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jda1\Downloads\"/>
    </mc:Choice>
  </mc:AlternateContent>
  <xr:revisionPtr revIDLastSave="0" documentId="13_ncr:1_{69A3147B-0AA7-4C4E-BAAF-0B837C1B1A24}" xr6:coauthVersionLast="47" xr6:coauthVersionMax="47" xr10:uidLastSave="{00000000-0000-0000-0000-000000000000}"/>
  <bookViews>
    <workbookView xWindow="-120" yWindow="-120" windowWidth="20730" windowHeight="11760" tabRatio="717" firstSheet="3" activeTab="6" xr2:uid="{00000000-000D-0000-FFFF-FFFF00000000}"/>
  </bookViews>
  <sheets>
    <sheet name="Catalogos" sheetId="2" state="hidden" r:id="rId1"/>
    <sheet name="Ventas Coppel" sheetId="11" state="hidden" r:id="rId2"/>
    <sheet name="Ventas THD" sheetId="5" state="hidden" r:id="rId3"/>
    <sheet name="Ventas " sheetId="6" r:id="rId4"/>
    <sheet name="COMISIONES 2026" sheetId="21" r:id="rId5"/>
    <sheet name="NUEVAS LISTAS" sheetId="20" r:id="rId6"/>
    <sheet name="Caratula 2023" sheetId="17" r:id="rId7"/>
    <sheet name="Resumen" sheetId="12" r:id="rId8"/>
    <sheet name="Recibo Qna" sheetId="7" r:id="rId9"/>
    <sheet name="COMPARATIVA" sheetId="18" state="hidden" r:id="rId10"/>
    <sheet name="Caratula" sheetId="4" state="hidden" r:id="rId11"/>
    <sheet name="Gráfico2" sheetId="10" state="hidden" r:id="rId12"/>
    <sheet name="Gráfico1" sheetId="9" state="hidden" r:id="rId13"/>
    <sheet name="Caratula (2)" sheetId="16" state="hidden" r:id="rId14"/>
    <sheet name="Recibo Mes" sheetId="19" r:id="rId15"/>
    <sheet name="Responsivas" sheetId="8" state="hidden" r:id="rId16"/>
    <sheet name="Comision Gerente" sheetId="13" state="hidden" r:id="rId17"/>
    <sheet name="Cobranza" sheetId="3" state="hidden"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6" hidden="1">'Caratula 2023'!$B$7:$AL$58</definedName>
    <definedName name="_xlnm._FilterDatabase" localSheetId="5" hidden="1">'NUEVAS LISTAS'!$A$3:$P$403</definedName>
    <definedName name="_xlnm._FilterDatabase" localSheetId="8" hidden="1">'Recibo Qna'!$B$11:$J$12</definedName>
    <definedName name="_xlnm._FilterDatabase" localSheetId="7" hidden="1">Resumen!$B$7:$EO$58</definedName>
    <definedName name="_xlnm._FilterDatabase" localSheetId="3" hidden="1">'Ventas '!#REF!</definedName>
    <definedName name="a">[1]成本核算!#REF!</definedName>
    <definedName name="AC_EXT_201_BA_0.31">#REF!</definedName>
    <definedName name="_xlnm.Print_Area" localSheetId="10">Caratula!$A$1:$T$62</definedName>
    <definedName name="_xlnm.Print_Area" localSheetId="13">'Caratula (2)'!#REF!</definedName>
    <definedName name="_xlnm.Print_Area" localSheetId="6">'Caratula 2023'!$B$2:$AE$43</definedName>
    <definedName name="_xlnm.Print_Area" localSheetId="14">'Recibo Mes'!$B$1:$J$46</definedName>
    <definedName name="_xlnm.Print_Area" localSheetId="8">'Recibo Qna'!$B$1:$J$45</definedName>
    <definedName name="_xlnm.Print_Area" localSheetId="7">Resumen!$A$4:$EA$58</definedName>
    <definedName name="_xlnm.Print_Area" localSheetId="3">'Ventas '!$A$1:$V$7</definedName>
    <definedName name="b">[1]成本核算!#REF!</definedName>
    <definedName name="bbbbbbgfdadagsrzhrh">[2]成本核算!#REF!</definedName>
    <definedName name="CALCULOPANEL">#REF!</definedName>
    <definedName name="Calendar9Year">#REF!</definedName>
    <definedName name="Calendario10Año">[3]Calendario!$B$127</definedName>
    <definedName name="Calendario10Mes">[3]Calendario!$C$127</definedName>
    <definedName name="Calendario10MesOpción" localSheetId="5">MATCH(Calendario10Mes,'NUEVAS LISTAS'!Meses,0)</definedName>
    <definedName name="Calendario10MesOpción">MATCH(Calendario10Mes,Meses,0)</definedName>
    <definedName name="Calendario11Año">[3]Calendario!$B$141</definedName>
    <definedName name="Calendario11Mes">[3]Calendario!$C$141</definedName>
    <definedName name="Calendario11MesOpción" localSheetId="5">MATCH(Calendario11Mes,'NUEVAS LISTAS'!Meses,0)</definedName>
    <definedName name="Calendario11MesOpción">MATCH(Calendario11Mes,Meses,0)</definedName>
    <definedName name="Calendario12Año">[3]Calendario!$B$155</definedName>
    <definedName name="Calendario12Mes">[3]Calendario!$C$155</definedName>
    <definedName name="Calendario12MesOpción" localSheetId="5">MATCH(Calendario12Mes,'NUEVAS LISTAS'!Meses,0)</definedName>
    <definedName name="Calendario12MesOpción">MATCH(Calendario12Mes,Meses,0)</definedName>
    <definedName name="Calendario1Año">[3]Calendario!$B$1</definedName>
    <definedName name="Calendario1Mes">[3]Calendario!$C$1</definedName>
    <definedName name="Calendario1MesOpción" localSheetId="5">MATCH(Calendario1Mes,'NUEVAS LISTAS'!Meses,0)</definedName>
    <definedName name="Calendario1MesOpción">MATCH(Calendario1Mes,Meses,0)</definedName>
    <definedName name="Calendario2Año">[3]Calendario!$B$15</definedName>
    <definedName name="Calendario2Mes">[3]Calendario!$C$15</definedName>
    <definedName name="Calendario2MesOpción" localSheetId="5">MATCH(Calendario2Mes,'NUEVAS LISTAS'!Meses,0)</definedName>
    <definedName name="Calendario2MesOpción">MATCH(Calendario2Mes,Meses,0)</definedName>
    <definedName name="Calendario3Año">[3]Calendario!$B$29</definedName>
    <definedName name="Calendario3Mes">[3]Calendario!$C$29</definedName>
    <definedName name="Calendario3MesOpción" localSheetId="5">MATCH(Calendario3Mes,'NUEVAS LISTAS'!Meses,0)</definedName>
    <definedName name="Calendario3MesOpción">MATCH(Calendario3Mes,Meses,0)</definedName>
    <definedName name="Calendario4Año">[3]Calendario!$B$43</definedName>
    <definedName name="Calendario4Mes">[3]Calendario!$C$43</definedName>
    <definedName name="Calendario4MesOpción" localSheetId="5">MATCH(Calendario4Mes,'NUEVAS LISTAS'!Meses,0)</definedName>
    <definedName name="Calendario4MesOpción">MATCH(Calendario4Mes,Meses,0)</definedName>
    <definedName name="Calendario5Año">[3]Calendario!$B$57</definedName>
    <definedName name="Calendario5Mes">[3]Calendario!$C$57</definedName>
    <definedName name="Calendario5MesOpción" localSheetId="5">MATCH(Calendario5Mes,'NUEVAS LISTAS'!Meses,0)</definedName>
    <definedName name="Calendario5MesOpción">MATCH(Calendario5Mes,Meses,0)</definedName>
    <definedName name="Calendario6Año">[3]Calendario!$B$71</definedName>
    <definedName name="Calendario6Mes">[3]Calendario!$C$71</definedName>
    <definedName name="Calendario6MesOpción" localSheetId="5">MATCH(Calendario6Mes,'NUEVAS LISTAS'!Meses,0)</definedName>
    <definedName name="Calendario6MesOpción">MATCH(Calendario6Mes,Meses,0)</definedName>
    <definedName name="Calendario7Año">[3]Calendario!$B$85</definedName>
    <definedName name="Calendario7Mes">[3]Calendario!$C$85</definedName>
    <definedName name="Calendario7MesOpción" localSheetId="5">MATCH(Calendario7Mes,'NUEVAS LISTAS'!Meses,0)</definedName>
    <definedName name="Calendario7MesOpción">MATCH(Calendario7Mes,Meses,0)</definedName>
    <definedName name="Calendario8Año">[3]Calendario!$B$99</definedName>
    <definedName name="Calendario8Mes">[3]Calendario!$C$99</definedName>
    <definedName name="Calendario8MesOpción" localSheetId="5">MATCH(Calendario8Mes,'NUEVAS LISTAS'!Meses,0)</definedName>
    <definedName name="Calendario8MesOpción">MATCH(Calendario8Mes,Meses,0)</definedName>
    <definedName name="Calendario9Año">[3]Calendario!$B$113</definedName>
    <definedName name="Calendario9Mes">[3]Calendario!$C$113</definedName>
    <definedName name="Calendario9MesOpción" localSheetId="5">MATCH(Calendario9Mes,'NUEVAS LISTAS'!Meses,0)</definedName>
    <definedName name="Calendario9MesOpción">MATCH(Calendario9Mes,Meses,0)</definedName>
    <definedName name="ColumnTitleRegion1..H12.1">#REF!</definedName>
    <definedName name="ColumnTitleRegion10..H54.1">#REF!</definedName>
    <definedName name="ColumnTitleRegion11..C56.1">#REF!</definedName>
    <definedName name="ColumnTitleRegion12..D56.1">#REF!</definedName>
    <definedName name="ColumnTitleRegion13..H68.1">#REF!</definedName>
    <definedName name="ColumnTitleRegion14..C70.1">#REF!</definedName>
    <definedName name="ColumnTitleRegion15..D70.1">#REF!</definedName>
    <definedName name="ColumnTitleRegion16..H82.1">#REF!</definedName>
    <definedName name="ColumnTitleRegion17..C84.1">#REF!</definedName>
    <definedName name="ColumnTitleRegion18..D84.1">#REF!</definedName>
    <definedName name="ColumnTitleRegion19..H96.1">#REF!</definedName>
    <definedName name="ColumnTitleRegion2..C14.1">#REF!</definedName>
    <definedName name="ColumnTitleRegion20..C98.1">#REF!</definedName>
    <definedName name="ColumnTitleRegion21..D98.1">#REF!</definedName>
    <definedName name="ColumnTitleRegion22..H110.1">#REF!</definedName>
    <definedName name="ColumnTitleRegion23..C112.1">#REF!</definedName>
    <definedName name="ColumnTitleRegion24..D112.1">#REF!</definedName>
    <definedName name="ColumnTitleRegion25..H124.1">#REF!</definedName>
    <definedName name="ColumnTitleRegion26..C126.1">#REF!</definedName>
    <definedName name="ColumnTitleRegion27..D126.1">#REF!</definedName>
    <definedName name="ColumnTitleRegion28..H138.1">#REF!</definedName>
    <definedName name="ColumnTitleRegion29..C140.1">#REF!</definedName>
    <definedName name="ColumnTitleRegion3..D14.1">#REF!</definedName>
    <definedName name="ColumnTitleRegion30..D140.1">#REF!</definedName>
    <definedName name="ColumnTitleRegion31..H152.1">#REF!</definedName>
    <definedName name="ColumnTitleRegion32..C154.1">#REF!</definedName>
    <definedName name="ColumnTitleRegion33..D154.1">#REF!</definedName>
    <definedName name="ColumnTitleRegion34..H166.1">#REF!</definedName>
    <definedName name="ColumnTitleRegion35..C168.1">#REF!</definedName>
    <definedName name="ColumnTitleRegion36..D168.1">#REF!</definedName>
    <definedName name="ColumnTitleRegion4..H26.1">#REF!</definedName>
    <definedName name="ColumnTitleRegion5..C28.1">#REF!</definedName>
    <definedName name="ColumnTitleRegion6..D28.1">#REF!</definedName>
    <definedName name="ColumnTitleRegion7..H40.1">#REF!</definedName>
    <definedName name="ColumnTitleRegion8..C42.1">#REF!</definedName>
    <definedName name="ColumnTitleRegion9..D42.1">#REF!</definedName>
    <definedName name="Comisión_Asesores">#REF!</definedName>
    <definedName name="CONCILIACION">#REF!</definedName>
    <definedName name="Costo_Total">#REF!</definedName>
    <definedName name="CV">[1]成本核算!#REF!</definedName>
    <definedName name="d">[1]成本核算!#REF!</definedName>
    <definedName name="ddp">[1]成本核算!#REF!</definedName>
    <definedName name="Descuento_Home_Depot">#REF!</definedName>
    <definedName name="dgrgrg">[1]成本核算!#REF!</definedName>
    <definedName name="DíaDeLaSemanaOpción" localSheetId="5">MATCH(InicioDeSemana,'NUEVAS LISTAS'!DíasDeLaSemana,0)+10</definedName>
    <definedName name="DíaDeLaSemanaOpción">MATCH(InicioDeSemana,DíasDeLaSemana,0)+10</definedName>
    <definedName name="Días" localSheetId="5">{0,1,2,3,4,5,6}</definedName>
    <definedName name="Días">{0,1,2,3,4,5,6}</definedName>
    <definedName name="DíasDeLaSemana" localSheetId="5">{"LUNES","MARTES","MIÉRCOLES","JUEVES","VIERNES","SÁBADO","DOMINGO"}</definedName>
    <definedName name="DíasDeLaSemana">{"LUNES","MARTES","MIÉRCOLES","JUEVES","VIERNES","SÁBADO","DOMINGO"}</definedName>
    <definedName name="e">[1]成本核算!#REF!</definedName>
    <definedName name="Efectivo_mínimo">'[4]Flujo efe'!$C$3</definedName>
    <definedName name="EYD">[2]成本核算!#REF!</definedName>
    <definedName name="ffff">[2]成本核算!#REF!</definedName>
    <definedName name="g">[1]成本核算!#REF!</definedName>
    <definedName name="GRUESO">'[5]DDP´s 2021 GRUESO'!$1:$1048576</definedName>
    <definedName name="GRUPO">#REF!</definedName>
    <definedName name="h">[1]成本核算!#REF!</definedName>
    <definedName name="HOLA" localSheetId="5">MATCH([0]!Calendario5Mes,'NUEVAS LISTAS'!Meses,0)</definedName>
    <definedName name="HOLA">MATCH([0]!Calendario5Mes,Meses,0)</definedName>
    <definedName name="InicioDeSemana">[3]Calendario!$B$2</definedName>
    <definedName name="Insumos">#REF!</definedName>
    <definedName name="Inversión_ERA">#REF!</definedName>
    <definedName name="Inversión_Tecno">#REF!</definedName>
    <definedName name="IVA">#REF!</definedName>
    <definedName name="j">[1]成本核算!#REF!</definedName>
    <definedName name="k">[1]成本核算!#REF!</definedName>
    <definedName name="l">[1]成本核算!#REF!</definedName>
    <definedName name="Maquinaria">[1]成本核算!#REF!</definedName>
    <definedName name="Meses" localSheetId="5">{"enero","febrero","marzo","abril","mayo","junio","julio","agosto","septiembre","octubre","noviembre","diciembre"}</definedName>
    <definedName name="Meses">{"enero","febrero","marzo","abril","mayo","junio","julio","agosto","septiembre","octubre","noviembre","diciembre"}</definedName>
    <definedName name="OBRA">#REF!</definedName>
    <definedName name="P_Costo_de_flete">#REF!</definedName>
    <definedName name="Precio_de_Venta">#REF!</definedName>
    <definedName name="Precio_de_Venta_Neto">#REF!</definedName>
    <definedName name="Precio_de_Venta_Real">#REF!</definedName>
    <definedName name="ProyectosInstalados">#REF!</definedName>
    <definedName name="q">[1]成本核算!#REF!</definedName>
    <definedName name="RECIENTE">[1]成本核算!#REF!</definedName>
    <definedName name="respaldo">[1]成本核算!#REF!</definedName>
    <definedName name="s">[1]成本核算!#REF!</definedName>
    <definedName name="SC">'[5]DDP´s 2021 ERA-LORENTO'!$1:$1048576</definedName>
    <definedName name="sssss">[2]成本核算!#REF!</definedName>
    <definedName name="TENE">#REF!</definedName>
    <definedName name="Utilidad_Total">#REF!</definedName>
    <definedName name="Venta_total">#REF!</definedName>
    <definedName name="w">[1]成本核算!#REF!</definedName>
    <definedName name="WeekStartValue" localSheetId="5">IF(InicioDeSemana="LUNES",2,1)</definedName>
    <definedName name="WeekStartValue">IF(InicioDeSemana="LUNES",2,1)</definedName>
    <definedName name="wtbj">[1]水箱成本!$B$8</definedName>
    <definedName name="X">#REF!</definedName>
    <definedName name="xx">#REF!</definedName>
    <definedName name="内外桶">#REF!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21" l="1"/>
  <c r="J11" i="6"/>
  <c r="L11" i="6" s="1"/>
  <c r="D11" i="6"/>
  <c r="L41" i="17"/>
  <c r="L40" i="17"/>
  <c r="L39" i="17"/>
  <c r="L37" i="17"/>
  <c r="L36" i="17"/>
  <c r="L35" i="17"/>
  <c r="L34" i="17"/>
  <c r="L33" i="17"/>
  <c r="L32" i="17"/>
  <c r="L30" i="17"/>
  <c r="L29" i="17"/>
  <c r="L27" i="17"/>
  <c r="L26" i="17"/>
  <c r="L25" i="17"/>
  <c r="L23" i="17"/>
  <c r="L22" i="17"/>
  <c r="L21" i="17"/>
  <c r="L19" i="17"/>
  <c r="L18" i="17"/>
  <c r="L17" i="17"/>
  <c r="L16" i="17"/>
  <c r="L15" i="17"/>
  <c r="L13" i="17"/>
  <c r="L10" i="17"/>
  <c r="O41" i="17" l="1"/>
  <c r="O40" i="17"/>
  <c r="O39" i="17"/>
  <c r="O37" i="17"/>
  <c r="O36" i="17"/>
  <c r="O35" i="17"/>
  <c r="O34" i="17"/>
  <c r="O33" i="17"/>
  <c r="O32" i="17"/>
  <c r="O30" i="17"/>
  <c r="O29" i="17"/>
  <c r="O27" i="17"/>
  <c r="O26" i="17"/>
  <c r="O25" i="17"/>
  <c r="O23" i="17"/>
  <c r="O22" i="17"/>
  <c r="O21" i="17"/>
  <c r="O19" i="17"/>
  <c r="O18" i="17"/>
  <c r="O17" i="17"/>
  <c r="O16" i="17"/>
  <c r="H379" i="20"/>
  <c r="K379" i="20" s="1"/>
  <c r="E389" i="20"/>
  <c r="H389" i="20" s="1"/>
  <c r="E388" i="20"/>
  <c r="H388" i="20" s="1"/>
  <c r="E387" i="20"/>
  <c r="H387" i="20" s="1"/>
  <c r="E386" i="20"/>
  <c r="H386" i="20" s="1"/>
  <c r="E385" i="20"/>
  <c r="H385" i="20" s="1"/>
  <c r="E382" i="20"/>
  <c r="H382" i="20" s="1"/>
  <c r="K382" i="20" s="1"/>
  <c r="E381" i="20"/>
  <c r="H381" i="20" s="1"/>
  <c r="E379" i="20"/>
  <c r="C384" i="20"/>
  <c r="E384" i="20" s="1"/>
  <c r="H384" i="20" s="1"/>
  <c r="C383" i="20"/>
  <c r="E383" i="20" s="1"/>
  <c r="H383" i="20" s="1"/>
  <c r="C380" i="20"/>
  <c r="E380" i="20" s="1"/>
  <c r="H380" i="20" s="1"/>
  <c r="G12" i="21"/>
  <c r="Z2" i="6" s="1"/>
  <c r="F12" i="21"/>
  <c r="Y2" i="6" s="1"/>
  <c r="E12" i="21"/>
  <c r="X2" i="6" s="1"/>
  <c r="W2" i="6"/>
  <c r="G13" i="21"/>
  <c r="Z3" i="6" s="1"/>
  <c r="F13" i="21"/>
  <c r="Y3" i="6" s="1"/>
  <c r="E13" i="21"/>
  <c r="X3" i="6" s="1"/>
  <c r="D13" i="21"/>
  <c r="W3" i="6" s="1"/>
  <c r="G14" i="21"/>
  <c r="Z4" i="6" s="1"/>
  <c r="F14" i="21"/>
  <c r="Y4" i="6" s="1"/>
  <c r="E14" i="21"/>
  <c r="X4" i="6" s="1"/>
  <c r="D14" i="21"/>
  <c r="W4" i="6" s="1"/>
  <c r="K389" i="20" l="1"/>
  <c r="K387" i="20"/>
  <c r="K384" i="20"/>
  <c r="K385" i="20"/>
  <c r="K386" i="20"/>
  <c r="N382" i="20"/>
  <c r="K388" i="20"/>
  <c r="K380" i="20"/>
  <c r="K381" i="20"/>
  <c r="K383" i="20"/>
  <c r="N379" i="20"/>
  <c r="N389" i="20" l="1"/>
  <c r="N387" i="20"/>
  <c r="N380" i="20"/>
  <c r="N383" i="20"/>
  <c r="N386" i="20"/>
  <c r="N385" i="20"/>
  <c r="N381" i="20"/>
  <c r="N388" i="20"/>
  <c r="N384" i="20"/>
  <c r="G15" i="21" l="1"/>
  <c r="Z5" i="6" s="1"/>
  <c r="F15" i="21"/>
  <c r="Y5" i="6" s="1"/>
  <c r="E15" i="21"/>
  <c r="X5" i="6" s="1"/>
  <c r="D15" i="21"/>
  <c r="W5" i="6" s="1"/>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Z116" i="6"/>
  <c r="Z117" i="6"/>
  <c r="Z118" i="6"/>
  <c r="Z119" i="6"/>
  <c r="Z120" i="6"/>
  <c r="Z121" i="6"/>
  <c r="Z122" i="6"/>
  <c r="Z123" i="6"/>
  <c r="Z124" i="6"/>
  <c r="Z125" i="6"/>
  <c r="Z126" i="6"/>
  <c r="Z127" i="6"/>
  <c r="Z128" i="6"/>
  <c r="Z129" i="6"/>
  <c r="Z130" i="6"/>
  <c r="Z131" i="6"/>
  <c r="Z132" i="6"/>
  <c r="Z133" i="6"/>
  <c r="Z134" i="6"/>
  <c r="Z135" i="6"/>
  <c r="Z136" i="6"/>
  <c r="Z137" i="6"/>
  <c r="Z138" i="6"/>
  <c r="Z139" i="6"/>
  <c r="Z140" i="6"/>
  <c r="Z141" i="6"/>
  <c r="Z142" i="6"/>
  <c r="Z143" i="6"/>
  <c r="Z144" i="6"/>
  <c r="Z145" i="6"/>
  <c r="Z146" i="6"/>
  <c r="Z147" i="6"/>
  <c r="Z148" i="6"/>
  <c r="Z149" i="6"/>
  <c r="Z150" i="6"/>
  <c r="Z151" i="6"/>
  <c r="Z152" i="6"/>
  <c r="Z153" i="6"/>
  <c r="Z154" i="6"/>
  <c r="Z155" i="6"/>
  <c r="Z156" i="6"/>
  <c r="Z157" i="6"/>
  <c r="Z158" i="6"/>
  <c r="Z159" i="6"/>
  <c r="Z160"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3" i="6"/>
  <c r="Y114" i="6"/>
  <c r="Y115" i="6"/>
  <c r="Y116" i="6"/>
  <c r="Y117" i="6"/>
  <c r="Y118" i="6"/>
  <c r="Y119" i="6"/>
  <c r="Y120" i="6"/>
  <c r="Y121" i="6"/>
  <c r="Y122" i="6"/>
  <c r="Y123" i="6"/>
  <c r="Y124" i="6"/>
  <c r="Y125" i="6"/>
  <c r="Y126" i="6"/>
  <c r="Y127" i="6"/>
  <c r="Y128" i="6"/>
  <c r="Y129" i="6"/>
  <c r="Y130" i="6"/>
  <c r="Y131" i="6"/>
  <c r="Y132" i="6"/>
  <c r="Y133" i="6"/>
  <c r="Y134" i="6"/>
  <c r="Y135" i="6"/>
  <c r="Y136" i="6"/>
  <c r="Y137" i="6"/>
  <c r="Y138" i="6"/>
  <c r="Y139" i="6"/>
  <c r="Y140" i="6"/>
  <c r="Y141" i="6"/>
  <c r="Y142" i="6"/>
  <c r="Y143" i="6"/>
  <c r="Y144" i="6"/>
  <c r="Y145" i="6"/>
  <c r="Y146" i="6"/>
  <c r="Y147" i="6"/>
  <c r="Y148" i="6"/>
  <c r="Y149" i="6"/>
  <c r="Y150" i="6"/>
  <c r="Y151" i="6"/>
  <c r="Y152" i="6"/>
  <c r="Y153" i="6"/>
  <c r="Y154" i="6"/>
  <c r="Y155" i="6"/>
  <c r="Y156" i="6"/>
  <c r="Y157" i="6"/>
  <c r="Y158" i="6"/>
  <c r="Y159" i="6"/>
  <c r="Y160"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H403" i="20"/>
  <c r="K403" i="20" s="1"/>
  <c r="N403" i="20" s="1"/>
  <c r="H402" i="20"/>
  <c r="K402" i="20" s="1"/>
  <c r="N402" i="20" s="1"/>
  <c r="H401" i="20"/>
  <c r="K401" i="20" s="1"/>
  <c r="N401" i="20" s="1"/>
  <c r="H400" i="20"/>
  <c r="K400" i="20" s="1"/>
  <c r="N400" i="20" s="1"/>
  <c r="H399" i="20"/>
  <c r="K399" i="20" s="1"/>
  <c r="N399" i="20" s="1"/>
  <c r="H398" i="20"/>
  <c r="K398" i="20" s="1"/>
  <c r="N398" i="20" s="1"/>
  <c r="H397" i="20"/>
  <c r="K397" i="20" s="1"/>
  <c r="N397" i="20" s="1"/>
  <c r="H396" i="20"/>
  <c r="K396" i="20" s="1"/>
  <c r="N396" i="20" s="1"/>
  <c r="J160" i="6" l="1"/>
  <c r="L160" i="6" s="1"/>
  <c r="J159" i="6"/>
  <c r="L159" i="6" s="1"/>
  <c r="J158" i="6"/>
  <c r="L158" i="6" s="1"/>
  <c r="J157" i="6"/>
  <c r="L157" i="6" s="1"/>
  <c r="J156" i="6"/>
  <c r="L156" i="6" s="1"/>
  <c r="J155" i="6"/>
  <c r="L155" i="6" s="1"/>
  <c r="J154" i="6"/>
  <c r="L154" i="6" s="1"/>
  <c r="J153" i="6"/>
  <c r="L153" i="6" s="1"/>
  <c r="J152" i="6"/>
  <c r="L152" i="6" s="1"/>
  <c r="J151" i="6"/>
  <c r="L151" i="6" s="1"/>
  <c r="J150" i="6"/>
  <c r="L150" i="6" s="1"/>
  <c r="J149" i="6"/>
  <c r="L149" i="6" s="1"/>
  <c r="J148" i="6"/>
  <c r="L148" i="6" s="1"/>
  <c r="J147" i="6"/>
  <c r="L147" i="6" s="1"/>
  <c r="J146" i="6"/>
  <c r="L146" i="6" s="1"/>
  <c r="J145" i="6"/>
  <c r="L145" i="6" s="1"/>
  <c r="J144" i="6"/>
  <c r="L144" i="6" s="1"/>
  <c r="J143" i="6"/>
  <c r="L143" i="6" s="1"/>
  <c r="J142" i="6"/>
  <c r="L142" i="6" s="1"/>
  <c r="J141" i="6"/>
  <c r="L141" i="6" s="1"/>
  <c r="J140" i="6"/>
  <c r="L140" i="6" s="1"/>
  <c r="J139" i="6"/>
  <c r="L139" i="6" s="1"/>
  <c r="J138" i="6"/>
  <c r="L138" i="6" s="1"/>
  <c r="J137" i="6"/>
  <c r="L137" i="6" s="1"/>
  <c r="J136" i="6"/>
  <c r="L136" i="6" s="1"/>
  <c r="J135" i="6"/>
  <c r="L135" i="6" s="1"/>
  <c r="J134" i="6"/>
  <c r="L134" i="6" s="1"/>
  <c r="J133" i="6"/>
  <c r="L133" i="6" s="1"/>
  <c r="J132" i="6"/>
  <c r="L132" i="6" s="1"/>
  <c r="J131" i="6"/>
  <c r="L131" i="6" s="1"/>
  <c r="J130" i="6"/>
  <c r="L130" i="6" s="1"/>
  <c r="J129" i="6"/>
  <c r="L129" i="6" s="1"/>
  <c r="J128" i="6"/>
  <c r="L128" i="6" s="1"/>
  <c r="J127" i="6"/>
  <c r="L127" i="6" s="1"/>
  <c r="J126" i="6"/>
  <c r="L126" i="6" s="1"/>
  <c r="J125" i="6"/>
  <c r="L125" i="6" s="1"/>
  <c r="J124" i="6"/>
  <c r="L124" i="6" s="1"/>
  <c r="J123" i="6"/>
  <c r="L123" i="6" s="1"/>
  <c r="J122" i="6"/>
  <c r="L122" i="6" s="1"/>
  <c r="J121" i="6"/>
  <c r="L121" i="6" s="1"/>
  <c r="J120" i="6"/>
  <c r="L120" i="6" s="1"/>
  <c r="J119" i="6"/>
  <c r="L119" i="6" s="1"/>
  <c r="J118" i="6"/>
  <c r="L118" i="6" s="1"/>
  <c r="J117" i="6"/>
  <c r="L117" i="6" s="1"/>
  <c r="J116" i="6"/>
  <c r="L116" i="6" s="1"/>
  <c r="J115" i="6"/>
  <c r="L115" i="6" s="1"/>
  <c r="J114" i="6"/>
  <c r="L114" i="6" s="1"/>
  <c r="J113" i="6"/>
  <c r="L113" i="6" s="1"/>
  <c r="J112" i="6"/>
  <c r="L112" i="6" s="1"/>
  <c r="J111" i="6"/>
  <c r="L111" i="6" s="1"/>
  <c r="J110" i="6"/>
  <c r="L110" i="6" s="1"/>
  <c r="J109" i="6"/>
  <c r="L109" i="6" s="1"/>
  <c r="J108" i="6"/>
  <c r="L108" i="6" s="1"/>
  <c r="J107" i="6"/>
  <c r="L107" i="6" s="1"/>
  <c r="J106" i="6"/>
  <c r="L106" i="6" s="1"/>
  <c r="J105" i="6"/>
  <c r="L105" i="6" s="1"/>
  <c r="J104" i="6"/>
  <c r="L104" i="6" s="1"/>
  <c r="J103" i="6"/>
  <c r="L103" i="6" s="1"/>
  <c r="J102" i="6"/>
  <c r="L102" i="6" s="1"/>
  <c r="J101" i="6"/>
  <c r="L101" i="6" s="1"/>
  <c r="J100" i="6"/>
  <c r="L100" i="6" s="1"/>
  <c r="J99" i="6"/>
  <c r="L99" i="6" s="1"/>
  <c r="J98" i="6"/>
  <c r="L98" i="6" s="1"/>
  <c r="J97" i="6"/>
  <c r="L97" i="6" s="1"/>
  <c r="J96" i="6"/>
  <c r="L96" i="6" s="1"/>
  <c r="J95" i="6"/>
  <c r="L95" i="6" s="1"/>
  <c r="J94" i="6"/>
  <c r="L94" i="6" s="1"/>
  <c r="J93" i="6"/>
  <c r="L93" i="6" s="1"/>
  <c r="J92" i="6"/>
  <c r="L92" i="6" s="1"/>
  <c r="J91" i="6"/>
  <c r="L91" i="6" s="1"/>
  <c r="J90" i="6"/>
  <c r="L90" i="6" s="1"/>
  <c r="J89" i="6"/>
  <c r="L89" i="6" s="1"/>
  <c r="J88" i="6"/>
  <c r="L88" i="6" s="1"/>
  <c r="J87" i="6"/>
  <c r="L87" i="6" s="1"/>
  <c r="J86" i="6"/>
  <c r="L86" i="6" s="1"/>
  <c r="J85" i="6"/>
  <c r="L85" i="6" s="1"/>
  <c r="J84" i="6"/>
  <c r="L84" i="6" s="1"/>
  <c r="J83" i="6"/>
  <c r="L83" i="6" s="1"/>
  <c r="J82" i="6"/>
  <c r="L82" i="6" s="1"/>
  <c r="J81" i="6"/>
  <c r="L81" i="6" s="1"/>
  <c r="J80" i="6"/>
  <c r="L80" i="6" s="1"/>
  <c r="J79" i="6"/>
  <c r="L79" i="6" s="1"/>
  <c r="J78" i="6"/>
  <c r="L78" i="6" s="1"/>
  <c r="J77" i="6"/>
  <c r="L77" i="6" s="1"/>
  <c r="J76" i="6"/>
  <c r="L76" i="6" s="1"/>
  <c r="J75" i="6"/>
  <c r="L75" i="6" s="1"/>
  <c r="J74" i="6"/>
  <c r="L74" i="6" s="1"/>
  <c r="J73" i="6"/>
  <c r="L73" i="6" s="1"/>
  <c r="J72" i="6"/>
  <c r="L72" i="6" s="1"/>
  <c r="J71" i="6"/>
  <c r="L71" i="6" s="1"/>
  <c r="J70" i="6"/>
  <c r="L70" i="6" s="1"/>
  <c r="J69" i="6"/>
  <c r="L69" i="6" s="1"/>
  <c r="J68" i="6"/>
  <c r="L68" i="6" s="1"/>
  <c r="J67" i="6"/>
  <c r="L67" i="6" s="1"/>
  <c r="J66" i="6"/>
  <c r="L66" i="6" s="1"/>
  <c r="J65" i="6"/>
  <c r="L65" i="6" s="1"/>
  <c r="J64" i="6"/>
  <c r="L64" i="6" s="1"/>
  <c r="J63" i="6"/>
  <c r="L63" i="6" s="1"/>
  <c r="J62" i="6"/>
  <c r="L62" i="6" s="1"/>
  <c r="J61" i="6"/>
  <c r="L61" i="6" s="1"/>
  <c r="J60" i="6"/>
  <c r="L60" i="6" s="1"/>
  <c r="J59" i="6"/>
  <c r="L59" i="6" s="1"/>
  <c r="J58" i="6"/>
  <c r="L58" i="6" s="1"/>
  <c r="J57" i="6"/>
  <c r="L57" i="6" s="1"/>
  <c r="J56" i="6"/>
  <c r="L56" i="6" s="1"/>
  <c r="J55" i="6"/>
  <c r="L55" i="6" s="1"/>
  <c r="J54" i="6"/>
  <c r="L54" i="6" s="1"/>
  <c r="J53" i="6"/>
  <c r="L53" i="6" s="1"/>
  <c r="J52" i="6"/>
  <c r="L52" i="6" s="1"/>
  <c r="J51" i="6"/>
  <c r="L51" i="6" s="1"/>
  <c r="J50" i="6"/>
  <c r="L50" i="6" s="1"/>
  <c r="J49" i="6"/>
  <c r="L49" i="6" s="1"/>
  <c r="J48" i="6"/>
  <c r="L48" i="6" s="1"/>
  <c r="J47" i="6"/>
  <c r="L47" i="6" s="1"/>
  <c r="J46" i="6"/>
  <c r="L46" i="6" s="1"/>
  <c r="J45" i="6"/>
  <c r="L45" i="6" s="1"/>
  <c r="J44" i="6"/>
  <c r="L44" i="6" s="1"/>
  <c r="J43" i="6"/>
  <c r="L43" i="6" s="1"/>
  <c r="J42" i="6"/>
  <c r="L42" i="6" s="1"/>
  <c r="J41" i="6"/>
  <c r="L41" i="6" s="1"/>
  <c r="J40" i="6"/>
  <c r="L40" i="6" s="1"/>
  <c r="J39" i="6"/>
  <c r="L39" i="6" s="1"/>
  <c r="J38" i="6"/>
  <c r="L38" i="6" s="1"/>
  <c r="J37" i="6"/>
  <c r="L37" i="6" s="1"/>
  <c r="J36" i="6"/>
  <c r="L36" i="6" s="1"/>
  <c r="J35" i="6"/>
  <c r="L35" i="6" s="1"/>
  <c r="J34" i="6"/>
  <c r="L34" i="6" s="1"/>
  <c r="J33" i="6"/>
  <c r="L33" i="6" s="1"/>
  <c r="J32" i="6"/>
  <c r="L32" i="6" s="1"/>
  <c r="J31" i="6"/>
  <c r="L31" i="6" s="1"/>
  <c r="J30" i="6"/>
  <c r="L30" i="6" s="1"/>
  <c r="J29" i="6"/>
  <c r="L29" i="6" s="1"/>
  <c r="J28" i="6"/>
  <c r="L28" i="6" s="1"/>
  <c r="J27" i="6"/>
  <c r="L27" i="6" s="1"/>
  <c r="J26" i="6"/>
  <c r="L26" i="6" s="1"/>
  <c r="J25" i="6"/>
  <c r="L25" i="6" s="1"/>
  <c r="J24" i="6"/>
  <c r="L24" i="6" s="1"/>
  <c r="J23" i="6"/>
  <c r="L23" i="6" s="1"/>
  <c r="J22" i="6"/>
  <c r="L22" i="6" s="1"/>
  <c r="J21" i="6"/>
  <c r="L21" i="6" s="1"/>
  <c r="J20" i="6"/>
  <c r="L20" i="6" s="1"/>
  <c r="J19" i="6"/>
  <c r="L19" i="6" s="1"/>
  <c r="J18" i="6"/>
  <c r="L18" i="6" s="1"/>
  <c r="J17" i="6"/>
  <c r="L17" i="6" s="1"/>
  <c r="J16" i="6"/>
  <c r="L16" i="6" s="1"/>
  <c r="J15" i="6"/>
  <c r="L15" i="6" s="1"/>
  <c r="J14" i="6"/>
  <c r="L14" i="6" s="1"/>
  <c r="J13" i="6"/>
  <c r="L13" i="6" s="1"/>
  <c r="J12" i="6"/>
  <c r="L12" i="6" s="1"/>
  <c r="J10" i="6"/>
  <c r="L10" i="6" s="1"/>
  <c r="J9" i="6"/>
  <c r="L9" i="6" s="1"/>
  <c r="J8" i="6"/>
  <c r="L8" i="6" s="1"/>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0" i="6"/>
  <c r="D9" i="6"/>
  <c r="D8" i="6"/>
  <c r="B160" i="6"/>
  <c r="R160" i="6" s="1"/>
  <c r="B156" i="6"/>
  <c r="R156" i="6" s="1"/>
  <c r="B157" i="6"/>
  <c r="R157" i="6" s="1"/>
  <c r="B158" i="6"/>
  <c r="R158" i="6" s="1"/>
  <c r="B159" i="6"/>
  <c r="M159" i="6" s="1"/>
  <c r="B155" i="6"/>
  <c r="R155" i="6" s="1"/>
  <c r="B154" i="6"/>
  <c r="R154" i="6" s="1"/>
  <c r="B153" i="6"/>
  <c r="R153" i="6" s="1"/>
  <c r="B152" i="6"/>
  <c r="M152" i="6" s="1"/>
  <c r="B149" i="6"/>
  <c r="M149" i="6" s="1"/>
  <c r="B150" i="6"/>
  <c r="R150" i="6" s="1"/>
  <c r="B151" i="6"/>
  <c r="R151" i="6" s="1"/>
  <c r="B148" i="6"/>
  <c r="R148" i="6" s="1"/>
  <c r="B147" i="6"/>
  <c r="R147" i="6" s="1"/>
  <c r="B146" i="6"/>
  <c r="R146" i="6" s="1"/>
  <c r="B144" i="6"/>
  <c r="R144" i="6" s="1"/>
  <c r="B145" i="6"/>
  <c r="M145" i="6" s="1"/>
  <c r="B143" i="6"/>
  <c r="R143" i="6" s="1"/>
  <c r="B140" i="6"/>
  <c r="R140" i="6" s="1"/>
  <c r="B141" i="6"/>
  <c r="M141" i="6" s="1"/>
  <c r="B142" i="6"/>
  <c r="R142" i="6" s="1"/>
  <c r="B139" i="6"/>
  <c r="M139" i="6" s="1"/>
  <c r="B137" i="6"/>
  <c r="M137" i="6" s="1"/>
  <c r="B138" i="6"/>
  <c r="R138" i="6" s="1"/>
  <c r="B135" i="6"/>
  <c r="R135" i="6" s="1"/>
  <c r="B136" i="6"/>
  <c r="R136" i="6" s="1"/>
  <c r="B130" i="6"/>
  <c r="R130" i="6" s="1"/>
  <c r="B131" i="6"/>
  <c r="M131" i="6" s="1"/>
  <c r="B132" i="6"/>
  <c r="M132" i="6" s="1"/>
  <c r="B133" i="6"/>
  <c r="R133" i="6" s="1"/>
  <c r="B134" i="6"/>
  <c r="R134" i="6" s="1"/>
  <c r="B129" i="6"/>
  <c r="M129" i="6" s="1"/>
  <c r="B128" i="6"/>
  <c r="R128" i="6" s="1"/>
  <c r="B127" i="6"/>
  <c r="M127" i="6" s="1"/>
  <c r="B126" i="6"/>
  <c r="M126" i="6" s="1"/>
  <c r="B124" i="6"/>
  <c r="R124" i="6" s="1"/>
  <c r="B125" i="6"/>
  <c r="R125" i="6" s="1"/>
  <c r="B123" i="6"/>
  <c r="R123" i="6" s="1"/>
  <c r="B122" i="6"/>
  <c r="R122" i="6" s="1"/>
  <c r="B120" i="6"/>
  <c r="R120" i="6" s="1"/>
  <c r="B121" i="6"/>
  <c r="R121" i="6" s="1"/>
  <c r="B117" i="6"/>
  <c r="R117" i="6" s="1"/>
  <c r="B118" i="6"/>
  <c r="R118" i="6" s="1"/>
  <c r="B119" i="6"/>
  <c r="M119" i="6" s="1"/>
  <c r="B110" i="6"/>
  <c r="M110" i="6" s="1"/>
  <c r="B111" i="6"/>
  <c r="M111" i="6" s="1"/>
  <c r="B112" i="6"/>
  <c r="M112" i="6" s="1"/>
  <c r="B113" i="6"/>
  <c r="R113" i="6" s="1"/>
  <c r="B114" i="6"/>
  <c r="R114" i="6" s="1"/>
  <c r="B115" i="6"/>
  <c r="M115" i="6" s="1"/>
  <c r="B116" i="6"/>
  <c r="M116" i="6" s="1"/>
  <c r="B108" i="6"/>
  <c r="R108" i="6" s="1"/>
  <c r="B109" i="6"/>
  <c r="R109" i="6" s="1"/>
  <c r="B106" i="6"/>
  <c r="R106" i="6" s="1"/>
  <c r="B107" i="6"/>
  <c r="M107" i="6" s="1"/>
  <c r="B103" i="6"/>
  <c r="R103" i="6" s="1"/>
  <c r="B104" i="6"/>
  <c r="R104" i="6" s="1"/>
  <c r="B105" i="6"/>
  <c r="R105" i="6" s="1"/>
  <c r="B101" i="6"/>
  <c r="R101" i="6" s="1"/>
  <c r="B102" i="6"/>
  <c r="R102" i="6" s="1"/>
  <c r="B95" i="6"/>
  <c r="R95" i="6" s="1"/>
  <c r="B96" i="6"/>
  <c r="M96" i="6" s="1"/>
  <c r="B97" i="6"/>
  <c r="R97" i="6" s="1"/>
  <c r="B98" i="6"/>
  <c r="R98" i="6" s="1"/>
  <c r="B99" i="6"/>
  <c r="R99" i="6" s="1"/>
  <c r="B100" i="6"/>
  <c r="R100" i="6" s="1"/>
  <c r="B87" i="6"/>
  <c r="M87" i="6" s="1"/>
  <c r="B88" i="6"/>
  <c r="R88" i="6" s="1"/>
  <c r="B89" i="6"/>
  <c r="R89" i="6" s="1"/>
  <c r="B90" i="6"/>
  <c r="R90" i="6" s="1"/>
  <c r="B91" i="6"/>
  <c r="M91" i="6" s="1"/>
  <c r="B92" i="6"/>
  <c r="M92" i="6" s="1"/>
  <c r="B93" i="6"/>
  <c r="R93" i="6" s="1"/>
  <c r="B94" i="6"/>
  <c r="R94" i="6" s="1"/>
  <c r="B76" i="6"/>
  <c r="R76" i="6" s="1"/>
  <c r="B77" i="6"/>
  <c r="R77" i="6" s="1"/>
  <c r="B78" i="6"/>
  <c r="R78" i="6" s="1"/>
  <c r="B79" i="6"/>
  <c r="R79" i="6" s="1"/>
  <c r="B80" i="6"/>
  <c r="R80" i="6" s="1"/>
  <c r="B81" i="6"/>
  <c r="M81" i="6" s="1"/>
  <c r="B82" i="6"/>
  <c r="M82" i="6" s="1"/>
  <c r="B83" i="6"/>
  <c r="R83" i="6" s="1"/>
  <c r="B84" i="6"/>
  <c r="R84" i="6" s="1"/>
  <c r="B85" i="6"/>
  <c r="R85" i="6" s="1"/>
  <c r="B86" i="6"/>
  <c r="M86" i="6" s="1"/>
  <c r="B68" i="6"/>
  <c r="M68" i="6" s="1"/>
  <c r="B69" i="6"/>
  <c r="R69" i="6" s="1"/>
  <c r="B70" i="6"/>
  <c r="M70" i="6" s="1"/>
  <c r="B71" i="6"/>
  <c r="R71" i="6" s="1"/>
  <c r="B72" i="6"/>
  <c r="R72" i="6" s="1"/>
  <c r="B73" i="6"/>
  <c r="R73" i="6" s="1"/>
  <c r="B74" i="6"/>
  <c r="M74" i="6" s="1"/>
  <c r="B75" i="6"/>
  <c r="R75" i="6" s="1"/>
  <c r="B67" i="6"/>
  <c r="R67" i="6" s="1"/>
  <c r="B66" i="6"/>
  <c r="R66" i="6" s="1"/>
  <c r="B65" i="6"/>
  <c r="R65" i="6" s="1"/>
  <c r="B63" i="6"/>
  <c r="R63" i="6" s="1"/>
  <c r="B64" i="6"/>
  <c r="R64" i="6" s="1"/>
  <c r="B61" i="6"/>
  <c r="R61" i="6" s="1"/>
  <c r="B62" i="6"/>
  <c r="R62" i="6" s="1"/>
  <c r="B52" i="6"/>
  <c r="R52" i="6" s="1"/>
  <c r="B53" i="6"/>
  <c r="M53" i="6" s="1"/>
  <c r="B54" i="6"/>
  <c r="R54" i="6" s="1"/>
  <c r="B55" i="6"/>
  <c r="M55" i="6" s="1"/>
  <c r="B56" i="6"/>
  <c r="R56" i="6" s="1"/>
  <c r="B57" i="6"/>
  <c r="R57" i="6" s="1"/>
  <c r="B58" i="6"/>
  <c r="R58" i="6" s="1"/>
  <c r="B59" i="6"/>
  <c r="R59" i="6" s="1"/>
  <c r="B60" i="6"/>
  <c r="M60" i="6" s="1"/>
  <c r="B50" i="6"/>
  <c r="R50" i="6" s="1"/>
  <c r="B51" i="6"/>
  <c r="M51" i="6" s="1"/>
  <c r="B46" i="6"/>
  <c r="M46" i="6" s="1"/>
  <c r="B47" i="6"/>
  <c r="M47" i="6" s="1"/>
  <c r="B48" i="6"/>
  <c r="R48" i="6" s="1"/>
  <c r="B49" i="6"/>
  <c r="R49" i="6" s="1"/>
  <c r="B43" i="6"/>
  <c r="M43" i="6" s="1"/>
  <c r="B44" i="6"/>
  <c r="M44" i="6" s="1"/>
  <c r="B45" i="6"/>
  <c r="R45" i="6" s="1"/>
  <c r="B42" i="6"/>
  <c r="R42" i="6" s="1"/>
  <c r="B40" i="6"/>
  <c r="R40" i="6" s="1"/>
  <c r="B41" i="6"/>
  <c r="R41" i="6" s="1"/>
  <c r="B38" i="6"/>
  <c r="R38" i="6" s="1"/>
  <c r="B39" i="6"/>
  <c r="R39" i="6" s="1"/>
  <c r="B37" i="6"/>
  <c r="M37" i="6" s="1"/>
  <c r="B34" i="6"/>
  <c r="M34" i="6" s="1"/>
  <c r="B35" i="6"/>
  <c r="R35" i="6" s="1"/>
  <c r="B36" i="6"/>
  <c r="R36" i="6" s="1"/>
  <c r="B33" i="6"/>
  <c r="M33" i="6" s="1"/>
  <c r="B32" i="6"/>
  <c r="R32" i="6" s="1"/>
  <c r="B31" i="6"/>
  <c r="R31" i="6" s="1"/>
  <c r="B29" i="6"/>
  <c r="M29" i="6" s="1"/>
  <c r="B30" i="6"/>
  <c r="R30" i="6" s="1"/>
  <c r="B28" i="6"/>
  <c r="M28" i="6" s="1"/>
  <c r="B26" i="6"/>
  <c r="R26" i="6" s="1"/>
  <c r="B27" i="6"/>
  <c r="M27" i="6" s="1"/>
  <c r="B22" i="6"/>
  <c r="R22" i="6" s="1"/>
  <c r="B23" i="6"/>
  <c r="R23" i="6" s="1"/>
  <c r="B24" i="6"/>
  <c r="M24" i="6" s="1"/>
  <c r="B25" i="6"/>
  <c r="R25" i="6" s="1"/>
  <c r="B18" i="6"/>
  <c r="M18" i="6" s="1"/>
  <c r="B19" i="6"/>
  <c r="M19" i="6" s="1"/>
  <c r="B20" i="6"/>
  <c r="M20" i="6" s="1"/>
  <c r="B21" i="6"/>
  <c r="M21" i="6" s="1"/>
  <c r="B9" i="6"/>
  <c r="R9" i="6" s="1"/>
  <c r="B10" i="6"/>
  <c r="M10" i="6" s="1"/>
  <c r="B11" i="6"/>
  <c r="M11" i="6" s="1"/>
  <c r="B12" i="6"/>
  <c r="R12" i="6" s="1"/>
  <c r="B13" i="6"/>
  <c r="R13" i="6" s="1"/>
  <c r="B14" i="6"/>
  <c r="R14" i="6" s="1"/>
  <c r="B15" i="6"/>
  <c r="R15" i="6" s="1"/>
  <c r="B16" i="6"/>
  <c r="R16" i="6" s="1"/>
  <c r="B17" i="6"/>
  <c r="R17" i="6" s="1"/>
  <c r="B8" i="6"/>
  <c r="T7493" i="5"/>
  <c r="J7493" i="5"/>
  <c r="T7492" i="5"/>
  <c r="J7492" i="5"/>
  <c r="T7491" i="5"/>
  <c r="J7491" i="5"/>
  <c r="K7491" i="5" s="1"/>
  <c r="T7490" i="5"/>
  <c r="J7490" i="5"/>
  <c r="K7490" i="5" s="1"/>
  <c r="T7489" i="5"/>
  <c r="J7489" i="5"/>
  <c r="T7488" i="5"/>
  <c r="J7488" i="5"/>
  <c r="T7487" i="5"/>
  <c r="J7487" i="5"/>
  <c r="T7486" i="5"/>
  <c r="J7486" i="5"/>
  <c r="T7485" i="5"/>
  <c r="J7485" i="5"/>
  <c r="K7485" i="5" s="1"/>
  <c r="L7485" i="5" s="1"/>
  <c r="T7484" i="5"/>
  <c r="J7484" i="5"/>
  <c r="T7483" i="5"/>
  <c r="J7483" i="5"/>
  <c r="K7483" i="5" s="1"/>
  <c r="L7483" i="5" s="1"/>
  <c r="T7482" i="5"/>
  <c r="J7482" i="5"/>
  <c r="K7482" i="5" s="1"/>
  <c r="T7481" i="5"/>
  <c r="J7481" i="5"/>
  <c r="K7481" i="5" s="1"/>
  <c r="L7481" i="5" s="1"/>
  <c r="T7480" i="5"/>
  <c r="J7480" i="5"/>
  <c r="K7480" i="5" s="1"/>
  <c r="T7479" i="5"/>
  <c r="J7479" i="5"/>
  <c r="T7478" i="5"/>
  <c r="J7478" i="5"/>
  <c r="K7478" i="5" s="1"/>
  <c r="T7477" i="5"/>
  <c r="J7477" i="5"/>
  <c r="T7476" i="5"/>
  <c r="J7476" i="5"/>
  <c r="T7475" i="5"/>
  <c r="J7475" i="5"/>
  <c r="T7474" i="5"/>
  <c r="J7474" i="5"/>
  <c r="K7474" i="5" s="1"/>
  <c r="T7473" i="5"/>
  <c r="J7473" i="5"/>
  <c r="K7473" i="5" s="1"/>
  <c r="T7472" i="5"/>
  <c r="J7472" i="5"/>
  <c r="T7471" i="5"/>
  <c r="J7471" i="5"/>
  <c r="T7470" i="5"/>
  <c r="J7470" i="5"/>
  <c r="T7469" i="5"/>
  <c r="J7469" i="5"/>
  <c r="K7469" i="5" s="1"/>
  <c r="L7469" i="5" s="1"/>
  <c r="P7469" i="5" s="1"/>
  <c r="T7468" i="5"/>
  <c r="J7468" i="5"/>
  <c r="K7468" i="5" s="1"/>
  <c r="T7467" i="5"/>
  <c r="J7467" i="5"/>
  <c r="T7466" i="5"/>
  <c r="J7466" i="5"/>
  <c r="T7465" i="5"/>
  <c r="J7465" i="5"/>
  <c r="T7464" i="5"/>
  <c r="J7464" i="5"/>
  <c r="T7463" i="5"/>
  <c r="J7463" i="5"/>
  <c r="T7462" i="5"/>
  <c r="J7462" i="5"/>
  <c r="T7461" i="5"/>
  <c r="J7461" i="5"/>
  <c r="T7460" i="5"/>
  <c r="J7460" i="5"/>
  <c r="T7459" i="5"/>
  <c r="J7459" i="5"/>
  <c r="K7459" i="5" s="1"/>
  <c r="L7459" i="5" s="1"/>
  <c r="T7458" i="5"/>
  <c r="J7458" i="5"/>
  <c r="T7457" i="5"/>
  <c r="J7457" i="5"/>
  <c r="T7456" i="5"/>
  <c r="J7456" i="5"/>
  <c r="K7456" i="5" s="1"/>
  <c r="T7455" i="5"/>
  <c r="J7455" i="5"/>
  <c r="K7455" i="5" s="1"/>
  <c r="T7454" i="5"/>
  <c r="J7454" i="5"/>
  <c r="K7454" i="5" s="1"/>
  <c r="T7453" i="5"/>
  <c r="J7453" i="5"/>
  <c r="T7452" i="5"/>
  <c r="J7452" i="5"/>
  <c r="T7451" i="5"/>
  <c r="J7451" i="5"/>
  <c r="T7450" i="5"/>
  <c r="J7450" i="5"/>
  <c r="K7450" i="5" s="1"/>
  <c r="L7450" i="5" s="1"/>
  <c r="T7449" i="5"/>
  <c r="J7449" i="5"/>
  <c r="K7449" i="5" s="1"/>
  <c r="T7448" i="5"/>
  <c r="J7448" i="5"/>
  <c r="T7447" i="5"/>
  <c r="J7447" i="5"/>
  <c r="T7446" i="5"/>
  <c r="J7446" i="5"/>
  <c r="T7445" i="5"/>
  <c r="J7445" i="5"/>
  <c r="K7445" i="5" s="1"/>
  <c r="T7444" i="5"/>
  <c r="J7444" i="5"/>
  <c r="T7443" i="5"/>
  <c r="J7443" i="5"/>
  <c r="T7442" i="5"/>
  <c r="J7442" i="5"/>
  <c r="T7441" i="5"/>
  <c r="J7441" i="5"/>
  <c r="K7441" i="5" s="1"/>
  <c r="L7441" i="5" s="1"/>
  <c r="T7440" i="5"/>
  <c r="J7440" i="5"/>
  <c r="K7440" i="5" s="1"/>
  <c r="T7439" i="5"/>
  <c r="J7439" i="5"/>
  <c r="T7438" i="5"/>
  <c r="J7438" i="5"/>
  <c r="K7438" i="5" s="1"/>
  <c r="L7438" i="5" s="1"/>
  <c r="T7437" i="5"/>
  <c r="J7437" i="5"/>
  <c r="T7436" i="5"/>
  <c r="J7436" i="5"/>
  <c r="T7435" i="5"/>
  <c r="J7435" i="5"/>
  <c r="K7435" i="5" s="1"/>
  <c r="L7435" i="5" s="1"/>
  <c r="P7435" i="5" s="1"/>
  <c r="T7434" i="5"/>
  <c r="J7434" i="5"/>
  <c r="T7433" i="5"/>
  <c r="J7433" i="5"/>
  <c r="T7432" i="5"/>
  <c r="J7432" i="5"/>
  <c r="K7432" i="5" s="1"/>
  <c r="T7431" i="5"/>
  <c r="J7431" i="5"/>
  <c r="K7431" i="5" s="1"/>
  <c r="L7431" i="5" s="1"/>
  <c r="P7431" i="5" s="1"/>
  <c r="T7430" i="5"/>
  <c r="J7430" i="5"/>
  <c r="K7430" i="5" s="1"/>
  <c r="T7429" i="5"/>
  <c r="J7429" i="5"/>
  <c r="T7428" i="5"/>
  <c r="J7428" i="5"/>
  <c r="K7428" i="5" s="1"/>
  <c r="T7427" i="5"/>
  <c r="J7427" i="5"/>
  <c r="K7427" i="5" s="1"/>
  <c r="T7426" i="5"/>
  <c r="J7426" i="5"/>
  <c r="T7425" i="5"/>
  <c r="J7425" i="5"/>
  <c r="T7424" i="5"/>
  <c r="J7424" i="5"/>
  <c r="T7423" i="5"/>
  <c r="J7423" i="5"/>
  <c r="T7422" i="5"/>
  <c r="J7422" i="5"/>
  <c r="K7422" i="5" s="1"/>
  <c r="L7422" i="5" s="1"/>
  <c r="T7421" i="5"/>
  <c r="J7421" i="5"/>
  <c r="T7420" i="5"/>
  <c r="J7420" i="5"/>
  <c r="T7419" i="5"/>
  <c r="J7419" i="5"/>
  <c r="T7418" i="5"/>
  <c r="J7418" i="5"/>
  <c r="K7418" i="5" s="1"/>
  <c r="T7417" i="5"/>
  <c r="J7417" i="5"/>
  <c r="T7416" i="5"/>
  <c r="J7416" i="5"/>
  <c r="T7415" i="5"/>
  <c r="J7415" i="5"/>
  <c r="T7414" i="5"/>
  <c r="J7414" i="5"/>
  <c r="T7413" i="5"/>
  <c r="J7413" i="5"/>
  <c r="K7413" i="5" s="1"/>
  <c r="T7412" i="5"/>
  <c r="J7412" i="5"/>
  <c r="K7412" i="5" s="1"/>
  <c r="T7411" i="5"/>
  <c r="J7411" i="5"/>
  <c r="T7410" i="5"/>
  <c r="J7410" i="5"/>
  <c r="T7409" i="5"/>
  <c r="J7409" i="5"/>
  <c r="T7408" i="5"/>
  <c r="J7408" i="5"/>
  <c r="T7407" i="5"/>
  <c r="J7407" i="5"/>
  <c r="T7406" i="5"/>
  <c r="J7406" i="5"/>
  <c r="T7405" i="5"/>
  <c r="J7405" i="5"/>
  <c r="T7404" i="5"/>
  <c r="J7404" i="5"/>
  <c r="T7403" i="5"/>
  <c r="J7403" i="5"/>
  <c r="K7403" i="5" s="1"/>
  <c r="T7402" i="5"/>
  <c r="J7402" i="5"/>
  <c r="K7402" i="5" s="1"/>
  <c r="T7401" i="5"/>
  <c r="J7401" i="5"/>
  <c r="T7400" i="5"/>
  <c r="J7400" i="5"/>
  <c r="K7400" i="5" s="1"/>
  <c r="T7399" i="5"/>
  <c r="J7399" i="5"/>
  <c r="K7399" i="5" s="1"/>
  <c r="T7398" i="5"/>
  <c r="J7398" i="5"/>
  <c r="T7397" i="5"/>
  <c r="J7397" i="5"/>
  <c r="T7396" i="5"/>
  <c r="J7396" i="5"/>
  <c r="T7395" i="5"/>
  <c r="J7395" i="5"/>
  <c r="K7395" i="5" s="1"/>
  <c r="L7395" i="5" s="1"/>
  <c r="T7394" i="5"/>
  <c r="J7394" i="5"/>
  <c r="T7393" i="5"/>
  <c r="J7393" i="5"/>
  <c r="T7392" i="5"/>
  <c r="J7392" i="5"/>
  <c r="T7391" i="5"/>
  <c r="J7391" i="5"/>
  <c r="T7390" i="5"/>
  <c r="J7390" i="5"/>
  <c r="K7390" i="5" s="1"/>
  <c r="L7390" i="5" s="1"/>
  <c r="T7389" i="5"/>
  <c r="J7389" i="5"/>
  <c r="K7389" i="5" s="1"/>
  <c r="L7389" i="5" s="1"/>
  <c r="T7388" i="5"/>
  <c r="J7388" i="5"/>
  <c r="K7388" i="5" s="1"/>
  <c r="L7388" i="5" s="1"/>
  <c r="T7387" i="5"/>
  <c r="J7387" i="5"/>
  <c r="T7386" i="5"/>
  <c r="J7386" i="5"/>
  <c r="T7385" i="5"/>
  <c r="J7385" i="5"/>
  <c r="T7384" i="5"/>
  <c r="J7384" i="5"/>
  <c r="K7384" i="5" s="1"/>
  <c r="T7383" i="5"/>
  <c r="J7383" i="5"/>
  <c r="T7382" i="5"/>
  <c r="J7382" i="5"/>
  <c r="K7382" i="5" s="1"/>
  <c r="T7381" i="5"/>
  <c r="J7381" i="5"/>
  <c r="T7380" i="5"/>
  <c r="J7380" i="5"/>
  <c r="T7379" i="5"/>
  <c r="J7379" i="5"/>
  <c r="K7379" i="5" s="1"/>
  <c r="T7378" i="5"/>
  <c r="J7378" i="5"/>
  <c r="K7378" i="5" s="1"/>
  <c r="T7377" i="5"/>
  <c r="J7377" i="5"/>
  <c r="T7376" i="5"/>
  <c r="J7376" i="5"/>
  <c r="T7375" i="5"/>
  <c r="J7375" i="5"/>
  <c r="K7375" i="5" s="1"/>
  <c r="T7374" i="5"/>
  <c r="J7374" i="5"/>
  <c r="T7373" i="5"/>
  <c r="J7373" i="5"/>
  <c r="T7372" i="5"/>
  <c r="J7372" i="5"/>
  <c r="K7372" i="5" s="1"/>
  <c r="T7371" i="5"/>
  <c r="J7371" i="5"/>
  <c r="K7371" i="5" s="1"/>
  <c r="L7371" i="5" s="1"/>
  <c r="T7370" i="5"/>
  <c r="J7370" i="5"/>
  <c r="T7369" i="5"/>
  <c r="J7369" i="5"/>
  <c r="T7368" i="5"/>
  <c r="J7368" i="5"/>
  <c r="K7368" i="5" s="1"/>
  <c r="T7367" i="5"/>
  <c r="J7367" i="5"/>
  <c r="T7366" i="5"/>
  <c r="J7366" i="5"/>
  <c r="T7365" i="5"/>
  <c r="J7365" i="5"/>
  <c r="T7364" i="5"/>
  <c r="J7364" i="5"/>
  <c r="K7364" i="5" s="1"/>
  <c r="L7364" i="5" s="1"/>
  <c r="T7363" i="5"/>
  <c r="J7363" i="5"/>
  <c r="T7362" i="5"/>
  <c r="J7362" i="5"/>
  <c r="K7362" i="5" s="1"/>
  <c r="T7361" i="5"/>
  <c r="J7361" i="5"/>
  <c r="K7361" i="5" s="1"/>
  <c r="T7360" i="5"/>
  <c r="J7360" i="5"/>
  <c r="T7359" i="5"/>
  <c r="J7359" i="5"/>
  <c r="T7358" i="5"/>
  <c r="J7358" i="5"/>
  <c r="K7358" i="5" s="1"/>
  <c r="T7357" i="5"/>
  <c r="J7357" i="5"/>
  <c r="K7357" i="5" s="1"/>
  <c r="L7357" i="5" s="1"/>
  <c r="P7357" i="5" s="1"/>
  <c r="T7356" i="5"/>
  <c r="J7356" i="5"/>
  <c r="T7355" i="5"/>
  <c r="J7355" i="5"/>
  <c r="T7354" i="5"/>
  <c r="J7354" i="5"/>
  <c r="T7353" i="5"/>
  <c r="J7353" i="5"/>
  <c r="T7352" i="5"/>
  <c r="J7352" i="5"/>
  <c r="T7351" i="5"/>
  <c r="J7351" i="5"/>
  <c r="K7351" i="5" s="1"/>
  <c r="T7350" i="5"/>
  <c r="J7350" i="5"/>
  <c r="K7350" i="5" s="1"/>
  <c r="T7349" i="5"/>
  <c r="J7349" i="5"/>
  <c r="K7349" i="5" s="1"/>
  <c r="T7348" i="5"/>
  <c r="J7348" i="5"/>
  <c r="T7347" i="5"/>
  <c r="J7347" i="5"/>
  <c r="T7346" i="5"/>
  <c r="J7346" i="5"/>
  <c r="K7346" i="5" s="1"/>
  <c r="T7345" i="5"/>
  <c r="J7345" i="5"/>
  <c r="K7345" i="5" s="1"/>
  <c r="T7344" i="5"/>
  <c r="J7344" i="5"/>
  <c r="K7344" i="5" s="1"/>
  <c r="T7343" i="5"/>
  <c r="J7343" i="5"/>
  <c r="T7342" i="5"/>
  <c r="J7342" i="5"/>
  <c r="K7342" i="5" s="1"/>
  <c r="T7341" i="5"/>
  <c r="J7341" i="5"/>
  <c r="K7341" i="5" s="1"/>
  <c r="T7340" i="5"/>
  <c r="J7340" i="5"/>
  <c r="T7339" i="5"/>
  <c r="J7339" i="5"/>
  <c r="T7338" i="5"/>
  <c r="J7338" i="5"/>
  <c r="T7337" i="5"/>
  <c r="J7337" i="5"/>
  <c r="K7337" i="5" s="1"/>
  <c r="T7336" i="5"/>
  <c r="J7336" i="5"/>
  <c r="K7336" i="5" s="1"/>
  <c r="T7335" i="5"/>
  <c r="J7335" i="5"/>
  <c r="T7334" i="5"/>
  <c r="J7334" i="5"/>
  <c r="K7334" i="5" s="1"/>
  <c r="T7333" i="5"/>
  <c r="J7333" i="5"/>
  <c r="T7332" i="5"/>
  <c r="J7332" i="5"/>
  <c r="T7331" i="5"/>
  <c r="J7331" i="5"/>
  <c r="K7331" i="5" s="1"/>
  <c r="L7331" i="5" s="1"/>
  <c r="P7331" i="5" s="1"/>
  <c r="T7330" i="5"/>
  <c r="J7330" i="5"/>
  <c r="K7330" i="5" s="1"/>
  <c r="T7329" i="5"/>
  <c r="J7329" i="5"/>
  <c r="K7329" i="5" s="1"/>
  <c r="T7328" i="5"/>
  <c r="J7328" i="5"/>
  <c r="T7327" i="5"/>
  <c r="J7327" i="5"/>
  <c r="T7326" i="5"/>
  <c r="J7326" i="5"/>
  <c r="T7325" i="5"/>
  <c r="J7325" i="5"/>
  <c r="K7325" i="5" s="1"/>
  <c r="T7324" i="5"/>
  <c r="J7324" i="5"/>
  <c r="K7324" i="5" s="1"/>
  <c r="T7323" i="5"/>
  <c r="J7323" i="5"/>
  <c r="T7322" i="5"/>
  <c r="J7322" i="5"/>
  <c r="T7321" i="5"/>
  <c r="J7321" i="5"/>
  <c r="K7321" i="5" s="1"/>
  <c r="T7320" i="5"/>
  <c r="J7320" i="5"/>
  <c r="T7319" i="5"/>
  <c r="J7319" i="5"/>
  <c r="K7319" i="5" s="1"/>
  <c r="T7318" i="5"/>
  <c r="J7318" i="5"/>
  <c r="T7317" i="5"/>
  <c r="J7317" i="5"/>
  <c r="K7317" i="5" s="1"/>
  <c r="T7316" i="5"/>
  <c r="J7316" i="5"/>
  <c r="T7315" i="5"/>
  <c r="J7315" i="5"/>
  <c r="T7314" i="5"/>
  <c r="J7314" i="5"/>
  <c r="T7313" i="5"/>
  <c r="J7313" i="5"/>
  <c r="T7312" i="5"/>
  <c r="J7312" i="5"/>
  <c r="T7311" i="5"/>
  <c r="J7311" i="5"/>
  <c r="T7310" i="5"/>
  <c r="J7310" i="5"/>
  <c r="T7309" i="5"/>
  <c r="J7309" i="5"/>
  <c r="K7309" i="5" s="1"/>
  <c r="T7308" i="5"/>
  <c r="J7308" i="5"/>
  <c r="T7307" i="5"/>
  <c r="J7307" i="5"/>
  <c r="K7307" i="5" s="1"/>
  <c r="T7306" i="5"/>
  <c r="J7306" i="5"/>
  <c r="K7306" i="5" s="1"/>
  <c r="T7305" i="5"/>
  <c r="J7305" i="5"/>
  <c r="T7304" i="5"/>
  <c r="J7304" i="5"/>
  <c r="T7303" i="5"/>
  <c r="J7303" i="5"/>
  <c r="K7303" i="5" s="1"/>
  <c r="T7302" i="5"/>
  <c r="J7302" i="5"/>
  <c r="K7302" i="5" s="1"/>
  <c r="T7301" i="5"/>
  <c r="J7301" i="5"/>
  <c r="T7300" i="5"/>
  <c r="J7300" i="5"/>
  <c r="K7300" i="5" s="1"/>
  <c r="T7299" i="5"/>
  <c r="J7299" i="5"/>
  <c r="K7299" i="5" s="1"/>
  <c r="L7299" i="5" s="1"/>
  <c r="T7298" i="5"/>
  <c r="J7298" i="5"/>
  <c r="K7298" i="5" s="1"/>
  <c r="L7298" i="5" s="1"/>
  <c r="T7297" i="5"/>
  <c r="J7297" i="5"/>
  <c r="T7296" i="5"/>
  <c r="J7296" i="5"/>
  <c r="T7295" i="5"/>
  <c r="J7295" i="5"/>
  <c r="K7295" i="5" s="1"/>
  <c r="T7294" i="5"/>
  <c r="J7294" i="5"/>
  <c r="T7293" i="5"/>
  <c r="J7293" i="5"/>
  <c r="T7292" i="5"/>
  <c r="J7292" i="5"/>
  <c r="K7292" i="5" s="1"/>
  <c r="L7292" i="5" s="1"/>
  <c r="P7292" i="5" s="1"/>
  <c r="T7291" i="5"/>
  <c r="J7291" i="5"/>
  <c r="K7291" i="5" s="1"/>
  <c r="T7290" i="5"/>
  <c r="J7290" i="5"/>
  <c r="K7290" i="5" s="1"/>
  <c r="T7289" i="5"/>
  <c r="J7289" i="5"/>
  <c r="K7289" i="5" s="1"/>
  <c r="T7288" i="5"/>
  <c r="J7288" i="5"/>
  <c r="K7288" i="5" s="1"/>
  <c r="L7288" i="5" s="1"/>
  <c r="T7287" i="5"/>
  <c r="J7287" i="5"/>
  <c r="K7287" i="5" s="1"/>
  <c r="L7287" i="5" s="1"/>
  <c r="T7286" i="5"/>
  <c r="J7286" i="5"/>
  <c r="K7286" i="5" s="1"/>
  <c r="T7285" i="5"/>
  <c r="J7285" i="5"/>
  <c r="T7284" i="5"/>
  <c r="J7284" i="5"/>
  <c r="K7284" i="5" s="1"/>
  <c r="L7284" i="5" s="1"/>
  <c r="T7283" i="5"/>
  <c r="J7283" i="5"/>
  <c r="T7282" i="5"/>
  <c r="J7282" i="5"/>
  <c r="K7282" i="5" s="1"/>
  <c r="T7281" i="5"/>
  <c r="J7281" i="5"/>
  <c r="K7281" i="5" s="1"/>
  <c r="L7281" i="5" s="1"/>
  <c r="T7280" i="5"/>
  <c r="J7280" i="5"/>
  <c r="T7279" i="5"/>
  <c r="J7279" i="5"/>
  <c r="K7279" i="5" s="1"/>
  <c r="T7278" i="5"/>
  <c r="J7278" i="5"/>
  <c r="T7277" i="5"/>
  <c r="J7277" i="5"/>
  <c r="K7277" i="5" s="1"/>
  <c r="T7276" i="5"/>
  <c r="J7276" i="5"/>
  <c r="T7275" i="5"/>
  <c r="J7275" i="5"/>
  <c r="K7275" i="5" s="1"/>
  <c r="T7274" i="5"/>
  <c r="J7274" i="5"/>
  <c r="T7273" i="5"/>
  <c r="J7273" i="5"/>
  <c r="K7273" i="5" s="1"/>
  <c r="T7272" i="5"/>
  <c r="J7272" i="5"/>
  <c r="T7271" i="5"/>
  <c r="J7271" i="5"/>
  <c r="K7271" i="5" s="1"/>
  <c r="T7270" i="5"/>
  <c r="J7270" i="5"/>
  <c r="T7269" i="5"/>
  <c r="J7269" i="5"/>
  <c r="K7269" i="5" s="1"/>
  <c r="T7268" i="5"/>
  <c r="J7268" i="5"/>
  <c r="K7268" i="5" s="1"/>
  <c r="T7267" i="5"/>
  <c r="J7267" i="5"/>
  <c r="T7266" i="5"/>
  <c r="J7266" i="5"/>
  <c r="T7265" i="5"/>
  <c r="J7265" i="5"/>
  <c r="K7265" i="5" s="1"/>
  <c r="T7264" i="5"/>
  <c r="J7264" i="5"/>
  <c r="K7264" i="5" s="1"/>
  <c r="T7263" i="5"/>
  <c r="J7263" i="5"/>
  <c r="T7262" i="5"/>
  <c r="J7262" i="5"/>
  <c r="K7262" i="5" s="1"/>
  <c r="T7261" i="5"/>
  <c r="J7261" i="5"/>
  <c r="K7261" i="5" s="1"/>
  <c r="T7260" i="5"/>
  <c r="J7260" i="5"/>
  <c r="K7260" i="5" s="1"/>
  <c r="T7259" i="5"/>
  <c r="J7259" i="5"/>
  <c r="K7259" i="5" s="1"/>
  <c r="T7258" i="5"/>
  <c r="J7258" i="5"/>
  <c r="K7258" i="5" s="1"/>
  <c r="T7257" i="5"/>
  <c r="J7257" i="5"/>
  <c r="K7257" i="5" s="1"/>
  <c r="T7256" i="5"/>
  <c r="J7256" i="5"/>
  <c r="K7256" i="5" s="1"/>
  <c r="L7256" i="5" s="1"/>
  <c r="P7256" i="5" s="1"/>
  <c r="T7255" i="5"/>
  <c r="J7255" i="5"/>
  <c r="T7254" i="5"/>
  <c r="J7254" i="5"/>
  <c r="T7253" i="5"/>
  <c r="J7253" i="5"/>
  <c r="T7252" i="5"/>
  <c r="J7252" i="5"/>
  <c r="K7252" i="5" s="1"/>
  <c r="T7251" i="5"/>
  <c r="J7251" i="5"/>
  <c r="K7251" i="5" s="1"/>
  <c r="L7251" i="5" s="1"/>
  <c r="T7250" i="5"/>
  <c r="J7250" i="5"/>
  <c r="K7250" i="5" s="1"/>
  <c r="T7249" i="5"/>
  <c r="J7249" i="5"/>
  <c r="K7249" i="5" s="1"/>
  <c r="T7248" i="5"/>
  <c r="J7248" i="5"/>
  <c r="T7247" i="5"/>
  <c r="J7247" i="5"/>
  <c r="T7246" i="5"/>
  <c r="J7246" i="5"/>
  <c r="T7245" i="5"/>
  <c r="J7245" i="5"/>
  <c r="K7245" i="5" s="1"/>
  <c r="L7245" i="5" s="1"/>
  <c r="T7244" i="5"/>
  <c r="J7244" i="5"/>
  <c r="T7243" i="5"/>
  <c r="J7243" i="5"/>
  <c r="K7243" i="5" s="1"/>
  <c r="T7242" i="5"/>
  <c r="J7242" i="5"/>
  <c r="T7241" i="5"/>
  <c r="J7241" i="5"/>
  <c r="K7241" i="5" s="1"/>
  <c r="T7240" i="5"/>
  <c r="J7240" i="5"/>
  <c r="T7239" i="5"/>
  <c r="J7239" i="5"/>
  <c r="T7238" i="5"/>
  <c r="J7238" i="5"/>
  <c r="K7238" i="5" s="1"/>
  <c r="T7237" i="5"/>
  <c r="J7237" i="5"/>
  <c r="K7237" i="5" s="1"/>
  <c r="L7237" i="5" s="1"/>
  <c r="T7236" i="5"/>
  <c r="J7236" i="5"/>
  <c r="T7235" i="5"/>
  <c r="J7235" i="5"/>
  <c r="T7234" i="5"/>
  <c r="J7234" i="5"/>
  <c r="B7491" i="5"/>
  <c r="M7491" i="5" s="1"/>
  <c r="B7492" i="5"/>
  <c r="Q7492" i="5" s="1"/>
  <c r="B7493" i="5"/>
  <c r="Q7493" i="5" s="1"/>
  <c r="B7487" i="5"/>
  <c r="Q7487" i="5" s="1"/>
  <c r="B7488" i="5"/>
  <c r="Q7488" i="5" s="1"/>
  <c r="B7489" i="5"/>
  <c r="Q7489" i="5" s="1"/>
  <c r="B7490" i="5"/>
  <c r="M7490" i="5" s="1"/>
  <c r="B7486" i="5"/>
  <c r="Q7486" i="5" s="1"/>
  <c r="B7485" i="5"/>
  <c r="Q7485" i="5" s="1"/>
  <c r="B7481" i="5"/>
  <c r="Q7481" i="5" s="1"/>
  <c r="B7482" i="5"/>
  <c r="Q7482" i="5" s="1"/>
  <c r="B7483" i="5"/>
  <c r="M7483" i="5" s="1"/>
  <c r="B7484" i="5"/>
  <c r="Q7484" i="5" s="1"/>
  <c r="B7477" i="5"/>
  <c r="M7477" i="5" s="1"/>
  <c r="B7478" i="5"/>
  <c r="M7478" i="5" s="1"/>
  <c r="B7479" i="5"/>
  <c r="Q7479" i="5" s="1"/>
  <c r="B7480" i="5"/>
  <c r="M7480" i="5" s="1"/>
  <c r="B7476" i="5"/>
  <c r="Q7476" i="5" s="1"/>
  <c r="B7471" i="5"/>
  <c r="M7471" i="5" s="1"/>
  <c r="B7472" i="5"/>
  <c r="M7472" i="5" s="1"/>
  <c r="B7473" i="5"/>
  <c r="Q7473" i="5" s="1"/>
  <c r="B7474" i="5"/>
  <c r="M7474" i="5" s="1"/>
  <c r="B7475" i="5"/>
  <c r="M7475" i="5" s="1"/>
  <c r="B7469" i="5"/>
  <c r="M7469" i="5" s="1"/>
  <c r="B7470" i="5"/>
  <c r="Q7470" i="5" s="1"/>
  <c r="B7468" i="5"/>
  <c r="Q7468" i="5" s="1"/>
  <c r="B7466" i="5"/>
  <c r="Q7466" i="5" s="1"/>
  <c r="B7467" i="5"/>
  <c r="Q7467" i="5" s="1"/>
  <c r="B7462" i="5"/>
  <c r="M7462" i="5" s="1"/>
  <c r="B7463" i="5"/>
  <c r="Q7463" i="5" s="1"/>
  <c r="B7464" i="5"/>
  <c r="Q7464" i="5" s="1"/>
  <c r="B7465" i="5"/>
  <c r="M7465" i="5" s="1"/>
  <c r="B7460" i="5"/>
  <c r="Q7460" i="5" s="1"/>
  <c r="B7461" i="5"/>
  <c r="M7461" i="5" s="1"/>
  <c r="B7457" i="5"/>
  <c r="Q7457" i="5" s="1"/>
  <c r="B7458" i="5"/>
  <c r="Q7458" i="5" s="1"/>
  <c r="B7459" i="5"/>
  <c r="M7459" i="5" s="1"/>
  <c r="B7453" i="5"/>
  <c r="Q7453" i="5" s="1"/>
  <c r="B7454" i="5"/>
  <c r="Q7454" i="5" s="1"/>
  <c r="B7455" i="5"/>
  <c r="Q7455" i="5" s="1"/>
  <c r="B7456" i="5"/>
  <c r="M7456" i="5" s="1"/>
  <c r="B7452" i="5"/>
  <c r="Q7452" i="5" s="1"/>
  <c r="B7449" i="5"/>
  <c r="Q7449" i="5" s="1"/>
  <c r="B7450" i="5"/>
  <c r="Q7450" i="5" s="1"/>
  <c r="B7451" i="5"/>
  <c r="M7451" i="5" s="1"/>
  <c r="B7446" i="5"/>
  <c r="Q7446" i="5" s="1"/>
  <c r="B7447" i="5"/>
  <c r="M7447" i="5" s="1"/>
  <c r="B7448" i="5"/>
  <c r="M7448" i="5" s="1"/>
  <c r="B7445" i="5"/>
  <c r="Q7445" i="5" s="1"/>
  <c r="B7442" i="5"/>
  <c r="Q7442" i="5" s="1"/>
  <c r="B7443" i="5"/>
  <c r="Q7443" i="5" s="1"/>
  <c r="B7444" i="5"/>
  <c r="M7444" i="5" s="1"/>
  <c r="B7437" i="5"/>
  <c r="Q7437" i="5" s="1"/>
  <c r="B7438" i="5"/>
  <c r="Q7438" i="5" s="1"/>
  <c r="B7439" i="5"/>
  <c r="Q7439" i="5" s="1"/>
  <c r="B7440" i="5"/>
  <c r="M7440" i="5" s="1"/>
  <c r="B7441" i="5"/>
  <c r="M7441" i="5" s="1"/>
  <c r="B7434" i="5"/>
  <c r="Q7434" i="5" s="1"/>
  <c r="B7435" i="5"/>
  <c r="Q7435" i="5" s="1"/>
  <c r="B7436" i="5"/>
  <c r="Q7436" i="5" s="1"/>
  <c r="B7432" i="5"/>
  <c r="Q7432" i="5" s="1"/>
  <c r="B7433" i="5"/>
  <c r="Q7433" i="5" s="1"/>
  <c r="B7430" i="5"/>
  <c r="Q7430" i="5" s="1"/>
  <c r="B7431" i="5"/>
  <c r="Q7431" i="5" s="1"/>
  <c r="B7428" i="5"/>
  <c r="Q7428" i="5" s="1"/>
  <c r="B7429" i="5"/>
  <c r="Q7429" i="5" s="1"/>
  <c r="B7425" i="5"/>
  <c r="Q7425" i="5" s="1"/>
  <c r="B7426" i="5"/>
  <c r="M7426" i="5" s="1"/>
  <c r="B7427" i="5"/>
  <c r="Q7427" i="5" s="1"/>
  <c r="B7423" i="5"/>
  <c r="Q7423" i="5" s="1"/>
  <c r="B7424" i="5"/>
  <c r="Q7424" i="5" s="1"/>
  <c r="B7422" i="5"/>
  <c r="Q7422" i="5" s="1"/>
  <c r="B7421" i="5"/>
  <c r="Q7421" i="5" s="1"/>
  <c r="B7417" i="5"/>
  <c r="M7417" i="5" s="1"/>
  <c r="B7418" i="5"/>
  <c r="M7418" i="5" s="1"/>
  <c r="B7419" i="5"/>
  <c r="M7419" i="5" s="1"/>
  <c r="B7420" i="5"/>
  <c r="Q7420" i="5" s="1"/>
  <c r="B7414" i="5"/>
  <c r="Q7414" i="5" s="1"/>
  <c r="B7415" i="5"/>
  <c r="Q7415" i="5" s="1"/>
  <c r="B7416" i="5"/>
  <c r="M7416" i="5" s="1"/>
  <c r="B7412" i="5"/>
  <c r="Q7412" i="5" s="1"/>
  <c r="B7413" i="5"/>
  <c r="Q7413" i="5" s="1"/>
  <c r="B7411" i="5"/>
  <c r="Q7411" i="5" s="1"/>
  <c r="B7410" i="5"/>
  <c r="M7410" i="5" s="1"/>
  <c r="B7409" i="5"/>
  <c r="Q7409" i="5" s="1"/>
  <c r="B7407" i="5"/>
  <c r="Q7407" i="5" s="1"/>
  <c r="B7408" i="5"/>
  <c r="Q7408" i="5" s="1"/>
  <c r="B7406" i="5"/>
  <c r="Q7406" i="5" s="1"/>
  <c r="B7405" i="5"/>
  <c r="Q7405" i="5" s="1"/>
  <c r="B7403" i="5"/>
  <c r="M7403" i="5" s="1"/>
  <c r="B7404" i="5"/>
  <c r="Q7404" i="5" s="1"/>
  <c r="B7402" i="5"/>
  <c r="Q7402" i="5" s="1"/>
  <c r="B7401" i="5"/>
  <c r="Q7401" i="5" s="1"/>
  <c r="B7399" i="5"/>
  <c r="Q7399" i="5" s="1"/>
  <c r="B7400" i="5"/>
  <c r="M7400" i="5" s="1"/>
  <c r="B7398" i="5"/>
  <c r="M7398" i="5" s="1"/>
  <c r="B7397" i="5"/>
  <c r="M7397" i="5" s="1"/>
  <c r="B7395" i="5"/>
  <c r="M7395" i="5" s="1"/>
  <c r="B7396" i="5"/>
  <c r="M7396" i="5" s="1"/>
  <c r="B7393" i="5"/>
  <c r="M7393" i="5" s="1"/>
  <c r="B7394" i="5"/>
  <c r="Q7394" i="5" s="1"/>
  <c r="B7392" i="5"/>
  <c r="Q7392" i="5" s="1"/>
  <c r="B7391" i="5"/>
  <c r="M7391" i="5" s="1"/>
  <c r="B7390" i="5"/>
  <c r="M7390" i="5" s="1"/>
  <c r="B7389" i="5"/>
  <c r="Q7389" i="5" s="1"/>
  <c r="B7388" i="5"/>
  <c r="Q7388" i="5" s="1"/>
  <c r="B7387" i="5"/>
  <c r="Q7387" i="5" s="1"/>
  <c r="B7385" i="5"/>
  <c r="M7385" i="5" s="1"/>
  <c r="B7386" i="5"/>
  <c r="Q7386" i="5" s="1"/>
  <c r="B7384" i="5"/>
  <c r="Q7384" i="5" s="1"/>
  <c r="B7382" i="5"/>
  <c r="M7382" i="5" s="1"/>
  <c r="B7383" i="5"/>
  <c r="M7383" i="5" s="1"/>
  <c r="B7381" i="5"/>
  <c r="Q7381" i="5" s="1"/>
  <c r="B7379" i="5"/>
  <c r="Q7379" i="5" s="1"/>
  <c r="B7380" i="5"/>
  <c r="Q7380" i="5" s="1"/>
  <c r="B7378" i="5"/>
  <c r="Q7378" i="5" s="1"/>
  <c r="B7377" i="5"/>
  <c r="M7377" i="5" s="1"/>
  <c r="B7376" i="5"/>
  <c r="M7376" i="5" s="1"/>
  <c r="B7375" i="5"/>
  <c r="M7375" i="5" s="1"/>
  <c r="B7373" i="5"/>
  <c r="Q7373" i="5" s="1"/>
  <c r="B7374" i="5"/>
  <c r="Q7374" i="5" s="1"/>
  <c r="B7372" i="5"/>
  <c r="M7372" i="5" s="1"/>
  <c r="B7370" i="5"/>
  <c r="Q7370" i="5" s="1"/>
  <c r="B7371" i="5"/>
  <c r="Q7371" i="5" s="1"/>
  <c r="B7369" i="5"/>
  <c r="Q7369" i="5" s="1"/>
  <c r="B7368" i="5"/>
  <c r="M7368" i="5" s="1"/>
  <c r="B7367" i="5"/>
  <c r="M7367" i="5" s="1"/>
  <c r="B7366" i="5"/>
  <c r="Q7366" i="5" s="1"/>
  <c r="B7365" i="5"/>
  <c r="M7365" i="5" s="1"/>
  <c r="B7360" i="5"/>
  <c r="M7360" i="5" s="1"/>
  <c r="B7361" i="5"/>
  <c r="Q7361" i="5" s="1"/>
  <c r="B7362" i="5"/>
  <c r="M7362" i="5" s="1"/>
  <c r="B7363" i="5"/>
  <c r="M7363" i="5" s="1"/>
  <c r="B7364" i="5"/>
  <c r="Q7364" i="5" s="1"/>
  <c r="B7359" i="5"/>
  <c r="Q7359" i="5" s="1"/>
  <c r="B7357" i="5"/>
  <c r="Q7357" i="5" s="1"/>
  <c r="B7358" i="5"/>
  <c r="Q7358" i="5" s="1"/>
  <c r="B7353" i="5"/>
  <c r="Q7353" i="5" s="1"/>
  <c r="B7354" i="5"/>
  <c r="Q7354" i="5" s="1"/>
  <c r="B7355" i="5"/>
  <c r="M7355" i="5" s="1"/>
  <c r="B7356" i="5"/>
  <c r="Q7356" i="5" s="1"/>
  <c r="B7351" i="5"/>
  <c r="Q7351" i="5" s="1"/>
  <c r="B7352" i="5"/>
  <c r="Q7352" i="5" s="1"/>
  <c r="B7347" i="5"/>
  <c r="Q7347" i="5" s="1"/>
  <c r="B7348" i="5"/>
  <c r="M7348" i="5" s="1"/>
  <c r="B7349" i="5"/>
  <c r="Q7349" i="5" s="1"/>
  <c r="B7350" i="5"/>
  <c r="M7350" i="5" s="1"/>
  <c r="B7346" i="5"/>
  <c r="Q7346" i="5" s="1"/>
  <c r="B7344" i="5"/>
  <c r="Q7344" i="5" s="1"/>
  <c r="B7345" i="5"/>
  <c r="M7345" i="5" s="1"/>
  <c r="B7343" i="5"/>
  <c r="Q7343" i="5" s="1"/>
  <c r="B7340" i="5"/>
  <c r="M7340" i="5" s="1"/>
  <c r="B7341" i="5"/>
  <c r="M7341" i="5" s="1"/>
  <c r="B7342" i="5"/>
  <c r="M7342" i="5" s="1"/>
  <c r="B7336" i="5"/>
  <c r="Q7336" i="5" s="1"/>
  <c r="B7337" i="5"/>
  <c r="Q7337" i="5" s="1"/>
  <c r="B7338" i="5"/>
  <c r="Q7338" i="5" s="1"/>
  <c r="B7339" i="5"/>
  <c r="Q7339" i="5" s="1"/>
  <c r="B7335" i="5"/>
  <c r="M7335" i="5" s="1"/>
  <c r="B7332" i="5"/>
  <c r="M7332" i="5" s="1"/>
  <c r="B7333" i="5"/>
  <c r="M7333" i="5" s="1"/>
  <c r="B7334" i="5"/>
  <c r="M7334" i="5" s="1"/>
  <c r="B7330" i="5"/>
  <c r="Q7330" i="5" s="1"/>
  <c r="B7331" i="5"/>
  <c r="Q7331" i="5" s="1"/>
  <c r="B7325" i="5"/>
  <c r="M7325" i="5" s="1"/>
  <c r="B7326" i="5"/>
  <c r="Q7326" i="5" s="1"/>
  <c r="B7327" i="5"/>
  <c r="Q7327" i="5" s="1"/>
  <c r="B7328" i="5"/>
  <c r="M7328" i="5" s="1"/>
  <c r="B7329" i="5"/>
  <c r="Q7329" i="5" s="1"/>
  <c r="B7323" i="5"/>
  <c r="M7323" i="5" s="1"/>
  <c r="B7324" i="5"/>
  <c r="Q7324" i="5" s="1"/>
  <c r="B7322" i="5"/>
  <c r="Q7322" i="5" s="1"/>
  <c r="B7321" i="5"/>
  <c r="M7321" i="5" s="1"/>
  <c r="B7319" i="5"/>
  <c r="M7319" i="5" s="1"/>
  <c r="B7320" i="5"/>
  <c r="Q7320" i="5" s="1"/>
  <c r="B7318" i="5"/>
  <c r="M7318" i="5" s="1"/>
  <c r="B7316" i="5"/>
  <c r="Q7316" i="5" s="1"/>
  <c r="B7317" i="5"/>
  <c r="Q7317" i="5" s="1"/>
  <c r="B7313" i="5"/>
  <c r="Q7313" i="5" s="1"/>
  <c r="B7314" i="5"/>
  <c r="M7314" i="5" s="1"/>
  <c r="B7315" i="5"/>
  <c r="M7315" i="5" s="1"/>
  <c r="B7312" i="5"/>
  <c r="Q7312" i="5" s="1"/>
  <c r="B7311" i="5"/>
  <c r="M7311" i="5" s="1"/>
  <c r="B7309" i="5"/>
  <c r="M7309" i="5" s="1"/>
  <c r="B7310" i="5"/>
  <c r="Q7310" i="5" s="1"/>
  <c r="B7308" i="5"/>
  <c r="M7308" i="5" s="1"/>
  <c r="B7304" i="5"/>
  <c r="Q7304" i="5" s="1"/>
  <c r="B7305" i="5"/>
  <c r="M7305" i="5" s="1"/>
  <c r="B7306" i="5"/>
  <c r="Q7306" i="5" s="1"/>
  <c r="B7307" i="5"/>
  <c r="M7307" i="5" s="1"/>
  <c r="B7302" i="5"/>
  <c r="M7302" i="5" s="1"/>
  <c r="B7303" i="5"/>
  <c r="M7303" i="5" s="1"/>
  <c r="B7300" i="5"/>
  <c r="M7300" i="5" s="1"/>
  <c r="B7301" i="5"/>
  <c r="Q7301" i="5" s="1"/>
  <c r="B7299" i="5"/>
  <c r="Q7299" i="5" s="1"/>
  <c r="B7297" i="5"/>
  <c r="Q7297" i="5" s="1"/>
  <c r="B7298" i="5"/>
  <c r="M7298" i="5" s="1"/>
  <c r="B7295" i="5"/>
  <c r="Q7295" i="5" s="1"/>
  <c r="B7296" i="5"/>
  <c r="Q7296" i="5" s="1"/>
  <c r="B7292" i="5"/>
  <c r="Q7292" i="5" s="1"/>
  <c r="B7293" i="5"/>
  <c r="Q7293" i="5" s="1"/>
  <c r="B7294" i="5"/>
  <c r="Q7294" i="5" s="1"/>
  <c r="B7290" i="5"/>
  <c r="Q7290" i="5" s="1"/>
  <c r="B7291" i="5"/>
  <c r="M7291" i="5" s="1"/>
  <c r="B7286" i="5"/>
  <c r="Q7286" i="5" s="1"/>
  <c r="B7287" i="5"/>
  <c r="M7287" i="5" s="1"/>
  <c r="B7288" i="5"/>
  <c r="Q7288" i="5" s="1"/>
  <c r="B7289" i="5"/>
  <c r="M7289" i="5" s="1"/>
  <c r="B7285" i="5"/>
  <c r="Q7285" i="5" s="1"/>
  <c r="B7284" i="5"/>
  <c r="Q7284" i="5" s="1"/>
  <c r="B7281" i="5"/>
  <c r="Q7281" i="5" s="1"/>
  <c r="B7282" i="5"/>
  <c r="Q7282" i="5" s="1"/>
  <c r="B7283" i="5"/>
  <c r="Q7283" i="5" s="1"/>
  <c r="B7278" i="5"/>
  <c r="M7278" i="5" s="1"/>
  <c r="B7279" i="5"/>
  <c r="M7279" i="5" s="1"/>
  <c r="B7280" i="5"/>
  <c r="Q7280" i="5" s="1"/>
  <c r="B7275" i="5"/>
  <c r="M7275" i="5" s="1"/>
  <c r="B7276" i="5"/>
  <c r="Q7276" i="5" s="1"/>
  <c r="B7277" i="5"/>
  <c r="M7277" i="5" s="1"/>
  <c r="B7274" i="5"/>
  <c r="M7274" i="5" s="1"/>
  <c r="B7272" i="5"/>
  <c r="Q7272" i="5" s="1"/>
  <c r="B7273" i="5"/>
  <c r="Q7273" i="5" s="1"/>
  <c r="B7271" i="5"/>
  <c r="M7271" i="5" s="1"/>
  <c r="B7270" i="5"/>
  <c r="M7270" i="5" s="1"/>
  <c r="B7269" i="5"/>
  <c r="Q7269" i="5" s="1"/>
  <c r="B7268" i="5"/>
  <c r="M7268" i="5" s="1"/>
  <c r="B7265" i="5"/>
  <c r="M7265" i="5" s="1"/>
  <c r="B7266" i="5"/>
  <c r="Q7266" i="5" s="1"/>
  <c r="B7267" i="5"/>
  <c r="M7267" i="5" s="1"/>
  <c r="B7263" i="5"/>
  <c r="M7263" i="5" s="1"/>
  <c r="B7264" i="5"/>
  <c r="M7264" i="5" s="1"/>
  <c r="B7261" i="5"/>
  <c r="Q7261" i="5" s="1"/>
  <c r="B7262" i="5"/>
  <c r="Q7262" i="5" s="1"/>
  <c r="B7259" i="5"/>
  <c r="Q7259" i="5" s="1"/>
  <c r="B7260" i="5"/>
  <c r="Q7260" i="5" s="1"/>
  <c r="B7257" i="5"/>
  <c r="M7257" i="5" s="1"/>
  <c r="B7258" i="5"/>
  <c r="M7258" i="5" s="1"/>
  <c r="B7256" i="5"/>
  <c r="M7256" i="5" s="1"/>
  <c r="B7254" i="5"/>
  <c r="M7254" i="5" s="1"/>
  <c r="B7255" i="5"/>
  <c r="Q7255" i="5" s="1"/>
  <c r="B7253" i="5"/>
  <c r="M7253" i="5" s="1"/>
  <c r="B7249" i="5"/>
  <c r="M7249" i="5" s="1"/>
  <c r="B7250" i="5"/>
  <c r="M7250" i="5" s="1"/>
  <c r="B7251" i="5"/>
  <c r="Q7251" i="5" s="1"/>
  <c r="B7252" i="5"/>
  <c r="Q7252" i="5" s="1"/>
  <c r="B7238" i="5"/>
  <c r="M7238" i="5" s="1"/>
  <c r="B7239" i="5"/>
  <c r="M7239" i="5" s="1"/>
  <c r="B7240" i="5"/>
  <c r="Q7240" i="5" s="1"/>
  <c r="B7241" i="5"/>
  <c r="Q7241" i="5" s="1"/>
  <c r="B7242" i="5"/>
  <c r="M7242" i="5" s="1"/>
  <c r="B7243" i="5"/>
  <c r="Q7243" i="5" s="1"/>
  <c r="B7244" i="5"/>
  <c r="Q7244" i="5" s="1"/>
  <c r="B7245" i="5"/>
  <c r="M7245" i="5" s="1"/>
  <c r="B7246" i="5"/>
  <c r="M7246" i="5" s="1"/>
  <c r="B7247" i="5"/>
  <c r="M7247" i="5" s="1"/>
  <c r="B7248" i="5"/>
  <c r="Q7248" i="5" s="1"/>
  <c r="B7234" i="5"/>
  <c r="Q7234" i="5" s="1"/>
  <c r="B7235" i="5"/>
  <c r="M7235" i="5" s="1"/>
  <c r="B7236" i="5"/>
  <c r="M7236" i="5" s="1"/>
  <c r="B7237" i="5"/>
  <c r="Q7237" i="5" s="1"/>
  <c r="R8" i="6" l="1"/>
  <c r="S8" i="6" s="1"/>
  <c r="T8" i="6" s="1"/>
  <c r="M8" i="6"/>
  <c r="N8" i="6" s="1"/>
  <c r="Q7258" i="5"/>
  <c r="R21" i="6"/>
  <c r="S21" i="6" s="1"/>
  <c r="T21" i="6" s="1"/>
  <c r="V21" i="6" s="1"/>
  <c r="R91" i="6"/>
  <c r="S91" i="6" s="1"/>
  <c r="T91" i="6" s="1"/>
  <c r="V91" i="6" s="1"/>
  <c r="M66" i="6"/>
  <c r="N66" i="6" s="1"/>
  <c r="O66" i="6" s="1"/>
  <c r="R111" i="6"/>
  <c r="S111" i="6" s="1"/>
  <c r="T111" i="6" s="1"/>
  <c r="M75" i="6"/>
  <c r="N75" i="6" s="1"/>
  <c r="O75" i="6" s="1"/>
  <c r="R145" i="6"/>
  <c r="S145" i="6" s="1"/>
  <c r="T145" i="6" s="1"/>
  <c r="V145" i="6" s="1"/>
  <c r="M122" i="6"/>
  <c r="N122" i="6" s="1"/>
  <c r="O122" i="6" s="1"/>
  <c r="M45" i="6"/>
  <c r="N45" i="6" s="1"/>
  <c r="O45" i="6" s="1"/>
  <c r="R74" i="6"/>
  <c r="S74" i="6" s="1"/>
  <c r="T74" i="6" s="1"/>
  <c r="V74" i="6" s="1"/>
  <c r="R34" i="6"/>
  <c r="S34" i="6" s="1"/>
  <c r="T34" i="6" s="1"/>
  <c r="V34" i="6" s="1"/>
  <c r="M123" i="6"/>
  <c r="N123" i="6" s="1"/>
  <c r="O123" i="6" s="1"/>
  <c r="R87" i="6"/>
  <c r="S87" i="6" s="1"/>
  <c r="T87" i="6" s="1"/>
  <c r="U87" i="6" s="1"/>
  <c r="R149" i="6"/>
  <c r="S149" i="6" s="1"/>
  <c r="T149" i="6" s="1"/>
  <c r="V149" i="6" s="1"/>
  <c r="R11" i="6"/>
  <c r="S11" i="6" s="1"/>
  <c r="T11" i="6" s="1"/>
  <c r="V11" i="6" s="1"/>
  <c r="R43" i="6"/>
  <c r="S43" i="6" s="1"/>
  <c r="T43" i="6" s="1"/>
  <c r="V43" i="6" s="1"/>
  <c r="M120" i="6"/>
  <c r="N120" i="6" s="1"/>
  <c r="O120" i="6" s="1"/>
  <c r="M102" i="6"/>
  <c r="N102" i="6" s="1"/>
  <c r="O102" i="6" s="1"/>
  <c r="R44" i="6"/>
  <c r="S44" i="6" s="1"/>
  <c r="T44" i="6" s="1"/>
  <c r="V44" i="6" s="1"/>
  <c r="M146" i="6"/>
  <c r="N146" i="6" s="1"/>
  <c r="O146" i="6" s="1"/>
  <c r="O8" i="6"/>
  <c r="M88" i="6"/>
  <c r="N88" i="6" s="1"/>
  <c r="O88" i="6" s="1"/>
  <c r="R10" i="6"/>
  <c r="S10" i="6" s="1"/>
  <c r="T10" i="6" s="1"/>
  <c r="M147" i="6"/>
  <c r="N147" i="6" s="1"/>
  <c r="O147" i="6" s="1"/>
  <c r="M89" i="6"/>
  <c r="N89" i="6" s="1"/>
  <c r="O89" i="6" s="1"/>
  <c r="R110" i="6"/>
  <c r="S110" i="6" s="1"/>
  <c r="T110" i="6" s="1"/>
  <c r="M94" i="6"/>
  <c r="N94" i="6" s="1"/>
  <c r="O94" i="6" s="1"/>
  <c r="M17" i="6"/>
  <c r="N17" i="6" s="1"/>
  <c r="O17" i="6" s="1"/>
  <c r="M135" i="6"/>
  <c r="N135" i="6" s="1"/>
  <c r="O135" i="6" s="1"/>
  <c r="R60" i="6"/>
  <c r="S60" i="6" s="1"/>
  <c r="T60" i="6" s="1"/>
  <c r="M36" i="6"/>
  <c r="N36" i="6" s="1"/>
  <c r="O36" i="6" s="1"/>
  <c r="R19" i="6"/>
  <c r="S19" i="6" s="1"/>
  <c r="T19" i="6" s="1"/>
  <c r="R119" i="6"/>
  <c r="S119" i="6" s="1"/>
  <c r="T119" i="6" s="1"/>
  <c r="V119" i="6" s="1"/>
  <c r="S35" i="6"/>
  <c r="T35" i="6" s="1"/>
  <c r="U35" i="6" s="1"/>
  <c r="M42" i="6"/>
  <c r="N42" i="6" s="1"/>
  <c r="O42" i="6" s="1"/>
  <c r="M61" i="6"/>
  <c r="N61" i="6" s="1"/>
  <c r="O61" i="6" s="1"/>
  <c r="M79" i="6"/>
  <c r="N79" i="6" s="1"/>
  <c r="O79" i="6" s="1"/>
  <c r="M99" i="6"/>
  <c r="N99" i="6" s="1"/>
  <c r="O99" i="6" s="1"/>
  <c r="N44" i="6"/>
  <c r="O44" i="6" s="1"/>
  <c r="S146" i="6"/>
  <c r="T146" i="6" s="1"/>
  <c r="V146" i="6" s="1"/>
  <c r="M35" i="6"/>
  <c r="N35" i="6" s="1"/>
  <c r="O35" i="6" s="1"/>
  <c r="M103" i="6"/>
  <c r="N103" i="6" s="1"/>
  <c r="O103" i="6" s="1"/>
  <c r="S45" i="6"/>
  <c r="T45" i="6" s="1"/>
  <c r="U45" i="6" s="1"/>
  <c r="M62" i="6"/>
  <c r="N62" i="6" s="1"/>
  <c r="O62" i="6" s="1"/>
  <c r="M9" i="6"/>
  <c r="N9" i="6" s="1"/>
  <c r="O9" i="6" s="1"/>
  <c r="R20" i="6"/>
  <c r="S20" i="6" s="1"/>
  <c r="T20" i="6" s="1"/>
  <c r="V20" i="6" s="1"/>
  <c r="S38" i="6"/>
  <c r="T38" i="6" s="1"/>
  <c r="V38" i="6" s="1"/>
  <c r="M148" i="6"/>
  <c r="N148" i="6" s="1"/>
  <c r="O148" i="6" s="1"/>
  <c r="S9" i="6"/>
  <c r="T9" i="6" s="1"/>
  <c r="R37" i="6"/>
  <c r="S37" i="6" s="1"/>
  <c r="T37" i="6" s="1"/>
  <c r="M76" i="6"/>
  <c r="N76" i="6" s="1"/>
  <c r="O76" i="6" s="1"/>
  <c r="M38" i="6"/>
  <c r="N38" i="6" s="1"/>
  <c r="O38" i="6" s="1"/>
  <c r="M63" i="6"/>
  <c r="N63" i="6" s="1"/>
  <c r="O63" i="6" s="1"/>
  <c r="M77" i="6"/>
  <c r="N77" i="6" s="1"/>
  <c r="O77" i="6" s="1"/>
  <c r="R92" i="6"/>
  <c r="S92" i="6" s="1"/>
  <c r="T92" i="6" s="1"/>
  <c r="V92" i="6" s="1"/>
  <c r="M121" i="6"/>
  <c r="N121" i="6" s="1"/>
  <c r="O121" i="6" s="1"/>
  <c r="M136" i="6"/>
  <c r="N136" i="6" s="1"/>
  <c r="O136" i="6" s="1"/>
  <c r="M50" i="6"/>
  <c r="N50" i="6" s="1"/>
  <c r="O50" i="6" s="1"/>
  <c r="M93" i="6"/>
  <c r="N93" i="6" s="1"/>
  <c r="O93" i="6" s="1"/>
  <c r="S12" i="6"/>
  <c r="T12" i="6" s="1"/>
  <c r="V12" i="6" s="1"/>
  <c r="M12" i="6"/>
  <c r="N12" i="6" s="1"/>
  <c r="O12" i="6" s="1"/>
  <c r="R112" i="6"/>
  <c r="S112" i="6" s="1"/>
  <c r="T112" i="6" s="1"/>
  <c r="M140" i="6"/>
  <c r="N140" i="6" s="1"/>
  <c r="O140" i="6" s="1"/>
  <c r="N91" i="6"/>
  <c r="O91" i="6" s="1"/>
  <c r="M26" i="6"/>
  <c r="N26" i="6" s="1"/>
  <c r="O26" i="6" s="1"/>
  <c r="M97" i="6"/>
  <c r="N97" i="6" s="1"/>
  <c r="O97" i="6" s="1"/>
  <c r="M154" i="6"/>
  <c r="N154" i="6" s="1"/>
  <c r="O154" i="6" s="1"/>
  <c r="M67" i="6"/>
  <c r="N67" i="6" s="1"/>
  <c r="O67" i="6" s="1"/>
  <c r="M84" i="6"/>
  <c r="N84" i="6" s="1"/>
  <c r="O84" i="6" s="1"/>
  <c r="M113" i="6"/>
  <c r="N113" i="6" s="1"/>
  <c r="O113" i="6" s="1"/>
  <c r="M124" i="6"/>
  <c r="N124" i="6" s="1"/>
  <c r="O124" i="6" s="1"/>
  <c r="M155" i="6"/>
  <c r="N155" i="6" s="1"/>
  <c r="O155" i="6" s="1"/>
  <c r="R24" i="6"/>
  <c r="S24" i="6" s="1"/>
  <c r="T24" i="6" s="1"/>
  <c r="M58" i="6"/>
  <c r="N58" i="6" s="1"/>
  <c r="O58" i="6" s="1"/>
  <c r="M85" i="6"/>
  <c r="N85" i="6" s="1"/>
  <c r="O85" i="6" s="1"/>
  <c r="M98" i="6"/>
  <c r="N98" i="6" s="1"/>
  <c r="O98" i="6" s="1"/>
  <c r="M15" i="6"/>
  <c r="N15" i="6" s="1"/>
  <c r="O15" i="6" s="1"/>
  <c r="P15" i="6" s="1"/>
  <c r="M114" i="6"/>
  <c r="N114" i="6" s="1"/>
  <c r="O114" i="6" s="1"/>
  <c r="M143" i="6"/>
  <c r="N143" i="6" s="1"/>
  <c r="O143" i="6" s="1"/>
  <c r="M69" i="6"/>
  <c r="N69" i="6" s="1"/>
  <c r="O69" i="6" s="1"/>
  <c r="P69" i="6" s="1"/>
  <c r="R137" i="6"/>
  <c r="S137" i="6" s="1"/>
  <c r="T137" i="6" s="1"/>
  <c r="M59" i="6"/>
  <c r="N59" i="6" s="1"/>
  <c r="O59" i="6" s="1"/>
  <c r="R126" i="6"/>
  <c r="S126" i="6" s="1"/>
  <c r="T126" i="6" s="1"/>
  <c r="M16" i="6"/>
  <c r="N16" i="6" s="1"/>
  <c r="O16" i="6" s="1"/>
  <c r="M144" i="6"/>
  <c r="N144" i="6" s="1"/>
  <c r="O144" i="6" s="1"/>
  <c r="M52" i="6"/>
  <c r="N52" i="6" s="1"/>
  <c r="O52" i="6" s="1"/>
  <c r="R33" i="6"/>
  <c r="S33" i="6" s="1"/>
  <c r="T33" i="6" s="1"/>
  <c r="S102" i="6"/>
  <c r="T102" i="6" s="1"/>
  <c r="V102" i="6" s="1"/>
  <c r="R127" i="6"/>
  <c r="S127" i="6" s="1"/>
  <c r="T127" i="6" s="1"/>
  <c r="V127" i="6" s="1"/>
  <c r="M49" i="6"/>
  <c r="N49" i="6" s="1"/>
  <c r="O49" i="6" s="1"/>
  <c r="S75" i="6"/>
  <c r="T75" i="6" s="1"/>
  <c r="U75" i="6" s="1"/>
  <c r="N92" i="6"/>
  <c r="O92" i="6" s="1"/>
  <c r="M101" i="6"/>
  <c r="N101" i="6" s="1"/>
  <c r="O101" i="6" s="1"/>
  <c r="N127" i="6"/>
  <c r="O127" i="6" s="1"/>
  <c r="M25" i="6"/>
  <c r="N25" i="6" s="1"/>
  <c r="O25" i="6" s="1"/>
  <c r="S59" i="6"/>
  <c r="T59" i="6" s="1"/>
  <c r="V59" i="6" s="1"/>
  <c r="M153" i="6"/>
  <c r="N153" i="6" s="1"/>
  <c r="O153" i="6" s="1"/>
  <c r="S85" i="6"/>
  <c r="T85" i="6" s="1"/>
  <c r="S76" i="6"/>
  <c r="T76" i="6" s="1"/>
  <c r="U76" i="6" s="1"/>
  <c r="M128" i="6"/>
  <c r="N128" i="6" s="1"/>
  <c r="O128" i="6" s="1"/>
  <c r="N145" i="6"/>
  <c r="O145" i="6" s="1"/>
  <c r="S103" i="6"/>
  <c r="T103" i="6" s="1"/>
  <c r="U103" i="6" s="1"/>
  <c r="R129" i="6"/>
  <c r="S129" i="6" s="1"/>
  <c r="T129" i="6" s="1"/>
  <c r="M138" i="6"/>
  <c r="N138" i="6" s="1"/>
  <c r="O138" i="6" s="1"/>
  <c r="M104" i="6"/>
  <c r="N104" i="6" s="1"/>
  <c r="O104" i="6" s="1"/>
  <c r="R27" i="6"/>
  <c r="S27" i="6" s="1"/>
  <c r="T27" i="6" s="1"/>
  <c r="R68" i="6"/>
  <c r="S68" i="6" s="1"/>
  <c r="T68" i="6" s="1"/>
  <c r="M78" i="6"/>
  <c r="N78" i="6" s="1"/>
  <c r="O78" i="6" s="1"/>
  <c r="M95" i="6"/>
  <c r="N95" i="6" s="1"/>
  <c r="O95" i="6" s="1"/>
  <c r="M130" i="6"/>
  <c r="N130" i="6" s="1"/>
  <c r="O130" i="6" s="1"/>
  <c r="M156" i="6"/>
  <c r="N156" i="6" s="1"/>
  <c r="O156" i="6" s="1"/>
  <c r="R139" i="6"/>
  <c r="S139" i="6" s="1"/>
  <c r="T139" i="6" s="1"/>
  <c r="R29" i="6"/>
  <c r="S29" i="6" s="1"/>
  <c r="T29" i="6" s="1"/>
  <c r="S39" i="6"/>
  <c r="T39" i="6" s="1"/>
  <c r="M54" i="6"/>
  <c r="N54" i="6" s="1"/>
  <c r="O54" i="6" s="1"/>
  <c r="R70" i="6"/>
  <c r="S70" i="6" s="1"/>
  <c r="T70" i="6" s="1"/>
  <c r="S80" i="6"/>
  <c r="T80" i="6" s="1"/>
  <c r="V80" i="6" s="1"/>
  <c r="M106" i="6"/>
  <c r="N106" i="6" s="1"/>
  <c r="O106" i="6" s="1"/>
  <c r="R115" i="6"/>
  <c r="S115" i="6" s="1"/>
  <c r="T115" i="6" s="1"/>
  <c r="N132" i="6"/>
  <c r="O132" i="6" s="1"/>
  <c r="R141" i="6"/>
  <c r="S141" i="6" s="1"/>
  <c r="T141" i="6" s="1"/>
  <c r="N159" i="6"/>
  <c r="O159" i="6" s="1"/>
  <c r="S49" i="6"/>
  <c r="T49" i="6" s="1"/>
  <c r="V49" i="6" s="1"/>
  <c r="R51" i="6"/>
  <c r="S51" i="6" s="1"/>
  <c r="T51" i="6" s="1"/>
  <c r="M105" i="6"/>
  <c r="N105" i="6" s="1"/>
  <c r="O105" i="6" s="1"/>
  <c r="R53" i="6"/>
  <c r="S53" i="6" s="1"/>
  <c r="T53" i="6" s="1"/>
  <c r="U53" i="6" s="1"/>
  <c r="M39" i="6"/>
  <c r="N39" i="6" s="1"/>
  <c r="O39" i="6" s="1"/>
  <c r="S63" i="6"/>
  <c r="T63" i="6" s="1"/>
  <c r="U63" i="6" s="1"/>
  <c r="S71" i="6"/>
  <c r="T71" i="6" s="1"/>
  <c r="V71" i="6" s="1"/>
  <c r="R116" i="6"/>
  <c r="S116" i="6" s="1"/>
  <c r="T116" i="6" s="1"/>
  <c r="U116" i="6" s="1"/>
  <c r="M133" i="6"/>
  <c r="N133" i="6" s="1"/>
  <c r="O133" i="6" s="1"/>
  <c r="S150" i="6"/>
  <c r="T150" i="6" s="1"/>
  <c r="U150" i="6" s="1"/>
  <c r="S13" i="6"/>
  <c r="T13" i="6" s="1"/>
  <c r="U13" i="6" s="1"/>
  <c r="M22" i="6"/>
  <c r="N22" i="6" s="1"/>
  <c r="O22" i="6" s="1"/>
  <c r="P22" i="6" s="1"/>
  <c r="M31" i="6"/>
  <c r="N31" i="6" s="1"/>
  <c r="O31" i="6" s="1"/>
  <c r="M40" i="6"/>
  <c r="N40" i="6" s="1"/>
  <c r="O40" i="6" s="1"/>
  <c r="R46" i="6"/>
  <c r="S46" i="6" s="1"/>
  <c r="T46" i="6" s="1"/>
  <c r="V46" i="6" s="1"/>
  <c r="S56" i="6"/>
  <c r="T56" i="6" s="1"/>
  <c r="V56" i="6" s="1"/>
  <c r="M64" i="6"/>
  <c r="N64" i="6" s="1"/>
  <c r="O64" i="6" s="1"/>
  <c r="M72" i="6"/>
  <c r="N72" i="6" s="1"/>
  <c r="O72" i="6" s="1"/>
  <c r="R81" i="6"/>
  <c r="S81" i="6" s="1"/>
  <c r="T81" i="6" s="1"/>
  <c r="V81" i="6" s="1"/>
  <c r="S108" i="6"/>
  <c r="T108" i="6" s="1"/>
  <c r="U108" i="6" s="1"/>
  <c r="M117" i="6"/>
  <c r="N117" i="6" s="1"/>
  <c r="O117" i="6" s="1"/>
  <c r="M125" i="6"/>
  <c r="N125" i="6" s="1"/>
  <c r="O125" i="6" s="1"/>
  <c r="M150" i="6"/>
  <c r="N150" i="6" s="1"/>
  <c r="O150" i="6" s="1"/>
  <c r="R159" i="6"/>
  <c r="S159" i="6" s="1"/>
  <c r="T159" i="6" s="1"/>
  <c r="R28" i="6"/>
  <c r="S28" i="6" s="1"/>
  <c r="T28" i="6" s="1"/>
  <c r="R96" i="6"/>
  <c r="S96" i="6" s="1"/>
  <c r="T96" i="6" s="1"/>
  <c r="U96" i="6" s="1"/>
  <c r="M80" i="6"/>
  <c r="N80" i="6" s="1"/>
  <c r="O80" i="6" s="1"/>
  <c r="N116" i="6"/>
  <c r="O116" i="6" s="1"/>
  <c r="M71" i="6"/>
  <c r="N71" i="6" s="1"/>
  <c r="O71" i="6" s="1"/>
  <c r="S98" i="6"/>
  <c r="T98" i="6" s="1"/>
  <c r="V98" i="6" s="1"/>
  <c r="S31" i="6"/>
  <c r="T31" i="6" s="1"/>
  <c r="V31" i="6" s="1"/>
  <c r="R55" i="6"/>
  <c r="S55" i="6" s="1"/>
  <c r="T55" i="6" s="1"/>
  <c r="R107" i="6"/>
  <c r="S107" i="6" s="1"/>
  <c r="T107" i="6" s="1"/>
  <c r="M13" i="6"/>
  <c r="N13" i="6" s="1"/>
  <c r="O13" i="6" s="1"/>
  <c r="M56" i="6"/>
  <c r="N56" i="6" s="1"/>
  <c r="O56" i="6" s="1"/>
  <c r="M108" i="6"/>
  <c r="N108" i="6" s="1"/>
  <c r="O108" i="6" s="1"/>
  <c r="M142" i="6"/>
  <c r="N142" i="6" s="1"/>
  <c r="O142" i="6" s="1"/>
  <c r="S160" i="6"/>
  <c r="T160" i="6" s="1"/>
  <c r="V160" i="6" s="1"/>
  <c r="N27" i="6"/>
  <c r="O27" i="6" s="1"/>
  <c r="R18" i="6"/>
  <c r="S18" i="6" s="1"/>
  <c r="T18" i="6" s="1"/>
  <c r="U18" i="6" s="1"/>
  <c r="R131" i="6"/>
  <c r="S131" i="6" s="1"/>
  <c r="T131" i="6" s="1"/>
  <c r="V131" i="6" s="1"/>
  <c r="M90" i="6"/>
  <c r="N90" i="6" s="1"/>
  <c r="O90" i="6" s="1"/>
  <c r="M160" i="6"/>
  <c r="N160" i="6" s="1"/>
  <c r="O160" i="6" s="1"/>
  <c r="N53" i="6"/>
  <c r="O53" i="6" s="1"/>
  <c r="R132" i="6"/>
  <c r="S132" i="6" s="1"/>
  <c r="T132" i="6" s="1"/>
  <c r="U132" i="6" s="1"/>
  <c r="S14" i="6"/>
  <c r="T14" i="6" s="1"/>
  <c r="U14" i="6" s="1"/>
  <c r="M23" i="6"/>
  <c r="N23" i="6" s="1"/>
  <c r="O23" i="6" s="1"/>
  <c r="M32" i="6"/>
  <c r="N32" i="6" s="1"/>
  <c r="O32" i="6" s="1"/>
  <c r="M41" i="6"/>
  <c r="N41" i="6" s="1"/>
  <c r="O41" i="6" s="1"/>
  <c r="P41" i="6" s="1"/>
  <c r="R47" i="6"/>
  <c r="S47" i="6" s="1"/>
  <c r="T47" i="6" s="1"/>
  <c r="M65" i="6"/>
  <c r="N65" i="6" s="1"/>
  <c r="O65" i="6" s="1"/>
  <c r="P65" i="6" s="1"/>
  <c r="M73" i="6"/>
  <c r="N73" i="6" s="1"/>
  <c r="O73" i="6" s="1"/>
  <c r="R82" i="6"/>
  <c r="S82" i="6" s="1"/>
  <c r="T82" i="6" s="1"/>
  <c r="V82" i="6" s="1"/>
  <c r="M118" i="6"/>
  <c r="N118" i="6" s="1"/>
  <c r="O118" i="6" s="1"/>
  <c r="P118" i="6" s="1"/>
  <c r="S134" i="6"/>
  <c r="T134" i="6" s="1"/>
  <c r="U134" i="6" s="1"/>
  <c r="M151" i="6"/>
  <c r="N151" i="6" s="1"/>
  <c r="O151" i="6" s="1"/>
  <c r="S138" i="6"/>
  <c r="T138" i="6" s="1"/>
  <c r="U138" i="6" s="1"/>
  <c r="R86" i="6"/>
  <c r="S86" i="6" s="1"/>
  <c r="T86" i="6" s="1"/>
  <c r="M157" i="6"/>
  <c r="N157" i="6" s="1"/>
  <c r="O157" i="6" s="1"/>
  <c r="P157" i="6" s="1"/>
  <c r="S72" i="6"/>
  <c r="T72" i="6" s="1"/>
  <c r="U72" i="6" s="1"/>
  <c r="S73" i="6"/>
  <c r="T73" i="6" s="1"/>
  <c r="V73" i="6" s="1"/>
  <c r="M14" i="6"/>
  <c r="N14" i="6" s="1"/>
  <c r="O14" i="6" s="1"/>
  <c r="M57" i="6"/>
  <c r="N57" i="6" s="1"/>
  <c r="O57" i="6" s="1"/>
  <c r="M109" i="6"/>
  <c r="N109" i="6" s="1"/>
  <c r="O109" i="6" s="1"/>
  <c r="M134" i="6"/>
  <c r="N134" i="6" s="1"/>
  <c r="O134" i="6" s="1"/>
  <c r="R152" i="6"/>
  <c r="S152" i="6" s="1"/>
  <c r="T152" i="6" s="1"/>
  <c r="V152" i="6" s="1"/>
  <c r="S54" i="6"/>
  <c r="T54" i="6" s="1"/>
  <c r="V54" i="6" s="1"/>
  <c r="S133" i="6"/>
  <c r="T133" i="6" s="1"/>
  <c r="N33" i="6"/>
  <c r="O33" i="6" s="1"/>
  <c r="M48" i="6"/>
  <c r="N48" i="6" s="1"/>
  <c r="O48" i="6" s="1"/>
  <c r="S65" i="6"/>
  <c r="T65" i="6" s="1"/>
  <c r="V65" i="6" s="1"/>
  <c r="M83" i="6"/>
  <c r="N83" i="6" s="1"/>
  <c r="O83" i="6" s="1"/>
  <c r="M100" i="6"/>
  <c r="N100" i="6" s="1"/>
  <c r="O100" i="6" s="1"/>
  <c r="P100" i="6" s="1"/>
  <c r="S118" i="6"/>
  <c r="T118" i="6" s="1"/>
  <c r="U118" i="6" s="1"/>
  <c r="N152" i="6"/>
  <c r="O152" i="6" s="1"/>
  <c r="S26" i="6"/>
  <c r="T26" i="6" s="1"/>
  <c r="U26" i="6" s="1"/>
  <c r="M158" i="6"/>
  <c r="N158" i="6" s="1"/>
  <c r="O158" i="6" s="1"/>
  <c r="P158" i="6" s="1"/>
  <c r="M30" i="6"/>
  <c r="N30" i="6" s="1"/>
  <c r="O30" i="6" s="1"/>
  <c r="N119" i="6"/>
  <c r="O119" i="6" s="1"/>
  <c r="S143" i="6"/>
  <c r="T143" i="6" s="1"/>
  <c r="V143" i="6" s="1"/>
  <c r="AB160" i="6"/>
  <c r="S153" i="6"/>
  <c r="T153" i="6" s="1"/>
  <c r="V153" i="6" s="1"/>
  <c r="S148" i="6"/>
  <c r="T148" i="6" s="1"/>
  <c r="V148" i="6" s="1"/>
  <c r="S136" i="6"/>
  <c r="T136" i="6" s="1"/>
  <c r="U136" i="6" s="1"/>
  <c r="S128" i="6"/>
  <c r="T128" i="6" s="1"/>
  <c r="V128" i="6" s="1"/>
  <c r="S106" i="6"/>
  <c r="T106" i="6" s="1"/>
  <c r="V106" i="6" s="1"/>
  <c r="S104" i="6"/>
  <c r="T104" i="6" s="1"/>
  <c r="V104" i="6" s="1"/>
  <c r="S101" i="6"/>
  <c r="T101" i="6" s="1"/>
  <c r="V101" i="6" s="1"/>
  <c r="S99" i="6"/>
  <c r="T99" i="6" s="1"/>
  <c r="V99" i="6" s="1"/>
  <c r="S78" i="6"/>
  <c r="T78" i="6" s="1"/>
  <c r="V78" i="6" s="1"/>
  <c r="N74" i="6"/>
  <c r="O74" i="6" s="1"/>
  <c r="P74" i="6" s="1"/>
  <c r="S48" i="6"/>
  <c r="T48" i="6" s="1"/>
  <c r="V48" i="6" s="1"/>
  <c r="S32" i="6"/>
  <c r="T32" i="6" s="1"/>
  <c r="V32" i="6" s="1"/>
  <c r="S23" i="6"/>
  <c r="T23" i="6" s="1"/>
  <c r="V23" i="6" s="1"/>
  <c r="S154" i="6"/>
  <c r="T154" i="6" s="1"/>
  <c r="V154" i="6" s="1"/>
  <c r="S41" i="6"/>
  <c r="T41" i="6" s="1"/>
  <c r="V41" i="6" s="1"/>
  <c r="N46" i="6"/>
  <c r="O46" i="6" s="1"/>
  <c r="N51" i="6"/>
  <c r="O51" i="6" s="1"/>
  <c r="S64" i="6"/>
  <c r="T64" i="6" s="1"/>
  <c r="V64" i="6" s="1"/>
  <c r="N82" i="6"/>
  <c r="O82" i="6" s="1"/>
  <c r="P82" i="6" s="1"/>
  <c r="S22" i="6"/>
  <c r="T22" i="6" s="1"/>
  <c r="U22" i="6" s="1"/>
  <c r="S114" i="6"/>
  <c r="T114" i="6" s="1"/>
  <c r="S130" i="6"/>
  <c r="T130" i="6" s="1"/>
  <c r="V130" i="6" s="1"/>
  <c r="N131" i="6"/>
  <c r="O131" i="6" s="1"/>
  <c r="S36" i="6"/>
  <c r="T36" i="6" s="1"/>
  <c r="S97" i="6"/>
  <c r="T97" i="6" s="1"/>
  <c r="U97" i="6" s="1"/>
  <c r="N110" i="6"/>
  <c r="O110" i="6" s="1"/>
  <c r="S52" i="6"/>
  <c r="T52" i="6" s="1"/>
  <c r="V52" i="6" s="1"/>
  <c r="N149" i="6"/>
  <c r="O149" i="6" s="1"/>
  <c r="P149" i="6" s="1"/>
  <c r="S15" i="6"/>
  <c r="T15" i="6" s="1"/>
  <c r="U15" i="6" s="1"/>
  <c r="S157" i="6"/>
  <c r="T157" i="6" s="1"/>
  <c r="V157" i="6" s="1"/>
  <c r="S16" i="6"/>
  <c r="T16" i="6" s="1"/>
  <c r="U16" i="6" s="1"/>
  <c r="S77" i="6"/>
  <c r="T77" i="6" s="1"/>
  <c r="U77" i="6" s="1"/>
  <c r="S90" i="6"/>
  <c r="T90" i="6" s="1"/>
  <c r="V90" i="6" s="1"/>
  <c r="S121" i="6"/>
  <c r="T121" i="6" s="1"/>
  <c r="U121" i="6" s="1"/>
  <c r="S144" i="6"/>
  <c r="T144" i="6" s="1"/>
  <c r="N96" i="6"/>
  <c r="O96" i="6" s="1"/>
  <c r="N126" i="6"/>
  <c r="O126" i="6" s="1"/>
  <c r="P126" i="6" s="1"/>
  <c r="N47" i="6"/>
  <c r="O47" i="6" s="1"/>
  <c r="N24" i="6"/>
  <c r="O24" i="6" s="1"/>
  <c r="S83" i="6"/>
  <c r="T83" i="6" s="1"/>
  <c r="U83" i="6" s="1"/>
  <c r="N18" i="6"/>
  <c r="O18" i="6" s="1"/>
  <c r="N60" i="6"/>
  <c r="O60" i="6" s="1"/>
  <c r="S109" i="6"/>
  <c r="T109" i="6" s="1"/>
  <c r="V109" i="6" s="1"/>
  <c r="S158" i="6"/>
  <c r="T158" i="6" s="1"/>
  <c r="U158" i="6" s="1"/>
  <c r="N43" i="6"/>
  <c r="O43" i="6" s="1"/>
  <c r="S62" i="6"/>
  <c r="T62" i="6" s="1"/>
  <c r="U62" i="6" s="1"/>
  <c r="S79" i="6"/>
  <c r="T79" i="6" s="1"/>
  <c r="V79" i="6" s="1"/>
  <c r="S140" i="6"/>
  <c r="T140" i="6" s="1"/>
  <c r="S105" i="6"/>
  <c r="T105" i="6" s="1"/>
  <c r="V105" i="6" s="1"/>
  <c r="S123" i="6"/>
  <c r="T123" i="6" s="1"/>
  <c r="N11" i="6"/>
  <c r="O11" i="6" s="1"/>
  <c r="N34" i="6"/>
  <c r="O34" i="6" s="1"/>
  <c r="S57" i="6"/>
  <c r="T57" i="6" s="1"/>
  <c r="V57" i="6" s="1"/>
  <c r="S69" i="6"/>
  <c r="T69" i="6" s="1"/>
  <c r="U69" i="6" s="1"/>
  <c r="S100" i="6"/>
  <c r="T100" i="6" s="1"/>
  <c r="U100" i="6" s="1"/>
  <c r="N107" i="6"/>
  <c r="O107" i="6" s="1"/>
  <c r="N137" i="6"/>
  <c r="O137" i="6" s="1"/>
  <c r="S61" i="6"/>
  <c r="T61" i="6" s="1"/>
  <c r="S42" i="6"/>
  <c r="T42" i="6" s="1"/>
  <c r="S50" i="6"/>
  <c r="T50" i="6" s="1"/>
  <c r="S94" i="6"/>
  <c r="T94" i="6" s="1"/>
  <c r="S122" i="6"/>
  <c r="T122" i="6" s="1"/>
  <c r="N139" i="6"/>
  <c r="O139" i="6" s="1"/>
  <c r="N111" i="6"/>
  <c r="O111" i="6" s="1"/>
  <c r="N10" i="6"/>
  <c r="O10" i="6" s="1"/>
  <c r="S67" i="6"/>
  <c r="T67" i="6" s="1"/>
  <c r="S88" i="6"/>
  <c r="T88" i="6" s="1"/>
  <c r="S95" i="6"/>
  <c r="T95" i="6" s="1"/>
  <c r="S113" i="6"/>
  <c r="T113" i="6" s="1"/>
  <c r="N19" i="6"/>
  <c r="O19" i="6" s="1"/>
  <c r="P19" i="6" s="1"/>
  <c r="N68" i="6"/>
  <c r="O68" i="6" s="1"/>
  <c r="S135" i="6"/>
  <c r="T135" i="6" s="1"/>
  <c r="N129" i="6"/>
  <c r="O129" i="6" s="1"/>
  <c r="S40" i="6"/>
  <c r="T40" i="6" s="1"/>
  <c r="N70" i="6"/>
  <c r="O70" i="6" s="1"/>
  <c r="S89" i="6"/>
  <c r="T89" i="6" s="1"/>
  <c r="S25" i="6"/>
  <c r="T25" i="6" s="1"/>
  <c r="N115" i="6"/>
  <c r="O115" i="6" s="1"/>
  <c r="N37" i="6"/>
  <c r="O37" i="6" s="1"/>
  <c r="N28" i="6"/>
  <c r="O28" i="6" s="1"/>
  <c r="N86" i="6"/>
  <c r="O86" i="6" s="1"/>
  <c r="S142" i="6"/>
  <c r="T142" i="6" s="1"/>
  <c r="N112" i="6"/>
  <c r="O112" i="6" s="1"/>
  <c r="S155" i="6"/>
  <c r="T155" i="6" s="1"/>
  <c r="N20" i="6"/>
  <c r="O20" i="6" s="1"/>
  <c r="N29" i="6"/>
  <c r="O29" i="6" s="1"/>
  <c r="S117" i="6"/>
  <c r="T117" i="6" s="1"/>
  <c r="S147" i="6"/>
  <c r="T147" i="6" s="1"/>
  <c r="S151" i="6"/>
  <c r="T151" i="6" s="1"/>
  <c r="S93" i="6"/>
  <c r="T93" i="6" s="1"/>
  <c r="S120" i="6"/>
  <c r="T120" i="6" s="1"/>
  <c r="S156" i="6"/>
  <c r="T156" i="6" s="1"/>
  <c r="N81" i="6"/>
  <c r="O81" i="6" s="1"/>
  <c r="S84" i="6"/>
  <c r="T84" i="6" s="1"/>
  <c r="S124" i="6"/>
  <c r="T124" i="6" s="1"/>
  <c r="S17" i="6"/>
  <c r="T17" i="6" s="1"/>
  <c r="N87" i="6"/>
  <c r="O87" i="6" s="1"/>
  <c r="N21" i="6"/>
  <c r="O21" i="6" s="1"/>
  <c r="S30" i="6"/>
  <c r="T30" i="6" s="1"/>
  <c r="N55" i="6"/>
  <c r="O55" i="6" s="1"/>
  <c r="S58" i="6"/>
  <c r="T58" i="6" s="1"/>
  <c r="S66" i="6"/>
  <c r="T66" i="6" s="1"/>
  <c r="S125" i="6"/>
  <c r="T125" i="6" s="1"/>
  <c r="N141" i="6"/>
  <c r="O141" i="6" s="1"/>
  <c r="Q7396" i="5"/>
  <c r="Q7345" i="5"/>
  <c r="R7345" i="5" s="1"/>
  <c r="S7345" i="5" s="1"/>
  <c r="M7366" i="5"/>
  <c r="Q7311" i="5"/>
  <c r="Q7300" i="5"/>
  <c r="R7300" i="5" s="1"/>
  <c r="S7300" i="5" s="1"/>
  <c r="Q7274" i="5"/>
  <c r="M7353" i="5"/>
  <c r="Q7238" i="5"/>
  <c r="R7238" i="5" s="1"/>
  <c r="S7238" i="5" s="1"/>
  <c r="M7261" i="5"/>
  <c r="Q7328" i="5"/>
  <c r="Q7302" i="5"/>
  <c r="M7470" i="5"/>
  <c r="M7240" i="5"/>
  <c r="Q7367" i="5"/>
  <c r="M7449" i="5"/>
  <c r="M7408" i="5"/>
  <c r="M7357" i="5"/>
  <c r="N7357" i="5" s="1"/>
  <c r="O7357" i="5" s="1"/>
  <c r="Q7382" i="5"/>
  <c r="R7382" i="5" s="1"/>
  <c r="S7382" i="5" s="1"/>
  <c r="Q7383" i="5"/>
  <c r="Q7397" i="5"/>
  <c r="M7276" i="5"/>
  <c r="M7288" i="5"/>
  <c r="N7288" i="5" s="1"/>
  <c r="Q7325" i="5"/>
  <c r="R7325" i="5" s="1"/>
  <c r="S7325" i="5" s="1"/>
  <c r="M7301" i="5"/>
  <c r="Q7277" i="5"/>
  <c r="R7277" i="5" s="1"/>
  <c r="S7277" i="5" s="1"/>
  <c r="M7437" i="5"/>
  <c r="M7386" i="5"/>
  <c r="Q7314" i="5"/>
  <c r="M7425" i="5"/>
  <c r="M7484" i="5"/>
  <c r="M7326" i="5"/>
  <c r="M7412" i="5"/>
  <c r="M7438" i="5"/>
  <c r="N7438" i="5" s="1"/>
  <c r="Q7267" i="5"/>
  <c r="Q7340" i="5"/>
  <c r="Q7235" i="5"/>
  <c r="Q7236" i="5"/>
  <c r="Q7478" i="5"/>
  <c r="R7478" i="5" s="1"/>
  <c r="S7478" i="5" s="1"/>
  <c r="M7454" i="5"/>
  <c r="M7330" i="5"/>
  <c r="M7259" i="5"/>
  <c r="M7455" i="5"/>
  <c r="Q7287" i="5"/>
  <c r="R7287" i="5" s="1"/>
  <c r="S7287" i="5" s="1"/>
  <c r="Q7483" i="5"/>
  <c r="R7483" i="5" s="1"/>
  <c r="S7483" i="5" s="1"/>
  <c r="M7316" i="5"/>
  <c r="Q7334" i="5"/>
  <c r="R7334" i="5" s="1"/>
  <c r="S7334" i="5" s="1"/>
  <c r="Q7278" i="5"/>
  <c r="Q7368" i="5"/>
  <c r="R7368" i="5" s="1"/>
  <c r="S7368" i="5" s="1"/>
  <c r="Q7462" i="5"/>
  <c r="Q7291" i="5"/>
  <c r="R7291" i="5" s="1"/>
  <c r="S7291" i="5" s="1"/>
  <c r="M7359" i="5"/>
  <c r="Q7475" i="5"/>
  <c r="Q7393" i="5"/>
  <c r="Q7417" i="5"/>
  <c r="M7260" i="5"/>
  <c r="Q7315" i="5"/>
  <c r="M7370" i="5"/>
  <c r="M7429" i="5"/>
  <c r="Q7416" i="5"/>
  <c r="Q7239" i="5"/>
  <c r="M7394" i="5"/>
  <c r="Q7305" i="5"/>
  <c r="Q7275" i="5"/>
  <c r="R7275" i="5" s="1"/>
  <c r="S7275" i="5" s="1"/>
  <c r="Q7444" i="5"/>
  <c r="Q7372" i="5"/>
  <c r="R7372" i="5" s="1"/>
  <c r="S7372" i="5" s="1"/>
  <c r="Q7490" i="5"/>
  <c r="R7490" i="5" s="1"/>
  <c r="S7490" i="5" s="1"/>
  <c r="Q7469" i="5"/>
  <c r="R7469" i="5" s="1"/>
  <c r="S7469" i="5" s="1"/>
  <c r="M7423" i="5"/>
  <c r="Q7480" i="5"/>
  <c r="R7480" i="5" s="1"/>
  <c r="S7480" i="5" s="1"/>
  <c r="Q7253" i="5"/>
  <c r="Q7362" i="5"/>
  <c r="R7362" i="5" s="1"/>
  <c r="S7362" i="5" s="1"/>
  <c r="Q7385" i="5"/>
  <c r="Q7307" i="5"/>
  <c r="R7307" i="5" s="1"/>
  <c r="S7307" i="5" s="1"/>
  <c r="Q7264" i="5"/>
  <c r="R7264" i="5" s="1"/>
  <c r="S7264" i="5" s="1"/>
  <c r="M7343" i="5"/>
  <c r="M7424" i="5"/>
  <c r="M7297" i="5"/>
  <c r="Q7335" i="5"/>
  <c r="Q7403" i="5"/>
  <c r="R7403" i="5" s="1"/>
  <c r="S7403" i="5" s="1"/>
  <c r="Q7250" i="5"/>
  <c r="R7250" i="5" s="1"/>
  <c r="S7250" i="5" s="1"/>
  <c r="Q7355" i="5"/>
  <c r="M7373" i="5"/>
  <c r="Q7271" i="5"/>
  <c r="R7271" i="5" s="1"/>
  <c r="S7271" i="5" s="1"/>
  <c r="Q7298" i="5"/>
  <c r="R7298" i="5" s="1"/>
  <c r="S7298" i="5" s="1"/>
  <c r="M7356" i="5"/>
  <c r="M7252" i="5"/>
  <c r="M7272" i="5"/>
  <c r="M7281" i="5"/>
  <c r="N7281" i="5" s="1"/>
  <c r="Q7289" i="5"/>
  <c r="R7289" i="5" s="1"/>
  <c r="S7289" i="5" s="1"/>
  <c r="Q7395" i="5"/>
  <c r="R7395" i="5" s="1"/>
  <c r="S7395" i="5" s="1"/>
  <c r="M7401" i="5"/>
  <c r="Q7242" i="5"/>
  <c r="M7336" i="5"/>
  <c r="Q7365" i="5"/>
  <c r="M7384" i="5"/>
  <c r="Q7456" i="5"/>
  <c r="R7456" i="5" s="1"/>
  <c r="S7456" i="5" s="1"/>
  <c r="Q7477" i="5"/>
  <c r="Q7318" i="5"/>
  <c r="Q7448" i="5"/>
  <c r="M7468" i="5"/>
  <c r="Q7376" i="5"/>
  <c r="Q7440" i="5"/>
  <c r="R7440" i="5" s="1"/>
  <c r="S7440" i="5" s="1"/>
  <c r="M7312" i="5"/>
  <c r="Q7265" i="5"/>
  <c r="R7265" i="5" s="1"/>
  <c r="S7265" i="5" s="1"/>
  <c r="Q7341" i="5"/>
  <c r="R7341" i="5" s="1"/>
  <c r="S7341" i="5" s="1"/>
  <c r="M7421" i="5"/>
  <c r="Q7441" i="5"/>
  <c r="R7441" i="5" s="1"/>
  <c r="S7441" i="5" s="1"/>
  <c r="Q7471" i="5"/>
  <c r="M7481" i="5"/>
  <c r="N7481" i="5" s="1"/>
  <c r="Q7319" i="5"/>
  <c r="R7319" i="5" s="1"/>
  <c r="S7319" i="5" s="1"/>
  <c r="Q7410" i="5"/>
  <c r="Q7451" i="5"/>
  <c r="Q7491" i="5"/>
  <c r="R7491" i="5" s="1"/>
  <c r="S7491" i="5" s="1"/>
  <c r="M7369" i="5"/>
  <c r="M7431" i="5"/>
  <c r="N7431" i="5" s="1"/>
  <c r="O7431" i="5" s="1"/>
  <c r="Q7461" i="5"/>
  <c r="M7458" i="5"/>
  <c r="Q7321" i="5"/>
  <c r="R7321" i="5" s="1"/>
  <c r="S7321" i="5" s="1"/>
  <c r="Q7257" i="5"/>
  <c r="R7257" i="5" s="1"/>
  <c r="S7257" i="5" s="1"/>
  <c r="M7313" i="5"/>
  <c r="M7322" i="5"/>
  <c r="Q7332" i="5"/>
  <c r="Q7360" i="5"/>
  <c r="M7411" i="5"/>
  <c r="M7452" i="5"/>
  <c r="Q7375" i="5"/>
  <c r="R7375" i="5" s="1"/>
  <c r="S7375" i="5" s="1"/>
  <c r="Q7348" i="5"/>
  <c r="Q7256" i="5"/>
  <c r="R7256" i="5" s="1"/>
  <c r="S7256" i="5" s="1"/>
  <c r="Q7247" i="5"/>
  <c r="M7294" i="5"/>
  <c r="Q7303" i="5"/>
  <c r="R7303" i="5" s="1"/>
  <c r="S7303" i="5" s="1"/>
  <c r="Q7342" i="5"/>
  <c r="R7342" i="5" s="1"/>
  <c r="S7342" i="5" s="1"/>
  <c r="Q7400" i="5"/>
  <c r="R7400" i="5" s="1"/>
  <c r="S7400" i="5" s="1"/>
  <c r="M7422" i="5"/>
  <c r="N7422" i="5" s="1"/>
  <c r="M7442" i="5"/>
  <c r="M7346" i="5"/>
  <c r="M7284" i="5"/>
  <c r="N7284" i="5" s="1"/>
  <c r="M7292" i="5"/>
  <c r="N7292" i="5" s="1"/>
  <c r="O7292" i="5" s="1"/>
  <c r="M7285" i="5"/>
  <c r="M7380" i="5"/>
  <c r="L7455" i="5"/>
  <c r="P7455" i="5" s="1"/>
  <c r="R7428" i="5"/>
  <c r="S7428" i="5" s="1"/>
  <c r="Q7245" i="5"/>
  <c r="R7245" i="5" s="1"/>
  <c r="S7245" i="5" s="1"/>
  <c r="Q7270" i="5"/>
  <c r="M7290" i="5"/>
  <c r="Q7447" i="5"/>
  <c r="Q7474" i="5"/>
  <c r="R7474" i="5" s="1"/>
  <c r="S7474" i="5" s="1"/>
  <c r="M7304" i="5"/>
  <c r="M7339" i="5"/>
  <c r="M7352" i="5"/>
  <c r="M7379" i="5"/>
  <c r="M7407" i="5"/>
  <c r="M7414" i="5"/>
  <c r="M7434" i="5"/>
  <c r="M7487" i="5"/>
  <c r="Q7249" i="5"/>
  <c r="R7249" i="5" s="1"/>
  <c r="S7249" i="5" s="1"/>
  <c r="Q7263" i="5"/>
  <c r="M7428" i="5"/>
  <c r="M7415" i="5"/>
  <c r="Q7333" i="5"/>
  <c r="M7435" i="5"/>
  <c r="N7435" i="5" s="1"/>
  <c r="M7299" i="5"/>
  <c r="N7299" i="5" s="1"/>
  <c r="Q7279" i="5"/>
  <c r="R7279" i="5" s="1"/>
  <c r="S7279" i="5" s="1"/>
  <c r="M7306" i="5"/>
  <c r="M7320" i="5"/>
  <c r="M7327" i="5"/>
  <c r="M7347" i="5"/>
  <c r="M7354" i="5"/>
  <c r="M7361" i="5"/>
  <c r="M7374" i="5"/>
  <c r="M7381" i="5"/>
  <c r="M7388" i="5"/>
  <c r="N7388" i="5" s="1"/>
  <c r="M7402" i="5"/>
  <c r="M7409" i="5"/>
  <c r="M7463" i="5"/>
  <c r="M7482" i="5"/>
  <c r="M7489" i="5"/>
  <c r="M7387" i="5"/>
  <c r="M7488" i="5"/>
  <c r="L7279" i="5"/>
  <c r="N7279" i="5" s="1"/>
  <c r="N7395" i="5"/>
  <c r="L7482" i="5"/>
  <c r="P7482" i="5" s="1"/>
  <c r="R7252" i="5"/>
  <c r="S7252" i="5" s="1"/>
  <c r="M7234" i="5"/>
  <c r="M7241" i="5"/>
  <c r="M7266" i="5"/>
  <c r="M7273" i="5"/>
  <c r="M7430" i="5"/>
  <c r="M7436" i="5"/>
  <c r="M7443" i="5"/>
  <c r="M7450" i="5"/>
  <c r="N7450" i="5" s="1"/>
  <c r="M7476" i="5"/>
  <c r="Q7246" i="5"/>
  <c r="M7280" i="5"/>
  <c r="M7286" i="5"/>
  <c r="M7293" i="5"/>
  <c r="N7483" i="5"/>
  <c r="M7251" i="5"/>
  <c r="N7251" i="5" s="1"/>
  <c r="M7389" i="5"/>
  <c r="N7389" i="5" s="1"/>
  <c r="M7457" i="5"/>
  <c r="M7464" i="5"/>
  <c r="R7243" i="5"/>
  <c r="S7243" i="5" s="1"/>
  <c r="Q7308" i="5"/>
  <c r="M7248" i="5"/>
  <c r="M7329" i="5"/>
  <c r="M7349" i="5"/>
  <c r="Q7363" i="5"/>
  <c r="Q7465" i="5"/>
  <c r="Q7418" i="5"/>
  <c r="R7418" i="5" s="1"/>
  <c r="S7418" i="5" s="1"/>
  <c r="Q7268" i="5"/>
  <c r="R7268" i="5" s="1"/>
  <c r="S7268" i="5" s="1"/>
  <c r="M7295" i="5"/>
  <c r="Q7472" i="5"/>
  <c r="M7337" i="5"/>
  <c r="M7405" i="5"/>
  <c r="M7432" i="5"/>
  <c r="M7466" i="5"/>
  <c r="M7492" i="5"/>
  <c r="Q7309" i="5"/>
  <c r="R7309" i="5" s="1"/>
  <c r="S7309" i="5" s="1"/>
  <c r="Q7323" i="5"/>
  <c r="Q7350" i="5"/>
  <c r="R7350" i="5" s="1"/>
  <c r="S7350" i="5" s="1"/>
  <c r="Q7377" i="5"/>
  <c r="Q7391" i="5"/>
  <c r="Q7398" i="5"/>
  <c r="Q7459" i="5"/>
  <c r="R7459" i="5" s="1"/>
  <c r="S7459" i="5" s="1"/>
  <c r="M7237" i="5"/>
  <c r="N7237" i="5" s="1"/>
  <c r="M7244" i="5"/>
  <c r="M7255" i="5"/>
  <c r="M7262" i="5"/>
  <c r="M7269" i="5"/>
  <c r="Q7419" i="5"/>
  <c r="Q7426" i="5"/>
  <c r="M7439" i="5"/>
  <c r="M7446" i="5"/>
  <c r="M7453" i="5"/>
  <c r="M7473" i="5"/>
  <c r="M7479" i="5"/>
  <c r="M7243" i="5"/>
  <c r="M7445" i="5"/>
  <c r="M7485" i="5"/>
  <c r="N7485" i="5" s="1"/>
  <c r="M7283" i="5"/>
  <c r="M7296" i="5"/>
  <c r="M7404" i="5"/>
  <c r="Q7390" i="5"/>
  <c r="R7390" i="5" s="1"/>
  <c r="S7390" i="5" s="1"/>
  <c r="Q7254" i="5"/>
  <c r="M7282" i="5"/>
  <c r="M7310" i="5"/>
  <c r="M7317" i="5"/>
  <c r="M7324" i="5"/>
  <c r="M7331" i="5"/>
  <c r="N7331" i="5" s="1"/>
  <c r="O7331" i="5" s="1"/>
  <c r="M7338" i="5"/>
  <c r="M7344" i="5"/>
  <c r="M7351" i="5"/>
  <c r="M7358" i="5"/>
  <c r="M7364" i="5"/>
  <c r="N7364" i="5" s="1"/>
  <c r="M7371" i="5"/>
  <c r="N7371" i="5" s="1"/>
  <c r="M7378" i="5"/>
  <c r="M7392" i="5"/>
  <c r="M7399" i="5"/>
  <c r="M7406" i="5"/>
  <c r="M7413" i="5"/>
  <c r="R7427" i="5"/>
  <c r="S7427" i="5" s="1"/>
  <c r="M7433" i="5"/>
  <c r="M7460" i="5"/>
  <c r="M7467" i="5"/>
  <c r="M7486" i="5"/>
  <c r="M7493" i="5"/>
  <c r="R7295" i="5"/>
  <c r="S7295" i="5" s="1"/>
  <c r="M7420" i="5"/>
  <c r="M7427" i="5"/>
  <c r="R7302" i="5"/>
  <c r="S7302" i="5" s="1"/>
  <c r="R7330" i="5"/>
  <c r="S7330" i="5" s="1"/>
  <c r="R7337" i="5"/>
  <c r="S7337" i="5" s="1"/>
  <c r="R7412" i="5"/>
  <c r="S7412" i="5" s="1"/>
  <c r="R7473" i="5"/>
  <c r="S7473" i="5" s="1"/>
  <c r="R7324" i="5"/>
  <c r="S7324" i="5" s="1"/>
  <c r="R7399" i="5"/>
  <c r="S7399" i="5" s="1"/>
  <c r="R7454" i="5"/>
  <c r="S7454" i="5" s="1"/>
  <c r="L7400" i="5"/>
  <c r="P7400" i="5" s="1"/>
  <c r="L7344" i="5"/>
  <c r="P7344" i="5" s="1"/>
  <c r="R7344" i="5"/>
  <c r="S7344" i="5" s="1"/>
  <c r="R7336" i="5"/>
  <c r="S7336" i="5" s="1"/>
  <c r="K7320" i="5"/>
  <c r="L7320" i="5" s="1"/>
  <c r="L7317" i="5"/>
  <c r="R7288" i="5"/>
  <c r="S7288" i="5" s="1"/>
  <c r="R7282" i="5"/>
  <c r="S7282" i="5" s="1"/>
  <c r="R7262" i="5"/>
  <c r="S7262" i="5" s="1"/>
  <c r="L7262" i="5"/>
  <c r="N7441" i="5"/>
  <c r="P7441" i="5"/>
  <c r="L7382" i="5"/>
  <c r="P7382" i="5" s="1"/>
  <c r="L7258" i="5"/>
  <c r="P7258" i="5" s="1"/>
  <c r="R7258" i="5"/>
  <c r="S7258" i="5" s="1"/>
  <c r="L7259" i="5"/>
  <c r="R7259" i="5"/>
  <c r="S7259" i="5" s="1"/>
  <c r="L7350" i="5"/>
  <c r="P7350" i="5" s="1"/>
  <c r="L7384" i="5"/>
  <c r="R7384" i="5"/>
  <c r="S7384" i="5" s="1"/>
  <c r="L7351" i="5"/>
  <c r="P7351" i="5" s="1"/>
  <c r="R7351" i="5"/>
  <c r="S7351" i="5" s="1"/>
  <c r="L7413" i="5"/>
  <c r="P7413" i="5" s="1"/>
  <c r="R7413" i="5"/>
  <c r="S7413" i="5" s="1"/>
  <c r="L7474" i="5"/>
  <c r="N7474" i="5" s="1"/>
  <c r="L7268" i="5"/>
  <c r="N7268" i="5" s="1"/>
  <c r="K7367" i="5"/>
  <c r="R7367" i="5" s="1"/>
  <c r="S7367" i="5" s="1"/>
  <c r="K7401" i="5"/>
  <c r="L7401" i="5" s="1"/>
  <c r="L7238" i="5"/>
  <c r="P7238" i="5" s="1"/>
  <c r="K7328" i="5"/>
  <c r="L7328" i="5" s="1"/>
  <c r="L7372" i="5"/>
  <c r="K7244" i="5"/>
  <c r="L7244" i="5" s="1"/>
  <c r="R7431" i="5"/>
  <c r="S7431" i="5" s="1"/>
  <c r="K7437" i="5"/>
  <c r="R7437" i="5" s="1"/>
  <c r="S7437" i="5" s="1"/>
  <c r="R7482" i="5"/>
  <c r="S7482" i="5" s="1"/>
  <c r="P7483" i="5"/>
  <c r="L7368" i="5"/>
  <c r="P7368" i="5" s="1"/>
  <c r="R7432" i="5"/>
  <c r="S7432" i="5" s="1"/>
  <c r="R7269" i="5"/>
  <c r="S7269" i="5" s="1"/>
  <c r="L7290" i="5"/>
  <c r="K7385" i="5"/>
  <c r="L7385" i="5" s="1"/>
  <c r="L7264" i="5"/>
  <c r="P7264" i="5" s="1"/>
  <c r="K7461" i="5"/>
  <c r="L7461" i="5" s="1"/>
  <c r="P7461" i="5" s="1"/>
  <c r="L7336" i="5"/>
  <c r="P7336" i="5" s="1"/>
  <c r="K7369" i="5"/>
  <c r="L7369" i="5" s="1"/>
  <c r="K7416" i="5"/>
  <c r="L7456" i="5"/>
  <c r="R7346" i="5"/>
  <c r="S7346" i="5" s="1"/>
  <c r="K7301" i="5"/>
  <c r="R7301" i="5" s="1"/>
  <c r="S7301" i="5" s="1"/>
  <c r="L7428" i="5"/>
  <c r="K7270" i="5"/>
  <c r="L7270" i="5" s="1"/>
  <c r="R7290" i="5"/>
  <c r="S7290" i="5" s="1"/>
  <c r="K7313" i="5"/>
  <c r="L7313" i="5" s="1"/>
  <c r="P7313" i="5" s="1"/>
  <c r="K7354" i="5"/>
  <c r="L7354" i="5" s="1"/>
  <c r="K7242" i="5"/>
  <c r="L7242" i="5" s="1"/>
  <c r="P7242" i="5" s="1"/>
  <c r="K7276" i="5"/>
  <c r="L7276" i="5" s="1"/>
  <c r="P7276" i="5" s="1"/>
  <c r="R7286" i="5"/>
  <c r="S7286" i="5" s="1"/>
  <c r="K7370" i="5"/>
  <c r="L7370" i="5" s="1"/>
  <c r="K7492" i="5"/>
  <c r="R7492" i="5" s="1"/>
  <c r="S7492" i="5" s="1"/>
  <c r="L7295" i="5"/>
  <c r="L7480" i="5"/>
  <c r="R7445" i="5"/>
  <c r="S7445" i="5" s="1"/>
  <c r="N7256" i="5"/>
  <c r="O7256" i="5" s="1"/>
  <c r="L7271" i="5"/>
  <c r="L7282" i="5"/>
  <c r="P7282" i="5" s="1"/>
  <c r="R7331" i="5"/>
  <c r="S7331" i="5" s="1"/>
  <c r="R7349" i="5"/>
  <c r="S7349" i="5" s="1"/>
  <c r="L7430" i="5"/>
  <c r="R7485" i="5"/>
  <c r="S7485" i="5" s="1"/>
  <c r="R7260" i="5"/>
  <c r="S7260" i="5" s="1"/>
  <c r="N7469" i="5"/>
  <c r="O7469" i="5" s="1"/>
  <c r="L7261" i="5"/>
  <c r="K7458" i="5"/>
  <c r="L7458" i="5" s="1"/>
  <c r="L7303" i="5"/>
  <c r="P7303" i="5" s="1"/>
  <c r="K7464" i="5"/>
  <c r="R7464" i="5" s="1"/>
  <c r="S7464" i="5" s="1"/>
  <c r="L7269" i="5"/>
  <c r="P7269" i="5" s="1"/>
  <c r="R7261" i="5"/>
  <c r="S7261" i="5" s="1"/>
  <c r="K7316" i="5"/>
  <c r="R7316" i="5" s="1"/>
  <c r="S7316" i="5" s="1"/>
  <c r="K7425" i="5"/>
  <c r="R7425" i="5" s="1"/>
  <c r="S7425" i="5" s="1"/>
  <c r="R7481" i="5"/>
  <c r="S7481" i="5" s="1"/>
  <c r="K7434" i="5"/>
  <c r="L7434" i="5" s="1"/>
  <c r="L7445" i="5"/>
  <c r="L7257" i="5"/>
  <c r="R7361" i="5"/>
  <c r="S7361" i="5" s="1"/>
  <c r="R7371" i="5"/>
  <c r="S7371" i="5" s="1"/>
  <c r="K7377" i="5"/>
  <c r="L7377" i="5" s="1"/>
  <c r="K7383" i="5"/>
  <c r="L7383" i="5" s="1"/>
  <c r="N7383" i="5" s="1"/>
  <c r="N7245" i="5"/>
  <c r="P7245" i="5"/>
  <c r="P7422" i="5"/>
  <c r="P7364" i="5"/>
  <c r="K7439" i="5"/>
  <c r="L7439" i="5" s="1"/>
  <c r="P7281" i="5"/>
  <c r="L7309" i="5"/>
  <c r="K7263" i="5"/>
  <c r="K7397" i="5"/>
  <c r="L7397" i="5" s="1"/>
  <c r="K7462" i="5"/>
  <c r="L7321" i="5"/>
  <c r="K7305" i="5"/>
  <c r="K7463" i="5"/>
  <c r="R7463" i="5" s="1"/>
  <c r="S7463" i="5" s="1"/>
  <c r="K7352" i="5"/>
  <c r="R7352" i="5" s="1"/>
  <c r="S7352" i="5" s="1"/>
  <c r="P7371" i="5"/>
  <c r="K7280" i="5"/>
  <c r="R7280" i="5" s="1"/>
  <c r="S7280" i="5" s="1"/>
  <c r="P7299" i="5"/>
  <c r="K7453" i="5"/>
  <c r="R7453" i="5" s="1"/>
  <c r="S7453" i="5" s="1"/>
  <c r="K7348" i="5"/>
  <c r="L7348" i="5" s="1"/>
  <c r="R7329" i="5"/>
  <c r="S7329" i="5" s="1"/>
  <c r="L7329" i="5"/>
  <c r="L7252" i="5"/>
  <c r="K7444" i="5"/>
  <c r="P7284" i="5"/>
  <c r="K7247" i="5"/>
  <c r="L7247" i="5" s="1"/>
  <c r="K7333" i="5"/>
  <c r="P7388" i="5"/>
  <c r="P7438" i="5"/>
  <c r="K7380" i="5"/>
  <c r="R7380" i="5" s="1"/>
  <c r="S7380" i="5" s="1"/>
  <c r="L7249" i="5"/>
  <c r="P7287" i="5"/>
  <c r="N7287" i="5"/>
  <c r="L7427" i="5"/>
  <c r="P7251" i="5"/>
  <c r="K7297" i="5"/>
  <c r="R7297" i="5" s="1"/>
  <c r="S7297" i="5" s="1"/>
  <c r="K7235" i="5"/>
  <c r="K7393" i="5"/>
  <c r="L7393" i="5" s="1"/>
  <c r="K7419" i="5"/>
  <c r="L7419" i="5" s="1"/>
  <c r="K7322" i="5"/>
  <c r="L7322" i="5" s="1"/>
  <c r="K7376" i="5"/>
  <c r="L7376" i="5" s="1"/>
  <c r="N7298" i="5"/>
  <c r="P7298" i="5"/>
  <c r="L7302" i="5"/>
  <c r="K7239" i="5"/>
  <c r="K7267" i="5"/>
  <c r="K7310" i="5"/>
  <c r="L7310" i="5" s="1"/>
  <c r="K7314" i="5"/>
  <c r="L7314" i="5" s="1"/>
  <c r="K7326" i="5"/>
  <c r="L7326" i="5" s="1"/>
  <c r="K7338" i="5"/>
  <c r="R7338" i="5" s="1"/>
  <c r="S7338" i="5" s="1"/>
  <c r="K7381" i="5"/>
  <c r="R7381" i="5" s="1"/>
  <c r="S7381" i="5" s="1"/>
  <c r="K7236" i="5"/>
  <c r="L7236" i="5" s="1"/>
  <c r="R7281" i="5"/>
  <c r="S7281" i="5" s="1"/>
  <c r="R7357" i="5"/>
  <c r="S7357" i="5" s="1"/>
  <c r="P7389" i="5"/>
  <c r="N7459" i="5"/>
  <c r="P7459" i="5"/>
  <c r="P7288" i="5"/>
  <c r="R7299" i="5"/>
  <c r="S7299" i="5" s="1"/>
  <c r="K7365" i="5"/>
  <c r="L7243" i="5"/>
  <c r="L7273" i="5"/>
  <c r="R7273" i="5"/>
  <c r="S7273" i="5" s="1"/>
  <c r="K7240" i="5"/>
  <c r="R7240" i="5" s="1"/>
  <c r="S7240" i="5" s="1"/>
  <c r="L7399" i="5"/>
  <c r="K7254" i="5"/>
  <c r="L7254" i="5" s="1"/>
  <c r="K7315" i="5"/>
  <c r="L7315" i="5" s="1"/>
  <c r="K7407" i="5"/>
  <c r="R7407" i="5" s="1"/>
  <c r="S7407" i="5" s="1"/>
  <c r="K7278" i="5"/>
  <c r="K7323" i="5"/>
  <c r="L7323" i="5" s="1"/>
  <c r="K7339" i="5"/>
  <c r="R7339" i="5" s="1"/>
  <c r="S7339" i="5" s="1"/>
  <c r="P7390" i="5"/>
  <c r="N7390" i="5"/>
  <c r="K7429" i="5"/>
  <c r="R7429" i="5" s="1"/>
  <c r="S7429" i="5" s="1"/>
  <c r="K7460" i="5"/>
  <c r="L7460" i="5" s="1"/>
  <c r="K7465" i="5"/>
  <c r="L7465" i="5" s="1"/>
  <c r="K7479" i="5"/>
  <c r="L7479" i="5" s="1"/>
  <c r="K7311" i="5"/>
  <c r="L7311" i="5" s="1"/>
  <c r="K7296" i="5"/>
  <c r="R7296" i="5" s="1"/>
  <c r="S7296" i="5" s="1"/>
  <c r="K7335" i="5"/>
  <c r="R7251" i="5"/>
  <c r="S7251" i="5" s="1"/>
  <c r="K7285" i="5"/>
  <c r="L7285" i="5" s="1"/>
  <c r="K7347" i="5"/>
  <c r="R7347" i="5" s="1"/>
  <c r="S7347" i="5" s="1"/>
  <c r="P7395" i="5"/>
  <c r="L7412" i="5"/>
  <c r="K7433" i="5"/>
  <c r="R7433" i="5" s="1"/>
  <c r="S7433" i="5" s="1"/>
  <c r="K7274" i="5"/>
  <c r="L7342" i="5"/>
  <c r="L7291" i="5"/>
  <c r="K7253" i="5"/>
  <c r="L7253" i="5" s="1"/>
  <c r="P7237" i="5"/>
  <c r="K7255" i="5"/>
  <c r="R7255" i="5" s="1"/>
  <c r="S7255" i="5" s="1"/>
  <c r="K7340" i="5"/>
  <c r="K7374" i="5"/>
  <c r="R7374" i="5" s="1"/>
  <c r="S7374" i="5" s="1"/>
  <c r="K7387" i="5"/>
  <c r="L7387" i="5" s="1"/>
  <c r="K7410" i="5"/>
  <c r="K7248" i="5"/>
  <c r="R7248" i="5" s="1"/>
  <c r="S7248" i="5" s="1"/>
  <c r="R7241" i="5"/>
  <c r="S7241" i="5" s="1"/>
  <c r="L7265" i="5"/>
  <c r="K7312" i="5"/>
  <c r="R7312" i="5" s="1"/>
  <c r="S7312" i="5" s="1"/>
  <c r="K7408" i="5"/>
  <c r="R7408" i="5" s="1"/>
  <c r="S7408" i="5" s="1"/>
  <c r="K7442" i="5"/>
  <c r="L7442" i="5" s="1"/>
  <c r="K7293" i="5"/>
  <c r="L7293" i="5" s="1"/>
  <c r="L7241" i="5"/>
  <c r="K7283" i="5"/>
  <c r="L7283" i="5" s="1"/>
  <c r="K7308" i="5"/>
  <c r="K7396" i="5"/>
  <c r="K7404" i="5"/>
  <c r="R7404" i="5" s="1"/>
  <c r="S7404" i="5" s="1"/>
  <c r="K7457" i="5"/>
  <c r="L7457" i="5" s="1"/>
  <c r="K7466" i="5"/>
  <c r="R7466" i="5" s="1"/>
  <c r="S7466" i="5" s="1"/>
  <c r="L7300" i="5"/>
  <c r="L7345" i="5"/>
  <c r="K7423" i="5"/>
  <c r="R7423" i="5" s="1"/>
  <c r="S7423" i="5" s="1"/>
  <c r="P7481" i="5"/>
  <c r="P7450" i="5"/>
  <c r="K7294" i="5"/>
  <c r="R7294" i="5" s="1"/>
  <c r="S7294" i="5" s="1"/>
  <c r="L7307" i="5"/>
  <c r="L7330" i="5"/>
  <c r="K7420" i="5"/>
  <c r="L7420" i="5" s="1"/>
  <c r="K7234" i="5"/>
  <c r="L7234" i="5" s="1"/>
  <c r="K7246" i="5"/>
  <c r="R7317" i="5"/>
  <c r="S7317" i="5" s="1"/>
  <c r="K7327" i="5"/>
  <c r="L7327" i="5" s="1"/>
  <c r="L7337" i="5"/>
  <c r="K7353" i="5"/>
  <c r="L7353" i="5" s="1"/>
  <c r="K7356" i="5"/>
  <c r="L7356" i="5" s="1"/>
  <c r="K7363" i="5"/>
  <c r="L7363" i="5" s="1"/>
  <c r="K7424" i="5"/>
  <c r="R7424" i="5" s="1"/>
  <c r="S7424" i="5" s="1"/>
  <c r="R7450" i="5"/>
  <c r="S7450" i="5" s="1"/>
  <c r="R7468" i="5"/>
  <c r="S7468" i="5" s="1"/>
  <c r="L7468" i="5"/>
  <c r="L7473" i="5"/>
  <c r="K7477" i="5"/>
  <c r="K7343" i="5"/>
  <c r="R7343" i="5" s="1"/>
  <c r="S7343" i="5" s="1"/>
  <c r="L7334" i="5"/>
  <c r="K7360" i="5"/>
  <c r="K7398" i="5"/>
  <c r="K7417" i="5"/>
  <c r="K7447" i="5"/>
  <c r="L7260" i="5"/>
  <c r="K7272" i="5"/>
  <c r="L7272" i="5" s="1"/>
  <c r="L7275" i="5"/>
  <c r="L7286" i="5"/>
  <c r="K7373" i="5"/>
  <c r="R7373" i="5" s="1"/>
  <c r="S7373" i="5" s="1"/>
  <c r="L7402" i="5"/>
  <c r="R7402" i="5"/>
  <c r="S7402" i="5" s="1"/>
  <c r="R7430" i="5"/>
  <c r="S7430" i="5" s="1"/>
  <c r="K7318" i="5"/>
  <c r="L7318" i="5" s="1"/>
  <c r="R7378" i="5"/>
  <c r="S7378" i="5" s="1"/>
  <c r="L7378" i="5"/>
  <c r="R7237" i="5"/>
  <c r="S7237" i="5" s="1"/>
  <c r="L7289" i="5"/>
  <c r="R7292" i="5"/>
  <c r="S7292" i="5" s="1"/>
  <c r="L7349" i="5"/>
  <c r="K7394" i="5"/>
  <c r="R7394" i="5" s="1"/>
  <c r="S7394" i="5" s="1"/>
  <c r="K7421" i="5"/>
  <c r="R7421" i="5" s="1"/>
  <c r="S7421" i="5" s="1"/>
  <c r="K7471" i="5"/>
  <c r="L7471" i="5" s="1"/>
  <c r="K7475" i="5"/>
  <c r="L7475" i="5" s="1"/>
  <c r="R7358" i="5"/>
  <c r="S7358" i="5" s="1"/>
  <c r="L7324" i="5"/>
  <c r="K7355" i="5"/>
  <c r="L7358" i="5"/>
  <c r="L7361" i="5"/>
  <c r="R7388" i="5"/>
  <c r="S7388" i="5" s="1"/>
  <c r="K7391" i="5"/>
  <c r="K7411" i="5"/>
  <c r="R7411" i="5" s="1"/>
  <c r="S7411" i="5" s="1"/>
  <c r="L7418" i="5"/>
  <c r="K7448" i="5"/>
  <c r="K7484" i="5"/>
  <c r="L7484" i="5" s="1"/>
  <c r="K7266" i="5"/>
  <c r="R7266" i="5" s="1"/>
  <c r="S7266" i="5" s="1"/>
  <c r="R7379" i="5"/>
  <c r="S7379" i="5" s="1"/>
  <c r="L7379" i="5"/>
  <c r="K7405" i="5"/>
  <c r="L7405" i="5" s="1"/>
  <c r="R7422" i="5"/>
  <c r="S7422" i="5" s="1"/>
  <c r="R7449" i="5"/>
  <c r="S7449" i="5" s="1"/>
  <c r="L7449" i="5"/>
  <c r="K7472" i="5"/>
  <c r="K7414" i="5"/>
  <c r="R7414" i="5" s="1"/>
  <c r="S7414" i="5" s="1"/>
  <c r="K7488" i="5"/>
  <c r="L7488" i="5" s="1"/>
  <c r="L7319" i="5"/>
  <c r="K7451" i="5"/>
  <c r="L7454" i="5"/>
  <c r="L7478" i="5"/>
  <c r="K7386" i="5"/>
  <c r="L7386" i="5" s="1"/>
  <c r="K7409" i="5"/>
  <c r="L7409" i="5" s="1"/>
  <c r="R7306" i="5"/>
  <c r="S7306" i="5" s="1"/>
  <c r="L7306" i="5"/>
  <c r="L7341" i="5"/>
  <c r="K7359" i="5"/>
  <c r="R7359" i="5" s="1"/>
  <c r="S7359" i="5" s="1"/>
  <c r="L7362" i="5"/>
  <c r="R7364" i="5"/>
  <c r="S7364" i="5" s="1"/>
  <c r="L7375" i="5"/>
  <c r="R7389" i="5"/>
  <c r="S7389" i="5" s="1"/>
  <c r="K7392" i="5"/>
  <c r="L7392" i="5" s="1"/>
  <c r="L7403" i="5"/>
  <c r="K7406" i="5"/>
  <c r="L7406" i="5" s="1"/>
  <c r="K7426" i="5"/>
  <c r="L7440" i="5"/>
  <c r="K7489" i="5"/>
  <c r="L7489" i="5" s="1"/>
  <c r="K7415" i="5"/>
  <c r="R7415" i="5" s="1"/>
  <c r="S7415" i="5" s="1"/>
  <c r="K7467" i="5"/>
  <c r="R7467" i="5" s="1"/>
  <c r="S7467" i="5" s="1"/>
  <c r="L7432" i="5"/>
  <c r="K7452" i="5"/>
  <c r="R7452" i="5" s="1"/>
  <c r="S7452" i="5" s="1"/>
  <c r="L7346" i="5"/>
  <c r="R7435" i="5"/>
  <c r="S7435" i="5" s="1"/>
  <c r="R7455" i="5"/>
  <c r="S7455" i="5" s="1"/>
  <c r="K7476" i="5"/>
  <c r="L7476" i="5" s="1"/>
  <c r="K7486" i="5"/>
  <c r="R7486" i="5" s="1"/>
  <c r="S7486" i="5" s="1"/>
  <c r="L7490" i="5"/>
  <c r="K7470" i="5"/>
  <c r="R7470" i="5" s="1"/>
  <c r="S7470" i="5" s="1"/>
  <c r="K7487" i="5"/>
  <c r="R7487" i="5" s="1"/>
  <c r="S7487" i="5" s="1"/>
  <c r="R7438" i="5"/>
  <c r="S7438" i="5" s="1"/>
  <c r="K7443" i="5"/>
  <c r="R7443" i="5" s="1"/>
  <c r="S7443" i="5" s="1"/>
  <c r="K7493" i="5"/>
  <c r="L7493" i="5" s="1"/>
  <c r="L7250" i="5"/>
  <c r="L7277" i="5"/>
  <c r="R7284" i="5"/>
  <c r="S7284" i="5" s="1"/>
  <c r="P7485" i="5"/>
  <c r="K7304" i="5"/>
  <c r="R7304" i="5" s="1"/>
  <c r="S7304" i="5" s="1"/>
  <c r="K7332" i="5"/>
  <c r="K7366" i="5"/>
  <c r="R7366" i="5" s="1"/>
  <c r="S7366" i="5" s="1"/>
  <c r="K7446" i="5"/>
  <c r="R7446" i="5" s="1"/>
  <c r="S7446" i="5" s="1"/>
  <c r="L7325" i="5"/>
  <c r="K7436" i="5"/>
  <c r="L7436" i="5" s="1"/>
  <c r="L7491" i="5"/>
  <c r="U9" i="6" l="1"/>
  <c r="V9" i="6"/>
  <c r="P99" i="6"/>
  <c r="N7261" i="5"/>
  <c r="R7239" i="5"/>
  <c r="S7239" i="5" s="1"/>
  <c r="R7340" i="5"/>
  <c r="S7340" i="5" s="1"/>
  <c r="P140" i="6"/>
  <c r="P70" i="6"/>
  <c r="AB28" i="6"/>
  <c r="AA28" i="6" s="1"/>
  <c r="AC28" i="6" s="1"/>
  <c r="P83" i="6"/>
  <c r="P16" i="6"/>
  <c r="P104" i="6"/>
  <c r="P23" i="6"/>
  <c r="P130" i="6"/>
  <c r="P101" i="6"/>
  <c r="P11" i="6"/>
  <c r="P21" i="6"/>
  <c r="P47" i="6"/>
  <c r="P153" i="6"/>
  <c r="P57" i="6"/>
  <c r="P154" i="6"/>
  <c r="P96" i="6"/>
  <c r="P90" i="6"/>
  <c r="R7387" i="5"/>
  <c r="S7387" i="5" s="1"/>
  <c r="P18" i="6"/>
  <c r="P46" i="6"/>
  <c r="R7472" i="5"/>
  <c r="S7472" i="5" s="1"/>
  <c r="O7287" i="5"/>
  <c r="P144" i="6"/>
  <c r="U7298" i="5"/>
  <c r="V7298" i="5" s="1"/>
  <c r="P110" i="6"/>
  <c r="AB61" i="6"/>
  <c r="AB62" i="6"/>
  <c r="AB63" i="6"/>
  <c r="AB64" i="6"/>
  <c r="AA160" i="6"/>
  <c r="AC160" i="6"/>
  <c r="P131" i="6"/>
  <c r="P27" i="6"/>
  <c r="P91" i="6"/>
  <c r="P52" i="6"/>
  <c r="P64" i="6"/>
  <c r="P36" i="6"/>
  <c r="P155" i="6"/>
  <c r="P66" i="6"/>
  <c r="P105" i="6"/>
  <c r="P114" i="6"/>
  <c r="P78" i="6"/>
  <c r="P32" i="6"/>
  <c r="P123" i="6"/>
  <c r="P24" i="6"/>
  <c r="P43" i="6"/>
  <c r="P30" i="6"/>
  <c r="P136" i="6"/>
  <c r="P147" i="6"/>
  <c r="O7422" i="5"/>
  <c r="U7441" i="5"/>
  <c r="V7441" i="5" s="1"/>
  <c r="R7396" i="5"/>
  <c r="S7396" i="5" s="1"/>
  <c r="R7267" i="5"/>
  <c r="S7267" i="5" s="1"/>
  <c r="U7459" i="5"/>
  <c r="V7459" i="5" s="1"/>
  <c r="V75" i="6"/>
  <c r="U56" i="6"/>
  <c r="P128" i="6"/>
  <c r="P76" i="6"/>
  <c r="U73" i="6"/>
  <c r="P134" i="6"/>
  <c r="V108" i="6"/>
  <c r="V35" i="6"/>
  <c r="P44" i="6"/>
  <c r="V45" i="6"/>
  <c r="U145" i="6"/>
  <c r="U34" i="6"/>
  <c r="U80" i="6"/>
  <c r="U102" i="6"/>
  <c r="P97" i="6"/>
  <c r="P10" i="6"/>
  <c r="P138" i="6"/>
  <c r="P92" i="6"/>
  <c r="U38" i="6"/>
  <c r="P127" i="6"/>
  <c r="U128" i="6"/>
  <c r="V29" i="6"/>
  <c r="U29" i="6"/>
  <c r="U126" i="6"/>
  <c r="V126" i="6"/>
  <c r="P79" i="6"/>
  <c r="V103" i="6"/>
  <c r="P152" i="6"/>
  <c r="P63" i="6"/>
  <c r="P98" i="6"/>
  <c r="P38" i="6"/>
  <c r="P59" i="6"/>
  <c r="U143" i="6"/>
  <c r="U148" i="6"/>
  <c r="V136" i="6"/>
  <c r="P145" i="6"/>
  <c r="P160" i="6"/>
  <c r="U32" i="6"/>
  <c r="P8" i="6"/>
  <c r="U46" i="6"/>
  <c r="U23" i="6"/>
  <c r="U106" i="6"/>
  <c r="U21" i="6"/>
  <c r="V150" i="6"/>
  <c r="P17" i="6"/>
  <c r="P139" i="6"/>
  <c r="V72" i="6"/>
  <c r="U91" i="6"/>
  <c r="P48" i="6"/>
  <c r="P62" i="6"/>
  <c r="P113" i="6"/>
  <c r="V86" i="6"/>
  <c r="U86" i="6"/>
  <c r="P151" i="6"/>
  <c r="V26" i="6"/>
  <c r="U48" i="6"/>
  <c r="U44" i="6"/>
  <c r="U41" i="6"/>
  <c r="U49" i="6"/>
  <c r="V118" i="6"/>
  <c r="U146" i="6"/>
  <c r="V63" i="6"/>
  <c r="U104" i="6"/>
  <c r="U43" i="6"/>
  <c r="P35" i="6"/>
  <c r="P71" i="6"/>
  <c r="U59" i="6"/>
  <c r="U12" i="6"/>
  <c r="P148" i="6"/>
  <c r="V69" i="6"/>
  <c r="U160" i="6"/>
  <c r="P116" i="6"/>
  <c r="U57" i="6"/>
  <c r="V138" i="6"/>
  <c r="P125" i="6"/>
  <c r="P142" i="6"/>
  <c r="P121" i="6"/>
  <c r="V87" i="6"/>
  <c r="P77" i="6"/>
  <c r="U20" i="6"/>
  <c r="V107" i="6"/>
  <c r="U107" i="6"/>
  <c r="V55" i="6"/>
  <c r="U55" i="6"/>
  <c r="V141" i="6"/>
  <c r="U141" i="6"/>
  <c r="V47" i="6"/>
  <c r="U47" i="6"/>
  <c r="V51" i="6"/>
  <c r="U51" i="6"/>
  <c r="P14" i="6"/>
  <c r="P40" i="6"/>
  <c r="U98" i="6"/>
  <c r="U105" i="6"/>
  <c r="U99" i="6"/>
  <c r="U81" i="6"/>
  <c r="U54" i="6"/>
  <c r="V13" i="6"/>
  <c r="P119" i="6"/>
  <c r="V85" i="6"/>
  <c r="U85" i="6"/>
  <c r="U78" i="6"/>
  <c r="U82" i="6"/>
  <c r="U127" i="6"/>
  <c r="P117" i="6"/>
  <c r="V133" i="6"/>
  <c r="U133" i="6"/>
  <c r="U109" i="6"/>
  <c r="V134" i="6"/>
  <c r="P33" i="6"/>
  <c r="P73" i="6"/>
  <c r="U31" i="6"/>
  <c r="P102" i="6"/>
  <c r="P49" i="6"/>
  <c r="P29" i="6"/>
  <c r="V76" i="6"/>
  <c r="P106" i="6"/>
  <c r="P75" i="6"/>
  <c r="U71" i="6"/>
  <c r="U39" i="6"/>
  <c r="V39" i="6"/>
  <c r="P159" i="6"/>
  <c r="P132" i="6"/>
  <c r="P109" i="6"/>
  <c r="U65" i="6"/>
  <c r="P53" i="6"/>
  <c r="P146" i="6"/>
  <c r="V14" i="6"/>
  <c r="P60" i="6"/>
  <c r="V158" i="6"/>
  <c r="U153" i="6"/>
  <c r="U152" i="6"/>
  <c r="U149" i="6"/>
  <c r="P135" i="6"/>
  <c r="V132" i="6"/>
  <c r="P120" i="6"/>
  <c r="V116" i="6"/>
  <c r="P108" i="6"/>
  <c r="P107" i="6"/>
  <c r="P103" i="6"/>
  <c r="U101" i="6"/>
  <c r="V96" i="6"/>
  <c r="U92" i="6"/>
  <c r="P93" i="6"/>
  <c r="P81" i="6"/>
  <c r="P86" i="6"/>
  <c r="U74" i="6"/>
  <c r="U64" i="6"/>
  <c r="V62" i="6"/>
  <c r="P54" i="6"/>
  <c r="P51" i="6"/>
  <c r="P45" i="6"/>
  <c r="P42" i="6"/>
  <c r="P31" i="6"/>
  <c r="P26" i="6"/>
  <c r="V22" i="6"/>
  <c r="V18" i="6"/>
  <c r="P9" i="6"/>
  <c r="P34" i="6"/>
  <c r="U79" i="6"/>
  <c r="V36" i="6"/>
  <c r="U36" i="6"/>
  <c r="U131" i="6"/>
  <c r="V77" i="6"/>
  <c r="V121" i="6"/>
  <c r="U27" i="6"/>
  <c r="V27" i="6"/>
  <c r="P80" i="6"/>
  <c r="V15" i="6"/>
  <c r="V100" i="6"/>
  <c r="U114" i="6"/>
  <c r="V114" i="6"/>
  <c r="V16" i="6"/>
  <c r="V83" i="6"/>
  <c r="U144" i="6"/>
  <c r="V144" i="6"/>
  <c r="U130" i="6"/>
  <c r="U11" i="6"/>
  <c r="P143" i="6"/>
  <c r="V53" i="6"/>
  <c r="U154" i="6"/>
  <c r="V33" i="6"/>
  <c r="U33" i="6"/>
  <c r="P85" i="6"/>
  <c r="U157" i="6"/>
  <c r="U52" i="6"/>
  <c r="P133" i="6"/>
  <c r="U90" i="6"/>
  <c r="V110" i="6"/>
  <c r="U110" i="6"/>
  <c r="U119" i="6"/>
  <c r="V97" i="6"/>
  <c r="P55" i="6"/>
  <c r="U123" i="6"/>
  <c r="V123" i="6"/>
  <c r="P56" i="6"/>
  <c r="P20" i="6"/>
  <c r="V140" i="6"/>
  <c r="U140" i="6"/>
  <c r="P141" i="6"/>
  <c r="V24" i="6"/>
  <c r="U24" i="6"/>
  <c r="P111" i="6"/>
  <c r="V155" i="6"/>
  <c r="U155" i="6"/>
  <c r="U124" i="6"/>
  <c r="V124" i="6"/>
  <c r="V112" i="6"/>
  <c r="U112" i="6"/>
  <c r="P58" i="6"/>
  <c r="P67" i="6"/>
  <c r="U58" i="6"/>
  <c r="V58" i="6"/>
  <c r="V8" i="6"/>
  <c r="U8" i="6"/>
  <c r="P12" i="6"/>
  <c r="V137" i="6"/>
  <c r="U137" i="6"/>
  <c r="P124" i="6"/>
  <c r="V120" i="6"/>
  <c r="U120" i="6"/>
  <c r="V125" i="6"/>
  <c r="U125" i="6"/>
  <c r="V113" i="6"/>
  <c r="U113" i="6"/>
  <c r="V61" i="6"/>
  <c r="U61" i="6"/>
  <c r="V93" i="6"/>
  <c r="U93" i="6"/>
  <c r="V68" i="6"/>
  <c r="U68" i="6"/>
  <c r="P68" i="6"/>
  <c r="P61" i="6"/>
  <c r="U66" i="6"/>
  <c r="V66" i="6"/>
  <c r="P112" i="6"/>
  <c r="V67" i="6"/>
  <c r="U67" i="6"/>
  <c r="V151" i="6"/>
  <c r="U151" i="6"/>
  <c r="P50" i="6"/>
  <c r="V70" i="6"/>
  <c r="U70" i="6"/>
  <c r="V95" i="6"/>
  <c r="U95" i="6"/>
  <c r="U50" i="6"/>
  <c r="V50" i="6"/>
  <c r="P137" i="6"/>
  <c r="V30" i="6"/>
  <c r="U30" i="6"/>
  <c r="P84" i="6"/>
  <c r="V60" i="6"/>
  <c r="U60" i="6"/>
  <c r="V37" i="6"/>
  <c r="U37" i="6"/>
  <c r="P88" i="6"/>
  <c r="P28" i="6"/>
  <c r="P95" i="6"/>
  <c r="V159" i="6"/>
  <c r="U159" i="6"/>
  <c r="V135" i="6"/>
  <c r="U135" i="6"/>
  <c r="P150" i="6"/>
  <c r="V40" i="6"/>
  <c r="U40" i="6"/>
  <c r="U142" i="6"/>
  <c r="V142" i="6"/>
  <c r="V111" i="6"/>
  <c r="U111" i="6"/>
  <c r="V84" i="6"/>
  <c r="U84" i="6"/>
  <c r="V122" i="6"/>
  <c r="U122" i="6"/>
  <c r="P37" i="6"/>
  <c r="U25" i="6"/>
  <c r="V25" i="6"/>
  <c r="P94" i="6"/>
  <c r="V115" i="6"/>
  <c r="U115" i="6"/>
  <c r="P89" i="6"/>
  <c r="P72" i="6"/>
  <c r="U129" i="6"/>
  <c r="V129" i="6"/>
  <c r="P156" i="6"/>
  <c r="U28" i="6"/>
  <c r="V28" i="6"/>
  <c r="V10" i="6"/>
  <c r="U10" i="6"/>
  <c r="V88" i="6"/>
  <c r="U88" i="6"/>
  <c r="P13" i="6"/>
  <c r="V139" i="6"/>
  <c r="U139" i="6"/>
  <c r="V147" i="6"/>
  <c r="U147" i="6"/>
  <c r="P87" i="6"/>
  <c r="P25" i="6"/>
  <c r="P122" i="6"/>
  <c r="U117" i="6"/>
  <c r="V117" i="6"/>
  <c r="P115" i="6"/>
  <c r="V42" i="6"/>
  <c r="U42" i="6"/>
  <c r="V17" i="6"/>
  <c r="U17" i="6"/>
  <c r="P129" i="6"/>
  <c r="V94" i="6"/>
  <c r="U94" i="6"/>
  <c r="U89" i="6"/>
  <c r="V89" i="6"/>
  <c r="U19" i="6"/>
  <c r="V19" i="6"/>
  <c r="P39" i="6"/>
  <c r="U156" i="6"/>
  <c r="V156" i="6"/>
  <c r="R7235" i="5"/>
  <c r="S7235" i="5" s="1"/>
  <c r="O7481" i="5"/>
  <c r="N7482" i="5"/>
  <c r="O7482" i="5" s="1"/>
  <c r="L7316" i="5"/>
  <c r="N7316" i="5" s="1"/>
  <c r="R7335" i="5"/>
  <c r="S7335" i="5" s="1"/>
  <c r="R7278" i="5"/>
  <c r="S7278" i="5" s="1"/>
  <c r="N7455" i="5"/>
  <c r="O7455" i="5" s="1"/>
  <c r="R7462" i="5"/>
  <c r="S7462" i="5" s="1"/>
  <c r="R7274" i="5"/>
  <c r="S7274" i="5" s="1"/>
  <c r="P7279" i="5"/>
  <c r="O7279" i="5" s="1"/>
  <c r="R7355" i="5"/>
  <c r="S7355" i="5" s="1"/>
  <c r="O7251" i="5"/>
  <c r="R7416" i="5"/>
  <c r="S7416" i="5" s="1"/>
  <c r="U7389" i="5"/>
  <c r="V7389" i="5" s="1"/>
  <c r="R7354" i="5"/>
  <c r="S7354" i="5" s="1"/>
  <c r="N7259" i="5"/>
  <c r="R7328" i="5"/>
  <c r="S7328" i="5" s="1"/>
  <c r="R7417" i="5"/>
  <c r="S7417" i="5" s="1"/>
  <c r="L7423" i="5"/>
  <c r="N7423" i="5" s="1"/>
  <c r="O7281" i="5"/>
  <c r="R7444" i="5"/>
  <c r="S7444" i="5" s="1"/>
  <c r="N7290" i="5"/>
  <c r="R7253" i="5"/>
  <c r="S7253" i="5" s="1"/>
  <c r="R7360" i="5"/>
  <c r="S7360" i="5" s="1"/>
  <c r="O7483" i="5"/>
  <c r="R7305" i="5"/>
  <c r="S7305" i="5" s="1"/>
  <c r="R7247" i="5"/>
  <c r="S7247" i="5" s="1"/>
  <c r="R7242" i="5"/>
  <c r="S7242" i="5" s="1"/>
  <c r="R7369" i="5"/>
  <c r="S7369" i="5" s="1"/>
  <c r="R7365" i="5"/>
  <c r="S7365" i="5" s="1"/>
  <c r="R7398" i="5"/>
  <c r="S7398" i="5" s="1"/>
  <c r="P7259" i="5"/>
  <c r="R7451" i="5"/>
  <c r="S7451" i="5" s="1"/>
  <c r="R7477" i="5"/>
  <c r="S7477" i="5" s="1"/>
  <c r="U7245" i="5"/>
  <c r="V7245" i="5" s="1"/>
  <c r="R7308" i="5"/>
  <c r="S7308" i="5" s="1"/>
  <c r="R7332" i="5"/>
  <c r="S7332" i="5" s="1"/>
  <c r="L7492" i="5"/>
  <c r="N7492" i="5" s="1"/>
  <c r="R7426" i="5"/>
  <c r="S7426" i="5" s="1"/>
  <c r="N7384" i="5"/>
  <c r="R7442" i="5"/>
  <c r="S7442" i="5" s="1"/>
  <c r="L7352" i="5"/>
  <c r="N7352" i="5" s="1"/>
  <c r="O7299" i="5"/>
  <c r="R7318" i="5"/>
  <c r="S7318" i="5" s="1"/>
  <c r="L7367" i="5"/>
  <c r="N7367" i="5" s="1"/>
  <c r="R7410" i="5"/>
  <c r="S7410" i="5" s="1"/>
  <c r="N7262" i="5"/>
  <c r="N7400" i="5"/>
  <c r="O7400" i="5" s="1"/>
  <c r="R7448" i="5"/>
  <c r="S7448" i="5" s="1"/>
  <c r="R7313" i="5"/>
  <c r="S7313" i="5" s="1"/>
  <c r="L7444" i="5"/>
  <c r="P7444" i="5" s="1"/>
  <c r="N7313" i="5"/>
  <c r="O7313" i="5" s="1"/>
  <c r="N7317" i="5"/>
  <c r="R7285" i="5"/>
  <c r="S7285" i="5" s="1"/>
  <c r="L7235" i="5"/>
  <c r="P7235" i="5" s="1"/>
  <c r="U7237" i="5"/>
  <c r="V7237" i="5" s="1"/>
  <c r="L7267" i="5"/>
  <c r="N7267" i="5" s="1"/>
  <c r="L7380" i="5"/>
  <c r="P7380" i="5" s="1"/>
  <c r="U7431" i="5"/>
  <c r="V7431" i="5" s="1"/>
  <c r="U7371" i="5"/>
  <c r="V7371" i="5" s="1"/>
  <c r="N7282" i="5"/>
  <c r="O7282" i="5" s="1"/>
  <c r="R7447" i="5"/>
  <c r="S7447" i="5" s="1"/>
  <c r="U7388" i="5"/>
  <c r="V7388" i="5" s="1"/>
  <c r="O7435" i="5"/>
  <c r="U7435" i="5"/>
  <c r="V7435" i="5" s="1"/>
  <c r="U7364" i="5"/>
  <c r="V7364" i="5" s="1"/>
  <c r="U7450" i="5"/>
  <c r="V7450" i="5" s="1"/>
  <c r="U7292" i="5"/>
  <c r="V7292" i="5" s="1"/>
  <c r="N7445" i="5"/>
  <c r="U7395" i="5"/>
  <c r="V7395" i="5" s="1"/>
  <c r="L7421" i="5"/>
  <c r="N7421" i="5" s="1"/>
  <c r="P7262" i="5"/>
  <c r="R7254" i="5"/>
  <c r="S7254" i="5" s="1"/>
  <c r="N7461" i="5"/>
  <c r="O7461" i="5" s="1"/>
  <c r="L7426" i="5"/>
  <c r="N7426" i="5" s="1"/>
  <c r="R7377" i="5"/>
  <c r="S7377" i="5" s="1"/>
  <c r="R7333" i="5"/>
  <c r="S7333" i="5" s="1"/>
  <c r="R7401" i="5"/>
  <c r="S7401" i="5" s="1"/>
  <c r="R7391" i="5"/>
  <c r="S7391" i="5" s="1"/>
  <c r="R7263" i="5"/>
  <c r="S7263" i="5" s="1"/>
  <c r="N7344" i="5"/>
  <c r="U7344" i="5" s="1"/>
  <c r="V7344" i="5" s="1"/>
  <c r="P7290" i="5"/>
  <c r="P7261" i="5"/>
  <c r="R7314" i="5"/>
  <c r="S7314" i="5" s="1"/>
  <c r="P7268" i="5"/>
  <c r="U7268" i="5" s="1"/>
  <c r="V7268" i="5" s="1"/>
  <c r="U7284" i="5"/>
  <c r="V7284" i="5" s="1"/>
  <c r="U7288" i="5"/>
  <c r="V7288" i="5" s="1"/>
  <c r="P7317" i="5"/>
  <c r="R7246" i="5"/>
  <c r="S7246" i="5" s="1"/>
  <c r="N7351" i="5"/>
  <c r="U7351" i="5" s="1"/>
  <c r="V7351" i="5" s="1"/>
  <c r="R7419" i="5"/>
  <c r="S7419" i="5" s="1"/>
  <c r="O7485" i="5"/>
  <c r="U7481" i="5"/>
  <c r="V7481" i="5" s="1"/>
  <c r="U7469" i="5"/>
  <c r="V7469" i="5" s="1"/>
  <c r="U7438" i="5"/>
  <c r="V7438" i="5" s="1"/>
  <c r="U7422" i="5"/>
  <c r="V7422" i="5" s="1"/>
  <c r="U7390" i="5"/>
  <c r="V7390" i="5" s="1"/>
  <c r="U7357" i="5"/>
  <c r="V7357" i="5" s="1"/>
  <c r="U7331" i="5"/>
  <c r="V7331" i="5" s="1"/>
  <c r="U7299" i="5"/>
  <c r="V7299" i="5" s="1"/>
  <c r="U7287" i="5"/>
  <c r="V7287" i="5" s="1"/>
  <c r="U7281" i="5"/>
  <c r="V7281" i="5" s="1"/>
  <c r="U7256" i="5"/>
  <c r="V7256" i="5" s="1"/>
  <c r="U7251" i="5"/>
  <c r="V7251" i="5" s="1"/>
  <c r="O7371" i="5"/>
  <c r="O7441" i="5"/>
  <c r="R7439" i="5"/>
  <c r="S7439" i="5" s="1"/>
  <c r="R7458" i="5"/>
  <c r="S7458" i="5" s="1"/>
  <c r="L7464" i="5"/>
  <c r="P7464" i="5" s="1"/>
  <c r="L7429" i="5"/>
  <c r="P7429" i="5" s="1"/>
  <c r="U7483" i="5"/>
  <c r="V7483" i="5" s="1"/>
  <c r="R7471" i="5"/>
  <c r="S7471" i="5" s="1"/>
  <c r="O7450" i="5"/>
  <c r="R7476" i="5"/>
  <c r="S7476" i="5" s="1"/>
  <c r="R7420" i="5"/>
  <c r="S7420" i="5" s="1"/>
  <c r="L7416" i="5"/>
  <c r="N7416" i="5" s="1"/>
  <c r="L7404" i="5"/>
  <c r="N7404" i="5" s="1"/>
  <c r="P7384" i="5"/>
  <c r="P7383" i="5"/>
  <c r="U7383" i="5" s="1"/>
  <c r="V7383" i="5" s="1"/>
  <c r="R7383" i="5"/>
  <c r="S7383" i="5" s="1"/>
  <c r="N7368" i="5"/>
  <c r="O7368" i="5" s="1"/>
  <c r="N7350" i="5"/>
  <c r="O7350" i="5" s="1"/>
  <c r="L7339" i="5"/>
  <c r="P7339" i="5" s="1"/>
  <c r="N7336" i="5"/>
  <c r="O7336" i="5" s="1"/>
  <c r="R7326" i="5"/>
  <c r="S7326" i="5" s="1"/>
  <c r="R7320" i="5"/>
  <c r="S7320" i="5" s="1"/>
  <c r="L7296" i="5"/>
  <c r="P7296" i="5" s="1"/>
  <c r="R7276" i="5"/>
  <c r="S7276" i="5" s="1"/>
  <c r="N7269" i="5"/>
  <c r="U7269" i="5" s="1"/>
  <c r="V7269" i="5" s="1"/>
  <c r="N7264" i="5"/>
  <c r="O7264" i="5" s="1"/>
  <c r="L7263" i="5"/>
  <c r="N7263" i="5" s="1"/>
  <c r="N7258" i="5"/>
  <c r="O7258" i="5" s="1"/>
  <c r="P7370" i="5"/>
  <c r="N7370" i="5"/>
  <c r="P7385" i="5"/>
  <c r="N7385" i="5"/>
  <c r="P7244" i="5"/>
  <c r="N7244" i="5"/>
  <c r="P7434" i="5"/>
  <c r="N7434" i="5"/>
  <c r="P7369" i="5"/>
  <c r="N7369" i="5"/>
  <c r="P7270" i="5"/>
  <c r="N7270" i="5"/>
  <c r="R7327" i="5"/>
  <c r="S7327" i="5" s="1"/>
  <c r="R7434" i="5"/>
  <c r="S7434" i="5" s="1"/>
  <c r="L7472" i="5"/>
  <c r="P7472" i="5" s="1"/>
  <c r="P7474" i="5"/>
  <c r="U7474" i="5" s="1"/>
  <c r="V7474" i="5" s="1"/>
  <c r="O7288" i="5"/>
  <c r="N7276" i="5"/>
  <c r="O7276" i="5" s="1"/>
  <c r="R7270" i="5"/>
  <c r="S7270" i="5" s="1"/>
  <c r="L7280" i="5"/>
  <c r="N7280" i="5" s="1"/>
  <c r="L7394" i="5"/>
  <c r="N7394" i="5" s="1"/>
  <c r="N7242" i="5"/>
  <c r="O7242" i="5" s="1"/>
  <c r="P7271" i="5"/>
  <c r="N7271" i="5"/>
  <c r="P7372" i="5"/>
  <c r="N7372" i="5"/>
  <c r="L7294" i="5"/>
  <c r="P7294" i="5" s="1"/>
  <c r="N7456" i="5"/>
  <c r="P7456" i="5"/>
  <c r="N7238" i="5"/>
  <c r="L7425" i="5"/>
  <c r="N7430" i="5"/>
  <c r="P7430" i="5"/>
  <c r="R7370" i="5"/>
  <c r="S7370" i="5" s="1"/>
  <c r="L7266" i="5"/>
  <c r="P7266" i="5" s="1"/>
  <c r="L7335" i="5"/>
  <c r="P7335" i="5" s="1"/>
  <c r="L7437" i="5"/>
  <c r="L7477" i="5"/>
  <c r="P7477" i="5" s="1"/>
  <c r="N7303" i="5"/>
  <c r="O7303" i="5" s="1"/>
  <c r="L7446" i="5"/>
  <c r="P7446" i="5" s="1"/>
  <c r="L7466" i="5"/>
  <c r="P7466" i="5" s="1"/>
  <c r="L7452" i="5"/>
  <c r="N7452" i="5" s="1"/>
  <c r="L7274" i="5"/>
  <c r="N7274" i="5" s="1"/>
  <c r="L7240" i="5"/>
  <c r="P7240" i="5" s="1"/>
  <c r="N7382" i="5"/>
  <c r="O7382" i="5" s="1"/>
  <c r="R7348" i="5"/>
  <c r="S7348" i="5" s="1"/>
  <c r="P7480" i="5"/>
  <c r="N7480" i="5"/>
  <c r="O7388" i="5"/>
  <c r="L7424" i="5"/>
  <c r="P7424" i="5" s="1"/>
  <c r="P7295" i="5"/>
  <c r="N7295" i="5"/>
  <c r="L7448" i="5"/>
  <c r="N7448" i="5" s="1"/>
  <c r="R7475" i="5"/>
  <c r="S7475" i="5" s="1"/>
  <c r="R7272" i="5"/>
  <c r="S7272" i="5" s="1"/>
  <c r="R7356" i="5"/>
  <c r="S7356" i="5" s="1"/>
  <c r="L7239" i="5"/>
  <c r="N7239" i="5" s="1"/>
  <c r="N7328" i="5"/>
  <c r="P7328" i="5"/>
  <c r="N7428" i="5"/>
  <c r="P7428" i="5"/>
  <c r="P7257" i="5"/>
  <c r="N7257" i="5"/>
  <c r="R7353" i="5"/>
  <c r="S7353" i="5" s="1"/>
  <c r="P7458" i="5"/>
  <c r="N7458" i="5"/>
  <c r="L7396" i="5"/>
  <c r="N7396" i="5" s="1"/>
  <c r="L7301" i="5"/>
  <c r="R7244" i="5"/>
  <c r="S7244" i="5" s="1"/>
  <c r="N7413" i="5"/>
  <c r="O7413" i="5" s="1"/>
  <c r="P7445" i="5"/>
  <c r="R7461" i="5"/>
  <c r="S7461" i="5" s="1"/>
  <c r="L7407" i="5"/>
  <c r="N7407" i="5" s="1"/>
  <c r="L7338" i="5"/>
  <c r="P7338" i="5" s="1"/>
  <c r="O7438" i="5"/>
  <c r="L7453" i="5"/>
  <c r="P7453" i="5" s="1"/>
  <c r="P7354" i="5"/>
  <c r="N7354" i="5"/>
  <c r="R7479" i="5"/>
  <c r="S7479" i="5" s="1"/>
  <c r="R7385" i="5"/>
  <c r="S7385" i="5" s="1"/>
  <c r="L7246" i="5"/>
  <c r="P7246" i="5" s="1"/>
  <c r="R7488" i="5"/>
  <c r="S7488" i="5" s="1"/>
  <c r="R7315" i="5"/>
  <c r="S7315" i="5" s="1"/>
  <c r="O7390" i="5"/>
  <c r="N7376" i="5"/>
  <c r="P7376" i="5"/>
  <c r="N7387" i="5"/>
  <c r="P7387" i="5"/>
  <c r="N7397" i="5"/>
  <c r="P7397" i="5"/>
  <c r="P7488" i="5"/>
  <c r="N7488" i="5"/>
  <c r="P7393" i="5"/>
  <c r="N7393" i="5"/>
  <c r="N7293" i="5"/>
  <c r="P7293" i="5"/>
  <c r="N7479" i="5"/>
  <c r="P7479" i="5"/>
  <c r="P7471" i="5"/>
  <c r="N7471" i="5"/>
  <c r="P7283" i="5"/>
  <c r="N7283" i="5"/>
  <c r="N7315" i="5"/>
  <c r="P7315" i="5"/>
  <c r="N7439" i="5"/>
  <c r="P7439" i="5"/>
  <c r="P7409" i="5"/>
  <c r="N7409" i="5"/>
  <c r="P7310" i="5"/>
  <c r="N7310" i="5"/>
  <c r="P7457" i="5"/>
  <c r="N7457" i="5"/>
  <c r="N7460" i="5"/>
  <c r="P7460" i="5"/>
  <c r="N7322" i="5"/>
  <c r="P7322" i="5"/>
  <c r="N7326" i="5"/>
  <c r="P7326" i="5"/>
  <c r="P7484" i="5"/>
  <c r="N7484" i="5"/>
  <c r="N7311" i="5"/>
  <c r="P7311" i="5"/>
  <c r="P7386" i="5"/>
  <c r="N7386" i="5"/>
  <c r="P7236" i="5"/>
  <c r="N7236" i="5"/>
  <c r="L7381" i="5"/>
  <c r="P7275" i="5"/>
  <c r="N7275" i="5"/>
  <c r="N7361" i="5"/>
  <c r="P7361" i="5"/>
  <c r="R7236" i="5"/>
  <c r="S7236" i="5" s="1"/>
  <c r="L7333" i="5"/>
  <c r="L7470" i="5"/>
  <c r="P7273" i="5"/>
  <c r="N7273" i="5"/>
  <c r="O7395" i="5"/>
  <c r="P7489" i="5"/>
  <c r="N7489" i="5"/>
  <c r="P7478" i="5"/>
  <c r="N7478" i="5"/>
  <c r="P7440" i="5"/>
  <c r="N7440" i="5"/>
  <c r="L7305" i="5"/>
  <c r="P7406" i="5"/>
  <c r="N7406" i="5"/>
  <c r="L7451" i="5"/>
  <c r="L7411" i="5"/>
  <c r="R7311" i="5"/>
  <c r="S7311" i="5" s="1"/>
  <c r="P7254" i="5"/>
  <c r="N7254" i="5"/>
  <c r="R7322" i="5"/>
  <c r="S7322" i="5" s="1"/>
  <c r="N7249" i="5"/>
  <c r="P7249" i="5"/>
  <c r="L7304" i="5"/>
  <c r="R7406" i="5"/>
  <c r="S7406" i="5" s="1"/>
  <c r="L7391" i="5"/>
  <c r="P7291" i="5"/>
  <c r="N7291" i="5"/>
  <c r="N7285" i="5"/>
  <c r="P7285" i="5"/>
  <c r="L7365" i="5"/>
  <c r="N7476" i="5"/>
  <c r="P7476" i="5"/>
  <c r="N7403" i="5"/>
  <c r="P7403" i="5"/>
  <c r="L7366" i="5"/>
  <c r="P7378" i="5"/>
  <c r="N7378" i="5"/>
  <c r="N7272" i="5"/>
  <c r="P7272" i="5"/>
  <c r="N7420" i="5"/>
  <c r="P7420" i="5"/>
  <c r="P7325" i="5"/>
  <c r="N7325" i="5"/>
  <c r="P7345" i="5"/>
  <c r="N7345" i="5"/>
  <c r="P7309" i="5"/>
  <c r="N7309" i="5"/>
  <c r="P7323" i="5"/>
  <c r="N7323" i="5"/>
  <c r="N7318" i="5"/>
  <c r="P7318" i="5"/>
  <c r="L7487" i="5"/>
  <c r="L7343" i="5"/>
  <c r="L7415" i="5"/>
  <c r="L7373" i="5"/>
  <c r="R7283" i="5"/>
  <c r="S7283" i="5" s="1"/>
  <c r="P7241" i="5"/>
  <c r="N7241" i="5"/>
  <c r="R7489" i="5"/>
  <c r="S7489" i="5" s="1"/>
  <c r="N7473" i="5"/>
  <c r="P7473" i="5"/>
  <c r="P7454" i="5"/>
  <c r="N7454" i="5"/>
  <c r="P7468" i="5"/>
  <c r="N7468" i="5"/>
  <c r="P7286" i="5"/>
  <c r="N7286" i="5"/>
  <c r="P7319" i="5"/>
  <c r="N7319" i="5"/>
  <c r="N7442" i="5"/>
  <c r="P7442" i="5"/>
  <c r="P7342" i="5"/>
  <c r="N7342" i="5"/>
  <c r="R7457" i="5"/>
  <c r="S7457" i="5" s="1"/>
  <c r="R7310" i="5"/>
  <c r="S7310" i="5" s="1"/>
  <c r="R7392" i="5"/>
  <c r="S7392" i="5" s="1"/>
  <c r="R7405" i="5"/>
  <c r="S7405" i="5" s="1"/>
  <c r="P7363" i="5"/>
  <c r="N7363" i="5"/>
  <c r="N7330" i="5"/>
  <c r="P7330" i="5"/>
  <c r="O7237" i="5"/>
  <c r="L7278" i="5"/>
  <c r="R7393" i="5"/>
  <c r="S7393" i="5" s="1"/>
  <c r="O7284" i="5"/>
  <c r="L7462" i="5"/>
  <c r="O7364" i="5"/>
  <c r="L7417" i="5"/>
  <c r="N7356" i="5"/>
  <c r="P7356" i="5"/>
  <c r="N7307" i="5"/>
  <c r="P7307" i="5"/>
  <c r="L7312" i="5"/>
  <c r="L7308" i="5"/>
  <c r="L7255" i="5"/>
  <c r="R7409" i="5"/>
  <c r="S7409" i="5" s="1"/>
  <c r="N7375" i="5"/>
  <c r="P7375" i="5"/>
  <c r="P7260" i="5"/>
  <c r="N7260" i="5"/>
  <c r="R7397" i="5"/>
  <c r="S7397" i="5" s="1"/>
  <c r="P7402" i="5"/>
  <c r="N7402" i="5"/>
  <c r="N7412" i="5"/>
  <c r="P7412" i="5"/>
  <c r="R7436" i="5"/>
  <c r="S7436" i="5" s="1"/>
  <c r="P7358" i="5"/>
  <c r="N7358" i="5"/>
  <c r="P7405" i="5"/>
  <c r="N7405" i="5"/>
  <c r="R7376" i="5"/>
  <c r="S7376" i="5" s="1"/>
  <c r="P7289" i="5"/>
  <c r="N7289" i="5"/>
  <c r="P7379" i="5"/>
  <c r="N7379" i="5"/>
  <c r="P7243" i="5"/>
  <c r="N7243" i="5"/>
  <c r="P7247" i="5"/>
  <c r="N7247" i="5"/>
  <c r="P7277" i="5"/>
  <c r="N7277" i="5"/>
  <c r="N7401" i="5"/>
  <c r="P7401" i="5"/>
  <c r="P7337" i="5"/>
  <c r="N7337" i="5"/>
  <c r="L7433" i="5"/>
  <c r="P7250" i="5"/>
  <c r="N7250" i="5"/>
  <c r="P7346" i="5"/>
  <c r="N7346" i="5"/>
  <c r="L7414" i="5"/>
  <c r="R7484" i="5"/>
  <c r="S7484" i="5" s="1"/>
  <c r="L7447" i="5"/>
  <c r="N7265" i="5"/>
  <c r="P7265" i="5"/>
  <c r="R7293" i="5"/>
  <c r="S7293" i="5" s="1"/>
  <c r="L7374" i="5"/>
  <c r="L7410" i="5"/>
  <c r="O7459" i="5"/>
  <c r="P7493" i="5"/>
  <c r="N7493" i="5"/>
  <c r="U7485" i="5"/>
  <c r="V7485" i="5" s="1"/>
  <c r="N7362" i="5"/>
  <c r="P7362" i="5"/>
  <c r="P7399" i="5"/>
  <c r="N7399" i="5"/>
  <c r="L7248" i="5"/>
  <c r="N7252" i="5"/>
  <c r="P7252" i="5"/>
  <c r="N7449" i="5"/>
  <c r="P7449" i="5"/>
  <c r="P7427" i="5"/>
  <c r="N7427" i="5"/>
  <c r="L7355" i="5"/>
  <c r="N7490" i="5"/>
  <c r="P7490" i="5"/>
  <c r="P7327" i="5"/>
  <c r="N7327" i="5"/>
  <c r="P7475" i="5"/>
  <c r="N7475" i="5"/>
  <c r="P7419" i="5"/>
  <c r="N7419" i="5"/>
  <c r="P7253" i="5"/>
  <c r="N7253" i="5"/>
  <c r="L7467" i="5"/>
  <c r="P7377" i="5"/>
  <c r="N7377" i="5"/>
  <c r="P7302" i="5"/>
  <c r="N7302" i="5"/>
  <c r="P7329" i="5"/>
  <c r="N7329" i="5"/>
  <c r="L7347" i="5"/>
  <c r="O7389" i="5"/>
  <c r="N7348" i="5"/>
  <c r="P7348" i="5"/>
  <c r="N7432" i="5"/>
  <c r="P7432" i="5"/>
  <c r="R7363" i="5"/>
  <c r="S7363" i="5" s="1"/>
  <c r="L7463" i="5"/>
  <c r="P7491" i="5"/>
  <c r="N7491" i="5"/>
  <c r="R7386" i="5"/>
  <c r="S7386" i="5" s="1"/>
  <c r="L7360" i="5"/>
  <c r="R7234" i="5"/>
  <c r="S7234" i="5" s="1"/>
  <c r="L7340" i="5"/>
  <c r="R7460" i="5"/>
  <c r="S7460" i="5" s="1"/>
  <c r="L7297" i="5"/>
  <c r="P7436" i="5"/>
  <c r="N7436" i="5"/>
  <c r="P7320" i="5"/>
  <c r="N7320" i="5"/>
  <c r="N7349" i="5"/>
  <c r="P7349" i="5"/>
  <c r="P7300" i="5"/>
  <c r="N7300" i="5"/>
  <c r="P7353" i="5"/>
  <c r="N7353" i="5"/>
  <c r="P7314" i="5"/>
  <c r="N7314" i="5"/>
  <c r="N7324" i="5"/>
  <c r="P7324" i="5"/>
  <c r="N7321" i="5"/>
  <c r="P7321" i="5"/>
  <c r="L7332" i="5"/>
  <c r="R7323" i="5"/>
  <c r="S7323" i="5" s="1"/>
  <c r="P7392" i="5"/>
  <c r="N7392" i="5"/>
  <c r="L7486" i="5"/>
  <c r="L7408" i="5"/>
  <c r="L7359" i="5"/>
  <c r="P7465" i="5"/>
  <c r="N7465" i="5"/>
  <c r="P7341" i="5"/>
  <c r="N7341" i="5"/>
  <c r="L7398" i="5"/>
  <c r="R7465" i="5"/>
  <c r="S7465" i="5" s="1"/>
  <c r="L7443" i="5"/>
  <c r="R7493" i="5"/>
  <c r="S7493" i="5" s="1"/>
  <c r="N7306" i="5"/>
  <c r="P7306" i="5"/>
  <c r="P7418" i="5"/>
  <c r="N7418" i="5"/>
  <c r="N7334" i="5"/>
  <c r="P7334" i="5"/>
  <c r="P7234" i="5"/>
  <c r="N7234" i="5"/>
  <c r="O7298" i="5"/>
  <c r="O7245" i="5"/>
  <c r="U7261" i="5" l="1"/>
  <c r="V7261" i="5" s="1"/>
  <c r="U7293" i="5"/>
  <c r="V7293" i="5" s="1"/>
  <c r="U7321" i="5"/>
  <c r="V7321" i="5" s="1"/>
  <c r="U7482" i="5"/>
  <c r="V7482" i="5" s="1"/>
  <c r="P7316" i="5"/>
  <c r="AD28" i="6"/>
  <c r="AE28" i="6" s="1"/>
  <c r="AD160" i="6"/>
  <c r="AE160" i="6" s="1"/>
  <c r="AA64" i="6"/>
  <c r="AC64" i="6"/>
  <c r="AA63" i="6"/>
  <c r="AC63" i="6"/>
  <c r="AA62" i="6"/>
  <c r="AC62" i="6"/>
  <c r="AA61" i="6"/>
  <c r="AC61" i="6"/>
  <c r="N7424" i="5"/>
  <c r="O7424" i="5" s="1"/>
  <c r="U7279" i="5"/>
  <c r="V7279" i="5" s="1"/>
  <c r="P7421" i="5"/>
  <c r="U7421" i="5" s="1"/>
  <c r="V7421" i="5" s="1"/>
  <c r="U7384" i="5"/>
  <c r="V7384" i="5" s="1"/>
  <c r="U7442" i="5"/>
  <c r="V7442" i="5" s="1"/>
  <c r="U7322" i="5"/>
  <c r="V7322" i="5" s="1"/>
  <c r="P7423" i="5"/>
  <c r="O7423" i="5" s="1"/>
  <c r="O7291" i="5"/>
  <c r="U7262" i="5"/>
  <c r="V7262" i="5" s="1"/>
  <c r="U7455" i="5"/>
  <c r="V7455" i="5" s="1"/>
  <c r="P7352" i="5"/>
  <c r="O7352" i="5" s="1"/>
  <c r="U7397" i="5"/>
  <c r="V7397" i="5" s="1"/>
  <c r="U7259" i="5"/>
  <c r="V7259" i="5" s="1"/>
  <c r="N7444" i="5"/>
  <c r="O7444" i="5" s="1"/>
  <c r="O7290" i="5"/>
  <c r="U7265" i="5"/>
  <c r="V7265" i="5" s="1"/>
  <c r="U7290" i="5"/>
  <c r="V7290" i="5" s="1"/>
  <c r="U7412" i="5"/>
  <c r="V7412" i="5" s="1"/>
  <c r="O7259" i="5"/>
  <c r="P7263" i="5"/>
  <c r="U7263" i="5" s="1"/>
  <c r="V7263" i="5" s="1"/>
  <c r="P7239" i="5"/>
  <c r="U7239" i="5" s="1"/>
  <c r="V7239" i="5" s="1"/>
  <c r="N7464" i="5"/>
  <c r="O7464" i="5" s="1"/>
  <c r="P7492" i="5"/>
  <c r="O7492" i="5" s="1"/>
  <c r="U7330" i="5"/>
  <c r="V7330" i="5" s="1"/>
  <c r="O7346" i="5"/>
  <c r="U7361" i="5"/>
  <c r="V7361" i="5" s="1"/>
  <c r="P7267" i="5"/>
  <c r="U7267" i="5" s="1"/>
  <c r="V7267" i="5" s="1"/>
  <c r="O7337" i="5"/>
  <c r="U7234" i="5"/>
  <c r="V7234" i="5" s="1"/>
  <c r="O7378" i="5"/>
  <c r="U7282" i="5"/>
  <c r="V7282" i="5" s="1"/>
  <c r="U7307" i="5"/>
  <c r="V7307" i="5" s="1"/>
  <c r="P7367" i="5"/>
  <c r="U7367" i="5" s="1"/>
  <c r="V7367" i="5" s="1"/>
  <c r="U7289" i="5"/>
  <c r="V7289" i="5" s="1"/>
  <c r="N7235" i="5"/>
  <c r="O7235" i="5" s="1"/>
  <c r="N7296" i="5"/>
  <c r="O7269" i="5"/>
  <c r="N7380" i="5"/>
  <c r="O7380" i="5" s="1"/>
  <c r="O7383" i="5"/>
  <c r="U7400" i="5"/>
  <c r="V7400" i="5" s="1"/>
  <c r="P7396" i="5"/>
  <c r="U7396" i="5" s="1"/>
  <c r="V7396" i="5" s="1"/>
  <c r="U7460" i="5"/>
  <c r="V7460" i="5" s="1"/>
  <c r="U7363" i="5"/>
  <c r="V7363" i="5" s="1"/>
  <c r="U7318" i="5"/>
  <c r="V7318" i="5" s="1"/>
  <c r="U7449" i="5"/>
  <c r="V7449" i="5" s="1"/>
  <c r="O7369" i="5"/>
  <c r="U7334" i="5"/>
  <c r="V7334" i="5" s="1"/>
  <c r="N7339" i="5"/>
  <c r="U7339" i="5" s="1"/>
  <c r="V7339" i="5" s="1"/>
  <c r="U7456" i="5"/>
  <c r="V7456" i="5" s="1"/>
  <c r="U7317" i="5"/>
  <c r="V7317" i="5" s="1"/>
  <c r="U7313" i="5"/>
  <c r="V7313" i="5" s="1"/>
  <c r="U7329" i="5"/>
  <c r="V7329" i="5" s="1"/>
  <c r="U7362" i="5"/>
  <c r="V7362" i="5" s="1"/>
  <c r="O7286" i="5"/>
  <c r="U7316" i="5"/>
  <c r="V7316" i="5" s="1"/>
  <c r="U7354" i="5"/>
  <c r="V7354" i="5" s="1"/>
  <c r="N7472" i="5"/>
  <c r="O7472" i="5" s="1"/>
  <c r="O7317" i="5"/>
  <c r="U7353" i="5"/>
  <c r="V7353" i="5" s="1"/>
  <c r="O7351" i="5"/>
  <c r="U7309" i="5"/>
  <c r="V7309" i="5" s="1"/>
  <c r="O7270" i="5"/>
  <c r="U7328" i="5"/>
  <c r="V7328" i="5" s="1"/>
  <c r="P7426" i="5"/>
  <c r="U7426" i="5" s="1"/>
  <c r="V7426" i="5" s="1"/>
  <c r="U7254" i="5"/>
  <c r="V7254" i="5" s="1"/>
  <c r="O7399" i="5"/>
  <c r="U7401" i="5"/>
  <c r="V7401" i="5" s="1"/>
  <c r="N7294" i="5"/>
  <c r="O7294" i="5" s="1"/>
  <c r="U7493" i="5"/>
  <c r="V7493" i="5" s="1"/>
  <c r="U7423" i="5"/>
  <c r="V7423" i="5" s="1"/>
  <c r="U7476" i="5"/>
  <c r="V7476" i="5" s="1"/>
  <c r="O7268" i="5"/>
  <c r="U7465" i="5"/>
  <c r="V7465" i="5" s="1"/>
  <c r="O7262" i="5"/>
  <c r="N7429" i="5"/>
  <c r="O7429" i="5" s="1"/>
  <c r="O7344" i="5"/>
  <c r="U7306" i="5"/>
  <c r="V7306" i="5" s="1"/>
  <c r="U7489" i="5"/>
  <c r="V7489" i="5" s="1"/>
  <c r="U7250" i="5"/>
  <c r="V7250" i="5" s="1"/>
  <c r="U7291" i="5"/>
  <c r="V7291" i="5" s="1"/>
  <c r="U7484" i="5"/>
  <c r="V7484" i="5" s="1"/>
  <c r="O7427" i="5"/>
  <c r="U7326" i="5"/>
  <c r="V7326" i="5" s="1"/>
  <c r="O7488" i="5"/>
  <c r="U7264" i="5"/>
  <c r="V7264" i="5" s="1"/>
  <c r="U7341" i="5"/>
  <c r="V7341" i="5" s="1"/>
  <c r="U7323" i="5"/>
  <c r="V7323" i="5" s="1"/>
  <c r="U7252" i="5"/>
  <c r="V7252" i="5" s="1"/>
  <c r="U7402" i="5"/>
  <c r="V7402" i="5" s="1"/>
  <c r="P7404" i="5"/>
  <c r="O7404" i="5" s="1"/>
  <c r="O7260" i="5"/>
  <c r="U7342" i="5"/>
  <c r="V7342" i="5" s="1"/>
  <c r="U7457" i="5"/>
  <c r="V7457" i="5" s="1"/>
  <c r="U7257" i="5"/>
  <c r="V7257" i="5" s="1"/>
  <c r="U7300" i="5"/>
  <c r="V7300" i="5" s="1"/>
  <c r="N7453" i="5"/>
  <c r="O7453" i="5" s="1"/>
  <c r="U7320" i="5"/>
  <c r="V7320" i="5" s="1"/>
  <c r="U7375" i="5"/>
  <c r="V7375" i="5" s="1"/>
  <c r="U7310" i="5"/>
  <c r="V7310" i="5" s="1"/>
  <c r="U7277" i="5"/>
  <c r="V7277" i="5" s="1"/>
  <c r="U7319" i="5"/>
  <c r="V7319" i="5" s="1"/>
  <c r="U7409" i="5"/>
  <c r="V7409" i="5" s="1"/>
  <c r="N7266" i="5"/>
  <c r="U7266" i="5" s="1"/>
  <c r="V7266" i="5" s="1"/>
  <c r="O7493" i="5"/>
  <c r="U7272" i="5"/>
  <c r="V7272" i="5" s="1"/>
  <c r="O7261" i="5"/>
  <c r="U7461" i="5"/>
  <c r="V7461" i="5" s="1"/>
  <c r="U7439" i="5"/>
  <c r="V7439" i="5" s="1"/>
  <c r="U7247" i="5"/>
  <c r="V7247" i="5" s="1"/>
  <c r="U7356" i="5"/>
  <c r="V7356" i="5" s="1"/>
  <c r="U7236" i="5"/>
  <c r="V7236" i="5" s="1"/>
  <c r="U7244" i="5"/>
  <c r="V7244" i="5" s="1"/>
  <c r="O7419" i="5"/>
  <c r="U7473" i="5"/>
  <c r="V7473" i="5" s="1"/>
  <c r="U7403" i="5"/>
  <c r="V7403" i="5" s="1"/>
  <c r="U7475" i="5"/>
  <c r="V7475" i="5" s="1"/>
  <c r="U7379" i="5"/>
  <c r="V7379" i="5" s="1"/>
  <c r="U7471" i="5"/>
  <c r="V7471" i="5" s="1"/>
  <c r="U7370" i="5"/>
  <c r="V7370" i="5" s="1"/>
  <c r="U7324" i="5"/>
  <c r="V7324" i="5" s="1"/>
  <c r="U7479" i="5"/>
  <c r="V7479" i="5" s="1"/>
  <c r="U7445" i="5"/>
  <c r="V7445" i="5" s="1"/>
  <c r="U7491" i="5"/>
  <c r="V7491" i="5" s="1"/>
  <c r="U7490" i="5"/>
  <c r="V7490" i="5" s="1"/>
  <c r="U7488" i="5"/>
  <c r="V7488" i="5" s="1"/>
  <c r="U7478" i="5"/>
  <c r="V7478" i="5" s="1"/>
  <c r="U7480" i="5"/>
  <c r="V7480" i="5" s="1"/>
  <c r="U7468" i="5"/>
  <c r="V7468" i="5" s="1"/>
  <c r="U7458" i="5"/>
  <c r="V7458" i="5" s="1"/>
  <c r="U7454" i="5"/>
  <c r="V7454" i="5" s="1"/>
  <c r="U7440" i="5"/>
  <c r="V7440" i="5" s="1"/>
  <c r="U7434" i="5"/>
  <c r="V7434" i="5" s="1"/>
  <c r="U7436" i="5"/>
  <c r="V7436" i="5" s="1"/>
  <c r="U7432" i="5"/>
  <c r="V7432" i="5" s="1"/>
  <c r="U7430" i="5"/>
  <c r="V7430" i="5" s="1"/>
  <c r="U7428" i="5"/>
  <c r="V7428" i="5" s="1"/>
  <c r="U7427" i="5"/>
  <c r="V7427" i="5" s="1"/>
  <c r="U7424" i="5"/>
  <c r="V7424" i="5" s="1"/>
  <c r="U7420" i="5"/>
  <c r="V7420" i="5" s="1"/>
  <c r="U7419" i="5"/>
  <c r="V7419" i="5" s="1"/>
  <c r="U7418" i="5"/>
  <c r="V7418" i="5" s="1"/>
  <c r="U7413" i="5"/>
  <c r="V7413" i="5" s="1"/>
  <c r="O7409" i="5"/>
  <c r="U7406" i="5"/>
  <c r="V7406" i="5" s="1"/>
  <c r="U7405" i="5"/>
  <c r="V7405" i="5" s="1"/>
  <c r="U7399" i="5"/>
  <c r="V7399" i="5" s="1"/>
  <c r="U7393" i="5"/>
  <c r="V7393" i="5" s="1"/>
  <c r="U7392" i="5"/>
  <c r="V7392" i="5" s="1"/>
  <c r="U7387" i="5"/>
  <c r="V7387" i="5" s="1"/>
  <c r="U7385" i="5"/>
  <c r="V7385" i="5" s="1"/>
  <c r="U7386" i="5"/>
  <c r="V7386" i="5" s="1"/>
  <c r="U7382" i="5"/>
  <c r="V7382" i="5" s="1"/>
  <c r="U7378" i="5"/>
  <c r="V7378" i="5" s="1"/>
  <c r="U7377" i="5"/>
  <c r="V7377" i="5" s="1"/>
  <c r="U7376" i="5"/>
  <c r="V7376" i="5" s="1"/>
  <c r="U7372" i="5"/>
  <c r="V7372" i="5" s="1"/>
  <c r="U7369" i="5"/>
  <c r="V7369" i="5" s="1"/>
  <c r="U7368" i="5"/>
  <c r="V7368" i="5" s="1"/>
  <c r="U7358" i="5"/>
  <c r="V7358" i="5" s="1"/>
  <c r="U7348" i="5"/>
  <c r="V7348" i="5" s="1"/>
  <c r="U7349" i="5"/>
  <c r="V7349" i="5" s="1"/>
  <c r="U7350" i="5"/>
  <c r="V7350" i="5" s="1"/>
  <c r="U7346" i="5"/>
  <c r="V7346" i="5" s="1"/>
  <c r="U7345" i="5"/>
  <c r="V7345" i="5" s="1"/>
  <c r="U7337" i="5"/>
  <c r="V7337" i="5" s="1"/>
  <c r="U7336" i="5"/>
  <c r="V7336" i="5" s="1"/>
  <c r="U7325" i="5"/>
  <c r="V7325" i="5" s="1"/>
  <c r="U7327" i="5"/>
  <c r="V7327" i="5" s="1"/>
  <c r="U7315" i="5"/>
  <c r="V7315" i="5" s="1"/>
  <c r="U7314" i="5"/>
  <c r="V7314" i="5" s="1"/>
  <c r="U7311" i="5"/>
  <c r="V7311" i="5" s="1"/>
  <c r="U7302" i="5"/>
  <c r="V7302" i="5" s="1"/>
  <c r="U7303" i="5"/>
  <c r="V7303" i="5" s="1"/>
  <c r="U7295" i="5"/>
  <c r="V7295" i="5" s="1"/>
  <c r="U7286" i="5"/>
  <c r="V7286" i="5" s="1"/>
  <c r="O7289" i="5"/>
  <c r="U7285" i="5"/>
  <c r="V7285" i="5" s="1"/>
  <c r="U7283" i="5"/>
  <c r="V7283" i="5" s="1"/>
  <c r="U7275" i="5"/>
  <c r="V7275" i="5" s="1"/>
  <c r="U7276" i="5"/>
  <c r="V7276" i="5" s="1"/>
  <c r="U7273" i="5"/>
  <c r="V7273" i="5" s="1"/>
  <c r="U7271" i="5"/>
  <c r="V7271" i="5" s="1"/>
  <c r="U7270" i="5"/>
  <c r="V7270" i="5" s="1"/>
  <c r="U7260" i="5"/>
  <c r="V7260" i="5" s="1"/>
  <c r="U7258" i="5"/>
  <c r="V7258" i="5" s="1"/>
  <c r="U7253" i="5"/>
  <c r="V7253" i="5" s="1"/>
  <c r="U7249" i="5"/>
  <c r="V7249" i="5" s="1"/>
  <c r="O7238" i="5"/>
  <c r="U7238" i="5"/>
  <c r="V7238" i="5" s="1"/>
  <c r="U7243" i="5"/>
  <c r="V7243" i="5" s="1"/>
  <c r="U7241" i="5"/>
  <c r="V7241" i="5" s="1"/>
  <c r="U7242" i="5"/>
  <c r="V7242" i="5" s="1"/>
  <c r="O7341" i="5"/>
  <c r="O7458" i="5"/>
  <c r="O7460" i="5"/>
  <c r="O7387" i="5"/>
  <c r="O7457" i="5"/>
  <c r="O7257" i="5"/>
  <c r="O7302" i="5"/>
  <c r="O7428" i="5"/>
  <c r="O7319" i="5"/>
  <c r="O7275" i="5"/>
  <c r="O7272" i="5"/>
  <c r="O7247" i="5"/>
  <c r="O7454" i="5"/>
  <c r="O7236" i="5"/>
  <c r="O7356" i="5"/>
  <c r="O7379" i="5"/>
  <c r="O7241" i="5"/>
  <c r="N7477" i="5"/>
  <c r="O7477" i="5" s="1"/>
  <c r="P7452" i="5"/>
  <c r="U7452" i="5" s="1"/>
  <c r="V7452" i="5" s="1"/>
  <c r="O7473" i="5"/>
  <c r="O7475" i="5"/>
  <c r="P7416" i="5"/>
  <c r="U7416" i="5" s="1"/>
  <c r="V7416" i="5" s="1"/>
  <c r="O7478" i="5"/>
  <c r="O7406" i="5"/>
  <c r="O7402" i="5"/>
  <c r="P7394" i="5"/>
  <c r="U7394" i="5" s="1"/>
  <c r="V7394" i="5" s="1"/>
  <c r="O7386" i="5"/>
  <c r="O7384" i="5"/>
  <c r="O7354" i="5"/>
  <c r="N7338" i="5"/>
  <c r="O7338" i="5" s="1"/>
  <c r="N7335" i="5"/>
  <c r="O7335" i="5" s="1"/>
  <c r="O7321" i="5"/>
  <c r="O7320" i="5"/>
  <c r="P7274" i="5"/>
  <c r="U7274" i="5" s="1"/>
  <c r="V7274" i="5" s="1"/>
  <c r="O7250" i="5"/>
  <c r="O7401" i="5"/>
  <c r="O7311" i="5"/>
  <c r="O7293" i="5"/>
  <c r="N7301" i="5"/>
  <c r="P7301" i="5"/>
  <c r="O7253" i="5"/>
  <c r="O7277" i="5"/>
  <c r="O7309" i="5"/>
  <c r="N7466" i="5"/>
  <c r="O7466" i="5" s="1"/>
  <c r="O7484" i="5"/>
  <c r="O7393" i="5"/>
  <c r="P7280" i="5"/>
  <c r="U7280" i="5" s="1"/>
  <c r="V7280" i="5" s="1"/>
  <c r="O7375" i="5"/>
  <c r="O7300" i="5"/>
  <c r="O7316" i="5"/>
  <c r="O7345" i="5"/>
  <c r="O7349" i="5"/>
  <c r="O7432" i="5"/>
  <c r="O7254" i="5"/>
  <c r="P7437" i="5"/>
  <c r="N7437" i="5"/>
  <c r="O7328" i="5"/>
  <c r="O7234" i="5"/>
  <c r="O7436" i="5"/>
  <c r="P7448" i="5"/>
  <c r="U7448" i="5" s="1"/>
  <c r="V7448" i="5" s="1"/>
  <c r="O7430" i="5"/>
  <c r="N7246" i="5"/>
  <c r="O7246" i="5" s="1"/>
  <c r="N7240" i="5"/>
  <c r="O7240" i="5" s="1"/>
  <c r="N7425" i="5"/>
  <c r="P7425" i="5"/>
  <c r="O7329" i="5"/>
  <c r="O7405" i="5"/>
  <c r="O7445" i="5"/>
  <c r="O7439" i="5"/>
  <c r="O7434" i="5"/>
  <c r="P7407" i="5"/>
  <c r="U7407" i="5" s="1"/>
  <c r="V7407" i="5" s="1"/>
  <c r="O7418" i="5"/>
  <c r="O7358" i="5"/>
  <c r="O7440" i="5"/>
  <c r="O7456" i="5"/>
  <c r="O7244" i="5"/>
  <c r="O7295" i="5"/>
  <c r="O7385" i="5"/>
  <c r="N7446" i="5"/>
  <c r="O7446" i="5" s="1"/>
  <c r="O7412" i="5"/>
  <c r="O7285" i="5"/>
  <c r="O7372" i="5"/>
  <c r="O7370" i="5"/>
  <c r="O7491" i="5"/>
  <c r="O7480" i="5"/>
  <c r="O7271" i="5"/>
  <c r="O7474" i="5"/>
  <c r="P7470" i="5"/>
  <c r="N7470" i="5"/>
  <c r="O7392" i="5"/>
  <c r="N7347" i="5"/>
  <c r="P7347" i="5"/>
  <c r="P7447" i="5"/>
  <c r="N7447" i="5"/>
  <c r="O7243" i="5"/>
  <c r="O7310" i="5"/>
  <c r="P7411" i="5"/>
  <c r="N7411" i="5"/>
  <c r="N7366" i="5"/>
  <c r="P7366" i="5"/>
  <c r="O7449" i="5"/>
  <c r="N7278" i="5"/>
  <c r="P7278" i="5"/>
  <c r="N7373" i="5"/>
  <c r="P7373" i="5"/>
  <c r="O7403" i="5"/>
  <c r="P7305" i="5"/>
  <c r="N7305" i="5"/>
  <c r="P7451" i="5"/>
  <c r="N7451" i="5"/>
  <c r="P7381" i="5"/>
  <c r="N7381" i="5"/>
  <c r="O7334" i="5"/>
  <c r="N7332" i="5"/>
  <c r="P7332" i="5"/>
  <c r="P7340" i="5"/>
  <c r="N7340" i="5"/>
  <c r="O7330" i="5"/>
  <c r="P7365" i="5"/>
  <c r="N7365" i="5"/>
  <c r="O7315" i="5"/>
  <c r="N7297" i="5"/>
  <c r="P7297" i="5"/>
  <c r="N7415" i="5"/>
  <c r="P7415" i="5"/>
  <c r="O7476" i="5"/>
  <c r="O7363" i="5"/>
  <c r="N7343" i="5"/>
  <c r="P7343" i="5"/>
  <c r="O7283" i="5"/>
  <c r="P7487" i="5"/>
  <c r="N7487" i="5"/>
  <c r="O7306" i="5"/>
  <c r="O7324" i="5"/>
  <c r="O7252" i="5"/>
  <c r="O7471" i="5"/>
  <c r="O7314" i="5"/>
  <c r="P7360" i="5"/>
  <c r="N7360" i="5"/>
  <c r="O7377" i="5"/>
  <c r="N7248" i="5"/>
  <c r="P7248" i="5"/>
  <c r="P7433" i="5"/>
  <c r="N7433" i="5"/>
  <c r="O7489" i="5"/>
  <c r="P7443" i="5"/>
  <c r="N7443" i="5"/>
  <c r="P7467" i="5"/>
  <c r="N7467" i="5"/>
  <c r="O7318" i="5"/>
  <c r="O7479" i="5"/>
  <c r="N7398" i="5"/>
  <c r="P7398" i="5"/>
  <c r="O7342" i="5"/>
  <c r="O7323" i="5"/>
  <c r="O7273" i="5"/>
  <c r="O7362" i="5"/>
  <c r="P7391" i="5"/>
  <c r="N7391" i="5"/>
  <c r="O7465" i="5"/>
  <c r="O7353" i="5"/>
  <c r="N7463" i="5"/>
  <c r="P7463" i="5"/>
  <c r="O7442" i="5"/>
  <c r="N7304" i="5"/>
  <c r="P7304" i="5"/>
  <c r="N7359" i="5"/>
  <c r="P7359" i="5"/>
  <c r="N7410" i="5"/>
  <c r="P7410" i="5"/>
  <c r="P7308" i="5"/>
  <c r="N7308" i="5"/>
  <c r="O7249" i="5"/>
  <c r="O7322" i="5"/>
  <c r="O7397" i="5"/>
  <c r="P7408" i="5"/>
  <c r="N7408" i="5"/>
  <c r="O7327" i="5"/>
  <c r="P7374" i="5"/>
  <c r="N7374" i="5"/>
  <c r="P7312" i="5"/>
  <c r="N7312" i="5"/>
  <c r="O7468" i="5"/>
  <c r="O7325" i="5"/>
  <c r="P7462" i="5"/>
  <c r="N7462" i="5"/>
  <c r="O7348" i="5"/>
  <c r="O7307" i="5"/>
  <c r="O7361" i="5"/>
  <c r="P7355" i="5"/>
  <c r="N7355" i="5"/>
  <c r="N7417" i="5"/>
  <c r="P7417" i="5"/>
  <c r="N7414" i="5"/>
  <c r="P7414" i="5"/>
  <c r="P7333" i="5"/>
  <c r="N7333" i="5"/>
  <c r="O7326" i="5"/>
  <c r="N7255" i="5"/>
  <c r="P7255" i="5"/>
  <c r="N7486" i="5"/>
  <c r="P7486" i="5"/>
  <c r="O7490" i="5"/>
  <c r="O7265" i="5"/>
  <c r="O7420" i="5"/>
  <c r="O7376" i="5"/>
  <c r="U7296" i="5" l="1"/>
  <c r="V7296" i="5" s="1"/>
  <c r="O7296" i="5"/>
  <c r="L38" i="17"/>
  <c r="O38" i="17" s="1"/>
  <c r="L31" i="17"/>
  <c r="O31" i="17" s="1"/>
  <c r="O7421" i="5"/>
  <c r="AD63" i="6"/>
  <c r="AE63" i="6" s="1"/>
  <c r="AD64" i="6"/>
  <c r="AE64" i="6" s="1"/>
  <c r="AD62" i="6"/>
  <c r="AE62" i="6" s="1"/>
  <c r="AD61" i="6"/>
  <c r="AE61" i="6" s="1"/>
  <c r="U7352" i="5"/>
  <c r="V7352" i="5" s="1"/>
  <c r="U7464" i="5"/>
  <c r="V7464" i="5" s="1"/>
  <c r="U7414" i="5"/>
  <c r="V7414" i="5" s="1"/>
  <c r="U7444" i="5"/>
  <c r="V7444" i="5" s="1"/>
  <c r="O7267" i="5"/>
  <c r="U7492" i="5"/>
  <c r="V7492" i="5" s="1"/>
  <c r="O7339" i="5"/>
  <c r="O7367" i="5"/>
  <c r="O7263" i="5"/>
  <c r="U7425" i="5"/>
  <c r="V7425" i="5" s="1"/>
  <c r="U7235" i="5"/>
  <c r="V7235" i="5" s="1"/>
  <c r="U7404" i="5"/>
  <c r="V7404" i="5" s="1"/>
  <c r="U7374" i="5"/>
  <c r="V7374" i="5" s="1"/>
  <c r="U7470" i="5"/>
  <c r="V7470" i="5" s="1"/>
  <c r="O7239" i="5"/>
  <c r="U7294" i="5"/>
  <c r="V7294" i="5" s="1"/>
  <c r="U7472" i="5"/>
  <c r="V7472" i="5" s="1"/>
  <c r="U7297" i="5"/>
  <c r="V7297" i="5" s="1"/>
  <c r="U7380" i="5"/>
  <c r="V7380" i="5" s="1"/>
  <c r="U7255" i="5"/>
  <c r="V7255" i="5" s="1"/>
  <c r="U7359" i="5"/>
  <c r="V7359" i="5" s="1"/>
  <c r="U7301" i="5"/>
  <c r="V7301" i="5" s="1"/>
  <c r="U7332" i="5"/>
  <c r="V7332" i="5" s="1"/>
  <c r="O7305" i="5"/>
  <c r="O7396" i="5"/>
  <c r="U7429" i="5"/>
  <c r="V7429" i="5" s="1"/>
  <c r="U7417" i="5"/>
  <c r="V7417" i="5" s="1"/>
  <c r="U7477" i="5"/>
  <c r="V7477" i="5" s="1"/>
  <c r="U7278" i="5"/>
  <c r="V7278" i="5" s="1"/>
  <c r="U7240" i="5"/>
  <c r="V7240" i="5" s="1"/>
  <c r="U7467" i="5"/>
  <c r="V7467" i="5" s="1"/>
  <c r="U7411" i="5"/>
  <c r="V7411" i="5" s="1"/>
  <c r="O7266" i="5"/>
  <c r="U7360" i="5"/>
  <c r="V7360" i="5" s="1"/>
  <c r="O7426" i="5"/>
  <c r="U7463" i="5"/>
  <c r="V7463" i="5" s="1"/>
  <c r="U7453" i="5"/>
  <c r="V7453" i="5" s="1"/>
  <c r="U7462" i="5"/>
  <c r="V7462" i="5" s="1"/>
  <c r="U7381" i="5"/>
  <c r="V7381" i="5" s="1"/>
  <c r="U7408" i="5"/>
  <c r="V7408" i="5" s="1"/>
  <c r="U7366" i="5"/>
  <c r="V7366" i="5" s="1"/>
  <c r="U7415" i="5"/>
  <c r="V7415" i="5" s="1"/>
  <c r="U7443" i="5"/>
  <c r="V7443" i="5" s="1"/>
  <c r="U7308" i="5"/>
  <c r="V7308" i="5" s="1"/>
  <c r="U7433" i="5"/>
  <c r="V7433" i="5" s="1"/>
  <c r="U7347" i="5"/>
  <c r="V7347" i="5" s="1"/>
  <c r="U7248" i="5"/>
  <c r="V7248" i="5" s="1"/>
  <c r="U7304" i="5"/>
  <c r="V7304" i="5" s="1"/>
  <c r="U7340" i="5"/>
  <c r="V7340" i="5" s="1"/>
  <c r="U7391" i="5"/>
  <c r="V7391" i="5" s="1"/>
  <c r="U7437" i="5"/>
  <c r="V7437" i="5" s="1"/>
  <c r="U7487" i="5"/>
  <c r="V7487" i="5" s="1"/>
  <c r="U7373" i="5"/>
  <c r="V7373" i="5" s="1"/>
  <c r="U7343" i="5"/>
  <c r="V7343" i="5" s="1"/>
  <c r="U7486" i="5"/>
  <c r="V7486" i="5" s="1"/>
  <c r="U7466" i="5"/>
  <c r="V7466" i="5" s="1"/>
  <c r="U7451" i="5"/>
  <c r="V7451" i="5" s="1"/>
  <c r="U7447" i="5"/>
  <c r="V7447" i="5" s="1"/>
  <c r="U7446" i="5"/>
  <c r="V7446" i="5" s="1"/>
  <c r="U7410" i="5"/>
  <c r="V7410" i="5" s="1"/>
  <c r="U7398" i="5"/>
  <c r="V7398" i="5" s="1"/>
  <c r="O7394" i="5"/>
  <c r="U7365" i="5"/>
  <c r="V7365" i="5" s="1"/>
  <c r="O7360" i="5"/>
  <c r="U7355" i="5"/>
  <c r="V7355" i="5" s="1"/>
  <c r="U7338" i="5"/>
  <c r="V7338" i="5" s="1"/>
  <c r="U7335" i="5"/>
  <c r="V7335" i="5" s="1"/>
  <c r="U7333" i="5"/>
  <c r="V7333" i="5" s="1"/>
  <c r="U7312" i="5"/>
  <c r="V7312" i="5" s="1"/>
  <c r="U7305" i="5"/>
  <c r="V7305" i="5" s="1"/>
  <c r="U7246" i="5"/>
  <c r="V7246" i="5" s="1"/>
  <c r="O7347" i="5"/>
  <c r="O7416" i="5"/>
  <c r="O7487" i="5"/>
  <c r="O7463" i="5"/>
  <c r="O7425" i="5"/>
  <c r="O7452" i="5"/>
  <c r="O7381" i="5"/>
  <c r="O7340" i="5"/>
  <c r="O7333" i="5"/>
  <c r="O7280" i="5"/>
  <c r="O7274" i="5"/>
  <c r="O7408" i="5"/>
  <c r="O7437" i="5"/>
  <c r="O7448" i="5"/>
  <c r="O7414" i="5"/>
  <c r="O7415" i="5"/>
  <c r="O7433" i="5"/>
  <c r="O7411" i="5"/>
  <c r="O7359" i="5"/>
  <c r="O7407" i="5"/>
  <c r="O7462" i="5"/>
  <c r="O7470" i="5"/>
  <c r="O7301" i="5"/>
  <c r="O7486" i="5"/>
  <c r="O7312" i="5"/>
  <c r="O7451" i="5"/>
  <c r="O7255" i="5"/>
  <c r="O7374" i="5"/>
  <c r="O7373" i="5"/>
  <c r="O7398" i="5"/>
  <c r="O7343" i="5"/>
  <c r="O7278" i="5"/>
  <c r="O7467" i="5"/>
  <c r="O7308" i="5"/>
  <c r="O7443" i="5"/>
  <c r="O7417" i="5"/>
  <c r="O7410" i="5"/>
  <c r="O7297" i="5"/>
  <c r="O7366" i="5"/>
  <c r="O7355" i="5"/>
  <c r="O7365" i="5"/>
  <c r="O7248" i="5"/>
  <c r="O7304" i="5"/>
  <c r="O7447" i="5"/>
  <c r="O7332" i="5"/>
  <c r="O7391" i="5"/>
  <c r="L28" i="17" l="1"/>
  <c r="O28" i="17" s="1"/>
  <c r="T7233" i="5" l="1"/>
  <c r="J7233" i="5"/>
  <c r="T7232" i="5"/>
  <c r="J7232" i="5"/>
  <c r="K7232" i="5" s="1"/>
  <c r="L7232" i="5" s="1"/>
  <c r="T7231" i="5"/>
  <c r="J7231" i="5"/>
  <c r="T7230" i="5"/>
  <c r="J7230" i="5"/>
  <c r="K7230" i="5" s="1"/>
  <c r="T7229" i="5"/>
  <c r="J7229" i="5"/>
  <c r="K7229" i="5" s="1"/>
  <c r="L7229" i="5" s="1"/>
  <c r="T7228" i="5"/>
  <c r="J7228" i="5"/>
  <c r="K7228" i="5" s="1"/>
  <c r="T7227" i="5"/>
  <c r="J7227" i="5"/>
  <c r="T7226" i="5"/>
  <c r="J7226" i="5"/>
  <c r="T7225" i="5"/>
  <c r="J7225" i="5"/>
  <c r="T7224" i="5"/>
  <c r="J7224" i="5"/>
  <c r="T7223" i="5"/>
  <c r="J7223" i="5"/>
  <c r="T7222" i="5"/>
  <c r="J7222" i="5"/>
  <c r="T7221" i="5"/>
  <c r="J7221" i="5"/>
  <c r="K7221" i="5" s="1"/>
  <c r="T7220" i="5"/>
  <c r="J7220" i="5"/>
  <c r="T7219" i="5"/>
  <c r="J7219" i="5"/>
  <c r="K7219" i="5" s="1"/>
  <c r="T7218" i="5"/>
  <c r="J7218" i="5"/>
  <c r="T7217" i="5"/>
  <c r="J7217" i="5"/>
  <c r="K7217" i="5" s="1"/>
  <c r="T7216" i="5"/>
  <c r="J7216" i="5"/>
  <c r="K7216" i="5" s="1"/>
  <c r="T7215" i="5"/>
  <c r="J7215" i="5"/>
  <c r="T7214" i="5"/>
  <c r="J7214" i="5"/>
  <c r="T7213" i="5"/>
  <c r="J7213" i="5"/>
  <c r="K7213" i="5" s="1"/>
  <c r="T7212" i="5"/>
  <c r="J7212" i="5"/>
  <c r="K7212" i="5" s="1"/>
  <c r="T7211" i="5"/>
  <c r="J7211" i="5"/>
  <c r="T7210" i="5"/>
  <c r="J7210" i="5"/>
  <c r="K7210" i="5" s="1"/>
  <c r="T7209" i="5"/>
  <c r="J7209" i="5"/>
  <c r="T7208" i="5"/>
  <c r="J7208" i="5"/>
  <c r="T7207" i="5"/>
  <c r="J7207" i="5"/>
  <c r="T7206" i="5"/>
  <c r="J7206" i="5"/>
  <c r="T7205" i="5"/>
  <c r="J7205" i="5"/>
  <c r="K7205" i="5" s="1"/>
  <c r="T7204" i="5"/>
  <c r="J7204" i="5"/>
  <c r="K7204" i="5" s="1"/>
  <c r="T7203" i="5"/>
  <c r="J7203" i="5"/>
  <c r="K7203" i="5" s="1"/>
  <c r="T7202" i="5"/>
  <c r="J7202" i="5"/>
  <c r="K7202" i="5" s="1"/>
  <c r="T7201" i="5"/>
  <c r="J7201" i="5"/>
  <c r="T7200" i="5"/>
  <c r="J7200" i="5"/>
  <c r="K7200" i="5" s="1"/>
  <c r="L7200" i="5" s="1"/>
  <c r="P7200" i="5" s="1"/>
  <c r="T7199" i="5"/>
  <c r="J7199" i="5"/>
  <c r="K7199" i="5" s="1"/>
  <c r="T7198" i="5"/>
  <c r="J7198" i="5"/>
  <c r="K7198" i="5" s="1"/>
  <c r="T7197" i="5"/>
  <c r="J7197" i="5"/>
  <c r="T7196" i="5"/>
  <c r="J7196" i="5"/>
  <c r="K7196" i="5" s="1"/>
  <c r="T7195" i="5"/>
  <c r="J7195" i="5"/>
  <c r="T7194" i="5"/>
  <c r="J7194" i="5"/>
  <c r="T7193" i="5"/>
  <c r="J7193" i="5"/>
  <c r="K7193" i="5" s="1"/>
  <c r="T7192" i="5"/>
  <c r="J7192" i="5"/>
  <c r="T7191" i="5"/>
  <c r="J7191" i="5"/>
  <c r="K7191" i="5" s="1"/>
  <c r="T7190" i="5"/>
  <c r="J7190" i="5"/>
  <c r="K7190" i="5" s="1"/>
  <c r="T7189" i="5"/>
  <c r="J7189" i="5"/>
  <c r="T7188" i="5"/>
  <c r="J7188" i="5"/>
  <c r="T7187" i="5"/>
  <c r="J7187" i="5"/>
  <c r="K7187" i="5" s="1"/>
  <c r="L7187" i="5" s="1"/>
  <c r="P7187" i="5" s="1"/>
  <c r="T7186" i="5"/>
  <c r="J7186" i="5"/>
  <c r="T7185" i="5"/>
  <c r="J7185" i="5"/>
  <c r="K7185" i="5" s="1"/>
  <c r="T7184" i="5"/>
  <c r="J7184" i="5"/>
  <c r="T7183" i="5"/>
  <c r="J7183" i="5"/>
  <c r="K7183" i="5" s="1"/>
  <c r="T7182" i="5"/>
  <c r="J7182" i="5"/>
  <c r="T7181" i="5"/>
  <c r="J7181" i="5"/>
  <c r="T7180" i="5"/>
  <c r="J7180" i="5"/>
  <c r="T7179" i="5"/>
  <c r="J7179" i="5"/>
  <c r="T7178" i="5"/>
  <c r="J7178" i="5"/>
  <c r="K7178" i="5" s="1"/>
  <c r="T7177" i="5"/>
  <c r="J7177" i="5"/>
  <c r="K7177" i="5" s="1"/>
  <c r="L7177" i="5" s="1"/>
  <c r="T7176" i="5"/>
  <c r="J7176" i="5"/>
  <c r="T7175" i="5"/>
  <c r="J7175" i="5"/>
  <c r="K7175" i="5" s="1"/>
  <c r="L7175" i="5" s="1"/>
  <c r="P7175" i="5" s="1"/>
  <c r="T7174" i="5"/>
  <c r="J7174" i="5"/>
  <c r="K7174" i="5" s="1"/>
  <c r="T7173" i="5"/>
  <c r="J7173" i="5"/>
  <c r="K7173" i="5" s="1"/>
  <c r="L7173" i="5" s="1"/>
  <c r="T7172" i="5"/>
  <c r="J7172" i="5"/>
  <c r="K7172" i="5" s="1"/>
  <c r="T7171" i="5"/>
  <c r="J7171" i="5"/>
  <c r="T7170" i="5"/>
  <c r="J7170" i="5"/>
  <c r="K7170" i="5" s="1"/>
  <c r="T7169" i="5"/>
  <c r="J7169" i="5"/>
  <c r="K7169" i="5" s="1"/>
  <c r="T7168" i="5"/>
  <c r="J7168" i="5"/>
  <c r="T7167" i="5"/>
  <c r="J7167" i="5"/>
  <c r="T7166" i="5"/>
  <c r="J7166" i="5"/>
  <c r="T7165" i="5"/>
  <c r="J7165" i="5"/>
  <c r="T7164" i="5"/>
  <c r="J7164" i="5"/>
  <c r="T7163" i="5"/>
  <c r="J7163" i="5"/>
  <c r="K7163" i="5" s="1"/>
  <c r="L7163" i="5" s="1"/>
  <c r="T7162" i="5"/>
  <c r="J7162" i="5"/>
  <c r="T7161" i="5"/>
  <c r="J7161" i="5"/>
  <c r="K7161" i="5" s="1"/>
  <c r="T7160" i="5"/>
  <c r="J7160" i="5"/>
  <c r="T7159" i="5"/>
  <c r="J7159" i="5"/>
  <c r="T7158" i="5"/>
  <c r="J7158" i="5"/>
  <c r="T7157" i="5"/>
  <c r="J7157" i="5"/>
  <c r="K7157" i="5" s="1"/>
  <c r="T7156" i="5"/>
  <c r="J7156" i="5"/>
  <c r="T7155" i="5"/>
  <c r="J7155" i="5"/>
  <c r="K7155" i="5" s="1"/>
  <c r="L7155" i="5" s="1"/>
  <c r="T7154" i="5"/>
  <c r="J7154" i="5"/>
  <c r="T7153" i="5"/>
  <c r="J7153" i="5"/>
  <c r="K7153" i="5" s="1"/>
  <c r="T7152" i="5"/>
  <c r="J7152" i="5"/>
  <c r="K7152" i="5" s="1"/>
  <c r="T7151" i="5"/>
  <c r="J7151" i="5"/>
  <c r="K7151" i="5" s="1"/>
  <c r="T7150" i="5"/>
  <c r="J7150" i="5"/>
  <c r="T7149" i="5"/>
  <c r="J7149" i="5"/>
  <c r="K7149" i="5" s="1"/>
  <c r="L7149" i="5" s="1"/>
  <c r="T7148" i="5"/>
  <c r="J7148" i="5"/>
  <c r="K7148" i="5" s="1"/>
  <c r="T7147" i="5"/>
  <c r="J7147" i="5"/>
  <c r="K7147" i="5" s="1"/>
  <c r="T7146" i="5"/>
  <c r="J7146" i="5"/>
  <c r="T7145" i="5"/>
  <c r="J7145" i="5"/>
  <c r="T7144" i="5"/>
  <c r="J7144" i="5"/>
  <c r="K7144" i="5" s="1"/>
  <c r="T7143" i="5"/>
  <c r="J7143" i="5"/>
  <c r="T7142" i="5"/>
  <c r="J7142" i="5"/>
  <c r="K7142" i="5" s="1"/>
  <c r="T7141" i="5"/>
  <c r="J7141" i="5"/>
  <c r="K7141" i="5" s="1"/>
  <c r="T7140" i="5"/>
  <c r="J7140" i="5"/>
  <c r="K7140" i="5" s="1"/>
  <c r="L7140" i="5" s="1"/>
  <c r="T7139" i="5"/>
  <c r="J7139" i="5"/>
  <c r="T7138" i="5"/>
  <c r="J7138" i="5"/>
  <c r="T7137" i="5"/>
  <c r="J7137" i="5"/>
  <c r="K7137" i="5" s="1"/>
  <c r="T7136" i="5"/>
  <c r="J7136" i="5"/>
  <c r="T7135" i="5"/>
  <c r="J7135" i="5"/>
  <c r="T7134" i="5"/>
  <c r="J7134" i="5"/>
  <c r="K7134" i="5" s="1"/>
  <c r="T7133" i="5"/>
  <c r="J7133" i="5"/>
  <c r="T7132" i="5"/>
  <c r="J7132" i="5"/>
  <c r="K7132" i="5" s="1"/>
  <c r="T7131" i="5"/>
  <c r="J7131" i="5"/>
  <c r="K7131" i="5" s="1"/>
  <c r="T7130" i="5"/>
  <c r="J7130" i="5"/>
  <c r="K7130" i="5" s="1"/>
  <c r="T7129" i="5"/>
  <c r="J7129" i="5"/>
  <c r="T7128" i="5"/>
  <c r="J7128" i="5"/>
  <c r="K7128" i="5" s="1"/>
  <c r="L7128" i="5" s="1"/>
  <c r="T7127" i="5"/>
  <c r="J7127" i="5"/>
  <c r="K7127" i="5" s="1"/>
  <c r="T7126" i="5"/>
  <c r="J7126" i="5"/>
  <c r="K7126" i="5" s="1"/>
  <c r="T7125" i="5"/>
  <c r="J7125" i="5"/>
  <c r="K7125" i="5" s="1"/>
  <c r="L7125" i="5" s="1"/>
  <c r="T7124" i="5"/>
  <c r="J7124" i="5"/>
  <c r="T7123" i="5"/>
  <c r="J7123" i="5"/>
  <c r="T7122" i="5"/>
  <c r="J7122" i="5"/>
  <c r="T7121" i="5"/>
  <c r="J7121" i="5"/>
  <c r="K7121" i="5" s="1"/>
  <c r="T7120" i="5"/>
  <c r="J7120" i="5"/>
  <c r="K7120" i="5" s="1"/>
  <c r="T7119" i="5"/>
  <c r="J7119" i="5"/>
  <c r="T7118" i="5"/>
  <c r="J7118" i="5"/>
  <c r="T7117" i="5"/>
  <c r="J7117" i="5"/>
  <c r="K7117" i="5" s="1"/>
  <c r="T7116" i="5"/>
  <c r="J7116" i="5"/>
  <c r="T7115" i="5"/>
  <c r="J7115" i="5"/>
  <c r="T7114" i="5"/>
  <c r="J7114" i="5"/>
  <c r="T7113" i="5"/>
  <c r="J7113" i="5"/>
  <c r="T7112" i="5"/>
  <c r="J7112" i="5"/>
  <c r="K7112" i="5" s="1"/>
  <c r="T7111" i="5"/>
  <c r="J7111" i="5"/>
  <c r="K7111" i="5" s="1"/>
  <c r="T7110" i="5"/>
  <c r="J7110" i="5"/>
  <c r="T7109" i="5"/>
  <c r="J7109" i="5"/>
  <c r="T7108" i="5"/>
  <c r="J7108" i="5"/>
  <c r="K7108" i="5" s="1"/>
  <c r="L7108" i="5" s="1"/>
  <c r="T7107" i="5"/>
  <c r="J7107" i="5"/>
  <c r="K7107" i="5" s="1"/>
  <c r="T7106" i="5"/>
  <c r="J7106" i="5"/>
  <c r="K7106" i="5" s="1"/>
  <c r="L7106" i="5" s="1"/>
  <c r="T7105" i="5"/>
  <c r="J7105" i="5"/>
  <c r="K7105" i="5" s="1"/>
  <c r="L7105" i="5" s="1"/>
  <c r="T7104" i="5"/>
  <c r="J7104" i="5"/>
  <c r="T7103" i="5"/>
  <c r="J7103" i="5"/>
  <c r="T7102" i="5"/>
  <c r="J7102" i="5"/>
  <c r="T7101" i="5"/>
  <c r="J7101" i="5"/>
  <c r="T7100" i="5"/>
  <c r="J7100" i="5"/>
  <c r="T7099" i="5"/>
  <c r="J7099" i="5"/>
  <c r="T7098" i="5"/>
  <c r="J7098" i="5"/>
  <c r="K7098" i="5" s="1"/>
  <c r="T7097" i="5"/>
  <c r="J7097" i="5"/>
  <c r="K7097" i="5" s="1"/>
  <c r="L7097" i="5" s="1"/>
  <c r="T7096" i="5"/>
  <c r="J7096" i="5"/>
  <c r="T7095" i="5"/>
  <c r="J7095" i="5"/>
  <c r="K7095" i="5" s="1"/>
  <c r="L7095" i="5" s="1"/>
  <c r="T7094" i="5"/>
  <c r="J7094" i="5"/>
  <c r="T7093" i="5"/>
  <c r="J7093" i="5"/>
  <c r="K7093" i="5" s="1"/>
  <c r="T7092" i="5"/>
  <c r="J7092" i="5"/>
  <c r="K7092" i="5" s="1"/>
  <c r="T7091" i="5"/>
  <c r="J7091" i="5"/>
  <c r="K7091" i="5" s="1"/>
  <c r="T7090" i="5"/>
  <c r="J7090" i="5"/>
  <c r="T7089" i="5"/>
  <c r="J7089" i="5"/>
  <c r="T7088" i="5"/>
  <c r="J7088" i="5"/>
  <c r="T7087" i="5"/>
  <c r="J7087" i="5"/>
  <c r="T7086" i="5"/>
  <c r="J7086" i="5"/>
  <c r="T7085" i="5"/>
  <c r="J7085" i="5"/>
  <c r="K7085" i="5" s="1"/>
  <c r="T7084" i="5"/>
  <c r="J7084" i="5"/>
  <c r="T7083" i="5"/>
  <c r="J7083" i="5"/>
  <c r="K7083" i="5" s="1"/>
  <c r="T7082" i="5"/>
  <c r="J7082" i="5"/>
  <c r="T7081" i="5"/>
  <c r="J7081" i="5"/>
  <c r="T7080" i="5"/>
  <c r="J7080" i="5"/>
  <c r="K7080" i="5" s="1"/>
  <c r="T7079" i="5"/>
  <c r="J7079" i="5"/>
  <c r="T7078" i="5"/>
  <c r="J7078" i="5"/>
  <c r="T7077" i="5"/>
  <c r="J7077" i="5"/>
  <c r="K7077" i="5" s="1"/>
  <c r="T7076" i="5"/>
  <c r="J7076" i="5"/>
  <c r="T7075" i="5"/>
  <c r="J7075" i="5"/>
  <c r="K7075" i="5" s="1"/>
  <c r="T7074" i="5"/>
  <c r="J7074" i="5"/>
  <c r="T7073" i="5"/>
  <c r="J7073" i="5"/>
  <c r="K7073" i="5" s="1"/>
  <c r="L7073" i="5" s="1"/>
  <c r="T7072" i="5"/>
  <c r="J7072" i="5"/>
  <c r="K7072" i="5" s="1"/>
  <c r="L7072" i="5" s="1"/>
  <c r="T7071" i="5"/>
  <c r="J7071" i="5"/>
  <c r="K7071" i="5" s="1"/>
  <c r="T7070" i="5"/>
  <c r="J7070" i="5"/>
  <c r="K7070" i="5" s="1"/>
  <c r="T7069" i="5"/>
  <c r="J7069" i="5"/>
  <c r="T7068" i="5"/>
  <c r="J7068" i="5"/>
  <c r="K7068" i="5" s="1"/>
  <c r="L7068" i="5" s="1"/>
  <c r="T7067" i="5"/>
  <c r="J7067" i="5"/>
  <c r="T7066" i="5"/>
  <c r="J7066" i="5"/>
  <c r="K7066" i="5" s="1"/>
  <c r="T7065" i="5"/>
  <c r="J7065" i="5"/>
  <c r="T7064" i="5"/>
  <c r="J7064" i="5"/>
  <c r="K7064" i="5" s="1"/>
  <c r="T7063" i="5"/>
  <c r="J7063" i="5"/>
  <c r="T7062" i="5"/>
  <c r="J7062" i="5"/>
  <c r="T7061" i="5"/>
  <c r="J7061" i="5"/>
  <c r="K7061" i="5" s="1"/>
  <c r="T7060" i="5"/>
  <c r="J7060" i="5"/>
  <c r="T7059" i="5"/>
  <c r="J7059" i="5"/>
  <c r="T7058" i="5"/>
  <c r="J7058" i="5"/>
  <c r="K7058" i="5" s="1"/>
  <c r="T7057" i="5"/>
  <c r="J7057" i="5"/>
  <c r="T7056" i="5"/>
  <c r="J7056" i="5"/>
  <c r="T7055" i="5"/>
  <c r="J7055" i="5"/>
  <c r="T7054" i="5"/>
  <c r="J7054" i="5"/>
  <c r="K7054" i="5" s="1"/>
  <c r="L7054" i="5" s="1"/>
  <c r="T7053" i="5"/>
  <c r="J7053" i="5"/>
  <c r="T7052" i="5"/>
  <c r="J7052" i="5"/>
  <c r="T7051" i="5"/>
  <c r="J7051" i="5"/>
  <c r="K7051" i="5" s="1"/>
  <c r="L7051" i="5" s="1"/>
  <c r="T7050" i="5"/>
  <c r="J7050" i="5"/>
  <c r="T7049" i="5"/>
  <c r="J7049" i="5"/>
  <c r="K7049" i="5" s="1"/>
  <c r="T7048" i="5"/>
  <c r="J7048" i="5"/>
  <c r="T7047" i="5"/>
  <c r="J7047" i="5"/>
  <c r="T7046" i="5"/>
  <c r="J7046" i="5"/>
  <c r="T7045" i="5"/>
  <c r="J7045" i="5"/>
  <c r="T7044" i="5"/>
  <c r="J7044" i="5"/>
  <c r="K7044" i="5" s="1"/>
  <c r="L7044" i="5" s="1"/>
  <c r="T7043" i="5"/>
  <c r="J7043" i="5"/>
  <c r="K7043" i="5" s="1"/>
  <c r="T7042" i="5"/>
  <c r="J7042" i="5"/>
  <c r="K7042" i="5" s="1"/>
  <c r="T7041" i="5"/>
  <c r="J7041" i="5"/>
  <c r="T7040" i="5"/>
  <c r="J7040" i="5"/>
  <c r="K7040" i="5" s="1"/>
  <c r="T7039" i="5"/>
  <c r="J7039" i="5"/>
  <c r="K7039" i="5" s="1"/>
  <c r="L7039" i="5" s="1"/>
  <c r="T7038" i="5"/>
  <c r="J7038" i="5"/>
  <c r="K7038" i="5" s="1"/>
  <c r="L7038" i="5" s="1"/>
  <c r="P7038" i="5" s="1"/>
  <c r="T7037" i="5"/>
  <c r="J7037" i="5"/>
  <c r="K7037" i="5" s="1"/>
  <c r="T7036" i="5"/>
  <c r="J7036" i="5"/>
  <c r="K7036" i="5" s="1"/>
  <c r="T7035" i="5"/>
  <c r="J7035" i="5"/>
  <c r="T7034" i="5"/>
  <c r="J7034" i="5"/>
  <c r="T7033" i="5"/>
  <c r="J7033" i="5"/>
  <c r="T7032" i="5"/>
  <c r="J7032" i="5"/>
  <c r="K7032" i="5" s="1"/>
  <c r="L7032" i="5" s="1"/>
  <c r="P7032" i="5" s="1"/>
  <c r="T7031" i="5"/>
  <c r="J7031" i="5"/>
  <c r="T7030" i="5"/>
  <c r="J7030" i="5"/>
  <c r="K7030" i="5" s="1"/>
  <c r="L7030" i="5" s="1"/>
  <c r="T7029" i="5"/>
  <c r="J7029" i="5"/>
  <c r="K7029" i="5" s="1"/>
  <c r="T7028" i="5"/>
  <c r="J7028" i="5"/>
  <c r="T7027" i="5"/>
  <c r="J7027" i="5"/>
  <c r="K7027" i="5" s="1"/>
  <c r="T7026" i="5"/>
  <c r="J7026" i="5"/>
  <c r="K7026" i="5" s="1"/>
  <c r="T7025" i="5"/>
  <c r="J7025" i="5"/>
  <c r="T7024" i="5"/>
  <c r="J7024" i="5"/>
  <c r="K7024" i="5" s="1"/>
  <c r="L7024" i="5" s="1"/>
  <c r="T7023" i="5"/>
  <c r="J7023" i="5"/>
  <c r="K7023" i="5" s="1"/>
  <c r="L7023" i="5" s="1"/>
  <c r="T7022" i="5"/>
  <c r="J7022" i="5"/>
  <c r="K7022" i="5" s="1"/>
  <c r="L7022" i="5" s="1"/>
  <c r="T7021" i="5"/>
  <c r="J7021" i="5"/>
  <c r="T7020" i="5"/>
  <c r="J7020" i="5"/>
  <c r="T7019" i="5"/>
  <c r="J7019" i="5"/>
  <c r="K7019" i="5" s="1"/>
  <c r="L7019" i="5" s="1"/>
  <c r="P7019" i="5" s="1"/>
  <c r="T7018" i="5"/>
  <c r="J7018" i="5"/>
  <c r="K7018" i="5" s="1"/>
  <c r="B7232" i="5"/>
  <c r="Q7232" i="5" s="1"/>
  <c r="B7233" i="5"/>
  <c r="Q7233" i="5" s="1"/>
  <c r="B7230" i="5"/>
  <c r="Q7230" i="5" s="1"/>
  <c r="B7231" i="5"/>
  <c r="Q7231" i="5" s="1"/>
  <c r="B7228" i="5"/>
  <c r="Q7228" i="5" s="1"/>
  <c r="B7229" i="5"/>
  <c r="Q7229" i="5" s="1"/>
  <c r="B7225" i="5"/>
  <c r="Q7225" i="5" s="1"/>
  <c r="B7226" i="5"/>
  <c r="Q7226" i="5" s="1"/>
  <c r="B7227" i="5"/>
  <c r="Q7227" i="5" s="1"/>
  <c r="B7224" i="5"/>
  <c r="Q7224" i="5" s="1"/>
  <c r="B7223" i="5"/>
  <c r="M7223" i="5" s="1"/>
  <c r="B7220" i="5"/>
  <c r="Q7220" i="5" s="1"/>
  <c r="B7221" i="5"/>
  <c r="M7221" i="5" s="1"/>
  <c r="B7222" i="5"/>
  <c r="Q7222" i="5" s="1"/>
  <c r="B7217" i="5"/>
  <c r="Q7217" i="5" s="1"/>
  <c r="B7218" i="5"/>
  <c r="Q7218" i="5" s="1"/>
  <c r="B7219" i="5"/>
  <c r="Q7219" i="5" s="1"/>
  <c r="B7215" i="5"/>
  <c r="Q7215" i="5" s="1"/>
  <c r="B7216" i="5"/>
  <c r="Q7216" i="5" s="1"/>
  <c r="B7210" i="5"/>
  <c r="M7210" i="5" s="1"/>
  <c r="B7211" i="5"/>
  <c r="Q7211" i="5" s="1"/>
  <c r="B7212" i="5"/>
  <c r="Q7212" i="5" s="1"/>
  <c r="B7213" i="5"/>
  <c r="Q7213" i="5" s="1"/>
  <c r="B7214" i="5"/>
  <c r="Q7214" i="5" s="1"/>
  <c r="B7207" i="5"/>
  <c r="M7207" i="5" s="1"/>
  <c r="B7208" i="5"/>
  <c r="Q7208" i="5" s="1"/>
  <c r="B7209" i="5"/>
  <c r="Q7209" i="5" s="1"/>
  <c r="B7204" i="5"/>
  <c r="Q7204" i="5" s="1"/>
  <c r="B7205" i="5"/>
  <c r="Q7205" i="5" s="1"/>
  <c r="B7206" i="5"/>
  <c r="Q7206" i="5" s="1"/>
  <c r="B7202" i="5"/>
  <c r="M7202" i="5" s="1"/>
  <c r="B7203" i="5"/>
  <c r="Q7203" i="5" s="1"/>
  <c r="B7201" i="5"/>
  <c r="Q7201" i="5" s="1"/>
  <c r="B7198" i="5"/>
  <c r="Q7198" i="5" s="1"/>
  <c r="B7199" i="5"/>
  <c r="Q7199" i="5" s="1"/>
  <c r="B7200" i="5"/>
  <c r="Q7200" i="5" s="1"/>
  <c r="B7197" i="5"/>
  <c r="M7197" i="5" s="1"/>
  <c r="B7195" i="5"/>
  <c r="M7195" i="5" s="1"/>
  <c r="B7196" i="5"/>
  <c r="Q7196" i="5" s="1"/>
  <c r="B7193" i="5"/>
  <c r="Q7193" i="5" s="1"/>
  <c r="B7194" i="5"/>
  <c r="M7194" i="5" s="1"/>
  <c r="B7192" i="5"/>
  <c r="Q7192" i="5" s="1"/>
  <c r="B7191" i="5"/>
  <c r="Q7191" i="5" s="1"/>
  <c r="B7190" i="5"/>
  <c r="M7190" i="5" s="1"/>
  <c r="B7186" i="5"/>
  <c r="M7186" i="5" s="1"/>
  <c r="B7187" i="5"/>
  <c r="M7187" i="5" s="1"/>
  <c r="B7188" i="5"/>
  <c r="M7188" i="5" s="1"/>
  <c r="B7189" i="5"/>
  <c r="Q7189" i="5" s="1"/>
  <c r="B7185" i="5"/>
  <c r="M7185" i="5" s="1"/>
  <c r="B7184" i="5"/>
  <c r="Q7184" i="5" s="1"/>
  <c r="B7183" i="5"/>
  <c r="Q7183" i="5" s="1"/>
  <c r="B7182" i="5"/>
  <c r="Q7182" i="5" s="1"/>
  <c r="B7178" i="5"/>
  <c r="M7178" i="5" s="1"/>
  <c r="B7179" i="5"/>
  <c r="Q7179" i="5" s="1"/>
  <c r="B7180" i="5"/>
  <c r="M7180" i="5" s="1"/>
  <c r="B7181" i="5"/>
  <c r="M7181" i="5" s="1"/>
  <c r="B7176" i="5"/>
  <c r="Q7176" i="5" s="1"/>
  <c r="B7177" i="5"/>
  <c r="Q7177" i="5" s="1"/>
  <c r="B7174" i="5"/>
  <c r="M7174" i="5" s="1"/>
  <c r="B7175" i="5"/>
  <c r="Q7175" i="5" s="1"/>
  <c r="B7172" i="5"/>
  <c r="Q7172" i="5" s="1"/>
  <c r="B7173" i="5"/>
  <c r="Q7173" i="5" s="1"/>
  <c r="B7170" i="5"/>
  <c r="Q7170" i="5" s="1"/>
  <c r="B7171" i="5"/>
  <c r="Q7171" i="5" s="1"/>
  <c r="B7165" i="5"/>
  <c r="M7165" i="5" s="1"/>
  <c r="B7166" i="5"/>
  <c r="Q7166" i="5" s="1"/>
  <c r="B7167" i="5"/>
  <c r="M7167" i="5" s="1"/>
  <c r="B7168" i="5"/>
  <c r="Q7168" i="5" s="1"/>
  <c r="B7169" i="5"/>
  <c r="Q7169" i="5" s="1"/>
  <c r="B7162" i="5"/>
  <c r="Q7162" i="5" s="1"/>
  <c r="B7163" i="5"/>
  <c r="Q7163" i="5" s="1"/>
  <c r="B7164" i="5"/>
  <c r="M7164" i="5" s="1"/>
  <c r="B7160" i="5"/>
  <c r="M7160" i="5" s="1"/>
  <c r="B7161" i="5"/>
  <c r="Q7161" i="5" s="1"/>
  <c r="B7159" i="5"/>
  <c r="Q7159" i="5" s="1"/>
  <c r="B7156" i="5"/>
  <c r="Q7156" i="5" s="1"/>
  <c r="B7157" i="5"/>
  <c r="Q7157" i="5" s="1"/>
  <c r="B7158" i="5"/>
  <c r="M7158" i="5" s="1"/>
  <c r="B7155" i="5"/>
  <c r="Q7155" i="5" s="1"/>
  <c r="B7154" i="5"/>
  <c r="Q7154" i="5" s="1"/>
  <c r="B7152" i="5"/>
  <c r="Q7152" i="5" s="1"/>
  <c r="B7153" i="5"/>
  <c r="Q7153" i="5" s="1"/>
  <c r="B7150" i="5"/>
  <c r="Q7150" i="5" s="1"/>
  <c r="B7151" i="5"/>
  <c r="M7151" i="5" s="1"/>
  <c r="B7147" i="5"/>
  <c r="Q7147" i="5" s="1"/>
  <c r="B7148" i="5"/>
  <c r="Q7148" i="5" s="1"/>
  <c r="B7149" i="5"/>
  <c r="Q7149" i="5" s="1"/>
  <c r="B7146" i="5"/>
  <c r="Q7146" i="5" s="1"/>
  <c r="B7145" i="5"/>
  <c r="Q7145" i="5" s="1"/>
  <c r="B7144" i="5"/>
  <c r="Q7144" i="5" s="1"/>
  <c r="B7143" i="5"/>
  <c r="Q7143" i="5" s="1"/>
  <c r="B7140" i="5"/>
  <c r="Q7140" i="5" s="1"/>
  <c r="B7141" i="5"/>
  <c r="Q7141" i="5" s="1"/>
  <c r="B7142" i="5"/>
  <c r="Q7142" i="5" s="1"/>
  <c r="B7139" i="5"/>
  <c r="M7139" i="5" s="1"/>
  <c r="B7138" i="5"/>
  <c r="Q7138" i="5" s="1"/>
  <c r="B7135" i="5"/>
  <c r="Q7135" i="5" s="1"/>
  <c r="B7136" i="5"/>
  <c r="Q7136" i="5" s="1"/>
  <c r="B7137" i="5"/>
  <c r="Q7137" i="5" s="1"/>
  <c r="B7133" i="5"/>
  <c r="Q7133" i="5" s="1"/>
  <c r="B7134" i="5"/>
  <c r="Q7134" i="5" s="1"/>
  <c r="B7132" i="5"/>
  <c r="Q7132" i="5" s="1"/>
  <c r="B7131" i="5"/>
  <c r="M7131" i="5" s="1"/>
  <c r="B7129" i="5"/>
  <c r="Q7129" i="5" s="1"/>
  <c r="B7130" i="5"/>
  <c r="Q7130" i="5" s="1"/>
  <c r="B7127" i="5"/>
  <c r="Q7127" i="5" s="1"/>
  <c r="B7128" i="5"/>
  <c r="M7128" i="5" s="1"/>
  <c r="B7125" i="5"/>
  <c r="Q7125" i="5" s="1"/>
  <c r="B7126" i="5"/>
  <c r="M7126" i="5" s="1"/>
  <c r="B7122" i="5"/>
  <c r="Q7122" i="5" s="1"/>
  <c r="B7123" i="5"/>
  <c r="Q7123" i="5" s="1"/>
  <c r="B7124" i="5"/>
  <c r="Q7124" i="5" s="1"/>
  <c r="B7121" i="5"/>
  <c r="M7121" i="5" s="1"/>
  <c r="B7119" i="5"/>
  <c r="Q7119" i="5" s="1"/>
  <c r="B7120" i="5"/>
  <c r="M7120" i="5" s="1"/>
  <c r="B7114" i="5"/>
  <c r="M7114" i="5" s="1"/>
  <c r="B7115" i="5"/>
  <c r="Q7115" i="5" s="1"/>
  <c r="B7116" i="5"/>
  <c r="Q7116" i="5" s="1"/>
  <c r="B7117" i="5"/>
  <c r="Q7117" i="5" s="1"/>
  <c r="B7118" i="5"/>
  <c r="Q7118" i="5" s="1"/>
  <c r="B7113" i="5"/>
  <c r="Q7113" i="5" s="1"/>
  <c r="B7112" i="5"/>
  <c r="M7112" i="5" s="1"/>
  <c r="B7109" i="5"/>
  <c r="Q7109" i="5" s="1"/>
  <c r="B7110" i="5"/>
  <c r="Q7110" i="5" s="1"/>
  <c r="B7111" i="5"/>
  <c r="Q7111" i="5" s="1"/>
  <c r="B7107" i="5"/>
  <c r="M7107" i="5" s="1"/>
  <c r="B7108" i="5"/>
  <c r="M7108" i="5" s="1"/>
  <c r="B7106" i="5"/>
  <c r="Q7106" i="5" s="1"/>
  <c r="B7103" i="5"/>
  <c r="Q7103" i="5" s="1"/>
  <c r="B7104" i="5"/>
  <c r="Q7104" i="5" s="1"/>
  <c r="B7105" i="5"/>
  <c r="M7105" i="5" s="1"/>
  <c r="B7101" i="5"/>
  <c r="Q7101" i="5" s="1"/>
  <c r="B7102" i="5"/>
  <c r="Q7102" i="5" s="1"/>
  <c r="B7099" i="5"/>
  <c r="Q7099" i="5" s="1"/>
  <c r="B7100" i="5"/>
  <c r="M7100" i="5" s="1"/>
  <c r="B7097" i="5"/>
  <c r="M7097" i="5" s="1"/>
  <c r="B7098" i="5"/>
  <c r="Q7098" i="5" s="1"/>
  <c r="B7095" i="5"/>
  <c r="M7095" i="5" s="1"/>
  <c r="B7096" i="5"/>
  <c r="Q7096" i="5" s="1"/>
  <c r="B7092" i="5"/>
  <c r="Q7092" i="5" s="1"/>
  <c r="B7093" i="5"/>
  <c r="Q7093" i="5" s="1"/>
  <c r="B7094" i="5"/>
  <c r="Q7094" i="5" s="1"/>
  <c r="B7090" i="5"/>
  <c r="M7090" i="5" s="1"/>
  <c r="B7091" i="5"/>
  <c r="Q7091" i="5" s="1"/>
  <c r="B7088" i="5"/>
  <c r="Q7088" i="5" s="1"/>
  <c r="B7089" i="5"/>
  <c r="Q7089" i="5" s="1"/>
  <c r="B7086" i="5"/>
  <c r="Q7086" i="5" s="1"/>
  <c r="B7087" i="5"/>
  <c r="M7087" i="5" s="1"/>
  <c r="B7081" i="5"/>
  <c r="M7081" i="5" s="1"/>
  <c r="B7082" i="5"/>
  <c r="Q7082" i="5" s="1"/>
  <c r="B7083" i="5"/>
  <c r="M7083" i="5" s="1"/>
  <c r="B7084" i="5"/>
  <c r="Q7084" i="5" s="1"/>
  <c r="B7085" i="5"/>
  <c r="Q7085" i="5" s="1"/>
  <c r="B7079" i="5"/>
  <c r="M7079" i="5" s="1"/>
  <c r="B7080" i="5"/>
  <c r="M7080" i="5" s="1"/>
  <c r="B7076" i="5"/>
  <c r="Q7076" i="5" s="1"/>
  <c r="B7077" i="5"/>
  <c r="Q7077" i="5" s="1"/>
  <c r="B7078" i="5"/>
  <c r="M7078" i="5" s="1"/>
  <c r="B7073" i="5"/>
  <c r="Q7073" i="5" s="1"/>
  <c r="B7074" i="5"/>
  <c r="M7074" i="5" s="1"/>
  <c r="B7075" i="5"/>
  <c r="Q7075" i="5" s="1"/>
  <c r="B7072" i="5"/>
  <c r="M7072" i="5" s="1"/>
  <c r="B7070" i="5"/>
  <c r="M7070" i="5" s="1"/>
  <c r="B7071" i="5"/>
  <c r="Q7071" i="5" s="1"/>
  <c r="B7068" i="5"/>
  <c r="M7068" i="5" s="1"/>
  <c r="B7069" i="5"/>
  <c r="Q7069" i="5" s="1"/>
  <c r="B7066" i="5"/>
  <c r="Q7066" i="5" s="1"/>
  <c r="B7067" i="5"/>
  <c r="Q7067" i="5" s="1"/>
  <c r="B7064" i="5"/>
  <c r="Q7064" i="5" s="1"/>
  <c r="B7065" i="5"/>
  <c r="Q7065" i="5" s="1"/>
  <c r="B7062" i="5"/>
  <c r="Q7062" i="5" s="1"/>
  <c r="B7063" i="5"/>
  <c r="Q7063" i="5" s="1"/>
  <c r="B7059" i="5"/>
  <c r="Q7059" i="5" s="1"/>
  <c r="B7060" i="5"/>
  <c r="M7060" i="5" s="1"/>
  <c r="B7061" i="5"/>
  <c r="Q7061" i="5" s="1"/>
  <c r="B7058" i="5"/>
  <c r="Q7058" i="5" s="1"/>
  <c r="B7057" i="5"/>
  <c r="Q7057" i="5" s="1"/>
  <c r="B7056" i="5"/>
  <c r="Q7056" i="5" s="1"/>
  <c r="B7054" i="5"/>
  <c r="M7054" i="5" s="1"/>
  <c r="B7055" i="5"/>
  <c r="M7055" i="5" s="1"/>
  <c r="B7053" i="5"/>
  <c r="M7053" i="5" s="1"/>
  <c r="B7052" i="5"/>
  <c r="Q7052" i="5" s="1"/>
  <c r="B7051" i="5"/>
  <c r="Q7051" i="5" s="1"/>
  <c r="B7050" i="5"/>
  <c r="Q7050" i="5" s="1"/>
  <c r="B7048" i="5"/>
  <c r="Q7048" i="5" s="1"/>
  <c r="B7049" i="5"/>
  <c r="M7049" i="5" s="1"/>
  <c r="B7045" i="5"/>
  <c r="Q7045" i="5" s="1"/>
  <c r="B7046" i="5"/>
  <c r="M7046" i="5" s="1"/>
  <c r="B7047" i="5"/>
  <c r="Q7047" i="5" s="1"/>
  <c r="B7043" i="5"/>
  <c r="Q7043" i="5" s="1"/>
  <c r="B7044" i="5"/>
  <c r="Q7044" i="5" s="1"/>
  <c r="B7042" i="5"/>
  <c r="Q7042" i="5" s="1"/>
  <c r="B7041" i="5"/>
  <c r="M7041" i="5" s="1"/>
  <c r="B7037" i="5"/>
  <c r="M7037" i="5" s="1"/>
  <c r="B7038" i="5"/>
  <c r="M7038" i="5" s="1"/>
  <c r="B7039" i="5"/>
  <c r="Q7039" i="5" s="1"/>
  <c r="B7040" i="5"/>
  <c r="Q7040" i="5" s="1"/>
  <c r="B7034" i="5"/>
  <c r="Q7034" i="5" s="1"/>
  <c r="B7035" i="5"/>
  <c r="Q7035" i="5" s="1"/>
  <c r="B7036" i="5"/>
  <c r="Q7036" i="5" s="1"/>
  <c r="B7031" i="5"/>
  <c r="M7031" i="5" s="1"/>
  <c r="B7032" i="5"/>
  <c r="Q7032" i="5" s="1"/>
  <c r="B7033" i="5"/>
  <c r="Q7033" i="5" s="1"/>
  <c r="B7028" i="5"/>
  <c r="M7028" i="5" s="1"/>
  <c r="B7029" i="5"/>
  <c r="M7029" i="5" s="1"/>
  <c r="B7030" i="5"/>
  <c r="M7030" i="5" s="1"/>
  <c r="B7026" i="5"/>
  <c r="M7026" i="5" s="1"/>
  <c r="B7027" i="5"/>
  <c r="Q7027" i="5" s="1"/>
  <c r="B7024" i="5"/>
  <c r="M7024" i="5" s="1"/>
  <c r="B7025" i="5"/>
  <c r="Q7025" i="5" s="1"/>
  <c r="B7022" i="5"/>
  <c r="Q7022" i="5" s="1"/>
  <c r="B7023" i="5"/>
  <c r="M7023" i="5" s="1"/>
  <c r="B7021" i="5"/>
  <c r="Q7021" i="5" s="1"/>
  <c r="B7018" i="5"/>
  <c r="M7018" i="5" s="1"/>
  <c r="B7019" i="5"/>
  <c r="Q7019" i="5" s="1"/>
  <c r="B7020" i="5"/>
  <c r="Q7020" i="5" s="1"/>
  <c r="Q7223" i="5" l="1"/>
  <c r="Q7112" i="5"/>
  <c r="R7112" i="5" s="1"/>
  <c r="S7112" i="5" s="1"/>
  <c r="Q7210" i="5"/>
  <c r="R7210" i="5" s="1"/>
  <c r="S7210" i="5" s="1"/>
  <c r="M7217" i="5"/>
  <c r="M7118" i="5"/>
  <c r="Q7221" i="5"/>
  <c r="R7221" i="5" s="1"/>
  <c r="S7221" i="5" s="1"/>
  <c r="M7140" i="5"/>
  <c r="N7140" i="5" s="1"/>
  <c r="M7051" i="5"/>
  <c r="N7051" i="5" s="1"/>
  <c r="Q7083" i="5"/>
  <c r="R7083" i="5" s="1"/>
  <c r="S7083" i="5" s="1"/>
  <c r="M7044" i="5"/>
  <c r="N7044" i="5" s="1"/>
  <c r="M7056" i="5"/>
  <c r="Q7055" i="5"/>
  <c r="Q7107" i="5"/>
  <c r="R7107" i="5" s="1"/>
  <c r="S7107" i="5" s="1"/>
  <c r="M7084" i="5"/>
  <c r="Q7194" i="5"/>
  <c r="Q7070" i="5"/>
  <c r="R7070" i="5" s="1"/>
  <c r="S7070" i="5" s="1"/>
  <c r="N7187" i="5"/>
  <c r="O7187" i="5" s="1"/>
  <c r="Q7097" i="5"/>
  <c r="R7097" i="5" s="1"/>
  <c r="S7097" i="5" s="1"/>
  <c r="Q7121" i="5"/>
  <c r="R7121" i="5" s="1"/>
  <c r="S7121" i="5" s="1"/>
  <c r="Q7095" i="5"/>
  <c r="R7095" i="5" s="1"/>
  <c r="S7095" i="5" s="1"/>
  <c r="M7200" i="5"/>
  <c r="N7200" i="5" s="1"/>
  <c r="O7200" i="5" s="1"/>
  <c r="M7119" i="5"/>
  <c r="Q7024" i="5"/>
  <c r="R7024" i="5" s="1"/>
  <c r="S7024" i="5" s="1"/>
  <c r="M7098" i="5"/>
  <c r="M7162" i="5"/>
  <c r="Q7038" i="5"/>
  <c r="R7038" i="5" s="1"/>
  <c r="S7038" i="5" s="1"/>
  <c r="M7062" i="5"/>
  <c r="Q7100" i="5"/>
  <c r="Q7151" i="5"/>
  <c r="R7151" i="5" s="1"/>
  <c r="S7151" i="5" s="1"/>
  <c r="Q7164" i="5"/>
  <c r="M7191" i="5"/>
  <c r="Q7178" i="5"/>
  <c r="R7178" i="5" s="1"/>
  <c r="S7178" i="5" s="1"/>
  <c r="M7052" i="5"/>
  <c r="Q7139" i="5"/>
  <c r="M7064" i="5"/>
  <c r="Q7126" i="5"/>
  <c r="R7126" i="5" s="1"/>
  <c r="S7126" i="5" s="1"/>
  <c r="M7192" i="5"/>
  <c r="Q7028" i="5"/>
  <c r="Q7041" i="5"/>
  <c r="Q7079" i="5"/>
  <c r="M7153" i="5"/>
  <c r="Q7165" i="5"/>
  <c r="M7224" i="5"/>
  <c r="M7042" i="5"/>
  <c r="Q7167" i="5"/>
  <c r="M7065" i="5"/>
  <c r="M7145" i="5"/>
  <c r="M7204" i="5"/>
  <c r="M7123" i="5"/>
  <c r="M7066" i="5"/>
  <c r="M7147" i="5"/>
  <c r="R7137" i="5"/>
  <c r="S7137" i="5" s="1"/>
  <c r="M7171" i="5"/>
  <c r="Q7195" i="5"/>
  <c r="M7137" i="5"/>
  <c r="M7184" i="5"/>
  <c r="M7182" i="5"/>
  <c r="M7170" i="5"/>
  <c r="M7125" i="5"/>
  <c r="N7125" i="5" s="1"/>
  <c r="Q7090" i="5"/>
  <c r="M7035" i="5"/>
  <c r="M7220" i="5"/>
  <c r="Q7029" i="5"/>
  <c r="R7029" i="5" s="1"/>
  <c r="S7029" i="5" s="1"/>
  <c r="Q7037" i="5"/>
  <c r="R7037" i="5" s="1"/>
  <c r="S7037" i="5" s="1"/>
  <c r="M7069" i="5"/>
  <c r="M7093" i="5"/>
  <c r="R7177" i="5"/>
  <c r="S7177" i="5" s="1"/>
  <c r="M7146" i="5"/>
  <c r="M7219" i="5"/>
  <c r="M7036" i="5"/>
  <c r="M7091" i="5"/>
  <c r="M7138" i="5"/>
  <c r="M7211" i="5"/>
  <c r="M7063" i="5"/>
  <c r="R7147" i="5"/>
  <c r="S7147" i="5" s="1"/>
  <c r="M7163" i="5"/>
  <c r="N7163" i="5" s="1"/>
  <c r="R7071" i="5"/>
  <c r="S7071" i="5" s="1"/>
  <c r="M7156" i="5"/>
  <c r="M7229" i="5"/>
  <c r="N7229" i="5" s="1"/>
  <c r="Q7054" i="5"/>
  <c r="R7054" i="5" s="1"/>
  <c r="S7054" i="5" s="1"/>
  <c r="M7071" i="5"/>
  <c r="M7082" i="5"/>
  <c r="M7111" i="5"/>
  <c r="M7092" i="5"/>
  <c r="Q7120" i="5"/>
  <c r="R7120" i="5" s="1"/>
  <c r="S7120" i="5" s="1"/>
  <c r="M7176" i="5"/>
  <c r="R7098" i="5"/>
  <c r="S7098" i="5" s="1"/>
  <c r="R7093" i="5"/>
  <c r="S7093" i="5" s="1"/>
  <c r="M7130" i="5"/>
  <c r="M7148" i="5"/>
  <c r="M7213" i="5"/>
  <c r="Q7131" i="5"/>
  <c r="R7131" i="5" s="1"/>
  <c r="S7131" i="5" s="1"/>
  <c r="Q7030" i="5"/>
  <c r="R7030" i="5" s="1"/>
  <c r="S7030" i="5" s="1"/>
  <c r="M7094" i="5"/>
  <c r="M7150" i="5"/>
  <c r="M7214" i="5"/>
  <c r="M7022" i="5"/>
  <c r="N7022" i="5" s="1"/>
  <c r="M7039" i="5"/>
  <c r="N7039" i="5" s="1"/>
  <c r="M7048" i="5"/>
  <c r="M7196" i="5"/>
  <c r="M7231" i="5"/>
  <c r="M7104" i="5"/>
  <c r="Q7031" i="5"/>
  <c r="M7076" i="5"/>
  <c r="M7133" i="5"/>
  <c r="Q7197" i="5"/>
  <c r="M7166" i="5"/>
  <c r="M7058" i="5"/>
  <c r="Q7049" i="5"/>
  <c r="R7049" i="5" s="1"/>
  <c r="S7049" i="5" s="1"/>
  <c r="M7067" i="5"/>
  <c r="M7124" i="5"/>
  <c r="M7144" i="5"/>
  <c r="R7172" i="5"/>
  <c r="S7172" i="5" s="1"/>
  <c r="M7179" i="5"/>
  <c r="R7198" i="5"/>
  <c r="S7198" i="5" s="1"/>
  <c r="Q7207" i="5"/>
  <c r="M7216" i="5"/>
  <c r="M7232" i="5"/>
  <c r="N7232" i="5" s="1"/>
  <c r="Q7114" i="5"/>
  <c r="M7172" i="5"/>
  <c r="Q7185" i="5"/>
  <c r="R7185" i="5" s="1"/>
  <c r="S7185" i="5" s="1"/>
  <c r="L7077" i="5"/>
  <c r="P7077" i="5" s="1"/>
  <c r="M7096" i="5"/>
  <c r="M7152" i="5"/>
  <c r="Q7187" i="5"/>
  <c r="R7187" i="5" s="1"/>
  <c r="S7187" i="5" s="1"/>
  <c r="Q7068" i="5"/>
  <c r="R7068" i="5" s="1"/>
  <c r="S7068" i="5" s="1"/>
  <c r="Q7180" i="5"/>
  <c r="Q7190" i="5"/>
  <c r="R7190" i="5" s="1"/>
  <c r="S7190" i="5" s="1"/>
  <c r="R7199" i="5"/>
  <c r="S7199" i="5" s="1"/>
  <c r="Q7174" i="5"/>
  <c r="R7174" i="5" s="1"/>
  <c r="S7174" i="5" s="1"/>
  <c r="R7077" i="5"/>
  <c r="S7077" i="5" s="1"/>
  <c r="M7198" i="5"/>
  <c r="R7217" i="5"/>
  <c r="S7217" i="5" s="1"/>
  <c r="Q7105" i="5"/>
  <c r="R7105" i="5" s="1"/>
  <c r="S7105" i="5" s="1"/>
  <c r="M7057" i="5"/>
  <c r="M7132" i="5"/>
  <c r="Q7186" i="5"/>
  <c r="M7199" i="5"/>
  <c r="M7205" i="5"/>
  <c r="M7212" i="5"/>
  <c r="M7218" i="5"/>
  <c r="M7225" i="5"/>
  <c r="M7230" i="5"/>
  <c r="Q7023" i="5"/>
  <c r="R7023" i="5" s="1"/>
  <c r="S7023" i="5" s="1"/>
  <c r="M7175" i="5"/>
  <c r="N7175" i="5" s="1"/>
  <c r="O7175" i="5" s="1"/>
  <c r="M7077" i="5"/>
  <c r="R7212" i="5"/>
  <c r="S7212" i="5" s="1"/>
  <c r="M7043" i="5"/>
  <c r="M7099" i="5"/>
  <c r="M7106" i="5"/>
  <c r="N7106" i="5" s="1"/>
  <c r="M7113" i="5"/>
  <c r="Q7078" i="5"/>
  <c r="Q7158" i="5"/>
  <c r="M7193" i="5"/>
  <c r="M7157" i="5"/>
  <c r="R7230" i="5"/>
  <c r="S7230" i="5" s="1"/>
  <c r="M7050" i="5"/>
  <c r="M7085" i="5"/>
  <c r="R7170" i="5"/>
  <c r="S7170" i="5" s="1"/>
  <c r="R7213" i="5"/>
  <c r="S7213" i="5" s="1"/>
  <c r="M7206" i="5"/>
  <c r="Q7018" i="5"/>
  <c r="R7018" i="5" s="1"/>
  <c r="S7018" i="5" s="1"/>
  <c r="Q7072" i="5"/>
  <c r="R7072" i="5" s="1"/>
  <c r="S7072" i="5" s="1"/>
  <c r="M7086" i="5"/>
  <c r="K7159" i="5"/>
  <c r="L7159" i="5" s="1"/>
  <c r="P7159" i="5" s="1"/>
  <c r="M7159" i="5"/>
  <c r="M7019" i="5"/>
  <c r="N7019" i="5" s="1"/>
  <c r="M7045" i="5"/>
  <c r="M7073" i="5"/>
  <c r="N7073" i="5" s="1"/>
  <c r="Q7181" i="5"/>
  <c r="Q7087" i="5"/>
  <c r="Q7108" i="5"/>
  <c r="R7108" i="5" s="1"/>
  <c r="S7108" i="5" s="1"/>
  <c r="Q7188" i="5"/>
  <c r="M7033" i="5"/>
  <c r="M7135" i="5"/>
  <c r="M7142" i="5"/>
  <c r="M7154" i="5"/>
  <c r="Q7160" i="5"/>
  <c r="M7208" i="5"/>
  <c r="M7227" i="5"/>
  <c r="Q7060" i="5"/>
  <c r="Q7074" i="5"/>
  <c r="M7088" i="5"/>
  <c r="M7109" i="5"/>
  <c r="L7169" i="5"/>
  <c r="P7169" i="5" s="1"/>
  <c r="Q7202" i="5"/>
  <c r="R7202" i="5" s="1"/>
  <c r="S7202" i="5" s="1"/>
  <c r="Q7081" i="5"/>
  <c r="M7177" i="5"/>
  <c r="N7177" i="5" s="1"/>
  <c r="M7025" i="5"/>
  <c r="M7201" i="5"/>
  <c r="Q7080" i="5"/>
  <c r="R7080" i="5" s="1"/>
  <c r="S7080" i="5" s="1"/>
  <c r="M7020" i="5"/>
  <c r="Q7128" i="5"/>
  <c r="R7128" i="5" s="1"/>
  <c r="S7128" i="5" s="1"/>
  <c r="Q7026" i="5"/>
  <c r="R7026" i="5" s="1"/>
  <c r="S7026" i="5" s="1"/>
  <c r="M7102" i="5"/>
  <c r="M7116" i="5"/>
  <c r="M7122" i="5"/>
  <c r="M7169" i="5"/>
  <c r="M7189" i="5"/>
  <c r="R7027" i="5"/>
  <c r="S7027" i="5" s="1"/>
  <c r="R7040" i="5"/>
  <c r="S7040" i="5" s="1"/>
  <c r="N7068" i="5"/>
  <c r="M7129" i="5"/>
  <c r="M7161" i="5"/>
  <c r="M7183" i="5"/>
  <c r="R7127" i="5"/>
  <c r="S7127" i="5" s="1"/>
  <c r="M7226" i="5"/>
  <c r="M7115" i="5"/>
  <c r="Q7046" i="5"/>
  <c r="Q7053" i="5"/>
  <c r="M7021" i="5"/>
  <c r="M7027" i="5"/>
  <c r="M7034" i="5"/>
  <c r="M7040" i="5"/>
  <c r="M7047" i="5"/>
  <c r="M7061" i="5"/>
  <c r="M7075" i="5"/>
  <c r="M7136" i="5"/>
  <c r="M7143" i="5"/>
  <c r="M7149" i="5"/>
  <c r="N7149" i="5" s="1"/>
  <c r="M7155" i="5"/>
  <c r="N7155" i="5" s="1"/>
  <c r="M7173" i="5"/>
  <c r="N7173" i="5" s="1"/>
  <c r="M7203" i="5"/>
  <c r="M7209" i="5"/>
  <c r="M7215" i="5"/>
  <c r="M7222" i="5"/>
  <c r="M7228" i="5"/>
  <c r="M7233" i="5"/>
  <c r="M7089" i="5"/>
  <c r="K7166" i="5"/>
  <c r="L7166" i="5" s="1"/>
  <c r="M7127" i="5"/>
  <c r="M7032" i="5"/>
  <c r="N7032" i="5" s="1"/>
  <c r="O7032" i="5" s="1"/>
  <c r="M7059" i="5"/>
  <c r="M7134" i="5"/>
  <c r="M7141" i="5"/>
  <c r="M7101" i="5"/>
  <c r="M7168" i="5"/>
  <c r="K7154" i="5"/>
  <c r="R7154" i="5" s="1"/>
  <c r="S7154" i="5" s="1"/>
  <c r="M7103" i="5"/>
  <c r="M7110" i="5"/>
  <c r="M7117" i="5"/>
  <c r="K7099" i="5"/>
  <c r="L7099" i="5" s="1"/>
  <c r="P7099" i="5" s="1"/>
  <c r="N7072" i="5"/>
  <c r="P7072" i="5"/>
  <c r="R7058" i="5"/>
  <c r="S7058" i="5" s="1"/>
  <c r="P7039" i="5"/>
  <c r="P7095" i="5"/>
  <c r="N7095" i="5"/>
  <c r="R7196" i="5"/>
  <c r="S7196" i="5" s="1"/>
  <c r="L7196" i="5"/>
  <c r="L7148" i="5"/>
  <c r="P7148" i="5" s="1"/>
  <c r="R7148" i="5"/>
  <c r="S7148" i="5" s="1"/>
  <c r="P7155" i="5"/>
  <c r="P7173" i="5"/>
  <c r="N7128" i="5"/>
  <c r="P7128" i="5"/>
  <c r="R7142" i="5"/>
  <c r="S7142" i="5" s="1"/>
  <c r="L7142" i="5"/>
  <c r="P7024" i="5"/>
  <c r="N7024" i="5"/>
  <c r="R7032" i="5"/>
  <c r="S7032" i="5" s="1"/>
  <c r="L7183" i="5"/>
  <c r="P7183" i="5" s="1"/>
  <c r="K7167" i="5"/>
  <c r="R7183" i="5"/>
  <c r="S7183" i="5" s="1"/>
  <c r="K7195" i="5"/>
  <c r="R7022" i="5"/>
  <c r="S7022" i="5" s="1"/>
  <c r="R7204" i="5"/>
  <c r="S7204" i="5" s="1"/>
  <c r="K7113" i="5"/>
  <c r="L7113" i="5" s="1"/>
  <c r="R7200" i="5"/>
  <c r="S7200" i="5" s="1"/>
  <c r="K7101" i="5"/>
  <c r="L7101" i="5" s="1"/>
  <c r="P7101" i="5" s="1"/>
  <c r="K7118" i="5"/>
  <c r="R7118" i="5" s="1"/>
  <c r="S7118" i="5" s="1"/>
  <c r="R7141" i="5"/>
  <c r="S7141" i="5" s="1"/>
  <c r="K7045" i="5"/>
  <c r="L7045" i="5" s="1"/>
  <c r="K7171" i="5"/>
  <c r="R7171" i="5" s="1"/>
  <c r="S7171" i="5" s="1"/>
  <c r="L7216" i="5"/>
  <c r="K7087" i="5"/>
  <c r="L7087" i="5" s="1"/>
  <c r="L7212" i="5"/>
  <c r="R7155" i="5"/>
  <c r="S7155" i="5" s="1"/>
  <c r="K7076" i="5"/>
  <c r="L7076" i="5" s="1"/>
  <c r="L7093" i="5"/>
  <c r="P7093" i="5" s="1"/>
  <c r="K7082" i="5"/>
  <c r="R7082" i="5" s="1"/>
  <c r="S7082" i="5" s="1"/>
  <c r="K7059" i="5"/>
  <c r="R7059" i="5" s="1"/>
  <c r="S7059" i="5" s="1"/>
  <c r="L7191" i="5"/>
  <c r="P7191" i="5" s="1"/>
  <c r="L7217" i="5"/>
  <c r="P7217" i="5" s="1"/>
  <c r="K7100" i="5"/>
  <c r="L7100" i="5" s="1"/>
  <c r="L7221" i="5"/>
  <c r="N7221" i="5" s="1"/>
  <c r="L7202" i="5"/>
  <c r="K7186" i="5"/>
  <c r="K7227" i="5"/>
  <c r="L7227" i="5" s="1"/>
  <c r="K7094" i="5"/>
  <c r="R7094" i="5" s="1"/>
  <c r="S7094" i="5" s="1"/>
  <c r="K7224" i="5"/>
  <c r="R7224" i="5" s="1"/>
  <c r="S7224" i="5" s="1"/>
  <c r="R7036" i="5"/>
  <c r="S7036" i="5" s="1"/>
  <c r="K7115" i="5"/>
  <c r="R7115" i="5" s="1"/>
  <c r="S7115" i="5" s="1"/>
  <c r="L7213" i="5"/>
  <c r="P7213" i="5" s="1"/>
  <c r="L7199" i="5"/>
  <c r="P7199" i="5" s="1"/>
  <c r="R7073" i="5"/>
  <c r="S7073" i="5" s="1"/>
  <c r="R7019" i="5"/>
  <c r="S7019" i="5" s="1"/>
  <c r="R7163" i="5"/>
  <c r="S7163" i="5" s="1"/>
  <c r="K7192" i="5"/>
  <c r="L7192" i="5" s="1"/>
  <c r="L7230" i="5"/>
  <c r="R7161" i="5"/>
  <c r="S7161" i="5" s="1"/>
  <c r="L7198" i="5"/>
  <c r="P7198" i="5" s="1"/>
  <c r="R7173" i="5"/>
  <c r="S7173" i="5" s="1"/>
  <c r="K7225" i="5"/>
  <c r="R7225" i="5" s="1"/>
  <c r="S7225" i="5" s="1"/>
  <c r="R7229" i="5"/>
  <c r="S7229" i="5" s="1"/>
  <c r="N7108" i="5"/>
  <c r="P7108" i="5"/>
  <c r="P7030" i="5"/>
  <c r="N7030" i="5"/>
  <c r="L7026" i="5"/>
  <c r="L7185" i="5"/>
  <c r="P7023" i="5"/>
  <c r="N7023" i="5"/>
  <c r="L7064" i="5"/>
  <c r="P7163" i="5"/>
  <c r="P7140" i="5"/>
  <c r="K7053" i="5"/>
  <c r="L7071" i="5"/>
  <c r="L7075" i="5"/>
  <c r="R7075" i="5"/>
  <c r="S7075" i="5" s="1"/>
  <c r="R7203" i="5"/>
  <c r="S7203" i="5" s="1"/>
  <c r="K7122" i="5"/>
  <c r="L7122" i="5" s="1"/>
  <c r="K7078" i="5"/>
  <c r="L7078" i="5" s="1"/>
  <c r="P7044" i="5"/>
  <c r="K7050" i="5"/>
  <c r="R7050" i="5" s="1"/>
  <c r="S7050" i="5" s="1"/>
  <c r="L7126" i="5"/>
  <c r="K7156" i="5"/>
  <c r="R7156" i="5" s="1"/>
  <c r="S7156" i="5" s="1"/>
  <c r="R7193" i="5"/>
  <c r="S7193" i="5" s="1"/>
  <c r="L7193" i="5"/>
  <c r="N7097" i="5"/>
  <c r="P7097" i="5"/>
  <c r="R7064" i="5"/>
  <c r="S7064" i="5" s="1"/>
  <c r="P7149" i="5"/>
  <c r="R7043" i="5"/>
  <c r="S7043" i="5" s="1"/>
  <c r="L7043" i="5"/>
  <c r="K7138" i="5"/>
  <c r="R7138" i="5" s="1"/>
  <c r="S7138" i="5" s="1"/>
  <c r="R7153" i="5"/>
  <c r="S7153" i="5" s="1"/>
  <c r="L7153" i="5"/>
  <c r="K7033" i="5"/>
  <c r="R7033" i="5" s="1"/>
  <c r="S7033" i="5" s="1"/>
  <c r="R7134" i="5"/>
  <c r="S7134" i="5" s="1"/>
  <c r="L7134" i="5"/>
  <c r="N7054" i="5"/>
  <c r="P7054" i="5"/>
  <c r="K7060" i="5"/>
  <c r="P7125" i="5"/>
  <c r="K7067" i="5"/>
  <c r="R7067" i="5" s="1"/>
  <c r="S7067" i="5" s="1"/>
  <c r="K7096" i="5"/>
  <c r="R7096" i="5" s="1"/>
  <c r="S7096" i="5" s="1"/>
  <c r="P7106" i="5"/>
  <c r="L7112" i="5"/>
  <c r="L7037" i="5"/>
  <c r="K7135" i="5"/>
  <c r="R7135" i="5" s="1"/>
  <c r="S7135" i="5" s="1"/>
  <c r="L7018" i="5"/>
  <c r="K7021" i="5"/>
  <c r="R7021" i="5" s="1"/>
  <c r="S7021" i="5" s="1"/>
  <c r="L7040" i="5"/>
  <c r="P7068" i="5"/>
  <c r="L7083" i="5"/>
  <c r="K7164" i="5"/>
  <c r="L7164" i="5" s="1"/>
  <c r="K7223" i="5"/>
  <c r="K7031" i="5"/>
  <c r="L7031" i="5" s="1"/>
  <c r="K7034" i="5"/>
  <c r="R7034" i="5" s="1"/>
  <c r="S7034" i="5" s="1"/>
  <c r="K7047" i="5"/>
  <c r="R7047" i="5" s="1"/>
  <c r="S7047" i="5" s="1"/>
  <c r="K7146" i="5"/>
  <c r="L7146" i="5" s="1"/>
  <c r="K7158" i="5"/>
  <c r="L7158" i="5" s="1"/>
  <c r="P7051" i="5"/>
  <c r="K7150" i="5"/>
  <c r="L7150" i="5" s="1"/>
  <c r="R7169" i="5"/>
  <c r="S7169" i="5" s="1"/>
  <c r="L7027" i="5"/>
  <c r="P7022" i="5"/>
  <c r="N7038" i="5"/>
  <c r="L7120" i="5"/>
  <c r="L7066" i="5"/>
  <c r="R7132" i="5"/>
  <c r="S7132" i="5" s="1"/>
  <c r="L7132" i="5"/>
  <c r="L7131" i="5"/>
  <c r="P7105" i="5"/>
  <c r="N7105" i="5"/>
  <c r="K7041" i="5"/>
  <c r="L7041" i="5" s="1"/>
  <c r="K7052" i="5"/>
  <c r="R7052" i="5" s="1"/>
  <c r="S7052" i="5" s="1"/>
  <c r="K7102" i="5"/>
  <c r="L7102" i="5" s="1"/>
  <c r="K7025" i="5"/>
  <c r="L7025" i="5" s="1"/>
  <c r="R7044" i="5"/>
  <c r="S7044" i="5" s="1"/>
  <c r="R7125" i="5"/>
  <c r="S7125" i="5" s="1"/>
  <c r="L7144" i="5"/>
  <c r="R7144" i="5"/>
  <c r="S7144" i="5" s="1"/>
  <c r="R7191" i="5"/>
  <c r="S7191" i="5" s="1"/>
  <c r="K7139" i="5"/>
  <c r="L7139" i="5" s="1"/>
  <c r="K7088" i="5"/>
  <c r="R7088" i="5" s="1"/>
  <c r="S7088" i="5" s="1"/>
  <c r="K7081" i="5"/>
  <c r="L7081" i="5" s="1"/>
  <c r="K7114" i="5"/>
  <c r="L7114" i="5" s="1"/>
  <c r="K7165" i="5"/>
  <c r="L7165" i="5" s="1"/>
  <c r="R7039" i="5"/>
  <c r="S7039" i="5" s="1"/>
  <c r="K7063" i="5"/>
  <c r="L7063" i="5" s="1"/>
  <c r="L7070" i="5"/>
  <c r="R7092" i="5"/>
  <c r="S7092" i="5" s="1"/>
  <c r="K7211" i="5"/>
  <c r="R7211" i="5" s="1"/>
  <c r="S7211" i="5" s="1"/>
  <c r="K7220" i="5"/>
  <c r="R7220" i="5" s="1"/>
  <c r="S7220" i="5" s="1"/>
  <c r="K7056" i="5"/>
  <c r="R7056" i="5" s="1"/>
  <c r="S7056" i="5" s="1"/>
  <c r="R7085" i="5"/>
  <c r="S7085" i="5" s="1"/>
  <c r="L7085" i="5"/>
  <c r="K7129" i="5"/>
  <c r="R7129" i="5" s="1"/>
  <c r="S7129" i="5" s="1"/>
  <c r="L7036" i="5"/>
  <c r="R7066" i="5"/>
  <c r="S7066" i="5" s="1"/>
  <c r="L7092" i="5"/>
  <c r="R7111" i="5"/>
  <c r="S7111" i="5" s="1"/>
  <c r="R7152" i="5"/>
  <c r="S7152" i="5" s="1"/>
  <c r="K7143" i="5"/>
  <c r="L7143" i="5" s="1"/>
  <c r="K7055" i="5"/>
  <c r="K7069" i="5"/>
  <c r="R7069" i="5" s="1"/>
  <c r="S7069" i="5" s="1"/>
  <c r="K7206" i="5"/>
  <c r="R7206" i="5" s="1"/>
  <c r="S7206" i="5" s="1"/>
  <c r="L7080" i="5"/>
  <c r="L7117" i="5"/>
  <c r="R7117" i="5"/>
  <c r="S7117" i="5" s="1"/>
  <c r="K7020" i="5"/>
  <c r="R7020" i="5" s="1"/>
  <c r="S7020" i="5" s="1"/>
  <c r="R7042" i="5"/>
  <c r="S7042" i="5" s="1"/>
  <c r="L7042" i="5"/>
  <c r="L7049" i="5"/>
  <c r="K7074" i="5"/>
  <c r="L7074" i="5" s="1"/>
  <c r="K7103" i="5"/>
  <c r="R7103" i="5" s="1"/>
  <c r="S7103" i="5" s="1"/>
  <c r="L7111" i="5"/>
  <c r="R7091" i="5"/>
  <c r="S7091" i="5" s="1"/>
  <c r="L7091" i="5"/>
  <c r="R7149" i="5"/>
  <c r="S7149" i="5" s="1"/>
  <c r="K7231" i="5"/>
  <c r="L7231" i="5" s="1"/>
  <c r="L7061" i="5"/>
  <c r="K7086" i="5"/>
  <c r="L7086" i="5" s="1"/>
  <c r="R7106" i="5"/>
  <c r="S7106" i="5" s="1"/>
  <c r="K7208" i="5"/>
  <c r="L7208" i="5" s="1"/>
  <c r="R7228" i="5"/>
  <c r="S7228" i="5" s="1"/>
  <c r="L7147" i="5"/>
  <c r="L7029" i="5"/>
  <c r="R7061" i="5"/>
  <c r="S7061" i="5" s="1"/>
  <c r="K7182" i="5"/>
  <c r="L7182" i="5" s="1"/>
  <c r="K7197" i="5"/>
  <c r="L7197" i="5" s="1"/>
  <c r="L7098" i="5"/>
  <c r="P7229" i="5"/>
  <c r="K7116" i="5"/>
  <c r="L7116" i="5" s="1"/>
  <c r="L7121" i="5"/>
  <c r="K7176" i="5"/>
  <c r="L7176" i="5" s="1"/>
  <c r="L7190" i="5"/>
  <c r="L7174" i="5"/>
  <c r="P7232" i="5"/>
  <c r="L7127" i="5"/>
  <c r="L7157" i="5"/>
  <c r="R7157" i="5"/>
  <c r="S7157" i="5" s="1"/>
  <c r="K7179" i="5"/>
  <c r="R7179" i="5" s="1"/>
  <c r="S7179" i="5" s="1"/>
  <c r="K7194" i="5"/>
  <c r="R7216" i="5"/>
  <c r="S7216" i="5" s="1"/>
  <c r="L7107" i="5"/>
  <c r="K7110" i="5"/>
  <c r="L7110" i="5" s="1"/>
  <c r="K7124" i="5"/>
  <c r="R7124" i="5" s="1"/>
  <c r="S7124" i="5" s="1"/>
  <c r="L7130" i="5"/>
  <c r="R7130" i="5"/>
  <c r="S7130" i="5" s="1"/>
  <c r="K7145" i="5"/>
  <c r="L7145" i="5" s="1"/>
  <c r="K7048" i="5"/>
  <c r="L7048" i="5" s="1"/>
  <c r="K7062" i="5"/>
  <c r="L7062" i="5" s="1"/>
  <c r="L7151" i="5"/>
  <c r="R7205" i="5"/>
  <c r="S7205" i="5" s="1"/>
  <c r="K7057" i="5"/>
  <c r="R7057" i="5" s="1"/>
  <c r="S7057" i="5" s="1"/>
  <c r="K7090" i="5"/>
  <c r="K7162" i="5"/>
  <c r="R7162" i="5" s="1"/>
  <c r="S7162" i="5" s="1"/>
  <c r="P7073" i="5"/>
  <c r="K7079" i="5"/>
  <c r="L7079" i="5" s="1"/>
  <c r="L7137" i="5"/>
  <c r="R7140" i="5"/>
  <c r="S7140" i="5" s="1"/>
  <c r="L7172" i="5"/>
  <c r="P7177" i="5"/>
  <c r="K7188" i="5"/>
  <c r="K7209" i="5"/>
  <c r="L7209" i="5" s="1"/>
  <c r="K7214" i="5"/>
  <c r="R7214" i="5" s="1"/>
  <c r="S7214" i="5" s="1"/>
  <c r="K7180" i="5"/>
  <c r="L7180" i="5" s="1"/>
  <c r="R7232" i="5"/>
  <c r="S7232" i="5" s="1"/>
  <c r="K7218" i="5"/>
  <c r="R7218" i="5" s="1"/>
  <c r="S7218" i="5" s="1"/>
  <c r="K7189" i="5"/>
  <c r="R7189" i="5" s="1"/>
  <c r="S7189" i="5" s="1"/>
  <c r="L7210" i="5"/>
  <c r="K7215" i="5"/>
  <c r="L7215" i="5" s="1"/>
  <c r="L7170" i="5"/>
  <c r="L7152" i="5"/>
  <c r="K7207" i="5"/>
  <c r="K7084" i="5"/>
  <c r="R7084" i="5" s="1"/>
  <c r="S7084" i="5" s="1"/>
  <c r="K7109" i="5"/>
  <c r="L7109" i="5" s="1"/>
  <c r="K7133" i="5"/>
  <c r="R7133" i="5" s="1"/>
  <c r="S7133" i="5" s="1"/>
  <c r="K7160" i="5"/>
  <c r="R7175" i="5"/>
  <c r="S7175" i="5" s="1"/>
  <c r="K7181" i="5"/>
  <c r="K7222" i="5"/>
  <c r="R7222" i="5" s="1"/>
  <c r="S7222" i="5" s="1"/>
  <c r="K7233" i="5"/>
  <c r="R7233" i="5" s="1"/>
  <c r="S7233" i="5" s="1"/>
  <c r="K7168" i="5"/>
  <c r="R7168" i="5" s="1"/>
  <c r="S7168" i="5" s="1"/>
  <c r="K7028" i="5"/>
  <c r="K7035" i="5"/>
  <c r="R7035" i="5" s="1"/>
  <c r="S7035" i="5" s="1"/>
  <c r="L7058" i="5"/>
  <c r="K7065" i="5"/>
  <c r="R7065" i="5" s="1"/>
  <c r="S7065" i="5" s="1"/>
  <c r="K7104" i="5"/>
  <c r="R7104" i="5" s="1"/>
  <c r="S7104" i="5" s="1"/>
  <c r="K7119" i="5"/>
  <c r="R7119" i="5" s="1"/>
  <c r="S7119" i="5" s="1"/>
  <c r="K7123" i="5"/>
  <c r="R7123" i="5" s="1"/>
  <c r="S7123" i="5" s="1"/>
  <c r="L7141" i="5"/>
  <c r="K7184" i="5"/>
  <c r="L7184" i="5" s="1"/>
  <c r="L7204" i="5"/>
  <c r="K7046" i="5"/>
  <c r="R7051" i="5"/>
  <c r="S7051" i="5" s="1"/>
  <c r="K7089" i="5"/>
  <c r="R7089" i="5" s="1"/>
  <c r="S7089" i="5" s="1"/>
  <c r="K7136" i="5"/>
  <c r="L7136" i="5" s="1"/>
  <c r="R7219" i="5"/>
  <c r="S7219" i="5" s="1"/>
  <c r="L7219" i="5"/>
  <c r="L7228" i="5"/>
  <c r="L7203" i="5"/>
  <c r="K7201" i="5"/>
  <c r="R7201" i="5" s="1"/>
  <c r="S7201" i="5" s="1"/>
  <c r="K7226" i="5"/>
  <c r="R7226" i="5" s="1"/>
  <c r="S7226" i="5" s="1"/>
  <c r="L7161" i="5"/>
  <c r="L7178" i="5"/>
  <c r="L7205" i="5"/>
  <c r="AB151" i="6" l="1"/>
  <c r="AB125" i="6"/>
  <c r="AB126" i="6"/>
  <c r="AB149" i="6"/>
  <c r="AB150" i="6"/>
  <c r="AB124" i="6"/>
  <c r="AB139" i="6"/>
  <c r="AB8" i="6"/>
  <c r="AB66" i="6"/>
  <c r="AB127" i="6"/>
  <c r="AB119" i="6"/>
  <c r="AB109" i="6"/>
  <c r="AB117" i="6"/>
  <c r="AB118" i="6"/>
  <c r="AB108" i="6"/>
  <c r="AB122" i="6"/>
  <c r="AB71" i="6"/>
  <c r="AB13" i="6"/>
  <c r="AB29" i="6"/>
  <c r="AB77" i="6"/>
  <c r="AB157" i="6"/>
  <c r="AB20" i="6"/>
  <c r="AB79" i="6"/>
  <c r="AB80" i="6"/>
  <c r="AB21" i="6"/>
  <c r="AB81" i="6"/>
  <c r="AB82" i="6"/>
  <c r="AB83" i="6"/>
  <c r="AB156" i="6"/>
  <c r="AB84" i="6"/>
  <c r="AB9" i="6"/>
  <c r="AB10" i="6"/>
  <c r="AB30" i="6"/>
  <c r="AB68" i="6"/>
  <c r="AB86" i="6"/>
  <c r="AB123" i="6"/>
  <c r="AB31" i="6"/>
  <c r="AB69" i="6"/>
  <c r="AB11" i="6"/>
  <c r="AB12" i="6"/>
  <c r="AB70" i="6"/>
  <c r="AB107" i="6"/>
  <c r="AB144" i="6"/>
  <c r="AB14" i="6"/>
  <c r="AB72" i="6"/>
  <c r="AB15" i="6"/>
  <c r="AB73" i="6"/>
  <c r="AB16" i="6"/>
  <c r="AB74" i="6"/>
  <c r="AB129" i="6"/>
  <c r="AB17" i="6"/>
  <c r="AB18" i="6"/>
  <c r="AB76" i="6"/>
  <c r="AB146" i="6"/>
  <c r="AB19" i="6"/>
  <c r="AB147" i="6"/>
  <c r="AB154" i="6"/>
  <c r="AB158" i="6"/>
  <c r="AB67" i="6"/>
  <c r="AB75" i="6"/>
  <c r="AB159" i="6"/>
  <c r="AB78" i="6"/>
  <c r="AB85" i="6"/>
  <c r="AB143" i="6"/>
  <c r="AB106" i="6"/>
  <c r="AB145" i="6"/>
  <c r="AB55" i="6"/>
  <c r="AB87" i="6"/>
  <c r="AB103" i="6"/>
  <c r="AB56" i="6"/>
  <c r="AB93" i="6"/>
  <c r="AB60" i="6"/>
  <c r="AB97" i="6"/>
  <c r="AB115" i="6"/>
  <c r="AB116" i="6"/>
  <c r="AB98" i="6"/>
  <c r="AB99" i="6"/>
  <c r="AB100" i="6"/>
  <c r="AB101" i="6"/>
  <c r="AB102" i="6"/>
  <c r="AB105" i="6"/>
  <c r="AB89" i="6"/>
  <c r="AB52" i="6"/>
  <c r="AB90" i="6"/>
  <c r="AB53" i="6"/>
  <c r="AB91" i="6"/>
  <c r="AB54" i="6"/>
  <c r="AB92" i="6"/>
  <c r="AB111" i="6"/>
  <c r="AB58" i="6"/>
  <c r="AB110" i="6"/>
  <c r="AB112" i="6"/>
  <c r="AB113" i="6"/>
  <c r="AB114" i="6"/>
  <c r="AB57" i="6"/>
  <c r="AB59" i="6"/>
  <c r="AB94" i="6"/>
  <c r="AB88" i="6"/>
  <c r="AB96" i="6"/>
  <c r="AB104" i="6"/>
  <c r="AB95" i="6"/>
  <c r="AB23" i="6"/>
  <c r="AB39" i="6"/>
  <c r="AB135" i="6"/>
  <c r="AB24" i="6"/>
  <c r="AB40" i="6"/>
  <c r="AB45" i="6"/>
  <c r="AB141" i="6"/>
  <c r="AB41" i="6"/>
  <c r="AB133" i="6"/>
  <c r="AB152" i="6"/>
  <c r="AB134" i="6"/>
  <c r="AB22" i="6"/>
  <c r="AB43" i="6"/>
  <c r="AB25" i="6"/>
  <c r="AB44" i="6"/>
  <c r="AB137" i="6"/>
  <c r="AB26" i="6"/>
  <c r="AB46" i="6"/>
  <c r="AB65" i="6"/>
  <c r="AB120" i="6"/>
  <c r="AB138" i="6"/>
  <c r="AB27" i="6"/>
  <c r="AB47" i="6"/>
  <c r="AB49" i="6"/>
  <c r="AB142" i="6"/>
  <c r="AB50" i="6"/>
  <c r="AB32" i="6"/>
  <c r="AB51" i="6"/>
  <c r="AB33" i="6"/>
  <c r="AB34" i="6"/>
  <c r="AB35" i="6"/>
  <c r="AB36" i="6"/>
  <c r="AB37" i="6"/>
  <c r="AB38" i="6"/>
  <c r="AB48" i="6"/>
  <c r="AB121" i="6"/>
  <c r="AB130" i="6"/>
  <c r="AB131" i="6"/>
  <c r="AB132" i="6"/>
  <c r="AB136" i="6"/>
  <c r="AB140" i="6"/>
  <c r="AB153" i="6"/>
  <c r="AB42" i="6"/>
  <c r="AB155" i="6"/>
  <c r="AB148" i="6"/>
  <c r="AB128" i="6"/>
  <c r="O7024" i="5"/>
  <c r="R7223" i="5"/>
  <c r="S7223" i="5" s="1"/>
  <c r="R7116" i="5"/>
  <c r="S7116" i="5" s="1"/>
  <c r="N7159" i="5"/>
  <c r="U7159" i="5" s="1"/>
  <c r="V7159" i="5" s="1"/>
  <c r="L7104" i="5"/>
  <c r="N7104" i="5" s="1"/>
  <c r="R7055" i="5"/>
  <c r="S7055" i="5" s="1"/>
  <c r="R7194" i="5"/>
  <c r="S7194" i="5" s="1"/>
  <c r="U7187" i="5"/>
  <c r="V7187" i="5" s="1"/>
  <c r="R7167" i="5"/>
  <c r="S7167" i="5" s="1"/>
  <c r="R7086" i="5"/>
  <c r="S7086" i="5" s="1"/>
  <c r="L7154" i="5"/>
  <c r="P7154" i="5" s="1"/>
  <c r="N7196" i="5"/>
  <c r="N7166" i="5"/>
  <c r="R7090" i="5"/>
  <c r="S7090" i="5" s="1"/>
  <c r="R7181" i="5"/>
  <c r="S7181" i="5" s="1"/>
  <c r="L7226" i="5"/>
  <c r="P7226" i="5" s="1"/>
  <c r="N7169" i="5"/>
  <c r="O7169" i="5" s="1"/>
  <c r="L7201" i="5"/>
  <c r="N7201" i="5" s="1"/>
  <c r="R7145" i="5"/>
  <c r="S7145" i="5" s="1"/>
  <c r="N7191" i="5"/>
  <c r="U7191" i="5" s="1"/>
  <c r="V7191" i="5" s="1"/>
  <c r="R7182" i="5"/>
  <c r="S7182" i="5" s="1"/>
  <c r="R7028" i="5"/>
  <c r="S7028" i="5" s="1"/>
  <c r="R7114" i="5"/>
  <c r="S7114" i="5" s="1"/>
  <c r="L7088" i="5"/>
  <c r="N7088" i="5" s="1"/>
  <c r="L7135" i="5"/>
  <c r="P7135" i="5" s="1"/>
  <c r="R7195" i="5"/>
  <c r="S7195" i="5" s="1"/>
  <c r="L7218" i="5"/>
  <c r="N7218" i="5" s="1"/>
  <c r="R7031" i="5"/>
  <c r="S7031" i="5" s="1"/>
  <c r="N7077" i="5"/>
  <c r="O7077" i="5" s="1"/>
  <c r="R7188" i="5"/>
  <c r="S7188" i="5" s="1"/>
  <c r="O7128" i="5"/>
  <c r="O7106" i="5"/>
  <c r="O7177" i="5"/>
  <c r="R7122" i="5"/>
  <c r="S7122" i="5" s="1"/>
  <c r="R7207" i="5"/>
  <c r="S7207" i="5" s="1"/>
  <c r="R7053" i="5"/>
  <c r="S7053" i="5" s="1"/>
  <c r="U7072" i="5"/>
  <c r="V7072" i="5" s="1"/>
  <c r="O7068" i="5"/>
  <c r="L7089" i="5"/>
  <c r="N7089" i="5" s="1"/>
  <c r="R7166" i="5"/>
  <c r="S7166" i="5" s="1"/>
  <c r="N7216" i="5"/>
  <c r="N7183" i="5"/>
  <c r="O7183" i="5" s="1"/>
  <c r="P7196" i="5"/>
  <c r="N7199" i="5"/>
  <c r="O7199" i="5" s="1"/>
  <c r="U7173" i="5"/>
  <c r="V7173" i="5" s="1"/>
  <c r="R7060" i="5"/>
  <c r="S7060" i="5" s="1"/>
  <c r="R7158" i="5"/>
  <c r="S7158" i="5" s="1"/>
  <c r="N7230" i="5"/>
  <c r="L7056" i="5"/>
  <c r="P7056" i="5" s="1"/>
  <c r="U7128" i="5"/>
  <c r="V7128" i="5" s="1"/>
  <c r="R7160" i="5"/>
  <c r="S7160" i="5" s="1"/>
  <c r="N7213" i="5"/>
  <c r="O7213" i="5" s="1"/>
  <c r="P7166" i="5"/>
  <c r="L7059" i="5"/>
  <c r="P7059" i="5" s="1"/>
  <c r="U7032" i="5"/>
  <c r="V7032" i="5" s="1"/>
  <c r="L7211" i="5"/>
  <c r="N7211" i="5" s="1"/>
  <c r="U7039" i="5"/>
  <c r="V7039" i="5" s="1"/>
  <c r="R7186" i="5"/>
  <c r="S7186" i="5" s="1"/>
  <c r="R7159" i="5"/>
  <c r="S7159" i="5" s="1"/>
  <c r="R7046" i="5"/>
  <c r="S7046" i="5" s="1"/>
  <c r="P7230" i="5"/>
  <c r="O7140" i="5"/>
  <c r="O7149" i="5"/>
  <c r="R7165" i="5"/>
  <c r="S7165" i="5" s="1"/>
  <c r="P7216" i="5"/>
  <c r="L7115" i="5"/>
  <c r="N7115" i="5" s="1"/>
  <c r="R7215" i="5"/>
  <c r="S7215" i="5" s="1"/>
  <c r="O7155" i="5"/>
  <c r="L7171" i="5"/>
  <c r="P7171" i="5" s="1"/>
  <c r="L7138" i="5"/>
  <c r="N7138" i="5" s="1"/>
  <c r="R7099" i="5"/>
  <c r="S7099" i="5" s="1"/>
  <c r="R7100" i="5"/>
  <c r="S7100" i="5" s="1"/>
  <c r="N7099" i="5"/>
  <c r="O7099" i="5" s="1"/>
  <c r="N7093" i="5"/>
  <c r="R7087" i="5"/>
  <c r="S7087" i="5" s="1"/>
  <c r="L7082" i="5"/>
  <c r="P7082" i="5" s="1"/>
  <c r="R7079" i="5"/>
  <c r="S7079" i="5" s="1"/>
  <c r="O7072" i="5"/>
  <c r="L7060" i="5"/>
  <c r="N7060" i="5" s="1"/>
  <c r="L7055" i="5"/>
  <c r="P7055" i="5" s="1"/>
  <c r="L7053" i="5"/>
  <c r="N7053" i="5" s="1"/>
  <c r="L7050" i="5"/>
  <c r="P7050" i="5" s="1"/>
  <c r="R7041" i="5"/>
  <c r="S7041" i="5" s="1"/>
  <c r="L7033" i="5"/>
  <c r="N7033" i="5" s="1"/>
  <c r="L7028" i="5"/>
  <c r="P7028" i="5" s="1"/>
  <c r="U7030" i="5"/>
  <c r="V7030" i="5" s="1"/>
  <c r="N7113" i="5"/>
  <c r="P7113" i="5"/>
  <c r="N7227" i="5"/>
  <c r="P7227" i="5"/>
  <c r="P7100" i="5"/>
  <c r="N7100" i="5"/>
  <c r="R7081" i="5"/>
  <c r="S7081" i="5" s="1"/>
  <c r="R7227" i="5"/>
  <c r="S7227" i="5" s="1"/>
  <c r="O7108" i="5"/>
  <c r="N7045" i="5"/>
  <c r="P7045" i="5"/>
  <c r="L7090" i="5"/>
  <c r="P7090" i="5" s="1"/>
  <c r="R7209" i="5"/>
  <c r="S7209" i="5" s="1"/>
  <c r="U7175" i="5"/>
  <c r="V7175" i="5" s="1"/>
  <c r="R7101" i="5"/>
  <c r="S7101" i="5" s="1"/>
  <c r="N7101" i="5"/>
  <c r="O7101" i="5" s="1"/>
  <c r="U7024" i="5"/>
  <c r="V7024" i="5" s="1"/>
  <c r="R7113" i="5"/>
  <c r="S7113" i="5" s="1"/>
  <c r="L7194" i="5"/>
  <c r="N7194" i="5" s="1"/>
  <c r="U7125" i="5"/>
  <c r="V7125" i="5" s="1"/>
  <c r="O7039" i="5"/>
  <c r="L7195" i="5"/>
  <c r="L7167" i="5"/>
  <c r="O7095" i="5"/>
  <c r="U7095" i="5"/>
  <c r="V7095" i="5" s="1"/>
  <c r="O7173" i="5"/>
  <c r="L7186" i="5"/>
  <c r="L7094" i="5"/>
  <c r="L7096" i="5"/>
  <c r="P7096" i="5" s="1"/>
  <c r="L7118" i="5"/>
  <c r="P7118" i="5" s="1"/>
  <c r="L7052" i="5"/>
  <c r="P7052" i="5" s="1"/>
  <c r="N7202" i="5"/>
  <c r="P7202" i="5"/>
  <c r="L7222" i="5"/>
  <c r="P7222" i="5" s="1"/>
  <c r="L7207" i="5"/>
  <c r="P7207" i="5" s="1"/>
  <c r="U7108" i="5"/>
  <c r="V7108" i="5" s="1"/>
  <c r="N7076" i="5"/>
  <c r="P7076" i="5"/>
  <c r="L7224" i="5"/>
  <c r="U7155" i="5"/>
  <c r="V7155" i="5" s="1"/>
  <c r="R7102" i="5"/>
  <c r="S7102" i="5" s="1"/>
  <c r="L7069" i="5"/>
  <c r="P7069" i="5" s="1"/>
  <c r="N7198" i="5"/>
  <c r="P7142" i="5"/>
  <c r="N7142" i="5"/>
  <c r="N7212" i="5"/>
  <c r="P7212" i="5"/>
  <c r="P7087" i="5"/>
  <c r="N7087" i="5"/>
  <c r="R7076" i="5"/>
  <c r="S7076" i="5" s="1"/>
  <c r="P7221" i="5"/>
  <c r="U7221" i="5" s="1"/>
  <c r="V7221" i="5" s="1"/>
  <c r="R7192" i="5"/>
  <c r="S7192" i="5" s="1"/>
  <c r="L7225" i="5"/>
  <c r="R7048" i="5"/>
  <c r="S7048" i="5" s="1"/>
  <c r="L7206" i="5"/>
  <c r="P7206" i="5" s="1"/>
  <c r="L7162" i="5"/>
  <c r="P7162" i="5" s="1"/>
  <c r="R7045" i="5"/>
  <c r="S7045" i="5" s="1"/>
  <c r="N7217" i="5"/>
  <c r="O7217" i="5" s="1"/>
  <c r="L7119" i="5"/>
  <c r="N7119" i="5" s="1"/>
  <c r="N7148" i="5"/>
  <c r="O7148" i="5" s="1"/>
  <c r="U7068" i="5"/>
  <c r="V7068" i="5" s="1"/>
  <c r="L7021" i="5"/>
  <c r="N7021" i="5" s="1"/>
  <c r="O7030" i="5"/>
  <c r="P7074" i="5"/>
  <c r="N7074" i="5"/>
  <c r="N7180" i="5"/>
  <c r="P7180" i="5"/>
  <c r="P7078" i="5"/>
  <c r="N7078" i="5"/>
  <c r="P7139" i="5"/>
  <c r="N7139" i="5"/>
  <c r="N7041" i="5"/>
  <c r="P7041" i="5"/>
  <c r="P7165" i="5"/>
  <c r="N7165" i="5"/>
  <c r="P7150" i="5"/>
  <c r="N7150" i="5"/>
  <c r="N7146" i="5"/>
  <c r="P7146" i="5"/>
  <c r="N7176" i="5"/>
  <c r="P7176" i="5"/>
  <c r="N7063" i="5"/>
  <c r="P7063" i="5"/>
  <c r="P7110" i="5"/>
  <c r="N7110" i="5"/>
  <c r="N7197" i="5"/>
  <c r="P7197" i="5"/>
  <c r="N7031" i="5"/>
  <c r="P7031" i="5"/>
  <c r="P7025" i="5"/>
  <c r="N7025" i="5"/>
  <c r="N7102" i="5"/>
  <c r="P7102" i="5"/>
  <c r="P7164" i="5"/>
  <c r="N7164" i="5"/>
  <c r="P7184" i="5"/>
  <c r="N7184" i="5"/>
  <c r="N7048" i="5"/>
  <c r="P7048" i="5"/>
  <c r="P7143" i="5"/>
  <c r="N7143" i="5"/>
  <c r="P7081" i="5"/>
  <c r="N7081" i="5"/>
  <c r="P7192" i="5"/>
  <c r="N7192" i="5"/>
  <c r="O7054" i="5"/>
  <c r="U7054" i="5"/>
  <c r="V7054" i="5" s="1"/>
  <c r="N7070" i="5"/>
  <c r="P7070" i="5"/>
  <c r="L7189" i="5"/>
  <c r="R7139" i="5"/>
  <c r="S7139" i="5" s="1"/>
  <c r="N7131" i="5"/>
  <c r="P7131" i="5"/>
  <c r="R7109" i="5"/>
  <c r="S7109" i="5" s="1"/>
  <c r="P7107" i="5"/>
  <c r="N7107" i="5"/>
  <c r="P7027" i="5"/>
  <c r="N7027" i="5"/>
  <c r="P7083" i="5"/>
  <c r="N7083" i="5"/>
  <c r="O7163" i="5"/>
  <c r="U7163" i="5"/>
  <c r="V7163" i="5" s="1"/>
  <c r="N7203" i="5"/>
  <c r="P7203" i="5"/>
  <c r="L7160" i="5"/>
  <c r="N7036" i="5"/>
  <c r="P7036" i="5"/>
  <c r="P7144" i="5"/>
  <c r="N7144" i="5"/>
  <c r="P7122" i="5"/>
  <c r="N7122" i="5"/>
  <c r="L7156" i="5"/>
  <c r="N7228" i="5"/>
  <c r="P7228" i="5"/>
  <c r="P7058" i="5"/>
  <c r="N7058" i="5"/>
  <c r="L7179" i="5"/>
  <c r="L7133" i="5"/>
  <c r="P7147" i="5"/>
  <c r="N7147" i="5"/>
  <c r="P7132" i="5"/>
  <c r="N7132" i="5"/>
  <c r="R7063" i="5"/>
  <c r="S7063" i="5" s="1"/>
  <c r="N7064" i="5"/>
  <c r="P7064" i="5"/>
  <c r="O7022" i="5"/>
  <c r="R7176" i="5"/>
  <c r="S7176" i="5" s="1"/>
  <c r="P7137" i="5"/>
  <c r="N7137" i="5"/>
  <c r="L7124" i="5"/>
  <c r="P7145" i="5"/>
  <c r="N7145" i="5"/>
  <c r="R7110" i="5"/>
  <c r="S7110" i="5" s="1"/>
  <c r="N7158" i="5"/>
  <c r="P7158" i="5"/>
  <c r="P7040" i="5"/>
  <c r="N7040" i="5"/>
  <c r="P7126" i="5"/>
  <c r="N7126" i="5"/>
  <c r="L7047" i="5"/>
  <c r="R7180" i="5"/>
  <c r="S7180" i="5" s="1"/>
  <c r="R7184" i="5"/>
  <c r="S7184" i="5" s="1"/>
  <c r="L7214" i="5"/>
  <c r="O7073" i="5"/>
  <c r="O7229" i="5"/>
  <c r="U7229" i="5"/>
  <c r="V7229" i="5" s="1"/>
  <c r="L7103" i="5"/>
  <c r="O7051" i="5"/>
  <c r="U7051" i="5"/>
  <c r="V7051" i="5" s="1"/>
  <c r="L7057" i="5"/>
  <c r="U7022" i="5"/>
  <c r="V7022" i="5" s="1"/>
  <c r="O7105" i="5"/>
  <c r="U7105" i="5"/>
  <c r="V7105" i="5" s="1"/>
  <c r="P7161" i="5"/>
  <c r="N7161" i="5"/>
  <c r="P7174" i="5"/>
  <c r="N7174" i="5"/>
  <c r="P7209" i="5"/>
  <c r="N7209" i="5"/>
  <c r="L7065" i="5"/>
  <c r="R7074" i="5"/>
  <c r="S7074" i="5" s="1"/>
  <c r="L7223" i="5"/>
  <c r="U7044" i="5"/>
  <c r="V7044" i="5" s="1"/>
  <c r="O7044" i="5"/>
  <c r="P7026" i="5"/>
  <c r="N7026" i="5"/>
  <c r="N7109" i="5"/>
  <c r="P7109" i="5"/>
  <c r="U7097" i="5"/>
  <c r="V7097" i="5" s="1"/>
  <c r="O7097" i="5"/>
  <c r="N7172" i="5"/>
  <c r="P7172" i="5"/>
  <c r="P7092" i="5"/>
  <c r="N7092" i="5"/>
  <c r="P7114" i="5"/>
  <c r="N7114" i="5"/>
  <c r="L7034" i="5"/>
  <c r="N7151" i="5"/>
  <c r="P7151" i="5"/>
  <c r="N7075" i="5"/>
  <c r="P7075" i="5"/>
  <c r="P7049" i="5"/>
  <c r="N7049" i="5"/>
  <c r="R7164" i="5"/>
  <c r="S7164" i="5" s="1"/>
  <c r="O7125" i="5"/>
  <c r="R7143" i="5"/>
  <c r="S7143" i="5" s="1"/>
  <c r="P7204" i="5"/>
  <c r="N7204" i="5"/>
  <c r="N7130" i="5"/>
  <c r="P7130" i="5"/>
  <c r="P7182" i="5"/>
  <c r="N7182" i="5"/>
  <c r="P7117" i="5"/>
  <c r="N7117" i="5"/>
  <c r="P7193" i="5"/>
  <c r="N7193" i="5"/>
  <c r="L7129" i="5"/>
  <c r="P7116" i="5"/>
  <c r="N7116" i="5"/>
  <c r="L7067" i="5"/>
  <c r="L7035" i="5"/>
  <c r="U7106" i="5"/>
  <c r="V7106" i="5" s="1"/>
  <c r="L7233" i="5"/>
  <c r="P7086" i="5"/>
  <c r="N7086" i="5"/>
  <c r="P7042" i="5"/>
  <c r="N7042" i="5"/>
  <c r="P7170" i="5"/>
  <c r="N7170" i="5"/>
  <c r="N7157" i="5"/>
  <c r="P7157" i="5"/>
  <c r="U7149" i="5"/>
  <c r="V7149" i="5" s="1"/>
  <c r="R7078" i="5"/>
  <c r="S7078" i="5" s="1"/>
  <c r="P7071" i="5"/>
  <c r="N7071" i="5"/>
  <c r="P7178" i="5"/>
  <c r="N7178" i="5"/>
  <c r="N7141" i="5"/>
  <c r="P7141" i="5"/>
  <c r="P7080" i="5"/>
  <c r="N7080" i="5"/>
  <c r="U7177" i="5"/>
  <c r="V7177" i="5" s="1"/>
  <c r="P7219" i="5"/>
  <c r="N7219" i="5"/>
  <c r="P7208" i="5"/>
  <c r="N7208" i="5"/>
  <c r="R7208" i="5"/>
  <c r="S7208" i="5" s="1"/>
  <c r="R7150" i="5"/>
  <c r="S7150" i="5" s="1"/>
  <c r="P7185" i="5"/>
  <c r="N7185" i="5"/>
  <c r="N7152" i="5"/>
  <c r="P7152" i="5"/>
  <c r="P7085" i="5"/>
  <c r="N7085" i="5"/>
  <c r="P7018" i="5"/>
  <c r="N7018" i="5"/>
  <c r="L7123" i="5"/>
  <c r="N7136" i="5"/>
  <c r="P7136" i="5"/>
  <c r="N7098" i="5"/>
  <c r="P7098" i="5"/>
  <c r="U7200" i="5"/>
  <c r="V7200" i="5" s="1"/>
  <c r="R7197" i="5"/>
  <c r="S7197" i="5" s="1"/>
  <c r="P7061" i="5"/>
  <c r="N7061" i="5"/>
  <c r="L7220" i="5"/>
  <c r="R7146" i="5"/>
  <c r="S7146" i="5" s="1"/>
  <c r="P7134" i="5"/>
  <c r="N7134" i="5"/>
  <c r="N7190" i="5"/>
  <c r="P7190" i="5"/>
  <c r="P7153" i="5"/>
  <c r="N7153" i="5"/>
  <c r="P7121" i="5"/>
  <c r="N7121" i="5"/>
  <c r="P7111" i="5"/>
  <c r="N7111" i="5"/>
  <c r="U7140" i="5"/>
  <c r="V7140" i="5" s="1"/>
  <c r="P7062" i="5"/>
  <c r="N7062" i="5"/>
  <c r="L7168" i="5"/>
  <c r="U7073" i="5"/>
  <c r="V7073" i="5" s="1"/>
  <c r="R7136" i="5"/>
  <c r="S7136" i="5" s="1"/>
  <c r="R7062" i="5"/>
  <c r="S7062" i="5" s="1"/>
  <c r="P7127" i="5"/>
  <c r="N7127" i="5"/>
  <c r="L7181" i="5"/>
  <c r="L7020" i="5"/>
  <c r="R7025" i="5"/>
  <c r="S7025" i="5" s="1"/>
  <c r="P7120" i="5"/>
  <c r="N7120" i="5"/>
  <c r="P7037" i="5"/>
  <c r="N7037" i="5"/>
  <c r="O7019" i="5"/>
  <c r="U7019" i="5"/>
  <c r="V7019" i="5" s="1"/>
  <c r="P7205" i="5"/>
  <c r="N7205" i="5"/>
  <c r="U7232" i="5"/>
  <c r="V7232" i="5" s="1"/>
  <c r="O7232" i="5"/>
  <c r="N7091" i="5"/>
  <c r="P7091" i="5"/>
  <c r="P7029" i="5"/>
  <c r="N7029" i="5"/>
  <c r="N7112" i="5"/>
  <c r="P7112" i="5"/>
  <c r="O7023" i="5"/>
  <c r="P7079" i="5"/>
  <c r="N7079" i="5"/>
  <c r="P7066" i="5"/>
  <c r="N7066" i="5"/>
  <c r="P7043" i="5"/>
  <c r="N7043" i="5"/>
  <c r="N7215" i="5"/>
  <c r="P7215" i="5"/>
  <c r="L7084" i="5"/>
  <c r="P7231" i="5"/>
  <c r="N7231" i="5"/>
  <c r="L7046" i="5"/>
  <c r="P7210" i="5"/>
  <c r="N7210" i="5"/>
  <c r="L7188" i="5"/>
  <c r="R7231" i="5"/>
  <c r="S7231" i="5" s="1"/>
  <c r="U7038" i="5"/>
  <c r="V7038" i="5" s="1"/>
  <c r="O7038" i="5"/>
  <c r="U7023" i="5"/>
  <c r="V7023" i="5" s="1"/>
  <c r="P7104" i="5" l="1"/>
  <c r="AA131" i="6"/>
  <c r="AC131" i="6"/>
  <c r="AC27" i="6"/>
  <c r="AA27" i="6"/>
  <c r="AA45" i="6"/>
  <c r="AC45" i="6"/>
  <c r="AA110" i="6"/>
  <c r="AC110" i="6"/>
  <c r="AA116" i="6"/>
  <c r="AC116" i="6"/>
  <c r="AA143" i="6"/>
  <c r="AC143" i="6"/>
  <c r="AA16" i="6"/>
  <c r="AC16" i="6"/>
  <c r="AC10" i="6"/>
  <c r="AA10" i="6"/>
  <c r="AC122" i="6"/>
  <c r="AA122" i="6"/>
  <c r="AC138" i="6"/>
  <c r="AA138" i="6"/>
  <c r="AC40" i="6"/>
  <c r="AA40" i="6"/>
  <c r="AC58" i="6"/>
  <c r="AA58" i="6"/>
  <c r="AA115" i="6"/>
  <c r="AC115" i="6"/>
  <c r="AA85" i="6"/>
  <c r="AC85" i="6"/>
  <c r="AC73" i="6"/>
  <c r="AA73" i="6"/>
  <c r="AC9" i="6"/>
  <c r="AA9" i="6"/>
  <c r="AA108" i="6"/>
  <c r="AC108" i="6"/>
  <c r="AA128" i="6"/>
  <c r="AC128" i="6"/>
  <c r="AC121" i="6"/>
  <c r="AA121" i="6"/>
  <c r="AC120" i="6"/>
  <c r="AA120" i="6"/>
  <c r="AC24" i="6"/>
  <c r="AA24" i="6"/>
  <c r="AA111" i="6"/>
  <c r="AC111" i="6"/>
  <c r="AA97" i="6"/>
  <c r="AC97" i="6"/>
  <c r="AA78" i="6"/>
  <c r="AC78" i="6"/>
  <c r="AA15" i="6"/>
  <c r="AC15" i="6"/>
  <c r="AA84" i="6"/>
  <c r="AC84" i="6"/>
  <c r="AC118" i="6"/>
  <c r="AA118" i="6"/>
  <c r="AA48" i="6"/>
  <c r="AC48" i="6"/>
  <c r="AA65" i="6"/>
  <c r="AC65" i="6"/>
  <c r="AC135" i="6"/>
  <c r="AA135" i="6"/>
  <c r="AA92" i="6"/>
  <c r="AC92" i="6"/>
  <c r="AA60" i="6"/>
  <c r="AC60" i="6"/>
  <c r="AA159" i="6"/>
  <c r="AC159" i="6"/>
  <c r="AC72" i="6"/>
  <c r="AA72" i="6"/>
  <c r="AA156" i="6"/>
  <c r="AC156" i="6"/>
  <c r="AA117" i="6"/>
  <c r="AC117" i="6"/>
  <c r="AA130" i="6"/>
  <c r="AC130" i="6"/>
  <c r="AC38" i="6"/>
  <c r="AA38" i="6"/>
  <c r="AA46" i="6"/>
  <c r="AC46" i="6"/>
  <c r="AC39" i="6"/>
  <c r="AA39" i="6"/>
  <c r="AC54" i="6"/>
  <c r="AA54" i="6"/>
  <c r="AA93" i="6"/>
  <c r="AC93" i="6"/>
  <c r="AC75" i="6"/>
  <c r="AA75" i="6"/>
  <c r="AA14" i="6"/>
  <c r="AC14" i="6"/>
  <c r="AA83" i="6"/>
  <c r="AC83" i="6"/>
  <c r="AA109" i="6"/>
  <c r="AC109" i="6"/>
  <c r="AC155" i="6"/>
  <c r="AA155" i="6"/>
  <c r="AA37" i="6"/>
  <c r="AC37" i="6"/>
  <c r="AC26" i="6"/>
  <c r="AA26" i="6"/>
  <c r="AC23" i="6"/>
  <c r="AA23" i="6"/>
  <c r="AC91" i="6"/>
  <c r="AA91" i="6"/>
  <c r="AC56" i="6"/>
  <c r="AA56" i="6"/>
  <c r="AA67" i="6"/>
  <c r="AC67" i="6"/>
  <c r="AA144" i="6"/>
  <c r="AC144" i="6"/>
  <c r="AA82" i="6"/>
  <c r="AC82" i="6"/>
  <c r="AC119" i="6"/>
  <c r="AA119" i="6"/>
  <c r="AA148" i="6"/>
  <c r="AC148" i="6"/>
  <c r="AA36" i="6"/>
  <c r="AC36" i="6"/>
  <c r="AC137" i="6"/>
  <c r="AA137" i="6"/>
  <c r="AA95" i="6"/>
  <c r="AC95" i="6"/>
  <c r="AA53" i="6"/>
  <c r="AC53" i="6"/>
  <c r="AC103" i="6"/>
  <c r="AA103" i="6"/>
  <c r="AA158" i="6"/>
  <c r="AC158" i="6"/>
  <c r="AC107" i="6"/>
  <c r="AA107" i="6"/>
  <c r="AA81" i="6"/>
  <c r="AC81" i="6"/>
  <c r="AA127" i="6"/>
  <c r="AC127" i="6"/>
  <c r="AA35" i="6"/>
  <c r="AC35" i="6"/>
  <c r="AA44" i="6"/>
  <c r="AC44" i="6"/>
  <c r="AC104" i="6"/>
  <c r="AA104" i="6"/>
  <c r="AC90" i="6"/>
  <c r="AA90" i="6"/>
  <c r="AC87" i="6"/>
  <c r="AA87" i="6"/>
  <c r="AC154" i="6"/>
  <c r="AA154" i="6"/>
  <c r="AC70" i="6"/>
  <c r="AA70" i="6"/>
  <c r="AA21" i="6"/>
  <c r="AC21" i="6"/>
  <c r="AA66" i="6"/>
  <c r="AC66" i="6"/>
  <c r="AA34" i="6"/>
  <c r="AC34" i="6"/>
  <c r="AC25" i="6"/>
  <c r="AA25" i="6"/>
  <c r="AA96" i="6"/>
  <c r="AC96" i="6"/>
  <c r="AA52" i="6"/>
  <c r="AC52" i="6"/>
  <c r="AC55" i="6"/>
  <c r="AA55" i="6"/>
  <c r="AA147" i="6"/>
  <c r="AC147" i="6"/>
  <c r="AA12" i="6"/>
  <c r="AC12" i="6"/>
  <c r="AA80" i="6"/>
  <c r="AC80" i="6"/>
  <c r="AC8" i="6"/>
  <c r="AD8" i="6" s="1"/>
  <c r="AE8" i="6" s="1"/>
  <c r="AA8" i="6"/>
  <c r="AA33" i="6"/>
  <c r="AC33" i="6"/>
  <c r="AC43" i="6"/>
  <c r="AA43" i="6"/>
  <c r="AC88" i="6"/>
  <c r="AA88" i="6"/>
  <c r="AC89" i="6"/>
  <c r="AA89" i="6"/>
  <c r="AA19" i="6"/>
  <c r="AC19" i="6"/>
  <c r="AC11" i="6"/>
  <c r="AA11" i="6"/>
  <c r="AA79" i="6"/>
  <c r="AC79" i="6"/>
  <c r="AC139" i="6"/>
  <c r="AA139" i="6"/>
  <c r="AA51" i="6"/>
  <c r="AC51" i="6"/>
  <c r="AC22" i="6"/>
  <c r="AA22" i="6"/>
  <c r="AA94" i="6"/>
  <c r="AC94" i="6"/>
  <c r="AC105" i="6"/>
  <c r="AA105" i="6"/>
  <c r="AA146" i="6"/>
  <c r="AC146" i="6"/>
  <c r="AA69" i="6"/>
  <c r="AC69" i="6"/>
  <c r="AA20" i="6"/>
  <c r="AC20" i="6"/>
  <c r="AA124" i="6"/>
  <c r="AC124" i="6"/>
  <c r="AC153" i="6"/>
  <c r="AA153" i="6"/>
  <c r="AA32" i="6"/>
  <c r="AC32" i="6"/>
  <c r="AC134" i="6"/>
  <c r="AA134" i="6"/>
  <c r="AC59" i="6"/>
  <c r="AA59" i="6"/>
  <c r="AC102" i="6"/>
  <c r="AA102" i="6"/>
  <c r="AA76" i="6"/>
  <c r="AC76" i="6"/>
  <c r="AA31" i="6"/>
  <c r="AC31" i="6"/>
  <c r="AA157" i="6"/>
  <c r="AC157" i="6"/>
  <c r="AC150" i="6"/>
  <c r="AA150" i="6"/>
  <c r="AA50" i="6"/>
  <c r="AC50" i="6"/>
  <c r="AC152" i="6"/>
  <c r="AA152" i="6"/>
  <c r="AC57" i="6"/>
  <c r="AA57" i="6"/>
  <c r="AA101" i="6"/>
  <c r="AC101" i="6"/>
  <c r="AA18" i="6"/>
  <c r="AC18" i="6"/>
  <c r="AC123" i="6"/>
  <c r="AA123" i="6"/>
  <c r="AA77" i="6"/>
  <c r="AC77" i="6"/>
  <c r="AA149" i="6"/>
  <c r="AC149" i="6"/>
  <c r="AC42" i="6"/>
  <c r="AA42" i="6"/>
  <c r="AA140" i="6"/>
  <c r="AC140" i="6"/>
  <c r="AA142" i="6"/>
  <c r="AC142" i="6"/>
  <c r="AA133" i="6"/>
  <c r="AC133" i="6"/>
  <c r="AA114" i="6"/>
  <c r="AC114" i="6"/>
  <c r="AA100" i="6"/>
  <c r="AC100" i="6"/>
  <c r="AA17" i="6"/>
  <c r="AC17" i="6"/>
  <c r="AC86" i="6"/>
  <c r="AA86" i="6"/>
  <c r="AA29" i="6"/>
  <c r="AC29" i="6"/>
  <c r="AA126" i="6"/>
  <c r="AC126" i="6"/>
  <c r="AC136" i="6"/>
  <c r="AA136" i="6"/>
  <c r="AA49" i="6"/>
  <c r="AC49" i="6"/>
  <c r="AC41" i="6"/>
  <c r="AA41" i="6"/>
  <c r="AA113" i="6"/>
  <c r="AC113" i="6"/>
  <c r="AA99" i="6"/>
  <c r="AC99" i="6"/>
  <c r="AC145" i="6"/>
  <c r="AA145" i="6"/>
  <c r="AA129" i="6"/>
  <c r="AC129" i="6"/>
  <c r="AA68" i="6"/>
  <c r="AC68" i="6"/>
  <c r="AA13" i="6"/>
  <c r="AC13" i="6"/>
  <c r="AA125" i="6"/>
  <c r="AC125" i="6"/>
  <c r="AA132" i="6"/>
  <c r="AC132" i="6"/>
  <c r="AA47" i="6"/>
  <c r="AC47" i="6"/>
  <c r="AA141" i="6"/>
  <c r="AC141" i="6"/>
  <c r="AA112" i="6"/>
  <c r="AC112" i="6"/>
  <c r="AA98" i="6"/>
  <c r="AC98" i="6"/>
  <c r="AC106" i="6"/>
  <c r="AA106" i="6"/>
  <c r="AC74" i="6"/>
  <c r="AA74" i="6"/>
  <c r="AA30" i="6"/>
  <c r="AC30" i="6"/>
  <c r="AC71" i="6"/>
  <c r="AA71" i="6"/>
  <c r="AC151" i="6"/>
  <c r="AA151" i="6"/>
  <c r="N7226" i="5"/>
  <c r="O7226" i="5" s="1"/>
  <c r="P7201" i="5"/>
  <c r="O7159" i="5"/>
  <c r="N7050" i="5"/>
  <c r="O7050" i="5" s="1"/>
  <c r="P7218" i="5"/>
  <c r="O7218" i="5" s="1"/>
  <c r="N7154" i="5"/>
  <c r="O7154" i="5" s="1"/>
  <c r="O7166" i="5"/>
  <c r="O7196" i="5"/>
  <c r="O7191" i="5"/>
  <c r="U7077" i="5"/>
  <c r="V7077" i="5" s="1"/>
  <c r="P7088" i="5"/>
  <c r="O7088" i="5" s="1"/>
  <c r="N7135" i="5"/>
  <c r="U7135" i="5" s="1"/>
  <c r="V7135" i="5" s="1"/>
  <c r="N7207" i="5"/>
  <c r="O7207" i="5" s="1"/>
  <c r="U7169" i="5"/>
  <c r="V7169" i="5" s="1"/>
  <c r="U7217" i="5"/>
  <c r="V7217" i="5" s="1"/>
  <c r="U7196" i="5"/>
  <c r="V7196" i="5" s="1"/>
  <c r="U7216" i="5"/>
  <c r="V7216" i="5" s="1"/>
  <c r="U7230" i="5"/>
  <c r="V7230" i="5" s="1"/>
  <c r="P7138" i="5"/>
  <c r="U7138" i="5" s="1"/>
  <c r="V7138" i="5" s="1"/>
  <c r="U7148" i="5"/>
  <c r="V7148" i="5" s="1"/>
  <c r="U7183" i="5"/>
  <c r="V7183" i="5" s="1"/>
  <c r="P7115" i="5"/>
  <c r="O7115" i="5" s="1"/>
  <c r="P7053" i="5"/>
  <c r="O7053" i="5" s="1"/>
  <c r="P7211" i="5"/>
  <c r="O7211" i="5" s="1"/>
  <c r="N7069" i="5"/>
  <c r="U7069" i="5" s="1"/>
  <c r="V7069" i="5" s="1"/>
  <c r="O7230" i="5"/>
  <c r="P7089" i="5"/>
  <c r="O7089" i="5" s="1"/>
  <c r="N7171" i="5"/>
  <c r="U7171" i="5" s="1"/>
  <c r="V7171" i="5" s="1"/>
  <c r="N7206" i="5"/>
  <c r="U7206" i="5" s="1"/>
  <c r="V7206" i="5" s="1"/>
  <c r="U7166" i="5"/>
  <c r="V7166" i="5" s="1"/>
  <c r="O7216" i="5"/>
  <c r="N7055" i="5"/>
  <c r="U7055" i="5" s="1"/>
  <c r="V7055" i="5" s="1"/>
  <c r="N7059" i="5"/>
  <c r="O7059" i="5" s="1"/>
  <c r="U7213" i="5"/>
  <c r="V7213" i="5" s="1"/>
  <c r="N7056" i="5"/>
  <c r="O7056" i="5" s="1"/>
  <c r="O7221" i="5"/>
  <c r="U7199" i="5"/>
  <c r="V7199" i="5" s="1"/>
  <c r="U7202" i="5"/>
  <c r="V7202" i="5" s="1"/>
  <c r="N7162" i="5"/>
  <c r="U7162" i="5" s="1"/>
  <c r="V7162" i="5" s="1"/>
  <c r="N7222" i="5"/>
  <c r="O7222" i="5" s="1"/>
  <c r="P7194" i="5"/>
  <c r="O7194" i="5" s="1"/>
  <c r="U7101" i="5"/>
  <c r="V7101" i="5" s="1"/>
  <c r="U7099" i="5"/>
  <c r="V7099" i="5" s="1"/>
  <c r="O7093" i="5"/>
  <c r="U7093" i="5"/>
  <c r="V7093" i="5" s="1"/>
  <c r="N7090" i="5"/>
  <c r="O7090" i="5" s="1"/>
  <c r="N7082" i="5"/>
  <c r="O7082" i="5" s="1"/>
  <c r="P7060" i="5"/>
  <c r="U7060" i="5" s="1"/>
  <c r="V7060" i="5" s="1"/>
  <c r="P7033" i="5"/>
  <c r="O7033" i="5" s="1"/>
  <c r="N7028" i="5"/>
  <c r="U7028" i="5" s="1"/>
  <c r="V7028" i="5" s="1"/>
  <c r="P7021" i="5"/>
  <c r="O7021" i="5" s="1"/>
  <c r="O7227" i="5"/>
  <c r="U7227" i="5"/>
  <c r="V7227" i="5" s="1"/>
  <c r="O7113" i="5"/>
  <c r="U7113" i="5"/>
  <c r="V7113" i="5" s="1"/>
  <c r="P7167" i="5"/>
  <c r="N7167" i="5"/>
  <c r="N7096" i="5"/>
  <c r="O7096" i="5" s="1"/>
  <c r="U7142" i="5"/>
  <c r="V7142" i="5" s="1"/>
  <c r="O7142" i="5"/>
  <c r="N7052" i="5"/>
  <c r="U7052" i="5" s="1"/>
  <c r="V7052" i="5" s="1"/>
  <c r="N7224" i="5"/>
  <c r="P7224" i="5"/>
  <c r="P7094" i="5"/>
  <c r="N7094" i="5"/>
  <c r="N7186" i="5"/>
  <c r="P7186" i="5"/>
  <c r="U7087" i="5"/>
  <c r="V7087" i="5" s="1"/>
  <c r="O7087" i="5"/>
  <c r="P7195" i="5"/>
  <c r="N7195" i="5"/>
  <c r="N7118" i="5"/>
  <c r="O7118" i="5" s="1"/>
  <c r="O7076" i="5"/>
  <c r="U7076" i="5"/>
  <c r="V7076" i="5" s="1"/>
  <c r="U7212" i="5"/>
  <c r="V7212" i="5" s="1"/>
  <c r="O7212" i="5"/>
  <c r="O7198" i="5"/>
  <c r="U7198" i="5"/>
  <c r="V7198" i="5" s="1"/>
  <c r="P7119" i="5"/>
  <c r="O7119" i="5" s="1"/>
  <c r="O7045" i="5"/>
  <c r="U7045" i="5"/>
  <c r="V7045" i="5" s="1"/>
  <c r="O7202" i="5"/>
  <c r="P7225" i="5"/>
  <c r="N7225" i="5"/>
  <c r="O7100" i="5"/>
  <c r="U7100" i="5"/>
  <c r="V7100" i="5" s="1"/>
  <c r="O7210" i="5"/>
  <c r="U7210" i="5"/>
  <c r="V7210" i="5" s="1"/>
  <c r="U7137" i="5"/>
  <c r="V7137" i="5" s="1"/>
  <c r="O7137" i="5"/>
  <c r="P7046" i="5"/>
  <c r="N7046" i="5"/>
  <c r="U7121" i="5"/>
  <c r="V7121" i="5" s="1"/>
  <c r="O7121" i="5"/>
  <c r="O7086" i="5"/>
  <c r="U7086" i="5"/>
  <c r="V7086" i="5" s="1"/>
  <c r="U7182" i="5"/>
  <c r="V7182" i="5" s="1"/>
  <c r="O7182" i="5"/>
  <c r="N7156" i="5"/>
  <c r="P7156" i="5"/>
  <c r="U7131" i="5"/>
  <c r="V7131" i="5" s="1"/>
  <c r="O7131" i="5"/>
  <c r="O7031" i="5"/>
  <c r="U7031" i="5"/>
  <c r="V7031" i="5" s="1"/>
  <c r="O7104" i="5"/>
  <c r="U7104" i="5"/>
  <c r="V7104" i="5" s="1"/>
  <c r="O7130" i="5"/>
  <c r="U7130" i="5"/>
  <c r="V7130" i="5" s="1"/>
  <c r="P7124" i="5"/>
  <c r="N7124" i="5"/>
  <c r="O7111" i="5"/>
  <c r="U7111" i="5"/>
  <c r="V7111" i="5" s="1"/>
  <c r="N7057" i="5"/>
  <c r="P7057" i="5"/>
  <c r="O7205" i="5"/>
  <c r="U7205" i="5"/>
  <c r="V7205" i="5" s="1"/>
  <c r="O7080" i="5"/>
  <c r="U7080" i="5"/>
  <c r="V7080" i="5" s="1"/>
  <c r="O7231" i="5"/>
  <c r="U7231" i="5"/>
  <c r="V7231" i="5" s="1"/>
  <c r="O7153" i="5"/>
  <c r="U7153" i="5"/>
  <c r="V7153" i="5" s="1"/>
  <c r="O7037" i="5"/>
  <c r="U7037" i="5"/>
  <c r="V7037" i="5" s="1"/>
  <c r="O7063" i="5"/>
  <c r="U7063" i="5"/>
  <c r="V7063" i="5" s="1"/>
  <c r="P7220" i="5"/>
  <c r="N7220" i="5"/>
  <c r="U7025" i="5"/>
  <c r="V7025" i="5" s="1"/>
  <c r="O7025" i="5"/>
  <c r="O7042" i="5"/>
  <c r="U7042" i="5"/>
  <c r="V7042" i="5" s="1"/>
  <c r="O7109" i="5"/>
  <c r="U7109" i="5"/>
  <c r="V7109" i="5" s="1"/>
  <c r="N7084" i="5"/>
  <c r="P7084" i="5"/>
  <c r="U7026" i="5"/>
  <c r="V7026" i="5" s="1"/>
  <c r="O7026" i="5"/>
  <c r="O7036" i="5"/>
  <c r="U7036" i="5"/>
  <c r="V7036" i="5" s="1"/>
  <c r="O7176" i="5"/>
  <c r="U7176" i="5"/>
  <c r="V7176" i="5" s="1"/>
  <c r="P7123" i="5"/>
  <c r="N7123" i="5"/>
  <c r="P7067" i="5"/>
  <c r="N7067" i="5"/>
  <c r="O7049" i="5"/>
  <c r="U7049" i="5"/>
  <c r="V7049" i="5" s="1"/>
  <c r="O7146" i="5"/>
  <c r="U7146" i="5"/>
  <c r="V7146" i="5" s="1"/>
  <c r="O7190" i="5"/>
  <c r="U7190" i="5"/>
  <c r="V7190" i="5" s="1"/>
  <c r="N7047" i="5"/>
  <c r="P7047" i="5"/>
  <c r="U7134" i="5"/>
  <c r="V7134" i="5" s="1"/>
  <c r="O7134" i="5"/>
  <c r="P7129" i="5"/>
  <c r="N7129" i="5"/>
  <c r="P7065" i="5"/>
  <c r="N7065" i="5"/>
  <c r="O7152" i="5"/>
  <c r="U7152" i="5"/>
  <c r="V7152" i="5" s="1"/>
  <c r="U7209" i="5"/>
  <c r="V7209" i="5" s="1"/>
  <c r="O7209" i="5"/>
  <c r="O7147" i="5"/>
  <c r="U7147" i="5"/>
  <c r="V7147" i="5" s="1"/>
  <c r="U7083" i="5"/>
  <c r="V7083" i="5" s="1"/>
  <c r="O7083" i="5"/>
  <c r="O7143" i="5"/>
  <c r="U7143" i="5"/>
  <c r="V7143" i="5" s="1"/>
  <c r="O7071" i="5"/>
  <c r="U7071" i="5"/>
  <c r="V7071" i="5" s="1"/>
  <c r="U7041" i="5"/>
  <c r="V7041" i="5" s="1"/>
  <c r="O7041" i="5"/>
  <c r="P7233" i="5"/>
  <c r="N7233" i="5"/>
  <c r="N7214" i="5"/>
  <c r="P7214" i="5"/>
  <c r="N7189" i="5"/>
  <c r="P7189" i="5"/>
  <c r="O7120" i="5"/>
  <c r="U7120" i="5"/>
  <c r="V7120" i="5" s="1"/>
  <c r="U7136" i="5"/>
  <c r="V7136" i="5" s="1"/>
  <c r="O7136" i="5"/>
  <c r="P7160" i="5"/>
  <c r="N7160" i="5"/>
  <c r="P7223" i="5"/>
  <c r="N7223" i="5"/>
  <c r="U7132" i="5"/>
  <c r="V7132" i="5" s="1"/>
  <c r="O7132" i="5"/>
  <c r="O7066" i="5"/>
  <c r="U7066" i="5"/>
  <c r="V7066" i="5" s="1"/>
  <c r="U7050" i="5"/>
  <c r="V7050" i="5" s="1"/>
  <c r="U7075" i="5"/>
  <c r="V7075" i="5" s="1"/>
  <c r="O7075" i="5"/>
  <c r="O7174" i="5"/>
  <c r="U7174" i="5"/>
  <c r="V7174" i="5" s="1"/>
  <c r="P7133" i="5"/>
  <c r="N7133" i="5"/>
  <c r="O7139" i="5"/>
  <c r="U7139" i="5"/>
  <c r="V7139" i="5" s="1"/>
  <c r="O7112" i="5"/>
  <c r="U7112" i="5"/>
  <c r="V7112" i="5" s="1"/>
  <c r="O7151" i="5"/>
  <c r="U7151" i="5"/>
  <c r="V7151" i="5" s="1"/>
  <c r="O7040" i="5"/>
  <c r="U7040" i="5"/>
  <c r="V7040" i="5" s="1"/>
  <c r="O7048" i="5"/>
  <c r="U7048" i="5"/>
  <c r="V7048" i="5" s="1"/>
  <c r="O7029" i="5"/>
  <c r="U7029" i="5"/>
  <c r="V7029" i="5" s="1"/>
  <c r="P7034" i="5"/>
  <c r="N7034" i="5"/>
  <c r="O7184" i="5"/>
  <c r="U7184" i="5"/>
  <c r="V7184" i="5" s="1"/>
  <c r="O7078" i="5"/>
  <c r="U7078" i="5"/>
  <c r="V7078" i="5" s="1"/>
  <c r="O7114" i="5"/>
  <c r="U7114" i="5"/>
  <c r="V7114" i="5" s="1"/>
  <c r="O7172" i="5"/>
  <c r="U7172" i="5"/>
  <c r="V7172" i="5" s="1"/>
  <c r="O7061" i="5"/>
  <c r="U7061" i="5"/>
  <c r="V7061" i="5" s="1"/>
  <c r="O7122" i="5"/>
  <c r="U7122" i="5"/>
  <c r="V7122" i="5" s="1"/>
  <c r="O7144" i="5"/>
  <c r="U7144" i="5"/>
  <c r="V7144" i="5" s="1"/>
  <c r="O7141" i="5"/>
  <c r="U7141" i="5"/>
  <c r="V7141" i="5" s="1"/>
  <c r="O7215" i="5"/>
  <c r="U7215" i="5"/>
  <c r="V7215" i="5" s="1"/>
  <c r="O7070" i="5"/>
  <c r="U7070" i="5"/>
  <c r="V7070" i="5" s="1"/>
  <c r="O7018" i="5"/>
  <c r="U7018" i="5"/>
  <c r="V7018" i="5" s="1"/>
  <c r="O7116" i="5"/>
  <c r="U7116" i="5"/>
  <c r="V7116" i="5" s="1"/>
  <c r="N7181" i="5"/>
  <c r="P7181" i="5"/>
  <c r="O7150" i="5"/>
  <c r="U7150" i="5"/>
  <c r="V7150" i="5" s="1"/>
  <c r="O7085" i="5"/>
  <c r="U7085" i="5"/>
  <c r="V7085" i="5" s="1"/>
  <c r="O7203" i="5"/>
  <c r="U7203" i="5"/>
  <c r="V7203" i="5" s="1"/>
  <c r="U7081" i="5"/>
  <c r="V7081" i="5" s="1"/>
  <c r="O7081" i="5"/>
  <c r="O7079" i="5"/>
  <c r="U7079" i="5"/>
  <c r="V7079" i="5" s="1"/>
  <c r="U7027" i="5"/>
  <c r="V7027" i="5" s="1"/>
  <c r="O7027" i="5"/>
  <c r="N7179" i="5"/>
  <c r="P7179" i="5"/>
  <c r="N7168" i="5"/>
  <c r="P7168" i="5"/>
  <c r="O7062" i="5"/>
  <c r="U7062" i="5"/>
  <c r="V7062" i="5" s="1"/>
  <c r="O7193" i="5"/>
  <c r="U7193" i="5"/>
  <c r="V7193" i="5" s="1"/>
  <c r="O7161" i="5"/>
  <c r="U7161" i="5"/>
  <c r="V7161" i="5" s="1"/>
  <c r="U7158" i="5"/>
  <c r="V7158" i="5" s="1"/>
  <c r="O7158" i="5"/>
  <c r="O7164" i="5"/>
  <c r="U7164" i="5"/>
  <c r="V7164" i="5" s="1"/>
  <c r="O7091" i="5"/>
  <c r="U7091" i="5"/>
  <c r="V7091" i="5" s="1"/>
  <c r="U7208" i="5"/>
  <c r="V7208" i="5" s="1"/>
  <c r="O7208" i="5"/>
  <c r="O7092" i="5"/>
  <c r="U7092" i="5"/>
  <c r="V7092" i="5" s="1"/>
  <c r="O7107" i="5"/>
  <c r="U7107" i="5"/>
  <c r="V7107" i="5" s="1"/>
  <c r="U7180" i="5"/>
  <c r="V7180" i="5" s="1"/>
  <c r="O7180" i="5"/>
  <c r="O7228" i="5"/>
  <c r="U7228" i="5"/>
  <c r="V7228" i="5" s="1"/>
  <c r="N7103" i="5"/>
  <c r="P7103" i="5"/>
  <c r="O7197" i="5"/>
  <c r="U7197" i="5"/>
  <c r="V7197" i="5" s="1"/>
  <c r="O7110" i="5"/>
  <c r="U7110" i="5"/>
  <c r="V7110" i="5" s="1"/>
  <c r="O7204" i="5"/>
  <c r="U7204" i="5"/>
  <c r="V7204" i="5" s="1"/>
  <c r="O7098" i="5"/>
  <c r="U7098" i="5"/>
  <c r="V7098" i="5" s="1"/>
  <c r="O7064" i="5"/>
  <c r="U7064" i="5"/>
  <c r="V7064" i="5" s="1"/>
  <c r="O7043" i="5"/>
  <c r="U7043" i="5"/>
  <c r="V7043" i="5" s="1"/>
  <c r="P7035" i="5"/>
  <c r="N7035" i="5"/>
  <c r="P7020" i="5"/>
  <c r="N7020" i="5"/>
  <c r="O7192" i="5"/>
  <c r="U7192" i="5"/>
  <c r="V7192" i="5" s="1"/>
  <c r="O7127" i="5"/>
  <c r="U7127" i="5"/>
  <c r="V7127" i="5" s="1"/>
  <c r="O7178" i="5"/>
  <c r="U7178" i="5"/>
  <c r="V7178" i="5" s="1"/>
  <c r="O7165" i="5"/>
  <c r="U7165" i="5"/>
  <c r="V7165" i="5" s="1"/>
  <c r="O7185" i="5"/>
  <c r="U7185" i="5"/>
  <c r="V7185" i="5" s="1"/>
  <c r="U7126" i="5"/>
  <c r="V7126" i="5" s="1"/>
  <c r="O7126" i="5"/>
  <c r="O7157" i="5"/>
  <c r="U7157" i="5"/>
  <c r="V7157" i="5" s="1"/>
  <c r="U7117" i="5"/>
  <c r="V7117" i="5" s="1"/>
  <c r="O7117" i="5"/>
  <c r="O7145" i="5"/>
  <c r="U7145" i="5"/>
  <c r="V7145" i="5" s="1"/>
  <c r="U7058" i="5"/>
  <c r="V7058" i="5" s="1"/>
  <c r="O7058" i="5"/>
  <c r="O7074" i="5"/>
  <c r="U7074" i="5"/>
  <c r="V7074" i="5" s="1"/>
  <c r="P7188" i="5"/>
  <c r="N7188" i="5"/>
  <c r="O7219" i="5"/>
  <c r="U7219" i="5"/>
  <c r="V7219" i="5" s="1"/>
  <c r="O7170" i="5"/>
  <c r="U7170" i="5"/>
  <c r="V7170" i="5" s="1"/>
  <c r="O7102" i="5"/>
  <c r="U7102" i="5"/>
  <c r="V7102" i="5" s="1"/>
  <c r="C39" i="17"/>
  <c r="T7017" i="5"/>
  <c r="J7017" i="5"/>
  <c r="T7016" i="5"/>
  <c r="J7016" i="5"/>
  <c r="T7015" i="5"/>
  <c r="J7015" i="5"/>
  <c r="T7014" i="5"/>
  <c r="J7014" i="5"/>
  <c r="K7014" i="5" s="1"/>
  <c r="T7013" i="5"/>
  <c r="J7013" i="5"/>
  <c r="K7013" i="5" s="1"/>
  <c r="T7012" i="5"/>
  <c r="J7012" i="5"/>
  <c r="T7011" i="5"/>
  <c r="J7011" i="5"/>
  <c r="K7011" i="5" s="1"/>
  <c r="L7011" i="5" s="1"/>
  <c r="P7011" i="5" s="1"/>
  <c r="T7010" i="5"/>
  <c r="J7010" i="5"/>
  <c r="K7010" i="5" s="1"/>
  <c r="T7009" i="5"/>
  <c r="J7009" i="5"/>
  <c r="K7009" i="5" s="1"/>
  <c r="T7008" i="5"/>
  <c r="J7008" i="5"/>
  <c r="K7008" i="5" s="1"/>
  <c r="T7007" i="5"/>
  <c r="J7007" i="5"/>
  <c r="T7006" i="5"/>
  <c r="J7006" i="5"/>
  <c r="T7005" i="5"/>
  <c r="J7005" i="5"/>
  <c r="K7005" i="5" s="1"/>
  <c r="L7005" i="5" s="1"/>
  <c r="P7005" i="5" s="1"/>
  <c r="T7004" i="5"/>
  <c r="J7004" i="5"/>
  <c r="T7003" i="5"/>
  <c r="J7003" i="5"/>
  <c r="T7002" i="5"/>
  <c r="J7002" i="5"/>
  <c r="T7001" i="5"/>
  <c r="J7001" i="5"/>
  <c r="T7000" i="5"/>
  <c r="J7000" i="5"/>
  <c r="K7000" i="5" s="1"/>
  <c r="T6999" i="5"/>
  <c r="J6999" i="5"/>
  <c r="K6999" i="5" s="1"/>
  <c r="L6999" i="5" s="1"/>
  <c r="T6998" i="5"/>
  <c r="J6998" i="5"/>
  <c r="T6997" i="5"/>
  <c r="J6997" i="5"/>
  <c r="K6997" i="5" s="1"/>
  <c r="T6996" i="5"/>
  <c r="J6996" i="5"/>
  <c r="K6996" i="5" s="1"/>
  <c r="T6995" i="5"/>
  <c r="J6995" i="5"/>
  <c r="K6995" i="5" s="1"/>
  <c r="L6995" i="5" s="1"/>
  <c r="T6994" i="5"/>
  <c r="J6994" i="5"/>
  <c r="K6994" i="5" s="1"/>
  <c r="T6993" i="5"/>
  <c r="J6993" i="5"/>
  <c r="T6992" i="5"/>
  <c r="J6992" i="5"/>
  <c r="K6992" i="5" s="1"/>
  <c r="T6991" i="5"/>
  <c r="J6991" i="5"/>
  <c r="K6991" i="5" s="1"/>
  <c r="T6990" i="5"/>
  <c r="J6990" i="5"/>
  <c r="T6989" i="5"/>
  <c r="J6989" i="5"/>
  <c r="K6989" i="5" s="1"/>
  <c r="T6988" i="5"/>
  <c r="J6988" i="5"/>
  <c r="T6987" i="5"/>
  <c r="J6987" i="5"/>
  <c r="K6987" i="5" s="1"/>
  <c r="T6986" i="5"/>
  <c r="J6986" i="5"/>
  <c r="K6986" i="5" s="1"/>
  <c r="L6986" i="5" s="1"/>
  <c r="T6985" i="5"/>
  <c r="J6985" i="5"/>
  <c r="K6985" i="5" s="1"/>
  <c r="T6984" i="5"/>
  <c r="J6984" i="5"/>
  <c r="T6983" i="5"/>
  <c r="J6983" i="5"/>
  <c r="T6982" i="5"/>
  <c r="J6982" i="5"/>
  <c r="K6982" i="5" s="1"/>
  <c r="T6981" i="5"/>
  <c r="J6981" i="5"/>
  <c r="K6981" i="5" s="1"/>
  <c r="T6980" i="5"/>
  <c r="J6980" i="5"/>
  <c r="T6979" i="5"/>
  <c r="J6979" i="5"/>
  <c r="T6978" i="5"/>
  <c r="J6978" i="5"/>
  <c r="K6978" i="5" s="1"/>
  <c r="L6978" i="5" s="1"/>
  <c r="T6977" i="5"/>
  <c r="J6977" i="5"/>
  <c r="K6977" i="5" s="1"/>
  <c r="L6977" i="5" s="1"/>
  <c r="P6977" i="5" s="1"/>
  <c r="T6976" i="5"/>
  <c r="J6976" i="5"/>
  <c r="T6975" i="5"/>
  <c r="J6975" i="5"/>
  <c r="T6974" i="5"/>
  <c r="J6974" i="5"/>
  <c r="T6973" i="5"/>
  <c r="J6973" i="5"/>
  <c r="T6972" i="5"/>
  <c r="J6972" i="5"/>
  <c r="T6971" i="5"/>
  <c r="J6971" i="5"/>
  <c r="K6971" i="5" s="1"/>
  <c r="T6970" i="5"/>
  <c r="J6970" i="5"/>
  <c r="K6970" i="5" s="1"/>
  <c r="T6969" i="5"/>
  <c r="J6969" i="5"/>
  <c r="T6968" i="5"/>
  <c r="J6968" i="5"/>
  <c r="T6967" i="5"/>
  <c r="J6967" i="5"/>
  <c r="K6967" i="5" s="1"/>
  <c r="L6967" i="5" s="1"/>
  <c r="T6966" i="5"/>
  <c r="J6966" i="5"/>
  <c r="T6965" i="5"/>
  <c r="J6965" i="5"/>
  <c r="T6964" i="5"/>
  <c r="J6964" i="5"/>
  <c r="T6963" i="5"/>
  <c r="J6963" i="5"/>
  <c r="K6963" i="5" s="1"/>
  <c r="T6962" i="5"/>
  <c r="J6962" i="5"/>
  <c r="K6962" i="5" s="1"/>
  <c r="T6961" i="5"/>
  <c r="J6961" i="5"/>
  <c r="K6961" i="5" s="1"/>
  <c r="T6960" i="5"/>
  <c r="J6960" i="5"/>
  <c r="T6959" i="5"/>
  <c r="J6959" i="5"/>
  <c r="K6959" i="5" s="1"/>
  <c r="L6959" i="5" s="1"/>
  <c r="T6958" i="5"/>
  <c r="J6958" i="5"/>
  <c r="T6957" i="5"/>
  <c r="J6957" i="5"/>
  <c r="T6956" i="5"/>
  <c r="J6956" i="5"/>
  <c r="K6956" i="5" s="1"/>
  <c r="T6955" i="5"/>
  <c r="J6955" i="5"/>
  <c r="T6954" i="5"/>
  <c r="J6954" i="5"/>
  <c r="T6953" i="5"/>
  <c r="J6953" i="5"/>
  <c r="K6953" i="5" s="1"/>
  <c r="T6952" i="5"/>
  <c r="J6952" i="5"/>
  <c r="T6951" i="5"/>
  <c r="J6951" i="5"/>
  <c r="T6950" i="5"/>
  <c r="J6950" i="5"/>
  <c r="K6950" i="5" s="1"/>
  <c r="T6949" i="5"/>
  <c r="J6949" i="5"/>
  <c r="T6948" i="5"/>
  <c r="J6948" i="5"/>
  <c r="K6948" i="5" s="1"/>
  <c r="T6947" i="5"/>
  <c r="J6947" i="5"/>
  <c r="T6946" i="5"/>
  <c r="J6946" i="5"/>
  <c r="K6946" i="5" s="1"/>
  <c r="T6945" i="5"/>
  <c r="J6945" i="5"/>
  <c r="T6944" i="5"/>
  <c r="J6944" i="5"/>
  <c r="K6944" i="5" s="1"/>
  <c r="T6943" i="5"/>
  <c r="J6943" i="5"/>
  <c r="K6943" i="5" s="1"/>
  <c r="T6942" i="5"/>
  <c r="J6942" i="5"/>
  <c r="K6942" i="5" s="1"/>
  <c r="L6942" i="5" s="1"/>
  <c r="T6941" i="5"/>
  <c r="J6941" i="5"/>
  <c r="K6941" i="5" s="1"/>
  <c r="T6940" i="5"/>
  <c r="J6940" i="5"/>
  <c r="K6940" i="5" s="1"/>
  <c r="T6939" i="5"/>
  <c r="J6939" i="5"/>
  <c r="T6938" i="5"/>
  <c r="J6938" i="5"/>
  <c r="T6937" i="5"/>
  <c r="J6937" i="5"/>
  <c r="T6936" i="5"/>
  <c r="J6936" i="5"/>
  <c r="K6936" i="5" s="1"/>
  <c r="T6935" i="5"/>
  <c r="J6935" i="5"/>
  <c r="K6935" i="5" s="1"/>
  <c r="T6934" i="5"/>
  <c r="J6934" i="5"/>
  <c r="T6933" i="5"/>
  <c r="J6933" i="5"/>
  <c r="T6932" i="5"/>
  <c r="J6932" i="5"/>
  <c r="K6932" i="5" s="1"/>
  <c r="T6931" i="5"/>
  <c r="J6931" i="5"/>
  <c r="K6931" i="5" s="1"/>
  <c r="T6930" i="5"/>
  <c r="J6930" i="5"/>
  <c r="T6929" i="5"/>
  <c r="J6929" i="5"/>
  <c r="T6928" i="5"/>
  <c r="J6928" i="5"/>
  <c r="K6928" i="5" s="1"/>
  <c r="T6927" i="5"/>
  <c r="J6927" i="5"/>
  <c r="T6926" i="5"/>
  <c r="J6926" i="5"/>
  <c r="T6925" i="5"/>
  <c r="J6925" i="5"/>
  <c r="K6925" i="5" s="1"/>
  <c r="T6924" i="5"/>
  <c r="J6924" i="5"/>
  <c r="K6924" i="5" s="1"/>
  <c r="L6924" i="5" s="1"/>
  <c r="T6923" i="5"/>
  <c r="J6923" i="5"/>
  <c r="T6922" i="5"/>
  <c r="J6922" i="5"/>
  <c r="T6921" i="5"/>
  <c r="J6921" i="5"/>
  <c r="T6920" i="5"/>
  <c r="J6920" i="5"/>
  <c r="T6919" i="5"/>
  <c r="J6919" i="5"/>
  <c r="T6918" i="5"/>
  <c r="J6918" i="5"/>
  <c r="T6917" i="5"/>
  <c r="J6917" i="5"/>
  <c r="K6917" i="5" s="1"/>
  <c r="T6916" i="5"/>
  <c r="J6916" i="5"/>
  <c r="K6916" i="5" s="1"/>
  <c r="T6915" i="5"/>
  <c r="J6915" i="5"/>
  <c r="K6915" i="5" s="1"/>
  <c r="L6915" i="5" s="1"/>
  <c r="T6914" i="5"/>
  <c r="J6914" i="5"/>
  <c r="K6914" i="5" s="1"/>
  <c r="T6913" i="5"/>
  <c r="J6913" i="5"/>
  <c r="T6912" i="5"/>
  <c r="J6912" i="5"/>
  <c r="T6911" i="5"/>
  <c r="J6911" i="5"/>
  <c r="K6911" i="5" s="1"/>
  <c r="T6910" i="5"/>
  <c r="J6910" i="5"/>
  <c r="K6910" i="5" s="1"/>
  <c r="L6910" i="5" s="1"/>
  <c r="T6909" i="5"/>
  <c r="J6909" i="5"/>
  <c r="T6908" i="5"/>
  <c r="J6908" i="5"/>
  <c r="T6907" i="5"/>
  <c r="J6907" i="5"/>
  <c r="T6906" i="5"/>
  <c r="J6906" i="5"/>
  <c r="K6906" i="5" s="1"/>
  <c r="T6905" i="5"/>
  <c r="J6905" i="5"/>
  <c r="T6904" i="5"/>
  <c r="J6904" i="5"/>
  <c r="T6903" i="5"/>
  <c r="J6903" i="5"/>
  <c r="K6903" i="5" s="1"/>
  <c r="T6902" i="5"/>
  <c r="J6902" i="5"/>
  <c r="T6901" i="5"/>
  <c r="J6901" i="5"/>
  <c r="T6900" i="5"/>
  <c r="J6900" i="5"/>
  <c r="K6900" i="5" s="1"/>
  <c r="T6899" i="5"/>
  <c r="J6899" i="5"/>
  <c r="T6898" i="5"/>
  <c r="J6898" i="5"/>
  <c r="T6897" i="5"/>
  <c r="J6897" i="5"/>
  <c r="K6897" i="5" s="1"/>
  <c r="T6896" i="5"/>
  <c r="J6896" i="5"/>
  <c r="T6895" i="5"/>
  <c r="J6895" i="5"/>
  <c r="K6895" i="5" s="1"/>
  <c r="T6894" i="5"/>
  <c r="J6894" i="5"/>
  <c r="T6893" i="5"/>
  <c r="J6893" i="5"/>
  <c r="K6893" i="5" s="1"/>
  <c r="T6892" i="5"/>
  <c r="J6892" i="5"/>
  <c r="T6891" i="5"/>
  <c r="J6891" i="5"/>
  <c r="K6891" i="5" s="1"/>
  <c r="T6890" i="5"/>
  <c r="J6890" i="5"/>
  <c r="K6890" i="5" s="1"/>
  <c r="T6889" i="5"/>
  <c r="J6889" i="5"/>
  <c r="T6888" i="5"/>
  <c r="J6888" i="5"/>
  <c r="T6887" i="5"/>
  <c r="J6887" i="5"/>
  <c r="K6887" i="5" s="1"/>
  <c r="L6887" i="5" s="1"/>
  <c r="T6886" i="5"/>
  <c r="J6886" i="5"/>
  <c r="T6885" i="5"/>
  <c r="J6885" i="5"/>
  <c r="K6885" i="5" s="1"/>
  <c r="T6884" i="5"/>
  <c r="J6884" i="5"/>
  <c r="T6883" i="5"/>
  <c r="J6883" i="5"/>
  <c r="K6883" i="5" s="1"/>
  <c r="T6882" i="5"/>
  <c r="J6882" i="5"/>
  <c r="T6881" i="5"/>
  <c r="J6881" i="5"/>
  <c r="K6881" i="5" s="1"/>
  <c r="L6881" i="5" s="1"/>
  <c r="T6880" i="5"/>
  <c r="J6880" i="5"/>
  <c r="K6880" i="5" s="1"/>
  <c r="T6879" i="5"/>
  <c r="J6879" i="5"/>
  <c r="T6878" i="5"/>
  <c r="J6878" i="5"/>
  <c r="T6877" i="5"/>
  <c r="J6877" i="5"/>
  <c r="K6877" i="5" s="1"/>
  <c r="T6876" i="5"/>
  <c r="J6876" i="5"/>
  <c r="T6875" i="5"/>
  <c r="J6875" i="5"/>
  <c r="T6874" i="5"/>
  <c r="J6874" i="5"/>
  <c r="T6873" i="5"/>
  <c r="J6873" i="5"/>
  <c r="T6872" i="5"/>
  <c r="J6872" i="5"/>
  <c r="T6871" i="5"/>
  <c r="J6871" i="5"/>
  <c r="T6870" i="5"/>
  <c r="J6870" i="5"/>
  <c r="K6870" i="5" s="1"/>
  <c r="L6870" i="5" s="1"/>
  <c r="T6869" i="5"/>
  <c r="J6869" i="5"/>
  <c r="K6869" i="5" s="1"/>
  <c r="T6868" i="5"/>
  <c r="J6868" i="5"/>
  <c r="T6867" i="5"/>
  <c r="J6867" i="5"/>
  <c r="T6866" i="5"/>
  <c r="J6866" i="5"/>
  <c r="K6866" i="5" s="1"/>
  <c r="L6866" i="5" s="1"/>
  <c r="T6865" i="5"/>
  <c r="J6865" i="5"/>
  <c r="T6864" i="5"/>
  <c r="J6864" i="5"/>
  <c r="T6863" i="5"/>
  <c r="J6863" i="5"/>
  <c r="K6863" i="5" s="1"/>
  <c r="T6862" i="5"/>
  <c r="J6862" i="5"/>
  <c r="K6862" i="5" s="1"/>
  <c r="T6861" i="5"/>
  <c r="J6861" i="5"/>
  <c r="T6860" i="5"/>
  <c r="J6860" i="5"/>
  <c r="K6860" i="5" s="1"/>
  <c r="L6860" i="5" s="1"/>
  <c r="T6859" i="5"/>
  <c r="J6859" i="5"/>
  <c r="T6858" i="5"/>
  <c r="J6858" i="5"/>
  <c r="T6857" i="5"/>
  <c r="J6857" i="5"/>
  <c r="K6857" i="5" s="1"/>
  <c r="T6856" i="5"/>
  <c r="J6856" i="5"/>
  <c r="K6856" i="5" s="1"/>
  <c r="T6855" i="5"/>
  <c r="J6855" i="5"/>
  <c r="K6855" i="5" s="1"/>
  <c r="T6854" i="5"/>
  <c r="J6854" i="5"/>
  <c r="K6854" i="5" s="1"/>
  <c r="T6853" i="5"/>
  <c r="J6853" i="5"/>
  <c r="T6852" i="5"/>
  <c r="J6852" i="5"/>
  <c r="T6851" i="5"/>
  <c r="J6851" i="5"/>
  <c r="K6851" i="5" s="1"/>
  <c r="T6850" i="5"/>
  <c r="J6850" i="5"/>
  <c r="T6849" i="5"/>
  <c r="J6849" i="5"/>
  <c r="T6848" i="5"/>
  <c r="J6848" i="5"/>
  <c r="K6848" i="5" s="1"/>
  <c r="T6847" i="5"/>
  <c r="J6847" i="5"/>
  <c r="T6846" i="5"/>
  <c r="J6846" i="5"/>
  <c r="K6846" i="5" s="1"/>
  <c r="T6845" i="5"/>
  <c r="J6845" i="5"/>
  <c r="T6844" i="5"/>
  <c r="J6844" i="5"/>
  <c r="T6843" i="5"/>
  <c r="J6843" i="5"/>
  <c r="T6842" i="5"/>
  <c r="J6842" i="5"/>
  <c r="T6841" i="5"/>
  <c r="J6841" i="5"/>
  <c r="K6841" i="5" s="1"/>
  <c r="T6840" i="5"/>
  <c r="J6840" i="5"/>
  <c r="T6839" i="5"/>
  <c r="J6839" i="5"/>
  <c r="T6838" i="5"/>
  <c r="J6838" i="5"/>
  <c r="T6837" i="5"/>
  <c r="J6837" i="5"/>
  <c r="T6836" i="5"/>
  <c r="J6836" i="5"/>
  <c r="K6836" i="5" s="1"/>
  <c r="T6835" i="5"/>
  <c r="J6835" i="5"/>
  <c r="K6835" i="5" s="1"/>
  <c r="T6834" i="5"/>
  <c r="J6834" i="5"/>
  <c r="T6833" i="5"/>
  <c r="J6833" i="5"/>
  <c r="T6832" i="5"/>
  <c r="J6832" i="5"/>
  <c r="T6831" i="5"/>
  <c r="J6831" i="5"/>
  <c r="T6830" i="5"/>
  <c r="J6830" i="5"/>
  <c r="K6830" i="5" s="1"/>
  <c r="T6829" i="5"/>
  <c r="J6829" i="5"/>
  <c r="K6829" i="5" s="1"/>
  <c r="T6828" i="5"/>
  <c r="J6828" i="5"/>
  <c r="K6828" i="5" s="1"/>
  <c r="T6827" i="5"/>
  <c r="J6827" i="5"/>
  <c r="K6827" i="5" s="1"/>
  <c r="T6826" i="5"/>
  <c r="J6826" i="5"/>
  <c r="T6825" i="5"/>
  <c r="J6825" i="5"/>
  <c r="T6824" i="5"/>
  <c r="J6824" i="5"/>
  <c r="K6824" i="5" s="1"/>
  <c r="T6823" i="5"/>
  <c r="J6823" i="5"/>
  <c r="K6823" i="5" s="1"/>
  <c r="L6823" i="5" s="1"/>
  <c r="T6822" i="5"/>
  <c r="J6822" i="5"/>
  <c r="T6821" i="5"/>
  <c r="J6821" i="5"/>
  <c r="T6820" i="5"/>
  <c r="J6820" i="5"/>
  <c r="K6820" i="5" s="1"/>
  <c r="T6819" i="5"/>
  <c r="J6819" i="5"/>
  <c r="K6819" i="5" s="1"/>
  <c r="T6818" i="5"/>
  <c r="J6818" i="5"/>
  <c r="K6818" i="5" s="1"/>
  <c r="T6817" i="5"/>
  <c r="J6817" i="5"/>
  <c r="T6816" i="5"/>
  <c r="J6816" i="5"/>
  <c r="K6816" i="5" s="1"/>
  <c r="L6816" i="5" s="1"/>
  <c r="T6815" i="5"/>
  <c r="J6815" i="5"/>
  <c r="T6814" i="5"/>
  <c r="J6814" i="5"/>
  <c r="K6814" i="5" s="1"/>
  <c r="L6814" i="5" s="1"/>
  <c r="T6813" i="5"/>
  <c r="J6813" i="5"/>
  <c r="K6813" i="5" s="1"/>
  <c r="T6812" i="5"/>
  <c r="J6812" i="5"/>
  <c r="K6812" i="5" s="1"/>
  <c r="L6812" i="5" s="1"/>
  <c r="T6811" i="5"/>
  <c r="J6811" i="5"/>
  <c r="K6811" i="5" s="1"/>
  <c r="L6811" i="5" s="1"/>
  <c r="P6811" i="5" s="1"/>
  <c r="T6810" i="5"/>
  <c r="J6810" i="5"/>
  <c r="K6810" i="5" s="1"/>
  <c r="T6809" i="5"/>
  <c r="J6809" i="5"/>
  <c r="T6808" i="5"/>
  <c r="J6808" i="5"/>
  <c r="K6808" i="5" s="1"/>
  <c r="T6807" i="5"/>
  <c r="J6807" i="5"/>
  <c r="T6806" i="5"/>
  <c r="J6806" i="5"/>
  <c r="K6806" i="5" s="1"/>
  <c r="L6806" i="5" s="1"/>
  <c r="T6805" i="5"/>
  <c r="J6805" i="5"/>
  <c r="K6805" i="5" s="1"/>
  <c r="T6804" i="5"/>
  <c r="J6804" i="5"/>
  <c r="K6804" i="5" s="1"/>
  <c r="T6803" i="5"/>
  <c r="J6803" i="5"/>
  <c r="K6803" i="5" s="1"/>
  <c r="L6803" i="5" s="1"/>
  <c r="P6803" i="5" s="1"/>
  <c r="T6802" i="5"/>
  <c r="J6802" i="5"/>
  <c r="K6802" i="5" s="1"/>
  <c r="T6801" i="5"/>
  <c r="J6801" i="5"/>
  <c r="K6801" i="5" s="1"/>
  <c r="L6801" i="5" s="1"/>
  <c r="T6800" i="5"/>
  <c r="J6800" i="5"/>
  <c r="T6799" i="5"/>
  <c r="J6799" i="5"/>
  <c r="T6798" i="5"/>
  <c r="J6798" i="5"/>
  <c r="T6797" i="5"/>
  <c r="J6797" i="5"/>
  <c r="K6797" i="5" s="1"/>
  <c r="L6797" i="5" s="1"/>
  <c r="T6796" i="5"/>
  <c r="J6796" i="5"/>
  <c r="T6795" i="5"/>
  <c r="J6795" i="5"/>
  <c r="T6794" i="5"/>
  <c r="J6794" i="5"/>
  <c r="T6793" i="5"/>
  <c r="J6793" i="5"/>
  <c r="K6793" i="5" s="1"/>
  <c r="T6792" i="5"/>
  <c r="J6792" i="5"/>
  <c r="T6791" i="5"/>
  <c r="J6791" i="5"/>
  <c r="K6791" i="5" s="1"/>
  <c r="T6790" i="5"/>
  <c r="J6790" i="5"/>
  <c r="K6790" i="5" s="1"/>
  <c r="T6789" i="5"/>
  <c r="J6789" i="5"/>
  <c r="K6789" i="5" s="1"/>
  <c r="T6788" i="5"/>
  <c r="J6788" i="5"/>
  <c r="K6788" i="5" s="1"/>
  <c r="T6787" i="5"/>
  <c r="J6787" i="5"/>
  <c r="T6786" i="5"/>
  <c r="J6786" i="5"/>
  <c r="T6785" i="5"/>
  <c r="J6785" i="5"/>
  <c r="T6784" i="5"/>
  <c r="J6784" i="5"/>
  <c r="K6784" i="5" s="1"/>
  <c r="T6783" i="5"/>
  <c r="J6783" i="5"/>
  <c r="T6782" i="5"/>
  <c r="J6782" i="5"/>
  <c r="K6782" i="5" s="1"/>
  <c r="T6781" i="5"/>
  <c r="J6781" i="5"/>
  <c r="T6780" i="5"/>
  <c r="J6780" i="5"/>
  <c r="T6779" i="5"/>
  <c r="J6779" i="5"/>
  <c r="K6779" i="5" s="1"/>
  <c r="L6779" i="5" s="1"/>
  <c r="T6778" i="5"/>
  <c r="J6778" i="5"/>
  <c r="K6778" i="5" s="1"/>
  <c r="T6777" i="5"/>
  <c r="J6777" i="5"/>
  <c r="K6777" i="5" s="1"/>
  <c r="T6776" i="5"/>
  <c r="J6776" i="5"/>
  <c r="T6775" i="5"/>
  <c r="J6775" i="5"/>
  <c r="T6774" i="5"/>
  <c r="J6774" i="5"/>
  <c r="T6773" i="5"/>
  <c r="J6773" i="5"/>
  <c r="K6773" i="5" s="1"/>
  <c r="T6772" i="5"/>
  <c r="J6772" i="5"/>
  <c r="K6772" i="5" s="1"/>
  <c r="T6771" i="5"/>
  <c r="J6771" i="5"/>
  <c r="T6770" i="5"/>
  <c r="J6770" i="5"/>
  <c r="T6769" i="5"/>
  <c r="J6769" i="5"/>
  <c r="K6769" i="5" s="1"/>
  <c r="T6768" i="5"/>
  <c r="J6768" i="5"/>
  <c r="T6767" i="5"/>
  <c r="J6767" i="5"/>
  <c r="K6767" i="5" s="1"/>
  <c r="T6766" i="5"/>
  <c r="J6766" i="5"/>
  <c r="K6766" i="5" s="1"/>
  <c r="L6766" i="5" s="1"/>
  <c r="T6765" i="5"/>
  <c r="J6765" i="5"/>
  <c r="K6765" i="5" s="1"/>
  <c r="T6764" i="5"/>
  <c r="J6764" i="5"/>
  <c r="K6764" i="5" s="1"/>
  <c r="T6763" i="5"/>
  <c r="J6763" i="5"/>
  <c r="K6763" i="5" s="1"/>
  <c r="L6763" i="5" s="1"/>
  <c r="T6762" i="5"/>
  <c r="J6762" i="5"/>
  <c r="T6761" i="5"/>
  <c r="J6761" i="5"/>
  <c r="T6760" i="5"/>
  <c r="J6760" i="5"/>
  <c r="K6760" i="5" s="1"/>
  <c r="L6760" i="5" s="1"/>
  <c r="T6759" i="5"/>
  <c r="J6759" i="5"/>
  <c r="T6758" i="5"/>
  <c r="J6758" i="5"/>
  <c r="T6757" i="5"/>
  <c r="J6757" i="5"/>
  <c r="K6757" i="5" s="1"/>
  <c r="T6756" i="5"/>
  <c r="J6756" i="5"/>
  <c r="T6755" i="5"/>
  <c r="J6755" i="5"/>
  <c r="T6754" i="5"/>
  <c r="J6754" i="5"/>
  <c r="T6753" i="5"/>
  <c r="J6753" i="5"/>
  <c r="T6752" i="5"/>
  <c r="J6752" i="5"/>
  <c r="T6751" i="5"/>
  <c r="J6751" i="5"/>
  <c r="K6751" i="5" s="1"/>
  <c r="T6750" i="5"/>
  <c r="J6750" i="5"/>
  <c r="T6749" i="5"/>
  <c r="J6749" i="5"/>
  <c r="K6749" i="5" s="1"/>
  <c r="T6748" i="5"/>
  <c r="J6748" i="5"/>
  <c r="T6747" i="5"/>
  <c r="J6747" i="5"/>
  <c r="K6747" i="5" s="1"/>
  <c r="T6746" i="5"/>
  <c r="J6746" i="5"/>
  <c r="K6746" i="5" s="1"/>
  <c r="T6745" i="5"/>
  <c r="J6745" i="5"/>
  <c r="K6745" i="5" s="1"/>
  <c r="T6744" i="5"/>
  <c r="J6744" i="5"/>
  <c r="K6744" i="5" s="1"/>
  <c r="T6743" i="5"/>
  <c r="J6743" i="5"/>
  <c r="T6742" i="5"/>
  <c r="J6742" i="5"/>
  <c r="K6742" i="5" s="1"/>
  <c r="L6742" i="5" s="1"/>
  <c r="T6741" i="5"/>
  <c r="J6741" i="5"/>
  <c r="K6741" i="5" s="1"/>
  <c r="L6741" i="5" s="1"/>
  <c r="T6740" i="5"/>
  <c r="J6740" i="5"/>
  <c r="T6739" i="5"/>
  <c r="J6739" i="5"/>
  <c r="K6739" i="5" s="1"/>
  <c r="T6738" i="5"/>
  <c r="J6738" i="5"/>
  <c r="T6737" i="5"/>
  <c r="J6737" i="5"/>
  <c r="T6736" i="5"/>
  <c r="J6736" i="5"/>
  <c r="K6736" i="5" s="1"/>
  <c r="T6735" i="5"/>
  <c r="J6735" i="5"/>
  <c r="K6735" i="5" s="1"/>
  <c r="T6734" i="5"/>
  <c r="J6734" i="5"/>
  <c r="K6734" i="5" s="1"/>
  <c r="L6734" i="5" s="1"/>
  <c r="P6734" i="5" s="1"/>
  <c r="T6733" i="5"/>
  <c r="J6733" i="5"/>
  <c r="K6733" i="5" s="1"/>
  <c r="T6732" i="5"/>
  <c r="J6732" i="5"/>
  <c r="K6732" i="5" s="1"/>
  <c r="T6731" i="5"/>
  <c r="J6731" i="5"/>
  <c r="K6731" i="5" s="1"/>
  <c r="T6730" i="5"/>
  <c r="J6730" i="5"/>
  <c r="T6729" i="5"/>
  <c r="J6729" i="5"/>
  <c r="K6729" i="5" s="1"/>
  <c r="L6729" i="5" s="1"/>
  <c r="P6729" i="5" s="1"/>
  <c r="T6728" i="5"/>
  <c r="J6728" i="5"/>
  <c r="T6727" i="5"/>
  <c r="J6727" i="5"/>
  <c r="K6727" i="5" s="1"/>
  <c r="L6727" i="5" s="1"/>
  <c r="P6727" i="5" s="1"/>
  <c r="T6726" i="5"/>
  <c r="J6726" i="5"/>
  <c r="T6725" i="5"/>
  <c r="J6725" i="5"/>
  <c r="K6725" i="5" s="1"/>
  <c r="L6725" i="5" s="1"/>
  <c r="T6724" i="5"/>
  <c r="J6724" i="5"/>
  <c r="K6724" i="5" s="1"/>
  <c r="T6723" i="5"/>
  <c r="J6723" i="5"/>
  <c r="T6722" i="5"/>
  <c r="J6722" i="5"/>
  <c r="K6722" i="5" s="1"/>
  <c r="T6721" i="5"/>
  <c r="J6721" i="5"/>
  <c r="T6720" i="5"/>
  <c r="J6720" i="5"/>
  <c r="T6719" i="5"/>
  <c r="J6719" i="5"/>
  <c r="T6718" i="5"/>
  <c r="J6718" i="5"/>
  <c r="K6718" i="5" s="1"/>
  <c r="T6717" i="5"/>
  <c r="J6717" i="5"/>
  <c r="K6717" i="5" s="1"/>
  <c r="T6716" i="5"/>
  <c r="J6716" i="5"/>
  <c r="K6716" i="5" s="1"/>
  <c r="L6716" i="5" s="1"/>
  <c r="T6715" i="5"/>
  <c r="J6715" i="5"/>
  <c r="K6715" i="5" s="1"/>
  <c r="L6715" i="5" s="1"/>
  <c r="T6714" i="5"/>
  <c r="J6714" i="5"/>
  <c r="K6714" i="5" s="1"/>
  <c r="T6713" i="5"/>
  <c r="J6713" i="5"/>
  <c r="T6712" i="5"/>
  <c r="J6712" i="5"/>
  <c r="K6712" i="5" s="1"/>
  <c r="T6711" i="5"/>
  <c r="J6711" i="5"/>
  <c r="K6711" i="5" s="1"/>
  <c r="T6710" i="5"/>
  <c r="J6710" i="5"/>
  <c r="T6709" i="5"/>
  <c r="J6709" i="5"/>
  <c r="T6708" i="5"/>
  <c r="J6708" i="5"/>
  <c r="T6707" i="5"/>
  <c r="J6707" i="5"/>
  <c r="K6707" i="5" s="1"/>
  <c r="T6706" i="5"/>
  <c r="J6706" i="5"/>
  <c r="T6705" i="5"/>
  <c r="J6705" i="5"/>
  <c r="K6705" i="5" s="1"/>
  <c r="T6704" i="5"/>
  <c r="J6704" i="5"/>
  <c r="K6704" i="5" s="1"/>
  <c r="L6704" i="5" s="1"/>
  <c r="T6703" i="5"/>
  <c r="J6703" i="5"/>
  <c r="T6702" i="5"/>
  <c r="J6702" i="5"/>
  <c r="T6701" i="5"/>
  <c r="J6701" i="5"/>
  <c r="K6701" i="5" s="1"/>
  <c r="T6700" i="5"/>
  <c r="J6700" i="5"/>
  <c r="K6700" i="5" s="1"/>
  <c r="T6699" i="5"/>
  <c r="J6699" i="5"/>
  <c r="T6698" i="5"/>
  <c r="J6698" i="5"/>
  <c r="K6698" i="5" s="1"/>
  <c r="T6697" i="5"/>
  <c r="J6697" i="5"/>
  <c r="K6697" i="5" s="1"/>
  <c r="T6696" i="5"/>
  <c r="J6696" i="5"/>
  <c r="K6696" i="5" s="1"/>
  <c r="T6695" i="5"/>
  <c r="J6695" i="5"/>
  <c r="T6694" i="5"/>
  <c r="J6694" i="5"/>
  <c r="K6694" i="5" s="1"/>
  <c r="T6693" i="5"/>
  <c r="J6693" i="5"/>
  <c r="K6693" i="5" s="1"/>
  <c r="T6692" i="5"/>
  <c r="J6692" i="5"/>
  <c r="K6692" i="5" s="1"/>
  <c r="T6691" i="5"/>
  <c r="J6691" i="5"/>
  <c r="K6691" i="5" s="1"/>
  <c r="L6691" i="5" s="1"/>
  <c r="T6690" i="5"/>
  <c r="J6690" i="5"/>
  <c r="K6690" i="5" s="1"/>
  <c r="T6689" i="5"/>
  <c r="J6689" i="5"/>
  <c r="K6689" i="5" s="1"/>
  <c r="T6688" i="5"/>
  <c r="J6688" i="5"/>
  <c r="K6688" i="5" s="1"/>
  <c r="L6688" i="5" s="1"/>
  <c r="T6687" i="5"/>
  <c r="J6687" i="5"/>
  <c r="K6687" i="5" s="1"/>
  <c r="T6686" i="5"/>
  <c r="J6686" i="5"/>
  <c r="T6685" i="5"/>
  <c r="J6685" i="5"/>
  <c r="T6684" i="5"/>
  <c r="J6684" i="5"/>
  <c r="K6684" i="5" s="1"/>
  <c r="T6683" i="5"/>
  <c r="J6683" i="5"/>
  <c r="K6683" i="5" s="1"/>
  <c r="T6682" i="5"/>
  <c r="J6682" i="5"/>
  <c r="K6682" i="5" s="1"/>
  <c r="T6681" i="5"/>
  <c r="J6681" i="5"/>
  <c r="K6681" i="5" s="1"/>
  <c r="L6681" i="5" s="1"/>
  <c r="T6680" i="5"/>
  <c r="J6680" i="5"/>
  <c r="K6680" i="5" s="1"/>
  <c r="L6680" i="5" s="1"/>
  <c r="T6679" i="5"/>
  <c r="J6679" i="5"/>
  <c r="K6679" i="5" s="1"/>
  <c r="T6678" i="5"/>
  <c r="J6678" i="5"/>
  <c r="T6677" i="5"/>
  <c r="J6677" i="5"/>
  <c r="T6676" i="5"/>
  <c r="J6676" i="5"/>
  <c r="K6676" i="5" s="1"/>
  <c r="T6675" i="5"/>
  <c r="J6675" i="5"/>
  <c r="T6674" i="5"/>
  <c r="J6674" i="5"/>
  <c r="K6674" i="5" s="1"/>
  <c r="T6673" i="5"/>
  <c r="J6673" i="5"/>
  <c r="K6673" i="5" s="1"/>
  <c r="T6672" i="5"/>
  <c r="J6672" i="5"/>
  <c r="T6671" i="5"/>
  <c r="J6671" i="5"/>
  <c r="T6670" i="5"/>
  <c r="J6670" i="5"/>
  <c r="T6669" i="5"/>
  <c r="J6669" i="5"/>
  <c r="B7015" i="5"/>
  <c r="Q7015" i="5" s="1"/>
  <c r="B7016" i="5"/>
  <c r="M7016" i="5" s="1"/>
  <c r="B7017" i="5"/>
  <c r="Q7017" i="5" s="1"/>
  <c r="B7014" i="5"/>
  <c r="M7014" i="5" s="1"/>
  <c r="B7011" i="5"/>
  <c r="Q7011" i="5" s="1"/>
  <c r="B7012" i="5"/>
  <c r="M7012" i="5" s="1"/>
  <c r="B7013" i="5"/>
  <c r="Q7013" i="5" s="1"/>
  <c r="B7009" i="5"/>
  <c r="Q7009" i="5" s="1"/>
  <c r="B7010" i="5"/>
  <c r="Q7010" i="5" s="1"/>
  <c r="B7008" i="5"/>
  <c r="Q7008" i="5" s="1"/>
  <c r="B7003" i="5"/>
  <c r="Q7003" i="5" s="1"/>
  <c r="B7004" i="5"/>
  <c r="Q7004" i="5" s="1"/>
  <c r="B7005" i="5"/>
  <c r="Q7005" i="5" s="1"/>
  <c r="B7006" i="5"/>
  <c r="Q7006" i="5" s="1"/>
  <c r="B7007" i="5"/>
  <c r="M7007" i="5" s="1"/>
  <c r="B6999" i="5"/>
  <c r="Q6999" i="5" s="1"/>
  <c r="B7000" i="5"/>
  <c r="M7000" i="5" s="1"/>
  <c r="B7001" i="5"/>
  <c r="Q7001" i="5" s="1"/>
  <c r="B7002" i="5"/>
  <c r="M7002" i="5" s="1"/>
  <c r="B6998" i="5"/>
  <c r="Q6998" i="5" s="1"/>
  <c r="B6996" i="5"/>
  <c r="Q6996" i="5" s="1"/>
  <c r="B6997" i="5"/>
  <c r="M6997" i="5" s="1"/>
  <c r="B6995" i="5"/>
  <c r="Q6995" i="5" s="1"/>
  <c r="B6993" i="5"/>
  <c r="M6993" i="5" s="1"/>
  <c r="B6994" i="5"/>
  <c r="Q6994" i="5" s="1"/>
  <c r="B6990" i="5"/>
  <c r="Q6990" i="5" s="1"/>
  <c r="B6991" i="5"/>
  <c r="Q6991" i="5" s="1"/>
  <c r="B6992" i="5"/>
  <c r="Q6992" i="5" s="1"/>
  <c r="B6986" i="5"/>
  <c r="M6986" i="5" s="1"/>
  <c r="B6987" i="5"/>
  <c r="Q6987" i="5" s="1"/>
  <c r="B6988" i="5"/>
  <c r="M6988" i="5" s="1"/>
  <c r="B6989" i="5"/>
  <c r="Q6989" i="5" s="1"/>
  <c r="B6985" i="5"/>
  <c r="Q6985" i="5" s="1"/>
  <c r="B6983" i="5"/>
  <c r="Q6983" i="5" s="1"/>
  <c r="B6984" i="5"/>
  <c r="Q6984" i="5" s="1"/>
  <c r="B6980" i="5"/>
  <c r="Q6980" i="5" s="1"/>
  <c r="B6981" i="5"/>
  <c r="Q6981" i="5" s="1"/>
  <c r="B6982" i="5"/>
  <c r="Q6982" i="5" s="1"/>
  <c r="B6979" i="5"/>
  <c r="Q6979" i="5" s="1"/>
  <c r="B6977" i="5"/>
  <c r="Q6977" i="5" s="1"/>
  <c r="B6978" i="5"/>
  <c r="Q6978" i="5" s="1"/>
  <c r="B6974" i="5"/>
  <c r="Q6974" i="5" s="1"/>
  <c r="B6975" i="5"/>
  <c r="Q6975" i="5" s="1"/>
  <c r="B6976" i="5"/>
  <c r="M6976" i="5" s="1"/>
  <c r="B6973" i="5"/>
  <c r="Q6973" i="5" s="1"/>
  <c r="B6971" i="5"/>
  <c r="Q6971" i="5" s="1"/>
  <c r="B6972" i="5"/>
  <c r="M6972" i="5" s="1"/>
  <c r="B6970" i="5"/>
  <c r="M6970" i="5" s="1"/>
  <c r="B6969" i="5"/>
  <c r="Q6969" i="5" s="1"/>
  <c r="B6966" i="5"/>
  <c r="Q6966" i="5" s="1"/>
  <c r="B6967" i="5"/>
  <c r="M6967" i="5" s="1"/>
  <c r="B6968" i="5"/>
  <c r="Q6968" i="5" s="1"/>
  <c r="B6964" i="5"/>
  <c r="M6964" i="5" s="1"/>
  <c r="B6965" i="5"/>
  <c r="Q6965" i="5" s="1"/>
  <c r="B6963" i="5"/>
  <c r="M6963" i="5" s="1"/>
  <c r="B6961" i="5"/>
  <c r="Q6961" i="5" s="1"/>
  <c r="B6962" i="5"/>
  <c r="Q6962" i="5" s="1"/>
  <c r="B6960" i="5"/>
  <c r="Q6960" i="5" s="1"/>
  <c r="B6956" i="5"/>
  <c r="Q6956" i="5" s="1"/>
  <c r="B6957" i="5"/>
  <c r="M6957" i="5" s="1"/>
  <c r="B6958" i="5"/>
  <c r="Q6958" i="5" s="1"/>
  <c r="B6959" i="5"/>
  <c r="M6959" i="5" s="1"/>
  <c r="B6953" i="5"/>
  <c r="M6953" i="5" s="1"/>
  <c r="B6954" i="5"/>
  <c r="M6954" i="5" s="1"/>
  <c r="B6955" i="5"/>
  <c r="Q6955" i="5" s="1"/>
  <c r="B6952" i="5"/>
  <c r="M6952" i="5" s="1"/>
  <c r="B6949" i="5"/>
  <c r="M6949" i="5" s="1"/>
  <c r="B6950" i="5"/>
  <c r="M6950" i="5" s="1"/>
  <c r="B6951" i="5"/>
  <c r="M6951" i="5" s="1"/>
  <c r="B6947" i="5"/>
  <c r="Q6947" i="5" s="1"/>
  <c r="B6948" i="5"/>
  <c r="Q6948" i="5" s="1"/>
  <c r="B6944" i="5"/>
  <c r="M6944" i="5" s="1"/>
  <c r="B6945" i="5"/>
  <c r="Q6945" i="5" s="1"/>
  <c r="B6946" i="5"/>
  <c r="M6946" i="5" s="1"/>
  <c r="B6943" i="5"/>
  <c r="M6943" i="5" s="1"/>
  <c r="B6940" i="5"/>
  <c r="Q6940" i="5" s="1"/>
  <c r="B6941" i="5"/>
  <c r="Q6941" i="5" s="1"/>
  <c r="B6942" i="5"/>
  <c r="Q6942" i="5" s="1"/>
  <c r="B6938" i="5"/>
  <c r="M6938" i="5" s="1"/>
  <c r="B6939" i="5"/>
  <c r="M6939" i="5" s="1"/>
  <c r="B6936" i="5"/>
  <c r="M6936" i="5" s="1"/>
  <c r="B6937" i="5"/>
  <c r="Q6937" i="5" s="1"/>
  <c r="B6934" i="5"/>
  <c r="Q6934" i="5" s="1"/>
  <c r="B6935" i="5"/>
  <c r="Q6935" i="5" s="1"/>
  <c r="B6931" i="5"/>
  <c r="M6931" i="5" s="1"/>
  <c r="B6932" i="5"/>
  <c r="M6932" i="5" s="1"/>
  <c r="B6933" i="5"/>
  <c r="Q6933" i="5" s="1"/>
  <c r="B6929" i="5"/>
  <c r="Q6929" i="5" s="1"/>
  <c r="B6930" i="5"/>
  <c r="Q6930" i="5" s="1"/>
  <c r="B6926" i="5"/>
  <c r="Q6926" i="5" s="1"/>
  <c r="B6927" i="5"/>
  <c r="M6927" i="5" s="1"/>
  <c r="B6928" i="5"/>
  <c r="M6928" i="5" s="1"/>
  <c r="B6924" i="5"/>
  <c r="M6924" i="5" s="1"/>
  <c r="B6925" i="5"/>
  <c r="M6925" i="5" s="1"/>
  <c r="B6922" i="5"/>
  <c r="Q6922" i="5" s="1"/>
  <c r="B6923" i="5"/>
  <c r="Q6923" i="5" s="1"/>
  <c r="B6921" i="5"/>
  <c r="M6921" i="5" s="1"/>
  <c r="B6920" i="5"/>
  <c r="Q6920" i="5" s="1"/>
  <c r="B6919" i="5"/>
  <c r="M6919" i="5" s="1"/>
  <c r="B6917" i="5"/>
  <c r="Q6917" i="5" s="1"/>
  <c r="B6918" i="5"/>
  <c r="M6918" i="5" s="1"/>
  <c r="B6916" i="5"/>
  <c r="Q6916" i="5" s="1"/>
  <c r="B6914" i="5"/>
  <c r="M6914" i="5" s="1"/>
  <c r="B6915" i="5"/>
  <c r="M6915" i="5" s="1"/>
  <c r="B6912" i="5"/>
  <c r="Q6912" i="5" s="1"/>
  <c r="B6913" i="5"/>
  <c r="M6913" i="5" s="1"/>
  <c r="B6911" i="5"/>
  <c r="M6911" i="5" s="1"/>
  <c r="B6909" i="5"/>
  <c r="Q6909" i="5" s="1"/>
  <c r="B6910" i="5"/>
  <c r="Q6910" i="5" s="1"/>
  <c r="B6905" i="5"/>
  <c r="M6905" i="5" s="1"/>
  <c r="B6906" i="5"/>
  <c r="Q6906" i="5" s="1"/>
  <c r="B6907" i="5"/>
  <c r="M6907" i="5" s="1"/>
  <c r="B6908" i="5"/>
  <c r="M6908" i="5" s="1"/>
  <c r="B6903" i="5"/>
  <c r="Q6903" i="5" s="1"/>
  <c r="B6904" i="5"/>
  <c r="M6904" i="5" s="1"/>
  <c r="B6900" i="5"/>
  <c r="M6900" i="5" s="1"/>
  <c r="B6901" i="5"/>
  <c r="M6901" i="5" s="1"/>
  <c r="B6902" i="5"/>
  <c r="Q6902" i="5" s="1"/>
  <c r="B6897" i="5"/>
  <c r="M6897" i="5" s="1"/>
  <c r="B6898" i="5"/>
  <c r="Q6898" i="5" s="1"/>
  <c r="B6899" i="5"/>
  <c r="Q6899" i="5" s="1"/>
  <c r="B6895" i="5"/>
  <c r="Q6895" i="5" s="1"/>
  <c r="B6896" i="5"/>
  <c r="Q6896" i="5" s="1"/>
  <c r="B6894" i="5"/>
  <c r="M6894" i="5" s="1"/>
  <c r="B6891" i="5"/>
  <c r="Q6891" i="5" s="1"/>
  <c r="B6892" i="5"/>
  <c r="Q6892" i="5" s="1"/>
  <c r="B6893" i="5"/>
  <c r="Q6893" i="5" s="1"/>
  <c r="B6886" i="5"/>
  <c r="Q6886" i="5" s="1"/>
  <c r="B6887" i="5"/>
  <c r="Q6887" i="5" s="1"/>
  <c r="B6888" i="5"/>
  <c r="Q6888" i="5" s="1"/>
  <c r="B6889" i="5"/>
  <c r="Q6889" i="5" s="1"/>
  <c r="B6890" i="5"/>
  <c r="M6890" i="5" s="1"/>
  <c r="B6883" i="5"/>
  <c r="Q6883" i="5" s="1"/>
  <c r="B6884" i="5"/>
  <c r="M6884" i="5" s="1"/>
  <c r="B6885" i="5"/>
  <c r="M6885" i="5" s="1"/>
  <c r="B6881" i="5"/>
  <c r="Q6881" i="5" s="1"/>
  <c r="B6882" i="5"/>
  <c r="Q6882" i="5" s="1"/>
  <c r="B6877" i="5"/>
  <c r="Q6877" i="5" s="1"/>
  <c r="B6878" i="5"/>
  <c r="M6878" i="5" s="1"/>
  <c r="B6879" i="5"/>
  <c r="Q6879" i="5" s="1"/>
  <c r="B6880" i="5"/>
  <c r="M6880" i="5" s="1"/>
  <c r="B6875" i="5"/>
  <c r="Q6875" i="5" s="1"/>
  <c r="B6876" i="5"/>
  <c r="Q6876" i="5" s="1"/>
  <c r="B6873" i="5"/>
  <c r="M6873" i="5" s="1"/>
  <c r="B6874" i="5"/>
  <c r="M6874" i="5" s="1"/>
  <c r="B6870" i="5"/>
  <c r="M6870" i="5" s="1"/>
  <c r="B6871" i="5"/>
  <c r="M6871" i="5" s="1"/>
  <c r="B6872" i="5"/>
  <c r="Q6872" i="5" s="1"/>
  <c r="B6869" i="5"/>
  <c r="Q6869" i="5" s="1"/>
  <c r="B6867" i="5"/>
  <c r="M6867" i="5" s="1"/>
  <c r="B6868" i="5"/>
  <c r="Q6868" i="5" s="1"/>
  <c r="B6866" i="5"/>
  <c r="Q6866" i="5" s="1"/>
  <c r="B6864" i="5"/>
  <c r="M6864" i="5" s="1"/>
  <c r="B6865" i="5"/>
  <c r="Q6865" i="5" s="1"/>
  <c r="B6863" i="5"/>
  <c r="Q6863" i="5" s="1"/>
  <c r="B6862" i="5"/>
  <c r="Q6862" i="5" s="1"/>
  <c r="B6860" i="5"/>
  <c r="M6860" i="5" s="1"/>
  <c r="B6861" i="5"/>
  <c r="M6861" i="5" s="1"/>
  <c r="B6858" i="5"/>
  <c r="Q6858" i="5" s="1"/>
  <c r="B6859" i="5"/>
  <c r="M6859" i="5" s="1"/>
  <c r="B6856" i="5"/>
  <c r="M6856" i="5" s="1"/>
  <c r="B6857" i="5"/>
  <c r="M6857" i="5" s="1"/>
  <c r="B6853" i="5"/>
  <c r="M6853" i="5" s="1"/>
  <c r="B6854" i="5"/>
  <c r="Q6854" i="5" s="1"/>
  <c r="B6855" i="5"/>
  <c r="Q6855" i="5" s="1"/>
  <c r="B6849" i="5"/>
  <c r="Q6849" i="5" s="1"/>
  <c r="B6850" i="5"/>
  <c r="M6850" i="5" s="1"/>
  <c r="B6851" i="5"/>
  <c r="M6851" i="5" s="1"/>
  <c r="B6852" i="5"/>
  <c r="Q6852" i="5" s="1"/>
  <c r="B6847" i="5"/>
  <c r="Q6847" i="5" s="1"/>
  <c r="B6848" i="5"/>
  <c r="Q6848" i="5" s="1"/>
  <c r="B6844" i="5"/>
  <c r="Q6844" i="5" s="1"/>
  <c r="B6845" i="5"/>
  <c r="M6845" i="5" s="1"/>
  <c r="B6846" i="5"/>
  <c r="M6846" i="5" s="1"/>
  <c r="B6840" i="5"/>
  <c r="M6840" i="5" s="1"/>
  <c r="B6841" i="5"/>
  <c r="Q6841" i="5" s="1"/>
  <c r="B6842" i="5"/>
  <c r="Q6842" i="5" s="1"/>
  <c r="B6843" i="5"/>
  <c r="M6843" i="5" s="1"/>
  <c r="B6838" i="5"/>
  <c r="Q6838" i="5" s="1"/>
  <c r="B6839" i="5"/>
  <c r="M6839" i="5" s="1"/>
  <c r="B6837" i="5"/>
  <c r="M6837" i="5" s="1"/>
  <c r="B6836" i="5"/>
  <c r="M6836" i="5" s="1"/>
  <c r="B6834" i="5"/>
  <c r="Q6834" i="5" s="1"/>
  <c r="B6835" i="5"/>
  <c r="Q6835" i="5" s="1"/>
  <c r="B6832" i="5"/>
  <c r="Q6832" i="5" s="1"/>
  <c r="B6833" i="5"/>
  <c r="M6833" i="5" s="1"/>
  <c r="B6829" i="5"/>
  <c r="Q6829" i="5" s="1"/>
  <c r="B6830" i="5"/>
  <c r="M6830" i="5" s="1"/>
  <c r="B6831" i="5"/>
  <c r="M6831" i="5" s="1"/>
  <c r="B6826" i="5"/>
  <c r="Q6826" i="5" s="1"/>
  <c r="B6827" i="5"/>
  <c r="M6827" i="5" s="1"/>
  <c r="B6828" i="5"/>
  <c r="Q6828" i="5" s="1"/>
  <c r="B6824" i="5"/>
  <c r="M6824" i="5" s="1"/>
  <c r="B6825" i="5"/>
  <c r="Q6825" i="5" s="1"/>
  <c r="B6822" i="5"/>
  <c r="Q6822" i="5" s="1"/>
  <c r="B6823" i="5"/>
  <c r="Q6823" i="5" s="1"/>
  <c r="B6818" i="5"/>
  <c r="Q6818" i="5" s="1"/>
  <c r="B6819" i="5"/>
  <c r="Q6819" i="5" s="1"/>
  <c r="B6820" i="5"/>
  <c r="M6820" i="5" s="1"/>
  <c r="B6821" i="5"/>
  <c r="M6821" i="5" s="1"/>
  <c r="B6817" i="5"/>
  <c r="Q6817" i="5" s="1"/>
  <c r="B6814" i="5"/>
  <c r="Q6814" i="5" s="1"/>
  <c r="B6815" i="5"/>
  <c r="Q6815" i="5" s="1"/>
  <c r="B6816" i="5"/>
  <c r="M6816" i="5" s="1"/>
  <c r="B6813" i="5"/>
  <c r="Q6813" i="5" s="1"/>
  <c r="B6809" i="5"/>
  <c r="M6809" i="5" s="1"/>
  <c r="B6810" i="5"/>
  <c r="Q6810" i="5" s="1"/>
  <c r="B6811" i="5"/>
  <c r="Q6811" i="5" s="1"/>
  <c r="B6812" i="5"/>
  <c r="Q6812" i="5" s="1"/>
  <c r="B6806" i="5"/>
  <c r="M6806" i="5" s="1"/>
  <c r="B6807" i="5"/>
  <c r="M6807" i="5" s="1"/>
  <c r="B6808" i="5"/>
  <c r="M6808" i="5" s="1"/>
  <c r="B6803" i="5"/>
  <c r="M6803" i="5" s="1"/>
  <c r="B6804" i="5"/>
  <c r="Q6804" i="5" s="1"/>
  <c r="B6805" i="5"/>
  <c r="Q6805" i="5" s="1"/>
  <c r="B6801" i="5"/>
  <c r="Q6801" i="5" s="1"/>
  <c r="B6802" i="5"/>
  <c r="M6802" i="5" s="1"/>
  <c r="B6799" i="5"/>
  <c r="Q6799" i="5" s="1"/>
  <c r="B6800" i="5"/>
  <c r="Q6800" i="5" s="1"/>
  <c r="B6795" i="5"/>
  <c r="Q6795" i="5" s="1"/>
  <c r="B6796" i="5"/>
  <c r="M6796" i="5" s="1"/>
  <c r="B6797" i="5"/>
  <c r="M6797" i="5" s="1"/>
  <c r="B6798" i="5"/>
  <c r="M6798" i="5" s="1"/>
  <c r="B6792" i="5"/>
  <c r="Q6792" i="5" s="1"/>
  <c r="B6793" i="5"/>
  <c r="Q6793" i="5" s="1"/>
  <c r="B6794" i="5"/>
  <c r="M6794" i="5" s="1"/>
  <c r="B6789" i="5"/>
  <c r="Q6789" i="5" s="1"/>
  <c r="B6790" i="5"/>
  <c r="M6790" i="5" s="1"/>
  <c r="B6791" i="5"/>
  <c r="Q6791" i="5" s="1"/>
  <c r="B6788" i="5"/>
  <c r="Q6788" i="5" s="1"/>
  <c r="B6786" i="5"/>
  <c r="Q6786" i="5" s="1"/>
  <c r="B6787" i="5"/>
  <c r="Q6787" i="5" s="1"/>
  <c r="B6785" i="5"/>
  <c r="M6785" i="5" s="1"/>
  <c r="B6780" i="5"/>
  <c r="Q6780" i="5" s="1"/>
  <c r="B6781" i="5"/>
  <c r="M6781" i="5" s="1"/>
  <c r="B6782" i="5"/>
  <c r="Q6782" i="5" s="1"/>
  <c r="B6783" i="5"/>
  <c r="M6783" i="5" s="1"/>
  <c r="B6784" i="5"/>
  <c r="M6784" i="5" s="1"/>
  <c r="B6775" i="5"/>
  <c r="Q6775" i="5" s="1"/>
  <c r="B6776" i="5"/>
  <c r="M6776" i="5" s="1"/>
  <c r="B6777" i="5"/>
  <c r="Q6777" i="5" s="1"/>
  <c r="B6778" i="5"/>
  <c r="Q6778" i="5" s="1"/>
  <c r="B6779" i="5"/>
  <c r="Q6779" i="5" s="1"/>
  <c r="B6774" i="5"/>
  <c r="M6774" i="5" s="1"/>
  <c r="B6773" i="5"/>
  <c r="M6773" i="5" s="1"/>
  <c r="B6772" i="5"/>
  <c r="Q6772" i="5" s="1"/>
  <c r="B6770" i="5"/>
  <c r="M6770" i="5" s="1"/>
  <c r="B6771" i="5"/>
  <c r="M6771" i="5" s="1"/>
  <c r="B6768" i="5"/>
  <c r="M6768" i="5" s="1"/>
  <c r="B6769" i="5"/>
  <c r="M6769" i="5" s="1"/>
  <c r="B6767" i="5"/>
  <c r="Q6767" i="5" s="1"/>
  <c r="B6766" i="5"/>
  <c r="M6766" i="5" s="1"/>
  <c r="B6765" i="5"/>
  <c r="Q6765" i="5" s="1"/>
  <c r="B6763" i="5"/>
  <c r="M6763" i="5" s="1"/>
  <c r="B6764" i="5"/>
  <c r="Q6764" i="5" s="1"/>
  <c r="B6762" i="5"/>
  <c r="M6762" i="5" s="1"/>
  <c r="B6761" i="5"/>
  <c r="M6761" i="5" s="1"/>
  <c r="B6759" i="5"/>
  <c r="Q6759" i="5" s="1"/>
  <c r="B6760" i="5"/>
  <c r="M6760" i="5" s="1"/>
  <c r="B6755" i="5"/>
  <c r="M6755" i="5" s="1"/>
  <c r="B6756" i="5"/>
  <c r="Q6756" i="5" s="1"/>
  <c r="B6757" i="5"/>
  <c r="Q6757" i="5" s="1"/>
  <c r="B6758" i="5"/>
  <c r="Q6758" i="5" s="1"/>
  <c r="B6754" i="5"/>
  <c r="Q6754" i="5" s="1"/>
  <c r="B6751" i="5"/>
  <c r="Q6751" i="5" s="1"/>
  <c r="B6752" i="5"/>
  <c r="Q6752" i="5" s="1"/>
  <c r="B6753" i="5"/>
  <c r="Q6753" i="5" s="1"/>
  <c r="B6750" i="5"/>
  <c r="Q6750" i="5" s="1"/>
  <c r="B6749" i="5"/>
  <c r="M6749" i="5" s="1"/>
  <c r="B6746" i="5"/>
  <c r="Q6746" i="5" s="1"/>
  <c r="B6747" i="5"/>
  <c r="M6747" i="5" s="1"/>
  <c r="B6748" i="5"/>
  <c r="M6748" i="5" s="1"/>
  <c r="B6743" i="5"/>
  <c r="Q6743" i="5" s="1"/>
  <c r="B6744" i="5"/>
  <c r="Q6744" i="5" s="1"/>
  <c r="B6745" i="5"/>
  <c r="M6745" i="5" s="1"/>
  <c r="B6741" i="5"/>
  <c r="M6741" i="5" s="1"/>
  <c r="B6742" i="5"/>
  <c r="Q6742" i="5" s="1"/>
  <c r="B6739" i="5"/>
  <c r="Q6739" i="5" s="1"/>
  <c r="B6740" i="5"/>
  <c r="Q6740" i="5" s="1"/>
  <c r="B6738" i="5"/>
  <c r="Q6738" i="5" s="1"/>
  <c r="B6734" i="5"/>
  <c r="M6734" i="5" s="1"/>
  <c r="B6735" i="5"/>
  <c r="M6735" i="5" s="1"/>
  <c r="B6736" i="5"/>
  <c r="M6736" i="5" s="1"/>
  <c r="B6737" i="5"/>
  <c r="M6737" i="5" s="1"/>
  <c r="B6731" i="5"/>
  <c r="Q6731" i="5" s="1"/>
  <c r="B6732" i="5"/>
  <c r="Q6732" i="5" s="1"/>
  <c r="B6733" i="5"/>
  <c r="Q6733" i="5" s="1"/>
  <c r="B6729" i="5"/>
  <c r="Q6729" i="5" s="1"/>
  <c r="B6730" i="5"/>
  <c r="Q6730" i="5" s="1"/>
  <c r="B6727" i="5"/>
  <c r="Q6727" i="5" s="1"/>
  <c r="B6728" i="5"/>
  <c r="M6728" i="5" s="1"/>
  <c r="B6726" i="5"/>
  <c r="M6726" i="5" s="1"/>
  <c r="B6723" i="5"/>
  <c r="Q6723" i="5" s="1"/>
  <c r="B6724" i="5"/>
  <c r="Q6724" i="5" s="1"/>
  <c r="B6725" i="5"/>
  <c r="Q6725" i="5" s="1"/>
  <c r="B6722" i="5"/>
  <c r="Q6722" i="5" s="1"/>
  <c r="B6718" i="5"/>
  <c r="Q6718" i="5" s="1"/>
  <c r="B6719" i="5"/>
  <c r="M6719" i="5" s="1"/>
  <c r="B6720" i="5"/>
  <c r="M6720" i="5" s="1"/>
  <c r="B6721" i="5"/>
  <c r="Q6721" i="5" s="1"/>
  <c r="B6716" i="5"/>
  <c r="M6716" i="5" s="1"/>
  <c r="B6717" i="5"/>
  <c r="Q6717" i="5" s="1"/>
  <c r="B6714" i="5"/>
  <c r="Q6714" i="5" s="1"/>
  <c r="B6715" i="5"/>
  <c r="Q6715" i="5" s="1"/>
  <c r="B6712" i="5"/>
  <c r="Q6712" i="5" s="1"/>
  <c r="B6713" i="5"/>
  <c r="Q6713" i="5" s="1"/>
  <c r="B6711" i="5"/>
  <c r="Q6711" i="5" s="1"/>
  <c r="B6710" i="5"/>
  <c r="Q6710" i="5" s="1"/>
  <c r="B6707" i="5"/>
  <c r="Q6707" i="5" s="1"/>
  <c r="B6708" i="5"/>
  <c r="Q6708" i="5" s="1"/>
  <c r="B6709" i="5"/>
  <c r="Q6709" i="5" s="1"/>
  <c r="B6704" i="5"/>
  <c r="Q6704" i="5" s="1"/>
  <c r="B6705" i="5"/>
  <c r="Q6705" i="5" s="1"/>
  <c r="B6706" i="5"/>
  <c r="Q6706" i="5" s="1"/>
  <c r="B6702" i="5"/>
  <c r="Q6702" i="5" s="1"/>
  <c r="B6703" i="5"/>
  <c r="Q6703" i="5" s="1"/>
  <c r="B6697" i="5"/>
  <c r="Q6697" i="5" s="1"/>
  <c r="B6698" i="5"/>
  <c r="Q6698" i="5" s="1"/>
  <c r="B6699" i="5"/>
  <c r="M6699" i="5" s="1"/>
  <c r="B6700" i="5"/>
  <c r="Q6700" i="5" s="1"/>
  <c r="B6701" i="5"/>
  <c r="Q6701" i="5" s="1"/>
  <c r="B6695" i="5"/>
  <c r="Q6695" i="5" s="1"/>
  <c r="B6696" i="5"/>
  <c r="Q6696" i="5" s="1"/>
  <c r="B6689" i="5"/>
  <c r="Q6689" i="5" s="1"/>
  <c r="B6690" i="5"/>
  <c r="Q6690" i="5" s="1"/>
  <c r="B6691" i="5"/>
  <c r="M6691" i="5" s="1"/>
  <c r="B6692" i="5"/>
  <c r="Q6692" i="5" s="1"/>
  <c r="B6693" i="5"/>
  <c r="Q6693" i="5" s="1"/>
  <c r="B6694" i="5"/>
  <c r="Q6694" i="5" s="1"/>
  <c r="B6688" i="5"/>
  <c r="Q6688" i="5" s="1"/>
  <c r="B6677" i="5"/>
  <c r="Q6677" i="5" s="1"/>
  <c r="B6678" i="5"/>
  <c r="Q6678" i="5" s="1"/>
  <c r="B6679" i="5"/>
  <c r="Q6679" i="5" s="1"/>
  <c r="B6680" i="5"/>
  <c r="Q6680" i="5" s="1"/>
  <c r="B6681" i="5"/>
  <c r="Q6681" i="5" s="1"/>
  <c r="B6682" i="5"/>
  <c r="Q6682" i="5" s="1"/>
  <c r="B6683" i="5"/>
  <c r="Q6683" i="5" s="1"/>
  <c r="B6684" i="5"/>
  <c r="Q6684" i="5" s="1"/>
  <c r="B6685" i="5"/>
  <c r="Q6685" i="5" s="1"/>
  <c r="B6686" i="5"/>
  <c r="Q6686" i="5" s="1"/>
  <c r="B6687" i="5"/>
  <c r="Q6687" i="5" s="1"/>
  <c r="B6669" i="5"/>
  <c r="Q6669" i="5" s="1"/>
  <c r="B6670" i="5"/>
  <c r="Q6670" i="5" s="1"/>
  <c r="B6671" i="5"/>
  <c r="Q6671" i="5" s="1"/>
  <c r="B6672" i="5"/>
  <c r="M6672" i="5" s="1"/>
  <c r="B6673" i="5"/>
  <c r="Q6673" i="5" s="1"/>
  <c r="B6674" i="5"/>
  <c r="Q6674" i="5" s="1"/>
  <c r="B6675" i="5"/>
  <c r="Q6675" i="5" s="1"/>
  <c r="B6676" i="5"/>
  <c r="Q6676" i="5" s="1"/>
  <c r="O7201" i="5" l="1"/>
  <c r="U7201" i="5"/>
  <c r="V7201" i="5" s="1"/>
  <c r="U7226" i="5"/>
  <c r="V7226" i="5" s="1"/>
  <c r="AD78" i="6"/>
  <c r="AE78" i="6" s="1"/>
  <c r="AD108" i="6"/>
  <c r="AE108" i="6" s="1"/>
  <c r="AD131" i="6"/>
  <c r="AE131" i="6" s="1"/>
  <c r="AD109" i="6"/>
  <c r="AE109" i="6" s="1"/>
  <c r="AD92" i="6"/>
  <c r="AE92" i="6" s="1"/>
  <c r="AD21" i="6"/>
  <c r="AE21" i="6" s="1"/>
  <c r="AD95" i="6"/>
  <c r="AE95" i="6" s="1"/>
  <c r="AD18" i="6"/>
  <c r="AE18" i="6" s="1"/>
  <c r="AD67" i="6"/>
  <c r="AE67" i="6" s="1"/>
  <c r="AD98" i="6"/>
  <c r="AE98" i="6" s="1"/>
  <c r="AD68" i="6"/>
  <c r="AE68" i="6" s="1"/>
  <c r="AD12" i="6"/>
  <c r="AE12" i="6" s="1"/>
  <c r="AD13" i="6"/>
  <c r="AE13" i="6" s="1"/>
  <c r="AD114" i="6"/>
  <c r="AE114" i="6" s="1"/>
  <c r="AD146" i="6"/>
  <c r="AE146" i="6" s="1"/>
  <c r="AD80" i="6"/>
  <c r="AE80" i="6" s="1"/>
  <c r="AD35" i="6"/>
  <c r="AE35" i="6" s="1"/>
  <c r="AD53" i="6"/>
  <c r="AE53" i="6" s="1"/>
  <c r="AD144" i="6"/>
  <c r="AE144" i="6" s="1"/>
  <c r="AD46" i="6"/>
  <c r="AE46" i="6" s="1"/>
  <c r="AD15" i="6"/>
  <c r="AE15" i="6" s="1"/>
  <c r="AD128" i="6"/>
  <c r="AE128" i="6" s="1"/>
  <c r="AD97" i="6"/>
  <c r="AE97" i="6" s="1"/>
  <c r="AD30" i="6"/>
  <c r="AE30" i="6" s="1"/>
  <c r="AD50" i="6"/>
  <c r="AE50" i="6" s="1"/>
  <c r="AD133" i="6"/>
  <c r="AE133" i="6" s="1"/>
  <c r="AD149" i="6"/>
  <c r="AE149" i="6" s="1"/>
  <c r="AD20" i="6"/>
  <c r="AE20" i="6" s="1"/>
  <c r="AD33" i="6"/>
  <c r="AE33" i="6" s="1"/>
  <c r="AD158" i="6"/>
  <c r="AE158" i="6" s="1"/>
  <c r="AD37" i="6"/>
  <c r="AE37" i="6" s="1"/>
  <c r="AD132" i="6"/>
  <c r="AE132" i="6" s="1"/>
  <c r="AD113" i="6"/>
  <c r="AE113" i="6" s="1"/>
  <c r="AD17" i="6"/>
  <c r="AE17" i="6" s="1"/>
  <c r="AD124" i="6"/>
  <c r="AE124" i="6" s="1"/>
  <c r="AD51" i="6"/>
  <c r="AE51" i="6" s="1"/>
  <c r="AD96" i="6"/>
  <c r="AE96" i="6" s="1"/>
  <c r="AD148" i="6"/>
  <c r="AE148" i="6" s="1"/>
  <c r="AD156" i="6"/>
  <c r="AE156" i="6" s="1"/>
  <c r="AD32" i="6"/>
  <c r="AE32" i="6" s="1"/>
  <c r="AD47" i="6"/>
  <c r="AE47" i="6" s="1"/>
  <c r="AD99" i="6"/>
  <c r="AE99" i="6" s="1"/>
  <c r="AD76" i="6"/>
  <c r="AE76" i="6" s="1"/>
  <c r="AD52" i="6"/>
  <c r="AE52" i="6" s="1"/>
  <c r="AD81" i="6"/>
  <c r="AE81" i="6" s="1"/>
  <c r="AD117" i="6"/>
  <c r="AE117" i="6" s="1"/>
  <c r="AD48" i="6"/>
  <c r="AE48" i="6" s="1"/>
  <c r="AD85" i="6"/>
  <c r="AE85" i="6" s="1"/>
  <c r="AD125" i="6"/>
  <c r="AE125" i="6" s="1"/>
  <c r="AD49" i="6"/>
  <c r="AE49" i="6" s="1"/>
  <c r="AD100" i="6"/>
  <c r="AE100" i="6" s="1"/>
  <c r="AD77" i="6"/>
  <c r="AE77" i="6" s="1"/>
  <c r="AD59" i="6"/>
  <c r="AE59" i="6" s="1"/>
  <c r="AD69" i="6"/>
  <c r="AE69" i="6" s="1"/>
  <c r="AD79" i="6"/>
  <c r="AE79" i="6" s="1"/>
  <c r="AD34" i="6"/>
  <c r="AE34" i="6" s="1"/>
  <c r="AD44" i="6"/>
  <c r="AE44" i="6" s="1"/>
  <c r="AD82" i="6"/>
  <c r="AE82" i="6" s="1"/>
  <c r="AD66" i="6"/>
  <c r="AE66" i="6" s="1"/>
  <c r="AD60" i="6"/>
  <c r="AE60" i="6" s="1"/>
  <c r="AD145" i="6"/>
  <c r="AE145" i="6" s="1"/>
  <c r="AD89" i="6"/>
  <c r="AE89" i="6" s="1"/>
  <c r="AD55" i="6"/>
  <c r="AE55" i="6" s="1"/>
  <c r="AD154" i="6"/>
  <c r="AE154" i="6" s="1"/>
  <c r="AD91" i="6"/>
  <c r="AE91" i="6" s="1"/>
  <c r="AD73" i="6"/>
  <c r="AE73" i="6" s="1"/>
  <c r="AD93" i="6"/>
  <c r="AE93" i="6" s="1"/>
  <c r="AD84" i="6"/>
  <c r="AE84" i="6" s="1"/>
  <c r="AD143" i="6"/>
  <c r="AE143" i="6" s="1"/>
  <c r="AD115" i="6"/>
  <c r="AE115" i="6" s="1"/>
  <c r="AD116" i="6"/>
  <c r="AE116" i="6" s="1"/>
  <c r="AD110" i="6"/>
  <c r="AE110" i="6" s="1"/>
  <c r="AD159" i="6"/>
  <c r="AE159" i="6" s="1"/>
  <c r="AD19" i="6"/>
  <c r="AE19" i="6" s="1"/>
  <c r="AD112" i="6"/>
  <c r="AE112" i="6" s="1"/>
  <c r="AD129" i="6"/>
  <c r="AE129" i="6" s="1"/>
  <c r="AD126" i="6"/>
  <c r="AE126" i="6" s="1"/>
  <c r="AD142" i="6"/>
  <c r="AE142" i="6" s="1"/>
  <c r="AD157" i="6"/>
  <c r="AE157" i="6" s="1"/>
  <c r="AD83" i="6"/>
  <c r="AE83" i="6" s="1"/>
  <c r="AD141" i="6"/>
  <c r="AE141" i="6" s="1"/>
  <c r="AD29" i="6"/>
  <c r="AE29" i="6" s="1"/>
  <c r="AD140" i="6"/>
  <c r="AE140" i="6" s="1"/>
  <c r="AD101" i="6"/>
  <c r="AE101" i="6" s="1"/>
  <c r="AD31" i="6"/>
  <c r="AE31" i="6" s="1"/>
  <c r="AD94" i="6"/>
  <c r="AE94" i="6" s="1"/>
  <c r="AD127" i="6"/>
  <c r="AE127" i="6" s="1"/>
  <c r="AD36" i="6"/>
  <c r="AE36" i="6" s="1"/>
  <c r="AD14" i="6"/>
  <c r="AE14" i="6" s="1"/>
  <c r="AD130" i="6"/>
  <c r="AE130" i="6" s="1"/>
  <c r="AD65" i="6"/>
  <c r="AE65" i="6" s="1"/>
  <c r="AD111" i="6"/>
  <c r="AE111" i="6" s="1"/>
  <c r="AD16" i="6"/>
  <c r="AE16" i="6" s="1"/>
  <c r="AD151" i="6"/>
  <c r="AE151" i="6" s="1"/>
  <c r="AD86" i="6"/>
  <c r="AE86" i="6" s="1"/>
  <c r="AD57" i="6"/>
  <c r="AE57" i="6" s="1"/>
  <c r="AD22" i="6"/>
  <c r="AE22" i="6" s="1"/>
  <c r="AD88" i="6"/>
  <c r="AE88" i="6" s="1"/>
  <c r="AD87" i="6"/>
  <c r="AE87" i="6" s="1"/>
  <c r="AD23" i="6"/>
  <c r="AE23" i="6" s="1"/>
  <c r="AD75" i="6"/>
  <c r="AE75" i="6" s="1"/>
  <c r="AD24" i="6"/>
  <c r="AE24" i="6" s="1"/>
  <c r="AD71" i="6"/>
  <c r="AE71" i="6" s="1"/>
  <c r="AD42" i="6"/>
  <c r="AE42" i="6" s="1"/>
  <c r="AD152" i="6"/>
  <c r="AE152" i="6" s="1"/>
  <c r="AD43" i="6"/>
  <c r="AE43" i="6" s="1"/>
  <c r="AD90" i="6"/>
  <c r="AE90" i="6" s="1"/>
  <c r="AD107" i="6"/>
  <c r="AE107" i="6" s="1"/>
  <c r="AD26" i="6"/>
  <c r="AE26" i="6" s="1"/>
  <c r="AD120" i="6"/>
  <c r="AE120" i="6" s="1"/>
  <c r="AD41" i="6"/>
  <c r="AE41" i="6" s="1"/>
  <c r="AD102" i="6"/>
  <c r="AE102" i="6" s="1"/>
  <c r="AD139" i="6"/>
  <c r="AE139" i="6" s="1"/>
  <c r="AD25" i="6"/>
  <c r="AE25" i="6" s="1"/>
  <c r="AD104" i="6"/>
  <c r="AE104" i="6" s="1"/>
  <c r="AD119" i="6"/>
  <c r="AE119" i="6" s="1"/>
  <c r="AD54" i="6"/>
  <c r="AE54" i="6" s="1"/>
  <c r="AD72" i="6"/>
  <c r="AE72" i="6" s="1"/>
  <c r="AD118" i="6"/>
  <c r="AE118" i="6" s="1"/>
  <c r="AD121" i="6"/>
  <c r="AE121" i="6" s="1"/>
  <c r="AD58" i="6"/>
  <c r="AE58" i="6" s="1"/>
  <c r="AD45" i="6"/>
  <c r="AE45" i="6" s="1"/>
  <c r="AD74" i="6"/>
  <c r="AE74" i="6" s="1"/>
  <c r="AD103" i="6"/>
  <c r="AE103" i="6" s="1"/>
  <c r="AD155" i="6"/>
  <c r="AE155" i="6" s="1"/>
  <c r="AD39" i="6"/>
  <c r="AE39" i="6" s="1"/>
  <c r="AD40" i="6"/>
  <c r="AE40" i="6" s="1"/>
  <c r="AD106" i="6"/>
  <c r="AE106" i="6" s="1"/>
  <c r="AD136" i="6"/>
  <c r="AE136" i="6" s="1"/>
  <c r="AD123" i="6"/>
  <c r="AE123" i="6" s="1"/>
  <c r="AD134" i="6"/>
  <c r="AE134" i="6" s="1"/>
  <c r="AD11" i="6"/>
  <c r="AE11" i="6" s="1"/>
  <c r="AD138" i="6"/>
  <c r="AE138" i="6" s="1"/>
  <c r="AD27" i="6"/>
  <c r="AE27" i="6" s="1"/>
  <c r="AD150" i="6"/>
  <c r="AE150" i="6" s="1"/>
  <c r="AD38" i="6"/>
  <c r="AE38" i="6" s="1"/>
  <c r="AD122" i="6"/>
  <c r="AE122" i="6" s="1"/>
  <c r="AD147" i="6"/>
  <c r="AE147" i="6" s="1"/>
  <c r="AD153" i="6"/>
  <c r="AE153" i="6" s="1"/>
  <c r="AD105" i="6"/>
  <c r="AE105" i="6" s="1"/>
  <c r="AD70" i="6"/>
  <c r="AE70" i="6" s="1"/>
  <c r="AD137" i="6"/>
  <c r="AE137" i="6" s="1"/>
  <c r="AD56" i="6"/>
  <c r="AE56" i="6" s="1"/>
  <c r="AD135" i="6"/>
  <c r="AE135" i="6" s="1"/>
  <c r="AD9" i="6"/>
  <c r="AE9" i="6" s="1"/>
  <c r="AD10" i="6"/>
  <c r="AE10" i="6" s="1"/>
  <c r="R39" i="17"/>
  <c r="U7218" i="5"/>
  <c r="V7218" i="5" s="1"/>
  <c r="U7088" i="5"/>
  <c r="V7088" i="5" s="1"/>
  <c r="U7154" i="5"/>
  <c r="V7154" i="5" s="1"/>
  <c r="U7211" i="5"/>
  <c r="V7211" i="5" s="1"/>
  <c r="U7115" i="5"/>
  <c r="V7115" i="5" s="1"/>
  <c r="U7207" i="5"/>
  <c r="V7207" i="5" s="1"/>
  <c r="O7135" i="5"/>
  <c r="O7138" i="5"/>
  <c r="O7171" i="5"/>
  <c r="U7059" i="5"/>
  <c r="V7059" i="5" s="1"/>
  <c r="O7206" i="5"/>
  <c r="U7089" i="5"/>
  <c r="V7089" i="5" s="1"/>
  <c r="O7069" i="5"/>
  <c r="U7056" i="5"/>
  <c r="V7056" i="5" s="1"/>
  <c r="U7090" i="5"/>
  <c r="V7090" i="5" s="1"/>
  <c r="O7055" i="5"/>
  <c r="U7053" i="5"/>
  <c r="V7053" i="5" s="1"/>
  <c r="U7222" i="5"/>
  <c r="V7222" i="5" s="1"/>
  <c r="U7194" i="5"/>
  <c r="V7194" i="5" s="1"/>
  <c r="O7162" i="5"/>
  <c r="O7028" i="5"/>
  <c r="O7060" i="5"/>
  <c r="U7082" i="5"/>
  <c r="V7082" i="5" s="1"/>
  <c r="U7021" i="5"/>
  <c r="V7021" i="5" s="1"/>
  <c r="U7033" i="5"/>
  <c r="V7033" i="5" s="1"/>
  <c r="U7119" i="5"/>
  <c r="V7119" i="5" s="1"/>
  <c r="U7096" i="5"/>
  <c r="V7096" i="5" s="1"/>
  <c r="O7052" i="5"/>
  <c r="U7118" i="5"/>
  <c r="V7118" i="5" s="1"/>
  <c r="O7186" i="5"/>
  <c r="U7186" i="5"/>
  <c r="V7186" i="5" s="1"/>
  <c r="O7094" i="5"/>
  <c r="U7094" i="5"/>
  <c r="V7094" i="5" s="1"/>
  <c r="O7224" i="5"/>
  <c r="U7224" i="5"/>
  <c r="V7224" i="5" s="1"/>
  <c r="O7225" i="5"/>
  <c r="U7225" i="5"/>
  <c r="V7225" i="5" s="1"/>
  <c r="O7195" i="5"/>
  <c r="U7195" i="5"/>
  <c r="V7195" i="5" s="1"/>
  <c r="U7167" i="5"/>
  <c r="V7167" i="5" s="1"/>
  <c r="O7167" i="5"/>
  <c r="O7179" i="5"/>
  <c r="U7179" i="5"/>
  <c r="V7179" i="5" s="1"/>
  <c r="O7223" i="5"/>
  <c r="U7223" i="5"/>
  <c r="V7223" i="5" s="1"/>
  <c r="O7035" i="5"/>
  <c r="U7035" i="5"/>
  <c r="V7035" i="5" s="1"/>
  <c r="O7160" i="5"/>
  <c r="U7160" i="5"/>
  <c r="V7160" i="5" s="1"/>
  <c r="O7156" i="5"/>
  <c r="U7156" i="5"/>
  <c r="V7156" i="5" s="1"/>
  <c r="O7067" i="5"/>
  <c r="U7067" i="5"/>
  <c r="V7067" i="5" s="1"/>
  <c r="O7220" i="5"/>
  <c r="U7220" i="5"/>
  <c r="V7220" i="5" s="1"/>
  <c r="U7188" i="5"/>
  <c r="V7188" i="5" s="1"/>
  <c r="O7188" i="5"/>
  <c r="O7123" i="5"/>
  <c r="U7123" i="5"/>
  <c r="V7123" i="5" s="1"/>
  <c r="O7133" i="5"/>
  <c r="U7133" i="5"/>
  <c r="V7133" i="5" s="1"/>
  <c r="O7065" i="5"/>
  <c r="U7065" i="5"/>
  <c r="V7065" i="5" s="1"/>
  <c r="O7034" i="5"/>
  <c r="U7034" i="5"/>
  <c r="V7034" i="5" s="1"/>
  <c r="O7189" i="5"/>
  <c r="U7189" i="5"/>
  <c r="V7189" i="5" s="1"/>
  <c r="O7168" i="5"/>
  <c r="U7168" i="5"/>
  <c r="V7168" i="5" s="1"/>
  <c r="O7047" i="5"/>
  <c r="U7047" i="5"/>
  <c r="V7047" i="5" s="1"/>
  <c r="U7020" i="5"/>
  <c r="V7020" i="5" s="1"/>
  <c r="O7020" i="5"/>
  <c r="U7181" i="5"/>
  <c r="V7181" i="5" s="1"/>
  <c r="O7181" i="5"/>
  <c r="O7046" i="5"/>
  <c r="U7046" i="5"/>
  <c r="V7046" i="5" s="1"/>
  <c r="U7214" i="5"/>
  <c r="V7214" i="5" s="1"/>
  <c r="O7214" i="5"/>
  <c r="O7057" i="5"/>
  <c r="U7057" i="5"/>
  <c r="V7057" i="5" s="1"/>
  <c r="O7129" i="5"/>
  <c r="U7129" i="5"/>
  <c r="V7129" i="5" s="1"/>
  <c r="O7103" i="5"/>
  <c r="U7103" i="5"/>
  <c r="V7103" i="5" s="1"/>
  <c r="U7233" i="5"/>
  <c r="V7233" i="5" s="1"/>
  <c r="O7233" i="5"/>
  <c r="O7124" i="5"/>
  <c r="U7124" i="5"/>
  <c r="V7124" i="5" s="1"/>
  <c r="O7084" i="5"/>
  <c r="U7084" i="5"/>
  <c r="V7084" i="5" s="1"/>
  <c r="M6679" i="5"/>
  <c r="Q6836" i="5"/>
  <c r="R6836" i="5" s="1"/>
  <c r="S6836" i="5" s="1"/>
  <c r="Q6824" i="5"/>
  <c r="R6824" i="5" s="1"/>
  <c r="S6824" i="5" s="1"/>
  <c r="Q6741" i="5"/>
  <c r="R6741" i="5" s="1"/>
  <c r="S6741" i="5" s="1"/>
  <c r="Q6936" i="5"/>
  <c r="R6936" i="5" s="1"/>
  <c r="S6936" i="5" s="1"/>
  <c r="Q6851" i="5"/>
  <c r="R6851" i="5" s="1"/>
  <c r="S6851" i="5" s="1"/>
  <c r="M6678" i="5"/>
  <c r="M6795" i="5"/>
  <c r="Q6927" i="5"/>
  <c r="Q6900" i="5"/>
  <c r="R6900" i="5" s="1"/>
  <c r="S6900" i="5" s="1"/>
  <c r="M6723" i="5"/>
  <c r="M6980" i="5"/>
  <c r="Q6846" i="5"/>
  <c r="R6846" i="5" s="1"/>
  <c r="S6846" i="5" s="1"/>
  <c r="M7008" i="5"/>
  <c r="M6695" i="5"/>
  <c r="M6712" i="5"/>
  <c r="M6739" i="5"/>
  <c r="M7011" i="5"/>
  <c r="N7011" i="5" s="1"/>
  <c r="O7011" i="5" s="1"/>
  <c r="M6753" i="5"/>
  <c r="Q6833" i="5"/>
  <c r="Q6970" i="5"/>
  <c r="R6970" i="5" s="1"/>
  <c r="S6970" i="5" s="1"/>
  <c r="M6670" i="5"/>
  <c r="Q6771" i="5"/>
  <c r="M6825" i="5"/>
  <c r="M6958" i="5"/>
  <c r="M6811" i="5"/>
  <c r="N6811" i="5" s="1"/>
  <c r="O6811" i="5" s="1"/>
  <c r="Q6864" i="5"/>
  <c r="M6998" i="5"/>
  <c r="Q6734" i="5"/>
  <c r="R6734" i="5" s="1"/>
  <c r="S6734" i="5" s="1"/>
  <c r="Q7012" i="5"/>
  <c r="Q6959" i="5"/>
  <c r="R6959" i="5" s="1"/>
  <c r="S6959" i="5" s="1"/>
  <c r="M6671" i="5"/>
  <c r="Q6763" i="5"/>
  <c r="R6763" i="5" s="1"/>
  <c r="S6763" i="5" s="1"/>
  <c r="Q6884" i="5"/>
  <c r="Q6908" i="5"/>
  <c r="M6752" i="5"/>
  <c r="Q6870" i="5"/>
  <c r="R6870" i="5" s="1"/>
  <c r="S6870" i="5" s="1"/>
  <c r="M6688" i="5"/>
  <c r="N6688" i="5" s="1"/>
  <c r="Q6845" i="5"/>
  <c r="M6705" i="5"/>
  <c r="M6764" i="5"/>
  <c r="M6685" i="5"/>
  <c r="Q6897" i="5"/>
  <c r="R6897" i="5" s="1"/>
  <c r="S6897" i="5" s="1"/>
  <c r="M6677" i="5"/>
  <c r="M6686" i="5"/>
  <c r="Q6766" i="5"/>
  <c r="R6766" i="5" s="1"/>
  <c r="S6766" i="5" s="1"/>
  <c r="Q6803" i="5"/>
  <c r="R6803" i="5" s="1"/>
  <c r="S6803" i="5" s="1"/>
  <c r="M6697" i="5"/>
  <c r="M6814" i="5"/>
  <c r="N6814" i="5" s="1"/>
  <c r="M6709" i="5"/>
  <c r="M6780" i="5"/>
  <c r="Q6949" i="5"/>
  <c r="M6973" i="5"/>
  <c r="Q6794" i="5"/>
  <c r="Q7000" i="5"/>
  <c r="R7000" i="5" s="1"/>
  <c r="S7000" i="5" s="1"/>
  <c r="Q6735" i="5"/>
  <c r="R6735" i="5" s="1"/>
  <c r="S6735" i="5" s="1"/>
  <c r="Q6736" i="5"/>
  <c r="R6736" i="5" s="1"/>
  <c r="S6736" i="5" s="1"/>
  <c r="Q6820" i="5"/>
  <c r="R6820" i="5" s="1"/>
  <c r="S6820" i="5" s="1"/>
  <c r="Q6928" i="5"/>
  <c r="R6928" i="5" s="1"/>
  <c r="S6928" i="5" s="1"/>
  <c r="M6713" i="5"/>
  <c r="Q6918" i="5"/>
  <c r="Q6737" i="5"/>
  <c r="Q6952" i="5"/>
  <c r="M6844" i="5"/>
  <c r="M6979" i="5"/>
  <c r="M6788" i="5"/>
  <c r="Q6816" i="5"/>
  <c r="R6816" i="5" s="1"/>
  <c r="S6816" i="5" s="1"/>
  <c r="Q6784" i="5"/>
  <c r="R6784" i="5" s="1"/>
  <c r="S6784" i="5" s="1"/>
  <c r="M6704" i="5"/>
  <c r="N6704" i="5" s="1"/>
  <c r="Q6762" i="5"/>
  <c r="Q6932" i="5"/>
  <c r="R6932" i="5" s="1"/>
  <c r="S6932" i="5" s="1"/>
  <c r="M6724" i="5"/>
  <c r="Q6867" i="5"/>
  <c r="M6681" i="5"/>
  <c r="N6681" i="5" s="1"/>
  <c r="M6725" i="5"/>
  <c r="N6725" i="5" s="1"/>
  <c r="M6775" i="5"/>
  <c r="Q6857" i="5"/>
  <c r="R6857" i="5" s="1"/>
  <c r="S6857" i="5" s="1"/>
  <c r="M6898" i="5"/>
  <c r="Q6950" i="5"/>
  <c r="R6950" i="5" s="1"/>
  <c r="S6950" i="5" s="1"/>
  <c r="Q6907" i="5"/>
  <c r="N6716" i="5"/>
  <c r="M6787" i="5"/>
  <c r="M6879" i="5"/>
  <c r="Q6931" i="5"/>
  <c r="R6931" i="5" s="1"/>
  <c r="S6931" i="5" s="1"/>
  <c r="M6991" i="5"/>
  <c r="Q6716" i="5"/>
  <c r="R6716" i="5" s="1"/>
  <c r="S6716" i="5" s="1"/>
  <c r="Q6745" i="5"/>
  <c r="R6745" i="5" s="1"/>
  <c r="S6745" i="5" s="1"/>
  <c r="M6818" i="5"/>
  <c r="M6858" i="5"/>
  <c r="Q6972" i="5"/>
  <c r="M6981" i="5"/>
  <c r="M6990" i="5"/>
  <c r="Q6939" i="5"/>
  <c r="M7001" i="5"/>
  <c r="Q6776" i="5"/>
  <c r="Q6798" i="5"/>
  <c r="Q6921" i="5"/>
  <c r="M6746" i="5"/>
  <c r="M6718" i="5"/>
  <c r="M6757" i="5"/>
  <c r="M6767" i="5"/>
  <c r="Q6830" i="5"/>
  <c r="R6830" i="5" s="1"/>
  <c r="S6830" i="5" s="1"/>
  <c r="Q6839" i="5"/>
  <c r="Q6901" i="5"/>
  <c r="Q6953" i="5"/>
  <c r="R6953" i="5" s="1"/>
  <c r="S6953" i="5" s="1"/>
  <c r="Q6964" i="5"/>
  <c r="Q6993" i="5"/>
  <c r="M6778" i="5"/>
  <c r="Q6850" i="5"/>
  <c r="Q6871" i="5"/>
  <c r="Q6880" i="5"/>
  <c r="R6880" i="5" s="1"/>
  <c r="S6880" i="5" s="1"/>
  <c r="Q6890" i="5"/>
  <c r="R6890" i="5" s="1"/>
  <c r="S6890" i="5" s="1"/>
  <c r="M6912" i="5"/>
  <c r="M6983" i="5"/>
  <c r="M7004" i="5"/>
  <c r="M6805" i="5"/>
  <c r="Q6859" i="5"/>
  <c r="M6682" i="5"/>
  <c r="M6738" i="5"/>
  <c r="Q6790" i="5"/>
  <c r="R6790" i="5" s="1"/>
  <c r="S6790" i="5" s="1"/>
  <c r="M6974" i="5"/>
  <c r="Q7014" i="5"/>
  <c r="R7014" i="5" s="1"/>
  <c r="S7014" i="5" s="1"/>
  <c r="M6889" i="5"/>
  <c r="Q6691" i="5"/>
  <c r="R6691" i="5" s="1"/>
  <c r="S6691" i="5" s="1"/>
  <c r="R6701" i="5"/>
  <c r="S6701" i="5" s="1"/>
  <c r="M6710" i="5"/>
  <c r="Q6831" i="5"/>
  <c r="Q6840" i="5"/>
  <c r="Q6924" i="5"/>
  <c r="R6924" i="5" s="1"/>
  <c r="S6924" i="5" s="1"/>
  <c r="Q6943" i="5"/>
  <c r="R6943" i="5" s="1"/>
  <c r="S6943" i="5" s="1"/>
  <c r="Q6954" i="5"/>
  <c r="M6994" i="5"/>
  <c r="Q6856" i="5"/>
  <c r="R6856" i="5" s="1"/>
  <c r="S6856" i="5" s="1"/>
  <c r="M6689" i="5"/>
  <c r="Q6808" i="5"/>
  <c r="R6808" i="5" s="1"/>
  <c r="S6808" i="5" s="1"/>
  <c r="M6675" i="5"/>
  <c r="M6701" i="5"/>
  <c r="M6730" i="5"/>
  <c r="M6801" i="5"/>
  <c r="N6801" i="5" s="1"/>
  <c r="Q6861" i="5"/>
  <c r="M6872" i="5"/>
  <c r="M6984" i="5"/>
  <c r="M7005" i="5"/>
  <c r="N7005" i="5" s="1"/>
  <c r="O7005" i="5" s="1"/>
  <c r="Q6749" i="5"/>
  <c r="R6749" i="5" s="1"/>
  <c r="S6749" i="5" s="1"/>
  <c r="M6759" i="5"/>
  <c r="Q6821" i="5"/>
  <c r="M6903" i="5"/>
  <c r="Q6913" i="5"/>
  <c r="M7015" i="5"/>
  <c r="M6799" i="5"/>
  <c r="Q6925" i="5"/>
  <c r="R6925" i="5" s="1"/>
  <c r="S6925" i="5" s="1"/>
  <c r="M6683" i="5"/>
  <c r="M6711" i="5"/>
  <c r="Q6770" i="5"/>
  <c r="M6792" i="5"/>
  <c r="Q6873" i="5"/>
  <c r="Q6878" i="5"/>
  <c r="M6676" i="5"/>
  <c r="M6702" i="5"/>
  <c r="M6750" i="5"/>
  <c r="M6883" i="5"/>
  <c r="M6937" i="5"/>
  <c r="Q6938" i="5"/>
  <c r="Q6911" i="5"/>
  <c r="R6911" i="5" s="1"/>
  <c r="S6911" i="5" s="1"/>
  <c r="R6819" i="5"/>
  <c r="S6819" i="5" s="1"/>
  <c r="M6684" i="5"/>
  <c r="M6732" i="5"/>
  <c r="M6740" i="5"/>
  <c r="Q6904" i="5"/>
  <c r="M6926" i="5"/>
  <c r="M6968" i="5"/>
  <c r="M6977" i="5"/>
  <c r="N6977" i="5" s="1"/>
  <c r="M6813" i="5"/>
  <c r="Q6843" i="5"/>
  <c r="Q6853" i="5"/>
  <c r="Q6874" i="5"/>
  <c r="Q6894" i="5"/>
  <c r="Q6915" i="5"/>
  <c r="R6915" i="5" s="1"/>
  <c r="S6915" i="5" s="1"/>
  <c r="Q6946" i="5"/>
  <c r="R6946" i="5" s="1"/>
  <c r="S6946" i="5" s="1"/>
  <c r="Q6957" i="5"/>
  <c r="Q6986" i="5"/>
  <c r="R6986" i="5" s="1"/>
  <c r="S6986" i="5" s="1"/>
  <c r="Q7007" i="5"/>
  <c r="R6696" i="5"/>
  <c r="S6696" i="5" s="1"/>
  <c r="Q6827" i="5"/>
  <c r="R6827" i="5" s="1"/>
  <c r="S6827" i="5" s="1"/>
  <c r="Q6860" i="5"/>
  <c r="R6860" i="5" s="1"/>
  <c r="S6860" i="5" s="1"/>
  <c r="M6960" i="5"/>
  <c r="Q6748" i="5"/>
  <c r="Q6755" i="5"/>
  <c r="Q6769" i="5"/>
  <c r="R6769" i="5" s="1"/>
  <c r="S6769" i="5" s="1"/>
  <c r="Q6783" i="5"/>
  <c r="Q6797" i="5"/>
  <c r="R6797" i="5" s="1"/>
  <c r="S6797" i="5" s="1"/>
  <c r="Q6809" i="5"/>
  <c r="M6823" i="5"/>
  <c r="N6823" i="5" s="1"/>
  <c r="M6835" i="5"/>
  <c r="M6842" i="5"/>
  <c r="M6849" i="5"/>
  <c r="M6863" i="5"/>
  <c r="M6877" i="5"/>
  <c r="M6896" i="5"/>
  <c r="M6910" i="5"/>
  <c r="N6910" i="5" s="1"/>
  <c r="M6917" i="5"/>
  <c r="M6942" i="5"/>
  <c r="N6942" i="5" s="1"/>
  <c r="M6956" i="5"/>
  <c r="M6733" i="5"/>
  <c r="M6674" i="5"/>
  <c r="M6969" i="5"/>
  <c r="M6708" i="5"/>
  <c r="M6715" i="5"/>
  <c r="N6715" i="5" s="1"/>
  <c r="M6722" i="5"/>
  <c r="N6763" i="5"/>
  <c r="R6804" i="5"/>
  <c r="S6804" i="5" s="1"/>
  <c r="Q6963" i="5"/>
  <c r="R6963" i="5" s="1"/>
  <c r="S6963" i="5" s="1"/>
  <c r="Q6976" i="5"/>
  <c r="Q6997" i="5"/>
  <c r="R6997" i="5" s="1"/>
  <c r="S6997" i="5" s="1"/>
  <c r="R6732" i="5"/>
  <c r="S6732" i="5" s="1"/>
  <c r="R6674" i="5"/>
  <c r="S6674" i="5" s="1"/>
  <c r="Q6728" i="5"/>
  <c r="M6729" i="5"/>
  <c r="N6729" i="5" s="1"/>
  <c r="O6729" i="5" s="1"/>
  <c r="M6742" i="5"/>
  <c r="N6742" i="5" s="1"/>
  <c r="M6756" i="5"/>
  <c r="M6777" i="5"/>
  <c r="M6791" i="5"/>
  <c r="M6804" i="5"/>
  <c r="M6810" i="5"/>
  <c r="M6817" i="5"/>
  <c r="Q6914" i="5"/>
  <c r="R6914" i="5" s="1"/>
  <c r="S6914" i="5" s="1"/>
  <c r="M6987" i="5"/>
  <c r="R6682" i="5"/>
  <c r="S6682" i="5" s="1"/>
  <c r="R6805" i="5"/>
  <c r="S6805" i="5" s="1"/>
  <c r="Q6785" i="5"/>
  <c r="M6891" i="5"/>
  <c r="M6933" i="5"/>
  <c r="M6669" i="5"/>
  <c r="Q6885" i="5"/>
  <c r="R6885" i="5" s="1"/>
  <c r="S6885" i="5" s="1"/>
  <c r="Q6905" i="5"/>
  <c r="Q6919" i="5"/>
  <c r="Q6944" i="5"/>
  <c r="R6944" i="5" s="1"/>
  <c r="S6944" i="5" s="1"/>
  <c r="Q6951" i="5"/>
  <c r="M6965" i="5"/>
  <c r="M6971" i="5"/>
  <c r="M6978" i="5"/>
  <c r="N6978" i="5" s="1"/>
  <c r="M6985" i="5"/>
  <c r="M6992" i="5"/>
  <c r="M6999" i="5"/>
  <c r="N6999" i="5" s="1"/>
  <c r="M7006" i="5"/>
  <c r="M7013" i="5"/>
  <c r="M6865" i="5"/>
  <c r="M6703" i="5"/>
  <c r="M6690" i="5"/>
  <c r="Q6837" i="5"/>
  <c r="M6696" i="5"/>
  <c r="M6717" i="5"/>
  <c r="R6765" i="5"/>
  <c r="S6765" i="5" s="1"/>
  <c r="M6731" i="5"/>
  <c r="M6744" i="5"/>
  <c r="M6751" i="5"/>
  <c r="M6758" i="5"/>
  <c r="M6765" i="5"/>
  <c r="M6772" i="5"/>
  <c r="M6779" i="5"/>
  <c r="N6779" i="5" s="1"/>
  <c r="M6786" i="5"/>
  <c r="M6793" i="5"/>
  <c r="M6800" i="5"/>
  <c r="M6812" i="5"/>
  <c r="N6812" i="5" s="1"/>
  <c r="M6819" i="5"/>
  <c r="M6743" i="5"/>
  <c r="R6683" i="5"/>
  <c r="S6683" i="5" s="1"/>
  <c r="R6793" i="5"/>
  <c r="S6793" i="5" s="1"/>
  <c r="M6826" i="5"/>
  <c r="M6832" i="5"/>
  <c r="M6838" i="5"/>
  <c r="M6852" i="5"/>
  <c r="M6866" i="5"/>
  <c r="N6866" i="5" s="1"/>
  <c r="M6886" i="5"/>
  <c r="M6892" i="5"/>
  <c r="M6899" i="5"/>
  <c r="M6906" i="5"/>
  <c r="M6920" i="5"/>
  <c r="M6945" i="5"/>
  <c r="M6966" i="5"/>
  <c r="R6692" i="5"/>
  <c r="S6692" i="5" s="1"/>
  <c r="Q6773" i="5"/>
  <c r="R6773" i="5" s="1"/>
  <c r="S6773" i="5" s="1"/>
  <c r="Q6806" i="5"/>
  <c r="R6806" i="5" s="1"/>
  <c r="S6806" i="5" s="1"/>
  <c r="M6887" i="5"/>
  <c r="N6887" i="5" s="1"/>
  <c r="M6893" i="5"/>
  <c r="R6987" i="5"/>
  <c r="S6987" i="5" s="1"/>
  <c r="Q6719" i="5"/>
  <c r="Q6726" i="5"/>
  <c r="Q6760" i="5"/>
  <c r="R6760" i="5" s="1"/>
  <c r="S6760" i="5" s="1"/>
  <c r="Q6774" i="5"/>
  <c r="Q6781" i="5"/>
  <c r="Q6807" i="5"/>
  <c r="M6828" i="5"/>
  <c r="M6847" i="5"/>
  <c r="M6854" i="5"/>
  <c r="M6868" i="5"/>
  <c r="M6875" i="5"/>
  <c r="M6881" i="5"/>
  <c r="N6881" i="5" s="1"/>
  <c r="M6888" i="5"/>
  <c r="M6922" i="5"/>
  <c r="M6929" i="5"/>
  <c r="M6934" i="5"/>
  <c r="M6940" i="5"/>
  <c r="M6947" i="5"/>
  <c r="R7009" i="5"/>
  <c r="S7009" i="5" s="1"/>
  <c r="M6692" i="5"/>
  <c r="Q6967" i="5"/>
  <c r="R6967" i="5" s="1"/>
  <c r="S6967" i="5" s="1"/>
  <c r="R6698" i="5"/>
  <c r="S6698" i="5" s="1"/>
  <c r="M6693" i="5"/>
  <c r="M7009" i="5"/>
  <c r="M6706" i="5"/>
  <c r="Q6988" i="5"/>
  <c r="Q7002" i="5"/>
  <c r="Q6699" i="5"/>
  <c r="M6727" i="5"/>
  <c r="N6727" i="5" s="1"/>
  <c r="O6727" i="5" s="1"/>
  <c r="M6782" i="5"/>
  <c r="M6789" i="5"/>
  <c r="M6815" i="5"/>
  <c r="R6855" i="5"/>
  <c r="S6855" i="5" s="1"/>
  <c r="Q6747" i="5"/>
  <c r="R6747" i="5" s="1"/>
  <c r="S6747" i="5" s="1"/>
  <c r="Q6761" i="5"/>
  <c r="Q6768" i="5"/>
  <c r="Q6796" i="5"/>
  <c r="Q6802" i="5"/>
  <c r="R6802" i="5" s="1"/>
  <c r="S6802" i="5" s="1"/>
  <c r="M6822" i="5"/>
  <c r="M6829" i="5"/>
  <c r="M6834" i="5"/>
  <c r="M6841" i="5"/>
  <c r="M6848" i="5"/>
  <c r="M6855" i="5"/>
  <c r="M6862" i="5"/>
  <c r="M6869" i="5"/>
  <c r="M6876" i="5"/>
  <c r="M6882" i="5"/>
  <c r="M6895" i="5"/>
  <c r="M6902" i="5"/>
  <c r="M6909" i="5"/>
  <c r="M6916" i="5"/>
  <c r="M6923" i="5"/>
  <c r="M6930" i="5"/>
  <c r="M6935" i="5"/>
  <c r="M6941" i="5"/>
  <c r="M6948" i="5"/>
  <c r="M6955" i="5"/>
  <c r="R6982" i="5"/>
  <c r="S6982" i="5" s="1"/>
  <c r="R6996" i="5"/>
  <c r="S6996" i="5" s="1"/>
  <c r="M6698" i="5"/>
  <c r="M6961" i="5"/>
  <c r="M6995" i="5"/>
  <c r="N6995" i="5" s="1"/>
  <c r="Q6672" i="5"/>
  <c r="Q6720" i="5"/>
  <c r="M6754" i="5"/>
  <c r="R6862" i="5"/>
  <c r="S6862" i="5" s="1"/>
  <c r="R6935" i="5"/>
  <c r="S6935" i="5" s="1"/>
  <c r="M6673" i="5"/>
  <c r="M6680" i="5"/>
  <c r="N6680" i="5" s="1"/>
  <c r="M6687" i="5"/>
  <c r="M6694" i="5"/>
  <c r="R6714" i="5"/>
  <c r="S6714" i="5" s="1"/>
  <c r="M6962" i="5"/>
  <c r="M6975" i="5"/>
  <c r="M6982" i="5"/>
  <c r="M6989" i="5"/>
  <c r="M6996" i="5"/>
  <c r="M7003" i="5"/>
  <c r="M7010" i="5"/>
  <c r="M7017" i="5"/>
  <c r="Q7016" i="5"/>
  <c r="M6700" i="5"/>
  <c r="M6721" i="5"/>
  <c r="M6707" i="5"/>
  <c r="M6714" i="5"/>
  <c r="N6870" i="5"/>
  <c r="R6883" i="5"/>
  <c r="S6883" i="5" s="1"/>
  <c r="K7012" i="5"/>
  <c r="K7006" i="5"/>
  <c r="L7006" i="5" s="1"/>
  <c r="K7002" i="5"/>
  <c r="L7002" i="5" s="1"/>
  <c r="R6991" i="5"/>
  <c r="S6991" i="5" s="1"/>
  <c r="L6991" i="5"/>
  <c r="K6964" i="5"/>
  <c r="R6956" i="5"/>
  <c r="S6956" i="5" s="1"/>
  <c r="K6937" i="5"/>
  <c r="R6937" i="5" s="1"/>
  <c r="S6937" i="5" s="1"/>
  <c r="K6912" i="5"/>
  <c r="L6912" i="5" s="1"/>
  <c r="P6887" i="5"/>
  <c r="R6887" i="5"/>
  <c r="S6887" i="5" s="1"/>
  <c r="L6880" i="5"/>
  <c r="N6880" i="5" s="1"/>
  <c r="K6871" i="5"/>
  <c r="R6863" i="5"/>
  <c r="S6863" i="5" s="1"/>
  <c r="K6853" i="5"/>
  <c r="R6848" i="5"/>
  <c r="S6848" i="5" s="1"/>
  <c r="K6843" i="5"/>
  <c r="L6843" i="5" s="1"/>
  <c r="L6819" i="5"/>
  <c r="K6809" i="5"/>
  <c r="L6809" i="5" s="1"/>
  <c r="K6800" i="5"/>
  <c r="L6800" i="5" s="1"/>
  <c r="R6757" i="5"/>
  <c r="S6757" i="5" s="1"/>
  <c r="K6758" i="5"/>
  <c r="L6758" i="5" s="1"/>
  <c r="R6746" i="5"/>
  <c r="S6746" i="5" s="1"/>
  <c r="L6731" i="5"/>
  <c r="P6731" i="5" s="1"/>
  <c r="R6731" i="5"/>
  <c r="S6731" i="5" s="1"/>
  <c r="P6716" i="5"/>
  <c r="R6689" i="5"/>
  <c r="S6689" i="5" s="1"/>
  <c r="N6967" i="5"/>
  <c r="P6967" i="5"/>
  <c r="L6700" i="5"/>
  <c r="R6700" i="5"/>
  <c r="S6700" i="5" s="1"/>
  <c r="P6860" i="5"/>
  <c r="N6860" i="5"/>
  <c r="L6747" i="5"/>
  <c r="P6747" i="5" s="1"/>
  <c r="P6978" i="5"/>
  <c r="L6735" i="5"/>
  <c r="P6735" i="5" s="1"/>
  <c r="N6806" i="5"/>
  <c r="P6806" i="5"/>
  <c r="K6834" i="5"/>
  <c r="R6834" i="5" s="1"/>
  <c r="S6834" i="5" s="1"/>
  <c r="K6919" i="5"/>
  <c r="L6919" i="5" s="1"/>
  <c r="L6877" i="5"/>
  <c r="P6877" i="5" s="1"/>
  <c r="K6892" i="5"/>
  <c r="L6892" i="5" s="1"/>
  <c r="P6892" i="5" s="1"/>
  <c r="K6930" i="5"/>
  <c r="R6930" i="5" s="1"/>
  <c r="S6930" i="5" s="1"/>
  <c r="R6680" i="5"/>
  <c r="S6680" i="5" s="1"/>
  <c r="K6965" i="5"/>
  <c r="L6965" i="5" s="1"/>
  <c r="K6815" i="5"/>
  <c r="R6815" i="5" s="1"/>
  <c r="S6815" i="5" s="1"/>
  <c r="K6844" i="5"/>
  <c r="R6844" i="5" s="1"/>
  <c r="S6844" i="5" s="1"/>
  <c r="R6877" i="5"/>
  <c r="S6877" i="5" s="1"/>
  <c r="K6934" i="5"/>
  <c r="R6934" i="5" s="1"/>
  <c r="S6934" i="5" s="1"/>
  <c r="R6903" i="5"/>
  <c r="S6903" i="5" s="1"/>
  <c r="L6749" i="5"/>
  <c r="N6749" i="5" s="1"/>
  <c r="L6961" i="5"/>
  <c r="P6961" i="5" s="1"/>
  <c r="K6756" i="5"/>
  <c r="R6756" i="5" s="1"/>
  <c r="S6756" i="5" s="1"/>
  <c r="K6921" i="5"/>
  <c r="L6935" i="5"/>
  <c r="P6935" i="5" s="1"/>
  <c r="K6939" i="5"/>
  <c r="L6939" i="5" s="1"/>
  <c r="L6697" i="5"/>
  <c r="P6697" i="5" s="1"/>
  <c r="K6755" i="5"/>
  <c r="R6697" i="5"/>
  <c r="S6697" i="5" s="1"/>
  <c r="L6992" i="5"/>
  <c r="P6992" i="5" s="1"/>
  <c r="L6835" i="5"/>
  <c r="K6884" i="5"/>
  <c r="L6884" i="5" s="1"/>
  <c r="L6931" i="5"/>
  <c r="P6931" i="5" s="1"/>
  <c r="R6992" i="5"/>
  <c r="S6992" i="5" s="1"/>
  <c r="R6727" i="5"/>
  <c r="S6727" i="5" s="1"/>
  <c r="R6744" i="5"/>
  <c r="S6744" i="5" s="1"/>
  <c r="K6926" i="5"/>
  <c r="L6926" i="5" s="1"/>
  <c r="R6693" i="5"/>
  <c r="S6693" i="5" s="1"/>
  <c r="K6750" i="5"/>
  <c r="L6750" i="5" s="1"/>
  <c r="R6835" i="5"/>
  <c r="S6835" i="5" s="1"/>
  <c r="R6910" i="5"/>
  <c r="S6910" i="5" s="1"/>
  <c r="L6916" i="5"/>
  <c r="L7009" i="5"/>
  <c r="P7009" i="5" s="1"/>
  <c r="R6722" i="5"/>
  <c r="S6722" i="5" s="1"/>
  <c r="L6956" i="5"/>
  <c r="P6956" i="5" s="1"/>
  <c r="K6786" i="5"/>
  <c r="R6786" i="5" s="1"/>
  <c r="S6786" i="5" s="1"/>
  <c r="L6869" i="5"/>
  <c r="P6869" i="5" s="1"/>
  <c r="K6780" i="5"/>
  <c r="R6780" i="5" s="1"/>
  <c r="S6780" i="5" s="1"/>
  <c r="K6792" i="5"/>
  <c r="R6792" i="5" s="1"/>
  <c r="S6792" i="5" s="1"/>
  <c r="K6817" i="5"/>
  <c r="R6817" i="5" s="1"/>
  <c r="S6817" i="5" s="1"/>
  <c r="R7005" i="5"/>
  <c r="S7005" i="5" s="1"/>
  <c r="L6683" i="5"/>
  <c r="L6689" i="5"/>
  <c r="K6762" i="5"/>
  <c r="R6767" i="5"/>
  <c r="S6767" i="5" s="1"/>
  <c r="L6828" i="5"/>
  <c r="P6828" i="5" s="1"/>
  <c r="K6858" i="5"/>
  <c r="R6858" i="5" s="1"/>
  <c r="S6858" i="5" s="1"/>
  <c r="L6863" i="5"/>
  <c r="P6863" i="5" s="1"/>
  <c r="L6885" i="5"/>
  <c r="P6885" i="5" s="1"/>
  <c r="K6951" i="5"/>
  <c r="R6977" i="5"/>
  <c r="S6977" i="5" s="1"/>
  <c r="L6987" i="5"/>
  <c r="K7015" i="5"/>
  <c r="L7015" i="5" s="1"/>
  <c r="R6711" i="5"/>
  <c r="S6711" i="5" s="1"/>
  <c r="L6746" i="5"/>
  <c r="P6746" i="5" s="1"/>
  <c r="L6757" i="5"/>
  <c r="P6757" i="5" s="1"/>
  <c r="R6841" i="5"/>
  <c r="S6841" i="5" s="1"/>
  <c r="R6869" i="5"/>
  <c r="S6869" i="5" s="1"/>
  <c r="R6916" i="5"/>
  <c r="S6916" i="5" s="1"/>
  <c r="R6828" i="5"/>
  <c r="S6828" i="5" s="1"/>
  <c r="R6994" i="5"/>
  <c r="S6994" i="5" s="1"/>
  <c r="L6948" i="5"/>
  <c r="K6898" i="5"/>
  <c r="R6898" i="5" s="1"/>
  <c r="S6898" i="5" s="1"/>
  <c r="L6790" i="5"/>
  <c r="N6790" i="5" s="1"/>
  <c r="K6672" i="5"/>
  <c r="L6672" i="5" s="1"/>
  <c r="P6672" i="5" s="1"/>
  <c r="K6837" i="5"/>
  <c r="L6837" i="5" s="1"/>
  <c r="L6684" i="5"/>
  <c r="P6684" i="5" s="1"/>
  <c r="K6706" i="5"/>
  <c r="R6706" i="5" s="1"/>
  <c r="S6706" i="5" s="1"/>
  <c r="L6724" i="5"/>
  <c r="P6724" i="5" s="1"/>
  <c r="N6803" i="5"/>
  <c r="O6803" i="5" s="1"/>
  <c r="K6896" i="5"/>
  <c r="R6896" i="5" s="1"/>
  <c r="S6896" i="5" s="1"/>
  <c r="L6936" i="5"/>
  <c r="N6936" i="5" s="1"/>
  <c r="L6946" i="5"/>
  <c r="P6946" i="5" s="1"/>
  <c r="K6968" i="5"/>
  <c r="L6968" i="5" s="1"/>
  <c r="K6918" i="5"/>
  <c r="L6918" i="5" s="1"/>
  <c r="L6789" i="5"/>
  <c r="K6872" i="5"/>
  <c r="R6872" i="5" s="1"/>
  <c r="S6872" i="5" s="1"/>
  <c r="L6810" i="5"/>
  <c r="P6810" i="5" s="1"/>
  <c r="R7008" i="5"/>
  <c r="S7008" i="5" s="1"/>
  <c r="R6724" i="5"/>
  <c r="S6724" i="5" s="1"/>
  <c r="R6978" i="5"/>
  <c r="S6978" i="5" s="1"/>
  <c r="R6995" i="5"/>
  <c r="S6995" i="5" s="1"/>
  <c r="R7011" i="5"/>
  <c r="S7011" i="5" s="1"/>
  <c r="R6684" i="5"/>
  <c r="S6684" i="5" s="1"/>
  <c r="K6902" i="5"/>
  <c r="L6902" i="5" s="1"/>
  <c r="P6902" i="5" s="1"/>
  <c r="K6908" i="5"/>
  <c r="R6789" i="5"/>
  <c r="S6789" i="5" s="1"/>
  <c r="L6804" i="5"/>
  <c r="L6996" i="5"/>
  <c r="L6903" i="5"/>
  <c r="L7008" i="5"/>
  <c r="K6703" i="5"/>
  <c r="L6703" i="5" s="1"/>
  <c r="R6941" i="5"/>
  <c r="S6941" i="5" s="1"/>
  <c r="P6924" i="5"/>
  <c r="N6924" i="5"/>
  <c r="N6766" i="5"/>
  <c r="P6766" i="5"/>
  <c r="P6779" i="5"/>
  <c r="P6688" i="5"/>
  <c r="P6704" i="5"/>
  <c r="P6681" i="5"/>
  <c r="P6812" i="5"/>
  <c r="P6942" i="5"/>
  <c r="P6801" i="5"/>
  <c r="N6741" i="5"/>
  <c r="P6741" i="5"/>
  <c r="N6691" i="5"/>
  <c r="P6691" i="5"/>
  <c r="P6742" i="5"/>
  <c r="P6881" i="5"/>
  <c r="P6725" i="5"/>
  <c r="N6915" i="5"/>
  <c r="P6915" i="5"/>
  <c r="L6679" i="5"/>
  <c r="L6712" i="5"/>
  <c r="P6715" i="5"/>
  <c r="K6886" i="5"/>
  <c r="L6886" i="5" s="1"/>
  <c r="L6673" i="5"/>
  <c r="K6686" i="5"/>
  <c r="R6686" i="5" s="1"/>
  <c r="S6686" i="5" s="1"/>
  <c r="K6709" i="5"/>
  <c r="R6709" i="5" s="1"/>
  <c r="S6709" i="5" s="1"/>
  <c r="N6734" i="5"/>
  <c r="P6763" i="5"/>
  <c r="K6798" i="5"/>
  <c r="L6798" i="5" s="1"/>
  <c r="P6816" i="5"/>
  <c r="N6816" i="5"/>
  <c r="L6824" i="5"/>
  <c r="K6849" i="5"/>
  <c r="R6849" i="5" s="1"/>
  <c r="S6849" i="5" s="1"/>
  <c r="L6900" i="5"/>
  <c r="R6679" i="5"/>
  <c r="S6679" i="5" s="1"/>
  <c r="R6712" i="5"/>
  <c r="S6712" i="5" s="1"/>
  <c r="K6720" i="5"/>
  <c r="L6720" i="5" s="1"/>
  <c r="L6745" i="5"/>
  <c r="K6785" i="5"/>
  <c r="K6882" i="5"/>
  <c r="R6882" i="5" s="1"/>
  <c r="S6882" i="5" s="1"/>
  <c r="R6676" i="5"/>
  <c r="S6676" i="5" s="1"/>
  <c r="K6850" i="5"/>
  <c r="L6850" i="5" s="1"/>
  <c r="K6752" i="5"/>
  <c r="R6752" i="5" s="1"/>
  <c r="S6752" i="5" s="1"/>
  <c r="K6759" i="5"/>
  <c r="R6759" i="5" s="1"/>
  <c r="S6759" i="5" s="1"/>
  <c r="K6670" i="5"/>
  <c r="L6670" i="5" s="1"/>
  <c r="R6673" i="5"/>
  <c r="S6673" i="5" s="1"/>
  <c r="P6680" i="5"/>
  <c r="P6999" i="5"/>
  <c r="K6738" i="5"/>
  <c r="L6738" i="5" s="1"/>
  <c r="R6742" i="5"/>
  <c r="S6742" i="5" s="1"/>
  <c r="L6764" i="5"/>
  <c r="R6764" i="5"/>
  <c r="S6764" i="5" s="1"/>
  <c r="K6879" i="5"/>
  <c r="L6879" i="5" s="1"/>
  <c r="K6761" i="5"/>
  <c r="L6761" i="5" s="1"/>
  <c r="R6777" i="5"/>
  <c r="S6777" i="5" s="1"/>
  <c r="L6777" i="5"/>
  <c r="K6795" i="5"/>
  <c r="L6795" i="5" s="1"/>
  <c r="R6917" i="5"/>
  <c r="S6917" i="5" s="1"/>
  <c r="L6692" i="5"/>
  <c r="K6726" i="5"/>
  <c r="L6726" i="5" s="1"/>
  <c r="K6821" i="5"/>
  <c r="L6821" i="5" s="1"/>
  <c r="K6842" i="5"/>
  <c r="L6842" i="5" s="1"/>
  <c r="K6671" i="5"/>
  <c r="R6671" i="5" s="1"/>
  <c r="S6671" i="5" s="1"/>
  <c r="R6681" i="5"/>
  <c r="S6681" i="5" s="1"/>
  <c r="R6688" i="5"/>
  <c r="S6688" i="5" s="1"/>
  <c r="R6704" i="5"/>
  <c r="S6704" i="5" s="1"/>
  <c r="L6714" i="5"/>
  <c r="R6717" i="5"/>
  <c r="S6717" i="5" s="1"/>
  <c r="R6725" i="5"/>
  <c r="S6725" i="5" s="1"/>
  <c r="L6736" i="5"/>
  <c r="L6769" i="5"/>
  <c r="P6995" i="5"/>
  <c r="K6719" i="5"/>
  <c r="L6676" i="5"/>
  <c r="K6702" i="5"/>
  <c r="R6702" i="5" s="1"/>
  <c r="S6702" i="5" s="1"/>
  <c r="R6687" i="5"/>
  <c r="S6687" i="5" s="1"/>
  <c r="K6728" i="5"/>
  <c r="L6728" i="5" s="1"/>
  <c r="L6694" i="5"/>
  <c r="K6710" i="5"/>
  <c r="R6710" i="5" s="1"/>
  <c r="S6710" i="5" s="1"/>
  <c r="L6707" i="5"/>
  <c r="R6707" i="5"/>
  <c r="S6707" i="5" s="1"/>
  <c r="R6782" i="5"/>
  <c r="S6782" i="5" s="1"/>
  <c r="L6696" i="5"/>
  <c r="K6929" i="5"/>
  <c r="R6929" i="5" s="1"/>
  <c r="S6929" i="5" s="1"/>
  <c r="K6730" i="5"/>
  <c r="R6730" i="5" s="1"/>
  <c r="S6730" i="5" s="1"/>
  <c r="K6839" i="5"/>
  <c r="K6920" i="5"/>
  <c r="L6920" i="5" s="1"/>
  <c r="P6760" i="5"/>
  <c r="N6760" i="5"/>
  <c r="L6674" i="5"/>
  <c r="L6818" i="5"/>
  <c r="R6818" i="5"/>
  <c r="S6818" i="5" s="1"/>
  <c r="R6694" i="5"/>
  <c r="S6694" i="5" s="1"/>
  <c r="R6718" i="5"/>
  <c r="S6718" i="5" s="1"/>
  <c r="L6718" i="5"/>
  <c r="K6796" i="5"/>
  <c r="L6796" i="5" s="1"/>
  <c r="K6847" i="5"/>
  <c r="R6847" i="5" s="1"/>
  <c r="S6847" i="5" s="1"/>
  <c r="P6866" i="5"/>
  <c r="K6807" i="5"/>
  <c r="L6807" i="5" s="1"/>
  <c r="K6699" i="5"/>
  <c r="L6699" i="5" s="1"/>
  <c r="R6733" i="5"/>
  <c r="S6733" i="5" s="1"/>
  <c r="K6774" i="5"/>
  <c r="L6774" i="5" s="1"/>
  <c r="L6857" i="5"/>
  <c r="P6823" i="5"/>
  <c r="L6773" i="5"/>
  <c r="L6733" i="5"/>
  <c r="L6744" i="5"/>
  <c r="K6838" i="5"/>
  <c r="L6838" i="5" s="1"/>
  <c r="K6980" i="5"/>
  <c r="L6980" i="5" s="1"/>
  <c r="N6986" i="5"/>
  <c r="P6986" i="5"/>
  <c r="N6959" i="5"/>
  <c r="P6959" i="5"/>
  <c r="L6687" i="5"/>
  <c r="L6717" i="5"/>
  <c r="L6701" i="5"/>
  <c r="R6779" i="5"/>
  <c r="S6779" i="5" s="1"/>
  <c r="R6801" i="5"/>
  <c r="S6801" i="5" s="1"/>
  <c r="K6868" i="5"/>
  <c r="L6868" i="5" s="1"/>
  <c r="R6942" i="5"/>
  <c r="S6942" i="5" s="1"/>
  <c r="K6904" i="5"/>
  <c r="R6854" i="5"/>
  <c r="S6854" i="5" s="1"/>
  <c r="L6854" i="5"/>
  <c r="R6893" i="5"/>
  <c r="S6893" i="5" s="1"/>
  <c r="K6783" i="5"/>
  <c r="K6833" i="5"/>
  <c r="K6876" i="5"/>
  <c r="R6876" i="5" s="1"/>
  <c r="S6876" i="5" s="1"/>
  <c r="K6905" i="5"/>
  <c r="L6917" i="5"/>
  <c r="K6723" i="5"/>
  <c r="L6723" i="5" s="1"/>
  <c r="K6737" i="5"/>
  <c r="L6737" i="5" s="1"/>
  <c r="L6739" i="5"/>
  <c r="K6753" i="5"/>
  <c r="L6753" i="5" s="1"/>
  <c r="K6799" i="5"/>
  <c r="L6799" i="5" s="1"/>
  <c r="L6813" i="5"/>
  <c r="K6822" i="5"/>
  <c r="R6822" i="5" s="1"/>
  <c r="S6822" i="5" s="1"/>
  <c r="L6851" i="5"/>
  <c r="K6861" i="5"/>
  <c r="L6861" i="5" s="1"/>
  <c r="L6897" i="5"/>
  <c r="K7001" i="5"/>
  <c r="L7001" i="5" s="1"/>
  <c r="L6829" i="5"/>
  <c r="K6901" i="5"/>
  <c r="L6901" i="5" s="1"/>
  <c r="P6910" i="5"/>
  <c r="L6914" i="5"/>
  <c r="R6948" i="5"/>
  <c r="S6948" i="5" s="1"/>
  <c r="K6983" i="5"/>
  <c r="R6983" i="5" s="1"/>
  <c r="S6983" i="5" s="1"/>
  <c r="K6787" i="5"/>
  <c r="R6787" i="5" s="1"/>
  <c r="S6787" i="5" s="1"/>
  <c r="K6771" i="5"/>
  <c r="L6802" i="5"/>
  <c r="L6805" i="5"/>
  <c r="K6826" i="5"/>
  <c r="R6826" i="5" s="1"/>
  <c r="S6826" i="5" s="1"/>
  <c r="K6894" i="5"/>
  <c r="L6894" i="5" s="1"/>
  <c r="R6705" i="5"/>
  <c r="S6705" i="5" s="1"/>
  <c r="K6713" i="5"/>
  <c r="L6713" i="5" s="1"/>
  <c r="L6690" i="5"/>
  <c r="L6705" i="5"/>
  <c r="K6721" i="5"/>
  <c r="L6721" i="5" s="1"/>
  <c r="R6739" i="5"/>
  <c r="S6739" i="5" s="1"/>
  <c r="K6748" i="5"/>
  <c r="L6748" i="5" s="1"/>
  <c r="K6754" i="5"/>
  <c r="L6754" i="5" s="1"/>
  <c r="K6781" i="5"/>
  <c r="L6781" i="5" s="1"/>
  <c r="L6784" i="5"/>
  <c r="R6810" i="5"/>
  <c r="S6810" i="5" s="1"/>
  <c r="R6813" i="5"/>
  <c r="S6813" i="5" s="1"/>
  <c r="L6855" i="5"/>
  <c r="K6922" i="5"/>
  <c r="L6922" i="5" s="1"/>
  <c r="K6958" i="5"/>
  <c r="R6958" i="5" s="1"/>
  <c r="S6958" i="5" s="1"/>
  <c r="K6695" i="5"/>
  <c r="R6695" i="5" s="1"/>
  <c r="S6695" i="5" s="1"/>
  <c r="K6685" i="5"/>
  <c r="R6685" i="5" s="1"/>
  <c r="S6685" i="5" s="1"/>
  <c r="K6743" i="5"/>
  <c r="L6743" i="5" s="1"/>
  <c r="R6751" i="5"/>
  <c r="S6751" i="5" s="1"/>
  <c r="L6751" i="5"/>
  <c r="L6778" i="5"/>
  <c r="K6832" i="5"/>
  <c r="R6832" i="5" s="1"/>
  <c r="S6832" i="5" s="1"/>
  <c r="P6870" i="5"/>
  <c r="L6911" i="5"/>
  <c r="K6945" i="5"/>
  <c r="L6945" i="5" s="1"/>
  <c r="L6950" i="5"/>
  <c r="K6768" i="5"/>
  <c r="L6768" i="5" s="1"/>
  <c r="L6732" i="5"/>
  <c r="N6797" i="5"/>
  <c r="P6797" i="5"/>
  <c r="R6829" i="5"/>
  <c r="S6829" i="5" s="1"/>
  <c r="L6841" i="5"/>
  <c r="L6693" i="5"/>
  <c r="K6708" i="5"/>
  <c r="R6708" i="5" s="1"/>
  <c r="S6708" i="5" s="1"/>
  <c r="R6729" i="5"/>
  <c r="S6729" i="5" s="1"/>
  <c r="K6740" i="5"/>
  <c r="R6740" i="5" s="1"/>
  <c r="S6740" i="5" s="1"/>
  <c r="L6820" i="5"/>
  <c r="K6852" i="5"/>
  <c r="L6852" i="5" s="1"/>
  <c r="K6888" i="5"/>
  <c r="R6888" i="5" s="1"/>
  <c r="S6888" i="5" s="1"/>
  <c r="K6998" i="5"/>
  <c r="L6998" i="5" s="1"/>
  <c r="R6778" i="5"/>
  <c r="S6778" i="5" s="1"/>
  <c r="K6899" i="5"/>
  <c r="R6899" i="5" s="1"/>
  <c r="S6899" i="5" s="1"/>
  <c r="K6677" i="5"/>
  <c r="R6677" i="5" s="1"/>
  <c r="S6677" i="5" s="1"/>
  <c r="K6675" i="5"/>
  <c r="R6675" i="5" s="1"/>
  <c r="S6675" i="5" s="1"/>
  <c r="R6772" i="5"/>
  <c r="S6772" i="5" s="1"/>
  <c r="R6788" i="5"/>
  <c r="S6788" i="5" s="1"/>
  <c r="R6791" i="5"/>
  <c r="S6791" i="5" s="1"/>
  <c r="L6808" i="5"/>
  <c r="K6907" i="5"/>
  <c r="L6907" i="5" s="1"/>
  <c r="K6678" i="5"/>
  <c r="R6678" i="5" s="1"/>
  <c r="S6678" i="5" s="1"/>
  <c r="R6690" i="5"/>
  <c r="S6690" i="5" s="1"/>
  <c r="L6711" i="5"/>
  <c r="L6772" i="5"/>
  <c r="L6788" i="5"/>
  <c r="L6791" i="5"/>
  <c r="L6827" i="5"/>
  <c r="L6830" i="5"/>
  <c r="R6881" i="5"/>
  <c r="S6881" i="5" s="1"/>
  <c r="K6993" i="5"/>
  <c r="L6993" i="5" s="1"/>
  <c r="K6990" i="5"/>
  <c r="L6990" i="5" s="1"/>
  <c r="L6698" i="5"/>
  <c r="L6782" i="5"/>
  <c r="L6793" i="5"/>
  <c r="R6891" i="5"/>
  <c r="S6891" i="5" s="1"/>
  <c r="L6891" i="5"/>
  <c r="L6925" i="5"/>
  <c r="K6957" i="5"/>
  <c r="L6957" i="5" s="1"/>
  <c r="K6969" i="5"/>
  <c r="L6969" i="5" s="1"/>
  <c r="K6984" i="5"/>
  <c r="R6984" i="5" s="1"/>
  <c r="S6984" i="5" s="1"/>
  <c r="L6932" i="5"/>
  <c r="R6999" i="5"/>
  <c r="S6999" i="5" s="1"/>
  <c r="K7007" i="5"/>
  <c r="K6865" i="5"/>
  <c r="R6865" i="5" s="1"/>
  <c r="S6865" i="5" s="1"/>
  <c r="L6981" i="5"/>
  <c r="K7016" i="5"/>
  <c r="L6846" i="5"/>
  <c r="K6874" i="5"/>
  <c r="L6883" i="5"/>
  <c r="K6947" i="5"/>
  <c r="R6947" i="5" s="1"/>
  <c r="S6947" i="5" s="1"/>
  <c r="K6974" i="5"/>
  <c r="L6974" i="5" s="1"/>
  <c r="R6895" i="5"/>
  <c r="S6895" i="5" s="1"/>
  <c r="K6954" i="5"/>
  <c r="L6954" i="5" s="1"/>
  <c r="R6811" i="5"/>
  <c r="S6811" i="5" s="1"/>
  <c r="L6895" i="5"/>
  <c r="K6909" i="5"/>
  <c r="R6909" i="5" s="1"/>
  <c r="S6909" i="5" s="1"/>
  <c r="K6933" i="5"/>
  <c r="R6933" i="5" s="1"/>
  <c r="S6933" i="5" s="1"/>
  <c r="R6961" i="5"/>
  <c r="S6961" i="5" s="1"/>
  <c r="K7004" i="5"/>
  <c r="L7004" i="5" s="1"/>
  <c r="R6940" i="5"/>
  <c r="S6940" i="5" s="1"/>
  <c r="R6981" i="5"/>
  <c r="S6981" i="5" s="1"/>
  <c r="K6770" i="5"/>
  <c r="K6775" i="5"/>
  <c r="R6775" i="5" s="1"/>
  <c r="S6775" i="5" s="1"/>
  <c r="K6794" i="5"/>
  <c r="L6794" i="5" s="1"/>
  <c r="K6825" i="5"/>
  <c r="R6825" i="5" s="1"/>
  <c r="S6825" i="5" s="1"/>
  <c r="K6889" i="5"/>
  <c r="R6889" i="5" s="1"/>
  <c r="S6889" i="5" s="1"/>
  <c r="L6940" i="5"/>
  <c r="L6682" i="5"/>
  <c r="R6715" i="5"/>
  <c r="S6715" i="5" s="1"/>
  <c r="L6722" i="5"/>
  <c r="L6765" i="5"/>
  <c r="P6814" i="5"/>
  <c r="R6906" i="5"/>
  <c r="S6906" i="5" s="1"/>
  <c r="K6955" i="5"/>
  <c r="L6955" i="5" s="1"/>
  <c r="R6962" i="5"/>
  <c r="S6962" i="5" s="1"/>
  <c r="L6962" i="5"/>
  <c r="R6971" i="5"/>
  <c r="S6971" i="5" s="1"/>
  <c r="R6989" i="5"/>
  <c r="S6989" i="5" s="1"/>
  <c r="K6831" i="5"/>
  <c r="L6906" i="5"/>
  <c r="K6923" i="5"/>
  <c r="R6923" i="5" s="1"/>
  <c r="S6923" i="5" s="1"/>
  <c r="L6971" i="5"/>
  <c r="K6975" i="5"/>
  <c r="L6975" i="5" s="1"/>
  <c r="L6989" i="5"/>
  <c r="R6823" i="5"/>
  <c r="S6823" i="5" s="1"/>
  <c r="L6836" i="5"/>
  <c r="R6866" i="5"/>
  <c r="S6866" i="5" s="1"/>
  <c r="K6972" i="5"/>
  <c r="K6875" i="5"/>
  <c r="R6875" i="5" s="1"/>
  <c r="S6875" i="5" s="1"/>
  <c r="K6949" i="5"/>
  <c r="K6973" i="5"/>
  <c r="L6973" i="5" s="1"/>
  <c r="K7003" i="5"/>
  <c r="L7003" i="5" s="1"/>
  <c r="K6867" i="5"/>
  <c r="K6878" i="5"/>
  <c r="L6890" i="5"/>
  <c r="K6927" i="5"/>
  <c r="K6938" i="5"/>
  <c r="K6960" i="5"/>
  <c r="R6960" i="5" s="1"/>
  <c r="S6960" i="5" s="1"/>
  <c r="L6963" i="5"/>
  <c r="K6976" i="5"/>
  <c r="L6976" i="5" s="1"/>
  <c r="L6982" i="5"/>
  <c r="R6814" i="5"/>
  <c r="S6814" i="5" s="1"/>
  <c r="K6845" i="5"/>
  <c r="L6845" i="5" s="1"/>
  <c r="K6864" i="5"/>
  <c r="L6767" i="5"/>
  <c r="K6776" i="5"/>
  <c r="L6893" i="5"/>
  <c r="K6979" i="5"/>
  <c r="R6979" i="5" s="1"/>
  <c r="S6979" i="5" s="1"/>
  <c r="K6988" i="5"/>
  <c r="K6840" i="5"/>
  <c r="L6840" i="5" s="1"/>
  <c r="L6848" i="5"/>
  <c r="L6856" i="5"/>
  <c r="K6913" i="5"/>
  <c r="L6941" i="5"/>
  <c r="K6952" i="5"/>
  <c r="L6997" i="5"/>
  <c r="L6994" i="5"/>
  <c r="K6966" i="5"/>
  <c r="R6966" i="5" s="1"/>
  <c r="S6966" i="5" s="1"/>
  <c r="R6812" i="5"/>
  <c r="S6812" i="5" s="1"/>
  <c r="L6944" i="5"/>
  <c r="K6859" i="5"/>
  <c r="L6862" i="5"/>
  <c r="L6928" i="5"/>
  <c r="L7010" i="5"/>
  <c r="R7013" i="5"/>
  <c r="S7013" i="5" s="1"/>
  <c r="L6953" i="5"/>
  <c r="L6943" i="5"/>
  <c r="R7010" i="5"/>
  <c r="S7010" i="5" s="1"/>
  <c r="R6985" i="5"/>
  <c r="S6985" i="5" s="1"/>
  <c r="K6873" i="5"/>
  <c r="L6970" i="5"/>
  <c r="L6985" i="5"/>
  <c r="L7000" i="5"/>
  <c r="L7014" i="5"/>
  <c r="K7017" i="5"/>
  <c r="L7017" i="5" s="1"/>
  <c r="L7013" i="5"/>
  <c r="K6669" i="5"/>
  <c r="R6669" i="5" s="1"/>
  <c r="S6669" i="5" s="1"/>
  <c r="L12" i="17" l="1"/>
  <c r="O12" i="17" s="1"/>
  <c r="L9" i="17"/>
  <c r="O9" i="17" s="1"/>
  <c r="L20" i="17"/>
  <c r="L14" i="17"/>
  <c r="O14" i="17" s="1"/>
  <c r="L8" i="17"/>
  <c r="O8" i="17" s="1"/>
  <c r="L24" i="17"/>
  <c r="O24" i="17" s="1"/>
  <c r="L11" i="17"/>
  <c r="D39" i="17"/>
  <c r="H39" i="17"/>
  <c r="S39" i="17"/>
  <c r="T39" i="17" s="1"/>
  <c r="R6927" i="5"/>
  <c r="S6927" i="5" s="1"/>
  <c r="N6863" i="5"/>
  <c r="O6863" i="5" s="1"/>
  <c r="R6871" i="5"/>
  <c r="S6871" i="5" s="1"/>
  <c r="R6905" i="5"/>
  <c r="S6905" i="5" s="1"/>
  <c r="O6887" i="5"/>
  <c r="O6681" i="5"/>
  <c r="R6833" i="5"/>
  <c r="S6833" i="5" s="1"/>
  <c r="O6860" i="5"/>
  <c r="O6688" i="5"/>
  <c r="R6771" i="5"/>
  <c r="S6771" i="5" s="1"/>
  <c r="U6716" i="5"/>
  <c r="V6716" i="5" s="1"/>
  <c r="O6704" i="5"/>
  <c r="R6845" i="5"/>
  <c r="S6845" i="5" s="1"/>
  <c r="R6703" i="5"/>
  <c r="S6703" i="5" s="1"/>
  <c r="N6916" i="5"/>
  <c r="R6972" i="5"/>
  <c r="S6972" i="5" s="1"/>
  <c r="R6770" i="5"/>
  <c r="S6770" i="5" s="1"/>
  <c r="R6892" i="5"/>
  <c r="S6892" i="5" s="1"/>
  <c r="R6908" i="5"/>
  <c r="S6908" i="5" s="1"/>
  <c r="N6672" i="5"/>
  <c r="O6672" i="5" s="1"/>
  <c r="N6689" i="5"/>
  <c r="D41" i="17"/>
  <c r="R6843" i="5"/>
  <c r="S6843" i="5" s="1"/>
  <c r="R6737" i="5"/>
  <c r="S6737" i="5" s="1"/>
  <c r="R6864" i="5"/>
  <c r="S6864" i="5" s="1"/>
  <c r="R6783" i="5"/>
  <c r="S6783" i="5" s="1"/>
  <c r="R6886" i="5"/>
  <c r="S6886" i="5" s="1"/>
  <c r="R6762" i="5"/>
  <c r="S6762" i="5" s="1"/>
  <c r="R6964" i="5"/>
  <c r="S6964" i="5" s="1"/>
  <c r="R6988" i="5"/>
  <c r="S6988" i="5" s="1"/>
  <c r="L6930" i="5"/>
  <c r="P6930" i="5" s="1"/>
  <c r="R6796" i="5"/>
  <c r="S6796" i="5" s="1"/>
  <c r="N7006" i="5"/>
  <c r="R6878" i="5"/>
  <c r="S6878" i="5" s="1"/>
  <c r="R6719" i="5"/>
  <c r="S6719" i="5" s="1"/>
  <c r="R6867" i="5"/>
  <c r="S6867" i="5" s="1"/>
  <c r="R7012" i="5"/>
  <c r="S7012" i="5" s="1"/>
  <c r="P6749" i="5"/>
  <c r="U6749" i="5" s="1"/>
  <c r="V6749" i="5" s="1"/>
  <c r="O6763" i="5"/>
  <c r="N6835" i="5"/>
  <c r="U6967" i="5"/>
  <c r="V6967" i="5" s="1"/>
  <c r="R6874" i="5"/>
  <c r="S6874" i="5" s="1"/>
  <c r="N6877" i="5"/>
  <c r="O6877" i="5" s="1"/>
  <c r="R6839" i="5"/>
  <c r="S6839" i="5" s="1"/>
  <c r="L6710" i="5"/>
  <c r="P6710" i="5" s="1"/>
  <c r="R6904" i="5"/>
  <c r="S6904" i="5" s="1"/>
  <c r="R6952" i="5"/>
  <c r="S6952" i="5" s="1"/>
  <c r="N6684" i="5"/>
  <c r="O6684" i="5" s="1"/>
  <c r="R6809" i="5"/>
  <c r="S6809" i="5" s="1"/>
  <c r="R6913" i="5"/>
  <c r="S6913" i="5" s="1"/>
  <c r="R6949" i="5"/>
  <c r="S6949" i="5" s="1"/>
  <c r="R7007" i="5"/>
  <c r="S7007" i="5" s="1"/>
  <c r="L6875" i="5"/>
  <c r="N6875" i="5" s="1"/>
  <c r="L6929" i="5"/>
  <c r="N6929" i="5" s="1"/>
  <c r="R6968" i="5"/>
  <c r="S6968" i="5" s="1"/>
  <c r="N6869" i="5"/>
  <c r="O6869" i="5" s="1"/>
  <c r="R6859" i="5"/>
  <c r="S6859" i="5" s="1"/>
  <c r="R6755" i="5"/>
  <c r="S6755" i="5" s="1"/>
  <c r="R6965" i="5"/>
  <c r="S6965" i="5" s="1"/>
  <c r="P7006" i="5"/>
  <c r="R6901" i="5"/>
  <c r="S6901" i="5" s="1"/>
  <c r="R7016" i="5"/>
  <c r="S7016" i="5" s="1"/>
  <c r="R6800" i="5"/>
  <c r="S6800" i="5" s="1"/>
  <c r="R7006" i="5"/>
  <c r="S7006" i="5" s="1"/>
  <c r="O6866" i="5"/>
  <c r="U6887" i="5"/>
  <c r="V6887" i="5" s="1"/>
  <c r="R6776" i="5"/>
  <c r="S6776" i="5" s="1"/>
  <c r="R6873" i="5"/>
  <c r="S6873" i="5" s="1"/>
  <c r="N6683" i="5"/>
  <c r="U6978" i="5"/>
  <c r="V6978" i="5" s="1"/>
  <c r="R6954" i="5"/>
  <c r="S6954" i="5" s="1"/>
  <c r="R6785" i="5"/>
  <c r="S6785" i="5" s="1"/>
  <c r="R6926" i="5"/>
  <c r="S6926" i="5" s="1"/>
  <c r="L6770" i="5"/>
  <c r="N6770" i="5" s="1"/>
  <c r="N6903" i="5"/>
  <c r="N6697" i="5"/>
  <c r="O6697" i="5" s="1"/>
  <c r="N6996" i="5"/>
  <c r="R6921" i="5"/>
  <c r="S6921" i="5" s="1"/>
  <c r="U6860" i="5"/>
  <c r="V6860" i="5" s="1"/>
  <c r="R6853" i="5"/>
  <c r="S6853" i="5" s="1"/>
  <c r="R6831" i="5"/>
  <c r="S6831" i="5" s="1"/>
  <c r="N6804" i="5"/>
  <c r="N6948" i="5"/>
  <c r="R6938" i="5"/>
  <c r="S6938" i="5" s="1"/>
  <c r="O6812" i="5"/>
  <c r="U6812" i="5"/>
  <c r="V6812" i="5" s="1"/>
  <c r="L6832" i="5"/>
  <c r="N6832" i="5" s="1"/>
  <c r="O6742" i="5"/>
  <c r="L6849" i="5"/>
  <c r="N6849" i="5" s="1"/>
  <c r="R6990" i="5"/>
  <c r="S6990" i="5" s="1"/>
  <c r="L6755" i="5"/>
  <c r="N6755" i="5" s="1"/>
  <c r="O6978" i="5"/>
  <c r="R6758" i="5"/>
  <c r="S6758" i="5" s="1"/>
  <c r="L6898" i="5"/>
  <c r="L6752" i="5"/>
  <c r="P6752" i="5" s="1"/>
  <c r="L6905" i="5"/>
  <c r="P6905" i="5" s="1"/>
  <c r="R6918" i="5"/>
  <c r="S6918" i="5" s="1"/>
  <c r="N6902" i="5"/>
  <c r="O6902" i="5" s="1"/>
  <c r="O6716" i="5"/>
  <c r="R6919" i="5"/>
  <c r="S6919" i="5" s="1"/>
  <c r="N6961" i="5"/>
  <c r="U6961" i="5" s="1"/>
  <c r="V6961" i="5" s="1"/>
  <c r="L6826" i="5"/>
  <c r="P6826" i="5" s="1"/>
  <c r="N6700" i="5"/>
  <c r="N6992" i="5"/>
  <c r="O6992" i="5" s="1"/>
  <c r="R6912" i="5"/>
  <c r="S6912" i="5" s="1"/>
  <c r="U6715" i="5"/>
  <c r="V6715" i="5" s="1"/>
  <c r="L6853" i="5"/>
  <c r="P6853" i="5" s="1"/>
  <c r="L6876" i="5"/>
  <c r="P6876" i="5" s="1"/>
  <c r="U6681" i="5"/>
  <c r="V6681" i="5" s="1"/>
  <c r="R6670" i="5"/>
  <c r="S6670" i="5" s="1"/>
  <c r="L6817" i="5"/>
  <c r="P6817" i="5" s="1"/>
  <c r="L6871" i="5"/>
  <c r="N6871" i="5" s="1"/>
  <c r="L6786" i="5"/>
  <c r="P6786" i="5" s="1"/>
  <c r="L6730" i="5"/>
  <c r="P6730" i="5" s="1"/>
  <c r="R7002" i="5"/>
  <c r="S7002" i="5" s="1"/>
  <c r="N6987" i="5"/>
  <c r="U6741" i="5"/>
  <c r="V6741" i="5" s="1"/>
  <c r="R6973" i="5"/>
  <c r="S6973" i="5" s="1"/>
  <c r="R6951" i="5"/>
  <c r="S6951" i="5" s="1"/>
  <c r="L6780" i="5"/>
  <c r="P6780" i="5" s="1"/>
  <c r="R6720" i="5"/>
  <c r="S6720" i="5" s="1"/>
  <c r="O6967" i="5"/>
  <c r="O6870" i="5"/>
  <c r="L6847" i="5"/>
  <c r="N6847" i="5" s="1"/>
  <c r="L6792" i="5"/>
  <c r="N6792" i="5" s="1"/>
  <c r="U7011" i="5"/>
  <c r="V7011" i="5" s="1"/>
  <c r="L7012" i="5"/>
  <c r="N7009" i="5"/>
  <c r="O7009" i="5" s="1"/>
  <c r="R7004" i="5"/>
  <c r="S7004" i="5" s="1"/>
  <c r="U7005" i="5"/>
  <c r="V7005" i="5" s="1"/>
  <c r="P7002" i="5"/>
  <c r="N7002" i="5"/>
  <c r="R7001" i="5"/>
  <c r="S7001" i="5" s="1"/>
  <c r="R6993" i="5"/>
  <c r="S6993" i="5" s="1"/>
  <c r="N6991" i="5"/>
  <c r="P6991" i="5"/>
  <c r="R6976" i="5"/>
  <c r="S6976" i="5" s="1"/>
  <c r="L6964" i="5"/>
  <c r="L6960" i="5"/>
  <c r="N6960" i="5" s="1"/>
  <c r="N6956" i="5"/>
  <c r="O6956" i="5" s="1"/>
  <c r="P6936" i="5"/>
  <c r="O6936" i="5" s="1"/>
  <c r="L6937" i="5"/>
  <c r="L6933" i="5"/>
  <c r="P6933" i="5" s="1"/>
  <c r="L6921" i="5"/>
  <c r="P6921" i="5" s="1"/>
  <c r="N6912" i="5"/>
  <c r="P6912" i="5"/>
  <c r="L6913" i="5"/>
  <c r="P6913" i="5" s="1"/>
  <c r="R6884" i="5"/>
  <c r="S6884" i="5" s="1"/>
  <c r="P6880" i="5"/>
  <c r="R6879" i="5"/>
  <c r="S6879" i="5" s="1"/>
  <c r="L6872" i="5"/>
  <c r="P6843" i="5"/>
  <c r="N6843" i="5"/>
  <c r="L6839" i="5"/>
  <c r="N6839" i="5" s="1"/>
  <c r="R6837" i="5"/>
  <c r="S6837" i="5" s="1"/>
  <c r="P6835" i="5"/>
  <c r="N6828" i="5"/>
  <c r="U6828" i="5" s="1"/>
  <c r="V6828" i="5" s="1"/>
  <c r="P6819" i="5"/>
  <c r="N6819" i="5"/>
  <c r="L6815" i="5"/>
  <c r="P6809" i="5"/>
  <c r="N6809" i="5"/>
  <c r="N6810" i="5"/>
  <c r="U6810" i="5" s="1"/>
  <c r="V6810" i="5" s="1"/>
  <c r="O6806" i="5"/>
  <c r="P6800" i="5"/>
  <c r="N6800" i="5"/>
  <c r="R6798" i="5"/>
  <c r="S6798" i="5" s="1"/>
  <c r="R6795" i="5"/>
  <c r="S6795" i="5" s="1"/>
  <c r="P6790" i="5"/>
  <c r="U6790" i="5" s="1"/>
  <c r="V6790" i="5" s="1"/>
  <c r="U6763" i="5"/>
  <c r="V6763" i="5" s="1"/>
  <c r="L6762" i="5"/>
  <c r="P6758" i="5"/>
  <c r="N6758" i="5"/>
  <c r="R6743" i="5"/>
  <c r="S6743" i="5" s="1"/>
  <c r="U6742" i="5"/>
  <c r="V6742" i="5" s="1"/>
  <c r="N6731" i="5"/>
  <c r="O6731" i="5" s="1"/>
  <c r="R6728" i="5"/>
  <c r="S6728" i="5" s="1"/>
  <c r="N6724" i="5"/>
  <c r="O6724" i="5" s="1"/>
  <c r="L6709" i="5"/>
  <c r="P6709" i="5" s="1"/>
  <c r="L6706" i="5"/>
  <c r="P6706" i="5" s="1"/>
  <c r="R6699" i="5"/>
  <c r="S6699" i="5" s="1"/>
  <c r="L6695" i="5"/>
  <c r="P6695" i="5" s="1"/>
  <c r="P6689" i="5"/>
  <c r="L6686" i="5"/>
  <c r="P6686" i="5" s="1"/>
  <c r="P6683" i="5"/>
  <c r="L6685" i="5"/>
  <c r="N6685" i="5" s="1"/>
  <c r="N6750" i="5"/>
  <c r="P6750" i="5"/>
  <c r="P6926" i="5"/>
  <c r="N6926" i="5"/>
  <c r="P6919" i="5"/>
  <c r="N6919" i="5"/>
  <c r="P6703" i="5"/>
  <c r="N6703" i="5"/>
  <c r="P6965" i="5"/>
  <c r="N6965" i="5"/>
  <c r="N6968" i="5"/>
  <c r="P6968" i="5"/>
  <c r="N6939" i="5"/>
  <c r="P6939" i="5"/>
  <c r="L7007" i="5"/>
  <c r="N7007" i="5" s="1"/>
  <c r="L6958" i="5"/>
  <c r="P6958" i="5" s="1"/>
  <c r="N6935" i="5"/>
  <c r="R6738" i="5"/>
  <c r="S6738" i="5" s="1"/>
  <c r="R6750" i="5"/>
  <c r="S6750" i="5" s="1"/>
  <c r="L6834" i="5"/>
  <c r="L6979" i="5"/>
  <c r="P6979" i="5" s="1"/>
  <c r="L6988" i="5"/>
  <c r="P6988" i="5" s="1"/>
  <c r="P7008" i="5"/>
  <c r="N7008" i="5"/>
  <c r="L6934" i="5"/>
  <c r="P6987" i="5"/>
  <c r="P6837" i="5"/>
  <c r="N6837" i="5"/>
  <c r="L6908" i="5"/>
  <c r="R6998" i="5"/>
  <c r="S6998" i="5" s="1"/>
  <c r="L6678" i="5"/>
  <c r="P6678" i="5" s="1"/>
  <c r="N6931" i="5"/>
  <c r="O6931" i="5" s="1"/>
  <c r="R6768" i="5"/>
  <c r="S6768" i="5" s="1"/>
  <c r="P6903" i="5"/>
  <c r="P6916" i="5"/>
  <c r="R6975" i="5"/>
  <c r="S6975" i="5" s="1"/>
  <c r="U6803" i="5"/>
  <c r="V6803" i="5" s="1"/>
  <c r="L6787" i="5"/>
  <c r="P6787" i="5" s="1"/>
  <c r="R6902" i="5"/>
  <c r="S6902" i="5" s="1"/>
  <c r="R6672" i="5"/>
  <c r="S6672" i="5" s="1"/>
  <c r="P6996" i="5"/>
  <c r="N6746" i="5"/>
  <c r="R6840" i="5"/>
  <c r="S6840" i="5" s="1"/>
  <c r="L6831" i="5"/>
  <c r="P6831" i="5" s="1"/>
  <c r="L6952" i="5"/>
  <c r="P6952" i="5" s="1"/>
  <c r="N6757" i="5"/>
  <c r="R6907" i="5"/>
  <c r="S6907" i="5" s="1"/>
  <c r="N6885" i="5"/>
  <c r="L6833" i="5"/>
  <c r="P6833" i="5" s="1"/>
  <c r="L6756" i="5"/>
  <c r="U6806" i="5"/>
  <c r="V6806" i="5" s="1"/>
  <c r="R7015" i="5"/>
  <c r="S7015" i="5" s="1"/>
  <c r="P6804" i="5"/>
  <c r="R6748" i="5"/>
  <c r="S6748" i="5" s="1"/>
  <c r="O6715" i="5"/>
  <c r="O6823" i="5"/>
  <c r="P6884" i="5"/>
  <c r="N6884" i="5"/>
  <c r="L6947" i="5"/>
  <c r="N6947" i="5" s="1"/>
  <c r="U6727" i="5"/>
  <c r="V6727" i="5" s="1"/>
  <c r="N6735" i="5"/>
  <c r="L6783" i="5"/>
  <c r="P6783" i="5" s="1"/>
  <c r="O6760" i="5"/>
  <c r="R6781" i="5"/>
  <c r="S6781" i="5" s="1"/>
  <c r="N6946" i="5"/>
  <c r="O6946" i="5" s="1"/>
  <c r="L6951" i="5"/>
  <c r="U6866" i="5"/>
  <c r="V6866" i="5" s="1"/>
  <c r="L6844" i="5"/>
  <c r="R6974" i="5"/>
  <c r="S6974" i="5" s="1"/>
  <c r="L6896" i="5"/>
  <c r="R6721" i="5"/>
  <c r="S6721" i="5" s="1"/>
  <c r="L6671" i="5"/>
  <c r="P6671" i="5" s="1"/>
  <c r="R7017" i="5"/>
  <c r="S7017" i="5" s="1"/>
  <c r="L6949" i="5"/>
  <c r="N6949" i="5" s="1"/>
  <c r="R6753" i="5"/>
  <c r="S6753" i="5" s="1"/>
  <c r="L6858" i="5"/>
  <c r="L6923" i="5"/>
  <c r="P6923" i="5" s="1"/>
  <c r="N6892" i="5"/>
  <c r="O6892" i="5" s="1"/>
  <c r="P6948" i="5"/>
  <c r="P6789" i="5"/>
  <c r="N6789" i="5"/>
  <c r="N6747" i="5"/>
  <c r="O6747" i="5" s="1"/>
  <c r="P6700" i="5"/>
  <c r="L6882" i="5"/>
  <c r="P6882" i="5" s="1"/>
  <c r="L6983" i="5"/>
  <c r="N6983" i="5" s="1"/>
  <c r="R6861" i="5"/>
  <c r="S6861" i="5" s="1"/>
  <c r="R6939" i="5"/>
  <c r="S6939" i="5" s="1"/>
  <c r="P6980" i="5"/>
  <c r="N6980" i="5"/>
  <c r="P6969" i="5"/>
  <c r="N6969" i="5"/>
  <c r="P6945" i="5"/>
  <c r="N6945" i="5"/>
  <c r="P6907" i="5"/>
  <c r="N6907" i="5"/>
  <c r="P6879" i="5"/>
  <c r="N6879" i="5"/>
  <c r="P6850" i="5"/>
  <c r="N6850" i="5"/>
  <c r="P6798" i="5"/>
  <c r="N6798" i="5"/>
  <c r="N6738" i="5"/>
  <c r="P6738" i="5"/>
  <c r="N6699" i="5"/>
  <c r="P6699" i="5"/>
  <c r="P7003" i="5"/>
  <c r="N7003" i="5"/>
  <c r="P6794" i="5"/>
  <c r="N6794" i="5"/>
  <c r="P7004" i="5"/>
  <c r="N7004" i="5"/>
  <c r="N6955" i="5"/>
  <c r="P6955" i="5"/>
  <c r="P6993" i="5"/>
  <c r="N6993" i="5"/>
  <c r="N6807" i="5"/>
  <c r="P6807" i="5"/>
  <c r="P6737" i="5"/>
  <c r="N6737" i="5"/>
  <c r="P6894" i="5"/>
  <c r="N6894" i="5"/>
  <c r="N6886" i="5"/>
  <c r="P6886" i="5"/>
  <c r="N6821" i="5"/>
  <c r="P6821" i="5"/>
  <c r="P6799" i="5"/>
  <c r="N6799" i="5"/>
  <c r="P6920" i="5"/>
  <c r="N6920" i="5"/>
  <c r="P6842" i="5"/>
  <c r="N6842" i="5"/>
  <c r="P6726" i="5"/>
  <c r="N6726" i="5"/>
  <c r="P6973" i="5"/>
  <c r="N6973" i="5"/>
  <c r="N6845" i="5"/>
  <c r="P6845" i="5"/>
  <c r="P6761" i="5"/>
  <c r="N6761" i="5"/>
  <c r="N6774" i="5"/>
  <c r="P6774" i="5"/>
  <c r="P6998" i="5"/>
  <c r="N6998" i="5"/>
  <c r="P6713" i="5"/>
  <c r="N6713" i="5"/>
  <c r="N6861" i="5"/>
  <c r="P6861" i="5"/>
  <c r="P6690" i="5"/>
  <c r="N6690" i="5"/>
  <c r="U6910" i="5"/>
  <c r="V6910" i="5" s="1"/>
  <c r="O6910" i="5"/>
  <c r="P6696" i="5"/>
  <c r="N6696" i="5"/>
  <c r="L6927" i="5"/>
  <c r="L6702" i="5"/>
  <c r="P6824" i="5"/>
  <c r="N6824" i="5"/>
  <c r="O6915" i="5"/>
  <c r="U6915" i="5"/>
  <c r="V6915" i="5" s="1"/>
  <c r="L6966" i="5"/>
  <c r="N6925" i="5"/>
  <c r="P6925" i="5"/>
  <c r="R6922" i="5"/>
  <c r="S6922" i="5" s="1"/>
  <c r="U6870" i="5"/>
  <c r="V6870" i="5" s="1"/>
  <c r="R6807" i="5"/>
  <c r="S6807" i="5" s="1"/>
  <c r="R6920" i="5"/>
  <c r="S6920" i="5" s="1"/>
  <c r="P6676" i="5"/>
  <c r="N6676" i="5"/>
  <c r="R6713" i="5"/>
  <c r="S6713" i="5" s="1"/>
  <c r="O6942" i="5"/>
  <c r="U6942" i="5"/>
  <c r="V6942" i="5" s="1"/>
  <c r="U6760" i="5"/>
  <c r="V6760" i="5" s="1"/>
  <c r="P6827" i="5"/>
  <c r="N6827" i="5"/>
  <c r="L6899" i="5"/>
  <c r="N6855" i="5"/>
  <c r="P6855" i="5"/>
  <c r="P6854" i="5"/>
  <c r="N6854" i="5"/>
  <c r="N6717" i="5"/>
  <c r="P6717" i="5"/>
  <c r="P6707" i="5"/>
  <c r="N6707" i="5"/>
  <c r="R6842" i="5"/>
  <c r="S6842" i="5" s="1"/>
  <c r="U6881" i="5"/>
  <c r="V6881" i="5" s="1"/>
  <c r="O6881" i="5"/>
  <c r="L6864" i="5"/>
  <c r="L6909" i="5"/>
  <c r="P6687" i="5"/>
  <c r="N6687" i="5"/>
  <c r="R6821" i="5"/>
  <c r="S6821" i="5" s="1"/>
  <c r="O6680" i="5"/>
  <c r="P6914" i="5"/>
  <c r="N6914" i="5"/>
  <c r="P6712" i="5"/>
  <c r="N6712" i="5"/>
  <c r="N6682" i="5"/>
  <c r="P6682" i="5"/>
  <c r="P6813" i="5"/>
  <c r="N6813" i="5"/>
  <c r="L6938" i="5"/>
  <c r="R6850" i="5"/>
  <c r="S6850" i="5" s="1"/>
  <c r="P6895" i="5"/>
  <c r="N6895" i="5"/>
  <c r="N6753" i="5"/>
  <c r="P6753" i="5"/>
  <c r="R6945" i="5"/>
  <c r="S6945" i="5" s="1"/>
  <c r="N6701" i="5"/>
  <c r="P6701" i="5"/>
  <c r="O6816" i="5"/>
  <c r="U6816" i="5"/>
  <c r="V6816" i="5" s="1"/>
  <c r="P6890" i="5"/>
  <c r="N6890" i="5"/>
  <c r="L6675" i="5"/>
  <c r="P6994" i="5"/>
  <c r="N6994" i="5"/>
  <c r="N6954" i="5"/>
  <c r="P6954" i="5"/>
  <c r="L6867" i="5"/>
  <c r="P6773" i="5"/>
  <c r="N6773" i="5"/>
  <c r="P6943" i="5"/>
  <c r="N6943" i="5"/>
  <c r="P6751" i="5"/>
  <c r="N6751" i="5"/>
  <c r="P7015" i="5"/>
  <c r="N7015" i="5"/>
  <c r="P6772" i="5"/>
  <c r="N6772" i="5"/>
  <c r="R6761" i="5"/>
  <c r="S6761" i="5" s="1"/>
  <c r="P6781" i="5"/>
  <c r="N6781" i="5"/>
  <c r="L6904" i="5"/>
  <c r="N6989" i="5"/>
  <c r="P6989" i="5"/>
  <c r="L6825" i="5"/>
  <c r="N6711" i="5"/>
  <c r="P6711" i="5"/>
  <c r="P6841" i="5"/>
  <c r="N6841" i="5"/>
  <c r="L6771" i="5"/>
  <c r="P6897" i="5"/>
  <c r="N6897" i="5"/>
  <c r="R6726" i="5"/>
  <c r="S6726" i="5" s="1"/>
  <c r="N6745" i="5"/>
  <c r="P6745" i="5"/>
  <c r="P7014" i="5"/>
  <c r="N7014" i="5"/>
  <c r="P6714" i="5"/>
  <c r="N6714" i="5"/>
  <c r="P6985" i="5"/>
  <c r="N6985" i="5"/>
  <c r="N6818" i="5"/>
  <c r="P6818" i="5"/>
  <c r="P6739" i="5"/>
  <c r="N6739" i="5"/>
  <c r="L6873" i="5"/>
  <c r="P6922" i="5"/>
  <c r="N6922" i="5"/>
  <c r="P6802" i="5"/>
  <c r="N6802" i="5"/>
  <c r="P6975" i="5"/>
  <c r="N6975" i="5"/>
  <c r="R6794" i="5"/>
  <c r="S6794" i="5" s="1"/>
  <c r="R6754" i="5"/>
  <c r="S6754" i="5" s="1"/>
  <c r="P6694" i="5"/>
  <c r="N6694" i="5"/>
  <c r="O6691" i="5"/>
  <c r="U6691" i="5"/>
  <c r="V6691" i="5" s="1"/>
  <c r="U6811" i="5"/>
  <c r="V6811" i="5" s="1"/>
  <c r="U6999" i="5"/>
  <c r="V6999" i="5" s="1"/>
  <c r="O6999" i="5"/>
  <c r="P6990" i="5"/>
  <c r="N6990" i="5"/>
  <c r="N6820" i="5"/>
  <c r="P6820" i="5"/>
  <c r="P6777" i="5"/>
  <c r="N6777" i="5"/>
  <c r="L6972" i="5"/>
  <c r="P6733" i="5"/>
  <c r="N6733" i="5"/>
  <c r="R6957" i="5"/>
  <c r="S6957" i="5" s="1"/>
  <c r="U6688" i="5"/>
  <c r="V6688" i="5" s="1"/>
  <c r="P6768" i="5"/>
  <c r="N6768" i="5"/>
  <c r="L6740" i="5"/>
  <c r="P6829" i="5"/>
  <c r="N6829" i="5"/>
  <c r="P6962" i="5"/>
  <c r="N6962" i="5"/>
  <c r="P6917" i="5"/>
  <c r="N6917" i="5"/>
  <c r="N6673" i="5"/>
  <c r="P6673" i="5"/>
  <c r="U6995" i="5"/>
  <c r="V6995" i="5" s="1"/>
  <c r="O6995" i="5"/>
  <c r="L6785" i="5"/>
  <c r="N6941" i="5"/>
  <c r="P6941" i="5"/>
  <c r="O6959" i="5"/>
  <c r="U6959" i="5"/>
  <c r="V6959" i="5" s="1"/>
  <c r="N6891" i="5"/>
  <c r="P6891" i="5"/>
  <c r="N6856" i="5"/>
  <c r="P6856" i="5"/>
  <c r="N6848" i="5"/>
  <c r="P6848" i="5"/>
  <c r="L6878" i="5"/>
  <c r="L6775" i="5"/>
  <c r="P6974" i="5"/>
  <c r="N6974" i="5"/>
  <c r="P6743" i="5"/>
  <c r="N6743" i="5"/>
  <c r="P6748" i="5"/>
  <c r="N6748" i="5"/>
  <c r="O6986" i="5"/>
  <c r="U6986" i="5"/>
  <c r="V6986" i="5" s="1"/>
  <c r="R6723" i="5"/>
  <c r="S6723" i="5" s="1"/>
  <c r="N6728" i="5"/>
  <c r="P6728" i="5"/>
  <c r="N6893" i="5"/>
  <c r="P6893" i="5"/>
  <c r="N6950" i="5"/>
  <c r="P6950" i="5"/>
  <c r="R6838" i="5"/>
  <c r="S6838" i="5" s="1"/>
  <c r="P6720" i="5"/>
  <c r="N6720" i="5"/>
  <c r="L6859" i="5"/>
  <c r="P6674" i="5"/>
  <c r="N6674" i="5"/>
  <c r="R6894" i="5"/>
  <c r="S6894" i="5" s="1"/>
  <c r="R6969" i="5"/>
  <c r="S6969" i="5" s="1"/>
  <c r="P6744" i="5"/>
  <c r="N6744" i="5"/>
  <c r="P6670" i="5"/>
  <c r="N6670" i="5"/>
  <c r="N6723" i="5"/>
  <c r="P6723" i="5"/>
  <c r="P6791" i="5"/>
  <c r="N6791" i="5"/>
  <c r="L6708" i="5"/>
  <c r="P6754" i="5"/>
  <c r="N6754" i="5"/>
  <c r="N6796" i="5"/>
  <c r="P6796" i="5"/>
  <c r="P6928" i="5"/>
  <c r="N6928" i="5"/>
  <c r="P6840" i="5"/>
  <c r="N6840" i="5"/>
  <c r="P6932" i="5"/>
  <c r="N6932" i="5"/>
  <c r="U6823" i="5"/>
  <c r="V6823" i="5" s="1"/>
  <c r="O6797" i="5"/>
  <c r="U6797" i="5"/>
  <c r="V6797" i="5" s="1"/>
  <c r="R6799" i="5"/>
  <c r="S6799" i="5" s="1"/>
  <c r="R6980" i="5"/>
  <c r="S6980" i="5" s="1"/>
  <c r="L6677" i="5"/>
  <c r="L6759" i="5"/>
  <c r="U6680" i="5"/>
  <c r="V6680" i="5" s="1"/>
  <c r="N6808" i="5"/>
  <c r="P6808" i="5"/>
  <c r="U6924" i="5"/>
  <c r="V6924" i="5" s="1"/>
  <c r="O6924" i="5"/>
  <c r="L6888" i="5"/>
  <c r="P6838" i="5"/>
  <c r="N6838" i="5"/>
  <c r="N6852" i="5"/>
  <c r="P6852" i="5"/>
  <c r="N6901" i="5"/>
  <c r="P6901" i="5"/>
  <c r="P6970" i="5"/>
  <c r="N6970" i="5"/>
  <c r="N6911" i="5"/>
  <c r="P6911" i="5"/>
  <c r="U6801" i="5"/>
  <c r="V6801" i="5" s="1"/>
  <c r="O6801" i="5"/>
  <c r="P6976" i="5"/>
  <c r="N6976" i="5"/>
  <c r="N6981" i="5"/>
  <c r="P6981" i="5"/>
  <c r="P6957" i="5"/>
  <c r="N6957" i="5"/>
  <c r="U6725" i="5"/>
  <c r="V6725" i="5" s="1"/>
  <c r="O6725" i="5"/>
  <c r="P6778" i="5"/>
  <c r="N6778" i="5"/>
  <c r="O6766" i="5"/>
  <c r="U6766" i="5"/>
  <c r="V6766" i="5" s="1"/>
  <c r="P6805" i="5"/>
  <c r="N6805" i="5"/>
  <c r="L6865" i="5"/>
  <c r="P6953" i="5"/>
  <c r="N6953" i="5"/>
  <c r="P6918" i="5"/>
  <c r="N6918" i="5"/>
  <c r="N6784" i="5"/>
  <c r="P6784" i="5"/>
  <c r="L6776" i="5"/>
  <c r="R6955" i="5"/>
  <c r="S6955" i="5" s="1"/>
  <c r="L7016" i="5"/>
  <c r="P6851" i="5"/>
  <c r="N6851" i="5"/>
  <c r="P6857" i="5"/>
  <c r="N6857" i="5"/>
  <c r="N7013" i="5"/>
  <c r="P7013" i="5"/>
  <c r="N6862" i="5"/>
  <c r="P6862" i="5"/>
  <c r="N6906" i="5"/>
  <c r="P6906" i="5"/>
  <c r="O6814" i="5"/>
  <c r="U6814" i="5"/>
  <c r="V6814" i="5" s="1"/>
  <c r="P6782" i="5"/>
  <c r="N6782" i="5"/>
  <c r="P6732" i="5"/>
  <c r="N6732" i="5"/>
  <c r="P6721" i="5"/>
  <c r="N6721" i="5"/>
  <c r="R6868" i="5"/>
  <c r="S6868" i="5" s="1"/>
  <c r="P6718" i="5"/>
  <c r="N6718" i="5"/>
  <c r="L6719" i="5"/>
  <c r="P6846" i="5"/>
  <c r="N6846" i="5"/>
  <c r="P7000" i="5"/>
  <c r="N7000" i="5"/>
  <c r="P6795" i="5"/>
  <c r="N6795" i="5"/>
  <c r="P6767" i="5"/>
  <c r="N6767" i="5"/>
  <c r="R6852" i="5"/>
  <c r="S6852" i="5" s="1"/>
  <c r="O6779" i="5"/>
  <c r="U6779" i="5"/>
  <c r="V6779" i="5" s="1"/>
  <c r="P6836" i="5"/>
  <c r="N6836" i="5"/>
  <c r="P6788" i="5"/>
  <c r="N6788" i="5"/>
  <c r="L6889" i="5"/>
  <c r="N7010" i="5"/>
  <c r="P7010" i="5"/>
  <c r="N6982" i="5"/>
  <c r="P6982" i="5"/>
  <c r="R7003" i="5"/>
  <c r="S7003" i="5" s="1"/>
  <c r="P6793" i="5"/>
  <c r="N6793" i="5"/>
  <c r="P6764" i="5"/>
  <c r="N6764" i="5"/>
  <c r="U6704" i="5"/>
  <c r="V6704" i="5" s="1"/>
  <c r="P6963" i="5"/>
  <c r="N6963" i="5"/>
  <c r="N6765" i="5"/>
  <c r="P6765" i="5"/>
  <c r="L6984" i="5"/>
  <c r="P6698" i="5"/>
  <c r="N6698" i="5"/>
  <c r="R6774" i="5"/>
  <c r="S6774" i="5" s="1"/>
  <c r="P6769" i="5"/>
  <c r="N6769" i="5"/>
  <c r="P6900" i="5"/>
  <c r="N6900" i="5"/>
  <c r="N6940" i="5"/>
  <c r="P6940" i="5"/>
  <c r="N6679" i="5"/>
  <c r="P6679" i="5"/>
  <c r="N6944" i="5"/>
  <c r="P6944" i="5"/>
  <c r="U6734" i="5"/>
  <c r="V6734" i="5" s="1"/>
  <c r="O6734" i="5"/>
  <c r="P6997" i="5"/>
  <c r="N6997" i="5"/>
  <c r="N6830" i="5"/>
  <c r="P6830" i="5"/>
  <c r="L6874" i="5"/>
  <c r="P7001" i="5"/>
  <c r="N7001" i="5"/>
  <c r="N6693" i="5"/>
  <c r="P6693" i="5"/>
  <c r="N6971" i="5"/>
  <c r="P6971" i="5"/>
  <c r="P6868" i="5"/>
  <c r="N6868" i="5"/>
  <c r="P7017" i="5"/>
  <c r="N7017" i="5"/>
  <c r="N6722" i="5"/>
  <c r="P6722" i="5"/>
  <c r="N6883" i="5"/>
  <c r="P6883" i="5"/>
  <c r="O6977" i="5"/>
  <c r="U6977" i="5"/>
  <c r="V6977" i="5" s="1"/>
  <c r="P6705" i="5"/>
  <c r="N6705" i="5"/>
  <c r="L6822" i="5"/>
  <c r="P6736" i="5"/>
  <c r="N6736" i="5"/>
  <c r="P6692" i="5"/>
  <c r="N6692" i="5"/>
  <c r="U6729" i="5"/>
  <c r="V6729" i="5" s="1"/>
  <c r="O6741" i="5"/>
  <c r="L6669" i="5"/>
  <c r="O20" i="17" l="1"/>
  <c r="E12" i="7"/>
  <c r="I39" i="17"/>
  <c r="U6863" i="5"/>
  <c r="V6863" i="5" s="1"/>
  <c r="P6875" i="5"/>
  <c r="O6875" i="5" s="1"/>
  <c r="P6871" i="5"/>
  <c r="U6871" i="5" s="1"/>
  <c r="V6871" i="5" s="1"/>
  <c r="P6685" i="5"/>
  <c r="U6685" i="5" s="1"/>
  <c r="V6685" i="5" s="1"/>
  <c r="U7006" i="5"/>
  <c r="V7006" i="5" s="1"/>
  <c r="O6843" i="5"/>
  <c r="U6926" i="5"/>
  <c r="V6926" i="5" s="1"/>
  <c r="U6672" i="5"/>
  <c r="V6672" i="5" s="1"/>
  <c r="O6912" i="5"/>
  <c r="N6730" i="5"/>
  <c r="U6730" i="5" s="1"/>
  <c r="V6730" i="5" s="1"/>
  <c r="U6869" i="5"/>
  <c r="V6869" i="5" s="1"/>
  <c r="O6903" i="5"/>
  <c r="O6916" i="5"/>
  <c r="U6750" i="5"/>
  <c r="V6750" i="5" s="1"/>
  <c r="U6936" i="5"/>
  <c r="V6936" i="5" s="1"/>
  <c r="O6926" i="5"/>
  <c r="N6710" i="5"/>
  <c r="U6710" i="5" s="1"/>
  <c r="V6710" i="5" s="1"/>
  <c r="P6755" i="5"/>
  <c r="U6755" i="5" s="1"/>
  <c r="V6755" i="5" s="1"/>
  <c r="N6913" i="5"/>
  <c r="O6913" i="5" s="1"/>
  <c r="U6892" i="5"/>
  <c r="V6892" i="5" s="1"/>
  <c r="O6810" i="5"/>
  <c r="U6689" i="5"/>
  <c r="V6689" i="5" s="1"/>
  <c r="N6933" i="5"/>
  <c r="O6933" i="5" s="1"/>
  <c r="N6930" i="5"/>
  <c r="U6930" i="5" s="1"/>
  <c r="V6930" i="5" s="1"/>
  <c r="N6671" i="5"/>
  <c r="U6671" i="5" s="1"/>
  <c r="V6671" i="5" s="1"/>
  <c r="N6921" i="5"/>
  <c r="U6921" i="5" s="1"/>
  <c r="V6921" i="5" s="1"/>
  <c r="O6749" i="5"/>
  <c r="U6931" i="5"/>
  <c r="V6931" i="5" s="1"/>
  <c r="P6929" i="5"/>
  <c r="U6929" i="5" s="1"/>
  <c r="V6929" i="5" s="1"/>
  <c r="O7002" i="5"/>
  <c r="P6949" i="5"/>
  <c r="O6949" i="5" s="1"/>
  <c r="O7006" i="5"/>
  <c r="O6919" i="5"/>
  <c r="U6987" i="5"/>
  <c r="V6987" i="5" s="1"/>
  <c r="N6752" i="5"/>
  <c r="O6752" i="5" s="1"/>
  <c r="U6916" i="5"/>
  <c r="V6916" i="5" s="1"/>
  <c r="O6790" i="5"/>
  <c r="O6683" i="5"/>
  <c r="P6849" i="5"/>
  <c r="O6849" i="5" s="1"/>
  <c r="P6832" i="5"/>
  <c r="O6832" i="5" s="1"/>
  <c r="U6877" i="5"/>
  <c r="V6877" i="5" s="1"/>
  <c r="O6835" i="5"/>
  <c r="N6787" i="5"/>
  <c r="O6787" i="5" s="1"/>
  <c r="N6709" i="5"/>
  <c r="U6709" i="5" s="1"/>
  <c r="V6709" i="5" s="1"/>
  <c r="N6786" i="5"/>
  <c r="O6786" i="5" s="1"/>
  <c r="U6684" i="5"/>
  <c r="V6684" i="5" s="1"/>
  <c r="N6686" i="5"/>
  <c r="O6686" i="5" s="1"/>
  <c r="O6703" i="5"/>
  <c r="U6996" i="5"/>
  <c r="V6996" i="5" s="1"/>
  <c r="P6770" i="5"/>
  <c r="O6770" i="5" s="1"/>
  <c r="P6847" i="5"/>
  <c r="O6847" i="5" s="1"/>
  <c r="P6792" i="5"/>
  <c r="O6792" i="5" s="1"/>
  <c r="U6902" i="5"/>
  <c r="V6902" i="5" s="1"/>
  <c r="N6876" i="5"/>
  <c r="O6876" i="5" s="1"/>
  <c r="O6968" i="5"/>
  <c r="U6700" i="5"/>
  <c r="V6700" i="5" s="1"/>
  <c r="U6912" i="5"/>
  <c r="V6912" i="5" s="1"/>
  <c r="U6903" i="5"/>
  <c r="V6903" i="5" s="1"/>
  <c r="O6828" i="5"/>
  <c r="U6697" i="5"/>
  <c r="V6697" i="5" s="1"/>
  <c r="O6689" i="5"/>
  <c r="U6948" i="5"/>
  <c r="V6948" i="5" s="1"/>
  <c r="O6987" i="5"/>
  <c r="U6724" i="5"/>
  <c r="V6724" i="5" s="1"/>
  <c r="O6804" i="5"/>
  <c r="U6992" i="5"/>
  <c r="V6992" i="5" s="1"/>
  <c r="U6703" i="5"/>
  <c r="V6703" i="5" s="1"/>
  <c r="N6853" i="5"/>
  <c r="U6853" i="5" s="1"/>
  <c r="V6853" i="5" s="1"/>
  <c r="N6898" i="5"/>
  <c r="P6898" i="5"/>
  <c r="N6833" i="5"/>
  <c r="O6833" i="5" s="1"/>
  <c r="U6843" i="5"/>
  <c r="V6843" i="5" s="1"/>
  <c r="N6817" i="5"/>
  <c r="O6817" i="5" s="1"/>
  <c r="O6961" i="5"/>
  <c r="N6826" i="5"/>
  <c r="O6826" i="5" s="1"/>
  <c r="U7002" i="5"/>
  <c r="V7002" i="5" s="1"/>
  <c r="N6780" i="5"/>
  <c r="U6968" i="5"/>
  <c r="V6968" i="5" s="1"/>
  <c r="P6839" i="5"/>
  <c r="O6839" i="5" s="1"/>
  <c r="U6835" i="5"/>
  <c r="V6835" i="5" s="1"/>
  <c r="U6731" i="5"/>
  <c r="V6731" i="5" s="1"/>
  <c r="U7009" i="5"/>
  <c r="V7009" i="5" s="1"/>
  <c r="N6905" i="5"/>
  <c r="O6905" i="5" s="1"/>
  <c r="U6919" i="5"/>
  <c r="V6919" i="5" s="1"/>
  <c r="N7012" i="5"/>
  <c r="P7012" i="5"/>
  <c r="O6996" i="5"/>
  <c r="O6991" i="5"/>
  <c r="U6991" i="5"/>
  <c r="V6991" i="5" s="1"/>
  <c r="N6964" i="5"/>
  <c r="P6964" i="5"/>
  <c r="P6960" i="5"/>
  <c r="O6960" i="5" s="1"/>
  <c r="U6956" i="5"/>
  <c r="V6956" i="5" s="1"/>
  <c r="N6958" i="5"/>
  <c r="O6958" i="5" s="1"/>
  <c r="N6952" i="5"/>
  <c r="U6952" i="5" s="1"/>
  <c r="V6952" i="5" s="1"/>
  <c r="P6947" i="5"/>
  <c r="U6947" i="5" s="1"/>
  <c r="V6947" i="5" s="1"/>
  <c r="O6948" i="5"/>
  <c r="U6946" i="5"/>
  <c r="V6946" i="5" s="1"/>
  <c r="P6937" i="5"/>
  <c r="N6937" i="5"/>
  <c r="N6923" i="5"/>
  <c r="U6923" i="5" s="1"/>
  <c r="V6923" i="5" s="1"/>
  <c r="N6882" i="5"/>
  <c r="O6882" i="5" s="1"/>
  <c r="U6880" i="5"/>
  <c r="V6880" i="5" s="1"/>
  <c r="O6880" i="5"/>
  <c r="N6872" i="5"/>
  <c r="P6872" i="5"/>
  <c r="O6819" i="5"/>
  <c r="U6819" i="5"/>
  <c r="V6819" i="5" s="1"/>
  <c r="P6815" i="5"/>
  <c r="N6815" i="5"/>
  <c r="O6809" i="5"/>
  <c r="U6809" i="5"/>
  <c r="V6809" i="5" s="1"/>
  <c r="U6804" i="5"/>
  <c r="V6804" i="5" s="1"/>
  <c r="U6800" i="5"/>
  <c r="V6800" i="5" s="1"/>
  <c r="O6800" i="5"/>
  <c r="P6762" i="5"/>
  <c r="N6762" i="5"/>
  <c r="O6758" i="5"/>
  <c r="U6758" i="5"/>
  <c r="V6758" i="5" s="1"/>
  <c r="N6706" i="5"/>
  <c r="U6706" i="5" s="1"/>
  <c r="V6706" i="5" s="1"/>
  <c r="N6695" i="5"/>
  <c r="O6695" i="5" s="1"/>
  <c r="U6683" i="5"/>
  <c r="V6683" i="5" s="1"/>
  <c r="N6678" i="5"/>
  <c r="O6678" i="5" s="1"/>
  <c r="P7007" i="5"/>
  <c r="O7007" i="5" s="1"/>
  <c r="O6884" i="5"/>
  <c r="U6884" i="5"/>
  <c r="V6884" i="5" s="1"/>
  <c r="N6831" i="5"/>
  <c r="O6831" i="5" s="1"/>
  <c r="O6939" i="5"/>
  <c r="U6939" i="5"/>
  <c r="V6939" i="5" s="1"/>
  <c r="O6750" i="5"/>
  <c r="P6858" i="5"/>
  <c r="N6858" i="5"/>
  <c r="U6965" i="5"/>
  <c r="V6965" i="5" s="1"/>
  <c r="O6965" i="5"/>
  <c r="O7008" i="5"/>
  <c r="U7008" i="5"/>
  <c r="V7008" i="5" s="1"/>
  <c r="O6746" i="5"/>
  <c r="U6746" i="5"/>
  <c r="V6746" i="5" s="1"/>
  <c r="O6935" i="5"/>
  <c r="U6935" i="5"/>
  <c r="V6935" i="5" s="1"/>
  <c r="P6983" i="5"/>
  <c r="U6983" i="5" s="1"/>
  <c r="V6983" i="5" s="1"/>
  <c r="O6735" i="5"/>
  <c r="U6735" i="5"/>
  <c r="V6735" i="5" s="1"/>
  <c r="O6789" i="5"/>
  <c r="U6789" i="5"/>
  <c r="V6789" i="5" s="1"/>
  <c r="N6783" i="5"/>
  <c r="O6783" i="5" s="1"/>
  <c r="P6834" i="5"/>
  <c r="N6834" i="5"/>
  <c r="U6747" i="5"/>
  <c r="V6747" i="5" s="1"/>
  <c r="N6979" i="5"/>
  <c r="U6979" i="5" s="1"/>
  <c r="V6979" i="5" s="1"/>
  <c r="N6756" i="5"/>
  <c r="P6756" i="5"/>
  <c r="N6988" i="5"/>
  <c r="U6988" i="5" s="1"/>
  <c r="V6988" i="5" s="1"/>
  <c r="O6700" i="5"/>
  <c r="P6896" i="5"/>
  <c r="N6896" i="5"/>
  <c r="P6908" i="5"/>
  <c r="N6908" i="5"/>
  <c r="O6885" i="5"/>
  <c r="U6885" i="5"/>
  <c r="V6885" i="5" s="1"/>
  <c r="O6837" i="5"/>
  <c r="U6837" i="5"/>
  <c r="V6837" i="5" s="1"/>
  <c r="P6844" i="5"/>
  <c r="N6844" i="5"/>
  <c r="N6951" i="5"/>
  <c r="P6951" i="5"/>
  <c r="O6757" i="5"/>
  <c r="U6757" i="5"/>
  <c r="V6757" i="5" s="1"/>
  <c r="P6934" i="5"/>
  <c r="N6934" i="5"/>
  <c r="O6963" i="5"/>
  <c r="U6963" i="5"/>
  <c r="V6963" i="5" s="1"/>
  <c r="N6899" i="5"/>
  <c r="P6899" i="5"/>
  <c r="U6890" i="5"/>
  <c r="V6890" i="5" s="1"/>
  <c r="O6890" i="5"/>
  <c r="O6720" i="5"/>
  <c r="U6720" i="5"/>
  <c r="V6720" i="5" s="1"/>
  <c r="O6733" i="5"/>
  <c r="U6733" i="5"/>
  <c r="V6733" i="5" s="1"/>
  <c r="O6696" i="5"/>
  <c r="U6696" i="5"/>
  <c r="V6696" i="5" s="1"/>
  <c r="O6838" i="5"/>
  <c r="U6838" i="5"/>
  <c r="V6838" i="5" s="1"/>
  <c r="O6701" i="5"/>
  <c r="U6701" i="5"/>
  <c r="V6701" i="5" s="1"/>
  <c r="O7015" i="5"/>
  <c r="U7015" i="5"/>
  <c r="V7015" i="5" s="1"/>
  <c r="U6920" i="5"/>
  <c r="V6920" i="5" s="1"/>
  <c r="O6920" i="5"/>
  <c r="O7013" i="5"/>
  <c r="U7013" i="5"/>
  <c r="V7013" i="5" s="1"/>
  <c r="O6893" i="5"/>
  <c r="U6893" i="5"/>
  <c r="V6893" i="5" s="1"/>
  <c r="O6941" i="5"/>
  <c r="U6941" i="5"/>
  <c r="V6941" i="5" s="1"/>
  <c r="O6975" i="5"/>
  <c r="U6975" i="5"/>
  <c r="V6975" i="5" s="1"/>
  <c r="O6895" i="5"/>
  <c r="U6895" i="5"/>
  <c r="V6895" i="5" s="1"/>
  <c r="P6864" i="5"/>
  <c r="N6864" i="5"/>
  <c r="O6676" i="5"/>
  <c r="U6676" i="5"/>
  <c r="V6676" i="5" s="1"/>
  <c r="O6738" i="5"/>
  <c r="U6738" i="5"/>
  <c r="V6738" i="5" s="1"/>
  <c r="O6774" i="5"/>
  <c r="U6774" i="5"/>
  <c r="V6774" i="5" s="1"/>
  <c r="O7004" i="5"/>
  <c r="U7004" i="5"/>
  <c r="V7004" i="5" s="1"/>
  <c r="O6764" i="5"/>
  <c r="U6764" i="5"/>
  <c r="V6764" i="5" s="1"/>
  <c r="O6857" i="5"/>
  <c r="U6857" i="5"/>
  <c r="V6857" i="5" s="1"/>
  <c r="O6802" i="5"/>
  <c r="U6802" i="5"/>
  <c r="V6802" i="5" s="1"/>
  <c r="O6841" i="5"/>
  <c r="U6841" i="5"/>
  <c r="V6841" i="5" s="1"/>
  <c r="O6818" i="5"/>
  <c r="U6818" i="5"/>
  <c r="V6818" i="5" s="1"/>
  <c r="O6994" i="5"/>
  <c r="U6994" i="5"/>
  <c r="V6994" i="5" s="1"/>
  <c r="O7003" i="5"/>
  <c r="U7003" i="5"/>
  <c r="V7003" i="5" s="1"/>
  <c r="O6842" i="5"/>
  <c r="U6842" i="5"/>
  <c r="V6842" i="5" s="1"/>
  <c r="O6798" i="5"/>
  <c r="U6798" i="5"/>
  <c r="V6798" i="5" s="1"/>
  <c r="U6711" i="5"/>
  <c r="V6711" i="5" s="1"/>
  <c r="O6711" i="5"/>
  <c r="O6773" i="5"/>
  <c r="U6773" i="5"/>
  <c r="V6773" i="5" s="1"/>
  <c r="P6938" i="5"/>
  <c r="N6938" i="5"/>
  <c r="U6690" i="5"/>
  <c r="V6690" i="5" s="1"/>
  <c r="O6690" i="5"/>
  <c r="O6907" i="5"/>
  <c r="U6907" i="5"/>
  <c r="V6907" i="5" s="1"/>
  <c r="O6993" i="5"/>
  <c r="U6993" i="5"/>
  <c r="V6993" i="5" s="1"/>
  <c r="O6761" i="5"/>
  <c r="U6761" i="5"/>
  <c r="V6761" i="5" s="1"/>
  <c r="U6824" i="5"/>
  <c r="V6824" i="5" s="1"/>
  <c r="O6824" i="5"/>
  <c r="O6805" i="5"/>
  <c r="U6805" i="5"/>
  <c r="V6805" i="5" s="1"/>
  <c r="P6927" i="5"/>
  <c r="N6927" i="5"/>
  <c r="O6778" i="5"/>
  <c r="U6778" i="5"/>
  <c r="V6778" i="5" s="1"/>
  <c r="U6868" i="5"/>
  <c r="V6868" i="5" s="1"/>
  <c r="O6868" i="5"/>
  <c r="O6767" i="5"/>
  <c r="U6767" i="5"/>
  <c r="V6767" i="5" s="1"/>
  <c r="N6708" i="5"/>
  <c r="P6708" i="5"/>
  <c r="O6699" i="5"/>
  <c r="U6699" i="5"/>
  <c r="V6699" i="5" s="1"/>
  <c r="U6971" i="5"/>
  <c r="V6971" i="5" s="1"/>
  <c r="O6971" i="5"/>
  <c r="O6791" i="5"/>
  <c r="U6791" i="5"/>
  <c r="V6791" i="5" s="1"/>
  <c r="O6808" i="5"/>
  <c r="U6808" i="5"/>
  <c r="V6808" i="5" s="1"/>
  <c r="O6900" i="5"/>
  <c r="U6900" i="5"/>
  <c r="V6900" i="5" s="1"/>
  <c r="O6981" i="5"/>
  <c r="U6981" i="5"/>
  <c r="V6981" i="5" s="1"/>
  <c r="O6673" i="5"/>
  <c r="U6673" i="5"/>
  <c r="V6673" i="5" s="1"/>
  <c r="O6943" i="5"/>
  <c r="U6943" i="5"/>
  <c r="V6943" i="5" s="1"/>
  <c r="U6813" i="5"/>
  <c r="V6813" i="5" s="1"/>
  <c r="O6813" i="5"/>
  <c r="U6788" i="5"/>
  <c r="V6788" i="5" s="1"/>
  <c r="O6788" i="5"/>
  <c r="P6776" i="5"/>
  <c r="N6776" i="5"/>
  <c r="O6670" i="5"/>
  <c r="U6670" i="5"/>
  <c r="V6670" i="5" s="1"/>
  <c r="O6748" i="5"/>
  <c r="U6748" i="5"/>
  <c r="V6748" i="5" s="1"/>
  <c r="N6867" i="5"/>
  <c r="P6867" i="5"/>
  <c r="O6717" i="5"/>
  <c r="U6717" i="5"/>
  <c r="V6717" i="5" s="1"/>
  <c r="U6925" i="5"/>
  <c r="V6925" i="5" s="1"/>
  <c r="O6925" i="5"/>
  <c r="U6894" i="5"/>
  <c r="V6894" i="5" s="1"/>
  <c r="O6894" i="5"/>
  <c r="O6945" i="5"/>
  <c r="U6945" i="5"/>
  <c r="V6945" i="5" s="1"/>
  <c r="O6732" i="5"/>
  <c r="U6732" i="5"/>
  <c r="V6732" i="5" s="1"/>
  <c r="O6855" i="5"/>
  <c r="U6855" i="5"/>
  <c r="V6855" i="5" s="1"/>
  <c r="U6840" i="5"/>
  <c r="V6840" i="5" s="1"/>
  <c r="O6840" i="5"/>
  <c r="P6675" i="5"/>
  <c r="N6675" i="5"/>
  <c r="O6768" i="5"/>
  <c r="U6768" i="5"/>
  <c r="V6768" i="5" s="1"/>
  <c r="O6827" i="5"/>
  <c r="U6827" i="5"/>
  <c r="V6827" i="5" s="1"/>
  <c r="O6722" i="5"/>
  <c r="U6722" i="5"/>
  <c r="V6722" i="5" s="1"/>
  <c r="O6856" i="5"/>
  <c r="U6856" i="5"/>
  <c r="V6856" i="5" s="1"/>
  <c r="O6796" i="5"/>
  <c r="U6796" i="5"/>
  <c r="V6796" i="5" s="1"/>
  <c r="O6726" i="5"/>
  <c r="U6726" i="5"/>
  <c r="V6726" i="5" s="1"/>
  <c r="O6754" i="5"/>
  <c r="U6754" i="5"/>
  <c r="V6754" i="5" s="1"/>
  <c r="O6772" i="5"/>
  <c r="U6772" i="5"/>
  <c r="V6772" i="5" s="1"/>
  <c r="O6862" i="5"/>
  <c r="U6862" i="5"/>
  <c r="V6862" i="5" s="1"/>
  <c r="O6795" i="5"/>
  <c r="U6795" i="5"/>
  <c r="V6795" i="5" s="1"/>
  <c r="O6753" i="5"/>
  <c r="U6753" i="5"/>
  <c r="V6753" i="5" s="1"/>
  <c r="O7000" i="5"/>
  <c r="U7000" i="5"/>
  <c r="V7000" i="5" s="1"/>
  <c r="P6972" i="5"/>
  <c r="N6972" i="5"/>
  <c r="O6728" i="5"/>
  <c r="U6728" i="5"/>
  <c r="V6728" i="5" s="1"/>
  <c r="O6851" i="5"/>
  <c r="U6851" i="5"/>
  <c r="V6851" i="5" s="1"/>
  <c r="O6799" i="5"/>
  <c r="U6799" i="5"/>
  <c r="V6799" i="5" s="1"/>
  <c r="P6677" i="5"/>
  <c r="N6677" i="5"/>
  <c r="U7001" i="5"/>
  <c r="V7001" i="5" s="1"/>
  <c r="O7001" i="5"/>
  <c r="O6976" i="5"/>
  <c r="U6976" i="5"/>
  <c r="V6976" i="5" s="1"/>
  <c r="O6917" i="5"/>
  <c r="U6917" i="5"/>
  <c r="V6917" i="5" s="1"/>
  <c r="P6874" i="5"/>
  <c r="N6874" i="5"/>
  <c r="P6825" i="5"/>
  <c r="N6825" i="5"/>
  <c r="O6962" i="5"/>
  <c r="U6962" i="5"/>
  <c r="V6962" i="5" s="1"/>
  <c r="O6990" i="5"/>
  <c r="U6990" i="5"/>
  <c r="V6990" i="5" s="1"/>
  <c r="P6873" i="5"/>
  <c r="N6873" i="5"/>
  <c r="O6989" i="5"/>
  <c r="U6989" i="5"/>
  <c r="V6989" i="5" s="1"/>
  <c r="U6854" i="5"/>
  <c r="V6854" i="5" s="1"/>
  <c r="O6854" i="5"/>
  <c r="P6966" i="5"/>
  <c r="N6966" i="5"/>
  <c r="O6861" i="5"/>
  <c r="U6861" i="5"/>
  <c r="V6861" i="5" s="1"/>
  <c r="O6985" i="5"/>
  <c r="U6985" i="5"/>
  <c r="V6985" i="5" s="1"/>
  <c r="P6865" i="5"/>
  <c r="N6865" i="5"/>
  <c r="O6694" i="5"/>
  <c r="U6694" i="5"/>
  <c r="V6694" i="5" s="1"/>
  <c r="O6781" i="5"/>
  <c r="U6781" i="5"/>
  <c r="V6781" i="5" s="1"/>
  <c r="P6702" i="5"/>
  <c r="N6702" i="5"/>
  <c r="P6859" i="5"/>
  <c r="N6859" i="5"/>
  <c r="U6973" i="5"/>
  <c r="V6973" i="5" s="1"/>
  <c r="O6973" i="5"/>
  <c r="N6888" i="5"/>
  <c r="P6888" i="5"/>
  <c r="O6679" i="5"/>
  <c r="U6679" i="5"/>
  <c r="V6679" i="5" s="1"/>
  <c r="O6897" i="5"/>
  <c r="U6897" i="5"/>
  <c r="V6897" i="5" s="1"/>
  <c r="O6751" i="5"/>
  <c r="U6751" i="5"/>
  <c r="V6751" i="5" s="1"/>
  <c r="U6957" i="5"/>
  <c r="V6957" i="5" s="1"/>
  <c r="O6957" i="5"/>
  <c r="O6846" i="5"/>
  <c r="U6846" i="5"/>
  <c r="V6846" i="5" s="1"/>
  <c r="P6771" i="5"/>
  <c r="N6771" i="5"/>
  <c r="N7016" i="5"/>
  <c r="P7016" i="5"/>
  <c r="O6879" i="5"/>
  <c r="U6879" i="5"/>
  <c r="V6879" i="5" s="1"/>
  <c r="P6889" i="5"/>
  <c r="N6889" i="5"/>
  <c r="O6784" i="5"/>
  <c r="U6784" i="5"/>
  <c r="V6784" i="5" s="1"/>
  <c r="U6744" i="5"/>
  <c r="V6744" i="5" s="1"/>
  <c r="O6744" i="5"/>
  <c r="O6743" i="5"/>
  <c r="U6743" i="5"/>
  <c r="V6743" i="5" s="1"/>
  <c r="U6739" i="5"/>
  <c r="V6739" i="5" s="1"/>
  <c r="O6739" i="5"/>
  <c r="U6682" i="5"/>
  <c r="V6682" i="5" s="1"/>
  <c r="O6682" i="5"/>
  <c r="O6713" i="5"/>
  <c r="U6713" i="5"/>
  <c r="V6713" i="5" s="1"/>
  <c r="O6737" i="5"/>
  <c r="U6737" i="5"/>
  <c r="V6737" i="5" s="1"/>
  <c r="O6969" i="5"/>
  <c r="U6969" i="5"/>
  <c r="V6969" i="5" s="1"/>
  <c r="N6775" i="5"/>
  <c r="P6775" i="5"/>
  <c r="U6782" i="5"/>
  <c r="V6782" i="5" s="1"/>
  <c r="O6782" i="5"/>
  <c r="U6714" i="5"/>
  <c r="V6714" i="5" s="1"/>
  <c r="O6714" i="5"/>
  <c r="O6928" i="5"/>
  <c r="U6928" i="5"/>
  <c r="V6928" i="5" s="1"/>
  <c r="O7014" i="5"/>
  <c r="U7014" i="5"/>
  <c r="V7014" i="5" s="1"/>
  <c r="O6852" i="5"/>
  <c r="U6852" i="5"/>
  <c r="V6852" i="5" s="1"/>
  <c r="O6745" i="5"/>
  <c r="U6745" i="5"/>
  <c r="V6745" i="5" s="1"/>
  <c r="U6891" i="5"/>
  <c r="V6891" i="5" s="1"/>
  <c r="O6891" i="5"/>
  <c r="U6687" i="5"/>
  <c r="V6687" i="5" s="1"/>
  <c r="O6687" i="5"/>
  <c r="U6850" i="5"/>
  <c r="V6850" i="5" s="1"/>
  <c r="O6850" i="5"/>
  <c r="P6719" i="5"/>
  <c r="N6719" i="5"/>
  <c r="U6922" i="5"/>
  <c r="V6922" i="5" s="1"/>
  <c r="O6922" i="5"/>
  <c r="O6692" i="5"/>
  <c r="U6692" i="5"/>
  <c r="V6692" i="5" s="1"/>
  <c r="O6830" i="5"/>
  <c r="U6830" i="5"/>
  <c r="V6830" i="5" s="1"/>
  <c r="O6698" i="5"/>
  <c r="U6698" i="5"/>
  <c r="V6698" i="5" s="1"/>
  <c r="O6918" i="5"/>
  <c r="U6918" i="5"/>
  <c r="V6918" i="5" s="1"/>
  <c r="O6829" i="5"/>
  <c r="U6829" i="5"/>
  <c r="V6829" i="5" s="1"/>
  <c r="O6712" i="5"/>
  <c r="U6712" i="5"/>
  <c r="V6712" i="5" s="1"/>
  <c r="P6878" i="5"/>
  <c r="N6878" i="5"/>
  <c r="O6901" i="5"/>
  <c r="U6901" i="5"/>
  <c r="V6901" i="5" s="1"/>
  <c r="O6848" i="5"/>
  <c r="U6848" i="5"/>
  <c r="V6848" i="5" s="1"/>
  <c r="P6904" i="5"/>
  <c r="N6904" i="5"/>
  <c r="O6914" i="5"/>
  <c r="U6914" i="5"/>
  <c r="V6914" i="5" s="1"/>
  <c r="O6794" i="5"/>
  <c r="U6794" i="5"/>
  <c r="V6794" i="5" s="1"/>
  <c r="O6906" i="5"/>
  <c r="U6906" i="5"/>
  <c r="V6906" i="5" s="1"/>
  <c r="U6793" i="5"/>
  <c r="V6793" i="5" s="1"/>
  <c r="O6793" i="5"/>
  <c r="P6909" i="5"/>
  <c r="N6909" i="5"/>
  <c r="O6940" i="5"/>
  <c r="U6940" i="5"/>
  <c r="V6940" i="5" s="1"/>
  <c r="O6777" i="5"/>
  <c r="U6777" i="5"/>
  <c r="V6777" i="5" s="1"/>
  <c r="O6982" i="5"/>
  <c r="U6982" i="5"/>
  <c r="V6982" i="5" s="1"/>
  <c r="U6723" i="5"/>
  <c r="V6723" i="5" s="1"/>
  <c r="O6723" i="5"/>
  <c r="O7010" i="5"/>
  <c r="U7010" i="5"/>
  <c r="V7010" i="5" s="1"/>
  <c r="O6820" i="5"/>
  <c r="U6820" i="5"/>
  <c r="V6820" i="5" s="1"/>
  <c r="U6707" i="5"/>
  <c r="V6707" i="5" s="1"/>
  <c r="O6707" i="5"/>
  <c r="O6886" i="5"/>
  <c r="U6886" i="5"/>
  <c r="V6886" i="5" s="1"/>
  <c r="O6721" i="5"/>
  <c r="U6721" i="5"/>
  <c r="V6721" i="5" s="1"/>
  <c r="O6911" i="5"/>
  <c r="U6911" i="5"/>
  <c r="V6911" i="5" s="1"/>
  <c r="U6974" i="5"/>
  <c r="V6974" i="5" s="1"/>
  <c r="O6974" i="5"/>
  <c r="O6998" i="5"/>
  <c r="U6998" i="5"/>
  <c r="V6998" i="5" s="1"/>
  <c r="O6980" i="5"/>
  <c r="U6980" i="5"/>
  <c r="V6980" i="5" s="1"/>
  <c r="U6954" i="5"/>
  <c r="V6954" i="5" s="1"/>
  <c r="O6954" i="5"/>
  <c r="U6765" i="5"/>
  <c r="V6765" i="5" s="1"/>
  <c r="O6765" i="5"/>
  <c r="P6740" i="5"/>
  <c r="N6740" i="5"/>
  <c r="O6955" i="5"/>
  <c r="U6955" i="5"/>
  <c r="V6955" i="5" s="1"/>
  <c r="O6883" i="5"/>
  <c r="U6883" i="5"/>
  <c r="V6883" i="5" s="1"/>
  <c r="O6674" i="5"/>
  <c r="U6674" i="5"/>
  <c r="V6674" i="5" s="1"/>
  <c r="O6845" i="5"/>
  <c r="U6845" i="5"/>
  <c r="V6845" i="5" s="1"/>
  <c r="O7017" i="5"/>
  <c r="U7017" i="5"/>
  <c r="V7017" i="5" s="1"/>
  <c r="O6944" i="5"/>
  <c r="U6944" i="5"/>
  <c r="V6944" i="5" s="1"/>
  <c r="U6950" i="5"/>
  <c r="V6950" i="5" s="1"/>
  <c r="O6950" i="5"/>
  <c r="N6785" i="5"/>
  <c r="P6785" i="5"/>
  <c r="P6759" i="5"/>
  <c r="N6759" i="5"/>
  <c r="O6693" i="5"/>
  <c r="U6693" i="5"/>
  <c r="V6693" i="5" s="1"/>
  <c r="O6821" i="5"/>
  <c r="U6821" i="5"/>
  <c r="V6821" i="5" s="1"/>
  <c r="O6769" i="5"/>
  <c r="U6769" i="5"/>
  <c r="V6769" i="5" s="1"/>
  <c r="O6718" i="5"/>
  <c r="U6718" i="5"/>
  <c r="V6718" i="5" s="1"/>
  <c r="O6736" i="5"/>
  <c r="U6736" i="5"/>
  <c r="V6736" i="5" s="1"/>
  <c r="N6822" i="5"/>
  <c r="P6822" i="5"/>
  <c r="O6997" i="5"/>
  <c r="U6997" i="5"/>
  <c r="V6997" i="5" s="1"/>
  <c r="O6836" i="5"/>
  <c r="U6836" i="5"/>
  <c r="V6836" i="5" s="1"/>
  <c r="O6705" i="5"/>
  <c r="U6705" i="5"/>
  <c r="V6705" i="5" s="1"/>
  <c r="P6984" i="5"/>
  <c r="N6984" i="5"/>
  <c r="O6953" i="5"/>
  <c r="U6953" i="5"/>
  <c r="V6953" i="5" s="1"/>
  <c r="O6970" i="5"/>
  <c r="U6970" i="5"/>
  <c r="V6970" i="5" s="1"/>
  <c r="U6932" i="5"/>
  <c r="V6932" i="5" s="1"/>
  <c r="O6932" i="5"/>
  <c r="O6807" i="5"/>
  <c r="U6807" i="5"/>
  <c r="V6807" i="5" s="1"/>
  <c r="N6669" i="5"/>
  <c r="P6669" i="5"/>
  <c r="T6668" i="5"/>
  <c r="J6668" i="5"/>
  <c r="T6667" i="5"/>
  <c r="J6667" i="5"/>
  <c r="K6667" i="5" s="1"/>
  <c r="T6666" i="5"/>
  <c r="J6666" i="5"/>
  <c r="K6666" i="5" s="1"/>
  <c r="T6665" i="5"/>
  <c r="J6665" i="5"/>
  <c r="T6664" i="5"/>
  <c r="J6664" i="5"/>
  <c r="K6664" i="5" s="1"/>
  <c r="T6663" i="5"/>
  <c r="J6663" i="5"/>
  <c r="T6662" i="5"/>
  <c r="J6662" i="5"/>
  <c r="T6661" i="5"/>
  <c r="J6661" i="5"/>
  <c r="K6661" i="5" s="1"/>
  <c r="L6661" i="5" s="1"/>
  <c r="T6660" i="5"/>
  <c r="J6660" i="5"/>
  <c r="K6660" i="5" s="1"/>
  <c r="L6660" i="5" s="1"/>
  <c r="T6659" i="5"/>
  <c r="J6659" i="5"/>
  <c r="T6658" i="5"/>
  <c r="J6658" i="5"/>
  <c r="T6657" i="5"/>
  <c r="J6657" i="5"/>
  <c r="K6657" i="5" s="1"/>
  <c r="T6656" i="5"/>
  <c r="J6656" i="5"/>
  <c r="K6656" i="5" s="1"/>
  <c r="T6655" i="5"/>
  <c r="J6655" i="5"/>
  <c r="T6654" i="5"/>
  <c r="J6654" i="5"/>
  <c r="T6653" i="5"/>
  <c r="J6653" i="5"/>
  <c r="K6653" i="5" s="1"/>
  <c r="T6652" i="5"/>
  <c r="J6652" i="5"/>
  <c r="K6652" i="5" s="1"/>
  <c r="T6651" i="5"/>
  <c r="J6651" i="5"/>
  <c r="K6651" i="5" s="1"/>
  <c r="T6650" i="5"/>
  <c r="J6650" i="5"/>
  <c r="K6650" i="5" s="1"/>
  <c r="L6650" i="5" s="1"/>
  <c r="T6649" i="5"/>
  <c r="J6649" i="5"/>
  <c r="T6648" i="5"/>
  <c r="J6648" i="5"/>
  <c r="T6647" i="5"/>
  <c r="J6647" i="5"/>
  <c r="K6647" i="5" s="1"/>
  <c r="T6646" i="5"/>
  <c r="J6646" i="5"/>
  <c r="K6646" i="5" s="1"/>
  <c r="L6646" i="5" s="1"/>
  <c r="P6646" i="5" s="1"/>
  <c r="T6645" i="5"/>
  <c r="J6645" i="5"/>
  <c r="T6644" i="5"/>
  <c r="J6644" i="5"/>
  <c r="T6643" i="5"/>
  <c r="J6643" i="5"/>
  <c r="K6643" i="5" s="1"/>
  <c r="L6643" i="5" s="1"/>
  <c r="T6642" i="5"/>
  <c r="J6642" i="5"/>
  <c r="T6641" i="5"/>
  <c r="J6641" i="5"/>
  <c r="T6640" i="5"/>
  <c r="J6640" i="5"/>
  <c r="K6640" i="5" s="1"/>
  <c r="T6639" i="5"/>
  <c r="J6639" i="5"/>
  <c r="K6639" i="5" s="1"/>
  <c r="T6638" i="5"/>
  <c r="J6638" i="5"/>
  <c r="T6637" i="5"/>
  <c r="J6637" i="5"/>
  <c r="T6636" i="5"/>
  <c r="J6636" i="5"/>
  <c r="T6635" i="5"/>
  <c r="J6635" i="5"/>
  <c r="K6635" i="5" s="1"/>
  <c r="L6635" i="5" s="1"/>
  <c r="T6634" i="5"/>
  <c r="J6634" i="5"/>
  <c r="T6633" i="5"/>
  <c r="J6633" i="5"/>
  <c r="T6632" i="5"/>
  <c r="J6632" i="5"/>
  <c r="K6632" i="5" s="1"/>
  <c r="T6631" i="5"/>
  <c r="J6631" i="5"/>
  <c r="K6631" i="5" s="1"/>
  <c r="T6630" i="5"/>
  <c r="J6630" i="5"/>
  <c r="K6630" i="5" s="1"/>
  <c r="T6629" i="5"/>
  <c r="J6629" i="5"/>
  <c r="K6629" i="5" s="1"/>
  <c r="T6628" i="5"/>
  <c r="J6628" i="5"/>
  <c r="T6627" i="5"/>
  <c r="J6627" i="5"/>
  <c r="T6626" i="5"/>
  <c r="J6626" i="5"/>
  <c r="T6625" i="5"/>
  <c r="J6625" i="5"/>
  <c r="T6624" i="5"/>
  <c r="J6624" i="5"/>
  <c r="K6624" i="5" s="1"/>
  <c r="T6623" i="5"/>
  <c r="J6623" i="5"/>
  <c r="T6622" i="5"/>
  <c r="J6622" i="5"/>
  <c r="T6621" i="5"/>
  <c r="J6621" i="5"/>
  <c r="T6620" i="5"/>
  <c r="J6620" i="5"/>
  <c r="K6620" i="5" s="1"/>
  <c r="T6619" i="5"/>
  <c r="J6619" i="5"/>
  <c r="T6618" i="5"/>
  <c r="J6618" i="5"/>
  <c r="K6618" i="5" s="1"/>
  <c r="T6617" i="5"/>
  <c r="J6617" i="5"/>
  <c r="T6616" i="5"/>
  <c r="J6616" i="5"/>
  <c r="K6616" i="5" s="1"/>
  <c r="T6615" i="5"/>
  <c r="J6615" i="5"/>
  <c r="T6614" i="5"/>
  <c r="J6614" i="5"/>
  <c r="T6613" i="5"/>
  <c r="J6613" i="5"/>
  <c r="K6613" i="5" s="1"/>
  <c r="T6612" i="5"/>
  <c r="J6612" i="5"/>
  <c r="K6612" i="5" s="1"/>
  <c r="T6611" i="5"/>
  <c r="J6611" i="5"/>
  <c r="T6610" i="5"/>
  <c r="J6610" i="5"/>
  <c r="K6610" i="5" s="1"/>
  <c r="L6610" i="5" s="1"/>
  <c r="T6609" i="5"/>
  <c r="J6609" i="5"/>
  <c r="K6609" i="5" s="1"/>
  <c r="T6608" i="5"/>
  <c r="J6608" i="5"/>
  <c r="T6607" i="5"/>
  <c r="J6607" i="5"/>
  <c r="K6607" i="5" s="1"/>
  <c r="L6607" i="5" s="1"/>
  <c r="T6606" i="5"/>
  <c r="J6606" i="5"/>
  <c r="T6605" i="5"/>
  <c r="J6605" i="5"/>
  <c r="T6604" i="5"/>
  <c r="J6604" i="5"/>
  <c r="K6604" i="5" s="1"/>
  <c r="T6603" i="5"/>
  <c r="J6603" i="5"/>
  <c r="T6602" i="5"/>
  <c r="J6602" i="5"/>
  <c r="T6601" i="5"/>
  <c r="J6601" i="5"/>
  <c r="K6601" i="5" s="1"/>
  <c r="T6600" i="5"/>
  <c r="J6600" i="5"/>
  <c r="K6600" i="5" s="1"/>
  <c r="T6599" i="5"/>
  <c r="J6599" i="5"/>
  <c r="K6599" i="5" s="1"/>
  <c r="T6598" i="5"/>
  <c r="J6598" i="5"/>
  <c r="K6598" i="5" s="1"/>
  <c r="T6597" i="5"/>
  <c r="J6597" i="5"/>
  <c r="T6596" i="5"/>
  <c r="J6596" i="5"/>
  <c r="T6595" i="5"/>
  <c r="J6595" i="5"/>
  <c r="T6594" i="5"/>
  <c r="J6594" i="5"/>
  <c r="K6594" i="5" s="1"/>
  <c r="T6593" i="5"/>
  <c r="J6593" i="5"/>
  <c r="T6592" i="5"/>
  <c r="J6592" i="5"/>
  <c r="T6591" i="5"/>
  <c r="J6591" i="5"/>
  <c r="T6590" i="5"/>
  <c r="J6590" i="5"/>
  <c r="K6590" i="5" s="1"/>
  <c r="L6590" i="5" s="1"/>
  <c r="T6589" i="5"/>
  <c r="J6589" i="5"/>
  <c r="T6588" i="5"/>
  <c r="J6588" i="5"/>
  <c r="T6587" i="5"/>
  <c r="J6587" i="5"/>
  <c r="T6586" i="5"/>
  <c r="J6586" i="5"/>
  <c r="K6586" i="5" s="1"/>
  <c r="T6585" i="5"/>
  <c r="J6585" i="5"/>
  <c r="T6584" i="5"/>
  <c r="J6584" i="5"/>
  <c r="K6584" i="5" s="1"/>
  <c r="T6583" i="5"/>
  <c r="J6583" i="5"/>
  <c r="T6582" i="5"/>
  <c r="J6582" i="5"/>
  <c r="T6581" i="5"/>
  <c r="J6581" i="5"/>
  <c r="K6581" i="5" s="1"/>
  <c r="L6581" i="5" s="1"/>
  <c r="T6580" i="5"/>
  <c r="J6580" i="5"/>
  <c r="T6579" i="5"/>
  <c r="J6579" i="5"/>
  <c r="T6578" i="5"/>
  <c r="J6578" i="5"/>
  <c r="K6578" i="5" s="1"/>
  <c r="T6577" i="5"/>
  <c r="J6577" i="5"/>
  <c r="K6577" i="5" s="1"/>
  <c r="T6576" i="5"/>
  <c r="J6576" i="5"/>
  <c r="K6576" i="5" s="1"/>
  <c r="T6575" i="5"/>
  <c r="J6575" i="5"/>
  <c r="K6575" i="5" s="1"/>
  <c r="T6574" i="5"/>
  <c r="J6574" i="5"/>
  <c r="T6573" i="5"/>
  <c r="J6573" i="5"/>
  <c r="T6572" i="5"/>
  <c r="J6572" i="5"/>
  <c r="K6572" i="5" s="1"/>
  <c r="T6571" i="5"/>
  <c r="J6571" i="5"/>
  <c r="K6571" i="5" s="1"/>
  <c r="T6570" i="5"/>
  <c r="J6570" i="5"/>
  <c r="T6569" i="5"/>
  <c r="J6569" i="5"/>
  <c r="T6568" i="5"/>
  <c r="J6568" i="5"/>
  <c r="T6567" i="5"/>
  <c r="J6567" i="5"/>
  <c r="K6567" i="5" s="1"/>
  <c r="T6566" i="5"/>
  <c r="J6566" i="5"/>
  <c r="K6566" i="5" s="1"/>
  <c r="L6566" i="5" s="1"/>
  <c r="P6566" i="5" s="1"/>
  <c r="T6565" i="5"/>
  <c r="J6565" i="5"/>
  <c r="T6564" i="5"/>
  <c r="J6564" i="5"/>
  <c r="K6564" i="5" s="1"/>
  <c r="T6563" i="5"/>
  <c r="J6563" i="5"/>
  <c r="K6563" i="5" s="1"/>
  <c r="T6562" i="5"/>
  <c r="J6562" i="5"/>
  <c r="T6561" i="5"/>
  <c r="J6561" i="5"/>
  <c r="K6561" i="5" s="1"/>
  <c r="T6560" i="5"/>
  <c r="J6560" i="5"/>
  <c r="T6559" i="5"/>
  <c r="J6559" i="5"/>
  <c r="T6558" i="5"/>
  <c r="J6558" i="5"/>
  <c r="K6558" i="5" s="1"/>
  <c r="T6557" i="5"/>
  <c r="J6557" i="5"/>
  <c r="K6557" i="5" s="1"/>
  <c r="L6557" i="5" s="1"/>
  <c r="T6556" i="5"/>
  <c r="J6556" i="5"/>
  <c r="K6556" i="5" s="1"/>
  <c r="L6556" i="5" s="1"/>
  <c r="T6555" i="5"/>
  <c r="J6555" i="5"/>
  <c r="T6554" i="5"/>
  <c r="J6554" i="5"/>
  <c r="T6553" i="5"/>
  <c r="J6553" i="5"/>
  <c r="T6552" i="5"/>
  <c r="J6552" i="5"/>
  <c r="K6552" i="5" s="1"/>
  <c r="T6551" i="5"/>
  <c r="J6551" i="5"/>
  <c r="K6551" i="5" s="1"/>
  <c r="T6550" i="5"/>
  <c r="J6550" i="5"/>
  <c r="K6550" i="5" s="1"/>
  <c r="T6549" i="5"/>
  <c r="J6549" i="5"/>
  <c r="T6548" i="5"/>
  <c r="J6548" i="5"/>
  <c r="K6548" i="5" s="1"/>
  <c r="L6548" i="5" s="1"/>
  <c r="P6548" i="5" s="1"/>
  <c r="T6547" i="5"/>
  <c r="J6547" i="5"/>
  <c r="K6547" i="5" s="1"/>
  <c r="T6546" i="5"/>
  <c r="J6546" i="5"/>
  <c r="K6546" i="5" s="1"/>
  <c r="L6546" i="5" s="1"/>
  <c r="P6546" i="5" s="1"/>
  <c r="T6545" i="5"/>
  <c r="J6545" i="5"/>
  <c r="K6545" i="5" s="1"/>
  <c r="T6544" i="5"/>
  <c r="J6544" i="5"/>
  <c r="T6543" i="5"/>
  <c r="J6543" i="5"/>
  <c r="T6542" i="5"/>
  <c r="J6542" i="5"/>
  <c r="T6541" i="5"/>
  <c r="J6541" i="5"/>
  <c r="K6541" i="5" s="1"/>
  <c r="T6540" i="5"/>
  <c r="J6540" i="5"/>
  <c r="K6540" i="5" s="1"/>
  <c r="T6539" i="5"/>
  <c r="J6539" i="5"/>
  <c r="K6539" i="5" s="1"/>
  <c r="T6538" i="5"/>
  <c r="J6538" i="5"/>
  <c r="T6537" i="5"/>
  <c r="J6537" i="5"/>
  <c r="K6537" i="5" s="1"/>
  <c r="T6536" i="5"/>
  <c r="J6536" i="5"/>
  <c r="T6535" i="5"/>
  <c r="J6535" i="5"/>
  <c r="T6534" i="5"/>
  <c r="J6534" i="5"/>
  <c r="T6533" i="5"/>
  <c r="J6533" i="5"/>
  <c r="K6533" i="5" s="1"/>
  <c r="T6532" i="5"/>
  <c r="J6532" i="5"/>
  <c r="T6531" i="5"/>
  <c r="J6531" i="5"/>
  <c r="K6531" i="5" s="1"/>
  <c r="T6530" i="5"/>
  <c r="J6530" i="5"/>
  <c r="K6530" i="5" s="1"/>
  <c r="T6529" i="5"/>
  <c r="J6529" i="5"/>
  <c r="T6528" i="5"/>
  <c r="J6528" i="5"/>
  <c r="T6527" i="5"/>
  <c r="J6527" i="5"/>
  <c r="K6527" i="5" s="1"/>
  <c r="L6527" i="5" s="1"/>
  <c r="T6526" i="5"/>
  <c r="J6526" i="5"/>
  <c r="T6525" i="5"/>
  <c r="J6525" i="5"/>
  <c r="T6524" i="5"/>
  <c r="J6524" i="5"/>
  <c r="T6523" i="5"/>
  <c r="J6523" i="5"/>
  <c r="K6523" i="5" s="1"/>
  <c r="T6522" i="5"/>
  <c r="J6522" i="5"/>
  <c r="T6521" i="5"/>
  <c r="J6521" i="5"/>
  <c r="K6521" i="5" s="1"/>
  <c r="L6521" i="5" s="1"/>
  <c r="P6521" i="5" s="1"/>
  <c r="T6520" i="5"/>
  <c r="J6520" i="5"/>
  <c r="T6519" i="5"/>
  <c r="J6519" i="5"/>
  <c r="K6519" i="5" s="1"/>
  <c r="T6518" i="5"/>
  <c r="J6518" i="5"/>
  <c r="T6517" i="5"/>
  <c r="J6517" i="5"/>
  <c r="T6516" i="5"/>
  <c r="J6516" i="5"/>
  <c r="T6515" i="5"/>
  <c r="J6515" i="5"/>
  <c r="K6515" i="5" s="1"/>
  <c r="T6514" i="5"/>
  <c r="J6514" i="5"/>
  <c r="T6513" i="5"/>
  <c r="J6513" i="5"/>
  <c r="K6513" i="5" s="1"/>
  <c r="T6512" i="5"/>
  <c r="J6512" i="5"/>
  <c r="K6512" i="5" s="1"/>
  <c r="L6512" i="5" s="1"/>
  <c r="P6512" i="5" s="1"/>
  <c r="T6511" i="5"/>
  <c r="J6511" i="5"/>
  <c r="T6510" i="5"/>
  <c r="J6510" i="5"/>
  <c r="K6510" i="5" s="1"/>
  <c r="T6509" i="5"/>
  <c r="J6509" i="5"/>
  <c r="T6508" i="5"/>
  <c r="J6508" i="5"/>
  <c r="T6507" i="5"/>
  <c r="J6507" i="5"/>
  <c r="T6506" i="5"/>
  <c r="J6506" i="5"/>
  <c r="K6506" i="5" s="1"/>
  <c r="T6505" i="5"/>
  <c r="J6505" i="5"/>
  <c r="T6504" i="5"/>
  <c r="J6504" i="5"/>
  <c r="T6503" i="5"/>
  <c r="J6503" i="5"/>
  <c r="T6502" i="5"/>
  <c r="J6502" i="5"/>
  <c r="T6501" i="5"/>
  <c r="J6501" i="5"/>
  <c r="T6500" i="5"/>
  <c r="J6500" i="5"/>
  <c r="T6499" i="5"/>
  <c r="J6499" i="5"/>
  <c r="K6499" i="5" s="1"/>
  <c r="L6499" i="5" s="1"/>
  <c r="T6498" i="5"/>
  <c r="J6498" i="5"/>
  <c r="T6497" i="5"/>
  <c r="J6497" i="5"/>
  <c r="T6496" i="5"/>
  <c r="J6496" i="5"/>
  <c r="K6496" i="5" s="1"/>
  <c r="L6496" i="5" s="1"/>
  <c r="T6495" i="5"/>
  <c r="J6495" i="5"/>
  <c r="K6495" i="5" s="1"/>
  <c r="T6494" i="5"/>
  <c r="J6494" i="5"/>
  <c r="T6493" i="5"/>
  <c r="J6493" i="5"/>
  <c r="K6493" i="5" s="1"/>
  <c r="L6493" i="5" s="1"/>
  <c r="P6493" i="5" s="1"/>
  <c r="T6492" i="5"/>
  <c r="J6492" i="5"/>
  <c r="K6492" i="5" s="1"/>
  <c r="T6491" i="5"/>
  <c r="J6491" i="5"/>
  <c r="K6491" i="5" s="1"/>
  <c r="T6490" i="5"/>
  <c r="J6490" i="5"/>
  <c r="K6490" i="5" s="1"/>
  <c r="T6489" i="5"/>
  <c r="J6489" i="5"/>
  <c r="T6488" i="5"/>
  <c r="J6488" i="5"/>
  <c r="T6487" i="5"/>
  <c r="J6487" i="5"/>
  <c r="K6487" i="5" s="1"/>
  <c r="T6486" i="5"/>
  <c r="J6486" i="5"/>
  <c r="T6485" i="5"/>
  <c r="J6485" i="5"/>
  <c r="T6484" i="5"/>
  <c r="J6484" i="5"/>
  <c r="T6483" i="5"/>
  <c r="J6483" i="5"/>
  <c r="T6482" i="5"/>
  <c r="J6482" i="5"/>
  <c r="K6482" i="5" s="1"/>
  <c r="T6481" i="5"/>
  <c r="J6481" i="5"/>
  <c r="T6480" i="5"/>
  <c r="J6480" i="5"/>
  <c r="T6479" i="5"/>
  <c r="J6479" i="5"/>
  <c r="K6479" i="5" s="1"/>
  <c r="T6478" i="5"/>
  <c r="J6478" i="5"/>
  <c r="K6478" i="5" s="1"/>
  <c r="B6666" i="5"/>
  <c r="M6666" i="5" s="1"/>
  <c r="B6667" i="5"/>
  <c r="Q6667" i="5" s="1"/>
  <c r="B6668" i="5"/>
  <c r="Q6668" i="5" s="1"/>
  <c r="B6665" i="5"/>
  <c r="M6665" i="5" s="1"/>
  <c r="B6663" i="5"/>
  <c r="Q6663" i="5" s="1"/>
  <c r="B6664" i="5"/>
  <c r="M6664" i="5" s="1"/>
  <c r="B6660" i="5"/>
  <c r="M6660" i="5" s="1"/>
  <c r="B6661" i="5"/>
  <c r="Q6661" i="5" s="1"/>
  <c r="B6662" i="5"/>
  <c r="Q6662" i="5" s="1"/>
  <c r="B6658" i="5"/>
  <c r="Q6658" i="5" s="1"/>
  <c r="B6659" i="5"/>
  <c r="M6659" i="5" s="1"/>
  <c r="B6655" i="5"/>
  <c r="Q6655" i="5" s="1"/>
  <c r="B6656" i="5"/>
  <c r="Q6656" i="5" s="1"/>
  <c r="B6657" i="5"/>
  <c r="M6657" i="5" s="1"/>
  <c r="B6651" i="5"/>
  <c r="Q6651" i="5" s="1"/>
  <c r="B6652" i="5"/>
  <c r="M6652" i="5" s="1"/>
  <c r="B6653" i="5"/>
  <c r="Q6653" i="5" s="1"/>
  <c r="B6654" i="5"/>
  <c r="Q6654" i="5" s="1"/>
  <c r="B6650" i="5"/>
  <c r="Q6650" i="5" s="1"/>
  <c r="B6649" i="5"/>
  <c r="Q6649" i="5" s="1"/>
  <c r="B6646" i="5"/>
  <c r="Q6646" i="5" s="1"/>
  <c r="B6647" i="5"/>
  <c r="Q6647" i="5" s="1"/>
  <c r="B6648" i="5"/>
  <c r="Q6648" i="5" s="1"/>
  <c r="B6642" i="5"/>
  <c r="Q6642" i="5" s="1"/>
  <c r="B6643" i="5"/>
  <c r="M6643" i="5" s="1"/>
  <c r="B6644" i="5"/>
  <c r="M6644" i="5" s="1"/>
  <c r="B6645" i="5"/>
  <c r="Q6645" i="5" s="1"/>
  <c r="B6638" i="5"/>
  <c r="Q6638" i="5" s="1"/>
  <c r="B6639" i="5"/>
  <c r="Q6639" i="5" s="1"/>
  <c r="B6640" i="5"/>
  <c r="Q6640" i="5" s="1"/>
  <c r="B6641" i="5"/>
  <c r="Q6641" i="5" s="1"/>
  <c r="B6637" i="5"/>
  <c r="Q6637" i="5" s="1"/>
  <c r="B6633" i="5"/>
  <c r="Q6633" i="5" s="1"/>
  <c r="B6634" i="5"/>
  <c r="Q6634" i="5" s="1"/>
  <c r="B6635" i="5"/>
  <c r="M6635" i="5" s="1"/>
  <c r="B6636" i="5"/>
  <c r="Q6636" i="5" s="1"/>
  <c r="B6628" i="5"/>
  <c r="Q6628" i="5" s="1"/>
  <c r="B6629" i="5"/>
  <c r="M6629" i="5" s="1"/>
  <c r="B6630" i="5"/>
  <c r="M6630" i="5" s="1"/>
  <c r="B6631" i="5"/>
  <c r="Q6631" i="5" s="1"/>
  <c r="B6632" i="5"/>
  <c r="Q6632" i="5" s="1"/>
  <c r="B6627" i="5"/>
  <c r="Q6627" i="5" s="1"/>
  <c r="B6625" i="5"/>
  <c r="M6625" i="5" s="1"/>
  <c r="B6626" i="5"/>
  <c r="Q6626" i="5" s="1"/>
  <c r="B6624" i="5"/>
  <c r="Q6624" i="5" s="1"/>
  <c r="B6622" i="5"/>
  <c r="Q6622" i="5" s="1"/>
  <c r="B6623" i="5"/>
  <c r="Q6623" i="5" s="1"/>
  <c r="B6618" i="5"/>
  <c r="M6618" i="5" s="1"/>
  <c r="B6619" i="5"/>
  <c r="Q6619" i="5" s="1"/>
  <c r="B6620" i="5"/>
  <c r="Q6620" i="5" s="1"/>
  <c r="B6621" i="5"/>
  <c r="Q6621" i="5" s="1"/>
  <c r="B6612" i="5"/>
  <c r="Q6612" i="5" s="1"/>
  <c r="B6613" i="5"/>
  <c r="Q6613" i="5" s="1"/>
  <c r="B6614" i="5"/>
  <c r="M6614" i="5" s="1"/>
  <c r="B6615" i="5"/>
  <c r="Q6615" i="5" s="1"/>
  <c r="B6616" i="5"/>
  <c r="M6616" i="5" s="1"/>
  <c r="B6617" i="5"/>
  <c r="Q6617" i="5" s="1"/>
  <c r="B6609" i="5"/>
  <c r="Q6609" i="5" s="1"/>
  <c r="B6610" i="5"/>
  <c r="Q6610" i="5" s="1"/>
  <c r="B6611" i="5"/>
  <c r="M6611" i="5" s="1"/>
  <c r="B6608" i="5"/>
  <c r="Q6608" i="5" s="1"/>
  <c r="B6606" i="5"/>
  <c r="Q6606" i="5" s="1"/>
  <c r="B6607" i="5"/>
  <c r="M6607" i="5" s="1"/>
  <c r="B6605" i="5"/>
  <c r="Q6605" i="5" s="1"/>
  <c r="B6602" i="5"/>
  <c r="Q6602" i="5" s="1"/>
  <c r="B6603" i="5"/>
  <c r="Q6603" i="5" s="1"/>
  <c r="B6604" i="5"/>
  <c r="Q6604" i="5" s="1"/>
  <c r="B6601" i="5"/>
  <c r="Q6601" i="5" s="1"/>
  <c r="B6599" i="5"/>
  <c r="Q6599" i="5" s="1"/>
  <c r="B6600" i="5"/>
  <c r="M6600" i="5" s="1"/>
  <c r="B6598" i="5"/>
  <c r="Q6598" i="5" s="1"/>
  <c r="B6597" i="5"/>
  <c r="M6597" i="5" s="1"/>
  <c r="B6595" i="5"/>
  <c r="Q6595" i="5" s="1"/>
  <c r="B6596" i="5"/>
  <c r="M6596" i="5" s="1"/>
  <c r="B6594" i="5"/>
  <c r="M6594" i="5" s="1"/>
  <c r="B6592" i="5"/>
  <c r="M6592" i="5" s="1"/>
  <c r="B6593" i="5"/>
  <c r="Q6593" i="5" s="1"/>
  <c r="B6591" i="5"/>
  <c r="Q6591" i="5" s="1"/>
  <c r="B6590" i="5"/>
  <c r="Q6590" i="5" s="1"/>
  <c r="B6585" i="5"/>
  <c r="M6585" i="5" s="1"/>
  <c r="B6586" i="5"/>
  <c r="Q6586" i="5" s="1"/>
  <c r="B6587" i="5"/>
  <c r="Q6587" i="5" s="1"/>
  <c r="B6588" i="5"/>
  <c r="Q6588" i="5" s="1"/>
  <c r="B6589" i="5"/>
  <c r="Q6589" i="5" s="1"/>
  <c r="B6582" i="5"/>
  <c r="M6582" i="5" s="1"/>
  <c r="B6583" i="5"/>
  <c r="M6583" i="5" s="1"/>
  <c r="B6584" i="5"/>
  <c r="Q6584" i="5" s="1"/>
  <c r="B6580" i="5"/>
  <c r="Q6580" i="5" s="1"/>
  <c r="B6581" i="5"/>
  <c r="M6581" i="5" s="1"/>
  <c r="B6578" i="5"/>
  <c r="Q6578" i="5" s="1"/>
  <c r="B6579" i="5"/>
  <c r="Q6579" i="5" s="1"/>
  <c r="B6576" i="5"/>
  <c r="M6576" i="5" s="1"/>
  <c r="B6577" i="5"/>
  <c r="M6577" i="5" s="1"/>
  <c r="B6571" i="5"/>
  <c r="Q6571" i="5" s="1"/>
  <c r="B6572" i="5"/>
  <c r="Q6572" i="5" s="1"/>
  <c r="B6573" i="5"/>
  <c r="M6573" i="5" s="1"/>
  <c r="B6574" i="5"/>
  <c r="M6574" i="5" s="1"/>
  <c r="B6575" i="5"/>
  <c r="Q6575" i="5" s="1"/>
  <c r="B6570" i="5"/>
  <c r="Q6570" i="5" s="1"/>
  <c r="B6568" i="5"/>
  <c r="Q6568" i="5" s="1"/>
  <c r="B6569" i="5"/>
  <c r="Q6569" i="5" s="1"/>
  <c r="B6566" i="5"/>
  <c r="Q6566" i="5" s="1"/>
  <c r="B6567" i="5"/>
  <c r="Q6567" i="5" s="1"/>
  <c r="B6563" i="5"/>
  <c r="M6563" i="5" s="1"/>
  <c r="B6564" i="5"/>
  <c r="Q6564" i="5" s="1"/>
  <c r="B6565" i="5"/>
  <c r="Q6565" i="5" s="1"/>
  <c r="B6561" i="5"/>
  <c r="Q6561" i="5" s="1"/>
  <c r="B6562" i="5"/>
  <c r="M6562" i="5" s="1"/>
  <c r="B6557" i="5"/>
  <c r="Q6557" i="5" s="1"/>
  <c r="B6558" i="5"/>
  <c r="M6558" i="5" s="1"/>
  <c r="B6559" i="5"/>
  <c r="Q6559" i="5" s="1"/>
  <c r="B6560" i="5"/>
  <c r="Q6560" i="5" s="1"/>
  <c r="B6556" i="5"/>
  <c r="Q6556" i="5" s="1"/>
  <c r="B6552" i="5"/>
  <c r="Q6552" i="5" s="1"/>
  <c r="B6553" i="5"/>
  <c r="Q6553" i="5" s="1"/>
  <c r="B6554" i="5"/>
  <c r="Q6554" i="5" s="1"/>
  <c r="B6555" i="5"/>
  <c r="Q6555" i="5" s="1"/>
  <c r="B6547" i="5"/>
  <c r="M6547" i="5" s="1"/>
  <c r="B6548" i="5"/>
  <c r="Q6548" i="5" s="1"/>
  <c r="B6549" i="5"/>
  <c r="Q6549" i="5" s="1"/>
  <c r="B6550" i="5"/>
  <c r="Q6550" i="5" s="1"/>
  <c r="B6551" i="5"/>
  <c r="Q6551" i="5" s="1"/>
  <c r="B6544" i="5"/>
  <c r="Q6544" i="5" s="1"/>
  <c r="B6545" i="5"/>
  <c r="Q6545" i="5" s="1"/>
  <c r="B6546" i="5"/>
  <c r="Q6546" i="5" s="1"/>
  <c r="B6543" i="5"/>
  <c r="Q6543" i="5" s="1"/>
  <c r="B6541" i="5"/>
  <c r="Q6541" i="5" s="1"/>
  <c r="B6542" i="5"/>
  <c r="Q6542" i="5" s="1"/>
  <c r="B6535" i="5"/>
  <c r="M6535" i="5" s="1"/>
  <c r="B6536" i="5"/>
  <c r="M6536" i="5" s="1"/>
  <c r="B6537" i="5"/>
  <c r="M6537" i="5" s="1"/>
  <c r="B6538" i="5"/>
  <c r="Q6538" i="5" s="1"/>
  <c r="B6539" i="5"/>
  <c r="Q6539" i="5" s="1"/>
  <c r="B6540" i="5"/>
  <c r="Q6540" i="5" s="1"/>
  <c r="B6533" i="5"/>
  <c r="Q6533" i="5" s="1"/>
  <c r="B6534" i="5"/>
  <c r="Q6534" i="5" s="1"/>
  <c r="B6531" i="5"/>
  <c r="Q6531" i="5" s="1"/>
  <c r="B6532" i="5"/>
  <c r="M6532" i="5" s="1"/>
  <c r="B6526" i="5"/>
  <c r="M6526" i="5" s="1"/>
  <c r="B6527" i="5"/>
  <c r="Q6527" i="5" s="1"/>
  <c r="B6528" i="5"/>
  <c r="Q6528" i="5" s="1"/>
  <c r="B6529" i="5"/>
  <c r="M6529" i="5" s="1"/>
  <c r="B6530" i="5"/>
  <c r="Q6530" i="5" s="1"/>
  <c r="B6522" i="5"/>
  <c r="M6522" i="5" s="1"/>
  <c r="B6523" i="5"/>
  <c r="Q6523" i="5" s="1"/>
  <c r="B6524" i="5"/>
  <c r="M6524" i="5" s="1"/>
  <c r="B6525" i="5"/>
  <c r="Q6525" i="5" s="1"/>
  <c r="B6520" i="5"/>
  <c r="M6520" i="5" s="1"/>
  <c r="B6521" i="5"/>
  <c r="Q6521" i="5" s="1"/>
  <c r="B6519" i="5"/>
  <c r="Q6519" i="5" s="1"/>
  <c r="B6514" i="5"/>
  <c r="M6514" i="5" s="1"/>
  <c r="B6515" i="5"/>
  <c r="Q6515" i="5" s="1"/>
  <c r="B6516" i="5"/>
  <c r="Q6516" i="5" s="1"/>
  <c r="B6517" i="5"/>
  <c r="Q6517" i="5" s="1"/>
  <c r="B6518" i="5"/>
  <c r="Q6518" i="5" s="1"/>
  <c r="B6512" i="5"/>
  <c r="Q6512" i="5" s="1"/>
  <c r="B6513" i="5"/>
  <c r="Q6513" i="5" s="1"/>
  <c r="B6511" i="5"/>
  <c r="Q6511" i="5" s="1"/>
  <c r="B6508" i="5"/>
  <c r="Q6508" i="5" s="1"/>
  <c r="B6509" i="5"/>
  <c r="M6509" i="5" s="1"/>
  <c r="B6510" i="5"/>
  <c r="Q6510" i="5" s="1"/>
  <c r="B6505" i="5"/>
  <c r="Q6505" i="5" s="1"/>
  <c r="B6506" i="5"/>
  <c r="Q6506" i="5" s="1"/>
  <c r="B6507" i="5"/>
  <c r="Q6507" i="5" s="1"/>
  <c r="B6503" i="5"/>
  <c r="M6503" i="5" s="1"/>
  <c r="B6504" i="5"/>
  <c r="Q6504" i="5" s="1"/>
  <c r="B6501" i="5"/>
  <c r="Q6501" i="5" s="1"/>
  <c r="B6502" i="5"/>
  <c r="Q6502" i="5" s="1"/>
  <c r="B6500" i="5"/>
  <c r="Q6500" i="5" s="1"/>
  <c r="B6499" i="5"/>
  <c r="Q6499" i="5" s="1"/>
  <c r="B6498" i="5"/>
  <c r="Q6498" i="5" s="1"/>
  <c r="B6494" i="5"/>
  <c r="M6494" i="5" s="1"/>
  <c r="B6495" i="5"/>
  <c r="Q6495" i="5" s="1"/>
  <c r="B6496" i="5"/>
  <c r="Q6496" i="5" s="1"/>
  <c r="B6497" i="5"/>
  <c r="Q6497" i="5" s="1"/>
  <c r="B6491" i="5"/>
  <c r="M6491" i="5" s="1"/>
  <c r="B6492" i="5"/>
  <c r="Q6492" i="5" s="1"/>
  <c r="B6493" i="5"/>
  <c r="Q6493" i="5" s="1"/>
  <c r="B6489" i="5"/>
  <c r="M6489" i="5" s="1"/>
  <c r="B6490" i="5"/>
  <c r="Q6490" i="5" s="1"/>
  <c r="B6488" i="5"/>
  <c r="M6488" i="5" s="1"/>
  <c r="B6486" i="5"/>
  <c r="Q6486" i="5" s="1"/>
  <c r="B6487" i="5"/>
  <c r="Q6487" i="5" s="1"/>
  <c r="B6485" i="5"/>
  <c r="Q6485" i="5" s="1"/>
  <c r="B6484" i="5"/>
  <c r="Q6484" i="5" s="1"/>
  <c r="B6480" i="5"/>
  <c r="Q6480" i="5" s="1"/>
  <c r="B6481" i="5"/>
  <c r="M6481" i="5" s="1"/>
  <c r="B6482" i="5"/>
  <c r="M6482" i="5" s="1"/>
  <c r="B6483" i="5"/>
  <c r="Q6483" i="5" s="1"/>
  <c r="B6479" i="5"/>
  <c r="M6479" i="5" s="1"/>
  <c r="B6478" i="5"/>
  <c r="M6478" i="5" s="1"/>
  <c r="T6477" i="5"/>
  <c r="J6477" i="5"/>
  <c r="T6476" i="5"/>
  <c r="J6476" i="5"/>
  <c r="K6476" i="5" s="1"/>
  <c r="T6475" i="5"/>
  <c r="J6475" i="5"/>
  <c r="T6474" i="5"/>
  <c r="J6474" i="5"/>
  <c r="K6474" i="5" s="1"/>
  <c r="L6474" i="5" s="1"/>
  <c r="T6473" i="5"/>
  <c r="J6473" i="5"/>
  <c r="K6473" i="5" s="1"/>
  <c r="T6472" i="5"/>
  <c r="J6472" i="5"/>
  <c r="T6471" i="5"/>
  <c r="J6471" i="5"/>
  <c r="K6471" i="5" s="1"/>
  <c r="L6471" i="5" s="1"/>
  <c r="T6470" i="5"/>
  <c r="J6470" i="5"/>
  <c r="T6469" i="5"/>
  <c r="J6469" i="5"/>
  <c r="T6468" i="5"/>
  <c r="J6468" i="5"/>
  <c r="T6467" i="5"/>
  <c r="J6467" i="5"/>
  <c r="K6467" i="5" s="1"/>
  <c r="T6466" i="5"/>
  <c r="J6466" i="5"/>
  <c r="T6465" i="5"/>
  <c r="J6465" i="5"/>
  <c r="K6465" i="5" s="1"/>
  <c r="L6465" i="5" s="1"/>
  <c r="P6465" i="5" s="1"/>
  <c r="T6464" i="5"/>
  <c r="J6464" i="5"/>
  <c r="K6464" i="5" s="1"/>
  <c r="L6464" i="5" s="1"/>
  <c r="T6463" i="5"/>
  <c r="J6463" i="5"/>
  <c r="T6462" i="5"/>
  <c r="J6462" i="5"/>
  <c r="T6461" i="5"/>
  <c r="J6461" i="5"/>
  <c r="K6461" i="5" s="1"/>
  <c r="T6460" i="5"/>
  <c r="J6460" i="5"/>
  <c r="T6459" i="5"/>
  <c r="J6459" i="5"/>
  <c r="T6458" i="5"/>
  <c r="J6458" i="5"/>
  <c r="K6458" i="5" s="1"/>
  <c r="L6458" i="5" s="1"/>
  <c r="T6457" i="5"/>
  <c r="J6457" i="5"/>
  <c r="K6457" i="5" s="1"/>
  <c r="T6456" i="5"/>
  <c r="J6456" i="5"/>
  <c r="T6455" i="5"/>
  <c r="J6455" i="5"/>
  <c r="T6454" i="5"/>
  <c r="J6454" i="5"/>
  <c r="K6454" i="5" s="1"/>
  <c r="L6454" i="5" s="1"/>
  <c r="P6454" i="5" s="1"/>
  <c r="T6453" i="5"/>
  <c r="J6453" i="5"/>
  <c r="T6452" i="5"/>
  <c r="J6452" i="5"/>
  <c r="K6452" i="5" s="1"/>
  <c r="T6451" i="5"/>
  <c r="J6451" i="5"/>
  <c r="T6450" i="5"/>
  <c r="J6450" i="5"/>
  <c r="K6450" i="5" s="1"/>
  <c r="T6449" i="5"/>
  <c r="J6449" i="5"/>
  <c r="K6449" i="5" s="1"/>
  <c r="T6448" i="5"/>
  <c r="J6448" i="5"/>
  <c r="K6448" i="5" s="1"/>
  <c r="T6447" i="5"/>
  <c r="J6447" i="5"/>
  <c r="K6447" i="5" s="1"/>
  <c r="T6446" i="5"/>
  <c r="J6446" i="5"/>
  <c r="T6445" i="5"/>
  <c r="J6445" i="5"/>
  <c r="K6445" i="5" s="1"/>
  <c r="L6445" i="5" s="1"/>
  <c r="T6444" i="5"/>
  <c r="J6444" i="5"/>
  <c r="K6444" i="5" s="1"/>
  <c r="T6443" i="5"/>
  <c r="J6443" i="5"/>
  <c r="T6442" i="5"/>
  <c r="J6442" i="5"/>
  <c r="K6442" i="5" s="1"/>
  <c r="T6441" i="5"/>
  <c r="J6441" i="5"/>
  <c r="K6441" i="5" s="1"/>
  <c r="L6441" i="5" s="1"/>
  <c r="P6441" i="5" s="1"/>
  <c r="T6440" i="5"/>
  <c r="J6440" i="5"/>
  <c r="T6439" i="5"/>
  <c r="J6439" i="5"/>
  <c r="K6439" i="5" s="1"/>
  <c r="L6439" i="5" s="1"/>
  <c r="T6438" i="5"/>
  <c r="J6438" i="5"/>
  <c r="K6438" i="5" s="1"/>
  <c r="L6438" i="5" s="1"/>
  <c r="T6437" i="5"/>
  <c r="J6437" i="5"/>
  <c r="T6436" i="5"/>
  <c r="J6436" i="5"/>
  <c r="T6435" i="5"/>
  <c r="J6435" i="5"/>
  <c r="K6435" i="5" s="1"/>
  <c r="L6435" i="5" s="1"/>
  <c r="T6434" i="5"/>
  <c r="J6434" i="5"/>
  <c r="K6434" i="5" s="1"/>
  <c r="T6433" i="5"/>
  <c r="J6433" i="5"/>
  <c r="T6432" i="5"/>
  <c r="J6432" i="5"/>
  <c r="K6432" i="5" s="1"/>
  <c r="T6431" i="5"/>
  <c r="J6431" i="5"/>
  <c r="T6430" i="5"/>
  <c r="J6430" i="5"/>
  <c r="T6429" i="5"/>
  <c r="J6429" i="5"/>
  <c r="T6428" i="5"/>
  <c r="J6428" i="5"/>
  <c r="K6428" i="5" s="1"/>
  <c r="L6428" i="5" s="1"/>
  <c r="P6428" i="5" s="1"/>
  <c r="T6427" i="5"/>
  <c r="J6427" i="5"/>
  <c r="T6426" i="5"/>
  <c r="J6426" i="5"/>
  <c r="K6426" i="5" s="1"/>
  <c r="L6426" i="5" s="1"/>
  <c r="T6425" i="5"/>
  <c r="J6425" i="5"/>
  <c r="T6424" i="5"/>
  <c r="J6424" i="5"/>
  <c r="K6424" i="5" s="1"/>
  <c r="T6423" i="5"/>
  <c r="J6423" i="5"/>
  <c r="T6422" i="5"/>
  <c r="J6422" i="5"/>
  <c r="K6422" i="5" s="1"/>
  <c r="T6421" i="5"/>
  <c r="J6421" i="5"/>
  <c r="K6421" i="5" s="1"/>
  <c r="L6421" i="5" s="1"/>
  <c r="T6420" i="5"/>
  <c r="J6420" i="5"/>
  <c r="K6420" i="5" s="1"/>
  <c r="L6420" i="5" s="1"/>
  <c r="T6419" i="5"/>
  <c r="J6419" i="5"/>
  <c r="K6419" i="5" s="1"/>
  <c r="T6418" i="5"/>
  <c r="J6418" i="5"/>
  <c r="T6417" i="5"/>
  <c r="J6417" i="5"/>
  <c r="K6417" i="5" s="1"/>
  <c r="L6417" i="5" s="1"/>
  <c r="T6416" i="5"/>
  <c r="J6416" i="5"/>
  <c r="T6415" i="5"/>
  <c r="J6415" i="5"/>
  <c r="T6414" i="5"/>
  <c r="J6414" i="5"/>
  <c r="K6414" i="5" s="1"/>
  <c r="T6413" i="5"/>
  <c r="J6413" i="5"/>
  <c r="K6413" i="5" s="1"/>
  <c r="T6412" i="5"/>
  <c r="J6412" i="5"/>
  <c r="K6412" i="5" s="1"/>
  <c r="T6411" i="5"/>
  <c r="J6411" i="5"/>
  <c r="T6410" i="5"/>
  <c r="J6410" i="5"/>
  <c r="T6409" i="5"/>
  <c r="J6409" i="5"/>
  <c r="T6408" i="5"/>
  <c r="J6408" i="5"/>
  <c r="K6408" i="5" s="1"/>
  <c r="T6407" i="5"/>
  <c r="J6407" i="5"/>
  <c r="T6406" i="5"/>
  <c r="J6406" i="5"/>
  <c r="K6406" i="5" s="1"/>
  <c r="T6405" i="5"/>
  <c r="J6405" i="5"/>
  <c r="K6405" i="5" s="1"/>
  <c r="L6405" i="5" s="1"/>
  <c r="T6404" i="5"/>
  <c r="J6404" i="5"/>
  <c r="T6403" i="5"/>
  <c r="J6403" i="5"/>
  <c r="T6402" i="5"/>
  <c r="J6402" i="5"/>
  <c r="K6402" i="5" s="1"/>
  <c r="T6401" i="5"/>
  <c r="J6401" i="5"/>
  <c r="T6400" i="5"/>
  <c r="J6400" i="5"/>
  <c r="K6400" i="5" s="1"/>
  <c r="T6399" i="5"/>
  <c r="J6399" i="5"/>
  <c r="K6399" i="5" s="1"/>
  <c r="T6398" i="5"/>
  <c r="J6398" i="5"/>
  <c r="K6398" i="5" s="1"/>
  <c r="T6397" i="5"/>
  <c r="J6397" i="5"/>
  <c r="K6397" i="5" s="1"/>
  <c r="T6396" i="5"/>
  <c r="J6396" i="5"/>
  <c r="K6396" i="5" s="1"/>
  <c r="T6395" i="5"/>
  <c r="J6395" i="5"/>
  <c r="T6394" i="5"/>
  <c r="J6394" i="5"/>
  <c r="T6393" i="5"/>
  <c r="J6393" i="5"/>
  <c r="K6393" i="5" s="1"/>
  <c r="T6392" i="5"/>
  <c r="J6392" i="5"/>
  <c r="K6392" i="5" s="1"/>
  <c r="T6391" i="5"/>
  <c r="J6391" i="5"/>
  <c r="K6391" i="5" s="1"/>
  <c r="L6391" i="5" s="1"/>
  <c r="T6390" i="5"/>
  <c r="J6390" i="5"/>
  <c r="T6389" i="5"/>
  <c r="J6389" i="5"/>
  <c r="T6388" i="5"/>
  <c r="J6388" i="5"/>
  <c r="T6387" i="5"/>
  <c r="J6387" i="5"/>
  <c r="K6387" i="5" s="1"/>
  <c r="L6387" i="5" s="1"/>
  <c r="P6387" i="5" s="1"/>
  <c r="T6386" i="5"/>
  <c r="J6386" i="5"/>
  <c r="K6386" i="5" s="1"/>
  <c r="T6385" i="5"/>
  <c r="J6385" i="5"/>
  <c r="K6385" i="5" s="1"/>
  <c r="L6385" i="5" s="1"/>
  <c r="P6385" i="5" s="1"/>
  <c r="T6384" i="5"/>
  <c r="J6384" i="5"/>
  <c r="T6383" i="5"/>
  <c r="J6383" i="5"/>
  <c r="T6382" i="5"/>
  <c r="J6382" i="5"/>
  <c r="T6381" i="5"/>
  <c r="J6381" i="5"/>
  <c r="K6381" i="5" s="1"/>
  <c r="L6381" i="5" s="1"/>
  <c r="T6380" i="5"/>
  <c r="J6380" i="5"/>
  <c r="K6380" i="5" s="1"/>
  <c r="T6379" i="5"/>
  <c r="J6379" i="5"/>
  <c r="T6378" i="5"/>
  <c r="J6378" i="5"/>
  <c r="K6378" i="5" s="1"/>
  <c r="T6377" i="5"/>
  <c r="J6377" i="5"/>
  <c r="K6377" i="5" s="1"/>
  <c r="T6376" i="5"/>
  <c r="J6376" i="5"/>
  <c r="T6375" i="5"/>
  <c r="J6375" i="5"/>
  <c r="K6375" i="5" s="1"/>
  <c r="L6375" i="5" s="1"/>
  <c r="T6374" i="5"/>
  <c r="J6374" i="5"/>
  <c r="K6374" i="5" s="1"/>
  <c r="L6374" i="5" s="1"/>
  <c r="P6374" i="5" s="1"/>
  <c r="T6373" i="5"/>
  <c r="J6373" i="5"/>
  <c r="T6372" i="5"/>
  <c r="J6372" i="5"/>
  <c r="K6372" i="5" s="1"/>
  <c r="L6372" i="5" s="1"/>
  <c r="T6371" i="5"/>
  <c r="J6371" i="5"/>
  <c r="K6371" i="5" s="1"/>
  <c r="T6370" i="5"/>
  <c r="J6370" i="5"/>
  <c r="T6369" i="5"/>
  <c r="J6369" i="5"/>
  <c r="T6368" i="5"/>
  <c r="J6368" i="5"/>
  <c r="K6368" i="5" s="1"/>
  <c r="T6367" i="5"/>
  <c r="J6367" i="5"/>
  <c r="K6367" i="5" s="1"/>
  <c r="L6367" i="5" s="1"/>
  <c r="T6366" i="5"/>
  <c r="J6366" i="5"/>
  <c r="T6365" i="5"/>
  <c r="J6365" i="5"/>
  <c r="K6365" i="5" s="1"/>
  <c r="T6364" i="5"/>
  <c r="J6364" i="5"/>
  <c r="T6363" i="5"/>
  <c r="J6363" i="5"/>
  <c r="K6363" i="5" s="1"/>
  <c r="T6362" i="5"/>
  <c r="J6362" i="5"/>
  <c r="T6361" i="5"/>
  <c r="J6361" i="5"/>
  <c r="T6360" i="5"/>
  <c r="J6360" i="5"/>
  <c r="T6359" i="5"/>
  <c r="J6359" i="5"/>
  <c r="K6359" i="5" s="1"/>
  <c r="T6358" i="5"/>
  <c r="J6358" i="5"/>
  <c r="K6358" i="5" s="1"/>
  <c r="L6358" i="5" s="1"/>
  <c r="T6357" i="5"/>
  <c r="J6357" i="5"/>
  <c r="K6357" i="5" s="1"/>
  <c r="T6356" i="5"/>
  <c r="J6356" i="5"/>
  <c r="T6355" i="5"/>
  <c r="J6355" i="5"/>
  <c r="T6354" i="5"/>
  <c r="J6354" i="5"/>
  <c r="T6353" i="5"/>
  <c r="J6353" i="5"/>
  <c r="T6352" i="5"/>
  <c r="J6352" i="5"/>
  <c r="T6351" i="5"/>
  <c r="J6351" i="5"/>
  <c r="K6351" i="5" s="1"/>
  <c r="T6350" i="5"/>
  <c r="J6350" i="5"/>
  <c r="K6350" i="5" s="1"/>
  <c r="L6350" i="5" s="1"/>
  <c r="T6349" i="5"/>
  <c r="J6349" i="5"/>
  <c r="T6348" i="5"/>
  <c r="J6348" i="5"/>
  <c r="K6348" i="5" s="1"/>
  <c r="T6347" i="5"/>
  <c r="J6347" i="5"/>
  <c r="K6347" i="5" s="1"/>
  <c r="L6347" i="5" s="1"/>
  <c r="P6347" i="5" s="1"/>
  <c r="T6346" i="5"/>
  <c r="J6346" i="5"/>
  <c r="T6345" i="5"/>
  <c r="J6345" i="5"/>
  <c r="K6345" i="5" s="1"/>
  <c r="L6345" i="5" s="1"/>
  <c r="T6344" i="5"/>
  <c r="J6344" i="5"/>
  <c r="K6344" i="5" s="1"/>
  <c r="T6343" i="5"/>
  <c r="J6343" i="5"/>
  <c r="T6342" i="5"/>
  <c r="J6342" i="5"/>
  <c r="T6341" i="5"/>
  <c r="J6341" i="5"/>
  <c r="K6341" i="5" s="1"/>
  <c r="T6340" i="5"/>
  <c r="J6340" i="5"/>
  <c r="K6340" i="5" s="1"/>
  <c r="L6340" i="5" s="1"/>
  <c r="T6339" i="5"/>
  <c r="J6339" i="5"/>
  <c r="K6339" i="5" s="1"/>
  <c r="L6339" i="5" s="1"/>
  <c r="T6338" i="5"/>
  <c r="J6338" i="5"/>
  <c r="K6338" i="5" s="1"/>
  <c r="T6337" i="5"/>
  <c r="J6337" i="5"/>
  <c r="T6336" i="5"/>
  <c r="J6336" i="5"/>
  <c r="K6336" i="5" s="1"/>
  <c r="L6336" i="5" s="1"/>
  <c r="T6335" i="5"/>
  <c r="J6335" i="5"/>
  <c r="T6334" i="5"/>
  <c r="J6334" i="5"/>
  <c r="T6333" i="5"/>
  <c r="J6333" i="5"/>
  <c r="T6332" i="5"/>
  <c r="J6332" i="5"/>
  <c r="K6332" i="5" s="1"/>
  <c r="L6332" i="5" s="1"/>
  <c r="P6332" i="5" s="1"/>
  <c r="T6331" i="5"/>
  <c r="J6331" i="5"/>
  <c r="T6330" i="5"/>
  <c r="J6330" i="5"/>
  <c r="K6330" i="5" s="1"/>
  <c r="T6329" i="5"/>
  <c r="J6329" i="5"/>
  <c r="K6329" i="5" s="1"/>
  <c r="T6328" i="5"/>
  <c r="J6328" i="5"/>
  <c r="K6328" i="5" s="1"/>
  <c r="T6327" i="5"/>
  <c r="J6327" i="5"/>
  <c r="T6326" i="5"/>
  <c r="J6326" i="5"/>
  <c r="K6326" i="5" s="1"/>
  <c r="L6326" i="5" s="1"/>
  <c r="T6325" i="5"/>
  <c r="J6325" i="5"/>
  <c r="T6324" i="5"/>
  <c r="J6324" i="5"/>
  <c r="K6324" i="5" s="1"/>
  <c r="T6323" i="5"/>
  <c r="J6323" i="5"/>
  <c r="K6323" i="5" s="1"/>
  <c r="T6322" i="5"/>
  <c r="J6322" i="5"/>
  <c r="T6321" i="5"/>
  <c r="J6321" i="5"/>
  <c r="T6320" i="5"/>
  <c r="J6320" i="5"/>
  <c r="K6320" i="5" s="1"/>
  <c r="T6319" i="5"/>
  <c r="J6319" i="5"/>
  <c r="K6319" i="5" s="1"/>
  <c r="L6319" i="5" s="1"/>
  <c r="P6319" i="5" s="1"/>
  <c r="T6318" i="5"/>
  <c r="J6318" i="5"/>
  <c r="K6318" i="5" s="1"/>
  <c r="T6317" i="5"/>
  <c r="J6317" i="5"/>
  <c r="K6317" i="5" s="1"/>
  <c r="T6316" i="5"/>
  <c r="J6316" i="5"/>
  <c r="K6316" i="5" s="1"/>
  <c r="T6315" i="5"/>
  <c r="J6315" i="5"/>
  <c r="T6314" i="5"/>
  <c r="J6314" i="5"/>
  <c r="T6313" i="5"/>
  <c r="J6313" i="5"/>
  <c r="K6313" i="5" s="1"/>
  <c r="L6313" i="5" s="1"/>
  <c r="P6313" i="5" s="1"/>
  <c r="T6312" i="5"/>
  <c r="J6312" i="5"/>
  <c r="T6311" i="5"/>
  <c r="J6311" i="5"/>
  <c r="T6310" i="5"/>
  <c r="J6310" i="5"/>
  <c r="T6309" i="5"/>
  <c r="J6309" i="5"/>
  <c r="K6309" i="5" s="1"/>
  <c r="T6308" i="5"/>
  <c r="J6308" i="5"/>
  <c r="K6308" i="5" s="1"/>
  <c r="L6308" i="5" s="1"/>
  <c r="T6307" i="5"/>
  <c r="J6307" i="5"/>
  <c r="K6307" i="5" s="1"/>
  <c r="L6307" i="5" s="1"/>
  <c r="T6306" i="5"/>
  <c r="J6306" i="5"/>
  <c r="T6305" i="5"/>
  <c r="J6305" i="5"/>
  <c r="T6304" i="5"/>
  <c r="J6304" i="5"/>
  <c r="T6303" i="5"/>
  <c r="J6303" i="5"/>
  <c r="K6303" i="5" s="1"/>
  <c r="T6302" i="5"/>
  <c r="J6302" i="5"/>
  <c r="K6302" i="5" s="1"/>
  <c r="L6302" i="5" s="1"/>
  <c r="P6302" i="5" s="1"/>
  <c r="T6301" i="5"/>
  <c r="J6301" i="5"/>
  <c r="K6301" i="5" s="1"/>
  <c r="L6301" i="5" s="1"/>
  <c r="T6300" i="5"/>
  <c r="J6300" i="5"/>
  <c r="K6300" i="5" s="1"/>
  <c r="L6300" i="5" s="1"/>
  <c r="T6299" i="5"/>
  <c r="J6299" i="5"/>
  <c r="K6299" i="5" s="1"/>
  <c r="T6298" i="5"/>
  <c r="J6298" i="5"/>
  <c r="K6298" i="5" s="1"/>
  <c r="T6297" i="5"/>
  <c r="J6297" i="5"/>
  <c r="K6297" i="5" s="1"/>
  <c r="L6297" i="5" s="1"/>
  <c r="T6296" i="5"/>
  <c r="J6296" i="5"/>
  <c r="K6296" i="5" s="1"/>
  <c r="L6296" i="5" s="1"/>
  <c r="T6295" i="5"/>
  <c r="J6295" i="5"/>
  <c r="K6295" i="5" s="1"/>
  <c r="T6294" i="5"/>
  <c r="J6294" i="5"/>
  <c r="K6294" i="5" s="1"/>
  <c r="L6294" i="5" s="1"/>
  <c r="P6294" i="5" s="1"/>
  <c r="T6293" i="5"/>
  <c r="J6293" i="5"/>
  <c r="T6292" i="5"/>
  <c r="J6292" i="5"/>
  <c r="K6292" i="5" s="1"/>
  <c r="L6292" i="5" s="1"/>
  <c r="P6292" i="5" s="1"/>
  <c r="T6291" i="5"/>
  <c r="J6291" i="5"/>
  <c r="T6290" i="5"/>
  <c r="J6290" i="5"/>
  <c r="K6290" i="5" s="1"/>
  <c r="T6289" i="5"/>
  <c r="J6289" i="5"/>
  <c r="T6288" i="5"/>
  <c r="J6288" i="5"/>
  <c r="K6288" i="5" s="1"/>
  <c r="T6287" i="5"/>
  <c r="J6287" i="5"/>
  <c r="T6286" i="5"/>
  <c r="J6286" i="5"/>
  <c r="T6285" i="5"/>
  <c r="J6285" i="5"/>
  <c r="T6284" i="5"/>
  <c r="J6284" i="5"/>
  <c r="K6284" i="5" s="1"/>
  <c r="T6283" i="5"/>
  <c r="J6283" i="5"/>
  <c r="T6282" i="5"/>
  <c r="J6282" i="5"/>
  <c r="T6281" i="5"/>
  <c r="J6281" i="5"/>
  <c r="K6281" i="5" s="1"/>
  <c r="T6280" i="5"/>
  <c r="J6280" i="5"/>
  <c r="K6280" i="5" s="1"/>
  <c r="L6280" i="5" s="1"/>
  <c r="T6279" i="5"/>
  <c r="J6279" i="5"/>
  <c r="T6278" i="5"/>
  <c r="J6278" i="5"/>
  <c r="K6278" i="5" s="1"/>
  <c r="L6278" i="5" s="1"/>
  <c r="T6277" i="5"/>
  <c r="J6277" i="5"/>
  <c r="K6277" i="5" s="1"/>
  <c r="L6277" i="5" s="1"/>
  <c r="T6276" i="5"/>
  <c r="J6276" i="5"/>
  <c r="T6275" i="5"/>
  <c r="J6275" i="5"/>
  <c r="T6274" i="5"/>
  <c r="J6274" i="5"/>
  <c r="K6274" i="5" s="1"/>
  <c r="T6273" i="5"/>
  <c r="J6273" i="5"/>
  <c r="T6272" i="5"/>
  <c r="J6272" i="5"/>
  <c r="T6271" i="5"/>
  <c r="J6271" i="5"/>
  <c r="T6270" i="5"/>
  <c r="J6270" i="5"/>
  <c r="K6270" i="5" s="1"/>
  <c r="T6269" i="5"/>
  <c r="J6269" i="5"/>
  <c r="T6268" i="5"/>
  <c r="J6268" i="5"/>
  <c r="K6268" i="5" s="1"/>
  <c r="T6267" i="5"/>
  <c r="J6267" i="5"/>
  <c r="K6267" i="5" s="1"/>
  <c r="L6267" i="5" s="1"/>
  <c r="T6266" i="5"/>
  <c r="J6266" i="5"/>
  <c r="T6265" i="5"/>
  <c r="J6265" i="5"/>
  <c r="K6265" i="5" s="1"/>
  <c r="T6264" i="5"/>
  <c r="J6264" i="5"/>
  <c r="K6264" i="5" s="1"/>
  <c r="L6264" i="5" s="1"/>
  <c r="T6263" i="5"/>
  <c r="J6263" i="5"/>
  <c r="K6263" i="5" s="1"/>
  <c r="T6262" i="5"/>
  <c r="J6262" i="5"/>
  <c r="K6262" i="5" s="1"/>
  <c r="L6262" i="5" s="1"/>
  <c r="P6262" i="5" s="1"/>
  <c r="T6261" i="5"/>
  <c r="J6261" i="5"/>
  <c r="K6261" i="5" s="1"/>
  <c r="L6261" i="5" s="1"/>
  <c r="T6260" i="5"/>
  <c r="J6260" i="5"/>
  <c r="T6259" i="5"/>
  <c r="J6259" i="5"/>
  <c r="T6258" i="5"/>
  <c r="J6258" i="5"/>
  <c r="K6258" i="5" s="1"/>
  <c r="T6257" i="5"/>
  <c r="J6257" i="5"/>
  <c r="T6256" i="5"/>
  <c r="J6256" i="5"/>
  <c r="T6255" i="5"/>
  <c r="J6255" i="5"/>
  <c r="K6255" i="5" s="1"/>
  <c r="L6255" i="5" s="1"/>
  <c r="P6255" i="5" s="1"/>
  <c r="T6254" i="5"/>
  <c r="J6254" i="5"/>
  <c r="T6253" i="5"/>
  <c r="J6253" i="5"/>
  <c r="T6252" i="5"/>
  <c r="J6252" i="5"/>
  <c r="K6252" i="5" s="1"/>
  <c r="L6252" i="5" s="1"/>
  <c r="P6252" i="5" s="1"/>
  <c r="T6251" i="5"/>
  <c r="J6251" i="5"/>
  <c r="K6251" i="5" s="1"/>
  <c r="T6250" i="5"/>
  <c r="J6250" i="5"/>
  <c r="K6250" i="5" s="1"/>
  <c r="L6250" i="5" s="1"/>
  <c r="T6249" i="5"/>
  <c r="J6249" i="5"/>
  <c r="B6477" i="5"/>
  <c r="Q6477" i="5" s="1"/>
  <c r="B6472" i="5"/>
  <c r="M6472" i="5" s="1"/>
  <c r="B6473" i="5"/>
  <c r="Q6473" i="5" s="1"/>
  <c r="B6474" i="5"/>
  <c r="Q6474" i="5" s="1"/>
  <c r="B6475" i="5"/>
  <c r="Q6475" i="5" s="1"/>
  <c r="B6476" i="5"/>
  <c r="Q6476" i="5" s="1"/>
  <c r="B6468" i="5"/>
  <c r="Q6468" i="5" s="1"/>
  <c r="B6469" i="5"/>
  <c r="Q6469" i="5" s="1"/>
  <c r="B6470" i="5"/>
  <c r="Q6470" i="5" s="1"/>
  <c r="B6471" i="5"/>
  <c r="B6467" i="5"/>
  <c r="Q6467" i="5" s="1"/>
  <c r="B6463" i="5"/>
  <c r="Q6463" i="5" s="1"/>
  <c r="B6464" i="5"/>
  <c r="M6464" i="5" s="1"/>
  <c r="B6465" i="5"/>
  <c r="Q6465" i="5" s="1"/>
  <c r="B6466" i="5"/>
  <c r="Q6466" i="5" s="1"/>
  <c r="B6461" i="5"/>
  <c r="M6461" i="5" s="1"/>
  <c r="B6462" i="5"/>
  <c r="Q6462" i="5" s="1"/>
  <c r="B6459" i="5"/>
  <c r="M6459" i="5" s="1"/>
  <c r="B6460" i="5"/>
  <c r="B6457" i="5"/>
  <c r="Q6457" i="5" s="1"/>
  <c r="B6458" i="5"/>
  <c r="B6454" i="5"/>
  <c r="Q6454" i="5" s="1"/>
  <c r="B6455" i="5"/>
  <c r="Q6455" i="5" s="1"/>
  <c r="B6456" i="5"/>
  <c r="Q6456" i="5" s="1"/>
  <c r="B6452" i="5"/>
  <c r="M6452" i="5" s="1"/>
  <c r="B6453" i="5"/>
  <c r="Q6453" i="5" s="1"/>
  <c r="B6450" i="5"/>
  <c r="Q6450" i="5" s="1"/>
  <c r="B6451" i="5"/>
  <c r="Q6451" i="5" s="1"/>
  <c r="B6447" i="5"/>
  <c r="Q6447" i="5" s="1"/>
  <c r="B6448" i="5"/>
  <c r="B6449" i="5"/>
  <c r="B6445" i="5"/>
  <c r="Q6445" i="5" s="1"/>
  <c r="B6446" i="5"/>
  <c r="M6446" i="5" s="1"/>
  <c r="B6443" i="5"/>
  <c r="Q6443" i="5" s="1"/>
  <c r="B6444" i="5"/>
  <c r="B6441" i="5"/>
  <c r="Q6441" i="5" s="1"/>
  <c r="B6442" i="5"/>
  <c r="B6440" i="5"/>
  <c r="M6440" i="5" s="1"/>
  <c r="B6437" i="5"/>
  <c r="Q6437" i="5" s="1"/>
  <c r="B6438" i="5"/>
  <c r="Q6438" i="5" s="1"/>
  <c r="B6439" i="5"/>
  <c r="M6439" i="5" s="1"/>
  <c r="B6432" i="5"/>
  <c r="Q6432" i="5" s="1"/>
  <c r="B6433" i="5"/>
  <c r="Q6433" i="5" s="1"/>
  <c r="B6434" i="5"/>
  <c r="Q6434" i="5" s="1"/>
  <c r="B6435" i="5"/>
  <c r="Q6435" i="5" s="1"/>
  <c r="B6436" i="5"/>
  <c r="M6436" i="5" s="1"/>
  <c r="B6430" i="5"/>
  <c r="B6431" i="5"/>
  <c r="B6428" i="5"/>
  <c r="Q6428" i="5" s="1"/>
  <c r="B6429" i="5"/>
  <c r="B6425" i="5"/>
  <c r="Q6425" i="5" s="1"/>
  <c r="B6426" i="5"/>
  <c r="B6427" i="5"/>
  <c r="B6422" i="5"/>
  <c r="Q6422" i="5" s="1"/>
  <c r="B6423" i="5"/>
  <c r="B6424" i="5"/>
  <c r="B6420" i="5"/>
  <c r="M6420" i="5" s="1"/>
  <c r="B6421" i="5"/>
  <c r="Q6421" i="5" s="1"/>
  <c r="B6417" i="5"/>
  <c r="Q6417" i="5" s="1"/>
  <c r="B6418" i="5"/>
  <c r="Q6418" i="5" s="1"/>
  <c r="B6419" i="5"/>
  <c r="Q6419" i="5" s="1"/>
  <c r="B6414" i="5"/>
  <c r="M6414" i="5" s="1"/>
  <c r="B6415" i="5"/>
  <c r="M6415" i="5" s="1"/>
  <c r="B6416" i="5"/>
  <c r="M6416" i="5" s="1"/>
  <c r="B6412" i="5"/>
  <c r="Q6412" i="5" s="1"/>
  <c r="B6413" i="5"/>
  <c r="M6413" i="5" s="1"/>
  <c r="B6409" i="5"/>
  <c r="Q6409" i="5" s="1"/>
  <c r="B6410" i="5"/>
  <c r="Q6410" i="5" s="1"/>
  <c r="B6411" i="5"/>
  <c r="Q6411" i="5" s="1"/>
  <c r="B6408" i="5"/>
  <c r="B6406" i="5"/>
  <c r="Q6406" i="5" s="1"/>
  <c r="B6407" i="5"/>
  <c r="Q6407" i="5" s="1"/>
  <c r="B6405" i="5"/>
  <c r="Q6405" i="5" s="1"/>
  <c r="B6402" i="5"/>
  <c r="Q6402" i="5" s="1"/>
  <c r="B6403" i="5"/>
  <c r="Q6403" i="5" s="1"/>
  <c r="B6404" i="5"/>
  <c r="B6399" i="5"/>
  <c r="Q6399" i="5" s="1"/>
  <c r="B6400" i="5"/>
  <c r="Q6400" i="5" s="1"/>
  <c r="B6401" i="5"/>
  <c r="B6398" i="5"/>
  <c r="Q6398" i="5" s="1"/>
  <c r="B6395" i="5"/>
  <c r="M6395" i="5" s="1"/>
  <c r="B6396" i="5"/>
  <c r="Q6396" i="5" s="1"/>
  <c r="B6397" i="5"/>
  <c r="B6394" i="5"/>
  <c r="B6390" i="5"/>
  <c r="M6390" i="5" s="1"/>
  <c r="B6391" i="5"/>
  <c r="Q6391" i="5" s="1"/>
  <c r="B6392" i="5"/>
  <c r="M6392" i="5" s="1"/>
  <c r="B6393" i="5"/>
  <c r="M6393" i="5" s="1"/>
  <c r="B6386" i="5"/>
  <c r="M6386" i="5" s="1"/>
  <c r="B6387" i="5"/>
  <c r="Q6387" i="5" s="1"/>
  <c r="B6388" i="5"/>
  <c r="B6389" i="5"/>
  <c r="B6384" i="5"/>
  <c r="M6384" i="5" s="1"/>
  <c r="B6385" i="5"/>
  <c r="Q6385" i="5" s="1"/>
  <c r="B6382" i="5"/>
  <c r="Q6382" i="5" s="1"/>
  <c r="B6383" i="5"/>
  <c r="B6378" i="5"/>
  <c r="Q6378" i="5" s="1"/>
  <c r="B6379" i="5"/>
  <c r="Q6379" i="5" s="1"/>
  <c r="B6380" i="5"/>
  <c r="Q6380" i="5" s="1"/>
  <c r="B6381" i="5"/>
  <c r="M6381" i="5" s="1"/>
  <c r="B6373" i="5"/>
  <c r="Q6373" i="5" s="1"/>
  <c r="B6374" i="5"/>
  <c r="Q6374" i="5" s="1"/>
  <c r="B6375" i="5"/>
  <c r="Q6375" i="5" s="1"/>
  <c r="B6376" i="5"/>
  <c r="Q6376" i="5" s="1"/>
  <c r="B6377" i="5"/>
  <c r="B6369" i="5"/>
  <c r="Q6369" i="5" s="1"/>
  <c r="B6370" i="5"/>
  <c r="M6370" i="5" s="1"/>
  <c r="B6371" i="5"/>
  <c r="Q6371" i="5" s="1"/>
  <c r="B6372" i="5"/>
  <c r="B6366" i="5"/>
  <c r="Q6366" i="5" s="1"/>
  <c r="B6367" i="5"/>
  <c r="Q6367" i="5" s="1"/>
  <c r="B6368" i="5"/>
  <c r="M6368" i="5" s="1"/>
  <c r="B6363" i="5"/>
  <c r="Q6363" i="5" s="1"/>
  <c r="B6364" i="5"/>
  <c r="Q6364" i="5" s="1"/>
  <c r="B6365" i="5"/>
  <c r="B6360" i="5"/>
  <c r="Q6360" i="5" s="1"/>
  <c r="B6361" i="5"/>
  <c r="Q6361" i="5" s="1"/>
  <c r="B6362" i="5"/>
  <c r="Q6362" i="5" s="1"/>
  <c r="B6359" i="5"/>
  <c r="Q6359" i="5" s="1"/>
  <c r="B6357" i="5"/>
  <c r="Q6357" i="5" s="1"/>
  <c r="B6358" i="5"/>
  <c r="Q6358" i="5" s="1"/>
  <c r="B6354" i="5"/>
  <c r="Q6354" i="5" s="1"/>
  <c r="B6355" i="5"/>
  <c r="Q6355" i="5" s="1"/>
  <c r="B6356" i="5"/>
  <c r="B6352" i="5"/>
  <c r="Q6352" i="5" s="1"/>
  <c r="B6353" i="5"/>
  <c r="B6351" i="5"/>
  <c r="Q6351" i="5" s="1"/>
  <c r="B6350" i="5"/>
  <c r="Q6350" i="5" s="1"/>
  <c r="B6349" i="5"/>
  <c r="Q6349" i="5" s="1"/>
  <c r="B6347" i="5"/>
  <c r="Q6347" i="5" s="1"/>
  <c r="B6348" i="5"/>
  <c r="B6342" i="5"/>
  <c r="Q6342" i="5" s="1"/>
  <c r="B6343" i="5"/>
  <c r="M6343" i="5" s="1"/>
  <c r="B6344" i="5"/>
  <c r="B6345" i="5"/>
  <c r="B6346" i="5"/>
  <c r="B6340" i="5"/>
  <c r="Q6340" i="5" s="1"/>
  <c r="B6341" i="5"/>
  <c r="B6339" i="5"/>
  <c r="Q6339" i="5" s="1"/>
  <c r="B6335" i="5"/>
  <c r="M6335" i="5" s="1"/>
  <c r="B6336" i="5"/>
  <c r="M6336" i="5" s="1"/>
  <c r="B6337" i="5"/>
  <c r="B6338" i="5"/>
  <c r="B6333" i="5"/>
  <c r="Q6333" i="5" s="1"/>
  <c r="B6334" i="5"/>
  <c r="M6334" i="5" s="1"/>
  <c r="B6330" i="5"/>
  <c r="Q6330" i="5" s="1"/>
  <c r="B6331" i="5"/>
  <c r="M6331" i="5" s="1"/>
  <c r="B6332" i="5"/>
  <c r="Q6332" i="5" s="1"/>
  <c r="B6329" i="5"/>
  <c r="Q6329" i="5" s="1"/>
  <c r="B6327" i="5"/>
  <c r="M6327" i="5" s="1"/>
  <c r="B6328" i="5"/>
  <c r="B6325" i="5"/>
  <c r="M6325" i="5" s="1"/>
  <c r="B6326" i="5"/>
  <c r="Q6326" i="5" s="1"/>
  <c r="B6324" i="5"/>
  <c r="Q6324" i="5" s="1"/>
  <c r="B6321" i="5"/>
  <c r="M6321" i="5" s="1"/>
  <c r="B6322" i="5"/>
  <c r="M6322" i="5" s="1"/>
  <c r="B6323" i="5"/>
  <c r="B6316" i="5"/>
  <c r="Q6316" i="5" s="1"/>
  <c r="B6317" i="5"/>
  <c r="M6317" i="5" s="1"/>
  <c r="B6318" i="5"/>
  <c r="B6319" i="5"/>
  <c r="M6319" i="5" s="1"/>
  <c r="B6320" i="5"/>
  <c r="B6315" i="5"/>
  <c r="M6315" i="5" s="1"/>
  <c r="B6312" i="5"/>
  <c r="M6312" i="5" s="1"/>
  <c r="B6313" i="5"/>
  <c r="B6314" i="5"/>
  <c r="B6311" i="5"/>
  <c r="B6308" i="5"/>
  <c r="M6308" i="5" s="1"/>
  <c r="B6309" i="5"/>
  <c r="Q6309" i="5" s="1"/>
  <c r="B6310" i="5"/>
  <c r="B6306" i="5"/>
  <c r="M6306" i="5" s="1"/>
  <c r="B6307" i="5"/>
  <c r="B6305" i="5"/>
  <c r="M6305" i="5" s="1"/>
  <c r="B6301" i="5"/>
  <c r="Q6301" i="5" s="1"/>
  <c r="B6302" i="5"/>
  <c r="M6302" i="5" s="1"/>
  <c r="B6303" i="5"/>
  <c r="M6303" i="5" s="1"/>
  <c r="B6304" i="5"/>
  <c r="Q6304" i="5" s="1"/>
  <c r="B6299" i="5"/>
  <c r="M6299" i="5" s="1"/>
  <c r="B6300" i="5"/>
  <c r="B6296" i="5"/>
  <c r="Q6296" i="5" s="1"/>
  <c r="B6297" i="5"/>
  <c r="M6297" i="5" s="1"/>
  <c r="B6298" i="5"/>
  <c r="B6294" i="5"/>
  <c r="M6294" i="5" s="1"/>
  <c r="B6295" i="5"/>
  <c r="B6289" i="5"/>
  <c r="M6289" i="5" s="1"/>
  <c r="B6290" i="5"/>
  <c r="Q6290" i="5" s="1"/>
  <c r="B6291" i="5"/>
  <c r="B6292" i="5"/>
  <c r="M6292" i="5" s="1"/>
  <c r="B6293" i="5"/>
  <c r="B6287" i="5"/>
  <c r="Q6287" i="5" s="1"/>
  <c r="B6288" i="5"/>
  <c r="M6288" i="5" s="1"/>
  <c r="B6285" i="5"/>
  <c r="Q6285" i="5" s="1"/>
  <c r="B6286" i="5"/>
  <c r="Q6286" i="5" s="1"/>
  <c r="B6282" i="5"/>
  <c r="M6282" i="5" s="1"/>
  <c r="B6283" i="5"/>
  <c r="Q6283" i="5" s="1"/>
  <c r="B6284" i="5"/>
  <c r="M6284" i="5" s="1"/>
  <c r="B6279" i="5"/>
  <c r="Q6279" i="5" s="1"/>
  <c r="B6280" i="5"/>
  <c r="M6280" i="5" s="1"/>
  <c r="B6281" i="5"/>
  <c r="B6276" i="5"/>
  <c r="Q6276" i="5" s="1"/>
  <c r="B6277" i="5"/>
  <c r="Q6277" i="5" s="1"/>
  <c r="B6278" i="5"/>
  <c r="Q6278" i="5" s="1"/>
  <c r="B6273" i="5"/>
  <c r="M6273" i="5" s="1"/>
  <c r="B6274" i="5"/>
  <c r="Q6274" i="5" s="1"/>
  <c r="B6275" i="5"/>
  <c r="B6270" i="5"/>
  <c r="Q6270" i="5" s="1"/>
  <c r="B6271" i="5"/>
  <c r="M6271" i="5" s="1"/>
  <c r="B6272" i="5"/>
  <c r="Q6272" i="5" s="1"/>
  <c r="B6269" i="5"/>
  <c r="B6267" i="5"/>
  <c r="Q6267" i="5" s="1"/>
  <c r="B6268" i="5"/>
  <c r="M6268" i="5" s="1"/>
  <c r="B6266" i="5"/>
  <c r="B6265" i="5"/>
  <c r="B6264" i="5"/>
  <c r="Q6264" i="5" s="1"/>
  <c r="B6263" i="5"/>
  <c r="B6261" i="5"/>
  <c r="M6261" i="5" s="1"/>
  <c r="B6262" i="5"/>
  <c r="B6260" i="5"/>
  <c r="Q6260" i="5" s="1"/>
  <c r="B6259" i="5"/>
  <c r="Q6259" i="5" s="1"/>
  <c r="B6256" i="5"/>
  <c r="Q6256" i="5" s="1"/>
  <c r="B6257" i="5"/>
  <c r="Q6257" i="5" s="1"/>
  <c r="B6258" i="5"/>
  <c r="B6255" i="5"/>
  <c r="Q6255" i="5" s="1"/>
  <c r="B6253" i="5"/>
  <c r="Q6253" i="5" s="1"/>
  <c r="B6254" i="5"/>
  <c r="M6254" i="5" s="1"/>
  <c r="B6252" i="5"/>
  <c r="M6252" i="5" s="1"/>
  <c r="B6251" i="5"/>
  <c r="M6251" i="5" s="1"/>
  <c r="B6249" i="5"/>
  <c r="Q6249" i="5" s="1"/>
  <c r="B6250" i="5"/>
  <c r="DV53" i="12"/>
  <c r="AZ53" i="12"/>
  <c r="AY53" i="12"/>
  <c r="AX53" i="12"/>
  <c r="AW53" i="12"/>
  <c r="AT53" i="12"/>
  <c r="AS53" i="12"/>
  <c r="AR53" i="12"/>
  <c r="AQ53" i="12"/>
  <c r="AP53" i="12"/>
  <c r="AO53" i="12"/>
  <c r="AN53" i="12"/>
  <c r="AM53" i="12"/>
  <c r="AL53" i="12"/>
  <c r="AK53" i="12"/>
  <c r="AJ53" i="12"/>
  <c r="AI53" i="12"/>
  <c r="AH53" i="12"/>
  <c r="AG53" i="12"/>
  <c r="AF53" i="12"/>
  <c r="AE53" i="12"/>
  <c r="AD53" i="12"/>
  <c r="AC53" i="12"/>
  <c r="AA53" i="12"/>
  <c r="Z53" i="12"/>
  <c r="Y53" i="12"/>
  <c r="X53" i="12"/>
  <c r="U53" i="12"/>
  <c r="T53" i="12"/>
  <c r="S53" i="12"/>
  <c r="R53" i="12"/>
  <c r="Q53" i="12"/>
  <c r="P53" i="12"/>
  <c r="O53" i="12"/>
  <c r="N53" i="12"/>
  <c r="M53" i="12"/>
  <c r="L53" i="12"/>
  <c r="K53" i="12"/>
  <c r="J53" i="12"/>
  <c r="I53" i="12"/>
  <c r="H53" i="12"/>
  <c r="G53" i="12"/>
  <c r="F53" i="12"/>
  <c r="E53" i="12"/>
  <c r="D53" i="12"/>
  <c r="U6875" i="5" l="1"/>
  <c r="V6875" i="5" s="1"/>
  <c r="O6685" i="5"/>
  <c r="O6871" i="5"/>
  <c r="U6832" i="5"/>
  <c r="V6832" i="5" s="1"/>
  <c r="O6730" i="5"/>
  <c r="O6671" i="5"/>
  <c r="U6752" i="5"/>
  <c r="V6752" i="5" s="1"/>
  <c r="O6921" i="5"/>
  <c r="U6933" i="5"/>
  <c r="V6933" i="5" s="1"/>
  <c r="O6929" i="5"/>
  <c r="O6755" i="5"/>
  <c r="O6710" i="5"/>
  <c r="U6913" i="5"/>
  <c r="V6913" i="5" s="1"/>
  <c r="O6930" i="5"/>
  <c r="U6876" i="5"/>
  <c r="V6876" i="5" s="1"/>
  <c r="O6709" i="5"/>
  <c r="U6686" i="5"/>
  <c r="V6686" i="5" s="1"/>
  <c r="U6849" i="5"/>
  <c r="V6849" i="5" s="1"/>
  <c r="O6923" i="5"/>
  <c r="U6817" i="5"/>
  <c r="V6817" i="5" s="1"/>
  <c r="U6949" i="5"/>
  <c r="V6949" i="5" s="1"/>
  <c r="U6787" i="5"/>
  <c r="V6787" i="5" s="1"/>
  <c r="U6792" i="5"/>
  <c r="V6792" i="5" s="1"/>
  <c r="U6831" i="5"/>
  <c r="V6831" i="5" s="1"/>
  <c r="U6847" i="5"/>
  <c r="V6847" i="5" s="1"/>
  <c r="U6826" i="5"/>
  <c r="V6826" i="5" s="1"/>
  <c r="U6770" i="5"/>
  <c r="V6770" i="5" s="1"/>
  <c r="U6882" i="5"/>
  <c r="V6882" i="5" s="1"/>
  <c r="U6839" i="5"/>
  <c r="V6839" i="5" s="1"/>
  <c r="U6786" i="5"/>
  <c r="V6786" i="5" s="1"/>
  <c r="O6952" i="5"/>
  <c r="O6853" i="5"/>
  <c r="U6958" i="5"/>
  <c r="V6958" i="5" s="1"/>
  <c r="U6960" i="5"/>
  <c r="V6960" i="5" s="1"/>
  <c r="U6695" i="5"/>
  <c r="V6695" i="5" s="1"/>
  <c r="U6833" i="5"/>
  <c r="V6833" i="5" s="1"/>
  <c r="O6756" i="5"/>
  <c r="U7007" i="5"/>
  <c r="V7007" i="5" s="1"/>
  <c r="U6780" i="5"/>
  <c r="V6780" i="5" s="1"/>
  <c r="O6780" i="5"/>
  <c r="U6905" i="5"/>
  <c r="V6905" i="5" s="1"/>
  <c r="O6898" i="5"/>
  <c r="U6898" i="5"/>
  <c r="V6898" i="5" s="1"/>
  <c r="U6678" i="5"/>
  <c r="V6678" i="5" s="1"/>
  <c r="O6947" i="5"/>
  <c r="O6979" i="5"/>
  <c r="O7012" i="5"/>
  <c r="U7012" i="5"/>
  <c r="V7012" i="5" s="1"/>
  <c r="O6964" i="5"/>
  <c r="U6964" i="5"/>
  <c r="V6964" i="5" s="1"/>
  <c r="O6937" i="5"/>
  <c r="U6937" i="5"/>
  <c r="V6937" i="5" s="1"/>
  <c r="O6872" i="5"/>
  <c r="U6872" i="5"/>
  <c r="V6872" i="5" s="1"/>
  <c r="O6815" i="5"/>
  <c r="U6815" i="5"/>
  <c r="V6815" i="5" s="1"/>
  <c r="U6783" i="5"/>
  <c r="V6783" i="5" s="1"/>
  <c r="O6762" i="5"/>
  <c r="U6762" i="5"/>
  <c r="V6762" i="5" s="1"/>
  <c r="O6706" i="5"/>
  <c r="U6951" i="5"/>
  <c r="V6951" i="5" s="1"/>
  <c r="O6951" i="5"/>
  <c r="O6988" i="5"/>
  <c r="O6983" i="5"/>
  <c r="O6844" i="5"/>
  <c r="U6844" i="5"/>
  <c r="V6844" i="5" s="1"/>
  <c r="U6908" i="5"/>
  <c r="V6908" i="5" s="1"/>
  <c r="O6908" i="5"/>
  <c r="O6896" i="5"/>
  <c r="U6896" i="5"/>
  <c r="V6896" i="5" s="1"/>
  <c r="U6858" i="5"/>
  <c r="V6858" i="5" s="1"/>
  <c r="O6858" i="5"/>
  <c r="U6756" i="5"/>
  <c r="V6756" i="5" s="1"/>
  <c r="O6834" i="5"/>
  <c r="U6834" i="5"/>
  <c r="V6834" i="5" s="1"/>
  <c r="U6669" i="5"/>
  <c r="V6669" i="5" s="1"/>
  <c r="O6934" i="5"/>
  <c r="U6934" i="5"/>
  <c r="V6934" i="5" s="1"/>
  <c r="O6888" i="5"/>
  <c r="U6888" i="5"/>
  <c r="V6888" i="5" s="1"/>
  <c r="O6859" i="5"/>
  <c r="U6859" i="5"/>
  <c r="V6859" i="5" s="1"/>
  <c r="O6825" i="5"/>
  <c r="U6825" i="5"/>
  <c r="V6825" i="5" s="1"/>
  <c r="O6927" i="5"/>
  <c r="U6927" i="5"/>
  <c r="V6927" i="5" s="1"/>
  <c r="O6909" i="5"/>
  <c r="U6909" i="5"/>
  <c r="V6909" i="5" s="1"/>
  <c r="U6702" i="5"/>
  <c r="V6702" i="5" s="1"/>
  <c r="O6702" i="5"/>
  <c r="O6874" i="5"/>
  <c r="U6874" i="5"/>
  <c r="V6874" i="5" s="1"/>
  <c r="O6864" i="5"/>
  <c r="U6864" i="5"/>
  <c r="V6864" i="5" s="1"/>
  <c r="U6984" i="5"/>
  <c r="V6984" i="5" s="1"/>
  <c r="O6984" i="5"/>
  <c r="O6865" i="5"/>
  <c r="U6865" i="5"/>
  <c r="V6865" i="5" s="1"/>
  <c r="O6889" i="5"/>
  <c r="U6889" i="5"/>
  <c r="V6889" i="5" s="1"/>
  <c r="O6785" i="5"/>
  <c r="U6785" i="5"/>
  <c r="V6785" i="5" s="1"/>
  <c r="O6775" i="5"/>
  <c r="U6775" i="5"/>
  <c r="V6775" i="5" s="1"/>
  <c r="O7016" i="5"/>
  <c r="U7016" i="5"/>
  <c r="V7016" i="5" s="1"/>
  <c r="O6904" i="5"/>
  <c r="U6904" i="5"/>
  <c r="V6904" i="5" s="1"/>
  <c r="O6771" i="5"/>
  <c r="U6771" i="5"/>
  <c r="V6771" i="5" s="1"/>
  <c r="O6867" i="5"/>
  <c r="U6867" i="5"/>
  <c r="V6867" i="5" s="1"/>
  <c r="O6966" i="5"/>
  <c r="U6966" i="5"/>
  <c r="V6966" i="5" s="1"/>
  <c r="O6677" i="5"/>
  <c r="U6677" i="5"/>
  <c r="V6677" i="5" s="1"/>
  <c r="O6759" i="5"/>
  <c r="U6759" i="5"/>
  <c r="V6759" i="5" s="1"/>
  <c r="O6822" i="5"/>
  <c r="U6822" i="5"/>
  <c r="V6822" i="5" s="1"/>
  <c r="O6899" i="5"/>
  <c r="U6899" i="5"/>
  <c r="V6899" i="5" s="1"/>
  <c r="O6878" i="5"/>
  <c r="U6878" i="5"/>
  <c r="V6878" i="5" s="1"/>
  <c r="O6776" i="5"/>
  <c r="U6776" i="5"/>
  <c r="V6776" i="5" s="1"/>
  <c r="O6719" i="5"/>
  <c r="U6719" i="5"/>
  <c r="V6719" i="5" s="1"/>
  <c r="O6708" i="5"/>
  <c r="U6708" i="5"/>
  <c r="V6708" i="5" s="1"/>
  <c r="U6873" i="5"/>
  <c r="V6873" i="5" s="1"/>
  <c r="O6873" i="5"/>
  <c r="U6972" i="5"/>
  <c r="V6972" i="5" s="1"/>
  <c r="O6972" i="5"/>
  <c r="O6675" i="5"/>
  <c r="U6675" i="5"/>
  <c r="V6675" i="5" s="1"/>
  <c r="O6938" i="5"/>
  <c r="U6938" i="5"/>
  <c r="V6938" i="5" s="1"/>
  <c r="O6740" i="5"/>
  <c r="U6740" i="5"/>
  <c r="V6740" i="5" s="1"/>
  <c r="O6669" i="5"/>
  <c r="M6492" i="5"/>
  <c r="Q6479" i="5"/>
  <c r="R6479" i="5" s="1"/>
  <c r="S6479" i="5" s="1"/>
  <c r="M6615" i="5"/>
  <c r="Q6562" i="5"/>
  <c r="Q6616" i="5"/>
  <c r="R6616" i="5" s="1"/>
  <c r="S6616" i="5" s="1"/>
  <c r="R6575" i="5"/>
  <c r="S6575" i="5" s="1"/>
  <c r="M6490" i="5"/>
  <c r="Q6607" i="5"/>
  <c r="R6607" i="5" s="1"/>
  <c r="S6607" i="5" s="1"/>
  <c r="Q6644" i="5"/>
  <c r="Q6597" i="5"/>
  <c r="M6519" i="5"/>
  <c r="Q6635" i="5"/>
  <c r="R6635" i="5" s="1"/>
  <c r="S6635" i="5" s="1"/>
  <c r="M6601" i="5"/>
  <c r="M6626" i="5"/>
  <c r="M6638" i="5"/>
  <c r="M6496" i="5"/>
  <c r="N6496" i="5" s="1"/>
  <c r="L6639" i="5"/>
  <c r="P6639" i="5" s="1"/>
  <c r="M6603" i="5"/>
  <c r="Q6652" i="5"/>
  <c r="R6652" i="5" s="1"/>
  <c r="S6652" i="5" s="1"/>
  <c r="M6487" i="5"/>
  <c r="Q6629" i="5"/>
  <c r="R6629" i="5" s="1"/>
  <c r="S6629" i="5" s="1"/>
  <c r="M6580" i="5"/>
  <c r="Q6535" i="5"/>
  <c r="M6501" i="5"/>
  <c r="R6646" i="5"/>
  <c r="S6646" i="5" s="1"/>
  <c r="Q6524" i="5"/>
  <c r="Q6514" i="5"/>
  <c r="M6525" i="5"/>
  <c r="M6549" i="5"/>
  <c r="M6571" i="5"/>
  <c r="M6561" i="5"/>
  <c r="Q6659" i="5"/>
  <c r="M6538" i="5"/>
  <c r="M6493" i="5"/>
  <c r="N6493" i="5" s="1"/>
  <c r="O6493" i="5" s="1"/>
  <c r="M6505" i="5"/>
  <c r="M6550" i="5"/>
  <c r="M6572" i="5"/>
  <c r="M6627" i="5"/>
  <c r="M6506" i="5"/>
  <c r="M6540" i="5"/>
  <c r="M6586" i="5"/>
  <c r="Q6574" i="5"/>
  <c r="M6599" i="5"/>
  <c r="Q6520" i="5"/>
  <c r="M6555" i="5"/>
  <c r="M6631" i="5"/>
  <c r="Q6666" i="5"/>
  <c r="R6666" i="5" s="1"/>
  <c r="S6666" i="5" s="1"/>
  <c r="Q6576" i="5"/>
  <c r="R6576" i="5" s="1"/>
  <c r="S6576" i="5" s="1"/>
  <c r="M6609" i="5"/>
  <c r="Q6489" i="5"/>
  <c r="M6510" i="5"/>
  <c r="M6533" i="5"/>
  <c r="M6590" i="5"/>
  <c r="N6590" i="5" s="1"/>
  <c r="Q6643" i="5"/>
  <c r="R6643" i="5" s="1"/>
  <c r="S6643" i="5" s="1"/>
  <c r="Q6478" i="5"/>
  <c r="R6478" i="5" s="1"/>
  <c r="S6478" i="5" s="1"/>
  <c r="M6632" i="5"/>
  <c r="Q6618" i="5"/>
  <c r="R6618" i="5" s="1"/>
  <c r="S6618" i="5" s="1"/>
  <c r="Q6522" i="5"/>
  <c r="R6601" i="5"/>
  <c r="S6601" i="5" s="1"/>
  <c r="R6539" i="5"/>
  <c r="S6539" i="5" s="1"/>
  <c r="Q6482" i="5"/>
  <c r="R6482" i="5" s="1"/>
  <c r="S6482" i="5" s="1"/>
  <c r="Q6614" i="5"/>
  <c r="Q6509" i="5"/>
  <c r="M6544" i="5"/>
  <c r="R6571" i="5"/>
  <c r="S6571" i="5" s="1"/>
  <c r="M6589" i="5"/>
  <c r="M6598" i="5"/>
  <c r="Q6625" i="5"/>
  <c r="R6545" i="5"/>
  <c r="S6545" i="5" s="1"/>
  <c r="M6651" i="5"/>
  <c r="M6511" i="5"/>
  <c r="Q6529" i="5"/>
  <c r="M6502" i="5"/>
  <c r="Q6494" i="5"/>
  <c r="M6486" i="5"/>
  <c r="Q6573" i="5"/>
  <c r="R6495" i="5"/>
  <c r="S6495" i="5" s="1"/>
  <c r="L6539" i="5"/>
  <c r="P6539" i="5" s="1"/>
  <c r="Q6547" i="5"/>
  <c r="R6547" i="5" s="1"/>
  <c r="S6547" i="5" s="1"/>
  <c r="M6634" i="5"/>
  <c r="Q6660" i="5"/>
  <c r="R6660" i="5" s="1"/>
  <c r="S6660" i="5" s="1"/>
  <c r="Q6582" i="5"/>
  <c r="M6495" i="5"/>
  <c r="M6539" i="5"/>
  <c r="M6565" i="5"/>
  <c r="M6645" i="5"/>
  <c r="M6531" i="5"/>
  <c r="M6654" i="5"/>
  <c r="R6506" i="5"/>
  <c r="S6506" i="5" s="1"/>
  <c r="M6646" i="5"/>
  <c r="N6646" i="5" s="1"/>
  <c r="O6646" i="5" s="1"/>
  <c r="M6655" i="5"/>
  <c r="M6523" i="5"/>
  <c r="Q6665" i="5"/>
  <c r="R6561" i="5"/>
  <c r="S6561" i="5" s="1"/>
  <c r="Q6596" i="5"/>
  <c r="Q6630" i="5"/>
  <c r="R6630" i="5" s="1"/>
  <c r="S6630" i="5" s="1"/>
  <c r="R6490" i="5"/>
  <c r="S6490" i="5" s="1"/>
  <c r="M6516" i="5"/>
  <c r="L6533" i="5"/>
  <c r="P6533" i="5" s="1"/>
  <c r="L6612" i="5"/>
  <c r="P6612" i="5" s="1"/>
  <c r="Q6585" i="5"/>
  <c r="M6541" i="5"/>
  <c r="Q6577" i="5"/>
  <c r="R6577" i="5" s="1"/>
  <c r="S6577" i="5" s="1"/>
  <c r="R6521" i="5"/>
  <c r="S6521" i="5" s="1"/>
  <c r="Q6481" i="5"/>
  <c r="M6508" i="5"/>
  <c r="M6517" i="5"/>
  <c r="M6551" i="5"/>
  <c r="M6613" i="5"/>
  <c r="M6648" i="5"/>
  <c r="M6667" i="5"/>
  <c r="M6499" i="5"/>
  <c r="N6499" i="5" s="1"/>
  <c r="M6569" i="5"/>
  <c r="M6588" i="5"/>
  <c r="R6624" i="5"/>
  <c r="S6624" i="5" s="1"/>
  <c r="Q6657" i="5"/>
  <c r="R6657" i="5" s="1"/>
  <c r="S6657" i="5" s="1"/>
  <c r="M6604" i="5"/>
  <c r="M6624" i="5"/>
  <c r="R6493" i="5"/>
  <c r="S6493" i="5" s="1"/>
  <c r="Q6491" i="5"/>
  <c r="R6491" i="5" s="1"/>
  <c r="S6491" i="5" s="1"/>
  <c r="M6641" i="5"/>
  <c r="R6512" i="5"/>
  <c r="S6512" i="5" s="1"/>
  <c r="L6513" i="5"/>
  <c r="P6513" i="5" s="1"/>
  <c r="R6513" i="5"/>
  <c r="S6513" i="5" s="1"/>
  <c r="L6576" i="5"/>
  <c r="P6576" i="5" s="1"/>
  <c r="R6620" i="5"/>
  <c r="S6620" i="5" s="1"/>
  <c r="L6479" i="5"/>
  <c r="P6479" i="5" s="1"/>
  <c r="R6551" i="5"/>
  <c r="S6551" i="5" s="1"/>
  <c r="L6551" i="5"/>
  <c r="P6551" i="5" s="1"/>
  <c r="L6540" i="5"/>
  <c r="P6540" i="5" s="1"/>
  <c r="R6540" i="5"/>
  <c r="S6540" i="5" s="1"/>
  <c r="L6631" i="5"/>
  <c r="P6631" i="5" s="1"/>
  <c r="R6631" i="5"/>
  <c r="S6631" i="5" s="1"/>
  <c r="R6548" i="5"/>
  <c r="S6548" i="5" s="1"/>
  <c r="M6528" i="5"/>
  <c r="M6543" i="5"/>
  <c r="M6579" i="5"/>
  <c r="M6606" i="5"/>
  <c r="M6612" i="5"/>
  <c r="L6618" i="5"/>
  <c r="M6623" i="5"/>
  <c r="L6629" i="5"/>
  <c r="N6629" i="5" s="1"/>
  <c r="M6498" i="5"/>
  <c r="M6554" i="5"/>
  <c r="M6560" i="5"/>
  <c r="R6586" i="5"/>
  <c r="S6586" i="5" s="1"/>
  <c r="K6592" i="5"/>
  <c r="M6640" i="5"/>
  <c r="M6663" i="5"/>
  <c r="L6601" i="5"/>
  <c r="M6575" i="5"/>
  <c r="M6636" i="5"/>
  <c r="L6647" i="5"/>
  <c r="M6658" i="5"/>
  <c r="Q6664" i="5"/>
  <c r="R6664" i="5" s="1"/>
  <c r="S6664" i="5" s="1"/>
  <c r="M6512" i="5"/>
  <c r="N6512" i="5" s="1"/>
  <c r="K6565" i="5"/>
  <c r="L6565" i="5" s="1"/>
  <c r="R6523" i="5"/>
  <c r="S6523" i="5" s="1"/>
  <c r="K6587" i="5"/>
  <c r="L6587" i="5" s="1"/>
  <c r="K6518" i="5"/>
  <c r="R6518" i="5" s="1"/>
  <c r="S6518" i="5" s="1"/>
  <c r="M6534" i="5"/>
  <c r="M6587" i="5"/>
  <c r="K6602" i="5"/>
  <c r="L6602" i="5" s="1"/>
  <c r="P6602" i="5" s="1"/>
  <c r="M6608" i="5"/>
  <c r="R6613" i="5"/>
  <c r="S6613" i="5" s="1"/>
  <c r="K6619" i="5"/>
  <c r="R6619" i="5" s="1"/>
  <c r="S6619" i="5" s="1"/>
  <c r="Q6488" i="5"/>
  <c r="M6500" i="5"/>
  <c r="K6507" i="5"/>
  <c r="R6507" i="5" s="1"/>
  <c r="S6507" i="5" s="1"/>
  <c r="M6518" i="5"/>
  <c r="K6524" i="5"/>
  <c r="M6530" i="5"/>
  <c r="M6545" i="5"/>
  <c r="M6556" i="5"/>
  <c r="N6556" i="5" s="1"/>
  <c r="K6570" i="5"/>
  <c r="R6570" i="5" s="1"/>
  <c r="S6570" i="5" s="1"/>
  <c r="Q6581" i="5"/>
  <c r="R6581" i="5" s="1"/>
  <c r="S6581" i="5" s="1"/>
  <c r="M6602" i="5"/>
  <c r="K6625" i="5"/>
  <c r="M6642" i="5"/>
  <c r="M6647" i="5"/>
  <c r="L6652" i="5"/>
  <c r="P6652" i="5" s="1"/>
  <c r="K6534" i="5"/>
  <c r="L6534" i="5" s="1"/>
  <c r="Q6592" i="5"/>
  <c r="L6613" i="5"/>
  <c r="P6613" i="5" s="1"/>
  <c r="R6647" i="5"/>
  <c r="S6647" i="5" s="1"/>
  <c r="L6478" i="5"/>
  <c r="N6478" i="5" s="1"/>
  <c r="M6483" i="5"/>
  <c r="K6593" i="5"/>
  <c r="R6593" i="5" s="1"/>
  <c r="S6593" i="5" s="1"/>
  <c r="M6619" i="5"/>
  <c r="M6653" i="5"/>
  <c r="K6665" i="5"/>
  <c r="L6665" i="5" s="1"/>
  <c r="L6550" i="5"/>
  <c r="K6658" i="5"/>
  <c r="R6658" i="5" s="1"/>
  <c r="S6658" i="5" s="1"/>
  <c r="R6550" i="5"/>
  <c r="S6550" i="5" s="1"/>
  <c r="R6653" i="5"/>
  <c r="S6653" i="5" s="1"/>
  <c r="M6507" i="5"/>
  <c r="M6513" i="5"/>
  <c r="M6570" i="5"/>
  <c r="R6609" i="5"/>
  <c r="S6609" i="5" s="1"/>
  <c r="K6659" i="5"/>
  <c r="L6659" i="5" s="1"/>
  <c r="L6482" i="5"/>
  <c r="N6482" i="5" s="1"/>
  <c r="R6531" i="5"/>
  <c r="S6531" i="5" s="1"/>
  <c r="M6593" i="5"/>
  <c r="R6598" i="5"/>
  <c r="S6598" i="5" s="1"/>
  <c r="N6643" i="5"/>
  <c r="K6484" i="5"/>
  <c r="L6484" i="5" s="1"/>
  <c r="P6484" i="5" s="1"/>
  <c r="M6484" i="5"/>
  <c r="M6546" i="5"/>
  <c r="N6546" i="5" s="1"/>
  <c r="M6557" i="5"/>
  <c r="N6557" i="5" s="1"/>
  <c r="M6566" i="5"/>
  <c r="N6566" i="5" s="1"/>
  <c r="O6566" i="5" s="1"/>
  <c r="M6637" i="5"/>
  <c r="K6514" i="5"/>
  <c r="L6514" i="5" s="1"/>
  <c r="N6514" i="5" s="1"/>
  <c r="K6536" i="5"/>
  <c r="L6536" i="5" s="1"/>
  <c r="P6536" i="5" s="1"/>
  <c r="L6541" i="5"/>
  <c r="K6583" i="5"/>
  <c r="L6594" i="5"/>
  <c r="N6594" i="5" s="1"/>
  <c r="R6599" i="5"/>
  <c r="S6599" i="5" s="1"/>
  <c r="M6620" i="5"/>
  <c r="K6626" i="5"/>
  <c r="L6626" i="5" s="1"/>
  <c r="R6632" i="5"/>
  <c r="S6632" i="5" s="1"/>
  <c r="Q6583" i="5"/>
  <c r="M6552" i="5"/>
  <c r="L6567" i="5"/>
  <c r="Q6594" i="5"/>
  <c r="R6594" i="5" s="1"/>
  <c r="S6594" i="5" s="1"/>
  <c r="M6610" i="5"/>
  <c r="N6610" i="5" s="1"/>
  <c r="R6661" i="5"/>
  <c r="S6661" i="5" s="1"/>
  <c r="R6667" i="5"/>
  <c r="S6667" i="5" s="1"/>
  <c r="R6541" i="5"/>
  <c r="S6541" i="5" s="1"/>
  <c r="R6566" i="5"/>
  <c r="S6566" i="5" s="1"/>
  <c r="M6649" i="5"/>
  <c r="K6520" i="5"/>
  <c r="Q6536" i="5"/>
  <c r="R6604" i="5"/>
  <c r="S6604" i="5" s="1"/>
  <c r="M6621" i="5"/>
  <c r="K6485" i="5"/>
  <c r="L6485" i="5" s="1"/>
  <c r="P6485" i="5" s="1"/>
  <c r="Q6558" i="5"/>
  <c r="R6558" i="5" s="1"/>
  <c r="S6558" i="5" s="1"/>
  <c r="M6567" i="5"/>
  <c r="K6645" i="5"/>
  <c r="R6645" i="5" s="1"/>
  <c r="S6645" i="5" s="1"/>
  <c r="M6661" i="5"/>
  <c r="N6661" i="5" s="1"/>
  <c r="M6480" i="5"/>
  <c r="M6485" i="5"/>
  <c r="R6496" i="5"/>
  <c r="S6496" i="5" s="1"/>
  <c r="Q6503" i="5"/>
  <c r="R6510" i="5"/>
  <c r="S6510" i="5" s="1"/>
  <c r="Q6537" i="5"/>
  <c r="R6537" i="5" s="1"/>
  <c r="S6537" i="5" s="1"/>
  <c r="Q6563" i="5"/>
  <c r="R6563" i="5" s="1"/>
  <c r="S6563" i="5" s="1"/>
  <c r="R6578" i="5"/>
  <c r="S6578" i="5" s="1"/>
  <c r="M6584" i="5"/>
  <c r="M6595" i="5"/>
  <c r="M6633" i="5"/>
  <c r="R6639" i="5"/>
  <c r="S6639" i="5" s="1"/>
  <c r="M6650" i="5"/>
  <c r="N6650" i="5" s="1"/>
  <c r="L6656" i="5"/>
  <c r="R6546" i="5"/>
  <c r="S6546" i="5" s="1"/>
  <c r="K6603" i="5"/>
  <c r="L6603" i="5" s="1"/>
  <c r="P6603" i="5" s="1"/>
  <c r="L6620" i="5"/>
  <c r="P6620" i="5" s="1"/>
  <c r="L6552" i="5"/>
  <c r="K6655" i="5"/>
  <c r="R6655" i="5" s="1"/>
  <c r="S6655" i="5" s="1"/>
  <c r="Q6526" i="5"/>
  <c r="L6600" i="5"/>
  <c r="P6600" i="5" s="1"/>
  <c r="M6515" i="5"/>
  <c r="M6617" i="5"/>
  <c r="M6521" i="5"/>
  <c r="N6521" i="5" s="1"/>
  <c r="O6521" i="5" s="1"/>
  <c r="M6527" i="5"/>
  <c r="N6527" i="5" s="1"/>
  <c r="Q6532" i="5"/>
  <c r="M6542" i="5"/>
  <c r="R6564" i="5"/>
  <c r="S6564" i="5" s="1"/>
  <c r="M6578" i="5"/>
  <c r="Q6600" i="5"/>
  <c r="R6600" i="5" s="1"/>
  <c r="S6600" i="5" s="1"/>
  <c r="M6605" i="5"/>
  <c r="Q6611" i="5"/>
  <c r="M6622" i="5"/>
  <c r="M6639" i="5"/>
  <c r="M6656" i="5"/>
  <c r="M6668" i="5"/>
  <c r="R6552" i="5"/>
  <c r="S6552" i="5" s="1"/>
  <c r="M6497" i="5"/>
  <c r="M6504" i="5"/>
  <c r="M6548" i="5"/>
  <c r="N6548" i="5" s="1"/>
  <c r="O6548" i="5" s="1"/>
  <c r="M6553" i="5"/>
  <c r="M6559" i="5"/>
  <c r="M6564" i="5"/>
  <c r="M6568" i="5"/>
  <c r="K6573" i="5"/>
  <c r="L6573" i="5" s="1"/>
  <c r="P6573" i="5" s="1"/>
  <c r="M6591" i="5"/>
  <c r="M6628" i="5"/>
  <c r="M6662" i="5"/>
  <c r="L6577" i="5"/>
  <c r="P6577" i="5" s="1"/>
  <c r="R6567" i="5"/>
  <c r="S6567" i="5" s="1"/>
  <c r="K6481" i="5"/>
  <c r="R6533" i="5"/>
  <c r="S6533" i="5" s="1"/>
  <c r="R6612" i="5"/>
  <c r="S6612" i="5" s="1"/>
  <c r="K6634" i="5"/>
  <c r="L6634" i="5" s="1"/>
  <c r="R6651" i="5"/>
  <c r="S6651" i="5" s="1"/>
  <c r="R6656" i="5"/>
  <c r="S6656" i="5" s="1"/>
  <c r="P6610" i="5"/>
  <c r="P6590" i="5"/>
  <c r="P6650" i="5"/>
  <c r="P6527" i="5"/>
  <c r="K6568" i="5"/>
  <c r="L6568" i="5" s="1"/>
  <c r="R6640" i="5"/>
  <c r="S6640" i="5" s="1"/>
  <c r="L6640" i="5"/>
  <c r="K6585" i="5"/>
  <c r="K6562" i="5"/>
  <c r="L6562" i="5" s="1"/>
  <c r="K6516" i="5"/>
  <c r="R6516" i="5" s="1"/>
  <c r="S6516" i="5" s="1"/>
  <c r="R6572" i="5"/>
  <c r="S6572" i="5" s="1"/>
  <c r="K6636" i="5"/>
  <c r="R6636" i="5" s="1"/>
  <c r="S6636" i="5" s="1"/>
  <c r="R6650" i="5"/>
  <c r="S6650" i="5" s="1"/>
  <c r="K6559" i="5"/>
  <c r="L6559" i="5" s="1"/>
  <c r="K6542" i="5"/>
  <c r="R6542" i="5" s="1"/>
  <c r="S6542" i="5" s="1"/>
  <c r="L6586" i="5"/>
  <c r="N6660" i="5"/>
  <c r="P6660" i="5"/>
  <c r="K6483" i="5"/>
  <c r="R6483" i="5" s="1"/>
  <c r="S6483" i="5" s="1"/>
  <c r="L6490" i="5"/>
  <c r="K6528" i="5"/>
  <c r="L6528" i="5" s="1"/>
  <c r="K6535" i="5"/>
  <c r="L6535" i="5" s="1"/>
  <c r="R6610" i="5"/>
  <c r="S6610" i="5" s="1"/>
  <c r="K6623" i="5"/>
  <c r="L6623" i="5" s="1"/>
  <c r="K6614" i="5"/>
  <c r="K6498" i="5"/>
  <c r="R6498" i="5" s="1"/>
  <c r="S6498" i="5" s="1"/>
  <c r="K6502" i="5"/>
  <c r="L6502" i="5" s="1"/>
  <c r="L6506" i="5"/>
  <c r="K6569" i="5"/>
  <c r="L6569" i="5" s="1"/>
  <c r="L6598" i="5"/>
  <c r="K6480" i="5"/>
  <c r="L6480" i="5" s="1"/>
  <c r="R6487" i="5"/>
  <c r="S6487" i="5" s="1"/>
  <c r="L6487" i="5"/>
  <c r="K6517" i="5"/>
  <c r="L6517" i="5" s="1"/>
  <c r="K6560" i="5"/>
  <c r="L6560" i="5" s="1"/>
  <c r="K6582" i="5"/>
  <c r="K6637" i="5"/>
  <c r="L6637" i="5" s="1"/>
  <c r="L6491" i="5"/>
  <c r="L6510" i="5"/>
  <c r="P6556" i="5"/>
  <c r="K6595" i="5"/>
  <c r="R6595" i="5" s="1"/>
  <c r="S6595" i="5" s="1"/>
  <c r="K6611" i="5"/>
  <c r="L6611" i="5" s="1"/>
  <c r="L6666" i="5"/>
  <c r="L6495" i="5"/>
  <c r="K6532" i="5"/>
  <c r="P6661" i="5"/>
  <c r="P6499" i="5"/>
  <c r="P6643" i="5"/>
  <c r="R6590" i="5"/>
  <c r="S6590" i="5" s="1"/>
  <c r="L6561" i="5"/>
  <c r="P6607" i="5"/>
  <c r="N6607" i="5"/>
  <c r="L6616" i="5"/>
  <c r="L6667" i="5"/>
  <c r="K6544" i="5"/>
  <c r="R6544" i="5" s="1"/>
  <c r="S6544" i="5" s="1"/>
  <c r="K6488" i="5"/>
  <c r="K6503" i="5"/>
  <c r="L6564" i="5"/>
  <c r="R6557" i="5"/>
  <c r="S6557" i="5" s="1"/>
  <c r="L6575" i="5"/>
  <c r="K6588" i="5"/>
  <c r="R6588" i="5" s="1"/>
  <c r="S6588" i="5" s="1"/>
  <c r="R6492" i="5"/>
  <c r="S6492" i="5" s="1"/>
  <c r="R6530" i="5"/>
  <c r="S6530" i="5" s="1"/>
  <c r="P6557" i="5"/>
  <c r="K6648" i="5"/>
  <c r="R6648" i="5" s="1"/>
  <c r="S6648" i="5" s="1"/>
  <c r="K6555" i="5"/>
  <c r="L6555" i="5" s="1"/>
  <c r="L6530" i="5"/>
  <c r="L6537" i="5"/>
  <c r="R6584" i="5"/>
  <c r="S6584" i="5" s="1"/>
  <c r="K6505" i="5"/>
  <c r="L6505" i="5" s="1"/>
  <c r="K6504" i="5"/>
  <c r="L6504" i="5" s="1"/>
  <c r="L6571" i="5"/>
  <c r="L6584" i="5"/>
  <c r="K6597" i="5"/>
  <c r="K6608" i="5"/>
  <c r="R6608" i="5" s="1"/>
  <c r="S6608" i="5" s="1"/>
  <c r="K6526" i="5"/>
  <c r="P6635" i="5"/>
  <c r="N6635" i="5"/>
  <c r="K6489" i="5"/>
  <c r="L6489" i="5" s="1"/>
  <c r="P6496" i="5"/>
  <c r="R6519" i="5"/>
  <c r="S6519" i="5" s="1"/>
  <c r="K6663" i="5"/>
  <c r="R6663" i="5" s="1"/>
  <c r="S6663" i="5" s="1"/>
  <c r="P6581" i="5"/>
  <c r="N6581" i="5"/>
  <c r="K6500" i="5"/>
  <c r="L6500" i="5" s="1"/>
  <c r="K6508" i="5"/>
  <c r="R6508" i="5" s="1"/>
  <c r="S6508" i="5" s="1"/>
  <c r="R6515" i="5"/>
  <c r="S6515" i="5" s="1"/>
  <c r="L6515" i="5"/>
  <c r="L6519" i="5"/>
  <c r="L6523" i="5"/>
  <c r="K6621" i="5"/>
  <c r="R6621" i="5" s="1"/>
  <c r="S6621" i="5" s="1"/>
  <c r="R6556" i="5"/>
  <c r="S6556" i="5" s="1"/>
  <c r="K6641" i="5"/>
  <c r="L6641" i="5" s="1"/>
  <c r="K6627" i="5"/>
  <c r="R6627" i="5" s="1"/>
  <c r="S6627" i="5" s="1"/>
  <c r="K6654" i="5"/>
  <c r="R6654" i="5" s="1"/>
  <c r="S6654" i="5" s="1"/>
  <c r="R6499" i="5"/>
  <c r="S6499" i="5" s="1"/>
  <c r="R6527" i="5"/>
  <c r="S6527" i="5" s="1"/>
  <c r="K6580" i="5"/>
  <c r="L6580" i="5" s="1"/>
  <c r="K6606" i="5"/>
  <c r="L6606" i="5" s="1"/>
  <c r="K6553" i="5"/>
  <c r="R6553" i="5" s="1"/>
  <c r="S6553" i="5" s="1"/>
  <c r="K6511" i="5"/>
  <c r="R6511" i="5" s="1"/>
  <c r="S6511" i="5" s="1"/>
  <c r="K6538" i="5"/>
  <c r="R6538" i="5" s="1"/>
  <c r="S6538" i="5" s="1"/>
  <c r="L6578" i="5"/>
  <c r="K6591" i="5"/>
  <c r="R6591" i="5" s="1"/>
  <c r="S6591" i="5" s="1"/>
  <c r="L6604" i="5"/>
  <c r="K6617" i="5"/>
  <c r="R6617" i="5" s="1"/>
  <c r="S6617" i="5" s="1"/>
  <c r="L6632" i="5"/>
  <c r="K6644" i="5"/>
  <c r="K6589" i="5"/>
  <c r="L6589" i="5" s="1"/>
  <c r="K6615" i="5"/>
  <c r="L6615" i="5" s="1"/>
  <c r="L6630" i="5"/>
  <c r="K6642" i="5"/>
  <c r="L6642" i="5" s="1"/>
  <c r="L6657" i="5"/>
  <c r="K6509" i="5"/>
  <c r="K6494" i="5"/>
  <c r="L6494" i="5" s="1"/>
  <c r="K6522" i="5"/>
  <c r="K6549" i="5"/>
  <c r="R6549" i="5" s="1"/>
  <c r="S6549" i="5" s="1"/>
  <c r="L6563" i="5"/>
  <c r="K6574" i="5"/>
  <c r="K6628" i="5"/>
  <c r="R6628" i="5" s="1"/>
  <c r="S6628" i="5" s="1"/>
  <c r="K6668" i="5"/>
  <c r="R6668" i="5" s="1"/>
  <c r="S6668" i="5" s="1"/>
  <c r="L6492" i="5"/>
  <c r="L6547" i="5"/>
  <c r="L6572" i="5"/>
  <c r="L6599" i="5"/>
  <c r="K6638" i="5"/>
  <c r="L6638" i="5" s="1"/>
  <c r="L6653" i="5"/>
  <c r="L6545" i="5"/>
  <c r="L6624" i="5"/>
  <c r="L6651" i="5"/>
  <c r="L6531" i="5"/>
  <c r="K6543" i="5"/>
  <c r="R6543" i="5" s="1"/>
  <c r="S6543" i="5" s="1"/>
  <c r="L6558" i="5"/>
  <c r="K6596" i="5"/>
  <c r="L6609" i="5"/>
  <c r="K6622" i="5"/>
  <c r="R6622" i="5" s="1"/>
  <c r="S6622" i="5" s="1"/>
  <c r="K6649" i="5"/>
  <c r="R6649" i="5" s="1"/>
  <c r="S6649" i="5" s="1"/>
  <c r="L6664" i="5"/>
  <c r="K6501" i="5"/>
  <c r="L6501" i="5" s="1"/>
  <c r="K6529" i="5"/>
  <c r="L6529" i="5" s="1"/>
  <c r="K6662" i="5"/>
  <c r="R6662" i="5" s="1"/>
  <c r="S6662" i="5" s="1"/>
  <c r="K6486" i="5"/>
  <c r="R6486" i="5" s="1"/>
  <c r="S6486" i="5" s="1"/>
  <c r="K6554" i="5"/>
  <c r="L6554" i="5" s="1"/>
  <c r="K6579" i="5"/>
  <c r="R6579" i="5" s="1"/>
  <c r="S6579" i="5" s="1"/>
  <c r="K6605" i="5"/>
  <c r="R6605" i="5" s="1"/>
  <c r="S6605" i="5" s="1"/>
  <c r="K6633" i="5"/>
  <c r="R6633" i="5" s="1"/>
  <c r="S6633" i="5" s="1"/>
  <c r="K6497" i="5"/>
  <c r="R6497" i="5" s="1"/>
  <c r="S6497" i="5" s="1"/>
  <c r="K6525" i="5"/>
  <c r="R6525" i="5" s="1"/>
  <c r="S6525" i="5" s="1"/>
  <c r="V53" i="12"/>
  <c r="M6382" i="5"/>
  <c r="M6272" i="5"/>
  <c r="M6441" i="5"/>
  <c r="N6441" i="5" s="1"/>
  <c r="O6441" i="5" s="1"/>
  <c r="M6301" i="5"/>
  <c r="N6301" i="5" s="1"/>
  <c r="M6387" i="5"/>
  <c r="N6387" i="5" s="1"/>
  <c r="O6387" i="5" s="1"/>
  <c r="Q6251" i="5"/>
  <c r="R6251" i="5" s="1"/>
  <c r="S6251" i="5" s="1"/>
  <c r="M6279" i="5"/>
  <c r="Q6334" i="5"/>
  <c r="Q6284" i="5"/>
  <c r="R6284" i="5" s="1"/>
  <c r="S6284" i="5" s="1"/>
  <c r="Q6322" i="5"/>
  <c r="M6349" i="5"/>
  <c r="Q6452" i="5"/>
  <c r="R6452" i="5" s="1"/>
  <c r="S6452" i="5" s="1"/>
  <c r="L6432" i="5"/>
  <c r="P6432" i="5" s="1"/>
  <c r="M6385" i="5"/>
  <c r="N6385" i="5" s="1"/>
  <c r="O6385" i="5" s="1"/>
  <c r="Q6294" i="5"/>
  <c r="R6294" i="5" s="1"/>
  <c r="S6294" i="5" s="1"/>
  <c r="Q6415" i="5"/>
  <c r="M6428" i="5"/>
  <c r="N6428" i="5" s="1"/>
  <c r="O6428" i="5" s="1"/>
  <c r="Q6416" i="5"/>
  <c r="M6330" i="5"/>
  <c r="M6467" i="5"/>
  <c r="M6376" i="5"/>
  <c r="M6253" i="5"/>
  <c r="M6290" i="5"/>
  <c r="M6402" i="5"/>
  <c r="Q6254" i="5"/>
  <c r="Q6268" i="5"/>
  <c r="R6268" i="5" s="1"/>
  <c r="S6268" i="5" s="1"/>
  <c r="Q6280" i="5"/>
  <c r="R6280" i="5" s="1"/>
  <c r="S6280" i="5" s="1"/>
  <c r="Q6327" i="5"/>
  <c r="M6403" i="5"/>
  <c r="Q6414" i="5"/>
  <c r="R6414" i="5" s="1"/>
  <c r="S6414" i="5" s="1"/>
  <c r="M6361" i="5"/>
  <c r="Q6386" i="5"/>
  <c r="R6386" i="5" s="1"/>
  <c r="S6386" i="5" s="1"/>
  <c r="Q6289" i="5"/>
  <c r="Q6302" i="5"/>
  <c r="R6302" i="5" s="1"/>
  <c r="S6302" i="5" s="1"/>
  <c r="Q6328" i="5"/>
  <c r="R6328" i="5" s="1"/>
  <c r="S6328" i="5" s="1"/>
  <c r="Q6269" i="5"/>
  <c r="M6323" i="5"/>
  <c r="Q6431" i="5"/>
  <c r="M6307" i="5"/>
  <c r="N6307" i="5" s="1"/>
  <c r="Q6442" i="5"/>
  <c r="R6442" i="5" s="1"/>
  <c r="S6442" i="5" s="1"/>
  <c r="Q6408" i="5"/>
  <c r="R6408" i="5" s="1"/>
  <c r="S6408" i="5" s="1"/>
  <c r="Q6298" i="5"/>
  <c r="R6298" i="5" s="1"/>
  <c r="S6298" i="5" s="1"/>
  <c r="Q6430" i="5"/>
  <c r="M6458" i="5"/>
  <c r="N6458" i="5" s="1"/>
  <c r="Q6307" i="5"/>
  <c r="R6307" i="5" s="1"/>
  <c r="S6307" i="5" s="1"/>
  <c r="M6300" i="5"/>
  <c r="N6300" i="5" s="1"/>
  <c r="Q6356" i="5"/>
  <c r="Q6348" i="5"/>
  <c r="R6348" i="5" s="1"/>
  <c r="S6348" i="5" s="1"/>
  <c r="M6281" i="5"/>
  <c r="M6389" i="5"/>
  <c r="Q6323" i="5"/>
  <c r="R6323" i="5" s="1"/>
  <c r="S6323" i="5" s="1"/>
  <c r="M6388" i="5"/>
  <c r="Q6305" i="5"/>
  <c r="M6471" i="5"/>
  <c r="N6471" i="5" s="1"/>
  <c r="M6442" i="5"/>
  <c r="Q6458" i="5"/>
  <c r="R6458" i="5" s="1"/>
  <c r="S6458" i="5" s="1"/>
  <c r="Q6444" i="5"/>
  <c r="R6444" i="5" s="1"/>
  <c r="S6444" i="5" s="1"/>
  <c r="M6269" i="5"/>
  <c r="Q6383" i="5"/>
  <c r="Q6377" i="5"/>
  <c r="R6377" i="5" s="1"/>
  <c r="S6377" i="5" s="1"/>
  <c r="Q6338" i="5"/>
  <c r="R6338" i="5" s="1"/>
  <c r="S6338" i="5" s="1"/>
  <c r="Q6258" i="5"/>
  <c r="R6258" i="5" s="1"/>
  <c r="S6258" i="5" s="1"/>
  <c r="M6460" i="5"/>
  <c r="M6314" i="5"/>
  <c r="M6397" i="5"/>
  <c r="Q6353" i="5"/>
  <c r="Q6365" i="5"/>
  <c r="R6365" i="5" s="1"/>
  <c r="S6365" i="5" s="1"/>
  <c r="M6341" i="5"/>
  <c r="Q6262" i="5"/>
  <c r="R6262" i="5" s="1"/>
  <c r="S6262" i="5" s="1"/>
  <c r="M6313" i="5"/>
  <c r="N6313" i="5" s="1"/>
  <c r="O6313" i="5" s="1"/>
  <c r="Q6424" i="5"/>
  <c r="R6424" i="5" s="1"/>
  <c r="S6424" i="5" s="1"/>
  <c r="Q6448" i="5"/>
  <c r="R6448" i="5" s="1"/>
  <c r="S6448" i="5" s="1"/>
  <c r="Q6310" i="5"/>
  <c r="M6394" i="5"/>
  <c r="Q6346" i="5"/>
  <c r="Q6423" i="5"/>
  <c r="Q6372" i="5"/>
  <c r="R6372" i="5" s="1"/>
  <c r="S6372" i="5" s="1"/>
  <c r="Q6427" i="5"/>
  <c r="M6263" i="5"/>
  <c r="Q6293" i="5"/>
  <c r="Q6345" i="5"/>
  <c r="R6345" i="5" s="1"/>
  <c r="S6345" i="5" s="1"/>
  <c r="M6451" i="5"/>
  <c r="Q6311" i="5"/>
  <c r="M6320" i="5"/>
  <c r="M6344" i="5"/>
  <c r="Q6401" i="5"/>
  <c r="M6427" i="5"/>
  <c r="Q6295" i="5"/>
  <c r="R6295" i="5" s="1"/>
  <c r="S6295" i="5" s="1"/>
  <c r="M6356" i="5"/>
  <c r="Q6337" i="5"/>
  <c r="M6265" i="5"/>
  <c r="Q6291" i="5"/>
  <c r="M6426" i="5"/>
  <c r="N6426" i="5" s="1"/>
  <c r="Q6266" i="5"/>
  <c r="Q6318" i="5"/>
  <c r="R6318" i="5" s="1"/>
  <c r="S6318" i="5" s="1"/>
  <c r="M6377" i="5"/>
  <c r="Q6250" i="5"/>
  <c r="R6250" i="5" s="1"/>
  <c r="S6250" i="5" s="1"/>
  <c r="M6348" i="5"/>
  <c r="Q6404" i="5"/>
  <c r="Q6429" i="5"/>
  <c r="M6275" i="5"/>
  <c r="Q6449" i="5"/>
  <c r="R6449" i="5" s="1"/>
  <c r="S6449" i="5" s="1"/>
  <c r="BN53" i="12"/>
  <c r="BY53" i="12"/>
  <c r="CA53" i="12" s="1"/>
  <c r="M6295" i="5"/>
  <c r="M6435" i="5"/>
  <c r="N6435" i="5" s="1"/>
  <c r="M6466" i="5"/>
  <c r="M6298" i="5"/>
  <c r="Q6299" i="5"/>
  <c r="R6299" i="5" s="1"/>
  <c r="S6299" i="5" s="1"/>
  <c r="M6357" i="5"/>
  <c r="Q6252" i="5"/>
  <c r="R6252" i="5" s="1"/>
  <c r="S6252" i="5" s="1"/>
  <c r="Q6306" i="5"/>
  <c r="M6468" i="5"/>
  <c r="Q6273" i="5"/>
  <c r="M6408" i="5"/>
  <c r="M6378" i="5"/>
  <c r="Q6282" i="5"/>
  <c r="M6274" i="5"/>
  <c r="M6409" i="5"/>
  <c r="Q6459" i="5"/>
  <c r="M6328" i="5"/>
  <c r="M6329" i="5"/>
  <c r="M6338" i="5"/>
  <c r="M6359" i="5"/>
  <c r="M6369" i="5"/>
  <c r="L6400" i="5"/>
  <c r="P6400" i="5" s="1"/>
  <c r="Q6440" i="5"/>
  <c r="R6378" i="5"/>
  <c r="S6378" i="5" s="1"/>
  <c r="M6337" i="5"/>
  <c r="M6358" i="5"/>
  <c r="N6358" i="5" s="1"/>
  <c r="M6283" i="5"/>
  <c r="Q6389" i="5"/>
  <c r="M6430" i="5"/>
  <c r="Q6271" i="5"/>
  <c r="Q6275" i="5"/>
  <c r="M6350" i="5"/>
  <c r="N6350" i="5" s="1"/>
  <c r="M6410" i="5"/>
  <c r="Q6460" i="5"/>
  <c r="Q6471" i="5"/>
  <c r="R6471" i="5" s="1"/>
  <c r="S6471" i="5" s="1"/>
  <c r="M6255" i="5"/>
  <c r="N6255" i="5" s="1"/>
  <c r="O6255" i="5" s="1"/>
  <c r="M6276" i="5"/>
  <c r="M6351" i="5"/>
  <c r="M6411" i="5"/>
  <c r="Q6461" i="5"/>
  <c r="R6461" i="5" s="1"/>
  <c r="S6461" i="5" s="1"/>
  <c r="M6310" i="5"/>
  <c r="Q6420" i="5"/>
  <c r="R6420" i="5" s="1"/>
  <c r="S6420" i="5" s="1"/>
  <c r="Q6321" i="5"/>
  <c r="Q6341" i="5"/>
  <c r="R6341" i="5" s="1"/>
  <c r="S6341" i="5" s="1"/>
  <c r="M6277" i="5"/>
  <c r="N6277" i="5" s="1"/>
  <c r="Q6331" i="5"/>
  <c r="Q6392" i="5"/>
  <c r="R6392" i="5" s="1"/>
  <c r="S6392" i="5" s="1"/>
  <c r="M6433" i="5"/>
  <c r="R6398" i="5"/>
  <c r="S6398" i="5" s="1"/>
  <c r="M6443" i="5"/>
  <c r="M6249" i="5"/>
  <c r="Q6303" i="5"/>
  <c r="R6303" i="5" s="1"/>
  <c r="S6303" i="5" s="1"/>
  <c r="M6342" i="5"/>
  <c r="M6383" i="5"/>
  <c r="M6296" i="5"/>
  <c r="N6296" i="5" s="1"/>
  <c r="M6332" i="5"/>
  <c r="N6332" i="5" s="1"/>
  <c r="O6332" i="5" s="1"/>
  <c r="M6362" i="5"/>
  <c r="Q6393" i="5"/>
  <c r="R6393" i="5" s="1"/>
  <c r="S6393" i="5" s="1"/>
  <c r="M6258" i="5"/>
  <c r="M6278" i="5"/>
  <c r="N6278" i="5" s="1"/>
  <c r="M6324" i="5"/>
  <c r="Q6413" i="5"/>
  <c r="R6413" i="5" s="1"/>
  <c r="S6413" i="5" s="1"/>
  <c r="M6434" i="5"/>
  <c r="M6270" i="5"/>
  <c r="M6304" i="5"/>
  <c r="M6355" i="5"/>
  <c r="M6375" i="5"/>
  <c r="N6375" i="5" s="1"/>
  <c r="M6405" i="5"/>
  <c r="N6405" i="5" s="1"/>
  <c r="M6465" i="5"/>
  <c r="N6465" i="5" s="1"/>
  <c r="O6465" i="5" s="1"/>
  <c r="M6250" i="5"/>
  <c r="N6250" i="5" s="1"/>
  <c r="Q6384" i="5"/>
  <c r="Q6297" i="5"/>
  <c r="R6297" i="5" s="1"/>
  <c r="S6297" i="5" s="1"/>
  <c r="Q6314" i="5"/>
  <c r="Q6325" i="5"/>
  <c r="Q6261" i="5"/>
  <c r="R6261" i="5" s="1"/>
  <c r="S6261" i="5" s="1"/>
  <c r="Q6288" i="5"/>
  <c r="R6288" i="5" s="1"/>
  <c r="S6288" i="5" s="1"/>
  <c r="Q6313" i="5"/>
  <c r="R6313" i="5" s="1"/>
  <c r="S6313" i="5" s="1"/>
  <c r="Q6320" i="5"/>
  <c r="R6320" i="5" s="1"/>
  <c r="S6320" i="5" s="1"/>
  <c r="Q6381" i="5"/>
  <c r="R6381" i="5" s="1"/>
  <c r="S6381" i="5" s="1"/>
  <c r="Q6388" i="5"/>
  <c r="Q6395" i="5"/>
  <c r="Q6426" i="5"/>
  <c r="R6426" i="5" s="1"/>
  <c r="S6426" i="5" s="1"/>
  <c r="Q6439" i="5"/>
  <c r="R6439" i="5" s="1"/>
  <c r="S6439" i="5" s="1"/>
  <c r="Q6446" i="5"/>
  <c r="Q6464" i="5"/>
  <c r="R6464" i="5" s="1"/>
  <c r="S6464" i="5" s="1"/>
  <c r="M6262" i="5"/>
  <c r="N6262" i="5" s="1"/>
  <c r="O6262" i="5" s="1"/>
  <c r="Q6368" i="5"/>
  <c r="R6368" i="5" s="1"/>
  <c r="S6368" i="5" s="1"/>
  <c r="M6396" i="5"/>
  <c r="Q6335" i="5"/>
  <c r="Q6472" i="5"/>
  <c r="M6421" i="5"/>
  <c r="N6421" i="5" s="1"/>
  <c r="Q6263" i="5"/>
  <c r="R6263" i="5" s="1"/>
  <c r="S6263" i="5" s="1"/>
  <c r="Q6308" i="5"/>
  <c r="R6308" i="5" s="1"/>
  <c r="S6308" i="5" s="1"/>
  <c r="M6447" i="5"/>
  <c r="M6473" i="5"/>
  <c r="Q6336" i="5"/>
  <c r="R6336" i="5" s="1"/>
  <c r="S6336" i="5" s="1"/>
  <c r="Q6343" i="5"/>
  <c r="M6363" i="5"/>
  <c r="Q6397" i="5"/>
  <c r="R6397" i="5" s="1"/>
  <c r="S6397" i="5" s="1"/>
  <c r="M6453" i="5"/>
  <c r="M6404" i="5"/>
  <c r="M6257" i="5"/>
  <c r="M6264" i="5"/>
  <c r="N6264" i="5" s="1"/>
  <c r="M6285" i="5"/>
  <c r="M6291" i="5"/>
  <c r="M6309" i="5"/>
  <c r="M6316" i="5"/>
  <c r="Q6370" i="5"/>
  <c r="M6391" i="5"/>
  <c r="N6391" i="5" s="1"/>
  <c r="M6422" i="5"/>
  <c r="M6429" i="5"/>
  <c r="R6473" i="5"/>
  <c r="S6473" i="5" s="1"/>
  <c r="Q6390" i="5"/>
  <c r="Q6344" i="5"/>
  <c r="R6344" i="5" s="1"/>
  <c r="S6344" i="5" s="1"/>
  <c r="M6364" i="5"/>
  <c r="M6398" i="5"/>
  <c r="M6448" i="5"/>
  <c r="M6454" i="5"/>
  <c r="N6454" i="5" s="1"/>
  <c r="O6454" i="5" s="1"/>
  <c r="M6474" i="5"/>
  <c r="N6474" i="5" s="1"/>
  <c r="Q6265" i="5"/>
  <c r="R6265" i="5" s="1"/>
  <c r="S6265" i="5" s="1"/>
  <c r="M6399" i="5"/>
  <c r="M6417" i="5"/>
  <c r="N6417" i="5" s="1"/>
  <c r="M6455" i="5"/>
  <c r="M6462" i="5"/>
  <c r="M6475" i="5"/>
  <c r="M6256" i="5"/>
  <c r="Q6315" i="5"/>
  <c r="M6371" i="5"/>
  <c r="M6286" i="5"/>
  <c r="M6423" i="5"/>
  <c r="Q6292" i="5"/>
  <c r="R6292" i="5" s="1"/>
  <c r="S6292" i="5" s="1"/>
  <c r="M6345" i="5"/>
  <c r="N6345" i="5" s="1"/>
  <c r="M6352" i="5"/>
  <c r="M6365" i="5"/>
  <c r="M6372" i="5"/>
  <c r="N6372" i="5" s="1"/>
  <c r="M6406" i="5"/>
  <c r="M6437" i="5"/>
  <c r="Q6436" i="5"/>
  <c r="Q6317" i="5"/>
  <c r="R6317" i="5" s="1"/>
  <c r="S6317" i="5" s="1"/>
  <c r="R6399" i="5"/>
  <c r="S6399" i="5" s="1"/>
  <c r="M6259" i="5"/>
  <c r="M6266" i="5"/>
  <c r="M6293" i="5"/>
  <c r="M6311" i="5"/>
  <c r="M6318" i="5"/>
  <c r="M6379" i="5"/>
  <c r="M6424" i="5"/>
  <c r="M6431" i="5"/>
  <c r="M6444" i="5"/>
  <c r="R6359" i="5"/>
  <c r="S6359" i="5" s="1"/>
  <c r="M6339" i="5"/>
  <c r="N6339" i="5" s="1"/>
  <c r="M6346" i="5"/>
  <c r="M6353" i="5"/>
  <c r="R6400" i="5"/>
  <c r="S6400" i="5" s="1"/>
  <c r="M6469" i="5"/>
  <c r="M6418" i="5"/>
  <c r="M6449" i="5"/>
  <c r="M6456" i="5"/>
  <c r="M6463" i="5"/>
  <c r="M6476" i="5"/>
  <c r="M6366" i="5"/>
  <c r="M6373" i="5"/>
  <c r="M6400" i="5"/>
  <c r="M6407" i="5"/>
  <c r="M6425" i="5"/>
  <c r="M6438" i="5"/>
  <c r="N6438" i="5" s="1"/>
  <c r="M6445" i="5"/>
  <c r="N6445" i="5" s="1"/>
  <c r="M6260" i="5"/>
  <c r="M6267" i="5"/>
  <c r="N6267" i="5" s="1"/>
  <c r="M6287" i="5"/>
  <c r="M6326" i="5"/>
  <c r="N6326" i="5" s="1"/>
  <c r="M6380" i="5"/>
  <c r="Q6281" i="5"/>
  <c r="R6281" i="5" s="1"/>
  <c r="S6281" i="5" s="1"/>
  <c r="Q6300" i="5"/>
  <c r="R6300" i="5" s="1"/>
  <c r="S6300" i="5" s="1"/>
  <c r="Q6312" i="5"/>
  <c r="Q6319" i="5"/>
  <c r="R6319" i="5" s="1"/>
  <c r="S6319" i="5" s="1"/>
  <c r="M6333" i="5"/>
  <c r="M6340" i="5"/>
  <c r="N6340" i="5" s="1"/>
  <c r="M6347" i="5"/>
  <c r="N6347" i="5" s="1"/>
  <c r="U6347" i="5" s="1"/>
  <c r="V6347" i="5" s="1"/>
  <c r="M6354" i="5"/>
  <c r="Q6394" i="5"/>
  <c r="M6412" i="5"/>
  <c r="M6432" i="5"/>
  <c r="M6470" i="5"/>
  <c r="R6412" i="5"/>
  <c r="S6412" i="5" s="1"/>
  <c r="M6360" i="5"/>
  <c r="M6450" i="5"/>
  <c r="M6457" i="5"/>
  <c r="M6477" i="5"/>
  <c r="M6367" i="5"/>
  <c r="N6367" i="5" s="1"/>
  <c r="M6374" i="5"/>
  <c r="N6374" i="5" s="1"/>
  <c r="O6374" i="5" s="1"/>
  <c r="M6401" i="5"/>
  <c r="M6419" i="5"/>
  <c r="R6432" i="5"/>
  <c r="S6432" i="5" s="1"/>
  <c r="K6354" i="5"/>
  <c r="L6354" i="5" s="1"/>
  <c r="R6347" i="5"/>
  <c r="S6347" i="5" s="1"/>
  <c r="K6335" i="5"/>
  <c r="L6330" i="5"/>
  <c r="P6330" i="5" s="1"/>
  <c r="R6326" i="5"/>
  <c r="S6326" i="5" s="1"/>
  <c r="L6323" i="5"/>
  <c r="P6323" i="5" s="1"/>
  <c r="N6319" i="5"/>
  <c r="O6319" i="5" s="1"/>
  <c r="R6329" i="5"/>
  <c r="S6329" i="5" s="1"/>
  <c r="L6329" i="5"/>
  <c r="P6329" i="5" s="1"/>
  <c r="L6413" i="5"/>
  <c r="P6413" i="5" s="1"/>
  <c r="L6320" i="5"/>
  <c r="L6380" i="5"/>
  <c r="P6380" i="5" s="1"/>
  <c r="R6465" i="5"/>
  <c r="S6465" i="5" s="1"/>
  <c r="K6304" i="5"/>
  <c r="L6304" i="5" s="1"/>
  <c r="R6454" i="5"/>
  <c r="S6454" i="5" s="1"/>
  <c r="L6461" i="5"/>
  <c r="P6461" i="5" s="1"/>
  <c r="R6358" i="5"/>
  <c r="S6358" i="5" s="1"/>
  <c r="K6353" i="5"/>
  <c r="L6353" i="5" s="1"/>
  <c r="L6422" i="5"/>
  <c r="L6434" i="5"/>
  <c r="P6434" i="5" s="1"/>
  <c r="R6474" i="5"/>
  <c r="S6474" i="5" s="1"/>
  <c r="L6399" i="5"/>
  <c r="R6387" i="5"/>
  <c r="S6387" i="5" s="1"/>
  <c r="L6406" i="5"/>
  <c r="P6406" i="5" s="1"/>
  <c r="R6467" i="5"/>
  <c r="S6467" i="5" s="1"/>
  <c r="R6264" i="5"/>
  <c r="S6264" i="5" s="1"/>
  <c r="L6467" i="5"/>
  <c r="P6467" i="5" s="1"/>
  <c r="L6359" i="5"/>
  <c r="P6359" i="5" s="1"/>
  <c r="K6468" i="5"/>
  <c r="R6468" i="5" s="1"/>
  <c r="S6468" i="5" s="1"/>
  <c r="R6340" i="5"/>
  <c r="S6340" i="5" s="1"/>
  <c r="R6278" i="5"/>
  <c r="S6278" i="5" s="1"/>
  <c r="K6395" i="5"/>
  <c r="L6395" i="5" s="1"/>
  <c r="P6395" i="5" s="1"/>
  <c r="R6434" i="5"/>
  <c r="S6434" i="5" s="1"/>
  <c r="K6305" i="5"/>
  <c r="L6305" i="5" s="1"/>
  <c r="P6305" i="5" s="1"/>
  <c r="R6417" i="5"/>
  <c r="S6417" i="5" s="1"/>
  <c r="R6422" i="5"/>
  <c r="S6422" i="5" s="1"/>
  <c r="K6451" i="5"/>
  <c r="L6451" i="5" s="1"/>
  <c r="R6438" i="5"/>
  <c r="S6438" i="5" s="1"/>
  <c r="R6445" i="5"/>
  <c r="S6445" i="5" s="1"/>
  <c r="K6475" i="5"/>
  <c r="R6475" i="5" s="1"/>
  <c r="S6475" i="5" s="1"/>
  <c r="K6286" i="5"/>
  <c r="L6286" i="5" s="1"/>
  <c r="L6396" i="5"/>
  <c r="P6396" i="5" s="1"/>
  <c r="K6418" i="5"/>
  <c r="L6418" i="5" s="1"/>
  <c r="P6418" i="5" s="1"/>
  <c r="R6435" i="5"/>
  <c r="S6435" i="5" s="1"/>
  <c r="R6441" i="5"/>
  <c r="S6441" i="5" s="1"/>
  <c r="R6396" i="5"/>
  <c r="S6396" i="5" s="1"/>
  <c r="L6452" i="5"/>
  <c r="P6452" i="5" s="1"/>
  <c r="R6330" i="5"/>
  <c r="S6330" i="5" s="1"/>
  <c r="R6419" i="5"/>
  <c r="S6419" i="5" s="1"/>
  <c r="K6362" i="5"/>
  <c r="L6362" i="5" s="1"/>
  <c r="R6391" i="5"/>
  <c r="S6391" i="5" s="1"/>
  <c r="L6473" i="5"/>
  <c r="P6473" i="5" s="1"/>
  <c r="R6332" i="5"/>
  <c r="S6332" i="5" s="1"/>
  <c r="R6385" i="5"/>
  <c r="S6385" i="5" s="1"/>
  <c r="R6255" i="5"/>
  <c r="S6255" i="5" s="1"/>
  <c r="K6425" i="5"/>
  <c r="L6425" i="5" s="1"/>
  <c r="N6292" i="5"/>
  <c r="O6292" i="5" s="1"/>
  <c r="N6439" i="5"/>
  <c r="R6371" i="5"/>
  <c r="S6371" i="5" s="1"/>
  <c r="R6406" i="5"/>
  <c r="S6406" i="5" s="1"/>
  <c r="R6421" i="5"/>
  <c r="S6421" i="5" s="1"/>
  <c r="R6290" i="5"/>
  <c r="S6290" i="5" s="1"/>
  <c r="R6367" i="5"/>
  <c r="S6367" i="5" s="1"/>
  <c r="R6380" i="5"/>
  <c r="S6380" i="5" s="1"/>
  <c r="P6296" i="5"/>
  <c r="P6277" i="5"/>
  <c r="P6405" i="5"/>
  <c r="P6420" i="5"/>
  <c r="N6420" i="5"/>
  <c r="K6433" i="5"/>
  <c r="L6433" i="5" s="1"/>
  <c r="P6339" i="5"/>
  <c r="L6363" i="5"/>
  <c r="R6363" i="5"/>
  <c r="S6363" i="5" s="1"/>
  <c r="N6302" i="5"/>
  <c r="O6302" i="5" s="1"/>
  <c r="L6408" i="5"/>
  <c r="L6268" i="5"/>
  <c r="N6294" i="5"/>
  <c r="O6294" i="5" s="1"/>
  <c r="R6457" i="5"/>
  <c r="S6457" i="5" s="1"/>
  <c r="L6457" i="5"/>
  <c r="L6299" i="5"/>
  <c r="R6339" i="5"/>
  <c r="S6339" i="5" s="1"/>
  <c r="P6345" i="5"/>
  <c r="P6350" i="5"/>
  <c r="P6264" i="5"/>
  <c r="K6291" i="5"/>
  <c r="L6291" i="5" s="1"/>
  <c r="K6355" i="5"/>
  <c r="L6355" i="5" s="1"/>
  <c r="K6364" i="5"/>
  <c r="R6364" i="5" s="1"/>
  <c r="S6364" i="5" s="1"/>
  <c r="P6474" i="5"/>
  <c r="P6300" i="5"/>
  <c r="P6326" i="5"/>
  <c r="P6439" i="5"/>
  <c r="P6375" i="5"/>
  <c r="L6251" i="5"/>
  <c r="P6278" i="5"/>
  <c r="R6316" i="5"/>
  <c r="S6316" i="5" s="1"/>
  <c r="L6316" i="5"/>
  <c r="K6331" i="5"/>
  <c r="L6331" i="5" s="1"/>
  <c r="K6376" i="5"/>
  <c r="R6376" i="5" s="1"/>
  <c r="S6376" i="5" s="1"/>
  <c r="K6459" i="5"/>
  <c r="L6386" i="5"/>
  <c r="P6307" i="5"/>
  <c r="K6411" i="5"/>
  <c r="L6411" i="5" s="1"/>
  <c r="P6435" i="5"/>
  <c r="P6261" i="5"/>
  <c r="N6261" i="5"/>
  <c r="K6327" i="5"/>
  <c r="R6357" i="5"/>
  <c r="S6357" i="5" s="1"/>
  <c r="L6357" i="5"/>
  <c r="L6377" i="5"/>
  <c r="L6288" i="5"/>
  <c r="R6296" i="5"/>
  <c r="S6296" i="5" s="1"/>
  <c r="K6253" i="5"/>
  <c r="R6253" i="5" s="1"/>
  <c r="S6253" i="5" s="1"/>
  <c r="P6372" i="5"/>
  <c r="L6270" i="5"/>
  <c r="L6284" i="5"/>
  <c r="P6308" i="5"/>
  <c r="N6308" i="5"/>
  <c r="L6392" i="5"/>
  <c r="L6402" i="5"/>
  <c r="R6402" i="5"/>
  <c r="S6402" i="5" s="1"/>
  <c r="R6450" i="5"/>
  <c r="S6450" i="5" s="1"/>
  <c r="K6293" i="5"/>
  <c r="P6280" i="5"/>
  <c r="N6280" i="5"/>
  <c r="P6358" i="5"/>
  <c r="K6455" i="5"/>
  <c r="R6455" i="5" s="1"/>
  <c r="S6455" i="5" s="1"/>
  <c r="K6260" i="5"/>
  <c r="R6260" i="5" s="1"/>
  <c r="S6260" i="5" s="1"/>
  <c r="K6352" i="5"/>
  <c r="R6352" i="5" s="1"/>
  <c r="S6352" i="5" s="1"/>
  <c r="P6297" i="5"/>
  <c r="N6297" i="5"/>
  <c r="R6301" i="5"/>
  <c r="S6301" i="5" s="1"/>
  <c r="K6383" i="5"/>
  <c r="L6383" i="5" s="1"/>
  <c r="L6444" i="5"/>
  <c r="K6423" i="5"/>
  <c r="K6279" i="5"/>
  <c r="R6279" i="5" s="1"/>
  <c r="S6279" i="5" s="1"/>
  <c r="L6281" i="5"/>
  <c r="R6309" i="5"/>
  <c r="S6309" i="5" s="1"/>
  <c r="L6309" i="5"/>
  <c r="P6426" i="5"/>
  <c r="K6272" i="5"/>
  <c r="R6272" i="5" s="1"/>
  <c r="S6272" i="5" s="1"/>
  <c r="L6258" i="5"/>
  <c r="L6274" i="5"/>
  <c r="R6274" i="5"/>
  <c r="S6274" i="5" s="1"/>
  <c r="N6381" i="5"/>
  <c r="P6381" i="5"/>
  <c r="R6270" i="5"/>
  <c r="S6270" i="5" s="1"/>
  <c r="P6301" i="5"/>
  <c r="P6367" i="5"/>
  <c r="P6267" i="5"/>
  <c r="P6250" i="5"/>
  <c r="L6263" i="5"/>
  <c r="R6267" i="5"/>
  <c r="S6267" i="5" s="1"/>
  <c r="R6277" i="5"/>
  <c r="S6277" i="5" s="1"/>
  <c r="L6290" i="5"/>
  <c r="R6324" i="5"/>
  <c r="S6324" i="5" s="1"/>
  <c r="L6324" i="5"/>
  <c r="P6458" i="5"/>
  <c r="K6337" i="5"/>
  <c r="K6343" i="5"/>
  <c r="L6343" i="5" s="1"/>
  <c r="K6360" i="5"/>
  <c r="R6360" i="5" s="1"/>
  <c r="S6360" i="5" s="1"/>
  <c r="K6373" i="5"/>
  <c r="L6373" i="5" s="1"/>
  <c r="K6416" i="5"/>
  <c r="K6429" i="5"/>
  <c r="L6429" i="5" s="1"/>
  <c r="K6306" i="5"/>
  <c r="K6311" i="5"/>
  <c r="L6311" i="5" s="1"/>
  <c r="L6265" i="5"/>
  <c r="K6346" i="5"/>
  <c r="L6346" i="5" s="1"/>
  <c r="K6349" i="5"/>
  <c r="R6349" i="5" s="1"/>
  <c r="S6349" i="5" s="1"/>
  <c r="K6370" i="5"/>
  <c r="R6405" i="5"/>
  <c r="S6405" i="5" s="1"/>
  <c r="K6446" i="5"/>
  <c r="L6446" i="5" s="1"/>
  <c r="K6462" i="5"/>
  <c r="R6462" i="5" s="1"/>
  <c r="S6462" i="5" s="1"/>
  <c r="K6470" i="5"/>
  <c r="R6470" i="5" s="1"/>
  <c r="S6470" i="5" s="1"/>
  <c r="K6321" i="5"/>
  <c r="L6321" i="5" s="1"/>
  <c r="P6340" i="5"/>
  <c r="K6436" i="5"/>
  <c r="K6282" i="5"/>
  <c r="K6430" i="5"/>
  <c r="L6430" i="5" s="1"/>
  <c r="K6249" i="5"/>
  <c r="L6249" i="5" s="1"/>
  <c r="P6471" i="5"/>
  <c r="K6275" i="5"/>
  <c r="L6303" i="5"/>
  <c r="K6256" i="5"/>
  <c r="R6256" i="5" s="1"/>
  <c r="S6256" i="5" s="1"/>
  <c r="P6417" i="5"/>
  <c r="K6314" i="5"/>
  <c r="K6356" i="5"/>
  <c r="K6390" i="5"/>
  <c r="L6390" i="5" s="1"/>
  <c r="K6403" i="5"/>
  <c r="L6403" i="5" s="1"/>
  <c r="L6414" i="5"/>
  <c r="K6437" i="5"/>
  <c r="L6437" i="5" s="1"/>
  <c r="L6424" i="5"/>
  <c r="K6427" i="5"/>
  <c r="L6427" i="5" s="1"/>
  <c r="K6312" i="5"/>
  <c r="L6312" i="5" s="1"/>
  <c r="R6374" i="5"/>
  <c r="S6374" i="5" s="1"/>
  <c r="K6254" i="5"/>
  <c r="L6254" i="5" s="1"/>
  <c r="K6273" i="5"/>
  <c r="L6273" i="5" s="1"/>
  <c r="K6285" i="5"/>
  <c r="L6285" i="5" s="1"/>
  <c r="K6384" i="5"/>
  <c r="L6384" i="5" s="1"/>
  <c r="L6317" i="5"/>
  <c r="L6344" i="5"/>
  <c r="L6368" i="5"/>
  <c r="L6371" i="5"/>
  <c r="K6394" i="5"/>
  <c r="L6394" i="5" s="1"/>
  <c r="K6407" i="5"/>
  <c r="R6407" i="5" s="1"/>
  <c r="S6407" i="5" s="1"/>
  <c r="K6472" i="5"/>
  <c r="R6476" i="5"/>
  <c r="S6476" i="5" s="1"/>
  <c r="L6476" i="5"/>
  <c r="K6322" i="5"/>
  <c r="L6322" i="5" s="1"/>
  <c r="K6266" i="5"/>
  <c r="L6266" i="5" s="1"/>
  <c r="K6259" i="5"/>
  <c r="L6259" i="5" s="1"/>
  <c r="L6295" i="5"/>
  <c r="L6378" i="5"/>
  <c r="L6397" i="5"/>
  <c r="K6431" i="5"/>
  <c r="L6431" i="5" s="1"/>
  <c r="R6350" i="5"/>
  <c r="S6350" i="5" s="1"/>
  <c r="K6409" i="5"/>
  <c r="L6409" i="5" s="1"/>
  <c r="P6421" i="5"/>
  <c r="R6447" i="5"/>
  <c r="S6447" i="5" s="1"/>
  <c r="L6449" i="5"/>
  <c r="K6404" i="5"/>
  <c r="L6404" i="5" s="1"/>
  <c r="P6464" i="5"/>
  <c r="N6464" i="5"/>
  <c r="K6271" i="5"/>
  <c r="L6271" i="5" s="1"/>
  <c r="K6276" i="5"/>
  <c r="L6276" i="5" s="1"/>
  <c r="K6283" i="5"/>
  <c r="L6283" i="5" s="1"/>
  <c r="K6315" i="5"/>
  <c r="K6325" i="5"/>
  <c r="K6333" i="5"/>
  <c r="R6333" i="5" s="1"/>
  <c r="S6333" i="5" s="1"/>
  <c r="R6375" i="5"/>
  <c r="S6375" i="5" s="1"/>
  <c r="P6391" i="5"/>
  <c r="L6447" i="5"/>
  <c r="N6252" i="5"/>
  <c r="O6252" i="5" s="1"/>
  <c r="K6310" i="5"/>
  <c r="L6310" i="5" s="1"/>
  <c r="K6453" i="5"/>
  <c r="R6453" i="5" s="1"/>
  <c r="S6453" i="5" s="1"/>
  <c r="P6336" i="5"/>
  <c r="N6336" i="5"/>
  <c r="L6351" i="5"/>
  <c r="K6388" i="5"/>
  <c r="L6398" i="5"/>
  <c r="K6401" i="5"/>
  <c r="K6289" i="5"/>
  <c r="L6289" i="5" s="1"/>
  <c r="L6298" i="5"/>
  <c r="K6410" i="5"/>
  <c r="R6410" i="5" s="1"/>
  <c r="S6410" i="5" s="1"/>
  <c r="P6445" i="5"/>
  <c r="K6477" i="5"/>
  <c r="R6477" i="5" s="1"/>
  <c r="S6477" i="5" s="1"/>
  <c r="K6257" i="5"/>
  <c r="R6257" i="5" s="1"/>
  <c r="S6257" i="5" s="1"/>
  <c r="K6287" i="5"/>
  <c r="R6287" i="5" s="1"/>
  <c r="S6287" i="5" s="1"/>
  <c r="L6328" i="5"/>
  <c r="P6438" i="5"/>
  <c r="L6450" i="5"/>
  <c r="K6269" i="5"/>
  <c r="K6342" i="5"/>
  <c r="L6342" i="5" s="1"/>
  <c r="L6348" i="5"/>
  <c r="R6351" i="5"/>
  <c r="S6351" i="5" s="1"/>
  <c r="K6366" i="5"/>
  <c r="L6366" i="5" s="1"/>
  <c r="K6379" i="5"/>
  <c r="L6379" i="5" s="1"/>
  <c r="L6412" i="5"/>
  <c r="R6428" i="5"/>
  <c r="S6428" i="5" s="1"/>
  <c r="L6341" i="5"/>
  <c r="L6318" i="5"/>
  <c r="K6369" i="5"/>
  <c r="R6369" i="5" s="1"/>
  <c r="S6369" i="5" s="1"/>
  <c r="K6382" i="5"/>
  <c r="L6382" i="5" s="1"/>
  <c r="L6442" i="5"/>
  <c r="K6463" i="5"/>
  <c r="R6463" i="5" s="1"/>
  <c r="S6463" i="5" s="1"/>
  <c r="K6440" i="5"/>
  <c r="L6440" i="5" s="1"/>
  <c r="K6466" i="5"/>
  <c r="L6466" i="5" s="1"/>
  <c r="L6448" i="5"/>
  <c r="K6460" i="5"/>
  <c r="L6338" i="5"/>
  <c r="L6365" i="5"/>
  <c r="L6393" i="5"/>
  <c r="L6419" i="5"/>
  <c r="K6456" i="5"/>
  <c r="L6456" i="5" s="1"/>
  <c r="K6334" i="5"/>
  <c r="L6334" i="5" s="1"/>
  <c r="K6361" i="5"/>
  <c r="R6361" i="5" s="1"/>
  <c r="S6361" i="5" s="1"/>
  <c r="K6389" i="5"/>
  <c r="K6415" i="5"/>
  <c r="K6443" i="5"/>
  <c r="L6443" i="5" s="1"/>
  <c r="K6469" i="5"/>
  <c r="R6469" i="5" s="1"/>
  <c r="S6469" i="5" s="1"/>
  <c r="CQ53" i="12"/>
  <c r="BL53" i="12"/>
  <c r="CO53" i="12"/>
  <c r="CU53" i="12"/>
  <c r="BD53" i="12"/>
  <c r="BF53" i="12"/>
  <c r="BH53" i="12"/>
  <c r="BJ53" i="12"/>
  <c r="BP53" i="12"/>
  <c r="CG53" i="12"/>
  <c r="CI53" i="12"/>
  <c r="CS53" i="12"/>
  <c r="BB53" i="12"/>
  <c r="BR53" i="12"/>
  <c r="BT53" i="12" s="1"/>
  <c r="CC53" i="12"/>
  <c r="CE53" i="12" s="1"/>
  <c r="BU53" i="12"/>
  <c r="BW53" i="12" s="1"/>
  <c r="B6247" i="5"/>
  <c r="M6247" i="5" s="1"/>
  <c r="B6248" i="5"/>
  <c r="M6248" i="5" s="1"/>
  <c r="J6247" i="5"/>
  <c r="J6248" i="5"/>
  <c r="K6248" i="5" s="1"/>
  <c r="L6248" i="5" s="1"/>
  <c r="T6247" i="5"/>
  <c r="T6248" i="5"/>
  <c r="B6246" i="5"/>
  <c r="Q6246" i="5" s="1"/>
  <c r="J6246" i="5"/>
  <c r="K6246" i="5" s="1"/>
  <c r="T6246" i="5"/>
  <c r="B6244" i="5"/>
  <c r="Q6244" i="5" s="1"/>
  <c r="B6245" i="5"/>
  <c r="M6245" i="5" s="1"/>
  <c r="J6244" i="5"/>
  <c r="K6244" i="5" s="1"/>
  <c r="J6245" i="5"/>
  <c r="K6245" i="5" s="1"/>
  <c r="L6245" i="5" s="1"/>
  <c r="T6244" i="5"/>
  <c r="T6245" i="5"/>
  <c r="B6243" i="5"/>
  <c r="M6243" i="5" s="1"/>
  <c r="J6243" i="5"/>
  <c r="K6243" i="5" s="1"/>
  <c r="T6243" i="5"/>
  <c r="B6242" i="5"/>
  <c r="M6242" i="5" s="1"/>
  <c r="J6242" i="5"/>
  <c r="K6242" i="5" s="1"/>
  <c r="L6242" i="5" s="1"/>
  <c r="T6242" i="5"/>
  <c r="B6237" i="5"/>
  <c r="Q6237" i="5" s="1"/>
  <c r="B6238" i="5"/>
  <c r="Q6238" i="5" s="1"/>
  <c r="B6239" i="5"/>
  <c r="Q6239" i="5" s="1"/>
  <c r="B6240" i="5"/>
  <c r="M6240" i="5" s="1"/>
  <c r="B6241" i="5"/>
  <c r="M6241" i="5" s="1"/>
  <c r="J6237" i="5"/>
  <c r="K6237" i="5" s="1"/>
  <c r="L6237" i="5" s="1"/>
  <c r="P6237" i="5" s="1"/>
  <c r="J6238" i="5"/>
  <c r="J6239" i="5"/>
  <c r="J6240" i="5"/>
  <c r="K6240" i="5" s="1"/>
  <c r="L6240" i="5" s="1"/>
  <c r="J6241" i="5"/>
  <c r="K6241" i="5" s="1"/>
  <c r="L6241" i="5" s="1"/>
  <c r="T6237" i="5"/>
  <c r="T6238" i="5"/>
  <c r="T6239" i="5"/>
  <c r="T6240" i="5"/>
  <c r="T6241" i="5"/>
  <c r="B6234" i="5"/>
  <c r="M6234" i="5" s="1"/>
  <c r="B6235" i="5"/>
  <c r="M6235" i="5" s="1"/>
  <c r="B6236" i="5"/>
  <c r="M6236" i="5" s="1"/>
  <c r="J6234" i="5"/>
  <c r="K6234" i="5" s="1"/>
  <c r="J6235" i="5"/>
  <c r="J6236" i="5"/>
  <c r="K6236" i="5" s="1"/>
  <c r="L6236" i="5" s="1"/>
  <c r="P6236" i="5" s="1"/>
  <c r="T6234" i="5"/>
  <c r="T6235" i="5"/>
  <c r="T6236" i="5"/>
  <c r="B6232" i="5"/>
  <c r="M6232" i="5" s="1"/>
  <c r="B6233" i="5"/>
  <c r="M6233" i="5" s="1"/>
  <c r="J6232" i="5"/>
  <c r="K6232" i="5" s="1"/>
  <c r="L6232" i="5" s="1"/>
  <c r="P6232" i="5" s="1"/>
  <c r="J6233" i="5"/>
  <c r="K6233" i="5" s="1"/>
  <c r="L6233" i="5" s="1"/>
  <c r="T6232" i="5"/>
  <c r="T6233" i="5"/>
  <c r="B6231" i="5"/>
  <c r="Q6231" i="5" s="1"/>
  <c r="J6231" i="5"/>
  <c r="K6231" i="5" s="1"/>
  <c r="T6231" i="5"/>
  <c r="B6230" i="5"/>
  <c r="M6230" i="5" s="1"/>
  <c r="J6230" i="5"/>
  <c r="K6230" i="5" s="1"/>
  <c r="T6230" i="5"/>
  <c r="B6229" i="5"/>
  <c r="M6229" i="5" s="1"/>
  <c r="J6229" i="5"/>
  <c r="K6229" i="5" s="1"/>
  <c r="T6229" i="5"/>
  <c r="B6227" i="5"/>
  <c r="Q6227" i="5" s="1"/>
  <c r="B6228" i="5"/>
  <c r="Q6228" i="5" s="1"/>
  <c r="J6227" i="5"/>
  <c r="K6227" i="5" s="1"/>
  <c r="J6228" i="5"/>
  <c r="K6228" i="5" s="1"/>
  <c r="T6227" i="5"/>
  <c r="T6228" i="5"/>
  <c r="B6226" i="5"/>
  <c r="Q6226" i="5" s="1"/>
  <c r="J6226" i="5"/>
  <c r="K6226" i="5" s="1"/>
  <c r="T6226" i="5"/>
  <c r="B6221" i="5"/>
  <c r="M6221" i="5" s="1"/>
  <c r="B6222" i="5"/>
  <c r="Q6222" i="5" s="1"/>
  <c r="B6223" i="5"/>
  <c r="Q6223" i="5" s="1"/>
  <c r="B6224" i="5"/>
  <c r="M6224" i="5" s="1"/>
  <c r="B6225" i="5"/>
  <c r="M6225" i="5" s="1"/>
  <c r="J6221" i="5"/>
  <c r="J6222" i="5"/>
  <c r="K6222" i="5" s="1"/>
  <c r="L6222" i="5" s="1"/>
  <c r="J6223" i="5"/>
  <c r="K6223" i="5" s="1"/>
  <c r="J6224" i="5"/>
  <c r="K6224" i="5" s="1"/>
  <c r="L6224" i="5" s="1"/>
  <c r="P6224" i="5" s="1"/>
  <c r="J6225" i="5"/>
  <c r="T6221" i="5"/>
  <c r="T6222" i="5"/>
  <c r="T6223" i="5"/>
  <c r="T6224" i="5"/>
  <c r="T6225" i="5"/>
  <c r="B6220" i="5"/>
  <c r="Q6220" i="5" s="1"/>
  <c r="J6220" i="5"/>
  <c r="K6220" i="5" s="1"/>
  <c r="T6220" i="5"/>
  <c r="B6218" i="5"/>
  <c r="M6218" i="5" s="1"/>
  <c r="B6219" i="5"/>
  <c r="M6219" i="5" s="1"/>
  <c r="J6218" i="5"/>
  <c r="K6218" i="5" s="1"/>
  <c r="J6219" i="5"/>
  <c r="K6219" i="5" s="1"/>
  <c r="L6219" i="5" s="1"/>
  <c r="T6218" i="5"/>
  <c r="T6219" i="5"/>
  <c r="B6217" i="5"/>
  <c r="M6217" i="5" s="1"/>
  <c r="J6217" i="5"/>
  <c r="K6217" i="5" s="1"/>
  <c r="T6217" i="5"/>
  <c r="B6214" i="5"/>
  <c r="Q6214" i="5" s="1"/>
  <c r="B6215" i="5"/>
  <c r="Q6215" i="5" s="1"/>
  <c r="B6216" i="5"/>
  <c r="Q6216" i="5" s="1"/>
  <c r="J6214" i="5"/>
  <c r="K6214" i="5" s="1"/>
  <c r="L6214" i="5" s="1"/>
  <c r="J6215" i="5"/>
  <c r="K6215" i="5" s="1"/>
  <c r="L6215" i="5" s="1"/>
  <c r="J6216" i="5"/>
  <c r="K6216" i="5" s="1"/>
  <c r="T6214" i="5"/>
  <c r="T6215" i="5"/>
  <c r="T6216" i="5"/>
  <c r="B6212" i="5"/>
  <c r="M6212" i="5" s="1"/>
  <c r="B6213" i="5"/>
  <c r="M6213" i="5" s="1"/>
  <c r="J6212" i="5"/>
  <c r="J6213" i="5"/>
  <c r="K6213" i="5" s="1"/>
  <c r="T6212" i="5"/>
  <c r="T6213" i="5"/>
  <c r="B6210" i="5"/>
  <c r="M6210" i="5" s="1"/>
  <c r="B6211" i="5"/>
  <c r="Q6211" i="5" s="1"/>
  <c r="J6210" i="5"/>
  <c r="J6211" i="5"/>
  <c r="K6211" i="5" s="1"/>
  <c r="L6211" i="5" s="1"/>
  <c r="T6210" i="5"/>
  <c r="T6211" i="5"/>
  <c r="B6209" i="5"/>
  <c r="M6209" i="5" s="1"/>
  <c r="J6209" i="5"/>
  <c r="K6209" i="5" s="1"/>
  <c r="L6209" i="5" s="1"/>
  <c r="T6209" i="5"/>
  <c r="B6207" i="5"/>
  <c r="M6207" i="5" s="1"/>
  <c r="B6208" i="5"/>
  <c r="M6208" i="5" s="1"/>
  <c r="J6207" i="5"/>
  <c r="J6208" i="5"/>
  <c r="K6208" i="5" s="1"/>
  <c r="L6208" i="5" s="1"/>
  <c r="T6207" i="5"/>
  <c r="T6208" i="5"/>
  <c r="B6204" i="5"/>
  <c r="Q6204" i="5" s="1"/>
  <c r="B6205" i="5"/>
  <c r="Q6205" i="5" s="1"/>
  <c r="B6206" i="5"/>
  <c r="Q6206" i="5" s="1"/>
  <c r="J6204" i="5"/>
  <c r="K6204" i="5" s="1"/>
  <c r="L6204" i="5" s="1"/>
  <c r="J6205" i="5"/>
  <c r="K6205" i="5" s="1"/>
  <c r="L6205" i="5" s="1"/>
  <c r="J6206" i="5"/>
  <c r="K6206" i="5" s="1"/>
  <c r="T6204" i="5"/>
  <c r="T6205" i="5"/>
  <c r="T6206" i="5"/>
  <c r="B6203" i="5"/>
  <c r="Q6203" i="5" s="1"/>
  <c r="J6203" i="5"/>
  <c r="K6203" i="5" s="1"/>
  <c r="T6203" i="5"/>
  <c r="B6200" i="5"/>
  <c r="Q6200" i="5" s="1"/>
  <c r="B6201" i="5"/>
  <c r="Q6201" i="5" s="1"/>
  <c r="B6202" i="5"/>
  <c r="Q6202" i="5" s="1"/>
  <c r="J6200" i="5"/>
  <c r="K6200" i="5" s="1"/>
  <c r="L6200" i="5" s="1"/>
  <c r="J6201" i="5"/>
  <c r="K6201" i="5" s="1"/>
  <c r="L6201" i="5" s="1"/>
  <c r="J6202" i="5"/>
  <c r="K6202" i="5" s="1"/>
  <c r="T6200" i="5"/>
  <c r="T6201" i="5"/>
  <c r="T6202" i="5"/>
  <c r="B6197" i="5"/>
  <c r="Q6197" i="5" s="1"/>
  <c r="B6198" i="5"/>
  <c r="Q6198" i="5" s="1"/>
  <c r="B6199" i="5"/>
  <c r="Q6199" i="5" s="1"/>
  <c r="J6197" i="5"/>
  <c r="K6197" i="5" s="1"/>
  <c r="L6197" i="5" s="1"/>
  <c r="J6198" i="5"/>
  <c r="K6198" i="5" s="1"/>
  <c r="L6198" i="5" s="1"/>
  <c r="J6199" i="5"/>
  <c r="K6199" i="5" s="1"/>
  <c r="T6197" i="5"/>
  <c r="T6198" i="5"/>
  <c r="T6199" i="5"/>
  <c r="B6196" i="5"/>
  <c r="Q6196" i="5" s="1"/>
  <c r="J6196" i="5"/>
  <c r="K6196" i="5" s="1"/>
  <c r="T6196" i="5"/>
  <c r="B6194" i="5"/>
  <c r="M6194" i="5" s="1"/>
  <c r="B6195" i="5"/>
  <c r="M6195" i="5" s="1"/>
  <c r="J6194" i="5"/>
  <c r="K6194" i="5" s="1"/>
  <c r="L6194" i="5" s="1"/>
  <c r="J6195" i="5"/>
  <c r="K6195" i="5" s="1"/>
  <c r="L6195" i="5" s="1"/>
  <c r="T6194" i="5"/>
  <c r="T6195" i="5"/>
  <c r="B6191" i="5"/>
  <c r="M6191" i="5" s="1"/>
  <c r="B6192" i="5"/>
  <c r="Q6192" i="5" s="1"/>
  <c r="B6193" i="5"/>
  <c r="M6193" i="5" s="1"/>
  <c r="J6191" i="5"/>
  <c r="K6191" i="5" s="1"/>
  <c r="L6191" i="5" s="1"/>
  <c r="J6192" i="5"/>
  <c r="J6193" i="5"/>
  <c r="K6193" i="5" s="1"/>
  <c r="T6191" i="5"/>
  <c r="T6192" i="5"/>
  <c r="T6193" i="5"/>
  <c r="B6188" i="5"/>
  <c r="Q6188" i="5" s="1"/>
  <c r="B6189" i="5"/>
  <c r="Q6189" i="5" s="1"/>
  <c r="B6190" i="5"/>
  <c r="Q6190" i="5" s="1"/>
  <c r="J6188" i="5"/>
  <c r="K6188" i="5" s="1"/>
  <c r="L6188" i="5" s="1"/>
  <c r="J6189" i="5"/>
  <c r="K6189" i="5" s="1"/>
  <c r="J6190" i="5"/>
  <c r="K6190" i="5" s="1"/>
  <c r="T6188" i="5"/>
  <c r="T6189" i="5"/>
  <c r="T6190" i="5"/>
  <c r="B6185" i="5"/>
  <c r="Q6185" i="5" s="1"/>
  <c r="B6186" i="5"/>
  <c r="Q6186" i="5" s="1"/>
  <c r="B6187" i="5"/>
  <c r="Q6187" i="5" s="1"/>
  <c r="J6185" i="5"/>
  <c r="K6185" i="5" s="1"/>
  <c r="L6185" i="5" s="1"/>
  <c r="J6186" i="5"/>
  <c r="K6186" i="5" s="1"/>
  <c r="L6186" i="5" s="1"/>
  <c r="J6187" i="5"/>
  <c r="K6187" i="5" s="1"/>
  <c r="T6185" i="5"/>
  <c r="T6186" i="5"/>
  <c r="T6187" i="5"/>
  <c r="B6183" i="5"/>
  <c r="M6183" i="5" s="1"/>
  <c r="B6184" i="5"/>
  <c r="M6184" i="5" s="1"/>
  <c r="J6183" i="5"/>
  <c r="K6183" i="5" s="1"/>
  <c r="L6183" i="5" s="1"/>
  <c r="J6184" i="5"/>
  <c r="K6184" i="5" s="1"/>
  <c r="L6184" i="5" s="1"/>
  <c r="T6183" i="5"/>
  <c r="T6184" i="5"/>
  <c r="B6182" i="5"/>
  <c r="M6182" i="5" s="1"/>
  <c r="J6182" i="5"/>
  <c r="K6182" i="5" s="1"/>
  <c r="T6182" i="5"/>
  <c r="B6180" i="5"/>
  <c r="Q6180" i="5" s="1"/>
  <c r="B6181" i="5"/>
  <c r="Q6181" i="5" s="1"/>
  <c r="J6180" i="5"/>
  <c r="J6181" i="5"/>
  <c r="K6181" i="5" s="1"/>
  <c r="L6181" i="5" s="1"/>
  <c r="T6180" i="5"/>
  <c r="T6181" i="5"/>
  <c r="B6178" i="5"/>
  <c r="M6178" i="5" s="1"/>
  <c r="B6179" i="5"/>
  <c r="M6179" i="5" s="1"/>
  <c r="J6178" i="5"/>
  <c r="J6179" i="5"/>
  <c r="K6179" i="5" s="1"/>
  <c r="L6179" i="5" s="1"/>
  <c r="T6178" i="5"/>
  <c r="T6179" i="5"/>
  <c r="B6176" i="5"/>
  <c r="M6176" i="5" s="1"/>
  <c r="B6177" i="5"/>
  <c r="M6177" i="5" s="1"/>
  <c r="J6176" i="5"/>
  <c r="K6176" i="5" s="1"/>
  <c r="L6176" i="5" s="1"/>
  <c r="J6177" i="5"/>
  <c r="K6177" i="5" s="1"/>
  <c r="L6177" i="5" s="1"/>
  <c r="T6176" i="5"/>
  <c r="T6177" i="5"/>
  <c r="B6175" i="5"/>
  <c r="M6175" i="5" s="1"/>
  <c r="J6175" i="5"/>
  <c r="T6175" i="5"/>
  <c r="B6171" i="5"/>
  <c r="M6171" i="5" s="1"/>
  <c r="B6172" i="5"/>
  <c r="Q6172" i="5" s="1"/>
  <c r="B6173" i="5"/>
  <c r="Q6173" i="5" s="1"/>
  <c r="B6174" i="5"/>
  <c r="Q6174" i="5" s="1"/>
  <c r="J6171" i="5"/>
  <c r="J6172" i="5"/>
  <c r="J6173" i="5"/>
  <c r="K6173" i="5" s="1"/>
  <c r="L6173" i="5" s="1"/>
  <c r="J6174" i="5"/>
  <c r="K6174" i="5" s="1"/>
  <c r="T6171" i="5"/>
  <c r="T6172" i="5"/>
  <c r="T6173" i="5"/>
  <c r="T6174" i="5"/>
  <c r="B6168" i="5"/>
  <c r="Q6168" i="5" s="1"/>
  <c r="B6169" i="5"/>
  <c r="Q6169" i="5" s="1"/>
  <c r="B6170" i="5"/>
  <c r="Q6170" i="5" s="1"/>
  <c r="J6168" i="5"/>
  <c r="K6168" i="5" s="1"/>
  <c r="L6168" i="5" s="1"/>
  <c r="J6169" i="5"/>
  <c r="K6169" i="5" s="1"/>
  <c r="J6170" i="5"/>
  <c r="K6170" i="5" s="1"/>
  <c r="T6168" i="5"/>
  <c r="T6169" i="5"/>
  <c r="T6170" i="5"/>
  <c r="B6166" i="5"/>
  <c r="M6166" i="5" s="1"/>
  <c r="B6167" i="5"/>
  <c r="M6167" i="5" s="1"/>
  <c r="J6166" i="5"/>
  <c r="K6166" i="5" s="1"/>
  <c r="L6166" i="5" s="1"/>
  <c r="J6167" i="5"/>
  <c r="K6167" i="5" s="1"/>
  <c r="L6167" i="5" s="1"/>
  <c r="T6166" i="5"/>
  <c r="T6167" i="5"/>
  <c r="B6165" i="5"/>
  <c r="M6165" i="5" s="1"/>
  <c r="J6165" i="5"/>
  <c r="K6165" i="5" s="1"/>
  <c r="L6165" i="5" s="1"/>
  <c r="T6165" i="5"/>
  <c r="B6163" i="5"/>
  <c r="M6163" i="5" s="1"/>
  <c r="B6164" i="5"/>
  <c r="M6164" i="5" s="1"/>
  <c r="J6163" i="5"/>
  <c r="K6163" i="5" s="1"/>
  <c r="J6164" i="5"/>
  <c r="K6164" i="5" s="1"/>
  <c r="L6164" i="5" s="1"/>
  <c r="T6163" i="5"/>
  <c r="T6164" i="5"/>
  <c r="B6161" i="5"/>
  <c r="M6161" i="5" s="1"/>
  <c r="B6162" i="5"/>
  <c r="M6162" i="5" s="1"/>
  <c r="J6161" i="5"/>
  <c r="K6161" i="5" s="1"/>
  <c r="L6161" i="5" s="1"/>
  <c r="J6162" i="5"/>
  <c r="K6162" i="5" s="1"/>
  <c r="L6162" i="5" s="1"/>
  <c r="T6161" i="5"/>
  <c r="T6162" i="5"/>
  <c r="B6159" i="5"/>
  <c r="M6159" i="5" s="1"/>
  <c r="B6160" i="5"/>
  <c r="M6160" i="5" s="1"/>
  <c r="J6159" i="5"/>
  <c r="J6160" i="5"/>
  <c r="K6160" i="5" s="1"/>
  <c r="L6160" i="5" s="1"/>
  <c r="T6159" i="5"/>
  <c r="T6160" i="5"/>
  <c r="B6158" i="5"/>
  <c r="Q6158" i="5" s="1"/>
  <c r="J6158" i="5"/>
  <c r="K6158" i="5" s="1"/>
  <c r="T6158" i="5"/>
  <c r="B6157" i="5"/>
  <c r="Q6157" i="5" s="1"/>
  <c r="J6157" i="5"/>
  <c r="K6157" i="5" s="1"/>
  <c r="T6157" i="5"/>
  <c r="B6156" i="5"/>
  <c r="M6156" i="5" s="1"/>
  <c r="J6156" i="5"/>
  <c r="K6156" i="5" s="1"/>
  <c r="L6156" i="5" s="1"/>
  <c r="T6156" i="5"/>
  <c r="B6154" i="5"/>
  <c r="M6154" i="5" s="1"/>
  <c r="B6155" i="5"/>
  <c r="M6155" i="5" s="1"/>
  <c r="J6154" i="5"/>
  <c r="K6154" i="5" s="1"/>
  <c r="L6154" i="5" s="1"/>
  <c r="P6154" i="5" s="1"/>
  <c r="J6155" i="5"/>
  <c r="K6155" i="5" s="1"/>
  <c r="L6155" i="5" s="1"/>
  <c r="T6154" i="5"/>
  <c r="T6155" i="5"/>
  <c r="B6152" i="5"/>
  <c r="M6152" i="5" s="1"/>
  <c r="B6153" i="5"/>
  <c r="M6153" i="5" s="1"/>
  <c r="J6152" i="5"/>
  <c r="J6153" i="5"/>
  <c r="K6153" i="5" s="1"/>
  <c r="L6153" i="5" s="1"/>
  <c r="T6152" i="5"/>
  <c r="T6153" i="5"/>
  <c r="B6149" i="5"/>
  <c r="Q6149" i="5" s="1"/>
  <c r="B6150" i="5"/>
  <c r="Q6150" i="5" s="1"/>
  <c r="B6151" i="5"/>
  <c r="Q6151" i="5" s="1"/>
  <c r="J6149" i="5"/>
  <c r="K6149" i="5" s="1"/>
  <c r="L6149" i="5" s="1"/>
  <c r="J6150" i="5"/>
  <c r="K6150" i="5" s="1"/>
  <c r="L6150" i="5" s="1"/>
  <c r="J6151" i="5"/>
  <c r="K6151" i="5" s="1"/>
  <c r="L6151" i="5" s="1"/>
  <c r="T6149" i="5"/>
  <c r="T6150" i="5"/>
  <c r="T6151" i="5"/>
  <c r="B6147" i="5"/>
  <c r="M6147" i="5" s="1"/>
  <c r="B6148" i="5"/>
  <c r="M6148" i="5" s="1"/>
  <c r="J6147" i="5"/>
  <c r="J6148" i="5"/>
  <c r="K6148" i="5" s="1"/>
  <c r="L6148" i="5" s="1"/>
  <c r="T6147" i="5"/>
  <c r="T6148" i="5"/>
  <c r="B6145" i="5"/>
  <c r="Q6145" i="5" s="1"/>
  <c r="B6146" i="5"/>
  <c r="M6146" i="5" s="1"/>
  <c r="J6145" i="5"/>
  <c r="J6146" i="5"/>
  <c r="K6146" i="5" s="1"/>
  <c r="L6146" i="5" s="1"/>
  <c r="T6145" i="5"/>
  <c r="T6146" i="5"/>
  <c r="B6142" i="5"/>
  <c r="Q6142" i="5" s="1"/>
  <c r="B6143" i="5"/>
  <c r="Q6143" i="5" s="1"/>
  <c r="B6144" i="5"/>
  <c r="Q6144" i="5" s="1"/>
  <c r="J6142" i="5"/>
  <c r="K6142" i="5" s="1"/>
  <c r="L6142" i="5" s="1"/>
  <c r="J6143" i="5"/>
  <c r="K6143" i="5" s="1"/>
  <c r="J6144" i="5"/>
  <c r="T6142" i="5"/>
  <c r="T6143" i="5"/>
  <c r="T6144" i="5"/>
  <c r="B6141" i="5"/>
  <c r="Q6141" i="5" s="1"/>
  <c r="J6141" i="5"/>
  <c r="K6141" i="5" s="1"/>
  <c r="T6141" i="5"/>
  <c r="B6138" i="5"/>
  <c r="Q6138" i="5" s="1"/>
  <c r="B6139" i="5"/>
  <c r="Q6139" i="5" s="1"/>
  <c r="B6140" i="5"/>
  <c r="Q6140" i="5" s="1"/>
  <c r="J6138" i="5"/>
  <c r="K6138" i="5" s="1"/>
  <c r="J6139" i="5"/>
  <c r="K6139" i="5" s="1"/>
  <c r="J6140" i="5"/>
  <c r="K6140" i="5" s="1"/>
  <c r="T6138" i="5"/>
  <c r="T6139" i="5"/>
  <c r="T6140" i="5"/>
  <c r="B6136" i="5"/>
  <c r="Q6136" i="5" s="1"/>
  <c r="B6137" i="5"/>
  <c r="M6137" i="5" s="1"/>
  <c r="J6136" i="5"/>
  <c r="J6137" i="5"/>
  <c r="K6137" i="5" s="1"/>
  <c r="L6137" i="5" s="1"/>
  <c r="T6136" i="5"/>
  <c r="T6137" i="5"/>
  <c r="B6134" i="5"/>
  <c r="M6134" i="5" s="1"/>
  <c r="B6135" i="5"/>
  <c r="M6135" i="5" s="1"/>
  <c r="J6134" i="5"/>
  <c r="K6134" i="5" s="1"/>
  <c r="J6135" i="5"/>
  <c r="K6135" i="5" s="1"/>
  <c r="L6135" i="5" s="1"/>
  <c r="T6134" i="5"/>
  <c r="T6135" i="5"/>
  <c r="B6128" i="5"/>
  <c r="Q6128" i="5" s="1"/>
  <c r="B6129" i="5"/>
  <c r="Q6129" i="5" s="1"/>
  <c r="B6130" i="5"/>
  <c r="Q6130" i="5" s="1"/>
  <c r="B6131" i="5"/>
  <c r="Q6131" i="5" s="1"/>
  <c r="B6132" i="5"/>
  <c r="M6132" i="5" s="1"/>
  <c r="B6133" i="5"/>
  <c r="M6133" i="5" s="1"/>
  <c r="J6128" i="5"/>
  <c r="K6128" i="5" s="1"/>
  <c r="J6129" i="5"/>
  <c r="K6129" i="5" s="1"/>
  <c r="J6130" i="5"/>
  <c r="K6130" i="5" s="1"/>
  <c r="J6131" i="5"/>
  <c r="K6131" i="5" s="1"/>
  <c r="J6132" i="5"/>
  <c r="J6133" i="5"/>
  <c r="K6133" i="5" s="1"/>
  <c r="T6128" i="5"/>
  <c r="T6129" i="5"/>
  <c r="T6130" i="5"/>
  <c r="T6131" i="5"/>
  <c r="T6132" i="5"/>
  <c r="T6133" i="5"/>
  <c r="B6126" i="5"/>
  <c r="M6126" i="5" s="1"/>
  <c r="B6127" i="5"/>
  <c r="M6127" i="5" s="1"/>
  <c r="J6126" i="5"/>
  <c r="J6127" i="5"/>
  <c r="K6127" i="5" s="1"/>
  <c r="L6127" i="5" s="1"/>
  <c r="T6126" i="5"/>
  <c r="T6127" i="5"/>
  <c r="B6124" i="5"/>
  <c r="M6124" i="5" s="1"/>
  <c r="B6125" i="5"/>
  <c r="M6125" i="5" s="1"/>
  <c r="J6124" i="5"/>
  <c r="K6124" i="5" s="1"/>
  <c r="J6125" i="5"/>
  <c r="K6125" i="5" s="1"/>
  <c r="T6124" i="5"/>
  <c r="T6125" i="5"/>
  <c r="B6123" i="5"/>
  <c r="M6123" i="5" s="1"/>
  <c r="J6123" i="5"/>
  <c r="K6123" i="5" s="1"/>
  <c r="T6123" i="5"/>
  <c r="B6118" i="5"/>
  <c r="Q6118" i="5" s="1"/>
  <c r="B6119" i="5"/>
  <c r="Q6119" i="5" s="1"/>
  <c r="B6120" i="5"/>
  <c r="M6120" i="5" s="1"/>
  <c r="B6121" i="5"/>
  <c r="M6121" i="5" s="1"/>
  <c r="B6122" i="5"/>
  <c r="M6122" i="5" s="1"/>
  <c r="J6118" i="5"/>
  <c r="J6119" i="5"/>
  <c r="K6119" i="5" s="1"/>
  <c r="L6119" i="5" s="1"/>
  <c r="J6120" i="5"/>
  <c r="K6120" i="5" s="1"/>
  <c r="L6120" i="5" s="1"/>
  <c r="P6120" i="5" s="1"/>
  <c r="J6121" i="5"/>
  <c r="J6122" i="5"/>
  <c r="K6122" i="5" s="1"/>
  <c r="L6122" i="5" s="1"/>
  <c r="T6118" i="5"/>
  <c r="T6119" i="5"/>
  <c r="T6120" i="5"/>
  <c r="T6121" i="5"/>
  <c r="T6122" i="5"/>
  <c r="B6117" i="5"/>
  <c r="Q6117" i="5" s="1"/>
  <c r="J6117" i="5"/>
  <c r="K6117" i="5" s="1"/>
  <c r="T6117" i="5"/>
  <c r="B6116" i="5"/>
  <c r="Q6116" i="5" s="1"/>
  <c r="J6116" i="5"/>
  <c r="K6116" i="5" s="1"/>
  <c r="T6116" i="5"/>
  <c r="B6115" i="5"/>
  <c r="M6115" i="5" s="1"/>
  <c r="J6115" i="5"/>
  <c r="K6115" i="5" s="1"/>
  <c r="T6115" i="5"/>
  <c r="B6114" i="5"/>
  <c r="Q6114" i="5" s="1"/>
  <c r="J6114" i="5"/>
  <c r="K6114" i="5" s="1"/>
  <c r="T6114" i="5"/>
  <c r="B6113" i="5"/>
  <c r="M6113" i="5" s="1"/>
  <c r="J6113" i="5"/>
  <c r="K6113" i="5" s="1"/>
  <c r="L6113" i="5" s="1"/>
  <c r="T6113" i="5"/>
  <c r="B6111" i="5"/>
  <c r="M6111" i="5" s="1"/>
  <c r="B6112" i="5"/>
  <c r="M6112" i="5" s="1"/>
  <c r="J6111" i="5"/>
  <c r="J6112" i="5"/>
  <c r="K6112" i="5" s="1"/>
  <c r="L6112" i="5" s="1"/>
  <c r="T6111" i="5"/>
  <c r="T6112" i="5"/>
  <c r="B6109" i="5"/>
  <c r="Q6109" i="5" s="1"/>
  <c r="B6110" i="5"/>
  <c r="Q6110" i="5" s="1"/>
  <c r="J6109" i="5"/>
  <c r="J6110" i="5"/>
  <c r="K6110" i="5" s="1"/>
  <c r="L6110" i="5" s="1"/>
  <c r="T6109" i="5"/>
  <c r="T6110" i="5"/>
  <c r="B6107" i="5"/>
  <c r="Q6107" i="5" s="1"/>
  <c r="B6108" i="5"/>
  <c r="M6108" i="5" s="1"/>
  <c r="J6107" i="5"/>
  <c r="J6108" i="5"/>
  <c r="K6108" i="5" s="1"/>
  <c r="L6108" i="5" s="1"/>
  <c r="T6107" i="5"/>
  <c r="T6108" i="5"/>
  <c r="B6106" i="5"/>
  <c r="J6106" i="5"/>
  <c r="K6106" i="5" s="1"/>
  <c r="L6106" i="5" s="1"/>
  <c r="T6106" i="5"/>
  <c r="B6105" i="5"/>
  <c r="Q6105" i="5" s="1"/>
  <c r="J6105" i="5"/>
  <c r="K6105" i="5" s="1"/>
  <c r="T6105" i="5"/>
  <c r="B6099" i="5"/>
  <c r="M6099" i="5" s="1"/>
  <c r="B6100" i="5"/>
  <c r="Q6100" i="5" s="1"/>
  <c r="B6101" i="5"/>
  <c r="Q6101" i="5" s="1"/>
  <c r="B6102" i="5"/>
  <c r="Q6102" i="5" s="1"/>
  <c r="B6103" i="5"/>
  <c r="Q6103" i="5" s="1"/>
  <c r="B6104" i="5"/>
  <c r="M6104" i="5" s="1"/>
  <c r="J6099" i="5"/>
  <c r="K6099" i="5" s="1"/>
  <c r="J6100" i="5"/>
  <c r="K6100" i="5" s="1"/>
  <c r="L6100" i="5" s="1"/>
  <c r="P6100" i="5" s="1"/>
  <c r="J6101" i="5"/>
  <c r="K6101" i="5" s="1"/>
  <c r="J6102" i="5"/>
  <c r="K6102" i="5" s="1"/>
  <c r="L6102" i="5" s="1"/>
  <c r="J6103" i="5"/>
  <c r="K6103" i="5" s="1"/>
  <c r="J6104" i="5"/>
  <c r="K6104" i="5" s="1"/>
  <c r="T6099" i="5"/>
  <c r="T6100" i="5"/>
  <c r="T6101" i="5"/>
  <c r="T6102" i="5"/>
  <c r="T6103" i="5"/>
  <c r="T6104" i="5"/>
  <c r="B6098" i="5"/>
  <c r="M6098" i="5" s="1"/>
  <c r="J6098" i="5"/>
  <c r="K6098" i="5" s="1"/>
  <c r="L6098" i="5" s="1"/>
  <c r="T6098" i="5"/>
  <c r="B6096" i="5"/>
  <c r="B6097" i="5"/>
  <c r="M6097" i="5" s="1"/>
  <c r="J6096" i="5"/>
  <c r="K6096" i="5" s="1"/>
  <c r="L6096" i="5" s="1"/>
  <c r="J6097" i="5"/>
  <c r="K6097" i="5" s="1"/>
  <c r="L6097" i="5" s="1"/>
  <c r="T6096" i="5"/>
  <c r="T6097" i="5"/>
  <c r="B6094" i="5"/>
  <c r="Q6094" i="5" s="1"/>
  <c r="B6095" i="5"/>
  <c r="M6095" i="5" s="1"/>
  <c r="J6094" i="5"/>
  <c r="K6094" i="5" s="1"/>
  <c r="L6094" i="5" s="1"/>
  <c r="J6095" i="5"/>
  <c r="K6095" i="5" s="1"/>
  <c r="L6095" i="5" s="1"/>
  <c r="T6094" i="5"/>
  <c r="T6095" i="5"/>
  <c r="B6090" i="5"/>
  <c r="M6090" i="5" s="1"/>
  <c r="B6091" i="5"/>
  <c r="M6091" i="5" s="1"/>
  <c r="B6092" i="5"/>
  <c r="Q6092" i="5" s="1"/>
  <c r="B6093" i="5"/>
  <c r="Q6093" i="5" s="1"/>
  <c r="J6090" i="5"/>
  <c r="J6091" i="5"/>
  <c r="J6092" i="5"/>
  <c r="K6092" i="5" s="1"/>
  <c r="L6092" i="5" s="1"/>
  <c r="J6093" i="5"/>
  <c r="K6093" i="5" s="1"/>
  <c r="L6093" i="5" s="1"/>
  <c r="T6090" i="5"/>
  <c r="T6091" i="5"/>
  <c r="T6092" i="5"/>
  <c r="T6093" i="5"/>
  <c r="B6088" i="5"/>
  <c r="M6088" i="5" s="1"/>
  <c r="B6089" i="5"/>
  <c r="M6089" i="5" s="1"/>
  <c r="J6088" i="5"/>
  <c r="J6089" i="5"/>
  <c r="T6088" i="5"/>
  <c r="T6089" i="5"/>
  <c r="B6086" i="5"/>
  <c r="M6086" i="5" s="1"/>
  <c r="B6087" i="5"/>
  <c r="J6086" i="5"/>
  <c r="K6086" i="5" s="1"/>
  <c r="J6087" i="5"/>
  <c r="K6087" i="5" s="1"/>
  <c r="L6087" i="5" s="1"/>
  <c r="T6086" i="5"/>
  <c r="T6087" i="5"/>
  <c r="B6083" i="5"/>
  <c r="Q6083" i="5" s="1"/>
  <c r="B6084" i="5"/>
  <c r="Q6084" i="5" s="1"/>
  <c r="B6085" i="5"/>
  <c r="Q6085" i="5" s="1"/>
  <c r="J6083" i="5"/>
  <c r="K6083" i="5" s="1"/>
  <c r="L6083" i="5" s="1"/>
  <c r="J6084" i="5"/>
  <c r="K6084" i="5" s="1"/>
  <c r="L6084" i="5" s="1"/>
  <c r="J6085" i="5"/>
  <c r="K6085" i="5" s="1"/>
  <c r="T6083" i="5"/>
  <c r="T6084" i="5"/>
  <c r="T6085" i="5"/>
  <c r="B6081" i="5"/>
  <c r="M6081" i="5" s="1"/>
  <c r="B6082" i="5"/>
  <c r="M6082" i="5" s="1"/>
  <c r="J6081" i="5"/>
  <c r="J6082" i="5"/>
  <c r="K6082" i="5" s="1"/>
  <c r="T6081" i="5"/>
  <c r="T6082" i="5"/>
  <c r="B6080" i="5"/>
  <c r="M6080" i="5" s="1"/>
  <c r="J6080" i="5"/>
  <c r="K6080" i="5" s="1"/>
  <c r="T6080" i="5"/>
  <c r="B6079" i="5"/>
  <c r="J6079" i="5"/>
  <c r="K6079" i="5" s="1"/>
  <c r="T6079" i="5"/>
  <c r="B6078" i="5"/>
  <c r="M6078" i="5" s="1"/>
  <c r="J6078" i="5"/>
  <c r="K6078" i="5" s="1"/>
  <c r="T6078" i="5"/>
  <c r="B6077" i="5"/>
  <c r="Q6077" i="5" s="1"/>
  <c r="J6077" i="5"/>
  <c r="K6077" i="5" s="1"/>
  <c r="T6077" i="5"/>
  <c r="B6076" i="5"/>
  <c r="M6076" i="5" s="1"/>
  <c r="J6076" i="5"/>
  <c r="K6076" i="5" s="1"/>
  <c r="L6076" i="5" s="1"/>
  <c r="T6076" i="5"/>
  <c r="B6075" i="5"/>
  <c r="M6075" i="5" s="1"/>
  <c r="J6075" i="5"/>
  <c r="K6075" i="5" s="1"/>
  <c r="T6075" i="5"/>
  <c r="B6074" i="5"/>
  <c r="M6074" i="5" s="1"/>
  <c r="J6074" i="5"/>
  <c r="K6074" i="5" s="1"/>
  <c r="T6074" i="5"/>
  <c r="B6073" i="5"/>
  <c r="M6073" i="5" s="1"/>
  <c r="J6073" i="5"/>
  <c r="K6073" i="5" s="1"/>
  <c r="L6073" i="5" s="1"/>
  <c r="T6073" i="5"/>
  <c r="B6069" i="5"/>
  <c r="M6069" i="5" s="1"/>
  <c r="B6070" i="5"/>
  <c r="M6070" i="5" s="1"/>
  <c r="B6071" i="5"/>
  <c r="M6071" i="5" s="1"/>
  <c r="B6072" i="5"/>
  <c r="Q6072" i="5" s="1"/>
  <c r="J6069" i="5"/>
  <c r="J6070" i="5"/>
  <c r="J6071" i="5"/>
  <c r="K6071" i="5" s="1"/>
  <c r="L6071" i="5" s="1"/>
  <c r="J6072" i="5"/>
  <c r="K6072" i="5" s="1"/>
  <c r="L6072" i="5" s="1"/>
  <c r="T6069" i="5"/>
  <c r="T6070" i="5"/>
  <c r="T6071" i="5"/>
  <c r="T6072" i="5"/>
  <c r="B6068" i="5"/>
  <c r="J6068" i="5"/>
  <c r="K6068" i="5" s="1"/>
  <c r="L6068" i="5" s="1"/>
  <c r="T6068" i="5"/>
  <c r="B6066" i="5"/>
  <c r="M6066" i="5" s="1"/>
  <c r="B6067" i="5"/>
  <c r="M6067" i="5" s="1"/>
  <c r="J6066" i="5"/>
  <c r="J6067" i="5"/>
  <c r="K6067" i="5" s="1"/>
  <c r="L6067" i="5" s="1"/>
  <c r="T6066" i="5"/>
  <c r="T6067" i="5"/>
  <c r="B6065" i="5"/>
  <c r="M6065" i="5" s="1"/>
  <c r="J6065" i="5"/>
  <c r="K6065" i="5" s="1"/>
  <c r="L6065" i="5" s="1"/>
  <c r="T6065" i="5"/>
  <c r="B6064" i="5"/>
  <c r="M6064" i="5" s="1"/>
  <c r="J6064" i="5"/>
  <c r="K6064" i="5" s="1"/>
  <c r="T6064" i="5"/>
  <c r="B6063" i="5"/>
  <c r="Q6063" i="5" s="1"/>
  <c r="J6063" i="5"/>
  <c r="K6063" i="5" s="1"/>
  <c r="L6063" i="5" s="1"/>
  <c r="T6063" i="5"/>
  <c r="B6053" i="5"/>
  <c r="B6054" i="5"/>
  <c r="Q6054" i="5" s="1"/>
  <c r="B6055" i="5"/>
  <c r="M6055" i="5" s="1"/>
  <c r="B6056" i="5"/>
  <c r="Q6056" i="5" s="1"/>
  <c r="B6057" i="5"/>
  <c r="Q6057" i="5" s="1"/>
  <c r="B6058" i="5"/>
  <c r="Q6058" i="5" s="1"/>
  <c r="B6059" i="5"/>
  <c r="B6060" i="5"/>
  <c r="Q6060" i="5" s="1"/>
  <c r="B6061" i="5"/>
  <c r="Q6061" i="5" s="1"/>
  <c r="B6062" i="5"/>
  <c r="Q6062" i="5" s="1"/>
  <c r="J6053" i="5"/>
  <c r="J6054" i="5"/>
  <c r="J6055" i="5"/>
  <c r="K6055" i="5" s="1"/>
  <c r="L6055" i="5" s="1"/>
  <c r="J6056" i="5"/>
  <c r="K6056" i="5" s="1"/>
  <c r="J6057" i="5"/>
  <c r="K6057" i="5" s="1"/>
  <c r="L6057" i="5" s="1"/>
  <c r="J6058" i="5"/>
  <c r="K6058" i="5" s="1"/>
  <c r="L6058" i="5" s="1"/>
  <c r="J6059" i="5"/>
  <c r="J6060" i="5"/>
  <c r="J6061" i="5"/>
  <c r="K6061" i="5" s="1"/>
  <c r="L6061" i="5" s="1"/>
  <c r="J6062" i="5"/>
  <c r="K6062" i="5" s="1"/>
  <c r="T6053" i="5"/>
  <c r="T6054" i="5"/>
  <c r="T6055" i="5"/>
  <c r="T6056" i="5"/>
  <c r="T6057" i="5"/>
  <c r="T6058" i="5"/>
  <c r="T6059" i="5"/>
  <c r="T6060" i="5"/>
  <c r="T6061" i="5"/>
  <c r="T6062" i="5"/>
  <c r="B6047" i="5"/>
  <c r="M6047" i="5" s="1"/>
  <c r="B6048" i="5"/>
  <c r="Q6048" i="5" s="1"/>
  <c r="B6049" i="5"/>
  <c r="Q6049" i="5" s="1"/>
  <c r="B6050" i="5"/>
  <c r="Q6050" i="5" s="1"/>
  <c r="B6051" i="5"/>
  <c r="Q6051" i="5" s="1"/>
  <c r="B6052" i="5"/>
  <c r="Q6052" i="5" s="1"/>
  <c r="J6047" i="5"/>
  <c r="K6047" i="5" s="1"/>
  <c r="J6048" i="5"/>
  <c r="K6048" i="5" s="1"/>
  <c r="J6049" i="5"/>
  <c r="K6049" i="5" s="1"/>
  <c r="J6050" i="5"/>
  <c r="K6050" i="5" s="1"/>
  <c r="L6050" i="5" s="1"/>
  <c r="P6050" i="5" s="1"/>
  <c r="J6051" i="5"/>
  <c r="K6051" i="5" s="1"/>
  <c r="L6051" i="5" s="1"/>
  <c r="J6052" i="5"/>
  <c r="K6052" i="5" s="1"/>
  <c r="T6047" i="5"/>
  <c r="T6048" i="5"/>
  <c r="T6049" i="5"/>
  <c r="T6050" i="5"/>
  <c r="T6051" i="5"/>
  <c r="T6052" i="5"/>
  <c r="B6042" i="5"/>
  <c r="B6043" i="5"/>
  <c r="Q6043" i="5" s="1"/>
  <c r="B6044" i="5"/>
  <c r="Q6044" i="5" s="1"/>
  <c r="B6045" i="5"/>
  <c r="Q6045" i="5" s="1"/>
  <c r="B6046" i="5"/>
  <c r="M6046" i="5" s="1"/>
  <c r="J6042" i="5"/>
  <c r="J6043" i="5"/>
  <c r="K6043" i="5" s="1"/>
  <c r="L6043" i="5" s="1"/>
  <c r="J6044" i="5"/>
  <c r="K6044" i="5" s="1"/>
  <c r="L6044" i="5" s="1"/>
  <c r="P6044" i="5" s="1"/>
  <c r="J6045" i="5"/>
  <c r="J6046" i="5"/>
  <c r="T6042" i="5"/>
  <c r="T6043" i="5"/>
  <c r="T6044" i="5"/>
  <c r="T6045" i="5"/>
  <c r="T6046" i="5"/>
  <c r="B6040" i="5"/>
  <c r="M6040" i="5" s="1"/>
  <c r="B6041" i="5"/>
  <c r="M6041" i="5" s="1"/>
  <c r="J6040" i="5"/>
  <c r="K6040" i="5" s="1"/>
  <c r="J6041" i="5"/>
  <c r="K6041" i="5" s="1"/>
  <c r="L6041" i="5" s="1"/>
  <c r="T6040" i="5"/>
  <c r="T6041" i="5"/>
  <c r="B6038" i="5"/>
  <c r="M6038" i="5" s="1"/>
  <c r="B6039" i="5"/>
  <c r="M6039" i="5" s="1"/>
  <c r="J6038" i="5"/>
  <c r="J6039" i="5"/>
  <c r="K6039" i="5" s="1"/>
  <c r="T6038" i="5"/>
  <c r="T6039" i="5"/>
  <c r="B6036" i="5"/>
  <c r="M6036" i="5" s="1"/>
  <c r="B6037" i="5"/>
  <c r="J6036" i="5"/>
  <c r="J6037" i="5"/>
  <c r="K6037" i="5" s="1"/>
  <c r="L6037" i="5" s="1"/>
  <c r="T6036" i="5"/>
  <c r="T6037" i="5"/>
  <c r="B6035" i="5"/>
  <c r="M6035" i="5" s="1"/>
  <c r="J6035" i="5"/>
  <c r="K6035" i="5" s="1"/>
  <c r="L6035" i="5" s="1"/>
  <c r="T6035" i="5"/>
  <c r="B6033" i="5"/>
  <c r="M6033" i="5" s="1"/>
  <c r="B6034" i="5"/>
  <c r="M6034" i="5" s="1"/>
  <c r="J6033" i="5"/>
  <c r="J6034" i="5"/>
  <c r="K6034" i="5" s="1"/>
  <c r="L6034" i="5" s="1"/>
  <c r="T6033" i="5"/>
  <c r="T6034" i="5"/>
  <c r="B6030" i="5"/>
  <c r="Q6030" i="5" s="1"/>
  <c r="B6031" i="5"/>
  <c r="Q6031" i="5" s="1"/>
  <c r="B6032" i="5"/>
  <c r="Q6032" i="5" s="1"/>
  <c r="J6030" i="5"/>
  <c r="K6030" i="5" s="1"/>
  <c r="J6031" i="5"/>
  <c r="K6031" i="5" s="1"/>
  <c r="J6032" i="5"/>
  <c r="T6030" i="5"/>
  <c r="T6031" i="5"/>
  <c r="T6032" i="5"/>
  <c r="B6026" i="5"/>
  <c r="Q6026" i="5" s="1"/>
  <c r="B6027" i="5"/>
  <c r="Q6027" i="5" s="1"/>
  <c r="B6028" i="5"/>
  <c r="M6028" i="5" s="1"/>
  <c r="B6029" i="5"/>
  <c r="Q6029" i="5" s="1"/>
  <c r="J6026" i="5"/>
  <c r="J6027" i="5"/>
  <c r="J6028" i="5"/>
  <c r="K6028" i="5" s="1"/>
  <c r="L6028" i="5" s="1"/>
  <c r="J6029" i="5"/>
  <c r="K6029" i="5" s="1"/>
  <c r="L6029" i="5" s="1"/>
  <c r="T6026" i="5"/>
  <c r="T6027" i="5"/>
  <c r="T6028" i="5"/>
  <c r="T6029" i="5"/>
  <c r="B6024" i="5"/>
  <c r="M6024" i="5" s="1"/>
  <c r="B6025" i="5"/>
  <c r="M6025" i="5" s="1"/>
  <c r="J6024" i="5"/>
  <c r="J6025" i="5"/>
  <c r="T6024" i="5"/>
  <c r="T6025" i="5"/>
  <c r="B6022" i="5"/>
  <c r="Q6022" i="5" s="1"/>
  <c r="B6023" i="5"/>
  <c r="M6023" i="5" s="1"/>
  <c r="J6022" i="5"/>
  <c r="K6022" i="5" s="1"/>
  <c r="J6023" i="5"/>
  <c r="K6023" i="5" s="1"/>
  <c r="L6023" i="5" s="1"/>
  <c r="T6022" i="5"/>
  <c r="T6023" i="5"/>
  <c r="B6019" i="5"/>
  <c r="Q6019" i="5" s="1"/>
  <c r="B6020" i="5"/>
  <c r="Q6020" i="5" s="1"/>
  <c r="B6021" i="5"/>
  <c r="Q6021" i="5" s="1"/>
  <c r="J6019" i="5"/>
  <c r="K6019" i="5" s="1"/>
  <c r="L6019" i="5" s="1"/>
  <c r="J6020" i="5"/>
  <c r="K6020" i="5" s="1"/>
  <c r="J6021" i="5"/>
  <c r="K6021" i="5" s="1"/>
  <c r="T6019" i="5"/>
  <c r="T6020" i="5"/>
  <c r="T6021" i="5"/>
  <c r="B6017" i="5"/>
  <c r="Q6017" i="5" s="1"/>
  <c r="B6018" i="5"/>
  <c r="M6018" i="5" s="1"/>
  <c r="J6017" i="5"/>
  <c r="J6018" i="5"/>
  <c r="K6018" i="5" s="1"/>
  <c r="L6018" i="5" s="1"/>
  <c r="T6017" i="5"/>
  <c r="T6018" i="5"/>
  <c r="B6014" i="5"/>
  <c r="Q6014" i="5" s="1"/>
  <c r="B6015" i="5"/>
  <c r="Q6015" i="5" s="1"/>
  <c r="B6016" i="5"/>
  <c r="M6016" i="5" s="1"/>
  <c r="J6014" i="5"/>
  <c r="K6014" i="5" s="1"/>
  <c r="L6014" i="5" s="1"/>
  <c r="J6015" i="5"/>
  <c r="K6015" i="5" s="1"/>
  <c r="L6015" i="5" s="1"/>
  <c r="J6016" i="5"/>
  <c r="K6016" i="5" s="1"/>
  <c r="T6014" i="5"/>
  <c r="T6015" i="5"/>
  <c r="T6016" i="5"/>
  <c r="B6013" i="5"/>
  <c r="Q6013" i="5" s="1"/>
  <c r="J6013" i="5"/>
  <c r="K6013" i="5" s="1"/>
  <c r="T6013" i="5"/>
  <c r="B6011" i="5"/>
  <c r="M6011" i="5" s="1"/>
  <c r="B6012" i="5"/>
  <c r="M6012" i="5" s="1"/>
  <c r="J6011" i="5"/>
  <c r="J6012" i="5"/>
  <c r="T6011" i="5"/>
  <c r="T6012" i="5"/>
  <c r="B6009" i="5"/>
  <c r="M6009" i="5" s="1"/>
  <c r="B6010" i="5"/>
  <c r="M6010" i="5" s="1"/>
  <c r="J6009" i="5"/>
  <c r="K6009" i="5" s="1"/>
  <c r="L6009" i="5" s="1"/>
  <c r="J6010" i="5"/>
  <c r="K6010" i="5" s="1"/>
  <c r="T6009" i="5"/>
  <c r="T6010" i="5"/>
  <c r="B6008" i="5"/>
  <c r="Q6008" i="5" s="1"/>
  <c r="J6008" i="5"/>
  <c r="K6008" i="5" s="1"/>
  <c r="L6008" i="5" s="1"/>
  <c r="T6008" i="5"/>
  <c r="B6005" i="5"/>
  <c r="Q6005" i="5" s="1"/>
  <c r="B6006" i="5"/>
  <c r="Q6006" i="5" s="1"/>
  <c r="B6007" i="5"/>
  <c r="Q6007" i="5" s="1"/>
  <c r="J6005" i="5"/>
  <c r="K6005" i="5" s="1"/>
  <c r="L6005" i="5" s="1"/>
  <c r="J6006" i="5"/>
  <c r="K6006" i="5" s="1"/>
  <c r="J6007" i="5"/>
  <c r="T6005" i="5"/>
  <c r="T6006" i="5"/>
  <c r="T6007" i="5"/>
  <c r="B6001" i="5"/>
  <c r="Q6001" i="5" s="1"/>
  <c r="B6002" i="5"/>
  <c r="M6002" i="5" s="1"/>
  <c r="B6003" i="5"/>
  <c r="M6003" i="5" s="1"/>
  <c r="B6004" i="5"/>
  <c r="Q6004" i="5" s="1"/>
  <c r="J6001" i="5"/>
  <c r="J6002" i="5"/>
  <c r="J6003" i="5"/>
  <c r="K6003" i="5" s="1"/>
  <c r="L6003" i="5" s="1"/>
  <c r="J6004" i="5"/>
  <c r="K6004" i="5" s="1"/>
  <c r="L6004" i="5" s="1"/>
  <c r="T6001" i="5"/>
  <c r="T6002" i="5"/>
  <c r="T6003" i="5"/>
  <c r="T6004" i="5"/>
  <c r="B6000" i="5"/>
  <c r="J6000" i="5"/>
  <c r="K6000" i="5" s="1"/>
  <c r="T6000" i="5"/>
  <c r="B5998" i="5"/>
  <c r="M5998" i="5" s="1"/>
  <c r="B5999" i="5"/>
  <c r="J5998" i="5"/>
  <c r="K5998" i="5" s="1"/>
  <c r="J5999" i="5"/>
  <c r="K5999" i="5" s="1"/>
  <c r="L5999" i="5" s="1"/>
  <c r="T5998" i="5"/>
  <c r="T5999" i="5"/>
  <c r="B5995" i="5"/>
  <c r="Q5995" i="5" s="1"/>
  <c r="B5996" i="5"/>
  <c r="Q5996" i="5" s="1"/>
  <c r="B5997" i="5"/>
  <c r="Q5997" i="5" s="1"/>
  <c r="J5995" i="5"/>
  <c r="K5995" i="5" s="1"/>
  <c r="J5996" i="5"/>
  <c r="K5996" i="5" s="1"/>
  <c r="J5997" i="5"/>
  <c r="T5995" i="5"/>
  <c r="T5996" i="5"/>
  <c r="T5997" i="5"/>
  <c r="B5992" i="5"/>
  <c r="Q5992" i="5" s="1"/>
  <c r="B5993" i="5"/>
  <c r="Q5993" i="5" s="1"/>
  <c r="B5994" i="5"/>
  <c r="Q5994" i="5" s="1"/>
  <c r="J5992" i="5"/>
  <c r="K5992" i="5" s="1"/>
  <c r="L5992" i="5" s="1"/>
  <c r="J5993" i="5"/>
  <c r="K5993" i="5" s="1"/>
  <c r="J5994" i="5"/>
  <c r="K5994" i="5" s="1"/>
  <c r="T5992" i="5"/>
  <c r="T5993" i="5"/>
  <c r="T5994" i="5"/>
  <c r="B5991" i="5"/>
  <c r="M5991" i="5" s="1"/>
  <c r="J5991" i="5"/>
  <c r="K5991" i="5" s="1"/>
  <c r="L5991" i="5" s="1"/>
  <c r="T5991" i="5"/>
  <c r="B5989" i="5"/>
  <c r="M5989" i="5" s="1"/>
  <c r="B5990" i="5"/>
  <c r="Q5990" i="5" s="1"/>
  <c r="J5989" i="5"/>
  <c r="K5989" i="5" s="1"/>
  <c r="J5990" i="5"/>
  <c r="K5990" i="5" s="1"/>
  <c r="L5990" i="5" s="1"/>
  <c r="T5989" i="5"/>
  <c r="T5990" i="5"/>
  <c r="B5986" i="5"/>
  <c r="Q5986" i="5" s="1"/>
  <c r="B5987" i="5"/>
  <c r="Q5987" i="5" s="1"/>
  <c r="B5988" i="5"/>
  <c r="Q5988" i="5" s="1"/>
  <c r="J5986" i="5"/>
  <c r="K5986" i="5" s="1"/>
  <c r="L5986" i="5" s="1"/>
  <c r="J5987" i="5"/>
  <c r="K5987" i="5" s="1"/>
  <c r="L5987" i="5" s="1"/>
  <c r="J5988" i="5"/>
  <c r="K5988" i="5" s="1"/>
  <c r="L5988" i="5" s="1"/>
  <c r="T5986" i="5"/>
  <c r="T5987" i="5"/>
  <c r="T5988" i="5"/>
  <c r="B5983" i="5"/>
  <c r="Q5983" i="5" s="1"/>
  <c r="B5984" i="5"/>
  <c r="Q5984" i="5" s="1"/>
  <c r="B5985" i="5"/>
  <c r="Q5985" i="5" s="1"/>
  <c r="J5983" i="5"/>
  <c r="K5983" i="5" s="1"/>
  <c r="L5983" i="5" s="1"/>
  <c r="J5984" i="5"/>
  <c r="K5984" i="5" s="1"/>
  <c r="L5984" i="5" s="1"/>
  <c r="J5985" i="5"/>
  <c r="K5985" i="5" s="1"/>
  <c r="T5983" i="5"/>
  <c r="T5984" i="5"/>
  <c r="T5985" i="5"/>
  <c r="B5980" i="5"/>
  <c r="Q5980" i="5" s="1"/>
  <c r="B5981" i="5"/>
  <c r="Q5981" i="5" s="1"/>
  <c r="B5982" i="5"/>
  <c r="Q5982" i="5" s="1"/>
  <c r="J5980" i="5"/>
  <c r="K5980" i="5" s="1"/>
  <c r="L5980" i="5" s="1"/>
  <c r="J5981" i="5"/>
  <c r="K5981" i="5" s="1"/>
  <c r="L5981" i="5" s="1"/>
  <c r="J5982" i="5"/>
  <c r="K5982" i="5" s="1"/>
  <c r="T5980" i="5"/>
  <c r="T5981" i="5"/>
  <c r="T5982" i="5"/>
  <c r="B5976" i="5"/>
  <c r="Q5976" i="5" s="1"/>
  <c r="B5977" i="5"/>
  <c r="Q5977" i="5" s="1"/>
  <c r="B5978" i="5"/>
  <c r="Q5978" i="5" s="1"/>
  <c r="B5979" i="5"/>
  <c r="Q5979" i="5" s="1"/>
  <c r="J5976" i="5"/>
  <c r="K5976" i="5" s="1"/>
  <c r="L5976" i="5" s="1"/>
  <c r="J5977" i="5"/>
  <c r="K5977" i="5" s="1"/>
  <c r="J5978" i="5"/>
  <c r="K5978" i="5" s="1"/>
  <c r="J5979" i="5"/>
  <c r="T5976" i="5"/>
  <c r="T5977" i="5"/>
  <c r="T5978" i="5"/>
  <c r="T5979" i="5"/>
  <c r="B5974" i="5"/>
  <c r="M5974" i="5" s="1"/>
  <c r="B5975" i="5"/>
  <c r="M5975" i="5" s="1"/>
  <c r="J5974" i="5"/>
  <c r="J5975" i="5"/>
  <c r="K5975" i="5" s="1"/>
  <c r="L5975" i="5" s="1"/>
  <c r="T5974" i="5"/>
  <c r="T5975" i="5"/>
  <c r="B5972" i="5"/>
  <c r="M5972" i="5" s="1"/>
  <c r="B5973" i="5"/>
  <c r="J5972" i="5"/>
  <c r="J5973" i="5"/>
  <c r="K5973" i="5" s="1"/>
  <c r="L5973" i="5" s="1"/>
  <c r="T5972" i="5"/>
  <c r="T5973" i="5"/>
  <c r="B5970" i="5"/>
  <c r="M5970" i="5" s="1"/>
  <c r="B5971" i="5"/>
  <c r="Q5971" i="5" s="1"/>
  <c r="J5970" i="5"/>
  <c r="J5971" i="5"/>
  <c r="K5971" i="5" s="1"/>
  <c r="L5971" i="5" s="1"/>
  <c r="T5970" i="5"/>
  <c r="T5971" i="5"/>
  <c r="B5969" i="5"/>
  <c r="J5969" i="5"/>
  <c r="K5969" i="5" s="1"/>
  <c r="L5969" i="5" s="1"/>
  <c r="T5969" i="5"/>
  <c r="B5967" i="5"/>
  <c r="Q5967" i="5" s="1"/>
  <c r="B5968" i="5"/>
  <c r="Q5968" i="5" s="1"/>
  <c r="J5967" i="5"/>
  <c r="K5967" i="5" s="1"/>
  <c r="J5968" i="5"/>
  <c r="K5968" i="5" s="1"/>
  <c r="T5967" i="5"/>
  <c r="T5968" i="5"/>
  <c r="B5966" i="5"/>
  <c r="Q5966" i="5" s="1"/>
  <c r="J5966" i="5"/>
  <c r="K5966" i="5" s="1"/>
  <c r="T5966" i="5"/>
  <c r="B5963" i="5"/>
  <c r="Q5963" i="5" s="1"/>
  <c r="B5964" i="5"/>
  <c r="Q5964" i="5" s="1"/>
  <c r="B5965" i="5"/>
  <c r="Q5965" i="5" s="1"/>
  <c r="J5963" i="5"/>
  <c r="K5963" i="5" s="1"/>
  <c r="L5963" i="5" s="1"/>
  <c r="J5964" i="5"/>
  <c r="K5964" i="5" s="1"/>
  <c r="L5964" i="5" s="1"/>
  <c r="J5965" i="5"/>
  <c r="K5965" i="5" s="1"/>
  <c r="T5963" i="5"/>
  <c r="T5964" i="5"/>
  <c r="T5965" i="5"/>
  <c r="B5960" i="5"/>
  <c r="Q5960" i="5" s="1"/>
  <c r="B5961" i="5"/>
  <c r="Q5961" i="5" s="1"/>
  <c r="B5962" i="5"/>
  <c r="Q5962" i="5" s="1"/>
  <c r="J5960" i="5"/>
  <c r="K5960" i="5" s="1"/>
  <c r="L5960" i="5" s="1"/>
  <c r="J5961" i="5"/>
  <c r="K5961" i="5" s="1"/>
  <c r="J5962" i="5"/>
  <c r="K5962" i="5" s="1"/>
  <c r="T5960" i="5"/>
  <c r="T5961" i="5"/>
  <c r="T5962" i="5"/>
  <c r="B5957" i="5"/>
  <c r="Q5957" i="5" s="1"/>
  <c r="B5958" i="5"/>
  <c r="Q5958" i="5" s="1"/>
  <c r="B5959" i="5"/>
  <c r="Q5959" i="5" s="1"/>
  <c r="J5957" i="5"/>
  <c r="K5957" i="5" s="1"/>
  <c r="L5957" i="5" s="1"/>
  <c r="J5958" i="5"/>
  <c r="K5958" i="5" s="1"/>
  <c r="J5959" i="5"/>
  <c r="T5957" i="5"/>
  <c r="T5958" i="5"/>
  <c r="T5959" i="5"/>
  <c r="B5955" i="5"/>
  <c r="M5955" i="5" s="1"/>
  <c r="B5956" i="5"/>
  <c r="M5956" i="5" s="1"/>
  <c r="J5955" i="5"/>
  <c r="K5955" i="5" s="1"/>
  <c r="L5955" i="5" s="1"/>
  <c r="J5956" i="5"/>
  <c r="K5956" i="5" s="1"/>
  <c r="L5956" i="5" s="1"/>
  <c r="T5955" i="5"/>
  <c r="T5956" i="5"/>
  <c r="B5952" i="5"/>
  <c r="Q5952" i="5" s="1"/>
  <c r="B5953" i="5"/>
  <c r="Q5953" i="5" s="1"/>
  <c r="B5954" i="5"/>
  <c r="Q5954" i="5" s="1"/>
  <c r="J5952" i="5"/>
  <c r="K5952" i="5" s="1"/>
  <c r="L5952" i="5" s="1"/>
  <c r="J5953" i="5"/>
  <c r="K5953" i="5" s="1"/>
  <c r="L5953" i="5" s="1"/>
  <c r="J5954" i="5"/>
  <c r="K5954" i="5" s="1"/>
  <c r="T5952" i="5"/>
  <c r="T5953" i="5"/>
  <c r="T5954" i="5"/>
  <c r="B5947" i="5"/>
  <c r="M5947" i="5" s="1"/>
  <c r="B5948" i="5"/>
  <c r="B5949" i="5"/>
  <c r="B5950" i="5"/>
  <c r="M5950" i="5" s="1"/>
  <c r="B5951" i="5"/>
  <c r="M5951" i="5" s="1"/>
  <c r="J5947" i="5"/>
  <c r="J5948" i="5"/>
  <c r="K5948" i="5" s="1"/>
  <c r="L5948" i="5" s="1"/>
  <c r="J5949" i="5"/>
  <c r="J5950" i="5"/>
  <c r="K5950" i="5" s="1"/>
  <c r="J5951" i="5"/>
  <c r="K5951" i="5" s="1"/>
  <c r="L5951" i="5" s="1"/>
  <c r="T5947" i="5"/>
  <c r="T5948" i="5"/>
  <c r="T5949" i="5"/>
  <c r="T5950" i="5"/>
  <c r="T5951" i="5"/>
  <c r="B5946" i="5"/>
  <c r="Q5946" i="5" s="1"/>
  <c r="J5946" i="5"/>
  <c r="T5946" i="5"/>
  <c r="B5944" i="5"/>
  <c r="M5944" i="5" s="1"/>
  <c r="B5945" i="5"/>
  <c r="M5945" i="5" s="1"/>
  <c r="J5944" i="5"/>
  <c r="K5944" i="5" s="1"/>
  <c r="L5944" i="5" s="1"/>
  <c r="J5945" i="5"/>
  <c r="K5945" i="5" s="1"/>
  <c r="L5945" i="5" s="1"/>
  <c r="T5944" i="5"/>
  <c r="T5945" i="5"/>
  <c r="B5943" i="5"/>
  <c r="M5943" i="5" s="1"/>
  <c r="J5943" i="5"/>
  <c r="T5943" i="5"/>
  <c r="B5940" i="5"/>
  <c r="Q5940" i="5" s="1"/>
  <c r="B5941" i="5"/>
  <c r="Q5941" i="5" s="1"/>
  <c r="B5942" i="5"/>
  <c r="Q5942" i="5" s="1"/>
  <c r="J5940" i="5"/>
  <c r="K5940" i="5" s="1"/>
  <c r="L5940" i="5" s="1"/>
  <c r="J5941" i="5"/>
  <c r="K5941" i="5" s="1"/>
  <c r="J5942" i="5"/>
  <c r="K5942" i="5" s="1"/>
  <c r="T5940" i="5"/>
  <c r="T5941" i="5"/>
  <c r="T5942" i="5"/>
  <c r="B5936" i="5"/>
  <c r="M5936" i="5" s="1"/>
  <c r="B5937" i="5"/>
  <c r="M5937" i="5" s="1"/>
  <c r="B5938" i="5"/>
  <c r="M5938" i="5" s="1"/>
  <c r="B5939" i="5"/>
  <c r="M5939" i="5" s="1"/>
  <c r="J5936" i="5"/>
  <c r="J5937" i="5"/>
  <c r="J5938" i="5"/>
  <c r="K5938" i="5" s="1"/>
  <c r="L5938" i="5" s="1"/>
  <c r="J5939" i="5"/>
  <c r="K5939" i="5" s="1"/>
  <c r="L5939" i="5" s="1"/>
  <c r="T5936" i="5"/>
  <c r="T5937" i="5"/>
  <c r="T5938" i="5"/>
  <c r="T5939" i="5"/>
  <c r="B5935" i="5"/>
  <c r="J5935" i="5"/>
  <c r="K5935" i="5" s="1"/>
  <c r="L5935" i="5" s="1"/>
  <c r="T5935" i="5"/>
  <c r="B5934" i="5"/>
  <c r="Q5934" i="5" s="1"/>
  <c r="J5934" i="5"/>
  <c r="K5934" i="5" s="1"/>
  <c r="T5934" i="5"/>
  <c r="B5932" i="5"/>
  <c r="M5932" i="5" s="1"/>
  <c r="B5933" i="5"/>
  <c r="M5933" i="5" s="1"/>
  <c r="J5932" i="5"/>
  <c r="J5933" i="5"/>
  <c r="K5933" i="5" s="1"/>
  <c r="L5933" i="5" s="1"/>
  <c r="T5932" i="5"/>
  <c r="T5933" i="5"/>
  <c r="B5931" i="5"/>
  <c r="J5931" i="5"/>
  <c r="T5931" i="5"/>
  <c r="B5929" i="5"/>
  <c r="M5929" i="5" s="1"/>
  <c r="B5930" i="5"/>
  <c r="M5930" i="5" s="1"/>
  <c r="J5929" i="5"/>
  <c r="J5930" i="5"/>
  <c r="K5930" i="5" s="1"/>
  <c r="L5930" i="5" s="1"/>
  <c r="T5929" i="5"/>
  <c r="T5930" i="5"/>
  <c r="B5928" i="5"/>
  <c r="M5928" i="5" s="1"/>
  <c r="J5928" i="5"/>
  <c r="T5928" i="5"/>
  <c r="B5927" i="5"/>
  <c r="M5927" i="5" s="1"/>
  <c r="J5927" i="5"/>
  <c r="K5927" i="5" s="1"/>
  <c r="T5927" i="5"/>
  <c r="B5923" i="5"/>
  <c r="B5924" i="5"/>
  <c r="B5925" i="5"/>
  <c r="M5925" i="5" s="1"/>
  <c r="B5926" i="5"/>
  <c r="M5926" i="5" s="1"/>
  <c r="J5923" i="5"/>
  <c r="J5924" i="5"/>
  <c r="K5924" i="5" s="1"/>
  <c r="L5924" i="5" s="1"/>
  <c r="J5925" i="5"/>
  <c r="J5926" i="5"/>
  <c r="T5923" i="5"/>
  <c r="T5924" i="5"/>
  <c r="T5925" i="5"/>
  <c r="T5926" i="5"/>
  <c r="B5921" i="5"/>
  <c r="M5921" i="5" s="1"/>
  <c r="B5922" i="5"/>
  <c r="M5922" i="5" s="1"/>
  <c r="J5921" i="5"/>
  <c r="J5922" i="5"/>
  <c r="K5922" i="5" s="1"/>
  <c r="L5922" i="5" s="1"/>
  <c r="T5921" i="5"/>
  <c r="T5922" i="5"/>
  <c r="B5920" i="5"/>
  <c r="Q5920" i="5" s="1"/>
  <c r="J5920" i="5"/>
  <c r="T5920" i="5"/>
  <c r="B5918" i="5"/>
  <c r="M5918" i="5" s="1"/>
  <c r="B5919" i="5"/>
  <c r="M5919" i="5" s="1"/>
  <c r="J5918" i="5"/>
  <c r="J5919" i="5"/>
  <c r="K5919" i="5" s="1"/>
  <c r="L5919" i="5" s="1"/>
  <c r="T5918" i="5"/>
  <c r="T5919" i="5"/>
  <c r="B5916" i="5"/>
  <c r="M5916" i="5" s="1"/>
  <c r="B5917" i="5"/>
  <c r="M5917" i="5" s="1"/>
  <c r="J5916" i="5"/>
  <c r="K5916" i="5" s="1"/>
  <c r="J5917" i="5"/>
  <c r="K5917" i="5" s="1"/>
  <c r="L5917" i="5" s="1"/>
  <c r="T5916" i="5"/>
  <c r="T5917" i="5"/>
  <c r="B5915" i="5"/>
  <c r="M5915" i="5" s="1"/>
  <c r="J5915" i="5"/>
  <c r="K5915" i="5" s="1"/>
  <c r="L5915" i="5" s="1"/>
  <c r="T5915" i="5"/>
  <c r="B5914" i="5"/>
  <c r="M5914" i="5" s="1"/>
  <c r="J5914" i="5"/>
  <c r="T5914" i="5"/>
  <c r="B5912" i="5"/>
  <c r="M5912" i="5" s="1"/>
  <c r="B5913" i="5"/>
  <c r="M5913" i="5" s="1"/>
  <c r="J5912" i="5"/>
  <c r="J5913" i="5"/>
  <c r="K5913" i="5" s="1"/>
  <c r="L5913" i="5" s="1"/>
  <c r="T5912" i="5"/>
  <c r="T5913" i="5"/>
  <c r="B5910" i="5"/>
  <c r="Q5910" i="5" s="1"/>
  <c r="B5911" i="5"/>
  <c r="J5910" i="5"/>
  <c r="J5911" i="5"/>
  <c r="K5911" i="5" s="1"/>
  <c r="L5911" i="5" s="1"/>
  <c r="T5910" i="5"/>
  <c r="T5911" i="5"/>
  <c r="B5908" i="5"/>
  <c r="B5909" i="5"/>
  <c r="M5909" i="5" s="1"/>
  <c r="J5908" i="5"/>
  <c r="J5909" i="5"/>
  <c r="K5909" i="5" s="1"/>
  <c r="L5909" i="5" s="1"/>
  <c r="T5908" i="5"/>
  <c r="T5909" i="5"/>
  <c r="B5906" i="5"/>
  <c r="Q5906" i="5" s="1"/>
  <c r="B5907" i="5"/>
  <c r="M5907" i="5" s="1"/>
  <c r="J5906" i="5"/>
  <c r="J5907" i="5"/>
  <c r="K5907" i="5" s="1"/>
  <c r="L5907" i="5" s="1"/>
  <c r="T5906" i="5"/>
  <c r="T5907" i="5"/>
  <c r="B5905" i="5"/>
  <c r="J5905" i="5"/>
  <c r="T5905" i="5"/>
  <c r="B5902" i="5"/>
  <c r="Q5902" i="5" s="1"/>
  <c r="B5903" i="5"/>
  <c r="Q5903" i="5" s="1"/>
  <c r="B5904" i="5"/>
  <c r="Q5904" i="5" s="1"/>
  <c r="J5902" i="5"/>
  <c r="K5902" i="5" s="1"/>
  <c r="L5902" i="5" s="1"/>
  <c r="J5903" i="5"/>
  <c r="K5903" i="5" s="1"/>
  <c r="J5904" i="5"/>
  <c r="K5904" i="5" s="1"/>
  <c r="T5902" i="5"/>
  <c r="T5903" i="5"/>
  <c r="T5904" i="5"/>
  <c r="B5900" i="5"/>
  <c r="M5900" i="5" s="1"/>
  <c r="B5901" i="5"/>
  <c r="Q5901" i="5" s="1"/>
  <c r="J5900" i="5"/>
  <c r="K5900" i="5" s="1"/>
  <c r="L5900" i="5" s="1"/>
  <c r="J5901" i="5"/>
  <c r="K5901" i="5" s="1"/>
  <c r="T5900" i="5"/>
  <c r="T5901" i="5"/>
  <c r="B5898" i="5"/>
  <c r="M5898" i="5" s="1"/>
  <c r="B5899" i="5"/>
  <c r="J5898" i="5"/>
  <c r="K5898" i="5" s="1"/>
  <c r="L5898" i="5" s="1"/>
  <c r="P5898" i="5" s="1"/>
  <c r="J5899" i="5"/>
  <c r="K5899" i="5" s="1"/>
  <c r="L5899" i="5" s="1"/>
  <c r="T5898" i="5"/>
  <c r="T5899" i="5"/>
  <c r="B5896" i="5"/>
  <c r="B5897" i="5"/>
  <c r="M5897" i="5" s="1"/>
  <c r="J5896" i="5"/>
  <c r="J5897" i="5"/>
  <c r="K5897" i="5" s="1"/>
  <c r="L5897" i="5" s="1"/>
  <c r="T5896" i="5"/>
  <c r="T5897" i="5"/>
  <c r="B5894" i="5"/>
  <c r="M5894" i="5" s="1"/>
  <c r="B5895" i="5"/>
  <c r="Q5895" i="5" s="1"/>
  <c r="J5894" i="5"/>
  <c r="K5894" i="5" s="1"/>
  <c r="J5895" i="5"/>
  <c r="K5895" i="5" s="1"/>
  <c r="L5895" i="5" s="1"/>
  <c r="T5894" i="5"/>
  <c r="T5895" i="5"/>
  <c r="B5892" i="5"/>
  <c r="Q5892" i="5" s="1"/>
  <c r="B5893" i="5"/>
  <c r="J5892" i="5"/>
  <c r="K5892" i="5" s="1"/>
  <c r="J5893" i="5"/>
  <c r="K5893" i="5" s="1"/>
  <c r="L5893" i="5" s="1"/>
  <c r="T5892" i="5"/>
  <c r="T5893" i="5"/>
  <c r="B5888" i="5"/>
  <c r="M5888" i="5" s="1"/>
  <c r="B5889" i="5"/>
  <c r="Q5889" i="5" s="1"/>
  <c r="B5890" i="5"/>
  <c r="M5890" i="5" s="1"/>
  <c r="B5891" i="5"/>
  <c r="Q5891" i="5" s="1"/>
  <c r="J5888" i="5"/>
  <c r="J5889" i="5"/>
  <c r="J5890" i="5"/>
  <c r="K5890" i="5" s="1"/>
  <c r="L5890" i="5" s="1"/>
  <c r="J5891" i="5"/>
  <c r="K5891" i="5" s="1"/>
  <c r="L5891" i="5" s="1"/>
  <c r="T5888" i="5"/>
  <c r="T5889" i="5"/>
  <c r="T5890" i="5"/>
  <c r="T5891" i="5"/>
  <c r="B5886" i="5"/>
  <c r="Q5886" i="5" s="1"/>
  <c r="B5887" i="5"/>
  <c r="M5887" i="5" s="1"/>
  <c r="J5886" i="5"/>
  <c r="J5887" i="5"/>
  <c r="K5887" i="5" s="1"/>
  <c r="L5887" i="5" s="1"/>
  <c r="T5886" i="5"/>
  <c r="T5887" i="5"/>
  <c r="B5883" i="5"/>
  <c r="Q5883" i="5" s="1"/>
  <c r="B5884" i="5"/>
  <c r="Q5884" i="5" s="1"/>
  <c r="B5885" i="5"/>
  <c r="Q5885" i="5" s="1"/>
  <c r="J5883" i="5"/>
  <c r="K5883" i="5" s="1"/>
  <c r="L5883" i="5" s="1"/>
  <c r="J5884" i="5"/>
  <c r="K5884" i="5" s="1"/>
  <c r="L5884" i="5" s="1"/>
  <c r="J5885" i="5"/>
  <c r="K5885" i="5" s="1"/>
  <c r="T5883" i="5"/>
  <c r="T5884" i="5"/>
  <c r="T5885" i="5"/>
  <c r="B5881" i="5"/>
  <c r="M5881" i="5" s="1"/>
  <c r="B5882" i="5"/>
  <c r="M5882" i="5" s="1"/>
  <c r="J5881" i="5"/>
  <c r="K5881" i="5" s="1"/>
  <c r="J5882" i="5"/>
  <c r="K5882" i="5" s="1"/>
  <c r="L5882" i="5" s="1"/>
  <c r="T5881" i="5"/>
  <c r="T5882" i="5"/>
  <c r="B5880" i="5"/>
  <c r="M5880" i="5" s="1"/>
  <c r="J5880" i="5"/>
  <c r="K5880" i="5" s="1"/>
  <c r="T5880" i="5"/>
  <c r="B5878" i="5"/>
  <c r="Q5878" i="5" s="1"/>
  <c r="B5879" i="5"/>
  <c r="M5879" i="5" s="1"/>
  <c r="J5878" i="5"/>
  <c r="J5879" i="5"/>
  <c r="K5879" i="5" s="1"/>
  <c r="L5879" i="5" s="1"/>
  <c r="T5878" i="5"/>
  <c r="T5879" i="5"/>
  <c r="B5876" i="5"/>
  <c r="M5876" i="5" s="1"/>
  <c r="B5877" i="5"/>
  <c r="M5877" i="5" s="1"/>
  <c r="J5876" i="5"/>
  <c r="K5876" i="5" s="1"/>
  <c r="J5877" i="5"/>
  <c r="K5877" i="5" s="1"/>
  <c r="T5876" i="5"/>
  <c r="T5877" i="5"/>
  <c r="B5875" i="5"/>
  <c r="M5875" i="5" s="1"/>
  <c r="J5875" i="5"/>
  <c r="T5875" i="5"/>
  <c r="B5873" i="5"/>
  <c r="M5873" i="5" s="1"/>
  <c r="B5874" i="5"/>
  <c r="M5874" i="5" s="1"/>
  <c r="J5873" i="5"/>
  <c r="J5874" i="5"/>
  <c r="K5874" i="5" s="1"/>
  <c r="L5874" i="5" s="1"/>
  <c r="T5873" i="5"/>
  <c r="T5874" i="5"/>
  <c r="B5871" i="5"/>
  <c r="M5871" i="5" s="1"/>
  <c r="B5872" i="5"/>
  <c r="M5872" i="5" s="1"/>
  <c r="J5871" i="5"/>
  <c r="J5872" i="5"/>
  <c r="K5872" i="5" s="1"/>
  <c r="L5872" i="5" s="1"/>
  <c r="T5871" i="5"/>
  <c r="T5872" i="5"/>
  <c r="B5870" i="5"/>
  <c r="Q5870" i="5" s="1"/>
  <c r="J5870" i="5"/>
  <c r="K5870" i="5" s="1"/>
  <c r="T5870" i="5"/>
  <c r="B5867" i="5"/>
  <c r="Q5867" i="5" s="1"/>
  <c r="B5868" i="5"/>
  <c r="Q5868" i="5" s="1"/>
  <c r="B5869" i="5"/>
  <c r="Q5869" i="5" s="1"/>
  <c r="J5867" i="5"/>
  <c r="K5867" i="5" s="1"/>
  <c r="J5868" i="5"/>
  <c r="K5868" i="5" s="1"/>
  <c r="J5869" i="5"/>
  <c r="K5869" i="5" s="1"/>
  <c r="T5867" i="5"/>
  <c r="T5868" i="5"/>
  <c r="T5869" i="5"/>
  <c r="B5866" i="5"/>
  <c r="Q5866" i="5" s="1"/>
  <c r="J5866" i="5"/>
  <c r="K5866" i="5" s="1"/>
  <c r="T5866" i="5"/>
  <c r="B5865" i="5"/>
  <c r="M5865" i="5" s="1"/>
  <c r="J5865" i="5"/>
  <c r="K5865" i="5" s="1"/>
  <c r="L5865" i="5" s="1"/>
  <c r="T5865" i="5"/>
  <c r="B5862" i="5"/>
  <c r="Q5862" i="5" s="1"/>
  <c r="B5863" i="5"/>
  <c r="Q5863" i="5" s="1"/>
  <c r="B5864" i="5"/>
  <c r="Q5864" i="5" s="1"/>
  <c r="J5862" i="5"/>
  <c r="K5862" i="5" s="1"/>
  <c r="L5862" i="5" s="1"/>
  <c r="J5863" i="5"/>
  <c r="K5863" i="5" s="1"/>
  <c r="L5863" i="5" s="1"/>
  <c r="J5864" i="5"/>
  <c r="K5864" i="5" s="1"/>
  <c r="L5864" i="5" s="1"/>
  <c r="T5862" i="5"/>
  <c r="T5863" i="5"/>
  <c r="T5864" i="5"/>
  <c r="B5860" i="5"/>
  <c r="M5860" i="5" s="1"/>
  <c r="B5861" i="5"/>
  <c r="M5861" i="5" s="1"/>
  <c r="J5860" i="5"/>
  <c r="J5861" i="5"/>
  <c r="K5861" i="5" s="1"/>
  <c r="T5860" i="5"/>
  <c r="T5861" i="5"/>
  <c r="B5859" i="5"/>
  <c r="M5859" i="5" s="1"/>
  <c r="J5859" i="5"/>
  <c r="K5859" i="5" s="1"/>
  <c r="T5859" i="5"/>
  <c r="B5857" i="5"/>
  <c r="Q5857" i="5" s="1"/>
  <c r="B5858" i="5"/>
  <c r="M5858" i="5" s="1"/>
  <c r="J5857" i="5"/>
  <c r="K5857" i="5" s="1"/>
  <c r="J5858" i="5"/>
  <c r="K5858" i="5" s="1"/>
  <c r="L5858" i="5" s="1"/>
  <c r="T5857" i="5"/>
  <c r="T5858" i="5"/>
  <c r="B5855" i="5"/>
  <c r="M5855" i="5" s="1"/>
  <c r="B5856" i="5"/>
  <c r="Q5856" i="5" s="1"/>
  <c r="J5855" i="5"/>
  <c r="K5855" i="5" s="1"/>
  <c r="L5855" i="5" s="1"/>
  <c r="J5856" i="5"/>
  <c r="T5855" i="5"/>
  <c r="T5856" i="5"/>
  <c r="B5854" i="5"/>
  <c r="M5854" i="5" s="1"/>
  <c r="J5854" i="5"/>
  <c r="K5854" i="5" s="1"/>
  <c r="T5854" i="5"/>
  <c r="B5852" i="5"/>
  <c r="M5852" i="5" s="1"/>
  <c r="B5853" i="5"/>
  <c r="M5853" i="5" s="1"/>
  <c r="J5852" i="5"/>
  <c r="J5853" i="5"/>
  <c r="K5853" i="5" s="1"/>
  <c r="L5853" i="5" s="1"/>
  <c r="T5852" i="5"/>
  <c r="T5853" i="5"/>
  <c r="B5850" i="5"/>
  <c r="M5850" i="5" s="1"/>
  <c r="B5851" i="5"/>
  <c r="J5850" i="5"/>
  <c r="K5850" i="5" s="1"/>
  <c r="J5851" i="5"/>
  <c r="K5851" i="5" s="1"/>
  <c r="L5851" i="5" s="1"/>
  <c r="T5850" i="5"/>
  <c r="T5851" i="5"/>
  <c r="B5847" i="5"/>
  <c r="Q5847" i="5" s="1"/>
  <c r="B5848" i="5"/>
  <c r="Q5848" i="5" s="1"/>
  <c r="B5849" i="5"/>
  <c r="M5849" i="5" s="1"/>
  <c r="J5847" i="5"/>
  <c r="K5847" i="5" s="1"/>
  <c r="L5847" i="5" s="1"/>
  <c r="J5848" i="5"/>
  <c r="K5848" i="5" s="1"/>
  <c r="L5848" i="5" s="1"/>
  <c r="J5849" i="5"/>
  <c r="K5849" i="5" s="1"/>
  <c r="L5849" i="5" s="1"/>
  <c r="T5847" i="5"/>
  <c r="T5848" i="5"/>
  <c r="T5849" i="5"/>
  <c r="B5845" i="5"/>
  <c r="M5845" i="5" s="1"/>
  <c r="B5846" i="5"/>
  <c r="M5846" i="5" s="1"/>
  <c r="J5845" i="5"/>
  <c r="K5845" i="5" s="1"/>
  <c r="L5845" i="5" s="1"/>
  <c r="J5846" i="5"/>
  <c r="K5846" i="5" s="1"/>
  <c r="L5846" i="5" s="1"/>
  <c r="T5845" i="5"/>
  <c r="T5846" i="5"/>
  <c r="B5844" i="5"/>
  <c r="M5844" i="5" s="1"/>
  <c r="J5844" i="5"/>
  <c r="T5844" i="5"/>
  <c r="B5841" i="5"/>
  <c r="Q5841" i="5" s="1"/>
  <c r="B5842" i="5"/>
  <c r="Q5842" i="5" s="1"/>
  <c r="B5843" i="5"/>
  <c r="Q5843" i="5" s="1"/>
  <c r="J5841" i="5"/>
  <c r="K5841" i="5" s="1"/>
  <c r="J5842" i="5"/>
  <c r="K5842" i="5" s="1"/>
  <c r="J5843" i="5"/>
  <c r="K5843" i="5" s="1"/>
  <c r="T5841" i="5"/>
  <c r="T5842" i="5"/>
  <c r="T5843" i="5"/>
  <c r="B5837" i="5"/>
  <c r="M5837" i="5" s="1"/>
  <c r="B5838" i="5"/>
  <c r="Q5838" i="5" s="1"/>
  <c r="B5839" i="5"/>
  <c r="M5839" i="5" s="1"/>
  <c r="B5840" i="5"/>
  <c r="J5837" i="5"/>
  <c r="K5837" i="5" s="1"/>
  <c r="L5837" i="5" s="1"/>
  <c r="J5838" i="5"/>
  <c r="J5839" i="5"/>
  <c r="K5839" i="5" s="1"/>
  <c r="J5840" i="5"/>
  <c r="K5840" i="5" s="1"/>
  <c r="T5837" i="5"/>
  <c r="T5838" i="5"/>
  <c r="T5839" i="5"/>
  <c r="T5840" i="5"/>
  <c r="B5835" i="5"/>
  <c r="M5835" i="5" s="1"/>
  <c r="B5836" i="5"/>
  <c r="Q5836" i="5" s="1"/>
  <c r="J5835" i="5"/>
  <c r="K5835" i="5" s="1"/>
  <c r="J5836" i="5"/>
  <c r="K5836" i="5" s="1"/>
  <c r="L5836" i="5" s="1"/>
  <c r="T5835" i="5"/>
  <c r="T5836" i="5"/>
  <c r="B5832" i="5"/>
  <c r="Q5832" i="5" s="1"/>
  <c r="B5833" i="5"/>
  <c r="Q5833" i="5" s="1"/>
  <c r="B5834" i="5"/>
  <c r="Q5834" i="5" s="1"/>
  <c r="J5832" i="5"/>
  <c r="K5832" i="5" s="1"/>
  <c r="L5832" i="5" s="1"/>
  <c r="J5833" i="5"/>
  <c r="K5833" i="5" s="1"/>
  <c r="L5833" i="5" s="1"/>
  <c r="J5834" i="5"/>
  <c r="K5834" i="5" s="1"/>
  <c r="T5832" i="5"/>
  <c r="T5833" i="5"/>
  <c r="T5834" i="5"/>
  <c r="B5831" i="5"/>
  <c r="M5831" i="5" s="1"/>
  <c r="J5831" i="5"/>
  <c r="K5831" i="5" s="1"/>
  <c r="T5831" i="5"/>
  <c r="B5826" i="5"/>
  <c r="Q5826" i="5" s="1"/>
  <c r="B5827" i="5"/>
  <c r="M5827" i="5" s="1"/>
  <c r="B5828" i="5"/>
  <c r="M5828" i="5" s="1"/>
  <c r="B5829" i="5"/>
  <c r="M5829" i="5" s="1"/>
  <c r="B5830" i="5"/>
  <c r="J5826" i="5"/>
  <c r="J5827" i="5"/>
  <c r="K5827" i="5" s="1"/>
  <c r="L5827" i="5" s="1"/>
  <c r="J5828" i="5"/>
  <c r="K5828" i="5" s="1"/>
  <c r="J5829" i="5"/>
  <c r="K5829" i="5" s="1"/>
  <c r="J5830" i="5"/>
  <c r="T5826" i="5"/>
  <c r="T5827" i="5"/>
  <c r="T5828" i="5"/>
  <c r="T5829" i="5"/>
  <c r="T5830" i="5"/>
  <c r="B5824" i="5"/>
  <c r="M5824" i="5" s="1"/>
  <c r="B5825" i="5"/>
  <c r="M5825" i="5" s="1"/>
  <c r="J5824" i="5"/>
  <c r="K5824" i="5" s="1"/>
  <c r="J5825" i="5"/>
  <c r="K5825" i="5" s="1"/>
  <c r="L5825" i="5" s="1"/>
  <c r="T5824" i="5"/>
  <c r="T5825" i="5"/>
  <c r="B5821" i="5"/>
  <c r="Q5821" i="5" s="1"/>
  <c r="B5822" i="5"/>
  <c r="Q5822" i="5" s="1"/>
  <c r="B5823" i="5"/>
  <c r="Q5823" i="5" s="1"/>
  <c r="J5821" i="5"/>
  <c r="K5821" i="5" s="1"/>
  <c r="L5821" i="5" s="1"/>
  <c r="J5822" i="5"/>
  <c r="K5822" i="5" s="1"/>
  <c r="L5822" i="5" s="1"/>
  <c r="J5823" i="5"/>
  <c r="K5823" i="5" s="1"/>
  <c r="T5821" i="5"/>
  <c r="T5822" i="5"/>
  <c r="T5823" i="5"/>
  <c r="B5816" i="5"/>
  <c r="B5817" i="5"/>
  <c r="Q5817" i="5" s="1"/>
  <c r="B5818" i="5"/>
  <c r="M5818" i="5" s="1"/>
  <c r="B5819" i="5"/>
  <c r="M5819" i="5" s="1"/>
  <c r="B5820" i="5"/>
  <c r="M5820" i="5" s="1"/>
  <c r="J5816" i="5"/>
  <c r="J5817" i="5"/>
  <c r="K5817" i="5" s="1"/>
  <c r="L5817" i="5" s="1"/>
  <c r="J5818" i="5"/>
  <c r="K5818" i="5" s="1"/>
  <c r="J5819" i="5"/>
  <c r="J5820" i="5"/>
  <c r="K5820" i="5" s="1"/>
  <c r="L5820" i="5" s="1"/>
  <c r="T5816" i="5"/>
  <c r="T5817" i="5"/>
  <c r="T5818" i="5"/>
  <c r="T5819" i="5"/>
  <c r="T5820" i="5"/>
  <c r="B5812" i="5"/>
  <c r="Q5812" i="5" s="1"/>
  <c r="B5813" i="5"/>
  <c r="Q5813" i="5" s="1"/>
  <c r="B5814" i="5"/>
  <c r="M5814" i="5" s="1"/>
  <c r="B5815" i="5"/>
  <c r="J5812" i="5"/>
  <c r="J5813" i="5"/>
  <c r="K5813" i="5" s="1"/>
  <c r="L5813" i="5" s="1"/>
  <c r="J5814" i="5"/>
  <c r="J5815" i="5"/>
  <c r="K5815" i="5" s="1"/>
  <c r="L5815" i="5" s="1"/>
  <c r="T5812" i="5"/>
  <c r="T5813" i="5"/>
  <c r="T5814" i="5"/>
  <c r="T5815" i="5"/>
  <c r="B5810" i="5"/>
  <c r="M5810" i="5" s="1"/>
  <c r="B5811" i="5"/>
  <c r="M5811" i="5" s="1"/>
  <c r="J5810" i="5"/>
  <c r="K5810" i="5" s="1"/>
  <c r="L5810" i="5" s="1"/>
  <c r="J5811" i="5"/>
  <c r="K5811" i="5" s="1"/>
  <c r="L5811" i="5" s="1"/>
  <c r="T5810" i="5"/>
  <c r="T5811" i="5"/>
  <c r="B5808" i="5"/>
  <c r="B5809" i="5"/>
  <c r="M5809" i="5" s="1"/>
  <c r="J5808" i="5"/>
  <c r="J5809" i="5"/>
  <c r="K5809" i="5" s="1"/>
  <c r="L5809" i="5" s="1"/>
  <c r="T5808" i="5"/>
  <c r="T5809" i="5"/>
  <c r="B5807" i="5"/>
  <c r="M5807" i="5" s="1"/>
  <c r="J5807" i="5"/>
  <c r="T5807" i="5"/>
  <c r="B5805" i="5"/>
  <c r="M5805" i="5" s="1"/>
  <c r="B5806" i="5"/>
  <c r="Q5806" i="5" s="1"/>
  <c r="J5805" i="5"/>
  <c r="K5805" i="5" s="1"/>
  <c r="L5805" i="5" s="1"/>
  <c r="J5806" i="5"/>
  <c r="K5806" i="5" s="1"/>
  <c r="L5806" i="5" s="1"/>
  <c r="T5805" i="5"/>
  <c r="T5806" i="5"/>
  <c r="B5804" i="5"/>
  <c r="Q5804" i="5" s="1"/>
  <c r="J5804" i="5"/>
  <c r="T5804" i="5"/>
  <c r="B5803" i="5"/>
  <c r="Q5803" i="5" s="1"/>
  <c r="J5803" i="5"/>
  <c r="K5803" i="5" s="1"/>
  <c r="T5803" i="5"/>
  <c r="B5802" i="5"/>
  <c r="Q5802" i="5" s="1"/>
  <c r="J5802" i="5"/>
  <c r="K5802" i="5" s="1"/>
  <c r="T5802" i="5"/>
  <c r="B5801" i="5"/>
  <c r="J5801" i="5"/>
  <c r="K5801" i="5" s="1"/>
  <c r="L5801" i="5" s="1"/>
  <c r="T5801" i="5"/>
  <c r="B5799" i="5"/>
  <c r="M5799" i="5" s="1"/>
  <c r="B5800" i="5"/>
  <c r="J5799" i="5"/>
  <c r="J5800" i="5"/>
  <c r="K5800" i="5" s="1"/>
  <c r="T5799" i="5"/>
  <c r="T5800" i="5"/>
  <c r="B5797" i="5"/>
  <c r="M5797" i="5" s="1"/>
  <c r="B5798" i="5"/>
  <c r="M5798" i="5" s="1"/>
  <c r="J5797" i="5"/>
  <c r="J5798" i="5"/>
  <c r="K5798" i="5" s="1"/>
  <c r="T5797" i="5"/>
  <c r="T5798" i="5"/>
  <c r="B5796" i="5"/>
  <c r="M5796" i="5" s="1"/>
  <c r="J5796" i="5"/>
  <c r="T5796" i="5"/>
  <c r="B5795" i="5"/>
  <c r="Q5795" i="5" s="1"/>
  <c r="J5795" i="5"/>
  <c r="K5795" i="5" s="1"/>
  <c r="L5795" i="5" s="1"/>
  <c r="T5795" i="5"/>
  <c r="B5794" i="5"/>
  <c r="Q5794" i="5" s="1"/>
  <c r="J5794" i="5"/>
  <c r="K5794" i="5" s="1"/>
  <c r="T5794" i="5"/>
  <c r="B5793" i="5"/>
  <c r="Q5793" i="5" s="1"/>
  <c r="J5793" i="5"/>
  <c r="K5793" i="5" s="1"/>
  <c r="L5793" i="5" s="1"/>
  <c r="T5793" i="5"/>
  <c r="B5792" i="5"/>
  <c r="Q5792" i="5" s="1"/>
  <c r="J5792" i="5"/>
  <c r="K5792" i="5" s="1"/>
  <c r="T5792" i="5"/>
  <c r="B5791" i="5"/>
  <c r="Q5791" i="5" s="1"/>
  <c r="J5791" i="5"/>
  <c r="K5791" i="5" s="1"/>
  <c r="L5791" i="5" s="1"/>
  <c r="T5791" i="5"/>
  <c r="B5789" i="5"/>
  <c r="M5789" i="5" s="1"/>
  <c r="B5790" i="5"/>
  <c r="M5790" i="5" s="1"/>
  <c r="J5789" i="5"/>
  <c r="K5789" i="5" s="1"/>
  <c r="L5789" i="5" s="1"/>
  <c r="J5790" i="5"/>
  <c r="K5790" i="5" s="1"/>
  <c r="L5790" i="5" s="1"/>
  <c r="T5789" i="5"/>
  <c r="T5790" i="5"/>
  <c r="B5788" i="5"/>
  <c r="M5788" i="5" s="1"/>
  <c r="J5788" i="5"/>
  <c r="K5788" i="5" s="1"/>
  <c r="T5788" i="5"/>
  <c r="B5787" i="5"/>
  <c r="M5787" i="5" s="1"/>
  <c r="J5787" i="5"/>
  <c r="K5787" i="5" s="1"/>
  <c r="L5787" i="5" s="1"/>
  <c r="T5787" i="5"/>
  <c r="B5786" i="5"/>
  <c r="Q5786" i="5" s="1"/>
  <c r="J5786" i="5"/>
  <c r="K5786" i="5" s="1"/>
  <c r="T5786" i="5"/>
  <c r="B5785" i="5"/>
  <c r="M5785" i="5" s="1"/>
  <c r="J5785" i="5"/>
  <c r="K5785" i="5" s="1"/>
  <c r="T5785" i="5"/>
  <c r="B5784" i="5"/>
  <c r="M5784" i="5" s="1"/>
  <c r="J5784" i="5"/>
  <c r="K5784" i="5" s="1"/>
  <c r="T5784" i="5"/>
  <c r="B5782" i="5"/>
  <c r="Q5782" i="5" s="1"/>
  <c r="B5783" i="5"/>
  <c r="M5783" i="5" s="1"/>
  <c r="J5782" i="5"/>
  <c r="J5783" i="5"/>
  <c r="K5783" i="5" s="1"/>
  <c r="L5783" i="5" s="1"/>
  <c r="T5782" i="5"/>
  <c r="T5783" i="5"/>
  <c r="B5780" i="5"/>
  <c r="M5780" i="5" s="1"/>
  <c r="B5781" i="5"/>
  <c r="M5781" i="5" s="1"/>
  <c r="J5780" i="5"/>
  <c r="K5780" i="5" s="1"/>
  <c r="L5780" i="5" s="1"/>
  <c r="J5781" i="5"/>
  <c r="K5781" i="5" s="1"/>
  <c r="L5781" i="5" s="1"/>
  <c r="T5780" i="5"/>
  <c r="T5781" i="5"/>
  <c r="B5778" i="5"/>
  <c r="M5778" i="5" s="1"/>
  <c r="B5779" i="5"/>
  <c r="M5779" i="5" s="1"/>
  <c r="J5778" i="5"/>
  <c r="K5778" i="5" s="1"/>
  <c r="L5778" i="5" s="1"/>
  <c r="J5779" i="5"/>
  <c r="K5779" i="5" s="1"/>
  <c r="T5778" i="5"/>
  <c r="T5779" i="5"/>
  <c r="B5777" i="5"/>
  <c r="Q5777" i="5" s="1"/>
  <c r="J5777" i="5"/>
  <c r="T5777" i="5"/>
  <c r="B5776" i="5"/>
  <c r="Q5776" i="5" s="1"/>
  <c r="J5776" i="5"/>
  <c r="K5776" i="5" s="1"/>
  <c r="T5776" i="5"/>
  <c r="B5775" i="5"/>
  <c r="M5775" i="5" s="1"/>
  <c r="J5775" i="5"/>
  <c r="K5775" i="5" s="1"/>
  <c r="L5775" i="5" s="1"/>
  <c r="T5775" i="5"/>
  <c r="B5773" i="5"/>
  <c r="M5773" i="5" s="1"/>
  <c r="B5774" i="5"/>
  <c r="M5774" i="5" s="1"/>
  <c r="J5773" i="5"/>
  <c r="K5773" i="5" s="1"/>
  <c r="J5774" i="5"/>
  <c r="K5774" i="5" s="1"/>
  <c r="L5774" i="5" s="1"/>
  <c r="T5773" i="5"/>
  <c r="T5774" i="5"/>
  <c r="B5772" i="5"/>
  <c r="M5772" i="5" s="1"/>
  <c r="J5772" i="5"/>
  <c r="T5772" i="5"/>
  <c r="B5771" i="5"/>
  <c r="Q5771" i="5" s="1"/>
  <c r="J5771" i="5"/>
  <c r="K5771" i="5" s="1"/>
  <c r="T5771" i="5"/>
  <c r="B5768" i="5"/>
  <c r="Q5768" i="5" s="1"/>
  <c r="B5769" i="5"/>
  <c r="Q5769" i="5" s="1"/>
  <c r="B5770" i="5"/>
  <c r="Q5770" i="5" s="1"/>
  <c r="J5768" i="5"/>
  <c r="K5768" i="5" s="1"/>
  <c r="L5768" i="5" s="1"/>
  <c r="J5769" i="5"/>
  <c r="K5769" i="5" s="1"/>
  <c r="L5769" i="5" s="1"/>
  <c r="J5770" i="5"/>
  <c r="K5770" i="5" s="1"/>
  <c r="T5768" i="5"/>
  <c r="T5769" i="5"/>
  <c r="T5770" i="5"/>
  <c r="B5765" i="5"/>
  <c r="Q5765" i="5" s="1"/>
  <c r="B5766" i="5"/>
  <c r="M5766" i="5" s="1"/>
  <c r="B5767" i="5"/>
  <c r="M5767" i="5" s="1"/>
  <c r="J5765" i="5"/>
  <c r="K5765" i="5" s="1"/>
  <c r="L5765" i="5" s="1"/>
  <c r="J5766" i="5"/>
  <c r="K5766" i="5" s="1"/>
  <c r="L5766" i="5" s="1"/>
  <c r="J5767" i="5"/>
  <c r="K5767" i="5" s="1"/>
  <c r="T5765" i="5"/>
  <c r="T5766" i="5"/>
  <c r="T5767" i="5"/>
  <c r="B5763" i="5"/>
  <c r="M5763" i="5" s="1"/>
  <c r="B5764" i="5"/>
  <c r="M5764" i="5" s="1"/>
  <c r="J5763" i="5"/>
  <c r="J5764" i="5"/>
  <c r="K5764" i="5" s="1"/>
  <c r="L5764" i="5" s="1"/>
  <c r="T5763" i="5"/>
  <c r="T5764" i="5"/>
  <c r="B5760" i="5"/>
  <c r="Q5760" i="5" s="1"/>
  <c r="B5761" i="5"/>
  <c r="M5761" i="5" s="1"/>
  <c r="B5762" i="5"/>
  <c r="M5762" i="5" s="1"/>
  <c r="J5760" i="5"/>
  <c r="K5760" i="5" s="1"/>
  <c r="L5760" i="5" s="1"/>
  <c r="J5761" i="5"/>
  <c r="K5761" i="5" s="1"/>
  <c r="J5762" i="5"/>
  <c r="K5762" i="5" s="1"/>
  <c r="T5760" i="5"/>
  <c r="T5761" i="5"/>
  <c r="T5762" i="5"/>
  <c r="B5759" i="5"/>
  <c r="Q5759" i="5" s="1"/>
  <c r="J5759" i="5"/>
  <c r="K5759" i="5" s="1"/>
  <c r="T5759" i="5"/>
  <c r="B5758" i="5"/>
  <c r="M5758" i="5" s="1"/>
  <c r="J5758" i="5"/>
  <c r="K5758" i="5" s="1"/>
  <c r="L5758" i="5" s="1"/>
  <c r="P5758" i="5" s="1"/>
  <c r="T5758" i="5"/>
  <c r="B5757" i="5"/>
  <c r="M5757" i="5" s="1"/>
  <c r="J5757" i="5"/>
  <c r="K5757" i="5" s="1"/>
  <c r="L5757" i="5" s="1"/>
  <c r="T5757" i="5"/>
  <c r="B5756" i="5"/>
  <c r="M5756" i="5" s="1"/>
  <c r="J5756" i="5"/>
  <c r="K5756" i="5" s="1"/>
  <c r="T5756" i="5"/>
  <c r="B5755" i="5"/>
  <c r="Q5755" i="5" s="1"/>
  <c r="J5755" i="5"/>
  <c r="K5755" i="5" s="1"/>
  <c r="T5755" i="5"/>
  <c r="B5754" i="5"/>
  <c r="M5754" i="5" s="1"/>
  <c r="J5754" i="5"/>
  <c r="K5754" i="5" s="1"/>
  <c r="L5754" i="5" s="1"/>
  <c r="T5754" i="5"/>
  <c r="B5753" i="5"/>
  <c r="M5753" i="5" s="1"/>
  <c r="J5753" i="5"/>
  <c r="K5753" i="5" s="1"/>
  <c r="T5753" i="5"/>
  <c r="B5752" i="5"/>
  <c r="Q5752" i="5" s="1"/>
  <c r="J5752" i="5"/>
  <c r="K5752" i="5" s="1"/>
  <c r="T5752" i="5"/>
  <c r="B5751" i="5"/>
  <c r="M5751" i="5" s="1"/>
  <c r="J5751" i="5"/>
  <c r="K5751" i="5" s="1"/>
  <c r="L5751" i="5" s="1"/>
  <c r="T5751" i="5"/>
  <c r="B5750" i="5"/>
  <c r="M5750" i="5" s="1"/>
  <c r="J5750" i="5"/>
  <c r="K5750" i="5" s="1"/>
  <c r="L5750" i="5" s="1"/>
  <c r="T5750" i="5"/>
  <c r="B5747" i="5"/>
  <c r="Q5747" i="5" s="1"/>
  <c r="B5748" i="5"/>
  <c r="Q5748" i="5" s="1"/>
  <c r="B5749" i="5"/>
  <c r="Q5749" i="5" s="1"/>
  <c r="J5747" i="5"/>
  <c r="K5747" i="5" s="1"/>
  <c r="L5747" i="5" s="1"/>
  <c r="J5748" i="5"/>
  <c r="K5748" i="5" s="1"/>
  <c r="J5749" i="5"/>
  <c r="K5749" i="5" s="1"/>
  <c r="T5747" i="5"/>
  <c r="T5748" i="5"/>
  <c r="T5749" i="5"/>
  <c r="B5743" i="5"/>
  <c r="Q5743" i="5" s="1"/>
  <c r="B5744" i="5"/>
  <c r="M5744" i="5" s="1"/>
  <c r="B5745" i="5"/>
  <c r="Q5745" i="5" s="1"/>
  <c r="B5746" i="5"/>
  <c r="Q5746" i="5" s="1"/>
  <c r="J5743" i="5"/>
  <c r="J5744" i="5"/>
  <c r="J5745" i="5"/>
  <c r="K5745" i="5" s="1"/>
  <c r="J5746" i="5"/>
  <c r="K5746" i="5" s="1"/>
  <c r="L5746" i="5" s="1"/>
  <c r="T5743" i="5"/>
  <c r="T5744" i="5"/>
  <c r="T5745" i="5"/>
  <c r="T5746" i="5"/>
  <c r="B5742" i="5"/>
  <c r="M5742" i="5" s="1"/>
  <c r="J5742" i="5"/>
  <c r="K5742" i="5" s="1"/>
  <c r="T5742" i="5"/>
  <c r="B5740" i="5"/>
  <c r="Q5740" i="5" s="1"/>
  <c r="B5741" i="5"/>
  <c r="M5741" i="5" s="1"/>
  <c r="J5740" i="5"/>
  <c r="K5740" i="5" s="1"/>
  <c r="J5741" i="5"/>
  <c r="K5741" i="5" s="1"/>
  <c r="T5740" i="5"/>
  <c r="T5741" i="5"/>
  <c r="B5737" i="5"/>
  <c r="M5737" i="5" s="1"/>
  <c r="B5738" i="5"/>
  <c r="M5738" i="5" s="1"/>
  <c r="B5739" i="5"/>
  <c r="Q5739" i="5" s="1"/>
  <c r="J5737" i="5"/>
  <c r="K5737" i="5" s="1"/>
  <c r="L5737" i="5" s="1"/>
  <c r="P5737" i="5" s="1"/>
  <c r="J5738" i="5"/>
  <c r="K5738" i="5" s="1"/>
  <c r="L5738" i="5" s="1"/>
  <c r="J5739" i="5"/>
  <c r="K5739" i="5" s="1"/>
  <c r="L5739" i="5" s="1"/>
  <c r="T5737" i="5"/>
  <c r="T5738" i="5"/>
  <c r="T5739" i="5"/>
  <c r="B5735" i="5"/>
  <c r="M5735" i="5" s="1"/>
  <c r="B5736" i="5"/>
  <c r="M5736" i="5" s="1"/>
  <c r="J5735" i="5"/>
  <c r="K5735" i="5" s="1"/>
  <c r="J5736" i="5"/>
  <c r="K5736" i="5" s="1"/>
  <c r="L5736" i="5" s="1"/>
  <c r="T5735" i="5"/>
  <c r="T5736" i="5"/>
  <c r="B5733" i="5"/>
  <c r="M5733" i="5" s="1"/>
  <c r="B5734" i="5"/>
  <c r="J5733" i="5"/>
  <c r="K5733" i="5" s="1"/>
  <c r="J5734" i="5"/>
  <c r="K5734" i="5" s="1"/>
  <c r="T5733" i="5"/>
  <c r="T5734" i="5"/>
  <c r="B5732" i="5"/>
  <c r="M5732" i="5" s="1"/>
  <c r="J5732" i="5"/>
  <c r="K5732" i="5" s="1"/>
  <c r="L5732" i="5" s="1"/>
  <c r="P5732" i="5" s="1"/>
  <c r="T5732" i="5"/>
  <c r="B5729" i="5"/>
  <c r="Q5729" i="5" s="1"/>
  <c r="B5730" i="5"/>
  <c r="Q5730" i="5" s="1"/>
  <c r="B5731" i="5"/>
  <c r="Q5731" i="5" s="1"/>
  <c r="J5729" i="5"/>
  <c r="K5729" i="5" s="1"/>
  <c r="L5729" i="5" s="1"/>
  <c r="P5729" i="5" s="1"/>
  <c r="J5730" i="5"/>
  <c r="K5730" i="5" s="1"/>
  <c r="L5730" i="5" s="1"/>
  <c r="P5730" i="5" s="1"/>
  <c r="J5731" i="5"/>
  <c r="K5731" i="5" s="1"/>
  <c r="L5731" i="5" s="1"/>
  <c r="P5731" i="5" s="1"/>
  <c r="T5729" i="5"/>
  <c r="T5730" i="5"/>
  <c r="T5731" i="5"/>
  <c r="B5728" i="5"/>
  <c r="Q5728" i="5" s="1"/>
  <c r="J5728" i="5"/>
  <c r="K5728" i="5" s="1"/>
  <c r="T5728" i="5"/>
  <c r="B5726" i="5"/>
  <c r="M5726" i="5" s="1"/>
  <c r="B5727" i="5"/>
  <c r="Q5727" i="5" s="1"/>
  <c r="J5726" i="5"/>
  <c r="K5726" i="5" s="1"/>
  <c r="L5726" i="5" s="1"/>
  <c r="J5727" i="5"/>
  <c r="K5727" i="5" s="1"/>
  <c r="L5727" i="5" s="1"/>
  <c r="P5727" i="5" s="1"/>
  <c r="T5726" i="5"/>
  <c r="T5727" i="5"/>
  <c r="B5721" i="5"/>
  <c r="M5721" i="5" s="1"/>
  <c r="B5722" i="5"/>
  <c r="Q5722" i="5" s="1"/>
  <c r="B5723" i="5"/>
  <c r="Q5723" i="5" s="1"/>
  <c r="B5724" i="5"/>
  <c r="M5724" i="5" s="1"/>
  <c r="B5725" i="5"/>
  <c r="Q5725" i="5" s="1"/>
  <c r="J5721" i="5"/>
  <c r="K5721" i="5" s="1"/>
  <c r="L5721" i="5" s="1"/>
  <c r="P5721" i="5" s="1"/>
  <c r="J5722" i="5"/>
  <c r="K5722" i="5" s="1"/>
  <c r="L5722" i="5" s="1"/>
  <c r="J5723" i="5"/>
  <c r="K5723" i="5" s="1"/>
  <c r="J5724" i="5"/>
  <c r="J5725" i="5"/>
  <c r="K5725" i="5" s="1"/>
  <c r="T5721" i="5"/>
  <c r="T5722" i="5"/>
  <c r="T5723" i="5"/>
  <c r="T5724" i="5"/>
  <c r="T5725" i="5"/>
  <c r="B5717" i="5"/>
  <c r="M5717" i="5" s="1"/>
  <c r="B5718" i="5"/>
  <c r="B5719" i="5"/>
  <c r="Q5719" i="5" s="1"/>
  <c r="B5720" i="5"/>
  <c r="Q5720" i="5" s="1"/>
  <c r="J5717" i="5"/>
  <c r="J5718" i="5"/>
  <c r="K5718" i="5" s="1"/>
  <c r="J5719" i="5"/>
  <c r="K5719" i="5" s="1"/>
  <c r="J5720" i="5"/>
  <c r="K5720" i="5" s="1"/>
  <c r="T5717" i="5"/>
  <c r="T5718" i="5"/>
  <c r="T5719" i="5"/>
  <c r="T5720" i="5"/>
  <c r="B5715" i="5"/>
  <c r="Q5715" i="5" s="1"/>
  <c r="B5716" i="5"/>
  <c r="M5716" i="5" s="1"/>
  <c r="J5715" i="5"/>
  <c r="K5715" i="5" s="1"/>
  <c r="L5715" i="5" s="1"/>
  <c r="P5715" i="5" s="1"/>
  <c r="J5716" i="5"/>
  <c r="K5716" i="5" s="1"/>
  <c r="L5716" i="5" s="1"/>
  <c r="T5715" i="5"/>
  <c r="T5716" i="5"/>
  <c r="B5712" i="5"/>
  <c r="M5712" i="5" s="1"/>
  <c r="B5713" i="5"/>
  <c r="M5713" i="5" s="1"/>
  <c r="B5714" i="5"/>
  <c r="Q5714" i="5" s="1"/>
  <c r="J5712" i="5"/>
  <c r="K5712" i="5" s="1"/>
  <c r="L5712" i="5" s="1"/>
  <c r="P5712" i="5" s="1"/>
  <c r="J5713" i="5"/>
  <c r="K5713" i="5" s="1"/>
  <c r="L5713" i="5" s="1"/>
  <c r="P5713" i="5" s="1"/>
  <c r="J5714" i="5"/>
  <c r="K5714" i="5" s="1"/>
  <c r="L5714" i="5" s="1"/>
  <c r="P5714" i="5" s="1"/>
  <c r="T5712" i="5"/>
  <c r="T5713" i="5"/>
  <c r="T5714" i="5"/>
  <c r="B5711" i="5"/>
  <c r="Q5711" i="5" s="1"/>
  <c r="J5711" i="5"/>
  <c r="K5711" i="5" s="1"/>
  <c r="L5711" i="5" s="1"/>
  <c r="T5711" i="5"/>
  <c r="B5706" i="5"/>
  <c r="M5706" i="5" s="1"/>
  <c r="B5707" i="5"/>
  <c r="M5707" i="5" s="1"/>
  <c r="B5708" i="5"/>
  <c r="Q5708" i="5" s="1"/>
  <c r="B5709" i="5"/>
  <c r="Q5709" i="5" s="1"/>
  <c r="B5710" i="5"/>
  <c r="M5710" i="5" s="1"/>
  <c r="J5706" i="5"/>
  <c r="K5706" i="5" s="1"/>
  <c r="L5706" i="5" s="1"/>
  <c r="P5706" i="5" s="1"/>
  <c r="J5707" i="5"/>
  <c r="K5707" i="5" s="1"/>
  <c r="J5708" i="5"/>
  <c r="K5708" i="5" s="1"/>
  <c r="J5709" i="5"/>
  <c r="J5710" i="5"/>
  <c r="K5710" i="5" s="1"/>
  <c r="L5710" i="5" s="1"/>
  <c r="T5706" i="5"/>
  <c r="T5707" i="5"/>
  <c r="T5708" i="5"/>
  <c r="T5709" i="5"/>
  <c r="T5710" i="5"/>
  <c r="B5703" i="5"/>
  <c r="M5703" i="5" s="1"/>
  <c r="B5704" i="5"/>
  <c r="M5704" i="5" s="1"/>
  <c r="B5705" i="5"/>
  <c r="Q5705" i="5" s="1"/>
  <c r="J5703" i="5"/>
  <c r="K5703" i="5" s="1"/>
  <c r="L5703" i="5" s="1"/>
  <c r="P5703" i="5" s="1"/>
  <c r="J5704" i="5"/>
  <c r="K5704" i="5" s="1"/>
  <c r="J5705" i="5"/>
  <c r="K5705" i="5" s="1"/>
  <c r="T5703" i="5"/>
  <c r="T5704" i="5"/>
  <c r="T5705" i="5"/>
  <c r="B5701" i="5"/>
  <c r="B5702" i="5"/>
  <c r="J5701" i="5"/>
  <c r="K5701" i="5" s="1"/>
  <c r="J5702" i="5"/>
  <c r="K5702" i="5" s="1"/>
  <c r="L5702" i="5" s="1"/>
  <c r="T5701" i="5"/>
  <c r="T5702" i="5"/>
  <c r="B5699" i="5"/>
  <c r="M5699" i="5" s="1"/>
  <c r="B5700" i="5"/>
  <c r="M5700" i="5" s="1"/>
  <c r="J5699" i="5"/>
  <c r="K5699" i="5" s="1"/>
  <c r="L5699" i="5" s="1"/>
  <c r="P5699" i="5" s="1"/>
  <c r="J5700" i="5"/>
  <c r="T5699" i="5"/>
  <c r="T5700" i="5"/>
  <c r="B5698" i="5"/>
  <c r="Q5698" i="5" s="1"/>
  <c r="J5698" i="5"/>
  <c r="K5698" i="5" s="1"/>
  <c r="L5698" i="5" s="1"/>
  <c r="P5698" i="5" s="1"/>
  <c r="T5698" i="5"/>
  <c r="B5697" i="5"/>
  <c r="M5697" i="5" s="1"/>
  <c r="J5697" i="5"/>
  <c r="K5697" i="5" s="1"/>
  <c r="T5697" i="5"/>
  <c r="B5695" i="5"/>
  <c r="B5696" i="5"/>
  <c r="J5695" i="5"/>
  <c r="K5695" i="5" s="1"/>
  <c r="L5695" i="5" s="1"/>
  <c r="P5695" i="5" s="1"/>
  <c r="J5696" i="5"/>
  <c r="K5696" i="5" s="1"/>
  <c r="L5696" i="5" s="1"/>
  <c r="T5695" i="5"/>
  <c r="T5696" i="5"/>
  <c r="B5692" i="5"/>
  <c r="Q5692" i="5" s="1"/>
  <c r="B5693" i="5"/>
  <c r="M5693" i="5" s="1"/>
  <c r="B5694" i="5"/>
  <c r="Q5694" i="5" s="1"/>
  <c r="J5692" i="5"/>
  <c r="K5692" i="5" s="1"/>
  <c r="J5693" i="5"/>
  <c r="J5694" i="5"/>
  <c r="K5694" i="5" s="1"/>
  <c r="L5694" i="5" s="1"/>
  <c r="P5694" i="5" s="1"/>
  <c r="T5692" i="5"/>
  <c r="T5693" i="5"/>
  <c r="T5694" i="5"/>
  <c r="B5689" i="5"/>
  <c r="Q5689" i="5" s="1"/>
  <c r="B5690" i="5"/>
  <c r="M5690" i="5" s="1"/>
  <c r="B5691" i="5"/>
  <c r="Q5691" i="5" s="1"/>
  <c r="J5689" i="5"/>
  <c r="K5689" i="5" s="1"/>
  <c r="J5690" i="5"/>
  <c r="K5690" i="5" s="1"/>
  <c r="J5691" i="5"/>
  <c r="K5691" i="5" s="1"/>
  <c r="T5689" i="5"/>
  <c r="T5690" i="5"/>
  <c r="T5691" i="5"/>
  <c r="B5684" i="5"/>
  <c r="M5684" i="5" s="1"/>
  <c r="B5685" i="5"/>
  <c r="Q5685" i="5" s="1"/>
  <c r="B5686" i="5"/>
  <c r="Q5686" i="5" s="1"/>
  <c r="B5687" i="5"/>
  <c r="B5688" i="5"/>
  <c r="M5688" i="5" s="1"/>
  <c r="J5684" i="5"/>
  <c r="J5685" i="5"/>
  <c r="K5685" i="5" s="1"/>
  <c r="J5686" i="5"/>
  <c r="K5686" i="5" s="1"/>
  <c r="L5686" i="5" s="1"/>
  <c r="P5686" i="5" s="1"/>
  <c r="J5687" i="5"/>
  <c r="K5687" i="5" s="1"/>
  <c r="J5688" i="5"/>
  <c r="K5688" i="5" s="1"/>
  <c r="T5684" i="5"/>
  <c r="T5685" i="5"/>
  <c r="T5686" i="5"/>
  <c r="T5687" i="5"/>
  <c r="T5688" i="5"/>
  <c r="B5682" i="5"/>
  <c r="M5682" i="5" s="1"/>
  <c r="B5683" i="5"/>
  <c r="M5683" i="5" s="1"/>
  <c r="J5682" i="5"/>
  <c r="K5682" i="5" s="1"/>
  <c r="L5682" i="5" s="1"/>
  <c r="J5683" i="5"/>
  <c r="K5683" i="5" s="1"/>
  <c r="T5682" i="5"/>
  <c r="T5683" i="5"/>
  <c r="B5679" i="5"/>
  <c r="M5679" i="5" s="1"/>
  <c r="B5680" i="5"/>
  <c r="M5680" i="5" s="1"/>
  <c r="B5681" i="5"/>
  <c r="Q5681" i="5" s="1"/>
  <c r="J5679" i="5"/>
  <c r="K5679" i="5" s="1"/>
  <c r="L5679" i="5" s="1"/>
  <c r="P5679" i="5" s="1"/>
  <c r="J5680" i="5"/>
  <c r="K5680" i="5" s="1"/>
  <c r="L5680" i="5" s="1"/>
  <c r="J5681" i="5"/>
  <c r="K5681" i="5" s="1"/>
  <c r="T5679" i="5"/>
  <c r="T5680" i="5"/>
  <c r="T5681" i="5"/>
  <c r="B5676" i="5"/>
  <c r="Q5676" i="5" s="1"/>
  <c r="B5677" i="5"/>
  <c r="Q5677" i="5" s="1"/>
  <c r="B5678" i="5"/>
  <c r="Q5678" i="5" s="1"/>
  <c r="J5676" i="5"/>
  <c r="K5676" i="5" s="1"/>
  <c r="J5677" i="5"/>
  <c r="K5677" i="5" s="1"/>
  <c r="J5678" i="5"/>
  <c r="K5678" i="5" s="1"/>
  <c r="T5676" i="5"/>
  <c r="T5677" i="5"/>
  <c r="T5678" i="5"/>
  <c r="B5673" i="5"/>
  <c r="Q5673" i="5" s="1"/>
  <c r="B5674" i="5"/>
  <c r="Q5674" i="5" s="1"/>
  <c r="B5675" i="5"/>
  <c r="Q5675" i="5" s="1"/>
  <c r="J5673" i="5"/>
  <c r="K5673" i="5" s="1"/>
  <c r="L5673" i="5" s="1"/>
  <c r="J5674" i="5"/>
  <c r="K5674" i="5" s="1"/>
  <c r="L5674" i="5" s="1"/>
  <c r="J5675" i="5"/>
  <c r="K5675" i="5" s="1"/>
  <c r="T5673" i="5"/>
  <c r="T5674" i="5"/>
  <c r="T5675" i="5"/>
  <c r="B5668" i="5"/>
  <c r="Q5668" i="5" s="1"/>
  <c r="B5669" i="5"/>
  <c r="Q5669" i="5" s="1"/>
  <c r="B5670" i="5"/>
  <c r="Q5670" i="5" s="1"/>
  <c r="B5671" i="5"/>
  <c r="M5671" i="5" s="1"/>
  <c r="B5672" i="5"/>
  <c r="Q5672" i="5" s="1"/>
  <c r="J5668" i="5"/>
  <c r="J5669" i="5"/>
  <c r="K5669" i="5" s="1"/>
  <c r="L5669" i="5" s="1"/>
  <c r="J5670" i="5"/>
  <c r="K5670" i="5" s="1"/>
  <c r="J5671" i="5"/>
  <c r="K5671" i="5" s="1"/>
  <c r="J5672" i="5"/>
  <c r="K5672" i="5" s="1"/>
  <c r="L5672" i="5" s="1"/>
  <c r="T5668" i="5"/>
  <c r="T5669" i="5"/>
  <c r="T5670" i="5"/>
  <c r="T5671" i="5"/>
  <c r="T5672" i="5"/>
  <c r="B5666" i="5"/>
  <c r="M5666" i="5" s="1"/>
  <c r="B5667" i="5"/>
  <c r="M5667" i="5" s="1"/>
  <c r="J5666" i="5"/>
  <c r="K5666" i="5" s="1"/>
  <c r="L5666" i="5" s="1"/>
  <c r="J5667" i="5"/>
  <c r="K5667" i="5" s="1"/>
  <c r="L5667" i="5" s="1"/>
  <c r="T5666" i="5"/>
  <c r="T5667" i="5"/>
  <c r="B5663" i="5"/>
  <c r="Q5663" i="5" s="1"/>
  <c r="B5664" i="5"/>
  <c r="Q5664" i="5" s="1"/>
  <c r="B5665" i="5"/>
  <c r="Q5665" i="5" s="1"/>
  <c r="J5663" i="5"/>
  <c r="K5663" i="5" s="1"/>
  <c r="L5663" i="5" s="1"/>
  <c r="J5664" i="5"/>
  <c r="K5664" i="5" s="1"/>
  <c r="J5665" i="5"/>
  <c r="K5665" i="5" s="1"/>
  <c r="T5663" i="5"/>
  <c r="T5664" i="5"/>
  <c r="T5665" i="5"/>
  <c r="B5660" i="5"/>
  <c r="Q5660" i="5" s="1"/>
  <c r="B5661" i="5"/>
  <c r="Q5661" i="5" s="1"/>
  <c r="B5662" i="5"/>
  <c r="Q5662" i="5" s="1"/>
  <c r="J5660" i="5"/>
  <c r="K5660" i="5" s="1"/>
  <c r="L5660" i="5" s="1"/>
  <c r="J5661" i="5"/>
  <c r="K5661" i="5" s="1"/>
  <c r="L5661" i="5" s="1"/>
  <c r="J5662" i="5"/>
  <c r="K5662" i="5" s="1"/>
  <c r="L5662" i="5" s="1"/>
  <c r="T5660" i="5"/>
  <c r="T5661" i="5"/>
  <c r="T5662" i="5"/>
  <c r="B5657" i="5"/>
  <c r="Q5657" i="5" s="1"/>
  <c r="B5658" i="5"/>
  <c r="Q5658" i="5" s="1"/>
  <c r="B5659" i="5"/>
  <c r="Q5659" i="5" s="1"/>
  <c r="J5657" i="5"/>
  <c r="K5657" i="5" s="1"/>
  <c r="L5657" i="5" s="1"/>
  <c r="J5658" i="5"/>
  <c r="K5658" i="5" s="1"/>
  <c r="L5658" i="5" s="1"/>
  <c r="J5659" i="5"/>
  <c r="K5659" i="5" s="1"/>
  <c r="L5659" i="5" s="1"/>
  <c r="T5657" i="5"/>
  <c r="T5658" i="5"/>
  <c r="T5659" i="5"/>
  <c r="B5652" i="5"/>
  <c r="Q5652" i="5" s="1"/>
  <c r="B5653" i="5"/>
  <c r="M5653" i="5" s="1"/>
  <c r="B5654" i="5"/>
  <c r="Q5654" i="5" s="1"/>
  <c r="B5655" i="5"/>
  <c r="M5655" i="5" s="1"/>
  <c r="B5656" i="5"/>
  <c r="Q5656" i="5" s="1"/>
  <c r="J5652" i="5"/>
  <c r="J5653" i="5"/>
  <c r="K5653" i="5" s="1"/>
  <c r="J5654" i="5"/>
  <c r="K5654" i="5" s="1"/>
  <c r="J5655" i="5"/>
  <c r="J5656" i="5"/>
  <c r="K5656" i="5" s="1"/>
  <c r="L5656" i="5" s="1"/>
  <c r="T5652" i="5"/>
  <c r="T5653" i="5"/>
  <c r="T5654" i="5"/>
  <c r="T5655" i="5"/>
  <c r="T5656" i="5"/>
  <c r="B5650" i="5"/>
  <c r="Q5650" i="5" s="1"/>
  <c r="B5651" i="5"/>
  <c r="Q5651" i="5" s="1"/>
  <c r="J5650" i="5"/>
  <c r="J5651" i="5"/>
  <c r="K5651" i="5" s="1"/>
  <c r="L5651" i="5" s="1"/>
  <c r="T5650" i="5"/>
  <c r="T5651" i="5"/>
  <c r="B5647" i="5"/>
  <c r="Q5647" i="5" s="1"/>
  <c r="B5648" i="5"/>
  <c r="Q5648" i="5" s="1"/>
  <c r="B5649" i="5"/>
  <c r="Q5649" i="5" s="1"/>
  <c r="J5647" i="5"/>
  <c r="K5647" i="5" s="1"/>
  <c r="L5647" i="5" s="1"/>
  <c r="J5648" i="5"/>
  <c r="K5648" i="5" s="1"/>
  <c r="L5648" i="5" s="1"/>
  <c r="J5649" i="5"/>
  <c r="K5649" i="5" s="1"/>
  <c r="T5647" i="5"/>
  <c r="T5648" i="5"/>
  <c r="T5649" i="5"/>
  <c r="B5643" i="5"/>
  <c r="M5643" i="5" s="1"/>
  <c r="B5644" i="5"/>
  <c r="M5644" i="5" s="1"/>
  <c r="B5645" i="5"/>
  <c r="Q5645" i="5" s="1"/>
  <c r="B5646" i="5"/>
  <c r="M5646" i="5" s="1"/>
  <c r="J5643" i="5"/>
  <c r="J5644" i="5"/>
  <c r="K5644" i="5" s="1"/>
  <c r="L5644" i="5" s="1"/>
  <c r="J5645" i="5"/>
  <c r="K5645" i="5" s="1"/>
  <c r="J5646" i="5"/>
  <c r="K5646" i="5" s="1"/>
  <c r="L5646" i="5" s="1"/>
  <c r="T5643" i="5"/>
  <c r="T5644" i="5"/>
  <c r="T5645" i="5"/>
  <c r="T5646" i="5"/>
  <c r="B5642" i="5"/>
  <c r="M5642" i="5" s="1"/>
  <c r="J5642" i="5"/>
  <c r="K5642" i="5" s="1"/>
  <c r="L5642" i="5" s="1"/>
  <c r="T5642" i="5"/>
  <c r="B5640" i="5"/>
  <c r="M5640" i="5" s="1"/>
  <c r="B5641" i="5"/>
  <c r="M5641" i="5" s="1"/>
  <c r="J5640" i="5"/>
  <c r="J5641" i="5"/>
  <c r="K5641" i="5" s="1"/>
  <c r="L5641" i="5" s="1"/>
  <c r="T5640" i="5"/>
  <c r="T5641" i="5"/>
  <c r="B5638" i="5"/>
  <c r="Q5638" i="5" s="1"/>
  <c r="B5639" i="5"/>
  <c r="M5639" i="5" s="1"/>
  <c r="J5638" i="5"/>
  <c r="J5639" i="5"/>
  <c r="K5639" i="5" s="1"/>
  <c r="L5639" i="5" s="1"/>
  <c r="T5638" i="5"/>
  <c r="T5639" i="5"/>
  <c r="B5636" i="5"/>
  <c r="Q5636" i="5" s="1"/>
  <c r="B5637" i="5"/>
  <c r="M5637" i="5" s="1"/>
  <c r="J5636" i="5"/>
  <c r="J5637" i="5"/>
  <c r="K5637" i="5" s="1"/>
  <c r="T5636" i="5"/>
  <c r="T5637" i="5"/>
  <c r="B5634" i="5"/>
  <c r="Q5634" i="5" s="1"/>
  <c r="B5635" i="5"/>
  <c r="M5635" i="5" s="1"/>
  <c r="J5634" i="5"/>
  <c r="J5635" i="5"/>
  <c r="K5635" i="5" s="1"/>
  <c r="L5635" i="5" s="1"/>
  <c r="T5634" i="5"/>
  <c r="T5635" i="5"/>
  <c r="B5631" i="5"/>
  <c r="Q5631" i="5" s="1"/>
  <c r="B5632" i="5"/>
  <c r="Q5632" i="5" s="1"/>
  <c r="B5633" i="5"/>
  <c r="Q5633" i="5" s="1"/>
  <c r="J5631" i="5"/>
  <c r="K5631" i="5" s="1"/>
  <c r="L5631" i="5" s="1"/>
  <c r="J5632" i="5"/>
  <c r="K5632" i="5" s="1"/>
  <c r="J5633" i="5"/>
  <c r="K5633" i="5" s="1"/>
  <c r="L5633" i="5" s="1"/>
  <c r="T5631" i="5"/>
  <c r="T5632" i="5"/>
  <c r="T5633" i="5"/>
  <c r="B5628" i="5"/>
  <c r="Q5628" i="5" s="1"/>
  <c r="B5629" i="5"/>
  <c r="Q5629" i="5" s="1"/>
  <c r="B5630" i="5"/>
  <c r="Q5630" i="5" s="1"/>
  <c r="J5628" i="5"/>
  <c r="K5628" i="5" s="1"/>
  <c r="L5628" i="5" s="1"/>
  <c r="J5629" i="5"/>
  <c r="K5629" i="5" s="1"/>
  <c r="L5629" i="5" s="1"/>
  <c r="J5630" i="5"/>
  <c r="K5630" i="5" s="1"/>
  <c r="T5628" i="5"/>
  <c r="T5629" i="5"/>
  <c r="T5630" i="5"/>
  <c r="B5626" i="5"/>
  <c r="Q5626" i="5" s="1"/>
  <c r="B5627" i="5"/>
  <c r="M5627" i="5" s="1"/>
  <c r="J5626" i="5"/>
  <c r="K5626" i="5" s="1"/>
  <c r="L5626" i="5" s="1"/>
  <c r="J5627" i="5"/>
  <c r="K5627" i="5" s="1"/>
  <c r="L5627" i="5" s="1"/>
  <c r="T5626" i="5"/>
  <c r="T5627" i="5"/>
  <c r="B5624" i="5"/>
  <c r="Q5624" i="5" s="1"/>
  <c r="B5625" i="5"/>
  <c r="M5625" i="5" s="1"/>
  <c r="J5624" i="5"/>
  <c r="J5625" i="5"/>
  <c r="K5625" i="5" s="1"/>
  <c r="T5624" i="5"/>
  <c r="T5625" i="5"/>
  <c r="B5622" i="5"/>
  <c r="Q5622" i="5" s="1"/>
  <c r="B5623" i="5"/>
  <c r="M5623" i="5" s="1"/>
  <c r="J5622" i="5"/>
  <c r="K5622" i="5" s="1"/>
  <c r="J5623" i="5"/>
  <c r="K5623" i="5" s="1"/>
  <c r="L5623" i="5" s="1"/>
  <c r="T5622" i="5"/>
  <c r="T5623" i="5"/>
  <c r="B5620" i="5"/>
  <c r="M5620" i="5" s="1"/>
  <c r="B5621" i="5"/>
  <c r="M5621" i="5" s="1"/>
  <c r="J5620" i="5"/>
  <c r="K5620" i="5" s="1"/>
  <c r="J5621" i="5"/>
  <c r="K5621" i="5" s="1"/>
  <c r="L5621" i="5" s="1"/>
  <c r="T5620" i="5"/>
  <c r="T5621" i="5"/>
  <c r="B5618" i="5"/>
  <c r="Q5618" i="5" s="1"/>
  <c r="B5619" i="5"/>
  <c r="M5619" i="5" s="1"/>
  <c r="J5618" i="5"/>
  <c r="K5618" i="5" s="1"/>
  <c r="J5619" i="5"/>
  <c r="K5619" i="5" s="1"/>
  <c r="L5619" i="5" s="1"/>
  <c r="T5618" i="5"/>
  <c r="T5619" i="5"/>
  <c r="B5608" i="5"/>
  <c r="M5608" i="5" s="1"/>
  <c r="B5609" i="5"/>
  <c r="M5609" i="5" s="1"/>
  <c r="B5610" i="5"/>
  <c r="M5610" i="5" s="1"/>
  <c r="B5611" i="5"/>
  <c r="M5611" i="5" s="1"/>
  <c r="B5612" i="5"/>
  <c r="M5612" i="5" s="1"/>
  <c r="B5613" i="5"/>
  <c r="Q5613" i="5" s="1"/>
  <c r="B5614" i="5"/>
  <c r="M5614" i="5" s="1"/>
  <c r="B5615" i="5"/>
  <c r="Q5615" i="5" s="1"/>
  <c r="B5616" i="5"/>
  <c r="M5616" i="5" s="1"/>
  <c r="B5617" i="5"/>
  <c r="Q5617" i="5" s="1"/>
  <c r="J5608" i="5"/>
  <c r="K5608" i="5" s="1"/>
  <c r="J5609" i="5"/>
  <c r="J5610" i="5"/>
  <c r="K5610" i="5" s="1"/>
  <c r="J5611" i="5"/>
  <c r="K5611" i="5" s="1"/>
  <c r="L5611" i="5" s="1"/>
  <c r="J5612" i="5"/>
  <c r="K5612" i="5" s="1"/>
  <c r="J5613" i="5"/>
  <c r="K5613" i="5" s="1"/>
  <c r="L5613" i="5" s="1"/>
  <c r="J5614" i="5"/>
  <c r="K5614" i="5" s="1"/>
  <c r="J5615" i="5"/>
  <c r="J5616" i="5"/>
  <c r="J5617" i="5"/>
  <c r="K5617" i="5" s="1"/>
  <c r="L5617" i="5" s="1"/>
  <c r="T5608" i="5"/>
  <c r="T5609" i="5"/>
  <c r="T5610" i="5"/>
  <c r="T5611" i="5"/>
  <c r="T5612" i="5"/>
  <c r="T5613" i="5"/>
  <c r="T5614" i="5"/>
  <c r="T5615" i="5"/>
  <c r="T5616" i="5"/>
  <c r="T5617" i="5"/>
  <c r="B5607" i="5"/>
  <c r="Q5607" i="5" s="1"/>
  <c r="J5607" i="5"/>
  <c r="K5607" i="5" s="1"/>
  <c r="T5607" i="5"/>
  <c r="B5605" i="5"/>
  <c r="M5605" i="5" s="1"/>
  <c r="B5606" i="5"/>
  <c r="M5606" i="5" s="1"/>
  <c r="J5605" i="5"/>
  <c r="K5605" i="5" s="1"/>
  <c r="J5606" i="5"/>
  <c r="K5606" i="5" s="1"/>
  <c r="L5606" i="5" s="1"/>
  <c r="T5605" i="5"/>
  <c r="T5606" i="5"/>
  <c r="B5595" i="5"/>
  <c r="M5595" i="5" s="1"/>
  <c r="B5596" i="5"/>
  <c r="Q5596" i="5" s="1"/>
  <c r="B5597" i="5"/>
  <c r="Q5597" i="5" s="1"/>
  <c r="B5598" i="5"/>
  <c r="M5598" i="5" s="1"/>
  <c r="B5599" i="5"/>
  <c r="M5599" i="5" s="1"/>
  <c r="B5600" i="5"/>
  <c r="Q5600" i="5" s="1"/>
  <c r="B5601" i="5"/>
  <c r="M5601" i="5" s="1"/>
  <c r="B5602" i="5"/>
  <c r="M5602" i="5" s="1"/>
  <c r="B5603" i="5"/>
  <c r="Q5603" i="5" s="1"/>
  <c r="B5604" i="5"/>
  <c r="Q5604" i="5" s="1"/>
  <c r="J5595" i="5"/>
  <c r="K5595" i="5" s="1"/>
  <c r="J5596" i="5"/>
  <c r="J5597" i="5"/>
  <c r="K5597" i="5" s="1"/>
  <c r="J5598" i="5"/>
  <c r="K5598" i="5" s="1"/>
  <c r="L5598" i="5" s="1"/>
  <c r="J5599" i="5"/>
  <c r="J5600" i="5"/>
  <c r="K5600" i="5" s="1"/>
  <c r="L5600" i="5" s="1"/>
  <c r="J5601" i="5"/>
  <c r="K5601" i="5" s="1"/>
  <c r="J5602" i="5"/>
  <c r="J5603" i="5"/>
  <c r="K5603" i="5" s="1"/>
  <c r="J5604" i="5"/>
  <c r="K5604" i="5" s="1"/>
  <c r="L5604" i="5" s="1"/>
  <c r="T5595" i="5"/>
  <c r="T5596" i="5"/>
  <c r="T5597" i="5"/>
  <c r="T5598" i="5"/>
  <c r="T5599" i="5"/>
  <c r="T5600" i="5"/>
  <c r="T5601" i="5"/>
  <c r="T5602" i="5"/>
  <c r="T5603" i="5"/>
  <c r="T5604" i="5"/>
  <c r="B5592" i="5"/>
  <c r="Q5592" i="5" s="1"/>
  <c r="B5593" i="5"/>
  <c r="Q5593" i="5" s="1"/>
  <c r="B5594" i="5"/>
  <c r="Q5594" i="5" s="1"/>
  <c r="J5592" i="5"/>
  <c r="K5592" i="5" s="1"/>
  <c r="L5592" i="5" s="1"/>
  <c r="J5593" i="5"/>
  <c r="K5593" i="5" s="1"/>
  <c r="J5594" i="5"/>
  <c r="K5594" i="5" s="1"/>
  <c r="T5592" i="5"/>
  <c r="T5593" i="5"/>
  <c r="T5594" i="5"/>
  <c r="R41" i="17" l="1"/>
  <c r="N6577" i="5"/>
  <c r="U6577" i="5" s="1"/>
  <c r="V6577" i="5" s="1"/>
  <c r="L6608" i="5"/>
  <c r="P6608" i="5" s="1"/>
  <c r="R6565" i="5"/>
  <c r="S6565" i="5" s="1"/>
  <c r="N6631" i="5"/>
  <c r="U6631" i="5" s="1"/>
  <c r="V6631" i="5" s="1"/>
  <c r="N6634" i="5"/>
  <c r="R6614" i="5"/>
  <c r="S6614" i="5" s="1"/>
  <c r="W53" i="12"/>
  <c r="AB53" i="12" s="1"/>
  <c r="DW53" i="12" s="1"/>
  <c r="AV53" i="12"/>
  <c r="R6603" i="5"/>
  <c r="S6603" i="5" s="1"/>
  <c r="N6612" i="5"/>
  <c r="U6612" i="5" s="1"/>
  <c r="V6612" i="5" s="1"/>
  <c r="N6600" i="5"/>
  <c r="O6600" i="5" s="1"/>
  <c r="O6643" i="5"/>
  <c r="R6597" i="5"/>
  <c r="S6597" i="5" s="1"/>
  <c r="R6623" i="5"/>
  <c r="S6623" i="5" s="1"/>
  <c r="N6647" i="5"/>
  <c r="R6589" i="5"/>
  <c r="S6589" i="5" s="1"/>
  <c r="R6644" i="5"/>
  <c r="S6644" i="5" s="1"/>
  <c r="L6654" i="5"/>
  <c r="P6654" i="5" s="1"/>
  <c r="R6596" i="5"/>
  <c r="S6596" i="5" s="1"/>
  <c r="R6522" i="5"/>
  <c r="S6522" i="5" s="1"/>
  <c r="N6639" i="5"/>
  <c r="U6639" i="5" s="1"/>
  <c r="V6639" i="5" s="1"/>
  <c r="R6536" i="5"/>
  <c r="S6536" i="5" s="1"/>
  <c r="L6579" i="5"/>
  <c r="P6579" i="5" s="1"/>
  <c r="R6573" i="5"/>
  <c r="S6573" i="5" s="1"/>
  <c r="N6552" i="5"/>
  <c r="N6601" i="5"/>
  <c r="N6533" i="5"/>
  <c r="O6533" i="5" s="1"/>
  <c r="L6544" i="5"/>
  <c r="P6544" i="5" s="1"/>
  <c r="R6641" i="5"/>
  <c r="S6641" i="5" s="1"/>
  <c r="O6610" i="5"/>
  <c r="P6478" i="5"/>
  <c r="U6478" i="5" s="1"/>
  <c r="V6478" i="5" s="1"/>
  <c r="R6514" i="5"/>
  <c r="S6514" i="5" s="1"/>
  <c r="R6524" i="5"/>
  <c r="S6524" i="5" s="1"/>
  <c r="N6573" i="5"/>
  <c r="O6573" i="5" s="1"/>
  <c r="R6585" i="5"/>
  <c r="S6585" i="5" s="1"/>
  <c r="R6520" i="5"/>
  <c r="S6520" i="5" s="1"/>
  <c r="R6509" i="5"/>
  <c r="S6509" i="5" s="1"/>
  <c r="R6529" i="5"/>
  <c r="S6529" i="5" s="1"/>
  <c r="L6585" i="5"/>
  <c r="N6585" i="5" s="1"/>
  <c r="L6621" i="5"/>
  <c r="N6621" i="5" s="1"/>
  <c r="P6552" i="5"/>
  <c r="R6625" i="5"/>
  <c r="S6625" i="5" s="1"/>
  <c r="P6594" i="5"/>
  <c r="U6594" i="5" s="1"/>
  <c r="V6594" i="5" s="1"/>
  <c r="L6591" i="5"/>
  <c r="N6591" i="5" s="1"/>
  <c r="N6602" i="5"/>
  <c r="U6602" i="5" s="1"/>
  <c r="V6602" i="5" s="1"/>
  <c r="R6583" i="5"/>
  <c r="S6583" i="5" s="1"/>
  <c r="R6611" i="5"/>
  <c r="S6611" i="5" s="1"/>
  <c r="N6479" i="5"/>
  <c r="O6479" i="5" s="1"/>
  <c r="L6522" i="5"/>
  <c r="P6522" i="5" s="1"/>
  <c r="R6503" i="5"/>
  <c r="S6503" i="5" s="1"/>
  <c r="N6539" i="5"/>
  <c r="O6539" i="5" s="1"/>
  <c r="R6526" i="5"/>
  <c r="S6526" i="5" s="1"/>
  <c r="R6574" i="5"/>
  <c r="S6574" i="5" s="1"/>
  <c r="L6605" i="5"/>
  <c r="N6605" i="5" s="1"/>
  <c r="L6628" i="5"/>
  <c r="N6628" i="5" s="1"/>
  <c r="L6645" i="5"/>
  <c r="P6645" i="5" s="1"/>
  <c r="L6574" i="5"/>
  <c r="P6574" i="5" s="1"/>
  <c r="N6567" i="5"/>
  <c r="M5959" i="5"/>
  <c r="P6634" i="5"/>
  <c r="P6647" i="5"/>
  <c r="L6498" i="5"/>
  <c r="N6498" i="5" s="1"/>
  <c r="R6481" i="5"/>
  <c r="S6481" i="5" s="1"/>
  <c r="L6583" i="5"/>
  <c r="N6583" i="5" s="1"/>
  <c r="P6629" i="5"/>
  <c r="O6629" i="5" s="1"/>
  <c r="U6646" i="5"/>
  <c r="V6646" i="5" s="1"/>
  <c r="R6606" i="5"/>
  <c r="S6606" i="5" s="1"/>
  <c r="P6601" i="5"/>
  <c r="R6494" i="5"/>
  <c r="S6494" i="5" s="1"/>
  <c r="L6503" i="5"/>
  <c r="P6503" i="5" s="1"/>
  <c r="U6650" i="5"/>
  <c r="V6650" i="5" s="1"/>
  <c r="L6655" i="5"/>
  <c r="P6655" i="5" s="1"/>
  <c r="L6633" i="5"/>
  <c r="N6633" i="5" s="1"/>
  <c r="N6485" i="5"/>
  <c r="O6485" i="5" s="1"/>
  <c r="R6582" i="5"/>
  <c r="S6582" i="5" s="1"/>
  <c r="N6613" i="5"/>
  <c r="U6613" i="5" s="1"/>
  <c r="V6613" i="5" s="1"/>
  <c r="L6520" i="5"/>
  <c r="P6520" i="5" s="1"/>
  <c r="L6481" i="5"/>
  <c r="N6481" i="5" s="1"/>
  <c r="R6638" i="5"/>
  <c r="S6638" i="5" s="1"/>
  <c r="R6560" i="5"/>
  <c r="S6560" i="5" s="1"/>
  <c r="N6656" i="5"/>
  <c r="L6658" i="5"/>
  <c r="U6643" i="5"/>
  <c r="V6643" i="5" s="1"/>
  <c r="P6587" i="5"/>
  <c r="N6587" i="5"/>
  <c r="P6565" i="5"/>
  <c r="N6565" i="5"/>
  <c r="O6512" i="5"/>
  <c r="U6512" i="5"/>
  <c r="V6512" i="5" s="1"/>
  <c r="P6534" i="5"/>
  <c r="N6534" i="5"/>
  <c r="P6665" i="5"/>
  <c r="N6665" i="5"/>
  <c r="N6652" i="5"/>
  <c r="R6642" i="5"/>
  <c r="S6642" i="5" s="1"/>
  <c r="L6483" i="5"/>
  <c r="N6483" i="5" s="1"/>
  <c r="R6626" i="5"/>
  <c r="S6626" i="5" s="1"/>
  <c r="R6504" i="5"/>
  <c r="S6504" i="5" s="1"/>
  <c r="P6514" i="5"/>
  <c r="U6514" i="5" s="1"/>
  <c r="V6514" i="5" s="1"/>
  <c r="R6665" i="5"/>
  <c r="S6665" i="5" s="1"/>
  <c r="N6550" i="5"/>
  <c r="P6550" i="5"/>
  <c r="P6656" i="5"/>
  <c r="R6592" i="5"/>
  <c r="S6592" i="5" s="1"/>
  <c r="R6587" i="5"/>
  <c r="S6587" i="5" s="1"/>
  <c r="L6582" i="5"/>
  <c r="P6582" i="5" s="1"/>
  <c r="O6660" i="5"/>
  <c r="N6620" i="5"/>
  <c r="O6620" i="5" s="1"/>
  <c r="R6659" i="5"/>
  <c r="S6659" i="5" s="1"/>
  <c r="L6524" i="5"/>
  <c r="R6602" i="5"/>
  <c r="S6602" i="5" s="1"/>
  <c r="R6505" i="5"/>
  <c r="S6505" i="5" s="1"/>
  <c r="R6535" i="5"/>
  <c r="S6535" i="5" s="1"/>
  <c r="L6509" i="5"/>
  <c r="N6509" i="5" s="1"/>
  <c r="L6507" i="5"/>
  <c r="U6496" i="5"/>
  <c r="V6496" i="5" s="1"/>
  <c r="P6567" i="5"/>
  <c r="R6568" i="5"/>
  <c r="S6568" i="5" s="1"/>
  <c r="P6618" i="5"/>
  <c r="N6618" i="5"/>
  <c r="R6555" i="5"/>
  <c r="S6555" i="5" s="1"/>
  <c r="N6536" i="5"/>
  <c r="O6536" i="5" s="1"/>
  <c r="N6576" i="5"/>
  <c r="U6576" i="5" s="1"/>
  <c r="V6576" i="5" s="1"/>
  <c r="R6501" i="5"/>
  <c r="S6501" i="5" s="1"/>
  <c r="R6615" i="5"/>
  <c r="S6615" i="5" s="1"/>
  <c r="L6593" i="5"/>
  <c r="L6526" i="5"/>
  <c r="P6526" i="5" s="1"/>
  <c r="R6488" i="5"/>
  <c r="S6488" i="5" s="1"/>
  <c r="U6610" i="5"/>
  <c r="V6610" i="5" s="1"/>
  <c r="N6551" i="5"/>
  <c r="U6551" i="5" s="1"/>
  <c r="V6551" i="5" s="1"/>
  <c r="L6619" i="5"/>
  <c r="L6549" i="5"/>
  <c r="P6549" i="5" s="1"/>
  <c r="L6592" i="5"/>
  <c r="L6570" i="5"/>
  <c r="N6603" i="5"/>
  <c r="U6603" i="5" s="1"/>
  <c r="V6603" i="5" s="1"/>
  <c r="L6518" i="5"/>
  <c r="L6497" i="5"/>
  <c r="P6497" i="5" s="1"/>
  <c r="N6484" i="5"/>
  <c r="R6532" i="5"/>
  <c r="S6532" i="5" s="1"/>
  <c r="N6513" i="5"/>
  <c r="L6636" i="5"/>
  <c r="P6636" i="5" s="1"/>
  <c r="R6634" i="5"/>
  <c r="S6634" i="5" s="1"/>
  <c r="N6540" i="5"/>
  <c r="L6525" i="5"/>
  <c r="P6525" i="5" s="1"/>
  <c r="O6590" i="5"/>
  <c r="R6485" i="5"/>
  <c r="S6485" i="5" s="1"/>
  <c r="N6541" i="5"/>
  <c r="P6541" i="5"/>
  <c r="R6484" i="5"/>
  <c r="S6484" i="5" s="1"/>
  <c r="L6553" i="5"/>
  <c r="P6553" i="5" s="1"/>
  <c r="U6493" i="5"/>
  <c r="V6493" i="5" s="1"/>
  <c r="P6482" i="5"/>
  <c r="R6559" i="5"/>
  <c r="S6559" i="5" s="1"/>
  <c r="U6660" i="5"/>
  <c r="V6660" i="5" s="1"/>
  <c r="R6534" i="5"/>
  <c r="S6534" i="5" s="1"/>
  <c r="L6625" i="5"/>
  <c r="P6502" i="5"/>
  <c r="N6502" i="5"/>
  <c r="N6554" i="5"/>
  <c r="P6554" i="5"/>
  <c r="N6489" i="5"/>
  <c r="P6489" i="5"/>
  <c r="P6568" i="5"/>
  <c r="N6568" i="5"/>
  <c r="P6501" i="5"/>
  <c r="N6501" i="5"/>
  <c r="P6560" i="5"/>
  <c r="N6560" i="5"/>
  <c r="P6559" i="5"/>
  <c r="N6559" i="5"/>
  <c r="P6480" i="5"/>
  <c r="N6480" i="5"/>
  <c r="P6555" i="5"/>
  <c r="N6555" i="5"/>
  <c r="P6562" i="5"/>
  <c r="N6562" i="5"/>
  <c r="P6500" i="5"/>
  <c r="N6500" i="5"/>
  <c r="P6504" i="5"/>
  <c r="N6504" i="5"/>
  <c r="P6580" i="5"/>
  <c r="N6580" i="5"/>
  <c r="P6611" i="5"/>
  <c r="N6611" i="5"/>
  <c r="P6569" i="5"/>
  <c r="N6569" i="5"/>
  <c r="P6638" i="5"/>
  <c r="N6638" i="5"/>
  <c r="R6637" i="5"/>
  <c r="S6637" i="5" s="1"/>
  <c r="R6562" i="5"/>
  <c r="S6562" i="5" s="1"/>
  <c r="R6528" i="5"/>
  <c r="S6528" i="5" s="1"/>
  <c r="L6617" i="5"/>
  <c r="R6569" i="5"/>
  <c r="S6569" i="5" s="1"/>
  <c r="P6505" i="5"/>
  <c r="N6505" i="5"/>
  <c r="P6641" i="5"/>
  <c r="N6641" i="5"/>
  <c r="R6500" i="5"/>
  <c r="S6500" i="5" s="1"/>
  <c r="L6532" i="5"/>
  <c r="N6510" i="5"/>
  <c r="P6510" i="5"/>
  <c r="P6517" i="5"/>
  <c r="N6517" i="5"/>
  <c r="O6581" i="5"/>
  <c r="U6581" i="5"/>
  <c r="V6581" i="5" s="1"/>
  <c r="L6663" i="5"/>
  <c r="U6548" i="5"/>
  <c r="V6548" i="5" s="1"/>
  <c r="U6566" i="5"/>
  <c r="V6566" i="5" s="1"/>
  <c r="P6491" i="5"/>
  <c r="N6491" i="5"/>
  <c r="P6664" i="5"/>
  <c r="N6664" i="5"/>
  <c r="N6537" i="5"/>
  <c r="P6537" i="5"/>
  <c r="N6564" i="5"/>
  <c r="P6564" i="5"/>
  <c r="P6529" i="5"/>
  <c r="N6529" i="5"/>
  <c r="P6598" i="5"/>
  <c r="N6598" i="5"/>
  <c r="L6649" i="5"/>
  <c r="N6495" i="5"/>
  <c r="P6495" i="5"/>
  <c r="P6609" i="5"/>
  <c r="N6609" i="5"/>
  <c r="N6494" i="5"/>
  <c r="P6494" i="5"/>
  <c r="P6604" i="5"/>
  <c r="N6604" i="5"/>
  <c r="R6502" i="5"/>
  <c r="S6502" i="5" s="1"/>
  <c r="P6666" i="5"/>
  <c r="N6666" i="5"/>
  <c r="P6642" i="5"/>
  <c r="N6642" i="5"/>
  <c r="L6488" i="5"/>
  <c r="U6499" i="5"/>
  <c r="V6499" i="5" s="1"/>
  <c r="O6499" i="5"/>
  <c r="P6640" i="5"/>
  <c r="N6640" i="5"/>
  <c r="P6632" i="5"/>
  <c r="N6632" i="5"/>
  <c r="P6578" i="5"/>
  <c r="N6578" i="5"/>
  <c r="L6543" i="5"/>
  <c r="R6580" i="5"/>
  <c r="S6580" i="5" s="1"/>
  <c r="P6558" i="5"/>
  <c r="N6558" i="5"/>
  <c r="P6615" i="5"/>
  <c r="N6615" i="5"/>
  <c r="R6517" i="5"/>
  <c r="S6517" i="5" s="1"/>
  <c r="N6535" i="5"/>
  <c r="P6535" i="5"/>
  <c r="O6496" i="5"/>
  <c r="P6584" i="5"/>
  <c r="N6584" i="5"/>
  <c r="P6506" i="5"/>
  <c r="N6506" i="5"/>
  <c r="L6516" i="5"/>
  <c r="P6531" i="5"/>
  <c r="N6531" i="5"/>
  <c r="P6589" i="5"/>
  <c r="N6589" i="5"/>
  <c r="P6571" i="5"/>
  <c r="N6571" i="5"/>
  <c r="P6528" i="5"/>
  <c r="N6528" i="5"/>
  <c r="P6651" i="5"/>
  <c r="N6651" i="5"/>
  <c r="L6588" i="5"/>
  <c r="P6637" i="5"/>
  <c r="N6637" i="5"/>
  <c r="L6648" i="5"/>
  <c r="P6624" i="5"/>
  <c r="N6624" i="5"/>
  <c r="P6606" i="5"/>
  <c r="N6606" i="5"/>
  <c r="U6546" i="5"/>
  <c r="V6546" i="5" s="1"/>
  <c r="O6546" i="5"/>
  <c r="P6545" i="5"/>
  <c r="N6545" i="5"/>
  <c r="L6644" i="5"/>
  <c r="N6575" i="5"/>
  <c r="P6575" i="5"/>
  <c r="P6490" i="5"/>
  <c r="N6490" i="5"/>
  <c r="L6542" i="5"/>
  <c r="O6527" i="5"/>
  <c r="N6523" i="5"/>
  <c r="P6523" i="5"/>
  <c r="L6668" i="5"/>
  <c r="R6489" i="5"/>
  <c r="S6489" i="5" s="1"/>
  <c r="P6487" i="5"/>
  <c r="N6487" i="5"/>
  <c r="P6530" i="5"/>
  <c r="N6530" i="5"/>
  <c r="P6659" i="5"/>
  <c r="N6659" i="5"/>
  <c r="P6657" i="5"/>
  <c r="N6657" i="5"/>
  <c r="N6515" i="5"/>
  <c r="P6515" i="5"/>
  <c r="U6521" i="5"/>
  <c r="V6521" i="5" s="1"/>
  <c r="L6597" i="5"/>
  <c r="P6626" i="5"/>
  <c r="N6626" i="5"/>
  <c r="L6595" i="5"/>
  <c r="U6590" i="5"/>
  <c r="V6590" i="5" s="1"/>
  <c r="L6614" i="5"/>
  <c r="U6527" i="5"/>
  <c r="V6527" i="5" s="1"/>
  <c r="P6599" i="5"/>
  <c r="N6599" i="5"/>
  <c r="P6630" i="5"/>
  <c r="N6630" i="5"/>
  <c r="N6616" i="5"/>
  <c r="P6616" i="5"/>
  <c r="L6622" i="5"/>
  <c r="P6623" i="5"/>
  <c r="N6623" i="5"/>
  <c r="U6661" i="5"/>
  <c r="V6661" i="5" s="1"/>
  <c r="O6661" i="5"/>
  <c r="P6653" i="5"/>
  <c r="N6653" i="5"/>
  <c r="P6519" i="5"/>
  <c r="N6519" i="5"/>
  <c r="P6572" i="5"/>
  <c r="N6572" i="5"/>
  <c r="L6508" i="5"/>
  <c r="O6557" i="5"/>
  <c r="U6557" i="5"/>
  <c r="V6557" i="5" s="1"/>
  <c r="R6480" i="5"/>
  <c r="S6480" i="5" s="1"/>
  <c r="O6607" i="5"/>
  <c r="U6607" i="5"/>
  <c r="V6607" i="5" s="1"/>
  <c r="P6547" i="5"/>
  <c r="N6547" i="5"/>
  <c r="R6554" i="5"/>
  <c r="S6554" i="5" s="1"/>
  <c r="L6662" i="5"/>
  <c r="O6556" i="5"/>
  <c r="U6556" i="5"/>
  <c r="V6556" i="5" s="1"/>
  <c r="O6635" i="5"/>
  <c r="U6635" i="5"/>
  <c r="V6635" i="5" s="1"/>
  <c r="P6667" i="5"/>
  <c r="N6667" i="5"/>
  <c r="L6627" i="5"/>
  <c r="L6511" i="5"/>
  <c r="L6596" i="5"/>
  <c r="L6486" i="5"/>
  <c r="L6538" i="5"/>
  <c r="P6563" i="5"/>
  <c r="N6563" i="5"/>
  <c r="P6492" i="5"/>
  <c r="N6492" i="5"/>
  <c r="P6561" i="5"/>
  <c r="N6561" i="5"/>
  <c r="P6586" i="5"/>
  <c r="N6586" i="5"/>
  <c r="O6650" i="5"/>
  <c r="R6415" i="5"/>
  <c r="S6415" i="5" s="1"/>
  <c r="M5958" i="5"/>
  <c r="R6354" i="5"/>
  <c r="S6354" i="5" s="1"/>
  <c r="N6432" i="5"/>
  <c r="O6432" i="5" s="1"/>
  <c r="R6416" i="5"/>
  <c r="S6416" i="5" s="1"/>
  <c r="AU53" i="12"/>
  <c r="N6400" i="5"/>
  <c r="U6400" i="5" s="1"/>
  <c r="V6400" i="5" s="1"/>
  <c r="R6327" i="5"/>
  <c r="S6327" i="5" s="1"/>
  <c r="N6330" i="5"/>
  <c r="U6330" i="5" s="1"/>
  <c r="V6330" i="5" s="1"/>
  <c r="R6283" i="5"/>
  <c r="S6283" i="5" s="1"/>
  <c r="M6198" i="5"/>
  <c r="N6198" i="5" s="1"/>
  <c r="N6434" i="5"/>
  <c r="O6434" i="5" s="1"/>
  <c r="Q6122" i="5"/>
  <c r="R6122" i="5" s="1"/>
  <c r="S6122" i="5" s="1"/>
  <c r="R6266" i="5"/>
  <c r="S6266" i="5" s="1"/>
  <c r="R6431" i="5"/>
  <c r="S6431" i="5" s="1"/>
  <c r="L6475" i="5"/>
  <c r="P6475" i="5" s="1"/>
  <c r="N6359" i="5"/>
  <c r="O6359" i="5" s="1"/>
  <c r="L6376" i="5"/>
  <c r="N6376" i="5" s="1"/>
  <c r="N6473" i="5"/>
  <c r="U6473" i="5" s="1"/>
  <c r="V6473" i="5" s="1"/>
  <c r="O6474" i="5"/>
  <c r="O6421" i="5"/>
  <c r="Q6104" i="5"/>
  <c r="R6104" i="5" s="1"/>
  <c r="S6104" i="5" s="1"/>
  <c r="M6102" i="5"/>
  <c r="N6102" i="5" s="1"/>
  <c r="R6305" i="5"/>
  <c r="S6305" i="5" s="1"/>
  <c r="N6413" i="5"/>
  <c r="O6413" i="5" s="1"/>
  <c r="M6129" i="5"/>
  <c r="O6391" i="5"/>
  <c r="R6362" i="5"/>
  <c r="S6362" i="5" s="1"/>
  <c r="U6264" i="5"/>
  <c r="V6264" i="5" s="1"/>
  <c r="R6293" i="5"/>
  <c r="S6293" i="5" s="1"/>
  <c r="R6356" i="5"/>
  <c r="S6356" i="5" s="1"/>
  <c r="R6389" i="5"/>
  <c r="S6389" i="5" s="1"/>
  <c r="R6269" i="5"/>
  <c r="S6269" i="5" s="1"/>
  <c r="R6282" i="5"/>
  <c r="S6282" i="5" s="1"/>
  <c r="R6459" i="5"/>
  <c r="S6459" i="5" s="1"/>
  <c r="R6337" i="5"/>
  <c r="S6337" i="5" s="1"/>
  <c r="R6436" i="5"/>
  <c r="S6436" i="5" s="1"/>
  <c r="U6435" i="5"/>
  <c r="V6435" i="5" s="1"/>
  <c r="R6401" i="5"/>
  <c r="S6401" i="5" s="1"/>
  <c r="R6306" i="5"/>
  <c r="S6306" i="5" s="1"/>
  <c r="U6313" i="5"/>
  <c r="V6313" i="5" s="1"/>
  <c r="N6320" i="5"/>
  <c r="R6275" i="5"/>
  <c r="S6275" i="5" s="1"/>
  <c r="R6315" i="5"/>
  <c r="S6315" i="5" s="1"/>
  <c r="R6335" i="5"/>
  <c r="S6335" i="5" s="1"/>
  <c r="R6460" i="5"/>
  <c r="S6460" i="5" s="1"/>
  <c r="R6423" i="5"/>
  <c r="S6423" i="5" s="1"/>
  <c r="L6416" i="5"/>
  <c r="P6416" i="5" s="1"/>
  <c r="O6439" i="5"/>
  <c r="R6325" i="5"/>
  <c r="S6325" i="5" s="1"/>
  <c r="L6468" i="5"/>
  <c r="N6468" i="5" s="1"/>
  <c r="N6396" i="5"/>
  <c r="O6396" i="5" s="1"/>
  <c r="O6277" i="5"/>
  <c r="R6429" i="5"/>
  <c r="S6429" i="5" s="1"/>
  <c r="M6187" i="5"/>
  <c r="L6436" i="5"/>
  <c r="N6436" i="5" s="1"/>
  <c r="N6467" i="5"/>
  <c r="U6467" i="5" s="1"/>
  <c r="V6467" i="5" s="1"/>
  <c r="N6406" i="5"/>
  <c r="U6406" i="5" s="1"/>
  <c r="V6406" i="5" s="1"/>
  <c r="U6292" i="5"/>
  <c r="V6292" i="5" s="1"/>
  <c r="R6286" i="5"/>
  <c r="S6286" i="5" s="1"/>
  <c r="R6437" i="5"/>
  <c r="S6437" i="5" s="1"/>
  <c r="P6320" i="5"/>
  <c r="N6399" i="5"/>
  <c r="R6370" i="5"/>
  <c r="S6370" i="5" s="1"/>
  <c r="U6250" i="5"/>
  <c r="V6250" i="5" s="1"/>
  <c r="R6314" i="5"/>
  <c r="S6314" i="5" s="1"/>
  <c r="R6276" i="5"/>
  <c r="S6276" i="5" s="1"/>
  <c r="R6249" i="5"/>
  <c r="S6249" i="5" s="1"/>
  <c r="U6441" i="5"/>
  <c r="V6441" i="5" s="1"/>
  <c r="O6345" i="5"/>
  <c r="N6362" i="5"/>
  <c r="P6362" i="5"/>
  <c r="U6319" i="5"/>
  <c r="V6319" i="5" s="1"/>
  <c r="R6388" i="5"/>
  <c r="S6388" i="5" s="1"/>
  <c r="U6375" i="5"/>
  <c r="V6375" i="5" s="1"/>
  <c r="U6439" i="5"/>
  <c r="V6439" i="5" s="1"/>
  <c r="O6300" i="5"/>
  <c r="R6451" i="5"/>
  <c r="S6451" i="5" s="1"/>
  <c r="R6411" i="5"/>
  <c r="S6411" i="5" s="1"/>
  <c r="U6454" i="5"/>
  <c r="V6454" i="5" s="1"/>
  <c r="O6438" i="5"/>
  <c r="M5982" i="5"/>
  <c r="R6334" i="5"/>
  <c r="S6334" i="5" s="1"/>
  <c r="N6323" i="5"/>
  <c r="U6323" i="5" s="1"/>
  <c r="V6323" i="5" s="1"/>
  <c r="R6343" i="5"/>
  <c r="S6343" i="5" s="1"/>
  <c r="R6456" i="5"/>
  <c r="S6456" i="5" s="1"/>
  <c r="U6428" i="5"/>
  <c r="V6428" i="5" s="1"/>
  <c r="M5660" i="5"/>
  <c r="N5660" i="5" s="1"/>
  <c r="N6395" i="5"/>
  <c r="U6395" i="5" s="1"/>
  <c r="V6395" i="5" s="1"/>
  <c r="R6472" i="5"/>
  <c r="S6472" i="5" s="1"/>
  <c r="R6403" i="5"/>
  <c r="S6403" i="5" s="1"/>
  <c r="O6301" i="5"/>
  <c r="M6204" i="5"/>
  <c r="N6204" i="5" s="1"/>
  <c r="R6379" i="5"/>
  <c r="S6379" i="5" s="1"/>
  <c r="L6314" i="5"/>
  <c r="P6314" i="5" s="1"/>
  <c r="U6372" i="5"/>
  <c r="V6372" i="5" s="1"/>
  <c r="U6381" i="5"/>
  <c r="V6381" i="5" s="1"/>
  <c r="P6354" i="5"/>
  <c r="N6354" i="5"/>
  <c r="R6355" i="5"/>
  <c r="S6355" i="5" s="1"/>
  <c r="R6353" i="5"/>
  <c r="S6353" i="5" s="1"/>
  <c r="L6349" i="5"/>
  <c r="P6349" i="5" s="1"/>
  <c r="R6346" i="5"/>
  <c r="S6346" i="5" s="1"/>
  <c r="L6337" i="5"/>
  <c r="N6337" i="5" s="1"/>
  <c r="O6336" i="5"/>
  <c r="L6335" i="5"/>
  <c r="L6325" i="5"/>
  <c r="P6325" i="5" s="1"/>
  <c r="R6304" i="5"/>
  <c r="S6304" i="5" s="1"/>
  <c r="L6293" i="5"/>
  <c r="P6293" i="5" s="1"/>
  <c r="L6279" i="5"/>
  <c r="P6279" i="5" s="1"/>
  <c r="L6272" i="5"/>
  <c r="N6272" i="5" s="1"/>
  <c r="P6451" i="5"/>
  <c r="N6451" i="5"/>
  <c r="P6353" i="5"/>
  <c r="N6353" i="5"/>
  <c r="P6425" i="5"/>
  <c r="N6425" i="5"/>
  <c r="N6286" i="5"/>
  <c r="P6286" i="5"/>
  <c r="N6304" i="5"/>
  <c r="P6304" i="5"/>
  <c r="N6305" i="5"/>
  <c r="O6305" i="5" s="1"/>
  <c r="R6409" i="5"/>
  <c r="S6409" i="5" s="1"/>
  <c r="L6360" i="5"/>
  <c r="N6360" i="5" s="1"/>
  <c r="R6285" i="5"/>
  <c r="S6285" i="5" s="1"/>
  <c r="U6307" i="5"/>
  <c r="V6307" i="5" s="1"/>
  <c r="U6465" i="5"/>
  <c r="V6465" i="5" s="1"/>
  <c r="L6460" i="5"/>
  <c r="P6460" i="5" s="1"/>
  <c r="L6361" i="5"/>
  <c r="N6361" i="5" s="1"/>
  <c r="R6382" i="5"/>
  <c r="S6382" i="5" s="1"/>
  <c r="R6394" i="5"/>
  <c r="S6394" i="5" s="1"/>
  <c r="U6426" i="5"/>
  <c r="V6426" i="5" s="1"/>
  <c r="L6352" i="5"/>
  <c r="P6352" i="5" s="1"/>
  <c r="R6390" i="5"/>
  <c r="S6390" i="5" s="1"/>
  <c r="L6253" i="5"/>
  <c r="N6253" i="5" s="1"/>
  <c r="L6459" i="5"/>
  <c r="N6459" i="5" s="1"/>
  <c r="R6342" i="5"/>
  <c r="S6342" i="5" s="1"/>
  <c r="R6273" i="5"/>
  <c r="S6273" i="5" s="1"/>
  <c r="L6275" i="5"/>
  <c r="N6275" i="5" s="1"/>
  <c r="U6339" i="5"/>
  <c r="V6339" i="5" s="1"/>
  <c r="R6425" i="5"/>
  <c r="S6425" i="5" s="1"/>
  <c r="N6329" i="5"/>
  <c r="O6329" i="5" s="1"/>
  <c r="L6287" i="5"/>
  <c r="P6287" i="5" s="1"/>
  <c r="R6427" i="5"/>
  <c r="S6427" i="5" s="1"/>
  <c r="P6422" i="5"/>
  <c r="N6422" i="5"/>
  <c r="L6477" i="5"/>
  <c r="P6477" i="5" s="1"/>
  <c r="O6471" i="5"/>
  <c r="O6280" i="5"/>
  <c r="R6418" i="5"/>
  <c r="S6418" i="5" s="1"/>
  <c r="P6399" i="5"/>
  <c r="R6310" i="5"/>
  <c r="S6310" i="5" s="1"/>
  <c r="N6461" i="5"/>
  <c r="O6461" i="5" s="1"/>
  <c r="R6440" i="5"/>
  <c r="S6440" i="5" s="1"/>
  <c r="O6267" i="5"/>
  <c r="R6331" i="5"/>
  <c r="S6331" i="5" s="1"/>
  <c r="N6380" i="5"/>
  <c r="R6446" i="5"/>
  <c r="S6446" i="5" s="1"/>
  <c r="N6418" i="5"/>
  <c r="U6418" i="5" s="1"/>
  <c r="V6418" i="5" s="1"/>
  <c r="N6452" i="5"/>
  <c r="U6452" i="5" s="1"/>
  <c r="V6452" i="5" s="1"/>
  <c r="R6395" i="5"/>
  <c r="S6395" i="5" s="1"/>
  <c r="R6384" i="5"/>
  <c r="S6384" i="5" s="1"/>
  <c r="U6367" i="5"/>
  <c r="V6367" i="5" s="1"/>
  <c r="L6423" i="5"/>
  <c r="P6423" i="5" s="1"/>
  <c r="O6420" i="5"/>
  <c r="R6373" i="5"/>
  <c r="S6373" i="5" s="1"/>
  <c r="O6347" i="5"/>
  <c r="O6350" i="5"/>
  <c r="O6405" i="5"/>
  <c r="L6370" i="5"/>
  <c r="N6370" i="5" s="1"/>
  <c r="R6383" i="5"/>
  <c r="S6383" i="5" s="1"/>
  <c r="U6278" i="5"/>
  <c r="V6278" i="5" s="1"/>
  <c r="L6356" i="5"/>
  <c r="N6356" i="5" s="1"/>
  <c r="O6340" i="5"/>
  <c r="U6261" i="5"/>
  <c r="V6261" i="5" s="1"/>
  <c r="L6256" i="5"/>
  <c r="P6256" i="5" s="1"/>
  <c r="R6321" i="5"/>
  <c r="S6321" i="5" s="1"/>
  <c r="O6296" i="5"/>
  <c r="U6302" i="5"/>
  <c r="V6302" i="5" s="1"/>
  <c r="L6388" i="5"/>
  <c r="N6388" i="5" s="1"/>
  <c r="U6308" i="5"/>
  <c r="V6308" i="5" s="1"/>
  <c r="U6262" i="5"/>
  <c r="V6262" i="5" s="1"/>
  <c r="L6315" i="5"/>
  <c r="P6315" i="5" s="1"/>
  <c r="U6296" i="5"/>
  <c r="V6296" i="5" s="1"/>
  <c r="U6326" i="5"/>
  <c r="V6326" i="5" s="1"/>
  <c r="U6387" i="5"/>
  <c r="V6387" i="5" s="1"/>
  <c r="U6340" i="5"/>
  <c r="V6340" i="5" s="1"/>
  <c r="U6438" i="5"/>
  <c r="V6438" i="5" s="1"/>
  <c r="U6458" i="5"/>
  <c r="V6458" i="5" s="1"/>
  <c r="U6336" i="5"/>
  <c r="V6336" i="5" s="1"/>
  <c r="U6420" i="5"/>
  <c r="V6420" i="5" s="1"/>
  <c r="U6405" i="5"/>
  <c r="V6405" i="5" s="1"/>
  <c r="U6417" i="5"/>
  <c r="V6417" i="5" s="1"/>
  <c r="U6350" i="5"/>
  <c r="V6350" i="5" s="1"/>
  <c r="U6421" i="5"/>
  <c r="V6421" i="5" s="1"/>
  <c r="U6445" i="5"/>
  <c r="V6445" i="5" s="1"/>
  <c r="U6391" i="5"/>
  <c r="V6391" i="5" s="1"/>
  <c r="O6426" i="5"/>
  <c r="U6358" i="5"/>
  <c r="V6358" i="5" s="1"/>
  <c r="O6339" i="5"/>
  <c r="U6474" i="5"/>
  <c r="V6474" i="5" s="1"/>
  <c r="U6471" i="5"/>
  <c r="V6471" i="5" s="1"/>
  <c r="U6385" i="5"/>
  <c r="V6385" i="5" s="1"/>
  <c r="U6332" i="5"/>
  <c r="V6332" i="5" s="1"/>
  <c r="U6345" i="5"/>
  <c r="V6345" i="5" s="1"/>
  <c r="U6464" i="5"/>
  <c r="V6464" i="5" s="1"/>
  <c r="U6374" i="5"/>
  <c r="V6374" i="5" s="1"/>
  <c r="O6308" i="5"/>
  <c r="U6301" i="5"/>
  <c r="V6301" i="5" s="1"/>
  <c r="U6300" i="5"/>
  <c r="V6300" i="5" s="1"/>
  <c r="U6297" i="5"/>
  <c r="V6297" i="5" s="1"/>
  <c r="U6294" i="5"/>
  <c r="V6294" i="5" s="1"/>
  <c r="U6280" i="5"/>
  <c r="V6280" i="5" s="1"/>
  <c r="U6277" i="5"/>
  <c r="V6277" i="5" s="1"/>
  <c r="U6267" i="5"/>
  <c r="V6267" i="5" s="1"/>
  <c r="O6261" i="5"/>
  <c r="U6255" i="5"/>
  <c r="V6255" i="5" s="1"/>
  <c r="U6252" i="5"/>
  <c r="V6252" i="5" s="1"/>
  <c r="O6464" i="5"/>
  <c r="O6250" i="5"/>
  <c r="O6278" i="5"/>
  <c r="O6417" i="5"/>
  <c r="O6307" i="5"/>
  <c r="P6346" i="5"/>
  <c r="N6346" i="5"/>
  <c r="P6427" i="5"/>
  <c r="N6427" i="5"/>
  <c r="P6312" i="5"/>
  <c r="N6312" i="5"/>
  <c r="P6289" i="5"/>
  <c r="N6289" i="5"/>
  <c r="P6283" i="5"/>
  <c r="N6283" i="5"/>
  <c r="P6266" i="5"/>
  <c r="N6266" i="5"/>
  <c r="P6276" i="5"/>
  <c r="N6276" i="5"/>
  <c r="N6311" i="5"/>
  <c r="P6311" i="5"/>
  <c r="P6271" i="5"/>
  <c r="N6271" i="5"/>
  <c r="P6322" i="5"/>
  <c r="N6322" i="5"/>
  <c r="P6342" i="5"/>
  <c r="N6342" i="5"/>
  <c r="P6249" i="5"/>
  <c r="N6249" i="5"/>
  <c r="N6404" i="5"/>
  <c r="P6404" i="5"/>
  <c r="N6355" i="5"/>
  <c r="P6355" i="5"/>
  <c r="N6429" i="5"/>
  <c r="P6429" i="5"/>
  <c r="N6394" i="5"/>
  <c r="P6394" i="5"/>
  <c r="N6437" i="5"/>
  <c r="P6437" i="5"/>
  <c r="P6373" i="5"/>
  <c r="N6373" i="5"/>
  <c r="P6291" i="5"/>
  <c r="N6291" i="5"/>
  <c r="N6443" i="5"/>
  <c r="P6443" i="5"/>
  <c r="N6409" i="5"/>
  <c r="P6409" i="5"/>
  <c r="N6382" i="5"/>
  <c r="P6382" i="5"/>
  <c r="P6273" i="5"/>
  <c r="N6273" i="5"/>
  <c r="P6411" i="5"/>
  <c r="N6411" i="5"/>
  <c r="N6456" i="5"/>
  <c r="P6456" i="5"/>
  <c r="N6254" i="5"/>
  <c r="P6254" i="5"/>
  <c r="P6431" i="5"/>
  <c r="N6431" i="5"/>
  <c r="N6430" i="5"/>
  <c r="P6430" i="5"/>
  <c r="P6351" i="5"/>
  <c r="N6351" i="5"/>
  <c r="L6410" i="5"/>
  <c r="P6331" i="5"/>
  <c r="N6331" i="5"/>
  <c r="P6363" i="5"/>
  <c r="N6363" i="5"/>
  <c r="N6348" i="5"/>
  <c r="P6348" i="5"/>
  <c r="R6311" i="5"/>
  <c r="S6311" i="5" s="1"/>
  <c r="P6412" i="5"/>
  <c r="N6412" i="5"/>
  <c r="L6463" i="5"/>
  <c r="R6289" i="5"/>
  <c r="S6289" i="5" s="1"/>
  <c r="R6271" i="5"/>
  <c r="S6271" i="5" s="1"/>
  <c r="P6316" i="5"/>
  <c r="N6316" i="5"/>
  <c r="N6343" i="5"/>
  <c r="P6343" i="5"/>
  <c r="N6285" i="5"/>
  <c r="P6285" i="5"/>
  <c r="O6372" i="5"/>
  <c r="P6379" i="5"/>
  <c r="N6379" i="5"/>
  <c r="R6430" i="5"/>
  <c r="S6430" i="5" s="1"/>
  <c r="O6458" i="5"/>
  <c r="N6309" i="5"/>
  <c r="P6309" i="5"/>
  <c r="O6297" i="5"/>
  <c r="N6442" i="5"/>
  <c r="P6442" i="5"/>
  <c r="P6366" i="5"/>
  <c r="N6366" i="5"/>
  <c r="R6366" i="5"/>
  <c r="S6366" i="5" s="1"/>
  <c r="P6476" i="5"/>
  <c r="N6476" i="5"/>
  <c r="P6299" i="5"/>
  <c r="N6299" i="5"/>
  <c r="L6389" i="5"/>
  <c r="P6281" i="5"/>
  <c r="N6281" i="5"/>
  <c r="L6364" i="5"/>
  <c r="L6453" i="5"/>
  <c r="P6457" i="5"/>
  <c r="N6457" i="5"/>
  <c r="L6269" i="5"/>
  <c r="L6415" i="5"/>
  <c r="L6282" i="5"/>
  <c r="P6274" i="5"/>
  <c r="N6274" i="5"/>
  <c r="L6472" i="5"/>
  <c r="P6433" i="5"/>
  <c r="N6433" i="5"/>
  <c r="P6384" i="5"/>
  <c r="N6384" i="5"/>
  <c r="N6265" i="5"/>
  <c r="P6265" i="5"/>
  <c r="P6402" i="5"/>
  <c r="N6402" i="5"/>
  <c r="R6322" i="5"/>
  <c r="S6322" i="5" s="1"/>
  <c r="R6433" i="5"/>
  <c r="S6433" i="5" s="1"/>
  <c r="N6450" i="5"/>
  <c r="P6450" i="5"/>
  <c r="L6333" i="5"/>
  <c r="P6371" i="5"/>
  <c r="N6371" i="5"/>
  <c r="P6392" i="5"/>
  <c r="N6392" i="5"/>
  <c r="N6298" i="5"/>
  <c r="P6298" i="5"/>
  <c r="P6368" i="5"/>
  <c r="N6368" i="5"/>
  <c r="P6424" i="5"/>
  <c r="N6424" i="5"/>
  <c r="N6334" i="5"/>
  <c r="P6334" i="5"/>
  <c r="N6288" i="5"/>
  <c r="P6288" i="5"/>
  <c r="P6251" i="5"/>
  <c r="N6251" i="5"/>
  <c r="P6338" i="5"/>
  <c r="N6338" i="5"/>
  <c r="P6318" i="5"/>
  <c r="N6318" i="5"/>
  <c r="P6310" i="5"/>
  <c r="N6310" i="5"/>
  <c r="R6254" i="5"/>
  <c r="S6254" i="5" s="1"/>
  <c r="L6407" i="5"/>
  <c r="P6344" i="5"/>
  <c r="N6344" i="5"/>
  <c r="L6260" i="5"/>
  <c r="L6257" i="5"/>
  <c r="R6291" i="5"/>
  <c r="S6291" i="5" s="1"/>
  <c r="P6386" i="5"/>
  <c r="N6386" i="5"/>
  <c r="N6328" i="5"/>
  <c r="P6328" i="5"/>
  <c r="P6397" i="5"/>
  <c r="N6397" i="5"/>
  <c r="L6470" i="5"/>
  <c r="P6290" i="5"/>
  <c r="N6290" i="5"/>
  <c r="P6268" i="5"/>
  <c r="N6268" i="5"/>
  <c r="O6375" i="5"/>
  <c r="P6448" i="5"/>
  <c r="N6448" i="5"/>
  <c r="P6341" i="5"/>
  <c r="N6341" i="5"/>
  <c r="P6317" i="5"/>
  <c r="N6317" i="5"/>
  <c r="R6466" i="5"/>
  <c r="S6466" i="5" s="1"/>
  <c r="L6455" i="5"/>
  <c r="P6377" i="5"/>
  <c r="N6377" i="5"/>
  <c r="O6326" i="5"/>
  <c r="O6264" i="5"/>
  <c r="R6259" i="5"/>
  <c r="S6259" i="5" s="1"/>
  <c r="P6466" i="5"/>
  <c r="N6466" i="5"/>
  <c r="P6303" i="5"/>
  <c r="N6303" i="5"/>
  <c r="N6321" i="5"/>
  <c r="P6321" i="5"/>
  <c r="N6324" i="5"/>
  <c r="P6324" i="5"/>
  <c r="P6365" i="5"/>
  <c r="N6365" i="5"/>
  <c r="L6306" i="5"/>
  <c r="P6440" i="5"/>
  <c r="N6440" i="5"/>
  <c r="R6404" i="5"/>
  <c r="S6404" i="5" s="1"/>
  <c r="P6378" i="5"/>
  <c r="N6378" i="5"/>
  <c r="P6414" i="5"/>
  <c r="N6414" i="5"/>
  <c r="N6263" i="5"/>
  <c r="P6263" i="5"/>
  <c r="P6258" i="5"/>
  <c r="N6258" i="5"/>
  <c r="N6357" i="5"/>
  <c r="P6357" i="5"/>
  <c r="P6408" i="5"/>
  <c r="N6408" i="5"/>
  <c r="P6284" i="5"/>
  <c r="N6284" i="5"/>
  <c r="R6443" i="5"/>
  <c r="S6443" i="5" s="1"/>
  <c r="L6469" i="5"/>
  <c r="L6401" i="5"/>
  <c r="P6447" i="5"/>
  <c r="N6447" i="5"/>
  <c r="N6295" i="5"/>
  <c r="P6295" i="5"/>
  <c r="N6390" i="5"/>
  <c r="P6390" i="5"/>
  <c r="L6462" i="5"/>
  <c r="O6358" i="5"/>
  <c r="L6327" i="5"/>
  <c r="P6444" i="5"/>
  <c r="N6444" i="5"/>
  <c r="L6369" i="5"/>
  <c r="P6449" i="5"/>
  <c r="N6449" i="5"/>
  <c r="P6270" i="5"/>
  <c r="N6270" i="5"/>
  <c r="O6435" i="5"/>
  <c r="O6381" i="5"/>
  <c r="P6419" i="5"/>
  <c r="N6419" i="5"/>
  <c r="P6393" i="5"/>
  <c r="N6393" i="5"/>
  <c r="N6403" i="5"/>
  <c r="P6403" i="5"/>
  <c r="O6445" i="5"/>
  <c r="P6398" i="5"/>
  <c r="N6398" i="5"/>
  <c r="P6446" i="5"/>
  <c r="N6446" i="5"/>
  <c r="R6312" i="5"/>
  <c r="S6312" i="5" s="1"/>
  <c r="P6259" i="5"/>
  <c r="N6259" i="5"/>
  <c r="O6367" i="5"/>
  <c r="P6383" i="5"/>
  <c r="N6383" i="5"/>
  <c r="M5833" i="5"/>
  <c r="N5833" i="5" s="1"/>
  <c r="M5832" i="5"/>
  <c r="N5832" i="5" s="1"/>
  <c r="M5769" i="5"/>
  <c r="N5769" i="5" s="1"/>
  <c r="M5662" i="5"/>
  <c r="N5662" i="5" s="1"/>
  <c r="M5768" i="5"/>
  <c r="N5768" i="5" s="1"/>
  <c r="M6216" i="5"/>
  <c r="M6215" i="5"/>
  <c r="N6215" i="5" s="1"/>
  <c r="M5648" i="5"/>
  <c r="N5648" i="5" s="1"/>
  <c r="M6144" i="5"/>
  <c r="M5647" i="5"/>
  <c r="N5647" i="5" s="1"/>
  <c r="M6142" i="5"/>
  <c r="N6142" i="5" s="1"/>
  <c r="M6197" i="5"/>
  <c r="N6197" i="5" s="1"/>
  <c r="M5649" i="5"/>
  <c r="M5673" i="5"/>
  <c r="N5673" i="5" s="1"/>
  <c r="M6200" i="5"/>
  <c r="N6200" i="5" s="1"/>
  <c r="M5884" i="5"/>
  <c r="N5884" i="5" s="1"/>
  <c r="M6128" i="5"/>
  <c r="M6140" i="5"/>
  <c r="M5659" i="5"/>
  <c r="N5659" i="5" s="1"/>
  <c r="M5904" i="5"/>
  <c r="M6032" i="5"/>
  <c r="M5941" i="5"/>
  <c r="M5940" i="5"/>
  <c r="N5940" i="5" s="1"/>
  <c r="M5822" i="5"/>
  <c r="N5822" i="5" s="1"/>
  <c r="M5986" i="5"/>
  <c r="N5986" i="5" s="1"/>
  <c r="M5996" i="5"/>
  <c r="M6103" i="5"/>
  <c r="M6101" i="5"/>
  <c r="M6100" i="5"/>
  <c r="N6100" i="5" s="1"/>
  <c r="U6100" i="5" s="1"/>
  <c r="V6100" i="5" s="1"/>
  <c r="M5629" i="5"/>
  <c r="N5629" i="5" s="1"/>
  <c r="M6201" i="5"/>
  <c r="N6201" i="5" s="1"/>
  <c r="M5883" i="5"/>
  <c r="N5883" i="5" s="1"/>
  <c r="M6186" i="5"/>
  <c r="N6186" i="5" s="1"/>
  <c r="M6170" i="5"/>
  <c r="M6185" i="5"/>
  <c r="N6185" i="5" s="1"/>
  <c r="Q5951" i="5"/>
  <c r="R5951" i="5" s="1"/>
  <c r="S5951" i="5" s="1"/>
  <c r="M6054" i="5"/>
  <c r="M6085" i="5"/>
  <c r="M6169" i="5"/>
  <c r="M5677" i="5"/>
  <c r="M5676" i="5"/>
  <c r="M6019" i="5"/>
  <c r="N6019" i="5" s="1"/>
  <c r="M6084" i="5"/>
  <c r="N6084" i="5" s="1"/>
  <c r="M6168" i="5"/>
  <c r="N6168" i="5" s="1"/>
  <c r="M6143" i="5"/>
  <c r="M5597" i="5"/>
  <c r="M6190" i="5"/>
  <c r="M5843" i="5"/>
  <c r="M5997" i="5"/>
  <c r="Q6132" i="5"/>
  <c r="M6189" i="5"/>
  <c r="M6214" i="5"/>
  <c r="N6214" i="5" s="1"/>
  <c r="M6014" i="5"/>
  <c r="N6014" i="5" s="1"/>
  <c r="M6131" i="5"/>
  <c r="M5719" i="5"/>
  <c r="M5954" i="5"/>
  <c r="M5960" i="5"/>
  <c r="N5960" i="5" s="1"/>
  <c r="M5953" i="5"/>
  <c r="N5953" i="5" s="1"/>
  <c r="M6139" i="5"/>
  <c r="M6138" i="5"/>
  <c r="M5952" i="5"/>
  <c r="N5952" i="5" s="1"/>
  <c r="M5962" i="5"/>
  <c r="M6021" i="5"/>
  <c r="M6093" i="5"/>
  <c r="N6093" i="5" s="1"/>
  <c r="M6130" i="5"/>
  <c r="M6173" i="5"/>
  <c r="N6173" i="5" s="1"/>
  <c r="M6188" i="5"/>
  <c r="N6188" i="5" s="1"/>
  <c r="M6206" i="5"/>
  <c r="M5961" i="5"/>
  <c r="M6020" i="5"/>
  <c r="M6092" i="5"/>
  <c r="N6092" i="5" s="1"/>
  <c r="M6199" i="5"/>
  <c r="M6205" i="5"/>
  <c r="N6205" i="5" s="1"/>
  <c r="M5765" i="5"/>
  <c r="N5765" i="5" s="1"/>
  <c r="M5885" i="5"/>
  <c r="M6083" i="5"/>
  <c r="N6083" i="5" s="1"/>
  <c r="M5661" i="5"/>
  <c r="N5661" i="5" s="1"/>
  <c r="Q6099" i="5"/>
  <c r="R6099" i="5" s="1"/>
  <c r="S6099" i="5" s="1"/>
  <c r="M5981" i="5"/>
  <c r="N5981" i="5" s="1"/>
  <c r="M5995" i="5"/>
  <c r="M6031" i="5"/>
  <c r="M5821" i="5"/>
  <c r="N5821" i="5" s="1"/>
  <c r="M5903" i="5"/>
  <c r="M5980" i="5"/>
  <c r="N5980" i="5" s="1"/>
  <c r="M6030" i="5"/>
  <c r="Q6191" i="5"/>
  <c r="R6191" i="5" s="1"/>
  <c r="S6191" i="5" s="1"/>
  <c r="M5902" i="5"/>
  <c r="N5902" i="5" s="1"/>
  <c r="M6015" i="5"/>
  <c r="N6015" i="5" s="1"/>
  <c r="M6149" i="5"/>
  <c r="N6149" i="5" s="1"/>
  <c r="M6202" i="5"/>
  <c r="M5630" i="5"/>
  <c r="M5592" i="5"/>
  <c r="N5592" i="5" s="1"/>
  <c r="M5628" i="5"/>
  <c r="N5628" i="5" s="1"/>
  <c r="M5942" i="5"/>
  <c r="M5770" i="5"/>
  <c r="M5841" i="5"/>
  <c r="M5957" i="5"/>
  <c r="N5957" i="5" s="1"/>
  <c r="Q6133" i="5"/>
  <c r="R6133" i="5" s="1"/>
  <c r="S6133" i="5" s="1"/>
  <c r="M5675" i="5"/>
  <c r="M5985" i="5"/>
  <c r="M5984" i="5"/>
  <c r="N5984" i="5" s="1"/>
  <c r="M5983" i="5"/>
  <c r="N5983" i="5" s="1"/>
  <c r="M5658" i="5"/>
  <c r="N5658" i="5" s="1"/>
  <c r="M5994" i="5"/>
  <c r="Q6247" i="5"/>
  <c r="M5674" i="5"/>
  <c r="N5674" i="5" s="1"/>
  <c r="M5631" i="5"/>
  <c r="N5631" i="5" s="1"/>
  <c r="M5657" i="5"/>
  <c r="N5657" i="5" s="1"/>
  <c r="M5978" i="5"/>
  <c r="M5993" i="5"/>
  <c r="M5992" i="5"/>
  <c r="N5992" i="5" s="1"/>
  <c r="M5759" i="5"/>
  <c r="M6110" i="5"/>
  <c r="N6110" i="5" s="1"/>
  <c r="M6239" i="5"/>
  <c r="Q6224" i="5"/>
  <c r="R6224" i="5" s="1"/>
  <c r="S6224" i="5" s="1"/>
  <c r="M5848" i="5"/>
  <c r="N5848" i="5" s="1"/>
  <c r="M5692" i="5"/>
  <c r="M5869" i="5"/>
  <c r="Q5900" i="5"/>
  <c r="R5900" i="5" s="1"/>
  <c r="S5900" i="5" s="1"/>
  <c r="Q5936" i="5"/>
  <c r="M5834" i="5"/>
  <c r="M5842" i="5"/>
  <c r="M6017" i="5"/>
  <c r="M5971" i="5"/>
  <c r="N5971" i="5" s="1"/>
  <c r="Q6245" i="5"/>
  <c r="R6245" i="5" s="1"/>
  <c r="S6245" i="5" s="1"/>
  <c r="Q5767" i="5"/>
  <c r="R5767" i="5" s="1"/>
  <c r="S5767" i="5" s="1"/>
  <c r="Q5829" i="5"/>
  <c r="R5829" i="5" s="1"/>
  <c r="S5829" i="5" s="1"/>
  <c r="M6006" i="5"/>
  <c r="M6211" i="5"/>
  <c r="N6211" i="5" s="1"/>
  <c r="Q6240" i="5"/>
  <c r="R6240" i="5" s="1"/>
  <c r="S6240" i="5" s="1"/>
  <c r="Q6243" i="5"/>
  <c r="R6243" i="5" s="1"/>
  <c r="S6243" i="5" s="1"/>
  <c r="M5748" i="5"/>
  <c r="M5964" i="5"/>
  <c r="N5964" i="5" s="1"/>
  <c r="M5968" i="5"/>
  <c r="M5965" i="5"/>
  <c r="Q5970" i="5"/>
  <c r="M6141" i="5"/>
  <c r="Q6248" i="5"/>
  <c r="R6248" i="5" s="1"/>
  <c r="S6248" i="5" s="1"/>
  <c r="M5795" i="5"/>
  <c r="N5795" i="5" s="1"/>
  <c r="M5966" i="5"/>
  <c r="M5813" i="5"/>
  <c r="N5813" i="5" s="1"/>
  <c r="M5864" i="5"/>
  <c r="N5864" i="5" s="1"/>
  <c r="M5792" i="5"/>
  <c r="M5856" i="5"/>
  <c r="Q6038" i="5"/>
  <c r="M5749" i="5"/>
  <c r="M5857" i="5"/>
  <c r="M6007" i="5"/>
  <c r="M6022" i="5"/>
  <c r="Q6221" i="5"/>
  <c r="M5847" i="5"/>
  <c r="N5847" i="5" s="1"/>
  <c r="Q6025" i="5"/>
  <c r="M6072" i="5"/>
  <c r="N6072" i="5" s="1"/>
  <c r="M5823" i="5"/>
  <c r="Q5774" i="5"/>
  <c r="R5774" i="5" s="1"/>
  <c r="S5774" i="5" s="1"/>
  <c r="M5802" i="5"/>
  <c r="Q5828" i="5"/>
  <c r="R5828" i="5" s="1"/>
  <c r="S5828" i="5" s="1"/>
  <c r="M5804" i="5"/>
  <c r="Q5991" i="5"/>
  <c r="R5991" i="5" s="1"/>
  <c r="S5991" i="5" s="1"/>
  <c r="M6008" i="5"/>
  <c r="N6008" i="5" s="1"/>
  <c r="Q6175" i="5"/>
  <c r="N6240" i="5"/>
  <c r="P6240" i="5"/>
  <c r="M5891" i="5"/>
  <c r="N5891" i="5" s="1"/>
  <c r="K6239" i="5"/>
  <c r="R6239" i="5" s="1"/>
  <c r="S6239" i="5" s="1"/>
  <c r="M5747" i="5"/>
  <c r="N5747" i="5" s="1"/>
  <c r="M5967" i="5"/>
  <c r="M6094" i="5"/>
  <c r="N6094" i="5" s="1"/>
  <c r="M6151" i="5"/>
  <c r="N6151" i="5" s="1"/>
  <c r="Q6208" i="5"/>
  <c r="R6208" i="5" s="1"/>
  <c r="S6208" i="5" s="1"/>
  <c r="Q6212" i="5"/>
  <c r="M6228" i="5"/>
  <c r="K6238" i="5"/>
  <c r="L6238" i="5" s="1"/>
  <c r="P6238" i="5" s="1"/>
  <c r="M6005" i="5"/>
  <c r="N6005" i="5" s="1"/>
  <c r="M5664" i="5"/>
  <c r="M5633" i="5"/>
  <c r="N5633" i="5" s="1"/>
  <c r="Q5773" i="5"/>
  <c r="R5773" i="5" s="1"/>
  <c r="S5773" i="5" s="1"/>
  <c r="Q5779" i="5"/>
  <c r="R5779" i="5" s="1"/>
  <c r="S5779" i="5" s="1"/>
  <c r="M5878" i="5"/>
  <c r="Q5880" i="5"/>
  <c r="R5880" i="5" s="1"/>
  <c r="S5880" i="5" s="1"/>
  <c r="Q5882" i="5"/>
  <c r="R5882" i="5" s="1"/>
  <c r="S5882" i="5" s="1"/>
  <c r="M5920" i="5"/>
  <c r="M6051" i="5"/>
  <c r="N6051" i="5" s="1"/>
  <c r="Q6069" i="5"/>
  <c r="Q6097" i="5"/>
  <c r="R6097" i="5" s="1"/>
  <c r="S6097" i="5" s="1"/>
  <c r="Q6159" i="5"/>
  <c r="Q6207" i="5"/>
  <c r="M6227" i="5"/>
  <c r="Q5775" i="5"/>
  <c r="R5775" i="5" s="1"/>
  <c r="S5775" i="5" s="1"/>
  <c r="M5794" i="5"/>
  <c r="M5963" i="5"/>
  <c r="N5963" i="5" s="1"/>
  <c r="M5868" i="5"/>
  <c r="Q5874" i="5"/>
  <c r="R5874" i="5" s="1"/>
  <c r="S5874" i="5" s="1"/>
  <c r="Q5933" i="5"/>
  <c r="R5933" i="5" s="1"/>
  <c r="S5933" i="5" s="1"/>
  <c r="Q6039" i="5"/>
  <c r="R6039" i="5" s="1"/>
  <c r="S6039" i="5" s="1"/>
  <c r="M6192" i="5"/>
  <c r="Q5916" i="5"/>
  <c r="R5916" i="5" s="1"/>
  <c r="S5916" i="5" s="1"/>
  <c r="M6004" i="5"/>
  <c r="N6004" i="5" s="1"/>
  <c r="Q6089" i="5"/>
  <c r="Q6161" i="5"/>
  <c r="R6161" i="5" s="1"/>
  <c r="S6161" i="5" s="1"/>
  <c r="M5663" i="5"/>
  <c r="N5663" i="5" s="1"/>
  <c r="Q5758" i="5"/>
  <c r="R5758" i="5" s="1"/>
  <c r="S5758" i="5" s="1"/>
  <c r="Q5761" i="5"/>
  <c r="R5761" i="5" s="1"/>
  <c r="S5761" i="5" s="1"/>
  <c r="M5812" i="5"/>
  <c r="Q5825" i="5"/>
  <c r="R5825" i="5" s="1"/>
  <c r="S5825" i="5" s="1"/>
  <c r="Q5827" i="5"/>
  <c r="R5827" i="5" s="1"/>
  <c r="S5827" i="5" s="1"/>
  <c r="Q5837" i="5"/>
  <c r="R5837" i="5" s="1"/>
  <c r="S5837" i="5" s="1"/>
  <c r="M5870" i="5"/>
  <c r="M5906" i="5"/>
  <c r="Q5922" i="5"/>
  <c r="R5922" i="5" s="1"/>
  <c r="S5922" i="5" s="1"/>
  <c r="Q5989" i="5"/>
  <c r="R5989" i="5" s="1"/>
  <c r="S5989" i="5" s="1"/>
  <c r="M6057" i="5"/>
  <c r="N6057" i="5" s="1"/>
  <c r="Q6148" i="5"/>
  <c r="R6148" i="5" s="1"/>
  <c r="S6148" i="5" s="1"/>
  <c r="Q6183" i="5"/>
  <c r="R6183" i="5" s="1"/>
  <c r="S6183" i="5" s="1"/>
  <c r="Q6217" i="5"/>
  <c r="R6217" i="5" s="1"/>
  <c r="S6217" i="5" s="1"/>
  <c r="M5632" i="5"/>
  <c r="Q5909" i="5"/>
  <c r="R5909" i="5" s="1"/>
  <c r="S5909" i="5" s="1"/>
  <c r="Q5919" i="5"/>
  <c r="R5919" i="5" s="1"/>
  <c r="S5919" i="5" s="1"/>
  <c r="Q5937" i="5"/>
  <c r="M5990" i="5"/>
  <c r="N5990" i="5" s="1"/>
  <c r="Q6033" i="5"/>
  <c r="M6238" i="5"/>
  <c r="Q5762" i="5"/>
  <c r="R5762" i="5" s="1"/>
  <c r="S5762" i="5" s="1"/>
  <c r="Q5846" i="5"/>
  <c r="R5846" i="5" s="1"/>
  <c r="S5846" i="5" s="1"/>
  <c r="Q5859" i="5"/>
  <c r="R5859" i="5" s="1"/>
  <c r="S5859" i="5" s="1"/>
  <c r="Q5861" i="5"/>
  <c r="R5861" i="5" s="1"/>
  <c r="S5861" i="5" s="1"/>
  <c r="M5889" i="5"/>
  <c r="M5901" i="5"/>
  <c r="Q5950" i="5"/>
  <c r="R5950" i="5" s="1"/>
  <c r="S5950" i="5" s="1"/>
  <c r="M6013" i="5"/>
  <c r="M6026" i="5"/>
  <c r="Q6125" i="5"/>
  <c r="R6125" i="5" s="1"/>
  <c r="S6125" i="5" s="1"/>
  <c r="M5976" i="5"/>
  <c r="N5976" i="5" s="1"/>
  <c r="Q6098" i="5"/>
  <c r="R6098" i="5" s="1"/>
  <c r="S6098" i="5" s="1"/>
  <c r="M6109" i="5"/>
  <c r="Q6210" i="5"/>
  <c r="Q5763" i="5"/>
  <c r="Q5805" i="5"/>
  <c r="R5805" i="5" s="1"/>
  <c r="S5805" i="5" s="1"/>
  <c r="M5988" i="5"/>
  <c r="N5988" i="5" s="1"/>
  <c r="M6001" i="5"/>
  <c r="Q6023" i="5"/>
  <c r="R6023" i="5" s="1"/>
  <c r="S6023" i="5" s="1"/>
  <c r="M6027" i="5"/>
  <c r="M6077" i="5"/>
  <c r="Q6088" i="5"/>
  <c r="Q6127" i="5"/>
  <c r="R6127" i="5" s="1"/>
  <c r="S6127" i="5" s="1"/>
  <c r="M6158" i="5"/>
  <c r="Q6162" i="5"/>
  <c r="R6162" i="5" s="1"/>
  <c r="S6162" i="5" s="1"/>
  <c r="Q6178" i="5"/>
  <c r="Q6219" i="5"/>
  <c r="R6219" i="5" s="1"/>
  <c r="S6219" i="5" s="1"/>
  <c r="M6237" i="5"/>
  <c r="N6237" i="5" s="1"/>
  <c r="Q6242" i="5"/>
  <c r="R6242" i="5" s="1"/>
  <c r="S6242" i="5" s="1"/>
  <c r="M5867" i="5"/>
  <c r="Q5778" i="5"/>
  <c r="R5778" i="5" s="1"/>
  <c r="S5778" i="5" s="1"/>
  <c r="Q5789" i="5"/>
  <c r="R5789" i="5" s="1"/>
  <c r="S5789" i="5" s="1"/>
  <c r="M5806" i="5"/>
  <c r="N5806" i="5" s="1"/>
  <c r="Q5807" i="5"/>
  <c r="Q5811" i="5"/>
  <c r="R5811" i="5" s="1"/>
  <c r="S5811" i="5" s="1"/>
  <c r="Q5814" i="5"/>
  <c r="Q5844" i="5"/>
  <c r="Q5853" i="5"/>
  <c r="R5853" i="5" s="1"/>
  <c r="S5853" i="5" s="1"/>
  <c r="Q5873" i="5"/>
  <c r="Q5932" i="5"/>
  <c r="Q6034" i="5"/>
  <c r="R6034" i="5" s="1"/>
  <c r="S6034" i="5" s="1"/>
  <c r="M6045" i="5"/>
  <c r="Q6070" i="5"/>
  <c r="Q6076" i="5"/>
  <c r="R6076" i="5" s="1"/>
  <c r="S6076" i="5" s="1"/>
  <c r="Q6126" i="5"/>
  <c r="M6181" i="5"/>
  <c r="N6181" i="5" s="1"/>
  <c r="Q6182" i="5"/>
  <c r="R6182" i="5" s="1"/>
  <c r="S6182" i="5" s="1"/>
  <c r="Q6184" i="5"/>
  <c r="R6184" i="5" s="1"/>
  <c r="S6184" i="5" s="1"/>
  <c r="Q6193" i="5"/>
  <c r="R6193" i="5" s="1"/>
  <c r="S6193" i="5" s="1"/>
  <c r="Q6218" i="5"/>
  <c r="R6218" i="5" s="1"/>
  <c r="S6218" i="5" s="1"/>
  <c r="Q5753" i="5"/>
  <c r="R5753" i="5" s="1"/>
  <c r="S5753" i="5" s="1"/>
  <c r="M5771" i="5"/>
  <c r="Q5783" i="5"/>
  <c r="R5783" i="5" s="1"/>
  <c r="S5783" i="5" s="1"/>
  <c r="M5791" i="5"/>
  <c r="N5791" i="5" s="1"/>
  <c r="Q5810" i="5"/>
  <c r="R5810" i="5" s="1"/>
  <c r="S5810" i="5" s="1"/>
  <c r="Q5819" i="5"/>
  <c r="Q5854" i="5"/>
  <c r="R5854" i="5" s="1"/>
  <c r="S5854" i="5" s="1"/>
  <c r="M5866" i="5"/>
  <c r="Q6055" i="5"/>
  <c r="R6055" i="5" s="1"/>
  <c r="S6055" i="5" s="1"/>
  <c r="Q6075" i="5"/>
  <c r="R6075" i="5" s="1"/>
  <c r="S6075" i="5" s="1"/>
  <c r="Q6082" i="5"/>
  <c r="R6082" i="5" s="1"/>
  <c r="S6082" i="5" s="1"/>
  <c r="M6116" i="5"/>
  <c r="M6157" i="5"/>
  <c r="Q6171" i="5"/>
  <c r="Q5744" i="5"/>
  <c r="Q5750" i="5"/>
  <c r="R5750" i="5" s="1"/>
  <c r="S5750" i="5" s="1"/>
  <c r="M5755" i="5"/>
  <c r="Q5766" i="5"/>
  <c r="R5766" i="5" s="1"/>
  <c r="S5766" i="5" s="1"/>
  <c r="M5863" i="5"/>
  <c r="N5863" i="5" s="1"/>
  <c r="Q5917" i="5"/>
  <c r="R5917" i="5" s="1"/>
  <c r="S5917" i="5" s="1"/>
  <c r="Q5928" i="5"/>
  <c r="Q5956" i="5"/>
  <c r="R5956" i="5" s="1"/>
  <c r="S5956" i="5" s="1"/>
  <c r="M6063" i="5"/>
  <c r="N6063" i="5" s="1"/>
  <c r="Q5926" i="5"/>
  <c r="M5979" i="5"/>
  <c r="R6237" i="5"/>
  <c r="S6237" i="5" s="1"/>
  <c r="M5760" i="5"/>
  <c r="N5760" i="5" s="1"/>
  <c r="Q5818" i="5"/>
  <c r="R5818" i="5" s="1"/>
  <c r="S5818" i="5" s="1"/>
  <c r="M5987" i="5"/>
  <c r="N5987" i="5" s="1"/>
  <c r="M5730" i="5"/>
  <c r="N5730" i="5" s="1"/>
  <c r="U5730" i="5" s="1"/>
  <c r="V5730" i="5" s="1"/>
  <c r="Q5845" i="5"/>
  <c r="R5845" i="5" s="1"/>
  <c r="S5845" i="5" s="1"/>
  <c r="Q5887" i="5"/>
  <c r="R5887" i="5" s="1"/>
  <c r="S5887" i="5" s="1"/>
  <c r="Q5918" i="5"/>
  <c r="Q5925" i="5"/>
  <c r="Q5929" i="5"/>
  <c r="Q5947" i="5"/>
  <c r="Q5955" i="5"/>
  <c r="R5955" i="5" s="1"/>
  <c r="S5955" i="5" s="1"/>
  <c r="Q5974" i="5"/>
  <c r="Q6010" i="5"/>
  <c r="R6010" i="5" s="1"/>
  <c r="S6010" i="5" s="1"/>
  <c r="Q6024" i="5"/>
  <c r="Q6041" i="5"/>
  <c r="R6041" i="5" s="1"/>
  <c r="S6041" i="5" s="1"/>
  <c r="M6048" i="5"/>
  <c r="M6061" i="5"/>
  <c r="N6061" i="5" s="1"/>
  <c r="Q6112" i="5"/>
  <c r="R6112" i="5" s="1"/>
  <c r="S6112" i="5" s="1"/>
  <c r="Q6121" i="5"/>
  <c r="Q6134" i="5"/>
  <c r="R6134" i="5" s="1"/>
  <c r="S6134" i="5" s="1"/>
  <c r="Q6147" i="5"/>
  <c r="M6174" i="5"/>
  <c r="Q6177" i="5"/>
  <c r="R6177" i="5" s="1"/>
  <c r="S6177" i="5" s="1"/>
  <c r="Q6225" i="5"/>
  <c r="Q6235" i="5"/>
  <c r="M5862" i="5"/>
  <c r="N5862" i="5" s="1"/>
  <c r="M6062" i="5"/>
  <c r="M6150" i="5"/>
  <c r="N6150" i="5" s="1"/>
  <c r="Q5796" i="5"/>
  <c r="Q5799" i="5"/>
  <c r="Q5865" i="5"/>
  <c r="R5865" i="5" s="1"/>
  <c r="S5865" i="5" s="1"/>
  <c r="M5886" i="5"/>
  <c r="Q5888" i="5"/>
  <c r="Q5912" i="5"/>
  <c r="Q5943" i="5"/>
  <c r="Q5945" i="5"/>
  <c r="R5945" i="5" s="1"/>
  <c r="S5945" i="5" s="1"/>
  <c r="Q6009" i="5"/>
  <c r="R6009" i="5" s="1"/>
  <c r="S6009" i="5" s="1"/>
  <c r="Q6040" i="5"/>
  <c r="R6040" i="5" s="1"/>
  <c r="S6040" i="5" s="1"/>
  <c r="M6043" i="5"/>
  <c r="N6043" i="5" s="1"/>
  <c r="M6060" i="5"/>
  <c r="Q6065" i="5"/>
  <c r="R6065" i="5" s="1"/>
  <c r="S6065" i="5" s="1"/>
  <c r="Q6067" i="5"/>
  <c r="R6067" i="5" s="1"/>
  <c r="S6067" i="5" s="1"/>
  <c r="Q6111" i="5"/>
  <c r="Q6115" i="5"/>
  <c r="R6115" i="5" s="1"/>
  <c r="S6115" i="5" s="1"/>
  <c r="Q6120" i="5"/>
  <c r="R6120" i="5" s="1"/>
  <c r="S6120" i="5" s="1"/>
  <c r="Q6213" i="5"/>
  <c r="R6213" i="5" s="1"/>
  <c r="S6213" i="5" s="1"/>
  <c r="Q6233" i="5"/>
  <c r="R6233" i="5" s="1"/>
  <c r="S6233" i="5" s="1"/>
  <c r="Q6234" i="5"/>
  <c r="R6234" i="5" s="1"/>
  <c r="S6234" i="5" s="1"/>
  <c r="Q6241" i="5"/>
  <c r="R6241" i="5" s="1"/>
  <c r="S6241" i="5" s="1"/>
  <c r="M5746" i="5"/>
  <c r="N5746" i="5" s="1"/>
  <c r="Q5890" i="5"/>
  <c r="R5890" i="5" s="1"/>
  <c r="S5890" i="5" s="1"/>
  <c r="M6049" i="5"/>
  <c r="Q5754" i="5"/>
  <c r="R5754" i="5" s="1"/>
  <c r="S5754" i="5" s="1"/>
  <c r="Q5757" i="5"/>
  <c r="R5757" i="5" s="1"/>
  <c r="S5757" i="5" s="1"/>
  <c r="M5793" i="5"/>
  <c r="N5793" i="5" s="1"/>
  <c r="M5817" i="5"/>
  <c r="N5817" i="5" s="1"/>
  <c r="M5826" i="5"/>
  <c r="Q5831" i="5"/>
  <c r="R5831" i="5" s="1"/>
  <c r="S5831" i="5" s="1"/>
  <c r="M5836" i="5"/>
  <c r="N5836" i="5" s="1"/>
  <c r="Q5849" i="5"/>
  <c r="R5849" i="5" s="1"/>
  <c r="S5849" i="5" s="1"/>
  <c r="Q5877" i="5"/>
  <c r="R5877" i="5" s="1"/>
  <c r="S5877" i="5" s="1"/>
  <c r="Q5914" i="5"/>
  <c r="Q5927" i="5"/>
  <c r="R5927" i="5" s="1"/>
  <c r="S5927" i="5" s="1"/>
  <c r="Q5944" i="5"/>
  <c r="R5944" i="5" s="1"/>
  <c r="S5944" i="5" s="1"/>
  <c r="M5946" i="5"/>
  <c r="Q6002" i="5"/>
  <c r="Q6012" i="5"/>
  <c r="Q6035" i="5"/>
  <c r="R6035" i="5" s="1"/>
  <c r="S6035" i="5" s="1"/>
  <c r="Q6064" i="5"/>
  <c r="R6064" i="5" s="1"/>
  <c r="S6064" i="5" s="1"/>
  <c r="Q6066" i="5"/>
  <c r="Q6074" i="5"/>
  <c r="R6074" i="5" s="1"/>
  <c r="S6074" i="5" s="1"/>
  <c r="Q6080" i="5"/>
  <c r="R6080" i="5" s="1"/>
  <c r="S6080" i="5" s="1"/>
  <c r="Q6091" i="5"/>
  <c r="Q6124" i="5"/>
  <c r="R6124" i="5" s="1"/>
  <c r="S6124" i="5" s="1"/>
  <c r="Q6165" i="5"/>
  <c r="R6165" i="5" s="1"/>
  <c r="S6165" i="5" s="1"/>
  <c r="M6172" i="5"/>
  <c r="M5665" i="5"/>
  <c r="Q5690" i="5"/>
  <c r="R5690" i="5" s="1"/>
  <c r="S5690" i="5" s="1"/>
  <c r="M5776" i="5"/>
  <c r="Q5781" i="5"/>
  <c r="R5781" i="5" s="1"/>
  <c r="S5781" i="5" s="1"/>
  <c r="Q5790" i="5"/>
  <c r="R5790" i="5" s="1"/>
  <c r="S5790" i="5" s="1"/>
  <c r="Q5820" i="5"/>
  <c r="R5820" i="5" s="1"/>
  <c r="S5820" i="5" s="1"/>
  <c r="Q5858" i="5"/>
  <c r="R5858" i="5" s="1"/>
  <c r="S5858" i="5" s="1"/>
  <c r="Q5875" i="5"/>
  <c r="Q5879" i="5"/>
  <c r="R5879" i="5" s="1"/>
  <c r="S5879" i="5" s="1"/>
  <c r="M5895" i="5"/>
  <c r="N5895" i="5" s="1"/>
  <c r="Q5907" i="5"/>
  <c r="R5907" i="5" s="1"/>
  <c r="S5907" i="5" s="1"/>
  <c r="Q6018" i="5"/>
  <c r="R6018" i="5" s="1"/>
  <c r="S6018" i="5" s="1"/>
  <c r="M6029" i="5"/>
  <c r="N6029" i="5" s="1"/>
  <c r="M6052" i="5"/>
  <c r="M6056" i="5"/>
  <c r="Q6071" i="5"/>
  <c r="R6071" i="5" s="1"/>
  <c r="S6071" i="5" s="1"/>
  <c r="Q6081" i="5"/>
  <c r="Q6090" i="5"/>
  <c r="Q6160" i="5"/>
  <c r="R6160" i="5" s="1"/>
  <c r="S6160" i="5" s="1"/>
  <c r="P6241" i="5"/>
  <c r="N6241" i="5"/>
  <c r="K6247" i="5"/>
  <c r="L6247" i="5" s="1"/>
  <c r="M5800" i="5"/>
  <c r="Q5800" i="5"/>
  <c r="R5800" i="5" s="1"/>
  <c r="S5800" i="5" s="1"/>
  <c r="M5745" i="5"/>
  <c r="Q5780" i="5"/>
  <c r="R5780" i="5" s="1"/>
  <c r="S5780" i="5" s="1"/>
  <c r="Q5797" i="5"/>
  <c r="Q5809" i="5"/>
  <c r="R5809" i="5" s="1"/>
  <c r="S5809" i="5" s="1"/>
  <c r="Q5860" i="5"/>
  <c r="Q5876" i="5"/>
  <c r="R5876" i="5" s="1"/>
  <c r="S5876" i="5" s="1"/>
  <c r="Q5896" i="5"/>
  <c r="M5896" i="5"/>
  <c r="Q5915" i="5"/>
  <c r="R5915" i="5" s="1"/>
  <c r="S5915" i="5" s="1"/>
  <c r="Q6042" i="5"/>
  <c r="M6042" i="5"/>
  <c r="M5752" i="5"/>
  <c r="Q5764" i="5"/>
  <c r="R5764" i="5" s="1"/>
  <c r="S5764" i="5" s="1"/>
  <c r="Q5785" i="5"/>
  <c r="R5785" i="5" s="1"/>
  <c r="S5785" i="5" s="1"/>
  <c r="Q5788" i="5"/>
  <c r="R5788" i="5" s="1"/>
  <c r="S5788" i="5" s="1"/>
  <c r="Q5855" i="5"/>
  <c r="R5855" i="5" s="1"/>
  <c r="S5855" i="5" s="1"/>
  <c r="Q5872" i="5"/>
  <c r="R5872" i="5" s="1"/>
  <c r="S5872" i="5" s="1"/>
  <c r="Q5921" i="5"/>
  <c r="Q5924" i="5"/>
  <c r="R5924" i="5" s="1"/>
  <c r="S5924" i="5" s="1"/>
  <c r="M5924" i="5"/>
  <c r="N5924" i="5" s="1"/>
  <c r="Q5939" i="5"/>
  <c r="R5939" i="5" s="1"/>
  <c r="S5939" i="5" s="1"/>
  <c r="M5973" i="5"/>
  <c r="N5973" i="5" s="1"/>
  <c r="Q5973" i="5"/>
  <c r="R5973" i="5" s="1"/>
  <c r="S5973" i="5" s="1"/>
  <c r="M6000" i="5"/>
  <c r="Q6000" i="5"/>
  <c r="R6000" i="5" s="1"/>
  <c r="S6000" i="5" s="1"/>
  <c r="Q6003" i="5"/>
  <c r="R6003" i="5" s="1"/>
  <c r="S6003" i="5" s="1"/>
  <c r="M6079" i="5"/>
  <c r="Q6079" i="5"/>
  <c r="R6079" i="5" s="1"/>
  <c r="S6079" i="5" s="1"/>
  <c r="Q5808" i="5"/>
  <c r="M5808" i="5"/>
  <c r="Q5905" i="5"/>
  <c r="M5905" i="5"/>
  <c r="M5743" i="5"/>
  <c r="Q5751" i="5"/>
  <c r="R5751" i="5" s="1"/>
  <c r="S5751" i="5" s="1"/>
  <c r="Q5756" i="5"/>
  <c r="R5756" i="5" s="1"/>
  <c r="S5756" i="5" s="1"/>
  <c r="Q5772" i="5"/>
  <c r="M5777" i="5"/>
  <c r="Q5815" i="5"/>
  <c r="R5815" i="5" s="1"/>
  <c r="S5815" i="5" s="1"/>
  <c r="M5815" i="5"/>
  <c r="N5815" i="5" s="1"/>
  <c r="Q5871" i="5"/>
  <c r="Q5897" i="5"/>
  <c r="R5897" i="5" s="1"/>
  <c r="S5897" i="5" s="1"/>
  <c r="M5911" i="5"/>
  <c r="N5911" i="5" s="1"/>
  <c r="Q5911" i="5"/>
  <c r="R5911" i="5" s="1"/>
  <c r="S5911" i="5" s="1"/>
  <c r="Q5923" i="5"/>
  <c r="M5923" i="5"/>
  <c r="Q5930" i="5"/>
  <c r="R5930" i="5" s="1"/>
  <c r="S5930" i="5" s="1"/>
  <c r="M5935" i="5"/>
  <c r="N5935" i="5" s="1"/>
  <c r="Q5935" i="5"/>
  <c r="R5935" i="5" s="1"/>
  <c r="S5935" i="5" s="1"/>
  <c r="Q5938" i="5"/>
  <c r="R5938" i="5" s="1"/>
  <c r="S5938" i="5" s="1"/>
  <c r="Q5949" i="5"/>
  <c r="M5949" i="5"/>
  <c r="M6059" i="5"/>
  <c r="Q6059" i="5"/>
  <c r="M6053" i="5"/>
  <c r="Q6053" i="5"/>
  <c r="M6106" i="5"/>
  <c r="N6106" i="5" s="1"/>
  <c r="Q6106" i="5"/>
  <c r="R6106" i="5" s="1"/>
  <c r="S6106" i="5" s="1"/>
  <c r="Q5830" i="5"/>
  <c r="M5830" i="5"/>
  <c r="M6037" i="5"/>
  <c r="N6037" i="5" s="1"/>
  <c r="Q6037" i="5"/>
  <c r="R6037" i="5" s="1"/>
  <c r="S6037" i="5" s="1"/>
  <c r="M5782" i="5"/>
  <c r="Q5784" i="5"/>
  <c r="R5784" i="5" s="1"/>
  <c r="S5784" i="5" s="1"/>
  <c r="Q5787" i="5"/>
  <c r="R5787" i="5" s="1"/>
  <c r="S5787" i="5" s="1"/>
  <c r="Q5801" i="5"/>
  <c r="R5801" i="5" s="1"/>
  <c r="S5801" i="5" s="1"/>
  <c r="M5801" i="5"/>
  <c r="N5801" i="5" s="1"/>
  <c r="Q5816" i="5"/>
  <c r="M5816" i="5"/>
  <c r="M5838" i="5"/>
  <c r="M5840" i="5"/>
  <c r="Q5840" i="5"/>
  <c r="R5840" i="5" s="1"/>
  <c r="S5840" i="5" s="1"/>
  <c r="Q5852" i="5"/>
  <c r="M5893" i="5"/>
  <c r="N5893" i="5" s="1"/>
  <c r="Q5893" i="5"/>
  <c r="R5893" i="5" s="1"/>
  <c r="S5893" i="5" s="1"/>
  <c r="Q5908" i="5"/>
  <c r="M5908" i="5"/>
  <c r="Q5948" i="5"/>
  <c r="R5948" i="5" s="1"/>
  <c r="S5948" i="5" s="1"/>
  <c r="M5948" i="5"/>
  <c r="N5948" i="5" s="1"/>
  <c r="M5999" i="5"/>
  <c r="N5999" i="5" s="1"/>
  <c r="Q5999" i="5"/>
  <c r="R5999" i="5" s="1"/>
  <c r="S5999" i="5" s="1"/>
  <c r="Q6011" i="5"/>
  <c r="M6087" i="5"/>
  <c r="N6087" i="5" s="1"/>
  <c r="Q6087" i="5"/>
  <c r="R6087" i="5" s="1"/>
  <c r="S6087" i="5" s="1"/>
  <c r="M5899" i="5"/>
  <c r="N5899" i="5" s="1"/>
  <c r="Q5899" i="5"/>
  <c r="R5899" i="5" s="1"/>
  <c r="S5899" i="5" s="1"/>
  <c r="M5851" i="5"/>
  <c r="N5851" i="5" s="1"/>
  <c r="Q5851" i="5"/>
  <c r="R5851" i="5" s="1"/>
  <c r="S5851" i="5" s="1"/>
  <c r="M5931" i="5"/>
  <c r="Q5931" i="5"/>
  <c r="M5969" i="5"/>
  <c r="N5969" i="5" s="1"/>
  <c r="Q5969" i="5"/>
  <c r="R5969" i="5" s="1"/>
  <c r="S5969" i="5" s="1"/>
  <c r="M6068" i="5"/>
  <c r="N6068" i="5" s="1"/>
  <c r="Q6068" i="5"/>
  <c r="R6068" i="5" s="1"/>
  <c r="S6068" i="5" s="1"/>
  <c r="M6096" i="5"/>
  <c r="N6096" i="5" s="1"/>
  <c r="Q6096" i="5"/>
  <c r="R6096" i="5" s="1"/>
  <c r="S6096" i="5" s="1"/>
  <c r="Q6153" i="5"/>
  <c r="R6153" i="5" s="1"/>
  <c r="S6153" i="5" s="1"/>
  <c r="Q6176" i="5"/>
  <c r="R6176" i="5" s="1"/>
  <c r="S6176" i="5" s="1"/>
  <c r="Q6036" i="5"/>
  <c r="M6119" i="5"/>
  <c r="N6119" i="5" s="1"/>
  <c r="Q6137" i="5"/>
  <c r="R6137" i="5" s="1"/>
  <c r="S6137" i="5" s="1"/>
  <c r="Q6152" i="5"/>
  <c r="Q6164" i="5"/>
  <c r="R6164" i="5" s="1"/>
  <c r="S6164" i="5" s="1"/>
  <c r="Q6167" i="5"/>
  <c r="R6167" i="5" s="1"/>
  <c r="S6167" i="5" s="1"/>
  <c r="M6180" i="5"/>
  <c r="Q6195" i="5"/>
  <c r="R6195" i="5" s="1"/>
  <c r="S6195" i="5" s="1"/>
  <c r="M6223" i="5"/>
  <c r="M6244" i="5"/>
  <c r="Q5850" i="5"/>
  <c r="R5850" i="5" s="1"/>
  <c r="S5850" i="5" s="1"/>
  <c r="Q5972" i="5"/>
  <c r="Q5998" i="5"/>
  <c r="R5998" i="5" s="1"/>
  <c r="S5998" i="5" s="1"/>
  <c r="Q6028" i="5"/>
  <c r="R6028" i="5" s="1"/>
  <c r="S6028" i="5" s="1"/>
  <c r="Q6046" i="5"/>
  <c r="Q6108" i="5"/>
  <c r="R6108" i="5" s="1"/>
  <c r="S6108" i="5" s="1"/>
  <c r="M6118" i="5"/>
  <c r="Q6123" i="5"/>
  <c r="R6123" i="5" s="1"/>
  <c r="S6123" i="5" s="1"/>
  <c r="Q6146" i="5"/>
  <c r="R6146" i="5" s="1"/>
  <c r="S6146" i="5" s="1"/>
  <c r="Q6166" i="5"/>
  <c r="R6166" i="5" s="1"/>
  <c r="S6166" i="5" s="1"/>
  <c r="Q6179" i="5"/>
  <c r="R6179" i="5" s="1"/>
  <c r="S6179" i="5" s="1"/>
  <c r="Q6194" i="5"/>
  <c r="R6194" i="5" s="1"/>
  <c r="S6194" i="5" s="1"/>
  <c r="M6222" i="5"/>
  <c r="N6222" i="5" s="1"/>
  <c r="Q6230" i="5"/>
  <c r="R6230" i="5" s="1"/>
  <c r="S6230" i="5" s="1"/>
  <c r="M5892" i="5"/>
  <c r="M5910" i="5"/>
  <c r="Q6073" i="5"/>
  <c r="R6073" i="5" s="1"/>
  <c r="S6073" i="5" s="1"/>
  <c r="Q6078" i="5"/>
  <c r="R6078" i="5" s="1"/>
  <c r="S6078" i="5" s="1"/>
  <c r="Q6095" i="5"/>
  <c r="R6095" i="5" s="1"/>
  <c r="S6095" i="5" s="1"/>
  <c r="M6107" i="5"/>
  <c r="M6117" i="5"/>
  <c r="M6136" i="5"/>
  <c r="Q6155" i="5"/>
  <c r="R6155" i="5" s="1"/>
  <c r="S6155" i="5" s="1"/>
  <c r="Q6156" i="5"/>
  <c r="R6156" i="5" s="1"/>
  <c r="S6156" i="5" s="1"/>
  <c r="Q6209" i="5"/>
  <c r="R6209" i="5" s="1"/>
  <c r="S6209" i="5" s="1"/>
  <c r="Q6229" i="5"/>
  <c r="R6229" i="5" s="1"/>
  <c r="S6229" i="5" s="1"/>
  <c r="Q5913" i="5"/>
  <c r="R5913" i="5" s="1"/>
  <c r="S5913" i="5" s="1"/>
  <c r="Q5975" i="5"/>
  <c r="R5975" i="5" s="1"/>
  <c r="S5975" i="5" s="1"/>
  <c r="Q6113" i="5"/>
  <c r="R6113" i="5" s="1"/>
  <c r="S6113" i="5" s="1"/>
  <c r="Q6135" i="5"/>
  <c r="R6135" i="5" s="1"/>
  <c r="S6135" i="5" s="1"/>
  <c r="M6145" i="5"/>
  <c r="M6220" i="5"/>
  <c r="P6248" i="5"/>
  <c r="N6248" i="5"/>
  <c r="R6246" i="5"/>
  <c r="S6246" i="5" s="1"/>
  <c r="M6246" i="5"/>
  <c r="L6246" i="5"/>
  <c r="P6245" i="5"/>
  <c r="N6245" i="5"/>
  <c r="L6244" i="5"/>
  <c r="R6244" i="5"/>
  <c r="S6244" i="5" s="1"/>
  <c r="L6243" i="5"/>
  <c r="P6242" i="5"/>
  <c r="N6242" i="5"/>
  <c r="L6234" i="5"/>
  <c r="N6234" i="5" s="1"/>
  <c r="Q6236" i="5"/>
  <c r="R6236" i="5" s="1"/>
  <c r="S6236" i="5" s="1"/>
  <c r="N6236" i="5"/>
  <c r="K6235" i="5"/>
  <c r="L6235" i="5" s="1"/>
  <c r="P6233" i="5"/>
  <c r="N6233" i="5"/>
  <c r="Q6232" i="5"/>
  <c r="R6232" i="5" s="1"/>
  <c r="S6232" i="5" s="1"/>
  <c r="N6232" i="5"/>
  <c r="R6231" i="5"/>
  <c r="S6231" i="5" s="1"/>
  <c r="M6231" i="5"/>
  <c r="L6230" i="5"/>
  <c r="N6230" i="5" s="1"/>
  <c r="L6231" i="5"/>
  <c r="L6229" i="5"/>
  <c r="L6228" i="5"/>
  <c r="R6228" i="5"/>
  <c r="S6228" i="5" s="1"/>
  <c r="L6227" i="5"/>
  <c r="R6227" i="5"/>
  <c r="S6227" i="5" s="1"/>
  <c r="R6223" i="5"/>
  <c r="S6223" i="5" s="1"/>
  <c r="L6223" i="5"/>
  <c r="P6223" i="5" s="1"/>
  <c r="L6226" i="5"/>
  <c r="R6226" i="5"/>
  <c r="S6226" i="5" s="1"/>
  <c r="N6224" i="5"/>
  <c r="O6224" i="5" s="1"/>
  <c r="M6226" i="5"/>
  <c r="K6225" i="5"/>
  <c r="L6225" i="5" s="1"/>
  <c r="P6222" i="5"/>
  <c r="R6222" i="5"/>
  <c r="S6222" i="5" s="1"/>
  <c r="K6221" i="5"/>
  <c r="L6221" i="5" s="1"/>
  <c r="R6220" i="5"/>
  <c r="S6220" i="5" s="1"/>
  <c r="L6220" i="5"/>
  <c r="L6218" i="5"/>
  <c r="P6219" i="5"/>
  <c r="N6219" i="5"/>
  <c r="L6217" i="5"/>
  <c r="L6216" i="5"/>
  <c r="R6216" i="5"/>
  <c r="S6216" i="5" s="1"/>
  <c r="P6215" i="5"/>
  <c r="P6214" i="5"/>
  <c r="R6215" i="5"/>
  <c r="S6215" i="5" s="1"/>
  <c r="R6214" i="5"/>
  <c r="S6214" i="5" s="1"/>
  <c r="L6213" i="5"/>
  <c r="K6212" i="5"/>
  <c r="P6211" i="5"/>
  <c r="K6210" i="5"/>
  <c r="R6211" i="5"/>
  <c r="S6211" i="5" s="1"/>
  <c r="P6209" i="5"/>
  <c r="N6209" i="5"/>
  <c r="P6208" i="5"/>
  <c r="N6208" i="5"/>
  <c r="K6207" i="5"/>
  <c r="L6206" i="5"/>
  <c r="R6206" i="5"/>
  <c r="S6206" i="5" s="1"/>
  <c r="P6205" i="5"/>
  <c r="P6204" i="5"/>
  <c r="R6205" i="5"/>
  <c r="S6205" i="5" s="1"/>
  <c r="R6204" i="5"/>
  <c r="S6204" i="5" s="1"/>
  <c r="R6203" i="5"/>
  <c r="S6203" i="5" s="1"/>
  <c r="M6203" i="5"/>
  <c r="L6203" i="5"/>
  <c r="L6202" i="5"/>
  <c r="R6202" i="5"/>
  <c r="S6202" i="5" s="1"/>
  <c r="P6201" i="5"/>
  <c r="P6200" i="5"/>
  <c r="R6201" i="5"/>
  <c r="S6201" i="5" s="1"/>
  <c r="R6200" i="5"/>
  <c r="S6200" i="5" s="1"/>
  <c r="L6199" i="5"/>
  <c r="R6199" i="5"/>
  <c r="S6199" i="5" s="1"/>
  <c r="P6198" i="5"/>
  <c r="P6197" i="5"/>
  <c r="R6198" i="5"/>
  <c r="S6198" i="5" s="1"/>
  <c r="R6197" i="5"/>
  <c r="S6197" i="5" s="1"/>
  <c r="R6196" i="5"/>
  <c r="S6196" i="5" s="1"/>
  <c r="M6196" i="5"/>
  <c r="L6196" i="5"/>
  <c r="P6194" i="5"/>
  <c r="N6194" i="5"/>
  <c r="N6195" i="5"/>
  <c r="P6195" i="5"/>
  <c r="L6099" i="5"/>
  <c r="P6099" i="5" s="1"/>
  <c r="N6191" i="5"/>
  <c r="P6191" i="5"/>
  <c r="L6193" i="5"/>
  <c r="K6192" i="5"/>
  <c r="L6192" i="5" s="1"/>
  <c r="L6101" i="5"/>
  <c r="P6101" i="5" s="1"/>
  <c r="L6190" i="5"/>
  <c r="R6190" i="5"/>
  <c r="S6190" i="5" s="1"/>
  <c r="L6189" i="5"/>
  <c r="R6189" i="5"/>
  <c r="S6189" i="5" s="1"/>
  <c r="P6188" i="5"/>
  <c r="R6188" i="5"/>
  <c r="S6188" i="5" s="1"/>
  <c r="L6129" i="5"/>
  <c r="P6129" i="5" s="1"/>
  <c r="L6187" i="5"/>
  <c r="R6187" i="5"/>
  <c r="S6187" i="5" s="1"/>
  <c r="P6186" i="5"/>
  <c r="P6185" i="5"/>
  <c r="R6186" i="5"/>
  <c r="S6186" i="5" s="1"/>
  <c r="R6185" i="5"/>
  <c r="S6185" i="5" s="1"/>
  <c r="P6183" i="5"/>
  <c r="N6183" i="5"/>
  <c r="P6184" i="5"/>
  <c r="N6184" i="5"/>
  <c r="L6182" i="5"/>
  <c r="P6181" i="5"/>
  <c r="K6180" i="5"/>
  <c r="L6180" i="5" s="1"/>
  <c r="R6181" i="5"/>
  <c r="S6181" i="5" s="1"/>
  <c r="P6179" i="5"/>
  <c r="N6179" i="5"/>
  <c r="K6178" i="5"/>
  <c r="P6177" i="5"/>
  <c r="N6177" i="5"/>
  <c r="P6176" i="5"/>
  <c r="N6176" i="5"/>
  <c r="L6128" i="5"/>
  <c r="P6128" i="5" s="1"/>
  <c r="K6175" i="5"/>
  <c r="L6175" i="5" s="1"/>
  <c r="L6174" i="5"/>
  <c r="P6174" i="5" s="1"/>
  <c r="P6173" i="5"/>
  <c r="R6174" i="5"/>
  <c r="S6174" i="5" s="1"/>
  <c r="K6172" i="5"/>
  <c r="L6172" i="5" s="1"/>
  <c r="R6173" i="5"/>
  <c r="S6173" i="5" s="1"/>
  <c r="K6171" i="5"/>
  <c r="L6171" i="5" s="1"/>
  <c r="L6131" i="5"/>
  <c r="P6131" i="5" s="1"/>
  <c r="L6133" i="5"/>
  <c r="N6133" i="5" s="1"/>
  <c r="L6170" i="5"/>
  <c r="R6170" i="5"/>
  <c r="S6170" i="5" s="1"/>
  <c r="L6169" i="5"/>
  <c r="R6169" i="5"/>
  <c r="S6169" i="5" s="1"/>
  <c r="P6168" i="5"/>
  <c r="K6132" i="5"/>
  <c r="R6168" i="5"/>
  <c r="S6168" i="5" s="1"/>
  <c r="P6167" i="5"/>
  <c r="N6167" i="5"/>
  <c r="P6166" i="5"/>
  <c r="N6166" i="5"/>
  <c r="L6130" i="5"/>
  <c r="P6130" i="5" s="1"/>
  <c r="P6165" i="5"/>
  <c r="N6165" i="5"/>
  <c r="P6164" i="5"/>
  <c r="N6164" i="5"/>
  <c r="L6163" i="5"/>
  <c r="Q6163" i="5"/>
  <c r="R6163" i="5" s="1"/>
  <c r="S6163" i="5" s="1"/>
  <c r="P6161" i="5"/>
  <c r="N6161" i="5"/>
  <c r="P6162" i="5"/>
  <c r="N6162" i="5"/>
  <c r="P6160" i="5"/>
  <c r="N6160" i="5"/>
  <c r="K6159" i="5"/>
  <c r="L6158" i="5"/>
  <c r="R6158" i="5"/>
  <c r="S6158" i="5" s="1"/>
  <c r="R6157" i="5"/>
  <c r="S6157" i="5" s="1"/>
  <c r="L6157" i="5"/>
  <c r="P6156" i="5"/>
  <c r="N6156" i="5"/>
  <c r="P6155" i="5"/>
  <c r="N6155" i="5"/>
  <c r="Q6154" i="5"/>
  <c r="R6154" i="5" s="1"/>
  <c r="S6154" i="5" s="1"/>
  <c r="N6154" i="5"/>
  <c r="P6153" i="5"/>
  <c r="N6153" i="5"/>
  <c r="K6152" i="5"/>
  <c r="P6151" i="5"/>
  <c r="P6150" i="5"/>
  <c r="P6149" i="5"/>
  <c r="R6151" i="5"/>
  <c r="S6151" i="5" s="1"/>
  <c r="R6150" i="5"/>
  <c r="S6150" i="5" s="1"/>
  <c r="R6100" i="5"/>
  <c r="S6100" i="5" s="1"/>
  <c r="R6149" i="5"/>
  <c r="S6149" i="5" s="1"/>
  <c r="L6103" i="5"/>
  <c r="P6148" i="5"/>
  <c r="N6148" i="5"/>
  <c r="N6146" i="5"/>
  <c r="P6146" i="5"/>
  <c r="L6104" i="5"/>
  <c r="P6104" i="5" s="1"/>
  <c r="K6147" i="5"/>
  <c r="L6147" i="5" s="1"/>
  <c r="R6128" i="5"/>
  <c r="S6128" i="5" s="1"/>
  <c r="R6130" i="5"/>
  <c r="S6130" i="5" s="1"/>
  <c r="R6129" i="5"/>
  <c r="S6129" i="5" s="1"/>
  <c r="K6145" i="5"/>
  <c r="L6145" i="5" s="1"/>
  <c r="R6131" i="5"/>
  <c r="S6131" i="5" s="1"/>
  <c r="P6102" i="5"/>
  <c r="L6143" i="5"/>
  <c r="R6143" i="5"/>
  <c r="S6143" i="5" s="1"/>
  <c r="P6142" i="5"/>
  <c r="R6142" i="5"/>
  <c r="S6142" i="5" s="1"/>
  <c r="K6144" i="5"/>
  <c r="R6144" i="5" s="1"/>
  <c r="S6144" i="5" s="1"/>
  <c r="R6141" i="5"/>
  <c r="S6141" i="5" s="1"/>
  <c r="L6141" i="5"/>
  <c r="L6140" i="5"/>
  <c r="R6140" i="5"/>
  <c r="S6140" i="5" s="1"/>
  <c r="L6139" i="5"/>
  <c r="R6139" i="5"/>
  <c r="S6139" i="5" s="1"/>
  <c r="L6138" i="5"/>
  <c r="R6138" i="5"/>
  <c r="S6138" i="5" s="1"/>
  <c r="P6137" i="5"/>
  <c r="N6137" i="5"/>
  <c r="K6136" i="5"/>
  <c r="R6136" i="5" s="1"/>
  <c r="S6136" i="5" s="1"/>
  <c r="P6135" i="5"/>
  <c r="N6135" i="5"/>
  <c r="L6134" i="5"/>
  <c r="P6127" i="5"/>
  <c r="N6127" i="5"/>
  <c r="R6103" i="5"/>
  <c r="S6103" i="5" s="1"/>
  <c r="K6126" i="5"/>
  <c r="L6126" i="5" s="1"/>
  <c r="R6102" i="5"/>
  <c r="S6102" i="5" s="1"/>
  <c r="R6101" i="5"/>
  <c r="S6101" i="5" s="1"/>
  <c r="L6125" i="5"/>
  <c r="N6125" i="5" s="1"/>
  <c r="L6124" i="5"/>
  <c r="P6124" i="5" s="1"/>
  <c r="L6123" i="5"/>
  <c r="P6119" i="5"/>
  <c r="P6122" i="5"/>
  <c r="N6122" i="5"/>
  <c r="R6119" i="5"/>
  <c r="S6119" i="5" s="1"/>
  <c r="K6118" i="5"/>
  <c r="L6118" i="5" s="1"/>
  <c r="N6120" i="5"/>
  <c r="K6121" i="5"/>
  <c r="L6117" i="5"/>
  <c r="R6117" i="5"/>
  <c r="S6117" i="5" s="1"/>
  <c r="L6116" i="5"/>
  <c r="P6116" i="5" s="1"/>
  <c r="L6115" i="5"/>
  <c r="N6115" i="5" s="1"/>
  <c r="R6116" i="5"/>
  <c r="S6116" i="5" s="1"/>
  <c r="R6114" i="5"/>
  <c r="S6114" i="5" s="1"/>
  <c r="M6114" i="5"/>
  <c r="L6114" i="5"/>
  <c r="P6113" i="5"/>
  <c r="N6113" i="5"/>
  <c r="P6112" i="5"/>
  <c r="N6112" i="5"/>
  <c r="K6111" i="5"/>
  <c r="P6110" i="5"/>
  <c r="K6109" i="5"/>
  <c r="R6109" i="5" s="1"/>
  <c r="S6109" i="5" s="1"/>
  <c r="R6110" i="5"/>
  <c r="S6110" i="5" s="1"/>
  <c r="P6108" i="5"/>
  <c r="N6108" i="5"/>
  <c r="K6107" i="5"/>
  <c r="R6107" i="5" s="1"/>
  <c r="S6107" i="5" s="1"/>
  <c r="P6106" i="5"/>
  <c r="R6105" i="5"/>
  <c r="S6105" i="5" s="1"/>
  <c r="L6105" i="5"/>
  <c r="M6105" i="5"/>
  <c r="P6098" i="5"/>
  <c r="N6098" i="5"/>
  <c r="P6097" i="5"/>
  <c r="N6097" i="5"/>
  <c r="P6096" i="5"/>
  <c r="P6095" i="5"/>
  <c r="N6095" i="5"/>
  <c r="P6094" i="5"/>
  <c r="R6094" i="5"/>
  <c r="S6094" i="5" s="1"/>
  <c r="P6093" i="5"/>
  <c r="P6092" i="5"/>
  <c r="R6093" i="5"/>
  <c r="S6093" i="5" s="1"/>
  <c r="K6091" i="5"/>
  <c r="L6086" i="5"/>
  <c r="P6086" i="5" s="1"/>
  <c r="R6092" i="5"/>
  <c r="S6092" i="5" s="1"/>
  <c r="K6090" i="5"/>
  <c r="L6090" i="5" s="1"/>
  <c r="K6089" i="5"/>
  <c r="K6088" i="5"/>
  <c r="L6088" i="5" s="1"/>
  <c r="P6088" i="5" s="1"/>
  <c r="P6087" i="5"/>
  <c r="Q6086" i="5"/>
  <c r="R6086" i="5" s="1"/>
  <c r="S6086" i="5" s="1"/>
  <c r="L6085" i="5"/>
  <c r="R6085" i="5"/>
  <c r="S6085" i="5" s="1"/>
  <c r="P6084" i="5"/>
  <c r="P6083" i="5"/>
  <c r="R6084" i="5"/>
  <c r="S6084" i="5" s="1"/>
  <c r="R6083" i="5"/>
  <c r="S6083" i="5" s="1"/>
  <c r="L6082" i="5"/>
  <c r="K6081" i="5"/>
  <c r="L6079" i="5"/>
  <c r="L6080" i="5"/>
  <c r="R6077" i="5"/>
  <c r="S6077" i="5" s="1"/>
  <c r="L6077" i="5"/>
  <c r="P6077" i="5" s="1"/>
  <c r="L6078" i="5"/>
  <c r="P6076" i="5"/>
  <c r="N6076" i="5"/>
  <c r="L6075" i="5"/>
  <c r="L6074" i="5"/>
  <c r="P6074" i="5" s="1"/>
  <c r="P6073" i="5"/>
  <c r="N6073" i="5"/>
  <c r="P6071" i="5"/>
  <c r="N6071" i="5"/>
  <c r="P6072" i="5"/>
  <c r="R6072" i="5"/>
  <c r="S6072" i="5" s="1"/>
  <c r="K6070" i="5"/>
  <c r="L6070" i="5" s="1"/>
  <c r="K6069" i="5"/>
  <c r="L6069" i="5" s="1"/>
  <c r="P6068" i="5"/>
  <c r="P6067" i="5"/>
  <c r="N6067" i="5"/>
  <c r="K6066" i="5"/>
  <c r="R6056" i="5"/>
  <c r="S6056" i="5" s="1"/>
  <c r="P6065" i="5"/>
  <c r="N6065" i="5"/>
  <c r="R6061" i="5"/>
  <c r="S6061" i="5" s="1"/>
  <c r="L6064" i="5"/>
  <c r="R6062" i="5"/>
  <c r="S6062" i="5" s="1"/>
  <c r="P6057" i="5"/>
  <c r="P6063" i="5"/>
  <c r="L6047" i="5"/>
  <c r="N6047" i="5" s="1"/>
  <c r="L6062" i="5"/>
  <c r="L6056" i="5"/>
  <c r="P6056" i="5" s="1"/>
  <c r="R6063" i="5"/>
  <c r="S6063" i="5" s="1"/>
  <c r="R6057" i="5"/>
  <c r="S6057" i="5" s="1"/>
  <c r="R6058" i="5"/>
  <c r="S6058" i="5" s="1"/>
  <c r="P6055" i="5"/>
  <c r="N6055" i="5"/>
  <c r="P6061" i="5"/>
  <c r="P6058" i="5"/>
  <c r="M6058" i="5"/>
  <c r="N6058" i="5" s="1"/>
  <c r="K6060" i="5"/>
  <c r="L6060" i="5" s="1"/>
  <c r="K6054" i="5"/>
  <c r="L6054" i="5" s="1"/>
  <c r="K6059" i="5"/>
  <c r="K6053" i="5"/>
  <c r="R6050" i="5"/>
  <c r="S6050" i="5" s="1"/>
  <c r="L6048" i="5"/>
  <c r="P6048" i="5" s="1"/>
  <c r="P6051" i="5"/>
  <c r="R6044" i="5"/>
  <c r="S6044" i="5" s="1"/>
  <c r="R6052" i="5"/>
  <c r="S6052" i="5" s="1"/>
  <c r="Q6047" i="5"/>
  <c r="R6047" i="5" s="1"/>
  <c r="S6047" i="5" s="1"/>
  <c r="L6052" i="5"/>
  <c r="R6051" i="5"/>
  <c r="S6051" i="5" s="1"/>
  <c r="M6050" i="5"/>
  <c r="N6050" i="5" s="1"/>
  <c r="K6046" i="5"/>
  <c r="L6046" i="5" s="1"/>
  <c r="R6049" i="5"/>
  <c r="S6049" i="5" s="1"/>
  <c r="L6049" i="5"/>
  <c r="R6048" i="5"/>
  <c r="S6048" i="5" s="1"/>
  <c r="P6043" i="5"/>
  <c r="R6043" i="5"/>
  <c r="S6043" i="5" s="1"/>
  <c r="M6044" i="5"/>
  <c r="N6044" i="5" s="1"/>
  <c r="K6042" i="5"/>
  <c r="K6045" i="5"/>
  <c r="L6045" i="5" s="1"/>
  <c r="L6040" i="5"/>
  <c r="N6040" i="5" s="1"/>
  <c r="N6041" i="5"/>
  <c r="P6041" i="5"/>
  <c r="L6039" i="5"/>
  <c r="P6039" i="5" s="1"/>
  <c r="K6038" i="5"/>
  <c r="P6037" i="5"/>
  <c r="K6036" i="5"/>
  <c r="P6035" i="5"/>
  <c r="N6035" i="5"/>
  <c r="P6034" i="5"/>
  <c r="N6034" i="5"/>
  <c r="K6033" i="5"/>
  <c r="L6031" i="5"/>
  <c r="R6031" i="5"/>
  <c r="S6031" i="5" s="1"/>
  <c r="L6030" i="5"/>
  <c r="R6030" i="5"/>
  <c r="S6030" i="5" s="1"/>
  <c r="K6032" i="5"/>
  <c r="L6032" i="5" s="1"/>
  <c r="P6029" i="5"/>
  <c r="P6028" i="5"/>
  <c r="N6028" i="5"/>
  <c r="R6029" i="5"/>
  <c r="S6029" i="5" s="1"/>
  <c r="K6027" i="5"/>
  <c r="L6027" i="5" s="1"/>
  <c r="K6026" i="5"/>
  <c r="L6026" i="5" s="1"/>
  <c r="K6025" i="5"/>
  <c r="K6024" i="5"/>
  <c r="L6024" i="5" s="1"/>
  <c r="L6022" i="5"/>
  <c r="P6023" i="5"/>
  <c r="N6023" i="5"/>
  <c r="R6022" i="5"/>
  <c r="S6022" i="5" s="1"/>
  <c r="L6020" i="5"/>
  <c r="R6020" i="5"/>
  <c r="S6020" i="5" s="1"/>
  <c r="L6021" i="5"/>
  <c r="R6021" i="5"/>
  <c r="S6021" i="5" s="1"/>
  <c r="P6019" i="5"/>
  <c r="R6019" i="5"/>
  <c r="S6019" i="5" s="1"/>
  <c r="P6018" i="5"/>
  <c r="N6018" i="5"/>
  <c r="R6013" i="5"/>
  <c r="S6013" i="5" s="1"/>
  <c r="K6017" i="5"/>
  <c r="L6017" i="5" s="1"/>
  <c r="L6013" i="5"/>
  <c r="L6016" i="5"/>
  <c r="N6016" i="5" s="1"/>
  <c r="P6015" i="5"/>
  <c r="P6014" i="5"/>
  <c r="Q6016" i="5"/>
  <c r="R6016" i="5" s="1"/>
  <c r="S6016" i="5" s="1"/>
  <c r="R6015" i="5"/>
  <c r="S6015" i="5" s="1"/>
  <c r="R6014" i="5"/>
  <c r="S6014" i="5" s="1"/>
  <c r="K6012" i="5"/>
  <c r="L6012" i="5" s="1"/>
  <c r="K6011" i="5"/>
  <c r="L6011" i="5" s="1"/>
  <c r="L6010" i="5"/>
  <c r="P6010" i="5" s="1"/>
  <c r="P6009" i="5"/>
  <c r="N6009" i="5"/>
  <c r="P6008" i="5"/>
  <c r="R6008" i="5"/>
  <c r="S6008" i="5" s="1"/>
  <c r="L6006" i="5"/>
  <c r="R6006" i="5"/>
  <c r="S6006" i="5" s="1"/>
  <c r="P6005" i="5"/>
  <c r="R6005" i="5"/>
  <c r="S6005" i="5" s="1"/>
  <c r="K6007" i="5"/>
  <c r="R6007" i="5" s="1"/>
  <c r="S6007" i="5" s="1"/>
  <c r="P6004" i="5"/>
  <c r="P6003" i="5"/>
  <c r="N6003" i="5"/>
  <c r="L6000" i="5"/>
  <c r="P6000" i="5" s="1"/>
  <c r="R6004" i="5"/>
  <c r="S6004" i="5" s="1"/>
  <c r="K6002" i="5"/>
  <c r="L6002" i="5" s="1"/>
  <c r="K6001" i="5"/>
  <c r="L6001" i="5" s="1"/>
  <c r="L5998" i="5"/>
  <c r="P5998" i="5" s="1"/>
  <c r="P5999" i="5"/>
  <c r="L5995" i="5"/>
  <c r="R5995" i="5"/>
  <c r="S5995" i="5" s="1"/>
  <c r="L5996" i="5"/>
  <c r="R5996" i="5"/>
  <c r="S5996" i="5" s="1"/>
  <c r="K5997" i="5"/>
  <c r="R5997" i="5" s="1"/>
  <c r="S5997" i="5" s="1"/>
  <c r="L5993" i="5"/>
  <c r="R5993" i="5"/>
  <c r="S5993" i="5" s="1"/>
  <c r="L5994" i="5"/>
  <c r="R5994" i="5"/>
  <c r="S5994" i="5" s="1"/>
  <c r="P5992" i="5"/>
  <c r="R5992" i="5"/>
  <c r="S5992" i="5" s="1"/>
  <c r="P5991" i="5"/>
  <c r="N5991" i="5"/>
  <c r="P5990" i="5"/>
  <c r="L5989" i="5"/>
  <c r="R5990" i="5"/>
  <c r="S5990" i="5" s="1"/>
  <c r="P5987" i="5"/>
  <c r="P5988" i="5"/>
  <c r="P5986" i="5"/>
  <c r="R5988" i="5"/>
  <c r="S5988" i="5" s="1"/>
  <c r="R5987" i="5"/>
  <c r="S5987" i="5" s="1"/>
  <c r="R5986" i="5"/>
  <c r="S5986" i="5" s="1"/>
  <c r="L5985" i="5"/>
  <c r="R5985" i="5"/>
  <c r="S5985" i="5" s="1"/>
  <c r="P5984" i="5"/>
  <c r="P5983" i="5"/>
  <c r="R5984" i="5"/>
  <c r="S5984" i="5" s="1"/>
  <c r="R5983" i="5"/>
  <c r="S5983" i="5" s="1"/>
  <c r="L5982" i="5"/>
  <c r="R5982" i="5"/>
  <c r="S5982" i="5" s="1"/>
  <c r="P5981" i="5"/>
  <c r="P5980" i="5"/>
  <c r="R5981" i="5"/>
  <c r="S5981" i="5" s="1"/>
  <c r="R5976" i="5"/>
  <c r="S5976" i="5" s="1"/>
  <c r="R5980" i="5"/>
  <c r="S5980" i="5" s="1"/>
  <c r="L5977" i="5"/>
  <c r="R5977" i="5"/>
  <c r="S5977" i="5" s="1"/>
  <c r="P5976" i="5"/>
  <c r="L5978" i="5"/>
  <c r="R5978" i="5"/>
  <c r="S5978" i="5" s="1"/>
  <c r="M5977" i="5"/>
  <c r="K5979" i="5"/>
  <c r="R5979" i="5" s="1"/>
  <c r="S5979" i="5" s="1"/>
  <c r="K5974" i="5"/>
  <c r="L5974" i="5" s="1"/>
  <c r="P5974" i="5" s="1"/>
  <c r="P5975" i="5"/>
  <c r="N5975" i="5"/>
  <c r="P5973" i="5"/>
  <c r="K5972" i="5"/>
  <c r="P5971" i="5"/>
  <c r="K5970" i="5"/>
  <c r="R5971" i="5"/>
  <c r="S5971" i="5" s="1"/>
  <c r="P5969" i="5"/>
  <c r="L5968" i="5"/>
  <c r="R5968" i="5"/>
  <c r="S5968" i="5" s="1"/>
  <c r="L5967" i="5"/>
  <c r="R5967" i="5"/>
  <c r="S5967" i="5" s="1"/>
  <c r="R5962" i="5"/>
  <c r="S5962" i="5" s="1"/>
  <c r="R5966" i="5"/>
  <c r="S5966" i="5" s="1"/>
  <c r="L5966" i="5"/>
  <c r="L5965" i="5"/>
  <c r="R5965" i="5"/>
  <c r="S5965" i="5" s="1"/>
  <c r="P5964" i="5"/>
  <c r="P5963" i="5"/>
  <c r="R5964" i="5"/>
  <c r="S5964" i="5" s="1"/>
  <c r="R5963" i="5"/>
  <c r="S5963" i="5" s="1"/>
  <c r="L5961" i="5"/>
  <c r="R5961" i="5"/>
  <c r="S5961" i="5" s="1"/>
  <c r="P5960" i="5"/>
  <c r="L5962" i="5"/>
  <c r="R5960" i="5"/>
  <c r="S5960" i="5" s="1"/>
  <c r="L5958" i="5"/>
  <c r="R5958" i="5"/>
  <c r="S5958" i="5" s="1"/>
  <c r="P5957" i="5"/>
  <c r="R5957" i="5"/>
  <c r="S5957" i="5" s="1"/>
  <c r="K5959" i="5"/>
  <c r="R5959" i="5" s="1"/>
  <c r="S5959" i="5" s="1"/>
  <c r="N5956" i="5"/>
  <c r="P5956" i="5"/>
  <c r="P5955" i="5"/>
  <c r="N5955" i="5"/>
  <c r="K5949" i="5"/>
  <c r="L5949" i="5" s="1"/>
  <c r="P5949" i="5" s="1"/>
  <c r="L5954" i="5"/>
  <c r="R5954" i="5"/>
  <c r="S5954" i="5" s="1"/>
  <c r="P5953" i="5"/>
  <c r="P5952" i="5"/>
  <c r="R5953" i="5"/>
  <c r="S5953" i="5" s="1"/>
  <c r="R5952" i="5"/>
  <c r="S5952" i="5" s="1"/>
  <c r="P5948" i="5"/>
  <c r="L5950" i="5"/>
  <c r="P5951" i="5"/>
  <c r="N5951" i="5"/>
  <c r="K5947" i="5"/>
  <c r="L5947" i="5" s="1"/>
  <c r="K5946" i="5"/>
  <c r="R5946" i="5" s="1"/>
  <c r="S5946" i="5" s="1"/>
  <c r="P5944" i="5"/>
  <c r="N5944" i="5"/>
  <c r="N5945" i="5"/>
  <c r="P5945" i="5"/>
  <c r="K5943" i="5"/>
  <c r="L5941" i="5"/>
  <c r="R5941" i="5"/>
  <c r="S5941" i="5" s="1"/>
  <c r="L5942" i="5"/>
  <c r="R5942" i="5"/>
  <c r="S5942" i="5" s="1"/>
  <c r="P5940" i="5"/>
  <c r="R5940" i="5"/>
  <c r="S5940" i="5" s="1"/>
  <c r="P5939" i="5"/>
  <c r="N5939" i="5"/>
  <c r="P5938" i="5"/>
  <c r="N5938" i="5"/>
  <c r="K5937" i="5"/>
  <c r="L5937" i="5" s="1"/>
  <c r="K5936" i="5"/>
  <c r="P5935" i="5"/>
  <c r="L5934" i="5"/>
  <c r="P5934" i="5" s="1"/>
  <c r="R5934" i="5"/>
  <c r="S5934" i="5" s="1"/>
  <c r="M5934" i="5"/>
  <c r="P5933" i="5"/>
  <c r="N5933" i="5"/>
  <c r="K5932" i="5"/>
  <c r="L5932" i="5" s="1"/>
  <c r="K5931" i="5"/>
  <c r="P5930" i="5"/>
  <c r="N5930" i="5"/>
  <c r="K5929" i="5"/>
  <c r="L5929" i="5" s="1"/>
  <c r="K5925" i="5"/>
  <c r="L5925" i="5" s="1"/>
  <c r="K5928" i="5"/>
  <c r="L5927" i="5"/>
  <c r="P5927" i="5" s="1"/>
  <c r="K5926" i="5"/>
  <c r="L5926" i="5" s="1"/>
  <c r="P5924" i="5"/>
  <c r="K5923" i="5"/>
  <c r="L5923" i="5" s="1"/>
  <c r="P5922" i="5"/>
  <c r="N5922" i="5"/>
  <c r="K5921" i="5"/>
  <c r="K5920" i="5"/>
  <c r="R5920" i="5" s="1"/>
  <c r="S5920" i="5" s="1"/>
  <c r="P5919" i="5"/>
  <c r="N5919" i="5"/>
  <c r="K5918" i="5"/>
  <c r="P5917" i="5"/>
  <c r="N5917" i="5"/>
  <c r="L5916" i="5"/>
  <c r="P5915" i="5"/>
  <c r="N5915" i="5"/>
  <c r="K5914" i="5"/>
  <c r="P5913" i="5"/>
  <c r="N5913" i="5"/>
  <c r="K5912" i="5"/>
  <c r="P5911" i="5"/>
  <c r="K5910" i="5"/>
  <c r="R5910" i="5" s="1"/>
  <c r="S5910" i="5" s="1"/>
  <c r="P5909" i="5"/>
  <c r="N5909" i="5"/>
  <c r="K5908" i="5"/>
  <c r="P5907" i="5"/>
  <c r="N5907" i="5"/>
  <c r="K5906" i="5"/>
  <c r="L5906" i="5" s="1"/>
  <c r="K5905" i="5"/>
  <c r="L5903" i="5"/>
  <c r="R5903" i="5"/>
  <c r="S5903" i="5" s="1"/>
  <c r="L5904" i="5"/>
  <c r="R5904" i="5"/>
  <c r="S5904" i="5" s="1"/>
  <c r="P5902" i="5"/>
  <c r="L5901" i="5"/>
  <c r="P5901" i="5" s="1"/>
  <c r="R5902" i="5"/>
  <c r="S5902" i="5" s="1"/>
  <c r="P5900" i="5"/>
  <c r="N5900" i="5"/>
  <c r="R5901" i="5"/>
  <c r="S5901" i="5" s="1"/>
  <c r="P5899" i="5"/>
  <c r="Q5898" i="5"/>
  <c r="R5898" i="5" s="1"/>
  <c r="S5898" i="5" s="1"/>
  <c r="N5898" i="5"/>
  <c r="P5897" i="5"/>
  <c r="N5897" i="5"/>
  <c r="K5896" i="5"/>
  <c r="P5895" i="5"/>
  <c r="L5894" i="5"/>
  <c r="Q5894" i="5"/>
  <c r="R5894" i="5" s="1"/>
  <c r="S5894" i="5" s="1"/>
  <c r="R5895" i="5"/>
  <c r="S5895" i="5" s="1"/>
  <c r="P5893" i="5"/>
  <c r="L5892" i="5"/>
  <c r="R5892" i="5"/>
  <c r="S5892" i="5" s="1"/>
  <c r="P5891" i="5"/>
  <c r="P5890" i="5"/>
  <c r="N5890" i="5"/>
  <c r="R5891" i="5"/>
  <c r="S5891" i="5" s="1"/>
  <c r="K5889" i="5"/>
  <c r="L5889" i="5" s="1"/>
  <c r="K5888" i="5"/>
  <c r="P5887" i="5"/>
  <c r="N5887" i="5"/>
  <c r="K5886" i="5"/>
  <c r="L5886" i="5" s="1"/>
  <c r="L5885" i="5"/>
  <c r="R5885" i="5"/>
  <c r="S5885" i="5" s="1"/>
  <c r="P5884" i="5"/>
  <c r="P5883" i="5"/>
  <c r="R5884" i="5"/>
  <c r="S5884" i="5" s="1"/>
  <c r="R5883" i="5"/>
  <c r="S5883" i="5" s="1"/>
  <c r="P5882" i="5"/>
  <c r="N5882" i="5"/>
  <c r="L5881" i="5"/>
  <c r="Q5881" i="5"/>
  <c r="R5881" i="5" s="1"/>
  <c r="S5881" i="5" s="1"/>
  <c r="L5880" i="5"/>
  <c r="P5879" i="5"/>
  <c r="N5879" i="5"/>
  <c r="K5878" i="5"/>
  <c r="L5878" i="5" s="1"/>
  <c r="L5877" i="5"/>
  <c r="N5877" i="5" s="1"/>
  <c r="L5876" i="5"/>
  <c r="P5876" i="5" s="1"/>
  <c r="K5875" i="5"/>
  <c r="P5874" i="5"/>
  <c r="N5874" i="5"/>
  <c r="K5873" i="5"/>
  <c r="P5872" i="5"/>
  <c r="N5872" i="5"/>
  <c r="K5871" i="5"/>
  <c r="L5871" i="5" s="1"/>
  <c r="R5870" i="5"/>
  <c r="S5870" i="5" s="1"/>
  <c r="L5870" i="5"/>
  <c r="R5868" i="5"/>
  <c r="S5868" i="5" s="1"/>
  <c r="L5868" i="5"/>
  <c r="L5867" i="5"/>
  <c r="R5867" i="5"/>
  <c r="S5867" i="5" s="1"/>
  <c r="R5869" i="5"/>
  <c r="S5869" i="5" s="1"/>
  <c r="L5869" i="5"/>
  <c r="R5866" i="5"/>
  <c r="S5866" i="5" s="1"/>
  <c r="L5866" i="5"/>
  <c r="P5865" i="5"/>
  <c r="N5865" i="5"/>
  <c r="P5864" i="5"/>
  <c r="P5863" i="5"/>
  <c r="P5862" i="5"/>
  <c r="R5864" i="5"/>
  <c r="S5864" i="5" s="1"/>
  <c r="R5863" i="5"/>
  <c r="S5863" i="5" s="1"/>
  <c r="L5861" i="5"/>
  <c r="P5861" i="5" s="1"/>
  <c r="R5862" i="5"/>
  <c r="S5862" i="5" s="1"/>
  <c r="K5860" i="5"/>
  <c r="L5860" i="5" s="1"/>
  <c r="L5859" i="5"/>
  <c r="P5859" i="5" s="1"/>
  <c r="P5858" i="5"/>
  <c r="N5858" i="5"/>
  <c r="L5857" i="5"/>
  <c r="R5857" i="5"/>
  <c r="S5857" i="5" s="1"/>
  <c r="L5854" i="5"/>
  <c r="P5854" i="5" s="1"/>
  <c r="K5856" i="5"/>
  <c r="R5856" i="5" s="1"/>
  <c r="S5856" i="5" s="1"/>
  <c r="N5855" i="5"/>
  <c r="P5855" i="5"/>
  <c r="L5850" i="5"/>
  <c r="P5850" i="5" s="1"/>
  <c r="K5852" i="5"/>
  <c r="L5852" i="5" s="1"/>
  <c r="P5853" i="5"/>
  <c r="N5853" i="5"/>
  <c r="P5851" i="5"/>
  <c r="N5849" i="5"/>
  <c r="P5849" i="5"/>
  <c r="P5848" i="5"/>
  <c r="P5847" i="5"/>
  <c r="R5848" i="5"/>
  <c r="S5848" i="5" s="1"/>
  <c r="R5847" i="5"/>
  <c r="S5847" i="5" s="1"/>
  <c r="P5845" i="5"/>
  <c r="N5845" i="5"/>
  <c r="P5846" i="5"/>
  <c r="N5846" i="5"/>
  <c r="K5844" i="5"/>
  <c r="L5839" i="5"/>
  <c r="P5839" i="5" s="1"/>
  <c r="L5843" i="5"/>
  <c r="R5843" i="5"/>
  <c r="S5843" i="5" s="1"/>
  <c r="L5841" i="5"/>
  <c r="R5841" i="5"/>
  <c r="S5841" i="5" s="1"/>
  <c r="L5842" i="5"/>
  <c r="R5842" i="5"/>
  <c r="S5842" i="5" s="1"/>
  <c r="L5840" i="5"/>
  <c r="N5837" i="5"/>
  <c r="P5837" i="5"/>
  <c r="Q5839" i="5"/>
  <c r="R5839" i="5" s="1"/>
  <c r="S5839" i="5" s="1"/>
  <c r="K5838" i="5"/>
  <c r="R5838" i="5" s="1"/>
  <c r="S5838" i="5" s="1"/>
  <c r="P5836" i="5"/>
  <c r="L5835" i="5"/>
  <c r="Q5835" i="5"/>
  <c r="R5835" i="5" s="1"/>
  <c r="S5835" i="5" s="1"/>
  <c r="R5836" i="5"/>
  <c r="S5836" i="5" s="1"/>
  <c r="L5828" i="5"/>
  <c r="P5828" i="5" s="1"/>
  <c r="L5834" i="5"/>
  <c r="R5834" i="5"/>
  <c r="S5834" i="5" s="1"/>
  <c r="P5833" i="5"/>
  <c r="P5832" i="5"/>
  <c r="R5833" i="5"/>
  <c r="S5833" i="5" s="1"/>
  <c r="R5832" i="5"/>
  <c r="S5832" i="5" s="1"/>
  <c r="L5829" i="5"/>
  <c r="P5829" i="5" s="1"/>
  <c r="L5831" i="5"/>
  <c r="L5824" i="5"/>
  <c r="P5824" i="5" s="1"/>
  <c r="P5827" i="5"/>
  <c r="N5827" i="5"/>
  <c r="K5826" i="5"/>
  <c r="L5826" i="5" s="1"/>
  <c r="K5830" i="5"/>
  <c r="P5825" i="5"/>
  <c r="N5825" i="5"/>
  <c r="Q5824" i="5"/>
  <c r="R5824" i="5" s="1"/>
  <c r="S5824" i="5" s="1"/>
  <c r="K5819" i="5"/>
  <c r="P5820" i="5"/>
  <c r="N5820" i="5"/>
  <c r="L5823" i="5"/>
  <c r="R5823" i="5"/>
  <c r="S5823" i="5" s="1"/>
  <c r="P5822" i="5"/>
  <c r="P5821" i="5"/>
  <c r="R5822" i="5"/>
  <c r="S5822" i="5" s="1"/>
  <c r="R5821" i="5"/>
  <c r="S5821" i="5" s="1"/>
  <c r="L5818" i="5"/>
  <c r="P5818" i="5" s="1"/>
  <c r="P5817" i="5"/>
  <c r="P5815" i="5"/>
  <c r="R5817" i="5"/>
  <c r="S5817" i="5" s="1"/>
  <c r="K5816" i="5"/>
  <c r="L5816" i="5" s="1"/>
  <c r="K5814" i="5"/>
  <c r="L5814" i="5" s="1"/>
  <c r="P5813" i="5"/>
  <c r="R5813" i="5"/>
  <c r="S5813" i="5" s="1"/>
  <c r="K5812" i="5"/>
  <c r="R5812" i="5" s="1"/>
  <c r="S5812" i="5" s="1"/>
  <c r="N5811" i="5"/>
  <c r="P5811" i="5"/>
  <c r="P5810" i="5"/>
  <c r="N5810" i="5"/>
  <c r="N5809" i="5"/>
  <c r="P5809" i="5"/>
  <c r="K5808" i="5"/>
  <c r="K5807" i="5"/>
  <c r="L5807" i="5" s="1"/>
  <c r="P5807" i="5" s="1"/>
  <c r="P5806" i="5"/>
  <c r="N5805" i="5"/>
  <c r="P5805" i="5"/>
  <c r="R5806" i="5"/>
  <c r="S5806" i="5" s="1"/>
  <c r="K5804" i="5"/>
  <c r="R5804" i="5" s="1"/>
  <c r="S5804" i="5" s="1"/>
  <c r="R5803" i="5"/>
  <c r="S5803" i="5" s="1"/>
  <c r="M5803" i="5"/>
  <c r="L5803" i="5"/>
  <c r="L5802" i="5"/>
  <c r="R5802" i="5"/>
  <c r="S5802" i="5" s="1"/>
  <c r="P5801" i="5"/>
  <c r="L5800" i="5"/>
  <c r="P5800" i="5" s="1"/>
  <c r="K5799" i="5"/>
  <c r="R5794" i="5"/>
  <c r="S5794" i="5" s="1"/>
  <c r="L5798" i="5"/>
  <c r="Q5798" i="5"/>
  <c r="R5798" i="5" s="1"/>
  <c r="S5798" i="5" s="1"/>
  <c r="K5797" i="5"/>
  <c r="L5797" i="5" s="1"/>
  <c r="K5796" i="5"/>
  <c r="P5795" i="5"/>
  <c r="R5795" i="5"/>
  <c r="S5795" i="5" s="1"/>
  <c r="L5794" i="5"/>
  <c r="R5792" i="5"/>
  <c r="S5792" i="5" s="1"/>
  <c r="P5793" i="5"/>
  <c r="L5792" i="5"/>
  <c r="R5793" i="5"/>
  <c r="S5793" i="5" s="1"/>
  <c r="P5791" i="5"/>
  <c r="R5791" i="5"/>
  <c r="S5791" i="5" s="1"/>
  <c r="N5790" i="5"/>
  <c r="P5790" i="5"/>
  <c r="P5789" i="5"/>
  <c r="N5789" i="5"/>
  <c r="L5788" i="5"/>
  <c r="P5787" i="5"/>
  <c r="N5787" i="5"/>
  <c r="R5786" i="5"/>
  <c r="S5786" i="5" s="1"/>
  <c r="M5786" i="5"/>
  <c r="L5785" i="5"/>
  <c r="N5785" i="5" s="1"/>
  <c r="L5786" i="5"/>
  <c r="L5784" i="5"/>
  <c r="P5784" i="5" s="1"/>
  <c r="P5783" i="5"/>
  <c r="N5783" i="5"/>
  <c r="K5782" i="5"/>
  <c r="R5782" i="5" s="1"/>
  <c r="S5782" i="5" s="1"/>
  <c r="P5781" i="5"/>
  <c r="N5781" i="5"/>
  <c r="P5780" i="5"/>
  <c r="N5780" i="5"/>
  <c r="L5779" i="5"/>
  <c r="P5779" i="5" s="1"/>
  <c r="P5778" i="5"/>
  <c r="N5778" i="5"/>
  <c r="K5777" i="5"/>
  <c r="L5777" i="5" s="1"/>
  <c r="R5776" i="5"/>
  <c r="S5776" i="5" s="1"/>
  <c r="L5776" i="5"/>
  <c r="P5775" i="5"/>
  <c r="N5775" i="5"/>
  <c r="N5774" i="5"/>
  <c r="P5774" i="5"/>
  <c r="L5773" i="5"/>
  <c r="K5772" i="5"/>
  <c r="L5771" i="5"/>
  <c r="P5771" i="5" s="1"/>
  <c r="R5771" i="5"/>
  <c r="S5771" i="5" s="1"/>
  <c r="L5770" i="5"/>
  <c r="R5770" i="5"/>
  <c r="S5770" i="5" s="1"/>
  <c r="P5769" i="5"/>
  <c r="P5768" i="5"/>
  <c r="R5769" i="5"/>
  <c r="S5769" i="5" s="1"/>
  <c r="R5768" i="5"/>
  <c r="S5768" i="5" s="1"/>
  <c r="L5767" i="5"/>
  <c r="N5766" i="5"/>
  <c r="P5766" i="5"/>
  <c r="P5765" i="5"/>
  <c r="R5765" i="5"/>
  <c r="S5765" i="5" s="1"/>
  <c r="P5764" i="5"/>
  <c r="N5764" i="5"/>
  <c r="K5763" i="5"/>
  <c r="L5762" i="5"/>
  <c r="P5760" i="5"/>
  <c r="R5760" i="5"/>
  <c r="S5760" i="5" s="1"/>
  <c r="L5761" i="5"/>
  <c r="R5759" i="5"/>
  <c r="S5759" i="5" s="1"/>
  <c r="L5759" i="5"/>
  <c r="P5759" i="5" s="1"/>
  <c r="N5758" i="5"/>
  <c r="O5758" i="5" s="1"/>
  <c r="P5757" i="5"/>
  <c r="N5757" i="5"/>
  <c r="L5756" i="5"/>
  <c r="P5756" i="5" s="1"/>
  <c r="R5755" i="5"/>
  <c r="S5755" i="5" s="1"/>
  <c r="L5755" i="5"/>
  <c r="N5754" i="5"/>
  <c r="P5754" i="5"/>
  <c r="L5753" i="5"/>
  <c r="P5753" i="5" s="1"/>
  <c r="R5752" i="5"/>
  <c r="S5752" i="5" s="1"/>
  <c r="L5752" i="5"/>
  <c r="P5751" i="5"/>
  <c r="N5751" i="5"/>
  <c r="R5748" i="5"/>
  <c r="S5748" i="5" s="1"/>
  <c r="P5750" i="5"/>
  <c r="N5750" i="5"/>
  <c r="R5749" i="5"/>
  <c r="S5749" i="5" s="1"/>
  <c r="L5749" i="5"/>
  <c r="P5747" i="5"/>
  <c r="L5748" i="5"/>
  <c r="R5747" i="5"/>
  <c r="S5747" i="5" s="1"/>
  <c r="L5745" i="5"/>
  <c r="P5745" i="5" s="1"/>
  <c r="P5746" i="5"/>
  <c r="R5746" i="5"/>
  <c r="S5746" i="5" s="1"/>
  <c r="K5744" i="5"/>
  <c r="R5745" i="5"/>
  <c r="S5745" i="5" s="1"/>
  <c r="K5743" i="5"/>
  <c r="L5743" i="5" s="1"/>
  <c r="M5594" i="5"/>
  <c r="M5678" i="5"/>
  <c r="Q5713" i="5"/>
  <c r="R5713" i="5" s="1"/>
  <c r="S5713" i="5" s="1"/>
  <c r="M5593" i="5"/>
  <c r="Q5737" i="5"/>
  <c r="R5737" i="5" s="1"/>
  <c r="S5737" i="5" s="1"/>
  <c r="M5731" i="5"/>
  <c r="N5731" i="5" s="1"/>
  <c r="U5731" i="5" s="1"/>
  <c r="V5731" i="5" s="1"/>
  <c r="M5714" i="5"/>
  <c r="N5714" i="5" s="1"/>
  <c r="O5714" i="5" s="1"/>
  <c r="Q5627" i="5"/>
  <c r="R5627" i="5" s="1"/>
  <c r="S5627" i="5" s="1"/>
  <c r="Q5609" i="5"/>
  <c r="M5681" i="5"/>
  <c r="Q5667" i="5"/>
  <c r="R5667" i="5" s="1"/>
  <c r="S5667" i="5" s="1"/>
  <c r="Q5635" i="5"/>
  <c r="R5635" i="5" s="1"/>
  <c r="S5635" i="5" s="1"/>
  <c r="Q5644" i="5"/>
  <c r="R5644" i="5" s="1"/>
  <c r="S5644" i="5" s="1"/>
  <c r="M5723" i="5"/>
  <c r="M5740" i="5"/>
  <c r="M5615" i="5"/>
  <c r="Q5684" i="5"/>
  <c r="Q5700" i="5"/>
  <c r="Q5699" i="5"/>
  <c r="R5699" i="5" s="1"/>
  <c r="S5699" i="5" s="1"/>
  <c r="Q5716" i="5"/>
  <c r="R5716" i="5" s="1"/>
  <c r="S5716" i="5" s="1"/>
  <c r="Q5726" i="5"/>
  <c r="R5726" i="5" s="1"/>
  <c r="S5726" i="5" s="1"/>
  <c r="Q5639" i="5"/>
  <c r="R5639" i="5" s="1"/>
  <c r="S5639" i="5" s="1"/>
  <c r="M5651" i="5"/>
  <c r="N5651" i="5" s="1"/>
  <c r="Q5736" i="5"/>
  <c r="R5736" i="5" s="1"/>
  <c r="S5736" i="5" s="1"/>
  <c r="Q5643" i="5"/>
  <c r="Q5601" i="5"/>
  <c r="R5601" i="5" s="1"/>
  <c r="S5601" i="5" s="1"/>
  <c r="Q5605" i="5"/>
  <c r="R5605" i="5" s="1"/>
  <c r="S5605" i="5" s="1"/>
  <c r="Q5697" i="5"/>
  <c r="R5697" i="5" s="1"/>
  <c r="S5697" i="5" s="1"/>
  <c r="Q5707" i="5"/>
  <c r="R5707" i="5" s="1"/>
  <c r="S5707" i="5" s="1"/>
  <c r="Q5712" i="5"/>
  <c r="R5712" i="5" s="1"/>
  <c r="S5712" i="5" s="1"/>
  <c r="Q5735" i="5"/>
  <c r="R5735" i="5" s="1"/>
  <c r="S5735" i="5" s="1"/>
  <c r="Q5602" i="5"/>
  <c r="M5626" i="5"/>
  <c r="N5626" i="5" s="1"/>
  <c r="M5670" i="5"/>
  <c r="M5715" i="5"/>
  <c r="N5715" i="5" s="1"/>
  <c r="M5725" i="5"/>
  <c r="M5669" i="5"/>
  <c r="N5669" i="5" s="1"/>
  <c r="Q5742" i="5"/>
  <c r="R5742" i="5" s="1"/>
  <c r="S5742" i="5" s="1"/>
  <c r="M5596" i="5"/>
  <c r="M5739" i="5"/>
  <c r="N5739" i="5" s="1"/>
  <c r="Q5621" i="5"/>
  <c r="R5621" i="5" s="1"/>
  <c r="S5621" i="5" s="1"/>
  <c r="Q5640" i="5"/>
  <c r="M5709" i="5"/>
  <c r="Q5598" i="5"/>
  <c r="R5598" i="5" s="1"/>
  <c r="S5598" i="5" s="1"/>
  <c r="Q5646" i="5"/>
  <c r="R5646" i="5" s="1"/>
  <c r="S5646" i="5" s="1"/>
  <c r="Q5655" i="5"/>
  <c r="M5708" i="5"/>
  <c r="Q5733" i="5"/>
  <c r="R5733" i="5" s="1"/>
  <c r="S5733" i="5" s="1"/>
  <c r="Q5653" i="5"/>
  <c r="R5653" i="5" s="1"/>
  <c r="S5653" i="5" s="1"/>
  <c r="M5672" i="5"/>
  <c r="N5672" i="5" s="1"/>
  <c r="Q5679" i="5"/>
  <c r="R5679" i="5" s="1"/>
  <c r="S5679" i="5" s="1"/>
  <c r="Q5703" i="5"/>
  <c r="R5703" i="5" s="1"/>
  <c r="S5703" i="5" s="1"/>
  <c r="Q5738" i="5"/>
  <c r="R5738" i="5" s="1"/>
  <c r="S5738" i="5" s="1"/>
  <c r="M5698" i="5"/>
  <c r="N5698" i="5" s="1"/>
  <c r="O5698" i="5" s="1"/>
  <c r="Q5717" i="5"/>
  <c r="Q5608" i="5"/>
  <c r="R5608" i="5" s="1"/>
  <c r="S5608" i="5" s="1"/>
  <c r="R5715" i="5"/>
  <c r="S5715" i="5" s="1"/>
  <c r="R5731" i="5"/>
  <c r="S5731" i="5" s="1"/>
  <c r="Q5619" i="5"/>
  <c r="R5619" i="5" s="1"/>
  <c r="S5619" i="5" s="1"/>
  <c r="Q5693" i="5"/>
  <c r="L5705" i="5"/>
  <c r="P5705" i="5" s="1"/>
  <c r="K5709" i="5"/>
  <c r="L5709" i="5" s="1"/>
  <c r="L5719" i="5"/>
  <c r="Q5724" i="5"/>
  <c r="M5722" i="5"/>
  <c r="N5722" i="5" s="1"/>
  <c r="R5739" i="5"/>
  <c r="S5739" i="5" s="1"/>
  <c r="Q5595" i="5"/>
  <c r="R5595" i="5" s="1"/>
  <c r="S5595" i="5" s="1"/>
  <c r="Q5614" i="5"/>
  <c r="R5614" i="5" s="1"/>
  <c r="S5614" i="5" s="1"/>
  <c r="Q5671" i="5"/>
  <c r="R5671" i="5" s="1"/>
  <c r="S5671" i="5" s="1"/>
  <c r="M5668" i="5"/>
  <c r="M5686" i="5"/>
  <c r="N5686" i="5" s="1"/>
  <c r="O5686" i="5" s="1"/>
  <c r="M5689" i="5"/>
  <c r="M5705" i="5"/>
  <c r="Q5706" i="5"/>
  <c r="R5706" i="5" s="1"/>
  <c r="S5706" i="5" s="1"/>
  <c r="L5720" i="5"/>
  <c r="P5720" i="5" s="1"/>
  <c r="L5718" i="5"/>
  <c r="P5718" i="5" s="1"/>
  <c r="M5728" i="5"/>
  <c r="M5729" i="5"/>
  <c r="N5729" i="5" s="1"/>
  <c r="Q5741" i="5"/>
  <c r="R5741" i="5" s="1"/>
  <c r="S5741" i="5" s="1"/>
  <c r="R5720" i="5"/>
  <c r="S5720" i="5" s="1"/>
  <c r="M5604" i="5"/>
  <c r="N5604" i="5" s="1"/>
  <c r="M5603" i="5"/>
  <c r="Q5623" i="5"/>
  <c r="R5623" i="5" s="1"/>
  <c r="S5623" i="5" s="1"/>
  <c r="M5685" i="5"/>
  <c r="L5687" i="5"/>
  <c r="P5687" i="5" s="1"/>
  <c r="R5689" i="5"/>
  <c r="S5689" i="5" s="1"/>
  <c r="L5689" i="5"/>
  <c r="R5694" i="5"/>
  <c r="S5694" i="5" s="1"/>
  <c r="L5697" i="5"/>
  <c r="N5697" i="5" s="1"/>
  <c r="L5725" i="5"/>
  <c r="P5725" i="5" s="1"/>
  <c r="Q5683" i="5"/>
  <c r="R5683" i="5" s="1"/>
  <c r="S5683" i="5" s="1"/>
  <c r="Q5688" i="5"/>
  <c r="R5688" i="5" s="1"/>
  <c r="S5688" i="5" s="1"/>
  <c r="R5685" i="5"/>
  <c r="S5685" i="5" s="1"/>
  <c r="R5708" i="5"/>
  <c r="S5708" i="5" s="1"/>
  <c r="M5727" i="5"/>
  <c r="N5727" i="5" s="1"/>
  <c r="Q5641" i="5"/>
  <c r="R5641" i="5" s="1"/>
  <c r="S5641" i="5" s="1"/>
  <c r="M5650" i="5"/>
  <c r="M5652" i="5"/>
  <c r="L5707" i="5"/>
  <c r="P5707" i="5" s="1"/>
  <c r="M5720" i="5"/>
  <c r="Q5732" i="5"/>
  <c r="R5732" i="5" s="1"/>
  <c r="S5732" i="5" s="1"/>
  <c r="P5722" i="5"/>
  <c r="P5682" i="5"/>
  <c r="N5682" i="5"/>
  <c r="P5710" i="5"/>
  <c r="N5710" i="5"/>
  <c r="N5726" i="5"/>
  <c r="P5726" i="5"/>
  <c r="P5739" i="5"/>
  <c r="N5738" i="5"/>
  <c r="P5738" i="5"/>
  <c r="P5716" i="5"/>
  <c r="N5716" i="5"/>
  <c r="L5723" i="5"/>
  <c r="P5723" i="5" s="1"/>
  <c r="R5723" i="5"/>
  <c r="S5723" i="5" s="1"/>
  <c r="N5736" i="5"/>
  <c r="P5736" i="5"/>
  <c r="N5737" i="5"/>
  <c r="O5737" i="5" s="1"/>
  <c r="K5684" i="5"/>
  <c r="N5703" i="5"/>
  <c r="L5708" i="5"/>
  <c r="P5708" i="5" s="1"/>
  <c r="K5724" i="5"/>
  <c r="R5729" i="5"/>
  <c r="S5729" i="5" s="1"/>
  <c r="N5712" i="5"/>
  <c r="U5712" i="5" s="1"/>
  <c r="V5712" i="5" s="1"/>
  <c r="R5730" i="5"/>
  <c r="S5730" i="5" s="1"/>
  <c r="N5679" i="5"/>
  <c r="O5679" i="5" s="1"/>
  <c r="L5690" i="5"/>
  <c r="K5693" i="5"/>
  <c r="L5693" i="5" s="1"/>
  <c r="L5701" i="5"/>
  <c r="P5701" i="5" s="1"/>
  <c r="R5705" i="5"/>
  <c r="S5705" i="5" s="1"/>
  <c r="K5717" i="5"/>
  <c r="R5719" i="5"/>
  <c r="S5719" i="5" s="1"/>
  <c r="L5728" i="5"/>
  <c r="R5728" i="5"/>
  <c r="S5728" i="5" s="1"/>
  <c r="L5734" i="5"/>
  <c r="P5734" i="5" s="1"/>
  <c r="L5735" i="5"/>
  <c r="P5735" i="5" s="1"/>
  <c r="L5741" i="5"/>
  <c r="P5741" i="5" s="1"/>
  <c r="L5742" i="5"/>
  <c r="L5691" i="5"/>
  <c r="P5691" i="5" s="1"/>
  <c r="R5691" i="5"/>
  <c r="S5691" i="5" s="1"/>
  <c r="R5714" i="5"/>
  <c r="S5714" i="5" s="1"/>
  <c r="R5722" i="5"/>
  <c r="S5722" i="5" s="1"/>
  <c r="N5732" i="5"/>
  <c r="O5732" i="5" s="1"/>
  <c r="L5733" i="5"/>
  <c r="P5733" i="5" s="1"/>
  <c r="L5740" i="5"/>
  <c r="P5740" i="5" s="1"/>
  <c r="R5740" i="5"/>
  <c r="S5740" i="5" s="1"/>
  <c r="R5698" i="5"/>
  <c r="S5698" i="5" s="1"/>
  <c r="R5725" i="5"/>
  <c r="S5725" i="5" s="1"/>
  <c r="N5713" i="5"/>
  <c r="R5727" i="5"/>
  <c r="S5727" i="5" s="1"/>
  <c r="L5704" i="5"/>
  <c r="M5617" i="5"/>
  <c r="N5617" i="5" s="1"/>
  <c r="R5670" i="5"/>
  <c r="S5670" i="5" s="1"/>
  <c r="M5691" i="5"/>
  <c r="P5696" i="5"/>
  <c r="Q5599" i="5"/>
  <c r="Q5606" i="5"/>
  <c r="R5606" i="5" s="1"/>
  <c r="S5606" i="5" s="1"/>
  <c r="Q5612" i="5"/>
  <c r="R5612" i="5" s="1"/>
  <c r="S5612" i="5" s="1"/>
  <c r="M5618" i="5"/>
  <c r="M5622" i="5"/>
  <c r="M5634" i="5"/>
  <c r="L5681" i="5"/>
  <c r="R5681" i="5"/>
  <c r="S5681" i="5" s="1"/>
  <c r="M5694" i="5"/>
  <c r="N5694" i="5" s="1"/>
  <c r="M5695" i="5"/>
  <c r="N5695" i="5" s="1"/>
  <c r="Q5695" i="5"/>
  <c r="R5695" i="5" s="1"/>
  <c r="S5695" i="5" s="1"/>
  <c r="N5699" i="5"/>
  <c r="N5721" i="5"/>
  <c r="Q5718" i="5"/>
  <c r="R5718" i="5" s="1"/>
  <c r="S5718" i="5" s="1"/>
  <c r="M5718" i="5"/>
  <c r="Q5704" i="5"/>
  <c r="R5704" i="5" s="1"/>
  <c r="S5704" i="5" s="1"/>
  <c r="Q5611" i="5"/>
  <c r="R5611" i="5" s="1"/>
  <c r="S5611" i="5" s="1"/>
  <c r="M5636" i="5"/>
  <c r="Q5642" i="5"/>
  <c r="R5642" i="5" s="1"/>
  <c r="S5642" i="5" s="1"/>
  <c r="M5656" i="5"/>
  <c r="N5656" i="5" s="1"/>
  <c r="N5680" i="5"/>
  <c r="P5680" i="5"/>
  <c r="K5700" i="5"/>
  <c r="P5702" i="5"/>
  <c r="M5702" i="5"/>
  <c r="N5702" i="5" s="1"/>
  <c r="Q5702" i="5"/>
  <c r="R5702" i="5" s="1"/>
  <c r="S5702" i="5" s="1"/>
  <c r="L5692" i="5"/>
  <c r="M5696" i="5"/>
  <c r="N5696" i="5" s="1"/>
  <c r="Q5696" i="5"/>
  <c r="R5696" i="5" s="1"/>
  <c r="S5696" i="5" s="1"/>
  <c r="M5624" i="5"/>
  <c r="Q5610" i="5"/>
  <c r="R5610" i="5" s="1"/>
  <c r="S5610" i="5" s="1"/>
  <c r="Q5620" i="5"/>
  <c r="R5620" i="5" s="1"/>
  <c r="S5620" i="5" s="1"/>
  <c r="Q5666" i="5"/>
  <c r="R5666" i="5" s="1"/>
  <c r="S5666" i="5" s="1"/>
  <c r="Q5680" i="5"/>
  <c r="R5680" i="5" s="1"/>
  <c r="S5680" i="5" s="1"/>
  <c r="Q5682" i="5"/>
  <c r="R5682" i="5" s="1"/>
  <c r="S5682" i="5" s="1"/>
  <c r="L5683" i="5"/>
  <c r="L5685" i="5"/>
  <c r="L5688" i="5"/>
  <c r="M5687" i="5"/>
  <c r="Q5687" i="5"/>
  <c r="R5687" i="5" s="1"/>
  <c r="S5687" i="5" s="1"/>
  <c r="R5692" i="5"/>
  <c r="S5692" i="5" s="1"/>
  <c r="M5701" i="5"/>
  <c r="Q5701" i="5"/>
  <c r="R5701" i="5" s="1"/>
  <c r="S5701" i="5" s="1"/>
  <c r="N5706" i="5"/>
  <c r="Q5616" i="5"/>
  <c r="M5638" i="5"/>
  <c r="P5711" i="5"/>
  <c r="M5734" i="5"/>
  <c r="Q5734" i="5"/>
  <c r="R5734" i="5" s="1"/>
  <c r="S5734" i="5" s="1"/>
  <c r="Q5721" i="5"/>
  <c r="R5721" i="5" s="1"/>
  <c r="S5721" i="5" s="1"/>
  <c r="R5678" i="5"/>
  <c r="S5678" i="5" s="1"/>
  <c r="Q5710" i="5"/>
  <c r="R5710" i="5" s="1"/>
  <c r="S5710" i="5" s="1"/>
  <c r="M5711" i="5"/>
  <c r="N5711" i="5" s="1"/>
  <c r="R5686" i="5"/>
  <c r="S5686" i="5" s="1"/>
  <c r="R5711" i="5"/>
  <c r="S5711" i="5" s="1"/>
  <c r="L5677" i="5"/>
  <c r="R5677" i="5"/>
  <c r="S5677" i="5" s="1"/>
  <c r="L5676" i="5"/>
  <c r="R5676" i="5"/>
  <c r="S5676" i="5" s="1"/>
  <c r="L5678" i="5"/>
  <c r="R5672" i="5"/>
  <c r="S5672" i="5" s="1"/>
  <c r="L5675" i="5"/>
  <c r="R5675" i="5"/>
  <c r="S5675" i="5" s="1"/>
  <c r="P5673" i="5"/>
  <c r="P5672" i="5"/>
  <c r="P5674" i="5"/>
  <c r="R5674" i="5"/>
  <c r="S5674" i="5" s="1"/>
  <c r="L5671" i="5"/>
  <c r="P5671" i="5" s="1"/>
  <c r="R5673" i="5"/>
  <c r="S5673" i="5" s="1"/>
  <c r="L5670" i="5"/>
  <c r="P5670" i="5" s="1"/>
  <c r="P5669" i="5"/>
  <c r="R5669" i="5"/>
  <c r="S5669" i="5" s="1"/>
  <c r="K5668" i="5"/>
  <c r="R5668" i="5" s="1"/>
  <c r="S5668" i="5" s="1"/>
  <c r="P5667" i="5"/>
  <c r="N5667" i="5"/>
  <c r="P5666" i="5"/>
  <c r="N5666" i="5"/>
  <c r="P5663" i="5"/>
  <c r="L5665" i="5"/>
  <c r="R5665" i="5"/>
  <c r="S5665" i="5" s="1"/>
  <c r="L5664" i="5"/>
  <c r="R5664" i="5"/>
  <c r="S5664" i="5" s="1"/>
  <c r="R5663" i="5"/>
  <c r="S5663" i="5" s="1"/>
  <c r="P5661" i="5"/>
  <c r="P5662" i="5"/>
  <c r="L5653" i="5"/>
  <c r="P5660" i="5"/>
  <c r="R5662" i="5"/>
  <c r="S5662" i="5" s="1"/>
  <c r="R5661" i="5"/>
  <c r="S5661" i="5" s="1"/>
  <c r="R5660" i="5"/>
  <c r="S5660" i="5" s="1"/>
  <c r="L5654" i="5"/>
  <c r="P5654" i="5" s="1"/>
  <c r="R5654" i="5"/>
  <c r="S5654" i="5" s="1"/>
  <c r="P5657" i="5"/>
  <c r="P5659" i="5"/>
  <c r="P5658" i="5"/>
  <c r="R5659" i="5"/>
  <c r="S5659" i="5" s="1"/>
  <c r="K5652" i="5"/>
  <c r="R5652" i="5" s="1"/>
  <c r="S5652" i="5" s="1"/>
  <c r="R5658" i="5"/>
  <c r="S5658" i="5" s="1"/>
  <c r="R5657" i="5"/>
  <c r="S5657" i="5" s="1"/>
  <c r="P5656" i="5"/>
  <c r="M5654" i="5"/>
  <c r="R5656" i="5"/>
  <c r="S5656" i="5" s="1"/>
  <c r="K5655" i="5"/>
  <c r="L5655" i="5" s="1"/>
  <c r="P5651" i="5"/>
  <c r="K5650" i="5"/>
  <c r="L5650" i="5" s="1"/>
  <c r="R5651" i="5"/>
  <c r="S5651" i="5" s="1"/>
  <c r="P5648" i="5"/>
  <c r="L5649" i="5"/>
  <c r="R5649" i="5"/>
  <c r="S5649" i="5" s="1"/>
  <c r="P5647" i="5"/>
  <c r="R5648" i="5"/>
  <c r="S5648" i="5" s="1"/>
  <c r="R5647" i="5"/>
  <c r="S5647" i="5" s="1"/>
  <c r="L5645" i="5"/>
  <c r="R5645" i="5"/>
  <c r="S5645" i="5" s="1"/>
  <c r="P5644" i="5"/>
  <c r="N5644" i="5"/>
  <c r="P5646" i="5"/>
  <c r="N5646" i="5"/>
  <c r="M5645" i="5"/>
  <c r="K5643" i="5"/>
  <c r="N5642" i="5"/>
  <c r="P5642" i="5"/>
  <c r="P5641" i="5"/>
  <c r="N5641" i="5"/>
  <c r="K5640" i="5"/>
  <c r="P5639" i="5"/>
  <c r="N5639" i="5"/>
  <c r="K5638" i="5"/>
  <c r="L5638" i="5" s="1"/>
  <c r="L5637" i="5"/>
  <c r="Q5637" i="5"/>
  <c r="R5637" i="5" s="1"/>
  <c r="S5637" i="5" s="1"/>
  <c r="K5636" i="5"/>
  <c r="L5636" i="5" s="1"/>
  <c r="N5635" i="5"/>
  <c r="P5635" i="5"/>
  <c r="K5634" i="5"/>
  <c r="L5634" i="5" s="1"/>
  <c r="P5631" i="5"/>
  <c r="L5632" i="5"/>
  <c r="R5632" i="5"/>
  <c r="S5632" i="5" s="1"/>
  <c r="P5633" i="5"/>
  <c r="R5633" i="5"/>
  <c r="S5633" i="5" s="1"/>
  <c r="R5631" i="5"/>
  <c r="S5631" i="5" s="1"/>
  <c r="L5630" i="5"/>
  <c r="R5630" i="5"/>
  <c r="S5630" i="5" s="1"/>
  <c r="P5629" i="5"/>
  <c r="P5628" i="5"/>
  <c r="R5629" i="5"/>
  <c r="S5629" i="5" s="1"/>
  <c r="R5628" i="5"/>
  <c r="S5628" i="5" s="1"/>
  <c r="N5627" i="5"/>
  <c r="P5627" i="5"/>
  <c r="P5626" i="5"/>
  <c r="R5626" i="5"/>
  <c r="S5626" i="5" s="1"/>
  <c r="L5625" i="5"/>
  <c r="Q5625" i="5"/>
  <c r="R5625" i="5" s="1"/>
  <c r="S5625" i="5" s="1"/>
  <c r="K5624" i="5"/>
  <c r="L5624" i="5" s="1"/>
  <c r="N5623" i="5"/>
  <c r="P5623" i="5"/>
  <c r="L5622" i="5"/>
  <c r="R5622" i="5"/>
  <c r="S5622" i="5" s="1"/>
  <c r="R5618" i="5"/>
  <c r="S5618" i="5" s="1"/>
  <c r="L5618" i="5"/>
  <c r="P5621" i="5"/>
  <c r="N5621" i="5"/>
  <c r="L5620" i="5"/>
  <c r="K5616" i="5"/>
  <c r="P5619" i="5"/>
  <c r="N5619" i="5"/>
  <c r="R5613" i="5"/>
  <c r="S5613" i="5" s="1"/>
  <c r="L5614" i="5"/>
  <c r="N5614" i="5" s="1"/>
  <c r="L5608" i="5"/>
  <c r="N5608" i="5" s="1"/>
  <c r="L5610" i="5"/>
  <c r="P5610" i="5" s="1"/>
  <c r="N5611" i="5"/>
  <c r="P5611" i="5"/>
  <c r="P5617" i="5"/>
  <c r="L5612" i="5"/>
  <c r="R5617" i="5"/>
  <c r="S5617" i="5" s="1"/>
  <c r="P5613" i="5"/>
  <c r="M5613" i="5"/>
  <c r="N5613" i="5" s="1"/>
  <c r="K5615" i="5"/>
  <c r="L5615" i="5" s="1"/>
  <c r="K5609" i="5"/>
  <c r="L5609" i="5" s="1"/>
  <c r="L5605" i="5"/>
  <c r="N5605" i="5" s="1"/>
  <c r="R5607" i="5"/>
  <c r="S5607" i="5" s="1"/>
  <c r="M5607" i="5"/>
  <c r="K5599" i="5"/>
  <c r="L5607" i="5"/>
  <c r="L5601" i="5"/>
  <c r="P5601" i="5" s="1"/>
  <c r="L5595" i="5"/>
  <c r="P5595" i="5" s="1"/>
  <c r="N5606" i="5"/>
  <c r="P5606" i="5"/>
  <c r="R5597" i="5"/>
  <c r="S5597" i="5" s="1"/>
  <c r="R5603" i="5"/>
  <c r="S5603" i="5" s="1"/>
  <c r="L5597" i="5"/>
  <c r="R5600" i="5"/>
  <c r="S5600" i="5" s="1"/>
  <c r="L5603" i="5"/>
  <c r="N5598" i="5"/>
  <c r="P5598" i="5"/>
  <c r="P5604" i="5"/>
  <c r="R5604" i="5"/>
  <c r="S5604" i="5" s="1"/>
  <c r="P5600" i="5"/>
  <c r="M5600" i="5"/>
  <c r="N5600" i="5" s="1"/>
  <c r="K5602" i="5"/>
  <c r="L5602" i="5" s="1"/>
  <c r="K5596" i="5"/>
  <c r="R5596" i="5" s="1"/>
  <c r="S5596" i="5" s="1"/>
  <c r="L5594" i="5"/>
  <c r="R5594" i="5"/>
  <c r="S5594" i="5" s="1"/>
  <c r="L5593" i="5"/>
  <c r="R5593" i="5"/>
  <c r="S5593" i="5" s="1"/>
  <c r="P5592" i="5"/>
  <c r="R5592" i="5"/>
  <c r="S5592" i="5" s="1"/>
  <c r="N6608" i="5" l="1"/>
  <c r="O6608" i="5" s="1"/>
  <c r="O6577" i="5"/>
  <c r="U6634" i="5"/>
  <c r="V6634" i="5" s="1"/>
  <c r="N6544" i="5"/>
  <c r="O6544" i="5" s="1"/>
  <c r="O6514" i="5"/>
  <c r="O6631" i="5"/>
  <c r="U6600" i="5"/>
  <c r="V6600" i="5" s="1"/>
  <c r="O6594" i="5"/>
  <c r="N6522" i="5"/>
  <c r="U6522" i="5" s="1"/>
  <c r="V6522" i="5" s="1"/>
  <c r="O6634" i="5"/>
  <c r="N6579" i="5"/>
  <c r="O6579" i="5" s="1"/>
  <c r="P6621" i="5"/>
  <c r="O6621" i="5" s="1"/>
  <c r="O6613" i="5"/>
  <c r="O6552" i="5"/>
  <c r="O6612" i="5"/>
  <c r="U6533" i="5"/>
  <c r="V6533" i="5" s="1"/>
  <c r="CM53" i="12"/>
  <c r="BA53" i="12"/>
  <c r="U6573" i="5"/>
  <c r="V6573" i="5" s="1"/>
  <c r="P6591" i="5"/>
  <c r="O6591" i="5" s="1"/>
  <c r="N6654" i="5"/>
  <c r="U6654" i="5" s="1"/>
  <c r="V6654" i="5" s="1"/>
  <c r="U6647" i="5"/>
  <c r="V6647" i="5" s="1"/>
  <c r="P6585" i="5"/>
  <c r="U6585" i="5" s="1"/>
  <c r="V6585" i="5" s="1"/>
  <c r="N6526" i="5"/>
  <c r="O6526" i="5" s="1"/>
  <c r="U6601" i="5"/>
  <c r="V6601" i="5" s="1"/>
  <c r="N6497" i="5"/>
  <c r="U6497" i="5" s="1"/>
  <c r="V6497" i="5" s="1"/>
  <c r="O6639" i="5"/>
  <c r="P6633" i="5"/>
  <c r="O6633" i="5" s="1"/>
  <c r="P6483" i="5"/>
  <c r="O6483" i="5" s="1"/>
  <c r="O6647" i="5"/>
  <c r="O6587" i="5"/>
  <c r="P6498" i="5"/>
  <c r="U6498" i="5" s="1"/>
  <c r="V6498" i="5" s="1"/>
  <c r="N6503" i="5"/>
  <c r="O6503" i="5" s="1"/>
  <c r="O6478" i="5"/>
  <c r="U6587" i="5"/>
  <c r="V6587" i="5" s="1"/>
  <c r="O6602" i="5"/>
  <c r="U6485" i="5"/>
  <c r="V6485" i="5" s="1"/>
  <c r="P6628" i="5"/>
  <c r="O6628" i="5" s="1"/>
  <c r="N6520" i="5"/>
  <c r="O6520" i="5" s="1"/>
  <c r="N6553" i="5"/>
  <c r="O6553" i="5" s="1"/>
  <c r="N6574" i="5"/>
  <c r="U6574" i="5" s="1"/>
  <c r="V6574" i="5" s="1"/>
  <c r="U6552" i="5"/>
  <c r="V6552" i="5" s="1"/>
  <c r="P6481" i="5"/>
  <c r="O6481" i="5" s="1"/>
  <c r="N6582" i="5"/>
  <c r="O6582" i="5" s="1"/>
  <c r="N6549" i="5"/>
  <c r="U6549" i="5" s="1"/>
  <c r="V6549" i="5" s="1"/>
  <c r="U6534" i="5"/>
  <c r="V6534" i="5" s="1"/>
  <c r="U6479" i="5"/>
  <c r="V6479" i="5" s="1"/>
  <c r="U6539" i="5"/>
  <c r="V6539" i="5" s="1"/>
  <c r="U6567" i="5"/>
  <c r="V6567" i="5" s="1"/>
  <c r="P6583" i="5"/>
  <c r="O6583" i="5" s="1"/>
  <c r="P6605" i="5"/>
  <c r="O6605" i="5" s="1"/>
  <c r="N6645" i="5"/>
  <c r="U6645" i="5" s="1"/>
  <c r="V6645" i="5" s="1"/>
  <c r="O6550" i="5"/>
  <c r="N6655" i="5"/>
  <c r="O6534" i="5"/>
  <c r="P6658" i="5"/>
  <c r="N6658" i="5"/>
  <c r="O6551" i="5"/>
  <c r="U6620" i="5"/>
  <c r="V6620" i="5" s="1"/>
  <c r="U6629" i="5"/>
  <c r="V6629" i="5" s="1"/>
  <c r="O6656" i="5"/>
  <c r="O6601" i="5"/>
  <c r="O6482" i="5"/>
  <c r="U6482" i="5"/>
  <c r="V6482" i="5" s="1"/>
  <c r="N6636" i="5"/>
  <c r="O6636" i="5" s="1"/>
  <c r="P6593" i="5"/>
  <c r="N6593" i="5"/>
  <c r="U6536" i="5"/>
  <c r="V6536" i="5" s="1"/>
  <c r="U6541" i="5"/>
  <c r="V6541" i="5" s="1"/>
  <c r="O6541" i="5"/>
  <c r="P6509" i="5"/>
  <c r="O6509" i="5" s="1"/>
  <c r="O6540" i="5"/>
  <c r="U6540" i="5"/>
  <c r="V6540" i="5" s="1"/>
  <c r="O6576" i="5"/>
  <c r="U6618" i="5"/>
  <c r="V6618" i="5" s="1"/>
  <c r="O6618" i="5"/>
  <c r="O6603" i="5"/>
  <c r="N6525" i="5"/>
  <c r="O6525" i="5" s="1"/>
  <c r="U6656" i="5"/>
  <c r="V6656" i="5" s="1"/>
  <c r="O6513" i="5"/>
  <c r="U6513" i="5"/>
  <c r="V6513" i="5" s="1"/>
  <c r="U6550" i="5"/>
  <c r="V6550" i="5" s="1"/>
  <c r="O6484" i="5"/>
  <c r="U6484" i="5"/>
  <c r="V6484" i="5" s="1"/>
  <c r="O6567" i="5"/>
  <c r="O6652" i="5"/>
  <c r="U6652" i="5"/>
  <c r="V6652" i="5" s="1"/>
  <c r="P6507" i="5"/>
  <c r="N6507" i="5"/>
  <c r="O6665" i="5"/>
  <c r="U6665" i="5"/>
  <c r="V6665" i="5" s="1"/>
  <c r="P6570" i="5"/>
  <c r="N6570" i="5"/>
  <c r="P6592" i="5"/>
  <c r="N6592" i="5"/>
  <c r="U6565" i="5"/>
  <c r="V6565" i="5" s="1"/>
  <c r="O6565" i="5"/>
  <c r="P6625" i="5"/>
  <c r="N6625" i="5"/>
  <c r="P6619" i="5"/>
  <c r="N6619" i="5"/>
  <c r="P6524" i="5"/>
  <c r="N6524" i="5"/>
  <c r="P6518" i="5"/>
  <c r="N6518" i="5"/>
  <c r="O6572" i="5"/>
  <c r="U6572" i="5"/>
  <c r="V6572" i="5" s="1"/>
  <c r="P6597" i="5"/>
  <c r="N6597" i="5"/>
  <c r="U6571" i="5"/>
  <c r="V6571" i="5" s="1"/>
  <c r="O6571" i="5"/>
  <c r="O6642" i="5"/>
  <c r="U6642" i="5"/>
  <c r="V6642" i="5" s="1"/>
  <c r="O6611" i="5"/>
  <c r="U6611" i="5"/>
  <c r="V6611" i="5" s="1"/>
  <c r="O6519" i="5"/>
  <c r="U6519" i="5"/>
  <c r="V6519" i="5" s="1"/>
  <c r="O6589" i="5"/>
  <c r="U6589" i="5"/>
  <c r="V6589" i="5" s="1"/>
  <c r="O6615" i="5"/>
  <c r="U6615" i="5"/>
  <c r="V6615" i="5" s="1"/>
  <c r="O6537" i="5"/>
  <c r="U6537" i="5"/>
  <c r="V6537" i="5" s="1"/>
  <c r="N6511" i="5"/>
  <c r="P6511" i="5"/>
  <c r="O6490" i="5"/>
  <c r="U6490" i="5"/>
  <c r="V6490" i="5" s="1"/>
  <c r="P6627" i="5"/>
  <c r="N6627" i="5"/>
  <c r="U6580" i="5"/>
  <c r="V6580" i="5" s="1"/>
  <c r="O6580" i="5"/>
  <c r="O6653" i="5"/>
  <c r="U6653" i="5"/>
  <c r="V6653" i="5" s="1"/>
  <c r="U6575" i="5"/>
  <c r="V6575" i="5" s="1"/>
  <c r="O6575" i="5"/>
  <c r="O6531" i="5"/>
  <c r="U6531" i="5"/>
  <c r="V6531" i="5" s="1"/>
  <c r="O6558" i="5"/>
  <c r="U6558" i="5"/>
  <c r="V6558" i="5" s="1"/>
  <c r="O6666" i="5"/>
  <c r="U6666" i="5"/>
  <c r="V6666" i="5" s="1"/>
  <c r="O6664" i="5"/>
  <c r="U6664" i="5"/>
  <c r="V6664" i="5" s="1"/>
  <c r="O6641" i="5"/>
  <c r="U6641" i="5"/>
  <c r="V6641" i="5" s="1"/>
  <c r="O6504" i="5"/>
  <c r="U6504" i="5"/>
  <c r="V6504" i="5" s="1"/>
  <c r="U6667" i="5"/>
  <c r="V6667" i="5" s="1"/>
  <c r="O6667" i="5"/>
  <c r="P6644" i="5"/>
  <c r="N6644" i="5"/>
  <c r="P6508" i="5"/>
  <c r="N6508" i="5"/>
  <c r="O6545" i="5"/>
  <c r="U6545" i="5"/>
  <c r="V6545" i="5" s="1"/>
  <c r="O6491" i="5"/>
  <c r="U6491" i="5"/>
  <c r="V6491" i="5" s="1"/>
  <c r="O6500" i="5"/>
  <c r="U6500" i="5"/>
  <c r="V6500" i="5" s="1"/>
  <c r="O6604" i="5"/>
  <c r="U6604" i="5"/>
  <c r="V6604" i="5" s="1"/>
  <c r="O6505" i="5"/>
  <c r="U6505" i="5"/>
  <c r="V6505" i="5" s="1"/>
  <c r="P6543" i="5"/>
  <c r="N6543" i="5"/>
  <c r="U6494" i="5"/>
  <c r="V6494" i="5" s="1"/>
  <c r="O6494" i="5"/>
  <c r="U6555" i="5"/>
  <c r="V6555" i="5" s="1"/>
  <c r="O6555" i="5"/>
  <c r="P6622" i="5"/>
  <c r="N6622" i="5"/>
  <c r="U6506" i="5"/>
  <c r="V6506" i="5" s="1"/>
  <c r="O6506" i="5"/>
  <c r="P6663" i="5"/>
  <c r="N6663" i="5"/>
  <c r="N6617" i="5"/>
  <c r="P6617" i="5"/>
  <c r="N6542" i="5"/>
  <c r="P6542" i="5"/>
  <c r="O6515" i="5"/>
  <c r="U6515" i="5"/>
  <c r="V6515" i="5" s="1"/>
  <c r="U6586" i="5"/>
  <c r="V6586" i="5" s="1"/>
  <c r="O6586" i="5"/>
  <c r="O6659" i="5"/>
  <c r="U6659" i="5"/>
  <c r="V6659" i="5" s="1"/>
  <c r="U6606" i="5"/>
  <c r="V6606" i="5" s="1"/>
  <c r="O6606" i="5"/>
  <c r="O6480" i="5"/>
  <c r="U6480" i="5"/>
  <c r="V6480" i="5" s="1"/>
  <c r="U6657" i="5"/>
  <c r="V6657" i="5" s="1"/>
  <c r="O6657" i="5"/>
  <c r="P6662" i="5"/>
  <c r="N6662" i="5"/>
  <c r="O6616" i="5"/>
  <c r="U6616" i="5"/>
  <c r="V6616" i="5" s="1"/>
  <c r="O6578" i="5"/>
  <c r="U6578" i="5"/>
  <c r="V6578" i="5" s="1"/>
  <c r="O6609" i="5"/>
  <c r="U6609" i="5"/>
  <c r="V6609" i="5" s="1"/>
  <c r="P6488" i="5"/>
  <c r="N6488" i="5"/>
  <c r="U6561" i="5"/>
  <c r="V6561" i="5" s="1"/>
  <c r="O6561" i="5"/>
  <c r="O6624" i="5"/>
  <c r="U6624" i="5"/>
  <c r="V6624" i="5" s="1"/>
  <c r="O6547" i="5"/>
  <c r="U6547" i="5"/>
  <c r="V6547" i="5" s="1"/>
  <c r="O6584" i="5"/>
  <c r="U6584" i="5"/>
  <c r="V6584" i="5" s="1"/>
  <c r="O6623" i="5"/>
  <c r="U6623" i="5"/>
  <c r="V6623" i="5" s="1"/>
  <c r="O6559" i="5"/>
  <c r="U6559" i="5"/>
  <c r="V6559" i="5" s="1"/>
  <c r="O6530" i="5"/>
  <c r="U6530" i="5"/>
  <c r="V6530" i="5" s="1"/>
  <c r="U6495" i="5"/>
  <c r="V6495" i="5" s="1"/>
  <c r="O6495" i="5"/>
  <c r="U6517" i="5"/>
  <c r="V6517" i="5" s="1"/>
  <c r="O6517" i="5"/>
  <c r="O6560" i="5"/>
  <c r="U6560" i="5"/>
  <c r="V6560" i="5" s="1"/>
  <c r="P6596" i="5"/>
  <c r="N6596" i="5"/>
  <c r="U6630" i="5"/>
  <c r="V6630" i="5" s="1"/>
  <c r="O6630" i="5"/>
  <c r="P6649" i="5"/>
  <c r="N6649" i="5"/>
  <c r="O6492" i="5"/>
  <c r="U6492" i="5"/>
  <c r="V6492" i="5" s="1"/>
  <c r="O6487" i="5"/>
  <c r="U6487" i="5"/>
  <c r="V6487" i="5" s="1"/>
  <c r="P6648" i="5"/>
  <c r="N6648" i="5"/>
  <c r="O6501" i="5"/>
  <c r="U6501" i="5"/>
  <c r="V6501" i="5" s="1"/>
  <c r="O6632" i="5"/>
  <c r="U6632" i="5"/>
  <c r="V6632" i="5" s="1"/>
  <c r="O6598" i="5"/>
  <c r="U6598" i="5"/>
  <c r="V6598" i="5" s="1"/>
  <c r="O6568" i="5"/>
  <c r="U6568" i="5"/>
  <c r="V6568" i="5" s="1"/>
  <c r="U6640" i="5"/>
  <c r="V6640" i="5" s="1"/>
  <c r="O6640" i="5"/>
  <c r="O6510" i="5"/>
  <c r="U6510" i="5"/>
  <c r="V6510" i="5" s="1"/>
  <c r="O6563" i="5"/>
  <c r="U6563" i="5"/>
  <c r="V6563" i="5" s="1"/>
  <c r="P6614" i="5"/>
  <c r="N6614" i="5"/>
  <c r="O6529" i="5"/>
  <c r="U6529" i="5"/>
  <c r="V6529" i="5" s="1"/>
  <c r="P6532" i="5"/>
  <c r="N6532" i="5"/>
  <c r="O6562" i="5"/>
  <c r="U6562" i="5"/>
  <c r="V6562" i="5" s="1"/>
  <c r="O6599" i="5"/>
  <c r="U6599" i="5"/>
  <c r="V6599" i="5" s="1"/>
  <c r="P6668" i="5"/>
  <c r="N6668" i="5"/>
  <c r="P6588" i="5"/>
  <c r="N6588" i="5"/>
  <c r="O6535" i="5"/>
  <c r="U6535" i="5"/>
  <c r="V6535" i="5" s="1"/>
  <c r="U6489" i="5"/>
  <c r="V6489" i="5" s="1"/>
  <c r="O6489" i="5"/>
  <c r="P6516" i="5"/>
  <c r="N6516" i="5"/>
  <c r="O6637" i="5"/>
  <c r="U6637" i="5"/>
  <c r="V6637" i="5" s="1"/>
  <c r="N6538" i="5"/>
  <c r="P6538" i="5"/>
  <c r="P6595" i="5"/>
  <c r="N6595" i="5"/>
  <c r="O6651" i="5"/>
  <c r="U6651" i="5"/>
  <c r="V6651" i="5" s="1"/>
  <c r="O6638" i="5"/>
  <c r="U6638" i="5"/>
  <c r="V6638" i="5" s="1"/>
  <c r="N6486" i="5"/>
  <c r="P6486" i="5"/>
  <c r="U6523" i="5"/>
  <c r="V6523" i="5" s="1"/>
  <c r="O6523" i="5"/>
  <c r="O6564" i="5"/>
  <c r="U6564" i="5"/>
  <c r="V6564" i="5" s="1"/>
  <c r="O6554" i="5"/>
  <c r="U6554" i="5"/>
  <c r="V6554" i="5" s="1"/>
  <c r="O6626" i="5"/>
  <c r="U6626" i="5"/>
  <c r="V6626" i="5" s="1"/>
  <c r="U6528" i="5"/>
  <c r="V6528" i="5" s="1"/>
  <c r="O6528" i="5"/>
  <c r="U6569" i="5"/>
  <c r="V6569" i="5" s="1"/>
  <c r="O6569" i="5"/>
  <c r="O6502" i="5"/>
  <c r="U6502" i="5"/>
  <c r="V6502" i="5" s="1"/>
  <c r="U6413" i="5"/>
  <c r="V6413" i="5" s="1"/>
  <c r="U6434" i="5"/>
  <c r="V6434" i="5" s="1"/>
  <c r="O6330" i="5"/>
  <c r="N6349" i="5"/>
  <c r="U6349" i="5" s="1"/>
  <c r="V6349" i="5" s="1"/>
  <c r="U6432" i="5"/>
  <c r="V6432" i="5" s="1"/>
  <c r="O6400" i="5"/>
  <c r="CK53" i="12"/>
  <c r="N6475" i="5"/>
  <c r="O6475" i="5" s="1"/>
  <c r="N6416" i="5"/>
  <c r="U6416" i="5" s="1"/>
  <c r="V6416" i="5" s="1"/>
  <c r="U6359" i="5"/>
  <c r="V6359" i="5" s="1"/>
  <c r="O6362" i="5"/>
  <c r="O6473" i="5"/>
  <c r="P6468" i="5"/>
  <c r="O6468" i="5" s="1"/>
  <c r="O6354" i="5"/>
  <c r="P6376" i="5"/>
  <c r="O6376" i="5" s="1"/>
  <c r="P6388" i="5"/>
  <c r="U6388" i="5" s="1"/>
  <c r="V6388" i="5" s="1"/>
  <c r="O6251" i="5"/>
  <c r="N6256" i="5"/>
  <c r="O6256" i="5" s="1"/>
  <c r="P6361" i="5"/>
  <c r="U6361" i="5" s="1"/>
  <c r="V6361" i="5" s="1"/>
  <c r="P6360" i="5"/>
  <c r="O6360" i="5" s="1"/>
  <c r="O6399" i="5"/>
  <c r="O6451" i="5"/>
  <c r="P6337" i="5"/>
  <c r="O6337" i="5" s="1"/>
  <c r="P6275" i="5"/>
  <c r="U6275" i="5" s="1"/>
  <c r="V6275" i="5" s="1"/>
  <c r="O6403" i="5"/>
  <c r="N6325" i="5"/>
  <c r="U6325" i="5" s="1"/>
  <c r="V6325" i="5" s="1"/>
  <c r="N6279" i="5"/>
  <c r="O6279" i="5" s="1"/>
  <c r="U6320" i="5"/>
  <c r="V6320" i="5" s="1"/>
  <c r="P6436" i="5"/>
  <c r="O6436" i="5" s="1"/>
  <c r="U6353" i="5"/>
  <c r="V6353" i="5" s="1"/>
  <c r="O6320" i="5"/>
  <c r="O6467" i="5"/>
  <c r="U6394" i="5"/>
  <c r="V6394" i="5" s="1"/>
  <c r="U6396" i="5"/>
  <c r="V6396" i="5" s="1"/>
  <c r="U6386" i="5"/>
  <c r="V6386" i="5" s="1"/>
  <c r="O6406" i="5"/>
  <c r="U6285" i="5"/>
  <c r="V6285" i="5" s="1"/>
  <c r="U6254" i="5"/>
  <c r="V6254" i="5" s="1"/>
  <c r="U6404" i="5"/>
  <c r="V6404" i="5" s="1"/>
  <c r="O6316" i="5"/>
  <c r="U6456" i="5"/>
  <c r="V6456" i="5" s="1"/>
  <c r="U6425" i="5"/>
  <c r="V6425" i="5" s="1"/>
  <c r="N6314" i="5"/>
  <c r="U6314" i="5" s="1"/>
  <c r="V6314" i="5" s="1"/>
  <c r="N6477" i="5"/>
  <c r="U6477" i="5" s="1"/>
  <c r="V6477" i="5" s="1"/>
  <c r="O6466" i="5"/>
  <c r="O6373" i="5"/>
  <c r="U6354" i="5"/>
  <c r="V6354" i="5" s="1"/>
  <c r="U6399" i="5"/>
  <c r="V6399" i="5" s="1"/>
  <c r="O6286" i="5"/>
  <c r="O6409" i="5"/>
  <c r="O6395" i="5"/>
  <c r="U6451" i="5"/>
  <c r="V6451" i="5" s="1"/>
  <c r="P6370" i="5"/>
  <c r="O6370" i="5" s="1"/>
  <c r="P6272" i="5"/>
  <c r="U6272" i="5" s="1"/>
  <c r="V6272" i="5" s="1"/>
  <c r="O6323" i="5"/>
  <c r="U6447" i="5"/>
  <c r="V6447" i="5" s="1"/>
  <c r="U6268" i="5"/>
  <c r="V6268" i="5" s="1"/>
  <c r="U6265" i="5"/>
  <c r="V6265" i="5" s="1"/>
  <c r="U6355" i="5"/>
  <c r="V6355" i="5" s="1"/>
  <c r="O6425" i="5"/>
  <c r="N6460" i="5"/>
  <c r="U6460" i="5" s="1"/>
  <c r="V6460" i="5" s="1"/>
  <c r="P6459" i="5"/>
  <c r="U6459" i="5" s="1"/>
  <c r="V6459" i="5" s="1"/>
  <c r="N6423" i="5"/>
  <c r="U6423" i="5" s="1"/>
  <c r="V6423" i="5" s="1"/>
  <c r="U6368" i="5"/>
  <c r="V6368" i="5" s="1"/>
  <c r="U6298" i="5"/>
  <c r="V6298" i="5" s="1"/>
  <c r="N6293" i="5"/>
  <c r="U6293" i="5" s="1"/>
  <c r="V6293" i="5" s="1"/>
  <c r="U6362" i="5"/>
  <c r="V6362" i="5" s="1"/>
  <c r="O6322" i="5"/>
  <c r="P6356" i="5"/>
  <c r="U6356" i="5" s="1"/>
  <c r="V6356" i="5" s="1"/>
  <c r="U6343" i="5"/>
  <c r="V6343" i="5" s="1"/>
  <c r="P6335" i="5"/>
  <c r="N6335" i="5"/>
  <c r="U6324" i="5"/>
  <c r="V6324" i="5" s="1"/>
  <c r="U6312" i="5"/>
  <c r="V6312" i="5" s="1"/>
  <c r="U6311" i="5"/>
  <c r="V6311" i="5" s="1"/>
  <c r="U6305" i="5"/>
  <c r="V6305" i="5" s="1"/>
  <c r="U6295" i="5"/>
  <c r="V6295" i="5" s="1"/>
  <c r="U6276" i="5"/>
  <c r="V6276" i="5" s="1"/>
  <c r="O6273" i="5"/>
  <c r="U6266" i="5"/>
  <c r="V6266" i="5" s="1"/>
  <c r="U6263" i="5"/>
  <c r="V6263" i="5" s="1"/>
  <c r="P6253" i="5"/>
  <c r="U6253" i="5" s="1"/>
  <c r="V6253" i="5" s="1"/>
  <c r="U6383" i="5"/>
  <c r="V6383" i="5" s="1"/>
  <c r="U6449" i="5"/>
  <c r="V6449" i="5" s="1"/>
  <c r="N6287" i="5"/>
  <c r="U6287" i="5" s="1"/>
  <c r="V6287" i="5" s="1"/>
  <c r="U6346" i="5"/>
  <c r="V6346" i="5" s="1"/>
  <c r="U6380" i="5"/>
  <c r="V6380" i="5" s="1"/>
  <c r="O6380" i="5"/>
  <c r="O6418" i="5"/>
  <c r="U6249" i="5"/>
  <c r="V6249" i="5" s="1"/>
  <c r="O6452" i="5"/>
  <c r="U6371" i="5"/>
  <c r="V6371" i="5" s="1"/>
  <c r="U6412" i="5"/>
  <c r="V6412" i="5" s="1"/>
  <c r="U6259" i="5"/>
  <c r="V6259" i="5" s="1"/>
  <c r="U6440" i="5"/>
  <c r="V6440" i="5" s="1"/>
  <c r="U6317" i="5"/>
  <c r="V6317" i="5" s="1"/>
  <c r="U6318" i="5"/>
  <c r="V6318" i="5" s="1"/>
  <c r="U6310" i="5"/>
  <c r="V6310" i="5" s="1"/>
  <c r="U6273" i="5"/>
  <c r="V6273" i="5" s="1"/>
  <c r="U6341" i="5"/>
  <c r="V6341" i="5" s="1"/>
  <c r="U6338" i="5"/>
  <c r="V6338" i="5" s="1"/>
  <c r="U6309" i="5"/>
  <c r="V6309" i="5" s="1"/>
  <c r="U6409" i="5"/>
  <c r="V6409" i="5" s="1"/>
  <c r="O6422" i="5"/>
  <c r="U6422" i="5"/>
  <c r="V6422" i="5" s="1"/>
  <c r="O6304" i="5"/>
  <c r="U6304" i="5"/>
  <c r="V6304" i="5" s="1"/>
  <c r="N6315" i="5"/>
  <c r="O6315" i="5" s="1"/>
  <c r="U6448" i="5"/>
  <c r="V6448" i="5" s="1"/>
  <c r="U6363" i="5"/>
  <c r="V6363" i="5" s="1"/>
  <c r="U6443" i="5"/>
  <c r="V6443" i="5" s="1"/>
  <c r="O6266" i="5"/>
  <c r="U6461" i="5"/>
  <c r="V6461" i="5" s="1"/>
  <c r="U6329" i="5"/>
  <c r="V6329" i="5" s="1"/>
  <c r="O6331" i="5"/>
  <c r="U6286" i="5"/>
  <c r="V6286" i="5" s="1"/>
  <c r="N6352" i="5"/>
  <c r="O6352" i="5" s="1"/>
  <c r="U6284" i="5"/>
  <c r="V6284" i="5" s="1"/>
  <c r="U6402" i="5"/>
  <c r="V6402" i="5" s="1"/>
  <c r="O6408" i="5"/>
  <c r="U6290" i="5"/>
  <c r="V6290" i="5" s="1"/>
  <c r="U6334" i="5"/>
  <c r="V6334" i="5" s="1"/>
  <c r="U6289" i="5"/>
  <c r="V6289" i="5" s="1"/>
  <c r="O6281" i="5"/>
  <c r="O6351" i="5"/>
  <c r="U6437" i="5"/>
  <c r="V6437" i="5" s="1"/>
  <c r="O6353" i="5"/>
  <c r="U6397" i="5"/>
  <c r="V6397" i="5" s="1"/>
  <c r="U6328" i="5"/>
  <c r="V6328" i="5" s="1"/>
  <c r="O6424" i="5"/>
  <c r="O6384" i="5"/>
  <c r="U6357" i="5"/>
  <c r="V6357" i="5" s="1"/>
  <c r="U6444" i="5"/>
  <c r="V6444" i="5" s="1"/>
  <c r="U6433" i="5"/>
  <c r="V6433" i="5" s="1"/>
  <c r="U6431" i="5"/>
  <c r="V6431" i="5" s="1"/>
  <c r="U6466" i="5"/>
  <c r="V6466" i="5" s="1"/>
  <c r="U6316" i="5"/>
  <c r="V6316" i="5" s="1"/>
  <c r="U6392" i="5"/>
  <c r="V6392" i="5" s="1"/>
  <c r="U6476" i="5"/>
  <c r="V6476" i="5" s="1"/>
  <c r="U6411" i="5"/>
  <c r="V6411" i="5" s="1"/>
  <c r="U6342" i="5"/>
  <c r="V6342" i="5" s="1"/>
  <c r="U6446" i="5"/>
  <c r="V6446" i="5" s="1"/>
  <c r="U6378" i="5"/>
  <c r="V6378" i="5" s="1"/>
  <c r="U6377" i="5"/>
  <c r="V6377" i="5" s="1"/>
  <c r="U6344" i="5"/>
  <c r="V6344" i="5" s="1"/>
  <c r="U6414" i="5"/>
  <c r="V6414" i="5" s="1"/>
  <c r="U6322" i="5"/>
  <c r="V6322" i="5" s="1"/>
  <c r="O6456" i="5"/>
  <c r="U6398" i="5"/>
  <c r="V6398" i="5" s="1"/>
  <c r="U6390" i="5"/>
  <c r="V6390" i="5" s="1"/>
  <c r="U6366" i="5"/>
  <c r="V6366" i="5" s="1"/>
  <c r="U6382" i="5"/>
  <c r="V6382" i="5" s="1"/>
  <c r="O6440" i="5"/>
  <c r="O6317" i="5"/>
  <c r="O6318" i="5"/>
  <c r="U6442" i="5"/>
  <c r="V6442" i="5" s="1"/>
  <c r="U6450" i="5"/>
  <c r="V6450" i="5" s="1"/>
  <c r="U6348" i="5"/>
  <c r="V6348" i="5" s="1"/>
  <c r="U6403" i="5"/>
  <c r="V6403" i="5" s="1"/>
  <c r="O6448" i="5"/>
  <c r="O6363" i="5"/>
  <c r="U6331" i="5"/>
  <c r="V6331" i="5" s="1"/>
  <c r="U6393" i="5"/>
  <c r="V6393" i="5" s="1"/>
  <c r="U6365" i="5"/>
  <c r="V6365" i="5" s="1"/>
  <c r="O6402" i="5"/>
  <c r="U6457" i="5"/>
  <c r="V6457" i="5" s="1"/>
  <c r="U6379" i="5"/>
  <c r="V6379" i="5" s="1"/>
  <c r="U6373" i="5"/>
  <c r="V6373" i="5" s="1"/>
  <c r="O6397" i="5"/>
  <c r="U6351" i="5"/>
  <c r="V6351" i="5" s="1"/>
  <c r="O6394" i="5"/>
  <c r="U6427" i="5"/>
  <c r="V6427" i="5" s="1"/>
  <c r="U6419" i="5"/>
  <c r="V6419" i="5" s="1"/>
  <c r="O6324" i="5"/>
  <c r="U6408" i="5"/>
  <c r="V6408" i="5" s="1"/>
  <c r="O6383" i="5"/>
  <c r="O6449" i="5"/>
  <c r="U6321" i="5"/>
  <c r="V6321" i="5" s="1"/>
  <c r="U6424" i="5"/>
  <c r="V6424" i="5" s="1"/>
  <c r="U6384" i="5"/>
  <c r="V6384" i="5" s="1"/>
  <c r="U6430" i="5"/>
  <c r="V6430" i="5" s="1"/>
  <c r="U6429" i="5"/>
  <c r="V6429" i="5" s="1"/>
  <c r="O6346" i="5"/>
  <c r="O6312" i="5"/>
  <c r="O6311" i="5"/>
  <c r="O6310" i="5"/>
  <c r="O6309" i="5"/>
  <c r="U6303" i="5"/>
  <c r="V6303" i="5" s="1"/>
  <c r="U6299" i="5"/>
  <c r="V6299" i="5" s="1"/>
  <c r="O6295" i="5"/>
  <c r="U6291" i="5"/>
  <c r="V6291" i="5" s="1"/>
  <c r="O6290" i="5"/>
  <c r="U6288" i="5"/>
  <c r="V6288" i="5" s="1"/>
  <c r="O6285" i="5"/>
  <c r="O6284" i="5"/>
  <c r="U6283" i="5"/>
  <c r="V6283" i="5" s="1"/>
  <c r="U6281" i="5"/>
  <c r="V6281" i="5" s="1"/>
  <c r="U6274" i="5"/>
  <c r="V6274" i="5" s="1"/>
  <c r="U6270" i="5"/>
  <c r="V6270" i="5" s="1"/>
  <c r="U6271" i="5"/>
  <c r="V6271" i="5" s="1"/>
  <c r="O6259" i="5"/>
  <c r="U6258" i="5"/>
  <c r="V6258" i="5" s="1"/>
  <c r="U6251" i="5"/>
  <c r="V6251" i="5" s="1"/>
  <c r="O6390" i="5"/>
  <c r="O6382" i="5"/>
  <c r="O6450" i="5"/>
  <c r="O6348" i="5"/>
  <c r="O6393" i="5"/>
  <c r="O6365" i="5"/>
  <c r="O6268" i="5"/>
  <c r="O6457" i="5"/>
  <c r="O6379" i="5"/>
  <c r="O6291" i="5"/>
  <c r="O6283" i="5"/>
  <c r="O6419" i="5"/>
  <c r="O6289" i="5"/>
  <c r="O6334" i="5"/>
  <c r="O6357" i="5"/>
  <c r="O6444" i="5"/>
  <c r="O6258" i="5"/>
  <c r="O6433" i="5"/>
  <c r="O6343" i="5"/>
  <c r="O6355" i="5"/>
  <c r="O6414" i="5"/>
  <c r="O6446" i="5"/>
  <c r="O6378" i="5"/>
  <c r="O6377" i="5"/>
  <c r="P6369" i="5"/>
  <c r="N6369" i="5"/>
  <c r="O6303" i="5"/>
  <c r="O6431" i="5"/>
  <c r="P6257" i="5"/>
  <c r="N6257" i="5"/>
  <c r="O6298" i="5"/>
  <c r="P6260" i="5"/>
  <c r="N6260" i="5"/>
  <c r="O6254" i="5"/>
  <c r="O6404" i="5"/>
  <c r="O6263" i="5"/>
  <c r="O6344" i="5"/>
  <c r="O6249" i="5"/>
  <c r="P6472" i="5"/>
  <c r="N6472" i="5"/>
  <c r="P6407" i="5"/>
  <c r="N6407" i="5"/>
  <c r="O6392" i="5"/>
  <c r="O6476" i="5"/>
  <c r="O6411" i="5"/>
  <c r="O6342" i="5"/>
  <c r="O6398" i="5"/>
  <c r="P6462" i="5"/>
  <c r="N6462" i="5"/>
  <c r="N6455" i="5"/>
  <c r="P6455" i="5"/>
  <c r="O6366" i="5"/>
  <c r="P6463" i="5"/>
  <c r="N6463" i="5"/>
  <c r="P6327" i="5"/>
  <c r="N6327" i="5"/>
  <c r="O6371" i="5"/>
  <c r="O6274" i="5"/>
  <c r="O6412" i="5"/>
  <c r="O6271" i="5"/>
  <c r="P6333" i="5"/>
  <c r="N6333" i="5"/>
  <c r="O6442" i="5"/>
  <c r="N6306" i="5"/>
  <c r="P6306" i="5"/>
  <c r="O6341" i="5"/>
  <c r="O6338" i="5"/>
  <c r="O6447" i="5"/>
  <c r="N6282" i="5"/>
  <c r="P6282" i="5"/>
  <c r="O6276" i="5"/>
  <c r="P6401" i="5"/>
  <c r="N6401" i="5"/>
  <c r="N6469" i="5"/>
  <c r="P6469" i="5"/>
  <c r="O6443" i="5"/>
  <c r="O6288" i="5"/>
  <c r="N6410" i="5"/>
  <c r="P6410" i="5"/>
  <c r="N6415" i="5"/>
  <c r="P6415" i="5"/>
  <c r="P6453" i="5"/>
  <c r="N6453" i="5"/>
  <c r="P6364" i="5"/>
  <c r="N6364" i="5"/>
  <c r="P6470" i="5"/>
  <c r="N6470" i="5"/>
  <c r="O6437" i="5"/>
  <c r="N6269" i="5"/>
  <c r="P6269" i="5"/>
  <c r="O6270" i="5"/>
  <c r="O6265" i="5"/>
  <c r="N6389" i="5"/>
  <c r="P6389" i="5"/>
  <c r="O6427" i="5"/>
  <c r="O6328" i="5"/>
  <c r="O6321" i="5"/>
  <c r="O6386" i="5"/>
  <c r="O6368" i="5"/>
  <c r="O6299" i="5"/>
  <c r="O6430" i="5"/>
  <c r="O6429" i="5"/>
  <c r="R5744" i="5"/>
  <c r="S5744" i="5" s="1"/>
  <c r="R5936" i="5"/>
  <c r="S5936" i="5" s="1"/>
  <c r="N6103" i="5"/>
  <c r="R6132" i="5"/>
  <c r="S6132" i="5" s="1"/>
  <c r="R6212" i="5"/>
  <c r="S6212" i="5" s="1"/>
  <c r="R5943" i="5"/>
  <c r="S5943" i="5" s="1"/>
  <c r="N5794" i="5"/>
  <c r="R5875" i="5"/>
  <c r="S5875" i="5" s="1"/>
  <c r="R6036" i="5"/>
  <c r="S6036" i="5" s="1"/>
  <c r="R6038" i="5"/>
  <c r="S6038" i="5" s="1"/>
  <c r="N5719" i="5"/>
  <c r="R6159" i="5"/>
  <c r="S6159" i="5" s="1"/>
  <c r="R6238" i="5"/>
  <c r="S6238" i="5" s="1"/>
  <c r="R5808" i="5"/>
  <c r="S5808" i="5" s="1"/>
  <c r="R6091" i="5"/>
  <c r="S6091" i="5" s="1"/>
  <c r="N6022" i="5"/>
  <c r="R5921" i="5"/>
  <c r="S5921" i="5" s="1"/>
  <c r="N6013" i="5"/>
  <c r="R5970" i="5"/>
  <c r="S5970" i="5" s="1"/>
  <c r="R5819" i="5"/>
  <c r="S5819" i="5" s="1"/>
  <c r="N5792" i="5"/>
  <c r="R6025" i="5"/>
  <c r="S6025" i="5" s="1"/>
  <c r="R5908" i="5"/>
  <c r="S5908" i="5" s="1"/>
  <c r="O6240" i="5"/>
  <c r="U6241" i="5"/>
  <c r="V6241" i="5" s="1"/>
  <c r="U6240" i="5"/>
  <c r="V6240" i="5" s="1"/>
  <c r="R5896" i="5"/>
  <c r="S5896" i="5" s="1"/>
  <c r="R5972" i="5"/>
  <c r="S5972" i="5" s="1"/>
  <c r="R5772" i="5"/>
  <c r="S5772" i="5" s="1"/>
  <c r="R6033" i="5"/>
  <c r="S6033" i="5" s="1"/>
  <c r="R5700" i="5"/>
  <c r="S5700" i="5" s="1"/>
  <c r="R6210" i="5"/>
  <c r="S6210" i="5" s="1"/>
  <c r="R6207" i="5"/>
  <c r="S6207" i="5" s="1"/>
  <c r="L6239" i="5"/>
  <c r="R5844" i="5"/>
  <c r="S5844" i="5" s="1"/>
  <c r="N6062" i="5"/>
  <c r="N6238" i="5"/>
  <c r="U6238" i="5" s="1"/>
  <c r="V6238" i="5" s="1"/>
  <c r="R6089" i="5"/>
  <c r="S6089" i="5" s="1"/>
  <c r="R5888" i="5"/>
  <c r="S5888" i="5" s="1"/>
  <c r="R5914" i="5"/>
  <c r="S5914" i="5" s="1"/>
  <c r="R6178" i="5"/>
  <c r="S6178" i="5" s="1"/>
  <c r="R5763" i="5"/>
  <c r="S5763" i="5" s="1"/>
  <c r="R5928" i="5"/>
  <c r="S5928" i="5" s="1"/>
  <c r="N5866" i="5"/>
  <c r="R5912" i="5"/>
  <c r="S5912" i="5" s="1"/>
  <c r="R5931" i="5"/>
  <c r="S5931" i="5" s="1"/>
  <c r="U6237" i="5"/>
  <c r="V6237" i="5" s="1"/>
  <c r="O6237" i="5"/>
  <c r="R5918" i="5"/>
  <c r="S5918" i="5" s="1"/>
  <c r="N5755" i="5"/>
  <c r="R5796" i="5"/>
  <c r="S5796" i="5" s="1"/>
  <c r="R5830" i="5"/>
  <c r="S5830" i="5" s="1"/>
  <c r="R6059" i="5"/>
  <c r="S6059" i="5" s="1"/>
  <c r="R5799" i="5"/>
  <c r="S5799" i="5" s="1"/>
  <c r="R5873" i="5"/>
  <c r="S5873" i="5" s="1"/>
  <c r="R5905" i="5"/>
  <c r="S5905" i="5" s="1"/>
  <c r="N5840" i="5"/>
  <c r="R6066" i="5"/>
  <c r="S6066" i="5" s="1"/>
  <c r="R6081" i="5"/>
  <c r="S6081" i="5" s="1"/>
  <c r="R6121" i="5"/>
  <c r="S6121" i="5" s="1"/>
  <c r="R6247" i="5"/>
  <c r="S6247" i="5" s="1"/>
  <c r="R6042" i="5"/>
  <c r="S6042" i="5" s="1"/>
  <c r="R6111" i="5"/>
  <c r="S6111" i="5" s="1"/>
  <c r="O6241" i="5"/>
  <c r="P6247" i="5"/>
  <c r="N6247" i="5"/>
  <c r="O6248" i="5"/>
  <c r="R6152" i="5"/>
  <c r="S6152" i="5" s="1"/>
  <c r="N6079" i="5"/>
  <c r="R6053" i="5"/>
  <c r="S6053" i="5" s="1"/>
  <c r="U6245" i="5"/>
  <c r="V6245" i="5" s="1"/>
  <c r="U6248" i="5"/>
  <c r="V6248" i="5" s="1"/>
  <c r="R6235" i="5"/>
  <c r="S6235" i="5" s="1"/>
  <c r="P6246" i="5"/>
  <c r="N6246" i="5"/>
  <c r="O6245" i="5"/>
  <c r="P6244" i="5"/>
  <c r="N6244" i="5"/>
  <c r="P6243" i="5"/>
  <c r="N6243" i="5"/>
  <c r="O6233" i="5"/>
  <c r="P6234" i="5"/>
  <c r="O6234" i="5" s="1"/>
  <c r="O6242" i="5"/>
  <c r="U6242" i="5"/>
  <c r="V6242" i="5" s="1"/>
  <c r="N6235" i="5"/>
  <c r="P6235" i="5"/>
  <c r="U6233" i="5"/>
  <c r="V6233" i="5" s="1"/>
  <c r="O6236" i="5"/>
  <c r="U6236" i="5"/>
  <c r="V6236" i="5" s="1"/>
  <c r="O6232" i="5"/>
  <c r="U6232" i="5"/>
  <c r="V6232" i="5" s="1"/>
  <c r="N6223" i="5"/>
  <c r="O6223" i="5" s="1"/>
  <c r="P6230" i="5"/>
  <c r="O6230" i="5" s="1"/>
  <c r="P6231" i="5"/>
  <c r="N6231" i="5"/>
  <c r="U6224" i="5"/>
  <c r="V6224" i="5" s="1"/>
  <c r="O6219" i="5"/>
  <c r="P6229" i="5"/>
  <c r="N6229" i="5"/>
  <c r="N6227" i="5"/>
  <c r="P6227" i="5"/>
  <c r="R6225" i="5"/>
  <c r="S6225" i="5" s="1"/>
  <c r="N6228" i="5"/>
  <c r="P6228" i="5"/>
  <c r="N6225" i="5"/>
  <c r="P6225" i="5"/>
  <c r="P6226" i="5"/>
  <c r="N6226" i="5"/>
  <c r="N6221" i="5"/>
  <c r="P6221" i="5"/>
  <c r="O6222" i="5"/>
  <c r="U6222" i="5"/>
  <c r="V6222" i="5" s="1"/>
  <c r="R6221" i="5"/>
  <c r="S6221" i="5" s="1"/>
  <c r="N6218" i="5"/>
  <c r="P6218" i="5"/>
  <c r="P6220" i="5"/>
  <c r="N6220" i="5"/>
  <c r="U6219" i="5"/>
  <c r="V6219" i="5" s="1"/>
  <c r="O6211" i="5"/>
  <c r="P6217" i="5"/>
  <c r="N6217" i="5"/>
  <c r="O6214" i="5"/>
  <c r="U6214" i="5"/>
  <c r="V6214" i="5" s="1"/>
  <c r="O6215" i="5"/>
  <c r="U6215" i="5"/>
  <c r="V6215" i="5" s="1"/>
  <c r="N6216" i="5"/>
  <c r="P6216" i="5"/>
  <c r="L6212" i="5"/>
  <c r="P6213" i="5"/>
  <c r="N6213" i="5"/>
  <c r="L6210" i="5"/>
  <c r="N6099" i="5"/>
  <c r="U6099" i="5" s="1"/>
  <c r="V6099" i="5" s="1"/>
  <c r="O6209" i="5"/>
  <c r="U6211" i="5"/>
  <c r="V6211" i="5" s="1"/>
  <c r="O6208" i="5"/>
  <c r="U6209" i="5"/>
  <c r="V6209" i="5" s="1"/>
  <c r="L6207" i="5"/>
  <c r="U6208" i="5"/>
  <c r="V6208" i="5" s="1"/>
  <c r="O6205" i="5"/>
  <c r="U6205" i="5"/>
  <c r="V6205" i="5" s="1"/>
  <c r="O6204" i="5"/>
  <c r="U6204" i="5"/>
  <c r="V6204" i="5" s="1"/>
  <c r="N6206" i="5"/>
  <c r="P6206" i="5"/>
  <c r="P6203" i="5"/>
  <c r="N6203" i="5"/>
  <c r="N6128" i="5"/>
  <c r="U6128" i="5" s="1"/>
  <c r="V6128" i="5" s="1"/>
  <c r="O6194" i="5"/>
  <c r="O6201" i="5"/>
  <c r="U6201" i="5"/>
  <c r="V6201" i="5" s="1"/>
  <c r="O6200" i="5"/>
  <c r="U6200" i="5"/>
  <c r="V6200" i="5" s="1"/>
  <c r="U6194" i="5"/>
  <c r="V6194" i="5" s="1"/>
  <c r="N6202" i="5"/>
  <c r="P6202" i="5"/>
  <c r="O6197" i="5"/>
  <c r="U6197" i="5"/>
  <c r="V6197" i="5" s="1"/>
  <c r="O6198" i="5"/>
  <c r="U6198" i="5"/>
  <c r="V6198" i="5" s="1"/>
  <c r="N6199" i="5"/>
  <c r="P6199" i="5"/>
  <c r="P6196" i="5"/>
  <c r="N6196" i="5"/>
  <c r="N6129" i="5"/>
  <c r="O6129" i="5" s="1"/>
  <c r="O6195" i="5"/>
  <c r="N6101" i="5"/>
  <c r="O6101" i="5" s="1"/>
  <c r="U6195" i="5"/>
  <c r="V6195" i="5" s="1"/>
  <c r="U6176" i="5"/>
  <c r="V6176" i="5" s="1"/>
  <c r="U6179" i="5"/>
  <c r="V6179" i="5" s="1"/>
  <c r="N6192" i="5"/>
  <c r="P6192" i="5"/>
  <c r="R6192" i="5"/>
  <c r="S6192" i="5" s="1"/>
  <c r="O6191" i="5"/>
  <c r="U6191" i="5"/>
  <c r="V6191" i="5" s="1"/>
  <c r="L6132" i="5"/>
  <c r="P6132" i="5" s="1"/>
  <c r="P6193" i="5"/>
  <c r="N6193" i="5"/>
  <c r="N6189" i="5"/>
  <c r="P6189" i="5"/>
  <c r="O6188" i="5"/>
  <c r="U6188" i="5"/>
  <c r="V6188" i="5" s="1"/>
  <c r="N6190" i="5"/>
  <c r="P6190" i="5"/>
  <c r="O6185" i="5"/>
  <c r="U6185" i="5"/>
  <c r="V6185" i="5" s="1"/>
  <c r="U6183" i="5"/>
  <c r="V6183" i="5" s="1"/>
  <c r="O6186" i="5"/>
  <c r="U6186" i="5"/>
  <c r="V6186" i="5" s="1"/>
  <c r="N6187" i="5"/>
  <c r="P6187" i="5"/>
  <c r="O6184" i="5"/>
  <c r="U6184" i="5"/>
  <c r="V6184" i="5" s="1"/>
  <c r="O6183" i="5"/>
  <c r="U6181" i="5"/>
  <c r="V6181" i="5" s="1"/>
  <c r="U6177" i="5"/>
  <c r="V6177" i="5" s="1"/>
  <c r="R6180" i="5"/>
  <c r="S6180" i="5" s="1"/>
  <c r="P6182" i="5"/>
  <c r="N6182" i="5"/>
  <c r="P6180" i="5"/>
  <c r="N6180" i="5"/>
  <c r="O6181" i="5"/>
  <c r="O6165" i="5"/>
  <c r="O6177" i="5"/>
  <c r="L6178" i="5"/>
  <c r="R6175" i="5"/>
  <c r="S6175" i="5" s="1"/>
  <c r="O6179" i="5"/>
  <c r="N6175" i="5"/>
  <c r="P6175" i="5"/>
  <c r="N6131" i="5"/>
  <c r="O6131" i="5" s="1"/>
  <c r="O6176" i="5"/>
  <c r="P6133" i="5"/>
  <c r="O6133" i="5" s="1"/>
  <c r="N6174" i="5"/>
  <c r="O6174" i="5" s="1"/>
  <c r="O6166" i="5"/>
  <c r="O6173" i="5"/>
  <c r="N6171" i="5"/>
  <c r="P6171" i="5"/>
  <c r="P6172" i="5"/>
  <c r="N6172" i="5"/>
  <c r="U6166" i="5"/>
  <c r="V6166" i="5" s="1"/>
  <c r="R6172" i="5"/>
  <c r="S6172" i="5" s="1"/>
  <c r="R6171" i="5"/>
  <c r="S6171" i="5" s="1"/>
  <c r="U6173" i="5"/>
  <c r="V6173" i="5" s="1"/>
  <c r="N6169" i="5"/>
  <c r="P6169" i="5"/>
  <c r="O6167" i="5"/>
  <c r="O6168" i="5"/>
  <c r="U6168" i="5"/>
  <c r="V6168" i="5" s="1"/>
  <c r="N6170" i="5"/>
  <c r="P6170" i="5"/>
  <c r="U6160" i="5"/>
  <c r="V6160" i="5" s="1"/>
  <c r="U6167" i="5"/>
  <c r="V6167" i="5" s="1"/>
  <c r="O6164" i="5"/>
  <c r="N6130" i="5"/>
  <c r="U6165" i="5"/>
  <c r="V6165" i="5" s="1"/>
  <c r="O6162" i="5"/>
  <c r="P6163" i="5"/>
  <c r="N6163" i="5"/>
  <c r="O6161" i="5"/>
  <c r="U6164" i="5"/>
  <c r="V6164" i="5" s="1"/>
  <c r="U6162" i="5"/>
  <c r="V6162" i="5" s="1"/>
  <c r="U6161" i="5"/>
  <c r="V6161" i="5" s="1"/>
  <c r="L6159" i="5"/>
  <c r="O6102" i="5"/>
  <c r="O6160" i="5"/>
  <c r="U6155" i="5"/>
  <c r="V6155" i="5" s="1"/>
  <c r="O6100" i="5"/>
  <c r="P6158" i="5"/>
  <c r="N6158" i="5"/>
  <c r="O6156" i="5"/>
  <c r="U6156" i="5"/>
  <c r="V6156" i="5" s="1"/>
  <c r="P6157" i="5"/>
  <c r="N6157" i="5"/>
  <c r="U6153" i="5"/>
  <c r="V6153" i="5" s="1"/>
  <c r="R6147" i="5"/>
  <c r="S6147" i="5" s="1"/>
  <c r="O6155" i="5"/>
  <c r="O6154" i="5"/>
  <c r="U6154" i="5"/>
  <c r="V6154" i="5" s="1"/>
  <c r="U6148" i="5"/>
  <c r="V6148" i="5" s="1"/>
  <c r="O6153" i="5"/>
  <c r="P6103" i="5"/>
  <c r="O6146" i="5"/>
  <c r="L6152" i="5"/>
  <c r="O6149" i="5"/>
  <c r="U6149" i="5"/>
  <c r="V6149" i="5" s="1"/>
  <c r="U6146" i="5"/>
  <c r="V6146" i="5" s="1"/>
  <c r="O6150" i="5"/>
  <c r="U6150" i="5"/>
  <c r="V6150" i="5" s="1"/>
  <c r="N6104" i="5"/>
  <c r="U6135" i="5"/>
  <c r="V6135" i="5" s="1"/>
  <c r="O6151" i="5"/>
  <c r="U6151" i="5"/>
  <c r="V6151" i="5" s="1"/>
  <c r="O6148" i="5"/>
  <c r="P6147" i="5"/>
  <c r="N6147" i="5"/>
  <c r="P6145" i="5"/>
  <c r="N6145" i="5"/>
  <c r="U6102" i="5"/>
  <c r="V6102" i="5" s="1"/>
  <c r="L6144" i="5"/>
  <c r="N6144" i="5" s="1"/>
  <c r="R6145" i="5"/>
  <c r="S6145" i="5" s="1"/>
  <c r="O6142" i="5"/>
  <c r="U6142" i="5"/>
  <c r="V6142" i="5" s="1"/>
  <c r="L6136" i="5"/>
  <c r="P6136" i="5" s="1"/>
  <c r="U6137" i="5"/>
  <c r="V6137" i="5" s="1"/>
  <c r="N6143" i="5"/>
  <c r="P6143" i="5"/>
  <c r="P6141" i="5"/>
  <c r="N6141" i="5"/>
  <c r="N6124" i="5"/>
  <c r="O6124" i="5" s="1"/>
  <c r="O6137" i="5"/>
  <c r="N6139" i="5"/>
  <c r="P6139" i="5"/>
  <c r="N6138" i="5"/>
  <c r="P6138" i="5"/>
  <c r="N6140" i="5"/>
  <c r="P6140" i="5"/>
  <c r="O6127" i="5"/>
  <c r="P6134" i="5"/>
  <c r="N6134" i="5"/>
  <c r="O6135" i="5"/>
  <c r="P6126" i="5"/>
  <c r="N6126" i="5"/>
  <c r="P6125" i="5"/>
  <c r="O6125" i="5" s="1"/>
  <c r="R6126" i="5"/>
  <c r="S6126" i="5" s="1"/>
  <c r="U6127" i="5"/>
  <c r="V6127" i="5" s="1"/>
  <c r="P6062" i="5"/>
  <c r="U6122" i="5"/>
  <c r="V6122" i="5" s="1"/>
  <c r="P6123" i="5"/>
  <c r="N6123" i="5"/>
  <c r="U6119" i="5"/>
  <c r="V6119" i="5" s="1"/>
  <c r="N6118" i="5"/>
  <c r="P6118" i="5"/>
  <c r="P6115" i="5"/>
  <c r="U6115" i="5" s="1"/>
  <c r="V6115" i="5" s="1"/>
  <c r="O6122" i="5"/>
  <c r="O6119" i="5"/>
  <c r="N6116" i="5"/>
  <c r="O6116" i="5" s="1"/>
  <c r="O6120" i="5"/>
  <c r="U6120" i="5"/>
  <c r="V6120" i="5" s="1"/>
  <c r="R6118" i="5"/>
  <c r="S6118" i="5" s="1"/>
  <c r="L6121" i="5"/>
  <c r="P6117" i="5"/>
  <c r="N6117" i="5"/>
  <c r="O6112" i="5"/>
  <c r="O6113" i="5"/>
  <c r="P6114" i="5"/>
  <c r="N6114" i="5"/>
  <c r="U6110" i="5"/>
  <c r="V6110" i="5" s="1"/>
  <c r="U6113" i="5"/>
  <c r="V6113" i="5" s="1"/>
  <c r="L6111" i="5"/>
  <c r="O6110" i="5"/>
  <c r="O6098" i="5"/>
  <c r="O6106" i="5"/>
  <c r="U6112" i="5"/>
  <c r="V6112" i="5" s="1"/>
  <c r="N6105" i="5"/>
  <c r="O6108" i="5"/>
  <c r="L6109" i="5"/>
  <c r="P6105" i="5"/>
  <c r="U6106" i="5"/>
  <c r="V6106" i="5" s="1"/>
  <c r="L6107" i="5"/>
  <c r="U6108" i="5"/>
  <c r="V6108" i="5" s="1"/>
  <c r="U6095" i="5"/>
  <c r="V6095" i="5" s="1"/>
  <c r="U6097" i="5"/>
  <c r="V6097" i="5" s="1"/>
  <c r="O6096" i="5"/>
  <c r="U6092" i="5"/>
  <c r="V6092" i="5" s="1"/>
  <c r="U6096" i="5"/>
  <c r="V6096" i="5" s="1"/>
  <c r="O6097" i="5"/>
  <c r="U6098" i="5"/>
  <c r="V6098" i="5" s="1"/>
  <c r="U6094" i="5"/>
  <c r="V6094" i="5" s="1"/>
  <c r="U6093" i="5"/>
  <c r="V6093" i="5" s="1"/>
  <c r="O6095" i="5"/>
  <c r="R6090" i="5"/>
  <c r="S6090" i="5" s="1"/>
  <c r="R6088" i="5"/>
  <c r="S6088" i="5" s="1"/>
  <c r="O6094" i="5"/>
  <c r="O6092" i="5"/>
  <c r="N6090" i="5"/>
  <c r="P6090" i="5"/>
  <c r="U6087" i="5"/>
  <c r="V6087" i="5" s="1"/>
  <c r="N6088" i="5"/>
  <c r="U6088" i="5" s="1"/>
  <c r="V6088" i="5" s="1"/>
  <c r="L6089" i="5"/>
  <c r="O6093" i="5"/>
  <c r="L6091" i="5"/>
  <c r="N6086" i="5"/>
  <c r="U6086" i="5" s="1"/>
  <c r="V6086" i="5" s="1"/>
  <c r="P6079" i="5"/>
  <c r="O6087" i="5"/>
  <c r="O6083" i="5"/>
  <c r="U6083" i="5"/>
  <c r="V6083" i="5" s="1"/>
  <c r="O6084" i="5"/>
  <c r="U6084" i="5"/>
  <c r="V6084" i="5" s="1"/>
  <c r="N6085" i="5"/>
  <c r="P6085" i="5"/>
  <c r="L6081" i="5"/>
  <c r="P6082" i="5"/>
  <c r="N6082" i="5"/>
  <c r="P6080" i="5"/>
  <c r="N6080" i="5"/>
  <c r="O6076" i="5"/>
  <c r="O6071" i="5"/>
  <c r="N6074" i="5"/>
  <c r="U6074" i="5" s="1"/>
  <c r="V6074" i="5" s="1"/>
  <c r="N6077" i="5"/>
  <c r="O6077" i="5" s="1"/>
  <c r="P6078" i="5"/>
  <c r="N6078" i="5"/>
  <c r="O6067" i="5"/>
  <c r="U6076" i="5"/>
  <c r="V6076" i="5" s="1"/>
  <c r="R6054" i="5"/>
  <c r="S6054" i="5" s="1"/>
  <c r="U6073" i="5"/>
  <c r="V6073" i="5" s="1"/>
  <c r="P6075" i="5"/>
  <c r="N6075" i="5"/>
  <c r="O6068" i="5"/>
  <c r="R6069" i="5"/>
  <c r="S6069" i="5" s="1"/>
  <c r="U6071" i="5"/>
  <c r="V6071" i="5" s="1"/>
  <c r="R6070" i="5"/>
  <c r="S6070" i="5" s="1"/>
  <c r="R6060" i="5"/>
  <c r="S6060" i="5" s="1"/>
  <c r="U6072" i="5"/>
  <c r="V6072" i="5" s="1"/>
  <c r="O6073" i="5"/>
  <c r="N6069" i="5"/>
  <c r="P6069" i="5"/>
  <c r="N6048" i="5"/>
  <c r="U6048" i="5" s="1"/>
  <c r="V6048" i="5" s="1"/>
  <c r="N6070" i="5"/>
  <c r="P6070" i="5"/>
  <c r="O6072" i="5"/>
  <c r="U6068" i="5"/>
  <c r="V6068" i="5" s="1"/>
  <c r="L6066" i="5"/>
  <c r="O6065" i="5"/>
  <c r="O6055" i="5"/>
  <c r="O6063" i="5"/>
  <c r="U6067" i="5"/>
  <c r="V6067" i="5" s="1"/>
  <c r="U6043" i="5"/>
  <c r="V6043" i="5" s="1"/>
  <c r="U6065" i="5"/>
  <c r="V6065" i="5" s="1"/>
  <c r="U6041" i="5"/>
  <c r="V6041" i="5" s="1"/>
  <c r="P6064" i="5"/>
  <c r="N6064" i="5"/>
  <c r="U6063" i="5"/>
  <c r="V6063" i="5" s="1"/>
  <c r="P6047" i="5"/>
  <c r="O6047" i="5" s="1"/>
  <c r="N6056" i="5"/>
  <c r="O6029" i="5"/>
  <c r="O6057" i="5"/>
  <c r="U6057" i="5"/>
  <c r="V6057" i="5" s="1"/>
  <c r="O6058" i="5"/>
  <c r="U6058" i="5"/>
  <c r="V6058" i="5" s="1"/>
  <c r="N6060" i="5"/>
  <c r="P6060" i="5"/>
  <c r="L6053" i="5"/>
  <c r="N6054" i="5"/>
  <c r="P6054" i="5"/>
  <c r="O6061" i="5"/>
  <c r="L6059" i="5"/>
  <c r="U6055" i="5"/>
  <c r="V6055" i="5" s="1"/>
  <c r="U6061" i="5"/>
  <c r="V6061" i="5" s="1"/>
  <c r="P6046" i="5"/>
  <c r="N6046" i="5"/>
  <c r="U6050" i="5"/>
  <c r="V6050" i="5" s="1"/>
  <c r="O6050" i="5"/>
  <c r="N6049" i="5"/>
  <c r="P6049" i="5"/>
  <c r="P6040" i="5"/>
  <c r="U6040" i="5" s="1"/>
  <c r="V6040" i="5" s="1"/>
  <c r="R6046" i="5"/>
  <c r="S6046" i="5" s="1"/>
  <c r="N6052" i="5"/>
  <c r="P6052" i="5"/>
  <c r="O6041" i="5"/>
  <c r="R6045" i="5"/>
  <c r="S6045" i="5" s="1"/>
  <c r="O6051" i="5"/>
  <c r="U6051" i="5"/>
  <c r="V6051" i="5" s="1"/>
  <c r="P6045" i="5"/>
  <c r="N6045" i="5"/>
  <c r="O6044" i="5"/>
  <c r="U6044" i="5"/>
  <c r="V6044" i="5" s="1"/>
  <c r="N6039" i="5"/>
  <c r="O6039" i="5" s="1"/>
  <c r="L6042" i="5"/>
  <c r="O6043" i="5"/>
  <c r="O6037" i="5"/>
  <c r="R6027" i="5"/>
  <c r="S6027" i="5" s="1"/>
  <c r="O6028" i="5"/>
  <c r="U6037" i="5"/>
  <c r="V6037" i="5" s="1"/>
  <c r="P6022" i="5"/>
  <c r="L6038" i="5"/>
  <c r="L6036" i="5"/>
  <c r="O6035" i="5"/>
  <c r="L6025" i="5"/>
  <c r="P6025" i="5" s="1"/>
  <c r="O6034" i="5"/>
  <c r="O6023" i="5"/>
  <c r="U6035" i="5"/>
  <c r="V6035" i="5" s="1"/>
  <c r="L6033" i="5"/>
  <c r="U6034" i="5"/>
  <c r="V6034" i="5" s="1"/>
  <c r="P6032" i="5"/>
  <c r="N6032" i="5"/>
  <c r="N6031" i="5"/>
  <c r="P6031" i="5"/>
  <c r="R6032" i="5"/>
  <c r="S6032" i="5" s="1"/>
  <c r="U6028" i="5"/>
  <c r="V6028" i="5" s="1"/>
  <c r="R6026" i="5"/>
  <c r="S6026" i="5" s="1"/>
  <c r="U6029" i="5"/>
  <c r="V6029" i="5" s="1"/>
  <c r="N6030" i="5"/>
  <c r="P6030" i="5"/>
  <c r="N6026" i="5"/>
  <c r="P6026" i="5"/>
  <c r="N6024" i="5"/>
  <c r="P6024" i="5"/>
  <c r="P6027" i="5"/>
  <c r="N6027" i="5"/>
  <c r="R6024" i="5"/>
  <c r="S6024" i="5" s="1"/>
  <c r="R6017" i="5"/>
  <c r="S6017" i="5" s="1"/>
  <c r="U6023" i="5"/>
  <c r="V6023" i="5" s="1"/>
  <c r="P6013" i="5"/>
  <c r="O6018" i="5"/>
  <c r="N6021" i="5"/>
  <c r="P6021" i="5"/>
  <c r="O6019" i="5"/>
  <c r="U6019" i="5"/>
  <c r="V6019" i="5" s="1"/>
  <c r="N6020" i="5"/>
  <c r="P6020" i="5"/>
  <c r="P6017" i="5"/>
  <c r="N6017" i="5"/>
  <c r="N6010" i="5"/>
  <c r="U6010" i="5" s="1"/>
  <c r="V6010" i="5" s="1"/>
  <c r="P6016" i="5"/>
  <c r="U6016" i="5" s="1"/>
  <c r="V6016" i="5" s="1"/>
  <c r="U6018" i="5"/>
  <c r="V6018" i="5" s="1"/>
  <c r="O6014" i="5"/>
  <c r="U6014" i="5"/>
  <c r="V6014" i="5" s="1"/>
  <c r="U6008" i="5"/>
  <c r="V6008" i="5" s="1"/>
  <c r="R6011" i="5"/>
  <c r="S6011" i="5" s="1"/>
  <c r="O6015" i="5"/>
  <c r="U6015" i="5"/>
  <c r="V6015" i="5" s="1"/>
  <c r="P6011" i="5"/>
  <c r="N6011" i="5"/>
  <c r="N6012" i="5"/>
  <c r="P6012" i="5"/>
  <c r="R6012" i="5"/>
  <c r="S6012" i="5" s="1"/>
  <c r="R6001" i="5"/>
  <c r="S6001" i="5" s="1"/>
  <c r="L6007" i="5"/>
  <c r="N6007" i="5" s="1"/>
  <c r="U6004" i="5"/>
  <c r="V6004" i="5" s="1"/>
  <c r="O6008" i="5"/>
  <c r="O6009" i="5"/>
  <c r="U6009" i="5"/>
  <c r="V6009" i="5" s="1"/>
  <c r="R6002" i="5"/>
  <c r="S6002" i="5" s="1"/>
  <c r="N5998" i="5"/>
  <c r="O5998" i="5" s="1"/>
  <c r="O6003" i="5"/>
  <c r="O6005" i="5"/>
  <c r="U6005" i="5"/>
  <c r="V6005" i="5" s="1"/>
  <c r="N6006" i="5"/>
  <c r="P6006" i="5"/>
  <c r="N6002" i="5"/>
  <c r="P6002" i="5"/>
  <c r="N6000" i="5"/>
  <c r="O6000" i="5" s="1"/>
  <c r="O6004" i="5"/>
  <c r="U5999" i="5"/>
  <c r="V5999" i="5" s="1"/>
  <c r="N6001" i="5"/>
  <c r="P6001" i="5"/>
  <c r="U6003" i="5"/>
  <c r="V6003" i="5" s="1"/>
  <c r="O5999" i="5"/>
  <c r="L5997" i="5"/>
  <c r="P5997" i="5" s="1"/>
  <c r="N5996" i="5"/>
  <c r="P5996" i="5"/>
  <c r="N5995" i="5"/>
  <c r="P5995" i="5"/>
  <c r="O5991" i="5"/>
  <c r="O5992" i="5"/>
  <c r="U5992" i="5"/>
  <c r="V5992" i="5" s="1"/>
  <c r="N5994" i="5"/>
  <c r="P5994" i="5"/>
  <c r="N5993" i="5"/>
  <c r="P5993" i="5"/>
  <c r="U5990" i="5"/>
  <c r="V5990" i="5" s="1"/>
  <c r="U5991" i="5"/>
  <c r="V5991" i="5" s="1"/>
  <c r="P5989" i="5"/>
  <c r="N5989" i="5"/>
  <c r="R5974" i="5"/>
  <c r="S5974" i="5" s="1"/>
  <c r="O5990" i="5"/>
  <c r="O5986" i="5"/>
  <c r="U5986" i="5"/>
  <c r="V5986" i="5" s="1"/>
  <c r="O5988" i="5"/>
  <c r="U5988" i="5"/>
  <c r="V5988" i="5" s="1"/>
  <c r="O5987" i="5"/>
  <c r="U5987" i="5"/>
  <c r="V5987" i="5" s="1"/>
  <c r="O5983" i="5"/>
  <c r="U5983" i="5"/>
  <c r="V5983" i="5" s="1"/>
  <c r="L5979" i="5"/>
  <c r="P5979" i="5" s="1"/>
  <c r="U5973" i="5"/>
  <c r="V5973" i="5" s="1"/>
  <c r="O5984" i="5"/>
  <c r="U5984" i="5"/>
  <c r="V5984" i="5" s="1"/>
  <c r="N5985" i="5"/>
  <c r="P5985" i="5"/>
  <c r="N5974" i="5"/>
  <c r="O5974" i="5" s="1"/>
  <c r="O5980" i="5"/>
  <c r="U5980" i="5"/>
  <c r="V5980" i="5" s="1"/>
  <c r="O5981" i="5"/>
  <c r="U5981" i="5"/>
  <c r="V5981" i="5" s="1"/>
  <c r="N5982" i="5"/>
  <c r="P5982" i="5"/>
  <c r="O5976" i="5"/>
  <c r="U5976" i="5"/>
  <c r="V5976" i="5" s="1"/>
  <c r="O5975" i="5"/>
  <c r="P5978" i="5"/>
  <c r="N5978" i="5"/>
  <c r="N5977" i="5"/>
  <c r="P5977" i="5"/>
  <c r="U5975" i="5"/>
  <c r="V5975" i="5" s="1"/>
  <c r="L5972" i="5"/>
  <c r="O5971" i="5"/>
  <c r="O5973" i="5"/>
  <c r="L5970" i="5"/>
  <c r="U5971" i="5"/>
  <c r="V5971" i="5" s="1"/>
  <c r="O5969" i="5"/>
  <c r="U5969" i="5"/>
  <c r="V5969" i="5" s="1"/>
  <c r="N5967" i="5"/>
  <c r="P5967" i="5"/>
  <c r="N5968" i="5"/>
  <c r="P5968" i="5"/>
  <c r="P5966" i="5"/>
  <c r="N5966" i="5"/>
  <c r="O5963" i="5"/>
  <c r="U5963" i="5"/>
  <c r="V5963" i="5" s="1"/>
  <c r="O5964" i="5"/>
  <c r="U5964" i="5"/>
  <c r="V5964" i="5" s="1"/>
  <c r="U5955" i="5"/>
  <c r="V5955" i="5" s="1"/>
  <c r="N5965" i="5"/>
  <c r="P5965" i="5"/>
  <c r="U5944" i="5"/>
  <c r="V5944" i="5" s="1"/>
  <c r="O5960" i="5"/>
  <c r="U5960" i="5"/>
  <c r="V5960" i="5" s="1"/>
  <c r="N5961" i="5"/>
  <c r="P5961" i="5"/>
  <c r="P5962" i="5"/>
  <c r="N5962" i="5"/>
  <c r="O5957" i="5"/>
  <c r="U5957" i="5"/>
  <c r="V5957" i="5" s="1"/>
  <c r="R5949" i="5"/>
  <c r="S5949" i="5" s="1"/>
  <c r="O5956" i="5"/>
  <c r="L5959" i="5"/>
  <c r="U5956" i="5"/>
  <c r="V5956" i="5" s="1"/>
  <c r="N5958" i="5"/>
  <c r="P5958" i="5"/>
  <c r="N5949" i="5"/>
  <c r="O5949" i="5" s="1"/>
  <c r="O5955" i="5"/>
  <c r="O5952" i="5"/>
  <c r="U5952" i="5"/>
  <c r="V5952" i="5" s="1"/>
  <c r="L5946" i="5"/>
  <c r="O5953" i="5"/>
  <c r="U5953" i="5"/>
  <c r="V5953" i="5" s="1"/>
  <c r="U5951" i="5"/>
  <c r="V5951" i="5" s="1"/>
  <c r="N5954" i="5"/>
  <c r="P5954" i="5"/>
  <c r="O5944" i="5"/>
  <c r="R5947" i="5"/>
  <c r="S5947" i="5" s="1"/>
  <c r="N5947" i="5"/>
  <c r="P5947" i="5"/>
  <c r="P5950" i="5"/>
  <c r="N5950" i="5"/>
  <c r="O5951" i="5"/>
  <c r="O5948" i="5"/>
  <c r="U5948" i="5"/>
  <c r="V5948" i="5" s="1"/>
  <c r="O5945" i="5"/>
  <c r="U5945" i="5"/>
  <c r="V5945" i="5" s="1"/>
  <c r="L5943" i="5"/>
  <c r="U5935" i="5"/>
  <c r="V5935" i="5" s="1"/>
  <c r="O5939" i="5"/>
  <c r="N5942" i="5"/>
  <c r="P5942" i="5"/>
  <c r="O5940" i="5"/>
  <c r="U5940" i="5"/>
  <c r="V5940" i="5" s="1"/>
  <c r="N5941" i="5"/>
  <c r="P5941" i="5"/>
  <c r="N5937" i="5"/>
  <c r="P5937" i="5"/>
  <c r="U5939" i="5"/>
  <c r="V5939" i="5" s="1"/>
  <c r="O5935" i="5"/>
  <c r="O5938" i="5"/>
  <c r="L5936" i="5"/>
  <c r="R5937" i="5"/>
  <c r="S5937" i="5" s="1"/>
  <c r="U5938" i="5"/>
  <c r="V5938" i="5" s="1"/>
  <c r="R5932" i="5"/>
  <c r="S5932" i="5" s="1"/>
  <c r="N5934" i="5"/>
  <c r="O5934" i="5" s="1"/>
  <c r="O5933" i="5"/>
  <c r="P5932" i="5"/>
  <c r="N5932" i="5"/>
  <c r="L5931" i="5"/>
  <c r="R5925" i="5"/>
  <c r="S5925" i="5" s="1"/>
  <c r="O5930" i="5"/>
  <c r="U5933" i="5"/>
  <c r="V5933" i="5" s="1"/>
  <c r="N5927" i="5"/>
  <c r="O5927" i="5" s="1"/>
  <c r="R5929" i="5"/>
  <c r="S5929" i="5" s="1"/>
  <c r="P5925" i="5"/>
  <c r="N5925" i="5"/>
  <c r="P5929" i="5"/>
  <c r="N5929" i="5"/>
  <c r="L5928" i="5"/>
  <c r="U5930" i="5"/>
  <c r="V5930" i="5" s="1"/>
  <c r="L5920" i="5"/>
  <c r="P5920" i="5" s="1"/>
  <c r="R5926" i="5"/>
  <c r="S5926" i="5" s="1"/>
  <c r="N5926" i="5"/>
  <c r="P5926" i="5"/>
  <c r="L5921" i="5"/>
  <c r="P5921" i="5" s="1"/>
  <c r="O5922" i="5"/>
  <c r="U5924" i="5"/>
  <c r="V5924" i="5" s="1"/>
  <c r="N5923" i="5"/>
  <c r="P5923" i="5"/>
  <c r="O5924" i="5"/>
  <c r="O5919" i="5"/>
  <c r="R5923" i="5"/>
  <c r="S5923" i="5" s="1"/>
  <c r="O5915" i="5"/>
  <c r="O5917" i="5"/>
  <c r="U5922" i="5"/>
  <c r="V5922" i="5" s="1"/>
  <c r="U5917" i="5"/>
  <c r="V5917" i="5" s="1"/>
  <c r="L5918" i="5"/>
  <c r="U5919" i="5"/>
  <c r="V5919" i="5" s="1"/>
  <c r="P5916" i="5"/>
  <c r="N5916" i="5"/>
  <c r="L5914" i="5"/>
  <c r="U5911" i="5"/>
  <c r="V5911" i="5" s="1"/>
  <c r="U5915" i="5"/>
  <c r="V5915" i="5" s="1"/>
  <c r="U5907" i="5"/>
  <c r="V5907" i="5" s="1"/>
  <c r="L5912" i="5"/>
  <c r="P5912" i="5" s="1"/>
  <c r="L5910" i="5"/>
  <c r="P5910" i="5" s="1"/>
  <c r="U5913" i="5"/>
  <c r="V5913" i="5" s="1"/>
  <c r="L5905" i="5"/>
  <c r="P5905" i="5" s="1"/>
  <c r="O5911" i="5"/>
  <c r="O5913" i="5"/>
  <c r="U5909" i="5"/>
  <c r="V5909" i="5" s="1"/>
  <c r="U5897" i="5"/>
  <c r="V5897" i="5" s="1"/>
  <c r="L5908" i="5"/>
  <c r="O5909" i="5"/>
  <c r="O5900" i="5"/>
  <c r="P5906" i="5"/>
  <c r="N5906" i="5"/>
  <c r="N5901" i="5"/>
  <c r="O5901" i="5" s="1"/>
  <c r="R5906" i="5"/>
  <c r="S5906" i="5" s="1"/>
  <c r="O5907" i="5"/>
  <c r="U5899" i="5"/>
  <c r="V5899" i="5" s="1"/>
  <c r="O5893" i="5"/>
  <c r="N5904" i="5"/>
  <c r="P5904" i="5"/>
  <c r="O5902" i="5"/>
  <c r="U5902" i="5"/>
  <c r="V5902" i="5" s="1"/>
  <c r="N5903" i="5"/>
  <c r="P5903" i="5"/>
  <c r="U5900" i="5"/>
  <c r="V5900" i="5" s="1"/>
  <c r="O5898" i="5"/>
  <c r="U5898" i="5"/>
  <c r="V5898" i="5" s="1"/>
  <c r="O5899" i="5"/>
  <c r="L5896" i="5"/>
  <c r="N5876" i="5"/>
  <c r="U5876" i="5" s="1"/>
  <c r="V5876" i="5" s="1"/>
  <c r="O5882" i="5"/>
  <c r="U5887" i="5"/>
  <c r="V5887" i="5" s="1"/>
  <c r="O5890" i="5"/>
  <c r="O5895" i="5"/>
  <c r="O5891" i="5"/>
  <c r="O5897" i="5"/>
  <c r="U5895" i="5"/>
  <c r="V5895" i="5" s="1"/>
  <c r="O5874" i="5"/>
  <c r="U5893" i="5"/>
  <c r="V5893" i="5" s="1"/>
  <c r="P5894" i="5"/>
  <c r="N5894" i="5"/>
  <c r="P5892" i="5"/>
  <c r="N5892" i="5"/>
  <c r="U5891" i="5"/>
  <c r="V5891" i="5" s="1"/>
  <c r="N5889" i="5"/>
  <c r="P5889" i="5"/>
  <c r="U5890" i="5"/>
  <c r="V5890" i="5" s="1"/>
  <c r="U5882" i="5"/>
  <c r="V5882" i="5" s="1"/>
  <c r="R5886" i="5"/>
  <c r="S5886" i="5" s="1"/>
  <c r="R5889" i="5"/>
  <c r="S5889" i="5" s="1"/>
  <c r="L5888" i="5"/>
  <c r="P5886" i="5"/>
  <c r="N5886" i="5"/>
  <c r="O5887" i="5"/>
  <c r="O5883" i="5"/>
  <c r="U5883" i="5"/>
  <c r="V5883" i="5" s="1"/>
  <c r="O5884" i="5"/>
  <c r="U5884" i="5"/>
  <c r="V5884" i="5" s="1"/>
  <c r="P5885" i="5"/>
  <c r="N5885" i="5"/>
  <c r="O5879" i="5"/>
  <c r="P5881" i="5"/>
  <c r="N5881" i="5"/>
  <c r="U5879" i="5"/>
  <c r="V5879" i="5" s="1"/>
  <c r="P5880" i="5"/>
  <c r="N5880" i="5"/>
  <c r="P5878" i="5"/>
  <c r="N5878" i="5"/>
  <c r="P5877" i="5"/>
  <c r="O5877" i="5" s="1"/>
  <c r="R5878" i="5"/>
  <c r="S5878" i="5" s="1"/>
  <c r="L5875" i="5"/>
  <c r="O5865" i="5"/>
  <c r="L5873" i="5"/>
  <c r="O5872" i="5"/>
  <c r="R5871" i="5"/>
  <c r="S5871" i="5" s="1"/>
  <c r="U5874" i="5"/>
  <c r="V5874" i="5" s="1"/>
  <c r="P5871" i="5"/>
  <c r="N5871" i="5"/>
  <c r="U5872" i="5"/>
  <c r="V5872" i="5" s="1"/>
  <c r="U5855" i="5"/>
  <c r="V5855" i="5" s="1"/>
  <c r="L5856" i="5"/>
  <c r="P5856" i="5" s="1"/>
  <c r="P5870" i="5"/>
  <c r="N5870" i="5"/>
  <c r="P5866" i="5"/>
  <c r="N5867" i="5"/>
  <c r="P5867" i="5"/>
  <c r="P5869" i="5"/>
  <c r="N5869" i="5"/>
  <c r="P5868" i="5"/>
  <c r="N5868" i="5"/>
  <c r="N5861" i="5"/>
  <c r="O5861" i="5" s="1"/>
  <c r="R5860" i="5"/>
  <c r="S5860" i="5" s="1"/>
  <c r="U5865" i="5"/>
  <c r="V5865" i="5" s="1"/>
  <c r="R5852" i="5"/>
  <c r="S5852" i="5" s="1"/>
  <c r="O5862" i="5"/>
  <c r="U5862" i="5"/>
  <c r="V5862" i="5" s="1"/>
  <c r="N5859" i="5"/>
  <c r="O5863" i="5"/>
  <c r="U5863" i="5"/>
  <c r="V5863" i="5" s="1"/>
  <c r="O5864" i="5"/>
  <c r="U5864" i="5"/>
  <c r="V5864" i="5" s="1"/>
  <c r="N5854" i="5"/>
  <c r="O5854" i="5" s="1"/>
  <c r="P5860" i="5"/>
  <c r="N5860" i="5"/>
  <c r="U5858" i="5"/>
  <c r="V5858" i="5" s="1"/>
  <c r="P5857" i="5"/>
  <c r="N5857" i="5"/>
  <c r="O5858" i="5"/>
  <c r="P5852" i="5"/>
  <c r="N5852" i="5"/>
  <c r="O5855" i="5"/>
  <c r="U5851" i="5"/>
  <c r="V5851" i="5" s="1"/>
  <c r="U5853" i="5"/>
  <c r="V5853" i="5" s="1"/>
  <c r="N5850" i="5"/>
  <c r="O5836" i="5"/>
  <c r="O5851" i="5"/>
  <c r="O5853" i="5"/>
  <c r="N5839" i="5"/>
  <c r="O5839" i="5" s="1"/>
  <c r="O5847" i="5"/>
  <c r="U5847" i="5"/>
  <c r="V5847" i="5" s="1"/>
  <c r="U5845" i="5"/>
  <c r="V5845" i="5" s="1"/>
  <c r="P5840" i="5"/>
  <c r="O5848" i="5"/>
  <c r="U5848" i="5"/>
  <c r="V5848" i="5" s="1"/>
  <c r="O5846" i="5"/>
  <c r="O5849" i="5"/>
  <c r="U5849" i="5"/>
  <c r="V5849" i="5" s="1"/>
  <c r="U5837" i="5"/>
  <c r="V5837" i="5" s="1"/>
  <c r="O5845" i="5"/>
  <c r="L5844" i="5"/>
  <c r="U5846" i="5"/>
  <c r="V5846" i="5" s="1"/>
  <c r="O5810" i="5"/>
  <c r="N5828" i="5"/>
  <c r="O5828" i="5" s="1"/>
  <c r="L5838" i="5"/>
  <c r="N5838" i="5" s="1"/>
  <c r="N5842" i="5"/>
  <c r="P5842" i="5"/>
  <c r="N5841" i="5"/>
  <c r="P5841" i="5"/>
  <c r="N5843" i="5"/>
  <c r="P5843" i="5"/>
  <c r="U5836" i="5"/>
  <c r="V5836" i="5" s="1"/>
  <c r="O5837" i="5"/>
  <c r="P5835" i="5"/>
  <c r="N5835" i="5"/>
  <c r="N5829" i="5"/>
  <c r="N5834" i="5"/>
  <c r="P5834" i="5"/>
  <c r="O5833" i="5"/>
  <c r="U5833" i="5"/>
  <c r="V5833" i="5" s="1"/>
  <c r="U5817" i="5"/>
  <c r="V5817" i="5" s="1"/>
  <c r="O5832" i="5"/>
  <c r="U5832" i="5"/>
  <c r="V5832" i="5" s="1"/>
  <c r="O5827" i="5"/>
  <c r="U5820" i="5"/>
  <c r="V5820" i="5" s="1"/>
  <c r="P5831" i="5"/>
  <c r="N5831" i="5"/>
  <c r="O5825" i="5"/>
  <c r="N5824" i="5"/>
  <c r="O5824" i="5" s="1"/>
  <c r="N5826" i="5"/>
  <c r="P5826" i="5"/>
  <c r="L5830" i="5"/>
  <c r="R5826" i="5"/>
  <c r="S5826" i="5" s="1"/>
  <c r="U5827" i="5"/>
  <c r="V5827" i="5" s="1"/>
  <c r="U5809" i="5"/>
  <c r="V5809" i="5" s="1"/>
  <c r="O5815" i="5"/>
  <c r="L5819" i="5"/>
  <c r="U5825" i="5"/>
  <c r="V5825" i="5" s="1"/>
  <c r="O5822" i="5"/>
  <c r="U5822" i="5"/>
  <c r="V5822" i="5" s="1"/>
  <c r="O5817" i="5"/>
  <c r="N5818" i="5"/>
  <c r="U5818" i="5" s="1"/>
  <c r="V5818" i="5" s="1"/>
  <c r="N5823" i="5"/>
  <c r="P5823" i="5"/>
  <c r="R5807" i="5"/>
  <c r="S5807" i="5" s="1"/>
  <c r="R5816" i="5"/>
  <c r="S5816" i="5" s="1"/>
  <c r="R5814" i="5"/>
  <c r="S5814" i="5" s="1"/>
  <c r="O5820" i="5"/>
  <c r="O5821" i="5"/>
  <c r="U5821" i="5"/>
  <c r="V5821" i="5" s="1"/>
  <c r="P5814" i="5"/>
  <c r="N5814" i="5"/>
  <c r="N5816" i="5"/>
  <c r="P5816" i="5"/>
  <c r="L5808" i="5"/>
  <c r="N5808" i="5" s="1"/>
  <c r="U5815" i="5"/>
  <c r="V5815" i="5" s="1"/>
  <c r="O5813" i="5"/>
  <c r="U5805" i="5"/>
  <c r="V5805" i="5" s="1"/>
  <c r="L5812" i="5"/>
  <c r="U5813" i="5"/>
  <c r="V5813" i="5" s="1"/>
  <c r="O5809" i="5"/>
  <c r="O5811" i="5"/>
  <c r="U5810" i="5"/>
  <c r="V5810" i="5" s="1"/>
  <c r="U5811" i="5"/>
  <c r="V5811" i="5" s="1"/>
  <c r="N5807" i="5"/>
  <c r="O5807" i="5" s="1"/>
  <c r="U5806" i="5"/>
  <c r="V5806" i="5" s="1"/>
  <c r="O5806" i="5"/>
  <c r="O5805" i="5"/>
  <c r="L5804" i="5"/>
  <c r="P5803" i="5"/>
  <c r="N5803" i="5"/>
  <c r="L5796" i="5"/>
  <c r="P5796" i="5" s="1"/>
  <c r="O5801" i="5"/>
  <c r="P5802" i="5"/>
  <c r="N5802" i="5"/>
  <c r="N5800" i="5"/>
  <c r="O5800" i="5" s="1"/>
  <c r="L5799" i="5"/>
  <c r="P5799" i="5" s="1"/>
  <c r="U5801" i="5"/>
  <c r="V5801" i="5" s="1"/>
  <c r="R5797" i="5"/>
  <c r="S5797" i="5" s="1"/>
  <c r="P5797" i="5"/>
  <c r="N5797" i="5"/>
  <c r="P5798" i="5"/>
  <c r="N5798" i="5"/>
  <c r="P5794" i="5"/>
  <c r="O5795" i="5"/>
  <c r="U5795" i="5"/>
  <c r="V5795" i="5" s="1"/>
  <c r="O5793" i="5"/>
  <c r="O5789" i="5"/>
  <c r="O5791" i="5"/>
  <c r="P5792" i="5"/>
  <c r="U5793" i="5"/>
  <c r="V5793" i="5" s="1"/>
  <c r="U5791" i="5"/>
  <c r="V5791" i="5" s="1"/>
  <c r="O5790" i="5"/>
  <c r="U5781" i="5"/>
  <c r="V5781" i="5" s="1"/>
  <c r="U5783" i="5"/>
  <c r="V5783" i="5" s="1"/>
  <c r="O5787" i="5"/>
  <c r="P5788" i="5"/>
  <c r="N5788" i="5"/>
  <c r="U5789" i="5"/>
  <c r="V5789" i="5" s="1"/>
  <c r="U5790" i="5"/>
  <c r="V5790" i="5" s="1"/>
  <c r="P5785" i="5"/>
  <c r="U5785" i="5" s="1"/>
  <c r="V5785" i="5" s="1"/>
  <c r="N5779" i="5"/>
  <c r="U5779" i="5" s="1"/>
  <c r="V5779" i="5" s="1"/>
  <c r="U5787" i="5"/>
  <c r="V5787" i="5" s="1"/>
  <c r="P5786" i="5"/>
  <c r="N5786" i="5"/>
  <c r="O5780" i="5"/>
  <c r="N5784" i="5"/>
  <c r="O5784" i="5" s="1"/>
  <c r="O5778" i="5"/>
  <c r="U5780" i="5"/>
  <c r="V5780" i="5" s="1"/>
  <c r="L5782" i="5"/>
  <c r="O5783" i="5"/>
  <c r="P5777" i="5"/>
  <c r="N5777" i="5"/>
  <c r="R5777" i="5"/>
  <c r="S5777" i="5" s="1"/>
  <c r="U5778" i="5"/>
  <c r="V5778" i="5" s="1"/>
  <c r="O5781" i="5"/>
  <c r="U5764" i="5"/>
  <c r="V5764" i="5" s="1"/>
  <c r="O5774" i="5"/>
  <c r="O5775" i="5"/>
  <c r="P5776" i="5"/>
  <c r="N5776" i="5"/>
  <c r="N5756" i="5"/>
  <c r="U5756" i="5" s="1"/>
  <c r="V5756" i="5" s="1"/>
  <c r="U5774" i="5"/>
  <c r="V5774" i="5" s="1"/>
  <c r="L5772" i="5"/>
  <c r="U5775" i="5"/>
  <c r="V5775" i="5" s="1"/>
  <c r="P5773" i="5"/>
  <c r="N5773" i="5"/>
  <c r="N5771" i="5"/>
  <c r="O5771" i="5" s="1"/>
  <c r="R5717" i="5"/>
  <c r="S5717" i="5" s="1"/>
  <c r="O5768" i="5"/>
  <c r="U5768" i="5"/>
  <c r="V5768" i="5" s="1"/>
  <c r="O5769" i="5"/>
  <c r="U5769" i="5"/>
  <c r="V5769" i="5" s="1"/>
  <c r="N5770" i="5"/>
  <c r="P5770" i="5"/>
  <c r="O5765" i="5"/>
  <c r="U5765" i="5"/>
  <c r="V5765" i="5" s="1"/>
  <c r="L5763" i="5"/>
  <c r="P5763" i="5" s="1"/>
  <c r="O5766" i="5"/>
  <c r="U5766" i="5"/>
  <c r="V5766" i="5" s="1"/>
  <c r="N5767" i="5"/>
  <c r="P5767" i="5"/>
  <c r="O5764" i="5"/>
  <c r="U5758" i="5"/>
  <c r="V5758" i="5" s="1"/>
  <c r="N5753" i="5"/>
  <c r="U5753" i="5" s="1"/>
  <c r="V5753" i="5" s="1"/>
  <c r="O5760" i="5"/>
  <c r="U5760" i="5"/>
  <c r="V5760" i="5" s="1"/>
  <c r="N5759" i="5"/>
  <c r="U5759" i="5" s="1"/>
  <c r="V5759" i="5" s="1"/>
  <c r="N5761" i="5"/>
  <c r="P5761" i="5"/>
  <c r="N5762" i="5"/>
  <c r="P5762" i="5"/>
  <c r="O5757" i="5"/>
  <c r="U5757" i="5"/>
  <c r="V5757" i="5" s="1"/>
  <c r="P5755" i="5"/>
  <c r="O5751" i="5"/>
  <c r="U5750" i="5"/>
  <c r="V5750" i="5" s="1"/>
  <c r="O5754" i="5"/>
  <c r="U5754" i="5"/>
  <c r="V5754" i="5" s="1"/>
  <c r="P5752" i="5"/>
  <c r="N5752" i="5"/>
  <c r="U5746" i="5"/>
  <c r="V5746" i="5" s="1"/>
  <c r="O5750" i="5"/>
  <c r="R5640" i="5"/>
  <c r="S5640" i="5" s="1"/>
  <c r="U5751" i="5"/>
  <c r="V5751" i="5" s="1"/>
  <c r="N5745" i="5"/>
  <c r="U5745" i="5" s="1"/>
  <c r="V5745" i="5" s="1"/>
  <c r="O5747" i="5"/>
  <c r="U5747" i="5"/>
  <c r="V5747" i="5" s="1"/>
  <c r="P5697" i="5"/>
  <c r="U5697" i="5" s="1"/>
  <c r="V5697" i="5" s="1"/>
  <c r="O5746" i="5"/>
  <c r="N5749" i="5"/>
  <c r="P5749" i="5"/>
  <c r="P5748" i="5"/>
  <c r="N5748" i="5"/>
  <c r="P5743" i="5"/>
  <c r="N5743" i="5"/>
  <c r="L5744" i="5"/>
  <c r="R5743" i="5"/>
  <c r="S5743" i="5" s="1"/>
  <c r="R5643" i="5"/>
  <c r="S5643" i="5" s="1"/>
  <c r="U5714" i="5"/>
  <c r="V5714" i="5" s="1"/>
  <c r="U5737" i="5"/>
  <c r="V5737" i="5" s="1"/>
  <c r="U5722" i="5"/>
  <c r="V5722" i="5" s="1"/>
  <c r="U5715" i="5"/>
  <c r="V5715" i="5" s="1"/>
  <c r="O5715" i="5"/>
  <c r="U5738" i="5"/>
  <c r="V5738" i="5" s="1"/>
  <c r="U5710" i="5"/>
  <c r="V5710" i="5" s="1"/>
  <c r="N5723" i="5"/>
  <c r="U5723" i="5" s="1"/>
  <c r="V5723" i="5" s="1"/>
  <c r="R5684" i="5"/>
  <c r="S5684" i="5" s="1"/>
  <c r="U5729" i="5"/>
  <c r="V5729" i="5" s="1"/>
  <c r="O5729" i="5"/>
  <c r="O5731" i="5"/>
  <c r="N5707" i="5"/>
  <c r="O5707" i="5" s="1"/>
  <c r="N5718" i="5"/>
  <c r="O5718" i="5" s="1"/>
  <c r="R5599" i="5"/>
  <c r="S5599" i="5" s="1"/>
  <c r="N5670" i="5"/>
  <c r="O5670" i="5" s="1"/>
  <c r="O5722" i="5"/>
  <c r="L5700" i="5"/>
  <c r="N5700" i="5" s="1"/>
  <c r="R5724" i="5"/>
  <c r="S5724" i="5" s="1"/>
  <c r="N5701" i="5"/>
  <c r="O5701" i="5" s="1"/>
  <c r="U5726" i="5"/>
  <c r="V5726" i="5" s="1"/>
  <c r="O5712" i="5"/>
  <c r="O5730" i="5"/>
  <c r="N5740" i="5"/>
  <c r="O5740" i="5" s="1"/>
  <c r="N5725" i="5"/>
  <c r="O5725" i="5" s="1"/>
  <c r="R5709" i="5"/>
  <c r="S5709" i="5" s="1"/>
  <c r="N5720" i="5"/>
  <c r="O5720" i="5" s="1"/>
  <c r="O5716" i="5"/>
  <c r="O5739" i="5"/>
  <c r="U5682" i="5"/>
  <c r="V5682" i="5" s="1"/>
  <c r="P5719" i="5"/>
  <c r="P5709" i="5"/>
  <c r="N5709" i="5"/>
  <c r="N5733" i="5"/>
  <c r="U5733" i="5" s="1"/>
  <c r="V5733" i="5" s="1"/>
  <c r="N5708" i="5"/>
  <c r="U5736" i="5"/>
  <c r="V5736" i="5" s="1"/>
  <c r="O5736" i="5"/>
  <c r="N5741" i="5"/>
  <c r="O5741" i="5" s="1"/>
  <c r="N5691" i="5"/>
  <c r="O5691" i="5" s="1"/>
  <c r="L5724" i="5"/>
  <c r="P5724" i="5" s="1"/>
  <c r="L5684" i="5"/>
  <c r="P5689" i="5"/>
  <c r="N5689" i="5"/>
  <c r="U5698" i="5"/>
  <c r="V5698" i="5" s="1"/>
  <c r="N5687" i="5"/>
  <c r="U5687" i="5" s="1"/>
  <c r="V5687" i="5" s="1"/>
  <c r="N5705" i="5"/>
  <c r="N5735" i="5"/>
  <c r="O5710" i="5"/>
  <c r="R5693" i="5"/>
  <c r="S5693" i="5" s="1"/>
  <c r="O5672" i="5"/>
  <c r="O5703" i="5"/>
  <c r="U5703" i="5"/>
  <c r="V5703" i="5" s="1"/>
  <c r="N5728" i="5"/>
  <c r="P5728" i="5"/>
  <c r="O5682" i="5"/>
  <c r="U5679" i="5"/>
  <c r="V5679" i="5" s="1"/>
  <c r="U5716" i="5"/>
  <c r="V5716" i="5" s="1"/>
  <c r="P5742" i="5"/>
  <c r="N5742" i="5"/>
  <c r="N5734" i="5"/>
  <c r="U5734" i="5" s="1"/>
  <c r="V5734" i="5" s="1"/>
  <c r="U5732" i="5"/>
  <c r="V5732" i="5" s="1"/>
  <c r="U5739" i="5"/>
  <c r="V5739" i="5" s="1"/>
  <c r="N5693" i="5"/>
  <c r="P5693" i="5"/>
  <c r="O5738" i="5"/>
  <c r="O5726" i="5"/>
  <c r="U5667" i="5"/>
  <c r="V5667" i="5" s="1"/>
  <c r="U5713" i="5"/>
  <c r="V5713" i="5" s="1"/>
  <c r="O5713" i="5"/>
  <c r="L5717" i="5"/>
  <c r="N5690" i="5"/>
  <c r="P5690" i="5"/>
  <c r="O5711" i="5"/>
  <c r="U5711" i="5"/>
  <c r="V5711" i="5" s="1"/>
  <c r="N5681" i="5"/>
  <c r="P5681" i="5"/>
  <c r="O5721" i="5"/>
  <c r="U5721" i="5"/>
  <c r="V5721" i="5" s="1"/>
  <c r="R5616" i="5"/>
  <c r="S5616" i="5" s="1"/>
  <c r="N5618" i="5"/>
  <c r="N5688" i="5"/>
  <c r="P5688" i="5"/>
  <c r="P5685" i="5"/>
  <c r="N5685" i="5"/>
  <c r="O5699" i="5"/>
  <c r="U5699" i="5"/>
  <c r="V5699" i="5" s="1"/>
  <c r="O5696" i="5"/>
  <c r="U5696" i="5"/>
  <c r="V5696" i="5" s="1"/>
  <c r="O5702" i="5"/>
  <c r="U5702" i="5"/>
  <c r="V5702" i="5" s="1"/>
  <c r="O5680" i="5"/>
  <c r="U5680" i="5"/>
  <c r="V5680" i="5" s="1"/>
  <c r="U5686" i="5"/>
  <c r="V5686" i="5" s="1"/>
  <c r="P5683" i="5"/>
  <c r="N5683" i="5"/>
  <c r="O5694" i="5"/>
  <c r="U5694" i="5"/>
  <c r="V5694" i="5" s="1"/>
  <c r="O5727" i="5"/>
  <c r="U5727" i="5"/>
  <c r="V5727" i="5" s="1"/>
  <c r="O5706" i="5"/>
  <c r="U5706" i="5"/>
  <c r="V5706" i="5" s="1"/>
  <c r="P5692" i="5"/>
  <c r="N5692" i="5"/>
  <c r="U5695" i="5"/>
  <c r="V5695" i="5" s="1"/>
  <c r="O5695" i="5"/>
  <c r="N5704" i="5"/>
  <c r="P5704" i="5"/>
  <c r="N5671" i="5"/>
  <c r="O5671" i="5" s="1"/>
  <c r="N5676" i="5"/>
  <c r="P5676" i="5"/>
  <c r="N5678" i="5"/>
  <c r="P5678" i="5"/>
  <c r="N5677" i="5"/>
  <c r="P5677" i="5"/>
  <c r="U5672" i="5"/>
  <c r="V5672" i="5" s="1"/>
  <c r="O5673" i="5"/>
  <c r="U5673" i="5"/>
  <c r="V5673" i="5" s="1"/>
  <c r="N5654" i="5"/>
  <c r="O5654" i="5" s="1"/>
  <c r="O5674" i="5"/>
  <c r="U5674" i="5"/>
  <c r="V5674" i="5" s="1"/>
  <c r="O5667" i="5"/>
  <c r="O5669" i="5"/>
  <c r="P5675" i="5"/>
  <c r="N5675" i="5"/>
  <c r="L5668" i="5"/>
  <c r="O5666" i="5"/>
  <c r="U5669" i="5"/>
  <c r="V5669" i="5" s="1"/>
  <c r="L5652" i="5"/>
  <c r="P5652" i="5" s="1"/>
  <c r="U5666" i="5"/>
  <c r="V5666" i="5" s="1"/>
  <c r="N5665" i="5"/>
  <c r="P5665" i="5"/>
  <c r="O5663" i="5"/>
  <c r="U5663" i="5"/>
  <c r="V5663" i="5" s="1"/>
  <c r="N5664" i="5"/>
  <c r="P5664" i="5"/>
  <c r="O5656" i="5"/>
  <c r="P5653" i="5"/>
  <c r="N5653" i="5"/>
  <c r="U5662" i="5"/>
  <c r="V5662" i="5" s="1"/>
  <c r="O5662" i="5"/>
  <c r="O5660" i="5"/>
  <c r="U5660" i="5"/>
  <c r="V5660" i="5" s="1"/>
  <c r="O5661" i="5"/>
  <c r="U5661" i="5"/>
  <c r="V5661" i="5" s="1"/>
  <c r="O5658" i="5"/>
  <c r="U5658" i="5"/>
  <c r="V5658" i="5" s="1"/>
  <c r="R5655" i="5"/>
  <c r="S5655" i="5" s="1"/>
  <c r="R5650" i="5"/>
  <c r="S5650" i="5" s="1"/>
  <c r="O5659" i="5"/>
  <c r="U5659" i="5"/>
  <c r="V5659" i="5" s="1"/>
  <c r="O5657" i="5"/>
  <c r="U5657" i="5"/>
  <c r="V5657" i="5" s="1"/>
  <c r="P5655" i="5"/>
  <c r="N5655" i="5"/>
  <c r="U5651" i="5"/>
  <c r="V5651" i="5" s="1"/>
  <c r="U5656" i="5"/>
  <c r="V5656" i="5" s="1"/>
  <c r="P5650" i="5"/>
  <c r="N5650" i="5"/>
  <c r="U5646" i="5"/>
  <c r="V5646" i="5" s="1"/>
  <c r="O5651" i="5"/>
  <c r="O5642" i="5"/>
  <c r="O5647" i="5"/>
  <c r="U5647" i="5"/>
  <c r="V5647" i="5" s="1"/>
  <c r="O5646" i="5"/>
  <c r="N5649" i="5"/>
  <c r="P5649" i="5"/>
  <c r="R5636" i="5"/>
  <c r="S5636" i="5" s="1"/>
  <c r="O5644" i="5"/>
  <c r="O5648" i="5"/>
  <c r="U5648" i="5"/>
  <c r="V5648" i="5" s="1"/>
  <c r="L5643" i="5"/>
  <c r="R5638" i="5"/>
  <c r="S5638" i="5" s="1"/>
  <c r="U5642" i="5"/>
  <c r="V5642" i="5" s="1"/>
  <c r="U5644" i="5"/>
  <c r="V5644" i="5" s="1"/>
  <c r="P5645" i="5"/>
  <c r="N5645" i="5"/>
  <c r="U5641" i="5"/>
  <c r="V5641" i="5" s="1"/>
  <c r="L5640" i="5"/>
  <c r="O5639" i="5"/>
  <c r="O5641" i="5"/>
  <c r="P5638" i="5"/>
  <c r="N5638" i="5"/>
  <c r="P5618" i="5"/>
  <c r="U5639" i="5"/>
  <c r="V5639" i="5" s="1"/>
  <c r="O5635" i="5"/>
  <c r="R5634" i="5"/>
  <c r="S5634" i="5" s="1"/>
  <c r="P5636" i="5"/>
  <c r="N5636" i="5"/>
  <c r="P5637" i="5"/>
  <c r="N5637" i="5"/>
  <c r="P5634" i="5"/>
  <c r="N5634" i="5"/>
  <c r="U5635" i="5"/>
  <c r="V5635" i="5" s="1"/>
  <c r="U5621" i="5"/>
  <c r="V5621" i="5" s="1"/>
  <c r="O5633" i="5"/>
  <c r="U5633" i="5"/>
  <c r="V5633" i="5" s="1"/>
  <c r="N5632" i="5"/>
  <c r="P5632" i="5"/>
  <c r="O5631" i="5"/>
  <c r="U5631" i="5"/>
  <c r="V5631" i="5" s="1"/>
  <c r="O5629" i="5"/>
  <c r="U5629" i="5"/>
  <c r="V5629" i="5" s="1"/>
  <c r="O5628" i="5"/>
  <c r="U5628" i="5"/>
  <c r="V5628" i="5" s="1"/>
  <c r="N5630" i="5"/>
  <c r="P5630" i="5"/>
  <c r="O5627" i="5"/>
  <c r="U5627" i="5"/>
  <c r="V5627" i="5" s="1"/>
  <c r="O5626" i="5"/>
  <c r="U5626" i="5"/>
  <c r="V5626" i="5" s="1"/>
  <c r="U5619" i="5"/>
  <c r="V5619" i="5" s="1"/>
  <c r="R5624" i="5"/>
  <c r="S5624" i="5" s="1"/>
  <c r="N5624" i="5"/>
  <c r="P5624" i="5"/>
  <c r="P5608" i="5"/>
  <c r="O5608" i="5" s="1"/>
  <c r="R5615" i="5"/>
  <c r="S5615" i="5" s="1"/>
  <c r="O5623" i="5"/>
  <c r="P5625" i="5"/>
  <c r="N5625" i="5"/>
  <c r="R5609" i="5"/>
  <c r="S5609" i="5" s="1"/>
  <c r="P5622" i="5"/>
  <c r="N5622" i="5"/>
  <c r="O5619" i="5"/>
  <c r="U5611" i="5"/>
  <c r="V5611" i="5" s="1"/>
  <c r="U5623" i="5"/>
  <c r="V5623" i="5" s="1"/>
  <c r="P5620" i="5"/>
  <c r="N5620" i="5"/>
  <c r="O5621" i="5"/>
  <c r="L5616" i="5"/>
  <c r="P5614" i="5"/>
  <c r="U5614" i="5" s="1"/>
  <c r="V5614" i="5" s="1"/>
  <c r="N5595" i="5"/>
  <c r="O5595" i="5" s="1"/>
  <c r="N5610" i="5"/>
  <c r="O5613" i="5"/>
  <c r="U5613" i="5"/>
  <c r="V5613" i="5" s="1"/>
  <c r="P5609" i="5"/>
  <c r="N5609" i="5"/>
  <c r="P5615" i="5"/>
  <c r="N5615" i="5"/>
  <c r="O5617" i="5"/>
  <c r="N5612" i="5"/>
  <c r="P5612" i="5"/>
  <c r="U5617" i="5"/>
  <c r="V5617" i="5" s="1"/>
  <c r="P5605" i="5"/>
  <c r="O5605" i="5" s="1"/>
  <c r="O5611" i="5"/>
  <c r="N5601" i="5"/>
  <c r="O5601" i="5" s="1"/>
  <c r="O5604" i="5"/>
  <c r="L5599" i="5"/>
  <c r="U5606" i="5"/>
  <c r="V5606" i="5" s="1"/>
  <c r="P5607" i="5"/>
  <c r="N5607" i="5"/>
  <c r="N5603" i="5"/>
  <c r="P5603" i="5"/>
  <c r="N5597" i="5"/>
  <c r="P5597" i="5"/>
  <c r="O5606" i="5"/>
  <c r="R5602" i="5"/>
  <c r="S5602" i="5" s="1"/>
  <c r="O5600" i="5"/>
  <c r="U5600" i="5"/>
  <c r="V5600" i="5" s="1"/>
  <c r="P5602" i="5"/>
  <c r="N5602" i="5"/>
  <c r="O5598" i="5"/>
  <c r="U5598" i="5"/>
  <c r="V5598" i="5" s="1"/>
  <c r="L5596" i="5"/>
  <c r="U5604" i="5"/>
  <c r="V5604" i="5" s="1"/>
  <c r="N5593" i="5"/>
  <c r="P5593" i="5"/>
  <c r="O5592" i="5"/>
  <c r="U5592" i="5"/>
  <c r="V5592" i="5" s="1"/>
  <c r="N5594" i="5"/>
  <c r="P5594" i="5"/>
  <c r="U6544" i="5" l="1"/>
  <c r="V6544" i="5" s="1"/>
  <c r="U6608" i="5"/>
  <c r="V6608" i="5" s="1"/>
  <c r="U6621" i="5"/>
  <c r="V6621" i="5" s="1"/>
  <c r="O6522" i="5"/>
  <c r="U6579" i="5"/>
  <c r="V6579" i="5" s="1"/>
  <c r="O6654" i="5"/>
  <c r="U6633" i="5"/>
  <c r="V6633" i="5" s="1"/>
  <c r="O6497" i="5"/>
  <c r="O6585" i="5"/>
  <c r="U6591" i="5"/>
  <c r="V6591" i="5" s="1"/>
  <c r="U6526" i="5"/>
  <c r="V6526" i="5" s="1"/>
  <c r="CW53" i="12"/>
  <c r="DX53" i="12" s="1"/>
  <c r="DY53" i="12" s="1"/>
  <c r="U6582" i="5"/>
  <c r="V6582" i="5" s="1"/>
  <c r="U6503" i="5"/>
  <c r="V6503" i="5" s="1"/>
  <c r="U6483" i="5"/>
  <c r="V6483" i="5" s="1"/>
  <c r="U6628" i="5"/>
  <c r="V6628" i="5" s="1"/>
  <c r="O6498" i="5"/>
  <c r="U6553" i="5"/>
  <c r="V6553" i="5" s="1"/>
  <c r="U6636" i="5"/>
  <c r="V6636" i="5" s="1"/>
  <c r="O6574" i="5"/>
  <c r="U6481" i="5"/>
  <c r="V6481" i="5" s="1"/>
  <c r="U6520" i="5"/>
  <c r="V6520" i="5" s="1"/>
  <c r="U6583" i="5"/>
  <c r="V6583" i="5" s="1"/>
  <c r="O6549" i="5"/>
  <c r="O6645" i="5"/>
  <c r="U6605" i="5"/>
  <c r="V6605" i="5" s="1"/>
  <c r="O6658" i="5"/>
  <c r="U6658" i="5"/>
  <c r="V6658" i="5" s="1"/>
  <c r="U6525" i="5"/>
  <c r="V6525" i="5" s="1"/>
  <c r="U6655" i="5"/>
  <c r="V6655" i="5" s="1"/>
  <c r="O6655" i="5"/>
  <c r="O6518" i="5"/>
  <c r="U6518" i="5"/>
  <c r="V6518" i="5" s="1"/>
  <c r="U6524" i="5"/>
  <c r="V6524" i="5" s="1"/>
  <c r="O6524" i="5"/>
  <c r="O6625" i="5"/>
  <c r="U6625" i="5"/>
  <c r="V6625" i="5" s="1"/>
  <c r="O6593" i="5"/>
  <c r="U6593" i="5"/>
  <c r="V6593" i="5" s="1"/>
  <c r="U6509" i="5"/>
  <c r="V6509" i="5" s="1"/>
  <c r="O6592" i="5"/>
  <c r="U6592" i="5"/>
  <c r="V6592" i="5" s="1"/>
  <c r="O6570" i="5"/>
  <c r="U6570" i="5"/>
  <c r="V6570" i="5" s="1"/>
  <c r="O6507" i="5"/>
  <c r="U6507" i="5"/>
  <c r="V6507" i="5" s="1"/>
  <c r="O6619" i="5"/>
  <c r="U6619" i="5"/>
  <c r="V6619" i="5" s="1"/>
  <c r="O6662" i="5"/>
  <c r="U6662" i="5"/>
  <c r="V6662" i="5" s="1"/>
  <c r="O6511" i="5"/>
  <c r="U6511" i="5"/>
  <c r="V6511" i="5" s="1"/>
  <c r="O6595" i="5"/>
  <c r="U6595" i="5"/>
  <c r="V6595" i="5" s="1"/>
  <c r="U6614" i="5"/>
  <c r="V6614" i="5" s="1"/>
  <c r="O6614" i="5"/>
  <c r="O6538" i="5"/>
  <c r="U6538" i="5"/>
  <c r="V6538" i="5" s="1"/>
  <c r="O6649" i="5"/>
  <c r="U6649" i="5"/>
  <c r="V6649" i="5" s="1"/>
  <c r="O6648" i="5"/>
  <c r="U6648" i="5"/>
  <c r="V6648" i="5" s="1"/>
  <c r="O6488" i="5"/>
  <c r="U6488" i="5"/>
  <c r="V6488" i="5" s="1"/>
  <c r="O6668" i="5"/>
  <c r="U6668" i="5"/>
  <c r="V6668" i="5" s="1"/>
  <c r="O6617" i="5"/>
  <c r="U6617" i="5"/>
  <c r="V6617" i="5" s="1"/>
  <c r="O6596" i="5"/>
  <c r="U6596" i="5"/>
  <c r="V6596" i="5" s="1"/>
  <c r="O6663" i="5"/>
  <c r="U6663" i="5"/>
  <c r="V6663" i="5" s="1"/>
  <c r="O6627" i="5"/>
  <c r="U6627" i="5"/>
  <c r="V6627" i="5" s="1"/>
  <c r="U6588" i="5"/>
  <c r="V6588" i="5" s="1"/>
  <c r="O6588" i="5"/>
  <c r="U6597" i="5"/>
  <c r="V6597" i="5" s="1"/>
  <c r="O6597" i="5"/>
  <c r="O6516" i="5"/>
  <c r="U6516" i="5"/>
  <c r="V6516" i="5" s="1"/>
  <c r="O6508" i="5"/>
  <c r="U6508" i="5"/>
  <c r="V6508" i="5" s="1"/>
  <c r="O6542" i="5"/>
  <c r="U6542" i="5"/>
  <c r="V6542" i="5" s="1"/>
  <c r="O6644" i="5"/>
  <c r="U6644" i="5"/>
  <c r="V6644" i="5" s="1"/>
  <c r="O6543" i="5"/>
  <c r="U6543" i="5"/>
  <c r="V6543" i="5" s="1"/>
  <c r="O6486" i="5"/>
  <c r="U6486" i="5"/>
  <c r="V6486" i="5" s="1"/>
  <c r="O6622" i="5"/>
  <c r="U6622" i="5"/>
  <c r="V6622" i="5" s="1"/>
  <c r="O6532" i="5"/>
  <c r="U6532" i="5"/>
  <c r="V6532" i="5" s="1"/>
  <c r="U6475" i="5"/>
  <c r="V6475" i="5" s="1"/>
  <c r="U6337" i="5"/>
  <c r="V6337" i="5" s="1"/>
  <c r="O6416" i="5"/>
  <c r="U6468" i="5"/>
  <c r="V6468" i="5" s="1"/>
  <c r="U5719" i="5"/>
  <c r="V5719" i="5" s="1"/>
  <c r="O6349" i="5"/>
  <c r="U6360" i="5"/>
  <c r="V6360" i="5" s="1"/>
  <c r="O6361" i="5"/>
  <c r="U6376" i="5"/>
  <c r="V6376" i="5" s="1"/>
  <c r="O6356" i="5"/>
  <c r="U6256" i="5"/>
  <c r="V6256" i="5" s="1"/>
  <c r="O6253" i="5"/>
  <c r="O6275" i="5"/>
  <c r="O6388" i="5"/>
  <c r="U6436" i="5"/>
  <c r="V6436" i="5" s="1"/>
  <c r="O6462" i="5"/>
  <c r="O6325" i="5"/>
  <c r="O6453" i="5"/>
  <c r="O6369" i="5"/>
  <c r="U6279" i="5"/>
  <c r="V6279" i="5" s="1"/>
  <c r="O6477" i="5"/>
  <c r="O6460" i="5"/>
  <c r="O6314" i="5"/>
  <c r="U6455" i="5"/>
  <c r="V6455" i="5" s="1"/>
  <c r="O6272" i="5"/>
  <c r="U6410" i="5"/>
  <c r="V6410" i="5" s="1"/>
  <c r="U6352" i="5"/>
  <c r="V6352" i="5" s="1"/>
  <c r="U6401" i="5"/>
  <c r="V6401" i="5" s="1"/>
  <c r="O6423" i="5"/>
  <c r="O6459" i="5"/>
  <c r="U6370" i="5"/>
  <c r="V6370" i="5" s="1"/>
  <c r="O6293" i="5"/>
  <c r="O6364" i="5"/>
  <c r="O6335" i="5"/>
  <c r="U6335" i="5"/>
  <c r="V6335" i="5" s="1"/>
  <c r="O6287" i="5"/>
  <c r="U6269" i="5"/>
  <c r="V6269" i="5" s="1"/>
  <c r="O6472" i="5"/>
  <c r="U6407" i="5"/>
  <c r="V6407" i="5" s="1"/>
  <c r="O6333" i="5"/>
  <c r="U6470" i="5"/>
  <c r="V6470" i="5" s="1"/>
  <c r="U6415" i="5"/>
  <c r="V6415" i="5" s="1"/>
  <c r="O6260" i="5"/>
  <c r="U6469" i="5"/>
  <c r="V6469" i="5" s="1"/>
  <c r="U6315" i="5"/>
  <c r="V6315" i="5" s="1"/>
  <c r="O6407" i="5"/>
  <c r="O6470" i="5"/>
  <c r="U6333" i="5"/>
  <c r="V6333" i="5" s="1"/>
  <c r="U6364" i="5"/>
  <c r="V6364" i="5" s="1"/>
  <c r="U6453" i="5"/>
  <c r="V6453" i="5" s="1"/>
  <c r="U6327" i="5"/>
  <c r="V6327" i="5" s="1"/>
  <c r="U6463" i="5"/>
  <c r="V6463" i="5" s="1"/>
  <c r="U6472" i="5"/>
  <c r="V6472" i="5" s="1"/>
  <c r="U6462" i="5"/>
  <c r="V6462" i="5" s="1"/>
  <c r="U6369" i="5"/>
  <c r="V6369" i="5" s="1"/>
  <c r="U6389" i="5"/>
  <c r="V6389" i="5" s="1"/>
  <c r="U6306" i="5"/>
  <c r="V6306" i="5" s="1"/>
  <c r="U6282" i="5"/>
  <c r="V6282" i="5" s="1"/>
  <c r="U6260" i="5"/>
  <c r="V6260" i="5" s="1"/>
  <c r="U6257" i="5"/>
  <c r="V6257" i="5" s="1"/>
  <c r="O6469" i="5"/>
  <c r="O6327" i="5"/>
  <c r="O6415" i="5"/>
  <c r="O6463" i="5"/>
  <c r="O6389" i="5"/>
  <c r="O6282" i="5"/>
  <c r="O6306" i="5"/>
  <c r="O6269" i="5"/>
  <c r="O6410" i="5"/>
  <c r="O6257" i="5"/>
  <c r="O6455" i="5"/>
  <c r="O6401" i="5"/>
  <c r="U6103" i="5"/>
  <c r="V6103" i="5" s="1"/>
  <c r="O5794" i="5"/>
  <c r="U6022" i="5"/>
  <c r="V6022" i="5" s="1"/>
  <c r="U6013" i="5"/>
  <c r="V6013" i="5" s="1"/>
  <c r="U5792" i="5"/>
  <c r="V5792" i="5" s="1"/>
  <c r="U6062" i="5"/>
  <c r="V6062" i="5" s="1"/>
  <c r="O6238" i="5"/>
  <c r="U5755" i="5"/>
  <c r="V5755" i="5" s="1"/>
  <c r="P6239" i="5"/>
  <c r="N6239" i="5"/>
  <c r="O5866" i="5"/>
  <c r="U5840" i="5"/>
  <c r="V5840" i="5" s="1"/>
  <c r="U6052" i="5"/>
  <c r="V6052" i="5" s="1"/>
  <c r="O6079" i="5"/>
  <c r="O6247" i="5"/>
  <c r="U6247" i="5"/>
  <c r="V6247" i="5" s="1"/>
  <c r="U6234" i="5"/>
  <c r="V6234" i="5" s="1"/>
  <c r="O6246" i="5"/>
  <c r="U6246" i="5"/>
  <c r="V6246" i="5" s="1"/>
  <c r="O6099" i="5"/>
  <c r="O6243" i="5"/>
  <c r="U6243" i="5"/>
  <c r="V6243" i="5" s="1"/>
  <c r="O6244" i="5"/>
  <c r="U6244" i="5"/>
  <c r="V6244" i="5" s="1"/>
  <c r="U6223" i="5"/>
  <c r="V6223" i="5" s="1"/>
  <c r="O6235" i="5"/>
  <c r="U6235" i="5"/>
  <c r="V6235" i="5" s="1"/>
  <c r="O6231" i="5"/>
  <c r="U6231" i="5"/>
  <c r="V6231" i="5" s="1"/>
  <c r="U6230" i="5"/>
  <c r="V6230" i="5" s="1"/>
  <c r="O6229" i="5"/>
  <c r="U6229" i="5"/>
  <c r="V6229" i="5" s="1"/>
  <c r="O6228" i="5"/>
  <c r="U6228" i="5"/>
  <c r="V6228" i="5" s="1"/>
  <c r="O6227" i="5"/>
  <c r="U6227" i="5"/>
  <c r="V6227" i="5" s="1"/>
  <c r="O6226" i="5"/>
  <c r="U6226" i="5"/>
  <c r="V6226" i="5" s="1"/>
  <c r="O6225" i="5"/>
  <c r="U6225" i="5"/>
  <c r="V6225" i="5" s="1"/>
  <c r="O6221" i="5"/>
  <c r="U6221" i="5"/>
  <c r="V6221" i="5" s="1"/>
  <c r="O6220" i="5"/>
  <c r="U6220" i="5"/>
  <c r="V6220" i="5" s="1"/>
  <c r="O6218" i="5"/>
  <c r="U6218" i="5"/>
  <c r="V6218" i="5" s="1"/>
  <c r="O6128" i="5"/>
  <c r="O6217" i="5"/>
  <c r="U6217" i="5"/>
  <c r="V6217" i="5" s="1"/>
  <c r="O6216" i="5"/>
  <c r="U6216" i="5"/>
  <c r="V6216" i="5" s="1"/>
  <c r="O6213" i="5"/>
  <c r="U6213" i="5"/>
  <c r="V6213" i="5" s="1"/>
  <c r="P6212" i="5"/>
  <c r="N6212" i="5"/>
  <c r="P6210" i="5"/>
  <c r="N6210" i="5"/>
  <c r="U6101" i="5"/>
  <c r="V6101" i="5" s="1"/>
  <c r="N6132" i="5"/>
  <c r="U6132" i="5" s="1"/>
  <c r="V6132" i="5" s="1"/>
  <c r="U6129" i="5"/>
  <c r="V6129" i="5" s="1"/>
  <c r="P6207" i="5"/>
  <c r="N6207" i="5"/>
  <c r="O6206" i="5"/>
  <c r="U6206" i="5"/>
  <c r="V6206" i="5" s="1"/>
  <c r="O6203" i="5"/>
  <c r="U6203" i="5"/>
  <c r="V6203" i="5" s="1"/>
  <c r="O6202" i="5"/>
  <c r="U6202" i="5"/>
  <c r="V6202" i="5" s="1"/>
  <c r="O6199" i="5"/>
  <c r="U6199" i="5"/>
  <c r="V6199" i="5" s="1"/>
  <c r="O6196" i="5"/>
  <c r="U6196" i="5"/>
  <c r="V6196" i="5" s="1"/>
  <c r="O6193" i="5"/>
  <c r="U6193" i="5"/>
  <c r="V6193" i="5" s="1"/>
  <c r="O6192" i="5"/>
  <c r="U6192" i="5"/>
  <c r="V6192" i="5" s="1"/>
  <c r="O6190" i="5"/>
  <c r="U6190" i="5"/>
  <c r="V6190" i="5" s="1"/>
  <c r="O6189" i="5"/>
  <c r="U6189" i="5"/>
  <c r="V6189" i="5" s="1"/>
  <c r="O6187" i="5"/>
  <c r="U6187" i="5"/>
  <c r="V6187" i="5" s="1"/>
  <c r="O6182" i="5"/>
  <c r="U6182" i="5"/>
  <c r="V6182" i="5" s="1"/>
  <c r="U6175" i="5"/>
  <c r="V6175" i="5" s="1"/>
  <c r="U6133" i="5"/>
  <c r="V6133" i="5" s="1"/>
  <c r="O6180" i="5"/>
  <c r="U6180" i="5"/>
  <c r="V6180" i="5" s="1"/>
  <c r="U6131" i="5"/>
  <c r="V6131" i="5" s="1"/>
  <c r="P6178" i="5"/>
  <c r="N6178" i="5"/>
  <c r="O6175" i="5"/>
  <c r="U6174" i="5"/>
  <c r="V6174" i="5" s="1"/>
  <c r="O6172" i="5"/>
  <c r="U6172" i="5"/>
  <c r="V6172" i="5" s="1"/>
  <c r="O6171" i="5"/>
  <c r="U6171" i="5"/>
  <c r="V6171" i="5" s="1"/>
  <c r="O6169" i="5"/>
  <c r="U6169" i="5"/>
  <c r="V6169" i="5" s="1"/>
  <c r="O6170" i="5"/>
  <c r="U6170" i="5"/>
  <c r="V6170" i="5" s="1"/>
  <c r="O6130" i="5"/>
  <c r="U6130" i="5"/>
  <c r="V6130" i="5" s="1"/>
  <c r="O6163" i="5"/>
  <c r="U6163" i="5"/>
  <c r="V6163" i="5" s="1"/>
  <c r="P6159" i="5"/>
  <c r="N6159" i="5"/>
  <c r="O6158" i="5"/>
  <c r="U6158" i="5"/>
  <c r="V6158" i="5" s="1"/>
  <c r="O6157" i="5"/>
  <c r="U6157" i="5"/>
  <c r="V6157" i="5" s="1"/>
  <c r="O6103" i="5"/>
  <c r="N6136" i="5"/>
  <c r="U6136" i="5" s="1"/>
  <c r="V6136" i="5" s="1"/>
  <c r="P6152" i="5"/>
  <c r="N6152" i="5"/>
  <c r="O6104" i="5"/>
  <c r="U6104" i="5"/>
  <c r="V6104" i="5" s="1"/>
  <c r="P6144" i="5"/>
  <c r="O6144" i="5" s="1"/>
  <c r="O6147" i="5"/>
  <c r="U6147" i="5"/>
  <c r="V6147" i="5" s="1"/>
  <c r="O6145" i="5"/>
  <c r="U6145" i="5"/>
  <c r="V6145" i="5" s="1"/>
  <c r="O6143" i="5"/>
  <c r="U6143" i="5"/>
  <c r="V6143" i="5" s="1"/>
  <c r="U6124" i="5"/>
  <c r="V6124" i="5" s="1"/>
  <c r="O6062" i="5"/>
  <c r="O6141" i="5"/>
  <c r="U6141" i="5"/>
  <c r="V6141" i="5" s="1"/>
  <c r="O6140" i="5"/>
  <c r="U6140" i="5"/>
  <c r="V6140" i="5" s="1"/>
  <c r="O6138" i="5"/>
  <c r="U6138" i="5"/>
  <c r="V6138" i="5" s="1"/>
  <c r="O6139" i="5"/>
  <c r="U6139" i="5"/>
  <c r="V6139" i="5" s="1"/>
  <c r="O6134" i="5"/>
  <c r="U6134" i="5"/>
  <c r="V6134" i="5" s="1"/>
  <c r="U6125" i="5"/>
  <c r="V6125" i="5" s="1"/>
  <c r="O6126" i="5"/>
  <c r="U6126" i="5"/>
  <c r="V6126" i="5" s="1"/>
  <c r="O6123" i="5"/>
  <c r="U6123" i="5"/>
  <c r="V6123" i="5" s="1"/>
  <c r="O6115" i="5"/>
  <c r="P6121" i="5"/>
  <c r="N6121" i="5"/>
  <c r="U6116" i="5"/>
  <c r="V6116" i="5" s="1"/>
  <c r="O6118" i="5"/>
  <c r="U6118" i="5"/>
  <c r="V6118" i="5" s="1"/>
  <c r="O6117" i="5"/>
  <c r="U6117" i="5"/>
  <c r="V6117" i="5" s="1"/>
  <c r="O6114" i="5"/>
  <c r="U6114" i="5"/>
  <c r="V6114" i="5" s="1"/>
  <c r="O6105" i="5"/>
  <c r="P6111" i="5"/>
  <c r="N6111" i="5"/>
  <c r="U6105" i="5"/>
  <c r="V6105" i="5" s="1"/>
  <c r="P6109" i="5"/>
  <c r="N6109" i="5"/>
  <c r="P6107" i="5"/>
  <c r="N6107" i="5"/>
  <c r="O6086" i="5"/>
  <c r="N6089" i="5"/>
  <c r="P6089" i="5"/>
  <c r="U6077" i="5"/>
  <c r="V6077" i="5" s="1"/>
  <c r="O6088" i="5"/>
  <c r="N6091" i="5"/>
  <c r="P6091" i="5"/>
  <c r="O6090" i="5"/>
  <c r="U6090" i="5"/>
  <c r="V6090" i="5" s="1"/>
  <c r="O6074" i="5"/>
  <c r="U6079" i="5"/>
  <c r="V6079" i="5" s="1"/>
  <c r="O6085" i="5"/>
  <c r="U6085" i="5"/>
  <c r="V6085" i="5" s="1"/>
  <c r="O6082" i="5"/>
  <c r="U6082" i="5"/>
  <c r="V6082" i="5" s="1"/>
  <c r="P6081" i="5"/>
  <c r="N6081" i="5"/>
  <c r="O6080" i="5"/>
  <c r="U6080" i="5"/>
  <c r="V6080" i="5" s="1"/>
  <c r="O6078" i="5"/>
  <c r="U6078" i="5"/>
  <c r="V6078" i="5" s="1"/>
  <c r="O6075" i="5"/>
  <c r="U6075" i="5"/>
  <c r="V6075" i="5" s="1"/>
  <c r="U6046" i="5"/>
  <c r="V6046" i="5" s="1"/>
  <c r="O6070" i="5"/>
  <c r="U6070" i="5"/>
  <c r="V6070" i="5" s="1"/>
  <c r="U5901" i="5"/>
  <c r="V5901" i="5" s="1"/>
  <c r="O6048" i="5"/>
  <c r="O6069" i="5"/>
  <c r="U6069" i="5"/>
  <c r="V6069" i="5" s="1"/>
  <c r="U6047" i="5"/>
  <c r="V6047" i="5" s="1"/>
  <c r="P6066" i="5"/>
  <c r="N6066" i="5"/>
  <c r="O6064" i="5"/>
  <c r="U6064" i="5"/>
  <c r="V6064" i="5" s="1"/>
  <c r="O6056" i="5"/>
  <c r="U6056" i="5"/>
  <c r="V6056" i="5" s="1"/>
  <c r="O6046" i="5"/>
  <c r="N6053" i="5"/>
  <c r="P6053" i="5"/>
  <c r="N6059" i="5"/>
  <c r="P6059" i="5"/>
  <c r="O6060" i="5"/>
  <c r="U6060" i="5"/>
  <c r="V6060" i="5" s="1"/>
  <c r="O6054" i="5"/>
  <c r="U6054" i="5"/>
  <c r="V6054" i="5" s="1"/>
  <c r="O6040" i="5"/>
  <c r="O6049" i="5"/>
  <c r="U6049" i="5"/>
  <c r="V6049" i="5" s="1"/>
  <c r="O6052" i="5"/>
  <c r="N6042" i="5"/>
  <c r="P6042" i="5"/>
  <c r="U6039" i="5"/>
  <c r="V6039" i="5" s="1"/>
  <c r="O6045" i="5"/>
  <c r="U6045" i="5"/>
  <c r="V6045" i="5" s="1"/>
  <c r="O6013" i="5"/>
  <c r="O6022" i="5"/>
  <c r="P6038" i="5"/>
  <c r="N6038" i="5"/>
  <c r="N6025" i="5"/>
  <c r="U6025" i="5" s="1"/>
  <c r="V6025" i="5" s="1"/>
  <c r="P6036" i="5"/>
  <c r="N6036" i="5"/>
  <c r="P6033" i="5"/>
  <c r="N6033" i="5"/>
  <c r="O6030" i="5"/>
  <c r="U6030" i="5"/>
  <c r="V6030" i="5" s="1"/>
  <c r="O6031" i="5"/>
  <c r="U6031" i="5"/>
  <c r="V6031" i="5" s="1"/>
  <c r="O6032" i="5"/>
  <c r="U6032" i="5"/>
  <c r="V6032" i="5" s="1"/>
  <c r="O6027" i="5"/>
  <c r="U6027" i="5"/>
  <c r="V6027" i="5" s="1"/>
  <c r="O6024" i="5"/>
  <c r="U6024" i="5"/>
  <c r="V6024" i="5" s="1"/>
  <c r="O6026" i="5"/>
  <c r="U6026" i="5"/>
  <c r="V6026" i="5" s="1"/>
  <c r="O6016" i="5"/>
  <c r="U6011" i="5"/>
  <c r="V6011" i="5" s="1"/>
  <c r="O6020" i="5"/>
  <c r="U6020" i="5"/>
  <c r="V6020" i="5" s="1"/>
  <c r="O6021" i="5"/>
  <c r="U6021" i="5"/>
  <c r="V6021" i="5" s="1"/>
  <c r="O6010" i="5"/>
  <c r="O6012" i="5"/>
  <c r="O6011" i="5"/>
  <c r="O6017" i="5"/>
  <c r="U6017" i="5"/>
  <c r="V6017" i="5" s="1"/>
  <c r="U6012" i="5"/>
  <c r="V6012" i="5" s="1"/>
  <c r="P6007" i="5"/>
  <c r="O6007" i="5" s="1"/>
  <c r="U5998" i="5"/>
  <c r="V5998" i="5" s="1"/>
  <c r="U6000" i="5"/>
  <c r="V6000" i="5" s="1"/>
  <c r="O6006" i="5"/>
  <c r="U6006" i="5"/>
  <c r="V6006" i="5" s="1"/>
  <c r="O6001" i="5"/>
  <c r="U6001" i="5"/>
  <c r="V6001" i="5" s="1"/>
  <c r="O6002" i="5"/>
  <c r="U6002" i="5"/>
  <c r="V6002" i="5" s="1"/>
  <c r="N5856" i="5"/>
  <c r="U5856" i="5" s="1"/>
  <c r="V5856" i="5" s="1"/>
  <c r="N5997" i="5"/>
  <c r="O5997" i="5" s="1"/>
  <c r="O5995" i="5"/>
  <c r="U5995" i="5"/>
  <c r="V5995" i="5" s="1"/>
  <c r="O5996" i="5"/>
  <c r="U5996" i="5"/>
  <c r="V5996" i="5" s="1"/>
  <c r="O5993" i="5"/>
  <c r="U5993" i="5"/>
  <c r="V5993" i="5" s="1"/>
  <c r="O5994" i="5"/>
  <c r="U5994" i="5"/>
  <c r="V5994" i="5" s="1"/>
  <c r="U5974" i="5"/>
  <c r="V5974" i="5" s="1"/>
  <c r="N5979" i="5"/>
  <c r="O5979" i="5" s="1"/>
  <c r="O5989" i="5"/>
  <c r="U5989" i="5"/>
  <c r="V5989" i="5" s="1"/>
  <c r="O5985" i="5"/>
  <c r="U5985" i="5"/>
  <c r="V5985" i="5" s="1"/>
  <c r="O5982" i="5"/>
  <c r="U5982" i="5"/>
  <c r="V5982" i="5" s="1"/>
  <c r="O5977" i="5"/>
  <c r="U5977" i="5"/>
  <c r="V5977" i="5" s="1"/>
  <c r="O5978" i="5"/>
  <c r="U5978" i="5"/>
  <c r="V5978" i="5" s="1"/>
  <c r="P5972" i="5"/>
  <c r="N5972" i="5"/>
  <c r="P5970" i="5"/>
  <c r="N5970" i="5"/>
  <c r="O5968" i="5"/>
  <c r="U5968" i="5"/>
  <c r="V5968" i="5" s="1"/>
  <c r="O5967" i="5"/>
  <c r="U5967" i="5"/>
  <c r="V5967" i="5" s="1"/>
  <c r="O5966" i="5"/>
  <c r="U5966" i="5"/>
  <c r="V5966" i="5" s="1"/>
  <c r="O5965" i="5"/>
  <c r="U5965" i="5"/>
  <c r="V5965" i="5" s="1"/>
  <c r="O5961" i="5"/>
  <c r="U5961" i="5"/>
  <c r="V5961" i="5" s="1"/>
  <c r="O5962" i="5"/>
  <c r="U5962" i="5"/>
  <c r="V5962" i="5" s="1"/>
  <c r="U5949" i="5"/>
  <c r="V5949" i="5" s="1"/>
  <c r="N5959" i="5"/>
  <c r="P5959" i="5"/>
  <c r="O5958" i="5"/>
  <c r="U5958" i="5"/>
  <c r="V5958" i="5" s="1"/>
  <c r="P5946" i="5"/>
  <c r="N5946" i="5"/>
  <c r="O5954" i="5"/>
  <c r="U5954" i="5"/>
  <c r="V5954" i="5" s="1"/>
  <c r="O5950" i="5"/>
  <c r="U5950" i="5"/>
  <c r="V5950" i="5" s="1"/>
  <c r="O5925" i="5"/>
  <c r="O5947" i="5"/>
  <c r="U5947" i="5"/>
  <c r="V5947" i="5" s="1"/>
  <c r="N5943" i="5"/>
  <c r="P5943" i="5"/>
  <c r="U5934" i="5"/>
  <c r="V5934" i="5" s="1"/>
  <c r="O5941" i="5"/>
  <c r="U5941" i="5"/>
  <c r="V5941" i="5" s="1"/>
  <c r="O5942" i="5"/>
  <c r="U5942" i="5"/>
  <c r="V5942" i="5" s="1"/>
  <c r="N5936" i="5"/>
  <c r="P5936" i="5"/>
  <c r="O5937" i="5"/>
  <c r="U5937" i="5"/>
  <c r="V5937" i="5" s="1"/>
  <c r="U5927" i="5"/>
  <c r="V5927" i="5" s="1"/>
  <c r="U5925" i="5"/>
  <c r="V5925" i="5" s="1"/>
  <c r="P5931" i="5"/>
  <c r="N5931" i="5"/>
  <c r="O5932" i="5"/>
  <c r="U5932" i="5"/>
  <c r="V5932" i="5" s="1"/>
  <c r="N5920" i="5"/>
  <c r="O5920" i="5" s="1"/>
  <c r="P5928" i="5"/>
  <c r="N5928" i="5"/>
  <c r="O5929" i="5"/>
  <c r="U5929" i="5"/>
  <c r="V5929" i="5" s="1"/>
  <c r="N5921" i="5"/>
  <c r="U5921" i="5" s="1"/>
  <c r="V5921" i="5" s="1"/>
  <c r="N5910" i="5"/>
  <c r="O5910" i="5" s="1"/>
  <c r="O5926" i="5"/>
  <c r="U5926" i="5"/>
  <c r="V5926" i="5" s="1"/>
  <c r="O5923" i="5"/>
  <c r="U5923" i="5"/>
  <c r="V5923" i="5" s="1"/>
  <c r="N5912" i="5"/>
  <c r="U5912" i="5" s="1"/>
  <c r="V5912" i="5" s="1"/>
  <c r="P5808" i="5"/>
  <c r="O5808" i="5" s="1"/>
  <c r="P5918" i="5"/>
  <c r="N5918" i="5"/>
  <c r="N5914" i="5"/>
  <c r="P5914" i="5"/>
  <c r="N5905" i="5"/>
  <c r="O5905" i="5" s="1"/>
  <c r="O5916" i="5"/>
  <c r="U5916" i="5"/>
  <c r="V5916" i="5" s="1"/>
  <c r="P5908" i="5"/>
  <c r="N5908" i="5"/>
  <c r="O5876" i="5"/>
  <c r="O5906" i="5"/>
  <c r="U5906" i="5"/>
  <c r="V5906" i="5" s="1"/>
  <c r="O5903" i="5"/>
  <c r="U5903" i="5"/>
  <c r="V5903" i="5" s="1"/>
  <c r="O5904" i="5"/>
  <c r="U5904" i="5"/>
  <c r="V5904" i="5" s="1"/>
  <c r="P5896" i="5"/>
  <c r="N5896" i="5"/>
  <c r="O5894" i="5"/>
  <c r="U5894" i="5"/>
  <c r="V5894" i="5" s="1"/>
  <c r="O5892" i="5"/>
  <c r="U5892" i="5"/>
  <c r="V5892" i="5" s="1"/>
  <c r="N5888" i="5"/>
  <c r="P5888" i="5"/>
  <c r="O5889" i="5"/>
  <c r="U5889" i="5"/>
  <c r="V5889" i="5" s="1"/>
  <c r="O5886" i="5"/>
  <c r="U5886" i="5"/>
  <c r="V5886" i="5" s="1"/>
  <c r="O5885" i="5"/>
  <c r="U5885" i="5"/>
  <c r="V5885" i="5" s="1"/>
  <c r="U5877" i="5"/>
  <c r="V5877" i="5" s="1"/>
  <c r="O5881" i="5"/>
  <c r="U5881" i="5"/>
  <c r="V5881" i="5" s="1"/>
  <c r="O5880" i="5"/>
  <c r="U5880" i="5"/>
  <c r="V5880" i="5" s="1"/>
  <c r="O5878" i="5"/>
  <c r="U5878" i="5"/>
  <c r="V5878" i="5" s="1"/>
  <c r="N5875" i="5"/>
  <c r="P5875" i="5"/>
  <c r="P5873" i="5"/>
  <c r="N5873" i="5"/>
  <c r="O5871" i="5"/>
  <c r="U5871" i="5"/>
  <c r="V5871" i="5" s="1"/>
  <c r="O5870" i="5"/>
  <c r="U5870" i="5"/>
  <c r="V5870" i="5" s="1"/>
  <c r="U5854" i="5"/>
  <c r="V5854" i="5" s="1"/>
  <c r="U5866" i="5"/>
  <c r="V5866" i="5" s="1"/>
  <c r="O5869" i="5"/>
  <c r="U5869" i="5"/>
  <c r="V5869" i="5" s="1"/>
  <c r="O5868" i="5"/>
  <c r="U5868" i="5"/>
  <c r="V5868" i="5" s="1"/>
  <c r="O5867" i="5"/>
  <c r="U5867" i="5"/>
  <c r="V5867" i="5" s="1"/>
  <c r="U5861" i="5"/>
  <c r="V5861" i="5" s="1"/>
  <c r="O5859" i="5"/>
  <c r="U5859" i="5"/>
  <c r="V5859" i="5" s="1"/>
  <c r="O5860" i="5"/>
  <c r="U5860" i="5"/>
  <c r="V5860" i="5" s="1"/>
  <c r="U5839" i="5"/>
  <c r="V5839" i="5" s="1"/>
  <c r="U5852" i="5"/>
  <c r="V5852" i="5" s="1"/>
  <c r="O5857" i="5"/>
  <c r="U5857" i="5"/>
  <c r="V5857" i="5" s="1"/>
  <c r="O5852" i="5"/>
  <c r="O5840" i="5"/>
  <c r="O5850" i="5"/>
  <c r="U5850" i="5"/>
  <c r="V5850" i="5" s="1"/>
  <c r="U5828" i="5"/>
  <c r="V5828" i="5" s="1"/>
  <c r="P5838" i="5"/>
  <c r="O5838" i="5" s="1"/>
  <c r="P5844" i="5"/>
  <c r="N5844" i="5"/>
  <c r="O5843" i="5"/>
  <c r="U5843" i="5"/>
  <c r="V5843" i="5" s="1"/>
  <c r="O5841" i="5"/>
  <c r="U5841" i="5"/>
  <c r="V5841" i="5" s="1"/>
  <c r="O5842" i="5"/>
  <c r="U5842" i="5"/>
  <c r="V5842" i="5" s="1"/>
  <c r="O5818" i="5"/>
  <c r="U5824" i="5"/>
  <c r="V5824" i="5" s="1"/>
  <c r="O5835" i="5"/>
  <c r="U5835" i="5"/>
  <c r="V5835" i="5" s="1"/>
  <c r="O5834" i="5"/>
  <c r="U5834" i="5"/>
  <c r="V5834" i="5" s="1"/>
  <c r="O5829" i="5"/>
  <c r="U5829" i="5"/>
  <c r="V5829" i="5" s="1"/>
  <c r="O5831" i="5"/>
  <c r="U5831" i="5"/>
  <c r="V5831" i="5" s="1"/>
  <c r="P5830" i="5"/>
  <c r="N5830" i="5"/>
  <c r="O5826" i="5"/>
  <c r="U5826" i="5"/>
  <c r="V5826" i="5" s="1"/>
  <c r="O5814" i="5"/>
  <c r="P5819" i="5"/>
  <c r="N5819" i="5"/>
  <c r="O5823" i="5"/>
  <c r="U5823" i="5"/>
  <c r="V5823" i="5" s="1"/>
  <c r="U5814" i="5"/>
  <c r="V5814" i="5" s="1"/>
  <c r="O5816" i="5"/>
  <c r="U5816" i="5"/>
  <c r="V5816" i="5" s="1"/>
  <c r="N5812" i="5"/>
  <c r="P5812" i="5"/>
  <c r="U5807" i="5"/>
  <c r="V5807" i="5" s="1"/>
  <c r="P5804" i="5"/>
  <c r="N5804" i="5"/>
  <c r="O5803" i="5"/>
  <c r="U5803" i="5"/>
  <c r="V5803" i="5" s="1"/>
  <c r="N5796" i="5"/>
  <c r="O5796" i="5" s="1"/>
  <c r="N5799" i="5"/>
  <c r="O5799" i="5" s="1"/>
  <c r="O5802" i="5"/>
  <c r="U5802" i="5"/>
  <c r="V5802" i="5" s="1"/>
  <c r="U5800" i="5"/>
  <c r="V5800" i="5" s="1"/>
  <c r="U5794" i="5"/>
  <c r="V5794" i="5" s="1"/>
  <c r="O5798" i="5"/>
  <c r="U5798" i="5"/>
  <c r="V5798" i="5" s="1"/>
  <c r="O5797" i="5"/>
  <c r="U5797" i="5"/>
  <c r="V5797" i="5" s="1"/>
  <c r="O5792" i="5"/>
  <c r="O5723" i="5"/>
  <c r="O5788" i="5"/>
  <c r="U5788" i="5"/>
  <c r="V5788" i="5" s="1"/>
  <c r="O5785" i="5"/>
  <c r="O5779" i="5"/>
  <c r="U5784" i="5"/>
  <c r="V5784" i="5" s="1"/>
  <c r="O5786" i="5"/>
  <c r="U5786" i="5"/>
  <c r="V5786" i="5" s="1"/>
  <c r="U5777" i="5"/>
  <c r="V5777" i="5" s="1"/>
  <c r="O5777" i="5"/>
  <c r="P5782" i="5"/>
  <c r="N5782" i="5"/>
  <c r="O5756" i="5"/>
  <c r="O5776" i="5"/>
  <c r="U5776" i="5"/>
  <c r="V5776" i="5" s="1"/>
  <c r="P5772" i="5"/>
  <c r="N5772" i="5"/>
  <c r="O5773" i="5"/>
  <c r="U5773" i="5"/>
  <c r="V5773" i="5" s="1"/>
  <c r="U5771" i="5"/>
  <c r="V5771" i="5" s="1"/>
  <c r="O5753" i="5"/>
  <c r="O5770" i="5"/>
  <c r="U5770" i="5"/>
  <c r="V5770" i="5" s="1"/>
  <c r="O5767" i="5"/>
  <c r="U5767" i="5"/>
  <c r="V5767" i="5" s="1"/>
  <c r="N5763" i="5"/>
  <c r="O5763" i="5" s="1"/>
  <c r="O5759" i="5"/>
  <c r="O5761" i="5"/>
  <c r="U5761" i="5"/>
  <c r="V5761" i="5" s="1"/>
  <c r="O5762" i="5"/>
  <c r="U5762" i="5"/>
  <c r="V5762" i="5" s="1"/>
  <c r="U5670" i="5"/>
  <c r="V5670" i="5" s="1"/>
  <c r="O5755" i="5"/>
  <c r="O5697" i="5"/>
  <c r="O5719" i="5"/>
  <c r="O5752" i="5"/>
  <c r="U5752" i="5"/>
  <c r="V5752" i="5" s="1"/>
  <c r="O5745" i="5"/>
  <c r="O5748" i="5"/>
  <c r="U5748" i="5"/>
  <c r="V5748" i="5" s="1"/>
  <c r="O5749" i="5"/>
  <c r="U5749" i="5"/>
  <c r="V5749" i="5" s="1"/>
  <c r="P5744" i="5"/>
  <c r="N5744" i="5"/>
  <c r="O5743" i="5"/>
  <c r="U5743" i="5"/>
  <c r="V5743" i="5" s="1"/>
  <c r="U5691" i="5"/>
  <c r="V5691" i="5" s="1"/>
  <c r="U5707" i="5"/>
  <c r="V5707" i="5" s="1"/>
  <c r="U5709" i="5"/>
  <c r="V5709" i="5" s="1"/>
  <c r="U5720" i="5"/>
  <c r="V5720" i="5" s="1"/>
  <c r="U5741" i="5"/>
  <c r="V5741" i="5" s="1"/>
  <c r="U5718" i="5"/>
  <c r="V5718" i="5" s="1"/>
  <c r="U5725" i="5"/>
  <c r="V5725" i="5" s="1"/>
  <c r="P5700" i="5"/>
  <c r="U5700" i="5" s="1"/>
  <c r="V5700" i="5" s="1"/>
  <c r="O5734" i="5"/>
  <c r="U5701" i="5"/>
  <c r="V5701" i="5" s="1"/>
  <c r="O5709" i="5"/>
  <c r="O5687" i="5"/>
  <c r="N5724" i="5"/>
  <c r="U5724" i="5" s="1"/>
  <c r="V5724" i="5" s="1"/>
  <c r="U5740" i="5"/>
  <c r="V5740" i="5" s="1"/>
  <c r="O5733" i="5"/>
  <c r="O5705" i="5"/>
  <c r="U5705" i="5"/>
  <c r="V5705" i="5" s="1"/>
  <c r="O5708" i="5"/>
  <c r="U5708" i="5"/>
  <c r="V5708" i="5" s="1"/>
  <c r="P5684" i="5"/>
  <c r="N5684" i="5"/>
  <c r="O5735" i="5"/>
  <c r="U5735" i="5"/>
  <c r="V5735" i="5" s="1"/>
  <c r="O5689" i="5"/>
  <c r="U5689" i="5"/>
  <c r="V5689" i="5" s="1"/>
  <c r="U5618" i="5"/>
  <c r="V5618" i="5" s="1"/>
  <c r="O5693" i="5"/>
  <c r="U5693" i="5"/>
  <c r="V5693" i="5" s="1"/>
  <c r="O5728" i="5"/>
  <c r="U5728" i="5"/>
  <c r="V5728" i="5" s="1"/>
  <c r="O5690" i="5"/>
  <c r="U5690" i="5"/>
  <c r="V5690" i="5" s="1"/>
  <c r="P5717" i="5"/>
  <c r="N5717" i="5"/>
  <c r="O5742" i="5"/>
  <c r="U5742" i="5"/>
  <c r="V5742" i="5" s="1"/>
  <c r="O5692" i="5"/>
  <c r="U5692" i="5"/>
  <c r="V5692" i="5" s="1"/>
  <c r="O5704" i="5"/>
  <c r="U5704" i="5"/>
  <c r="V5704" i="5" s="1"/>
  <c r="O5688" i="5"/>
  <c r="U5688" i="5"/>
  <c r="V5688" i="5" s="1"/>
  <c r="O5685" i="5"/>
  <c r="U5685" i="5"/>
  <c r="V5685" i="5" s="1"/>
  <c r="U5671" i="5"/>
  <c r="V5671" i="5" s="1"/>
  <c r="O5683" i="5"/>
  <c r="U5683" i="5"/>
  <c r="V5683" i="5" s="1"/>
  <c r="U5681" i="5"/>
  <c r="V5681" i="5" s="1"/>
  <c r="O5681" i="5"/>
  <c r="O5677" i="5"/>
  <c r="U5677" i="5"/>
  <c r="V5677" i="5" s="1"/>
  <c r="U5654" i="5"/>
  <c r="V5654" i="5" s="1"/>
  <c r="O5678" i="5"/>
  <c r="U5678" i="5"/>
  <c r="V5678" i="5" s="1"/>
  <c r="O5676" i="5"/>
  <c r="U5676" i="5"/>
  <c r="V5676" i="5" s="1"/>
  <c r="O5675" i="5"/>
  <c r="U5675" i="5"/>
  <c r="V5675" i="5" s="1"/>
  <c r="N5668" i="5"/>
  <c r="P5668" i="5"/>
  <c r="N5652" i="5"/>
  <c r="O5664" i="5"/>
  <c r="U5664" i="5"/>
  <c r="V5664" i="5" s="1"/>
  <c r="O5665" i="5"/>
  <c r="U5665" i="5"/>
  <c r="V5665" i="5" s="1"/>
  <c r="O5653" i="5"/>
  <c r="U5653" i="5"/>
  <c r="V5653" i="5" s="1"/>
  <c r="O5655" i="5"/>
  <c r="U5655" i="5"/>
  <c r="V5655" i="5" s="1"/>
  <c r="O5650" i="5"/>
  <c r="U5650" i="5"/>
  <c r="V5650" i="5" s="1"/>
  <c r="O5649" i="5"/>
  <c r="U5649" i="5"/>
  <c r="V5649" i="5" s="1"/>
  <c r="N5643" i="5"/>
  <c r="P5643" i="5"/>
  <c r="O5645" i="5"/>
  <c r="U5645" i="5"/>
  <c r="V5645" i="5" s="1"/>
  <c r="P5640" i="5"/>
  <c r="N5640" i="5"/>
  <c r="O5618" i="5"/>
  <c r="O5638" i="5"/>
  <c r="U5638" i="5"/>
  <c r="V5638" i="5" s="1"/>
  <c r="O5637" i="5"/>
  <c r="U5637" i="5"/>
  <c r="V5637" i="5" s="1"/>
  <c r="O5636" i="5"/>
  <c r="U5636" i="5"/>
  <c r="V5636" i="5" s="1"/>
  <c r="O5634" i="5"/>
  <c r="U5634" i="5"/>
  <c r="V5634" i="5" s="1"/>
  <c r="O5632" i="5"/>
  <c r="U5632" i="5"/>
  <c r="V5632" i="5" s="1"/>
  <c r="O5630" i="5"/>
  <c r="U5630" i="5"/>
  <c r="V5630" i="5" s="1"/>
  <c r="U5608" i="5"/>
  <c r="V5608" i="5" s="1"/>
  <c r="U5605" i="5"/>
  <c r="V5605" i="5" s="1"/>
  <c r="U5595" i="5"/>
  <c r="V5595" i="5" s="1"/>
  <c r="O5625" i="5"/>
  <c r="U5625" i="5"/>
  <c r="V5625" i="5" s="1"/>
  <c r="O5624" i="5"/>
  <c r="U5624" i="5"/>
  <c r="V5624" i="5" s="1"/>
  <c r="O5622" i="5"/>
  <c r="U5622" i="5"/>
  <c r="V5622" i="5" s="1"/>
  <c r="P5616" i="5"/>
  <c r="N5616" i="5"/>
  <c r="O5620" i="5"/>
  <c r="U5620" i="5"/>
  <c r="V5620" i="5" s="1"/>
  <c r="O5614" i="5"/>
  <c r="U5601" i="5"/>
  <c r="V5601" i="5" s="1"/>
  <c r="U5610" i="5"/>
  <c r="V5610" i="5" s="1"/>
  <c r="O5610" i="5"/>
  <c r="O5609" i="5"/>
  <c r="U5609" i="5"/>
  <c r="V5609" i="5" s="1"/>
  <c r="O5612" i="5"/>
  <c r="U5612" i="5"/>
  <c r="V5612" i="5" s="1"/>
  <c r="O5615" i="5"/>
  <c r="U5615" i="5"/>
  <c r="V5615" i="5" s="1"/>
  <c r="O5607" i="5"/>
  <c r="U5607" i="5"/>
  <c r="V5607" i="5" s="1"/>
  <c r="N5599" i="5"/>
  <c r="P5599" i="5"/>
  <c r="O5597" i="5"/>
  <c r="U5597" i="5"/>
  <c r="V5597" i="5" s="1"/>
  <c r="O5603" i="5"/>
  <c r="U5603" i="5"/>
  <c r="V5603" i="5" s="1"/>
  <c r="O5602" i="5"/>
  <c r="U5602" i="5"/>
  <c r="V5602" i="5" s="1"/>
  <c r="P5596" i="5"/>
  <c r="N5596" i="5"/>
  <c r="O5594" i="5"/>
  <c r="U5594" i="5"/>
  <c r="V5594" i="5" s="1"/>
  <c r="O5593" i="5"/>
  <c r="U5593" i="5"/>
  <c r="V5593" i="5" s="1"/>
  <c r="O6239" i="5" l="1"/>
  <c r="U6239" i="5"/>
  <c r="V6239" i="5" s="1"/>
  <c r="O6132" i="5"/>
  <c r="O6212" i="5"/>
  <c r="U6212" i="5"/>
  <c r="V6212" i="5" s="1"/>
  <c r="O6210" i="5"/>
  <c r="U6210" i="5"/>
  <c r="V6210" i="5" s="1"/>
  <c r="O6207" i="5"/>
  <c r="U6207" i="5"/>
  <c r="V6207" i="5" s="1"/>
  <c r="O6178" i="5"/>
  <c r="U6178" i="5"/>
  <c r="V6178" i="5" s="1"/>
  <c r="O6159" i="5"/>
  <c r="U6159" i="5"/>
  <c r="V6159" i="5" s="1"/>
  <c r="O6136" i="5"/>
  <c r="O6152" i="5"/>
  <c r="U6152" i="5"/>
  <c r="V6152" i="5" s="1"/>
  <c r="U6144" i="5"/>
  <c r="V6144" i="5" s="1"/>
  <c r="O6121" i="5"/>
  <c r="U6121" i="5"/>
  <c r="V6121" i="5" s="1"/>
  <c r="O6111" i="5"/>
  <c r="U6111" i="5"/>
  <c r="V6111" i="5" s="1"/>
  <c r="O6109" i="5"/>
  <c r="U6109" i="5"/>
  <c r="V6109" i="5" s="1"/>
  <c r="O6107" i="5"/>
  <c r="U6107" i="5"/>
  <c r="V6107" i="5" s="1"/>
  <c r="O6091" i="5"/>
  <c r="U6091" i="5"/>
  <c r="V6091" i="5" s="1"/>
  <c r="O6089" i="5"/>
  <c r="U6089" i="5"/>
  <c r="V6089" i="5" s="1"/>
  <c r="O6081" i="5"/>
  <c r="U6081" i="5"/>
  <c r="V6081" i="5" s="1"/>
  <c r="O6066" i="5"/>
  <c r="U6066" i="5"/>
  <c r="V6066" i="5" s="1"/>
  <c r="U5920" i="5"/>
  <c r="V5920" i="5" s="1"/>
  <c r="O6059" i="5"/>
  <c r="U6059" i="5"/>
  <c r="V6059" i="5" s="1"/>
  <c r="O6053" i="5"/>
  <c r="U6053" i="5"/>
  <c r="V6053" i="5" s="1"/>
  <c r="O6042" i="5"/>
  <c r="U6042" i="5"/>
  <c r="V6042" i="5" s="1"/>
  <c r="O6025" i="5"/>
  <c r="O6038" i="5"/>
  <c r="U6038" i="5"/>
  <c r="V6038" i="5" s="1"/>
  <c r="O6036" i="5"/>
  <c r="U6036" i="5"/>
  <c r="V6036" i="5" s="1"/>
  <c r="O6033" i="5"/>
  <c r="U6033" i="5"/>
  <c r="V6033" i="5" s="1"/>
  <c r="O5856" i="5"/>
  <c r="U6007" i="5"/>
  <c r="V6007" i="5" s="1"/>
  <c r="U5997" i="5"/>
  <c r="V5997" i="5" s="1"/>
  <c r="U5979" i="5"/>
  <c r="V5979" i="5" s="1"/>
  <c r="O5972" i="5"/>
  <c r="U5972" i="5"/>
  <c r="V5972" i="5" s="1"/>
  <c r="O5970" i="5"/>
  <c r="U5970" i="5"/>
  <c r="V5970" i="5" s="1"/>
  <c r="O5959" i="5"/>
  <c r="U5959" i="5"/>
  <c r="V5959" i="5" s="1"/>
  <c r="O5946" i="5"/>
  <c r="U5946" i="5"/>
  <c r="V5946" i="5" s="1"/>
  <c r="O5943" i="5"/>
  <c r="U5943" i="5"/>
  <c r="V5943" i="5" s="1"/>
  <c r="O5936" i="5"/>
  <c r="U5936" i="5"/>
  <c r="V5936" i="5" s="1"/>
  <c r="U5910" i="5"/>
  <c r="V5910" i="5" s="1"/>
  <c r="O5931" i="5"/>
  <c r="U5931" i="5"/>
  <c r="V5931" i="5" s="1"/>
  <c r="O5921" i="5"/>
  <c r="O5928" i="5"/>
  <c r="U5928" i="5"/>
  <c r="V5928" i="5" s="1"/>
  <c r="U5808" i="5"/>
  <c r="V5808" i="5" s="1"/>
  <c r="O5912" i="5"/>
  <c r="U5905" i="5"/>
  <c r="V5905" i="5" s="1"/>
  <c r="O5918" i="5"/>
  <c r="U5918" i="5"/>
  <c r="V5918" i="5" s="1"/>
  <c r="U5914" i="5"/>
  <c r="V5914" i="5" s="1"/>
  <c r="O5914" i="5"/>
  <c r="O5908" i="5"/>
  <c r="U5908" i="5"/>
  <c r="V5908" i="5" s="1"/>
  <c r="O5896" i="5"/>
  <c r="U5896" i="5"/>
  <c r="V5896" i="5" s="1"/>
  <c r="O5888" i="5"/>
  <c r="U5888" i="5"/>
  <c r="V5888" i="5" s="1"/>
  <c r="U5875" i="5"/>
  <c r="V5875" i="5" s="1"/>
  <c r="O5875" i="5"/>
  <c r="O5873" i="5"/>
  <c r="U5873" i="5"/>
  <c r="V5873" i="5" s="1"/>
  <c r="O5724" i="5"/>
  <c r="U5838" i="5"/>
  <c r="V5838" i="5" s="1"/>
  <c r="O5844" i="5"/>
  <c r="U5844" i="5"/>
  <c r="V5844" i="5" s="1"/>
  <c r="O5830" i="5"/>
  <c r="U5830" i="5"/>
  <c r="V5830" i="5" s="1"/>
  <c r="O5819" i="5"/>
  <c r="U5819" i="5"/>
  <c r="V5819" i="5" s="1"/>
  <c r="O5812" i="5"/>
  <c r="U5812" i="5"/>
  <c r="V5812" i="5" s="1"/>
  <c r="U5799" i="5"/>
  <c r="V5799" i="5" s="1"/>
  <c r="O5804" i="5"/>
  <c r="U5804" i="5"/>
  <c r="V5804" i="5" s="1"/>
  <c r="U5796" i="5"/>
  <c r="V5796" i="5" s="1"/>
  <c r="O5782" i="5"/>
  <c r="U5782" i="5"/>
  <c r="V5782" i="5" s="1"/>
  <c r="U5772" i="5"/>
  <c r="V5772" i="5" s="1"/>
  <c r="O5772" i="5"/>
  <c r="U5763" i="5"/>
  <c r="V5763" i="5" s="1"/>
  <c r="O5744" i="5"/>
  <c r="U5744" i="5"/>
  <c r="V5744" i="5" s="1"/>
  <c r="O5700" i="5"/>
  <c r="U5684" i="5"/>
  <c r="V5684" i="5" s="1"/>
  <c r="O5684" i="5"/>
  <c r="U5717" i="5"/>
  <c r="V5717" i="5" s="1"/>
  <c r="O5717" i="5"/>
  <c r="O5668" i="5"/>
  <c r="U5668" i="5"/>
  <c r="V5668" i="5" s="1"/>
  <c r="U5652" i="5"/>
  <c r="V5652" i="5" s="1"/>
  <c r="O5652" i="5"/>
  <c r="O5643" i="5"/>
  <c r="U5643" i="5"/>
  <c r="V5643" i="5" s="1"/>
  <c r="O5640" i="5"/>
  <c r="U5640" i="5"/>
  <c r="V5640" i="5" s="1"/>
  <c r="U5616" i="5"/>
  <c r="V5616" i="5" s="1"/>
  <c r="O5616" i="5"/>
  <c r="U5599" i="5"/>
  <c r="V5599" i="5" s="1"/>
  <c r="O5599" i="5"/>
  <c r="O5596" i="5"/>
  <c r="U5596" i="5"/>
  <c r="V5596" i="5" s="1"/>
  <c r="B5591" i="5"/>
  <c r="Q5591" i="5" s="1"/>
  <c r="J5591" i="5"/>
  <c r="K5591" i="5" s="1"/>
  <c r="T5591" i="5"/>
  <c r="B5588" i="5"/>
  <c r="Q5588" i="5" s="1"/>
  <c r="B5589" i="5"/>
  <c r="M5589" i="5" s="1"/>
  <c r="B5590" i="5"/>
  <c r="M5590" i="5" s="1"/>
  <c r="J5588" i="5"/>
  <c r="K5588" i="5" s="1"/>
  <c r="L5588" i="5" s="1"/>
  <c r="J5589" i="5"/>
  <c r="K5589" i="5" s="1"/>
  <c r="J5590" i="5"/>
  <c r="K5590" i="5" s="1"/>
  <c r="L5590" i="5" s="1"/>
  <c r="T5588" i="5"/>
  <c r="T5589" i="5"/>
  <c r="T5590" i="5"/>
  <c r="B5586" i="5"/>
  <c r="Q5586" i="5" s="1"/>
  <c r="B5587" i="5"/>
  <c r="Q5587" i="5" s="1"/>
  <c r="J5586" i="5"/>
  <c r="K5586" i="5" s="1"/>
  <c r="J5587" i="5"/>
  <c r="K5587" i="5" s="1"/>
  <c r="T5586" i="5"/>
  <c r="T5587" i="5"/>
  <c r="B5584" i="5"/>
  <c r="M5584" i="5" s="1"/>
  <c r="B5585" i="5"/>
  <c r="M5585" i="5" s="1"/>
  <c r="J5584" i="5"/>
  <c r="K5584" i="5" s="1"/>
  <c r="L5584" i="5" s="1"/>
  <c r="J5585" i="5"/>
  <c r="K5585" i="5" s="1"/>
  <c r="L5585" i="5" s="1"/>
  <c r="T5584" i="5"/>
  <c r="T5585" i="5"/>
  <c r="B5582" i="5"/>
  <c r="Q5582" i="5" s="1"/>
  <c r="B5583" i="5"/>
  <c r="Q5583" i="5" s="1"/>
  <c r="J5582" i="5"/>
  <c r="K5582" i="5" s="1"/>
  <c r="J5583" i="5"/>
  <c r="K5583" i="5" s="1"/>
  <c r="T5582" i="5"/>
  <c r="T5583" i="5"/>
  <c r="B5581" i="5"/>
  <c r="M5581" i="5" s="1"/>
  <c r="J5581" i="5"/>
  <c r="K5581" i="5" s="1"/>
  <c r="T5581" i="5"/>
  <c r="B5577" i="5"/>
  <c r="M5577" i="5" s="1"/>
  <c r="B5578" i="5"/>
  <c r="Q5578" i="5" s="1"/>
  <c r="B5579" i="5"/>
  <c r="Q5579" i="5" s="1"/>
  <c r="B5580" i="5"/>
  <c r="M5580" i="5" s="1"/>
  <c r="J5577" i="5"/>
  <c r="J5578" i="5"/>
  <c r="J5579" i="5"/>
  <c r="K5579" i="5" s="1"/>
  <c r="L5579" i="5" s="1"/>
  <c r="J5580" i="5"/>
  <c r="K5580" i="5" s="1"/>
  <c r="L5580" i="5" s="1"/>
  <c r="T5577" i="5"/>
  <c r="T5578" i="5"/>
  <c r="T5579" i="5"/>
  <c r="T5580" i="5"/>
  <c r="B5575" i="5"/>
  <c r="M5575" i="5" s="1"/>
  <c r="B5576" i="5"/>
  <c r="Q5576" i="5" s="1"/>
  <c r="J5575" i="5"/>
  <c r="K5575" i="5" s="1"/>
  <c r="J5576" i="5"/>
  <c r="K5576" i="5" s="1"/>
  <c r="T5575" i="5"/>
  <c r="T5576" i="5"/>
  <c r="B5573" i="5"/>
  <c r="M5573" i="5" s="1"/>
  <c r="B5574" i="5"/>
  <c r="M5574" i="5" s="1"/>
  <c r="J5573" i="5"/>
  <c r="K5573" i="5" s="1"/>
  <c r="L5573" i="5" s="1"/>
  <c r="J5574" i="5"/>
  <c r="K5574" i="5" s="1"/>
  <c r="T5573" i="5"/>
  <c r="T5574" i="5"/>
  <c r="B5570" i="5"/>
  <c r="Q5570" i="5" s="1"/>
  <c r="B5571" i="5"/>
  <c r="Q5571" i="5" s="1"/>
  <c r="B5572" i="5"/>
  <c r="Q5572" i="5" s="1"/>
  <c r="J5570" i="5"/>
  <c r="K5570" i="5" s="1"/>
  <c r="L5570" i="5" s="1"/>
  <c r="J5571" i="5"/>
  <c r="K5571" i="5" s="1"/>
  <c r="J5572" i="5"/>
  <c r="K5572" i="5" s="1"/>
  <c r="T5570" i="5"/>
  <c r="T5571" i="5"/>
  <c r="T5572" i="5"/>
  <c r="B5569" i="5"/>
  <c r="Q5569" i="5" s="1"/>
  <c r="J5569" i="5"/>
  <c r="K5569" i="5" s="1"/>
  <c r="T5569" i="5"/>
  <c r="B5567" i="5"/>
  <c r="M5567" i="5" s="1"/>
  <c r="B5568" i="5"/>
  <c r="M5568" i="5" s="1"/>
  <c r="J5567" i="5"/>
  <c r="K5567" i="5" s="1"/>
  <c r="L5567" i="5" s="1"/>
  <c r="J5568" i="5"/>
  <c r="T5567" i="5"/>
  <c r="T5568" i="5"/>
  <c r="B5566" i="5"/>
  <c r="Q5566" i="5" s="1"/>
  <c r="J5566" i="5"/>
  <c r="K5566" i="5" s="1"/>
  <c r="T5566" i="5"/>
  <c r="B5565" i="5"/>
  <c r="Q5565" i="5" s="1"/>
  <c r="J5565" i="5"/>
  <c r="K5565" i="5" s="1"/>
  <c r="T5565" i="5"/>
  <c r="B5564" i="5"/>
  <c r="M5564" i="5" s="1"/>
  <c r="J5564" i="5"/>
  <c r="K5564" i="5" s="1"/>
  <c r="T5564" i="5"/>
  <c r="B5563" i="5"/>
  <c r="Q5563" i="5" s="1"/>
  <c r="J5563" i="5"/>
  <c r="K5563" i="5" s="1"/>
  <c r="L5563" i="5" s="1"/>
  <c r="P5563" i="5" s="1"/>
  <c r="T5563" i="5"/>
  <c r="B5562" i="5"/>
  <c r="Q5562" i="5" s="1"/>
  <c r="J5562" i="5"/>
  <c r="K5562" i="5" s="1"/>
  <c r="L5562" i="5" s="1"/>
  <c r="T5562" i="5"/>
  <c r="B5558" i="5"/>
  <c r="M5558" i="5" s="1"/>
  <c r="B5559" i="5"/>
  <c r="Q5559" i="5" s="1"/>
  <c r="B5560" i="5"/>
  <c r="Q5560" i="5" s="1"/>
  <c r="B5561" i="5"/>
  <c r="M5561" i="5" s="1"/>
  <c r="J5558" i="5"/>
  <c r="J5559" i="5"/>
  <c r="J5560" i="5"/>
  <c r="K5560" i="5" s="1"/>
  <c r="L5560" i="5" s="1"/>
  <c r="J5561" i="5"/>
  <c r="K5561" i="5" s="1"/>
  <c r="L5561" i="5" s="1"/>
  <c r="T5558" i="5"/>
  <c r="T5559" i="5"/>
  <c r="T5560" i="5"/>
  <c r="T5561" i="5"/>
  <c r="B5557" i="5"/>
  <c r="Q5557" i="5" s="1"/>
  <c r="J5557" i="5"/>
  <c r="K5557" i="5" s="1"/>
  <c r="T5557" i="5"/>
  <c r="B5555" i="5"/>
  <c r="M5555" i="5" s="1"/>
  <c r="B5556" i="5"/>
  <c r="Q5556" i="5" s="1"/>
  <c r="J5555" i="5"/>
  <c r="K5555" i="5" s="1"/>
  <c r="L5555" i="5" s="1"/>
  <c r="J5556" i="5"/>
  <c r="T5555" i="5"/>
  <c r="T5556" i="5"/>
  <c r="B5554" i="5"/>
  <c r="M5554" i="5" s="1"/>
  <c r="J5554" i="5"/>
  <c r="K5554" i="5" s="1"/>
  <c r="L5554" i="5" s="1"/>
  <c r="T5554" i="5"/>
  <c r="B5552" i="5"/>
  <c r="M5552" i="5" s="1"/>
  <c r="B5553" i="5"/>
  <c r="Q5553" i="5" s="1"/>
  <c r="J5552" i="5"/>
  <c r="K5552" i="5" s="1"/>
  <c r="L5552" i="5" s="1"/>
  <c r="J5553" i="5"/>
  <c r="T5552" i="5"/>
  <c r="T5553" i="5"/>
  <c r="B5549" i="5"/>
  <c r="Q5549" i="5" s="1"/>
  <c r="B5550" i="5"/>
  <c r="Q5550" i="5" s="1"/>
  <c r="B5551" i="5"/>
  <c r="Q5551" i="5" s="1"/>
  <c r="J5549" i="5"/>
  <c r="K5549" i="5" s="1"/>
  <c r="J5550" i="5"/>
  <c r="K5550" i="5" s="1"/>
  <c r="J5551" i="5"/>
  <c r="K5551" i="5" s="1"/>
  <c r="L5551" i="5" s="1"/>
  <c r="T5549" i="5"/>
  <c r="T5550" i="5"/>
  <c r="T5551" i="5"/>
  <c r="B5548" i="5"/>
  <c r="Q5548" i="5" s="1"/>
  <c r="J5548" i="5"/>
  <c r="K5548" i="5" s="1"/>
  <c r="T5548" i="5"/>
  <c r="B5546" i="5"/>
  <c r="Q5546" i="5" s="1"/>
  <c r="B5547" i="5"/>
  <c r="M5547" i="5" s="1"/>
  <c r="J5546" i="5"/>
  <c r="J5547" i="5"/>
  <c r="T5546" i="5"/>
  <c r="T5547" i="5"/>
  <c r="B5544" i="5"/>
  <c r="M5544" i="5" s="1"/>
  <c r="B5545" i="5"/>
  <c r="M5545" i="5" s="1"/>
  <c r="J5544" i="5"/>
  <c r="K5544" i="5" s="1"/>
  <c r="L5544" i="5" s="1"/>
  <c r="J5545" i="5"/>
  <c r="K5545" i="5" s="1"/>
  <c r="T5544" i="5"/>
  <c r="T5545" i="5"/>
  <c r="B5542" i="5"/>
  <c r="M5542" i="5" s="1"/>
  <c r="B5543" i="5"/>
  <c r="Q5543" i="5" s="1"/>
  <c r="J5542" i="5"/>
  <c r="K5542" i="5" s="1"/>
  <c r="L5542" i="5" s="1"/>
  <c r="J5543" i="5"/>
  <c r="K5543" i="5" s="1"/>
  <c r="L5543" i="5" s="1"/>
  <c r="T5542" i="5"/>
  <c r="T5543" i="5"/>
  <c r="B5538" i="5"/>
  <c r="M5538" i="5" s="1"/>
  <c r="B5539" i="5"/>
  <c r="M5539" i="5" s="1"/>
  <c r="B5540" i="5"/>
  <c r="Q5540" i="5" s="1"/>
  <c r="B5541" i="5"/>
  <c r="M5541" i="5" s="1"/>
  <c r="J5538" i="5"/>
  <c r="J5539" i="5"/>
  <c r="K5539" i="5" s="1"/>
  <c r="J5540" i="5"/>
  <c r="K5540" i="5" s="1"/>
  <c r="L5540" i="5" s="1"/>
  <c r="J5541" i="5"/>
  <c r="T5538" i="5"/>
  <c r="T5539" i="5"/>
  <c r="T5540" i="5"/>
  <c r="T5541" i="5"/>
  <c r="B5537" i="5"/>
  <c r="Q5537" i="5" s="1"/>
  <c r="J5537" i="5"/>
  <c r="K5537" i="5" s="1"/>
  <c r="T5537" i="5"/>
  <c r="B5533" i="5"/>
  <c r="M5533" i="5" s="1"/>
  <c r="B5534" i="5"/>
  <c r="Q5534" i="5" s="1"/>
  <c r="B5535" i="5"/>
  <c r="M5535" i="5" s="1"/>
  <c r="B5536" i="5"/>
  <c r="M5536" i="5" s="1"/>
  <c r="J5533" i="5"/>
  <c r="J5534" i="5"/>
  <c r="J5535" i="5"/>
  <c r="K5535" i="5" s="1"/>
  <c r="L5535" i="5" s="1"/>
  <c r="J5536" i="5"/>
  <c r="K5536" i="5" s="1"/>
  <c r="L5536" i="5" s="1"/>
  <c r="T5533" i="5"/>
  <c r="T5534" i="5"/>
  <c r="T5535" i="5"/>
  <c r="T5536" i="5"/>
  <c r="B5530" i="5"/>
  <c r="Q5530" i="5" s="1"/>
  <c r="B5531" i="5"/>
  <c r="Q5531" i="5" s="1"/>
  <c r="B5532" i="5"/>
  <c r="Q5532" i="5" s="1"/>
  <c r="J5530" i="5"/>
  <c r="K5530" i="5" s="1"/>
  <c r="J5531" i="5"/>
  <c r="K5531" i="5" s="1"/>
  <c r="J5532" i="5"/>
  <c r="K5532" i="5" s="1"/>
  <c r="L5532" i="5" s="1"/>
  <c r="T5530" i="5"/>
  <c r="T5531" i="5"/>
  <c r="T5532" i="5"/>
  <c r="B5528" i="5"/>
  <c r="M5528" i="5" s="1"/>
  <c r="B5529" i="5"/>
  <c r="M5529" i="5" s="1"/>
  <c r="J5528" i="5"/>
  <c r="K5528" i="5" s="1"/>
  <c r="L5528" i="5" s="1"/>
  <c r="J5529" i="5"/>
  <c r="K5529" i="5" s="1"/>
  <c r="T5528" i="5"/>
  <c r="T5529" i="5"/>
  <c r="B5523" i="5"/>
  <c r="Q5523" i="5" s="1"/>
  <c r="B5524" i="5"/>
  <c r="M5524" i="5" s="1"/>
  <c r="B5525" i="5"/>
  <c r="Q5525" i="5" s="1"/>
  <c r="B5526" i="5"/>
  <c r="M5526" i="5" s="1"/>
  <c r="B5527" i="5"/>
  <c r="M5527" i="5" s="1"/>
  <c r="J5523" i="5"/>
  <c r="J5524" i="5"/>
  <c r="K5524" i="5" s="1"/>
  <c r="L5524" i="5" s="1"/>
  <c r="J5525" i="5"/>
  <c r="J5526" i="5"/>
  <c r="K5526" i="5" s="1"/>
  <c r="L5526" i="5" s="1"/>
  <c r="P5526" i="5" s="1"/>
  <c r="J5527" i="5"/>
  <c r="T5523" i="5"/>
  <c r="T5524" i="5"/>
  <c r="T5525" i="5"/>
  <c r="T5526" i="5"/>
  <c r="T5527" i="5"/>
  <c r="B5520" i="5"/>
  <c r="Q5520" i="5" s="1"/>
  <c r="B5521" i="5"/>
  <c r="Q5521" i="5" s="1"/>
  <c r="B5522" i="5"/>
  <c r="Q5522" i="5" s="1"/>
  <c r="J5520" i="5"/>
  <c r="K5520" i="5" s="1"/>
  <c r="J5521" i="5"/>
  <c r="K5521" i="5" s="1"/>
  <c r="J5522" i="5"/>
  <c r="K5522" i="5" s="1"/>
  <c r="T5520" i="5"/>
  <c r="T5521" i="5"/>
  <c r="T5522" i="5"/>
  <c r="B5518" i="5"/>
  <c r="M5518" i="5" s="1"/>
  <c r="B5519" i="5"/>
  <c r="Q5519" i="5" s="1"/>
  <c r="J5518" i="5"/>
  <c r="K5518" i="5" s="1"/>
  <c r="L5518" i="5" s="1"/>
  <c r="J5519" i="5"/>
  <c r="K5519" i="5" s="1"/>
  <c r="T5518" i="5"/>
  <c r="T5519" i="5"/>
  <c r="B5516" i="5"/>
  <c r="M5516" i="5" s="1"/>
  <c r="B5517" i="5"/>
  <c r="M5517" i="5" s="1"/>
  <c r="J5516" i="5"/>
  <c r="K5516" i="5" s="1"/>
  <c r="L5516" i="5" s="1"/>
  <c r="J5517" i="5"/>
  <c r="T5516" i="5"/>
  <c r="T5517" i="5"/>
  <c r="B5514" i="5"/>
  <c r="M5514" i="5" s="1"/>
  <c r="B5515" i="5"/>
  <c r="M5515" i="5" s="1"/>
  <c r="J5514" i="5"/>
  <c r="K5514" i="5" s="1"/>
  <c r="L5514" i="5" s="1"/>
  <c r="J5515" i="5"/>
  <c r="T5514" i="5"/>
  <c r="T5515" i="5"/>
  <c r="B5512" i="5"/>
  <c r="M5512" i="5" s="1"/>
  <c r="B5513" i="5"/>
  <c r="Q5513" i="5" s="1"/>
  <c r="J5512" i="5"/>
  <c r="K5512" i="5" s="1"/>
  <c r="L5512" i="5" s="1"/>
  <c r="J5513" i="5"/>
  <c r="T5512" i="5"/>
  <c r="T5513" i="5"/>
  <c r="B5510" i="5"/>
  <c r="M5510" i="5" s="1"/>
  <c r="B5511" i="5"/>
  <c r="M5511" i="5" s="1"/>
  <c r="J5510" i="5"/>
  <c r="K5510" i="5" s="1"/>
  <c r="L5510" i="5" s="1"/>
  <c r="J5511" i="5"/>
  <c r="T5510" i="5"/>
  <c r="T5511" i="5"/>
  <c r="B5509" i="5"/>
  <c r="M5509" i="5" s="1"/>
  <c r="J5509" i="5"/>
  <c r="K5509" i="5" s="1"/>
  <c r="T5509" i="5"/>
  <c r="B5505" i="5"/>
  <c r="M5505" i="5" s="1"/>
  <c r="B5506" i="5"/>
  <c r="Q5506" i="5" s="1"/>
  <c r="B5507" i="5"/>
  <c r="Q5507" i="5" s="1"/>
  <c r="B5508" i="5"/>
  <c r="M5508" i="5" s="1"/>
  <c r="J5505" i="5"/>
  <c r="J5506" i="5"/>
  <c r="J5507" i="5"/>
  <c r="K5507" i="5" s="1"/>
  <c r="L5507" i="5" s="1"/>
  <c r="J5508" i="5"/>
  <c r="K5508" i="5" s="1"/>
  <c r="L5508" i="5" s="1"/>
  <c r="T5505" i="5"/>
  <c r="T5506" i="5"/>
  <c r="T5507" i="5"/>
  <c r="T5508" i="5"/>
  <c r="B5503" i="5"/>
  <c r="M5503" i="5" s="1"/>
  <c r="B5504" i="5"/>
  <c r="M5504" i="5" s="1"/>
  <c r="J5503" i="5"/>
  <c r="K5503" i="5" s="1"/>
  <c r="L5503" i="5" s="1"/>
  <c r="J5504" i="5"/>
  <c r="T5503" i="5"/>
  <c r="T5504" i="5"/>
  <c r="B5502" i="5"/>
  <c r="Q5502" i="5" s="1"/>
  <c r="J5502" i="5"/>
  <c r="K5502" i="5" s="1"/>
  <c r="T5502" i="5"/>
  <c r="B5500" i="5"/>
  <c r="M5500" i="5" s="1"/>
  <c r="B5501" i="5"/>
  <c r="M5501" i="5" s="1"/>
  <c r="J5500" i="5"/>
  <c r="K5500" i="5" s="1"/>
  <c r="L5500" i="5" s="1"/>
  <c r="J5501" i="5"/>
  <c r="T5500" i="5"/>
  <c r="T5501" i="5"/>
  <c r="B5497" i="5"/>
  <c r="Q5497" i="5" s="1"/>
  <c r="B5498" i="5"/>
  <c r="Q5498" i="5" s="1"/>
  <c r="B5499" i="5"/>
  <c r="Q5499" i="5" s="1"/>
  <c r="J5497" i="5"/>
  <c r="K5497" i="5" s="1"/>
  <c r="J5498" i="5"/>
  <c r="K5498" i="5" s="1"/>
  <c r="J5499" i="5"/>
  <c r="K5499" i="5" s="1"/>
  <c r="T5497" i="5"/>
  <c r="T5498" i="5"/>
  <c r="T5499" i="5"/>
  <c r="B5495" i="5"/>
  <c r="M5495" i="5" s="1"/>
  <c r="B5496" i="5"/>
  <c r="Q5496" i="5" s="1"/>
  <c r="J5495" i="5"/>
  <c r="K5495" i="5" s="1"/>
  <c r="J5496" i="5"/>
  <c r="T5495" i="5"/>
  <c r="T5496" i="5"/>
  <c r="B5492" i="5"/>
  <c r="Q5492" i="5" s="1"/>
  <c r="B5493" i="5"/>
  <c r="Q5493" i="5" s="1"/>
  <c r="B5494" i="5"/>
  <c r="Q5494" i="5" s="1"/>
  <c r="J5492" i="5"/>
  <c r="K5492" i="5" s="1"/>
  <c r="J5493" i="5"/>
  <c r="K5493" i="5" s="1"/>
  <c r="J5494" i="5"/>
  <c r="K5494" i="5" s="1"/>
  <c r="T5492" i="5"/>
  <c r="T5493" i="5"/>
  <c r="T5494" i="5"/>
  <c r="B5491" i="5"/>
  <c r="Q5491" i="5" s="1"/>
  <c r="J5491" i="5"/>
  <c r="K5491" i="5" s="1"/>
  <c r="T5491" i="5"/>
  <c r="B5487" i="5"/>
  <c r="M5487" i="5" s="1"/>
  <c r="B5488" i="5"/>
  <c r="Q5488" i="5" s="1"/>
  <c r="B5489" i="5"/>
  <c r="M5489" i="5" s="1"/>
  <c r="B5490" i="5"/>
  <c r="Q5490" i="5" s="1"/>
  <c r="J5487" i="5"/>
  <c r="J5488" i="5"/>
  <c r="K5488" i="5" s="1"/>
  <c r="L5488" i="5" s="1"/>
  <c r="J5489" i="5"/>
  <c r="K5489" i="5" s="1"/>
  <c r="L5489" i="5" s="1"/>
  <c r="J5490" i="5"/>
  <c r="K5490" i="5" s="1"/>
  <c r="T5487" i="5"/>
  <c r="T5488" i="5"/>
  <c r="T5489" i="5"/>
  <c r="T5490" i="5"/>
  <c r="B5485" i="5"/>
  <c r="M5485" i="5" s="1"/>
  <c r="B5486" i="5"/>
  <c r="M5486" i="5" s="1"/>
  <c r="J5485" i="5"/>
  <c r="K5485" i="5" s="1"/>
  <c r="L5485" i="5" s="1"/>
  <c r="J5486" i="5"/>
  <c r="T5485" i="5"/>
  <c r="T5486" i="5"/>
  <c r="B5481" i="5"/>
  <c r="Q5481" i="5" s="1"/>
  <c r="B5482" i="5"/>
  <c r="M5482" i="5" s="1"/>
  <c r="B5483" i="5"/>
  <c r="Q5483" i="5" s="1"/>
  <c r="B5484" i="5"/>
  <c r="M5484" i="5" s="1"/>
  <c r="J5481" i="5"/>
  <c r="J5482" i="5"/>
  <c r="K5482" i="5" s="1"/>
  <c r="L5482" i="5" s="1"/>
  <c r="J5483" i="5"/>
  <c r="K5483" i="5" s="1"/>
  <c r="L5483" i="5" s="1"/>
  <c r="J5484" i="5"/>
  <c r="K5484" i="5" s="1"/>
  <c r="T5481" i="5"/>
  <c r="T5482" i="5"/>
  <c r="T5483" i="5"/>
  <c r="T5484" i="5"/>
  <c r="B5480" i="5"/>
  <c r="Q5480" i="5" s="1"/>
  <c r="J5480" i="5"/>
  <c r="K5480" i="5" s="1"/>
  <c r="T5480" i="5"/>
  <c r="B5478" i="5"/>
  <c r="M5478" i="5" s="1"/>
  <c r="B5479" i="5"/>
  <c r="Q5479" i="5" s="1"/>
  <c r="J5478" i="5"/>
  <c r="K5478" i="5" s="1"/>
  <c r="L5478" i="5" s="1"/>
  <c r="J5479" i="5"/>
  <c r="K5479" i="5" s="1"/>
  <c r="T5478" i="5"/>
  <c r="T5479" i="5"/>
  <c r="B5475" i="5"/>
  <c r="Q5475" i="5" s="1"/>
  <c r="B5476" i="5"/>
  <c r="Q5476" i="5" s="1"/>
  <c r="B5477" i="5"/>
  <c r="Q5477" i="5" s="1"/>
  <c r="J5475" i="5"/>
  <c r="K5475" i="5" s="1"/>
  <c r="L5475" i="5" s="1"/>
  <c r="J5476" i="5"/>
  <c r="K5476" i="5" s="1"/>
  <c r="J5477" i="5"/>
  <c r="K5477" i="5" s="1"/>
  <c r="T5475" i="5"/>
  <c r="T5476" i="5"/>
  <c r="T5477" i="5"/>
  <c r="B5469" i="5"/>
  <c r="M5469" i="5" s="1"/>
  <c r="B5470" i="5"/>
  <c r="M5470" i="5" s="1"/>
  <c r="B5471" i="5"/>
  <c r="M5471" i="5" s="1"/>
  <c r="B5472" i="5"/>
  <c r="M5472" i="5" s="1"/>
  <c r="B5473" i="5"/>
  <c r="M5473" i="5" s="1"/>
  <c r="B5474" i="5"/>
  <c r="Q5474" i="5" s="1"/>
  <c r="J5469" i="5"/>
  <c r="K5469" i="5" s="1"/>
  <c r="J5470" i="5"/>
  <c r="K5470" i="5" s="1"/>
  <c r="J5471" i="5"/>
  <c r="K5471" i="5" s="1"/>
  <c r="L5471" i="5" s="1"/>
  <c r="P5471" i="5" s="1"/>
  <c r="J5472" i="5"/>
  <c r="K5472" i="5" s="1"/>
  <c r="J5473" i="5"/>
  <c r="K5473" i="5" s="1"/>
  <c r="L5473" i="5" s="1"/>
  <c r="J5474" i="5"/>
  <c r="K5474" i="5" s="1"/>
  <c r="T5469" i="5"/>
  <c r="T5470" i="5"/>
  <c r="T5471" i="5"/>
  <c r="T5472" i="5"/>
  <c r="T5473" i="5"/>
  <c r="T5474" i="5"/>
  <c r="B5467" i="5"/>
  <c r="M5467" i="5" s="1"/>
  <c r="B5468" i="5"/>
  <c r="M5468" i="5" s="1"/>
  <c r="J5467" i="5"/>
  <c r="K5467" i="5" s="1"/>
  <c r="L5467" i="5" s="1"/>
  <c r="J5468" i="5"/>
  <c r="K5468" i="5" s="1"/>
  <c r="T5467" i="5"/>
  <c r="T5468" i="5"/>
  <c r="B5466" i="5"/>
  <c r="Q5466" i="5" s="1"/>
  <c r="J5466" i="5"/>
  <c r="K5466" i="5" s="1"/>
  <c r="T5466" i="5"/>
  <c r="B5463" i="5"/>
  <c r="Q5463" i="5" s="1"/>
  <c r="B5464" i="5"/>
  <c r="Q5464" i="5" s="1"/>
  <c r="B5465" i="5"/>
  <c r="Q5465" i="5" s="1"/>
  <c r="J5463" i="5"/>
  <c r="K5463" i="5" s="1"/>
  <c r="J5464" i="5"/>
  <c r="K5464" i="5" s="1"/>
  <c r="J5465" i="5"/>
  <c r="K5465" i="5" s="1"/>
  <c r="L5465" i="5" s="1"/>
  <c r="T5463" i="5"/>
  <c r="T5464" i="5"/>
  <c r="T5465" i="5"/>
  <c r="B5462" i="5"/>
  <c r="Q5462" i="5" s="1"/>
  <c r="J5462" i="5"/>
  <c r="K5462" i="5" s="1"/>
  <c r="T5462" i="5"/>
  <c r="B5461" i="5"/>
  <c r="Q5461" i="5" s="1"/>
  <c r="J5461" i="5"/>
  <c r="K5461" i="5" s="1"/>
  <c r="T5461" i="5"/>
  <c r="B5458" i="5"/>
  <c r="Q5458" i="5" s="1"/>
  <c r="B5459" i="5"/>
  <c r="Q5459" i="5" s="1"/>
  <c r="B5460" i="5"/>
  <c r="Q5460" i="5" s="1"/>
  <c r="J5458" i="5"/>
  <c r="K5458" i="5" s="1"/>
  <c r="L5458" i="5" s="1"/>
  <c r="J5459" i="5"/>
  <c r="K5459" i="5" s="1"/>
  <c r="J5460" i="5"/>
  <c r="K5460" i="5" s="1"/>
  <c r="T5458" i="5"/>
  <c r="T5459" i="5"/>
  <c r="T5460" i="5"/>
  <c r="B5455" i="5"/>
  <c r="Q5455" i="5" s="1"/>
  <c r="B5456" i="5"/>
  <c r="Q5456" i="5" s="1"/>
  <c r="B5457" i="5"/>
  <c r="Q5457" i="5" s="1"/>
  <c r="J5455" i="5"/>
  <c r="K5455" i="5" s="1"/>
  <c r="J5456" i="5"/>
  <c r="K5456" i="5" s="1"/>
  <c r="J5457" i="5"/>
  <c r="K5457" i="5" s="1"/>
  <c r="L5457" i="5" s="1"/>
  <c r="T5455" i="5"/>
  <c r="T5456" i="5"/>
  <c r="T5457" i="5"/>
  <c r="B5452" i="5"/>
  <c r="Q5452" i="5" s="1"/>
  <c r="B5453" i="5"/>
  <c r="Q5453" i="5" s="1"/>
  <c r="B5454" i="5"/>
  <c r="Q5454" i="5" s="1"/>
  <c r="J5452" i="5"/>
  <c r="K5452" i="5" s="1"/>
  <c r="J5453" i="5"/>
  <c r="K5453" i="5" s="1"/>
  <c r="J5454" i="5"/>
  <c r="K5454" i="5" s="1"/>
  <c r="L5454" i="5" s="1"/>
  <c r="T5452" i="5"/>
  <c r="T5453" i="5"/>
  <c r="T5454" i="5"/>
  <c r="B5450" i="5"/>
  <c r="Q5450" i="5" s="1"/>
  <c r="B5451" i="5"/>
  <c r="M5451" i="5" s="1"/>
  <c r="J5450" i="5"/>
  <c r="K5450" i="5" s="1"/>
  <c r="J5451" i="5"/>
  <c r="T5450" i="5"/>
  <c r="T5451" i="5"/>
  <c r="B5448" i="5"/>
  <c r="M5448" i="5" s="1"/>
  <c r="B5449" i="5"/>
  <c r="Q5449" i="5" s="1"/>
  <c r="J5448" i="5"/>
  <c r="K5448" i="5" s="1"/>
  <c r="L5448" i="5" s="1"/>
  <c r="J5449" i="5"/>
  <c r="T5448" i="5"/>
  <c r="T5449" i="5"/>
  <c r="B5446" i="5"/>
  <c r="M5446" i="5" s="1"/>
  <c r="B5447" i="5"/>
  <c r="M5447" i="5" s="1"/>
  <c r="J5446" i="5"/>
  <c r="K5446" i="5" s="1"/>
  <c r="L5446" i="5" s="1"/>
  <c r="J5447" i="5"/>
  <c r="K5447" i="5" s="1"/>
  <c r="L5447" i="5" s="1"/>
  <c r="T5446" i="5"/>
  <c r="T5447" i="5"/>
  <c r="B5442" i="5"/>
  <c r="M5442" i="5" s="1"/>
  <c r="B5443" i="5"/>
  <c r="M5443" i="5" s="1"/>
  <c r="B5444" i="5"/>
  <c r="M5444" i="5" s="1"/>
  <c r="B5445" i="5"/>
  <c r="Q5445" i="5" s="1"/>
  <c r="J5442" i="5"/>
  <c r="J5443" i="5"/>
  <c r="K5443" i="5" s="1"/>
  <c r="J5444" i="5"/>
  <c r="K5444" i="5" s="1"/>
  <c r="L5444" i="5" s="1"/>
  <c r="J5445" i="5"/>
  <c r="K5445" i="5" s="1"/>
  <c r="T5442" i="5"/>
  <c r="T5443" i="5"/>
  <c r="T5444" i="5"/>
  <c r="T5445" i="5"/>
  <c r="B5440" i="5"/>
  <c r="Q5440" i="5" s="1"/>
  <c r="B5441" i="5"/>
  <c r="Q5441" i="5" s="1"/>
  <c r="J5440" i="5"/>
  <c r="K5440" i="5" s="1"/>
  <c r="J5441" i="5"/>
  <c r="K5441" i="5" s="1"/>
  <c r="T5440" i="5"/>
  <c r="T5441" i="5"/>
  <c r="B5439" i="5"/>
  <c r="Q5439" i="5" s="1"/>
  <c r="J5439" i="5"/>
  <c r="K5439" i="5" s="1"/>
  <c r="T5439" i="5"/>
  <c r="B5438" i="5"/>
  <c r="Q5438" i="5" s="1"/>
  <c r="J5438" i="5"/>
  <c r="T5438" i="5"/>
  <c r="B5437" i="5"/>
  <c r="M5437" i="5" s="1"/>
  <c r="J5437" i="5"/>
  <c r="K5437" i="5" s="1"/>
  <c r="T5437" i="5"/>
  <c r="B5436" i="5"/>
  <c r="Q5436" i="5" s="1"/>
  <c r="J5436" i="5"/>
  <c r="K5436" i="5" s="1"/>
  <c r="T5436" i="5"/>
  <c r="B5434" i="5"/>
  <c r="M5434" i="5" s="1"/>
  <c r="B5435" i="5"/>
  <c r="M5435" i="5" s="1"/>
  <c r="J5434" i="5"/>
  <c r="K5434" i="5" s="1"/>
  <c r="L5434" i="5" s="1"/>
  <c r="J5435" i="5"/>
  <c r="T5434" i="5"/>
  <c r="T5435" i="5"/>
  <c r="B5432" i="5"/>
  <c r="M5432" i="5" s="1"/>
  <c r="B5433" i="5"/>
  <c r="Q5433" i="5" s="1"/>
  <c r="J5432" i="5"/>
  <c r="K5432" i="5" s="1"/>
  <c r="L5432" i="5" s="1"/>
  <c r="J5433" i="5"/>
  <c r="T5432" i="5"/>
  <c r="T5433" i="5"/>
  <c r="B5430" i="5"/>
  <c r="M5430" i="5" s="1"/>
  <c r="B5431" i="5"/>
  <c r="M5431" i="5" s="1"/>
  <c r="J5430" i="5"/>
  <c r="K5430" i="5" s="1"/>
  <c r="L5430" i="5" s="1"/>
  <c r="J5431" i="5"/>
  <c r="K5431" i="5" s="1"/>
  <c r="L5431" i="5" s="1"/>
  <c r="T5430" i="5"/>
  <c r="T5431" i="5"/>
  <c r="B5426" i="5"/>
  <c r="M5426" i="5" s="1"/>
  <c r="B5427" i="5"/>
  <c r="Q5427" i="5" s="1"/>
  <c r="B5428" i="5"/>
  <c r="Q5428" i="5" s="1"/>
  <c r="B5429" i="5"/>
  <c r="M5429" i="5" s="1"/>
  <c r="J5426" i="5"/>
  <c r="J5427" i="5"/>
  <c r="J5428" i="5"/>
  <c r="K5428" i="5" s="1"/>
  <c r="L5428" i="5" s="1"/>
  <c r="J5429" i="5"/>
  <c r="T5426" i="5"/>
  <c r="T5427" i="5"/>
  <c r="T5428" i="5"/>
  <c r="T5429" i="5"/>
  <c r="B5425" i="5"/>
  <c r="Q5425" i="5" s="1"/>
  <c r="J5425" i="5"/>
  <c r="K5425" i="5" s="1"/>
  <c r="T5425" i="5"/>
  <c r="B5424" i="5"/>
  <c r="M5424" i="5" s="1"/>
  <c r="J5424" i="5"/>
  <c r="K5424" i="5" s="1"/>
  <c r="T5424" i="5"/>
  <c r="B5423" i="5"/>
  <c r="Q5423" i="5" s="1"/>
  <c r="J5423" i="5"/>
  <c r="K5423" i="5" s="1"/>
  <c r="T5423" i="5"/>
  <c r="B5422" i="5"/>
  <c r="M5422" i="5" s="1"/>
  <c r="J5422" i="5"/>
  <c r="K5422" i="5" s="1"/>
  <c r="L5422" i="5" s="1"/>
  <c r="T5422" i="5"/>
  <c r="B5419" i="5"/>
  <c r="Q5419" i="5" s="1"/>
  <c r="B5420" i="5"/>
  <c r="Q5420" i="5" s="1"/>
  <c r="B5421" i="5"/>
  <c r="Q5421" i="5" s="1"/>
  <c r="J5419" i="5"/>
  <c r="K5419" i="5" s="1"/>
  <c r="J5420" i="5"/>
  <c r="J5421" i="5"/>
  <c r="K5421" i="5" s="1"/>
  <c r="T5419" i="5"/>
  <c r="T5420" i="5"/>
  <c r="T5421" i="5"/>
  <c r="B5414" i="5"/>
  <c r="Q5414" i="5" s="1"/>
  <c r="B5415" i="5"/>
  <c r="M5415" i="5" s="1"/>
  <c r="B5416" i="5"/>
  <c r="Q5416" i="5" s="1"/>
  <c r="B5417" i="5"/>
  <c r="Q5417" i="5" s="1"/>
  <c r="B5418" i="5"/>
  <c r="M5418" i="5" s="1"/>
  <c r="J5414" i="5"/>
  <c r="J5415" i="5"/>
  <c r="K5415" i="5" s="1"/>
  <c r="L5415" i="5" s="1"/>
  <c r="J5416" i="5"/>
  <c r="K5416" i="5" s="1"/>
  <c r="J5417" i="5"/>
  <c r="J5418" i="5"/>
  <c r="T5414" i="5"/>
  <c r="T5415" i="5"/>
  <c r="T5416" i="5"/>
  <c r="T5417" i="5"/>
  <c r="T5418" i="5"/>
  <c r="B5411" i="5"/>
  <c r="Q5411" i="5" s="1"/>
  <c r="B5412" i="5"/>
  <c r="Q5412" i="5" s="1"/>
  <c r="B5413" i="5"/>
  <c r="Q5413" i="5" s="1"/>
  <c r="J5411" i="5"/>
  <c r="K5411" i="5" s="1"/>
  <c r="L5411" i="5" s="1"/>
  <c r="J5412" i="5"/>
  <c r="K5412" i="5" s="1"/>
  <c r="L5412" i="5" s="1"/>
  <c r="J5413" i="5"/>
  <c r="K5413" i="5" s="1"/>
  <c r="T5411" i="5"/>
  <c r="T5412" i="5"/>
  <c r="T5413" i="5"/>
  <c r="B5408" i="5"/>
  <c r="Q5408" i="5" s="1"/>
  <c r="B5409" i="5"/>
  <c r="Q5409" i="5" s="1"/>
  <c r="B5410" i="5"/>
  <c r="Q5410" i="5" s="1"/>
  <c r="J5408" i="5"/>
  <c r="K5408" i="5" s="1"/>
  <c r="J5409" i="5"/>
  <c r="K5409" i="5" s="1"/>
  <c r="J5410" i="5"/>
  <c r="T5408" i="5"/>
  <c r="T5409" i="5"/>
  <c r="T5410" i="5"/>
  <c r="B5407" i="5"/>
  <c r="Q5407" i="5" s="1"/>
  <c r="J5407" i="5"/>
  <c r="K5407" i="5" s="1"/>
  <c r="T5407" i="5"/>
  <c r="B5403" i="5"/>
  <c r="Q5403" i="5" s="1"/>
  <c r="B5404" i="5"/>
  <c r="Q5404" i="5" s="1"/>
  <c r="B5405" i="5"/>
  <c r="Q5405" i="5" s="1"/>
  <c r="B5406" i="5"/>
  <c r="M5406" i="5" s="1"/>
  <c r="J5403" i="5"/>
  <c r="J5404" i="5"/>
  <c r="J5405" i="5"/>
  <c r="K5405" i="5" s="1"/>
  <c r="L5405" i="5" s="1"/>
  <c r="J5406" i="5"/>
  <c r="K5406" i="5" s="1"/>
  <c r="L5406" i="5" s="1"/>
  <c r="T5403" i="5"/>
  <c r="T5404" i="5"/>
  <c r="T5405" i="5"/>
  <c r="T5406" i="5"/>
  <c r="B5400" i="5"/>
  <c r="Q5400" i="5" s="1"/>
  <c r="B5401" i="5"/>
  <c r="Q5401" i="5" s="1"/>
  <c r="B5402" i="5"/>
  <c r="Q5402" i="5" s="1"/>
  <c r="J5400" i="5"/>
  <c r="K5400" i="5" s="1"/>
  <c r="J5401" i="5"/>
  <c r="K5401" i="5" s="1"/>
  <c r="J5402" i="5"/>
  <c r="K5402" i="5" s="1"/>
  <c r="L5402" i="5" s="1"/>
  <c r="T5400" i="5"/>
  <c r="T5401" i="5"/>
  <c r="T5402" i="5"/>
  <c r="B5398" i="5"/>
  <c r="M5398" i="5" s="1"/>
  <c r="B5399" i="5"/>
  <c r="M5399" i="5" s="1"/>
  <c r="J5398" i="5"/>
  <c r="K5398" i="5" s="1"/>
  <c r="J5399" i="5"/>
  <c r="K5399" i="5" s="1"/>
  <c r="T5398" i="5"/>
  <c r="T5399" i="5"/>
  <c r="B5396" i="5"/>
  <c r="M5396" i="5" s="1"/>
  <c r="B5397" i="5"/>
  <c r="Q5397" i="5" s="1"/>
  <c r="J5396" i="5"/>
  <c r="K5396" i="5" s="1"/>
  <c r="L5396" i="5" s="1"/>
  <c r="J5397" i="5"/>
  <c r="K5397" i="5" s="1"/>
  <c r="L5397" i="5" s="1"/>
  <c r="T5396" i="5"/>
  <c r="T5397" i="5"/>
  <c r="B5393" i="5"/>
  <c r="Q5393" i="5" s="1"/>
  <c r="B5394" i="5"/>
  <c r="Q5394" i="5" s="1"/>
  <c r="B5395" i="5"/>
  <c r="Q5395" i="5" s="1"/>
  <c r="J5393" i="5"/>
  <c r="K5393" i="5" s="1"/>
  <c r="L5393" i="5" s="1"/>
  <c r="J5394" i="5"/>
  <c r="K5394" i="5" s="1"/>
  <c r="J5395" i="5"/>
  <c r="K5395" i="5" s="1"/>
  <c r="L5395" i="5" s="1"/>
  <c r="T5393" i="5"/>
  <c r="T5394" i="5"/>
  <c r="T5395" i="5"/>
  <c r="B5388" i="5"/>
  <c r="M5388" i="5" s="1"/>
  <c r="B5389" i="5"/>
  <c r="M5389" i="5" s="1"/>
  <c r="B5390" i="5"/>
  <c r="M5390" i="5" s="1"/>
  <c r="B5391" i="5"/>
  <c r="Q5391" i="5" s="1"/>
  <c r="B5392" i="5"/>
  <c r="Q5392" i="5" s="1"/>
  <c r="J5388" i="5"/>
  <c r="J5389" i="5"/>
  <c r="K5389" i="5" s="1"/>
  <c r="L5389" i="5" s="1"/>
  <c r="J5390" i="5"/>
  <c r="K5390" i="5" s="1"/>
  <c r="L5390" i="5" s="1"/>
  <c r="P5390" i="5" s="1"/>
  <c r="J5391" i="5"/>
  <c r="K5391" i="5" s="1"/>
  <c r="J5392" i="5"/>
  <c r="K5392" i="5" s="1"/>
  <c r="T5388" i="5"/>
  <c r="T5389" i="5"/>
  <c r="T5390" i="5"/>
  <c r="T5391" i="5"/>
  <c r="T5392" i="5"/>
  <c r="B5386" i="5"/>
  <c r="Q5386" i="5" s="1"/>
  <c r="B5387" i="5"/>
  <c r="Q5387" i="5" s="1"/>
  <c r="J5386" i="5"/>
  <c r="K5386" i="5" s="1"/>
  <c r="L5386" i="5" s="1"/>
  <c r="J5387" i="5"/>
  <c r="K5387" i="5" s="1"/>
  <c r="T5386" i="5"/>
  <c r="T5387" i="5"/>
  <c r="B5383" i="5"/>
  <c r="Q5383" i="5" s="1"/>
  <c r="B5384" i="5"/>
  <c r="Q5384" i="5" s="1"/>
  <c r="B5385" i="5"/>
  <c r="Q5385" i="5" s="1"/>
  <c r="J5383" i="5"/>
  <c r="K5383" i="5" s="1"/>
  <c r="J5384" i="5"/>
  <c r="K5384" i="5" s="1"/>
  <c r="J5385" i="5"/>
  <c r="K5385" i="5" s="1"/>
  <c r="L5385" i="5" s="1"/>
  <c r="T5383" i="5"/>
  <c r="T5384" i="5"/>
  <c r="T5385" i="5"/>
  <c r="B5380" i="5"/>
  <c r="Q5380" i="5" s="1"/>
  <c r="B5381" i="5"/>
  <c r="Q5381" i="5" s="1"/>
  <c r="B5382" i="5"/>
  <c r="Q5382" i="5" s="1"/>
  <c r="J5380" i="5"/>
  <c r="K5380" i="5" s="1"/>
  <c r="J5381" i="5"/>
  <c r="K5381" i="5" s="1"/>
  <c r="J5382" i="5"/>
  <c r="K5382" i="5" s="1"/>
  <c r="L5382" i="5" s="1"/>
  <c r="T5380" i="5"/>
  <c r="T5381" i="5"/>
  <c r="T5382" i="5"/>
  <c r="B5377" i="5"/>
  <c r="Q5377" i="5" s="1"/>
  <c r="B5378" i="5"/>
  <c r="Q5378" i="5" s="1"/>
  <c r="B5379" i="5"/>
  <c r="M5379" i="5" s="1"/>
  <c r="J5377" i="5"/>
  <c r="K5377" i="5" s="1"/>
  <c r="J5378" i="5"/>
  <c r="K5378" i="5" s="1"/>
  <c r="J5379" i="5"/>
  <c r="K5379" i="5" s="1"/>
  <c r="L5379" i="5" s="1"/>
  <c r="T5377" i="5"/>
  <c r="T5378" i="5"/>
  <c r="T5379" i="5"/>
  <c r="B5376" i="5"/>
  <c r="Q5376" i="5" s="1"/>
  <c r="J5376" i="5"/>
  <c r="K5376" i="5" s="1"/>
  <c r="T5376" i="5"/>
  <c r="B5373" i="5"/>
  <c r="Q5373" i="5" s="1"/>
  <c r="B5374" i="5"/>
  <c r="Q5374" i="5" s="1"/>
  <c r="B5375" i="5"/>
  <c r="Q5375" i="5" s="1"/>
  <c r="J5373" i="5"/>
  <c r="K5373" i="5" s="1"/>
  <c r="L5373" i="5" s="1"/>
  <c r="J5374" i="5"/>
  <c r="K5374" i="5" s="1"/>
  <c r="J5375" i="5"/>
  <c r="K5375" i="5" s="1"/>
  <c r="L5375" i="5" s="1"/>
  <c r="T5373" i="5"/>
  <c r="T5374" i="5"/>
  <c r="T5375" i="5"/>
  <c r="B5368" i="5"/>
  <c r="M5368" i="5" s="1"/>
  <c r="B5369" i="5"/>
  <c r="Q5369" i="5" s="1"/>
  <c r="B5370" i="5"/>
  <c r="M5370" i="5" s="1"/>
  <c r="B5371" i="5"/>
  <c r="Q5371" i="5" s="1"/>
  <c r="B5372" i="5"/>
  <c r="M5372" i="5" s="1"/>
  <c r="J5368" i="5"/>
  <c r="K5368" i="5" s="1"/>
  <c r="J5369" i="5"/>
  <c r="K5369" i="5" s="1"/>
  <c r="L5369" i="5" s="1"/>
  <c r="J5370" i="5"/>
  <c r="K5370" i="5" s="1"/>
  <c r="L5370" i="5" s="1"/>
  <c r="P5370" i="5" s="1"/>
  <c r="J5371" i="5"/>
  <c r="K5371" i="5" s="1"/>
  <c r="J5372" i="5"/>
  <c r="K5372" i="5" s="1"/>
  <c r="T5368" i="5"/>
  <c r="T5369" i="5"/>
  <c r="T5370" i="5"/>
  <c r="T5371" i="5"/>
  <c r="T5372" i="5"/>
  <c r="B5365" i="5"/>
  <c r="M5365" i="5" s="1"/>
  <c r="B5366" i="5"/>
  <c r="M5366" i="5" s="1"/>
  <c r="B5367" i="5"/>
  <c r="Q5367" i="5" s="1"/>
  <c r="J5365" i="5"/>
  <c r="K5365" i="5" s="1"/>
  <c r="J5366" i="5"/>
  <c r="K5366" i="5" s="1"/>
  <c r="J5367" i="5"/>
  <c r="K5367" i="5" s="1"/>
  <c r="L5367" i="5" s="1"/>
  <c r="T5365" i="5"/>
  <c r="T5366" i="5"/>
  <c r="T5367" i="5"/>
  <c r="B5363" i="5"/>
  <c r="M5363" i="5" s="1"/>
  <c r="B5364" i="5"/>
  <c r="M5364" i="5" s="1"/>
  <c r="J5363" i="5"/>
  <c r="K5363" i="5" s="1"/>
  <c r="L5363" i="5" s="1"/>
  <c r="J5364" i="5"/>
  <c r="K5364" i="5" s="1"/>
  <c r="L5364" i="5" s="1"/>
  <c r="T5363" i="5"/>
  <c r="T5364" i="5"/>
  <c r="B5361" i="5"/>
  <c r="M5361" i="5" s="1"/>
  <c r="B5362" i="5"/>
  <c r="M5362" i="5" s="1"/>
  <c r="J5361" i="5"/>
  <c r="J5362" i="5"/>
  <c r="K5362" i="5" s="1"/>
  <c r="T5361" i="5"/>
  <c r="T5362" i="5"/>
  <c r="B5359" i="5"/>
  <c r="M5359" i="5" s="1"/>
  <c r="B5360" i="5"/>
  <c r="M5360" i="5" s="1"/>
  <c r="J5359" i="5"/>
  <c r="K5359" i="5" s="1"/>
  <c r="J5360" i="5"/>
  <c r="T5359" i="5"/>
  <c r="T5360" i="5"/>
  <c r="B5354" i="5"/>
  <c r="M5354" i="5" s="1"/>
  <c r="B5355" i="5"/>
  <c r="M5355" i="5" s="1"/>
  <c r="B5356" i="5"/>
  <c r="Q5356" i="5" s="1"/>
  <c r="B5357" i="5"/>
  <c r="M5357" i="5" s="1"/>
  <c r="B5358" i="5"/>
  <c r="Q5358" i="5" s="1"/>
  <c r="J5354" i="5"/>
  <c r="K5354" i="5" s="1"/>
  <c r="J5355" i="5"/>
  <c r="K5355" i="5" s="1"/>
  <c r="L5355" i="5" s="1"/>
  <c r="J5356" i="5"/>
  <c r="K5356" i="5" s="1"/>
  <c r="L5356" i="5" s="1"/>
  <c r="P5356" i="5" s="1"/>
  <c r="J5357" i="5"/>
  <c r="J5358" i="5"/>
  <c r="K5358" i="5" s="1"/>
  <c r="L5358" i="5" s="1"/>
  <c r="T5354" i="5"/>
  <c r="T5355" i="5"/>
  <c r="T5356" i="5"/>
  <c r="T5357" i="5"/>
  <c r="T5358" i="5"/>
  <c r="B5352" i="5"/>
  <c r="Q5352" i="5" s="1"/>
  <c r="B5353" i="5"/>
  <c r="Q5353" i="5" s="1"/>
  <c r="J5352" i="5"/>
  <c r="K5352" i="5" s="1"/>
  <c r="L5352" i="5" s="1"/>
  <c r="J5353" i="5"/>
  <c r="K5353" i="5" s="1"/>
  <c r="T5352" i="5"/>
  <c r="T5353" i="5"/>
  <c r="B5351" i="5"/>
  <c r="M5351" i="5" s="1"/>
  <c r="J5351" i="5"/>
  <c r="T5351" i="5"/>
  <c r="B5350" i="5"/>
  <c r="Q5350" i="5" s="1"/>
  <c r="J5350" i="5"/>
  <c r="K5350" i="5" s="1"/>
  <c r="T5350" i="5"/>
  <c r="B5347" i="5"/>
  <c r="Q5347" i="5" s="1"/>
  <c r="B5348" i="5"/>
  <c r="Q5348" i="5" s="1"/>
  <c r="B5349" i="5"/>
  <c r="Q5349" i="5" s="1"/>
  <c r="J5347" i="5"/>
  <c r="K5347" i="5" s="1"/>
  <c r="J5348" i="5"/>
  <c r="K5348" i="5" s="1"/>
  <c r="J5349" i="5"/>
  <c r="K5349" i="5" s="1"/>
  <c r="T5347" i="5"/>
  <c r="T5348" i="5"/>
  <c r="T5349" i="5"/>
  <c r="B5346" i="5"/>
  <c r="Q5346" i="5" s="1"/>
  <c r="J5346" i="5"/>
  <c r="K5346" i="5" s="1"/>
  <c r="L5346" i="5" s="1"/>
  <c r="T5346" i="5"/>
  <c r="B5344" i="5"/>
  <c r="Q5344" i="5" s="1"/>
  <c r="B5345" i="5"/>
  <c r="Q5345" i="5" s="1"/>
  <c r="J5344" i="5"/>
  <c r="K5344" i="5" s="1"/>
  <c r="J5345" i="5"/>
  <c r="K5345" i="5" s="1"/>
  <c r="L5345" i="5" s="1"/>
  <c r="T5344" i="5"/>
  <c r="T5345" i="5"/>
  <c r="B5340" i="5"/>
  <c r="M5340" i="5" s="1"/>
  <c r="B5341" i="5"/>
  <c r="M5341" i="5" s="1"/>
  <c r="B5342" i="5"/>
  <c r="M5342" i="5" s="1"/>
  <c r="B5343" i="5"/>
  <c r="M5343" i="5" s="1"/>
  <c r="J5340" i="5"/>
  <c r="K5340" i="5" s="1"/>
  <c r="J5341" i="5"/>
  <c r="K5341" i="5" s="1"/>
  <c r="J5342" i="5"/>
  <c r="K5342" i="5" s="1"/>
  <c r="L5342" i="5" s="1"/>
  <c r="J5343" i="5"/>
  <c r="T5340" i="5"/>
  <c r="T5341" i="5"/>
  <c r="T5342" i="5"/>
  <c r="T5343" i="5"/>
  <c r="B5338" i="5"/>
  <c r="M5338" i="5" s="1"/>
  <c r="B5339" i="5"/>
  <c r="M5339" i="5" s="1"/>
  <c r="J5338" i="5"/>
  <c r="K5338" i="5" s="1"/>
  <c r="L5338" i="5" s="1"/>
  <c r="J5339" i="5"/>
  <c r="T5338" i="5"/>
  <c r="T5339" i="5"/>
  <c r="B5336" i="5"/>
  <c r="M5336" i="5" s="1"/>
  <c r="B5337" i="5"/>
  <c r="M5337" i="5" s="1"/>
  <c r="J5336" i="5"/>
  <c r="J5337" i="5"/>
  <c r="T5336" i="5"/>
  <c r="T5337" i="5"/>
  <c r="B5335" i="5"/>
  <c r="M5335" i="5" s="1"/>
  <c r="J5335" i="5"/>
  <c r="K5335" i="5" s="1"/>
  <c r="T5335" i="5"/>
  <c r="B5334" i="5"/>
  <c r="M5334" i="5" s="1"/>
  <c r="J5334" i="5"/>
  <c r="K5334" i="5" s="1"/>
  <c r="T5334" i="5"/>
  <c r="B5331" i="5"/>
  <c r="Q5331" i="5" s="1"/>
  <c r="B5332" i="5"/>
  <c r="Q5332" i="5" s="1"/>
  <c r="B5333" i="5"/>
  <c r="Q5333" i="5" s="1"/>
  <c r="J5331" i="5"/>
  <c r="K5331" i="5" s="1"/>
  <c r="J5332" i="5"/>
  <c r="K5332" i="5" s="1"/>
  <c r="J5333" i="5"/>
  <c r="K5333" i="5" s="1"/>
  <c r="T5331" i="5"/>
  <c r="T5332" i="5"/>
  <c r="T5333" i="5"/>
  <c r="B5329" i="5"/>
  <c r="M5329" i="5" s="1"/>
  <c r="B5330" i="5"/>
  <c r="M5330" i="5" s="1"/>
  <c r="J5329" i="5"/>
  <c r="J5330" i="5"/>
  <c r="K5330" i="5" s="1"/>
  <c r="T5329" i="5"/>
  <c r="T5330" i="5"/>
  <c r="B5328" i="5"/>
  <c r="Q5328" i="5" s="1"/>
  <c r="J5328" i="5"/>
  <c r="K5328" i="5" s="1"/>
  <c r="T5328" i="5"/>
  <c r="B5322" i="5"/>
  <c r="M5322" i="5" s="1"/>
  <c r="B5323" i="5"/>
  <c r="M5323" i="5" s="1"/>
  <c r="B5324" i="5"/>
  <c r="M5324" i="5" s="1"/>
  <c r="B5325" i="5"/>
  <c r="M5325" i="5" s="1"/>
  <c r="B5326" i="5"/>
  <c r="M5326" i="5" s="1"/>
  <c r="B5327" i="5"/>
  <c r="M5327" i="5" s="1"/>
  <c r="J5322" i="5"/>
  <c r="J5323" i="5"/>
  <c r="K5323" i="5" s="1"/>
  <c r="J5324" i="5"/>
  <c r="K5324" i="5" s="1"/>
  <c r="J5325" i="5"/>
  <c r="K5325" i="5" s="1"/>
  <c r="J5326" i="5"/>
  <c r="K5326" i="5" s="1"/>
  <c r="L5326" i="5" s="1"/>
  <c r="J5327" i="5"/>
  <c r="T5322" i="5"/>
  <c r="T5323" i="5"/>
  <c r="T5324" i="5"/>
  <c r="T5325" i="5"/>
  <c r="T5326" i="5"/>
  <c r="T5327" i="5"/>
  <c r="B5321" i="5"/>
  <c r="M5321" i="5" s="1"/>
  <c r="J5321" i="5"/>
  <c r="K5321" i="5" s="1"/>
  <c r="L5321" i="5" s="1"/>
  <c r="P5321" i="5" s="1"/>
  <c r="T5321" i="5"/>
  <c r="B5317" i="5"/>
  <c r="M5317" i="5" s="1"/>
  <c r="B5318" i="5"/>
  <c r="M5318" i="5" s="1"/>
  <c r="B5319" i="5"/>
  <c r="M5319" i="5" s="1"/>
  <c r="B5320" i="5"/>
  <c r="M5320" i="5" s="1"/>
  <c r="J5317" i="5"/>
  <c r="K5317" i="5" s="1"/>
  <c r="J5318" i="5"/>
  <c r="K5318" i="5" s="1"/>
  <c r="J5319" i="5"/>
  <c r="K5319" i="5" s="1"/>
  <c r="L5319" i="5" s="1"/>
  <c r="J5320" i="5"/>
  <c r="K5320" i="5" s="1"/>
  <c r="L5320" i="5" s="1"/>
  <c r="T5317" i="5"/>
  <c r="T5318" i="5"/>
  <c r="T5319" i="5"/>
  <c r="T5320" i="5"/>
  <c r="B5316" i="5"/>
  <c r="Q5316" i="5" s="1"/>
  <c r="J5316" i="5"/>
  <c r="K5316" i="5" s="1"/>
  <c r="T5316" i="5"/>
  <c r="B5315" i="5"/>
  <c r="M5315" i="5" s="1"/>
  <c r="J5315" i="5"/>
  <c r="K5315" i="5" s="1"/>
  <c r="T5315" i="5"/>
  <c r="B5312" i="5"/>
  <c r="Q5312" i="5" s="1"/>
  <c r="B5313" i="5"/>
  <c r="Q5313" i="5" s="1"/>
  <c r="B5314" i="5"/>
  <c r="Q5314" i="5" s="1"/>
  <c r="J5312" i="5"/>
  <c r="K5312" i="5" s="1"/>
  <c r="J5313" i="5"/>
  <c r="K5313" i="5" s="1"/>
  <c r="J5314" i="5"/>
  <c r="T5312" i="5"/>
  <c r="T5313" i="5"/>
  <c r="T5314" i="5"/>
  <c r="B5308" i="5"/>
  <c r="M5308" i="5" s="1"/>
  <c r="B5309" i="5"/>
  <c r="M5309" i="5" s="1"/>
  <c r="B5310" i="5"/>
  <c r="Q5310" i="5" s="1"/>
  <c r="B5311" i="5"/>
  <c r="Q5311" i="5" s="1"/>
  <c r="J5308" i="5"/>
  <c r="K5308" i="5" s="1"/>
  <c r="J5309" i="5"/>
  <c r="K5309" i="5" s="1"/>
  <c r="L5309" i="5" s="1"/>
  <c r="J5310" i="5"/>
  <c r="J5311" i="5"/>
  <c r="T5308" i="5"/>
  <c r="T5309" i="5"/>
  <c r="T5310" i="5"/>
  <c r="T5311" i="5"/>
  <c r="B5305" i="5"/>
  <c r="Q5305" i="5" s="1"/>
  <c r="B5306" i="5"/>
  <c r="Q5306" i="5" s="1"/>
  <c r="B5307" i="5"/>
  <c r="Q5307" i="5" s="1"/>
  <c r="J5305" i="5"/>
  <c r="K5305" i="5" s="1"/>
  <c r="L5305" i="5" s="1"/>
  <c r="J5306" i="5"/>
  <c r="K5306" i="5" s="1"/>
  <c r="J5307" i="5"/>
  <c r="K5307" i="5" s="1"/>
  <c r="T5305" i="5"/>
  <c r="T5306" i="5"/>
  <c r="T5307" i="5"/>
  <c r="B5303" i="5"/>
  <c r="M5303" i="5" s="1"/>
  <c r="B5304" i="5"/>
  <c r="M5304" i="5" s="1"/>
  <c r="J5303" i="5"/>
  <c r="K5303" i="5" s="1"/>
  <c r="J5304" i="5"/>
  <c r="K5304" i="5" s="1"/>
  <c r="T5303" i="5"/>
  <c r="T5304" i="5"/>
  <c r="B5302" i="5"/>
  <c r="M5302" i="5" s="1"/>
  <c r="J5302" i="5"/>
  <c r="T5302" i="5"/>
  <c r="B5300" i="5"/>
  <c r="Q5300" i="5" s="1"/>
  <c r="B5301" i="5"/>
  <c r="M5301" i="5" s="1"/>
  <c r="J5300" i="5"/>
  <c r="K5300" i="5" s="1"/>
  <c r="J5301" i="5"/>
  <c r="K5301" i="5" s="1"/>
  <c r="T5300" i="5"/>
  <c r="T5301" i="5"/>
  <c r="B5298" i="5"/>
  <c r="M5298" i="5" s="1"/>
  <c r="B5299" i="5"/>
  <c r="Q5299" i="5" s="1"/>
  <c r="J5298" i="5"/>
  <c r="K5298" i="5" s="1"/>
  <c r="J5299" i="5"/>
  <c r="T5298" i="5"/>
  <c r="T5299" i="5"/>
  <c r="B5297" i="5"/>
  <c r="M5297" i="5" s="1"/>
  <c r="J5297" i="5"/>
  <c r="K5297" i="5" s="1"/>
  <c r="L5297" i="5" s="1"/>
  <c r="P5297" i="5" s="1"/>
  <c r="T5297" i="5"/>
  <c r="B5295" i="5"/>
  <c r="Q5295" i="5" s="1"/>
  <c r="B5296" i="5"/>
  <c r="Q5296" i="5" s="1"/>
  <c r="J5295" i="5"/>
  <c r="K5295" i="5" s="1"/>
  <c r="J5296" i="5"/>
  <c r="K5296" i="5" s="1"/>
  <c r="L5296" i="5" s="1"/>
  <c r="T5295" i="5"/>
  <c r="T5296" i="5"/>
  <c r="B5293" i="5"/>
  <c r="M5293" i="5" s="1"/>
  <c r="B5294" i="5"/>
  <c r="Q5294" i="5" s="1"/>
  <c r="J5293" i="5"/>
  <c r="K5293" i="5" s="1"/>
  <c r="J5294" i="5"/>
  <c r="T5293" i="5"/>
  <c r="T5294" i="5"/>
  <c r="B5291" i="5"/>
  <c r="Q5291" i="5" s="1"/>
  <c r="B5292" i="5"/>
  <c r="Q5292" i="5" s="1"/>
  <c r="J5291" i="5"/>
  <c r="K5291" i="5" s="1"/>
  <c r="J5292" i="5"/>
  <c r="K5292" i="5" s="1"/>
  <c r="T5291" i="5"/>
  <c r="T5292" i="5"/>
  <c r="B5289" i="5"/>
  <c r="Q5289" i="5" s="1"/>
  <c r="B5290" i="5"/>
  <c r="Q5290" i="5" s="1"/>
  <c r="J5289" i="5"/>
  <c r="K5289" i="5" s="1"/>
  <c r="L5289" i="5" s="1"/>
  <c r="P5289" i="5" s="1"/>
  <c r="J5290" i="5"/>
  <c r="K5290" i="5" s="1"/>
  <c r="L5290" i="5" s="1"/>
  <c r="T5289" i="5"/>
  <c r="T5290" i="5"/>
  <c r="B5288" i="5"/>
  <c r="M5288" i="5" s="1"/>
  <c r="J5288" i="5"/>
  <c r="K5288" i="5" s="1"/>
  <c r="T5288" i="5"/>
  <c r="B5286" i="5"/>
  <c r="M5286" i="5" s="1"/>
  <c r="B5287" i="5"/>
  <c r="Q5287" i="5" s="1"/>
  <c r="J5286" i="5"/>
  <c r="K5286" i="5" s="1"/>
  <c r="J5287" i="5"/>
  <c r="K5287" i="5" s="1"/>
  <c r="T5286" i="5"/>
  <c r="T5287" i="5"/>
  <c r="B5285" i="5"/>
  <c r="Q5285" i="5" s="1"/>
  <c r="J5285" i="5"/>
  <c r="K5285" i="5" s="1"/>
  <c r="T5285" i="5"/>
  <c r="B5284" i="5"/>
  <c r="M5284" i="5" s="1"/>
  <c r="J5284" i="5"/>
  <c r="T5284" i="5"/>
  <c r="B5281" i="5"/>
  <c r="M5281" i="5" s="1"/>
  <c r="B5282" i="5"/>
  <c r="Q5282" i="5" s="1"/>
  <c r="B5283" i="5"/>
  <c r="Q5283" i="5" s="1"/>
  <c r="J5281" i="5"/>
  <c r="K5281" i="5" s="1"/>
  <c r="J5282" i="5"/>
  <c r="K5282" i="5" s="1"/>
  <c r="J5283" i="5"/>
  <c r="K5283" i="5" s="1"/>
  <c r="L5283" i="5" s="1"/>
  <c r="P5283" i="5" s="1"/>
  <c r="T5281" i="5"/>
  <c r="T5282" i="5"/>
  <c r="T5283" i="5"/>
  <c r="B5280" i="5"/>
  <c r="M5280" i="5" s="1"/>
  <c r="J5280" i="5"/>
  <c r="K5280" i="5" s="1"/>
  <c r="T5280" i="5"/>
  <c r="B5279" i="5"/>
  <c r="Q5279" i="5" s="1"/>
  <c r="J5279" i="5"/>
  <c r="K5279" i="5" s="1"/>
  <c r="L5279" i="5" s="1"/>
  <c r="T5279" i="5"/>
  <c r="B5277" i="5"/>
  <c r="M5277" i="5" s="1"/>
  <c r="B5278" i="5"/>
  <c r="M5278" i="5" s="1"/>
  <c r="J5277" i="5"/>
  <c r="K5277" i="5" s="1"/>
  <c r="J5278" i="5"/>
  <c r="K5278" i="5" s="1"/>
  <c r="L5278" i="5" s="1"/>
  <c r="T5277" i="5"/>
  <c r="T5278" i="5"/>
  <c r="B5276" i="5"/>
  <c r="M5276" i="5" s="1"/>
  <c r="J5276" i="5"/>
  <c r="K5276" i="5" s="1"/>
  <c r="L5276" i="5" s="1"/>
  <c r="T5276" i="5"/>
  <c r="B5275" i="5"/>
  <c r="Q5275" i="5" s="1"/>
  <c r="J5275" i="5"/>
  <c r="T5275" i="5"/>
  <c r="B5272" i="5"/>
  <c r="Q5272" i="5" s="1"/>
  <c r="B5273" i="5"/>
  <c r="Q5273" i="5" s="1"/>
  <c r="B5274" i="5"/>
  <c r="Q5274" i="5" s="1"/>
  <c r="J5272" i="5"/>
  <c r="K5272" i="5" s="1"/>
  <c r="L5272" i="5" s="1"/>
  <c r="J5273" i="5"/>
  <c r="K5273" i="5" s="1"/>
  <c r="J5274" i="5"/>
  <c r="T5272" i="5"/>
  <c r="T5273" i="5"/>
  <c r="T5274" i="5"/>
  <c r="B5269" i="5"/>
  <c r="Q5269" i="5" s="1"/>
  <c r="B5270" i="5"/>
  <c r="Q5270" i="5" s="1"/>
  <c r="B5271" i="5"/>
  <c r="Q5271" i="5" s="1"/>
  <c r="J5269" i="5"/>
  <c r="K5269" i="5" s="1"/>
  <c r="L5269" i="5" s="1"/>
  <c r="J5270" i="5"/>
  <c r="K5270" i="5" s="1"/>
  <c r="J5271" i="5"/>
  <c r="T5269" i="5"/>
  <c r="T5270" i="5"/>
  <c r="T5271" i="5"/>
  <c r="B5268" i="5"/>
  <c r="M5268" i="5" s="1"/>
  <c r="J5268" i="5"/>
  <c r="T5268" i="5"/>
  <c r="B5263" i="5"/>
  <c r="Q5263" i="5" s="1"/>
  <c r="B5264" i="5"/>
  <c r="Q5264" i="5" s="1"/>
  <c r="B5265" i="5"/>
  <c r="M5265" i="5" s="1"/>
  <c r="B5266" i="5"/>
  <c r="Q5266" i="5" s="1"/>
  <c r="B5267" i="5"/>
  <c r="Q5267" i="5" s="1"/>
  <c r="J5263" i="5"/>
  <c r="K5263" i="5" s="1"/>
  <c r="L5263" i="5" s="1"/>
  <c r="J5264" i="5"/>
  <c r="K5264" i="5" s="1"/>
  <c r="L5264" i="5" s="1"/>
  <c r="J5265" i="5"/>
  <c r="K5265" i="5" s="1"/>
  <c r="J5266" i="5"/>
  <c r="K5266" i="5" s="1"/>
  <c r="J5267" i="5"/>
  <c r="K5267" i="5" s="1"/>
  <c r="T5263" i="5"/>
  <c r="T5264" i="5"/>
  <c r="T5265" i="5"/>
  <c r="T5266" i="5"/>
  <c r="T5267" i="5"/>
  <c r="B5259" i="5"/>
  <c r="M5259" i="5" s="1"/>
  <c r="B5260" i="5"/>
  <c r="M5260" i="5" s="1"/>
  <c r="B5261" i="5"/>
  <c r="Q5261" i="5" s="1"/>
  <c r="B5262" i="5"/>
  <c r="Q5262" i="5" s="1"/>
  <c r="J5259" i="5"/>
  <c r="K5259" i="5" s="1"/>
  <c r="J5260" i="5"/>
  <c r="K5260" i="5" s="1"/>
  <c r="J5261" i="5"/>
  <c r="J5262" i="5"/>
  <c r="K5262" i="5" s="1"/>
  <c r="T5259" i="5"/>
  <c r="T5260" i="5"/>
  <c r="T5261" i="5"/>
  <c r="T5262" i="5"/>
  <c r="B5256" i="5"/>
  <c r="M5256" i="5" s="1"/>
  <c r="B5257" i="5"/>
  <c r="Q5257" i="5" s="1"/>
  <c r="B5258" i="5"/>
  <c r="Q5258" i="5" s="1"/>
  <c r="J5256" i="5"/>
  <c r="K5256" i="5" s="1"/>
  <c r="J5257" i="5"/>
  <c r="K5257" i="5" s="1"/>
  <c r="L5257" i="5" s="1"/>
  <c r="J5258" i="5"/>
  <c r="K5258" i="5" s="1"/>
  <c r="L5258" i="5" s="1"/>
  <c r="T5256" i="5"/>
  <c r="T5257" i="5"/>
  <c r="T5258" i="5"/>
  <c r="B5254" i="5"/>
  <c r="M5254" i="5" s="1"/>
  <c r="B5255" i="5"/>
  <c r="M5255" i="5" s="1"/>
  <c r="J5254" i="5"/>
  <c r="K5254" i="5" s="1"/>
  <c r="J5255" i="5"/>
  <c r="K5255" i="5" s="1"/>
  <c r="T5254" i="5"/>
  <c r="T5255" i="5"/>
  <c r="B5252" i="5"/>
  <c r="M5252" i="5" s="1"/>
  <c r="B5253" i="5"/>
  <c r="M5253" i="5" s="1"/>
  <c r="J5252" i="5"/>
  <c r="K5252" i="5" s="1"/>
  <c r="L5252" i="5" s="1"/>
  <c r="J5253" i="5"/>
  <c r="K5253" i="5" s="1"/>
  <c r="T5252" i="5"/>
  <c r="T5253" i="5"/>
  <c r="B5249" i="5"/>
  <c r="Q5249" i="5" s="1"/>
  <c r="B5250" i="5"/>
  <c r="Q5250" i="5" s="1"/>
  <c r="B5251" i="5"/>
  <c r="M5251" i="5" s="1"/>
  <c r="J5249" i="5"/>
  <c r="K5249" i="5" s="1"/>
  <c r="L5249" i="5" s="1"/>
  <c r="J5250" i="5"/>
  <c r="K5250" i="5" s="1"/>
  <c r="L5250" i="5" s="1"/>
  <c r="J5251" i="5"/>
  <c r="K5251" i="5" s="1"/>
  <c r="T5249" i="5"/>
  <c r="T5250" i="5"/>
  <c r="T5251" i="5"/>
  <c r="B5239" i="5"/>
  <c r="M5239" i="5" s="1"/>
  <c r="B5240" i="5"/>
  <c r="M5240" i="5" s="1"/>
  <c r="B5241" i="5"/>
  <c r="Q5241" i="5" s="1"/>
  <c r="B5242" i="5"/>
  <c r="Q5242" i="5" s="1"/>
  <c r="B5243" i="5"/>
  <c r="Q5243" i="5" s="1"/>
  <c r="B5244" i="5"/>
  <c r="Q5244" i="5" s="1"/>
  <c r="B5245" i="5"/>
  <c r="Q5245" i="5" s="1"/>
  <c r="B5246" i="5"/>
  <c r="M5246" i="5" s="1"/>
  <c r="B5247" i="5"/>
  <c r="Q5247" i="5" s="1"/>
  <c r="B5248" i="5"/>
  <c r="Q5248" i="5" s="1"/>
  <c r="J5239" i="5"/>
  <c r="K5239" i="5" s="1"/>
  <c r="L5239" i="5" s="1"/>
  <c r="J5240" i="5"/>
  <c r="J5241" i="5"/>
  <c r="J5242" i="5"/>
  <c r="K5242" i="5" s="1"/>
  <c r="J5243" i="5"/>
  <c r="J5244" i="5"/>
  <c r="K5244" i="5" s="1"/>
  <c r="L5244" i="5" s="1"/>
  <c r="J5245" i="5"/>
  <c r="K5245" i="5" s="1"/>
  <c r="L5245" i="5" s="1"/>
  <c r="J5246" i="5"/>
  <c r="J5247" i="5"/>
  <c r="J5248" i="5"/>
  <c r="K5248" i="5" s="1"/>
  <c r="T5239" i="5"/>
  <c r="T5240" i="5"/>
  <c r="T5241" i="5"/>
  <c r="T5242" i="5"/>
  <c r="T5243" i="5"/>
  <c r="T5244" i="5"/>
  <c r="T5245" i="5"/>
  <c r="T5246" i="5"/>
  <c r="T5247" i="5"/>
  <c r="T5248" i="5"/>
  <c r="B5237" i="5"/>
  <c r="Q5237" i="5" s="1"/>
  <c r="B5238" i="5"/>
  <c r="Q5238" i="5" s="1"/>
  <c r="J5237" i="5"/>
  <c r="K5237" i="5" s="1"/>
  <c r="J5238" i="5"/>
  <c r="K5238" i="5" s="1"/>
  <c r="T5237" i="5"/>
  <c r="T5238" i="5"/>
  <c r="B5235" i="5"/>
  <c r="Q5235" i="5" s="1"/>
  <c r="B5236" i="5"/>
  <c r="M5236" i="5" s="1"/>
  <c r="J5235" i="5"/>
  <c r="K5235" i="5" s="1"/>
  <c r="L5235" i="5" s="1"/>
  <c r="J5236" i="5"/>
  <c r="K5236" i="5" s="1"/>
  <c r="T5235" i="5"/>
  <c r="T5236" i="5"/>
  <c r="B5234" i="5"/>
  <c r="M5234" i="5" s="1"/>
  <c r="J5234" i="5"/>
  <c r="K5234" i="5" s="1"/>
  <c r="T5234" i="5"/>
  <c r="B5233" i="5"/>
  <c r="M5233" i="5" s="1"/>
  <c r="J5233" i="5"/>
  <c r="K5233" i="5" s="1"/>
  <c r="T5233" i="5"/>
  <c r="B5232" i="5"/>
  <c r="Q5232" i="5" s="1"/>
  <c r="J5232" i="5"/>
  <c r="K5232" i="5" s="1"/>
  <c r="T5232" i="5"/>
  <c r="B5229" i="5"/>
  <c r="Q5229" i="5" s="1"/>
  <c r="B5230" i="5"/>
  <c r="Q5230" i="5" s="1"/>
  <c r="B5231" i="5"/>
  <c r="M5231" i="5" s="1"/>
  <c r="J5229" i="5"/>
  <c r="K5229" i="5" s="1"/>
  <c r="L5229" i="5" s="1"/>
  <c r="J5230" i="5"/>
  <c r="K5230" i="5" s="1"/>
  <c r="L5230" i="5" s="1"/>
  <c r="J5231" i="5"/>
  <c r="K5231" i="5" s="1"/>
  <c r="T5229" i="5"/>
  <c r="T5230" i="5"/>
  <c r="T5231" i="5"/>
  <c r="B5227" i="5"/>
  <c r="Q5227" i="5" s="1"/>
  <c r="B5228" i="5"/>
  <c r="M5228" i="5" s="1"/>
  <c r="J5227" i="5"/>
  <c r="J5228" i="5"/>
  <c r="T5227" i="5"/>
  <c r="T5228" i="5"/>
  <c r="B5226" i="5"/>
  <c r="M5226" i="5" s="1"/>
  <c r="J5226" i="5"/>
  <c r="K5226" i="5" s="1"/>
  <c r="T5226" i="5"/>
  <c r="B5225" i="5"/>
  <c r="Q5225" i="5" s="1"/>
  <c r="J5225" i="5"/>
  <c r="K5225" i="5" s="1"/>
  <c r="T5225" i="5"/>
  <c r="B5223" i="5"/>
  <c r="M5223" i="5" s="1"/>
  <c r="B5224" i="5"/>
  <c r="M5224" i="5" s="1"/>
  <c r="J5223" i="5"/>
  <c r="K5223" i="5" s="1"/>
  <c r="J5224" i="5"/>
  <c r="T5223" i="5"/>
  <c r="T5224" i="5"/>
  <c r="B5220" i="5"/>
  <c r="Q5220" i="5" s="1"/>
  <c r="B5221" i="5"/>
  <c r="Q5221" i="5" s="1"/>
  <c r="B5222" i="5"/>
  <c r="Q5222" i="5" s="1"/>
  <c r="J5220" i="5"/>
  <c r="K5220" i="5" s="1"/>
  <c r="J5221" i="5"/>
  <c r="K5221" i="5" s="1"/>
  <c r="L5221" i="5" s="1"/>
  <c r="J5222" i="5"/>
  <c r="K5222" i="5" s="1"/>
  <c r="L5222" i="5" s="1"/>
  <c r="T5220" i="5"/>
  <c r="T5221" i="5"/>
  <c r="T5222" i="5"/>
  <c r="B5218" i="5"/>
  <c r="Q5218" i="5" s="1"/>
  <c r="B5219" i="5"/>
  <c r="M5219" i="5" s="1"/>
  <c r="J5218" i="5"/>
  <c r="J5219" i="5"/>
  <c r="T5218" i="5"/>
  <c r="T5219" i="5"/>
  <c r="B5217" i="5"/>
  <c r="M5217" i="5" s="1"/>
  <c r="J5217" i="5"/>
  <c r="K5217" i="5" s="1"/>
  <c r="T5217" i="5"/>
  <c r="B5213" i="5"/>
  <c r="M5213" i="5" s="1"/>
  <c r="B5214" i="5"/>
  <c r="M5214" i="5" s="1"/>
  <c r="B5215" i="5"/>
  <c r="M5215" i="5" s="1"/>
  <c r="B5216" i="5"/>
  <c r="M5216" i="5" s="1"/>
  <c r="J5213" i="5"/>
  <c r="K5213" i="5" s="1"/>
  <c r="J5214" i="5"/>
  <c r="J5215" i="5"/>
  <c r="K5215" i="5" s="1"/>
  <c r="J5216" i="5"/>
  <c r="K5216" i="5" s="1"/>
  <c r="L5216" i="5" s="1"/>
  <c r="T5213" i="5"/>
  <c r="T5214" i="5"/>
  <c r="T5215" i="5"/>
  <c r="T5216" i="5"/>
  <c r="B5211" i="5"/>
  <c r="M5211" i="5" s="1"/>
  <c r="B5212" i="5"/>
  <c r="M5212" i="5" s="1"/>
  <c r="J5211" i="5"/>
  <c r="K5211" i="5" s="1"/>
  <c r="J5212" i="5"/>
  <c r="K5212" i="5" s="1"/>
  <c r="L5212" i="5" s="1"/>
  <c r="T5211" i="5"/>
  <c r="T5212" i="5"/>
  <c r="B5208" i="5"/>
  <c r="Q5208" i="5" s="1"/>
  <c r="B5209" i="5"/>
  <c r="Q5209" i="5" s="1"/>
  <c r="B5210" i="5"/>
  <c r="Q5210" i="5" s="1"/>
  <c r="J5208" i="5"/>
  <c r="K5208" i="5" s="1"/>
  <c r="J5209" i="5"/>
  <c r="K5209" i="5" s="1"/>
  <c r="L5209" i="5" s="1"/>
  <c r="J5210" i="5"/>
  <c r="K5210" i="5" s="1"/>
  <c r="T5208" i="5"/>
  <c r="T5209" i="5"/>
  <c r="T5210" i="5"/>
  <c r="B5205" i="5"/>
  <c r="Q5205" i="5" s="1"/>
  <c r="B5206" i="5"/>
  <c r="Q5206" i="5" s="1"/>
  <c r="B5207" i="5"/>
  <c r="Q5207" i="5" s="1"/>
  <c r="J5205" i="5"/>
  <c r="K5205" i="5" s="1"/>
  <c r="L5205" i="5" s="1"/>
  <c r="J5206" i="5"/>
  <c r="K5206" i="5" s="1"/>
  <c r="L5206" i="5" s="1"/>
  <c r="J5207" i="5"/>
  <c r="K5207" i="5" s="1"/>
  <c r="T5205" i="5"/>
  <c r="T5206" i="5"/>
  <c r="T5207" i="5"/>
  <c r="B5204" i="5"/>
  <c r="Q5204" i="5" s="1"/>
  <c r="J5204" i="5"/>
  <c r="K5204" i="5" s="1"/>
  <c r="T5204" i="5"/>
  <c r="B5203" i="5"/>
  <c r="Q5203" i="5" s="1"/>
  <c r="J5203" i="5"/>
  <c r="K5203" i="5" s="1"/>
  <c r="T5203" i="5"/>
  <c r="B5202" i="5"/>
  <c r="M5202" i="5" s="1"/>
  <c r="J5202" i="5"/>
  <c r="T5202" i="5"/>
  <c r="B5201" i="5"/>
  <c r="M5201" i="5" s="1"/>
  <c r="J5201" i="5"/>
  <c r="T5201" i="5"/>
  <c r="B5200" i="5"/>
  <c r="M5200" i="5" s="1"/>
  <c r="J5200" i="5"/>
  <c r="K5200" i="5" s="1"/>
  <c r="T5200" i="5"/>
  <c r="B5199" i="5"/>
  <c r="M5199" i="5" s="1"/>
  <c r="J5199" i="5"/>
  <c r="T5199" i="5"/>
  <c r="B5197" i="5"/>
  <c r="Q5197" i="5" s="1"/>
  <c r="B5198" i="5"/>
  <c r="Q5198" i="5" s="1"/>
  <c r="J5197" i="5"/>
  <c r="K5197" i="5" s="1"/>
  <c r="J5198" i="5"/>
  <c r="K5198" i="5" s="1"/>
  <c r="T5197" i="5"/>
  <c r="T5198" i="5"/>
  <c r="B5195" i="5"/>
  <c r="M5195" i="5" s="1"/>
  <c r="B5196" i="5"/>
  <c r="Q5196" i="5" s="1"/>
  <c r="J5195" i="5"/>
  <c r="J5196" i="5"/>
  <c r="T5195" i="5"/>
  <c r="T5196" i="5"/>
  <c r="B5192" i="5"/>
  <c r="Q5192" i="5" s="1"/>
  <c r="B5193" i="5"/>
  <c r="Q5193" i="5" s="1"/>
  <c r="B5194" i="5"/>
  <c r="Q5194" i="5" s="1"/>
  <c r="J5192" i="5"/>
  <c r="K5192" i="5" s="1"/>
  <c r="L5192" i="5" s="1"/>
  <c r="J5193" i="5"/>
  <c r="K5193" i="5" s="1"/>
  <c r="L5193" i="5" s="1"/>
  <c r="J5194" i="5"/>
  <c r="K5194" i="5" s="1"/>
  <c r="L5194" i="5" s="1"/>
  <c r="T5192" i="5"/>
  <c r="T5193" i="5"/>
  <c r="T5194" i="5"/>
  <c r="B5189" i="5"/>
  <c r="Q5189" i="5" s="1"/>
  <c r="B5190" i="5"/>
  <c r="Q5190" i="5" s="1"/>
  <c r="B5191" i="5"/>
  <c r="Q5191" i="5" s="1"/>
  <c r="J5189" i="5"/>
  <c r="K5189" i="5" s="1"/>
  <c r="L5189" i="5" s="1"/>
  <c r="J5190" i="5"/>
  <c r="K5190" i="5" s="1"/>
  <c r="L5190" i="5" s="1"/>
  <c r="J5191" i="5"/>
  <c r="K5191" i="5" s="1"/>
  <c r="T5189" i="5"/>
  <c r="T5190" i="5"/>
  <c r="T5191" i="5"/>
  <c r="B5187" i="5"/>
  <c r="Q5187" i="5" s="1"/>
  <c r="B5188" i="5"/>
  <c r="Q5188" i="5" s="1"/>
  <c r="J5187" i="5"/>
  <c r="K5187" i="5" s="1"/>
  <c r="J5188" i="5"/>
  <c r="K5188" i="5" s="1"/>
  <c r="T5187" i="5"/>
  <c r="T5188" i="5"/>
  <c r="B5185" i="5"/>
  <c r="Q5185" i="5" s="1"/>
  <c r="B5186" i="5"/>
  <c r="Q5186" i="5" s="1"/>
  <c r="J5185" i="5"/>
  <c r="K5185" i="5" s="1"/>
  <c r="J5186" i="5"/>
  <c r="T5185" i="5"/>
  <c r="T5186" i="5"/>
  <c r="B5184" i="5"/>
  <c r="Q5184" i="5" s="1"/>
  <c r="J5184" i="5"/>
  <c r="K5184" i="5" s="1"/>
  <c r="T5184" i="5"/>
  <c r="B5181" i="5"/>
  <c r="Q5181" i="5" s="1"/>
  <c r="B5182" i="5"/>
  <c r="Q5182" i="5" s="1"/>
  <c r="B5183" i="5"/>
  <c r="Q5183" i="5" s="1"/>
  <c r="J5181" i="5"/>
  <c r="K5181" i="5" s="1"/>
  <c r="J5182" i="5"/>
  <c r="K5182" i="5" s="1"/>
  <c r="L5182" i="5" s="1"/>
  <c r="J5183" i="5"/>
  <c r="K5183" i="5" s="1"/>
  <c r="T5181" i="5"/>
  <c r="T5182" i="5"/>
  <c r="T5183" i="5"/>
  <c r="B5174" i="5"/>
  <c r="Q5174" i="5" s="1"/>
  <c r="B5175" i="5"/>
  <c r="Q5175" i="5" s="1"/>
  <c r="B5176" i="5"/>
  <c r="Q5176" i="5" s="1"/>
  <c r="B5177" i="5"/>
  <c r="M5177" i="5" s="1"/>
  <c r="B5178" i="5"/>
  <c r="Q5178" i="5" s="1"/>
  <c r="B5179" i="5"/>
  <c r="Q5179" i="5" s="1"/>
  <c r="B5180" i="5"/>
  <c r="Q5180" i="5" s="1"/>
  <c r="J5174" i="5"/>
  <c r="K5174" i="5" s="1"/>
  <c r="J5175" i="5"/>
  <c r="K5175" i="5" s="1"/>
  <c r="L5175" i="5" s="1"/>
  <c r="J5176" i="5"/>
  <c r="K5176" i="5" s="1"/>
  <c r="J5177" i="5"/>
  <c r="K5177" i="5" s="1"/>
  <c r="L5177" i="5" s="1"/>
  <c r="J5178" i="5"/>
  <c r="K5178" i="5" s="1"/>
  <c r="J5179" i="5"/>
  <c r="K5179" i="5" s="1"/>
  <c r="J5180" i="5"/>
  <c r="K5180" i="5" s="1"/>
  <c r="T5174" i="5"/>
  <c r="T5175" i="5"/>
  <c r="T5176" i="5"/>
  <c r="T5177" i="5"/>
  <c r="T5178" i="5"/>
  <c r="T5179" i="5"/>
  <c r="T5180" i="5"/>
  <c r="B5173" i="5"/>
  <c r="M5173" i="5" s="1"/>
  <c r="J5173" i="5"/>
  <c r="K5173" i="5" s="1"/>
  <c r="T5173" i="5"/>
  <c r="DV52" i="12"/>
  <c r="AZ52" i="12"/>
  <c r="AY52" i="12"/>
  <c r="AX52" i="12"/>
  <c r="AW52" i="12"/>
  <c r="AV52" i="12"/>
  <c r="AU52" i="12"/>
  <c r="AT52" i="12"/>
  <c r="AS52" i="12"/>
  <c r="AQ52" i="12"/>
  <c r="AO52" i="12"/>
  <c r="AN52" i="12"/>
  <c r="AM52" i="12"/>
  <c r="AL52" i="12"/>
  <c r="AK52" i="12"/>
  <c r="AJ52" i="12"/>
  <c r="AI52" i="12"/>
  <c r="AH52" i="12"/>
  <c r="AG52" i="12"/>
  <c r="AF52" i="12"/>
  <c r="AE52" i="12"/>
  <c r="AD52" i="12"/>
  <c r="AC52" i="12"/>
  <c r="AA52" i="12"/>
  <c r="Z52" i="12"/>
  <c r="Y52" i="12"/>
  <c r="X52" i="12"/>
  <c r="W52" i="12"/>
  <c r="V52" i="12"/>
  <c r="U52" i="12"/>
  <c r="T52" i="12"/>
  <c r="R52" i="12"/>
  <c r="P52" i="12"/>
  <c r="O52" i="12"/>
  <c r="N52" i="12"/>
  <c r="M52" i="12"/>
  <c r="L52" i="12"/>
  <c r="K52" i="12"/>
  <c r="J52" i="12"/>
  <c r="I52" i="12"/>
  <c r="H52" i="12"/>
  <c r="G52" i="12"/>
  <c r="F52" i="12"/>
  <c r="E52" i="12"/>
  <c r="D52" i="12"/>
  <c r="H40" i="17"/>
  <c r="D40" i="17"/>
  <c r="C40" i="17"/>
  <c r="DV51" i="12"/>
  <c r="AZ51" i="12"/>
  <c r="AY51" i="12"/>
  <c r="AX51" i="12"/>
  <c r="AW51" i="12"/>
  <c r="AV51" i="12"/>
  <c r="AU51" i="12"/>
  <c r="AT51" i="12"/>
  <c r="AS51" i="12"/>
  <c r="AQ51" i="12"/>
  <c r="AO51" i="12"/>
  <c r="AN51" i="12"/>
  <c r="AM51" i="12"/>
  <c r="AL51" i="12"/>
  <c r="AK51" i="12"/>
  <c r="AJ51" i="12"/>
  <c r="AI51" i="12"/>
  <c r="AH51" i="12"/>
  <c r="AG51" i="12"/>
  <c r="AF51" i="12"/>
  <c r="AE51" i="12"/>
  <c r="AD51" i="12"/>
  <c r="AC51" i="12"/>
  <c r="AA51" i="12"/>
  <c r="Z51" i="12"/>
  <c r="Y51" i="12"/>
  <c r="X51" i="12"/>
  <c r="W51" i="12"/>
  <c r="V51" i="12"/>
  <c r="U51" i="12"/>
  <c r="T51" i="12"/>
  <c r="R51" i="12"/>
  <c r="P51" i="12"/>
  <c r="O51" i="12"/>
  <c r="N51" i="12"/>
  <c r="M51" i="12"/>
  <c r="L51" i="12"/>
  <c r="K51" i="12"/>
  <c r="J51" i="12"/>
  <c r="I51" i="12"/>
  <c r="H51" i="12"/>
  <c r="G51" i="12"/>
  <c r="F51" i="12"/>
  <c r="E51" i="12"/>
  <c r="D51" i="12"/>
  <c r="H38" i="17"/>
  <c r="D38" i="17"/>
  <c r="C38" i="17"/>
  <c r="B5171" i="5"/>
  <c r="M5171" i="5" s="1"/>
  <c r="B5172" i="5"/>
  <c r="M5172" i="5" s="1"/>
  <c r="J5171" i="5"/>
  <c r="K5171" i="5" s="1"/>
  <c r="J5172" i="5"/>
  <c r="K5172" i="5" s="1"/>
  <c r="L5172" i="5" s="1"/>
  <c r="T5171" i="5"/>
  <c r="T5172" i="5"/>
  <c r="B5167" i="5"/>
  <c r="M5167" i="5" s="1"/>
  <c r="B5168" i="5"/>
  <c r="M5168" i="5" s="1"/>
  <c r="B5169" i="5"/>
  <c r="M5169" i="5" s="1"/>
  <c r="B5170" i="5"/>
  <c r="M5170" i="5" s="1"/>
  <c r="J5167" i="5"/>
  <c r="K5167" i="5" s="1"/>
  <c r="L5167" i="5" s="1"/>
  <c r="J5168" i="5"/>
  <c r="J5169" i="5"/>
  <c r="K5169" i="5" s="1"/>
  <c r="J5170" i="5"/>
  <c r="K5170" i="5" s="1"/>
  <c r="L5170" i="5" s="1"/>
  <c r="T5167" i="5"/>
  <c r="T5168" i="5"/>
  <c r="T5169" i="5"/>
  <c r="T5170" i="5"/>
  <c r="B5164" i="5"/>
  <c r="Q5164" i="5" s="1"/>
  <c r="B5165" i="5"/>
  <c r="Q5165" i="5" s="1"/>
  <c r="B5166" i="5"/>
  <c r="Q5166" i="5" s="1"/>
  <c r="J5164" i="5"/>
  <c r="K5164" i="5" s="1"/>
  <c r="L5164" i="5" s="1"/>
  <c r="J5165" i="5"/>
  <c r="K5165" i="5" s="1"/>
  <c r="J5166" i="5"/>
  <c r="K5166" i="5" s="1"/>
  <c r="T5164" i="5"/>
  <c r="T5165" i="5"/>
  <c r="T5166" i="5"/>
  <c r="B5163" i="5"/>
  <c r="M5163" i="5" s="1"/>
  <c r="J5163" i="5"/>
  <c r="K5163" i="5" s="1"/>
  <c r="L5163" i="5" s="1"/>
  <c r="T5163" i="5"/>
  <c r="B5162" i="5"/>
  <c r="M5162" i="5" s="1"/>
  <c r="J5162" i="5"/>
  <c r="K5162" i="5" s="1"/>
  <c r="L5162" i="5" s="1"/>
  <c r="T5162" i="5"/>
  <c r="B5161" i="5"/>
  <c r="M5161" i="5" s="1"/>
  <c r="J5161" i="5"/>
  <c r="K5161" i="5" s="1"/>
  <c r="T5161" i="5"/>
  <c r="B5158" i="5"/>
  <c r="Q5158" i="5" s="1"/>
  <c r="B5159" i="5"/>
  <c r="Q5159" i="5" s="1"/>
  <c r="B5160" i="5"/>
  <c r="Q5160" i="5" s="1"/>
  <c r="J5158" i="5"/>
  <c r="K5158" i="5" s="1"/>
  <c r="J5159" i="5"/>
  <c r="K5159" i="5" s="1"/>
  <c r="J5160" i="5"/>
  <c r="K5160" i="5" s="1"/>
  <c r="T5158" i="5"/>
  <c r="T5159" i="5"/>
  <c r="T5160" i="5"/>
  <c r="B5156" i="5"/>
  <c r="M5156" i="5" s="1"/>
  <c r="B5157" i="5"/>
  <c r="M5157" i="5" s="1"/>
  <c r="J5156" i="5"/>
  <c r="K5156" i="5" s="1"/>
  <c r="J5157" i="5"/>
  <c r="K5157" i="5" s="1"/>
  <c r="L5157" i="5" s="1"/>
  <c r="T5156" i="5"/>
  <c r="T5157" i="5"/>
  <c r="B5152" i="5"/>
  <c r="M5152" i="5" s="1"/>
  <c r="B5153" i="5"/>
  <c r="Q5153" i="5" s="1"/>
  <c r="B5154" i="5"/>
  <c r="M5154" i="5" s="1"/>
  <c r="B5155" i="5"/>
  <c r="M5155" i="5" s="1"/>
  <c r="J5152" i="5"/>
  <c r="J5153" i="5"/>
  <c r="K5153" i="5" s="1"/>
  <c r="L5153" i="5" s="1"/>
  <c r="J5154" i="5"/>
  <c r="J5155" i="5"/>
  <c r="K5155" i="5" s="1"/>
  <c r="L5155" i="5" s="1"/>
  <c r="T5152" i="5"/>
  <c r="T5153" i="5"/>
  <c r="T5154" i="5"/>
  <c r="T5155" i="5"/>
  <c r="B5150" i="5"/>
  <c r="M5150" i="5" s="1"/>
  <c r="B5151" i="5"/>
  <c r="M5151" i="5" s="1"/>
  <c r="J5150" i="5"/>
  <c r="K5150" i="5" s="1"/>
  <c r="L5150" i="5" s="1"/>
  <c r="J5151" i="5"/>
  <c r="K5151" i="5" s="1"/>
  <c r="T5150" i="5"/>
  <c r="T5151" i="5"/>
  <c r="B5148" i="5"/>
  <c r="M5148" i="5" s="1"/>
  <c r="B5149" i="5"/>
  <c r="M5149" i="5" s="1"/>
  <c r="J5148" i="5"/>
  <c r="J5149" i="5"/>
  <c r="K5149" i="5" s="1"/>
  <c r="L5149" i="5" s="1"/>
  <c r="T5148" i="5"/>
  <c r="T5149" i="5"/>
  <c r="B5144" i="5"/>
  <c r="M5144" i="5" s="1"/>
  <c r="B5145" i="5"/>
  <c r="Q5145" i="5" s="1"/>
  <c r="B5146" i="5"/>
  <c r="M5146" i="5" s="1"/>
  <c r="B5147" i="5"/>
  <c r="M5147" i="5" s="1"/>
  <c r="J5144" i="5"/>
  <c r="K5144" i="5" s="1"/>
  <c r="L5144" i="5" s="1"/>
  <c r="J5145" i="5"/>
  <c r="J5146" i="5"/>
  <c r="K5146" i="5" s="1"/>
  <c r="J5147" i="5"/>
  <c r="K5147" i="5" s="1"/>
  <c r="L5147" i="5" s="1"/>
  <c r="T5144" i="5"/>
  <c r="T5145" i="5"/>
  <c r="T5146" i="5"/>
  <c r="T5147" i="5"/>
  <c r="B5143" i="5"/>
  <c r="M5143" i="5" s="1"/>
  <c r="J5143" i="5"/>
  <c r="K5143" i="5" s="1"/>
  <c r="T5143" i="5"/>
  <c r="B5142" i="5"/>
  <c r="M5142" i="5" s="1"/>
  <c r="J5142" i="5"/>
  <c r="K5142" i="5" s="1"/>
  <c r="T5142" i="5"/>
  <c r="B5141" i="5"/>
  <c r="Q5141" i="5" s="1"/>
  <c r="J5141" i="5"/>
  <c r="K5141" i="5" s="1"/>
  <c r="T5141" i="5"/>
  <c r="B5139" i="5"/>
  <c r="M5139" i="5" s="1"/>
  <c r="B5140" i="5"/>
  <c r="M5140" i="5" s="1"/>
  <c r="J5139" i="5"/>
  <c r="K5139" i="5" s="1"/>
  <c r="L5139" i="5" s="1"/>
  <c r="P5139" i="5" s="1"/>
  <c r="J5140" i="5"/>
  <c r="K5140" i="5" s="1"/>
  <c r="L5140" i="5" s="1"/>
  <c r="T5139" i="5"/>
  <c r="T5140" i="5"/>
  <c r="B5135" i="5"/>
  <c r="Q5135" i="5" s="1"/>
  <c r="B5136" i="5"/>
  <c r="Q5136" i="5" s="1"/>
  <c r="B5137" i="5"/>
  <c r="Q5137" i="5" s="1"/>
  <c r="B5138" i="5"/>
  <c r="M5138" i="5" s="1"/>
  <c r="J5135" i="5"/>
  <c r="J5136" i="5"/>
  <c r="J5137" i="5"/>
  <c r="K5137" i="5" s="1"/>
  <c r="J5138" i="5"/>
  <c r="K5138" i="5" s="1"/>
  <c r="L5138" i="5" s="1"/>
  <c r="T5135" i="5"/>
  <c r="T5136" i="5"/>
  <c r="T5137" i="5"/>
  <c r="T5138" i="5"/>
  <c r="B5134" i="5"/>
  <c r="M5134" i="5" s="1"/>
  <c r="J5134" i="5"/>
  <c r="K5134" i="5" s="1"/>
  <c r="T5134" i="5"/>
  <c r="B5131" i="5"/>
  <c r="Q5131" i="5" s="1"/>
  <c r="B5132" i="5"/>
  <c r="Q5132" i="5" s="1"/>
  <c r="B5133" i="5"/>
  <c r="Q5133" i="5" s="1"/>
  <c r="J5131" i="5"/>
  <c r="K5131" i="5" s="1"/>
  <c r="L5131" i="5" s="1"/>
  <c r="J5132" i="5"/>
  <c r="K5132" i="5" s="1"/>
  <c r="J5133" i="5"/>
  <c r="K5133" i="5" s="1"/>
  <c r="T5131" i="5"/>
  <c r="T5132" i="5"/>
  <c r="T5133" i="5"/>
  <c r="B5128" i="5"/>
  <c r="Q5128" i="5" s="1"/>
  <c r="B5129" i="5"/>
  <c r="Q5129" i="5" s="1"/>
  <c r="B5130" i="5"/>
  <c r="Q5130" i="5" s="1"/>
  <c r="J5128" i="5"/>
  <c r="K5128" i="5" s="1"/>
  <c r="L5128" i="5" s="1"/>
  <c r="J5129" i="5"/>
  <c r="K5129" i="5" s="1"/>
  <c r="J5130" i="5"/>
  <c r="K5130" i="5" s="1"/>
  <c r="T5128" i="5"/>
  <c r="T5129" i="5"/>
  <c r="T5130" i="5"/>
  <c r="B5122" i="5"/>
  <c r="Q5122" i="5" s="1"/>
  <c r="B5123" i="5"/>
  <c r="Q5123" i="5" s="1"/>
  <c r="B5124" i="5"/>
  <c r="Q5124" i="5" s="1"/>
  <c r="B5125" i="5"/>
  <c r="Q5125" i="5" s="1"/>
  <c r="B5126" i="5"/>
  <c r="Q5126" i="5" s="1"/>
  <c r="B5127" i="5"/>
  <c r="M5127" i="5" s="1"/>
  <c r="J5122" i="5"/>
  <c r="K5122" i="5" s="1"/>
  <c r="J5123" i="5"/>
  <c r="K5123" i="5" s="1"/>
  <c r="L5123" i="5" s="1"/>
  <c r="J5124" i="5"/>
  <c r="J5125" i="5"/>
  <c r="K5125" i="5" s="1"/>
  <c r="L5125" i="5" s="1"/>
  <c r="P5125" i="5" s="1"/>
  <c r="J5126" i="5"/>
  <c r="J5127" i="5"/>
  <c r="K5127" i="5" s="1"/>
  <c r="T5122" i="5"/>
  <c r="T5123" i="5"/>
  <c r="T5124" i="5"/>
  <c r="T5125" i="5"/>
  <c r="T5126" i="5"/>
  <c r="T5127" i="5"/>
  <c r="B5120" i="5"/>
  <c r="M5120" i="5" s="1"/>
  <c r="B5121" i="5"/>
  <c r="M5121" i="5" s="1"/>
  <c r="J5120" i="5"/>
  <c r="K5120" i="5" s="1"/>
  <c r="J5121" i="5"/>
  <c r="K5121" i="5" s="1"/>
  <c r="L5121" i="5" s="1"/>
  <c r="T5120" i="5"/>
  <c r="T5121" i="5"/>
  <c r="B5119" i="5"/>
  <c r="M5119" i="5" s="1"/>
  <c r="J5119" i="5"/>
  <c r="K5119" i="5" s="1"/>
  <c r="L5119" i="5" s="1"/>
  <c r="T5119" i="5"/>
  <c r="B5118" i="5"/>
  <c r="M5118" i="5" s="1"/>
  <c r="J5118" i="5"/>
  <c r="K5118" i="5" s="1"/>
  <c r="L5118" i="5" s="1"/>
  <c r="T5118" i="5"/>
  <c r="B5117" i="5"/>
  <c r="M5117" i="5" s="1"/>
  <c r="J5117" i="5"/>
  <c r="K5117" i="5" s="1"/>
  <c r="L5117" i="5" s="1"/>
  <c r="T5117" i="5"/>
  <c r="B5116" i="5"/>
  <c r="M5116" i="5" s="1"/>
  <c r="J5116" i="5"/>
  <c r="K5116" i="5" s="1"/>
  <c r="T5116" i="5"/>
  <c r="B5114" i="5"/>
  <c r="M5114" i="5" s="1"/>
  <c r="B5115" i="5"/>
  <c r="M5115" i="5" s="1"/>
  <c r="J5114" i="5"/>
  <c r="J5115" i="5"/>
  <c r="K5115" i="5" s="1"/>
  <c r="L5115" i="5" s="1"/>
  <c r="T5114" i="5"/>
  <c r="T5115" i="5"/>
  <c r="B5112" i="5"/>
  <c r="M5112" i="5" s="1"/>
  <c r="B5113" i="5"/>
  <c r="M5113" i="5" s="1"/>
  <c r="J5112" i="5"/>
  <c r="J5113" i="5"/>
  <c r="K5113" i="5" s="1"/>
  <c r="L5113" i="5" s="1"/>
  <c r="T5112" i="5"/>
  <c r="T5113" i="5"/>
  <c r="B5110" i="5"/>
  <c r="M5110" i="5" s="1"/>
  <c r="B5111" i="5"/>
  <c r="M5111" i="5" s="1"/>
  <c r="J5110" i="5"/>
  <c r="J5111" i="5"/>
  <c r="K5111" i="5" s="1"/>
  <c r="L5111" i="5" s="1"/>
  <c r="T5110" i="5"/>
  <c r="T5111" i="5"/>
  <c r="B5109" i="5"/>
  <c r="M5109" i="5" s="1"/>
  <c r="J5109" i="5"/>
  <c r="K5109" i="5" s="1"/>
  <c r="T5109" i="5"/>
  <c r="B5105" i="5"/>
  <c r="Q5105" i="5" s="1"/>
  <c r="B5106" i="5"/>
  <c r="Q5106" i="5" s="1"/>
  <c r="B5107" i="5"/>
  <c r="M5107" i="5" s="1"/>
  <c r="B5108" i="5"/>
  <c r="Q5108" i="5" s="1"/>
  <c r="J5105" i="5"/>
  <c r="K5105" i="5" s="1"/>
  <c r="L5105" i="5" s="1"/>
  <c r="J5106" i="5"/>
  <c r="J5107" i="5"/>
  <c r="K5107" i="5" s="1"/>
  <c r="J5108" i="5"/>
  <c r="K5108" i="5" s="1"/>
  <c r="T5105" i="5"/>
  <c r="T5106" i="5"/>
  <c r="T5107" i="5"/>
  <c r="T5108" i="5"/>
  <c r="B5103" i="5"/>
  <c r="M5103" i="5" s="1"/>
  <c r="B5104" i="5"/>
  <c r="Q5104" i="5" s="1"/>
  <c r="J5103" i="5"/>
  <c r="K5103" i="5" s="1"/>
  <c r="J5104" i="5"/>
  <c r="K5104" i="5" s="1"/>
  <c r="L5104" i="5" s="1"/>
  <c r="T5103" i="5"/>
  <c r="T5104" i="5"/>
  <c r="B5099" i="5"/>
  <c r="M5099" i="5" s="1"/>
  <c r="B5100" i="5"/>
  <c r="M5100" i="5" s="1"/>
  <c r="B5101" i="5"/>
  <c r="M5101" i="5" s="1"/>
  <c r="B5102" i="5"/>
  <c r="M5102" i="5" s="1"/>
  <c r="J5099" i="5"/>
  <c r="J5100" i="5"/>
  <c r="J5101" i="5"/>
  <c r="K5101" i="5" s="1"/>
  <c r="L5101" i="5" s="1"/>
  <c r="J5102" i="5"/>
  <c r="K5102" i="5" s="1"/>
  <c r="L5102" i="5" s="1"/>
  <c r="T5099" i="5"/>
  <c r="T5100" i="5"/>
  <c r="T5101" i="5"/>
  <c r="T5102" i="5"/>
  <c r="B5097" i="5"/>
  <c r="M5097" i="5" s="1"/>
  <c r="B5098" i="5"/>
  <c r="M5098" i="5" s="1"/>
  <c r="J5097" i="5"/>
  <c r="K5097" i="5" s="1"/>
  <c r="L5097" i="5" s="1"/>
  <c r="J5098" i="5"/>
  <c r="T5097" i="5"/>
  <c r="T5098" i="5"/>
  <c r="B5096" i="5"/>
  <c r="M5096" i="5" s="1"/>
  <c r="J5096" i="5"/>
  <c r="T5096" i="5"/>
  <c r="B5092" i="5"/>
  <c r="M5092" i="5" s="1"/>
  <c r="B5093" i="5"/>
  <c r="Q5093" i="5" s="1"/>
  <c r="B5094" i="5"/>
  <c r="M5094" i="5" s="1"/>
  <c r="B5095" i="5"/>
  <c r="M5095" i="5" s="1"/>
  <c r="J5092" i="5"/>
  <c r="K5092" i="5" s="1"/>
  <c r="L5092" i="5" s="1"/>
  <c r="J5093" i="5"/>
  <c r="J5094" i="5"/>
  <c r="K5094" i="5" s="1"/>
  <c r="J5095" i="5"/>
  <c r="K5095" i="5" s="1"/>
  <c r="T5092" i="5"/>
  <c r="T5093" i="5"/>
  <c r="T5094" i="5"/>
  <c r="T5095" i="5"/>
  <c r="B5090" i="5"/>
  <c r="M5090" i="5" s="1"/>
  <c r="B5091" i="5"/>
  <c r="M5091" i="5" s="1"/>
  <c r="J5090" i="5"/>
  <c r="J5091" i="5"/>
  <c r="K5091" i="5" s="1"/>
  <c r="L5091" i="5" s="1"/>
  <c r="T5090" i="5"/>
  <c r="T5091" i="5"/>
  <c r="B5087" i="5"/>
  <c r="Q5087" i="5" s="1"/>
  <c r="B5088" i="5"/>
  <c r="Q5088" i="5" s="1"/>
  <c r="B5089" i="5"/>
  <c r="Q5089" i="5" s="1"/>
  <c r="J5087" i="5"/>
  <c r="K5087" i="5" s="1"/>
  <c r="L5087" i="5" s="1"/>
  <c r="J5088" i="5"/>
  <c r="K5088" i="5" s="1"/>
  <c r="J5089" i="5"/>
  <c r="K5089" i="5" s="1"/>
  <c r="T5087" i="5"/>
  <c r="T5088" i="5"/>
  <c r="T5089" i="5"/>
  <c r="B5083" i="5"/>
  <c r="M5083" i="5" s="1"/>
  <c r="B5084" i="5"/>
  <c r="Q5084" i="5" s="1"/>
  <c r="B5085" i="5"/>
  <c r="Q5085" i="5" s="1"/>
  <c r="B5086" i="5"/>
  <c r="Q5086" i="5" s="1"/>
  <c r="J5083" i="5"/>
  <c r="K5083" i="5" s="1"/>
  <c r="L5083" i="5" s="1"/>
  <c r="J5084" i="5"/>
  <c r="J5085" i="5"/>
  <c r="J5086" i="5"/>
  <c r="K5086" i="5" s="1"/>
  <c r="L5086" i="5" s="1"/>
  <c r="T5083" i="5"/>
  <c r="T5084" i="5"/>
  <c r="T5085" i="5"/>
  <c r="T5086" i="5"/>
  <c r="B5082" i="5"/>
  <c r="M5082" i="5" s="1"/>
  <c r="J5082" i="5"/>
  <c r="K5082" i="5" s="1"/>
  <c r="L5082" i="5" s="1"/>
  <c r="T5082" i="5"/>
  <c r="B5078" i="5"/>
  <c r="M5078" i="5" s="1"/>
  <c r="B5079" i="5"/>
  <c r="M5079" i="5" s="1"/>
  <c r="B5080" i="5"/>
  <c r="M5080" i="5" s="1"/>
  <c r="B5081" i="5"/>
  <c r="M5081" i="5" s="1"/>
  <c r="J5078" i="5"/>
  <c r="J5079" i="5"/>
  <c r="J5080" i="5"/>
  <c r="K5080" i="5" s="1"/>
  <c r="L5080" i="5" s="1"/>
  <c r="J5081" i="5"/>
  <c r="K5081" i="5" s="1"/>
  <c r="L5081" i="5" s="1"/>
  <c r="T5078" i="5"/>
  <c r="T5079" i="5"/>
  <c r="T5080" i="5"/>
  <c r="T5081" i="5"/>
  <c r="B5073" i="5"/>
  <c r="Q5073" i="5" s="1"/>
  <c r="B5074" i="5"/>
  <c r="Q5074" i="5" s="1"/>
  <c r="B5075" i="5"/>
  <c r="Q5075" i="5" s="1"/>
  <c r="B5076" i="5"/>
  <c r="M5076" i="5" s="1"/>
  <c r="B5077" i="5"/>
  <c r="M5077" i="5" s="1"/>
  <c r="J5073" i="5"/>
  <c r="J5074" i="5"/>
  <c r="K5074" i="5" s="1"/>
  <c r="L5074" i="5" s="1"/>
  <c r="J5075" i="5"/>
  <c r="J5076" i="5"/>
  <c r="J5077" i="5"/>
  <c r="K5077" i="5" s="1"/>
  <c r="L5077" i="5" s="1"/>
  <c r="T5073" i="5"/>
  <c r="T5074" i="5"/>
  <c r="T5075" i="5"/>
  <c r="T5076" i="5"/>
  <c r="T5077" i="5"/>
  <c r="B5072" i="5"/>
  <c r="M5072" i="5" s="1"/>
  <c r="J5072" i="5"/>
  <c r="T5072" i="5"/>
  <c r="B5071" i="5"/>
  <c r="Q5071" i="5" s="1"/>
  <c r="J5071" i="5"/>
  <c r="K5071" i="5" s="1"/>
  <c r="T5071" i="5"/>
  <c r="B5069" i="5"/>
  <c r="M5069" i="5" s="1"/>
  <c r="B5070" i="5"/>
  <c r="M5070" i="5" s="1"/>
  <c r="J5069" i="5"/>
  <c r="J5070" i="5"/>
  <c r="K5070" i="5" s="1"/>
  <c r="L5070" i="5" s="1"/>
  <c r="T5069" i="5"/>
  <c r="T5070" i="5"/>
  <c r="B5067" i="5"/>
  <c r="Q5067" i="5" s="1"/>
  <c r="B5068" i="5"/>
  <c r="M5068" i="5" s="1"/>
  <c r="J5067" i="5"/>
  <c r="J5068" i="5"/>
  <c r="K5068" i="5" s="1"/>
  <c r="L5068" i="5" s="1"/>
  <c r="T5067" i="5"/>
  <c r="T5068" i="5"/>
  <c r="B5065" i="5"/>
  <c r="M5065" i="5" s="1"/>
  <c r="B5066" i="5"/>
  <c r="M5066" i="5" s="1"/>
  <c r="J5065" i="5"/>
  <c r="K5065" i="5" s="1"/>
  <c r="L5065" i="5" s="1"/>
  <c r="J5066" i="5"/>
  <c r="K5066" i="5" s="1"/>
  <c r="L5066" i="5" s="1"/>
  <c r="T5065" i="5"/>
  <c r="T5066" i="5"/>
  <c r="B5060" i="5"/>
  <c r="M5060" i="5" s="1"/>
  <c r="B5061" i="5"/>
  <c r="M5061" i="5" s="1"/>
  <c r="B5062" i="5"/>
  <c r="Q5062" i="5" s="1"/>
  <c r="B5063" i="5"/>
  <c r="Q5063" i="5" s="1"/>
  <c r="B5064" i="5"/>
  <c r="M5064" i="5" s="1"/>
  <c r="J5060" i="5"/>
  <c r="J5061" i="5"/>
  <c r="K5061" i="5" s="1"/>
  <c r="L5061" i="5" s="1"/>
  <c r="J5062" i="5"/>
  <c r="J5063" i="5"/>
  <c r="K5063" i="5" s="1"/>
  <c r="J5064" i="5"/>
  <c r="K5064" i="5" s="1"/>
  <c r="L5064" i="5" s="1"/>
  <c r="T5060" i="5"/>
  <c r="T5061" i="5"/>
  <c r="T5062" i="5"/>
  <c r="T5063" i="5"/>
  <c r="T5064" i="5"/>
  <c r="B5057" i="5"/>
  <c r="Q5057" i="5" s="1"/>
  <c r="B5058" i="5"/>
  <c r="Q5058" i="5" s="1"/>
  <c r="B5059" i="5"/>
  <c r="Q5059" i="5" s="1"/>
  <c r="J5057" i="5"/>
  <c r="K5057" i="5" s="1"/>
  <c r="L5057" i="5" s="1"/>
  <c r="J5058" i="5"/>
  <c r="K5058" i="5" s="1"/>
  <c r="L5058" i="5" s="1"/>
  <c r="J5059" i="5"/>
  <c r="K5059" i="5" s="1"/>
  <c r="T5057" i="5"/>
  <c r="T5058" i="5"/>
  <c r="T5059" i="5"/>
  <c r="B5051" i="5"/>
  <c r="Q5051" i="5" s="1"/>
  <c r="B5052" i="5"/>
  <c r="Q5052" i="5" s="1"/>
  <c r="B5053" i="5"/>
  <c r="Q5053" i="5" s="1"/>
  <c r="B5054" i="5"/>
  <c r="Q5054" i="5" s="1"/>
  <c r="B5055" i="5"/>
  <c r="Q5055" i="5" s="1"/>
  <c r="B5056" i="5"/>
  <c r="Q5056" i="5" s="1"/>
  <c r="J5051" i="5"/>
  <c r="K5051" i="5" s="1"/>
  <c r="L5051" i="5" s="1"/>
  <c r="P5051" i="5" s="1"/>
  <c r="J5052" i="5"/>
  <c r="K5052" i="5" s="1"/>
  <c r="L5052" i="5" s="1"/>
  <c r="P5052" i="5" s="1"/>
  <c r="J5053" i="5"/>
  <c r="K5053" i="5" s="1"/>
  <c r="L5053" i="5" s="1"/>
  <c r="J5054" i="5"/>
  <c r="K5054" i="5" s="1"/>
  <c r="J5055" i="5"/>
  <c r="K5055" i="5" s="1"/>
  <c r="J5056" i="5"/>
  <c r="K5056" i="5" s="1"/>
  <c r="T5051" i="5"/>
  <c r="T5052" i="5"/>
  <c r="T5053" i="5"/>
  <c r="T5054" i="5"/>
  <c r="T5055" i="5"/>
  <c r="T5056" i="5"/>
  <c r="B5049" i="5"/>
  <c r="Q5049" i="5" s="1"/>
  <c r="B5050" i="5"/>
  <c r="M5050" i="5" s="1"/>
  <c r="J5049" i="5"/>
  <c r="J5050" i="5"/>
  <c r="K5050" i="5" s="1"/>
  <c r="L5050" i="5" s="1"/>
  <c r="T5049" i="5"/>
  <c r="T5050" i="5"/>
  <c r="B5048" i="5"/>
  <c r="Q5048" i="5" s="1"/>
  <c r="J5048" i="5"/>
  <c r="K5048" i="5" s="1"/>
  <c r="L5048" i="5" s="1"/>
  <c r="T5048" i="5"/>
  <c r="B5046" i="5"/>
  <c r="M5046" i="5" s="1"/>
  <c r="B5047" i="5"/>
  <c r="M5047" i="5" s="1"/>
  <c r="J5046" i="5"/>
  <c r="J5047" i="5"/>
  <c r="K5047" i="5" s="1"/>
  <c r="L5047" i="5" s="1"/>
  <c r="T5046" i="5"/>
  <c r="T5047" i="5"/>
  <c r="B5044" i="5"/>
  <c r="M5044" i="5" s="1"/>
  <c r="B5045" i="5"/>
  <c r="M5045" i="5" s="1"/>
  <c r="J5044" i="5"/>
  <c r="J5045" i="5"/>
  <c r="K5045" i="5" s="1"/>
  <c r="L5045" i="5" s="1"/>
  <c r="T5044" i="5"/>
  <c r="T5045" i="5"/>
  <c r="B5041" i="5"/>
  <c r="Q5041" i="5" s="1"/>
  <c r="B5042" i="5"/>
  <c r="Q5042" i="5" s="1"/>
  <c r="B5043" i="5"/>
  <c r="Q5043" i="5" s="1"/>
  <c r="J5041" i="5"/>
  <c r="K5041" i="5" s="1"/>
  <c r="L5041" i="5" s="1"/>
  <c r="J5042" i="5"/>
  <c r="K5042" i="5" s="1"/>
  <c r="J5043" i="5"/>
  <c r="K5043" i="5" s="1"/>
  <c r="T5041" i="5"/>
  <c r="T5042" i="5"/>
  <c r="T5043" i="5"/>
  <c r="B5039" i="5"/>
  <c r="M5039" i="5" s="1"/>
  <c r="B5040" i="5"/>
  <c r="Q5040" i="5" s="1"/>
  <c r="J5039" i="5"/>
  <c r="K5039" i="5" s="1"/>
  <c r="J5040" i="5"/>
  <c r="K5040" i="5" s="1"/>
  <c r="L5040" i="5" s="1"/>
  <c r="T5039" i="5"/>
  <c r="T5040" i="5"/>
  <c r="B5036" i="5"/>
  <c r="Q5036" i="5" s="1"/>
  <c r="B5037" i="5"/>
  <c r="Q5037" i="5" s="1"/>
  <c r="B5038" i="5"/>
  <c r="Q5038" i="5" s="1"/>
  <c r="J5036" i="5"/>
  <c r="K5036" i="5" s="1"/>
  <c r="L5036" i="5" s="1"/>
  <c r="J5037" i="5"/>
  <c r="K5037" i="5" s="1"/>
  <c r="L5037" i="5" s="1"/>
  <c r="J5038" i="5"/>
  <c r="K5038" i="5" s="1"/>
  <c r="T5036" i="5"/>
  <c r="T5037" i="5"/>
  <c r="T5038" i="5"/>
  <c r="B5035" i="5"/>
  <c r="M5035" i="5" s="1"/>
  <c r="J5035" i="5"/>
  <c r="K5035" i="5" s="1"/>
  <c r="T5035" i="5"/>
  <c r="B5034" i="5"/>
  <c r="M5034" i="5" s="1"/>
  <c r="J5034" i="5"/>
  <c r="K5034" i="5" s="1"/>
  <c r="T5034" i="5"/>
  <c r="B5032" i="5"/>
  <c r="M5032" i="5" s="1"/>
  <c r="B5033" i="5"/>
  <c r="M5033" i="5" s="1"/>
  <c r="J5032" i="5"/>
  <c r="J5033" i="5"/>
  <c r="K5033" i="5" s="1"/>
  <c r="L5033" i="5" s="1"/>
  <c r="T5032" i="5"/>
  <c r="T5033" i="5"/>
  <c r="B5030" i="5"/>
  <c r="M5030" i="5" s="1"/>
  <c r="B5031" i="5"/>
  <c r="M5031" i="5" s="1"/>
  <c r="J5030" i="5"/>
  <c r="K5030" i="5" s="1"/>
  <c r="L5030" i="5" s="1"/>
  <c r="J5031" i="5"/>
  <c r="K5031" i="5" s="1"/>
  <c r="L5031" i="5" s="1"/>
  <c r="T5030" i="5"/>
  <c r="T5031" i="5"/>
  <c r="B5029" i="5"/>
  <c r="M5029" i="5" s="1"/>
  <c r="J5029" i="5"/>
  <c r="T5029" i="5"/>
  <c r="B5028" i="5"/>
  <c r="M5028" i="5" s="1"/>
  <c r="J5028" i="5"/>
  <c r="K5028" i="5" s="1"/>
  <c r="L5028" i="5" s="1"/>
  <c r="T5028" i="5"/>
  <c r="B5025" i="5"/>
  <c r="Q5025" i="5" s="1"/>
  <c r="B5026" i="5"/>
  <c r="Q5026" i="5" s="1"/>
  <c r="B5027" i="5"/>
  <c r="Q5027" i="5" s="1"/>
  <c r="J5025" i="5"/>
  <c r="K5025" i="5" s="1"/>
  <c r="L5025" i="5" s="1"/>
  <c r="J5026" i="5"/>
  <c r="K5026" i="5" s="1"/>
  <c r="L5026" i="5" s="1"/>
  <c r="J5027" i="5"/>
  <c r="K5027" i="5" s="1"/>
  <c r="L5027" i="5" s="1"/>
  <c r="T5025" i="5"/>
  <c r="T5026" i="5"/>
  <c r="T5027" i="5"/>
  <c r="B5023" i="5"/>
  <c r="M5023" i="5" s="1"/>
  <c r="B5024" i="5"/>
  <c r="Q5024" i="5" s="1"/>
  <c r="J5023" i="5"/>
  <c r="K5023" i="5" s="1"/>
  <c r="J5024" i="5"/>
  <c r="K5024" i="5" s="1"/>
  <c r="L5024" i="5" s="1"/>
  <c r="T5023" i="5"/>
  <c r="T5024" i="5"/>
  <c r="B5020" i="5"/>
  <c r="Q5020" i="5" s="1"/>
  <c r="B5021" i="5"/>
  <c r="Q5021" i="5" s="1"/>
  <c r="B5022" i="5"/>
  <c r="Q5022" i="5" s="1"/>
  <c r="J5020" i="5"/>
  <c r="K5020" i="5" s="1"/>
  <c r="L5020" i="5" s="1"/>
  <c r="J5021" i="5"/>
  <c r="K5021" i="5" s="1"/>
  <c r="J5022" i="5"/>
  <c r="K5022" i="5" s="1"/>
  <c r="T5020" i="5"/>
  <c r="T5021" i="5"/>
  <c r="T5022" i="5"/>
  <c r="B5019" i="5"/>
  <c r="M5019" i="5" s="1"/>
  <c r="J5019" i="5"/>
  <c r="K5019" i="5" s="1"/>
  <c r="L5019" i="5" s="1"/>
  <c r="T5019" i="5"/>
  <c r="B5018" i="5"/>
  <c r="M5018" i="5" s="1"/>
  <c r="J5018" i="5"/>
  <c r="K5018" i="5" s="1"/>
  <c r="T5018" i="5"/>
  <c r="B5015" i="5"/>
  <c r="Q5015" i="5" s="1"/>
  <c r="B5016" i="5"/>
  <c r="Q5016" i="5" s="1"/>
  <c r="B5017" i="5"/>
  <c r="Q5017" i="5" s="1"/>
  <c r="J5015" i="5"/>
  <c r="K5015" i="5" s="1"/>
  <c r="L5015" i="5" s="1"/>
  <c r="J5016" i="5"/>
  <c r="K5016" i="5" s="1"/>
  <c r="J5017" i="5"/>
  <c r="K5017" i="5" s="1"/>
  <c r="L5017" i="5" s="1"/>
  <c r="T5015" i="5"/>
  <c r="T5016" i="5"/>
  <c r="T5017" i="5"/>
  <c r="B5013" i="5"/>
  <c r="M5013" i="5" s="1"/>
  <c r="B5014" i="5"/>
  <c r="M5014" i="5" s="1"/>
  <c r="J5013" i="5"/>
  <c r="K5013" i="5" s="1"/>
  <c r="L5013" i="5" s="1"/>
  <c r="J5014" i="5"/>
  <c r="K5014" i="5" s="1"/>
  <c r="L5014" i="5" s="1"/>
  <c r="T5013" i="5"/>
  <c r="T5014" i="5"/>
  <c r="B5012" i="5"/>
  <c r="Q5012" i="5" s="1"/>
  <c r="J5012" i="5"/>
  <c r="T5012" i="5"/>
  <c r="B5010" i="5"/>
  <c r="M5010" i="5" s="1"/>
  <c r="B5011" i="5"/>
  <c r="M5011" i="5" s="1"/>
  <c r="J5010" i="5"/>
  <c r="K5010" i="5" s="1"/>
  <c r="L5010" i="5" s="1"/>
  <c r="J5011" i="5"/>
  <c r="K5011" i="5" s="1"/>
  <c r="L5011" i="5" s="1"/>
  <c r="T5010" i="5"/>
  <c r="T5011" i="5"/>
  <c r="B5007" i="5"/>
  <c r="Q5007" i="5" s="1"/>
  <c r="B5008" i="5"/>
  <c r="Q5008" i="5" s="1"/>
  <c r="B5009" i="5"/>
  <c r="Q5009" i="5" s="1"/>
  <c r="J5007" i="5"/>
  <c r="K5007" i="5" s="1"/>
  <c r="J5008" i="5"/>
  <c r="K5008" i="5" s="1"/>
  <c r="J5009" i="5"/>
  <c r="K5009" i="5" s="1"/>
  <c r="T5007" i="5"/>
  <c r="T5008" i="5"/>
  <c r="T5009" i="5"/>
  <c r="B5006" i="5"/>
  <c r="M5006" i="5" s="1"/>
  <c r="J5006" i="5"/>
  <c r="K5006" i="5" s="1"/>
  <c r="T5006" i="5"/>
  <c r="B5004" i="5"/>
  <c r="M5004" i="5" s="1"/>
  <c r="B5005" i="5"/>
  <c r="M5005" i="5" s="1"/>
  <c r="J5004" i="5"/>
  <c r="J5005" i="5"/>
  <c r="K5005" i="5" s="1"/>
  <c r="L5005" i="5" s="1"/>
  <c r="T5004" i="5"/>
  <c r="T5005" i="5"/>
  <c r="B5002" i="5"/>
  <c r="M5002" i="5" s="1"/>
  <c r="B5003" i="5"/>
  <c r="M5003" i="5" s="1"/>
  <c r="J5002" i="5"/>
  <c r="K5002" i="5" s="1"/>
  <c r="J5003" i="5"/>
  <c r="T5002" i="5"/>
  <c r="T5003" i="5"/>
  <c r="B5001" i="5"/>
  <c r="M5001" i="5" s="1"/>
  <c r="J5001" i="5"/>
  <c r="K5001" i="5" s="1"/>
  <c r="L5001" i="5" s="1"/>
  <c r="T5001" i="5"/>
  <c r="B5000" i="5"/>
  <c r="Q5000" i="5" s="1"/>
  <c r="J5000" i="5"/>
  <c r="K5000" i="5" s="1"/>
  <c r="T5000" i="5"/>
  <c r="B4999" i="5"/>
  <c r="M4999" i="5" s="1"/>
  <c r="J4999" i="5"/>
  <c r="K4999" i="5" s="1"/>
  <c r="L4999" i="5" s="1"/>
  <c r="T4999" i="5"/>
  <c r="B4996" i="5"/>
  <c r="Q4996" i="5" s="1"/>
  <c r="B4997" i="5"/>
  <c r="Q4997" i="5" s="1"/>
  <c r="B4998" i="5"/>
  <c r="Q4998" i="5" s="1"/>
  <c r="J4996" i="5"/>
  <c r="K4996" i="5" s="1"/>
  <c r="L4996" i="5" s="1"/>
  <c r="J4997" i="5"/>
  <c r="K4997" i="5" s="1"/>
  <c r="L4997" i="5" s="1"/>
  <c r="J4998" i="5"/>
  <c r="K4998" i="5" s="1"/>
  <c r="T4996" i="5"/>
  <c r="T4997" i="5"/>
  <c r="T4998" i="5"/>
  <c r="B4995" i="5"/>
  <c r="Q4995" i="5" s="1"/>
  <c r="J4995" i="5"/>
  <c r="K4995" i="5" s="1"/>
  <c r="T4995" i="5"/>
  <c r="B4992" i="5"/>
  <c r="Q4992" i="5" s="1"/>
  <c r="B4993" i="5"/>
  <c r="Q4993" i="5" s="1"/>
  <c r="B4994" i="5"/>
  <c r="Q4994" i="5" s="1"/>
  <c r="J4992" i="5"/>
  <c r="K4992" i="5" s="1"/>
  <c r="L4992" i="5" s="1"/>
  <c r="J4993" i="5"/>
  <c r="K4993" i="5" s="1"/>
  <c r="J4994" i="5"/>
  <c r="K4994" i="5" s="1"/>
  <c r="T4992" i="5"/>
  <c r="T4993" i="5"/>
  <c r="T4994" i="5"/>
  <c r="B4991" i="5"/>
  <c r="M4991" i="5" s="1"/>
  <c r="J4991" i="5"/>
  <c r="K4991" i="5" s="1"/>
  <c r="T4991" i="5"/>
  <c r="B4990" i="5"/>
  <c r="M4990" i="5" s="1"/>
  <c r="J4990" i="5"/>
  <c r="K4990" i="5" s="1"/>
  <c r="T4990" i="5"/>
  <c r="B4989" i="5"/>
  <c r="M4989" i="5" s="1"/>
  <c r="J4989" i="5"/>
  <c r="K4989" i="5" s="1"/>
  <c r="T4989" i="5"/>
  <c r="B4988" i="5"/>
  <c r="M4988" i="5" s="1"/>
  <c r="J4988" i="5"/>
  <c r="K4988" i="5" s="1"/>
  <c r="T4988" i="5"/>
  <c r="B4986" i="5"/>
  <c r="M4986" i="5" s="1"/>
  <c r="B4987" i="5"/>
  <c r="M4987" i="5" s="1"/>
  <c r="J4986" i="5"/>
  <c r="J4987" i="5"/>
  <c r="K4987" i="5" s="1"/>
  <c r="L4987" i="5" s="1"/>
  <c r="T4986" i="5"/>
  <c r="T4987" i="5"/>
  <c r="B4985" i="5"/>
  <c r="Q4985" i="5" s="1"/>
  <c r="J4985" i="5"/>
  <c r="K4985" i="5" s="1"/>
  <c r="L4985" i="5" s="1"/>
  <c r="T4985" i="5"/>
  <c r="B4983" i="5"/>
  <c r="Q4983" i="5" s="1"/>
  <c r="B4984" i="5"/>
  <c r="M4984" i="5" s="1"/>
  <c r="J4983" i="5"/>
  <c r="J4984" i="5"/>
  <c r="K4984" i="5" s="1"/>
  <c r="L4984" i="5" s="1"/>
  <c r="T4983" i="5"/>
  <c r="T4984" i="5"/>
  <c r="B4982" i="5"/>
  <c r="M4982" i="5" s="1"/>
  <c r="J4982" i="5"/>
  <c r="T4982" i="5"/>
  <c r="B4981" i="5"/>
  <c r="M4981" i="5" s="1"/>
  <c r="J4981" i="5"/>
  <c r="K4981" i="5" s="1"/>
  <c r="T4981" i="5"/>
  <c r="B4979" i="5"/>
  <c r="Q4979" i="5" s="1"/>
  <c r="B4980" i="5"/>
  <c r="M4980" i="5" s="1"/>
  <c r="J4979" i="5"/>
  <c r="K4979" i="5" s="1"/>
  <c r="L4979" i="5" s="1"/>
  <c r="J4980" i="5"/>
  <c r="K4980" i="5" s="1"/>
  <c r="L4980" i="5" s="1"/>
  <c r="T4979" i="5"/>
  <c r="T4980" i="5"/>
  <c r="B4977" i="5"/>
  <c r="Q4977" i="5" s="1"/>
  <c r="B4978" i="5"/>
  <c r="M4978" i="5" s="1"/>
  <c r="J4977" i="5"/>
  <c r="J4978" i="5"/>
  <c r="K4978" i="5" s="1"/>
  <c r="L4978" i="5" s="1"/>
  <c r="P4978" i="5" s="1"/>
  <c r="T4977" i="5"/>
  <c r="T4978" i="5"/>
  <c r="B4976" i="5"/>
  <c r="Q4976" i="5" s="1"/>
  <c r="J4976" i="5"/>
  <c r="K4976" i="5" s="1"/>
  <c r="T4976" i="5"/>
  <c r="B4974" i="5"/>
  <c r="M4974" i="5" s="1"/>
  <c r="B4975" i="5"/>
  <c r="M4975" i="5" s="1"/>
  <c r="J4974" i="5"/>
  <c r="K4974" i="5" s="1"/>
  <c r="L4974" i="5" s="1"/>
  <c r="J4975" i="5"/>
  <c r="K4975" i="5" s="1"/>
  <c r="T4974" i="5"/>
  <c r="T4975" i="5"/>
  <c r="B4971" i="5"/>
  <c r="Q4971" i="5" s="1"/>
  <c r="B4972" i="5"/>
  <c r="Q4972" i="5" s="1"/>
  <c r="B4973" i="5"/>
  <c r="Q4973" i="5" s="1"/>
  <c r="J4971" i="5"/>
  <c r="K4971" i="5" s="1"/>
  <c r="L4971" i="5" s="1"/>
  <c r="J4972" i="5"/>
  <c r="K4972" i="5" s="1"/>
  <c r="L4972" i="5" s="1"/>
  <c r="J4973" i="5"/>
  <c r="K4973" i="5" s="1"/>
  <c r="L4973" i="5" s="1"/>
  <c r="T4971" i="5"/>
  <c r="T4972" i="5"/>
  <c r="T4973" i="5"/>
  <c r="B4969" i="5"/>
  <c r="M4969" i="5" s="1"/>
  <c r="B4970" i="5"/>
  <c r="M4970" i="5" s="1"/>
  <c r="J4969" i="5"/>
  <c r="J4970" i="5"/>
  <c r="K4970" i="5" s="1"/>
  <c r="L4970" i="5" s="1"/>
  <c r="T4969" i="5"/>
  <c r="T4970" i="5"/>
  <c r="B4967" i="5"/>
  <c r="Q4967" i="5" s="1"/>
  <c r="B4968" i="5"/>
  <c r="M4968" i="5" s="1"/>
  <c r="J4967" i="5"/>
  <c r="J4968" i="5"/>
  <c r="K4968" i="5" s="1"/>
  <c r="L4968" i="5" s="1"/>
  <c r="T4967" i="5"/>
  <c r="T4968" i="5"/>
  <c r="B4964" i="5"/>
  <c r="Q4964" i="5" s="1"/>
  <c r="B4965" i="5"/>
  <c r="Q4965" i="5" s="1"/>
  <c r="B4966" i="5"/>
  <c r="Q4966" i="5" s="1"/>
  <c r="J4964" i="5"/>
  <c r="K4964" i="5" s="1"/>
  <c r="L4964" i="5" s="1"/>
  <c r="J4965" i="5"/>
  <c r="K4965" i="5" s="1"/>
  <c r="L4965" i="5" s="1"/>
  <c r="J4966" i="5"/>
  <c r="K4966" i="5" s="1"/>
  <c r="T4964" i="5"/>
  <c r="T4965" i="5"/>
  <c r="T4966" i="5"/>
  <c r="B4962" i="5"/>
  <c r="M4962" i="5" s="1"/>
  <c r="B4963" i="5"/>
  <c r="M4963" i="5" s="1"/>
  <c r="J4962" i="5"/>
  <c r="K4962" i="5" s="1"/>
  <c r="J4963" i="5"/>
  <c r="K4963" i="5" s="1"/>
  <c r="T4962" i="5"/>
  <c r="T4963" i="5"/>
  <c r="B4961" i="5"/>
  <c r="M4961" i="5" s="1"/>
  <c r="J4961" i="5"/>
  <c r="T4961" i="5"/>
  <c r="B4959" i="5"/>
  <c r="Q4959" i="5" s="1"/>
  <c r="B4960" i="5"/>
  <c r="Q4960" i="5" s="1"/>
  <c r="J4959" i="5"/>
  <c r="K4959" i="5" s="1"/>
  <c r="L4959" i="5" s="1"/>
  <c r="J4960" i="5"/>
  <c r="K4960" i="5" s="1"/>
  <c r="T4959" i="5"/>
  <c r="T4960" i="5"/>
  <c r="B4956" i="5"/>
  <c r="Q4956" i="5" s="1"/>
  <c r="B4957" i="5"/>
  <c r="Q4957" i="5" s="1"/>
  <c r="B4958" i="5"/>
  <c r="Q4958" i="5" s="1"/>
  <c r="J4956" i="5"/>
  <c r="K4956" i="5" s="1"/>
  <c r="L4956" i="5" s="1"/>
  <c r="J4957" i="5"/>
  <c r="K4957" i="5" s="1"/>
  <c r="J4958" i="5"/>
  <c r="K4958" i="5" s="1"/>
  <c r="T4956" i="5"/>
  <c r="T4957" i="5"/>
  <c r="T4958" i="5"/>
  <c r="B4955" i="5"/>
  <c r="M4955" i="5" s="1"/>
  <c r="J4955" i="5"/>
  <c r="K4955" i="5" s="1"/>
  <c r="T4955" i="5"/>
  <c r="B4953" i="5"/>
  <c r="Q4953" i="5" s="1"/>
  <c r="B4954" i="5"/>
  <c r="Q4954" i="5" s="1"/>
  <c r="J4953" i="5"/>
  <c r="J4954" i="5"/>
  <c r="K4954" i="5" s="1"/>
  <c r="L4954" i="5" s="1"/>
  <c r="T4953" i="5"/>
  <c r="T4954" i="5"/>
  <c r="B4950" i="5"/>
  <c r="Q4950" i="5" s="1"/>
  <c r="B4951" i="5"/>
  <c r="Q4951" i="5" s="1"/>
  <c r="B4952" i="5"/>
  <c r="Q4952" i="5" s="1"/>
  <c r="J4950" i="5"/>
  <c r="K4950" i="5" s="1"/>
  <c r="L4950" i="5" s="1"/>
  <c r="J4951" i="5"/>
  <c r="K4951" i="5" s="1"/>
  <c r="L4951" i="5" s="1"/>
  <c r="J4952" i="5"/>
  <c r="K4952" i="5" s="1"/>
  <c r="T4950" i="5"/>
  <c r="T4951" i="5"/>
  <c r="T4952" i="5"/>
  <c r="B4947" i="5"/>
  <c r="Q4947" i="5" s="1"/>
  <c r="B4948" i="5"/>
  <c r="Q4948" i="5" s="1"/>
  <c r="B4949" i="5"/>
  <c r="Q4949" i="5" s="1"/>
  <c r="J4947" i="5"/>
  <c r="K4947" i="5" s="1"/>
  <c r="L4947" i="5" s="1"/>
  <c r="J4948" i="5"/>
  <c r="K4948" i="5" s="1"/>
  <c r="L4948" i="5" s="1"/>
  <c r="J4949" i="5"/>
  <c r="K4949" i="5" s="1"/>
  <c r="T4947" i="5"/>
  <c r="T4948" i="5"/>
  <c r="T4949" i="5"/>
  <c r="B4945" i="5"/>
  <c r="M4945" i="5" s="1"/>
  <c r="B4946" i="5"/>
  <c r="M4946" i="5" s="1"/>
  <c r="J4945" i="5"/>
  <c r="J4946" i="5"/>
  <c r="K4946" i="5" s="1"/>
  <c r="L4946" i="5" s="1"/>
  <c r="T4945" i="5"/>
  <c r="T4946" i="5"/>
  <c r="B4944" i="5"/>
  <c r="M4944" i="5" s="1"/>
  <c r="J4944" i="5"/>
  <c r="T4944" i="5"/>
  <c r="B4942" i="5"/>
  <c r="M4942" i="5" s="1"/>
  <c r="B4943" i="5"/>
  <c r="M4943" i="5" s="1"/>
  <c r="J4942" i="5"/>
  <c r="J4943" i="5"/>
  <c r="K4943" i="5" s="1"/>
  <c r="L4943" i="5" s="1"/>
  <c r="T4942" i="5"/>
  <c r="T4943" i="5"/>
  <c r="B4938" i="5"/>
  <c r="M4938" i="5" s="1"/>
  <c r="B4939" i="5"/>
  <c r="Q4939" i="5" s="1"/>
  <c r="B4940" i="5"/>
  <c r="M4940" i="5" s="1"/>
  <c r="B4941" i="5"/>
  <c r="M4941" i="5" s="1"/>
  <c r="J4938" i="5"/>
  <c r="K4938" i="5" s="1"/>
  <c r="J4939" i="5"/>
  <c r="J4940" i="5"/>
  <c r="K4940" i="5" s="1"/>
  <c r="J4941" i="5"/>
  <c r="T4938" i="5"/>
  <c r="T4939" i="5"/>
  <c r="T4940" i="5"/>
  <c r="T4941" i="5"/>
  <c r="B4933" i="5"/>
  <c r="M4933" i="5" s="1"/>
  <c r="B4934" i="5"/>
  <c r="Q4934" i="5" s="1"/>
  <c r="B4935" i="5"/>
  <c r="Q4935" i="5" s="1"/>
  <c r="B4936" i="5"/>
  <c r="Q4936" i="5" s="1"/>
  <c r="B4937" i="5"/>
  <c r="M4937" i="5" s="1"/>
  <c r="J4933" i="5"/>
  <c r="J4934" i="5"/>
  <c r="K4934" i="5" s="1"/>
  <c r="L4934" i="5" s="1"/>
  <c r="J4935" i="5"/>
  <c r="K4935" i="5" s="1"/>
  <c r="J4936" i="5"/>
  <c r="J4937" i="5"/>
  <c r="T4933" i="5"/>
  <c r="T4934" i="5"/>
  <c r="T4935" i="5"/>
  <c r="T4936" i="5"/>
  <c r="T4937" i="5"/>
  <c r="B4930" i="5"/>
  <c r="Q4930" i="5" s="1"/>
  <c r="B4931" i="5"/>
  <c r="Q4931" i="5" s="1"/>
  <c r="B4932" i="5"/>
  <c r="Q4932" i="5" s="1"/>
  <c r="J4930" i="5"/>
  <c r="K4930" i="5" s="1"/>
  <c r="J4931" i="5"/>
  <c r="K4931" i="5" s="1"/>
  <c r="J4932" i="5"/>
  <c r="K4932" i="5" s="1"/>
  <c r="T4930" i="5"/>
  <c r="T4931" i="5"/>
  <c r="T4932" i="5"/>
  <c r="B4929" i="5"/>
  <c r="M4929" i="5" s="1"/>
  <c r="J4929" i="5"/>
  <c r="K4929" i="5" s="1"/>
  <c r="T4929" i="5"/>
  <c r="B4928" i="5"/>
  <c r="Q4928" i="5" s="1"/>
  <c r="J4928" i="5"/>
  <c r="K4928" i="5" s="1"/>
  <c r="L4928" i="5" s="1"/>
  <c r="T4928" i="5"/>
  <c r="B4924" i="5"/>
  <c r="Q4924" i="5" s="1"/>
  <c r="B4925" i="5"/>
  <c r="M4925" i="5" s="1"/>
  <c r="B4926" i="5"/>
  <c r="M4926" i="5" s="1"/>
  <c r="B4927" i="5"/>
  <c r="M4927" i="5" s="1"/>
  <c r="J4924" i="5"/>
  <c r="J4925" i="5"/>
  <c r="J4926" i="5"/>
  <c r="K4926" i="5" s="1"/>
  <c r="L4926" i="5" s="1"/>
  <c r="J4927" i="5"/>
  <c r="K4927" i="5" s="1"/>
  <c r="L4927" i="5" s="1"/>
  <c r="T4924" i="5"/>
  <c r="T4925" i="5"/>
  <c r="T4926" i="5"/>
  <c r="T4927" i="5"/>
  <c r="B4921" i="5"/>
  <c r="Q4921" i="5" s="1"/>
  <c r="B4922" i="5"/>
  <c r="Q4922" i="5" s="1"/>
  <c r="B4923" i="5"/>
  <c r="Q4923" i="5" s="1"/>
  <c r="J4921" i="5"/>
  <c r="K4921" i="5" s="1"/>
  <c r="L4921" i="5" s="1"/>
  <c r="J4922" i="5"/>
  <c r="K4922" i="5" s="1"/>
  <c r="L4922" i="5" s="1"/>
  <c r="J4923" i="5"/>
  <c r="K4923" i="5" s="1"/>
  <c r="T4921" i="5"/>
  <c r="T4922" i="5"/>
  <c r="T4923" i="5"/>
  <c r="B4919" i="5"/>
  <c r="Q4919" i="5" s="1"/>
  <c r="B4920" i="5"/>
  <c r="M4920" i="5" s="1"/>
  <c r="J4919" i="5"/>
  <c r="K4919" i="5" s="1"/>
  <c r="J4920" i="5"/>
  <c r="K4920" i="5" s="1"/>
  <c r="L4920" i="5" s="1"/>
  <c r="T4919" i="5"/>
  <c r="T4920" i="5"/>
  <c r="B4916" i="5"/>
  <c r="Q4916" i="5" s="1"/>
  <c r="B4917" i="5"/>
  <c r="Q4917" i="5" s="1"/>
  <c r="B4918" i="5"/>
  <c r="Q4918" i="5" s="1"/>
  <c r="J4916" i="5"/>
  <c r="K4916" i="5" s="1"/>
  <c r="L4916" i="5" s="1"/>
  <c r="J4917" i="5"/>
  <c r="K4917" i="5" s="1"/>
  <c r="L4917" i="5" s="1"/>
  <c r="J4918" i="5"/>
  <c r="K4918" i="5" s="1"/>
  <c r="T4916" i="5"/>
  <c r="T4917" i="5"/>
  <c r="T4918" i="5"/>
  <c r="B4915" i="5"/>
  <c r="Q4915" i="5" s="1"/>
  <c r="J4915" i="5"/>
  <c r="K4915" i="5" s="1"/>
  <c r="T4915" i="5"/>
  <c r="B4914" i="5"/>
  <c r="M4914" i="5" s="1"/>
  <c r="J4914" i="5"/>
  <c r="K4914" i="5" s="1"/>
  <c r="T4914" i="5"/>
  <c r="B4912" i="5"/>
  <c r="M4912" i="5" s="1"/>
  <c r="B4913" i="5"/>
  <c r="M4913" i="5" s="1"/>
  <c r="J4912" i="5"/>
  <c r="J4913" i="5"/>
  <c r="K4913" i="5" s="1"/>
  <c r="L4913" i="5" s="1"/>
  <c r="T4912" i="5"/>
  <c r="T4913" i="5"/>
  <c r="B4909" i="5"/>
  <c r="Q4909" i="5" s="1"/>
  <c r="B4910" i="5"/>
  <c r="Q4910" i="5" s="1"/>
  <c r="B4911" i="5"/>
  <c r="Q4911" i="5" s="1"/>
  <c r="J4909" i="5"/>
  <c r="K4909" i="5" s="1"/>
  <c r="L4909" i="5" s="1"/>
  <c r="J4910" i="5"/>
  <c r="K4910" i="5" s="1"/>
  <c r="L4910" i="5" s="1"/>
  <c r="J4911" i="5"/>
  <c r="K4911" i="5" s="1"/>
  <c r="L4911" i="5" s="1"/>
  <c r="T4909" i="5"/>
  <c r="T4910" i="5"/>
  <c r="T4911" i="5"/>
  <c r="B4908" i="5"/>
  <c r="M4908" i="5" s="1"/>
  <c r="J4908" i="5"/>
  <c r="K4908" i="5" s="1"/>
  <c r="L4908" i="5" s="1"/>
  <c r="T4908" i="5"/>
  <c r="B4906" i="5"/>
  <c r="M4906" i="5" s="1"/>
  <c r="B4907" i="5"/>
  <c r="M4907" i="5" s="1"/>
  <c r="J4906" i="5"/>
  <c r="J4907" i="5"/>
  <c r="K4907" i="5" s="1"/>
  <c r="L4907" i="5" s="1"/>
  <c r="T4906" i="5"/>
  <c r="T4907" i="5"/>
  <c r="B4904" i="5"/>
  <c r="M4904" i="5" s="1"/>
  <c r="B4905" i="5"/>
  <c r="M4905" i="5" s="1"/>
  <c r="J4904" i="5"/>
  <c r="J4905" i="5"/>
  <c r="K4905" i="5" s="1"/>
  <c r="L4905" i="5" s="1"/>
  <c r="T4904" i="5"/>
  <c r="T4905" i="5"/>
  <c r="B4903" i="5"/>
  <c r="Q4903" i="5" s="1"/>
  <c r="J4903" i="5"/>
  <c r="T4903" i="5"/>
  <c r="B4902" i="5"/>
  <c r="Q4902" i="5" s="1"/>
  <c r="J4902" i="5"/>
  <c r="K4902" i="5" s="1"/>
  <c r="T4902" i="5"/>
  <c r="B4900" i="5"/>
  <c r="M4900" i="5" s="1"/>
  <c r="B4901" i="5"/>
  <c r="M4901" i="5" s="1"/>
  <c r="J4900" i="5"/>
  <c r="K4900" i="5" s="1"/>
  <c r="L4900" i="5" s="1"/>
  <c r="J4901" i="5"/>
  <c r="T4900" i="5"/>
  <c r="T4901" i="5"/>
  <c r="B4899" i="5"/>
  <c r="M4899" i="5" s="1"/>
  <c r="J4899" i="5"/>
  <c r="K4899" i="5" s="1"/>
  <c r="L4899" i="5" s="1"/>
  <c r="T4899" i="5"/>
  <c r="B4898" i="5"/>
  <c r="M4898" i="5" s="1"/>
  <c r="J4898" i="5"/>
  <c r="K4898" i="5" s="1"/>
  <c r="T4898" i="5"/>
  <c r="B4894" i="5"/>
  <c r="M4894" i="5" s="1"/>
  <c r="B4895" i="5"/>
  <c r="Q4895" i="5" s="1"/>
  <c r="B4896" i="5"/>
  <c r="M4896" i="5" s="1"/>
  <c r="B4897" i="5"/>
  <c r="M4897" i="5" s="1"/>
  <c r="J4894" i="5"/>
  <c r="K4894" i="5" s="1"/>
  <c r="L4894" i="5" s="1"/>
  <c r="J4895" i="5"/>
  <c r="J4896" i="5"/>
  <c r="K4896" i="5" s="1"/>
  <c r="J4897" i="5"/>
  <c r="K4897" i="5" s="1"/>
  <c r="T4894" i="5"/>
  <c r="T4895" i="5"/>
  <c r="T4896" i="5"/>
  <c r="T4897" i="5"/>
  <c r="B4893" i="5"/>
  <c r="M4893" i="5" s="1"/>
  <c r="J4893" i="5"/>
  <c r="K4893" i="5" s="1"/>
  <c r="T4893" i="5"/>
  <c r="B4892" i="5"/>
  <c r="M4892" i="5" s="1"/>
  <c r="J4892" i="5"/>
  <c r="K4892" i="5" s="1"/>
  <c r="L4892" i="5" s="1"/>
  <c r="T4892" i="5"/>
  <c r="B4891" i="5"/>
  <c r="M4891" i="5" s="1"/>
  <c r="J4891" i="5"/>
  <c r="K4891" i="5" s="1"/>
  <c r="T4891" i="5"/>
  <c r="B4890" i="5"/>
  <c r="Q4890" i="5" s="1"/>
  <c r="J4890" i="5"/>
  <c r="K4890" i="5" s="1"/>
  <c r="T4890" i="5"/>
  <c r="B4888" i="5"/>
  <c r="M4888" i="5" s="1"/>
  <c r="B4889" i="5"/>
  <c r="M4889" i="5" s="1"/>
  <c r="J4888" i="5"/>
  <c r="K4888" i="5" s="1"/>
  <c r="L4888" i="5" s="1"/>
  <c r="J4889" i="5"/>
  <c r="K4889" i="5" s="1"/>
  <c r="L4889" i="5" s="1"/>
  <c r="T4888" i="5"/>
  <c r="T4889" i="5"/>
  <c r="B4886" i="5"/>
  <c r="Q4886" i="5" s="1"/>
  <c r="B4887" i="5"/>
  <c r="Q4887" i="5" s="1"/>
  <c r="J4886" i="5"/>
  <c r="K4886" i="5" s="1"/>
  <c r="L4886" i="5" s="1"/>
  <c r="J4887" i="5"/>
  <c r="K4887" i="5" s="1"/>
  <c r="L4887" i="5" s="1"/>
  <c r="T4886" i="5"/>
  <c r="T4887" i="5"/>
  <c r="B4882" i="5"/>
  <c r="M4882" i="5" s="1"/>
  <c r="B4883" i="5"/>
  <c r="M4883" i="5" s="1"/>
  <c r="B4884" i="5"/>
  <c r="M4884" i="5" s="1"/>
  <c r="B4885" i="5"/>
  <c r="M4885" i="5" s="1"/>
  <c r="J4882" i="5"/>
  <c r="J4883" i="5"/>
  <c r="J4884" i="5"/>
  <c r="K4884" i="5" s="1"/>
  <c r="L4884" i="5" s="1"/>
  <c r="J4885" i="5"/>
  <c r="K4885" i="5" s="1"/>
  <c r="L4885" i="5" s="1"/>
  <c r="T4882" i="5"/>
  <c r="T4883" i="5"/>
  <c r="T4884" i="5"/>
  <c r="T4885" i="5"/>
  <c r="B4881" i="5"/>
  <c r="M4881" i="5" s="1"/>
  <c r="J4881" i="5"/>
  <c r="K4881" i="5" s="1"/>
  <c r="T4881" i="5"/>
  <c r="B4879" i="5"/>
  <c r="M4879" i="5" s="1"/>
  <c r="B4880" i="5"/>
  <c r="M4880" i="5" s="1"/>
  <c r="J4879" i="5"/>
  <c r="K4879" i="5" s="1"/>
  <c r="J4880" i="5"/>
  <c r="K4880" i="5" s="1"/>
  <c r="L4880" i="5" s="1"/>
  <c r="T4879" i="5"/>
  <c r="T4880" i="5"/>
  <c r="B4876" i="5"/>
  <c r="Q4876" i="5" s="1"/>
  <c r="B4877" i="5"/>
  <c r="Q4877" i="5" s="1"/>
  <c r="B4878" i="5"/>
  <c r="Q4878" i="5" s="1"/>
  <c r="J4876" i="5"/>
  <c r="K4876" i="5" s="1"/>
  <c r="L4876" i="5" s="1"/>
  <c r="J4877" i="5"/>
  <c r="K4877" i="5" s="1"/>
  <c r="L4877" i="5" s="1"/>
  <c r="J4878" i="5"/>
  <c r="K4878" i="5" s="1"/>
  <c r="L4878" i="5" s="1"/>
  <c r="T4876" i="5"/>
  <c r="T4877" i="5"/>
  <c r="T4878" i="5"/>
  <c r="B4874" i="5"/>
  <c r="Q4874" i="5" s="1"/>
  <c r="B4875" i="5"/>
  <c r="M4875" i="5" s="1"/>
  <c r="J4874" i="5"/>
  <c r="J4875" i="5"/>
  <c r="K4875" i="5" s="1"/>
  <c r="L4875" i="5" s="1"/>
  <c r="T4874" i="5"/>
  <c r="T4875" i="5"/>
  <c r="B4872" i="5"/>
  <c r="Q4872" i="5" s="1"/>
  <c r="B4873" i="5"/>
  <c r="M4873" i="5" s="1"/>
  <c r="J4872" i="5"/>
  <c r="J4873" i="5"/>
  <c r="K4873" i="5" s="1"/>
  <c r="T4872" i="5"/>
  <c r="T4873" i="5"/>
  <c r="B4870" i="5"/>
  <c r="M4870" i="5" s="1"/>
  <c r="B4871" i="5"/>
  <c r="M4871" i="5" s="1"/>
  <c r="J4870" i="5"/>
  <c r="K4870" i="5" s="1"/>
  <c r="J4871" i="5"/>
  <c r="K4871" i="5" s="1"/>
  <c r="T4870" i="5"/>
  <c r="T4871" i="5"/>
  <c r="B4869" i="5"/>
  <c r="M4869" i="5" s="1"/>
  <c r="J4869" i="5"/>
  <c r="T4869" i="5"/>
  <c r="B4864" i="5"/>
  <c r="M4864" i="5" s="1"/>
  <c r="B4865" i="5"/>
  <c r="Q4865" i="5" s="1"/>
  <c r="B4866" i="5"/>
  <c r="Q4866" i="5" s="1"/>
  <c r="B4867" i="5"/>
  <c r="Q4867" i="5" s="1"/>
  <c r="B4868" i="5"/>
  <c r="Q4868" i="5" s="1"/>
  <c r="J4864" i="5"/>
  <c r="K4864" i="5" s="1"/>
  <c r="J4865" i="5"/>
  <c r="K4865" i="5" s="1"/>
  <c r="J4866" i="5"/>
  <c r="J4867" i="5"/>
  <c r="K4867" i="5" s="1"/>
  <c r="J4868" i="5"/>
  <c r="K4868" i="5" s="1"/>
  <c r="T4864" i="5"/>
  <c r="T4865" i="5"/>
  <c r="T4866" i="5"/>
  <c r="T4867" i="5"/>
  <c r="T4868" i="5"/>
  <c r="B4863" i="5"/>
  <c r="M4863" i="5" s="1"/>
  <c r="J4863" i="5"/>
  <c r="K4863" i="5" s="1"/>
  <c r="T4863" i="5"/>
  <c r="B4862" i="5"/>
  <c r="M4862" i="5" s="1"/>
  <c r="J4862" i="5"/>
  <c r="K4862" i="5" s="1"/>
  <c r="T4862" i="5"/>
  <c r="B4859" i="5"/>
  <c r="Q4859" i="5" s="1"/>
  <c r="B4860" i="5"/>
  <c r="Q4860" i="5" s="1"/>
  <c r="B4861" i="5"/>
  <c r="Q4861" i="5" s="1"/>
  <c r="J4859" i="5"/>
  <c r="K4859" i="5" s="1"/>
  <c r="J4860" i="5"/>
  <c r="K4860" i="5" s="1"/>
  <c r="J4861" i="5"/>
  <c r="K4861" i="5" s="1"/>
  <c r="L4861" i="5" s="1"/>
  <c r="T4859" i="5"/>
  <c r="T4860" i="5"/>
  <c r="T4861" i="5"/>
  <c r="B4858" i="5"/>
  <c r="M4858" i="5" s="1"/>
  <c r="J4858" i="5"/>
  <c r="K4858" i="5" s="1"/>
  <c r="L4858" i="5" s="1"/>
  <c r="T4858" i="5"/>
  <c r="B4856" i="5"/>
  <c r="M4856" i="5" s="1"/>
  <c r="B4857" i="5"/>
  <c r="M4857" i="5" s="1"/>
  <c r="J4856" i="5"/>
  <c r="K4856" i="5" s="1"/>
  <c r="J4857" i="5"/>
  <c r="K4857" i="5" s="1"/>
  <c r="L4857" i="5" s="1"/>
  <c r="T4856" i="5"/>
  <c r="T4857" i="5"/>
  <c r="B4853" i="5"/>
  <c r="Q4853" i="5" s="1"/>
  <c r="B4854" i="5"/>
  <c r="Q4854" i="5" s="1"/>
  <c r="B4855" i="5"/>
  <c r="Q4855" i="5" s="1"/>
  <c r="J4853" i="5"/>
  <c r="J4854" i="5"/>
  <c r="K4854" i="5" s="1"/>
  <c r="L4854" i="5" s="1"/>
  <c r="J4855" i="5"/>
  <c r="K4855" i="5" s="1"/>
  <c r="T4853" i="5"/>
  <c r="T4854" i="5"/>
  <c r="T4855" i="5"/>
  <c r="B4848" i="5"/>
  <c r="Q4848" i="5" s="1"/>
  <c r="B4849" i="5"/>
  <c r="Q4849" i="5" s="1"/>
  <c r="B4850" i="5"/>
  <c r="Q4850" i="5" s="1"/>
  <c r="B4851" i="5"/>
  <c r="Q4851" i="5" s="1"/>
  <c r="B4852" i="5"/>
  <c r="Q4852" i="5" s="1"/>
  <c r="J4848" i="5"/>
  <c r="K4848" i="5" s="1"/>
  <c r="L4848" i="5" s="1"/>
  <c r="J4849" i="5"/>
  <c r="J4850" i="5"/>
  <c r="K4850" i="5" s="1"/>
  <c r="J4851" i="5"/>
  <c r="K4851" i="5" s="1"/>
  <c r="J4852" i="5"/>
  <c r="T4848" i="5"/>
  <c r="T4849" i="5"/>
  <c r="T4850" i="5"/>
  <c r="T4851" i="5"/>
  <c r="T4852" i="5"/>
  <c r="B4847" i="5"/>
  <c r="M4847" i="5" s="1"/>
  <c r="J4847" i="5"/>
  <c r="K4847" i="5" s="1"/>
  <c r="T4847" i="5"/>
  <c r="B4844" i="5"/>
  <c r="Q4844" i="5" s="1"/>
  <c r="B4845" i="5"/>
  <c r="Q4845" i="5" s="1"/>
  <c r="B4846" i="5"/>
  <c r="Q4846" i="5" s="1"/>
  <c r="J4844" i="5"/>
  <c r="J4845" i="5"/>
  <c r="K4845" i="5" s="1"/>
  <c r="L4845" i="5" s="1"/>
  <c r="J4846" i="5"/>
  <c r="K4846" i="5" s="1"/>
  <c r="L4846" i="5" s="1"/>
  <c r="T4844" i="5"/>
  <c r="T4845" i="5"/>
  <c r="T4846" i="5"/>
  <c r="B4842" i="5"/>
  <c r="Q4842" i="5" s="1"/>
  <c r="B4843" i="5"/>
  <c r="M4843" i="5" s="1"/>
  <c r="J4842" i="5"/>
  <c r="K4842" i="5" s="1"/>
  <c r="J4843" i="5"/>
  <c r="T4842" i="5"/>
  <c r="T4843" i="5"/>
  <c r="B4840" i="5"/>
  <c r="M4840" i="5" s="1"/>
  <c r="B4841" i="5"/>
  <c r="M4841" i="5" s="1"/>
  <c r="J4840" i="5"/>
  <c r="J4841" i="5"/>
  <c r="K4841" i="5" s="1"/>
  <c r="T4840" i="5"/>
  <c r="T4841" i="5"/>
  <c r="B4839" i="5"/>
  <c r="M4839" i="5" s="1"/>
  <c r="J4839" i="5"/>
  <c r="K4839" i="5" s="1"/>
  <c r="T4839" i="5"/>
  <c r="B4837" i="5"/>
  <c r="M4837" i="5" s="1"/>
  <c r="B4838" i="5"/>
  <c r="M4838" i="5" s="1"/>
  <c r="J4837" i="5"/>
  <c r="K4837" i="5" s="1"/>
  <c r="J4838" i="5"/>
  <c r="T4837" i="5"/>
  <c r="T4838" i="5"/>
  <c r="B4836" i="5"/>
  <c r="M4836" i="5" s="1"/>
  <c r="J4836" i="5"/>
  <c r="K4836" i="5" s="1"/>
  <c r="T4836" i="5"/>
  <c r="B4835" i="5"/>
  <c r="M4835" i="5" s="1"/>
  <c r="J4835" i="5"/>
  <c r="K4835" i="5" s="1"/>
  <c r="T4835" i="5"/>
  <c r="B4834" i="5"/>
  <c r="Q4834" i="5" s="1"/>
  <c r="J4834" i="5"/>
  <c r="T4834" i="5"/>
  <c r="B4833" i="5"/>
  <c r="M4833" i="5" s="1"/>
  <c r="J4833" i="5"/>
  <c r="K4833" i="5" s="1"/>
  <c r="T4833" i="5"/>
  <c r="B4830" i="5"/>
  <c r="Q4830" i="5" s="1"/>
  <c r="B4831" i="5"/>
  <c r="Q4831" i="5" s="1"/>
  <c r="B4832" i="5"/>
  <c r="Q4832" i="5" s="1"/>
  <c r="J4830" i="5"/>
  <c r="K4830" i="5" s="1"/>
  <c r="J4831" i="5"/>
  <c r="K4831" i="5" s="1"/>
  <c r="J4832" i="5"/>
  <c r="K4832" i="5" s="1"/>
  <c r="L4832" i="5" s="1"/>
  <c r="T4830" i="5"/>
  <c r="T4831" i="5"/>
  <c r="T4832" i="5"/>
  <c r="B4829" i="5"/>
  <c r="M4829" i="5" s="1"/>
  <c r="J4829" i="5"/>
  <c r="K4829" i="5" s="1"/>
  <c r="T4829" i="5"/>
  <c r="B4825" i="5"/>
  <c r="Q4825" i="5" s="1"/>
  <c r="B4826" i="5"/>
  <c r="M4826" i="5" s="1"/>
  <c r="B4827" i="5"/>
  <c r="M4827" i="5" s="1"/>
  <c r="B4828" i="5"/>
  <c r="M4828" i="5" s="1"/>
  <c r="J4825" i="5"/>
  <c r="K4825" i="5" s="1"/>
  <c r="J4826" i="5"/>
  <c r="K4826" i="5" s="1"/>
  <c r="L4826" i="5" s="1"/>
  <c r="J4827" i="5"/>
  <c r="K4827" i="5" s="1"/>
  <c r="J4828" i="5"/>
  <c r="T4825" i="5"/>
  <c r="T4826" i="5"/>
  <c r="T4827" i="5"/>
  <c r="T4828" i="5"/>
  <c r="B4823" i="5"/>
  <c r="M4823" i="5" s="1"/>
  <c r="B4824" i="5"/>
  <c r="Q4824" i="5" s="1"/>
  <c r="J4823" i="5"/>
  <c r="K4823" i="5" s="1"/>
  <c r="J4824" i="5"/>
  <c r="K4824" i="5" s="1"/>
  <c r="T4823" i="5"/>
  <c r="T4824" i="5"/>
  <c r="B4821" i="5"/>
  <c r="M4821" i="5" s="1"/>
  <c r="B4822" i="5"/>
  <c r="M4822" i="5" s="1"/>
  <c r="J4821" i="5"/>
  <c r="K4821" i="5" s="1"/>
  <c r="J4822" i="5"/>
  <c r="K4822" i="5" s="1"/>
  <c r="T4821" i="5"/>
  <c r="T4822" i="5"/>
  <c r="B4820" i="5"/>
  <c r="M4820" i="5" s="1"/>
  <c r="J4820" i="5"/>
  <c r="T4820" i="5"/>
  <c r="B4818" i="5"/>
  <c r="M4818" i="5" s="1"/>
  <c r="B4819" i="5"/>
  <c r="M4819" i="5" s="1"/>
  <c r="J4818" i="5"/>
  <c r="J4819" i="5"/>
  <c r="K4819" i="5" s="1"/>
  <c r="T4818" i="5"/>
  <c r="T4819" i="5"/>
  <c r="B4816" i="5"/>
  <c r="M4816" i="5" s="1"/>
  <c r="B4817" i="5"/>
  <c r="M4817" i="5" s="1"/>
  <c r="J4816" i="5"/>
  <c r="J4817" i="5"/>
  <c r="T4816" i="5"/>
  <c r="T4817" i="5"/>
  <c r="B4815" i="5"/>
  <c r="M4815" i="5" s="1"/>
  <c r="J4815" i="5"/>
  <c r="K4815" i="5" s="1"/>
  <c r="T4815" i="5"/>
  <c r="B4814" i="5"/>
  <c r="M4814" i="5" s="1"/>
  <c r="J4814" i="5"/>
  <c r="K4814" i="5" s="1"/>
  <c r="L4814" i="5" s="1"/>
  <c r="T4814" i="5"/>
  <c r="B4812" i="5"/>
  <c r="M4812" i="5" s="1"/>
  <c r="B4813" i="5"/>
  <c r="M4813" i="5" s="1"/>
  <c r="J4812" i="5"/>
  <c r="K4812" i="5" s="1"/>
  <c r="L4812" i="5" s="1"/>
  <c r="J4813" i="5"/>
  <c r="K4813" i="5" s="1"/>
  <c r="T4812" i="5"/>
  <c r="T4813" i="5"/>
  <c r="B4809" i="5"/>
  <c r="Q4809" i="5" s="1"/>
  <c r="B4810" i="5"/>
  <c r="Q4810" i="5" s="1"/>
  <c r="B4811" i="5"/>
  <c r="Q4811" i="5" s="1"/>
  <c r="J4809" i="5"/>
  <c r="K4809" i="5" s="1"/>
  <c r="J4810" i="5"/>
  <c r="K4810" i="5" s="1"/>
  <c r="L4810" i="5" s="1"/>
  <c r="J4811" i="5"/>
  <c r="K4811" i="5" s="1"/>
  <c r="T4809" i="5"/>
  <c r="T4810" i="5"/>
  <c r="T4811" i="5"/>
  <c r="B4808" i="5"/>
  <c r="M4808" i="5" s="1"/>
  <c r="J4808" i="5"/>
  <c r="K4808" i="5" s="1"/>
  <c r="T4808" i="5"/>
  <c r="B4807" i="5"/>
  <c r="M4807" i="5" s="1"/>
  <c r="J4807" i="5"/>
  <c r="T4807" i="5"/>
  <c r="B4805" i="5"/>
  <c r="M4805" i="5" s="1"/>
  <c r="B4806" i="5"/>
  <c r="Q4806" i="5" s="1"/>
  <c r="J4805" i="5"/>
  <c r="K4805" i="5" s="1"/>
  <c r="J4806" i="5"/>
  <c r="K4806" i="5" s="1"/>
  <c r="T4805" i="5"/>
  <c r="T4806" i="5"/>
  <c r="B4803" i="5"/>
  <c r="M4803" i="5" s="1"/>
  <c r="B4804" i="5"/>
  <c r="M4804" i="5" s="1"/>
  <c r="J4803" i="5"/>
  <c r="K4803" i="5" s="1"/>
  <c r="J4804" i="5"/>
  <c r="T4803" i="5"/>
  <c r="T4804" i="5"/>
  <c r="B4801" i="5"/>
  <c r="Q4801" i="5" s="1"/>
  <c r="B4802" i="5"/>
  <c r="M4802" i="5" s="1"/>
  <c r="J4801" i="5"/>
  <c r="J4802" i="5"/>
  <c r="K4802" i="5" s="1"/>
  <c r="T4801" i="5"/>
  <c r="T4802" i="5"/>
  <c r="B4799" i="5"/>
  <c r="M4799" i="5" s="1"/>
  <c r="B4800" i="5"/>
  <c r="M4800" i="5" s="1"/>
  <c r="J4799" i="5"/>
  <c r="K4799" i="5" s="1"/>
  <c r="J4800" i="5"/>
  <c r="K4800" i="5" s="1"/>
  <c r="T4799" i="5"/>
  <c r="T4800" i="5"/>
  <c r="B4795" i="5"/>
  <c r="M4795" i="5" s="1"/>
  <c r="B4796" i="5"/>
  <c r="M4796" i="5" s="1"/>
  <c r="B4797" i="5"/>
  <c r="M4797" i="5" s="1"/>
  <c r="B4798" i="5"/>
  <c r="M4798" i="5" s="1"/>
  <c r="J4795" i="5"/>
  <c r="K4795" i="5" s="1"/>
  <c r="J4796" i="5"/>
  <c r="K4796" i="5" s="1"/>
  <c r="J4797" i="5"/>
  <c r="J4798" i="5"/>
  <c r="K4798" i="5" s="1"/>
  <c r="T4795" i="5"/>
  <c r="T4796" i="5"/>
  <c r="T4797" i="5"/>
  <c r="T4798" i="5"/>
  <c r="B4794" i="5"/>
  <c r="M4794" i="5" s="1"/>
  <c r="J4794" i="5"/>
  <c r="T4794" i="5"/>
  <c r="B4791" i="5"/>
  <c r="Q4791" i="5" s="1"/>
  <c r="B4792" i="5"/>
  <c r="Q4792" i="5" s="1"/>
  <c r="B4793" i="5"/>
  <c r="Q4793" i="5" s="1"/>
  <c r="J4791" i="5"/>
  <c r="K4791" i="5" s="1"/>
  <c r="J4792" i="5"/>
  <c r="K4792" i="5" s="1"/>
  <c r="J4793" i="5"/>
  <c r="K4793" i="5" s="1"/>
  <c r="T4791" i="5"/>
  <c r="T4792" i="5"/>
  <c r="T4793" i="5"/>
  <c r="B4784" i="5"/>
  <c r="M4784" i="5" s="1"/>
  <c r="B4785" i="5"/>
  <c r="Q4785" i="5" s="1"/>
  <c r="B4786" i="5"/>
  <c r="M4786" i="5" s="1"/>
  <c r="B4787" i="5"/>
  <c r="M4787" i="5" s="1"/>
  <c r="B4788" i="5"/>
  <c r="M4788" i="5" s="1"/>
  <c r="B4789" i="5"/>
  <c r="M4789" i="5" s="1"/>
  <c r="B4790" i="5"/>
  <c r="M4790" i="5" s="1"/>
  <c r="J4784" i="5"/>
  <c r="K4784" i="5" s="1"/>
  <c r="J4785" i="5"/>
  <c r="K4785" i="5" s="1"/>
  <c r="J4786" i="5"/>
  <c r="J4787" i="5"/>
  <c r="J4788" i="5"/>
  <c r="J4789" i="5"/>
  <c r="K4789" i="5" s="1"/>
  <c r="J4790" i="5"/>
  <c r="T4784" i="5"/>
  <c r="T4785" i="5"/>
  <c r="T4786" i="5"/>
  <c r="T4787" i="5"/>
  <c r="T4788" i="5"/>
  <c r="T4789" i="5"/>
  <c r="T4790" i="5"/>
  <c r="B4783" i="5"/>
  <c r="M4783" i="5" s="1"/>
  <c r="J4783" i="5"/>
  <c r="T4783" i="5"/>
  <c r="B4782" i="5"/>
  <c r="M4782" i="5" s="1"/>
  <c r="J4782" i="5"/>
  <c r="K4782" i="5" s="1"/>
  <c r="T4782" i="5"/>
  <c r="B4779" i="5"/>
  <c r="M4779" i="5" s="1"/>
  <c r="B4780" i="5"/>
  <c r="M4780" i="5" s="1"/>
  <c r="B4781" i="5"/>
  <c r="M4781" i="5" s="1"/>
  <c r="J4779" i="5"/>
  <c r="K4779" i="5" s="1"/>
  <c r="J4780" i="5"/>
  <c r="K4780" i="5" s="1"/>
  <c r="J4781" i="5"/>
  <c r="T4779" i="5"/>
  <c r="T4780" i="5"/>
  <c r="T4781" i="5"/>
  <c r="M5551" i="5" l="1"/>
  <c r="N5551" i="5" s="1"/>
  <c r="M5420" i="5"/>
  <c r="M4916" i="5"/>
  <c r="N4916" i="5" s="1"/>
  <c r="M4996" i="5"/>
  <c r="N4996" i="5" s="1"/>
  <c r="M5017" i="5"/>
  <c r="N5017" i="5" s="1"/>
  <c r="M5222" i="5"/>
  <c r="N5222" i="5" s="1"/>
  <c r="M5530" i="5"/>
  <c r="M5269" i="5"/>
  <c r="N5269" i="5" s="1"/>
  <c r="M5570" i="5"/>
  <c r="N5570" i="5" s="1"/>
  <c r="M5191" i="5"/>
  <c r="M5410" i="5"/>
  <c r="M5192" i="5"/>
  <c r="N5192" i="5" s="1"/>
  <c r="M5549" i="5"/>
  <c r="M5394" i="5"/>
  <c r="M5460" i="5"/>
  <c r="M5458" i="5"/>
  <c r="N5458" i="5" s="1"/>
  <c r="M5159" i="5"/>
  <c r="M5021" i="5"/>
  <c r="M5020" i="5"/>
  <c r="N5020" i="5" s="1"/>
  <c r="M5059" i="5"/>
  <c r="M5408" i="5"/>
  <c r="M5375" i="5"/>
  <c r="N5375" i="5" s="1"/>
  <c r="M5400" i="5"/>
  <c r="M5483" i="5"/>
  <c r="N5483" i="5" s="1"/>
  <c r="M5455" i="5"/>
  <c r="M5383" i="5"/>
  <c r="M5206" i="5"/>
  <c r="N5206" i="5" s="1"/>
  <c r="M5395" i="5"/>
  <c r="N5395" i="5" s="1"/>
  <c r="M5477" i="5"/>
  <c r="M5190" i="5"/>
  <c r="N5190" i="5" s="1"/>
  <c r="M4972" i="5"/>
  <c r="N4972" i="5" s="1"/>
  <c r="M4918" i="5"/>
  <c r="M5207" i="5"/>
  <c r="M4917" i="5"/>
  <c r="N4917" i="5" s="1"/>
  <c r="M4971" i="5"/>
  <c r="N4971" i="5" s="1"/>
  <c r="M5130" i="5"/>
  <c r="M4853" i="5"/>
  <c r="M5129" i="5"/>
  <c r="M5181" i="5"/>
  <c r="M5128" i="5"/>
  <c r="N5128" i="5" s="1"/>
  <c r="M5475" i="5"/>
  <c r="N5475" i="5" s="1"/>
  <c r="M4994" i="5"/>
  <c r="M4809" i="5"/>
  <c r="M5550" i="5"/>
  <c r="M5333" i="5"/>
  <c r="M5221" i="5"/>
  <c r="N5221" i="5" s="1"/>
  <c r="M5332" i="5"/>
  <c r="M5331" i="5"/>
  <c r="M5381" i="5"/>
  <c r="M5452" i="5"/>
  <c r="M4878" i="5"/>
  <c r="N4878" i="5" s="1"/>
  <c r="M5507" i="5"/>
  <c r="N5507" i="5" s="1"/>
  <c r="M5499" i="5"/>
  <c r="M5043" i="5"/>
  <c r="M5498" i="5"/>
  <c r="M5205" i="5"/>
  <c r="N5205" i="5" s="1"/>
  <c r="M5305" i="5"/>
  <c r="N5305" i="5" s="1"/>
  <c r="M5189" i="5"/>
  <c r="N5189" i="5" s="1"/>
  <c r="M5382" i="5"/>
  <c r="N5382" i="5" s="1"/>
  <c r="M5380" i="5"/>
  <c r="M5459" i="5"/>
  <c r="M5476" i="5"/>
  <c r="M5374" i="5"/>
  <c r="M5009" i="5"/>
  <c r="M5016" i="5"/>
  <c r="M5042" i="5"/>
  <c r="M5058" i="5"/>
  <c r="N5058" i="5" s="1"/>
  <c r="M5373" i="5"/>
  <c r="N5373" i="5" s="1"/>
  <c r="M5532" i="5"/>
  <c r="N5532" i="5" s="1"/>
  <c r="M5540" i="5"/>
  <c r="N5540" i="5" s="1"/>
  <c r="M5008" i="5"/>
  <c r="M4966" i="5"/>
  <c r="M5007" i="5"/>
  <c r="M5531" i="5"/>
  <c r="M5015" i="5"/>
  <c r="N5015" i="5" s="1"/>
  <c r="M5057" i="5"/>
  <c r="N5057" i="5" s="1"/>
  <c r="M4965" i="5"/>
  <c r="N4965" i="5" s="1"/>
  <c r="M4868" i="5"/>
  <c r="M5041" i="5"/>
  <c r="N5041" i="5" s="1"/>
  <c r="M4831" i="5"/>
  <c r="M4957" i="5"/>
  <c r="M4964" i="5"/>
  <c r="N4964" i="5" s="1"/>
  <c r="M5132" i="5"/>
  <c r="M5158" i="5"/>
  <c r="M5272" i="5"/>
  <c r="N5272" i="5" s="1"/>
  <c r="M5409" i="5"/>
  <c r="M4830" i="5"/>
  <c r="M4956" i="5"/>
  <c r="N4956" i="5" s="1"/>
  <c r="M5131" i="5"/>
  <c r="N5131" i="5" s="1"/>
  <c r="M5193" i="5"/>
  <c r="N5193" i="5" s="1"/>
  <c r="M5055" i="5"/>
  <c r="M4993" i="5"/>
  <c r="M5054" i="5"/>
  <c r="M5087" i="5"/>
  <c r="N5087" i="5" s="1"/>
  <c r="M4877" i="5"/>
  <c r="N4877" i="5" s="1"/>
  <c r="M4876" i="5"/>
  <c r="N4876" i="5" s="1"/>
  <c r="M4921" i="5"/>
  <c r="N4921" i="5" s="1"/>
  <c r="M4992" i="5"/>
  <c r="N4992" i="5" s="1"/>
  <c r="M5053" i="5"/>
  <c r="N5053" i="5" s="1"/>
  <c r="M4922" i="5"/>
  <c r="N4922" i="5" s="1"/>
  <c r="M4859" i="5"/>
  <c r="M5052" i="5"/>
  <c r="N5052" i="5" s="1"/>
  <c r="O5052" i="5" s="1"/>
  <c r="M5051" i="5"/>
  <c r="N5051" i="5" s="1"/>
  <c r="U5051" i="5" s="1"/>
  <c r="V5051" i="5" s="1"/>
  <c r="Q4786" i="5"/>
  <c r="M5220" i="5"/>
  <c r="M5229" i="5"/>
  <c r="N5229" i="5" s="1"/>
  <c r="M5393" i="5"/>
  <c r="N5393" i="5" s="1"/>
  <c r="M5497" i="5"/>
  <c r="M4950" i="5"/>
  <c r="N4950" i="5" s="1"/>
  <c r="M5377" i="5"/>
  <c r="M5456" i="5"/>
  <c r="M5314" i="5"/>
  <c r="M5465" i="5"/>
  <c r="N5465" i="5" s="1"/>
  <c r="M5313" i="5"/>
  <c r="M5413" i="5"/>
  <c r="M5419" i="5"/>
  <c r="M5463" i="5"/>
  <c r="M5312" i="5"/>
  <c r="M5412" i="5"/>
  <c r="N5412" i="5" s="1"/>
  <c r="M5572" i="5"/>
  <c r="M5022" i="5"/>
  <c r="M5249" i="5"/>
  <c r="N5249" i="5" s="1"/>
  <c r="M5411" i="5"/>
  <c r="N5411" i="5" s="1"/>
  <c r="M5571" i="5"/>
  <c r="M5160" i="5"/>
  <c r="M5454" i="5"/>
  <c r="N5454" i="5" s="1"/>
  <c r="M5457" i="5"/>
  <c r="N5457" i="5" s="1"/>
  <c r="M5088" i="5"/>
  <c r="M5464" i="5"/>
  <c r="M5453" i="5"/>
  <c r="M5494" i="5"/>
  <c r="M4852" i="5"/>
  <c r="M5306" i="5"/>
  <c r="M5520" i="5"/>
  <c r="M5133" i="5"/>
  <c r="M5124" i="5"/>
  <c r="M5123" i="5"/>
  <c r="N5123" i="5" s="1"/>
  <c r="M5385" i="5"/>
  <c r="N5385" i="5" s="1"/>
  <c r="M5164" i="5"/>
  <c r="N5164" i="5" s="1"/>
  <c r="M5270" i="5"/>
  <c r="M5037" i="5"/>
  <c r="N5037" i="5" s="1"/>
  <c r="M5036" i="5"/>
  <c r="N5036" i="5" s="1"/>
  <c r="M5384" i="5"/>
  <c r="M5492" i="5"/>
  <c r="M5421" i="5"/>
  <c r="M5166" i="5"/>
  <c r="M5493" i="5"/>
  <c r="M5165" i="5"/>
  <c r="M4832" i="5"/>
  <c r="N4832" i="5" s="1"/>
  <c r="M4948" i="5"/>
  <c r="N4948" i="5" s="1"/>
  <c r="M5086" i="5"/>
  <c r="N5086" i="5" s="1"/>
  <c r="M4949" i="5"/>
  <c r="M4931" i="5"/>
  <c r="Q5590" i="5"/>
  <c r="R5590" i="5" s="1"/>
  <c r="S5590" i="5" s="1"/>
  <c r="M4947" i="5"/>
  <c r="N4947" i="5" s="1"/>
  <c r="M4792" i="5"/>
  <c r="M4911" i="5"/>
  <c r="N4911" i="5" s="1"/>
  <c r="M4930" i="5"/>
  <c r="M5311" i="5"/>
  <c r="M5522" i="5"/>
  <c r="M4910" i="5"/>
  <c r="N4910" i="5" s="1"/>
  <c r="M4958" i="5"/>
  <c r="M4909" i="5"/>
  <c r="N4909" i="5" s="1"/>
  <c r="M5089" i="5"/>
  <c r="M5085" i="5"/>
  <c r="M5521" i="5"/>
  <c r="M4793" i="5"/>
  <c r="M5310" i="5"/>
  <c r="M4791" i="5"/>
  <c r="M5194" i="5"/>
  <c r="N5194" i="5" s="1"/>
  <c r="M5537" i="5"/>
  <c r="M5587" i="5"/>
  <c r="M5586" i="5"/>
  <c r="Q5388" i="5"/>
  <c r="M5523" i="5"/>
  <c r="M4861" i="5"/>
  <c r="N4861" i="5" s="1"/>
  <c r="M5369" i="5"/>
  <c r="N5369" i="5" s="1"/>
  <c r="Q5529" i="5"/>
  <c r="R5529" i="5" s="1"/>
  <c r="S5529" i="5" s="1"/>
  <c r="Q5539" i="5"/>
  <c r="R5539" i="5" s="1"/>
  <c r="S5539" i="5" s="1"/>
  <c r="Q5366" i="5"/>
  <c r="R5366" i="5" s="1"/>
  <c r="S5366" i="5" s="1"/>
  <c r="M5562" i="5"/>
  <c r="N5562" i="5" s="1"/>
  <c r="M5386" i="5"/>
  <c r="N5386" i="5" s="1"/>
  <c r="M5358" i="5"/>
  <c r="N5358" i="5" s="1"/>
  <c r="M4923" i="5"/>
  <c r="M4845" i="5"/>
  <c r="N4845" i="5" s="1"/>
  <c r="M4860" i="5"/>
  <c r="M5367" i="5"/>
  <c r="N5367" i="5" s="1"/>
  <c r="L5469" i="5"/>
  <c r="N5469" i="5" s="1"/>
  <c r="M5387" i="5"/>
  <c r="M5404" i="5"/>
  <c r="M5556" i="5"/>
  <c r="Q5575" i="5"/>
  <c r="R5575" i="5" s="1"/>
  <c r="S5575" i="5" s="1"/>
  <c r="M5583" i="5"/>
  <c r="Q5443" i="5"/>
  <c r="R5443" i="5" s="1"/>
  <c r="S5443" i="5" s="1"/>
  <c r="M5576" i="5"/>
  <c r="Q5581" i="5"/>
  <c r="R5581" i="5" s="1"/>
  <c r="S5581" i="5" s="1"/>
  <c r="Q5584" i="5"/>
  <c r="R5584" i="5" s="1"/>
  <c r="S5584" i="5" s="1"/>
  <c r="M4951" i="5"/>
  <c r="N4951" i="5" s="1"/>
  <c r="Q5379" i="5"/>
  <c r="R5379" i="5" s="1"/>
  <c r="S5379" i="5" s="1"/>
  <c r="M5490" i="5"/>
  <c r="M5553" i="5"/>
  <c r="L5470" i="5"/>
  <c r="P5470" i="5" s="1"/>
  <c r="M5488" i="5"/>
  <c r="N5488" i="5" s="1"/>
  <c r="M5445" i="5"/>
  <c r="M5425" i="5"/>
  <c r="M5441" i="5"/>
  <c r="M5582" i="5"/>
  <c r="Q5389" i="5"/>
  <c r="R5389" i="5" s="1"/>
  <c r="S5389" i="5" s="1"/>
  <c r="M5427" i="5"/>
  <c r="M5440" i="5"/>
  <c r="Q5558" i="5"/>
  <c r="M5578" i="5"/>
  <c r="M5525" i="5"/>
  <c r="M5546" i="5"/>
  <c r="M5548" i="5"/>
  <c r="M5183" i="5"/>
  <c r="M4846" i="5"/>
  <c r="N4846" i="5" s="1"/>
  <c r="M4855" i="5"/>
  <c r="M5450" i="5"/>
  <c r="M5347" i="5"/>
  <c r="Q5435" i="5"/>
  <c r="Q5468" i="5"/>
  <c r="R5468" i="5" s="1"/>
  <c r="S5468" i="5" s="1"/>
  <c r="M5496" i="5"/>
  <c r="M5543" i="5"/>
  <c r="N5543" i="5" s="1"/>
  <c r="M5461" i="5"/>
  <c r="M5502" i="5"/>
  <c r="M5182" i="5"/>
  <c r="N5182" i="5" s="1"/>
  <c r="M5349" i="5"/>
  <c r="M5414" i="5"/>
  <c r="Q5424" i="5"/>
  <c r="R5424" i="5" s="1"/>
  <c r="S5424" i="5" s="1"/>
  <c r="M5506" i="5"/>
  <c r="Q5528" i="5"/>
  <c r="R5528" i="5" s="1"/>
  <c r="S5528" i="5" s="1"/>
  <c r="Q5547" i="5"/>
  <c r="Q5561" i="5"/>
  <c r="R5561" i="5" s="1"/>
  <c r="S5561" i="5" s="1"/>
  <c r="M4854" i="5"/>
  <c r="N4854" i="5" s="1"/>
  <c r="M4844" i="5"/>
  <c r="Q5437" i="5"/>
  <c r="R5437" i="5" s="1"/>
  <c r="S5437" i="5" s="1"/>
  <c r="Q5469" i="5"/>
  <c r="R5469" i="5" s="1"/>
  <c r="S5469" i="5" s="1"/>
  <c r="M5559" i="5"/>
  <c r="Q5577" i="5"/>
  <c r="M5402" i="5"/>
  <c r="N5402" i="5" s="1"/>
  <c r="M5433" i="5"/>
  <c r="Q5444" i="5"/>
  <c r="R5444" i="5" s="1"/>
  <c r="S5444" i="5" s="1"/>
  <c r="Q5509" i="5"/>
  <c r="R5509" i="5" s="1"/>
  <c r="S5509" i="5" s="1"/>
  <c r="Q5515" i="5"/>
  <c r="Q5536" i="5"/>
  <c r="R5536" i="5" s="1"/>
  <c r="S5536" i="5" s="1"/>
  <c r="Q5538" i="5"/>
  <c r="Q5554" i="5"/>
  <c r="R5554" i="5" s="1"/>
  <c r="S5554" i="5" s="1"/>
  <c r="M5579" i="5"/>
  <c r="N5579" i="5" s="1"/>
  <c r="Q5585" i="5"/>
  <c r="R5585" i="5" s="1"/>
  <c r="S5585" i="5" s="1"/>
  <c r="M5557" i="5"/>
  <c r="Q5589" i="5"/>
  <c r="R5589" i="5" s="1"/>
  <c r="S5589" i="5" s="1"/>
  <c r="M4952" i="5"/>
  <c r="Q5368" i="5"/>
  <c r="R5368" i="5" s="1"/>
  <c r="S5368" i="5" s="1"/>
  <c r="M5391" i="5"/>
  <c r="M5416" i="5"/>
  <c r="M5423" i="5"/>
  <c r="Q5432" i="5"/>
  <c r="R5432" i="5" s="1"/>
  <c r="S5432" i="5" s="1"/>
  <c r="M5438" i="5"/>
  <c r="Q5451" i="5"/>
  <c r="Q5471" i="5"/>
  <c r="R5471" i="5" s="1"/>
  <c r="S5471" i="5" s="1"/>
  <c r="M5491" i="5"/>
  <c r="Q5495" i="5"/>
  <c r="R5495" i="5" s="1"/>
  <c r="S5495" i="5" s="1"/>
  <c r="Q5508" i="5"/>
  <c r="R5508" i="5" s="1"/>
  <c r="S5508" i="5" s="1"/>
  <c r="M5513" i="5"/>
  <c r="M5519" i="5"/>
  <c r="Q5524" i="5"/>
  <c r="R5524" i="5" s="1"/>
  <c r="S5524" i="5" s="1"/>
  <c r="M5534" i="5"/>
  <c r="M5560" i="5"/>
  <c r="N5560" i="5" s="1"/>
  <c r="M5566" i="5"/>
  <c r="M5038" i="5"/>
  <c r="M5348" i="5"/>
  <c r="M5474" i="5"/>
  <c r="Q5514" i="5"/>
  <c r="R5514" i="5" s="1"/>
  <c r="S5514" i="5" s="1"/>
  <c r="Q5552" i="5"/>
  <c r="R5552" i="5" s="1"/>
  <c r="S5552" i="5" s="1"/>
  <c r="M5401" i="5"/>
  <c r="Q5365" i="5"/>
  <c r="R5365" i="5" s="1"/>
  <c r="S5365" i="5" s="1"/>
  <c r="Q5390" i="5"/>
  <c r="R5390" i="5" s="1"/>
  <c r="S5390" i="5" s="1"/>
  <c r="Q5396" i="5"/>
  <c r="R5396" i="5" s="1"/>
  <c r="S5396" i="5" s="1"/>
  <c r="M5403" i="5"/>
  <c r="Q5426" i="5"/>
  <c r="Q5434" i="5"/>
  <c r="R5434" i="5" s="1"/>
  <c r="S5434" i="5" s="1"/>
  <c r="M5436" i="5"/>
  <c r="Q5442" i="5"/>
  <c r="L5472" i="5"/>
  <c r="P5472" i="5" s="1"/>
  <c r="Q5489" i="5"/>
  <c r="R5489" i="5" s="1"/>
  <c r="S5489" i="5" s="1"/>
  <c r="Q5501" i="5"/>
  <c r="Q5503" i="5"/>
  <c r="R5503" i="5" s="1"/>
  <c r="S5503" i="5" s="1"/>
  <c r="Q5505" i="5"/>
  <c r="Q5511" i="5"/>
  <c r="Q5574" i="5"/>
  <c r="R5574" i="5" s="1"/>
  <c r="S5574" i="5" s="1"/>
  <c r="Q5580" i="5"/>
  <c r="R5580" i="5" s="1"/>
  <c r="S5580" i="5" s="1"/>
  <c r="M5397" i="5"/>
  <c r="N5397" i="5" s="1"/>
  <c r="Q5431" i="5"/>
  <c r="R5431" i="5" s="1"/>
  <c r="S5431" i="5" s="1"/>
  <c r="Q5446" i="5"/>
  <c r="R5446" i="5" s="1"/>
  <c r="S5446" i="5" s="1"/>
  <c r="Q5478" i="5"/>
  <c r="R5478" i="5" s="1"/>
  <c r="S5478" i="5" s="1"/>
  <c r="Q5486" i="5"/>
  <c r="Q5500" i="5"/>
  <c r="R5500" i="5" s="1"/>
  <c r="S5500" i="5" s="1"/>
  <c r="Q5510" i="5"/>
  <c r="R5510" i="5" s="1"/>
  <c r="S5510" i="5" s="1"/>
  <c r="Q5516" i="5"/>
  <c r="R5516" i="5" s="1"/>
  <c r="S5516" i="5" s="1"/>
  <c r="Q5573" i="5"/>
  <c r="R5573" i="5" s="1"/>
  <c r="S5573" i="5" s="1"/>
  <c r="Q5415" i="5"/>
  <c r="R5415" i="5" s="1"/>
  <c r="S5415" i="5" s="1"/>
  <c r="M5449" i="5"/>
  <c r="M5466" i="5"/>
  <c r="Q5467" i="5"/>
  <c r="R5467" i="5" s="1"/>
  <c r="S5467" i="5" s="1"/>
  <c r="Q5487" i="5"/>
  <c r="Q5518" i="5"/>
  <c r="R5518" i="5" s="1"/>
  <c r="S5518" i="5" s="1"/>
  <c r="Q5541" i="5"/>
  <c r="Q5568" i="5"/>
  <c r="Q5370" i="5"/>
  <c r="R5370" i="5" s="1"/>
  <c r="S5370" i="5" s="1"/>
  <c r="M5405" i="5"/>
  <c r="N5405" i="5" s="1"/>
  <c r="M5407" i="5"/>
  <c r="M5428" i="5"/>
  <c r="N5428" i="5" s="1"/>
  <c r="M5439" i="5"/>
  <c r="Q5448" i="5"/>
  <c r="R5448" i="5" s="1"/>
  <c r="S5448" i="5" s="1"/>
  <c r="M5462" i="5"/>
  <c r="Q5470" i="5"/>
  <c r="R5470" i="5" s="1"/>
  <c r="S5470" i="5" s="1"/>
  <c r="M5479" i="5"/>
  <c r="M5480" i="5"/>
  <c r="M5481" i="5"/>
  <c r="Q5485" i="5"/>
  <c r="R5485" i="5" s="1"/>
  <c r="S5485" i="5" s="1"/>
  <c r="Q5512" i="5"/>
  <c r="R5512" i="5" s="1"/>
  <c r="S5512" i="5" s="1"/>
  <c r="Q5517" i="5"/>
  <c r="Q5526" i="5"/>
  <c r="R5526" i="5" s="1"/>
  <c r="S5526" i="5" s="1"/>
  <c r="Q5535" i="5"/>
  <c r="R5535" i="5" s="1"/>
  <c r="S5535" i="5" s="1"/>
  <c r="Q5542" i="5"/>
  <c r="R5542" i="5" s="1"/>
  <c r="S5542" i="5" s="1"/>
  <c r="Q5555" i="5"/>
  <c r="R5555" i="5" s="1"/>
  <c r="S5555" i="5" s="1"/>
  <c r="M5563" i="5"/>
  <c r="N5563" i="5" s="1"/>
  <c r="O5563" i="5" s="1"/>
  <c r="M5588" i="5"/>
  <c r="N5588" i="5" s="1"/>
  <c r="Q5429" i="5"/>
  <c r="Q5430" i="5"/>
  <c r="R5430" i="5" s="1"/>
  <c r="S5430" i="5" s="1"/>
  <c r="Q5482" i="5"/>
  <c r="R5482" i="5" s="1"/>
  <c r="S5482" i="5" s="1"/>
  <c r="Q5533" i="5"/>
  <c r="Q5545" i="5"/>
  <c r="R5545" i="5" s="1"/>
  <c r="S5545" i="5" s="1"/>
  <c r="Q5567" i="5"/>
  <c r="R5567" i="5" s="1"/>
  <c r="S5567" i="5" s="1"/>
  <c r="M5378" i="5"/>
  <c r="Q5406" i="5"/>
  <c r="R5406" i="5" s="1"/>
  <c r="S5406" i="5" s="1"/>
  <c r="M5371" i="5"/>
  <c r="M5376" i="5"/>
  <c r="Q5473" i="5"/>
  <c r="R5473" i="5" s="1"/>
  <c r="S5473" i="5" s="1"/>
  <c r="Q5504" i="5"/>
  <c r="Q5544" i="5"/>
  <c r="R5544" i="5" s="1"/>
  <c r="S5544" i="5" s="1"/>
  <c r="M5565" i="5"/>
  <c r="M5569" i="5"/>
  <c r="M5591" i="5"/>
  <c r="M5392" i="5"/>
  <c r="M5417" i="5"/>
  <c r="Q5422" i="5"/>
  <c r="R5422" i="5" s="1"/>
  <c r="S5422" i="5" s="1"/>
  <c r="Q5447" i="5"/>
  <c r="R5447" i="5" s="1"/>
  <c r="S5447" i="5" s="1"/>
  <c r="Q5472" i="5"/>
  <c r="R5472" i="5" s="1"/>
  <c r="S5472" i="5" s="1"/>
  <c r="Q5564" i="5"/>
  <c r="R5564" i="5" s="1"/>
  <c r="S5564" i="5" s="1"/>
  <c r="L5591" i="5"/>
  <c r="R5591" i="5"/>
  <c r="S5591" i="5" s="1"/>
  <c r="L5589" i="5"/>
  <c r="N5590" i="5"/>
  <c r="P5590" i="5"/>
  <c r="P5588" i="5"/>
  <c r="R5588" i="5"/>
  <c r="S5588" i="5" s="1"/>
  <c r="L5587" i="5"/>
  <c r="R5587" i="5"/>
  <c r="S5587" i="5" s="1"/>
  <c r="L5586" i="5"/>
  <c r="R5586" i="5"/>
  <c r="S5586" i="5" s="1"/>
  <c r="P5584" i="5"/>
  <c r="N5584" i="5"/>
  <c r="P5585" i="5"/>
  <c r="N5585" i="5"/>
  <c r="L5583" i="5"/>
  <c r="R5583" i="5"/>
  <c r="S5583" i="5" s="1"/>
  <c r="L5582" i="5"/>
  <c r="R5582" i="5"/>
  <c r="S5582" i="5" s="1"/>
  <c r="L5581" i="5"/>
  <c r="P5581" i="5" s="1"/>
  <c r="P5580" i="5"/>
  <c r="N5580" i="5"/>
  <c r="P5579" i="5"/>
  <c r="K5578" i="5"/>
  <c r="L5578" i="5" s="1"/>
  <c r="R5579" i="5"/>
  <c r="S5579" i="5" s="1"/>
  <c r="K5577" i="5"/>
  <c r="L5577" i="5" s="1"/>
  <c r="L5576" i="5"/>
  <c r="R5576" i="5"/>
  <c r="S5576" i="5" s="1"/>
  <c r="L5575" i="5"/>
  <c r="L5574" i="5"/>
  <c r="P5574" i="5" s="1"/>
  <c r="P5573" i="5"/>
  <c r="N5573" i="5"/>
  <c r="L5572" i="5"/>
  <c r="R5572" i="5"/>
  <c r="S5572" i="5" s="1"/>
  <c r="L5571" i="5"/>
  <c r="R5571" i="5"/>
  <c r="S5571" i="5" s="1"/>
  <c r="P5570" i="5"/>
  <c r="R5570" i="5"/>
  <c r="S5570" i="5" s="1"/>
  <c r="R5569" i="5"/>
  <c r="S5569" i="5" s="1"/>
  <c r="L5569" i="5"/>
  <c r="K5568" i="5"/>
  <c r="L5568" i="5" s="1"/>
  <c r="P5567" i="5"/>
  <c r="N5567" i="5"/>
  <c r="R5566" i="5"/>
  <c r="S5566" i="5" s="1"/>
  <c r="L5566" i="5"/>
  <c r="P5566" i="5" s="1"/>
  <c r="L5565" i="5"/>
  <c r="R5565" i="5"/>
  <c r="S5565" i="5" s="1"/>
  <c r="L5564" i="5"/>
  <c r="R5563" i="5"/>
  <c r="S5563" i="5" s="1"/>
  <c r="P5562" i="5"/>
  <c r="R5562" i="5"/>
  <c r="S5562" i="5" s="1"/>
  <c r="P5561" i="5"/>
  <c r="N5561" i="5"/>
  <c r="P5560" i="5"/>
  <c r="K5559" i="5"/>
  <c r="L5559" i="5" s="1"/>
  <c r="R5560" i="5"/>
  <c r="S5560" i="5" s="1"/>
  <c r="K5558" i="5"/>
  <c r="L5557" i="5"/>
  <c r="R5557" i="5"/>
  <c r="S5557" i="5" s="1"/>
  <c r="P5555" i="5"/>
  <c r="N5555" i="5"/>
  <c r="K5556" i="5"/>
  <c r="R5556" i="5" s="1"/>
  <c r="S5556" i="5" s="1"/>
  <c r="P5554" i="5"/>
  <c r="N5554" i="5"/>
  <c r="P5552" i="5"/>
  <c r="N5552" i="5"/>
  <c r="K5553" i="5"/>
  <c r="R5553" i="5" s="1"/>
  <c r="S5553" i="5" s="1"/>
  <c r="L5550" i="5"/>
  <c r="R5550" i="5"/>
  <c r="S5550" i="5" s="1"/>
  <c r="L5549" i="5"/>
  <c r="R5549" i="5"/>
  <c r="S5549" i="5" s="1"/>
  <c r="P5551" i="5"/>
  <c r="R5551" i="5"/>
  <c r="S5551" i="5" s="1"/>
  <c r="L5548" i="5"/>
  <c r="R5548" i="5"/>
  <c r="S5548" i="5" s="1"/>
  <c r="K5546" i="5"/>
  <c r="R5546" i="5" s="1"/>
  <c r="S5546" i="5" s="1"/>
  <c r="K5547" i="5"/>
  <c r="L5545" i="5"/>
  <c r="P5545" i="5" s="1"/>
  <c r="P5544" i="5"/>
  <c r="N5544" i="5"/>
  <c r="P5543" i="5"/>
  <c r="P5542" i="5"/>
  <c r="N5542" i="5"/>
  <c r="R5543" i="5"/>
  <c r="S5543" i="5" s="1"/>
  <c r="L5539" i="5"/>
  <c r="P5540" i="5"/>
  <c r="K5541" i="5"/>
  <c r="R5540" i="5"/>
  <c r="S5540" i="5" s="1"/>
  <c r="K5538" i="5"/>
  <c r="L5537" i="5"/>
  <c r="R5537" i="5"/>
  <c r="S5537" i="5" s="1"/>
  <c r="P5536" i="5"/>
  <c r="N5536" i="5"/>
  <c r="P5535" i="5"/>
  <c r="N5535" i="5"/>
  <c r="K5534" i="5"/>
  <c r="L5534" i="5" s="1"/>
  <c r="K5533" i="5"/>
  <c r="L5533" i="5" s="1"/>
  <c r="L5531" i="5"/>
  <c r="R5531" i="5"/>
  <c r="S5531" i="5" s="1"/>
  <c r="L5530" i="5"/>
  <c r="R5530" i="5"/>
  <c r="S5530" i="5" s="1"/>
  <c r="P5532" i="5"/>
  <c r="R5532" i="5"/>
  <c r="S5532" i="5" s="1"/>
  <c r="L5529" i="5"/>
  <c r="N5529" i="5" s="1"/>
  <c r="P5528" i="5"/>
  <c r="N5528" i="5"/>
  <c r="N5526" i="5"/>
  <c r="O5526" i="5" s="1"/>
  <c r="K5525" i="5"/>
  <c r="L5525" i="5" s="1"/>
  <c r="P5524" i="5"/>
  <c r="N5524" i="5"/>
  <c r="K5523" i="5"/>
  <c r="L5523" i="5" s="1"/>
  <c r="Q5527" i="5"/>
  <c r="K5527" i="5"/>
  <c r="L5522" i="5"/>
  <c r="R5522" i="5"/>
  <c r="S5522" i="5" s="1"/>
  <c r="L5521" i="5"/>
  <c r="R5521" i="5"/>
  <c r="S5521" i="5" s="1"/>
  <c r="L5520" i="5"/>
  <c r="R5520" i="5"/>
  <c r="S5520" i="5" s="1"/>
  <c r="L5519" i="5"/>
  <c r="P5519" i="5" s="1"/>
  <c r="P5518" i="5"/>
  <c r="N5518" i="5"/>
  <c r="R5519" i="5"/>
  <c r="S5519" i="5" s="1"/>
  <c r="P5516" i="5"/>
  <c r="N5516" i="5"/>
  <c r="K5517" i="5"/>
  <c r="P5514" i="5"/>
  <c r="N5514" i="5"/>
  <c r="K5515" i="5"/>
  <c r="P5512" i="5"/>
  <c r="N5512" i="5"/>
  <c r="K5513" i="5"/>
  <c r="R5513" i="5" s="1"/>
  <c r="S5513" i="5" s="1"/>
  <c r="P5510" i="5"/>
  <c r="N5510" i="5"/>
  <c r="K5511" i="5"/>
  <c r="L5509" i="5"/>
  <c r="P5508" i="5"/>
  <c r="N5508" i="5"/>
  <c r="P5507" i="5"/>
  <c r="K5506" i="5"/>
  <c r="L5506" i="5" s="1"/>
  <c r="R5507" i="5"/>
  <c r="S5507" i="5" s="1"/>
  <c r="K5505" i="5"/>
  <c r="L5505" i="5" s="1"/>
  <c r="K5504" i="5"/>
  <c r="L5504" i="5" s="1"/>
  <c r="P5503" i="5"/>
  <c r="N5503" i="5"/>
  <c r="R5474" i="5"/>
  <c r="S5474" i="5" s="1"/>
  <c r="L5502" i="5"/>
  <c r="R5502" i="5"/>
  <c r="S5502" i="5" s="1"/>
  <c r="K5501" i="5"/>
  <c r="L5501" i="5" s="1"/>
  <c r="P5500" i="5"/>
  <c r="N5500" i="5"/>
  <c r="L5499" i="5"/>
  <c r="R5499" i="5"/>
  <c r="S5499" i="5" s="1"/>
  <c r="L5498" i="5"/>
  <c r="R5498" i="5"/>
  <c r="S5498" i="5" s="1"/>
  <c r="L5497" i="5"/>
  <c r="R5497" i="5"/>
  <c r="S5497" i="5" s="1"/>
  <c r="L5495" i="5"/>
  <c r="P5495" i="5" s="1"/>
  <c r="K5496" i="5"/>
  <c r="R5496" i="5" s="1"/>
  <c r="S5496" i="5" s="1"/>
  <c r="L5474" i="5"/>
  <c r="P5474" i="5" s="1"/>
  <c r="L5493" i="5"/>
  <c r="R5493" i="5"/>
  <c r="S5493" i="5" s="1"/>
  <c r="L5492" i="5"/>
  <c r="R5492" i="5"/>
  <c r="S5492" i="5" s="1"/>
  <c r="L5494" i="5"/>
  <c r="R5494" i="5"/>
  <c r="S5494" i="5" s="1"/>
  <c r="L5491" i="5"/>
  <c r="R5491" i="5"/>
  <c r="S5491" i="5" s="1"/>
  <c r="R5488" i="5"/>
  <c r="S5488" i="5" s="1"/>
  <c r="P5489" i="5"/>
  <c r="N5489" i="5"/>
  <c r="P5488" i="5"/>
  <c r="L5490" i="5"/>
  <c r="R5490" i="5"/>
  <c r="S5490" i="5" s="1"/>
  <c r="N5471" i="5"/>
  <c r="U5471" i="5" s="1"/>
  <c r="V5471" i="5" s="1"/>
  <c r="K5487" i="5"/>
  <c r="K5486" i="5"/>
  <c r="P5485" i="5"/>
  <c r="N5485" i="5"/>
  <c r="N5473" i="5"/>
  <c r="P5473" i="5"/>
  <c r="P5483" i="5"/>
  <c r="N5482" i="5"/>
  <c r="P5482" i="5"/>
  <c r="L5484" i="5"/>
  <c r="Q5484" i="5"/>
  <c r="R5484" i="5" s="1"/>
  <c r="S5484" i="5" s="1"/>
  <c r="R5483" i="5"/>
  <c r="S5483" i="5" s="1"/>
  <c r="K5481" i="5"/>
  <c r="L5481" i="5" s="1"/>
  <c r="L5480" i="5"/>
  <c r="R5480" i="5"/>
  <c r="S5480" i="5" s="1"/>
  <c r="P5478" i="5"/>
  <c r="N5478" i="5"/>
  <c r="L5479" i="5"/>
  <c r="R5479" i="5"/>
  <c r="S5479" i="5" s="1"/>
  <c r="L5477" i="5"/>
  <c r="R5477" i="5"/>
  <c r="S5477" i="5" s="1"/>
  <c r="L5476" i="5"/>
  <c r="R5476" i="5"/>
  <c r="S5476" i="5" s="1"/>
  <c r="P5475" i="5"/>
  <c r="R5475" i="5"/>
  <c r="S5475" i="5" s="1"/>
  <c r="L5468" i="5"/>
  <c r="P5468" i="5" s="1"/>
  <c r="P5467" i="5"/>
  <c r="N5467" i="5"/>
  <c r="R5466" i="5"/>
  <c r="S5466" i="5" s="1"/>
  <c r="L5466" i="5"/>
  <c r="R5450" i="5"/>
  <c r="S5450" i="5" s="1"/>
  <c r="L5463" i="5"/>
  <c r="R5463" i="5"/>
  <c r="S5463" i="5" s="1"/>
  <c r="L5464" i="5"/>
  <c r="R5464" i="5"/>
  <c r="S5464" i="5" s="1"/>
  <c r="P5465" i="5"/>
  <c r="R5465" i="5"/>
  <c r="S5465" i="5" s="1"/>
  <c r="R5462" i="5"/>
  <c r="S5462" i="5" s="1"/>
  <c r="L5462" i="5"/>
  <c r="L5461" i="5"/>
  <c r="R5461" i="5"/>
  <c r="S5461" i="5" s="1"/>
  <c r="L5460" i="5"/>
  <c r="R5460" i="5"/>
  <c r="S5460" i="5" s="1"/>
  <c r="L5459" i="5"/>
  <c r="R5459" i="5"/>
  <c r="S5459" i="5" s="1"/>
  <c r="P5458" i="5"/>
  <c r="R5458" i="5"/>
  <c r="S5458" i="5" s="1"/>
  <c r="L5456" i="5"/>
  <c r="R5456" i="5"/>
  <c r="S5456" i="5" s="1"/>
  <c r="L5455" i="5"/>
  <c r="R5455" i="5"/>
  <c r="S5455" i="5" s="1"/>
  <c r="P5457" i="5"/>
  <c r="R5457" i="5"/>
  <c r="S5457" i="5" s="1"/>
  <c r="L5453" i="5"/>
  <c r="R5453" i="5"/>
  <c r="S5453" i="5" s="1"/>
  <c r="L5452" i="5"/>
  <c r="R5452" i="5"/>
  <c r="S5452" i="5" s="1"/>
  <c r="P5454" i="5"/>
  <c r="R5454" i="5"/>
  <c r="S5454" i="5" s="1"/>
  <c r="L5450" i="5"/>
  <c r="K5451" i="5"/>
  <c r="P5448" i="5"/>
  <c r="N5448" i="5"/>
  <c r="K5449" i="5"/>
  <c r="L5449" i="5" s="1"/>
  <c r="P5447" i="5"/>
  <c r="N5447" i="5"/>
  <c r="P5446" i="5"/>
  <c r="N5446" i="5"/>
  <c r="L5445" i="5"/>
  <c r="L5443" i="5"/>
  <c r="N5443" i="5" s="1"/>
  <c r="R5445" i="5"/>
  <c r="S5445" i="5" s="1"/>
  <c r="P5444" i="5"/>
  <c r="N5444" i="5"/>
  <c r="K5442" i="5"/>
  <c r="L5442" i="5" s="1"/>
  <c r="L5441" i="5"/>
  <c r="R5441" i="5"/>
  <c r="S5441" i="5" s="1"/>
  <c r="L5440" i="5"/>
  <c r="R5440" i="5"/>
  <c r="S5440" i="5" s="1"/>
  <c r="K5438" i="5"/>
  <c r="R5438" i="5" s="1"/>
  <c r="S5438" i="5" s="1"/>
  <c r="R5439" i="5"/>
  <c r="S5439" i="5" s="1"/>
  <c r="L5439" i="5"/>
  <c r="L5437" i="5"/>
  <c r="L5436" i="5"/>
  <c r="R5436" i="5"/>
  <c r="S5436" i="5" s="1"/>
  <c r="K5435" i="5"/>
  <c r="L5435" i="5" s="1"/>
  <c r="P5434" i="5"/>
  <c r="N5434" i="5"/>
  <c r="P5432" i="5"/>
  <c r="N5432" i="5"/>
  <c r="K5433" i="5"/>
  <c r="R5433" i="5" s="1"/>
  <c r="S5433" i="5" s="1"/>
  <c r="P5431" i="5"/>
  <c r="N5431" i="5"/>
  <c r="P5430" i="5"/>
  <c r="N5430" i="5"/>
  <c r="K5429" i="5"/>
  <c r="L5429" i="5" s="1"/>
  <c r="P5429" i="5" s="1"/>
  <c r="P5428" i="5"/>
  <c r="K5427" i="5"/>
  <c r="L5427" i="5" s="1"/>
  <c r="R5428" i="5"/>
  <c r="S5428" i="5" s="1"/>
  <c r="K5426" i="5"/>
  <c r="L5426" i="5" s="1"/>
  <c r="R5425" i="5"/>
  <c r="S5425" i="5" s="1"/>
  <c r="L5425" i="5"/>
  <c r="L5424" i="5"/>
  <c r="R5423" i="5"/>
  <c r="S5423" i="5" s="1"/>
  <c r="L5423" i="5"/>
  <c r="P5422" i="5"/>
  <c r="N5422" i="5"/>
  <c r="L5416" i="5"/>
  <c r="P5416" i="5" s="1"/>
  <c r="L5419" i="5"/>
  <c r="R5419" i="5"/>
  <c r="S5419" i="5" s="1"/>
  <c r="R5421" i="5"/>
  <c r="S5421" i="5" s="1"/>
  <c r="L5421" i="5"/>
  <c r="R5416" i="5"/>
  <c r="S5416" i="5" s="1"/>
  <c r="K5420" i="5"/>
  <c r="L5420" i="5" s="1"/>
  <c r="P5415" i="5"/>
  <c r="N5415" i="5"/>
  <c r="K5414" i="5"/>
  <c r="R5414" i="5" s="1"/>
  <c r="S5414" i="5" s="1"/>
  <c r="Q5418" i="5"/>
  <c r="K5418" i="5"/>
  <c r="L5418" i="5" s="1"/>
  <c r="K5417" i="5"/>
  <c r="R5417" i="5" s="1"/>
  <c r="S5417" i="5" s="1"/>
  <c r="P5412" i="5"/>
  <c r="P5411" i="5"/>
  <c r="R5409" i="5"/>
  <c r="S5409" i="5" s="1"/>
  <c r="R5412" i="5"/>
  <c r="S5412" i="5" s="1"/>
  <c r="R5413" i="5"/>
  <c r="S5413" i="5" s="1"/>
  <c r="L5413" i="5"/>
  <c r="R5411" i="5"/>
  <c r="S5411" i="5" s="1"/>
  <c r="L5408" i="5"/>
  <c r="R5408" i="5"/>
  <c r="S5408" i="5" s="1"/>
  <c r="L5409" i="5"/>
  <c r="K5410" i="5"/>
  <c r="R5410" i="5" s="1"/>
  <c r="S5410" i="5" s="1"/>
  <c r="R5407" i="5"/>
  <c r="S5407" i="5" s="1"/>
  <c r="L5407" i="5"/>
  <c r="P5406" i="5"/>
  <c r="N5406" i="5"/>
  <c r="P5405" i="5"/>
  <c r="L5399" i="5"/>
  <c r="P5399" i="5" s="1"/>
  <c r="K5404" i="5"/>
  <c r="L5404" i="5" s="1"/>
  <c r="R5405" i="5"/>
  <c r="S5405" i="5" s="1"/>
  <c r="K5403" i="5"/>
  <c r="L5403" i="5" s="1"/>
  <c r="L5400" i="5"/>
  <c r="R5400" i="5"/>
  <c r="S5400" i="5" s="1"/>
  <c r="L5401" i="5"/>
  <c r="R5401" i="5"/>
  <c r="S5401" i="5" s="1"/>
  <c r="P5402" i="5"/>
  <c r="R5402" i="5"/>
  <c r="S5402" i="5" s="1"/>
  <c r="R5392" i="5"/>
  <c r="S5392" i="5" s="1"/>
  <c r="L5392" i="5"/>
  <c r="P5392" i="5" s="1"/>
  <c r="L5398" i="5"/>
  <c r="Q5399" i="5"/>
  <c r="R5399" i="5" s="1"/>
  <c r="S5399" i="5" s="1"/>
  <c r="Q5398" i="5"/>
  <c r="R5398" i="5" s="1"/>
  <c r="S5398" i="5" s="1"/>
  <c r="P5396" i="5"/>
  <c r="N5396" i="5"/>
  <c r="P5397" i="5"/>
  <c r="R5397" i="5"/>
  <c r="S5397" i="5" s="1"/>
  <c r="L5394" i="5"/>
  <c r="R5394" i="5"/>
  <c r="S5394" i="5" s="1"/>
  <c r="P5395" i="5"/>
  <c r="P5393" i="5"/>
  <c r="R5395" i="5"/>
  <c r="S5395" i="5" s="1"/>
  <c r="L5391" i="5"/>
  <c r="P5391" i="5" s="1"/>
  <c r="R5393" i="5"/>
  <c r="S5393" i="5" s="1"/>
  <c r="R5391" i="5"/>
  <c r="S5391" i="5" s="1"/>
  <c r="R5387" i="5"/>
  <c r="S5387" i="5" s="1"/>
  <c r="P5389" i="5"/>
  <c r="N5389" i="5"/>
  <c r="K5388" i="5"/>
  <c r="L5388" i="5" s="1"/>
  <c r="N5390" i="5"/>
  <c r="P5386" i="5"/>
  <c r="L5387" i="5"/>
  <c r="R5386" i="5"/>
  <c r="S5386" i="5" s="1"/>
  <c r="L5384" i="5"/>
  <c r="R5384" i="5"/>
  <c r="S5384" i="5" s="1"/>
  <c r="L5383" i="5"/>
  <c r="R5383" i="5"/>
  <c r="S5383" i="5" s="1"/>
  <c r="P5385" i="5"/>
  <c r="R5385" i="5"/>
  <c r="S5385" i="5" s="1"/>
  <c r="L5381" i="5"/>
  <c r="R5381" i="5"/>
  <c r="S5381" i="5" s="1"/>
  <c r="L5380" i="5"/>
  <c r="R5380" i="5"/>
  <c r="S5380" i="5" s="1"/>
  <c r="P5382" i="5"/>
  <c r="R5382" i="5"/>
  <c r="S5382" i="5" s="1"/>
  <c r="R5378" i="5"/>
  <c r="S5378" i="5" s="1"/>
  <c r="L5378" i="5"/>
  <c r="L5377" i="5"/>
  <c r="R5377" i="5"/>
  <c r="S5377" i="5" s="1"/>
  <c r="N5379" i="5"/>
  <c r="P5379" i="5"/>
  <c r="R5376" i="5"/>
  <c r="S5376" i="5" s="1"/>
  <c r="L5372" i="5"/>
  <c r="P5372" i="5" s="1"/>
  <c r="R5371" i="5"/>
  <c r="S5371" i="5" s="1"/>
  <c r="L5376" i="5"/>
  <c r="R5374" i="5"/>
  <c r="S5374" i="5" s="1"/>
  <c r="L5374" i="5"/>
  <c r="P5375" i="5"/>
  <c r="P5373" i="5"/>
  <c r="R5375" i="5"/>
  <c r="S5375" i="5" s="1"/>
  <c r="L5371" i="5"/>
  <c r="P5371" i="5" s="1"/>
  <c r="R5373" i="5"/>
  <c r="S5373" i="5" s="1"/>
  <c r="P5369" i="5"/>
  <c r="R5369" i="5"/>
  <c r="S5369" i="5" s="1"/>
  <c r="N5370" i="5"/>
  <c r="L5368" i="5"/>
  <c r="Q5372" i="5"/>
  <c r="R5372" i="5" s="1"/>
  <c r="S5372" i="5" s="1"/>
  <c r="L5366" i="5"/>
  <c r="L5365" i="5"/>
  <c r="P5367" i="5"/>
  <c r="R5367" i="5"/>
  <c r="S5367" i="5" s="1"/>
  <c r="Q5216" i="5"/>
  <c r="R5216" i="5" s="1"/>
  <c r="S5216" i="5" s="1"/>
  <c r="Q5343" i="5"/>
  <c r="Q5214" i="5"/>
  <c r="M4998" i="5"/>
  <c r="M5350" i="5"/>
  <c r="Q5360" i="5"/>
  <c r="M4997" i="5"/>
  <c r="N4997" i="5" s="1"/>
  <c r="Q5309" i="5"/>
  <c r="R5309" i="5" s="1"/>
  <c r="S5309" i="5" s="1"/>
  <c r="Q5298" i="5"/>
  <c r="R5298" i="5" s="1"/>
  <c r="S5298" i="5" s="1"/>
  <c r="Q5317" i="5"/>
  <c r="R5317" i="5" s="1"/>
  <c r="S5317" i="5" s="1"/>
  <c r="Q5326" i="5"/>
  <c r="R5326" i="5" s="1"/>
  <c r="S5326" i="5" s="1"/>
  <c r="Q5228" i="5"/>
  <c r="Q5265" i="5"/>
  <c r="R5265" i="5" s="1"/>
  <c r="S5265" i="5" s="1"/>
  <c r="Q5301" i="5"/>
  <c r="R5301" i="5" s="1"/>
  <c r="S5301" i="5" s="1"/>
  <c r="Q5304" i="5"/>
  <c r="R5304" i="5" s="1"/>
  <c r="S5304" i="5" s="1"/>
  <c r="M5290" i="5"/>
  <c r="N5290" i="5" s="1"/>
  <c r="Q5302" i="5"/>
  <c r="M5237" i="5"/>
  <c r="R5270" i="5"/>
  <c r="S5270" i="5" s="1"/>
  <c r="M5346" i="5"/>
  <c r="N5346" i="5" s="1"/>
  <c r="Q5357" i="5"/>
  <c r="Q5364" i="5"/>
  <c r="R5364" i="5" s="1"/>
  <c r="S5364" i="5" s="1"/>
  <c r="M5316" i="5"/>
  <c r="Q5337" i="5"/>
  <c r="M5353" i="5"/>
  <c r="Q5363" i="5"/>
  <c r="R5363" i="5" s="1"/>
  <c r="S5363" i="5" s="1"/>
  <c r="Q5173" i="5"/>
  <c r="R5173" i="5" s="1"/>
  <c r="S5173" i="5" s="1"/>
  <c r="Q5195" i="5"/>
  <c r="M5227" i="5"/>
  <c r="M5248" i="5"/>
  <c r="Q5251" i="5"/>
  <c r="R5251" i="5" s="1"/>
  <c r="S5251" i="5" s="1"/>
  <c r="M5295" i="5"/>
  <c r="Q5324" i="5"/>
  <c r="R5324" i="5" s="1"/>
  <c r="S5324" i="5" s="1"/>
  <c r="Q5359" i="5"/>
  <c r="R5359" i="5" s="1"/>
  <c r="S5359" i="5" s="1"/>
  <c r="M5197" i="5"/>
  <c r="M5235" i="5"/>
  <c r="N5235" i="5" s="1"/>
  <c r="Q5340" i="5"/>
  <c r="R5340" i="5" s="1"/>
  <c r="S5340" i="5" s="1"/>
  <c r="M5345" i="5"/>
  <c r="N5345" i="5" s="1"/>
  <c r="Q5362" i="5"/>
  <c r="R5362" i="5" s="1"/>
  <c r="S5362" i="5" s="1"/>
  <c r="M5185" i="5"/>
  <c r="M5209" i="5"/>
  <c r="N5209" i="5" s="1"/>
  <c r="M5289" i="5"/>
  <c r="N5289" i="5" s="1"/>
  <c r="O5289" i="5" s="1"/>
  <c r="Q5236" i="5"/>
  <c r="R5236" i="5" s="1"/>
  <c r="S5236" i="5" s="1"/>
  <c r="Q5246" i="5"/>
  <c r="Q5286" i="5"/>
  <c r="R5286" i="5" s="1"/>
  <c r="S5286" i="5" s="1"/>
  <c r="Q5293" i="5"/>
  <c r="R5293" i="5" s="1"/>
  <c r="S5293" i="5" s="1"/>
  <c r="M5178" i="5"/>
  <c r="Q5240" i="5"/>
  <c r="Q5255" i="5"/>
  <c r="R5255" i="5" s="1"/>
  <c r="S5255" i="5" s="1"/>
  <c r="M5285" i="5"/>
  <c r="Q5338" i="5"/>
  <c r="R5338" i="5" s="1"/>
  <c r="S5338" i="5" s="1"/>
  <c r="M5198" i="5"/>
  <c r="Q5224" i="5"/>
  <c r="M5238" i="5"/>
  <c r="Q5276" i="5"/>
  <c r="R5276" i="5" s="1"/>
  <c r="S5276" i="5" s="1"/>
  <c r="Q5361" i="5"/>
  <c r="M5279" i="5"/>
  <c r="N5279" i="5" s="1"/>
  <c r="Q5172" i="5"/>
  <c r="R5172" i="5" s="1"/>
  <c r="S5172" i="5" s="1"/>
  <c r="M5196" i="5"/>
  <c r="Q5201" i="5"/>
  <c r="Q5213" i="5"/>
  <c r="R5213" i="5" s="1"/>
  <c r="S5213" i="5" s="1"/>
  <c r="Q5239" i="5"/>
  <c r="R5239" i="5" s="1"/>
  <c r="S5239" i="5" s="1"/>
  <c r="Q5254" i="5"/>
  <c r="R5254" i="5" s="1"/>
  <c r="S5254" i="5" s="1"/>
  <c r="Q5268" i="5"/>
  <c r="M5294" i="5"/>
  <c r="Q5297" i="5"/>
  <c r="R5297" i="5" s="1"/>
  <c r="S5297" i="5" s="1"/>
  <c r="Q5351" i="5"/>
  <c r="M5352" i="5"/>
  <c r="N5352" i="5" s="1"/>
  <c r="Q5355" i="5"/>
  <c r="R5355" i="5" s="1"/>
  <c r="S5355" i="5" s="1"/>
  <c r="Q5177" i="5"/>
  <c r="R5177" i="5" s="1"/>
  <c r="S5177" i="5" s="1"/>
  <c r="M5188" i="5"/>
  <c r="M5245" i="5"/>
  <c r="N5245" i="5" s="1"/>
  <c r="Q5259" i="5"/>
  <c r="R5259" i="5" s="1"/>
  <c r="S5259" i="5" s="1"/>
  <c r="Q5219" i="5"/>
  <c r="Q5253" i="5"/>
  <c r="R5253" i="5" s="1"/>
  <c r="S5253" i="5" s="1"/>
  <c r="M5258" i="5"/>
  <c r="N5258" i="5" s="1"/>
  <c r="M5283" i="5"/>
  <c r="N5283" i="5" s="1"/>
  <c r="U5283" i="5" s="1"/>
  <c r="V5283" i="5" s="1"/>
  <c r="M5291" i="5"/>
  <c r="Q5308" i="5"/>
  <c r="R5308" i="5" s="1"/>
  <c r="S5308" i="5" s="1"/>
  <c r="Q5320" i="5"/>
  <c r="R5320" i="5" s="1"/>
  <c r="S5320" i="5" s="1"/>
  <c r="Q5334" i="5"/>
  <c r="R5334" i="5" s="1"/>
  <c r="S5334" i="5" s="1"/>
  <c r="Q5231" i="5"/>
  <c r="R5231" i="5" s="1"/>
  <c r="S5231" i="5" s="1"/>
  <c r="Q5303" i="5"/>
  <c r="R5303" i="5" s="1"/>
  <c r="S5303" i="5" s="1"/>
  <c r="Q5318" i="5"/>
  <c r="R5318" i="5" s="1"/>
  <c r="S5318" i="5" s="1"/>
  <c r="Q5322" i="5"/>
  <c r="M5180" i="5"/>
  <c r="M5210" i="5"/>
  <c r="N5239" i="5"/>
  <c r="M5257" i="5"/>
  <c r="N5257" i="5" s="1"/>
  <c r="M5262" i="5"/>
  <c r="M5266" i="5"/>
  <c r="M5282" i="5"/>
  <c r="M5296" i="5"/>
  <c r="N5296" i="5" s="1"/>
  <c r="M5299" i="5"/>
  <c r="M5300" i="5"/>
  <c r="Q5327" i="5"/>
  <c r="M5027" i="5"/>
  <c r="N5027" i="5" s="1"/>
  <c r="M5186" i="5"/>
  <c r="Q5200" i="5"/>
  <c r="R5200" i="5" s="1"/>
  <c r="S5200" i="5" s="1"/>
  <c r="Q5215" i="5"/>
  <c r="R5215" i="5" s="1"/>
  <c r="S5215" i="5" s="1"/>
  <c r="M5225" i="5"/>
  <c r="Q5315" i="5"/>
  <c r="R5315" i="5" s="1"/>
  <c r="S5315" i="5" s="1"/>
  <c r="Q5319" i="5"/>
  <c r="R5319" i="5" s="1"/>
  <c r="S5319" i="5" s="1"/>
  <c r="M5328" i="5"/>
  <c r="Q5330" i="5"/>
  <c r="R5330" i="5" s="1"/>
  <c r="S5330" i="5" s="1"/>
  <c r="M5176" i="5"/>
  <c r="L5260" i="5"/>
  <c r="P5260" i="5" s="1"/>
  <c r="Q5284" i="5"/>
  <c r="Q5288" i="5"/>
  <c r="R5288" i="5" s="1"/>
  <c r="S5288" i="5" s="1"/>
  <c r="R5333" i="5"/>
  <c r="S5333" i="5" s="1"/>
  <c r="Q5335" i="5"/>
  <c r="R5335" i="5" s="1"/>
  <c r="S5335" i="5" s="1"/>
  <c r="M5356" i="5"/>
  <c r="N5356" i="5" s="1"/>
  <c r="O5356" i="5" s="1"/>
  <c r="Q5217" i="5"/>
  <c r="R5217" i="5" s="1"/>
  <c r="S5217" i="5" s="1"/>
  <c r="M5244" i="5"/>
  <c r="N5244" i="5" s="1"/>
  <c r="M5274" i="5"/>
  <c r="Q5277" i="5"/>
  <c r="R5277" i="5" s="1"/>
  <c r="S5277" i="5" s="1"/>
  <c r="Q5325" i="5"/>
  <c r="R5325" i="5" s="1"/>
  <c r="S5325" i="5" s="1"/>
  <c r="L5323" i="5"/>
  <c r="P5323" i="5" s="1"/>
  <c r="Q5336" i="5"/>
  <c r="Q5342" i="5"/>
  <c r="R5342" i="5" s="1"/>
  <c r="S5342" i="5" s="1"/>
  <c r="K5360" i="5"/>
  <c r="L5360" i="5" s="1"/>
  <c r="M5108" i="5"/>
  <c r="Q5127" i="5"/>
  <c r="R5127" i="5" s="1"/>
  <c r="S5127" i="5" s="1"/>
  <c r="M5218" i="5"/>
  <c r="M5242" i="5"/>
  <c r="Q5256" i="5"/>
  <c r="R5256" i="5" s="1"/>
  <c r="S5256" i="5" s="1"/>
  <c r="Q5281" i="5"/>
  <c r="R5281" i="5" s="1"/>
  <c r="S5281" i="5" s="1"/>
  <c r="M5292" i="5"/>
  <c r="Q5341" i="5"/>
  <c r="R5341" i="5" s="1"/>
  <c r="S5341" i="5" s="1"/>
  <c r="L5362" i="5"/>
  <c r="P5362" i="5" s="1"/>
  <c r="L5359" i="5"/>
  <c r="N5359" i="5" s="1"/>
  <c r="L5348" i="5"/>
  <c r="P5348" i="5" s="1"/>
  <c r="L5344" i="5"/>
  <c r="P5344" i="5" s="1"/>
  <c r="L5330" i="5"/>
  <c r="P5330" i="5" s="1"/>
  <c r="L5325" i="5"/>
  <c r="P5325" i="5" s="1"/>
  <c r="L5324" i="5"/>
  <c r="N5324" i="5" s="1"/>
  <c r="L5315" i="5"/>
  <c r="P5315" i="5" s="1"/>
  <c r="K5314" i="5"/>
  <c r="L5314" i="5" s="1"/>
  <c r="L5306" i="5"/>
  <c r="P5306" i="5" s="1"/>
  <c r="R5306" i="5"/>
  <c r="S5306" i="5" s="1"/>
  <c r="L5298" i="5"/>
  <c r="N5298" i="5" s="1"/>
  <c r="L5287" i="5"/>
  <c r="P5287" i="5" s="1"/>
  <c r="L5286" i="5"/>
  <c r="P5286" i="5" s="1"/>
  <c r="R5273" i="5"/>
  <c r="S5273" i="5" s="1"/>
  <c r="R5263" i="5"/>
  <c r="S5263" i="5" s="1"/>
  <c r="R5244" i="5"/>
  <c r="S5244" i="5" s="1"/>
  <c r="R5245" i="5"/>
  <c r="S5245" i="5" s="1"/>
  <c r="L5265" i="5"/>
  <c r="P5265" i="5" s="1"/>
  <c r="L5350" i="5"/>
  <c r="P5350" i="5" s="1"/>
  <c r="R5350" i="5"/>
  <c r="S5350" i="5" s="1"/>
  <c r="L5308" i="5"/>
  <c r="P5308" i="5" s="1"/>
  <c r="L5248" i="5"/>
  <c r="P5248" i="5" s="1"/>
  <c r="L5242" i="5"/>
  <c r="P5242" i="5" s="1"/>
  <c r="R5285" i="5"/>
  <c r="S5285" i="5" s="1"/>
  <c r="L5291" i="5"/>
  <c r="P5291" i="5" s="1"/>
  <c r="R5305" i="5"/>
  <c r="S5305" i="5" s="1"/>
  <c r="K5329" i="5"/>
  <c r="L5329" i="5" s="1"/>
  <c r="N5329" i="5" s="1"/>
  <c r="L5335" i="5"/>
  <c r="P5335" i="5" s="1"/>
  <c r="K5339" i="5"/>
  <c r="L5339" i="5" s="1"/>
  <c r="R5344" i="5"/>
  <c r="S5344" i="5" s="1"/>
  <c r="R5348" i="5"/>
  <c r="S5348" i="5" s="1"/>
  <c r="L5354" i="5"/>
  <c r="P5354" i="5" s="1"/>
  <c r="R5356" i="5"/>
  <c r="S5356" i="5" s="1"/>
  <c r="K5361" i="5"/>
  <c r="L5316" i="5"/>
  <c r="P5316" i="5" s="1"/>
  <c r="K5343" i="5"/>
  <c r="L5343" i="5" s="1"/>
  <c r="N5343" i="5" s="1"/>
  <c r="R5279" i="5"/>
  <c r="S5279" i="5" s="1"/>
  <c r="N5297" i="5"/>
  <c r="O5297" i="5" s="1"/>
  <c r="N5321" i="5"/>
  <c r="O5321" i="5" s="1"/>
  <c r="R5346" i="5"/>
  <c r="S5346" i="5" s="1"/>
  <c r="K5243" i="5"/>
  <c r="L5243" i="5" s="1"/>
  <c r="P5243" i="5" s="1"/>
  <c r="R5272" i="5"/>
  <c r="S5272" i="5" s="1"/>
  <c r="L5285" i="5"/>
  <c r="L5288" i="5"/>
  <c r="P5288" i="5" s="1"/>
  <c r="R5290" i="5"/>
  <c r="S5290" i="5" s="1"/>
  <c r="R5316" i="5"/>
  <c r="S5316" i="5" s="1"/>
  <c r="L5333" i="5"/>
  <c r="P5333" i="5" s="1"/>
  <c r="R5345" i="5"/>
  <c r="S5345" i="5" s="1"/>
  <c r="L5280" i="5"/>
  <c r="P5280" i="5" s="1"/>
  <c r="R5287" i="5"/>
  <c r="S5287" i="5" s="1"/>
  <c r="R5289" i="5"/>
  <c r="S5289" i="5" s="1"/>
  <c r="Q5202" i="5"/>
  <c r="M5230" i="5"/>
  <c r="N5230" i="5" s="1"/>
  <c r="M5232" i="5"/>
  <c r="M5250" i="5"/>
  <c r="N5250" i="5" s="1"/>
  <c r="Q5260" i="5"/>
  <c r="R5260" i="5" s="1"/>
  <c r="S5260" i="5" s="1"/>
  <c r="M5267" i="5"/>
  <c r="M5275" i="5"/>
  <c r="M5307" i="5"/>
  <c r="M5344" i="5"/>
  <c r="M5243" i="5"/>
  <c r="Q5252" i="5"/>
  <c r="R5252" i="5" s="1"/>
  <c r="S5252" i="5" s="1"/>
  <c r="M5271" i="5"/>
  <c r="M5273" i="5"/>
  <c r="Q5278" i="5"/>
  <c r="R5278" i="5" s="1"/>
  <c r="S5278" i="5" s="1"/>
  <c r="Q5280" i="5"/>
  <c r="R5280" i="5" s="1"/>
  <c r="S5280" i="5" s="1"/>
  <c r="M5287" i="5"/>
  <c r="Q5321" i="5"/>
  <c r="R5321" i="5" s="1"/>
  <c r="S5321" i="5" s="1"/>
  <c r="R5328" i="5"/>
  <c r="S5328" i="5" s="1"/>
  <c r="Q5339" i="5"/>
  <c r="M5175" i="5"/>
  <c r="N5175" i="5" s="1"/>
  <c r="M5187" i="5"/>
  <c r="Q5234" i="5"/>
  <c r="R5234" i="5" s="1"/>
  <c r="S5234" i="5" s="1"/>
  <c r="M5247" i="5"/>
  <c r="M5241" i="5"/>
  <c r="M5261" i="5"/>
  <c r="M5264" i="5"/>
  <c r="N5264" i="5" s="1"/>
  <c r="Q5329" i="5"/>
  <c r="Q5354" i="5"/>
  <c r="R5354" i="5" s="1"/>
  <c r="S5354" i="5" s="1"/>
  <c r="M5208" i="5"/>
  <c r="R5262" i="5"/>
  <c r="S5262" i="5" s="1"/>
  <c r="M5174" i="5"/>
  <c r="Q5199" i="5"/>
  <c r="Q5233" i="5"/>
  <c r="R5233" i="5" s="1"/>
  <c r="S5233" i="5" s="1"/>
  <c r="M5263" i="5"/>
  <c r="N5263" i="5" s="1"/>
  <c r="Q5323" i="5"/>
  <c r="R5323" i="5" s="1"/>
  <c r="S5323" i="5" s="1"/>
  <c r="Q5212" i="5"/>
  <c r="R5212" i="5" s="1"/>
  <c r="S5212" i="5" s="1"/>
  <c r="Q5226" i="5"/>
  <c r="R5226" i="5" s="1"/>
  <c r="S5226" i="5" s="1"/>
  <c r="L5233" i="5"/>
  <c r="P5264" i="5"/>
  <c r="P5278" i="5"/>
  <c r="N5278" i="5"/>
  <c r="P5235" i="5"/>
  <c r="P5230" i="5"/>
  <c r="P5250" i="5"/>
  <c r="L5256" i="5"/>
  <c r="P5229" i="5"/>
  <c r="L5238" i="5"/>
  <c r="R5238" i="5"/>
  <c r="S5238" i="5" s="1"/>
  <c r="P5249" i="5"/>
  <c r="L5255" i="5"/>
  <c r="L5231" i="5"/>
  <c r="L5251" i="5"/>
  <c r="N5252" i="5"/>
  <c r="P5252" i="5"/>
  <c r="P5258" i="5"/>
  <c r="P5290" i="5"/>
  <c r="L5237" i="5"/>
  <c r="R5237" i="5"/>
  <c r="S5237" i="5" s="1"/>
  <c r="P5257" i="5"/>
  <c r="K5275" i="5"/>
  <c r="L5275" i="5" s="1"/>
  <c r="L5282" i="5"/>
  <c r="R5282" i="5"/>
  <c r="S5282" i="5" s="1"/>
  <c r="K5294" i="5"/>
  <c r="L5294" i="5" s="1"/>
  <c r="L5331" i="5"/>
  <c r="R5331" i="5"/>
  <c r="S5331" i="5" s="1"/>
  <c r="N5364" i="5"/>
  <c r="P5364" i="5"/>
  <c r="R5230" i="5"/>
  <c r="S5230" i="5" s="1"/>
  <c r="P5245" i="5"/>
  <c r="P5239" i="5"/>
  <c r="K5247" i="5"/>
  <c r="R5247" i="5" s="1"/>
  <c r="S5247" i="5" s="1"/>
  <c r="K5241" i="5"/>
  <c r="L5241" i="5" s="1"/>
  <c r="R5250" i="5"/>
  <c r="S5250" i="5" s="1"/>
  <c r="L5254" i="5"/>
  <c r="L5259" i="5"/>
  <c r="R5266" i="5"/>
  <c r="S5266" i="5" s="1"/>
  <c r="P5263" i="5"/>
  <c r="L5270" i="5"/>
  <c r="L5273" i="5"/>
  <c r="R5283" i="5"/>
  <c r="S5283" i="5" s="1"/>
  <c r="L5281" i="5"/>
  <c r="P5296" i="5"/>
  <c r="L5301" i="5"/>
  <c r="R5229" i="5"/>
  <c r="S5229" i="5" s="1"/>
  <c r="L5234" i="5"/>
  <c r="L5236" i="5"/>
  <c r="R5248" i="5"/>
  <c r="S5248" i="5" s="1"/>
  <c r="R5242" i="5"/>
  <c r="S5242" i="5" s="1"/>
  <c r="P5244" i="5"/>
  <c r="K5246" i="5"/>
  <c r="K5240" i="5"/>
  <c r="L5240" i="5" s="1"/>
  <c r="R5249" i="5"/>
  <c r="S5249" i="5" s="1"/>
  <c r="L5253" i="5"/>
  <c r="R5258" i="5"/>
  <c r="S5258" i="5" s="1"/>
  <c r="K5271" i="5"/>
  <c r="L5271" i="5" s="1"/>
  <c r="K5274" i="5"/>
  <c r="L5274" i="5" s="1"/>
  <c r="N5276" i="5"/>
  <c r="P5276" i="5"/>
  <c r="R5295" i="5"/>
  <c r="S5295" i="5" s="1"/>
  <c r="K5299" i="5"/>
  <c r="L5299" i="5" s="1"/>
  <c r="L5304" i="5"/>
  <c r="P5355" i="5"/>
  <c r="N5355" i="5"/>
  <c r="R5235" i="5"/>
  <c r="S5235" i="5" s="1"/>
  <c r="R5257" i="5"/>
  <c r="S5257" i="5" s="1"/>
  <c r="K5261" i="5"/>
  <c r="L5261" i="5" s="1"/>
  <c r="R5264" i="5"/>
  <c r="S5264" i="5" s="1"/>
  <c r="L5266" i="5"/>
  <c r="P5269" i="5"/>
  <c r="P5272" i="5"/>
  <c r="L5292" i="5"/>
  <c r="R5292" i="5"/>
  <c r="S5292" i="5" s="1"/>
  <c r="L5318" i="5"/>
  <c r="P5326" i="5"/>
  <c r="N5326" i="5"/>
  <c r="R5232" i="5"/>
  <c r="S5232" i="5" s="1"/>
  <c r="L5232" i="5"/>
  <c r="P5279" i="5"/>
  <c r="K5284" i="5"/>
  <c r="L5284" i="5" s="1"/>
  <c r="L5334" i="5"/>
  <c r="P5345" i="5"/>
  <c r="P5346" i="5"/>
  <c r="L5262" i="5"/>
  <c r="L5267" i="5"/>
  <c r="R5267" i="5"/>
  <c r="S5267" i="5" s="1"/>
  <c r="K5268" i="5"/>
  <c r="L5268" i="5" s="1"/>
  <c r="L5277" i="5"/>
  <c r="L5295" i="5"/>
  <c r="K5311" i="5"/>
  <c r="L5311" i="5" s="1"/>
  <c r="L5313" i="5"/>
  <c r="R5313" i="5"/>
  <c r="S5313" i="5" s="1"/>
  <c r="P5305" i="5"/>
  <c r="K5310" i="5"/>
  <c r="R5310" i="5" s="1"/>
  <c r="S5310" i="5" s="1"/>
  <c r="L5312" i="5"/>
  <c r="R5312" i="5"/>
  <c r="S5312" i="5" s="1"/>
  <c r="L5317" i="5"/>
  <c r="N5338" i="5"/>
  <c r="P5338" i="5"/>
  <c r="P5363" i="5"/>
  <c r="N5363" i="5"/>
  <c r="R5269" i="5"/>
  <c r="S5269" i="5" s="1"/>
  <c r="K5302" i="5"/>
  <c r="P5309" i="5"/>
  <c r="N5309" i="5"/>
  <c r="P5320" i="5"/>
  <c r="N5320" i="5"/>
  <c r="K5327" i="5"/>
  <c r="L5327" i="5" s="1"/>
  <c r="K5322" i="5"/>
  <c r="L5328" i="5"/>
  <c r="K5337" i="5"/>
  <c r="L5337" i="5" s="1"/>
  <c r="L5341" i="5"/>
  <c r="R5347" i="5"/>
  <c r="S5347" i="5" s="1"/>
  <c r="L5353" i="5"/>
  <c r="R5353" i="5"/>
  <c r="S5353" i="5" s="1"/>
  <c r="L5293" i="5"/>
  <c r="L5300" i="5"/>
  <c r="R5300" i="5"/>
  <c r="S5300" i="5" s="1"/>
  <c r="L5303" i="5"/>
  <c r="P5319" i="5"/>
  <c r="N5319" i="5"/>
  <c r="K5336" i="5"/>
  <c r="L5340" i="5"/>
  <c r="P5352" i="5"/>
  <c r="L5347" i="5"/>
  <c r="R5291" i="5"/>
  <c r="S5291" i="5" s="1"/>
  <c r="R5296" i="5"/>
  <c r="S5296" i="5" s="1"/>
  <c r="R5307" i="5"/>
  <c r="S5307" i="5" s="1"/>
  <c r="L5307" i="5"/>
  <c r="L5332" i="5"/>
  <c r="R5332" i="5"/>
  <c r="S5332" i="5" s="1"/>
  <c r="P5342" i="5"/>
  <c r="N5342" i="5"/>
  <c r="L5349" i="5"/>
  <c r="R5349" i="5"/>
  <c r="S5349" i="5" s="1"/>
  <c r="K5351" i="5"/>
  <c r="L5351" i="5" s="1"/>
  <c r="P5358" i="5"/>
  <c r="R5352" i="5"/>
  <c r="S5352" i="5" s="1"/>
  <c r="R5358" i="5"/>
  <c r="S5358" i="5" s="1"/>
  <c r="K5357" i="5"/>
  <c r="L5357" i="5" s="1"/>
  <c r="K5228" i="5"/>
  <c r="L5228" i="5" s="1"/>
  <c r="K5227" i="5"/>
  <c r="L5227" i="5" s="1"/>
  <c r="L5226" i="5"/>
  <c r="P5226" i="5" s="1"/>
  <c r="L5225" i="5"/>
  <c r="R5225" i="5"/>
  <c r="S5225" i="5" s="1"/>
  <c r="L5223" i="5"/>
  <c r="K5224" i="5"/>
  <c r="L5224" i="5" s="1"/>
  <c r="Q5223" i="5"/>
  <c r="R5223" i="5" s="1"/>
  <c r="S5223" i="5" s="1"/>
  <c r="R5220" i="5"/>
  <c r="S5220" i="5" s="1"/>
  <c r="P5222" i="5"/>
  <c r="P5221" i="5"/>
  <c r="R5222" i="5"/>
  <c r="S5222" i="5" s="1"/>
  <c r="L5220" i="5"/>
  <c r="R5221" i="5"/>
  <c r="S5221" i="5" s="1"/>
  <c r="K5219" i="5"/>
  <c r="L5219" i="5" s="1"/>
  <c r="K5218" i="5"/>
  <c r="R5218" i="5" s="1"/>
  <c r="S5218" i="5" s="1"/>
  <c r="L5217" i="5"/>
  <c r="P5217" i="5" s="1"/>
  <c r="L5213" i="5"/>
  <c r="P5213" i="5" s="1"/>
  <c r="P5216" i="5"/>
  <c r="N5216" i="5"/>
  <c r="L5215" i="5"/>
  <c r="K5214" i="5"/>
  <c r="L5214" i="5" s="1"/>
  <c r="P5212" i="5"/>
  <c r="N5212" i="5"/>
  <c r="L5211" i="5"/>
  <c r="Q5211" i="5"/>
  <c r="R5211" i="5" s="1"/>
  <c r="S5211" i="5" s="1"/>
  <c r="R5210" i="5"/>
  <c r="S5210" i="5" s="1"/>
  <c r="P5209" i="5"/>
  <c r="L5208" i="5"/>
  <c r="R5208" i="5"/>
  <c r="S5208" i="5" s="1"/>
  <c r="L5210" i="5"/>
  <c r="R5209" i="5"/>
  <c r="S5209" i="5" s="1"/>
  <c r="L5207" i="5"/>
  <c r="R5207" i="5"/>
  <c r="S5207" i="5" s="1"/>
  <c r="P5206" i="5"/>
  <c r="P5205" i="5"/>
  <c r="R5206" i="5"/>
  <c r="S5206" i="5" s="1"/>
  <c r="R5205" i="5"/>
  <c r="S5205" i="5" s="1"/>
  <c r="L5204" i="5"/>
  <c r="R5204" i="5"/>
  <c r="S5204" i="5" s="1"/>
  <c r="L5203" i="5"/>
  <c r="P5203" i="5" s="1"/>
  <c r="M5204" i="5"/>
  <c r="R5203" i="5"/>
  <c r="S5203" i="5" s="1"/>
  <c r="K5202" i="5"/>
  <c r="M5203" i="5"/>
  <c r="K5201" i="5"/>
  <c r="L5201" i="5" s="1"/>
  <c r="L5200" i="5"/>
  <c r="K5199" i="5"/>
  <c r="L5199" i="5" s="1"/>
  <c r="P5199" i="5" s="1"/>
  <c r="R5198" i="5"/>
  <c r="S5198" i="5" s="1"/>
  <c r="L5197" i="5"/>
  <c r="R5197" i="5"/>
  <c r="S5197" i="5" s="1"/>
  <c r="L5198" i="5"/>
  <c r="K5196" i="5"/>
  <c r="L5196" i="5" s="1"/>
  <c r="K5195" i="5"/>
  <c r="R5175" i="5"/>
  <c r="S5175" i="5" s="1"/>
  <c r="P5193" i="5"/>
  <c r="P5192" i="5"/>
  <c r="P5194" i="5"/>
  <c r="R5194" i="5"/>
  <c r="S5194" i="5" s="1"/>
  <c r="R5193" i="5"/>
  <c r="S5193" i="5" s="1"/>
  <c r="R5192" i="5"/>
  <c r="S5192" i="5" s="1"/>
  <c r="R5191" i="5"/>
  <c r="S5191" i="5" s="1"/>
  <c r="L5191" i="5"/>
  <c r="P5190" i="5"/>
  <c r="P5189" i="5"/>
  <c r="R5190" i="5"/>
  <c r="S5190" i="5" s="1"/>
  <c r="L5188" i="5"/>
  <c r="P5188" i="5" s="1"/>
  <c r="R5189" i="5"/>
  <c r="S5189" i="5" s="1"/>
  <c r="L5187" i="5"/>
  <c r="R5187" i="5"/>
  <c r="S5187" i="5" s="1"/>
  <c r="R5188" i="5"/>
  <c r="S5188" i="5" s="1"/>
  <c r="L5185" i="5"/>
  <c r="R5185" i="5"/>
  <c r="S5185" i="5" s="1"/>
  <c r="K5186" i="5"/>
  <c r="L5186" i="5" s="1"/>
  <c r="L5184" i="5"/>
  <c r="R5184" i="5"/>
  <c r="S5184" i="5" s="1"/>
  <c r="M5184" i="5"/>
  <c r="L5181" i="5"/>
  <c r="R5181" i="5"/>
  <c r="S5181" i="5" s="1"/>
  <c r="P5182" i="5"/>
  <c r="L5183" i="5"/>
  <c r="R5183" i="5"/>
  <c r="S5183" i="5" s="1"/>
  <c r="R5179" i="5"/>
  <c r="S5179" i="5" s="1"/>
  <c r="R5182" i="5"/>
  <c r="S5182" i="5" s="1"/>
  <c r="L5179" i="5"/>
  <c r="P5179" i="5" s="1"/>
  <c r="N5177" i="5"/>
  <c r="P5177" i="5"/>
  <c r="L5176" i="5"/>
  <c r="R5176" i="5"/>
  <c r="S5176" i="5" s="1"/>
  <c r="P5175" i="5"/>
  <c r="L5180" i="5"/>
  <c r="R5180" i="5"/>
  <c r="S5180" i="5" s="1"/>
  <c r="L5174" i="5"/>
  <c r="R5174" i="5"/>
  <c r="S5174" i="5" s="1"/>
  <c r="L5173" i="5"/>
  <c r="P5173" i="5" s="1"/>
  <c r="M5179" i="5"/>
  <c r="R5178" i="5"/>
  <c r="S5178" i="5" s="1"/>
  <c r="L5178" i="5"/>
  <c r="BN52" i="12"/>
  <c r="BY52" i="12"/>
  <c r="CK52" i="12"/>
  <c r="M4887" i="5"/>
  <c r="N4887" i="5" s="1"/>
  <c r="M5105" i="5"/>
  <c r="N5105" i="5" s="1"/>
  <c r="Q5168" i="5"/>
  <c r="BD52" i="12"/>
  <c r="BP52" i="12"/>
  <c r="CM52" i="12"/>
  <c r="BF52" i="12"/>
  <c r="CO52" i="12"/>
  <c r="BH52" i="12"/>
  <c r="CQ52" i="12"/>
  <c r="BJ52" i="12"/>
  <c r="CG52" i="12"/>
  <c r="CS52" i="12"/>
  <c r="BL52" i="12"/>
  <c r="CI52" i="12"/>
  <c r="CU52" i="12"/>
  <c r="BB52" i="12"/>
  <c r="BR52" i="12"/>
  <c r="BT52" i="12" s="1"/>
  <c r="CC52" i="12"/>
  <c r="BU52" i="12"/>
  <c r="BW52" i="12" s="1"/>
  <c r="CK51" i="12"/>
  <c r="I40" i="17"/>
  <c r="BY51" i="12"/>
  <c r="BN51" i="12"/>
  <c r="BD51" i="12"/>
  <c r="BP51" i="12"/>
  <c r="CM51" i="12"/>
  <c r="BF51" i="12"/>
  <c r="CO51" i="12"/>
  <c r="BH51" i="12"/>
  <c r="CQ51" i="12"/>
  <c r="BJ51" i="12"/>
  <c r="CG51" i="12"/>
  <c r="CS51" i="12"/>
  <c r="BL51" i="12"/>
  <c r="CI51" i="12"/>
  <c r="CU51" i="12"/>
  <c r="BB51" i="12"/>
  <c r="BR51" i="12"/>
  <c r="BT51" i="12" s="1"/>
  <c r="CC51" i="12"/>
  <c r="BU51" i="12"/>
  <c r="BW51" i="12" s="1"/>
  <c r="I38" i="17"/>
  <c r="Q5070" i="5"/>
  <c r="R5070" i="5" s="1"/>
  <c r="S5070" i="5" s="1"/>
  <c r="Q5152" i="5"/>
  <c r="Q5039" i="5"/>
  <c r="R5039" i="5" s="1"/>
  <c r="S5039" i="5" s="1"/>
  <c r="M5026" i="5"/>
  <c r="N5026" i="5" s="1"/>
  <c r="M5056" i="5"/>
  <c r="M5126" i="5"/>
  <c r="Q5171" i="5"/>
  <c r="R5171" i="5" s="1"/>
  <c r="S5171" i="5" s="1"/>
  <c r="L5122" i="5"/>
  <c r="P5122" i="5" s="1"/>
  <c r="M4801" i="5"/>
  <c r="M5125" i="5"/>
  <c r="N5125" i="5" s="1"/>
  <c r="Q5003" i="5"/>
  <c r="M5040" i="5"/>
  <c r="N5040" i="5" s="1"/>
  <c r="Q5095" i="5"/>
  <c r="R5095" i="5" s="1"/>
  <c r="S5095" i="5" s="1"/>
  <c r="M5122" i="5"/>
  <c r="Q5147" i="5"/>
  <c r="R5147" i="5" s="1"/>
  <c r="S5147" i="5" s="1"/>
  <c r="L5054" i="5"/>
  <c r="P5054" i="5" s="1"/>
  <c r="L5127" i="5"/>
  <c r="P5127" i="5" s="1"/>
  <c r="L5055" i="5"/>
  <c r="L5056" i="5"/>
  <c r="P5056" i="5" s="1"/>
  <c r="K5124" i="5"/>
  <c r="L5124" i="5" s="1"/>
  <c r="P5123" i="5"/>
  <c r="K5126" i="5"/>
  <c r="L5126" i="5" s="1"/>
  <c r="M5025" i="5"/>
  <c r="N5025" i="5" s="1"/>
  <c r="M4842" i="5"/>
  <c r="M4960" i="5"/>
  <c r="Q5005" i="5"/>
  <c r="R5005" i="5" s="1"/>
  <c r="S5005" i="5" s="1"/>
  <c r="Q5028" i="5"/>
  <c r="R5028" i="5" s="1"/>
  <c r="S5028" i="5" s="1"/>
  <c r="Q5098" i="5"/>
  <c r="Q4818" i="5"/>
  <c r="M4932" i="5"/>
  <c r="Q4838" i="5"/>
  <c r="M5075" i="5"/>
  <c r="Q4821" i="5"/>
  <c r="R4821" i="5" s="1"/>
  <c r="S4821" i="5" s="1"/>
  <c r="Q4857" i="5"/>
  <c r="R4857" i="5" s="1"/>
  <c r="S4857" i="5" s="1"/>
  <c r="M4886" i="5"/>
  <c r="N4886" i="5" s="1"/>
  <c r="Q4898" i="5"/>
  <c r="R4898" i="5" s="1"/>
  <c r="S4898" i="5" s="1"/>
  <c r="Q5069" i="5"/>
  <c r="M5074" i="5"/>
  <c r="N5074" i="5" s="1"/>
  <c r="Q5090" i="5"/>
  <c r="Q5112" i="5"/>
  <c r="M4872" i="5"/>
  <c r="M4915" i="5"/>
  <c r="Q4963" i="5"/>
  <c r="R4963" i="5" s="1"/>
  <c r="S4963" i="5" s="1"/>
  <c r="Q4828" i="5"/>
  <c r="M5048" i="5"/>
  <c r="N5048" i="5" s="1"/>
  <c r="Q4795" i="5"/>
  <c r="R4795" i="5" s="1"/>
  <c r="S4795" i="5" s="1"/>
  <c r="M4959" i="5"/>
  <c r="N4959" i="5" s="1"/>
  <c r="M4825" i="5"/>
  <c r="Q4843" i="5"/>
  <c r="Q5119" i="5"/>
  <c r="R5119" i="5" s="1"/>
  <c r="S5119" i="5" s="1"/>
  <c r="Q4804" i="5"/>
  <c r="Q4864" i="5"/>
  <c r="R4864" i="5" s="1"/>
  <c r="S4864" i="5" s="1"/>
  <c r="M4874" i="5"/>
  <c r="Q4885" i="5"/>
  <c r="R4885" i="5" s="1"/>
  <c r="S4885" i="5" s="1"/>
  <c r="Q4894" i="5"/>
  <c r="R4894" i="5" s="1"/>
  <c r="S4894" i="5" s="1"/>
  <c r="Q4907" i="5"/>
  <c r="R4907" i="5" s="1"/>
  <c r="S4907" i="5" s="1"/>
  <c r="Q4920" i="5"/>
  <c r="R4920" i="5" s="1"/>
  <c r="S4920" i="5" s="1"/>
  <c r="M4967" i="5"/>
  <c r="Q4987" i="5"/>
  <c r="R4987" i="5" s="1"/>
  <c r="S4987" i="5" s="1"/>
  <c r="Q5023" i="5"/>
  <c r="R5023" i="5" s="1"/>
  <c r="S5023" i="5" s="1"/>
  <c r="Q5143" i="5"/>
  <c r="R5143" i="5" s="1"/>
  <c r="S5143" i="5" s="1"/>
  <c r="Q5151" i="5"/>
  <c r="R5151" i="5" s="1"/>
  <c r="S5151" i="5" s="1"/>
  <c r="M5153" i="5"/>
  <c r="N5153" i="5" s="1"/>
  <c r="Q4882" i="5"/>
  <c r="M4977" i="5"/>
  <c r="Q4986" i="5"/>
  <c r="Q5061" i="5"/>
  <c r="R5061" i="5" s="1"/>
  <c r="S5061" i="5" s="1"/>
  <c r="Q5100" i="5"/>
  <c r="Q5163" i="5"/>
  <c r="R5163" i="5" s="1"/>
  <c r="S5163" i="5" s="1"/>
  <c r="M4806" i="5"/>
  <c r="Q4815" i="5"/>
  <c r="R4815" i="5" s="1"/>
  <c r="S4815" i="5" s="1"/>
  <c r="Q4820" i="5"/>
  <c r="Q4837" i="5"/>
  <c r="R4837" i="5" s="1"/>
  <c r="S4837" i="5" s="1"/>
  <c r="Q4892" i="5"/>
  <c r="R4892" i="5" s="1"/>
  <c r="S4892" i="5" s="1"/>
  <c r="Q4946" i="5"/>
  <c r="R4946" i="5" s="1"/>
  <c r="S4946" i="5" s="1"/>
  <c r="M4976" i="5"/>
  <c r="Q4984" i="5"/>
  <c r="R4984" i="5" s="1"/>
  <c r="S4984" i="5" s="1"/>
  <c r="Q5002" i="5"/>
  <c r="R5002" i="5" s="1"/>
  <c r="S5002" i="5" s="1"/>
  <c r="Q5065" i="5"/>
  <c r="R5065" i="5" s="1"/>
  <c r="S5065" i="5" s="1"/>
  <c r="Q5099" i="5"/>
  <c r="M4851" i="5"/>
  <c r="Q4819" i="5"/>
  <c r="R4819" i="5" s="1"/>
  <c r="S4819" i="5" s="1"/>
  <c r="Q4945" i="5"/>
  <c r="Q5004" i="5"/>
  <c r="Q5011" i="5"/>
  <c r="R5011" i="5" s="1"/>
  <c r="S5011" i="5" s="1"/>
  <c r="Q5014" i="5"/>
  <c r="R5014" i="5" s="1"/>
  <c r="S5014" i="5" s="1"/>
  <c r="Q5044" i="5"/>
  <c r="Q4799" i="5"/>
  <c r="R4799" i="5" s="1"/>
  <c r="S4799" i="5" s="1"/>
  <c r="Q4813" i="5"/>
  <c r="R4813" i="5" s="1"/>
  <c r="S4813" i="5" s="1"/>
  <c r="Q4822" i="5"/>
  <c r="R4822" i="5" s="1"/>
  <c r="S4822" i="5" s="1"/>
  <c r="Q4871" i="5"/>
  <c r="R4871" i="5" s="1"/>
  <c r="S4871" i="5" s="1"/>
  <c r="Q4901" i="5"/>
  <c r="M4928" i="5"/>
  <c r="N4928" i="5" s="1"/>
  <c r="Q4943" i="5"/>
  <c r="R4943" i="5" s="1"/>
  <c r="S4943" i="5" s="1"/>
  <c r="Q4961" i="5"/>
  <c r="Q4974" i="5"/>
  <c r="R4974" i="5" s="1"/>
  <c r="S4974" i="5" s="1"/>
  <c r="M4983" i="5"/>
  <c r="Q5006" i="5"/>
  <c r="R5006" i="5" s="1"/>
  <c r="S5006" i="5" s="1"/>
  <c r="Q5010" i="5"/>
  <c r="R5010" i="5" s="1"/>
  <c r="S5010" i="5" s="1"/>
  <c r="Q5013" i="5"/>
  <c r="R5013" i="5" s="1"/>
  <c r="S5013" i="5" s="1"/>
  <c r="M5049" i="5"/>
  <c r="Q5068" i="5"/>
  <c r="R5068" i="5" s="1"/>
  <c r="S5068" i="5" s="1"/>
  <c r="Q5092" i="5"/>
  <c r="R5092" i="5" s="1"/>
  <c r="S5092" i="5" s="1"/>
  <c r="Q5096" i="5"/>
  <c r="Q5097" i="5"/>
  <c r="R5097" i="5" s="1"/>
  <c r="S5097" i="5" s="1"/>
  <c r="Q5156" i="5"/>
  <c r="R5156" i="5" s="1"/>
  <c r="S5156" i="5" s="1"/>
  <c r="Q5162" i="5"/>
  <c r="R5162" i="5" s="1"/>
  <c r="S5162" i="5" s="1"/>
  <c r="Q4841" i="5"/>
  <c r="R4841" i="5" s="1"/>
  <c r="S4841" i="5" s="1"/>
  <c r="Q4870" i="5"/>
  <c r="R4870" i="5" s="1"/>
  <c r="S4870" i="5" s="1"/>
  <c r="Q4889" i="5"/>
  <c r="R4889" i="5" s="1"/>
  <c r="S4889" i="5" s="1"/>
  <c r="Q4905" i="5"/>
  <c r="R4905" i="5" s="1"/>
  <c r="S4905" i="5" s="1"/>
  <c r="Q4913" i="5"/>
  <c r="R4913" i="5" s="1"/>
  <c r="S4913" i="5" s="1"/>
  <c r="Q4938" i="5"/>
  <c r="R4938" i="5" s="1"/>
  <c r="S4938" i="5" s="1"/>
  <c r="Q4955" i="5"/>
  <c r="R4955" i="5" s="1"/>
  <c r="S4955" i="5" s="1"/>
  <c r="Q5046" i="5"/>
  <c r="Q5079" i="5"/>
  <c r="Q5083" i="5"/>
  <c r="R5083" i="5" s="1"/>
  <c r="S5083" i="5" s="1"/>
  <c r="Q5113" i="5"/>
  <c r="R5113" i="5" s="1"/>
  <c r="S5113" i="5" s="1"/>
  <c r="Q5134" i="5"/>
  <c r="R5134" i="5" s="1"/>
  <c r="S5134" i="5" s="1"/>
  <c r="Q4800" i="5"/>
  <c r="R4800" i="5" s="1"/>
  <c r="S4800" i="5" s="1"/>
  <c r="Q4812" i="5"/>
  <c r="R4812" i="5" s="1"/>
  <c r="S4812" i="5" s="1"/>
  <c r="Q4802" i="5"/>
  <c r="R4802" i="5" s="1"/>
  <c r="S4802" i="5" s="1"/>
  <c r="M4850" i="5"/>
  <c r="M4867" i="5"/>
  <c r="Q4925" i="5"/>
  <c r="Q5109" i="5"/>
  <c r="R5109" i="5" s="1"/>
  <c r="S5109" i="5" s="1"/>
  <c r="Q5149" i="5"/>
  <c r="R5149" i="5" s="1"/>
  <c r="S5149" i="5" s="1"/>
  <c r="Q5154" i="5"/>
  <c r="Q5161" i="5"/>
  <c r="R5161" i="5" s="1"/>
  <c r="S5161" i="5" s="1"/>
  <c r="Q4808" i="5"/>
  <c r="R4808" i="5" s="1"/>
  <c r="S4808" i="5" s="1"/>
  <c r="Q4823" i="5"/>
  <c r="R4823" i="5" s="1"/>
  <c r="S4823" i="5" s="1"/>
  <c r="M5071" i="5"/>
  <c r="M5136" i="5"/>
  <c r="M5145" i="5"/>
  <c r="Q4784" i="5"/>
  <c r="R4784" i="5" s="1"/>
  <c r="S4784" i="5" s="1"/>
  <c r="Q4797" i="5"/>
  <c r="Q4814" i="5"/>
  <c r="R4814" i="5" s="1"/>
  <c r="S4814" i="5" s="1"/>
  <c r="Q4826" i="5"/>
  <c r="R4826" i="5" s="1"/>
  <c r="S4826" i="5" s="1"/>
  <c r="Q4833" i="5"/>
  <c r="R4833" i="5" s="1"/>
  <c r="S4833" i="5" s="1"/>
  <c r="M4834" i="5"/>
  <c r="M4934" i="5"/>
  <c r="N4934" i="5" s="1"/>
  <c r="M4979" i="5"/>
  <c r="N4979" i="5" s="1"/>
  <c r="Q4991" i="5"/>
  <c r="R4991" i="5" s="1"/>
  <c r="S4991" i="5" s="1"/>
  <c r="Q5033" i="5"/>
  <c r="R5033" i="5" s="1"/>
  <c r="S5033" i="5" s="1"/>
  <c r="Q5034" i="5"/>
  <c r="R5034" i="5" s="1"/>
  <c r="S5034" i="5" s="1"/>
  <c r="M5063" i="5"/>
  <c r="M5104" i="5"/>
  <c r="N5104" i="5" s="1"/>
  <c r="Q5118" i="5"/>
  <c r="R5118" i="5" s="1"/>
  <c r="S5118" i="5" s="1"/>
  <c r="M5137" i="5"/>
  <c r="Q5140" i="5"/>
  <c r="R5140" i="5" s="1"/>
  <c r="S5140" i="5" s="1"/>
  <c r="M4785" i="5"/>
  <c r="Q4796" i="5"/>
  <c r="R4796" i="5" s="1"/>
  <c r="S4796" i="5" s="1"/>
  <c r="Q4805" i="5"/>
  <c r="R4805" i="5" s="1"/>
  <c r="S4805" i="5" s="1"/>
  <c r="M4824" i="5"/>
  <c r="Q4840" i="5"/>
  <c r="Q4862" i="5"/>
  <c r="R4862" i="5" s="1"/>
  <c r="S4862" i="5" s="1"/>
  <c r="Q4884" i="5"/>
  <c r="R4884" i="5" s="1"/>
  <c r="S4884" i="5" s="1"/>
  <c r="Q4888" i="5"/>
  <c r="R4888" i="5" s="1"/>
  <c r="S4888" i="5" s="1"/>
  <c r="M4902" i="5"/>
  <c r="Q4906" i="5"/>
  <c r="Q4912" i="5"/>
  <c r="M5024" i="5"/>
  <c r="N5024" i="5" s="1"/>
  <c r="M5062" i="5"/>
  <c r="Q5102" i="5"/>
  <c r="R5102" i="5" s="1"/>
  <c r="S5102" i="5" s="1"/>
  <c r="M5141" i="5"/>
  <c r="Q5170" i="5"/>
  <c r="R5170" i="5" s="1"/>
  <c r="S5170" i="5" s="1"/>
  <c r="Q4790" i="5"/>
  <c r="Q4883" i="5"/>
  <c r="M4890" i="5"/>
  <c r="Q4893" i="5"/>
  <c r="R4893" i="5" s="1"/>
  <c r="S4893" i="5" s="1"/>
  <c r="Q4975" i="5"/>
  <c r="R4975" i="5" s="1"/>
  <c r="S4975" i="5" s="1"/>
  <c r="Q5076" i="5"/>
  <c r="Q5080" i="5"/>
  <c r="R5080" i="5" s="1"/>
  <c r="S5080" i="5" s="1"/>
  <c r="Q5101" i="5"/>
  <c r="R5101" i="5" s="1"/>
  <c r="S5101" i="5" s="1"/>
  <c r="Q5169" i="5"/>
  <c r="R5169" i="5" s="1"/>
  <c r="S5169" i="5" s="1"/>
  <c r="Q4803" i="5"/>
  <c r="R4803" i="5" s="1"/>
  <c r="S4803" i="5" s="1"/>
  <c r="Q4817" i="5"/>
  <c r="Q4839" i="5"/>
  <c r="R4839" i="5" s="1"/>
  <c r="S4839" i="5" s="1"/>
  <c r="Q4856" i="5"/>
  <c r="R4856" i="5" s="1"/>
  <c r="S4856" i="5" s="1"/>
  <c r="M4895" i="5"/>
  <c r="Q4904" i="5"/>
  <c r="M4939" i="5"/>
  <c r="Q4962" i="5"/>
  <c r="R4962" i="5" s="1"/>
  <c r="S4962" i="5" s="1"/>
  <c r="Q4969" i="5"/>
  <c r="Q4980" i="5"/>
  <c r="R4980" i="5" s="1"/>
  <c r="S4980" i="5" s="1"/>
  <c r="Q4798" i="5"/>
  <c r="R4798" i="5" s="1"/>
  <c r="S4798" i="5" s="1"/>
  <c r="M4811" i="5"/>
  <c r="Q4816" i="5"/>
  <c r="Q4827" i="5"/>
  <c r="R4827" i="5" s="1"/>
  <c r="S4827" i="5" s="1"/>
  <c r="Q4875" i="5"/>
  <c r="R4875" i="5" s="1"/>
  <c r="S4875" i="5" s="1"/>
  <c r="M4924" i="5"/>
  <c r="Q4933" i="5"/>
  <c r="Q4942" i="5"/>
  <c r="Q5035" i="5"/>
  <c r="R5035" i="5" s="1"/>
  <c r="S5035" i="5" s="1"/>
  <c r="Q5047" i="5"/>
  <c r="R5047" i="5" s="1"/>
  <c r="S5047" i="5" s="1"/>
  <c r="M5067" i="5"/>
  <c r="Q5142" i="5"/>
  <c r="R5142" i="5" s="1"/>
  <c r="S5142" i="5" s="1"/>
  <c r="Q5032" i="5"/>
  <c r="Q5111" i="5"/>
  <c r="R5111" i="5" s="1"/>
  <c r="S5111" i="5" s="1"/>
  <c r="Q5121" i="5"/>
  <c r="R5121" i="5" s="1"/>
  <c r="S5121" i="5" s="1"/>
  <c r="Q5150" i="5"/>
  <c r="R5150" i="5" s="1"/>
  <c r="S5150" i="5" s="1"/>
  <c r="Q5167" i="5"/>
  <c r="R5167" i="5" s="1"/>
  <c r="S5167" i="5" s="1"/>
  <c r="M4973" i="5"/>
  <c r="N4973" i="5" s="1"/>
  <c r="Q4783" i="5"/>
  <c r="Q4789" i="5"/>
  <c r="R4789" i="5" s="1"/>
  <c r="S4789" i="5" s="1"/>
  <c r="Q4807" i="5"/>
  <c r="M4849" i="5"/>
  <c r="M4866" i="5"/>
  <c r="Q4873" i="5"/>
  <c r="R4873" i="5" s="1"/>
  <c r="S4873" i="5" s="1"/>
  <c r="M4919" i="5"/>
  <c r="Q4927" i="5"/>
  <c r="R4927" i="5" s="1"/>
  <c r="S4927" i="5" s="1"/>
  <c r="M4936" i="5"/>
  <c r="Q4941" i="5"/>
  <c r="M4954" i="5"/>
  <c r="N4954" i="5" s="1"/>
  <c r="Q4968" i="5"/>
  <c r="R4968" i="5" s="1"/>
  <c r="S4968" i="5" s="1"/>
  <c r="Q4982" i="5"/>
  <c r="Q4990" i="5"/>
  <c r="R4990" i="5" s="1"/>
  <c r="S4990" i="5" s="1"/>
  <c r="Q4999" i="5"/>
  <c r="R4999" i="5" s="1"/>
  <c r="S4999" i="5" s="1"/>
  <c r="Q5019" i="5"/>
  <c r="R5019" i="5" s="1"/>
  <c r="S5019" i="5" s="1"/>
  <c r="M5073" i="5"/>
  <c r="Q5078" i="5"/>
  <c r="Q5082" i="5"/>
  <c r="R5082" i="5" s="1"/>
  <c r="S5082" i="5" s="1"/>
  <c r="M5093" i="5"/>
  <c r="M5106" i="5"/>
  <c r="Q5110" i="5"/>
  <c r="Q5115" i="5"/>
  <c r="R5115" i="5" s="1"/>
  <c r="S5115" i="5" s="1"/>
  <c r="Q5120" i="5"/>
  <c r="R5120" i="5" s="1"/>
  <c r="S5120" i="5" s="1"/>
  <c r="Q5138" i="5"/>
  <c r="R5138" i="5" s="1"/>
  <c r="S5138" i="5" s="1"/>
  <c r="M5135" i="5"/>
  <c r="Q5157" i="5"/>
  <c r="R5157" i="5" s="1"/>
  <c r="S5157" i="5" s="1"/>
  <c r="M4810" i="5"/>
  <c r="N4810" i="5" s="1"/>
  <c r="Q4781" i="5"/>
  <c r="Q4782" i="5"/>
  <c r="R4782" i="5" s="1"/>
  <c r="S4782" i="5" s="1"/>
  <c r="Q4788" i="5"/>
  <c r="Q4794" i="5"/>
  <c r="Q4836" i="5"/>
  <c r="R4836" i="5" s="1"/>
  <c r="S4836" i="5" s="1"/>
  <c r="Q4847" i="5"/>
  <c r="R4847" i="5" s="1"/>
  <c r="S4847" i="5" s="1"/>
  <c r="M4848" i="5"/>
  <c r="N4848" i="5" s="1"/>
  <c r="M4865" i="5"/>
  <c r="Q4897" i="5"/>
  <c r="R4897" i="5" s="1"/>
  <c r="S4897" i="5" s="1"/>
  <c r="Q4908" i="5"/>
  <c r="R4908" i="5" s="1"/>
  <c r="S4908" i="5" s="1"/>
  <c r="Q4914" i="5"/>
  <c r="R4914" i="5" s="1"/>
  <c r="S4914" i="5" s="1"/>
  <c r="Q4926" i="5"/>
  <c r="R4926" i="5" s="1"/>
  <c r="S4926" i="5" s="1"/>
  <c r="M4935" i="5"/>
  <c r="Q4944" i="5"/>
  <c r="M4953" i="5"/>
  <c r="Q4989" i="5"/>
  <c r="R4989" i="5" s="1"/>
  <c r="S4989" i="5" s="1"/>
  <c r="Q5018" i="5"/>
  <c r="R5018" i="5" s="1"/>
  <c r="S5018" i="5" s="1"/>
  <c r="Q5066" i="5"/>
  <c r="R5066" i="5" s="1"/>
  <c r="S5066" i="5" s="1"/>
  <c r="M5084" i="5"/>
  <c r="Q5114" i="5"/>
  <c r="Q5117" i="5"/>
  <c r="R5117" i="5" s="1"/>
  <c r="S5117" i="5" s="1"/>
  <c r="Q5144" i="5"/>
  <c r="R5144" i="5" s="1"/>
  <c r="S5144" i="5" s="1"/>
  <c r="Q4780" i="5"/>
  <c r="R4780" i="5" s="1"/>
  <c r="S4780" i="5" s="1"/>
  <c r="Q4787" i="5"/>
  <c r="Q4829" i="5"/>
  <c r="R4829" i="5" s="1"/>
  <c r="S4829" i="5" s="1"/>
  <c r="Q4835" i="5"/>
  <c r="R4835" i="5" s="1"/>
  <c r="S4835" i="5" s="1"/>
  <c r="Q4858" i="5"/>
  <c r="R4858" i="5" s="1"/>
  <c r="S4858" i="5" s="1"/>
  <c r="Q4863" i="5"/>
  <c r="R4863" i="5" s="1"/>
  <c r="S4863" i="5" s="1"/>
  <c r="Q4869" i="5"/>
  <c r="Q4880" i="5"/>
  <c r="R4880" i="5" s="1"/>
  <c r="S4880" i="5" s="1"/>
  <c r="Q4881" i="5"/>
  <c r="R4881" i="5" s="1"/>
  <c r="S4881" i="5" s="1"/>
  <c r="Q4891" i="5"/>
  <c r="R4891" i="5" s="1"/>
  <c r="S4891" i="5" s="1"/>
  <c r="Q4899" i="5"/>
  <c r="R4899" i="5" s="1"/>
  <c r="S4899" i="5" s="1"/>
  <c r="Q4929" i="5"/>
  <c r="R4929" i="5" s="1"/>
  <c r="S4929" i="5" s="1"/>
  <c r="Q4981" i="5"/>
  <c r="R4981" i="5" s="1"/>
  <c r="S4981" i="5" s="1"/>
  <c r="Q4988" i="5"/>
  <c r="R4988" i="5" s="1"/>
  <c r="S4988" i="5" s="1"/>
  <c r="Q5001" i="5"/>
  <c r="R5001" i="5" s="1"/>
  <c r="S5001" i="5" s="1"/>
  <c r="Q5029" i="5"/>
  <c r="Q5031" i="5"/>
  <c r="R5031" i="5" s="1"/>
  <c r="S5031" i="5" s="1"/>
  <c r="Q5072" i="5"/>
  <c r="Q5116" i="5"/>
  <c r="R5116" i="5" s="1"/>
  <c r="S5116" i="5" s="1"/>
  <c r="Q5148" i="5"/>
  <c r="Q4779" i="5"/>
  <c r="R4779" i="5" s="1"/>
  <c r="S4779" i="5" s="1"/>
  <c r="Q4900" i="5"/>
  <c r="R4900" i="5" s="1"/>
  <c r="S4900" i="5" s="1"/>
  <c r="Q4970" i="5"/>
  <c r="R4970" i="5" s="1"/>
  <c r="S4970" i="5" s="1"/>
  <c r="Q5030" i="5"/>
  <c r="R5030" i="5" s="1"/>
  <c r="S5030" i="5" s="1"/>
  <c r="Q5045" i="5"/>
  <c r="R5045" i="5" s="1"/>
  <c r="S5045" i="5" s="1"/>
  <c r="Q5050" i="5"/>
  <c r="R5050" i="5" s="1"/>
  <c r="S5050" i="5" s="1"/>
  <c r="Q5060" i="5"/>
  <c r="Q5081" i="5"/>
  <c r="R5081" i="5" s="1"/>
  <c r="S5081" i="5" s="1"/>
  <c r="Q5091" i="5"/>
  <c r="R5091" i="5" s="1"/>
  <c r="S5091" i="5" s="1"/>
  <c r="P5172" i="5"/>
  <c r="N5172" i="5"/>
  <c r="L5171" i="5"/>
  <c r="P5170" i="5"/>
  <c r="N5170" i="5"/>
  <c r="N5167" i="5"/>
  <c r="P5167" i="5"/>
  <c r="L5169" i="5"/>
  <c r="K5168" i="5"/>
  <c r="L5166" i="5"/>
  <c r="R5166" i="5"/>
  <c r="S5166" i="5" s="1"/>
  <c r="L5165" i="5"/>
  <c r="R5165" i="5"/>
  <c r="S5165" i="5" s="1"/>
  <c r="P5164" i="5"/>
  <c r="R5164" i="5"/>
  <c r="S5164" i="5" s="1"/>
  <c r="P5163" i="5"/>
  <c r="N5163" i="5"/>
  <c r="P5162" i="5"/>
  <c r="N5162" i="5"/>
  <c r="L5161" i="5"/>
  <c r="L5159" i="5"/>
  <c r="R5159" i="5"/>
  <c r="S5159" i="5" s="1"/>
  <c r="L5158" i="5"/>
  <c r="R5158" i="5"/>
  <c r="S5158" i="5" s="1"/>
  <c r="L5160" i="5"/>
  <c r="R5160" i="5"/>
  <c r="S5160" i="5" s="1"/>
  <c r="L5156" i="5"/>
  <c r="N5156" i="5" s="1"/>
  <c r="P5157" i="5"/>
  <c r="N5157" i="5"/>
  <c r="K5154" i="5"/>
  <c r="L5154" i="5" s="1"/>
  <c r="P5154" i="5" s="1"/>
  <c r="P5153" i="5"/>
  <c r="N5155" i="5"/>
  <c r="P5155" i="5"/>
  <c r="R5153" i="5"/>
  <c r="S5153" i="5" s="1"/>
  <c r="K5152" i="5"/>
  <c r="L5152" i="5" s="1"/>
  <c r="Q5155" i="5"/>
  <c r="R5155" i="5" s="1"/>
  <c r="S5155" i="5" s="1"/>
  <c r="L5151" i="5"/>
  <c r="P5151" i="5" s="1"/>
  <c r="P5150" i="5"/>
  <c r="N5150" i="5"/>
  <c r="P5149" i="5"/>
  <c r="N5149" i="5"/>
  <c r="K5148" i="5"/>
  <c r="L5148" i="5" s="1"/>
  <c r="P5147" i="5"/>
  <c r="N5147" i="5"/>
  <c r="L5146" i="5"/>
  <c r="N5144" i="5"/>
  <c r="P5144" i="5"/>
  <c r="Q5146" i="5"/>
  <c r="R5146" i="5" s="1"/>
  <c r="S5146" i="5" s="1"/>
  <c r="L5143" i="5"/>
  <c r="N5143" i="5" s="1"/>
  <c r="K5145" i="5"/>
  <c r="R5145" i="5" s="1"/>
  <c r="S5145" i="5" s="1"/>
  <c r="L5142" i="5"/>
  <c r="P5142" i="5" s="1"/>
  <c r="R5122" i="5"/>
  <c r="S5122" i="5" s="1"/>
  <c r="R5141" i="5"/>
  <c r="S5141" i="5" s="1"/>
  <c r="L5141" i="5"/>
  <c r="P5141" i="5" s="1"/>
  <c r="R5123" i="5"/>
  <c r="S5123" i="5" s="1"/>
  <c r="P5140" i="5"/>
  <c r="N5140" i="5"/>
  <c r="L5137" i="5"/>
  <c r="P5137" i="5" s="1"/>
  <c r="Q5139" i="5"/>
  <c r="R5139" i="5" s="1"/>
  <c r="S5139" i="5" s="1"/>
  <c r="N5139" i="5"/>
  <c r="R5125" i="5"/>
  <c r="S5125" i="5" s="1"/>
  <c r="P5138" i="5"/>
  <c r="N5138" i="5"/>
  <c r="K5136" i="5"/>
  <c r="L5136" i="5" s="1"/>
  <c r="R5137" i="5"/>
  <c r="S5137" i="5" s="1"/>
  <c r="K5135" i="5"/>
  <c r="L5135" i="5" s="1"/>
  <c r="L5134" i="5"/>
  <c r="L5132" i="5"/>
  <c r="R5132" i="5"/>
  <c r="S5132" i="5" s="1"/>
  <c r="L5133" i="5"/>
  <c r="R5133" i="5"/>
  <c r="S5133" i="5" s="1"/>
  <c r="P5131" i="5"/>
  <c r="R5131" i="5"/>
  <c r="S5131" i="5" s="1"/>
  <c r="L5129" i="5"/>
  <c r="R5129" i="5"/>
  <c r="S5129" i="5" s="1"/>
  <c r="L5130" i="5"/>
  <c r="R5130" i="5"/>
  <c r="S5130" i="5" s="1"/>
  <c r="P5128" i="5"/>
  <c r="R5128" i="5"/>
  <c r="S5128" i="5" s="1"/>
  <c r="L5120" i="5"/>
  <c r="P5120" i="5" s="1"/>
  <c r="P5121" i="5"/>
  <c r="N5121" i="5"/>
  <c r="P5119" i="5"/>
  <c r="N5119" i="5"/>
  <c r="P5118" i="5"/>
  <c r="N5118" i="5"/>
  <c r="P5117" i="5"/>
  <c r="N5117" i="5"/>
  <c r="L5116" i="5"/>
  <c r="P5116" i="5" s="1"/>
  <c r="R5056" i="5"/>
  <c r="S5056" i="5" s="1"/>
  <c r="R5053" i="5"/>
  <c r="S5053" i="5" s="1"/>
  <c r="R5055" i="5"/>
  <c r="S5055" i="5" s="1"/>
  <c r="P5115" i="5"/>
  <c r="N5115" i="5"/>
  <c r="P5053" i="5"/>
  <c r="K5114" i="5"/>
  <c r="L5114" i="5" s="1"/>
  <c r="R5054" i="5"/>
  <c r="S5054" i="5" s="1"/>
  <c r="P5113" i="5"/>
  <c r="N5113" i="5"/>
  <c r="K5112" i="5"/>
  <c r="L5112" i="5" s="1"/>
  <c r="R5051" i="5"/>
  <c r="S5051" i="5" s="1"/>
  <c r="R5052" i="5"/>
  <c r="S5052" i="5" s="1"/>
  <c r="P5111" i="5"/>
  <c r="N5111" i="5"/>
  <c r="K5110" i="5"/>
  <c r="R5108" i="5"/>
  <c r="S5108" i="5" s="1"/>
  <c r="L5108" i="5"/>
  <c r="P5108" i="5" s="1"/>
  <c r="L5109" i="5"/>
  <c r="P5105" i="5"/>
  <c r="L5107" i="5"/>
  <c r="Q5107" i="5"/>
  <c r="R5107" i="5" s="1"/>
  <c r="S5107" i="5" s="1"/>
  <c r="K5106" i="5"/>
  <c r="L5106" i="5" s="1"/>
  <c r="R5105" i="5"/>
  <c r="S5105" i="5" s="1"/>
  <c r="P5104" i="5"/>
  <c r="L5103" i="5"/>
  <c r="Q5103" i="5"/>
  <c r="R5103" i="5" s="1"/>
  <c r="S5103" i="5" s="1"/>
  <c r="R5104" i="5"/>
  <c r="S5104" i="5" s="1"/>
  <c r="P5102" i="5"/>
  <c r="N5102" i="5"/>
  <c r="P5101" i="5"/>
  <c r="N5101" i="5"/>
  <c r="K5100" i="5"/>
  <c r="L5100" i="5" s="1"/>
  <c r="K5099" i="5"/>
  <c r="L5099" i="5" s="1"/>
  <c r="K5098" i="5"/>
  <c r="L5098" i="5" s="1"/>
  <c r="P5097" i="5"/>
  <c r="N5097" i="5"/>
  <c r="K5096" i="5"/>
  <c r="L5095" i="5"/>
  <c r="N5095" i="5" s="1"/>
  <c r="N5092" i="5"/>
  <c r="P5092" i="5"/>
  <c r="L5094" i="5"/>
  <c r="Q5094" i="5"/>
  <c r="R5094" i="5" s="1"/>
  <c r="S5094" i="5" s="1"/>
  <c r="K5093" i="5"/>
  <c r="R5093" i="5" s="1"/>
  <c r="S5093" i="5" s="1"/>
  <c r="K5090" i="5"/>
  <c r="L5090" i="5" s="1"/>
  <c r="P5090" i="5" s="1"/>
  <c r="P5091" i="5"/>
  <c r="N5091" i="5"/>
  <c r="L5088" i="5"/>
  <c r="R5088" i="5"/>
  <c r="S5088" i="5" s="1"/>
  <c r="L5089" i="5"/>
  <c r="R5089" i="5"/>
  <c r="S5089" i="5" s="1"/>
  <c r="P5087" i="5"/>
  <c r="R5087" i="5"/>
  <c r="S5087" i="5" s="1"/>
  <c r="N5083" i="5"/>
  <c r="P5086" i="5"/>
  <c r="P5083" i="5"/>
  <c r="K5085" i="5"/>
  <c r="R5085" i="5" s="1"/>
  <c r="S5085" i="5" s="1"/>
  <c r="R5086" i="5"/>
  <c r="S5086" i="5" s="1"/>
  <c r="K5084" i="5"/>
  <c r="L5084" i="5" s="1"/>
  <c r="P5082" i="5"/>
  <c r="N5082" i="5"/>
  <c r="P5081" i="5"/>
  <c r="N5081" i="5"/>
  <c r="P5080" i="5"/>
  <c r="N5080" i="5"/>
  <c r="K5079" i="5"/>
  <c r="L5079" i="5" s="1"/>
  <c r="K5078" i="5"/>
  <c r="L5078" i="5" s="1"/>
  <c r="K5075" i="5"/>
  <c r="L5075" i="5" s="1"/>
  <c r="P5075" i="5" s="1"/>
  <c r="P5074" i="5"/>
  <c r="P5077" i="5"/>
  <c r="N5077" i="5"/>
  <c r="R5074" i="5"/>
  <c r="S5074" i="5" s="1"/>
  <c r="K5073" i="5"/>
  <c r="R5073" i="5" s="1"/>
  <c r="S5073" i="5" s="1"/>
  <c r="Q5077" i="5"/>
  <c r="R5077" i="5" s="1"/>
  <c r="S5077" i="5" s="1"/>
  <c r="K5076" i="5"/>
  <c r="K5072" i="5"/>
  <c r="L5071" i="5"/>
  <c r="P5071" i="5" s="1"/>
  <c r="R5071" i="5"/>
  <c r="S5071" i="5" s="1"/>
  <c r="K5069" i="5"/>
  <c r="P5070" i="5"/>
  <c r="N5070" i="5"/>
  <c r="P5068" i="5"/>
  <c r="N5068" i="5"/>
  <c r="K5067" i="5"/>
  <c r="R5067" i="5" s="1"/>
  <c r="S5067" i="5" s="1"/>
  <c r="P5065" i="5"/>
  <c r="N5065" i="5"/>
  <c r="P5066" i="5"/>
  <c r="N5066" i="5"/>
  <c r="K5062" i="5"/>
  <c r="L5062" i="5" s="1"/>
  <c r="P5062" i="5" s="1"/>
  <c r="P5061" i="5"/>
  <c r="N5061" i="5"/>
  <c r="L5063" i="5"/>
  <c r="R5063" i="5"/>
  <c r="S5063" i="5" s="1"/>
  <c r="P5064" i="5"/>
  <c r="N5064" i="5"/>
  <c r="K5060" i="5"/>
  <c r="L5060" i="5" s="1"/>
  <c r="Q5064" i="5"/>
  <c r="R5064" i="5" s="1"/>
  <c r="S5064" i="5" s="1"/>
  <c r="L5059" i="5"/>
  <c r="R5059" i="5"/>
  <c r="S5059" i="5" s="1"/>
  <c r="P5058" i="5"/>
  <c r="P5057" i="5"/>
  <c r="R5058" i="5"/>
  <c r="S5058" i="5" s="1"/>
  <c r="R5057" i="5"/>
  <c r="S5057" i="5" s="1"/>
  <c r="P5050" i="5"/>
  <c r="N5050" i="5"/>
  <c r="K5049" i="5"/>
  <c r="R5049" i="5" s="1"/>
  <c r="S5049" i="5" s="1"/>
  <c r="P5048" i="5"/>
  <c r="R5048" i="5"/>
  <c r="S5048" i="5" s="1"/>
  <c r="P5047" i="5"/>
  <c r="N5047" i="5"/>
  <c r="K5046" i="5"/>
  <c r="L5046" i="5" s="1"/>
  <c r="P5045" i="5"/>
  <c r="N5045" i="5"/>
  <c r="K5044" i="5"/>
  <c r="L5044" i="5" s="1"/>
  <c r="L5042" i="5"/>
  <c r="R5042" i="5"/>
  <c r="S5042" i="5" s="1"/>
  <c r="L5043" i="5"/>
  <c r="R5043" i="5"/>
  <c r="S5043" i="5" s="1"/>
  <c r="P5041" i="5"/>
  <c r="R5041" i="5"/>
  <c r="S5041" i="5" s="1"/>
  <c r="L5039" i="5"/>
  <c r="P5039" i="5" s="1"/>
  <c r="P5040" i="5"/>
  <c r="R5040" i="5"/>
  <c r="S5040" i="5" s="1"/>
  <c r="L5038" i="5"/>
  <c r="R5038" i="5"/>
  <c r="S5038" i="5" s="1"/>
  <c r="P5037" i="5"/>
  <c r="P5036" i="5"/>
  <c r="R5037" i="5"/>
  <c r="S5037" i="5" s="1"/>
  <c r="R5036" i="5"/>
  <c r="S5036" i="5" s="1"/>
  <c r="L5035" i="5"/>
  <c r="N5035" i="5" s="1"/>
  <c r="L5034" i="5"/>
  <c r="N5034" i="5" s="1"/>
  <c r="P5033" i="5"/>
  <c r="N5033" i="5"/>
  <c r="K5032" i="5"/>
  <c r="P5031" i="5"/>
  <c r="N5031" i="5"/>
  <c r="P5030" i="5"/>
  <c r="N5030" i="5"/>
  <c r="K5029" i="5"/>
  <c r="L5029" i="5" s="1"/>
  <c r="P5028" i="5"/>
  <c r="N5028" i="5"/>
  <c r="P5027" i="5"/>
  <c r="P5026" i="5"/>
  <c r="P5025" i="5"/>
  <c r="R5027" i="5"/>
  <c r="S5027" i="5" s="1"/>
  <c r="R5026" i="5"/>
  <c r="S5026" i="5" s="1"/>
  <c r="R5025" i="5"/>
  <c r="S5025" i="5" s="1"/>
  <c r="L5023" i="5"/>
  <c r="P5023" i="5" s="1"/>
  <c r="P5024" i="5"/>
  <c r="R5024" i="5"/>
  <c r="S5024" i="5" s="1"/>
  <c r="L5022" i="5"/>
  <c r="R5022" i="5"/>
  <c r="S5022" i="5" s="1"/>
  <c r="L5021" i="5"/>
  <c r="R5021" i="5"/>
  <c r="S5021" i="5" s="1"/>
  <c r="P5020" i="5"/>
  <c r="R5020" i="5"/>
  <c r="S5020" i="5" s="1"/>
  <c r="P5019" i="5"/>
  <c r="N5019" i="5"/>
  <c r="L5018" i="5"/>
  <c r="N5018" i="5" s="1"/>
  <c r="L5016" i="5"/>
  <c r="R5016" i="5"/>
  <c r="S5016" i="5" s="1"/>
  <c r="P5017" i="5"/>
  <c r="P5015" i="5"/>
  <c r="R5017" i="5"/>
  <c r="S5017" i="5" s="1"/>
  <c r="R5015" i="5"/>
  <c r="S5015" i="5" s="1"/>
  <c r="P5014" i="5"/>
  <c r="N5014" i="5"/>
  <c r="P5013" i="5"/>
  <c r="N5013" i="5"/>
  <c r="K5012" i="5"/>
  <c r="R5012" i="5" s="1"/>
  <c r="S5012" i="5" s="1"/>
  <c r="M5012" i="5"/>
  <c r="P5010" i="5"/>
  <c r="N5010" i="5"/>
  <c r="P5011" i="5"/>
  <c r="N5011" i="5"/>
  <c r="L5009" i="5"/>
  <c r="R5009" i="5"/>
  <c r="S5009" i="5" s="1"/>
  <c r="L5008" i="5"/>
  <c r="R5008" i="5"/>
  <c r="S5008" i="5" s="1"/>
  <c r="L5007" i="5"/>
  <c r="R5007" i="5"/>
  <c r="S5007" i="5" s="1"/>
  <c r="L5006" i="5"/>
  <c r="P5006" i="5" s="1"/>
  <c r="P5005" i="5"/>
  <c r="N5005" i="5"/>
  <c r="K5004" i="5"/>
  <c r="L5002" i="5"/>
  <c r="P5002" i="5" s="1"/>
  <c r="K5003" i="5"/>
  <c r="P5001" i="5"/>
  <c r="N5001" i="5"/>
  <c r="M5000" i="5"/>
  <c r="R5000" i="5"/>
  <c r="S5000" i="5" s="1"/>
  <c r="L5000" i="5"/>
  <c r="P4999" i="5"/>
  <c r="N4999" i="5"/>
  <c r="L4998" i="5"/>
  <c r="R4998" i="5"/>
  <c r="S4998" i="5" s="1"/>
  <c r="P4997" i="5"/>
  <c r="P4996" i="5"/>
  <c r="R4997" i="5"/>
  <c r="S4997" i="5" s="1"/>
  <c r="R4996" i="5"/>
  <c r="S4996" i="5" s="1"/>
  <c r="L4995" i="5"/>
  <c r="P4995" i="5" s="1"/>
  <c r="R4995" i="5"/>
  <c r="S4995" i="5" s="1"/>
  <c r="M4995" i="5"/>
  <c r="L4994" i="5"/>
  <c r="R4994" i="5"/>
  <c r="S4994" i="5" s="1"/>
  <c r="L4993" i="5"/>
  <c r="R4993" i="5"/>
  <c r="S4993" i="5" s="1"/>
  <c r="P4992" i="5"/>
  <c r="R4992" i="5"/>
  <c r="S4992" i="5" s="1"/>
  <c r="L4991" i="5"/>
  <c r="P4991" i="5" s="1"/>
  <c r="L4989" i="5"/>
  <c r="P4989" i="5" s="1"/>
  <c r="L4990" i="5"/>
  <c r="P4990" i="5" s="1"/>
  <c r="L4988" i="5"/>
  <c r="P4988" i="5" s="1"/>
  <c r="K4986" i="5"/>
  <c r="P4987" i="5"/>
  <c r="N4987" i="5"/>
  <c r="P4985" i="5"/>
  <c r="M4985" i="5"/>
  <c r="N4985" i="5" s="1"/>
  <c r="R4985" i="5"/>
  <c r="S4985" i="5" s="1"/>
  <c r="P4984" i="5"/>
  <c r="N4984" i="5"/>
  <c r="K4983" i="5"/>
  <c r="L4983" i="5" s="1"/>
  <c r="K4982" i="5"/>
  <c r="L4981" i="5"/>
  <c r="N4981" i="5" s="1"/>
  <c r="P4980" i="5"/>
  <c r="N4980" i="5"/>
  <c r="P4979" i="5"/>
  <c r="R4979" i="5"/>
  <c r="S4979" i="5" s="1"/>
  <c r="Q4978" i="5"/>
  <c r="R4978" i="5" s="1"/>
  <c r="S4978" i="5" s="1"/>
  <c r="N4978" i="5"/>
  <c r="K4977" i="5"/>
  <c r="L4977" i="5" s="1"/>
  <c r="L4976" i="5"/>
  <c r="R4976" i="5"/>
  <c r="S4976" i="5" s="1"/>
  <c r="N4974" i="5"/>
  <c r="P4974" i="5"/>
  <c r="L4975" i="5"/>
  <c r="P4971" i="5"/>
  <c r="P4973" i="5"/>
  <c r="P4972" i="5"/>
  <c r="R4973" i="5"/>
  <c r="S4973" i="5" s="1"/>
  <c r="R4972" i="5"/>
  <c r="S4972" i="5" s="1"/>
  <c r="R4971" i="5"/>
  <c r="S4971" i="5" s="1"/>
  <c r="P4970" i="5"/>
  <c r="N4970" i="5"/>
  <c r="K4969" i="5"/>
  <c r="P4968" i="5"/>
  <c r="N4968" i="5"/>
  <c r="K4967" i="5"/>
  <c r="R4967" i="5" s="1"/>
  <c r="S4967" i="5" s="1"/>
  <c r="L4966" i="5"/>
  <c r="R4966" i="5"/>
  <c r="S4966" i="5" s="1"/>
  <c r="P4964" i="5"/>
  <c r="P4965" i="5"/>
  <c r="R4965" i="5"/>
  <c r="S4965" i="5" s="1"/>
  <c r="L4963" i="5"/>
  <c r="N4963" i="5" s="1"/>
  <c r="R4964" i="5"/>
  <c r="S4964" i="5" s="1"/>
  <c r="L4962" i="5"/>
  <c r="N4962" i="5" s="1"/>
  <c r="K4961" i="5"/>
  <c r="L4961" i="5" s="1"/>
  <c r="L4960" i="5"/>
  <c r="R4960" i="5"/>
  <c r="S4960" i="5" s="1"/>
  <c r="P4959" i="5"/>
  <c r="R4959" i="5"/>
  <c r="S4959" i="5" s="1"/>
  <c r="P4956" i="5"/>
  <c r="L4957" i="5"/>
  <c r="R4957" i="5"/>
  <c r="S4957" i="5" s="1"/>
  <c r="L4958" i="5"/>
  <c r="R4958" i="5"/>
  <c r="S4958" i="5" s="1"/>
  <c r="R4956" i="5"/>
  <c r="S4956" i="5" s="1"/>
  <c r="L4955" i="5"/>
  <c r="N4955" i="5" s="1"/>
  <c r="P4954" i="5"/>
  <c r="K4953" i="5"/>
  <c r="R4953" i="5" s="1"/>
  <c r="S4953" i="5" s="1"/>
  <c r="R4954" i="5"/>
  <c r="S4954" i="5" s="1"/>
  <c r="L4952" i="5"/>
  <c r="R4952" i="5"/>
  <c r="S4952" i="5" s="1"/>
  <c r="P4950" i="5"/>
  <c r="P4951" i="5"/>
  <c r="R4951" i="5"/>
  <c r="S4951" i="5" s="1"/>
  <c r="R4950" i="5"/>
  <c r="S4950" i="5" s="1"/>
  <c r="P4947" i="5"/>
  <c r="L4949" i="5"/>
  <c r="R4949" i="5"/>
  <c r="S4949" i="5" s="1"/>
  <c r="P4948" i="5"/>
  <c r="R4948" i="5"/>
  <c r="S4948" i="5" s="1"/>
  <c r="R4947" i="5"/>
  <c r="S4947" i="5" s="1"/>
  <c r="N4946" i="5"/>
  <c r="P4946" i="5"/>
  <c r="K4945" i="5"/>
  <c r="L4945" i="5" s="1"/>
  <c r="K4944" i="5"/>
  <c r="L4944" i="5" s="1"/>
  <c r="R4935" i="5"/>
  <c r="S4935" i="5" s="1"/>
  <c r="K4942" i="5"/>
  <c r="P4943" i="5"/>
  <c r="N4943" i="5"/>
  <c r="L4940" i="5"/>
  <c r="P4940" i="5" s="1"/>
  <c r="L4935" i="5"/>
  <c r="P4935" i="5" s="1"/>
  <c r="K4941" i="5"/>
  <c r="L4938" i="5"/>
  <c r="N4938" i="5" s="1"/>
  <c r="K4936" i="5"/>
  <c r="R4936" i="5" s="1"/>
  <c r="S4936" i="5" s="1"/>
  <c r="Q4940" i="5"/>
  <c r="R4940" i="5" s="1"/>
  <c r="S4940" i="5" s="1"/>
  <c r="K4937" i="5"/>
  <c r="L4937" i="5" s="1"/>
  <c r="P4937" i="5" s="1"/>
  <c r="K4939" i="5"/>
  <c r="L4939" i="5" s="1"/>
  <c r="P4934" i="5"/>
  <c r="R4934" i="5"/>
  <c r="S4934" i="5" s="1"/>
  <c r="K4933" i="5"/>
  <c r="L4933" i="5" s="1"/>
  <c r="Q4937" i="5"/>
  <c r="L4931" i="5"/>
  <c r="R4931" i="5"/>
  <c r="S4931" i="5" s="1"/>
  <c r="L4930" i="5"/>
  <c r="R4930" i="5"/>
  <c r="S4930" i="5" s="1"/>
  <c r="R4932" i="5"/>
  <c r="S4932" i="5" s="1"/>
  <c r="L4932" i="5"/>
  <c r="L4929" i="5"/>
  <c r="P4929" i="5" s="1"/>
  <c r="P4928" i="5"/>
  <c r="R4928" i="5"/>
  <c r="S4928" i="5" s="1"/>
  <c r="N4927" i="5"/>
  <c r="P4927" i="5"/>
  <c r="P4926" i="5"/>
  <c r="N4926" i="5"/>
  <c r="K4925" i="5"/>
  <c r="L4925" i="5" s="1"/>
  <c r="R4923" i="5"/>
  <c r="S4923" i="5" s="1"/>
  <c r="K4924" i="5"/>
  <c r="L4924" i="5" s="1"/>
  <c r="P4922" i="5"/>
  <c r="P4921" i="5"/>
  <c r="R4922" i="5"/>
  <c r="S4922" i="5" s="1"/>
  <c r="L4923" i="5"/>
  <c r="R4921" i="5"/>
  <c r="S4921" i="5" s="1"/>
  <c r="L4919" i="5"/>
  <c r="P4919" i="5" s="1"/>
  <c r="P4920" i="5"/>
  <c r="N4920" i="5"/>
  <c r="R4919" i="5"/>
  <c r="S4919" i="5" s="1"/>
  <c r="P4917" i="5"/>
  <c r="P4916" i="5"/>
  <c r="R4917" i="5"/>
  <c r="S4917" i="5" s="1"/>
  <c r="R4916" i="5"/>
  <c r="S4916" i="5" s="1"/>
  <c r="R4918" i="5"/>
  <c r="S4918" i="5" s="1"/>
  <c r="L4918" i="5"/>
  <c r="L4915" i="5"/>
  <c r="L4914" i="5"/>
  <c r="P4914" i="5" s="1"/>
  <c r="R4915" i="5"/>
  <c r="S4915" i="5" s="1"/>
  <c r="K4912" i="5"/>
  <c r="L4912" i="5" s="1"/>
  <c r="P4913" i="5"/>
  <c r="N4913" i="5"/>
  <c r="P4911" i="5"/>
  <c r="P4910" i="5"/>
  <c r="P4909" i="5"/>
  <c r="R4911" i="5"/>
  <c r="S4911" i="5" s="1"/>
  <c r="R4910" i="5"/>
  <c r="S4910" i="5" s="1"/>
  <c r="R4909" i="5"/>
  <c r="S4909" i="5" s="1"/>
  <c r="P4908" i="5"/>
  <c r="N4908" i="5"/>
  <c r="P4907" i="5"/>
  <c r="N4907" i="5"/>
  <c r="K4906" i="5"/>
  <c r="N4905" i="5"/>
  <c r="P4905" i="5"/>
  <c r="K4904" i="5"/>
  <c r="K4903" i="5"/>
  <c r="L4903" i="5" s="1"/>
  <c r="P4903" i="5" s="1"/>
  <c r="M4903" i="5"/>
  <c r="R4902" i="5"/>
  <c r="S4902" i="5" s="1"/>
  <c r="L4902" i="5"/>
  <c r="K4901" i="5"/>
  <c r="L4901" i="5" s="1"/>
  <c r="P4900" i="5"/>
  <c r="N4900" i="5"/>
  <c r="P4899" i="5"/>
  <c r="N4899" i="5"/>
  <c r="L4898" i="5"/>
  <c r="P4898" i="5" s="1"/>
  <c r="L4897" i="5"/>
  <c r="P4897" i="5" s="1"/>
  <c r="L4896" i="5"/>
  <c r="N4894" i="5"/>
  <c r="P4894" i="5"/>
  <c r="Q4896" i="5"/>
  <c r="R4896" i="5" s="1"/>
  <c r="S4896" i="5" s="1"/>
  <c r="L4893" i="5"/>
  <c r="N4893" i="5" s="1"/>
  <c r="K4895" i="5"/>
  <c r="L4895" i="5" s="1"/>
  <c r="P4892" i="5"/>
  <c r="N4892" i="5"/>
  <c r="L4891" i="5"/>
  <c r="N4891" i="5" s="1"/>
  <c r="L4890" i="5"/>
  <c r="R4890" i="5"/>
  <c r="S4890" i="5" s="1"/>
  <c r="P4888" i="5"/>
  <c r="N4888" i="5"/>
  <c r="P4889" i="5"/>
  <c r="N4889" i="5"/>
  <c r="P4886" i="5"/>
  <c r="P4887" i="5"/>
  <c r="R4887" i="5"/>
  <c r="S4887" i="5" s="1"/>
  <c r="L4802" i="5"/>
  <c r="N4802" i="5" s="1"/>
  <c r="R4886" i="5"/>
  <c r="S4886" i="5" s="1"/>
  <c r="P4885" i="5"/>
  <c r="N4885" i="5"/>
  <c r="P4884" i="5"/>
  <c r="N4884" i="5"/>
  <c r="L4881" i="5"/>
  <c r="N4881" i="5" s="1"/>
  <c r="K4883" i="5"/>
  <c r="L4883" i="5" s="1"/>
  <c r="K4882" i="5"/>
  <c r="L4882" i="5" s="1"/>
  <c r="R4868" i="5"/>
  <c r="S4868" i="5" s="1"/>
  <c r="L4813" i="5"/>
  <c r="P4813" i="5" s="1"/>
  <c r="P4880" i="5"/>
  <c r="N4880" i="5"/>
  <c r="L4879" i="5"/>
  <c r="Q4879" i="5"/>
  <c r="R4879" i="5" s="1"/>
  <c r="S4879" i="5" s="1"/>
  <c r="L4863" i="5"/>
  <c r="N4863" i="5" s="1"/>
  <c r="L4842" i="5"/>
  <c r="K4794" i="5"/>
  <c r="L4794" i="5" s="1"/>
  <c r="L4815" i="5"/>
  <c r="P4815" i="5" s="1"/>
  <c r="R4842" i="5"/>
  <c r="S4842" i="5" s="1"/>
  <c r="P4878" i="5"/>
  <c r="P4877" i="5"/>
  <c r="P4876" i="5"/>
  <c r="R4878" i="5"/>
  <c r="S4878" i="5" s="1"/>
  <c r="K4788" i="5"/>
  <c r="R4825" i="5"/>
  <c r="S4825" i="5" s="1"/>
  <c r="L4825" i="5"/>
  <c r="P4825" i="5" s="1"/>
  <c r="L4829" i="5"/>
  <c r="N4829" i="5" s="1"/>
  <c r="R4877" i="5"/>
  <c r="S4877" i="5" s="1"/>
  <c r="R4876" i="5"/>
  <c r="S4876" i="5" s="1"/>
  <c r="L4803" i="5"/>
  <c r="N4803" i="5" s="1"/>
  <c r="L4851" i="5"/>
  <c r="P4851" i="5" s="1"/>
  <c r="R4859" i="5"/>
  <c r="S4859" i="5" s="1"/>
  <c r="P4875" i="5"/>
  <c r="N4875" i="5"/>
  <c r="L4821" i="5"/>
  <c r="P4821" i="5" s="1"/>
  <c r="L4779" i="5"/>
  <c r="P4779" i="5" s="1"/>
  <c r="K4787" i="5"/>
  <c r="L4787" i="5" s="1"/>
  <c r="P4787" i="5" s="1"/>
  <c r="K4818" i="5"/>
  <c r="L4818" i="5" s="1"/>
  <c r="L4837" i="5"/>
  <c r="N4837" i="5" s="1"/>
  <c r="K4844" i="5"/>
  <c r="L4844" i="5" s="1"/>
  <c r="R4851" i="5"/>
  <c r="S4851" i="5" s="1"/>
  <c r="L4850" i="5"/>
  <c r="K4874" i="5"/>
  <c r="L4874" i="5" s="1"/>
  <c r="K4804" i="5"/>
  <c r="L4804" i="5" s="1"/>
  <c r="L4819" i="5"/>
  <c r="L4822" i="5"/>
  <c r="L4835" i="5"/>
  <c r="P4835" i="5" s="1"/>
  <c r="R4848" i="5"/>
  <c r="S4848" i="5" s="1"/>
  <c r="L4868" i="5"/>
  <c r="P4868" i="5" s="1"/>
  <c r="R4865" i="5"/>
  <c r="S4865" i="5" s="1"/>
  <c r="K4869" i="5"/>
  <c r="L4869" i="5" s="1"/>
  <c r="K4790" i="5"/>
  <c r="L4805" i="5"/>
  <c r="P4805" i="5" s="1"/>
  <c r="L4808" i="5"/>
  <c r="L4836" i="5"/>
  <c r="N4836" i="5" s="1"/>
  <c r="L4782" i="5"/>
  <c r="P4782" i="5" s="1"/>
  <c r="P4814" i="5"/>
  <c r="N4814" i="5"/>
  <c r="K4797" i="5"/>
  <c r="P4845" i="5"/>
  <c r="P4861" i="5"/>
  <c r="K4866" i="5"/>
  <c r="L4866" i="5" s="1"/>
  <c r="K4816" i="5"/>
  <c r="L4816" i="5" s="1"/>
  <c r="K4834" i="5"/>
  <c r="L4834" i="5" s="1"/>
  <c r="L4800" i="5"/>
  <c r="P4848" i="5"/>
  <c r="K4853" i="5"/>
  <c r="L4853" i="5" s="1"/>
  <c r="L4873" i="5"/>
  <c r="L4789" i="5"/>
  <c r="R4809" i="5"/>
  <c r="S4809" i="5" s="1"/>
  <c r="L4811" i="5"/>
  <c r="R4811" i="5"/>
  <c r="S4811" i="5" s="1"/>
  <c r="L4791" i="5"/>
  <c r="L4799" i="5"/>
  <c r="L4780" i="5"/>
  <c r="P4780" i="5" s="1"/>
  <c r="K4786" i="5"/>
  <c r="L4786" i="5" s="1"/>
  <c r="R4791" i="5"/>
  <c r="S4791" i="5" s="1"/>
  <c r="L4793" i="5"/>
  <c r="R4793" i="5"/>
  <c r="S4793" i="5" s="1"/>
  <c r="L4831" i="5"/>
  <c r="R4831" i="5"/>
  <c r="S4831" i="5" s="1"/>
  <c r="K4852" i="5"/>
  <c r="L4852" i="5" s="1"/>
  <c r="L4859" i="5"/>
  <c r="L4806" i="5"/>
  <c r="R4806" i="5"/>
  <c r="S4806" i="5" s="1"/>
  <c r="K4807" i="5"/>
  <c r="L4807" i="5" s="1"/>
  <c r="K4817" i="5"/>
  <c r="L4817" i="5" s="1"/>
  <c r="K4783" i="5"/>
  <c r="L4809" i="5"/>
  <c r="L4865" i="5"/>
  <c r="L4796" i="5"/>
  <c r="L4824" i="5"/>
  <c r="R4824" i="5"/>
  <c r="S4824" i="5" s="1"/>
  <c r="K4781" i="5"/>
  <c r="L4795" i="5"/>
  <c r="P4810" i="5"/>
  <c r="L4839" i="5"/>
  <c r="P4857" i="5"/>
  <c r="N4857" i="5"/>
  <c r="L4862" i="5"/>
  <c r="L4871" i="5"/>
  <c r="L4784" i="5"/>
  <c r="L4785" i="5"/>
  <c r="R4785" i="5"/>
  <c r="S4785" i="5" s="1"/>
  <c r="L4792" i="5"/>
  <c r="R4792" i="5"/>
  <c r="S4792" i="5" s="1"/>
  <c r="L4798" i="5"/>
  <c r="K4801" i="5"/>
  <c r="R4801" i="5" s="1"/>
  <c r="S4801" i="5" s="1"/>
  <c r="P4812" i="5"/>
  <c r="N4812" i="5"/>
  <c r="K4820" i="5"/>
  <c r="P4846" i="5"/>
  <c r="K4828" i="5"/>
  <c r="L4828" i="5" s="1"/>
  <c r="L4847" i="5"/>
  <c r="L4823" i="5"/>
  <c r="L4827" i="5"/>
  <c r="L4830" i="5"/>
  <c r="K4838" i="5"/>
  <c r="L4838" i="5" s="1"/>
  <c r="L4841" i="5"/>
  <c r="K4843" i="5"/>
  <c r="K4849" i="5"/>
  <c r="L4849" i="5" s="1"/>
  <c r="P4854" i="5"/>
  <c r="N4858" i="5"/>
  <c r="P4858" i="5"/>
  <c r="L4860" i="5"/>
  <c r="R4860" i="5"/>
  <c r="S4860" i="5" s="1"/>
  <c r="L4864" i="5"/>
  <c r="K4872" i="5"/>
  <c r="L4872" i="5" s="1"/>
  <c r="L4867" i="5"/>
  <c r="R4867" i="5"/>
  <c r="S4867" i="5" s="1"/>
  <c r="N4826" i="5"/>
  <c r="P4826" i="5"/>
  <c r="R4830" i="5"/>
  <c r="S4830" i="5" s="1"/>
  <c r="P4832" i="5"/>
  <c r="L4856" i="5"/>
  <c r="R4810" i="5"/>
  <c r="S4810" i="5" s="1"/>
  <c r="L4833" i="5"/>
  <c r="K4840" i="5"/>
  <c r="L4840" i="5" s="1"/>
  <c r="R4850" i="5"/>
  <c r="S4850" i="5" s="1"/>
  <c r="L4855" i="5"/>
  <c r="R4855" i="5"/>
  <c r="S4855" i="5" s="1"/>
  <c r="L4870" i="5"/>
  <c r="R4832" i="5"/>
  <c r="S4832" i="5" s="1"/>
  <c r="R4846" i="5"/>
  <c r="S4846" i="5" s="1"/>
  <c r="R4861" i="5"/>
  <c r="S4861" i="5" s="1"/>
  <c r="R4845" i="5"/>
  <c r="S4845" i="5" s="1"/>
  <c r="R4854" i="5"/>
  <c r="S4854" i="5" s="1"/>
  <c r="N5055" i="5" l="1"/>
  <c r="P5469" i="5"/>
  <c r="U5469" i="5" s="1"/>
  <c r="V5469" i="5" s="1"/>
  <c r="R5515" i="5"/>
  <c r="S5515" i="5" s="1"/>
  <c r="R5547" i="5"/>
  <c r="S5547" i="5" s="1"/>
  <c r="R5451" i="5"/>
  <c r="S5451" i="5" s="1"/>
  <c r="AR52" i="12"/>
  <c r="S52" i="12"/>
  <c r="S51" i="12"/>
  <c r="AR51" i="12"/>
  <c r="N5470" i="5"/>
  <c r="U5470" i="5" s="1"/>
  <c r="V5470" i="5" s="1"/>
  <c r="R5558" i="5"/>
  <c r="S5558" i="5" s="1"/>
  <c r="R5511" i="5"/>
  <c r="S5511" i="5" s="1"/>
  <c r="N5450" i="5"/>
  <c r="R5487" i="5"/>
  <c r="S5487" i="5" s="1"/>
  <c r="R5538" i="5"/>
  <c r="S5538" i="5" s="1"/>
  <c r="R5541" i="5"/>
  <c r="S5541" i="5" s="1"/>
  <c r="R5517" i="5"/>
  <c r="S5517" i="5" s="1"/>
  <c r="R5486" i="5"/>
  <c r="S5486" i="5" s="1"/>
  <c r="N5472" i="5"/>
  <c r="O5472" i="5" s="1"/>
  <c r="O5585" i="5"/>
  <c r="O5584" i="5"/>
  <c r="P5591" i="5"/>
  <c r="N5591" i="5"/>
  <c r="U5584" i="5"/>
  <c r="V5584" i="5" s="1"/>
  <c r="O5588" i="5"/>
  <c r="U5588" i="5"/>
  <c r="V5588" i="5" s="1"/>
  <c r="O5590" i="5"/>
  <c r="U5590" i="5"/>
  <c r="V5590" i="5" s="1"/>
  <c r="N5589" i="5"/>
  <c r="P5589" i="5"/>
  <c r="N5586" i="5"/>
  <c r="P5586" i="5"/>
  <c r="U5585" i="5"/>
  <c r="V5585" i="5" s="1"/>
  <c r="N5587" i="5"/>
  <c r="P5587" i="5"/>
  <c r="R5577" i="5"/>
  <c r="S5577" i="5" s="1"/>
  <c r="N5582" i="5"/>
  <c r="P5582" i="5"/>
  <c r="N5581" i="5"/>
  <c r="O5581" i="5" s="1"/>
  <c r="N5583" i="5"/>
  <c r="P5583" i="5"/>
  <c r="O5579" i="5"/>
  <c r="U5579" i="5"/>
  <c r="V5579" i="5" s="1"/>
  <c r="O5561" i="5"/>
  <c r="O5580" i="5"/>
  <c r="N5577" i="5"/>
  <c r="P5577" i="5"/>
  <c r="N5578" i="5"/>
  <c r="P5578" i="5"/>
  <c r="N5574" i="5"/>
  <c r="O5574" i="5" s="1"/>
  <c r="R5578" i="5"/>
  <c r="S5578" i="5" s="1"/>
  <c r="U5580" i="5"/>
  <c r="V5580" i="5" s="1"/>
  <c r="U5573" i="5"/>
  <c r="V5573" i="5" s="1"/>
  <c r="N5575" i="5"/>
  <c r="P5575" i="5"/>
  <c r="O5562" i="5"/>
  <c r="N5576" i="5"/>
  <c r="P5576" i="5"/>
  <c r="O5573" i="5"/>
  <c r="N5566" i="5"/>
  <c r="O5566" i="5" s="1"/>
  <c r="N5571" i="5"/>
  <c r="P5571" i="5"/>
  <c r="O5570" i="5"/>
  <c r="U5570" i="5"/>
  <c r="V5570" i="5" s="1"/>
  <c r="N5572" i="5"/>
  <c r="P5572" i="5"/>
  <c r="P5568" i="5"/>
  <c r="N5568" i="5"/>
  <c r="P5569" i="5"/>
  <c r="N5569" i="5"/>
  <c r="R5568" i="5"/>
  <c r="S5568" i="5" s="1"/>
  <c r="O5567" i="5"/>
  <c r="U5567" i="5"/>
  <c r="V5567" i="5" s="1"/>
  <c r="P5565" i="5"/>
  <c r="N5565" i="5"/>
  <c r="U5563" i="5"/>
  <c r="V5563" i="5" s="1"/>
  <c r="U5560" i="5"/>
  <c r="V5560" i="5" s="1"/>
  <c r="P5564" i="5"/>
  <c r="N5564" i="5"/>
  <c r="U5555" i="5"/>
  <c r="V5555" i="5" s="1"/>
  <c r="U5552" i="5"/>
  <c r="V5552" i="5" s="1"/>
  <c r="L5558" i="5"/>
  <c r="P5558" i="5" s="1"/>
  <c r="O5560" i="5"/>
  <c r="U5562" i="5"/>
  <c r="V5562" i="5" s="1"/>
  <c r="N5559" i="5"/>
  <c r="P5559" i="5"/>
  <c r="U5561" i="5"/>
  <c r="V5561" i="5" s="1"/>
  <c r="R5559" i="5"/>
  <c r="S5559" i="5" s="1"/>
  <c r="O5552" i="5"/>
  <c r="O5555" i="5"/>
  <c r="P5557" i="5"/>
  <c r="N5557" i="5"/>
  <c r="L5556" i="5"/>
  <c r="O5554" i="5"/>
  <c r="U5554" i="5"/>
  <c r="V5554" i="5" s="1"/>
  <c r="L5553" i="5"/>
  <c r="O5551" i="5"/>
  <c r="U5551" i="5"/>
  <c r="V5551" i="5" s="1"/>
  <c r="L5546" i="5"/>
  <c r="O5535" i="5"/>
  <c r="N5549" i="5"/>
  <c r="P5549" i="5"/>
  <c r="N5550" i="5"/>
  <c r="P5550" i="5"/>
  <c r="P5548" i="5"/>
  <c r="N5548" i="5"/>
  <c r="O5542" i="5"/>
  <c r="N5545" i="5"/>
  <c r="U5545" i="5" s="1"/>
  <c r="V5545" i="5" s="1"/>
  <c r="O5543" i="5"/>
  <c r="U5544" i="5"/>
  <c r="V5544" i="5" s="1"/>
  <c r="L5547" i="5"/>
  <c r="U5543" i="5"/>
  <c r="V5543" i="5" s="1"/>
  <c r="O5544" i="5"/>
  <c r="U5540" i="5"/>
  <c r="V5540" i="5" s="1"/>
  <c r="U5542" i="5"/>
  <c r="V5542" i="5" s="1"/>
  <c r="U5536" i="5"/>
  <c r="V5536" i="5" s="1"/>
  <c r="U5518" i="5"/>
  <c r="V5518" i="5" s="1"/>
  <c r="U5528" i="5"/>
  <c r="V5528" i="5" s="1"/>
  <c r="L5538" i="5"/>
  <c r="L5541" i="5"/>
  <c r="N5539" i="5"/>
  <c r="P5539" i="5"/>
  <c r="O5540" i="5"/>
  <c r="P5537" i="5"/>
  <c r="N5537" i="5"/>
  <c r="U5514" i="5"/>
  <c r="V5514" i="5" s="1"/>
  <c r="N5533" i="5"/>
  <c r="P5533" i="5"/>
  <c r="P5534" i="5"/>
  <c r="N5534" i="5"/>
  <c r="N5519" i="5"/>
  <c r="O5519" i="5" s="1"/>
  <c r="R5533" i="5"/>
  <c r="S5533" i="5" s="1"/>
  <c r="O5536" i="5"/>
  <c r="O5510" i="5"/>
  <c r="R5534" i="5"/>
  <c r="S5534" i="5" s="1"/>
  <c r="U5535" i="5"/>
  <c r="V5535" i="5" s="1"/>
  <c r="U5526" i="5"/>
  <c r="V5526" i="5" s="1"/>
  <c r="P5529" i="5"/>
  <c r="O5529" i="5" s="1"/>
  <c r="N5530" i="5"/>
  <c r="P5530" i="5"/>
  <c r="O5532" i="5"/>
  <c r="U5532" i="5"/>
  <c r="V5532" i="5" s="1"/>
  <c r="N5531" i="5"/>
  <c r="P5531" i="5"/>
  <c r="P5525" i="5"/>
  <c r="N5525" i="5"/>
  <c r="R5504" i="5"/>
  <c r="S5504" i="5" s="1"/>
  <c r="O5524" i="5"/>
  <c r="R5525" i="5"/>
  <c r="S5525" i="5" s="1"/>
  <c r="O5528" i="5"/>
  <c r="U5507" i="5"/>
  <c r="V5507" i="5" s="1"/>
  <c r="N5523" i="5"/>
  <c r="P5523" i="5"/>
  <c r="U5510" i="5"/>
  <c r="V5510" i="5" s="1"/>
  <c r="O5512" i="5"/>
  <c r="R5527" i="5"/>
  <c r="S5527" i="5" s="1"/>
  <c r="O5516" i="5"/>
  <c r="O5518" i="5"/>
  <c r="R5523" i="5"/>
  <c r="S5523" i="5" s="1"/>
  <c r="L5527" i="5"/>
  <c r="U5524" i="5"/>
  <c r="V5524" i="5" s="1"/>
  <c r="L5511" i="5"/>
  <c r="N5511" i="5" s="1"/>
  <c r="L5513" i="5"/>
  <c r="P5513" i="5" s="1"/>
  <c r="N5520" i="5"/>
  <c r="P5520" i="5"/>
  <c r="N5521" i="5"/>
  <c r="P5521" i="5"/>
  <c r="L5515" i="5"/>
  <c r="N5515" i="5" s="1"/>
  <c r="L5517" i="5"/>
  <c r="P5517" i="5" s="1"/>
  <c r="N5522" i="5"/>
  <c r="P5522" i="5"/>
  <c r="U5516" i="5"/>
  <c r="V5516" i="5" s="1"/>
  <c r="O5507" i="5"/>
  <c r="O5514" i="5"/>
  <c r="U5512" i="5"/>
  <c r="V5512" i="5" s="1"/>
  <c r="O5508" i="5"/>
  <c r="U5503" i="5"/>
  <c r="V5503" i="5" s="1"/>
  <c r="R5505" i="5"/>
  <c r="S5505" i="5" s="1"/>
  <c r="P5509" i="5"/>
  <c r="N5509" i="5"/>
  <c r="P5504" i="5"/>
  <c r="N5504" i="5"/>
  <c r="N5505" i="5"/>
  <c r="P5505" i="5"/>
  <c r="N5506" i="5"/>
  <c r="P5506" i="5"/>
  <c r="R5506" i="5"/>
  <c r="S5506" i="5" s="1"/>
  <c r="U5508" i="5"/>
  <c r="V5508" i="5" s="1"/>
  <c r="R5501" i="5"/>
  <c r="S5501" i="5" s="1"/>
  <c r="O5500" i="5"/>
  <c r="O5503" i="5"/>
  <c r="P5501" i="5"/>
  <c r="N5501" i="5"/>
  <c r="U5500" i="5"/>
  <c r="V5500" i="5" s="1"/>
  <c r="O5471" i="5"/>
  <c r="N5495" i="5"/>
  <c r="O5495" i="5" s="1"/>
  <c r="P5502" i="5"/>
  <c r="N5502" i="5"/>
  <c r="N5474" i="5"/>
  <c r="U5474" i="5" s="1"/>
  <c r="V5474" i="5" s="1"/>
  <c r="N5497" i="5"/>
  <c r="P5497" i="5"/>
  <c r="U5489" i="5"/>
  <c r="V5489" i="5" s="1"/>
  <c r="N5498" i="5"/>
  <c r="P5498" i="5"/>
  <c r="N5499" i="5"/>
  <c r="P5499" i="5"/>
  <c r="L5496" i="5"/>
  <c r="N5494" i="5"/>
  <c r="P5494" i="5"/>
  <c r="N5492" i="5"/>
  <c r="P5492" i="5"/>
  <c r="L5486" i="5"/>
  <c r="N5486" i="5" s="1"/>
  <c r="U5485" i="5"/>
  <c r="V5485" i="5" s="1"/>
  <c r="N5493" i="5"/>
  <c r="P5493" i="5"/>
  <c r="L5487" i="5"/>
  <c r="N5487" i="5" s="1"/>
  <c r="P5491" i="5"/>
  <c r="N5491" i="5"/>
  <c r="O5488" i="5"/>
  <c r="U5488" i="5"/>
  <c r="V5488" i="5" s="1"/>
  <c r="O5489" i="5"/>
  <c r="O5485" i="5"/>
  <c r="P5490" i="5"/>
  <c r="N5490" i="5"/>
  <c r="U5473" i="5"/>
  <c r="V5473" i="5" s="1"/>
  <c r="R5481" i="5"/>
  <c r="S5481" i="5" s="1"/>
  <c r="O5482" i="5"/>
  <c r="O5483" i="5"/>
  <c r="O5478" i="5"/>
  <c r="P5484" i="5"/>
  <c r="N5484" i="5"/>
  <c r="O5473" i="5"/>
  <c r="P5481" i="5"/>
  <c r="N5481" i="5"/>
  <c r="U5483" i="5"/>
  <c r="V5483" i="5" s="1"/>
  <c r="U5482" i="5"/>
  <c r="V5482" i="5" s="1"/>
  <c r="N5468" i="5"/>
  <c r="O5468" i="5" s="1"/>
  <c r="U5478" i="5"/>
  <c r="V5478" i="5" s="1"/>
  <c r="P5480" i="5"/>
  <c r="N5480" i="5"/>
  <c r="P5479" i="5"/>
  <c r="N5479" i="5"/>
  <c r="N5476" i="5"/>
  <c r="P5476" i="5"/>
  <c r="O5475" i="5"/>
  <c r="U5475" i="5"/>
  <c r="V5475" i="5" s="1"/>
  <c r="N5477" i="5"/>
  <c r="P5477" i="5"/>
  <c r="O5467" i="5"/>
  <c r="O5446" i="5"/>
  <c r="O5448" i="5"/>
  <c r="U5467" i="5"/>
  <c r="V5467" i="5" s="1"/>
  <c r="P5466" i="5"/>
  <c r="N5466" i="5"/>
  <c r="N5464" i="5"/>
  <c r="P5464" i="5"/>
  <c r="O5465" i="5"/>
  <c r="U5465" i="5"/>
  <c r="V5465" i="5" s="1"/>
  <c r="N5463" i="5"/>
  <c r="P5463" i="5"/>
  <c r="P5462" i="5"/>
  <c r="N5462" i="5"/>
  <c r="P5461" i="5"/>
  <c r="N5461" i="5"/>
  <c r="P5450" i="5"/>
  <c r="O5458" i="5"/>
  <c r="U5458" i="5"/>
  <c r="V5458" i="5" s="1"/>
  <c r="N5459" i="5"/>
  <c r="P5459" i="5"/>
  <c r="N5460" i="5"/>
  <c r="P5460" i="5"/>
  <c r="U5444" i="5"/>
  <c r="V5444" i="5" s="1"/>
  <c r="N5455" i="5"/>
  <c r="P5455" i="5"/>
  <c r="O5457" i="5"/>
  <c r="U5457" i="5"/>
  <c r="V5457" i="5" s="1"/>
  <c r="N5456" i="5"/>
  <c r="P5456" i="5"/>
  <c r="P5443" i="5"/>
  <c r="O5443" i="5" s="1"/>
  <c r="N5452" i="5"/>
  <c r="P5452" i="5"/>
  <c r="O5454" i="5"/>
  <c r="U5454" i="5"/>
  <c r="V5454" i="5" s="1"/>
  <c r="N5453" i="5"/>
  <c r="P5453" i="5"/>
  <c r="L5451" i="5"/>
  <c r="P5449" i="5"/>
  <c r="N5449" i="5"/>
  <c r="U5446" i="5"/>
  <c r="V5446" i="5" s="1"/>
  <c r="R5449" i="5"/>
  <c r="S5449" i="5" s="1"/>
  <c r="U5448" i="5"/>
  <c r="V5448" i="5" s="1"/>
  <c r="U5447" i="5"/>
  <c r="V5447" i="5" s="1"/>
  <c r="O5447" i="5"/>
  <c r="N5445" i="5"/>
  <c r="P5445" i="5"/>
  <c r="N5442" i="5"/>
  <c r="P5442" i="5"/>
  <c r="R5442" i="5"/>
  <c r="S5442" i="5" s="1"/>
  <c r="U5431" i="5"/>
  <c r="V5431" i="5" s="1"/>
  <c r="O5444" i="5"/>
  <c r="U5432" i="5"/>
  <c r="V5432" i="5" s="1"/>
  <c r="L5438" i="5"/>
  <c r="N5440" i="5"/>
  <c r="P5440" i="5"/>
  <c r="N5441" i="5"/>
  <c r="P5441" i="5"/>
  <c r="U5434" i="5"/>
  <c r="V5434" i="5" s="1"/>
  <c r="P5439" i="5"/>
  <c r="N5439" i="5"/>
  <c r="R5435" i="5"/>
  <c r="S5435" i="5" s="1"/>
  <c r="O5430" i="5"/>
  <c r="P5437" i="5"/>
  <c r="N5437" i="5"/>
  <c r="P5435" i="5"/>
  <c r="N5435" i="5"/>
  <c r="O5428" i="5"/>
  <c r="O5432" i="5"/>
  <c r="P5436" i="5"/>
  <c r="N5436" i="5"/>
  <c r="O5434" i="5"/>
  <c r="L5433" i="5"/>
  <c r="R5429" i="5"/>
  <c r="S5429" i="5" s="1"/>
  <c r="U5430" i="5"/>
  <c r="V5430" i="5" s="1"/>
  <c r="N5429" i="5"/>
  <c r="R5426" i="5"/>
  <c r="S5426" i="5" s="1"/>
  <c r="O5431" i="5"/>
  <c r="N5426" i="5"/>
  <c r="P5426" i="5"/>
  <c r="N5427" i="5"/>
  <c r="P5427" i="5"/>
  <c r="R5427" i="5"/>
  <c r="S5427" i="5" s="1"/>
  <c r="U5428" i="5"/>
  <c r="V5428" i="5" s="1"/>
  <c r="N5416" i="5"/>
  <c r="O5416" i="5" s="1"/>
  <c r="P5425" i="5"/>
  <c r="N5425" i="5"/>
  <c r="P5424" i="5"/>
  <c r="N5424" i="5"/>
  <c r="P5423" i="5"/>
  <c r="N5423" i="5"/>
  <c r="R5418" i="5"/>
  <c r="S5418" i="5" s="1"/>
  <c r="U5415" i="5"/>
  <c r="V5415" i="5" s="1"/>
  <c r="O5422" i="5"/>
  <c r="U5422" i="5"/>
  <c r="V5422" i="5" s="1"/>
  <c r="P5420" i="5"/>
  <c r="N5420" i="5"/>
  <c r="R5420" i="5"/>
  <c r="S5420" i="5" s="1"/>
  <c r="N5419" i="5"/>
  <c r="P5419" i="5"/>
  <c r="P5421" i="5"/>
  <c r="N5421" i="5"/>
  <c r="O5415" i="5"/>
  <c r="P5418" i="5"/>
  <c r="N5418" i="5"/>
  <c r="L5414" i="5"/>
  <c r="L5417" i="5"/>
  <c r="N5399" i="5"/>
  <c r="U5399" i="5" s="1"/>
  <c r="V5399" i="5" s="1"/>
  <c r="O5411" i="5"/>
  <c r="U5411" i="5"/>
  <c r="V5411" i="5" s="1"/>
  <c r="P5413" i="5"/>
  <c r="N5413" i="5"/>
  <c r="O5412" i="5"/>
  <c r="U5412" i="5"/>
  <c r="V5412" i="5" s="1"/>
  <c r="P5409" i="5"/>
  <c r="N5409" i="5"/>
  <c r="N5408" i="5"/>
  <c r="P5408" i="5"/>
  <c r="O5406" i="5"/>
  <c r="L5410" i="5"/>
  <c r="R5403" i="5"/>
  <c r="S5403" i="5" s="1"/>
  <c r="P5407" i="5"/>
  <c r="N5407" i="5"/>
  <c r="R5404" i="5"/>
  <c r="S5404" i="5" s="1"/>
  <c r="O5405" i="5"/>
  <c r="N5403" i="5"/>
  <c r="P5403" i="5"/>
  <c r="U5405" i="5"/>
  <c r="V5405" i="5" s="1"/>
  <c r="U5406" i="5"/>
  <c r="V5406" i="5" s="1"/>
  <c r="N5404" i="5"/>
  <c r="P5404" i="5"/>
  <c r="O5239" i="5"/>
  <c r="N5285" i="5"/>
  <c r="R5246" i="5"/>
  <c r="S5246" i="5" s="1"/>
  <c r="R5361" i="5"/>
  <c r="S5361" i="5" s="1"/>
  <c r="N5392" i="5"/>
  <c r="N5401" i="5"/>
  <c r="P5401" i="5"/>
  <c r="O5396" i="5"/>
  <c r="O5402" i="5"/>
  <c r="U5402" i="5"/>
  <c r="V5402" i="5" s="1"/>
  <c r="N5400" i="5"/>
  <c r="P5400" i="5"/>
  <c r="U5396" i="5"/>
  <c r="V5396" i="5" s="1"/>
  <c r="P5398" i="5"/>
  <c r="N5398" i="5"/>
  <c r="O5389" i="5"/>
  <c r="O5397" i="5"/>
  <c r="R5195" i="5"/>
  <c r="S5195" i="5" s="1"/>
  <c r="U5397" i="5"/>
  <c r="V5397" i="5" s="1"/>
  <c r="N5391" i="5"/>
  <c r="O5393" i="5"/>
  <c r="U5393" i="5"/>
  <c r="V5393" i="5" s="1"/>
  <c r="O5395" i="5"/>
  <c r="U5395" i="5"/>
  <c r="V5395" i="5" s="1"/>
  <c r="N5394" i="5"/>
  <c r="P5394" i="5"/>
  <c r="N5388" i="5"/>
  <c r="P5388" i="5"/>
  <c r="O5390" i="5"/>
  <c r="U5390" i="5"/>
  <c r="V5390" i="5" s="1"/>
  <c r="U5389" i="5"/>
  <c r="V5389" i="5" s="1"/>
  <c r="R5388" i="5"/>
  <c r="S5388" i="5" s="1"/>
  <c r="O5386" i="5"/>
  <c r="U5386" i="5"/>
  <c r="V5386" i="5" s="1"/>
  <c r="N5387" i="5"/>
  <c r="P5387" i="5"/>
  <c r="N5383" i="5"/>
  <c r="P5383" i="5"/>
  <c r="O5385" i="5"/>
  <c r="U5385" i="5"/>
  <c r="V5385" i="5" s="1"/>
  <c r="N5384" i="5"/>
  <c r="P5384" i="5"/>
  <c r="N5380" i="5"/>
  <c r="P5380" i="5"/>
  <c r="U5382" i="5"/>
  <c r="V5382" i="5" s="1"/>
  <c r="O5382" i="5"/>
  <c r="N5381" i="5"/>
  <c r="P5381" i="5"/>
  <c r="N5372" i="5"/>
  <c r="N5377" i="5"/>
  <c r="P5377" i="5"/>
  <c r="P5378" i="5"/>
  <c r="N5378" i="5"/>
  <c r="N5371" i="5"/>
  <c r="O5371" i="5" s="1"/>
  <c r="O5379" i="5"/>
  <c r="U5379" i="5"/>
  <c r="V5379" i="5" s="1"/>
  <c r="P5376" i="5"/>
  <c r="N5376" i="5"/>
  <c r="U5369" i="5"/>
  <c r="V5369" i="5" s="1"/>
  <c r="O5373" i="5"/>
  <c r="U5373" i="5"/>
  <c r="V5373" i="5" s="1"/>
  <c r="O5375" i="5"/>
  <c r="U5375" i="5"/>
  <c r="V5375" i="5" s="1"/>
  <c r="P5374" i="5"/>
  <c r="N5374" i="5"/>
  <c r="O5369" i="5"/>
  <c r="N5315" i="5"/>
  <c r="O5315" i="5" s="1"/>
  <c r="N5368" i="5"/>
  <c r="P5368" i="5"/>
  <c r="N5288" i="5"/>
  <c r="O5288" i="5" s="1"/>
  <c r="O5370" i="5"/>
  <c r="U5370" i="5"/>
  <c r="V5370" i="5" s="1"/>
  <c r="P5359" i="5"/>
  <c r="O5359" i="5" s="1"/>
  <c r="R5360" i="5"/>
  <c r="S5360" i="5" s="1"/>
  <c r="N5365" i="5"/>
  <c r="P5365" i="5"/>
  <c r="O5367" i="5"/>
  <c r="U5367" i="5"/>
  <c r="V5367" i="5" s="1"/>
  <c r="N5366" i="5"/>
  <c r="P5366" i="5"/>
  <c r="P5298" i="5"/>
  <c r="U5298" i="5" s="1"/>
  <c r="V5298" i="5" s="1"/>
  <c r="R5202" i="5"/>
  <c r="S5202" i="5" s="1"/>
  <c r="N5179" i="5"/>
  <c r="O5179" i="5" s="1"/>
  <c r="R5302" i="5"/>
  <c r="S5302" i="5" s="1"/>
  <c r="N5344" i="5"/>
  <c r="U5344" i="5" s="1"/>
  <c r="V5344" i="5" s="1"/>
  <c r="P5285" i="5"/>
  <c r="N5265" i="5"/>
  <c r="O5265" i="5" s="1"/>
  <c r="N5248" i="5"/>
  <c r="U5248" i="5" s="1"/>
  <c r="V5248" i="5" s="1"/>
  <c r="O5358" i="5"/>
  <c r="N5348" i="5"/>
  <c r="U5348" i="5" s="1"/>
  <c r="V5348" i="5" s="1"/>
  <c r="N5242" i="5"/>
  <c r="U5242" i="5" s="1"/>
  <c r="V5242" i="5" s="1"/>
  <c r="R5284" i="5"/>
  <c r="S5284" i="5" s="1"/>
  <c r="N5330" i="5"/>
  <c r="O5330" i="5" s="1"/>
  <c r="N5323" i="5"/>
  <c r="O5323" i="5" s="1"/>
  <c r="R5314" i="5"/>
  <c r="S5314" i="5" s="1"/>
  <c r="O5245" i="5"/>
  <c r="O5283" i="5"/>
  <c r="O5263" i="5"/>
  <c r="P5343" i="5"/>
  <c r="U5343" i="5" s="1"/>
  <c r="V5343" i="5" s="1"/>
  <c r="R5322" i="5"/>
  <c r="S5322" i="5" s="1"/>
  <c r="N5287" i="5"/>
  <c r="U5287" i="5" s="1"/>
  <c r="V5287" i="5" s="1"/>
  <c r="P5360" i="5"/>
  <c r="N5360" i="5"/>
  <c r="R5336" i="5"/>
  <c r="S5336" i="5" s="1"/>
  <c r="N5325" i="5"/>
  <c r="O5325" i="5" s="1"/>
  <c r="R5275" i="5"/>
  <c r="S5275" i="5" s="1"/>
  <c r="N5260" i="5"/>
  <c r="O5260" i="5" s="1"/>
  <c r="N5354" i="5"/>
  <c r="L5310" i="5"/>
  <c r="P5310" i="5" s="1"/>
  <c r="N5362" i="5"/>
  <c r="U5362" i="5" s="1"/>
  <c r="V5362" i="5" s="1"/>
  <c r="N5335" i="5"/>
  <c r="O5335" i="5" s="1"/>
  <c r="R5299" i="5"/>
  <c r="S5299" i="5" s="1"/>
  <c r="N5280" i="5"/>
  <c r="O5280" i="5" s="1"/>
  <c r="L5361" i="5"/>
  <c r="P5361" i="5" s="1"/>
  <c r="R5339" i="5"/>
  <c r="S5339" i="5" s="1"/>
  <c r="N5333" i="5"/>
  <c r="R5329" i="5"/>
  <c r="S5329" i="5" s="1"/>
  <c r="P5324" i="5"/>
  <c r="O5324" i="5" s="1"/>
  <c r="N5316" i="5"/>
  <c r="O5316" i="5" s="1"/>
  <c r="P5314" i="5"/>
  <c r="N5314" i="5"/>
  <c r="N5308" i="5"/>
  <c r="U5308" i="5" s="1"/>
  <c r="V5308" i="5" s="1"/>
  <c r="N5306" i="5"/>
  <c r="U5306" i="5" s="1"/>
  <c r="V5306" i="5" s="1"/>
  <c r="L5302" i="5"/>
  <c r="N5302" i="5" s="1"/>
  <c r="U5297" i="5"/>
  <c r="V5297" i="5" s="1"/>
  <c r="R5294" i="5"/>
  <c r="S5294" i="5" s="1"/>
  <c r="N5291" i="5"/>
  <c r="O5291" i="5" s="1"/>
  <c r="N5286" i="5"/>
  <c r="O5286" i="5" s="1"/>
  <c r="O5252" i="5"/>
  <c r="R5240" i="5"/>
  <c r="S5240" i="5" s="1"/>
  <c r="L5247" i="5"/>
  <c r="P5247" i="5" s="1"/>
  <c r="O5235" i="5"/>
  <c r="N5339" i="5"/>
  <c r="P5339" i="5"/>
  <c r="R5268" i="5"/>
  <c r="S5268" i="5" s="1"/>
  <c r="L5246" i="5"/>
  <c r="P5246" i="5" s="1"/>
  <c r="P5329" i="5"/>
  <c r="O5329" i="5" s="1"/>
  <c r="O5355" i="5"/>
  <c r="R5243" i="5"/>
  <c r="S5243" i="5" s="1"/>
  <c r="R5351" i="5"/>
  <c r="S5351" i="5" s="1"/>
  <c r="L5336" i="5"/>
  <c r="P5336" i="5" s="1"/>
  <c r="R5327" i="5"/>
  <c r="S5327" i="5" s="1"/>
  <c r="R5311" i="5"/>
  <c r="S5311" i="5" s="1"/>
  <c r="U5252" i="5"/>
  <c r="V5252" i="5" s="1"/>
  <c r="N5243" i="5"/>
  <c r="U5243" i="5" s="1"/>
  <c r="V5243" i="5" s="1"/>
  <c r="N5350" i="5"/>
  <c r="U5321" i="5"/>
  <c r="V5321" i="5" s="1"/>
  <c r="R5241" i="5"/>
  <c r="S5241" i="5" s="1"/>
  <c r="U5235" i="5"/>
  <c r="V5235" i="5" s="1"/>
  <c r="U5356" i="5"/>
  <c r="V5356" i="5" s="1"/>
  <c r="R5343" i="5"/>
  <c r="S5343" i="5" s="1"/>
  <c r="O5264" i="5"/>
  <c r="U5264" i="5"/>
  <c r="V5264" i="5" s="1"/>
  <c r="U5355" i="5"/>
  <c r="V5355" i="5" s="1"/>
  <c r="O5244" i="5"/>
  <c r="N5261" i="5"/>
  <c r="P5261" i="5"/>
  <c r="N5337" i="5"/>
  <c r="P5337" i="5"/>
  <c r="P5357" i="5"/>
  <c r="N5357" i="5"/>
  <c r="R5357" i="5"/>
  <c r="S5357" i="5" s="1"/>
  <c r="N5332" i="5"/>
  <c r="P5332" i="5"/>
  <c r="N5347" i="5"/>
  <c r="P5347" i="5"/>
  <c r="N5300" i="5"/>
  <c r="P5300" i="5"/>
  <c r="P5341" i="5"/>
  <c r="N5341" i="5"/>
  <c r="L5322" i="5"/>
  <c r="P5317" i="5"/>
  <c r="N5317" i="5"/>
  <c r="U5289" i="5"/>
  <c r="V5289" i="5" s="1"/>
  <c r="N5232" i="5"/>
  <c r="P5232" i="5"/>
  <c r="U5263" i="5"/>
  <c r="V5263" i="5" s="1"/>
  <c r="P5234" i="5"/>
  <c r="N5234" i="5"/>
  <c r="N5301" i="5"/>
  <c r="P5301" i="5"/>
  <c r="N5281" i="5"/>
  <c r="P5281" i="5"/>
  <c r="P5259" i="5"/>
  <c r="N5259" i="5"/>
  <c r="O5364" i="5"/>
  <c r="U5364" i="5"/>
  <c r="V5364" i="5" s="1"/>
  <c r="O5257" i="5"/>
  <c r="U5257" i="5"/>
  <c r="V5257" i="5" s="1"/>
  <c r="N5237" i="5"/>
  <c r="P5237" i="5"/>
  <c r="O5258" i="5"/>
  <c r="U5258" i="5"/>
  <c r="V5258" i="5" s="1"/>
  <c r="N5251" i="5"/>
  <c r="P5251" i="5"/>
  <c r="P5255" i="5"/>
  <c r="N5255" i="5"/>
  <c r="O5250" i="5"/>
  <c r="U5250" i="5"/>
  <c r="V5250" i="5" s="1"/>
  <c r="U5244" i="5"/>
  <c r="V5244" i="5" s="1"/>
  <c r="O5352" i="5"/>
  <c r="N5293" i="5"/>
  <c r="P5293" i="5"/>
  <c r="U5309" i="5"/>
  <c r="V5309" i="5" s="1"/>
  <c r="O5309" i="5"/>
  <c r="O5305" i="5"/>
  <c r="U5305" i="5"/>
  <c r="V5305" i="5" s="1"/>
  <c r="N5313" i="5"/>
  <c r="P5313" i="5"/>
  <c r="O5345" i="5"/>
  <c r="U5345" i="5"/>
  <c r="V5345" i="5" s="1"/>
  <c r="P5292" i="5"/>
  <c r="N5292" i="5"/>
  <c r="O5269" i="5"/>
  <c r="U5269" i="5"/>
  <c r="V5269" i="5" s="1"/>
  <c r="U5276" i="5"/>
  <c r="V5276" i="5" s="1"/>
  <c r="O5276" i="5"/>
  <c r="R5261" i="5"/>
  <c r="S5261" i="5" s="1"/>
  <c r="N5282" i="5"/>
  <c r="P5282" i="5"/>
  <c r="P5241" i="5"/>
  <c r="N5241" i="5"/>
  <c r="O5229" i="5"/>
  <c r="U5229" i="5"/>
  <c r="V5229" i="5" s="1"/>
  <c r="U5245" i="5"/>
  <c r="V5245" i="5" s="1"/>
  <c r="N5349" i="5"/>
  <c r="P5349" i="5"/>
  <c r="P5353" i="5"/>
  <c r="N5353" i="5"/>
  <c r="R5337" i="5"/>
  <c r="S5337" i="5" s="1"/>
  <c r="O5338" i="5"/>
  <c r="U5338" i="5"/>
  <c r="V5338" i="5" s="1"/>
  <c r="N5312" i="5"/>
  <c r="P5312" i="5"/>
  <c r="P5267" i="5"/>
  <c r="N5267" i="5"/>
  <c r="U5279" i="5"/>
  <c r="V5279" i="5" s="1"/>
  <c r="O5279" i="5"/>
  <c r="O5326" i="5"/>
  <c r="U5326" i="5"/>
  <c r="V5326" i="5" s="1"/>
  <c r="P5266" i="5"/>
  <c r="N5266" i="5"/>
  <c r="P5274" i="5"/>
  <c r="N5274" i="5"/>
  <c r="N5253" i="5"/>
  <c r="P5253" i="5"/>
  <c r="O5296" i="5"/>
  <c r="U5296" i="5"/>
  <c r="V5296" i="5" s="1"/>
  <c r="P5273" i="5"/>
  <c r="N5273" i="5"/>
  <c r="P5254" i="5"/>
  <c r="N5254" i="5"/>
  <c r="N5331" i="5"/>
  <c r="P5331" i="5"/>
  <c r="N5268" i="5"/>
  <c r="P5268" i="5"/>
  <c r="O5290" i="5"/>
  <c r="U5290" i="5"/>
  <c r="V5290" i="5" s="1"/>
  <c r="N5231" i="5"/>
  <c r="P5231" i="5"/>
  <c r="O5249" i="5"/>
  <c r="U5249" i="5"/>
  <c r="V5249" i="5" s="1"/>
  <c r="O5342" i="5"/>
  <c r="U5342" i="5"/>
  <c r="V5342" i="5" s="1"/>
  <c r="U5352" i="5"/>
  <c r="V5352" i="5" s="1"/>
  <c r="N5327" i="5"/>
  <c r="P5327" i="5"/>
  <c r="O5363" i="5"/>
  <c r="U5363" i="5"/>
  <c r="V5363" i="5" s="1"/>
  <c r="N5311" i="5"/>
  <c r="P5311" i="5"/>
  <c r="N5262" i="5"/>
  <c r="P5262" i="5"/>
  <c r="P5334" i="5"/>
  <c r="N5334" i="5"/>
  <c r="P5304" i="5"/>
  <c r="N5304" i="5"/>
  <c r="P5270" i="5"/>
  <c r="N5270" i="5"/>
  <c r="N5240" i="5"/>
  <c r="P5240" i="5"/>
  <c r="U5239" i="5"/>
  <c r="V5239" i="5" s="1"/>
  <c r="P5307" i="5"/>
  <c r="N5307" i="5"/>
  <c r="U5358" i="5"/>
  <c r="V5358" i="5" s="1"/>
  <c r="P5340" i="5"/>
  <c r="N5340" i="5"/>
  <c r="P5303" i="5"/>
  <c r="N5303" i="5"/>
  <c r="P5328" i="5"/>
  <c r="N5328" i="5"/>
  <c r="O5346" i="5"/>
  <c r="U5346" i="5"/>
  <c r="V5346" i="5" s="1"/>
  <c r="N5284" i="5"/>
  <c r="P5284" i="5"/>
  <c r="P5271" i="5"/>
  <c r="N5271" i="5"/>
  <c r="N5236" i="5"/>
  <c r="P5236" i="5"/>
  <c r="R5271" i="5"/>
  <c r="S5271" i="5" s="1"/>
  <c r="R5274" i="5"/>
  <c r="S5274" i="5" s="1"/>
  <c r="N5238" i="5"/>
  <c r="P5238" i="5"/>
  <c r="N5256" i="5"/>
  <c r="P5256" i="5"/>
  <c r="O5230" i="5"/>
  <c r="U5230" i="5"/>
  <c r="V5230" i="5" s="1"/>
  <c r="N5351" i="5"/>
  <c r="P5351" i="5"/>
  <c r="O5319" i="5"/>
  <c r="U5319" i="5"/>
  <c r="V5319" i="5" s="1"/>
  <c r="U5320" i="5"/>
  <c r="V5320" i="5" s="1"/>
  <c r="O5320" i="5"/>
  <c r="N5295" i="5"/>
  <c r="P5295" i="5"/>
  <c r="P5277" i="5"/>
  <c r="N5277" i="5"/>
  <c r="P5318" i="5"/>
  <c r="N5318" i="5"/>
  <c r="O5272" i="5"/>
  <c r="U5272" i="5"/>
  <c r="V5272" i="5" s="1"/>
  <c r="N5299" i="5"/>
  <c r="P5299" i="5"/>
  <c r="N5294" i="5"/>
  <c r="P5294" i="5"/>
  <c r="N5275" i="5"/>
  <c r="P5275" i="5"/>
  <c r="O5278" i="5"/>
  <c r="U5278" i="5"/>
  <c r="V5278" i="5" s="1"/>
  <c r="N5233" i="5"/>
  <c r="P5233" i="5"/>
  <c r="P5227" i="5"/>
  <c r="N5227" i="5"/>
  <c r="P5228" i="5"/>
  <c r="N5228" i="5"/>
  <c r="U5212" i="5"/>
  <c r="V5212" i="5" s="1"/>
  <c r="N5226" i="5"/>
  <c r="O5226" i="5" s="1"/>
  <c r="R5227" i="5"/>
  <c r="S5227" i="5" s="1"/>
  <c r="R5228" i="5"/>
  <c r="S5228" i="5" s="1"/>
  <c r="P5225" i="5"/>
  <c r="N5225" i="5"/>
  <c r="P5224" i="5"/>
  <c r="N5224" i="5"/>
  <c r="P5223" i="5"/>
  <c r="N5223" i="5"/>
  <c r="R5224" i="5"/>
  <c r="S5224" i="5" s="1"/>
  <c r="N5213" i="5"/>
  <c r="U5213" i="5" s="1"/>
  <c r="V5213" i="5" s="1"/>
  <c r="L5218" i="5"/>
  <c r="P5218" i="5" s="1"/>
  <c r="O5221" i="5"/>
  <c r="U5221" i="5"/>
  <c r="V5221" i="5" s="1"/>
  <c r="N5220" i="5"/>
  <c r="P5220" i="5"/>
  <c r="O5222" i="5"/>
  <c r="U5222" i="5"/>
  <c r="V5222" i="5" s="1"/>
  <c r="P5219" i="5"/>
  <c r="N5219" i="5"/>
  <c r="N5217" i="5"/>
  <c r="O5217" i="5" s="1"/>
  <c r="R5219" i="5"/>
  <c r="S5219" i="5" s="1"/>
  <c r="R5214" i="5"/>
  <c r="S5214" i="5" s="1"/>
  <c r="P5214" i="5"/>
  <c r="N5214" i="5"/>
  <c r="P5215" i="5"/>
  <c r="N5215" i="5"/>
  <c r="O5216" i="5"/>
  <c r="U5216" i="5"/>
  <c r="V5216" i="5" s="1"/>
  <c r="P5211" i="5"/>
  <c r="N5211" i="5"/>
  <c r="R4843" i="5"/>
  <c r="S4843" i="5" s="1"/>
  <c r="O5212" i="5"/>
  <c r="N5208" i="5"/>
  <c r="P5208" i="5"/>
  <c r="N5210" i="5"/>
  <c r="P5210" i="5"/>
  <c r="O5209" i="5"/>
  <c r="U5209" i="5"/>
  <c r="V5209" i="5" s="1"/>
  <c r="O5205" i="5"/>
  <c r="U5205" i="5"/>
  <c r="V5205" i="5" s="1"/>
  <c r="N5203" i="5"/>
  <c r="O5203" i="5" s="1"/>
  <c r="O5206" i="5"/>
  <c r="U5206" i="5"/>
  <c r="V5206" i="5" s="1"/>
  <c r="N5207" i="5"/>
  <c r="P5207" i="5"/>
  <c r="R5199" i="5"/>
  <c r="S5199" i="5" s="1"/>
  <c r="P5204" i="5"/>
  <c r="N5204" i="5"/>
  <c r="P5201" i="5"/>
  <c r="N5201" i="5"/>
  <c r="R5201" i="5"/>
  <c r="S5201" i="5" s="1"/>
  <c r="L5202" i="5"/>
  <c r="P5200" i="5"/>
  <c r="N5200" i="5"/>
  <c r="R5069" i="5"/>
  <c r="S5069" i="5" s="1"/>
  <c r="N5199" i="5"/>
  <c r="O5199" i="5" s="1"/>
  <c r="L5195" i="5"/>
  <c r="N5195" i="5" s="1"/>
  <c r="N5188" i="5"/>
  <c r="O5188" i="5" s="1"/>
  <c r="R5196" i="5"/>
  <c r="S5196" i="5" s="1"/>
  <c r="N5198" i="5"/>
  <c r="P5198" i="5"/>
  <c r="N5197" i="5"/>
  <c r="P5197" i="5"/>
  <c r="P5196" i="5"/>
  <c r="N5196" i="5"/>
  <c r="O5194" i="5"/>
  <c r="U5194" i="5"/>
  <c r="V5194" i="5" s="1"/>
  <c r="O5192" i="5"/>
  <c r="U5192" i="5"/>
  <c r="V5192" i="5" s="1"/>
  <c r="N5173" i="5"/>
  <c r="O5173" i="5" s="1"/>
  <c r="O5193" i="5"/>
  <c r="U5193" i="5"/>
  <c r="V5193" i="5" s="1"/>
  <c r="O5189" i="5"/>
  <c r="U5189" i="5"/>
  <c r="V5189" i="5" s="1"/>
  <c r="O5175" i="5"/>
  <c r="O5190" i="5"/>
  <c r="U5190" i="5"/>
  <c r="V5190" i="5" s="1"/>
  <c r="N5191" i="5"/>
  <c r="P5191" i="5"/>
  <c r="P5187" i="5"/>
  <c r="N5187" i="5"/>
  <c r="P5186" i="5"/>
  <c r="N5186" i="5"/>
  <c r="P5185" i="5"/>
  <c r="N5185" i="5"/>
  <c r="R5186" i="5"/>
  <c r="S5186" i="5" s="1"/>
  <c r="P5184" i="5"/>
  <c r="N5184" i="5"/>
  <c r="N5183" i="5"/>
  <c r="P5183" i="5"/>
  <c r="O5182" i="5"/>
  <c r="U5182" i="5"/>
  <c r="V5182" i="5" s="1"/>
  <c r="N5181" i="5"/>
  <c r="P5181" i="5"/>
  <c r="N5176" i="5"/>
  <c r="P5176" i="5"/>
  <c r="P5180" i="5"/>
  <c r="N5180" i="5"/>
  <c r="R5168" i="5"/>
  <c r="S5168" i="5" s="1"/>
  <c r="O5177" i="5"/>
  <c r="U5177" i="5"/>
  <c r="V5177" i="5" s="1"/>
  <c r="N4915" i="5"/>
  <c r="N5178" i="5"/>
  <c r="P5178" i="5"/>
  <c r="P5174" i="5"/>
  <c r="N5174" i="5"/>
  <c r="U5175" i="5"/>
  <c r="V5175" i="5" s="1"/>
  <c r="R4820" i="5"/>
  <c r="S4820" i="5" s="1"/>
  <c r="R5004" i="5"/>
  <c r="S5004" i="5" s="1"/>
  <c r="N4842" i="5"/>
  <c r="R5032" i="5"/>
  <c r="S5032" i="5" s="1"/>
  <c r="R4986" i="5"/>
  <c r="S4986" i="5" s="1"/>
  <c r="R5003" i="5"/>
  <c r="S5003" i="5" s="1"/>
  <c r="AP52" i="12"/>
  <c r="R40" i="17"/>
  <c r="Q52" i="12"/>
  <c r="S40" i="17"/>
  <c r="S38" i="17"/>
  <c r="AP51" i="12"/>
  <c r="R38" i="17"/>
  <c r="Q51" i="12"/>
  <c r="N5127" i="5"/>
  <c r="O5127" i="5" s="1"/>
  <c r="R5096" i="5"/>
  <c r="S5096" i="5" s="1"/>
  <c r="N5122" i="5"/>
  <c r="U5122" i="5" s="1"/>
  <c r="V5122" i="5" s="1"/>
  <c r="N5056" i="5"/>
  <c r="O5056" i="5" s="1"/>
  <c r="R5124" i="5"/>
  <c r="S5124" i="5" s="1"/>
  <c r="U5125" i="5"/>
  <c r="V5125" i="5" s="1"/>
  <c r="O5125" i="5"/>
  <c r="R4790" i="5"/>
  <c r="S4790" i="5" s="1"/>
  <c r="R4969" i="5"/>
  <c r="S4969" i="5" s="1"/>
  <c r="R4906" i="5"/>
  <c r="S4906" i="5" s="1"/>
  <c r="U5123" i="5"/>
  <c r="V5123" i="5" s="1"/>
  <c r="P5055" i="5"/>
  <c r="O5051" i="5"/>
  <c r="N5054" i="5"/>
  <c r="U5052" i="5"/>
  <c r="V5052" i="5" s="1"/>
  <c r="R5126" i="5"/>
  <c r="S5126" i="5" s="1"/>
  <c r="N5126" i="5"/>
  <c r="P5126" i="5"/>
  <c r="P5124" i="5"/>
  <c r="N5124" i="5"/>
  <c r="O5123" i="5"/>
  <c r="R5076" i="5"/>
  <c r="S5076" i="5" s="1"/>
  <c r="R4797" i="5"/>
  <c r="S4797" i="5" s="1"/>
  <c r="R5072" i="5"/>
  <c r="S5072" i="5" s="1"/>
  <c r="R4942" i="5"/>
  <c r="S4942" i="5" s="1"/>
  <c r="R4904" i="5"/>
  <c r="S4904" i="5" s="1"/>
  <c r="R4982" i="5"/>
  <c r="S4982" i="5" s="1"/>
  <c r="R4788" i="5"/>
  <c r="S4788" i="5" s="1"/>
  <c r="R4783" i="5"/>
  <c r="S4783" i="5" s="1"/>
  <c r="O5170" i="5"/>
  <c r="O5172" i="5"/>
  <c r="O5167" i="5"/>
  <c r="R4781" i="5"/>
  <c r="S4781" i="5" s="1"/>
  <c r="R4941" i="5"/>
  <c r="S4941" i="5" s="1"/>
  <c r="R5110" i="5"/>
  <c r="S5110" i="5" s="1"/>
  <c r="O5162" i="5"/>
  <c r="P5171" i="5"/>
  <c r="N5171" i="5"/>
  <c r="U5170" i="5"/>
  <c r="V5170" i="5" s="1"/>
  <c r="U5172" i="5"/>
  <c r="V5172" i="5" s="1"/>
  <c r="U5155" i="5"/>
  <c r="V5155" i="5" s="1"/>
  <c r="P5169" i="5"/>
  <c r="N5169" i="5"/>
  <c r="L5168" i="5"/>
  <c r="U5167" i="5"/>
  <c r="V5167" i="5" s="1"/>
  <c r="U5163" i="5"/>
  <c r="V5163" i="5" s="1"/>
  <c r="N5165" i="5"/>
  <c r="P5165" i="5"/>
  <c r="O5164" i="5"/>
  <c r="U5164" i="5"/>
  <c r="V5164" i="5" s="1"/>
  <c r="N5166" i="5"/>
  <c r="P5166" i="5"/>
  <c r="O5150" i="5"/>
  <c r="O5163" i="5"/>
  <c r="U5162" i="5"/>
  <c r="V5162" i="5" s="1"/>
  <c r="P5156" i="5"/>
  <c r="O5156" i="5" s="1"/>
  <c r="P5161" i="5"/>
  <c r="N5161" i="5"/>
  <c r="O5157" i="5"/>
  <c r="N5160" i="5"/>
  <c r="P5160" i="5"/>
  <c r="N5158" i="5"/>
  <c r="P5158" i="5"/>
  <c r="N5151" i="5"/>
  <c r="O5151" i="5" s="1"/>
  <c r="R5152" i="5"/>
  <c r="S5152" i="5" s="1"/>
  <c r="U5157" i="5"/>
  <c r="V5157" i="5" s="1"/>
  <c r="N5159" i="5"/>
  <c r="P5159" i="5"/>
  <c r="O5153" i="5"/>
  <c r="P5143" i="5"/>
  <c r="O5143" i="5" s="1"/>
  <c r="N5154" i="5"/>
  <c r="O5154" i="5" s="1"/>
  <c r="R5154" i="5"/>
  <c r="S5154" i="5" s="1"/>
  <c r="O5155" i="5"/>
  <c r="N5152" i="5"/>
  <c r="P5152" i="5"/>
  <c r="L5145" i="5"/>
  <c r="N5145" i="5" s="1"/>
  <c r="U5149" i="5"/>
  <c r="V5149" i="5" s="1"/>
  <c r="U5150" i="5"/>
  <c r="V5150" i="5" s="1"/>
  <c r="U5153" i="5"/>
  <c r="V5153" i="5" s="1"/>
  <c r="U5147" i="5"/>
  <c r="V5147" i="5" s="1"/>
  <c r="P5148" i="5"/>
  <c r="N5148" i="5"/>
  <c r="O5144" i="5"/>
  <c r="R5148" i="5"/>
  <c r="S5148" i="5" s="1"/>
  <c r="O5149" i="5"/>
  <c r="P5146" i="5"/>
  <c r="N5146" i="5"/>
  <c r="O5147" i="5"/>
  <c r="U5144" i="5"/>
  <c r="V5144" i="5" s="1"/>
  <c r="N5141" i="5"/>
  <c r="O5141" i="5" s="1"/>
  <c r="U5140" i="5"/>
  <c r="V5140" i="5" s="1"/>
  <c r="N5142" i="5"/>
  <c r="U5142" i="5" s="1"/>
  <c r="V5142" i="5" s="1"/>
  <c r="U5138" i="5"/>
  <c r="V5138" i="5" s="1"/>
  <c r="R5136" i="5"/>
  <c r="S5136" i="5" s="1"/>
  <c r="N5137" i="5"/>
  <c r="U5137" i="5" s="1"/>
  <c r="V5137" i="5" s="1"/>
  <c r="O5139" i="5"/>
  <c r="U5139" i="5"/>
  <c r="V5139" i="5" s="1"/>
  <c r="O5140" i="5"/>
  <c r="P5136" i="5"/>
  <c r="N5136" i="5"/>
  <c r="N5135" i="5"/>
  <c r="P5135" i="5"/>
  <c r="R5135" i="5"/>
  <c r="S5135" i="5" s="1"/>
  <c r="O5138" i="5"/>
  <c r="P5134" i="5"/>
  <c r="N5134" i="5"/>
  <c r="O5131" i="5"/>
  <c r="U5131" i="5"/>
  <c r="V5131" i="5" s="1"/>
  <c r="N5133" i="5"/>
  <c r="P5133" i="5"/>
  <c r="N5132" i="5"/>
  <c r="P5132" i="5"/>
  <c r="O5119" i="5"/>
  <c r="N5130" i="5"/>
  <c r="P5130" i="5"/>
  <c r="O5128" i="5"/>
  <c r="U5128" i="5"/>
  <c r="V5128" i="5" s="1"/>
  <c r="N5129" i="5"/>
  <c r="P5129" i="5"/>
  <c r="N5120" i="5"/>
  <c r="O5121" i="5"/>
  <c r="O5118" i="5"/>
  <c r="U5121" i="5"/>
  <c r="V5121" i="5" s="1"/>
  <c r="O5117" i="5"/>
  <c r="U5118" i="5"/>
  <c r="V5118" i="5" s="1"/>
  <c r="U5119" i="5"/>
  <c r="V5119" i="5" s="1"/>
  <c r="O5115" i="5"/>
  <c r="O5053" i="5"/>
  <c r="N5116" i="5"/>
  <c r="O5116" i="5" s="1"/>
  <c r="U5117" i="5"/>
  <c r="V5117" i="5" s="1"/>
  <c r="R5114" i="5"/>
  <c r="S5114" i="5" s="1"/>
  <c r="U5053" i="5"/>
  <c r="V5053" i="5" s="1"/>
  <c r="P5114" i="5"/>
  <c r="N5114" i="5"/>
  <c r="R5112" i="5"/>
  <c r="S5112" i="5" s="1"/>
  <c r="U5115" i="5"/>
  <c r="V5115" i="5" s="1"/>
  <c r="R5106" i="5"/>
  <c r="S5106" i="5" s="1"/>
  <c r="P5112" i="5"/>
  <c r="N5112" i="5"/>
  <c r="R5090" i="5"/>
  <c r="S5090" i="5" s="1"/>
  <c r="N5108" i="5"/>
  <c r="O5108" i="5" s="1"/>
  <c r="U5111" i="5"/>
  <c r="V5111" i="5" s="1"/>
  <c r="O5113" i="5"/>
  <c r="U5113" i="5"/>
  <c r="V5113" i="5" s="1"/>
  <c r="U5104" i="5"/>
  <c r="V5104" i="5" s="1"/>
  <c r="L5110" i="5"/>
  <c r="O5105" i="5"/>
  <c r="O5111" i="5"/>
  <c r="P5109" i="5"/>
  <c r="N5109" i="5"/>
  <c r="O5101" i="5"/>
  <c r="U5105" i="5"/>
  <c r="V5105" i="5" s="1"/>
  <c r="O5104" i="5"/>
  <c r="P5107" i="5"/>
  <c r="N5107" i="5"/>
  <c r="N5106" i="5"/>
  <c r="P5106" i="5"/>
  <c r="O5102" i="5"/>
  <c r="P5103" i="5"/>
  <c r="N5103" i="5"/>
  <c r="U5102" i="5"/>
  <c r="V5102" i="5" s="1"/>
  <c r="N5100" i="5"/>
  <c r="P5100" i="5"/>
  <c r="P5098" i="5"/>
  <c r="N5098" i="5"/>
  <c r="N5099" i="5"/>
  <c r="P5099" i="5"/>
  <c r="R5098" i="5"/>
  <c r="S5098" i="5" s="1"/>
  <c r="R5099" i="5"/>
  <c r="S5099" i="5" s="1"/>
  <c r="P5095" i="5"/>
  <c r="U5095" i="5" s="1"/>
  <c r="V5095" i="5" s="1"/>
  <c r="R5100" i="5"/>
  <c r="S5100" i="5" s="1"/>
  <c r="U5101" i="5"/>
  <c r="V5101" i="5" s="1"/>
  <c r="O5097" i="5"/>
  <c r="O5092" i="5"/>
  <c r="O5091" i="5"/>
  <c r="L5096" i="5"/>
  <c r="U5097" i="5"/>
  <c r="V5097" i="5" s="1"/>
  <c r="U5091" i="5"/>
  <c r="V5091" i="5" s="1"/>
  <c r="L5093" i="5"/>
  <c r="U5092" i="5"/>
  <c r="V5092" i="5" s="1"/>
  <c r="N5090" i="5"/>
  <c r="O5090" i="5" s="1"/>
  <c r="P5094" i="5"/>
  <c r="N5094" i="5"/>
  <c r="U5083" i="5"/>
  <c r="V5083" i="5" s="1"/>
  <c r="L5085" i="5"/>
  <c r="P5085" i="5" s="1"/>
  <c r="N5089" i="5"/>
  <c r="P5089" i="5"/>
  <c r="R5084" i="5"/>
  <c r="S5084" i="5" s="1"/>
  <c r="O5086" i="5"/>
  <c r="O5087" i="5"/>
  <c r="U5087" i="5"/>
  <c r="V5087" i="5" s="1"/>
  <c r="N5088" i="5"/>
  <c r="P5088" i="5"/>
  <c r="N5084" i="5"/>
  <c r="P5084" i="5"/>
  <c r="U5081" i="5"/>
  <c r="V5081" i="5" s="1"/>
  <c r="U5086" i="5"/>
  <c r="V5086" i="5" s="1"/>
  <c r="O5083" i="5"/>
  <c r="R5075" i="5"/>
  <c r="S5075" i="5" s="1"/>
  <c r="R5078" i="5"/>
  <c r="S5078" i="5" s="1"/>
  <c r="U5080" i="5"/>
  <c r="V5080" i="5" s="1"/>
  <c r="O5082" i="5"/>
  <c r="U5082" i="5"/>
  <c r="V5082" i="5" s="1"/>
  <c r="O5077" i="5"/>
  <c r="N5079" i="5"/>
  <c r="P5079" i="5"/>
  <c r="R5079" i="5"/>
  <c r="S5079" i="5" s="1"/>
  <c r="N5078" i="5"/>
  <c r="P5078" i="5"/>
  <c r="N5075" i="5"/>
  <c r="O5081" i="5"/>
  <c r="N5071" i="5"/>
  <c r="U5071" i="5" s="1"/>
  <c r="V5071" i="5" s="1"/>
  <c r="U5077" i="5"/>
  <c r="V5077" i="5" s="1"/>
  <c r="O5080" i="5"/>
  <c r="U5068" i="5"/>
  <c r="V5068" i="5" s="1"/>
  <c r="L5072" i="5"/>
  <c r="O5074" i="5"/>
  <c r="U5074" i="5"/>
  <c r="V5074" i="5" s="1"/>
  <c r="U5065" i="5"/>
  <c r="V5065" i="5" s="1"/>
  <c r="O5070" i="5"/>
  <c r="L5073" i="5"/>
  <c r="L5076" i="5"/>
  <c r="L5069" i="5"/>
  <c r="U5070" i="5"/>
  <c r="V5070" i="5" s="1"/>
  <c r="N5062" i="5"/>
  <c r="O5062" i="5" s="1"/>
  <c r="U5047" i="5"/>
  <c r="V5047" i="5" s="1"/>
  <c r="O5066" i="5"/>
  <c r="O5064" i="5"/>
  <c r="O5065" i="5"/>
  <c r="L5067" i="5"/>
  <c r="R5062" i="5"/>
  <c r="S5062" i="5" s="1"/>
  <c r="O5068" i="5"/>
  <c r="U5050" i="5"/>
  <c r="V5050" i="5" s="1"/>
  <c r="U5066" i="5"/>
  <c r="V5066" i="5" s="1"/>
  <c r="N5060" i="5"/>
  <c r="P5060" i="5"/>
  <c r="P5063" i="5"/>
  <c r="N5063" i="5"/>
  <c r="U5064" i="5"/>
  <c r="V5064" i="5" s="1"/>
  <c r="O5061" i="5"/>
  <c r="U5061" i="5"/>
  <c r="V5061" i="5" s="1"/>
  <c r="R5060" i="5"/>
  <c r="S5060" i="5" s="1"/>
  <c r="O5058" i="5"/>
  <c r="U5058" i="5"/>
  <c r="V5058" i="5" s="1"/>
  <c r="N5059" i="5"/>
  <c r="P5059" i="5"/>
  <c r="O5057" i="5"/>
  <c r="U5057" i="5"/>
  <c r="V5057" i="5" s="1"/>
  <c r="O5048" i="5"/>
  <c r="L5049" i="5"/>
  <c r="R5044" i="5"/>
  <c r="S5044" i="5" s="1"/>
  <c r="O5050" i="5"/>
  <c r="R5046" i="5"/>
  <c r="S5046" i="5" s="1"/>
  <c r="U5048" i="5"/>
  <c r="V5048" i="5" s="1"/>
  <c r="P5046" i="5"/>
  <c r="N5046" i="5"/>
  <c r="O5045" i="5"/>
  <c r="O5047" i="5"/>
  <c r="P5035" i="5"/>
  <c r="U5035" i="5" s="1"/>
  <c r="V5035" i="5" s="1"/>
  <c r="P5044" i="5"/>
  <c r="N5044" i="5"/>
  <c r="U5045" i="5"/>
  <c r="V5045" i="5" s="1"/>
  <c r="U5040" i="5"/>
  <c r="V5040" i="5" s="1"/>
  <c r="N5043" i="5"/>
  <c r="P5043" i="5"/>
  <c r="N5039" i="5"/>
  <c r="O5039" i="5" s="1"/>
  <c r="O5041" i="5"/>
  <c r="U5041" i="5"/>
  <c r="V5041" i="5" s="1"/>
  <c r="N5042" i="5"/>
  <c r="P5042" i="5"/>
  <c r="P5034" i="5"/>
  <c r="U5034" i="5" s="1"/>
  <c r="V5034" i="5" s="1"/>
  <c r="O5040" i="5"/>
  <c r="O5036" i="5"/>
  <c r="U5036" i="5"/>
  <c r="V5036" i="5" s="1"/>
  <c r="O5037" i="5"/>
  <c r="U5037" i="5"/>
  <c r="V5037" i="5" s="1"/>
  <c r="N5038" i="5"/>
  <c r="P5038" i="5"/>
  <c r="O5033" i="5"/>
  <c r="O5031" i="5"/>
  <c r="O5030" i="5"/>
  <c r="U5033" i="5"/>
  <c r="V5033" i="5" s="1"/>
  <c r="L5032" i="5"/>
  <c r="N5029" i="5"/>
  <c r="P5029" i="5"/>
  <c r="U5030" i="5"/>
  <c r="V5030" i="5" s="1"/>
  <c r="U5028" i="5"/>
  <c r="V5028" i="5" s="1"/>
  <c r="R5029" i="5"/>
  <c r="S5029" i="5" s="1"/>
  <c r="U5031" i="5"/>
  <c r="V5031" i="5" s="1"/>
  <c r="O5024" i="5"/>
  <c r="N5023" i="5"/>
  <c r="O5023" i="5" s="1"/>
  <c r="O5028" i="5"/>
  <c r="O5025" i="5"/>
  <c r="U5025" i="5"/>
  <c r="V5025" i="5" s="1"/>
  <c r="O5026" i="5"/>
  <c r="U5026" i="5"/>
  <c r="V5026" i="5" s="1"/>
  <c r="O5019" i="5"/>
  <c r="O5027" i="5"/>
  <c r="U5027" i="5"/>
  <c r="V5027" i="5" s="1"/>
  <c r="U5024" i="5"/>
  <c r="V5024" i="5" s="1"/>
  <c r="N5021" i="5"/>
  <c r="P5021" i="5"/>
  <c r="P5018" i="5"/>
  <c r="U5018" i="5" s="1"/>
  <c r="V5018" i="5" s="1"/>
  <c r="O5014" i="5"/>
  <c r="O5020" i="5"/>
  <c r="U5020" i="5"/>
  <c r="V5020" i="5" s="1"/>
  <c r="N5022" i="5"/>
  <c r="P5022" i="5"/>
  <c r="L5012" i="5"/>
  <c r="P5012" i="5" s="1"/>
  <c r="U5019" i="5"/>
  <c r="V5019" i="5" s="1"/>
  <c r="O5015" i="5"/>
  <c r="U5015" i="5"/>
  <c r="V5015" i="5" s="1"/>
  <c r="U5014" i="5"/>
  <c r="V5014" i="5" s="1"/>
  <c r="O5017" i="5"/>
  <c r="U5017" i="5"/>
  <c r="V5017" i="5" s="1"/>
  <c r="O5013" i="5"/>
  <c r="N5016" i="5"/>
  <c r="P5016" i="5"/>
  <c r="U5013" i="5"/>
  <c r="V5013" i="5" s="1"/>
  <c r="O5011" i="5"/>
  <c r="O5010" i="5"/>
  <c r="U5010" i="5"/>
  <c r="V5010" i="5" s="1"/>
  <c r="U5011" i="5"/>
  <c r="V5011" i="5" s="1"/>
  <c r="U5005" i="5"/>
  <c r="V5005" i="5" s="1"/>
  <c r="N5002" i="5"/>
  <c r="O5002" i="5" s="1"/>
  <c r="N5006" i="5"/>
  <c r="O5006" i="5" s="1"/>
  <c r="N5007" i="5"/>
  <c r="P5007" i="5"/>
  <c r="N5008" i="5"/>
  <c r="P5008" i="5"/>
  <c r="U5001" i="5"/>
  <c r="V5001" i="5" s="1"/>
  <c r="N5009" i="5"/>
  <c r="P5009" i="5"/>
  <c r="L5004" i="5"/>
  <c r="O5005" i="5"/>
  <c r="L5003" i="5"/>
  <c r="O5001" i="5"/>
  <c r="U4999" i="5"/>
  <c r="V4999" i="5" s="1"/>
  <c r="P5000" i="5"/>
  <c r="N5000" i="5"/>
  <c r="N4995" i="5"/>
  <c r="O4995" i="5" s="1"/>
  <c r="O4999" i="5"/>
  <c r="N4989" i="5"/>
  <c r="O4989" i="5" s="1"/>
  <c r="N4991" i="5"/>
  <c r="O4991" i="5" s="1"/>
  <c r="O4996" i="5"/>
  <c r="U4996" i="5"/>
  <c r="V4996" i="5" s="1"/>
  <c r="O4997" i="5"/>
  <c r="U4997" i="5"/>
  <c r="V4997" i="5" s="1"/>
  <c r="N4998" i="5"/>
  <c r="P4998" i="5"/>
  <c r="N4993" i="5"/>
  <c r="P4993" i="5"/>
  <c r="O4992" i="5"/>
  <c r="U4992" i="5"/>
  <c r="V4992" i="5" s="1"/>
  <c r="N4994" i="5"/>
  <c r="P4994" i="5"/>
  <c r="N4990" i="5"/>
  <c r="O4990" i="5" s="1"/>
  <c r="O4987" i="5"/>
  <c r="N4988" i="5"/>
  <c r="U4988" i="5" s="1"/>
  <c r="V4988" i="5" s="1"/>
  <c r="R4983" i="5"/>
  <c r="S4983" i="5" s="1"/>
  <c r="L4986" i="5"/>
  <c r="U4987" i="5"/>
  <c r="V4987" i="5" s="1"/>
  <c r="O4985" i="5"/>
  <c r="U4985" i="5"/>
  <c r="V4985" i="5" s="1"/>
  <c r="L4982" i="5"/>
  <c r="N4982" i="5" s="1"/>
  <c r="P4983" i="5"/>
  <c r="N4983" i="5"/>
  <c r="P4981" i="5"/>
  <c r="U4981" i="5" s="1"/>
  <c r="V4981" i="5" s="1"/>
  <c r="O4984" i="5"/>
  <c r="U4979" i="5"/>
  <c r="V4979" i="5" s="1"/>
  <c r="U4984" i="5"/>
  <c r="V4984" i="5" s="1"/>
  <c r="O4980" i="5"/>
  <c r="O4979" i="5"/>
  <c r="O4974" i="5"/>
  <c r="U4980" i="5"/>
  <c r="V4980" i="5" s="1"/>
  <c r="P4977" i="5"/>
  <c r="N4977" i="5"/>
  <c r="L4969" i="5"/>
  <c r="P4969" i="5" s="1"/>
  <c r="U4970" i="5"/>
  <c r="V4970" i="5" s="1"/>
  <c r="O4978" i="5"/>
  <c r="U4978" i="5"/>
  <c r="V4978" i="5" s="1"/>
  <c r="R4977" i="5"/>
  <c r="S4977" i="5" s="1"/>
  <c r="U4974" i="5"/>
  <c r="V4974" i="5" s="1"/>
  <c r="P4976" i="5"/>
  <c r="N4976" i="5"/>
  <c r="P4975" i="5"/>
  <c r="N4975" i="5"/>
  <c r="O4970" i="5"/>
  <c r="O4972" i="5"/>
  <c r="U4972" i="5"/>
  <c r="V4972" i="5" s="1"/>
  <c r="O4973" i="5"/>
  <c r="U4973" i="5"/>
  <c r="V4973" i="5" s="1"/>
  <c r="U4968" i="5"/>
  <c r="V4968" i="5" s="1"/>
  <c r="O4971" i="5"/>
  <c r="U4971" i="5"/>
  <c r="V4971" i="5" s="1"/>
  <c r="R4961" i="5"/>
  <c r="S4961" i="5" s="1"/>
  <c r="P4963" i="5"/>
  <c r="O4963" i="5" s="1"/>
  <c r="L4967" i="5"/>
  <c r="O4968" i="5"/>
  <c r="P4962" i="5"/>
  <c r="O4962" i="5" s="1"/>
  <c r="P4961" i="5"/>
  <c r="N4961" i="5"/>
  <c r="O4965" i="5"/>
  <c r="U4965" i="5"/>
  <c r="V4965" i="5" s="1"/>
  <c r="O4964" i="5"/>
  <c r="U4964" i="5"/>
  <c r="V4964" i="5" s="1"/>
  <c r="N4966" i="5"/>
  <c r="P4966" i="5"/>
  <c r="O4954" i="5"/>
  <c r="P4955" i="5"/>
  <c r="O4955" i="5" s="1"/>
  <c r="U4954" i="5"/>
  <c r="V4954" i="5" s="1"/>
  <c r="N4960" i="5"/>
  <c r="P4960" i="5"/>
  <c r="O4959" i="5"/>
  <c r="U4959" i="5"/>
  <c r="V4959" i="5" s="1"/>
  <c r="N4957" i="5"/>
  <c r="P4957" i="5"/>
  <c r="O4956" i="5"/>
  <c r="U4956" i="5"/>
  <c r="V4956" i="5" s="1"/>
  <c r="N4958" i="5"/>
  <c r="P4958" i="5"/>
  <c r="L4953" i="5"/>
  <c r="U4943" i="5"/>
  <c r="V4943" i="5" s="1"/>
  <c r="O4950" i="5"/>
  <c r="U4950" i="5"/>
  <c r="V4950" i="5" s="1"/>
  <c r="O4951" i="5"/>
  <c r="U4951" i="5"/>
  <c r="V4951" i="5" s="1"/>
  <c r="N4952" i="5"/>
  <c r="P4952" i="5"/>
  <c r="N4949" i="5"/>
  <c r="P4949" i="5"/>
  <c r="O4948" i="5"/>
  <c r="U4948" i="5"/>
  <c r="V4948" i="5" s="1"/>
  <c r="U4934" i="5"/>
  <c r="V4934" i="5" s="1"/>
  <c r="P4938" i="5"/>
  <c r="U4938" i="5" s="1"/>
  <c r="V4938" i="5" s="1"/>
  <c r="R4945" i="5"/>
  <c r="S4945" i="5" s="1"/>
  <c r="R4939" i="5"/>
  <c r="S4939" i="5" s="1"/>
  <c r="O4943" i="5"/>
  <c r="O4947" i="5"/>
  <c r="U4947" i="5"/>
  <c r="V4947" i="5" s="1"/>
  <c r="P4944" i="5"/>
  <c r="N4944" i="5"/>
  <c r="P4945" i="5"/>
  <c r="N4945" i="5"/>
  <c r="N4940" i="5"/>
  <c r="O4940" i="5" s="1"/>
  <c r="R4944" i="5"/>
  <c r="S4944" i="5" s="1"/>
  <c r="L4942" i="5"/>
  <c r="O4946" i="5"/>
  <c r="U4946" i="5"/>
  <c r="V4946" i="5" s="1"/>
  <c r="L4936" i="5"/>
  <c r="R4937" i="5"/>
  <c r="S4937" i="5" s="1"/>
  <c r="N4935" i="5"/>
  <c r="U4935" i="5" s="1"/>
  <c r="V4935" i="5" s="1"/>
  <c r="L4941" i="5"/>
  <c r="N4939" i="5"/>
  <c r="P4939" i="5"/>
  <c r="N4937" i="5"/>
  <c r="N4933" i="5"/>
  <c r="P4933" i="5"/>
  <c r="O4934" i="5"/>
  <c r="N4929" i="5"/>
  <c r="O4929" i="5" s="1"/>
  <c r="R4933" i="5"/>
  <c r="S4933" i="5" s="1"/>
  <c r="N4930" i="5"/>
  <c r="P4930" i="5"/>
  <c r="P4932" i="5"/>
  <c r="N4932" i="5"/>
  <c r="N4931" i="5"/>
  <c r="P4931" i="5"/>
  <c r="U4926" i="5"/>
  <c r="V4926" i="5" s="1"/>
  <c r="U4928" i="5"/>
  <c r="V4928" i="5" s="1"/>
  <c r="N4919" i="5"/>
  <c r="U4919" i="5" s="1"/>
  <c r="V4919" i="5" s="1"/>
  <c r="O4927" i="5"/>
  <c r="O4928" i="5"/>
  <c r="O4926" i="5"/>
  <c r="N4924" i="5"/>
  <c r="P4924" i="5"/>
  <c r="N4925" i="5"/>
  <c r="P4925" i="5"/>
  <c r="R4924" i="5"/>
  <c r="S4924" i="5" s="1"/>
  <c r="U4927" i="5"/>
  <c r="V4927" i="5" s="1"/>
  <c r="R4925" i="5"/>
  <c r="S4925" i="5" s="1"/>
  <c r="O4921" i="5"/>
  <c r="U4921" i="5"/>
  <c r="V4921" i="5" s="1"/>
  <c r="O4922" i="5"/>
  <c r="U4922" i="5"/>
  <c r="V4922" i="5" s="1"/>
  <c r="P4915" i="5"/>
  <c r="O4920" i="5"/>
  <c r="P4923" i="5"/>
  <c r="N4923" i="5"/>
  <c r="U4920" i="5"/>
  <c r="V4920" i="5" s="1"/>
  <c r="O4916" i="5"/>
  <c r="U4916" i="5"/>
  <c r="V4916" i="5" s="1"/>
  <c r="N4918" i="5"/>
  <c r="P4918" i="5"/>
  <c r="O4917" i="5"/>
  <c r="U4917" i="5"/>
  <c r="V4917" i="5" s="1"/>
  <c r="R4912" i="5"/>
  <c r="S4912" i="5" s="1"/>
  <c r="N4914" i="5"/>
  <c r="P4912" i="5"/>
  <c r="N4912" i="5"/>
  <c r="O4913" i="5"/>
  <c r="U4913" i="5"/>
  <c r="V4913" i="5" s="1"/>
  <c r="O4909" i="5"/>
  <c r="U4909" i="5"/>
  <c r="V4909" i="5" s="1"/>
  <c r="U4908" i="5"/>
  <c r="V4908" i="5" s="1"/>
  <c r="O4910" i="5"/>
  <c r="U4910" i="5"/>
  <c r="V4910" i="5" s="1"/>
  <c r="U4907" i="5"/>
  <c r="V4907" i="5" s="1"/>
  <c r="O4899" i="5"/>
  <c r="U4911" i="5"/>
  <c r="V4911" i="5" s="1"/>
  <c r="O4911" i="5"/>
  <c r="O4908" i="5"/>
  <c r="L4906" i="5"/>
  <c r="N4835" i="5"/>
  <c r="U4835" i="5" s="1"/>
  <c r="V4835" i="5" s="1"/>
  <c r="P4893" i="5"/>
  <c r="U4893" i="5" s="1"/>
  <c r="V4893" i="5" s="1"/>
  <c r="N4897" i="5"/>
  <c r="O4897" i="5" s="1"/>
  <c r="N4898" i="5"/>
  <c r="U4898" i="5" s="1"/>
  <c r="V4898" i="5" s="1"/>
  <c r="O4905" i="5"/>
  <c r="O4907" i="5"/>
  <c r="R4903" i="5"/>
  <c r="S4903" i="5" s="1"/>
  <c r="L4904" i="5"/>
  <c r="N4903" i="5"/>
  <c r="O4903" i="5" s="1"/>
  <c r="U4905" i="5"/>
  <c r="V4905" i="5" s="1"/>
  <c r="P4901" i="5"/>
  <c r="N4901" i="5"/>
  <c r="P4902" i="5"/>
  <c r="N4902" i="5"/>
  <c r="P4802" i="5"/>
  <c r="O4802" i="5" s="1"/>
  <c r="R4901" i="5"/>
  <c r="S4901" i="5" s="1"/>
  <c r="U4900" i="5"/>
  <c r="V4900" i="5" s="1"/>
  <c r="O4900" i="5"/>
  <c r="P4842" i="5"/>
  <c r="R4895" i="5"/>
  <c r="S4895" i="5" s="1"/>
  <c r="U4899" i="5"/>
  <c r="V4899" i="5" s="1"/>
  <c r="N4825" i="5"/>
  <c r="U4825" i="5" s="1"/>
  <c r="V4825" i="5" s="1"/>
  <c r="O4894" i="5"/>
  <c r="U4894" i="5"/>
  <c r="V4894" i="5" s="1"/>
  <c r="O4892" i="5"/>
  <c r="P4896" i="5"/>
  <c r="N4896" i="5"/>
  <c r="N4895" i="5"/>
  <c r="P4895" i="5"/>
  <c r="P4881" i="5"/>
  <c r="O4881" i="5" s="1"/>
  <c r="N4813" i="5"/>
  <c r="O4813" i="5" s="1"/>
  <c r="P4891" i="5"/>
  <c r="U4891" i="5" s="1"/>
  <c r="V4891" i="5" s="1"/>
  <c r="U4889" i="5"/>
  <c r="V4889" i="5" s="1"/>
  <c r="O4888" i="5"/>
  <c r="U4892" i="5"/>
  <c r="V4892" i="5" s="1"/>
  <c r="R4818" i="5"/>
  <c r="S4818" i="5" s="1"/>
  <c r="N4851" i="5"/>
  <c r="O4851" i="5" s="1"/>
  <c r="R4807" i="5"/>
  <c r="S4807" i="5" s="1"/>
  <c r="N4779" i="5"/>
  <c r="O4779" i="5" s="1"/>
  <c r="P4890" i="5"/>
  <c r="N4890" i="5"/>
  <c r="O4889" i="5"/>
  <c r="U4884" i="5"/>
  <c r="V4884" i="5" s="1"/>
  <c r="O4885" i="5"/>
  <c r="N4815" i="5"/>
  <c r="O4815" i="5" s="1"/>
  <c r="U4885" i="5"/>
  <c r="V4885" i="5" s="1"/>
  <c r="U4880" i="5"/>
  <c r="V4880" i="5" s="1"/>
  <c r="U4888" i="5"/>
  <c r="V4888" i="5" s="1"/>
  <c r="O4887" i="5"/>
  <c r="U4887" i="5"/>
  <c r="V4887" i="5" s="1"/>
  <c r="R4874" i="5"/>
  <c r="S4874" i="5" s="1"/>
  <c r="O4886" i="5"/>
  <c r="U4886" i="5"/>
  <c r="V4886" i="5" s="1"/>
  <c r="N4882" i="5"/>
  <c r="P4882" i="5"/>
  <c r="P4883" i="5"/>
  <c r="N4883" i="5"/>
  <c r="R4882" i="5"/>
  <c r="S4882" i="5" s="1"/>
  <c r="N4782" i="5"/>
  <c r="O4782" i="5" s="1"/>
  <c r="R4883" i="5"/>
  <c r="S4883" i="5" s="1"/>
  <c r="O4884" i="5"/>
  <c r="P4863" i="5"/>
  <c r="U4863" i="5" s="1"/>
  <c r="V4863" i="5" s="1"/>
  <c r="P4837" i="5"/>
  <c r="O4837" i="5" s="1"/>
  <c r="L4801" i="5"/>
  <c r="N4801" i="5" s="1"/>
  <c r="O4880" i="5"/>
  <c r="P4794" i="5"/>
  <c r="N4794" i="5"/>
  <c r="R4794" i="5"/>
  <c r="S4794" i="5" s="1"/>
  <c r="R4828" i="5"/>
  <c r="S4828" i="5" s="1"/>
  <c r="P4879" i="5"/>
  <c r="N4879" i="5"/>
  <c r="R4853" i="5"/>
  <c r="S4853" i="5" s="1"/>
  <c r="R4816" i="5"/>
  <c r="S4816" i="5" s="1"/>
  <c r="N4787" i="5"/>
  <c r="O4876" i="5"/>
  <c r="U4876" i="5"/>
  <c r="V4876" i="5" s="1"/>
  <c r="L4781" i="5"/>
  <c r="N4781" i="5" s="1"/>
  <c r="O4875" i="5"/>
  <c r="L4788" i="5"/>
  <c r="L4790" i="5"/>
  <c r="N4790" i="5" s="1"/>
  <c r="P4829" i="5"/>
  <c r="U4829" i="5" s="1"/>
  <c r="V4829" i="5" s="1"/>
  <c r="N4821" i="5"/>
  <c r="U4821" i="5" s="1"/>
  <c r="V4821" i="5" s="1"/>
  <c r="P4836" i="5"/>
  <c r="O4836" i="5" s="1"/>
  <c r="P4803" i="5"/>
  <c r="O4803" i="5" s="1"/>
  <c r="N4780" i="5"/>
  <c r="O4780" i="5" s="1"/>
  <c r="R4869" i="5"/>
  <c r="S4869" i="5" s="1"/>
  <c r="O4877" i="5"/>
  <c r="U4877" i="5"/>
  <c r="V4877" i="5" s="1"/>
  <c r="L4843" i="5"/>
  <c r="N4843" i="5" s="1"/>
  <c r="R4786" i="5"/>
  <c r="S4786" i="5" s="1"/>
  <c r="R4834" i="5"/>
  <c r="S4834" i="5" s="1"/>
  <c r="R4787" i="5"/>
  <c r="S4787" i="5" s="1"/>
  <c r="U4878" i="5"/>
  <c r="V4878" i="5" s="1"/>
  <c r="O4878" i="5"/>
  <c r="P4874" i="5"/>
  <c r="N4874" i="5"/>
  <c r="P4818" i="5"/>
  <c r="N4818" i="5"/>
  <c r="P4869" i="5"/>
  <c r="N4869" i="5"/>
  <c r="N4822" i="5"/>
  <c r="P4822" i="5"/>
  <c r="R4817" i="5"/>
  <c r="S4817" i="5" s="1"/>
  <c r="N4868" i="5"/>
  <c r="U4868" i="5" s="1"/>
  <c r="V4868" i="5" s="1"/>
  <c r="P4819" i="5"/>
  <c r="N4819" i="5"/>
  <c r="P4850" i="5"/>
  <c r="N4850" i="5"/>
  <c r="P4804" i="5"/>
  <c r="N4804" i="5"/>
  <c r="R4838" i="5"/>
  <c r="S4838" i="5" s="1"/>
  <c r="N4805" i="5"/>
  <c r="P4844" i="5"/>
  <c r="N4844" i="5"/>
  <c r="R4804" i="5"/>
  <c r="S4804" i="5" s="1"/>
  <c r="L4820" i="5"/>
  <c r="P4820" i="5" s="1"/>
  <c r="N4808" i="5"/>
  <c r="P4808" i="5"/>
  <c r="R4844" i="5"/>
  <c r="S4844" i="5" s="1"/>
  <c r="U4875" i="5"/>
  <c r="V4875" i="5" s="1"/>
  <c r="N4866" i="5"/>
  <c r="P4866" i="5"/>
  <c r="N4872" i="5"/>
  <c r="P4872" i="5"/>
  <c r="N4834" i="5"/>
  <c r="P4834" i="5"/>
  <c r="N4852" i="5"/>
  <c r="P4852" i="5"/>
  <c r="N4849" i="5"/>
  <c r="P4849" i="5"/>
  <c r="N4840" i="5"/>
  <c r="P4840" i="5"/>
  <c r="N4853" i="5"/>
  <c r="P4853" i="5"/>
  <c r="N4828" i="5"/>
  <c r="P4828" i="5"/>
  <c r="N4795" i="5"/>
  <c r="P4795" i="5"/>
  <c r="N4817" i="5"/>
  <c r="P4817" i="5"/>
  <c r="P4800" i="5"/>
  <c r="N4800" i="5"/>
  <c r="O4854" i="5"/>
  <c r="U4854" i="5"/>
  <c r="V4854" i="5" s="1"/>
  <c r="N4838" i="5"/>
  <c r="P4838" i="5"/>
  <c r="N4785" i="5"/>
  <c r="P4785" i="5"/>
  <c r="P4856" i="5"/>
  <c r="N4856" i="5"/>
  <c r="O4846" i="5"/>
  <c r="U4846" i="5"/>
  <c r="V4846" i="5" s="1"/>
  <c r="U4812" i="5"/>
  <c r="V4812" i="5" s="1"/>
  <c r="O4812" i="5"/>
  <c r="N4784" i="5"/>
  <c r="P4784" i="5"/>
  <c r="N4865" i="5"/>
  <c r="P4865" i="5"/>
  <c r="N4807" i="5"/>
  <c r="P4807" i="5"/>
  <c r="N4786" i="5"/>
  <c r="P4786" i="5"/>
  <c r="L4797" i="5"/>
  <c r="R4849" i="5"/>
  <c r="S4849" i="5" s="1"/>
  <c r="P4862" i="5"/>
  <c r="N4862" i="5"/>
  <c r="N4809" i="5"/>
  <c r="P4809" i="5"/>
  <c r="N4791" i="5"/>
  <c r="P4791" i="5"/>
  <c r="O4861" i="5"/>
  <c r="U4861" i="5"/>
  <c r="V4861" i="5" s="1"/>
  <c r="P4870" i="5"/>
  <c r="N4870" i="5"/>
  <c r="R4840" i="5"/>
  <c r="S4840" i="5" s="1"/>
  <c r="R4872" i="5"/>
  <c r="S4872" i="5" s="1"/>
  <c r="P4841" i="5"/>
  <c r="N4841" i="5"/>
  <c r="O4857" i="5"/>
  <c r="U4857" i="5"/>
  <c r="V4857" i="5" s="1"/>
  <c r="L4783" i="5"/>
  <c r="R4852" i="5"/>
  <c r="S4852" i="5" s="1"/>
  <c r="N4789" i="5"/>
  <c r="P4789" i="5"/>
  <c r="R4866" i="5"/>
  <c r="S4866" i="5" s="1"/>
  <c r="N4860" i="5"/>
  <c r="P4860" i="5"/>
  <c r="N4823" i="5"/>
  <c r="P4823" i="5"/>
  <c r="P4847" i="5"/>
  <c r="N4847" i="5"/>
  <c r="N4798" i="5"/>
  <c r="P4798" i="5"/>
  <c r="P4867" i="5"/>
  <c r="N4867" i="5"/>
  <c r="U4858" i="5"/>
  <c r="V4858" i="5" s="1"/>
  <c r="O4858" i="5"/>
  <c r="N4830" i="5"/>
  <c r="P4830" i="5"/>
  <c r="N4792" i="5"/>
  <c r="P4792" i="5"/>
  <c r="O4810" i="5"/>
  <c r="U4810" i="5"/>
  <c r="V4810" i="5" s="1"/>
  <c r="P4824" i="5"/>
  <c r="N4824" i="5"/>
  <c r="P4806" i="5"/>
  <c r="N4806" i="5"/>
  <c r="N4831" i="5"/>
  <c r="P4831" i="5"/>
  <c r="O4845" i="5"/>
  <c r="U4845" i="5"/>
  <c r="V4845" i="5" s="1"/>
  <c r="O4814" i="5"/>
  <c r="U4814" i="5"/>
  <c r="V4814" i="5" s="1"/>
  <c r="P4833" i="5"/>
  <c r="N4833" i="5"/>
  <c r="O4826" i="5"/>
  <c r="U4826" i="5"/>
  <c r="V4826" i="5" s="1"/>
  <c r="N4793" i="5"/>
  <c r="P4793" i="5"/>
  <c r="N4811" i="5"/>
  <c r="P4811" i="5"/>
  <c r="P4873" i="5"/>
  <c r="N4873" i="5"/>
  <c r="P4871" i="5"/>
  <c r="N4871" i="5"/>
  <c r="P4799" i="5"/>
  <c r="N4799" i="5"/>
  <c r="U4848" i="5"/>
  <c r="V4848" i="5" s="1"/>
  <c r="O4848" i="5"/>
  <c r="N4816" i="5"/>
  <c r="P4816" i="5"/>
  <c r="N4855" i="5"/>
  <c r="P4855" i="5"/>
  <c r="O4832" i="5"/>
  <c r="U4832" i="5"/>
  <c r="V4832" i="5" s="1"/>
  <c r="P4864" i="5"/>
  <c r="N4864" i="5"/>
  <c r="N4827" i="5"/>
  <c r="P4827" i="5"/>
  <c r="N4796" i="5"/>
  <c r="P4796" i="5"/>
  <c r="P4859" i="5"/>
  <c r="N4859" i="5"/>
  <c r="P4839" i="5"/>
  <c r="N4839" i="5"/>
  <c r="O5055" i="5" l="1"/>
  <c r="O5399" i="5"/>
  <c r="O5469" i="5"/>
  <c r="O5470" i="5"/>
  <c r="AB52" i="12"/>
  <c r="DW52" i="12" s="1"/>
  <c r="CE52" i="12"/>
  <c r="AB51" i="12"/>
  <c r="DW51" i="12" s="1"/>
  <c r="CE51" i="12"/>
  <c r="O5450" i="5"/>
  <c r="U5472" i="5"/>
  <c r="V5472" i="5" s="1"/>
  <c r="O5591" i="5"/>
  <c r="U5591" i="5"/>
  <c r="V5591" i="5" s="1"/>
  <c r="O5589" i="5"/>
  <c r="U5589" i="5"/>
  <c r="V5589" i="5" s="1"/>
  <c r="O5587" i="5"/>
  <c r="U5587" i="5"/>
  <c r="V5587" i="5" s="1"/>
  <c r="U5581" i="5"/>
  <c r="V5581" i="5" s="1"/>
  <c r="O5586" i="5"/>
  <c r="U5586" i="5"/>
  <c r="V5586" i="5" s="1"/>
  <c r="U5574" i="5"/>
  <c r="V5574" i="5" s="1"/>
  <c r="O5583" i="5"/>
  <c r="U5583" i="5"/>
  <c r="V5583" i="5" s="1"/>
  <c r="O5582" i="5"/>
  <c r="U5582" i="5"/>
  <c r="V5582" i="5" s="1"/>
  <c r="O5578" i="5"/>
  <c r="U5578" i="5"/>
  <c r="V5578" i="5" s="1"/>
  <c r="O5577" i="5"/>
  <c r="U5577" i="5"/>
  <c r="V5577" i="5" s="1"/>
  <c r="U5566" i="5"/>
  <c r="V5566" i="5" s="1"/>
  <c r="O5576" i="5"/>
  <c r="U5576" i="5"/>
  <c r="V5576" i="5" s="1"/>
  <c r="O5575" i="5"/>
  <c r="U5575" i="5"/>
  <c r="V5575" i="5" s="1"/>
  <c r="O5572" i="5"/>
  <c r="U5572" i="5"/>
  <c r="V5572" i="5" s="1"/>
  <c r="O5571" i="5"/>
  <c r="U5571" i="5"/>
  <c r="V5571" i="5" s="1"/>
  <c r="O5569" i="5"/>
  <c r="U5569" i="5"/>
  <c r="V5569" i="5" s="1"/>
  <c r="O5568" i="5"/>
  <c r="U5568" i="5"/>
  <c r="V5568" i="5" s="1"/>
  <c r="N5558" i="5"/>
  <c r="O5558" i="5" s="1"/>
  <c r="O5565" i="5"/>
  <c r="U5565" i="5"/>
  <c r="V5565" i="5" s="1"/>
  <c r="O5564" i="5"/>
  <c r="U5564" i="5"/>
  <c r="V5564" i="5" s="1"/>
  <c r="O5545" i="5"/>
  <c r="O5559" i="5"/>
  <c r="U5559" i="5"/>
  <c r="V5559" i="5" s="1"/>
  <c r="O5557" i="5"/>
  <c r="U5557" i="5"/>
  <c r="V5557" i="5" s="1"/>
  <c r="P5556" i="5"/>
  <c r="N5556" i="5"/>
  <c r="P5553" i="5"/>
  <c r="N5553" i="5"/>
  <c r="O5549" i="5"/>
  <c r="U5549" i="5"/>
  <c r="V5549" i="5" s="1"/>
  <c r="N5546" i="5"/>
  <c r="P5546" i="5"/>
  <c r="O5550" i="5"/>
  <c r="U5550" i="5"/>
  <c r="V5550" i="5" s="1"/>
  <c r="O5548" i="5"/>
  <c r="U5548" i="5"/>
  <c r="V5548" i="5" s="1"/>
  <c r="P5547" i="5"/>
  <c r="N5547" i="5"/>
  <c r="U5519" i="5"/>
  <c r="V5519" i="5" s="1"/>
  <c r="O5525" i="5"/>
  <c r="O5539" i="5"/>
  <c r="U5539" i="5"/>
  <c r="V5539" i="5" s="1"/>
  <c r="P5541" i="5"/>
  <c r="N5541" i="5"/>
  <c r="P5511" i="5"/>
  <c r="O5511" i="5" s="1"/>
  <c r="N5538" i="5"/>
  <c r="P5538" i="5"/>
  <c r="O5537" i="5"/>
  <c r="U5537" i="5"/>
  <c r="V5537" i="5" s="1"/>
  <c r="U5529" i="5"/>
  <c r="V5529" i="5" s="1"/>
  <c r="U5525" i="5"/>
  <c r="V5525" i="5" s="1"/>
  <c r="O5534" i="5"/>
  <c r="U5534" i="5"/>
  <c r="V5534" i="5" s="1"/>
  <c r="O5533" i="5"/>
  <c r="U5533" i="5"/>
  <c r="V5533" i="5" s="1"/>
  <c r="O5530" i="5"/>
  <c r="U5530" i="5"/>
  <c r="V5530" i="5" s="1"/>
  <c r="O5531" i="5"/>
  <c r="U5531" i="5"/>
  <c r="V5531" i="5" s="1"/>
  <c r="N5513" i="5"/>
  <c r="O5513" i="5" s="1"/>
  <c r="P5515" i="5"/>
  <c r="O5515" i="5" s="1"/>
  <c r="U5504" i="5"/>
  <c r="V5504" i="5" s="1"/>
  <c r="P5527" i="5"/>
  <c r="N5527" i="5"/>
  <c r="O5523" i="5"/>
  <c r="U5523" i="5"/>
  <c r="V5523" i="5" s="1"/>
  <c r="N5517" i="5"/>
  <c r="U5517" i="5" s="1"/>
  <c r="V5517" i="5" s="1"/>
  <c r="O5521" i="5"/>
  <c r="U5521" i="5"/>
  <c r="V5521" i="5" s="1"/>
  <c r="O5522" i="5"/>
  <c r="U5522" i="5"/>
  <c r="V5522" i="5" s="1"/>
  <c r="O5520" i="5"/>
  <c r="U5520" i="5"/>
  <c r="V5520" i="5" s="1"/>
  <c r="U5501" i="5"/>
  <c r="V5501" i="5" s="1"/>
  <c r="O5504" i="5"/>
  <c r="O5509" i="5"/>
  <c r="U5509" i="5"/>
  <c r="V5509" i="5" s="1"/>
  <c r="O5506" i="5"/>
  <c r="U5506" i="5"/>
  <c r="V5506" i="5" s="1"/>
  <c r="O5501" i="5"/>
  <c r="O5505" i="5"/>
  <c r="U5505" i="5"/>
  <c r="V5505" i="5" s="1"/>
  <c r="U5495" i="5"/>
  <c r="V5495" i="5" s="1"/>
  <c r="O5474" i="5"/>
  <c r="O5502" i="5"/>
  <c r="U5502" i="5"/>
  <c r="V5502" i="5" s="1"/>
  <c r="P5487" i="5"/>
  <c r="O5487" i="5" s="1"/>
  <c r="O5498" i="5"/>
  <c r="U5498" i="5"/>
  <c r="V5498" i="5" s="1"/>
  <c r="U5468" i="5"/>
  <c r="V5468" i="5" s="1"/>
  <c r="O5499" i="5"/>
  <c r="U5499" i="5"/>
  <c r="V5499" i="5" s="1"/>
  <c r="O5497" i="5"/>
  <c r="U5497" i="5"/>
  <c r="V5497" i="5" s="1"/>
  <c r="P5496" i="5"/>
  <c r="N5496" i="5"/>
  <c r="O5492" i="5"/>
  <c r="U5492" i="5"/>
  <c r="V5492" i="5" s="1"/>
  <c r="O5493" i="5"/>
  <c r="U5493" i="5"/>
  <c r="V5493" i="5" s="1"/>
  <c r="P5486" i="5"/>
  <c r="O5486" i="5" s="1"/>
  <c r="O5494" i="5"/>
  <c r="U5494" i="5"/>
  <c r="V5494" i="5" s="1"/>
  <c r="O5491" i="5"/>
  <c r="U5491" i="5"/>
  <c r="V5491" i="5" s="1"/>
  <c r="O5490" i="5"/>
  <c r="U5490" i="5"/>
  <c r="V5490" i="5" s="1"/>
  <c r="O5484" i="5"/>
  <c r="U5484" i="5"/>
  <c r="V5484" i="5" s="1"/>
  <c r="O5481" i="5"/>
  <c r="U5481" i="5"/>
  <c r="V5481" i="5" s="1"/>
  <c r="O5480" i="5"/>
  <c r="U5480" i="5"/>
  <c r="V5480" i="5" s="1"/>
  <c r="O5479" i="5"/>
  <c r="U5479" i="5"/>
  <c r="V5479" i="5" s="1"/>
  <c r="O5477" i="5"/>
  <c r="U5477" i="5"/>
  <c r="V5477" i="5" s="1"/>
  <c r="O5476" i="5"/>
  <c r="U5476" i="5"/>
  <c r="V5476" i="5" s="1"/>
  <c r="O5466" i="5"/>
  <c r="U5466" i="5"/>
  <c r="V5466" i="5" s="1"/>
  <c r="O5463" i="5"/>
  <c r="U5463" i="5"/>
  <c r="V5463" i="5" s="1"/>
  <c r="U5450" i="5"/>
  <c r="V5450" i="5" s="1"/>
  <c r="O5464" i="5"/>
  <c r="U5464" i="5"/>
  <c r="V5464" i="5" s="1"/>
  <c r="O5462" i="5"/>
  <c r="U5462" i="5"/>
  <c r="V5462" i="5" s="1"/>
  <c r="O5461" i="5"/>
  <c r="U5461" i="5"/>
  <c r="V5461" i="5" s="1"/>
  <c r="O5459" i="5"/>
  <c r="U5459" i="5"/>
  <c r="V5459" i="5" s="1"/>
  <c r="O5460" i="5"/>
  <c r="U5460" i="5"/>
  <c r="V5460" i="5" s="1"/>
  <c r="O5456" i="5"/>
  <c r="U5456" i="5"/>
  <c r="V5456" i="5" s="1"/>
  <c r="U5443" i="5"/>
  <c r="V5443" i="5" s="1"/>
  <c r="O5455" i="5"/>
  <c r="U5455" i="5"/>
  <c r="V5455" i="5" s="1"/>
  <c r="O5453" i="5"/>
  <c r="U5453" i="5"/>
  <c r="V5453" i="5" s="1"/>
  <c r="O5452" i="5"/>
  <c r="U5452" i="5"/>
  <c r="V5452" i="5" s="1"/>
  <c r="P5451" i="5"/>
  <c r="N5451" i="5"/>
  <c r="O5449" i="5"/>
  <c r="U5449" i="5"/>
  <c r="V5449" i="5" s="1"/>
  <c r="O5445" i="5"/>
  <c r="U5445" i="5"/>
  <c r="V5445" i="5" s="1"/>
  <c r="O5442" i="5"/>
  <c r="U5442" i="5"/>
  <c r="V5442" i="5" s="1"/>
  <c r="O5440" i="5"/>
  <c r="U5440" i="5"/>
  <c r="V5440" i="5" s="1"/>
  <c r="P5438" i="5"/>
  <c r="N5438" i="5"/>
  <c r="O5441" i="5"/>
  <c r="U5441" i="5"/>
  <c r="V5441" i="5" s="1"/>
  <c r="O5439" i="5"/>
  <c r="U5439" i="5"/>
  <c r="V5439" i="5" s="1"/>
  <c r="U5435" i="5"/>
  <c r="V5435" i="5" s="1"/>
  <c r="O5435" i="5"/>
  <c r="O5437" i="5"/>
  <c r="U5437" i="5"/>
  <c r="V5437" i="5" s="1"/>
  <c r="O5436" i="5"/>
  <c r="U5436" i="5"/>
  <c r="V5436" i="5" s="1"/>
  <c r="P5433" i="5"/>
  <c r="N5433" i="5"/>
  <c r="U5285" i="5"/>
  <c r="V5285" i="5" s="1"/>
  <c r="U5416" i="5"/>
  <c r="V5416" i="5" s="1"/>
  <c r="O5429" i="5"/>
  <c r="U5429" i="5"/>
  <c r="V5429" i="5" s="1"/>
  <c r="O5427" i="5"/>
  <c r="U5427" i="5"/>
  <c r="V5427" i="5" s="1"/>
  <c r="O5426" i="5"/>
  <c r="U5426" i="5"/>
  <c r="V5426" i="5" s="1"/>
  <c r="O5425" i="5"/>
  <c r="U5425" i="5"/>
  <c r="V5425" i="5" s="1"/>
  <c r="O5424" i="5"/>
  <c r="U5424" i="5"/>
  <c r="V5424" i="5" s="1"/>
  <c r="O5423" i="5"/>
  <c r="U5423" i="5"/>
  <c r="V5423" i="5" s="1"/>
  <c r="O5419" i="5"/>
  <c r="U5419" i="5"/>
  <c r="V5419" i="5" s="1"/>
  <c r="O5420" i="5"/>
  <c r="U5420" i="5"/>
  <c r="V5420" i="5" s="1"/>
  <c r="O5421" i="5"/>
  <c r="U5421" i="5"/>
  <c r="V5421" i="5" s="1"/>
  <c r="P5417" i="5"/>
  <c r="N5417" i="5"/>
  <c r="N5414" i="5"/>
  <c r="P5414" i="5"/>
  <c r="O5418" i="5"/>
  <c r="U5418" i="5"/>
  <c r="V5418" i="5" s="1"/>
  <c r="O5413" i="5"/>
  <c r="U5413" i="5"/>
  <c r="V5413" i="5" s="1"/>
  <c r="O5408" i="5"/>
  <c r="U5408" i="5"/>
  <c r="V5408" i="5" s="1"/>
  <c r="N5410" i="5"/>
  <c r="P5410" i="5"/>
  <c r="O5409" i="5"/>
  <c r="U5409" i="5"/>
  <c r="V5409" i="5" s="1"/>
  <c r="O5407" i="5"/>
  <c r="U5407" i="5"/>
  <c r="V5407" i="5" s="1"/>
  <c r="O5404" i="5"/>
  <c r="U5404" i="5"/>
  <c r="V5404" i="5" s="1"/>
  <c r="O5403" i="5"/>
  <c r="U5403" i="5"/>
  <c r="V5403" i="5" s="1"/>
  <c r="O5400" i="5"/>
  <c r="U5400" i="5"/>
  <c r="V5400" i="5" s="1"/>
  <c r="O5392" i="5"/>
  <c r="U5392" i="5"/>
  <c r="V5392" i="5" s="1"/>
  <c r="O5401" i="5"/>
  <c r="U5401" i="5"/>
  <c r="V5401" i="5" s="1"/>
  <c r="O5298" i="5"/>
  <c r="O5398" i="5"/>
  <c r="U5398" i="5"/>
  <c r="V5398" i="5" s="1"/>
  <c r="O5394" i="5"/>
  <c r="U5394" i="5"/>
  <c r="V5394" i="5" s="1"/>
  <c r="O5391" i="5"/>
  <c r="U5391" i="5"/>
  <c r="V5391" i="5" s="1"/>
  <c r="U5359" i="5"/>
  <c r="V5359" i="5" s="1"/>
  <c r="O5388" i="5"/>
  <c r="U5388" i="5"/>
  <c r="V5388" i="5" s="1"/>
  <c r="O5248" i="5"/>
  <c r="U5260" i="5"/>
  <c r="V5260" i="5" s="1"/>
  <c r="O5387" i="5"/>
  <c r="U5387" i="5"/>
  <c r="V5387" i="5" s="1"/>
  <c r="U5315" i="5"/>
  <c r="V5315" i="5" s="1"/>
  <c r="O5384" i="5"/>
  <c r="U5384" i="5"/>
  <c r="V5384" i="5" s="1"/>
  <c r="O5383" i="5"/>
  <c r="U5383" i="5"/>
  <c r="V5383" i="5" s="1"/>
  <c r="O5381" i="5"/>
  <c r="U5381" i="5"/>
  <c r="V5381" i="5" s="1"/>
  <c r="O5380" i="5"/>
  <c r="U5380" i="5"/>
  <c r="V5380" i="5" s="1"/>
  <c r="O5242" i="5"/>
  <c r="O5378" i="5"/>
  <c r="U5378" i="5"/>
  <c r="V5378" i="5" s="1"/>
  <c r="U5179" i="5"/>
  <c r="V5179" i="5" s="1"/>
  <c r="U5371" i="5"/>
  <c r="V5371" i="5" s="1"/>
  <c r="O5285" i="5"/>
  <c r="O5377" i="5"/>
  <c r="U5377" i="5"/>
  <c r="V5377" i="5" s="1"/>
  <c r="O5372" i="5"/>
  <c r="U5372" i="5"/>
  <c r="V5372" i="5" s="1"/>
  <c r="N5310" i="5"/>
  <c r="O5310" i="5" s="1"/>
  <c r="U5265" i="5"/>
  <c r="V5265" i="5" s="1"/>
  <c r="O5376" i="5"/>
  <c r="U5376" i="5"/>
  <c r="V5376" i="5" s="1"/>
  <c r="P5302" i="5"/>
  <c r="O5302" i="5" s="1"/>
  <c r="O5374" i="5"/>
  <c r="U5374" i="5"/>
  <c r="V5374" i="5" s="1"/>
  <c r="O5344" i="5"/>
  <c r="O5339" i="5"/>
  <c r="O5348" i="5"/>
  <c r="O5368" i="5"/>
  <c r="U5368" i="5"/>
  <c r="V5368" i="5" s="1"/>
  <c r="U5288" i="5"/>
  <c r="V5288" i="5" s="1"/>
  <c r="O5287" i="5"/>
  <c r="U5324" i="5"/>
  <c r="V5324" i="5" s="1"/>
  <c r="O5365" i="5"/>
  <c r="U5365" i="5"/>
  <c r="V5365" i="5" s="1"/>
  <c r="O5366" i="5"/>
  <c r="U5366" i="5"/>
  <c r="V5366" i="5" s="1"/>
  <c r="O5308" i="5"/>
  <c r="O5343" i="5"/>
  <c r="T40" i="17"/>
  <c r="U5316" i="5"/>
  <c r="V5316" i="5" s="1"/>
  <c r="U5325" i="5"/>
  <c r="V5325" i="5" s="1"/>
  <c r="N5246" i="5"/>
  <c r="O5246" i="5" s="1"/>
  <c r="U5330" i="5"/>
  <c r="V5330" i="5" s="1"/>
  <c r="U5329" i="5"/>
  <c r="V5329" i="5" s="1"/>
  <c r="U5335" i="5"/>
  <c r="V5335" i="5" s="1"/>
  <c r="U5323" i="5"/>
  <c r="V5323" i="5" s="1"/>
  <c r="O5243" i="5"/>
  <c r="U5286" i="5"/>
  <c r="V5286" i="5" s="1"/>
  <c r="U5280" i="5"/>
  <c r="V5280" i="5" s="1"/>
  <c r="O5306" i="5"/>
  <c r="O5362" i="5"/>
  <c r="O5354" i="5"/>
  <c r="U5354" i="5"/>
  <c r="V5354" i="5" s="1"/>
  <c r="U5360" i="5"/>
  <c r="V5360" i="5" s="1"/>
  <c r="O5360" i="5"/>
  <c r="N5361" i="5"/>
  <c r="O5361" i="5" s="1"/>
  <c r="U5339" i="5"/>
  <c r="V5339" i="5" s="1"/>
  <c r="O5333" i="5"/>
  <c r="U5333" i="5"/>
  <c r="V5333" i="5" s="1"/>
  <c r="O5314" i="5"/>
  <c r="U5314" i="5"/>
  <c r="V5314" i="5" s="1"/>
  <c r="U5291" i="5"/>
  <c r="V5291" i="5" s="1"/>
  <c r="N5247" i="5"/>
  <c r="U5247" i="5" s="1"/>
  <c r="V5247" i="5" s="1"/>
  <c r="N5218" i="5"/>
  <c r="O5218" i="5" s="1"/>
  <c r="N5336" i="5"/>
  <c r="O5336" i="5" s="1"/>
  <c r="O5350" i="5"/>
  <c r="U5350" i="5"/>
  <c r="V5350" i="5" s="1"/>
  <c r="O5318" i="5"/>
  <c r="U5318" i="5"/>
  <c r="V5318" i="5" s="1"/>
  <c r="O5284" i="5"/>
  <c r="U5284" i="5"/>
  <c r="V5284" i="5" s="1"/>
  <c r="O5262" i="5"/>
  <c r="U5262" i="5"/>
  <c r="V5262" i="5" s="1"/>
  <c r="O5327" i="5"/>
  <c r="U5327" i="5"/>
  <c r="V5327" i="5" s="1"/>
  <c r="O5331" i="5"/>
  <c r="U5331" i="5"/>
  <c r="V5331" i="5" s="1"/>
  <c r="O5353" i="5"/>
  <c r="U5353" i="5"/>
  <c r="V5353" i="5" s="1"/>
  <c r="O5313" i="5"/>
  <c r="U5313" i="5"/>
  <c r="V5313" i="5" s="1"/>
  <c r="O5293" i="5"/>
  <c r="U5293" i="5"/>
  <c r="V5293" i="5" s="1"/>
  <c r="O5300" i="5"/>
  <c r="U5300" i="5"/>
  <c r="V5300" i="5" s="1"/>
  <c r="U5357" i="5"/>
  <c r="V5357" i="5" s="1"/>
  <c r="O5357" i="5"/>
  <c r="O5294" i="5"/>
  <c r="U5294" i="5"/>
  <c r="V5294" i="5" s="1"/>
  <c r="O5256" i="5"/>
  <c r="U5256" i="5"/>
  <c r="V5256" i="5" s="1"/>
  <c r="O5340" i="5"/>
  <c r="U5340" i="5"/>
  <c r="V5340" i="5" s="1"/>
  <c r="O5304" i="5"/>
  <c r="U5304" i="5"/>
  <c r="V5304" i="5" s="1"/>
  <c r="O5254" i="5"/>
  <c r="U5254" i="5"/>
  <c r="V5254" i="5" s="1"/>
  <c r="O5282" i="5"/>
  <c r="U5282" i="5"/>
  <c r="V5282" i="5" s="1"/>
  <c r="O5292" i="5"/>
  <c r="U5292" i="5"/>
  <c r="V5292" i="5" s="1"/>
  <c r="O5251" i="5"/>
  <c r="U5251" i="5"/>
  <c r="V5251" i="5" s="1"/>
  <c r="O5281" i="5"/>
  <c r="U5281" i="5"/>
  <c r="V5281" i="5" s="1"/>
  <c r="N5322" i="5"/>
  <c r="P5322" i="5"/>
  <c r="O5233" i="5"/>
  <c r="U5233" i="5"/>
  <c r="V5233" i="5" s="1"/>
  <c r="O5277" i="5"/>
  <c r="U5277" i="5"/>
  <c r="V5277" i="5" s="1"/>
  <c r="O5236" i="5"/>
  <c r="U5236" i="5"/>
  <c r="V5236" i="5" s="1"/>
  <c r="O5240" i="5"/>
  <c r="U5240" i="5"/>
  <c r="V5240" i="5" s="1"/>
  <c r="O5311" i="5"/>
  <c r="U5311" i="5"/>
  <c r="V5311" i="5" s="1"/>
  <c r="O5253" i="5"/>
  <c r="U5253" i="5"/>
  <c r="V5253" i="5" s="1"/>
  <c r="O5312" i="5"/>
  <c r="U5312" i="5"/>
  <c r="V5312" i="5" s="1"/>
  <c r="O5341" i="5"/>
  <c r="U5341" i="5"/>
  <c r="V5341" i="5" s="1"/>
  <c r="O5347" i="5"/>
  <c r="U5347" i="5"/>
  <c r="V5347" i="5" s="1"/>
  <c r="O5299" i="5"/>
  <c r="U5299" i="5"/>
  <c r="V5299" i="5" s="1"/>
  <c r="O5351" i="5"/>
  <c r="U5351" i="5"/>
  <c r="V5351" i="5" s="1"/>
  <c r="O5238" i="5"/>
  <c r="U5238" i="5"/>
  <c r="V5238" i="5" s="1"/>
  <c r="O5271" i="5"/>
  <c r="U5271" i="5"/>
  <c r="V5271" i="5" s="1"/>
  <c r="O5303" i="5"/>
  <c r="U5303" i="5"/>
  <c r="V5303" i="5" s="1"/>
  <c r="O5334" i="5"/>
  <c r="U5334" i="5"/>
  <c r="V5334" i="5" s="1"/>
  <c r="O5273" i="5"/>
  <c r="U5273" i="5"/>
  <c r="V5273" i="5" s="1"/>
  <c r="O5274" i="5"/>
  <c r="U5274" i="5"/>
  <c r="V5274" i="5" s="1"/>
  <c r="O5301" i="5"/>
  <c r="U5301" i="5"/>
  <c r="V5301" i="5" s="1"/>
  <c r="O5232" i="5"/>
  <c r="U5232" i="5"/>
  <c r="V5232" i="5" s="1"/>
  <c r="O5337" i="5"/>
  <c r="U5337" i="5"/>
  <c r="V5337" i="5" s="1"/>
  <c r="U5275" i="5"/>
  <c r="V5275" i="5" s="1"/>
  <c r="O5275" i="5"/>
  <c r="O5307" i="5"/>
  <c r="U5307" i="5"/>
  <c r="V5307" i="5" s="1"/>
  <c r="O5231" i="5"/>
  <c r="U5231" i="5"/>
  <c r="V5231" i="5" s="1"/>
  <c r="O5268" i="5"/>
  <c r="U5268" i="5"/>
  <c r="V5268" i="5" s="1"/>
  <c r="O5241" i="5"/>
  <c r="U5241" i="5"/>
  <c r="V5241" i="5" s="1"/>
  <c r="O5255" i="5"/>
  <c r="U5255" i="5"/>
  <c r="V5255" i="5" s="1"/>
  <c r="O5259" i="5"/>
  <c r="U5259" i="5"/>
  <c r="V5259" i="5" s="1"/>
  <c r="O5234" i="5"/>
  <c r="U5234" i="5"/>
  <c r="V5234" i="5" s="1"/>
  <c r="O5332" i="5"/>
  <c r="U5332" i="5"/>
  <c r="V5332" i="5" s="1"/>
  <c r="O5295" i="5"/>
  <c r="U5295" i="5"/>
  <c r="V5295" i="5" s="1"/>
  <c r="O5328" i="5"/>
  <c r="U5328" i="5"/>
  <c r="V5328" i="5" s="1"/>
  <c r="O5270" i="5"/>
  <c r="U5270" i="5"/>
  <c r="V5270" i="5" s="1"/>
  <c r="O5266" i="5"/>
  <c r="U5266" i="5"/>
  <c r="V5266" i="5" s="1"/>
  <c r="U5267" i="5"/>
  <c r="V5267" i="5" s="1"/>
  <c r="O5267" i="5"/>
  <c r="O5349" i="5"/>
  <c r="U5349" i="5"/>
  <c r="V5349" i="5" s="1"/>
  <c r="O5237" i="5"/>
  <c r="U5237" i="5"/>
  <c r="V5237" i="5" s="1"/>
  <c r="O5317" i="5"/>
  <c r="U5317" i="5"/>
  <c r="V5317" i="5" s="1"/>
  <c r="O5261" i="5"/>
  <c r="U5261" i="5"/>
  <c r="V5261" i="5" s="1"/>
  <c r="U5226" i="5"/>
  <c r="V5226" i="5" s="1"/>
  <c r="O5228" i="5"/>
  <c r="U5228" i="5"/>
  <c r="V5228" i="5" s="1"/>
  <c r="O5227" i="5"/>
  <c r="U5227" i="5"/>
  <c r="V5227" i="5" s="1"/>
  <c r="O5225" i="5"/>
  <c r="U5225" i="5"/>
  <c r="V5225" i="5" s="1"/>
  <c r="U5217" i="5"/>
  <c r="V5217" i="5" s="1"/>
  <c r="O5213" i="5"/>
  <c r="O5223" i="5"/>
  <c r="U5223" i="5"/>
  <c r="V5223" i="5" s="1"/>
  <c r="O5224" i="5"/>
  <c r="U5224" i="5"/>
  <c r="V5224" i="5" s="1"/>
  <c r="O5220" i="5"/>
  <c r="U5220" i="5"/>
  <c r="V5220" i="5" s="1"/>
  <c r="O5219" i="5"/>
  <c r="U5219" i="5"/>
  <c r="V5219" i="5" s="1"/>
  <c r="O5215" i="5"/>
  <c r="U5215" i="5"/>
  <c r="V5215" i="5" s="1"/>
  <c r="O5214" i="5"/>
  <c r="U5214" i="5"/>
  <c r="V5214" i="5" s="1"/>
  <c r="U5203" i="5"/>
  <c r="V5203" i="5" s="1"/>
  <c r="O5211" i="5"/>
  <c r="U5211" i="5"/>
  <c r="V5211" i="5" s="1"/>
  <c r="O5210" i="5"/>
  <c r="U5210" i="5"/>
  <c r="V5210" i="5" s="1"/>
  <c r="O5208" i="5"/>
  <c r="U5208" i="5"/>
  <c r="V5208" i="5" s="1"/>
  <c r="O5207" i="5"/>
  <c r="U5207" i="5"/>
  <c r="V5207" i="5" s="1"/>
  <c r="P5195" i="5"/>
  <c r="U5195" i="5" s="1"/>
  <c r="V5195" i="5" s="1"/>
  <c r="O5201" i="5"/>
  <c r="O5204" i="5"/>
  <c r="U5204" i="5"/>
  <c r="V5204" i="5" s="1"/>
  <c r="U5199" i="5"/>
  <c r="V5199" i="5" s="1"/>
  <c r="P5202" i="5"/>
  <c r="N5202" i="5"/>
  <c r="U5201" i="5"/>
  <c r="V5201" i="5" s="1"/>
  <c r="U5188" i="5"/>
  <c r="V5188" i="5" s="1"/>
  <c r="O5200" i="5"/>
  <c r="U5200" i="5"/>
  <c r="V5200" i="5" s="1"/>
  <c r="O5197" i="5"/>
  <c r="U5197" i="5"/>
  <c r="V5197" i="5" s="1"/>
  <c r="U5173" i="5"/>
  <c r="V5173" i="5" s="1"/>
  <c r="O5198" i="5"/>
  <c r="U5198" i="5"/>
  <c r="V5198" i="5" s="1"/>
  <c r="O5196" i="5"/>
  <c r="U5196" i="5"/>
  <c r="V5196" i="5" s="1"/>
  <c r="O5191" i="5"/>
  <c r="U5191" i="5"/>
  <c r="V5191" i="5" s="1"/>
  <c r="O4915" i="5"/>
  <c r="O5187" i="5"/>
  <c r="U5187" i="5"/>
  <c r="V5187" i="5" s="1"/>
  <c r="O5185" i="5"/>
  <c r="U5185" i="5"/>
  <c r="V5185" i="5" s="1"/>
  <c r="O5186" i="5"/>
  <c r="U5186" i="5"/>
  <c r="V5186" i="5" s="1"/>
  <c r="O5184" i="5"/>
  <c r="U5184" i="5"/>
  <c r="V5184" i="5" s="1"/>
  <c r="O5181" i="5"/>
  <c r="U5181" i="5"/>
  <c r="V5181" i="5" s="1"/>
  <c r="O5183" i="5"/>
  <c r="U5183" i="5"/>
  <c r="V5183" i="5" s="1"/>
  <c r="O5178" i="5"/>
  <c r="U5178" i="5"/>
  <c r="V5178" i="5" s="1"/>
  <c r="O5174" i="5"/>
  <c r="U5174" i="5"/>
  <c r="V5174" i="5" s="1"/>
  <c r="O5176" i="5"/>
  <c r="U5176" i="5"/>
  <c r="V5176" i="5" s="1"/>
  <c r="O5180" i="5"/>
  <c r="U5180" i="5"/>
  <c r="V5180" i="5" s="1"/>
  <c r="U4842" i="5"/>
  <c r="V4842" i="5" s="1"/>
  <c r="U5127" i="5"/>
  <c r="V5127" i="5" s="1"/>
  <c r="U5056" i="5"/>
  <c r="V5056" i="5" s="1"/>
  <c r="BA52" i="12"/>
  <c r="CA52" i="12"/>
  <c r="T38" i="17"/>
  <c r="BA51" i="12"/>
  <c r="CA51" i="12"/>
  <c r="O5122" i="5"/>
  <c r="U5055" i="5"/>
  <c r="V5055" i="5" s="1"/>
  <c r="U5126" i="5"/>
  <c r="V5126" i="5" s="1"/>
  <c r="U5054" i="5"/>
  <c r="V5054" i="5" s="1"/>
  <c r="O5054" i="5"/>
  <c r="O5126" i="5"/>
  <c r="O5124" i="5"/>
  <c r="U5124" i="5"/>
  <c r="V5124" i="5" s="1"/>
  <c r="U4782" i="5"/>
  <c r="V4782" i="5" s="1"/>
  <c r="P5145" i="5"/>
  <c r="O5145" i="5" s="1"/>
  <c r="O5171" i="5"/>
  <c r="U5171" i="5"/>
  <c r="V5171" i="5" s="1"/>
  <c r="N5168" i="5"/>
  <c r="P5168" i="5"/>
  <c r="O5169" i="5"/>
  <c r="U5169" i="5"/>
  <c r="V5169" i="5" s="1"/>
  <c r="O5166" i="5"/>
  <c r="U5166" i="5"/>
  <c r="V5166" i="5" s="1"/>
  <c r="U5156" i="5"/>
  <c r="V5156" i="5" s="1"/>
  <c r="O5165" i="5"/>
  <c r="U5165" i="5"/>
  <c r="V5165" i="5" s="1"/>
  <c r="U5154" i="5"/>
  <c r="V5154" i="5" s="1"/>
  <c r="O5161" i="5"/>
  <c r="U5161" i="5"/>
  <c r="V5161" i="5" s="1"/>
  <c r="U5143" i="5"/>
  <c r="V5143" i="5" s="1"/>
  <c r="U5151" i="5"/>
  <c r="V5151" i="5" s="1"/>
  <c r="O5159" i="5"/>
  <c r="U5159" i="5"/>
  <c r="V5159" i="5" s="1"/>
  <c r="O5158" i="5"/>
  <c r="U5158" i="5"/>
  <c r="V5158" i="5" s="1"/>
  <c r="O5160" i="5"/>
  <c r="U5160" i="5"/>
  <c r="V5160" i="5" s="1"/>
  <c r="O5152" i="5"/>
  <c r="U5152" i="5"/>
  <c r="V5152" i="5" s="1"/>
  <c r="U5141" i="5"/>
  <c r="V5141" i="5" s="1"/>
  <c r="O5148" i="5"/>
  <c r="U5148" i="5"/>
  <c r="V5148" i="5" s="1"/>
  <c r="O5146" i="5"/>
  <c r="U5146" i="5"/>
  <c r="V5146" i="5" s="1"/>
  <c r="O5142" i="5"/>
  <c r="O5137" i="5"/>
  <c r="O5135" i="5"/>
  <c r="U5135" i="5"/>
  <c r="V5135" i="5" s="1"/>
  <c r="O5136" i="5"/>
  <c r="U5136" i="5"/>
  <c r="V5136" i="5" s="1"/>
  <c r="O5134" i="5"/>
  <c r="U5134" i="5"/>
  <c r="V5134" i="5" s="1"/>
  <c r="O5132" i="5"/>
  <c r="U5132" i="5"/>
  <c r="V5132" i="5" s="1"/>
  <c r="O5133" i="5"/>
  <c r="U5133" i="5"/>
  <c r="V5133" i="5" s="1"/>
  <c r="O5129" i="5"/>
  <c r="U5129" i="5"/>
  <c r="V5129" i="5" s="1"/>
  <c r="O5130" i="5"/>
  <c r="U5130" i="5"/>
  <c r="V5130" i="5" s="1"/>
  <c r="O5120" i="5"/>
  <c r="U5120" i="5"/>
  <c r="V5120" i="5" s="1"/>
  <c r="U5108" i="5"/>
  <c r="V5108" i="5" s="1"/>
  <c r="U5116" i="5"/>
  <c r="V5116" i="5" s="1"/>
  <c r="O5114" i="5"/>
  <c r="U5114" i="5"/>
  <c r="V5114" i="5" s="1"/>
  <c r="O5112" i="5"/>
  <c r="U5112" i="5"/>
  <c r="V5112" i="5" s="1"/>
  <c r="O5095" i="5"/>
  <c r="P5110" i="5"/>
  <c r="N5110" i="5"/>
  <c r="O5109" i="5"/>
  <c r="U5109" i="5"/>
  <c r="V5109" i="5" s="1"/>
  <c r="O5106" i="5"/>
  <c r="U5106" i="5"/>
  <c r="V5106" i="5" s="1"/>
  <c r="O5107" i="5"/>
  <c r="U5107" i="5"/>
  <c r="V5107" i="5" s="1"/>
  <c r="O5103" i="5"/>
  <c r="U5103" i="5"/>
  <c r="V5103" i="5" s="1"/>
  <c r="O5099" i="5"/>
  <c r="U5099" i="5"/>
  <c r="V5099" i="5" s="1"/>
  <c r="N5085" i="5"/>
  <c r="O5085" i="5" s="1"/>
  <c r="O5098" i="5"/>
  <c r="U5098" i="5"/>
  <c r="V5098" i="5" s="1"/>
  <c r="O5100" i="5"/>
  <c r="U5100" i="5"/>
  <c r="V5100" i="5" s="1"/>
  <c r="P5096" i="5"/>
  <c r="N5096" i="5"/>
  <c r="U5090" i="5"/>
  <c r="V5090" i="5" s="1"/>
  <c r="O5094" i="5"/>
  <c r="U5094" i="5"/>
  <c r="V5094" i="5" s="1"/>
  <c r="N5093" i="5"/>
  <c r="P5093" i="5"/>
  <c r="O5088" i="5"/>
  <c r="U5088" i="5"/>
  <c r="V5088" i="5" s="1"/>
  <c r="O5089" i="5"/>
  <c r="U5089" i="5"/>
  <c r="V5089" i="5" s="1"/>
  <c r="O5071" i="5"/>
  <c r="O5084" i="5"/>
  <c r="U5084" i="5"/>
  <c r="V5084" i="5" s="1"/>
  <c r="O5075" i="5"/>
  <c r="U5075" i="5"/>
  <c r="V5075" i="5" s="1"/>
  <c r="O5078" i="5"/>
  <c r="U5078" i="5"/>
  <c r="V5078" i="5" s="1"/>
  <c r="O5079" i="5"/>
  <c r="U5079" i="5"/>
  <c r="V5079" i="5" s="1"/>
  <c r="P5076" i="5"/>
  <c r="N5076" i="5"/>
  <c r="P5072" i="5"/>
  <c r="N5072" i="5"/>
  <c r="U5062" i="5"/>
  <c r="V5062" i="5" s="1"/>
  <c r="N5073" i="5"/>
  <c r="P5073" i="5"/>
  <c r="P5069" i="5"/>
  <c r="N5069" i="5"/>
  <c r="O5035" i="5"/>
  <c r="P5067" i="5"/>
  <c r="N5067" i="5"/>
  <c r="O5063" i="5"/>
  <c r="U5063" i="5"/>
  <c r="V5063" i="5" s="1"/>
  <c r="O5060" i="5"/>
  <c r="U5060" i="5"/>
  <c r="V5060" i="5" s="1"/>
  <c r="O5059" i="5"/>
  <c r="U5059" i="5"/>
  <c r="V5059" i="5" s="1"/>
  <c r="P5049" i="5"/>
  <c r="N5049" i="5"/>
  <c r="O5046" i="5"/>
  <c r="U5046" i="5"/>
  <c r="V5046" i="5" s="1"/>
  <c r="U5039" i="5"/>
  <c r="V5039" i="5" s="1"/>
  <c r="O5044" i="5"/>
  <c r="U5044" i="5"/>
  <c r="V5044" i="5" s="1"/>
  <c r="O5034" i="5"/>
  <c r="O5042" i="5"/>
  <c r="U5042" i="5"/>
  <c r="V5042" i="5" s="1"/>
  <c r="O5043" i="5"/>
  <c r="U5043" i="5"/>
  <c r="V5043" i="5" s="1"/>
  <c r="O5038" i="5"/>
  <c r="U5038" i="5"/>
  <c r="V5038" i="5" s="1"/>
  <c r="O5029" i="5"/>
  <c r="U5029" i="5"/>
  <c r="V5029" i="5" s="1"/>
  <c r="P5032" i="5"/>
  <c r="N5032" i="5"/>
  <c r="U5023" i="5"/>
  <c r="V5023" i="5" s="1"/>
  <c r="O5018" i="5"/>
  <c r="O5022" i="5"/>
  <c r="U5022" i="5"/>
  <c r="V5022" i="5" s="1"/>
  <c r="O5021" i="5"/>
  <c r="U5021" i="5"/>
  <c r="V5021" i="5" s="1"/>
  <c r="N5012" i="5"/>
  <c r="O5016" i="5"/>
  <c r="U5016" i="5"/>
  <c r="V5016" i="5" s="1"/>
  <c r="U5006" i="5"/>
  <c r="V5006" i="5" s="1"/>
  <c r="O5008" i="5"/>
  <c r="U5008" i="5"/>
  <c r="V5008" i="5" s="1"/>
  <c r="U5002" i="5"/>
  <c r="V5002" i="5" s="1"/>
  <c r="O5007" i="5"/>
  <c r="U5007" i="5"/>
  <c r="V5007" i="5" s="1"/>
  <c r="O5009" i="5"/>
  <c r="U5009" i="5"/>
  <c r="V5009" i="5" s="1"/>
  <c r="U4989" i="5"/>
  <c r="V4989" i="5" s="1"/>
  <c r="P5004" i="5"/>
  <c r="N5004" i="5"/>
  <c r="P5003" i="5"/>
  <c r="N5003" i="5"/>
  <c r="U4995" i="5"/>
  <c r="V4995" i="5" s="1"/>
  <c r="U4991" i="5"/>
  <c r="V4991" i="5" s="1"/>
  <c r="O5000" i="5"/>
  <c r="U5000" i="5"/>
  <c r="V5000" i="5" s="1"/>
  <c r="U4990" i="5"/>
  <c r="V4990" i="5" s="1"/>
  <c r="O4998" i="5"/>
  <c r="U4998" i="5"/>
  <c r="V4998" i="5" s="1"/>
  <c r="O4994" i="5"/>
  <c r="U4994" i="5"/>
  <c r="V4994" i="5" s="1"/>
  <c r="O4993" i="5"/>
  <c r="U4993" i="5"/>
  <c r="V4993" i="5" s="1"/>
  <c r="O4988" i="5"/>
  <c r="O4981" i="5"/>
  <c r="P4982" i="5"/>
  <c r="U4982" i="5" s="1"/>
  <c r="V4982" i="5" s="1"/>
  <c r="N4986" i="5"/>
  <c r="P4986" i="5"/>
  <c r="N4969" i="5"/>
  <c r="O4969" i="5" s="1"/>
  <c r="O4983" i="5"/>
  <c r="U4983" i="5"/>
  <c r="V4983" i="5" s="1"/>
  <c r="O4977" i="5"/>
  <c r="U4977" i="5"/>
  <c r="V4977" i="5" s="1"/>
  <c r="U4962" i="5"/>
  <c r="V4962" i="5" s="1"/>
  <c r="O4976" i="5"/>
  <c r="U4976" i="5"/>
  <c r="V4976" i="5" s="1"/>
  <c r="O4975" i="5"/>
  <c r="U4975" i="5"/>
  <c r="V4975" i="5" s="1"/>
  <c r="U4963" i="5"/>
  <c r="V4963" i="5" s="1"/>
  <c r="O4961" i="5"/>
  <c r="P4967" i="5"/>
  <c r="N4967" i="5"/>
  <c r="O4966" i="5"/>
  <c r="U4966" i="5"/>
  <c r="V4966" i="5" s="1"/>
  <c r="U4961" i="5"/>
  <c r="V4961" i="5" s="1"/>
  <c r="U4955" i="5"/>
  <c r="V4955" i="5" s="1"/>
  <c r="O4960" i="5"/>
  <c r="U4960" i="5"/>
  <c r="V4960" i="5" s="1"/>
  <c r="O4957" i="5"/>
  <c r="U4957" i="5"/>
  <c r="V4957" i="5" s="1"/>
  <c r="O4958" i="5"/>
  <c r="U4958" i="5"/>
  <c r="V4958" i="5" s="1"/>
  <c r="U4940" i="5"/>
  <c r="V4940" i="5" s="1"/>
  <c r="P4953" i="5"/>
  <c r="N4953" i="5"/>
  <c r="O4952" i="5"/>
  <c r="U4952" i="5"/>
  <c r="V4952" i="5" s="1"/>
  <c r="U4944" i="5"/>
  <c r="V4944" i="5" s="1"/>
  <c r="O4938" i="5"/>
  <c r="O4944" i="5"/>
  <c r="O4949" i="5"/>
  <c r="U4949" i="5"/>
  <c r="V4949" i="5" s="1"/>
  <c r="O4945" i="5"/>
  <c r="U4945" i="5"/>
  <c r="V4945" i="5" s="1"/>
  <c r="P4942" i="5"/>
  <c r="N4942" i="5"/>
  <c r="O4935" i="5"/>
  <c r="U4929" i="5"/>
  <c r="V4929" i="5" s="1"/>
  <c r="P4941" i="5"/>
  <c r="N4941" i="5"/>
  <c r="P4936" i="5"/>
  <c r="N4936" i="5"/>
  <c r="O4937" i="5"/>
  <c r="U4937" i="5"/>
  <c r="V4937" i="5" s="1"/>
  <c r="O4939" i="5"/>
  <c r="U4939" i="5"/>
  <c r="V4939" i="5" s="1"/>
  <c r="O4919" i="5"/>
  <c r="O4933" i="5"/>
  <c r="U4933" i="5"/>
  <c r="V4933" i="5" s="1"/>
  <c r="O4931" i="5"/>
  <c r="U4931" i="5"/>
  <c r="V4931" i="5" s="1"/>
  <c r="O4932" i="5"/>
  <c r="U4932" i="5"/>
  <c r="V4932" i="5" s="1"/>
  <c r="O4930" i="5"/>
  <c r="U4930" i="5"/>
  <c r="V4930" i="5" s="1"/>
  <c r="U4897" i="5"/>
  <c r="V4897" i="5" s="1"/>
  <c r="O4925" i="5"/>
  <c r="U4925" i="5"/>
  <c r="V4925" i="5" s="1"/>
  <c r="O4924" i="5"/>
  <c r="U4924" i="5"/>
  <c r="V4924" i="5" s="1"/>
  <c r="O4842" i="5"/>
  <c r="O4835" i="5"/>
  <c r="O4923" i="5"/>
  <c r="U4923" i="5"/>
  <c r="V4923" i="5" s="1"/>
  <c r="O4891" i="5"/>
  <c r="U4915" i="5"/>
  <c r="V4915" i="5" s="1"/>
  <c r="O4898" i="5"/>
  <c r="O4918" i="5"/>
  <c r="U4918" i="5"/>
  <c r="V4918" i="5" s="1"/>
  <c r="O4914" i="5"/>
  <c r="U4914" i="5"/>
  <c r="V4914" i="5" s="1"/>
  <c r="O4893" i="5"/>
  <c r="O4912" i="5"/>
  <c r="U4912" i="5"/>
  <c r="V4912" i="5" s="1"/>
  <c r="U4803" i="5"/>
  <c r="V4803" i="5" s="1"/>
  <c r="U4802" i="5"/>
  <c r="V4802" i="5" s="1"/>
  <c r="O4825" i="5"/>
  <c r="P4906" i="5"/>
  <c r="N4906" i="5"/>
  <c r="U4903" i="5"/>
  <c r="V4903" i="5" s="1"/>
  <c r="P4781" i="5"/>
  <c r="U4781" i="5" s="1"/>
  <c r="V4781" i="5" s="1"/>
  <c r="U4813" i="5"/>
  <c r="V4813" i="5" s="1"/>
  <c r="P4904" i="5"/>
  <c r="N4904" i="5"/>
  <c r="O4901" i="5"/>
  <c r="O4863" i="5"/>
  <c r="U4901" i="5"/>
  <c r="V4901" i="5" s="1"/>
  <c r="O4902" i="5"/>
  <c r="U4902" i="5"/>
  <c r="V4902" i="5" s="1"/>
  <c r="U4881" i="5"/>
  <c r="V4881" i="5" s="1"/>
  <c r="U4779" i="5"/>
  <c r="V4779" i="5" s="1"/>
  <c r="P4843" i="5"/>
  <c r="O4843" i="5" s="1"/>
  <c r="O4896" i="5"/>
  <c r="U4896" i="5"/>
  <c r="V4896" i="5" s="1"/>
  <c r="U4837" i="5"/>
  <c r="V4837" i="5" s="1"/>
  <c r="O4895" i="5"/>
  <c r="U4895" i="5"/>
  <c r="V4895" i="5" s="1"/>
  <c r="U4780" i="5"/>
  <c r="V4780" i="5" s="1"/>
  <c r="U4815" i="5"/>
  <c r="V4815" i="5" s="1"/>
  <c r="U4851" i="5"/>
  <c r="V4851" i="5" s="1"/>
  <c r="O4890" i="5"/>
  <c r="U4890" i="5"/>
  <c r="V4890" i="5" s="1"/>
  <c r="U4794" i="5"/>
  <c r="V4794" i="5" s="1"/>
  <c r="O4821" i="5"/>
  <c r="O4883" i="5"/>
  <c r="U4883" i="5"/>
  <c r="V4883" i="5" s="1"/>
  <c r="O4882" i="5"/>
  <c r="U4882" i="5"/>
  <c r="V4882" i="5" s="1"/>
  <c r="P4801" i="5"/>
  <c r="O4801" i="5" s="1"/>
  <c r="O4829" i="5"/>
  <c r="U4822" i="5"/>
  <c r="V4822" i="5" s="1"/>
  <c r="U4818" i="5"/>
  <c r="V4818" i="5" s="1"/>
  <c r="O4794" i="5"/>
  <c r="O4879" i="5"/>
  <c r="U4879" i="5"/>
  <c r="V4879" i="5" s="1"/>
  <c r="U4869" i="5"/>
  <c r="V4869" i="5" s="1"/>
  <c r="O4868" i="5"/>
  <c r="U4836" i="5"/>
  <c r="V4836" i="5" s="1"/>
  <c r="P4790" i="5"/>
  <c r="O4790" i="5" s="1"/>
  <c r="O4787" i="5"/>
  <c r="U4787" i="5"/>
  <c r="V4787" i="5" s="1"/>
  <c r="O4869" i="5"/>
  <c r="P4788" i="5"/>
  <c r="N4788" i="5"/>
  <c r="O4819" i="5"/>
  <c r="U4819" i="5"/>
  <c r="V4819" i="5" s="1"/>
  <c r="O4818" i="5"/>
  <c r="N4820" i="5"/>
  <c r="U4820" i="5" s="1"/>
  <c r="V4820" i="5" s="1"/>
  <c r="O4808" i="5"/>
  <c r="U4808" i="5"/>
  <c r="V4808" i="5" s="1"/>
  <c r="O4850" i="5"/>
  <c r="U4850" i="5"/>
  <c r="V4850" i="5" s="1"/>
  <c r="O4805" i="5"/>
  <c r="U4805" i="5"/>
  <c r="V4805" i="5" s="1"/>
  <c r="O4822" i="5"/>
  <c r="O4874" i="5"/>
  <c r="U4874" i="5"/>
  <c r="V4874" i="5" s="1"/>
  <c r="U4844" i="5"/>
  <c r="V4844" i="5" s="1"/>
  <c r="O4844" i="5"/>
  <c r="O4804" i="5"/>
  <c r="U4804" i="5"/>
  <c r="V4804" i="5" s="1"/>
  <c r="O4830" i="5"/>
  <c r="U4830" i="5"/>
  <c r="V4830" i="5" s="1"/>
  <c r="N4783" i="5"/>
  <c r="P4783" i="5"/>
  <c r="U4859" i="5"/>
  <c r="V4859" i="5" s="1"/>
  <c r="O4859" i="5"/>
  <c r="O4831" i="5"/>
  <c r="U4831" i="5"/>
  <c r="V4831" i="5" s="1"/>
  <c r="O4798" i="5"/>
  <c r="U4798" i="5"/>
  <c r="V4798" i="5" s="1"/>
  <c r="N4797" i="5"/>
  <c r="P4797" i="5"/>
  <c r="U4784" i="5"/>
  <c r="V4784" i="5" s="1"/>
  <c r="O4784" i="5"/>
  <c r="O4834" i="5"/>
  <c r="U4834" i="5"/>
  <c r="V4834" i="5" s="1"/>
  <c r="O4864" i="5"/>
  <c r="U4864" i="5"/>
  <c r="V4864" i="5" s="1"/>
  <c r="O4799" i="5"/>
  <c r="U4799" i="5"/>
  <c r="V4799" i="5" s="1"/>
  <c r="O4806" i="5"/>
  <c r="U4806" i="5"/>
  <c r="V4806" i="5" s="1"/>
  <c r="O4847" i="5"/>
  <c r="U4847" i="5"/>
  <c r="V4847" i="5" s="1"/>
  <c r="O4841" i="5"/>
  <c r="U4841" i="5"/>
  <c r="V4841" i="5" s="1"/>
  <c r="O4870" i="5"/>
  <c r="U4870" i="5"/>
  <c r="V4870" i="5" s="1"/>
  <c r="O4862" i="5"/>
  <c r="U4862" i="5"/>
  <c r="V4862" i="5" s="1"/>
  <c r="O4856" i="5"/>
  <c r="U4856" i="5"/>
  <c r="V4856" i="5" s="1"/>
  <c r="U4785" i="5"/>
  <c r="V4785" i="5" s="1"/>
  <c r="O4785" i="5"/>
  <c r="O4817" i="5"/>
  <c r="U4817" i="5"/>
  <c r="V4817" i="5" s="1"/>
  <c r="O4828" i="5"/>
  <c r="U4828" i="5"/>
  <c r="V4828" i="5" s="1"/>
  <c r="O4849" i="5"/>
  <c r="U4849" i="5"/>
  <c r="V4849" i="5" s="1"/>
  <c r="O4873" i="5"/>
  <c r="U4873" i="5"/>
  <c r="V4873" i="5" s="1"/>
  <c r="O4860" i="5"/>
  <c r="U4860" i="5"/>
  <c r="V4860" i="5" s="1"/>
  <c r="U4811" i="5"/>
  <c r="V4811" i="5" s="1"/>
  <c r="O4811" i="5"/>
  <c r="O4791" i="5"/>
  <c r="U4791" i="5"/>
  <c r="V4791" i="5" s="1"/>
  <c r="O4807" i="5"/>
  <c r="U4807" i="5"/>
  <c r="V4807" i="5" s="1"/>
  <c r="O4839" i="5"/>
  <c r="U4839" i="5"/>
  <c r="V4839" i="5" s="1"/>
  <c r="O4795" i="5"/>
  <c r="U4795" i="5"/>
  <c r="V4795" i="5" s="1"/>
  <c r="O4853" i="5"/>
  <c r="U4853" i="5"/>
  <c r="V4853" i="5" s="1"/>
  <c r="O4852" i="5"/>
  <c r="U4852" i="5"/>
  <c r="V4852" i="5" s="1"/>
  <c r="O4838" i="5"/>
  <c r="U4838" i="5"/>
  <c r="V4838" i="5" s="1"/>
  <c r="O4840" i="5"/>
  <c r="U4840" i="5"/>
  <c r="V4840" i="5" s="1"/>
  <c r="O4809" i="5"/>
  <c r="U4809" i="5"/>
  <c r="V4809" i="5" s="1"/>
  <c r="O4786" i="5"/>
  <c r="U4786" i="5"/>
  <c r="V4786" i="5" s="1"/>
  <c r="O4800" i="5"/>
  <c r="U4800" i="5"/>
  <c r="V4800" i="5" s="1"/>
  <c r="O4796" i="5"/>
  <c r="U4796" i="5"/>
  <c r="V4796" i="5" s="1"/>
  <c r="O4855" i="5"/>
  <c r="U4855" i="5"/>
  <c r="V4855" i="5" s="1"/>
  <c r="O4792" i="5"/>
  <c r="U4792" i="5"/>
  <c r="V4792" i="5" s="1"/>
  <c r="O4867" i="5"/>
  <c r="U4867" i="5"/>
  <c r="V4867" i="5" s="1"/>
  <c r="O4872" i="5"/>
  <c r="U4872" i="5"/>
  <c r="V4872" i="5" s="1"/>
  <c r="U4871" i="5"/>
  <c r="V4871" i="5" s="1"/>
  <c r="O4871" i="5"/>
  <c r="O4833" i="5"/>
  <c r="U4833" i="5"/>
  <c r="V4833" i="5" s="1"/>
  <c r="O4824" i="5"/>
  <c r="U4824" i="5"/>
  <c r="V4824" i="5" s="1"/>
  <c r="O4827" i="5"/>
  <c r="U4827" i="5"/>
  <c r="V4827" i="5" s="1"/>
  <c r="O4816" i="5"/>
  <c r="U4816" i="5"/>
  <c r="V4816" i="5" s="1"/>
  <c r="O4793" i="5"/>
  <c r="U4793" i="5"/>
  <c r="V4793" i="5" s="1"/>
  <c r="O4823" i="5"/>
  <c r="U4823" i="5"/>
  <c r="V4823" i="5" s="1"/>
  <c r="U4789" i="5"/>
  <c r="V4789" i="5" s="1"/>
  <c r="O4789" i="5"/>
  <c r="O4865" i="5"/>
  <c r="U4865" i="5"/>
  <c r="V4865" i="5" s="1"/>
  <c r="O4866" i="5"/>
  <c r="U4866" i="5"/>
  <c r="V4866" i="5" s="1"/>
  <c r="CW52" i="12" l="1"/>
  <c r="DX52" i="12" s="1"/>
  <c r="DY52" i="12" s="1"/>
  <c r="O5195" i="5"/>
  <c r="CW51" i="12"/>
  <c r="DX51" i="12" s="1"/>
  <c r="DY51" i="12" s="1"/>
  <c r="U5558" i="5"/>
  <c r="V5558" i="5" s="1"/>
  <c r="U5511" i="5"/>
  <c r="V5511" i="5" s="1"/>
  <c r="O5556" i="5"/>
  <c r="U5556" i="5"/>
  <c r="V5556" i="5" s="1"/>
  <c r="O5553" i="5"/>
  <c r="U5553" i="5"/>
  <c r="V5553" i="5" s="1"/>
  <c r="U5513" i="5"/>
  <c r="V5513" i="5" s="1"/>
  <c r="O5546" i="5"/>
  <c r="U5546" i="5"/>
  <c r="V5546" i="5" s="1"/>
  <c r="O5547" i="5"/>
  <c r="U5547" i="5"/>
  <c r="V5547" i="5" s="1"/>
  <c r="O5541" i="5"/>
  <c r="U5541" i="5"/>
  <c r="V5541" i="5" s="1"/>
  <c r="O5538" i="5"/>
  <c r="U5538" i="5"/>
  <c r="V5538" i="5" s="1"/>
  <c r="U5515" i="5"/>
  <c r="V5515" i="5" s="1"/>
  <c r="O5517" i="5"/>
  <c r="O5527" i="5"/>
  <c r="U5527" i="5"/>
  <c r="V5527" i="5" s="1"/>
  <c r="U5487" i="5"/>
  <c r="V5487" i="5" s="1"/>
  <c r="U5486" i="5"/>
  <c r="V5486" i="5" s="1"/>
  <c r="O5496" i="5"/>
  <c r="U5496" i="5"/>
  <c r="V5496" i="5" s="1"/>
  <c r="O5451" i="5"/>
  <c r="U5451" i="5"/>
  <c r="V5451" i="5" s="1"/>
  <c r="O5438" i="5"/>
  <c r="U5438" i="5"/>
  <c r="V5438" i="5" s="1"/>
  <c r="O5433" i="5"/>
  <c r="U5433" i="5"/>
  <c r="V5433" i="5" s="1"/>
  <c r="O5414" i="5"/>
  <c r="U5414" i="5"/>
  <c r="V5414" i="5" s="1"/>
  <c r="O5417" i="5"/>
  <c r="U5417" i="5"/>
  <c r="V5417" i="5" s="1"/>
  <c r="O5410" i="5"/>
  <c r="U5410" i="5"/>
  <c r="V5410" i="5" s="1"/>
  <c r="U5361" i="5"/>
  <c r="V5361" i="5" s="1"/>
  <c r="O5247" i="5"/>
  <c r="U5302" i="5"/>
  <c r="V5302" i="5" s="1"/>
  <c r="U5310" i="5"/>
  <c r="V5310" i="5" s="1"/>
  <c r="U5246" i="5"/>
  <c r="V5246" i="5" s="1"/>
  <c r="U5336" i="5"/>
  <c r="V5336" i="5" s="1"/>
  <c r="U5218" i="5"/>
  <c r="V5218" i="5" s="1"/>
  <c r="U5322" i="5"/>
  <c r="V5322" i="5" s="1"/>
  <c r="O5322" i="5"/>
  <c r="O5202" i="5"/>
  <c r="U5202" i="5"/>
  <c r="V5202" i="5" s="1"/>
  <c r="U5145" i="5"/>
  <c r="V5145" i="5" s="1"/>
  <c r="O5168" i="5"/>
  <c r="U5168" i="5"/>
  <c r="V5168" i="5" s="1"/>
  <c r="U5085" i="5"/>
  <c r="V5085" i="5" s="1"/>
  <c r="O5110" i="5"/>
  <c r="U5110" i="5"/>
  <c r="V5110" i="5" s="1"/>
  <c r="O5096" i="5"/>
  <c r="U5096" i="5"/>
  <c r="V5096" i="5" s="1"/>
  <c r="O5093" i="5"/>
  <c r="U5093" i="5"/>
  <c r="V5093" i="5" s="1"/>
  <c r="O5073" i="5"/>
  <c r="U5073" i="5"/>
  <c r="V5073" i="5" s="1"/>
  <c r="U5072" i="5"/>
  <c r="V5072" i="5" s="1"/>
  <c r="O5072" i="5"/>
  <c r="O5076" i="5"/>
  <c r="U5076" i="5"/>
  <c r="V5076" i="5" s="1"/>
  <c r="O5069" i="5"/>
  <c r="U5069" i="5"/>
  <c r="V5069" i="5" s="1"/>
  <c r="O5067" i="5"/>
  <c r="U5067" i="5"/>
  <c r="V5067" i="5" s="1"/>
  <c r="O5049" i="5"/>
  <c r="U5049" i="5"/>
  <c r="V5049" i="5" s="1"/>
  <c r="O5032" i="5"/>
  <c r="U5032" i="5"/>
  <c r="V5032" i="5" s="1"/>
  <c r="O5012" i="5"/>
  <c r="U5012" i="5"/>
  <c r="V5012" i="5" s="1"/>
  <c r="O5004" i="5"/>
  <c r="U5004" i="5"/>
  <c r="V5004" i="5" s="1"/>
  <c r="O5003" i="5"/>
  <c r="U5003" i="5"/>
  <c r="V5003" i="5" s="1"/>
  <c r="O4982" i="5"/>
  <c r="O4986" i="5"/>
  <c r="U4986" i="5"/>
  <c r="V4986" i="5" s="1"/>
  <c r="U4969" i="5"/>
  <c r="V4969" i="5" s="1"/>
  <c r="O4967" i="5"/>
  <c r="U4967" i="5"/>
  <c r="V4967" i="5" s="1"/>
  <c r="O4941" i="5"/>
  <c r="O4953" i="5"/>
  <c r="U4953" i="5"/>
  <c r="V4953" i="5" s="1"/>
  <c r="U4942" i="5"/>
  <c r="V4942" i="5" s="1"/>
  <c r="O4942" i="5"/>
  <c r="O4936" i="5"/>
  <c r="U4936" i="5"/>
  <c r="V4936" i="5" s="1"/>
  <c r="U4941" i="5"/>
  <c r="V4941" i="5" s="1"/>
  <c r="O4781" i="5"/>
  <c r="O4906" i="5"/>
  <c r="U4906" i="5"/>
  <c r="V4906" i="5" s="1"/>
  <c r="U4843" i="5"/>
  <c r="V4843" i="5" s="1"/>
  <c r="O4904" i="5"/>
  <c r="U4904" i="5"/>
  <c r="V4904" i="5" s="1"/>
  <c r="O4820" i="5"/>
  <c r="U4801" i="5"/>
  <c r="V4801" i="5" s="1"/>
  <c r="U4790" i="5"/>
  <c r="V4790" i="5" s="1"/>
  <c r="O4788" i="5"/>
  <c r="U4788" i="5"/>
  <c r="V4788" i="5" s="1"/>
  <c r="U4783" i="5"/>
  <c r="V4783" i="5" s="1"/>
  <c r="O4783" i="5"/>
  <c r="O4797" i="5"/>
  <c r="U4797" i="5"/>
  <c r="V4797" i="5" s="1"/>
  <c r="T4778" i="5" l="1"/>
  <c r="J4778" i="5"/>
  <c r="K4778" i="5" s="1"/>
  <c r="T4777" i="5"/>
  <c r="J4777" i="5"/>
  <c r="K4777" i="5" s="1"/>
  <c r="L4777" i="5" s="1"/>
  <c r="T4776" i="5"/>
  <c r="J4776" i="5"/>
  <c r="K4776" i="5" s="1"/>
  <c r="T4775" i="5"/>
  <c r="J4775" i="5"/>
  <c r="K4775" i="5" s="1"/>
  <c r="T4774" i="5"/>
  <c r="J4774" i="5"/>
  <c r="K4774" i="5" s="1"/>
  <c r="T4773" i="5"/>
  <c r="J4773" i="5"/>
  <c r="T4772" i="5"/>
  <c r="J4772" i="5"/>
  <c r="K4772" i="5" s="1"/>
  <c r="T4771" i="5"/>
  <c r="J4771" i="5"/>
  <c r="K4771" i="5" s="1"/>
  <c r="L4771" i="5" s="1"/>
  <c r="T4770" i="5"/>
  <c r="J4770" i="5"/>
  <c r="K4770" i="5" s="1"/>
  <c r="T4769" i="5"/>
  <c r="J4769" i="5"/>
  <c r="K4769" i="5" s="1"/>
  <c r="L4769" i="5" s="1"/>
  <c r="P4769" i="5" s="1"/>
  <c r="T4768" i="5"/>
  <c r="J4768" i="5"/>
  <c r="T4767" i="5"/>
  <c r="J4767" i="5"/>
  <c r="T4766" i="5"/>
  <c r="J4766" i="5"/>
  <c r="K4766" i="5" s="1"/>
  <c r="T4765" i="5"/>
  <c r="J4765" i="5"/>
  <c r="K4765" i="5" s="1"/>
  <c r="T4764" i="5"/>
  <c r="J4764" i="5"/>
  <c r="K4764" i="5" s="1"/>
  <c r="T4763" i="5"/>
  <c r="J4763" i="5"/>
  <c r="K4763" i="5" s="1"/>
  <c r="T4762" i="5"/>
  <c r="J4762" i="5"/>
  <c r="K4762" i="5" s="1"/>
  <c r="T4761" i="5"/>
  <c r="J4761" i="5"/>
  <c r="T4760" i="5"/>
  <c r="J4760" i="5"/>
  <c r="K4760" i="5" s="1"/>
  <c r="T4759" i="5"/>
  <c r="J4759" i="5"/>
  <c r="K4759" i="5" s="1"/>
  <c r="L4759" i="5" s="1"/>
  <c r="T4758" i="5"/>
  <c r="J4758" i="5"/>
  <c r="T4757" i="5"/>
  <c r="J4757" i="5"/>
  <c r="K4757" i="5" s="1"/>
  <c r="T4756" i="5"/>
  <c r="J4756" i="5"/>
  <c r="K4756" i="5" s="1"/>
  <c r="T4755" i="5"/>
  <c r="J4755" i="5"/>
  <c r="T4754" i="5"/>
  <c r="J4754" i="5"/>
  <c r="K4754" i="5" s="1"/>
  <c r="T4753" i="5"/>
  <c r="J4753" i="5"/>
  <c r="K4753" i="5" s="1"/>
  <c r="L4753" i="5" s="1"/>
  <c r="T4752" i="5"/>
  <c r="J4752" i="5"/>
  <c r="T4751" i="5"/>
  <c r="J4751" i="5"/>
  <c r="K4751" i="5" s="1"/>
  <c r="T4750" i="5"/>
  <c r="J4750" i="5"/>
  <c r="K4750" i="5" s="1"/>
  <c r="T4749" i="5"/>
  <c r="J4749" i="5"/>
  <c r="T4748" i="5"/>
  <c r="J4748" i="5"/>
  <c r="K4748" i="5" s="1"/>
  <c r="T4747" i="5"/>
  <c r="J4747" i="5"/>
  <c r="K4747" i="5" s="1"/>
  <c r="L4747" i="5" s="1"/>
  <c r="T4746" i="5"/>
  <c r="J4746" i="5"/>
  <c r="T4745" i="5"/>
  <c r="J4745" i="5"/>
  <c r="K4745" i="5" s="1"/>
  <c r="T4744" i="5"/>
  <c r="J4744" i="5"/>
  <c r="K4744" i="5" s="1"/>
  <c r="T4743" i="5"/>
  <c r="J4743" i="5"/>
  <c r="T4742" i="5"/>
  <c r="J4742" i="5"/>
  <c r="K4742" i="5" s="1"/>
  <c r="T4741" i="5"/>
  <c r="J4741" i="5"/>
  <c r="K4741" i="5" s="1"/>
  <c r="T4740" i="5"/>
  <c r="J4740" i="5"/>
  <c r="K4740" i="5" s="1"/>
  <c r="T4739" i="5"/>
  <c r="J4739" i="5"/>
  <c r="K4739" i="5" s="1"/>
  <c r="T4738" i="5"/>
  <c r="J4738" i="5"/>
  <c r="T4737" i="5"/>
  <c r="J4737" i="5"/>
  <c r="T4736" i="5"/>
  <c r="J4736" i="5"/>
  <c r="K4736" i="5" s="1"/>
  <c r="T4735" i="5"/>
  <c r="J4735" i="5"/>
  <c r="K4735" i="5" s="1"/>
  <c r="L4735" i="5" s="1"/>
  <c r="T4734" i="5"/>
  <c r="J4734" i="5"/>
  <c r="K4734" i="5" s="1"/>
  <c r="T4733" i="5"/>
  <c r="J4733" i="5"/>
  <c r="K4733" i="5" s="1"/>
  <c r="T4732" i="5"/>
  <c r="J4732" i="5"/>
  <c r="K4732" i="5" s="1"/>
  <c r="T4731" i="5"/>
  <c r="J4731" i="5"/>
  <c r="T4730" i="5"/>
  <c r="J4730" i="5"/>
  <c r="K4730" i="5" s="1"/>
  <c r="T4729" i="5"/>
  <c r="J4729" i="5"/>
  <c r="T4728" i="5"/>
  <c r="J4728" i="5"/>
  <c r="K4728" i="5" s="1"/>
  <c r="L4728" i="5" s="1"/>
  <c r="T4727" i="5"/>
  <c r="J4727" i="5"/>
  <c r="T4726" i="5"/>
  <c r="J4726" i="5"/>
  <c r="K4726" i="5" s="1"/>
  <c r="T4725" i="5"/>
  <c r="J4725" i="5"/>
  <c r="K4725" i="5" s="1"/>
  <c r="T4724" i="5"/>
  <c r="J4724" i="5"/>
  <c r="K4724" i="5" s="1"/>
  <c r="T4723" i="5"/>
  <c r="J4723" i="5"/>
  <c r="T4722" i="5"/>
  <c r="J4722" i="5"/>
  <c r="T4721" i="5"/>
  <c r="J4721" i="5"/>
  <c r="K4721" i="5" s="1"/>
  <c r="L4721" i="5" s="1"/>
  <c r="T4720" i="5"/>
  <c r="J4720" i="5"/>
  <c r="T4719" i="5"/>
  <c r="J4719" i="5"/>
  <c r="K4719" i="5" s="1"/>
  <c r="T4718" i="5"/>
  <c r="J4718" i="5"/>
  <c r="K4718" i="5" s="1"/>
  <c r="T4717" i="5"/>
  <c r="J4717" i="5"/>
  <c r="K4717" i="5" s="1"/>
  <c r="T4716" i="5"/>
  <c r="J4716" i="5"/>
  <c r="K4716" i="5" s="1"/>
  <c r="T4715" i="5"/>
  <c r="J4715" i="5"/>
  <c r="K4715" i="5" s="1"/>
  <c r="L4715" i="5" s="1"/>
  <c r="T4714" i="5"/>
  <c r="J4714" i="5"/>
  <c r="T4713" i="5"/>
  <c r="J4713" i="5"/>
  <c r="K4713" i="5" s="1"/>
  <c r="T4712" i="5"/>
  <c r="J4712" i="5"/>
  <c r="K4712" i="5" s="1"/>
  <c r="T4711" i="5"/>
  <c r="J4711" i="5"/>
  <c r="T4710" i="5"/>
  <c r="J4710" i="5"/>
  <c r="K4710" i="5" s="1"/>
  <c r="T4709" i="5"/>
  <c r="J4709" i="5"/>
  <c r="K4709" i="5" s="1"/>
  <c r="L4709" i="5" s="1"/>
  <c r="T4708" i="5"/>
  <c r="J4708" i="5"/>
  <c r="K4708" i="5" s="1"/>
  <c r="T4707" i="5"/>
  <c r="J4707" i="5"/>
  <c r="T4706" i="5"/>
  <c r="J4706" i="5"/>
  <c r="T4705" i="5"/>
  <c r="J4705" i="5"/>
  <c r="K4705" i="5" s="1"/>
  <c r="T4704" i="5"/>
  <c r="J4704" i="5"/>
  <c r="K4704" i="5" s="1"/>
  <c r="L4704" i="5" s="1"/>
  <c r="T4703" i="5"/>
  <c r="J4703" i="5"/>
  <c r="T4702" i="5"/>
  <c r="J4702" i="5"/>
  <c r="K4702" i="5" s="1"/>
  <c r="T4701" i="5"/>
  <c r="J4701" i="5"/>
  <c r="K4701" i="5" s="1"/>
  <c r="T4700" i="5"/>
  <c r="J4700" i="5"/>
  <c r="T4699" i="5"/>
  <c r="J4699" i="5"/>
  <c r="K4699" i="5" s="1"/>
  <c r="T4698" i="5"/>
  <c r="J4698" i="5"/>
  <c r="K4698" i="5" s="1"/>
  <c r="L4698" i="5" s="1"/>
  <c r="T4697" i="5"/>
  <c r="J4697" i="5"/>
  <c r="T4696" i="5"/>
  <c r="J4696" i="5"/>
  <c r="K4696" i="5" s="1"/>
  <c r="T4695" i="5"/>
  <c r="J4695" i="5"/>
  <c r="K4695" i="5" s="1"/>
  <c r="L4695" i="5" s="1"/>
  <c r="T4694" i="5"/>
  <c r="J4694" i="5"/>
  <c r="T4693" i="5"/>
  <c r="J4693" i="5"/>
  <c r="K4693" i="5" s="1"/>
  <c r="T4692" i="5"/>
  <c r="J4692" i="5"/>
  <c r="K4692" i="5" s="1"/>
  <c r="L4692" i="5" s="1"/>
  <c r="T4691" i="5"/>
  <c r="J4691" i="5"/>
  <c r="T4690" i="5"/>
  <c r="J4690" i="5"/>
  <c r="K4690" i="5" s="1"/>
  <c r="T4689" i="5"/>
  <c r="J4689" i="5"/>
  <c r="T4688" i="5"/>
  <c r="J4688" i="5"/>
  <c r="K4688" i="5" s="1"/>
  <c r="T4687" i="5"/>
  <c r="J4687" i="5"/>
  <c r="T4686" i="5"/>
  <c r="J4686" i="5"/>
  <c r="K4686" i="5" s="1"/>
  <c r="T4685" i="5"/>
  <c r="J4685" i="5"/>
  <c r="T4684" i="5"/>
  <c r="J4684" i="5"/>
  <c r="K4684" i="5" s="1"/>
  <c r="L4684" i="5" s="1"/>
  <c r="P4684" i="5" s="1"/>
  <c r="T4683" i="5"/>
  <c r="J4683" i="5"/>
  <c r="T4682" i="5"/>
  <c r="J4682" i="5"/>
  <c r="T4681" i="5"/>
  <c r="J4681" i="5"/>
  <c r="T4680" i="5"/>
  <c r="J4680" i="5"/>
  <c r="T4679" i="5"/>
  <c r="J4679" i="5"/>
  <c r="T4678" i="5"/>
  <c r="J4678" i="5"/>
  <c r="T4677" i="5"/>
  <c r="J4677" i="5"/>
  <c r="T4676" i="5"/>
  <c r="J4676" i="5"/>
  <c r="T4675" i="5"/>
  <c r="J4675" i="5"/>
  <c r="K4675" i="5" s="1"/>
  <c r="L4675" i="5" s="1"/>
  <c r="T4674" i="5"/>
  <c r="J4674" i="5"/>
  <c r="T4673" i="5"/>
  <c r="J4673" i="5"/>
  <c r="K4673" i="5" s="1"/>
  <c r="T4672" i="5"/>
  <c r="J4672" i="5"/>
  <c r="K4672" i="5" s="1"/>
  <c r="T4671" i="5"/>
  <c r="J4671" i="5"/>
  <c r="T4670" i="5"/>
  <c r="J4670" i="5"/>
  <c r="K4670" i="5" s="1"/>
  <c r="T4669" i="5"/>
  <c r="J4669" i="5"/>
  <c r="K4669" i="5" s="1"/>
  <c r="L4669" i="5" s="1"/>
  <c r="T4668" i="5"/>
  <c r="J4668" i="5"/>
  <c r="K4668" i="5" s="1"/>
  <c r="T4667" i="5"/>
  <c r="J4667" i="5"/>
  <c r="T4666" i="5"/>
  <c r="J4666" i="5"/>
  <c r="K4666" i="5" s="1"/>
  <c r="T4665" i="5"/>
  <c r="J4665" i="5"/>
  <c r="K4665" i="5" s="1"/>
  <c r="L4665" i="5" s="1"/>
  <c r="T4664" i="5"/>
  <c r="J4664" i="5"/>
  <c r="T4663" i="5"/>
  <c r="J4663" i="5"/>
  <c r="K4663" i="5" s="1"/>
  <c r="T4662" i="5"/>
  <c r="J4662" i="5"/>
  <c r="T4661" i="5"/>
  <c r="J4661" i="5"/>
  <c r="K4661" i="5" s="1"/>
  <c r="L4661" i="5" s="1"/>
  <c r="P4661" i="5" s="1"/>
  <c r="T4660" i="5"/>
  <c r="J4660" i="5"/>
  <c r="K4660" i="5" s="1"/>
  <c r="L4660" i="5" s="1"/>
  <c r="T4659" i="5"/>
  <c r="J4659" i="5"/>
  <c r="K4659" i="5" s="1"/>
  <c r="L4659" i="5" s="1"/>
  <c r="T4658" i="5"/>
  <c r="J4658" i="5"/>
  <c r="K4658" i="5" s="1"/>
  <c r="T4657" i="5"/>
  <c r="J4657" i="5"/>
  <c r="T4656" i="5"/>
  <c r="J4656" i="5"/>
  <c r="T4655" i="5"/>
  <c r="J4655" i="5"/>
  <c r="T4654" i="5"/>
  <c r="J4654" i="5"/>
  <c r="K4654" i="5" s="1"/>
  <c r="T4653" i="5"/>
  <c r="J4653" i="5"/>
  <c r="K4653" i="5" s="1"/>
  <c r="T4652" i="5"/>
  <c r="J4652" i="5"/>
  <c r="K4652" i="5" s="1"/>
  <c r="T4651" i="5"/>
  <c r="J4651" i="5"/>
  <c r="T4650" i="5"/>
  <c r="J4650" i="5"/>
  <c r="K4650" i="5" s="1"/>
  <c r="L4650" i="5" s="1"/>
  <c r="T4649" i="5"/>
  <c r="J4649" i="5"/>
  <c r="K4649" i="5" s="1"/>
  <c r="L4649" i="5" s="1"/>
  <c r="P4649" i="5" s="1"/>
  <c r="T4648" i="5"/>
  <c r="J4648" i="5"/>
  <c r="T4647" i="5"/>
  <c r="J4647" i="5"/>
  <c r="T4646" i="5"/>
  <c r="J4646" i="5"/>
  <c r="K4646" i="5" s="1"/>
  <c r="T4645" i="5"/>
  <c r="J4645" i="5"/>
  <c r="T4644" i="5"/>
  <c r="J4644" i="5"/>
  <c r="K4644" i="5" s="1"/>
  <c r="L4644" i="5" s="1"/>
  <c r="P4644" i="5" s="1"/>
  <c r="T4643" i="5"/>
  <c r="J4643" i="5"/>
  <c r="K4643" i="5" s="1"/>
  <c r="L4643" i="5" s="1"/>
  <c r="P4643" i="5" s="1"/>
  <c r="T4642" i="5"/>
  <c r="J4642" i="5"/>
  <c r="T4641" i="5"/>
  <c r="J4641" i="5"/>
  <c r="T4640" i="5"/>
  <c r="J4640" i="5"/>
  <c r="K4640" i="5" s="1"/>
  <c r="T4639" i="5"/>
  <c r="J4639" i="5"/>
  <c r="K4639" i="5" s="1"/>
  <c r="T4638" i="5"/>
  <c r="J4638" i="5"/>
  <c r="T4637" i="5"/>
  <c r="J4637" i="5"/>
  <c r="K4637" i="5" s="1"/>
  <c r="L4637" i="5" s="1"/>
  <c r="T4636" i="5"/>
  <c r="J4636" i="5"/>
  <c r="K4636" i="5" s="1"/>
  <c r="L4636" i="5" s="1"/>
  <c r="P4636" i="5" s="1"/>
  <c r="T4635" i="5"/>
  <c r="J4635" i="5"/>
  <c r="T4634" i="5"/>
  <c r="J4634" i="5"/>
  <c r="K4634" i="5" s="1"/>
  <c r="T4633" i="5"/>
  <c r="J4633" i="5"/>
  <c r="K4633" i="5" s="1"/>
  <c r="T4632" i="5"/>
  <c r="J4632" i="5"/>
  <c r="K4632" i="5" s="1"/>
  <c r="L4632" i="5" s="1"/>
  <c r="P4632" i="5" s="1"/>
  <c r="T4631" i="5"/>
  <c r="J4631" i="5"/>
  <c r="K4631" i="5" s="1"/>
  <c r="L4631" i="5" s="1"/>
  <c r="T4630" i="5"/>
  <c r="J4630" i="5"/>
  <c r="T4629" i="5"/>
  <c r="J4629" i="5"/>
  <c r="T4628" i="5"/>
  <c r="J4628" i="5"/>
  <c r="K4628" i="5" s="1"/>
  <c r="T4627" i="5"/>
  <c r="J4627" i="5"/>
  <c r="K4627" i="5" s="1"/>
  <c r="T4626" i="5"/>
  <c r="J4626" i="5"/>
  <c r="K4626" i="5" s="1"/>
  <c r="T4625" i="5"/>
  <c r="J4625" i="5"/>
  <c r="K4625" i="5" s="1"/>
  <c r="T4624" i="5"/>
  <c r="J4624" i="5"/>
  <c r="K4624" i="5" s="1"/>
  <c r="T4623" i="5"/>
  <c r="J4623" i="5"/>
  <c r="T4622" i="5"/>
  <c r="J4622" i="5"/>
  <c r="K4622" i="5" s="1"/>
  <c r="T4621" i="5"/>
  <c r="J4621" i="5"/>
  <c r="K4621" i="5" s="1"/>
  <c r="T4620" i="5"/>
  <c r="J4620" i="5"/>
  <c r="K4620" i="5" s="1"/>
  <c r="T4619" i="5"/>
  <c r="J4619" i="5"/>
  <c r="K4619" i="5" s="1"/>
  <c r="L4619" i="5" s="1"/>
  <c r="P4619" i="5" s="1"/>
  <c r="T4618" i="5"/>
  <c r="J4618" i="5"/>
  <c r="K4618" i="5" s="1"/>
  <c r="T4617" i="5"/>
  <c r="J4617" i="5"/>
  <c r="T4616" i="5"/>
  <c r="J4616" i="5"/>
  <c r="T4615" i="5"/>
  <c r="J4615" i="5"/>
  <c r="K4615" i="5" s="1"/>
  <c r="L4615" i="5" s="1"/>
  <c r="T4614" i="5"/>
  <c r="J4614" i="5"/>
  <c r="K4614" i="5" s="1"/>
  <c r="L4614" i="5" s="1"/>
  <c r="T4613" i="5"/>
  <c r="J4613" i="5"/>
  <c r="K4613" i="5" s="1"/>
  <c r="L4613" i="5" s="1"/>
  <c r="T4612" i="5"/>
  <c r="J4612" i="5"/>
  <c r="K4612" i="5" s="1"/>
  <c r="T4611" i="5"/>
  <c r="J4611" i="5"/>
  <c r="T4610" i="5"/>
  <c r="J4610" i="5"/>
  <c r="K4610" i="5" s="1"/>
  <c r="T4609" i="5"/>
  <c r="J4609" i="5"/>
  <c r="K4609" i="5" s="1"/>
  <c r="T4608" i="5"/>
  <c r="J4608" i="5"/>
  <c r="K4608" i="5" s="1"/>
  <c r="L4608" i="5" s="1"/>
  <c r="P4608" i="5" s="1"/>
  <c r="T4607" i="5"/>
  <c r="J4607" i="5"/>
  <c r="K4607" i="5" s="1"/>
  <c r="T4606" i="5"/>
  <c r="J4606" i="5"/>
  <c r="K4606" i="5" s="1"/>
  <c r="T4605" i="5"/>
  <c r="J4605" i="5"/>
  <c r="T4604" i="5"/>
  <c r="J4604" i="5"/>
  <c r="K4604" i="5" s="1"/>
  <c r="T4603" i="5"/>
  <c r="J4603" i="5"/>
  <c r="K4603" i="5" s="1"/>
  <c r="T4602" i="5"/>
  <c r="J4602" i="5"/>
  <c r="K4602" i="5" s="1"/>
  <c r="T4601" i="5"/>
  <c r="J4601" i="5"/>
  <c r="K4601" i="5" s="1"/>
  <c r="T4600" i="5"/>
  <c r="J4600" i="5"/>
  <c r="K4600" i="5" s="1"/>
  <c r="T4599" i="5"/>
  <c r="J4599" i="5"/>
  <c r="T4598" i="5"/>
  <c r="J4598" i="5"/>
  <c r="K4598" i="5" s="1"/>
  <c r="T4597" i="5"/>
  <c r="J4597" i="5"/>
  <c r="K4597" i="5" s="1"/>
  <c r="T4596" i="5"/>
  <c r="J4596" i="5"/>
  <c r="K4596" i="5" s="1"/>
  <c r="T4595" i="5"/>
  <c r="J4595" i="5"/>
  <c r="K4595" i="5" s="1"/>
  <c r="T4594" i="5"/>
  <c r="J4594" i="5"/>
  <c r="K4594" i="5" s="1"/>
  <c r="T4593" i="5"/>
  <c r="J4593" i="5"/>
  <c r="T4592" i="5"/>
  <c r="J4592" i="5"/>
  <c r="K4592" i="5" s="1"/>
  <c r="T4591" i="5"/>
  <c r="J4591" i="5"/>
  <c r="K4591" i="5" s="1"/>
  <c r="T4590" i="5"/>
  <c r="J4590" i="5"/>
  <c r="K4590" i="5" s="1"/>
  <c r="T4589" i="5"/>
  <c r="J4589" i="5"/>
  <c r="K4589" i="5" s="1"/>
  <c r="T4588" i="5"/>
  <c r="J4588" i="5"/>
  <c r="K4588" i="5" s="1"/>
  <c r="T4587" i="5"/>
  <c r="J4587" i="5"/>
  <c r="K4587" i="5" s="1"/>
  <c r="T4586" i="5"/>
  <c r="J4586" i="5"/>
  <c r="K4586" i="5" s="1"/>
  <c r="T4585" i="5"/>
  <c r="J4585" i="5"/>
  <c r="K4585" i="5" s="1"/>
  <c r="T4584" i="5"/>
  <c r="J4584" i="5"/>
  <c r="K4584" i="5" s="1"/>
  <c r="T4583" i="5"/>
  <c r="J4583" i="5"/>
  <c r="K4583" i="5" s="1"/>
  <c r="T4582" i="5"/>
  <c r="J4582" i="5"/>
  <c r="K4582" i="5" s="1"/>
  <c r="T4581" i="5"/>
  <c r="J4581" i="5"/>
  <c r="T4580" i="5"/>
  <c r="J4580" i="5"/>
  <c r="K4580" i="5" s="1"/>
  <c r="T4579" i="5"/>
  <c r="J4579" i="5"/>
  <c r="K4579" i="5" s="1"/>
  <c r="L4579" i="5" s="1"/>
  <c r="T4578" i="5"/>
  <c r="J4578" i="5"/>
  <c r="K4578" i="5" s="1"/>
  <c r="T4577" i="5"/>
  <c r="J4577" i="5"/>
  <c r="K4577" i="5" s="1"/>
  <c r="L4577" i="5" s="1"/>
  <c r="T4576" i="5"/>
  <c r="J4576" i="5"/>
  <c r="K4576" i="5" s="1"/>
  <c r="T4575" i="5"/>
  <c r="J4575" i="5"/>
  <c r="T4574" i="5"/>
  <c r="J4574" i="5"/>
  <c r="K4574" i="5" s="1"/>
  <c r="T4573" i="5"/>
  <c r="J4573" i="5"/>
  <c r="T4572" i="5"/>
  <c r="J4572" i="5"/>
  <c r="K4572" i="5" s="1"/>
  <c r="L4572" i="5" s="1"/>
  <c r="T4571" i="5"/>
  <c r="J4571" i="5"/>
  <c r="K4571" i="5" s="1"/>
  <c r="T4570" i="5"/>
  <c r="J4570" i="5"/>
  <c r="K4570" i="5" s="1"/>
  <c r="T4569" i="5"/>
  <c r="J4569" i="5"/>
  <c r="K4569" i="5" s="1"/>
  <c r="L4569" i="5" s="1"/>
  <c r="P4569" i="5" s="1"/>
  <c r="T4568" i="5"/>
  <c r="J4568" i="5"/>
  <c r="K4568" i="5" s="1"/>
  <c r="L4568" i="5" s="1"/>
  <c r="T4567" i="5"/>
  <c r="J4567" i="5"/>
  <c r="K4567" i="5" s="1"/>
  <c r="T4566" i="5"/>
  <c r="J4566" i="5"/>
  <c r="T4565" i="5"/>
  <c r="J4565" i="5"/>
  <c r="K4565" i="5" s="1"/>
  <c r="T4564" i="5"/>
  <c r="J4564" i="5"/>
  <c r="K4564" i="5" s="1"/>
  <c r="T4563" i="5"/>
  <c r="J4563" i="5"/>
  <c r="T4562" i="5"/>
  <c r="J4562" i="5"/>
  <c r="K4562" i="5" s="1"/>
  <c r="T4561" i="5"/>
  <c r="J4561" i="5"/>
  <c r="T4560" i="5"/>
  <c r="J4560" i="5"/>
  <c r="T4559" i="5"/>
  <c r="J4559" i="5"/>
  <c r="T4558" i="5"/>
  <c r="J4558" i="5"/>
  <c r="K4558" i="5" s="1"/>
  <c r="T4557" i="5"/>
  <c r="J4557" i="5"/>
  <c r="K4557" i="5" s="1"/>
  <c r="T4556" i="5"/>
  <c r="J4556" i="5"/>
  <c r="K4556" i="5" s="1"/>
  <c r="T4555" i="5"/>
  <c r="J4555" i="5"/>
  <c r="T4554" i="5"/>
  <c r="J4554" i="5"/>
  <c r="T4553" i="5"/>
  <c r="J4553" i="5"/>
  <c r="T4552" i="5"/>
  <c r="J4552" i="5"/>
  <c r="T4551" i="5"/>
  <c r="J4551" i="5"/>
  <c r="K4551" i="5" s="1"/>
  <c r="T4550" i="5"/>
  <c r="J4550" i="5"/>
  <c r="K4550" i="5" s="1"/>
  <c r="L4550" i="5" s="1"/>
  <c r="P4550" i="5" s="1"/>
  <c r="T4549" i="5"/>
  <c r="J4549" i="5"/>
  <c r="T4548" i="5"/>
  <c r="J4548" i="5"/>
  <c r="T4547" i="5"/>
  <c r="J4547" i="5"/>
  <c r="K4547" i="5" s="1"/>
  <c r="T4546" i="5"/>
  <c r="J4546" i="5"/>
  <c r="T4545" i="5"/>
  <c r="J4545" i="5"/>
  <c r="K4545" i="5" s="1"/>
  <c r="T4544" i="5"/>
  <c r="J4544" i="5"/>
  <c r="K4544" i="5" s="1"/>
  <c r="T4543" i="5"/>
  <c r="J4543" i="5"/>
  <c r="T4542" i="5"/>
  <c r="J4542" i="5"/>
  <c r="K4542" i="5" s="1"/>
  <c r="L4542" i="5" s="1"/>
  <c r="P4542" i="5" s="1"/>
  <c r="T4541" i="5"/>
  <c r="J4541" i="5"/>
  <c r="T4540" i="5"/>
  <c r="J4540" i="5"/>
  <c r="T4539" i="5"/>
  <c r="J4539" i="5"/>
  <c r="K4539" i="5" s="1"/>
  <c r="T4538" i="5"/>
  <c r="J4538" i="5"/>
  <c r="K4538" i="5" s="1"/>
  <c r="T4537" i="5"/>
  <c r="J4537" i="5"/>
  <c r="T4536" i="5"/>
  <c r="J4536" i="5"/>
  <c r="K4536" i="5" s="1"/>
  <c r="T4535" i="5"/>
  <c r="J4535" i="5"/>
  <c r="T4534" i="5"/>
  <c r="J4534" i="5"/>
  <c r="T4533" i="5"/>
  <c r="J4533" i="5"/>
  <c r="T4532" i="5"/>
  <c r="J4532" i="5"/>
  <c r="T4531" i="5"/>
  <c r="J4531" i="5"/>
  <c r="T4530" i="5"/>
  <c r="J4530" i="5"/>
  <c r="T4529" i="5"/>
  <c r="J4529" i="5"/>
  <c r="K4529" i="5" s="1"/>
  <c r="T4528" i="5"/>
  <c r="J4528" i="5"/>
  <c r="K4528" i="5" s="1"/>
  <c r="T4527" i="5"/>
  <c r="J4527" i="5"/>
  <c r="K4527" i="5" s="1"/>
  <c r="L4527" i="5" s="1"/>
  <c r="P4527" i="5" s="1"/>
  <c r="T4526" i="5"/>
  <c r="J4526" i="5"/>
  <c r="K4526" i="5" s="1"/>
  <c r="T4525" i="5"/>
  <c r="J4525" i="5"/>
  <c r="T4524" i="5"/>
  <c r="J4524" i="5"/>
  <c r="K4524" i="5" s="1"/>
  <c r="T4523" i="5"/>
  <c r="J4523" i="5"/>
  <c r="T4522" i="5"/>
  <c r="J4522" i="5"/>
  <c r="K4522" i="5" s="1"/>
  <c r="T4521" i="5"/>
  <c r="J4521" i="5"/>
  <c r="T4520" i="5"/>
  <c r="J4520" i="5"/>
  <c r="K4520" i="5" s="1"/>
  <c r="T4519" i="5"/>
  <c r="J4519" i="5"/>
  <c r="T4518" i="5"/>
  <c r="J4518" i="5"/>
  <c r="K4518" i="5" s="1"/>
  <c r="T4517" i="5"/>
  <c r="J4517" i="5"/>
  <c r="K4517" i="5" s="1"/>
  <c r="T4516" i="5"/>
  <c r="J4516" i="5"/>
  <c r="K4516" i="5" s="1"/>
  <c r="T4515" i="5"/>
  <c r="J4515" i="5"/>
  <c r="T4514" i="5"/>
  <c r="J4514" i="5"/>
  <c r="K4514" i="5" s="1"/>
  <c r="T4513" i="5"/>
  <c r="J4513" i="5"/>
  <c r="K4513" i="5" s="1"/>
  <c r="T4512" i="5"/>
  <c r="J4512" i="5"/>
  <c r="K4512" i="5" s="1"/>
  <c r="T4511" i="5"/>
  <c r="J4511" i="5"/>
  <c r="K4511" i="5" s="1"/>
  <c r="L4511" i="5" s="1"/>
  <c r="P4511" i="5" s="1"/>
  <c r="T4510" i="5"/>
  <c r="J4510" i="5"/>
  <c r="T4509" i="5"/>
  <c r="J4509" i="5"/>
  <c r="K4509" i="5" s="1"/>
  <c r="T4508" i="5"/>
  <c r="J4508" i="5"/>
  <c r="K4508" i="5" s="1"/>
  <c r="T4507" i="5"/>
  <c r="J4507" i="5"/>
  <c r="K4507" i="5" s="1"/>
  <c r="T4506" i="5"/>
  <c r="J4506" i="5"/>
  <c r="T4505" i="5"/>
  <c r="J4505" i="5"/>
  <c r="T4504" i="5"/>
  <c r="J4504" i="5"/>
  <c r="K4504" i="5" s="1"/>
  <c r="L4504" i="5" s="1"/>
  <c r="T4503" i="5"/>
  <c r="J4503" i="5"/>
  <c r="K4503" i="5" s="1"/>
  <c r="T4502" i="5"/>
  <c r="J4502" i="5"/>
  <c r="K4502" i="5" s="1"/>
  <c r="T4501" i="5"/>
  <c r="J4501" i="5"/>
  <c r="T4500" i="5"/>
  <c r="J4500" i="5"/>
  <c r="T4499" i="5"/>
  <c r="J4499" i="5"/>
  <c r="K4499" i="5" s="1"/>
  <c r="L4499" i="5" s="1"/>
  <c r="P4499" i="5" s="1"/>
  <c r="T4498" i="5"/>
  <c r="J4498" i="5"/>
  <c r="K4498" i="5" s="1"/>
  <c r="L4498" i="5" s="1"/>
  <c r="P4498" i="5" s="1"/>
  <c r="T4497" i="5"/>
  <c r="J4497" i="5"/>
  <c r="T4496" i="5"/>
  <c r="J4496" i="5"/>
  <c r="K4496" i="5" s="1"/>
  <c r="T4495" i="5"/>
  <c r="J4495" i="5"/>
  <c r="K4495" i="5" s="1"/>
  <c r="T4494" i="5"/>
  <c r="J4494" i="5"/>
  <c r="T4493" i="5"/>
  <c r="J4493" i="5"/>
  <c r="K4493" i="5" s="1"/>
  <c r="T4492" i="5"/>
  <c r="J4492" i="5"/>
  <c r="T4491" i="5"/>
  <c r="J4491" i="5"/>
  <c r="K4491" i="5" s="1"/>
  <c r="T4490" i="5"/>
  <c r="J4490" i="5"/>
  <c r="K4490" i="5" s="1"/>
  <c r="T4489" i="5"/>
  <c r="J4489" i="5"/>
  <c r="T4488" i="5"/>
  <c r="J4488" i="5"/>
  <c r="K4488" i="5" s="1"/>
  <c r="T4487" i="5"/>
  <c r="J4487" i="5"/>
  <c r="K4487" i="5" s="1"/>
  <c r="T4486" i="5"/>
  <c r="J4486" i="5"/>
  <c r="K4486" i="5" s="1"/>
  <c r="T4485" i="5"/>
  <c r="J4485" i="5"/>
  <c r="K4485" i="5" s="1"/>
  <c r="T4484" i="5"/>
  <c r="J4484" i="5"/>
  <c r="K4484" i="5" s="1"/>
  <c r="T4483" i="5"/>
  <c r="J4483" i="5"/>
  <c r="K4483" i="5" s="1"/>
  <c r="T4482" i="5"/>
  <c r="J4482" i="5"/>
  <c r="K4482" i="5" s="1"/>
  <c r="T4481" i="5"/>
  <c r="J4481" i="5"/>
  <c r="K4481" i="5" s="1"/>
  <c r="T4480" i="5"/>
  <c r="J4480" i="5"/>
  <c r="K4480" i="5" s="1"/>
  <c r="T4479" i="5"/>
  <c r="J4479" i="5"/>
  <c r="K4479" i="5" s="1"/>
  <c r="T4478" i="5"/>
  <c r="J4478" i="5"/>
  <c r="K4478" i="5" s="1"/>
  <c r="T4477" i="5"/>
  <c r="J4477" i="5"/>
  <c r="T4476" i="5"/>
  <c r="J4476" i="5"/>
  <c r="K4476" i="5" s="1"/>
  <c r="T4475" i="5"/>
  <c r="J4475" i="5"/>
  <c r="K4475" i="5" s="1"/>
  <c r="T4474" i="5"/>
  <c r="J4474" i="5"/>
  <c r="K4474" i="5" s="1"/>
  <c r="T4473" i="5"/>
  <c r="J4473" i="5"/>
  <c r="K4473" i="5" s="1"/>
  <c r="T4472" i="5"/>
  <c r="J4472" i="5"/>
  <c r="T4471" i="5"/>
  <c r="J4471" i="5"/>
  <c r="K4471" i="5" s="1"/>
  <c r="T4470" i="5"/>
  <c r="J4470" i="5"/>
  <c r="K4470" i="5" s="1"/>
  <c r="T4469" i="5"/>
  <c r="J4469" i="5"/>
  <c r="K4469" i="5" s="1"/>
  <c r="T4468" i="5"/>
  <c r="J4468" i="5"/>
  <c r="K4468" i="5" s="1"/>
  <c r="T4467" i="5"/>
  <c r="J4467" i="5"/>
  <c r="K4467" i="5" s="1"/>
  <c r="T4466" i="5"/>
  <c r="J4466" i="5"/>
  <c r="K4466" i="5" s="1"/>
  <c r="T4465" i="5"/>
  <c r="J4465" i="5"/>
  <c r="K4465" i="5" s="1"/>
  <c r="T4464" i="5"/>
  <c r="J4464" i="5"/>
  <c r="T4463" i="5"/>
  <c r="J4463" i="5"/>
  <c r="K4463" i="5" s="1"/>
  <c r="T4462" i="5"/>
  <c r="J4462" i="5"/>
  <c r="K4462" i="5" s="1"/>
  <c r="T4461" i="5"/>
  <c r="J4461" i="5"/>
  <c r="K4461" i="5" s="1"/>
  <c r="T4460" i="5"/>
  <c r="J4460" i="5"/>
  <c r="K4460" i="5" s="1"/>
  <c r="T4459" i="5"/>
  <c r="J4459" i="5"/>
  <c r="K4459" i="5" s="1"/>
  <c r="T4458" i="5"/>
  <c r="J4458" i="5"/>
  <c r="K4458" i="5" s="1"/>
  <c r="T4457" i="5"/>
  <c r="J4457" i="5"/>
  <c r="T4456" i="5"/>
  <c r="J4456" i="5"/>
  <c r="K4456" i="5" s="1"/>
  <c r="T4455" i="5"/>
  <c r="J4455" i="5"/>
  <c r="T4454" i="5"/>
  <c r="J4454" i="5"/>
  <c r="K4454" i="5" s="1"/>
  <c r="T4453" i="5"/>
  <c r="J4453" i="5"/>
  <c r="K4453" i="5" s="1"/>
  <c r="T4452" i="5"/>
  <c r="J4452" i="5"/>
  <c r="K4452" i="5" s="1"/>
  <c r="T4451" i="5"/>
  <c r="J4451" i="5"/>
  <c r="T4450" i="5"/>
  <c r="J4450" i="5"/>
  <c r="K4450" i="5" s="1"/>
  <c r="T4449" i="5"/>
  <c r="J4449" i="5"/>
  <c r="K4449" i="5" s="1"/>
  <c r="T4448" i="5"/>
  <c r="J4448" i="5"/>
  <c r="T4447" i="5"/>
  <c r="J4447" i="5"/>
  <c r="K4447" i="5" s="1"/>
  <c r="T4446" i="5"/>
  <c r="J4446" i="5"/>
  <c r="T4445" i="5"/>
  <c r="J4445" i="5"/>
  <c r="K4445" i="5" s="1"/>
  <c r="T4444" i="5"/>
  <c r="J4444" i="5"/>
  <c r="T4443" i="5"/>
  <c r="J4443" i="5"/>
  <c r="T4442" i="5"/>
  <c r="J4442" i="5"/>
  <c r="K4442" i="5" s="1"/>
  <c r="T4441" i="5"/>
  <c r="J4441" i="5"/>
  <c r="T4440" i="5"/>
  <c r="J4440" i="5"/>
  <c r="T4439" i="5"/>
  <c r="J4439" i="5"/>
  <c r="K4439" i="5" s="1"/>
  <c r="T4438" i="5"/>
  <c r="J4438" i="5"/>
  <c r="T4437" i="5"/>
  <c r="J4437" i="5"/>
  <c r="T4436" i="5"/>
  <c r="J4436" i="5"/>
  <c r="K4436" i="5" s="1"/>
  <c r="T4435" i="5"/>
  <c r="J4435" i="5"/>
  <c r="T4434" i="5"/>
  <c r="J4434" i="5"/>
  <c r="T4433" i="5"/>
  <c r="J4433" i="5"/>
  <c r="K4433" i="5" s="1"/>
  <c r="T4432" i="5"/>
  <c r="J4432" i="5"/>
  <c r="K4432" i="5" s="1"/>
  <c r="T4431" i="5"/>
  <c r="J4431" i="5"/>
  <c r="T4430" i="5"/>
  <c r="J4430" i="5"/>
  <c r="K4430" i="5" s="1"/>
  <c r="T4429" i="5"/>
  <c r="J4429" i="5"/>
  <c r="K4429" i="5" s="1"/>
  <c r="L4429" i="5" s="1"/>
  <c r="T4428" i="5"/>
  <c r="J4428" i="5"/>
  <c r="K4428" i="5" s="1"/>
  <c r="T4427" i="5"/>
  <c r="J4427" i="5"/>
  <c r="K4427" i="5" s="1"/>
  <c r="T4426" i="5"/>
  <c r="J4426" i="5"/>
  <c r="T4425" i="5"/>
  <c r="J4425" i="5"/>
  <c r="T4424" i="5"/>
  <c r="J4424" i="5"/>
  <c r="T4423" i="5"/>
  <c r="J4423" i="5"/>
  <c r="K4423" i="5" s="1"/>
  <c r="L4423" i="5" s="1"/>
  <c r="T4422" i="5"/>
  <c r="J4422" i="5"/>
  <c r="K4422" i="5" s="1"/>
  <c r="T4421" i="5"/>
  <c r="J4421" i="5"/>
  <c r="K4421" i="5" s="1"/>
  <c r="T4420" i="5"/>
  <c r="J4420" i="5"/>
  <c r="K4420" i="5" s="1"/>
  <c r="T4419" i="5"/>
  <c r="J4419" i="5"/>
  <c r="T4418" i="5"/>
  <c r="J4418" i="5"/>
  <c r="T4417" i="5"/>
  <c r="J4417" i="5"/>
  <c r="K4417" i="5" s="1"/>
  <c r="T4416" i="5"/>
  <c r="J4416" i="5"/>
  <c r="T4415" i="5"/>
  <c r="J4415" i="5"/>
  <c r="K4415" i="5" s="1"/>
  <c r="L4415" i="5" s="1"/>
  <c r="T4414" i="5"/>
  <c r="J4414" i="5"/>
  <c r="K4414" i="5" s="1"/>
  <c r="T4413" i="5"/>
  <c r="J4413" i="5"/>
  <c r="K4413" i="5" s="1"/>
  <c r="L4413" i="5" s="1"/>
  <c r="P4413" i="5" s="1"/>
  <c r="T4412" i="5"/>
  <c r="J4412" i="5"/>
  <c r="K4412" i="5" s="1"/>
  <c r="T4411" i="5"/>
  <c r="J4411" i="5"/>
  <c r="K4411" i="5" s="1"/>
  <c r="T4410" i="5"/>
  <c r="J4410" i="5"/>
  <c r="T4409" i="5"/>
  <c r="J4409" i="5"/>
  <c r="K4409" i="5" s="1"/>
  <c r="T4408" i="5"/>
  <c r="J4408" i="5"/>
  <c r="T4407" i="5"/>
  <c r="J4407" i="5"/>
  <c r="K4407" i="5" s="1"/>
  <c r="T4406" i="5"/>
  <c r="J4406" i="5"/>
  <c r="K4406" i="5" s="1"/>
  <c r="T4405" i="5"/>
  <c r="J4405" i="5"/>
  <c r="T4404" i="5"/>
  <c r="J4404" i="5"/>
  <c r="K4404" i="5" s="1"/>
  <c r="T4403" i="5"/>
  <c r="J4403" i="5"/>
  <c r="K4403" i="5" s="1"/>
  <c r="T4402" i="5"/>
  <c r="J4402" i="5"/>
  <c r="T4401" i="5"/>
  <c r="J4401" i="5"/>
  <c r="K4401" i="5" s="1"/>
  <c r="T4400" i="5"/>
  <c r="J4400" i="5"/>
  <c r="T4399" i="5"/>
  <c r="J4399" i="5"/>
  <c r="K4399" i="5" s="1"/>
  <c r="T4398" i="5"/>
  <c r="J4398" i="5"/>
  <c r="K4398" i="5" s="1"/>
  <c r="L4398" i="5" s="1"/>
  <c r="T4397" i="5"/>
  <c r="J4397" i="5"/>
  <c r="K4397" i="5" s="1"/>
  <c r="T4396" i="5"/>
  <c r="J4396" i="5"/>
  <c r="K4396" i="5" s="1"/>
  <c r="T4395" i="5"/>
  <c r="J4395" i="5"/>
  <c r="T4394" i="5"/>
  <c r="J4394" i="5"/>
  <c r="K4394" i="5" s="1"/>
  <c r="T4393" i="5"/>
  <c r="J4393" i="5"/>
  <c r="T4392" i="5"/>
  <c r="J4392" i="5"/>
  <c r="K4392" i="5" s="1"/>
  <c r="L4392" i="5" s="1"/>
  <c r="T4391" i="5"/>
  <c r="J4391" i="5"/>
  <c r="K4391" i="5" s="1"/>
  <c r="T4390" i="5"/>
  <c r="J4390" i="5"/>
  <c r="K4390" i="5" s="1"/>
  <c r="T4389" i="5"/>
  <c r="J4389" i="5"/>
  <c r="T4388" i="5"/>
  <c r="J4388" i="5"/>
  <c r="K4388" i="5" s="1"/>
  <c r="T4387" i="5"/>
  <c r="J4387" i="5"/>
  <c r="T4386" i="5"/>
  <c r="J4386" i="5"/>
  <c r="K4386" i="5" s="1"/>
  <c r="L4386" i="5" s="1"/>
  <c r="T4385" i="5"/>
  <c r="J4385" i="5"/>
  <c r="K4385" i="5" s="1"/>
  <c r="T4384" i="5"/>
  <c r="J4384" i="5"/>
  <c r="K4384" i="5" s="1"/>
  <c r="T4383" i="5"/>
  <c r="J4383" i="5"/>
  <c r="T4382" i="5"/>
  <c r="J4382" i="5"/>
  <c r="K4382" i="5" s="1"/>
  <c r="T4381" i="5"/>
  <c r="J4381" i="5"/>
  <c r="T4380" i="5"/>
  <c r="J4380" i="5"/>
  <c r="K4380" i="5" s="1"/>
  <c r="L4380" i="5" s="1"/>
  <c r="T4379" i="5"/>
  <c r="J4379" i="5"/>
  <c r="K4379" i="5" s="1"/>
  <c r="T4378" i="5"/>
  <c r="J4378" i="5"/>
  <c r="T4377" i="5"/>
  <c r="J4377" i="5"/>
  <c r="K4377" i="5" s="1"/>
  <c r="T4376" i="5"/>
  <c r="J4376" i="5"/>
  <c r="K4376" i="5" s="1"/>
  <c r="L4376" i="5" s="1"/>
  <c r="T4375" i="5"/>
  <c r="J4375" i="5"/>
  <c r="T4374" i="5"/>
  <c r="J4374" i="5"/>
  <c r="K4374" i="5" s="1"/>
  <c r="T4373" i="5"/>
  <c r="J4373" i="5"/>
  <c r="K4373" i="5" s="1"/>
  <c r="T4372" i="5"/>
  <c r="J4372" i="5"/>
  <c r="T4371" i="5"/>
  <c r="J4371" i="5"/>
  <c r="K4371" i="5" s="1"/>
  <c r="T4370" i="5"/>
  <c r="J4370" i="5"/>
  <c r="K4370" i="5" s="1"/>
  <c r="T4369" i="5"/>
  <c r="J4369" i="5"/>
  <c r="K4369" i="5" s="1"/>
  <c r="L4369" i="5" s="1"/>
  <c r="T4368" i="5"/>
  <c r="J4368" i="5"/>
  <c r="K4368" i="5" s="1"/>
  <c r="T4367" i="5"/>
  <c r="J4367" i="5"/>
  <c r="K4367" i="5" s="1"/>
  <c r="T4366" i="5"/>
  <c r="J4366" i="5"/>
  <c r="T4365" i="5"/>
  <c r="J4365" i="5"/>
  <c r="T4364" i="5"/>
  <c r="J4364" i="5"/>
  <c r="K4364" i="5" s="1"/>
  <c r="T4363" i="5"/>
  <c r="J4363" i="5"/>
  <c r="T4362" i="5"/>
  <c r="J4362" i="5"/>
  <c r="K4362" i="5" s="1"/>
  <c r="T4361" i="5"/>
  <c r="J4361" i="5"/>
  <c r="K4361" i="5" s="1"/>
  <c r="T4360" i="5"/>
  <c r="J4360" i="5"/>
  <c r="T4359" i="5"/>
  <c r="J4359" i="5"/>
  <c r="K4359" i="5" s="1"/>
  <c r="T4358" i="5"/>
  <c r="J4358" i="5"/>
  <c r="T4357" i="5"/>
  <c r="J4357" i="5"/>
  <c r="T4356" i="5"/>
  <c r="J4356" i="5"/>
  <c r="K4356" i="5" s="1"/>
  <c r="L4356" i="5" s="1"/>
  <c r="T4355" i="5"/>
  <c r="J4355" i="5"/>
  <c r="T4354" i="5"/>
  <c r="J4354" i="5"/>
  <c r="T4353" i="5"/>
  <c r="J4353" i="5"/>
  <c r="K4353" i="5" s="1"/>
  <c r="T4352" i="5"/>
  <c r="J4352" i="5"/>
  <c r="T4351" i="5"/>
  <c r="J4351" i="5"/>
  <c r="T4350" i="5"/>
  <c r="J4350" i="5"/>
  <c r="K4350" i="5" s="1"/>
  <c r="T4349" i="5"/>
  <c r="J4349" i="5"/>
  <c r="T4348" i="5"/>
  <c r="J4348" i="5"/>
  <c r="T4347" i="5"/>
  <c r="J4347" i="5"/>
  <c r="T4346" i="5"/>
  <c r="J4346" i="5"/>
  <c r="T4345" i="5"/>
  <c r="J4345" i="5"/>
  <c r="K4345" i="5" s="1"/>
  <c r="T4344" i="5"/>
  <c r="J4344" i="5"/>
  <c r="K4344" i="5" s="1"/>
  <c r="T4343" i="5"/>
  <c r="J4343" i="5"/>
  <c r="T4342" i="5"/>
  <c r="J4342" i="5"/>
  <c r="T4341" i="5"/>
  <c r="J4341" i="5"/>
  <c r="K4341" i="5" s="1"/>
  <c r="T4340" i="5"/>
  <c r="J4340" i="5"/>
  <c r="K4340" i="5" s="1"/>
  <c r="T4339" i="5"/>
  <c r="J4339" i="5"/>
  <c r="K4339" i="5" s="1"/>
  <c r="T4338" i="5"/>
  <c r="J4338" i="5"/>
  <c r="K4338" i="5" s="1"/>
  <c r="T4337" i="5"/>
  <c r="J4337" i="5"/>
  <c r="T4336" i="5"/>
  <c r="J4336" i="5"/>
  <c r="T4335" i="5"/>
  <c r="J4335" i="5"/>
  <c r="K4335" i="5" s="1"/>
  <c r="T4334" i="5"/>
  <c r="J4334" i="5"/>
  <c r="K4334" i="5" s="1"/>
  <c r="T4333" i="5"/>
  <c r="J4333" i="5"/>
  <c r="K4333" i="5" s="1"/>
  <c r="T4332" i="5"/>
  <c r="J4332" i="5"/>
  <c r="K4332" i="5" s="1"/>
  <c r="T4331" i="5"/>
  <c r="J4331" i="5"/>
  <c r="T4330" i="5"/>
  <c r="J4330" i="5"/>
  <c r="T4329" i="5"/>
  <c r="J4329" i="5"/>
  <c r="K4329" i="5" s="1"/>
  <c r="T4328" i="5"/>
  <c r="J4328" i="5"/>
  <c r="K4328" i="5" s="1"/>
  <c r="T4327" i="5"/>
  <c r="J4327" i="5"/>
  <c r="K4327" i="5" s="1"/>
  <c r="T4326" i="5"/>
  <c r="J4326" i="5"/>
  <c r="T4325" i="5"/>
  <c r="J4325" i="5"/>
  <c r="T4324" i="5"/>
  <c r="J4324" i="5"/>
  <c r="K4324" i="5" s="1"/>
  <c r="T4323" i="5"/>
  <c r="J4323" i="5"/>
  <c r="K4323" i="5" s="1"/>
  <c r="T4322" i="5"/>
  <c r="J4322" i="5"/>
  <c r="K4322" i="5" s="1"/>
  <c r="T4321" i="5"/>
  <c r="J4321" i="5"/>
  <c r="K4321" i="5" s="1"/>
  <c r="T4320" i="5"/>
  <c r="J4320" i="5"/>
  <c r="T4319" i="5"/>
  <c r="J4319" i="5"/>
  <c r="T4318" i="5"/>
  <c r="J4318" i="5"/>
  <c r="K4318" i="5" s="1"/>
  <c r="T4317" i="5"/>
  <c r="J4317" i="5"/>
  <c r="K4317" i="5" s="1"/>
  <c r="T4316" i="5"/>
  <c r="J4316" i="5"/>
  <c r="K4316" i="5" s="1"/>
  <c r="T4315" i="5"/>
  <c r="J4315" i="5"/>
  <c r="T4314" i="5"/>
  <c r="J4314" i="5"/>
  <c r="T4313" i="5"/>
  <c r="J4313" i="5"/>
  <c r="K4313" i="5" s="1"/>
  <c r="T4312" i="5"/>
  <c r="J4312" i="5"/>
  <c r="K4312" i="5" s="1"/>
  <c r="T4311" i="5"/>
  <c r="J4311" i="5"/>
  <c r="K4311" i="5" s="1"/>
  <c r="T4310" i="5"/>
  <c r="J4310" i="5"/>
  <c r="K4310" i="5" s="1"/>
  <c r="T4309" i="5"/>
  <c r="J4309" i="5"/>
  <c r="T4308" i="5"/>
  <c r="J4308" i="5"/>
  <c r="T4307" i="5"/>
  <c r="J4307" i="5"/>
  <c r="K4307" i="5" s="1"/>
  <c r="T4306" i="5"/>
  <c r="J4306" i="5"/>
  <c r="K4306" i="5" s="1"/>
  <c r="T4305" i="5"/>
  <c r="J4305" i="5"/>
  <c r="K4305" i="5" s="1"/>
  <c r="T4304" i="5"/>
  <c r="J4304" i="5"/>
  <c r="K4304" i="5" s="1"/>
  <c r="T4303" i="5"/>
  <c r="J4303" i="5"/>
  <c r="T4302" i="5"/>
  <c r="J4302" i="5"/>
  <c r="T4301" i="5"/>
  <c r="J4301" i="5"/>
  <c r="T4300" i="5"/>
  <c r="J4300" i="5"/>
  <c r="T4299" i="5"/>
  <c r="J4299" i="5"/>
  <c r="K4299" i="5" s="1"/>
  <c r="T4298" i="5"/>
  <c r="J4298" i="5"/>
  <c r="K4298" i="5" s="1"/>
  <c r="T4297" i="5"/>
  <c r="J4297" i="5"/>
  <c r="K4297" i="5" s="1"/>
  <c r="T4296" i="5"/>
  <c r="J4296" i="5"/>
  <c r="K4296" i="5" s="1"/>
  <c r="T4295" i="5"/>
  <c r="J4295" i="5"/>
  <c r="T4294" i="5"/>
  <c r="J4294" i="5"/>
  <c r="T4293" i="5"/>
  <c r="J4293" i="5"/>
  <c r="K4293" i="5" s="1"/>
  <c r="T4292" i="5"/>
  <c r="J4292" i="5"/>
  <c r="K4292" i="5" s="1"/>
  <c r="L4292" i="5" s="1"/>
  <c r="T4291" i="5"/>
  <c r="J4291" i="5"/>
  <c r="K4291" i="5" s="1"/>
  <c r="T4290" i="5"/>
  <c r="J4290" i="5"/>
  <c r="K4290" i="5" s="1"/>
  <c r="L4290" i="5" s="1"/>
  <c r="P4290" i="5" s="1"/>
  <c r="T4289" i="5"/>
  <c r="J4289" i="5"/>
  <c r="T4288" i="5"/>
  <c r="J4288" i="5"/>
  <c r="K4288" i="5" s="1"/>
  <c r="T4287" i="5"/>
  <c r="J4287" i="5"/>
  <c r="T4286" i="5"/>
  <c r="J4286" i="5"/>
  <c r="K4286" i="5" s="1"/>
  <c r="T4285" i="5"/>
  <c r="J4285" i="5"/>
  <c r="K4285" i="5" s="1"/>
  <c r="T4284" i="5"/>
  <c r="J4284" i="5"/>
  <c r="K4284" i="5" s="1"/>
  <c r="L4284" i="5" s="1"/>
  <c r="P4284" i="5" s="1"/>
  <c r="T4283" i="5"/>
  <c r="J4283" i="5"/>
  <c r="T4282" i="5"/>
  <c r="J4282" i="5"/>
  <c r="K4282" i="5" s="1"/>
  <c r="T4281" i="5"/>
  <c r="J4281" i="5"/>
  <c r="K4281" i="5" s="1"/>
  <c r="T4280" i="5"/>
  <c r="J4280" i="5"/>
  <c r="K4280" i="5" s="1"/>
  <c r="T4279" i="5"/>
  <c r="J4279" i="5"/>
  <c r="K4279" i="5" s="1"/>
  <c r="T4278" i="5"/>
  <c r="J4278" i="5"/>
  <c r="K4278" i="5" s="1"/>
  <c r="L4278" i="5" s="1"/>
  <c r="P4278" i="5" s="1"/>
  <c r="T4277" i="5"/>
  <c r="J4277" i="5"/>
  <c r="T4276" i="5"/>
  <c r="J4276" i="5"/>
  <c r="T4275" i="5"/>
  <c r="J4275" i="5"/>
  <c r="T4274" i="5"/>
  <c r="J4274" i="5"/>
  <c r="K4274" i="5" s="1"/>
  <c r="T4273" i="5"/>
  <c r="J4273" i="5"/>
  <c r="K4273" i="5" s="1"/>
  <c r="T4272" i="5"/>
  <c r="J4272" i="5"/>
  <c r="K4272" i="5" s="1"/>
  <c r="L4272" i="5" s="1"/>
  <c r="T4271" i="5"/>
  <c r="J4271" i="5"/>
  <c r="K4271" i="5" s="1"/>
  <c r="T4270" i="5"/>
  <c r="J4270" i="5"/>
  <c r="K4270" i="5" s="1"/>
  <c r="T4269" i="5"/>
  <c r="J4269" i="5"/>
  <c r="K4269" i="5" s="1"/>
  <c r="L4269" i="5" s="1"/>
  <c r="P4269" i="5" s="1"/>
  <c r="T4268" i="5"/>
  <c r="J4268" i="5"/>
  <c r="T4267" i="5"/>
  <c r="J4267" i="5"/>
  <c r="K4267" i="5" s="1"/>
  <c r="L4267" i="5" s="1"/>
  <c r="P4267" i="5" s="1"/>
  <c r="T4266" i="5"/>
  <c r="J4266" i="5"/>
  <c r="K4266" i="5" s="1"/>
  <c r="T4265" i="5"/>
  <c r="J4265" i="5"/>
  <c r="K4265" i="5" s="1"/>
  <c r="L4265" i="5" s="1"/>
  <c r="T4264" i="5"/>
  <c r="J4264" i="5"/>
  <c r="K4264" i="5" s="1"/>
  <c r="T4263" i="5"/>
  <c r="J4263" i="5"/>
  <c r="K4263" i="5" s="1"/>
  <c r="T4262" i="5"/>
  <c r="J4262" i="5"/>
  <c r="K4262" i="5" s="1"/>
  <c r="T4261" i="5"/>
  <c r="J4261" i="5"/>
  <c r="K4261" i="5" s="1"/>
  <c r="T4260" i="5"/>
  <c r="J4260" i="5"/>
  <c r="K4260" i="5" s="1"/>
  <c r="T4259" i="5"/>
  <c r="J4259" i="5"/>
  <c r="T4258" i="5"/>
  <c r="J4258" i="5"/>
  <c r="K4258" i="5" s="1"/>
  <c r="T4257" i="5"/>
  <c r="J4257" i="5"/>
  <c r="K4257" i="5" s="1"/>
  <c r="T4256" i="5"/>
  <c r="J4256" i="5"/>
  <c r="K4256" i="5" s="1"/>
  <c r="T4255" i="5"/>
  <c r="J4255" i="5"/>
  <c r="K4255" i="5" s="1"/>
  <c r="T4254" i="5"/>
  <c r="J4254" i="5"/>
  <c r="K4254" i="5" s="1"/>
  <c r="T4253" i="5"/>
  <c r="J4253" i="5"/>
  <c r="K4253" i="5" s="1"/>
  <c r="T4252" i="5"/>
  <c r="J4252" i="5"/>
  <c r="K4252" i="5" s="1"/>
  <c r="T4251" i="5"/>
  <c r="J4251" i="5"/>
  <c r="T4250" i="5"/>
  <c r="J4250" i="5"/>
  <c r="K4250" i="5" s="1"/>
  <c r="T4249" i="5"/>
  <c r="J4249" i="5"/>
  <c r="T4248" i="5"/>
  <c r="J4248" i="5"/>
  <c r="K4248" i="5" s="1"/>
  <c r="T4247" i="5"/>
  <c r="J4247" i="5"/>
  <c r="K4247" i="5" s="1"/>
  <c r="T4246" i="5"/>
  <c r="J4246" i="5"/>
  <c r="K4246" i="5" s="1"/>
  <c r="T4245" i="5"/>
  <c r="J4245" i="5"/>
  <c r="T4244" i="5"/>
  <c r="J4244" i="5"/>
  <c r="K4244" i="5" s="1"/>
  <c r="T4243" i="5"/>
  <c r="J4243" i="5"/>
  <c r="K4243" i="5" s="1"/>
  <c r="T4242" i="5"/>
  <c r="J4242" i="5"/>
  <c r="T4241" i="5"/>
  <c r="J4241" i="5"/>
  <c r="T4240" i="5"/>
  <c r="J4240" i="5"/>
  <c r="K4240" i="5" s="1"/>
  <c r="T4239" i="5"/>
  <c r="J4239" i="5"/>
  <c r="K4239" i="5" s="1"/>
  <c r="T4238" i="5"/>
  <c r="J4238" i="5"/>
  <c r="K4238" i="5" s="1"/>
  <c r="T4237" i="5"/>
  <c r="J4237" i="5"/>
  <c r="T4236" i="5"/>
  <c r="J4236" i="5"/>
  <c r="K4236" i="5" s="1"/>
  <c r="T4235" i="5"/>
  <c r="J4235" i="5"/>
  <c r="T4234" i="5"/>
  <c r="J4234" i="5"/>
  <c r="K4234" i="5" s="1"/>
  <c r="T4233" i="5"/>
  <c r="J4233" i="5"/>
  <c r="K4233" i="5" s="1"/>
  <c r="T4232" i="5"/>
  <c r="J4232" i="5"/>
  <c r="T4231" i="5"/>
  <c r="J4231" i="5"/>
  <c r="T4230" i="5"/>
  <c r="J4230" i="5"/>
  <c r="K4230" i="5" s="1"/>
  <c r="T4229" i="5"/>
  <c r="J4229" i="5"/>
  <c r="T4228" i="5"/>
  <c r="J4228" i="5"/>
  <c r="K4228" i="5" s="1"/>
  <c r="T4227" i="5"/>
  <c r="J4227" i="5"/>
  <c r="K4227" i="5" s="1"/>
  <c r="T4226" i="5"/>
  <c r="J4226" i="5"/>
  <c r="T4225" i="5"/>
  <c r="J4225" i="5"/>
  <c r="K4225" i="5" s="1"/>
  <c r="B4776" i="5"/>
  <c r="B4777" i="5"/>
  <c r="B4778" i="5"/>
  <c r="B4774" i="5"/>
  <c r="B4775" i="5"/>
  <c r="B4773" i="5"/>
  <c r="B4772" i="5"/>
  <c r="B4770" i="5"/>
  <c r="B4771" i="5"/>
  <c r="B4768" i="5"/>
  <c r="B4769" i="5"/>
  <c r="B4765" i="5"/>
  <c r="B4766" i="5"/>
  <c r="B4767" i="5"/>
  <c r="B4762" i="5"/>
  <c r="B4763" i="5"/>
  <c r="B4764" i="5"/>
  <c r="B4760" i="5"/>
  <c r="B4761" i="5"/>
  <c r="B4758" i="5"/>
  <c r="B4759" i="5"/>
  <c r="B4754" i="5"/>
  <c r="B4755" i="5"/>
  <c r="B4756" i="5"/>
  <c r="B4757" i="5"/>
  <c r="B4752" i="5"/>
  <c r="B4753" i="5"/>
  <c r="B4750" i="5"/>
  <c r="B4751" i="5"/>
  <c r="B4745" i="5"/>
  <c r="B4746" i="5"/>
  <c r="B4747" i="5"/>
  <c r="B4748" i="5"/>
  <c r="B4749" i="5"/>
  <c r="B4742" i="5"/>
  <c r="B4743" i="5"/>
  <c r="B4744" i="5"/>
  <c r="B4739" i="5"/>
  <c r="B4740" i="5"/>
  <c r="B4741" i="5"/>
  <c r="B4737" i="5"/>
  <c r="B4738" i="5"/>
  <c r="B4734" i="5"/>
  <c r="B4735" i="5"/>
  <c r="B4736" i="5"/>
  <c r="B4733" i="5"/>
  <c r="B4731" i="5"/>
  <c r="B4732" i="5"/>
  <c r="B4727" i="5"/>
  <c r="B4728" i="5"/>
  <c r="B4729" i="5"/>
  <c r="B4730" i="5"/>
  <c r="B4725" i="5"/>
  <c r="B4726" i="5"/>
  <c r="B4720" i="5"/>
  <c r="B4721" i="5"/>
  <c r="B4722" i="5"/>
  <c r="B4723" i="5"/>
  <c r="B4724" i="5"/>
  <c r="B4719" i="5"/>
  <c r="B4714" i="5"/>
  <c r="B4715" i="5"/>
  <c r="B4716" i="5"/>
  <c r="B4717" i="5"/>
  <c r="B4718" i="5"/>
  <c r="B4713" i="5"/>
  <c r="B4711" i="5"/>
  <c r="B4712" i="5"/>
  <c r="B4707" i="5"/>
  <c r="B4708" i="5"/>
  <c r="B4709" i="5"/>
  <c r="B4710" i="5"/>
  <c r="B4704" i="5"/>
  <c r="B4705" i="5"/>
  <c r="B4706" i="5"/>
  <c r="B4702" i="5"/>
  <c r="B4703" i="5"/>
  <c r="B4699" i="5"/>
  <c r="B4700" i="5"/>
  <c r="B4701" i="5"/>
  <c r="B4695" i="5"/>
  <c r="B4696" i="5"/>
  <c r="B4697" i="5"/>
  <c r="B4698" i="5"/>
  <c r="B4692" i="5"/>
  <c r="B4693" i="5"/>
  <c r="B4694" i="5"/>
  <c r="B4690" i="5"/>
  <c r="B4691" i="5"/>
  <c r="B4687" i="5"/>
  <c r="B4688" i="5"/>
  <c r="B4689" i="5"/>
  <c r="B4685" i="5"/>
  <c r="B4686" i="5"/>
  <c r="B4681" i="5"/>
  <c r="B4682" i="5"/>
  <c r="B4683" i="5"/>
  <c r="B4684" i="5"/>
  <c r="B4678" i="5"/>
  <c r="B4679" i="5"/>
  <c r="B4680" i="5"/>
  <c r="B4675" i="5"/>
  <c r="B4676" i="5"/>
  <c r="B4677" i="5"/>
  <c r="B4669" i="5"/>
  <c r="B4670" i="5"/>
  <c r="B4671" i="5"/>
  <c r="B4672" i="5"/>
  <c r="B4673" i="5"/>
  <c r="B4674" i="5"/>
  <c r="B4668" i="5"/>
  <c r="B4663" i="5"/>
  <c r="B4664" i="5"/>
  <c r="B4665" i="5"/>
  <c r="B4666" i="5"/>
  <c r="B4667" i="5"/>
  <c r="B4660" i="5"/>
  <c r="B4661" i="5"/>
  <c r="B4662" i="5"/>
  <c r="B4657" i="5"/>
  <c r="B4658" i="5"/>
  <c r="B4659" i="5"/>
  <c r="B4652" i="5"/>
  <c r="B4653" i="5"/>
  <c r="B4654" i="5"/>
  <c r="B4655" i="5"/>
  <c r="B4656" i="5"/>
  <c r="B4650" i="5"/>
  <c r="B4651" i="5"/>
  <c r="B4648" i="5"/>
  <c r="B4649" i="5"/>
  <c r="B4646" i="5"/>
  <c r="B4647" i="5"/>
  <c r="B4642" i="5"/>
  <c r="B4643" i="5"/>
  <c r="B4644" i="5"/>
  <c r="B4645" i="5"/>
  <c r="B4640" i="5"/>
  <c r="B4641" i="5"/>
  <c r="B4636" i="5"/>
  <c r="B4637" i="5"/>
  <c r="B4638" i="5"/>
  <c r="B4639" i="5"/>
  <c r="B4635" i="5"/>
  <c r="B4634" i="5"/>
  <c r="B4631" i="5"/>
  <c r="B4632" i="5"/>
  <c r="B4633" i="5"/>
  <c r="B4629" i="5"/>
  <c r="B4630" i="5"/>
  <c r="B4628" i="5"/>
  <c r="B4627" i="5"/>
  <c r="B4623" i="5"/>
  <c r="B4624" i="5"/>
  <c r="B4625" i="5"/>
  <c r="B4626" i="5"/>
  <c r="B4621" i="5"/>
  <c r="B4622" i="5"/>
  <c r="B4620" i="5"/>
  <c r="B4616" i="5"/>
  <c r="B4617" i="5"/>
  <c r="B4618" i="5"/>
  <c r="B4619" i="5"/>
  <c r="B4612" i="5"/>
  <c r="B4613" i="5"/>
  <c r="B4614" i="5"/>
  <c r="B4615" i="5"/>
  <c r="B4610" i="5"/>
  <c r="B4611" i="5"/>
  <c r="B4608" i="5"/>
  <c r="B4609" i="5"/>
  <c r="Q4609" i="5" s="1"/>
  <c r="B4604" i="5"/>
  <c r="B4605" i="5"/>
  <c r="B4606" i="5"/>
  <c r="B4607" i="5"/>
  <c r="B4602" i="5"/>
  <c r="B4603" i="5"/>
  <c r="B4600" i="5"/>
  <c r="B4601" i="5"/>
  <c r="B4598" i="5"/>
  <c r="B4599" i="5"/>
  <c r="B4596" i="5"/>
  <c r="B4597" i="5"/>
  <c r="B4593" i="5"/>
  <c r="B4594" i="5"/>
  <c r="B4595" i="5"/>
  <c r="B4592" i="5"/>
  <c r="B4590" i="5"/>
  <c r="B4591" i="5"/>
  <c r="B4587" i="5"/>
  <c r="B4588" i="5"/>
  <c r="B4589" i="5"/>
  <c r="B4584" i="5"/>
  <c r="B4585" i="5"/>
  <c r="B4586" i="5"/>
  <c r="B4583" i="5"/>
  <c r="B4580" i="5"/>
  <c r="B4581" i="5"/>
  <c r="B4582" i="5"/>
  <c r="B4576" i="5"/>
  <c r="B4577" i="5"/>
  <c r="B4578" i="5"/>
  <c r="B4579" i="5"/>
  <c r="B4574" i="5"/>
  <c r="B4575" i="5"/>
  <c r="B4570" i="5"/>
  <c r="B4571" i="5"/>
  <c r="B4572" i="5"/>
  <c r="B4573" i="5"/>
  <c r="B4566" i="5"/>
  <c r="B4567" i="5"/>
  <c r="B4568" i="5"/>
  <c r="B4569" i="5"/>
  <c r="B4565" i="5"/>
  <c r="B4563" i="5"/>
  <c r="B4564" i="5"/>
  <c r="B4560" i="5"/>
  <c r="B4561" i="5"/>
  <c r="B4562" i="5"/>
  <c r="B4558" i="5"/>
  <c r="B4559" i="5"/>
  <c r="B4555" i="5"/>
  <c r="B4556" i="5"/>
  <c r="B4557" i="5"/>
  <c r="B4550" i="5"/>
  <c r="B4551" i="5"/>
  <c r="B4552" i="5"/>
  <c r="B4553" i="5"/>
  <c r="B4554" i="5"/>
  <c r="B4546" i="5"/>
  <c r="B4547" i="5"/>
  <c r="B4548" i="5"/>
  <c r="B4549" i="5"/>
  <c r="B4545" i="5"/>
  <c r="B4543" i="5"/>
  <c r="B4544" i="5"/>
  <c r="B4537" i="5"/>
  <c r="B4538" i="5"/>
  <c r="B4539" i="5"/>
  <c r="B4540" i="5"/>
  <c r="Q4540" i="5" s="1"/>
  <c r="B4541" i="5"/>
  <c r="B4542" i="5"/>
  <c r="B4532" i="5"/>
  <c r="M4532" i="5" s="1"/>
  <c r="B4533" i="5"/>
  <c r="B4534" i="5"/>
  <c r="B4535" i="5"/>
  <c r="B4536" i="5"/>
  <c r="B4527" i="5"/>
  <c r="B4528" i="5"/>
  <c r="B4529" i="5"/>
  <c r="B4530" i="5"/>
  <c r="B4531" i="5"/>
  <c r="B4523" i="5"/>
  <c r="B4524" i="5"/>
  <c r="M4524" i="5" s="1"/>
  <c r="B4525" i="5"/>
  <c r="B4526" i="5"/>
  <c r="B4517" i="5"/>
  <c r="B4518" i="5"/>
  <c r="B4519" i="5"/>
  <c r="B4520" i="5"/>
  <c r="B4521" i="5"/>
  <c r="B4522" i="5"/>
  <c r="B4513" i="5"/>
  <c r="B4514" i="5"/>
  <c r="B4515" i="5"/>
  <c r="B4516" i="5"/>
  <c r="B4508" i="5"/>
  <c r="B4509" i="5"/>
  <c r="B4510" i="5"/>
  <c r="B4511" i="5"/>
  <c r="B4512" i="5"/>
  <c r="B4503" i="5"/>
  <c r="B4504" i="5"/>
  <c r="B4505" i="5"/>
  <c r="B4506" i="5"/>
  <c r="B4507" i="5"/>
  <c r="B4501" i="5"/>
  <c r="B4502" i="5"/>
  <c r="B4498" i="5"/>
  <c r="B4499" i="5"/>
  <c r="B4500" i="5"/>
  <c r="B4497" i="5"/>
  <c r="B4494" i="5"/>
  <c r="B4495" i="5"/>
  <c r="B4496" i="5"/>
  <c r="B4491" i="5"/>
  <c r="B4492" i="5"/>
  <c r="B4493" i="5"/>
  <c r="B4490" i="5"/>
  <c r="B4487" i="5"/>
  <c r="Q4487" i="5" s="1"/>
  <c r="B4488" i="5"/>
  <c r="B4489" i="5"/>
  <c r="B4486" i="5"/>
  <c r="B4485" i="5"/>
  <c r="B4483" i="5"/>
  <c r="B4484" i="5"/>
  <c r="B4479" i="5"/>
  <c r="M4479" i="5" s="1"/>
  <c r="B4480" i="5"/>
  <c r="B4481" i="5"/>
  <c r="B4482" i="5"/>
  <c r="B4476" i="5"/>
  <c r="B4477" i="5"/>
  <c r="B4478" i="5"/>
  <c r="B4474" i="5"/>
  <c r="B4475" i="5"/>
  <c r="B4473" i="5"/>
  <c r="B4471" i="5"/>
  <c r="B4472" i="5"/>
  <c r="B4470" i="5"/>
  <c r="B4466" i="5"/>
  <c r="B4467" i="5"/>
  <c r="B4468" i="5"/>
  <c r="B4469" i="5"/>
  <c r="B4464" i="5"/>
  <c r="B4465" i="5"/>
  <c r="B4463" i="5"/>
  <c r="B4461" i="5"/>
  <c r="B4462" i="5"/>
  <c r="B4460" i="5"/>
  <c r="B4457" i="5"/>
  <c r="B4458" i="5"/>
  <c r="M4458" i="5" s="1"/>
  <c r="B4459" i="5"/>
  <c r="B4454" i="5"/>
  <c r="B4455" i="5"/>
  <c r="B4456" i="5"/>
  <c r="B4453" i="5"/>
  <c r="Q4453" i="5" s="1"/>
  <c r="B4452" i="5"/>
  <c r="B4451" i="5"/>
  <c r="B4449" i="5"/>
  <c r="B4450" i="5"/>
  <c r="B4447" i="5"/>
  <c r="B4448" i="5"/>
  <c r="B4446" i="5"/>
  <c r="B4441" i="5"/>
  <c r="B4442" i="5"/>
  <c r="B4443" i="5"/>
  <c r="B4444" i="5"/>
  <c r="B4445" i="5"/>
  <c r="B4438" i="5"/>
  <c r="B4439" i="5"/>
  <c r="B4440" i="5"/>
  <c r="B4436" i="5"/>
  <c r="Q4436" i="5" s="1"/>
  <c r="B4437" i="5"/>
  <c r="B4434" i="5"/>
  <c r="B4435" i="5"/>
  <c r="B4433" i="5"/>
  <c r="B4429" i="5"/>
  <c r="B4430" i="5"/>
  <c r="B4431" i="5"/>
  <c r="B4432" i="5"/>
  <c r="Q4432" i="5" s="1"/>
  <c r="B4426" i="5"/>
  <c r="M4426" i="5" s="1"/>
  <c r="B4427" i="5"/>
  <c r="B4428" i="5"/>
  <c r="B4424" i="5"/>
  <c r="B4425" i="5"/>
  <c r="M4425" i="5" s="1"/>
  <c r="B4423" i="5"/>
  <c r="B4421" i="5"/>
  <c r="B4422" i="5"/>
  <c r="Q4422" i="5" s="1"/>
  <c r="B4419" i="5"/>
  <c r="B4420" i="5"/>
  <c r="B4418" i="5"/>
  <c r="B4416" i="5"/>
  <c r="Q4416" i="5" s="1"/>
  <c r="B4417" i="5"/>
  <c r="M4417" i="5" s="1"/>
  <c r="B4415" i="5"/>
  <c r="B4414" i="5"/>
  <c r="M4414" i="5" s="1"/>
  <c r="B4407" i="5"/>
  <c r="B4408" i="5"/>
  <c r="B4409" i="5"/>
  <c r="B4410" i="5"/>
  <c r="B4411" i="5"/>
  <c r="Q4411" i="5" s="1"/>
  <c r="B4412" i="5"/>
  <c r="B4413" i="5"/>
  <c r="B4401" i="5"/>
  <c r="Q4401" i="5" s="1"/>
  <c r="B4402" i="5"/>
  <c r="B4403" i="5"/>
  <c r="B4404" i="5"/>
  <c r="Q4404" i="5" s="1"/>
  <c r="B4405" i="5"/>
  <c r="Q4405" i="5" s="1"/>
  <c r="B4406" i="5"/>
  <c r="B4395" i="5"/>
  <c r="Q4395" i="5" s="1"/>
  <c r="B4396" i="5"/>
  <c r="B4397" i="5"/>
  <c r="B4398" i="5"/>
  <c r="B4399" i="5"/>
  <c r="B4400" i="5"/>
  <c r="B4392" i="5"/>
  <c r="Q4392" i="5" s="1"/>
  <c r="B4393" i="5"/>
  <c r="B4394" i="5"/>
  <c r="B4391" i="5"/>
  <c r="Q4391" i="5" s="1"/>
  <c r="B4387" i="5"/>
  <c r="Q4387" i="5" s="1"/>
  <c r="B4388" i="5"/>
  <c r="Q4388" i="5" s="1"/>
  <c r="B4389" i="5"/>
  <c r="B4390" i="5"/>
  <c r="B4384" i="5"/>
  <c r="Q4384" i="5" s="1"/>
  <c r="B4385" i="5"/>
  <c r="B4386" i="5"/>
  <c r="B4381" i="5"/>
  <c r="B4382" i="5"/>
  <c r="B4383" i="5"/>
  <c r="B4380" i="5"/>
  <c r="B4377" i="5"/>
  <c r="B4378" i="5"/>
  <c r="Q4378" i="5" s="1"/>
  <c r="B4379" i="5"/>
  <c r="B4374" i="5"/>
  <c r="Q4374" i="5" s="1"/>
  <c r="B4375" i="5"/>
  <c r="Q4375" i="5" s="1"/>
  <c r="B4376" i="5"/>
  <c r="B4371" i="5"/>
  <c r="Q4371" i="5" s="1"/>
  <c r="B4372" i="5"/>
  <c r="B4373" i="5"/>
  <c r="B4368" i="5"/>
  <c r="B4369" i="5"/>
  <c r="B4370" i="5"/>
  <c r="Q4370" i="5" s="1"/>
  <c r="B4367" i="5"/>
  <c r="Q4367" i="5" s="1"/>
  <c r="B4366" i="5"/>
  <c r="B4363" i="5"/>
  <c r="Q4363" i="5" s="1"/>
  <c r="B4364" i="5"/>
  <c r="Q4364" i="5" s="1"/>
  <c r="B4365" i="5"/>
  <c r="B4360" i="5"/>
  <c r="B4361" i="5"/>
  <c r="B4362" i="5"/>
  <c r="Q4362" i="5" s="1"/>
  <c r="B4359" i="5"/>
  <c r="Q4359" i="5" s="1"/>
  <c r="B4358" i="5"/>
  <c r="B4352" i="5"/>
  <c r="B4353" i="5"/>
  <c r="B4354" i="5"/>
  <c r="Q4354" i="5" s="1"/>
  <c r="B4355" i="5"/>
  <c r="Q4355" i="5" s="1"/>
  <c r="B4356" i="5"/>
  <c r="Q4356" i="5" s="1"/>
  <c r="B4357" i="5"/>
  <c r="M4357" i="5" s="1"/>
  <c r="B4349" i="5"/>
  <c r="B4350" i="5"/>
  <c r="Q4350" i="5" s="1"/>
  <c r="B4351" i="5"/>
  <c r="B4342" i="5"/>
  <c r="B4343" i="5"/>
  <c r="B4344" i="5"/>
  <c r="M4344" i="5" s="1"/>
  <c r="B4345" i="5"/>
  <c r="B4346" i="5"/>
  <c r="B4347" i="5"/>
  <c r="Q4347" i="5" s="1"/>
  <c r="B4348" i="5"/>
  <c r="B4340" i="5"/>
  <c r="Q4340" i="5" s="1"/>
  <c r="B4341" i="5"/>
  <c r="M4341" i="5" s="1"/>
  <c r="B4338" i="5"/>
  <c r="B4339" i="5"/>
  <c r="B4337" i="5"/>
  <c r="M4337" i="5" s="1"/>
  <c r="B4335" i="5"/>
  <c r="B4336" i="5"/>
  <c r="B4334" i="5"/>
  <c r="B4331" i="5"/>
  <c r="B4332" i="5"/>
  <c r="B4333" i="5"/>
  <c r="Q4333" i="5" s="1"/>
  <c r="B4328" i="5"/>
  <c r="B4329" i="5"/>
  <c r="B4330" i="5"/>
  <c r="M4330" i="5" s="1"/>
  <c r="B4325" i="5"/>
  <c r="B4326" i="5"/>
  <c r="B4327" i="5"/>
  <c r="M4327" i="5" s="1"/>
  <c r="B4324" i="5"/>
  <c r="M4324" i="5" s="1"/>
  <c r="B4320" i="5"/>
  <c r="M4320" i="5" s="1"/>
  <c r="B4321" i="5"/>
  <c r="B4322" i="5"/>
  <c r="B4323" i="5"/>
  <c r="Q4323" i="5" s="1"/>
  <c r="B4318" i="5"/>
  <c r="B4319" i="5"/>
  <c r="B4317" i="5"/>
  <c r="B4316" i="5"/>
  <c r="Q4316" i="5" s="1"/>
  <c r="B4313" i="5"/>
  <c r="B4314" i="5"/>
  <c r="B4315" i="5"/>
  <c r="B4309" i="5"/>
  <c r="B4310" i="5"/>
  <c r="B4311" i="5"/>
  <c r="Q4311" i="5" s="1"/>
  <c r="B4312" i="5"/>
  <c r="M4312" i="5" s="1"/>
  <c r="B4305" i="5"/>
  <c r="M4305" i="5" s="1"/>
  <c r="B4306" i="5"/>
  <c r="B4307" i="5"/>
  <c r="B4308" i="5"/>
  <c r="Q4308" i="5" s="1"/>
  <c r="B4302" i="5"/>
  <c r="B4303" i="5"/>
  <c r="B4304" i="5"/>
  <c r="Q4304" i="5" s="1"/>
  <c r="B4296" i="5"/>
  <c r="B4297" i="5"/>
  <c r="Q4297" i="5" s="1"/>
  <c r="B4298" i="5"/>
  <c r="M4298" i="5" s="1"/>
  <c r="B4299" i="5"/>
  <c r="B4300" i="5"/>
  <c r="B4301" i="5"/>
  <c r="Q4301" i="5" s="1"/>
  <c r="B4295" i="5"/>
  <c r="Q4295" i="5" s="1"/>
  <c r="B4290" i="5"/>
  <c r="Q4290" i="5" s="1"/>
  <c r="B4291" i="5"/>
  <c r="M4291" i="5" s="1"/>
  <c r="B4292" i="5"/>
  <c r="M4292" i="5" s="1"/>
  <c r="B4293" i="5"/>
  <c r="B4294" i="5"/>
  <c r="Q4294" i="5" s="1"/>
  <c r="B4286" i="5"/>
  <c r="M4286" i="5" s="1"/>
  <c r="B4287" i="5"/>
  <c r="Q4287" i="5" s="1"/>
  <c r="B4288" i="5"/>
  <c r="Q4288" i="5" s="1"/>
  <c r="B4289" i="5"/>
  <c r="Q4289" i="5" s="1"/>
  <c r="B4283" i="5"/>
  <c r="Q4283" i="5" s="1"/>
  <c r="B4284" i="5"/>
  <c r="Q4284" i="5" s="1"/>
  <c r="B4285" i="5"/>
  <c r="Q4285" i="5" s="1"/>
  <c r="B4281" i="5"/>
  <c r="M4281" i="5" s="1"/>
  <c r="B4282" i="5"/>
  <c r="M4282" i="5" s="1"/>
  <c r="B4277" i="5"/>
  <c r="Q4277" i="5" s="1"/>
  <c r="B4278" i="5"/>
  <c r="Q4278" i="5" s="1"/>
  <c r="B4279" i="5"/>
  <c r="M4279" i="5" s="1"/>
  <c r="B4280" i="5"/>
  <c r="Q4280" i="5" s="1"/>
  <c r="B4274" i="5"/>
  <c r="Q4274" i="5" s="1"/>
  <c r="B4275" i="5"/>
  <c r="Q4275" i="5" s="1"/>
  <c r="B4276" i="5"/>
  <c r="Q4276" i="5" s="1"/>
  <c r="B4269" i="5"/>
  <c r="M4269" i="5" s="1"/>
  <c r="B4270" i="5"/>
  <c r="M4270" i="5" s="1"/>
  <c r="B4271" i="5"/>
  <c r="M4271" i="5" s="1"/>
  <c r="B4272" i="5"/>
  <c r="Q4272" i="5" s="1"/>
  <c r="B4273" i="5"/>
  <c r="M4273" i="5" s="1"/>
  <c r="B4263" i="5"/>
  <c r="Q4263" i="5" s="1"/>
  <c r="B4264" i="5"/>
  <c r="Q4264" i="5" s="1"/>
  <c r="B4265" i="5"/>
  <c r="Q4265" i="5" s="1"/>
  <c r="B4266" i="5"/>
  <c r="M4266" i="5" s="1"/>
  <c r="B4267" i="5"/>
  <c r="M4267" i="5" s="1"/>
  <c r="B4268" i="5"/>
  <c r="Q4268" i="5" s="1"/>
  <c r="B4256" i="5"/>
  <c r="Q4256" i="5" s="1"/>
  <c r="B4257" i="5"/>
  <c r="Q4257" i="5" s="1"/>
  <c r="B4258" i="5"/>
  <c r="Q4258" i="5" s="1"/>
  <c r="B4259" i="5"/>
  <c r="Q4259" i="5" s="1"/>
  <c r="B4260" i="5"/>
  <c r="M4260" i="5" s="1"/>
  <c r="B4261" i="5"/>
  <c r="Q4261" i="5" s="1"/>
  <c r="B4262" i="5"/>
  <c r="Q4262" i="5" s="1"/>
  <c r="B4251" i="5"/>
  <c r="Q4251" i="5" s="1"/>
  <c r="B4252" i="5"/>
  <c r="Q4252" i="5" s="1"/>
  <c r="B4253" i="5"/>
  <c r="Q4253" i="5" s="1"/>
  <c r="B4254" i="5"/>
  <c r="Q4254" i="5" s="1"/>
  <c r="B4255" i="5"/>
  <c r="M4255" i="5" s="1"/>
  <c r="B4245" i="5"/>
  <c r="Q4245" i="5" s="1"/>
  <c r="B4246" i="5"/>
  <c r="Q4246" i="5" s="1"/>
  <c r="B4247" i="5"/>
  <c r="Q4247" i="5" s="1"/>
  <c r="B4248" i="5"/>
  <c r="M4248" i="5" s="1"/>
  <c r="B4249" i="5"/>
  <c r="Q4249" i="5" s="1"/>
  <c r="B4250" i="5"/>
  <c r="Q4250" i="5" s="1"/>
  <c r="B4237" i="5"/>
  <c r="Q4237" i="5" s="1"/>
  <c r="B4238" i="5"/>
  <c r="Q4238" i="5" s="1"/>
  <c r="B4239" i="5"/>
  <c r="Q4239" i="5" s="1"/>
  <c r="B4240" i="5"/>
  <c r="Q4240" i="5" s="1"/>
  <c r="B4241" i="5"/>
  <c r="M4241" i="5" s="1"/>
  <c r="B4242" i="5"/>
  <c r="Q4242" i="5" s="1"/>
  <c r="B4243" i="5"/>
  <c r="Q4243" i="5" s="1"/>
  <c r="B4244" i="5"/>
  <c r="Q4244" i="5" s="1"/>
  <c r="B4235" i="5"/>
  <c r="Q4235" i="5" s="1"/>
  <c r="B4236" i="5"/>
  <c r="Q4236" i="5" s="1"/>
  <c r="B4232" i="5"/>
  <c r="Q4232" i="5" s="1"/>
  <c r="B4233" i="5"/>
  <c r="M4233" i="5" s="1"/>
  <c r="B4234" i="5"/>
  <c r="M4234" i="5" s="1"/>
  <c r="B4231" i="5"/>
  <c r="Q4231" i="5" s="1"/>
  <c r="B4230" i="5"/>
  <c r="Q4230" i="5" s="1"/>
  <c r="B4225" i="5"/>
  <c r="Q4225" i="5" s="1"/>
  <c r="B4226" i="5"/>
  <c r="Q4226" i="5" s="1"/>
  <c r="B4227" i="5"/>
  <c r="M4227" i="5" s="1"/>
  <c r="B4228" i="5"/>
  <c r="Q4228" i="5" s="1"/>
  <c r="B4229" i="5"/>
  <c r="Q4229" i="5" s="1"/>
  <c r="L4406" i="5" l="1"/>
  <c r="P4406" i="5" s="1"/>
  <c r="R4392" i="5"/>
  <c r="S4392" i="5" s="1"/>
  <c r="R4290" i="5"/>
  <c r="S4290" i="5" s="1"/>
  <c r="M4244" i="5"/>
  <c r="Q4266" i="5"/>
  <c r="R4266" i="5" s="1"/>
  <c r="S4266" i="5" s="1"/>
  <c r="Q4273" i="5"/>
  <c r="R4273" i="5" s="1"/>
  <c r="S4273" i="5" s="1"/>
  <c r="M4392" i="5"/>
  <c r="N4392" i="5" s="1"/>
  <c r="M4247" i="5"/>
  <c r="R4432" i="5"/>
  <c r="S4432" i="5" s="1"/>
  <c r="M4422" i="5"/>
  <c r="Q4479" i="5"/>
  <c r="R4479" i="5" s="1"/>
  <c r="S4479" i="5" s="1"/>
  <c r="Q4524" i="5"/>
  <c r="R4524" i="5" s="1"/>
  <c r="S4524" i="5" s="1"/>
  <c r="Q4234" i="5"/>
  <c r="R4234" i="5" s="1"/>
  <c r="S4234" i="5" s="1"/>
  <c r="Q4248" i="5"/>
  <c r="R4248" i="5" s="1"/>
  <c r="S4248" i="5" s="1"/>
  <c r="Q4286" i="5"/>
  <c r="R4286" i="5" s="1"/>
  <c r="S4286" i="5" s="1"/>
  <c r="Q4291" i="5"/>
  <c r="R4291" i="5" s="1"/>
  <c r="S4291" i="5" s="1"/>
  <c r="K4363" i="5"/>
  <c r="L4363" i="5" s="1"/>
  <c r="P4363" i="5" s="1"/>
  <c r="M4388" i="5"/>
  <c r="Q4458" i="5"/>
  <c r="R4458" i="5" s="1"/>
  <c r="S4458" i="5" s="1"/>
  <c r="R4280" i="5"/>
  <c r="S4280" i="5" s="1"/>
  <c r="M4237" i="5"/>
  <c r="M4258" i="5"/>
  <c r="M4261" i="5"/>
  <c r="Q4270" i="5"/>
  <c r="R4270" i="5" s="1"/>
  <c r="S4270" i="5" s="1"/>
  <c r="M4230" i="5"/>
  <c r="M4290" i="5"/>
  <c r="N4290" i="5" s="1"/>
  <c r="O4290" i="5" s="1"/>
  <c r="M4301" i="5"/>
  <c r="M4609" i="5"/>
  <c r="Q4267" i="5"/>
  <c r="R4267" i="5" s="1"/>
  <c r="S4267" i="5" s="1"/>
  <c r="Q4241" i="5"/>
  <c r="M4251" i="5"/>
  <c r="M4263" i="5"/>
  <c r="M4404" i="5"/>
  <c r="K4752" i="5"/>
  <c r="L4752" i="5" s="1"/>
  <c r="P4752" i="5" s="1"/>
  <c r="L4741" i="5"/>
  <c r="P4741" i="5" s="1"/>
  <c r="K4722" i="5"/>
  <c r="L4722" i="5" s="1"/>
  <c r="L4718" i="5"/>
  <c r="P4718" i="5" s="1"/>
  <c r="L4712" i="5"/>
  <c r="P4712" i="5" s="1"/>
  <c r="K4707" i="5"/>
  <c r="L4707" i="5" s="1"/>
  <c r="L4686" i="5"/>
  <c r="P4686" i="5" s="1"/>
  <c r="K4678" i="5"/>
  <c r="L4678" i="5" s="1"/>
  <c r="L4658" i="5"/>
  <c r="P4658" i="5" s="1"/>
  <c r="K4656" i="5"/>
  <c r="L4656" i="5" s="1"/>
  <c r="P4656" i="5" s="1"/>
  <c r="K4651" i="5"/>
  <c r="L4651" i="5" s="1"/>
  <c r="K4648" i="5"/>
  <c r="L4648" i="5" s="1"/>
  <c r="P4648" i="5" s="1"/>
  <c r="K4630" i="5"/>
  <c r="L4630" i="5" s="1"/>
  <c r="P4630" i="5" s="1"/>
  <c r="K4560" i="5"/>
  <c r="L4560" i="5" s="1"/>
  <c r="K4554" i="5"/>
  <c r="L4554" i="5" s="1"/>
  <c r="P4554" i="5" s="1"/>
  <c r="L4544" i="5"/>
  <c r="P4544" i="5" s="1"/>
  <c r="K4537" i="5"/>
  <c r="L4537" i="5" s="1"/>
  <c r="K4534" i="5"/>
  <c r="L4534" i="5" s="1"/>
  <c r="P4534" i="5" s="1"/>
  <c r="L4517" i="5"/>
  <c r="P4517" i="5" s="1"/>
  <c r="L4508" i="5"/>
  <c r="P4508" i="5" s="1"/>
  <c r="K4497" i="5"/>
  <c r="L4497" i="5" s="1"/>
  <c r="P4497" i="5" s="1"/>
  <c r="L4487" i="5"/>
  <c r="P4487" i="5" s="1"/>
  <c r="R4487" i="5"/>
  <c r="S4487" i="5" s="1"/>
  <c r="K4455" i="5"/>
  <c r="L4455" i="5" s="1"/>
  <c r="L4449" i="5"/>
  <c r="P4449" i="5" s="1"/>
  <c r="K4444" i="5"/>
  <c r="L4444" i="5" s="1"/>
  <c r="K4438" i="5"/>
  <c r="L4438" i="5" s="1"/>
  <c r="L4432" i="5"/>
  <c r="P4432" i="5" s="1"/>
  <c r="K4426" i="5"/>
  <c r="L4426" i="5" s="1"/>
  <c r="L4420" i="5"/>
  <c r="P4420" i="5" s="1"/>
  <c r="K4416" i="5"/>
  <c r="L4416" i="5" s="1"/>
  <c r="K4408" i="5"/>
  <c r="L4408" i="5" s="1"/>
  <c r="K4387" i="5"/>
  <c r="R4387" i="5" s="1"/>
  <c r="S4387" i="5" s="1"/>
  <c r="K4375" i="5"/>
  <c r="R4375" i="5" s="1"/>
  <c r="S4375" i="5" s="1"/>
  <c r="L4370" i="5"/>
  <c r="P4370" i="5" s="1"/>
  <c r="R4370" i="5"/>
  <c r="S4370" i="5" s="1"/>
  <c r="R4356" i="5"/>
  <c r="S4356" i="5" s="1"/>
  <c r="K4355" i="5"/>
  <c r="L4355" i="5" s="1"/>
  <c r="R4284" i="5"/>
  <c r="S4284" i="5" s="1"/>
  <c r="L4280" i="5"/>
  <c r="P4280" i="5" s="1"/>
  <c r="K4393" i="5"/>
  <c r="L4393" i="5" s="1"/>
  <c r="K4441" i="5"/>
  <c r="L4441" i="5" s="1"/>
  <c r="K4275" i="5"/>
  <c r="R4275" i="5" s="1"/>
  <c r="S4275" i="5" s="1"/>
  <c r="K4535" i="5"/>
  <c r="L4535" i="5" s="1"/>
  <c r="K4555" i="5"/>
  <c r="L4555" i="5" s="1"/>
  <c r="K4563" i="5"/>
  <c r="L4563" i="5" s="1"/>
  <c r="K4638" i="5"/>
  <c r="L4638" i="5" s="1"/>
  <c r="P4638" i="5" s="1"/>
  <c r="K4723" i="5"/>
  <c r="L4723" i="5" s="1"/>
  <c r="P4723" i="5" s="1"/>
  <c r="K4645" i="5"/>
  <c r="L4645" i="5" s="1"/>
  <c r="P4645" i="5" s="1"/>
  <c r="K4381" i="5"/>
  <c r="L4381" i="5" s="1"/>
  <c r="K4687" i="5"/>
  <c r="L4687" i="5" s="1"/>
  <c r="K4729" i="5"/>
  <c r="L4729" i="5" s="1"/>
  <c r="L4281" i="5"/>
  <c r="N4281" i="5" s="1"/>
  <c r="K4405" i="5"/>
  <c r="R4405" i="5" s="1"/>
  <c r="S4405" i="5" s="1"/>
  <c r="K4492" i="5"/>
  <c r="L4492" i="5" s="1"/>
  <c r="L4513" i="5"/>
  <c r="P4513" i="5" s="1"/>
  <c r="K4642" i="5"/>
  <c r="L4642" i="5" s="1"/>
  <c r="P4642" i="5" s="1"/>
  <c r="R4278" i="5"/>
  <c r="S4278" i="5" s="1"/>
  <c r="K4561" i="5"/>
  <c r="L4561" i="5" s="1"/>
  <c r="K4358" i="5"/>
  <c r="L4358" i="5" s="1"/>
  <c r="L4407" i="5"/>
  <c r="P4407" i="5" s="1"/>
  <c r="K4435" i="5"/>
  <c r="L4435" i="5" s="1"/>
  <c r="K4525" i="5"/>
  <c r="L4525" i="5" s="1"/>
  <c r="P4525" i="5" s="1"/>
  <c r="K4681" i="5"/>
  <c r="L4681" i="5" s="1"/>
  <c r="K4287" i="5"/>
  <c r="L4287" i="5" s="1"/>
  <c r="P4287" i="5" s="1"/>
  <c r="K4506" i="5"/>
  <c r="L4506" i="5" s="1"/>
  <c r="K4679" i="5"/>
  <c r="L4679" i="5" s="1"/>
  <c r="P4679" i="5" s="1"/>
  <c r="L4725" i="5"/>
  <c r="P4725" i="5" s="1"/>
  <c r="K4315" i="5"/>
  <c r="L4315" i="5" s="1"/>
  <c r="P4315" i="5" s="1"/>
  <c r="L4286" i="5"/>
  <c r="N4286" i="5" s="1"/>
  <c r="L4428" i="5"/>
  <c r="P4428" i="5" s="1"/>
  <c r="L4503" i="5"/>
  <c r="P4503" i="5" s="1"/>
  <c r="L4571" i="5"/>
  <c r="Q4325" i="5"/>
  <c r="M4325" i="5"/>
  <c r="Q4406" i="5"/>
  <c r="R4406" i="5" s="1"/>
  <c r="S4406" i="5" s="1"/>
  <c r="M4406" i="5"/>
  <c r="Q4428" i="5"/>
  <c r="R4428" i="5" s="1"/>
  <c r="S4428" i="5" s="1"/>
  <c r="M4428" i="5"/>
  <c r="Q4455" i="5"/>
  <c r="M4455" i="5"/>
  <c r="Q4489" i="5"/>
  <c r="M4489" i="5"/>
  <c r="M4577" i="5"/>
  <c r="N4577" i="5" s="1"/>
  <c r="Q4577" i="5"/>
  <c r="R4577" i="5" s="1"/>
  <c r="S4577" i="5" s="1"/>
  <c r="M4604" i="5"/>
  <c r="Q4604" i="5"/>
  <c r="R4604" i="5" s="1"/>
  <c r="S4604" i="5" s="1"/>
  <c r="Q4633" i="5"/>
  <c r="R4633" i="5" s="1"/>
  <c r="S4633" i="5" s="1"/>
  <c r="M4633" i="5"/>
  <c r="Q4667" i="5"/>
  <c r="M4667" i="5"/>
  <c r="Q4685" i="5"/>
  <c r="M4685" i="5"/>
  <c r="M4704" i="5"/>
  <c r="N4704" i="5" s="1"/>
  <c r="Q4704" i="5"/>
  <c r="R4704" i="5" s="1"/>
  <c r="S4704" i="5" s="1"/>
  <c r="Q4721" i="5"/>
  <c r="R4721" i="5" s="1"/>
  <c r="S4721" i="5" s="1"/>
  <c r="M4721" i="5"/>
  <c r="N4721" i="5" s="1"/>
  <c r="Q4739" i="5"/>
  <c r="R4739" i="5" s="1"/>
  <c r="S4739" i="5" s="1"/>
  <c r="M4739" i="5"/>
  <c r="Q4767" i="5"/>
  <c r="M4767" i="5"/>
  <c r="R4240" i="5"/>
  <c r="S4240" i="5" s="1"/>
  <c r="Q4383" i="5"/>
  <c r="M4383" i="5"/>
  <c r="Q4390" i="5"/>
  <c r="R4390" i="5" s="1"/>
  <c r="S4390" i="5" s="1"/>
  <c r="M4390" i="5"/>
  <c r="Q4393" i="5"/>
  <c r="M4393" i="5"/>
  <c r="Q4400" i="5"/>
  <c r="M4400" i="5"/>
  <c r="Q4410" i="5"/>
  <c r="M4410" i="5"/>
  <c r="Q4427" i="5"/>
  <c r="R4427" i="5" s="1"/>
  <c r="S4427" i="5" s="1"/>
  <c r="M4427" i="5"/>
  <c r="Q4433" i="5"/>
  <c r="R4433" i="5" s="1"/>
  <c r="S4433" i="5" s="1"/>
  <c r="M4433" i="5"/>
  <c r="M4439" i="5"/>
  <c r="Q4439" i="5"/>
  <c r="R4439" i="5" s="1"/>
  <c r="S4439" i="5" s="1"/>
  <c r="Q4441" i="5"/>
  <c r="M4441" i="5"/>
  <c r="M4449" i="5"/>
  <c r="Q4449" i="5"/>
  <c r="R4449" i="5" s="1"/>
  <c r="S4449" i="5" s="1"/>
  <c r="Q4454" i="5"/>
  <c r="R4454" i="5" s="1"/>
  <c r="S4454" i="5" s="1"/>
  <c r="M4454" i="5"/>
  <c r="Q4463" i="5"/>
  <c r="R4463" i="5" s="1"/>
  <c r="S4463" i="5" s="1"/>
  <c r="M4463" i="5"/>
  <c r="M4472" i="5"/>
  <c r="Q4472" i="5"/>
  <c r="Q4478" i="5"/>
  <c r="R4478" i="5" s="1"/>
  <c r="S4478" i="5" s="1"/>
  <c r="M4478" i="5"/>
  <c r="Q4488" i="5"/>
  <c r="R4488" i="5" s="1"/>
  <c r="S4488" i="5" s="1"/>
  <c r="M4488" i="5"/>
  <c r="Q4491" i="5"/>
  <c r="R4491" i="5" s="1"/>
  <c r="S4491" i="5" s="1"/>
  <c r="M4491" i="5"/>
  <c r="Q4499" i="5"/>
  <c r="R4499" i="5" s="1"/>
  <c r="S4499" i="5" s="1"/>
  <c r="M4499" i="5"/>
  <c r="N4499" i="5" s="1"/>
  <c r="Q4505" i="5"/>
  <c r="M4505" i="5"/>
  <c r="Q4516" i="5"/>
  <c r="R4516" i="5" s="1"/>
  <c r="S4516" i="5" s="1"/>
  <c r="M4516" i="5"/>
  <c r="Q4520" i="5"/>
  <c r="R4520" i="5" s="1"/>
  <c r="S4520" i="5" s="1"/>
  <c r="M4520" i="5"/>
  <c r="M4529" i="5"/>
  <c r="Q4529" i="5"/>
  <c r="R4529" i="5" s="1"/>
  <c r="S4529" i="5" s="1"/>
  <c r="Q4545" i="5"/>
  <c r="R4545" i="5" s="1"/>
  <c r="S4545" i="5" s="1"/>
  <c r="M4545" i="5"/>
  <c r="Q4554" i="5"/>
  <c r="M4554" i="5"/>
  <c r="Q4557" i="5"/>
  <c r="R4557" i="5" s="1"/>
  <c r="S4557" i="5" s="1"/>
  <c r="M4557" i="5"/>
  <c r="M4564" i="5"/>
  <c r="Q4564" i="5"/>
  <c r="R4564" i="5" s="1"/>
  <c r="S4564" i="5" s="1"/>
  <c r="Q4570" i="5"/>
  <c r="R4570" i="5" s="1"/>
  <c r="S4570" i="5" s="1"/>
  <c r="M4570" i="5"/>
  <c r="Q4576" i="5"/>
  <c r="R4576" i="5" s="1"/>
  <c r="S4576" i="5" s="1"/>
  <c r="M4576" i="5"/>
  <c r="Q4585" i="5"/>
  <c r="R4585" i="5" s="1"/>
  <c r="S4585" i="5" s="1"/>
  <c r="M4585" i="5"/>
  <c r="Q4591" i="5"/>
  <c r="R4591" i="5" s="1"/>
  <c r="S4591" i="5" s="1"/>
  <c r="M4591" i="5"/>
  <c r="M4597" i="5"/>
  <c r="Q4597" i="5"/>
  <c r="R4597" i="5" s="1"/>
  <c r="S4597" i="5" s="1"/>
  <c r="Q4603" i="5"/>
  <c r="R4603" i="5" s="1"/>
  <c r="S4603" i="5" s="1"/>
  <c r="M4603" i="5"/>
  <c r="Q4613" i="5"/>
  <c r="R4613" i="5" s="1"/>
  <c r="S4613" i="5" s="1"/>
  <c r="M4613" i="5"/>
  <c r="N4613" i="5" s="1"/>
  <c r="Q4620" i="5"/>
  <c r="R4620" i="5" s="1"/>
  <c r="S4620" i="5" s="1"/>
  <c r="M4620" i="5"/>
  <c r="M4623" i="5"/>
  <c r="Q4623" i="5"/>
  <c r="M4632" i="5"/>
  <c r="N4632" i="5" s="1"/>
  <c r="Q4632" i="5"/>
  <c r="R4632" i="5" s="1"/>
  <c r="S4632" i="5" s="1"/>
  <c r="M4637" i="5"/>
  <c r="N4637" i="5" s="1"/>
  <c r="Q4637" i="5"/>
  <c r="R4637" i="5" s="1"/>
  <c r="S4637" i="5" s="1"/>
  <c r="Q4643" i="5"/>
  <c r="R4643" i="5" s="1"/>
  <c r="S4643" i="5" s="1"/>
  <c r="M4643" i="5"/>
  <c r="N4643" i="5" s="1"/>
  <c r="O4643" i="5" s="1"/>
  <c r="Q4651" i="5"/>
  <c r="M4651" i="5"/>
  <c r="M4656" i="5"/>
  <c r="Q4656" i="5"/>
  <c r="Q4660" i="5"/>
  <c r="R4660" i="5" s="1"/>
  <c r="S4660" i="5" s="1"/>
  <c r="M4660" i="5"/>
  <c r="N4660" i="5" s="1"/>
  <c r="Q4666" i="5"/>
  <c r="R4666" i="5" s="1"/>
  <c r="S4666" i="5" s="1"/>
  <c r="M4666" i="5"/>
  <c r="Q4672" i="5"/>
  <c r="R4672" i="5" s="1"/>
  <c r="S4672" i="5" s="1"/>
  <c r="M4672" i="5"/>
  <c r="M4682" i="5"/>
  <c r="Q4682" i="5"/>
  <c r="Q4687" i="5"/>
  <c r="M4687" i="5"/>
  <c r="Q4698" i="5"/>
  <c r="R4698" i="5" s="1"/>
  <c r="S4698" i="5" s="1"/>
  <c r="M4698" i="5"/>
  <c r="N4698" i="5" s="1"/>
  <c r="Q4699" i="5"/>
  <c r="R4699" i="5" s="1"/>
  <c r="S4699" i="5" s="1"/>
  <c r="M4699" i="5"/>
  <c r="Q4710" i="5"/>
  <c r="R4710" i="5" s="1"/>
  <c r="S4710" i="5" s="1"/>
  <c r="M4710" i="5"/>
  <c r="M4711" i="5"/>
  <c r="Q4711" i="5"/>
  <c r="Q4714" i="5"/>
  <c r="M4714" i="5"/>
  <c r="Q4720" i="5"/>
  <c r="M4720" i="5"/>
  <c r="M4727" i="5"/>
  <c r="Q4727" i="5"/>
  <c r="Q4734" i="5"/>
  <c r="R4734" i="5" s="1"/>
  <c r="S4734" i="5" s="1"/>
  <c r="M4734" i="5"/>
  <c r="Q4744" i="5"/>
  <c r="R4744" i="5" s="1"/>
  <c r="S4744" i="5" s="1"/>
  <c r="M4744" i="5"/>
  <c r="Q4746" i="5"/>
  <c r="M4746" i="5"/>
  <c r="Q4757" i="5"/>
  <c r="R4757" i="5" s="1"/>
  <c r="S4757" i="5" s="1"/>
  <c r="M4757" i="5"/>
  <c r="Q4761" i="5"/>
  <c r="M4761" i="5"/>
  <c r="Q4766" i="5"/>
  <c r="R4766" i="5" s="1"/>
  <c r="S4766" i="5" s="1"/>
  <c r="M4766" i="5"/>
  <c r="Q4772" i="5"/>
  <c r="R4772" i="5" s="1"/>
  <c r="S4772" i="5" s="1"/>
  <c r="M4772" i="5"/>
  <c r="Q4776" i="5"/>
  <c r="R4776" i="5" s="1"/>
  <c r="S4776" i="5" s="1"/>
  <c r="M4776" i="5"/>
  <c r="M4226" i="5"/>
  <c r="Q4233" i="5"/>
  <c r="R4233" i="5" s="1"/>
  <c r="S4233" i="5" s="1"/>
  <c r="M4240" i="5"/>
  <c r="R4250" i="5"/>
  <c r="S4250" i="5" s="1"/>
  <c r="R4253" i="5"/>
  <c r="S4253" i="5" s="1"/>
  <c r="M4254" i="5"/>
  <c r="M4265" i="5"/>
  <c r="N4265" i="5" s="1"/>
  <c r="Q4269" i="5"/>
  <c r="R4269" i="5" s="1"/>
  <c r="S4269" i="5" s="1"/>
  <c r="M4272" i="5"/>
  <c r="N4272" i="5" s="1"/>
  <c r="M4280" i="5"/>
  <c r="Q4281" i="5"/>
  <c r="R4281" i="5" s="1"/>
  <c r="S4281" i="5" s="1"/>
  <c r="M4285" i="5"/>
  <c r="M4289" i="5"/>
  <c r="M4295" i="5"/>
  <c r="M4297" i="5"/>
  <c r="M4311" i="5"/>
  <c r="Q4320" i="5"/>
  <c r="Q4324" i="5"/>
  <c r="R4324" i="5" s="1"/>
  <c r="S4324" i="5" s="1"/>
  <c r="Q4330" i="5"/>
  <c r="Q4337" i="5"/>
  <c r="Q4341" i="5"/>
  <c r="R4341" i="5" s="1"/>
  <c r="S4341" i="5" s="1"/>
  <c r="M4355" i="5"/>
  <c r="M4371" i="5"/>
  <c r="M4375" i="5"/>
  <c r="M4391" i="5"/>
  <c r="Q4417" i="5"/>
  <c r="R4417" i="5" s="1"/>
  <c r="S4417" i="5" s="1"/>
  <c r="Q4426" i="5"/>
  <c r="Q4532" i="5"/>
  <c r="M4540" i="5"/>
  <c r="Q4331" i="5"/>
  <c r="M4331" i="5"/>
  <c r="Q4429" i="5"/>
  <c r="R4429" i="5" s="1"/>
  <c r="S4429" i="5" s="1"/>
  <c r="M4429" i="5"/>
  <c r="N4429" i="5" s="1"/>
  <c r="Q4459" i="5"/>
  <c r="R4459" i="5" s="1"/>
  <c r="S4459" i="5" s="1"/>
  <c r="M4459" i="5"/>
  <c r="Q4474" i="5"/>
  <c r="R4474" i="5" s="1"/>
  <c r="S4474" i="5" s="1"/>
  <c r="M4474" i="5"/>
  <c r="M4513" i="5"/>
  <c r="Q4513" i="5"/>
  <c r="R4513" i="5" s="1"/>
  <c r="S4513" i="5" s="1"/>
  <c r="Q4530" i="5"/>
  <c r="M4530" i="5"/>
  <c r="M4550" i="5"/>
  <c r="N4550" i="5" s="1"/>
  <c r="O4550" i="5" s="1"/>
  <c r="Q4550" i="5"/>
  <c r="R4550" i="5" s="1"/>
  <c r="S4550" i="5" s="1"/>
  <c r="Q4571" i="5"/>
  <c r="R4571" i="5" s="1"/>
  <c r="S4571" i="5" s="1"/>
  <c r="M4571" i="5"/>
  <c r="M4593" i="5"/>
  <c r="Q4593" i="5"/>
  <c r="Q4624" i="5"/>
  <c r="R4624" i="5" s="1"/>
  <c r="S4624" i="5" s="1"/>
  <c r="M4624" i="5"/>
  <c r="Q4668" i="5"/>
  <c r="R4668" i="5" s="1"/>
  <c r="S4668" i="5" s="1"/>
  <c r="M4668" i="5"/>
  <c r="Q4700" i="5"/>
  <c r="M4700" i="5"/>
  <c r="Q4358" i="5"/>
  <c r="M4358" i="5"/>
  <c r="Q4368" i="5"/>
  <c r="R4368" i="5" s="1"/>
  <c r="S4368" i="5" s="1"/>
  <c r="M4368" i="5"/>
  <c r="Q4296" i="5"/>
  <c r="R4296" i="5" s="1"/>
  <c r="S4296" i="5" s="1"/>
  <c r="M4296" i="5"/>
  <c r="Q4306" i="5"/>
  <c r="R4306" i="5" s="1"/>
  <c r="S4306" i="5" s="1"/>
  <c r="M4306" i="5"/>
  <c r="M4315" i="5"/>
  <c r="Q4315" i="5"/>
  <c r="Q4319" i="5"/>
  <c r="M4319" i="5"/>
  <c r="Q4329" i="5"/>
  <c r="R4329" i="5" s="1"/>
  <c r="S4329" i="5" s="1"/>
  <c r="M4329" i="5"/>
  <c r="Q4336" i="5"/>
  <c r="M4336" i="5"/>
  <c r="Q4349" i="5"/>
  <c r="M4349" i="5"/>
  <c r="Q4373" i="5"/>
  <c r="R4373" i="5" s="1"/>
  <c r="S4373" i="5" s="1"/>
  <c r="M4373" i="5"/>
  <c r="Q4382" i="5"/>
  <c r="R4382" i="5" s="1"/>
  <c r="S4382" i="5" s="1"/>
  <c r="M4382" i="5"/>
  <c r="Q4389" i="5"/>
  <c r="M4389" i="5"/>
  <c r="Q4399" i="5"/>
  <c r="R4399" i="5" s="1"/>
  <c r="S4399" i="5" s="1"/>
  <c r="M4399" i="5"/>
  <c r="Q4409" i="5"/>
  <c r="R4409" i="5" s="1"/>
  <c r="S4409" i="5" s="1"/>
  <c r="M4409" i="5"/>
  <c r="Q4421" i="5"/>
  <c r="R4421" i="5" s="1"/>
  <c r="S4421" i="5" s="1"/>
  <c r="M4421" i="5"/>
  <c r="Q4435" i="5"/>
  <c r="M4435" i="5"/>
  <c r="M4438" i="5"/>
  <c r="Q4438" i="5"/>
  <c r="Q4451" i="5"/>
  <c r="M4451" i="5"/>
  <c r="Q4457" i="5"/>
  <c r="M4457" i="5"/>
  <c r="Q4465" i="5"/>
  <c r="R4465" i="5" s="1"/>
  <c r="S4465" i="5" s="1"/>
  <c r="M4465" i="5"/>
  <c r="Q4469" i="5"/>
  <c r="R4469" i="5" s="1"/>
  <c r="S4469" i="5" s="1"/>
  <c r="M4469" i="5"/>
  <c r="Q4471" i="5"/>
  <c r="R4471" i="5" s="1"/>
  <c r="S4471" i="5" s="1"/>
  <c r="M4471" i="5"/>
  <c r="Q4477" i="5"/>
  <c r="M4477" i="5"/>
  <c r="Q4484" i="5"/>
  <c r="R4484" i="5" s="1"/>
  <c r="S4484" i="5" s="1"/>
  <c r="M4484" i="5"/>
  <c r="Q4496" i="5"/>
  <c r="R4496" i="5" s="1"/>
  <c r="S4496" i="5" s="1"/>
  <c r="M4496" i="5"/>
  <c r="Q4498" i="5"/>
  <c r="R4498" i="5" s="1"/>
  <c r="S4498" i="5" s="1"/>
  <c r="M4498" i="5"/>
  <c r="N4498" i="5" s="1"/>
  <c r="O4498" i="5" s="1"/>
  <c r="Q4504" i="5"/>
  <c r="R4504" i="5" s="1"/>
  <c r="S4504" i="5" s="1"/>
  <c r="M4504" i="5"/>
  <c r="N4504" i="5" s="1"/>
  <c r="Q4512" i="5"/>
  <c r="R4512" i="5" s="1"/>
  <c r="S4512" i="5" s="1"/>
  <c r="M4512" i="5"/>
  <c r="Q4515" i="5"/>
  <c r="M4515" i="5"/>
  <c r="Q4519" i="5"/>
  <c r="M4519" i="5"/>
  <c r="Q4528" i="5"/>
  <c r="R4528" i="5" s="1"/>
  <c r="S4528" i="5" s="1"/>
  <c r="M4528" i="5"/>
  <c r="Q4536" i="5"/>
  <c r="R4536" i="5" s="1"/>
  <c r="S4536" i="5" s="1"/>
  <c r="M4536" i="5"/>
  <c r="Q4539" i="5"/>
  <c r="R4539" i="5" s="1"/>
  <c r="S4539" i="5" s="1"/>
  <c r="M4539" i="5"/>
  <c r="Q4553" i="5"/>
  <c r="M4553" i="5"/>
  <c r="Q4556" i="5"/>
  <c r="R4556" i="5" s="1"/>
  <c r="S4556" i="5" s="1"/>
  <c r="M4556" i="5"/>
  <c r="Q4563" i="5"/>
  <c r="M4563" i="5"/>
  <c r="Q4569" i="5"/>
  <c r="R4569" i="5" s="1"/>
  <c r="S4569" i="5" s="1"/>
  <c r="M4569" i="5"/>
  <c r="N4569" i="5" s="1"/>
  <c r="O4569" i="5" s="1"/>
  <c r="Q4575" i="5"/>
  <c r="M4575" i="5"/>
  <c r="Q4582" i="5"/>
  <c r="R4582" i="5" s="1"/>
  <c r="S4582" i="5" s="1"/>
  <c r="M4582" i="5"/>
  <c r="Q4584" i="5"/>
  <c r="R4584" i="5" s="1"/>
  <c r="S4584" i="5" s="1"/>
  <c r="M4584" i="5"/>
  <c r="Q4590" i="5"/>
  <c r="R4590" i="5" s="1"/>
  <c r="S4590" i="5" s="1"/>
  <c r="M4590" i="5"/>
  <c r="Q4596" i="5"/>
  <c r="R4596" i="5" s="1"/>
  <c r="S4596" i="5" s="1"/>
  <c r="M4596" i="5"/>
  <c r="Q4602" i="5"/>
  <c r="R4602" i="5" s="1"/>
  <c r="S4602" i="5" s="1"/>
  <c r="M4602" i="5"/>
  <c r="Q4608" i="5"/>
  <c r="R4608" i="5" s="1"/>
  <c r="S4608" i="5" s="1"/>
  <c r="M4608" i="5"/>
  <c r="N4608" i="5" s="1"/>
  <c r="O4608" i="5" s="1"/>
  <c r="Q4612" i="5"/>
  <c r="R4612" i="5" s="1"/>
  <c r="S4612" i="5" s="1"/>
  <c r="M4612" i="5"/>
  <c r="Q4622" i="5"/>
  <c r="R4622" i="5" s="1"/>
  <c r="S4622" i="5" s="1"/>
  <c r="M4622" i="5"/>
  <c r="Q4627" i="5"/>
  <c r="R4627" i="5" s="1"/>
  <c r="S4627" i="5" s="1"/>
  <c r="M4627" i="5"/>
  <c r="M4631" i="5"/>
  <c r="N4631" i="5" s="1"/>
  <c r="Q4631" i="5"/>
  <c r="R4631" i="5" s="1"/>
  <c r="S4631" i="5" s="1"/>
  <c r="M4636" i="5"/>
  <c r="N4636" i="5" s="1"/>
  <c r="O4636" i="5" s="1"/>
  <c r="Q4636" i="5"/>
  <c r="R4636" i="5" s="1"/>
  <c r="S4636" i="5" s="1"/>
  <c r="Q4642" i="5"/>
  <c r="M4642" i="5"/>
  <c r="Q4650" i="5"/>
  <c r="R4650" i="5" s="1"/>
  <c r="S4650" i="5" s="1"/>
  <c r="M4650" i="5"/>
  <c r="N4650" i="5" s="1"/>
  <c r="M4655" i="5"/>
  <c r="Q4655" i="5"/>
  <c r="Q4665" i="5"/>
  <c r="R4665" i="5" s="1"/>
  <c r="S4665" i="5" s="1"/>
  <c r="M4665" i="5"/>
  <c r="N4665" i="5" s="1"/>
  <c r="Q4671" i="5"/>
  <c r="M4671" i="5"/>
  <c r="Q4681" i="5"/>
  <c r="M4681" i="5"/>
  <c r="Q4691" i="5"/>
  <c r="M4691" i="5"/>
  <c r="Q4697" i="5"/>
  <c r="M4697" i="5"/>
  <c r="M4703" i="5"/>
  <c r="Q4703" i="5"/>
  <c r="Q4709" i="5"/>
  <c r="R4709" i="5" s="1"/>
  <c r="S4709" i="5" s="1"/>
  <c r="M4709" i="5"/>
  <c r="N4709" i="5" s="1"/>
  <c r="Q4713" i="5"/>
  <c r="R4713" i="5" s="1"/>
  <c r="S4713" i="5" s="1"/>
  <c r="M4713" i="5"/>
  <c r="M4719" i="5"/>
  <c r="Q4719" i="5"/>
  <c r="R4719" i="5" s="1"/>
  <c r="S4719" i="5" s="1"/>
  <c r="Q4726" i="5"/>
  <c r="R4726" i="5" s="1"/>
  <c r="S4726" i="5" s="1"/>
  <c r="M4726" i="5"/>
  <c r="M4732" i="5"/>
  <c r="Q4732" i="5"/>
  <c r="R4732" i="5" s="1"/>
  <c r="S4732" i="5" s="1"/>
  <c r="Q4738" i="5"/>
  <c r="M4738" i="5"/>
  <c r="M4743" i="5"/>
  <c r="Q4743" i="5"/>
  <c r="Q4745" i="5"/>
  <c r="R4745" i="5" s="1"/>
  <c r="S4745" i="5" s="1"/>
  <c r="M4745" i="5"/>
  <c r="M4756" i="5"/>
  <c r="Q4756" i="5"/>
  <c r="R4756" i="5" s="1"/>
  <c r="S4756" i="5" s="1"/>
  <c r="Q4760" i="5"/>
  <c r="R4760" i="5" s="1"/>
  <c r="S4760" i="5" s="1"/>
  <c r="M4760" i="5"/>
  <c r="Q4765" i="5"/>
  <c r="R4765" i="5" s="1"/>
  <c r="S4765" i="5" s="1"/>
  <c r="M4765" i="5"/>
  <c r="Q4773" i="5"/>
  <c r="M4773" i="5"/>
  <c r="M4229" i="5"/>
  <c r="M4232" i="5"/>
  <c r="M4236" i="5"/>
  <c r="M4239" i="5"/>
  <c r="M4243" i="5"/>
  <c r="M4246" i="5"/>
  <c r="M4250" i="5"/>
  <c r="M4257" i="5"/>
  <c r="Q4260" i="5"/>
  <c r="R4260" i="5" s="1"/>
  <c r="S4260" i="5" s="1"/>
  <c r="M4276" i="5"/>
  <c r="M4283" i="5"/>
  <c r="M4284" i="5"/>
  <c r="N4284" i="5" s="1"/>
  <c r="O4284" i="5" s="1"/>
  <c r="Q4305" i="5"/>
  <c r="R4305" i="5" s="1"/>
  <c r="S4305" i="5" s="1"/>
  <c r="Q4327" i="5"/>
  <c r="R4327" i="5" s="1"/>
  <c r="S4327" i="5" s="1"/>
  <c r="Q4344" i="5"/>
  <c r="R4344" i="5" s="1"/>
  <c r="S4344" i="5" s="1"/>
  <c r="M4354" i="5"/>
  <c r="Q4357" i="5"/>
  <c r="M4364" i="5"/>
  <c r="M4374" i="5"/>
  <c r="M4384" i="5"/>
  <c r="M4387" i="5"/>
  <c r="Q4425" i="5"/>
  <c r="M4432" i="5"/>
  <c r="M4453" i="5"/>
  <c r="Q4293" i="5"/>
  <c r="R4293" i="5" s="1"/>
  <c r="S4293" i="5" s="1"/>
  <c r="M4293" i="5"/>
  <c r="Q4310" i="5"/>
  <c r="R4310" i="5" s="1"/>
  <c r="S4310" i="5" s="1"/>
  <c r="M4310" i="5"/>
  <c r="Q4338" i="5"/>
  <c r="R4338" i="5" s="1"/>
  <c r="S4338" i="5" s="1"/>
  <c r="M4338" i="5"/>
  <c r="Q4394" i="5"/>
  <c r="R4394" i="5" s="1"/>
  <c r="S4394" i="5" s="1"/>
  <c r="M4394" i="5"/>
  <c r="M4415" i="5"/>
  <c r="N4415" i="5" s="1"/>
  <c r="Q4415" i="5"/>
  <c r="R4415" i="5" s="1"/>
  <c r="S4415" i="5" s="1"/>
  <c r="Q4442" i="5"/>
  <c r="R4442" i="5" s="1"/>
  <c r="S4442" i="5" s="1"/>
  <c r="M4442" i="5"/>
  <c r="Q4541" i="5"/>
  <c r="M4541" i="5"/>
  <c r="M4600" i="5"/>
  <c r="Q4600" i="5"/>
  <c r="R4600" i="5" s="1"/>
  <c r="S4600" i="5" s="1"/>
  <c r="Q4638" i="5"/>
  <c r="M4638" i="5"/>
  <c r="Q4678" i="5"/>
  <c r="M4678" i="5"/>
  <c r="Q4318" i="5"/>
  <c r="R4318" i="5" s="1"/>
  <c r="S4318" i="5" s="1"/>
  <c r="M4318" i="5"/>
  <c r="Q4328" i="5"/>
  <c r="R4328" i="5" s="1"/>
  <c r="S4328" i="5" s="1"/>
  <c r="M4328" i="5"/>
  <c r="Q4346" i="5"/>
  <c r="M4346" i="5"/>
  <c r="Q4366" i="5"/>
  <c r="M4366" i="5"/>
  <c r="Q4379" i="5"/>
  <c r="R4379" i="5" s="1"/>
  <c r="S4379" i="5" s="1"/>
  <c r="M4379" i="5"/>
  <c r="Q4381" i="5"/>
  <c r="M4381" i="5"/>
  <c r="Q4398" i="5"/>
  <c r="R4398" i="5" s="1"/>
  <c r="S4398" i="5" s="1"/>
  <c r="M4398" i="5"/>
  <c r="N4398" i="5" s="1"/>
  <c r="Q4403" i="5"/>
  <c r="R4403" i="5" s="1"/>
  <c r="S4403" i="5" s="1"/>
  <c r="M4403" i="5"/>
  <c r="Q4408" i="5"/>
  <c r="M4408" i="5"/>
  <c r="M4418" i="5"/>
  <c r="Q4418" i="5"/>
  <c r="M4423" i="5"/>
  <c r="N4423" i="5" s="1"/>
  <c r="Q4423" i="5"/>
  <c r="R4423" i="5" s="1"/>
  <c r="S4423" i="5" s="1"/>
  <c r="Q4434" i="5"/>
  <c r="M4434" i="5"/>
  <c r="Q4445" i="5"/>
  <c r="R4445" i="5" s="1"/>
  <c r="S4445" i="5" s="1"/>
  <c r="M4445" i="5"/>
  <c r="M4446" i="5"/>
  <c r="Q4446" i="5"/>
  <c r="M4452" i="5"/>
  <c r="Q4452" i="5"/>
  <c r="R4452" i="5" s="1"/>
  <c r="S4452" i="5" s="1"/>
  <c r="Q4460" i="5"/>
  <c r="R4460" i="5" s="1"/>
  <c r="S4460" i="5" s="1"/>
  <c r="M4460" i="5"/>
  <c r="Q4464" i="5"/>
  <c r="M4464" i="5"/>
  <c r="M4468" i="5"/>
  <c r="Q4468" i="5"/>
  <c r="R4468" i="5" s="1"/>
  <c r="S4468" i="5" s="1"/>
  <c r="Q4473" i="5"/>
  <c r="R4473" i="5" s="1"/>
  <c r="S4473" i="5" s="1"/>
  <c r="M4473" i="5"/>
  <c r="Q4476" i="5"/>
  <c r="R4476" i="5" s="1"/>
  <c r="S4476" i="5" s="1"/>
  <c r="M4476" i="5"/>
  <c r="M4483" i="5"/>
  <c r="Q4483" i="5"/>
  <c r="R4483" i="5" s="1"/>
  <c r="S4483" i="5" s="1"/>
  <c r="Q4490" i="5"/>
  <c r="R4490" i="5" s="1"/>
  <c r="S4490" i="5" s="1"/>
  <c r="M4490" i="5"/>
  <c r="Q4495" i="5"/>
  <c r="R4495" i="5" s="1"/>
  <c r="S4495" i="5" s="1"/>
  <c r="M4495" i="5"/>
  <c r="Q4503" i="5"/>
  <c r="R4503" i="5" s="1"/>
  <c r="S4503" i="5" s="1"/>
  <c r="M4503" i="5"/>
  <c r="M4511" i="5"/>
  <c r="N4511" i="5" s="1"/>
  <c r="O4511" i="5" s="1"/>
  <c r="Q4511" i="5"/>
  <c r="R4511" i="5" s="1"/>
  <c r="S4511" i="5" s="1"/>
  <c r="Q4518" i="5"/>
  <c r="R4518" i="5" s="1"/>
  <c r="S4518" i="5" s="1"/>
  <c r="M4518" i="5"/>
  <c r="M4526" i="5"/>
  <c r="Q4526" i="5"/>
  <c r="R4526" i="5" s="1"/>
  <c r="S4526" i="5" s="1"/>
  <c r="Q4527" i="5"/>
  <c r="R4527" i="5" s="1"/>
  <c r="S4527" i="5" s="1"/>
  <c r="M4527" i="5"/>
  <c r="N4527" i="5" s="1"/>
  <c r="Q4535" i="5"/>
  <c r="M4535" i="5"/>
  <c r="Q4538" i="5"/>
  <c r="R4538" i="5" s="1"/>
  <c r="S4538" i="5" s="1"/>
  <c r="M4538" i="5"/>
  <c r="Q4549" i="5"/>
  <c r="M4549" i="5"/>
  <c r="M4552" i="5"/>
  <c r="Q4552" i="5"/>
  <c r="Q4555" i="5"/>
  <c r="M4555" i="5"/>
  <c r="Q4565" i="5"/>
  <c r="R4565" i="5" s="1"/>
  <c r="S4565" i="5" s="1"/>
  <c r="M4565" i="5"/>
  <c r="Q4568" i="5"/>
  <c r="R4568" i="5" s="1"/>
  <c r="S4568" i="5" s="1"/>
  <c r="M4568" i="5"/>
  <c r="N4568" i="5" s="1"/>
  <c r="M4574" i="5"/>
  <c r="Q4574" i="5"/>
  <c r="R4574" i="5" s="1"/>
  <c r="S4574" i="5" s="1"/>
  <c r="Q4581" i="5"/>
  <c r="M4581" i="5"/>
  <c r="Q4589" i="5"/>
  <c r="R4589" i="5" s="1"/>
  <c r="S4589" i="5" s="1"/>
  <c r="M4589" i="5"/>
  <c r="Q4592" i="5"/>
  <c r="R4592" i="5" s="1"/>
  <c r="S4592" i="5" s="1"/>
  <c r="M4592" i="5"/>
  <c r="Q4599" i="5"/>
  <c r="M4599" i="5"/>
  <c r="Q4607" i="5"/>
  <c r="R4607" i="5" s="1"/>
  <c r="S4607" i="5" s="1"/>
  <c r="M4607" i="5"/>
  <c r="Q4611" i="5"/>
  <c r="M4611" i="5"/>
  <c r="Q4619" i="5"/>
  <c r="R4619" i="5" s="1"/>
  <c r="S4619" i="5" s="1"/>
  <c r="M4619" i="5"/>
  <c r="N4619" i="5" s="1"/>
  <c r="O4619" i="5" s="1"/>
  <c r="Q4621" i="5"/>
  <c r="R4621" i="5" s="1"/>
  <c r="S4621" i="5" s="1"/>
  <c r="M4621" i="5"/>
  <c r="Q4628" i="5"/>
  <c r="R4628" i="5" s="1"/>
  <c r="S4628" i="5" s="1"/>
  <c r="M4628" i="5"/>
  <c r="Q4634" i="5"/>
  <c r="R4634" i="5" s="1"/>
  <c r="S4634" i="5" s="1"/>
  <c r="M4634" i="5"/>
  <c r="Q4641" i="5"/>
  <c r="M4641" i="5"/>
  <c r="Q4647" i="5"/>
  <c r="M4647" i="5"/>
  <c r="Q4654" i="5"/>
  <c r="R4654" i="5" s="1"/>
  <c r="S4654" i="5" s="1"/>
  <c r="M4654" i="5"/>
  <c r="M4664" i="5"/>
  <c r="Q4664" i="5"/>
  <c r="M4670" i="5"/>
  <c r="Q4670" i="5"/>
  <c r="R4670" i="5" s="1"/>
  <c r="S4670" i="5" s="1"/>
  <c r="Q4677" i="5"/>
  <c r="M4677" i="5"/>
  <c r="Q4690" i="5"/>
  <c r="R4690" i="5" s="1"/>
  <c r="S4690" i="5" s="1"/>
  <c r="M4690" i="5"/>
  <c r="Q4696" i="5"/>
  <c r="R4696" i="5" s="1"/>
  <c r="S4696" i="5" s="1"/>
  <c r="M4696" i="5"/>
  <c r="Q4702" i="5"/>
  <c r="R4702" i="5" s="1"/>
  <c r="S4702" i="5" s="1"/>
  <c r="M4702" i="5"/>
  <c r="Q4718" i="5"/>
  <c r="R4718" i="5" s="1"/>
  <c r="S4718" i="5" s="1"/>
  <c r="M4718" i="5"/>
  <c r="Q4724" i="5"/>
  <c r="R4724" i="5" s="1"/>
  <c r="S4724" i="5" s="1"/>
  <c r="M4724" i="5"/>
  <c r="M4725" i="5"/>
  <c r="Q4725" i="5"/>
  <c r="R4725" i="5" s="1"/>
  <c r="S4725" i="5" s="1"/>
  <c r="Q4731" i="5"/>
  <c r="M4731" i="5"/>
  <c r="Q4737" i="5"/>
  <c r="M4737" i="5"/>
  <c r="Q4742" i="5"/>
  <c r="R4742" i="5" s="1"/>
  <c r="S4742" i="5" s="1"/>
  <c r="M4742" i="5"/>
  <c r="Q4751" i="5"/>
  <c r="R4751" i="5" s="1"/>
  <c r="S4751" i="5" s="1"/>
  <c r="M4751" i="5"/>
  <c r="Q4755" i="5"/>
  <c r="M4755" i="5"/>
  <c r="Q4764" i="5"/>
  <c r="R4764" i="5" s="1"/>
  <c r="S4764" i="5" s="1"/>
  <c r="M4764" i="5"/>
  <c r="Q4769" i="5"/>
  <c r="R4769" i="5" s="1"/>
  <c r="S4769" i="5" s="1"/>
  <c r="M4769" i="5"/>
  <c r="N4769" i="5" s="1"/>
  <c r="O4769" i="5" s="1"/>
  <c r="M4775" i="5"/>
  <c r="Q4775" i="5"/>
  <c r="R4775" i="5" s="1"/>
  <c r="S4775" i="5" s="1"/>
  <c r="M4225" i="5"/>
  <c r="R4228" i="5"/>
  <c r="S4228" i="5" s="1"/>
  <c r="M4235" i="5"/>
  <c r="M4242" i="5"/>
  <c r="M4249" i="5"/>
  <c r="M4253" i="5"/>
  <c r="M4262" i="5"/>
  <c r="M4268" i="5"/>
  <c r="Q4271" i="5"/>
  <c r="R4271" i="5" s="1"/>
  <c r="S4271" i="5" s="1"/>
  <c r="M4274" i="5"/>
  <c r="M4275" i="5"/>
  <c r="Q4279" i="5"/>
  <c r="R4279" i="5" s="1"/>
  <c r="S4279" i="5" s="1"/>
  <c r="M4288" i="5"/>
  <c r="Q4292" i="5"/>
  <c r="R4292" i="5" s="1"/>
  <c r="S4292" i="5" s="1"/>
  <c r="M4294" i="5"/>
  <c r="M4304" i="5"/>
  <c r="M4316" i="5"/>
  <c r="M4323" i="5"/>
  <c r="M4333" i="5"/>
  <c r="M4340" i="5"/>
  <c r="M4367" i="5"/>
  <c r="M4370" i="5"/>
  <c r="M4416" i="5"/>
  <c r="M4436" i="5"/>
  <c r="Q4343" i="5"/>
  <c r="M4343" i="5"/>
  <c r="Q4365" i="5"/>
  <c r="M4365" i="5"/>
  <c r="Q4369" i="5"/>
  <c r="R4369" i="5" s="1"/>
  <c r="S4369" i="5" s="1"/>
  <c r="M4369" i="5"/>
  <c r="N4369" i="5" s="1"/>
  <c r="Q4380" i="5"/>
  <c r="R4380" i="5" s="1"/>
  <c r="S4380" i="5" s="1"/>
  <c r="M4380" i="5"/>
  <c r="N4380" i="5" s="1"/>
  <c r="Q4396" i="5"/>
  <c r="R4396" i="5" s="1"/>
  <c r="S4396" i="5" s="1"/>
  <c r="M4396" i="5"/>
  <c r="Q4419" i="5"/>
  <c r="M4419" i="5"/>
  <c r="M4450" i="5"/>
  <c r="Q4450" i="5"/>
  <c r="R4450" i="5" s="1"/>
  <c r="S4450" i="5" s="1"/>
  <c r="Q4470" i="5"/>
  <c r="R4470" i="5" s="1"/>
  <c r="S4470" i="5" s="1"/>
  <c r="M4470" i="5"/>
  <c r="Q4500" i="5"/>
  <c r="M4500" i="5"/>
  <c r="Q4508" i="5"/>
  <c r="R4508" i="5" s="1"/>
  <c r="S4508" i="5" s="1"/>
  <c r="M4508" i="5"/>
  <c r="Q4523" i="5"/>
  <c r="M4523" i="5"/>
  <c r="Q4543" i="5"/>
  <c r="M4543" i="5"/>
  <c r="Q4560" i="5"/>
  <c r="M4560" i="5"/>
  <c r="M4586" i="5"/>
  <c r="Q4586" i="5"/>
  <c r="R4586" i="5" s="1"/>
  <c r="S4586" i="5" s="1"/>
  <c r="Q4614" i="5"/>
  <c r="R4614" i="5" s="1"/>
  <c r="S4614" i="5" s="1"/>
  <c r="M4614" i="5"/>
  <c r="N4614" i="5" s="1"/>
  <c r="Q4648" i="5"/>
  <c r="M4648" i="5"/>
  <c r="Q4661" i="5"/>
  <c r="R4661" i="5" s="1"/>
  <c r="S4661" i="5" s="1"/>
  <c r="M4661" i="5"/>
  <c r="N4661" i="5" s="1"/>
  <c r="O4661" i="5" s="1"/>
  <c r="M4688" i="5"/>
  <c r="Q4688" i="5"/>
  <c r="R4688" i="5" s="1"/>
  <c r="S4688" i="5" s="1"/>
  <c r="Q4712" i="5"/>
  <c r="R4712" i="5" s="1"/>
  <c r="S4712" i="5" s="1"/>
  <c r="M4712" i="5"/>
  <c r="Q4728" i="5"/>
  <c r="R4728" i="5" s="1"/>
  <c r="S4728" i="5" s="1"/>
  <c r="M4728" i="5"/>
  <c r="N4728" i="5" s="1"/>
  <c r="Q4747" i="5"/>
  <c r="R4747" i="5" s="1"/>
  <c r="S4747" i="5" s="1"/>
  <c r="M4747" i="5"/>
  <c r="N4747" i="5" s="1"/>
  <c r="Q4770" i="5"/>
  <c r="R4770" i="5" s="1"/>
  <c r="S4770" i="5" s="1"/>
  <c r="M4770" i="5"/>
  <c r="Q4227" i="5"/>
  <c r="R4227" i="5" s="1"/>
  <c r="S4227" i="5" s="1"/>
  <c r="R4243" i="5"/>
  <c r="S4243" i="5" s="1"/>
  <c r="Q4342" i="5"/>
  <c r="M4342" i="5"/>
  <c r="Q4335" i="5"/>
  <c r="R4335" i="5" s="1"/>
  <c r="S4335" i="5" s="1"/>
  <c r="M4335" i="5"/>
  <c r="Q4372" i="5"/>
  <c r="M4372" i="5"/>
  <c r="Q4314" i="5"/>
  <c r="M4314" i="5"/>
  <c r="Q4345" i="5"/>
  <c r="R4345" i="5" s="1"/>
  <c r="S4345" i="5" s="1"/>
  <c r="M4345" i="5"/>
  <c r="Q4361" i="5"/>
  <c r="R4361" i="5" s="1"/>
  <c r="S4361" i="5" s="1"/>
  <c r="M4361" i="5"/>
  <c r="Q4386" i="5"/>
  <c r="R4386" i="5" s="1"/>
  <c r="S4386" i="5" s="1"/>
  <c r="M4386" i="5"/>
  <c r="N4386" i="5" s="1"/>
  <c r="Q4402" i="5"/>
  <c r="M4402" i="5"/>
  <c r="Q4413" i="5"/>
  <c r="R4413" i="5" s="1"/>
  <c r="S4413" i="5" s="1"/>
  <c r="M4413" i="5"/>
  <c r="N4413" i="5" s="1"/>
  <c r="O4413" i="5" s="1"/>
  <c r="Q4407" i="5"/>
  <c r="R4407" i="5" s="1"/>
  <c r="S4407" i="5" s="1"/>
  <c r="M4407" i="5"/>
  <c r="Q4431" i="5"/>
  <c r="M4431" i="5"/>
  <c r="M4437" i="5"/>
  <c r="Q4437" i="5"/>
  <c r="Q4444" i="5"/>
  <c r="M4444" i="5"/>
  <c r="M4448" i="5"/>
  <c r="Q4448" i="5"/>
  <c r="Q4462" i="5"/>
  <c r="R4462" i="5" s="1"/>
  <c r="S4462" i="5" s="1"/>
  <c r="M4462" i="5"/>
  <c r="Q4467" i="5"/>
  <c r="R4467" i="5" s="1"/>
  <c r="S4467" i="5" s="1"/>
  <c r="M4467" i="5"/>
  <c r="Q4482" i="5"/>
  <c r="R4482" i="5" s="1"/>
  <c r="S4482" i="5" s="1"/>
  <c r="M4482" i="5"/>
  <c r="Q4485" i="5"/>
  <c r="R4485" i="5" s="1"/>
  <c r="S4485" i="5" s="1"/>
  <c r="M4485" i="5"/>
  <c r="M4493" i="5"/>
  <c r="Q4493" i="5"/>
  <c r="R4493" i="5" s="1"/>
  <c r="S4493" i="5" s="1"/>
  <c r="Q4494" i="5"/>
  <c r="M4494" i="5"/>
  <c r="Q4502" i="5"/>
  <c r="R4502" i="5" s="1"/>
  <c r="S4502" i="5" s="1"/>
  <c r="M4502" i="5"/>
  <c r="M4510" i="5"/>
  <c r="Q4510" i="5"/>
  <c r="Q4517" i="5"/>
  <c r="R4517" i="5" s="1"/>
  <c r="S4517" i="5" s="1"/>
  <c r="M4517" i="5"/>
  <c r="M4525" i="5"/>
  <c r="Q4525" i="5"/>
  <c r="M4534" i="5"/>
  <c r="Q4534" i="5"/>
  <c r="Q4537" i="5"/>
  <c r="M4537" i="5"/>
  <c r="M4548" i="5"/>
  <c r="Q4548" i="5"/>
  <c r="Q4559" i="5"/>
  <c r="M4559" i="5"/>
  <c r="Q4562" i="5"/>
  <c r="R4562" i="5" s="1"/>
  <c r="S4562" i="5" s="1"/>
  <c r="M4562" i="5"/>
  <c r="Q4567" i="5"/>
  <c r="R4567" i="5" s="1"/>
  <c r="S4567" i="5" s="1"/>
  <c r="M4567" i="5"/>
  <c r="M4573" i="5"/>
  <c r="Q4573" i="5"/>
  <c r="Q4579" i="5"/>
  <c r="R4579" i="5" s="1"/>
  <c r="S4579" i="5" s="1"/>
  <c r="M4579" i="5"/>
  <c r="N4579" i="5" s="1"/>
  <c r="Q4580" i="5"/>
  <c r="R4580" i="5" s="1"/>
  <c r="S4580" i="5" s="1"/>
  <c r="M4580" i="5"/>
  <c r="Q4588" i="5"/>
  <c r="R4588" i="5" s="1"/>
  <c r="S4588" i="5" s="1"/>
  <c r="M4588" i="5"/>
  <c r="Q4595" i="5"/>
  <c r="R4595" i="5" s="1"/>
  <c r="S4595" i="5" s="1"/>
  <c r="M4595" i="5"/>
  <c r="Q4598" i="5"/>
  <c r="R4598" i="5" s="1"/>
  <c r="S4598" i="5" s="1"/>
  <c r="M4598" i="5"/>
  <c r="Q4606" i="5"/>
  <c r="R4606" i="5" s="1"/>
  <c r="S4606" i="5" s="1"/>
  <c r="M4606" i="5"/>
  <c r="Q4610" i="5"/>
  <c r="R4610" i="5" s="1"/>
  <c r="S4610" i="5" s="1"/>
  <c r="M4610" i="5"/>
  <c r="Q4618" i="5"/>
  <c r="R4618" i="5" s="1"/>
  <c r="S4618" i="5" s="1"/>
  <c r="M4618" i="5"/>
  <c r="Q4626" i="5"/>
  <c r="R4626" i="5" s="1"/>
  <c r="S4626" i="5" s="1"/>
  <c r="M4626" i="5"/>
  <c r="Q4630" i="5"/>
  <c r="M4630" i="5"/>
  <c r="M4635" i="5"/>
  <c r="Q4635" i="5"/>
  <c r="Q4640" i="5"/>
  <c r="R4640" i="5" s="1"/>
  <c r="S4640" i="5" s="1"/>
  <c r="M4640" i="5"/>
  <c r="M4646" i="5"/>
  <c r="Q4646" i="5"/>
  <c r="R4646" i="5" s="1"/>
  <c r="S4646" i="5" s="1"/>
  <c r="Q4653" i="5"/>
  <c r="R4653" i="5" s="1"/>
  <c r="S4653" i="5" s="1"/>
  <c r="M4653" i="5"/>
  <c r="Q4659" i="5"/>
  <c r="R4659" i="5" s="1"/>
  <c r="S4659" i="5" s="1"/>
  <c r="M4659" i="5"/>
  <c r="N4659" i="5" s="1"/>
  <c r="Q4663" i="5"/>
  <c r="R4663" i="5" s="1"/>
  <c r="S4663" i="5" s="1"/>
  <c r="M4663" i="5"/>
  <c r="M4669" i="5"/>
  <c r="N4669" i="5" s="1"/>
  <c r="Q4669" i="5"/>
  <c r="R4669" i="5" s="1"/>
  <c r="S4669" i="5" s="1"/>
  <c r="Q4676" i="5"/>
  <c r="M4676" i="5"/>
  <c r="Q4680" i="5"/>
  <c r="M4680" i="5"/>
  <c r="Q4694" i="5"/>
  <c r="M4694" i="5"/>
  <c r="Q4695" i="5"/>
  <c r="R4695" i="5" s="1"/>
  <c r="S4695" i="5" s="1"/>
  <c r="M4695" i="5"/>
  <c r="N4695" i="5" s="1"/>
  <c r="Q4706" i="5"/>
  <c r="M4706" i="5"/>
  <c r="Q4708" i="5"/>
  <c r="R4708" i="5" s="1"/>
  <c r="S4708" i="5" s="1"/>
  <c r="M4708" i="5"/>
  <c r="Q4717" i="5"/>
  <c r="R4717" i="5" s="1"/>
  <c r="S4717" i="5" s="1"/>
  <c r="M4717" i="5"/>
  <c r="M4723" i="5"/>
  <c r="Q4723" i="5"/>
  <c r="Q4730" i="5"/>
  <c r="R4730" i="5" s="1"/>
  <c r="S4730" i="5" s="1"/>
  <c r="M4730" i="5"/>
  <c r="Q4733" i="5"/>
  <c r="R4733" i="5" s="1"/>
  <c r="S4733" i="5" s="1"/>
  <c r="M4733" i="5"/>
  <c r="Q4741" i="5"/>
  <c r="R4741" i="5" s="1"/>
  <c r="S4741" i="5" s="1"/>
  <c r="M4741" i="5"/>
  <c r="Q4749" i="5"/>
  <c r="M4749" i="5"/>
  <c r="Q4750" i="5"/>
  <c r="R4750" i="5" s="1"/>
  <c r="S4750" i="5" s="1"/>
  <c r="M4750" i="5"/>
  <c r="Q4754" i="5"/>
  <c r="R4754" i="5" s="1"/>
  <c r="S4754" i="5" s="1"/>
  <c r="M4754" i="5"/>
  <c r="Q4763" i="5"/>
  <c r="R4763" i="5" s="1"/>
  <c r="S4763" i="5" s="1"/>
  <c r="M4763" i="5"/>
  <c r="Q4768" i="5"/>
  <c r="M4768" i="5"/>
  <c r="Q4774" i="5"/>
  <c r="R4774" i="5" s="1"/>
  <c r="S4774" i="5" s="1"/>
  <c r="M4774" i="5"/>
  <c r="M4228" i="5"/>
  <c r="M4231" i="5"/>
  <c r="M4238" i="5"/>
  <c r="M4245" i="5"/>
  <c r="M4252" i="5"/>
  <c r="M4256" i="5"/>
  <c r="M4259" i="5"/>
  <c r="R4261" i="5"/>
  <c r="S4261" i="5" s="1"/>
  <c r="R4263" i="5"/>
  <c r="S4263" i="5" s="1"/>
  <c r="M4264" i="5"/>
  <c r="M4278" i="5"/>
  <c r="N4278" i="5" s="1"/>
  <c r="O4278" i="5" s="1"/>
  <c r="Q4298" i="5"/>
  <c r="R4298" i="5" s="1"/>
  <c r="S4298" i="5" s="1"/>
  <c r="M4308" i="5"/>
  <c r="Q4312" i="5"/>
  <c r="R4312" i="5" s="1"/>
  <c r="S4312" i="5" s="1"/>
  <c r="M4347" i="5"/>
  <c r="M4359" i="5"/>
  <c r="M4363" i="5"/>
  <c r="M4395" i="5"/>
  <c r="M4487" i="5"/>
  <c r="Q4321" i="5"/>
  <c r="R4321" i="5" s="1"/>
  <c r="S4321" i="5" s="1"/>
  <c r="M4321" i="5"/>
  <c r="Q4351" i="5"/>
  <c r="M4351" i="5"/>
  <c r="Q4352" i="5"/>
  <c r="M4352" i="5"/>
  <c r="Q4440" i="5"/>
  <c r="M4440" i="5"/>
  <c r="Q4461" i="5"/>
  <c r="R4461" i="5" s="1"/>
  <c r="S4461" i="5" s="1"/>
  <c r="M4461" i="5"/>
  <c r="Q4480" i="5"/>
  <c r="R4480" i="5" s="1"/>
  <c r="S4480" i="5" s="1"/>
  <c r="M4480" i="5"/>
  <c r="M4506" i="5"/>
  <c r="Q4506" i="5"/>
  <c r="M4521" i="5"/>
  <c r="Q4521" i="5"/>
  <c r="Q4546" i="5"/>
  <c r="M4546" i="5"/>
  <c r="M4616" i="5"/>
  <c r="Q4616" i="5"/>
  <c r="Q4644" i="5"/>
  <c r="R4644" i="5" s="1"/>
  <c r="S4644" i="5" s="1"/>
  <c r="M4644" i="5"/>
  <c r="N4644" i="5" s="1"/>
  <c r="Q4657" i="5"/>
  <c r="M4657" i="5"/>
  <c r="Q4673" i="5"/>
  <c r="R4673" i="5" s="1"/>
  <c r="S4673" i="5" s="1"/>
  <c r="M4673" i="5"/>
  <c r="Q4683" i="5"/>
  <c r="M4683" i="5"/>
  <c r="Q4692" i="5"/>
  <c r="R4692" i="5" s="1"/>
  <c r="S4692" i="5" s="1"/>
  <c r="M4692" i="5"/>
  <c r="N4692" i="5" s="1"/>
  <c r="Q4715" i="5"/>
  <c r="R4715" i="5" s="1"/>
  <c r="S4715" i="5" s="1"/>
  <c r="M4715" i="5"/>
  <c r="N4715" i="5" s="1"/>
  <c r="Q4735" i="5"/>
  <c r="R4735" i="5" s="1"/>
  <c r="S4735" i="5" s="1"/>
  <c r="M4735" i="5"/>
  <c r="N4735" i="5" s="1"/>
  <c r="Q4752" i="5"/>
  <c r="M4752" i="5"/>
  <c r="Q4758" i="5"/>
  <c r="M4758" i="5"/>
  <c r="Q4777" i="5"/>
  <c r="R4777" i="5" s="1"/>
  <c r="S4777" i="5" s="1"/>
  <c r="M4777" i="5"/>
  <c r="N4777" i="5" s="1"/>
  <c r="R4236" i="5"/>
  <c r="S4236" i="5" s="1"/>
  <c r="M4411" i="5"/>
  <c r="Q4307" i="5"/>
  <c r="R4307" i="5" s="1"/>
  <c r="S4307" i="5" s="1"/>
  <c r="M4307" i="5"/>
  <c r="Q4309" i="5"/>
  <c r="M4309" i="5"/>
  <c r="Q4317" i="5"/>
  <c r="R4317" i="5" s="1"/>
  <c r="S4317" i="5" s="1"/>
  <c r="M4317" i="5"/>
  <c r="Q4334" i="5"/>
  <c r="R4334" i="5" s="1"/>
  <c r="S4334" i="5" s="1"/>
  <c r="M4334" i="5"/>
  <c r="Q4348" i="5"/>
  <c r="M4348" i="5"/>
  <c r="Q4300" i="5"/>
  <c r="M4300" i="5"/>
  <c r="Q4303" i="5"/>
  <c r="M4303" i="5"/>
  <c r="Q4299" i="5"/>
  <c r="R4299" i="5" s="1"/>
  <c r="S4299" i="5" s="1"/>
  <c r="M4299" i="5"/>
  <c r="Q4302" i="5"/>
  <c r="M4302" i="5"/>
  <c r="Q4313" i="5"/>
  <c r="R4313" i="5" s="1"/>
  <c r="S4313" i="5" s="1"/>
  <c r="M4313" i="5"/>
  <c r="Q4322" i="5"/>
  <c r="R4322" i="5" s="1"/>
  <c r="S4322" i="5" s="1"/>
  <c r="M4322" i="5"/>
  <c r="Q4326" i="5"/>
  <c r="M4326" i="5"/>
  <c r="Q4332" i="5"/>
  <c r="R4332" i="5" s="1"/>
  <c r="S4332" i="5" s="1"/>
  <c r="M4332" i="5"/>
  <c r="Q4339" i="5"/>
  <c r="R4339" i="5" s="1"/>
  <c r="S4339" i="5" s="1"/>
  <c r="M4339" i="5"/>
  <c r="Q4353" i="5"/>
  <c r="R4353" i="5" s="1"/>
  <c r="S4353" i="5" s="1"/>
  <c r="M4353" i="5"/>
  <c r="Q4360" i="5"/>
  <c r="M4360" i="5"/>
  <c r="Q4376" i="5"/>
  <c r="R4376" i="5" s="1"/>
  <c r="S4376" i="5" s="1"/>
  <c r="M4376" i="5"/>
  <c r="N4376" i="5" s="1"/>
  <c r="Q4377" i="5"/>
  <c r="R4377" i="5" s="1"/>
  <c r="S4377" i="5" s="1"/>
  <c r="M4377" i="5"/>
  <c r="Q4385" i="5"/>
  <c r="R4385" i="5" s="1"/>
  <c r="S4385" i="5" s="1"/>
  <c r="M4385" i="5"/>
  <c r="Q4397" i="5"/>
  <c r="R4397" i="5" s="1"/>
  <c r="S4397" i="5" s="1"/>
  <c r="M4397" i="5"/>
  <c r="Q4412" i="5"/>
  <c r="R4412" i="5" s="1"/>
  <c r="S4412" i="5" s="1"/>
  <c r="M4412" i="5"/>
  <c r="Q4420" i="5"/>
  <c r="R4420" i="5" s="1"/>
  <c r="S4420" i="5" s="1"/>
  <c r="M4420" i="5"/>
  <c r="M4424" i="5"/>
  <c r="Q4424" i="5"/>
  <c r="Q4430" i="5"/>
  <c r="R4430" i="5" s="1"/>
  <c r="S4430" i="5" s="1"/>
  <c r="M4430" i="5"/>
  <c r="Q4443" i="5"/>
  <c r="M4443" i="5"/>
  <c r="Q4447" i="5"/>
  <c r="R4447" i="5" s="1"/>
  <c r="S4447" i="5" s="1"/>
  <c r="M4447" i="5"/>
  <c r="Q4456" i="5"/>
  <c r="R4456" i="5" s="1"/>
  <c r="S4456" i="5" s="1"/>
  <c r="M4456" i="5"/>
  <c r="Q4466" i="5"/>
  <c r="R4466" i="5" s="1"/>
  <c r="S4466" i="5" s="1"/>
  <c r="M4466" i="5"/>
  <c r="Q4475" i="5"/>
  <c r="R4475" i="5" s="1"/>
  <c r="S4475" i="5" s="1"/>
  <c r="M4475" i="5"/>
  <c r="Q4481" i="5"/>
  <c r="R4481" i="5" s="1"/>
  <c r="S4481" i="5" s="1"/>
  <c r="M4481" i="5"/>
  <c r="Q4486" i="5"/>
  <c r="R4486" i="5" s="1"/>
  <c r="S4486" i="5" s="1"/>
  <c r="M4486" i="5"/>
  <c r="M4492" i="5"/>
  <c r="Q4492" i="5"/>
  <c r="Q4497" i="5"/>
  <c r="M4497" i="5"/>
  <c r="Q4501" i="5"/>
  <c r="M4501" i="5"/>
  <c r="Q4507" i="5"/>
  <c r="R4507" i="5" s="1"/>
  <c r="S4507" i="5" s="1"/>
  <c r="M4507" i="5"/>
  <c r="Q4509" i="5"/>
  <c r="R4509" i="5" s="1"/>
  <c r="S4509" i="5" s="1"/>
  <c r="M4509" i="5"/>
  <c r="M4514" i="5"/>
  <c r="Q4514" i="5"/>
  <c r="R4514" i="5" s="1"/>
  <c r="S4514" i="5" s="1"/>
  <c r="Q4522" i="5"/>
  <c r="R4522" i="5" s="1"/>
  <c r="S4522" i="5" s="1"/>
  <c r="M4522" i="5"/>
  <c r="Q4531" i="5"/>
  <c r="M4531" i="5"/>
  <c r="M4533" i="5"/>
  <c r="Q4533" i="5"/>
  <c r="Q4542" i="5"/>
  <c r="R4542" i="5" s="1"/>
  <c r="S4542" i="5" s="1"/>
  <c r="M4542" i="5"/>
  <c r="N4542" i="5" s="1"/>
  <c r="O4542" i="5" s="1"/>
  <c r="Q4544" i="5"/>
  <c r="R4544" i="5" s="1"/>
  <c r="S4544" i="5" s="1"/>
  <c r="M4544" i="5"/>
  <c r="Q4547" i="5"/>
  <c r="R4547" i="5" s="1"/>
  <c r="S4547" i="5" s="1"/>
  <c r="M4547" i="5"/>
  <c r="M4551" i="5"/>
  <c r="Q4551" i="5"/>
  <c r="R4551" i="5" s="1"/>
  <c r="S4551" i="5" s="1"/>
  <c r="Q4558" i="5"/>
  <c r="R4558" i="5" s="1"/>
  <c r="S4558" i="5" s="1"/>
  <c r="M4558" i="5"/>
  <c r="Q4561" i="5"/>
  <c r="M4561" i="5"/>
  <c r="Q4566" i="5"/>
  <c r="M4566" i="5"/>
  <c r="Q4572" i="5"/>
  <c r="R4572" i="5" s="1"/>
  <c r="S4572" i="5" s="1"/>
  <c r="M4572" i="5"/>
  <c r="N4572" i="5" s="1"/>
  <c r="M4578" i="5"/>
  <c r="Q4578" i="5"/>
  <c r="R4578" i="5" s="1"/>
  <c r="S4578" i="5" s="1"/>
  <c r="Q4583" i="5"/>
  <c r="R4583" i="5" s="1"/>
  <c r="S4583" i="5" s="1"/>
  <c r="M4583" i="5"/>
  <c r="Q4587" i="5"/>
  <c r="R4587" i="5" s="1"/>
  <c r="S4587" i="5" s="1"/>
  <c r="M4587" i="5"/>
  <c r="Q4594" i="5"/>
  <c r="R4594" i="5" s="1"/>
  <c r="S4594" i="5" s="1"/>
  <c r="M4594" i="5"/>
  <c r="Q4601" i="5"/>
  <c r="R4601" i="5" s="1"/>
  <c r="S4601" i="5" s="1"/>
  <c r="M4601" i="5"/>
  <c r="Q4605" i="5"/>
  <c r="M4605" i="5"/>
  <c r="Q4615" i="5"/>
  <c r="R4615" i="5" s="1"/>
  <c r="S4615" i="5" s="1"/>
  <c r="M4615" i="5"/>
  <c r="N4615" i="5" s="1"/>
  <c r="Q4617" i="5"/>
  <c r="M4617" i="5"/>
  <c r="Q4625" i="5"/>
  <c r="R4625" i="5" s="1"/>
  <c r="S4625" i="5" s="1"/>
  <c r="M4625" i="5"/>
  <c r="Q4629" i="5"/>
  <c r="M4629" i="5"/>
  <c r="Q4639" i="5"/>
  <c r="R4639" i="5" s="1"/>
  <c r="S4639" i="5" s="1"/>
  <c r="M4639" i="5"/>
  <c r="M4645" i="5"/>
  <c r="Q4645" i="5"/>
  <c r="M4649" i="5"/>
  <c r="N4649" i="5" s="1"/>
  <c r="O4649" i="5" s="1"/>
  <c r="Q4649" i="5"/>
  <c r="R4649" i="5" s="1"/>
  <c r="S4649" i="5" s="1"/>
  <c r="Q4652" i="5"/>
  <c r="R4652" i="5" s="1"/>
  <c r="S4652" i="5" s="1"/>
  <c r="M4652" i="5"/>
  <c r="Q4658" i="5"/>
  <c r="R4658" i="5" s="1"/>
  <c r="S4658" i="5" s="1"/>
  <c r="M4658" i="5"/>
  <c r="Q4662" i="5"/>
  <c r="M4662" i="5"/>
  <c r="Q4674" i="5"/>
  <c r="M4674" i="5"/>
  <c r="Q4675" i="5"/>
  <c r="R4675" i="5" s="1"/>
  <c r="S4675" i="5" s="1"/>
  <c r="M4675" i="5"/>
  <c r="N4675" i="5" s="1"/>
  <c r="Q4679" i="5"/>
  <c r="M4679" i="5"/>
  <c r="Q4684" i="5"/>
  <c r="R4684" i="5" s="1"/>
  <c r="S4684" i="5" s="1"/>
  <c r="M4684" i="5"/>
  <c r="N4684" i="5" s="1"/>
  <c r="O4684" i="5" s="1"/>
  <c r="Q4686" i="5"/>
  <c r="R4686" i="5" s="1"/>
  <c r="S4686" i="5" s="1"/>
  <c r="M4686" i="5"/>
  <c r="Q4689" i="5"/>
  <c r="M4689" i="5"/>
  <c r="Q4693" i="5"/>
  <c r="R4693" i="5" s="1"/>
  <c r="S4693" i="5" s="1"/>
  <c r="M4693" i="5"/>
  <c r="Q4701" i="5"/>
  <c r="R4701" i="5" s="1"/>
  <c r="S4701" i="5" s="1"/>
  <c r="M4701" i="5"/>
  <c r="M4705" i="5"/>
  <c r="Q4705" i="5"/>
  <c r="R4705" i="5" s="1"/>
  <c r="S4705" i="5" s="1"/>
  <c r="Q4707" i="5"/>
  <c r="M4707" i="5"/>
  <c r="Q4716" i="5"/>
  <c r="R4716" i="5" s="1"/>
  <c r="S4716" i="5" s="1"/>
  <c r="M4716" i="5"/>
  <c r="M4722" i="5"/>
  <c r="Q4722" i="5"/>
  <c r="Q4729" i="5"/>
  <c r="M4729" i="5"/>
  <c r="Q4736" i="5"/>
  <c r="R4736" i="5" s="1"/>
  <c r="S4736" i="5" s="1"/>
  <c r="M4736" i="5"/>
  <c r="Q4740" i="5"/>
  <c r="R4740" i="5" s="1"/>
  <c r="S4740" i="5" s="1"/>
  <c r="M4740" i="5"/>
  <c r="Q4748" i="5"/>
  <c r="R4748" i="5" s="1"/>
  <c r="S4748" i="5" s="1"/>
  <c r="M4748" i="5"/>
  <c r="Q4753" i="5"/>
  <c r="R4753" i="5" s="1"/>
  <c r="S4753" i="5" s="1"/>
  <c r="M4753" i="5"/>
  <c r="N4753" i="5" s="1"/>
  <c r="Q4759" i="5"/>
  <c r="R4759" i="5" s="1"/>
  <c r="S4759" i="5" s="1"/>
  <c r="M4759" i="5"/>
  <c r="N4759" i="5" s="1"/>
  <c r="Q4762" i="5"/>
  <c r="R4762" i="5" s="1"/>
  <c r="S4762" i="5" s="1"/>
  <c r="M4762" i="5"/>
  <c r="Q4771" i="5"/>
  <c r="R4771" i="5" s="1"/>
  <c r="S4771" i="5" s="1"/>
  <c r="M4771" i="5"/>
  <c r="N4771" i="5" s="1"/>
  <c r="Q4778" i="5"/>
  <c r="R4778" i="5" s="1"/>
  <c r="S4778" i="5" s="1"/>
  <c r="M4778" i="5"/>
  <c r="Q4255" i="5"/>
  <c r="R4255" i="5" s="1"/>
  <c r="S4255" i="5" s="1"/>
  <c r="R4258" i="5"/>
  <c r="S4258" i="5" s="1"/>
  <c r="M4277" i="5"/>
  <c r="Q4282" i="5"/>
  <c r="R4282" i="5" s="1"/>
  <c r="S4282" i="5" s="1"/>
  <c r="M4287" i="5"/>
  <c r="M4350" i="5"/>
  <c r="M4356" i="5"/>
  <c r="N4356" i="5" s="1"/>
  <c r="M4362" i="5"/>
  <c r="M4378" i="5"/>
  <c r="M4401" i="5"/>
  <c r="M4405" i="5"/>
  <c r="Q4414" i="5"/>
  <c r="R4414" i="5" s="1"/>
  <c r="S4414" i="5" s="1"/>
  <c r="R4285" i="5"/>
  <c r="S4285" i="5" s="1"/>
  <c r="R4297" i="5"/>
  <c r="S4297" i="5" s="1"/>
  <c r="R4311" i="5"/>
  <c r="S4311" i="5" s="1"/>
  <c r="R4316" i="5"/>
  <c r="S4316" i="5" s="1"/>
  <c r="R4333" i="5"/>
  <c r="S4333" i="5" s="1"/>
  <c r="R4371" i="5"/>
  <c r="S4371" i="5" s="1"/>
  <c r="R4388" i="5"/>
  <c r="S4388" i="5" s="1"/>
  <c r="R4401" i="5"/>
  <c r="S4401" i="5" s="1"/>
  <c r="R4436" i="5"/>
  <c r="S4436" i="5" s="1"/>
  <c r="R4609" i="5"/>
  <c r="S4609" i="5" s="1"/>
  <c r="R4239" i="5"/>
  <c r="S4239" i="5" s="1"/>
  <c r="L4239" i="5"/>
  <c r="R4252" i="5"/>
  <c r="S4252" i="5" s="1"/>
  <c r="L4252" i="5"/>
  <c r="R4257" i="5"/>
  <c r="S4257" i="5" s="1"/>
  <c r="L4257" i="5"/>
  <c r="P4272" i="5"/>
  <c r="L4227" i="5"/>
  <c r="L4255" i="5"/>
  <c r="L4260" i="5"/>
  <c r="N4292" i="5"/>
  <c r="P4292" i="5"/>
  <c r="L4233" i="5"/>
  <c r="R4247" i="5"/>
  <c r="S4247" i="5" s="1"/>
  <c r="L4247" i="5"/>
  <c r="P4265" i="5"/>
  <c r="K4231" i="5"/>
  <c r="R4231" i="5" s="1"/>
  <c r="S4231" i="5" s="1"/>
  <c r="L4225" i="5"/>
  <c r="R4225" i="5"/>
  <c r="S4225" i="5" s="1"/>
  <c r="K4226" i="5"/>
  <c r="R4226" i="5" s="1"/>
  <c r="S4226" i="5" s="1"/>
  <c r="K4232" i="5"/>
  <c r="R4232" i="5" s="1"/>
  <c r="S4232" i="5" s="1"/>
  <c r="L4238" i="5"/>
  <c r="R4238" i="5"/>
  <c r="S4238" i="5" s="1"/>
  <c r="L4244" i="5"/>
  <c r="R4244" i="5"/>
  <c r="S4244" i="5" s="1"/>
  <c r="L4246" i="5"/>
  <c r="R4246" i="5"/>
  <c r="S4246" i="5" s="1"/>
  <c r="L4254" i="5"/>
  <c r="R4254" i="5"/>
  <c r="S4254" i="5" s="1"/>
  <c r="L4256" i="5"/>
  <c r="R4256" i="5"/>
  <c r="S4256" i="5" s="1"/>
  <c r="L4262" i="5"/>
  <c r="R4262" i="5"/>
  <c r="S4262" i="5" s="1"/>
  <c r="L4264" i="5"/>
  <c r="R4264" i="5"/>
  <c r="S4264" i="5" s="1"/>
  <c r="L4266" i="5"/>
  <c r="N4269" i="5"/>
  <c r="O4269" i="5" s="1"/>
  <c r="L4270" i="5"/>
  <c r="L4273" i="5"/>
  <c r="K4277" i="5"/>
  <c r="R4277" i="5" s="1"/>
  <c r="S4277" i="5" s="1"/>
  <c r="R4323" i="5"/>
  <c r="S4323" i="5" s="1"/>
  <c r="L4323" i="5"/>
  <c r="R4340" i="5"/>
  <c r="S4340" i="5" s="1"/>
  <c r="L4340" i="5"/>
  <c r="R4350" i="5"/>
  <c r="S4350" i="5" s="1"/>
  <c r="L4350" i="5"/>
  <c r="P4356" i="5"/>
  <c r="L4296" i="5"/>
  <c r="L4310" i="5"/>
  <c r="L4332" i="5"/>
  <c r="L4228" i="5"/>
  <c r="K4229" i="5"/>
  <c r="R4229" i="5" s="1"/>
  <c r="S4229" i="5" s="1"/>
  <c r="L4234" i="5"/>
  <c r="K4235" i="5"/>
  <c r="L4235" i="5" s="1"/>
  <c r="L4240" i="5"/>
  <c r="K4241" i="5"/>
  <c r="L4248" i="5"/>
  <c r="K4249" i="5"/>
  <c r="R4249" i="5" s="1"/>
  <c r="S4249" i="5" s="1"/>
  <c r="K4251" i="5"/>
  <c r="R4251" i="5" s="1"/>
  <c r="S4251" i="5" s="1"/>
  <c r="L4258" i="5"/>
  <c r="K4259" i="5"/>
  <c r="R4259" i="5" s="1"/>
  <c r="S4259" i="5" s="1"/>
  <c r="L4282" i="5"/>
  <c r="R4288" i="5"/>
  <c r="S4288" i="5" s="1"/>
  <c r="L4288" i="5"/>
  <c r="L4306" i="5"/>
  <c r="L4328" i="5"/>
  <c r="K4242" i="5"/>
  <c r="L4242" i="5" s="1"/>
  <c r="N4267" i="5"/>
  <c r="R4272" i="5"/>
  <c r="S4272" i="5" s="1"/>
  <c r="R4274" i="5"/>
  <c r="S4274" i="5" s="1"/>
  <c r="K4289" i="5"/>
  <c r="R4289" i="5" s="1"/>
  <c r="S4289" i="5" s="1"/>
  <c r="K4294" i="5"/>
  <c r="R4294" i="5" s="1"/>
  <c r="S4294" i="5" s="1"/>
  <c r="L4321" i="5"/>
  <c r="L4230" i="5"/>
  <c r="R4230" i="5"/>
  <c r="S4230" i="5" s="1"/>
  <c r="L4236" i="5"/>
  <c r="K4237" i="5"/>
  <c r="L4237" i="5" s="1"/>
  <c r="K4245" i="5"/>
  <c r="L4245" i="5" s="1"/>
  <c r="L4250" i="5"/>
  <c r="L4271" i="5"/>
  <c r="L4274" i="5"/>
  <c r="K4283" i="5"/>
  <c r="R4283" i="5" s="1"/>
  <c r="S4283" i="5" s="1"/>
  <c r="L4298" i="5"/>
  <c r="L4312" i="5"/>
  <c r="L4317" i="5"/>
  <c r="L4334" i="5"/>
  <c r="L4243" i="5"/>
  <c r="L4253" i="5"/>
  <c r="L4261" i="5"/>
  <c r="L4263" i="5"/>
  <c r="R4265" i="5"/>
  <c r="S4265" i="5" s="1"/>
  <c r="K4268" i="5"/>
  <c r="L4268" i="5" s="1"/>
  <c r="K4276" i="5"/>
  <c r="R4276" i="5" s="1"/>
  <c r="S4276" i="5" s="1"/>
  <c r="L4293" i="5"/>
  <c r="R4304" i="5"/>
  <c r="S4304" i="5" s="1"/>
  <c r="L4304" i="5"/>
  <c r="L4327" i="5"/>
  <c r="L4338" i="5"/>
  <c r="L4344" i="5"/>
  <c r="K4347" i="5"/>
  <c r="L4347" i="5" s="1"/>
  <c r="K4348" i="5"/>
  <c r="K4352" i="5"/>
  <c r="R4364" i="5"/>
  <c r="S4364" i="5" s="1"/>
  <c r="L4364" i="5"/>
  <c r="R4374" i="5"/>
  <c r="S4374" i="5" s="1"/>
  <c r="L4374" i="5"/>
  <c r="R4391" i="5"/>
  <c r="S4391" i="5" s="1"/>
  <c r="L4391" i="5"/>
  <c r="R4404" i="5"/>
  <c r="S4404" i="5" s="1"/>
  <c r="L4404" i="5"/>
  <c r="L4414" i="5"/>
  <c r="P4423" i="5"/>
  <c r="L4279" i="5"/>
  <c r="L4285" i="5"/>
  <c r="L4291" i="5"/>
  <c r="L4297" i="5"/>
  <c r="L4305" i="5"/>
  <c r="L4311" i="5"/>
  <c r="L4316" i="5"/>
  <c r="L4322" i="5"/>
  <c r="L4333" i="5"/>
  <c r="L4339" i="5"/>
  <c r="L4345" i="5"/>
  <c r="K4346" i="5"/>
  <c r="L4346" i="5" s="1"/>
  <c r="P4429" i="5"/>
  <c r="L4397" i="5"/>
  <c r="L4299" i="5"/>
  <c r="K4300" i="5"/>
  <c r="K4302" i="5"/>
  <c r="L4307" i="5"/>
  <c r="K4308" i="5"/>
  <c r="L4308" i="5" s="1"/>
  <c r="L4313" i="5"/>
  <c r="K4314" i="5"/>
  <c r="L4314" i="5" s="1"/>
  <c r="L4318" i="5"/>
  <c r="K4319" i="5"/>
  <c r="L4324" i="5"/>
  <c r="K4325" i="5"/>
  <c r="L4329" i="5"/>
  <c r="K4330" i="5"/>
  <c r="L4330" i="5" s="1"/>
  <c r="L4335" i="5"/>
  <c r="K4336" i="5"/>
  <c r="L4341" i="5"/>
  <c r="K4342" i="5"/>
  <c r="K4349" i="5"/>
  <c r="L4349" i="5" s="1"/>
  <c r="K4351" i="5"/>
  <c r="K4295" i="5"/>
  <c r="R4295" i="5" s="1"/>
  <c r="S4295" i="5" s="1"/>
  <c r="K4301" i="5"/>
  <c r="R4301" i="5" s="1"/>
  <c r="S4301" i="5" s="1"/>
  <c r="K4303" i="5"/>
  <c r="L4303" i="5" s="1"/>
  <c r="K4309" i="5"/>
  <c r="L4309" i="5" s="1"/>
  <c r="K4320" i="5"/>
  <c r="K4326" i="5"/>
  <c r="K4331" i="5"/>
  <c r="K4337" i="5"/>
  <c r="K4343" i="5"/>
  <c r="L4368" i="5"/>
  <c r="L4385" i="5"/>
  <c r="L4412" i="5"/>
  <c r="K4357" i="5"/>
  <c r="R4359" i="5"/>
  <c r="S4359" i="5" s="1"/>
  <c r="L4359" i="5"/>
  <c r="R4362" i="5"/>
  <c r="S4362" i="5" s="1"/>
  <c r="L4362" i="5"/>
  <c r="L4353" i="5"/>
  <c r="K4354" i="5"/>
  <c r="L4354" i="5" s="1"/>
  <c r="L4361" i="5"/>
  <c r="L4367" i="5"/>
  <c r="R4367" i="5"/>
  <c r="S4367" i="5" s="1"/>
  <c r="P4369" i="5"/>
  <c r="L4373" i="5"/>
  <c r="L4379" i="5"/>
  <c r="P4380" i="5"/>
  <c r="L4384" i="5"/>
  <c r="R4384" i="5"/>
  <c r="S4384" i="5" s="1"/>
  <c r="P4386" i="5"/>
  <c r="L4390" i="5"/>
  <c r="P4392" i="5"/>
  <c r="L4396" i="5"/>
  <c r="L4403" i="5"/>
  <c r="L4411" i="5"/>
  <c r="R4411" i="5"/>
  <c r="S4411" i="5" s="1"/>
  <c r="P4415" i="5"/>
  <c r="K4419" i="5"/>
  <c r="R4422" i="5"/>
  <c r="S4422" i="5" s="1"/>
  <c r="P4376" i="5"/>
  <c r="P4398" i="5"/>
  <c r="L4421" i="5"/>
  <c r="L4422" i="5"/>
  <c r="L4427" i="5"/>
  <c r="L4430" i="5"/>
  <c r="L4468" i="5"/>
  <c r="L4483" i="5"/>
  <c r="K4365" i="5"/>
  <c r="K4431" i="5"/>
  <c r="L4431" i="5" s="1"/>
  <c r="L4486" i="5"/>
  <c r="K4360" i="5"/>
  <c r="K4366" i="5"/>
  <c r="L4366" i="5" s="1"/>
  <c r="L4371" i="5"/>
  <c r="K4372" i="5"/>
  <c r="L4377" i="5"/>
  <c r="K4378" i="5"/>
  <c r="R4378" i="5" s="1"/>
  <c r="S4378" i="5" s="1"/>
  <c r="L4382" i="5"/>
  <c r="K4383" i="5"/>
  <c r="L4383" i="5" s="1"/>
  <c r="L4388" i="5"/>
  <c r="K4389" i="5"/>
  <c r="L4394" i="5"/>
  <c r="K4395" i="5"/>
  <c r="R4395" i="5" s="1"/>
  <c r="S4395" i="5" s="1"/>
  <c r="L4399" i="5"/>
  <c r="K4400" i="5"/>
  <c r="L4401" i="5"/>
  <c r="K4402" i="5"/>
  <c r="L4409" i="5"/>
  <c r="K4410" i="5"/>
  <c r="L4410" i="5" s="1"/>
  <c r="L4417" i="5"/>
  <c r="K4418" i="5"/>
  <c r="L4418" i="5" s="1"/>
  <c r="K4424" i="5"/>
  <c r="L4424" i="5" s="1"/>
  <c r="K4434" i="5"/>
  <c r="L4434" i="5" s="1"/>
  <c r="K4425" i="5"/>
  <c r="L4433" i="5"/>
  <c r="L4462" i="5"/>
  <c r="L4470" i="5"/>
  <c r="L4474" i="5"/>
  <c r="L4481" i="5"/>
  <c r="P4504" i="5"/>
  <c r="L4436" i="5"/>
  <c r="K4437" i="5"/>
  <c r="L4437" i="5" s="1"/>
  <c r="L4442" i="5"/>
  <c r="K4443" i="5"/>
  <c r="L4443" i="5" s="1"/>
  <c r="L4447" i="5"/>
  <c r="K4448" i="5"/>
  <c r="L4453" i="5"/>
  <c r="R4453" i="5"/>
  <c r="S4453" i="5" s="1"/>
  <c r="L4459" i="5"/>
  <c r="L4461" i="5"/>
  <c r="L4466" i="5"/>
  <c r="L4479" i="5"/>
  <c r="L4485" i="5"/>
  <c r="L4491" i="5"/>
  <c r="L4496" i="5"/>
  <c r="K4500" i="5"/>
  <c r="L4500" i="5" s="1"/>
  <c r="L4502" i="5"/>
  <c r="K4519" i="5"/>
  <c r="L4522" i="5"/>
  <c r="L4567" i="5"/>
  <c r="P4577" i="5"/>
  <c r="L4454" i="5"/>
  <c r="L4467" i="5"/>
  <c r="L4475" i="5"/>
  <c r="L4480" i="5"/>
  <c r="K4510" i="5"/>
  <c r="L4516" i="5"/>
  <c r="L4439" i="5"/>
  <c r="K4440" i="5"/>
  <c r="L4440" i="5" s="1"/>
  <c r="L4445" i="5"/>
  <c r="K4446" i="5"/>
  <c r="L4450" i="5"/>
  <c r="K4451" i="5"/>
  <c r="L4451" i="5" s="1"/>
  <c r="L4456" i="5"/>
  <c r="K4457" i="5"/>
  <c r="L4463" i="5"/>
  <c r="K4464" i="5"/>
  <c r="L4469" i="5"/>
  <c r="L4471" i="5"/>
  <c r="K4472" i="5"/>
  <c r="L4476" i="5"/>
  <c r="K4477" i="5"/>
  <c r="L4477" i="5" s="1"/>
  <c r="L4482" i="5"/>
  <c r="L4488" i="5"/>
  <c r="K4489" i="5"/>
  <c r="L4493" i="5"/>
  <c r="K4494" i="5"/>
  <c r="K4505" i="5"/>
  <c r="L4505" i="5" s="1"/>
  <c r="L4507" i="5"/>
  <c r="P4579" i="5"/>
  <c r="L4452" i="5"/>
  <c r="L4458" i="5"/>
  <c r="L4460" i="5"/>
  <c r="L4465" i="5"/>
  <c r="L4473" i="5"/>
  <c r="L4478" i="5"/>
  <c r="L4484" i="5"/>
  <c r="L4490" i="5"/>
  <c r="L4495" i="5"/>
  <c r="K4501" i="5"/>
  <c r="L4509" i="5"/>
  <c r="L4524" i="5"/>
  <c r="L4529" i="5"/>
  <c r="K4530" i="5"/>
  <c r="L4530" i="5" s="1"/>
  <c r="K4532" i="5"/>
  <c r="L4532" i="5" s="1"/>
  <c r="L4539" i="5"/>
  <c r="K4540" i="5"/>
  <c r="R4540" i="5" s="1"/>
  <c r="S4540" i="5" s="1"/>
  <c r="L4547" i="5"/>
  <c r="K4548" i="5"/>
  <c r="K4552" i="5"/>
  <c r="L4557" i="5"/>
  <c r="L4565" i="5"/>
  <c r="K4566" i="5"/>
  <c r="L4578" i="5"/>
  <c r="L4596" i="5"/>
  <c r="K4515" i="5"/>
  <c r="L4520" i="5"/>
  <c r="K4521" i="5"/>
  <c r="K4523" i="5"/>
  <c r="L4523" i="5" s="1"/>
  <c r="K4531" i="5"/>
  <c r="L4531" i="5" s="1"/>
  <c r="K4533" i="5"/>
  <c r="K4541" i="5"/>
  <c r="L4541" i="5" s="1"/>
  <c r="K4543" i="5"/>
  <c r="K4549" i="5"/>
  <c r="K4553" i="5"/>
  <c r="L4553" i="5" s="1"/>
  <c r="L4558" i="5"/>
  <c r="K4559" i="5"/>
  <c r="L4559" i="5" s="1"/>
  <c r="P4568" i="5"/>
  <c r="L4574" i="5"/>
  <c r="K4575" i="5"/>
  <c r="L4575" i="5" s="1"/>
  <c r="L4585" i="5"/>
  <c r="L4589" i="5"/>
  <c r="L4606" i="5"/>
  <c r="P4615" i="5"/>
  <c r="P4572" i="5"/>
  <c r="L4602" i="5"/>
  <c r="L4594" i="5"/>
  <c r="P4614" i="5"/>
  <c r="L4545" i="5"/>
  <c r="K4546" i="5"/>
  <c r="K4581" i="5"/>
  <c r="L4583" i="5"/>
  <c r="L4591" i="5"/>
  <c r="P4613" i="5"/>
  <c r="L4512" i="5"/>
  <c r="L4514" i="5"/>
  <c r="L4518" i="5"/>
  <c r="L4526" i="5"/>
  <c r="L4528" i="5"/>
  <c r="L4536" i="5"/>
  <c r="L4538" i="5"/>
  <c r="L4551" i="5"/>
  <c r="L4556" i="5"/>
  <c r="L4562" i="5"/>
  <c r="L4564" i="5"/>
  <c r="K4573" i="5"/>
  <c r="L4600" i="5"/>
  <c r="L4587" i="5"/>
  <c r="L4592" i="5"/>
  <c r="K4593" i="5"/>
  <c r="L4593" i="5" s="1"/>
  <c r="L4598" i="5"/>
  <c r="K4599" i="5"/>
  <c r="L4599" i="5" s="1"/>
  <c r="L4604" i="5"/>
  <c r="K4605" i="5"/>
  <c r="L4610" i="5"/>
  <c r="K4611" i="5"/>
  <c r="K4617" i="5"/>
  <c r="L4625" i="5"/>
  <c r="P4659" i="5"/>
  <c r="L4576" i="5"/>
  <c r="L4582" i="5"/>
  <c r="L4588" i="5"/>
  <c r="L4620" i="5"/>
  <c r="P4665" i="5"/>
  <c r="L4570" i="5"/>
  <c r="L4584" i="5"/>
  <c r="L4590" i="5"/>
  <c r="L4595" i="5"/>
  <c r="L4601" i="5"/>
  <c r="L4607" i="5"/>
  <c r="L4618" i="5"/>
  <c r="K4616" i="5"/>
  <c r="L4616" i="5" s="1"/>
  <c r="L4580" i="5"/>
  <c r="L4586" i="5"/>
  <c r="L4597" i="5"/>
  <c r="L4603" i="5"/>
  <c r="L4609" i="5"/>
  <c r="L4612" i="5"/>
  <c r="P4650" i="5"/>
  <c r="L4622" i="5"/>
  <c r="K4623" i="5"/>
  <c r="L4628" i="5"/>
  <c r="K4629" i="5"/>
  <c r="L4634" i="5"/>
  <c r="K4635" i="5"/>
  <c r="L4640" i="5"/>
  <c r="K4641" i="5"/>
  <c r="L4641" i="5" s="1"/>
  <c r="L4646" i="5"/>
  <c r="K4647" i="5"/>
  <c r="L4672" i="5"/>
  <c r="P4675" i="5"/>
  <c r="P4631" i="5"/>
  <c r="P4637" i="5"/>
  <c r="K4664" i="5"/>
  <c r="L4624" i="5"/>
  <c r="K4657" i="5"/>
  <c r="L4657" i="5" s="1"/>
  <c r="L4663" i="5"/>
  <c r="K4662" i="5"/>
  <c r="L4626" i="5"/>
  <c r="L4653" i="5"/>
  <c r="K4655" i="5"/>
  <c r="L4655" i="5" s="1"/>
  <c r="P4660" i="5"/>
  <c r="K4667" i="5"/>
  <c r="L4621" i="5"/>
  <c r="L4627" i="5"/>
  <c r="L4633" i="5"/>
  <c r="L4639" i="5"/>
  <c r="L4652" i="5"/>
  <c r="L4666" i="5"/>
  <c r="P4695" i="5"/>
  <c r="L4699" i="5"/>
  <c r="K4706" i="5"/>
  <c r="K4743" i="5"/>
  <c r="L4743" i="5" s="1"/>
  <c r="L4654" i="5"/>
  <c r="L4668" i="5"/>
  <c r="P4669" i="5"/>
  <c r="L4673" i="5"/>
  <c r="K4674" i="5"/>
  <c r="L4674" i="5" s="1"/>
  <c r="K4676" i="5"/>
  <c r="K4697" i="5"/>
  <c r="L4697" i="5" s="1"/>
  <c r="L4701" i="5"/>
  <c r="L4705" i="5"/>
  <c r="P4709" i="5"/>
  <c r="L4762" i="5"/>
  <c r="K4683" i="5"/>
  <c r="P4692" i="5"/>
  <c r="K4703" i="5"/>
  <c r="K4711" i="5"/>
  <c r="L4711" i="5" s="1"/>
  <c r="K4720" i="5"/>
  <c r="P4777" i="5"/>
  <c r="K4685" i="5"/>
  <c r="K4694" i="5"/>
  <c r="L4710" i="5"/>
  <c r="K4761" i="5"/>
  <c r="L4761" i="5" s="1"/>
  <c r="L4670" i="5"/>
  <c r="K4671" i="5"/>
  <c r="L4671" i="5" s="1"/>
  <c r="K4689" i="5"/>
  <c r="L4689" i="5" s="1"/>
  <c r="L4693" i="5"/>
  <c r="P4698" i="5"/>
  <c r="L4744" i="5"/>
  <c r="L4765" i="5"/>
  <c r="K4677" i="5"/>
  <c r="L4677" i="5" s="1"/>
  <c r="K4680" i="5"/>
  <c r="K4682" i="5"/>
  <c r="K4691" i="5"/>
  <c r="K4700" i="5"/>
  <c r="P4704" i="5"/>
  <c r="K4714" i="5"/>
  <c r="P4728" i="5"/>
  <c r="L4688" i="5"/>
  <c r="L4690" i="5"/>
  <c r="L4696" i="5"/>
  <c r="L4702" i="5"/>
  <c r="L4708" i="5"/>
  <c r="L4713" i="5"/>
  <c r="P4715" i="5"/>
  <c r="L4719" i="5"/>
  <c r="P4721" i="5"/>
  <c r="L4726" i="5"/>
  <c r="K4737" i="5"/>
  <c r="L4737" i="5" s="1"/>
  <c r="L4740" i="5"/>
  <c r="P4747" i="5"/>
  <c r="L4748" i="5"/>
  <c r="K4755" i="5"/>
  <c r="L4755" i="5" s="1"/>
  <c r="L4756" i="5"/>
  <c r="L4766" i="5"/>
  <c r="K4773" i="5"/>
  <c r="L4773" i="5" s="1"/>
  <c r="L4774" i="5"/>
  <c r="L4724" i="5"/>
  <c r="K4727" i="5"/>
  <c r="L4734" i="5"/>
  <c r="P4759" i="5"/>
  <c r="L4778" i="5"/>
  <c r="L4730" i="5"/>
  <c r="P4735" i="5"/>
  <c r="P4753" i="5"/>
  <c r="P4771" i="5"/>
  <c r="L4716" i="5"/>
  <c r="K4731" i="5"/>
  <c r="L4731" i="5" s="1"/>
  <c r="L4717" i="5"/>
  <c r="K4749" i="5"/>
  <c r="L4750" i="5"/>
  <c r="K4767" i="5"/>
  <c r="L4736" i="5"/>
  <c r="L4742" i="5"/>
  <c r="L4754" i="5"/>
  <c r="L4760" i="5"/>
  <c r="L4772" i="5"/>
  <c r="K4738" i="5"/>
  <c r="L4738" i="5" s="1"/>
  <c r="K4768" i="5"/>
  <c r="L4768" i="5" s="1"/>
  <c r="L4732" i="5"/>
  <c r="L4733" i="5"/>
  <c r="L4739" i="5"/>
  <c r="L4745" i="5"/>
  <c r="K4746" i="5"/>
  <c r="L4746" i="5" s="1"/>
  <c r="L4751" i="5"/>
  <c r="L4757" i="5"/>
  <c r="K4758" i="5"/>
  <c r="L4758" i="5" s="1"/>
  <c r="L4763" i="5"/>
  <c r="L4775" i="5"/>
  <c r="L4764" i="5"/>
  <c r="L4770" i="5"/>
  <c r="L4776" i="5"/>
  <c r="T4224" i="5"/>
  <c r="J4224" i="5"/>
  <c r="T4223" i="5"/>
  <c r="J4223" i="5"/>
  <c r="K4223" i="5" s="1"/>
  <c r="T4222" i="5"/>
  <c r="J4222" i="5"/>
  <c r="T4221" i="5"/>
  <c r="J4221" i="5"/>
  <c r="T4220" i="5"/>
  <c r="J4220" i="5"/>
  <c r="K4220" i="5" s="1"/>
  <c r="T4219" i="5"/>
  <c r="J4219" i="5"/>
  <c r="K4219" i="5" s="1"/>
  <c r="T4218" i="5"/>
  <c r="J4218" i="5"/>
  <c r="T4217" i="5"/>
  <c r="J4217" i="5"/>
  <c r="K4217" i="5" s="1"/>
  <c r="T4216" i="5"/>
  <c r="J4216" i="5"/>
  <c r="T4215" i="5"/>
  <c r="J4215" i="5"/>
  <c r="T4214" i="5"/>
  <c r="J4214" i="5"/>
  <c r="K4214" i="5" s="1"/>
  <c r="T4213" i="5"/>
  <c r="J4213" i="5"/>
  <c r="K4213" i="5" s="1"/>
  <c r="L4213" i="5" s="1"/>
  <c r="T4212" i="5"/>
  <c r="J4212" i="5"/>
  <c r="T4211" i="5"/>
  <c r="J4211" i="5"/>
  <c r="K4211" i="5" s="1"/>
  <c r="T4210" i="5"/>
  <c r="J4210" i="5"/>
  <c r="T4209" i="5"/>
  <c r="J4209" i="5"/>
  <c r="K4209" i="5" s="1"/>
  <c r="T4208" i="5"/>
  <c r="J4208" i="5"/>
  <c r="T4207" i="5"/>
  <c r="J4207" i="5"/>
  <c r="T4206" i="5"/>
  <c r="J4206" i="5"/>
  <c r="K4206" i="5" s="1"/>
  <c r="T4205" i="5"/>
  <c r="J4205" i="5"/>
  <c r="K4205" i="5" s="1"/>
  <c r="T4204" i="5"/>
  <c r="J4204" i="5"/>
  <c r="T4203" i="5"/>
  <c r="J4203" i="5"/>
  <c r="K4203" i="5" s="1"/>
  <c r="T4202" i="5"/>
  <c r="J4202" i="5"/>
  <c r="T4201" i="5"/>
  <c r="J4201" i="5"/>
  <c r="T4200" i="5"/>
  <c r="J4200" i="5"/>
  <c r="K4200" i="5" s="1"/>
  <c r="T4199" i="5"/>
  <c r="J4199" i="5"/>
  <c r="K4199" i="5" s="1"/>
  <c r="L4199" i="5" s="1"/>
  <c r="T4198" i="5"/>
  <c r="J4198" i="5"/>
  <c r="T4197" i="5"/>
  <c r="J4197" i="5"/>
  <c r="K4197" i="5" s="1"/>
  <c r="T4196" i="5"/>
  <c r="J4196" i="5"/>
  <c r="T4195" i="5"/>
  <c r="J4195" i="5"/>
  <c r="T4194" i="5"/>
  <c r="J4194" i="5"/>
  <c r="K4194" i="5" s="1"/>
  <c r="L4194" i="5" s="1"/>
  <c r="T4193" i="5"/>
  <c r="J4193" i="5"/>
  <c r="T4192" i="5"/>
  <c r="J4192" i="5"/>
  <c r="K4192" i="5" s="1"/>
  <c r="T4191" i="5"/>
  <c r="J4191" i="5"/>
  <c r="T4190" i="5"/>
  <c r="J4190" i="5"/>
  <c r="T4189" i="5"/>
  <c r="J4189" i="5"/>
  <c r="K4189" i="5" s="1"/>
  <c r="T4188" i="5"/>
  <c r="J4188" i="5"/>
  <c r="T4187" i="5"/>
  <c r="J4187" i="5"/>
  <c r="K4187" i="5" s="1"/>
  <c r="T4186" i="5"/>
  <c r="J4186" i="5"/>
  <c r="T4185" i="5"/>
  <c r="J4185" i="5"/>
  <c r="T4184" i="5"/>
  <c r="J4184" i="5"/>
  <c r="K4184" i="5" s="1"/>
  <c r="L4184" i="5" s="1"/>
  <c r="T4183" i="5"/>
  <c r="J4183" i="5"/>
  <c r="T4182" i="5"/>
  <c r="J4182" i="5"/>
  <c r="K4182" i="5" s="1"/>
  <c r="T4181" i="5"/>
  <c r="J4181" i="5"/>
  <c r="K4181" i="5" s="1"/>
  <c r="T4180" i="5"/>
  <c r="J4180" i="5"/>
  <c r="T4179" i="5"/>
  <c r="J4179" i="5"/>
  <c r="K4179" i="5" s="1"/>
  <c r="T4178" i="5"/>
  <c r="J4178" i="5"/>
  <c r="K4178" i="5" s="1"/>
  <c r="T4177" i="5"/>
  <c r="J4177" i="5"/>
  <c r="K4177" i="5" s="1"/>
  <c r="T4176" i="5"/>
  <c r="J4176" i="5"/>
  <c r="K4176" i="5" s="1"/>
  <c r="T4175" i="5"/>
  <c r="J4175" i="5"/>
  <c r="K4175" i="5" s="1"/>
  <c r="T4174" i="5"/>
  <c r="J4174" i="5"/>
  <c r="T4173" i="5"/>
  <c r="J4173" i="5"/>
  <c r="K4173" i="5" s="1"/>
  <c r="T4172" i="5"/>
  <c r="J4172" i="5"/>
  <c r="T4171" i="5"/>
  <c r="J4171" i="5"/>
  <c r="K4171" i="5" s="1"/>
  <c r="T4170" i="5"/>
  <c r="J4170" i="5"/>
  <c r="T4169" i="5"/>
  <c r="J4169" i="5"/>
  <c r="K4169" i="5" s="1"/>
  <c r="T4168" i="5"/>
  <c r="J4168" i="5"/>
  <c r="K4168" i="5" s="1"/>
  <c r="L4168" i="5" s="1"/>
  <c r="T4167" i="5"/>
  <c r="J4167" i="5"/>
  <c r="T4166" i="5"/>
  <c r="J4166" i="5"/>
  <c r="K4166" i="5" s="1"/>
  <c r="T4165" i="5"/>
  <c r="J4165" i="5"/>
  <c r="T4164" i="5"/>
  <c r="J4164" i="5"/>
  <c r="K4164" i="5" s="1"/>
  <c r="T4163" i="5"/>
  <c r="J4163" i="5"/>
  <c r="K4163" i="5" s="1"/>
  <c r="L4163" i="5" s="1"/>
  <c r="T4162" i="5"/>
  <c r="J4162" i="5"/>
  <c r="T4161" i="5"/>
  <c r="J4161" i="5"/>
  <c r="K4161" i="5" s="1"/>
  <c r="T4160" i="5"/>
  <c r="J4160" i="5"/>
  <c r="K4160" i="5" s="1"/>
  <c r="T4159" i="5"/>
  <c r="J4159" i="5"/>
  <c r="K4159" i="5" s="1"/>
  <c r="T4158" i="5"/>
  <c r="J4158" i="5"/>
  <c r="K4158" i="5" s="1"/>
  <c r="T4157" i="5"/>
  <c r="J4157" i="5"/>
  <c r="T4156" i="5"/>
  <c r="J4156" i="5"/>
  <c r="K4156" i="5" s="1"/>
  <c r="T4155" i="5"/>
  <c r="J4155" i="5"/>
  <c r="K4155" i="5" s="1"/>
  <c r="T4154" i="5"/>
  <c r="J4154" i="5"/>
  <c r="T4153" i="5"/>
  <c r="J4153" i="5"/>
  <c r="K4153" i="5" s="1"/>
  <c r="T4152" i="5"/>
  <c r="J4152" i="5"/>
  <c r="T4151" i="5"/>
  <c r="J4151" i="5"/>
  <c r="K4151" i="5" s="1"/>
  <c r="T4150" i="5"/>
  <c r="J4150" i="5"/>
  <c r="K4150" i="5" s="1"/>
  <c r="T4149" i="5"/>
  <c r="J4149" i="5"/>
  <c r="K4149" i="5" s="1"/>
  <c r="L4149" i="5" s="1"/>
  <c r="T4148" i="5"/>
  <c r="J4148" i="5"/>
  <c r="K4148" i="5" s="1"/>
  <c r="T4147" i="5"/>
  <c r="J4147" i="5"/>
  <c r="K4147" i="5" s="1"/>
  <c r="T4146" i="5"/>
  <c r="J4146" i="5"/>
  <c r="T4145" i="5"/>
  <c r="J4145" i="5"/>
  <c r="T4144" i="5"/>
  <c r="J4144" i="5"/>
  <c r="K4144" i="5" s="1"/>
  <c r="T4143" i="5"/>
  <c r="J4143" i="5"/>
  <c r="T4142" i="5"/>
  <c r="J4142" i="5"/>
  <c r="T4141" i="5"/>
  <c r="J4141" i="5"/>
  <c r="K4141" i="5" s="1"/>
  <c r="T4140" i="5"/>
  <c r="J4140" i="5"/>
  <c r="K4140" i="5" s="1"/>
  <c r="L4140" i="5" s="1"/>
  <c r="T4139" i="5"/>
  <c r="J4139" i="5"/>
  <c r="K4139" i="5" s="1"/>
  <c r="L4139" i="5" s="1"/>
  <c r="T4138" i="5"/>
  <c r="J4138" i="5"/>
  <c r="K4138" i="5" s="1"/>
  <c r="T4137" i="5"/>
  <c r="J4137" i="5"/>
  <c r="K4137" i="5" s="1"/>
  <c r="T4136" i="5"/>
  <c r="J4136" i="5"/>
  <c r="T4135" i="5"/>
  <c r="J4135" i="5"/>
  <c r="T4134" i="5"/>
  <c r="J4134" i="5"/>
  <c r="K4134" i="5" s="1"/>
  <c r="T4133" i="5"/>
  <c r="J4133" i="5"/>
  <c r="K4133" i="5" s="1"/>
  <c r="T4132" i="5"/>
  <c r="J4132" i="5"/>
  <c r="K4132" i="5" s="1"/>
  <c r="T4131" i="5"/>
  <c r="J4131" i="5"/>
  <c r="T4130" i="5"/>
  <c r="J4130" i="5"/>
  <c r="T4129" i="5"/>
  <c r="J4129" i="5"/>
  <c r="T4128" i="5"/>
  <c r="J4128" i="5"/>
  <c r="K4128" i="5" s="1"/>
  <c r="T4127" i="5"/>
  <c r="J4127" i="5"/>
  <c r="K4127" i="5" s="1"/>
  <c r="T4126" i="5"/>
  <c r="J4126" i="5"/>
  <c r="K4126" i="5" s="1"/>
  <c r="T4125" i="5"/>
  <c r="J4125" i="5"/>
  <c r="K4125" i="5" s="1"/>
  <c r="L4125" i="5" s="1"/>
  <c r="P4125" i="5" s="1"/>
  <c r="T4124" i="5"/>
  <c r="J4124" i="5"/>
  <c r="T4123" i="5"/>
  <c r="J4123" i="5"/>
  <c r="T4122" i="5"/>
  <c r="J4122" i="5"/>
  <c r="K4122" i="5" s="1"/>
  <c r="T4121" i="5"/>
  <c r="J4121" i="5"/>
  <c r="K4121" i="5" s="1"/>
  <c r="T4120" i="5"/>
  <c r="J4120" i="5"/>
  <c r="K4120" i="5" s="1"/>
  <c r="T4119" i="5"/>
  <c r="J4119" i="5"/>
  <c r="T4118" i="5"/>
  <c r="J4118" i="5"/>
  <c r="K4118" i="5" s="1"/>
  <c r="T4117" i="5"/>
  <c r="J4117" i="5"/>
  <c r="K4117" i="5" s="1"/>
  <c r="L4117" i="5" s="1"/>
  <c r="T4116" i="5"/>
  <c r="J4116" i="5"/>
  <c r="K4116" i="5" s="1"/>
  <c r="L4116" i="5" s="1"/>
  <c r="T4115" i="5"/>
  <c r="J4115" i="5"/>
  <c r="K4115" i="5" s="1"/>
  <c r="L4115" i="5" s="1"/>
  <c r="P4115" i="5" s="1"/>
  <c r="T4114" i="5"/>
  <c r="J4114" i="5"/>
  <c r="K4114" i="5" s="1"/>
  <c r="T4113" i="5"/>
  <c r="J4113" i="5"/>
  <c r="T4112" i="5"/>
  <c r="J4112" i="5"/>
  <c r="T4111" i="5"/>
  <c r="J4111" i="5"/>
  <c r="K4111" i="5" s="1"/>
  <c r="L4111" i="5" s="1"/>
  <c r="T4110" i="5"/>
  <c r="J4110" i="5"/>
  <c r="K4110" i="5" s="1"/>
  <c r="L4110" i="5" s="1"/>
  <c r="T4109" i="5"/>
  <c r="J4109" i="5"/>
  <c r="K4109" i="5" s="1"/>
  <c r="L4109" i="5" s="1"/>
  <c r="P4109" i="5" s="1"/>
  <c r="T4108" i="5"/>
  <c r="J4108" i="5"/>
  <c r="K4108" i="5" s="1"/>
  <c r="T4107" i="5"/>
  <c r="J4107" i="5"/>
  <c r="T4106" i="5"/>
  <c r="J4106" i="5"/>
  <c r="K4106" i="5" s="1"/>
  <c r="T4105" i="5"/>
  <c r="J4105" i="5"/>
  <c r="T4104" i="5"/>
  <c r="J4104" i="5"/>
  <c r="T4103" i="5"/>
  <c r="J4103" i="5"/>
  <c r="T4102" i="5"/>
  <c r="J4102" i="5"/>
  <c r="K4102" i="5" s="1"/>
  <c r="T4101" i="5"/>
  <c r="J4101" i="5"/>
  <c r="T4100" i="5"/>
  <c r="J4100" i="5"/>
  <c r="T4099" i="5"/>
  <c r="J4099" i="5"/>
  <c r="K4099" i="5" s="1"/>
  <c r="L4099" i="5" s="1"/>
  <c r="T4098" i="5"/>
  <c r="J4098" i="5"/>
  <c r="T4097" i="5"/>
  <c r="J4097" i="5"/>
  <c r="K4097" i="5" s="1"/>
  <c r="L4097" i="5" s="1"/>
  <c r="T4096" i="5"/>
  <c r="J4096" i="5"/>
  <c r="K4096" i="5" s="1"/>
  <c r="T4095" i="5"/>
  <c r="J4095" i="5"/>
  <c r="T4094" i="5"/>
  <c r="J4094" i="5"/>
  <c r="K4094" i="5" s="1"/>
  <c r="T4093" i="5"/>
  <c r="J4093" i="5"/>
  <c r="T4092" i="5"/>
  <c r="J4092" i="5"/>
  <c r="K4092" i="5" s="1"/>
  <c r="T4091" i="5"/>
  <c r="J4091" i="5"/>
  <c r="K4091" i="5" s="1"/>
  <c r="T4090" i="5"/>
  <c r="J4090" i="5"/>
  <c r="T4089" i="5"/>
  <c r="J4089" i="5"/>
  <c r="T4088" i="5"/>
  <c r="J4088" i="5"/>
  <c r="K4088" i="5" s="1"/>
  <c r="T4087" i="5"/>
  <c r="J4087" i="5"/>
  <c r="K4087" i="5" s="1"/>
  <c r="T4086" i="5"/>
  <c r="J4086" i="5"/>
  <c r="K4086" i="5" s="1"/>
  <c r="T4085" i="5"/>
  <c r="J4085" i="5"/>
  <c r="K4085" i="5" s="1"/>
  <c r="T4084" i="5"/>
  <c r="J4084" i="5"/>
  <c r="T4083" i="5"/>
  <c r="J4083" i="5"/>
  <c r="T4082" i="5"/>
  <c r="J4082" i="5"/>
  <c r="K4082" i="5" s="1"/>
  <c r="T4081" i="5"/>
  <c r="J4081" i="5"/>
  <c r="K4081" i="5" s="1"/>
  <c r="T4080" i="5"/>
  <c r="J4080" i="5"/>
  <c r="K4080" i="5" s="1"/>
  <c r="T4079" i="5"/>
  <c r="J4079" i="5"/>
  <c r="T4078" i="5"/>
  <c r="J4078" i="5"/>
  <c r="K4078" i="5" s="1"/>
  <c r="T4077" i="5"/>
  <c r="J4077" i="5"/>
  <c r="K4077" i="5" s="1"/>
  <c r="L4077" i="5" s="1"/>
  <c r="T4076" i="5"/>
  <c r="J4076" i="5"/>
  <c r="K4076" i="5" s="1"/>
  <c r="L4076" i="5" s="1"/>
  <c r="T4075" i="5"/>
  <c r="J4075" i="5"/>
  <c r="K4075" i="5" s="1"/>
  <c r="T4074" i="5"/>
  <c r="J4074" i="5"/>
  <c r="T4073" i="5"/>
  <c r="J4073" i="5"/>
  <c r="K4073" i="5" s="1"/>
  <c r="T4072" i="5"/>
  <c r="J4072" i="5"/>
  <c r="T4071" i="5"/>
  <c r="J4071" i="5"/>
  <c r="K4071" i="5" s="1"/>
  <c r="T4070" i="5"/>
  <c r="J4070" i="5"/>
  <c r="T4069" i="5"/>
  <c r="J4069" i="5"/>
  <c r="K4069" i="5" s="1"/>
  <c r="T4068" i="5"/>
  <c r="J4068" i="5"/>
  <c r="K4068" i="5" s="1"/>
  <c r="T4067" i="5"/>
  <c r="J4067" i="5"/>
  <c r="T4066" i="5"/>
  <c r="J4066" i="5"/>
  <c r="T4065" i="5"/>
  <c r="J4065" i="5"/>
  <c r="K4065" i="5" s="1"/>
  <c r="L4065" i="5" s="1"/>
  <c r="T4064" i="5"/>
  <c r="J4064" i="5"/>
  <c r="K4064" i="5" s="1"/>
  <c r="T4063" i="5"/>
  <c r="J4063" i="5"/>
  <c r="K4063" i="5" s="1"/>
  <c r="T4062" i="5"/>
  <c r="J4062" i="5"/>
  <c r="K4062" i="5" s="1"/>
  <c r="L4062" i="5" s="1"/>
  <c r="T4061" i="5"/>
  <c r="J4061" i="5"/>
  <c r="K4061" i="5" s="1"/>
  <c r="T4060" i="5"/>
  <c r="J4060" i="5"/>
  <c r="K4060" i="5" s="1"/>
  <c r="T4059" i="5"/>
  <c r="J4059" i="5"/>
  <c r="K4059" i="5" s="1"/>
  <c r="T4058" i="5"/>
  <c r="J4058" i="5"/>
  <c r="K4058" i="5" s="1"/>
  <c r="T4057" i="5"/>
  <c r="J4057" i="5"/>
  <c r="T4056" i="5"/>
  <c r="J4056" i="5"/>
  <c r="K4056" i="5" s="1"/>
  <c r="T4055" i="5"/>
  <c r="J4055" i="5"/>
  <c r="K4055" i="5" s="1"/>
  <c r="L4055" i="5" s="1"/>
  <c r="T4054" i="5"/>
  <c r="J4054" i="5"/>
  <c r="T4053" i="5"/>
  <c r="J4053" i="5"/>
  <c r="K4053" i="5" s="1"/>
  <c r="T4052" i="5"/>
  <c r="J4052" i="5"/>
  <c r="K4052" i="5" s="1"/>
  <c r="T4051" i="5"/>
  <c r="J4051" i="5"/>
  <c r="K4051" i="5" s="1"/>
  <c r="T4050" i="5"/>
  <c r="J4050" i="5"/>
  <c r="K4050" i="5" s="1"/>
  <c r="T4049" i="5"/>
  <c r="J4049" i="5"/>
  <c r="K4049" i="5" s="1"/>
  <c r="T4048" i="5"/>
  <c r="J4048" i="5"/>
  <c r="K4048" i="5" s="1"/>
  <c r="L4048" i="5" s="1"/>
  <c r="T4047" i="5"/>
  <c r="J4047" i="5"/>
  <c r="T4046" i="5"/>
  <c r="J4046" i="5"/>
  <c r="T4045" i="5"/>
  <c r="J4045" i="5"/>
  <c r="K4045" i="5" s="1"/>
  <c r="L4045" i="5" s="1"/>
  <c r="T4044" i="5"/>
  <c r="J4044" i="5"/>
  <c r="T4043" i="5"/>
  <c r="J4043" i="5"/>
  <c r="T4042" i="5"/>
  <c r="J4042" i="5"/>
  <c r="K4042" i="5" s="1"/>
  <c r="T4041" i="5"/>
  <c r="J4041" i="5"/>
  <c r="K4041" i="5" s="1"/>
  <c r="L4041" i="5" s="1"/>
  <c r="T4040" i="5"/>
  <c r="J4040" i="5"/>
  <c r="K4040" i="5" s="1"/>
  <c r="T4039" i="5"/>
  <c r="J4039" i="5"/>
  <c r="K4039" i="5" s="1"/>
  <c r="T4038" i="5"/>
  <c r="J4038" i="5"/>
  <c r="T4037" i="5"/>
  <c r="J4037" i="5"/>
  <c r="K4037" i="5" s="1"/>
  <c r="T4036" i="5"/>
  <c r="J4036" i="5"/>
  <c r="T4035" i="5"/>
  <c r="J4035" i="5"/>
  <c r="T4034" i="5"/>
  <c r="J4034" i="5"/>
  <c r="K4034" i="5" s="1"/>
  <c r="T4033" i="5"/>
  <c r="J4033" i="5"/>
  <c r="K4033" i="5" s="1"/>
  <c r="T4032" i="5"/>
  <c r="J4032" i="5"/>
  <c r="T4031" i="5"/>
  <c r="J4031" i="5"/>
  <c r="T4030" i="5"/>
  <c r="J4030" i="5"/>
  <c r="T4029" i="5"/>
  <c r="J4029" i="5"/>
  <c r="K4029" i="5" s="1"/>
  <c r="T4028" i="5"/>
  <c r="J4028" i="5"/>
  <c r="K4028" i="5" s="1"/>
  <c r="T4027" i="5"/>
  <c r="J4027" i="5"/>
  <c r="K4027" i="5" s="1"/>
  <c r="T4026" i="5"/>
  <c r="J4026" i="5"/>
  <c r="T4025" i="5"/>
  <c r="J4025" i="5"/>
  <c r="T4024" i="5"/>
  <c r="J4024" i="5"/>
  <c r="T4023" i="5"/>
  <c r="J4023" i="5"/>
  <c r="T4022" i="5"/>
  <c r="J4022" i="5"/>
  <c r="K4022" i="5" s="1"/>
  <c r="L4022" i="5" s="1"/>
  <c r="T4021" i="5"/>
  <c r="J4021" i="5"/>
  <c r="K4021" i="5" s="1"/>
  <c r="T4020" i="5"/>
  <c r="J4020" i="5"/>
  <c r="K4020" i="5" s="1"/>
  <c r="T4019" i="5"/>
  <c r="J4019" i="5"/>
  <c r="T4018" i="5"/>
  <c r="J4018" i="5"/>
  <c r="K4018" i="5" s="1"/>
  <c r="T4017" i="5"/>
  <c r="J4017" i="5"/>
  <c r="T4016" i="5"/>
  <c r="J4016" i="5"/>
  <c r="T4015" i="5"/>
  <c r="J4015" i="5"/>
  <c r="T4014" i="5"/>
  <c r="J4014" i="5"/>
  <c r="K4014" i="5" s="1"/>
  <c r="T4013" i="5"/>
  <c r="J4013" i="5"/>
  <c r="K4013" i="5" s="1"/>
  <c r="L4013" i="5" s="1"/>
  <c r="T4012" i="5"/>
  <c r="J4012" i="5"/>
  <c r="K4012" i="5" s="1"/>
  <c r="T4011" i="5"/>
  <c r="J4011" i="5"/>
  <c r="K4011" i="5" s="1"/>
  <c r="T4010" i="5"/>
  <c r="J4010" i="5"/>
  <c r="K4010" i="5" s="1"/>
  <c r="T4009" i="5"/>
  <c r="J4009" i="5"/>
  <c r="T4008" i="5"/>
  <c r="J4008" i="5"/>
  <c r="K4008" i="5" s="1"/>
  <c r="T4007" i="5"/>
  <c r="J4007" i="5"/>
  <c r="T4006" i="5"/>
  <c r="J4006" i="5"/>
  <c r="K4006" i="5" s="1"/>
  <c r="T4005" i="5"/>
  <c r="J4005" i="5"/>
  <c r="T4004" i="5"/>
  <c r="J4004" i="5"/>
  <c r="K4004" i="5" s="1"/>
  <c r="T4003" i="5"/>
  <c r="J4003" i="5"/>
  <c r="K4003" i="5" s="1"/>
  <c r="L4003" i="5" s="1"/>
  <c r="T4002" i="5"/>
  <c r="J4002" i="5"/>
  <c r="K4002" i="5" s="1"/>
  <c r="T4001" i="5"/>
  <c r="J4001" i="5"/>
  <c r="T4000" i="5"/>
  <c r="J4000" i="5"/>
  <c r="K4000" i="5" s="1"/>
  <c r="T3999" i="5"/>
  <c r="J3999" i="5"/>
  <c r="T3998" i="5"/>
  <c r="J3998" i="5"/>
  <c r="K3998" i="5" s="1"/>
  <c r="T3997" i="5"/>
  <c r="J3997" i="5"/>
  <c r="K3997" i="5" s="1"/>
  <c r="T3996" i="5"/>
  <c r="J3996" i="5"/>
  <c r="K3996" i="5" s="1"/>
  <c r="T3995" i="5"/>
  <c r="J3995" i="5"/>
  <c r="T3994" i="5"/>
  <c r="J3994" i="5"/>
  <c r="K3994" i="5" s="1"/>
  <c r="T3993" i="5"/>
  <c r="J3993" i="5"/>
  <c r="T3992" i="5"/>
  <c r="J3992" i="5"/>
  <c r="K3992" i="5" s="1"/>
  <c r="T3991" i="5"/>
  <c r="J3991" i="5"/>
  <c r="K3991" i="5" s="1"/>
  <c r="T3990" i="5"/>
  <c r="J3990" i="5"/>
  <c r="K3990" i="5" s="1"/>
  <c r="T3989" i="5"/>
  <c r="J3989" i="5"/>
  <c r="K3989" i="5" s="1"/>
  <c r="T3988" i="5"/>
  <c r="J3988" i="5"/>
  <c r="T3987" i="5"/>
  <c r="J3987" i="5"/>
  <c r="T3986" i="5"/>
  <c r="J3986" i="5"/>
  <c r="T3985" i="5"/>
  <c r="J3985" i="5"/>
  <c r="K3985" i="5" s="1"/>
  <c r="T3984" i="5"/>
  <c r="J3984" i="5"/>
  <c r="K3984" i="5" s="1"/>
  <c r="T3983" i="5"/>
  <c r="J3983" i="5"/>
  <c r="T3982" i="5"/>
  <c r="J3982" i="5"/>
  <c r="K3982" i="5" s="1"/>
  <c r="T3981" i="5"/>
  <c r="J3981" i="5"/>
  <c r="K3981" i="5" s="1"/>
  <c r="T3980" i="5"/>
  <c r="J3980" i="5"/>
  <c r="K3980" i="5" s="1"/>
  <c r="T3979" i="5"/>
  <c r="J3979" i="5"/>
  <c r="K3979" i="5" s="1"/>
  <c r="T3978" i="5"/>
  <c r="J3978" i="5"/>
  <c r="T3977" i="5"/>
  <c r="J3977" i="5"/>
  <c r="K3977" i="5" s="1"/>
  <c r="T3976" i="5"/>
  <c r="J3976" i="5"/>
  <c r="T3975" i="5"/>
  <c r="J3975" i="5"/>
  <c r="K3975" i="5" s="1"/>
  <c r="T3974" i="5"/>
  <c r="J3974" i="5"/>
  <c r="K3974" i="5" s="1"/>
  <c r="T3973" i="5"/>
  <c r="J3973" i="5"/>
  <c r="T3972" i="5"/>
  <c r="J3972" i="5"/>
  <c r="K3972" i="5" s="1"/>
  <c r="T3971" i="5"/>
  <c r="J3971" i="5"/>
  <c r="T3970" i="5"/>
  <c r="J3970" i="5"/>
  <c r="K3970" i="5" s="1"/>
  <c r="T3969" i="5"/>
  <c r="J3969" i="5"/>
  <c r="K3969" i="5" s="1"/>
  <c r="T3968" i="5"/>
  <c r="J3968" i="5"/>
  <c r="T3967" i="5"/>
  <c r="J3967" i="5"/>
  <c r="K3967" i="5" s="1"/>
  <c r="T3966" i="5"/>
  <c r="J3966" i="5"/>
  <c r="K3966" i="5" s="1"/>
  <c r="T3965" i="5"/>
  <c r="J3965" i="5"/>
  <c r="T3964" i="5"/>
  <c r="J3964" i="5"/>
  <c r="K3964" i="5" s="1"/>
  <c r="T3963" i="5"/>
  <c r="J3963" i="5"/>
  <c r="T3962" i="5"/>
  <c r="J3962" i="5"/>
  <c r="K3962" i="5" s="1"/>
  <c r="T3961" i="5"/>
  <c r="J3961" i="5"/>
  <c r="K3961" i="5" s="1"/>
  <c r="T3960" i="5"/>
  <c r="J3960" i="5"/>
  <c r="T3959" i="5"/>
  <c r="J3959" i="5"/>
  <c r="K3959" i="5" s="1"/>
  <c r="T3958" i="5"/>
  <c r="J3958" i="5"/>
  <c r="K3958" i="5" s="1"/>
  <c r="T3957" i="5"/>
  <c r="J3957" i="5"/>
  <c r="T3956" i="5"/>
  <c r="J3956" i="5"/>
  <c r="K3956" i="5" s="1"/>
  <c r="T3955" i="5"/>
  <c r="J3955" i="5"/>
  <c r="K3955" i="5" s="1"/>
  <c r="T3954" i="5"/>
  <c r="J3954" i="5"/>
  <c r="T3953" i="5"/>
  <c r="J3953" i="5"/>
  <c r="T3952" i="5"/>
  <c r="J3952" i="5"/>
  <c r="K3952" i="5" s="1"/>
  <c r="T3951" i="5"/>
  <c r="J3951" i="5"/>
  <c r="T3950" i="5"/>
  <c r="J3950" i="5"/>
  <c r="K3950" i="5" s="1"/>
  <c r="T3949" i="5"/>
  <c r="J3949" i="5"/>
  <c r="T3948" i="5"/>
  <c r="J3948" i="5"/>
  <c r="T3947" i="5"/>
  <c r="J3947" i="5"/>
  <c r="K3947" i="5" s="1"/>
  <c r="T3946" i="5"/>
  <c r="J3946" i="5"/>
  <c r="K3946" i="5" s="1"/>
  <c r="T3945" i="5"/>
  <c r="J3945" i="5"/>
  <c r="T3944" i="5"/>
  <c r="J3944" i="5"/>
  <c r="K3944" i="5" s="1"/>
  <c r="T3943" i="5"/>
  <c r="J3943" i="5"/>
  <c r="T3942" i="5"/>
  <c r="J3942" i="5"/>
  <c r="T3941" i="5"/>
  <c r="J3941" i="5"/>
  <c r="K3941" i="5" s="1"/>
  <c r="T3940" i="5"/>
  <c r="J3940" i="5"/>
  <c r="K3940" i="5" s="1"/>
  <c r="T3939" i="5"/>
  <c r="J3939" i="5"/>
  <c r="T3938" i="5"/>
  <c r="J3938" i="5"/>
  <c r="K3938" i="5" s="1"/>
  <c r="T3937" i="5"/>
  <c r="J3937" i="5"/>
  <c r="K3937" i="5" s="1"/>
  <c r="L3937" i="5" s="1"/>
  <c r="P3937" i="5" s="1"/>
  <c r="T3936" i="5"/>
  <c r="J3936" i="5"/>
  <c r="T3935" i="5"/>
  <c r="J3935" i="5"/>
  <c r="K3935" i="5" s="1"/>
  <c r="T3934" i="5"/>
  <c r="J3934" i="5"/>
  <c r="K3934" i="5" s="1"/>
  <c r="T3933" i="5"/>
  <c r="J3933" i="5"/>
  <c r="T3932" i="5"/>
  <c r="J3932" i="5"/>
  <c r="K3932" i="5" s="1"/>
  <c r="T3931" i="5"/>
  <c r="J3931" i="5"/>
  <c r="T3930" i="5"/>
  <c r="J3930" i="5"/>
  <c r="T3929" i="5"/>
  <c r="J3929" i="5"/>
  <c r="T3928" i="5"/>
  <c r="J3928" i="5"/>
  <c r="K3928" i="5" s="1"/>
  <c r="T3927" i="5"/>
  <c r="J3927" i="5"/>
  <c r="T3926" i="5"/>
  <c r="J3926" i="5"/>
  <c r="K3926" i="5" s="1"/>
  <c r="T3925" i="5"/>
  <c r="J3925" i="5"/>
  <c r="T3924" i="5"/>
  <c r="J3924" i="5"/>
  <c r="T3923" i="5"/>
  <c r="J3923" i="5"/>
  <c r="K3923" i="5" s="1"/>
  <c r="T3922" i="5"/>
  <c r="J3922" i="5"/>
  <c r="K3922" i="5" s="1"/>
  <c r="T3921" i="5"/>
  <c r="J3921" i="5"/>
  <c r="K3921" i="5" s="1"/>
  <c r="T3920" i="5"/>
  <c r="J3920" i="5"/>
  <c r="K3920" i="5" s="1"/>
  <c r="L3920" i="5" s="1"/>
  <c r="T3919" i="5"/>
  <c r="J3919" i="5"/>
  <c r="T3918" i="5"/>
  <c r="J3918" i="5"/>
  <c r="T3917" i="5"/>
  <c r="J3917" i="5"/>
  <c r="K3917" i="5" s="1"/>
  <c r="T3916" i="5"/>
  <c r="J3916" i="5"/>
  <c r="T3915" i="5"/>
  <c r="J3915" i="5"/>
  <c r="K3915" i="5" s="1"/>
  <c r="T3914" i="5"/>
  <c r="J3914" i="5"/>
  <c r="K3914" i="5" s="1"/>
  <c r="T3913" i="5"/>
  <c r="J3913" i="5"/>
  <c r="K3913" i="5" s="1"/>
  <c r="T3912" i="5"/>
  <c r="J3912" i="5"/>
  <c r="T3911" i="5"/>
  <c r="J3911" i="5"/>
  <c r="K3911" i="5" s="1"/>
  <c r="T3910" i="5"/>
  <c r="J3910" i="5"/>
  <c r="T3909" i="5"/>
  <c r="J3909" i="5"/>
  <c r="T3908" i="5"/>
  <c r="J3908" i="5"/>
  <c r="K3908" i="5" s="1"/>
  <c r="T3907" i="5"/>
  <c r="J3907" i="5"/>
  <c r="K3907" i="5" s="1"/>
  <c r="T3906" i="5"/>
  <c r="J3906" i="5"/>
  <c r="T3905" i="5"/>
  <c r="J3905" i="5"/>
  <c r="K3905" i="5" s="1"/>
  <c r="T3904" i="5"/>
  <c r="J3904" i="5"/>
  <c r="T3903" i="5"/>
  <c r="J3903" i="5"/>
  <c r="T3902" i="5"/>
  <c r="J3902" i="5"/>
  <c r="K3902" i="5" s="1"/>
  <c r="T3901" i="5"/>
  <c r="J3901" i="5"/>
  <c r="K3901" i="5" s="1"/>
  <c r="T3900" i="5"/>
  <c r="J3900" i="5"/>
  <c r="T3899" i="5"/>
  <c r="J3899" i="5"/>
  <c r="K3899" i="5" s="1"/>
  <c r="T3898" i="5"/>
  <c r="J3898" i="5"/>
  <c r="K3898" i="5" s="1"/>
  <c r="L3898" i="5" s="1"/>
  <c r="T3897" i="5"/>
  <c r="J3897" i="5"/>
  <c r="T3896" i="5"/>
  <c r="J3896" i="5"/>
  <c r="K3896" i="5" s="1"/>
  <c r="L3896" i="5" s="1"/>
  <c r="T3895" i="5"/>
  <c r="J3895" i="5"/>
  <c r="T3894" i="5"/>
  <c r="J3894" i="5"/>
  <c r="K3894" i="5" s="1"/>
  <c r="T3893" i="5"/>
  <c r="J3893" i="5"/>
  <c r="K3893" i="5" s="1"/>
  <c r="L3893" i="5" s="1"/>
  <c r="P3893" i="5" s="1"/>
  <c r="T3892" i="5"/>
  <c r="J3892" i="5"/>
  <c r="T3891" i="5"/>
  <c r="J3891" i="5"/>
  <c r="K3891" i="5" s="1"/>
  <c r="T3890" i="5"/>
  <c r="J3890" i="5"/>
  <c r="K3890" i="5" s="1"/>
  <c r="L3890" i="5" s="1"/>
  <c r="T3889" i="5"/>
  <c r="J3889" i="5"/>
  <c r="K3889" i="5" s="1"/>
  <c r="T3888" i="5"/>
  <c r="J3888" i="5"/>
  <c r="K3888" i="5" s="1"/>
  <c r="L3888" i="5" s="1"/>
  <c r="T3887" i="5"/>
  <c r="J3887" i="5"/>
  <c r="T3886" i="5"/>
  <c r="J3886" i="5"/>
  <c r="K3886" i="5" s="1"/>
  <c r="T3885" i="5"/>
  <c r="J3885" i="5"/>
  <c r="K3885" i="5" s="1"/>
  <c r="T3884" i="5"/>
  <c r="J3884" i="5"/>
  <c r="T3883" i="5"/>
  <c r="J3883" i="5"/>
  <c r="K3883" i="5" s="1"/>
  <c r="T3882" i="5"/>
  <c r="J3882" i="5"/>
  <c r="T3881" i="5"/>
  <c r="J3881" i="5"/>
  <c r="K3881" i="5" s="1"/>
  <c r="T3880" i="5"/>
  <c r="J3880" i="5"/>
  <c r="K3880" i="5" s="1"/>
  <c r="T3879" i="5"/>
  <c r="J3879" i="5"/>
  <c r="T3878" i="5"/>
  <c r="J3878" i="5"/>
  <c r="K3878" i="5" s="1"/>
  <c r="T3877" i="5"/>
  <c r="J3877" i="5"/>
  <c r="T3876" i="5"/>
  <c r="J3876" i="5"/>
  <c r="T3875" i="5"/>
  <c r="J3875" i="5"/>
  <c r="K3875" i="5" s="1"/>
  <c r="T3874" i="5"/>
  <c r="J3874" i="5"/>
  <c r="T3873" i="5"/>
  <c r="J3873" i="5"/>
  <c r="K3873" i="5" s="1"/>
  <c r="T3872" i="5"/>
  <c r="J3872" i="5"/>
  <c r="T3871" i="5"/>
  <c r="J3871" i="5"/>
  <c r="T3870" i="5"/>
  <c r="J3870" i="5"/>
  <c r="K3870" i="5" s="1"/>
  <c r="T3869" i="5"/>
  <c r="J3869" i="5"/>
  <c r="T3868" i="5"/>
  <c r="J3868" i="5"/>
  <c r="K3868" i="5" s="1"/>
  <c r="T3867" i="5"/>
  <c r="J3867" i="5"/>
  <c r="K3867" i="5" s="1"/>
  <c r="T3866" i="5"/>
  <c r="J3866" i="5"/>
  <c r="T3865" i="5"/>
  <c r="J3865" i="5"/>
  <c r="K3865" i="5" s="1"/>
  <c r="T3864" i="5"/>
  <c r="J3864" i="5"/>
  <c r="T3863" i="5"/>
  <c r="J3863" i="5"/>
  <c r="T3862" i="5"/>
  <c r="J3862" i="5"/>
  <c r="K3862" i="5" s="1"/>
  <c r="T3861" i="5"/>
  <c r="J3861" i="5"/>
  <c r="T3860" i="5"/>
  <c r="J3860" i="5"/>
  <c r="K3860" i="5" s="1"/>
  <c r="T3859" i="5"/>
  <c r="J3859" i="5"/>
  <c r="K3859" i="5" s="1"/>
  <c r="L3859" i="5" s="1"/>
  <c r="P3859" i="5" s="1"/>
  <c r="T3858" i="5"/>
  <c r="J3858" i="5"/>
  <c r="T3857" i="5"/>
  <c r="J3857" i="5"/>
  <c r="K3857" i="5" s="1"/>
  <c r="T3856" i="5"/>
  <c r="J3856" i="5"/>
  <c r="K3856" i="5" s="1"/>
  <c r="T3855" i="5"/>
  <c r="J3855" i="5"/>
  <c r="K3855" i="5" s="1"/>
  <c r="T3854" i="5"/>
  <c r="J3854" i="5"/>
  <c r="K3854" i="5" s="1"/>
  <c r="T3853" i="5"/>
  <c r="J3853" i="5"/>
  <c r="T3852" i="5"/>
  <c r="J3852" i="5"/>
  <c r="T3851" i="5"/>
  <c r="J3851" i="5"/>
  <c r="T3850" i="5"/>
  <c r="J3850" i="5"/>
  <c r="K3850" i="5" s="1"/>
  <c r="T3849" i="5"/>
  <c r="J3849" i="5"/>
  <c r="K3849" i="5" s="1"/>
  <c r="T3848" i="5"/>
  <c r="J3848" i="5"/>
  <c r="K3848" i="5" s="1"/>
  <c r="T3847" i="5"/>
  <c r="J3847" i="5"/>
  <c r="K3847" i="5" s="1"/>
  <c r="L3847" i="5" s="1"/>
  <c r="P3847" i="5" s="1"/>
  <c r="T3846" i="5"/>
  <c r="J3846" i="5"/>
  <c r="T3845" i="5"/>
  <c r="J3845" i="5"/>
  <c r="K3845" i="5" s="1"/>
  <c r="T3844" i="5"/>
  <c r="J3844" i="5"/>
  <c r="T3843" i="5"/>
  <c r="J3843" i="5"/>
  <c r="K3843" i="5" s="1"/>
  <c r="T3842" i="5"/>
  <c r="J3842" i="5"/>
  <c r="T3841" i="5"/>
  <c r="J3841" i="5"/>
  <c r="K3841" i="5" s="1"/>
  <c r="T3840" i="5"/>
  <c r="J3840" i="5"/>
  <c r="K3840" i="5" s="1"/>
  <c r="L3840" i="5" s="1"/>
  <c r="T3839" i="5"/>
  <c r="J3839" i="5"/>
  <c r="K3839" i="5" s="1"/>
  <c r="L3839" i="5" s="1"/>
  <c r="P3839" i="5" s="1"/>
  <c r="T3838" i="5"/>
  <c r="J3838" i="5"/>
  <c r="T3837" i="5"/>
  <c r="J3837" i="5"/>
  <c r="K3837" i="5" s="1"/>
  <c r="T3836" i="5"/>
  <c r="J3836" i="5"/>
  <c r="T3835" i="5"/>
  <c r="J3835" i="5"/>
  <c r="K3835" i="5" s="1"/>
  <c r="T3834" i="5"/>
  <c r="J3834" i="5"/>
  <c r="T3833" i="5"/>
  <c r="J3833" i="5"/>
  <c r="K3833" i="5" s="1"/>
  <c r="L3833" i="5" s="1"/>
  <c r="P3833" i="5" s="1"/>
  <c r="T3832" i="5"/>
  <c r="J3832" i="5"/>
  <c r="T3831" i="5"/>
  <c r="J3831" i="5"/>
  <c r="K3831" i="5" s="1"/>
  <c r="T3830" i="5"/>
  <c r="J3830" i="5"/>
  <c r="T3829" i="5"/>
  <c r="J3829" i="5"/>
  <c r="K3829" i="5" s="1"/>
  <c r="T3828" i="5"/>
  <c r="J3828" i="5"/>
  <c r="K3828" i="5" s="1"/>
  <c r="L3828" i="5" s="1"/>
  <c r="T3827" i="5"/>
  <c r="J3827" i="5"/>
  <c r="K3827" i="5" s="1"/>
  <c r="L3827" i="5" s="1"/>
  <c r="P3827" i="5" s="1"/>
  <c r="T3826" i="5"/>
  <c r="J3826" i="5"/>
  <c r="T3825" i="5"/>
  <c r="J3825" i="5"/>
  <c r="K3825" i="5" s="1"/>
  <c r="T3824" i="5"/>
  <c r="J3824" i="5"/>
  <c r="T3823" i="5"/>
  <c r="J3823" i="5"/>
  <c r="K3823" i="5" s="1"/>
  <c r="L3823" i="5" s="1"/>
  <c r="T3822" i="5"/>
  <c r="J3822" i="5"/>
  <c r="K3822" i="5" s="1"/>
  <c r="L3822" i="5" s="1"/>
  <c r="P3822" i="5" s="1"/>
  <c r="T3821" i="5"/>
  <c r="J3821" i="5"/>
  <c r="T3820" i="5"/>
  <c r="J3820" i="5"/>
  <c r="K3820" i="5" s="1"/>
  <c r="T3819" i="5"/>
  <c r="J3819" i="5"/>
  <c r="T3818" i="5"/>
  <c r="J3818" i="5"/>
  <c r="K3818" i="5" s="1"/>
  <c r="T3817" i="5"/>
  <c r="J3817" i="5"/>
  <c r="K3817" i="5" s="1"/>
  <c r="L3817" i="5" s="1"/>
  <c r="T3816" i="5"/>
  <c r="J3816" i="5"/>
  <c r="K3816" i="5" s="1"/>
  <c r="L3816" i="5" s="1"/>
  <c r="P3816" i="5" s="1"/>
  <c r="T3815" i="5"/>
  <c r="J3815" i="5"/>
  <c r="T3814" i="5"/>
  <c r="J3814" i="5"/>
  <c r="K3814" i="5" s="1"/>
  <c r="T3813" i="5"/>
  <c r="J3813" i="5"/>
  <c r="T3812" i="5"/>
  <c r="J3812" i="5"/>
  <c r="K3812" i="5" s="1"/>
  <c r="T3811" i="5"/>
  <c r="J3811" i="5"/>
  <c r="K3811" i="5" s="1"/>
  <c r="L3811" i="5" s="1"/>
  <c r="T3810" i="5"/>
  <c r="J3810" i="5"/>
  <c r="K3810" i="5" s="1"/>
  <c r="L3810" i="5" s="1"/>
  <c r="P3810" i="5" s="1"/>
  <c r="T3809" i="5"/>
  <c r="J3809" i="5"/>
  <c r="T3808" i="5"/>
  <c r="J3808" i="5"/>
  <c r="K3808" i="5" s="1"/>
  <c r="T3807" i="5"/>
  <c r="J3807" i="5"/>
  <c r="T3806" i="5"/>
  <c r="J3806" i="5"/>
  <c r="K3806" i="5" s="1"/>
  <c r="T3805" i="5"/>
  <c r="J3805" i="5"/>
  <c r="T3804" i="5"/>
  <c r="J3804" i="5"/>
  <c r="K3804" i="5" s="1"/>
  <c r="T3803" i="5"/>
  <c r="J3803" i="5"/>
  <c r="T3802" i="5"/>
  <c r="J3802" i="5"/>
  <c r="T3801" i="5"/>
  <c r="J3801" i="5"/>
  <c r="T3800" i="5"/>
  <c r="J3800" i="5"/>
  <c r="K3800" i="5" s="1"/>
  <c r="T3799" i="5"/>
  <c r="J3799" i="5"/>
  <c r="T3798" i="5"/>
  <c r="J3798" i="5"/>
  <c r="K3798" i="5" s="1"/>
  <c r="T3797" i="5"/>
  <c r="J3797" i="5"/>
  <c r="K3797" i="5" s="1"/>
  <c r="T3796" i="5"/>
  <c r="J3796" i="5"/>
  <c r="T3795" i="5"/>
  <c r="J3795" i="5"/>
  <c r="T3794" i="5"/>
  <c r="J3794" i="5"/>
  <c r="K3794" i="5" s="1"/>
  <c r="T3793" i="5"/>
  <c r="J3793" i="5"/>
  <c r="T3792" i="5"/>
  <c r="J3792" i="5"/>
  <c r="K3792" i="5" s="1"/>
  <c r="T3791" i="5"/>
  <c r="J3791" i="5"/>
  <c r="T3790" i="5"/>
  <c r="J3790" i="5"/>
  <c r="K3790" i="5" s="1"/>
  <c r="T3789" i="5"/>
  <c r="J3789" i="5"/>
  <c r="T3788" i="5"/>
  <c r="J3788" i="5"/>
  <c r="K3788" i="5" s="1"/>
  <c r="T3787" i="5"/>
  <c r="J3787" i="5"/>
  <c r="T3786" i="5"/>
  <c r="J3786" i="5"/>
  <c r="K3786" i="5" s="1"/>
  <c r="T3785" i="5"/>
  <c r="J3785" i="5"/>
  <c r="K3785" i="5" s="1"/>
  <c r="T3784" i="5"/>
  <c r="J3784" i="5"/>
  <c r="T3783" i="5"/>
  <c r="J3783" i="5"/>
  <c r="T3782" i="5"/>
  <c r="J3782" i="5"/>
  <c r="K3782" i="5" s="1"/>
  <c r="T3781" i="5"/>
  <c r="J3781" i="5"/>
  <c r="T3780" i="5"/>
  <c r="J3780" i="5"/>
  <c r="K3780" i="5" s="1"/>
  <c r="T3779" i="5"/>
  <c r="J3779" i="5"/>
  <c r="K3779" i="5" s="1"/>
  <c r="T3778" i="5"/>
  <c r="J3778" i="5"/>
  <c r="K3778" i="5" s="1"/>
  <c r="L3778" i="5" s="1"/>
  <c r="P3778" i="5" s="1"/>
  <c r="T3777" i="5"/>
  <c r="J3777" i="5"/>
  <c r="T3776" i="5"/>
  <c r="J3776" i="5"/>
  <c r="K3776" i="5" s="1"/>
  <c r="T3775" i="5"/>
  <c r="J3775" i="5"/>
  <c r="K3775" i="5" s="1"/>
  <c r="T3774" i="5"/>
  <c r="J3774" i="5"/>
  <c r="K3774" i="5" s="1"/>
  <c r="T3773" i="5"/>
  <c r="J3773" i="5"/>
  <c r="K3773" i="5" s="1"/>
  <c r="L3773" i="5" s="1"/>
  <c r="T3772" i="5"/>
  <c r="J3772" i="5"/>
  <c r="K3772" i="5" s="1"/>
  <c r="T3771" i="5"/>
  <c r="J3771" i="5"/>
  <c r="K3771" i="5" s="1"/>
  <c r="T3770" i="5"/>
  <c r="J3770" i="5"/>
  <c r="T3769" i="5"/>
  <c r="J3769" i="5"/>
  <c r="T3768" i="5"/>
  <c r="J3768" i="5"/>
  <c r="K3768" i="5" s="1"/>
  <c r="T3767" i="5"/>
  <c r="J3767" i="5"/>
  <c r="K3767" i="5" s="1"/>
  <c r="T3766" i="5"/>
  <c r="J3766" i="5"/>
  <c r="T3765" i="5"/>
  <c r="J3765" i="5"/>
  <c r="K3765" i="5" s="1"/>
  <c r="T3764" i="5"/>
  <c r="J3764" i="5"/>
  <c r="K3764" i="5" s="1"/>
  <c r="T3763" i="5"/>
  <c r="J3763" i="5"/>
  <c r="T3762" i="5"/>
  <c r="J3762" i="5"/>
  <c r="K3762" i="5" s="1"/>
  <c r="T3761" i="5"/>
  <c r="J3761" i="5"/>
  <c r="T3760" i="5"/>
  <c r="J3760" i="5"/>
  <c r="K3760" i="5" s="1"/>
  <c r="T3759" i="5"/>
  <c r="J3759" i="5"/>
  <c r="T3758" i="5"/>
  <c r="J3758" i="5"/>
  <c r="T3757" i="5"/>
  <c r="J3757" i="5"/>
  <c r="K3757" i="5" s="1"/>
  <c r="T3756" i="5"/>
  <c r="J3756" i="5"/>
  <c r="T3755" i="5"/>
  <c r="J3755" i="5"/>
  <c r="K3755" i="5" s="1"/>
  <c r="T3754" i="5"/>
  <c r="J3754" i="5"/>
  <c r="K3754" i="5" s="1"/>
  <c r="T3753" i="5"/>
  <c r="J3753" i="5"/>
  <c r="T3752" i="5"/>
  <c r="J3752" i="5"/>
  <c r="K3752" i="5" s="1"/>
  <c r="T3751" i="5"/>
  <c r="J3751" i="5"/>
  <c r="K3751" i="5" s="1"/>
  <c r="T3750" i="5"/>
  <c r="J3750" i="5"/>
  <c r="T3749" i="5"/>
  <c r="J3749" i="5"/>
  <c r="K3749" i="5" s="1"/>
  <c r="T3748" i="5"/>
  <c r="J3748" i="5"/>
  <c r="K3748" i="5" s="1"/>
  <c r="T3747" i="5"/>
  <c r="J3747" i="5"/>
  <c r="T3746" i="5"/>
  <c r="J3746" i="5"/>
  <c r="K3746" i="5" s="1"/>
  <c r="T3745" i="5"/>
  <c r="J3745" i="5"/>
  <c r="K3745" i="5" s="1"/>
  <c r="T3744" i="5"/>
  <c r="J3744" i="5"/>
  <c r="T3743" i="5"/>
  <c r="J3743" i="5"/>
  <c r="K3743" i="5" s="1"/>
  <c r="T3742" i="5"/>
  <c r="J3742" i="5"/>
  <c r="K3742" i="5" s="1"/>
  <c r="T3741" i="5"/>
  <c r="J3741" i="5"/>
  <c r="T3740" i="5"/>
  <c r="J3740" i="5"/>
  <c r="K3740" i="5" s="1"/>
  <c r="T3739" i="5"/>
  <c r="J3739" i="5"/>
  <c r="K3739" i="5" s="1"/>
  <c r="T3738" i="5"/>
  <c r="J3738" i="5"/>
  <c r="T3737" i="5"/>
  <c r="J3737" i="5"/>
  <c r="K3737" i="5" s="1"/>
  <c r="T3736" i="5"/>
  <c r="J3736" i="5"/>
  <c r="K3736" i="5" s="1"/>
  <c r="T3735" i="5"/>
  <c r="J3735" i="5"/>
  <c r="T3734" i="5"/>
  <c r="J3734" i="5"/>
  <c r="K3734" i="5" s="1"/>
  <c r="T3733" i="5"/>
  <c r="J3733" i="5"/>
  <c r="K3733" i="5" s="1"/>
  <c r="T3732" i="5"/>
  <c r="J3732" i="5"/>
  <c r="T3731" i="5"/>
  <c r="J3731" i="5"/>
  <c r="K3731" i="5" s="1"/>
  <c r="T3730" i="5"/>
  <c r="J3730" i="5"/>
  <c r="K3730" i="5" s="1"/>
  <c r="T3729" i="5"/>
  <c r="J3729" i="5"/>
  <c r="T3728" i="5"/>
  <c r="J3728" i="5"/>
  <c r="K3728" i="5" s="1"/>
  <c r="T3727" i="5"/>
  <c r="J3727" i="5"/>
  <c r="K3727" i="5" s="1"/>
  <c r="T3726" i="5"/>
  <c r="J3726" i="5"/>
  <c r="T3725" i="5"/>
  <c r="J3725" i="5"/>
  <c r="K3725" i="5" s="1"/>
  <c r="T3724" i="5"/>
  <c r="J3724" i="5"/>
  <c r="K3724" i="5" s="1"/>
  <c r="T3723" i="5"/>
  <c r="J3723" i="5"/>
  <c r="T3722" i="5"/>
  <c r="J3722" i="5"/>
  <c r="T3721" i="5"/>
  <c r="J3721" i="5"/>
  <c r="K3721" i="5" s="1"/>
  <c r="T3720" i="5"/>
  <c r="J3720" i="5"/>
  <c r="K3720" i="5" s="1"/>
  <c r="T3719" i="5"/>
  <c r="J3719" i="5"/>
  <c r="K3719" i="5" s="1"/>
  <c r="T3718" i="5"/>
  <c r="J3718" i="5"/>
  <c r="T3717" i="5"/>
  <c r="J3717" i="5"/>
  <c r="K3717" i="5" s="1"/>
  <c r="T3716" i="5"/>
  <c r="J3716" i="5"/>
  <c r="K3716" i="5" s="1"/>
  <c r="T3715" i="5"/>
  <c r="J3715" i="5"/>
  <c r="T3714" i="5"/>
  <c r="J3714" i="5"/>
  <c r="T3713" i="5"/>
  <c r="J3713" i="5"/>
  <c r="K3713" i="5" s="1"/>
  <c r="T3712" i="5"/>
  <c r="J3712" i="5"/>
  <c r="T3711" i="5"/>
  <c r="J3711" i="5"/>
  <c r="K3711" i="5" s="1"/>
  <c r="T3710" i="5"/>
  <c r="J3710" i="5"/>
  <c r="K3710" i="5" s="1"/>
  <c r="T3709" i="5"/>
  <c r="J3709" i="5"/>
  <c r="T3708" i="5"/>
  <c r="J3708" i="5"/>
  <c r="K3708" i="5" s="1"/>
  <c r="T3707" i="5"/>
  <c r="J3707" i="5"/>
  <c r="K3707" i="5" s="1"/>
  <c r="T3706" i="5"/>
  <c r="J3706" i="5"/>
  <c r="T3705" i="5"/>
  <c r="J3705" i="5"/>
  <c r="K3705" i="5" s="1"/>
  <c r="T3704" i="5"/>
  <c r="J3704" i="5"/>
  <c r="K3704" i="5" s="1"/>
  <c r="T3703" i="5"/>
  <c r="J3703" i="5"/>
  <c r="T3702" i="5"/>
  <c r="J3702" i="5"/>
  <c r="K3702" i="5" s="1"/>
  <c r="T3701" i="5"/>
  <c r="J3701" i="5"/>
  <c r="K3701" i="5" s="1"/>
  <c r="L3701" i="5" s="1"/>
  <c r="T3700" i="5"/>
  <c r="J3700" i="5"/>
  <c r="T3699" i="5"/>
  <c r="J3699" i="5"/>
  <c r="K3699" i="5" s="1"/>
  <c r="T3698" i="5"/>
  <c r="J3698" i="5"/>
  <c r="K3698" i="5" s="1"/>
  <c r="T3697" i="5"/>
  <c r="J3697" i="5"/>
  <c r="T3696" i="5"/>
  <c r="J3696" i="5"/>
  <c r="B4222" i="5"/>
  <c r="B4223" i="5"/>
  <c r="B4224" i="5"/>
  <c r="B4218" i="5"/>
  <c r="B4219" i="5"/>
  <c r="B4220" i="5"/>
  <c r="B4221" i="5"/>
  <c r="B4215" i="5"/>
  <c r="B4216" i="5"/>
  <c r="B4217" i="5"/>
  <c r="B4214" i="5"/>
  <c r="B4211" i="5"/>
  <c r="B4212" i="5"/>
  <c r="B4213" i="5"/>
  <c r="B4203" i="5"/>
  <c r="B4204" i="5"/>
  <c r="B4205" i="5"/>
  <c r="B4206" i="5"/>
  <c r="B4207" i="5"/>
  <c r="B4208" i="5"/>
  <c r="B4209" i="5"/>
  <c r="B4210" i="5"/>
  <c r="B4201" i="5"/>
  <c r="B4202" i="5"/>
  <c r="B4199" i="5"/>
  <c r="B4200" i="5"/>
  <c r="B4195" i="5"/>
  <c r="B4196" i="5"/>
  <c r="B4197" i="5"/>
  <c r="B4198" i="5"/>
  <c r="B4192" i="5"/>
  <c r="B4193" i="5"/>
  <c r="B4194" i="5"/>
  <c r="B4191" i="5"/>
  <c r="B4190" i="5"/>
  <c r="B4189" i="5"/>
  <c r="B4188" i="5"/>
  <c r="B4187" i="5"/>
  <c r="B4186" i="5"/>
  <c r="B4185" i="5"/>
  <c r="B4181" i="5"/>
  <c r="B4182" i="5"/>
  <c r="B4183" i="5"/>
  <c r="B4184" i="5"/>
  <c r="B4180" i="5"/>
  <c r="B4177" i="5"/>
  <c r="B4178" i="5"/>
  <c r="B4179" i="5"/>
  <c r="B4174" i="5"/>
  <c r="B4175" i="5"/>
  <c r="B4176" i="5"/>
  <c r="B4171" i="5"/>
  <c r="B4172" i="5"/>
  <c r="B4173" i="5"/>
  <c r="B4166" i="5"/>
  <c r="B4167" i="5"/>
  <c r="B4168" i="5"/>
  <c r="B4169" i="5"/>
  <c r="B4170" i="5"/>
  <c r="B4163" i="5"/>
  <c r="B4164" i="5"/>
  <c r="B4165" i="5"/>
  <c r="B4161" i="5"/>
  <c r="B4162" i="5"/>
  <c r="B4157" i="5"/>
  <c r="B4158" i="5"/>
  <c r="B4159" i="5"/>
  <c r="B4160" i="5"/>
  <c r="B4154" i="5"/>
  <c r="B4155" i="5"/>
  <c r="B4156" i="5"/>
  <c r="B4148" i="5"/>
  <c r="B4149" i="5"/>
  <c r="B4150" i="5"/>
  <c r="B4151" i="5"/>
  <c r="B4152" i="5"/>
  <c r="B4153" i="5"/>
  <c r="B4147" i="5"/>
  <c r="B4145" i="5"/>
  <c r="B4146" i="5"/>
  <c r="B4144" i="5"/>
  <c r="B4140" i="5"/>
  <c r="B4141" i="5"/>
  <c r="B4142" i="5"/>
  <c r="B4143" i="5"/>
  <c r="B4138" i="5"/>
  <c r="B4139" i="5"/>
  <c r="B4137" i="5"/>
  <c r="B4136" i="5"/>
  <c r="B4135" i="5"/>
  <c r="B4134" i="5"/>
  <c r="B4132" i="5"/>
  <c r="B4133" i="5"/>
  <c r="B4131" i="5"/>
  <c r="B4130" i="5"/>
  <c r="B4129" i="5"/>
  <c r="B4128" i="5"/>
  <c r="B4125" i="5"/>
  <c r="B4126" i="5"/>
  <c r="B4127" i="5"/>
  <c r="B4124" i="5"/>
  <c r="B4123" i="5"/>
  <c r="B4119" i="5"/>
  <c r="B4120" i="5"/>
  <c r="B4121" i="5"/>
  <c r="B4122" i="5"/>
  <c r="B4117" i="5"/>
  <c r="B4118" i="5"/>
  <c r="B4115" i="5"/>
  <c r="B4116" i="5"/>
  <c r="B4113" i="5"/>
  <c r="B4114" i="5"/>
  <c r="B4111" i="5"/>
  <c r="B4112" i="5"/>
  <c r="B4107" i="5"/>
  <c r="B4108" i="5"/>
  <c r="B4109" i="5"/>
  <c r="B4110" i="5"/>
  <c r="B4105" i="5"/>
  <c r="B4106" i="5"/>
  <c r="B4104" i="5"/>
  <c r="B4102" i="5"/>
  <c r="B4103" i="5"/>
  <c r="B4101" i="5"/>
  <c r="B4100" i="5"/>
  <c r="B4097" i="5"/>
  <c r="B4098" i="5"/>
  <c r="B4099" i="5"/>
  <c r="B4096" i="5"/>
  <c r="B4094" i="5"/>
  <c r="B4095" i="5"/>
  <c r="B4085" i="5"/>
  <c r="B4086" i="5"/>
  <c r="B4087" i="5"/>
  <c r="B4088" i="5"/>
  <c r="B4089" i="5"/>
  <c r="B4090" i="5"/>
  <c r="B4091" i="5"/>
  <c r="B4092" i="5"/>
  <c r="B4093" i="5"/>
  <c r="B4083" i="5"/>
  <c r="B4084" i="5"/>
  <c r="B4082" i="5"/>
  <c r="B4081" i="5"/>
  <c r="B4079" i="5"/>
  <c r="B4080" i="5"/>
  <c r="B4076" i="5"/>
  <c r="B4077" i="5"/>
  <c r="B4078" i="5"/>
  <c r="B4071" i="5"/>
  <c r="B4072" i="5"/>
  <c r="B4073" i="5"/>
  <c r="B4074" i="5"/>
  <c r="B4075" i="5"/>
  <c r="B4065" i="5"/>
  <c r="B4066" i="5"/>
  <c r="B4067" i="5"/>
  <c r="B4068" i="5"/>
  <c r="B4069" i="5"/>
  <c r="B4070" i="5"/>
  <c r="B4062" i="5"/>
  <c r="B4063" i="5"/>
  <c r="B4064" i="5"/>
  <c r="B4055" i="5"/>
  <c r="B4056" i="5"/>
  <c r="B4057" i="5"/>
  <c r="B4058" i="5"/>
  <c r="B4059" i="5"/>
  <c r="B4060" i="5"/>
  <c r="B4061" i="5"/>
  <c r="B4050" i="5"/>
  <c r="B4051" i="5"/>
  <c r="B4052" i="5"/>
  <c r="B4053" i="5"/>
  <c r="B4054" i="5"/>
  <c r="B4046" i="5"/>
  <c r="B4047" i="5"/>
  <c r="B4048" i="5"/>
  <c r="B4049" i="5"/>
  <c r="B4044" i="5"/>
  <c r="B4045" i="5"/>
  <c r="B4038" i="5"/>
  <c r="B4039" i="5"/>
  <c r="B4040" i="5"/>
  <c r="B4041" i="5"/>
  <c r="Q4041" i="5" s="1"/>
  <c r="B4042" i="5"/>
  <c r="B4043" i="5"/>
  <c r="B4033" i="5"/>
  <c r="B4034" i="5"/>
  <c r="B4035" i="5"/>
  <c r="Q4035" i="5" s="1"/>
  <c r="B4036" i="5"/>
  <c r="B4037" i="5"/>
  <c r="B4031" i="5"/>
  <c r="B4032" i="5"/>
  <c r="B4027" i="5"/>
  <c r="B4028" i="5"/>
  <c r="B4029" i="5"/>
  <c r="B4030" i="5"/>
  <c r="B4022" i="5"/>
  <c r="B4023" i="5"/>
  <c r="B4024" i="5"/>
  <c r="Q4024" i="5" s="1"/>
  <c r="B4025" i="5"/>
  <c r="B4026" i="5"/>
  <c r="B4015" i="5"/>
  <c r="B4016" i="5"/>
  <c r="B4017" i="5"/>
  <c r="B4018" i="5"/>
  <c r="B4019" i="5"/>
  <c r="M4019" i="5" s="1"/>
  <c r="B4020" i="5"/>
  <c r="B4021" i="5"/>
  <c r="B4012" i="5"/>
  <c r="B4013" i="5"/>
  <c r="B4014" i="5"/>
  <c r="Q4014" i="5" s="1"/>
  <c r="B4007" i="5"/>
  <c r="B4008" i="5"/>
  <c r="B4009" i="5"/>
  <c r="B4010" i="5"/>
  <c r="B4011" i="5"/>
  <c r="B4005" i="5"/>
  <c r="B4006" i="5"/>
  <c r="B3998" i="5"/>
  <c r="B3999" i="5"/>
  <c r="B4000" i="5"/>
  <c r="B4001" i="5"/>
  <c r="B4002" i="5"/>
  <c r="Q4002" i="5" s="1"/>
  <c r="B4003" i="5"/>
  <c r="B4004" i="5"/>
  <c r="B3995" i="5"/>
  <c r="B3996" i="5"/>
  <c r="B3997" i="5"/>
  <c r="B3992" i="5"/>
  <c r="B3993" i="5"/>
  <c r="B3994" i="5"/>
  <c r="B3987" i="5"/>
  <c r="B3988" i="5"/>
  <c r="B3989" i="5"/>
  <c r="B3990" i="5"/>
  <c r="B3991" i="5"/>
  <c r="Q3991" i="5" s="1"/>
  <c r="B3981" i="5"/>
  <c r="B3982" i="5"/>
  <c r="B3983" i="5"/>
  <c r="B3984" i="5"/>
  <c r="B3985" i="5"/>
  <c r="B3986" i="5"/>
  <c r="B3977" i="5"/>
  <c r="B3978" i="5"/>
  <c r="B3979" i="5"/>
  <c r="B3980" i="5"/>
  <c r="B3972" i="5"/>
  <c r="Q3972" i="5" s="1"/>
  <c r="B3973" i="5"/>
  <c r="B3974" i="5"/>
  <c r="B3975" i="5"/>
  <c r="B3976" i="5"/>
  <c r="M3976" i="5" s="1"/>
  <c r="B3965" i="5"/>
  <c r="B3966" i="5"/>
  <c r="B3967" i="5"/>
  <c r="B3968" i="5"/>
  <c r="B3969" i="5"/>
  <c r="B3970" i="5"/>
  <c r="B3971" i="5"/>
  <c r="B3959" i="5"/>
  <c r="B3960" i="5"/>
  <c r="B3961" i="5"/>
  <c r="B3962" i="5"/>
  <c r="B3963" i="5"/>
  <c r="B3964" i="5"/>
  <c r="B3958" i="5"/>
  <c r="B3956" i="5"/>
  <c r="B3957" i="5"/>
  <c r="B3953" i="5"/>
  <c r="M3953" i="5" s="1"/>
  <c r="B3954" i="5"/>
  <c r="B3955" i="5"/>
  <c r="B3950" i="5"/>
  <c r="B3951" i="5"/>
  <c r="B3952" i="5"/>
  <c r="B3947" i="5"/>
  <c r="B3948" i="5"/>
  <c r="B3949" i="5"/>
  <c r="B3944" i="5"/>
  <c r="M3944" i="5" s="1"/>
  <c r="B3945" i="5"/>
  <c r="B3946" i="5"/>
  <c r="Q3946" i="5" s="1"/>
  <c r="B3941" i="5"/>
  <c r="M3941" i="5" s="1"/>
  <c r="B3942" i="5"/>
  <c r="B3943" i="5"/>
  <c r="B3940" i="5"/>
  <c r="B3939" i="5"/>
  <c r="B3938" i="5"/>
  <c r="B3935" i="5"/>
  <c r="B3936" i="5"/>
  <c r="B3937" i="5"/>
  <c r="B3932" i="5"/>
  <c r="M3932" i="5" s="1"/>
  <c r="B3933" i="5"/>
  <c r="B3934" i="5"/>
  <c r="B3931" i="5"/>
  <c r="B3928" i="5"/>
  <c r="B3929" i="5"/>
  <c r="B3930" i="5"/>
  <c r="B3927" i="5"/>
  <c r="B3926" i="5"/>
  <c r="B3925" i="5"/>
  <c r="B3924" i="5"/>
  <c r="M3924" i="5" s="1"/>
  <c r="B3922" i="5"/>
  <c r="B3923" i="5"/>
  <c r="B3921" i="5"/>
  <c r="M3921" i="5" s="1"/>
  <c r="B3919" i="5"/>
  <c r="B3920" i="5"/>
  <c r="B3914" i="5"/>
  <c r="M3914" i="5" s="1"/>
  <c r="B3915" i="5"/>
  <c r="B3916" i="5"/>
  <c r="B3917" i="5"/>
  <c r="B3918" i="5"/>
  <c r="Q3918" i="5" s="1"/>
  <c r="B3913" i="5"/>
  <c r="B3912" i="5"/>
  <c r="B3908" i="5"/>
  <c r="B3909" i="5"/>
  <c r="M3909" i="5" s="1"/>
  <c r="B3910" i="5"/>
  <c r="B3911" i="5"/>
  <c r="B3906" i="5"/>
  <c r="B3907" i="5"/>
  <c r="B3903" i="5"/>
  <c r="B3904" i="5"/>
  <c r="M3904" i="5" s="1"/>
  <c r="B3905" i="5"/>
  <c r="B3897" i="5"/>
  <c r="B3898" i="5"/>
  <c r="B3899" i="5"/>
  <c r="B3900" i="5"/>
  <c r="B3901" i="5"/>
  <c r="M3901" i="5" s="1"/>
  <c r="B3902" i="5"/>
  <c r="B3890" i="5"/>
  <c r="M3890" i="5" s="1"/>
  <c r="B3891" i="5"/>
  <c r="B3892" i="5"/>
  <c r="B3893" i="5"/>
  <c r="B3894" i="5"/>
  <c r="Q3894" i="5" s="1"/>
  <c r="B3895" i="5"/>
  <c r="B3896" i="5"/>
  <c r="B3883" i="5"/>
  <c r="B3884" i="5"/>
  <c r="B3885" i="5"/>
  <c r="B3886" i="5"/>
  <c r="Q3886" i="5" s="1"/>
  <c r="B3887" i="5"/>
  <c r="B3888" i="5"/>
  <c r="B3889" i="5"/>
  <c r="B3875" i="5"/>
  <c r="M3875" i="5" s="1"/>
  <c r="B3876" i="5"/>
  <c r="B3877" i="5"/>
  <c r="B3878" i="5"/>
  <c r="B3879" i="5"/>
  <c r="Q3879" i="5" s="1"/>
  <c r="B3880" i="5"/>
  <c r="B3881" i="5"/>
  <c r="B3882" i="5"/>
  <c r="B3870" i="5"/>
  <c r="B3871" i="5"/>
  <c r="B3872" i="5"/>
  <c r="B3873" i="5"/>
  <c r="B3874" i="5"/>
  <c r="Q3874" i="5" s="1"/>
  <c r="B3862" i="5"/>
  <c r="B3863" i="5"/>
  <c r="B3864" i="5"/>
  <c r="B3865" i="5"/>
  <c r="Q3865" i="5" s="1"/>
  <c r="B3866" i="5"/>
  <c r="B3867" i="5"/>
  <c r="B3868" i="5"/>
  <c r="B3869" i="5"/>
  <c r="B3856" i="5"/>
  <c r="B3857" i="5"/>
  <c r="B3858" i="5"/>
  <c r="Q3858" i="5" s="1"/>
  <c r="B3859" i="5"/>
  <c r="B3860" i="5"/>
  <c r="B3861" i="5"/>
  <c r="B3853" i="5"/>
  <c r="B3854" i="5"/>
  <c r="B3855" i="5"/>
  <c r="B3849" i="5"/>
  <c r="B3850" i="5"/>
  <c r="B3851" i="5"/>
  <c r="B3852" i="5"/>
  <c r="B3848" i="5"/>
  <c r="B3846" i="5"/>
  <c r="B3847" i="5"/>
  <c r="B3842" i="5"/>
  <c r="B3843" i="5"/>
  <c r="B3844" i="5"/>
  <c r="B3845" i="5"/>
  <c r="M3845" i="5" s="1"/>
  <c r="B3837" i="5"/>
  <c r="B3838" i="5"/>
  <c r="B3839" i="5"/>
  <c r="B3840" i="5"/>
  <c r="B3841" i="5"/>
  <c r="B3835" i="5"/>
  <c r="B3836" i="5"/>
  <c r="M3836" i="5" s="1"/>
  <c r="B3834" i="5"/>
  <c r="B3831" i="5"/>
  <c r="Q3831" i="5" s="1"/>
  <c r="B3832" i="5"/>
  <c r="B3833" i="5"/>
  <c r="B3829" i="5"/>
  <c r="B3830" i="5"/>
  <c r="B3824" i="5"/>
  <c r="B3825" i="5"/>
  <c r="B3826" i="5"/>
  <c r="B3827" i="5"/>
  <c r="B3828" i="5"/>
  <c r="B3820" i="5"/>
  <c r="B3821" i="5"/>
  <c r="B3822" i="5"/>
  <c r="B3823" i="5"/>
  <c r="B3817" i="5"/>
  <c r="B3818" i="5"/>
  <c r="B3819" i="5"/>
  <c r="B3815" i="5"/>
  <c r="B3816" i="5"/>
  <c r="B3814" i="5"/>
  <c r="B3813" i="5"/>
  <c r="B3811" i="5"/>
  <c r="B3812" i="5"/>
  <c r="B3808" i="5"/>
  <c r="M3808" i="5" s="1"/>
  <c r="B3809" i="5"/>
  <c r="B3810" i="5"/>
  <c r="B3806" i="5"/>
  <c r="Q3806" i="5" s="1"/>
  <c r="B3807" i="5"/>
  <c r="B3802" i="5"/>
  <c r="B3803" i="5"/>
  <c r="Q3803" i="5" s="1"/>
  <c r="B3804" i="5"/>
  <c r="Q3804" i="5" s="1"/>
  <c r="B3805" i="5"/>
  <c r="B3800" i="5"/>
  <c r="B3801" i="5"/>
  <c r="B3795" i="5"/>
  <c r="B3796" i="5"/>
  <c r="M3796" i="5" s="1"/>
  <c r="B3797" i="5"/>
  <c r="B3798" i="5"/>
  <c r="Q3798" i="5" s="1"/>
  <c r="B3799" i="5"/>
  <c r="B3792" i="5"/>
  <c r="B3793" i="5"/>
  <c r="M3793" i="5" s="1"/>
  <c r="B3794" i="5"/>
  <c r="B3790" i="5"/>
  <c r="B3791" i="5"/>
  <c r="Q3791" i="5" s="1"/>
  <c r="B3785" i="5"/>
  <c r="B3786" i="5"/>
  <c r="B3787" i="5"/>
  <c r="B3788" i="5"/>
  <c r="B3789" i="5"/>
  <c r="B3782" i="5"/>
  <c r="Q3782" i="5" s="1"/>
  <c r="B3783" i="5"/>
  <c r="Q3783" i="5" s="1"/>
  <c r="B3784" i="5"/>
  <c r="B3777" i="5"/>
  <c r="B3778" i="5"/>
  <c r="B3779" i="5"/>
  <c r="B3780" i="5"/>
  <c r="M3780" i="5" s="1"/>
  <c r="B3781" i="5"/>
  <c r="B3773" i="5"/>
  <c r="M3773" i="5" s="1"/>
  <c r="B3774" i="5"/>
  <c r="B3775" i="5"/>
  <c r="B3776" i="5"/>
  <c r="M3776" i="5" s="1"/>
  <c r="B3767" i="5"/>
  <c r="Q3767" i="5" s="1"/>
  <c r="B3768" i="5"/>
  <c r="B3769" i="5"/>
  <c r="Q3769" i="5" s="1"/>
  <c r="B3770" i="5"/>
  <c r="B3771" i="5"/>
  <c r="B3772" i="5"/>
  <c r="B3763" i="5"/>
  <c r="B3764" i="5"/>
  <c r="Q3764" i="5" s="1"/>
  <c r="B3765" i="5"/>
  <c r="Q3765" i="5" s="1"/>
  <c r="B3766" i="5"/>
  <c r="B3759" i="5"/>
  <c r="Q3759" i="5" s="1"/>
  <c r="B3760" i="5"/>
  <c r="B3761" i="5"/>
  <c r="Q3761" i="5" s="1"/>
  <c r="B3762" i="5"/>
  <c r="M3762" i="5" s="1"/>
  <c r="B3753" i="5"/>
  <c r="Q3753" i="5" s="1"/>
  <c r="B3754" i="5"/>
  <c r="B3755" i="5"/>
  <c r="B3756" i="5"/>
  <c r="Q3756" i="5" s="1"/>
  <c r="B3757" i="5"/>
  <c r="B3758" i="5"/>
  <c r="B3750" i="5"/>
  <c r="Q3750" i="5" s="1"/>
  <c r="B3751" i="5"/>
  <c r="B3752" i="5"/>
  <c r="B3747" i="5"/>
  <c r="Q3747" i="5" s="1"/>
  <c r="B3748" i="5"/>
  <c r="B3749" i="5"/>
  <c r="B3743" i="5"/>
  <c r="B3744" i="5"/>
  <c r="Q3744" i="5" s="1"/>
  <c r="B3745" i="5"/>
  <c r="B3746" i="5"/>
  <c r="Q3746" i="5" s="1"/>
  <c r="B3738" i="5"/>
  <c r="B3739" i="5"/>
  <c r="B3740" i="5"/>
  <c r="B3741" i="5"/>
  <c r="M3741" i="5" s="1"/>
  <c r="B3742" i="5"/>
  <c r="B3735" i="5"/>
  <c r="Q3735" i="5" s="1"/>
  <c r="B3736" i="5"/>
  <c r="B3737" i="5"/>
  <c r="Q3737" i="5" s="1"/>
  <c r="B3732" i="5"/>
  <c r="B3733" i="5"/>
  <c r="B3734" i="5"/>
  <c r="Q3734" i="5" s="1"/>
  <c r="B3728" i="5"/>
  <c r="Q3728" i="5" s="1"/>
  <c r="B3729" i="5"/>
  <c r="B3730" i="5"/>
  <c r="B3731" i="5"/>
  <c r="Q3731" i="5" s="1"/>
  <c r="B3721" i="5"/>
  <c r="B3722" i="5"/>
  <c r="Q3722" i="5" s="1"/>
  <c r="B3723" i="5"/>
  <c r="Q3723" i="5" s="1"/>
  <c r="B3724" i="5"/>
  <c r="B3725" i="5"/>
  <c r="Q3725" i="5" s="1"/>
  <c r="B3726" i="5"/>
  <c r="B3727" i="5"/>
  <c r="B3713" i="5"/>
  <c r="Q3713" i="5" s="1"/>
  <c r="B3714" i="5"/>
  <c r="Q3714" i="5" s="1"/>
  <c r="B3715" i="5"/>
  <c r="B3716" i="5"/>
  <c r="Q3716" i="5" s="1"/>
  <c r="B3717" i="5"/>
  <c r="B3718" i="5"/>
  <c r="B3719" i="5"/>
  <c r="B3720" i="5"/>
  <c r="M3720" i="5" s="1"/>
  <c r="B3710" i="5"/>
  <c r="M3710" i="5" s="1"/>
  <c r="B3711" i="5"/>
  <c r="Q3711" i="5" s="1"/>
  <c r="B3712" i="5"/>
  <c r="B3703" i="5"/>
  <c r="B3704" i="5"/>
  <c r="M3704" i="5" s="1"/>
  <c r="B3705" i="5"/>
  <c r="B3706" i="5"/>
  <c r="B3707" i="5"/>
  <c r="M3707" i="5" s="1"/>
  <c r="B3708" i="5"/>
  <c r="B3709" i="5"/>
  <c r="B3696" i="5"/>
  <c r="B3697" i="5"/>
  <c r="Q3697" i="5" s="1"/>
  <c r="B3698" i="5"/>
  <c r="B3699" i="5"/>
  <c r="Q3699" i="5" s="1"/>
  <c r="B3700" i="5"/>
  <c r="Q3700" i="5" s="1"/>
  <c r="B3701" i="5"/>
  <c r="M3701" i="5" s="1"/>
  <c r="B3702" i="5"/>
  <c r="R4681" i="5" l="1"/>
  <c r="S4681" i="5" s="1"/>
  <c r="R4543" i="5"/>
  <c r="S4543" i="5" s="1"/>
  <c r="N4517" i="5"/>
  <c r="U4517" i="5" s="1"/>
  <c r="V4517" i="5" s="1"/>
  <c r="R4492" i="5"/>
  <c r="S4492" i="5" s="1"/>
  <c r="R4408" i="5"/>
  <c r="S4408" i="5" s="1"/>
  <c r="R4678" i="5"/>
  <c r="S4678" i="5" s="1"/>
  <c r="N4406" i="5"/>
  <c r="U4406" i="5" s="1"/>
  <c r="V4406" i="5" s="1"/>
  <c r="R4519" i="5"/>
  <c r="S4519" i="5" s="1"/>
  <c r="U4636" i="5"/>
  <c r="V4636" i="5" s="1"/>
  <c r="R4729" i="5"/>
  <c r="S4729" i="5" s="1"/>
  <c r="U4659" i="5"/>
  <c r="V4659" i="5" s="1"/>
  <c r="R4561" i="5"/>
  <c r="S4561" i="5" s="1"/>
  <c r="N4712" i="5"/>
  <c r="O4712" i="5" s="1"/>
  <c r="R4651" i="5"/>
  <c r="S4651" i="5" s="1"/>
  <c r="R4515" i="5"/>
  <c r="S4515" i="5" s="1"/>
  <c r="R4336" i="5"/>
  <c r="S4336" i="5" s="1"/>
  <c r="R4647" i="5"/>
  <c r="S4647" i="5" s="1"/>
  <c r="R4611" i="5"/>
  <c r="S4611" i="5" s="1"/>
  <c r="R4706" i="5"/>
  <c r="S4706" i="5" s="1"/>
  <c r="R4691" i="5"/>
  <c r="S4691" i="5" s="1"/>
  <c r="R4389" i="5"/>
  <c r="S4389" i="5" s="1"/>
  <c r="N4508" i="5"/>
  <c r="U4508" i="5" s="1"/>
  <c r="V4508" i="5" s="1"/>
  <c r="R4320" i="5"/>
  <c r="S4320" i="5" s="1"/>
  <c r="U4569" i="5"/>
  <c r="V4569" i="5" s="1"/>
  <c r="R4419" i="5"/>
  <c r="S4419" i="5" s="1"/>
  <c r="R4722" i="5"/>
  <c r="S4722" i="5" s="1"/>
  <c r="N4658" i="5"/>
  <c r="O4658" i="5" s="1"/>
  <c r="R4525" i="5"/>
  <c r="S4525" i="5" s="1"/>
  <c r="L4275" i="5"/>
  <c r="P4275" i="5" s="1"/>
  <c r="N4432" i="5"/>
  <c r="O4432" i="5" s="1"/>
  <c r="U4684" i="5"/>
  <c r="V4684" i="5" s="1"/>
  <c r="R4402" i="5"/>
  <c r="S4402" i="5" s="1"/>
  <c r="R4343" i="5"/>
  <c r="S4343" i="5" s="1"/>
  <c r="R4241" i="5"/>
  <c r="S4241" i="5" s="1"/>
  <c r="R4534" i="5"/>
  <c r="S4534" i="5" s="1"/>
  <c r="R4494" i="5"/>
  <c r="S4494" i="5" s="1"/>
  <c r="U4278" i="5"/>
  <c r="V4278" i="5" s="1"/>
  <c r="R4680" i="5"/>
  <c r="S4680" i="5" s="1"/>
  <c r="R4752" i="5"/>
  <c r="S4752" i="5" s="1"/>
  <c r="R4489" i="5"/>
  <c r="S4489" i="5" s="1"/>
  <c r="R4707" i="5"/>
  <c r="S4707" i="5" s="1"/>
  <c r="R4755" i="5"/>
  <c r="S4755" i="5" s="1"/>
  <c r="L4647" i="5"/>
  <c r="P4647" i="5" s="1"/>
  <c r="R4438" i="5"/>
  <c r="S4438" i="5" s="1"/>
  <c r="R4581" i="5"/>
  <c r="S4581" i="5" s="1"/>
  <c r="R4521" i="5"/>
  <c r="S4521" i="5" s="1"/>
  <c r="R4337" i="5"/>
  <c r="S4337" i="5" s="1"/>
  <c r="L4402" i="5"/>
  <c r="P4402" i="5" s="1"/>
  <c r="L4301" i="5"/>
  <c r="P4301" i="5" s="1"/>
  <c r="R4767" i="5"/>
  <c r="S4767" i="5" s="1"/>
  <c r="U4542" i="5"/>
  <c r="V4542" i="5" s="1"/>
  <c r="R4667" i="5"/>
  <c r="S4667" i="5" s="1"/>
  <c r="U4413" i="5"/>
  <c r="V4413" i="5" s="1"/>
  <c r="U4284" i="5"/>
  <c r="V4284" i="5" s="1"/>
  <c r="P4281" i="5"/>
  <c r="O4281" i="5" s="1"/>
  <c r="L4494" i="5"/>
  <c r="P4494" i="5" s="1"/>
  <c r="L4229" i="5"/>
  <c r="P4229" i="5" s="1"/>
  <c r="N4449" i="5"/>
  <c r="O4449" i="5" s="1"/>
  <c r="R4682" i="5"/>
  <c r="S4682" i="5" s="1"/>
  <c r="R4685" i="5"/>
  <c r="S4685" i="5" s="1"/>
  <c r="R4360" i="5"/>
  <c r="S4360" i="5" s="1"/>
  <c r="R4497" i="5"/>
  <c r="S4497" i="5" s="1"/>
  <c r="R4315" i="5"/>
  <c r="S4315" i="5" s="1"/>
  <c r="R4623" i="5"/>
  <c r="S4623" i="5" s="1"/>
  <c r="R4434" i="5"/>
  <c r="S4434" i="5" s="1"/>
  <c r="R4629" i="5"/>
  <c r="S4629" i="5" s="1"/>
  <c r="R4645" i="5"/>
  <c r="S4645" i="5" s="1"/>
  <c r="N4741" i="5"/>
  <c r="U4741" i="5" s="1"/>
  <c r="V4741" i="5" s="1"/>
  <c r="O4369" i="5"/>
  <c r="N4370" i="5"/>
  <c r="O4370" i="5" s="1"/>
  <c r="L4629" i="5"/>
  <c r="P4629" i="5" s="1"/>
  <c r="U4498" i="5"/>
  <c r="V4498" i="5" s="1"/>
  <c r="L4259" i="5"/>
  <c r="N4259" i="5" s="1"/>
  <c r="R4537" i="5"/>
  <c r="S4537" i="5" s="1"/>
  <c r="O4614" i="5"/>
  <c r="L4521" i="5"/>
  <c r="N4521" i="5" s="1"/>
  <c r="L4360" i="5"/>
  <c r="P4360" i="5" s="1"/>
  <c r="P4286" i="5"/>
  <c r="U4286" i="5" s="1"/>
  <c r="V4286" i="5" s="1"/>
  <c r="R4679" i="5"/>
  <c r="S4679" i="5" s="1"/>
  <c r="R4674" i="5"/>
  <c r="S4674" i="5" s="1"/>
  <c r="N4487" i="5"/>
  <c r="U4487" i="5" s="1"/>
  <c r="V4487" i="5" s="1"/>
  <c r="N4280" i="5"/>
  <c r="U4280" i="5" s="1"/>
  <c r="V4280" i="5" s="1"/>
  <c r="R4687" i="5"/>
  <c r="S4687" i="5" s="1"/>
  <c r="O4675" i="5"/>
  <c r="R4552" i="5"/>
  <c r="S4552" i="5" s="1"/>
  <c r="R4472" i="5"/>
  <c r="S4472" i="5" s="1"/>
  <c r="R4446" i="5"/>
  <c r="S4446" i="5" s="1"/>
  <c r="R4325" i="5"/>
  <c r="S4325" i="5" s="1"/>
  <c r="R4348" i="5"/>
  <c r="S4348" i="5" s="1"/>
  <c r="R4664" i="5"/>
  <c r="S4664" i="5" s="1"/>
  <c r="R4727" i="5"/>
  <c r="S4727" i="5" s="1"/>
  <c r="R4703" i="5"/>
  <c r="S4703" i="5" s="1"/>
  <c r="R4531" i="5"/>
  <c r="S4531" i="5" s="1"/>
  <c r="R4352" i="5"/>
  <c r="S4352" i="5" s="1"/>
  <c r="U4290" i="5"/>
  <c r="V4290" i="5" s="1"/>
  <c r="R4326" i="5"/>
  <c r="S4326" i="5" s="1"/>
  <c r="R4302" i="5"/>
  <c r="S4302" i="5" s="1"/>
  <c r="U4649" i="5"/>
  <c r="V4649" i="5" s="1"/>
  <c r="R4300" i="5"/>
  <c r="S4300" i="5" s="1"/>
  <c r="R4683" i="5"/>
  <c r="S4683" i="5" s="1"/>
  <c r="R4533" i="5"/>
  <c r="S4533" i="5" s="1"/>
  <c r="R4319" i="5"/>
  <c r="S4319" i="5" s="1"/>
  <c r="R4351" i="5"/>
  <c r="S4351" i="5" s="1"/>
  <c r="R4331" i="5"/>
  <c r="S4331" i="5" s="1"/>
  <c r="R4510" i="5"/>
  <c r="S4510" i="5" s="1"/>
  <c r="R4448" i="5"/>
  <c r="S4448" i="5" s="1"/>
  <c r="R4700" i="5"/>
  <c r="S4700" i="5" s="1"/>
  <c r="R4457" i="5"/>
  <c r="S4457" i="5" s="1"/>
  <c r="R4662" i="5"/>
  <c r="S4662" i="5" s="1"/>
  <c r="U4386" i="5"/>
  <c r="V4386" i="5" s="1"/>
  <c r="R4714" i="5"/>
  <c r="S4714" i="5" s="1"/>
  <c r="R4617" i="5"/>
  <c r="S4617" i="5" s="1"/>
  <c r="R4464" i="5"/>
  <c r="S4464" i="5" s="1"/>
  <c r="R4303" i="5"/>
  <c r="S4303" i="5" s="1"/>
  <c r="R4635" i="5"/>
  <c r="S4635" i="5" s="1"/>
  <c r="R4553" i="5"/>
  <c r="S4553" i="5" s="1"/>
  <c r="R4566" i="5"/>
  <c r="S4566" i="5" s="1"/>
  <c r="U4669" i="5"/>
  <c r="V4669" i="5" s="1"/>
  <c r="N4686" i="5"/>
  <c r="O4686" i="5" s="1"/>
  <c r="R4546" i="5"/>
  <c r="S4546" i="5" s="1"/>
  <c r="R4372" i="5"/>
  <c r="S4372" i="5" s="1"/>
  <c r="U4369" i="5"/>
  <c r="V4369" i="5" s="1"/>
  <c r="U4568" i="5"/>
  <c r="V4568" i="5" s="1"/>
  <c r="R4749" i="5"/>
  <c r="S4749" i="5" s="1"/>
  <c r="R4342" i="5"/>
  <c r="S4342" i="5" s="1"/>
  <c r="N4407" i="5"/>
  <c r="U4407" i="5" s="1"/>
  <c r="V4407" i="5" s="1"/>
  <c r="R4694" i="5"/>
  <c r="S4694" i="5" s="1"/>
  <c r="O4637" i="5"/>
  <c r="U4619" i="5"/>
  <c r="V4619" i="5" s="1"/>
  <c r="P4687" i="5"/>
  <c r="N4687" i="5"/>
  <c r="N4681" i="5"/>
  <c r="P4681" i="5"/>
  <c r="P4537" i="5"/>
  <c r="N4537" i="5"/>
  <c r="N4363" i="5"/>
  <c r="U4363" i="5" s="1"/>
  <c r="V4363" i="5" s="1"/>
  <c r="R4746" i="5"/>
  <c r="S4746" i="5" s="1"/>
  <c r="L4566" i="5"/>
  <c r="P4566" i="5" s="1"/>
  <c r="R4548" i="5"/>
  <c r="S4548" i="5" s="1"/>
  <c r="L4342" i="5"/>
  <c r="P4342" i="5" s="1"/>
  <c r="L4300" i="5"/>
  <c r="P4300" i="5" s="1"/>
  <c r="N4420" i="5"/>
  <c r="O4420" i="5" s="1"/>
  <c r="R4549" i="5"/>
  <c r="S4549" i="5" s="1"/>
  <c r="L4448" i="5"/>
  <c r="P4448" i="5" s="1"/>
  <c r="R4365" i="5"/>
  <c r="S4365" i="5" s="1"/>
  <c r="N4725" i="5"/>
  <c r="N4571" i="5"/>
  <c r="N4513" i="5"/>
  <c r="O4513" i="5" s="1"/>
  <c r="R4355" i="5"/>
  <c r="S4355" i="5" s="1"/>
  <c r="N4428" i="5"/>
  <c r="O4428" i="5" s="1"/>
  <c r="R4363" i="5"/>
  <c r="S4363" i="5" s="1"/>
  <c r="L4325" i="5"/>
  <c r="N4325" i="5" s="1"/>
  <c r="R4573" i="5"/>
  <c r="S4573" i="5" s="1"/>
  <c r="U4613" i="5"/>
  <c r="V4613" i="5" s="1"/>
  <c r="U4511" i="5"/>
  <c r="V4511" i="5" s="1"/>
  <c r="R4400" i="5"/>
  <c r="S4400" i="5" s="1"/>
  <c r="L4331" i="5"/>
  <c r="P4331" i="5" s="1"/>
  <c r="R4554" i="5"/>
  <c r="S4554" i="5" s="1"/>
  <c r="R4523" i="5"/>
  <c r="S4523" i="5" s="1"/>
  <c r="L4395" i="5"/>
  <c r="P4395" i="5" s="1"/>
  <c r="L4405" i="5"/>
  <c r="N4752" i="5"/>
  <c r="R4737" i="5"/>
  <c r="S4737" i="5" s="1"/>
  <c r="N4722" i="5"/>
  <c r="P4722" i="5"/>
  <c r="O4721" i="5"/>
  <c r="N4718" i="5"/>
  <c r="U4718" i="5" s="1"/>
  <c r="V4718" i="5" s="1"/>
  <c r="P4707" i="5"/>
  <c r="N4707" i="5"/>
  <c r="P4678" i="5"/>
  <c r="N4678" i="5"/>
  <c r="R4671" i="5"/>
  <c r="S4671" i="5" s="1"/>
  <c r="L4667" i="5"/>
  <c r="P4667" i="5" s="1"/>
  <c r="L4664" i="5"/>
  <c r="N4664" i="5" s="1"/>
  <c r="N4656" i="5"/>
  <c r="O4656" i="5" s="1"/>
  <c r="R4656" i="5"/>
  <c r="S4656" i="5" s="1"/>
  <c r="N4651" i="5"/>
  <c r="P4651" i="5"/>
  <c r="O4650" i="5"/>
  <c r="N4648" i="5"/>
  <c r="R4648" i="5"/>
  <c r="S4648" i="5" s="1"/>
  <c r="U4643" i="5"/>
  <c r="V4643" i="5" s="1"/>
  <c r="R4630" i="5"/>
  <c r="S4630" i="5" s="1"/>
  <c r="N4630" i="5"/>
  <c r="U4615" i="5"/>
  <c r="V4615" i="5" s="1"/>
  <c r="R4599" i="5"/>
  <c r="S4599" i="5" s="1"/>
  <c r="O4579" i="5"/>
  <c r="R4575" i="5"/>
  <c r="S4575" i="5" s="1"/>
  <c r="N4560" i="5"/>
  <c r="P4560" i="5"/>
  <c r="R4560" i="5"/>
  <c r="S4560" i="5" s="1"/>
  <c r="N4554" i="5"/>
  <c r="O4554" i="5" s="1"/>
  <c r="N4544" i="5"/>
  <c r="U4544" i="5" s="1"/>
  <c r="V4544" i="5" s="1"/>
  <c r="N4534" i="5"/>
  <c r="L4519" i="5"/>
  <c r="N4519" i="5" s="1"/>
  <c r="L4510" i="5"/>
  <c r="P4510" i="5" s="1"/>
  <c r="N4506" i="5"/>
  <c r="P4506" i="5"/>
  <c r="N4503" i="5"/>
  <c r="N4497" i="5"/>
  <c r="N4492" i="5"/>
  <c r="P4492" i="5"/>
  <c r="L4489" i="5"/>
  <c r="P4489" i="5" s="1"/>
  <c r="L4457" i="5"/>
  <c r="P4457" i="5" s="1"/>
  <c r="P4455" i="5"/>
  <c r="N4455" i="5"/>
  <c r="R4455" i="5"/>
  <c r="S4455" i="5" s="1"/>
  <c r="P4444" i="5"/>
  <c r="N4444" i="5"/>
  <c r="R4444" i="5"/>
  <c r="S4444" i="5" s="1"/>
  <c r="R4441" i="5"/>
  <c r="S4441" i="5" s="1"/>
  <c r="P4438" i="5"/>
  <c r="N4438" i="5"/>
  <c r="P4435" i="5"/>
  <c r="N4435" i="5"/>
  <c r="R4435" i="5"/>
  <c r="S4435" i="5" s="1"/>
  <c r="P4426" i="5"/>
  <c r="N4426" i="5"/>
  <c r="R4426" i="5"/>
  <c r="S4426" i="5" s="1"/>
  <c r="R4424" i="5"/>
  <c r="S4424" i="5" s="1"/>
  <c r="L4419" i="5"/>
  <c r="P4419" i="5" s="1"/>
  <c r="N4416" i="5"/>
  <c r="P4416" i="5"/>
  <c r="R4416" i="5"/>
  <c r="S4416" i="5" s="1"/>
  <c r="N4408" i="5"/>
  <c r="P4408" i="5"/>
  <c r="R4410" i="5"/>
  <c r="S4410" i="5" s="1"/>
  <c r="L4400" i="5"/>
  <c r="N4400" i="5" s="1"/>
  <c r="O4392" i="5"/>
  <c r="R4393" i="5"/>
  <c r="S4393" i="5" s="1"/>
  <c r="L4387" i="5"/>
  <c r="O4380" i="5"/>
  <c r="L4375" i="5"/>
  <c r="R4366" i="5"/>
  <c r="S4366" i="5" s="1"/>
  <c r="L4365" i="5"/>
  <c r="N4365" i="5" s="1"/>
  <c r="N4355" i="5"/>
  <c r="P4355" i="5"/>
  <c r="L4352" i="5"/>
  <c r="P4352" i="5" s="1"/>
  <c r="L4337" i="5"/>
  <c r="N4337" i="5" s="1"/>
  <c r="L4336" i="5"/>
  <c r="P4336" i="5" s="1"/>
  <c r="L4320" i="5"/>
  <c r="P4320" i="5" s="1"/>
  <c r="L4319" i="5"/>
  <c r="P4319" i="5" s="1"/>
  <c r="R4308" i="5"/>
  <c r="S4308" i="5" s="1"/>
  <c r="L4302" i="5"/>
  <c r="P4302" i="5" s="1"/>
  <c r="R4287" i="5"/>
  <c r="S4287" i="5" s="1"/>
  <c r="P4561" i="5"/>
  <c r="N4561" i="5"/>
  <c r="P4441" i="5"/>
  <c r="N4441" i="5"/>
  <c r="N4381" i="5"/>
  <c r="P4381" i="5"/>
  <c r="P4563" i="5"/>
  <c r="N4563" i="5"/>
  <c r="N4358" i="5"/>
  <c r="P4358" i="5"/>
  <c r="P4555" i="5"/>
  <c r="N4555" i="5"/>
  <c r="P4393" i="5"/>
  <c r="N4393" i="5"/>
  <c r="P4535" i="5"/>
  <c r="N4535" i="5"/>
  <c r="P4729" i="5"/>
  <c r="N4729" i="5"/>
  <c r="N4723" i="5"/>
  <c r="N4642" i="5"/>
  <c r="R4541" i="5"/>
  <c r="S4541" i="5" s="1"/>
  <c r="U4637" i="5"/>
  <c r="V4637" i="5" s="1"/>
  <c r="R4535" i="5"/>
  <c r="S4535" i="5" s="1"/>
  <c r="R4381" i="5"/>
  <c r="S4381" i="5" s="1"/>
  <c r="R4642" i="5"/>
  <c r="S4642" i="5" s="1"/>
  <c r="R4563" i="5"/>
  <c r="S4563" i="5" s="1"/>
  <c r="N4315" i="5"/>
  <c r="R4330" i="5"/>
  <c r="S4330" i="5" s="1"/>
  <c r="R4758" i="5"/>
  <c r="S4758" i="5" s="1"/>
  <c r="R4738" i="5"/>
  <c r="S4738" i="5" s="1"/>
  <c r="L4714" i="5"/>
  <c r="N4714" i="5" s="1"/>
  <c r="L4617" i="5"/>
  <c r="P4617" i="5" s="1"/>
  <c r="R4431" i="5"/>
  <c r="S4431" i="5" s="1"/>
  <c r="R4383" i="5"/>
  <c r="S4383" i="5" s="1"/>
  <c r="L4294" i="5"/>
  <c r="N4294" i="5" s="1"/>
  <c r="R4349" i="5"/>
  <c r="S4349" i="5" s="1"/>
  <c r="L4231" i="5"/>
  <c r="P4231" i="5" s="1"/>
  <c r="U4721" i="5"/>
  <c r="V4721" i="5" s="1"/>
  <c r="R4314" i="5"/>
  <c r="S4314" i="5" s="1"/>
  <c r="N4638" i="5"/>
  <c r="U4638" i="5" s="1"/>
  <c r="V4638" i="5" s="1"/>
  <c r="R4743" i="5"/>
  <c r="S4743" i="5" s="1"/>
  <c r="R4655" i="5"/>
  <c r="S4655" i="5" s="1"/>
  <c r="R4689" i="5"/>
  <c r="S4689" i="5" s="1"/>
  <c r="U4579" i="5"/>
  <c r="V4579" i="5" s="1"/>
  <c r="L4543" i="5"/>
  <c r="N4543" i="5" s="1"/>
  <c r="L4573" i="5"/>
  <c r="P4573" i="5" s="1"/>
  <c r="L4378" i="5"/>
  <c r="N4378" i="5" s="1"/>
  <c r="U4415" i="5"/>
  <c r="V4415" i="5" s="1"/>
  <c r="L4295" i="5"/>
  <c r="N4295" i="5" s="1"/>
  <c r="R4346" i="5"/>
  <c r="S4346" i="5" s="1"/>
  <c r="O4272" i="5"/>
  <c r="R4245" i="5"/>
  <c r="S4245" i="5" s="1"/>
  <c r="R4242" i="5"/>
  <c r="S4242" i="5" s="1"/>
  <c r="U4631" i="5"/>
  <c r="V4631" i="5" s="1"/>
  <c r="O4398" i="5"/>
  <c r="N4287" i="5"/>
  <c r="U4287" i="5" s="1"/>
  <c r="V4287" i="5" s="1"/>
  <c r="N4645" i="5"/>
  <c r="U4645" i="5" s="1"/>
  <c r="V4645" i="5" s="1"/>
  <c r="R4506" i="5"/>
  <c r="S4506" i="5" s="1"/>
  <c r="R4638" i="5"/>
  <c r="S4638" i="5" s="1"/>
  <c r="R4440" i="5"/>
  <c r="S4440" i="5" s="1"/>
  <c r="L4623" i="5"/>
  <c r="P4623" i="5" s="1"/>
  <c r="P4571" i="5"/>
  <c r="L4372" i="5"/>
  <c r="P4372" i="5" s="1"/>
  <c r="R4437" i="5"/>
  <c r="S4437" i="5" s="1"/>
  <c r="U4392" i="5"/>
  <c r="V4392" i="5" s="1"/>
  <c r="L4251" i="5"/>
  <c r="N4251" i="5" s="1"/>
  <c r="N4679" i="5"/>
  <c r="O4679" i="5" s="1"/>
  <c r="L4241" i="5"/>
  <c r="N4241" i="5" s="1"/>
  <c r="L4682" i="5"/>
  <c r="P4682" i="5" s="1"/>
  <c r="R4711" i="5"/>
  <c r="S4711" i="5" s="1"/>
  <c r="R4697" i="5"/>
  <c r="S4697" i="5" s="1"/>
  <c r="O4659" i="5"/>
  <c r="O4615" i="5"/>
  <c r="L4548" i="5"/>
  <c r="P4548" i="5" s="1"/>
  <c r="N4525" i="5"/>
  <c r="O4525" i="5" s="1"/>
  <c r="L4464" i="5"/>
  <c r="P4464" i="5" s="1"/>
  <c r="U4577" i="5"/>
  <c r="V4577" i="5" s="1"/>
  <c r="L4326" i="5"/>
  <c r="P4326" i="5" s="1"/>
  <c r="R4347" i="5"/>
  <c r="S4347" i="5" s="1"/>
  <c r="O4356" i="5"/>
  <c r="R4723" i="5"/>
  <c r="S4723" i="5" s="1"/>
  <c r="R4555" i="5"/>
  <c r="S4555" i="5" s="1"/>
  <c r="R4358" i="5"/>
  <c r="S4358" i="5" s="1"/>
  <c r="O4527" i="5"/>
  <c r="U4527" i="5"/>
  <c r="V4527" i="5" s="1"/>
  <c r="U4376" i="5"/>
  <c r="V4376" i="5" s="1"/>
  <c r="U4272" i="5"/>
  <c r="V4272" i="5" s="1"/>
  <c r="R4676" i="5"/>
  <c r="S4676" i="5" s="1"/>
  <c r="U4661" i="5"/>
  <c r="V4661" i="5" s="1"/>
  <c r="O4631" i="5"/>
  <c r="U4550" i="5"/>
  <c r="V4550" i="5" s="1"/>
  <c r="U4614" i="5"/>
  <c r="V4614" i="5" s="1"/>
  <c r="R4605" i="5"/>
  <c r="S4605" i="5" s="1"/>
  <c r="R4532" i="5"/>
  <c r="S4532" i="5" s="1"/>
  <c r="R4768" i="5"/>
  <c r="S4768" i="5" s="1"/>
  <c r="O4715" i="5"/>
  <c r="R4720" i="5"/>
  <c r="S4720" i="5" s="1"/>
  <c r="U4398" i="5"/>
  <c r="V4398" i="5" s="1"/>
  <c r="R4357" i="5"/>
  <c r="S4357" i="5" s="1"/>
  <c r="R4616" i="5"/>
  <c r="S4616" i="5" s="1"/>
  <c r="U4650" i="5"/>
  <c r="V4650" i="5" s="1"/>
  <c r="U4380" i="5"/>
  <c r="V4380" i="5" s="1"/>
  <c r="R4593" i="5"/>
  <c r="S4593" i="5" s="1"/>
  <c r="R4418" i="5"/>
  <c r="S4418" i="5" s="1"/>
  <c r="R4501" i="5"/>
  <c r="S4501" i="5" s="1"/>
  <c r="R4425" i="5"/>
  <c r="S4425" i="5" s="1"/>
  <c r="U4769" i="5"/>
  <c r="V4769" i="5" s="1"/>
  <c r="N4731" i="5"/>
  <c r="P4731" i="5"/>
  <c r="N4711" i="5"/>
  <c r="P4711" i="5"/>
  <c r="N4674" i="5"/>
  <c r="P4674" i="5"/>
  <c r="P4530" i="5"/>
  <c r="N4530" i="5"/>
  <c r="P4440" i="5"/>
  <c r="N4440" i="5"/>
  <c r="P4437" i="5"/>
  <c r="N4437" i="5"/>
  <c r="P4410" i="5"/>
  <c r="N4410" i="5"/>
  <c r="P4383" i="5"/>
  <c r="N4383" i="5"/>
  <c r="N4431" i="5"/>
  <c r="P4431" i="5"/>
  <c r="P4354" i="5"/>
  <c r="N4354" i="5"/>
  <c r="N4689" i="5"/>
  <c r="P4689" i="5"/>
  <c r="N4761" i="5"/>
  <c r="P4761" i="5"/>
  <c r="N4697" i="5"/>
  <c r="P4697" i="5"/>
  <c r="N4743" i="5"/>
  <c r="P4743" i="5"/>
  <c r="P4657" i="5"/>
  <c r="N4657" i="5"/>
  <c r="P4641" i="5"/>
  <c r="N4641" i="5"/>
  <c r="P4505" i="5"/>
  <c r="N4505" i="5"/>
  <c r="P4477" i="5"/>
  <c r="N4477" i="5"/>
  <c r="P4451" i="5"/>
  <c r="N4451" i="5"/>
  <c r="P4268" i="5"/>
  <c r="N4268" i="5"/>
  <c r="N4773" i="5"/>
  <c r="P4773" i="5"/>
  <c r="N4737" i="5"/>
  <c r="P4737" i="5"/>
  <c r="P4671" i="5"/>
  <c r="N4671" i="5"/>
  <c r="P4655" i="5"/>
  <c r="N4655" i="5"/>
  <c r="P4443" i="5"/>
  <c r="N4443" i="5"/>
  <c r="P4309" i="5"/>
  <c r="N4309" i="5"/>
  <c r="N4347" i="5"/>
  <c r="P4347" i="5"/>
  <c r="P4237" i="5"/>
  <c r="N4237" i="5"/>
  <c r="N4235" i="5"/>
  <c r="P4235" i="5"/>
  <c r="N4559" i="5"/>
  <c r="P4559" i="5"/>
  <c r="P4776" i="5"/>
  <c r="N4776" i="5"/>
  <c r="P4763" i="5"/>
  <c r="N4763" i="5"/>
  <c r="P4739" i="5"/>
  <c r="N4739" i="5"/>
  <c r="L4749" i="5"/>
  <c r="P4717" i="5"/>
  <c r="N4717" i="5"/>
  <c r="R4731" i="5"/>
  <c r="S4731" i="5" s="1"/>
  <c r="U4753" i="5"/>
  <c r="V4753" i="5" s="1"/>
  <c r="O4753" i="5"/>
  <c r="N4724" i="5"/>
  <c r="P4724" i="5"/>
  <c r="R4773" i="5"/>
  <c r="S4773" i="5" s="1"/>
  <c r="U4747" i="5"/>
  <c r="V4747" i="5" s="1"/>
  <c r="O4747" i="5"/>
  <c r="P4702" i="5"/>
  <c r="N4702" i="5"/>
  <c r="L4691" i="5"/>
  <c r="U4698" i="5"/>
  <c r="V4698" i="5" s="1"/>
  <c r="O4698" i="5"/>
  <c r="R4761" i="5"/>
  <c r="S4761" i="5" s="1"/>
  <c r="U4777" i="5"/>
  <c r="V4777" i="5" s="1"/>
  <c r="O4777" i="5"/>
  <c r="O4709" i="5"/>
  <c r="U4709" i="5"/>
  <c r="V4709" i="5" s="1"/>
  <c r="L4676" i="5"/>
  <c r="P4633" i="5"/>
  <c r="N4633" i="5"/>
  <c r="O4669" i="5"/>
  <c r="R4677" i="5"/>
  <c r="S4677" i="5" s="1"/>
  <c r="L4662" i="5"/>
  <c r="R4657" i="5"/>
  <c r="S4657" i="5" s="1"/>
  <c r="U4715" i="5"/>
  <c r="V4715" i="5" s="1"/>
  <c r="L4635" i="5"/>
  <c r="P4672" i="5"/>
  <c r="N4672" i="5"/>
  <c r="P4646" i="5"/>
  <c r="N4646" i="5"/>
  <c r="P4597" i="5"/>
  <c r="N4597" i="5"/>
  <c r="N4616" i="5"/>
  <c r="P4616" i="5"/>
  <c r="N4590" i="5"/>
  <c r="P4590" i="5"/>
  <c r="P4620" i="5"/>
  <c r="N4620" i="5"/>
  <c r="L4611" i="5"/>
  <c r="P4576" i="5"/>
  <c r="N4576" i="5"/>
  <c r="L4546" i="5"/>
  <c r="P4526" i="5"/>
  <c r="N4526" i="5"/>
  <c r="P4591" i="5"/>
  <c r="N4591" i="5"/>
  <c r="L4581" i="5"/>
  <c r="N4594" i="5"/>
  <c r="P4594" i="5"/>
  <c r="L4515" i="5"/>
  <c r="P4539" i="5"/>
  <c r="N4539" i="5"/>
  <c r="P4529" i="5"/>
  <c r="N4529" i="5"/>
  <c r="N4524" i="5"/>
  <c r="P4524" i="5"/>
  <c r="P4484" i="5"/>
  <c r="N4484" i="5"/>
  <c r="P4458" i="5"/>
  <c r="N4458" i="5"/>
  <c r="L4472" i="5"/>
  <c r="L4446" i="5"/>
  <c r="N4507" i="5"/>
  <c r="P4507" i="5"/>
  <c r="N4488" i="5"/>
  <c r="P4488" i="5"/>
  <c r="R4559" i="5"/>
  <c r="S4559" i="5" s="1"/>
  <c r="N4516" i="5"/>
  <c r="P4516" i="5"/>
  <c r="O4568" i="5"/>
  <c r="R4530" i="5"/>
  <c r="S4530" i="5" s="1"/>
  <c r="P4502" i="5"/>
  <c r="N4502" i="5"/>
  <c r="P4491" i="5"/>
  <c r="N4491" i="5"/>
  <c r="R4477" i="5"/>
  <c r="S4477" i="5" s="1"/>
  <c r="P4433" i="5"/>
  <c r="N4433" i="5"/>
  <c r="L4389" i="5"/>
  <c r="P4409" i="5"/>
  <c r="N4409" i="5"/>
  <c r="P4399" i="5"/>
  <c r="N4399" i="5"/>
  <c r="P4382" i="5"/>
  <c r="N4382" i="5"/>
  <c r="P4427" i="5"/>
  <c r="N4427" i="5"/>
  <c r="P4396" i="5"/>
  <c r="N4396" i="5"/>
  <c r="P4384" i="5"/>
  <c r="N4384" i="5"/>
  <c r="P4373" i="5"/>
  <c r="N4373" i="5"/>
  <c r="O4386" i="5"/>
  <c r="P4308" i="5"/>
  <c r="N4308" i="5"/>
  <c r="U4356" i="5"/>
  <c r="V4356" i="5" s="1"/>
  <c r="N4329" i="5"/>
  <c r="P4329" i="5"/>
  <c r="N4313" i="5"/>
  <c r="P4313" i="5"/>
  <c r="N4299" i="5"/>
  <c r="P4299" i="5"/>
  <c r="P4397" i="5"/>
  <c r="N4397" i="5"/>
  <c r="L4348" i="5"/>
  <c r="P4322" i="5"/>
  <c r="N4322" i="5"/>
  <c r="P4291" i="5"/>
  <c r="N4291" i="5"/>
  <c r="P4263" i="5"/>
  <c r="N4263" i="5"/>
  <c r="P4243" i="5"/>
  <c r="N4243" i="5"/>
  <c r="N4334" i="5"/>
  <c r="P4334" i="5"/>
  <c r="L4276" i="5"/>
  <c r="R4235" i="5"/>
  <c r="S4235" i="5" s="1"/>
  <c r="R4309" i="5"/>
  <c r="S4309" i="5" s="1"/>
  <c r="L4289" i="5"/>
  <c r="O4267" i="5"/>
  <c r="U4267" i="5"/>
  <c r="V4267" i="5" s="1"/>
  <c r="N4282" i="5"/>
  <c r="P4282" i="5"/>
  <c r="P4310" i="5"/>
  <c r="N4310" i="5"/>
  <c r="P4296" i="5"/>
  <c r="N4296" i="5"/>
  <c r="P4266" i="5"/>
  <c r="N4266" i="5"/>
  <c r="P4256" i="5"/>
  <c r="N4256" i="5"/>
  <c r="L4232" i="5"/>
  <c r="P4225" i="5"/>
  <c r="N4225" i="5"/>
  <c r="R4237" i="5"/>
  <c r="S4237" i="5" s="1"/>
  <c r="U4292" i="5"/>
  <c r="V4292" i="5" s="1"/>
  <c r="O4292" i="5"/>
  <c r="P4770" i="5"/>
  <c r="N4770" i="5"/>
  <c r="P4733" i="5"/>
  <c r="N4733" i="5"/>
  <c r="P4772" i="5"/>
  <c r="N4772" i="5"/>
  <c r="P4778" i="5"/>
  <c r="N4778" i="5"/>
  <c r="P4766" i="5"/>
  <c r="N4766" i="5"/>
  <c r="P4696" i="5"/>
  <c r="N4696" i="5"/>
  <c r="U4704" i="5"/>
  <c r="V4704" i="5" s="1"/>
  <c r="O4704" i="5"/>
  <c r="P4693" i="5"/>
  <c r="N4693" i="5"/>
  <c r="L4680" i="5"/>
  <c r="P4670" i="5"/>
  <c r="N4670" i="5"/>
  <c r="P4705" i="5"/>
  <c r="N4705" i="5"/>
  <c r="P4627" i="5"/>
  <c r="N4627" i="5"/>
  <c r="U4644" i="5"/>
  <c r="V4644" i="5" s="1"/>
  <c r="O4644" i="5"/>
  <c r="P4634" i="5"/>
  <c r="N4634" i="5"/>
  <c r="N4584" i="5"/>
  <c r="P4584" i="5"/>
  <c r="L4605" i="5"/>
  <c r="P4610" i="5"/>
  <c r="N4610" i="5"/>
  <c r="P4587" i="5"/>
  <c r="N4587" i="5"/>
  <c r="O4613" i="5"/>
  <c r="L4533" i="5"/>
  <c r="P4585" i="5"/>
  <c r="N4585" i="5"/>
  <c r="P4574" i="5"/>
  <c r="N4574" i="5"/>
  <c r="L4552" i="5"/>
  <c r="L4540" i="5"/>
  <c r="P4520" i="5"/>
  <c r="N4520" i="5"/>
  <c r="P4565" i="5"/>
  <c r="N4565" i="5"/>
  <c r="P4557" i="5"/>
  <c r="N4557" i="5"/>
  <c r="P4478" i="5"/>
  <c r="N4478" i="5"/>
  <c r="P4452" i="5"/>
  <c r="N4452" i="5"/>
  <c r="R4505" i="5"/>
  <c r="S4505" i="5" s="1"/>
  <c r="N4482" i="5"/>
  <c r="P4482" i="5"/>
  <c r="N4469" i="5"/>
  <c r="P4469" i="5"/>
  <c r="N4456" i="5"/>
  <c r="P4456" i="5"/>
  <c r="N4439" i="5"/>
  <c r="P4439" i="5"/>
  <c r="N4567" i="5"/>
  <c r="P4567" i="5"/>
  <c r="L4501" i="5"/>
  <c r="P4459" i="5"/>
  <c r="N4459" i="5"/>
  <c r="P4447" i="5"/>
  <c r="N4447" i="5"/>
  <c r="P4436" i="5"/>
  <c r="N4436" i="5"/>
  <c r="P4411" i="5"/>
  <c r="N4411" i="5"/>
  <c r="P4403" i="5"/>
  <c r="N4403" i="5"/>
  <c r="P4362" i="5"/>
  <c r="N4362" i="5"/>
  <c r="L4343" i="5"/>
  <c r="P4412" i="5"/>
  <c r="N4412" i="5"/>
  <c r="P4385" i="5"/>
  <c r="N4385" i="5"/>
  <c r="P4368" i="5"/>
  <c r="N4368" i="5"/>
  <c r="P4346" i="5"/>
  <c r="N4346" i="5"/>
  <c r="P4316" i="5"/>
  <c r="N4316" i="5"/>
  <c r="P4285" i="5"/>
  <c r="N4285" i="5"/>
  <c r="N4364" i="5"/>
  <c r="P4364" i="5"/>
  <c r="P4344" i="5"/>
  <c r="N4344" i="5"/>
  <c r="P4261" i="5"/>
  <c r="N4261" i="5"/>
  <c r="N4312" i="5"/>
  <c r="P4312" i="5"/>
  <c r="P4242" i="5"/>
  <c r="N4242" i="5"/>
  <c r="N4328" i="5"/>
  <c r="P4328" i="5"/>
  <c r="N4228" i="5"/>
  <c r="P4228" i="5"/>
  <c r="N4323" i="5"/>
  <c r="P4323" i="5"/>
  <c r="P4270" i="5"/>
  <c r="N4270" i="5"/>
  <c r="P4246" i="5"/>
  <c r="N4246" i="5"/>
  <c r="L4226" i="5"/>
  <c r="U4269" i="5"/>
  <c r="V4269" i="5" s="1"/>
  <c r="P4255" i="5"/>
  <c r="N4255" i="5"/>
  <c r="P4252" i="5"/>
  <c r="N4252" i="5"/>
  <c r="P4764" i="5"/>
  <c r="N4764" i="5"/>
  <c r="P4757" i="5"/>
  <c r="N4757" i="5"/>
  <c r="N4768" i="5"/>
  <c r="P4768" i="5"/>
  <c r="P4760" i="5"/>
  <c r="N4760" i="5"/>
  <c r="P4716" i="5"/>
  <c r="N4716" i="5"/>
  <c r="U4735" i="5"/>
  <c r="V4735" i="5" s="1"/>
  <c r="O4735" i="5"/>
  <c r="N4774" i="5"/>
  <c r="P4774" i="5"/>
  <c r="N4755" i="5"/>
  <c r="P4755" i="5"/>
  <c r="P4719" i="5"/>
  <c r="N4719" i="5"/>
  <c r="P4690" i="5"/>
  <c r="N4690" i="5"/>
  <c r="N4744" i="5"/>
  <c r="P4744" i="5"/>
  <c r="P4668" i="5"/>
  <c r="N4668" i="5"/>
  <c r="O4695" i="5"/>
  <c r="U4695" i="5"/>
  <c r="V4695" i="5" s="1"/>
  <c r="P4666" i="5"/>
  <c r="N4666" i="5"/>
  <c r="P4621" i="5"/>
  <c r="N4621" i="5"/>
  <c r="U4660" i="5"/>
  <c r="V4660" i="5" s="1"/>
  <c r="O4660" i="5"/>
  <c r="P4663" i="5"/>
  <c r="N4663" i="5"/>
  <c r="U4632" i="5"/>
  <c r="V4632" i="5" s="1"/>
  <c r="O4632" i="5"/>
  <c r="P4622" i="5"/>
  <c r="N4622" i="5"/>
  <c r="P4612" i="5"/>
  <c r="N4612" i="5"/>
  <c r="P4586" i="5"/>
  <c r="N4586" i="5"/>
  <c r="P4570" i="5"/>
  <c r="N4570" i="5"/>
  <c r="P4599" i="5"/>
  <c r="N4599" i="5"/>
  <c r="P4598" i="5"/>
  <c r="N4598" i="5"/>
  <c r="P4564" i="5"/>
  <c r="N4564" i="5"/>
  <c r="P4538" i="5"/>
  <c r="N4538" i="5"/>
  <c r="P4518" i="5"/>
  <c r="N4518" i="5"/>
  <c r="P4602" i="5"/>
  <c r="N4602" i="5"/>
  <c r="N4553" i="5"/>
  <c r="P4553" i="5"/>
  <c r="N4531" i="5"/>
  <c r="P4531" i="5"/>
  <c r="P4596" i="5"/>
  <c r="N4596" i="5"/>
  <c r="P4547" i="5"/>
  <c r="N4547" i="5"/>
  <c r="P4473" i="5"/>
  <c r="N4473" i="5"/>
  <c r="O4499" i="5"/>
  <c r="U4499" i="5"/>
  <c r="V4499" i="5" s="1"/>
  <c r="P4480" i="5"/>
  <c r="N4480" i="5"/>
  <c r="P4454" i="5"/>
  <c r="N4454" i="5"/>
  <c r="N4522" i="5"/>
  <c r="P4522" i="5"/>
  <c r="P4500" i="5"/>
  <c r="N4500" i="5"/>
  <c r="O4504" i="5"/>
  <c r="U4504" i="5"/>
  <c r="V4504" i="5" s="1"/>
  <c r="P4474" i="5"/>
  <c r="N4474" i="5"/>
  <c r="N4434" i="5"/>
  <c r="P4434" i="5"/>
  <c r="P4417" i="5"/>
  <c r="N4417" i="5"/>
  <c r="P4394" i="5"/>
  <c r="N4394" i="5"/>
  <c r="P4377" i="5"/>
  <c r="N4377" i="5"/>
  <c r="N4422" i="5"/>
  <c r="P4422" i="5"/>
  <c r="P4303" i="5"/>
  <c r="N4303" i="5"/>
  <c r="N4341" i="5"/>
  <c r="P4341" i="5"/>
  <c r="N4324" i="5"/>
  <c r="P4324" i="5"/>
  <c r="N4307" i="5"/>
  <c r="P4307" i="5"/>
  <c r="O4376" i="5"/>
  <c r="L4351" i="5"/>
  <c r="P4345" i="5"/>
  <c r="N4345" i="5"/>
  <c r="P4311" i="5"/>
  <c r="N4311" i="5"/>
  <c r="P4279" i="5"/>
  <c r="N4279" i="5"/>
  <c r="N4274" i="5"/>
  <c r="P4274" i="5"/>
  <c r="P4321" i="5"/>
  <c r="N4321" i="5"/>
  <c r="P4264" i="5"/>
  <c r="N4264" i="5"/>
  <c r="P4233" i="5"/>
  <c r="N4233" i="5"/>
  <c r="R4268" i="5"/>
  <c r="S4268" i="5" s="1"/>
  <c r="P4239" i="5"/>
  <c r="N4239" i="5"/>
  <c r="P4758" i="5"/>
  <c r="N4758" i="5"/>
  <c r="P4751" i="5"/>
  <c r="N4751" i="5"/>
  <c r="N4738" i="5"/>
  <c r="P4738" i="5"/>
  <c r="P4754" i="5"/>
  <c r="N4754" i="5"/>
  <c r="L4767" i="5"/>
  <c r="N4750" i="5"/>
  <c r="P4750" i="5"/>
  <c r="U4771" i="5"/>
  <c r="V4771" i="5" s="1"/>
  <c r="O4771" i="5"/>
  <c r="P4740" i="5"/>
  <c r="N4740" i="5"/>
  <c r="P4688" i="5"/>
  <c r="N4688" i="5"/>
  <c r="L4700" i="5"/>
  <c r="P4710" i="5"/>
  <c r="N4710" i="5"/>
  <c r="L4694" i="5"/>
  <c r="L4720" i="5"/>
  <c r="O4692" i="5"/>
  <c r="U4692" i="5"/>
  <c r="V4692" i="5" s="1"/>
  <c r="L4706" i="5"/>
  <c r="N4652" i="5"/>
  <c r="P4652" i="5"/>
  <c r="P4640" i="5"/>
  <c r="N4640" i="5"/>
  <c r="P4580" i="5"/>
  <c r="N4580" i="5"/>
  <c r="N4607" i="5"/>
  <c r="P4607" i="5"/>
  <c r="O4665" i="5"/>
  <c r="U4665" i="5"/>
  <c r="V4665" i="5" s="1"/>
  <c r="R4641" i="5"/>
  <c r="S4641" i="5" s="1"/>
  <c r="P4593" i="5"/>
  <c r="N4593" i="5"/>
  <c r="N4625" i="5"/>
  <c r="P4625" i="5"/>
  <c r="P4562" i="5"/>
  <c r="N4562" i="5"/>
  <c r="P4536" i="5"/>
  <c r="N4536" i="5"/>
  <c r="P4514" i="5"/>
  <c r="N4514" i="5"/>
  <c r="U4608" i="5"/>
  <c r="V4608" i="5" s="1"/>
  <c r="P4545" i="5"/>
  <c r="N4545" i="5"/>
  <c r="O4572" i="5"/>
  <c r="U4572" i="5"/>
  <c r="V4572" i="5" s="1"/>
  <c r="L4549" i="5"/>
  <c r="N4476" i="5"/>
  <c r="P4476" i="5"/>
  <c r="N4463" i="5"/>
  <c r="P4463" i="5"/>
  <c r="N4450" i="5"/>
  <c r="P4450" i="5"/>
  <c r="P4475" i="5"/>
  <c r="N4475" i="5"/>
  <c r="O4577" i="5"/>
  <c r="P4496" i="5"/>
  <c r="N4496" i="5"/>
  <c r="P4485" i="5"/>
  <c r="N4485" i="5"/>
  <c r="P4466" i="5"/>
  <c r="N4466" i="5"/>
  <c r="N4481" i="5"/>
  <c r="P4481" i="5"/>
  <c r="L4425" i="5"/>
  <c r="N4468" i="5"/>
  <c r="P4468" i="5"/>
  <c r="R4451" i="5"/>
  <c r="S4451" i="5" s="1"/>
  <c r="N4421" i="5"/>
  <c r="P4421" i="5"/>
  <c r="P4390" i="5"/>
  <c r="N4390" i="5"/>
  <c r="P4379" i="5"/>
  <c r="N4379" i="5"/>
  <c r="P4367" i="5"/>
  <c r="N4367" i="5"/>
  <c r="P4353" i="5"/>
  <c r="N4353" i="5"/>
  <c r="N4359" i="5"/>
  <c r="P4359" i="5"/>
  <c r="L4357" i="5"/>
  <c r="R4354" i="5"/>
  <c r="S4354" i="5" s="1"/>
  <c r="P4339" i="5"/>
  <c r="N4339" i="5"/>
  <c r="P4305" i="5"/>
  <c r="N4305" i="5"/>
  <c r="O4415" i="5"/>
  <c r="P4338" i="5"/>
  <c r="N4338" i="5"/>
  <c r="N4293" i="5"/>
  <c r="P4293" i="5"/>
  <c r="P4253" i="5"/>
  <c r="N4253" i="5"/>
  <c r="L4283" i="5"/>
  <c r="N4271" i="5"/>
  <c r="P4271" i="5"/>
  <c r="P4236" i="5"/>
  <c r="N4236" i="5"/>
  <c r="N4288" i="5"/>
  <c r="P4288" i="5"/>
  <c r="N4240" i="5"/>
  <c r="P4240" i="5"/>
  <c r="N4340" i="5"/>
  <c r="P4340" i="5"/>
  <c r="L4277" i="5"/>
  <c r="P4254" i="5"/>
  <c r="N4254" i="5"/>
  <c r="P4244" i="5"/>
  <c r="N4244" i="5"/>
  <c r="P4247" i="5"/>
  <c r="N4247" i="5"/>
  <c r="P4260" i="5"/>
  <c r="N4260" i="5"/>
  <c r="N4227" i="5"/>
  <c r="P4227" i="5"/>
  <c r="P4746" i="5"/>
  <c r="N4746" i="5"/>
  <c r="P4732" i="5"/>
  <c r="N4732" i="5"/>
  <c r="P4742" i="5"/>
  <c r="N4742" i="5"/>
  <c r="N4730" i="5"/>
  <c r="P4730" i="5"/>
  <c r="U4759" i="5"/>
  <c r="V4759" i="5" s="1"/>
  <c r="O4759" i="5"/>
  <c r="P4734" i="5"/>
  <c r="N4734" i="5"/>
  <c r="L4727" i="5"/>
  <c r="P4748" i="5"/>
  <c r="N4748" i="5"/>
  <c r="P4726" i="5"/>
  <c r="N4726" i="5"/>
  <c r="P4713" i="5"/>
  <c r="N4713" i="5"/>
  <c r="N4677" i="5"/>
  <c r="P4677" i="5"/>
  <c r="L4685" i="5"/>
  <c r="L4703" i="5"/>
  <c r="L4683" i="5"/>
  <c r="N4762" i="5"/>
  <c r="P4762" i="5"/>
  <c r="P4653" i="5"/>
  <c r="N4653" i="5"/>
  <c r="P4609" i="5"/>
  <c r="N4609" i="5"/>
  <c r="P4618" i="5"/>
  <c r="N4618" i="5"/>
  <c r="N4601" i="5"/>
  <c r="P4601" i="5"/>
  <c r="P4588" i="5"/>
  <c r="N4588" i="5"/>
  <c r="N4600" i="5"/>
  <c r="P4600" i="5"/>
  <c r="P4556" i="5"/>
  <c r="N4556" i="5"/>
  <c r="P4512" i="5"/>
  <c r="N4512" i="5"/>
  <c r="N4583" i="5"/>
  <c r="P4583" i="5"/>
  <c r="N4523" i="5"/>
  <c r="P4523" i="5"/>
  <c r="N4589" i="5"/>
  <c r="P4589" i="5"/>
  <c r="P4575" i="5"/>
  <c r="N4575" i="5"/>
  <c r="P4495" i="5"/>
  <c r="N4495" i="5"/>
  <c r="P4465" i="5"/>
  <c r="N4465" i="5"/>
  <c r="N4493" i="5"/>
  <c r="P4493" i="5"/>
  <c r="P4453" i="5"/>
  <c r="N4453" i="5"/>
  <c r="P4442" i="5"/>
  <c r="N4442" i="5"/>
  <c r="R4500" i="5"/>
  <c r="S4500" i="5" s="1"/>
  <c r="P4366" i="5"/>
  <c r="N4366" i="5"/>
  <c r="P4401" i="5"/>
  <c r="N4401" i="5"/>
  <c r="P4388" i="5"/>
  <c r="N4388" i="5"/>
  <c r="P4371" i="5"/>
  <c r="N4371" i="5"/>
  <c r="R4443" i="5"/>
  <c r="S4443" i="5" s="1"/>
  <c r="P4424" i="5"/>
  <c r="N4424" i="5"/>
  <c r="P4430" i="5"/>
  <c r="N4430" i="5"/>
  <c r="P4330" i="5"/>
  <c r="N4330" i="5"/>
  <c r="P4314" i="5"/>
  <c r="N4314" i="5"/>
  <c r="N4335" i="5"/>
  <c r="P4335" i="5"/>
  <c r="N4318" i="5"/>
  <c r="P4318" i="5"/>
  <c r="O4429" i="5"/>
  <c r="U4429" i="5"/>
  <c r="V4429" i="5" s="1"/>
  <c r="P4333" i="5"/>
  <c r="N4333" i="5"/>
  <c r="O4423" i="5"/>
  <c r="U4423" i="5"/>
  <c r="V4423" i="5" s="1"/>
  <c r="P4414" i="5"/>
  <c r="N4414" i="5"/>
  <c r="P4404" i="5"/>
  <c r="N4404" i="5"/>
  <c r="P4391" i="5"/>
  <c r="N4391" i="5"/>
  <c r="P4374" i="5"/>
  <c r="N4374" i="5"/>
  <c r="P4327" i="5"/>
  <c r="N4327" i="5"/>
  <c r="N4317" i="5"/>
  <c r="P4317" i="5"/>
  <c r="P4250" i="5"/>
  <c r="N4250" i="5"/>
  <c r="P4332" i="5"/>
  <c r="N4332" i="5"/>
  <c r="P4262" i="5"/>
  <c r="N4262" i="5"/>
  <c r="O4265" i="5"/>
  <c r="U4265" i="5"/>
  <c r="V4265" i="5" s="1"/>
  <c r="P4257" i="5"/>
  <c r="N4257" i="5"/>
  <c r="P4775" i="5"/>
  <c r="N4775" i="5"/>
  <c r="P4745" i="5"/>
  <c r="N4745" i="5"/>
  <c r="P4736" i="5"/>
  <c r="N4736" i="5"/>
  <c r="N4756" i="5"/>
  <c r="P4756" i="5"/>
  <c r="P4708" i="5"/>
  <c r="N4708" i="5"/>
  <c r="O4728" i="5"/>
  <c r="U4728" i="5"/>
  <c r="V4728" i="5" s="1"/>
  <c r="U4675" i="5"/>
  <c r="V4675" i="5" s="1"/>
  <c r="P4765" i="5"/>
  <c r="N4765" i="5"/>
  <c r="P4701" i="5"/>
  <c r="N4701" i="5"/>
  <c r="P4673" i="5"/>
  <c r="N4673" i="5"/>
  <c r="P4654" i="5"/>
  <c r="N4654" i="5"/>
  <c r="P4699" i="5"/>
  <c r="N4699" i="5"/>
  <c r="P4639" i="5"/>
  <c r="N4639" i="5"/>
  <c r="P4626" i="5"/>
  <c r="N4626" i="5"/>
  <c r="N4624" i="5"/>
  <c r="P4624" i="5"/>
  <c r="P4628" i="5"/>
  <c r="N4628" i="5"/>
  <c r="P4603" i="5"/>
  <c r="N4603" i="5"/>
  <c r="N4595" i="5"/>
  <c r="P4595" i="5"/>
  <c r="P4582" i="5"/>
  <c r="N4582" i="5"/>
  <c r="P4604" i="5"/>
  <c r="N4604" i="5"/>
  <c r="P4592" i="5"/>
  <c r="N4592" i="5"/>
  <c r="P4551" i="5"/>
  <c r="N4551" i="5"/>
  <c r="P4528" i="5"/>
  <c r="N4528" i="5"/>
  <c r="N4541" i="5"/>
  <c r="P4541" i="5"/>
  <c r="N4606" i="5"/>
  <c r="P4606" i="5"/>
  <c r="P4558" i="5"/>
  <c r="N4558" i="5"/>
  <c r="P4532" i="5"/>
  <c r="N4532" i="5"/>
  <c r="N4578" i="5"/>
  <c r="P4578" i="5"/>
  <c r="P4509" i="5"/>
  <c r="N4509" i="5"/>
  <c r="P4490" i="5"/>
  <c r="N4490" i="5"/>
  <c r="P4460" i="5"/>
  <c r="N4460" i="5"/>
  <c r="N4471" i="5"/>
  <c r="P4471" i="5"/>
  <c r="N4445" i="5"/>
  <c r="P4445" i="5"/>
  <c r="P4467" i="5"/>
  <c r="N4467" i="5"/>
  <c r="P4479" i="5"/>
  <c r="N4479" i="5"/>
  <c r="P4461" i="5"/>
  <c r="N4461" i="5"/>
  <c r="N4470" i="5"/>
  <c r="P4470" i="5"/>
  <c r="N4462" i="5"/>
  <c r="P4462" i="5"/>
  <c r="P4418" i="5"/>
  <c r="N4418" i="5"/>
  <c r="P4486" i="5"/>
  <c r="N4486" i="5"/>
  <c r="P4483" i="5"/>
  <c r="N4483" i="5"/>
  <c r="P4361" i="5"/>
  <c r="N4361" i="5"/>
  <c r="N4349" i="5"/>
  <c r="P4349" i="5"/>
  <c r="P4297" i="5"/>
  <c r="N4297" i="5"/>
  <c r="P4304" i="5"/>
  <c r="N4304" i="5"/>
  <c r="P4245" i="5"/>
  <c r="N4245" i="5"/>
  <c r="N4298" i="5"/>
  <c r="P4298" i="5"/>
  <c r="P4230" i="5"/>
  <c r="N4230" i="5"/>
  <c r="L4249" i="5"/>
  <c r="N4306" i="5"/>
  <c r="P4306" i="5"/>
  <c r="N4258" i="5"/>
  <c r="P4258" i="5"/>
  <c r="N4248" i="5"/>
  <c r="P4248" i="5"/>
  <c r="N4234" i="5"/>
  <c r="P4234" i="5"/>
  <c r="P4350" i="5"/>
  <c r="N4350" i="5"/>
  <c r="P4273" i="5"/>
  <c r="N4273" i="5"/>
  <c r="P4238" i="5"/>
  <c r="N4238" i="5"/>
  <c r="L3797" i="5"/>
  <c r="P3797" i="5" s="1"/>
  <c r="M3728" i="5"/>
  <c r="M4035" i="5"/>
  <c r="Q3941" i="5"/>
  <c r="R3941" i="5" s="1"/>
  <c r="S3941" i="5" s="1"/>
  <c r="L3922" i="5"/>
  <c r="P3922" i="5" s="1"/>
  <c r="M3756" i="5"/>
  <c r="L3928" i="5"/>
  <c r="P3928" i="5" s="1"/>
  <c r="M3747" i="5"/>
  <c r="M3879" i="5"/>
  <c r="M3991" i="5"/>
  <c r="K4072" i="5"/>
  <c r="L4072" i="5" s="1"/>
  <c r="Q3720" i="5"/>
  <c r="R3720" i="5" s="1"/>
  <c r="S3720" i="5" s="1"/>
  <c r="M3753" i="5"/>
  <c r="M3894" i="5"/>
  <c r="Q3707" i="5"/>
  <c r="R3707" i="5" s="1"/>
  <c r="S3707" i="5" s="1"/>
  <c r="M3759" i="5"/>
  <c r="M3858" i="5"/>
  <c r="M4024" i="5"/>
  <c r="L4179" i="5"/>
  <c r="P4179" i="5" s="1"/>
  <c r="M3806" i="5"/>
  <c r="M3831" i="5"/>
  <c r="Q3836" i="5"/>
  <c r="M4014" i="5"/>
  <c r="L4133" i="5"/>
  <c r="P4133" i="5" s="1"/>
  <c r="Q3780" i="5"/>
  <c r="R3780" i="5" s="1"/>
  <c r="S3780" i="5" s="1"/>
  <c r="M4002" i="5"/>
  <c r="Q3709" i="5"/>
  <c r="M3709" i="5"/>
  <c r="Q3805" i="5"/>
  <c r="M3805" i="5"/>
  <c r="M3810" i="5"/>
  <c r="N3810" i="5" s="1"/>
  <c r="O3810" i="5" s="1"/>
  <c r="Q3810" i="5"/>
  <c r="R3810" i="5" s="1"/>
  <c r="S3810" i="5" s="1"/>
  <c r="M3827" i="5"/>
  <c r="N3827" i="5" s="1"/>
  <c r="O3827" i="5" s="1"/>
  <c r="Q3827" i="5"/>
  <c r="R3827" i="5" s="1"/>
  <c r="S3827" i="5" s="1"/>
  <c r="M3833" i="5"/>
  <c r="N3833" i="5" s="1"/>
  <c r="O3833" i="5" s="1"/>
  <c r="Q3833" i="5"/>
  <c r="R3833" i="5" s="1"/>
  <c r="S3833" i="5" s="1"/>
  <c r="M3841" i="5"/>
  <c r="Q3841" i="5"/>
  <c r="R3841" i="5" s="1"/>
  <c r="S3841" i="5" s="1"/>
  <c r="Q3848" i="5"/>
  <c r="R3848" i="5" s="1"/>
  <c r="S3848" i="5" s="1"/>
  <c r="M3848" i="5"/>
  <c r="Q3861" i="5"/>
  <c r="M3861" i="5"/>
  <c r="M3867" i="5"/>
  <c r="Q3867" i="5"/>
  <c r="R3867" i="5" s="1"/>
  <c r="S3867" i="5" s="1"/>
  <c r="M3877" i="5"/>
  <c r="Q3877" i="5"/>
  <c r="Q3896" i="5"/>
  <c r="R3896" i="5" s="1"/>
  <c r="S3896" i="5" s="1"/>
  <c r="M3896" i="5"/>
  <c r="N3896" i="5" s="1"/>
  <c r="Q3708" i="5"/>
  <c r="R3708" i="5" s="1"/>
  <c r="S3708" i="5" s="1"/>
  <c r="M3708" i="5"/>
  <c r="Q3712" i="5"/>
  <c r="M3712" i="5"/>
  <c r="Q3715" i="5"/>
  <c r="M3715" i="5"/>
  <c r="Q3724" i="5"/>
  <c r="R3724" i="5" s="1"/>
  <c r="S3724" i="5" s="1"/>
  <c r="M3724" i="5"/>
  <c r="Q3729" i="5"/>
  <c r="M3729" i="5"/>
  <c r="Q3736" i="5"/>
  <c r="R3736" i="5" s="1"/>
  <c r="S3736" i="5" s="1"/>
  <c r="M3736" i="5"/>
  <c r="Q3738" i="5"/>
  <c r="M3738" i="5"/>
  <c r="Q3748" i="5"/>
  <c r="R3748" i="5" s="1"/>
  <c r="S3748" i="5" s="1"/>
  <c r="M3748" i="5"/>
  <c r="Q3757" i="5"/>
  <c r="R3757" i="5" s="1"/>
  <c r="S3757" i="5" s="1"/>
  <c r="M3757" i="5"/>
  <c r="Q3766" i="5"/>
  <c r="M3766" i="5"/>
  <c r="Q3768" i="5"/>
  <c r="R3768" i="5" s="1"/>
  <c r="S3768" i="5" s="1"/>
  <c r="M3768" i="5"/>
  <c r="Q3781" i="5"/>
  <c r="M3781" i="5"/>
  <c r="Q3785" i="5"/>
  <c r="R3785" i="5" s="1"/>
  <c r="S3785" i="5" s="1"/>
  <c r="M3785" i="5"/>
  <c r="Q3797" i="5"/>
  <c r="R3797" i="5" s="1"/>
  <c r="S3797" i="5" s="1"/>
  <c r="M3797" i="5"/>
  <c r="Q3809" i="5"/>
  <c r="M3809" i="5"/>
  <c r="M3816" i="5"/>
  <c r="N3816" i="5" s="1"/>
  <c r="O3816" i="5" s="1"/>
  <c r="Q3816" i="5"/>
  <c r="R3816" i="5" s="1"/>
  <c r="S3816" i="5" s="1"/>
  <c r="Q3823" i="5"/>
  <c r="R3823" i="5" s="1"/>
  <c r="S3823" i="5" s="1"/>
  <c r="M3823" i="5"/>
  <c r="N3823" i="5" s="1"/>
  <c r="Q3826" i="5"/>
  <c r="M3826" i="5"/>
  <c r="Q3832" i="5"/>
  <c r="M3832" i="5"/>
  <c r="Q3840" i="5"/>
  <c r="R3840" i="5" s="1"/>
  <c r="S3840" i="5" s="1"/>
  <c r="M3840" i="5"/>
  <c r="N3840" i="5" s="1"/>
  <c r="Q3844" i="5"/>
  <c r="M3844" i="5"/>
  <c r="M3852" i="5"/>
  <c r="Q3852" i="5"/>
  <c r="M3853" i="5"/>
  <c r="Q3853" i="5"/>
  <c r="M3860" i="5"/>
  <c r="Q3860" i="5"/>
  <c r="R3860" i="5" s="1"/>
  <c r="S3860" i="5" s="1"/>
  <c r="Q3866" i="5"/>
  <c r="M3866" i="5"/>
  <c r="Q3871" i="5"/>
  <c r="M3871" i="5"/>
  <c r="M3882" i="5"/>
  <c r="Q3882" i="5"/>
  <c r="M3876" i="5"/>
  <c r="Q3876" i="5"/>
  <c r="M3889" i="5"/>
  <c r="Q3889" i="5"/>
  <c r="R3889" i="5" s="1"/>
  <c r="S3889" i="5" s="1"/>
  <c r="M3883" i="5"/>
  <c r="Q3883" i="5"/>
  <c r="R3883" i="5" s="1"/>
  <c r="S3883" i="5" s="1"/>
  <c r="M3895" i="5"/>
  <c r="Q3895" i="5"/>
  <c r="M3902" i="5"/>
  <c r="Q3902" i="5"/>
  <c r="R3902" i="5" s="1"/>
  <c r="S3902" i="5" s="1"/>
  <c r="M3905" i="5"/>
  <c r="Q3905" i="5"/>
  <c r="R3905" i="5" s="1"/>
  <c r="S3905" i="5" s="1"/>
  <c r="M3910" i="5"/>
  <c r="Q3910" i="5"/>
  <c r="Q3917" i="5"/>
  <c r="R3917" i="5" s="1"/>
  <c r="S3917" i="5" s="1"/>
  <c r="M3917" i="5"/>
  <c r="Q3927" i="5"/>
  <c r="M3927" i="5"/>
  <c r="M3933" i="5"/>
  <c r="Q3933" i="5"/>
  <c r="Q3939" i="5"/>
  <c r="M3939" i="5"/>
  <c r="M3945" i="5"/>
  <c r="Q3945" i="5"/>
  <c r="M3951" i="5"/>
  <c r="Q3951" i="5"/>
  <c r="Q3956" i="5"/>
  <c r="R3956" i="5" s="1"/>
  <c r="S3956" i="5" s="1"/>
  <c r="M3956" i="5"/>
  <c r="Q3964" i="5"/>
  <c r="R3964" i="5" s="1"/>
  <c r="S3964" i="5" s="1"/>
  <c r="M3964" i="5"/>
  <c r="Q3969" i="5"/>
  <c r="R3969" i="5" s="1"/>
  <c r="S3969" i="5" s="1"/>
  <c r="M3969" i="5"/>
  <c r="Q3973" i="5"/>
  <c r="M3973" i="5"/>
  <c r="Q3980" i="5"/>
  <c r="R3980" i="5" s="1"/>
  <c r="S3980" i="5" s="1"/>
  <c r="M3980" i="5"/>
  <c r="Q3982" i="5"/>
  <c r="R3982" i="5" s="1"/>
  <c r="S3982" i="5" s="1"/>
  <c r="M3982" i="5"/>
  <c r="Q3993" i="5"/>
  <c r="M3993" i="5"/>
  <c r="Q3997" i="5"/>
  <c r="R3997" i="5" s="1"/>
  <c r="S3997" i="5" s="1"/>
  <c r="M3997" i="5"/>
  <c r="M3999" i="5"/>
  <c r="Q3999" i="5"/>
  <c r="Q4007" i="5"/>
  <c r="M4007" i="5"/>
  <c r="Q4013" i="5"/>
  <c r="R4013" i="5" s="1"/>
  <c r="S4013" i="5" s="1"/>
  <c r="M4013" i="5"/>
  <c r="N4013" i="5" s="1"/>
  <c r="Q4016" i="5"/>
  <c r="M4016" i="5"/>
  <c r="Q4029" i="5"/>
  <c r="R4029" i="5" s="1"/>
  <c r="S4029" i="5" s="1"/>
  <c r="M4029" i="5"/>
  <c r="M4033" i="5"/>
  <c r="Q4033" i="5"/>
  <c r="R4033" i="5" s="1"/>
  <c r="S4033" i="5" s="1"/>
  <c r="M4042" i="5"/>
  <c r="Q4042" i="5"/>
  <c r="R4042" i="5" s="1"/>
  <c r="S4042" i="5" s="1"/>
  <c r="Q4044" i="5"/>
  <c r="M4044" i="5"/>
  <c r="M4048" i="5"/>
  <c r="N4048" i="5" s="1"/>
  <c r="Q4048" i="5"/>
  <c r="R4048" i="5" s="1"/>
  <c r="S4048" i="5" s="1"/>
  <c r="Q4059" i="5"/>
  <c r="R4059" i="5" s="1"/>
  <c r="S4059" i="5" s="1"/>
  <c r="M4059" i="5"/>
  <c r="Q4068" i="5"/>
  <c r="R4068" i="5" s="1"/>
  <c r="S4068" i="5" s="1"/>
  <c r="M4068" i="5"/>
  <c r="M4074" i="5"/>
  <c r="Q4074" i="5"/>
  <c r="M4077" i="5"/>
  <c r="N4077" i="5" s="1"/>
  <c r="Q4077" i="5"/>
  <c r="R4077" i="5" s="1"/>
  <c r="S4077" i="5" s="1"/>
  <c r="M4082" i="5"/>
  <c r="Q4082" i="5"/>
  <c r="R4082" i="5" s="1"/>
  <c r="S4082" i="5" s="1"/>
  <c r="Q4088" i="5"/>
  <c r="R4088" i="5" s="1"/>
  <c r="S4088" i="5" s="1"/>
  <c r="M4088" i="5"/>
  <c r="Q4096" i="5"/>
  <c r="R4096" i="5" s="1"/>
  <c r="S4096" i="5" s="1"/>
  <c r="M4096" i="5"/>
  <c r="Q4103" i="5"/>
  <c r="M4103" i="5"/>
  <c r="M4109" i="5"/>
  <c r="N4109" i="5" s="1"/>
  <c r="O4109" i="5" s="1"/>
  <c r="Q4109" i="5"/>
  <c r="R4109" i="5" s="1"/>
  <c r="S4109" i="5" s="1"/>
  <c r="Q4113" i="5"/>
  <c r="M4113" i="5"/>
  <c r="Q4121" i="5"/>
  <c r="R4121" i="5" s="1"/>
  <c r="S4121" i="5" s="1"/>
  <c r="M4121" i="5"/>
  <c r="Q4123" i="5"/>
  <c r="M4123" i="5"/>
  <c r="Q4129" i="5"/>
  <c r="M4129" i="5"/>
  <c r="Q4135" i="5"/>
  <c r="M4135" i="5"/>
  <c r="Q4143" i="5"/>
  <c r="M4143" i="5"/>
  <c r="Q4146" i="5"/>
  <c r="M4146" i="5"/>
  <c r="Q4151" i="5"/>
  <c r="R4151" i="5" s="1"/>
  <c r="S4151" i="5" s="1"/>
  <c r="M4151" i="5"/>
  <c r="M4160" i="5"/>
  <c r="Q4160" i="5"/>
  <c r="R4160" i="5" s="1"/>
  <c r="S4160" i="5" s="1"/>
  <c r="Q4161" i="5"/>
  <c r="R4161" i="5" s="1"/>
  <c r="S4161" i="5" s="1"/>
  <c r="M4161" i="5"/>
  <c r="Q4166" i="5"/>
  <c r="R4166" i="5" s="1"/>
  <c r="S4166" i="5" s="1"/>
  <c r="M4166" i="5"/>
  <c r="Q4172" i="5"/>
  <c r="M4172" i="5"/>
  <c r="Q4176" i="5"/>
  <c r="R4176" i="5" s="1"/>
  <c r="S4176" i="5" s="1"/>
  <c r="M4176" i="5"/>
  <c r="M4186" i="5"/>
  <c r="Q4186" i="5"/>
  <c r="Q4191" i="5"/>
  <c r="M4191" i="5"/>
  <c r="Q4197" i="5"/>
  <c r="R4197" i="5" s="1"/>
  <c r="S4197" i="5" s="1"/>
  <c r="M4197" i="5"/>
  <c r="M4201" i="5"/>
  <c r="Q4201" i="5"/>
  <c r="Q4209" i="5"/>
  <c r="R4209" i="5" s="1"/>
  <c r="S4209" i="5" s="1"/>
  <c r="M4209" i="5"/>
  <c r="M3697" i="5"/>
  <c r="Q3704" i="5"/>
  <c r="R3704" i="5" s="1"/>
  <c r="S3704" i="5" s="1"/>
  <c r="Q3762" i="5"/>
  <c r="R3762" i="5" s="1"/>
  <c r="S3762" i="5" s="1"/>
  <c r="M3804" i="5"/>
  <c r="Q3784" i="5"/>
  <c r="M3784" i="5"/>
  <c r="Q3786" i="5"/>
  <c r="R3786" i="5" s="1"/>
  <c r="S3786" i="5" s="1"/>
  <c r="M3786" i="5"/>
  <c r="Q3792" i="5"/>
  <c r="R3792" i="5" s="1"/>
  <c r="S3792" i="5" s="1"/>
  <c r="M3792" i="5"/>
  <c r="Q3814" i="5"/>
  <c r="R3814" i="5" s="1"/>
  <c r="S3814" i="5" s="1"/>
  <c r="M3814" i="5"/>
  <c r="M3700" i="5"/>
  <c r="M3731" i="5"/>
  <c r="Q3741" i="5"/>
  <c r="R3764" i="5"/>
  <c r="S3764" i="5" s="1"/>
  <c r="Q3701" i="5"/>
  <c r="R3701" i="5" s="1"/>
  <c r="S3701" i="5" s="1"/>
  <c r="Q3698" i="5"/>
  <c r="R3698" i="5" s="1"/>
  <c r="S3698" i="5" s="1"/>
  <c r="M3698" i="5"/>
  <c r="Q3706" i="5"/>
  <c r="M3706" i="5"/>
  <c r="Q3719" i="5"/>
  <c r="R3719" i="5" s="1"/>
  <c r="S3719" i="5" s="1"/>
  <c r="M3719" i="5"/>
  <c r="Q3779" i="5"/>
  <c r="R3779" i="5" s="1"/>
  <c r="S3779" i="5" s="1"/>
  <c r="M3779" i="5"/>
  <c r="Q3789" i="5"/>
  <c r="M3789" i="5"/>
  <c r="M3790" i="5"/>
  <c r="Q3790" i="5"/>
  <c r="R3790" i="5" s="1"/>
  <c r="S3790" i="5" s="1"/>
  <c r="Q3795" i="5"/>
  <c r="M3795" i="5"/>
  <c r="Q3802" i="5"/>
  <c r="M3802" i="5"/>
  <c r="Q3812" i="5"/>
  <c r="R3812" i="5" s="1"/>
  <c r="S3812" i="5" s="1"/>
  <c r="M3812" i="5"/>
  <c r="M3819" i="5"/>
  <c r="Q3819" i="5"/>
  <c r="Q3821" i="5"/>
  <c r="M3821" i="5"/>
  <c r="M3824" i="5"/>
  <c r="Q3824" i="5"/>
  <c r="Q3834" i="5"/>
  <c r="M3834" i="5"/>
  <c r="Q3838" i="5"/>
  <c r="M3838" i="5"/>
  <c r="M3842" i="5"/>
  <c r="Q3842" i="5"/>
  <c r="M3850" i="5"/>
  <c r="Q3850" i="5"/>
  <c r="R3850" i="5" s="1"/>
  <c r="S3850" i="5" s="1"/>
  <c r="Q3864" i="5"/>
  <c r="M3864" i="5"/>
  <c r="M3880" i="5"/>
  <c r="Q3880" i="5"/>
  <c r="R3880" i="5" s="1"/>
  <c r="S3880" i="5" s="1"/>
  <c r="Q3887" i="5"/>
  <c r="M3887" i="5"/>
  <c r="Q3893" i="5"/>
  <c r="R3893" i="5" s="1"/>
  <c r="S3893" i="5" s="1"/>
  <c r="M3893" i="5"/>
  <c r="N3893" i="5" s="1"/>
  <c r="Q3900" i="5"/>
  <c r="M3900" i="5"/>
  <c r="Q3903" i="5"/>
  <c r="M3903" i="5"/>
  <c r="M3908" i="5"/>
  <c r="Q3908" i="5"/>
  <c r="R3908" i="5" s="1"/>
  <c r="S3908" i="5" s="1"/>
  <c r="M3915" i="5"/>
  <c r="Q3915" i="5"/>
  <c r="R3915" i="5" s="1"/>
  <c r="S3915" i="5" s="1"/>
  <c r="M3922" i="5"/>
  <c r="Q3922" i="5"/>
  <c r="R3922" i="5" s="1"/>
  <c r="S3922" i="5" s="1"/>
  <c r="M3929" i="5"/>
  <c r="Q3929" i="5"/>
  <c r="Q3937" i="5"/>
  <c r="R3937" i="5" s="1"/>
  <c r="S3937" i="5" s="1"/>
  <c r="M3937" i="5"/>
  <c r="N3937" i="5" s="1"/>
  <c r="O3937" i="5" s="1"/>
  <c r="Q3943" i="5"/>
  <c r="M3943" i="5"/>
  <c r="Q3949" i="5"/>
  <c r="M3949" i="5"/>
  <c r="Q3955" i="5"/>
  <c r="R3955" i="5" s="1"/>
  <c r="S3955" i="5" s="1"/>
  <c r="M3955" i="5"/>
  <c r="Q3962" i="5"/>
  <c r="R3962" i="5" s="1"/>
  <c r="S3962" i="5" s="1"/>
  <c r="M3962" i="5"/>
  <c r="Q3967" i="5"/>
  <c r="R3967" i="5" s="1"/>
  <c r="S3967" i="5" s="1"/>
  <c r="M3967" i="5"/>
  <c r="M3978" i="5"/>
  <c r="Q3978" i="5"/>
  <c r="Q3986" i="5"/>
  <c r="M3986" i="5"/>
  <c r="Q3989" i="5"/>
  <c r="R3989" i="5" s="1"/>
  <c r="S3989" i="5" s="1"/>
  <c r="M3989" i="5"/>
  <c r="Q3995" i="5"/>
  <c r="M3995" i="5"/>
  <c r="Q4003" i="5"/>
  <c r="R4003" i="5" s="1"/>
  <c r="S4003" i="5" s="1"/>
  <c r="M4003" i="5"/>
  <c r="N4003" i="5" s="1"/>
  <c r="Q4006" i="5"/>
  <c r="R4006" i="5" s="1"/>
  <c r="S4006" i="5" s="1"/>
  <c r="M4006" i="5"/>
  <c r="Q4011" i="5"/>
  <c r="R4011" i="5" s="1"/>
  <c r="S4011" i="5" s="1"/>
  <c r="M4011" i="5"/>
  <c r="Q4020" i="5"/>
  <c r="R4020" i="5" s="1"/>
  <c r="S4020" i="5" s="1"/>
  <c r="M4020" i="5"/>
  <c r="M4025" i="5"/>
  <c r="Q4025" i="5"/>
  <c r="Q4027" i="5"/>
  <c r="R4027" i="5" s="1"/>
  <c r="S4027" i="5" s="1"/>
  <c r="M4027" i="5"/>
  <c r="Q4032" i="5"/>
  <c r="M4032" i="5"/>
  <c r="Q4037" i="5"/>
  <c r="R4037" i="5" s="1"/>
  <c r="S4037" i="5" s="1"/>
  <c r="M4037" i="5"/>
  <c r="Q4040" i="5"/>
  <c r="R4040" i="5" s="1"/>
  <c r="S4040" i="5" s="1"/>
  <c r="M4040" i="5"/>
  <c r="Q4046" i="5"/>
  <c r="M4046" i="5"/>
  <c r="Q4053" i="5"/>
  <c r="R4053" i="5" s="1"/>
  <c r="S4053" i="5" s="1"/>
  <c r="M4053" i="5"/>
  <c r="Q4057" i="5"/>
  <c r="M4057" i="5"/>
  <c r="Q4066" i="5"/>
  <c r="M4066" i="5"/>
  <c r="Q4072" i="5"/>
  <c r="M4072" i="5"/>
  <c r="M4080" i="5"/>
  <c r="Q4080" i="5"/>
  <c r="R4080" i="5" s="1"/>
  <c r="S4080" i="5" s="1"/>
  <c r="M4083" i="5"/>
  <c r="Q4083" i="5"/>
  <c r="Q4092" i="5"/>
  <c r="R4092" i="5" s="1"/>
  <c r="S4092" i="5" s="1"/>
  <c r="M4092" i="5"/>
  <c r="Q4086" i="5"/>
  <c r="R4086" i="5" s="1"/>
  <c r="S4086" i="5" s="1"/>
  <c r="M4086" i="5"/>
  <c r="Q4098" i="5"/>
  <c r="M4098" i="5"/>
  <c r="Q4104" i="5"/>
  <c r="M4104" i="5"/>
  <c r="Q4107" i="5"/>
  <c r="M4107" i="5"/>
  <c r="M4115" i="5"/>
  <c r="N4115" i="5" s="1"/>
  <c r="O4115" i="5" s="1"/>
  <c r="Q4115" i="5"/>
  <c r="R4115" i="5" s="1"/>
  <c r="S4115" i="5" s="1"/>
  <c r="Q4119" i="5"/>
  <c r="M4119" i="5"/>
  <c r="Q4127" i="5"/>
  <c r="R4127" i="5" s="1"/>
  <c r="S4127" i="5" s="1"/>
  <c r="M4127" i="5"/>
  <c r="Q4131" i="5"/>
  <c r="M4131" i="5"/>
  <c r="Q4137" i="5"/>
  <c r="R4137" i="5" s="1"/>
  <c r="S4137" i="5" s="1"/>
  <c r="M4137" i="5"/>
  <c r="Q4141" i="5"/>
  <c r="R4141" i="5" s="1"/>
  <c r="S4141" i="5" s="1"/>
  <c r="M4141" i="5"/>
  <c r="Q4147" i="5"/>
  <c r="R4147" i="5" s="1"/>
  <c r="S4147" i="5" s="1"/>
  <c r="M4147" i="5"/>
  <c r="Q4149" i="5"/>
  <c r="R4149" i="5" s="1"/>
  <c r="S4149" i="5" s="1"/>
  <c r="M4149" i="5"/>
  <c r="N4149" i="5" s="1"/>
  <c r="Q4156" i="5"/>
  <c r="R4156" i="5" s="1"/>
  <c r="S4156" i="5" s="1"/>
  <c r="M4156" i="5"/>
  <c r="Q4158" i="5"/>
  <c r="R4158" i="5" s="1"/>
  <c r="S4158" i="5" s="1"/>
  <c r="M4158" i="5"/>
  <c r="Q4164" i="5"/>
  <c r="R4164" i="5" s="1"/>
  <c r="S4164" i="5" s="1"/>
  <c r="M4164" i="5"/>
  <c r="Q4170" i="5"/>
  <c r="M4170" i="5"/>
  <c r="M4174" i="5"/>
  <c r="Q4174" i="5"/>
  <c r="Q4178" i="5"/>
  <c r="R4178" i="5" s="1"/>
  <c r="S4178" i="5" s="1"/>
  <c r="M4178" i="5"/>
  <c r="Q4183" i="5"/>
  <c r="M4183" i="5"/>
  <c r="Q4194" i="5"/>
  <c r="R4194" i="5" s="1"/>
  <c r="S4194" i="5" s="1"/>
  <c r="M4194" i="5"/>
  <c r="N4194" i="5" s="1"/>
  <c r="Q4195" i="5"/>
  <c r="M4195" i="5"/>
  <c r="Q4207" i="5"/>
  <c r="M4207" i="5"/>
  <c r="Q4212" i="5"/>
  <c r="M4212" i="5"/>
  <c r="Q4221" i="5"/>
  <c r="M4221" i="5"/>
  <c r="Q4222" i="5"/>
  <c r="M4222" i="5"/>
  <c r="Q3710" i="5"/>
  <c r="R3710" i="5" s="1"/>
  <c r="S3710" i="5" s="1"/>
  <c r="R3713" i="5"/>
  <c r="S3713" i="5" s="1"/>
  <c r="M3734" i="5"/>
  <c r="M3744" i="5"/>
  <c r="M3761" i="5"/>
  <c r="M3764" i="5"/>
  <c r="Q3773" i="5"/>
  <c r="R3773" i="5" s="1"/>
  <c r="S3773" i="5" s="1"/>
  <c r="M3783" i="5"/>
  <c r="Q3793" i="5"/>
  <c r="M3798" i="5"/>
  <c r="Q3845" i="5"/>
  <c r="R3845" i="5" s="1"/>
  <c r="S3845" i="5" s="1"/>
  <c r="Q3730" i="5"/>
  <c r="R3730" i="5" s="1"/>
  <c r="S3730" i="5" s="1"/>
  <c r="M3730" i="5"/>
  <c r="Q3739" i="5"/>
  <c r="R3739" i="5" s="1"/>
  <c r="S3739" i="5" s="1"/>
  <c r="M3739" i="5"/>
  <c r="Q3854" i="5"/>
  <c r="R3854" i="5" s="1"/>
  <c r="S3854" i="5" s="1"/>
  <c r="M3854" i="5"/>
  <c r="Q3872" i="5"/>
  <c r="M3872" i="5"/>
  <c r="Q3884" i="5"/>
  <c r="M3884" i="5"/>
  <c r="M3769" i="5"/>
  <c r="Q3742" i="5"/>
  <c r="R3742" i="5" s="1"/>
  <c r="S3742" i="5" s="1"/>
  <c r="M3742" i="5"/>
  <c r="Q3745" i="5"/>
  <c r="R3745" i="5" s="1"/>
  <c r="S3745" i="5" s="1"/>
  <c r="M3745" i="5"/>
  <c r="Q3752" i="5"/>
  <c r="R3752" i="5" s="1"/>
  <c r="S3752" i="5" s="1"/>
  <c r="M3752" i="5"/>
  <c r="Q3755" i="5"/>
  <c r="R3755" i="5" s="1"/>
  <c r="S3755" i="5" s="1"/>
  <c r="M3755" i="5"/>
  <c r="Q3772" i="5"/>
  <c r="R3772" i="5" s="1"/>
  <c r="S3772" i="5" s="1"/>
  <c r="M3772" i="5"/>
  <c r="Q3751" i="5"/>
  <c r="R3751" i="5" s="1"/>
  <c r="S3751" i="5" s="1"/>
  <c r="M3751" i="5"/>
  <c r="Q3754" i="5"/>
  <c r="R3754" i="5" s="1"/>
  <c r="S3754" i="5" s="1"/>
  <c r="M3754" i="5"/>
  <c r="Q3771" i="5"/>
  <c r="R3771" i="5" s="1"/>
  <c r="S3771" i="5" s="1"/>
  <c r="M3771" i="5"/>
  <c r="Q3778" i="5"/>
  <c r="R3778" i="5" s="1"/>
  <c r="S3778" i="5" s="1"/>
  <c r="M3778" i="5"/>
  <c r="N3778" i="5" s="1"/>
  <c r="O3778" i="5" s="1"/>
  <c r="Q3794" i="5"/>
  <c r="R3794" i="5" s="1"/>
  <c r="S3794" i="5" s="1"/>
  <c r="M3794" i="5"/>
  <c r="Q3801" i="5"/>
  <c r="M3801" i="5"/>
  <c r="Q3818" i="5"/>
  <c r="R3818" i="5" s="1"/>
  <c r="S3818" i="5" s="1"/>
  <c r="M3818" i="5"/>
  <c r="Q3837" i="5"/>
  <c r="R3837" i="5" s="1"/>
  <c r="S3837" i="5" s="1"/>
  <c r="M3837" i="5"/>
  <c r="Q3847" i="5"/>
  <c r="R3847" i="5" s="1"/>
  <c r="S3847" i="5" s="1"/>
  <c r="M3847" i="5"/>
  <c r="N3847" i="5" s="1"/>
  <c r="O3847" i="5" s="1"/>
  <c r="M3849" i="5"/>
  <c r="Q3849" i="5"/>
  <c r="R3849" i="5" s="1"/>
  <c r="S3849" i="5" s="1"/>
  <c r="Q3857" i="5"/>
  <c r="R3857" i="5" s="1"/>
  <c r="S3857" i="5" s="1"/>
  <c r="M3857" i="5"/>
  <c r="Q3869" i="5"/>
  <c r="M3869" i="5"/>
  <c r="Q3863" i="5"/>
  <c r="M3863" i="5"/>
  <c r="M3713" i="5"/>
  <c r="M3737" i="5"/>
  <c r="Q3776" i="5"/>
  <c r="R3776" i="5" s="1"/>
  <c r="S3776" i="5" s="1"/>
  <c r="Q3921" i="5"/>
  <c r="R3921" i="5" s="1"/>
  <c r="S3921" i="5" s="1"/>
  <c r="Q3703" i="5"/>
  <c r="M3703" i="5"/>
  <c r="Q3749" i="5"/>
  <c r="R3749" i="5" s="1"/>
  <c r="S3749" i="5" s="1"/>
  <c r="M3749" i="5"/>
  <c r="Q3758" i="5"/>
  <c r="M3758" i="5"/>
  <c r="Q3760" i="5"/>
  <c r="R3760" i="5" s="1"/>
  <c r="S3760" i="5" s="1"/>
  <c r="M3760" i="5"/>
  <c r="M3725" i="5"/>
  <c r="K3834" i="5"/>
  <c r="L3834" i="5" s="1"/>
  <c r="Q3705" i="5"/>
  <c r="R3705" i="5" s="1"/>
  <c r="S3705" i="5" s="1"/>
  <c r="M3705" i="5"/>
  <c r="Q3718" i="5"/>
  <c r="M3718" i="5"/>
  <c r="Q3727" i="5"/>
  <c r="R3727" i="5" s="1"/>
  <c r="S3727" i="5" s="1"/>
  <c r="M3727" i="5"/>
  <c r="Q3721" i="5"/>
  <c r="R3721" i="5" s="1"/>
  <c r="S3721" i="5" s="1"/>
  <c r="M3721" i="5"/>
  <c r="Q3733" i="5"/>
  <c r="R3733" i="5" s="1"/>
  <c r="S3733" i="5" s="1"/>
  <c r="M3733" i="5"/>
  <c r="Q3763" i="5"/>
  <c r="M3763" i="5"/>
  <c r="Q3775" i="5"/>
  <c r="R3775" i="5" s="1"/>
  <c r="S3775" i="5" s="1"/>
  <c r="M3775" i="5"/>
  <c r="Q3788" i="5"/>
  <c r="R3788" i="5" s="1"/>
  <c r="S3788" i="5" s="1"/>
  <c r="M3788" i="5"/>
  <c r="Q3807" i="5"/>
  <c r="M3807" i="5"/>
  <c r="Q3811" i="5"/>
  <c r="R3811" i="5" s="1"/>
  <c r="S3811" i="5" s="1"/>
  <c r="M3811" i="5"/>
  <c r="N3811" i="5" s="1"/>
  <c r="Q3820" i="5"/>
  <c r="R3820" i="5" s="1"/>
  <c r="S3820" i="5" s="1"/>
  <c r="M3820" i="5"/>
  <c r="Q3830" i="5"/>
  <c r="M3830" i="5"/>
  <c r="Q3702" i="5"/>
  <c r="R3702" i="5" s="1"/>
  <c r="S3702" i="5" s="1"/>
  <c r="M3702" i="5"/>
  <c r="Q3696" i="5"/>
  <c r="M3696" i="5"/>
  <c r="Q3717" i="5"/>
  <c r="R3717" i="5" s="1"/>
  <c r="S3717" i="5" s="1"/>
  <c r="M3717" i="5"/>
  <c r="Q3726" i="5"/>
  <c r="M3726" i="5"/>
  <c r="Q3732" i="5"/>
  <c r="M3732" i="5"/>
  <c r="Q3740" i="5"/>
  <c r="R3740" i="5" s="1"/>
  <c r="S3740" i="5" s="1"/>
  <c r="M3740" i="5"/>
  <c r="Q3743" i="5"/>
  <c r="R3743" i="5" s="1"/>
  <c r="S3743" i="5" s="1"/>
  <c r="M3743" i="5"/>
  <c r="Q3770" i="5"/>
  <c r="M3770" i="5"/>
  <c r="Q3774" i="5"/>
  <c r="R3774" i="5" s="1"/>
  <c r="S3774" i="5" s="1"/>
  <c r="M3774" i="5"/>
  <c r="Q3777" i="5"/>
  <c r="M3777" i="5"/>
  <c r="Q3787" i="5"/>
  <c r="M3787" i="5"/>
  <c r="Q3799" i="5"/>
  <c r="M3799" i="5"/>
  <c r="Q3800" i="5"/>
  <c r="R3800" i="5" s="1"/>
  <c r="S3800" i="5" s="1"/>
  <c r="M3800" i="5"/>
  <c r="Q3813" i="5"/>
  <c r="M3813" i="5"/>
  <c r="Q3817" i="5"/>
  <c r="R3817" i="5" s="1"/>
  <c r="S3817" i="5" s="1"/>
  <c r="M3817" i="5"/>
  <c r="N3817" i="5" s="1"/>
  <c r="Q3828" i="5"/>
  <c r="R3828" i="5" s="1"/>
  <c r="S3828" i="5" s="1"/>
  <c r="M3828" i="5"/>
  <c r="N3828" i="5" s="1"/>
  <c r="M3829" i="5"/>
  <c r="Q3829" i="5"/>
  <c r="R3829" i="5" s="1"/>
  <c r="S3829" i="5" s="1"/>
  <c r="Q3835" i="5"/>
  <c r="R3835" i="5" s="1"/>
  <c r="S3835" i="5" s="1"/>
  <c r="M3835" i="5"/>
  <c r="Q3846" i="5"/>
  <c r="M3846" i="5"/>
  <c r="M3855" i="5"/>
  <c r="Q3855" i="5"/>
  <c r="R3855" i="5" s="1"/>
  <c r="S3855" i="5" s="1"/>
  <c r="Q3856" i="5"/>
  <c r="R3856" i="5" s="1"/>
  <c r="S3856" i="5" s="1"/>
  <c r="M3856" i="5"/>
  <c r="Q3868" i="5"/>
  <c r="R3868" i="5" s="1"/>
  <c r="S3868" i="5" s="1"/>
  <c r="M3868" i="5"/>
  <c r="Q3862" i="5"/>
  <c r="R3862" i="5" s="1"/>
  <c r="S3862" i="5" s="1"/>
  <c r="M3862" i="5"/>
  <c r="Q3873" i="5"/>
  <c r="R3873" i="5" s="1"/>
  <c r="S3873" i="5" s="1"/>
  <c r="M3873" i="5"/>
  <c r="Q3878" i="5"/>
  <c r="R3878" i="5" s="1"/>
  <c r="S3878" i="5" s="1"/>
  <c r="M3878" i="5"/>
  <c r="Q3885" i="5"/>
  <c r="R3885" i="5" s="1"/>
  <c r="S3885" i="5" s="1"/>
  <c r="M3885" i="5"/>
  <c r="Q3891" i="5"/>
  <c r="R3891" i="5" s="1"/>
  <c r="S3891" i="5" s="1"/>
  <c r="M3891" i="5"/>
  <c r="M3898" i="5"/>
  <c r="N3898" i="5" s="1"/>
  <c r="Q3898" i="5"/>
  <c r="R3898" i="5" s="1"/>
  <c r="S3898" i="5" s="1"/>
  <c r="Q3906" i="5"/>
  <c r="M3906" i="5"/>
  <c r="Q3913" i="5"/>
  <c r="R3913" i="5" s="1"/>
  <c r="S3913" i="5" s="1"/>
  <c r="M3913" i="5"/>
  <c r="M3716" i="5"/>
  <c r="M3722" i="5"/>
  <c r="M3750" i="5"/>
  <c r="K3916" i="5"/>
  <c r="L3916" i="5" s="1"/>
  <c r="Q3892" i="5"/>
  <c r="M3892" i="5"/>
  <c r="Q3899" i="5"/>
  <c r="R3899" i="5" s="1"/>
  <c r="S3899" i="5" s="1"/>
  <c r="M3899" i="5"/>
  <c r="Q3907" i="5"/>
  <c r="R3907" i="5" s="1"/>
  <c r="S3907" i="5" s="1"/>
  <c r="M3907" i="5"/>
  <c r="Q3912" i="5"/>
  <c r="M3912" i="5"/>
  <c r="M3928" i="5"/>
  <c r="Q3928" i="5"/>
  <c r="R3928" i="5" s="1"/>
  <c r="S3928" i="5" s="1"/>
  <c r="Q3936" i="5"/>
  <c r="M3936" i="5"/>
  <c r="M3942" i="5"/>
  <c r="Q3942" i="5"/>
  <c r="M3948" i="5"/>
  <c r="Q3948" i="5"/>
  <c r="M3954" i="5"/>
  <c r="Q3954" i="5"/>
  <c r="Q3961" i="5"/>
  <c r="R3961" i="5" s="1"/>
  <c r="S3961" i="5" s="1"/>
  <c r="M3961" i="5"/>
  <c r="M3966" i="5"/>
  <c r="Q3966" i="5"/>
  <c r="R3966" i="5" s="1"/>
  <c r="S3966" i="5" s="1"/>
  <c r="M3977" i="5"/>
  <c r="Q3977" i="5"/>
  <c r="R3977" i="5" s="1"/>
  <c r="S3977" i="5" s="1"/>
  <c r="Q3985" i="5"/>
  <c r="R3985" i="5" s="1"/>
  <c r="S3985" i="5" s="1"/>
  <c r="M3985" i="5"/>
  <c r="Q3988" i="5"/>
  <c r="M3988" i="5"/>
  <c r="Q4005" i="5"/>
  <c r="M4005" i="5"/>
  <c r="M4010" i="5"/>
  <c r="Q4010" i="5"/>
  <c r="R4010" i="5" s="1"/>
  <c r="S4010" i="5" s="1"/>
  <c r="M4031" i="5"/>
  <c r="Q4031" i="5"/>
  <c r="M4036" i="5"/>
  <c r="Q4036" i="5"/>
  <c r="M4039" i="5"/>
  <c r="Q4039" i="5"/>
  <c r="R4039" i="5" s="1"/>
  <c r="S4039" i="5" s="1"/>
  <c r="Q4052" i="5"/>
  <c r="R4052" i="5" s="1"/>
  <c r="S4052" i="5" s="1"/>
  <c r="M4052" i="5"/>
  <c r="Q4056" i="5"/>
  <c r="R4056" i="5" s="1"/>
  <c r="S4056" i="5" s="1"/>
  <c r="M4056" i="5"/>
  <c r="M4064" i="5"/>
  <c r="Q4064" i="5"/>
  <c r="R4064" i="5" s="1"/>
  <c r="S4064" i="5" s="1"/>
  <c r="Q4065" i="5"/>
  <c r="R4065" i="5" s="1"/>
  <c r="S4065" i="5" s="1"/>
  <c r="M4065" i="5"/>
  <c r="N4065" i="5" s="1"/>
  <c r="M4079" i="5"/>
  <c r="Q4079" i="5"/>
  <c r="Q4091" i="5"/>
  <c r="R4091" i="5" s="1"/>
  <c r="S4091" i="5" s="1"/>
  <c r="M4091" i="5"/>
  <c r="M4085" i="5"/>
  <c r="Q4085" i="5"/>
  <c r="R4085" i="5" s="1"/>
  <c r="S4085" i="5" s="1"/>
  <c r="M4097" i="5"/>
  <c r="N4097" i="5" s="1"/>
  <c r="Q4097" i="5"/>
  <c r="R4097" i="5" s="1"/>
  <c r="S4097" i="5" s="1"/>
  <c r="M4106" i="5"/>
  <c r="Q4106" i="5"/>
  <c r="R4106" i="5" s="1"/>
  <c r="S4106" i="5" s="1"/>
  <c r="M4112" i="5"/>
  <c r="Q4112" i="5"/>
  <c r="Q4118" i="5"/>
  <c r="R4118" i="5" s="1"/>
  <c r="S4118" i="5" s="1"/>
  <c r="M4118" i="5"/>
  <c r="Q4126" i="5"/>
  <c r="R4126" i="5" s="1"/>
  <c r="S4126" i="5" s="1"/>
  <c r="M4126" i="5"/>
  <c r="Q4133" i="5"/>
  <c r="R4133" i="5" s="1"/>
  <c r="S4133" i="5" s="1"/>
  <c r="M4133" i="5"/>
  <c r="Q4139" i="5"/>
  <c r="R4139" i="5" s="1"/>
  <c r="S4139" i="5" s="1"/>
  <c r="M4139" i="5"/>
  <c r="N4139" i="5" s="1"/>
  <c r="Q4140" i="5"/>
  <c r="R4140" i="5" s="1"/>
  <c r="S4140" i="5" s="1"/>
  <c r="M4140" i="5"/>
  <c r="N4140" i="5" s="1"/>
  <c r="M4148" i="5"/>
  <c r="Q4148" i="5"/>
  <c r="R4148" i="5" s="1"/>
  <c r="S4148" i="5" s="1"/>
  <c r="Q4155" i="5"/>
  <c r="R4155" i="5" s="1"/>
  <c r="S4155" i="5" s="1"/>
  <c r="M4155" i="5"/>
  <c r="M4157" i="5"/>
  <c r="Q4157" i="5"/>
  <c r="Q4163" i="5"/>
  <c r="R4163" i="5" s="1"/>
  <c r="S4163" i="5" s="1"/>
  <c r="M4163" i="5"/>
  <c r="N4163" i="5" s="1"/>
  <c r="Q4169" i="5"/>
  <c r="R4169" i="5" s="1"/>
  <c r="S4169" i="5" s="1"/>
  <c r="M4169" i="5"/>
  <c r="Q4177" i="5"/>
  <c r="R4177" i="5" s="1"/>
  <c r="S4177" i="5" s="1"/>
  <c r="M4177" i="5"/>
  <c r="Q4182" i="5"/>
  <c r="R4182" i="5" s="1"/>
  <c r="S4182" i="5" s="1"/>
  <c r="M4182" i="5"/>
  <c r="Q4188" i="5"/>
  <c r="M4188" i="5"/>
  <c r="Q4193" i="5"/>
  <c r="M4193" i="5"/>
  <c r="Q4200" i="5"/>
  <c r="R4200" i="5" s="1"/>
  <c r="S4200" i="5" s="1"/>
  <c r="M4200" i="5"/>
  <c r="Q4206" i="5"/>
  <c r="R4206" i="5" s="1"/>
  <c r="S4206" i="5" s="1"/>
  <c r="M4206" i="5"/>
  <c r="M4211" i="5"/>
  <c r="Q4211" i="5"/>
  <c r="R4211" i="5" s="1"/>
  <c r="S4211" i="5" s="1"/>
  <c r="M4220" i="5"/>
  <c r="Q4220" i="5"/>
  <c r="R4220" i="5" s="1"/>
  <c r="S4220" i="5" s="1"/>
  <c r="Q3808" i="5"/>
  <c r="R3808" i="5" s="1"/>
  <c r="S3808" i="5" s="1"/>
  <c r="K3877" i="5"/>
  <c r="L3877" i="5" s="1"/>
  <c r="L3885" i="5"/>
  <c r="P3885" i="5" s="1"/>
  <c r="Q3901" i="5"/>
  <c r="R3901" i="5" s="1"/>
  <c r="S3901" i="5" s="1"/>
  <c r="M3946" i="5"/>
  <c r="Q3920" i="5"/>
  <c r="R3920" i="5" s="1"/>
  <c r="S3920" i="5" s="1"/>
  <c r="M3920" i="5"/>
  <c r="N3920" i="5" s="1"/>
  <c r="M3925" i="5"/>
  <c r="Q3925" i="5"/>
  <c r="Q3931" i="5"/>
  <c r="M3931" i="5"/>
  <c r="M3935" i="5"/>
  <c r="Q3935" i="5"/>
  <c r="R3935" i="5" s="1"/>
  <c r="S3935" i="5" s="1"/>
  <c r="M3947" i="5"/>
  <c r="Q3947" i="5"/>
  <c r="R3947" i="5" s="1"/>
  <c r="S3947" i="5" s="1"/>
  <c r="M3960" i="5"/>
  <c r="Q3960" i="5"/>
  <c r="Q3971" i="5"/>
  <c r="M3971" i="5"/>
  <c r="M3965" i="5"/>
  <c r="Q3965" i="5"/>
  <c r="M3975" i="5"/>
  <c r="Q3975" i="5"/>
  <c r="R3975" i="5" s="1"/>
  <c r="S3975" i="5" s="1"/>
  <c r="M3984" i="5"/>
  <c r="Q3984" i="5"/>
  <c r="R3984" i="5" s="1"/>
  <c r="S3984" i="5" s="1"/>
  <c r="Q3987" i="5"/>
  <c r="M3987" i="5"/>
  <c r="Q4001" i="5"/>
  <c r="M4001" i="5"/>
  <c r="Q4009" i="5"/>
  <c r="M4009" i="5"/>
  <c r="Q4018" i="5"/>
  <c r="R4018" i="5" s="1"/>
  <c r="S4018" i="5" s="1"/>
  <c r="M4018" i="5"/>
  <c r="Q4023" i="5"/>
  <c r="M4023" i="5"/>
  <c r="Q4038" i="5"/>
  <c r="M4038" i="5"/>
  <c r="Q4051" i="5"/>
  <c r="R4051" i="5" s="1"/>
  <c r="S4051" i="5" s="1"/>
  <c r="M4051" i="5"/>
  <c r="Q4061" i="5"/>
  <c r="R4061" i="5" s="1"/>
  <c r="S4061" i="5" s="1"/>
  <c r="M4061" i="5"/>
  <c r="M4055" i="5"/>
  <c r="N4055" i="5" s="1"/>
  <c r="Q4055" i="5"/>
  <c r="R4055" i="5" s="1"/>
  <c r="S4055" i="5" s="1"/>
  <c r="Q4063" i="5"/>
  <c r="R4063" i="5" s="1"/>
  <c r="S4063" i="5" s="1"/>
  <c r="M4063" i="5"/>
  <c r="M4070" i="5"/>
  <c r="Q4070" i="5"/>
  <c r="M4071" i="5"/>
  <c r="Q4071" i="5"/>
  <c r="R4071" i="5" s="1"/>
  <c r="S4071" i="5" s="1"/>
  <c r="M4090" i="5"/>
  <c r="Q4090" i="5"/>
  <c r="Q4095" i="5"/>
  <c r="M4095" i="5"/>
  <c r="Q4100" i="5"/>
  <c r="M4100" i="5"/>
  <c r="Q4105" i="5"/>
  <c r="M4105" i="5"/>
  <c r="M4111" i="5"/>
  <c r="N4111" i="5" s="1"/>
  <c r="Q4111" i="5"/>
  <c r="R4111" i="5" s="1"/>
  <c r="S4111" i="5" s="1"/>
  <c r="M4117" i="5"/>
  <c r="N4117" i="5" s="1"/>
  <c r="Q4117" i="5"/>
  <c r="R4117" i="5" s="1"/>
  <c r="S4117" i="5" s="1"/>
  <c r="Q4125" i="5"/>
  <c r="R4125" i="5" s="1"/>
  <c r="S4125" i="5" s="1"/>
  <c r="M4125" i="5"/>
  <c r="N4125" i="5" s="1"/>
  <c r="O4125" i="5" s="1"/>
  <c r="Q4132" i="5"/>
  <c r="R4132" i="5" s="1"/>
  <c r="S4132" i="5" s="1"/>
  <c r="M4132" i="5"/>
  <c r="M4138" i="5"/>
  <c r="Q4138" i="5"/>
  <c r="R4138" i="5" s="1"/>
  <c r="S4138" i="5" s="1"/>
  <c r="Q4153" i="5"/>
  <c r="R4153" i="5" s="1"/>
  <c r="S4153" i="5" s="1"/>
  <c r="M4153" i="5"/>
  <c r="M4154" i="5"/>
  <c r="Q4154" i="5"/>
  <c r="M4168" i="5"/>
  <c r="N4168" i="5" s="1"/>
  <c r="Q4168" i="5"/>
  <c r="R4168" i="5" s="1"/>
  <c r="S4168" i="5" s="1"/>
  <c r="Q4180" i="5"/>
  <c r="M4180" i="5"/>
  <c r="Q4181" i="5"/>
  <c r="R4181" i="5" s="1"/>
  <c r="S4181" i="5" s="1"/>
  <c r="M4181" i="5"/>
  <c r="Q4189" i="5"/>
  <c r="R4189" i="5" s="1"/>
  <c r="S4189" i="5" s="1"/>
  <c r="M4189" i="5"/>
  <c r="M4192" i="5"/>
  <c r="Q4192" i="5"/>
  <c r="R4192" i="5" s="1"/>
  <c r="S4192" i="5" s="1"/>
  <c r="Q4199" i="5"/>
  <c r="R4199" i="5" s="1"/>
  <c r="S4199" i="5" s="1"/>
  <c r="M4199" i="5"/>
  <c r="N4199" i="5" s="1"/>
  <c r="Q4205" i="5"/>
  <c r="R4205" i="5" s="1"/>
  <c r="S4205" i="5" s="1"/>
  <c r="M4205" i="5"/>
  <c r="M4214" i="5"/>
  <c r="Q4214" i="5"/>
  <c r="R4214" i="5" s="1"/>
  <c r="S4214" i="5" s="1"/>
  <c r="Q4219" i="5"/>
  <c r="R4219" i="5" s="1"/>
  <c r="S4219" i="5" s="1"/>
  <c r="M4219" i="5"/>
  <c r="M3699" i="5"/>
  <c r="M3746" i="5"/>
  <c r="M3782" i="5"/>
  <c r="M3803" i="5"/>
  <c r="M3865" i="5"/>
  <c r="M3874" i="5"/>
  <c r="Q3914" i="5"/>
  <c r="R3914" i="5" s="1"/>
  <c r="S3914" i="5" s="1"/>
  <c r="Q3924" i="5"/>
  <c r="Q3932" i="5"/>
  <c r="R3932" i="5" s="1"/>
  <c r="S3932" i="5" s="1"/>
  <c r="Q3944" i="5"/>
  <c r="R3944" i="5" s="1"/>
  <c r="S3944" i="5" s="1"/>
  <c r="Q3976" i="5"/>
  <c r="Q4019" i="5"/>
  <c r="Q3897" i="5"/>
  <c r="M3897" i="5"/>
  <c r="M3911" i="5"/>
  <c r="Q3911" i="5"/>
  <c r="R3911" i="5" s="1"/>
  <c r="S3911" i="5" s="1"/>
  <c r="Q3919" i="5"/>
  <c r="M3919" i="5"/>
  <c r="Q3926" i="5"/>
  <c r="R3926" i="5" s="1"/>
  <c r="S3926" i="5" s="1"/>
  <c r="M3926" i="5"/>
  <c r="Q3934" i="5"/>
  <c r="R3934" i="5" s="1"/>
  <c r="S3934" i="5" s="1"/>
  <c r="M3934" i="5"/>
  <c r="Q3938" i="5"/>
  <c r="R3938" i="5" s="1"/>
  <c r="S3938" i="5" s="1"/>
  <c r="M3938" i="5"/>
  <c r="Q3952" i="5"/>
  <c r="R3952" i="5" s="1"/>
  <c r="S3952" i="5" s="1"/>
  <c r="M3952" i="5"/>
  <c r="Q3957" i="5"/>
  <c r="M3957" i="5"/>
  <c r="M3959" i="5"/>
  <c r="Q3959" i="5"/>
  <c r="R3959" i="5" s="1"/>
  <c r="S3959" i="5" s="1"/>
  <c r="M3970" i="5"/>
  <c r="Q3970" i="5"/>
  <c r="R3970" i="5" s="1"/>
  <c r="S3970" i="5" s="1"/>
  <c r="Q3974" i="5"/>
  <c r="R3974" i="5" s="1"/>
  <c r="S3974" i="5" s="1"/>
  <c r="M3974" i="5"/>
  <c r="M3983" i="5"/>
  <c r="Q3983" i="5"/>
  <c r="Q3994" i="5"/>
  <c r="R3994" i="5" s="1"/>
  <c r="S3994" i="5" s="1"/>
  <c r="M3994" i="5"/>
  <c r="Q4000" i="5"/>
  <c r="R4000" i="5" s="1"/>
  <c r="S4000" i="5" s="1"/>
  <c r="M4000" i="5"/>
  <c r="M4008" i="5"/>
  <c r="Q4008" i="5"/>
  <c r="R4008" i="5" s="1"/>
  <c r="S4008" i="5" s="1"/>
  <c r="Q4017" i="5"/>
  <c r="M4017" i="5"/>
  <c r="M4022" i="5"/>
  <c r="N4022" i="5" s="1"/>
  <c r="Q4022" i="5"/>
  <c r="R4022" i="5" s="1"/>
  <c r="S4022" i="5" s="1"/>
  <c r="M4030" i="5"/>
  <c r="Q4030" i="5"/>
  <c r="Q4034" i="5"/>
  <c r="R4034" i="5" s="1"/>
  <c r="S4034" i="5" s="1"/>
  <c r="M4034" i="5"/>
  <c r="Q4043" i="5"/>
  <c r="M4043" i="5"/>
  <c r="M4045" i="5"/>
  <c r="N4045" i="5" s="1"/>
  <c r="Q4045" i="5"/>
  <c r="R4045" i="5" s="1"/>
  <c r="S4045" i="5" s="1"/>
  <c r="Q4049" i="5"/>
  <c r="R4049" i="5" s="1"/>
  <c r="S4049" i="5" s="1"/>
  <c r="M4049" i="5"/>
  <c r="Q4050" i="5"/>
  <c r="R4050" i="5" s="1"/>
  <c r="S4050" i="5" s="1"/>
  <c r="M4050" i="5"/>
  <c r="M4060" i="5"/>
  <c r="Q4060" i="5"/>
  <c r="R4060" i="5" s="1"/>
  <c r="S4060" i="5" s="1"/>
  <c r="M4062" i="5"/>
  <c r="N4062" i="5" s="1"/>
  <c r="Q4062" i="5"/>
  <c r="R4062" i="5" s="1"/>
  <c r="S4062" i="5" s="1"/>
  <c r="Q4069" i="5"/>
  <c r="R4069" i="5" s="1"/>
  <c r="S4069" i="5" s="1"/>
  <c r="M4069" i="5"/>
  <c r="M4075" i="5"/>
  <c r="Q4075" i="5"/>
  <c r="R4075" i="5" s="1"/>
  <c r="S4075" i="5" s="1"/>
  <c r="Q4078" i="5"/>
  <c r="R4078" i="5" s="1"/>
  <c r="S4078" i="5" s="1"/>
  <c r="M4078" i="5"/>
  <c r="Q4081" i="5"/>
  <c r="R4081" i="5" s="1"/>
  <c r="S4081" i="5" s="1"/>
  <c r="M4081" i="5"/>
  <c r="M4089" i="5"/>
  <c r="Q4089" i="5"/>
  <c r="Q4094" i="5"/>
  <c r="R4094" i="5" s="1"/>
  <c r="S4094" i="5" s="1"/>
  <c r="M4094" i="5"/>
  <c r="Q4101" i="5"/>
  <c r="M4101" i="5"/>
  <c r="Q4110" i="5"/>
  <c r="R4110" i="5" s="1"/>
  <c r="S4110" i="5" s="1"/>
  <c r="M4110" i="5"/>
  <c r="N4110" i="5" s="1"/>
  <c r="M4114" i="5"/>
  <c r="Q4114" i="5"/>
  <c r="R4114" i="5" s="1"/>
  <c r="S4114" i="5" s="1"/>
  <c r="Q4122" i="5"/>
  <c r="R4122" i="5" s="1"/>
  <c r="S4122" i="5" s="1"/>
  <c r="M4122" i="5"/>
  <c r="Q4128" i="5"/>
  <c r="R4128" i="5" s="1"/>
  <c r="S4128" i="5" s="1"/>
  <c r="M4128" i="5"/>
  <c r="M4134" i="5"/>
  <c r="Q4134" i="5"/>
  <c r="R4134" i="5" s="1"/>
  <c r="S4134" i="5" s="1"/>
  <c r="Q4144" i="5"/>
  <c r="R4144" i="5" s="1"/>
  <c r="S4144" i="5" s="1"/>
  <c r="M4144" i="5"/>
  <c r="M4152" i="5"/>
  <c r="Q4152" i="5"/>
  <c r="M4162" i="5"/>
  <c r="Q4162" i="5"/>
  <c r="Q4167" i="5"/>
  <c r="M4167" i="5"/>
  <c r="M4173" i="5"/>
  <c r="Q4173" i="5"/>
  <c r="R4173" i="5" s="1"/>
  <c r="S4173" i="5" s="1"/>
  <c r="Q4185" i="5"/>
  <c r="M4185" i="5"/>
  <c r="Q4190" i="5"/>
  <c r="M4190" i="5"/>
  <c r="M4198" i="5"/>
  <c r="Q4198" i="5"/>
  <c r="Q4202" i="5"/>
  <c r="M4202" i="5"/>
  <c r="Q4210" i="5"/>
  <c r="M4210" i="5"/>
  <c r="Q4204" i="5"/>
  <c r="M4204" i="5"/>
  <c r="M4217" i="5"/>
  <c r="Q4217" i="5"/>
  <c r="R4217" i="5" s="1"/>
  <c r="S4217" i="5" s="1"/>
  <c r="Q4218" i="5"/>
  <c r="M4218" i="5"/>
  <c r="M3711" i="5"/>
  <c r="L3785" i="5"/>
  <c r="P3785" i="5" s="1"/>
  <c r="Q3875" i="5"/>
  <c r="R3875" i="5" s="1"/>
  <c r="S3875" i="5" s="1"/>
  <c r="Q3904" i="5"/>
  <c r="Q3909" i="5"/>
  <c r="Q4224" i="5"/>
  <c r="M4224" i="5"/>
  <c r="M3714" i="5"/>
  <c r="M3723" i="5"/>
  <c r="M3735" i="5"/>
  <c r="M3765" i="5"/>
  <c r="M3767" i="5"/>
  <c r="M3791" i="5"/>
  <c r="R3886" i="5"/>
  <c r="S3886" i="5" s="1"/>
  <c r="K3943" i="5"/>
  <c r="L3943" i="5" s="1"/>
  <c r="P3943" i="5" s="1"/>
  <c r="Q3953" i="5"/>
  <c r="M3972" i="5"/>
  <c r="M4041" i="5"/>
  <c r="N4041" i="5" s="1"/>
  <c r="Q4203" i="5"/>
  <c r="R4203" i="5" s="1"/>
  <c r="S4203" i="5" s="1"/>
  <c r="M4203" i="5"/>
  <c r="Q4216" i="5"/>
  <c r="M4216" i="5"/>
  <c r="Q3815" i="5"/>
  <c r="M3815" i="5"/>
  <c r="Q3822" i="5"/>
  <c r="R3822" i="5" s="1"/>
  <c r="S3822" i="5" s="1"/>
  <c r="M3822" i="5"/>
  <c r="N3822" i="5" s="1"/>
  <c r="O3822" i="5" s="1"/>
  <c r="Q3825" i="5"/>
  <c r="R3825" i="5" s="1"/>
  <c r="S3825" i="5" s="1"/>
  <c r="M3825" i="5"/>
  <c r="Q3839" i="5"/>
  <c r="R3839" i="5" s="1"/>
  <c r="S3839" i="5" s="1"/>
  <c r="M3839" i="5"/>
  <c r="N3839" i="5" s="1"/>
  <c r="O3839" i="5" s="1"/>
  <c r="Q3843" i="5"/>
  <c r="R3843" i="5" s="1"/>
  <c r="S3843" i="5" s="1"/>
  <c r="M3843" i="5"/>
  <c r="Q3851" i="5"/>
  <c r="M3851" i="5"/>
  <c r="Q3859" i="5"/>
  <c r="R3859" i="5" s="1"/>
  <c r="S3859" i="5" s="1"/>
  <c r="M3859" i="5"/>
  <c r="N3859" i="5" s="1"/>
  <c r="Q3870" i="5"/>
  <c r="R3870" i="5" s="1"/>
  <c r="S3870" i="5" s="1"/>
  <c r="M3870" i="5"/>
  <c r="Q3881" i="5"/>
  <c r="R3881" i="5" s="1"/>
  <c r="S3881" i="5" s="1"/>
  <c r="M3881" i="5"/>
  <c r="Q3888" i="5"/>
  <c r="R3888" i="5" s="1"/>
  <c r="S3888" i="5" s="1"/>
  <c r="M3888" i="5"/>
  <c r="N3888" i="5" s="1"/>
  <c r="M3916" i="5"/>
  <c r="Q3916" i="5"/>
  <c r="Q3923" i="5"/>
  <c r="R3923" i="5" s="1"/>
  <c r="S3923" i="5" s="1"/>
  <c r="M3923" i="5"/>
  <c r="Q3930" i="5"/>
  <c r="M3930" i="5"/>
  <c r="Q3940" i="5"/>
  <c r="R3940" i="5" s="1"/>
  <c r="S3940" i="5" s="1"/>
  <c r="M3940" i="5"/>
  <c r="M3950" i="5"/>
  <c r="Q3950" i="5"/>
  <c r="R3950" i="5" s="1"/>
  <c r="S3950" i="5" s="1"/>
  <c r="Q3958" i="5"/>
  <c r="R3958" i="5" s="1"/>
  <c r="S3958" i="5" s="1"/>
  <c r="M3958" i="5"/>
  <c r="Q3963" i="5"/>
  <c r="M3963" i="5"/>
  <c r="Q3968" i="5"/>
  <c r="M3968" i="5"/>
  <c r="Q3979" i="5"/>
  <c r="R3979" i="5" s="1"/>
  <c r="S3979" i="5" s="1"/>
  <c r="M3979" i="5"/>
  <c r="Q3981" i="5"/>
  <c r="R3981" i="5" s="1"/>
  <c r="S3981" i="5" s="1"/>
  <c r="M3981" i="5"/>
  <c r="Q3990" i="5"/>
  <c r="R3990" i="5" s="1"/>
  <c r="S3990" i="5" s="1"/>
  <c r="M3990" i="5"/>
  <c r="Q3992" i="5"/>
  <c r="R3992" i="5" s="1"/>
  <c r="S3992" i="5" s="1"/>
  <c r="M3992" i="5"/>
  <c r="Q3996" i="5"/>
  <c r="R3996" i="5" s="1"/>
  <c r="S3996" i="5" s="1"/>
  <c r="M3996" i="5"/>
  <c r="Q4004" i="5"/>
  <c r="R4004" i="5" s="1"/>
  <c r="S4004" i="5" s="1"/>
  <c r="M4004" i="5"/>
  <c r="M3998" i="5"/>
  <c r="Q3998" i="5"/>
  <c r="R3998" i="5" s="1"/>
  <c r="S3998" i="5" s="1"/>
  <c r="Q4012" i="5"/>
  <c r="R4012" i="5" s="1"/>
  <c r="S4012" i="5" s="1"/>
  <c r="M4012" i="5"/>
  <c r="Q4021" i="5"/>
  <c r="R4021" i="5" s="1"/>
  <c r="S4021" i="5" s="1"/>
  <c r="M4021" i="5"/>
  <c r="Q4015" i="5"/>
  <c r="M4015" i="5"/>
  <c r="Q4026" i="5"/>
  <c r="M4026" i="5"/>
  <c r="Q4028" i="5"/>
  <c r="R4028" i="5" s="1"/>
  <c r="S4028" i="5" s="1"/>
  <c r="M4028" i="5"/>
  <c r="Q4047" i="5"/>
  <c r="M4047" i="5"/>
  <c r="Q4054" i="5"/>
  <c r="M4054" i="5"/>
  <c r="Q4058" i="5"/>
  <c r="R4058" i="5" s="1"/>
  <c r="S4058" i="5" s="1"/>
  <c r="M4058" i="5"/>
  <c r="M4067" i="5"/>
  <c r="Q4067" i="5"/>
  <c r="Q4073" i="5"/>
  <c r="R4073" i="5" s="1"/>
  <c r="S4073" i="5" s="1"/>
  <c r="M4073" i="5"/>
  <c r="M4076" i="5"/>
  <c r="N4076" i="5" s="1"/>
  <c r="Q4076" i="5"/>
  <c r="R4076" i="5" s="1"/>
  <c r="S4076" i="5" s="1"/>
  <c r="Q4084" i="5"/>
  <c r="M4084" i="5"/>
  <c r="Q4093" i="5"/>
  <c r="M4093" i="5"/>
  <c r="Q4087" i="5"/>
  <c r="R4087" i="5" s="1"/>
  <c r="S4087" i="5" s="1"/>
  <c r="M4087" i="5"/>
  <c r="Q4099" i="5"/>
  <c r="R4099" i="5" s="1"/>
  <c r="S4099" i="5" s="1"/>
  <c r="M4099" i="5"/>
  <c r="N4099" i="5" s="1"/>
  <c r="Q4102" i="5"/>
  <c r="R4102" i="5" s="1"/>
  <c r="S4102" i="5" s="1"/>
  <c r="M4102" i="5"/>
  <c r="M4108" i="5"/>
  <c r="Q4108" i="5"/>
  <c r="R4108" i="5" s="1"/>
  <c r="S4108" i="5" s="1"/>
  <c r="Q4116" i="5"/>
  <c r="R4116" i="5" s="1"/>
  <c r="S4116" i="5" s="1"/>
  <c r="M4116" i="5"/>
  <c r="N4116" i="5" s="1"/>
  <c r="Q4120" i="5"/>
  <c r="R4120" i="5" s="1"/>
  <c r="S4120" i="5" s="1"/>
  <c r="M4120" i="5"/>
  <c r="Q4124" i="5"/>
  <c r="M4124" i="5"/>
  <c r="M4130" i="5"/>
  <c r="Q4130" i="5"/>
  <c r="Q4136" i="5"/>
  <c r="M4136" i="5"/>
  <c r="M4142" i="5"/>
  <c r="Q4142" i="5"/>
  <c r="Q4145" i="5"/>
  <c r="M4145" i="5"/>
  <c r="Q4150" i="5"/>
  <c r="R4150" i="5" s="1"/>
  <c r="S4150" i="5" s="1"/>
  <c r="M4150" i="5"/>
  <c r="Q4159" i="5"/>
  <c r="R4159" i="5" s="1"/>
  <c r="S4159" i="5" s="1"/>
  <c r="M4159" i="5"/>
  <c r="M4165" i="5"/>
  <c r="Q4165" i="5"/>
  <c r="Q4171" i="5"/>
  <c r="R4171" i="5" s="1"/>
  <c r="S4171" i="5" s="1"/>
  <c r="M4171" i="5"/>
  <c r="Q4175" i="5"/>
  <c r="R4175" i="5" s="1"/>
  <c r="S4175" i="5" s="1"/>
  <c r="M4175" i="5"/>
  <c r="Q4179" i="5"/>
  <c r="R4179" i="5" s="1"/>
  <c r="S4179" i="5" s="1"/>
  <c r="M4179" i="5"/>
  <c r="M4184" i="5"/>
  <c r="N4184" i="5" s="1"/>
  <c r="Q4184" i="5"/>
  <c r="R4184" i="5" s="1"/>
  <c r="S4184" i="5" s="1"/>
  <c r="Q4187" i="5"/>
  <c r="R4187" i="5" s="1"/>
  <c r="S4187" i="5" s="1"/>
  <c r="M4187" i="5"/>
  <c r="Q4196" i="5"/>
  <c r="M4196" i="5"/>
  <c r="Q4208" i="5"/>
  <c r="M4208" i="5"/>
  <c r="Q4213" i="5"/>
  <c r="R4213" i="5" s="1"/>
  <c r="S4213" i="5" s="1"/>
  <c r="M4213" i="5"/>
  <c r="N4213" i="5" s="1"/>
  <c r="Q4215" i="5"/>
  <c r="M4215" i="5"/>
  <c r="M4223" i="5"/>
  <c r="Q4223" i="5"/>
  <c r="R4223" i="5" s="1"/>
  <c r="S4223" i="5" s="1"/>
  <c r="R3725" i="5"/>
  <c r="S3725" i="5" s="1"/>
  <c r="L3779" i="5"/>
  <c r="P3779" i="5" s="1"/>
  <c r="Q3796" i="5"/>
  <c r="M3886" i="5"/>
  <c r="Q3890" i="5"/>
  <c r="R3890" i="5" s="1"/>
  <c r="S3890" i="5" s="1"/>
  <c r="M3918" i="5"/>
  <c r="R3894" i="5"/>
  <c r="S3894" i="5" s="1"/>
  <c r="L3867" i="5"/>
  <c r="P3867" i="5" s="1"/>
  <c r="L3845" i="5"/>
  <c r="P3845" i="5" s="1"/>
  <c r="L3880" i="5"/>
  <c r="L3901" i="5"/>
  <c r="P3901" i="5" s="1"/>
  <c r="L4053" i="5"/>
  <c r="P4053" i="5" s="1"/>
  <c r="L4063" i="5"/>
  <c r="P4063" i="5" s="1"/>
  <c r="K4103" i="5"/>
  <c r="K4104" i="5"/>
  <c r="L4104" i="5" s="1"/>
  <c r="L4150" i="5"/>
  <c r="K4143" i="5"/>
  <c r="L4143" i="5" s="1"/>
  <c r="L3804" i="5"/>
  <c r="P3804" i="5" s="1"/>
  <c r="K3796" i="5"/>
  <c r="L3796" i="5" s="1"/>
  <c r="P3796" i="5" s="1"/>
  <c r="L3790" i="5"/>
  <c r="P3790" i="5" s="1"/>
  <c r="K3791" i="5"/>
  <c r="L3791" i="5" s="1"/>
  <c r="K3784" i="5"/>
  <c r="L3784" i="5" s="1"/>
  <c r="K3770" i="5"/>
  <c r="K4167" i="5"/>
  <c r="L4167" i="5" s="1"/>
  <c r="R3782" i="5"/>
  <c r="S3782" i="5" s="1"/>
  <c r="L3856" i="5"/>
  <c r="P3856" i="5" s="1"/>
  <c r="K3864" i="5"/>
  <c r="L3864" i="5" s="1"/>
  <c r="L4011" i="5"/>
  <c r="K4032" i="5"/>
  <c r="L4032" i="5" s="1"/>
  <c r="K3995" i="5"/>
  <c r="L3995" i="5" s="1"/>
  <c r="K4131" i="5"/>
  <c r="L4131" i="5" s="1"/>
  <c r="P4131" i="5" s="1"/>
  <c r="K4070" i="5"/>
  <c r="L4070" i="5" s="1"/>
  <c r="L3775" i="5"/>
  <c r="P3775" i="5" s="1"/>
  <c r="K3805" i="5"/>
  <c r="K3872" i="5"/>
  <c r="L3872" i="5" s="1"/>
  <c r="K3910" i="5"/>
  <c r="L3910" i="5" s="1"/>
  <c r="K3931" i="5"/>
  <c r="L3931" i="5" s="1"/>
  <c r="K3949" i="5"/>
  <c r="K3714" i="5"/>
  <c r="L3714" i="5" s="1"/>
  <c r="K3722" i="5"/>
  <c r="R3722" i="5" s="1"/>
  <c r="S3722" i="5" s="1"/>
  <c r="K3758" i="5"/>
  <c r="L3758" i="5" s="1"/>
  <c r="L3767" i="5"/>
  <c r="L4122" i="5"/>
  <c r="L4137" i="5"/>
  <c r="P4137" i="5" s="1"/>
  <c r="K4154" i="5"/>
  <c r="L4154" i="5" s="1"/>
  <c r="K4162" i="5"/>
  <c r="L4162" i="5" s="1"/>
  <c r="L4021" i="5"/>
  <c r="P4021" i="5" s="1"/>
  <c r="L4121" i="5"/>
  <c r="P4121" i="5" s="1"/>
  <c r="K3919" i="5"/>
  <c r="K3925" i="5"/>
  <c r="L3925" i="5" s="1"/>
  <c r="K3953" i="5"/>
  <c r="L3953" i="5" s="1"/>
  <c r="K3987" i="5"/>
  <c r="K4005" i="5"/>
  <c r="L4005" i="5" s="1"/>
  <c r="K4015" i="5"/>
  <c r="L4015" i="5" s="1"/>
  <c r="K4016" i="5"/>
  <c r="L4016" i="5" s="1"/>
  <c r="K3853" i="5"/>
  <c r="K3904" i="5"/>
  <c r="L3904" i="5" s="1"/>
  <c r="K3802" i="5"/>
  <c r="R3804" i="5"/>
  <c r="S3804" i="5" s="1"/>
  <c r="K3929" i="5"/>
  <c r="L4033" i="5"/>
  <c r="P4033" i="5" s="1"/>
  <c r="L4060" i="5"/>
  <c r="R3765" i="5"/>
  <c r="S3765" i="5" s="1"/>
  <c r="R3746" i="5"/>
  <c r="S3746" i="5" s="1"/>
  <c r="R3737" i="5"/>
  <c r="S3737" i="5" s="1"/>
  <c r="R3734" i="5"/>
  <c r="S3734" i="5" s="1"/>
  <c r="R3711" i="5"/>
  <c r="S3711" i="5" s="1"/>
  <c r="R3731" i="5"/>
  <c r="S3731" i="5" s="1"/>
  <c r="R3972" i="5"/>
  <c r="S3972" i="5" s="1"/>
  <c r="R3699" i="5"/>
  <c r="S3699" i="5" s="1"/>
  <c r="R3728" i="5"/>
  <c r="S3728" i="5" s="1"/>
  <c r="R3831" i="5"/>
  <c r="S3831" i="5" s="1"/>
  <c r="L3710" i="5"/>
  <c r="L3730" i="5"/>
  <c r="L3742" i="5"/>
  <c r="L3754" i="5"/>
  <c r="P3773" i="5"/>
  <c r="N3773" i="5"/>
  <c r="N3701" i="5"/>
  <c r="P3701" i="5"/>
  <c r="L3704" i="5"/>
  <c r="R3716" i="5"/>
  <c r="S3716" i="5" s="1"/>
  <c r="L3716" i="5"/>
  <c r="L3724" i="5"/>
  <c r="L3736" i="5"/>
  <c r="L3748" i="5"/>
  <c r="L3698" i="5"/>
  <c r="K3787" i="5"/>
  <c r="L3787" i="5" s="1"/>
  <c r="K3801" i="5"/>
  <c r="L3801" i="5" s="1"/>
  <c r="P3811" i="5"/>
  <c r="K3892" i="5"/>
  <c r="L3940" i="5"/>
  <c r="L3958" i="5"/>
  <c r="L3699" i="5"/>
  <c r="K3700" i="5"/>
  <c r="R3700" i="5" s="1"/>
  <c r="S3700" i="5" s="1"/>
  <c r="L3705" i="5"/>
  <c r="K3706" i="5"/>
  <c r="L3711" i="5"/>
  <c r="K3712" i="5"/>
  <c r="L3712" i="5" s="1"/>
  <c r="L3717" i="5"/>
  <c r="K3718" i="5"/>
  <c r="L3725" i="5"/>
  <c r="K3726" i="5"/>
  <c r="L3731" i="5"/>
  <c r="K3732" i="5"/>
  <c r="L3737" i="5"/>
  <c r="K3738" i="5"/>
  <c r="L3743" i="5"/>
  <c r="K3744" i="5"/>
  <c r="R3744" i="5" s="1"/>
  <c r="S3744" i="5" s="1"/>
  <c r="L3749" i="5"/>
  <c r="K3750" i="5"/>
  <c r="R3750" i="5" s="1"/>
  <c r="S3750" i="5" s="1"/>
  <c r="L3755" i="5"/>
  <c r="K3756" i="5"/>
  <c r="L3756" i="5" s="1"/>
  <c r="L3760" i="5"/>
  <c r="K3761" i="5"/>
  <c r="L3761" i="5" s="1"/>
  <c r="K3763" i="5"/>
  <c r="L3771" i="5"/>
  <c r="L3772" i="5"/>
  <c r="K3777" i="5"/>
  <c r="K3793" i="5"/>
  <c r="K3807" i="5"/>
  <c r="P3817" i="5"/>
  <c r="K3824" i="5"/>
  <c r="K3842" i="5"/>
  <c r="K3844" i="5"/>
  <c r="K3876" i="5"/>
  <c r="K3900" i="5"/>
  <c r="K3836" i="5"/>
  <c r="K3696" i="5"/>
  <c r="L3707" i="5"/>
  <c r="L3713" i="5"/>
  <c r="L3719" i="5"/>
  <c r="L3721" i="5"/>
  <c r="L3727" i="5"/>
  <c r="L3733" i="5"/>
  <c r="L3739" i="5"/>
  <c r="L3745" i="5"/>
  <c r="L3751" i="5"/>
  <c r="L3757" i="5"/>
  <c r="L3762" i="5"/>
  <c r="L3764" i="5"/>
  <c r="R3806" i="5"/>
  <c r="S3806" i="5" s="1"/>
  <c r="K3819" i="5"/>
  <c r="L3819" i="5" s="1"/>
  <c r="K3697" i="5"/>
  <c r="R3697" i="5" s="1"/>
  <c r="S3697" i="5" s="1"/>
  <c r="L3702" i="5"/>
  <c r="K3703" i="5"/>
  <c r="L3708" i="5"/>
  <c r="K3709" i="5"/>
  <c r="L3709" i="5" s="1"/>
  <c r="K3715" i="5"/>
  <c r="L3720" i="5"/>
  <c r="K3723" i="5"/>
  <c r="L3723" i="5" s="1"/>
  <c r="L3728" i="5"/>
  <c r="K3729" i="5"/>
  <c r="L3734" i="5"/>
  <c r="K3735" i="5"/>
  <c r="R3735" i="5" s="1"/>
  <c r="S3735" i="5" s="1"/>
  <c r="L3740" i="5"/>
  <c r="K3741" i="5"/>
  <c r="L3741" i="5" s="1"/>
  <c r="L3746" i="5"/>
  <c r="K3747" i="5"/>
  <c r="R3747" i="5" s="1"/>
  <c r="S3747" i="5" s="1"/>
  <c r="L3752" i="5"/>
  <c r="K3753" i="5"/>
  <c r="R3753" i="5" s="1"/>
  <c r="S3753" i="5" s="1"/>
  <c r="K3759" i="5"/>
  <c r="L3759" i="5" s="1"/>
  <c r="L3765" i="5"/>
  <c r="K3766" i="5"/>
  <c r="K3781" i="5"/>
  <c r="K3799" i="5"/>
  <c r="K3813" i="5"/>
  <c r="P3823" i="5"/>
  <c r="K3830" i="5"/>
  <c r="P3840" i="5"/>
  <c r="L3850" i="5"/>
  <c r="K3884" i="5"/>
  <c r="P3828" i="5"/>
  <c r="R3767" i="5"/>
  <c r="S3767" i="5" s="1"/>
  <c r="K3769" i="5"/>
  <c r="R3769" i="5" s="1"/>
  <c r="S3769" i="5" s="1"/>
  <c r="L3774" i="5"/>
  <c r="R3798" i="5"/>
  <c r="S3798" i="5" s="1"/>
  <c r="K3846" i="5"/>
  <c r="L3846" i="5" s="1"/>
  <c r="L3780" i="5"/>
  <c r="L3786" i="5"/>
  <c r="L3792" i="5"/>
  <c r="L3798" i="5"/>
  <c r="L3800" i="5"/>
  <c r="L3806" i="5"/>
  <c r="L3812" i="5"/>
  <c r="L3818" i="5"/>
  <c r="L3829" i="5"/>
  <c r="L3835" i="5"/>
  <c r="L3841" i="5"/>
  <c r="L3843" i="5"/>
  <c r="K3918" i="5"/>
  <c r="R3918" i="5" s="1"/>
  <c r="S3918" i="5" s="1"/>
  <c r="P3890" i="5"/>
  <c r="N3890" i="5"/>
  <c r="P3898" i="5"/>
  <c r="K3912" i="5"/>
  <c r="L3912" i="5" s="1"/>
  <c r="L3913" i="5"/>
  <c r="L3915" i="5"/>
  <c r="L3768" i="5"/>
  <c r="L3776" i="5"/>
  <c r="L3782" i="5"/>
  <c r="K3783" i="5"/>
  <c r="R3783" i="5" s="1"/>
  <c r="S3783" i="5" s="1"/>
  <c r="L3788" i="5"/>
  <c r="K3789" i="5"/>
  <c r="L3794" i="5"/>
  <c r="K3795" i="5"/>
  <c r="K3803" i="5"/>
  <c r="L3803" i="5" s="1"/>
  <c r="L3808" i="5"/>
  <c r="K3809" i="5"/>
  <c r="L3814" i="5"/>
  <c r="K3815" i="5"/>
  <c r="L3820" i="5"/>
  <c r="K3821" i="5"/>
  <c r="L3821" i="5" s="1"/>
  <c r="L3825" i="5"/>
  <c r="K3826" i="5"/>
  <c r="L3831" i="5"/>
  <c r="K3832" i="5"/>
  <c r="L3837" i="5"/>
  <c r="K3838" i="5"/>
  <c r="L3849" i="5"/>
  <c r="K3851" i="5"/>
  <c r="K3858" i="5"/>
  <c r="R3858" i="5" s="1"/>
  <c r="S3858" i="5" s="1"/>
  <c r="K3866" i="5"/>
  <c r="K3874" i="5"/>
  <c r="R3874" i="5" s="1"/>
  <c r="S3874" i="5" s="1"/>
  <c r="K3882" i="5"/>
  <c r="L3882" i="5" s="1"/>
  <c r="K3906" i="5"/>
  <c r="L3907" i="5"/>
  <c r="P3920" i="5"/>
  <c r="K3852" i="5"/>
  <c r="L3855" i="5"/>
  <c r="R3865" i="5"/>
  <c r="S3865" i="5" s="1"/>
  <c r="K3930" i="5"/>
  <c r="P3888" i="5"/>
  <c r="P3896" i="5"/>
  <c r="L3857" i="5"/>
  <c r="L3865" i="5"/>
  <c r="L3873" i="5"/>
  <c r="L3875" i="5"/>
  <c r="L3881" i="5"/>
  <c r="L3883" i="5"/>
  <c r="L3889" i="5"/>
  <c r="L3891" i="5"/>
  <c r="L3899" i="5"/>
  <c r="L3905" i="5"/>
  <c r="L3911" i="5"/>
  <c r="L3934" i="5"/>
  <c r="L3961" i="5"/>
  <c r="L3981" i="5"/>
  <c r="L3921" i="5"/>
  <c r="L3964" i="5"/>
  <c r="L3974" i="5"/>
  <c r="L3984" i="5"/>
  <c r="K3927" i="5"/>
  <c r="L3927" i="5" s="1"/>
  <c r="L3848" i="5"/>
  <c r="L3854" i="5"/>
  <c r="L3860" i="5"/>
  <c r="K3861" i="5"/>
  <c r="L3861" i="5" s="1"/>
  <c r="L3862" i="5"/>
  <c r="K3863" i="5"/>
  <c r="L3863" i="5" s="1"/>
  <c r="L3868" i="5"/>
  <c r="K3869" i="5"/>
  <c r="L3869" i="5" s="1"/>
  <c r="L3870" i="5"/>
  <c r="K3871" i="5"/>
  <c r="L3878" i="5"/>
  <c r="K3879" i="5"/>
  <c r="L3879" i="5" s="1"/>
  <c r="L3886" i="5"/>
  <c r="K3887" i="5"/>
  <c r="L3894" i="5"/>
  <c r="K3895" i="5"/>
  <c r="K3897" i="5"/>
  <c r="L3897" i="5" s="1"/>
  <c r="L3902" i="5"/>
  <c r="K3903" i="5"/>
  <c r="L3908" i="5"/>
  <c r="K3909" i="5"/>
  <c r="L3909" i="5" s="1"/>
  <c r="L3914" i="5"/>
  <c r="L3917" i="5"/>
  <c r="K3924" i="5"/>
  <c r="L3926" i="5"/>
  <c r="L3952" i="5"/>
  <c r="L3966" i="5"/>
  <c r="R3946" i="5"/>
  <c r="S3946" i="5" s="1"/>
  <c r="L3946" i="5"/>
  <c r="L3955" i="5"/>
  <c r="L3969" i="5"/>
  <c r="L3979" i="5"/>
  <c r="L3989" i="5"/>
  <c r="K3993" i="5"/>
  <c r="L3993" i="5" s="1"/>
  <c r="P4003" i="5"/>
  <c r="K4017" i="5"/>
  <c r="L4017" i="5" s="1"/>
  <c r="L4020" i="5"/>
  <c r="P4022" i="5"/>
  <c r="P4065" i="5"/>
  <c r="P4077" i="5"/>
  <c r="L3932" i="5"/>
  <c r="K3933" i="5"/>
  <c r="L3938" i="5"/>
  <c r="K3939" i="5"/>
  <c r="L3944" i="5"/>
  <c r="K3945" i="5"/>
  <c r="L3950" i="5"/>
  <c r="K3951" i="5"/>
  <c r="L3956" i="5"/>
  <c r="K3957" i="5"/>
  <c r="L3962" i="5"/>
  <c r="K3963" i="5"/>
  <c r="K3965" i="5"/>
  <c r="L3965" i="5" s="1"/>
  <c r="L3970" i="5"/>
  <c r="K3971" i="5"/>
  <c r="L3972" i="5"/>
  <c r="K3973" i="5"/>
  <c r="L3980" i="5"/>
  <c r="L3982" i="5"/>
  <c r="K3983" i="5"/>
  <c r="L3983" i="5" s="1"/>
  <c r="L3990" i="5"/>
  <c r="L3994" i="5"/>
  <c r="L4012" i="5"/>
  <c r="R4014" i="5"/>
  <c r="S4014" i="5" s="1"/>
  <c r="K4007" i="5"/>
  <c r="L4010" i="5"/>
  <c r="P4013" i="5"/>
  <c r="L3923" i="5"/>
  <c r="L3935" i="5"/>
  <c r="K3936" i="5"/>
  <c r="L3941" i="5"/>
  <c r="K3942" i="5"/>
  <c r="L3942" i="5" s="1"/>
  <c r="L3947" i="5"/>
  <c r="K3948" i="5"/>
  <c r="K3954" i="5"/>
  <c r="L3959" i="5"/>
  <c r="K3960" i="5"/>
  <c r="L3967" i="5"/>
  <c r="K3968" i="5"/>
  <c r="L3975" i="5"/>
  <c r="K3976" i="5"/>
  <c r="L3977" i="5"/>
  <c r="K3978" i="5"/>
  <c r="L3985" i="5"/>
  <c r="K3986" i="5"/>
  <c r="K3988" i="5"/>
  <c r="L3988" i="5" s="1"/>
  <c r="R3991" i="5"/>
  <c r="S3991" i="5" s="1"/>
  <c r="L3991" i="5"/>
  <c r="L3997" i="5"/>
  <c r="K3999" i="5"/>
  <c r="R4002" i="5"/>
  <c r="S4002" i="5" s="1"/>
  <c r="L4002" i="5"/>
  <c r="L3996" i="5"/>
  <c r="L3998" i="5"/>
  <c r="L4004" i="5"/>
  <c r="L4006" i="5"/>
  <c r="L4014" i="5"/>
  <c r="L4029" i="5"/>
  <c r="P4062" i="5"/>
  <c r="P4076" i="5"/>
  <c r="K4030" i="5"/>
  <c r="L3992" i="5"/>
  <c r="L4000" i="5"/>
  <c r="K4001" i="5"/>
  <c r="L4008" i="5"/>
  <c r="K4009" i="5"/>
  <c r="L4018" i="5"/>
  <c r="K4019" i="5"/>
  <c r="L4019" i="5" s="1"/>
  <c r="K4024" i="5"/>
  <c r="L4024" i="5" s="1"/>
  <c r="K4025" i="5"/>
  <c r="K4026" i="5"/>
  <c r="L4028" i="5"/>
  <c r="P4055" i="5"/>
  <c r="K4023" i="5"/>
  <c r="L4023" i="5" s="1"/>
  <c r="P4111" i="5"/>
  <c r="L4027" i="5"/>
  <c r="L4034" i="5"/>
  <c r="P4041" i="5"/>
  <c r="P4045" i="5"/>
  <c r="P4048" i="5"/>
  <c r="K4031" i="5"/>
  <c r="L4031" i="5" s="1"/>
  <c r="L4037" i="5"/>
  <c r="L4039" i="5"/>
  <c r="L4040" i="5"/>
  <c r="R4041" i="5"/>
  <c r="S4041" i="5" s="1"/>
  <c r="L4042" i="5"/>
  <c r="L4049" i="5"/>
  <c r="L4050" i="5"/>
  <c r="K4057" i="5"/>
  <c r="K4079" i="5"/>
  <c r="L4128" i="5"/>
  <c r="L4155" i="5"/>
  <c r="K4046" i="5"/>
  <c r="L4061" i="5"/>
  <c r="L4064" i="5"/>
  <c r="L4075" i="5"/>
  <c r="L4082" i="5"/>
  <c r="K4083" i="5"/>
  <c r="L4085" i="5"/>
  <c r="L4087" i="5"/>
  <c r="L4088" i="5"/>
  <c r="L4127" i="5"/>
  <c r="L4058" i="5"/>
  <c r="L4080" i="5"/>
  <c r="P4099" i="5"/>
  <c r="K4035" i="5"/>
  <c r="R4035" i="5" s="1"/>
  <c r="S4035" i="5" s="1"/>
  <c r="L4051" i="5"/>
  <c r="K4066" i="5"/>
  <c r="K4067" i="5"/>
  <c r="L4094" i="5"/>
  <c r="K4098" i="5"/>
  <c r="L4098" i="5" s="1"/>
  <c r="P4116" i="5"/>
  <c r="K4036" i="5"/>
  <c r="L4036" i="5" s="1"/>
  <c r="K4038" i="5"/>
  <c r="K4043" i="5"/>
  <c r="L4043" i="5" s="1"/>
  <c r="K4044" i="5"/>
  <c r="L4044" i="5" s="1"/>
  <c r="K4047" i="5"/>
  <c r="L4052" i="5"/>
  <c r="K4054" i="5"/>
  <c r="L4073" i="5"/>
  <c r="P4097" i="5"/>
  <c r="K4107" i="5"/>
  <c r="P4117" i="5"/>
  <c r="L4056" i="5"/>
  <c r="L4068" i="5"/>
  <c r="K4074" i="5"/>
  <c r="L4074" i="5" s="1"/>
  <c r="L4078" i="5"/>
  <c r="K4089" i="5"/>
  <c r="L4091" i="5"/>
  <c r="K4105" i="5"/>
  <c r="K4123" i="5"/>
  <c r="L4123" i="5" s="1"/>
  <c r="P4110" i="5"/>
  <c r="K4113" i="5"/>
  <c r="L4113" i="5" s="1"/>
  <c r="L4059" i="5"/>
  <c r="L4069" i="5"/>
  <c r="L4071" i="5"/>
  <c r="L4081" i="5"/>
  <c r="L4086" i="5"/>
  <c r="L4092" i="5"/>
  <c r="K4093" i="5"/>
  <c r="L4093" i="5" s="1"/>
  <c r="K4100" i="5"/>
  <c r="L4102" i="5"/>
  <c r="L4118" i="5"/>
  <c r="L4120" i="5"/>
  <c r="K4129" i="5"/>
  <c r="L4129" i="5" s="1"/>
  <c r="P4139" i="5"/>
  <c r="L4144" i="5"/>
  <c r="L4156" i="5"/>
  <c r="L4114" i="5"/>
  <c r="K4136" i="5"/>
  <c r="K4084" i="5"/>
  <c r="L4084" i="5" s="1"/>
  <c r="K4090" i="5"/>
  <c r="L4096" i="5"/>
  <c r="K4101" i="5"/>
  <c r="K4112" i="5"/>
  <c r="K4119" i="5"/>
  <c r="L4119" i="5" s="1"/>
  <c r="K4135" i="5"/>
  <c r="P4149" i="5"/>
  <c r="P4163" i="5"/>
  <c r="K4095" i="5"/>
  <c r="L4106" i="5"/>
  <c r="L4108" i="5"/>
  <c r="L4134" i="5"/>
  <c r="K4145" i="5"/>
  <c r="L4159" i="5"/>
  <c r="P4168" i="5"/>
  <c r="K4124" i="5"/>
  <c r="L4141" i="5"/>
  <c r="L4151" i="5"/>
  <c r="K4172" i="5"/>
  <c r="P4140" i="5"/>
  <c r="K4142" i="5"/>
  <c r="L4142" i="5" s="1"/>
  <c r="K4152" i="5"/>
  <c r="K4130" i="5"/>
  <c r="K4146" i="5"/>
  <c r="L4146" i="5" s="1"/>
  <c r="L4147" i="5"/>
  <c r="L4153" i="5"/>
  <c r="K4157" i="5"/>
  <c r="L4157" i="5" s="1"/>
  <c r="L4158" i="5"/>
  <c r="K4170" i="5"/>
  <c r="P4194" i="5"/>
  <c r="L4126" i="5"/>
  <c r="L4132" i="5"/>
  <c r="L4138" i="5"/>
  <c r="L4148" i="5"/>
  <c r="K4165" i="5"/>
  <c r="L4165" i="5" s="1"/>
  <c r="L4171" i="5"/>
  <c r="L4164" i="5"/>
  <c r="K4180" i="5"/>
  <c r="L4205" i="5"/>
  <c r="L4219" i="5"/>
  <c r="L4160" i="5"/>
  <c r="L4169" i="5"/>
  <c r="P4184" i="5"/>
  <c r="P4199" i="5"/>
  <c r="P4213" i="5"/>
  <c r="L4173" i="5"/>
  <c r="L4175" i="5"/>
  <c r="L4177" i="5"/>
  <c r="L4161" i="5"/>
  <c r="L4166" i="5"/>
  <c r="L4176" i="5"/>
  <c r="L4178" i="5"/>
  <c r="K4190" i="5"/>
  <c r="K4207" i="5"/>
  <c r="K4221" i="5"/>
  <c r="L4182" i="5"/>
  <c r="K4185" i="5"/>
  <c r="L4185" i="5" s="1"/>
  <c r="L4189" i="5"/>
  <c r="K4201" i="5"/>
  <c r="L4201" i="5" s="1"/>
  <c r="L4206" i="5"/>
  <c r="K4215" i="5"/>
  <c r="L4215" i="5" s="1"/>
  <c r="L4220" i="5"/>
  <c r="K4174" i="5"/>
  <c r="L4181" i="5"/>
  <c r="K4195" i="5"/>
  <c r="L4195" i="5" s="1"/>
  <c r="L4200" i="5"/>
  <c r="L4214" i="5"/>
  <c r="K4183" i="5"/>
  <c r="L4183" i="5" s="1"/>
  <c r="L4187" i="5"/>
  <c r="K4188" i="5"/>
  <c r="L4188" i="5" s="1"/>
  <c r="L4192" i="5"/>
  <c r="K4193" i="5"/>
  <c r="L4193" i="5" s="1"/>
  <c r="L4197" i="5"/>
  <c r="K4198" i="5"/>
  <c r="L4198" i="5" s="1"/>
  <c r="L4203" i="5"/>
  <c r="K4204" i="5"/>
  <c r="L4209" i="5"/>
  <c r="K4210" i="5"/>
  <c r="L4210" i="5" s="1"/>
  <c r="L4211" i="5"/>
  <c r="K4212" i="5"/>
  <c r="L4217" i="5"/>
  <c r="K4218" i="5"/>
  <c r="L4223" i="5"/>
  <c r="K4224" i="5"/>
  <c r="L4224" i="5" s="1"/>
  <c r="K4186" i="5"/>
  <c r="L4186" i="5" s="1"/>
  <c r="K4191" i="5"/>
  <c r="K4196" i="5"/>
  <c r="L4196" i="5" s="1"/>
  <c r="K4202" i="5"/>
  <c r="L4202" i="5" s="1"/>
  <c r="K4208" i="5"/>
  <c r="L4208" i="5" s="1"/>
  <c r="K4216" i="5"/>
  <c r="K4222" i="5"/>
  <c r="T3695" i="5"/>
  <c r="J3695" i="5"/>
  <c r="T3694" i="5"/>
  <c r="J3694" i="5"/>
  <c r="T3693" i="5"/>
  <c r="J3693" i="5"/>
  <c r="T3692" i="5"/>
  <c r="J3692" i="5"/>
  <c r="T3691" i="5"/>
  <c r="J3691" i="5"/>
  <c r="T3690" i="5"/>
  <c r="J3690" i="5"/>
  <c r="T3689" i="5"/>
  <c r="J3689" i="5"/>
  <c r="K3689" i="5" s="1"/>
  <c r="T3688" i="5"/>
  <c r="J3688" i="5"/>
  <c r="K3688" i="5" s="1"/>
  <c r="T3687" i="5"/>
  <c r="J3687" i="5"/>
  <c r="T3686" i="5"/>
  <c r="J3686" i="5"/>
  <c r="T3685" i="5"/>
  <c r="J3685" i="5"/>
  <c r="T3684" i="5"/>
  <c r="J3684" i="5"/>
  <c r="T3683" i="5"/>
  <c r="J3683" i="5"/>
  <c r="K3683" i="5" s="1"/>
  <c r="T3682" i="5"/>
  <c r="J3682" i="5"/>
  <c r="T3681" i="5"/>
  <c r="J3681" i="5"/>
  <c r="K3681" i="5" s="1"/>
  <c r="T3680" i="5"/>
  <c r="J3680" i="5"/>
  <c r="T3679" i="5"/>
  <c r="J3679" i="5"/>
  <c r="T3678" i="5"/>
  <c r="J3678" i="5"/>
  <c r="K3678" i="5" s="1"/>
  <c r="T3677" i="5"/>
  <c r="J3677" i="5"/>
  <c r="K3677" i="5" s="1"/>
  <c r="T3676" i="5"/>
  <c r="J3676" i="5"/>
  <c r="T3675" i="5"/>
  <c r="J3675" i="5"/>
  <c r="T3674" i="5"/>
  <c r="J3674" i="5"/>
  <c r="T3673" i="5"/>
  <c r="J3673" i="5"/>
  <c r="K3673" i="5" s="1"/>
  <c r="T3672" i="5"/>
  <c r="J3672" i="5"/>
  <c r="T3671" i="5"/>
  <c r="J3671" i="5"/>
  <c r="T3670" i="5"/>
  <c r="J3670" i="5"/>
  <c r="T3669" i="5"/>
  <c r="J3669" i="5"/>
  <c r="T3668" i="5"/>
  <c r="J3668" i="5"/>
  <c r="T3667" i="5"/>
  <c r="J3667" i="5"/>
  <c r="K3667" i="5" s="1"/>
  <c r="T3666" i="5"/>
  <c r="J3666" i="5"/>
  <c r="T3665" i="5"/>
  <c r="J3665" i="5"/>
  <c r="K3665" i="5" s="1"/>
  <c r="L3665" i="5" s="1"/>
  <c r="P3665" i="5" s="1"/>
  <c r="T3664" i="5"/>
  <c r="J3664" i="5"/>
  <c r="T3663" i="5"/>
  <c r="J3663" i="5"/>
  <c r="T3662" i="5"/>
  <c r="J3662" i="5"/>
  <c r="T3661" i="5"/>
  <c r="J3661" i="5"/>
  <c r="K3661" i="5" s="1"/>
  <c r="T3660" i="5"/>
  <c r="J3660" i="5"/>
  <c r="K3660" i="5" s="1"/>
  <c r="L3660" i="5" s="1"/>
  <c r="T3659" i="5"/>
  <c r="J3659" i="5"/>
  <c r="K3659" i="5" s="1"/>
  <c r="T3658" i="5"/>
  <c r="J3658" i="5"/>
  <c r="K3658" i="5" s="1"/>
  <c r="T3657" i="5"/>
  <c r="J3657" i="5"/>
  <c r="T3656" i="5"/>
  <c r="J3656" i="5"/>
  <c r="T3655" i="5"/>
  <c r="J3655" i="5"/>
  <c r="K3655" i="5" s="1"/>
  <c r="T3654" i="5"/>
  <c r="J3654" i="5"/>
  <c r="T3653" i="5"/>
  <c r="J3653" i="5"/>
  <c r="T3652" i="5"/>
  <c r="J3652" i="5"/>
  <c r="T3651" i="5"/>
  <c r="J3651" i="5"/>
  <c r="T3650" i="5"/>
  <c r="J3650" i="5"/>
  <c r="K3650" i="5" s="1"/>
  <c r="T3649" i="5"/>
  <c r="J3649" i="5"/>
  <c r="T3648" i="5"/>
  <c r="J3648" i="5"/>
  <c r="K3648" i="5" s="1"/>
  <c r="L3648" i="5" s="1"/>
  <c r="T3647" i="5"/>
  <c r="J3647" i="5"/>
  <c r="K3647" i="5" s="1"/>
  <c r="L3647" i="5" s="1"/>
  <c r="P3647" i="5" s="1"/>
  <c r="T3646" i="5"/>
  <c r="J3646" i="5"/>
  <c r="K3646" i="5" s="1"/>
  <c r="T3645" i="5"/>
  <c r="J3645" i="5"/>
  <c r="T3644" i="5"/>
  <c r="J3644" i="5"/>
  <c r="K3644" i="5" s="1"/>
  <c r="T3643" i="5"/>
  <c r="J3643" i="5"/>
  <c r="T3642" i="5"/>
  <c r="J3642" i="5"/>
  <c r="T3641" i="5"/>
  <c r="J3641" i="5"/>
  <c r="K3641" i="5" s="1"/>
  <c r="T3640" i="5"/>
  <c r="J3640" i="5"/>
  <c r="K3640" i="5" s="1"/>
  <c r="T3639" i="5"/>
  <c r="J3639" i="5"/>
  <c r="T3638" i="5"/>
  <c r="J3638" i="5"/>
  <c r="K3638" i="5" s="1"/>
  <c r="T3637" i="5"/>
  <c r="J3637" i="5"/>
  <c r="K3637" i="5" s="1"/>
  <c r="L3637" i="5" s="1"/>
  <c r="T3636" i="5"/>
  <c r="J3636" i="5"/>
  <c r="K3636" i="5" s="1"/>
  <c r="T3635" i="5"/>
  <c r="J3635" i="5"/>
  <c r="K3635" i="5" s="1"/>
  <c r="T3634" i="5"/>
  <c r="J3634" i="5"/>
  <c r="T3633" i="5"/>
  <c r="J3633" i="5"/>
  <c r="T3632" i="5"/>
  <c r="J3632" i="5"/>
  <c r="K3632" i="5" s="1"/>
  <c r="L3632" i="5" s="1"/>
  <c r="T3631" i="5"/>
  <c r="J3631" i="5"/>
  <c r="K3631" i="5" s="1"/>
  <c r="T3630" i="5"/>
  <c r="J3630" i="5"/>
  <c r="T3629" i="5"/>
  <c r="J3629" i="5"/>
  <c r="K3629" i="5" s="1"/>
  <c r="T3628" i="5"/>
  <c r="J3628" i="5"/>
  <c r="T3627" i="5"/>
  <c r="J3627" i="5"/>
  <c r="T3626" i="5"/>
  <c r="J3626" i="5"/>
  <c r="K3626" i="5" s="1"/>
  <c r="T3625" i="5"/>
  <c r="J3625" i="5"/>
  <c r="T3624" i="5"/>
  <c r="J3624" i="5"/>
  <c r="T3623" i="5"/>
  <c r="J3623" i="5"/>
  <c r="T3622" i="5"/>
  <c r="J3622" i="5"/>
  <c r="T3621" i="5"/>
  <c r="J3621" i="5"/>
  <c r="T3620" i="5"/>
  <c r="J3620" i="5"/>
  <c r="K3620" i="5" s="1"/>
  <c r="T3619" i="5"/>
  <c r="J3619" i="5"/>
  <c r="T3618" i="5"/>
  <c r="J3618" i="5"/>
  <c r="K3618" i="5" s="1"/>
  <c r="T3617" i="5"/>
  <c r="J3617" i="5"/>
  <c r="T3616" i="5"/>
  <c r="J3616" i="5"/>
  <c r="T3615" i="5"/>
  <c r="J3615" i="5"/>
  <c r="T3614" i="5"/>
  <c r="J3614" i="5"/>
  <c r="K3614" i="5" s="1"/>
  <c r="L3614" i="5" s="1"/>
  <c r="T3613" i="5"/>
  <c r="J3613" i="5"/>
  <c r="K3613" i="5" s="1"/>
  <c r="L3613" i="5" s="1"/>
  <c r="T3612" i="5"/>
  <c r="J3612" i="5"/>
  <c r="K3612" i="5" s="1"/>
  <c r="L3612" i="5" s="1"/>
  <c r="T3611" i="5"/>
  <c r="J3611" i="5"/>
  <c r="T3610" i="5"/>
  <c r="J3610" i="5"/>
  <c r="T3609" i="5"/>
  <c r="J3609" i="5"/>
  <c r="T3608" i="5"/>
  <c r="J3608" i="5"/>
  <c r="T3607" i="5"/>
  <c r="J3607" i="5"/>
  <c r="T3606" i="5"/>
  <c r="J3606" i="5"/>
  <c r="T3605" i="5"/>
  <c r="J3605" i="5"/>
  <c r="K3605" i="5" s="1"/>
  <c r="T3604" i="5"/>
  <c r="J3604" i="5"/>
  <c r="K3604" i="5" s="1"/>
  <c r="T3603" i="5"/>
  <c r="J3603" i="5"/>
  <c r="K3603" i="5" s="1"/>
  <c r="T3602" i="5"/>
  <c r="J3602" i="5"/>
  <c r="T3601" i="5"/>
  <c r="J3601" i="5"/>
  <c r="K3601" i="5" s="1"/>
  <c r="T3600" i="5"/>
  <c r="J3600" i="5"/>
  <c r="K3600" i="5" s="1"/>
  <c r="T3599" i="5"/>
  <c r="J3599" i="5"/>
  <c r="K3599" i="5" s="1"/>
  <c r="T3598" i="5"/>
  <c r="J3598" i="5"/>
  <c r="K3598" i="5" s="1"/>
  <c r="T3597" i="5"/>
  <c r="J3597" i="5"/>
  <c r="K3597" i="5" s="1"/>
  <c r="T3596" i="5"/>
  <c r="J3596" i="5"/>
  <c r="T3595" i="5"/>
  <c r="J3595" i="5"/>
  <c r="K3595" i="5" s="1"/>
  <c r="T3594" i="5"/>
  <c r="J3594" i="5"/>
  <c r="K3594" i="5" s="1"/>
  <c r="T3593" i="5"/>
  <c r="J3593" i="5"/>
  <c r="T3592" i="5"/>
  <c r="J3592" i="5"/>
  <c r="K3592" i="5" s="1"/>
  <c r="T3591" i="5"/>
  <c r="J3591" i="5"/>
  <c r="T3590" i="5"/>
  <c r="J3590" i="5"/>
  <c r="K3590" i="5" s="1"/>
  <c r="T3589" i="5"/>
  <c r="J3589" i="5"/>
  <c r="K3589" i="5" s="1"/>
  <c r="L3589" i="5" s="1"/>
  <c r="T3588" i="5"/>
  <c r="J3588" i="5"/>
  <c r="T3587" i="5"/>
  <c r="J3587" i="5"/>
  <c r="K3587" i="5" s="1"/>
  <c r="T3586" i="5"/>
  <c r="J3586" i="5"/>
  <c r="K3586" i="5" s="1"/>
  <c r="T3585" i="5"/>
  <c r="J3585" i="5"/>
  <c r="T3584" i="5"/>
  <c r="J3584" i="5"/>
  <c r="T3583" i="5"/>
  <c r="J3583" i="5"/>
  <c r="K3583" i="5" s="1"/>
  <c r="L3583" i="5" s="1"/>
  <c r="T3582" i="5"/>
  <c r="J3582" i="5"/>
  <c r="K3582" i="5" s="1"/>
  <c r="T3581" i="5"/>
  <c r="J3581" i="5"/>
  <c r="K3581" i="5" s="1"/>
  <c r="T3580" i="5"/>
  <c r="J3580" i="5"/>
  <c r="T3579" i="5"/>
  <c r="J3579" i="5"/>
  <c r="T3578" i="5"/>
  <c r="J3578" i="5"/>
  <c r="T3577" i="5"/>
  <c r="J3577" i="5"/>
  <c r="K3577" i="5" s="1"/>
  <c r="L3577" i="5" s="1"/>
  <c r="T3576" i="5"/>
  <c r="J3576" i="5"/>
  <c r="T3575" i="5"/>
  <c r="J3575" i="5"/>
  <c r="K3575" i="5" s="1"/>
  <c r="T3574" i="5"/>
  <c r="J3574" i="5"/>
  <c r="K3574" i="5" s="1"/>
  <c r="L3574" i="5" s="1"/>
  <c r="T3573" i="5"/>
  <c r="J3573" i="5"/>
  <c r="K3573" i="5" s="1"/>
  <c r="T3572" i="5"/>
  <c r="J3572" i="5"/>
  <c r="K3572" i="5" s="1"/>
  <c r="T3571" i="5"/>
  <c r="J3571" i="5"/>
  <c r="K3571" i="5" s="1"/>
  <c r="L3571" i="5" s="1"/>
  <c r="T3570" i="5"/>
  <c r="J3570" i="5"/>
  <c r="K3570" i="5" s="1"/>
  <c r="T3569" i="5"/>
  <c r="J3569" i="5"/>
  <c r="T3568" i="5"/>
  <c r="J3568" i="5"/>
  <c r="K3568" i="5" s="1"/>
  <c r="T3567" i="5"/>
  <c r="J3567" i="5"/>
  <c r="K3567" i="5" s="1"/>
  <c r="T3566" i="5"/>
  <c r="J3566" i="5"/>
  <c r="T3565" i="5"/>
  <c r="J3565" i="5"/>
  <c r="K3565" i="5" s="1"/>
  <c r="T3564" i="5"/>
  <c r="J3564" i="5"/>
  <c r="T3563" i="5"/>
  <c r="J3563" i="5"/>
  <c r="K3563" i="5" s="1"/>
  <c r="T3562" i="5"/>
  <c r="J3562" i="5"/>
  <c r="T3561" i="5"/>
  <c r="J3561" i="5"/>
  <c r="K3561" i="5" s="1"/>
  <c r="T3560" i="5"/>
  <c r="J3560" i="5"/>
  <c r="T3559" i="5"/>
  <c r="J3559" i="5"/>
  <c r="T3558" i="5"/>
  <c r="J3558" i="5"/>
  <c r="T3557" i="5"/>
  <c r="J3557" i="5"/>
  <c r="K3557" i="5" s="1"/>
  <c r="T3556" i="5"/>
  <c r="J3556" i="5"/>
  <c r="K3556" i="5" s="1"/>
  <c r="T3555" i="5"/>
  <c r="J3555" i="5"/>
  <c r="K3555" i="5" s="1"/>
  <c r="T3554" i="5"/>
  <c r="J3554" i="5"/>
  <c r="T3553" i="5"/>
  <c r="J3553" i="5"/>
  <c r="T3552" i="5"/>
  <c r="J3552" i="5"/>
  <c r="T3551" i="5"/>
  <c r="J3551" i="5"/>
  <c r="K3551" i="5" s="1"/>
  <c r="T3550" i="5"/>
  <c r="J3550" i="5"/>
  <c r="K3550" i="5" s="1"/>
  <c r="T3549" i="5"/>
  <c r="J3549" i="5"/>
  <c r="K3549" i="5" s="1"/>
  <c r="T3548" i="5"/>
  <c r="J3548" i="5"/>
  <c r="T3547" i="5"/>
  <c r="J3547" i="5"/>
  <c r="T3546" i="5"/>
  <c r="J3546" i="5"/>
  <c r="T3545" i="5"/>
  <c r="J3545" i="5"/>
  <c r="K3545" i="5" s="1"/>
  <c r="T3544" i="5"/>
  <c r="J3544" i="5"/>
  <c r="T3543" i="5"/>
  <c r="J3543" i="5"/>
  <c r="T3542" i="5"/>
  <c r="J3542" i="5"/>
  <c r="K3542" i="5" s="1"/>
  <c r="T3541" i="5"/>
  <c r="J3541" i="5"/>
  <c r="K3541" i="5" s="1"/>
  <c r="T3540" i="5"/>
  <c r="J3540" i="5"/>
  <c r="T3539" i="5"/>
  <c r="J3539" i="5"/>
  <c r="K3539" i="5" s="1"/>
  <c r="T3538" i="5"/>
  <c r="J3538" i="5"/>
  <c r="T3537" i="5"/>
  <c r="J3537" i="5"/>
  <c r="T3536" i="5"/>
  <c r="J3536" i="5"/>
  <c r="T3535" i="5"/>
  <c r="J3535" i="5"/>
  <c r="T3534" i="5"/>
  <c r="J3534" i="5"/>
  <c r="T3533" i="5"/>
  <c r="J3533" i="5"/>
  <c r="K3533" i="5" s="1"/>
  <c r="T3532" i="5"/>
  <c r="J3532" i="5"/>
  <c r="T3531" i="5"/>
  <c r="J3531" i="5"/>
  <c r="T3530" i="5"/>
  <c r="J3530" i="5"/>
  <c r="K3530" i="5" s="1"/>
  <c r="T3529" i="5"/>
  <c r="J3529" i="5"/>
  <c r="T3528" i="5"/>
  <c r="J3528" i="5"/>
  <c r="K3528" i="5" s="1"/>
  <c r="T3527" i="5"/>
  <c r="J3527" i="5"/>
  <c r="K3527" i="5" s="1"/>
  <c r="T3526" i="5"/>
  <c r="J3526" i="5"/>
  <c r="T3525" i="5"/>
  <c r="J3525" i="5"/>
  <c r="K3525" i="5" s="1"/>
  <c r="T3524" i="5"/>
  <c r="J3524" i="5"/>
  <c r="K3524" i="5" s="1"/>
  <c r="T3523" i="5"/>
  <c r="J3523" i="5"/>
  <c r="K3523" i="5" s="1"/>
  <c r="T3522" i="5"/>
  <c r="J3522" i="5"/>
  <c r="K3522" i="5" s="1"/>
  <c r="L3522" i="5" s="1"/>
  <c r="P3522" i="5" s="1"/>
  <c r="T3521" i="5"/>
  <c r="J3521" i="5"/>
  <c r="T3520" i="5"/>
  <c r="J3520" i="5"/>
  <c r="K3520" i="5" s="1"/>
  <c r="T3519" i="5"/>
  <c r="J3519" i="5"/>
  <c r="K3519" i="5" s="1"/>
  <c r="T3518" i="5"/>
  <c r="J3518" i="5"/>
  <c r="T3517" i="5"/>
  <c r="J3517" i="5"/>
  <c r="K3517" i="5" s="1"/>
  <c r="T3516" i="5"/>
  <c r="J3516" i="5"/>
  <c r="K3516" i="5" s="1"/>
  <c r="T3515" i="5"/>
  <c r="J3515" i="5"/>
  <c r="T3514" i="5"/>
  <c r="J3514" i="5"/>
  <c r="T3513" i="5"/>
  <c r="J3513" i="5"/>
  <c r="K3513" i="5" s="1"/>
  <c r="T3512" i="5"/>
  <c r="J3512" i="5"/>
  <c r="T3511" i="5"/>
  <c r="J3511" i="5"/>
  <c r="K3511" i="5" s="1"/>
  <c r="T3510" i="5"/>
  <c r="J3510" i="5"/>
  <c r="T3509" i="5"/>
  <c r="J3509" i="5"/>
  <c r="T3508" i="5"/>
  <c r="J3508" i="5"/>
  <c r="T3507" i="5"/>
  <c r="J3507" i="5"/>
  <c r="K3507" i="5" s="1"/>
  <c r="T3506" i="5"/>
  <c r="J3506" i="5"/>
  <c r="T3505" i="5"/>
  <c r="J3505" i="5"/>
  <c r="K3505" i="5" s="1"/>
  <c r="T3504" i="5"/>
  <c r="J3504" i="5"/>
  <c r="K3504" i="5" s="1"/>
  <c r="T3503" i="5"/>
  <c r="J3503" i="5"/>
  <c r="K3503" i="5" s="1"/>
  <c r="T3502" i="5"/>
  <c r="J3502" i="5"/>
  <c r="T3501" i="5"/>
  <c r="J3501" i="5"/>
  <c r="K3501" i="5" s="1"/>
  <c r="T3500" i="5"/>
  <c r="J3500" i="5"/>
  <c r="T3499" i="5"/>
  <c r="J3499" i="5"/>
  <c r="K3499" i="5" s="1"/>
  <c r="T3498" i="5"/>
  <c r="J3498" i="5"/>
  <c r="K3498" i="5" s="1"/>
  <c r="T3497" i="5"/>
  <c r="J3497" i="5"/>
  <c r="K3497" i="5" s="1"/>
  <c r="T3496" i="5"/>
  <c r="J3496" i="5"/>
  <c r="T3495" i="5"/>
  <c r="J3495" i="5"/>
  <c r="K3495" i="5" s="1"/>
  <c r="T3494" i="5"/>
  <c r="J3494" i="5"/>
  <c r="T3493" i="5"/>
  <c r="J3493" i="5"/>
  <c r="K3493" i="5" s="1"/>
  <c r="T3492" i="5"/>
  <c r="J3492" i="5"/>
  <c r="K3492" i="5" s="1"/>
  <c r="T3491" i="5"/>
  <c r="J3491" i="5"/>
  <c r="K3491" i="5" s="1"/>
  <c r="T3490" i="5"/>
  <c r="J3490" i="5"/>
  <c r="T3489" i="5"/>
  <c r="J3489" i="5"/>
  <c r="T3488" i="5"/>
  <c r="J3488" i="5"/>
  <c r="T3487" i="5"/>
  <c r="J3487" i="5"/>
  <c r="K3487" i="5" s="1"/>
  <c r="T3486" i="5"/>
  <c r="J3486" i="5"/>
  <c r="K3486" i="5" s="1"/>
  <c r="T3485" i="5"/>
  <c r="J3485" i="5"/>
  <c r="K3485" i="5" s="1"/>
  <c r="T3484" i="5"/>
  <c r="J3484" i="5"/>
  <c r="T3483" i="5"/>
  <c r="J3483" i="5"/>
  <c r="T3482" i="5"/>
  <c r="J3482" i="5"/>
  <c r="K3482" i="5" s="1"/>
  <c r="T3481" i="5"/>
  <c r="J3481" i="5"/>
  <c r="K3481" i="5" s="1"/>
  <c r="T3480" i="5"/>
  <c r="J3480" i="5"/>
  <c r="T3479" i="5"/>
  <c r="J3479" i="5"/>
  <c r="K3479" i="5" s="1"/>
  <c r="T3478" i="5"/>
  <c r="J3478" i="5"/>
  <c r="T3477" i="5"/>
  <c r="J3477" i="5"/>
  <c r="T3476" i="5"/>
  <c r="J3476" i="5"/>
  <c r="T3475" i="5"/>
  <c r="J3475" i="5"/>
  <c r="K3475" i="5" s="1"/>
  <c r="T3474" i="5"/>
  <c r="J3474" i="5"/>
  <c r="K3474" i="5" s="1"/>
  <c r="L3474" i="5" s="1"/>
  <c r="T3473" i="5"/>
  <c r="J3473" i="5"/>
  <c r="T3472" i="5"/>
  <c r="J3472" i="5"/>
  <c r="K3472" i="5" s="1"/>
  <c r="L3472" i="5" s="1"/>
  <c r="P3472" i="5" s="1"/>
  <c r="T3471" i="5"/>
  <c r="J3471" i="5"/>
  <c r="T3470" i="5"/>
  <c r="J3470" i="5"/>
  <c r="T3469" i="5"/>
  <c r="J3469" i="5"/>
  <c r="K3469" i="5" s="1"/>
  <c r="T3468" i="5"/>
  <c r="J3468" i="5"/>
  <c r="T3467" i="5"/>
  <c r="J3467" i="5"/>
  <c r="K3467" i="5" s="1"/>
  <c r="T3466" i="5"/>
  <c r="J3466" i="5"/>
  <c r="T3465" i="5"/>
  <c r="J3465" i="5"/>
  <c r="T3464" i="5"/>
  <c r="J3464" i="5"/>
  <c r="T3463" i="5"/>
  <c r="J3463" i="5"/>
  <c r="T3462" i="5"/>
  <c r="J3462" i="5"/>
  <c r="K3462" i="5" s="1"/>
  <c r="T3461" i="5"/>
  <c r="J3461" i="5"/>
  <c r="K3461" i="5" s="1"/>
  <c r="T3460" i="5"/>
  <c r="J3460" i="5"/>
  <c r="T3459" i="5"/>
  <c r="J3459" i="5"/>
  <c r="T3458" i="5"/>
  <c r="J3458" i="5"/>
  <c r="T3457" i="5"/>
  <c r="J3457" i="5"/>
  <c r="K3457" i="5" s="1"/>
  <c r="T3456" i="5"/>
  <c r="J3456" i="5"/>
  <c r="K3456" i="5" s="1"/>
  <c r="L3456" i="5" s="1"/>
  <c r="T3455" i="5"/>
  <c r="J3455" i="5"/>
  <c r="K3455" i="5" s="1"/>
  <c r="T3454" i="5"/>
  <c r="J3454" i="5"/>
  <c r="T3453" i="5"/>
  <c r="J3453" i="5"/>
  <c r="K3453" i="5" s="1"/>
  <c r="T3452" i="5"/>
  <c r="J3452" i="5"/>
  <c r="T3451" i="5"/>
  <c r="J3451" i="5"/>
  <c r="K3451" i="5" s="1"/>
  <c r="T3450" i="5"/>
  <c r="J3450" i="5"/>
  <c r="K3450" i="5" s="1"/>
  <c r="T3449" i="5"/>
  <c r="J3449" i="5"/>
  <c r="K3449" i="5" s="1"/>
  <c r="T3448" i="5"/>
  <c r="J3448" i="5"/>
  <c r="K3448" i="5" s="1"/>
  <c r="T3447" i="5"/>
  <c r="J3447" i="5"/>
  <c r="T3446" i="5"/>
  <c r="J3446" i="5"/>
  <c r="T3445" i="5"/>
  <c r="J3445" i="5"/>
  <c r="T3444" i="5"/>
  <c r="J3444" i="5"/>
  <c r="K3444" i="5" s="1"/>
  <c r="T3443" i="5"/>
  <c r="J3443" i="5"/>
  <c r="K3443" i="5" s="1"/>
  <c r="L3443" i="5" s="1"/>
  <c r="T3442" i="5"/>
  <c r="J3442" i="5"/>
  <c r="K3442" i="5" s="1"/>
  <c r="T3441" i="5"/>
  <c r="J3441" i="5"/>
  <c r="K3441" i="5" s="1"/>
  <c r="T3440" i="5"/>
  <c r="J3440" i="5"/>
  <c r="T3439" i="5"/>
  <c r="J3439" i="5"/>
  <c r="K3439" i="5" s="1"/>
  <c r="T3438" i="5"/>
  <c r="J3438" i="5"/>
  <c r="T3437" i="5"/>
  <c r="J3437" i="5"/>
  <c r="K3437" i="5" s="1"/>
  <c r="T3436" i="5"/>
  <c r="J3436" i="5"/>
  <c r="K3436" i="5" s="1"/>
  <c r="T3435" i="5"/>
  <c r="J3435" i="5"/>
  <c r="K3435" i="5" s="1"/>
  <c r="L3435" i="5" s="1"/>
  <c r="P3435" i="5" s="1"/>
  <c r="T3434" i="5"/>
  <c r="J3434" i="5"/>
  <c r="T3433" i="5"/>
  <c r="J3433" i="5"/>
  <c r="T3432" i="5"/>
  <c r="J3432" i="5"/>
  <c r="K3432" i="5" s="1"/>
  <c r="T3431" i="5"/>
  <c r="J3431" i="5"/>
  <c r="K3431" i="5" s="1"/>
  <c r="T3430" i="5"/>
  <c r="J3430" i="5"/>
  <c r="K3430" i="5" s="1"/>
  <c r="T3429" i="5"/>
  <c r="J3429" i="5"/>
  <c r="T3428" i="5"/>
  <c r="J3428" i="5"/>
  <c r="T3427" i="5"/>
  <c r="J3427" i="5"/>
  <c r="K3427" i="5" s="1"/>
  <c r="T3426" i="5"/>
  <c r="J3426" i="5"/>
  <c r="K3426" i="5" s="1"/>
  <c r="T3425" i="5"/>
  <c r="J3425" i="5"/>
  <c r="K3425" i="5" s="1"/>
  <c r="T3424" i="5"/>
  <c r="J3424" i="5"/>
  <c r="T3423" i="5"/>
  <c r="J3423" i="5"/>
  <c r="T3422" i="5"/>
  <c r="J3422" i="5"/>
  <c r="K3422" i="5" s="1"/>
  <c r="T3421" i="5"/>
  <c r="J3421" i="5"/>
  <c r="T3420" i="5"/>
  <c r="J3420" i="5"/>
  <c r="K3420" i="5" s="1"/>
  <c r="T3419" i="5"/>
  <c r="J3419" i="5"/>
  <c r="T3418" i="5"/>
  <c r="J3418" i="5"/>
  <c r="K3418" i="5" s="1"/>
  <c r="T3417" i="5"/>
  <c r="J3417" i="5"/>
  <c r="T3416" i="5"/>
  <c r="J3416" i="5"/>
  <c r="K3416" i="5" s="1"/>
  <c r="T3415" i="5"/>
  <c r="J3415" i="5"/>
  <c r="T3414" i="5"/>
  <c r="J3414" i="5"/>
  <c r="K3414" i="5" s="1"/>
  <c r="L3414" i="5" s="1"/>
  <c r="T3413" i="5"/>
  <c r="J3413" i="5"/>
  <c r="T3412" i="5"/>
  <c r="J3412" i="5"/>
  <c r="K3412" i="5" s="1"/>
  <c r="T3411" i="5"/>
  <c r="J3411" i="5"/>
  <c r="T3410" i="5"/>
  <c r="J3410" i="5"/>
  <c r="K3410" i="5" s="1"/>
  <c r="T3409" i="5"/>
  <c r="J3409" i="5"/>
  <c r="K3409" i="5" s="1"/>
  <c r="L3409" i="5" s="1"/>
  <c r="T3408" i="5"/>
  <c r="J3408" i="5"/>
  <c r="T3407" i="5"/>
  <c r="J3407" i="5"/>
  <c r="T3406" i="5"/>
  <c r="J3406" i="5"/>
  <c r="T3405" i="5"/>
  <c r="J3405" i="5"/>
  <c r="T3404" i="5"/>
  <c r="J3404" i="5"/>
  <c r="K3404" i="5" s="1"/>
  <c r="T3403" i="5"/>
  <c r="J3403" i="5"/>
  <c r="T3402" i="5"/>
  <c r="J3402" i="5"/>
  <c r="K3402" i="5" s="1"/>
  <c r="L3402" i="5" s="1"/>
  <c r="T3401" i="5"/>
  <c r="J3401" i="5"/>
  <c r="T3400" i="5"/>
  <c r="J3400" i="5"/>
  <c r="K3400" i="5" s="1"/>
  <c r="T3399" i="5"/>
  <c r="J3399" i="5"/>
  <c r="T3398" i="5"/>
  <c r="J3398" i="5"/>
  <c r="T3397" i="5"/>
  <c r="J3397" i="5"/>
  <c r="K3397" i="5" s="1"/>
  <c r="T3396" i="5"/>
  <c r="J3396" i="5"/>
  <c r="K3396" i="5" s="1"/>
  <c r="T3395" i="5"/>
  <c r="J3395" i="5"/>
  <c r="T3394" i="5"/>
  <c r="J3394" i="5"/>
  <c r="K3394" i="5" s="1"/>
  <c r="T3393" i="5"/>
  <c r="J3393" i="5"/>
  <c r="T3392" i="5"/>
  <c r="J3392" i="5"/>
  <c r="K3392" i="5" s="1"/>
  <c r="T3391" i="5"/>
  <c r="J3391" i="5"/>
  <c r="K3391" i="5" s="1"/>
  <c r="T3390" i="5"/>
  <c r="J3390" i="5"/>
  <c r="T3389" i="5"/>
  <c r="J3389" i="5"/>
  <c r="T3388" i="5"/>
  <c r="J3388" i="5"/>
  <c r="T3387" i="5"/>
  <c r="J3387" i="5"/>
  <c r="T3386" i="5"/>
  <c r="J3386" i="5"/>
  <c r="T3385" i="5"/>
  <c r="J3385" i="5"/>
  <c r="K3385" i="5" s="1"/>
  <c r="L3385" i="5" s="1"/>
  <c r="T3384" i="5"/>
  <c r="J3384" i="5"/>
  <c r="K3384" i="5" s="1"/>
  <c r="L3384" i="5" s="1"/>
  <c r="T3383" i="5"/>
  <c r="J3383" i="5"/>
  <c r="T3382" i="5"/>
  <c r="J3382" i="5"/>
  <c r="K3382" i="5" s="1"/>
  <c r="T3381" i="5"/>
  <c r="J3381" i="5"/>
  <c r="T3380" i="5"/>
  <c r="J3380" i="5"/>
  <c r="T3379" i="5"/>
  <c r="J3379" i="5"/>
  <c r="T3378" i="5"/>
  <c r="J3378" i="5"/>
  <c r="K3378" i="5" s="1"/>
  <c r="T3377" i="5"/>
  <c r="J3377" i="5"/>
  <c r="K3377" i="5" s="1"/>
  <c r="T3376" i="5"/>
  <c r="J3376" i="5"/>
  <c r="K3376" i="5" s="1"/>
  <c r="L3376" i="5" s="1"/>
  <c r="T3375" i="5"/>
  <c r="J3375" i="5"/>
  <c r="K3375" i="5" s="1"/>
  <c r="T3374" i="5"/>
  <c r="J3374" i="5"/>
  <c r="K3374" i="5" s="1"/>
  <c r="T3373" i="5"/>
  <c r="J3373" i="5"/>
  <c r="K3373" i="5" s="1"/>
  <c r="L3373" i="5" s="1"/>
  <c r="T3372" i="5"/>
  <c r="J3372" i="5"/>
  <c r="T3371" i="5"/>
  <c r="J3371" i="5"/>
  <c r="T3370" i="5"/>
  <c r="J3370" i="5"/>
  <c r="T3369" i="5"/>
  <c r="J3369" i="5"/>
  <c r="K3369" i="5" s="1"/>
  <c r="T3368" i="5"/>
  <c r="J3368" i="5"/>
  <c r="K3368" i="5" s="1"/>
  <c r="T3367" i="5"/>
  <c r="J3367" i="5"/>
  <c r="K3367" i="5" s="1"/>
  <c r="T3366" i="5"/>
  <c r="J3366" i="5"/>
  <c r="K3366" i="5" s="1"/>
  <c r="T3365" i="5"/>
  <c r="J3365" i="5"/>
  <c r="K3365" i="5" s="1"/>
  <c r="T3364" i="5"/>
  <c r="J3364" i="5"/>
  <c r="T3363" i="5"/>
  <c r="J3363" i="5"/>
  <c r="T3362" i="5"/>
  <c r="J3362" i="5"/>
  <c r="K3362" i="5" s="1"/>
  <c r="L3362" i="5" s="1"/>
  <c r="T3361" i="5"/>
  <c r="J3361" i="5"/>
  <c r="K3361" i="5" s="1"/>
  <c r="T3360" i="5"/>
  <c r="J3360" i="5"/>
  <c r="K3360" i="5" s="1"/>
  <c r="T3359" i="5"/>
  <c r="J3359" i="5"/>
  <c r="K3359" i="5" s="1"/>
  <c r="T3358" i="5"/>
  <c r="J3358" i="5"/>
  <c r="T3357" i="5"/>
  <c r="J3357" i="5"/>
  <c r="K3357" i="5" s="1"/>
  <c r="T3356" i="5"/>
  <c r="J3356" i="5"/>
  <c r="K3356" i="5" s="1"/>
  <c r="T3355" i="5"/>
  <c r="J3355" i="5"/>
  <c r="K3355" i="5" s="1"/>
  <c r="L3355" i="5" s="1"/>
  <c r="T3354" i="5"/>
  <c r="J3354" i="5"/>
  <c r="T3353" i="5"/>
  <c r="J3353" i="5"/>
  <c r="K3353" i="5" s="1"/>
  <c r="T3352" i="5"/>
  <c r="J3352" i="5"/>
  <c r="T3351" i="5"/>
  <c r="J3351" i="5"/>
  <c r="K3351" i="5" s="1"/>
  <c r="T3350" i="5"/>
  <c r="J3350" i="5"/>
  <c r="K3350" i="5" s="1"/>
  <c r="T3349" i="5"/>
  <c r="J3349" i="5"/>
  <c r="T3348" i="5"/>
  <c r="J3348" i="5"/>
  <c r="K3348" i="5" s="1"/>
  <c r="T3347" i="5"/>
  <c r="J3347" i="5"/>
  <c r="K3347" i="5" s="1"/>
  <c r="T3346" i="5"/>
  <c r="J3346" i="5"/>
  <c r="T3345" i="5"/>
  <c r="J3345" i="5"/>
  <c r="T3344" i="5"/>
  <c r="J3344" i="5"/>
  <c r="K3344" i="5" s="1"/>
  <c r="L3344" i="5" s="1"/>
  <c r="T3343" i="5"/>
  <c r="J3343" i="5"/>
  <c r="T3342" i="5"/>
  <c r="J3342" i="5"/>
  <c r="T3341" i="5"/>
  <c r="J3341" i="5"/>
  <c r="T3340" i="5"/>
  <c r="J3340" i="5"/>
  <c r="T3339" i="5"/>
  <c r="J3339" i="5"/>
  <c r="K3339" i="5" s="1"/>
  <c r="T3338" i="5"/>
  <c r="J3338" i="5"/>
  <c r="K3338" i="5" s="1"/>
  <c r="T3337" i="5"/>
  <c r="J3337" i="5"/>
  <c r="T3336" i="5"/>
  <c r="J3336" i="5"/>
  <c r="K3336" i="5" s="1"/>
  <c r="L3336" i="5" s="1"/>
  <c r="T3335" i="5"/>
  <c r="J3335" i="5"/>
  <c r="K3335" i="5" s="1"/>
  <c r="T3334" i="5"/>
  <c r="J3334" i="5"/>
  <c r="T3333" i="5"/>
  <c r="J3333" i="5"/>
  <c r="T3332" i="5"/>
  <c r="J3332" i="5"/>
  <c r="T3331" i="5"/>
  <c r="J3331" i="5"/>
  <c r="K3331" i="5" s="1"/>
  <c r="T3330" i="5"/>
  <c r="J3330" i="5"/>
  <c r="K3330" i="5" s="1"/>
  <c r="T3329" i="5"/>
  <c r="J3329" i="5"/>
  <c r="K3329" i="5" s="1"/>
  <c r="T3328" i="5"/>
  <c r="J3328" i="5"/>
  <c r="T3327" i="5"/>
  <c r="J3327" i="5"/>
  <c r="T3326" i="5"/>
  <c r="J3326" i="5"/>
  <c r="K3326" i="5" s="1"/>
  <c r="T3325" i="5"/>
  <c r="J3325" i="5"/>
  <c r="T3324" i="5"/>
  <c r="J3324" i="5"/>
  <c r="T3323" i="5"/>
  <c r="J3323" i="5"/>
  <c r="T3322" i="5"/>
  <c r="J3322" i="5"/>
  <c r="T3321" i="5"/>
  <c r="J3321" i="5"/>
  <c r="K3321" i="5" s="1"/>
  <c r="T3320" i="5"/>
  <c r="J3320" i="5"/>
  <c r="K3320" i="5" s="1"/>
  <c r="L3320" i="5" s="1"/>
  <c r="T3319" i="5"/>
  <c r="J3319" i="5"/>
  <c r="T3318" i="5"/>
  <c r="J3318" i="5"/>
  <c r="T3317" i="5"/>
  <c r="J3317" i="5"/>
  <c r="B3693" i="5"/>
  <c r="B3694" i="5"/>
  <c r="B3695" i="5"/>
  <c r="B3690" i="5"/>
  <c r="B3691" i="5"/>
  <c r="B3692" i="5"/>
  <c r="B3687" i="5"/>
  <c r="B3688" i="5"/>
  <c r="B3689" i="5"/>
  <c r="B3681" i="5"/>
  <c r="B3682" i="5"/>
  <c r="B3683" i="5"/>
  <c r="B3684" i="5"/>
  <c r="B3685" i="5"/>
  <c r="B3686" i="5"/>
  <c r="B3679" i="5"/>
  <c r="B3680" i="5"/>
  <c r="Q3680" i="5" s="1"/>
  <c r="B3673" i="5"/>
  <c r="B3674" i="5"/>
  <c r="Q3674" i="5" s="1"/>
  <c r="B3675" i="5"/>
  <c r="B3676" i="5"/>
  <c r="B3677" i="5"/>
  <c r="B3678" i="5"/>
  <c r="B3672" i="5"/>
  <c r="B3669" i="5"/>
  <c r="B3670" i="5"/>
  <c r="B3671" i="5"/>
  <c r="B3667" i="5"/>
  <c r="B3668" i="5"/>
  <c r="B3663" i="5"/>
  <c r="B3664" i="5"/>
  <c r="B3665" i="5"/>
  <c r="B3666" i="5"/>
  <c r="B3660" i="5"/>
  <c r="B3661" i="5"/>
  <c r="B3662" i="5"/>
  <c r="B3658" i="5"/>
  <c r="B3659" i="5"/>
  <c r="B3656" i="5"/>
  <c r="B3657" i="5"/>
  <c r="B3655" i="5"/>
  <c r="B3652" i="5"/>
  <c r="B3653" i="5"/>
  <c r="B3654" i="5"/>
  <c r="B3648" i="5"/>
  <c r="B3649" i="5"/>
  <c r="B3650" i="5"/>
  <c r="B3651" i="5"/>
  <c r="B3644" i="5"/>
  <c r="B3645" i="5"/>
  <c r="B3646" i="5"/>
  <c r="B3647" i="5"/>
  <c r="B3642" i="5"/>
  <c r="B3643" i="5"/>
  <c r="B3639" i="5"/>
  <c r="B3640" i="5"/>
  <c r="B3641" i="5"/>
  <c r="B3637" i="5"/>
  <c r="B3638" i="5"/>
  <c r="B3636" i="5"/>
  <c r="B3634" i="5"/>
  <c r="B3635" i="5"/>
  <c r="M3635" i="5" s="1"/>
  <c r="B3631" i="5"/>
  <c r="B3632" i="5"/>
  <c r="B3633" i="5"/>
  <c r="B3628" i="5"/>
  <c r="B3629" i="5"/>
  <c r="B3630" i="5"/>
  <c r="B3626" i="5"/>
  <c r="B3627" i="5"/>
  <c r="B3623" i="5"/>
  <c r="B3624" i="5"/>
  <c r="B3625" i="5"/>
  <c r="Q3625" i="5" s="1"/>
  <c r="B3620" i="5"/>
  <c r="B3621" i="5"/>
  <c r="Q3621" i="5" s="1"/>
  <c r="B3622" i="5"/>
  <c r="B3615" i="5"/>
  <c r="B3616" i="5"/>
  <c r="B3617" i="5"/>
  <c r="B3618" i="5"/>
  <c r="B3619" i="5"/>
  <c r="B3612" i="5"/>
  <c r="B3613" i="5"/>
  <c r="B3614" i="5"/>
  <c r="B3608" i="5"/>
  <c r="B3609" i="5"/>
  <c r="B3610" i="5"/>
  <c r="B3611" i="5"/>
  <c r="B3607" i="5"/>
  <c r="B3605" i="5"/>
  <c r="B3606" i="5"/>
  <c r="B3604" i="5"/>
  <c r="B3603" i="5"/>
  <c r="B3600" i="5"/>
  <c r="B3601" i="5"/>
  <c r="B3602" i="5"/>
  <c r="B3596" i="5"/>
  <c r="B3597" i="5"/>
  <c r="B3598" i="5"/>
  <c r="B3599" i="5"/>
  <c r="B3593" i="5"/>
  <c r="B3594" i="5"/>
  <c r="B3595" i="5"/>
  <c r="B3590" i="5"/>
  <c r="B3591" i="5"/>
  <c r="B3592" i="5"/>
  <c r="B3589" i="5"/>
  <c r="B3588" i="5"/>
  <c r="M3588" i="5" s="1"/>
  <c r="B3587" i="5"/>
  <c r="B3585" i="5"/>
  <c r="B3586" i="5"/>
  <c r="B3583" i="5"/>
  <c r="B3584" i="5"/>
  <c r="B3582" i="5"/>
  <c r="B3579" i="5"/>
  <c r="B3580" i="5"/>
  <c r="B3581" i="5"/>
  <c r="B3577" i="5"/>
  <c r="B3578" i="5"/>
  <c r="B3575" i="5"/>
  <c r="B3576" i="5"/>
  <c r="B3572" i="5"/>
  <c r="B3573" i="5"/>
  <c r="B3574" i="5"/>
  <c r="B3570" i="5"/>
  <c r="M3570" i="5" s="1"/>
  <c r="B3571" i="5"/>
  <c r="B3567" i="5"/>
  <c r="B3568" i="5"/>
  <c r="B3569" i="5"/>
  <c r="B3566" i="5"/>
  <c r="B3565" i="5"/>
  <c r="B3563" i="5"/>
  <c r="Q3563" i="5" s="1"/>
  <c r="B3564" i="5"/>
  <c r="B3561" i="5"/>
  <c r="B3562" i="5"/>
  <c r="B3560" i="5"/>
  <c r="B3556" i="5"/>
  <c r="B3557" i="5"/>
  <c r="B3558" i="5"/>
  <c r="B3559" i="5"/>
  <c r="B3552" i="5"/>
  <c r="B3553" i="5"/>
  <c r="Q3553" i="5" s="1"/>
  <c r="B3554" i="5"/>
  <c r="B3555" i="5"/>
  <c r="B3549" i="5"/>
  <c r="B3550" i="5"/>
  <c r="B3551" i="5"/>
  <c r="B3544" i="5"/>
  <c r="B3545" i="5"/>
  <c r="B3546" i="5"/>
  <c r="B3547" i="5"/>
  <c r="B3548" i="5"/>
  <c r="M3548" i="5" s="1"/>
  <c r="B3542" i="5"/>
  <c r="M3542" i="5" s="1"/>
  <c r="B3543" i="5"/>
  <c r="B3541" i="5"/>
  <c r="B3540" i="5"/>
  <c r="B3537" i="5"/>
  <c r="M3537" i="5" s="1"/>
  <c r="B3538" i="5"/>
  <c r="B3539" i="5"/>
  <c r="B3535" i="5"/>
  <c r="B3536" i="5"/>
  <c r="B3530" i="5"/>
  <c r="B3531" i="5"/>
  <c r="M3531" i="5" s="1"/>
  <c r="B3532" i="5"/>
  <c r="B3533" i="5"/>
  <c r="B3534" i="5"/>
  <c r="B3528" i="5"/>
  <c r="B3529" i="5"/>
  <c r="B3524" i="5"/>
  <c r="B3525" i="5"/>
  <c r="M3525" i="5" s="1"/>
  <c r="B3526" i="5"/>
  <c r="B3527" i="5"/>
  <c r="B3522" i="5"/>
  <c r="B3523" i="5"/>
  <c r="B3521" i="5"/>
  <c r="B3520" i="5"/>
  <c r="Q3520" i="5" s="1"/>
  <c r="B3517" i="5"/>
  <c r="B3518" i="5"/>
  <c r="Q3518" i="5" s="1"/>
  <c r="B3519" i="5"/>
  <c r="B3515" i="5"/>
  <c r="B3516" i="5"/>
  <c r="Q3516" i="5" s="1"/>
  <c r="B3514" i="5"/>
  <c r="M3514" i="5" s="1"/>
  <c r="B3513" i="5"/>
  <c r="B3511" i="5"/>
  <c r="B3512" i="5"/>
  <c r="B3510" i="5"/>
  <c r="B3505" i="5"/>
  <c r="M3505" i="5" s="1"/>
  <c r="B3506" i="5"/>
  <c r="B3507" i="5"/>
  <c r="M3507" i="5" s="1"/>
  <c r="B3508" i="5"/>
  <c r="B3509" i="5"/>
  <c r="B3500" i="5"/>
  <c r="M3500" i="5" s="1"/>
  <c r="B3501" i="5"/>
  <c r="B3502" i="5"/>
  <c r="B3503" i="5"/>
  <c r="B3504" i="5"/>
  <c r="B3499" i="5"/>
  <c r="B3494" i="5"/>
  <c r="B3495" i="5"/>
  <c r="B3496" i="5"/>
  <c r="Q3496" i="5" s="1"/>
  <c r="B3497" i="5"/>
  <c r="B3498" i="5"/>
  <c r="B3493" i="5"/>
  <c r="B3490" i="5"/>
  <c r="B3491" i="5"/>
  <c r="M3491" i="5" s="1"/>
  <c r="B3492" i="5"/>
  <c r="B3489" i="5"/>
  <c r="B3487" i="5"/>
  <c r="B3488" i="5"/>
  <c r="Q3488" i="5" s="1"/>
  <c r="B3484" i="5"/>
  <c r="B3485" i="5"/>
  <c r="B3486" i="5"/>
  <c r="M3486" i="5" s="1"/>
  <c r="B3482" i="5"/>
  <c r="B3483" i="5"/>
  <c r="Q3483" i="5" s="1"/>
  <c r="B3481" i="5"/>
  <c r="B3477" i="5"/>
  <c r="Q3477" i="5" s="1"/>
  <c r="B3478" i="5"/>
  <c r="B3479" i="5"/>
  <c r="B3480" i="5"/>
  <c r="Q3480" i="5" s="1"/>
  <c r="B3475" i="5"/>
  <c r="B3476" i="5"/>
  <c r="B3472" i="5"/>
  <c r="B3473" i="5"/>
  <c r="B3474" i="5"/>
  <c r="Q3474" i="5" s="1"/>
  <c r="B3470" i="5"/>
  <c r="B3471" i="5"/>
  <c r="M3471" i="5" s="1"/>
  <c r="B3467" i="5"/>
  <c r="B3468" i="5"/>
  <c r="M3468" i="5" s="1"/>
  <c r="B3469" i="5"/>
  <c r="B3464" i="5"/>
  <c r="B3465" i="5"/>
  <c r="M3465" i="5" s="1"/>
  <c r="B3466" i="5"/>
  <c r="B3462" i="5"/>
  <c r="M3462" i="5" s="1"/>
  <c r="B3463" i="5"/>
  <c r="B3459" i="5"/>
  <c r="M3459" i="5" s="1"/>
  <c r="B3460" i="5"/>
  <c r="B3461" i="5"/>
  <c r="B3458" i="5"/>
  <c r="B3456" i="5"/>
  <c r="M3456" i="5" s="1"/>
  <c r="B3457" i="5"/>
  <c r="B3454" i="5"/>
  <c r="B3455" i="5"/>
  <c r="B3451" i="5"/>
  <c r="B3452" i="5"/>
  <c r="B3453" i="5"/>
  <c r="M3453" i="5" s="1"/>
  <c r="B3446" i="5"/>
  <c r="B3447" i="5"/>
  <c r="M3447" i="5" s="1"/>
  <c r="B3448" i="5"/>
  <c r="B3449" i="5"/>
  <c r="B3450" i="5"/>
  <c r="M3450" i="5" s="1"/>
  <c r="B3444" i="5"/>
  <c r="M3444" i="5" s="1"/>
  <c r="B3445" i="5"/>
  <c r="B3443" i="5"/>
  <c r="B3440" i="5"/>
  <c r="B3441" i="5"/>
  <c r="M3441" i="5" s="1"/>
  <c r="B3442" i="5"/>
  <c r="B3437" i="5"/>
  <c r="Q3437" i="5" s="1"/>
  <c r="B3438" i="5"/>
  <c r="M3438" i="5" s="1"/>
  <c r="B3439" i="5"/>
  <c r="B3434" i="5"/>
  <c r="Q3434" i="5" s="1"/>
  <c r="B3435" i="5"/>
  <c r="M3435" i="5" s="1"/>
  <c r="B3436" i="5"/>
  <c r="B3432" i="5"/>
  <c r="B3433" i="5"/>
  <c r="B3430" i="5"/>
  <c r="B3431" i="5"/>
  <c r="M3431" i="5" s="1"/>
  <c r="B3429" i="5"/>
  <c r="B3428" i="5"/>
  <c r="Q3428" i="5" s="1"/>
  <c r="B3425" i="5"/>
  <c r="B3426" i="5"/>
  <c r="Q3426" i="5" s="1"/>
  <c r="B3427" i="5"/>
  <c r="B3421" i="5"/>
  <c r="B3422" i="5"/>
  <c r="B3423" i="5"/>
  <c r="M3423" i="5" s="1"/>
  <c r="B3424" i="5"/>
  <c r="B3419" i="5"/>
  <c r="B3420" i="5"/>
  <c r="Q3420" i="5" s="1"/>
  <c r="B3417" i="5"/>
  <c r="Q3417" i="5" s="1"/>
  <c r="B3418" i="5"/>
  <c r="B3414" i="5"/>
  <c r="B3415" i="5"/>
  <c r="B3416" i="5"/>
  <c r="B3411" i="5"/>
  <c r="B3412" i="5"/>
  <c r="B3413" i="5"/>
  <c r="Q3413" i="5" s="1"/>
  <c r="B3410" i="5"/>
  <c r="Q3410" i="5" s="1"/>
  <c r="B3409" i="5"/>
  <c r="B3406" i="5"/>
  <c r="B3407" i="5"/>
  <c r="M3407" i="5" s="1"/>
  <c r="B3408" i="5"/>
  <c r="B3404" i="5"/>
  <c r="Q3404" i="5" s="1"/>
  <c r="B3405" i="5"/>
  <c r="B3401" i="5"/>
  <c r="Q3401" i="5" s="1"/>
  <c r="B3402" i="5"/>
  <c r="B3403" i="5"/>
  <c r="B3400" i="5"/>
  <c r="B3397" i="5"/>
  <c r="B3398" i="5"/>
  <c r="M3398" i="5" s="1"/>
  <c r="B3399" i="5"/>
  <c r="B3393" i="5"/>
  <c r="B3394" i="5"/>
  <c r="B3395" i="5"/>
  <c r="Q3395" i="5" s="1"/>
  <c r="B3396" i="5"/>
  <c r="B3388" i="5"/>
  <c r="B3389" i="5"/>
  <c r="M3389" i="5" s="1"/>
  <c r="B3390" i="5"/>
  <c r="B3391" i="5"/>
  <c r="B3392" i="5"/>
  <c r="Q3392" i="5" s="1"/>
  <c r="B3385" i="5"/>
  <c r="B3386" i="5"/>
  <c r="Q3386" i="5" s="1"/>
  <c r="B3387" i="5"/>
  <c r="B3382" i="5"/>
  <c r="B3383" i="5"/>
  <c r="Q3383" i="5" s="1"/>
  <c r="B3384" i="5"/>
  <c r="B3378" i="5"/>
  <c r="B3379" i="5"/>
  <c r="B3380" i="5"/>
  <c r="M3380" i="5" s="1"/>
  <c r="B3381" i="5"/>
  <c r="B3373" i="5"/>
  <c r="M3373" i="5" s="1"/>
  <c r="B3374" i="5"/>
  <c r="B3375" i="5"/>
  <c r="B3376" i="5"/>
  <c r="Q3376" i="5" s="1"/>
  <c r="B3377" i="5"/>
  <c r="Q3377" i="5" s="1"/>
  <c r="B3372" i="5"/>
  <c r="Q3372" i="5" s="1"/>
  <c r="B3371" i="5"/>
  <c r="B3370" i="5"/>
  <c r="Q3370" i="5" s="1"/>
  <c r="B3369" i="5"/>
  <c r="B3366" i="5"/>
  <c r="B3367" i="5"/>
  <c r="Q3367" i="5" s="1"/>
  <c r="B3368" i="5"/>
  <c r="M3368" i="5" s="1"/>
  <c r="B3364" i="5"/>
  <c r="Q3364" i="5" s="1"/>
  <c r="B3365" i="5"/>
  <c r="B3361" i="5"/>
  <c r="Q3361" i="5" s="1"/>
  <c r="B3362" i="5"/>
  <c r="B3363" i="5"/>
  <c r="B3359" i="5"/>
  <c r="B3360" i="5"/>
  <c r="B3358" i="5"/>
  <c r="Q3358" i="5" s="1"/>
  <c r="B3355" i="5"/>
  <c r="M3355" i="5" s="1"/>
  <c r="B3356" i="5"/>
  <c r="Q3356" i="5" s="1"/>
  <c r="B3357" i="5"/>
  <c r="B3350" i="5"/>
  <c r="M3350" i="5" s="1"/>
  <c r="B3351" i="5"/>
  <c r="Q3351" i="5" s="1"/>
  <c r="B3352" i="5"/>
  <c r="Q3352" i="5" s="1"/>
  <c r="B3353" i="5"/>
  <c r="Q3353" i="5" s="1"/>
  <c r="B3354" i="5"/>
  <c r="Q3354" i="5" s="1"/>
  <c r="B3347" i="5"/>
  <c r="M3347" i="5" s="1"/>
  <c r="B3348" i="5"/>
  <c r="M3348" i="5" s="1"/>
  <c r="B3349" i="5"/>
  <c r="M3349" i="5" s="1"/>
  <c r="B3346" i="5"/>
  <c r="Q3346" i="5" s="1"/>
  <c r="B3342" i="5"/>
  <c r="Q3342" i="5" s="1"/>
  <c r="B3343" i="5"/>
  <c r="Q3343" i="5" s="1"/>
  <c r="B3344" i="5"/>
  <c r="Q3344" i="5" s="1"/>
  <c r="B3345" i="5"/>
  <c r="Q3345" i="5" s="1"/>
  <c r="B3339" i="5"/>
  <c r="Q3339" i="5" s="1"/>
  <c r="B3340" i="5"/>
  <c r="Q3340" i="5" s="1"/>
  <c r="B3341" i="5"/>
  <c r="Q3341" i="5" s="1"/>
  <c r="B3336" i="5"/>
  <c r="Q3336" i="5" s="1"/>
  <c r="B3337" i="5"/>
  <c r="Q3337" i="5" s="1"/>
  <c r="B3338" i="5"/>
  <c r="Q3338" i="5" s="1"/>
  <c r="B3332" i="5"/>
  <c r="Q3332" i="5" s="1"/>
  <c r="B3333" i="5"/>
  <c r="Q3333" i="5" s="1"/>
  <c r="B3334" i="5"/>
  <c r="Q3334" i="5" s="1"/>
  <c r="B3335" i="5"/>
  <c r="Q3335" i="5" s="1"/>
  <c r="B3329" i="5"/>
  <c r="M3329" i="5" s="1"/>
  <c r="B3330" i="5"/>
  <c r="Q3330" i="5" s="1"/>
  <c r="B3331" i="5"/>
  <c r="Q3331" i="5" s="1"/>
  <c r="B3327" i="5"/>
  <c r="Q3327" i="5" s="1"/>
  <c r="B3328" i="5"/>
  <c r="Q3328" i="5" s="1"/>
  <c r="B3326" i="5"/>
  <c r="M3326" i="5" s="1"/>
  <c r="B3321" i="5"/>
  <c r="Q3321" i="5" s="1"/>
  <c r="B3322" i="5"/>
  <c r="Q3322" i="5" s="1"/>
  <c r="B3323" i="5"/>
  <c r="M3323" i="5" s="1"/>
  <c r="B3324" i="5"/>
  <c r="Q3324" i="5" s="1"/>
  <c r="B3325" i="5"/>
  <c r="Q3325" i="5" s="1"/>
  <c r="B3320" i="5"/>
  <c r="M3320" i="5" s="1"/>
  <c r="B3317" i="5"/>
  <c r="Q3317" i="5" s="1"/>
  <c r="B3318" i="5"/>
  <c r="M3318" i="5" s="1"/>
  <c r="B3319" i="5"/>
  <c r="Q3319" i="5" s="1"/>
  <c r="O4517" i="5" l="1"/>
  <c r="O4406" i="5"/>
  <c r="U4712" i="5"/>
  <c r="V4712" i="5" s="1"/>
  <c r="U4651" i="5"/>
  <c r="V4651" i="5" s="1"/>
  <c r="U4432" i="5"/>
  <c r="V4432" i="5" s="1"/>
  <c r="N4402" i="5"/>
  <c r="U4402" i="5" s="1"/>
  <c r="V4402" i="5" s="1"/>
  <c r="U4658" i="5"/>
  <c r="V4658" i="5" s="1"/>
  <c r="N4229" i="5"/>
  <c r="O4229" i="5" s="1"/>
  <c r="N4352" i="5"/>
  <c r="O4352" i="5" s="1"/>
  <c r="N4510" i="5"/>
  <c r="O4510" i="5" s="1"/>
  <c r="O4487" i="5"/>
  <c r="U4449" i="5"/>
  <c r="V4449" i="5" s="1"/>
  <c r="O4363" i="5"/>
  <c r="O4560" i="5"/>
  <c r="O4508" i="5"/>
  <c r="U4370" i="5"/>
  <c r="V4370" i="5" s="1"/>
  <c r="N4301" i="5"/>
  <c r="U4301" i="5" s="1"/>
  <c r="V4301" i="5" s="1"/>
  <c r="N4494" i="5"/>
  <c r="O4494" i="5" s="1"/>
  <c r="P4543" i="5"/>
  <c r="U4543" i="5" s="1"/>
  <c r="V4543" i="5" s="1"/>
  <c r="P4325" i="5"/>
  <c r="U4325" i="5" s="1"/>
  <c r="V4325" i="5" s="1"/>
  <c r="U4686" i="5"/>
  <c r="V4686" i="5" s="1"/>
  <c r="P4400" i="5"/>
  <c r="U4400" i="5" s="1"/>
  <c r="V4400" i="5" s="1"/>
  <c r="N4395" i="5"/>
  <c r="U4395" i="5" s="1"/>
  <c r="V4395" i="5" s="1"/>
  <c r="U4522" i="5"/>
  <c r="V4522" i="5" s="1"/>
  <c r="U4535" i="5"/>
  <c r="V4535" i="5" s="1"/>
  <c r="U4441" i="5"/>
  <c r="V4441" i="5" s="1"/>
  <c r="N4275" i="5"/>
  <c r="O4275" i="5" s="1"/>
  <c r="N4336" i="5"/>
  <c r="O4336" i="5" s="1"/>
  <c r="U4268" i="5"/>
  <c r="V4268" i="5" s="1"/>
  <c r="U4512" i="5"/>
  <c r="V4512" i="5" s="1"/>
  <c r="N4566" i="5"/>
  <c r="U4566" i="5" s="1"/>
  <c r="V4566" i="5" s="1"/>
  <c r="U4262" i="5"/>
  <c r="V4262" i="5" s="1"/>
  <c r="P4337" i="5"/>
  <c r="U4337" i="5" s="1"/>
  <c r="V4337" i="5" s="1"/>
  <c r="U4459" i="5"/>
  <c r="V4459" i="5" s="1"/>
  <c r="N4360" i="5"/>
  <c r="U4360" i="5" s="1"/>
  <c r="V4360" i="5" s="1"/>
  <c r="N4419" i="5"/>
  <c r="U4419" i="5" s="1"/>
  <c r="V4419" i="5" s="1"/>
  <c r="P4251" i="5"/>
  <c r="O4251" i="5" s="1"/>
  <c r="U4493" i="5"/>
  <c r="V4493" i="5" s="1"/>
  <c r="N4448" i="5"/>
  <c r="O4448" i="5" s="1"/>
  <c r="N4629" i="5"/>
  <c r="O4629" i="5" s="1"/>
  <c r="U4563" i="5"/>
  <c r="V4563" i="5" s="1"/>
  <c r="O4416" i="5"/>
  <c r="O4435" i="5"/>
  <c r="O4444" i="5"/>
  <c r="P4259" i="5"/>
  <c r="O4259" i="5" s="1"/>
  <c r="N4647" i="5"/>
  <c r="U4647" i="5" s="1"/>
  <c r="V4647" i="5" s="1"/>
  <c r="P4365" i="5"/>
  <c r="U4365" i="5" s="1"/>
  <c r="V4365" i="5" s="1"/>
  <c r="N4326" i="5"/>
  <c r="U4326" i="5" s="1"/>
  <c r="V4326" i="5" s="1"/>
  <c r="U4281" i="5"/>
  <c r="V4281" i="5" s="1"/>
  <c r="U4362" i="5"/>
  <c r="V4362" i="5" s="1"/>
  <c r="U4308" i="5"/>
  <c r="V4308" i="5" s="1"/>
  <c r="U4689" i="5"/>
  <c r="V4689" i="5" s="1"/>
  <c r="N4667" i="5"/>
  <c r="O4667" i="5" s="1"/>
  <c r="N4331" i="5"/>
  <c r="O4331" i="5" s="1"/>
  <c r="N4300" i="5"/>
  <c r="O4300" i="5" s="1"/>
  <c r="N4302" i="5"/>
  <c r="O4302" i="5" s="1"/>
  <c r="N4342" i="5"/>
  <c r="O4342" i="5" s="1"/>
  <c r="U4526" i="5"/>
  <c r="V4526" i="5" s="1"/>
  <c r="O4280" i="5"/>
  <c r="U4408" i="5"/>
  <c r="V4408" i="5" s="1"/>
  <c r="U4506" i="5"/>
  <c r="V4506" i="5" s="1"/>
  <c r="U4722" i="5"/>
  <c r="V4722" i="5" s="1"/>
  <c r="U4475" i="5"/>
  <c r="V4475" i="5" s="1"/>
  <c r="U4562" i="5"/>
  <c r="V4562" i="5" s="1"/>
  <c r="O4407" i="5"/>
  <c r="U4507" i="5"/>
  <c r="V4507" i="5" s="1"/>
  <c r="U4455" i="5"/>
  <c r="V4455" i="5" s="1"/>
  <c r="O4707" i="5"/>
  <c r="U4677" i="5"/>
  <c r="V4677" i="5" s="1"/>
  <c r="N4372" i="5"/>
  <c r="U4372" i="5" s="1"/>
  <c r="V4372" i="5" s="1"/>
  <c r="N4617" i="5"/>
  <c r="O4617" i="5" s="1"/>
  <c r="O4687" i="5"/>
  <c r="U4668" i="5"/>
  <c r="V4668" i="5" s="1"/>
  <c r="U4674" i="5"/>
  <c r="V4674" i="5" s="1"/>
  <c r="U4656" i="5"/>
  <c r="V4656" i="5" s="1"/>
  <c r="U4536" i="5"/>
  <c r="V4536" i="5" s="1"/>
  <c r="U4710" i="5"/>
  <c r="V4710" i="5" s="1"/>
  <c r="U4554" i="5"/>
  <c r="V4554" i="5" s="1"/>
  <c r="U4531" i="5"/>
  <c r="V4531" i="5" s="1"/>
  <c r="U4323" i="5"/>
  <c r="V4323" i="5" s="1"/>
  <c r="U4469" i="5"/>
  <c r="V4469" i="5" s="1"/>
  <c r="U4391" i="5"/>
  <c r="V4391" i="5" s="1"/>
  <c r="U4255" i="5"/>
  <c r="V4255" i="5" s="1"/>
  <c r="U4312" i="5"/>
  <c r="V4312" i="5" s="1"/>
  <c r="U4250" i="5"/>
  <c r="V4250" i="5" s="1"/>
  <c r="U4244" i="5"/>
  <c r="V4244" i="5" s="1"/>
  <c r="N4320" i="5"/>
  <c r="U4320" i="5" s="1"/>
  <c r="V4320" i="5" s="1"/>
  <c r="O4681" i="5"/>
  <c r="N4682" i="5"/>
  <c r="O4682" i="5" s="1"/>
  <c r="N4548" i="5"/>
  <c r="O4548" i="5" s="1"/>
  <c r="O4286" i="5"/>
  <c r="O4729" i="5"/>
  <c r="U4393" i="5"/>
  <c r="V4393" i="5" s="1"/>
  <c r="U4561" i="5"/>
  <c r="V4561" i="5" s="1"/>
  <c r="O4438" i="5"/>
  <c r="P4521" i="5"/>
  <c r="O4521" i="5" s="1"/>
  <c r="N4457" i="5"/>
  <c r="U4457" i="5" s="1"/>
  <c r="V4457" i="5" s="1"/>
  <c r="P4664" i="5"/>
  <c r="O4664" i="5" s="1"/>
  <c r="O4718" i="5"/>
  <c r="O4741" i="5"/>
  <c r="O4492" i="5"/>
  <c r="O4555" i="5"/>
  <c r="O4638" i="5"/>
  <c r="N4319" i="5"/>
  <c r="U4319" i="5" s="1"/>
  <c r="V4319" i="5" s="1"/>
  <c r="U4420" i="5"/>
  <c r="V4420" i="5" s="1"/>
  <c r="O4537" i="5"/>
  <c r="O4393" i="5"/>
  <c r="U4681" i="5"/>
  <c r="V4681" i="5" s="1"/>
  <c r="O4287" i="5"/>
  <c r="U4707" i="5"/>
  <c r="V4707" i="5" s="1"/>
  <c r="U4687" i="5"/>
  <c r="V4687" i="5" s="1"/>
  <c r="U4435" i="5"/>
  <c r="V4435" i="5" s="1"/>
  <c r="O4441" i="5"/>
  <c r="U4679" i="5"/>
  <c r="V4679" i="5" s="1"/>
  <c r="U4416" i="5"/>
  <c r="V4416" i="5" s="1"/>
  <c r="U4560" i="5"/>
  <c r="V4560" i="5" s="1"/>
  <c r="O4651" i="5"/>
  <c r="O4645" i="5"/>
  <c r="U4678" i="5"/>
  <c r="V4678" i="5" s="1"/>
  <c r="O4571" i="5"/>
  <c r="O4358" i="5"/>
  <c r="O4381" i="5"/>
  <c r="U4492" i="5"/>
  <c r="V4492" i="5" s="1"/>
  <c r="P4294" i="5"/>
  <c r="O4294" i="5" s="1"/>
  <c r="U4428" i="5"/>
  <c r="V4428" i="5" s="1"/>
  <c r="U4438" i="5"/>
  <c r="V4438" i="5" s="1"/>
  <c r="O4355" i="5"/>
  <c r="O4426" i="5"/>
  <c r="U4537" i="5"/>
  <c r="V4537" i="5" s="1"/>
  <c r="N4405" i="5"/>
  <c r="P4405" i="5"/>
  <c r="O4725" i="5"/>
  <c r="U4725" i="5"/>
  <c r="V4725" i="5" s="1"/>
  <c r="O4408" i="5"/>
  <c r="P4714" i="5"/>
  <c r="O4714" i="5" s="1"/>
  <c r="U4729" i="5"/>
  <c r="V4729" i="5" s="1"/>
  <c r="U4513" i="5"/>
  <c r="V4513" i="5" s="1"/>
  <c r="P4378" i="5"/>
  <c r="U4378" i="5" s="1"/>
  <c r="V4378" i="5" s="1"/>
  <c r="O4722" i="5"/>
  <c r="O4506" i="5"/>
  <c r="O4752" i="5"/>
  <c r="U4752" i="5"/>
  <c r="V4752" i="5" s="1"/>
  <c r="O4678" i="5"/>
  <c r="U4648" i="5"/>
  <c r="V4648" i="5" s="1"/>
  <c r="O4648" i="5"/>
  <c r="O4630" i="5"/>
  <c r="U4630" i="5"/>
  <c r="V4630" i="5" s="1"/>
  <c r="N4573" i="5"/>
  <c r="O4573" i="5" s="1"/>
  <c r="U4571" i="5"/>
  <c r="V4571" i="5" s="1"/>
  <c r="O4561" i="5"/>
  <c r="O4544" i="5"/>
  <c r="O4534" i="5"/>
  <c r="U4534" i="5"/>
  <c r="V4534" i="5" s="1"/>
  <c r="U4525" i="5"/>
  <c r="V4525" i="5" s="1"/>
  <c r="P4519" i="5"/>
  <c r="U4519" i="5" s="1"/>
  <c r="V4519" i="5" s="1"/>
  <c r="O4512" i="5"/>
  <c r="U4503" i="5"/>
  <c r="V4503" i="5" s="1"/>
  <c r="O4503" i="5"/>
  <c r="U4497" i="5"/>
  <c r="V4497" i="5" s="1"/>
  <c r="O4497" i="5"/>
  <c r="N4489" i="5"/>
  <c r="O4489" i="5" s="1"/>
  <c r="N4464" i="5"/>
  <c r="O4464" i="5" s="1"/>
  <c r="O4455" i="5"/>
  <c r="U4444" i="5"/>
  <c r="V4444" i="5" s="1"/>
  <c r="U4426" i="5"/>
  <c r="V4426" i="5" s="1"/>
  <c r="N4387" i="5"/>
  <c r="P4387" i="5"/>
  <c r="U4381" i="5"/>
  <c r="V4381" i="5" s="1"/>
  <c r="N4375" i="5"/>
  <c r="P4375" i="5"/>
  <c r="U4355" i="5"/>
  <c r="V4355" i="5" s="1"/>
  <c r="P4295" i="5"/>
  <c r="U4295" i="5" s="1"/>
  <c r="V4295" i="5" s="1"/>
  <c r="N4231" i="5"/>
  <c r="O4231" i="5" s="1"/>
  <c r="O4522" i="5"/>
  <c r="O4531" i="5"/>
  <c r="U4555" i="5"/>
  <c r="V4555" i="5" s="1"/>
  <c r="O4642" i="5"/>
  <c r="U4642" i="5"/>
  <c r="V4642" i="5" s="1"/>
  <c r="O4244" i="5"/>
  <c r="P4241" i="5"/>
  <c r="O4241" i="5" s="1"/>
  <c r="O4362" i="5"/>
  <c r="O4469" i="5"/>
  <c r="O4308" i="5"/>
  <c r="O4535" i="5"/>
  <c r="O4563" i="5"/>
  <c r="N4623" i="5"/>
  <c r="O4623" i="5" s="1"/>
  <c r="O4723" i="5"/>
  <c r="U4723" i="5"/>
  <c r="V4723" i="5" s="1"/>
  <c r="O4459" i="5"/>
  <c r="O4526" i="5"/>
  <c r="O4268" i="5"/>
  <c r="O4315" i="5"/>
  <c r="U4315" i="5"/>
  <c r="V4315" i="5" s="1"/>
  <c r="U4358" i="5"/>
  <c r="V4358" i="5" s="1"/>
  <c r="O4350" i="5"/>
  <c r="U4350" i="5"/>
  <c r="V4350" i="5" s="1"/>
  <c r="N4249" i="5"/>
  <c r="P4249" i="5"/>
  <c r="O4509" i="5"/>
  <c r="U4509" i="5"/>
  <c r="V4509" i="5" s="1"/>
  <c r="U4558" i="5"/>
  <c r="V4558" i="5" s="1"/>
  <c r="O4558" i="5"/>
  <c r="U4551" i="5"/>
  <c r="V4551" i="5" s="1"/>
  <c r="O4551" i="5"/>
  <c r="U4582" i="5"/>
  <c r="V4582" i="5" s="1"/>
  <c r="O4582" i="5"/>
  <c r="U4628" i="5"/>
  <c r="V4628" i="5" s="1"/>
  <c r="O4628" i="5"/>
  <c r="U4626" i="5"/>
  <c r="V4626" i="5" s="1"/>
  <c r="O4626" i="5"/>
  <c r="O4673" i="5"/>
  <c r="U4673" i="5"/>
  <c r="V4673" i="5" s="1"/>
  <c r="O4756" i="5"/>
  <c r="U4756" i="5"/>
  <c r="V4756" i="5" s="1"/>
  <c r="U4388" i="5"/>
  <c r="V4388" i="5" s="1"/>
  <c r="O4388" i="5"/>
  <c r="N4683" i="5"/>
  <c r="P4683" i="5"/>
  <c r="O4726" i="5"/>
  <c r="U4726" i="5"/>
  <c r="V4726" i="5" s="1"/>
  <c r="N4277" i="5"/>
  <c r="P4277" i="5"/>
  <c r="O4367" i="5"/>
  <c r="U4367" i="5"/>
  <c r="V4367" i="5" s="1"/>
  <c r="O4468" i="5"/>
  <c r="U4468" i="5"/>
  <c r="V4468" i="5" s="1"/>
  <c r="O4485" i="5"/>
  <c r="U4485" i="5"/>
  <c r="V4485" i="5" s="1"/>
  <c r="O4450" i="5"/>
  <c r="U4450" i="5"/>
  <c r="V4450" i="5" s="1"/>
  <c r="O4264" i="5"/>
  <c r="U4264" i="5"/>
  <c r="V4264" i="5" s="1"/>
  <c r="U4324" i="5"/>
  <c r="V4324" i="5" s="1"/>
  <c r="O4324" i="5"/>
  <c r="U4768" i="5"/>
  <c r="V4768" i="5" s="1"/>
  <c r="O4768" i="5"/>
  <c r="U4246" i="5"/>
  <c r="V4246" i="5" s="1"/>
  <c r="O4246" i="5"/>
  <c r="U4403" i="5"/>
  <c r="V4403" i="5" s="1"/>
  <c r="O4403" i="5"/>
  <c r="O4436" i="5"/>
  <c r="U4436" i="5"/>
  <c r="V4436" i="5" s="1"/>
  <c r="O4567" i="5"/>
  <c r="U4567" i="5"/>
  <c r="V4567" i="5" s="1"/>
  <c r="U4456" i="5"/>
  <c r="V4456" i="5" s="1"/>
  <c r="O4456" i="5"/>
  <c r="U4557" i="5"/>
  <c r="V4557" i="5" s="1"/>
  <c r="O4557" i="5"/>
  <c r="P4540" i="5"/>
  <c r="N4540" i="5"/>
  <c r="N4533" i="5"/>
  <c r="P4533" i="5"/>
  <c r="O4627" i="5"/>
  <c r="U4627" i="5"/>
  <c r="V4627" i="5" s="1"/>
  <c r="O4733" i="5"/>
  <c r="U4733" i="5"/>
  <c r="V4733" i="5" s="1"/>
  <c r="P4232" i="5"/>
  <c r="N4232" i="5"/>
  <c r="O4334" i="5"/>
  <c r="U4334" i="5"/>
  <c r="V4334" i="5" s="1"/>
  <c r="U4329" i="5"/>
  <c r="V4329" i="5" s="1"/>
  <c r="O4329" i="5"/>
  <c r="U4382" i="5"/>
  <c r="V4382" i="5" s="1"/>
  <c r="O4382" i="5"/>
  <c r="P4389" i="5"/>
  <c r="N4389" i="5"/>
  <c r="U4516" i="5"/>
  <c r="V4516" i="5" s="1"/>
  <c r="O4516" i="5"/>
  <c r="O4594" i="5"/>
  <c r="U4594" i="5"/>
  <c r="V4594" i="5" s="1"/>
  <c r="P4546" i="5"/>
  <c r="N4546" i="5"/>
  <c r="U4646" i="5"/>
  <c r="V4646" i="5" s="1"/>
  <c r="O4646" i="5"/>
  <c r="U4633" i="5"/>
  <c r="V4633" i="5" s="1"/>
  <c r="O4633" i="5"/>
  <c r="O4739" i="5"/>
  <c r="U4739" i="5"/>
  <c r="V4739" i="5" s="1"/>
  <c r="O4237" i="5"/>
  <c r="U4237" i="5"/>
  <c r="V4237" i="5" s="1"/>
  <c r="U4309" i="5"/>
  <c r="V4309" i="5" s="1"/>
  <c r="O4309" i="5"/>
  <c r="U4451" i="5"/>
  <c r="V4451" i="5" s="1"/>
  <c r="O4451" i="5"/>
  <c r="O4641" i="5"/>
  <c r="U4641" i="5"/>
  <c r="V4641" i="5" s="1"/>
  <c r="U4437" i="5"/>
  <c r="V4437" i="5" s="1"/>
  <c r="O4437" i="5"/>
  <c r="U4530" i="5"/>
  <c r="V4530" i="5" s="1"/>
  <c r="O4530" i="5"/>
  <c r="O4248" i="5"/>
  <c r="U4248" i="5"/>
  <c r="V4248" i="5" s="1"/>
  <c r="U4230" i="5"/>
  <c r="V4230" i="5" s="1"/>
  <c r="O4230" i="5"/>
  <c r="O4304" i="5"/>
  <c r="U4304" i="5"/>
  <c r="V4304" i="5" s="1"/>
  <c r="O4479" i="5"/>
  <c r="U4479" i="5"/>
  <c r="V4479" i="5" s="1"/>
  <c r="O4445" i="5"/>
  <c r="U4445" i="5"/>
  <c r="V4445" i="5" s="1"/>
  <c r="O4736" i="5"/>
  <c r="U4736" i="5"/>
  <c r="V4736" i="5" s="1"/>
  <c r="U4257" i="5"/>
  <c r="V4257" i="5" s="1"/>
  <c r="O4257" i="5"/>
  <c r="O4332" i="5"/>
  <c r="U4332" i="5"/>
  <c r="V4332" i="5" s="1"/>
  <c r="O4250" i="5"/>
  <c r="O4327" i="5"/>
  <c r="U4327" i="5"/>
  <c r="V4327" i="5" s="1"/>
  <c r="O4404" i="5"/>
  <c r="U4404" i="5"/>
  <c r="V4404" i="5" s="1"/>
  <c r="O4314" i="5"/>
  <c r="U4314" i="5"/>
  <c r="V4314" i="5" s="1"/>
  <c r="O4424" i="5"/>
  <c r="U4424" i="5"/>
  <c r="V4424" i="5" s="1"/>
  <c r="O4442" i="5"/>
  <c r="U4442" i="5"/>
  <c r="V4442" i="5" s="1"/>
  <c r="O4523" i="5"/>
  <c r="U4523" i="5"/>
  <c r="V4523" i="5" s="1"/>
  <c r="O4601" i="5"/>
  <c r="U4601" i="5"/>
  <c r="V4601" i="5" s="1"/>
  <c r="O4677" i="5"/>
  <c r="O4732" i="5"/>
  <c r="U4732" i="5"/>
  <c r="V4732" i="5" s="1"/>
  <c r="N4357" i="5"/>
  <c r="P4357" i="5"/>
  <c r="O4421" i="5"/>
  <c r="U4421" i="5"/>
  <c r="V4421" i="5" s="1"/>
  <c r="N4425" i="5"/>
  <c r="P4425" i="5"/>
  <c r="O4475" i="5"/>
  <c r="N4549" i="5"/>
  <c r="P4549" i="5"/>
  <c r="O4514" i="5"/>
  <c r="U4514" i="5"/>
  <c r="V4514" i="5" s="1"/>
  <c r="U4640" i="5"/>
  <c r="V4640" i="5" s="1"/>
  <c r="O4640" i="5"/>
  <c r="O4652" i="5"/>
  <c r="U4652" i="5"/>
  <c r="V4652" i="5" s="1"/>
  <c r="N4720" i="5"/>
  <c r="P4720" i="5"/>
  <c r="N4700" i="5"/>
  <c r="P4700" i="5"/>
  <c r="O4239" i="5"/>
  <c r="U4239" i="5"/>
  <c r="V4239" i="5" s="1"/>
  <c r="O4279" i="5"/>
  <c r="U4279" i="5"/>
  <c r="V4279" i="5" s="1"/>
  <c r="N4351" i="5"/>
  <c r="P4351" i="5"/>
  <c r="U4538" i="5"/>
  <c r="V4538" i="5" s="1"/>
  <c r="O4538" i="5"/>
  <c r="U4586" i="5"/>
  <c r="V4586" i="5" s="1"/>
  <c r="O4586" i="5"/>
  <c r="O4621" i="5"/>
  <c r="U4621" i="5"/>
  <c r="V4621" i="5" s="1"/>
  <c r="O4668" i="5"/>
  <c r="O4716" i="5"/>
  <c r="U4716" i="5"/>
  <c r="V4716" i="5" s="1"/>
  <c r="O4757" i="5"/>
  <c r="U4757" i="5"/>
  <c r="V4757" i="5" s="1"/>
  <c r="O4255" i="5"/>
  <c r="O4312" i="5"/>
  <c r="O4346" i="5"/>
  <c r="U4346" i="5"/>
  <c r="V4346" i="5" s="1"/>
  <c r="O4385" i="5"/>
  <c r="U4385" i="5"/>
  <c r="V4385" i="5" s="1"/>
  <c r="P4343" i="5"/>
  <c r="N4343" i="5"/>
  <c r="P4552" i="5"/>
  <c r="N4552" i="5"/>
  <c r="U4634" i="5"/>
  <c r="V4634" i="5" s="1"/>
  <c r="O4634" i="5"/>
  <c r="P4680" i="5"/>
  <c r="N4680" i="5"/>
  <c r="O4256" i="5"/>
  <c r="U4256" i="5"/>
  <c r="V4256" i="5" s="1"/>
  <c r="O4310" i="5"/>
  <c r="U4310" i="5"/>
  <c r="V4310" i="5" s="1"/>
  <c r="O4243" i="5"/>
  <c r="U4243" i="5"/>
  <c r="V4243" i="5" s="1"/>
  <c r="O4291" i="5"/>
  <c r="U4291" i="5"/>
  <c r="V4291" i="5" s="1"/>
  <c r="U4373" i="5"/>
  <c r="V4373" i="5" s="1"/>
  <c r="O4373" i="5"/>
  <c r="O4427" i="5"/>
  <c r="U4427" i="5"/>
  <c r="V4427" i="5" s="1"/>
  <c r="O4502" i="5"/>
  <c r="U4502" i="5"/>
  <c r="V4502" i="5" s="1"/>
  <c r="O4507" i="5"/>
  <c r="U4484" i="5"/>
  <c r="V4484" i="5" s="1"/>
  <c r="O4484" i="5"/>
  <c r="U4529" i="5"/>
  <c r="V4529" i="5" s="1"/>
  <c r="O4529" i="5"/>
  <c r="N4581" i="5"/>
  <c r="P4581" i="5"/>
  <c r="O4576" i="5"/>
  <c r="U4576" i="5"/>
  <c r="V4576" i="5" s="1"/>
  <c r="O4590" i="5"/>
  <c r="U4590" i="5"/>
  <c r="V4590" i="5" s="1"/>
  <c r="U4737" i="5"/>
  <c r="V4737" i="5" s="1"/>
  <c r="O4737" i="5"/>
  <c r="U4761" i="5"/>
  <c r="V4761" i="5" s="1"/>
  <c r="O4761" i="5"/>
  <c r="O4431" i="5"/>
  <c r="U4431" i="5"/>
  <c r="V4431" i="5" s="1"/>
  <c r="O4674" i="5"/>
  <c r="O4273" i="5"/>
  <c r="U4273" i="5"/>
  <c r="V4273" i="5" s="1"/>
  <c r="O4462" i="5"/>
  <c r="U4462" i="5"/>
  <c r="V4462" i="5" s="1"/>
  <c r="U4460" i="5"/>
  <c r="V4460" i="5" s="1"/>
  <c r="O4460" i="5"/>
  <c r="O4592" i="5"/>
  <c r="U4592" i="5"/>
  <c r="V4592" i="5" s="1"/>
  <c r="U4639" i="5"/>
  <c r="V4639" i="5" s="1"/>
  <c r="O4639" i="5"/>
  <c r="O4699" i="5"/>
  <c r="U4699" i="5"/>
  <c r="V4699" i="5" s="1"/>
  <c r="O4701" i="5"/>
  <c r="U4701" i="5"/>
  <c r="V4701" i="5" s="1"/>
  <c r="U4318" i="5"/>
  <c r="V4318" i="5" s="1"/>
  <c r="O4318" i="5"/>
  <c r="U4401" i="5"/>
  <c r="V4401" i="5" s="1"/>
  <c r="O4401" i="5"/>
  <c r="U4366" i="5"/>
  <c r="V4366" i="5" s="1"/>
  <c r="O4366" i="5"/>
  <c r="U4465" i="5"/>
  <c r="V4465" i="5" s="1"/>
  <c r="O4465" i="5"/>
  <c r="O4575" i="5"/>
  <c r="U4575" i="5"/>
  <c r="V4575" i="5" s="1"/>
  <c r="O4618" i="5"/>
  <c r="U4618" i="5"/>
  <c r="V4618" i="5" s="1"/>
  <c r="O4748" i="5"/>
  <c r="U4748" i="5"/>
  <c r="V4748" i="5" s="1"/>
  <c r="O4227" i="5"/>
  <c r="U4227" i="5"/>
  <c r="V4227" i="5" s="1"/>
  <c r="O4340" i="5"/>
  <c r="U4340" i="5"/>
  <c r="V4340" i="5" s="1"/>
  <c r="U4271" i="5"/>
  <c r="V4271" i="5" s="1"/>
  <c r="O4271" i="5"/>
  <c r="O4305" i="5"/>
  <c r="U4305" i="5"/>
  <c r="V4305" i="5" s="1"/>
  <c r="U4379" i="5"/>
  <c r="V4379" i="5" s="1"/>
  <c r="O4379" i="5"/>
  <c r="O4496" i="5"/>
  <c r="U4496" i="5"/>
  <c r="V4496" i="5" s="1"/>
  <c r="U4463" i="5"/>
  <c r="V4463" i="5" s="1"/>
  <c r="O4463" i="5"/>
  <c r="O4625" i="5"/>
  <c r="U4625" i="5"/>
  <c r="V4625" i="5" s="1"/>
  <c r="N4694" i="5"/>
  <c r="P4694" i="5"/>
  <c r="O4688" i="5"/>
  <c r="U4688" i="5"/>
  <c r="V4688" i="5" s="1"/>
  <c r="O4738" i="5"/>
  <c r="U4738" i="5"/>
  <c r="V4738" i="5" s="1"/>
  <c r="O4321" i="5"/>
  <c r="U4321" i="5"/>
  <c r="V4321" i="5" s="1"/>
  <c r="U4341" i="5"/>
  <c r="V4341" i="5" s="1"/>
  <c r="O4341" i="5"/>
  <c r="U4377" i="5"/>
  <c r="V4377" i="5" s="1"/>
  <c r="O4377" i="5"/>
  <c r="U4417" i="5"/>
  <c r="V4417" i="5" s="1"/>
  <c r="O4417" i="5"/>
  <c r="O4553" i="5"/>
  <c r="U4553" i="5"/>
  <c r="V4553" i="5" s="1"/>
  <c r="U4755" i="5"/>
  <c r="V4755" i="5" s="1"/>
  <c r="O4755" i="5"/>
  <c r="O4270" i="5"/>
  <c r="U4270" i="5"/>
  <c r="V4270" i="5" s="1"/>
  <c r="O4261" i="5"/>
  <c r="U4261" i="5"/>
  <c r="V4261" i="5" s="1"/>
  <c r="O4364" i="5"/>
  <c r="U4364" i="5"/>
  <c r="V4364" i="5" s="1"/>
  <c r="U4411" i="5"/>
  <c r="V4411" i="5" s="1"/>
  <c r="O4411" i="5"/>
  <c r="O4447" i="5"/>
  <c r="U4447" i="5"/>
  <c r="V4447" i="5" s="1"/>
  <c r="N4501" i="5"/>
  <c r="P4501" i="5"/>
  <c r="U4452" i="5"/>
  <c r="V4452" i="5" s="1"/>
  <c r="O4452" i="5"/>
  <c r="U4565" i="5"/>
  <c r="V4565" i="5" s="1"/>
  <c r="O4565" i="5"/>
  <c r="O4574" i="5"/>
  <c r="U4574" i="5"/>
  <c r="V4574" i="5" s="1"/>
  <c r="O4587" i="5"/>
  <c r="U4587" i="5"/>
  <c r="V4587" i="5" s="1"/>
  <c r="P4605" i="5"/>
  <c r="N4605" i="5"/>
  <c r="O4693" i="5"/>
  <c r="U4693" i="5"/>
  <c r="V4693" i="5" s="1"/>
  <c r="O4696" i="5"/>
  <c r="U4696" i="5"/>
  <c r="V4696" i="5" s="1"/>
  <c r="O4778" i="5"/>
  <c r="U4778" i="5"/>
  <c r="V4778" i="5" s="1"/>
  <c r="O4770" i="5"/>
  <c r="U4770" i="5"/>
  <c r="V4770" i="5" s="1"/>
  <c r="U4299" i="5"/>
  <c r="V4299" i="5" s="1"/>
  <c r="O4299" i="5"/>
  <c r="U4399" i="5"/>
  <c r="V4399" i="5" s="1"/>
  <c r="O4399" i="5"/>
  <c r="O4433" i="5"/>
  <c r="U4433" i="5"/>
  <c r="V4433" i="5" s="1"/>
  <c r="P4446" i="5"/>
  <c r="N4446" i="5"/>
  <c r="O4591" i="5"/>
  <c r="U4591" i="5"/>
  <c r="V4591" i="5" s="1"/>
  <c r="U4672" i="5"/>
  <c r="V4672" i="5" s="1"/>
  <c r="O4672" i="5"/>
  <c r="N4676" i="5"/>
  <c r="P4676" i="5"/>
  <c r="N4691" i="5"/>
  <c r="P4691" i="5"/>
  <c r="O4763" i="5"/>
  <c r="U4763" i="5"/>
  <c r="V4763" i="5" s="1"/>
  <c r="U4443" i="5"/>
  <c r="V4443" i="5" s="1"/>
  <c r="O4443" i="5"/>
  <c r="O4655" i="5"/>
  <c r="U4655" i="5"/>
  <c r="V4655" i="5" s="1"/>
  <c r="O4477" i="5"/>
  <c r="U4477" i="5"/>
  <c r="V4477" i="5" s="1"/>
  <c r="O4657" i="5"/>
  <c r="U4657" i="5"/>
  <c r="V4657" i="5" s="1"/>
  <c r="U4383" i="5"/>
  <c r="V4383" i="5" s="1"/>
  <c r="O4383" i="5"/>
  <c r="U4440" i="5"/>
  <c r="V4440" i="5" s="1"/>
  <c r="O4440" i="5"/>
  <c r="O4258" i="5"/>
  <c r="U4258" i="5"/>
  <c r="V4258" i="5" s="1"/>
  <c r="O4297" i="5"/>
  <c r="U4297" i="5"/>
  <c r="V4297" i="5" s="1"/>
  <c r="O4361" i="5"/>
  <c r="U4361" i="5"/>
  <c r="V4361" i="5" s="1"/>
  <c r="O4483" i="5"/>
  <c r="U4483" i="5"/>
  <c r="V4483" i="5" s="1"/>
  <c r="U4467" i="5"/>
  <c r="V4467" i="5" s="1"/>
  <c r="O4467" i="5"/>
  <c r="U4541" i="5"/>
  <c r="V4541" i="5" s="1"/>
  <c r="O4541" i="5"/>
  <c r="O4595" i="5"/>
  <c r="U4595" i="5"/>
  <c r="V4595" i="5" s="1"/>
  <c r="O4708" i="5"/>
  <c r="U4708" i="5"/>
  <c r="V4708" i="5" s="1"/>
  <c r="O4745" i="5"/>
  <c r="U4745" i="5"/>
  <c r="V4745" i="5" s="1"/>
  <c r="O4374" i="5"/>
  <c r="U4374" i="5"/>
  <c r="V4374" i="5" s="1"/>
  <c r="O4414" i="5"/>
  <c r="U4414" i="5"/>
  <c r="V4414" i="5" s="1"/>
  <c r="O4333" i="5"/>
  <c r="U4333" i="5"/>
  <c r="V4333" i="5" s="1"/>
  <c r="O4330" i="5"/>
  <c r="U4330" i="5"/>
  <c r="V4330" i="5" s="1"/>
  <c r="O4430" i="5"/>
  <c r="U4430" i="5"/>
  <c r="V4430" i="5" s="1"/>
  <c r="O4453" i="5"/>
  <c r="U4453" i="5"/>
  <c r="V4453" i="5" s="1"/>
  <c r="O4493" i="5"/>
  <c r="O4600" i="5"/>
  <c r="U4600" i="5"/>
  <c r="V4600" i="5" s="1"/>
  <c r="N4703" i="5"/>
  <c r="P4703" i="5"/>
  <c r="O4746" i="5"/>
  <c r="U4746" i="5"/>
  <c r="V4746" i="5" s="1"/>
  <c r="U4260" i="5"/>
  <c r="V4260" i="5" s="1"/>
  <c r="O4260" i="5"/>
  <c r="N4283" i="5"/>
  <c r="P4283" i="5"/>
  <c r="U4293" i="5"/>
  <c r="V4293" i="5" s="1"/>
  <c r="O4293" i="5"/>
  <c r="U4359" i="5"/>
  <c r="V4359" i="5" s="1"/>
  <c r="O4359" i="5"/>
  <c r="O4481" i="5"/>
  <c r="U4481" i="5"/>
  <c r="V4481" i="5" s="1"/>
  <c r="O4536" i="5"/>
  <c r="U4593" i="5"/>
  <c r="V4593" i="5" s="1"/>
  <c r="O4593" i="5"/>
  <c r="O4607" i="5"/>
  <c r="U4607" i="5"/>
  <c r="V4607" i="5" s="1"/>
  <c r="O4710" i="5"/>
  <c r="U4750" i="5"/>
  <c r="V4750" i="5" s="1"/>
  <c r="O4750" i="5"/>
  <c r="O4751" i="5"/>
  <c r="U4751" i="5"/>
  <c r="V4751" i="5" s="1"/>
  <c r="O4311" i="5"/>
  <c r="U4311" i="5"/>
  <c r="V4311" i="5" s="1"/>
  <c r="U4303" i="5"/>
  <c r="V4303" i="5" s="1"/>
  <c r="O4303" i="5"/>
  <c r="O4500" i="5"/>
  <c r="U4500" i="5"/>
  <c r="V4500" i="5" s="1"/>
  <c r="U4454" i="5"/>
  <c r="V4454" i="5" s="1"/>
  <c r="O4454" i="5"/>
  <c r="U4547" i="5"/>
  <c r="V4547" i="5" s="1"/>
  <c r="O4547" i="5"/>
  <c r="O4602" i="5"/>
  <c r="U4602" i="5"/>
  <c r="V4602" i="5" s="1"/>
  <c r="U4564" i="5"/>
  <c r="V4564" i="5" s="1"/>
  <c r="O4564" i="5"/>
  <c r="U4599" i="5"/>
  <c r="V4599" i="5" s="1"/>
  <c r="O4599" i="5"/>
  <c r="O4612" i="5"/>
  <c r="U4612" i="5"/>
  <c r="V4612" i="5" s="1"/>
  <c r="O4663" i="5"/>
  <c r="U4663" i="5"/>
  <c r="V4663" i="5" s="1"/>
  <c r="O4666" i="5"/>
  <c r="U4666" i="5"/>
  <c r="V4666" i="5" s="1"/>
  <c r="O4690" i="5"/>
  <c r="U4690" i="5"/>
  <c r="V4690" i="5" s="1"/>
  <c r="O4760" i="5"/>
  <c r="U4760" i="5"/>
  <c r="V4760" i="5" s="1"/>
  <c r="O4764" i="5"/>
  <c r="U4764" i="5"/>
  <c r="V4764" i="5" s="1"/>
  <c r="O4228" i="5"/>
  <c r="U4228" i="5"/>
  <c r="V4228" i="5" s="1"/>
  <c r="O4328" i="5"/>
  <c r="U4328" i="5"/>
  <c r="V4328" i="5" s="1"/>
  <c r="O4285" i="5"/>
  <c r="U4285" i="5"/>
  <c r="V4285" i="5" s="1"/>
  <c r="U4266" i="5"/>
  <c r="V4266" i="5" s="1"/>
  <c r="O4266" i="5"/>
  <c r="O4263" i="5"/>
  <c r="U4263" i="5"/>
  <c r="V4263" i="5" s="1"/>
  <c r="O4322" i="5"/>
  <c r="U4322" i="5"/>
  <c r="V4322" i="5" s="1"/>
  <c r="U4384" i="5"/>
  <c r="V4384" i="5" s="1"/>
  <c r="O4384" i="5"/>
  <c r="P4472" i="5"/>
  <c r="N4472" i="5"/>
  <c r="U4539" i="5"/>
  <c r="V4539" i="5" s="1"/>
  <c r="O4539" i="5"/>
  <c r="P4611" i="5"/>
  <c r="N4611" i="5"/>
  <c r="U4616" i="5"/>
  <c r="V4616" i="5" s="1"/>
  <c r="O4616" i="5"/>
  <c r="N4662" i="5"/>
  <c r="P4662" i="5"/>
  <c r="O4702" i="5"/>
  <c r="U4702" i="5"/>
  <c r="V4702" i="5" s="1"/>
  <c r="U4717" i="5"/>
  <c r="V4717" i="5" s="1"/>
  <c r="O4717" i="5"/>
  <c r="O4559" i="5"/>
  <c r="U4559" i="5"/>
  <c r="V4559" i="5" s="1"/>
  <c r="U4347" i="5"/>
  <c r="V4347" i="5" s="1"/>
  <c r="O4347" i="5"/>
  <c r="U4773" i="5"/>
  <c r="V4773" i="5" s="1"/>
  <c r="O4773" i="5"/>
  <c r="U4743" i="5"/>
  <c r="V4743" i="5" s="1"/>
  <c r="O4743" i="5"/>
  <c r="O4689" i="5"/>
  <c r="U4711" i="5"/>
  <c r="V4711" i="5" s="1"/>
  <c r="O4711" i="5"/>
  <c r="O4238" i="5"/>
  <c r="U4238" i="5"/>
  <c r="V4238" i="5" s="1"/>
  <c r="O4298" i="5"/>
  <c r="U4298" i="5"/>
  <c r="V4298" i="5" s="1"/>
  <c r="U4349" i="5"/>
  <c r="V4349" i="5" s="1"/>
  <c r="O4349" i="5"/>
  <c r="O4470" i="5"/>
  <c r="U4470" i="5"/>
  <c r="V4470" i="5" s="1"/>
  <c r="U4490" i="5"/>
  <c r="V4490" i="5" s="1"/>
  <c r="O4490" i="5"/>
  <c r="U4532" i="5"/>
  <c r="V4532" i="5" s="1"/>
  <c r="O4532" i="5"/>
  <c r="O4528" i="5"/>
  <c r="U4528" i="5"/>
  <c r="V4528" i="5" s="1"/>
  <c r="O4604" i="5"/>
  <c r="U4604" i="5"/>
  <c r="V4604" i="5" s="1"/>
  <c r="U4603" i="5"/>
  <c r="V4603" i="5" s="1"/>
  <c r="O4603" i="5"/>
  <c r="U4654" i="5"/>
  <c r="V4654" i="5" s="1"/>
  <c r="O4654" i="5"/>
  <c r="U4765" i="5"/>
  <c r="V4765" i="5" s="1"/>
  <c r="O4765" i="5"/>
  <c r="O4317" i="5"/>
  <c r="U4317" i="5"/>
  <c r="V4317" i="5" s="1"/>
  <c r="U4335" i="5"/>
  <c r="V4335" i="5" s="1"/>
  <c r="O4335" i="5"/>
  <c r="U4371" i="5"/>
  <c r="V4371" i="5" s="1"/>
  <c r="O4371" i="5"/>
  <c r="U4495" i="5"/>
  <c r="V4495" i="5" s="1"/>
  <c r="O4495" i="5"/>
  <c r="U4556" i="5"/>
  <c r="V4556" i="5" s="1"/>
  <c r="O4556" i="5"/>
  <c r="U4588" i="5"/>
  <c r="V4588" i="5" s="1"/>
  <c r="O4588" i="5"/>
  <c r="U4609" i="5"/>
  <c r="V4609" i="5" s="1"/>
  <c r="O4609" i="5"/>
  <c r="O4653" i="5"/>
  <c r="U4653" i="5"/>
  <c r="V4653" i="5" s="1"/>
  <c r="O4713" i="5"/>
  <c r="U4713" i="5"/>
  <c r="V4713" i="5" s="1"/>
  <c r="P4727" i="5"/>
  <c r="N4727" i="5"/>
  <c r="O4730" i="5"/>
  <c r="U4730" i="5"/>
  <c r="V4730" i="5" s="1"/>
  <c r="O4254" i="5"/>
  <c r="U4254" i="5"/>
  <c r="V4254" i="5" s="1"/>
  <c r="O4240" i="5"/>
  <c r="U4240" i="5"/>
  <c r="V4240" i="5" s="1"/>
  <c r="O4288" i="5"/>
  <c r="U4288" i="5"/>
  <c r="V4288" i="5" s="1"/>
  <c r="O4253" i="5"/>
  <c r="U4253" i="5"/>
  <c r="V4253" i="5" s="1"/>
  <c r="O4338" i="5"/>
  <c r="U4338" i="5"/>
  <c r="V4338" i="5" s="1"/>
  <c r="O4339" i="5"/>
  <c r="U4339" i="5"/>
  <c r="V4339" i="5" s="1"/>
  <c r="O4353" i="5"/>
  <c r="U4353" i="5"/>
  <c r="V4353" i="5" s="1"/>
  <c r="U4390" i="5"/>
  <c r="V4390" i="5" s="1"/>
  <c r="O4390" i="5"/>
  <c r="O4466" i="5"/>
  <c r="U4466" i="5"/>
  <c r="V4466" i="5" s="1"/>
  <c r="U4476" i="5"/>
  <c r="V4476" i="5" s="1"/>
  <c r="O4476" i="5"/>
  <c r="O4545" i="5"/>
  <c r="U4545" i="5"/>
  <c r="V4545" i="5" s="1"/>
  <c r="U4580" i="5"/>
  <c r="V4580" i="5" s="1"/>
  <c r="O4580" i="5"/>
  <c r="N4706" i="5"/>
  <c r="P4706" i="5"/>
  <c r="O4740" i="5"/>
  <c r="U4740" i="5"/>
  <c r="V4740" i="5" s="1"/>
  <c r="N4767" i="5"/>
  <c r="P4767" i="5"/>
  <c r="O4233" i="5"/>
  <c r="U4233" i="5"/>
  <c r="V4233" i="5" s="1"/>
  <c r="U4307" i="5"/>
  <c r="V4307" i="5" s="1"/>
  <c r="O4307" i="5"/>
  <c r="U4422" i="5"/>
  <c r="V4422" i="5" s="1"/>
  <c r="O4422" i="5"/>
  <c r="U4394" i="5"/>
  <c r="V4394" i="5" s="1"/>
  <c r="O4394" i="5"/>
  <c r="U4744" i="5"/>
  <c r="V4744" i="5" s="1"/>
  <c r="O4744" i="5"/>
  <c r="O4774" i="5"/>
  <c r="U4774" i="5"/>
  <c r="V4774" i="5" s="1"/>
  <c r="U4242" i="5"/>
  <c r="V4242" i="5" s="1"/>
  <c r="O4242" i="5"/>
  <c r="O4344" i="5"/>
  <c r="U4344" i="5"/>
  <c r="V4344" i="5" s="1"/>
  <c r="O4439" i="5"/>
  <c r="U4439" i="5"/>
  <c r="V4439" i="5" s="1"/>
  <c r="O4482" i="5"/>
  <c r="U4482" i="5"/>
  <c r="V4482" i="5" s="1"/>
  <c r="U4478" i="5"/>
  <c r="V4478" i="5" s="1"/>
  <c r="O4478" i="5"/>
  <c r="O4520" i="5"/>
  <c r="U4520" i="5"/>
  <c r="V4520" i="5" s="1"/>
  <c r="O4585" i="5"/>
  <c r="U4585" i="5"/>
  <c r="V4585" i="5" s="1"/>
  <c r="U4610" i="5"/>
  <c r="V4610" i="5" s="1"/>
  <c r="O4610" i="5"/>
  <c r="U4584" i="5"/>
  <c r="V4584" i="5" s="1"/>
  <c r="O4584" i="5"/>
  <c r="U4766" i="5"/>
  <c r="V4766" i="5" s="1"/>
  <c r="O4766" i="5"/>
  <c r="O4772" i="5"/>
  <c r="U4772" i="5"/>
  <c r="V4772" i="5" s="1"/>
  <c r="O4225" i="5"/>
  <c r="U4225" i="5"/>
  <c r="V4225" i="5" s="1"/>
  <c r="O4282" i="5"/>
  <c r="U4282" i="5"/>
  <c r="V4282" i="5" s="1"/>
  <c r="P4276" i="5"/>
  <c r="N4276" i="5"/>
  <c r="O4397" i="5"/>
  <c r="U4397" i="5"/>
  <c r="V4397" i="5" s="1"/>
  <c r="U4313" i="5"/>
  <c r="V4313" i="5" s="1"/>
  <c r="O4313" i="5"/>
  <c r="U4409" i="5"/>
  <c r="V4409" i="5" s="1"/>
  <c r="O4409" i="5"/>
  <c r="U4524" i="5"/>
  <c r="V4524" i="5" s="1"/>
  <c r="O4524" i="5"/>
  <c r="O4620" i="5"/>
  <c r="U4620" i="5"/>
  <c r="V4620" i="5" s="1"/>
  <c r="U4597" i="5"/>
  <c r="V4597" i="5" s="1"/>
  <c r="O4597" i="5"/>
  <c r="P4635" i="5"/>
  <c r="N4635" i="5"/>
  <c r="O4776" i="5"/>
  <c r="U4776" i="5"/>
  <c r="V4776" i="5" s="1"/>
  <c r="U4671" i="5"/>
  <c r="V4671" i="5" s="1"/>
  <c r="O4671" i="5"/>
  <c r="O4505" i="5"/>
  <c r="U4505" i="5"/>
  <c r="V4505" i="5" s="1"/>
  <c r="O4354" i="5"/>
  <c r="U4354" i="5"/>
  <c r="V4354" i="5" s="1"/>
  <c r="U4410" i="5"/>
  <c r="V4410" i="5" s="1"/>
  <c r="O4410" i="5"/>
  <c r="O4234" i="5"/>
  <c r="U4234" i="5"/>
  <c r="V4234" i="5" s="1"/>
  <c r="O4306" i="5"/>
  <c r="U4306" i="5"/>
  <c r="V4306" i="5" s="1"/>
  <c r="O4245" i="5"/>
  <c r="U4245" i="5"/>
  <c r="V4245" i="5" s="1"/>
  <c r="U4486" i="5"/>
  <c r="V4486" i="5" s="1"/>
  <c r="O4486" i="5"/>
  <c r="U4418" i="5"/>
  <c r="V4418" i="5" s="1"/>
  <c r="O4418" i="5"/>
  <c r="O4461" i="5"/>
  <c r="U4461" i="5"/>
  <c r="V4461" i="5" s="1"/>
  <c r="U4471" i="5"/>
  <c r="V4471" i="5" s="1"/>
  <c r="O4471" i="5"/>
  <c r="U4578" i="5"/>
  <c r="V4578" i="5" s="1"/>
  <c r="O4578" i="5"/>
  <c r="O4606" i="5"/>
  <c r="U4606" i="5"/>
  <c r="V4606" i="5" s="1"/>
  <c r="O4624" i="5"/>
  <c r="U4624" i="5"/>
  <c r="V4624" i="5" s="1"/>
  <c r="O4775" i="5"/>
  <c r="U4775" i="5"/>
  <c r="V4775" i="5" s="1"/>
  <c r="O4262" i="5"/>
  <c r="O4391" i="5"/>
  <c r="O4589" i="5"/>
  <c r="U4589" i="5"/>
  <c r="V4589" i="5" s="1"/>
  <c r="O4583" i="5"/>
  <c r="U4583" i="5"/>
  <c r="V4583" i="5" s="1"/>
  <c r="U4762" i="5"/>
  <c r="V4762" i="5" s="1"/>
  <c r="O4762" i="5"/>
  <c r="N4685" i="5"/>
  <c r="P4685" i="5"/>
  <c r="O4734" i="5"/>
  <c r="U4734" i="5"/>
  <c r="V4734" i="5" s="1"/>
  <c r="O4742" i="5"/>
  <c r="U4742" i="5"/>
  <c r="V4742" i="5" s="1"/>
  <c r="O4247" i="5"/>
  <c r="U4247" i="5"/>
  <c r="V4247" i="5" s="1"/>
  <c r="U4236" i="5"/>
  <c r="V4236" i="5" s="1"/>
  <c r="O4236" i="5"/>
  <c r="O4562" i="5"/>
  <c r="O4754" i="5"/>
  <c r="U4754" i="5"/>
  <c r="V4754" i="5" s="1"/>
  <c r="O4758" i="5"/>
  <c r="U4758" i="5"/>
  <c r="V4758" i="5" s="1"/>
  <c r="U4274" i="5"/>
  <c r="V4274" i="5" s="1"/>
  <c r="O4274" i="5"/>
  <c r="O4345" i="5"/>
  <c r="U4345" i="5"/>
  <c r="V4345" i="5" s="1"/>
  <c r="O4434" i="5"/>
  <c r="U4434" i="5"/>
  <c r="V4434" i="5" s="1"/>
  <c r="O4474" i="5"/>
  <c r="U4474" i="5"/>
  <c r="V4474" i="5" s="1"/>
  <c r="U4480" i="5"/>
  <c r="V4480" i="5" s="1"/>
  <c r="O4480" i="5"/>
  <c r="U4473" i="5"/>
  <c r="V4473" i="5" s="1"/>
  <c r="O4473" i="5"/>
  <c r="O4596" i="5"/>
  <c r="U4596" i="5"/>
  <c r="V4596" i="5" s="1"/>
  <c r="O4518" i="5"/>
  <c r="U4518" i="5"/>
  <c r="V4518" i="5" s="1"/>
  <c r="O4598" i="5"/>
  <c r="U4598" i="5"/>
  <c r="V4598" i="5" s="1"/>
  <c r="O4570" i="5"/>
  <c r="U4570" i="5"/>
  <c r="V4570" i="5" s="1"/>
  <c r="U4622" i="5"/>
  <c r="V4622" i="5" s="1"/>
  <c r="O4622" i="5"/>
  <c r="O4719" i="5"/>
  <c r="U4719" i="5"/>
  <c r="V4719" i="5" s="1"/>
  <c r="U4252" i="5"/>
  <c r="V4252" i="5" s="1"/>
  <c r="O4252" i="5"/>
  <c r="P4226" i="5"/>
  <c r="N4226" i="5"/>
  <c r="O4323" i="5"/>
  <c r="O4316" i="5"/>
  <c r="U4316" i="5"/>
  <c r="V4316" i="5" s="1"/>
  <c r="O4368" i="5"/>
  <c r="U4368" i="5"/>
  <c r="V4368" i="5" s="1"/>
  <c r="O4412" i="5"/>
  <c r="U4412" i="5"/>
  <c r="V4412" i="5" s="1"/>
  <c r="O4705" i="5"/>
  <c r="U4705" i="5"/>
  <c r="V4705" i="5" s="1"/>
  <c r="O4670" i="5"/>
  <c r="U4670" i="5"/>
  <c r="V4670" i="5" s="1"/>
  <c r="O4296" i="5"/>
  <c r="U4296" i="5"/>
  <c r="V4296" i="5" s="1"/>
  <c r="N4289" i="5"/>
  <c r="P4289" i="5"/>
  <c r="P4348" i="5"/>
  <c r="N4348" i="5"/>
  <c r="U4396" i="5"/>
  <c r="V4396" i="5" s="1"/>
  <c r="O4396" i="5"/>
  <c r="O4491" i="5"/>
  <c r="U4491" i="5"/>
  <c r="V4491" i="5" s="1"/>
  <c r="O4488" i="5"/>
  <c r="U4488" i="5"/>
  <c r="V4488" i="5" s="1"/>
  <c r="U4458" i="5"/>
  <c r="V4458" i="5" s="1"/>
  <c r="O4458" i="5"/>
  <c r="P4515" i="5"/>
  <c r="N4515" i="5"/>
  <c r="O4724" i="5"/>
  <c r="U4724" i="5"/>
  <c r="V4724" i="5" s="1"/>
  <c r="N4749" i="5"/>
  <c r="P4749" i="5"/>
  <c r="O4235" i="5"/>
  <c r="U4235" i="5"/>
  <c r="V4235" i="5" s="1"/>
  <c r="U4697" i="5"/>
  <c r="V4697" i="5" s="1"/>
  <c r="O4697" i="5"/>
  <c r="U4731" i="5"/>
  <c r="V4731" i="5" s="1"/>
  <c r="O4731" i="5"/>
  <c r="R3824" i="5"/>
  <c r="S3824" i="5" s="1"/>
  <c r="N3767" i="5"/>
  <c r="R3948" i="5"/>
  <c r="S3948" i="5" s="1"/>
  <c r="R4204" i="5"/>
  <c r="S4204" i="5" s="1"/>
  <c r="R4174" i="5"/>
  <c r="S4174" i="5" s="1"/>
  <c r="R3766" i="5"/>
  <c r="S3766" i="5" s="1"/>
  <c r="N4179" i="5"/>
  <c r="U4179" i="5" s="1"/>
  <c r="V4179" i="5" s="1"/>
  <c r="N3928" i="5"/>
  <c r="O3928" i="5" s="1"/>
  <c r="R3960" i="5"/>
  <c r="S3960" i="5" s="1"/>
  <c r="N3797" i="5"/>
  <c r="U3797" i="5" s="1"/>
  <c r="V3797" i="5" s="1"/>
  <c r="R3866" i="5"/>
  <c r="S3866" i="5" s="1"/>
  <c r="R3884" i="5"/>
  <c r="S3884" i="5" s="1"/>
  <c r="R3826" i="5"/>
  <c r="S3826" i="5" s="1"/>
  <c r="R3809" i="5"/>
  <c r="S3809" i="5" s="1"/>
  <c r="N4011" i="5"/>
  <c r="R3842" i="5"/>
  <c r="S3842" i="5" s="1"/>
  <c r="N3922" i="5"/>
  <c r="O3922" i="5" s="1"/>
  <c r="R3703" i="5"/>
  <c r="S3703" i="5" s="1"/>
  <c r="R4038" i="5"/>
  <c r="S4038" i="5" s="1"/>
  <c r="R3852" i="5"/>
  <c r="S3852" i="5" s="1"/>
  <c r="R3853" i="5"/>
  <c r="S3853" i="5" s="1"/>
  <c r="R4207" i="5"/>
  <c r="S4207" i="5" s="1"/>
  <c r="R4107" i="5"/>
  <c r="S4107" i="5" s="1"/>
  <c r="R3799" i="5"/>
  <c r="S3799" i="5" s="1"/>
  <c r="R3836" i="5"/>
  <c r="S3836" i="5" s="1"/>
  <c r="R3763" i="5"/>
  <c r="S3763" i="5" s="1"/>
  <c r="R3892" i="5"/>
  <c r="S3892" i="5" s="1"/>
  <c r="R3949" i="5"/>
  <c r="S3949" i="5" s="1"/>
  <c r="R4089" i="5"/>
  <c r="S4089" i="5" s="1"/>
  <c r="R3906" i="5"/>
  <c r="S3906" i="5" s="1"/>
  <c r="R4057" i="5"/>
  <c r="S4057" i="5" s="1"/>
  <c r="R4170" i="5"/>
  <c r="S4170" i="5" s="1"/>
  <c r="R3830" i="5"/>
  <c r="S3830" i="5" s="1"/>
  <c r="R3877" i="5"/>
  <c r="S3877" i="5" s="1"/>
  <c r="R4105" i="5"/>
  <c r="S4105" i="5" s="1"/>
  <c r="R3924" i="5"/>
  <c r="S3924" i="5" s="1"/>
  <c r="R3987" i="5"/>
  <c r="S3987" i="5" s="1"/>
  <c r="N3880" i="5"/>
  <c r="R4222" i="5"/>
  <c r="S4222" i="5" s="1"/>
  <c r="R3807" i="5"/>
  <c r="S3807" i="5" s="1"/>
  <c r="R3726" i="5"/>
  <c r="S3726" i="5" s="1"/>
  <c r="N3791" i="5"/>
  <c r="N4150" i="5"/>
  <c r="R4135" i="5"/>
  <c r="S4135" i="5" s="1"/>
  <c r="R4025" i="5"/>
  <c r="S4025" i="5" s="1"/>
  <c r="R3939" i="5"/>
  <c r="S3939" i="5" s="1"/>
  <c r="R3986" i="5"/>
  <c r="S3986" i="5" s="1"/>
  <c r="R3795" i="5"/>
  <c r="S3795" i="5" s="1"/>
  <c r="R4103" i="5"/>
  <c r="S4103" i="5" s="1"/>
  <c r="R3729" i="5"/>
  <c r="S3729" i="5" s="1"/>
  <c r="R4066" i="5"/>
  <c r="S4066" i="5" s="1"/>
  <c r="R4030" i="5"/>
  <c r="S4030" i="5" s="1"/>
  <c r="R4152" i="5"/>
  <c r="S4152" i="5" s="1"/>
  <c r="R3871" i="5"/>
  <c r="S3871" i="5" s="1"/>
  <c r="R4090" i="5"/>
  <c r="S4090" i="5" s="1"/>
  <c r="R3715" i="5"/>
  <c r="S3715" i="5" s="1"/>
  <c r="R4191" i="5"/>
  <c r="S4191" i="5" s="1"/>
  <c r="R4212" i="5"/>
  <c r="S4212" i="5" s="1"/>
  <c r="R4046" i="5"/>
  <c r="S4046" i="5" s="1"/>
  <c r="R3903" i="5"/>
  <c r="S3903" i="5" s="1"/>
  <c r="R4172" i="5"/>
  <c r="S4172" i="5" s="1"/>
  <c r="R4001" i="5"/>
  <c r="S4001" i="5" s="1"/>
  <c r="R3945" i="5"/>
  <c r="S3945" i="5" s="1"/>
  <c r="P3880" i="5"/>
  <c r="R3844" i="5"/>
  <c r="S3844" i="5" s="1"/>
  <c r="R3777" i="5"/>
  <c r="S3777" i="5" s="1"/>
  <c r="R3805" i="5"/>
  <c r="S3805" i="5" s="1"/>
  <c r="N4133" i="5"/>
  <c r="O4133" i="5" s="1"/>
  <c r="R4124" i="5"/>
  <c r="S4124" i="5" s="1"/>
  <c r="N3845" i="5"/>
  <c r="O3845" i="5" s="1"/>
  <c r="R4101" i="5"/>
  <c r="S4101" i="5" s="1"/>
  <c r="R4221" i="5"/>
  <c r="S4221" i="5" s="1"/>
  <c r="R3789" i="5"/>
  <c r="S3789" i="5" s="1"/>
  <c r="R3696" i="5"/>
  <c r="S3696" i="5" s="1"/>
  <c r="R4026" i="5"/>
  <c r="S4026" i="5" s="1"/>
  <c r="R3895" i="5"/>
  <c r="S3895" i="5" s="1"/>
  <c r="R3813" i="5"/>
  <c r="S3813" i="5" s="1"/>
  <c r="R3706" i="5"/>
  <c r="S3706" i="5" s="1"/>
  <c r="U4184" i="5"/>
  <c r="V4184" i="5" s="1"/>
  <c r="R4136" i="5"/>
  <c r="S4136" i="5" s="1"/>
  <c r="R4054" i="5"/>
  <c r="S4054" i="5" s="1"/>
  <c r="R3936" i="5"/>
  <c r="S3936" i="5" s="1"/>
  <c r="R3951" i="5"/>
  <c r="S3951" i="5" s="1"/>
  <c r="R3933" i="5"/>
  <c r="S3933" i="5" s="1"/>
  <c r="R3930" i="5"/>
  <c r="S3930" i="5" s="1"/>
  <c r="R3838" i="5"/>
  <c r="S3838" i="5" s="1"/>
  <c r="R3876" i="5"/>
  <c r="S3876" i="5" s="1"/>
  <c r="R3718" i="5"/>
  <c r="S3718" i="5" s="1"/>
  <c r="N4060" i="5"/>
  <c r="R3802" i="5"/>
  <c r="S3802" i="5" s="1"/>
  <c r="R3770" i="5"/>
  <c r="S3770" i="5" s="1"/>
  <c r="R3999" i="5"/>
  <c r="S3999" i="5" s="1"/>
  <c r="U3896" i="5"/>
  <c r="V3896" i="5" s="1"/>
  <c r="R3815" i="5"/>
  <c r="S3815" i="5" s="1"/>
  <c r="R3732" i="5"/>
  <c r="S3732" i="5" s="1"/>
  <c r="N3779" i="5"/>
  <c r="O3779" i="5" s="1"/>
  <c r="R3791" i="5"/>
  <c r="S3791" i="5" s="1"/>
  <c r="L4152" i="5"/>
  <c r="N4152" i="5" s="1"/>
  <c r="R3968" i="5"/>
  <c r="S3968" i="5" s="1"/>
  <c r="R4143" i="5"/>
  <c r="S4143" i="5" s="1"/>
  <c r="R4123" i="5"/>
  <c r="S4123" i="5" s="1"/>
  <c r="R4196" i="5"/>
  <c r="S4196" i="5" s="1"/>
  <c r="L3933" i="5"/>
  <c r="N3933" i="5" s="1"/>
  <c r="L3826" i="5"/>
  <c r="P3826" i="5" s="1"/>
  <c r="R4015" i="5"/>
  <c r="S4015" i="5" s="1"/>
  <c r="N4122" i="5"/>
  <c r="R4119" i="5"/>
  <c r="S4119" i="5" s="1"/>
  <c r="N4063" i="5"/>
  <c r="U4063" i="5" s="1"/>
  <c r="V4063" i="5" s="1"/>
  <c r="R3864" i="5"/>
  <c r="S3864" i="5" s="1"/>
  <c r="N4033" i="5"/>
  <c r="O4033" i="5" s="1"/>
  <c r="L4107" i="5"/>
  <c r="P4107" i="5" s="1"/>
  <c r="U4116" i="5"/>
  <c r="V4116" i="5" s="1"/>
  <c r="P4060" i="5"/>
  <c r="R3963" i="5"/>
  <c r="S3963" i="5" s="1"/>
  <c r="R3738" i="5"/>
  <c r="S3738" i="5" s="1"/>
  <c r="N4021" i="5"/>
  <c r="O4021" i="5" s="1"/>
  <c r="U4194" i="5"/>
  <c r="V4194" i="5" s="1"/>
  <c r="R3971" i="5"/>
  <c r="S3971" i="5" s="1"/>
  <c r="U3828" i="5"/>
  <c r="V3828" i="5" s="1"/>
  <c r="R4216" i="5"/>
  <c r="S4216" i="5" s="1"/>
  <c r="P4150" i="5"/>
  <c r="R4083" i="5"/>
  <c r="S4083" i="5" s="1"/>
  <c r="R3978" i="5"/>
  <c r="S3978" i="5" s="1"/>
  <c r="R3954" i="5"/>
  <c r="S3954" i="5" s="1"/>
  <c r="R3832" i="5"/>
  <c r="S3832" i="5" s="1"/>
  <c r="R3819" i="5"/>
  <c r="S3819" i="5" s="1"/>
  <c r="R4104" i="5"/>
  <c r="S4104" i="5" s="1"/>
  <c r="R4016" i="5"/>
  <c r="S4016" i="5" s="1"/>
  <c r="U4115" i="5"/>
  <c r="V4115" i="5" s="1"/>
  <c r="L3954" i="5"/>
  <c r="P3954" i="5" s="1"/>
  <c r="L3963" i="5"/>
  <c r="N3963" i="5" s="1"/>
  <c r="R3846" i="5"/>
  <c r="S3846" i="5" s="1"/>
  <c r="P3767" i="5"/>
  <c r="R4032" i="5"/>
  <c r="S4032" i="5" s="1"/>
  <c r="R4131" i="5"/>
  <c r="S4131" i="5" s="1"/>
  <c r="N3856" i="5"/>
  <c r="O3856" i="5" s="1"/>
  <c r="L3770" i="5"/>
  <c r="P3770" i="5" s="1"/>
  <c r="R4112" i="5"/>
  <c r="S4112" i="5" s="1"/>
  <c r="L3945" i="5"/>
  <c r="P3945" i="5" s="1"/>
  <c r="R3851" i="5"/>
  <c r="S3851" i="5" s="1"/>
  <c r="L4001" i="5"/>
  <c r="P4001" i="5" s="1"/>
  <c r="R4017" i="5"/>
  <c r="S4017" i="5" s="1"/>
  <c r="R4167" i="5"/>
  <c r="S4167" i="5" s="1"/>
  <c r="N3885" i="5"/>
  <c r="O3885" i="5" s="1"/>
  <c r="N4137" i="5"/>
  <c r="O4137" i="5" s="1"/>
  <c r="N4053" i="5"/>
  <c r="U4053" i="5" s="1"/>
  <c r="V4053" i="5" s="1"/>
  <c r="R4113" i="5"/>
  <c r="S4113" i="5" s="1"/>
  <c r="O4048" i="5"/>
  <c r="N3867" i="5"/>
  <c r="O3867" i="5" s="1"/>
  <c r="R4036" i="5"/>
  <c r="S4036" i="5" s="1"/>
  <c r="R4079" i="5"/>
  <c r="S4079" i="5" s="1"/>
  <c r="N3804" i="5"/>
  <c r="O3804" i="5" s="1"/>
  <c r="R3916" i="5"/>
  <c r="S3916" i="5" s="1"/>
  <c r="P3931" i="5"/>
  <c r="N3931" i="5"/>
  <c r="O3893" i="5"/>
  <c r="U3893" i="5"/>
  <c r="V3893" i="5" s="1"/>
  <c r="N4072" i="5"/>
  <c r="P4072" i="5"/>
  <c r="U4149" i="5"/>
  <c r="V4149" i="5" s="1"/>
  <c r="L4124" i="5"/>
  <c r="N4124" i="5" s="1"/>
  <c r="P4122" i="5"/>
  <c r="U4055" i="5"/>
  <c r="V4055" i="5" s="1"/>
  <c r="R3973" i="5"/>
  <c r="S3973" i="5" s="1"/>
  <c r="R3983" i="5"/>
  <c r="S3983" i="5" s="1"/>
  <c r="U3890" i="5"/>
  <c r="V3890" i="5" s="1"/>
  <c r="R3910" i="5"/>
  <c r="S3910" i="5" s="1"/>
  <c r="R3912" i="5"/>
  <c r="S3912" i="5" s="1"/>
  <c r="R4072" i="5"/>
  <c r="S4072" i="5" s="1"/>
  <c r="R4215" i="5"/>
  <c r="S4215" i="5" s="1"/>
  <c r="L4112" i="5"/>
  <c r="N4112" i="5" s="1"/>
  <c r="R4100" i="5"/>
  <c r="S4100" i="5" s="1"/>
  <c r="L3986" i="5"/>
  <c r="P3986" i="5" s="1"/>
  <c r="R3927" i="5"/>
  <c r="S3927" i="5" s="1"/>
  <c r="L3809" i="5"/>
  <c r="N3809" i="5" s="1"/>
  <c r="R4162" i="5"/>
  <c r="S4162" i="5" s="1"/>
  <c r="R4070" i="5"/>
  <c r="S4070" i="5" s="1"/>
  <c r="O4111" i="5"/>
  <c r="R3931" i="5"/>
  <c r="S3931" i="5" s="1"/>
  <c r="R4210" i="5"/>
  <c r="S4210" i="5" s="1"/>
  <c r="R4067" i="5"/>
  <c r="S4067" i="5" s="1"/>
  <c r="R4007" i="5"/>
  <c r="S4007" i="5" s="1"/>
  <c r="L3795" i="5"/>
  <c r="P3795" i="5" s="1"/>
  <c r="P3791" i="5"/>
  <c r="N3785" i="5"/>
  <c r="U3785" i="5" s="1"/>
  <c r="V3785" i="5" s="1"/>
  <c r="R4190" i="5"/>
  <c r="S4190" i="5" s="1"/>
  <c r="R4009" i="5"/>
  <c r="S4009" i="5" s="1"/>
  <c r="L3802" i="5"/>
  <c r="N3802" i="5" s="1"/>
  <c r="R3781" i="5"/>
  <c r="S3781" i="5" s="1"/>
  <c r="R3919" i="5"/>
  <c r="S3919" i="5" s="1"/>
  <c r="R4218" i="5"/>
  <c r="S4218" i="5" s="1"/>
  <c r="R4180" i="5"/>
  <c r="S4180" i="5" s="1"/>
  <c r="U4110" i="5"/>
  <c r="V4110" i="5" s="1"/>
  <c r="L3987" i="5"/>
  <c r="P3987" i="5" s="1"/>
  <c r="R3976" i="5"/>
  <c r="S3976" i="5" s="1"/>
  <c r="U4125" i="5"/>
  <c r="V4125" i="5" s="1"/>
  <c r="R3929" i="5"/>
  <c r="S3929" i="5" s="1"/>
  <c r="R3796" i="5"/>
  <c r="S3796" i="5" s="1"/>
  <c r="R3995" i="5"/>
  <c r="S3995" i="5" s="1"/>
  <c r="N3790" i="5"/>
  <c r="O3790" i="5" s="1"/>
  <c r="O3859" i="5"/>
  <c r="U3859" i="5"/>
  <c r="V3859" i="5" s="1"/>
  <c r="P3916" i="5"/>
  <c r="N3916" i="5"/>
  <c r="P4162" i="5"/>
  <c r="N4162" i="5"/>
  <c r="N4070" i="5"/>
  <c r="P4070" i="5"/>
  <c r="P3877" i="5"/>
  <c r="N3877" i="5"/>
  <c r="P4143" i="5"/>
  <c r="N4143" i="5"/>
  <c r="P4104" i="5"/>
  <c r="N4104" i="5"/>
  <c r="N3834" i="5"/>
  <c r="P3834" i="5"/>
  <c r="N3943" i="5"/>
  <c r="O3943" i="5" s="1"/>
  <c r="L3903" i="5"/>
  <c r="P3903" i="5" s="1"/>
  <c r="U3817" i="5"/>
  <c r="V3817" i="5" s="1"/>
  <c r="R3943" i="5"/>
  <c r="S3943" i="5" s="1"/>
  <c r="R3834" i="5"/>
  <c r="S3834" i="5" s="1"/>
  <c r="P4011" i="5"/>
  <c r="L4174" i="5"/>
  <c r="P4174" i="5" s="1"/>
  <c r="U4076" i="5"/>
  <c r="V4076" i="5" s="1"/>
  <c r="L3978" i="5"/>
  <c r="P3978" i="5" s="1"/>
  <c r="L3789" i="5"/>
  <c r="N3789" i="5" s="1"/>
  <c r="L3700" i="5"/>
  <c r="P3700" i="5" s="1"/>
  <c r="U4213" i="5"/>
  <c r="V4213" i="5" s="1"/>
  <c r="R4130" i="5"/>
  <c r="S4130" i="5" s="1"/>
  <c r="R4047" i="5"/>
  <c r="S4047" i="5" s="1"/>
  <c r="R4084" i="5"/>
  <c r="S4084" i="5" s="1"/>
  <c r="L3948" i="5"/>
  <c r="N3948" i="5" s="1"/>
  <c r="L3951" i="5"/>
  <c r="P3951" i="5" s="1"/>
  <c r="L3838" i="5"/>
  <c r="P3838" i="5" s="1"/>
  <c r="R3793" i="5"/>
  <c r="S3793" i="5" s="1"/>
  <c r="R3723" i="5"/>
  <c r="S3723" i="5" s="1"/>
  <c r="L3949" i="5"/>
  <c r="L4103" i="5"/>
  <c r="R4095" i="5"/>
  <c r="S4095" i="5" s="1"/>
  <c r="L4025" i="5"/>
  <c r="P4025" i="5" s="1"/>
  <c r="U4022" i="5"/>
  <c r="V4022" i="5" s="1"/>
  <c r="R3887" i="5"/>
  <c r="S3887" i="5" s="1"/>
  <c r="L3851" i="5"/>
  <c r="N3851" i="5" s="1"/>
  <c r="L3703" i="5"/>
  <c r="P3703" i="5" s="1"/>
  <c r="R3900" i="5"/>
  <c r="S3900" i="5" s="1"/>
  <c r="U3839" i="5"/>
  <c r="V3839" i="5" s="1"/>
  <c r="R3872" i="5"/>
  <c r="S3872" i="5" s="1"/>
  <c r="R3953" i="5"/>
  <c r="S3953" i="5" s="1"/>
  <c r="R3714" i="5"/>
  <c r="S3714" i="5" s="1"/>
  <c r="N3901" i="5"/>
  <c r="R4185" i="5"/>
  <c r="S4185" i="5" s="1"/>
  <c r="R4165" i="5"/>
  <c r="S4165" i="5" s="1"/>
  <c r="R4145" i="5"/>
  <c r="S4145" i="5" s="1"/>
  <c r="U4109" i="5"/>
  <c r="V4109" i="5" s="1"/>
  <c r="L4105" i="5"/>
  <c r="N4105" i="5" s="1"/>
  <c r="R3957" i="5"/>
  <c r="S3957" i="5" s="1"/>
  <c r="U4065" i="5"/>
  <c r="V4065" i="5" s="1"/>
  <c r="R3879" i="5"/>
  <c r="S3879" i="5" s="1"/>
  <c r="R4154" i="5"/>
  <c r="S4154" i="5" s="1"/>
  <c r="N3796" i="5"/>
  <c r="O3796" i="5" s="1"/>
  <c r="P3784" i="5"/>
  <c r="N3784" i="5"/>
  <c r="R3784" i="5"/>
  <c r="S3784" i="5" s="1"/>
  <c r="N3775" i="5"/>
  <c r="U3775" i="5" s="1"/>
  <c r="V3775" i="5" s="1"/>
  <c r="L3766" i="5"/>
  <c r="P3766" i="5" s="1"/>
  <c r="L3763" i="5"/>
  <c r="N3763" i="5" s="1"/>
  <c r="L3753" i="5"/>
  <c r="P3753" i="5" s="1"/>
  <c r="L3750" i="5"/>
  <c r="N3750" i="5" s="1"/>
  <c r="L3735" i="5"/>
  <c r="N3735" i="5" s="1"/>
  <c r="L3722" i="5"/>
  <c r="N3722" i="5" s="1"/>
  <c r="L3718" i="5"/>
  <c r="P3718" i="5" s="1"/>
  <c r="L3706" i="5"/>
  <c r="P3706" i="5" s="1"/>
  <c r="P4015" i="5"/>
  <c r="N4015" i="5"/>
  <c r="P4005" i="5"/>
  <c r="N4005" i="5"/>
  <c r="N3925" i="5"/>
  <c r="P3925" i="5"/>
  <c r="P3910" i="5"/>
  <c r="N3910" i="5"/>
  <c r="P3904" i="5"/>
  <c r="N3904" i="5"/>
  <c r="N3872" i="5"/>
  <c r="P3872" i="5"/>
  <c r="N4154" i="5"/>
  <c r="P4154" i="5"/>
  <c r="N4032" i="5"/>
  <c r="P4032" i="5"/>
  <c r="P3995" i="5"/>
  <c r="N3995" i="5"/>
  <c r="P3864" i="5"/>
  <c r="N3864" i="5"/>
  <c r="P4167" i="5"/>
  <c r="N4167" i="5"/>
  <c r="R3821" i="5"/>
  <c r="S3821" i="5" s="1"/>
  <c r="L4218" i="5"/>
  <c r="N4218" i="5" s="1"/>
  <c r="R4201" i="5"/>
  <c r="S4201" i="5" s="1"/>
  <c r="U4199" i="5"/>
  <c r="V4199" i="5" s="1"/>
  <c r="R4157" i="5"/>
  <c r="S4157" i="5" s="1"/>
  <c r="R4142" i="5"/>
  <c r="S4142" i="5" s="1"/>
  <c r="U4168" i="5"/>
  <c r="V4168" i="5" s="1"/>
  <c r="R4129" i="5"/>
  <c r="S4129" i="5" s="1"/>
  <c r="L4083" i="5"/>
  <c r="N4083" i="5" s="1"/>
  <c r="U4062" i="5"/>
  <c r="V4062" i="5" s="1"/>
  <c r="U4077" i="5"/>
  <c r="V4077" i="5" s="1"/>
  <c r="L3871" i="5"/>
  <c r="P3871" i="5" s="1"/>
  <c r="L3747" i="5"/>
  <c r="P3747" i="5" s="1"/>
  <c r="R3756" i="5"/>
  <c r="S3756" i="5" s="1"/>
  <c r="R4005" i="5"/>
  <c r="S4005" i="5" s="1"/>
  <c r="N4131" i="5"/>
  <c r="L3919" i="5"/>
  <c r="L3853" i="5"/>
  <c r="L3805" i="5"/>
  <c r="R3758" i="5"/>
  <c r="S3758" i="5" s="1"/>
  <c r="L4054" i="5"/>
  <c r="N4054" i="5" s="1"/>
  <c r="L4079" i="5"/>
  <c r="N4079" i="5" s="1"/>
  <c r="R4023" i="5"/>
  <c r="S4023" i="5" s="1"/>
  <c r="L3999" i="5"/>
  <c r="N3999" i="5" s="1"/>
  <c r="L3929" i="5"/>
  <c r="P3929" i="5" s="1"/>
  <c r="L3895" i="5"/>
  <c r="N3895" i="5" s="1"/>
  <c r="L3852" i="5"/>
  <c r="P3852" i="5" s="1"/>
  <c r="R3882" i="5"/>
  <c r="S3882" i="5" s="1"/>
  <c r="L3729" i="5"/>
  <c r="P3729" i="5" s="1"/>
  <c r="R4019" i="5"/>
  <c r="S4019" i="5" s="1"/>
  <c r="L4216" i="5"/>
  <c r="N4216" i="5" s="1"/>
  <c r="R4195" i="5"/>
  <c r="S4195" i="5" s="1"/>
  <c r="R4202" i="5"/>
  <c r="S4202" i="5" s="1"/>
  <c r="R4188" i="5"/>
  <c r="S4188" i="5" s="1"/>
  <c r="O4184" i="5"/>
  <c r="L4046" i="5"/>
  <c r="N4046" i="5" s="1"/>
  <c r="U4041" i="5"/>
  <c r="V4041" i="5" s="1"/>
  <c r="L4026" i="5"/>
  <c r="P4026" i="5" s="1"/>
  <c r="L3858" i="5"/>
  <c r="N3858" i="5" s="1"/>
  <c r="L3696" i="5"/>
  <c r="N3696" i="5" s="1"/>
  <c r="R3803" i="5"/>
  <c r="S3803" i="5" s="1"/>
  <c r="U3811" i="5"/>
  <c r="V3811" i="5" s="1"/>
  <c r="R3787" i="5"/>
  <c r="S3787" i="5" s="1"/>
  <c r="R3759" i="5"/>
  <c r="S3759" i="5" s="1"/>
  <c r="R4146" i="5"/>
  <c r="S4146" i="5" s="1"/>
  <c r="L4089" i="5"/>
  <c r="P4089" i="5" s="1"/>
  <c r="R4098" i="5"/>
  <c r="S4098" i="5" s="1"/>
  <c r="L4057" i="5"/>
  <c r="N4057" i="5" s="1"/>
  <c r="R4031" i="5"/>
  <c r="S4031" i="5" s="1"/>
  <c r="L3976" i="5"/>
  <c r="P3976" i="5" s="1"/>
  <c r="R3993" i="5"/>
  <c r="S3993" i="5" s="1"/>
  <c r="L3906" i="5"/>
  <c r="P3906" i="5" s="1"/>
  <c r="L3769" i="5"/>
  <c r="P3769" i="5" s="1"/>
  <c r="L3884" i="5"/>
  <c r="N3884" i="5" s="1"/>
  <c r="L3844" i="5"/>
  <c r="N3844" i="5" s="1"/>
  <c r="L3738" i="5"/>
  <c r="N3738" i="5" s="1"/>
  <c r="L3892" i="5"/>
  <c r="N3892" i="5" s="1"/>
  <c r="R3925" i="5"/>
  <c r="S3925" i="5" s="1"/>
  <c r="R3904" i="5"/>
  <c r="S3904" i="5" s="1"/>
  <c r="L4204" i="5"/>
  <c r="P4204" i="5" s="1"/>
  <c r="R4186" i="5"/>
  <c r="S4186" i="5" s="1"/>
  <c r="L4135" i="5"/>
  <c r="N4135" i="5" s="1"/>
  <c r="R4074" i="5"/>
  <c r="S4074" i="5" s="1"/>
  <c r="L4038" i="5"/>
  <c r="N4038" i="5" s="1"/>
  <c r="O4097" i="5"/>
  <c r="L4035" i="5"/>
  <c r="N4035" i="5" s="1"/>
  <c r="U4099" i="5"/>
  <c r="V4099" i="5" s="1"/>
  <c r="L4009" i="5"/>
  <c r="P4009" i="5" s="1"/>
  <c r="U4013" i="5"/>
  <c r="V4013" i="5" s="1"/>
  <c r="L3973" i="5"/>
  <c r="N3973" i="5" s="1"/>
  <c r="L3939" i="5"/>
  <c r="P3939" i="5" s="1"/>
  <c r="L3715" i="5"/>
  <c r="P3715" i="5" s="1"/>
  <c r="L3732" i="5"/>
  <c r="N3732" i="5" s="1"/>
  <c r="R3801" i="5"/>
  <c r="S3801" i="5" s="1"/>
  <c r="U3937" i="5"/>
  <c r="V3937" i="5" s="1"/>
  <c r="U3810" i="5"/>
  <c r="V3810" i="5" s="1"/>
  <c r="N4121" i="5"/>
  <c r="U4163" i="5"/>
  <c r="V4163" i="5" s="1"/>
  <c r="U4140" i="5"/>
  <c r="V4140" i="5" s="1"/>
  <c r="U4139" i="5"/>
  <c r="V4139" i="5" s="1"/>
  <c r="U4117" i="5"/>
  <c r="V4117" i="5" s="1"/>
  <c r="U4111" i="5"/>
  <c r="V4111" i="5" s="1"/>
  <c r="O4099" i="5"/>
  <c r="U4097" i="5"/>
  <c r="V4097" i="5" s="1"/>
  <c r="U4048" i="5"/>
  <c r="V4048" i="5" s="1"/>
  <c r="U4045" i="5"/>
  <c r="V4045" i="5" s="1"/>
  <c r="O4041" i="5"/>
  <c r="O4013" i="5"/>
  <c r="U4003" i="5"/>
  <c r="V4003" i="5" s="1"/>
  <c r="U3920" i="5"/>
  <c r="V3920" i="5" s="1"/>
  <c r="U3898" i="5"/>
  <c r="V3898" i="5" s="1"/>
  <c r="O3896" i="5"/>
  <c r="U3888" i="5"/>
  <c r="V3888" i="5" s="1"/>
  <c r="U3847" i="5"/>
  <c r="V3847" i="5" s="1"/>
  <c r="U3840" i="5"/>
  <c r="V3840" i="5" s="1"/>
  <c r="U3833" i="5"/>
  <c r="V3833" i="5" s="1"/>
  <c r="U3827" i="5"/>
  <c r="V3827" i="5" s="1"/>
  <c r="O3828" i="5"/>
  <c r="U3822" i="5"/>
  <c r="V3822" i="5" s="1"/>
  <c r="U3823" i="5"/>
  <c r="V3823" i="5" s="1"/>
  <c r="U3816" i="5"/>
  <c r="V3816" i="5" s="1"/>
  <c r="U3778" i="5"/>
  <c r="V3778" i="5" s="1"/>
  <c r="U3773" i="5"/>
  <c r="V3773" i="5" s="1"/>
  <c r="O4022" i="5"/>
  <c r="O3811" i="5"/>
  <c r="O3888" i="5"/>
  <c r="O4149" i="5"/>
  <c r="O4117" i="5"/>
  <c r="O4213" i="5"/>
  <c r="O4003" i="5"/>
  <c r="O3817" i="5"/>
  <c r="U3701" i="5"/>
  <c r="V3701" i="5" s="1"/>
  <c r="P4202" i="5"/>
  <c r="N4202" i="5"/>
  <c r="P4198" i="5"/>
  <c r="N4198" i="5"/>
  <c r="P4183" i="5"/>
  <c r="N4183" i="5"/>
  <c r="N3801" i="5"/>
  <c r="P3801" i="5"/>
  <c r="N4215" i="5"/>
  <c r="P4215" i="5"/>
  <c r="N4185" i="5"/>
  <c r="P4185" i="5"/>
  <c r="N4119" i="5"/>
  <c r="P4119" i="5"/>
  <c r="P3988" i="5"/>
  <c r="N3988" i="5"/>
  <c r="P3993" i="5"/>
  <c r="N3993" i="5"/>
  <c r="N3761" i="5"/>
  <c r="P3761" i="5"/>
  <c r="N3712" i="5"/>
  <c r="P3712" i="5"/>
  <c r="P4224" i="5"/>
  <c r="N4224" i="5"/>
  <c r="P4193" i="5"/>
  <c r="N4193" i="5"/>
  <c r="N4024" i="5"/>
  <c r="P4024" i="5"/>
  <c r="N3965" i="5"/>
  <c r="P3965" i="5"/>
  <c r="N3819" i="5"/>
  <c r="P3819" i="5"/>
  <c r="N4195" i="5"/>
  <c r="P4195" i="5"/>
  <c r="P4084" i="5"/>
  <c r="N4084" i="5"/>
  <c r="N4043" i="5"/>
  <c r="P4043" i="5"/>
  <c r="P3897" i="5"/>
  <c r="N3897" i="5"/>
  <c r="N3927" i="5"/>
  <c r="P3927" i="5"/>
  <c r="N3756" i="5"/>
  <c r="P3756" i="5"/>
  <c r="P4157" i="5"/>
  <c r="N4157" i="5"/>
  <c r="N4146" i="5"/>
  <c r="P4146" i="5"/>
  <c r="N4074" i="5"/>
  <c r="P4074" i="5"/>
  <c r="N4017" i="5"/>
  <c r="P4017" i="5"/>
  <c r="N3846" i="5"/>
  <c r="P3846" i="5"/>
  <c r="N3787" i="5"/>
  <c r="P3787" i="5"/>
  <c r="P4208" i="5"/>
  <c r="N4208" i="5"/>
  <c r="N4123" i="5"/>
  <c r="P4123" i="5"/>
  <c r="N4044" i="5"/>
  <c r="P4044" i="5"/>
  <c r="P3942" i="5"/>
  <c r="N3942" i="5"/>
  <c r="N3882" i="5"/>
  <c r="P3882" i="5"/>
  <c r="P3741" i="5"/>
  <c r="N3741" i="5"/>
  <c r="P3709" i="5"/>
  <c r="N3709" i="5"/>
  <c r="R4183" i="5"/>
  <c r="S4183" i="5" s="1"/>
  <c r="N4129" i="5"/>
  <c r="P4129" i="5"/>
  <c r="P4081" i="5"/>
  <c r="N4081" i="5"/>
  <c r="N4034" i="5"/>
  <c r="P4034" i="5"/>
  <c r="N4018" i="5"/>
  <c r="P4018" i="5"/>
  <c r="P4029" i="5"/>
  <c r="N4029" i="5"/>
  <c r="P3870" i="5"/>
  <c r="N3870" i="5"/>
  <c r="N3964" i="5"/>
  <c r="P3964" i="5"/>
  <c r="P3883" i="5"/>
  <c r="N3883" i="5"/>
  <c r="N3825" i="5"/>
  <c r="P3825" i="5"/>
  <c r="P3798" i="5"/>
  <c r="N3798" i="5"/>
  <c r="N3728" i="5"/>
  <c r="P3728" i="5"/>
  <c r="N3727" i="5"/>
  <c r="P3727" i="5"/>
  <c r="L4222" i="5"/>
  <c r="L4191" i="5"/>
  <c r="L4212" i="5"/>
  <c r="P4211" i="5"/>
  <c r="N4211" i="5"/>
  <c r="P4197" i="5"/>
  <c r="N4197" i="5"/>
  <c r="L4221" i="5"/>
  <c r="L4190" i="5"/>
  <c r="P4161" i="5"/>
  <c r="N4161" i="5"/>
  <c r="P4175" i="5"/>
  <c r="N4175" i="5"/>
  <c r="N4219" i="5"/>
  <c r="P4219" i="5"/>
  <c r="L4180" i="5"/>
  <c r="N4164" i="5"/>
  <c r="P4164" i="5"/>
  <c r="N4158" i="5"/>
  <c r="P4158" i="5"/>
  <c r="N4159" i="5"/>
  <c r="P4159" i="5"/>
  <c r="O4110" i="5"/>
  <c r="L4047" i="5"/>
  <c r="R4043" i="5"/>
  <c r="S4043" i="5" s="1"/>
  <c r="P4098" i="5"/>
  <c r="N4098" i="5"/>
  <c r="L4066" i="5"/>
  <c r="P4085" i="5"/>
  <c r="N4085" i="5"/>
  <c r="P4075" i="5"/>
  <c r="N4075" i="5"/>
  <c r="P4031" i="5"/>
  <c r="N4031" i="5"/>
  <c r="P4040" i="5"/>
  <c r="N4040" i="5"/>
  <c r="O4045" i="5"/>
  <c r="P4027" i="5"/>
  <c r="N4027" i="5"/>
  <c r="P4023" i="5"/>
  <c r="N4023" i="5"/>
  <c r="R4024" i="5"/>
  <c r="S4024" i="5" s="1"/>
  <c r="O4076" i="5"/>
  <c r="P4004" i="5"/>
  <c r="N4004" i="5"/>
  <c r="P3991" i="5"/>
  <c r="N3991" i="5"/>
  <c r="P3959" i="5"/>
  <c r="N3959" i="5"/>
  <c r="P3941" i="5"/>
  <c r="N3941" i="5"/>
  <c r="P4010" i="5"/>
  <c r="N4010" i="5"/>
  <c r="L3957" i="5"/>
  <c r="P3990" i="5"/>
  <c r="N3990" i="5"/>
  <c r="P3980" i="5"/>
  <c r="N3980" i="5"/>
  <c r="P3970" i="5"/>
  <c r="N3970" i="5"/>
  <c r="P3956" i="5"/>
  <c r="N3956" i="5"/>
  <c r="P3938" i="5"/>
  <c r="N3938" i="5"/>
  <c r="O4065" i="5"/>
  <c r="P3979" i="5"/>
  <c r="N3979" i="5"/>
  <c r="L3887" i="5"/>
  <c r="N3966" i="5"/>
  <c r="P3966" i="5"/>
  <c r="P3869" i="5"/>
  <c r="N3869" i="5"/>
  <c r="P3854" i="5"/>
  <c r="N3854" i="5"/>
  <c r="R3942" i="5"/>
  <c r="S3942" i="5" s="1"/>
  <c r="N3974" i="5"/>
  <c r="P3974" i="5"/>
  <c r="R3988" i="5"/>
  <c r="S3988" i="5" s="1"/>
  <c r="P3961" i="5"/>
  <c r="N3961" i="5"/>
  <c r="P3905" i="5"/>
  <c r="N3905" i="5"/>
  <c r="P3881" i="5"/>
  <c r="N3881" i="5"/>
  <c r="P3857" i="5"/>
  <c r="N3857" i="5"/>
  <c r="R3863" i="5"/>
  <c r="S3863" i="5" s="1"/>
  <c r="L3832" i="5"/>
  <c r="P3768" i="5"/>
  <c r="N3768" i="5"/>
  <c r="O3898" i="5"/>
  <c r="R3861" i="5"/>
  <c r="S3861" i="5" s="1"/>
  <c r="L3697" i="5"/>
  <c r="O3840" i="5"/>
  <c r="O3823" i="5"/>
  <c r="N3757" i="5"/>
  <c r="P3757" i="5"/>
  <c r="N3721" i="5"/>
  <c r="P3721" i="5"/>
  <c r="L3836" i="5"/>
  <c r="L3876" i="5"/>
  <c r="L3842" i="5"/>
  <c r="L3824" i="5"/>
  <c r="L3807" i="5"/>
  <c r="L3793" i="5"/>
  <c r="P3760" i="5"/>
  <c r="N3760" i="5"/>
  <c r="P3743" i="5"/>
  <c r="N3743" i="5"/>
  <c r="P3725" i="5"/>
  <c r="N3725" i="5"/>
  <c r="P3711" i="5"/>
  <c r="N3711" i="5"/>
  <c r="P3724" i="5"/>
  <c r="N3724" i="5"/>
  <c r="R3712" i="5"/>
  <c r="S3712" i="5" s="1"/>
  <c r="O3701" i="5"/>
  <c r="R3741" i="5"/>
  <c r="S3741" i="5" s="1"/>
  <c r="R3709" i="5"/>
  <c r="S3709" i="5" s="1"/>
  <c r="O3773" i="5"/>
  <c r="R3761" i="5"/>
  <c r="S3761" i="5" s="1"/>
  <c r="P3710" i="5"/>
  <c r="N3710" i="5"/>
  <c r="P4059" i="5"/>
  <c r="N4059" i="5"/>
  <c r="N4128" i="5"/>
  <c r="P4128" i="5"/>
  <c r="P4049" i="5"/>
  <c r="N4049" i="5"/>
  <c r="N4008" i="5"/>
  <c r="P4008" i="5"/>
  <c r="P3969" i="5"/>
  <c r="N3969" i="5"/>
  <c r="N3952" i="5"/>
  <c r="P3952" i="5"/>
  <c r="N3794" i="5"/>
  <c r="P3794" i="5"/>
  <c r="P3829" i="5"/>
  <c r="N3829" i="5"/>
  <c r="N3714" i="5"/>
  <c r="P3714" i="5"/>
  <c r="N3772" i="5"/>
  <c r="P3772" i="5"/>
  <c r="P4186" i="5"/>
  <c r="N4186" i="5"/>
  <c r="P4210" i="5"/>
  <c r="N4210" i="5"/>
  <c r="R4198" i="5"/>
  <c r="S4198" i="5" s="1"/>
  <c r="N4201" i="5"/>
  <c r="P4201" i="5"/>
  <c r="P4182" i="5"/>
  <c r="N4182" i="5"/>
  <c r="R4208" i="5"/>
  <c r="S4208" i="5" s="1"/>
  <c r="P4178" i="5"/>
  <c r="N4178" i="5"/>
  <c r="N4169" i="5"/>
  <c r="P4169" i="5"/>
  <c r="P4165" i="5"/>
  <c r="N4165" i="5"/>
  <c r="P4148" i="5"/>
  <c r="N4148" i="5"/>
  <c r="N4142" i="5"/>
  <c r="P4142" i="5"/>
  <c r="P4108" i="5"/>
  <c r="N4108" i="5"/>
  <c r="N4144" i="5"/>
  <c r="P4144" i="5"/>
  <c r="P4071" i="5"/>
  <c r="N4071" i="5"/>
  <c r="P4113" i="5"/>
  <c r="N4113" i="5"/>
  <c r="L4100" i="5"/>
  <c r="P4091" i="5"/>
  <c r="N4091" i="5"/>
  <c r="N4078" i="5"/>
  <c r="P4078" i="5"/>
  <c r="P4094" i="5"/>
  <c r="N4094" i="5"/>
  <c r="P4051" i="5"/>
  <c r="N4051" i="5"/>
  <c r="P4058" i="5"/>
  <c r="N4058" i="5"/>
  <c r="N4064" i="5"/>
  <c r="P4064" i="5"/>
  <c r="N4061" i="5"/>
  <c r="P4061" i="5"/>
  <c r="P4050" i="5"/>
  <c r="N4050" i="5"/>
  <c r="P4039" i="5"/>
  <c r="N4039" i="5"/>
  <c r="P3998" i="5"/>
  <c r="N3998" i="5"/>
  <c r="P4012" i="5"/>
  <c r="N4012" i="5"/>
  <c r="P4020" i="5"/>
  <c r="N4020" i="5"/>
  <c r="P3989" i="5"/>
  <c r="N3989" i="5"/>
  <c r="P3917" i="5"/>
  <c r="N3917" i="5"/>
  <c r="P3902" i="5"/>
  <c r="N3902" i="5"/>
  <c r="P3878" i="5"/>
  <c r="N3878" i="5"/>
  <c r="P3868" i="5"/>
  <c r="N3868" i="5"/>
  <c r="P3848" i="5"/>
  <c r="N3848" i="5"/>
  <c r="N3984" i="5"/>
  <c r="P3984" i="5"/>
  <c r="P3899" i="5"/>
  <c r="N3899" i="5"/>
  <c r="P3875" i="5"/>
  <c r="N3875" i="5"/>
  <c r="N3837" i="5"/>
  <c r="P3837" i="5"/>
  <c r="N3820" i="5"/>
  <c r="P3820" i="5"/>
  <c r="N3788" i="5"/>
  <c r="P3788" i="5"/>
  <c r="N3912" i="5"/>
  <c r="P3912" i="5"/>
  <c r="P3841" i="5"/>
  <c r="N3841" i="5"/>
  <c r="P3806" i="5"/>
  <c r="N3806" i="5"/>
  <c r="P3792" i="5"/>
  <c r="N3792" i="5"/>
  <c r="P3759" i="5"/>
  <c r="N3759" i="5"/>
  <c r="P3723" i="5"/>
  <c r="N3723" i="5"/>
  <c r="P3758" i="5"/>
  <c r="N3758" i="5"/>
  <c r="N3740" i="5"/>
  <c r="P3740" i="5"/>
  <c r="N3708" i="5"/>
  <c r="P3708" i="5"/>
  <c r="N3751" i="5"/>
  <c r="P3751" i="5"/>
  <c r="N3719" i="5"/>
  <c r="P3719" i="5"/>
  <c r="L3726" i="5"/>
  <c r="P3771" i="5"/>
  <c r="N3771" i="5"/>
  <c r="R3965" i="5"/>
  <c r="S3965" i="5" s="1"/>
  <c r="P3698" i="5"/>
  <c r="N3698" i="5"/>
  <c r="P3736" i="5"/>
  <c r="N3736" i="5"/>
  <c r="P4188" i="5"/>
  <c r="N4188" i="5"/>
  <c r="N4200" i="5"/>
  <c r="P4200" i="5"/>
  <c r="N4171" i="5"/>
  <c r="P4171" i="5"/>
  <c r="P4147" i="5"/>
  <c r="N4147" i="5"/>
  <c r="N4156" i="5"/>
  <c r="P4156" i="5"/>
  <c r="N4087" i="5"/>
  <c r="P4087" i="5"/>
  <c r="N3983" i="5"/>
  <c r="P3983" i="5"/>
  <c r="P3908" i="5"/>
  <c r="N3908" i="5"/>
  <c r="P3803" i="5"/>
  <c r="N3803" i="5"/>
  <c r="N3849" i="5"/>
  <c r="P3849" i="5"/>
  <c r="P4223" i="5"/>
  <c r="N4223" i="5"/>
  <c r="P4209" i="5"/>
  <c r="N4209" i="5"/>
  <c r="P4192" i="5"/>
  <c r="N4192" i="5"/>
  <c r="N4214" i="5"/>
  <c r="P4214" i="5"/>
  <c r="N4206" i="5"/>
  <c r="P4206" i="5"/>
  <c r="P4176" i="5"/>
  <c r="N4176" i="5"/>
  <c r="P4173" i="5"/>
  <c r="N4173" i="5"/>
  <c r="N4205" i="5"/>
  <c r="P4205" i="5"/>
  <c r="N4151" i="5"/>
  <c r="P4151" i="5"/>
  <c r="L4145" i="5"/>
  <c r="N4096" i="5"/>
  <c r="P4096" i="5"/>
  <c r="P4120" i="5"/>
  <c r="N4120" i="5"/>
  <c r="N4093" i="5"/>
  <c r="P4093" i="5"/>
  <c r="P4069" i="5"/>
  <c r="N4069" i="5"/>
  <c r="P4068" i="5"/>
  <c r="N4068" i="5"/>
  <c r="P4036" i="5"/>
  <c r="N4036" i="5"/>
  <c r="N4127" i="5"/>
  <c r="P4127" i="5"/>
  <c r="N4155" i="5"/>
  <c r="P4155" i="5"/>
  <c r="P4019" i="5"/>
  <c r="N4019" i="5"/>
  <c r="N4028" i="5"/>
  <c r="P4028" i="5"/>
  <c r="P4016" i="5"/>
  <c r="N4016" i="5"/>
  <c r="P3996" i="5"/>
  <c r="N3996" i="5"/>
  <c r="P4002" i="5"/>
  <c r="N4002" i="5"/>
  <c r="L3968" i="5"/>
  <c r="L3936" i="5"/>
  <c r="P3977" i="5"/>
  <c r="N3977" i="5"/>
  <c r="P3967" i="5"/>
  <c r="N3967" i="5"/>
  <c r="P3953" i="5"/>
  <c r="N3953" i="5"/>
  <c r="P3935" i="5"/>
  <c r="N3935" i="5"/>
  <c r="P3950" i="5"/>
  <c r="N3950" i="5"/>
  <c r="P3932" i="5"/>
  <c r="N3932" i="5"/>
  <c r="N3946" i="5"/>
  <c r="P3946" i="5"/>
  <c r="P3879" i="5"/>
  <c r="N3879" i="5"/>
  <c r="L3924" i="5"/>
  <c r="P3863" i="5"/>
  <c r="N3863" i="5"/>
  <c r="N3921" i="5"/>
  <c r="P3921" i="5"/>
  <c r="P3981" i="5"/>
  <c r="N3981" i="5"/>
  <c r="N3934" i="5"/>
  <c r="P3934" i="5"/>
  <c r="P3873" i="5"/>
  <c r="N3873" i="5"/>
  <c r="L3930" i="5"/>
  <c r="P3855" i="5"/>
  <c r="N3855" i="5"/>
  <c r="P3821" i="5"/>
  <c r="N3821" i="5"/>
  <c r="L3866" i="5"/>
  <c r="P3915" i="5"/>
  <c r="N3915" i="5"/>
  <c r="L3918" i="5"/>
  <c r="R3897" i="5"/>
  <c r="S3897" i="5" s="1"/>
  <c r="N3745" i="5"/>
  <c r="P3745" i="5"/>
  <c r="N3713" i="5"/>
  <c r="P3713" i="5"/>
  <c r="L3777" i="5"/>
  <c r="P3755" i="5"/>
  <c r="N3755" i="5"/>
  <c r="P3737" i="5"/>
  <c r="N3737" i="5"/>
  <c r="P3705" i="5"/>
  <c r="N3705" i="5"/>
  <c r="P3742" i="5"/>
  <c r="N3742" i="5"/>
  <c r="P3730" i="5"/>
  <c r="N3730" i="5"/>
  <c r="P4196" i="5"/>
  <c r="N4196" i="5"/>
  <c r="P4166" i="5"/>
  <c r="N4166" i="5"/>
  <c r="P4006" i="5"/>
  <c r="N4006" i="5"/>
  <c r="P3894" i="5"/>
  <c r="N3894" i="5"/>
  <c r="P3911" i="5"/>
  <c r="N3911" i="5"/>
  <c r="P3812" i="5"/>
  <c r="N3812" i="5"/>
  <c r="P3780" i="5"/>
  <c r="N3780" i="5"/>
  <c r="N3762" i="5"/>
  <c r="P3762" i="5"/>
  <c r="R4224" i="5"/>
  <c r="S4224" i="5" s="1"/>
  <c r="L4207" i="5"/>
  <c r="R4193" i="5"/>
  <c r="S4193" i="5" s="1"/>
  <c r="N4160" i="5"/>
  <c r="P4160" i="5"/>
  <c r="P4138" i="5"/>
  <c r="N4138" i="5"/>
  <c r="O4194" i="5"/>
  <c r="L4170" i="5"/>
  <c r="L4130" i="5"/>
  <c r="L4172" i="5"/>
  <c r="N4106" i="5"/>
  <c r="P4106" i="5"/>
  <c r="L4090" i="5"/>
  <c r="O4163" i="5"/>
  <c r="L4101" i="5"/>
  <c r="L4095" i="5"/>
  <c r="L4136" i="5"/>
  <c r="P4114" i="5"/>
  <c r="N4114" i="5"/>
  <c r="O4139" i="5"/>
  <c r="P4102" i="5"/>
  <c r="N4102" i="5"/>
  <c r="P4092" i="5"/>
  <c r="N4092" i="5"/>
  <c r="N4056" i="5"/>
  <c r="P4056" i="5"/>
  <c r="N4073" i="5"/>
  <c r="P4073" i="5"/>
  <c r="O4116" i="5"/>
  <c r="L4067" i="5"/>
  <c r="R4044" i="5"/>
  <c r="S4044" i="5" s="1"/>
  <c r="N4088" i="5"/>
  <c r="P4088" i="5"/>
  <c r="P4042" i="5"/>
  <c r="N4042" i="5"/>
  <c r="P4037" i="5"/>
  <c r="N4037" i="5"/>
  <c r="O4055" i="5"/>
  <c r="N4000" i="5"/>
  <c r="P4000" i="5"/>
  <c r="L4030" i="5"/>
  <c r="P4014" i="5"/>
  <c r="N4014" i="5"/>
  <c r="N3997" i="5"/>
  <c r="P3997" i="5"/>
  <c r="L4007" i="5"/>
  <c r="L3971" i="5"/>
  <c r="P3994" i="5"/>
  <c r="N3994" i="5"/>
  <c r="P3914" i="5"/>
  <c r="N3914" i="5"/>
  <c r="P3886" i="5"/>
  <c r="N3886" i="5"/>
  <c r="P3862" i="5"/>
  <c r="N3862" i="5"/>
  <c r="P3891" i="5"/>
  <c r="N3891" i="5"/>
  <c r="L3815" i="5"/>
  <c r="L3783" i="5"/>
  <c r="R3909" i="5"/>
  <c r="S3909" i="5" s="1"/>
  <c r="L3874" i="5"/>
  <c r="N3831" i="5"/>
  <c r="P3831" i="5"/>
  <c r="N3814" i="5"/>
  <c r="P3814" i="5"/>
  <c r="N3782" i="5"/>
  <c r="P3782" i="5"/>
  <c r="P3835" i="5"/>
  <c r="N3835" i="5"/>
  <c r="P3818" i="5"/>
  <c r="N3818" i="5"/>
  <c r="P3800" i="5"/>
  <c r="N3800" i="5"/>
  <c r="P3786" i="5"/>
  <c r="N3786" i="5"/>
  <c r="N3774" i="5"/>
  <c r="P3774" i="5"/>
  <c r="L3830" i="5"/>
  <c r="L3813" i="5"/>
  <c r="L3799" i="5"/>
  <c r="L3781" i="5"/>
  <c r="N3765" i="5"/>
  <c r="P3765" i="5"/>
  <c r="N3752" i="5"/>
  <c r="P3752" i="5"/>
  <c r="N3734" i="5"/>
  <c r="P3734" i="5"/>
  <c r="N3720" i="5"/>
  <c r="P3720" i="5"/>
  <c r="N3739" i="5"/>
  <c r="P3739" i="5"/>
  <c r="N3707" i="5"/>
  <c r="P3707" i="5"/>
  <c r="L3900" i="5"/>
  <c r="N3958" i="5"/>
  <c r="P3958" i="5"/>
  <c r="N3940" i="5"/>
  <c r="P3940" i="5"/>
  <c r="P3748" i="5"/>
  <c r="N3748" i="5"/>
  <c r="P3704" i="5"/>
  <c r="N3704" i="5"/>
  <c r="P3754" i="5"/>
  <c r="N3754" i="5"/>
  <c r="N4220" i="5"/>
  <c r="P4220" i="5"/>
  <c r="N4189" i="5"/>
  <c r="P4189" i="5"/>
  <c r="P4126" i="5"/>
  <c r="N4126" i="5"/>
  <c r="P4080" i="5"/>
  <c r="N4080" i="5"/>
  <c r="P3992" i="5"/>
  <c r="N3992" i="5"/>
  <c r="P3860" i="5"/>
  <c r="N3860" i="5"/>
  <c r="N3808" i="5"/>
  <c r="P3808" i="5"/>
  <c r="N3843" i="5"/>
  <c r="P3843" i="5"/>
  <c r="N3746" i="5"/>
  <c r="P3746" i="5"/>
  <c r="P4217" i="5"/>
  <c r="N4217" i="5"/>
  <c r="P4203" i="5"/>
  <c r="N4203" i="5"/>
  <c r="P4187" i="5"/>
  <c r="N4187" i="5"/>
  <c r="N4181" i="5"/>
  <c r="P4181" i="5"/>
  <c r="P4177" i="5"/>
  <c r="N4177" i="5"/>
  <c r="O4199" i="5"/>
  <c r="P4132" i="5"/>
  <c r="N4132" i="5"/>
  <c r="P4153" i="5"/>
  <c r="N4153" i="5"/>
  <c r="O4140" i="5"/>
  <c r="N4141" i="5"/>
  <c r="P4141" i="5"/>
  <c r="O4168" i="5"/>
  <c r="N4134" i="5"/>
  <c r="P4134" i="5"/>
  <c r="N4118" i="5"/>
  <c r="P4118" i="5"/>
  <c r="P4086" i="5"/>
  <c r="N4086" i="5"/>
  <c r="R4093" i="5"/>
  <c r="S4093" i="5" s="1"/>
  <c r="N4052" i="5"/>
  <c r="P4052" i="5"/>
  <c r="N4082" i="5"/>
  <c r="P4082" i="5"/>
  <c r="O4062" i="5"/>
  <c r="L3960" i="5"/>
  <c r="P3985" i="5"/>
  <c r="N3985" i="5"/>
  <c r="P3975" i="5"/>
  <c r="N3975" i="5"/>
  <c r="P3947" i="5"/>
  <c r="N3947" i="5"/>
  <c r="P3923" i="5"/>
  <c r="N3923" i="5"/>
  <c r="P3982" i="5"/>
  <c r="N3982" i="5"/>
  <c r="P3972" i="5"/>
  <c r="N3972" i="5"/>
  <c r="P3962" i="5"/>
  <c r="N3962" i="5"/>
  <c r="P3944" i="5"/>
  <c r="N3944" i="5"/>
  <c r="O4077" i="5"/>
  <c r="P3955" i="5"/>
  <c r="N3955" i="5"/>
  <c r="P3926" i="5"/>
  <c r="N3926" i="5"/>
  <c r="P3909" i="5"/>
  <c r="N3909" i="5"/>
  <c r="P3861" i="5"/>
  <c r="N3861" i="5"/>
  <c r="P3889" i="5"/>
  <c r="N3889" i="5"/>
  <c r="P3865" i="5"/>
  <c r="N3865" i="5"/>
  <c r="O3920" i="5"/>
  <c r="N3907" i="5"/>
  <c r="P3907" i="5"/>
  <c r="N3776" i="5"/>
  <c r="P3776" i="5"/>
  <c r="N3913" i="5"/>
  <c r="P3913" i="5"/>
  <c r="O3890" i="5"/>
  <c r="R3869" i="5"/>
  <c r="S3869" i="5" s="1"/>
  <c r="P3850" i="5"/>
  <c r="N3850" i="5"/>
  <c r="N3702" i="5"/>
  <c r="P3702" i="5"/>
  <c r="N3764" i="5"/>
  <c r="P3764" i="5"/>
  <c r="N3733" i="5"/>
  <c r="P3733" i="5"/>
  <c r="L3744" i="5"/>
  <c r="P3749" i="5"/>
  <c r="N3749" i="5"/>
  <c r="P3731" i="5"/>
  <c r="N3731" i="5"/>
  <c r="P3717" i="5"/>
  <c r="N3717" i="5"/>
  <c r="P3699" i="5"/>
  <c r="N3699" i="5"/>
  <c r="P3716" i="5"/>
  <c r="N3716" i="5"/>
  <c r="M3317" i="5"/>
  <c r="L3367" i="5"/>
  <c r="P3367" i="5" s="1"/>
  <c r="Q3380" i="5"/>
  <c r="M3345" i="5"/>
  <c r="Q3350" i="5"/>
  <c r="R3350" i="5" s="1"/>
  <c r="S3350" i="5" s="1"/>
  <c r="M3680" i="5"/>
  <c r="Q3326" i="5"/>
  <c r="R3326" i="5" s="1"/>
  <c r="S3326" i="5" s="1"/>
  <c r="M3343" i="5"/>
  <c r="Q3348" i="5"/>
  <c r="R3348" i="5" s="1"/>
  <c r="S3348" i="5" s="1"/>
  <c r="Q3329" i="5"/>
  <c r="R3329" i="5" s="1"/>
  <c r="S3329" i="5" s="1"/>
  <c r="Q3431" i="5"/>
  <c r="R3431" i="5" s="1"/>
  <c r="S3431" i="5" s="1"/>
  <c r="R3338" i="5"/>
  <c r="S3338" i="5" s="1"/>
  <c r="Q3389" i="5"/>
  <c r="K3625" i="5"/>
  <c r="L3625" i="5" s="1"/>
  <c r="L3646" i="5"/>
  <c r="P3646" i="5" s="1"/>
  <c r="Q3318" i="5"/>
  <c r="Q3368" i="5"/>
  <c r="R3368" i="5" s="1"/>
  <c r="S3368" i="5" s="1"/>
  <c r="Q3407" i="5"/>
  <c r="Q3471" i="5"/>
  <c r="Q3320" i="5"/>
  <c r="R3320" i="5" s="1"/>
  <c r="S3320" i="5" s="1"/>
  <c r="M3336" i="5"/>
  <c r="N3336" i="5" s="1"/>
  <c r="Q3323" i="5"/>
  <c r="R3331" i="5"/>
  <c r="S3331" i="5" s="1"/>
  <c r="M3364" i="5"/>
  <c r="Q3570" i="5"/>
  <c r="R3570" i="5" s="1"/>
  <c r="S3570" i="5" s="1"/>
  <c r="Q3355" i="5"/>
  <c r="R3355" i="5" s="1"/>
  <c r="S3355" i="5" s="1"/>
  <c r="Q3378" i="5"/>
  <c r="R3378" i="5" s="1"/>
  <c r="S3378" i="5" s="1"/>
  <c r="M3378" i="5"/>
  <c r="Q3422" i="5"/>
  <c r="R3422" i="5" s="1"/>
  <c r="S3422" i="5" s="1"/>
  <c r="M3422" i="5"/>
  <c r="Q3436" i="5"/>
  <c r="R3436" i="5" s="1"/>
  <c r="S3436" i="5" s="1"/>
  <c r="M3436" i="5"/>
  <c r="Q3466" i="5"/>
  <c r="M3466" i="5"/>
  <c r="M3629" i="5"/>
  <c r="Q3629" i="5"/>
  <c r="R3629" i="5" s="1"/>
  <c r="S3629" i="5" s="1"/>
  <c r="Q3634" i="5"/>
  <c r="M3634" i="5"/>
  <c r="Q3640" i="5"/>
  <c r="R3640" i="5" s="1"/>
  <c r="S3640" i="5" s="1"/>
  <c r="M3640" i="5"/>
  <c r="Q3645" i="5"/>
  <c r="M3645" i="5"/>
  <c r="Q3654" i="5"/>
  <c r="M3654" i="5"/>
  <c r="Q3659" i="5"/>
  <c r="R3659" i="5" s="1"/>
  <c r="S3659" i="5" s="1"/>
  <c r="M3659" i="5"/>
  <c r="Q3665" i="5"/>
  <c r="R3665" i="5" s="1"/>
  <c r="S3665" i="5" s="1"/>
  <c r="M3665" i="5"/>
  <c r="N3665" i="5" s="1"/>
  <c r="U3665" i="5" s="1"/>
  <c r="V3665" i="5" s="1"/>
  <c r="Q3670" i="5"/>
  <c r="M3670" i="5"/>
  <c r="Q3673" i="5"/>
  <c r="R3673" i="5" s="1"/>
  <c r="S3673" i="5" s="1"/>
  <c r="M3673" i="5"/>
  <c r="Q3681" i="5"/>
  <c r="R3681" i="5" s="1"/>
  <c r="S3681" i="5" s="1"/>
  <c r="M3681" i="5"/>
  <c r="Q3690" i="5"/>
  <c r="M3690" i="5"/>
  <c r="M3322" i="5"/>
  <c r="M3325" i="5"/>
  <c r="M3328" i="5"/>
  <c r="M3331" i="5"/>
  <c r="M3338" i="5"/>
  <c r="M3352" i="5"/>
  <c r="M3372" i="5"/>
  <c r="M3383" i="5"/>
  <c r="M3392" i="5"/>
  <c r="M3401" i="5"/>
  <c r="M3410" i="5"/>
  <c r="M3417" i="5"/>
  <c r="M3426" i="5"/>
  <c r="M3434" i="5"/>
  <c r="Q3438" i="5"/>
  <c r="Q3456" i="5"/>
  <c r="R3456" i="5" s="1"/>
  <c r="S3456" i="5" s="1"/>
  <c r="M3474" i="5"/>
  <c r="N3474" i="5" s="1"/>
  <c r="Q3507" i="5"/>
  <c r="R3507" i="5" s="1"/>
  <c r="S3507" i="5" s="1"/>
  <c r="M3520" i="5"/>
  <c r="Q3525" i="5"/>
  <c r="R3525" i="5" s="1"/>
  <c r="S3525" i="5" s="1"/>
  <c r="Q3588" i="5"/>
  <c r="M3625" i="5"/>
  <c r="Q3379" i="5"/>
  <c r="M3379" i="5"/>
  <c r="Q3405" i="5"/>
  <c r="M3405" i="5"/>
  <c r="Q3481" i="5"/>
  <c r="R3481" i="5" s="1"/>
  <c r="S3481" i="5" s="1"/>
  <c r="M3481" i="5"/>
  <c r="M3509" i="5"/>
  <c r="Q3509" i="5"/>
  <c r="Q3546" i="5"/>
  <c r="M3546" i="5"/>
  <c r="Q3423" i="5"/>
  <c r="Q3396" i="5"/>
  <c r="R3396" i="5" s="1"/>
  <c r="S3396" i="5" s="1"/>
  <c r="M3396" i="5"/>
  <c r="Q3418" i="5"/>
  <c r="R3418" i="5" s="1"/>
  <c r="S3418" i="5" s="1"/>
  <c r="M3418" i="5"/>
  <c r="Q3535" i="5"/>
  <c r="M3535" i="5"/>
  <c r="Q3554" i="5"/>
  <c r="M3554" i="5"/>
  <c r="Q3578" i="5"/>
  <c r="M3578" i="5"/>
  <c r="Q3602" i="5"/>
  <c r="M3602" i="5"/>
  <c r="Q3360" i="5"/>
  <c r="R3360" i="5" s="1"/>
  <c r="S3360" i="5" s="1"/>
  <c r="M3360" i="5"/>
  <c r="Q3374" i="5"/>
  <c r="R3374" i="5" s="1"/>
  <c r="S3374" i="5" s="1"/>
  <c r="M3374" i="5"/>
  <c r="Q3384" i="5"/>
  <c r="R3384" i="5" s="1"/>
  <c r="S3384" i="5" s="1"/>
  <c r="M3384" i="5"/>
  <c r="N3384" i="5" s="1"/>
  <c r="Q3400" i="5"/>
  <c r="R3400" i="5" s="1"/>
  <c r="S3400" i="5" s="1"/>
  <c r="M3400" i="5"/>
  <c r="Q3408" i="5"/>
  <c r="M3408" i="5"/>
  <c r="Q3412" i="5"/>
  <c r="R3412" i="5" s="1"/>
  <c r="S3412" i="5" s="1"/>
  <c r="M3412" i="5"/>
  <c r="Q3421" i="5"/>
  <c r="M3421" i="5"/>
  <c r="Q3429" i="5"/>
  <c r="M3429" i="5"/>
  <c r="Q3449" i="5"/>
  <c r="R3449" i="5" s="1"/>
  <c r="S3449" i="5" s="1"/>
  <c r="M3449" i="5"/>
  <c r="Q3451" i="5"/>
  <c r="R3451" i="5" s="1"/>
  <c r="S3451" i="5" s="1"/>
  <c r="M3451" i="5"/>
  <c r="Q3461" i="5"/>
  <c r="R3461" i="5" s="1"/>
  <c r="S3461" i="5" s="1"/>
  <c r="M3461" i="5"/>
  <c r="Q3470" i="5"/>
  <c r="M3470" i="5"/>
  <c r="Q3482" i="5"/>
  <c r="R3482" i="5" s="1"/>
  <c r="S3482" i="5" s="1"/>
  <c r="M3482" i="5"/>
  <c r="Q3489" i="5"/>
  <c r="M3489" i="5"/>
  <c r="M3497" i="5"/>
  <c r="Q3497" i="5"/>
  <c r="R3497" i="5" s="1"/>
  <c r="S3497" i="5" s="1"/>
  <c r="M3503" i="5"/>
  <c r="Q3503" i="5"/>
  <c r="R3503" i="5" s="1"/>
  <c r="S3503" i="5" s="1"/>
  <c r="M3513" i="5"/>
  <c r="Q3513" i="5"/>
  <c r="R3513" i="5" s="1"/>
  <c r="S3513" i="5" s="1"/>
  <c r="Q3517" i="5"/>
  <c r="R3517" i="5" s="1"/>
  <c r="S3517" i="5" s="1"/>
  <c r="M3517" i="5"/>
  <c r="Q3526" i="5"/>
  <c r="M3526" i="5"/>
  <c r="Q3533" i="5"/>
  <c r="R3533" i="5" s="1"/>
  <c r="S3533" i="5" s="1"/>
  <c r="M3533" i="5"/>
  <c r="Q3539" i="5"/>
  <c r="R3539" i="5" s="1"/>
  <c r="S3539" i="5" s="1"/>
  <c r="M3539" i="5"/>
  <c r="Q3543" i="5"/>
  <c r="M3543" i="5"/>
  <c r="Q3544" i="5"/>
  <c r="M3544" i="5"/>
  <c r="M3560" i="5"/>
  <c r="Q3560" i="5"/>
  <c r="Q3566" i="5"/>
  <c r="M3566" i="5"/>
  <c r="Q3574" i="5"/>
  <c r="R3574" i="5" s="1"/>
  <c r="S3574" i="5" s="1"/>
  <c r="M3574" i="5"/>
  <c r="N3574" i="5" s="1"/>
  <c r="Q3577" i="5"/>
  <c r="R3577" i="5" s="1"/>
  <c r="S3577" i="5" s="1"/>
  <c r="M3577" i="5"/>
  <c r="N3577" i="5" s="1"/>
  <c r="Q3583" i="5"/>
  <c r="R3583" i="5" s="1"/>
  <c r="S3583" i="5" s="1"/>
  <c r="M3583" i="5"/>
  <c r="N3583" i="5" s="1"/>
  <c r="Q3593" i="5"/>
  <c r="M3593" i="5"/>
  <c r="Q3601" i="5"/>
  <c r="R3601" i="5" s="1"/>
  <c r="S3601" i="5" s="1"/>
  <c r="M3601" i="5"/>
  <c r="Q3605" i="5"/>
  <c r="R3605" i="5" s="1"/>
  <c r="S3605" i="5" s="1"/>
  <c r="M3605" i="5"/>
  <c r="Q3614" i="5"/>
  <c r="R3614" i="5" s="1"/>
  <c r="S3614" i="5" s="1"/>
  <c r="M3614" i="5"/>
  <c r="N3614" i="5" s="1"/>
  <c r="Q3616" i="5"/>
  <c r="M3616" i="5"/>
  <c r="Q3624" i="5"/>
  <c r="M3624" i="5"/>
  <c r="Q3628" i="5"/>
  <c r="M3628" i="5"/>
  <c r="Q3639" i="5"/>
  <c r="M3639" i="5"/>
  <c r="Q3644" i="5"/>
  <c r="R3644" i="5" s="1"/>
  <c r="S3644" i="5" s="1"/>
  <c r="M3644" i="5"/>
  <c r="Q3653" i="5"/>
  <c r="M3653" i="5"/>
  <c r="M3658" i="5"/>
  <c r="Q3658" i="5"/>
  <c r="R3658" i="5" s="1"/>
  <c r="S3658" i="5" s="1"/>
  <c r="Q3664" i="5"/>
  <c r="M3664" i="5"/>
  <c r="Q3669" i="5"/>
  <c r="M3669" i="5"/>
  <c r="Q3678" i="5"/>
  <c r="R3678" i="5" s="1"/>
  <c r="S3678" i="5" s="1"/>
  <c r="M3678" i="5"/>
  <c r="Q3686" i="5"/>
  <c r="M3686" i="5"/>
  <c r="Q3689" i="5"/>
  <c r="R3689" i="5" s="1"/>
  <c r="S3689" i="5" s="1"/>
  <c r="M3689" i="5"/>
  <c r="Q3695" i="5"/>
  <c r="M3695" i="5"/>
  <c r="M3333" i="5"/>
  <c r="R3335" i="5"/>
  <c r="S3335" i="5" s="1"/>
  <c r="M3340" i="5"/>
  <c r="M3342" i="5"/>
  <c r="Q3347" i="5"/>
  <c r="R3347" i="5" s="1"/>
  <c r="S3347" i="5" s="1"/>
  <c r="M3354" i="5"/>
  <c r="M3358" i="5"/>
  <c r="K3415" i="5"/>
  <c r="L3415" i="5" s="1"/>
  <c r="Q3441" i="5"/>
  <c r="R3441" i="5" s="1"/>
  <c r="S3441" i="5" s="1"/>
  <c r="Q3459" i="5"/>
  <c r="M3477" i="5"/>
  <c r="Q3505" i="5"/>
  <c r="R3505" i="5" s="1"/>
  <c r="S3505" i="5" s="1"/>
  <c r="M3518" i="5"/>
  <c r="Q3531" i="5"/>
  <c r="M3563" i="5"/>
  <c r="M3621" i="5"/>
  <c r="M3674" i="5"/>
  <c r="Q3369" i="5"/>
  <c r="R3369" i="5" s="1"/>
  <c r="S3369" i="5" s="1"/>
  <c r="M3369" i="5"/>
  <c r="M3512" i="5"/>
  <c r="Q3512" i="5"/>
  <c r="Q3528" i="5"/>
  <c r="R3528" i="5" s="1"/>
  <c r="S3528" i="5" s="1"/>
  <c r="M3528" i="5"/>
  <c r="Q3541" i="5"/>
  <c r="R3541" i="5" s="1"/>
  <c r="S3541" i="5" s="1"/>
  <c r="M3541" i="5"/>
  <c r="M3557" i="5"/>
  <c r="Q3557" i="5"/>
  <c r="R3557" i="5" s="1"/>
  <c r="S3557" i="5" s="1"/>
  <c r="Q3571" i="5"/>
  <c r="R3571" i="5" s="1"/>
  <c r="S3571" i="5" s="1"/>
  <c r="M3571" i="5"/>
  <c r="N3571" i="5" s="1"/>
  <c r="M3582" i="5"/>
  <c r="Q3582" i="5"/>
  <c r="R3582" i="5" s="1"/>
  <c r="S3582" i="5" s="1"/>
  <c r="Q3596" i="5"/>
  <c r="M3596" i="5"/>
  <c r="M3609" i="5"/>
  <c r="Q3609" i="5"/>
  <c r="Q3620" i="5"/>
  <c r="R3620" i="5" s="1"/>
  <c r="S3620" i="5" s="1"/>
  <c r="M3620" i="5"/>
  <c r="M3646" i="5"/>
  <c r="Q3646" i="5"/>
  <c r="R3646" i="5" s="1"/>
  <c r="S3646" i="5" s="1"/>
  <c r="Q3666" i="5"/>
  <c r="M3666" i="5"/>
  <c r="Q3375" i="5"/>
  <c r="R3375" i="5" s="1"/>
  <c r="S3375" i="5" s="1"/>
  <c r="M3375" i="5"/>
  <c r="Q3498" i="5"/>
  <c r="R3498" i="5" s="1"/>
  <c r="S3498" i="5" s="1"/>
  <c r="M3498" i="5"/>
  <c r="Q3511" i="5"/>
  <c r="R3511" i="5" s="1"/>
  <c r="S3511" i="5" s="1"/>
  <c r="M3511" i="5"/>
  <c r="Q3527" i="5"/>
  <c r="R3527" i="5" s="1"/>
  <c r="S3527" i="5" s="1"/>
  <c r="M3527" i="5"/>
  <c r="Q3556" i="5"/>
  <c r="R3556" i="5" s="1"/>
  <c r="S3556" i="5" s="1"/>
  <c r="M3556" i="5"/>
  <c r="Q3584" i="5"/>
  <c r="M3584" i="5"/>
  <c r="Q3606" i="5"/>
  <c r="M3606" i="5"/>
  <c r="Q3359" i="5"/>
  <c r="R3359" i="5" s="1"/>
  <c r="S3359" i="5" s="1"/>
  <c r="M3359" i="5"/>
  <c r="Q3371" i="5"/>
  <c r="M3371" i="5"/>
  <c r="Q3391" i="5"/>
  <c r="R3391" i="5" s="1"/>
  <c r="S3391" i="5" s="1"/>
  <c r="M3391" i="5"/>
  <c r="Q3394" i="5"/>
  <c r="R3394" i="5" s="1"/>
  <c r="S3394" i="5" s="1"/>
  <c r="M3394" i="5"/>
  <c r="Q3403" i="5"/>
  <c r="M3403" i="5"/>
  <c r="Q3411" i="5"/>
  <c r="M3411" i="5"/>
  <c r="Q3427" i="5"/>
  <c r="R3427" i="5" s="1"/>
  <c r="S3427" i="5" s="1"/>
  <c r="M3427" i="5"/>
  <c r="Q3440" i="5"/>
  <c r="M3440" i="5"/>
  <c r="Q3448" i="5"/>
  <c r="R3448" i="5" s="1"/>
  <c r="S3448" i="5" s="1"/>
  <c r="M3448" i="5"/>
  <c r="Q3455" i="5"/>
  <c r="R3455" i="5" s="1"/>
  <c r="S3455" i="5" s="1"/>
  <c r="M3455" i="5"/>
  <c r="Q3460" i="5"/>
  <c r="M3460" i="5"/>
  <c r="Q3464" i="5"/>
  <c r="M3464" i="5"/>
  <c r="Q3479" i="5"/>
  <c r="R3479" i="5" s="1"/>
  <c r="S3479" i="5" s="1"/>
  <c r="M3479" i="5"/>
  <c r="Q3492" i="5"/>
  <c r="R3492" i="5" s="1"/>
  <c r="S3492" i="5" s="1"/>
  <c r="M3492" i="5"/>
  <c r="Q3502" i="5"/>
  <c r="M3502" i="5"/>
  <c r="M3506" i="5"/>
  <c r="Q3506" i="5"/>
  <c r="Q3532" i="5"/>
  <c r="M3532" i="5"/>
  <c r="Q3538" i="5"/>
  <c r="M3538" i="5"/>
  <c r="Q3551" i="5"/>
  <c r="R3551" i="5" s="1"/>
  <c r="S3551" i="5" s="1"/>
  <c r="M3551" i="5"/>
  <c r="Q3552" i="5"/>
  <c r="M3552" i="5"/>
  <c r="Q3562" i="5"/>
  <c r="M3562" i="5"/>
  <c r="Q3569" i="5"/>
  <c r="M3569" i="5"/>
  <c r="M3573" i="5"/>
  <c r="Q3573" i="5"/>
  <c r="R3573" i="5" s="1"/>
  <c r="S3573" i="5" s="1"/>
  <c r="Q3581" i="5"/>
  <c r="R3581" i="5" s="1"/>
  <c r="S3581" i="5" s="1"/>
  <c r="M3581" i="5"/>
  <c r="Q3586" i="5"/>
  <c r="R3586" i="5" s="1"/>
  <c r="S3586" i="5" s="1"/>
  <c r="M3586" i="5"/>
  <c r="Q3592" i="5"/>
  <c r="R3592" i="5" s="1"/>
  <c r="S3592" i="5" s="1"/>
  <c r="M3592" i="5"/>
  <c r="Q3599" i="5"/>
  <c r="R3599" i="5" s="1"/>
  <c r="S3599" i="5" s="1"/>
  <c r="M3599" i="5"/>
  <c r="M3600" i="5"/>
  <c r="Q3600" i="5"/>
  <c r="R3600" i="5" s="1"/>
  <c r="S3600" i="5" s="1"/>
  <c r="Q3607" i="5"/>
  <c r="M3607" i="5"/>
  <c r="Q3613" i="5"/>
  <c r="R3613" i="5" s="1"/>
  <c r="S3613" i="5" s="1"/>
  <c r="M3613" i="5"/>
  <c r="N3613" i="5" s="1"/>
  <c r="Q3615" i="5"/>
  <c r="M3615" i="5"/>
  <c r="Q3623" i="5"/>
  <c r="M3623" i="5"/>
  <c r="Q3633" i="5"/>
  <c r="M3633" i="5"/>
  <c r="Q3636" i="5"/>
  <c r="R3636" i="5" s="1"/>
  <c r="S3636" i="5" s="1"/>
  <c r="M3636" i="5"/>
  <c r="Q3643" i="5"/>
  <c r="M3643" i="5"/>
  <c r="M3651" i="5"/>
  <c r="Q3651" i="5"/>
  <c r="Q3652" i="5"/>
  <c r="M3652" i="5"/>
  <c r="Q3662" i="5"/>
  <c r="M3662" i="5"/>
  <c r="Q3663" i="5"/>
  <c r="M3663" i="5"/>
  <c r="Q3672" i="5"/>
  <c r="M3672" i="5"/>
  <c r="Q3677" i="5"/>
  <c r="R3677" i="5" s="1"/>
  <c r="S3677" i="5" s="1"/>
  <c r="M3677" i="5"/>
  <c r="Q3679" i="5"/>
  <c r="M3679" i="5"/>
  <c r="Q3685" i="5"/>
  <c r="M3685" i="5"/>
  <c r="Q3688" i="5"/>
  <c r="R3688" i="5" s="1"/>
  <c r="S3688" i="5" s="1"/>
  <c r="M3688" i="5"/>
  <c r="M3694" i="5"/>
  <c r="Q3694" i="5"/>
  <c r="M3319" i="5"/>
  <c r="M3321" i="5"/>
  <c r="M3324" i="5"/>
  <c r="M3327" i="5"/>
  <c r="M3330" i="5"/>
  <c r="M3335" i="5"/>
  <c r="M3344" i="5"/>
  <c r="N3344" i="5" s="1"/>
  <c r="Q3349" i="5"/>
  <c r="M3356" i="5"/>
  <c r="M3367" i="5"/>
  <c r="M3377" i="5"/>
  <c r="M3386" i="5"/>
  <c r="M3395" i="5"/>
  <c r="M3404" i="5"/>
  <c r="M3413" i="5"/>
  <c r="M3420" i="5"/>
  <c r="M3428" i="5"/>
  <c r="Q3444" i="5"/>
  <c r="R3444" i="5" s="1"/>
  <c r="S3444" i="5" s="1"/>
  <c r="Q3462" i="5"/>
  <c r="R3462" i="5" s="1"/>
  <c r="S3462" i="5" s="1"/>
  <c r="M3480" i="5"/>
  <c r="Q3500" i="5"/>
  <c r="M3516" i="5"/>
  <c r="Q3537" i="5"/>
  <c r="Q3414" i="5"/>
  <c r="R3414" i="5" s="1"/>
  <c r="S3414" i="5" s="1"/>
  <c r="M3414" i="5"/>
  <c r="N3414" i="5" s="1"/>
  <c r="Q3425" i="5"/>
  <c r="R3425" i="5" s="1"/>
  <c r="S3425" i="5" s="1"/>
  <c r="M3425" i="5"/>
  <c r="Q3432" i="5"/>
  <c r="R3432" i="5" s="1"/>
  <c r="S3432" i="5" s="1"/>
  <c r="M3432" i="5"/>
  <c r="Q3476" i="5"/>
  <c r="M3476" i="5"/>
  <c r="Q3499" i="5"/>
  <c r="R3499" i="5" s="1"/>
  <c r="S3499" i="5" s="1"/>
  <c r="M3499" i="5"/>
  <c r="Q3519" i="5"/>
  <c r="R3519" i="5" s="1"/>
  <c r="S3519" i="5" s="1"/>
  <c r="M3519" i="5"/>
  <c r="Q3536" i="5"/>
  <c r="M3536" i="5"/>
  <c r="Q3555" i="5"/>
  <c r="R3555" i="5" s="1"/>
  <c r="S3555" i="5" s="1"/>
  <c r="M3555" i="5"/>
  <c r="Q3618" i="5"/>
  <c r="R3618" i="5" s="1"/>
  <c r="S3618" i="5" s="1"/>
  <c r="M3618" i="5"/>
  <c r="Q3630" i="5"/>
  <c r="M3630" i="5"/>
  <c r="Q3641" i="5"/>
  <c r="R3641" i="5" s="1"/>
  <c r="S3641" i="5" s="1"/>
  <c r="M3641" i="5"/>
  <c r="Q3656" i="5"/>
  <c r="M3656" i="5"/>
  <c r="M3671" i="5"/>
  <c r="Q3671" i="5"/>
  <c r="Q3682" i="5"/>
  <c r="M3682" i="5"/>
  <c r="M3691" i="5"/>
  <c r="Q3691" i="5"/>
  <c r="M3334" i="5"/>
  <c r="Q3398" i="5"/>
  <c r="Q3458" i="5"/>
  <c r="M3458" i="5"/>
  <c r="M3504" i="5"/>
  <c r="Q3504" i="5"/>
  <c r="R3504" i="5" s="1"/>
  <c r="S3504" i="5" s="1"/>
  <c r="Q3594" i="5"/>
  <c r="R3594" i="5" s="1"/>
  <c r="S3594" i="5" s="1"/>
  <c r="M3594" i="5"/>
  <c r="Q3608" i="5"/>
  <c r="M3608" i="5"/>
  <c r="Q3357" i="5"/>
  <c r="R3357" i="5" s="1"/>
  <c r="S3357" i="5" s="1"/>
  <c r="M3357" i="5"/>
  <c r="Q3363" i="5"/>
  <c r="M3363" i="5"/>
  <c r="Q3381" i="5"/>
  <c r="M3381" i="5"/>
  <c r="Q3382" i="5"/>
  <c r="R3382" i="5" s="1"/>
  <c r="S3382" i="5" s="1"/>
  <c r="M3382" i="5"/>
  <c r="Q3390" i="5"/>
  <c r="M3390" i="5"/>
  <c r="Q3393" i="5"/>
  <c r="M3393" i="5"/>
  <c r="Q3402" i="5"/>
  <c r="R3402" i="5" s="1"/>
  <c r="S3402" i="5" s="1"/>
  <c r="M3402" i="5"/>
  <c r="N3402" i="5" s="1"/>
  <c r="Q3406" i="5"/>
  <c r="M3406" i="5"/>
  <c r="Q3416" i="5"/>
  <c r="R3416" i="5" s="1"/>
  <c r="S3416" i="5" s="1"/>
  <c r="M3416" i="5"/>
  <c r="Q3419" i="5"/>
  <c r="M3419" i="5"/>
  <c r="Q3430" i="5"/>
  <c r="R3430" i="5" s="1"/>
  <c r="S3430" i="5" s="1"/>
  <c r="M3430" i="5"/>
  <c r="Q3439" i="5"/>
  <c r="R3439" i="5" s="1"/>
  <c r="S3439" i="5" s="1"/>
  <c r="M3439" i="5"/>
  <c r="Q3443" i="5"/>
  <c r="R3443" i="5" s="1"/>
  <c r="S3443" i="5" s="1"/>
  <c r="M3443" i="5"/>
  <c r="N3443" i="5" s="1"/>
  <c r="Q3454" i="5"/>
  <c r="M3454" i="5"/>
  <c r="Q3469" i="5"/>
  <c r="R3469" i="5" s="1"/>
  <c r="S3469" i="5" s="1"/>
  <c r="M3469" i="5"/>
  <c r="Q3473" i="5"/>
  <c r="M3473" i="5"/>
  <c r="Q3478" i="5"/>
  <c r="M3478" i="5"/>
  <c r="Q3485" i="5"/>
  <c r="R3485" i="5" s="1"/>
  <c r="S3485" i="5" s="1"/>
  <c r="M3485" i="5"/>
  <c r="Q3495" i="5"/>
  <c r="R3495" i="5" s="1"/>
  <c r="S3495" i="5" s="1"/>
  <c r="M3495" i="5"/>
  <c r="M3501" i="5"/>
  <c r="Q3501" i="5"/>
  <c r="R3501" i="5" s="1"/>
  <c r="S3501" i="5" s="1"/>
  <c r="Q3521" i="5"/>
  <c r="M3521" i="5"/>
  <c r="Q3524" i="5"/>
  <c r="R3524" i="5" s="1"/>
  <c r="S3524" i="5" s="1"/>
  <c r="M3524" i="5"/>
  <c r="Q3550" i="5"/>
  <c r="R3550" i="5" s="1"/>
  <c r="S3550" i="5" s="1"/>
  <c r="M3550" i="5"/>
  <c r="Q3559" i="5"/>
  <c r="M3559" i="5"/>
  <c r="Q3561" i="5"/>
  <c r="R3561" i="5" s="1"/>
  <c r="S3561" i="5" s="1"/>
  <c r="M3561" i="5"/>
  <c r="Q3568" i="5"/>
  <c r="R3568" i="5" s="1"/>
  <c r="S3568" i="5" s="1"/>
  <c r="M3568" i="5"/>
  <c r="Q3572" i="5"/>
  <c r="R3572" i="5" s="1"/>
  <c r="S3572" i="5" s="1"/>
  <c r="M3572" i="5"/>
  <c r="Q3580" i="5"/>
  <c r="M3580" i="5"/>
  <c r="M3585" i="5"/>
  <c r="Q3585" i="5"/>
  <c r="Q3591" i="5"/>
  <c r="M3591" i="5"/>
  <c r="Q3598" i="5"/>
  <c r="R3598" i="5" s="1"/>
  <c r="S3598" i="5" s="1"/>
  <c r="M3598" i="5"/>
  <c r="Q3603" i="5"/>
  <c r="R3603" i="5" s="1"/>
  <c r="S3603" i="5" s="1"/>
  <c r="M3603" i="5"/>
  <c r="Q3611" i="5"/>
  <c r="M3611" i="5"/>
  <c r="Q3612" i="5"/>
  <c r="R3612" i="5" s="1"/>
  <c r="S3612" i="5" s="1"/>
  <c r="M3612" i="5"/>
  <c r="N3612" i="5" s="1"/>
  <c r="Q3622" i="5"/>
  <c r="M3622" i="5"/>
  <c r="Q3627" i="5"/>
  <c r="M3627" i="5"/>
  <c r="M3632" i="5"/>
  <c r="N3632" i="5" s="1"/>
  <c r="Q3632" i="5"/>
  <c r="R3632" i="5" s="1"/>
  <c r="S3632" i="5" s="1"/>
  <c r="Q3638" i="5"/>
  <c r="R3638" i="5" s="1"/>
  <c r="S3638" i="5" s="1"/>
  <c r="M3638" i="5"/>
  <c r="Q3642" i="5"/>
  <c r="M3642" i="5"/>
  <c r="Q3650" i="5"/>
  <c r="R3650" i="5" s="1"/>
  <c r="S3650" i="5" s="1"/>
  <c r="M3650" i="5"/>
  <c r="Q3655" i="5"/>
  <c r="R3655" i="5" s="1"/>
  <c r="S3655" i="5" s="1"/>
  <c r="M3655" i="5"/>
  <c r="Q3661" i="5"/>
  <c r="R3661" i="5" s="1"/>
  <c r="S3661" i="5" s="1"/>
  <c r="M3661" i="5"/>
  <c r="M3668" i="5"/>
  <c r="Q3668" i="5"/>
  <c r="Q3676" i="5"/>
  <c r="M3676" i="5"/>
  <c r="M3684" i="5"/>
  <c r="Q3684" i="5"/>
  <c r="M3687" i="5"/>
  <c r="Q3687" i="5"/>
  <c r="Q3693" i="5"/>
  <c r="M3693" i="5"/>
  <c r="K3318" i="5"/>
  <c r="L3318" i="5" s="1"/>
  <c r="P3318" i="5" s="1"/>
  <c r="M3332" i="5"/>
  <c r="M3337" i="5"/>
  <c r="M3339" i="5"/>
  <c r="M3346" i="5"/>
  <c r="M3351" i="5"/>
  <c r="M3361" i="5"/>
  <c r="Q3373" i="5"/>
  <c r="R3373" i="5" s="1"/>
  <c r="S3373" i="5" s="1"/>
  <c r="M3437" i="5"/>
  <c r="Q3447" i="5"/>
  <c r="Q3465" i="5"/>
  <c r="M3483" i="5"/>
  <c r="M3488" i="5"/>
  <c r="M3496" i="5"/>
  <c r="Q3514" i="5"/>
  <c r="Q3542" i="5"/>
  <c r="R3542" i="5" s="1"/>
  <c r="S3542" i="5" s="1"/>
  <c r="M3553" i="5"/>
  <c r="Q3635" i="5"/>
  <c r="R3635" i="5" s="1"/>
  <c r="S3635" i="5" s="1"/>
  <c r="Q3388" i="5"/>
  <c r="M3388" i="5"/>
  <c r="Q3467" i="5"/>
  <c r="R3467" i="5" s="1"/>
  <c r="S3467" i="5" s="1"/>
  <c r="M3467" i="5"/>
  <c r="Q3493" i="5"/>
  <c r="R3493" i="5" s="1"/>
  <c r="S3493" i="5" s="1"/>
  <c r="M3493" i="5"/>
  <c r="Q3522" i="5"/>
  <c r="R3522" i="5" s="1"/>
  <c r="S3522" i="5" s="1"/>
  <c r="M3522" i="5"/>
  <c r="N3522" i="5" s="1"/>
  <c r="O3522" i="5" s="1"/>
  <c r="Q3575" i="5"/>
  <c r="R3575" i="5" s="1"/>
  <c r="S3575" i="5" s="1"/>
  <c r="M3575" i="5"/>
  <c r="Q3595" i="5"/>
  <c r="R3595" i="5" s="1"/>
  <c r="S3595" i="5" s="1"/>
  <c r="M3595" i="5"/>
  <c r="Q3648" i="5"/>
  <c r="R3648" i="5" s="1"/>
  <c r="S3648" i="5" s="1"/>
  <c r="M3648" i="5"/>
  <c r="N3648" i="5" s="1"/>
  <c r="M3376" i="5"/>
  <c r="N3376" i="5" s="1"/>
  <c r="Q3453" i="5"/>
  <c r="R3453" i="5" s="1"/>
  <c r="S3453" i="5" s="1"/>
  <c r="Q3365" i="5"/>
  <c r="R3365" i="5" s="1"/>
  <c r="S3365" i="5" s="1"/>
  <c r="M3365" i="5"/>
  <c r="Q3385" i="5"/>
  <c r="R3385" i="5" s="1"/>
  <c r="S3385" i="5" s="1"/>
  <c r="M3385" i="5"/>
  <c r="N3385" i="5" s="1"/>
  <c r="Q3397" i="5"/>
  <c r="R3397" i="5" s="1"/>
  <c r="S3397" i="5" s="1"/>
  <c r="M3397" i="5"/>
  <c r="Q3442" i="5"/>
  <c r="R3442" i="5" s="1"/>
  <c r="S3442" i="5" s="1"/>
  <c r="M3442" i="5"/>
  <c r="Q3452" i="5"/>
  <c r="M3452" i="5"/>
  <c r="Q3475" i="5"/>
  <c r="R3475" i="5" s="1"/>
  <c r="S3475" i="5" s="1"/>
  <c r="M3475" i="5"/>
  <c r="M3487" i="5"/>
  <c r="Q3487" i="5"/>
  <c r="R3487" i="5" s="1"/>
  <c r="S3487" i="5" s="1"/>
  <c r="Q3508" i="5"/>
  <c r="M3508" i="5"/>
  <c r="Q3534" i="5"/>
  <c r="M3534" i="5"/>
  <c r="Q3545" i="5"/>
  <c r="R3545" i="5" s="1"/>
  <c r="S3545" i="5" s="1"/>
  <c r="M3545" i="5"/>
  <c r="Q3565" i="5"/>
  <c r="R3565" i="5" s="1"/>
  <c r="S3565" i="5" s="1"/>
  <c r="M3565" i="5"/>
  <c r="Q3589" i="5"/>
  <c r="R3589" i="5" s="1"/>
  <c r="S3589" i="5" s="1"/>
  <c r="M3589" i="5"/>
  <c r="N3589" i="5" s="1"/>
  <c r="Q3617" i="5"/>
  <c r="M3617" i="5"/>
  <c r="Q3362" i="5"/>
  <c r="R3362" i="5" s="1"/>
  <c r="S3362" i="5" s="1"/>
  <c r="M3362" i="5"/>
  <c r="N3362" i="5" s="1"/>
  <c r="Q3366" i="5"/>
  <c r="R3366" i="5" s="1"/>
  <c r="S3366" i="5" s="1"/>
  <c r="M3366" i="5"/>
  <c r="Q3387" i="5"/>
  <c r="M3387" i="5"/>
  <c r="Q3399" i="5"/>
  <c r="M3399" i="5"/>
  <c r="Q3409" i="5"/>
  <c r="R3409" i="5" s="1"/>
  <c r="S3409" i="5" s="1"/>
  <c r="M3409" i="5"/>
  <c r="N3409" i="5" s="1"/>
  <c r="Q3415" i="5"/>
  <c r="M3415" i="5"/>
  <c r="Q3424" i="5"/>
  <c r="M3424" i="5"/>
  <c r="Q3433" i="5"/>
  <c r="M3433" i="5"/>
  <c r="Q3445" i="5"/>
  <c r="M3445" i="5"/>
  <c r="Q3446" i="5"/>
  <c r="M3446" i="5"/>
  <c r="Q3457" i="5"/>
  <c r="R3457" i="5" s="1"/>
  <c r="S3457" i="5" s="1"/>
  <c r="M3457" i="5"/>
  <c r="Q3463" i="5"/>
  <c r="M3463" i="5"/>
  <c r="Q3472" i="5"/>
  <c r="R3472" i="5" s="1"/>
  <c r="S3472" i="5" s="1"/>
  <c r="M3472" i="5"/>
  <c r="N3472" i="5" s="1"/>
  <c r="O3472" i="5" s="1"/>
  <c r="M3484" i="5"/>
  <c r="Q3484" i="5"/>
  <c r="M3490" i="5"/>
  <c r="Q3490" i="5"/>
  <c r="Q3494" i="5"/>
  <c r="M3494" i="5"/>
  <c r="M3510" i="5"/>
  <c r="Q3510" i="5"/>
  <c r="M3515" i="5"/>
  <c r="Q3515" i="5"/>
  <c r="Q3523" i="5"/>
  <c r="R3523" i="5" s="1"/>
  <c r="S3523" i="5" s="1"/>
  <c r="M3523" i="5"/>
  <c r="Q3529" i="5"/>
  <c r="M3529" i="5"/>
  <c r="Q3530" i="5"/>
  <c r="R3530" i="5" s="1"/>
  <c r="S3530" i="5" s="1"/>
  <c r="M3530" i="5"/>
  <c r="Q3540" i="5"/>
  <c r="M3540" i="5"/>
  <c r="Q3547" i="5"/>
  <c r="M3547" i="5"/>
  <c r="Q3549" i="5"/>
  <c r="R3549" i="5" s="1"/>
  <c r="S3549" i="5" s="1"/>
  <c r="M3549" i="5"/>
  <c r="Q3558" i="5"/>
  <c r="M3558" i="5"/>
  <c r="Q3564" i="5"/>
  <c r="M3564" i="5"/>
  <c r="M3567" i="5"/>
  <c r="Q3567" i="5"/>
  <c r="R3567" i="5" s="1"/>
  <c r="S3567" i="5" s="1"/>
  <c r="M3576" i="5"/>
  <c r="Q3576" i="5"/>
  <c r="M3579" i="5"/>
  <c r="Q3579" i="5"/>
  <c r="Q3587" i="5"/>
  <c r="R3587" i="5" s="1"/>
  <c r="S3587" i="5" s="1"/>
  <c r="M3587" i="5"/>
  <c r="Q3590" i="5"/>
  <c r="R3590" i="5" s="1"/>
  <c r="S3590" i="5" s="1"/>
  <c r="M3590" i="5"/>
  <c r="Q3597" i="5"/>
  <c r="R3597" i="5" s="1"/>
  <c r="S3597" i="5" s="1"/>
  <c r="M3597" i="5"/>
  <c r="Q3604" i="5"/>
  <c r="R3604" i="5" s="1"/>
  <c r="S3604" i="5" s="1"/>
  <c r="M3604" i="5"/>
  <c r="Q3610" i="5"/>
  <c r="M3610" i="5"/>
  <c r="Q3619" i="5"/>
  <c r="M3619" i="5"/>
  <c r="M3626" i="5"/>
  <c r="Q3626" i="5"/>
  <c r="R3626" i="5" s="1"/>
  <c r="S3626" i="5" s="1"/>
  <c r="Q3631" i="5"/>
  <c r="R3631" i="5" s="1"/>
  <c r="S3631" i="5" s="1"/>
  <c r="M3631" i="5"/>
  <c r="Q3637" i="5"/>
  <c r="R3637" i="5" s="1"/>
  <c r="S3637" i="5" s="1"/>
  <c r="M3637" i="5"/>
  <c r="N3637" i="5" s="1"/>
  <c r="M3647" i="5"/>
  <c r="N3647" i="5" s="1"/>
  <c r="O3647" i="5" s="1"/>
  <c r="Q3647" i="5"/>
  <c r="R3647" i="5" s="1"/>
  <c r="S3647" i="5" s="1"/>
  <c r="Q3649" i="5"/>
  <c r="M3649" i="5"/>
  <c r="Q3657" i="5"/>
  <c r="M3657" i="5"/>
  <c r="Q3660" i="5"/>
  <c r="R3660" i="5" s="1"/>
  <c r="S3660" i="5" s="1"/>
  <c r="M3660" i="5"/>
  <c r="N3660" i="5" s="1"/>
  <c r="Q3667" i="5"/>
  <c r="R3667" i="5" s="1"/>
  <c r="S3667" i="5" s="1"/>
  <c r="M3667" i="5"/>
  <c r="Q3675" i="5"/>
  <c r="M3675" i="5"/>
  <c r="Q3683" i="5"/>
  <c r="R3683" i="5" s="1"/>
  <c r="S3683" i="5" s="1"/>
  <c r="M3683" i="5"/>
  <c r="Q3692" i="5"/>
  <c r="M3692" i="5"/>
  <c r="M3341" i="5"/>
  <c r="M3353" i="5"/>
  <c r="M3370" i="5"/>
  <c r="Q3435" i="5"/>
  <c r="R3435" i="5" s="1"/>
  <c r="S3435" i="5" s="1"/>
  <c r="Q3450" i="5"/>
  <c r="R3450" i="5" s="1"/>
  <c r="S3450" i="5" s="1"/>
  <c r="Q3468" i="5"/>
  <c r="Q3486" i="5"/>
  <c r="R3486" i="5" s="1"/>
  <c r="S3486" i="5" s="1"/>
  <c r="Q3491" i="5"/>
  <c r="R3491" i="5" s="1"/>
  <c r="S3491" i="5" s="1"/>
  <c r="Q3548" i="5"/>
  <c r="K3686" i="5"/>
  <c r="L3686" i="5" s="1"/>
  <c r="R3353" i="5"/>
  <c r="S3353" i="5" s="1"/>
  <c r="R3356" i="5"/>
  <c r="S3356" i="5" s="1"/>
  <c r="K3562" i="5"/>
  <c r="L3562" i="5" s="1"/>
  <c r="R3376" i="5"/>
  <c r="S3376" i="5" s="1"/>
  <c r="R3420" i="5"/>
  <c r="S3420" i="5" s="1"/>
  <c r="K3607" i="5"/>
  <c r="K3672" i="5"/>
  <c r="P3648" i="5"/>
  <c r="K3691" i="5"/>
  <c r="L3691" i="5" s="1"/>
  <c r="K3654" i="5"/>
  <c r="L3654" i="5" s="1"/>
  <c r="L3599" i="5"/>
  <c r="P3599" i="5" s="1"/>
  <c r="L3586" i="5"/>
  <c r="K3580" i="5"/>
  <c r="L3580" i="5" s="1"/>
  <c r="P3580" i="5" s="1"/>
  <c r="K3540" i="5"/>
  <c r="L3540" i="5" s="1"/>
  <c r="L3539" i="5"/>
  <c r="P3539" i="5" s="1"/>
  <c r="L3527" i="5"/>
  <c r="P3527" i="5" s="1"/>
  <c r="L3504" i="5"/>
  <c r="P3504" i="5" s="1"/>
  <c r="L3482" i="5"/>
  <c r="K3460" i="5"/>
  <c r="L3460" i="5" s="1"/>
  <c r="P3460" i="5" s="1"/>
  <c r="L3449" i="5"/>
  <c r="L3431" i="5"/>
  <c r="P3431" i="5" s="1"/>
  <c r="K3429" i="5"/>
  <c r="K3408" i="5"/>
  <c r="L3391" i="5"/>
  <c r="P3391" i="5" s="1"/>
  <c r="K3341" i="5"/>
  <c r="L3341" i="5" s="1"/>
  <c r="K3332" i="5"/>
  <c r="L3332" i="5" s="1"/>
  <c r="P3332" i="5" s="1"/>
  <c r="P3336" i="5"/>
  <c r="L3524" i="5"/>
  <c r="P3524" i="5" s="1"/>
  <c r="K3538" i="5"/>
  <c r="L3538" i="5" s="1"/>
  <c r="K3642" i="5"/>
  <c r="L3642" i="5" s="1"/>
  <c r="P3642" i="5" s="1"/>
  <c r="L3678" i="5"/>
  <c r="P3678" i="5" s="1"/>
  <c r="L3688" i="5"/>
  <c r="P3688" i="5" s="1"/>
  <c r="K3419" i="5"/>
  <c r="L3419" i="5" s="1"/>
  <c r="L3450" i="5"/>
  <c r="P3450" i="5" s="1"/>
  <c r="L3467" i="5"/>
  <c r="P3467" i="5" s="1"/>
  <c r="K3543" i="5"/>
  <c r="L3543" i="5" s="1"/>
  <c r="R3344" i="5"/>
  <c r="S3344" i="5" s="1"/>
  <c r="K3489" i="5"/>
  <c r="L3489" i="5" s="1"/>
  <c r="K3510" i="5"/>
  <c r="K3337" i="5"/>
  <c r="R3337" i="5" s="1"/>
  <c r="S3337" i="5" s="1"/>
  <c r="K3319" i="5"/>
  <c r="R3319" i="5" s="1"/>
  <c r="S3319" i="5" s="1"/>
  <c r="K3323" i="5"/>
  <c r="L3323" i="5" s="1"/>
  <c r="K3325" i="5"/>
  <c r="R3325" i="5" s="1"/>
  <c r="S3325" i="5" s="1"/>
  <c r="L3331" i="5"/>
  <c r="P3331" i="5" s="1"/>
  <c r="K3343" i="5"/>
  <c r="R3343" i="5" s="1"/>
  <c r="S3343" i="5" s="1"/>
  <c r="K3349" i="5"/>
  <c r="R3367" i="5"/>
  <c r="S3367" i="5" s="1"/>
  <c r="K3388" i="5"/>
  <c r="L3388" i="5" s="1"/>
  <c r="K3480" i="5"/>
  <c r="R3480" i="5" s="1"/>
  <c r="S3480" i="5" s="1"/>
  <c r="L3481" i="5"/>
  <c r="P3481" i="5" s="1"/>
  <c r="K3653" i="5"/>
  <c r="K3438" i="5"/>
  <c r="K3342" i="5"/>
  <c r="R3342" i="5" s="1"/>
  <c r="S3342" i="5" s="1"/>
  <c r="L3448" i="5"/>
  <c r="P3448" i="5" s="1"/>
  <c r="K3609" i="5"/>
  <c r="L3609" i="5" s="1"/>
  <c r="R3437" i="5"/>
  <c r="S3437" i="5" s="1"/>
  <c r="L3437" i="5"/>
  <c r="P3437" i="5" s="1"/>
  <c r="R3336" i="5"/>
  <c r="S3336" i="5" s="1"/>
  <c r="K3403" i="5"/>
  <c r="K3421" i="5"/>
  <c r="K3424" i="5"/>
  <c r="L3424" i="5" s="1"/>
  <c r="N3435" i="5"/>
  <c r="L3461" i="5"/>
  <c r="P3461" i="5" s="1"/>
  <c r="K3468" i="5"/>
  <c r="R3474" i="5"/>
  <c r="S3474" i="5" s="1"/>
  <c r="K3534" i="5"/>
  <c r="L3534" i="5" s="1"/>
  <c r="K3544" i="5"/>
  <c r="K3588" i="5"/>
  <c r="K3694" i="5"/>
  <c r="K3466" i="5"/>
  <c r="L3466" i="5" s="1"/>
  <c r="P3466" i="5" s="1"/>
  <c r="K3593" i="5"/>
  <c r="L3593" i="5" s="1"/>
  <c r="P3593" i="5" s="1"/>
  <c r="K3324" i="5"/>
  <c r="L3324" i="5" s="1"/>
  <c r="K3379" i="5"/>
  <c r="L3486" i="5"/>
  <c r="P3486" i="5" s="1"/>
  <c r="L3568" i="5"/>
  <c r="P3568" i="5" s="1"/>
  <c r="L3361" i="5"/>
  <c r="P3361" i="5" s="1"/>
  <c r="L3396" i="5"/>
  <c r="P3396" i="5" s="1"/>
  <c r="K3473" i="5"/>
  <c r="L3473" i="5" s="1"/>
  <c r="P3473" i="5" s="1"/>
  <c r="L3492" i="5"/>
  <c r="P3492" i="5" s="1"/>
  <c r="R3516" i="5"/>
  <c r="S3516" i="5" s="1"/>
  <c r="L3516" i="5"/>
  <c r="P3516" i="5" s="1"/>
  <c r="L3350" i="5"/>
  <c r="N3350" i="5" s="1"/>
  <c r="R3361" i="5"/>
  <c r="S3361" i="5" s="1"/>
  <c r="L3368" i="5"/>
  <c r="P3368" i="5" s="1"/>
  <c r="K3390" i="5"/>
  <c r="L3420" i="5"/>
  <c r="K3454" i="5"/>
  <c r="L3455" i="5"/>
  <c r="P3455" i="5" s="1"/>
  <c r="K3569" i="5"/>
  <c r="L3594" i="5"/>
  <c r="P3594" i="5" s="1"/>
  <c r="L3658" i="5"/>
  <c r="L3533" i="5"/>
  <c r="L3556" i="5"/>
  <c r="K3695" i="5"/>
  <c r="L3528" i="5"/>
  <c r="P3528" i="5" s="1"/>
  <c r="L3600" i="5"/>
  <c r="K3619" i="5"/>
  <c r="L3619" i="5" s="1"/>
  <c r="K3630" i="5"/>
  <c r="L3630" i="5" s="1"/>
  <c r="L3644" i="5"/>
  <c r="P3644" i="5" s="1"/>
  <c r="K3666" i="5"/>
  <c r="K3671" i="5"/>
  <c r="K3675" i="5"/>
  <c r="L3675" i="5" s="1"/>
  <c r="K3680" i="5"/>
  <c r="L3680" i="5" s="1"/>
  <c r="K3692" i="5"/>
  <c r="L3378" i="5"/>
  <c r="K3406" i="5"/>
  <c r="K3483" i="5"/>
  <c r="L3483" i="5" s="1"/>
  <c r="P3376" i="5"/>
  <c r="P3344" i="5"/>
  <c r="P3362" i="5"/>
  <c r="K3370" i="5"/>
  <c r="R3370" i="5" s="1"/>
  <c r="S3370" i="5" s="1"/>
  <c r="P3373" i="5"/>
  <c r="N3373" i="5"/>
  <c r="K3440" i="5"/>
  <c r="L3338" i="5"/>
  <c r="K3340" i="5"/>
  <c r="L3340" i="5" s="1"/>
  <c r="L3348" i="5"/>
  <c r="L3356" i="5"/>
  <c r="K3358" i="5"/>
  <c r="L3358" i="5" s="1"/>
  <c r="L3366" i="5"/>
  <c r="K3398" i="5"/>
  <c r="L3398" i="5" s="1"/>
  <c r="K3417" i="5"/>
  <c r="R3417" i="5" s="1"/>
  <c r="S3417" i="5" s="1"/>
  <c r="L3498" i="5"/>
  <c r="L3326" i="5"/>
  <c r="K3327" i="5"/>
  <c r="R3327" i="5" s="1"/>
  <c r="S3327" i="5" s="1"/>
  <c r="K3328" i="5"/>
  <c r="L3328" i="5" s="1"/>
  <c r="L3375" i="5"/>
  <c r="K3433" i="5"/>
  <c r="P3443" i="5"/>
  <c r="K3317" i="5"/>
  <c r="L3317" i="5" s="1"/>
  <c r="K3333" i="5"/>
  <c r="R3333" i="5" s="1"/>
  <c r="S3333" i="5" s="1"/>
  <c r="K3334" i="5"/>
  <c r="L3334" i="5" s="1"/>
  <c r="P3384" i="5"/>
  <c r="L3432" i="5"/>
  <c r="K3452" i="5"/>
  <c r="L3452" i="5" s="1"/>
  <c r="K3470" i="5"/>
  <c r="L3357" i="5"/>
  <c r="R3321" i="5"/>
  <c r="S3321" i="5" s="1"/>
  <c r="L3321" i="5"/>
  <c r="K3345" i="5"/>
  <c r="L3345" i="5" s="1"/>
  <c r="K3346" i="5"/>
  <c r="L3346" i="5" s="1"/>
  <c r="K3363" i="5"/>
  <c r="K3364" i="5"/>
  <c r="L3364" i="5" s="1"/>
  <c r="K3383" i="5"/>
  <c r="R3383" i="5" s="1"/>
  <c r="S3383" i="5" s="1"/>
  <c r="P3385" i="5"/>
  <c r="L3397" i="5"/>
  <c r="P3414" i="5"/>
  <c r="R3426" i="5"/>
  <c r="S3426" i="5" s="1"/>
  <c r="L3426" i="5"/>
  <c r="K3352" i="5"/>
  <c r="R3352" i="5" s="1"/>
  <c r="S3352" i="5" s="1"/>
  <c r="P3355" i="5"/>
  <c r="N3355" i="5"/>
  <c r="L3360" i="5"/>
  <c r="R3339" i="5"/>
  <c r="S3339" i="5" s="1"/>
  <c r="L3339" i="5"/>
  <c r="P3320" i="5"/>
  <c r="N3320" i="5"/>
  <c r="K3322" i="5"/>
  <c r="L3322" i="5" s="1"/>
  <c r="R3330" i="5"/>
  <c r="S3330" i="5" s="1"/>
  <c r="L3330" i="5"/>
  <c r="R3351" i="5"/>
  <c r="S3351" i="5" s="1"/>
  <c r="L3351" i="5"/>
  <c r="L3369" i="5"/>
  <c r="K3372" i="5"/>
  <c r="L3372" i="5" s="1"/>
  <c r="L3374" i="5"/>
  <c r="K3381" i="5"/>
  <c r="K3531" i="5"/>
  <c r="K3602" i="5"/>
  <c r="L3602" i="5" s="1"/>
  <c r="R3404" i="5"/>
  <c r="S3404" i="5" s="1"/>
  <c r="L3404" i="5"/>
  <c r="L3427" i="5"/>
  <c r="L3441" i="5"/>
  <c r="L3444" i="5"/>
  <c r="K3445" i="5"/>
  <c r="K3446" i="5"/>
  <c r="L3446" i="5" s="1"/>
  <c r="L3453" i="5"/>
  <c r="L3462" i="5"/>
  <c r="K3463" i="5"/>
  <c r="K3464" i="5"/>
  <c r="P3577" i="5"/>
  <c r="K3399" i="5"/>
  <c r="L3399" i="5" s="1"/>
  <c r="P3402" i="5"/>
  <c r="K3434" i="5"/>
  <c r="L3434" i="5" s="1"/>
  <c r="K3371" i="5"/>
  <c r="K3386" i="5"/>
  <c r="L3386" i="5" s="1"/>
  <c r="K3387" i="5"/>
  <c r="K3405" i="5"/>
  <c r="K3428" i="5"/>
  <c r="L3428" i="5" s="1"/>
  <c r="L3457" i="5"/>
  <c r="L3475" i="5"/>
  <c r="K3488" i="5"/>
  <c r="L3488" i="5" s="1"/>
  <c r="K3500" i="5"/>
  <c r="L3500" i="5" s="1"/>
  <c r="L3329" i="5"/>
  <c r="L3335" i="5"/>
  <c r="L3347" i="5"/>
  <c r="L3353" i="5"/>
  <c r="K3354" i="5"/>
  <c r="R3354" i="5" s="1"/>
  <c r="S3354" i="5" s="1"/>
  <c r="L3359" i="5"/>
  <c r="L3365" i="5"/>
  <c r="K3380" i="5"/>
  <c r="L3380" i="5" s="1"/>
  <c r="R3392" i="5"/>
  <c r="S3392" i="5" s="1"/>
  <c r="L3392" i="5"/>
  <c r="R3410" i="5"/>
  <c r="S3410" i="5" s="1"/>
  <c r="L3410" i="5"/>
  <c r="L3422" i="5"/>
  <c r="P3456" i="5"/>
  <c r="N3456" i="5"/>
  <c r="K3458" i="5"/>
  <c r="L3458" i="5" s="1"/>
  <c r="P3474" i="5"/>
  <c r="K3476" i="5"/>
  <c r="L3476" i="5" s="1"/>
  <c r="K3478" i="5"/>
  <c r="L3478" i="5" s="1"/>
  <c r="K3494" i="5"/>
  <c r="L3494" i="5" s="1"/>
  <c r="K3506" i="5"/>
  <c r="L3506" i="5" s="1"/>
  <c r="R3377" i="5"/>
  <c r="S3377" i="5" s="1"/>
  <c r="L3377" i="5"/>
  <c r="K3393" i="5"/>
  <c r="L3393" i="5" s="1"/>
  <c r="P3409" i="5"/>
  <c r="K3411" i="5"/>
  <c r="L3411" i="5" s="1"/>
  <c r="L3416" i="5"/>
  <c r="K3423" i="5"/>
  <c r="L3439" i="5"/>
  <c r="L3451" i="5"/>
  <c r="L3469" i="5"/>
  <c r="K3477" i="5"/>
  <c r="L3477" i="5" s="1"/>
  <c r="L3487" i="5"/>
  <c r="K3484" i="5"/>
  <c r="L3491" i="5"/>
  <c r="L3499" i="5"/>
  <c r="L3505" i="5"/>
  <c r="K3529" i="5"/>
  <c r="L3557" i="5"/>
  <c r="K3576" i="5"/>
  <c r="K3447" i="5"/>
  <c r="K3459" i="5"/>
  <c r="K3465" i="5"/>
  <c r="K3471" i="5"/>
  <c r="L3485" i="5"/>
  <c r="L3493" i="5"/>
  <c r="L3523" i="5"/>
  <c r="K3552" i="5"/>
  <c r="L3382" i="5"/>
  <c r="K3389" i="5"/>
  <c r="L3394" i="5"/>
  <c r="K3395" i="5"/>
  <c r="L3395" i="5" s="1"/>
  <c r="L3400" i="5"/>
  <c r="K3401" i="5"/>
  <c r="R3401" i="5" s="1"/>
  <c r="S3401" i="5" s="1"/>
  <c r="K3407" i="5"/>
  <c r="L3412" i="5"/>
  <c r="K3413" i="5"/>
  <c r="L3413" i="5" s="1"/>
  <c r="L3418" i="5"/>
  <c r="K3518" i="5"/>
  <c r="R3518" i="5" s="1"/>
  <c r="S3518" i="5" s="1"/>
  <c r="L3425" i="5"/>
  <c r="L3430" i="5"/>
  <c r="L3436" i="5"/>
  <c r="L3442" i="5"/>
  <c r="K3512" i="5"/>
  <c r="K3521" i="5"/>
  <c r="L3511" i="5"/>
  <c r="L3517" i="5"/>
  <c r="R3520" i="5"/>
  <c r="S3520" i="5" s="1"/>
  <c r="L3520" i="5"/>
  <c r="K3526" i="5"/>
  <c r="P3583" i="5"/>
  <c r="K3546" i="5"/>
  <c r="L3550" i="5"/>
  <c r="L3551" i="5"/>
  <c r="K3564" i="5"/>
  <c r="L3564" i="5" s="1"/>
  <c r="P3574" i="5"/>
  <c r="K3606" i="5"/>
  <c r="L3606" i="5" s="1"/>
  <c r="K3490" i="5"/>
  <c r="L3495" i="5"/>
  <c r="K3496" i="5"/>
  <c r="R3496" i="5" s="1"/>
  <c r="S3496" i="5" s="1"/>
  <c r="L3501" i="5"/>
  <c r="K3502" i="5"/>
  <c r="L3502" i="5" s="1"/>
  <c r="L3507" i="5"/>
  <c r="K3508" i="5"/>
  <c r="L3508" i="5" s="1"/>
  <c r="L3513" i="5"/>
  <c r="K3514" i="5"/>
  <c r="L3519" i="5"/>
  <c r="L3525" i="5"/>
  <c r="L3530" i="5"/>
  <c r="K3535" i="5"/>
  <c r="K3536" i="5"/>
  <c r="L3541" i="5"/>
  <c r="P3571" i="5"/>
  <c r="K3585" i="5"/>
  <c r="K3509" i="5"/>
  <c r="K3515" i="5"/>
  <c r="L3515" i="5" s="1"/>
  <c r="L3542" i="5"/>
  <c r="L3545" i="5"/>
  <c r="K3558" i="5"/>
  <c r="R3563" i="5"/>
  <c r="S3563" i="5" s="1"/>
  <c r="L3563" i="5"/>
  <c r="K3578" i="5"/>
  <c r="L3578" i="5" s="1"/>
  <c r="L3479" i="5"/>
  <c r="L3497" i="5"/>
  <c r="L3503" i="5"/>
  <c r="L3592" i="5"/>
  <c r="P3632" i="5"/>
  <c r="L3597" i="5"/>
  <c r="K3547" i="5"/>
  <c r="K3553" i="5"/>
  <c r="R3553" i="5" s="1"/>
  <c r="S3553" i="5" s="1"/>
  <c r="K3559" i="5"/>
  <c r="L3559" i="5" s="1"/>
  <c r="K3579" i="5"/>
  <c r="L3603" i="5"/>
  <c r="K3608" i="5"/>
  <c r="L3608" i="5" s="1"/>
  <c r="K3622" i="5"/>
  <c r="L3635" i="5"/>
  <c r="K3537" i="5"/>
  <c r="L3537" i="5" s="1"/>
  <c r="K3548" i="5"/>
  <c r="K3554" i="5"/>
  <c r="K3560" i="5"/>
  <c r="L3565" i="5"/>
  <c r="K3566" i="5"/>
  <c r="L3570" i="5"/>
  <c r="L3573" i="5"/>
  <c r="L3590" i="5"/>
  <c r="K3621" i="5"/>
  <c r="R3621" i="5" s="1"/>
  <c r="S3621" i="5" s="1"/>
  <c r="K3532" i="5"/>
  <c r="L3532" i="5" s="1"/>
  <c r="P3589" i="5"/>
  <c r="K3591" i="5"/>
  <c r="L3591" i="5" s="1"/>
  <c r="L3595" i="5"/>
  <c r="P3612" i="5"/>
  <c r="P3613" i="5"/>
  <c r="L3620" i="5"/>
  <c r="L3549" i="5"/>
  <c r="L3555" i="5"/>
  <c r="L3561" i="5"/>
  <c r="L3567" i="5"/>
  <c r="L3572" i="5"/>
  <c r="L3582" i="5"/>
  <c r="K3584" i="5"/>
  <c r="K3596" i="5"/>
  <c r="L3601" i="5"/>
  <c r="P3614" i="5"/>
  <c r="L3640" i="5"/>
  <c r="L3667" i="5"/>
  <c r="K3611" i="5"/>
  <c r="L3611" i="5" s="1"/>
  <c r="L3626" i="5"/>
  <c r="K3627" i="5"/>
  <c r="K3628" i="5"/>
  <c r="L3628" i="5" s="1"/>
  <c r="L3631" i="5"/>
  <c r="K3649" i="5"/>
  <c r="L3649" i="5" s="1"/>
  <c r="L3605" i="5"/>
  <c r="K3656" i="5"/>
  <c r="K3633" i="5"/>
  <c r="K3634" i="5"/>
  <c r="L3634" i="5" s="1"/>
  <c r="L3638" i="5"/>
  <c r="L3575" i="5"/>
  <c r="L3581" i="5"/>
  <c r="L3587" i="5"/>
  <c r="L3598" i="5"/>
  <c r="L3604" i="5"/>
  <c r="K3610" i="5"/>
  <c r="K3615" i="5"/>
  <c r="K3616" i="5"/>
  <c r="P3637" i="5"/>
  <c r="K3639" i="5"/>
  <c r="L3655" i="5"/>
  <c r="L3673" i="5"/>
  <c r="K3657" i="5"/>
  <c r="L3657" i="5" s="1"/>
  <c r="K3617" i="5"/>
  <c r="K3623" i="5"/>
  <c r="K3651" i="5"/>
  <c r="K3662" i="5"/>
  <c r="K3682" i="5"/>
  <c r="K3624" i="5"/>
  <c r="L3629" i="5"/>
  <c r="K3668" i="5"/>
  <c r="K3690" i="5"/>
  <c r="L3618" i="5"/>
  <c r="L3636" i="5"/>
  <c r="L3641" i="5"/>
  <c r="K3643" i="5"/>
  <c r="L3643" i="5" s="1"/>
  <c r="K3645" i="5"/>
  <c r="L3650" i="5"/>
  <c r="P3660" i="5"/>
  <c r="L3661" i="5"/>
  <c r="K3674" i="5"/>
  <c r="L3674" i="5" s="1"/>
  <c r="L3677" i="5"/>
  <c r="L3681" i="5"/>
  <c r="L3689" i="5"/>
  <c r="K3663" i="5"/>
  <c r="K3669" i="5"/>
  <c r="L3669" i="5" s="1"/>
  <c r="K3652" i="5"/>
  <c r="K3664" i="5"/>
  <c r="L3664" i="5" s="1"/>
  <c r="K3670" i="5"/>
  <c r="L3670" i="5" s="1"/>
  <c r="K3676" i="5"/>
  <c r="L3683" i="5"/>
  <c r="K3684" i="5"/>
  <c r="K3679" i="5"/>
  <c r="K3685" i="5"/>
  <c r="K3687" i="5"/>
  <c r="L3687" i="5" s="1"/>
  <c r="K3693" i="5"/>
  <c r="L3659" i="5"/>
  <c r="O4179" i="5" l="1"/>
  <c r="U3885" i="5"/>
  <c r="V3885" i="5" s="1"/>
  <c r="O4402" i="5"/>
  <c r="U4229" i="5"/>
  <c r="V4229" i="5" s="1"/>
  <c r="U4352" i="5"/>
  <c r="V4352" i="5" s="1"/>
  <c r="O4320" i="5"/>
  <c r="U4494" i="5"/>
  <c r="V4494" i="5" s="1"/>
  <c r="O4419" i="5"/>
  <c r="U4331" i="5"/>
  <c r="V4331" i="5" s="1"/>
  <c r="U4510" i="5"/>
  <c r="V4510" i="5" s="1"/>
  <c r="O4566" i="5"/>
  <c r="O4325" i="5"/>
  <c r="O4647" i="5"/>
  <c r="O4519" i="5"/>
  <c r="O4360" i="5"/>
  <c r="O4301" i="5"/>
  <c r="O4395" i="5"/>
  <c r="U4351" i="5"/>
  <c r="V4351" i="5" s="1"/>
  <c r="U4302" i="5"/>
  <c r="V4302" i="5" s="1"/>
  <c r="O4337" i="5"/>
  <c r="U4448" i="5"/>
  <c r="V4448" i="5" s="1"/>
  <c r="O4457" i="5"/>
  <c r="U4548" i="5"/>
  <c r="V4548" i="5" s="1"/>
  <c r="U4300" i="5"/>
  <c r="V4300" i="5" s="1"/>
  <c r="U4275" i="5"/>
  <c r="V4275" i="5" s="1"/>
  <c r="U4251" i="5"/>
  <c r="V4251" i="5" s="1"/>
  <c r="O4543" i="5"/>
  <c r="O4400" i="5"/>
  <c r="U4521" i="5"/>
  <c r="V4521" i="5" s="1"/>
  <c r="U4682" i="5"/>
  <c r="V4682" i="5" s="1"/>
  <c r="U4629" i="5"/>
  <c r="V4629" i="5" s="1"/>
  <c r="U4336" i="5"/>
  <c r="V4336" i="5" s="1"/>
  <c r="O4326" i="5"/>
  <c r="U4259" i="5"/>
  <c r="V4259" i="5" s="1"/>
  <c r="U4667" i="5"/>
  <c r="V4667" i="5" s="1"/>
  <c r="U4348" i="5"/>
  <c r="V4348" i="5" s="1"/>
  <c r="O4365" i="5"/>
  <c r="U4573" i="5"/>
  <c r="V4573" i="5" s="1"/>
  <c r="U4617" i="5"/>
  <c r="V4617" i="5" s="1"/>
  <c r="O4319" i="5"/>
  <c r="U4342" i="5"/>
  <c r="V4342" i="5" s="1"/>
  <c r="U4662" i="5"/>
  <c r="V4662" i="5" s="1"/>
  <c r="U4357" i="5"/>
  <c r="V4357" i="5" s="1"/>
  <c r="U4294" i="5"/>
  <c r="V4294" i="5" s="1"/>
  <c r="O4372" i="5"/>
  <c r="U4549" i="5"/>
  <c r="V4549" i="5" s="1"/>
  <c r="U4680" i="5"/>
  <c r="V4680" i="5" s="1"/>
  <c r="U4749" i="5"/>
  <c r="V4749" i="5" s="1"/>
  <c r="U4714" i="5"/>
  <c r="V4714" i="5" s="1"/>
  <c r="O4378" i="5"/>
  <c r="U4664" i="5"/>
  <c r="V4664" i="5" s="1"/>
  <c r="O4351" i="5"/>
  <c r="U4464" i="5"/>
  <c r="V4464" i="5" s="1"/>
  <c r="O4375" i="5"/>
  <c r="U4623" i="5"/>
  <c r="V4623" i="5" s="1"/>
  <c r="U4489" i="5"/>
  <c r="V4489" i="5" s="1"/>
  <c r="U4231" i="5"/>
  <c r="V4231" i="5" s="1"/>
  <c r="O4387" i="5"/>
  <c r="O4405" i="5"/>
  <c r="U4405" i="5"/>
  <c r="V4405" i="5" s="1"/>
  <c r="U4241" i="5"/>
  <c r="V4241" i="5" s="1"/>
  <c r="U4387" i="5"/>
  <c r="V4387" i="5" s="1"/>
  <c r="U4375" i="5"/>
  <c r="V4375" i="5" s="1"/>
  <c r="O4348" i="5"/>
  <c r="O4295" i="5"/>
  <c r="O4549" i="5"/>
  <c r="O4226" i="5"/>
  <c r="U4226" i="5"/>
  <c r="V4226" i="5" s="1"/>
  <c r="O4685" i="5"/>
  <c r="U4685" i="5"/>
  <c r="V4685" i="5" s="1"/>
  <c r="O4276" i="5"/>
  <c r="U4276" i="5"/>
  <c r="V4276" i="5" s="1"/>
  <c r="O4727" i="5"/>
  <c r="U4727" i="5"/>
  <c r="V4727" i="5" s="1"/>
  <c r="O4662" i="5"/>
  <c r="O4680" i="5"/>
  <c r="O4357" i="5"/>
  <c r="U4546" i="5"/>
  <c r="V4546" i="5" s="1"/>
  <c r="O4546" i="5"/>
  <c r="O4232" i="5"/>
  <c r="U4232" i="5"/>
  <c r="V4232" i="5" s="1"/>
  <c r="O4515" i="5"/>
  <c r="U4515" i="5"/>
  <c r="V4515" i="5" s="1"/>
  <c r="O4472" i="5"/>
  <c r="U4472" i="5"/>
  <c r="V4472" i="5" s="1"/>
  <c r="U4501" i="5"/>
  <c r="V4501" i="5" s="1"/>
  <c r="O4501" i="5"/>
  <c r="U4694" i="5"/>
  <c r="V4694" i="5" s="1"/>
  <c r="O4694" i="5"/>
  <c r="O4581" i="5"/>
  <c r="U4581" i="5"/>
  <c r="V4581" i="5" s="1"/>
  <c r="U4343" i="5"/>
  <c r="V4343" i="5" s="1"/>
  <c r="O4343" i="5"/>
  <c r="O4720" i="5"/>
  <c r="U4720" i="5"/>
  <c r="V4720" i="5" s="1"/>
  <c r="O4533" i="5"/>
  <c r="U4533" i="5"/>
  <c r="V4533" i="5" s="1"/>
  <c r="U4635" i="5"/>
  <c r="V4635" i="5" s="1"/>
  <c r="O4635" i="5"/>
  <c r="U4283" i="5"/>
  <c r="V4283" i="5" s="1"/>
  <c r="O4283" i="5"/>
  <c r="U4605" i="5"/>
  <c r="V4605" i="5" s="1"/>
  <c r="O4605" i="5"/>
  <c r="O4425" i="5"/>
  <c r="U4425" i="5"/>
  <c r="V4425" i="5" s="1"/>
  <c r="U4389" i="5"/>
  <c r="V4389" i="5" s="1"/>
  <c r="O4389" i="5"/>
  <c r="U4540" i="5"/>
  <c r="V4540" i="5" s="1"/>
  <c r="O4540" i="5"/>
  <c r="O4749" i="5"/>
  <c r="U4706" i="5"/>
  <c r="V4706" i="5" s="1"/>
  <c r="O4706" i="5"/>
  <c r="O4611" i="5"/>
  <c r="U4611" i="5"/>
  <c r="V4611" i="5" s="1"/>
  <c r="U4691" i="5"/>
  <c r="V4691" i="5" s="1"/>
  <c r="O4691" i="5"/>
  <c r="O4249" i="5"/>
  <c r="U4249" i="5"/>
  <c r="V4249" i="5" s="1"/>
  <c r="O4703" i="5"/>
  <c r="U4703" i="5"/>
  <c r="V4703" i="5" s="1"/>
  <c r="U4446" i="5"/>
  <c r="V4446" i="5" s="1"/>
  <c r="O4446" i="5"/>
  <c r="U4552" i="5"/>
  <c r="V4552" i="5" s="1"/>
  <c r="O4552" i="5"/>
  <c r="O4289" i="5"/>
  <c r="U4289" i="5"/>
  <c r="V4289" i="5" s="1"/>
  <c r="O4767" i="5"/>
  <c r="U4767" i="5"/>
  <c r="V4767" i="5" s="1"/>
  <c r="U4676" i="5"/>
  <c r="V4676" i="5" s="1"/>
  <c r="O4676" i="5"/>
  <c r="U4700" i="5"/>
  <c r="V4700" i="5" s="1"/>
  <c r="O4700" i="5"/>
  <c r="O4277" i="5"/>
  <c r="U4277" i="5"/>
  <c r="V4277" i="5" s="1"/>
  <c r="O4683" i="5"/>
  <c r="U4683" i="5"/>
  <c r="V4683" i="5" s="1"/>
  <c r="O3797" i="5"/>
  <c r="U3928" i="5"/>
  <c r="V3928" i="5" s="1"/>
  <c r="U3922" i="5"/>
  <c r="V3922" i="5" s="1"/>
  <c r="U3767" i="5"/>
  <c r="V3767" i="5" s="1"/>
  <c r="P4124" i="5"/>
  <c r="U4124" i="5" s="1"/>
  <c r="V4124" i="5" s="1"/>
  <c r="U4011" i="5"/>
  <c r="V4011" i="5" s="1"/>
  <c r="N3954" i="5"/>
  <c r="U3954" i="5" s="1"/>
  <c r="V3954" i="5" s="1"/>
  <c r="P3789" i="5"/>
  <c r="O3789" i="5" s="1"/>
  <c r="N3729" i="5"/>
  <c r="O3729" i="5" s="1"/>
  <c r="N3871" i="5"/>
  <c r="U3871" i="5" s="1"/>
  <c r="V3871" i="5" s="1"/>
  <c r="N4107" i="5"/>
  <c r="U4107" i="5" s="1"/>
  <c r="V4107" i="5" s="1"/>
  <c r="N3766" i="5"/>
  <c r="U3766" i="5" s="1"/>
  <c r="V3766" i="5" s="1"/>
  <c r="N3769" i="5"/>
  <c r="U3769" i="5" s="1"/>
  <c r="V3769" i="5" s="1"/>
  <c r="U3856" i="5"/>
  <c r="V3856" i="5" s="1"/>
  <c r="U4150" i="5"/>
  <c r="V4150" i="5" s="1"/>
  <c r="U3981" i="5"/>
  <c r="V3981" i="5" s="1"/>
  <c r="U4021" i="5"/>
  <c r="V4021" i="5" s="1"/>
  <c r="O3880" i="5"/>
  <c r="O3791" i="5"/>
  <c r="P4054" i="5"/>
  <c r="U4054" i="5" s="1"/>
  <c r="V4054" i="5" s="1"/>
  <c r="P4135" i="5"/>
  <c r="U4135" i="5" s="1"/>
  <c r="V4135" i="5" s="1"/>
  <c r="N3929" i="5"/>
  <c r="U3929" i="5" s="1"/>
  <c r="V3929" i="5" s="1"/>
  <c r="N3706" i="5"/>
  <c r="U3706" i="5" s="1"/>
  <c r="V3706" i="5" s="1"/>
  <c r="P3763" i="5"/>
  <c r="U3763" i="5" s="1"/>
  <c r="V3763" i="5" s="1"/>
  <c r="P3948" i="5"/>
  <c r="U3948" i="5" s="1"/>
  <c r="V3948" i="5" s="1"/>
  <c r="P4216" i="5"/>
  <c r="U4216" i="5" s="1"/>
  <c r="V4216" i="5" s="1"/>
  <c r="O3785" i="5"/>
  <c r="U3779" i="5"/>
  <c r="V3779" i="5" s="1"/>
  <c r="N3986" i="5"/>
  <c r="U3986" i="5" s="1"/>
  <c r="V3986" i="5" s="1"/>
  <c r="O4063" i="5"/>
  <c r="U4133" i="5"/>
  <c r="V4133" i="5" s="1"/>
  <c r="N3945" i="5"/>
  <c r="O3945" i="5" s="1"/>
  <c r="P3802" i="5"/>
  <c r="U3802" i="5" s="1"/>
  <c r="V3802" i="5" s="1"/>
  <c r="N4001" i="5"/>
  <c r="U4001" i="5" s="1"/>
  <c r="V4001" i="5" s="1"/>
  <c r="U3880" i="5"/>
  <c r="V3880" i="5" s="1"/>
  <c r="P3738" i="5"/>
  <c r="U3738" i="5" s="1"/>
  <c r="V3738" i="5" s="1"/>
  <c r="N3987" i="5"/>
  <c r="U3987" i="5" s="1"/>
  <c r="V3987" i="5" s="1"/>
  <c r="U3737" i="5"/>
  <c r="V3737" i="5" s="1"/>
  <c r="U3845" i="5"/>
  <c r="V3845" i="5" s="1"/>
  <c r="U4167" i="5"/>
  <c r="V4167" i="5" s="1"/>
  <c r="O4072" i="5"/>
  <c r="U3911" i="5"/>
  <c r="V3911" i="5" s="1"/>
  <c r="U3742" i="5"/>
  <c r="V3742" i="5" s="1"/>
  <c r="R3625" i="5"/>
  <c r="S3625" i="5" s="1"/>
  <c r="N3903" i="5"/>
  <c r="U3903" i="5" s="1"/>
  <c r="V3903" i="5" s="1"/>
  <c r="N3906" i="5"/>
  <c r="O3906" i="5" s="1"/>
  <c r="P3696" i="5"/>
  <c r="U3696" i="5" s="1"/>
  <c r="V3696" i="5" s="1"/>
  <c r="N3367" i="5"/>
  <c r="O3367" i="5" s="1"/>
  <c r="N3718" i="5"/>
  <c r="U3718" i="5" s="1"/>
  <c r="V3718" i="5" s="1"/>
  <c r="N3795" i="5"/>
  <c r="O3795" i="5" s="1"/>
  <c r="N3654" i="5"/>
  <c r="O4150" i="5"/>
  <c r="N3753" i="5"/>
  <c r="O3753" i="5" s="1"/>
  <c r="N3703" i="5"/>
  <c r="U3703" i="5" s="1"/>
  <c r="V3703" i="5" s="1"/>
  <c r="O4122" i="5"/>
  <c r="U4014" i="5"/>
  <c r="V4014" i="5" s="1"/>
  <c r="U3873" i="5"/>
  <c r="V3873" i="5" s="1"/>
  <c r="P3933" i="5"/>
  <c r="U3933" i="5" s="1"/>
  <c r="V3933" i="5" s="1"/>
  <c r="N3700" i="5"/>
  <c r="U3700" i="5" s="1"/>
  <c r="V3700" i="5" s="1"/>
  <c r="U4004" i="5"/>
  <c r="V4004" i="5" s="1"/>
  <c r="O3767" i="5"/>
  <c r="U3964" i="5"/>
  <c r="V3964" i="5" s="1"/>
  <c r="P3809" i="5"/>
  <c r="U3809" i="5" s="1"/>
  <c r="V3809" i="5" s="1"/>
  <c r="P4083" i="5"/>
  <c r="U4083" i="5" s="1"/>
  <c r="V4083" i="5" s="1"/>
  <c r="P3895" i="5"/>
  <c r="O3895" i="5" s="1"/>
  <c r="N3826" i="5"/>
  <c r="O3826" i="5" s="1"/>
  <c r="U4134" i="5"/>
  <c r="V4134" i="5" s="1"/>
  <c r="N3838" i="5"/>
  <c r="O3838" i="5" s="1"/>
  <c r="U4060" i="5"/>
  <c r="V4060" i="5" s="1"/>
  <c r="P4152" i="5"/>
  <c r="O4152" i="5" s="1"/>
  <c r="U3804" i="5"/>
  <c r="V3804" i="5" s="1"/>
  <c r="U4020" i="5"/>
  <c r="V4020" i="5" s="1"/>
  <c r="U4122" i="5"/>
  <c r="V4122" i="5" s="1"/>
  <c r="P3892" i="5"/>
  <c r="U3892" i="5" s="1"/>
  <c r="V3892" i="5" s="1"/>
  <c r="P3722" i="5"/>
  <c r="U3722" i="5" s="1"/>
  <c r="V3722" i="5" s="1"/>
  <c r="U4210" i="5"/>
  <c r="V4210" i="5" s="1"/>
  <c r="U3829" i="5"/>
  <c r="V3829" i="5" s="1"/>
  <c r="P3732" i="5"/>
  <c r="U3732" i="5" s="1"/>
  <c r="V3732" i="5" s="1"/>
  <c r="U3991" i="5"/>
  <c r="V3991" i="5" s="1"/>
  <c r="U4023" i="5"/>
  <c r="V4023" i="5" s="1"/>
  <c r="P4079" i="5"/>
  <c r="U4079" i="5" s="1"/>
  <c r="V4079" i="5" s="1"/>
  <c r="O4060" i="5"/>
  <c r="N3978" i="5"/>
  <c r="O3978" i="5" s="1"/>
  <c r="O3775" i="5"/>
  <c r="U3868" i="5"/>
  <c r="V3868" i="5" s="1"/>
  <c r="U3772" i="5"/>
  <c r="V3772" i="5" s="1"/>
  <c r="U3861" i="5"/>
  <c r="V3861" i="5" s="1"/>
  <c r="U4102" i="5"/>
  <c r="V4102" i="5" s="1"/>
  <c r="U3867" i="5"/>
  <c r="V3867" i="5" s="1"/>
  <c r="N3852" i="5"/>
  <c r="O3852" i="5" s="1"/>
  <c r="U3790" i="5"/>
  <c r="V3790" i="5" s="1"/>
  <c r="N3770" i="5"/>
  <c r="U3770" i="5" s="1"/>
  <c r="V3770" i="5" s="1"/>
  <c r="U4075" i="5"/>
  <c r="V4075" i="5" s="1"/>
  <c r="U4029" i="5"/>
  <c r="V4029" i="5" s="1"/>
  <c r="U4043" i="5"/>
  <c r="V4043" i="5" s="1"/>
  <c r="O4104" i="5"/>
  <c r="U3889" i="5"/>
  <c r="V3889" i="5" s="1"/>
  <c r="U4037" i="5"/>
  <c r="V4037" i="5" s="1"/>
  <c r="U3921" i="5"/>
  <c r="V3921" i="5" s="1"/>
  <c r="U4156" i="5"/>
  <c r="V4156" i="5" s="1"/>
  <c r="U3869" i="5"/>
  <c r="V3869" i="5" s="1"/>
  <c r="N3976" i="5"/>
  <c r="U3976" i="5" s="1"/>
  <c r="V3976" i="5" s="1"/>
  <c r="P4112" i="5"/>
  <c r="O4112" i="5" s="1"/>
  <c r="O4167" i="5"/>
  <c r="O4154" i="5"/>
  <c r="O3910" i="5"/>
  <c r="P3735" i="5"/>
  <c r="O3735" i="5" s="1"/>
  <c r="N4174" i="5"/>
  <c r="U4174" i="5" s="1"/>
  <c r="V4174" i="5" s="1"/>
  <c r="U3882" i="5"/>
  <c r="V3882" i="5" s="1"/>
  <c r="U4033" i="5"/>
  <c r="V4033" i="5" s="1"/>
  <c r="O3834" i="5"/>
  <c r="U4072" i="5"/>
  <c r="V4072" i="5" s="1"/>
  <c r="U3931" i="5"/>
  <c r="V3931" i="5" s="1"/>
  <c r="U4141" i="5"/>
  <c r="V4141" i="5" s="1"/>
  <c r="U3762" i="5"/>
  <c r="V3762" i="5" s="1"/>
  <c r="N4204" i="5"/>
  <c r="O4204" i="5" s="1"/>
  <c r="P4105" i="5"/>
  <c r="U4105" i="5" s="1"/>
  <c r="V4105" i="5" s="1"/>
  <c r="P3963" i="5"/>
  <c r="O3963" i="5" s="1"/>
  <c r="N4025" i="5"/>
  <c r="U4025" i="5" s="1"/>
  <c r="V4025" i="5" s="1"/>
  <c r="U3916" i="5"/>
  <c r="V3916" i="5" s="1"/>
  <c r="P4057" i="5"/>
  <c r="U4057" i="5" s="1"/>
  <c r="V4057" i="5" s="1"/>
  <c r="N4026" i="5"/>
  <c r="U4026" i="5" s="1"/>
  <c r="V4026" i="5" s="1"/>
  <c r="P3999" i="5"/>
  <c r="U3999" i="5" s="1"/>
  <c r="V3999" i="5" s="1"/>
  <c r="O3904" i="5"/>
  <c r="U4005" i="5"/>
  <c r="V4005" i="5" s="1"/>
  <c r="U4176" i="5"/>
  <c r="V4176" i="5" s="1"/>
  <c r="U4198" i="5"/>
  <c r="V4198" i="5" s="1"/>
  <c r="U4153" i="5"/>
  <c r="V4153" i="5" s="1"/>
  <c r="U4160" i="5"/>
  <c r="V4160" i="5" s="1"/>
  <c r="U4162" i="5"/>
  <c r="V4162" i="5" s="1"/>
  <c r="U4061" i="5"/>
  <c r="V4061" i="5" s="1"/>
  <c r="U4093" i="5"/>
  <c r="V4093" i="5" s="1"/>
  <c r="U4173" i="5"/>
  <c r="V4173" i="5" s="1"/>
  <c r="U4064" i="5"/>
  <c r="V4064" i="5" s="1"/>
  <c r="U4049" i="5"/>
  <c r="V4049" i="5" s="1"/>
  <c r="U4070" i="5"/>
  <c r="V4070" i="5" s="1"/>
  <c r="U4137" i="5"/>
  <c r="V4137" i="5" s="1"/>
  <c r="U3997" i="5"/>
  <c r="V3997" i="5" s="1"/>
  <c r="U3938" i="5"/>
  <c r="V3938" i="5" s="1"/>
  <c r="U3980" i="5"/>
  <c r="V3980" i="5" s="1"/>
  <c r="U3855" i="5"/>
  <c r="V3855" i="5" s="1"/>
  <c r="U3907" i="5"/>
  <c r="V3907" i="5" s="1"/>
  <c r="U3720" i="5"/>
  <c r="V3720" i="5" s="1"/>
  <c r="U4181" i="5"/>
  <c r="V4181" i="5" s="1"/>
  <c r="O4217" i="5"/>
  <c r="P4035" i="5"/>
  <c r="O4035" i="5" s="1"/>
  <c r="N4089" i="5"/>
  <c r="O4089" i="5" s="1"/>
  <c r="U3791" i="5"/>
  <c r="V3791" i="5" s="1"/>
  <c r="U3950" i="5"/>
  <c r="V3950" i="5" s="1"/>
  <c r="U4096" i="5"/>
  <c r="V4096" i="5" s="1"/>
  <c r="U3998" i="5"/>
  <c r="V3998" i="5" s="1"/>
  <c r="U4039" i="5"/>
  <c r="V4039" i="5" s="1"/>
  <c r="O3916" i="5"/>
  <c r="U4161" i="5"/>
  <c r="V4161" i="5" s="1"/>
  <c r="U4197" i="5"/>
  <c r="V4197" i="5" s="1"/>
  <c r="O4053" i="5"/>
  <c r="U4104" i="5"/>
  <c r="V4104" i="5" s="1"/>
  <c r="O4070" i="5"/>
  <c r="P4046" i="5"/>
  <c r="U4046" i="5" s="1"/>
  <c r="V4046" i="5" s="1"/>
  <c r="U3940" i="5"/>
  <c r="V3940" i="5" s="1"/>
  <c r="U3831" i="5"/>
  <c r="V3831" i="5" s="1"/>
  <c r="U4068" i="5"/>
  <c r="V4068" i="5" s="1"/>
  <c r="U4120" i="5"/>
  <c r="V4120" i="5" s="1"/>
  <c r="U4223" i="5"/>
  <c r="V4223" i="5" s="1"/>
  <c r="O3792" i="5"/>
  <c r="U4182" i="5"/>
  <c r="V4182" i="5" s="1"/>
  <c r="N3951" i="5"/>
  <c r="U3951" i="5" s="1"/>
  <c r="V3951" i="5" s="1"/>
  <c r="P4038" i="5"/>
  <c r="U4038" i="5" s="1"/>
  <c r="V4038" i="5" s="1"/>
  <c r="N4009" i="5"/>
  <c r="U4009" i="5" s="1"/>
  <c r="V4009" i="5" s="1"/>
  <c r="P3750" i="5"/>
  <c r="U3750" i="5" s="1"/>
  <c r="V3750" i="5" s="1"/>
  <c r="U3788" i="5"/>
  <c r="V3788" i="5" s="1"/>
  <c r="U4201" i="5"/>
  <c r="V4201" i="5" s="1"/>
  <c r="O4049" i="5"/>
  <c r="O3974" i="5"/>
  <c r="U3970" i="5"/>
  <c r="V3970" i="5" s="1"/>
  <c r="O4005" i="5"/>
  <c r="U4086" i="5"/>
  <c r="V4086" i="5" s="1"/>
  <c r="U4187" i="5"/>
  <c r="V4187" i="5" s="1"/>
  <c r="N3715" i="5"/>
  <c r="U3715" i="5" s="1"/>
  <c r="V3715" i="5" s="1"/>
  <c r="O3934" i="5"/>
  <c r="P3973" i="5"/>
  <c r="U3973" i="5" s="1"/>
  <c r="V3973" i="5" s="1"/>
  <c r="O4155" i="5"/>
  <c r="U4209" i="5"/>
  <c r="V4209" i="5" s="1"/>
  <c r="O3841" i="5"/>
  <c r="P3858" i="5"/>
  <c r="U3858" i="5" s="1"/>
  <c r="V3858" i="5" s="1"/>
  <c r="O3848" i="5"/>
  <c r="O4012" i="5"/>
  <c r="O4050" i="5"/>
  <c r="U4113" i="5"/>
  <c r="V4113" i="5" s="1"/>
  <c r="P3851" i="5"/>
  <c r="O3851" i="5" s="1"/>
  <c r="U3768" i="5"/>
  <c r="V3768" i="5" s="1"/>
  <c r="U4098" i="5"/>
  <c r="V4098" i="5" s="1"/>
  <c r="U3825" i="5"/>
  <c r="V3825" i="5" s="1"/>
  <c r="U4018" i="5"/>
  <c r="V4018" i="5" s="1"/>
  <c r="U3943" i="5"/>
  <c r="V3943" i="5" s="1"/>
  <c r="O4032" i="5"/>
  <c r="U3910" i="5"/>
  <c r="V3910" i="5" s="1"/>
  <c r="U3764" i="5"/>
  <c r="V3764" i="5" s="1"/>
  <c r="U3751" i="5"/>
  <c r="V3751" i="5" s="1"/>
  <c r="U4164" i="5"/>
  <c r="V4164" i="5" s="1"/>
  <c r="P3884" i="5"/>
  <c r="U3884" i="5" s="1"/>
  <c r="V3884" i="5" s="1"/>
  <c r="P4218" i="5"/>
  <c r="O4218" i="5" s="1"/>
  <c r="U3904" i="5"/>
  <c r="V3904" i="5" s="1"/>
  <c r="O4011" i="5"/>
  <c r="O3931" i="5"/>
  <c r="U3739" i="5"/>
  <c r="V3739" i="5" s="1"/>
  <c r="U3734" i="5"/>
  <c r="V3734" i="5" s="1"/>
  <c r="U3774" i="5"/>
  <c r="V3774" i="5" s="1"/>
  <c r="U4123" i="5"/>
  <c r="V4123" i="5" s="1"/>
  <c r="U4195" i="5"/>
  <c r="V4195" i="5" s="1"/>
  <c r="U3965" i="5"/>
  <c r="V3965" i="5" s="1"/>
  <c r="U4185" i="5"/>
  <c r="V4185" i="5" s="1"/>
  <c r="O3699" i="5"/>
  <c r="O3749" i="5"/>
  <c r="U3958" i="5"/>
  <c r="V3958" i="5" s="1"/>
  <c r="U3886" i="5"/>
  <c r="V3886" i="5" s="1"/>
  <c r="O4114" i="5"/>
  <c r="U4138" i="5"/>
  <c r="V4138" i="5" s="1"/>
  <c r="O4006" i="5"/>
  <c r="U3953" i="5"/>
  <c r="V3953" i="5" s="1"/>
  <c r="O3983" i="5"/>
  <c r="O4171" i="5"/>
  <c r="U3979" i="5"/>
  <c r="V3979" i="5" s="1"/>
  <c r="U4084" i="5"/>
  <c r="V4084" i="5" s="1"/>
  <c r="U3988" i="5"/>
  <c r="V3988" i="5" s="1"/>
  <c r="U4202" i="5"/>
  <c r="V4202" i="5" s="1"/>
  <c r="U3796" i="5"/>
  <c r="V3796" i="5" s="1"/>
  <c r="O3784" i="5"/>
  <c r="P3949" i="5"/>
  <c r="N3949" i="5"/>
  <c r="U3834" i="5"/>
  <c r="V3834" i="5" s="1"/>
  <c r="O4162" i="5"/>
  <c r="O3877" i="5"/>
  <c r="U3877" i="5"/>
  <c r="V3877" i="5" s="1"/>
  <c r="U3843" i="5"/>
  <c r="V3843" i="5" s="1"/>
  <c r="U3740" i="5"/>
  <c r="V3740" i="5" s="1"/>
  <c r="U4091" i="5"/>
  <c r="V4091" i="5" s="1"/>
  <c r="U3714" i="5"/>
  <c r="V3714" i="5" s="1"/>
  <c r="U4219" i="5"/>
  <c r="V4219" i="5" s="1"/>
  <c r="U3901" i="5"/>
  <c r="V3901" i="5" s="1"/>
  <c r="O3901" i="5"/>
  <c r="U4087" i="5"/>
  <c r="V4087" i="5" s="1"/>
  <c r="O3864" i="5"/>
  <c r="U3872" i="5"/>
  <c r="V3872" i="5" s="1"/>
  <c r="U3935" i="5"/>
  <c r="V3935" i="5" s="1"/>
  <c r="U3977" i="5"/>
  <c r="V3977" i="5" s="1"/>
  <c r="U3741" i="5"/>
  <c r="V3741" i="5" s="1"/>
  <c r="U3897" i="5"/>
  <c r="V3897" i="5" s="1"/>
  <c r="U4224" i="5"/>
  <c r="V4224" i="5" s="1"/>
  <c r="U3993" i="5"/>
  <c r="V3993" i="5" s="1"/>
  <c r="U3758" i="5"/>
  <c r="V3758" i="5" s="1"/>
  <c r="U4165" i="5"/>
  <c r="V4165" i="5" s="1"/>
  <c r="O3772" i="5"/>
  <c r="O3952" i="5"/>
  <c r="U4175" i="5"/>
  <c r="V4175" i="5" s="1"/>
  <c r="P4103" i="5"/>
  <c r="N4103" i="5"/>
  <c r="U4143" i="5"/>
  <c r="V4143" i="5" s="1"/>
  <c r="O4143" i="5"/>
  <c r="U3803" i="5"/>
  <c r="V3803" i="5" s="1"/>
  <c r="U3798" i="5"/>
  <c r="V3798" i="5" s="1"/>
  <c r="U3786" i="5"/>
  <c r="V3786" i="5" s="1"/>
  <c r="U3784" i="5"/>
  <c r="V3784" i="5" s="1"/>
  <c r="U3752" i="5"/>
  <c r="V3752" i="5" s="1"/>
  <c r="N3747" i="5"/>
  <c r="U3747" i="5" s="1"/>
  <c r="V3747" i="5" s="1"/>
  <c r="U3745" i="5"/>
  <c r="V3745" i="5" s="1"/>
  <c r="O3730" i="5"/>
  <c r="U3716" i="5"/>
  <c r="V3716" i="5" s="1"/>
  <c r="U3717" i="5"/>
  <c r="V3717" i="5" s="1"/>
  <c r="U3749" i="5"/>
  <c r="V3749" i="5" s="1"/>
  <c r="U3947" i="5"/>
  <c r="V3947" i="5" s="1"/>
  <c r="U3985" i="5"/>
  <c r="V3985" i="5" s="1"/>
  <c r="U4177" i="5"/>
  <c r="V4177" i="5" s="1"/>
  <c r="U4080" i="5"/>
  <c r="V4080" i="5" s="1"/>
  <c r="U4092" i="5"/>
  <c r="V4092" i="5" s="1"/>
  <c r="U4006" i="5"/>
  <c r="V4006" i="5" s="1"/>
  <c r="U3730" i="5"/>
  <c r="V3730" i="5" s="1"/>
  <c r="U3925" i="5"/>
  <c r="V3925" i="5" s="1"/>
  <c r="O3925" i="5"/>
  <c r="U3865" i="5"/>
  <c r="V3865" i="5" s="1"/>
  <c r="O3909" i="5"/>
  <c r="U3944" i="5"/>
  <c r="V3944" i="5" s="1"/>
  <c r="U4220" i="5"/>
  <c r="V4220" i="5" s="1"/>
  <c r="U3704" i="5"/>
  <c r="V3704" i="5" s="1"/>
  <c r="O3940" i="5"/>
  <c r="O3734" i="5"/>
  <c r="N3939" i="5"/>
  <c r="O3939" i="5" s="1"/>
  <c r="P3844" i="5"/>
  <c r="U3844" i="5" s="1"/>
  <c r="V3844" i="5" s="1"/>
  <c r="O3702" i="5"/>
  <c r="O4052" i="5"/>
  <c r="U4132" i="5"/>
  <c r="V4132" i="5" s="1"/>
  <c r="O3958" i="5"/>
  <c r="O3774" i="5"/>
  <c r="U3891" i="5"/>
  <c r="V3891" i="5" s="1"/>
  <c r="U3914" i="5"/>
  <c r="V3914" i="5" s="1"/>
  <c r="U3733" i="5"/>
  <c r="V3733" i="5" s="1"/>
  <c r="U3926" i="5"/>
  <c r="V3926" i="5" s="1"/>
  <c r="U3955" i="5"/>
  <c r="V3955" i="5" s="1"/>
  <c r="U4205" i="5"/>
  <c r="V4205" i="5" s="1"/>
  <c r="U4206" i="5"/>
  <c r="V4206" i="5" s="1"/>
  <c r="U3923" i="5"/>
  <c r="V3923" i="5" s="1"/>
  <c r="U3860" i="5"/>
  <c r="V3860" i="5" s="1"/>
  <c r="U3992" i="5"/>
  <c r="V3992" i="5" s="1"/>
  <c r="U4126" i="5"/>
  <c r="V4126" i="5" s="1"/>
  <c r="U3707" i="5"/>
  <c r="V3707" i="5" s="1"/>
  <c r="U3765" i="5"/>
  <c r="V3765" i="5" s="1"/>
  <c r="U3814" i="5"/>
  <c r="V3814" i="5" s="1"/>
  <c r="O4037" i="5"/>
  <c r="U3812" i="5"/>
  <c r="V3812" i="5" s="1"/>
  <c r="U3894" i="5"/>
  <c r="V3894" i="5" s="1"/>
  <c r="U3755" i="5"/>
  <c r="V3755" i="5" s="1"/>
  <c r="U3713" i="5"/>
  <c r="V3713" i="5" s="1"/>
  <c r="U3879" i="5"/>
  <c r="V3879" i="5" s="1"/>
  <c r="U4127" i="5"/>
  <c r="V4127" i="5" s="1"/>
  <c r="U4151" i="5"/>
  <c r="V4151" i="5" s="1"/>
  <c r="U4214" i="5"/>
  <c r="V4214" i="5" s="1"/>
  <c r="U4200" i="5"/>
  <c r="V4200" i="5" s="1"/>
  <c r="U3878" i="5"/>
  <c r="V3878" i="5" s="1"/>
  <c r="U4058" i="5"/>
  <c r="V4058" i="5" s="1"/>
  <c r="U4094" i="5"/>
  <c r="V4094" i="5" s="1"/>
  <c r="U4144" i="5"/>
  <c r="V4144" i="5" s="1"/>
  <c r="U4169" i="5"/>
  <c r="V4169" i="5" s="1"/>
  <c r="U4059" i="5"/>
  <c r="V4059" i="5" s="1"/>
  <c r="U3725" i="5"/>
  <c r="V3725" i="5" s="1"/>
  <c r="U3905" i="5"/>
  <c r="V3905" i="5" s="1"/>
  <c r="U3966" i="5"/>
  <c r="V3966" i="5" s="1"/>
  <c r="U4159" i="5"/>
  <c r="V4159" i="5" s="1"/>
  <c r="U4034" i="5"/>
  <c r="V4034" i="5" s="1"/>
  <c r="U4193" i="5"/>
  <c r="V4193" i="5" s="1"/>
  <c r="U4183" i="5"/>
  <c r="V4183" i="5" s="1"/>
  <c r="U3864" i="5"/>
  <c r="V3864" i="5" s="1"/>
  <c r="O3872" i="5"/>
  <c r="O3741" i="5"/>
  <c r="U4044" i="5"/>
  <c r="V4044" i="5" s="1"/>
  <c r="O4208" i="5"/>
  <c r="U4146" i="5"/>
  <c r="V4146" i="5" s="1"/>
  <c r="O3897" i="5"/>
  <c r="O4224" i="5"/>
  <c r="U4215" i="5"/>
  <c r="V4215" i="5" s="1"/>
  <c r="O4198" i="5"/>
  <c r="P3805" i="5"/>
  <c r="N3805" i="5"/>
  <c r="O3995" i="5"/>
  <c r="U3995" i="5"/>
  <c r="V3995" i="5" s="1"/>
  <c r="U3736" i="5"/>
  <c r="V3736" i="5" s="1"/>
  <c r="U3723" i="5"/>
  <c r="V3723" i="5" s="1"/>
  <c r="U3841" i="5"/>
  <c r="V3841" i="5" s="1"/>
  <c r="U3848" i="5"/>
  <c r="V3848" i="5" s="1"/>
  <c r="U4012" i="5"/>
  <c r="V4012" i="5" s="1"/>
  <c r="U3724" i="5"/>
  <c r="V3724" i="5" s="1"/>
  <c r="U3743" i="5"/>
  <c r="V3743" i="5" s="1"/>
  <c r="U3857" i="5"/>
  <c r="V3857" i="5" s="1"/>
  <c r="U3961" i="5"/>
  <c r="V3961" i="5" s="1"/>
  <c r="P3853" i="5"/>
  <c r="N3853" i="5"/>
  <c r="U3800" i="5"/>
  <c r="V3800" i="5" s="1"/>
  <c r="O3782" i="5"/>
  <c r="U3862" i="5"/>
  <c r="V3862" i="5" s="1"/>
  <c r="U4042" i="5"/>
  <c r="V4042" i="5" s="1"/>
  <c r="O3780" i="5"/>
  <c r="O3911" i="5"/>
  <c r="O4166" i="5"/>
  <c r="O3742" i="5"/>
  <c r="O3855" i="5"/>
  <c r="O3921" i="5"/>
  <c r="U3946" i="5"/>
  <c r="V3946" i="5" s="1"/>
  <c r="O3953" i="5"/>
  <c r="U4016" i="5"/>
  <c r="V4016" i="5" s="1"/>
  <c r="O4036" i="5"/>
  <c r="U4069" i="5"/>
  <c r="V4069" i="5" s="1"/>
  <c r="O4173" i="5"/>
  <c r="U3908" i="5"/>
  <c r="V3908" i="5" s="1"/>
  <c r="U4147" i="5"/>
  <c r="V4147" i="5" s="1"/>
  <c r="U4188" i="5"/>
  <c r="V4188" i="5" s="1"/>
  <c r="O3698" i="5"/>
  <c r="U3771" i="5"/>
  <c r="V3771" i="5" s="1"/>
  <c r="U3708" i="5"/>
  <c r="V3708" i="5" s="1"/>
  <c r="O3758" i="5"/>
  <c r="O3759" i="5"/>
  <c r="O3806" i="5"/>
  <c r="U3912" i="5"/>
  <c r="V3912" i="5" s="1"/>
  <c r="O3875" i="5"/>
  <c r="U3984" i="5"/>
  <c r="V3984" i="5" s="1"/>
  <c r="O3902" i="5"/>
  <c r="O4020" i="5"/>
  <c r="O4051" i="5"/>
  <c r="U4071" i="5"/>
  <c r="V4071" i="5" s="1"/>
  <c r="O4142" i="5"/>
  <c r="U4148" i="5"/>
  <c r="V4148" i="5" s="1"/>
  <c r="O4182" i="5"/>
  <c r="O3714" i="5"/>
  <c r="U4128" i="5"/>
  <c r="V4128" i="5" s="1"/>
  <c r="O3711" i="5"/>
  <c r="O3760" i="5"/>
  <c r="O3881" i="5"/>
  <c r="U3854" i="5"/>
  <c r="V3854" i="5" s="1"/>
  <c r="U3956" i="5"/>
  <c r="V3956" i="5" s="1"/>
  <c r="U3990" i="5"/>
  <c r="V3990" i="5" s="1"/>
  <c r="U3941" i="5"/>
  <c r="V3941" i="5" s="1"/>
  <c r="U4027" i="5"/>
  <c r="V4027" i="5" s="1"/>
  <c r="U4031" i="5"/>
  <c r="V4031" i="5" s="1"/>
  <c r="U4211" i="5"/>
  <c r="V4211" i="5" s="1"/>
  <c r="U3728" i="5"/>
  <c r="V3728" i="5" s="1"/>
  <c r="O3883" i="5"/>
  <c r="U3870" i="5"/>
  <c r="V3870" i="5" s="1"/>
  <c r="O4018" i="5"/>
  <c r="U4081" i="5"/>
  <c r="V4081" i="5" s="1"/>
  <c r="U3787" i="5"/>
  <c r="V3787" i="5" s="1"/>
  <c r="U3927" i="5"/>
  <c r="V3927" i="5" s="1"/>
  <c r="U4024" i="5"/>
  <c r="V4024" i="5" s="1"/>
  <c r="U3712" i="5"/>
  <c r="V3712" i="5" s="1"/>
  <c r="U4119" i="5"/>
  <c r="V4119" i="5" s="1"/>
  <c r="U3801" i="5"/>
  <c r="V3801" i="5" s="1"/>
  <c r="O4121" i="5"/>
  <c r="U4121" i="5"/>
  <c r="V4121" i="5" s="1"/>
  <c r="P3919" i="5"/>
  <c r="N3919" i="5"/>
  <c r="U4032" i="5"/>
  <c r="V4032" i="5" s="1"/>
  <c r="U4154" i="5"/>
  <c r="V4154" i="5" s="1"/>
  <c r="O4015" i="5"/>
  <c r="U4015" i="5"/>
  <c r="V4015" i="5" s="1"/>
  <c r="U3934" i="5"/>
  <c r="V3934" i="5" s="1"/>
  <c r="U4155" i="5"/>
  <c r="V4155" i="5" s="1"/>
  <c r="U3849" i="5"/>
  <c r="V3849" i="5" s="1"/>
  <c r="U3794" i="5"/>
  <c r="V3794" i="5" s="1"/>
  <c r="U3974" i="5"/>
  <c r="V3974" i="5" s="1"/>
  <c r="U4129" i="5"/>
  <c r="V4129" i="5" s="1"/>
  <c r="O4131" i="5"/>
  <c r="U4131" i="5"/>
  <c r="V4131" i="5" s="1"/>
  <c r="U4217" i="5"/>
  <c r="V4217" i="5" s="1"/>
  <c r="U4203" i="5"/>
  <c r="V4203" i="5" s="1"/>
  <c r="U4208" i="5"/>
  <c r="V4208" i="5" s="1"/>
  <c r="U4196" i="5"/>
  <c r="V4196" i="5" s="1"/>
  <c r="U4192" i="5"/>
  <c r="V4192" i="5" s="1"/>
  <c r="U4189" i="5"/>
  <c r="V4189" i="5" s="1"/>
  <c r="O4187" i="5"/>
  <c r="U4186" i="5"/>
  <c r="V4186" i="5" s="1"/>
  <c r="U4178" i="5"/>
  <c r="V4178" i="5" s="1"/>
  <c r="O4177" i="5"/>
  <c r="U4171" i="5"/>
  <c r="V4171" i="5" s="1"/>
  <c r="U4166" i="5"/>
  <c r="V4166" i="5" s="1"/>
  <c r="O4160" i="5"/>
  <c r="U4157" i="5"/>
  <c r="V4157" i="5" s="1"/>
  <c r="U4158" i="5"/>
  <c r="V4158" i="5" s="1"/>
  <c r="O4156" i="5"/>
  <c r="U4142" i="5"/>
  <c r="V4142" i="5" s="1"/>
  <c r="O4141" i="5"/>
  <c r="O4129" i="5"/>
  <c r="U4118" i="5"/>
  <c r="V4118" i="5" s="1"/>
  <c r="U4114" i="5"/>
  <c r="V4114" i="5" s="1"/>
  <c r="U4108" i="5"/>
  <c r="V4108" i="5" s="1"/>
  <c r="U4106" i="5"/>
  <c r="V4106" i="5" s="1"/>
  <c r="O4102" i="5"/>
  <c r="O4098" i="5"/>
  <c r="U4088" i="5"/>
  <c r="V4088" i="5" s="1"/>
  <c r="O4092" i="5"/>
  <c r="O4091" i="5"/>
  <c r="O4086" i="5"/>
  <c r="O4087" i="5"/>
  <c r="U4085" i="5"/>
  <c r="V4085" i="5" s="1"/>
  <c r="O4093" i="5"/>
  <c r="U4082" i="5"/>
  <c r="V4082" i="5" s="1"/>
  <c r="O4080" i="5"/>
  <c r="U4078" i="5"/>
  <c r="V4078" i="5" s="1"/>
  <c r="U4073" i="5"/>
  <c r="V4073" i="5" s="1"/>
  <c r="U4074" i="5"/>
  <c r="V4074" i="5" s="1"/>
  <c r="U4056" i="5"/>
  <c r="V4056" i="5" s="1"/>
  <c r="U4052" i="5"/>
  <c r="V4052" i="5" s="1"/>
  <c r="U4051" i="5"/>
  <c r="V4051" i="5" s="1"/>
  <c r="U4050" i="5"/>
  <c r="V4050" i="5" s="1"/>
  <c r="O4039" i="5"/>
  <c r="U4040" i="5"/>
  <c r="V4040" i="5" s="1"/>
  <c r="U4036" i="5"/>
  <c r="V4036" i="5" s="1"/>
  <c r="U4028" i="5"/>
  <c r="V4028" i="5" s="1"/>
  <c r="U4017" i="5"/>
  <c r="V4017" i="5" s="1"/>
  <c r="U4019" i="5"/>
  <c r="V4019" i="5" s="1"/>
  <c r="U4010" i="5"/>
  <c r="V4010" i="5" s="1"/>
  <c r="U4008" i="5"/>
  <c r="V4008" i="5" s="1"/>
  <c r="U4000" i="5"/>
  <c r="V4000" i="5" s="1"/>
  <c r="U4002" i="5"/>
  <c r="V4002" i="5" s="1"/>
  <c r="O3998" i="5"/>
  <c r="U3996" i="5"/>
  <c r="V3996" i="5" s="1"/>
  <c r="U3994" i="5"/>
  <c r="V3994" i="5" s="1"/>
  <c r="O3993" i="5"/>
  <c r="U3989" i="5"/>
  <c r="V3989" i="5" s="1"/>
  <c r="U3982" i="5"/>
  <c r="V3982" i="5" s="1"/>
  <c r="U3983" i="5"/>
  <c r="V3983" i="5" s="1"/>
  <c r="O3985" i="5"/>
  <c r="O3979" i="5"/>
  <c r="O3977" i="5"/>
  <c r="U3972" i="5"/>
  <c r="V3972" i="5" s="1"/>
  <c r="U3975" i="5"/>
  <c r="V3975" i="5" s="1"/>
  <c r="U3967" i="5"/>
  <c r="V3967" i="5" s="1"/>
  <c r="U3969" i="5"/>
  <c r="V3969" i="5" s="1"/>
  <c r="U3962" i="5"/>
  <c r="V3962" i="5" s="1"/>
  <c r="U3959" i="5"/>
  <c r="V3959" i="5" s="1"/>
  <c r="U3952" i="5"/>
  <c r="V3952" i="5" s="1"/>
  <c r="O3950" i="5"/>
  <c r="O3947" i="5"/>
  <c r="U3942" i="5"/>
  <c r="V3942" i="5" s="1"/>
  <c r="O3935" i="5"/>
  <c r="U3932" i="5"/>
  <c r="V3932" i="5" s="1"/>
  <c r="U3915" i="5"/>
  <c r="V3915" i="5" s="1"/>
  <c r="U3917" i="5"/>
  <c r="V3917" i="5" s="1"/>
  <c r="U3913" i="5"/>
  <c r="V3913" i="5" s="1"/>
  <c r="U3909" i="5"/>
  <c r="V3909" i="5" s="1"/>
  <c r="U3899" i="5"/>
  <c r="V3899" i="5" s="1"/>
  <c r="U3902" i="5"/>
  <c r="V3902" i="5" s="1"/>
  <c r="U3883" i="5"/>
  <c r="V3883" i="5" s="1"/>
  <c r="U3875" i="5"/>
  <c r="V3875" i="5" s="1"/>
  <c r="U3881" i="5"/>
  <c r="V3881" i="5" s="1"/>
  <c r="U3863" i="5"/>
  <c r="V3863" i="5" s="1"/>
  <c r="O3868" i="5"/>
  <c r="O3861" i="5"/>
  <c r="U3850" i="5"/>
  <c r="V3850" i="5" s="1"/>
  <c r="O3849" i="5"/>
  <c r="U3846" i="5"/>
  <c r="V3846" i="5" s="1"/>
  <c r="U3837" i="5"/>
  <c r="V3837" i="5" s="1"/>
  <c r="U3835" i="5"/>
  <c r="V3835" i="5" s="1"/>
  <c r="O3831" i="5"/>
  <c r="U3821" i="5"/>
  <c r="V3821" i="5" s="1"/>
  <c r="U3820" i="5"/>
  <c r="V3820" i="5" s="1"/>
  <c r="U3818" i="5"/>
  <c r="V3818" i="5" s="1"/>
  <c r="U3819" i="5"/>
  <c r="V3819" i="5" s="1"/>
  <c r="U3808" i="5"/>
  <c r="V3808" i="5" s="1"/>
  <c r="U3806" i="5"/>
  <c r="V3806" i="5" s="1"/>
  <c r="U3792" i="5"/>
  <c r="V3792" i="5" s="1"/>
  <c r="O3794" i="5"/>
  <c r="U3782" i="5"/>
  <c r="V3782" i="5" s="1"/>
  <c r="U3780" i="5"/>
  <c r="V3780" i="5" s="1"/>
  <c r="U3776" i="5"/>
  <c r="V3776" i="5" s="1"/>
  <c r="O3764" i="5"/>
  <c r="U3759" i="5"/>
  <c r="V3759" i="5" s="1"/>
  <c r="U3760" i="5"/>
  <c r="V3760" i="5" s="1"/>
  <c r="U3761" i="5"/>
  <c r="V3761" i="5" s="1"/>
  <c r="U3754" i="5"/>
  <c r="V3754" i="5" s="1"/>
  <c r="U3757" i="5"/>
  <c r="V3757" i="5" s="1"/>
  <c r="U3756" i="5"/>
  <c r="V3756" i="5" s="1"/>
  <c r="O3752" i="5"/>
  <c r="U3748" i="5"/>
  <c r="V3748" i="5" s="1"/>
  <c r="O3743" i="5"/>
  <c r="U3746" i="5"/>
  <c r="V3746" i="5" s="1"/>
  <c r="O3745" i="5"/>
  <c r="O3739" i="5"/>
  <c r="O3736" i="5"/>
  <c r="O3737" i="5"/>
  <c r="O3733" i="5"/>
  <c r="U3731" i="5"/>
  <c r="V3731" i="5" s="1"/>
  <c r="O3723" i="5"/>
  <c r="O3724" i="5"/>
  <c r="U3727" i="5"/>
  <c r="V3727" i="5" s="1"/>
  <c r="U3721" i="5"/>
  <c r="V3721" i="5" s="1"/>
  <c r="O3716" i="5"/>
  <c r="O3717" i="5"/>
  <c r="U3719" i="5"/>
  <c r="V3719" i="5" s="1"/>
  <c r="U3710" i="5"/>
  <c r="V3710" i="5" s="1"/>
  <c r="U3711" i="5"/>
  <c r="V3711" i="5" s="1"/>
  <c r="U3705" i="5"/>
  <c r="V3705" i="5" s="1"/>
  <c r="U3709" i="5"/>
  <c r="V3709" i="5" s="1"/>
  <c r="O3707" i="5"/>
  <c r="O3720" i="5"/>
  <c r="O3765" i="5"/>
  <c r="O3814" i="5"/>
  <c r="O3997" i="5"/>
  <c r="O3713" i="5"/>
  <c r="O4028" i="5"/>
  <c r="O4127" i="5"/>
  <c r="O4151" i="5"/>
  <c r="O4214" i="5"/>
  <c r="O4200" i="5"/>
  <c r="O4144" i="5"/>
  <c r="O4169" i="5"/>
  <c r="O3857" i="5"/>
  <c r="O3961" i="5"/>
  <c r="O3966" i="5"/>
  <c r="O4159" i="5"/>
  <c r="O3798" i="5"/>
  <c r="O4034" i="5"/>
  <c r="U3699" i="5"/>
  <c r="V3699" i="5" s="1"/>
  <c r="O4219" i="5"/>
  <c r="O4157" i="5"/>
  <c r="O4084" i="5"/>
  <c r="O3988" i="5"/>
  <c r="O4202" i="5"/>
  <c r="U3702" i="5"/>
  <c r="V3702" i="5" s="1"/>
  <c r="U3698" i="5"/>
  <c r="V3698" i="5" s="1"/>
  <c r="O3731" i="5"/>
  <c r="O3926" i="5"/>
  <c r="O3955" i="5"/>
  <c r="O3923" i="5"/>
  <c r="O3975" i="5"/>
  <c r="O4203" i="5"/>
  <c r="O3860" i="5"/>
  <c r="O3992" i="5"/>
  <c r="O4126" i="5"/>
  <c r="O3812" i="5"/>
  <c r="O3894" i="5"/>
  <c r="O4196" i="5"/>
  <c r="O3705" i="5"/>
  <c r="O3755" i="5"/>
  <c r="O3821" i="5"/>
  <c r="O3879" i="5"/>
  <c r="O3932" i="5"/>
  <c r="O3967" i="5"/>
  <c r="O4176" i="5"/>
  <c r="O3899" i="5"/>
  <c r="O3878" i="5"/>
  <c r="O3917" i="5"/>
  <c r="O3989" i="5"/>
  <c r="O4058" i="5"/>
  <c r="O4094" i="5"/>
  <c r="O4059" i="5"/>
  <c r="O3710" i="5"/>
  <c r="O3725" i="5"/>
  <c r="O3905" i="5"/>
  <c r="O3709" i="5"/>
  <c r="O3942" i="5"/>
  <c r="O4193" i="5"/>
  <c r="O4183" i="5"/>
  <c r="P3744" i="5"/>
  <c r="N3744" i="5"/>
  <c r="N3830" i="5"/>
  <c r="P3830" i="5"/>
  <c r="N4007" i="5"/>
  <c r="P4007" i="5"/>
  <c r="N4067" i="5"/>
  <c r="P4067" i="5"/>
  <c r="N4172" i="5"/>
  <c r="P4172" i="5"/>
  <c r="N3930" i="5"/>
  <c r="P3930" i="5"/>
  <c r="N3793" i="5"/>
  <c r="P3793" i="5"/>
  <c r="P3832" i="5"/>
  <c r="N3832" i="5"/>
  <c r="O3850" i="5"/>
  <c r="O3913" i="5"/>
  <c r="O3972" i="5"/>
  <c r="O4118" i="5"/>
  <c r="O3843" i="5"/>
  <c r="O3754" i="5"/>
  <c r="O3786" i="5"/>
  <c r="O3835" i="5"/>
  <c r="P3783" i="5"/>
  <c r="N3783" i="5"/>
  <c r="O3886" i="5"/>
  <c r="O3994" i="5"/>
  <c r="P4030" i="5"/>
  <c r="N4030" i="5"/>
  <c r="O4073" i="5"/>
  <c r="N4101" i="5"/>
  <c r="P4101" i="5"/>
  <c r="O4138" i="5"/>
  <c r="O3915" i="5"/>
  <c r="O3873" i="5"/>
  <c r="O3981" i="5"/>
  <c r="O3863" i="5"/>
  <c r="P3936" i="5"/>
  <c r="N3936" i="5"/>
  <c r="O3996" i="5"/>
  <c r="O4068" i="5"/>
  <c r="O4120" i="5"/>
  <c r="O4096" i="5"/>
  <c r="O4223" i="5"/>
  <c r="O3803" i="5"/>
  <c r="O3719" i="5"/>
  <c r="O3788" i="5"/>
  <c r="O3837" i="5"/>
  <c r="O4078" i="5"/>
  <c r="O4113" i="5"/>
  <c r="O4201" i="5"/>
  <c r="O4186" i="5"/>
  <c r="O3829" i="5"/>
  <c r="O3969" i="5"/>
  <c r="N3807" i="5"/>
  <c r="P3807" i="5"/>
  <c r="O3721" i="5"/>
  <c r="O3768" i="5"/>
  <c r="O3938" i="5"/>
  <c r="O3980" i="5"/>
  <c r="O4010" i="5"/>
  <c r="O4023" i="5"/>
  <c r="O4040" i="5"/>
  <c r="O4075" i="5"/>
  <c r="N4066" i="5"/>
  <c r="P4066" i="5"/>
  <c r="P4047" i="5"/>
  <c r="N4047" i="5"/>
  <c r="O4158" i="5"/>
  <c r="O4164" i="5"/>
  <c r="O4161" i="5"/>
  <c r="O4197" i="5"/>
  <c r="P4222" i="5"/>
  <c r="N4222" i="5"/>
  <c r="O3825" i="5"/>
  <c r="O3964" i="5"/>
  <c r="O4029" i="5"/>
  <c r="O4123" i="5"/>
  <c r="O3846" i="5"/>
  <c r="O4074" i="5"/>
  <c r="O4195" i="5"/>
  <c r="O3965" i="5"/>
  <c r="O3761" i="5"/>
  <c r="O4185" i="5"/>
  <c r="P3918" i="5"/>
  <c r="N3918" i="5"/>
  <c r="P4100" i="5"/>
  <c r="N4100" i="5"/>
  <c r="P4191" i="5"/>
  <c r="N4191" i="5"/>
  <c r="P3815" i="5"/>
  <c r="N3815" i="5"/>
  <c r="N4130" i="5"/>
  <c r="P4130" i="5"/>
  <c r="N4207" i="5"/>
  <c r="P4207" i="5"/>
  <c r="P3968" i="5"/>
  <c r="N3968" i="5"/>
  <c r="N3824" i="5"/>
  <c r="P3824" i="5"/>
  <c r="N4180" i="5"/>
  <c r="P4180" i="5"/>
  <c r="O3776" i="5"/>
  <c r="O3865" i="5"/>
  <c r="O3944" i="5"/>
  <c r="O3982" i="5"/>
  <c r="O4082" i="5"/>
  <c r="O4134" i="5"/>
  <c r="O4153" i="5"/>
  <c r="O4181" i="5"/>
  <c r="O3808" i="5"/>
  <c r="O4189" i="5"/>
  <c r="O3704" i="5"/>
  <c r="N3781" i="5"/>
  <c r="P3781" i="5"/>
  <c r="O3800" i="5"/>
  <c r="O3862" i="5"/>
  <c r="O4014" i="5"/>
  <c r="O4042" i="5"/>
  <c r="O4088" i="5"/>
  <c r="P4090" i="5"/>
  <c r="N4090" i="5"/>
  <c r="N3866" i="5"/>
  <c r="P3866" i="5"/>
  <c r="P3924" i="5"/>
  <c r="N3924" i="5"/>
  <c r="O4002" i="5"/>
  <c r="O4016" i="5"/>
  <c r="O4019" i="5"/>
  <c r="O4069" i="5"/>
  <c r="O4205" i="5"/>
  <c r="O4206" i="5"/>
  <c r="O4192" i="5"/>
  <c r="O3908" i="5"/>
  <c r="O4147" i="5"/>
  <c r="O4188" i="5"/>
  <c r="O3771" i="5"/>
  <c r="O3751" i="5"/>
  <c r="O3740" i="5"/>
  <c r="O4061" i="5"/>
  <c r="O4071" i="5"/>
  <c r="O4148" i="5"/>
  <c r="N3842" i="5"/>
  <c r="P3842" i="5"/>
  <c r="O3757" i="5"/>
  <c r="O3854" i="5"/>
  <c r="P3887" i="5"/>
  <c r="N3887" i="5"/>
  <c r="O3956" i="5"/>
  <c r="O3990" i="5"/>
  <c r="O3941" i="5"/>
  <c r="O3991" i="5"/>
  <c r="O4027" i="5"/>
  <c r="O4031" i="5"/>
  <c r="O4085" i="5"/>
  <c r="N4190" i="5"/>
  <c r="P4190" i="5"/>
  <c r="O4211" i="5"/>
  <c r="O3727" i="5"/>
  <c r="O3870" i="5"/>
  <c r="O4081" i="5"/>
  <c r="O4044" i="5"/>
  <c r="O4017" i="5"/>
  <c r="O4146" i="5"/>
  <c r="O3756" i="5"/>
  <c r="O4043" i="5"/>
  <c r="O4215" i="5"/>
  <c r="P3960" i="5"/>
  <c r="N3960" i="5"/>
  <c r="N3799" i="5"/>
  <c r="P3799" i="5"/>
  <c r="N4136" i="5"/>
  <c r="P4136" i="5"/>
  <c r="P3777" i="5"/>
  <c r="N3777" i="5"/>
  <c r="N3876" i="5"/>
  <c r="P3876" i="5"/>
  <c r="N4221" i="5"/>
  <c r="P4221" i="5"/>
  <c r="N3900" i="5"/>
  <c r="P3900" i="5"/>
  <c r="P4095" i="5"/>
  <c r="N4095" i="5"/>
  <c r="N4145" i="5"/>
  <c r="P4145" i="5"/>
  <c r="O3907" i="5"/>
  <c r="O3889" i="5"/>
  <c r="O3962" i="5"/>
  <c r="O4132" i="5"/>
  <c r="O3746" i="5"/>
  <c r="O4220" i="5"/>
  <c r="O3748" i="5"/>
  <c r="N3813" i="5"/>
  <c r="P3813" i="5"/>
  <c r="O3818" i="5"/>
  <c r="N3874" i="5"/>
  <c r="P3874" i="5"/>
  <c r="O3891" i="5"/>
  <c r="O3914" i="5"/>
  <c r="N3971" i="5"/>
  <c r="P3971" i="5"/>
  <c r="O4000" i="5"/>
  <c r="O4056" i="5"/>
  <c r="O4106" i="5"/>
  <c r="N4170" i="5"/>
  <c r="P4170" i="5"/>
  <c r="O3762" i="5"/>
  <c r="O3946" i="5"/>
  <c r="O4209" i="5"/>
  <c r="P3726" i="5"/>
  <c r="N3726" i="5"/>
  <c r="O3708" i="5"/>
  <c r="O3912" i="5"/>
  <c r="O3820" i="5"/>
  <c r="O3984" i="5"/>
  <c r="O4064" i="5"/>
  <c r="O4108" i="5"/>
  <c r="O4165" i="5"/>
  <c r="O4178" i="5"/>
  <c r="O4210" i="5"/>
  <c r="O4008" i="5"/>
  <c r="O4128" i="5"/>
  <c r="N3836" i="5"/>
  <c r="P3836" i="5"/>
  <c r="P3697" i="5"/>
  <c r="N3697" i="5"/>
  <c r="O3869" i="5"/>
  <c r="O3970" i="5"/>
  <c r="N3957" i="5"/>
  <c r="P3957" i="5"/>
  <c r="O3959" i="5"/>
  <c r="O4004" i="5"/>
  <c r="O4175" i="5"/>
  <c r="P4212" i="5"/>
  <c r="N4212" i="5"/>
  <c r="O3728" i="5"/>
  <c r="O3882" i="5"/>
  <c r="O3787" i="5"/>
  <c r="O3927" i="5"/>
  <c r="O3819" i="5"/>
  <c r="O4024" i="5"/>
  <c r="O3712" i="5"/>
  <c r="O4119" i="5"/>
  <c r="O3801" i="5"/>
  <c r="R3521" i="5"/>
  <c r="S3521" i="5" s="1"/>
  <c r="R3676" i="5"/>
  <c r="S3676" i="5" s="1"/>
  <c r="R3668" i="5"/>
  <c r="S3668" i="5" s="1"/>
  <c r="R3514" i="5"/>
  <c r="S3514" i="5" s="1"/>
  <c r="N3449" i="5"/>
  <c r="R3423" i="5"/>
  <c r="S3423" i="5" s="1"/>
  <c r="R3535" i="5"/>
  <c r="S3535" i="5" s="1"/>
  <c r="R3387" i="5"/>
  <c r="S3387" i="5" s="1"/>
  <c r="R3615" i="5"/>
  <c r="S3615" i="5" s="1"/>
  <c r="R3531" i="5"/>
  <c r="S3531" i="5" s="1"/>
  <c r="R3596" i="5"/>
  <c r="S3596" i="5" s="1"/>
  <c r="R3569" i="5"/>
  <c r="S3569" i="5" s="1"/>
  <c r="N3686" i="5"/>
  <c r="N3524" i="5"/>
  <c r="U3524" i="5" s="1"/>
  <c r="V3524" i="5" s="1"/>
  <c r="R3685" i="5"/>
  <c r="S3685" i="5" s="1"/>
  <c r="N3600" i="5"/>
  <c r="R3672" i="5"/>
  <c r="S3672" i="5" s="1"/>
  <c r="R3652" i="5"/>
  <c r="S3652" i="5" s="1"/>
  <c r="R3584" i="5"/>
  <c r="S3584" i="5" s="1"/>
  <c r="R3546" i="5"/>
  <c r="S3546" i="5" s="1"/>
  <c r="R3617" i="5"/>
  <c r="S3617" i="5" s="1"/>
  <c r="P3686" i="5"/>
  <c r="R3371" i="5"/>
  <c r="S3371" i="5" s="1"/>
  <c r="N3533" i="5"/>
  <c r="R3607" i="5"/>
  <c r="S3607" i="5" s="1"/>
  <c r="R3656" i="5"/>
  <c r="S3656" i="5" s="1"/>
  <c r="R3484" i="5"/>
  <c r="S3484" i="5" s="1"/>
  <c r="R3579" i="5"/>
  <c r="S3579" i="5" s="1"/>
  <c r="R3624" i="5"/>
  <c r="S3624" i="5" s="1"/>
  <c r="R3526" i="5"/>
  <c r="S3526" i="5" s="1"/>
  <c r="N3691" i="5"/>
  <c r="L3617" i="5"/>
  <c r="N3617" i="5" s="1"/>
  <c r="R3536" i="5"/>
  <c r="S3536" i="5" s="1"/>
  <c r="R3627" i="5"/>
  <c r="S3627" i="5" s="1"/>
  <c r="R3470" i="5"/>
  <c r="S3470" i="5" s="1"/>
  <c r="R3693" i="5"/>
  <c r="S3693" i="5" s="1"/>
  <c r="R3512" i="5"/>
  <c r="S3512" i="5" s="1"/>
  <c r="R3445" i="5"/>
  <c r="S3445" i="5" s="1"/>
  <c r="N3368" i="5"/>
  <c r="U3368" i="5" s="1"/>
  <c r="V3368" i="5" s="1"/>
  <c r="N3341" i="5"/>
  <c r="R3429" i="5"/>
  <c r="S3429" i="5" s="1"/>
  <c r="R3547" i="5"/>
  <c r="S3547" i="5" s="1"/>
  <c r="R3509" i="5"/>
  <c r="S3509" i="5" s="1"/>
  <c r="R3406" i="5"/>
  <c r="S3406" i="5" s="1"/>
  <c r="R3544" i="5"/>
  <c r="S3544" i="5" s="1"/>
  <c r="P3654" i="5"/>
  <c r="P3341" i="5"/>
  <c r="N3486" i="5"/>
  <c r="U3486" i="5" s="1"/>
  <c r="V3486" i="5" s="1"/>
  <c r="R3407" i="5"/>
  <c r="S3407" i="5" s="1"/>
  <c r="R3552" i="5"/>
  <c r="S3552" i="5" s="1"/>
  <c r="R3363" i="5"/>
  <c r="S3363" i="5" s="1"/>
  <c r="R3630" i="5"/>
  <c r="S3630" i="5" s="1"/>
  <c r="R3540" i="5"/>
  <c r="S3540" i="5" s="1"/>
  <c r="R3403" i="5"/>
  <c r="S3403" i="5" s="1"/>
  <c r="R3543" i="5"/>
  <c r="S3543" i="5" s="1"/>
  <c r="R3452" i="5"/>
  <c r="S3452" i="5" s="1"/>
  <c r="R3529" i="5"/>
  <c r="S3529" i="5" s="1"/>
  <c r="R3433" i="5"/>
  <c r="S3433" i="5" s="1"/>
  <c r="R3695" i="5"/>
  <c r="S3695" i="5" s="1"/>
  <c r="N3527" i="5"/>
  <c r="U3527" i="5" s="1"/>
  <c r="V3527" i="5" s="1"/>
  <c r="R3623" i="5"/>
  <c r="S3623" i="5" s="1"/>
  <c r="R3639" i="5"/>
  <c r="S3639" i="5" s="1"/>
  <c r="N3539" i="5"/>
  <c r="O3539" i="5" s="1"/>
  <c r="R3390" i="5"/>
  <c r="S3390" i="5" s="1"/>
  <c r="R3349" i="5"/>
  <c r="S3349" i="5" s="1"/>
  <c r="R3532" i="5"/>
  <c r="S3532" i="5" s="1"/>
  <c r="R3662" i="5"/>
  <c r="S3662" i="5" s="1"/>
  <c r="R3554" i="5"/>
  <c r="S3554" i="5" s="1"/>
  <c r="R3440" i="5"/>
  <c r="S3440" i="5" s="1"/>
  <c r="N3332" i="5"/>
  <c r="U3332" i="5" s="1"/>
  <c r="V3332" i="5" s="1"/>
  <c r="R3671" i="5"/>
  <c r="S3671" i="5" s="1"/>
  <c r="N3556" i="5"/>
  <c r="N3492" i="5"/>
  <c r="U3492" i="5" s="1"/>
  <c r="V3492" i="5" s="1"/>
  <c r="R3558" i="5"/>
  <c r="S3558" i="5" s="1"/>
  <c r="R3471" i="5"/>
  <c r="S3471" i="5" s="1"/>
  <c r="O3648" i="5"/>
  <c r="N3396" i="5"/>
  <c r="U3396" i="5" s="1"/>
  <c r="V3396" i="5" s="1"/>
  <c r="R3454" i="5"/>
  <c r="S3454" i="5" s="1"/>
  <c r="R3483" i="5"/>
  <c r="S3483" i="5" s="1"/>
  <c r="N3420" i="5"/>
  <c r="R3389" i="5"/>
  <c r="S3389" i="5" s="1"/>
  <c r="N3481" i="5"/>
  <c r="U3481" i="5" s="1"/>
  <c r="V3481" i="5" s="1"/>
  <c r="N3361" i="5"/>
  <c r="U3361" i="5" s="1"/>
  <c r="V3361" i="5" s="1"/>
  <c r="R3692" i="5"/>
  <c r="S3692" i="5" s="1"/>
  <c r="R3379" i="5"/>
  <c r="S3379" i="5" s="1"/>
  <c r="N3688" i="5"/>
  <c r="O3688" i="5" s="1"/>
  <c r="N3482" i="5"/>
  <c r="U3336" i="5"/>
  <c r="V3336" i="5" s="1"/>
  <c r="L3401" i="5"/>
  <c r="N3401" i="5" s="1"/>
  <c r="R3381" i="5"/>
  <c r="S3381" i="5" s="1"/>
  <c r="R3654" i="5"/>
  <c r="S3654" i="5" s="1"/>
  <c r="U3362" i="5"/>
  <c r="V3362" i="5" s="1"/>
  <c r="R3463" i="5"/>
  <c r="S3463" i="5" s="1"/>
  <c r="N3534" i="5"/>
  <c r="R3408" i="5"/>
  <c r="S3408" i="5" s="1"/>
  <c r="P3625" i="5"/>
  <c r="N3625" i="5"/>
  <c r="N3562" i="5"/>
  <c r="P3562" i="5"/>
  <c r="R3548" i="5"/>
  <c r="S3548" i="5" s="1"/>
  <c r="P3449" i="5"/>
  <c r="L3544" i="5"/>
  <c r="P3544" i="5" s="1"/>
  <c r="N3461" i="5"/>
  <c r="U3461" i="5" s="1"/>
  <c r="V3461" i="5" s="1"/>
  <c r="L3672" i="5"/>
  <c r="P3672" i="5" s="1"/>
  <c r="N3599" i="5"/>
  <c r="U3599" i="5" s="1"/>
  <c r="V3599" i="5" s="1"/>
  <c r="N3391" i="5"/>
  <c r="O3391" i="5" s="1"/>
  <c r="U3376" i="5"/>
  <c r="V3376" i="5" s="1"/>
  <c r="R3666" i="5"/>
  <c r="S3666" i="5" s="1"/>
  <c r="N3516" i="5"/>
  <c r="O3516" i="5" s="1"/>
  <c r="R3585" i="5"/>
  <c r="S3585" i="5" s="1"/>
  <c r="R3459" i="5"/>
  <c r="S3459" i="5" s="1"/>
  <c r="N3431" i="5"/>
  <c r="U3431" i="5" s="1"/>
  <c r="V3431" i="5" s="1"/>
  <c r="P3420" i="5"/>
  <c r="P3482" i="5"/>
  <c r="N3609" i="5"/>
  <c r="N3646" i="5"/>
  <c r="R3684" i="5"/>
  <c r="S3684" i="5" s="1"/>
  <c r="O3665" i="5"/>
  <c r="N3580" i="5"/>
  <c r="U3580" i="5" s="1"/>
  <c r="V3580" i="5" s="1"/>
  <c r="R3490" i="5"/>
  <c r="S3490" i="5" s="1"/>
  <c r="P3534" i="5"/>
  <c r="R3447" i="5"/>
  <c r="S3447" i="5" s="1"/>
  <c r="R3405" i="5"/>
  <c r="S3405" i="5" s="1"/>
  <c r="R3468" i="5"/>
  <c r="S3468" i="5" s="1"/>
  <c r="R3510" i="5"/>
  <c r="S3510" i="5" s="1"/>
  <c r="L3607" i="5"/>
  <c r="N3331" i="5"/>
  <c r="U3331" i="5" s="1"/>
  <c r="V3331" i="5" s="1"/>
  <c r="R3562" i="5"/>
  <c r="S3562" i="5" s="1"/>
  <c r="P3609" i="5"/>
  <c r="P3533" i="5"/>
  <c r="N3644" i="5"/>
  <c r="O3644" i="5" s="1"/>
  <c r="P3415" i="5"/>
  <c r="N3415" i="5"/>
  <c r="N3467" i="5"/>
  <c r="U3467" i="5" s="1"/>
  <c r="V3467" i="5" s="1"/>
  <c r="L3676" i="5"/>
  <c r="P3676" i="5" s="1"/>
  <c r="P3691" i="5"/>
  <c r="R3690" i="5"/>
  <c r="S3690" i="5" s="1"/>
  <c r="U3648" i="5"/>
  <c r="V3648" i="5" s="1"/>
  <c r="R3682" i="5"/>
  <c r="S3682" i="5" s="1"/>
  <c r="R3560" i="5"/>
  <c r="S3560" i="5" s="1"/>
  <c r="R3622" i="5"/>
  <c r="S3622" i="5" s="1"/>
  <c r="P3600" i="5"/>
  <c r="N3528" i="5"/>
  <c r="O3528" i="5" s="1"/>
  <c r="P3556" i="5"/>
  <c r="R3465" i="5"/>
  <c r="S3465" i="5" s="1"/>
  <c r="R3345" i="5"/>
  <c r="S3345" i="5" s="1"/>
  <c r="U3443" i="5"/>
  <c r="V3443" i="5" s="1"/>
  <c r="R3675" i="5"/>
  <c r="S3675" i="5" s="1"/>
  <c r="R3619" i="5"/>
  <c r="S3619" i="5" s="1"/>
  <c r="R3473" i="5"/>
  <c r="S3473" i="5" s="1"/>
  <c r="R3694" i="5"/>
  <c r="S3694" i="5" s="1"/>
  <c r="O3336" i="5"/>
  <c r="R3686" i="5"/>
  <c r="S3686" i="5" s="1"/>
  <c r="R3318" i="5"/>
  <c r="S3318" i="5" s="1"/>
  <c r="R3616" i="5"/>
  <c r="S3616" i="5" s="1"/>
  <c r="R3674" i="5"/>
  <c r="S3674" i="5" s="1"/>
  <c r="L3554" i="5"/>
  <c r="P3554" i="5" s="1"/>
  <c r="R3576" i="5"/>
  <c r="S3576" i="5" s="1"/>
  <c r="N3504" i="5"/>
  <c r="U3504" i="5" s="1"/>
  <c r="V3504" i="5" s="1"/>
  <c r="R3464" i="5"/>
  <c r="S3464" i="5" s="1"/>
  <c r="P3350" i="5"/>
  <c r="O3350" i="5" s="1"/>
  <c r="R3334" i="5"/>
  <c r="S3334" i="5" s="1"/>
  <c r="R3588" i="5"/>
  <c r="S3588" i="5" s="1"/>
  <c r="L3342" i="5"/>
  <c r="P3342" i="5" s="1"/>
  <c r="R3438" i="5"/>
  <c r="S3438" i="5" s="1"/>
  <c r="R3324" i="5"/>
  <c r="S3324" i="5" s="1"/>
  <c r="R3691" i="5"/>
  <c r="S3691" i="5" s="1"/>
  <c r="R3651" i="5"/>
  <c r="S3651" i="5" s="1"/>
  <c r="R3421" i="5"/>
  <c r="S3421" i="5" s="1"/>
  <c r="L3624" i="5"/>
  <c r="P3624" i="5" s="1"/>
  <c r="R3670" i="5"/>
  <c r="S3670" i="5" s="1"/>
  <c r="R3610" i="5"/>
  <c r="S3610" i="5" s="1"/>
  <c r="R3566" i="5"/>
  <c r="S3566" i="5" s="1"/>
  <c r="L3406" i="5"/>
  <c r="P3406" i="5" s="1"/>
  <c r="L3484" i="5"/>
  <c r="N3484" i="5" s="1"/>
  <c r="L3569" i="5"/>
  <c r="P3569" i="5" s="1"/>
  <c r="L3403" i="5"/>
  <c r="P3403" i="5" s="1"/>
  <c r="R3653" i="5"/>
  <c r="S3653" i="5" s="1"/>
  <c r="N3318" i="5"/>
  <c r="L3685" i="5"/>
  <c r="P3685" i="5" s="1"/>
  <c r="R3679" i="5"/>
  <c r="S3679" i="5" s="1"/>
  <c r="R3663" i="5"/>
  <c r="S3663" i="5" s="1"/>
  <c r="R3645" i="5"/>
  <c r="S3645" i="5" s="1"/>
  <c r="R3633" i="5"/>
  <c r="S3633" i="5" s="1"/>
  <c r="L3509" i="5"/>
  <c r="P3509" i="5" s="1"/>
  <c r="L3490" i="5"/>
  <c r="N3490" i="5" s="1"/>
  <c r="R3502" i="5"/>
  <c r="S3502" i="5" s="1"/>
  <c r="L3447" i="5"/>
  <c r="P3447" i="5" s="1"/>
  <c r="L3470" i="5"/>
  <c r="N3470" i="5" s="1"/>
  <c r="N3460" i="5"/>
  <c r="R3415" i="5"/>
  <c r="S3415" i="5" s="1"/>
  <c r="R3669" i="5"/>
  <c r="S3669" i="5" s="1"/>
  <c r="L3623" i="5"/>
  <c r="P3623" i="5" s="1"/>
  <c r="L3662" i="5"/>
  <c r="N3662" i="5" s="1"/>
  <c r="L3622" i="5"/>
  <c r="N3622" i="5" s="1"/>
  <c r="L3666" i="5"/>
  <c r="L3671" i="5"/>
  <c r="P3671" i="5" s="1"/>
  <c r="L3663" i="5"/>
  <c r="N3663" i="5" s="1"/>
  <c r="N3642" i="5"/>
  <c r="U3642" i="5" s="1"/>
  <c r="V3642" i="5" s="1"/>
  <c r="L3694" i="5"/>
  <c r="P3586" i="5"/>
  <c r="N3586" i="5"/>
  <c r="R3580" i="5"/>
  <c r="S3580" i="5" s="1"/>
  <c r="L3576" i="5"/>
  <c r="N3576" i="5" s="1"/>
  <c r="N3568" i="5"/>
  <c r="O3568" i="5" s="1"/>
  <c r="L3566" i="5"/>
  <c r="P3566" i="5" s="1"/>
  <c r="P3540" i="5"/>
  <c r="N3540" i="5"/>
  <c r="L3531" i="5"/>
  <c r="P3531" i="5" s="1"/>
  <c r="L3510" i="5"/>
  <c r="P3510" i="5" s="1"/>
  <c r="R3489" i="5"/>
  <c r="S3489" i="5" s="1"/>
  <c r="L3480" i="5"/>
  <c r="N3480" i="5" s="1"/>
  <c r="L3471" i="5"/>
  <c r="P3471" i="5" s="1"/>
  <c r="R3466" i="5"/>
  <c r="S3466" i="5" s="1"/>
  <c r="R3460" i="5"/>
  <c r="S3460" i="5" s="1"/>
  <c r="N3437" i="5"/>
  <c r="O3437" i="5" s="1"/>
  <c r="L3433" i="5"/>
  <c r="N3433" i="5" s="1"/>
  <c r="L3429" i="5"/>
  <c r="R3411" i="5"/>
  <c r="S3411" i="5" s="1"/>
  <c r="L3408" i="5"/>
  <c r="R3393" i="5"/>
  <c r="S3393" i="5" s="1"/>
  <c r="L3389" i="5"/>
  <c r="N3389" i="5" s="1"/>
  <c r="L3387" i="5"/>
  <c r="N3387" i="5" s="1"/>
  <c r="O3385" i="5"/>
  <c r="L3381" i="5"/>
  <c r="N3381" i="5" s="1"/>
  <c r="R3372" i="5"/>
  <c r="S3372" i="5" s="1"/>
  <c r="L3352" i="5"/>
  <c r="P3352" i="5" s="1"/>
  <c r="L3349" i="5"/>
  <c r="R3341" i="5"/>
  <c r="S3341" i="5" s="1"/>
  <c r="L3337" i="5"/>
  <c r="R3332" i="5"/>
  <c r="S3332" i="5" s="1"/>
  <c r="R3323" i="5"/>
  <c r="S3323" i="5" s="1"/>
  <c r="P3323" i="5"/>
  <c r="N3323" i="5"/>
  <c r="P3680" i="5"/>
  <c r="N3680" i="5"/>
  <c r="P3419" i="5"/>
  <c r="N3419" i="5"/>
  <c r="P3619" i="5"/>
  <c r="N3619" i="5"/>
  <c r="P3324" i="5"/>
  <c r="N3324" i="5"/>
  <c r="P3424" i="5"/>
  <c r="N3424" i="5"/>
  <c r="N3678" i="5"/>
  <c r="O3678" i="5" s="1"/>
  <c r="R3634" i="5"/>
  <c r="S3634" i="5" s="1"/>
  <c r="N3593" i="5"/>
  <c r="O3593" i="5" s="1"/>
  <c r="L3514" i="5"/>
  <c r="P3514" i="5" s="1"/>
  <c r="L3526" i="5"/>
  <c r="P3526" i="5" s="1"/>
  <c r="R3506" i="5"/>
  <c r="S3506" i="5" s="1"/>
  <c r="R3476" i="5"/>
  <c r="S3476" i="5" s="1"/>
  <c r="R3458" i="5"/>
  <c r="S3458" i="5" s="1"/>
  <c r="R3500" i="5"/>
  <c r="S3500" i="5" s="1"/>
  <c r="L3405" i="5"/>
  <c r="P3405" i="5" s="1"/>
  <c r="R3399" i="5"/>
  <c r="S3399" i="5" s="1"/>
  <c r="N3473" i="5"/>
  <c r="O3473" i="5" s="1"/>
  <c r="N3455" i="5"/>
  <c r="R3398" i="5"/>
  <c r="S3398" i="5" s="1"/>
  <c r="L3370" i="5"/>
  <c r="P3370" i="5" s="1"/>
  <c r="P3658" i="5"/>
  <c r="N3658" i="5"/>
  <c r="L3390" i="5"/>
  <c r="L3421" i="5"/>
  <c r="L3653" i="5"/>
  <c r="R3538" i="5"/>
  <c r="S3538" i="5" s="1"/>
  <c r="P3378" i="5"/>
  <c r="N3378" i="5"/>
  <c r="L3692" i="5"/>
  <c r="P3692" i="5" s="1"/>
  <c r="L3668" i="5"/>
  <c r="N3668" i="5" s="1"/>
  <c r="L3682" i="5"/>
  <c r="N3682" i="5" s="1"/>
  <c r="L3633" i="5"/>
  <c r="N3633" i="5" s="1"/>
  <c r="L3596" i="5"/>
  <c r="N3596" i="5" s="1"/>
  <c r="U3522" i="5"/>
  <c r="V3522" i="5" s="1"/>
  <c r="R3477" i="5"/>
  <c r="S3477" i="5" s="1"/>
  <c r="R3358" i="5"/>
  <c r="S3358" i="5" s="1"/>
  <c r="N3448" i="5"/>
  <c r="R3680" i="5"/>
  <c r="S3680" i="5" s="1"/>
  <c r="U3647" i="5"/>
  <c r="V3647" i="5" s="1"/>
  <c r="L3454" i="5"/>
  <c r="L3379" i="5"/>
  <c r="L3468" i="5"/>
  <c r="L3438" i="5"/>
  <c r="R3388" i="5"/>
  <c r="S3388" i="5" s="1"/>
  <c r="R3419" i="5"/>
  <c r="S3419" i="5" s="1"/>
  <c r="R3642" i="5"/>
  <c r="S3642" i="5" s="1"/>
  <c r="L3652" i="5"/>
  <c r="P3652" i="5" s="1"/>
  <c r="L3690" i="5"/>
  <c r="N3690" i="5" s="1"/>
  <c r="L3639" i="5"/>
  <c r="N3639" i="5" s="1"/>
  <c r="L3548" i="5"/>
  <c r="P3548" i="5" s="1"/>
  <c r="L3585" i="5"/>
  <c r="N3585" i="5" s="1"/>
  <c r="U3472" i="5"/>
  <c r="V3472" i="5" s="1"/>
  <c r="R3413" i="5"/>
  <c r="S3413" i="5" s="1"/>
  <c r="L3371" i="5"/>
  <c r="N3371" i="5" s="1"/>
  <c r="N3450" i="5"/>
  <c r="U3450" i="5" s="1"/>
  <c r="V3450" i="5" s="1"/>
  <c r="L3695" i="5"/>
  <c r="P3695" i="5" s="1"/>
  <c r="L3610" i="5"/>
  <c r="P3610" i="5" s="1"/>
  <c r="R3628" i="5"/>
  <c r="S3628" i="5" s="1"/>
  <c r="N3594" i="5"/>
  <c r="U3594" i="5" s="1"/>
  <c r="V3594" i="5" s="1"/>
  <c r="U3612" i="5"/>
  <c r="V3612" i="5" s="1"/>
  <c r="R3591" i="5"/>
  <c r="S3591" i="5" s="1"/>
  <c r="R3578" i="5"/>
  <c r="S3578" i="5" s="1"/>
  <c r="L3496" i="5"/>
  <c r="P3496" i="5" s="1"/>
  <c r="L3465" i="5"/>
  <c r="P3465" i="5" s="1"/>
  <c r="L3552" i="5"/>
  <c r="P3552" i="5" s="1"/>
  <c r="U3409" i="5"/>
  <c r="V3409" i="5" s="1"/>
  <c r="R3494" i="5"/>
  <c r="S3494" i="5" s="1"/>
  <c r="R3428" i="5"/>
  <c r="S3428" i="5" s="1"/>
  <c r="L3464" i="5"/>
  <c r="N3464" i="5" s="1"/>
  <c r="L3383" i="5"/>
  <c r="N3383" i="5" s="1"/>
  <c r="R3364" i="5"/>
  <c r="S3364" i="5" s="1"/>
  <c r="L3333" i="5"/>
  <c r="N3333" i="5" s="1"/>
  <c r="R3424" i="5"/>
  <c r="S3424" i="5" s="1"/>
  <c r="N3466" i="5"/>
  <c r="L3325" i="5"/>
  <c r="R3649" i="5"/>
  <c r="S3649" i="5" s="1"/>
  <c r="L3553" i="5"/>
  <c r="N3553" i="5" s="1"/>
  <c r="R3559" i="5"/>
  <c r="S3559" i="5" s="1"/>
  <c r="L3459" i="5"/>
  <c r="N3459" i="5" s="1"/>
  <c r="L3354" i="5"/>
  <c r="N3354" i="5" s="1"/>
  <c r="R3380" i="5"/>
  <c r="S3380" i="5" s="1"/>
  <c r="L3445" i="5"/>
  <c r="P3445" i="5" s="1"/>
  <c r="L3327" i="5"/>
  <c r="N3327" i="5" s="1"/>
  <c r="R3593" i="5"/>
  <c r="S3593" i="5" s="1"/>
  <c r="L3588" i="5"/>
  <c r="R3534" i="5"/>
  <c r="S3534" i="5" s="1"/>
  <c r="O3435" i="5"/>
  <c r="U3435" i="5"/>
  <c r="V3435" i="5" s="1"/>
  <c r="R3609" i="5"/>
  <c r="S3609" i="5" s="1"/>
  <c r="L3343" i="5"/>
  <c r="L3319" i="5"/>
  <c r="N3669" i="5"/>
  <c r="P3669" i="5"/>
  <c r="P3611" i="5"/>
  <c r="N3611" i="5"/>
  <c r="P3508" i="5"/>
  <c r="N3508" i="5"/>
  <c r="P3413" i="5"/>
  <c r="N3413" i="5"/>
  <c r="P3395" i="5"/>
  <c r="N3395" i="5"/>
  <c r="N3411" i="5"/>
  <c r="P3411" i="5"/>
  <c r="N3322" i="5"/>
  <c r="P3322" i="5"/>
  <c r="N3346" i="5"/>
  <c r="P3346" i="5"/>
  <c r="N3334" i="5"/>
  <c r="P3334" i="5"/>
  <c r="N3328" i="5"/>
  <c r="P3328" i="5"/>
  <c r="N3340" i="5"/>
  <c r="P3340" i="5"/>
  <c r="P3687" i="5"/>
  <c r="N3687" i="5"/>
  <c r="N3628" i="5"/>
  <c r="P3628" i="5"/>
  <c r="N3591" i="5"/>
  <c r="P3591" i="5"/>
  <c r="P3578" i="5"/>
  <c r="N3578" i="5"/>
  <c r="N3494" i="5"/>
  <c r="P3494" i="5"/>
  <c r="N3428" i="5"/>
  <c r="P3428" i="5"/>
  <c r="N3434" i="5"/>
  <c r="P3434" i="5"/>
  <c r="N3364" i="5"/>
  <c r="P3364" i="5"/>
  <c r="N3345" i="5"/>
  <c r="P3345" i="5"/>
  <c r="N3674" i="5"/>
  <c r="P3674" i="5"/>
  <c r="N3657" i="5"/>
  <c r="P3657" i="5"/>
  <c r="N3564" i="5"/>
  <c r="P3564" i="5"/>
  <c r="N3386" i="5"/>
  <c r="P3386" i="5"/>
  <c r="N3602" i="5"/>
  <c r="P3602" i="5"/>
  <c r="N3372" i="5"/>
  <c r="P3372" i="5"/>
  <c r="P3664" i="5"/>
  <c r="N3664" i="5"/>
  <c r="N3559" i="5"/>
  <c r="P3559" i="5"/>
  <c r="N3446" i="5"/>
  <c r="P3446" i="5"/>
  <c r="N3452" i="5"/>
  <c r="P3452" i="5"/>
  <c r="N3317" i="5"/>
  <c r="P3317" i="5"/>
  <c r="N3634" i="5"/>
  <c r="P3634" i="5"/>
  <c r="N3649" i="5"/>
  <c r="P3649" i="5"/>
  <c r="P3515" i="5"/>
  <c r="N3515" i="5"/>
  <c r="N3506" i="5"/>
  <c r="P3506" i="5"/>
  <c r="N3476" i="5"/>
  <c r="P3476" i="5"/>
  <c r="N3458" i="5"/>
  <c r="P3458" i="5"/>
  <c r="N3500" i="5"/>
  <c r="P3500" i="5"/>
  <c r="N3399" i="5"/>
  <c r="P3399" i="5"/>
  <c r="N3398" i="5"/>
  <c r="P3398" i="5"/>
  <c r="N3608" i="5"/>
  <c r="P3608" i="5"/>
  <c r="P3606" i="5"/>
  <c r="N3606" i="5"/>
  <c r="N3477" i="5"/>
  <c r="P3477" i="5"/>
  <c r="N3358" i="5"/>
  <c r="P3358" i="5"/>
  <c r="R3687" i="5"/>
  <c r="S3687" i="5" s="1"/>
  <c r="U3637" i="5"/>
  <c r="V3637" i="5" s="1"/>
  <c r="O3637" i="5"/>
  <c r="N3573" i="5"/>
  <c r="P3573" i="5"/>
  <c r="P3603" i="5"/>
  <c r="N3603" i="5"/>
  <c r="N3513" i="5"/>
  <c r="P3513" i="5"/>
  <c r="R3515" i="5"/>
  <c r="S3515" i="5" s="1"/>
  <c r="P3430" i="5"/>
  <c r="N3430" i="5"/>
  <c r="P3557" i="5"/>
  <c r="N3557" i="5"/>
  <c r="N3416" i="5"/>
  <c r="P3416" i="5"/>
  <c r="P3335" i="5"/>
  <c r="N3335" i="5"/>
  <c r="P3681" i="5"/>
  <c r="N3681" i="5"/>
  <c r="P3661" i="5"/>
  <c r="N3661" i="5"/>
  <c r="R3664" i="5"/>
  <c r="S3664" i="5" s="1"/>
  <c r="L3546" i="5"/>
  <c r="O3583" i="5"/>
  <c r="U3583" i="5"/>
  <c r="V3583" i="5" s="1"/>
  <c r="P3523" i="5"/>
  <c r="N3523" i="5"/>
  <c r="N3427" i="5"/>
  <c r="P3427" i="5"/>
  <c r="U3344" i="5"/>
  <c r="V3344" i="5" s="1"/>
  <c r="O3344" i="5"/>
  <c r="L3679" i="5"/>
  <c r="P3618" i="5"/>
  <c r="N3618" i="5"/>
  <c r="L3645" i="5"/>
  <c r="L3651" i="5"/>
  <c r="R3657" i="5"/>
  <c r="S3657" i="5" s="1"/>
  <c r="P3673" i="5"/>
  <c r="N3673" i="5"/>
  <c r="L3616" i="5"/>
  <c r="L3615" i="5"/>
  <c r="L3656" i="5"/>
  <c r="P3626" i="5"/>
  <c r="N3626" i="5"/>
  <c r="R3611" i="5"/>
  <c r="S3611" i="5" s="1"/>
  <c r="N3582" i="5"/>
  <c r="P3582" i="5"/>
  <c r="P3561" i="5"/>
  <c r="N3561" i="5"/>
  <c r="P3620" i="5"/>
  <c r="N3620" i="5"/>
  <c r="L3584" i="5"/>
  <c r="L3579" i="5"/>
  <c r="P3592" i="5"/>
  <c r="N3592" i="5"/>
  <c r="L3558" i="5"/>
  <c r="P3545" i="5"/>
  <c r="N3545" i="5"/>
  <c r="L3536" i="5"/>
  <c r="P3525" i="5"/>
  <c r="N3525" i="5"/>
  <c r="N3507" i="5"/>
  <c r="P3507" i="5"/>
  <c r="N3489" i="5"/>
  <c r="P3489" i="5"/>
  <c r="R3606" i="5"/>
  <c r="S3606" i="5" s="1"/>
  <c r="R3564" i="5"/>
  <c r="S3564" i="5" s="1"/>
  <c r="N3520" i="5"/>
  <c r="P3520" i="5"/>
  <c r="L3521" i="5"/>
  <c r="L3512" i="5"/>
  <c r="L3518" i="5"/>
  <c r="P3382" i="5"/>
  <c r="N3382" i="5"/>
  <c r="P3485" i="5"/>
  <c r="N3485" i="5"/>
  <c r="P3505" i="5"/>
  <c r="N3505" i="5"/>
  <c r="L3423" i="5"/>
  <c r="N3422" i="5"/>
  <c r="P3422" i="5"/>
  <c r="P3359" i="5"/>
  <c r="N3359" i="5"/>
  <c r="R3434" i="5"/>
  <c r="S3434" i="5" s="1"/>
  <c r="R3508" i="5"/>
  <c r="S3508" i="5" s="1"/>
  <c r="R3446" i="5"/>
  <c r="S3446" i="5" s="1"/>
  <c r="R3386" i="5"/>
  <c r="S3386" i="5" s="1"/>
  <c r="R3602" i="5"/>
  <c r="S3602" i="5" s="1"/>
  <c r="N3369" i="5"/>
  <c r="P3369" i="5"/>
  <c r="P3330" i="5"/>
  <c r="N3330" i="5"/>
  <c r="R3322" i="5"/>
  <c r="S3322" i="5" s="1"/>
  <c r="U3414" i="5"/>
  <c r="V3414" i="5" s="1"/>
  <c r="O3414" i="5"/>
  <c r="R3346" i="5"/>
  <c r="S3346" i="5" s="1"/>
  <c r="P3432" i="5"/>
  <c r="N3432" i="5"/>
  <c r="L3363" i="5"/>
  <c r="R3317" i="5"/>
  <c r="S3317" i="5" s="1"/>
  <c r="R3328" i="5"/>
  <c r="S3328" i="5" s="1"/>
  <c r="L3417" i="5"/>
  <c r="U3385" i="5"/>
  <c r="V3385" i="5" s="1"/>
  <c r="P3348" i="5"/>
  <c r="N3348" i="5"/>
  <c r="R3340" i="5"/>
  <c r="S3340" i="5" s="1"/>
  <c r="L3440" i="5"/>
  <c r="P3677" i="5"/>
  <c r="N3677" i="5"/>
  <c r="P3630" i="5"/>
  <c r="N3630" i="5"/>
  <c r="P3538" i="5"/>
  <c r="N3538" i="5"/>
  <c r="N3530" i="5"/>
  <c r="P3530" i="5"/>
  <c r="N3393" i="5"/>
  <c r="P3393" i="5"/>
  <c r="U3402" i="5"/>
  <c r="V3402" i="5" s="1"/>
  <c r="O3402" i="5"/>
  <c r="N3339" i="5"/>
  <c r="P3339" i="5"/>
  <c r="P3605" i="5"/>
  <c r="N3605" i="5"/>
  <c r="P3635" i="5"/>
  <c r="N3635" i="5"/>
  <c r="P3388" i="5"/>
  <c r="N3388" i="5"/>
  <c r="N3439" i="5"/>
  <c r="P3439" i="5"/>
  <c r="P3462" i="5"/>
  <c r="N3462" i="5"/>
  <c r="P3659" i="5"/>
  <c r="N3659" i="5"/>
  <c r="L3684" i="5"/>
  <c r="N3675" i="5"/>
  <c r="P3675" i="5"/>
  <c r="U3660" i="5"/>
  <c r="V3660" i="5" s="1"/>
  <c r="O3660" i="5"/>
  <c r="N3643" i="5"/>
  <c r="P3643" i="5"/>
  <c r="P3587" i="5"/>
  <c r="N3587" i="5"/>
  <c r="P3631" i="5"/>
  <c r="N3631" i="5"/>
  <c r="L3627" i="5"/>
  <c r="U3614" i="5"/>
  <c r="V3614" i="5" s="1"/>
  <c r="O3614" i="5"/>
  <c r="P3555" i="5"/>
  <c r="N3555" i="5"/>
  <c r="O3613" i="5"/>
  <c r="N3565" i="5"/>
  <c r="P3565" i="5"/>
  <c r="L3547" i="5"/>
  <c r="P3503" i="5"/>
  <c r="N3503" i="5"/>
  <c r="N3483" i="5"/>
  <c r="P3483" i="5"/>
  <c r="P3550" i="5"/>
  <c r="N3550" i="5"/>
  <c r="L3535" i="5"/>
  <c r="L3407" i="5"/>
  <c r="P3418" i="5"/>
  <c r="N3418" i="5"/>
  <c r="P3400" i="5"/>
  <c r="N3400" i="5"/>
  <c r="P3493" i="5"/>
  <c r="N3493" i="5"/>
  <c r="P3491" i="5"/>
  <c r="N3491" i="5"/>
  <c r="N3392" i="5"/>
  <c r="P3392" i="5"/>
  <c r="R3488" i="5"/>
  <c r="S3488" i="5" s="1"/>
  <c r="U3320" i="5"/>
  <c r="V3320" i="5" s="1"/>
  <c r="O3320" i="5"/>
  <c r="O3443" i="5"/>
  <c r="N3375" i="5"/>
  <c r="P3375" i="5"/>
  <c r="P3338" i="5"/>
  <c r="N3338" i="5"/>
  <c r="U3373" i="5"/>
  <c r="V3373" i="5" s="1"/>
  <c r="O3373" i="5"/>
  <c r="O3362" i="5"/>
  <c r="O3376" i="5"/>
  <c r="P3650" i="5"/>
  <c r="N3650" i="5"/>
  <c r="P3604" i="5"/>
  <c r="N3604" i="5"/>
  <c r="N3601" i="5"/>
  <c r="P3601" i="5"/>
  <c r="P3542" i="5"/>
  <c r="N3542" i="5"/>
  <c r="U3571" i="5"/>
  <c r="V3571" i="5" s="1"/>
  <c r="O3571" i="5"/>
  <c r="N3495" i="5"/>
  <c r="P3495" i="5"/>
  <c r="N3469" i="5"/>
  <c r="P3469" i="5"/>
  <c r="P3478" i="5"/>
  <c r="N3478" i="5"/>
  <c r="N3410" i="5"/>
  <c r="P3410" i="5"/>
  <c r="N3475" i="5"/>
  <c r="P3475" i="5"/>
  <c r="P3670" i="5"/>
  <c r="N3670" i="5"/>
  <c r="P3689" i="5"/>
  <c r="N3689" i="5"/>
  <c r="P3598" i="5"/>
  <c r="N3598" i="5"/>
  <c r="P3567" i="5"/>
  <c r="N3567" i="5"/>
  <c r="N3570" i="5"/>
  <c r="P3570" i="5"/>
  <c r="P3425" i="5"/>
  <c r="N3425" i="5"/>
  <c r="R3478" i="5"/>
  <c r="S3478" i="5" s="1"/>
  <c r="P3329" i="5"/>
  <c r="N3329" i="5"/>
  <c r="U3355" i="5"/>
  <c r="V3355" i="5" s="1"/>
  <c r="O3355" i="5"/>
  <c r="P3641" i="5"/>
  <c r="N3641" i="5"/>
  <c r="P3629" i="5"/>
  <c r="N3629" i="5"/>
  <c r="P3655" i="5"/>
  <c r="N3655" i="5"/>
  <c r="P3581" i="5"/>
  <c r="N3581" i="5"/>
  <c r="P3549" i="5"/>
  <c r="N3549" i="5"/>
  <c r="P3497" i="5"/>
  <c r="N3497" i="5"/>
  <c r="P3502" i="5"/>
  <c r="N3502" i="5"/>
  <c r="N3519" i="5"/>
  <c r="P3519" i="5"/>
  <c r="N3501" i="5"/>
  <c r="P3501" i="5"/>
  <c r="U3574" i="5"/>
  <c r="V3574" i="5" s="1"/>
  <c r="O3574" i="5"/>
  <c r="P3517" i="5"/>
  <c r="N3517" i="5"/>
  <c r="P3442" i="5"/>
  <c r="N3442" i="5"/>
  <c r="P3487" i="5"/>
  <c r="N3487" i="5"/>
  <c r="N3451" i="5"/>
  <c r="P3451" i="5"/>
  <c r="P3353" i="5"/>
  <c r="N3353" i="5"/>
  <c r="N3488" i="5"/>
  <c r="P3488" i="5"/>
  <c r="N3457" i="5"/>
  <c r="P3457" i="5"/>
  <c r="R3395" i="5"/>
  <c r="S3395" i="5" s="1"/>
  <c r="P3453" i="5"/>
  <c r="N3453" i="5"/>
  <c r="P3444" i="5"/>
  <c r="N3444" i="5"/>
  <c r="N3404" i="5"/>
  <c r="P3404" i="5"/>
  <c r="L3463" i="5"/>
  <c r="P3374" i="5"/>
  <c r="N3374" i="5"/>
  <c r="P3360" i="5"/>
  <c r="N3360" i="5"/>
  <c r="P3326" i="5"/>
  <c r="N3326" i="5"/>
  <c r="N3638" i="5"/>
  <c r="P3638" i="5"/>
  <c r="N3595" i="5"/>
  <c r="P3595" i="5"/>
  <c r="L3621" i="5"/>
  <c r="P3597" i="5"/>
  <c r="N3597" i="5"/>
  <c r="P3499" i="5"/>
  <c r="N3499" i="5"/>
  <c r="P3377" i="5"/>
  <c r="N3377" i="5"/>
  <c r="P3532" i="5"/>
  <c r="N3532" i="5"/>
  <c r="P3563" i="5"/>
  <c r="N3563" i="5"/>
  <c r="P3551" i="5"/>
  <c r="N3551" i="5"/>
  <c r="U3456" i="5"/>
  <c r="V3456" i="5" s="1"/>
  <c r="O3456" i="5"/>
  <c r="P3365" i="5"/>
  <c r="N3365" i="5"/>
  <c r="P3356" i="5"/>
  <c r="N3356" i="5"/>
  <c r="L3693" i="5"/>
  <c r="N3683" i="5"/>
  <c r="P3683" i="5"/>
  <c r="P3636" i="5"/>
  <c r="N3636" i="5"/>
  <c r="P3575" i="5"/>
  <c r="N3575" i="5"/>
  <c r="R3643" i="5"/>
  <c r="S3643" i="5" s="1"/>
  <c r="U3613" i="5"/>
  <c r="V3613" i="5" s="1"/>
  <c r="P3667" i="5"/>
  <c r="N3667" i="5"/>
  <c r="P3640" i="5"/>
  <c r="N3640" i="5"/>
  <c r="R3608" i="5"/>
  <c r="S3608" i="5" s="1"/>
  <c r="P3572" i="5"/>
  <c r="N3572" i="5"/>
  <c r="P3543" i="5"/>
  <c r="N3543" i="5"/>
  <c r="O3612" i="5"/>
  <c r="U3589" i="5"/>
  <c r="V3589" i="5" s="1"/>
  <c r="O3589" i="5"/>
  <c r="L3560" i="5"/>
  <c r="N3590" i="5"/>
  <c r="P3590" i="5"/>
  <c r="P3537" i="5"/>
  <c r="N3537" i="5"/>
  <c r="U3632" i="5"/>
  <c r="V3632" i="5" s="1"/>
  <c r="O3632" i="5"/>
  <c r="R3537" i="5"/>
  <c r="S3537" i="5" s="1"/>
  <c r="P3479" i="5"/>
  <c r="N3479" i="5"/>
  <c r="N3541" i="5"/>
  <c r="P3541" i="5"/>
  <c r="P3511" i="5"/>
  <c r="N3511" i="5"/>
  <c r="P3436" i="5"/>
  <c r="N3436" i="5"/>
  <c r="P3412" i="5"/>
  <c r="N3412" i="5"/>
  <c r="P3394" i="5"/>
  <c r="N3394" i="5"/>
  <c r="L3529" i="5"/>
  <c r="O3409" i="5"/>
  <c r="U3474" i="5"/>
  <c r="V3474" i="5" s="1"/>
  <c r="O3474" i="5"/>
  <c r="P3380" i="5"/>
  <c r="N3380" i="5"/>
  <c r="P3347" i="5"/>
  <c r="N3347" i="5"/>
  <c r="U3577" i="5"/>
  <c r="V3577" i="5" s="1"/>
  <c r="O3577" i="5"/>
  <c r="P3441" i="5"/>
  <c r="N3441" i="5"/>
  <c r="N3351" i="5"/>
  <c r="P3351" i="5"/>
  <c r="P3426" i="5"/>
  <c r="N3426" i="5"/>
  <c r="P3397" i="5"/>
  <c r="N3397" i="5"/>
  <c r="N3321" i="5"/>
  <c r="P3321" i="5"/>
  <c r="N3357" i="5"/>
  <c r="P3357" i="5"/>
  <c r="U3384" i="5"/>
  <c r="V3384" i="5" s="1"/>
  <c r="O3384" i="5"/>
  <c r="P3498" i="5"/>
  <c r="N3498" i="5"/>
  <c r="P3366" i="5"/>
  <c r="N3366" i="5"/>
  <c r="U3789" i="5" l="1"/>
  <c r="V3789" i="5" s="1"/>
  <c r="O4124" i="5"/>
  <c r="U4204" i="5"/>
  <c r="V4204" i="5" s="1"/>
  <c r="O3715" i="5"/>
  <c r="O4107" i="5"/>
  <c r="O3954" i="5"/>
  <c r="O3802" i="5"/>
  <c r="O3722" i="5"/>
  <c r="U3729" i="5"/>
  <c r="V3729" i="5" s="1"/>
  <c r="O4026" i="5"/>
  <c r="O4079" i="5"/>
  <c r="O4135" i="5"/>
  <c r="O3999" i="5"/>
  <c r="O3809" i="5"/>
  <c r="O3903" i="5"/>
  <c r="U4035" i="5"/>
  <c r="V4035" i="5" s="1"/>
  <c r="U3654" i="5"/>
  <c r="V3654" i="5" s="1"/>
  <c r="O4009" i="5"/>
  <c r="O3769" i="5"/>
  <c r="O4083" i="5"/>
  <c r="O4105" i="5"/>
  <c r="O3929" i="5"/>
  <c r="U4152" i="5"/>
  <c r="V4152" i="5" s="1"/>
  <c r="O4001" i="5"/>
  <c r="O3933" i="5"/>
  <c r="U3906" i="5"/>
  <c r="V3906" i="5" s="1"/>
  <c r="O3871" i="5"/>
  <c r="O3766" i="5"/>
  <c r="O3986" i="5"/>
  <c r="O4216" i="5"/>
  <c r="O3718" i="5"/>
  <c r="U3838" i="5"/>
  <c r="V3838" i="5" s="1"/>
  <c r="O3951" i="5"/>
  <c r="O3884" i="5"/>
  <c r="O3706" i="5"/>
  <c r="O3892" i="5"/>
  <c r="U3945" i="5"/>
  <c r="V3945" i="5" s="1"/>
  <c r="O4057" i="5"/>
  <c r="U3795" i="5"/>
  <c r="V3795" i="5" s="1"/>
  <c r="O4054" i="5"/>
  <c r="O3763" i="5"/>
  <c r="U3367" i="5"/>
  <c r="V3367" i="5" s="1"/>
  <c r="O3987" i="5"/>
  <c r="O3738" i="5"/>
  <c r="O3948" i="5"/>
  <c r="U3852" i="5"/>
  <c r="V3852" i="5" s="1"/>
  <c r="O3703" i="5"/>
  <c r="O3976" i="5"/>
  <c r="O4046" i="5"/>
  <c r="O3844" i="5"/>
  <c r="O3732" i="5"/>
  <c r="U3826" i="5"/>
  <c r="V3826" i="5" s="1"/>
  <c r="U3735" i="5"/>
  <c r="V3735" i="5" s="1"/>
  <c r="O4174" i="5"/>
  <c r="U3963" i="5"/>
  <c r="V3963" i="5" s="1"/>
  <c r="U3895" i="5"/>
  <c r="V3895" i="5" s="1"/>
  <c r="U3836" i="5"/>
  <c r="V3836" i="5" s="1"/>
  <c r="O3973" i="5"/>
  <c r="O3696" i="5"/>
  <c r="U3753" i="5"/>
  <c r="V3753" i="5" s="1"/>
  <c r="U3978" i="5"/>
  <c r="V3978" i="5" s="1"/>
  <c r="O3700" i="5"/>
  <c r="U3799" i="5"/>
  <c r="V3799" i="5" s="1"/>
  <c r="O3747" i="5"/>
  <c r="U4112" i="5"/>
  <c r="V4112" i="5" s="1"/>
  <c r="O3858" i="5"/>
  <c r="U4089" i="5"/>
  <c r="V4089" i="5" s="1"/>
  <c r="O4025" i="5"/>
  <c r="O3750" i="5"/>
  <c r="O3777" i="5"/>
  <c r="O4038" i="5"/>
  <c r="O3770" i="5"/>
  <c r="U3939" i="5"/>
  <c r="V3939" i="5" s="1"/>
  <c r="O3830" i="5"/>
  <c r="U3851" i="5"/>
  <c r="V3851" i="5" s="1"/>
  <c r="U4207" i="5"/>
  <c r="V4207" i="5" s="1"/>
  <c r="O3697" i="5"/>
  <c r="U4190" i="5"/>
  <c r="V4190" i="5" s="1"/>
  <c r="U4191" i="5"/>
  <c r="V4191" i="5" s="1"/>
  <c r="U4145" i="5"/>
  <c r="V4145" i="5" s="1"/>
  <c r="O4100" i="5"/>
  <c r="U3957" i="5"/>
  <c r="V3957" i="5" s="1"/>
  <c r="U4170" i="5"/>
  <c r="V4170" i="5" s="1"/>
  <c r="O4090" i="5"/>
  <c r="U3874" i="5"/>
  <c r="V3874" i="5" s="1"/>
  <c r="U3971" i="5"/>
  <c r="V3971" i="5" s="1"/>
  <c r="U3930" i="5"/>
  <c r="V3930" i="5" s="1"/>
  <c r="U3781" i="5"/>
  <c r="V3781" i="5" s="1"/>
  <c r="O4047" i="5"/>
  <c r="U4101" i="5"/>
  <c r="V4101" i="5" s="1"/>
  <c r="O4030" i="5"/>
  <c r="O3783" i="5"/>
  <c r="U4218" i="5"/>
  <c r="V4218" i="5" s="1"/>
  <c r="U3887" i="5"/>
  <c r="V3887" i="5" s="1"/>
  <c r="U3807" i="5"/>
  <c r="V3807" i="5" s="1"/>
  <c r="U3936" i="5"/>
  <c r="V3936" i="5" s="1"/>
  <c r="O3524" i="5"/>
  <c r="O3832" i="5"/>
  <c r="U4007" i="5"/>
  <c r="V4007" i="5" s="1"/>
  <c r="U4212" i="5"/>
  <c r="V4212" i="5" s="1"/>
  <c r="O3866" i="5"/>
  <c r="O4103" i="5"/>
  <c r="U4103" i="5"/>
  <c r="V4103" i="5" s="1"/>
  <c r="O3949" i="5"/>
  <c r="U3949" i="5"/>
  <c r="V3949" i="5" s="1"/>
  <c r="U3744" i="5"/>
  <c r="V3744" i="5" s="1"/>
  <c r="O3919" i="5"/>
  <c r="U3919" i="5"/>
  <c r="V3919" i="5" s="1"/>
  <c r="U3813" i="5"/>
  <c r="V3813" i="5" s="1"/>
  <c r="U3842" i="5"/>
  <c r="V3842" i="5" s="1"/>
  <c r="U4180" i="5"/>
  <c r="V4180" i="5" s="1"/>
  <c r="U4030" i="5"/>
  <c r="V4030" i="5" s="1"/>
  <c r="U4067" i="5"/>
  <c r="V4067" i="5" s="1"/>
  <c r="U3805" i="5"/>
  <c r="V3805" i="5" s="1"/>
  <c r="O3805" i="5"/>
  <c r="U3960" i="5"/>
  <c r="V3960" i="5" s="1"/>
  <c r="O4066" i="5"/>
  <c r="U3726" i="5"/>
  <c r="V3726" i="5" s="1"/>
  <c r="U4095" i="5"/>
  <c r="V4095" i="5" s="1"/>
  <c r="U3866" i="5"/>
  <c r="V3866" i="5" s="1"/>
  <c r="U3815" i="5"/>
  <c r="V3815" i="5" s="1"/>
  <c r="U3832" i="5"/>
  <c r="V3832" i="5" s="1"/>
  <c r="U3824" i="5"/>
  <c r="V3824" i="5" s="1"/>
  <c r="U4130" i="5"/>
  <c r="V4130" i="5" s="1"/>
  <c r="U3793" i="5"/>
  <c r="V3793" i="5" s="1"/>
  <c r="U4172" i="5"/>
  <c r="V4172" i="5" s="1"/>
  <c r="U3853" i="5"/>
  <c r="V3853" i="5" s="1"/>
  <c r="O3853" i="5"/>
  <c r="U4222" i="5"/>
  <c r="V4222" i="5" s="1"/>
  <c r="U4221" i="5"/>
  <c r="V4221" i="5" s="1"/>
  <c r="O4180" i="5"/>
  <c r="O4172" i="5"/>
  <c r="U4136" i="5"/>
  <c r="V4136" i="5" s="1"/>
  <c r="O4130" i="5"/>
  <c r="U4100" i="5"/>
  <c r="V4100" i="5" s="1"/>
  <c r="U4090" i="5"/>
  <c r="V4090" i="5" s="1"/>
  <c r="U4066" i="5"/>
  <c r="V4066" i="5" s="1"/>
  <c r="O4067" i="5"/>
  <c r="U4047" i="5"/>
  <c r="V4047" i="5" s="1"/>
  <c r="O3971" i="5"/>
  <c r="U3968" i="5"/>
  <c r="V3968" i="5" s="1"/>
  <c r="U3924" i="5"/>
  <c r="V3924" i="5" s="1"/>
  <c r="U3918" i="5"/>
  <c r="V3918" i="5" s="1"/>
  <c r="U3900" i="5"/>
  <c r="V3900" i="5" s="1"/>
  <c r="U3876" i="5"/>
  <c r="V3876" i="5" s="1"/>
  <c r="O3842" i="5"/>
  <c r="U3830" i="5"/>
  <c r="V3830" i="5" s="1"/>
  <c r="O3824" i="5"/>
  <c r="O3815" i="5"/>
  <c r="O3813" i="5"/>
  <c r="O3807" i="5"/>
  <c r="O3793" i="5"/>
  <c r="U3783" i="5"/>
  <c r="V3783" i="5" s="1"/>
  <c r="U3777" i="5"/>
  <c r="V3777" i="5" s="1"/>
  <c r="O4136" i="5"/>
  <c r="O4212" i="5"/>
  <c r="U3697" i="5"/>
  <c r="V3697" i="5" s="1"/>
  <c r="O3957" i="5"/>
  <c r="O4207" i="5"/>
  <c r="O3930" i="5"/>
  <c r="O4007" i="5"/>
  <c r="O3874" i="5"/>
  <c r="O3900" i="5"/>
  <c r="O3876" i="5"/>
  <c r="O4191" i="5"/>
  <c r="O3918" i="5"/>
  <c r="O4222" i="5"/>
  <c r="O3836" i="5"/>
  <c r="O4170" i="5"/>
  <c r="O4145" i="5"/>
  <c r="O4221" i="5"/>
  <c r="O3799" i="5"/>
  <c r="O4190" i="5"/>
  <c r="O3887" i="5"/>
  <c r="O3924" i="5"/>
  <c r="O3781" i="5"/>
  <c r="O3968" i="5"/>
  <c r="O3936" i="5"/>
  <c r="O4101" i="5"/>
  <c r="O3744" i="5"/>
  <c r="O3726" i="5"/>
  <c r="O4095" i="5"/>
  <c r="O3960" i="5"/>
  <c r="P3401" i="5"/>
  <c r="O3401" i="5" s="1"/>
  <c r="O3449" i="5"/>
  <c r="O3481" i="5"/>
  <c r="U3556" i="5"/>
  <c r="V3556" i="5" s="1"/>
  <c r="U3449" i="5"/>
  <c r="V3449" i="5" s="1"/>
  <c r="P3387" i="5"/>
  <c r="O3387" i="5" s="1"/>
  <c r="U3600" i="5"/>
  <c r="V3600" i="5" s="1"/>
  <c r="U3593" i="5"/>
  <c r="V3593" i="5" s="1"/>
  <c r="N3370" i="5"/>
  <c r="O3370" i="5" s="1"/>
  <c r="U3686" i="5"/>
  <c r="V3686" i="5" s="1"/>
  <c r="O3527" i="5"/>
  <c r="P3617" i="5"/>
  <c r="O3617" i="5" s="1"/>
  <c r="O3556" i="5"/>
  <c r="N3465" i="5"/>
  <c r="O3465" i="5" s="1"/>
  <c r="O3686" i="5"/>
  <c r="P3389" i="5"/>
  <c r="O3389" i="5" s="1"/>
  <c r="U3437" i="5"/>
  <c r="V3437" i="5" s="1"/>
  <c r="P3433" i="5"/>
  <c r="U3433" i="5" s="1"/>
  <c r="V3433" i="5" s="1"/>
  <c r="O3486" i="5"/>
  <c r="U3533" i="5"/>
  <c r="V3533" i="5" s="1"/>
  <c r="P3354" i="5"/>
  <c r="O3354" i="5" s="1"/>
  <c r="O3467" i="5"/>
  <c r="O3594" i="5"/>
  <c r="P3690" i="5"/>
  <c r="U3690" i="5" s="1"/>
  <c r="V3690" i="5" s="1"/>
  <c r="N3569" i="5"/>
  <c r="O3569" i="5" s="1"/>
  <c r="P3553" i="5"/>
  <c r="O3553" i="5" s="1"/>
  <c r="O3504" i="5"/>
  <c r="U3619" i="5"/>
  <c r="V3619" i="5" s="1"/>
  <c r="P3470" i="5"/>
  <c r="O3470" i="5" s="1"/>
  <c r="U3539" i="5"/>
  <c r="V3539" i="5" s="1"/>
  <c r="P3480" i="5"/>
  <c r="O3480" i="5" s="1"/>
  <c r="O3396" i="5"/>
  <c r="O3361" i="5"/>
  <c r="U3644" i="5"/>
  <c r="V3644" i="5" s="1"/>
  <c r="P3381" i="5"/>
  <c r="O3381" i="5" s="1"/>
  <c r="O3492" i="5"/>
  <c r="U3691" i="5"/>
  <c r="V3691" i="5" s="1"/>
  <c r="N3685" i="5"/>
  <c r="U3685" i="5" s="1"/>
  <c r="V3685" i="5" s="1"/>
  <c r="P3490" i="5"/>
  <c r="U3490" i="5" s="1"/>
  <c r="V3490" i="5" s="1"/>
  <c r="P3484" i="5"/>
  <c r="O3484" i="5" s="1"/>
  <c r="O3654" i="5"/>
  <c r="N3445" i="5"/>
  <c r="U3445" i="5" s="1"/>
  <c r="V3445" i="5" s="1"/>
  <c r="O3680" i="5"/>
  <c r="O3368" i="5"/>
  <c r="N3624" i="5"/>
  <c r="O3624" i="5" s="1"/>
  <c r="N3672" i="5"/>
  <c r="O3672" i="5" s="1"/>
  <c r="U3341" i="5"/>
  <c r="V3341" i="5" s="1"/>
  <c r="U3678" i="5"/>
  <c r="V3678" i="5" s="1"/>
  <c r="O3599" i="5"/>
  <c r="N3692" i="5"/>
  <c r="O3692" i="5" s="1"/>
  <c r="N3610" i="5"/>
  <c r="O3610" i="5" s="1"/>
  <c r="P3662" i="5"/>
  <c r="U3662" i="5" s="1"/>
  <c r="V3662" i="5" s="1"/>
  <c r="P3459" i="5"/>
  <c r="O3459" i="5" s="1"/>
  <c r="U3528" i="5"/>
  <c r="V3528" i="5" s="1"/>
  <c r="O3580" i="5"/>
  <c r="U3350" i="5"/>
  <c r="V3350" i="5" s="1"/>
  <c r="U3568" i="5"/>
  <c r="V3568" i="5" s="1"/>
  <c r="O3415" i="5"/>
  <c r="O3341" i="5"/>
  <c r="O3642" i="5"/>
  <c r="P3383" i="5"/>
  <c r="O3383" i="5" s="1"/>
  <c r="N3531" i="5"/>
  <c r="O3531" i="5" s="1"/>
  <c r="N3623" i="5"/>
  <c r="O3623" i="5" s="1"/>
  <c r="U3516" i="5"/>
  <c r="V3516" i="5" s="1"/>
  <c r="P3576" i="5"/>
  <c r="U3576" i="5" s="1"/>
  <c r="V3576" i="5" s="1"/>
  <c r="N3405" i="5"/>
  <c r="U3405" i="5" s="1"/>
  <c r="V3405" i="5" s="1"/>
  <c r="U3625" i="5"/>
  <c r="V3625" i="5" s="1"/>
  <c r="N3471" i="5"/>
  <c r="O3471" i="5" s="1"/>
  <c r="N3514" i="5"/>
  <c r="O3514" i="5" s="1"/>
  <c r="P3663" i="5"/>
  <c r="U3663" i="5" s="1"/>
  <c r="V3663" i="5" s="1"/>
  <c r="N3447" i="5"/>
  <c r="O3447" i="5" s="1"/>
  <c r="U3688" i="5"/>
  <c r="V3688" i="5" s="1"/>
  <c r="O3450" i="5"/>
  <c r="P3596" i="5"/>
  <c r="U3596" i="5" s="1"/>
  <c r="V3596" i="5" s="1"/>
  <c r="N3671" i="5"/>
  <c r="U3671" i="5" s="1"/>
  <c r="V3671" i="5" s="1"/>
  <c r="N3695" i="5"/>
  <c r="U3695" i="5" s="1"/>
  <c r="V3695" i="5" s="1"/>
  <c r="O3533" i="5"/>
  <c r="U3482" i="5"/>
  <c r="V3482" i="5" s="1"/>
  <c r="O3431" i="5"/>
  <c r="P3585" i="5"/>
  <c r="O3585" i="5" s="1"/>
  <c r="U3540" i="5"/>
  <c r="V3540" i="5" s="1"/>
  <c r="O3619" i="5"/>
  <c r="U3391" i="5"/>
  <c r="V3391" i="5" s="1"/>
  <c r="O3332" i="5"/>
  <c r="N3352" i="5"/>
  <c r="U3352" i="5" s="1"/>
  <c r="V3352" i="5" s="1"/>
  <c r="U3420" i="5"/>
  <c r="V3420" i="5" s="1"/>
  <c r="O3625" i="5"/>
  <c r="O3331" i="5"/>
  <c r="P3639" i="5"/>
  <c r="U3639" i="5" s="1"/>
  <c r="V3639" i="5" s="1"/>
  <c r="N3554" i="5"/>
  <c r="U3554" i="5" s="1"/>
  <c r="V3554" i="5" s="1"/>
  <c r="N3510" i="5"/>
  <c r="O3510" i="5" s="1"/>
  <c r="N3552" i="5"/>
  <c r="O3552" i="5" s="1"/>
  <c r="P3327" i="5"/>
  <c r="U3327" i="5" s="1"/>
  <c r="V3327" i="5" s="1"/>
  <c r="O3600" i="5"/>
  <c r="O3482" i="5"/>
  <c r="P3633" i="5"/>
  <c r="O3633" i="5" s="1"/>
  <c r="O3691" i="5"/>
  <c r="N3676" i="5"/>
  <c r="U3676" i="5" s="1"/>
  <c r="V3676" i="5" s="1"/>
  <c r="O3609" i="5"/>
  <c r="O3562" i="5"/>
  <c r="O3534" i="5"/>
  <c r="O3420" i="5"/>
  <c r="N3566" i="5"/>
  <c r="O3566" i="5" s="1"/>
  <c r="N3342" i="5"/>
  <c r="N3406" i="5"/>
  <c r="O3406" i="5" s="1"/>
  <c r="U3473" i="5"/>
  <c r="V3473" i="5" s="1"/>
  <c r="N3509" i="5"/>
  <c r="O3509" i="5" s="1"/>
  <c r="U3609" i="5"/>
  <c r="V3609" i="5" s="1"/>
  <c r="N3403" i="5"/>
  <c r="N3544" i="5"/>
  <c r="O3461" i="5"/>
  <c r="U3562" i="5"/>
  <c r="V3562" i="5" s="1"/>
  <c r="U3534" i="5"/>
  <c r="V3534" i="5" s="1"/>
  <c r="O3646" i="5"/>
  <c r="U3646" i="5"/>
  <c r="V3646" i="5" s="1"/>
  <c r="N3607" i="5"/>
  <c r="P3607" i="5"/>
  <c r="U3415" i="5"/>
  <c r="V3415" i="5" s="1"/>
  <c r="O3460" i="5"/>
  <c r="U3460" i="5"/>
  <c r="V3460" i="5" s="1"/>
  <c r="O3318" i="5"/>
  <c r="U3318" i="5"/>
  <c r="V3318" i="5" s="1"/>
  <c r="N3666" i="5"/>
  <c r="P3666" i="5"/>
  <c r="P3622" i="5"/>
  <c r="U3622" i="5" s="1"/>
  <c r="V3622" i="5" s="1"/>
  <c r="N3694" i="5"/>
  <c r="P3694" i="5"/>
  <c r="P3682" i="5"/>
  <c r="U3682" i="5" s="1"/>
  <c r="V3682" i="5" s="1"/>
  <c r="O3586" i="5"/>
  <c r="U3586" i="5"/>
  <c r="V3586" i="5" s="1"/>
  <c r="O3540" i="5"/>
  <c r="N3526" i="5"/>
  <c r="O3526" i="5" s="1"/>
  <c r="P3464" i="5"/>
  <c r="U3464" i="5" s="1"/>
  <c r="V3464" i="5" s="1"/>
  <c r="P3429" i="5"/>
  <c r="N3429" i="5"/>
  <c r="P3408" i="5"/>
  <c r="N3408" i="5"/>
  <c r="N3349" i="5"/>
  <c r="P3349" i="5"/>
  <c r="P3337" i="5"/>
  <c r="N3337" i="5"/>
  <c r="P3333" i="5"/>
  <c r="U3333" i="5" s="1"/>
  <c r="V3333" i="5" s="1"/>
  <c r="P3319" i="5"/>
  <c r="N3319" i="5"/>
  <c r="N3652" i="5"/>
  <c r="O3652" i="5" s="1"/>
  <c r="N3343" i="5"/>
  <c r="P3343" i="5"/>
  <c r="P3588" i="5"/>
  <c r="N3588" i="5"/>
  <c r="P3438" i="5"/>
  <c r="N3438" i="5"/>
  <c r="O3448" i="5"/>
  <c r="U3448" i="5"/>
  <c r="V3448" i="5" s="1"/>
  <c r="P3653" i="5"/>
  <c r="N3653" i="5"/>
  <c r="U3419" i="5"/>
  <c r="V3419" i="5" s="1"/>
  <c r="O3419" i="5"/>
  <c r="N3496" i="5"/>
  <c r="O3496" i="5" s="1"/>
  <c r="P3668" i="5"/>
  <c r="O3668" i="5" s="1"/>
  <c r="N3548" i="5"/>
  <c r="U3548" i="5" s="1"/>
  <c r="V3548" i="5" s="1"/>
  <c r="P3468" i="5"/>
  <c r="N3468" i="5"/>
  <c r="P3421" i="5"/>
  <c r="N3421" i="5"/>
  <c r="O3455" i="5"/>
  <c r="U3455" i="5"/>
  <c r="V3455" i="5" s="1"/>
  <c r="O3324" i="5"/>
  <c r="U3324" i="5"/>
  <c r="V3324" i="5" s="1"/>
  <c r="U3680" i="5"/>
  <c r="V3680" i="5" s="1"/>
  <c r="P3371" i="5"/>
  <c r="U3371" i="5" s="1"/>
  <c r="V3371" i="5" s="1"/>
  <c r="P3379" i="5"/>
  <c r="N3379" i="5"/>
  <c r="P3390" i="5"/>
  <c r="N3390" i="5"/>
  <c r="P3325" i="5"/>
  <c r="N3325" i="5"/>
  <c r="P3454" i="5"/>
  <c r="N3454" i="5"/>
  <c r="O3378" i="5"/>
  <c r="U3378" i="5"/>
  <c r="V3378" i="5" s="1"/>
  <c r="U3658" i="5"/>
  <c r="V3658" i="5" s="1"/>
  <c r="O3658" i="5"/>
  <c r="O3424" i="5"/>
  <c r="U3424" i="5"/>
  <c r="V3424" i="5" s="1"/>
  <c r="U3323" i="5"/>
  <c r="V3323" i="5" s="1"/>
  <c r="O3323" i="5"/>
  <c r="O3466" i="5"/>
  <c r="U3466" i="5"/>
  <c r="V3466" i="5" s="1"/>
  <c r="O3397" i="5"/>
  <c r="U3397" i="5"/>
  <c r="V3397" i="5" s="1"/>
  <c r="O3347" i="5"/>
  <c r="U3347" i="5"/>
  <c r="V3347" i="5" s="1"/>
  <c r="O3394" i="5"/>
  <c r="U3394" i="5"/>
  <c r="V3394" i="5" s="1"/>
  <c r="O3436" i="5"/>
  <c r="U3436" i="5"/>
  <c r="V3436" i="5" s="1"/>
  <c r="O3479" i="5"/>
  <c r="U3479" i="5"/>
  <c r="V3479" i="5" s="1"/>
  <c r="O3537" i="5"/>
  <c r="U3537" i="5"/>
  <c r="V3537" i="5" s="1"/>
  <c r="O3636" i="5"/>
  <c r="U3636" i="5"/>
  <c r="V3636" i="5" s="1"/>
  <c r="U3683" i="5"/>
  <c r="V3683" i="5" s="1"/>
  <c r="O3683" i="5"/>
  <c r="O3360" i="5"/>
  <c r="U3360" i="5"/>
  <c r="V3360" i="5" s="1"/>
  <c r="N3463" i="5"/>
  <c r="P3463" i="5"/>
  <c r="U3404" i="5"/>
  <c r="V3404" i="5" s="1"/>
  <c r="O3404" i="5"/>
  <c r="U3519" i="5"/>
  <c r="V3519" i="5" s="1"/>
  <c r="O3519" i="5"/>
  <c r="U3655" i="5"/>
  <c r="V3655" i="5" s="1"/>
  <c r="O3655" i="5"/>
  <c r="O3410" i="5"/>
  <c r="U3410" i="5"/>
  <c r="V3410" i="5" s="1"/>
  <c r="U3375" i="5"/>
  <c r="V3375" i="5" s="1"/>
  <c r="O3375" i="5"/>
  <c r="O3555" i="5"/>
  <c r="U3555" i="5"/>
  <c r="V3555" i="5" s="1"/>
  <c r="N3627" i="5"/>
  <c r="P3627" i="5"/>
  <c r="U3675" i="5"/>
  <c r="V3675" i="5" s="1"/>
  <c r="O3675" i="5"/>
  <c r="U3462" i="5"/>
  <c r="V3462" i="5" s="1"/>
  <c r="O3462" i="5"/>
  <c r="N3440" i="5"/>
  <c r="P3440" i="5"/>
  <c r="U3525" i="5"/>
  <c r="V3525" i="5" s="1"/>
  <c r="O3525" i="5"/>
  <c r="O3620" i="5"/>
  <c r="U3620" i="5"/>
  <c r="V3620" i="5" s="1"/>
  <c r="N3615" i="5"/>
  <c r="P3615" i="5"/>
  <c r="O3416" i="5"/>
  <c r="U3416" i="5"/>
  <c r="V3416" i="5" s="1"/>
  <c r="O3606" i="5"/>
  <c r="U3606" i="5"/>
  <c r="V3606" i="5" s="1"/>
  <c r="O3664" i="5"/>
  <c r="U3664" i="5"/>
  <c r="V3664" i="5" s="1"/>
  <c r="O3578" i="5"/>
  <c r="U3578" i="5"/>
  <c r="V3578" i="5" s="1"/>
  <c r="U3687" i="5"/>
  <c r="V3687" i="5" s="1"/>
  <c r="O3687" i="5"/>
  <c r="O3508" i="5"/>
  <c r="U3508" i="5"/>
  <c r="V3508" i="5" s="1"/>
  <c r="O3441" i="5"/>
  <c r="U3441" i="5"/>
  <c r="V3441" i="5" s="1"/>
  <c r="O3541" i="5"/>
  <c r="U3541" i="5"/>
  <c r="V3541" i="5" s="1"/>
  <c r="U3563" i="5"/>
  <c r="V3563" i="5" s="1"/>
  <c r="O3563" i="5"/>
  <c r="O3595" i="5"/>
  <c r="U3595" i="5"/>
  <c r="V3595" i="5" s="1"/>
  <c r="U3444" i="5"/>
  <c r="V3444" i="5" s="1"/>
  <c r="O3444" i="5"/>
  <c r="U3457" i="5"/>
  <c r="V3457" i="5" s="1"/>
  <c r="O3457" i="5"/>
  <c r="O3689" i="5"/>
  <c r="U3689" i="5"/>
  <c r="V3689" i="5" s="1"/>
  <c r="O3478" i="5"/>
  <c r="U3478" i="5"/>
  <c r="V3478" i="5" s="1"/>
  <c r="U3418" i="5"/>
  <c r="V3418" i="5" s="1"/>
  <c r="O3418" i="5"/>
  <c r="O3550" i="5"/>
  <c r="U3550" i="5"/>
  <c r="V3550" i="5" s="1"/>
  <c r="N3547" i="5"/>
  <c r="P3547" i="5"/>
  <c r="O3631" i="5"/>
  <c r="U3631" i="5"/>
  <c r="V3631" i="5" s="1"/>
  <c r="U3339" i="5"/>
  <c r="V3339" i="5" s="1"/>
  <c r="O3339" i="5"/>
  <c r="U3393" i="5"/>
  <c r="V3393" i="5" s="1"/>
  <c r="O3393" i="5"/>
  <c r="N3417" i="5"/>
  <c r="P3417" i="5"/>
  <c r="O3330" i="5"/>
  <c r="U3330" i="5"/>
  <c r="V3330" i="5" s="1"/>
  <c r="U3422" i="5"/>
  <c r="V3422" i="5" s="1"/>
  <c r="O3422" i="5"/>
  <c r="O3485" i="5"/>
  <c r="U3485" i="5"/>
  <c r="V3485" i="5" s="1"/>
  <c r="N3518" i="5"/>
  <c r="P3518" i="5"/>
  <c r="O3626" i="5"/>
  <c r="U3626" i="5"/>
  <c r="V3626" i="5" s="1"/>
  <c r="O3661" i="5"/>
  <c r="U3661" i="5"/>
  <c r="V3661" i="5" s="1"/>
  <c r="U3557" i="5"/>
  <c r="V3557" i="5" s="1"/>
  <c r="O3557" i="5"/>
  <c r="U3513" i="5"/>
  <c r="V3513" i="5" s="1"/>
  <c r="O3513" i="5"/>
  <c r="U3399" i="5"/>
  <c r="V3399" i="5" s="1"/>
  <c r="O3399" i="5"/>
  <c r="U3476" i="5"/>
  <c r="V3476" i="5" s="1"/>
  <c r="O3476" i="5"/>
  <c r="O3649" i="5"/>
  <c r="U3649" i="5"/>
  <c r="V3649" i="5" s="1"/>
  <c r="O3452" i="5"/>
  <c r="U3452" i="5"/>
  <c r="V3452" i="5" s="1"/>
  <c r="O3386" i="5"/>
  <c r="U3386" i="5"/>
  <c r="V3386" i="5" s="1"/>
  <c r="U3674" i="5"/>
  <c r="V3674" i="5" s="1"/>
  <c r="O3674" i="5"/>
  <c r="O3434" i="5"/>
  <c r="U3434" i="5"/>
  <c r="V3434" i="5" s="1"/>
  <c r="O3334" i="5"/>
  <c r="U3334" i="5"/>
  <c r="V3334" i="5" s="1"/>
  <c r="U3411" i="5"/>
  <c r="V3411" i="5" s="1"/>
  <c r="O3411" i="5"/>
  <c r="O3366" i="5"/>
  <c r="U3366" i="5"/>
  <c r="V3366" i="5" s="1"/>
  <c r="U3426" i="5"/>
  <c r="V3426" i="5" s="1"/>
  <c r="O3426" i="5"/>
  <c r="O3380" i="5"/>
  <c r="U3380" i="5"/>
  <c r="V3380" i="5" s="1"/>
  <c r="N3529" i="5"/>
  <c r="P3529" i="5"/>
  <c r="O3412" i="5"/>
  <c r="U3412" i="5"/>
  <c r="V3412" i="5" s="1"/>
  <c r="O3511" i="5"/>
  <c r="U3511" i="5"/>
  <c r="V3511" i="5" s="1"/>
  <c r="O3543" i="5"/>
  <c r="U3543" i="5"/>
  <c r="V3543" i="5" s="1"/>
  <c r="U3326" i="5"/>
  <c r="V3326" i="5" s="1"/>
  <c r="O3326" i="5"/>
  <c r="O3442" i="5"/>
  <c r="U3442" i="5"/>
  <c r="V3442" i="5" s="1"/>
  <c r="O3581" i="5"/>
  <c r="U3581" i="5"/>
  <c r="V3581" i="5" s="1"/>
  <c r="O3641" i="5"/>
  <c r="U3641" i="5"/>
  <c r="V3641" i="5" s="1"/>
  <c r="O3329" i="5"/>
  <c r="U3329" i="5"/>
  <c r="V3329" i="5" s="1"/>
  <c r="U3570" i="5"/>
  <c r="V3570" i="5" s="1"/>
  <c r="O3570" i="5"/>
  <c r="U3475" i="5"/>
  <c r="V3475" i="5" s="1"/>
  <c r="O3475" i="5"/>
  <c r="O3495" i="5"/>
  <c r="U3495" i="5"/>
  <c r="V3495" i="5" s="1"/>
  <c r="O3601" i="5"/>
  <c r="U3601" i="5"/>
  <c r="V3601" i="5" s="1"/>
  <c r="O3493" i="5"/>
  <c r="U3493" i="5"/>
  <c r="V3493" i="5" s="1"/>
  <c r="O3635" i="5"/>
  <c r="U3635" i="5"/>
  <c r="V3635" i="5" s="1"/>
  <c r="O3538" i="5"/>
  <c r="U3538" i="5"/>
  <c r="V3538" i="5" s="1"/>
  <c r="O3630" i="5"/>
  <c r="U3630" i="5"/>
  <c r="V3630" i="5" s="1"/>
  <c r="O3348" i="5"/>
  <c r="U3348" i="5"/>
  <c r="V3348" i="5" s="1"/>
  <c r="N3512" i="5"/>
  <c r="P3512" i="5"/>
  <c r="N3536" i="5"/>
  <c r="P3536" i="5"/>
  <c r="O3592" i="5"/>
  <c r="U3592" i="5"/>
  <c r="V3592" i="5" s="1"/>
  <c r="O3561" i="5"/>
  <c r="U3561" i="5"/>
  <c r="V3561" i="5" s="1"/>
  <c r="N3651" i="5"/>
  <c r="P3651" i="5"/>
  <c r="P3679" i="5"/>
  <c r="N3679" i="5"/>
  <c r="O3427" i="5"/>
  <c r="U3427" i="5"/>
  <c r="V3427" i="5" s="1"/>
  <c r="O3603" i="5"/>
  <c r="U3603" i="5"/>
  <c r="V3603" i="5" s="1"/>
  <c r="O3395" i="5"/>
  <c r="U3395" i="5"/>
  <c r="V3395" i="5" s="1"/>
  <c r="O3611" i="5"/>
  <c r="U3611" i="5"/>
  <c r="V3611" i="5" s="1"/>
  <c r="U3357" i="5"/>
  <c r="V3357" i="5" s="1"/>
  <c r="O3357" i="5"/>
  <c r="O3590" i="5"/>
  <c r="U3590" i="5"/>
  <c r="V3590" i="5" s="1"/>
  <c r="O3640" i="5"/>
  <c r="U3640" i="5"/>
  <c r="V3640" i="5" s="1"/>
  <c r="O3575" i="5"/>
  <c r="U3575" i="5"/>
  <c r="V3575" i="5" s="1"/>
  <c r="O3365" i="5"/>
  <c r="U3365" i="5"/>
  <c r="V3365" i="5" s="1"/>
  <c r="U3551" i="5"/>
  <c r="V3551" i="5" s="1"/>
  <c r="O3551" i="5"/>
  <c r="U3532" i="5"/>
  <c r="V3532" i="5" s="1"/>
  <c r="O3532" i="5"/>
  <c r="O3377" i="5"/>
  <c r="U3377" i="5"/>
  <c r="V3377" i="5" s="1"/>
  <c r="O3597" i="5"/>
  <c r="U3597" i="5"/>
  <c r="V3597" i="5" s="1"/>
  <c r="O3638" i="5"/>
  <c r="U3638" i="5"/>
  <c r="V3638" i="5" s="1"/>
  <c r="O3453" i="5"/>
  <c r="U3453" i="5"/>
  <c r="V3453" i="5" s="1"/>
  <c r="U3488" i="5"/>
  <c r="V3488" i="5" s="1"/>
  <c r="O3488" i="5"/>
  <c r="U3451" i="5"/>
  <c r="V3451" i="5" s="1"/>
  <c r="O3451" i="5"/>
  <c r="O3502" i="5"/>
  <c r="U3502" i="5"/>
  <c r="V3502" i="5" s="1"/>
  <c r="O3549" i="5"/>
  <c r="U3549" i="5"/>
  <c r="V3549" i="5" s="1"/>
  <c r="U3567" i="5"/>
  <c r="V3567" i="5" s="1"/>
  <c r="O3567" i="5"/>
  <c r="O3670" i="5"/>
  <c r="U3670" i="5"/>
  <c r="V3670" i="5" s="1"/>
  <c r="O3604" i="5"/>
  <c r="U3604" i="5"/>
  <c r="V3604" i="5" s="1"/>
  <c r="O3650" i="5"/>
  <c r="U3650" i="5"/>
  <c r="V3650" i="5" s="1"/>
  <c r="U3338" i="5"/>
  <c r="V3338" i="5" s="1"/>
  <c r="O3338" i="5"/>
  <c r="U3491" i="5"/>
  <c r="V3491" i="5" s="1"/>
  <c r="O3491" i="5"/>
  <c r="P3407" i="5"/>
  <c r="N3407" i="5"/>
  <c r="U3503" i="5"/>
  <c r="V3503" i="5" s="1"/>
  <c r="O3503" i="5"/>
  <c r="O3565" i="5"/>
  <c r="U3565" i="5"/>
  <c r="V3565" i="5" s="1"/>
  <c r="P3684" i="5"/>
  <c r="N3684" i="5"/>
  <c r="U3439" i="5"/>
  <c r="V3439" i="5" s="1"/>
  <c r="O3439" i="5"/>
  <c r="U3530" i="5"/>
  <c r="V3530" i="5" s="1"/>
  <c r="O3530" i="5"/>
  <c r="O3382" i="5"/>
  <c r="U3382" i="5"/>
  <c r="V3382" i="5" s="1"/>
  <c r="P3521" i="5"/>
  <c r="N3521" i="5"/>
  <c r="O3489" i="5"/>
  <c r="U3489" i="5"/>
  <c r="V3489" i="5" s="1"/>
  <c r="U3545" i="5"/>
  <c r="V3545" i="5" s="1"/>
  <c r="O3545" i="5"/>
  <c r="N3616" i="5"/>
  <c r="P3616" i="5"/>
  <c r="P3645" i="5"/>
  <c r="N3645" i="5"/>
  <c r="O3523" i="5"/>
  <c r="U3523" i="5"/>
  <c r="V3523" i="5" s="1"/>
  <c r="O3681" i="5"/>
  <c r="U3681" i="5"/>
  <c r="V3681" i="5" s="1"/>
  <c r="U3335" i="5"/>
  <c r="V3335" i="5" s="1"/>
  <c r="O3335" i="5"/>
  <c r="O3430" i="5"/>
  <c r="U3430" i="5"/>
  <c r="V3430" i="5" s="1"/>
  <c r="O3358" i="5"/>
  <c r="U3358" i="5"/>
  <c r="V3358" i="5" s="1"/>
  <c r="U3608" i="5"/>
  <c r="V3608" i="5" s="1"/>
  <c r="O3608" i="5"/>
  <c r="O3500" i="5"/>
  <c r="U3500" i="5"/>
  <c r="V3500" i="5" s="1"/>
  <c r="O3506" i="5"/>
  <c r="U3506" i="5"/>
  <c r="V3506" i="5" s="1"/>
  <c r="U3634" i="5"/>
  <c r="V3634" i="5" s="1"/>
  <c r="O3634" i="5"/>
  <c r="O3446" i="5"/>
  <c r="U3446" i="5"/>
  <c r="V3446" i="5" s="1"/>
  <c r="U3372" i="5"/>
  <c r="V3372" i="5" s="1"/>
  <c r="O3372" i="5"/>
  <c r="O3564" i="5"/>
  <c r="U3564" i="5"/>
  <c r="V3564" i="5" s="1"/>
  <c r="U3345" i="5"/>
  <c r="V3345" i="5" s="1"/>
  <c r="O3345" i="5"/>
  <c r="O3428" i="5"/>
  <c r="U3428" i="5"/>
  <c r="V3428" i="5" s="1"/>
  <c r="U3591" i="5"/>
  <c r="V3591" i="5" s="1"/>
  <c r="O3591" i="5"/>
  <c r="O3340" i="5"/>
  <c r="U3340" i="5"/>
  <c r="V3340" i="5" s="1"/>
  <c r="U3346" i="5"/>
  <c r="V3346" i="5" s="1"/>
  <c r="O3346" i="5"/>
  <c r="O3498" i="5"/>
  <c r="U3498" i="5"/>
  <c r="V3498" i="5" s="1"/>
  <c r="P3560" i="5"/>
  <c r="N3560" i="5"/>
  <c r="O3572" i="5"/>
  <c r="U3572" i="5"/>
  <c r="V3572" i="5" s="1"/>
  <c r="P3693" i="5"/>
  <c r="N3693" i="5"/>
  <c r="O3374" i="5"/>
  <c r="U3374" i="5"/>
  <c r="V3374" i="5" s="1"/>
  <c r="O3353" i="5"/>
  <c r="U3353" i="5"/>
  <c r="V3353" i="5" s="1"/>
  <c r="O3487" i="5"/>
  <c r="U3487" i="5"/>
  <c r="V3487" i="5" s="1"/>
  <c r="O3501" i="5"/>
  <c r="U3501" i="5"/>
  <c r="V3501" i="5" s="1"/>
  <c r="U3629" i="5"/>
  <c r="V3629" i="5" s="1"/>
  <c r="O3629" i="5"/>
  <c r="U3469" i="5"/>
  <c r="V3469" i="5" s="1"/>
  <c r="O3469" i="5"/>
  <c r="O3587" i="5"/>
  <c r="U3587" i="5"/>
  <c r="V3587" i="5" s="1"/>
  <c r="O3659" i="5"/>
  <c r="U3659" i="5"/>
  <c r="V3659" i="5" s="1"/>
  <c r="O3388" i="5"/>
  <c r="U3388" i="5"/>
  <c r="V3388" i="5" s="1"/>
  <c r="O3605" i="5"/>
  <c r="U3605" i="5"/>
  <c r="V3605" i="5" s="1"/>
  <c r="O3677" i="5"/>
  <c r="U3677" i="5"/>
  <c r="V3677" i="5" s="1"/>
  <c r="N3363" i="5"/>
  <c r="P3363" i="5"/>
  <c r="U3369" i="5"/>
  <c r="V3369" i="5" s="1"/>
  <c r="O3369" i="5"/>
  <c r="U3359" i="5"/>
  <c r="V3359" i="5" s="1"/>
  <c r="O3359" i="5"/>
  <c r="N3423" i="5"/>
  <c r="P3423" i="5"/>
  <c r="N3579" i="5"/>
  <c r="P3579" i="5"/>
  <c r="O3618" i="5"/>
  <c r="U3618" i="5"/>
  <c r="V3618" i="5" s="1"/>
  <c r="U3515" i="5"/>
  <c r="V3515" i="5" s="1"/>
  <c r="O3515" i="5"/>
  <c r="O3413" i="5"/>
  <c r="U3413" i="5"/>
  <c r="V3413" i="5" s="1"/>
  <c r="U3321" i="5"/>
  <c r="V3321" i="5" s="1"/>
  <c r="O3321" i="5"/>
  <c r="U3351" i="5"/>
  <c r="V3351" i="5" s="1"/>
  <c r="O3351" i="5"/>
  <c r="U3667" i="5"/>
  <c r="V3667" i="5" s="1"/>
  <c r="O3667" i="5"/>
  <c r="O3356" i="5"/>
  <c r="U3356" i="5"/>
  <c r="V3356" i="5" s="1"/>
  <c r="U3499" i="5"/>
  <c r="V3499" i="5" s="1"/>
  <c r="O3499" i="5"/>
  <c r="N3621" i="5"/>
  <c r="P3621" i="5"/>
  <c r="O3517" i="5"/>
  <c r="U3517" i="5"/>
  <c r="V3517" i="5" s="1"/>
  <c r="U3497" i="5"/>
  <c r="V3497" i="5" s="1"/>
  <c r="O3497" i="5"/>
  <c r="O3425" i="5"/>
  <c r="U3425" i="5"/>
  <c r="V3425" i="5" s="1"/>
  <c r="O3598" i="5"/>
  <c r="U3598" i="5"/>
  <c r="V3598" i="5" s="1"/>
  <c r="O3542" i="5"/>
  <c r="U3542" i="5"/>
  <c r="V3542" i="5" s="1"/>
  <c r="O3392" i="5"/>
  <c r="U3392" i="5"/>
  <c r="V3392" i="5" s="1"/>
  <c r="O3400" i="5"/>
  <c r="U3400" i="5"/>
  <c r="V3400" i="5" s="1"/>
  <c r="N3535" i="5"/>
  <c r="P3535" i="5"/>
  <c r="O3483" i="5"/>
  <c r="U3483" i="5"/>
  <c r="V3483" i="5" s="1"/>
  <c r="U3643" i="5"/>
  <c r="V3643" i="5" s="1"/>
  <c r="O3643" i="5"/>
  <c r="U3432" i="5"/>
  <c r="V3432" i="5" s="1"/>
  <c r="O3432" i="5"/>
  <c r="O3505" i="5"/>
  <c r="U3505" i="5"/>
  <c r="V3505" i="5" s="1"/>
  <c r="O3520" i="5"/>
  <c r="U3520" i="5"/>
  <c r="V3520" i="5" s="1"/>
  <c r="O3507" i="5"/>
  <c r="U3507" i="5"/>
  <c r="V3507" i="5" s="1"/>
  <c r="N3558" i="5"/>
  <c r="P3558" i="5"/>
  <c r="P3584" i="5"/>
  <c r="N3584" i="5"/>
  <c r="U3582" i="5"/>
  <c r="V3582" i="5" s="1"/>
  <c r="O3582" i="5"/>
  <c r="N3656" i="5"/>
  <c r="P3656" i="5"/>
  <c r="O3673" i="5"/>
  <c r="U3673" i="5"/>
  <c r="V3673" i="5" s="1"/>
  <c r="N3546" i="5"/>
  <c r="P3546" i="5"/>
  <c r="U3573" i="5"/>
  <c r="V3573" i="5" s="1"/>
  <c r="O3573" i="5"/>
  <c r="O3477" i="5"/>
  <c r="U3477" i="5"/>
  <c r="V3477" i="5" s="1"/>
  <c r="U3398" i="5"/>
  <c r="V3398" i="5" s="1"/>
  <c r="O3398" i="5"/>
  <c r="U3458" i="5"/>
  <c r="V3458" i="5" s="1"/>
  <c r="O3458" i="5"/>
  <c r="O3317" i="5"/>
  <c r="U3317" i="5"/>
  <c r="V3317" i="5" s="1"/>
  <c r="U3559" i="5"/>
  <c r="V3559" i="5" s="1"/>
  <c r="O3559" i="5"/>
  <c r="O3602" i="5"/>
  <c r="U3602" i="5"/>
  <c r="V3602" i="5" s="1"/>
  <c r="O3657" i="5"/>
  <c r="U3657" i="5"/>
  <c r="V3657" i="5" s="1"/>
  <c r="O3364" i="5"/>
  <c r="U3364" i="5"/>
  <c r="V3364" i="5" s="1"/>
  <c r="U3494" i="5"/>
  <c r="V3494" i="5" s="1"/>
  <c r="O3494" i="5"/>
  <c r="O3628" i="5"/>
  <c r="U3628" i="5"/>
  <c r="V3628" i="5" s="1"/>
  <c r="U3328" i="5"/>
  <c r="V3328" i="5" s="1"/>
  <c r="O3328" i="5"/>
  <c r="U3322" i="5"/>
  <c r="V3322" i="5" s="1"/>
  <c r="O3322" i="5"/>
  <c r="U3669" i="5"/>
  <c r="V3669" i="5" s="1"/>
  <c r="O3669" i="5"/>
  <c r="U3569" i="5" l="1"/>
  <c r="V3569" i="5" s="1"/>
  <c r="O3690" i="5"/>
  <c r="U3514" i="5"/>
  <c r="V3514" i="5" s="1"/>
  <c r="U3633" i="5"/>
  <c r="V3633" i="5" s="1"/>
  <c r="O3405" i="5"/>
  <c r="U3387" i="5"/>
  <c r="V3387" i="5" s="1"/>
  <c r="U3617" i="5"/>
  <c r="V3617" i="5" s="1"/>
  <c r="U3401" i="5"/>
  <c r="V3401" i="5" s="1"/>
  <c r="O3433" i="5"/>
  <c r="O3490" i="5"/>
  <c r="U3370" i="5"/>
  <c r="V3370" i="5" s="1"/>
  <c r="U3465" i="5"/>
  <c r="V3465" i="5" s="1"/>
  <c r="U3354" i="5"/>
  <c r="V3354" i="5" s="1"/>
  <c r="U3623" i="5"/>
  <c r="V3623" i="5" s="1"/>
  <c r="O3327" i="5"/>
  <c r="U3610" i="5"/>
  <c r="V3610" i="5" s="1"/>
  <c r="U3484" i="5"/>
  <c r="V3484" i="5" s="1"/>
  <c r="U3389" i="5"/>
  <c r="V3389" i="5" s="1"/>
  <c r="O3662" i="5"/>
  <c r="O3695" i="5"/>
  <c r="O3663" i="5"/>
  <c r="U3553" i="5"/>
  <c r="V3553" i="5" s="1"/>
  <c r="U3470" i="5"/>
  <c r="V3470" i="5" s="1"/>
  <c r="O3671" i="5"/>
  <c r="O3445" i="5"/>
  <c r="O3333" i="5"/>
  <c r="O3685" i="5"/>
  <c r="U3652" i="5"/>
  <c r="V3652" i="5" s="1"/>
  <c r="U3406" i="5"/>
  <c r="V3406" i="5" s="1"/>
  <c r="U3480" i="5"/>
  <c r="V3480" i="5" s="1"/>
  <c r="U3552" i="5"/>
  <c r="V3552" i="5" s="1"/>
  <c r="O3352" i="5"/>
  <c r="U3510" i="5"/>
  <c r="V3510" i="5" s="1"/>
  <c r="U3381" i="5"/>
  <c r="V3381" i="5" s="1"/>
  <c r="U3459" i="5"/>
  <c r="V3459" i="5" s="1"/>
  <c r="O3576" i="5"/>
  <c r="U3447" i="5"/>
  <c r="V3447" i="5" s="1"/>
  <c r="O3676" i="5"/>
  <c r="U3471" i="5"/>
  <c r="V3471" i="5" s="1"/>
  <c r="U3585" i="5"/>
  <c r="V3585" i="5" s="1"/>
  <c r="U3383" i="5"/>
  <c r="V3383" i="5" s="1"/>
  <c r="U3692" i="5"/>
  <c r="V3692" i="5" s="1"/>
  <c r="U3624" i="5"/>
  <c r="V3624" i="5" s="1"/>
  <c r="U3666" i="5"/>
  <c r="V3666" i="5" s="1"/>
  <c r="U3672" i="5"/>
  <c r="V3672" i="5" s="1"/>
  <c r="O3371" i="5"/>
  <c r="O3596" i="5"/>
  <c r="U3531" i="5"/>
  <c r="V3531" i="5" s="1"/>
  <c r="U3566" i="5"/>
  <c r="V3566" i="5" s="1"/>
  <c r="O3554" i="5"/>
  <c r="U3651" i="5"/>
  <c r="V3651" i="5" s="1"/>
  <c r="O3588" i="5"/>
  <c r="O3682" i="5"/>
  <c r="U3509" i="5"/>
  <c r="V3509" i="5" s="1"/>
  <c r="O3464" i="5"/>
  <c r="O3639" i="5"/>
  <c r="O3548" i="5"/>
  <c r="U3526" i="5"/>
  <c r="V3526" i="5" s="1"/>
  <c r="O3622" i="5"/>
  <c r="O3544" i="5"/>
  <c r="U3544" i="5"/>
  <c r="V3544" i="5" s="1"/>
  <c r="O3403" i="5"/>
  <c r="U3403" i="5"/>
  <c r="V3403" i="5" s="1"/>
  <c r="O3342" i="5"/>
  <c r="U3342" i="5"/>
  <c r="V3342" i="5" s="1"/>
  <c r="O3607" i="5"/>
  <c r="U3607" i="5"/>
  <c r="V3607" i="5" s="1"/>
  <c r="U3694" i="5"/>
  <c r="V3694" i="5" s="1"/>
  <c r="O3694" i="5"/>
  <c r="U3668" i="5"/>
  <c r="V3668" i="5" s="1"/>
  <c r="O3666" i="5"/>
  <c r="O3429" i="5"/>
  <c r="U3429" i="5"/>
  <c r="V3429" i="5" s="1"/>
  <c r="U3408" i="5"/>
  <c r="V3408" i="5" s="1"/>
  <c r="O3408" i="5"/>
  <c r="U3349" i="5"/>
  <c r="V3349" i="5" s="1"/>
  <c r="O3349" i="5"/>
  <c r="O3337" i="5"/>
  <c r="U3337" i="5"/>
  <c r="V3337" i="5" s="1"/>
  <c r="O3390" i="5"/>
  <c r="U3390" i="5"/>
  <c r="V3390" i="5" s="1"/>
  <c r="O3421" i="5"/>
  <c r="U3421" i="5"/>
  <c r="V3421" i="5" s="1"/>
  <c r="U3343" i="5"/>
  <c r="V3343" i="5" s="1"/>
  <c r="O3343" i="5"/>
  <c r="O3438" i="5"/>
  <c r="U3438" i="5"/>
  <c r="V3438" i="5" s="1"/>
  <c r="U3496" i="5"/>
  <c r="V3496" i="5" s="1"/>
  <c r="O3454" i="5"/>
  <c r="U3454" i="5"/>
  <c r="V3454" i="5" s="1"/>
  <c r="O3379" i="5"/>
  <c r="U3379" i="5"/>
  <c r="V3379" i="5" s="1"/>
  <c r="O3653" i="5"/>
  <c r="U3653" i="5"/>
  <c r="V3653" i="5" s="1"/>
  <c r="O3319" i="5"/>
  <c r="U3319" i="5"/>
  <c r="V3319" i="5" s="1"/>
  <c r="U3325" i="5"/>
  <c r="V3325" i="5" s="1"/>
  <c r="O3325" i="5"/>
  <c r="U3468" i="5"/>
  <c r="V3468" i="5" s="1"/>
  <c r="O3468" i="5"/>
  <c r="U3588" i="5"/>
  <c r="V3588" i="5" s="1"/>
  <c r="O3535" i="5"/>
  <c r="U3535" i="5"/>
  <c r="V3535" i="5" s="1"/>
  <c r="U3423" i="5"/>
  <c r="V3423" i="5" s="1"/>
  <c r="O3423" i="5"/>
  <c r="U3363" i="5"/>
  <c r="V3363" i="5" s="1"/>
  <c r="O3363" i="5"/>
  <c r="U3512" i="5"/>
  <c r="V3512" i="5" s="1"/>
  <c r="O3512" i="5"/>
  <c r="O3584" i="5"/>
  <c r="U3584" i="5"/>
  <c r="V3584" i="5" s="1"/>
  <c r="O3645" i="5"/>
  <c r="U3645" i="5"/>
  <c r="V3645" i="5" s="1"/>
  <c r="U3679" i="5"/>
  <c r="V3679" i="5" s="1"/>
  <c r="O3679" i="5"/>
  <c r="O3417" i="5"/>
  <c r="U3417" i="5"/>
  <c r="V3417" i="5" s="1"/>
  <c r="O3615" i="5"/>
  <c r="U3615" i="5"/>
  <c r="V3615" i="5" s="1"/>
  <c r="O3560" i="5"/>
  <c r="U3560" i="5"/>
  <c r="V3560" i="5" s="1"/>
  <c r="O3521" i="5"/>
  <c r="U3521" i="5"/>
  <c r="V3521" i="5" s="1"/>
  <c r="O3407" i="5"/>
  <c r="U3407" i="5"/>
  <c r="V3407" i="5" s="1"/>
  <c r="O3463" i="5"/>
  <c r="U3463" i="5"/>
  <c r="V3463" i="5" s="1"/>
  <c r="O3546" i="5"/>
  <c r="U3546" i="5"/>
  <c r="V3546" i="5" s="1"/>
  <c r="O3656" i="5"/>
  <c r="U3656" i="5"/>
  <c r="V3656" i="5" s="1"/>
  <c r="O3558" i="5"/>
  <c r="U3558" i="5"/>
  <c r="V3558" i="5" s="1"/>
  <c r="O3621" i="5"/>
  <c r="U3621" i="5"/>
  <c r="V3621" i="5" s="1"/>
  <c r="O3579" i="5"/>
  <c r="U3579" i="5"/>
  <c r="V3579" i="5" s="1"/>
  <c r="U3616" i="5"/>
  <c r="V3616" i="5" s="1"/>
  <c r="O3616" i="5"/>
  <c r="O3651" i="5"/>
  <c r="O3536" i="5"/>
  <c r="U3536" i="5"/>
  <c r="V3536" i="5" s="1"/>
  <c r="U3693" i="5"/>
  <c r="V3693" i="5" s="1"/>
  <c r="O3693" i="5"/>
  <c r="O3684" i="5"/>
  <c r="U3684" i="5"/>
  <c r="V3684" i="5" s="1"/>
  <c r="O3529" i="5"/>
  <c r="U3529" i="5"/>
  <c r="V3529" i="5" s="1"/>
  <c r="U3518" i="5"/>
  <c r="V3518" i="5" s="1"/>
  <c r="O3518" i="5"/>
  <c r="O3547" i="5"/>
  <c r="U3547" i="5"/>
  <c r="V3547" i="5" s="1"/>
  <c r="O3440" i="5"/>
  <c r="U3440" i="5"/>
  <c r="V3440" i="5" s="1"/>
  <c r="O3627" i="5"/>
  <c r="U3627" i="5"/>
  <c r="V3627" i="5" s="1"/>
  <c r="T3316" i="5" l="1"/>
  <c r="J3316" i="5"/>
  <c r="T3315" i="5"/>
  <c r="J3315" i="5"/>
  <c r="K3315" i="5" s="1"/>
  <c r="T3314" i="5"/>
  <c r="J3314" i="5"/>
  <c r="K3314" i="5" s="1"/>
  <c r="T3313" i="5"/>
  <c r="J3313" i="5"/>
  <c r="T3312" i="5"/>
  <c r="J3312" i="5"/>
  <c r="K3312" i="5" s="1"/>
  <c r="T3311" i="5"/>
  <c r="J3311" i="5"/>
  <c r="T3310" i="5"/>
  <c r="J3310" i="5"/>
  <c r="T3309" i="5"/>
  <c r="J3309" i="5"/>
  <c r="K3309" i="5" s="1"/>
  <c r="T3308" i="5"/>
  <c r="J3308" i="5"/>
  <c r="K3308" i="5" s="1"/>
  <c r="T3307" i="5"/>
  <c r="J3307" i="5"/>
  <c r="T3306" i="5"/>
  <c r="J3306" i="5"/>
  <c r="K3306" i="5" s="1"/>
  <c r="T3305" i="5"/>
  <c r="J3305" i="5"/>
  <c r="T3304" i="5"/>
  <c r="J3304" i="5"/>
  <c r="T3303" i="5"/>
  <c r="J3303" i="5"/>
  <c r="K3303" i="5" s="1"/>
  <c r="T3302" i="5"/>
  <c r="J3302" i="5"/>
  <c r="K3302" i="5" s="1"/>
  <c r="T3301" i="5"/>
  <c r="J3301" i="5"/>
  <c r="T3300" i="5"/>
  <c r="J3300" i="5"/>
  <c r="K3300" i="5" s="1"/>
  <c r="T3299" i="5"/>
  <c r="J3299" i="5"/>
  <c r="T3298" i="5"/>
  <c r="J3298" i="5"/>
  <c r="T3297" i="5"/>
  <c r="J3297" i="5"/>
  <c r="K3297" i="5" s="1"/>
  <c r="T3296" i="5"/>
  <c r="J3296" i="5"/>
  <c r="K3296" i="5" s="1"/>
  <c r="T3295" i="5"/>
  <c r="J3295" i="5"/>
  <c r="T3294" i="5"/>
  <c r="J3294" i="5"/>
  <c r="K3294" i="5" s="1"/>
  <c r="L3294" i="5" s="1"/>
  <c r="T3293" i="5"/>
  <c r="J3293" i="5"/>
  <c r="T3292" i="5"/>
  <c r="J3292" i="5"/>
  <c r="K3292" i="5" s="1"/>
  <c r="T3291" i="5"/>
  <c r="J3291" i="5"/>
  <c r="K3291" i="5" s="1"/>
  <c r="T3290" i="5"/>
  <c r="J3290" i="5"/>
  <c r="T3289" i="5"/>
  <c r="J3289" i="5"/>
  <c r="K3289" i="5" s="1"/>
  <c r="T3288" i="5"/>
  <c r="J3288" i="5"/>
  <c r="K3288" i="5" s="1"/>
  <c r="L3288" i="5" s="1"/>
  <c r="T3287" i="5"/>
  <c r="J3287" i="5"/>
  <c r="T3286" i="5"/>
  <c r="J3286" i="5"/>
  <c r="K3286" i="5" s="1"/>
  <c r="T3285" i="5"/>
  <c r="J3285" i="5"/>
  <c r="K3285" i="5" s="1"/>
  <c r="T3284" i="5"/>
  <c r="J3284" i="5"/>
  <c r="T3283" i="5"/>
  <c r="J3283" i="5"/>
  <c r="K3283" i="5" s="1"/>
  <c r="T3282" i="5"/>
  <c r="J3282" i="5"/>
  <c r="T3281" i="5"/>
  <c r="J3281" i="5"/>
  <c r="T3280" i="5"/>
  <c r="J3280" i="5"/>
  <c r="K3280" i="5" s="1"/>
  <c r="T3279" i="5"/>
  <c r="J3279" i="5"/>
  <c r="K3279" i="5" s="1"/>
  <c r="T3278" i="5"/>
  <c r="J3278" i="5"/>
  <c r="T3277" i="5"/>
  <c r="J3277" i="5"/>
  <c r="K3277" i="5" s="1"/>
  <c r="T3276" i="5"/>
  <c r="J3276" i="5"/>
  <c r="K3276" i="5" s="1"/>
  <c r="L3276" i="5" s="1"/>
  <c r="T3275" i="5"/>
  <c r="J3275" i="5"/>
  <c r="T3274" i="5"/>
  <c r="J3274" i="5"/>
  <c r="K3274" i="5" s="1"/>
  <c r="T3273" i="5"/>
  <c r="J3273" i="5"/>
  <c r="K3273" i="5" s="1"/>
  <c r="T3272" i="5"/>
  <c r="J3272" i="5"/>
  <c r="T3271" i="5"/>
  <c r="J3271" i="5"/>
  <c r="K3271" i="5" s="1"/>
  <c r="L3271" i="5" s="1"/>
  <c r="T3270" i="5"/>
  <c r="J3270" i="5"/>
  <c r="T3269" i="5"/>
  <c r="J3269" i="5"/>
  <c r="K3269" i="5" s="1"/>
  <c r="T3268" i="5"/>
  <c r="J3268" i="5"/>
  <c r="T3267" i="5"/>
  <c r="J3267" i="5"/>
  <c r="K3267" i="5" s="1"/>
  <c r="T3266" i="5"/>
  <c r="J3266" i="5"/>
  <c r="T3265" i="5"/>
  <c r="J3265" i="5"/>
  <c r="K3265" i="5" s="1"/>
  <c r="T3264" i="5"/>
  <c r="J3264" i="5"/>
  <c r="T3263" i="5"/>
  <c r="J3263" i="5"/>
  <c r="K3263" i="5" s="1"/>
  <c r="L3263" i="5" s="1"/>
  <c r="P3263" i="5" s="1"/>
  <c r="T3262" i="5"/>
  <c r="J3262" i="5"/>
  <c r="T3261" i="5"/>
  <c r="J3261" i="5"/>
  <c r="K3261" i="5" s="1"/>
  <c r="T3260" i="5"/>
  <c r="J3260" i="5"/>
  <c r="K3260" i="5" s="1"/>
  <c r="T3259" i="5"/>
  <c r="J3259" i="5"/>
  <c r="T3258" i="5"/>
  <c r="J3258" i="5"/>
  <c r="K3258" i="5" s="1"/>
  <c r="T3257" i="5"/>
  <c r="J3257" i="5"/>
  <c r="T3256" i="5"/>
  <c r="J3256" i="5"/>
  <c r="T3255" i="5"/>
  <c r="J3255" i="5"/>
  <c r="K3255" i="5" s="1"/>
  <c r="T3254" i="5"/>
  <c r="J3254" i="5"/>
  <c r="K3254" i="5" s="1"/>
  <c r="T3253" i="5"/>
  <c r="J3253" i="5"/>
  <c r="T3252" i="5"/>
  <c r="J3252" i="5"/>
  <c r="T3251" i="5"/>
  <c r="J3251" i="5"/>
  <c r="T3250" i="5"/>
  <c r="J3250" i="5"/>
  <c r="T3249" i="5"/>
  <c r="J3249" i="5"/>
  <c r="K3249" i="5" s="1"/>
  <c r="T3248" i="5"/>
  <c r="J3248" i="5"/>
  <c r="K3248" i="5" s="1"/>
  <c r="T3247" i="5"/>
  <c r="J3247" i="5"/>
  <c r="T3246" i="5"/>
  <c r="J3246" i="5"/>
  <c r="K3246" i="5" s="1"/>
  <c r="T3245" i="5"/>
  <c r="J3245" i="5"/>
  <c r="K3245" i="5" s="1"/>
  <c r="L3245" i="5" s="1"/>
  <c r="P3245" i="5" s="1"/>
  <c r="T3244" i="5"/>
  <c r="J3244" i="5"/>
  <c r="T3243" i="5"/>
  <c r="J3243" i="5"/>
  <c r="K3243" i="5" s="1"/>
  <c r="T3242" i="5"/>
  <c r="J3242" i="5"/>
  <c r="K3242" i="5" s="1"/>
  <c r="T3241" i="5"/>
  <c r="J3241" i="5"/>
  <c r="T3240" i="5"/>
  <c r="J3240" i="5"/>
  <c r="K3240" i="5" s="1"/>
  <c r="T3239" i="5"/>
  <c r="J3239" i="5"/>
  <c r="T3238" i="5"/>
  <c r="J3238" i="5"/>
  <c r="T3237" i="5"/>
  <c r="J3237" i="5"/>
  <c r="K3237" i="5" s="1"/>
  <c r="T3236" i="5"/>
  <c r="J3236" i="5"/>
  <c r="K3236" i="5" s="1"/>
  <c r="T3235" i="5"/>
  <c r="J3235" i="5"/>
  <c r="T3234" i="5"/>
  <c r="J3234" i="5"/>
  <c r="T3233" i="5"/>
  <c r="J3233" i="5"/>
  <c r="K3233" i="5" s="1"/>
  <c r="L3233" i="5" s="1"/>
  <c r="T3232" i="5"/>
  <c r="J3232" i="5"/>
  <c r="K3232" i="5" s="1"/>
  <c r="T3231" i="5"/>
  <c r="J3231" i="5"/>
  <c r="T3230" i="5"/>
  <c r="J3230" i="5"/>
  <c r="T3229" i="5"/>
  <c r="J3229" i="5"/>
  <c r="K3229" i="5" s="1"/>
  <c r="T3228" i="5"/>
  <c r="J3228" i="5"/>
  <c r="T3227" i="5"/>
  <c r="J3227" i="5"/>
  <c r="K3227" i="5" s="1"/>
  <c r="T3226" i="5"/>
  <c r="J3226" i="5"/>
  <c r="K3226" i="5" s="1"/>
  <c r="T3225" i="5"/>
  <c r="J3225" i="5"/>
  <c r="T3224" i="5"/>
  <c r="J3224" i="5"/>
  <c r="K3224" i="5" s="1"/>
  <c r="T3223" i="5"/>
  <c r="J3223" i="5"/>
  <c r="K3223" i="5" s="1"/>
  <c r="L3223" i="5" s="1"/>
  <c r="T3222" i="5"/>
  <c r="J3222" i="5"/>
  <c r="T3221" i="5"/>
  <c r="J3221" i="5"/>
  <c r="T3220" i="5"/>
  <c r="J3220" i="5"/>
  <c r="T3219" i="5"/>
  <c r="J3219" i="5"/>
  <c r="K3219" i="5" s="1"/>
  <c r="T3218" i="5"/>
  <c r="J3218" i="5"/>
  <c r="T3217" i="5"/>
  <c r="J3217" i="5"/>
  <c r="T3216" i="5"/>
  <c r="J3216" i="5"/>
  <c r="K3216" i="5" s="1"/>
  <c r="T3215" i="5"/>
  <c r="J3215" i="5"/>
  <c r="T3214" i="5"/>
  <c r="J3214" i="5"/>
  <c r="T3213" i="5"/>
  <c r="J3213" i="5"/>
  <c r="K3213" i="5" s="1"/>
  <c r="T3212" i="5"/>
  <c r="J3212" i="5"/>
  <c r="T3211" i="5"/>
  <c r="J3211" i="5"/>
  <c r="T3210" i="5"/>
  <c r="J3210" i="5"/>
  <c r="K3210" i="5" s="1"/>
  <c r="T3209" i="5"/>
  <c r="J3209" i="5"/>
  <c r="T3208" i="5"/>
  <c r="J3208" i="5"/>
  <c r="T3207" i="5"/>
  <c r="J3207" i="5"/>
  <c r="K3207" i="5" s="1"/>
  <c r="T3206" i="5"/>
  <c r="J3206" i="5"/>
  <c r="T3205" i="5"/>
  <c r="J3205" i="5"/>
  <c r="T3204" i="5"/>
  <c r="J3204" i="5"/>
  <c r="K3204" i="5" s="1"/>
  <c r="T3203" i="5"/>
  <c r="J3203" i="5"/>
  <c r="T3202" i="5"/>
  <c r="J3202" i="5"/>
  <c r="K3202" i="5" s="1"/>
  <c r="T3201" i="5"/>
  <c r="J3201" i="5"/>
  <c r="K3201" i="5" s="1"/>
  <c r="L3201" i="5" s="1"/>
  <c r="T3200" i="5"/>
  <c r="J3200" i="5"/>
  <c r="T3199" i="5"/>
  <c r="J3199" i="5"/>
  <c r="K3199" i="5" s="1"/>
  <c r="T3198" i="5"/>
  <c r="J3198" i="5"/>
  <c r="K3198" i="5" s="1"/>
  <c r="L3198" i="5" s="1"/>
  <c r="T3197" i="5"/>
  <c r="J3197" i="5"/>
  <c r="T3196" i="5"/>
  <c r="J3196" i="5"/>
  <c r="K3196" i="5" s="1"/>
  <c r="T3195" i="5"/>
  <c r="J3195" i="5"/>
  <c r="K3195" i="5" s="1"/>
  <c r="L3195" i="5" s="1"/>
  <c r="T3194" i="5"/>
  <c r="J3194" i="5"/>
  <c r="T3193" i="5"/>
  <c r="J3193" i="5"/>
  <c r="K3193" i="5" s="1"/>
  <c r="T3192" i="5"/>
  <c r="J3192" i="5"/>
  <c r="K3192" i="5" s="1"/>
  <c r="L3192" i="5" s="1"/>
  <c r="T3191" i="5"/>
  <c r="J3191" i="5"/>
  <c r="T3190" i="5"/>
  <c r="J3190" i="5"/>
  <c r="K3190" i="5" s="1"/>
  <c r="T3189" i="5"/>
  <c r="J3189" i="5"/>
  <c r="K3189" i="5" s="1"/>
  <c r="L3189" i="5" s="1"/>
  <c r="T3188" i="5"/>
  <c r="J3188" i="5"/>
  <c r="T3187" i="5"/>
  <c r="J3187" i="5"/>
  <c r="K3187" i="5" s="1"/>
  <c r="T3186" i="5"/>
  <c r="J3186" i="5"/>
  <c r="K3186" i="5" s="1"/>
  <c r="T3185" i="5"/>
  <c r="J3185" i="5"/>
  <c r="T3184" i="5"/>
  <c r="J3184" i="5"/>
  <c r="K3184" i="5" s="1"/>
  <c r="T3183" i="5"/>
  <c r="J3183" i="5"/>
  <c r="K3183" i="5" s="1"/>
  <c r="L3183" i="5" s="1"/>
  <c r="T3182" i="5"/>
  <c r="J3182" i="5"/>
  <c r="K3182" i="5" s="1"/>
  <c r="T3181" i="5"/>
  <c r="J3181" i="5"/>
  <c r="K3181" i="5" s="1"/>
  <c r="T3180" i="5"/>
  <c r="J3180" i="5"/>
  <c r="K3180" i="5" s="1"/>
  <c r="L3180" i="5" s="1"/>
  <c r="T3179" i="5"/>
  <c r="J3179" i="5"/>
  <c r="K3179" i="5" s="1"/>
  <c r="T3178" i="5"/>
  <c r="J3178" i="5"/>
  <c r="T3177" i="5"/>
  <c r="J3177" i="5"/>
  <c r="K3177" i="5" s="1"/>
  <c r="T3176" i="5"/>
  <c r="J3176" i="5"/>
  <c r="T3175" i="5"/>
  <c r="J3175" i="5"/>
  <c r="K3175" i="5" s="1"/>
  <c r="T3174" i="5"/>
  <c r="J3174" i="5"/>
  <c r="K3174" i="5" s="1"/>
  <c r="T3173" i="5"/>
  <c r="J3173" i="5"/>
  <c r="K3173" i="5" s="1"/>
  <c r="T3172" i="5"/>
  <c r="J3172" i="5"/>
  <c r="K3172" i="5" s="1"/>
  <c r="T3171" i="5"/>
  <c r="J3171" i="5"/>
  <c r="K3171" i="5" s="1"/>
  <c r="T3170" i="5"/>
  <c r="J3170" i="5"/>
  <c r="T3169" i="5"/>
  <c r="J3169" i="5"/>
  <c r="K3169" i="5" s="1"/>
  <c r="T3168" i="5"/>
  <c r="J3168" i="5"/>
  <c r="K3168" i="5" s="1"/>
  <c r="L3168" i="5" s="1"/>
  <c r="T3167" i="5"/>
  <c r="J3167" i="5"/>
  <c r="K3167" i="5" s="1"/>
  <c r="T3166" i="5"/>
  <c r="J3166" i="5"/>
  <c r="K3166" i="5" s="1"/>
  <c r="T3165" i="5"/>
  <c r="J3165" i="5"/>
  <c r="K3165" i="5" s="1"/>
  <c r="T3164" i="5"/>
  <c r="J3164" i="5"/>
  <c r="T3163" i="5"/>
  <c r="J3163" i="5"/>
  <c r="K3163" i="5" s="1"/>
  <c r="T3162" i="5"/>
  <c r="J3162" i="5"/>
  <c r="T3161" i="5"/>
  <c r="J3161" i="5"/>
  <c r="K3161" i="5" s="1"/>
  <c r="T3160" i="5"/>
  <c r="J3160" i="5"/>
  <c r="K3160" i="5" s="1"/>
  <c r="T3159" i="5"/>
  <c r="J3159" i="5"/>
  <c r="K3159" i="5" s="1"/>
  <c r="T3158" i="5"/>
  <c r="J3158" i="5"/>
  <c r="T3157" i="5"/>
  <c r="J3157" i="5"/>
  <c r="K3157" i="5" s="1"/>
  <c r="T3156" i="5"/>
  <c r="J3156" i="5"/>
  <c r="T3155" i="5"/>
  <c r="J3155" i="5"/>
  <c r="K3155" i="5" s="1"/>
  <c r="T3154" i="5"/>
  <c r="J3154" i="5"/>
  <c r="K3154" i="5" s="1"/>
  <c r="T3153" i="5"/>
  <c r="J3153" i="5"/>
  <c r="K3153" i="5" s="1"/>
  <c r="T3152" i="5"/>
  <c r="J3152" i="5"/>
  <c r="T3151" i="5"/>
  <c r="J3151" i="5"/>
  <c r="K3151" i="5" s="1"/>
  <c r="T3150" i="5"/>
  <c r="J3150" i="5"/>
  <c r="T3149" i="5"/>
  <c r="J3149" i="5"/>
  <c r="K3149" i="5" s="1"/>
  <c r="T3148" i="5"/>
  <c r="J3148" i="5"/>
  <c r="K3148" i="5" s="1"/>
  <c r="T3147" i="5"/>
  <c r="J3147" i="5"/>
  <c r="K3147" i="5" s="1"/>
  <c r="T3146" i="5"/>
  <c r="J3146" i="5"/>
  <c r="K3146" i="5" s="1"/>
  <c r="T3145" i="5"/>
  <c r="J3145" i="5"/>
  <c r="K3145" i="5" s="1"/>
  <c r="T3144" i="5"/>
  <c r="J3144" i="5"/>
  <c r="T3143" i="5"/>
  <c r="J3143" i="5"/>
  <c r="K3143" i="5" s="1"/>
  <c r="T3142" i="5"/>
  <c r="J3142" i="5"/>
  <c r="K3142" i="5" s="1"/>
  <c r="L3142" i="5" s="1"/>
  <c r="P3142" i="5" s="1"/>
  <c r="T3141" i="5"/>
  <c r="J3141" i="5"/>
  <c r="K3141" i="5" s="1"/>
  <c r="T3140" i="5"/>
  <c r="J3140" i="5"/>
  <c r="K3140" i="5" s="1"/>
  <c r="T3139" i="5"/>
  <c r="J3139" i="5"/>
  <c r="K3139" i="5" s="1"/>
  <c r="T3138" i="5"/>
  <c r="J3138" i="5"/>
  <c r="T3137" i="5"/>
  <c r="J3137" i="5"/>
  <c r="K3137" i="5" s="1"/>
  <c r="T3136" i="5"/>
  <c r="J3136" i="5"/>
  <c r="K3136" i="5" s="1"/>
  <c r="T3135" i="5"/>
  <c r="J3135" i="5"/>
  <c r="T3134" i="5"/>
  <c r="J3134" i="5"/>
  <c r="K3134" i="5" s="1"/>
  <c r="T3133" i="5"/>
  <c r="J3133" i="5"/>
  <c r="K3133" i="5" s="1"/>
  <c r="L3133" i="5" s="1"/>
  <c r="T3132" i="5"/>
  <c r="J3132" i="5"/>
  <c r="T3131" i="5"/>
  <c r="J3131" i="5"/>
  <c r="K3131" i="5" s="1"/>
  <c r="T3130" i="5"/>
  <c r="J3130" i="5"/>
  <c r="K3130" i="5" s="1"/>
  <c r="T3129" i="5"/>
  <c r="J3129" i="5"/>
  <c r="T3128" i="5"/>
  <c r="J3128" i="5"/>
  <c r="K3128" i="5" s="1"/>
  <c r="T3127" i="5"/>
  <c r="J3127" i="5"/>
  <c r="T3126" i="5"/>
  <c r="J3126" i="5"/>
  <c r="K3126" i="5" s="1"/>
  <c r="T3125" i="5"/>
  <c r="J3125" i="5"/>
  <c r="K3125" i="5" s="1"/>
  <c r="L3125" i="5" s="1"/>
  <c r="T3124" i="5"/>
  <c r="J3124" i="5"/>
  <c r="T3123" i="5"/>
  <c r="J3123" i="5"/>
  <c r="K3123" i="5" s="1"/>
  <c r="T3122" i="5"/>
  <c r="J3122" i="5"/>
  <c r="K3122" i="5" s="1"/>
  <c r="L3122" i="5" s="1"/>
  <c r="T3121" i="5"/>
  <c r="J3121" i="5"/>
  <c r="T3120" i="5"/>
  <c r="J3120" i="5"/>
  <c r="K3120" i="5" s="1"/>
  <c r="T3119" i="5"/>
  <c r="J3119" i="5"/>
  <c r="K3119" i="5" s="1"/>
  <c r="T3118" i="5"/>
  <c r="J3118" i="5"/>
  <c r="T3117" i="5"/>
  <c r="J3117" i="5"/>
  <c r="K3117" i="5" s="1"/>
  <c r="T3116" i="5"/>
  <c r="J3116" i="5"/>
  <c r="K3116" i="5" s="1"/>
  <c r="L3116" i="5" s="1"/>
  <c r="T3115" i="5"/>
  <c r="J3115" i="5"/>
  <c r="T3114" i="5"/>
  <c r="J3114" i="5"/>
  <c r="K3114" i="5" s="1"/>
  <c r="T3113" i="5"/>
  <c r="J3113" i="5"/>
  <c r="T3112" i="5"/>
  <c r="J3112" i="5"/>
  <c r="K3112" i="5" s="1"/>
  <c r="T3111" i="5"/>
  <c r="J3111" i="5"/>
  <c r="K3111" i="5" s="1"/>
  <c r="L3111" i="5" s="1"/>
  <c r="T3110" i="5"/>
  <c r="J3110" i="5"/>
  <c r="K3110" i="5" s="1"/>
  <c r="T3109" i="5"/>
  <c r="J3109" i="5"/>
  <c r="K3109" i="5" s="1"/>
  <c r="T3108" i="5"/>
  <c r="J3108" i="5"/>
  <c r="K3108" i="5" s="1"/>
  <c r="L3108" i="5" s="1"/>
  <c r="P3108" i="5" s="1"/>
  <c r="T3107" i="5"/>
  <c r="J3107" i="5"/>
  <c r="T3106" i="5"/>
  <c r="J3106" i="5"/>
  <c r="T3105" i="5"/>
  <c r="J3105" i="5"/>
  <c r="K3105" i="5" s="1"/>
  <c r="L3105" i="5" s="1"/>
  <c r="T3104" i="5"/>
  <c r="J3104" i="5"/>
  <c r="K3104" i="5" s="1"/>
  <c r="T3103" i="5"/>
  <c r="J3103" i="5"/>
  <c r="K3103" i="5" s="1"/>
  <c r="T3102" i="5"/>
  <c r="J3102" i="5"/>
  <c r="K3102" i="5" s="1"/>
  <c r="L3102" i="5" s="1"/>
  <c r="T3101" i="5"/>
  <c r="J3101" i="5"/>
  <c r="T3100" i="5"/>
  <c r="J3100" i="5"/>
  <c r="K3100" i="5" s="1"/>
  <c r="T3099" i="5"/>
  <c r="J3099" i="5"/>
  <c r="T3098" i="5"/>
  <c r="J3098" i="5"/>
  <c r="K3098" i="5" s="1"/>
  <c r="T3097" i="5"/>
  <c r="J3097" i="5"/>
  <c r="K3097" i="5" s="1"/>
  <c r="T3096" i="5"/>
  <c r="J3096" i="5"/>
  <c r="T3095" i="5"/>
  <c r="J3095" i="5"/>
  <c r="K3095" i="5" s="1"/>
  <c r="T3094" i="5"/>
  <c r="J3094" i="5"/>
  <c r="K3094" i="5" s="1"/>
  <c r="T3093" i="5"/>
  <c r="J3093" i="5"/>
  <c r="K3093" i="5" s="1"/>
  <c r="T3092" i="5"/>
  <c r="J3092" i="5"/>
  <c r="T3091" i="5"/>
  <c r="J3091" i="5"/>
  <c r="T3090" i="5"/>
  <c r="J3090" i="5"/>
  <c r="K3090" i="5" s="1"/>
  <c r="T3089" i="5"/>
  <c r="J3089" i="5"/>
  <c r="K3089" i="5" s="1"/>
  <c r="T3088" i="5"/>
  <c r="J3088" i="5"/>
  <c r="T3087" i="5"/>
  <c r="J3087" i="5"/>
  <c r="K3087" i="5" s="1"/>
  <c r="B3314" i="5"/>
  <c r="M3314" i="5" s="1"/>
  <c r="B3315" i="5"/>
  <c r="B3316" i="5"/>
  <c r="B3308" i="5"/>
  <c r="M3308" i="5" s="1"/>
  <c r="B3309" i="5"/>
  <c r="B3310" i="5"/>
  <c r="B3311" i="5"/>
  <c r="M3311" i="5" s="1"/>
  <c r="B3312" i="5"/>
  <c r="B3313" i="5"/>
  <c r="B3303" i="5"/>
  <c r="B3304" i="5"/>
  <c r="B3305" i="5"/>
  <c r="M3305" i="5" s="1"/>
  <c r="B3306" i="5"/>
  <c r="B3307" i="5"/>
  <c r="B3299" i="5"/>
  <c r="M3299" i="5" s="1"/>
  <c r="B3300" i="5"/>
  <c r="B3301" i="5"/>
  <c r="B3302" i="5"/>
  <c r="M3302" i="5" s="1"/>
  <c r="B3296" i="5"/>
  <c r="M3296" i="5" s="1"/>
  <c r="B3297" i="5"/>
  <c r="B3298" i="5"/>
  <c r="B3295" i="5"/>
  <c r="B3291" i="5"/>
  <c r="M3291" i="5" s="1"/>
  <c r="B3292" i="5"/>
  <c r="B3293" i="5"/>
  <c r="B3294" i="5"/>
  <c r="M3294" i="5" s="1"/>
  <c r="B3286" i="5"/>
  <c r="B3287" i="5"/>
  <c r="B3288" i="5"/>
  <c r="M3288" i="5" s="1"/>
  <c r="B3289" i="5"/>
  <c r="B3290" i="5"/>
  <c r="B3285" i="5"/>
  <c r="B3284" i="5"/>
  <c r="Q3284" i="5" s="1"/>
  <c r="B3282" i="5"/>
  <c r="B3283" i="5"/>
  <c r="B3280" i="5"/>
  <c r="B3281" i="5"/>
  <c r="Q3281" i="5" s="1"/>
  <c r="B3276" i="5"/>
  <c r="B3277" i="5"/>
  <c r="B3278" i="5"/>
  <c r="Q3278" i="5" s="1"/>
  <c r="B3279" i="5"/>
  <c r="B3273" i="5"/>
  <c r="B3274" i="5"/>
  <c r="B3275" i="5"/>
  <c r="M3275" i="5" s="1"/>
  <c r="B3270" i="5"/>
  <c r="B3271" i="5"/>
  <c r="B3272" i="5"/>
  <c r="B3267" i="5"/>
  <c r="B3268" i="5"/>
  <c r="B3269" i="5"/>
  <c r="Q3269" i="5" s="1"/>
  <c r="B3266" i="5"/>
  <c r="M3266" i="5" s="1"/>
  <c r="B3260" i="5"/>
  <c r="B3261" i="5"/>
  <c r="B3262" i="5"/>
  <c r="B3263" i="5"/>
  <c r="M3263" i="5" s="1"/>
  <c r="B3264" i="5"/>
  <c r="B3265" i="5"/>
  <c r="B3256" i="5"/>
  <c r="Q3256" i="5" s="1"/>
  <c r="B3257" i="5"/>
  <c r="B3258" i="5"/>
  <c r="B3259" i="5"/>
  <c r="Q3259" i="5" s="1"/>
  <c r="B3255" i="5"/>
  <c r="B3253" i="5"/>
  <c r="Q3253" i="5" s="1"/>
  <c r="B3254" i="5"/>
  <c r="B3250" i="5"/>
  <c r="Q3250" i="5" s="1"/>
  <c r="B3251" i="5"/>
  <c r="B3252" i="5"/>
  <c r="B3248" i="5"/>
  <c r="B3249" i="5"/>
  <c r="B3243" i="5"/>
  <c r="B3244" i="5"/>
  <c r="Q3244" i="5" s="1"/>
  <c r="B3245" i="5"/>
  <c r="B3246" i="5"/>
  <c r="B3247" i="5"/>
  <c r="Q3247" i="5" s="1"/>
  <c r="B3241" i="5"/>
  <c r="Q3241" i="5" s="1"/>
  <c r="B3242" i="5"/>
  <c r="B3237" i="5"/>
  <c r="B3238" i="5"/>
  <c r="Q3238" i="5" s="1"/>
  <c r="B3239" i="5"/>
  <c r="B3240" i="5"/>
  <c r="B3235" i="5"/>
  <c r="Q3235" i="5" s="1"/>
  <c r="B3236" i="5"/>
  <c r="B3230" i="5"/>
  <c r="B3231" i="5"/>
  <c r="Q3231" i="5" s="1"/>
  <c r="B3232" i="5"/>
  <c r="B3233" i="5"/>
  <c r="B3234" i="5"/>
  <c r="B3228" i="5"/>
  <c r="Q3228" i="5" s="1"/>
  <c r="B3229" i="5"/>
  <c r="B3226" i="5"/>
  <c r="B3227" i="5"/>
  <c r="B3224" i="5"/>
  <c r="B3225" i="5"/>
  <c r="B3221" i="5"/>
  <c r="B3222" i="5"/>
  <c r="B3223" i="5"/>
  <c r="Q3223" i="5" s="1"/>
  <c r="B3219" i="5"/>
  <c r="B3220" i="5"/>
  <c r="B3217" i="5"/>
  <c r="B3218" i="5"/>
  <c r="Q3218" i="5" s="1"/>
  <c r="B3214" i="5"/>
  <c r="B3215" i="5"/>
  <c r="Q3215" i="5" s="1"/>
  <c r="B3216" i="5"/>
  <c r="B3212" i="5"/>
  <c r="Q3212" i="5" s="1"/>
  <c r="B3213" i="5"/>
  <c r="B3208" i="5"/>
  <c r="B3209" i="5"/>
  <c r="Q3209" i="5" s="1"/>
  <c r="B3210" i="5"/>
  <c r="B3211" i="5"/>
  <c r="B3205" i="5"/>
  <c r="B3206" i="5"/>
  <c r="Q3206" i="5" s="1"/>
  <c r="B3207" i="5"/>
  <c r="B3203" i="5"/>
  <c r="B3204" i="5"/>
  <c r="Q3204" i="5" s="1"/>
  <c r="B3200" i="5"/>
  <c r="B3201" i="5"/>
  <c r="Q3201" i="5" s="1"/>
  <c r="B3202" i="5"/>
  <c r="B3198" i="5"/>
  <c r="Q3198" i="5" s="1"/>
  <c r="B3199" i="5"/>
  <c r="B3194" i="5"/>
  <c r="B3195" i="5"/>
  <c r="Q3195" i="5" s="1"/>
  <c r="B3196" i="5"/>
  <c r="B3197" i="5"/>
  <c r="B3190" i="5"/>
  <c r="B3191" i="5"/>
  <c r="B3192" i="5"/>
  <c r="Q3192" i="5" s="1"/>
  <c r="B3193" i="5"/>
  <c r="B3189" i="5"/>
  <c r="Q3189" i="5" s="1"/>
  <c r="B3186" i="5"/>
  <c r="Q3186" i="5" s="1"/>
  <c r="B3187" i="5"/>
  <c r="B3188" i="5"/>
  <c r="B3183" i="5"/>
  <c r="Q3183" i="5" s="1"/>
  <c r="B3184" i="5"/>
  <c r="B3185" i="5"/>
  <c r="B3179" i="5"/>
  <c r="B3180" i="5"/>
  <c r="Q3180" i="5" s="1"/>
  <c r="B3181" i="5"/>
  <c r="B3182" i="5"/>
  <c r="B3178" i="5"/>
  <c r="B3177" i="5"/>
  <c r="B3176" i="5"/>
  <c r="B3175" i="5"/>
  <c r="Q3175" i="5" s="1"/>
  <c r="B3173" i="5"/>
  <c r="B3174" i="5"/>
  <c r="B3170" i="5"/>
  <c r="B3171" i="5"/>
  <c r="B3172" i="5"/>
  <c r="Q3172" i="5" s="1"/>
  <c r="B3168" i="5"/>
  <c r="B3169" i="5"/>
  <c r="Q3169" i="5" s="1"/>
  <c r="B3165" i="5"/>
  <c r="B3166" i="5"/>
  <c r="Q3166" i="5" s="1"/>
  <c r="B3167" i="5"/>
  <c r="B3163" i="5"/>
  <c r="Q3163" i="5" s="1"/>
  <c r="B3164" i="5"/>
  <c r="B3152" i="5"/>
  <c r="M3152" i="5" s="1"/>
  <c r="B3153" i="5"/>
  <c r="B3154" i="5"/>
  <c r="M3154" i="5" s="1"/>
  <c r="B3155" i="5"/>
  <c r="M3155" i="5" s="1"/>
  <c r="B3156" i="5"/>
  <c r="B3157" i="5"/>
  <c r="Q3157" i="5" s="1"/>
  <c r="B3158" i="5"/>
  <c r="B3159" i="5"/>
  <c r="B3160" i="5"/>
  <c r="Q3160" i="5" s="1"/>
  <c r="B3161" i="5"/>
  <c r="B3162" i="5"/>
  <c r="B3146" i="5"/>
  <c r="M3146" i="5" s="1"/>
  <c r="B3147" i="5"/>
  <c r="B3148" i="5"/>
  <c r="M3148" i="5" s="1"/>
  <c r="B3149" i="5"/>
  <c r="M3149" i="5" s="1"/>
  <c r="B3150" i="5"/>
  <c r="B3151" i="5"/>
  <c r="M3151" i="5" s="1"/>
  <c r="B3145" i="5"/>
  <c r="M3145" i="5" s="1"/>
  <c r="B3143" i="5"/>
  <c r="M3143" i="5" s="1"/>
  <c r="B3144" i="5"/>
  <c r="B3141" i="5"/>
  <c r="M3141" i="5" s="1"/>
  <c r="B3142" i="5"/>
  <c r="M3142" i="5" s="1"/>
  <c r="B3140" i="5"/>
  <c r="M3140" i="5" s="1"/>
  <c r="B3139" i="5"/>
  <c r="M3139" i="5" s="1"/>
  <c r="B3138" i="5"/>
  <c r="M3138" i="5" s="1"/>
  <c r="B3136" i="5"/>
  <c r="M3136" i="5" s="1"/>
  <c r="B3137" i="5"/>
  <c r="M3137" i="5" s="1"/>
  <c r="B3135" i="5"/>
  <c r="Q3135" i="5" s="1"/>
  <c r="B3131" i="5"/>
  <c r="Q3131" i="5" s="1"/>
  <c r="B3132" i="5"/>
  <c r="Q3132" i="5" s="1"/>
  <c r="B3133" i="5"/>
  <c r="Q3133" i="5" s="1"/>
  <c r="B3134" i="5"/>
  <c r="Q3134" i="5" s="1"/>
  <c r="B3128" i="5"/>
  <c r="Q3128" i="5" s="1"/>
  <c r="B3129" i="5"/>
  <c r="Q3129" i="5" s="1"/>
  <c r="B3130" i="5"/>
  <c r="M3130" i="5" s="1"/>
  <c r="B3123" i="5"/>
  <c r="Q3123" i="5" s="1"/>
  <c r="B3124" i="5"/>
  <c r="Q3124" i="5" s="1"/>
  <c r="B3125" i="5"/>
  <c r="M3125" i="5" s="1"/>
  <c r="B3126" i="5"/>
  <c r="Q3126" i="5" s="1"/>
  <c r="B3127" i="5"/>
  <c r="Q3127" i="5" s="1"/>
  <c r="B3115" i="5"/>
  <c r="Q3115" i="5" s="1"/>
  <c r="B3116" i="5"/>
  <c r="Q3116" i="5" s="1"/>
  <c r="B3117" i="5"/>
  <c r="Q3117" i="5" s="1"/>
  <c r="B3118" i="5"/>
  <c r="Q3118" i="5" s="1"/>
  <c r="B3119" i="5"/>
  <c r="M3119" i="5" s="1"/>
  <c r="B3120" i="5"/>
  <c r="Q3120" i="5" s="1"/>
  <c r="B3121" i="5"/>
  <c r="Q3121" i="5" s="1"/>
  <c r="B3122" i="5"/>
  <c r="Q3122" i="5" s="1"/>
  <c r="B3114" i="5"/>
  <c r="Q3114" i="5" s="1"/>
  <c r="B3111" i="5"/>
  <c r="Q3111" i="5" s="1"/>
  <c r="B3112" i="5"/>
  <c r="M3112" i="5" s="1"/>
  <c r="B3113" i="5"/>
  <c r="M3113" i="5" s="1"/>
  <c r="B3108" i="5"/>
  <c r="Q3108" i="5" s="1"/>
  <c r="B3109" i="5"/>
  <c r="Q3109" i="5" s="1"/>
  <c r="B3110" i="5"/>
  <c r="Q3110" i="5" s="1"/>
  <c r="B3107" i="5"/>
  <c r="Q3107" i="5" s="1"/>
  <c r="B3106" i="5"/>
  <c r="Q3106" i="5" s="1"/>
  <c r="B3104" i="5"/>
  <c r="M3104" i="5" s="1"/>
  <c r="B3105" i="5"/>
  <c r="Q3105" i="5" s="1"/>
  <c r="B3095" i="5"/>
  <c r="Q3095" i="5" s="1"/>
  <c r="B3096" i="5"/>
  <c r="Q3096" i="5" s="1"/>
  <c r="B3097" i="5"/>
  <c r="M3097" i="5" s="1"/>
  <c r="B3098" i="5"/>
  <c r="Q3098" i="5" s="1"/>
  <c r="B3099" i="5"/>
  <c r="Q3099" i="5" s="1"/>
  <c r="B3100" i="5"/>
  <c r="M3100" i="5" s="1"/>
  <c r="B3101" i="5"/>
  <c r="Q3101" i="5" s="1"/>
  <c r="B3102" i="5"/>
  <c r="Q3102" i="5" s="1"/>
  <c r="B3103" i="5"/>
  <c r="M3103" i="5" s="1"/>
  <c r="B3091" i="5"/>
  <c r="Q3091" i="5" s="1"/>
  <c r="B3092" i="5"/>
  <c r="M3092" i="5" s="1"/>
  <c r="B3093" i="5"/>
  <c r="Q3093" i="5" s="1"/>
  <c r="B3094" i="5"/>
  <c r="Q3094" i="5" s="1"/>
  <c r="B3087" i="5"/>
  <c r="Q3087" i="5" s="1"/>
  <c r="B3088" i="5"/>
  <c r="Q3088" i="5" s="1"/>
  <c r="B3089" i="5"/>
  <c r="Q3089" i="5" s="1"/>
  <c r="B3090" i="5"/>
  <c r="M3090" i="5" s="1"/>
  <c r="B3083" i="5"/>
  <c r="M3083" i="5" s="1"/>
  <c r="B3084" i="5"/>
  <c r="M3084" i="5" s="1"/>
  <c r="B3085" i="5"/>
  <c r="Q3085" i="5" s="1"/>
  <c r="B3086" i="5"/>
  <c r="Q3086" i="5" s="1"/>
  <c r="J3083" i="5"/>
  <c r="K3083" i="5" s="1"/>
  <c r="L3083" i="5" s="1"/>
  <c r="P3083" i="5" s="1"/>
  <c r="J3084" i="5"/>
  <c r="J3085" i="5"/>
  <c r="K3085" i="5" s="1"/>
  <c r="L3085" i="5" s="1"/>
  <c r="P3085" i="5" s="1"/>
  <c r="J3086" i="5"/>
  <c r="K3086" i="5" s="1"/>
  <c r="T3083" i="5"/>
  <c r="T3084" i="5"/>
  <c r="T3085" i="5"/>
  <c r="T3086" i="5"/>
  <c r="B3081" i="5"/>
  <c r="M3081" i="5" s="1"/>
  <c r="B3082" i="5"/>
  <c r="M3082" i="5" s="1"/>
  <c r="J3081" i="5"/>
  <c r="J3082" i="5"/>
  <c r="K3082" i="5" s="1"/>
  <c r="L3082" i="5" s="1"/>
  <c r="P3082" i="5" s="1"/>
  <c r="T3081" i="5"/>
  <c r="T3082" i="5"/>
  <c r="B3079" i="5"/>
  <c r="M3079" i="5" s="1"/>
  <c r="B3080" i="5"/>
  <c r="Q3080" i="5" s="1"/>
  <c r="J3079" i="5"/>
  <c r="K3079" i="5" s="1"/>
  <c r="L3079" i="5" s="1"/>
  <c r="J3080" i="5"/>
  <c r="K3080" i="5" s="1"/>
  <c r="T3079" i="5"/>
  <c r="T3080" i="5"/>
  <c r="B3076" i="5"/>
  <c r="M3076" i="5" s="1"/>
  <c r="B3077" i="5"/>
  <c r="M3077" i="5" s="1"/>
  <c r="B3078" i="5"/>
  <c r="Q3078" i="5" s="1"/>
  <c r="J3076" i="5"/>
  <c r="K3076" i="5" s="1"/>
  <c r="J3077" i="5"/>
  <c r="K3077" i="5" s="1"/>
  <c r="J3078" i="5"/>
  <c r="K3078" i="5" s="1"/>
  <c r="T3076" i="5"/>
  <c r="T3077" i="5"/>
  <c r="T3078" i="5"/>
  <c r="B3075" i="5"/>
  <c r="M3075" i="5" s="1"/>
  <c r="J3075" i="5"/>
  <c r="K3075" i="5" s="1"/>
  <c r="L3075" i="5" s="1"/>
  <c r="P3075" i="5" s="1"/>
  <c r="T3075" i="5"/>
  <c r="B3073" i="5"/>
  <c r="M3073" i="5" s="1"/>
  <c r="B3074" i="5"/>
  <c r="M3074" i="5" s="1"/>
  <c r="J3073" i="5"/>
  <c r="K3073" i="5" s="1"/>
  <c r="L3073" i="5" s="1"/>
  <c r="J3074" i="5"/>
  <c r="K3074" i="5" s="1"/>
  <c r="T3073" i="5"/>
  <c r="T3074" i="5"/>
  <c r="B3070" i="5"/>
  <c r="Q3070" i="5" s="1"/>
  <c r="B3071" i="5"/>
  <c r="M3071" i="5" s="1"/>
  <c r="B3072" i="5"/>
  <c r="M3072" i="5" s="1"/>
  <c r="J3070" i="5"/>
  <c r="K3070" i="5" s="1"/>
  <c r="J3071" i="5"/>
  <c r="K3071" i="5" s="1"/>
  <c r="J3072" i="5"/>
  <c r="K3072" i="5" s="1"/>
  <c r="T3070" i="5"/>
  <c r="T3071" i="5"/>
  <c r="T3072" i="5"/>
  <c r="B3068" i="5"/>
  <c r="M3068" i="5" s="1"/>
  <c r="B3069" i="5"/>
  <c r="M3069" i="5" s="1"/>
  <c r="J3068" i="5"/>
  <c r="J3069" i="5"/>
  <c r="K3069" i="5" s="1"/>
  <c r="T3068" i="5"/>
  <c r="T3069" i="5"/>
  <c r="B3064" i="5"/>
  <c r="M3064" i="5" s="1"/>
  <c r="B3065" i="5"/>
  <c r="M3065" i="5" s="1"/>
  <c r="B3066" i="5"/>
  <c r="Q3066" i="5" s="1"/>
  <c r="B3067" i="5"/>
  <c r="M3067" i="5" s="1"/>
  <c r="J3064" i="5"/>
  <c r="K3064" i="5" s="1"/>
  <c r="J3065" i="5"/>
  <c r="K3065" i="5" s="1"/>
  <c r="J3066" i="5"/>
  <c r="K3066" i="5" s="1"/>
  <c r="J3067" i="5"/>
  <c r="T3064" i="5"/>
  <c r="T3065" i="5"/>
  <c r="T3066" i="5"/>
  <c r="T3067" i="5"/>
  <c r="B3063" i="5"/>
  <c r="M3063" i="5" s="1"/>
  <c r="J3063" i="5"/>
  <c r="T3063" i="5"/>
  <c r="B3060" i="5"/>
  <c r="Q3060" i="5" s="1"/>
  <c r="B3061" i="5"/>
  <c r="M3061" i="5" s="1"/>
  <c r="B3062" i="5"/>
  <c r="Q3062" i="5" s="1"/>
  <c r="J3060" i="5"/>
  <c r="K3060" i="5" s="1"/>
  <c r="L3060" i="5" s="1"/>
  <c r="J3061" i="5"/>
  <c r="K3061" i="5" s="1"/>
  <c r="J3062" i="5"/>
  <c r="K3062" i="5" s="1"/>
  <c r="L3062" i="5" s="1"/>
  <c r="T3060" i="5"/>
  <c r="T3061" i="5"/>
  <c r="T3062" i="5"/>
  <c r="B3059" i="5"/>
  <c r="Q3059" i="5" s="1"/>
  <c r="J3059" i="5"/>
  <c r="K3059" i="5" s="1"/>
  <c r="T3059" i="5"/>
  <c r="B3057" i="5"/>
  <c r="M3057" i="5" s="1"/>
  <c r="B3058" i="5"/>
  <c r="M3058" i="5" s="1"/>
  <c r="J3057" i="5"/>
  <c r="K3057" i="5" s="1"/>
  <c r="L3057" i="5" s="1"/>
  <c r="P3057" i="5" s="1"/>
  <c r="J3058" i="5"/>
  <c r="K3058" i="5" s="1"/>
  <c r="L3058" i="5" s="1"/>
  <c r="P3058" i="5" s="1"/>
  <c r="T3057" i="5"/>
  <c r="T3058" i="5"/>
  <c r="B3056" i="5"/>
  <c r="M3056" i="5" s="1"/>
  <c r="J3056" i="5"/>
  <c r="T3056" i="5"/>
  <c r="B3054" i="5"/>
  <c r="M3054" i="5" s="1"/>
  <c r="B3055" i="5"/>
  <c r="Q3055" i="5" s="1"/>
  <c r="J3054" i="5"/>
  <c r="J3055" i="5"/>
  <c r="K3055" i="5" s="1"/>
  <c r="T3054" i="5"/>
  <c r="T3055" i="5"/>
  <c r="B3053" i="5"/>
  <c r="Q3053" i="5" s="1"/>
  <c r="J3053" i="5"/>
  <c r="K3053" i="5" s="1"/>
  <c r="T3053" i="5"/>
  <c r="B3050" i="5"/>
  <c r="Q3050" i="5" s="1"/>
  <c r="B3051" i="5"/>
  <c r="Q3051" i="5" s="1"/>
  <c r="B3052" i="5"/>
  <c r="M3052" i="5" s="1"/>
  <c r="J3050" i="5"/>
  <c r="K3050" i="5" s="1"/>
  <c r="J3051" i="5"/>
  <c r="K3051" i="5" s="1"/>
  <c r="L3051" i="5" s="1"/>
  <c r="P3051" i="5" s="1"/>
  <c r="J3052" i="5"/>
  <c r="K3052" i="5" s="1"/>
  <c r="L3052" i="5" s="1"/>
  <c r="P3052" i="5" s="1"/>
  <c r="T3050" i="5"/>
  <c r="T3051" i="5"/>
  <c r="T3052" i="5"/>
  <c r="B3049" i="5"/>
  <c r="M3049" i="5" s="1"/>
  <c r="J3049" i="5"/>
  <c r="K3049" i="5" s="1"/>
  <c r="T3049" i="5"/>
  <c r="B3048" i="5"/>
  <c r="Q3048" i="5" s="1"/>
  <c r="J3048" i="5"/>
  <c r="K3048" i="5" s="1"/>
  <c r="T3048" i="5"/>
  <c r="B3047" i="5"/>
  <c r="M3047" i="5" s="1"/>
  <c r="J3047" i="5"/>
  <c r="K3047" i="5" s="1"/>
  <c r="T3047" i="5"/>
  <c r="B3046" i="5"/>
  <c r="M3046" i="5" s="1"/>
  <c r="J3046" i="5"/>
  <c r="T3046" i="5"/>
  <c r="B3045" i="5"/>
  <c r="M3045" i="5" s="1"/>
  <c r="J3045" i="5"/>
  <c r="K3045" i="5" s="1"/>
  <c r="T3045" i="5"/>
  <c r="B3044" i="5"/>
  <c r="J3044" i="5"/>
  <c r="K3044" i="5" s="1"/>
  <c r="T3044" i="5"/>
  <c r="B3042" i="5"/>
  <c r="M3042" i="5" s="1"/>
  <c r="B3043" i="5"/>
  <c r="Q3043" i="5" s="1"/>
  <c r="J3042" i="5"/>
  <c r="K3042" i="5" s="1"/>
  <c r="L3042" i="5" s="1"/>
  <c r="J3043" i="5"/>
  <c r="T3042" i="5"/>
  <c r="T3043" i="5"/>
  <c r="B3040" i="5"/>
  <c r="Q3040" i="5" s="1"/>
  <c r="B3041" i="5"/>
  <c r="M3041" i="5" s="1"/>
  <c r="J3040" i="5"/>
  <c r="J3041" i="5"/>
  <c r="K3041" i="5" s="1"/>
  <c r="T3040" i="5"/>
  <c r="T3041" i="5"/>
  <c r="B3037" i="5"/>
  <c r="B3038" i="5"/>
  <c r="Q3038" i="5" s="1"/>
  <c r="B3039" i="5"/>
  <c r="Q3039" i="5" s="1"/>
  <c r="J3037" i="5"/>
  <c r="K3037" i="5" s="1"/>
  <c r="J3038" i="5"/>
  <c r="K3038" i="5" s="1"/>
  <c r="L3038" i="5" s="1"/>
  <c r="P3038" i="5" s="1"/>
  <c r="J3039" i="5"/>
  <c r="T3037" i="5"/>
  <c r="T3038" i="5"/>
  <c r="T3039" i="5"/>
  <c r="B3036" i="5"/>
  <c r="Q3036" i="5" s="1"/>
  <c r="J3036" i="5"/>
  <c r="T3036" i="5"/>
  <c r="B3035" i="5"/>
  <c r="Q3035" i="5" s="1"/>
  <c r="J3035" i="5"/>
  <c r="K3035" i="5" s="1"/>
  <c r="T3035" i="5"/>
  <c r="B3032" i="5"/>
  <c r="M3032" i="5" s="1"/>
  <c r="B3033" i="5"/>
  <c r="Q3033" i="5" s="1"/>
  <c r="B3034" i="5"/>
  <c r="Q3034" i="5" s="1"/>
  <c r="J3032" i="5"/>
  <c r="K3032" i="5" s="1"/>
  <c r="L3032" i="5" s="1"/>
  <c r="J3033" i="5"/>
  <c r="K3033" i="5" s="1"/>
  <c r="L3033" i="5" s="1"/>
  <c r="J3034" i="5"/>
  <c r="K3034" i="5" s="1"/>
  <c r="T3032" i="5"/>
  <c r="T3033" i="5"/>
  <c r="T3034" i="5"/>
  <c r="B3030" i="5"/>
  <c r="Q3030" i="5" s="1"/>
  <c r="B3031" i="5"/>
  <c r="Q3031" i="5" s="1"/>
  <c r="J3030" i="5"/>
  <c r="K3030" i="5" s="1"/>
  <c r="J3031" i="5"/>
  <c r="K3031" i="5" s="1"/>
  <c r="T3030" i="5"/>
  <c r="T3031" i="5"/>
  <c r="B3026" i="5"/>
  <c r="B3027" i="5"/>
  <c r="M3027" i="5" s="1"/>
  <c r="B3028" i="5"/>
  <c r="Q3028" i="5" s="1"/>
  <c r="B3029" i="5"/>
  <c r="M3029" i="5" s="1"/>
  <c r="J3026" i="5"/>
  <c r="K3026" i="5" s="1"/>
  <c r="L3026" i="5" s="1"/>
  <c r="P3026" i="5" s="1"/>
  <c r="J3027" i="5"/>
  <c r="J3028" i="5"/>
  <c r="K3028" i="5" s="1"/>
  <c r="J3029" i="5"/>
  <c r="K3029" i="5" s="1"/>
  <c r="T3026" i="5"/>
  <c r="T3027" i="5"/>
  <c r="T3028" i="5"/>
  <c r="T3029" i="5"/>
  <c r="B3023" i="5"/>
  <c r="M3023" i="5" s="1"/>
  <c r="B3024" i="5"/>
  <c r="Q3024" i="5" s="1"/>
  <c r="B3025" i="5"/>
  <c r="Q3025" i="5" s="1"/>
  <c r="J3023" i="5"/>
  <c r="J3024" i="5"/>
  <c r="K3024" i="5" s="1"/>
  <c r="J3025" i="5"/>
  <c r="K3025" i="5" s="1"/>
  <c r="T3023" i="5"/>
  <c r="T3024" i="5"/>
  <c r="T3025" i="5"/>
  <c r="B3021" i="5"/>
  <c r="M3021" i="5" s="1"/>
  <c r="B3022" i="5"/>
  <c r="M3022" i="5" s="1"/>
  <c r="J3021" i="5"/>
  <c r="J3022" i="5"/>
  <c r="K3022" i="5" s="1"/>
  <c r="T3021" i="5"/>
  <c r="T3022" i="5"/>
  <c r="B3019" i="5"/>
  <c r="M3019" i="5" s="1"/>
  <c r="B3020" i="5"/>
  <c r="Q3020" i="5" s="1"/>
  <c r="J3019" i="5"/>
  <c r="J3020" i="5"/>
  <c r="K3020" i="5" s="1"/>
  <c r="T3019" i="5"/>
  <c r="T3020" i="5"/>
  <c r="B3015" i="5"/>
  <c r="M3015" i="5" s="1"/>
  <c r="B3016" i="5"/>
  <c r="B3017" i="5"/>
  <c r="Q3017" i="5" s="1"/>
  <c r="B3018" i="5"/>
  <c r="Q3018" i="5" s="1"/>
  <c r="J3015" i="5"/>
  <c r="J3016" i="5"/>
  <c r="K3016" i="5" s="1"/>
  <c r="L3016" i="5" s="1"/>
  <c r="J3017" i="5"/>
  <c r="J3018" i="5"/>
  <c r="T3015" i="5"/>
  <c r="T3016" i="5"/>
  <c r="T3017" i="5"/>
  <c r="T3018" i="5"/>
  <c r="B3012" i="5"/>
  <c r="B3013" i="5"/>
  <c r="M3013" i="5" s="1"/>
  <c r="B3014" i="5"/>
  <c r="M3014" i="5" s="1"/>
  <c r="J3012" i="5"/>
  <c r="K3012" i="5" s="1"/>
  <c r="J3013" i="5"/>
  <c r="J3014" i="5"/>
  <c r="T3012" i="5"/>
  <c r="T3013" i="5"/>
  <c r="T3014" i="5"/>
  <c r="B3009" i="5"/>
  <c r="Q3009" i="5" s="1"/>
  <c r="B3010" i="5"/>
  <c r="Q3010" i="5" s="1"/>
  <c r="B3011" i="5"/>
  <c r="J3009" i="5"/>
  <c r="K3009" i="5" s="1"/>
  <c r="J3010" i="5"/>
  <c r="J3011" i="5"/>
  <c r="T3009" i="5"/>
  <c r="T3010" i="5"/>
  <c r="T3011" i="5"/>
  <c r="B3005" i="5"/>
  <c r="M3005" i="5" s="1"/>
  <c r="B3006" i="5"/>
  <c r="Q3006" i="5" s="1"/>
  <c r="B3007" i="5"/>
  <c r="M3007" i="5" s="1"/>
  <c r="B3008" i="5"/>
  <c r="J3005" i="5"/>
  <c r="K3005" i="5" s="1"/>
  <c r="J3006" i="5"/>
  <c r="K3006" i="5" s="1"/>
  <c r="J3007" i="5"/>
  <c r="K3007" i="5" s="1"/>
  <c r="J3008" i="5"/>
  <c r="T3005" i="5"/>
  <c r="T3006" i="5"/>
  <c r="T3007" i="5"/>
  <c r="T3008" i="5"/>
  <c r="B3004" i="5"/>
  <c r="M3004" i="5" s="1"/>
  <c r="J3004" i="5"/>
  <c r="K3004" i="5" s="1"/>
  <c r="L3004" i="5" s="1"/>
  <c r="P3004" i="5" s="1"/>
  <c r="T3004" i="5"/>
  <c r="B3002" i="5"/>
  <c r="M3002" i="5" s="1"/>
  <c r="B3003" i="5"/>
  <c r="J3002" i="5"/>
  <c r="K3002" i="5" s="1"/>
  <c r="L3002" i="5" s="1"/>
  <c r="J3003" i="5"/>
  <c r="K3003" i="5" s="1"/>
  <c r="T3002" i="5"/>
  <c r="T3003" i="5"/>
  <c r="B3000" i="5"/>
  <c r="M3000" i="5" s="1"/>
  <c r="B3001" i="5"/>
  <c r="M3001" i="5" s="1"/>
  <c r="J3000" i="5"/>
  <c r="J3001" i="5"/>
  <c r="K3001" i="5" s="1"/>
  <c r="T3000" i="5"/>
  <c r="T3001" i="5"/>
  <c r="B2996" i="5"/>
  <c r="M2996" i="5" s="1"/>
  <c r="B2997" i="5"/>
  <c r="M2997" i="5" s="1"/>
  <c r="B2998" i="5"/>
  <c r="B2999" i="5"/>
  <c r="Q2999" i="5" s="1"/>
  <c r="J2996" i="5"/>
  <c r="J2997" i="5"/>
  <c r="K2997" i="5" s="1"/>
  <c r="J2998" i="5"/>
  <c r="K2998" i="5" s="1"/>
  <c r="J2999" i="5"/>
  <c r="T2996" i="5"/>
  <c r="T2997" i="5"/>
  <c r="T2998" i="5"/>
  <c r="T2999" i="5"/>
  <c r="B2992" i="5"/>
  <c r="M2992" i="5" s="1"/>
  <c r="B2993" i="5"/>
  <c r="B2994" i="5"/>
  <c r="M2994" i="5" s="1"/>
  <c r="B2995" i="5"/>
  <c r="M2995" i="5" s="1"/>
  <c r="J2992" i="5"/>
  <c r="K2992" i="5" s="1"/>
  <c r="J2993" i="5"/>
  <c r="K2993" i="5" s="1"/>
  <c r="L2993" i="5" s="1"/>
  <c r="J2994" i="5"/>
  <c r="K2994" i="5" s="1"/>
  <c r="L2994" i="5" s="1"/>
  <c r="P2994" i="5" s="1"/>
  <c r="J2995" i="5"/>
  <c r="T2992" i="5"/>
  <c r="T2993" i="5"/>
  <c r="T2994" i="5"/>
  <c r="T2995" i="5"/>
  <c r="B2990" i="5"/>
  <c r="B2991" i="5"/>
  <c r="M2991" i="5" s="1"/>
  <c r="J2990" i="5"/>
  <c r="K2990" i="5" s="1"/>
  <c r="J2991" i="5"/>
  <c r="K2991" i="5" s="1"/>
  <c r="T2990" i="5"/>
  <c r="T2991" i="5"/>
  <c r="B2989" i="5"/>
  <c r="Q2989" i="5" s="1"/>
  <c r="J2989" i="5"/>
  <c r="K2989" i="5" s="1"/>
  <c r="T2989" i="5"/>
  <c r="B2986" i="5"/>
  <c r="Q2986" i="5" s="1"/>
  <c r="B2987" i="5"/>
  <c r="Q2987" i="5" s="1"/>
  <c r="B2988" i="5"/>
  <c r="J2986" i="5"/>
  <c r="K2986" i="5" s="1"/>
  <c r="J2987" i="5"/>
  <c r="K2987" i="5" s="1"/>
  <c r="J2988" i="5"/>
  <c r="K2988" i="5" s="1"/>
  <c r="L2988" i="5" s="1"/>
  <c r="P2988" i="5" s="1"/>
  <c r="T2986" i="5"/>
  <c r="T2987" i="5"/>
  <c r="T2988" i="5"/>
  <c r="B2983" i="5"/>
  <c r="B2984" i="5"/>
  <c r="Q2984" i="5" s="1"/>
  <c r="B2985" i="5"/>
  <c r="M2985" i="5" s="1"/>
  <c r="J2983" i="5"/>
  <c r="K2983" i="5" s="1"/>
  <c r="J2984" i="5"/>
  <c r="K2984" i="5" s="1"/>
  <c r="J2985" i="5"/>
  <c r="K2985" i="5" s="1"/>
  <c r="L2985" i="5" s="1"/>
  <c r="T2983" i="5"/>
  <c r="T2984" i="5"/>
  <c r="T2985" i="5"/>
  <c r="B2978" i="5"/>
  <c r="M2978" i="5" s="1"/>
  <c r="B2979" i="5"/>
  <c r="M2979" i="5" s="1"/>
  <c r="B2980" i="5"/>
  <c r="M2980" i="5" s="1"/>
  <c r="B2981" i="5"/>
  <c r="B2982" i="5"/>
  <c r="Q2982" i="5" s="1"/>
  <c r="J2978" i="5"/>
  <c r="K2978" i="5" s="1"/>
  <c r="J2979" i="5"/>
  <c r="K2979" i="5" s="1"/>
  <c r="L2979" i="5" s="1"/>
  <c r="P2979" i="5" s="1"/>
  <c r="J2980" i="5"/>
  <c r="J2981" i="5"/>
  <c r="K2981" i="5" s="1"/>
  <c r="J2982" i="5"/>
  <c r="K2982" i="5" s="1"/>
  <c r="T2978" i="5"/>
  <c r="T2979" i="5"/>
  <c r="T2980" i="5"/>
  <c r="T2981" i="5"/>
  <c r="T2982" i="5"/>
  <c r="B2973" i="5"/>
  <c r="B2974" i="5"/>
  <c r="Q2974" i="5" s="1"/>
  <c r="B2975" i="5"/>
  <c r="M2975" i="5" s="1"/>
  <c r="B2976" i="5"/>
  <c r="Q2976" i="5" s="1"/>
  <c r="B2977" i="5"/>
  <c r="J2973" i="5"/>
  <c r="J2974" i="5"/>
  <c r="K2974" i="5" s="1"/>
  <c r="J2975" i="5"/>
  <c r="K2975" i="5" s="1"/>
  <c r="J2976" i="5"/>
  <c r="K2976" i="5" s="1"/>
  <c r="J2977" i="5"/>
  <c r="K2977" i="5" s="1"/>
  <c r="L2977" i="5" s="1"/>
  <c r="P2977" i="5" s="1"/>
  <c r="T2973" i="5"/>
  <c r="T2974" i="5"/>
  <c r="T2975" i="5"/>
  <c r="T2976" i="5"/>
  <c r="T2977" i="5"/>
  <c r="B2972" i="5"/>
  <c r="J2972" i="5"/>
  <c r="K2972" i="5" s="1"/>
  <c r="T2972" i="5"/>
  <c r="B2969" i="5"/>
  <c r="Q2969" i="5" s="1"/>
  <c r="B2970" i="5"/>
  <c r="B2971" i="5"/>
  <c r="M2971" i="5" s="1"/>
  <c r="J2969" i="5"/>
  <c r="K2969" i="5" s="1"/>
  <c r="J2970" i="5"/>
  <c r="K2970" i="5" s="1"/>
  <c r="L2970" i="5" s="1"/>
  <c r="J2971" i="5"/>
  <c r="K2971" i="5" s="1"/>
  <c r="T2969" i="5"/>
  <c r="T2970" i="5"/>
  <c r="T2971" i="5"/>
  <c r="B2966" i="5"/>
  <c r="M2966" i="5" s="1"/>
  <c r="B2967" i="5"/>
  <c r="M2967" i="5" s="1"/>
  <c r="B2968" i="5"/>
  <c r="M2968" i="5" s="1"/>
  <c r="J2966" i="5"/>
  <c r="K2966" i="5" s="1"/>
  <c r="J2967" i="5"/>
  <c r="K2967" i="5" s="1"/>
  <c r="L2967" i="5" s="1"/>
  <c r="J2968" i="5"/>
  <c r="T2966" i="5"/>
  <c r="T2967" i="5"/>
  <c r="T2968" i="5"/>
  <c r="B2965" i="5"/>
  <c r="M2965" i="5" s="1"/>
  <c r="J2965" i="5"/>
  <c r="K2965" i="5" s="1"/>
  <c r="T2965" i="5"/>
  <c r="B2964" i="5"/>
  <c r="M2964" i="5" s="1"/>
  <c r="J2964" i="5"/>
  <c r="K2964" i="5" s="1"/>
  <c r="T2964" i="5"/>
  <c r="B2959" i="5"/>
  <c r="B2960" i="5"/>
  <c r="M2960" i="5" s="1"/>
  <c r="B2961" i="5"/>
  <c r="Q2961" i="5" s="1"/>
  <c r="B2962" i="5"/>
  <c r="M2962" i="5" s="1"/>
  <c r="B2963" i="5"/>
  <c r="Q2963" i="5" s="1"/>
  <c r="J2959" i="5"/>
  <c r="K2959" i="5" s="1"/>
  <c r="L2959" i="5" s="1"/>
  <c r="P2959" i="5" s="1"/>
  <c r="J2960" i="5"/>
  <c r="K2960" i="5" s="1"/>
  <c r="L2960" i="5" s="1"/>
  <c r="P2960" i="5" s="1"/>
  <c r="J2961" i="5"/>
  <c r="J2962" i="5"/>
  <c r="J2963" i="5"/>
  <c r="T2959" i="5"/>
  <c r="T2960" i="5"/>
  <c r="T2961" i="5"/>
  <c r="T2962" i="5"/>
  <c r="T2963" i="5"/>
  <c r="B2957" i="5"/>
  <c r="Q2957" i="5" s="1"/>
  <c r="B2958" i="5"/>
  <c r="Q2958" i="5" s="1"/>
  <c r="J2957" i="5"/>
  <c r="K2957" i="5" s="1"/>
  <c r="L2957" i="5" s="1"/>
  <c r="J2958" i="5"/>
  <c r="T2957" i="5"/>
  <c r="T2958" i="5"/>
  <c r="B2953" i="5"/>
  <c r="Q2953" i="5" s="1"/>
  <c r="B2954" i="5"/>
  <c r="Q2954" i="5" s="1"/>
  <c r="B2955" i="5"/>
  <c r="M2955" i="5" s="1"/>
  <c r="B2956" i="5"/>
  <c r="M2956" i="5" s="1"/>
  <c r="J2953" i="5"/>
  <c r="K2953" i="5" s="1"/>
  <c r="L2953" i="5" s="1"/>
  <c r="J2954" i="5"/>
  <c r="J2955" i="5"/>
  <c r="K2955" i="5" s="1"/>
  <c r="J2956" i="5"/>
  <c r="T2953" i="5"/>
  <c r="T2954" i="5"/>
  <c r="T2955" i="5"/>
  <c r="T2956" i="5"/>
  <c r="B2952" i="5"/>
  <c r="J2952" i="5"/>
  <c r="K2952" i="5" s="1"/>
  <c r="T2952" i="5"/>
  <c r="B2948" i="5"/>
  <c r="B2949" i="5"/>
  <c r="M2949" i="5" s="1"/>
  <c r="B2950" i="5"/>
  <c r="Q2950" i="5" s="1"/>
  <c r="B2951" i="5"/>
  <c r="Q2951" i="5" s="1"/>
  <c r="J2948" i="5"/>
  <c r="J2949" i="5"/>
  <c r="K2949" i="5" s="1"/>
  <c r="L2949" i="5" s="1"/>
  <c r="J2950" i="5"/>
  <c r="K2950" i="5" s="1"/>
  <c r="L2950" i="5" s="1"/>
  <c r="J2951" i="5"/>
  <c r="T2948" i="5"/>
  <c r="T2949" i="5"/>
  <c r="T2950" i="5"/>
  <c r="T2951" i="5"/>
  <c r="B2947" i="5"/>
  <c r="M2947" i="5" s="1"/>
  <c r="J2947" i="5"/>
  <c r="K2947" i="5" s="1"/>
  <c r="T2947" i="5"/>
  <c r="B2943" i="5"/>
  <c r="Q2943" i="5" s="1"/>
  <c r="B2944" i="5"/>
  <c r="Q2944" i="5" s="1"/>
  <c r="B2945" i="5"/>
  <c r="Q2945" i="5" s="1"/>
  <c r="B2946" i="5"/>
  <c r="Q2946" i="5" s="1"/>
  <c r="J2943" i="5"/>
  <c r="J2944" i="5"/>
  <c r="K2944" i="5" s="1"/>
  <c r="J2945" i="5"/>
  <c r="K2945" i="5" s="1"/>
  <c r="J2946" i="5"/>
  <c r="K2946" i="5" s="1"/>
  <c r="T2943" i="5"/>
  <c r="T2944" i="5"/>
  <c r="T2945" i="5"/>
  <c r="T2946" i="5"/>
  <c r="B2940" i="5"/>
  <c r="M2940" i="5" s="1"/>
  <c r="B2941" i="5"/>
  <c r="Q2941" i="5" s="1"/>
  <c r="B2942" i="5"/>
  <c r="M2942" i="5" s="1"/>
  <c r="J2940" i="5"/>
  <c r="K2940" i="5" s="1"/>
  <c r="L2940" i="5" s="1"/>
  <c r="P2940" i="5" s="1"/>
  <c r="J2941" i="5"/>
  <c r="K2941" i="5" s="1"/>
  <c r="J2942" i="5"/>
  <c r="K2942" i="5" s="1"/>
  <c r="T2940" i="5"/>
  <c r="T2941" i="5"/>
  <c r="T2942" i="5"/>
  <c r="B2938" i="5"/>
  <c r="B2939" i="5"/>
  <c r="Q2939" i="5" s="1"/>
  <c r="J2938" i="5"/>
  <c r="K2938" i="5" s="1"/>
  <c r="J2939" i="5"/>
  <c r="K2939" i="5" s="1"/>
  <c r="T2938" i="5"/>
  <c r="T2939" i="5"/>
  <c r="B2931" i="5"/>
  <c r="M2931" i="5" s="1"/>
  <c r="B2932" i="5"/>
  <c r="M2932" i="5" s="1"/>
  <c r="B2933" i="5"/>
  <c r="B2934" i="5"/>
  <c r="M2934" i="5" s="1"/>
  <c r="B2935" i="5"/>
  <c r="M2935" i="5" s="1"/>
  <c r="B2936" i="5"/>
  <c r="M2936" i="5" s="1"/>
  <c r="B2937" i="5"/>
  <c r="Q2937" i="5" s="1"/>
  <c r="J2931" i="5"/>
  <c r="K2931" i="5" s="1"/>
  <c r="J2932" i="5"/>
  <c r="K2932" i="5" s="1"/>
  <c r="J2933" i="5"/>
  <c r="K2933" i="5" s="1"/>
  <c r="J2934" i="5"/>
  <c r="K2934" i="5" s="1"/>
  <c r="J2935" i="5"/>
  <c r="K2935" i="5" s="1"/>
  <c r="J2936" i="5"/>
  <c r="J2937" i="5"/>
  <c r="K2937" i="5" s="1"/>
  <c r="L2937" i="5" s="1"/>
  <c r="T2931" i="5"/>
  <c r="T2932" i="5"/>
  <c r="T2933" i="5"/>
  <c r="T2934" i="5"/>
  <c r="T2935" i="5"/>
  <c r="T2936" i="5"/>
  <c r="T2937" i="5"/>
  <c r="B2928" i="5"/>
  <c r="M2928" i="5" s="1"/>
  <c r="B2929" i="5"/>
  <c r="M2929" i="5" s="1"/>
  <c r="B2930" i="5"/>
  <c r="M2930" i="5" s="1"/>
  <c r="J2928" i="5"/>
  <c r="K2928" i="5" s="1"/>
  <c r="J2929" i="5"/>
  <c r="K2929" i="5" s="1"/>
  <c r="J2930" i="5"/>
  <c r="K2930" i="5" s="1"/>
  <c r="T2928" i="5"/>
  <c r="T2929" i="5"/>
  <c r="T2930" i="5"/>
  <c r="B2926" i="5"/>
  <c r="Q2926" i="5" s="1"/>
  <c r="B2927" i="5"/>
  <c r="Q2927" i="5" s="1"/>
  <c r="J2926" i="5"/>
  <c r="K2926" i="5" s="1"/>
  <c r="J2927" i="5"/>
  <c r="K2927" i="5" s="1"/>
  <c r="T2926" i="5"/>
  <c r="T2927" i="5"/>
  <c r="B2921" i="5"/>
  <c r="Q2921" i="5" s="1"/>
  <c r="B2922" i="5"/>
  <c r="Q2922" i="5" s="1"/>
  <c r="B2923" i="5"/>
  <c r="M2923" i="5" s="1"/>
  <c r="B2924" i="5"/>
  <c r="B2925" i="5"/>
  <c r="M2925" i="5" s="1"/>
  <c r="J2921" i="5"/>
  <c r="K2921" i="5" s="1"/>
  <c r="J2922" i="5"/>
  <c r="J2923" i="5"/>
  <c r="J2924" i="5"/>
  <c r="K2924" i="5" s="1"/>
  <c r="J2925" i="5"/>
  <c r="T2921" i="5"/>
  <c r="T2922" i="5"/>
  <c r="T2923" i="5"/>
  <c r="T2924" i="5"/>
  <c r="T2925" i="5"/>
  <c r="B2918" i="5"/>
  <c r="M2918" i="5" s="1"/>
  <c r="B2919" i="5"/>
  <c r="M2919" i="5" s="1"/>
  <c r="B2920" i="5"/>
  <c r="M2920" i="5" s="1"/>
  <c r="J2918" i="5"/>
  <c r="K2918" i="5" s="1"/>
  <c r="L2918" i="5" s="1"/>
  <c r="P2918" i="5" s="1"/>
  <c r="J2919" i="5"/>
  <c r="K2919" i="5" s="1"/>
  <c r="J2920" i="5"/>
  <c r="K2920" i="5" s="1"/>
  <c r="T2918" i="5"/>
  <c r="T2919" i="5"/>
  <c r="T2920" i="5"/>
  <c r="B2915" i="5"/>
  <c r="Q2915" i="5" s="1"/>
  <c r="B2916" i="5"/>
  <c r="Q2916" i="5" s="1"/>
  <c r="B2917" i="5"/>
  <c r="J2915" i="5"/>
  <c r="J2916" i="5"/>
  <c r="K2916" i="5" s="1"/>
  <c r="J2917" i="5"/>
  <c r="K2917" i="5" s="1"/>
  <c r="T2915" i="5"/>
  <c r="T2916" i="5"/>
  <c r="T2917" i="5"/>
  <c r="B2911" i="5"/>
  <c r="M2911" i="5" s="1"/>
  <c r="B2912" i="5"/>
  <c r="Q2912" i="5" s="1"/>
  <c r="B2913" i="5"/>
  <c r="Q2913" i="5" s="1"/>
  <c r="B2914" i="5"/>
  <c r="M2914" i="5" s="1"/>
  <c r="J2911" i="5"/>
  <c r="K2911" i="5" s="1"/>
  <c r="J2912" i="5"/>
  <c r="K2912" i="5" s="1"/>
  <c r="L2912" i="5" s="1"/>
  <c r="J2913" i="5"/>
  <c r="J2914" i="5"/>
  <c r="T2911" i="5"/>
  <c r="T2912" i="5"/>
  <c r="T2913" i="5"/>
  <c r="T2914" i="5"/>
  <c r="B2909" i="5"/>
  <c r="M2909" i="5" s="1"/>
  <c r="B2910" i="5"/>
  <c r="Q2910" i="5" s="1"/>
  <c r="J2909" i="5"/>
  <c r="K2909" i="5" s="1"/>
  <c r="J2910" i="5"/>
  <c r="K2910" i="5" s="1"/>
  <c r="T2909" i="5"/>
  <c r="T2910" i="5"/>
  <c r="B2905" i="5"/>
  <c r="Q2905" i="5" s="1"/>
  <c r="B2906" i="5"/>
  <c r="Q2906" i="5" s="1"/>
  <c r="B2907" i="5"/>
  <c r="Q2907" i="5" s="1"/>
  <c r="B2908" i="5"/>
  <c r="M2908" i="5" s="1"/>
  <c r="J2905" i="5"/>
  <c r="K2905" i="5" s="1"/>
  <c r="J2906" i="5"/>
  <c r="K2906" i="5" s="1"/>
  <c r="L2906" i="5" s="1"/>
  <c r="J2907" i="5"/>
  <c r="J2908" i="5"/>
  <c r="T2905" i="5"/>
  <c r="T2906" i="5"/>
  <c r="T2907" i="5"/>
  <c r="T2908" i="5"/>
  <c r="B2903" i="5"/>
  <c r="Q2903" i="5" s="1"/>
  <c r="B2904" i="5"/>
  <c r="Q2904" i="5" s="1"/>
  <c r="J2903" i="5"/>
  <c r="K2903" i="5" s="1"/>
  <c r="J2904" i="5"/>
  <c r="K2904" i="5" s="1"/>
  <c r="T2903" i="5"/>
  <c r="T2904" i="5"/>
  <c r="B2898" i="5"/>
  <c r="B2899" i="5"/>
  <c r="M2899" i="5" s="1"/>
  <c r="B2900" i="5"/>
  <c r="M2900" i="5" s="1"/>
  <c r="B2901" i="5"/>
  <c r="M2901" i="5" s="1"/>
  <c r="B2902" i="5"/>
  <c r="M2902" i="5" s="1"/>
  <c r="J2898" i="5"/>
  <c r="K2898" i="5" s="1"/>
  <c r="J2899" i="5"/>
  <c r="J2900" i="5"/>
  <c r="K2900" i="5" s="1"/>
  <c r="J2901" i="5"/>
  <c r="K2901" i="5" s="1"/>
  <c r="L2901" i="5" s="1"/>
  <c r="J2902" i="5"/>
  <c r="T2898" i="5"/>
  <c r="T2899" i="5"/>
  <c r="T2900" i="5"/>
  <c r="T2901" i="5"/>
  <c r="T2902" i="5"/>
  <c r="B2896" i="5"/>
  <c r="M2896" i="5" s="1"/>
  <c r="B2897" i="5"/>
  <c r="M2897" i="5" s="1"/>
  <c r="J2896" i="5"/>
  <c r="J2897" i="5"/>
  <c r="T2896" i="5"/>
  <c r="T2897" i="5"/>
  <c r="B2888" i="5"/>
  <c r="M2888" i="5" s="1"/>
  <c r="B2889" i="5"/>
  <c r="M2889" i="5" s="1"/>
  <c r="B2890" i="5"/>
  <c r="B2891" i="5"/>
  <c r="Q2891" i="5" s="1"/>
  <c r="B2892" i="5"/>
  <c r="M2892" i="5" s="1"/>
  <c r="B2893" i="5"/>
  <c r="Q2893" i="5" s="1"/>
  <c r="B2894" i="5"/>
  <c r="M2894" i="5" s="1"/>
  <c r="B2895" i="5"/>
  <c r="M2895" i="5" s="1"/>
  <c r="J2888" i="5"/>
  <c r="J2889" i="5"/>
  <c r="J2890" i="5"/>
  <c r="K2890" i="5" s="1"/>
  <c r="J2891" i="5"/>
  <c r="K2891" i="5" s="1"/>
  <c r="J2892" i="5"/>
  <c r="K2892" i="5" s="1"/>
  <c r="L2892" i="5" s="1"/>
  <c r="J2893" i="5"/>
  <c r="J2894" i="5"/>
  <c r="J2895" i="5"/>
  <c r="T2888" i="5"/>
  <c r="T2889" i="5"/>
  <c r="T2890" i="5"/>
  <c r="T2891" i="5"/>
  <c r="T2892" i="5"/>
  <c r="T2893" i="5"/>
  <c r="T2894" i="5"/>
  <c r="T2895" i="5"/>
  <c r="B2884" i="5"/>
  <c r="M2884" i="5" s="1"/>
  <c r="B2885" i="5"/>
  <c r="M2885" i="5" s="1"/>
  <c r="B2886" i="5"/>
  <c r="B2887" i="5"/>
  <c r="M2887" i="5" s="1"/>
  <c r="J2884" i="5"/>
  <c r="K2884" i="5" s="1"/>
  <c r="J2885" i="5"/>
  <c r="K2885" i="5" s="1"/>
  <c r="J2886" i="5"/>
  <c r="K2886" i="5" s="1"/>
  <c r="L2886" i="5" s="1"/>
  <c r="J2887" i="5"/>
  <c r="K2887" i="5" s="1"/>
  <c r="T2884" i="5"/>
  <c r="T2885" i="5"/>
  <c r="T2886" i="5"/>
  <c r="T2887" i="5"/>
  <c r="B2881" i="5"/>
  <c r="Q2881" i="5" s="1"/>
  <c r="B2882" i="5"/>
  <c r="Q2882" i="5" s="1"/>
  <c r="B2883" i="5"/>
  <c r="J2881" i="5"/>
  <c r="K2881" i="5" s="1"/>
  <c r="J2882" i="5"/>
  <c r="K2882" i="5" s="1"/>
  <c r="J2883" i="5"/>
  <c r="K2883" i="5" s="1"/>
  <c r="L2883" i="5" s="1"/>
  <c r="T2881" i="5"/>
  <c r="T2882" i="5"/>
  <c r="T2883" i="5"/>
  <c r="B2877" i="5"/>
  <c r="Q2877" i="5" s="1"/>
  <c r="B2878" i="5"/>
  <c r="Q2878" i="5" s="1"/>
  <c r="B2879" i="5"/>
  <c r="M2879" i="5" s="1"/>
  <c r="B2880" i="5"/>
  <c r="Q2880" i="5" s="1"/>
  <c r="J2877" i="5"/>
  <c r="K2877" i="5" s="1"/>
  <c r="J2878" i="5"/>
  <c r="K2878" i="5" s="1"/>
  <c r="L2878" i="5" s="1"/>
  <c r="J2879" i="5"/>
  <c r="J2880" i="5"/>
  <c r="T2877" i="5"/>
  <c r="T2878" i="5"/>
  <c r="T2879" i="5"/>
  <c r="T2880" i="5"/>
  <c r="B2874" i="5"/>
  <c r="Q2874" i="5" s="1"/>
  <c r="B2875" i="5"/>
  <c r="Q2875" i="5" s="1"/>
  <c r="B2876" i="5"/>
  <c r="M2876" i="5" s="1"/>
  <c r="J2874" i="5"/>
  <c r="K2874" i="5" s="1"/>
  <c r="J2875" i="5"/>
  <c r="J2876" i="5"/>
  <c r="K2876" i="5" s="1"/>
  <c r="T2874" i="5"/>
  <c r="T2875" i="5"/>
  <c r="T2876" i="5"/>
  <c r="B2873" i="5"/>
  <c r="M2873" i="5" s="1"/>
  <c r="J2873" i="5"/>
  <c r="K2873" i="5" s="1"/>
  <c r="T2873" i="5"/>
  <c r="B2869" i="5"/>
  <c r="Q2869" i="5" s="1"/>
  <c r="B2870" i="5"/>
  <c r="M2870" i="5" s="1"/>
  <c r="B2871" i="5"/>
  <c r="Q2871" i="5" s="1"/>
  <c r="B2872" i="5"/>
  <c r="Q2872" i="5" s="1"/>
  <c r="J2869" i="5"/>
  <c r="J2870" i="5"/>
  <c r="K2870" i="5" s="1"/>
  <c r="J2871" i="5"/>
  <c r="K2871" i="5" s="1"/>
  <c r="L2871" i="5" s="1"/>
  <c r="J2872" i="5"/>
  <c r="T2869" i="5"/>
  <c r="T2870" i="5"/>
  <c r="T2871" i="5"/>
  <c r="T2872" i="5"/>
  <c r="B2865" i="5"/>
  <c r="Q2865" i="5" s="1"/>
  <c r="B2866" i="5"/>
  <c r="M2866" i="5" s="1"/>
  <c r="B2867" i="5"/>
  <c r="Q2867" i="5" s="1"/>
  <c r="B2868" i="5"/>
  <c r="M2868" i="5" s="1"/>
  <c r="J2865" i="5"/>
  <c r="K2865" i="5" s="1"/>
  <c r="J2866" i="5"/>
  <c r="K2866" i="5" s="1"/>
  <c r="J2867" i="5"/>
  <c r="J2868" i="5"/>
  <c r="T2865" i="5"/>
  <c r="T2866" i="5"/>
  <c r="T2867" i="5"/>
  <c r="T2868" i="5"/>
  <c r="B2863" i="5"/>
  <c r="Q2863" i="5" s="1"/>
  <c r="B2864" i="5"/>
  <c r="M2864" i="5" s="1"/>
  <c r="J2863" i="5"/>
  <c r="K2863" i="5" s="1"/>
  <c r="L2863" i="5" s="1"/>
  <c r="J2864" i="5"/>
  <c r="K2864" i="5" s="1"/>
  <c r="T2863" i="5"/>
  <c r="T2864" i="5"/>
  <c r="B2861" i="5"/>
  <c r="Q2861" i="5" s="1"/>
  <c r="B2862" i="5"/>
  <c r="M2862" i="5" s="1"/>
  <c r="J2861" i="5"/>
  <c r="K2861" i="5" s="1"/>
  <c r="J2862" i="5"/>
  <c r="K2862" i="5" s="1"/>
  <c r="L2862" i="5" s="1"/>
  <c r="T2861" i="5"/>
  <c r="T2862" i="5"/>
  <c r="B2858" i="5"/>
  <c r="B2859" i="5"/>
  <c r="Q2859" i="5" s="1"/>
  <c r="B2860" i="5"/>
  <c r="Q2860" i="5" s="1"/>
  <c r="J2858" i="5"/>
  <c r="K2858" i="5" s="1"/>
  <c r="J2859" i="5"/>
  <c r="K2859" i="5" s="1"/>
  <c r="J2860" i="5"/>
  <c r="K2860" i="5" s="1"/>
  <c r="T2858" i="5"/>
  <c r="T2859" i="5"/>
  <c r="T2860" i="5"/>
  <c r="B2856" i="5"/>
  <c r="M2856" i="5" s="1"/>
  <c r="B2857" i="5"/>
  <c r="M2857" i="5" s="1"/>
  <c r="J2856" i="5"/>
  <c r="J2857" i="5"/>
  <c r="T2856" i="5"/>
  <c r="T2857" i="5"/>
  <c r="B2853" i="5"/>
  <c r="M2853" i="5" s="1"/>
  <c r="B2854" i="5"/>
  <c r="M2854" i="5" s="1"/>
  <c r="B2855" i="5"/>
  <c r="Q2855" i="5" s="1"/>
  <c r="J2853" i="5"/>
  <c r="K2853" i="5" s="1"/>
  <c r="J2854" i="5"/>
  <c r="J2855" i="5"/>
  <c r="K2855" i="5" s="1"/>
  <c r="T2853" i="5"/>
  <c r="T2854" i="5"/>
  <c r="T2855" i="5"/>
  <c r="B2851" i="5"/>
  <c r="Q2851" i="5" s="1"/>
  <c r="B2852" i="5"/>
  <c r="M2852" i="5" s="1"/>
  <c r="J2851" i="5"/>
  <c r="K2851" i="5" s="1"/>
  <c r="J2852" i="5"/>
  <c r="K2852" i="5" s="1"/>
  <c r="T2851" i="5"/>
  <c r="T2852" i="5"/>
  <c r="B2850" i="5"/>
  <c r="M2850" i="5" s="1"/>
  <c r="J2850" i="5"/>
  <c r="K2850" i="5" s="1"/>
  <c r="T2850" i="5"/>
  <c r="B2847" i="5"/>
  <c r="M2847" i="5" s="1"/>
  <c r="B2848" i="5"/>
  <c r="M2848" i="5" s="1"/>
  <c r="B2849" i="5"/>
  <c r="M2849" i="5" s="1"/>
  <c r="J2847" i="5"/>
  <c r="K2847" i="5" s="1"/>
  <c r="J2848" i="5"/>
  <c r="K2848" i="5" s="1"/>
  <c r="J2849" i="5"/>
  <c r="K2849" i="5" s="1"/>
  <c r="T2847" i="5"/>
  <c r="T2848" i="5"/>
  <c r="T2849" i="5"/>
  <c r="B2844" i="5"/>
  <c r="Q2844" i="5" s="1"/>
  <c r="B2845" i="5"/>
  <c r="B2846" i="5"/>
  <c r="M2846" i="5" s="1"/>
  <c r="J2844" i="5"/>
  <c r="K2844" i="5" s="1"/>
  <c r="J2845" i="5"/>
  <c r="K2845" i="5" s="1"/>
  <c r="J2846" i="5"/>
  <c r="K2846" i="5" s="1"/>
  <c r="T2844" i="5"/>
  <c r="T2845" i="5"/>
  <c r="T2846" i="5"/>
  <c r="B2841" i="5"/>
  <c r="Q2841" i="5" s="1"/>
  <c r="B2842" i="5"/>
  <c r="M2842" i="5" s="1"/>
  <c r="B2843" i="5"/>
  <c r="Q2843" i="5" s="1"/>
  <c r="J2841" i="5"/>
  <c r="K2841" i="5" s="1"/>
  <c r="J2842" i="5"/>
  <c r="K2842" i="5" s="1"/>
  <c r="J2843" i="5"/>
  <c r="K2843" i="5" s="1"/>
  <c r="L2843" i="5" s="1"/>
  <c r="P2843" i="5" s="1"/>
  <c r="T2841" i="5"/>
  <c r="T2842" i="5"/>
  <c r="T2843" i="5"/>
  <c r="B2840" i="5"/>
  <c r="Q2840" i="5" s="1"/>
  <c r="J2840" i="5"/>
  <c r="K2840" i="5" s="1"/>
  <c r="L2840" i="5" s="1"/>
  <c r="T2840" i="5"/>
  <c r="B2838" i="5"/>
  <c r="B2839" i="5"/>
  <c r="Q2839" i="5" s="1"/>
  <c r="J2838" i="5"/>
  <c r="K2838" i="5" s="1"/>
  <c r="L2838" i="5" s="1"/>
  <c r="J2839" i="5"/>
  <c r="K2839" i="5" s="1"/>
  <c r="T2838" i="5"/>
  <c r="T2839" i="5"/>
  <c r="B2836" i="5"/>
  <c r="M2836" i="5" s="1"/>
  <c r="B2837" i="5"/>
  <c r="Q2837" i="5" s="1"/>
  <c r="J2836" i="5"/>
  <c r="J2837" i="5"/>
  <c r="K2837" i="5" s="1"/>
  <c r="T2836" i="5"/>
  <c r="T2837" i="5"/>
  <c r="B2832" i="5"/>
  <c r="Q2832" i="5" s="1"/>
  <c r="B2833" i="5"/>
  <c r="Q2833" i="5" s="1"/>
  <c r="B2834" i="5"/>
  <c r="Q2834" i="5" s="1"/>
  <c r="B2835" i="5"/>
  <c r="Q2835" i="5" s="1"/>
  <c r="J2832" i="5"/>
  <c r="J2833" i="5"/>
  <c r="K2833" i="5" s="1"/>
  <c r="L2833" i="5" s="1"/>
  <c r="J2834" i="5"/>
  <c r="K2834" i="5" s="1"/>
  <c r="J2835" i="5"/>
  <c r="K2835" i="5" s="1"/>
  <c r="T2832" i="5"/>
  <c r="T2833" i="5"/>
  <c r="T2834" i="5"/>
  <c r="T2835" i="5"/>
  <c r="B2827" i="5"/>
  <c r="Q2827" i="5" s="1"/>
  <c r="B2828" i="5"/>
  <c r="M2828" i="5" s="1"/>
  <c r="B2829" i="5"/>
  <c r="M2829" i="5" s="1"/>
  <c r="B2830" i="5"/>
  <c r="M2830" i="5" s="1"/>
  <c r="B2831" i="5"/>
  <c r="Q2831" i="5" s="1"/>
  <c r="J2827" i="5"/>
  <c r="J2828" i="5"/>
  <c r="J2829" i="5"/>
  <c r="K2829" i="5" s="1"/>
  <c r="J2830" i="5"/>
  <c r="K2830" i="5" s="1"/>
  <c r="J2831" i="5"/>
  <c r="K2831" i="5" s="1"/>
  <c r="L2831" i="5" s="1"/>
  <c r="T2827" i="5"/>
  <c r="T2828" i="5"/>
  <c r="T2829" i="5"/>
  <c r="T2830" i="5"/>
  <c r="T2831" i="5"/>
  <c r="B2826" i="5"/>
  <c r="M2826" i="5" s="1"/>
  <c r="J2826" i="5"/>
  <c r="K2826" i="5" s="1"/>
  <c r="L2826" i="5" s="1"/>
  <c r="P2826" i="5" s="1"/>
  <c r="T2826" i="5"/>
  <c r="B2823" i="5"/>
  <c r="B2824" i="5"/>
  <c r="M2824" i="5" s="1"/>
  <c r="B2825" i="5"/>
  <c r="M2825" i="5" s="1"/>
  <c r="J2823" i="5"/>
  <c r="K2823" i="5" s="1"/>
  <c r="L2823" i="5" s="1"/>
  <c r="J2824" i="5"/>
  <c r="K2824" i="5" s="1"/>
  <c r="J2825" i="5"/>
  <c r="K2825" i="5" s="1"/>
  <c r="T2823" i="5"/>
  <c r="T2824" i="5"/>
  <c r="T2825" i="5"/>
  <c r="B2820" i="5"/>
  <c r="M2820" i="5" s="1"/>
  <c r="B2821" i="5"/>
  <c r="M2821" i="5" s="1"/>
  <c r="B2822" i="5"/>
  <c r="Q2822" i="5" s="1"/>
  <c r="J2820" i="5"/>
  <c r="K2820" i="5" s="1"/>
  <c r="L2820" i="5" s="1"/>
  <c r="J2821" i="5"/>
  <c r="K2821" i="5" s="1"/>
  <c r="J2822" i="5"/>
  <c r="T2820" i="5"/>
  <c r="T2821" i="5"/>
  <c r="T2822" i="5"/>
  <c r="B2817" i="5"/>
  <c r="M2817" i="5" s="1"/>
  <c r="B2818" i="5"/>
  <c r="B2819" i="5"/>
  <c r="J2817" i="5"/>
  <c r="K2817" i="5" s="1"/>
  <c r="L2817" i="5" s="1"/>
  <c r="J2818" i="5"/>
  <c r="K2818" i="5" s="1"/>
  <c r="J2819" i="5"/>
  <c r="K2819" i="5" s="1"/>
  <c r="T2817" i="5"/>
  <c r="T2818" i="5"/>
  <c r="T2819" i="5"/>
  <c r="B2813" i="5"/>
  <c r="M2813" i="5" s="1"/>
  <c r="B2814" i="5"/>
  <c r="M2814" i="5" s="1"/>
  <c r="B2815" i="5"/>
  <c r="Q2815" i="5" s="1"/>
  <c r="B2816" i="5"/>
  <c r="M2816" i="5" s="1"/>
  <c r="J2813" i="5"/>
  <c r="J2814" i="5"/>
  <c r="K2814" i="5" s="1"/>
  <c r="J2815" i="5"/>
  <c r="K2815" i="5" s="1"/>
  <c r="J2816" i="5"/>
  <c r="K2816" i="5" s="1"/>
  <c r="T2813" i="5"/>
  <c r="T2814" i="5"/>
  <c r="T2815" i="5"/>
  <c r="T2816" i="5"/>
  <c r="B2812" i="5"/>
  <c r="J2812" i="5"/>
  <c r="K2812" i="5" s="1"/>
  <c r="T2812" i="5"/>
  <c r="B2811" i="5"/>
  <c r="M2811" i="5" s="1"/>
  <c r="J2811" i="5"/>
  <c r="T2811" i="5"/>
  <c r="B2810" i="5"/>
  <c r="Q2810" i="5" s="1"/>
  <c r="J2810" i="5"/>
  <c r="K2810" i="5" s="1"/>
  <c r="T2810" i="5"/>
  <c r="B2808" i="5"/>
  <c r="B2809" i="5"/>
  <c r="M2809" i="5" s="1"/>
  <c r="J2808" i="5"/>
  <c r="K2808" i="5" s="1"/>
  <c r="J2809" i="5"/>
  <c r="T2808" i="5"/>
  <c r="T2809" i="5"/>
  <c r="B2805" i="5"/>
  <c r="M2805" i="5" s="1"/>
  <c r="B2806" i="5"/>
  <c r="Q2806" i="5" s="1"/>
  <c r="B2807" i="5"/>
  <c r="M2807" i="5" s="1"/>
  <c r="J2805" i="5"/>
  <c r="K2805" i="5" s="1"/>
  <c r="L2805" i="5" s="1"/>
  <c r="J2806" i="5"/>
  <c r="K2806" i="5" s="1"/>
  <c r="L2806" i="5" s="1"/>
  <c r="J2807" i="5"/>
  <c r="K2807" i="5" s="1"/>
  <c r="T2805" i="5"/>
  <c r="T2806" i="5"/>
  <c r="T2807" i="5"/>
  <c r="B2803" i="5"/>
  <c r="Q2803" i="5" s="1"/>
  <c r="B2804" i="5"/>
  <c r="Q2804" i="5" s="1"/>
  <c r="J2803" i="5"/>
  <c r="K2803" i="5" s="1"/>
  <c r="L2803" i="5" s="1"/>
  <c r="J2804" i="5"/>
  <c r="K2804" i="5" s="1"/>
  <c r="L2804" i="5" s="1"/>
  <c r="T2803" i="5"/>
  <c r="T2804" i="5"/>
  <c r="B2802" i="5"/>
  <c r="M2802" i="5" s="1"/>
  <c r="J2802" i="5"/>
  <c r="K2802" i="5" s="1"/>
  <c r="T2802" i="5"/>
  <c r="B2796" i="5"/>
  <c r="M2796" i="5" s="1"/>
  <c r="B2797" i="5"/>
  <c r="Q2797" i="5" s="1"/>
  <c r="B2798" i="5"/>
  <c r="M2798" i="5" s="1"/>
  <c r="B2799" i="5"/>
  <c r="Q2799" i="5" s="1"/>
  <c r="B2800" i="5"/>
  <c r="Q2800" i="5" s="1"/>
  <c r="B2801" i="5"/>
  <c r="Q2801" i="5" s="1"/>
  <c r="J2796" i="5"/>
  <c r="K2796" i="5" s="1"/>
  <c r="L2796" i="5" s="1"/>
  <c r="P2796" i="5" s="1"/>
  <c r="J2797" i="5"/>
  <c r="K2797" i="5" s="1"/>
  <c r="J2798" i="5"/>
  <c r="K2798" i="5" s="1"/>
  <c r="J2799" i="5"/>
  <c r="J2800" i="5"/>
  <c r="J2801" i="5"/>
  <c r="K2801" i="5" s="1"/>
  <c r="L2801" i="5" s="1"/>
  <c r="P2801" i="5" s="1"/>
  <c r="T2796" i="5"/>
  <c r="T2797" i="5"/>
  <c r="T2798" i="5"/>
  <c r="T2799" i="5"/>
  <c r="T2800" i="5"/>
  <c r="T2801" i="5"/>
  <c r="B2795" i="5"/>
  <c r="M2795" i="5" s="1"/>
  <c r="J2795" i="5"/>
  <c r="K2795" i="5" s="1"/>
  <c r="L2795" i="5" s="1"/>
  <c r="T2795" i="5"/>
  <c r="B2794" i="5"/>
  <c r="J2794" i="5"/>
  <c r="T2794" i="5"/>
  <c r="B2793" i="5"/>
  <c r="M2793" i="5" s="1"/>
  <c r="J2793" i="5"/>
  <c r="K2793" i="5" s="1"/>
  <c r="T2793" i="5"/>
  <c r="B2791" i="5"/>
  <c r="M2791" i="5" s="1"/>
  <c r="B2792" i="5"/>
  <c r="J2791" i="5"/>
  <c r="K2791" i="5" s="1"/>
  <c r="J2792" i="5"/>
  <c r="T2791" i="5"/>
  <c r="T2792" i="5"/>
  <c r="B2789" i="5"/>
  <c r="M2789" i="5" s="1"/>
  <c r="B2790" i="5"/>
  <c r="Q2790" i="5" s="1"/>
  <c r="J2789" i="5"/>
  <c r="K2789" i="5" s="1"/>
  <c r="L2789" i="5" s="1"/>
  <c r="J2790" i="5"/>
  <c r="K2790" i="5" s="1"/>
  <c r="T2789" i="5"/>
  <c r="T2790" i="5"/>
  <c r="B2786" i="5"/>
  <c r="Q2786" i="5" s="1"/>
  <c r="B2787" i="5"/>
  <c r="Q2787" i="5" s="1"/>
  <c r="B2788" i="5"/>
  <c r="M2788" i="5" s="1"/>
  <c r="J2786" i="5"/>
  <c r="K2786" i="5" s="1"/>
  <c r="J2787" i="5"/>
  <c r="K2787" i="5" s="1"/>
  <c r="J2788" i="5"/>
  <c r="K2788" i="5" s="1"/>
  <c r="L2788" i="5" s="1"/>
  <c r="T2786" i="5"/>
  <c r="T2787" i="5"/>
  <c r="T2788" i="5"/>
  <c r="B2785" i="5"/>
  <c r="M2785" i="5" s="1"/>
  <c r="J2785" i="5"/>
  <c r="K2785" i="5" s="1"/>
  <c r="T2785" i="5"/>
  <c r="B2783" i="5"/>
  <c r="Q2783" i="5" s="1"/>
  <c r="B2784" i="5"/>
  <c r="M2784" i="5" s="1"/>
  <c r="J2783" i="5"/>
  <c r="J2784" i="5"/>
  <c r="T2783" i="5"/>
  <c r="T2784" i="5"/>
  <c r="B2780" i="5"/>
  <c r="Q2780" i="5" s="1"/>
  <c r="B2781" i="5"/>
  <c r="Q2781" i="5" s="1"/>
  <c r="B2782" i="5"/>
  <c r="Q2782" i="5" s="1"/>
  <c r="J2780" i="5"/>
  <c r="K2780" i="5" s="1"/>
  <c r="J2781" i="5"/>
  <c r="K2781" i="5" s="1"/>
  <c r="J2782" i="5"/>
  <c r="K2782" i="5" s="1"/>
  <c r="T2780" i="5"/>
  <c r="T2781" i="5"/>
  <c r="T2782" i="5"/>
  <c r="B2779" i="5"/>
  <c r="M2779" i="5" s="1"/>
  <c r="J2779" i="5"/>
  <c r="K2779" i="5" s="1"/>
  <c r="T2779" i="5"/>
  <c r="B2775" i="5"/>
  <c r="Q2775" i="5" s="1"/>
  <c r="B2776" i="5"/>
  <c r="M2776" i="5" s="1"/>
  <c r="B2777" i="5"/>
  <c r="M2777" i="5" s="1"/>
  <c r="B2778" i="5"/>
  <c r="J2775" i="5"/>
  <c r="K2775" i="5" s="1"/>
  <c r="J2776" i="5"/>
  <c r="J2777" i="5"/>
  <c r="J2778" i="5"/>
  <c r="K2778" i="5" s="1"/>
  <c r="T2775" i="5"/>
  <c r="T2776" i="5"/>
  <c r="T2777" i="5"/>
  <c r="T2778" i="5"/>
  <c r="B2773" i="5"/>
  <c r="M2773" i="5" s="1"/>
  <c r="B2774" i="5"/>
  <c r="Q2774" i="5" s="1"/>
  <c r="J2773" i="5"/>
  <c r="K2773" i="5" s="1"/>
  <c r="J2774" i="5"/>
  <c r="K2774" i="5" s="1"/>
  <c r="T2773" i="5"/>
  <c r="T2774" i="5"/>
  <c r="B2771" i="5"/>
  <c r="Q2771" i="5" s="1"/>
  <c r="B2772" i="5"/>
  <c r="M2772" i="5" s="1"/>
  <c r="J2771" i="5"/>
  <c r="K2771" i="5" s="1"/>
  <c r="J2772" i="5"/>
  <c r="K2772" i="5" s="1"/>
  <c r="L2772" i="5" s="1"/>
  <c r="T2771" i="5"/>
  <c r="T2772" i="5"/>
  <c r="B2770" i="5"/>
  <c r="M2770" i="5" s="1"/>
  <c r="J2770" i="5"/>
  <c r="K2770" i="5" s="1"/>
  <c r="T2770" i="5"/>
  <c r="B2768" i="5"/>
  <c r="M2768" i="5" s="1"/>
  <c r="B2769" i="5"/>
  <c r="M2769" i="5" s="1"/>
  <c r="J2768" i="5"/>
  <c r="K2768" i="5" s="1"/>
  <c r="J2769" i="5"/>
  <c r="K2769" i="5" s="1"/>
  <c r="T2768" i="5"/>
  <c r="T2769" i="5"/>
  <c r="B2766" i="5"/>
  <c r="M2766" i="5" s="1"/>
  <c r="B2767" i="5"/>
  <c r="M2767" i="5" s="1"/>
  <c r="J2766" i="5"/>
  <c r="K2766" i="5" s="1"/>
  <c r="J2767" i="5"/>
  <c r="K2767" i="5" s="1"/>
  <c r="L2767" i="5" s="1"/>
  <c r="T2766" i="5"/>
  <c r="T2767" i="5"/>
  <c r="B2765" i="5"/>
  <c r="M2765" i="5" s="1"/>
  <c r="J2765" i="5"/>
  <c r="K2765" i="5" s="1"/>
  <c r="T2765" i="5"/>
  <c r="B2764" i="5"/>
  <c r="Q2764" i="5" s="1"/>
  <c r="J2764" i="5"/>
  <c r="K2764" i="5" s="1"/>
  <c r="T2764" i="5"/>
  <c r="B2763" i="5"/>
  <c r="Q2763" i="5" s="1"/>
  <c r="J2763" i="5"/>
  <c r="K2763" i="5" s="1"/>
  <c r="T2763" i="5"/>
  <c r="B2762" i="5"/>
  <c r="Q2762" i="5" s="1"/>
  <c r="J2762" i="5"/>
  <c r="T2762" i="5"/>
  <c r="B2760" i="5"/>
  <c r="M2760" i="5" s="1"/>
  <c r="B2761" i="5"/>
  <c r="M2761" i="5" s="1"/>
  <c r="J2760" i="5"/>
  <c r="J2761" i="5"/>
  <c r="K2761" i="5" s="1"/>
  <c r="T2760" i="5"/>
  <c r="T2761" i="5"/>
  <c r="B2758" i="5"/>
  <c r="M2758" i="5" s="1"/>
  <c r="B2759" i="5"/>
  <c r="Q2759" i="5" s="1"/>
  <c r="J2758" i="5"/>
  <c r="K2758" i="5" s="1"/>
  <c r="L2758" i="5" s="1"/>
  <c r="J2759" i="5"/>
  <c r="K2759" i="5" s="1"/>
  <c r="L2759" i="5" s="1"/>
  <c r="P2759" i="5" s="1"/>
  <c r="T2758" i="5"/>
  <c r="T2759" i="5"/>
  <c r="B2756" i="5"/>
  <c r="M2756" i="5" s="1"/>
  <c r="B2757" i="5"/>
  <c r="M2757" i="5" s="1"/>
  <c r="J2756" i="5"/>
  <c r="K2756" i="5" s="1"/>
  <c r="J2757" i="5"/>
  <c r="K2757" i="5" s="1"/>
  <c r="T2756" i="5"/>
  <c r="T2757" i="5"/>
  <c r="B2754" i="5"/>
  <c r="M2754" i="5" s="1"/>
  <c r="B2755" i="5"/>
  <c r="M2755" i="5" s="1"/>
  <c r="J2754" i="5"/>
  <c r="J2755" i="5"/>
  <c r="K2755" i="5" s="1"/>
  <c r="T2754" i="5"/>
  <c r="T2755" i="5"/>
  <c r="B2752" i="5"/>
  <c r="M2752" i="5" s="1"/>
  <c r="B2753" i="5"/>
  <c r="M2753" i="5" s="1"/>
  <c r="J2752" i="5"/>
  <c r="J2753" i="5"/>
  <c r="T2752" i="5"/>
  <c r="T2753" i="5"/>
  <c r="B2750" i="5"/>
  <c r="M2750" i="5" s="1"/>
  <c r="B2751" i="5"/>
  <c r="Q2751" i="5" s="1"/>
  <c r="J2750" i="5"/>
  <c r="K2750" i="5" s="1"/>
  <c r="L2750" i="5" s="1"/>
  <c r="P2750" i="5" s="1"/>
  <c r="J2751" i="5"/>
  <c r="K2751" i="5" s="1"/>
  <c r="T2750" i="5"/>
  <c r="T2751" i="5"/>
  <c r="B2747" i="5"/>
  <c r="M2747" i="5" s="1"/>
  <c r="B2748" i="5"/>
  <c r="Q2748" i="5" s="1"/>
  <c r="B2749" i="5"/>
  <c r="Q2749" i="5" s="1"/>
  <c r="J2747" i="5"/>
  <c r="K2747" i="5" s="1"/>
  <c r="L2747" i="5" s="1"/>
  <c r="J2748" i="5"/>
  <c r="K2748" i="5" s="1"/>
  <c r="J2749" i="5"/>
  <c r="T2747" i="5"/>
  <c r="T2748" i="5"/>
  <c r="T2749" i="5"/>
  <c r="B2744" i="5"/>
  <c r="M2744" i="5" s="1"/>
  <c r="B2745" i="5"/>
  <c r="Q2745" i="5" s="1"/>
  <c r="B2746" i="5"/>
  <c r="Q2746" i="5" s="1"/>
  <c r="J2744" i="5"/>
  <c r="K2744" i="5" s="1"/>
  <c r="L2744" i="5" s="1"/>
  <c r="J2745" i="5"/>
  <c r="K2745" i="5" s="1"/>
  <c r="J2746" i="5"/>
  <c r="T2744" i="5"/>
  <c r="T2745" i="5"/>
  <c r="T2746" i="5"/>
  <c r="B2743" i="5"/>
  <c r="M2743" i="5" s="1"/>
  <c r="J2743" i="5"/>
  <c r="K2743" i="5" s="1"/>
  <c r="T2743" i="5"/>
  <c r="B2738" i="5"/>
  <c r="M2738" i="5" s="1"/>
  <c r="B2739" i="5"/>
  <c r="M2739" i="5" s="1"/>
  <c r="B2740" i="5"/>
  <c r="M2740" i="5" s="1"/>
  <c r="B2741" i="5"/>
  <c r="M2741" i="5" s="1"/>
  <c r="B2742" i="5"/>
  <c r="Q2742" i="5" s="1"/>
  <c r="J2738" i="5"/>
  <c r="J2739" i="5"/>
  <c r="J2740" i="5"/>
  <c r="K2740" i="5" s="1"/>
  <c r="L2740" i="5" s="1"/>
  <c r="J2741" i="5"/>
  <c r="K2741" i="5" s="1"/>
  <c r="L2741" i="5" s="1"/>
  <c r="P2741" i="5" s="1"/>
  <c r="J2742" i="5"/>
  <c r="T2738" i="5"/>
  <c r="T2739" i="5"/>
  <c r="T2740" i="5"/>
  <c r="T2741" i="5"/>
  <c r="T2742" i="5"/>
  <c r="B2737" i="5"/>
  <c r="Q2737" i="5" s="1"/>
  <c r="J2737" i="5"/>
  <c r="T2737" i="5"/>
  <c r="B2735" i="5"/>
  <c r="Q2735" i="5" s="1"/>
  <c r="B2736" i="5"/>
  <c r="M2736" i="5" s="1"/>
  <c r="J2735" i="5"/>
  <c r="K2735" i="5" s="1"/>
  <c r="L2735" i="5" s="1"/>
  <c r="J2736" i="5"/>
  <c r="K2736" i="5" s="1"/>
  <c r="T2735" i="5"/>
  <c r="T2736" i="5"/>
  <c r="B2732" i="5"/>
  <c r="M2732" i="5" s="1"/>
  <c r="B2733" i="5"/>
  <c r="M2733" i="5" s="1"/>
  <c r="B2734" i="5"/>
  <c r="Q2734" i="5" s="1"/>
  <c r="J2732" i="5"/>
  <c r="K2732" i="5" s="1"/>
  <c r="L2732" i="5" s="1"/>
  <c r="J2733" i="5"/>
  <c r="K2733" i="5" s="1"/>
  <c r="J2734" i="5"/>
  <c r="K2734" i="5" s="1"/>
  <c r="L2734" i="5" s="1"/>
  <c r="T2732" i="5"/>
  <c r="T2733" i="5"/>
  <c r="T2734" i="5"/>
  <c r="B2729" i="5"/>
  <c r="Q2729" i="5" s="1"/>
  <c r="B2730" i="5"/>
  <c r="M2730" i="5" s="1"/>
  <c r="B2731" i="5"/>
  <c r="Q2731" i="5" s="1"/>
  <c r="J2729" i="5"/>
  <c r="K2729" i="5" s="1"/>
  <c r="L2729" i="5" s="1"/>
  <c r="J2730" i="5"/>
  <c r="K2730" i="5" s="1"/>
  <c r="J2731" i="5"/>
  <c r="K2731" i="5" s="1"/>
  <c r="L2731" i="5" s="1"/>
  <c r="T2729" i="5"/>
  <c r="T2730" i="5"/>
  <c r="T2731" i="5"/>
  <c r="B2728" i="5"/>
  <c r="M2728" i="5" s="1"/>
  <c r="J2728" i="5"/>
  <c r="T2728" i="5"/>
  <c r="B2721" i="5"/>
  <c r="M2721" i="5" s="1"/>
  <c r="B2722" i="5"/>
  <c r="Q2722" i="5" s="1"/>
  <c r="B2723" i="5"/>
  <c r="M2723" i="5" s="1"/>
  <c r="B2724" i="5"/>
  <c r="Q2724" i="5" s="1"/>
  <c r="B2725" i="5"/>
  <c r="Q2725" i="5" s="1"/>
  <c r="B2726" i="5"/>
  <c r="Q2726" i="5" s="1"/>
  <c r="B2727" i="5"/>
  <c r="M2727" i="5" s="1"/>
  <c r="J2721" i="5"/>
  <c r="K2721" i="5" s="1"/>
  <c r="L2721" i="5" s="1"/>
  <c r="P2721" i="5" s="1"/>
  <c r="J2722" i="5"/>
  <c r="K2722" i="5" s="1"/>
  <c r="J2723" i="5"/>
  <c r="K2723" i="5" s="1"/>
  <c r="J2724" i="5"/>
  <c r="J2725" i="5"/>
  <c r="K2725" i="5" s="1"/>
  <c r="J2726" i="5"/>
  <c r="K2726" i="5" s="1"/>
  <c r="L2726" i="5" s="1"/>
  <c r="J2727" i="5"/>
  <c r="K2727" i="5" s="1"/>
  <c r="L2727" i="5" s="1"/>
  <c r="P2727" i="5" s="1"/>
  <c r="T2721" i="5"/>
  <c r="T2722" i="5"/>
  <c r="T2723" i="5"/>
  <c r="T2724" i="5"/>
  <c r="T2725" i="5"/>
  <c r="T2726" i="5"/>
  <c r="T2727" i="5"/>
  <c r="B2719" i="5"/>
  <c r="M2719" i="5" s="1"/>
  <c r="B2720" i="5"/>
  <c r="Q2720" i="5" s="1"/>
  <c r="J2719" i="5"/>
  <c r="K2719" i="5" s="1"/>
  <c r="J2720" i="5"/>
  <c r="K2720" i="5" s="1"/>
  <c r="T2719" i="5"/>
  <c r="T2720" i="5"/>
  <c r="B2715" i="5"/>
  <c r="M2715" i="5" s="1"/>
  <c r="B2716" i="5"/>
  <c r="Q2716" i="5" s="1"/>
  <c r="B2717" i="5"/>
  <c r="M2717" i="5" s="1"/>
  <c r="B2718" i="5"/>
  <c r="M2718" i="5" s="1"/>
  <c r="J2715" i="5"/>
  <c r="J2716" i="5"/>
  <c r="K2716" i="5" s="1"/>
  <c r="J2717" i="5"/>
  <c r="K2717" i="5" s="1"/>
  <c r="L2717" i="5" s="1"/>
  <c r="J2718" i="5"/>
  <c r="K2718" i="5" s="1"/>
  <c r="T2715" i="5"/>
  <c r="T2716" i="5"/>
  <c r="T2717" i="5"/>
  <c r="T2718" i="5"/>
  <c r="B2712" i="5"/>
  <c r="Q2712" i="5" s="1"/>
  <c r="B2713" i="5"/>
  <c r="Q2713" i="5" s="1"/>
  <c r="B2714" i="5"/>
  <c r="M2714" i="5" s="1"/>
  <c r="J2712" i="5"/>
  <c r="K2712" i="5" s="1"/>
  <c r="L2712" i="5" s="1"/>
  <c r="J2713" i="5"/>
  <c r="K2713" i="5" s="1"/>
  <c r="J2714" i="5"/>
  <c r="K2714" i="5" s="1"/>
  <c r="L2714" i="5" s="1"/>
  <c r="T2712" i="5"/>
  <c r="T2713" i="5"/>
  <c r="T2714" i="5"/>
  <c r="B2710" i="5"/>
  <c r="Q2710" i="5" s="1"/>
  <c r="B2711" i="5"/>
  <c r="Q2711" i="5" s="1"/>
  <c r="J2710" i="5"/>
  <c r="K2710" i="5" s="1"/>
  <c r="J2711" i="5"/>
  <c r="K2711" i="5" s="1"/>
  <c r="T2710" i="5"/>
  <c r="T2711" i="5"/>
  <c r="B2708" i="5"/>
  <c r="M2708" i="5" s="1"/>
  <c r="B2709" i="5"/>
  <c r="M2709" i="5" s="1"/>
  <c r="J2708" i="5"/>
  <c r="K2708" i="5" s="1"/>
  <c r="J2709" i="5"/>
  <c r="K2709" i="5" s="1"/>
  <c r="T2708" i="5"/>
  <c r="T2709" i="5"/>
  <c r="B2699" i="5"/>
  <c r="Q2699" i="5" s="1"/>
  <c r="B2700" i="5"/>
  <c r="Q2700" i="5" s="1"/>
  <c r="B2701" i="5"/>
  <c r="Q2701" i="5" s="1"/>
  <c r="B2702" i="5"/>
  <c r="M2702" i="5" s="1"/>
  <c r="B2703" i="5"/>
  <c r="Q2703" i="5" s="1"/>
  <c r="B2704" i="5"/>
  <c r="Q2704" i="5" s="1"/>
  <c r="B2705" i="5"/>
  <c r="Q2705" i="5" s="1"/>
  <c r="B2706" i="5"/>
  <c r="Q2706" i="5" s="1"/>
  <c r="B2707" i="5"/>
  <c r="Q2707" i="5" s="1"/>
  <c r="J2699" i="5"/>
  <c r="K2699" i="5" s="1"/>
  <c r="J2700" i="5"/>
  <c r="K2700" i="5" s="1"/>
  <c r="J2701" i="5"/>
  <c r="K2701" i="5" s="1"/>
  <c r="L2701" i="5" s="1"/>
  <c r="J2702" i="5"/>
  <c r="K2702" i="5" s="1"/>
  <c r="J2703" i="5"/>
  <c r="K2703" i="5" s="1"/>
  <c r="L2703" i="5" s="1"/>
  <c r="J2704" i="5"/>
  <c r="K2704" i="5" s="1"/>
  <c r="J2705" i="5"/>
  <c r="K2705" i="5" s="1"/>
  <c r="J2706" i="5"/>
  <c r="K2706" i="5" s="1"/>
  <c r="J2707" i="5"/>
  <c r="K2707" i="5" s="1"/>
  <c r="L2707" i="5" s="1"/>
  <c r="T2699" i="5"/>
  <c r="T2700" i="5"/>
  <c r="T2701" i="5"/>
  <c r="T2702" i="5"/>
  <c r="T2703" i="5"/>
  <c r="T2704" i="5"/>
  <c r="T2705" i="5"/>
  <c r="T2706" i="5"/>
  <c r="T2707" i="5"/>
  <c r="B2692" i="5"/>
  <c r="M2692" i="5" s="1"/>
  <c r="B2693" i="5"/>
  <c r="M2693" i="5" s="1"/>
  <c r="B2694" i="5"/>
  <c r="Q2694" i="5" s="1"/>
  <c r="B2695" i="5"/>
  <c r="M2695" i="5" s="1"/>
  <c r="B2696" i="5"/>
  <c r="M2696" i="5" s="1"/>
  <c r="B2697" i="5"/>
  <c r="M2697" i="5" s="1"/>
  <c r="B2698" i="5"/>
  <c r="M2698" i="5" s="1"/>
  <c r="J2692" i="5"/>
  <c r="K2692" i="5" s="1"/>
  <c r="L2692" i="5" s="1"/>
  <c r="J2693" i="5"/>
  <c r="K2693" i="5" s="1"/>
  <c r="J2694" i="5"/>
  <c r="J2695" i="5"/>
  <c r="K2695" i="5" s="1"/>
  <c r="J2696" i="5"/>
  <c r="K2696" i="5" s="1"/>
  <c r="L2696" i="5" s="1"/>
  <c r="P2696" i="5" s="1"/>
  <c r="J2697" i="5"/>
  <c r="K2697" i="5" s="1"/>
  <c r="L2697" i="5" s="1"/>
  <c r="P2697" i="5" s="1"/>
  <c r="J2698" i="5"/>
  <c r="K2698" i="5" s="1"/>
  <c r="L2698" i="5" s="1"/>
  <c r="T2692" i="5"/>
  <c r="T2693" i="5"/>
  <c r="T2694" i="5"/>
  <c r="T2695" i="5"/>
  <c r="T2696" i="5"/>
  <c r="T2697" i="5"/>
  <c r="T2698" i="5"/>
  <c r="B2686" i="5"/>
  <c r="Q2686" i="5" s="1"/>
  <c r="B2687" i="5"/>
  <c r="M2687" i="5" s="1"/>
  <c r="B2688" i="5"/>
  <c r="Q2688" i="5" s="1"/>
  <c r="B2689" i="5"/>
  <c r="Q2689" i="5" s="1"/>
  <c r="B2690" i="5"/>
  <c r="M2690" i="5" s="1"/>
  <c r="B2691" i="5"/>
  <c r="M2691" i="5" s="1"/>
  <c r="J2686" i="5"/>
  <c r="K2686" i="5" s="1"/>
  <c r="L2686" i="5" s="1"/>
  <c r="J2687" i="5"/>
  <c r="K2687" i="5" s="1"/>
  <c r="J2688" i="5"/>
  <c r="K2688" i="5" s="1"/>
  <c r="L2688" i="5" s="1"/>
  <c r="J2689" i="5"/>
  <c r="J2690" i="5"/>
  <c r="K2690" i="5" s="1"/>
  <c r="L2690" i="5" s="1"/>
  <c r="J2691" i="5"/>
  <c r="K2691" i="5" s="1"/>
  <c r="L2691" i="5" s="1"/>
  <c r="P2691" i="5" s="1"/>
  <c r="T2686" i="5"/>
  <c r="T2687" i="5"/>
  <c r="T2688" i="5"/>
  <c r="T2689" i="5"/>
  <c r="T2690" i="5"/>
  <c r="T2691" i="5"/>
  <c r="B2685" i="5"/>
  <c r="M2685" i="5" s="1"/>
  <c r="J2685" i="5"/>
  <c r="T2685" i="5"/>
  <c r="B2683" i="5"/>
  <c r="M2683" i="5" s="1"/>
  <c r="B2684" i="5"/>
  <c r="Q2684" i="5" s="1"/>
  <c r="J2683" i="5"/>
  <c r="K2683" i="5" s="1"/>
  <c r="J2684" i="5"/>
  <c r="T2683" i="5"/>
  <c r="T2684" i="5"/>
  <c r="B2682" i="5"/>
  <c r="Q2682" i="5" s="1"/>
  <c r="J2682" i="5"/>
  <c r="K2682" i="5" s="1"/>
  <c r="T2682" i="5"/>
  <c r="B2681" i="5"/>
  <c r="Q2681" i="5" s="1"/>
  <c r="J2681" i="5"/>
  <c r="K2681" i="5" s="1"/>
  <c r="T2681" i="5"/>
  <c r="B2680" i="5"/>
  <c r="M2680" i="5" s="1"/>
  <c r="J2680" i="5"/>
  <c r="K2680" i="5" s="1"/>
  <c r="L2680" i="5" s="1"/>
  <c r="T2680" i="5"/>
  <c r="B2677" i="5"/>
  <c r="Q2677" i="5" s="1"/>
  <c r="B2678" i="5"/>
  <c r="M2678" i="5" s="1"/>
  <c r="B2679" i="5"/>
  <c r="M2679" i="5" s="1"/>
  <c r="J2677" i="5"/>
  <c r="K2677" i="5" s="1"/>
  <c r="J2678" i="5"/>
  <c r="K2678" i="5" s="1"/>
  <c r="J2679" i="5"/>
  <c r="K2679" i="5" s="1"/>
  <c r="L2679" i="5" s="1"/>
  <c r="T2677" i="5"/>
  <c r="T2678" i="5"/>
  <c r="T2679" i="5"/>
  <c r="B2676" i="5"/>
  <c r="M2676" i="5" s="1"/>
  <c r="J2676" i="5"/>
  <c r="K2676" i="5" s="1"/>
  <c r="T2676" i="5"/>
  <c r="B2674" i="5"/>
  <c r="Q2674" i="5" s="1"/>
  <c r="B2675" i="5"/>
  <c r="M2675" i="5" s="1"/>
  <c r="J2674" i="5"/>
  <c r="K2674" i="5" s="1"/>
  <c r="L2674" i="5" s="1"/>
  <c r="J2675" i="5"/>
  <c r="K2675" i="5" s="1"/>
  <c r="T2674" i="5"/>
  <c r="T2675" i="5"/>
  <c r="B2672" i="5"/>
  <c r="M2672" i="5" s="1"/>
  <c r="B2673" i="5"/>
  <c r="M2673" i="5" s="1"/>
  <c r="J2672" i="5"/>
  <c r="K2672" i="5" s="1"/>
  <c r="L2672" i="5" s="1"/>
  <c r="J2673" i="5"/>
  <c r="K2673" i="5" s="1"/>
  <c r="T2672" i="5"/>
  <c r="T2673" i="5"/>
  <c r="B2669" i="5"/>
  <c r="Q2669" i="5" s="1"/>
  <c r="B2670" i="5"/>
  <c r="M2670" i="5" s="1"/>
  <c r="B2671" i="5"/>
  <c r="Q2671" i="5" s="1"/>
  <c r="J2669" i="5"/>
  <c r="K2669" i="5" s="1"/>
  <c r="L2669" i="5" s="1"/>
  <c r="J2670" i="5"/>
  <c r="K2670" i="5" s="1"/>
  <c r="J2671" i="5"/>
  <c r="K2671" i="5" s="1"/>
  <c r="L2671" i="5" s="1"/>
  <c r="T2669" i="5"/>
  <c r="T2670" i="5"/>
  <c r="T2671" i="5"/>
  <c r="B2667" i="5"/>
  <c r="Q2667" i="5" s="1"/>
  <c r="B2668" i="5"/>
  <c r="Q2668" i="5" s="1"/>
  <c r="J2667" i="5"/>
  <c r="J2668" i="5"/>
  <c r="K2668" i="5" s="1"/>
  <c r="T2667" i="5"/>
  <c r="T2668" i="5"/>
  <c r="B2666" i="5"/>
  <c r="Q2666" i="5" s="1"/>
  <c r="J2666" i="5"/>
  <c r="K2666" i="5" s="1"/>
  <c r="L2666" i="5" s="1"/>
  <c r="T2666" i="5"/>
  <c r="B2664" i="5"/>
  <c r="M2664" i="5" s="1"/>
  <c r="B2665" i="5"/>
  <c r="M2665" i="5" s="1"/>
  <c r="J2664" i="5"/>
  <c r="K2664" i="5" s="1"/>
  <c r="L2664" i="5" s="1"/>
  <c r="J2665" i="5"/>
  <c r="K2665" i="5" s="1"/>
  <c r="L2665" i="5" s="1"/>
  <c r="T2664" i="5"/>
  <c r="T2665" i="5"/>
  <c r="B2662" i="5"/>
  <c r="M2662" i="5" s="1"/>
  <c r="B2663" i="5"/>
  <c r="M2663" i="5" s="1"/>
  <c r="J2662" i="5"/>
  <c r="K2662" i="5" s="1"/>
  <c r="J2663" i="5"/>
  <c r="K2663" i="5" s="1"/>
  <c r="L2663" i="5" s="1"/>
  <c r="T2662" i="5"/>
  <c r="T2663" i="5"/>
  <c r="B2660" i="5"/>
  <c r="Q2660" i="5" s="1"/>
  <c r="B2661" i="5"/>
  <c r="M2661" i="5" s="1"/>
  <c r="J2660" i="5"/>
  <c r="K2660" i="5" s="1"/>
  <c r="L2660" i="5" s="1"/>
  <c r="J2661" i="5"/>
  <c r="K2661" i="5" s="1"/>
  <c r="L2661" i="5" s="1"/>
  <c r="T2660" i="5"/>
  <c r="T2661" i="5"/>
  <c r="B2658" i="5"/>
  <c r="M2658" i="5" s="1"/>
  <c r="B2659" i="5"/>
  <c r="M2659" i="5" s="1"/>
  <c r="J2658" i="5"/>
  <c r="K2658" i="5" s="1"/>
  <c r="J2659" i="5"/>
  <c r="K2659" i="5" s="1"/>
  <c r="L2659" i="5" s="1"/>
  <c r="T2658" i="5"/>
  <c r="T2659" i="5"/>
  <c r="B2657" i="5"/>
  <c r="M2657" i="5" s="1"/>
  <c r="J2657" i="5"/>
  <c r="K2657" i="5" s="1"/>
  <c r="T2657" i="5"/>
  <c r="B2650" i="5"/>
  <c r="Q2650" i="5" s="1"/>
  <c r="B2651" i="5"/>
  <c r="M2651" i="5" s="1"/>
  <c r="B2652" i="5"/>
  <c r="M2652" i="5" s="1"/>
  <c r="B2653" i="5"/>
  <c r="Q2653" i="5" s="1"/>
  <c r="B2654" i="5"/>
  <c r="Q2654" i="5" s="1"/>
  <c r="B2655" i="5"/>
  <c r="Q2655" i="5" s="1"/>
  <c r="B2656" i="5"/>
  <c r="M2656" i="5" s="1"/>
  <c r="J2650" i="5"/>
  <c r="K2650" i="5" s="1"/>
  <c r="L2650" i="5" s="1"/>
  <c r="J2651" i="5"/>
  <c r="K2651" i="5" s="1"/>
  <c r="J2652" i="5"/>
  <c r="K2652" i="5" s="1"/>
  <c r="J2653" i="5"/>
  <c r="K2653" i="5" s="1"/>
  <c r="J2654" i="5"/>
  <c r="K2654" i="5" s="1"/>
  <c r="J2655" i="5"/>
  <c r="K2655" i="5" s="1"/>
  <c r="J2656" i="5"/>
  <c r="K2656" i="5" s="1"/>
  <c r="L2656" i="5" s="1"/>
  <c r="T2650" i="5"/>
  <c r="T2651" i="5"/>
  <c r="T2652" i="5"/>
  <c r="T2653" i="5"/>
  <c r="T2654" i="5"/>
  <c r="T2655" i="5"/>
  <c r="T2656" i="5"/>
  <c r="B2649" i="5"/>
  <c r="Q2649" i="5" s="1"/>
  <c r="J2649" i="5"/>
  <c r="K2649" i="5" s="1"/>
  <c r="L2649" i="5" s="1"/>
  <c r="P2649" i="5" s="1"/>
  <c r="T2649" i="5"/>
  <c r="Q2876" i="5" l="1"/>
  <c r="R2876" i="5" s="1"/>
  <c r="S2876" i="5" s="1"/>
  <c r="M2950" i="5"/>
  <c r="N2950" i="5" s="1"/>
  <c r="M2844" i="5"/>
  <c r="Q2847" i="5"/>
  <c r="R2847" i="5" s="1"/>
  <c r="S2847" i="5" s="1"/>
  <c r="M2875" i="5"/>
  <c r="M2867" i="5"/>
  <c r="M2874" i="5"/>
  <c r="M2951" i="5"/>
  <c r="M3070" i="5"/>
  <c r="M2742" i="5"/>
  <c r="M3028" i="5"/>
  <c r="M2729" i="5"/>
  <c r="N2729" i="5" s="1"/>
  <c r="M2986" i="5"/>
  <c r="M3051" i="5"/>
  <c r="N3051" i="5" s="1"/>
  <c r="O3051" i="5" s="1"/>
  <c r="M3050" i="5"/>
  <c r="M2969" i="5"/>
  <c r="M3060" i="5"/>
  <c r="N3060" i="5" s="1"/>
  <c r="M2915" i="5"/>
  <c r="M3018" i="5"/>
  <c r="M3017" i="5"/>
  <c r="M2945" i="5"/>
  <c r="Q3071" i="5"/>
  <c r="R3071" i="5" s="1"/>
  <c r="S3071" i="5" s="1"/>
  <c r="M3009" i="5"/>
  <c r="M2669" i="5"/>
  <c r="N2669" i="5" s="1"/>
  <c r="M3066" i="5"/>
  <c r="M2916" i="5"/>
  <c r="Q2747" i="5"/>
  <c r="R2747" i="5" s="1"/>
  <c r="S2747" i="5" s="1"/>
  <c r="M2712" i="5"/>
  <c r="N2712" i="5" s="1"/>
  <c r="M2882" i="5"/>
  <c r="M2881" i="5"/>
  <c r="M2913" i="5"/>
  <c r="Q3314" i="5"/>
  <c r="R3314" i="5" s="1"/>
  <c r="S3314" i="5" s="1"/>
  <c r="M3134" i="5"/>
  <c r="Q3142" i="5"/>
  <c r="R3142" i="5" s="1"/>
  <c r="S3142" i="5" s="1"/>
  <c r="M3163" i="5"/>
  <c r="M3114" i="5"/>
  <c r="M3195" i="5"/>
  <c r="N3195" i="5" s="1"/>
  <c r="Q3092" i="5"/>
  <c r="Q3130" i="5"/>
  <c r="R3130" i="5" s="1"/>
  <c r="S3130" i="5" s="1"/>
  <c r="M3228" i="5"/>
  <c r="M3284" i="5"/>
  <c r="Q3061" i="5"/>
  <c r="R3061" i="5" s="1"/>
  <c r="S3061" i="5" s="1"/>
  <c r="M3247" i="5"/>
  <c r="Q3090" i="5"/>
  <c r="R3090" i="5" s="1"/>
  <c r="S3090" i="5" s="1"/>
  <c r="M3102" i="5"/>
  <c r="N3102" i="5" s="1"/>
  <c r="M3116" i="5"/>
  <c r="N3116" i="5" s="1"/>
  <c r="M3132" i="5"/>
  <c r="Q3155" i="5"/>
  <c r="R3155" i="5" s="1"/>
  <c r="S3155" i="5" s="1"/>
  <c r="M3180" i="5"/>
  <c r="N3180" i="5" s="1"/>
  <c r="M3244" i="5"/>
  <c r="Q3097" i="5"/>
  <c r="R3097" i="5" s="1"/>
  <c r="S3097" i="5" s="1"/>
  <c r="M3089" i="5"/>
  <c r="Q3100" i="5"/>
  <c r="R3100" i="5" s="1"/>
  <c r="S3100" i="5" s="1"/>
  <c r="M3107" i="5"/>
  <c r="M3109" i="5"/>
  <c r="M3124" i="5"/>
  <c r="Q3140" i="5"/>
  <c r="R3140" i="5" s="1"/>
  <c r="S3140" i="5" s="1"/>
  <c r="M3198" i="5"/>
  <c r="N3198" i="5" s="1"/>
  <c r="M3105" i="5"/>
  <c r="N3105" i="5" s="1"/>
  <c r="M3122" i="5"/>
  <c r="N3122" i="5" s="1"/>
  <c r="Q3138" i="5"/>
  <c r="Q3151" i="5"/>
  <c r="R3151" i="5" s="1"/>
  <c r="S3151" i="5" s="1"/>
  <c r="M3212" i="5"/>
  <c r="M3096" i="5"/>
  <c r="Q3103" i="5"/>
  <c r="R3103" i="5" s="1"/>
  <c r="S3103" i="5" s="1"/>
  <c r="Q3112" i="5"/>
  <c r="R3112" i="5" s="1"/>
  <c r="S3112" i="5" s="1"/>
  <c r="M3120" i="5"/>
  <c r="Q3146" i="5"/>
  <c r="R3146" i="5" s="1"/>
  <c r="S3146" i="5" s="1"/>
  <c r="M3215" i="5"/>
  <c r="Q3296" i="5"/>
  <c r="R3296" i="5" s="1"/>
  <c r="S3296" i="5" s="1"/>
  <c r="Q3170" i="5"/>
  <c r="M3170" i="5"/>
  <c r="Q3213" i="5"/>
  <c r="R3213" i="5" s="1"/>
  <c r="S3213" i="5" s="1"/>
  <c r="M3213" i="5"/>
  <c r="Q3221" i="5"/>
  <c r="M3221" i="5"/>
  <c r="Q3232" i="5"/>
  <c r="R3232" i="5" s="1"/>
  <c r="S3232" i="5" s="1"/>
  <c r="M3232" i="5"/>
  <c r="Q3246" i="5"/>
  <c r="R3246" i="5" s="1"/>
  <c r="S3246" i="5" s="1"/>
  <c r="M3246" i="5"/>
  <c r="M3160" i="5"/>
  <c r="Q3144" i="5"/>
  <c r="M3144" i="5"/>
  <c r="Q3159" i="5"/>
  <c r="R3159" i="5" s="1"/>
  <c r="S3159" i="5" s="1"/>
  <c r="M3159" i="5"/>
  <c r="Q3153" i="5"/>
  <c r="R3153" i="5" s="1"/>
  <c r="S3153" i="5" s="1"/>
  <c r="M3153" i="5"/>
  <c r="Q3165" i="5"/>
  <c r="R3165" i="5" s="1"/>
  <c r="S3165" i="5" s="1"/>
  <c r="M3165" i="5"/>
  <c r="Q3174" i="5"/>
  <c r="R3174" i="5" s="1"/>
  <c r="S3174" i="5" s="1"/>
  <c r="M3174" i="5"/>
  <c r="Q3178" i="5"/>
  <c r="M3178" i="5"/>
  <c r="Q3184" i="5"/>
  <c r="R3184" i="5" s="1"/>
  <c r="S3184" i="5" s="1"/>
  <c r="M3184" i="5"/>
  <c r="Q3193" i="5"/>
  <c r="R3193" i="5" s="1"/>
  <c r="S3193" i="5" s="1"/>
  <c r="M3193" i="5"/>
  <c r="Q3200" i="5"/>
  <c r="M3200" i="5"/>
  <c r="Q3205" i="5"/>
  <c r="M3205" i="5"/>
  <c r="Q3225" i="5"/>
  <c r="M3225" i="5"/>
  <c r="Q3245" i="5"/>
  <c r="R3245" i="5" s="1"/>
  <c r="S3245" i="5" s="1"/>
  <c r="M3245" i="5"/>
  <c r="N3245" i="5" s="1"/>
  <c r="O3245" i="5" s="1"/>
  <c r="Q3251" i="5"/>
  <c r="M3251" i="5"/>
  <c r="Q3258" i="5"/>
  <c r="R3258" i="5" s="1"/>
  <c r="S3258" i="5" s="1"/>
  <c r="M3258" i="5"/>
  <c r="Q3262" i="5"/>
  <c r="M3262" i="5"/>
  <c r="M3267" i="5"/>
  <c r="Q3267" i="5"/>
  <c r="R3267" i="5" s="1"/>
  <c r="S3267" i="5" s="1"/>
  <c r="Q3274" i="5"/>
  <c r="R3274" i="5" s="1"/>
  <c r="S3274" i="5" s="1"/>
  <c r="M3274" i="5"/>
  <c r="Q3290" i="5"/>
  <c r="M3290" i="5"/>
  <c r="M3297" i="5"/>
  <c r="Q3297" i="5"/>
  <c r="R3297" i="5" s="1"/>
  <c r="S3297" i="5" s="1"/>
  <c r="Q3307" i="5"/>
  <c r="M3307" i="5"/>
  <c r="M3312" i="5"/>
  <c r="Q3312" i="5"/>
  <c r="R3312" i="5" s="1"/>
  <c r="S3312" i="5" s="1"/>
  <c r="M3315" i="5"/>
  <c r="Q3315" i="5"/>
  <c r="R3315" i="5" s="1"/>
  <c r="S3315" i="5" s="1"/>
  <c r="M3099" i="5"/>
  <c r="Q3136" i="5"/>
  <c r="R3136" i="5" s="1"/>
  <c r="S3136" i="5" s="1"/>
  <c r="M3231" i="5"/>
  <c r="K3268" i="5"/>
  <c r="L3268" i="5" s="1"/>
  <c r="Q3299" i="5"/>
  <c r="M3118" i="5"/>
  <c r="M3086" i="5"/>
  <c r="Q3147" i="5"/>
  <c r="R3147" i="5" s="1"/>
  <c r="S3147" i="5" s="1"/>
  <c r="M3147" i="5"/>
  <c r="Q3158" i="5"/>
  <c r="M3158" i="5"/>
  <c r="Q3173" i="5"/>
  <c r="R3173" i="5" s="1"/>
  <c r="S3173" i="5" s="1"/>
  <c r="M3173" i="5"/>
  <c r="Q3182" i="5"/>
  <c r="R3182" i="5" s="1"/>
  <c r="S3182" i="5" s="1"/>
  <c r="M3182" i="5"/>
  <c r="Q3194" i="5"/>
  <c r="M3194" i="5"/>
  <c r="Q3211" i="5"/>
  <c r="M3211" i="5"/>
  <c r="Q3216" i="5"/>
  <c r="R3216" i="5" s="1"/>
  <c r="S3216" i="5" s="1"/>
  <c r="M3216" i="5"/>
  <c r="Q3220" i="5"/>
  <c r="M3220" i="5"/>
  <c r="Q3224" i="5"/>
  <c r="R3224" i="5" s="1"/>
  <c r="S3224" i="5" s="1"/>
  <c r="M3224" i="5"/>
  <c r="Q3234" i="5"/>
  <c r="M3234" i="5"/>
  <c r="Q3230" i="5"/>
  <c r="M3230" i="5"/>
  <c r="Q3237" i="5"/>
  <c r="R3237" i="5" s="1"/>
  <c r="S3237" i="5" s="1"/>
  <c r="M3237" i="5"/>
  <c r="Q3257" i="5"/>
  <c r="M3257" i="5"/>
  <c r="M3261" i="5"/>
  <c r="Q3261" i="5"/>
  <c r="R3261" i="5" s="1"/>
  <c r="S3261" i="5" s="1"/>
  <c r="Q3272" i="5"/>
  <c r="M3272" i="5"/>
  <c r="Q3273" i="5"/>
  <c r="R3273" i="5" s="1"/>
  <c r="S3273" i="5" s="1"/>
  <c r="M3273" i="5"/>
  <c r="Q3280" i="5"/>
  <c r="R3280" i="5" s="1"/>
  <c r="S3280" i="5" s="1"/>
  <c r="M3280" i="5"/>
  <c r="M3289" i="5"/>
  <c r="Q3289" i="5"/>
  <c r="R3289" i="5" s="1"/>
  <c r="S3289" i="5" s="1"/>
  <c r="Q3293" i="5"/>
  <c r="M3293" i="5"/>
  <c r="M3306" i="5"/>
  <c r="Q3306" i="5"/>
  <c r="R3306" i="5" s="1"/>
  <c r="S3306" i="5" s="1"/>
  <c r="M3088" i="5"/>
  <c r="M3094" i="5"/>
  <c r="M3111" i="5"/>
  <c r="N3111" i="5" s="1"/>
  <c r="M3126" i="5"/>
  <c r="M3129" i="5"/>
  <c r="Q3149" i="5"/>
  <c r="R3149" i="5" s="1"/>
  <c r="S3149" i="5" s="1"/>
  <c r="K3156" i="5"/>
  <c r="L3156" i="5" s="1"/>
  <c r="M3166" i="5"/>
  <c r="M3183" i="5"/>
  <c r="N3183" i="5" s="1"/>
  <c r="M3201" i="5"/>
  <c r="N3201" i="5" s="1"/>
  <c r="M3218" i="5"/>
  <c r="M3250" i="5"/>
  <c r="Q3263" i="5"/>
  <c r="R3263" i="5" s="1"/>
  <c r="S3263" i="5" s="1"/>
  <c r="Q3302" i="5"/>
  <c r="R3302" i="5" s="1"/>
  <c r="S3302" i="5" s="1"/>
  <c r="Q3185" i="5"/>
  <c r="M3185" i="5"/>
  <c r="Q3196" i="5"/>
  <c r="R3196" i="5" s="1"/>
  <c r="S3196" i="5" s="1"/>
  <c r="M3196" i="5"/>
  <c r="Q3217" i="5"/>
  <c r="M3217" i="5"/>
  <c r="Q3229" i="5"/>
  <c r="R3229" i="5" s="1"/>
  <c r="S3229" i="5" s="1"/>
  <c r="M3229" i="5"/>
  <c r="Q3239" i="5"/>
  <c r="M3239" i="5"/>
  <c r="Q3252" i="5"/>
  <c r="M3252" i="5"/>
  <c r="Q3268" i="5"/>
  <c r="M3268" i="5"/>
  <c r="Q3285" i="5"/>
  <c r="R3285" i="5" s="1"/>
  <c r="S3285" i="5" s="1"/>
  <c r="M3285" i="5"/>
  <c r="Q3164" i="5"/>
  <c r="M3164" i="5"/>
  <c r="Q3168" i="5"/>
  <c r="R3168" i="5" s="1"/>
  <c r="S3168" i="5" s="1"/>
  <c r="M3168" i="5"/>
  <c r="N3168" i="5" s="1"/>
  <c r="Q3181" i="5"/>
  <c r="R3181" i="5" s="1"/>
  <c r="S3181" i="5" s="1"/>
  <c r="M3181" i="5"/>
  <c r="Q3188" i="5"/>
  <c r="M3188" i="5"/>
  <c r="Q3191" i="5"/>
  <c r="M3191" i="5"/>
  <c r="Q3199" i="5"/>
  <c r="R3199" i="5" s="1"/>
  <c r="S3199" i="5" s="1"/>
  <c r="M3199" i="5"/>
  <c r="Q3210" i="5"/>
  <c r="R3210" i="5" s="1"/>
  <c r="S3210" i="5" s="1"/>
  <c r="M3210" i="5"/>
  <c r="Q3219" i="5"/>
  <c r="R3219" i="5" s="1"/>
  <c r="S3219" i="5" s="1"/>
  <c r="M3219" i="5"/>
  <c r="Q3227" i="5"/>
  <c r="R3227" i="5" s="1"/>
  <c r="S3227" i="5" s="1"/>
  <c r="M3227" i="5"/>
  <c r="Q3233" i="5"/>
  <c r="R3233" i="5" s="1"/>
  <c r="S3233" i="5" s="1"/>
  <c r="M3233" i="5"/>
  <c r="N3233" i="5" s="1"/>
  <c r="Q3236" i="5"/>
  <c r="R3236" i="5" s="1"/>
  <c r="S3236" i="5" s="1"/>
  <c r="M3236" i="5"/>
  <c r="Q3242" i="5"/>
  <c r="R3242" i="5" s="1"/>
  <c r="S3242" i="5" s="1"/>
  <c r="M3242" i="5"/>
  <c r="Q3243" i="5"/>
  <c r="R3243" i="5" s="1"/>
  <c r="S3243" i="5" s="1"/>
  <c r="M3243" i="5"/>
  <c r="Q3254" i="5"/>
  <c r="R3254" i="5" s="1"/>
  <c r="S3254" i="5" s="1"/>
  <c r="M3254" i="5"/>
  <c r="Q3260" i="5"/>
  <c r="R3260" i="5" s="1"/>
  <c r="S3260" i="5" s="1"/>
  <c r="M3260" i="5"/>
  <c r="Q3279" i="5"/>
  <c r="R3279" i="5" s="1"/>
  <c r="S3279" i="5" s="1"/>
  <c r="M3279" i="5"/>
  <c r="Q3283" i="5"/>
  <c r="R3283" i="5" s="1"/>
  <c r="S3283" i="5" s="1"/>
  <c r="M3283" i="5"/>
  <c r="M3292" i="5"/>
  <c r="Q3292" i="5"/>
  <c r="R3292" i="5" s="1"/>
  <c r="S3292" i="5" s="1"/>
  <c r="Q3310" i="5"/>
  <c r="M3310" i="5"/>
  <c r="M3091" i="5"/>
  <c r="M3095" i="5"/>
  <c r="M3098" i="5"/>
  <c r="M3101" i="5"/>
  <c r="Q3104" i="5"/>
  <c r="R3104" i="5" s="1"/>
  <c r="S3104" i="5" s="1"/>
  <c r="M3106" i="5"/>
  <c r="Q3113" i="5"/>
  <c r="M3115" i="5"/>
  <c r="M3117" i="5"/>
  <c r="M3131" i="5"/>
  <c r="M3133" i="5"/>
  <c r="N3133" i="5" s="1"/>
  <c r="M3135" i="5"/>
  <c r="Q3145" i="5"/>
  <c r="R3145" i="5" s="1"/>
  <c r="S3145" i="5" s="1"/>
  <c r="Q3154" i="5"/>
  <c r="R3154" i="5" s="1"/>
  <c r="S3154" i="5" s="1"/>
  <c r="M3169" i="5"/>
  <c r="M3186" i="5"/>
  <c r="M3204" i="5"/>
  <c r="M3235" i="5"/>
  <c r="M3253" i="5"/>
  <c r="Q3266" i="5"/>
  <c r="Q3275" i="5"/>
  <c r="Q3288" i="5"/>
  <c r="R3288" i="5" s="1"/>
  <c r="S3288" i="5" s="1"/>
  <c r="Q3305" i="5"/>
  <c r="Q2690" i="5"/>
  <c r="R2690" i="5" s="1"/>
  <c r="S2690" i="5" s="1"/>
  <c r="Q3162" i="5"/>
  <c r="M3162" i="5"/>
  <c r="Q3156" i="5"/>
  <c r="M3156" i="5"/>
  <c r="Q3176" i="5"/>
  <c r="M3176" i="5"/>
  <c r="Q3187" i="5"/>
  <c r="R3187" i="5" s="1"/>
  <c r="S3187" i="5" s="1"/>
  <c r="M3187" i="5"/>
  <c r="Q3190" i="5"/>
  <c r="R3190" i="5" s="1"/>
  <c r="S3190" i="5" s="1"/>
  <c r="M3190" i="5"/>
  <c r="Q3203" i="5"/>
  <c r="M3203" i="5"/>
  <c r="Q3214" i="5"/>
  <c r="M3214" i="5"/>
  <c r="Q3226" i="5"/>
  <c r="R3226" i="5" s="1"/>
  <c r="S3226" i="5" s="1"/>
  <c r="M3226" i="5"/>
  <c r="Q3249" i="5"/>
  <c r="R3249" i="5" s="1"/>
  <c r="S3249" i="5" s="1"/>
  <c r="M3249" i="5"/>
  <c r="Q3265" i="5"/>
  <c r="R3265" i="5" s="1"/>
  <c r="S3265" i="5" s="1"/>
  <c r="M3265" i="5"/>
  <c r="Q3271" i="5"/>
  <c r="R3271" i="5" s="1"/>
  <c r="S3271" i="5" s="1"/>
  <c r="M3271" i="5"/>
  <c r="N3271" i="5" s="1"/>
  <c r="Q3282" i="5"/>
  <c r="M3282" i="5"/>
  <c r="Q3287" i="5"/>
  <c r="M3287" i="5"/>
  <c r="Q3301" i="5"/>
  <c r="M3301" i="5"/>
  <c r="Q3304" i="5"/>
  <c r="M3304" i="5"/>
  <c r="M3309" i="5"/>
  <c r="Q3309" i="5"/>
  <c r="R3309" i="5" s="1"/>
  <c r="S3309" i="5" s="1"/>
  <c r="M3087" i="5"/>
  <c r="K3092" i="5"/>
  <c r="L3092" i="5" s="1"/>
  <c r="M3093" i="5"/>
  <c r="M3108" i="5"/>
  <c r="N3108" i="5" s="1"/>
  <c r="O3108" i="5" s="1"/>
  <c r="M3110" i="5"/>
  <c r="Q3119" i="5"/>
  <c r="R3119" i="5" s="1"/>
  <c r="S3119" i="5" s="1"/>
  <c r="M3121" i="5"/>
  <c r="M3123" i="5"/>
  <c r="Q3137" i="5"/>
  <c r="R3137" i="5" s="1"/>
  <c r="S3137" i="5" s="1"/>
  <c r="Q3139" i="5"/>
  <c r="R3139" i="5" s="1"/>
  <c r="S3139" i="5" s="1"/>
  <c r="Q3141" i="5"/>
  <c r="R3141" i="5" s="1"/>
  <c r="S3141" i="5" s="1"/>
  <c r="Q3143" i="5"/>
  <c r="R3143" i="5" s="1"/>
  <c r="S3143" i="5" s="1"/>
  <c r="Q3152" i="5"/>
  <c r="M3172" i="5"/>
  <c r="M3189" i="5"/>
  <c r="N3189" i="5" s="1"/>
  <c r="M3206" i="5"/>
  <c r="M3223" i="5"/>
  <c r="N3223" i="5" s="1"/>
  <c r="M3238" i="5"/>
  <c r="M3256" i="5"/>
  <c r="M3269" i="5"/>
  <c r="M3278" i="5"/>
  <c r="Q3291" i="5"/>
  <c r="R3291" i="5" s="1"/>
  <c r="S3291" i="5" s="1"/>
  <c r="Q3308" i="5"/>
  <c r="R3308" i="5" s="1"/>
  <c r="S3308" i="5" s="1"/>
  <c r="M3276" i="5"/>
  <c r="N3276" i="5" s="1"/>
  <c r="Q3276" i="5"/>
  <c r="R3276" i="5" s="1"/>
  <c r="S3276" i="5" s="1"/>
  <c r="Q3298" i="5"/>
  <c r="M3298" i="5"/>
  <c r="Q3313" i="5"/>
  <c r="M3313" i="5"/>
  <c r="Q3316" i="5"/>
  <c r="M3316" i="5"/>
  <c r="Q2672" i="5"/>
  <c r="R2672" i="5" s="1"/>
  <c r="S2672" i="5" s="1"/>
  <c r="Q3150" i="5"/>
  <c r="M3150" i="5"/>
  <c r="Q3161" i="5"/>
  <c r="R3161" i="5" s="1"/>
  <c r="S3161" i="5" s="1"/>
  <c r="M3161" i="5"/>
  <c r="Q3167" i="5"/>
  <c r="R3167" i="5" s="1"/>
  <c r="S3167" i="5" s="1"/>
  <c r="M3167" i="5"/>
  <c r="Q3171" i="5"/>
  <c r="R3171" i="5" s="1"/>
  <c r="S3171" i="5" s="1"/>
  <c r="M3171" i="5"/>
  <c r="Q3177" i="5"/>
  <c r="R3177" i="5" s="1"/>
  <c r="S3177" i="5" s="1"/>
  <c r="M3177" i="5"/>
  <c r="Q3179" i="5"/>
  <c r="R3179" i="5" s="1"/>
  <c r="S3179" i="5" s="1"/>
  <c r="M3179" i="5"/>
  <c r="Q3197" i="5"/>
  <c r="M3197" i="5"/>
  <c r="Q3202" i="5"/>
  <c r="R3202" i="5" s="1"/>
  <c r="S3202" i="5" s="1"/>
  <c r="M3202" i="5"/>
  <c r="Q3207" i="5"/>
  <c r="R3207" i="5" s="1"/>
  <c r="S3207" i="5" s="1"/>
  <c r="M3207" i="5"/>
  <c r="Q3208" i="5"/>
  <c r="M3208" i="5"/>
  <c r="Q3222" i="5"/>
  <c r="M3222" i="5"/>
  <c r="Q3240" i="5"/>
  <c r="R3240" i="5" s="1"/>
  <c r="S3240" i="5" s="1"/>
  <c r="M3240" i="5"/>
  <c r="Q3248" i="5"/>
  <c r="R3248" i="5" s="1"/>
  <c r="S3248" i="5" s="1"/>
  <c r="M3248" i="5"/>
  <c r="Q3255" i="5"/>
  <c r="R3255" i="5" s="1"/>
  <c r="S3255" i="5" s="1"/>
  <c r="M3255" i="5"/>
  <c r="M3264" i="5"/>
  <c r="Q3264" i="5"/>
  <c r="Q3270" i="5"/>
  <c r="M3270" i="5"/>
  <c r="Q3277" i="5"/>
  <c r="R3277" i="5" s="1"/>
  <c r="S3277" i="5" s="1"/>
  <c r="M3277" i="5"/>
  <c r="M3286" i="5"/>
  <c r="Q3286" i="5"/>
  <c r="R3286" i="5" s="1"/>
  <c r="S3286" i="5" s="1"/>
  <c r="Q3295" i="5"/>
  <c r="M3295" i="5"/>
  <c r="M3300" i="5"/>
  <c r="Q3300" i="5"/>
  <c r="R3300" i="5" s="1"/>
  <c r="S3300" i="5" s="1"/>
  <c r="M3303" i="5"/>
  <c r="Q3303" i="5"/>
  <c r="R3303" i="5" s="1"/>
  <c r="S3303" i="5" s="1"/>
  <c r="Q3125" i="5"/>
  <c r="R3125" i="5" s="1"/>
  <c r="S3125" i="5" s="1"/>
  <c r="M3127" i="5"/>
  <c r="M3128" i="5"/>
  <c r="Q3148" i="5"/>
  <c r="R3148" i="5" s="1"/>
  <c r="S3148" i="5" s="1"/>
  <c r="M3157" i="5"/>
  <c r="M3175" i="5"/>
  <c r="M3192" i="5"/>
  <c r="N3192" i="5" s="1"/>
  <c r="M3209" i="5"/>
  <c r="M3241" i="5"/>
  <c r="M3259" i="5"/>
  <c r="M3281" i="5"/>
  <c r="Q3294" i="5"/>
  <c r="R3294" i="5" s="1"/>
  <c r="S3294" i="5" s="1"/>
  <c r="Q3311" i="5"/>
  <c r="R3160" i="5"/>
  <c r="S3160" i="5" s="1"/>
  <c r="R3204" i="5"/>
  <c r="S3204" i="5" s="1"/>
  <c r="L3130" i="5"/>
  <c r="N3130" i="5" s="1"/>
  <c r="L3119" i="5"/>
  <c r="N3119" i="5" s="1"/>
  <c r="L3136" i="5"/>
  <c r="N3136" i="5" s="1"/>
  <c r="K3305" i="5"/>
  <c r="R3198" i="5"/>
  <c r="S3198" i="5" s="1"/>
  <c r="R3192" i="5"/>
  <c r="S3192" i="5" s="1"/>
  <c r="L3179" i="5"/>
  <c r="P3179" i="5" s="1"/>
  <c r="L3174" i="5"/>
  <c r="L3146" i="5"/>
  <c r="P3146" i="5" s="1"/>
  <c r="K3099" i="5"/>
  <c r="R3099" i="5" s="1"/>
  <c r="S3099" i="5" s="1"/>
  <c r="L3098" i="5"/>
  <c r="P3098" i="5" s="1"/>
  <c r="K3088" i="5"/>
  <c r="L3088" i="5" s="1"/>
  <c r="P3102" i="5"/>
  <c r="L3186" i="5"/>
  <c r="P3186" i="5" s="1"/>
  <c r="R3186" i="5"/>
  <c r="S3186" i="5" s="1"/>
  <c r="L3227" i="5"/>
  <c r="P3227" i="5" s="1"/>
  <c r="L3094" i="5"/>
  <c r="P3094" i="5" s="1"/>
  <c r="L3154" i="5"/>
  <c r="P3154" i="5" s="1"/>
  <c r="L3160" i="5"/>
  <c r="P3160" i="5" s="1"/>
  <c r="L3204" i="5"/>
  <c r="P3204" i="5" s="1"/>
  <c r="K3209" i="5"/>
  <c r="L3209" i="5" s="1"/>
  <c r="K3215" i="5"/>
  <c r="R3215" i="5" s="1"/>
  <c r="S3215" i="5" s="1"/>
  <c r="L3232" i="5"/>
  <c r="P3232" i="5" s="1"/>
  <c r="K3239" i="5"/>
  <c r="L3239" i="5" s="1"/>
  <c r="L3260" i="5"/>
  <c r="P3260" i="5" s="1"/>
  <c r="K3282" i="5"/>
  <c r="K3299" i="5"/>
  <c r="R3108" i="5"/>
  <c r="S3108" i="5" s="1"/>
  <c r="R3116" i="5"/>
  <c r="S3116" i="5" s="1"/>
  <c r="R3122" i="5"/>
  <c r="S3122" i="5" s="1"/>
  <c r="R3133" i="5"/>
  <c r="S3133" i="5" s="1"/>
  <c r="L3148" i="5"/>
  <c r="P3148" i="5" s="1"/>
  <c r="L3182" i="5"/>
  <c r="P3182" i="5" s="1"/>
  <c r="K3221" i="5"/>
  <c r="R3223" i="5"/>
  <c r="S3223" i="5" s="1"/>
  <c r="L3226" i="5"/>
  <c r="P3226" i="5" s="1"/>
  <c r="L3254" i="5"/>
  <c r="P3254" i="5" s="1"/>
  <c r="K3091" i="5"/>
  <c r="R3091" i="5" s="1"/>
  <c r="S3091" i="5" s="1"/>
  <c r="K3096" i="5"/>
  <c r="R3096" i="5" s="1"/>
  <c r="S3096" i="5" s="1"/>
  <c r="L3110" i="5"/>
  <c r="P3110" i="5" s="1"/>
  <c r="L3140" i="5"/>
  <c r="P3140" i="5" s="1"/>
  <c r="K3206" i="5"/>
  <c r="R3206" i="5" s="1"/>
  <c r="S3206" i="5" s="1"/>
  <c r="K3212" i="5"/>
  <c r="R3212" i="5" s="1"/>
  <c r="S3212" i="5" s="1"/>
  <c r="K3218" i="5"/>
  <c r="L3218" i="5" s="1"/>
  <c r="L3242" i="5"/>
  <c r="K3251" i="5"/>
  <c r="L3251" i="5" s="1"/>
  <c r="K3257" i="5"/>
  <c r="L3257" i="5" s="1"/>
  <c r="K3311" i="5"/>
  <c r="L3090" i="5"/>
  <c r="P3090" i="5" s="1"/>
  <c r="L3095" i="5"/>
  <c r="P3095" i="5" s="1"/>
  <c r="R3183" i="5"/>
  <c r="S3183" i="5" s="1"/>
  <c r="L3236" i="5"/>
  <c r="K3252" i="5"/>
  <c r="R3102" i="5"/>
  <c r="S3102" i="5" s="1"/>
  <c r="R3189" i="5"/>
  <c r="S3189" i="5" s="1"/>
  <c r="R3195" i="5"/>
  <c r="S3195" i="5" s="1"/>
  <c r="R3201" i="5"/>
  <c r="S3201" i="5" s="1"/>
  <c r="R3087" i="5"/>
  <c r="S3087" i="5" s="1"/>
  <c r="R3105" i="5"/>
  <c r="S3105" i="5" s="1"/>
  <c r="P3111" i="5"/>
  <c r="R3089" i="5"/>
  <c r="S3089" i="5" s="1"/>
  <c r="L3089" i="5"/>
  <c r="R3093" i="5"/>
  <c r="S3093" i="5" s="1"/>
  <c r="L3093" i="5"/>
  <c r="L3097" i="5"/>
  <c r="L3100" i="5"/>
  <c r="L3104" i="5"/>
  <c r="K3106" i="5"/>
  <c r="R3106" i="5" s="1"/>
  <c r="S3106" i="5" s="1"/>
  <c r="R3111" i="5"/>
  <c r="S3111" i="5" s="1"/>
  <c r="R3120" i="5"/>
  <c r="S3120" i="5" s="1"/>
  <c r="K3121" i="5"/>
  <c r="R3121" i="5" s="1"/>
  <c r="S3121" i="5" s="1"/>
  <c r="R3128" i="5"/>
  <c r="S3128" i="5" s="1"/>
  <c r="K3129" i="5"/>
  <c r="R3129" i="5" s="1"/>
  <c r="S3129" i="5" s="1"/>
  <c r="K3138" i="5"/>
  <c r="L3138" i="5" s="1"/>
  <c r="R3172" i="5"/>
  <c r="S3172" i="5" s="1"/>
  <c r="L3172" i="5"/>
  <c r="L3308" i="5"/>
  <c r="K3107" i="5"/>
  <c r="R3107" i="5" s="1"/>
  <c r="S3107" i="5" s="1"/>
  <c r="P3116" i="5"/>
  <c r="N3125" i="5"/>
  <c r="P3125" i="5"/>
  <c r="P3133" i="5"/>
  <c r="K3144" i="5"/>
  <c r="K3113" i="5"/>
  <c r="R3109" i="5"/>
  <c r="S3109" i="5" s="1"/>
  <c r="R3110" i="5"/>
  <c r="S3110" i="5" s="1"/>
  <c r="R3117" i="5"/>
  <c r="S3117" i="5" s="1"/>
  <c r="K3118" i="5"/>
  <c r="L3118" i="5" s="1"/>
  <c r="R3126" i="5"/>
  <c r="S3126" i="5" s="1"/>
  <c r="K3127" i="5"/>
  <c r="R3127" i="5" s="1"/>
  <c r="S3127" i="5" s="1"/>
  <c r="R3134" i="5"/>
  <c r="S3134" i="5" s="1"/>
  <c r="K3135" i="5"/>
  <c r="R3135" i="5" s="1"/>
  <c r="S3135" i="5" s="1"/>
  <c r="L3147" i="5"/>
  <c r="K3150" i="5"/>
  <c r="L3155" i="5"/>
  <c r="K3162" i="5"/>
  <c r="L3162" i="5" s="1"/>
  <c r="L3087" i="5"/>
  <c r="R3094" i="5"/>
  <c r="S3094" i="5" s="1"/>
  <c r="R3095" i="5"/>
  <c r="S3095" i="5" s="1"/>
  <c r="R3098" i="5"/>
  <c r="S3098" i="5" s="1"/>
  <c r="K3101" i="5"/>
  <c r="R3101" i="5" s="1"/>
  <c r="S3101" i="5" s="1"/>
  <c r="L3112" i="5"/>
  <c r="P3122" i="5"/>
  <c r="P3105" i="5"/>
  <c r="R3114" i="5"/>
  <c r="S3114" i="5" s="1"/>
  <c r="K3115" i="5"/>
  <c r="R3115" i="5" s="1"/>
  <c r="S3115" i="5" s="1"/>
  <c r="R3123" i="5"/>
  <c r="S3123" i="5" s="1"/>
  <c r="K3124" i="5"/>
  <c r="R3124" i="5" s="1"/>
  <c r="S3124" i="5" s="1"/>
  <c r="R3131" i="5"/>
  <c r="S3131" i="5" s="1"/>
  <c r="K3132" i="5"/>
  <c r="R3132" i="5" s="1"/>
  <c r="S3132" i="5" s="1"/>
  <c r="R3166" i="5"/>
  <c r="S3166" i="5" s="1"/>
  <c r="L3166" i="5"/>
  <c r="L3103" i="5"/>
  <c r="L3109" i="5"/>
  <c r="L3117" i="5"/>
  <c r="L3123" i="5"/>
  <c r="L3128" i="5"/>
  <c r="L3134" i="5"/>
  <c r="L3139" i="5"/>
  <c r="K3152" i="5"/>
  <c r="R3157" i="5"/>
  <c r="S3157" i="5" s="1"/>
  <c r="L3161" i="5"/>
  <c r="P3195" i="5"/>
  <c r="L3149" i="5"/>
  <c r="K3158" i="5"/>
  <c r="R3163" i="5"/>
  <c r="S3163" i="5" s="1"/>
  <c r="L3167" i="5"/>
  <c r="K3220" i="5"/>
  <c r="K3164" i="5"/>
  <c r="R3169" i="5"/>
  <c r="S3169" i="5" s="1"/>
  <c r="P3180" i="5"/>
  <c r="K3203" i="5"/>
  <c r="L3114" i="5"/>
  <c r="L3120" i="5"/>
  <c r="L3126" i="5"/>
  <c r="L3131" i="5"/>
  <c r="L3137" i="5"/>
  <c r="N3142" i="5"/>
  <c r="O3142" i="5" s="1"/>
  <c r="P3168" i="5"/>
  <c r="K3170" i="5"/>
  <c r="K3176" i="5"/>
  <c r="P3183" i="5"/>
  <c r="L3141" i="5"/>
  <c r="L3143" i="5"/>
  <c r="R3175" i="5"/>
  <c r="S3175" i="5" s="1"/>
  <c r="L3145" i="5"/>
  <c r="L3151" i="5"/>
  <c r="L3157" i="5"/>
  <c r="L3163" i="5"/>
  <c r="L3169" i="5"/>
  <c r="L3175" i="5"/>
  <c r="L3184" i="5"/>
  <c r="P3189" i="5"/>
  <c r="L3229" i="5"/>
  <c r="K3256" i="5"/>
  <c r="R3256" i="5" s="1"/>
  <c r="S3256" i="5" s="1"/>
  <c r="R3180" i="5"/>
  <c r="S3180" i="5" s="1"/>
  <c r="K3191" i="5"/>
  <c r="P3201" i="5"/>
  <c r="K3208" i="5"/>
  <c r="K3225" i="5"/>
  <c r="K3228" i="5"/>
  <c r="R3228" i="5" s="1"/>
  <c r="S3228" i="5" s="1"/>
  <c r="L3153" i="5"/>
  <c r="L3159" i="5"/>
  <c r="L3165" i="5"/>
  <c r="L3171" i="5"/>
  <c r="L3177" i="5"/>
  <c r="K3178" i="5"/>
  <c r="K3185" i="5"/>
  <c r="L3248" i="5"/>
  <c r="K3188" i="5"/>
  <c r="K3197" i="5"/>
  <c r="K3214" i="5"/>
  <c r="P3223" i="5"/>
  <c r="K3234" i="5"/>
  <c r="L3273" i="5"/>
  <c r="L3173" i="5"/>
  <c r="L3181" i="5"/>
  <c r="L3190" i="5"/>
  <c r="P3192" i="5"/>
  <c r="L3196" i="5"/>
  <c r="P3198" i="5"/>
  <c r="L3202" i="5"/>
  <c r="L3207" i="5"/>
  <c r="L3213" i="5"/>
  <c r="L3219" i="5"/>
  <c r="L3224" i="5"/>
  <c r="K3262" i="5"/>
  <c r="L3265" i="5"/>
  <c r="K3235" i="5"/>
  <c r="R3235" i="5" s="1"/>
  <c r="S3235" i="5" s="1"/>
  <c r="K3238" i="5"/>
  <c r="R3238" i="5" s="1"/>
  <c r="S3238" i="5" s="1"/>
  <c r="K3264" i="5"/>
  <c r="L3264" i="5" s="1"/>
  <c r="K3272" i="5"/>
  <c r="L3272" i="5" s="1"/>
  <c r="L3283" i="5"/>
  <c r="K3307" i="5"/>
  <c r="L3187" i="5"/>
  <c r="L3193" i="5"/>
  <c r="K3194" i="5"/>
  <c r="L3199" i="5"/>
  <c r="K3200" i="5"/>
  <c r="L3200" i="5" s="1"/>
  <c r="K3205" i="5"/>
  <c r="L3210" i="5"/>
  <c r="K3211" i="5"/>
  <c r="L3211" i="5" s="1"/>
  <c r="L3216" i="5"/>
  <c r="K3217" i="5"/>
  <c r="L3217" i="5" s="1"/>
  <c r="K3222" i="5"/>
  <c r="K3230" i="5"/>
  <c r="L3230" i="5" s="1"/>
  <c r="K3244" i="5"/>
  <c r="R3244" i="5" s="1"/>
  <c r="S3244" i="5" s="1"/>
  <c r="K3231" i="5"/>
  <c r="R3231" i="5" s="1"/>
  <c r="S3231" i="5" s="1"/>
  <c r="P3233" i="5"/>
  <c r="K3250" i="5"/>
  <c r="R3250" i="5" s="1"/>
  <c r="S3250" i="5" s="1"/>
  <c r="L3240" i="5"/>
  <c r="K3241" i="5"/>
  <c r="L3241" i="5" s="1"/>
  <c r="L3246" i="5"/>
  <c r="K3247" i="5"/>
  <c r="R3247" i="5" s="1"/>
  <c r="S3247" i="5" s="1"/>
  <c r="K3253" i="5"/>
  <c r="L3253" i="5" s="1"/>
  <c r="L3258" i="5"/>
  <c r="K3259" i="5"/>
  <c r="R3259" i="5" s="1"/>
  <c r="S3259" i="5" s="1"/>
  <c r="K3266" i="5"/>
  <c r="L3266" i="5" s="1"/>
  <c r="K3284" i="5"/>
  <c r="R3284" i="5" s="1"/>
  <c r="S3284" i="5" s="1"/>
  <c r="L3285" i="5"/>
  <c r="N3294" i="5"/>
  <c r="P3294" i="5"/>
  <c r="N3263" i="5"/>
  <c r="O3263" i="5" s="1"/>
  <c r="K3278" i="5"/>
  <c r="R3278" i="5" s="1"/>
  <c r="S3278" i="5" s="1"/>
  <c r="L3279" i="5"/>
  <c r="N3288" i="5"/>
  <c r="P3288" i="5"/>
  <c r="L3289" i="5"/>
  <c r="K3313" i="5"/>
  <c r="L3314" i="5"/>
  <c r="L3237" i="5"/>
  <c r="L3243" i="5"/>
  <c r="L3249" i="5"/>
  <c r="L3255" i="5"/>
  <c r="L3261" i="5"/>
  <c r="L3267" i="5"/>
  <c r="P3276" i="5"/>
  <c r="L3277" i="5"/>
  <c r="K3301" i="5"/>
  <c r="L3302" i="5"/>
  <c r="L3312" i="5"/>
  <c r="R3269" i="5"/>
  <c r="S3269" i="5" s="1"/>
  <c r="L3269" i="5"/>
  <c r="P3271" i="5"/>
  <c r="K3295" i="5"/>
  <c r="L3296" i="5"/>
  <c r="L3306" i="5"/>
  <c r="K3290" i="5"/>
  <c r="L3291" i="5"/>
  <c r="L3300" i="5"/>
  <c r="K3270" i="5"/>
  <c r="L3270" i="5" s="1"/>
  <c r="L3274" i="5"/>
  <c r="K3275" i="5"/>
  <c r="L3280" i="5"/>
  <c r="K3281" i="5"/>
  <c r="R3281" i="5" s="1"/>
  <c r="S3281" i="5" s="1"/>
  <c r="L3286" i="5"/>
  <c r="K3287" i="5"/>
  <c r="L3292" i="5"/>
  <c r="K3293" i="5"/>
  <c r="L3293" i="5" s="1"/>
  <c r="L3297" i="5"/>
  <c r="K3298" i="5"/>
  <c r="L3303" i="5"/>
  <c r="K3304" i="5"/>
  <c r="L3309" i="5"/>
  <c r="K3310" i="5"/>
  <c r="L3310" i="5" s="1"/>
  <c r="L3315" i="5"/>
  <c r="K3316" i="5"/>
  <c r="M2724" i="5"/>
  <c r="M2771" i="5"/>
  <c r="M2746" i="5"/>
  <c r="M2751" i="5"/>
  <c r="M2787" i="5"/>
  <c r="Q3083" i="5"/>
  <c r="R3083" i="5" s="1"/>
  <c r="S3083" i="5" s="1"/>
  <c r="Q2789" i="5"/>
  <c r="R2789" i="5" s="1"/>
  <c r="S2789" i="5" s="1"/>
  <c r="M3024" i="5"/>
  <c r="Q3077" i="5"/>
  <c r="R3077" i="5" s="1"/>
  <c r="S3077" i="5" s="1"/>
  <c r="Q2695" i="5"/>
  <c r="R2695" i="5" s="1"/>
  <c r="S2695" i="5" s="1"/>
  <c r="Q2702" i="5"/>
  <c r="R2702" i="5" s="1"/>
  <c r="S2702" i="5" s="1"/>
  <c r="Q2932" i="5"/>
  <c r="R2932" i="5" s="1"/>
  <c r="S2932" i="5" s="1"/>
  <c r="R2937" i="5"/>
  <c r="S2937" i="5" s="1"/>
  <c r="M2674" i="5"/>
  <c r="N2674" i="5" s="1"/>
  <c r="M2783" i="5"/>
  <c r="Q2821" i="5"/>
  <c r="R2821" i="5" s="1"/>
  <c r="S2821" i="5" s="1"/>
  <c r="Q2854" i="5"/>
  <c r="M2861" i="5"/>
  <c r="M3039" i="5"/>
  <c r="Q2766" i="5"/>
  <c r="R2766" i="5" s="1"/>
  <c r="S2766" i="5" s="1"/>
  <c r="M2921" i="5"/>
  <c r="M3031" i="5"/>
  <c r="R2859" i="5"/>
  <c r="S2859" i="5" s="1"/>
  <c r="M3025" i="5"/>
  <c r="R3028" i="5"/>
  <c r="S3028" i="5" s="1"/>
  <c r="Q2985" i="5"/>
  <c r="R2985" i="5" s="1"/>
  <c r="S2985" i="5" s="1"/>
  <c r="L2934" i="5"/>
  <c r="N2934" i="5" s="1"/>
  <c r="M2689" i="5"/>
  <c r="M2927" i="5"/>
  <c r="M2957" i="5"/>
  <c r="N2957" i="5" s="1"/>
  <c r="Q2965" i="5"/>
  <c r="R2965" i="5" s="1"/>
  <c r="S2965" i="5" s="1"/>
  <c r="L3025" i="5"/>
  <c r="P3025" i="5" s="1"/>
  <c r="M3040" i="5"/>
  <c r="R2686" i="5"/>
  <c r="S2686" i="5" s="1"/>
  <c r="M2782" i="5"/>
  <c r="Q2889" i="5"/>
  <c r="R3085" i="5"/>
  <c r="S3085" i="5" s="1"/>
  <c r="Q2738" i="5"/>
  <c r="M2790" i="5"/>
  <c r="L2819" i="5"/>
  <c r="P2819" i="5" s="1"/>
  <c r="Q2665" i="5"/>
  <c r="R2665" i="5" s="1"/>
  <c r="S2665" i="5" s="1"/>
  <c r="Q2733" i="5"/>
  <c r="R2733" i="5" s="1"/>
  <c r="S2733" i="5" s="1"/>
  <c r="L2861" i="5"/>
  <c r="M2954" i="5"/>
  <c r="Q3082" i="5"/>
  <c r="R3082" i="5" s="1"/>
  <c r="S3082" i="5" s="1"/>
  <c r="Q2657" i="5"/>
  <c r="R2657" i="5" s="1"/>
  <c r="S2657" i="5" s="1"/>
  <c r="Q2995" i="5"/>
  <c r="Q2693" i="5"/>
  <c r="R2693" i="5" s="1"/>
  <c r="S2693" i="5" s="1"/>
  <c r="Q2828" i="5"/>
  <c r="Q2852" i="5"/>
  <c r="R2852" i="5" s="1"/>
  <c r="S2852" i="5" s="1"/>
  <c r="R2815" i="5"/>
  <c r="S2815" i="5" s="1"/>
  <c r="Q2888" i="5"/>
  <c r="Q2719" i="5"/>
  <c r="R2719" i="5" s="1"/>
  <c r="S2719" i="5" s="1"/>
  <c r="M2869" i="5"/>
  <c r="M2880" i="5"/>
  <c r="M2893" i="5"/>
  <c r="L2990" i="5"/>
  <c r="P2990" i="5" s="1"/>
  <c r="Q3084" i="5"/>
  <c r="M3043" i="5"/>
  <c r="M2668" i="5"/>
  <c r="M2810" i="5"/>
  <c r="Q2850" i="5"/>
  <c r="R2850" i="5" s="1"/>
  <c r="S2850" i="5" s="1"/>
  <c r="M2941" i="5"/>
  <c r="L3034" i="5"/>
  <c r="P3034" i="5" s="1"/>
  <c r="M3059" i="5"/>
  <c r="Q3081" i="5"/>
  <c r="M2677" i="5"/>
  <c r="Q2659" i="5"/>
  <c r="R2659" i="5" s="1"/>
  <c r="S2659" i="5" s="1"/>
  <c r="Q2680" i="5"/>
  <c r="R2680" i="5" s="1"/>
  <c r="S2680" i="5" s="1"/>
  <c r="Q2714" i="5"/>
  <c r="R2714" i="5" s="1"/>
  <c r="S2714" i="5" s="1"/>
  <c r="L2718" i="5"/>
  <c r="N2718" i="5" s="1"/>
  <c r="M2722" i="5"/>
  <c r="Q2736" i="5"/>
  <c r="R2736" i="5" s="1"/>
  <c r="S2736" i="5" s="1"/>
  <c r="Q2813" i="5"/>
  <c r="Q2826" i="5"/>
  <c r="R2826" i="5" s="1"/>
  <c r="S2826" i="5" s="1"/>
  <c r="Q2895" i="5"/>
  <c r="M2922" i="5"/>
  <c r="M2987" i="5"/>
  <c r="Q3073" i="5"/>
  <c r="R3073" i="5" s="1"/>
  <c r="S3073" i="5" s="1"/>
  <c r="Q3076" i="5"/>
  <c r="R3076" i="5" s="1"/>
  <c r="S3076" i="5" s="1"/>
  <c r="M2804" i="5"/>
  <c r="N2804" i="5" s="1"/>
  <c r="M2686" i="5"/>
  <c r="N2686" i="5" s="1"/>
  <c r="M2762" i="5"/>
  <c r="Q2830" i="5"/>
  <c r="R2830" i="5" s="1"/>
  <c r="S2830" i="5" s="1"/>
  <c r="M2878" i="5"/>
  <c r="N2878" i="5" s="1"/>
  <c r="Q2900" i="5"/>
  <c r="R2900" i="5" s="1"/>
  <c r="S2900" i="5" s="1"/>
  <c r="L2921" i="5"/>
  <c r="P2921" i="5" s="1"/>
  <c r="M2953" i="5"/>
  <c r="N2953" i="5" s="1"/>
  <c r="Q2991" i="5"/>
  <c r="R2991" i="5" s="1"/>
  <c r="S2991" i="5" s="1"/>
  <c r="M2653" i="5"/>
  <c r="M2734" i="5"/>
  <c r="N2734" i="5" s="1"/>
  <c r="Q2807" i="5"/>
  <c r="R2807" i="5" s="1"/>
  <c r="S2807" i="5" s="1"/>
  <c r="Q2899" i="5"/>
  <c r="Q2750" i="5"/>
  <c r="R2750" i="5" s="1"/>
  <c r="S2750" i="5" s="1"/>
  <c r="Q2773" i="5"/>
  <c r="R2773" i="5" s="1"/>
  <c r="S2773" i="5" s="1"/>
  <c r="L2798" i="5"/>
  <c r="P2798" i="5" s="1"/>
  <c r="M2827" i="5"/>
  <c r="M2860" i="5"/>
  <c r="Q2902" i="5"/>
  <c r="Q2930" i="5"/>
  <c r="R2930" i="5" s="1"/>
  <c r="S2930" i="5" s="1"/>
  <c r="Q2971" i="5"/>
  <c r="R2971" i="5" s="1"/>
  <c r="S2971" i="5" s="1"/>
  <c r="Q2656" i="5"/>
  <c r="R2656" i="5" s="1"/>
  <c r="S2656" i="5" s="1"/>
  <c r="Q2691" i="5"/>
  <c r="R2691" i="5" s="1"/>
  <c r="S2691" i="5" s="1"/>
  <c r="M2704" i="5"/>
  <c r="Q2715" i="5"/>
  <c r="Q2728" i="5"/>
  <c r="Q2760" i="5"/>
  <c r="Q2765" i="5"/>
  <c r="R2765" i="5" s="1"/>
  <c r="S2765" i="5" s="1"/>
  <c r="Q2791" i="5"/>
  <c r="R2791" i="5" s="1"/>
  <c r="S2791" i="5" s="1"/>
  <c r="Q2793" i="5"/>
  <c r="R2793" i="5" s="1"/>
  <c r="S2793" i="5" s="1"/>
  <c r="M2859" i="5"/>
  <c r="Q2864" i="5"/>
  <c r="R2864" i="5" s="1"/>
  <c r="S2864" i="5" s="1"/>
  <c r="M2865" i="5"/>
  <c r="M2877" i="5"/>
  <c r="Q2901" i="5"/>
  <c r="R2901" i="5" s="1"/>
  <c r="S2901" i="5" s="1"/>
  <c r="Q2909" i="5"/>
  <c r="R2909" i="5" s="1"/>
  <c r="S2909" i="5" s="1"/>
  <c r="Q2929" i="5"/>
  <c r="R2929" i="5" s="1"/>
  <c r="S2929" i="5" s="1"/>
  <c r="M2984" i="5"/>
  <c r="M3030" i="5"/>
  <c r="M2660" i="5"/>
  <c r="N2660" i="5" s="1"/>
  <c r="M2703" i="5"/>
  <c r="N2703" i="5" s="1"/>
  <c r="Q2755" i="5"/>
  <c r="R2755" i="5" s="1"/>
  <c r="S2755" i="5" s="1"/>
  <c r="Q2836" i="5"/>
  <c r="M2843" i="5"/>
  <c r="N2843" i="5" s="1"/>
  <c r="Q2870" i="5"/>
  <c r="R2870" i="5" s="1"/>
  <c r="S2870" i="5" s="1"/>
  <c r="Q2894" i="5"/>
  <c r="Q2897" i="5"/>
  <c r="M2906" i="5"/>
  <c r="N2906" i="5" s="1"/>
  <c r="M2910" i="5"/>
  <c r="Q2919" i="5"/>
  <c r="R2919" i="5" s="1"/>
  <c r="S2919" i="5" s="1"/>
  <c r="M2939" i="5"/>
  <c r="Q2968" i="5"/>
  <c r="M3006" i="5"/>
  <c r="Q3014" i="5"/>
  <c r="Q3015" i="5"/>
  <c r="M3035" i="5"/>
  <c r="Q3054" i="5"/>
  <c r="M2720" i="5"/>
  <c r="M2806" i="5"/>
  <c r="N2806" i="5" s="1"/>
  <c r="Q2825" i="5"/>
  <c r="R2825" i="5" s="1"/>
  <c r="S2825" i="5" s="1"/>
  <c r="M2839" i="5"/>
  <c r="Q2918" i="5"/>
  <c r="R2918" i="5" s="1"/>
  <c r="S2918" i="5" s="1"/>
  <c r="Q2949" i="5"/>
  <c r="R2949" i="5" s="1"/>
  <c r="S2949" i="5" s="1"/>
  <c r="Q2956" i="5"/>
  <c r="M2961" i="5"/>
  <c r="Q2964" i="5"/>
  <c r="R2964" i="5" s="1"/>
  <c r="S2964" i="5" s="1"/>
  <c r="M2989" i="5"/>
  <c r="L3006" i="5"/>
  <c r="P3006" i="5" s="1"/>
  <c r="Q3022" i="5"/>
  <c r="R3022" i="5" s="1"/>
  <c r="S3022" i="5" s="1"/>
  <c r="M3034" i="5"/>
  <c r="Q3041" i="5"/>
  <c r="R3041" i="5" s="1"/>
  <c r="S3041" i="5" s="1"/>
  <c r="M3048" i="5"/>
  <c r="Q2651" i="5"/>
  <c r="R2651" i="5" s="1"/>
  <c r="S2651" i="5" s="1"/>
  <c r="M2650" i="5"/>
  <c r="N2650" i="5" s="1"/>
  <c r="Q2664" i="5"/>
  <c r="R2664" i="5" s="1"/>
  <c r="S2664" i="5" s="1"/>
  <c r="M2666" i="5"/>
  <c r="N2666" i="5" s="1"/>
  <c r="M2667" i="5"/>
  <c r="Q2697" i="5"/>
  <c r="R2697" i="5" s="1"/>
  <c r="S2697" i="5" s="1"/>
  <c r="Q2757" i="5"/>
  <c r="R2757" i="5" s="1"/>
  <c r="S2757" i="5" s="1"/>
  <c r="Q2770" i="5"/>
  <c r="R2770" i="5" s="1"/>
  <c r="S2770" i="5" s="1"/>
  <c r="Q2796" i="5"/>
  <c r="R2796" i="5" s="1"/>
  <c r="S2796" i="5" s="1"/>
  <c r="Q2824" i="5"/>
  <c r="R2824" i="5" s="1"/>
  <c r="S2824" i="5" s="1"/>
  <c r="Q2829" i="5"/>
  <c r="R2829" i="5" s="1"/>
  <c r="S2829" i="5" s="1"/>
  <c r="R2861" i="5"/>
  <c r="S2861" i="5" s="1"/>
  <c r="Q2931" i="5"/>
  <c r="R2931" i="5" s="1"/>
  <c r="S2931" i="5" s="1"/>
  <c r="M2944" i="5"/>
  <c r="R2976" i="5"/>
  <c r="S2976" i="5" s="1"/>
  <c r="Q2997" i="5"/>
  <c r="R2997" i="5" s="1"/>
  <c r="S2997" i="5" s="1"/>
  <c r="R3006" i="5"/>
  <c r="S3006" i="5" s="1"/>
  <c r="M3033" i="5"/>
  <c r="N3033" i="5" s="1"/>
  <c r="Q3045" i="5"/>
  <c r="R3045" i="5" s="1"/>
  <c r="S3045" i="5" s="1"/>
  <c r="Q3069" i="5"/>
  <c r="R3069" i="5" s="1"/>
  <c r="S3069" i="5" s="1"/>
  <c r="Q3074" i="5"/>
  <c r="R3074" i="5" s="1"/>
  <c r="S3074" i="5" s="1"/>
  <c r="R2839" i="5"/>
  <c r="S2839" i="5" s="1"/>
  <c r="L2839" i="5"/>
  <c r="P2839" i="5" s="1"/>
  <c r="Q2683" i="5"/>
  <c r="R2683" i="5" s="1"/>
  <c r="S2683" i="5" s="1"/>
  <c r="M2711" i="5"/>
  <c r="Q2753" i="5"/>
  <c r="Q2777" i="5"/>
  <c r="Q2785" i="5"/>
  <c r="R2785" i="5" s="1"/>
  <c r="S2785" i="5" s="1"/>
  <c r="Q2811" i="5"/>
  <c r="M2822" i="5"/>
  <c r="L2859" i="5"/>
  <c r="P2859" i="5" s="1"/>
  <c r="M2871" i="5"/>
  <c r="N2871" i="5" s="1"/>
  <c r="M2903" i="5"/>
  <c r="M2912" i="5"/>
  <c r="N2912" i="5" s="1"/>
  <c r="M2937" i="5"/>
  <c r="N2937" i="5" s="1"/>
  <c r="Q2967" i="5"/>
  <c r="R2967" i="5" s="1"/>
  <c r="S2967" i="5" s="1"/>
  <c r="Q3019" i="5"/>
  <c r="M3085" i="5"/>
  <c r="N3085" i="5" s="1"/>
  <c r="O3085" i="5" s="1"/>
  <c r="Q2661" i="5"/>
  <c r="R2661" i="5" s="1"/>
  <c r="S2661" i="5" s="1"/>
  <c r="M2671" i="5"/>
  <c r="N2671" i="5" s="1"/>
  <c r="Q2673" i="5"/>
  <c r="R2673" i="5" s="1"/>
  <c r="S2673" i="5" s="1"/>
  <c r="M2684" i="5"/>
  <c r="K2689" i="5"/>
  <c r="L2689" i="5" s="1"/>
  <c r="M2710" i="5"/>
  <c r="M2731" i="5"/>
  <c r="N2731" i="5" s="1"/>
  <c r="Q2732" i="5"/>
  <c r="R2732" i="5" s="1"/>
  <c r="S2732" i="5" s="1"/>
  <c r="Q2740" i="5"/>
  <c r="R2740" i="5" s="1"/>
  <c r="S2740" i="5" s="1"/>
  <c r="M2774" i="5"/>
  <c r="Q2776" i="5"/>
  <c r="R2775" i="5"/>
  <c r="S2775" i="5" s="1"/>
  <c r="Q2798" i="5"/>
  <c r="R2798" i="5" s="1"/>
  <c r="S2798" i="5" s="1"/>
  <c r="N2796" i="5"/>
  <c r="U2796" i="5" s="1"/>
  <c r="V2796" i="5" s="1"/>
  <c r="Q2814" i="5"/>
  <c r="R2814" i="5" s="1"/>
  <c r="S2814" i="5" s="1"/>
  <c r="M2840" i="5"/>
  <c r="N2840" i="5" s="1"/>
  <c r="Q2848" i="5"/>
  <c r="R2848" i="5" s="1"/>
  <c r="S2848" i="5" s="1"/>
  <c r="Q2866" i="5"/>
  <c r="R2866" i="5" s="1"/>
  <c r="S2866" i="5" s="1"/>
  <c r="Q2892" i="5"/>
  <c r="R2892" i="5" s="1"/>
  <c r="S2892" i="5" s="1"/>
  <c r="L2928" i="5"/>
  <c r="P2928" i="5" s="1"/>
  <c r="Q2940" i="5"/>
  <c r="R2940" i="5" s="1"/>
  <c r="S2940" i="5" s="1"/>
  <c r="Q2955" i="5"/>
  <c r="R2955" i="5" s="1"/>
  <c r="S2955" i="5" s="1"/>
  <c r="N2979" i="5"/>
  <c r="O2979" i="5" s="1"/>
  <c r="Q2996" i="5"/>
  <c r="L3048" i="5"/>
  <c r="P3048" i="5" s="1"/>
  <c r="M3062" i="5"/>
  <c r="N3062" i="5" s="1"/>
  <c r="L3066" i="5"/>
  <c r="M3080" i="5"/>
  <c r="Q2769" i="5"/>
  <c r="R2769" i="5" s="1"/>
  <c r="S2769" i="5" s="1"/>
  <c r="Q3000" i="5"/>
  <c r="R3030" i="5"/>
  <c r="S3030" i="5" s="1"/>
  <c r="Q2652" i="5"/>
  <c r="R2652" i="5" s="1"/>
  <c r="S2652" i="5" s="1"/>
  <c r="Q2663" i="5"/>
  <c r="R2663" i="5" s="1"/>
  <c r="S2663" i="5" s="1"/>
  <c r="Q2679" i="5"/>
  <c r="R2679" i="5" s="1"/>
  <c r="S2679" i="5" s="1"/>
  <c r="Q2709" i="5"/>
  <c r="R2709" i="5" s="1"/>
  <c r="S2709" i="5" s="1"/>
  <c r="Q2754" i="5"/>
  <c r="Q2758" i="5"/>
  <c r="R2758" i="5" s="1"/>
  <c r="S2758" i="5" s="1"/>
  <c r="M2775" i="5"/>
  <c r="Q2779" i="5"/>
  <c r="R2779" i="5" s="1"/>
  <c r="S2779" i="5" s="1"/>
  <c r="M2786" i="5"/>
  <c r="Q2802" i="5"/>
  <c r="R2802" i="5" s="1"/>
  <c r="S2802" i="5" s="1"/>
  <c r="M2833" i="5"/>
  <c r="N2833" i="5" s="1"/>
  <c r="M2841" i="5"/>
  <c r="M2863" i="5"/>
  <c r="N2863" i="5" s="1"/>
  <c r="K2872" i="5"/>
  <c r="L2872" i="5" s="1"/>
  <c r="Q2908" i="5"/>
  <c r="Q2920" i="5"/>
  <c r="R2920" i="5" s="1"/>
  <c r="S2920" i="5" s="1"/>
  <c r="Q2975" i="5"/>
  <c r="R2975" i="5" s="1"/>
  <c r="S2975" i="5" s="1"/>
  <c r="Q2979" i="5"/>
  <c r="R2979" i="5" s="1"/>
  <c r="S2979" i="5" s="1"/>
  <c r="Q3004" i="5"/>
  <c r="R3004" i="5" s="1"/>
  <c r="S3004" i="5" s="1"/>
  <c r="Q3021" i="5"/>
  <c r="L3030" i="5"/>
  <c r="K3043" i="5"/>
  <c r="L3043" i="5" s="1"/>
  <c r="M3053" i="5"/>
  <c r="Q3058" i="5"/>
  <c r="R3058" i="5" s="1"/>
  <c r="S3058" i="5" s="1"/>
  <c r="Q3068" i="5"/>
  <c r="Q2805" i="5"/>
  <c r="R2805" i="5" s="1"/>
  <c r="S2805" i="5" s="1"/>
  <c r="M2907" i="5"/>
  <c r="Q2911" i="5"/>
  <c r="R2911" i="5" s="1"/>
  <c r="S2911" i="5" s="1"/>
  <c r="M2946" i="5"/>
  <c r="M2958" i="5"/>
  <c r="M2963" i="5"/>
  <c r="M2976" i="5"/>
  <c r="Q3005" i="5"/>
  <c r="R3005" i="5" s="1"/>
  <c r="S3005" i="5" s="1"/>
  <c r="M3036" i="5"/>
  <c r="Q3063" i="5"/>
  <c r="M2688" i="5"/>
  <c r="N2688" i="5" s="1"/>
  <c r="P2912" i="5"/>
  <c r="M2952" i="5"/>
  <c r="Q2952" i="5"/>
  <c r="R2952" i="5" s="1"/>
  <c r="S2952" i="5" s="1"/>
  <c r="K2968" i="5"/>
  <c r="L2968" i="5" s="1"/>
  <c r="M2835" i="5"/>
  <c r="L2932" i="5"/>
  <c r="P2932" i="5" s="1"/>
  <c r="L3070" i="5"/>
  <c r="P3070" i="5" s="1"/>
  <c r="R3070" i="5"/>
  <c r="S3070" i="5" s="1"/>
  <c r="M2745" i="5"/>
  <c r="L2775" i="5"/>
  <c r="P2775" i="5" s="1"/>
  <c r="Q2676" i="5"/>
  <c r="R2676" i="5" s="1"/>
  <c r="S2676" i="5" s="1"/>
  <c r="Q2687" i="5"/>
  <c r="R2687" i="5" s="1"/>
  <c r="S2687" i="5" s="1"/>
  <c r="M2707" i="5"/>
  <c r="N2707" i="5" s="1"/>
  <c r="M2701" i="5"/>
  <c r="N2701" i="5" s="1"/>
  <c r="M2735" i="5"/>
  <c r="N2735" i="5" s="1"/>
  <c r="M2737" i="5"/>
  <c r="M2748" i="5"/>
  <c r="M2759" i="5"/>
  <c r="N2759" i="5" s="1"/>
  <c r="M2764" i="5"/>
  <c r="Q2778" i="5"/>
  <c r="R2778" i="5" s="1"/>
  <c r="S2778" i="5" s="1"/>
  <c r="M2778" i="5"/>
  <c r="M2799" i="5"/>
  <c r="M2819" i="5"/>
  <c r="Q2819" i="5"/>
  <c r="R2819" i="5" s="1"/>
  <c r="S2819" i="5" s="1"/>
  <c r="L3076" i="5"/>
  <c r="P3076" i="5" s="1"/>
  <c r="K3015" i="5"/>
  <c r="L3015" i="5" s="1"/>
  <c r="P3015" i="5" s="1"/>
  <c r="M2749" i="5"/>
  <c r="M2808" i="5"/>
  <c r="Q2808" i="5"/>
  <c r="R2808" i="5" s="1"/>
  <c r="S2808" i="5" s="1"/>
  <c r="M2845" i="5"/>
  <c r="Q2845" i="5"/>
  <c r="R2845" i="5" s="1"/>
  <c r="S2845" i="5" s="1"/>
  <c r="M2883" i="5"/>
  <c r="N2883" i="5" s="1"/>
  <c r="Q2883" i="5"/>
  <c r="R2883" i="5" s="1"/>
  <c r="S2883" i="5" s="1"/>
  <c r="M2649" i="5"/>
  <c r="N2649" i="5" s="1"/>
  <c r="O2649" i="5" s="1"/>
  <c r="Q2675" i="5"/>
  <c r="R2675" i="5" s="1"/>
  <c r="S2675" i="5" s="1"/>
  <c r="M2681" i="5"/>
  <c r="M2682" i="5"/>
  <c r="M2706" i="5"/>
  <c r="M2700" i="5"/>
  <c r="Q2717" i="5"/>
  <c r="R2717" i="5" s="1"/>
  <c r="S2717" i="5" s="1"/>
  <c r="R2726" i="5"/>
  <c r="S2726" i="5" s="1"/>
  <c r="M2726" i="5"/>
  <c r="N2726" i="5" s="1"/>
  <c r="Q2730" i="5"/>
  <c r="R2730" i="5" s="1"/>
  <c r="S2730" i="5" s="1"/>
  <c r="Q2743" i="5"/>
  <c r="R2743" i="5" s="1"/>
  <c r="S2743" i="5" s="1"/>
  <c r="Q2809" i="5"/>
  <c r="Q2816" i="5"/>
  <c r="R2816" i="5" s="1"/>
  <c r="S2816" i="5" s="1"/>
  <c r="M2818" i="5"/>
  <c r="Q2818" i="5"/>
  <c r="R2818" i="5" s="1"/>
  <c r="S2818" i="5" s="1"/>
  <c r="M2886" i="5"/>
  <c r="N2886" i="5" s="1"/>
  <c r="Q2886" i="5"/>
  <c r="R2886" i="5" s="1"/>
  <c r="S2886" i="5" s="1"/>
  <c r="L2905" i="5"/>
  <c r="P2905" i="5" s="1"/>
  <c r="R2905" i="5"/>
  <c r="S2905" i="5" s="1"/>
  <c r="Q2938" i="5"/>
  <c r="R2938" i="5" s="1"/>
  <c r="S2938" i="5" s="1"/>
  <c r="M2938" i="5"/>
  <c r="M2983" i="5"/>
  <c r="Q2983" i="5"/>
  <c r="R2983" i="5" s="1"/>
  <c r="S2983" i="5" s="1"/>
  <c r="Q2933" i="5"/>
  <c r="R2933" i="5" s="1"/>
  <c r="S2933" i="5" s="1"/>
  <c r="M2933" i="5"/>
  <c r="Q2670" i="5"/>
  <c r="R2670" i="5" s="1"/>
  <c r="S2670" i="5" s="1"/>
  <c r="M2705" i="5"/>
  <c r="M2699" i="5"/>
  <c r="Q2752" i="5"/>
  <c r="Q2761" i="5"/>
  <c r="R2761" i="5" s="1"/>
  <c r="S2761" i="5" s="1"/>
  <c r="M2763" i="5"/>
  <c r="M2792" i="5"/>
  <c r="Q2792" i="5"/>
  <c r="Q2812" i="5"/>
  <c r="R2812" i="5" s="1"/>
  <c r="S2812" i="5" s="1"/>
  <c r="M2812" i="5"/>
  <c r="M2838" i="5"/>
  <c r="N2838" i="5" s="1"/>
  <c r="Q2838" i="5"/>
  <c r="R2838" i="5" s="1"/>
  <c r="S2838" i="5" s="1"/>
  <c r="Q2948" i="5"/>
  <c r="M2948" i="5"/>
  <c r="Q2998" i="5"/>
  <c r="R2998" i="5" s="1"/>
  <c r="S2998" i="5" s="1"/>
  <c r="M2998" i="5"/>
  <c r="Q2794" i="5"/>
  <c r="M2794" i="5"/>
  <c r="K2893" i="5"/>
  <c r="L2893" i="5" s="1"/>
  <c r="P2893" i="5" s="1"/>
  <c r="Q2685" i="5"/>
  <c r="Q2744" i="5"/>
  <c r="R2744" i="5" s="1"/>
  <c r="S2744" i="5" s="1"/>
  <c r="M2823" i="5"/>
  <c r="N2823" i="5" s="1"/>
  <c r="Q2823" i="5"/>
  <c r="R2823" i="5" s="1"/>
  <c r="S2823" i="5" s="1"/>
  <c r="M2858" i="5"/>
  <c r="Q2858" i="5"/>
  <c r="R2858" i="5" s="1"/>
  <c r="S2858" i="5" s="1"/>
  <c r="M2872" i="5"/>
  <c r="R2912" i="5"/>
  <c r="S2912" i="5" s="1"/>
  <c r="M2977" i="5"/>
  <c r="N2977" i="5" s="1"/>
  <c r="O2977" i="5" s="1"/>
  <c r="Q2977" i="5"/>
  <c r="R2977" i="5" s="1"/>
  <c r="S2977" i="5" s="1"/>
  <c r="Q2981" i="5"/>
  <c r="R2981" i="5" s="1"/>
  <c r="S2981" i="5" s="1"/>
  <c r="M2981" i="5"/>
  <c r="Q2990" i="5"/>
  <c r="R2990" i="5" s="1"/>
  <c r="S2990" i="5" s="1"/>
  <c r="M2990" i="5"/>
  <c r="Q2992" i="5"/>
  <c r="R2992" i="5" s="1"/>
  <c r="S2992" i="5" s="1"/>
  <c r="Q2887" i="5"/>
  <c r="R2887" i="5" s="1"/>
  <c r="S2887" i="5" s="1"/>
  <c r="M2905" i="5"/>
  <c r="Q2947" i="5"/>
  <c r="R2947" i="5" s="1"/>
  <c r="S2947" i="5" s="1"/>
  <c r="M2999" i="5"/>
  <c r="Q3002" i="5"/>
  <c r="R3002" i="5" s="1"/>
  <c r="S3002" i="5" s="1"/>
  <c r="Q3027" i="5"/>
  <c r="M3038" i="5"/>
  <c r="N3038" i="5" s="1"/>
  <c r="O3038" i="5" s="1"/>
  <c r="Q3046" i="5"/>
  <c r="R3048" i="5"/>
  <c r="S3048" i="5" s="1"/>
  <c r="L3053" i="5"/>
  <c r="P3053" i="5" s="1"/>
  <c r="M3055" i="5"/>
  <c r="R3059" i="5"/>
  <c r="S3059" i="5" s="1"/>
  <c r="Q3075" i="5"/>
  <c r="R3075" i="5" s="1"/>
  <c r="S3075" i="5" s="1"/>
  <c r="Q2857" i="5"/>
  <c r="Q2868" i="5"/>
  <c r="M2904" i="5"/>
  <c r="R2927" i="5"/>
  <c r="S2927" i="5" s="1"/>
  <c r="Q2936" i="5"/>
  <c r="L2931" i="5"/>
  <c r="P2931" i="5" s="1"/>
  <c r="L2939" i="5"/>
  <c r="P2939" i="5" s="1"/>
  <c r="M2943" i="5"/>
  <c r="M2982" i="5"/>
  <c r="M3010" i="5"/>
  <c r="M3020" i="5"/>
  <c r="Q3049" i="5"/>
  <c r="R3049" i="5" s="1"/>
  <c r="S3049" i="5" s="1"/>
  <c r="L3050" i="5"/>
  <c r="P3050" i="5" s="1"/>
  <c r="Q3067" i="5"/>
  <c r="M3078" i="5"/>
  <c r="Q3079" i="5"/>
  <c r="R3079" i="5" s="1"/>
  <c r="S3079" i="5" s="1"/>
  <c r="M2797" i="5"/>
  <c r="M2815" i="5"/>
  <c r="Q2817" i="5"/>
  <c r="R2817" i="5" s="1"/>
  <c r="S2817" i="5" s="1"/>
  <c r="M2831" i="5"/>
  <c r="N2831" i="5" s="1"/>
  <c r="L2848" i="5"/>
  <c r="N2848" i="5" s="1"/>
  <c r="Q2856" i="5"/>
  <c r="Q2879" i="5"/>
  <c r="Q2884" i="5"/>
  <c r="R2884" i="5" s="1"/>
  <c r="S2884" i="5" s="1"/>
  <c r="Q2928" i="5"/>
  <c r="R2928" i="5" s="1"/>
  <c r="S2928" i="5" s="1"/>
  <c r="Q2934" i="5"/>
  <c r="R2934" i="5" s="1"/>
  <c r="S2934" i="5" s="1"/>
  <c r="Q2966" i="5"/>
  <c r="R2966" i="5" s="1"/>
  <c r="S2966" i="5" s="1"/>
  <c r="Q3056" i="5"/>
  <c r="Q2853" i="5"/>
  <c r="R2853" i="5" s="1"/>
  <c r="S2853" i="5" s="1"/>
  <c r="L2876" i="5"/>
  <c r="P2876" i="5" s="1"/>
  <c r="L2887" i="5"/>
  <c r="N2887" i="5" s="1"/>
  <c r="M2926" i="5"/>
  <c r="N2994" i="5"/>
  <c r="O2994" i="5" s="1"/>
  <c r="L3020" i="5"/>
  <c r="P3020" i="5" s="1"/>
  <c r="Q3042" i="5"/>
  <c r="R3042" i="5" s="1"/>
  <c r="S3042" i="5" s="1"/>
  <c r="L3045" i="5"/>
  <c r="P3045" i="5" s="1"/>
  <c r="Q3052" i="5"/>
  <c r="R3052" i="5" s="1"/>
  <c r="S3052" i="5" s="1"/>
  <c r="L3059" i="5"/>
  <c r="L3072" i="5"/>
  <c r="P3072" i="5" s="1"/>
  <c r="L3078" i="5"/>
  <c r="P3078" i="5" s="1"/>
  <c r="L2866" i="5"/>
  <c r="P2866" i="5" s="1"/>
  <c r="L2952" i="5"/>
  <c r="P2952" i="5" s="1"/>
  <c r="L3049" i="5"/>
  <c r="P3049" i="5" s="1"/>
  <c r="L3069" i="5"/>
  <c r="P3069" i="5" s="1"/>
  <c r="L3080" i="5"/>
  <c r="P3080" i="5" s="1"/>
  <c r="L2781" i="5"/>
  <c r="P2781" i="5" s="1"/>
  <c r="L2779" i="5"/>
  <c r="P2779" i="5" s="1"/>
  <c r="L2764" i="5"/>
  <c r="P2764" i="5" s="1"/>
  <c r="R2711" i="5"/>
  <c r="S2711" i="5" s="1"/>
  <c r="L2711" i="5"/>
  <c r="P2711" i="5" s="1"/>
  <c r="R2705" i="5"/>
  <c r="S2705" i="5" s="1"/>
  <c r="R2699" i="5"/>
  <c r="S2699" i="5" s="1"/>
  <c r="P2686" i="5"/>
  <c r="L2687" i="5"/>
  <c r="L2683" i="5"/>
  <c r="P2683" i="5" s="1"/>
  <c r="R2681" i="5"/>
  <c r="S2681" i="5" s="1"/>
  <c r="L2681" i="5"/>
  <c r="P2681" i="5" s="1"/>
  <c r="L2668" i="5"/>
  <c r="P2668" i="5" s="1"/>
  <c r="R2668" i="5"/>
  <c r="S2668" i="5" s="1"/>
  <c r="P2690" i="5"/>
  <c r="N2690" i="5"/>
  <c r="P2680" i="5"/>
  <c r="N2680" i="5"/>
  <c r="P2688" i="5"/>
  <c r="K2902" i="5"/>
  <c r="K3046" i="5"/>
  <c r="L3046" i="5" s="1"/>
  <c r="K3084" i="5"/>
  <c r="L2676" i="5"/>
  <c r="N2676" i="5" s="1"/>
  <c r="R2688" i="5"/>
  <c r="S2688" i="5" s="1"/>
  <c r="N2697" i="5"/>
  <c r="U2697" i="5" s="1"/>
  <c r="V2697" i="5" s="1"/>
  <c r="L2705" i="5"/>
  <c r="P2705" i="5" s="1"/>
  <c r="K2739" i="5"/>
  <c r="L2739" i="5" s="1"/>
  <c r="L2766" i="5"/>
  <c r="P2766" i="5" s="1"/>
  <c r="K2783" i="5"/>
  <c r="L2783" i="5" s="1"/>
  <c r="L2797" i="5"/>
  <c r="R2797" i="5"/>
  <c r="S2797" i="5" s="1"/>
  <c r="K3011" i="5"/>
  <c r="L3011" i="5" s="1"/>
  <c r="K3056" i="5"/>
  <c r="L3056" i="5" s="1"/>
  <c r="L3061" i="5"/>
  <c r="K3063" i="5"/>
  <c r="K2875" i="5"/>
  <c r="R2875" i="5" s="1"/>
  <c r="S2875" i="5" s="1"/>
  <c r="L2699" i="5"/>
  <c r="P2699" i="5" s="1"/>
  <c r="R2720" i="5"/>
  <c r="S2720" i="5" s="1"/>
  <c r="L2736" i="5"/>
  <c r="P2736" i="5" s="1"/>
  <c r="K2738" i="5"/>
  <c r="L2738" i="5" s="1"/>
  <c r="L2751" i="5"/>
  <c r="P2751" i="5" s="1"/>
  <c r="L2768" i="5"/>
  <c r="P2768" i="5" s="1"/>
  <c r="L2771" i="5"/>
  <c r="P2771" i="5" s="1"/>
  <c r="R2771" i="5"/>
  <c r="S2771" i="5" s="1"/>
  <c r="K2828" i="5"/>
  <c r="L2828" i="5" s="1"/>
  <c r="P2828" i="5" s="1"/>
  <c r="K2925" i="5"/>
  <c r="L2925" i="5" s="1"/>
  <c r="K2956" i="5"/>
  <c r="L2956" i="5" s="1"/>
  <c r="P3060" i="5"/>
  <c r="K3067" i="5"/>
  <c r="N2741" i="5"/>
  <c r="O2741" i="5" s="1"/>
  <c r="R2759" i="5"/>
  <c r="S2759" i="5" s="1"/>
  <c r="K2867" i="5"/>
  <c r="R2867" i="5" s="1"/>
  <c r="S2867" i="5" s="1"/>
  <c r="L2870" i="5"/>
  <c r="P2870" i="5" s="1"/>
  <c r="K2913" i="5"/>
  <c r="R2913" i="5" s="1"/>
  <c r="S2913" i="5" s="1"/>
  <c r="K2999" i="5"/>
  <c r="L2999" i="5" s="1"/>
  <c r="P3062" i="5"/>
  <c r="R2677" i="5"/>
  <c r="S2677" i="5" s="1"/>
  <c r="N2696" i="5"/>
  <c r="O2696" i="5" s="1"/>
  <c r="L2720" i="5"/>
  <c r="P2720" i="5" s="1"/>
  <c r="L2743" i="5"/>
  <c r="N2743" i="5" s="1"/>
  <c r="R2751" i="5"/>
  <c r="S2751" i="5" s="1"/>
  <c r="P2863" i="5"/>
  <c r="L2911" i="5"/>
  <c r="P2911" i="5" s="1"/>
  <c r="L2933" i="5"/>
  <c r="P2933" i="5" s="1"/>
  <c r="K2963" i="5"/>
  <c r="L2963" i="5" s="1"/>
  <c r="N3052" i="5"/>
  <c r="O3052" i="5" s="1"/>
  <c r="R2666" i="5"/>
  <c r="S2666" i="5" s="1"/>
  <c r="N2691" i="5"/>
  <c r="U2691" i="5" s="1"/>
  <c r="V2691" i="5" s="1"/>
  <c r="K2684" i="5"/>
  <c r="L2684" i="5" s="1"/>
  <c r="L2677" i="5"/>
  <c r="L2723" i="5"/>
  <c r="N2723" i="5" s="1"/>
  <c r="K2760" i="5"/>
  <c r="L2760" i="5" s="1"/>
  <c r="R2763" i="5"/>
  <c r="S2763" i="5" s="1"/>
  <c r="R2764" i="5"/>
  <c r="S2764" i="5" s="1"/>
  <c r="L2773" i="5"/>
  <c r="N2773" i="5" s="1"/>
  <c r="K2800" i="5"/>
  <c r="L2800" i="5" s="1"/>
  <c r="P2800" i="5" s="1"/>
  <c r="K2813" i="5"/>
  <c r="L2813" i="5" s="1"/>
  <c r="L2835" i="5"/>
  <c r="P2835" i="5" s="1"/>
  <c r="R2950" i="5"/>
  <c r="S2950" i="5" s="1"/>
  <c r="P2953" i="5"/>
  <c r="L3037" i="5"/>
  <c r="P3037" i="5" s="1"/>
  <c r="L3055" i="5"/>
  <c r="R3055" i="5"/>
  <c r="S3055" i="5" s="1"/>
  <c r="K3068" i="5"/>
  <c r="L3068" i="5" s="1"/>
  <c r="R2835" i="5"/>
  <c r="S2835" i="5" s="1"/>
  <c r="L2864" i="5"/>
  <c r="P2864" i="5" s="1"/>
  <c r="R2878" i="5"/>
  <c r="S2878" i="5" s="1"/>
  <c r="L2898" i="5"/>
  <c r="P2898" i="5" s="1"/>
  <c r="R2939" i="5"/>
  <c r="S2939" i="5" s="1"/>
  <c r="L2946" i="5"/>
  <c r="L2944" i="5"/>
  <c r="R2953" i="5"/>
  <c r="S2953" i="5" s="1"/>
  <c r="L2964" i="5"/>
  <c r="N2964" i="5" s="1"/>
  <c r="R3025" i="5"/>
  <c r="S3025" i="5" s="1"/>
  <c r="L3024" i="5"/>
  <c r="P3024" i="5" s="1"/>
  <c r="R3034" i="5"/>
  <c r="S3034" i="5" s="1"/>
  <c r="K3039" i="5"/>
  <c r="R3039" i="5" s="1"/>
  <c r="S3039" i="5" s="1"/>
  <c r="K3054" i="5"/>
  <c r="L3054" i="5" s="1"/>
  <c r="R3066" i="5"/>
  <c r="S3066" i="5" s="1"/>
  <c r="L3064" i="5"/>
  <c r="P3064" i="5" s="1"/>
  <c r="K3081" i="5"/>
  <c r="L3081" i="5" s="1"/>
  <c r="R2781" i="5"/>
  <c r="S2781" i="5" s="1"/>
  <c r="R2801" i="5"/>
  <c r="S2801" i="5" s="1"/>
  <c r="L2845" i="5"/>
  <c r="P2845" i="5" s="1"/>
  <c r="L2927" i="5"/>
  <c r="L2955" i="5"/>
  <c r="P2955" i="5" s="1"/>
  <c r="N2960" i="5"/>
  <c r="U2960" i="5" s="1"/>
  <c r="V2960" i="5" s="1"/>
  <c r="L2997" i="5"/>
  <c r="N3004" i="5"/>
  <c r="U3004" i="5" s="1"/>
  <c r="V3004" i="5" s="1"/>
  <c r="R3038" i="5"/>
  <c r="S3038" i="5" s="1"/>
  <c r="R3051" i="5"/>
  <c r="S3051" i="5" s="1"/>
  <c r="N3058" i="5"/>
  <c r="O3058" i="5" s="1"/>
  <c r="R3060" i="5"/>
  <c r="S3060" i="5" s="1"/>
  <c r="R3062" i="5"/>
  <c r="S3062" i="5" s="1"/>
  <c r="N3075" i="5"/>
  <c r="U3075" i="5" s="1"/>
  <c r="V3075" i="5" s="1"/>
  <c r="N3082" i="5"/>
  <c r="U3082" i="5" s="1"/>
  <c r="V3082" i="5" s="1"/>
  <c r="R2946" i="5"/>
  <c r="S2946" i="5" s="1"/>
  <c r="L2965" i="5"/>
  <c r="P2965" i="5" s="1"/>
  <c r="R3050" i="5"/>
  <c r="S3050" i="5" s="1"/>
  <c r="L2919" i="5"/>
  <c r="N2919" i="5" s="1"/>
  <c r="N2940" i="5"/>
  <c r="O2940" i="5" s="1"/>
  <c r="R3020" i="5"/>
  <c r="S3020" i="5" s="1"/>
  <c r="N3057" i="5"/>
  <c r="O3057" i="5" s="1"/>
  <c r="L2841" i="5"/>
  <c r="L2873" i="5"/>
  <c r="P2873" i="5" s="1"/>
  <c r="R2906" i="5"/>
  <c r="S2906" i="5" s="1"/>
  <c r="L2947" i="5"/>
  <c r="P2947" i="5" s="1"/>
  <c r="R2957" i="5"/>
  <c r="S2957" i="5" s="1"/>
  <c r="L2976" i="5"/>
  <c r="P2976" i="5" s="1"/>
  <c r="L3007" i="5"/>
  <c r="L3005" i="5"/>
  <c r="P3005" i="5" s="1"/>
  <c r="L3028" i="5"/>
  <c r="P3028" i="5" s="1"/>
  <c r="R3053" i="5"/>
  <c r="S3053" i="5" s="1"/>
  <c r="R3078" i="5"/>
  <c r="S3078" i="5" s="1"/>
  <c r="R3080" i="5"/>
  <c r="S3080" i="5" s="1"/>
  <c r="M3008" i="5"/>
  <c r="Q3008" i="5"/>
  <c r="Q2678" i="5"/>
  <c r="R2678" i="5" s="1"/>
  <c r="S2678" i="5" s="1"/>
  <c r="Q2698" i="5"/>
  <c r="R2698" i="5" s="1"/>
  <c r="S2698" i="5" s="1"/>
  <c r="Q2692" i="5"/>
  <c r="R2692" i="5" s="1"/>
  <c r="S2692" i="5" s="1"/>
  <c r="M2694" i="5"/>
  <c r="Q2718" i="5"/>
  <c r="R2718" i="5" s="1"/>
  <c r="S2718" i="5" s="1"/>
  <c r="M2716" i="5"/>
  <c r="Q2723" i="5"/>
  <c r="R2723" i="5" s="1"/>
  <c r="S2723" i="5" s="1"/>
  <c r="M2725" i="5"/>
  <c r="Q2741" i="5"/>
  <c r="R2741" i="5" s="1"/>
  <c r="S2741" i="5" s="1"/>
  <c r="Q2756" i="5"/>
  <c r="R2756" i="5" s="1"/>
  <c r="S2756" i="5" s="1"/>
  <c r="Q2767" i="5"/>
  <c r="R2767" i="5" s="1"/>
  <c r="S2767" i="5" s="1"/>
  <c r="M2781" i="5"/>
  <c r="Q2788" i="5"/>
  <c r="R2788" i="5" s="1"/>
  <c r="S2788" i="5" s="1"/>
  <c r="Q2795" i="5"/>
  <c r="R2795" i="5" s="1"/>
  <c r="S2795" i="5" s="1"/>
  <c r="M2801" i="5"/>
  <c r="N2801" i="5" s="1"/>
  <c r="U2801" i="5" s="1"/>
  <c r="V2801" i="5" s="1"/>
  <c r="Q2820" i="5"/>
  <c r="R2820" i="5" s="1"/>
  <c r="S2820" i="5" s="1"/>
  <c r="N2826" i="5"/>
  <c r="O2826" i="5" s="1"/>
  <c r="M2834" i="5"/>
  <c r="M2837" i="5"/>
  <c r="Q2842" i="5"/>
  <c r="R2842" i="5" s="1"/>
  <c r="S2842" i="5" s="1"/>
  <c r="Q2846" i="5"/>
  <c r="R2846" i="5" s="1"/>
  <c r="S2846" i="5" s="1"/>
  <c r="M2851" i="5"/>
  <c r="M2855" i="5"/>
  <c r="Q2873" i="5"/>
  <c r="R2873" i="5" s="1"/>
  <c r="S2873" i="5" s="1"/>
  <c r="Q2890" i="5"/>
  <c r="R2890" i="5" s="1"/>
  <c r="S2890" i="5" s="1"/>
  <c r="M2890" i="5"/>
  <c r="Q2896" i="5"/>
  <c r="M2898" i="5"/>
  <c r="Q2898" i="5"/>
  <c r="R2898" i="5" s="1"/>
  <c r="S2898" i="5" s="1"/>
  <c r="M2959" i="5"/>
  <c r="N2959" i="5" s="1"/>
  <c r="O2959" i="5" s="1"/>
  <c r="Q2959" i="5"/>
  <c r="R2959" i="5" s="1"/>
  <c r="S2959" i="5" s="1"/>
  <c r="Q2708" i="5"/>
  <c r="R2708" i="5" s="1"/>
  <c r="S2708" i="5" s="1"/>
  <c r="Q2772" i="5"/>
  <c r="R2772" i="5" s="1"/>
  <c r="S2772" i="5" s="1"/>
  <c r="M2780" i="5"/>
  <c r="M2800" i="5"/>
  <c r="Q2849" i="5"/>
  <c r="R2849" i="5" s="1"/>
  <c r="S2849" i="5" s="1"/>
  <c r="R2865" i="5"/>
  <c r="S2865" i="5" s="1"/>
  <c r="Q2885" i="5"/>
  <c r="R2885" i="5" s="1"/>
  <c r="S2885" i="5" s="1"/>
  <c r="Q2942" i="5"/>
  <c r="R2942" i="5" s="1"/>
  <c r="S2942" i="5" s="1"/>
  <c r="M2988" i="5"/>
  <c r="N2988" i="5" s="1"/>
  <c r="O2988" i="5" s="1"/>
  <c r="Q2988" i="5"/>
  <c r="R2988" i="5" s="1"/>
  <c r="S2988" i="5" s="1"/>
  <c r="M3044" i="5"/>
  <c r="Q3044" i="5"/>
  <c r="R3044" i="5" s="1"/>
  <c r="S3044" i="5" s="1"/>
  <c r="M2970" i="5"/>
  <c r="N2970" i="5" s="1"/>
  <c r="Q2970" i="5"/>
  <c r="R2970" i="5" s="1"/>
  <c r="S2970" i="5" s="1"/>
  <c r="Q2696" i="5"/>
  <c r="R2696" i="5" s="1"/>
  <c r="S2696" i="5" s="1"/>
  <c r="M2713" i="5"/>
  <c r="Q2727" i="5"/>
  <c r="R2727" i="5" s="1"/>
  <c r="S2727" i="5" s="1"/>
  <c r="Q2721" i="5"/>
  <c r="R2721" i="5" s="1"/>
  <c r="S2721" i="5" s="1"/>
  <c r="Q2739" i="5"/>
  <c r="Q2768" i="5"/>
  <c r="R2768" i="5" s="1"/>
  <c r="S2768" i="5" s="1"/>
  <c r="Q2784" i="5"/>
  <c r="M2803" i="5"/>
  <c r="N2803" i="5" s="1"/>
  <c r="M2832" i="5"/>
  <c r="Q2862" i="5"/>
  <c r="R2862" i="5" s="1"/>
  <c r="S2862" i="5" s="1"/>
  <c r="Q2935" i="5"/>
  <c r="R2935" i="5" s="1"/>
  <c r="S2935" i="5" s="1"/>
  <c r="Q3001" i="5"/>
  <c r="R3001" i="5" s="1"/>
  <c r="S3001" i="5" s="1"/>
  <c r="M3011" i="5"/>
  <c r="Q3011" i="5"/>
  <c r="M3026" i="5"/>
  <c r="N3026" i="5" s="1"/>
  <c r="O3026" i="5" s="1"/>
  <c r="Q3026" i="5"/>
  <c r="R3026" i="5" s="1"/>
  <c r="S3026" i="5" s="1"/>
  <c r="Q3037" i="5"/>
  <c r="R3037" i="5" s="1"/>
  <c r="S3037" i="5" s="1"/>
  <c r="M3037" i="5"/>
  <c r="M2917" i="5"/>
  <c r="Q2917" i="5"/>
  <c r="R2917" i="5" s="1"/>
  <c r="S2917" i="5" s="1"/>
  <c r="M2972" i="5"/>
  <c r="Q2972" i="5"/>
  <c r="R2972" i="5" s="1"/>
  <c r="S2972" i="5" s="1"/>
  <c r="Q2973" i="5"/>
  <c r="M2973" i="5"/>
  <c r="Q3003" i="5"/>
  <c r="R3003" i="5" s="1"/>
  <c r="S3003" i="5" s="1"/>
  <c r="M3003" i="5"/>
  <c r="R2855" i="5"/>
  <c r="S2855" i="5" s="1"/>
  <c r="R2877" i="5"/>
  <c r="S2877" i="5" s="1"/>
  <c r="M2891" i="5"/>
  <c r="M2924" i="5"/>
  <c r="Q2924" i="5"/>
  <c r="R2924" i="5" s="1"/>
  <c r="S2924" i="5" s="1"/>
  <c r="M2993" i="5"/>
  <c r="N2993" i="5" s="1"/>
  <c r="Q2993" i="5"/>
  <c r="R2993" i="5" s="1"/>
  <c r="S2993" i="5" s="1"/>
  <c r="M3012" i="5"/>
  <c r="Q3012" i="5"/>
  <c r="R3012" i="5" s="1"/>
  <c r="S3012" i="5" s="1"/>
  <c r="Q3016" i="5"/>
  <c r="R3016" i="5" s="1"/>
  <c r="S3016" i="5" s="1"/>
  <c r="M3016" i="5"/>
  <c r="N3016" i="5" s="1"/>
  <c r="N2918" i="5"/>
  <c r="O2918" i="5" s="1"/>
  <c r="Q3013" i="5"/>
  <c r="Q3023" i="5"/>
  <c r="Q3047" i="5"/>
  <c r="R3047" i="5" s="1"/>
  <c r="S3047" i="5" s="1"/>
  <c r="Q2914" i="5"/>
  <c r="Q2925" i="5"/>
  <c r="Q2962" i="5"/>
  <c r="Q2980" i="5"/>
  <c r="Q3007" i="5"/>
  <c r="R3007" i="5" s="1"/>
  <c r="S3007" i="5" s="1"/>
  <c r="Q3032" i="5"/>
  <c r="R3032" i="5" s="1"/>
  <c r="S3032" i="5" s="1"/>
  <c r="Q3072" i="5"/>
  <c r="R3072" i="5" s="1"/>
  <c r="S3072" i="5" s="1"/>
  <c r="M2974" i="5"/>
  <c r="Q3065" i="5"/>
  <c r="R3065" i="5" s="1"/>
  <c r="S3065" i="5" s="1"/>
  <c r="Q2923" i="5"/>
  <c r="Q2960" i="5"/>
  <c r="R2960" i="5" s="1"/>
  <c r="S2960" i="5" s="1"/>
  <c r="Q2978" i="5"/>
  <c r="R2978" i="5" s="1"/>
  <c r="S2978" i="5" s="1"/>
  <c r="Q2994" i="5"/>
  <c r="R2994" i="5" s="1"/>
  <c r="S2994" i="5" s="1"/>
  <c r="Q3029" i="5"/>
  <c r="R3029" i="5" s="1"/>
  <c r="S3029" i="5" s="1"/>
  <c r="Q3057" i="5"/>
  <c r="R3057" i="5" s="1"/>
  <c r="S3057" i="5" s="1"/>
  <c r="Q3064" i="5"/>
  <c r="R3064" i="5" s="1"/>
  <c r="S3064" i="5" s="1"/>
  <c r="N3083" i="5"/>
  <c r="O3083" i="5" s="1"/>
  <c r="P2666" i="5"/>
  <c r="K2685" i="5"/>
  <c r="L2685" i="5" s="1"/>
  <c r="K2667" i="5"/>
  <c r="R2667" i="5" s="1"/>
  <c r="S2667" i="5" s="1"/>
  <c r="L2670" i="5"/>
  <c r="L2675" i="5"/>
  <c r="N2679" i="5"/>
  <c r="P2679" i="5"/>
  <c r="L2706" i="5"/>
  <c r="R2706" i="5"/>
  <c r="S2706" i="5" s="1"/>
  <c r="L2700" i="5"/>
  <c r="R2700" i="5"/>
  <c r="S2700" i="5" s="1"/>
  <c r="L2708" i="5"/>
  <c r="L2713" i="5"/>
  <c r="R2713" i="5"/>
  <c r="S2713" i="5" s="1"/>
  <c r="K2728" i="5"/>
  <c r="L2728" i="5" s="1"/>
  <c r="L2733" i="5"/>
  <c r="P2840" i="5"/>
  <c r="P2671" i="5"/>
  <c r="P2669" i="5"/>
  <c r="P2674" i="5"/>
  <c r="N2692" i="5"/>
  <c r="P2692" i="5"/>
  <c r="P2707" i="5"/>
  <c r="P2712" i="5"/>
  <c r="N2717" i="5"/>
  <c r="P2717" i="5"/>
  <c r="P2726" i="5"/>
  <c r="K2724" i="5"/>
  <c r="L2724" i="5" s="1"/>
  <c r="N2732" i="5"/>
  <c r="P2732" i="5"/>
  <c r="L2678" i="5"/>
  <c r="P2731" i="5"/>
  <c r="K2737" i="5"/>
  <c r="R2737" i="5" s="1"/>
  <c r="S2737" i="5" s="1"/>
  <c r="K2742" i="5"/>
  <c r="R2742" i="5" s="1"/>
  <c r="S2742" i="5" s="1"/>
  <c r="K2753" i="5"/>
  <c r="L2753" i="5" s="1"/>
  <c r="P2703" i="5"/>
  <c r="L2704" i="5"/>
  <c r="R2704" i="5"/>
  <c r="S2704" i="5" s="1"/>
  <c r="L2716" i="5"/>
  <c r="R2716" i="5"/>
  <c r="S2716" i="5" s="1"/>
  <c r="L2673" i="5"/>
  <c r="L2702" i="5"/>
  <c r="L2709" i="5"/>
  <c r="L2722" i="5"/>
  <c r="L2730" i="5"/>
  <c r="P2744" i="5"/>
  <c r="N2744" i="5"/>
  <c r="P2767" i="5"/>
  <c r="N2767" i="5"/>
  <c r="P2772" i="5"/>
  <c r="N2772" i="5"/>
  <c r="N2672" i="5"/>
  <c r="P2672" i="5"/>
  <c r="N2698" i="5"/>
  <c r="P2698" i="5"/>
  <c r="P2701" i="5"/>
  <c r="P2729" i="5"/>
  <c r="P2735" i="5"/>
  <c r="P2740" i="5"/>
  <c r="N2740" i="5"/>
  <c r="K2746" i="5"/>
  <c r="R2746" i="5" s="1"/>
  <c r="S2746" i="5" s="1"/>
  <c r="L2693" i="5"/>
  <c r="K2694" i="5"/>
  <c r="R2694" i="5" s="1"/>
  <c r="S2694" i="5" s="1"/>
  <c r="N2714" i="5"/>
  <c r="P2714" i="5"/>
  <c r="P2734" i="5"/>
  <c r="P2747" i="5"/>
  <c r="N2747" i="5"/>
  <c r="P2804" i="5"/>
  <c r="K2995" i="5"/>
  <c r="L2995" i="5" s="1"/>
  <c r="L3086" i="5"/>
  <c r="R3086" i="5"/>
  <c r="S3086" i="5" s="1"/>
  <c r="R2682" i="5"/>
  <c r="S2682" i="5" s="1"/>
  <c r="L2682" i="5"/>
  <c r="R2710" i="5"/>
  <c r="S2710" i="5" s="1"/>
  <c r="L2710" i="5"/>
  <c r="K2715" i="5"/>
  <c r="L2715" i="5" s="1"/>
  <c r="L2719" i="5"/>
  <c r="R2725" i="5"/>
  <c r="S2725" i="5" s="1"/>
  <c r="N2727" i="5"/>
  <c r="N2721" i="5"/>
  <c r="L2725" i="5"/>
  <c r="P2803" i="5"/>
  <c r="K2811" i="5"/>
  <c r="L2811" i="5" s="1"/>
  <c r="K2827" i="5"/>
  <c r="L2827" i="5" s="1"/>
  <c r="P2833" i="5"/>
  <c r="L2786" i="5"/>
  <c r="R2786" i="5"/>
  <c r="S2786" i="5" s="1"/>
  <c r="K2799" i="5"/>
  <c r="L2799" i="5" s="1"/>
  <c r="R2671" i="5"/>
  <c r="S2671" i="5" s="1"/>
  <c r="R2703" i="5"/>
  <c r="S2703" i="5" s="1"/>
  <c r="R2731" i="5"/>
  <c r="S2731" i="5" s="1"/>
  <c r="R2734" i="5"/>
  <c r="S2734" i="5" s="1"/>
  <c r="P2758" i="5"/>
  <c r="N2758" i="5"/>
  <c r="K2762" i="5"/>
  <c r="L2762" i="5" s="1"/>
  <c r="L2774" i="5"/>
  <c r="R2774" i="5"/>
  <c r="S2774" i="5" s="1"/>
  <c r="L2778" i="5"/>
  <c r="L2782" i="5"/>
  <c r="R2782" i="5"/>
  <c r="S2782" i="5" s="1"/>
  <c r="K2784" i="5"/>
  <c r="N2788" i="5"/>
  <c r="P2788" i="5"/>
  <c r="K2792" i="5"/>
  <c r="P2823" i="5"/>
  <c r="P2789" i="5"/>
  <c r="N2789" i="5"/>
  <c r="K2822" i="5"/>
  <c r="R2822" i="5" s="1"/>
  <c r="S2822" i="5" s="1"/>
  <c r="P2831" i="5"/>
  <c r="L2837" i="5"/>
  <c r="R2837" i="5"/>
  <c r="S2837" i="5" s="1"/>
  <c r="L2695" i="5"/>
  <c r="N2750" i="5"/>
  <c r="O2750" i="5" s="1"/>
  <c r="L2755" i="5"/>
  <c r="L2756" i="5"/>
  <c r="K2777" i="5"/>
  <c r="L2787" i="5"/>
  <c r="R2787" i="5"/>
  <c r="S2787" i="5" s="1"/>
  <c r="L2807" i="5"/>
  <c r="K2809" i="5"/>
  <c r="P2817" i="5"/>
  <c r="N2817" i="5"/>
  <c r="L2842" i="5"/>
  <c r="P2871" i="5"/>
  <c r="R2669" i="5"/>
  <c r="S2669" i="5" s="1"/>
  <c r="R2674" i="5"/>
  <c r="S2674" i="5" s="1"/>
  <c r="R2707" i="5"/>
  <c r="S2707" i="5" s="1"/>
  <c r="R2701" i="5"/>
  <c r="S2701" i="5" s="1"/>
  <c r="R2712" i="5"/>
  <c r="S2712" i="5" s="1"/>
  <c r="R2722" i="5"/>
  <c r="S2722" i="5" s="1"/>
  <c r="R2729" i="5"/>
  <c r="S2729" i="5" s="1"/>
  <c r="L2745" i="5"/>
  <c r="R2745" i="5"/>
  <c r="S2745" i="5" s="1"/>
  <c r="K2749" i="5"/>
  <c r="L2749" i="5" s="1"/>
  <c r="L2761" i="5"/>
  <c r="L2763" i="5"/>
  <c r="L2769" i="5"/>
  <c r="P2806" i="5"/>
  <c r="L2808" i="5"/>
  <c r="K2854" i="5"/>
  <c r="L2854" i="5" s="1"/>
  <c r="K2915" i="5"/>
  <c r="L2915" i="5" s="1"/>
  <c r="R2735" i="5"/>
  <c r="S2735" i="5" s="1"/>
  <c r="L2748" i="5"/>
  <c r="R2748" i="5"/>
  <c r="S2748" i="5" s="1"/>
  <c r="K2752" i="5"/>
  <c r="L2752" i="5" s="1"/>
  <c r="K2754" i="5"/>
  <c r="L2757" i="5"/>
  <c r="L2780" i="5"/>
  <c r="R2780" i="5"/>
  <c r="S2780" i="5" s="1"/>
  <c r="L2790" i="5"/>
  <c r="R2790" i="5"/>
  <c r="S2790" i="5" s="1"/>
  <c r="K2794" i="5"/>
  <c r="L2794" i="5" s="1"/>
  <c r="N2795" i="5"/>
  <c r="P2795" i="5"/>
  <c r="N2805" i="5"/>
  <c r="P2805" i="5"/>
  <c r="P2820" i="5"/>
  <c r="N2820" i="5"/>
  <c r="K2856" i="5"/>
  <c r="L2856" i="5" s="1"/>
  <c r="K2879" i="5"/>
  <c r="L2765" i="5"/>
  <c r="L2770" i="5"/>
  <c r="L2785" i="5"/>
  <c r="R2804" i="5"/>
  <c r="S2804" i="5" s="1"/>
  <c r="R2806" i="5"/>
  <c r="S2806" i="5" s="1"/>
  <c r="L2816" i="5"/>
  <c r="R2831" i="5"/>
  <c r="S2831" i="5" s="1"/>
  <c r="R2833" i="5"/>
  <c r="S2833" i="5" s="1"/>
  <c r="R2840" i="5"/>
  <c r="S2840" i="5" s="1"/>
  <c r="R2843" i="5"/>
  <c r="S2843" i="5" s="1"/>
  <c r="L2847" i="5"/>
  <c r="L2852" i="5"/>
  <c r="L2941" i="5"/>
  <c r="R2941" i="5"/>
  <c r="S2941" i="5" s="1"/>
  <c r="K2776" i="5"/>
  <c r="L2776" i="5" s="1"/>
  <c r="L2793" i="5"/>
  <c r="L2802" i="5"/>
  <c r="R2803" i="5"/>
  <c r="S2803" i="5" s="1"/>
  <c r="R2810" i="5"/>
  <c r="S2810" i="5" s="1"/>
  <c r="L2810" i="5"/>
  <c r="L2812" i="5"/>
  <c r="L2815" i="5"/>
  <c r="L2825" i="5"/>
  <c r="K2832" i="5"/>
  <c r="L2832" i="5" s="1"/>
  <c r="K2836" i="5"/>
  <c r="R2841" i="5"/>
  <c r="S2841" i="5" s="1"/>
  <c r="L2846" i="5"/>
  <c r="L2860" i="5"/>
  <c r="R2860" i="5"/>
  <c r="S2860" i="5" s="1"/>
  <c r="L2791" i="5"/>
  <c r="L2814" i="5"/>
  <c r="L2818" i="5"/>
  <c r="L2829" i="5"/>
  <c r="L2830" i="5"/>
  <c r="L2834" i="5"/>
  <c r="R2834" i="5"/>
  <c r="S2834" i="5" s="1"/>
  <c r="L2849" i="5"/>
  <c r="L2865" i="5"/>
  <c r="R2871" i="5"/>
  <c r="S2871" i="5" s="1"/>
  <c r="P2901" i="5"/>
  <c r="N2901" i="5"/>
  <c r="K2954" i="5"/>
  <c r="R2954" i="5" s="1"/>
  <c r="S2954" i="5" s="1"/>
  <c r="L2821" i="5"/>
  <c r="P2838" i="5"/>
  <c r="L2844" i="5"/>
  <c r="L2850" i="5"/>
  <c r="L2853" i="5"/>
  <c r="K2869" i="5"/>
  <c r="R2869" i="5" s="1"/>
  <c r="S2869" i="5" s="1"/>
  <c r="K2923" i="5"/>
  <c r="L2982" i="5"/>
  <c r="R2982" i="5"/>
  <c r="S2982" i="5" s="1"/>
  <c r="L2824" i="5"/>
  <c r="R2844" i="5"/>
  <c r="S2844" i="5" s="1"/>
  <c r="K2908" i="5"/>
  <c r="L2908" i="5" s="1"/>
  <c r="L2975" i="5"/>
  <c r="K2973" i="5"/>
  <c r="L2851" i="5"/>
  <c r="L2855" i="5"/>
  <c r="R2863" i="5"/>
  <c r="S2863" i="5" s="1"/>
  <c r="K2868" i="5"/>
  <c r="L2874" i="5"/>
  <c r="R2874" i="5"/>
  <c r="S2874" i="5" s="1"/>
  <c r="P2878" i="5"/>
  <c r="P2883" i="5"/>
  <c r="P2886" i="5"/>
  <c r="N2892" i="5"/>
  <c r="P2892" i="5"/>
  <c r="K2907" i="5"/>
  <c r="R2907" i="5" s="1"/>
  <c r="S2907" i="5" s="1"/>
  <c r="K2914" i="5"/>
  <c r="L2924" i="5"/>
  <c r="K2922" i="5"/>
  <c r="R2922" i="5" s="1"/>
  <c r="S2922" i="5" s="1"/>
  <c r="K2943" i="5"/>
  <c r="R2943" i="5" s="1"/>
  <c r="S2943" i="5" s="1"/>
  <c r="L2877" i="5"/>
  <c r="L2882" i="5"/>
  <c r="R2882" i="5"/>
  <c r="S2882" i="5" s="1"/>
  <c r="L2885" i="5"/>
  <c r="L2891" i="5"/>
  <c r="L2904" i="5"/>
  <c r="R2904" i="5"/>
  <c r="S2904" i="5" s="1"/>
  <c r="P2906" i="5"/>
  <c r="P2937" i="5"/>
  <c r="P2957" i="5"/>
  <c r="R2851" i="5"/>
  <c r="S2851" i="5" s="1"/>
  <c r="L2858" i="5"/>
  <c r="P2862" i="5"/>
  <c r="N2862" i="5"/>
  <c r="L2881" i="5"/>
  <c r="R2881" i="5"/>
  <c r="S2881" i="5" s="1"/>
  <c r="L2884" i="5"/>
  <c r="L2890" i="5"/>
  <c r="L2903" i="5"/>
  <c r="R2903" i="5"/>
  <c r="S2903" i="5" s="1"/>
  <c r="L2917" i="5"/>
  <c r="R2921" i="5"/>
  <c r="S2921" i="5" s="1"/>
  <c r="L2930" i="5"/>
  <c r="K2936" i="5"/>
  <c r="K2962" i="5"/>
  <c r="L2962" i="5" s="1"/>
  <c r="N2985" i="5"/>
  <c r="P2985" i="5"/>
  <c r="K2895" i="5"/>
  <c r="L2895" i="5" s="1"/>
  <c r="K2889" i="5"/>
  <c r="K2897" i="5"/>
  <c r="L2900" i="5"/>
  <c r="L2910" i="5"/>
  <c r="R2910" i="5"/>
  <c r="S2910" i="5" s="1"/>
  <c r="K2948" i="5"/>
  <c r="K2961" i="5"/>
  <c r="R2961" i="5" s="1"/>
  <c r="S2961" i="5" s="1"/>
  <c r="L3001" i="5"/>
  <c r="K2857" i="5"/>
  <c r="K2880" i="5"/>
  <c r="L2880" i="5" s="1"/>
  <c r="K2894" i="5"/>
  <c r="L2894" i="5" s="1"/>
  <c r="K2888" i="5"/>
  <c r="K2896" i="5"/>
  <c r="L2896" i="5" s="1"/>
  <c r="K2899" i="5"/>
  <c r="L2909" i="5"/>
  <c r="L2916" i="5"/>
  <c r="R2916" i="5"/>
  <c r="S2916" i="5" s="1"/>
  <c r="L2929" i="5"/>
  <c r="L2942" i="5"/>
  <c r="P2950" i="5"/>
  <c r="K3000" i="5"/>
  <c r="P3002" i="5"/>
  <c r="N3002" i="5"/>
  <c r="K3018" i="5"/>
  <c r="L3018" i="5" s="1"/>
  <c r="P3032" i="5"/>
  <c r="N3032" i="5"/>
  <c r="R2891" i="5"/>
  <c r="S2891" i="5" s="1"/>
  <c r="L2935" i="5"/>
  <c r="N2967" i="5"/>
  <c r="P2967" i="5"/>
  <c r="L2971" i="5"/>
  <c r="L2986" i="5"/>
  <c r="R2986" i="5"/>
  <c r="S2986" i="5" s="1"/>
  <c r="L2991" i="5"/>
  <c r="K3017" i="5"/>
  <c r="R3017" i="5" s="1"/>
  <c r="S3017" i="5" s="1"/>
  <c r="K3023" i="5"/>
  <c r="L3023" i="5" s="1"/>
  <c r="L2920" i="5"/>
  <c r="L2926" i="5"/>
  <c r="R2926" i="5"/>
  <c r="S2926" i="5" s="1"/>
  <c r="L2938" i="5"/>
  <c r="K2951" i="5"/>
  <c r="R2951" i="5" s="1"/>
  <c r="S2951" i="5" s="1"/>
  <c r="K2958" i="5"/>
  <c r="R2958" i="5" s="1"/>
  <c r="S2958" i="5" s="1"/>
  <c r="L2966" i="5"/>
  <c r="P2970" i="5"/>
  <c r="L2945" i="5"/>
  <c r="R2945" i="5"/>
  <c r="S2945" i="5" s="1"/>
  <c r="L2969" i="5"/>
  <c r="R2969" i="5"/>
  <c r="S2969" i="5" s="1"/>
  <c r="L2981" i="5"/>
  <c r="K3027" i="5"/>
  <c r="N2949" i="5"/>
  <c r="P2949" i="5"/>
  <c r="L2972" i="5"/>
  <c r="L2974" i="5"/>
  <c r="R2974" i="5"/>
  <c r="S2974" i="5" s="1"/>
  <c r="K2980" i="5"/>
  <c r="L2980" i="5" s="1"/>
  <c r="K2996" i="5"/>
  <c r="L2996" i="5" s="1"/>
  <c r="K3013" i="5"/>
  <c r="L3013" i="5" s="1"/>
  <c r="K3021" i="5"/>
  <c r="L3021" i="5" s="1"/>
  <c r="K3019" i="5"/>
  <c r="L3019" i="5" s="1"/>
  <c r="R2944" i="5"/>
  <c r="S2944" i="5" s="1"/>
  <c r="L2978" i="5"/>
  <c r="L2983" i="5"/>
  <c r="L2987" i="5"/>
  <c r="R2987" i="5"/>
  <c r="S2987" i="5" s="1"/>
  <c r="L2989" i="5"/>
  <c r="R2989" i="5"/>
  <c r="S2989" i="5" s="1"/>
  <c r="P2993" i="5"/>
  <c r="L3003" i="5"/>
  <c r="K3008" i="5"/>
  <c r="L3008" i="5" s="1"/>
  <c r="P3016" i="5"/>
  <c r="L3077" i="5"/>
  <c r="L2992" i="5"/>
  <c r="L2998" i="5"/>
  <c r="L3035" i="5"/>
  <c r="R3035" i="5"/>
  <c r="S3035" i="5" s="1"/>
  <c r="L3074" i="5"/>
  <c r="L2984" i="5"/>
  <c r="R2984" i="5"/>
  <c r="S2984" i="5" s="1"/>
  <c r="P3033" i="5"/>
  <c r="P3073" i="5"/>
  <c r="N3073" i="5"/>
  <c r="K3010" i="5"/>
  <c r="L3010" i="5" s="1"/>
  <c r="K3014" i="5"/>
  <c r="L3014" i="5" s="1"/>
  <c r="R3024" i="5"/>
  <c r="S3024" i="5" s="1"/>
  <c r="L3029" i="5"/>
  <c r="L3041" i="5"/>
  <c r="L3009" i="5"/>
  <c r="R3009" i="5"/>
  <c r="S3009" i="5" s="1"/>
  <c r="L3044" i="5"/>
  <c r="L3071" i="5"/>
  <c r="P3079" i="5"/>
  <c r="N3079" i="5"/>
  <c r="L3012" i="5"/>
  <c r="L3031" i="5"/>
  <c r="R3031" i="5"/>
  <c r="S3031" i="5" s="1"/>
  <c r="K3036" i="5"/>
  <c r="R3036" i="5" s="1"/>
  <c r="S3036" i="5" s="1"/>
  <c r="K3040" i="5"/>
  <c r="L3040" i="5" s="1"/>
  <c r="N3042" i="5"/>
  <c r="P3042" i="5"/>
  <c r="L3047" i="5"/>
  <c r="L3065" i="5"/>
  <c r="L3022" i="5"/>
  <c r="R3033" i="5"/>
  <c r="S3033" i="5" s="1"/>
  <c r="N2665" i="5"/>
  <c r="P2665" i="5"/>
  <c r="P2664" i="5"/>
  <c r="N2664" i="5"/>
  <c r="L2662" i="5"/>
  <c r="N2663" i="5"/>
  <c r="P2663" i="5"/>
  <c r="Q2662" i="5"/>
  <c r="R2662" i="5" s="1"/>
  <c r="S2662" i="5" s="1"/>
  <c r="N2661" i="5"/>
  <c r="P2661" i="5"/>
  <c r="P2660" i="5"/>
  <c r="R2660" i="5"/>
  <c r="S2660" i="5" s="1"/>
  <c r="P2659" i="5"/>
  <c r="N2659" i="5"/>
  <c r="L2658" i="5"/>
  <c r="Q2658" i="5"/>
  <c r="R2658" i="5" s="1"/>
  <c r="S2658" i="5" s="1"/>
  <c r="L2652" i="5"/>
  <c r="N2652" i="5" s="1"/>
  <c r="L2657" i="5"/>
  <c r="L2653" i="5"/>
  <c r="L2651" i="5"/>
  <c r="P2656" i="5"/>
  <c r="N2656" i="5"/>
  <c r="P2650" i="5"/>
  <c r="L2655" i="5"/>
  <c r="R2655" i="5"/>
  <c r="S2655" i="5" s="1"/>
  <c r="R2650" i="5"/>
  <c r="S2650" i="5" s="1"/>
  <c r="M2655" i="5"/>
  <c r="R2649" i="5"/>
  <c r="S2649" i="5" s="1"/>
  <c r="M2654" i="5"/>
  <c r="R2654" i="5"/>
  <c r="S2654" i="5" s="1"/>
  <c r="L2654" i="5"/>
  <c r="R2653" i="5"/>
  <c r="S2653" i="5" s="1"/>
  <c r="N3066" i="5" l="1"/>
  <c r="R3185" i="5"/>
  <c r="S3185" i="5" s="1"/>
  <c r="N3174" i="5"/>
  <c r="R3191" i="5"/>
  <c r="S3191" i="5" s="1"/>
  <c r="R3290" i="5"/>
  <c r="S3290" i="5" s="1"/>
  <c r="R3150" i="5"/>
  <c r="S3150" i="5" s="1"/>
  <c r="R3305" i="5"/>
  <c r="S3305" i="5" s="1"/>
  <c r="U3294" i="5"/>
  <c r="V3294" i="5" s="1"/>
  <c r="R3316" i="5"/>
  <c r="S3316" i="5" s="1"/>
  <c r="R3301" i="5"/>
  <c r="S3301" i="5" s="1"/>
  <c r="R3222" i="5"/>
  <c r="S3222" i="5" s="1"/>
  <c r="R3158" i="5"/>
  <c r="S3158" i="5" s="1"/>
  <c r="R3262" i="5"/>
  <c r="S3262" i="5" s="1"/>
  <c r="R3156" i="5"/>
  <c r="S3156" i="5" s="1"/>
  <c r="R3164" i="5"/>
  <c r="S3164" i="5" s="1"/>
  <c r="R3092" i="5"/>
  <c r="S3092" i="5" s="1"/>
  <c r="R3211" i="5"/>
  <c r="S3211" i="5" s="1"/>
  <c r="R3178" i="5"/>
  <c r="S3178" i="5" s="1"/>
  <c r="R3298" i="5"/>
  <c r="S3298" i="5" s="1"/>
  <c r="P3136" i="5"/>
  <c r="U3136" i="5" s="1"/>
  <c r="V3136" i="5" s="1"/>
  <c r="R3311" i="5"/>
  <c r="S3311" i="5" s="1"/>
  <c r="P3119" i="5"/>
  <c r="O3119" i="5" s="1"/>
  <c r="R3170" i="5"/>
  <c r="S3170" i="5" s="1"/>
  <c r="N3260" i="5"/>
  <c r="U3260" i="5" s="1"/>
  <c r="V3260" i="5" s="1"/>
  <c r="R3295" i="5"/>
  <c r="S3295" i="5" s="1"/>
  <c r="R3299" i="5"/>
  <c r="S3299" i="5" s="1"/>
  <c r="U3201" i="5"/>
  <c r="V3201" i="5" s="1"/>
  <c r="P3174" i="5"/>
  <c r="N3227" i="5"/>
  <c r="O3227" i="5" s="1"/>
  <c r="P3130" i="5"/>
  <c r="O3130" i="5" s="1"/>
  <c r="N3148" i="5"/>
  <c r="O3148" i="5" s="1"/>
  <c r="N3094" i="5"/>
  <c r="O3094" i="5" s="1"/>
  <c r="R3194" i="5"/>
  <c r="S3194" i="5" s="1"/>
  <c r="R3225" i="5"/>
  <c r="S3225" i="5" s="1"/>
  <c r="R3152" i="5"/>
  <c r="S3152" i="5" s="1"/>
  <c r="N3242" i="5"/>
  <c r="R3234" i="5"/>
  <c r="S3234" i="5" s="1"/>
  <c r="O3133" i="5"/>
  <c r="R3293" i="5"/>
  <c r="S3293" i="5" s="1"/>
  <c r="N3146" i="5"/>
  <c r="U3146" i="5" s="1"/>
  <c r="V3146" i="5" s="1"/>
  <c r="R3252" i="5"/>
  <c r="S3252" i="5" s="1"/>
  <c r="R3218" i="5"/>
  <c r="S3218" i="5" s="1"/>
  <c r="R3275" i="5"/>
  <c r="S3275" i="5" s="1"/>
  <c r="N3236" i="5"/>
  <c r="N3268" i="5"/>
  <c r="P3268" i="5"/>
  <c r="R3307" i="5"/>
  <c r="S3307" i="5" s="1"/>
  <c r="R3197" i="5"/>
  <c r="S3197" i="5" s="1"/>
  <c r="R3113" i="5"/>
  <c r="S3113" i="5" s="1"/>
  <c r="R3268" i="5"/>
  <c r="S3268" i="5" s="1"/>
  <c r="R3251" i="5"/>
  <c r="S3251" i="5" s="1"/>
  <c r="R3208" i="5"/>
  <c r="S3208" i="5" s="1"/>
  <c r="R3176" i="5"/>
  <c r="S3176" i="5" s="1"/>
  <c r="R3203" i="5"/>
  <c r="S3203" i="5" s="1"/>
  <c r="L3152" i="5"/>
  <c r="P3152" i="5" s="1"/>
  <c r="L3115" i="5"/>
  <c r="N3115" i="5" s="1"/>
  <c r="R3282" i="5"/>
  <c r="S3282" i="5" s="1"/>
  <c r="R3144" i="5"/>
  <c r="S3144" i="5" s="1"/>
  <c r="N3232" i="5"/>
  <c r="O3232" i="5" s="1"/>
  <c r="L3259" i="5"/>
  <c r="P3259" i="5" s="1"/>
  <c r="U3198" i="5"/>
  <c r="V3198" i="5" s="1"/>
  <c r="N3140" i="5"/>
  <c r="U3140" i="5" s="1"/>
  <c r="V3140" i="5" s="1"/>
  <c r="N3179" i="5"/>
  <c r="N3254" i="5"/>
  <c r="U3254" i="5" s="1"/>
  <c r="V3254" i="5" s="1"/>
  <c r="R3304" i="5"/>
  <c r="S3304" i="5" s="1"/>
  <c r="R3205" i="5"/>
  <c r="S3205" i="5" s="1"/>
  <c r="U3168" i="5"/>
  <c r="V3168" i="5" s="1"/>
  <c r="N3204" i="5"/>
  <c r="O3204" i="5" s="1"/>
  <c r="L3282" i="5"/>
  <c r="P3156" i="5"/>
  <c r="N3156" i="5"/>
  <c r="P3092" i="5"/>
  <c r="N3092" i="5"/>
  <c r="R3188" i="5"/>
  <c r="S3188" i="5" s="1"/>
  <c r="P3242" i="5"/>
  <c r="R3220" i="5"/>
  <c r="S3220" i="5" s="1"/>
  <c r="N3154" i="5"/>
  <c r="O3154" i="5" s="1"/>
  <c r="O3111" i="5"/>
  <c r="L3099" i="5"/>
  <c r="P3099" i="5" s="1"/>
  <c r="R3310" i="5"/>
  <c r="S3310" i="5" s="1"/>
  <c r="L3252" i="5"/>
  <c r="P3252" i="5" s="1"/>
  <c r="N3226" i="5"/>
  <c r="O3226" i="5" s="1"/>
  <c r="R3221" i="5"/>
  <c r="S3221" i="5" s="1"/>
  <c r="R3287" i="5"/>
  <c r="S3287" i="5" s="1"/>
  <c r="R3313" i="5"/>
  <c r="S3313" i="5" s="1"/>
  <c r="U3223" i="5"/>
  <c r="V3223" i="5" s="1"/>
  <c r="U3122" i="5"/>
  <c r="V3122" i="5" s="1"/>
  <c r="L3127" i="5"/>
  <c r="P3127" i="5" s="1"/>
  <c r="R3239" i="5"/>
  <c r="S3239" i="5" s="1"/>
  <c r="N3186" i="5"/>
  <c r="O3186" i="5" s="1"/>
  <c r="U3276" i="5"/>
  <c r="V3276" i="5" s="1"/>
  <c r="L3238" i="5"/>
  <c r="P3238" i="5" s="1"/>
  <c r="R3214" i="5"/>
  <c r="S3214" i="5" s="1"/>
  <c r="U3183" i="5"/>
  <c r="V3183" i="5" s="1"/>
  <c r="U3125" i="5"/>
  <c r="V3125" i="5" s="1"/>
  <c r="N3160" i="5"/>
  <c r="U3160" i="5" s="1"/>
  <c r="V3160" i="5" s="1"/>
  <c r="L3316" i="5"/>
  <c r="P3316" i="5" s="1"/>
  <c r="L3311" i="5"/>
  <c r="L3305" i="5"/>
  <c r="L3299" i="5"/>
  <c r="L3290" i="5"/>
  <c r="P3290" i="5" s="1"/>
  <c r="L3275" i="5"/>
  <c r="N3275" i="5" s="1"/>
  <c r="R3272" i="5"/>
  <c r="S3272" i="5" s="1"/>
  <c r="R3266" i="5"/>
  <c r="S3266" i="5" s="1"/>
  <c r="P3236" i="5"/>
  <c r="L3228" i="5"/>
  <c r="P3228" i="5" s="1"/>
  <c r="L3221" i="5"/>
  <c r="P3221" i="5" s="1"/>
  <c r="L3222" i="5"/>
  <c r="N3222" i="5" s="1"/>
  <c r="N3218" i="5"/>
  <c r="P3218" i="5"/>
  <c r="L3215" i="5"/>
  <c r="N3215" i="5" s="1"/>
  <c r="R3209" i="5"/>
  <c r="S3209" i="5" s="1"/>
  <c r="U3195" i="5"/>
  <c r="V3195" i="5" s="1"/>
  <c r="U3180" i="5"/>
  <c r="V3180" i="5" s="1"/>
  <c r="U3142" i="5"/>
  <c r="V3142" i="5" s="1"/>
  <c r="L3132" i="5"/>
  <c r="N3132" i="5" s="1"/>
  <c r="L3129" i="5"/>
  <c r="P3129" i="5" s="1"/>
  <c r="R3118" i="5"/>
  <c r="S3118" i="5" s="1"/>
  <c r="N3110" i="5"/>
  <c r="O3110" i="5" s="1"/>
  <c r="N3098" i="5"/>
  <c r="O3098" i="5" s="1"/>
  <c r="N3095" i="5"/>
  <c r="O3095" i="5" s="1"/>
  <c r="O3102" i="5"/>
  <c r="P3088" i="5"/>
  <c r="N3088" i="5"/>
  <c r="N3090" i="5"/>
  <c r="O3090" i="5" s="1"/>
  <c r="R3088" i="5"/>
  <c r="S3088" i="5" s="1"/>
  <c r="N3209" i="5"/>
  <c r="P3209" i="5"/>
  <c r="P3257" i="5"/>
  <c r="N3257" i="5"/>
  <c r="P3239" i="5"/>
  <c r="N3239" i="5"/>
  <c r="P3251" i="5"/>
  <c r="N3251" i="5"/>
  <c r="O3276" i="5"/>
  <c r="L3313" i="5"/>
  <c r="N3313" i="5" s="1"/>
  <c r="L3250" i="5"/>
  <c r="N3250" i="5" s="1"/>
  <c r="U3233" i="5"/>
  <c r="V3233" i="5" s="1"/>
  <c r="L3194" i="5"/>
  <c r="P3194" i="5" s="1"/>
  <c r="U3189" i="5"/>
  <c r="V3189" i="5" s="1"/>
  <c r="L3135" i="5"/>
  <c r="P3135" i="5" s="1"/>
  <c r="U3111" i="5"/>
  <c r="V3111" i="5" s="1"/>
  <c r="R3257" i="5"/>
  <c r="S3257" i="5" s="1"/>
  <c r="L3091" i="5"/>
  <c r="L3212" i="5"/>
  <c r="L3298" i="5"/>
  <c r="P3298" i="5" s="1"/>
  <c r="R3270" i="5"/>
  <c r="S3270" i="5" s="1"/>
  <c r="L3247" i="5"/>
  <c r="N3247" i="5" s="1"/>
  <c r="R3230" i="5"/>
  <c r="S3230" i="5" s="1"/>
  <c r="R3241" i="5"/>
  <c r="S3241" i="5" s="1"/>
  <c r="L3178" i="5"/>
  <c r="N3178" i="5" s="1"/>
  <c r="L3107" i="5"/>
  <c r="P3107" i="5" s="1"/>
  <c r="N3182" i="5"/>
  <c r="L3096" i="5"/>
  <c r="L3281" i="5"/>
  <c r="N3281" i="5" s="1"/>
  <c r="L3121" i="5"/>
  <c r="N3121" i="5" s="1"/>
  <c r="L3206" i="5"/>
  <c r="R3217" i="5"/>
  <c r="S3217" i="5" s="1"/>
  <c r="L3158" i="5"/>
  <c r="N3158" i="5" s="1"/>
  <c r="U3105" i="5"/>
  <c r="V3105" i="5" s="1"/>
  <c r="R3162" i="5"/>
  <c r="S3162" i="5" s="1"/>
  <c r="U3245" i="5"/>
  <c r="V3245" i="5" s="1"/>
  <c r="U3271" i="5"/>
  <c r="V3271" i="5" s="1"/>
  <c r="U3288" i="5"/>
  <c r="V3288" i="5" s="1"/>
  <c r="O3223" i="5"/>
  <c r="L3144" i="5"/>
  <c r="P3144" i="5" s="1"/>
  <c r="O3116" i="5"/>
  <c r="U3102" i="5"/>
  <c r="V3102" i="5" s="1"/>
  <c r="U3263" i="5"/>
  <c r="V3263" i="5" s="1"/>
  <c r="U3133" i="5"/>
  <c r="V3133" i="5" s="1"/>
  <c r="U3116" i="5"/>
  <c r="V3116" i="5" s="1"/>
  <c r="U3108" i="5"/>
  <c r="V3108" i="5" s="1"/>
  <c r="O3105" i="5"/>
  <c r="O3271" i="5"/>
  <c r="O3294" i="5"/>
  <c r="O3183" i="5"/>
  <c r="O3180" i="5"/>
  <c r="O3195" i="5"/>
  <c r="P3200" i="5"/>
  <c r="N3200" i="5"/>
  <c r="P3293" i="5"/>
  <c r="N3293" i="5"/>
  <c r="P3266" i="5"/>
  <c r="N3266" i="5"/>
  <c r="N3162" i="5"/>
  <c r="P3162" i="5"/>
  <c r="N3272" i="5"/>
  <c r="P3272" i="5"/>
  <c r="P3270" i="5"/>
  <c r="N3270" i="5"/>
  <c r="P3230" i="5"/>
  <c r="N3230" i="5"/>
  <c r="P3253" i="5"/>
  <c r="N3253" i="5"/>
  <c r="P3264" i="5"/>
  <c r="N3264" i="5"/>
  <c r="P3138" i="5"/>
  <c r="N3138" i="5"/>
  <c r="P3310" i="5"/>
  <c r="N3310" i="5"/>
  <c r="N3312" i="5"/>
  <c r="P3312" i="5"/>
  <c r="N3267" i="5"/>
  <c r="P3267" i="5"/>
  <c r="P3237" i="5"/>
  <c r="N3237" i="5"/>
  <c r="L3278" i="5"/>
  <c r="P3217" i="5"/>
  <c r="N3217" i="5"/>
  <c r="R3264" i="5"/>
  <c r="S3264" i="5" s="1"/>
  <c r="R3253" i="5"/>
  <c r="S3253" i="5" s="1"/>
  <c r="L3262" i="5"/>
  <c r="P3219" i="5"/>
  <c r="N3219" i="5"/>
  <c r="P3202" i="5"/>
  <c r="N3202" i="5"/>
  <c r="L3234" i="5"/>
  <c r="L3188" i="5"/>
  <c r="N3171" i="5"/>
  <c r="P3171" i="5"/>
  <c r="L3225" i="5"/>
  <c r="L3208" i="5"/>
  <c r="L3191" i="5"/>
  <c r="P3157" i="5"/>
  <c r="N3157" i="5"/>
  <c r="P3120" i="5"/>
  <c r="N3120" i="5"/>
  <c r="L3203" i="5"/>
  <c r="L3220" i="5"/>
  <c r="P3128" i="5"/>
  <c r="N3128" i="5"/>
  <c r="P3166" i="5"/>
  <c r="N3166" i="5"/>
  <c r="L3101" i="5"/>
  <c r="L3304" i="5"/>
  <c r="P3303" i="5"/>
  <c r="N3303" i="5"/>
  <c r="P3286" i="5"/>
  <c r="N3286" i="5"/>
  <c r="L3295" i="5"/>
  <c r="N3277" i="5"/>
  <c r="P3277" i="5"/>
  <c r="O3288" i="5"/>
  <c r="P3241" i="5"/>
  <c r="N3241" i="5"/>
  <c r="P3211" i="5"/>
  <c r="N3211" i="5"/>
  <c r="L3235" i="5"/>
  <c r="P3173" i="5"/>
  <c r="N3173" i="5"/>
  <c r="N3165" i="5"/>
  <c r="P3165" i="5"/>
  <c r="P3229" i="5"/>
  <c r="N3229" i="5"/>
  <c r="P3184" i="5"/>
  <c r="N3184" i="5"/>
  <c r="P3151" i="5"/>
  <c r="N3151" i="5"/>
  <c r="P3141" i="5"/>
  <c r="N3141" i="5"/>
  <c r="L3170" i="5"/>
  <c r="P3114" i="5"/>
  <c r="N3114" i="5"/>
  <c r="P3123" i="5"/>
  <c r="N3123" i="5"/>
  <c r="L3124" i="5"/>
  <c r="P3087" i="5"/>
  <c r="N3087" i="5"/>
  <c r="P3155" i="5"/>
  <c r="N3155" i="5"/>
  <c r="P3172" i="5"/>
  <c r="N3172" i="5"/>
  <c r="R3138" i="5"/>
  <c r="S3138" i="5" s="1"/>
  <c r="N3104" i="5"/>
  <c r="P3104" i="5"/>
  <c r="L3106" i="5"/>
  <c r="P3291" i="5"/>
  <c r="N3291" i="5"/>
  <c r="L3301" i="5"/>
  <c r="N3261" i="5"/>
  <c r="P3261" i="5"/>
  <c r="P3314" i="5"/>
  <c r="N3314" i="5"/>
  <c r="L3284" i="5"/>
  <c r="P3246" i="5"/>
  <c r="N3246" i="5"/>
  <c r="L3231" i="5"/>
  <c r="L3205" i="5"/>
  <c r="L3244" i="5"/>
  <c r="P3216" i="5"/>
  <c r="N3216" i="5"/>
  <c r="P3199" i="5"/>
  <c r="N3199" i="5"/>
  <c r="L3307" i="5"/>
  <c r="P3213" i="5"/>
  <c r="N3213" i="5"/>
  <c r="P3196" i="5"/>
  <c r="N3196" i="5"/>
  <c r="P3273" i="5"/>
  <c r="N3273" i="5"/>
  <c r="L3214" i="5"/>
  <c r="L3197" i="5"/>
  <c r="L3185" i="5"/>
  <c r="N3159" i="5"/>
  <c r="P3159" i="5"/>
  <c r="L3256" i="5"/>
  <c r="R3200" i="5"/>
  <c r="S3200" i="5" s="1"/>
  <c r="P3145" i="5"/>
  <c r="N3145" i="5"/>
  <c r="L3176" i="5"/>
  <c r="L3164" i="5"/>
  <c r="P3117" i="5"/>
  <c r="N3117" i="5"/>
  <c r="L3113" i="5"/>
  <c r="P3100" i="5"/>
  <c r="N3100" i="5"/>
  <c r="P3315" i="5"/>
  <c r="N3315" i="5"/>
  <c r="P3297" i="5"/>
  <c r="N3297" i="5"/>
  <c r="P3280" i="5"/>
  <c r="N3280" i="5"/>
  <c r="N3300" i="5"/>
  <c r="P3300" i="5"/>
  <c r="N3255" i="5"/>
  <c r="P3255" i="5"/>
  <c r="P3279" i="5"/>
  <c r="N3279" i="5"/>
  <c r="U3192" i="5"/>
  <c r="V3192" i="5" s="1"/>
  <c r="O3192" i="5"/>
  <c r="N3248" i="5"/>
  <c r="P3248" i="5"/>
  <c r="N3153" i="5"/>
  <c r="P3153" i="5"/>
  <c r="O3201" i="5"/>
  <c r="P3175" i="5"/>
  <c r="N3175" i="5"/>
  <c r="P3137" i="5"/>
  <c r="N3137" i="5"/>
  <c r="O3168" i="5"/>
  <c r="N3139" i="5"/>
  <c r="P3139" i="5"/>
  <c r="O3122" i="5"/>
  <c r="P3112" i="5"/>
  <c r="N3112" i="5"/>
  <c r="L3150" i="5"/>
  <c r="L3287" i="5"/>
  <c r="P3296" i="5"/>
  <c r="N3296" i="5"/>
  <c r="P3269" i="5"/>
  <c r="N3269" i="5"/>
  <c r="N3249" i="5"/>
  <c r="P3249" i="5"/>
  <c r="N3289" i="5"/>
  <c r="P3289" i="5"/>
  <c r="P3258" i="5"/>
  <c r="N3258" i="5"/>
  <c r="P3240" i="5"/>
  <c r="N3240" i="5"/>
  <c r="O3233" i="5"/>
  <c r="P3210" i="5"/>
  <c r="N3210" i="5"/>
  <c r="P3193" i="5"/>
  <c r="N3193" i="5"/>
  <c r="N3283" i="5"/>
  <c r="P3283" i="5"/>
  <c r="N3265" i="5"/>
  <c r="P3265" i="5"/>
  <c r="P3224" i="5"/>
  <c r="N3224" i="5"/>
  <c r="P3207" i="5"/>
  <c r="N3207" i="5"/>
  <c r="P3190" i="5"/>
  <c r="N3190" i="5"/>
  <c r="O3189" i="5"/>
  <c r="P3169" i="5"/>
  <c r="N3169" i="5"/>
  <c r="P3131" i="5"/>
  <c r="N3131" i="5"/>
  <c r="P3167" i="5"/>
  <c r="N3167" i="5"/>
  <c r="P3109" i="5"/>
  <c r="N3109" i="5"/>
  <c r="O3198" i="5"/>
  <c r="O3125" i="5"/>
  <c r="P3309" i="5"/>
  <c r="N3309" i="5"/>
  <c r="P3292" i="5"/>
  <c r="N3292" i="5"/>
  <c r="P3274" i="5"/>
  <c r="N3274" i="5"/>
  <c r="N3306" i="5"/>
  <c r="P3306" i="5"/>
  <c r="P3302" i="5"/>
  <c r="N3302" i="5"/>
  <c r="N3243" i="5"/>
  <c r="P3243" i="5"/>
  <c r="P3285" i="5"/>
  <c r="N3285" i="5"/>
  <c r="P3187" i="5"/>
  <c r="N3187" i="5"/>
  <c r="P3181" i="5"/>
  <c r="N3181" i="5"/>
  <c r="N3177" i="5"/>
  <c r="P3177" i="5"/>
  <c r="P3163" i="5"/>
  <c r="N3163" i="5"/>
  <c r="P3143" i="5"/>
  <c r="N3143" i="5"/>
  <c r="P3126" i="5"/>
  <c r="N3126" i="5"/>
  <c r="P3149" i="5"/>
  <c r="N3149" i="5"/>
  <c r="P3161" i="5"/>
  <c r="N3161" i="5"/>
  <c r="P3134" i="5"/>
  <c r="N3134" i="5"/>
  <c r="P3103" i="5"/>
  <c r="N3103" i="5"/>
  <c r="N3147" i="5"/>
  <c r="P3147" i="5"/>
  <c r="N3118" i="5"/>
  <c r="P3118" i="5"/>
  <c r="P3308" i="5"/>
  <c r="N3308" i="5"/>
  <c r="P3097" i="5"/>
  <c r="N3097" i="5"/>
  <c r="P3093" i="5"/>
  <c r="N3093" i="5"/>
  <c r="P3089" i="5"/>
  <c r="N3089" i="5"/>
  <c r="N2990" i="5"/>
  <c r="O2990" i="5" s="1"/>
  <c r="R3011" i="5"/>
  <c r="S3011" i="5" s="1"/>
  <c r="R2889" i="5"/>
  <c r="S2889" i="5" s="1"/>
  <c r="N2681" i="5"/>
  <c r="O2681" i="5" s="1"/>
  <c r="N3015" i="5"/>
  <c r="O3015" i="5" s="1"/>
  <c r="N2819" i="5"/>
  <c r="O2819" i="5" s="1"/>
  <c r="N3020" i="5"/>
  <c r="U3020" i="5" s="1"/>
  <c r="V3020" i="5" s="1"/>
  <c r="N3030" i="5"/>
  <c r="P2718" i="5"/>
  <c r="U2718" i="5" s="1"/>
  <c r="V2718" i="5" s="1"/>
  <c r="N2699" i="5"/>
  <c r="O2699" i="5" s="1"/>
  <c r="N2927" i="5"/>
  <c r="N3006" i="5"/>
  <c r="U3006" i="5" s="1"/>
  <c r="V3006" i="5" s="1"/>
  <c r="P2934" i="5"/>
  <c r="U2934" i="5" s="1"/>
  <c r="V2934" i="5" s="1"/>
  <c r="R2899" i="5"/>
  <c r="S2899" i="5" s="1"/>
  <c r="N2864" i="5"/>
  <c r="U2864" i="5" s="1"/>
  <c r="V2864" i="5" s="1"/>
  <c r="N2921" i="5"/>
  <c r="O2921" i="5" s="1"/>
  <c r="P2848" i="5"/>
  <c r="O2848" i="5" s="1"/>
  <c r="N2947" i="5"/>
  <c r="U2947" i="5" s="1"/>
  <c r="V2947" i="5" s="1"/>
  <c r="R2836" i="5"/>
  <c r="S2836" i="5" s="1"/>
  <c r="R2868" i="5"/>
  <c r="S2868" i="5" s="1"/>
  <c r="R2684" i="5"/>
  <c r="S2684" i="5" s="1"/>
  <c r="R2902" i="5"/>
  <c r="S2902" i="5" s="1"/>
  <c r="U2688" i="5"/>
  <c r="V2688" i="5" s="1"/>
  <c r="P2887" i="5"/>
  <c r="O2887" i="5" s="1"/>
  <c r="R2963" i="5"/>
  <c r="S2963" i="5" s="1"/>
  <c r="N2798" i="5"/>
  <c r="U2798" i="5" s="1"/>
  <c r="V2798" i="5" s="1"/>
  <c r="R3063" i="5"/>
  <c r="S3063" i="5" s="1"/>
  <c r="R3000" i="5"/>
  <c r="S3000" i="5" s="1"/>
  <c r="N2766" i="5"/>
  <c r="U2766" i="5" s="1"/>
  <c r="V2766" i="5" s="1"/>
  <c r="R2754" i="5"/>
  <c r="S2754" i="5" s="1"/>
  <c r="R2777" i="5"/>
  <c r="S2777" i="5" s="1"/>
  <c r="N2946" i="5"/>
  <c r="N2653" i="5"/>
  <c r="U3052" i="5"/>
  <c r="V3052" i="5" s="1"/>
  <c r="O2912" i="5"/>
  <c r="N2861" i="5"/>
  <c r="L2875" i="5"/>
  <c r="P2875" i="5" s="1"/>
  <c r="R2857" i="5"/>
  <c r="S2857" i="5" s="1"/>
  <c r="P2861" i="5"/>
  <c r="N2955" i="5"/>
  <c r="O2955" i="5" s="1"/>
  <c r="N2939" i="5"/>
  <c r="O2939" i="5" s="1"/>
  <c r="N3050" i="5"/>
  <c r="O3050" i="5" s="1"/>
  <c r="N3045" i="5"/>
  <c r="U3045" i="5" s="1"/>
  <c r="V3045" i="5" s="1"/>
  <c r="N2866" i="5"/>
  <c r="O2866" i="5" s="1"/>
  <c r="N2775" i="5"/>
  <c r="O2775" i="5" s="1"/>
  <c r="N2893" i="5"/>
  <c r="U2893" i="5" s="1"/>
  <c r="V2893" i="5" s="1"/>
  <c r="O3062" i="5"/>
  <c r="U3062" i="5"/>
  <c r="V3062" i="5" s="1"/>
  <c r="N2677" i="5"/>
  <c r="N2965" i="5"/>
  <c r="U2965" i="5" s="1"/>
  <c r="V2965" i="5" s="1"/>
  <c r="N3025" i="5"/>
  <c r="O3025" i="5" s="1"/>
  <c r="N2928" i="5"/>
  <c r="O2928" i="5" s="1"/>
  <c r="O2960" i="5"/>
  <c r="N3048" i="5"/>
  <c r="O3048" i="5" s="1"/>
  <c r="P2723" i="5"/>
  <c r="O2723" i="5" s="1"/>
  <c r="N2952" i="5"/>
  <c r="O2952" i="5" s="1"/>
  <c r="N3080" i="5"/>
  <c r="O3080" i="5" s="1"/>
  <c r="N2839" i="5"/>
  <c r="O2839" i="5" s="1"/>
  <c r="N3034" i="5"/>
  <c r="U3034" i="5" s="1"/>
  <c r="V3034" i="5" s="1"/>
  <c r="R2897" i="5"/>
  <c r="S2897" i="5" s="1"/>
  <c r="R2936" i="5"/>
  <c r="S2936" i="5" s="1"/>
  <c r="R2914" i="5"/>
  <c r="S2914" i="5" s="1"/>
  <c r="R2809" i="5"/>
  <c r="S2809" i="5" s="1"/>
  <c r="N3028" i="5"/>
  <c r="U3028" i="5" s="1"/>
  <c r="V3028" i="5" s="1"/>
  <c r="O2796" i="5"/>
  <c r="N2841" i="5"/>
  <c r="R2689" i="5"/>
  <c r="S2689" i="5" s="1"/>
  <c r="O3075" i="5"/>
  <c r="N3069" i="5"/>
  <c r="O3069" i="5" s="1"/>
  <c r="N2668" i="5"/>
  <c r="O2668" i="5" s="1"/>
  <c r="U2741" i="5"/>
  <c r="V2741" i="5" s="1"/>
  <c r="U2918" i="5"/>
  <c r="V2918" i="5" s="1"/>
  <c r="R3084" i="5"/>
  <c r="S3084" i="5" s="1"/>
  <c r="U2680" i="5"/>
  <c r="V2680" i="5" s="1"/>
  <c r="U2912" i="5"/>
  <c r="V2912" i="5" s="1"/>
  <c r="R2925" i="5"/>
  <c r="S2925" i="5" s="1"/>
  <c r="L2899" i="5"/>
  <c r="P2899" i="5" s="1"/>
  <c r="P3030" i="5"/>
  <c r="R2888" i="5"/>
  <c r="S2888" i="5" s="1"/>
  <c r="R2948" i="5"/>
  <c r="S2948" i="5" s="1"/>
  <c r="R2828" i="5"/>
  <c r="S2828" i="5" s="1"/>
  <c r="R2879" i="5"/>
  <c r="S2879" i="5" s="1"/>
  <c r="N3037" i="5"/>
  <c r="O3037" i="5" s="1"/>
  <c r="P3066" i="5"/>
  <c r="U3083" i="5"/>
  <c r="V3083" i="5" s="1"/>
  <c r="N2859" i="5"/>
  <c r="O2859" i="5" s="1"/>
  <c r="O2691" i="5"/>
  <c r="N2876" i="5"/>
  <c r="R3054" i="5"/>
  <c r="S3054" i="5" s="1"/>
  <c r="N2905" i="5"/>
  <c r="O2905" i="5" s="1"/>
  <c r="R2776" i="5"/>
  <c r="S2776" i="5" s="1"/>
  <c r="R2811" i="5"/>
  <c r="S2811" i="5" s="1"/>
  <c r="O2680" i="5"/>
  <c r="N3070" i="5"/>
  <c r="P2946" i="5"/>
  <c r="U2696" i="5"/>
  <c r="V2696" i="5" s="1"/>
  <c r="U2831" i="5"/>
  <c r="V2831" i="5" s="1"/>
  <c r="N2931" i="5"/>
  <c r="O2931" i="5" s="1"/>
  <c r="N2781" i="5"/>
  <c r="U2781" i="5" s="1"/>
  <c r="V2781" i="5" s="1"/>
  <c r="N3024" i="5"/>
  <c r="O3024" i="5" s="1"/>
  <c r="U2686" i="5"/>
  <c r="V2686" i="5" s="1"/>
  <c r="U2744" i="5"/>
  <c r="V2744" i="5" s="1"/>
  <c r="U2862" i="5"/>
  <c r="V2862" i="5" s="1"/>
  <c r="R3013" i="5"/>
  <c r="S3013" i="5" s="1"/>
  <c r="U2979" i="5"/>
  <c r="V2979" i="5" s="1"/>
  <c r="O2767" i="5"/>
  <c r="N2736" i="5"/>
  <c r="O2736" i="5" s="1"/>
  <c r="R2872" i="5"/>
  <c r="S2872" i="5" s="1"/>
  <c r="L3084" i="5"/>
  <c r="P3084" i="5" s="1"/>
  <c r="R2893" i="5"/>
  <c r="S2893" i="5" s="1"/>
  <c r="U3058" i="5"/>
  <c r="V3058" i="5" s="1"/>
  <c r="U2734" i="5"/>
  <c r="V2734" i="5" s="1"/>
  <c r="P2925" i="5"/>
  <c r="N2925" i="5"/>
  <c r="P2872" i="5"/>
  <c r="N2872" i="5"/>
  <c r="P3043" i="5"/>
  <c r="N3043" i="5"/>
  <c r="N2968" i="5"/>
  <c r="P2968" i="5"/>
  <c r="N2689" i="5"/>
  <c r="P2689" i="5"/>
  <c r="N2976" i="5"/>
  <c r="O2976" i="5" s="1"/>
  <c r="U2901" i="5"/>
  <c r="V2901" i="5" s="1"/>
  <c r="O2795" i="5"/>
  <c r="R2968" i="5"/>
  <c r="S2968" i="5" s="1"/>
  <c r="R2792" i="5"/>
  <c r="S2792" i="5" s="1"/>
  <c r="L2958" i="5"/>
  <c r="N2958" i="5" s="1"/>
  <c r="R3023" i="5"/>
  <c r="S3023" i="5" s="1"/>
  <c r="L2746" i="5"/>
  <c r="N2746" i="5" s="1"/>
  <c r="L2742" i="5"/>
  <c r="N2742" i="5" s="1"/>
  <c r="U3085" i="5"/>
  <c r="V3085" i="5" s="1"/>
  <c r="L2867" i="5"/>
  <c r="P2867" i="5" s="1"/>
  <c r="R3015" i="5"/>
  <c r="S3015" i="5" s="1"/>
  <c r="R3043" i="5"/>
  <c r="S3043" i="5" s="1"/>
  <c r="U3051" i="5"/>
  <c r="V3051" i="5" s="1"/>
  <c r="N2845" i="5"/>
  <c r="O2845" i="5" s="1"/>
  <c r="L2822" i="5"/>
  <c r="P2822" i="5" s="1"/>
  <c r="R2784" i="5"/>
  <c r="S2784" i="5" s="1"/>
  <c r="L2737" i="5"/>
  <c r="P2737" i="5" s="1"/>
  <c r="N2771" i="5"/>
  <c r="O2771" i="5" s="1"/>
  <c r="O2697" i="5"/>
  <c r="N3053" i="5"/>
  <c r="R3067" i="5"/>
  <c r="S3067" i="5" s="1"/>
  <c r="N3049" i="5"/>
  <c r="N2764" i="5"/>
  <c r="O2764" i="5" s="1"/>
  <c r="P2919" i="5"/>
  <c r="U2919" i="5" s="1"/>
  <c r="V2919" i="5" s="1"/>
  <c r="R2880" i="5"/>
  <c r="S2880" i="5" s="1"/>
  <c r="L2943" i="5"/>
  <c r="N2943" i="5" s="1"/>
  <c r="N2911" i="5"/>
  <c r="O2911" i="5" s="1"/>
  <c r="O2747" i="5"/>
  <c r="U2717" i="5"/>
  <c r="V2717" i="5" s="1"/>
  <c r="N3076" i="5"/>
  <c r="N2932" i="5"/>
  <c r="P2743" i="5"/>
  <c r="O2743" i="5" s="1"/>
  <c r="O2740" i="5"/>
  <c r="N2720" i="5"/>
  <c r="O2720" i="5" s="1"/>
  <c r="L2667" i="5"/>
  <c r="P2667" i="5" s="1"/>
  <c r="N3078" i="5"/>
  <c r="N3072" i="5"/>
  <c r="R3046" i="5"/>
  <c r="S3046" i="5" s="1"/>
  <c r="O2801" i="5"/>
  <c r="N3059" i="5"/>
  <c r="P3059" i="5"/>
  <c r="R3027" i="5"/>
  <c r="S3027" i="5" s="1"/>
  <c r="R2973" i="5"/>
  <c r="S2973" i="5" s="1"/>
  <c r="P2927" i="5"/>
  <c r="N2768" i="5"/>
  <c r="U2768" i="5" s="1"/>
  <c r="V2768" i="5" s="1"/>
  <c r="N2683" i="5"/>
  <c r="U2683" i="5" s="1"/>
  <c r="V2683" i="5" s="1"/>
  <c r="U2994" i="5"/>
  <c r="V2994" i="5" s="1"/>
  <c r="N2835" i="5"/>
  <c r="O2835" i="5" s="1"/>
  <c r="R2999" i="5"/>
  <c r="S2999" i="5" s="1"/>
  <c r="L2902" i="5"/>
  <c r="P2963" i="5"/>
  <c r="N2963" i="5"/>
  <c r="R3040" i="5"/>
  <c r="S3040" i="5" s="1"/>
  <c r="P2964" i="5"/>
  <c r="O2964" i="5" s="1"/>
  <c r="R2908" i="5"/>
  <c r="S2908" i="5" s="1"/>
  <c r="R2854" i="5"/>
  <c r="S2854" i="5" s="1"/>
  <c r="R2800" i="5"/>
  <c r="S2800" i="5" s="1"/>
  <c r="L3067" i="5"/>
  <c r="U3038" i="5"/>
  <c r="V3038" i="5" s="1"/>
  <c r="U2840" i="5"/>
  <c r="V2840" i="5" s="1"/>
  <c r="N2933" i="5"/>
  <c r="O2933" i="5" s="1"/>
  <c r="N3005" i="5"/>
  <c r="U3005" i="5" s="1"/>
  <c r="V3005" i="5" s="1"/>
  <c r="O3032" i="5"/>
  <c r="L2869" i="5"/>
  <c r="N2869" i="5" s="1"/>
  <c r="R3081" i="5"/>
  <c r="S3081" i="5" s="1"/>
  <c r="L2913" i="5"/>
  <c r="N2913" i="5" s="1"/>
  <c r="L2888" i="5"/>
  <c r="N2888" i="5" s="1"/>
  <c r="R2956" i="5"/>
  <c r="S2956" i="5" s="1"/>
  <c r="U2940" i="5"/>
  <c r="V2940" i="5" s="1"/>
  <c r="R2962" i="5"/>
  <c r="S2962" i="5" s="1"/>
  <c r="U3057" i="5"/>
  <c r="V3057" i="5" s="1"/>
  <c r="L2857" i="5"/>
  <c r="N2857" i="5" s="1"/>
  <c r="L2879" i="5"/>
  <c r="N2879" i="5" s="1"/>
  <c r="U2789" i="5"/>
  <c r="V2789" i="5" s="1"/>
  <c r="L2792" i="5"/>
  <c r="P2792" i="5" s="1"/>
  <c r="N3064" i="5"/>
  <c r="U2953" i="5"/>
  <c r="V2953" i="5" s="1"/>
  <c r="O2863" i="5"/>
  <c r="R2783" i="5"/>
  <c r="S2783" i="5" s="1"/>
  <c r="N2779" i="5"/>
  <c r="P2773" i="5"/>
  <c r="U2773" i="5" s="1"/>
  <c r="V2773" i="5" s="1"/>
  <c r="N2751" i="5"/>
  <c r="U2751" i="5" s="1"/>
  <c r="V2751" i="5" s="1"/>
  <c r="R2728" i="5"/>
  <c r="S2728" i="5" s="1"/>
  <c r="R2715" i="5"/>
  <c r="S2715" i="5" s="1"/>
  <c r="N2711" i="5"/>
  <c r="U2711" i="5" s="1"/>
  <c r="V2711" i="5" s="1"/>
  <c r="N2705" i="5"/>
  <c r="O2705" i="5" s="1"/>
  <c r="O2686" i="5"/>
  <c r="O2690" i="5"/>
  <c r="P2687" i="5"/>
  <c r="N2687" i="5"/>
  <c r="P2677" i="5"/>
  <c r="N2738" i="5"/>
  <c r="P2738" i="5"/>
  <c r="P3068" i="5"/>
  <c r="N3068" i="5"/>
  <c r="P2684" i="5"/>
  <c r="N2684" i="5"/>
  <c r="N3011" i="5"/>
  <c r="P3011" i="5"/>
  <c r="N2739" i="5"/>
  <c r="P2739" i="5"/>
  <c r="P2999" i="5"/>
  <c r="N2999" i="5"/>
  <c r="P2956" i="5"/>
  <c r="N2956" i="5"/>
  <c r="P3054" i="5"/>
  <c r="N3054" i="5"/>
  <c r="P2813" i="5"/>
  <c r="N2813" i="5"/>
  <c r="P2760" i="5"/>
  <c r="N2760" i="5"/>
  <c r="P3056" i="5"/>
  <c r="N3056" i="5"/>
  <c r="P2783" i="5"/>
  <c r="N2783" i="5"/>
  <c r="N3046" i="5"/>
  <c r="P3046" i="5"/>
  <c r="N3081" i="5"/>
  <c r="P3081" i="5"/>
  <c r="N2797" i="5"/>
  <c r="P2797" i="5"/>
  <c r="L3039" i="5"/>
  <c r="R3008" i="5"/>
  <c r="S3008" i="5" s="1"/>
  <c r="L2914" i="5"/>
  <c r="N2914" i="5" s="1"/>
  <c r="L2868" i="5"/>
  <c r="N2868" i="5" s="1"/>
  <c r="L2973" i="5"/>
  <c r="P2973" i="5" s="1"/>
  <c r="L2954" i="5"/>
  <c r="P2954" i="5" s="1"/>
  <c r="P2841" i="5"/>
  <c r="R2827" i="5"/>
  <c r="S2827" i="5" s="1"/>
  <c r="R2739" i="5"/>
  <c r="S2739" i="5" s="1"/>
  <c r="P3007" i="5"/>
  <c r="N3007" i="5"/>
  <c r="P2997" i="5"/>
  <c r="N2997" i="5"/>
  <c r="R3056" i="5"/>
  <c r="S3056" i="5" s="1"/>
  <c r="P3061" i="5"/>
  <c r="N3061" i="5"/>
  <c r="O2688" i="5"/>
  <c r="R3018" i="5"/>
  <c r="S3018" i="5" s="1"/>
  <c r="R2980" i="5"/>
  <c r="S2980" i="5" s="1"/>
  <c r="L2889" i="5"/>
  <c r="P2889" i="5" s="1"/>
  <c r="O2862" i="5"/>
  <c r="O2789" i="5"/>
  <c r="R2724" i="5"/>
  <c r="S2724" i="5" s="1"/>
  <c r="P2676" i="5"/>
  <c r="O2676" i="5" s="1"/>
  <c r="O3082" i="5"/>
  <c r="R3068" i="5"/>
  <c r="S3068" i="5" s="1"/>
  <c r="P2944" i="5"/>
  <c r="N2944" i="5"/>
  <c r="P3055" i="5"/>
  <c r="N3055" i="5"/>
  <c r="R2760" i="5"/>
  <c r="S2760" i="5" s="1"/>
  <c r="N2800" i="5"/>
  <c r="N2898" i="5"/>
  <c r="N2873" i="5"/>
  <c r="U2650" i="5"/>
  <c r="V2650" i="5" s="1"/>
  <c r="P2653" i="5"/>
  <c r="L2951" i="5"/>
  <c r="N2951" i="5" s="1"/>
  <c r="O2950" i="5"/>
  <c r="R2896" i="5"/>
  <c r="S2896" i="5" s="1"/>
  <c r="R2895" i="5"/>
  <c r="S2895" i="5" s="1"/>
  <c r="N2870" i="5"/>
  <c r="O2870" i="5" s="1"/>
  <c r="O2901" i="5"/>
  <c r="R2832" i="5"/>
  <c r="S2832" i="5" s="1"/>
  <c r="R2794" i="5"/>
  <c r="S2794" i="5" s="1"/>
  <c r="O2817" i="5"/>
  <c r="O2735" i="5"/>
  <c r="R2738" i="5"/>
  <c r="S2738" i="5" s="1"/>
  <c r="U2863" i="5"/>
  <c r="V2863" i="5" s="1"/>
  <c r="O3004" i="5"/>
  <c r="O3060" i="5"/>
  <c r="U3060" i="5"/>
  <c r="V3060" i="5" s="1"/>
  <c r="R2813" i="5"/>
  <c r="S2813" i="5" s="1"/>
  <c r="U2690" i="5"/>
  <c r="V2690" i="5" s="1"/>
  <c r="L2897" i="5"/>
  <c r="P2897" i="5" s="1"/>
  <c r="N2828" i="5"/>
  <c r="U2828" i="5" s="1"/>
  <c r="V2828" i="5" s="1"/>
  <c r="L2754" i="5"/>
  <c r="N2754" i="5" s="1"/>
  <c r="O2953" i="5"/>
  <c r="L3063" i="5"/>
  <c r="U3026" i="5"/>
  <c r="V3026" i="5" s="1"/>
  <c r="U2826" i="5"/>
  <c r="V2826" i="5" s="1"/>
  <c r="U3032" i="5"/>
  <c r="V3032" i="5" s="1"/>
  <c r="U2959" i="5"/>
  <c r="V2959" i="5" s="1"/>
  <c r="R2923" i="5"/>
  <c r="S2923" i="5" s="1"/>
  <c r="N2811" i="5"/>
  <c r="P2811" i="5"/>
  <c r="P2753" i="5"/>
  <c r="N2753" i="5"/>
  <c r="N3021" i="5"/>
  <c r="P3021" i="5"/>
  <c r="N2894" i="5"/>
  <c r="P2894" i="5"/>
  <c r="N2908" i="5"/>
  <c r="P2908" i="5"/>
  <c r="P2752" i="5"/>
  <c r="N2752" i="5"/>
  <c r="P2854" i="5"/>
  <c r="N2854" i="5"/>
  <c r="N2724" i="5"/>
  <c r="P2724" i="5"/>
  <c r="N2996" i="5"/>
  <c r="P2996" i="5"/>
  <c r="P3008" i="5"/>
  <c r="N3008" i="5"/>
  <c r="P2715" i="5"/>
  <c r="N2715" i="5"/>
  <c r="N2685" i="5"/>
  <c r="P2685" i="5"/>
  <c r="N3019" i="5"/>
  <c r="P3019" i="5"/>
  <c r="N2776" i="5"/>
  <c r="P2776" i="5"/>
  <c r="N2856" i="5"/>
  <c r="P2856" i="5"/>
  <c r="N2794" i="5"/>
  <c r="P2794" i="5"/>
  <c r="N2915" i="5"/>
  <c r="P2915" i="5"/>
  <c r="P2749" i="5"/>
  <c r="N2749" i="5"/>
  <c r="P2762" i="5"/>
  <c r="N2762" i="5"/>
  <c r="N2995" i="5"/>
  <c r="P2995" i="5"/>
  <c r="O2660" i="5"/>
  <c r="U2664" i="5"/>
  <c r="V2664" i="5" s="1"/>
  <c r="L3036" i="5"/>
  <c r="N3012" i="5"/>
  <c r="P3012" i="5"/>
  <c r="P3041" i="5"/>
  <c r="N3041" i="5"/>
  <c r="P3010" i="5"/>
  <c r="N3010" i="5"/>
  <c r="U2993" i="5"/>
  <c r="V2993" i="5" s="1"/>
  <c r="O2993" i="5"/>
  <c r="R3019" i="5"/>
  <c r="S3019" i="5" s="1"/>
  <c r="R3021" i="5"/>
  <c r="S3021" i="5" s="1"/>
  <c r="O2970" i="5"/>
  <c r="U2970" i="5"/>
  <c r="V2970" i="5" s="1"/>
  <c r="N2938" i="5"/>
  <c r="P2938" i="5"/>
  <c r="N2935" i="5"/>
  <c r="P2935" i="5"/>
  <c r="L3000" i="5"/>
  <c r="L2961" i="5"/>
  <c r="L2948" i="5"/>
  <c r="U2985" i="5"/>
  <c r="V2985" i="5" s="1"/>
  <c r="O2985" i="5"/>
  <c r="L2936" i="5"/>
  <c r="P2891" i="5"/>
  <c r="N2891" i="5"/>
  <c r="L2907" i="5"/>
  <c r="P2851" i="5"/>
  <c r="N2851" i="5"/>
  <c r="N2853" i="5"/>
  <c r="P2853" i="5"/>
  <c r="O2838" i="5"/>
  <c r="U2838" i="5"/>
  <c r="V2838" i="5" s="1"/>
  <c r="N2849" i="5"/>
  <c r="P2849" i="5"/>
  <c r="L2836" i="5"/>
  <c r="P2810" i="5"/>
  <c r="N2810" i="5"/>
  <c r="P2793" i="5"/>
  <c r="N2793" i="5"/>
  <c r="P2941" i="5"/>
  <c r="N2941" i="5"/>
  <c r="P2816" i="5"/>
  <c r="N2816" i="5"/>
  <c r="P2765" i="5"/>
  <c r="N2765" i="5"/>
  <c r="R2856" i="5"/>
  <c r="S2856" i="5" s="1"/>
  <c r="O2820" i="5"/>
  <c r="O2805" i="5"/>
  <c r="U2805" i="5"/>
  <c r="V2805" i="5" s="1"/>
  <c r="R2915" i="5"/>
  <c r="S2915" i="5" s="1"/>
  <c r="N2808" i="5"/>
  <c r="P2808" i="5"/>
  <c r="N2769" i="5"/>
  <c r="P2769" i="5"/>
  <c r="O2759" i="5"/>
  <c r="U2759" i="5"/>
  <c r="V2759" i="5" s="1"/>
  <c r="L2809" i="5"/>
  <c r="L2777" i="5"/>
  <c r="N2756" i="5"/>
  <c r="P2756" i="5"/>
  <c r="P2695" i="5"/>
  <c r="N2695" i="5"/>
  <c r="P2837" i="5"/>
  <c r="N2837" i="5"/>
  <c r="L2784" i="5"/>
  <c r="U2795" i="5"/>
  <c r="V2795" i="5" s="1"/>
  <c r="P2725" i="5"/>
  <c r="N2725" i="5"/>
  <c r="L2694" i="5"/>
  <c r="O2729" i="5"/>
  <c r="U2729" i="5"/>
  <c r="V2729" i="5" s="1"/>
  <c r="P2722" i="5"/>
  <c r="N2722" i="5"/>
  <c r="O2731" i="5"/>
  <c r="U2731" i="5"/>
  <c r="V2731" i="5" s="1"/>
  <c r="U2747" i="5"/>
  <c r="V2747" i="5" s="1"/>
  <c r="O2712" i="5"/>
  <c r="U2712" i="5"/>
  <c r="V2712" i="5" s="1"/>
  <c r="R2749" i="5"/>
  <c r="S2749" i="5" s="1"/>
  <c r="N2733" i="5"/>
  <c r="P2733" i="5"/>
  <c r="N2700" i="5"/>
  <c r="P2700" i="5"/>
  <c r="O2679" i="5"/>
  <c r="U2679" i="5"/>
  <c r="V2679" i="5" s="1"/>
  <c r="N2675" i="5"/>
  <c r="P2675" i="5"/>
  <c r="R2685" i="5"/>
  <c r="S2685" i="5" s="1"/>
  <c r="P3065" i="5"/>
  <c r="N3065" i="5"/>
  <c r="O3042" i="5"/>
  <c r="U3042" i="5"/>
  <c r="V3042" i="5" s="1"/>
  <c r="O3079" i="5"/>
  <c r="U3079" i="5"/>
  <c r="V3079" i="5" s="1"/>
  <c r="P3044" i="5"/>
  <c r="N3044" i="5"/>
  <c r="N2984" i="5"/>
  <c r="P2984" i="5"/>
  <c r="P3035" i="5"/>
  <c r="N3035" i="5"/>
  <c r="N2983" i="5"/>
  <c r="P2983" i="5"/>
  <c r="L3027" i="5"/>
  <c r="P2981" i="5"/>
  <c r="N2981" i="5"/>
  <c r="L3017" i="5"/>
  <c r="N2986" i="5"/>
  <c r="P2986" i="5"/>
  <c r="N3018" i="5"/>
  <c r="P3018" i="5"/>
  <c r="N2916" i="5"/>
  <c r="P2916" i="5"/>
  <c r="N2900" i="5"/>
  <c r="P2900" i="5"/>
  <c r="P2884" i="5"/>
  <c r="N2884" i="5"/>
  <c r="O2957" i="5"/>
  <c r="U2957" i="5"/>
  <c r="V2957" i="5" s="1"/>
  <c r="N2882" i="5"/>
  <c r="P2882" i="5"/>
  <c r="O2892" i="5"/>
  <c r="U2892" i="5"/>
  <c r="V2892" i="5" s="1"/>
  <c r="O2878" i="5"/>
  <c r="U2878" i="5"/>
  <c r="V2878" i="5" s="1"/>
  <c r="N2818" i="5"/>
  <c r="P2818" i="5"/>
  <c r="N2860" i="5"/>
  <c r="P2860" i="5"/>
  <c r="P2825" i="5"/>
  <c r="N2825" i="5"/>
  <c r="N2780" i="5"/>
  <c r="P2780" i="5"/>
  <c r="N2745" i="5"/>
  <c r="P2745" i="5"/>
  <c r="U2871" i="5"/>
  <c r="V2871" i="5" s="1"/>
  <c r="O2871" i="5"/>
  <c r="N2755" i="5"/>
  <c r="P2755" i="5"/>
  <c r="O2758" i="5"/>
  <c r="U2758" i="5"/>
  <c r="V2758" i="5" s="1"/>
  <c r="U2820" i="5"/>
  <c r="V2820" i="5" s="1"/>
  <c r="O2721" i="5"/>
  <c r="U2721" i="5"/>
  <c r="V2721" i="5" s="1"/>
  <c r="O2698" i="5"/>
  <c r="U2698" i="5"/>
  <c r="V2698" i="5" s="1"/>
  <c r="N2702" i="5"/>
  <c r="P2702" i="5"/>
  <c r="O2703" i="5"/>
  <c r="U2703" i="5"/>
  <c r="V2703" i="5" s="1"/>
  <c r="U2740" i="5"/>
  <c r="V2740" i="5" s="1"/>
  <c r="U2726" i="5"/>
  <c r="V2726" i="5" s="1"/>
  <c r="O2726" i="5"/>
  <c r="U2674" i="5"/>
  <c r="V2674" i="5" s="1"/>
  <c r="O2674" i="5"/>
  <c r="O2671" i="5"/>
  <c r="U2671" i="5"/>
  <c r="V2671" i="5" s="1"/>
  <c r="U2665" i="5"/>
  <c r="V2665" i="5" s="1"/>
  <c r="N3077" i="5"/>
  <c r="P3077" i="5"/>
  <c r="U3016" i="5"/>
  <c r="V3016" i="5" s="1"/>
  <c r="O3016" i="5"/>
  <c r="N2989" i="5"/>
  <c r="P2989" i="5"/>
  <c r="N2972" i="5"/>
  <c r="P2972" i="5"/>
  <c r="U2977" i="5"/>
  <c r="V2977" i="5" s="1"/>
  <c r="N2945" i="5"/>
  <c r="P2945" i="5"/>
  <c r="N2966" i="5"/>
  <c r="P2966" i="5"/>
  <c r="N2926" i="5"/>
  <c r="P2926" i="5"/>
  <c r="N2971" i="5"/>
  <c r="P2971" i="5"/>
  <c r="P2929" i="5"/>
  <c r="N2929" i="5"/>
  <c r="N2880" i="5"/>
  <c r="P2880" i="5"/>
  <c r="P3001" i="5"/>
  <c r="N3001" i="5"/>
  <c r="P2903" i="5"/>
  <c r="N2903" i="5"/>
  <c r="O2937" i="5"/>
  <c r="U2906" i="5"/>
  <c r="V2906" i="5" s="1"/>
  <c r="O2906" i="5"/>
  <c r="P2877" i="5"/>
  <c r="N2877" i="5"/>
  <c r="L2922" i="5"/>
  <c r="N2824" i="5"/>
  <c r="P2824" i="5"/>
  <c r="L2923" i="5"/>
  <c r="N2850" i="5"/>
  <c r="P2850" i="5"/>
  <c r="P2834" i="5"/>
  <c r="N2834" i="5"/>
  <c r="N2814" i="5"/>
  <c r="P2814" i="5"/>
  <c r="N2815" i="5"/>
  <c r="P2815" i="5"/>
  <c r="N2852" i="5"/>
  <c r="P2852" i="5"/>
  <c r="P2790" i="5"/>
  <c r="N2790" i="5"/>
  <c r="O2806" i="5"/>
  <c r="U2806" i="5"/>
  <c r="V2806" i="5" s="1"/>
  <c r="N2763" i="5"/>
  <c r="P2763" i="5"/>
  <c r="N2807" i="5"/>
  <c r="P2807" i="5"/>
  <c r="O2831" i="5"/>
  <c r="U2823" i="5"/>
  <c r="V2823" i="5" s="1"/>
  <c r="O2823" i="5"/>
  <c r="N2774" i="5"/>
  <c r="P2774" i="5"/>
  <c r="N2786" i="5"/>
  <c r="P2786" i="5"/>
  <c r="O2833" i="5"/>
  <c r="U2833" i="5"/>
  <c r="V2833" i="5" s="1"/>
  <c r="O2727" i="5"/>
  <c r="U2727" i="5"/>
  <c r="V2727" i="5" s="1"/>
  <c r="P2710" i="5"/>
  <c r="N2710" i="5"/>
  <c r="P3086" i="5"/>
  <c r="N3086" i="5"/>
  <c r="O2804" i="5"/>
  <c r="U2804" i="5"/>
  <c r="V2804" i="5" s="1"/>
  <c r="O2714" i="5"/>
  <c r="U2714" i="5"/>
  <c r="V2714" i="5" s="1"/>
  <c r="N2673" i="5"/>
  <c r="P2673" i="5"/>
  <c r="P2716" i="5"/>
  <c r="N2716" i="5"/>
  <c r="R2753" i="5"/>
  <c r="S2753" i="5" s="1"/>
  <c r="N2728" i="5"/>
  <c r="P2728" i="5"/>
  <c r="N2706" i="5"/>
  <c r="P2706" i="5"/>
  <c r="N2670" i="5"/>
  <c r="P2670" i="5"/>
  <c r="N3022" i="5"/>
  <c r="P3022" i="5"/>
  <c r="N3031" i="5"/>
  <c r="P3031" i="5"/>
  <c r="P3029" i="5"/>
  <c r="N3029" i="5"/>
  <c r="N2978" i="5"/>
  <c r="P2978" i="5"/>
  <c r="N2980" i="5"/>
  <c r="P2980" i="5"/>
  <c r="O3002" i="5"/>
  <c r="U3002" i="5"/>
  <c r="V3002" i="5" s="1"/>
  <c r="U2988" i="5"/>
  <c r="V2988" i="5" s="1"/>
  <c r="N2930" i="5"/>
  <c r="P2930" i="5"/>
  <c r="N2917" i="5"/>
  <c r="P2917" i="5"/>
  <c r="P2890" i="5"/>
  <c r="N2890" i="5"/>
  <c r="N2858" i="5"/>
  <c r="P2858" i="5"/>
  <c r="U2950" i="5"/>
  <c r="V2950" i="5" s="1"/>
  <c r="P2924" i="5"/>
  <c r="N2924" i="5"/>
  <c r="O2886" i="5"/>
  <c r="U2886" i="5"/>
  <c r="V2886" i="5" s="1"/>
  <c r="N2874" i="5"/>
  <c r="P2874" i="5"/>
  <c r="P2865" i="5"/>
  <c r="N2865" i="5"/>
  <c r="N2830" i="5"/>
  <c r="P2830" i="5"/>
  <c r="N2791" i="5"/>
  <c r="P2791" i="5"/>
  <c r="N2846" i="5"/>
  <c r="P2846" i="5"/>
  <c r="P2847" i="5"/>
  <c r="N2847" i="5"/>
  <c r="P2770" i="5"/>
  <c r="N2770" i="5"/>
  <c r="N2757" i="5"/>
  <c r="P2757" i="5"/>
  <c r="N2748" i="5"/>
  <c r="P2748" i="5"/>
  <c r="U2817" i="5"/>
  <c r="V2817" i="5" s="1"/>
  <c r="P2782" i="5"/>
  <c r="N2782" i="5"/>
  <c r="N2693" i="5"/>
  <c r="P2693" i="5"/>
  <c r="U2735" i="5"/>
  <c r="V2735" i="5" s="1"/>
  <c r="O2732" i="5"/>
  <c r="U2732" i="5"/>
  <c r="V2732" i="5" s="1"/>
  <c r="O2692" i="5"/>
  <c r="U2692" i="5"/>
  <c r="V2692" i="5" s="1"/>
  <c r="U2669" i="5"/>
  <c r="V2669" i="5" s="1"/>
  <c r="O2669" i="5"/>
  <c r="O2840" i="5"/>
  <c r="N2713" i="5"/>
  <c r="P2713" i="5"/>
  <c r="N3040" i="5"/>
  <c r="P3040" i="5"/>
  <c r="N3071" i="5"/>
  <c r="P3071" i="5"/>
  <c r="P2998" i="5"/>
  <c r="N2998" i="5"/>
  <c r="P3003" i="5"/>
  <c r="N3003" i="5"/>
  <c r="P3013" i="5"/>
  <c r="N3013" i="5"/>
  <c r="R2996" i="5"/>
  <c r="S2996" i="5" s="1"/>
  <c r="R3014" i="5"/>
  <c r="S3014" i="5" s="1"/>
  <c r="N2969" i="5"/>
  <c r="P2969" i="5"/>
  <c r="P2920" i="5"/>
  <c r="N2920" i="5"/>
  <c r="P3023" i="5"/>
  <c r="N3023" i="5"/>
  <c r="O2967" i="5"/>
  <c r="U2967" i="5"/>
  <c r="V2967" i="5" s="1"/>
  <c r="N2942" i="5"/>
  <c r="P2942" i="5"/>
  <c r="N2896" i="5"/>
  <c r="P2896" i="5"/>
  <c r="R2894" i="5"/>
  <c r="S2894" i="5" s="1"/>
  <c r="N2895" i="5"/>
  <c r="P2895" i="5"/>
  <c r="N2962" i="5"/>
  <c r="P2962" i="5"/>
  <c r="N2881" i="5"/>
  <c r="P2881" i="5"/>
  <c r="P2904" i="5"/>
  <c r="N2904" i="5"/>
  <c r="P2885" i="5"/>
  <c r="N2885" i="5"/>
  <c r="N2855" i="5"/>
  <c r="P2855" i="5"/>
  <c r="N2844" i="5"/>
  <c r="P2844" i="5"/>
  <c r="N2821" i="5"/>
  <c r="P2821" i="5"/>
  <c r="U2937" i="5"/>
  <c r="V2937" i="5" s="1"/>
  <c r="P2829" i="5"/>
  <c r="N2829" i="5"/>
  <c r="N2832" i="5"/>
  <c r="P2832" i="5"/>
  <c r="P2812" i="5"/>
  <c r="N2812" i="5"/>
  <c r="P2802" i="5"/>
  <c r="N2802" i="5"/>
  <c r="P2785" i="5"/>
  <c r="N2785" i="5"/>
  <c r="N2761" i="5"/>
  <c r="P2761" i="5"/>
  <c r="O2788" i="5"/>
  <c r="U2788" i="5"/>
  <c r="V2788" i="5" s="1"/>
  <c r="R2762" i="5"/>
  <c r="S2762" i="5" s="1"/>
  <c r="N2827" i="5"/>
  <c r="P2827" i="5"/>
  <c r="O2803" i="5"/>
  <c r="U2803" i="5"/>
  <c r="V2803" i="5" s="1"/>
  <c r="R2752" i="5"/>
  <c r="S2752" i="5" s="1"/>
  <c r="P2719" i="5"/>
  <c r="N2719" i="5"/>
  <c r="R2995" i="5"/>
  <c r="S2995" i="5" s="1"/>
  <c r="O2672" i="5"/>
  <c r="U2672" i="5"/>
  <c r="V2672" i="5" s="1"/>
  <c r="N2709" i="5"/>
  <c r="P2709" i="5"/>
  <c r="N2678" i="5"/>
  <c r="P2678" i="5"/>
  <c r="O2717" i="5"/>
  <c r="R2799" i="5"/>
  <c r="S2799" i="5" s="1"/>
  <c r="N2708" i="5"/>
  <c r="P2708" i="5"/>
  <c r="O2666" i="5"/>
  <c r="U2666" i="5"/>
  <c r="V2666" i="5" s="1"/>
  <c r="P3047" i="5"/>
  <c r="N3047" i="5"/>
  <c r="N3009" i="5"/>
  <c r="P3009" i="5"/>
  <c r="P3014" i="5"/>
  <c r="N3014" i="5"/>
  <c r="O3073" i="5"/>
  <c r="U3073" i="5"/>
  <c r="V3073" i="5" s="1"/>
  <c r="O3033" i="5"/>
  <c r="U3033" i="5"/>
  <c r="V3033" i="5" s="1"/>
  <c r="P3074" i="5"/>
  <c r="N3074" i="5"/>
  <c r="P2992" i="5"/>
  <c r="N2992" i="5"/>
  <c r="N2987" i="5"/>
  <c r="P2987" i="5"/>
  <c r="N2974" i="5"/>
  <c r="P2974" i="5"/>
  <c r="U2949" i="5"/>
  <c r="V2949" i="5" s="1"/>
  <c r="O2949" i="5"/>
  <c r="R3010" i="5"/>
  <c r="S3010" i="5" s="1"/>
  <c r="P2991" i="5"/>
  <c r="N2991" i="5"/>
  <c r="P2909" i="5"/>
  <c r="N2909" i="5"/>
  <c r="P2910" i="5"/>
  <c r="N2910" i="5"/>
  <c r="O2883" i="5"/>
  <c r="U2883" i="5"/>
  <c r="V2883" i="5" s="1"/>
  <c r="P2975" i="5"/>
  <c r="N2975" i="5"/>
  <c r="P2982" i="5"/>
  <c r="N2982" i="5"/>
  <c r="N2842" i="5"/>
  <c r="P2842" i="5"/>
  <c r="N2787" i="5"/>
  <c r="P2787" i="5"/>
  <c r="O2843" i="5"/>
  <c r="U2843" i="5"/>
  <c r="V2843" i="5" s="1"/>
  <c r="P2778" i="5"/>
  <c r="N2778" i="5"/>
  <c r="P2799" i="5"/>
  <c r="N2799" i="5"/>
  <c r="P2682" i="5"/>
  <c r="N2682" i="5"/>
  <c r="O2734" i="5"/>
  <c r="O2701" i="5"/>
  <c r="U2701" i="5"/>
  <c r="V2701" i="5" s="1"/>
  <c r="O2772" i="5"/>
  <c r="U2772" i="5"/>
  <c r="V2772" i="5" s="1"/>
  <c r="O2744" i="5"/>
  <c r="N2730" i="5"/>
  <c r="P2730" i="5"/>
  <c r="N2704" i="5"/>
  <c r="P2704" i="5"/>
  <c r="U2750" i="5"/>
  <c r="V2750" i="5" s="1"/>
  <c r="O2707" i="5"/>
  <c r="U2707" i="5"/>
  <c r="V2707" i="5" s="1"/>
  <c r="U2767" i="5"/>
  <c r="V2767" i="5" s="1"/>
  <c r="O2663" i="5"/>
  <c r="O2659" i="5"/>
  <c r="U2661" i="5"/>
  <c r="V2661" i="5" s="1"/>
  <c r="O2664" i="5"/>
  <c r="O2665" i="5"/>
  <c r="U2663" i="5"/>
  <c r="V2663" i="5" s="1"/>
  <c r="P2652" i="5"/>
  <c r="U2652" i="5" s="1"/>
  <c r="V2652" i="5" s="1"/>
  <c r="P2662" i="5"/>
  <c r="N2662" i="5"/>
  <c r="U2660" i="5"/>
  <c r="V2660" i="5" s="1"/>
  <c r="O2661" i="5"/>
  <c r="P2658" i="5"/>
  <c r="N2658" i="5"/>
  <c r="U2659" i="5"/>
  <c r="V2659" i="5" s="1"/>
  <c r="O2656" i="5"/>
  <c r="P2657" i="5"/>
  <c r="N2657" i="5"/>
  <c r="P2654" i="5"/>
  <c r="N2654" i="5"/>
  <c r="O2650" i="5"/>
  <c r="N2651" i="5"/>
  <c r="P2651" i="5"/>
  <c r="U2656" i="5"/>
  <c r="V2656" i="5" s="1"/>
  <c r="U2649" i="5"/>
  <c r="V2649" i="5" s="1"/>
  <c r="P2655" i="5"/>
  <c r="N2655" i="5"/>
  <c r="O3066" i="5" l="1"/>
  <c r="U3226" i="5"/>
  <c r="V3226" i="5" s="1"/>
  <c r="U2921" i="5"/>
  <c r="V2921" i="5" s="1"/>
  <c r="O3174" i="5"/>
  <c r="O3260" i="5"/>
  <c r="U3119" i="5"/>
  <c r="V3119" i="5" s="1"/>
  <c r="O3140" i="5"/>
  <c r="P3132" i="5"/>
  <c r="O3132" i="5" s="1"/>
  <c r="N3298" i="5"/>
  <c r="U3298" i="5" s="1"/>
  <c r="V3298" i="5" s="1"/>
  <c r="O3242" i="5"/>
  <c r="U3204" i="5"/>
  <c r="V3204" i="5" s="1"/>
  <c r="N3252" i="5"/>
  <c r="U3252" i="5" s="1"/>
  <c r="V3252" i="5" s="1"/>
  <c r="P3222" i="5"/>
  <c r="O3222" i="5" s="1"/>
  <c r="N3129" i="5"/>
  <c r="O3129" i="5" s="1"/>
  <c r="N3316" i="5"/>
  <c r="O3316" i="5" s="1"/>
  <c r="O3136" i="5"/>
  <c r="O3236" i="5"/>
  <c r="N3238" i="5"/>
  <c r="U3238" i="5" s="1"/>
  <c r="V3238" i="5" s="1"/>
  <c r="N3127" i="5"/>
  <c r="O3127" i="5" s="1"/>
  <c r="U3130" i="5"/>
  <c r="V3130" i="5" s="1"/>
  <c r="U3092" i="5"/>
  <c r="V3092" i="5" s="1"/>
  <c r="U3242" i="5"/>
  <c r="V3242" i="5" s="1"/>
  <c r="N3259" i="5"/>
  <c r="O3259" i="5" s="1"/>
  <c r="O3146" i="5"/>
  <c r="U3269" i="5"/>
  <c r="V3269" i="5" s="1"/>
  <c r="U3274" i="5"/>
  <c r="V3274" i="5" s="1"/>
  <c r="O3156" i="5"/>
  <c r="U3227" i="5"/>
  <c r="V3227" i="5" s="1"/>
  <c r="U3207" i="5"/>
  <c r="V3207" i="5" s="1"/>
  <c r="N3221" i="5"/>
  <c r="U3221" i="5" s="1"/>
  <c r="V3221" i="5" s="1"/>
  <c r="U3154" i="5"/>
  <c r="V3154" i="5" s="1"/>
  <c r="U3148" i="5"/>
  <c r="V3148" i="5" s="1"/>
  <c r="P3275" i="5"/>
  <c r="U3275" i="5" s="1"/>
  <c r="V3275" i="5" s="1"/>
  <c r="O3246" i="5"/>
  <c r="U3088" i="5"/>
  <c r="V3088" i="5" s="1"/>
  <c r="O3268" i="5"/>
  <c r="U3209" i="5"/>
  <c r="V3209" i="5" s="1"/>
  <c r="N3099" i="5"/>
  <c r="O3099" i="5" s="1"/>
  <c r="O3218" i="5"/>
  <c r="U3236" i="5"/>
  <c r="V3236" i="5" s="1"/>
  <c r="P3115" i="5"/>
  <c r="U3115" i="5" s="1"/>
  <c r="V3115" i="5" s="1"/>
  <c r="O3241" i="5"/>
  <c r="U3174" i="5"/>
  <c r="V3174" i="5" s="1"/>
  <c r="O3209" i="5"/>
  <c r="N3152" i="5"/>
  <c r="U3152" i="5" s="1"/>
  <c r="V3152" i="5" s="1"/>
  <c r="U3094" i="5"/>
  <c r="V3094" i="5" s="1"/>
  <c r="U3268" i="5"/>
  <c r="V3268" i="5" s="1"/>
  <c r="U3156" i="5"/>
  <c r="V3156" i="5" s="1"/>
  <c r="U3190" i="5"/>
  <c r="V3190" i="5" s="1"/>
  <c r="O3265" i="5"/>
  <c r="U3210" i="5"/>
  <c r="V3210" i="5" s="1"/>
  <c r="U3163" i="5"/>
  <c r="V3163" i="5" s="1"/>
  <c r="U3297" i="5"/>
  <c r="V3297" i="5" s="1"/>
  <c r="U3145" i="5"/>
  <c r="V3145" i="5" s="1"/>
  <c r="U3196" i="5"/>
  <c r="V3196" i="5" s="1"/>
  <c r="O3087" i="5"/>
  <c r="U3277" i="5"/>
  <c r="V3277" i="5" s="1"/>
  <c r="U3303" i="5"/>
  <c r="V3303" i="5" s="1"/>
  <c r="O3157" i="5"/>
  <c r="U3219" i="5"/>
  <c r="V3219" i="5" s="1"/>
  <c r="O3160" i="5"/>
  <c r="U3095" i="5"/>
  <c r="V3095" i="5" s="1"/>
  <c r="U3218" i="5"/>
  <c r="V3218" i="5" s="1"/>
  <c r="U3232" i="5"/>
  <c r="V3232" i="5" s="1"/>
  <c r="P3282" i="5"/>
  <c r="N3282" i="5"/>
  <c r="P3313" i="5"/>
  <c r="U3313" i="5" s="1"/>
  <c r="V3313" i="5" s="1"/>
  <c r="N3228" i="5"/>
  <c r="O3228" i="5" s="1"/>
  <c r="N3107" i="5"/>
  <c r="U3107" i="5" s="1"/>
  <c r="V3107" i="5" s="1"/>
  <c r="U3175" i="5"/>
  <c r="V3175" i="5" s="1"/>
  <c r="U3315" i="5"/>
  <c r="V3315" i="5" s="1"/>
  <c r="U3110" i="5"/>
  <c r="V3110" i="5" s="1"/>
  <c r="O3092" i="5"/>
  <c r="N3135" i="5"/>
  <c r="U3135" i="5" s="1"/>
  <c r="V3135" i="5" s="1"/>
  <c r="P3158" i="5"/>
  <c r="U3158" i="5" s="1"/>
  <c r="V3158" i="5" s="1"/>
  <c r="U3141" i="5"/>
  <c r="V3141" i="5" s="1"/>
  <c r="U3237" i="5"/>
  <c r="V3237" i="5" s="1"/>
  <c r="U3090" i="5"/>
  <c r="V3090" i="5" s="1"/>
  <c r="P3215" i="5"/>
  <c r="U3215" i="5" s="1"/>
  <c r="V3215" i="5" s="1"/>
  <c r="O3254" i="5"/>
  <c r="P3247" i="5"/>
  <c r="U3247" i="5" s="1"/>
  <c r="V3247" i="5" s="1"/>
  <c r="O3179" i="5"/>
  <c r="U3179" i="5"/>
  <c r="V3179" i="5" s="1"/>
  <c r="U3258" i="5"/>
  <c r="V3258" i="5" s="1"/>
  <c r="U3286" i="5"/>
  <c r="V3286" i="5" s="1"/>
  <c r="U3187" i="5"/>
  <c r="V3187" i="5" s="1"/>
  <c r="U3306" i="5"/>
  <c r="V3306" i="5" s="1"/>
  <c r="U3283" i="5"/>
  <c r="V3283" i="5" s="1"/>
  <c r="U3314" i="5"/>
  <c r="V3314" i="5" s="1"/>
  <c r="O3270" i="5"/>
  <c r="O3266" i="5"/>
  <c r="P3250" i="5"/>
  <c r="O3250" i="5" s="1"/>
  <c r="U3143" i="5"/>
  <c r="V3143" i="5" s="1"/>
  <c r="N3290" i="5"/>
  <c r="O3290" i="5" s="1"/>
  <c r="O3109" i="5"/>
  <c r="O3193" i="5"/>
  <c r="U3098" i="5"/>
  <c r="V3098" i="5" s="1"/>
  <c r="P3281" i="5"/>
  <c r="U3281" i="5" s="1"/>
  <c r="V3281" i="5" s="1"/>
  <c r="U3213" i="5"/>
  <c r="V3213" i="5" s="1"/>
  <c r="U3310" i="5"/>
  <c r="V3310" i="5" s="1"/>
  <c r="O3272" i="5"/>
  <c r="U3293" i="5"/>
  <c r="V3293" i="5" s="1"/>
  <c r="O3279" i="5"/>
  <c r="O3273" i="5"/>
  <c r="U3162" i="5"/>
  <c r="V3162" i="5" s="1"/>
  <c r="U3186" i="5"/>
  <c r="V3186" i="5" s="1"/>
  <c r="O3239" i="5"/>
  <c r="U3309" i="5"/>
  <c r="V3309" i="5" s="1"/>
  <c r="U3312" i="5"/>
  <c r="V3312" i="5" s="1"/>
  <c r="O3308" i="5"/>
  <c r="N3311" i="5"/>
  <c r="P3311" i="5"/>
  <c r="N3305" i="5"/>
  <c r="P3305" i="5"/>
  <c r="U3302" i="5"/>
  <c r="V3302" i="5" s="1"/>
  <c r="N3299" i="5"/>
  <c r="P3299" i="5"/>
  <c r="O3296" i="5"/>
  <c r="U3291" i="5"/>
  <c r="V3291" i="5" s="1"/>
  <c r="O3292" i="5"/>
  <c r="U3289" i="5"/>
  <c r="V3289" i="5" s="1"/>
  <c r="U3285" i="5"/>
  <c r="V3285" i="5" s="1"/>
  <c r="O3280" i="5"/>
  <c r="O3264" i="5"/>
  <c r="U3253" i="5"/>
  <c r="V3253" i="5" s="1"/>
  <c r="U3240" i="5"/>
  <c r="V3240" i="5" s="1"/>
  <c r="U3229" i="5"/>
  <c r="V3229" i="5" s="1"/>
  <c r="O3224" i="5"/>
  <c r="U3217" i="5"/>
  <c r="V3217" i="5" s="1"/>
  <c r="O3216" i="5"/>
  <c r="N3194" i="5"/>
  <c r="O3194" i="5" s="1"/>
  <c r="O3184" i="5"/>
  <c r="P3178" i="5"/>
  <c r="U3178" i="5" s="1"/>
  <c r="V3178" i="5" s="1"/>
  <c r="O3172" i="5"/>
  <c r="U3169" i="5"/>
  <c r="V3169" i="5" s="1"/>
  <c r="U3167" i="5"/>
  <c r="V3167" i="5" s="1"/>
  <c r="U3161" i="5"/>
  <c r="V3161" i="5" s="1"/>
  <c r="N3144" i="5"/>
  <c r="O3144" i="5" s="1"/>
  <c r="O3112" i="5"/>
  <c r="O3104" i="5"/>
  <c r="U3097" i="5"/>
  <c r="V3097" i="5" s="1"/>
  <c r="U3103" i="5"/>
  <c r="V3103" i="5" s="1"/>
  <c r="O3093" i="5"/>
  <c r="O3088" i="5"/>
  <c r="U3224" i="5"/>
  <c r="V3224" i="5" s="1"/>
  <c r="U3216" i="5"/>
  <c r="V3216" i="5" s="1"/>
  <c r="U3172" i="5"/>
  <c r="V3172" i="5" s="1"/>
  <c r="U3157" i="5"/>
  <c r="V3157" i="5" s="1"/>
  <c r="U3264" i="5"/>
  <c r="V3264" i="5" s="1"/>
  <c r="U3266" i="5"/>
  <c r="V3266" i="5" s="1"/>
  <c r="U3239" i="5"/>
  <c r="V3239" i="5" s="1"/>
  <c r="U3308" i="5"/>
  <c r="V3308" i="5" s="1"/>
  <c r="U3126" i="5"/>
  <c r="V3126" i="5" s="1"/>
  <c r="U3292" i="5"/>
  <c r="V3292" i="5" s="1"/>
  <c r="U3265" i="5"/>
  <c r="V3265" i="5" s="1"/>
  <c r="U3296" i="5"/>
  <c r="V3296" i="5" s="1"/>
  <c r="U3112" i="5"/>
  <c r="V3112" i="5" s="1"/>
  <c r="U3279" i="5"/>
  <c r="V3279" i="5" s="1"/>
  <c r="U3280" i="5"/>
  <c r="V3280" i="5" s="1"/>
  <c r="U3273" i="5"/>
  <c r="V3273" i="5" s="1"/>
  <c r="U3173" i="5"/>
  <c r="V3173" i="5" s="1"/>
  <c r="U3241" i="5"/>
  <c r="V3241" i="5" s="1"/>
  <c r="U3272" i="5"/>
  <c r="V3272" i="5" s="1"/>
  <c r="P3096" i="5"/>
  <c r="N3096" i="5"/>
  <c r="O3257" i="5"/>
  <c r="U3257" i="5"/>
  <c r="V3257" i="5" s="1"/>
  <c r="U3193" i="5"/>
  <c r="V3193" i="5" s="1"/>
  <c r="U3246" i="5"/>
  <c r="V3246" i="5" s="1"/>
  <c r="U3184" i="5"/>
  <c r="V3184" i="5" s="1"/>
  <c r="U3128" i="5"/>
  <c r="V3128" i="5" s="1"/>
  <c r="U3270" i="5"/>
  <c r="V3270" i="5" s="1"/>
  <c r="U3118" i="5"/>
  <c r="V3118" i="5" s="1"/>
  <c r="O3285" i="5"/>
  <c r="U3243" i="5"/>
  <c r="V3243" i="5" s="1"/>
  <c r="O3309" i="5"/>
  <c r="O3240" i="5"/>
  <c r="U3249" i="5"/>
  <c r="V3249" i="5" s="1"/>
  <c r="U3255" i="5"/>
  <c r="V3255" i="5" s="1"/>
  <c r="O3297" i="5"/>
  <c r="O3117" i="5"/>
  <c r="O3145" i="5"/>
  <c r="O3196" i="5"/>
  <c r="O3314" i="5"/>
  <c r="O3291" i="5"/>
  <c r="O3123" i="5"/>
  <c r="O3286" i="5"/>
  <c r="O3202" i="5"/>
  <c r="O3237" i="5"/>
  <c r="P3212" i="5"/>
  <c r="N3212" i="5"/>
  <c r="P3121" i="5"/>
  <c r="O3121" i="5" s="1"/>
  <c r="P3091" i="5"/>
  <c r="N3091" i="5"/>
  <c r="O3251" i="5"/>
  <c r="U3251" i="5"/>
  <c r="V3251" i="5" s="1"/>
  <c r="U3147" i="5"/>
  <c r="V3147" i="5" s="1"/>
  <c r="U3131" i="5"/>
  <c r="V3131" i="5" s="1"/>
  <c r="O3283" i="5"/>
  <c r="U3248" i="5"/>
  <c r="V3248" i="5" s="1"/>
  <c r="U3300" i="5"/>
  <c r="V3300" i="5" s="1"/>
  <c r="U3261" i="5"/>
  <c r="V3261" i="5" s="1"/>
  <c r="U3151" i="5"/>
  <c r="V3151" i="5" s="1"/>
  <c r="U3165" i="5"/>
  <c r="V3165" i="5" s="1"/>
  <c r="U3166" i="5"/>
  <c r="V3166" i="5" s="1"/>
  <c r="U3120" i="5"/>
  <c r="V3120" i="5" s="1"/>
  <c r="U3171" i="5"/>
  <c r="V3171" i="5" s="1"/>
  <c r="U3267" i="5"/>
  <c r="V3267" i="5" s="1"/>
  <c r="U3230" i="5"/>
  <c r="V3230" i="5" s="1"/>
  <c r="P3206" i="5"/>
  <c r="N3206" i="5"/>
  <c r="U3182" i="5"/>
  <c r="V3182" i="5" s="1"/>
  <c r="O3182" i="5"/>
  <c r="U3211" i="5"/>
  <c r="V3211" i="5" s="1"/>
  <c r="U3202" i="5"/>
  <c r="V3202" i="5" s="1"/>
  <c r="U3200" i="5"/>
  <c r="V3200" i="5" s="1"/>
  <c r="U3199" i="5"/>
  <c r="V3199" i="5" s="1"/>
  <c r="U3181" i="5"/>
  <c r="V3181" i="5" s="1"/>
  <c r="U3177" i="5"/>
  <c r="V3177" i="5" s="1"/>
  <c r="O3173" i="5"/>
  <c r="O3161" i="5"/>
  <c r="U3153" i="5"/>
  <c r="V3153" i="5" s="1"/>
  <c r="U3155" i="5"/>
  <c r="V3155" i="5" s="1"/>
  <c r="O3162" i="5"/>
  <c r="U3159" i="5"/>
  <c r="V3159" i="5" s="1"/>
  <c r="U3149" i="5"/>
  <c r="V3149" i="5" s="1"/>
  <c r="O3143" i="5"/>
  <c r="U3139" i="5"/>
  <c r="V3139" i="5" s="1"/>
  <c r="U3138" i="5"/>
  <c r="V3138" i="5" s="1"/>
  <c r="U3137" i="5"/>
  <c r="V3137" i="5" s="1"/>
  <c r="U3134" i="5"/>
  <c r="V3134" i="5" s="1"/>
  <c r="O3128" i="5"/>
  <c r="O3126" i="5"/>
  <c r="U3123" i="5"/>
  <c r="V3123" i="5" s="1"/>
  <c r="U3117" i="5"/>
  <c r="V3117" i="5" s="1"/>
  <c r="U3114" i="5"/>
  <c r="V3114" i="5" s="1"/>
  <c r="U3109" i="5"/>
  <c r="V3109" i="5" s="1"/>
  <c r="U3104" i="5"/>
  <c r="V3104" i="5" s="1"/>
  <c r="O3097" i="5"/>
  <c r="O3103" i="5"/>
  <c r="U3100" i="5"/>
  <c r="V3100" i="5" s="1"/>
  <c r="U3093" i="5"/>
  <c r="V3093" i="5" s="1"/>
  <c r="U3089" i="5"/>
  <c r="V3089" i="5" s="1"/>
  <c r="O3147" i="5"/>
  <c r="O3248" i="5"/>
  <c r="O3300" i="5"/>
  <c r="O3261" i="5"/>
  <c r="O3165" i="5"/>
  <c r="O3171" i="5"/>
  <c r="O3267" i="5"/>
  <c r="U3087" i="5"/>
  <c r="V3087" i="5" s="1"/>
  <c r="N3256" i="5"/>
  <c r="P3256" i="5"/>
  <c r="N3113" i="5"/>
  <c r="P3113" i="5"/>
  <c r="N3301" i="5"/>
  <c r="P3301" i="5"/>
  <c r="P3106" i="5"/>
  <c r="N3106" i="5"/>
  <c r="P3170" i="5"/>
  <c r="N3170" i="5"/>
  <c r="O3277" i="5"/>
  <c r="P3304" i="5"/>
  <c r="N3304" i="5"/>
  <c r="N3188" i="5"/>
  <c r="P3188" i="5"/>
  <c r="N3262" i="5"/>
  <c r="P3262" i="5"/>
  <c r="P3150" i="5"/>
  <c r="N3150" i="5"/>
  <c r="O3306" i="5"/>
  <c r="O3167" i="5"/>
  <c r="O3169" i="5"/>
  <c r="O3190" i="5"/>
  <c r="O3210" i="5"/>
  <c r="O3289" i="5"/>
  <c r="O3137" i="5"/>
  <c r="N3176" i="5"/>
  <c r="P3176" i="5"/>
  <c r="O3159" i="5"/>
  <c r="N3244" i="5"/>
  <c r="P3244" i="5"/>
  <c r="N3284" i="5"/>
  <c r="P3284" i="5"/>
  <c r="N3124" i="5"/>
  <c r="P3124" i="5"/>
  <c r="O3141" i="5"/>
  <c r="O3229" i="5"/>
  <c r="N3295" i="5"/>
  <c r="P3295" i="5"/>
  <c r="N3220" i="5"/>
  <c r="P3220" i="5"/>
  <c r="N3191" i="5"/>
  <c r="P3191" i="5"/>
  <c r="P3234" i="5"/>
  <c r="N3234" i="5"/>
  <c r="O3217" i="5"/>
  <c r="N3278" i="5"/>
  <c r="P3278" i="5"/>
  <c r="O3312" i="5"/>
  <c r="O3310" i="5"/>
  <c r="O3253" i="5"/>
  <c r="O3293" i="5"/>
  <c r="N3185" i="5"/>
  <c r="P3185" i="5"/>
  <c r="N3307" i="5"/>
  <c r="P3307" i="5"/>
  <c r="P3205" i="5"/>
  <c r="N3205" i="5"/>
  <c r="N3235" i="5"/>
  <c r="P3235" i="5"/>
  <c r="N3101" i="5"/>
  <c r="P3101" i="5"/>
  <c r="N3203" i="5"/>
  <c r="P3203" i="5"/>
  <c r="N3208" i="5"/>
  <c r="P3208" i="5"/>
  <c r="P3287" i="5"/>
  <c r="N3287" i="5"/>
  <c r="O3118" i="5"/>
  <c r="O3177" i="5"/>
  <c r="O3243" i="5"/>
  <c r="O3131" i="5"/>
  <c r="O3207" i="5"/>
  <c r="O3249" i="5"/>
  <c r="O3139" i="5"/>
  <c r="O3153" i="5"/>
  <c r="O3255" i="5"/>
  <c r="N3197" i="5"/>
  <c r="P3197" i="5"/>
  <c r="O3199" i="5"/>
  <c r="N3231" i="5"/>
  <c r="P3231" i="5"/>
  <c r="O3155" i="5"/>
  <c r="O3151" i="5"/>
  <c r="O3166" i="5"/>
  <c r="O3120" i="5"/>
  <c r="N3225" i="5"/>
  <c r="P3225" i="5"/>
  <c r="O3138" i="5"/>
  <c r="O3230" i="5"/>
  <c r="O3200" i="5"/>
  <c r="O3089" i="5"/>
  <c r="O3134" i="5"/>
  <c r="O3149" i="5"/>
  <c r="O3163" i="5"/>
  <c r="O3181" i="5"/>
  <c r="O3187" i="5"/>
  <c r="O3302" i="5"/>
  <c r="O3274" i="5"/>
  <c r="O3258" i="5"/>
  <c r="O3269" i="5"/>
  <c r="O3175" i="5"/>
  <c r="O3315" i="5"/>
  <c r="O3100" i="5"/>
  <c r="N3164" i="5"/>
  <c r="P3164" i="5"/>
  <c r="N3214" i="5"/>
  <c r="P3214" i="5"/>
  <c r="O3213" i="5"/>
  <c r="O3114" i="5"/>
  <c r="O3211" i="5"/>
  <c r="O3303" i="5"/>
  <c r="O3219" i="5"/>
  <c r="U2990" i="5"/>
  <c r="V2990" i="5" s="1"/>
  <c r="U2819" i="5"/>
  <c r="V2819" i="5" s="1"/>
  <c r="U3015" i="5"/>
  <c r="V3015" i="5" s="1"/>
  <c r="U2681" i="5"/>
  <c r="V2681" i="5" s="1"/>
  <c r="O2751" i="5"/>
  <c r="P2869" i="5"/>
  <c r="U2869" i="5" s="1"/>
  <c r="V2869" i="5" s="1"/>
  <c r="O3006" i="5"/>
  <c r="O2766" i="5"/>
  <c r="U2668" i="5"/>
  <c r="V2668" i="5" s="1"/>
  <c r="O2718" i="5"/>
  <c r="O3045" i="5"/>
  <c r="O3020" i="5"/>
  <c r="O2677" i="5"/>
  <c r="O2927" i="5"/>
  <c r="O2893" i="5"/>
  <c r="U2866" i="5"/>
  <c r="V2866" i="5" s="1"/>
  <c r="U2848" i="5"/>
  <c r="V2848" i="5" s="1"/>
  <c r="O2798" i="5"/>
  <c r="O3030" i="5"/>
  <c r="U2723" i="5"/>
  <c r="V2723" i="5" s="1"/>
  <c r="N2899" i="5"/>
  <c r="O2899" i="5" s="1"/>
  <c r="O2864" i="5"/>
  <c r="O2773" i="5"/>
  <c r="U2699" i="5"/>
  <c r="V2699" i="5" s="1"/>
  <c r="P2958" i="5"/>
  <c r="O2958" i="5" s="1"/>
  <c r="U2955" i="5"/>
  <c r="V2955" i="5" s="1"/>
  <c r="P2754" i="5"/>
  <c r="O2754" i="5" s="1"/>
  <c r="O2934" i="5"/>
  <c r="U2887" i="5"/>
  <c r="V2887" i="5" s="1"/>
  <c r="O2781" i="5"/>
  <c r="P2857" i="5"/>
  <c r="O2857" i="5" s="1"/>
  <c r="U2952" i="5"/>
  <c r="V2952" i="5" s="1"/>
  <c r="O2947" i="5"/>
  <c r="O2739" i="5"/>
  <c r="U2775" i="5"/>
  <c r="V2775" i="5" s="1"/>
  <c r="P2913" i="5"/>
  <c r="U2913" i="5" s="1"/>
  <c r="V2913" i="5" s="1"/>
  <c r="O2965" i="5"/>
  <c r="U2905" i="5"/>
  <c r="V2905" i="5" s="1"/>
  <c r="U3011" i="5"/>
  <c r="V3011" i="5" s="1"/>
  <c r="U3066" i="5"/>
  <c r="V3066" i="5" s="1"/>
  <c r="O3005" i="5"/>
  <c r="N2875" i="5"/>
  <c r="U3030" i="5"/>
  <c r="V3030" i="5" s="1"/>
  <c r="U3024" i="5"/>
  <c r="V3024" i="5" s="1"/>
  <c r="U2861" i="5"/>
  <c r="V2861" i="5" s="1"/>
  <c r="O2841" i="5"/>
  <c r="U3048" i="5"/>
  <c r="V3048" i="5" s="1"/>
  <c r="U2946" i="5"/>
  <c r="V2946" i="5" s="1"/>
  <c r="O2919" i="5"/>
  <c r="N2667" i="5"/>
  <c r="O2667" i="5" s="1"/>
  <c r="O2946" i="5"/>
  <c r="O2861" i="5"/>
  <c r="U2653" i="5"/>
  <c r="V2653" i="5" s="1"/>
  <c r="U2859" i="5"/>
  <c r="V2859" i="5" s="1"/>
  <c r="U3050" i="5"/>
  <c r="V3050" i="5" s="1"/>
  <c r="N3084" i="5"/>
  <c r="O3084" i="5" s="1"/>
  <c r="O3034" i="5"/>
  <c r="N2822" i="5"/>
  <c r="O2822" i="5" s="1"/>
  <c r="U2939" i="5"/>
  <c r="V2939" i="5" s="1"/>
  <c r="U2845" i="5"/>
  <c r="V2845" i="5" s="1"/>
  <c r="N2954" i="5"/>
  <c r="O2954" i="5" s="1"/>
  <c r="U2749" i="5"/>
  <c r="V2749" i="5" s="1"/>
  <c r="U2976" i="5"/>
  <c r="V2976" i="5" s="1"/>
  <c r="U2928" i="5"/>
  <c r="V2928" i="5" s="1"/>
  <c r="U3069" i="5"/>
  <c r="V3069" i="5" s="1"/>
  <c r="U2860" i="5"/>
  <c r="V2860" i="5" s="1"/>
  <c r="O3028" i="5"/>
  <c r="U2839" i="5"/>
  <c r="V2839" i="5" s="1"/>
  <c r="U3043" i="5"/>
  <c r="V3043" i="5" s="1"/>
  <c r="N2737" i="5"/>
  <c r="U2737" i="5" s="1"/>
  <c r="V2737" i="5" s="1"/>
  <c r="U2739" i="5"/>
  <c r="V2739" i="5" s="1"/>
  <c r="U2736" i="5"/>
  <c r="V2736" i="5" s="1"/>
  <c r="U3025" i="5"/>
  <c r="V3025" i="5" s="1"/>
  <c r="O2968" i="5"/>
  <c r="O2925" i="5"/>
  <c r="U2802" i="5"/>
  <c r="V2802" i="5" s="1"/>
  <c r="O2711" i="5"/>
  <c r="U3080" i="5"/>
  <c r="V3080" i="5" s="1"/>
  <c r="O2963" i="5"/>
  <c r="U3037" i="5"/>
  <c r="V3037" i="5" s="1"/>
  <c r="N2889" i="5"/>
  <c r="O2889" i="5" s="1"/>
  <c r="O2689" i="5"/>
  <c r="O2872" i="5"/>
  <c r="N2973" i="5"/>
  <c r="O2973" i="5" s="1"/>
  <c r="P2746" i="5"/>
  <c r="U2746" i="5" s="1"/>
  <c r="V2746" i="5" s="1"/>
  <c r="U2933" i="5"/>
  <c r="V2933" i="5" s="1"/>
  <c r="U2783" i="5"/>
  <c r="V2783" i="5" s="1"/>
  <c r="O3070" i="5"/>
  <c r="U3070" i="5"/>
  <c r="V3070" i="5" s="1"/>
  <c r="O2828" i="5"/>
  <c r="U2876" i="5"/>
  <c r="V2876" i="5" s="1"/>
  <c r="O2876" i="5"/>
  <c r="P2742" i="5"/>
  <c r="O2742" i="5" s="1"/>
  <c r="U2968" i="5"/>
  <c r="V2968" i="5" s="1"/>
  <c r="U2925" i="5"/>
  <c r="V2925" i="5" s="1"/>
  <c r="U2982" i="5"/>
  <c r="V2982" i="5" s="1"/>
  <c r="O2683" i="5"/>
  <c r="P2879" i="5"/>
  <c r="U2879" i="5" s="1"/>
  <c r="V2879" i="5" s="1"/>
  <c r="O3043" i="5"/>
  <c r="U2720" i="5"/>
  <c r="V2720" i="5" s="1"/>
  <c r="P2914" i="5"/>
  <c r="O2914" i="5" s="1"/>
  <c r="O2768" i="5"/>
  <c r="U2931" i="5"/>
  <c r="V2931" i="5" s="1"/>
  <c r="U2771" i="5"/>
  <c r="V2771" i="5" s="1"/>
  <c r="O2749" i="5"/>
  <c r="O2797" i="5"/>
  <c r="O2783" i="5"/>
  <c r="O2813" i="5"/>
  <c r="O2999" i="5"/>
  <c r="U2991" i="5"/>
  <c r="V2991" i="5" s="1"/>
  <c r="U2673" i="5"/>
  <c r="V2673" i="5" s="1"/>
  <c r="N2792" i="5"/>
  <c r="U2792" i="5" s="1"/>
  <c r="V2792" i="5" s="1"/>
  <c r="P2868" i="5"/>
  <c r="U2868" i="5" s="1"/>
  <c r="V2868" i="5" s="1"/>
  <c r="U2872" i="5"/>
  <c r="V2872" i="5" s="1"/>
  <c r="U2689" i="5"/>
  <c r="V2689" i="5" s="1"/>
  <c r="U2911" i="5"/>
  <c r="V2911" i="5" s="1"/>
  <c r="U2676" i="5"/>
  <c r="V2676" i="5" s="1"/>
  <c r="P2943" i="5"/>
  <c r="U2943" i="5" s="1"/>
  <c r="V2943" i="5" s="1"/>
  <c r="N2867" i="5"/>
  <c r="U2835" i="5"/>
  <c r="V2835" i="5" s="1"/>
  <c r="N2902" i="5"/>
  <c r="P2902" i="5"/>
  <c r="U2764" i="5"/>
  <c r="V2764" i="5" s="1"/>
  <c r="U2705" i="5"/>
  <c r="V2705" i="5" s="1"/>
  <c r="U2927" i="5"/>
  <c r="V2927" i="5" s="1"/>
  <c r="O3072" i="5"/>
  <c r="U3072" i="5"/>
  <c r="V3072" i="5" s="1"/>
  <c r="O2932" i="5"/>
  <c r="U2932" i="5"/>
  <c r="V2932" i="5" s="1"/>
  <c r="O3049" i="5"/>
  <c r="U3049" i="5"/>
  <c r="V3049" i="5" s="1"/>
  <c r="O2991" i="5"/>
  <c r="P2888" i="5"/>
  <c r="O2888" i="5" s="1"/>
  <c r="O3078" i="5"/>
  <c r="U3078" i="5"/>
  <c r="V3078" i="5" s="1"/>
  <c r="U2743" i="5"/>
  <c r="V2743" i="5" s="1"/>
  <c r="O3076" i="5"/>
  <c r="U3076" i="5"/>
  <c r="V3076" i="5" s="1"/>
  <c r="O3053" i="5"/>
  <c r="U3053" i="5"/>
  <c r="V3053" i="5" s="1"/>
  <c r="U2964" i="5"/>
  <c r="V2964" i="5" s="1"/>
  <c r="U3068" i="5"/>
  <c r="V3068" i="5" s="1"/>
  <c r="O3059" i="5"/>
  <c r="U3059" i="5"/>
  <c r="V3059" i="5" s="1"/>
  <c r="O2982" i="5"/>
  <c r="U2963" i="5"/>
  <c r="V2963" i="5" s="1"/>
  <c r="O3011" i="5"/>
  <c r="U2999" i="5"/>
  <c r="V2999" i="5" s="1"/>
  <c r="U2813" i="5"/>
  <c r="V2813" i="5" s="1"/>
  <c r="U2870" i="5"/>
  <c r="V2870" i="5" s="1"/>
  <c r="O3064" i="5"/>
  <c r="U3064" i="5"/>
  <c r="V3064" i="5" s="1"/>
  <c r="N3067" i="5"/>
  <c r="P3067" i="5"/>
  <c r="O3068" i="5"/>
  <c r="N2897" i="5"/>
  <c r="O2897" i="5" s="1"/>
  <c r="O2779" i="5"/>
  <c r="U2779" i="5"/>
  <c r="V2779" i="5" s="1"/>
  <c r="O2687" i="5"/>
  <c r="U2687" i="5"/>
  <c r="V2687" i="5" s="1"/>
  <c r="U2677" i="5"/>
  <c r="V2677" i="5" s="1"/>
  <c r="O2653" i="5"/>
  <c r="P2951" i="5"/>
  <c r="O2951" i="5" s="1"/>
  <c r="U2800" i="5"/>
  <c r="V2800" i="5" s="1"/>
  <c r="O2800" i="5"/>
  <c r="O2997" i="5"/>
  <c r="U2997" i="5"/>
  <c r="V2997" i="5" s="1"/>
  <c r="U2797" i="5"/>
  <c r="V2797" i="5" s="1"/>
  <c r="O2684" i="5"/>
  <c r="U2684" i="5"/>
  <c r="V2684" i="5" s="1"/>
  <c r="P3063" i="5"/>
  <c r="N3063" i="5"/>
  <c r="U3056" i="5"/>
  <c r="V3056" i="5" s="1"/>
  <c r="O3056" i="5"/>
  <c r="O3054" i="5"/>
  <c r="U3054" i="5"/>
  <c r="V3054" i="5" s="1"/>
  <c r="U2841" i="5"/>
  <c r="V2841" i="5" s="1"/>
  <c r="O2873" i="5"/>
  <c r="U2873" i="5"/>
  <c r="V2873" i="5" s="1"/>
  <c r="O3007" i="5"/>
  <c r="U3007" i="5"/>
  <c r="V3007" i="5" s="1"/>
  <c r="U3081" i="5"/>
  <c r="V3081" i="5" s="1"/>
  <c r="O3081" i="5"/>
  <c r="U3055" i="5"/>
  <c r="V3055" i="5" s="1"/>
  <c r="O3055" i="5"/>
  <c r="O3061" i="5"/>
  <c r="U3061" i="5"/>
  <c r="V3061" i="5" s="1"/>
  <c r="O2760" i="5"/>
  <c r="U2760" i="5"/>
  <c r="V2760" i="5" s="1"/>
  <c r="O2956" i="5"/>
  <c r="U2956" i="5"/>
  <c r="V2956" i="5" s="1"/>
  <c r="O2860" i="5"/>
  <c r="P3039" i="5"/>
  <c r="N3039" i="5"/>
  <c r="O3046" i="5"/>
  <c r="U3046" i="5"/>
  <c r="V3046" i="5" s="1"/>
  <c r="O2898" i="5"/>
  <c r="U2898" i="5"/>
  <c r="V2898" i="5" s="1"/>
  <c r="O2944" i="5"/>
  <c r="U2944" i="5"/>
  <c r="V2944" i="5" s="1"/>
  <c r="O2738" i="5"/>
  <c r="U2738" i="5"/>
  <c r="V2738" i="5" s="1"/>
  <c r="O2730" i="5"/>
  <c r="U2730" i="5"/>
  <c r="V2730" i="5" s="1"/>
  <c r="O2787" i="5"/>
  <c r="U2787" i="5"/>
  <c r="V2787" i="5" s="1"/>
  <c r="O2974" i="5"/>
  <c r="U2974" i="5"/>
  <c r="V2974" i="5" s="1"/>
  <c r="O2678" i="5"/>
  <c r="U2678" i="5"/>
  <c r="V2678" i="5" s="1"/>
  <c r="O2761" i="5"/>
  <c r="U2761" i="5"/>
  <c r="V2761" i="5" s="1"/>
  <c r="O2802" i="5"/>
  <c r="U2821" i="5"/>
  <c r="V2821" i="5" s="1"/>
  <c r="O2821" i="5"/>
  <c r="O2904" i="5"/>
  <c r="U2904" i="5"/>
  <c r="V2904" i="5" s="1"/>
  <c r="O2920" i="5"/>
  <c r="U2920" i="5"/>
  <c r="V2920" i="5" s="1"/>
  <c r="O2846" i="5"/>
  <c r="U2846" i="5"/>
  <c r="V2846" i="5" s="1"/>
  <c r="O3022" i="5"/>
  <c r="U3022" i="5"/>
  <c r="V3022" i="5" s="1"/>
  <c r="O2728" i="5"/>
  <c r="U2728" i="5"/>
  <c r="V2728" i="5" s="1"/>
  <c r="O2716" i="5"/>
  <c r="U2716" i="5"/>
  <c r="V2716" i="5" s="1"/>
  <c r="O2710" i="5"/>
  <c r="U2710" i="5"/>
  <c r="V2710" i="5" s="1"/>
  <c r="O2807" i="5"/>
  <c r="U2807" i="5"/>
  <c r="V2807" i="5" s="1"/>
  <c r="O2834" i="5"/>
  <c r="U2834" i="5"/>
  <c r="V2834" i="5" s="1"/>
  <c r="U2824" i="5"/>
  <c r="V2824" i="5" s="1"/>
  <c r="O2824" i="5"/>
  <c r="U2877" i="5"/>
  <c r="V2877" i="5" s="1"/>
  <c r="O2877" i="5"/>
  <c r="O2989" i="5"/>
  <c r="U2989" i="5"/>
  <c r="V2989" i="5" s="1"/>
  <c r="U2745" i="5"/>
  <c r="V2745" i="5" s="1"/>
  <c r="O2745" i="5"/>
  <c r="U3018" i="5"/>
  <c r="V3018" i="5" s="1"/>
  <c r="O3018" i="5"/>
  <c r="O2981" i="5"/>
  <c r="U2981" i="5"/>
  <c r="V2981" i="5" s="1"/>
  <c r="O2808" i="5"/>
  <c r="U2808" i="5"/>
  <c r="V2808" i="5" s="1"/>
  <c r="O2891" i="5"/>
  <c r="U2891" i="5"/>
  <c r="V2891" i="5" s="1"/>
  <c r="N2936" i="5"/>
  <c r="P2936" i="5"/>
  <c r="U3012" i="5"/>
  <c r="V3012" i="5" s="1"/>
  <c r="O3012" i="5"/>
  <c r="O2715" i="5"/>
  <c r="U2715" i="5"/>
  <c r="V2715" i="5" s="1"/>
  <c r="U2778" i="5"/>
  <c r="V2778" i="5" s="1"/>
  <c r="O2778" i="5"/>
  <c r="O2910" i="5"/>
  <c r="U2910" i="5"/>
  <c r="V2910" i="5" s="1"/>
  <c r="O3014" i="5"/>
  <c r="U3014" i="5"/>
  <c r="V3014" i="5" s="1"/>
  <c r="O2881" i="5"/>
  <c r="U2881" i="5"/>
  <c r="V2881" i="5" s="1"/>
  <c r="O2895" i="5"/>
  <c r="U2895" i="5"/>
  <c r="V2895" i="5" s="1"/>
  <c r="O2942" i="5"/>
  <c r="U2942" i="5"/>
  <c r="V2942" i="5" s="1"/>
  <c r="O3040" i="5"/>
  <c r="U3040" i="5"/>
  <c r="V3040" i="5" s="1"/>
  <c r="O2770" i="5"/>
  <c r="U2770" i="5"/>
  <c r="V2770" i="5" s="1"/>
  <c r="O2980" i="5"/>
  <c r="U2980" i="5"/>
  <c r="V2980" i="5" s="1"/>
  <c r="O3029" i="5"/>
  <c r="U3029" i="5"/>
  <c r="V3029" i="5" s="1"/>
  <c r="O2790" i="5"/>
  <c r="U2790" i="5"/>
  <c r="V2790" i="5" s="1"/>
  <c r="O2852" i="5"/>
  <c r="U2852" i="5"/>
  <c r="V2852" i="5" s="1"/>
  <c r="O3001" i="5"/>
  <c r="U3001" i="5"/>
  <c r="V3001" i="5" s="1"/>
  <c r="O2971" i="5"/>
  <c r="U2971" i="5"/>
  <c r="V2971" i="5" s="1"/>
  <c r="O2675" i="5"/>
  <c r="U2675" i="5"/>
  <c r="V2675" i="5" s="1"/>
  <c r="N2784" i="5"/>
  <c r="P2784" i="5"/>
  <c r="O2756" i="5"/>
  <c r="U2756" i="5"/>
  <c r="V2756" i="5" s="1"/>
  <c r="O2765" i="5"/>
  <c r="U2765" i="5"/>
  <c r="V2765" i="5" s="1"/>
  <c r="O2793" i="5"/>
  <c r="U2793" i="5"/>
  <c r="V2793" i="5" s="1"/>
  <c r="O2849" i="5"/>
  <c r="U2849" i="5"/>
  <c r="V2849" i="5" s="1"/>
  <c r="U2935" i="5"/>
  <c r="V2935" i="5" s="1"/>
  <c r="O2935" i="5"/>
  <c r="O3010" i="5"/>
  <c r="U3010" i="5"/>
  <c r="V3010" i="5" s="1"/>
  <c r="N3036" i="5"/>
  <c r="P3036" i="5"/>
  <c r="O2995" i="5"/>
  <c r="U2995" i="5"/>
  <c r="V2995" i="5" s="1"/>
  <c r="O2915" i="5"/>
  <c r="U2915" i="5"/>
  <c r="V2915" i="5" s="1"/>
  <c r="U2776" i="5"/>
  <c r="V2776" i="5" s="1"/>
  <c r="O2776" i="5"/>
  <c r="O2724" i="5"/>
  <c r="U2724" i="5"/>
  <c r="V2724" i="5" s="1"/>
  <c r="O3021" i="5"/>
  <c r="U3021" i="5"/>
  <c r="V3021" i="5" s="1"/>
  <c r="O2704" i="5"/>
  <c r="U2704" i="5"/>
  <c r="V2704" i="5" s="1"/>
  <c r="O2842" i="5"/>
  <c r="U2842" i="5"/>
  <c r="V2842" i="5" s="1"/>
  <c r="O2987" i="5"/>
  <c r="U2987" i="5"/>
  <c r="V2987" i="5" s="1"/>
  <c r="O2708" i="5"/>
  <c r="U2708" i="5"/>
  <c r="V2708" i="5" s="1"/>
  <c r="O2812" i="5"/>
  <c r="U2812" i="5"/>
  <c r="V2812" i="5" s="1"/>
  <c r="O2829" i="5"/>
  <c r="U2829" i="5"/>
  <c r="V2829" i="5" s="1"/>
  <c r="O2844" i="5"/>
  <c r="U2844" i="5"/>
  <c r="V2844" i="5" s="1"/>
  <c r="O3013" i="5"/>
  <c r="U3013" i="5"/>
  <c r="V3013" i="5" s="1"/>
  <c r="O2998" i="5"/>
  <c r="U2998" i="5"/>
  <c r="V2998" i="5" s="1"/>
  <c r="O2782" i="5"/>
  <c r="U2782" i="5"/>
  <c r="V2782" i="5" s="1"/>
  <c r="U2748" i="5"/>
  <c r="V2748" i="5" s="1"/>
  <c r="O2748" i="5"/>
  <c r="O2791" i="5"/>
  <c r="U2791" i="5"/>
  <c r="V2791" i="5" s="1"/>
  <c r="O2874" i="5"/>
  <c r="U2874" i="5"/>
  <c r="V2874" i="5" s="1"/>
  <c r="U2917" i="5"/>
  <c r="V2917" i="5" s="1"/>
  <c r="O2917" i="5"/>
  <c r="U2670" i="5"/>
  <c r="V2670" i="5" s="1"/>
  <c r="O2670" i="5"/>
  <c r="O2945" i="5"/>
  <c r="U2945" i="5"/>
  <c r="V2945" i="5" s="1"/>
  <c r="O2755" i="5"/>
  <c r="U2755" i="5"/>
  <c r="V2755" i="5" s="1"/>
  <c r="O2900" i="5"/>
  <c r="U2900" i="5"/>
  <c r="V2900" i="5" s="1"/>
  <c r="N3027" i="5"/>
  <c r="P3027" i="5"/>
  <c r="O2984" i="5"/>
  <c r="U2984" i="5"/>
  <c r="V2984" i="5" s="1"/>
  <c r="N2694" i="5"/>
  <c r="P2694" i="5"/>
  <c r="O2837" i="5"/>
  <c r="U2837" i="5"/>
  <c r="V2837" i="5" s="1"/>
  <c r="N2777" i="5"/>
  <c r="P2777" i="5"/>
  <c r="O2769" i="5"/>
  <c r="U2769" i="5"/>
  <c r="V2769" i="5" s="1"/>
  <c r="O2851" i="5"/>
  <c r="U2851" i="5"/>
  <c r="V2851" i="5" s="1"/>
  <c r="O2762" i="5"/>
  <c r="U2762" i="5"/>
  <c r="V2762" i="5" s="1"/>
  <c r="O3008" i="5"/>
  <c r="U3008" i="5"/>
  <c r="V3008" i="5" s="1"/>
  <c r="O2854" i="5"/>
  <c r="U2854" i="5"/>
  <c r="V2854" i="5" s="1"/>
  <c r="O2753" i="5"/>
  <c r="U2753" i="5"/>
  <c r="V2753" i="5" s="1"/>
  <c r="O2975" i="5"/>
  <c r="U2975" i="5"/>
  <c r="V2975" i="5" s="1"/>
  <c r="O2992" i="5"/>
  <c r="U2992" i="5"/>
  <c r="V2992" i="5" s="1"/>
  <c r="U2713" i="5"/>
  <c r="V2713" i="5" s="1"/>
  <c r="O2713" i="5"/>
  <c r="O2693" i="5"/>
  <c r="U2693" i="5"/>
  <c r="V2693" i="5" s="1"/>
  <c r="U2847" i="5"/>
  <c r="V2847" i="5" s="1"/>
  <c r="O2847" i="5"/>
  <c r="O2978" i="5"/>
  <c r="U2978" i="5"/>
  <c r="V2978" i="5" s="1"/>
  <c r="O2673" i="5"/>
  <c r="O2786" i="5"/>
  <c r="U2786" i="5"/>
  <c r="V2786" i="5" s="1"/>
  <c r="U2815" i="5"/>
  <c r="V2815" i="5" s="1"/>
  <c r="O2815" i="5"/>
  <c r="O2850" i="5"/>
  <c r="U2850" i="5"/>
  <c r="V2850" i="5" s="1"/>
  <c r="O2929" i="5"/>
  <c r="U2929" i="5"/>
  <c r="V2929" i="5" s="1"/>
  <c r="O2926" i="5"/>
  <c r="U2926" i="5"/>
  <c r="V2926" i="5" s="1"/>
  <c r="O2972" i="5"/>
  <c r="U2972" i="5"/>
  <c r="V2972" i="5" s="1"/>
  <c r="O2884" i="5"/>
  <c r="U2884" i="5"/>
  <c r="V2884" i="5" s="1"/>
  <c r="O3044" i="5"/>
  <c r="U3044" i="5"/>
  <c r="V3044" i="5" s="1"/>
  <c r="O3065" i="5"/>
  <c r="U3065" i="5"/>
  <c r="V3065" i="5" s="1"/>
  <c r="U2733" i="5"/>
  <c r="V2733" i="5" s="1"/>
  <c r="O2733" i="5"/>
  <c r="O2725" i="5"/>
  <c r="U2725" i="5"/>
  <c r="V2725" i="5" s="1"/>
  <c r="N2809" i="5"/>
  <c r="P2809" i="5"/>
  <c r="U2816" i="5"/>
  <c r="V2816" i="5" s="1"/>
  <c r="O2816" i="5"/>
  <c r="O2810" i="5"/>
  <c r="U2810" i="5"/>
  <c r="V2810" i="5" s="1"/>
  <c r="N2948" i="5"/>
  <c r="P2948" i="5"/>
  <c r="O3041" i="5"/>
  <c r="U3041" i="5"/>
  <c r="V3041" i="5" s="1"/>
  <c r="O2794" i="5"/>
  <c r="U2794" i="5"/>
  <c r="V2794" i="5" s="1"/>
  <c r="O3019" i="5"/>
  <c r="U3019" i="5"/>
  <c r="V3019" i="5" s="1"/>
  <c r="O2908" i="5"/>
  <c r="U2908" i="5"/>
  <c r="V2908" i="5" s="1"/>
  <c r="O3009" i="5"/>
  <c r="U3009" i="5"/>
  <c r="V3009" i="5" s="1"/>
  <c r="O2709" i="5"/>
  <c r="U2709" i="5"/>
  <c r="V2709" i="5" s="1"/>
  <c r="O2885" i="5"/>
  <c r="U2885" i="5"/>
  <c r="V2885" i="5" s="1"/>
  <c r="O2896" i="5"/>
  <c r="U2896" i="5"/>
  <c r="V2896" i="5" s="1"/>
  <c r="O3023" i="5"/>
  <c r="U3023" i="5"/>
  <c r="V3023" i="5" s="1"/>
  <c r="O3003" i="5"/>
  <c r="U3003" i="5"/>
  <c r="V3003" i="5" s="1"/>
  <c r="O2757" i="5"/>
  <c r="U2757" i="5"/>
  <c r="V2757" i="5" s="1"/>
  <c r="O2830" i="5"/>
  <c r="U2830" i="5"/>
  <c r="V2830" i="5" s="1"/>
  <c r="O2858" i="5"/>
  <c r="U2858" i="5"/>
  <c r="V2858" i="5" s="1"/>
  <c r="O2930" i="5"/>
  <c r="U2930" i="5"/>
  <c r="V2930" i="5" s="1"/>
  <c r="O3031" i="5"/>
  <c r="U3031" i="5"/>
  <c r="V3031" i="5" s="1"/>
  <c r="O2706" i="5"/>
  <c r="U2706" i="5"/>
  <c r="V2706" i="5" s="1"/>
  <c r="O3086" i="5"/>
  <c r="U3086" i="5"/>
  <c r="V3086" i="5" s="1"/>
  <c r="O2763" i="5"/>
  <c r="U2763" i="5"/>
  <c r="V2763" i="5" s="1"/>
  <c r="P2923" i="5"/>
  <c r="N2923" i="5"/>
  <c r="O2880" i="5"/>
  <c r="U2880" i="5"/>
  <c r="V2880" i="5" s="1"/>
  <c r="O3077" i="5"/>
  <c r="U3077" i="5"/>
  <c r="V3077" i="5" s="1"/>
  <c r="O2780" i="5"/>
  <c r="U2780" i="5"/>
  <c r="V2780" i="5" s="1"/>
  <c r="O2818" i="5"/>
  <c r="U2818" i="5"/>
  <c r="V2818" i="5" s="1"/>
  <c r="O2882" i="5"/>
  <c r="U2882" i="5"/>
  <c r="V2882" i="5" s="1"/>
  <c r="O2916" i="5"/>
  <c r="U2916" i="5"/>
  <c r="V2916" i="5" s="1"/>
  <c r="O2986" i="5"/>
  <c r="U2986" i="5"/>
  <c r="V2986" i="5" s="1"/>
  <c r="O2983" i="5"/>
  <c r="U2983" i="5"/>
  <c r="V2983" i="5" s="1"/>
  <c r="O2722" i="5"/>
  <c r="U2722" i="5"/>
  <c r="V2722" i="5" s="1"/>
  <c r="U2695" i="5"/>
  <c r="V2695" i="5" s="1"/>
  <c r="O2695" i="5"/>
  <c r="N2907" i="5"/>
  <c r="P2907" i="5"/>
  <c r="N2961" i="5"/>
  <c r="P2961" i="5"/>
  <c r="O2752" i="5"/>
  <c r="U2752" i="5"/>
  <c r="V2752" i="5" s="1"/>
  <c r="O2682" i="5"/>
  <c r="U2682" i="5"/>
  <c r="V2682" i="5" s="1"/>
  <c r="U2799" i="5"/>
  <c r="V2799" i="5" s="1"/>
  <c r="O2799" i="5"/>
  <c r="O2909" i="5"/>
  <c r="U2909" i="5"/>
  <c r="V2909" i="5" s="1"/>
  <c r="O3074" i="5"/>
  <c r="U3074" i="5"/>
  <c r="V3074" i="5" s="1"/>
  <c r="O3047" i="5"/>
  <c r="U3047" i="5"/>
  <c r="V3047" i="5" s="1"/>
  <c r="O2719" i="5"/>
  <c r="U2719" i="5"/>
  <c r="V2719" i="5" s="1"/>
  <c r="O2827" i="5"/>
  <c r="U2827" i="5"/>
  <c r="V2827" i="5" s="1"/>
  <c r="O2785" i="5"/>
  <c r="U2785" i="5"/>
  <c r="V2785" i="5" s="1"/>
  <c r="O2832" i="5"/>
  <c r="U2832" i="5"/>
  <c r="V2832" i="5" s="1"/>
  <c r="O2855" i="5"/>
  <c r="U2855" i="5"/>
  <c r="V2855" i="5" s="1"/>
  <c r="O2962" i="5"/>
  <c r="U2962" i="5"/>
  <c r="V2962" i="5" s="1"/>
  <c r="U2969" i="5"/>
  <c r="V2969" i="5" s="1"/>
  <c r="O2969" i="5"/>
  <c r="U3071" i="5"/>
  <c r="V3071" i="5" s="1"/>
  <c r="O3071" i="5"/>
  <c r="O2865" i="5"/>
  <c r="U2865" i="5"/>
  <c r="V2865" i="5" s="1"/>
  <c r="U2924" i="5"/>
  <c r="V2924" i="5" s="1"/>
  <c r="O2924" i="5"/>
  <c r="O2890" i="5"/>
  <c r="U2890" i="5"/>
  <c r="V2890" i="5" s="1"/>
  <c r="O2774" i="5"/>
  <c r="U2774" i="5"/>
  <c r="V2774" i="5" s="1"/>
  <c r="O2814" i="5"/>
  <c r="U2814" i="5"/>
  <c r="V2814" i="5" s="1"/>
  <c r="N2922" i="5"/>
  <c r="P2922" i="5"/>
  <c r="O2903" i="5"/>
  <c r="U2903" i="5"/>
  <c r="V2903" i="5" s="1"/>
  <c r="U2966" i="5"/>
  <c r="V2966" i="5" s="1"/>
  <c r="O2966" i="5"/>
  <c r="O2702" i="5"/>
  <c r="U2702" i="5"/>
  <c r="V2702" i="5" s="1"/>
  <c r="O2825" i="5"/>
  <c r="U2825" i="5"/>
  <c r="V2825" i="5" s="1"/>
  <c r="N3017" i="5"/>
  <c r="P3017" i="5"/>
  <c r="O3035" i="5"/>
  <c r="U3035" i="5"/>
  <c r="V3035" i="5" s="1"/>
  <c r="O2700" i="5"/>
  <c r="U2700" i="5"/>
  <c r="V2700" i="5" s="1"/>
  <c r="O2941" i="5"/>
  <c r="U2941" i="5"/>
  <c r="V2941" i="5" s="1"/>
  <c r="N2836" i="5"/>
  <c r="P2836" i="5"/>
  <c r="U2853" i="5"/>
  <c r="V2853" i="5" s="1"/>
  <c r="O2853" i="5"/>
  <c r="N3000" i="5"/>
  <c r="P3000" i="5"/>
  <c r="O2938" i="5"/>
  <c r="U2938" i="5"/>
  <c r="V2938" i="5" s="1"/>
  <c r="O2856" i="5"/>
  <c r="U2856" i="5"/>
  <c r="V2856" i="5" s="1"/>
  <c r="O2685" i="5"/>
  <c r="U2685" i="5"/>
  <c r="V2685" i="5" s="1"/>
  <c r="O2996" i="5"/>
  <c r="U2996" i="5"/>
  <c r="V2996" i="5" s="1"/>
  <c r="O2894" i="5"/>
  <c r="U2894" i="5"/>
  <c r="V2894" i="5" s="1"/>
  <c r="O2811" i="5"/>
  <c r="U2811" i="5"/>
  <c r="V2811" i="5" s="1"/>
  <c r="O2652" i="5"/>
  <c r="O2662" i="5"/>
  <c r="U2662" i="5"/>
  <c r="V2662" i="5" s="1"/>
  <c r="O2658" i="5"/>
  <c r="U2658" i="5"/>
  <c r="V2658" i="5" s="1"/>
  <c r="O2657" i="5"/>
  <c r="U2657" i="5"/>
  <c r="V2657" i="5" s="1"/>
  <c r="O2655" i="5"/>
  <c r="U2655" i="5"/>
  <c r="V2655" i="5" s="1"/>
  <c r="O2651" i="5"/>
  <c r="U2651" i="5"/>
  <c r="V2651" i="5" s="1"/>
  <c r="O2654" i="5"/>
  <c r="U2654" i="5"/>
  <c r="V2654" i="5" s="1"/>
  <c r="B2647" i="5"/>
  <c r="M2647" i="5" s="1"/>
  <c r="B2648" i="5"/>
  <c r="Q2648" i="5" s="1"/>
  <c r="J2647" i="5"/>
  <c r="K2647" i="5" s="1"/>
  <c r="L2647" i="5" s="1"/>
  <c r="P2647" i="5" s="1"/>
  <c r="J2648" i="5"/>
  <c r="K2648" i="5" s="1"/>
  <c r="T2647" i="5"/>
  <c r="T2648" i="5"/>
  <c r="B2645" i="5"/>
  <c r="Q2645" i="5" s="1"/>
  <c r="B2646" i="5"/>
  <c r="M2646" i="5" s="1"/>
  <c r="J2645" i="5"/>
  <c r="K2645" i="5" s="1"/>
  <c r="L2645" i="5" s="1"/>
  <c r="P2645" i="5" s="1"/>
  <c r="J2646" i="5"/>
  <c r="K2646" i="5" s="1"/>
  <c r="T2645" i="5"/>
  <c r="T2646" i="5"/>
  <c r="B2643" i="5"/>
  <c r="M2643" i="5" s="1"/>
  <c r="B2644" i="5"/>
  <c r="M2644" i="5" s="1"/>
  <c r="J2643" i="5"/>
  <c r="K2643" i="5" s="1"/>
  <c r="L2643" i="5" s="1"/>
  <c r="J2644" i="5"/>
  <c r="T2643" i="5"/>
  <c r="T2644" i="5"/>
  <c r="B2641" i="5"/>
  <c r="M2641" i="5" s="1"/>
  <c r="B2642" i="5"/>
  <c r="Q2642" i="5" s="1"/>
  <c r="J2641" i="5"/>
  <c r="K2641" i="5" s="1"/>
  <c r="L2641" i="5" s="1"/>
  <c r="P2641" i="5" s="1"/>
  <c r="J2642" i="5"/>
  <c r="K2642" i="5" s="1"/>
  <c r="T2641" i="5"/>
  <c r="T2642" i="5"/>
  <c r="B2636" i="5"/>
  <c r="Q2636" i="5" s="1"/>
  <c r="B2637" i="5"/>
  <c r="M2637" i="5" s="1"/>
  <c r="B2638" i="5"/>
  <c r="M2638" i="5" s="1"/>
  <c r="B2639" i="5"/>
  <c r="Q2639" i="5" s="1"/>
  <c r="B2640" i="5"/>
  <c r="M2640" i="5" s="1"/>
  <c r="J2636" i="5"/>
  <c r="K2636" i="5" s="1"/>
  <c r="L2636" i="5" s="1"/>
  <c r="P2636" i="5" s="1"/>
  <c r="J2637" i="5"/>
  <c r="K2637" i="5" s="1"/>
  <c r="J2638" i="5"/>
  <c r="J2639" i="5"/>
  <c r="K2639" i="5" s="1"/>
  <c r="J2640" i="5"/>
  <c r="K2640" i="5" s="1"/>
  <c r="L2640" i="5" s="1"/>
  <c r="T2636" i="5"/>
  <c r="T2637" i="5"/>
  <c r="T2638" i="5"/>
  <c r="T2639" i="5"/>
  <c r="T2640" i="5"/>
  <c r="B2632" i="5"/>
  <c r="Q2632" i="5" s="1"/>
  <c r="B2633" i="5"/>
  <c r="Q2633" i="5" s="1"/>
  <c r="B2634" i="5"/>
  <c r="Q2634" i="5" s="1"/>
  <c r="B2635" i="5"/>
  <c r="M2635" i="5" s="1"/>
  <c r="J2632" i="5"/>
  <c r="K2632" i="5" s="1"/>
  <c r="L2632" i="5" s="1"/>
  <c r="J2633" i="5"/>
  <c r="K2633" i="5" s="1"/>
  <c r="J2634" i="5"/>
  <c r="K2634" i="5" s="1"/>
  <c r="L2634" i="5" s="1"/>
  <c r="J2635" i="5"/>
  <c r="K2635" i="5" s="1"/>
  <c r="L2635" i="5" s="1"/>
  <c r="T2632" i="5"/>
  <c r="T2633" i="5"/>
  <c r="T2634" i="5"/>
  <c r="T2635" i="5"/>
  <c r="B2631" i="5"/>
  <c r="M2631" i="5" s="1"/>
  <c r="J2631" i="5"/>
  <c r="T2631" i="5"/>
  <c r="B2627" i="5"/>
  <c r="Q2627" i="5" s="1"/>
  <c r="B2628" i="5"/>
  <c r="B2629" i="5"/>
  <c r="Q2629" i="5" s="1"/>
  <c r="B2630" i="5"/>
  <c r="M2630" i="5" s="1"/>
  <c r="J2627" i="5"/>
  <c r="K2627" i="5" s="1"/>
  <c r="J2628" i="5"/>
  <c r="J2629" i="5"/>
  <c r="K2629" i="5" s="1"/>
  <c r="J2630" i="5"/>
  <c r="K2630" i="5" s="1"/>
  <c r="L2630" i="5" s="1"/>
  <c r="P2630" i="5" s="1"/>
  <c r="T2627" i="5"/>
  <c r="T2628" i="5"/>
  <c r="T2629" i="5"/>
  <c r="T2630" i="5"/>
  <c r="B2625" i="5"/>
  <c r="M2625" i="5" s="1"/>
  <c r="B2626" i="5"/>
  <c r="M2626" i="5" s="1"/>
  <c r="J2625" i="5"/>
  <c r="K2625" i="5" s="1"/>
  <c r="L2625" i="5" s="1"/>
  <c r="J2626" i="5"/>
  <c r="T2625" i="5"/>
  <c r="T2626" i="5"/>
  <c r="B2622" i="5"/>
  <c r="Q2622" i="5" s="1"/>
  <c r="B2623" i="5"/>
  <c r="M2623" i="5" s="1"/>
  <c r="B2624" i="5"/>
  <c r="J2622" i="5"/>
  <c r="K2622" i="5" s="1"/>
  <c r="J2623" i="5"/>
  <c r="K2623" i="5" s="1"/>
  <c r="J2624" i="5"/>
  <c r="K2624" i="5" s="1"/>
  <c r="T2622" i="5"/>
  <c r="T2623" i="5"/>
  <c r="T2624" i="5"/>
  <c r="B2619" i="5"/>
  <c r="Q2619" i="5" s="1"/>
  <c r="B2620" i="5"/>
  <c r="Q2620" i="5" s="1"/>
  <c r="B2621" i="5"/>
  <c r="M2621" i="5" s="1"/>
  <c r="J2619" i="5"/>
  <c r="K2619" i="5" s="1"/>
  <c r="J2620" i="5"/>
  <c r="K2620" i="5" s="1"/>
  <c r="J2621" i="5"/>
  <c r="K2621" i="5" s="1"/>
  <c r="T2619" i="5"/>
  <c r="T2620" i="5"/>
  <c r="T2621" i="5"/>
  <c r="B2616" i="5"/>
  <c r="M2616" i="5" s="1"/>
  <c r="B2617" i="5"/>
  <c r="M2617" i="5" s="1"/>
  <c r="B2618" i="5"/>
  <c r="M2618" i="5" s="1"/>
  <c r="J2616" i="5"/>
  <c r="K2616" i="5" s="1"/>
  <c r="J2617" i="5"/>
  <c r="K2617" i="5" s="1"/>
  <c r="J2618" i="5"/>
  <c r="K2618" i="5" s="1"/>
  <c r="T2616" i="5"/>
  <c r="T2617" i="5"/>
  <c r="T2618" i="5"/>
  <c r="B2613" i="5"/>
  <c r="Q2613" i="5" s="1"/>
  <c r="B2614" i="5"/>
  <c r="B2615" i="5"/>
  <c r="Q2615" i="5" s="1"/>
  <c r="J2613" i="5"/>
  <c r="K2613" i="5" s="1"/>
  <c r="J2614" i="5"/>
  <c r="K2614" i="5" s="1"/>
  <c r="J2615" i="5"/>
  <c r="K2615" i="5" s="1"/>
  <c r="T2613" i="5"/>
  <c r="T2614" i="5"/>
  <c r="T2615" i="5"/>
  <c r="B2612" i="5"/>
  <c r="M2612" i="5" s="1"/>
  <c r="J2612" i="5"/>
  <c r="K2612" i="5" s="1"/>
  <c r="T2612" i="5"/>
  <c r="B2609" i="5"/>
  <c r="M2609" i="5" s="1"/>
  <c r="B2610" i="5"/>
  <c r="Q2610" i="5" s="1"/>
  <c r="B2611" i="5"/>
  <c r="M2611" i="5" s="1"/>
  <c r="J2609" i="5"/>
  <c r="K2609" i="5" s="1"/>
  <c r="J2610" i="5"/>
  <c r="K2610" i="5" s="1"/>
  <c r="J2611" i="5"/>
  <c r="K2611" i="5" s="1"/>
  <c r="T2609" i="5"/>
  <c r="T2610" i="5"/>
  <c r="T2611" i="5"/>
  <c r="B2608" i="5"/>
  <c r="J2608" i="5"/>
  <c r="T2608" i="5"/>
  <c r="B2607" i="5"/>
  <c r="M2607" i="5" s="1"/>
  <c r="J2607" i="5"/>
  <c r="K2607" i="5" s="1"/>
  <c r="L2607" i="5" s="1"/>
  <c r="P2607" i="5" s="1"/>
  <c r="T2607" i="5"/>
  <c r="B2606" i="5"/>
  <c r="M2606" i="5" s="1"/>
  <c r="J2606" i="5"/>
  <c r="K2606" i="5" s="1"/>
  <c r="T2606" i="5"/>
  <c r="B2605" i="5"/>
  <c r="M2605" i="5" s="1"/>
  <c r="J2605" i="5"/>
  <c r="T2605" i="5"/>
  <c r="B2601" i="5"/>
  <c r="Q2601" i="5" s="1"/>
  <c r="B2602" i="5"/>
  <c r="Q2602" i="5" s="1"/>
  <c r="B2603" i="5"/>
  <c r="M2603" i="5" s="1"/>
  <c r="B2604" i="5"/>
  <c r="M2604" i="5" s="1"/>
  <c r="J2601" i="5"/>
  <c r="J2602" i="5"/>
  <c r="J2603" i="5"/>
  <c r="K2603" i="5" s="1"/>
  <c r="J2604" i="5"/>
  <c r="K2604" i="5" s="1"/>
  <c r="T2601" i="5"/>
  <c r="T2602" i="5"/>
  <c r="T2603" i="5"/>
  <c r="T2604" i="5"/>
  <c r="B2600" i="5"/>
  <c r="Q2600" i="5" s="1"/>
  <c r="J2600" i="5"/>
  <c r="K2600" i="5" s="1"/>
  <c r="L2600" i="5" s="1"/>
  <c r="T2600" i="5"/>
  <c r="B2599" i="5"/>
  <c r="Q2599" i="5" s="1"/>
  <c r="J2599" i="5"/>
  <c r="T2599" i="5"/>
  <c r="B2596" i="5"/>
  <c r="M2596" i="5" s="1"/>
  <c r="B2597" i="5"/>
  <c r="M2597" i="5" s="1"/>
  <c r="B2598" i="5"/>
  <c r="J2596" i="5"/>
  <c r="K2596" i="5" s="1"/>
  <c r="J2597" i="5"/>
  <c r="K2597" i="5" s="1"/>
  <c r="J2598" i="5"/>
  <c r="K2598" i="5" s="1"/>
  <c r="T2596" i="5"/>
  <c r="T2597" i="5"/>
  <c r="T2598" i="5"/>
  <c r="B2594" i="5"/>
  <c r="Q2594" i="5" s="1"/>
  <c r="B2595" i="5"/>
  <c r="Q2595" i="5" s="1"/>
  <c r="J2594" i="5"/>
  <c r="J2595" i="5"/>
  <c r="K2595" i="5" s="1"/>
  <c r="T2594" i="5"/>
  <c r="T2595" i="5"/>
  <c r="B2592" i="5"/>
  <c r="M2592" i="5" s="1"/>
  <c r="B2593" i="5"/>
  <c r="M2593" i="5" s="1"/>
  <c r="J2592" i="5"/>
  <c r="K2592" i="5" s="1"/>
  <c r="L2592" i="5" s="1"/>
  <c r="P2592" i="5" s="1"/>
  <c r="J2593" i="5"/>
  <c r="K2593" i="5" s="1"/>
  <c r="L2593" i="5" s="1"/>
  <c r="T2592" i="5"/>
  <c r="T2593" i="5"/>
  <c r="B2590" i="5"/>
  <c r="M2590" i="5" s="1"/>
  <c r="B2591" i="5"/>
  <c r="M2591" i="5" s="1"/>
  <c r="J2590" i="5"/>
  <c r="K2590" i="5" s="1"/>
  <c r="J2591" i="5"/>
  <c r="T2590" i="5"/>
  <c r="T2591" i="5"/>
  <c r="B2589" i="5"/>
  <c r="Q2589" i="5" s="1"/>
  <c r="J2589" i="5"/>
  <c r="K2589" i="5" s="1"/>
  <c r="T2589" i="5"/>
  <c r="B2587" i="5"/>
  <c r="M2587" i="5" s="1"/>
  <c r="B2588" i="5"/>
  <c r="M2588" i="5" s="1"/>
  <c r="J2587" i="5"/>
  <c r="K2587" i="5" s="1"/>
  <c r="J2588" i="5"/>
  <c r="T2587" i="5"/>
  <c r="T2588" i="5"/>
  <c r="B2586" i="5"/>
  <c r="M2586" i="5" s="1"/>
  <c r="J2586" i="5"/>
  <c r="K2586" i="5" s="1"/>
  <c r="T2586" i="5"/>
  <c r="B2584" i="5"/>
  <c r="M2584" i="5" s="1"/>
  <c r="B2585" i="5"/>
  <c r="Q2585" i="5" s="1"/>
  <c r="J2584" i="5"/>
  <c r="K2584" i="5" s="1"/>
  <c r="L2584" i="5" s="1"/>
  <c r="P2584" i="5" s="1"/>
  <c r="J2585" i="5"/>
  <c r="T2584" i="5"/>
  <c r="T2585" i="5"/>
  <c r="B2582" i="5"/>
  <c r="B2583" i="5"/>
  <c r="Q2583" i="5" s="1"/>
  <c r="J2582" i="5"/>
  <c r="K2582" i="5" s="1"/>
  <c r="J2583" i="5"/>
  <c r="K2583" i="5" s="1"/>
  <c r="T2582" i="5"/>
  <c r="T2583" i="5"/>
  <c r="B2580" i="5"/>
  <c r="M2580" i="5" s="1"/>
  <c r="B2581" i="5"/>
  <c r="M2581" i="5" s="1"/>
  <c r="J2580" i="5"/>
  <c r="J2581" i="5"/>
  <c r="K2581" i="5" s="1"/>
  <c r="T2580" i="5"/>
  <c r="T2581" i="5"/>
  <c r="B2579" i="5"/>
  <c r="Q2579" i="5" s="1"/>
  <c r="J2579" i="5"/>
  <c r="K2579" i="5" s="1"/>
  <c r="T2579" i="5"/>
  <c r="B2576" i="5"/>
  <c r="M2576" i="5" s="1"/>
  <c r="B2577" i="5"/>
  <c r="Q2577" i="5" s="1"/>
  <c r="B2578" i="5"/>
  <c r="J2576" i="5"/>
  <c r="K2576" i="5" s="1"/>
  <c r="J2577" i="5"/>
  <c r="K2577" i="5" s="1"/>
  <c r="J2578" i="5"/>
  <c r="K2578" i="5" s="1"/>
  <c r="T2576" i="5"/>
  <c r="T2577" i="5"/>
  <c r="T2578" i="5"/>
  <c r="B2575" i="5"/>
  <c r="M2575" i="5" s="1"/>
  <c r="J2575" i="5"/>
  <c r="K2575" i="5" s="1"/>
  <c r="T2575" i="5"/>
  <c r="B2572" i="5"/>
  <c r="M2572" i="5" s="1"/>
  <c r="B2573" i="5"/>
  <c r="Q2573" i="5" s="1"/>
  <c r="B2574" i="5"/>
  <c r="M2574" i="5" s="1"/>
  <c r="J2572" i="5"/>
  <c r="K2572" i="5" s="1"/>
  <c r="J2573" i="5"/>
  <c r="K2573" i="5" s="1"/>
  <c r="J2574" i="5"/>
  <c r="K2574" i="5" s="1"/>
  <c r="L2574" i="5" s="1"/>
  <c r="T2572" i="5"/>
  <c r="T2573" i="5"/>
  <c r="T2574" i="5"/>
  <c r="B2568" i="5"/>
  <c r="Q2568" i="5" s="1"/>
  <c r="B2569" i="5"/>
  <c r="Q2569" i="5" s="1"/>
  <c r="B2570" i="5"/>
  <c r="Q2570" i="5" s="1"/>
  <c r="B2571" i="5"/>
  <c r="M2571" i="5" s="1"/>
  <c r="J2568" i="5"/>
  <c r="K2568" i="5" s="1"/>
  <c r="J2569" i="5"/>
  <c r="K2569" i="5" s="1"/>
  <c r="L2569" i="5" s="1"/>
  <c r="J2570" i="5"/>
  <c r="K2570" i="5" s="1"/>
  <c r="L2570" i="5" s="1"/>
  <c r="J2571" i="5"/>
  <c r="T2568" i="5"/>
  <c r="T2569" i="5"/>
  <c r="T2570" i="5"/>
  <c r="T2571" i="5"/>
  <c r="B2567" i="5"/>
  <c r="M2567" i="5" s="1"/>
  <c r="J2567" i="5"/>
  <c r="K2567" i="5" s="1"/>
  <c r="T2567" i="5"/>
  <c r="B2565" i="5"/>
  <c r="Q2565" i="5" s="1"/>
  <c r="B2566" i="5"/>
  <c r="Q2566" i="5" s="1"/>
  <c r="J2565" i="5"/>
  <c r="K2565" i="5" s="1"/>
  <c r="J2566" i="5"/>
  <c r="T2565" i="5"/>
  <c r="T2566" i="5"/>
  <c r="B2562" i="5"/>
  <c r="B2563" i="5"/>
  <c r="M2563" i="5" s="1"/>
  <c r="B2564" i="5"/>
  <c r="Q2564" i="5" s="1"/>
  <c r="J2562" i="5"/>
  <c r="K2562" i="5" s="1"/>
  <c r="L2562" i="5" s="1"/>
  <c r="J2563" i="5"/>
  <c r="K2563" i="5" s="1"/>
  <c r="L2563" i="5" s="1"/>
  <c r="J2564" i="5"/>
  <c r="K2564" i="5" s="1"/>
  <c r="T2562" i="5"/>
  <c r="T2563" i="5"/>
  <c r="T2564" i="5"/>
  <c r="B2560" i="5"/>
  <c r="M2560" i="5" s="1"/>
  <c r="B2561" i="5"/>
  <c r="J2560" i="5"/>
  <c r="K2560" i="5" s="1"/>
  <c r="J2561" i="5"/>
  <c r="K2561" i="5" s="1"/>
  <c r="T2560" i="5"/>
  <c r="T2561" i="5"/>
  <c r="B2558" i="5"/>
  <c r="M2558" i="5" s="1"/>
  <c r="B2559" i="5"/>
  <c r="M2559" i="5" s="1"/>
  <c r="J2558" i="5"/>
  <c r="K2558" i="5" s="1"/>
  <c r="J2559" i="5"/>
  <c r="K2559" i="5" s="1"/>
  <c r="T2558" i="5"/>
  <c r="T2559" i="5"/>
  <c r="B2557" i="5"/>
  <c r="M2557" i="5" s="1"/>
  <c r="J2557" i="5"/>
  <c r="K2557" i="5" s="1"/>
  <c r="T2557" i="5"/>
  <c r="B2556" i="5"/>
  <c r="M2556" i="5" s="1"/>
  <c r="J2556" i="5"/>
  <c r="T2556" i="5"/>
  <c r="B2555" i="5"/>
  <c r="J2555" i="5"/>
  <c r="K2555" i="5" s="1"/>
  <c r="T2555" i="5"/>
  <c r="B2554" i="5"/>
  <c r="Q2554" i="5" s="1"/>
  <c r="J2554" i="5"/>
  <c r="K2554" i="5" s="1"/>
  <c r="T2554" i="5"/>
  <c r="B2552" i="5"/>
  <c r="M2552" i="5" s="1"/>
  <c r="B2553" i="5"/>
  <c r="M2553" i="5" s="1"/>
  <c r="J2552" i="5"/>
  <c r="J2553" i="5"/>
  <c r="K2553" i="5" s="1"/>
  <c r="L2553" i="5" s="1"/>
  <c r="T2552" i="5"/>
  <c r="T2553" i="5"/>
  <c r="B2551" i="5"/>
  <c r="J2551" i="5"/>
  <c r="K2551" i="5" s="1"/>
  <c r="T2551" i="5"/>
  <c r="B2550" i="5"/>
  <c r="J2550" i="5"/>
  <c r="K2550" i="5" s="1"/>
  <c r="T2550" i="5"/>
  <c r="B2549" i="5"/>
  <c r="J2549" i="5"/>
  <c r="K2549" i="5" s="1"/>
  <c r="T2549" i="5"/>
  <c r="B2546" i="5"/>
  <c r="M2546" i="5" s="1"/>
  <c r="B2547" i="5"/>
  <c r="M2547" i="5" s="1"/>
  <c r="B2548" i="5"/>
  <c r="Q2548" i="5" s="1"/>
  <c r="J2546" i="5"/>
  <c r="K2546" i="5" s="1"/>
  <c r="L2546" i="5" s="1"/>
  <c r="J2547" i="5"/>
  <c r="K2547" i="5" s="1"/>
  <c r="J2548" i="5"/>
  <c r="K2548" i="5" s="1"/>
  <c r="T2546" i="5"/>
  <c r="T2547" i="5"/>
  <c r="T2548" i="5"/>
  <c r="B2545" i="5"/>
  <c r="J2545" i="5"/>
  <c r="K2545" i="5" s="1"/>
  <c r="T2545" i="5"/>
  <c r="B2543" i="5"/>
  <c r="M2543" i="5" s="1"/>
  <c r="B2544" i="5"/>
  <c r="J2543" i="5"/>
  <c r="K2543" i="5" s="1"/>
  <c r="J2544" i="5"/>
  <c r="K2544" i="5" s="1"/>
  <c r="T2543" i="5"/>
  <c r="T2544" i="5"/>
  <c r="B2539" i="5"/>
  <c r="M2539" i="5" s="1"/>
  <c r="B2540" i="5"/>
  <c r="M2540" i="5" s="1"/>
  <c r="B2541" i="5"/>
  <c r="B2542" i="5"/>
  <c r="M2542" i="5" s="1"/>
  <c r="J2539" i="5"/>
  <c r="K2539" i="5" s="1"/>
  <c r="J2540" i="5"/>
  <c r="K2540" i="5" s="1"/>
  <c r="L2540" i="5" s="1"/>
  <c r="J2541" i="5"/>
  <c r="K2541" i="5" s="1"/>
  <c r="L2541" i="5" s="1"/>
  <c r="J2542" i="5"/>
  <c r="T2539" i="5"/>
  <c r="T2540" i="5"/>
  <c r="T2541" i="5"/>
  <c r="T2542" i="5"/>
  <c r="B2538" i="5"/>
  <c r="Q2538" i="5" s="1"/>
  <c r="J2538" i="5"/>
  <c r="K2538" i="5" s="1"/>
  <c r="L2538" i="5" s="1"/>
  <c r="P2538" i="5" s="1"/>
  <c r="T2538" i="5"/>
  <c r="B2535" i="5"/>
  <c r="Q2535" i="5" s="1"/>
  <c r="B2536" i="5"/>
  <c r="M2536" i="5" s="1"/>
  <c r="B2537" i="5"/>
  <c r="M2537" i="5" s="1"/>
  <c r="J2535" i="5"/>
  <c r="K2535" i="5" s="1"/>
  <c r="J2536" i="5"/>
  <c r="K2536" i="5" s="1"/>
  <c r="L2536" i="5" s="1"/>
  <c r="J2537" i="5"/>
  <c r="K2537" i="5" s="1"/>
  <c r="L2537" i="5" s="1"/>
  <c r="T2535" i="5"/>
  <c r="T2536" i="5"/>
  <c r="T2537" i="5"/>
  <c r="B2532" i="5"/>
  <c r="Q2532" i="5" s="1"/>
  <c r="B2533" i="5"/>
  <c r="Q2533" i="5" s="1"/>
  <c r="B2534" i="5"/>
  <c r="Q2534" i="5" s="1"/>
  <c r="J2532" i="5"/>
  <c r="J2533" i="5"/>
  <c r="K2533" i="5" s="1"/>
  <c r="L2533" i="5" s="1"/>
  <c r="J2534" i="5"/>
  <c r="K2534" i="5" s="1"/>
  <c r="L2534" i="5" s="1"/>
  <c r="T2532" i="5"/>
  <c r="T2533" i="5"/>
  <c r="T2534" i="5"/>
  <c r="B2530" i="5"/>
  <c r="M2530" i="5" s="1"/>
  <c r="B2531" i="5"/>
  <c r="M2531" i="5" s="1"/>
  <c r="J2530" i="5"/>
  <c r="K2530" i="5" s="1"/>
  <c r="J2531" i="5"/>
  <c r="T2530" i="5"/>
  <c r="T2531" i="5"/>
  <c r="B2526" i="5"/>
  <c r="M2526" i="5" s="1"/>
  <c r="B2527" i="5"/>
  <c r="M2527" i="5" s="1"/>
  <c r="B2528" i="5"/>
  <c r="M2528" i="5" s="1"/>
  <c r="B2529" i="5"/>
  <c r="J2526" i="5"/>
  <c r="K2526" i="5" s="1"/>
  <c r="L2526" i="5" s="1"/>
  <c r="J2527" i="5"/>
  <c r="J2528" i="5"/>
  <c r="K2528" i="5" s="1"/>
  <c r="J2529" i="5"/>
  <c r="K2529" i="5" s="1"/>
  <c r="T2526" i="5"/>
  <c r="T2527" i="5"/>
  <c r="T2528" i="5"/>
  <c r="T2529" i="5"/>
  <c r="B2523" i="5"/>
  <c r="Q2523" i="5" s="1"/>
  <c r="B2524" i="5"/>
  <c r="M2524" i="5" s="1"/>
  <c r="B2525" i="5"/>
  <c r="M2525" i="5" s="1"/>
  <c r="J2523" i="5"/>
  <c r="K2523" i="5" s="1"/>
  <c r="J2524" i="5"/>
  <c r="K2524" i="5" s="1"/>
  <c r="L2524" i="5" s="1"/>
  <c r="J2525" i="5"/>
  <c r="K2525" i="5" s="1"/>
  <c r="L2525" i="5" s="1"/>
  <c r="T2523" i="5"/>
  <c r="T2524" i="5"/>
  <c r="T2525" i="5"/>
  <c r="B2522" i="5"/>
  <c r="M2522" i="5" s="1"/>
  <c r="J2522" i="5"/>
  <c r="K2522" i="5" s="1"/>
  <c r="T2522" i="5"/>
  <c r="B2520" i="5"/>
  <c r="B2521" i="5"/>
  <c r="Q2521" i="5" s="1"/>
  <c r="J2520" i="5"/>
  <c r="K2520" i="5" s="1"/>
  <c r="J2521" i="5"/>
  <c r="K2521" i="5" s="1"/>
  <c r="T2520" i="5"/>
  <c r="T2521" i="5"/>
  <c r="B2519" i="5"/>
  <c r="M2519" i="5" s="1"/>
  <c r="J2519" i="5"/>
  <c r="K2519" i="5" s="1"/>
  <c r="T2519" i="5"/>
  <c r="B2517" i="5"/>
  <c r="M2517" i="5" s="1"/>
  <c r="B2518" i="5"/>
  <c r="Q2518" i="5" s="1"/>
  <c r="J2517" i="5"/>
  <c r="K2517" i="5" s="1"/>
  <c r="J2518" i="5"/>
  <c r="K2518" i="5" s="1"/>
  <c r="T2517" i="5"/>
  <c r="T2518" i="5"/>
  <c r="B2516" i="5"/>
  <c r="Q2516" i="5" s="1"/>
  <c r="J2516" i="5"/>
  <c r="K2516" i="5" s="1"/>
  <c r="T2516" i="5"/>
  <c r="B2515" i="5"/>
  <c r="Q2515" i="5" s="1"/>
  <c r="J2515" i="5"/>
  <c r="T2515" i="5"/>
  <c r="B2513" i="5"/>
  <c r="M2513" i="5" s="1"/>
  <c r="B2514" i="5"/>
  <c r="M2514" i="5" s="1"/>
  <c r="J2513" i="5"/>
  <c r="J2514" i="5"/>
  <c r="K2514" i="5" s="1"/>
  <c r="T2513" i="5"/>
  <c r="T2514" i="5"/>
  <c r="B2511" i="5"/>
  <c r="M2511" i="5" s="1"/>
  <c r="B2512" i="5"/>
  <c r="M2512" i="5" s="1"/>
  <c r="J2511" i="5"/>
  <c r="K2511" i="5" s="1"/>
  <c r="J2512" i="5"/>
  <c r="K2512" i="5" s="1"/>
  <c r="T2511" i="5"/>
  <c r="T2512" i="5"/>
  <c r="B2510" i="5"/>
  <c r="Q2510" i="5" s="1"/>
  <c r="J2510" i="5"/>
  <c r="K2510" i="5" s="1"/>
  <c r="T2510" i="5"/>
  <c r="B2505" i="5"/>
  <c r="Q2505" i="5" s="1"/>
  <c r="B2506" i="5"/>
  <c r="Q2506" i="5" s="1"/>
  <c r="B2507" i="5"/>
  <c r="Q2507" i="5" s="1"/>
  <c r="B2508" i="5"/>
  <c r="M2508" i="5" s="1"/>
  <c r="B2509" i="5"/>
  <c r="Q2509" i="5" s="1"/>
  <c r="J2505" i="5"/>
  <c r="K2505" i="5" s="1"/>
  <c r="L2505" i="5" s="1"/>
  <c r="P2505" i="5" s="1"/>
  <c r="J2506" i="5"/>
  <c r="K2506" i="5" s="1"/>
  <c r="J2507" i="5"/>
  <c r="K2507" i="5" s="1"/>
  <c r="J2508" i="5"/>
  <c r="K2508" i="5" s="1"/>
  <c r="J2509" i="5"/>
  <c r="K2509" i="5" s="1"/>
  <c r="L2509" i="5" s="1"/>
  <c r="P2509" i="5" s="1"/>
  <c r="T2505" i="5"/>
  <c r="T2506" i="5"/>
  <c r="T2507" i="5"/>
  <c r="T2508" i="5"/>
  <c r="T2509" i="5"/>
  <c r="B2504" i="5"/>
  <c r="Q2504" i="5" s="1"/>
  <c r="J2504" i="5"/>
  <c r="T2504" i="5"/>
  <c r="B2502" i="5"/>
  <c r="M2502" i="5" s="1"/>
  <c r="B2503" i="5"/>
  <c r="M2503" i="5" s="1"/>
  <c r="J2502" i="5"/>
  <c r="J2503" i="5"/>
  <c r="K2503" i="5" s="1"/>
  <c r="T2502" i="5"/>
  <c r="T2503" i="5"/>
  <c r="B2500" i="5"/>
  <c r="Q2500" i="5" s="1"/>
  <c r="B2501" i="5"/>
  <c r="Q2501" i="5" s="1"/>
  <c r="J2500" i="5"/>
  <c r="K2500" i="5" s="1"/>
  <c r="J2501" i="5"/>
  <c r="K2501" i="5" s="1"/>
  <c r="L2501" i="5" s="1"/>
  <c r="T2500" i="5"/>
  <c r="T2501" i="5"/>
  <c r="B2499" i="5"/>
  <c r="M2499" i="5" s="1"/>
  <c r="J2499" i="5"/>
  <c r="K2499" i="5" s="1"/>
  <c r="T2499" i="5"/>
  <c r="B2497" i="5"/>
  <c r="Q2497" i="5" s="1"/>
  <c r="B2498" i="5"/>
  <c r="M2498" i="5" s="1"/>
  <c r="J2497" i="5"/>
  <c r="K2497" i="5" s="1"/>
  <c r="J2498" i="5"/>
  <c r="K2498" i="5" s="1"/>
  <c r="T2497" i="5"/>
  <c r="T2498" i="5"/>
  <c r="B2493" i="5"/>
  <c r="M2493" i="5" s="1"/>
  <c r="B2494" i="5"/>
  <c r="M2494" i="5" s="1"/>
  <c r="B2495" i="5"/>
  <c r="Q2495" i="5" s="1"/>
  <c r="B2496" i="5"/>
  <c r="Q2496" i="5" s="1"/>
  <c r="J2493" i="5"/>
  <c r="J2494" i="5"/>
  <c r="K2494" i="5" s="1"/>
  <c r="L2494" i="5" s="1"/>
  <c r="P2494" i="5" s="1"/>
  <c r="J2495" i="5"/>
  <c r="K2495" i="5" s="1"/>
  <c r="J2496" i="5"/>
  <c r="K2496" i="5" s="1"/>
  <c r="T2493" i="5"/>
  <c r="T2494" i="5"/>
  <c r="T2495" i="5"/>
  <c r="T2496" i="5"/>
  <c r="B2492" i="5"/>
  <c r="J2492" i="5"/>
  <c r="T2492" i="5"/>
  <c r="B2490" i="5"/>
  <c r="Q2490" i="5" s="1"/>
  <c r="B2491" i="5"/>
  <c r="M2491" i="5" s="1"/>
  <c r="J2490" i="5"/>
  <c r="K2490" i="5" s="1"/>
  <c r="J2491" i="5"/>
  <c r="T2490" i="5"/>
  <c r="T2491" i="5"/>
  <c r="B2486" i="5"/>
  <c r="M2486" i="5" s="1"/>
  <c r="B2487" i="5"/>
  <c r="Q2487" i="5" s="1"/>
  <c r="B2488" i="5"/>
  <c r="Q2488" i="5" s="1"/>
  <c r="B2489" i="5"/>
  <c r="Q2489" i="5" s="1"/>
  <c r="J2486" i="5"/>
  <c r="K2486" i="5" s="1"/>
  <c r="J2487" i="5"/>
  <c r="J2488" i="5"/>
  <c r="K2488" i="5" s="1"/>
  <c r="L2488" i="5" s="1"/>
  <c r="P2488" i="5" s="1"/>
  <c r="J2489" i="5"/>
  <c r="K2489" i="5" s="1"/>
  <c r="T2486" i="5"/>
  <c r="T2487" i="5"/>
  <c r="T2488" i="5"/>
  <c r="T2489" i="5"/>
  <c r="B2485" i="5"/>
  <c r="J2485" i="5"/>
  <c r="K2485" i="5" s="1"/>
  <c r="L2485" i="5" s="1"/>
  <c r="T2485" i="5"/>
  <c r="B2481" i="5"/>
  <c r="Q2481" i="5" s="1"/>
  <c r="B2482" i="5"/>
  <c r="M2482" i="5" s="1"/>
  <c r="B2483" i="5"/>
  <c r="Q2483" i="5" s="1"/>
  <c r="B2484" i="5"/>
  <c r="M2484" i="5" s="1"/>
  <c r="J2481" i="5"/>
  <c r="K2481" i="5" s="1"/>
  <c r="J2482" i="5"/>
  <c r="K2482" i="5" s="1"/>
  <c r="L2482" i="5" s="1"/>
  <c r="J2483" i="5"/>
  <c r="J2484" i="5"/>
  <c r="K2484" i="5" s="1"/>
  <c r="T2481" i="5"/>
  <c r="T2482" i="5"/>
  <c r="T2483" i="5"/>
  <c r="T2484" i="5"/>
  <c r="B2478" i="5"/>
  <c r="M2478" i="5" s="1"/>
  <c r="B2479" i="5"/>
  <c r="B2480" i="5"/>
  <c r="Q2480" i="5" s="1"/>
  <c r="J2478" i="5"/>
  <c r="K2478" i="5" s="1"/>
  <c r="J2479" i="5"/>
  <c r="K2479" i="5" s="1"/>
  <c r="J2480" i="5"/>
  <c r="T2478" i="5"/>
  <c r="T2479" i="5"/>
  <c r="T2480" i="5"/>
  <c r="B2474" i="5"/>
  <c r="M2474" i="5" s="1"/>
  <c r="B2475" i="5"/>
  <c r="Q2475" i="5" s="1"/>
  <c r="B2476" i="5"/>
  <c r="Q2476" i="5" s="1"/>
  <c r="B2477" i="5"/>
  <c r="M2477" i="5" s="1"/>
  <c r="J2474" i="5"/>
  <c r="J2475" i="5"/>
  <c r="K2475" i="5" s="1"/>
  <c r="J2476" i="5"/>
  <c r="K2476" i="5" s="1"/>
  <c r="L2476" i="5" s="1"/>
  <c r="P2476" i="5" s="1"/>
  <c r="J2477" i="5"/>
  <c r="K2477" i="5" s="1"/>
  <c r="T2474" i="5"/>
  <c r="T2475" i="5"/>
  <c r="T2476" i="5"/>
  <c r="T2477" i="5"/>
  <c r="B2472" i="5"/>
  <c r="B2473" i="5"/>
  <c r="M2473" i="5" s="1"/>
  <c r="J2472" i="5"/>
  <c r="K2472" i="5" s="1"/>
  <c r="J2473" i="5"/>
  <c r="T2472" i="5"/>
  <c r="T2473" i="5"/>
  <c r="B2471" i="5"/>
  <c r="M2471" i="5" s="1"/>
  <c r="J2471" i="5"/>
  <c r="T2471" i="5"/>
  <c r="B2468" i="5"/>
  <c r="Q2468" i="5" s="1"/>
  <c r="B2469" i="5"/>
  <c r="Q2469" i="5" s="1"/>
  <c r="B2470" i="5"/>
  <c r="Q2470" i="5" s="1"/>
  <c r="J2468" i="5"/>
  <c r="K2468" i="5" s="1"/>
  <c r="J2469" i="5"/>
  <c r="K2469" i="5" s="1"/>
  <c r="J2470" i="5"/>
  <c r="T2468" i="5"/>
  <c r="T2469" i="5"/>
  <c r="T2470" i="5"/>
  <c r="B2467" i="5"/>
  <c r="M2467" i="5" s="1"/>
  <c r="J2467" i="5"/>
  <c r="K2467" i="5" s="1"/>
  <c r="L2467" i="5" s="1"/>
  <c r="T2467" i="5"/>
  <c r="B2464" i="5"/>
  <c r="M2464" i="5" s="1"/>
  <c r="B2465" i="5"/>
  <c r="B2466" i="5"/>
  <c r="M2466" i="5" s="1"/>
  <c r="J2464" i="5"/>
  <c r="K2464" i="5" s="1"/>
  <c r="J2465" i="5"/>
  <c r="K2465" i="5" s="1"/>
  <c r="J2466" i="5"/>
  <c r="K2466" i="5" s="1"/>
  <c r="L2466" i="5" s="1"/>
  <c r="T2464" i="5"/>
  <c r="T2465" i="5"/>
  <c r="T2466" i="5"/>
  <c r="B2461" i="5"/>
  <c r="M2461" i="5" s="1"/>
  <c r="B2462" i="5"/>
  <c r="Q2462" i="5" s="1"/>
  <c r="B2463" i="5"/>
  <c r="M2463" i="5" s="1"/>
  <c r="J2461" i="5"/>
  <c r="K2461" i="5" s="1"/>
  <c r="J2462" i="5"/>
  <c r="K2462" i="5" s="1"/>
  <c r="L2462" i="5" s="1"/>
  <c r="J2463" i="5"/>
  <c r="K2463" i="5" s="1"/>
  <c r="L2463" i="5" s="1"/>
  <c r="T2461" i="5"/>
  <c r="T2462" i="5"/>
  <c r="T2463" i="5"/>
  <c r="B2459" i="5"/>
  <c r="M2459" i="5" s="1"/>
  <c r="B2460" i="5"/>
  <c r="M2460" i="5" s="1"/>
  <c r="J2459" i="5"/>
  <c r="K2459" i="5" s="1"/>
  <c r="J2460" i="5"/>
  <c r="T2459" i="5"/>
  <c r="T2460" i="5"/>
  <c r="B2456" i="5"/>
  <c r="Q2456" i="5" s="1"/>
  <c r="B2457" i="5"/>
  <c r="B2458" i="5"/>
  <c r="M2458" i="5" s="1"/>
  <c r="J2456" i="5"/>
  <c r="K2456" i="5" s="1"/>
  <c r="L2456" i="5" s="1"/>
  <c r="J2457" i="5"/>
  <c r="K2457" i="5" s="1"/>
  <c r="J2458" i="5"/>
  <c r="T2456" i="5"/>
  <c r="T2457" i="5"/>
  <c r="T2458" i="5"/>
  <c r="B2454" i="5"/>
  <c r="M2454" i="5" s="1"/>
  <c r="B2455" i="5"/>
  <c r="M2455" i="5" s="1"/>
  <c r="J2454" i="5"/>
  <c r="J2455" i="5"/>
  <c r="K2455" i="5" s="1"/>
  <c r="T2454" i="5"/>
  <c r="T2455" i="5"/>
  <c r="B2452" i="5"/>
  <c r="B2453" i="5"/>
  <c r="M2453" i="5" s="1"/>
  <c r="J2452" i="5"/>
  <c r="K2452" i="5" s="1"/>
  <c r="L2452" i="5" s="1"/>
  <c r="J2453" i="5"/>
  <c r="K2453" i="5" s="1"/>
  <c r="T2452" i="5"/>
  <c r="T2453" i="5"/>
  <c r="B2451" i="5"/>
  <c r="M2451" i="5" s="1"/>
  <c r="J2451" i="5"/>
  <c r="K2451" i="5" s="1"/>
  <c r="L2451" i="5" s="1"/>
  <c r="T2451" i="5"/>
  <c r="B2449" i="5"/>
  <c r="Q2449" i="5" s="1"/>
  <c r="B2450" i="5"/>
  <c r="J2449" i="5"/>
  <c r="K2449" i="5" s="1"/>
  <c r="L2449" i="5" s="1"/>
  <c r="J2450" i="5"/>
  <c r="K2450" i="5" s="1"/>
  <c r="T2449" i="5"/>
  <c r="T2450" i="5"/>
  <c r="B2445" i="5"/>
  <c r="Q2445" i="5" s="1"/>
  <c r="B2446" i="5"/>
  <c r="M2446" i="5" s="1"/>
  <c r="B2447" i="5"/>
  <c r="Q2447" i="5" s="1"/>
  <c r="B2448" i="5"/>
  <c r="Q2448" i="5" s="1"/>
  <c r="J2445" i="5"/>
  <c r="J2446" i="5"/>
  <c r="K2446" i="5" s="1"/>
  <c r="J2447" i="5"/>
  <c r="K2447" i="5" s="1"/>
  <c r="J2448" i="5"/>
  <c r="K2448" i="5" s="1"/>
  <c r="T2445" i="5"/>
  <c r="T2446" i="5"/>
  <c r="T2447" i="5"/>
  <c r="T2448" i="5"/>
  <c r="B2444" i="5"/>
  <c r="M2444" i="5" s="1"/>
  <c r="J2444" i="5"/>
  <c r="T2444" i="5"/>
  <c r="B2442" i="5"/>
  <c r="B2443" i="5"/>
  <c r="M2443" i="5" s="1"/>
  <c r="J2442" i="5"/>
  <c r="J2443" i="5"/>
  <c r="K2443" i="5" s="1"/>
  <c r="T2442" i="5"/>
  <c r="T2443" i="5"/>
  <c r="B2441" i="5"/>
  <c r="M2441" i="5" s="1"/>
  <c r="J2441" i="5"/>
  <c r="T2441" i="5"/>
  <c r="B2440" i="5"/>
  <c r="M2440" i="5" s="1"/>
  <c r="J2440" i="5"/>
  <c r="K2440" i="5" s="1"/>
  <c r="L2440" i="5" s="1"/>
  <c r="P2440" i="5" s="1"/>
  <c r="T2440" i="5"/>
  <c r="B2438" i="5"/>
  <c r="M2438" i="5" s="1"/>
  <c r="B2439" i="5"/>
  <c r="M2439" i="5" s="1"/>
  <c r="J2438" i="5"/>
  <c r="K2438" i="5" s="1"/>
  <c r="J2439" i="5"/>
  <c r="T2438" i="5"/>
  <c r="T2439" i="5"/>
  <c r="B2436" i="5"/>
  <c r="B2437" i="5"/>
  <c r="M2437" i="5" s="1"/>
  <c r="J2436" i="5"/>
  <c r="J2437" i="5"/>
  <c r="K2437" i="5" s="1"/>
  <c r="T2436" i="5"/>
  <c r="T2437" i="5"/>
  <c r="B2435" i="5"/>
  <c r="Q2435" i="5" s="1"/>
  <c r="J2435" i="5"/>
  <c r="T2435" i="5"/>
  <c r="B2431" i="5"/>
  <c r="Q2431" i="5" s="1"/>
  <c r="B2432" i="5"/>
  <c r="Q2432" i="5" s="1"/>
  <c r="B2433" i="5"/>
  <c r="Q2433" i="5" s="1"/>
  <c r="B2434" i="5"/>
  <c r="Q2434" i="5" s="1"/>
  <c r="J2431" i="5"/>
  <c r="K2431" i="5" s="1"/>
  <c r="J2432" i="5"/>
  <c r="J2433" i="5"/>
  <c r="K2433" i="5" s="1"/>
  <c r="J2434" i="5"/>
  <c r="K2434" i="5" s="1"/>
  <c r="T2431" i="5"/>
  <c r="T2432" i="5"/>
  <c r="T2433" i="5"/>
  <c r="T2434" i="5"/>
  <c r="B2430" i="5"/>
  <c r="Q2430" i="5" s="1"/>
  <c r="J2430" i="5"/>
  <c r="K2430" i="5" s="1"/>
  <c r="T2430" i="5"/>
  <c r="B2428" i="5"/>
  <c r="Q2428" i="5" s="1"/>
  <c r="B2429" i="5"/>
  <c r="Q2429" i="5" s="1"/>
  <c r="J2428" i="5"/>
  <c r="K2428" i="5" s="1"/>
  <c r="L2428" i="5" s="1"/>
  <c r="P2428" i="5" s="1"/>
  <c r="J2429" i="5"/>
  <c r="K2429" i="5" s="1"/>
  <c r="L2429" i="5" s="1"/>
  <c r="T2428" i="5"/>
  <c r="T2429" i="5"/>
  <c r="B2426" i="5"/>
  <c r="M2426" i="5" s="1"/>
  <c r="B2427" i="5"/>
  <c r="Q2427" i="5" s="1"/>
  <c r="J2426" i="5"/>
  <c r="K2426" i="5" s="1"/>
  <c r="J2427" i="5"/>
  <c r="T2426" i="5"/>
  <c r="T2427" i="5"/>
  <c r="B2422" i="5"/>
  <c r="M2422" i="5" s="1"/>
  <c r="B2423" i="5"/>
  <c r="B2424" i="5"/>
  <c r="Q2424" i="5" s="1"/>
  <c r="B2425" i="5"/>
  <c r="Q2425" i="5" s="1"/>
  <c r="J2422" i="5"/>
  <c r="K2422" i="5" s="1"/>
  <c r="J2423" i="5"/>
  <c r="J2424" i="5"/>
  <c r="K2424" i="5" s="1"/>
  <c r="J2425" i="5"/>
  <c r="K2425" i="5" s="1"/>
  <c r="T2422" i="5"/>
  <c r="T2423" i="5"/>
  <c r="T2424" i="5"/>
  <c r="T2425" i="5"/>
  <c r="B2420" i="5"/>
  <c r="M2420" i="5" s="1"/>
  <c r="B2421" i="5"/>
  <c r="Q2421" i="5" s="1"/>
  <c r="J2420" i="5"/>
  <c r="K2420" i="5" s="1"/>
  <c r="J2421" i="5"/>
  <c r="T2420" i="5"/>
  <c r="T2421" i="5"/>
  <c r="B2418" i="5"/>
  <c r="M2418" i="5" s="1"/>
  <c r="B2419" i="5"/>
  <c r="M2419" i="5" s="1"/>
  <c r="J2418" i="5"/>
  <c r="K2418" i="5" s="1"/>
  <c r="L2418" i="5" s="1"/>
  <c r="P2418" i="5" s="1"/>
  <c r="J2419" i="5"/>
  <c r="T2418" i="5"/>
  <c r="T2419" i="5"/>
  <c r="B2417" i="5"/>
  <c r="Q2417" i="5" s="1"/>
  <c r="J2417" i="5"/>
  <c r="K2417" i="5" s="1"/>
  <c r="T2417" i="5"/>
  <c r="B2416" i="5"/>
  <c r="Q2416" i="5" s="1"/>
  <c r="J2416" i="5"/>
  <c r="K2416" i="5" s="1"/>
  <c r="L2416" i="5" s="1"/>
  <c r="T2416" i="5"/>
  <c r="B2411" i="5"/>
  <c r="M2411" i="5" s="1"/>
  <c r="B2412" i="5"/>
  <c r="Q2412" i="5" s="1"/>
  <c r="B2413" i="5"/>
  <c r="Q2413" i="5" s="1"/>
  <c r="B2414" i="5"/>
  <c r="M2414" i="5" s="1"/>
  <c r="B2415" i="5"/>
  <c r="M2415" i="5" s="1"/>
  <c r="J2411" i="5"/>
  <c r="K2411" i="5" s="1"/>
  <c r="J2412" i="5"/>
  <c r="K2412" i="5" s="1"/>
  <c r="J2413" i="5"/>
  <c r="J2414" i="5"/>
  <c r="K2414" i="5" s="1"/>
  <c r="L2414" i="5" s="1"/>
  <c r="J2415" i="5"/>
  <c r="T2411" i="5"/>
  <c r="T2412" i="5"/>
  <c r="T2413" i="5"/>
  <c r="T2414" i="5"/>
  <c r="T2415" i="5"/>
  <c r="B2409" i="5"/>
  <c r="M2409" i="5" s="1"/>
  <c r="B2410" i="5"/>
  <c r="Q2410" i="5" s="1"/>
  <c r="J2409" i="5"/>
  <c r="K2409" i="5" s="1"/>
  <c r="J2410" i="5"/>
  <c r="K2410" i="5" s="1"/>
  <c r="T2409" i="5"/>
  <c r="T2410" i="5"/>
  <c r="B2408" i="5"/>
  <c r="Q2408" i="5" s="1"/>
  <c r="J2408" i="5"/>
  <c r="T2408" i="5"/>
  <c r="B2406" i="5"/>
  <c r="M2406" i="5" s="1"/>
  <c r="B2407" i="5"/>
  <c r="Q2407" i="5" s="1"/>
  <c r="J2406" i="5"/>
  <c r="K2406" i="5" s="1"/>
  <c r="L2406" i="5" s="1"/>
  <c r="J2407" i="5"/>
  <c r="K2407" i="5" s="1"/>
  <c r="T2406" i="5"/>
  <c r="T2407" i="5"/>
  <c r="B2402" i="5"/>
  <c r="M2402" i="5" s="1"/>
  <c r="B2403" i="5"/>
  <c r="M2403" i="5" s="1"/>
  <c r="B2404" i="5"/>
  <c r="Q2404" i="5" s="1"/>
  <c r="B2405" i="5"/>
  <c r="Q2405" i="5" s="1"/>
  <c r="J2402" i="5"/>
  <c r="J2403" i="5"/>
  <c r="J2404" i="5"/>
  <c r="K2404" i="5" s="1"/>
  <c r="J2405" i="5"/>
  <c r="K2405" i="5" s="1"/>
  <c r="T2402" i="5"/>
  <c r="T2403" i="5"/>
  <c r="T2404" i="5"/>
  <c r="T2405" i="5"/>
  <c r="B2399" i="5"/>
  <c r="M2399" i="5" s="1"/>
  <c r="B2400" i="5"/>
  <c r="Q2400" i="5" s="1"/>
  <c r="B2401" i="5"/>
  <c r="Q2401" i="5" s="1"/>
  <c r="J2399" i="5"/>
  <c r="K2399" i="5" s="1"/>
  <c r="J2400" i="5"/>
  <c r="K2400" i="5" s="1"/>
  <c r="J2401" i="5"/>
  <c r="K2401" i="5" s="1"/>
  <c r="T2399" i="5"/>
  <c r="T2400" i="5"/>
  <c r="T2401" i="5"/>
  <c r="B2395" i="5"/>
  <c r="M2395" i="5" s="1"/>
  <c r="B2396" i="5"/>
  <c r="Q2396" i="5" s="1"/>
  <c r="B2397" i="5"/>
  <c r="M2397" i="5" s="1"/>
  <c r="B2398" i="5"/>
  <c r="M2398" i="5" s="1"/>
  <c r="J2395" i="5"/>
  <c r="K2395" i="5" s="1"/>
  <c r="L2395" i="5" s="1"/>
  <c r="P2395" i="5" s="1"/>
  <c r="J2396" i="5"/>
  <c r="J2397" i="5"/>
  <c r="J2398" i="5"/>
  <c r="K2398" i="5" s="1"/>
  <c r="T2395" i="5"/>
  <c r="T2396" i="5"/>
  <c r="T2397" i="5"/>
  <c r="T2398" i="5"/>
  <c r="B2390" i="5"/>
  <c r="Q2390" i="5" s="1"/>
  <c r="B2391" i="5"/>
  <c r="Q2391" i="5" s="1"/>
  <c r="B2392" i="5"/>
  <c r="Q2392" i="5" s="1"/>
  <c r="B2393" i="5"/>
  <c r="Q2393" i="5" s="1"/>
  <c r="B2394" i="5"/>
  <c r="M2394" i="5" s="1"/>
  <c r="J2390" i="5"/>
  <c r="K2390" i="5" s="1"/>
  <c r="L2390" i="5" s="1"/>
  <c r="J2391" i="5"/>
  <c r="J2392" i="5"/>
  <c r="K2392" i="5" s="1"/>
  <c r="L2392" i="5" s="1"/>
  <c r="P2392" i="5" s="1"/>
  <c r="J2393" i="5"/>
  <c r="J2394" i="5"/>
  <c r="K2394" i="5" s="1"/>
  <c r="T2390" i="5"/>
  <c r="T2391" i="5"/>
  <c r="T2392" i="5"/>
  <c r="T2393" i="5"/>
  <c r="T2394" i="5"/>
  <c r="B2387" i="5"/>
  <c r="M2387" i="5" s="1"/>
  <c r="B2388" i="5"/>
  <c r="M2388" i="5" s="1"/>
  <c r="B2389" i="5"/>
  <c r="Q2389" i="5" s="1"/>
  <c r="J2387" i="5"/>
  <c r="K2387" i="5" s="1"/>
  <c r="L2387" i="5" s="1"/>
  <c r="J2388" i="5"/>
  <c r="K2388" i="5" s="1"/>
  <c r="J2389" i="5"/>
  <c r="K2389" i="5" s="1"/>
  <c r="T2387" i="5"/>
  <c r="T2388" i="5"/>
  <c r="T2389" i="5"/>
  <c r="B2384" i="5"/>
  <c r="Q2384" i="5" s="1"/>
  <c r="B2385" i="5"/>
  <c r="Q2385" i="5" s="1"/>
  <c r="B2386" i="5"/>
  <c r="M2386" i="5" s="1"/>
  <c r="J2384" i="5"/>
  <c r="K2384" i="5" s="1"/>
  <c r="L2384" i="5" s="1"/>
  <c r="J2385" i="5"/>
  <c r="K2385" i="5" s="1"/>
  <c r="J2386" i="5"/>
  <c r="K2386" i="5" s="1"/>
  <c r="T2384" i="5"/>
  <c r="T2385" i="5"/>
  <c r="T2386" i="5"/>
  <c r="B2381" i="5"/>
  <c r="M2381" i="5" s="1"/>
  <c r="B2382" i="5"/>
  <c r="Q2382" i="5" s="1"/>
  <c r="B2383" i="5"/>
  <c r="Q2383" i="5" s="1"/>
  <c r="J2381" i="5"/>
  <c r="K2381" i="5" s="1"/>
  <c r="L2381" i="5" s="1"/>
  <c r="J2382" i="5"/>
  <c r="K2382" i="5" s="1"/>
  <c r="J2383" i="5"/>
  <c r="K2383" i="5" s="1"/>
  <c r="T2381" i="5"/>
  <c r="T2382" i="5"/>
  <c r="T2383" i="5"/>
  <c r="B2380" i="5"/>
  <c r="M2380" i="5" s="1"/>
  <c r="J2380" i="5"/>
  <c r="K2380" i="5" s="1"/>
  <c r="T2380" i="5"/>
  <c r="B2379" i="5"/>
  <c r="M2379" i="5" s="1"/>
  <c r="J2379" i="5"/>
  <c r="K2379" i="5" s="1"/>
  <c r="L2379" i="5" s="1"/>
  <c r="T2379" i="5"/>
  <c r="B2377" i="5"/>
  <c r="M2377" i="5" s="1"/>
  <c r="B2378" i="5"/>
  <c r="Q2378" i="5" s="1"/>
  <c r="J2377" i="5"/>
  <c r="K2377" i="5" s="1"/>
  <c r="J2378" i="5"/>
  <c r="K2378" i="5" s="1"/>
  <c r="T2377" i="5"/>
  <c r="T2378" i="5"/>
  <c r="B2375" i="5"/>
  <c r="M2375" i="5" s="1"/>
  <c r="B2376" i="5"/>
  <c r="M2376" i="5" s="1"/>
  <c r="J2375" i="5"/>
  <c r="J2376" i="5"/>
  <c r="T2375" i="5"/>
  <c r="T2376" i="5"/>
  <c r="B2373" i="5"/>
  <c r="Q2373" i="5" s="1"/>
  <c r="B2374" i="5"/>
  <c r="M2374" i="5" s="1"/>
  <c r="J2373" i="5"/>
  <c r="K2373" i="5" s="1"/>
  <c r="J2374" i="5"/>
  <c r="K2374" i="5" s="1"/>
  <c r="T2373" i="5"/>
  <c r="T2374" i="5"/>
  <c r="B2370" i="5"/>
  <c r="M2370" i="5" s="1"/>
  <c r="B2371" i="5"/>
  <c r="Q2371" i="5" s="1"/>
  <c r="B2372" i="5"/>
  <c r="Q2372" i="5" s="1"/>
  <c r="J2370" i="5"/>
  <c r="K2370" i="5" s="1"/>
  <c r="J2371" i="5"/>
  <c r="K2371" i="5" s="1"/>
  <c r="J2372" i="5"/>
  <c r="K2372" i="5" s="1"/>
  <c r="L2372" i="5" s="1"/>
  <c r="T2370" i="5"/>
  <c r="T2371" i="5"/>
  <c r="T2372" i="5"/>
  <c r="B2368" i="5"/>
  <c r="Q2368" i="5" s="1"/>
  <c r="B2369" i="5"/>
  <c r="M2369" i="5" s="1"/>
  <c r="J2368" i="5"/>
  <c r="K2368" i="5" s="1"/>
  <c r="J2369" i="5"/>
  <c r="K2369" i="5" s="1"/>
  <c r="L2369" i="5" s="1"/>
  <c r="T2368" i="5"/>
  <c r="T2369" i="5"/>
  <c r="B2365" i="5"/>
  <c r="M2365" i="5" s="1"/>
  <c r="B2366" i="5"/>
  <c r="M2366" i="5" s="1"/>
  <c r="B2367" i="5"/>
  <c r="M2367" i="5" s="1"/>
  <c r="J2365" i="5"/>
  <c r="K2365" i="5" s="1"/>
  <c r="J2366" i="5"/>
  <c r="K2366" i="5" s="1"/>
  <c r="J2367" i="5"/>
  <c r="K2367" i="5" s="1"/>
  <c r="T2365" i="5"/>
  <c r="T2366" i="5"/>
  <c r="T2367" i="5"/>
  <c r="B2362" i="5"/>
  <c r="Q2362" i="5" s="1"/>
  <c r="B2363" i="5"/>
  <c r="M2363" i="5" s="1"/>
  <c r="B2364" i="5"/>
  <c r="M2364" i="5" s="1"/>
  <c r="J2362" i="5"/>
  <c r="K2362" i="5" s="1"/>
  <c r="J2363" i="5"/>
  <c r="K2363" i="5" s="1"/>
  <c r="J2364" i="5"/>
  <c r="K2364" i="5" s="1"/>
  <c r="T2362" i="5"/>
  <c r="T2363" i="5"/>
  <c r="T2364" i="5"/>
  <c r="B2358" i="5"/>
  <c r="M2358" i="5" s="1"/>
  <c r="B2359" i="5"/>
  <c r="Q2359" i="5" s="1"/>
  <c r="B2360" i="5"/>
  <c r="M2360" i="5" s="1"/>
  <c r="B2361" i="5"/>
  <c r="Q2361" i="5" s="1"/>
  <c r="J2358" i="5"/>
  <c r="K2358" i="5" s="1"/>
  <c r="J2359" i="5"/>
  <c r="K2359" i="5" s="1"/>
  <c r="J2360" i="5"/>
  <c r="K2360" i="5" s="1"/>
  <c r="L2360" i="5" s="1"/>
  <c r="J2361" i="5"/>
  <c r="K2361" i="5" s="1"/>
  <c r="T2358" i="5"/>
  <c r="T2359" i="5"/>
  <c r="T2360" i="5"/>
  <c r="T2361" i="5"/>
  <c r="B2356" i="5"/>
  <c r="M2356" i="5" s="1"/>
  <c r="B2357" i="5"/>
  <c r="M2357" i="5" s="1"/>
  <c r="J2356" i="5"/>
  <c r="K2356" i="5" s="1"/>
  <c r="J2357" i="5"/>
  <c r="K2357" i="5" s="1"/>
  <c r="T2356" i="5"/>
  <c r="T2357" i="5"/>
  <c r="B2352" i="5"/>
  <c r="M2352" i="5" s="1"/>
  <c r="B2353" i="5"/>
  <c r="M2353" i="5" s="1"/>
  <c r="B2354" i="5"/>
  <c r="M2354" i="5" s="1"/>
  <c r="B2355" i="5"/>
  <c r="Q2355" i="5" s="1"/>
  <c r="J2352" i="5"/>
  <c r="K2352" i="5" s="1"/>
  <c r="J2353" i="5"/>
  <c r="K2353" i="5" s="1"/>
  <c r="J2354" i="5"/>
  <c r="K2354" i="5" s="1"/>
  <c r="J2355" i="5"/>
  <c r="K2355" i="5" s="1"/>
  <c r="T2352" i="5"/>
  <c r="T2353" i="5"/>
  <c r="T2354" i="5"/>
  <c r="T2355" i="5"/>
  <c r="B2348" i="5"/>
  <c r="Q2348" i="5" s="1"/>
  <c r="B2349" i="5"/>
  <c r="Q2349" i="5" s="1"/>
  <c r="B2350" i="5"/>
  <c r="M2350" i="5" s="1"/>
  <c r="B2351" i="5"/>
  <c r="M2351" i="5" s="1"/>
  <c r="J2348" i="5"/>
  <c r="J2349" i="5"/>
  <c r="K2349" i="5" s="1"/>
  <c r="L2349" i="5" s="1"/>
  <c r="J2350" i="5"/>
  <c r="J2351" i="5"/>
  <c r="T2348" i="5"/>
  <c r="T2349" i="5"/>
  <c r="T2350" i="5"/>
  <c r="T2351" i="5"/>
  <c r="B2344" i="5"/>
  <c r="Q2344" i="5" s="1"/>
  <c r="B2345" i="5"/>
  <c r="M2345" i="5" s="1"/>
  <c r="B2346" i="5"/>
  <c r="Q2346" i="5" s="1"/>
  <c r="B2347" i="5"/>
  <c r="Q2347" i="5" s="1"/>
  <c r="J2344" i="5"/>
  <c r="K2344" i="5" s="1"/>
  <c r="J2345" i="5"/>
  <c r="K2345" i="5" s="1"/>
  <c r="J2346" i="5"/>
  <c r="K2346" i="5" s="1"/>
  <c r="L2346" i="5" s="1"/>
  <c r="P2346" i="5" s="1"/>
  <c r="J2347" i="5"/>
  <c r="T2344" i="5"/>
  <c r="T2345" i="5"/>
  <c r="T2346" i="5"/>
  <c r="T2347" i="5"/>
  <c r="B2341" i="5"/>
  <c r="M2341" i="5" s="1"/>
  <c r="B2342" i="5"/>
  <c r="M2342" i="5" s="1"/>
  <c r="B2343" i="5"/>
  <c r="M2343" i="5" s="1"/>
  <c r="J2341" i="5"/>
  <c r="K2341" i="5" s="1"/>
  <c r="J2342" i="5"/>
  <c r="K2342" i="5" s="1"/>
  <c r="J2343" i="5"/>
  <c r="K2343" i="5" s="1"/>
  <c r="T2341" i="5"/>
  <c r="T2342" i="5"/>
  <c r="T2343" i="5"/>
  <c r="B2340" i="5"/>
  <c r="M2340" i="5" s="1"/>
  <c r="J2340" i="5"/>
  <c r="K2340" i="5" s="1"/>
  <c r="L2340" i="5" s="1"/>
  <c r="P2340" i="5" s="1"/>
  <c r="T2340" i="5"/>
  <c r="B2337" i="5"/>
  <c r="M2337" i="5" s="1"/>
  <c r="B2338" i="5"/>
  <c r="M2338" i="5" s="1"/>
  <c r="B2339" i="5"/>
  <c r="M2339" i="5" s="1"/>
  <c r="J2337" i="5"/>
  <c r="J2338" i="5"/>
  <c r="J2339" i="5"/>
  <c r="K2339" i="5" s="1"/>
  <c r="L2339" i="5" s="1"/>
  <c r="T2337" i="5"/>
  <c r="T2338" i="5"/>
  <c r="T2339" i="5"/>
  <c r="B2334" i="5"/>
  <c r="Q2334" i="5" s="1"/>
  <c r="B2335" i="5"/>
  <c r="M2335" i="5" s="1"/>
  <c r="B2336" i="5"/>
  <c r="M2336" i="5" s="1"/>
  <c r="J2334" i="5"/>
  <c r="K2334" i="5" s="1"/>
  <c r="L2334" i="5" s="1"/>
  <c r="J2335" i="5"/>
  <c r="K2335" i="5" s="1"/>
  <c r="L2335" i="5" s="1"/>
  <c r="J2336" i="5"/>
  <c r="K2336" i="5" s="1"/>
  <c r="T2334" i="5"/>
  <c r="T2335" i="5"/>
  <c r="T2336" i="5"/>
  <c r="B2332" i="5"/>
  <c r="M2332" i="5" s="1"/>
  <c r="B2333" i="5"/>
  <c r="Q2333" i="5" s="1"/>
  <c r="J2332" i="5"/>
  <c r="K2332" i="5" s="1"/>
  <c r="J2333" i="5"/>
  <c r="K2333" i="5" s="1"/>
  <c r="T2332" i="5"/>
  <c r="T2333" i="5"/>
  <c r="B2328" i="5"/>
  <c r="M2328" i="5" s="1"/>
  <c r="B2329" i="5"/>
  <c r="M2329" i="5" s="1"/>
  <c r="B2330" i="5"/>
  <c r="Q2330" i="5" s="1"/>
  <c r="B2331" i="5"/>
  <c r="Q2331" i="5" s="1"/>
  <c r="J2328" i="5"/>
  <c r="K2328" i="5" s="1"/>
  <c r="L2328" i="5" s="1"/>
  <c r="P2328" i="5" s="1"/>
  <c r="J2329" i="5"/>
  <c r="K2329" i="5" s="1"/>
  <c r="J2330" i="5"/>
  <c r="K2330" i="5" s="1"/>
  <c r="L2330" i="5" s="1"/>
  <c r="J2331" i="5"/>
  <c r="T2328" i="5"/>
  <c r="T2329" i="5"/>
  <c r="T2330" i="5"/>
  <c r="T2331" i="5"/>
  <c r="B2326" i="5"/>
  <c r="Q2326" i="5" s="1"/>
  <c r="B2327" i="5"/>
  <c r="M2327" i="5" s="1"/>
  <c r="J2326" i="5"/>
  <c r="K2326" i="5" s="1"/>
  <c r="J2327" i="5"/>
  <c r="K2327" i="5" s="1"/>
  <c r="L2327" i="5" s="1"/>
  <c r="T2326" i="5"/>
  <c r="T2327" i="5"/>
  <c r="B2324" i="5"/>
  <c r="M2324" i="5" s="1"/>
  <c r="B2325" i="5"/>
  <c r="Q2325" i="5" s="1"/>
  <c r="J2324" i="5"/>
  <c r="K2324" i="5" s="1"/>
  <c r="J2325" i="5"/>
  <c r="K2325" i="5" s="1"/>
  <c r="T2324" i="5"/>
  <c r="T2325" i="5"/>
  <c r="B2320" i="5"/>
  <c r="M2320" i="5" s="1"/>
  <c r="B2321" i="5"/>
  <c r="Q2321" i="5" s="1"/>
  <c r="B2322" i="5"/>
  <c r="Q2322" i="5" s="1"/>
  <c r="B2323" i="5"/>
  <c r="Q2323" i="5" s="1"/>
  <c r="J2320" i="5"/>
  <c r="J2321" i="5"/>
  <c r="K2321" i="5" s="1"/>
  <c r="J2322" i="5"/>
  <c r="K2322" i="5" s="1"/>
  <c r="J2323" i="5"/>
  <c r="T2320" i="5"/>
  <c r="T2321" i="5"/>
  <c r="T2322" i="5"/>
  <c r="T2323" i="5"/>
  <c r="B2315" i="5"/>
  <c r="Q2315" i="5" s="1"/>
  <c r="B2316" i="5"/>
  <c r="Q2316" i="5" s="1"/>
  <c r="B2317" i="5"/>
  <c r="Q2317" i="5" s="1"/>
  <c r="B2318" i="5"/>
  <c r="Q2318" i="5" s="1"/>
  <c r="B2319" i="5"/>
  <c r="M2319" i="5" s="1"/>
  <c r="J2315" i="5"/>
  <c r="K2315" i="5" s="1"/>
  <c r="J2316" i="5"/>
  <c r="K2316" i="5" s="1"/>
  <c r="L2316" i="5" s="1"/>
  <c r="J2317" i="5"/>
  <c r="J2318" i="5"/>
  <c r="J2319" i="5"/>
  <c r="K2319" i="5" s="1"/>
  <c r="L2319" i="5" s="1"/>
  <c r="T2315" i="5"/>
  <c r="T2316" i="5"/>
  <c r="T2317" i="5"/>
  <c r="T2318" i="5"/>
  <c r="T2319" i="5"/>
  <c r="B2312" i="5"/>
  <c r="Q2312" i="5" s="1"/>
  <c r="B2313" i="5"/>
  <c r="Q2313" i="5" s="1"/>
  <c r="B2314" i="5"/>
  <c r="Q2314" i="5" s="1"/>
  <c r="J2312" i="5"/>
  <c r="K2312" i="5" s="1"/>
  <c r="J2313" i="5"/>
  <c r="K2313" i="5" s="1"/>
  <c r="J2314" i="5"/>
  <c r="K2314" i="5" s="1"/>
  <c r="T2312" i="5"/>
  <c r="T2313" i="5"/>
  <c r="T2314" i="5"/>
  <c r="B2310" i="5"/>
  <c r="Q2310" i="5" s="1"/>
  <c r="B2311" i="5"/>
  <c r="Q2311" i="5" s="1"/>
  <c r="J2310" i="5"/>
  <c r="K2310" i="5" s="1"/>
  <c r="L2310" i="5" s="1"/>
  <c r="J2311" i="5"/>
  <c r="K2311" i="5" s="1"/>
  <c r="T2310" i="5"/>
  <c r="T2311" i="5"/>
  <c r="B2307" i="5"/>
  <c r="Q2307" i="5" s="1"/>
  <c r="B2308" i="5"/>
  <c r="Q2308" i="5" s="1"/>
  <c r="B2309" i="5"/>
  <c r="M2309" i="5" s="1"/>
  <c r="J2307" i="5"/>
  <c r="K2307" i="5" s="1"/>
  <c r="L2307" i="5" s="1"/>
  <c r="J2308" i="5"/>
  <c r="K2308" i="5" s="1"/>
  <c r="L2308" i="5" s="1"/>
  <c r="J2309" i="5"/>
  <c r="K2309" i="5" s="1"/>
  <c r="T2307" i="5"/>
  <c r="T2308" i="5"/>
  <c r="T2309" i="5"/>
  <c r="B2306" i="5"/>
  <c r="M2306" i="5" s="1"/>
  <c r="J2306" i="5"/>
  <c r="K2306" i="5" s="1"/>
  <c r="T2306" i="5"/>
  <c r="B2304" i="5"/>
  <c r="Q2304" i="5" s="1"/>
  <c r="B2305" i="5"/>
  <c r="Q2305" i="5" s="1"/>
  <c r="J2304" i="5"/>
  <c r="K2304" i="5" s="1"/>
  <c r="L2304" i="5" s="1"/>
  <c r="J2305" i="5"/>
  <c r="K2305" i="5" s="1"/>
  <c r="T2304" i="5"/>
  <c r="T2305" i="5"/>
  <c r="B2300" i="5"/>
  <c r="Q2300" i="5" s="1"/>
  <c r="B2301" i="5"/>
  <c r="Q2301" i="5" s="1"/>
  <c r="B2302" i="5"/>
  <c r="M2302" i="5" s="1"/>
  <c r="B2303" i="5"/>
  <c r="M2303" i="5" s="1"/>
  <c r="J2300" i="5"/>
  <c r="K2300" i="5" s="1"/>
  <c r="L2300" i="5" s="1"/>
  <c r="J2301" i="5"/>
  <c r="J2302" i="5"/>
  <c r="J2303" i="5"/>
  <c r="K2303" i="5" s="1"/>
  <c r="T2300" i="5"/>
  <c r="T2301" i="5"/>
  <c r="T2302" i="5"/>
  <c r="T2303" i="5"/>
  <c r="B2299" i="5"/>
  <c r="M2299" i="5" s="1"/>
  <c r="J2299" i="5"/>
  <c r="K2299" i="5" s="1"/>
  <c r="T2299" i="5"/>
  <c r="B2290" i="5"/>
  <c r="M2290" i="5" s="1"/>
  <c r="B2291" i="5"/>
  <c r="Q2291" i="5" s="1"/>
  <c r="B2292" i="5"/>
  <c r="Q2292" i="5" s="1"/>
  <c r="B2293" i="5"/>
  <c r="Q2293" i="5" s="1"/>
  <c r="B2294" i="5"/>
  <c r="Q2294" i="5" s="1"/>
  <c r="B2295" i="5"/>
  <c r="M2295" i="5" s="1"/>
  <c r="B2296" i="5"/>
  <c r="M2296" i="5" s="1"/>
  <c r="B2297" i="5"/>
  <c r="Q2297" i="5" s="1"/>
  <c r="B2298" i="5"/>
  <c r="Q2298" i="5" s="1"/>
  <c r="J2290" i="5"/>
  <c r="K2290" i="5" s="1"/>
  <c r="J2291" i="5"/>
  <c r="K2291" i="5" s="1"/>
  <c r="L2291" i="5" s="1"/>
  <c r="J2292" i="5"/>
  <c r="K2292" i="5" s="1"/>
  <c r="L2292" i="5" s="1"/>
  <c r="J2293" i="5"/>
  <c r="K2293" i="5" s="1"/>
  <c r="L2293" i="5" s="1"/>
  <c r="J2294" i="5"/>
  <c r="K2294" i="5" s="1"/>
  <c r="J2295" i="5"/>
  <c r="K2295" i="5" s="1"/>
  <c r="J2296" i="5"/>
  <c r="K2296" i="5" s="1"/>
  <c r="J2297" i="5"/>
  <c r="K2297" i="5" s="1"/>
  <c r="L2297" i="5" s="1"/>
  <c r="J2298" i="5"/>
  <c r="K2298" i="5" s="1"/>
  <c r="L2298" i="5" s="1"/>
  <c r="T2290" i="5"/>
  <c r="T2291" i="5"/>
  <c r="T2292" i="5"/>
  <c r="T2293" i="5"/>
  <c r="T2294" i="5"/>
  <c r="T2295" i="5"/>
  <c r="T2296" i="5"/>
  <c r="T2297" i="5"/>
  <c r="T2298" i="5"/>
  <c r="B2289" i="5"/>
  <c r="M2289" i="5" s="1"/>
  <c r="J2289" i="5"/>
  <c r="K2289" i="5" s="1"/>
  <c r="T2289" i="5"/>
  <c r="B2280" i="5"/>
  <c r="Q2280" i="5" s="1"/>
  <c r="B2281" i="5"/>
  <c r="Q2281" i="5" s="1"/>
  <c r="B2282" i="5"/>
  <c r="Q2282" i="5" s="1"/>
  <c r="B2283" i="5"/>
  <c r="M2283" i="5" s="1"/>
  <c r="B2284" i="5"/>
  <c r="Q2284" i="5" s="1"/>
  <c r="B2285" i="5"/>
  <c r="Q2285" i="5" s="1"/>
  <c r="B2286" i="5"/>
  <c r="Q2286" i="5" s="1"/>
  <c r="B2287" i="5"/>
  <c r="Q2287" i="5" s="1"/>
  <c r="B2288" i="5"/>
  <c r="Q2288" i="5" s="1"/>
  <c r="J2280" i="5"/>
  <c r="K2280" i="5" s="1"/>
  <c r="L2280" i="5" s="1"/>
  <c r="J2281" i="5"/>
  <c r="K2281" i="5" s="1"/>
  <c r="L2281" i="5" s="1"/>
  <c r="J2282" i="5"/>
  <c r="K2282" i="5" s="1"/>
  <c r="J2283" i="5"/>
  <c r="K2283" i="5" s="1"/>
  <c r="J2284" i="5"/>
  <c r="K2284" i="5" s="1"/>
  <c r="J2285" i="5"/>
  <c r="K2285" i="5" s="1"/>
  <c r="L2285" i="5" s="1"/>
  <c r="J2286" i="5"/>
  <c r="K2286" i="5" s="1"/>
  <c r="L2286" i="5" s="1"/>
  <c r="J2287" i="5"/>
  <c r="K2287" i="5" s="1"/>
  <c r="L2287" i="5" s="1"/>
  <c r="J2288" i="5"/>
  <c r="K2288" i="5" s="1"/>
  <c r="T2280" i="5"/>
  <c r="T2281" i="5"/>
  <c r="T2282" i="5"/>
  <c r="T2283" i="5"/>
  <c r="T2284" i="5"/>
  <c r="T2285" i="5"/>
  <c r="T2286" i="5"/>
  <c r="T2287" i="5"/>
  <c r="T2288" i="5"/>
  <c r="B2279" i="5"/>
  <c r="Q2279" i="5" s="1"/>
  <c r="J2279" i="5"/>
  <c r="K2279" i="5" s="1"/>
  <c r="T2279" i="5"/>
  <c r="B2278" i="5"/>
  <c r="Q2278" i="5" s="1"/>
  <c r="J2278" i="5"/>
  <c r="K2278" i="5" s="1"/>
  <c r="T2278" i="5"/>
  <c r="B2275" i="5"/>
  <c r="B2276" i="5"/>
  <c r="M2276" i="5" s="1"/>
  <c r="B2277" i="5"/>
  <c r="Q2277" i="5" s="1"/>
  <c r="J2275" i="5"/>
  <c r="K2275" i="5" s="1"/>
  <c r="L2275" i="5" s="1"/>
  <c r="J2276" i="5"/>
  <c r="J2277" i="5"/>
  <c r="T2275" i="5"/>
  <c r="T2276" i="5"/>
  <c r="T2277" i="5"/>
  <c r="B2272" i="5"/>
  <c r="M2272" i="5" s="1"/>
  <c r="B2273" i="5"/>
  <c r="B2274" i="5"/>
  <c r="J2272" i="5"/>
  <c r="K2272" i="5" s="1"/>
  <c r="L2272" i="5" s="1"/>
  <c r="J2273" i="5"/>
  <c r="K2273" i="5" s="1"/>
  <c r="J2274" i="5"/>
  <c r="T2272" i="5"/>
  <c r="T2273" i="5"/>
  <c r="T2274" i="5"/>
  <c r="B2267" i="5"/>
  <c r="Q2267" i="5" s="1"/>
  <c r="B2268" i="5"/>
  <c r="Q2268" i="5" s="1"/>
  <c r="B2269" i="5"/>
  <c r="Q2269" i="5" s="1"/>
  <c r="B2270" i="5"/>
  <c r="B2271" i="5"/>
  <c r="M2271" i="5" s="1"/>
  <c r="J2267" i="5"/>
  <c r="K2267" i="5" s="1"/>
  <c r="J2268" i="5"/>
  <c r="K2268" i="5" s="1"/>
  <c r="J2269" i="5"/>
  <c r="K2269" i="5" s="1"/>
  <c r="J2270" i="5"/>
  <c r="J2271" i="5"/>
  <c r="T2267" i="5"/>
  <c r="T2268" i="5"/>
  <c r="T2269" i="5"/>
  <c r="T2270" i="5"/>
  <c r="T2271" i="5"/>
  <c r="B2265" i="5"/>
  <c r="M2265" i="5" s="1"/>
  <c r="B2266" i="5"/>
  <c r="M2266" i="5" s="1"/>
  <c r="J2265" i="5"/>
  <c r="K2265" i="5" s="1"/>
  <c r="L2265" i="5" s="1"/>
  <c r="P2265" i="5" s="1"/>
  <c r="J2266" i="5"/>
  <c r="K2266" i="5" s="1"/>
  <c r="T2265" i="5"/>
  <c r="T2266" i="5"/>
  <c r="B2264" i="5"/>
  <c r="J2264" i="5"/>
  <c r="T2264" i="5"/>
  <c r="B2263" i="5"/>
  <c r="M2263" i="5" s="1"/>
  <c r="J2263" i="5"/>
  <c r="K2263" i="5" s="1"/>
  <c r="T2263" i="5"/>
  <c r="B2261" i="5"/>
  <c r="M2261" i="5" s="1"/>
  <c r="B2262" i="5"/>
  <c r="Q2262" i="5" s="1"/>
  <c r="J2261" i="5"/>
  <c r="K2261" i="5" s="1"/>
  <c r="J2262" i="5"/>
  <c r="T2261" i="5"/>
  <c r="T2262" i="5"/>
  <c r="B2258" i="5"/>
  <c r="Q2258" i="5" s="1"/>
  <c r="B2259" i="5"/>
  <c r="Q2259" i="5" s="1"/>
  <c r="B2260" i="5"/>
  <c r="Q2260" i="5" s="1"/>
  <c r="J2258" i="5"/>
  <c r="J2259" i="5"/>
  <c r="J2260" i="5"/>
  <c r="K2260" i="5" s="1"/>
  <c r="T2258" i="5"/>
  <c r="T2259" i="5"/>
  <c r="T2260" i="5"/>
  <c r="B2254" i="5"/>
  <c r="B2255" i="5"/>
  <c r="M2255" i="5" s="1"/>
  <c r="B2256" i="5"/>
  <c r="Q2256" i="5" s="1"/>
  <c r="B2257" i="5"/>
  <c r="M2257" i="5" s="1"/>
  <c r="J2254" i="5"/>
  <c r="J2255" i="5"/>
  <c r="J2256" i="5"/>
  <c r="K2256" i="5" s="1"/>
  <c r="J2257" i="5"/>
  <c r="K2257" i="5" s="1"/>
  <c r="T2254" i="5"/>
  <c r="T2255" i="5"/>
  <c r="T2256" i="5"/>
  <c r="T2257" i="5"/>
  <c r="B2252" i="5"/>
  <c r="B2253" i="5"/>
  <c r="M2253" i="5" s="1"/>
  <c r="J2252" i="5"/>
  <c r="J2253" i="5"/>
  <c r="T2252" i="5"/>
  <c r="T2253" i="5"/>
  <c r="B2251" i="5"/>
  <c r="M2251" i="5" s="1"/>
  <c r="J2251" i="5"/>
  <c r="K2251" i="5" s="1"/>
  <c r="T2251" i="5"/>
  <c r="B2250" i="5"/>
  <c r="M2250" i="5" s="1"/>
  <c r="J2250" i="5"/>
  <c r="K2250" i="5" s="1"/>
  <c r="T2250" i="5"/>
  <c r="B2247" i="5"/>
  <c r="M2247" i="5" s="1"/>
  <c r="B2248" i="5"/>
  <c r="M2248" i="5" s="1"/>
  <c r="B2249" i="5"/>
  <c r="M2249" i="5" s="1"/>
  <c r="J2247" i="5"/>
  <c r="K2247" i="5" s="1"/>
  <c r="J2248" i="5"/>
  <c r="K2248" i="5" s="1"/>
  <c r="J2249" i="5"/>
  <c r="T2247" i="5"/>
  <c r="T2248" i="5"/>
  <c r="T2249" i="5"/>
  <c r="B2243" i="5"/>
  <c r="B2244" i="5"/>
  <c r="B2245" i="5"/>
  <c r="Q2245" i="5" s="1"/>
  <c r="B2246" i="5"/>
  <c r="Q2246" i="5" s="1"/>
  <c r="J2243" i="5"/>
  <c r="K2243" i="5" s="1"/>
  <c r="L2243" i="5" s="1"/>
  <c r="J2244" i="5"/>
  <c r="K2244" i="5" s="1"/>
  <c r="L2244" i="5" s="1"/>
  <c r="J2245" i="5"/>
  <c r="J2246" i="5"/>
  <c r="T2243" i="5"/>
  <c r="T2244" i="5"/>
  <c r="T2245" i="5"/>
  <c r="T2246" i="5"/>
  <c r="B2238" i="5"/>
  <c r="Q2238" i="5" s="1"/>
  <c r="B2239" i="5"/>
  <c r="B2240" i="5"/>
  <c r="M2240" i="5" s="1"/>
  <c r="B2241" i="5"/>
  <c r="M2241" i="5" s="1"/>
  <c r="B2242" i="5"/>
  <c r="J2238" i="5"/>
  <c r="K2238" i="5" s="1"/>
  <c r="J2239" i="5"/>
  <c r="K2239" i="5" s="1"/>
  <c r="L2239" i="5" s="1"/>
  <c r="J2240" i="5"/>
  <c r="J2241" i="5"/>
  <c r="K2241" i="5" s="1"/>
  <c r="J2242" i="5"/>
  <c r="K2242" i="5" s="1"/>
  <c r="L2242" i="5" s="1"/>
  <c r="T2238" i="5"/>
  <c r="T2239" i="5"/>
  <c r="T2240" i="5"/>
  <c r="T2241" i="5"/>
  <c r="T2242" i="5"/>
  <c r="B2233" i="5"/>
  <c r="Q2233" i="5" s="1"/>
  <c r="B2234" i="5"/>
  <c r="M2234" i="5" s="1"/>
  <c r="B2235" i="5"/>
  <c r="Q2235" i="5" s="1"/>
  <c r="B2236" i="5"/>
  <c r="M2236" i="5" s="1"/>
  <c r="B2237" i="5"/>
  <c r="J2233" i="5"/>
  <c r="K2233" i="5" s="1"/>
  <c r="J2234" i="5"/>
  <c r="J2235" i="5"/>
  <c r="K2235" i="5" s="1"/>
  <c r="J2236" i="5"/>
  <c r="K2236" i="5" s="1"/>
  <c r="J2237" i="5"/>
  <c r="K2237" i="5" s="1"/>
  <c r="T2233" i="5"/>
  <c r="T2234" i="5"/>
  <c r="T2235" i="5"/>
  <c r="T2236" i="5"/>
  <c r="T2237" i="5"/>
  <c r="B2227" i="5"/>
  <c r="M2227" i="5" s="1"/>
  <c r="B2228" i="5"/>
  <c r="B2229" i="5"/>
  <c r="B2230" i="5"/>
  <c r="M2230" i="5" s="1"/>
  <c r="B2231" i="5"/>
  <c r="M2231" i="5" s="1"/>
  <c r="B2232" i="5"/>
  <c r="M2232" i="5" s="1"/>
  <c r="J2227" i="5"/>
  <c r="J2228" i="5"/>
  <c r="J2229" i="5"/>
  <c r="K2229" i="5" s="1"/>
  <c r="L2229" i="5" s="1"/>
  <c r="P2229" i="5" s="1"/>
  <c r="J2230" i="5"/>
  <c r="K2230" i="5" s="1"/>
  <c r="J2231" i="5"/>
  <c r="J2232" i="5"/>
  <c r="K2232" i="5" s="1"/>
  <c r="T2227" i="5"/>
  <c r="T2228" i="5"/>
  <c r="T2229" i="5"/>
  <c r="T2230" i="5"/>
  <c r="T2231" i="5"/>
  <c r="T2232" i="5"/>
  <c r="B2224" i="5"/>
  <c r="Q2224" i="5" s="1"/>
  <c r="B2225" i="5"/>
  <c r="Q2225" i="5" s="1"/>
  <c r="B2226" i="5"/>
  <c r="J2224" i="5"/>
  <c r="K2224" i="5" s="1"/>
  <c r="J2225" i="5"/>
  <c r="J2226" i="5"/>
  <c r="K2226" i="5" s="1"/>
  <c r="T2224" i="5"/>
  <c r="T2225" i="5"/>
  <c r="T2226" i="5"/>
  <c r="B2223" i="5"/>
  <c r="Q2223" i="5" s="1"/>
  <c r="J2223" i="5"/>
  <c r="T2223" i="5"/>
  <c r="B2222" i="5"/>
  <c r="J2222" i="5"/>
  <c r="K2222" i="5" s="1"/>
  <c r="T2222" i="5"/>
  <c r="B2221" i="5"/>
  <c r="Q2221" i="5" s="1"/>
  <c r="J2221" i="5"/>
  <c r="K2221" i="5" s="1"/>
  <c r="T2221" i="5"/>
  <c r="B2220" i="5"/>
  <c r="Q2220" i="5" s="1"/>
  <c r="J2220" i="5"/>
  <c r="K2220" i="5" s="1"/>
  <c r="T2220" i="5"/>
  <c r="B2214" i="5"/>
  <c r="B2215" i="5"/>
  <c r="M2215" i="5" s="1"/>
  <c r="B2216" i="5"/>
  <c r="B2217" i="5"/>
  <c r="M2217" i="5" s="1"/>
  <c r="B2218" i="5"/>
  <c r="B2219" i="5"/>
  <c r="J2214" i="5"/>
  <c r="K2214" i="5" s="1"/>
  <c r="J2215" i="5"/>
  <c r="J2216" i="5"/>
  <c r="K2216" i="5" s="1"/>
  <c r="L2216" i="5" s="1"/>
  <c r="P2216" i="5" s="1"/>
  <c r="J2217" i="5"/>
  <c r="K2217" i="5" s="1"/>
  <c r="J2218" i="5"/>
  <c r="K2218" i="5" s="1"/>
  <c r="J2219" i="5"/>
  <c r="T2214" i="5"/>
  <c r="T2215" i="5"/>
  <c r="T2216" i="5"/>
  <c r="T2217" i="5"/>
  <c r="T2218" i="5"/>
  <c r="T2219" i="5"/>
  <c r="B2213" i="5"/>
  <c r="Q2213" i="5" s="1"/>
  <c r="J2213" i="5"/>
  <c r="K2213" i="5" s="1"/>
  <c r="T2213" i="5"/>
  <c r="B2210" i="5"/>
  <c r="M2210" i="5" s="1"/>
  <c r="B2211" i="5"/>
  <c r="B2212" i="5"/>
  <c r="J2210" i="5"/>
  <c r="K2210" i="5" s="1"/>
  <c r="L2210" i="5" s="1"/>
  <c r="J2211" i="5"/>
  <c r="K2211" i="5" s="1"/>
  <c r="J2212" i="5"/>
  <c r="K2212" i="5" s="1"/>
  <c r="T2210" i="5"/>
  <c r="T2211" i="5"/>
  <c r="T2212" i="5"/>
  <c r="B2206" i="5"/>
  <c r="M2206" i="5" s="1"/>
  <c r="B2207" i="5"/>
  <c r="B2208" i="5"/>
  <c r="M2208" i="5" s="1"/>
  <c r="B2209" i="5"/>
  <c r="Q2209" i="5" s="1"/>
  <c r="J2206" i="5"/>
  <c r="K2206" i="5" s="1"/>
  <c r="L2206" i="5" s="1"/>
  <c r="P2206" i="5" s="1"/>
  <c r="J2207" i="5"/>
  <c r="J2208" i="5"/>
  <c r="K2208" i="5" s="1"/>
  <c r="J2209" i="5"/>
  <c r="K2209" i="5" s="1"/>
  <c r="T2206" i="5"/>
  <c r="T2207" i="5"/>
  <c r="T2208" i="5"/>
  <c r="T2209" i="5"/>
  <c r="B2202" i="5"/>
  <c r="M2202" i="5" s="1"/>
  <c r="B2203" i="5"/>
  <c r="B2204" i="5"/>
  <c r="Q2204" i="5" s="1"/>
  <c r="B2205" i="5"/>
  <c r="J2202" i="5"/>
  <c r="K2202" i="5" s="1"/>
  <c r="L2202" i="5" s="1"/>
  <c r="P2202" i="5" s="1"/>
  <c r="J2203" i="5"/>
  <c r="K2203" i="5" s="1"/>
  <c r="J2204" i="5"/>
  <c r="K2204" i="5" s="1"/>
  <c r="J2205" i="5"/>
  <c r="K2205" i="5" s="1"/>
  <c r="L2205" i="5" s="1"/>
  <c r="T2202" i="5"/>
  <c r="T2203" i="5"/>
  <c r="T2204" i="5"/>
  <c r="T2205" i="5"/>
  <c r="B2201" i="5"/>
  <c r="J2201" i="5"/>
  <c r="K2201" i="5" s="1"/>
  <c r="T2201" i="5"/>
  <c r="B2198" i="5"/>
  <c r="B2199" i="5"/>
  <c r="M2199" i="5" s="1"/>
  <c r="B2200" i="5"/>
  <c r="M2200" i="5" s="1"/>
  <c r="J2198" i="5"/>
  <c r="K2198" i="5" s="1"/>
  <c r="J2199" i="5"/>
  <c r="K2199" i="5" s="1"/>
  <c r="J2200" i="5"/>
  <c r="K2200" i="5" s="1"/>
  <c r="T2198" i="5"/>
  <c r="T2199" i="5"/>
  <c r="T2200" i="5"/>
  <c r="B2194" i="5"/>
  <c r="Q2194" i="5" s="1"/>
  <c r="B2195" i="5"/>
  <c r="Q2195" i="5" s="1"/>
  <c r="B2196" i="5"/>
  <c r="Q2196" i="5" s="1"/>
  <c r="B2197" i="5"/>
  <c r="M2197" i="5" s="1"/>
  <c r="J2194" i="5"/>
  <c r="K2194" i="5" s="1"/>
  <c r="L2194" i="5" s="1"/>
  <c r="P2194" i="5" s="1"/>
  <c r="J2195" i="5"/>
  <c r="K2195" i="5" s="1"/>
  <c r="J2196" i="5"/>
  <c r="J2197" i="5"/>
  <c r="K2197" i="5" s="1"/>
  <c r="L2197" i="5" s="1"/>
  <c r="P2197" i="5" s="1"/>
  <c r="T2194" i="5"/>
  <c r="T2195" i="5"/>
  <c r="T2196" i="5"/>
  <c r="T2197" i="5"/>
  <c r="B2193" i="5"/>
  <c r="J2193" i="5"/>
  <c r="T2193" i="5"/>
  <c r="B2192" i="5"/>
  <c r="J2192" i="5"/>
  <c r="T2192" i="5"/>
  <c r="B2191" i="5"/>
  <c r="M2191" i="5" s="1"/>
  <c r="J2191" i="5"/>
  <c r="K2191" i="5" s="1"/>
  <c r="L2191" i="5" s="1"/>
  <c r="P2191" i="5" s="1"/>
  <c r="T2191" i="5"/>
  <c r="B2190" i="5"/>
  <c r="J2190" i="5"/>
  <c r="K2190" i="5" s="1"/>
  <c r="T2190" i="5"/>
  <c r="B2189" i="5"/>
  <c r="J2189" i="5"/>
  <c r="K2189" i="5" s="1"/>
  <c r="T2189" i="5"/>
  <c r="B2185" i="5"/>
  <c r="M2185" i="5" s="1"/>
  <c r="B2186" i="5"/>
  <c r="B2187" i="5"/>
  <c r="Q2187" i="5" s="1"/>
  <c r="B2188" i="5"/>
  <c r="Q2188" i="5" s="1"/>
  <c r="J2185" i="5"/>
  <c r="K2185" i="5" s="1"/>
  <c r="L2185" i="5" s="1"/>
  <c r="J2186" i="5"/>
  <c r="J2187" i="5"/>
  <c r="J2188" i="5"/>
  <c r="K2188" i="5" s="1"/>
  <c r="T2185" i="5"/>
  <c r="T2186" i="5"/>
  <c r="T2187" i="5"/>
  <c r="T2188" i="5"/>
  <c r="B2181" i="5"/>
  <c r="Q2181" i="5" s="1"/>
  <c r="B2182" i="5"/>
  <c r="B2183" i="5"/>
  <c r="Q2183" i="5" s="1"/>
  <c r="B2184" i="5"/>
  <c r="J2181" i="5"/>
  <c r="J2182" i="5"/>
  <c r="K2182" i="5" s="1"/>
  <c r="J2183" i="5"/>
  <c r="K2183" i="5" s="1"/>
  <c r="J2184" i="5"/>
  <c r="K2184" i="5" s="1"/>
  <c r="T2181" i="5"/>
  <c r="T2182" i="5"/>
  <c r="T2183" i="5"/>
  <c r="T2184" i="5"/>
  <c r="B2180" i="5"/>
  <c r="M2180" i="5" s="1"/>
  <c r="J2180" i="5"/>
  <c r="K2180" i="5" s="1"/>
  <c r="T2180" i="5"/>
  <c r="B2178" i="5"/>
  <c r="M2178" i="5" s="1"/>
  <c r="B2179" i="5"/>
  <c r="M2179" i="5" s="1"/>
  <c r="J2178" i="5"/>
  <c r="K2178" i="5" s="1"/>
  <c r="L2178" i="5" s="1"/>
  <c r="J2179" i="5"/>
  <c r="K2179" i="5" s="1"/>
  <c r="T2178" i="5"/>
  <c r="T2179" i="5"/>
  <c r="B2177" i="5"/>
  <c r="M2177" i="5" s="1"/>
  <c r="J2177" i="5"/>
  <c r="K2177" i="5" s="1"/>
  <c r="T2177" i="5"/>
  <c r="B2174" i="5"/>
  <c r="M2174" i="5" s="1"/>
  <c r="B2175" i="5"/>
  <c r="M2175" i="5" s="1"/>
  <c r="B2176" i="5"/>
  <c r="Q2176" i="5" s="1"/>
  <c r="J2174" i="5"/>
  <c r="K2174" i="5" s="1"/>
  <c r="J2175" i="5"/>
  <c r="K2175" i="5" s="1"/>
  <c r="J2176" i="5"/>
  <c r="K2176" i="5" s="1"/>
  <c r="T2174" i="5"/>
  <c r="T2175" i="5"/>
  <c r="T2176" i="5"/>
  <c r="B2168" i="5"/>
  <c r="Q2168" i="5" s="1"/>
  <c r="B2169" i="5"/>
  <c r="Q2169" i="5" s="1"/>
  <c r="B2170" i="5"/>
  <c r="Q2170" i="5" s="1"/>
  <c r="B2171" i="5"/>
  <c r="Q2171" i="5" s="1"/>
  <c r="B2172" i="5"/>
  <c r="Q2172" i="5" s="1"/>
  <c r="B2173" i="5"/>
  <c r="Q2173" i="5" s="1"/>
  <c r="J2168" i="5"/>
  <c r="K2168" i="5" s="1"/>
  <c r="J2169" i="5"/>
  <c r="K2169" i="5" s="1"/>
  <c r="J2170" i="5"/>
  <c r="K2170" i="5" s="1"/>
  <c r="L2170" i="5" s="1"/>
  <c r="J2171" i="5"/>
  <c r="K2171" i="5" s="1"/>
  <c r="L2171" i="5" s="1"/>
  <c r="P2171" i="5" s="1"/>
  <c r="J2172" i="5"/>
  <c r="K2172" i="5" s="1"/>
  <c r="J2173" i="5"/>
  <c r="K2173" i="5" s="1"/>
  <c r="T2168" i="5"/>
  <c r="T2169" i="5"/>
  <c r="T2170" i="5"/>
  <c r="T2171" i="5"/>
  <c r="T2172" i="5"/>
  <c r="T2173" i="5"/>
  <c r="B2167" i="5"/>
  <c r="J2167" i="5"/>
  <c r="K2167" i="5" s="1"/>
  <c r="T2167" i="5"/>
  <c r="B2165" i="5"/>
  <c r="B2166" i="5"/>
  <c r="M2166" i="5" s="1"/>
  <c r="J2165" i="5"/>
  <c r="K2165" i="5" s="1"/>
  <c r="J2166" i="5"/>
  <c r="T2165" i="5"/>
  <c r="T2166" i="5"/>
  <c r="B2164" i="5"/>
  <c r="Q2164" i="5" s="1"/>
  <c r="J2164" i="5"/>
  <c r="K2164" i="5" s="1"/>
  <c r="T2164" i="5"/>
  <c r="B2162" i="5"/>
  <c r="M2162" i="5" s="1"/>
  <c r="B2163" i="5"/>
  <c r="M2163" i="5" s="1"/>
  <c r="J2162" i="5"/>
  <c r="K2162" i="5" s="1"/>
  <c r="J2163" i="5"/>
  <c r="T2162" i="5"/>
  <c r="T2163" i="5"/>
  <c r="B2160" i="5"/>
  <c r="M2160" i="5" s="1"/>
  <c r="B2161" i="5"/>
  <c r="J2160" i="5"/>
  <c r="K2160" i="5" s="1"/>
  <c r="J2161" i="5"/>
  <c r="K2161" i="5" s="1"/>
  <c r="L2161" i="5" s="1"/>
  <c r="T2160" i="5"/>
  <c r="T2161" i="5"/>
  <c r="B2157" i="5"/>
  <c r="B2158" i="5"/>
  <c r="M2158" i="5" s="1"/>
  <c r="B2159" i="5"/>
  <c r="J2157" i="5"/>
  <c r="K2157" i="5" s="1"/>
  <c r="L2157" i="5" s="1"/>
  <c r="J2158" i="5"/>
  <c r="K2158" i="5" s="1"/>
  <c r="L2158" i="5" s="1"/>
  <c r="J2159" i="5"/>
  <c r="K2159" i="5" s="1"/>
  <c r="T2157" i="5"/>
  <c r="T2158" i="5"/>
  <c r="T2159" i="5"/>
  <c r="B2154" i="5"/>
  <c r="Q2154" i="5" s="1"/>
  <c r="B2155" i="5"/>
  <c r="Q2155" i="5" s="1"/>
  <c r="B2156" i="5"/>
  <c r="Q2156" i="5" s="1"/>
  <c r="J2154" i="5"/>
  <c r="K2154" i="5" s="1"/>
  <c r="J2155" i="5"/>
  <c r="K2155" i="5" s="1"/>
  <c r="J2156" i="5"/>
  <c r="K2156" i="5" s="1"/>
  <c r="L2156" i="5" s="1"/>
  <c r="T2154" i="5"/>
  <c r="T2155" i="5"/>
  <c r="T2156" i="5"/>
  <c r="B2152" i="5"/>
  <c r="M2152" i="5" s="1"/>
  <c r="B2153" i="5"/>
  <c r="M2153" i="5" s="1"/>
  <c r="J2152" i="5"/>
  <c r="K2152" i="5" s="1"/>
  <c r="J2153" i="5"/>
  <c r="T2152" i="5"/>
  <c r="T2153" i="5"/>
  <c r="B2149" i="5"/>
  <c r="B2150" i="5"/>
  <c r="B2151" i="5"/>
  <c r="M2151" i="5" s="1"/>
  <c r="J2149" i="5"/>
  <c r="K2149" i="5" s="1"/>
  <c r="L2149" i="5" s="1"/>
  <c r="J2150" i="5"/>
  <c r="K2150" i="5" s="1"/>
  <c r="J2151" i="5"/>
  <c r="K2151" i="5" s="1"/>
  <c r="T2149" i="5"/>
  <c r="T2150" i="5"/>
  <c r="T2151" i="5"/>
  <c r="B2147" i="5"/>
  <c r="Q2147" i="5" s="1"/>
  <c r="B2148" i="5"/>
  <c r="J2147" i="5"/>
  <c r="J2148" i="5"/>
  <c r="K2148" i="5" s="1"/>
  <c r="T2147" i="5"/>
  <c r="T2148" i="5"/>
  <c r="B2146" i="5"/>
  <c r="J2146" i="5"/>
  <c r="T2146" i="5"/>
  <c r="B2143" i="5"/>
  <c r="Q2143" i="5" s="1"/>
  <c r="B2144" i="5"/>
  <c r="Q2144" i="5" s="1"/>
  <c r="B2145" i="5"/>
  <c r="J2143" i="5"/>
  <c r="K2143" i="5" s="1"/>
  <c r="L2143" i="5" s="1"/>
  <c r="J2144" i="5"/>
  <c r="K2144" i="5" s="1"/>
  <c r="J2145" i="5"/>
  <c r="K2145" i="5" s="1"/>
  <c r="T2143" i="5"/>
  <c r="T2144" i="5"/>
  <c r="T2145" i="5"/>
  <c r="B2139" i="5"/>
  <c r="M2139" i="5" s="1"/>
  <c r="B2140" i="5"/>
  <c r="M2140" i="5" s="1"/>
  <c r="B2141" i="5"/>
  <c r="M2141" i="5" s="1"/>
  <c r="B2142" i="5"/>
  <c r="J2139" i="5"/>
  <c r="J2140" i="5"/>
  <c r="K2140" i="5" s="1"/>
  <c r="J2141" i="5"/>
  <c r="K2141" i="5" s="1"/>
  <c r="J2142" i="5"/>
  <c r="T2139" i="5"/>
  <c r="T2140" i="5"/>
  <c r="T2141" i="5"/>
  <c r="T2142" i="5"/>
  <c r="B2134" i="5"/>
  <c r="M2134" i="5" s="1"/>
  <c r="B2135" i="5"/>
  <c r="B2136" i="5"/>
  <c r="B2137" i="5"/>
  <c r="M2137" i="5" s="1"/>
  <c r="B2138" i="5"/>
  <c r="J2134" i="5"/>
  <c r="J2135" i="5"/>
  <c r="J2136" i="5"/>
  <c r="J2137" i="5"/>
  <c r="K2137" i="5" s="1"/>
  <c r="J2138" i="5"/>
  <c r="K2138" i="5" s="1"/>
  <c r="T2134" i="5"/>
  <c r="T2135" i="5"/>
  <c r="T2136" i="5"/>
  <c r="T2137" i="5"/>
  <c r="T2138" i="5"/>
  <c r="B2131" i="5"/>
  <c r="M2131" i="5" s="1"/>
  <c r="B2132" i="5"/>
  <c r="Q2132" i="5" s="1"/>
  <c r="B2133" i="5"/>
  <c r="Q2133" i="5" s="1"/>
  <c r="J2131" i="5"/>
  <c r="K2131" i="5" s="1"/>
  <c r="J2132" i="5"/>
  <c r="K2132" i="5" s="1"/>
  <c r="J2133" i="5"/>
  <c r="K2133" i="5" s="1"/>
  <c r="L2133" i="5" s="1"/>
  <c r="T2131" i="5"/>
  <c r="T2132" i="5"/>
  <c r="T2133" i="5"/>
  <c r="B2129" i="5"/>
  <c r="M2129" i="5" s="1"/>
  <c r="B2130" i="5"/>
  <c r="M2130" i="5" s="1"/>
  <c r="J2129" i="5"/>
  <c r="J2130" i="5"/>
  <c r="T2129" i="5"/>
  <c r="T2130" i="5"/>
  <c r="B2127" i="5"/>
  <c r="Q2127" i="5" s="1"/>
  <c r="B2128" i="5"/>
  <c r="Q2128" i="5" s="1"/>
  <c r="J2127" i="5"/>
  <c r="J2128" i="5"/>
  <c r="K2128" i="5" s="1"/>
  <c r="T2127" i="5"/>
  <c r="T2128" i="5"/>
  <c r="B2126" i="5"/>
  <c r="J2126" i="5"/>
  <c r="T2126" i="5"/>
  <c r="B2125" i="5"/>
  <c r="J2125" i="5"/>
  <c r="K2125" i="5" s="1"/>
  <c r="T2125" i="5"/>
  <c r="B2119" i="5"/>
  <c r="B2120" i="5"/>
  <c r="Q2120" i="5" s="1"/>
  <c r="B2121" i="5"/>
  <c r="Q2121" i="5" s="1"/>
  <c r="B2122" i="5"/>
  <c r="Q2122" i="5" s="1"/>
  <c r="B2123" i="5"/>
  <c r="M2123" i="5" s="1"/>
  <c r="B2124" i="5"/>
  <c r="Q2124" i="5" s="1"/>
  <c r="J2119" i="5"/>
  <c r="K2119" i="5" s="1"/>
  <c r="L2119" i="5" s="1"/>
  <c r="J2120" i="5"/>
  <c r="K2120" i="5" s="1"/>
  <c r="J2121" i="5"/>
  <c r="K2121" i="5" s="1"/>
  <c r="J2122" i="5"/>
  <c r="K2122" i="5" s="1"/>
  <c r="J2123" i="5"/>
  <c r="K2123" i="5" s="1"/>
  <c r="L2123" i="5" s="1"/>
  <c r="J2124" i="5"/>
  <c r="K2124" i="5" s="1"/>
  <c r="T2119" i="5"/>
  <c r="T2120" i="5"/>
  <c r="T2121" i="5"/>
  <c r="T2122" i="5"/>
  <c r="T2123" i="5"/>
  <c r="T2124" i="5"/>
  <c r="B2117" i="5"/>
  <c r="M2117" i="5" s="1"/>
  <c r="B2118" i="5"/>
  <c r="M2118" i="5" s="1"/>
  <c r="J2117" i="5"/>
  <c r="J2118" i="5"/>
  <c r="T2117" i="5"/>
  <c r="T2118" i="5"/>
  <c r="B2114" i="5"/>
  <c r="Q2114" i="5" s="1"/>
  <c r="B2115" i="5"/>
  <c r="Q2115" i="5" s="1"/>
  <c r="B2116" i="5"/>
  <c r="Q2116" i="5" s="1"/>
  <c r="J2114" i="5"/>
  <c r="K2114" i="5" s="1"/>
  <c r="L2114" i="5" s="1"/>
  <c r="J2115" i="5"/>
  <c r="K2115" i="5" s="1"/>
  <c r="J2116" i="5"/>
  <c r="K2116" i="5" s="1"/>
  <c r="T2114" i="5"/>
  <c r="T2115" i="5"/>
  <c r="T2116" i="5"/>
  <c r="B2111" i="5"/>
  <c r="Q2111" i="5" s="1"/>
  <c r="B2112" i="5"/>
  <c r="Q2112" i="5" s="1"/>
  <c r="B2113" i="5"/>
  <c r="M2113" i="5" s="1"/>
  <c r="J2111" i="5"/>
  <c r="K2111" i="5" s="1"/>
  <c r="L2111" i="5" s="1"/>
  <c r="J2112" i="5"/>
  <c r="K2112" i="5" s="1"/>
  <c r="J2113" i="5"/>
  <c r="K2113" i="5" s="1"/>
  <c r="T2111" i="5"/>
  <c r="T2112" i="5"/>
  <c r="T2113" i="5"/>
  <c r="B2109" i="5"/>
  <c r="M2109" i="5" s="1"/>
  <c r="B2110" i="5"/>
  <c r="J2109" i="5"/>
  <c r="K2109" i="5" s="1"/>
  <c r="J2110" i="5"/>
  <c r="K2110" i="5" s="1"/>
  <c r="L2110" i="5" s="1"/>
  <c r="T2109" i="5"/>
  <c r="T2110" i="5"/>
  <c r="B2107" i="5"/>
  <c r="M2107" i="5" s="1"/>
  <c r="B2108" i="5"/>
  <c r="Q2108" i="5" s="1"/>
  <c r="J2107" i="5"/>
  <c r="K2107" i="5" s="1"/>
  <c r="L2107" i="5" s="1"/>
  <c r="J2108" i="5"/>
  <c r="T2107" i="5"/>
  <c r="T2108" i="5"/>
  <c r="B2104" i="5"/>
  <c r="M2104" i="5" s="1"/>
  <c r="B2105" i="5"/>
  <c r="B2106" i="5"/>
  <c r="J2104" i="5"/>
  <c r="K2104" i="5" s="1"/>
  <c r="J2105" i="5"/>
  <c r="K2105" i="5" s="1"/>
  <c r="J2106" i="5"/>
  <c r="K2106" i="5" s="1"/>
  <c r="T2104" i="5"/>
  <c r="T2105" i="5"/>
  <c r="T2106" i="5"/>
  <c r="B2103" i="5"/>
  <c r="J2103" i="5"/>
  <c r="K2103" i="5" s="1"/>
  <c r="T2103" i="5"/>
  <c r="B2102" i="5"/>
  <c r="M2102" i="5" s="1"/>
  <c r="J2102" i="5"/>
  <c r="K2102" i="5" s="1"/>
  <c r="T2102" i="5"/>
  <c r="B2099" i="5"/>
  <c r="Q2099" i="5" s="1"/>
  <c r="B2100" i="5"/>
  <c r="M2100" i="5" s="1"/>
  <c r="B2101" i="5"/>
  <c r="M2101" i="5" s="1"/>
  <c r="J2099" i="5"/>
  <c r="K2099" i="5" s="1"/>
  <c r="L2099" i="5" s="1"/>
  <c r="J2100" i="5"/>
  <c r="K2100" i="5" s="1"/>
  <c r="L2100" i="5" s="1"/>
  <c r="J2101" i="5"/>
  <c r="T2099" i="5"/>
  <c r="T2100" i="5"/>
  <c r="T2101" i="5"/>
  <c r="B2094" i="5"/>
  <c r="M2094" i="5" s="1"/>
  <c r="B2095" i="5"/>
  <c r="M2095" i="5" s="1"/>
  <c r="B2096" i="5"/>
  <c r="B2097" i="5"/>
  <c r="M2097" i="5" s="1"/>
  <c r="B2098" i="5"/>
  <c r="Q2098" i="5" s="1"/>
  <c r="J2094" i="5"/>
  <c r="J2095" i="5"/>
  <c r="K2095" i="5" s="1"/>
  <c r="J2096" i="5"/>
  <c r="K2096" i="5" s="1"/>
  <c r="J2097" i="5"/>
  <c r="K2097" i="5" s="1"/>
  <c r="J2098" i="5"/>
  <c r="K2098" i="5" s="1"/>
  <c r="T2094" i="5"/>
  <c r="T2095" i="5"/>
  <c r="T2096" i="5"/>
  <c r="T2097" i="5"/>
  <c r="T2098" i="5"/>
  <c r="B2092" i="5"/>
  <c r="B2093" i="5"/>
  <c r="M2093" i="5" s="1"/>
  <c r="J2092" i="5"/>
  <c r="K2092" i="5" s="1"/>
  <c r="J2093" i="5"/>
  <c r="T2092" i="5"/>
  <c r="T2093" i="5"/>
  <c r="B2089" i="5"/>
  <c r="Q2089" i="5" s="1"/>
  <c r="B2090" i="5"/>
  <c r="Q2090" i="5" s="1"/>
  <c r="B2091" i="5"/>
  <c r="J2089" i="5"/>
  <c r="J2090" i="5"/>
  <c r="K2090" i="5" s="1"/>
  <c r="J2091" i="5"/>
  <c r="K2091" i="5" s="1"/>
  <c r="L2091" i="5" s="1"/>
  <c r="T2089" i="5"/>
  <c r="T2090" i="5"/>
  <c r="T2091" i="5"/>
  <c r="B2086" i="5"/>
  <c r="B2087" i="5"/>
  <c r="B2088" i="5"/>
  <c r="M2088" i="5" s="1"/>
  <c r="J2086" i="5"/>
  <c r="K2086" i="5" s="1"/>
  <c r="J2087" i="5"/>
  <c r="K2087" i="5" s="1"/>
  <c r="J2088" i="5"/>
  <c r="T2086" i="5"/>
  <c r="T2087" i="5"/>
  <c r="T2088" i="5"/>
  <c r="B2081" i="5"/>
  <c r="M2081" i="5" s="1"/>
  <c r="B2082" i="5"/>
  <c r="M2082" i="5" s="1"/>
  <c r="B2083" i="5"/>
  <c r="M2083" i="5" s="1"/>
  <c r="B2084" i="5"/>
  <c r="Q2084" i="5" s="1"/>
  <c r="B2085" i="5"/>
  <c r="J2081" i="5"/>
  <c r="J2082" i="5"/>
  <c r="K2082" i="5" s="1"/>
  <c r="L2082" i="5" s="1"/>
  <c r="P2082" i="5" s="1"/>
  <c r="J2083" i="5"/>
  <c r="K2083" i="5" s="1"/>
  <c r="J2084" i="5"/>
  <c r="J2085" i="5"/>
  <c r="K2085" i="5" s="1"/>
  <c r="T2081" i="5"/>
  <c r="T2082" i="5"/>
  <c r="T2083" i="5"/>
  <c r="T2084" i="5"/>
  <c r="T2085" i="5"/>
  <c r="B2079" i="5"/>
  <c r="B2080" i="5"/>
  <c r="Q2080" i="5" s="1"/>
  <c r="J2079" i="5"/>
  <c r="K2079" i="5" s="1"/>
  <c r="J2080" i="5"/>
  <c r="T2079" i="5"/>
  <c r="T2080" i="5"/>
  <c r="B2075" i="5"/>
  <c r="M2075" i="5" s="1"/>
  <c r="B2076" i="5"/>
  <c r="M2076" i="5" s="1"/>
  <c r="B2077" i="5"/>
  <c r="Q2077" i="5" s="1"/>
  <c r="B2078" i="5"/>
  <c r="Q2078" i="5" s="1"/>
  <c r="J2075" i="5"/>
  <c r="K2075" i="5" s="1"/>
  <c r="J2076" i="5"/>
  <c r="J2077" i="5"/>
  <c r="J2078" i="5"/>
  <c r="K2078" i="5" s="1"/>
  <c r="T2075" i="5"/>
  <c r="T2076" i="5"/>
  <c r="T2077" i="5"/>
  <c r="T2078" i="5"/>
  <c r="B2070" i="5"/>
  <c r="Q2070" i="5" s="1"/>
  <c r="B2071" i="5"/>
  <c r="Q2071" i="5" s="1"/>
  <c r="B2072" i="5"/>
  <c r="M2072" i="5" s="1"/>
  <c r="B2073" i="5"/>
  <c r="M2073" i="5" s="1"/>
  <c r="B2074" i="5"/>
  <c r="J2070" i="5"/>
  <c r="K2070" i="5" s="1"/>
  <c r="J2071" i="5"/>
  <c r="K2071" i="5" s="1"/>
  <c r="J2072" i="5"/>
  <c r="K2072" i="5" s="1"/>
  <c r="J2073" i="5"/>
  <c r="K2073" i="5" s="1"/>
  <c r="J2074" i="5"/>
  <c r="K2074" i="5" s="1"/>
  <c r="T2070" i="5"/>
  <c r="T2071" i="5"/>
  <c r="T2072" i="5"/>
  <c r="T2073" i="5"/>
  <c r="T2074" i="5"/>
  <c r="B2068" i="5"/>
  <c r="M2068" i="5" s="1"/>
  <c r="B2069" i="5"/>
  <c r="M2069" i="5" s="1"/>
  <c r="J2068" i="5"/>
  <c r="K2068" i="5" s="1"/>
  <c r="J2069" i="5"/>
  <c r="T2068" i="5"/>
  <c r="T2069" i="5"/>
  <c r="B2065" i="5"/>
  <c r="Q2065" i="5" s="1"/>
  <c r="B2066" i="5"/>
  <c r="Q2066" i="5" s="1"/>
  <c r="B2067" i="5"/>
  <c r="J2065" i="5"/>
  <c r="K2065" i="5" s="1"/>
  <c r="L2065" i="5" s="1"/>
  <c r="J2066" i="5"/>
  <c r="J2067" i="5"/>
  <c r="T2065" i="5"/>
  <c r="T2066" i="5"/>
  <c r="T2067" i="5"/>
  <c r="B2062" i="5"/>
  <c r="B2063" i="5"/>
  <c r="M2063" i="5" s="1"/>
  <c r="B2064" i="5"/>
  <c r="Q2064" i="5" s="1"/>
  <c r="J2062" i="5"/>
  <c r="K2062" i="5" s="1"/>
  <c r="J2063" i="5"/>
  <c r="J2064" i="5"/>
  <c r="T2062" i="5"/>
  <c r="T2063" i="5"/>
  <c r="T2064" i="5"/>
  <c r="B2059" i="5"/>
  <c r="Q2059" i="5" s="1"/>
  <c r="B2060" i="5"/>
  <c r="B2061" i="5"/>
  <c r="M2061" i="5" s="1"/>
  <c r="J2059" i="5"/>
  <c r="J2060" i="5"/>
  <c r="K2060" i="5" s="1"/>
  <c r="L2060" i="5" s="1"/>
  <c r="J2061" i="5"/>
  <c r="K2061" i="5" s="1"/>
  <c r="T2059" i="5"/>
  <c r="T2060" i="5"/>
  <c r="T2061" i="5"/>
  <c r="B2057" i="5"/>
  <c r="M2057" i="5" s="1"/>
  <c r="B2058" i="5"/>
  <c r="M2058" i="5" s="1"/>
  <c r="J2057" i="5"/>
  <c r="J2058" i="5"/>
  <c r="T2057" i="5"/>
  <c r="T2058" i="5"/>
  <c r="B2054" i="5"/>
  <c r="M2054" i="5" s="1"/>
  <c r="B2055" i="5"/>
  <c r="M2055" i="5" s="1"/>
  <c r="B2056" i="5"/>
  <c r="M2056" i="5" s="1"/>
  <c r="J2054" i="5"/>
  <c r="K2054" i="5" s="1"/>
  <c r="J2055" i="5"/>
  <c r="J2056" i="5"/>
  <c r="K2056" i="5" s="1"/>
  <c r="L2056" i="5" s="1"/>
  <c r="T2054" i="5"/>
  <c r="T2055" i="5"/>
  <c r="T2056" i="5"/>
  <c r="B2050" i="5"/>
  <c r="M2050" i="5" s="1"/>
  <c r="B2051" i="5"/>
  <c r="B2052" i="5"/>
  <c r="M2052" i="5" s="1"/>
  <c r="B2053" i="5"/>
  <c r="Q2053" i="5" s="1"/>
  <c r="J2050" i="5"/>
  <c r="K2050" i="5" s="1"/>
  <c r="J2051" i="5"/>
  <c r="K2051" i="5" s="1"/>
  <c r="J2052" i="5"/>
  <c r="J2053" i="5"/>
  <c r="T2050" i="5"/>
  <c r="T2051" i="5"/>
  <c r="T2052" i="5"/>
  <c r="T2053" i="5"/>
  <c r="B2047" i="5"/>
  <c r="B2048" i="5"/>
  <c r="Q2048" i="5" s="1"/>
  <c r="B2049" i="5"/>
  <c r="Q2049" i="5" s="1"/>
  <c r="J2047" i="5"/>
  <c r="K2047" i="5" s="1"/>
  <c r="J2048" i="5"/>
  <c r="K2048" i="5" s="1"/>
  <c r="J2049" i="5"/>
  <c r="K2049" i="5" s="1"/>
  <c r="L2049" i="5" s="1"/>
  <c r="T2047" i="5"/>
  <c r="T2048" i="5"/>
  <c r="T2049" i="5"/>
  <c r="B2046" i="5"/>
  <c r="J2046" i="5"/>
  <c r="K2046" i="5" s="1"/>
  <c r="L2046" i="5" s="1"/>
  <c r="T2046" i="5"/>
  <c r="B2042" i="5"/>
  <c r="B2043" i="5"/>
  <c r="Q2043" i="5" s="1"/>
  <c r="B2044" i="5"/>
  <c r="M2044" i="5" s="1"/>
  <c r="B2045" i="5"/>
  <c r="Q2045" i="5" s="1"/>
  <c r="J2042" i="5"/>
  <c r="K2042" i="5" s="1"/>
  <c r="J2043" i="5"/>
  <c r="K2043" i="5" s="1"/>
  <c r="L2043" i="5" s="1"/>
  <c r="P2043" i="5" s="1"/>
  <c r="J2044" i="5"/>
  <c r="K2044" i="5" s="1"/>
  <c r="L2044" i="5" s="1"/>
  <c r="J2045" i="5"/>
  <c r="K2045" i="5" s="1"/>
  <c r="T2042" i="5"/>
  <c r="T2043" i="5"/>
  <c r="T2044" i="5"/>
  <c r="T2045" i="5"/>
  <c r="B2040" i="5"/>
  <c r="B2041" i="5"/>
  <c r="Q2041" i="5" s="1"/>
  <c r="J2040" i="5"/>
  <c r="K2040" i="5" s="1"/>
  <c r="J2041" i="5"/>
  <c r="K2041" i="5" s="1"/>
  <c r="L2041" i="5" s="1"/>
  <c r="T2040" i="5"/>
  <c r="T2041" i="5"/>
  <c r="B2038" i="5"/>
  <c r="Q2038" i="5" s="1"/>
  <c r="B2039" i="5"/>
  <c r="Q2039" i="5" s="1"/>
  <c r="J2038" i="5"/>
  <c r="J2039" i="5"/>
  <c r="T2038" i="5"/>
  <c r="T2039" i="5"/>
  <c r="B2037" i="5"/>
  <c r="Q2037" i="5" s="1"/>
  <c r="J2037" i="5"/>
  <c r="K2037" i="5" s="1"/>
  <c r="L2037" i="5" s="1"/>
  <c r="T2037" i="5"/>
  <c r="B2034" i="5"/>
  <c r="Q2034" i="5" s="1"/>
  <c r="B2035" i="5"/>
  <c r="Q2035" i="5" s="1"/>
  <c r="B2036" i="5"/>
  <c r="Q2036" i="5" s="1"/>
  <c r="J2034" i="5"/>
  <c r="K2034" i="5" s="1"/>
  <c r="L2034" i="5" s="1"/>
  <c r="J2035" i="5"/>
  <c r="K2035" i="5" s="1"/>
  <c r="L2035" i="5" s="1"/>
  <c r="J2036" i="5"/>
  <c r="K2036" i="5" s="1"/>
  <c r="T2034" i="5"/>
  <c r="T2035" i="5"/>
  <c r="T2036" i="5"/>
  <c r="B2031" i="5"/>
  <c r="M2031" i="5" s="1"/>
  <c r="B2032" i="5"/>
  <c r="M2032" i="5" s="1"/>
  <c r="B2033" i="5"/>
  <c r="Q2033" i="5" s="1"/>
  <c r="J2031" i="5"/>
  <c r="K2031" i="5" s="1"/>
  <c r="L2031" i="5" s="1"/>
  <c r="J2032" i="5"/>
  <c r="K2032" i="5" s="1"/>
  <c r="L2032" i="5" s="1"/>
  <c r="J2033" i="5"/>
  <c r="K2033" i="5" s="1"/>
  <c r="T2031" i="5"/>
  <c r="T2032" i="5"/>
  <c r="T2033" i="5"/>
  <c r="B2028" i="5"/>
  <c r="M2028" i="5" s="1"/>
  <c r="B2029" i="5"/>
  <c r="M2029" i="5" s="1"/>
  <c r="B2030" i="5"/>
  <c r="M2030" i="5" s="1"/>
  <c r="J2028" i="5"/>
  <c r="K2028" i="5" s="1"/>
  <c r="L2028" i="5" s="1"/>
  <c r="J2029" i="5"/>
  <c r="K2029" i="5" s="1"/>
  <c r="L2029" i="5" s="1"/>
  <c r="J2030" i="5"/>
  <c r="K2030" i="5" s="1"/>
  <c r="T2028" i="5"/>
  <c r="T2029" i="5"/>
  <c r="T2030" i="5"/>
  <c r="B2026" i="5"/>
  <c r="B2027" i="5"/>
  <c r="M2027" i="5" s="1"/>
  <c r="J2026" i="5"/>
  <c r="J2027" i="5"/>
  <c r="K2027" i="5" s="1"/>
  <c r="T2026" i="5"/>
  <c r="T2027" i="5"/>
  <c r="B2023" i="5"/>
  <c r="Q2023" i="5" s="1"/>
  <c r="B2024" i="5"/>
  <c r="B2025" i="5"/>
  <c r="M2025" i="5" s="1"/>
  <c r="J2023" i="5"/>
  <c r="J2024" i="5"/>
  <c r="K2024" i="5" s="1"/>
  <c r="J2025" i="5"/>
  <c r="T2023" i="5"/>
  <c r="T2024" i="5"/>
  <c r="T2025" i="5"/>
  <c r="B2021" i="5"/>
  <c r="Q2021" i="5" s="1"/>
  <c r="B2022" i="5"/>
  <c r="M2022" i="5" s="1"/>
  <c r="J2021" i="5"/>
  <c r="J2022" i="5"/>
  <c r="T2021" i="5"/>
  <c r="T2022" i="5"/>
  <c r="B2019" i="5"/>
  <c r="Q2019" i="5" s="1"/>
  <c r="B2020" i="5"/>
  <c r="M2020" i="5" s="1"/>
  <c r="J2019" i="5"/>
  <c r="K2019" i="5" s="1"/>
  <c r="J2020" i="5"/>
  <c r="T2019" i="5"/>
  <c r="T2020" i="5"/>
  <c r="B2018" i="5"/>
  <c r="J2018" i="5"/>
  <c r="K2018" i="5" s="1"/>
  <c r="L2018" i="5" s="1"/>
  <c r="P2018" i="5" s="1"/>
  <c r="T2018" i="5"/>
  <c r="B2015" i="5"/>
  <c r="Q2015" i="5" s="1"/>
  <c r="B2016" i="5"/>
  <c r="B2017" i="5"/>
  <c r="M2017" i="5" s="1"/>
  <c r="J2015" i="5"/>
  <c r="J2016" i="5"/>
  <c r="K2016" i="5" s="1"/>
  <c r="J2017" i="5"/>
  <c r="K2017" i="5" s="1"/>
  <c r="T2015" i="5"/>
  <c r="T2016" i="5"/>
  <c r="T2017" i="5"/>
  <c r="B2012" i="5"/>
  <c r="B2013" i="5"/>
  <c r="Q2013" i="5" s="1"/>
  <c r="B2014" i="5"/>
  <c r="Q2014" i="5" s="1"/>
  <c r="J2012" i="5"/>
  <c r="K2012" i="5" s="1"/>
  <c r="J2013" i="5"/>
  <c r="K2013" i="5" s="1"/>
  <c r="J2014" i="5"/>
  <c r="K2014" i="5" s="1"/>
  <c r="T2012" i="5"/>
  <c r="T2013" i="5"/>
  <c r="T2014" i="5"/>
  <c r="B2010" i="5"/>
  <c r="M2010" i="5" s="1"/>
  <c r="B2011" i="5"/>
  <c r="M2011" i="5" s="1"/>
  <c r="J2010" i="5"/>
  <c r="J2011" i="5"/>
  <c r="K2011" i="5" s="1"/>
  <c r="L2011" i="5" s="1"/>
  <c r="T2010" i="5"/>
  <c r="T2011" i="5"/>
  <c r="B2008" i="5"/>
  <c r="B2009" i="5"/>
  <c r="M2009" i="5" s="1"/>
  <c r="J2008" i="5"/>
  <c r="K2008" i="5" s="1"/>
  <c r="J2009" i="5"/>
  <c r="K2009" i="5" s="1"/>
  <c r="T2008" i="5"/>
  <c r="T2009" i="5"/>
  <c r="B2007" i="5"/>
  <c r="M2007" i="5" s="1"/>
  <c r="J2007" i="5"/>
  <c r="T2007" i="5"/>
  <c r="B2006" i="5"/>
  <c r="J2006" i="5"/>
  <c r="K2006" i="5" s="1"/>
  <c r="T2006" i="5"/>
  <c r="B2004" i="5"/>
  <c r="Q2004" i="5" s="1"/>
  <c r="B2005" i="5"/>
  <c r="J2004" i="5"/>
  <c r="K2004" i="5" s="1"/>
  <c r="L2004" i="5" s="1"/>
  <c r="J2005" i="5"/>
  <c r="K2005" i="5" s="1"/>
  <c r="L2005" i="5" s="1"/>
  <c r="T2004" i="5"/>
  <c r="T2005" i="5"/>
  <c r="B2002" i="5"/>
  <c r="Q2002" i="5" s="1"/>
  <c r="B2003" i="5"/>
  <c r="M2003" i="5" s="1"/>
  <c r="J2002" i="5"/>
  <c r="K2002" i="5" s="1"/>
  <c r="J2003" i="5"/>
  <c r="K2003" i="5" s="1"/>
  <c r="T2002" i="5"/>
  <c r="T2003" i="5"/>
  <c r="B1999" i="5"/>
  <c r="M1999" i="5" s="1"/>
  <c r="B2000" i="5"/>
  <c r="Q2000" i="5" s="1"/>
  <c r="B2001" i="5"/>
  <c r="Q2001" i="5" s="1"/>
  <c r="J1999" i="5"/>
  <c r="K1999" i="5" s="1"/>
  <c r="L1999" i="5" s="1"/>
  <c r="J2000" i="5"/>
  <c r="J2001" i="5"/>
  <c r="K2001" i="5" s="1"/>
  <c r="T1999" i="5"/>
  <c r="T2000" i="5"/>
  <c r="T2001" i="5"/>
  <c r="B1998" i="5"/>
  <c r="J1998" i="5"/>
  <c r="K1998" i="5" s="1"/>
  <c r="L1998" i="5" s="1"/>
  <c r="T1998" i="5"/>
  <c r="B1996" i="5"/>
  <c r="M1996" i="5" s="1"/>
  <c r="B1997" i="5"/>
  <c r="J1996" i="5"/>
  <c r="K1996" i="5" s="1"/>
  <c r="J1997" i="5"/>
  <c r="K1997" i="5" s="1"/>
  <c r="T1996" i="5"/>
  <c r="T1997" i="5"/>
  <c r="B1994" i="5"/>
  <c r="M1994" i="5" s="1"/>
  <c r="B1995" i="5"/>
  <c r="J1994" i="5"/>
  <c r="K1994" i="5" s="1"/>
  <c r="J1995" i="5"/>
  <c r="K1995" i="5" s="1"/>
  <c r="T1994" i="5"/>
  <c r="T1995" i="5"/>
  <c r="B1992" i="5"/>
  <c r="Q1992" i="5" s="1"/>
  <c r="B1993" i="5"/>
  <c r="Q1993" i="5" s="1"/>
  <c r="J1992" i="5"/>
  <c r="K1992" i="5" s="1"/>
  <c r="L1992" i="5" s="1"/>
  <c r="J1993" i="5"/>
  <c r="K1993" i="5" s="1"/>
  <c r="L1993" i="5" s="1"/>
  <c r="T1992" i="5"/>
  <c r="T1993" i="5"/>
  <c r="B1988" i="5"/>
  <c r="B1989" i="5"/>
  <c r="Q1989" i="5" s="1"/>
  <c r="B1990" i="5"/>
  <c r="M1990" i="5" s="1"/>
  <c r="B1991" i="5"/>
  <c r="Q1991" i="5" s="1"/>
  <c r="J1988" i="5"/>
  <c r="K1988" i="5" s="1"/>
  <c r="J1989" i="5"/>
  <c r="K1989" i="5" s="1"/>
  <c r="J1990" i="5"/>
  <c r="J1991" i="5"/>
  <c r="K1991" i="5" s="1"/>
  <c r="T1988" i="5"/>
  <c r="T1989" i="5"/>
  <c r="T1990" i="5"/>
  <c r="T1991" i="5"/>
  <c r="B1986" i="5"/>
  <c r="Q1986" i="5" s="1"/>
  <c r="B1987" i="5"/>
  <c r="Q1987" i="5" s="1"/>
  <c r="J1986" i="5"/>
  <c r="K1986" i="5" s="1"/>
  <c r="L1986" i="5" s="1"/>
  <c r="J1987" i="5"/>
  <c r="K1987" i="5" s="1"/>
  <c r="L1987" i="5" s="1"/>
  <c r="T1986" i="5"/>
  <c r="T1987" i="5"/>
  <c r="B1985" i="5"/>
  <c r="M1985" i="5" s="1"/>
  <c r="J1985" i="5"/>
  <c r="K1985" i="5" s="1"/>
  <c r="T1985" i="5"/>
  <c r="B1982" i="5"/>
  <c r="M1982" i="5" s="1"/>
  <c r="B1983" i="5"/>
  <c r="Q1983" i="5" s="1"/>
  <c r="B1984" i="5"/>
  <c r="J1982" i="5"/>
  <c r="K1982" i="5" s="1"/>
  <c r="J1983" i="5"/>
  <c r="K1983" i="5" s="1"/>
  <c r="L1983" i="5" s="1"/>
  <c r="J1984" i="5"/>
  <c r="K1984" i="5" s="1"/>
  <c r="T1982" i="5"/>
  <c r="T1983" i="5"/>
  <c r="T1984" i="5"/>
  <c r="B1979" i="5"/>
  <c r="M1979" i="5" s="1"/>
  <c r="B1980" i="5"/>
  <c r="M1980" i="5" s="1"/>
  <c r="B1981" i="5"/>
  <c r="M1981" i="5" s="1"/>
  <c r="J1979" i="5"/>
  <c r="K1979" i="5" s="1"/>
  <c r="L1979" i="5" s="1"/>
  <c r="J1980" i="5"/>
  <c r="K1980" i="5" s="1"/>
  <c r="L1980" i="5" s="1"/>
  <c r="J1981" i="5"/>
  <c r="K1981" i="5" s="1"/>
  <c r="T1979" i="5"/>
  <c r="T1980" i="5"/>
  <c r="T1981" i="5"/>
  <c r="B1976" i="5"/>
  <c r="M1976" i="5" s="1"/>
  <c r="B1977" i="5"/>
  <c r="M1977" i="5" s="1"/>
  <c r="B1978" i="5"/>
  <c r="M1978" i="5" s="1"/>
  <c r="J1976" i="5"/>
  <c r="K1976" i="5" s="1"/>
  <c r="J1977" i="5"/>
  <c r="K1977" i="5" s="1"/>
  <c r="J1978" i="5"/>
  <c r="K1978" i="5" s="1"/>
  <c r="L1978" i="5" s="1"/>
  <c r="P1978" i="5" s="1"/>
  <c r="T1976" i="5"/>
  <c r="T1977" i="5"/>
  <c r="T1978" i="5"/>
  <c r="B1973" i="5"/>
  <c r="M1973" i="5" s="1"/>
  <c r="B1974" i="5"/>
  <c r="Q1974" i="5" s="1"/>
  <c r="B1975" i="5"/>
  <c r="M1975" i="5" s="1"/>
  <c r="J1973" i="5"/>
  <c r="K1973" i="5" s="1"/>
  <c r="J1974" i="5"/>
  <c r="K1974" i="5" s="1"/>
  <c r="L1974" i="5" s="1"/>
  <c r="J1975" i="5"/>
  <c r="T1973" i="5"/>
  <c r="T1974" i="5"/>
  <c r="T1975" i="5"/>
  <c r="B1970" i="5"/>
  <c r="Q1970" i="5" s="1"/>
  <c r="B1971" i="5"/>
  <c r="M1971" i="5" s="1"/>
  <c r="B1972" i="5"/>
  <c r="Q1972" i="5" s="1"/>
  <c r="J1970" i="5"/>
  <c r="K1970" i="5" s="1"/>
  <c r="J1971" i="5"/>
  <c r="K1971" i="5" s="1"/>
  <c r="J1972" i="5"/>
  <c r="K1972" i="5" s="1"/>
  <c r="L1972" i="5" s="1"/>
  <c r="P1972" i="5" s="1"/>
  <c r="T1970" i="5"/>
  <c r="T1971" i="5"/>
  <c r="T1972" i="5"/>
  <c r="B1967" i="5"/>
  <c r="Q1967" i="5" s="1"/>
  <c r="B1968" i="5"/>
  <c r="M1968" i="5" s="1"/>
  <c r="B1969" i="5"/>
  <c r="Q1969" i="5" s="1"/>
  <c r="J1967" i="5"/>
  <c r="K1967" i="5" s="1"/>
  <c r="J1968" i="5"/>
  <c r="K1968" i="5" s="1"/>
  <c r="J1969" i="5"/>
  <c r="K1969" i="5" s="1"/>
  <c r="T1967" i="5"/>
  <c r="T1968" i="5"/>
  <c r="T1969" i="5"/>
  <c r="B1966" i="5"/>
  <c r="J1966" i="5"/>
  <c r="K1966" i="5" s="1"/>
  <c r="T1966" i="5"/>
  <c r="B1965" i="5"/>
  <c r="M1965" i="5" s="1"/>
  <c r="J1965" i="5"/>
  <c r="K1965" i="5" s="1"/>
  <c r="L1965" i="5" s="1"/>
  <c r="T1965" i="5"/>
  <c r="B1962" i="5"/>
  <c r="M1962" i="5" s="1"/>
  <c r="B1963" i="5"/>
  <c r="M1963" i="5" s="1"/>
  <c r="B1964" i="5"/>
  <c r="M1964" i="5" s="1"/>
  <c r="J1962" i="5"/>
  <c r="K1962" i="5" s="1"/>
  <c r="J1963" i="5"/>
  <c r="K1963" i="5" s="1"/>
  <c r="J1964" i="5"/>
  <c r="K1964" i="5" s="1"/>
  <c r="L1964" i="5" s="1"/>
  <c r="T1962" i="5"/>
  <c r="T1963" i="5"/>
  <c r="T1964" i="5"/>
  <c r="B1960" i="5"/>
  <c r="M1960" i="5" s="1"/>
  <c r="B1961" i="5"/>
  <c r="M1961" i="5" s="1"/>
  <c r="J1960" i="5"/>
  <c r="K1960" i="5" s="1"/>
  <c r="L1960" i="5" s="1"/>
  <c r="J1961" i="5"/>
  <c r="K1961" i="5" s="1"/>
  <c r="L1961" i="5" s="1"/>
  <c r="T1960" i="5"/>
  <c r="T1961" i="5"/>
  <c r="B1956" i="5"/>
  <c r="M1956" i="5" s="1"/>
  <c r="B1957" i="5"/>
  <c r="Q1957" i="5" s="1"/>
  <c r="B1958" i="5"/>
  <c r="B1959" i="5"/>
  <c r="M1959" i="5" s="1"/>
  <c r="J1956" i="5"/>
  <c r="K1956" i="5" s="1"/>
  <c r="L1956" i="5" s="1"/>
  <c r="J1957" i="5"/>
  <c r="K1957" i="5" s="1"/>
  <c r="J1958" i="5"/>
  <c r="K1958" i="5" s="1"/>
  <c r="J1959" i="5"/>
  <c r="T1956" i="5"/>
  <c r="T1957" i="5"/>
  <c r="T1958" i="5"/>
  <c r="T1959" i="5"/>
  <c r="B1954" i="5"/>
  <c r="Q1954" i="5" s="1"/>
  <c r="B1955" i="5"/>
  <c r="M1955" i="5" s="1"/>
  <c r="J1954" i="5"/>
  <c r="K1954" i="5" s="1"/>
  <c r="J1955" i="5"/>
  <c r="K1955" i="5" s="1"/>
  <c r="L1955" i="5" s="1"/>
  <c r="T1954" i="5"/>
  <c r="T1955" i="5"/>
  <c r="B1951" i="5"/>
  <c r="Q1951" i="5" s="1"/>
  <c r="B1952" i="5"/>
  <c r="Q1952" i="5" s="1"/>
  <c r="B1953" i="5"/>
  <c r="Q1953" i="5" s="1"/>
  <c r="J1951" i="5"/>
  <c r="K1951" i="5" s="1"/>
  <c r="L1951" i="5" s="1"/>
  <c r="J1952" i="5"/>
  <c r="K1952" i="5" s="1"/>
  <c r="L1952" i="5" s="1"/>
  <c r="P1952" i="5" s="1"/>
  <c r="J1953" i="5"/>
  <c r="K1953" i="5" s="1"/>
  <c r="L1953" i="5" s="1"/>
  <c r="P1953" i="5" s="1"/>
  <c r="T1951" i="5"/>
  <c r="T1952" i="5"/>
  <c r="T1953" i="5"/>
  <c r="B1948" i="5"/>
  <c r="Q1948" i="5" s="1"/>
  <c r="B1949" i="5"/>
  <c r="Q1949" i="5" s="1"/>
  <c r="B1950" i="5"/>
  <c r="Q1950" i="5" s="1"/>
  <c r="J1948" i="5"/>
  <c r="K1948" i="5" s="1"/>
  <c r="L1948" i="5" s="1"/>
  <c r="P1948" i="5" s="1"/>
  <c r="J1949" i="5"/>
  <c r="K1949" i="5" s="1"/>
  <c r="L1949" i="5" s="1"/>
  <c r="P1949" i="5" s="1"/>
  <c r="J1950" i="5"/>
  <c r="K1950" i="5" s="1"/>
  <c r="L1950" i="5" s="1"/>
  <c r="T1948" i="5"/>
  <c r="T1949" i="5"/>
  <c r="T1950" i="5"/>
  <c r="B1947" i="5"/>
  <c r="J1947" i="5"/>
  <c r="T1947" i="5"/>
  <c r="B1944" i="5"/>
  <c r="B1945" i="5"/>
  <c r="M1945" i="5" s="1"/>
  <c r="B1946" i="5"/>
  <c r="Q1946" i="5" s="1"/>
  <c r="J1944" i="5"/>
  <c r="K1944" i="5" s="1"/>
  <c r="J1945" i="5"/>
  <c r="J1946" i="5"/>
  <c r="K1946" i="5" s="1"/>
  <c r="L1946" i="5" s="1"/>
  <c r="T1944" i="5"/>
  <c r="T1945" i="5"/>
  <c r="T1946" i="5"/>
  <c r="B1937" i="5"/>
  <c r="M1937" i="5" s="1"/>
  <c r="B1938" i="5"/>
  <c r="M1938" i="5" s="1"/>
  <c r="B1939" i="5"/>
  <c r="M1939" i="5" s="1"/>
  <c r="B1940" i="5"/>
  <c r="Q1940" i="5" s="1"/>
  <c r="B1941" i="5"/>
  <c r="M1941" i="5" s="1"/>
  <c r="B1942" i="5"/>
  <c r="M1942" i="5" s="1"/>
  <c r="B1943" i="5"/>
  <c r="Q1943" i="5" s="1"/>
  <c r="J1937" i="5"/>
  <c r="J1938" i="5"/>
  <c r="J1939" i="5"/>
  <c r="K1939" i="5" s="1"/>
  <c r="J1940" i="5"/>
  <c r="K1940" i="5" s="1"/>
  <c r="J1941" i="5"/>
  <c r="J1942" i="5"/>
  <c r="J1943" i="5"/>
  <c r="K1943" i="5" s="1"/>
  <c r="T1937" i="5"/>
  <c r="T1938" i="5"/>
  <c r="T1939" i="5"/>
  <c r="T1940" i="5"/>
  <c r="T1941" i="5"/>
  <c r="T1942" i="5"/>
  <c r="T1943" i="5"/>
  <c r="B1931" i="5"/>
  <c r="Q1931" i="5" s="1"/>
  <c r="B1932" i="5"/>
  <c r="Q1932" i="5" s="1"/>
  <c r="B1933" i="5"/>
  <c r="B1934" i="5"/>
  <c r="Q1934" i="5" s="1"/>
  <c r="B1935" i="5"/>
  <c r="Q1935" i="5" s="1"/>
  <c r="B1936" i="5"/>
  <c r="Q1936" i="5" s="1"/>
  <c r="J1931" i="5"/>
  <c r="K1931" i="5" s="1"/>
  <c r="J1932" i="5"/>
  <c r="K1932" i="5" s="1"/>
  <c r="J1933" i="5"/>
  <c r="K1933" i="5" s="1"/>
  <c r="J1934" i="5"/>
  <c r="J1935" i="5"/>
  <c r="K1935" i="5" s="1"/>
  <c r="J1936" i="5"/>
  <c r="K1936" i="5" s="1"/>
  <c r="T1931" i="5"/>
  <c r="T1932" i="5"/>
  <c r="T1933" i="5"/>
  <c r="T1934" i="5"/>
  <c r="T1935" i="5"/>
  <c r="T1936" i="5"/>
  <c r="B1930" i="5"/>
  <c r="Q1930" i="5" s="1"/>
  <c r="J1930" i="5"/>
  <c r="K1930" i="5" s="1"/>
  <c r="T1930" i="5"/>
  <c r="B1929" i="5"/>
  <c r="M1929" i="5" s="1"/>
  <c r="J1929" i="5"/>
  <c r="K1929" i="5" s="1"/>
  <c r="T1929" i="5"/>
  <c r="B1927" i="5"/>
  <c r="Q1927" i="5" s="1"/>
  <c r="B1928" i="5"/>
  <c r="M1928" i="5" s="1"/>
  <c r="J1927" i="5"/>
  <c r="K1927" i="5" s="1"/>
  <c r="J1928" i="5"/>
  <c r="T1927" i="5"/>
  <c r="T1928" i="5"/>
  <c r="B1925" i="5"/>
  <c r="Q1925" i="5" s="1"/>
  <c r="B1926" i="5"/>
  <c r="J1925" i="5"/>
  <c r="K1925" i="5" s="1"/>
  <c r="J1926" i="5"/>
  <c r="K1926" i="5" s="1"/>
  <c r="T1925" i="5"/>
  <c r="T1926" i="5"/>
  <c r="B1924" i="5"/>
  <c r="Q1924" i="5" s="1"/>
  <c r="J1924" i="5"/>
  <c r="T1924" i="5"/>
  <c r="B1920" i="5"/>
  <c r="Q1920" i="5" s="1"/>
  <c r="B1921" i="5"/>
  <c r="B1922" i="5"/>
  <c r="Q1922" i="5" s="1"/>
  <c r="B1923" i="5"/>
  <c r="Q1923" i="5" s="1"/>
  <c r="J1920" i="5"/>
  <c r="J1921" i="5"/>
  <c r="K1921" i="5" s="1"/>
  <c r="J1922" i="5"/>
  <c r="J1923" i="5"/>
  <c r="K1923" i="5" s="1"/>
  <c r="L1923" i="5" s="1"/>
  <c r="T1920" i="5"/>
  <c r="T1921" i="5"/>
  <c r="T1922" i="5"/>
  <c r="T1923" i="5"/>
  <c r="B1919" i="5"/>
  <c r="Q1919" i="5" s="1"/>
  <c r="J1919" i="5"/>
  <c r="K1919" i="5" s="1"/>
  <c r="T1919" i="5"/>
  <c r="B1917" i="5"/>
  <c r="Q1917" i="5" s="1"/>
  <c r="B1918" i="5"/>
  <c r="Q1918" i="5" s="1"/>
  <c r="J1917" i="5"/>
  <c r="K1917" i="5" s="1"/>
  <c r="L1917" i="5" s="1"/>
  <c r="P1917" i="5" s="1"/>
  <c r="J1918" i="5"/>
  <c r="K1918" i="5" s="1"/>
  <c r="T1917" i="5"/>
  <c r="T1918" i="5"/>
  <c r="B1914" i="5"/>
  <c r="M1914" i="5" s="1"/>
  <c r="B1915" i="5"/>
  <c r="M1915" i="5" s="1"/>
  <c r="B1916" i="5"/>
  <c r="J1914" i="5"/>
  <c r="K1914" i="5" s="1"/>
  <c r="J1915" i="5"/>
  <c r="K1915" i="5" s="1"/>
  <c r="J1916" i="5"/>
  <c r="K1916" i="5" s="1"/>
  <c r="T1914" i="5"/>
  <c r="T1915" i="5"/>
  <c r="T1916" i="5"/>
  <c r="B1912" i="5"/>
  <c r="B1913" i="5"/>
  <c r="M1913" i="5" s="1"/>
  <c r="J1912" i="5"/>
  <c r="K1912" i="5" s="1"/>
  <c r="J1913" i="5"/>
  <c r="K1913" i="5" s="1"/>
  <c r="L1913" i="5" s="1"/>
  <c r="T1912" i="5"/>
  <c r="T1913" i="5"/>
  <c r="B1911" i="5"/>
  <c r="M1911" i="5" s="1"/>
  <c r="J1911" i="5"/>
  <c r="K1911" i="5" s="1"/>
  <c r="T1911" i="5"/>
  <c r="B1907" i="5"/>
  <c r="B1908" i="5"/>
  <c r="M1908" i="5" s="1"/>
  <c r="B1909" i="5"/>
  <c r="M1909" i="5" s="1"/>
  <c r="B1910" i="5"/>
  <c r="J1907" i="5"/>
  <c r="K1907" i="5" s="1"/>
  <c r="L1907" i="5" s="1"/>
  <c r="J1908" i="5"/>
  <c r="K1908" i="5" s="1"/>
  <c r="L1908" i="5" s="1"/>
  <c r="J1909" i="5"/>
  <c r="K1909" i="5" s="1"/>
  <c r="J1910" i="5"/>
  <c r="T1907" i="5"/>
  <c r="T1908" i="5"/>
  <c r="T1909" i="5"/>
  <c r="T1910" i="5"/>
  <c r="B1906" i="5"/>
  <c r="J1906" i="5"/>
  <c r="T1906" i="5"/>
  <c r="B1905" i="5"/>
  <c r="M1905" i="5" s="1"/>
  <c r="J1905" i="5"/>
  <c r="K1905" i="5" s="1"/>
  <c r="T1905" i="5"/>
  <c r="B1903" i="5"/>
  <c r="M1903" i="5" s="1"/>
  <c r="B1904" i="5"/>
  <c r="M1904" i="5" s="1"/>
  <c r="J1903" i="5"/>
  <c r="K1903" i="5" s="1"/>
  <c r="J1904" i="5"/>
  <c r="T1903" i="5"/>
  <c r="T1904" i="5"/>
  <c r="B1902" i="5"/>
  <c r="M1902" i="5" s="1"/>
  <c r="J1902" i="5"/>
  <c r="K1902" i="5" s="1"/>
  <c r="T1902" i="5"/>
  <c r="B1898" i="5"/>
  <c r="M1898" i="5" s="1"/>
  <c r="B1899" i="5"/>
  <c r="B1900" i="5"/>
  <c r="Q1900" i="5" s="1"/>
  <c r="B1901" i="5"/>
  <c r="M1901" i="5" s="1"/>
  <c r="J1898" i="5"/>
  <c r="K1898" i="5" s="1"/>
  <c r="J1899" i="5"/>
  <c r="K1899" i="5" s="1"/>
  <c r="J1900" i="5"/>
  <c r="J1901" i="5"/>
  <c r="K1901" i="5" s="1"/>
  <c r="L1901" i="5" s="1"/>
  <c r="P1901" i="5" s="1"/>
  <c r="T1898" i="5"/>
  <c r="T1899" i="5"/>
  <c r="T1900" i="5"/>
  <c r="T1901" i="5"/>
  <c r="B1895" i="5"/>
  <c r="Q1895" i="5" s="1"/>
  <c r="B1896" i="5"/>
  <c r="Q1896" i="5" s="1"/>
  <c r="B1897" i="5"/>
  <c r="Q1897" i="5" s="1"/>
  <c r="J1895" i="5"/>
  <c r="K1895" i="5" s="1"/>
  <c r="J1896" i="5"/>
  <c r="K1896" i="5" s="1"/>
  <c r="J1897" i="5"/>
  <c r="K1897" i="5" s="1"/>
  <c r="T1895" i="5"/>
  <c r="T1896" i="5"/>
  <c r="T1897" i="5"/>
  <c r="B1892" i="5"/>
  <c r="Q1892" i="5" s="1"/>
  <c r="B1893" i="5"/>
  <c r="M1893" i="5" s="1"/>
  <c r="B1894" i="5"/>
  <c r="Q1894" i="5" s="1"/>
  <c r="J1892" i="5"/>
  <c r="J1893" i="5"/>
  <c r="J1894" i="5"/>
  <c r="K1894" i="5" s="1"/>
  <c r="L1894" i="5" s="1"/>
  <c r="T1892" i="5"/>
  <c r="T1893" i="5"/>
  <c r="T1894" i="5"/>
  <c r="B1891" i="5"/>
  <c r="M1891" i="5" s="1"/>
  <c r="J1891" i="5"/>
  <c r="K1891" i="5" s="1"/>
  <c r="L1891" i="5" s="1"/>
  <c r="T1891" i="5"/>
  <c r="B1889" i="5"/>
  <c r="M1889" i="5" s="1"/>
  <c r="B1890" i="5"/>
  <c r="Q1890" i="5" s="1"/>
  <c r="J1889" i="5"/>
  <c r="K1889" i="5" s="1"/>
  <c r="J1890" i="5"/>
  <c r="K1890" i="5" s="1"/>
  <c r="T1889" i="5"/>
  <c r="T1890" i="5"/>
  <c r="B1886" i="5"/>
  <c r="M1886" i="5" s="1"/>
  <c r="B1887" i="5"/>
  <c r="M1887" i="5" s="1"/>
  <c r="B1888" i="5"/>
  <c r="M1888" i="5" s="1"/>
  <c r="J1886" i="5"/>
  <c r="K1886" i="5" s="1"/>
  <c r="J1887" i="5"/>
  <c r="K1887" i="5" s="1"/>
  <c r="L1887" i="5" s="1"/>
  <c r="J1888" i="5"/>
  <c r="K1888" i="5" s="1"/>
  <c r="L1888" i="5" s="1"/>
  <c r="T1886" i="5"/>
  <c r="T1887" i="5"/>
  <c r="T1888" i="5"/>
  <c r="B1885" i="5"/>
  <c r="M1885" i="5" s="1"/>
  <c r="J1885" i="5"/>
  <c r="K1885" i="5" s="1"/>
  <c r="L1885" i="5" s="1"/>
  <c r="T1885" i="5"/>
  <c r="B1884" i="5"/>
  <c r="M1884" i="5" s="1"/>
  <c r="J1884" i="5"/>
  <c r="T1884" i="5"/>
  <c r="B1882" i="5"/>
  <c r="Q1882" i="5" s="1"/>
  <c r="B1883" i="5"/>
  <c r="Q1883" i="5" s="1"/>
  <c r="J1882" i="5"/>
  <c r="K1882" i="5" s="1"/>
  <c r="L1882" i="5" s="1"/>
  <c r="J1883" i="5"/>
  <c r="K1883" i="5" s="1"/>
  <c r="T1882" i="5"/>
  <c r="T1883" i="5"/>
  <c r="B1881" i="5"/>
  <c r="Q1881" i="5" s="1"/>
  <c r="J1881" i="5"/>
  <c r="K1881" i="5" s="1"/>
  <c r="L1881" i="5" s="1"/>
  <c r="T1881" i="5"/>
  <c r="B1879" i="5"/>
  <c r="M1879" i="5" s="1"/>
  <c r="B1880" i="5"/>
  <c r="M1880" i="5" s="1"/>
  <c r="J1879" i="5"/>
  <c r="K1879" i="5" s="1"/>
  <c r="L1879" i="5" s="1"/>
  <c r="P1879" i="5" s="1"/>
  <c r="J1880" i="5"/>
  <c r="K1880" i="5" s="1"/>
  <c r="L1880" i="5" s="1"/>
  <c r="T1879" i="5"/>
  <c r="T1880" i="5"/>
  <c r="B1878" i="5"/>
  <c r="M1878" i="5" s="1"/>
  <c r="J1878" i="5"/>
  <c r="K1878" i="5" s="1"/>
  <c r="L1878" i="5" s="1"/>
  <c r="T1878" i="5"/>
  <c r="B1876" i="5"/>
  <c r="B1877" i="5"/>
  <c r="Q1877" i="5" s="1"/>
  <c r="J1876" i="5"/>
  <c r="K1876" i="5" s="1"/>
  <c r="J1877" i="5"/>
  <c r="K1877" i="5" s="1"/>
  <c r="T1876" i="5"/>
  <c r="T1877" i="5"/>
  <c r="B1873" i="5"/>
  <c r="Q1873" i="5" s="1"/>
  <c r="B1874" i="5"/>
  <c r="Q1874" i="5" s="1"/>
  <c r="B1875" i="5"/>
  <c r="M1875" i="5" s="1"/>
  <c r="J1873" i="5"/>
  <c r="K1873" i="5" s="1"/>
  <c r="L1873" i="5" s="1"/>
  <c r="J1874" i="5"/>
  <c r="K1874" i="5" s="1"/>
  <c r="J1875" i="5"/>
  <c r="K1875" i="5" s="1"/>
  <c r="T1873" i="5"/>
  <c r="T1874" i="5"/>
  <c r="T1875" i="5"/>
  <c r="B1872" i="5"/>
  <c r="M1872" i="5" s="1"/>
  <c r="J1872" i="5"/>
  <c r="T1872" i="5"/>
  <c r="B1870" i="5"/>
  <c r="B1871" i="5"/>
  <c r="Q1871" i="5" s="1"/>
  <c r="J1870" i="5"/>
  <c r="K1870" i="5" s="1"/>
  <c r="J1871" i="5"/>
  <c r="K1871" i="5" s="1"/>
  <c r="T1870" i="5"/>
  <c r="T1871" i="5"/>
  <c r="B1868" i="5"/>
  <c r="Q1868" i="5" s="1"/>
  <c r="B1869" i="5"/>
  <c r="M1869" i="5" s="1"/>
  <c r="J1868" i="5"/>
  <c r="K1868" i="5" s="1"/>
  <c r="L1868" i="5" s="1"/>
  <c r="P1868" i="5" s="1"/>
  <c r="J1869" i="5"/>
  <c r="K1869" i="5" s="1"/>
  <c r="L1869" i="5" s="1"/>
  <c r="T1868" i="5"/>
  <c r="T1869" i="5"/>
  <c r="B1867" i="5"/>
  <c r="M1867" i="5" s="1"/>
  <c r="J1867" i="5"/>
  <c r="K1867" i="5" s="1"/>
  <c r="T1867" i="5"/>
  <c r="B1861" i="5"/>
  <c r="Q1861" i="5" s="1"/>
  <c r="B1862" i="5"/>
  <c r="M1862" i="5" s="1"/>
  <c r="B1863" i="5"/>
  <c r="M1863" i="5" s="1"/>
  <c r="B1864" i="5"/>
  <c r="Q1864" i="5" s="1"/>
  <c r="B1865" i="5"/>
  <c r="M1865" i="5" s="1"/>
  <c r="B1866" i="5"/>
  <c r="Q1866" i="5" s="1"/>
  <c r="J1861" i="5"/>
  <c r="K1861" i="5" s="1"/>
  <c r="J1862" i="5"/>
  <c r="K1862" i="5" s="1"/>
  <c r="J1863" i="5"/>
  <c r="K1863" i="5" s="1"/>
  <c r="L1863" i="5" s="1"/>
  <c r="J1864" i="5"/>
  <c r="K1864" i="5" s="1"/>
  <c r="J1865" i="5"/>
  <c r="J1866" i="5"/>
  <c r="K1866" i="5" s="1"/>
  <c r="L1866" i="5" s="1"/>
  <c r="P1866" i="5" s="1"/>
  <c r="T1861" i="5"/>
  <c r="T1862" i="5"/>
  <c r="T1863" i="5"/>
  <c r="T1864" i="5"/>
  <c r="T1865" i="5"/>
  <c r="T1866" i="5"/>
  <c r="B1855" i="5"/>
  <c r="M1855" i="5" s="1"/>
  <c r="B1856" i="5"/>
  <c r="Q1856" i="5" s="1"/>
  <c r="B1857" i="5"/>
  <c r="Q1857" i="5" s="1"/>
  <c r="B1858" i="5"/>
  <c r="M1858" i="5" s="1"/>
  <c r="B1859" i="5"/>
  <c r="Q1859" i="5" s="1"/>
  <c r="B1860" i="5"/>
  <c r="Q1860" i="5" s="1"/>
  <c r="J1855" i="5"/>
  <c r="K1855" i="5" s="1"/>
  <c r="L1855" i="5" s="1"/>
  <c r="J1856" i="5"/>
  <c r="K1856" i="5" s="1"/>
  <c r="J1857" i="5"/>
  <c r="J1858" i="5"/>
  <c r="K1858" i="5" s="1"/>
  <c r="L1858" i="5" s="1"/>
  <c r="P1858" i="5" s="1"/>
  <c r="J1859" i="5"/>
  <c r="K1859" i="5" s="1"/>
  <c r="J1860" i="5"/>
  <c r="K1860" i="5" s="1"/>
  <c r="L1860" i="5" s="1"/>
  <c r="T1855" i="5"/>
  <c r="T1856" i="5"/>
  <c r="T1857" i="5"/>
  <c r="T1858" i="5"/>
  <c r="T1859" i="5"/>
  <c r="T1860" i="5"/>
  <c r="B1853" i="5"/>
  <c r="M1853" i="5" s="1"/>
  <c r="B1854" i="5"/>
  <c r="Q1854" i="5" s="1"/>
  <c r="J1853" i="5"/>
  <c r="J1854" i="5"/>
  <c r="T1853" i="5"/>
  <c r="T1854" i="5"/>
  <c r="B1846" i="5"/>
  <c r="M1846" i="5" s="1"/>
  <c r="B1847" i="5"/>
  <c r="Q1847" i="5" s="1"/>
  <c r="B1848" i="5"/>
  <c r="Q1848" i="5" s="1"/>
  <c r="B1849" i="5"/>
  <c r="Q1849" i="5" s="1"/>
  <c r="B1850" i="5"/>
  <c r="M1850" i="5" s="1"/>
  <c r="B1851" i="5"/>
  <c r="Q1851" i="5" s="1"/>
  <c r="B1852" i="5"/>
  <c r="Q1852" i="5" s="1"/>
  <c r="J1846" i="5"/>
  <c r="J1847" i="5"/>
  <c r="J1848" i="5"/>
  <c r="K1848" i="5" s="1"/>
  <c r="L1848" i="5" s="1"/>
  <c r="P1848" i="5" s="1"/>
  <c r="J1849" i="5"/>
  <c r="K1849" i="5" s="1"/>
  <c r="J1850" i="5"/>
  <c r="J1851" i="5"/>
  <c r="J1852" i="5"/>
  <c r="K1852" i="5" s="1"/>
  <c r="L1852" i="5" s="1"/>
  <c r="P1852" i="5" s="1"/>
  <c r="T1846" i="5"/>
  <c r="T1847" i="5"/>
  <c r="T1848" i="5"/>
  <c r="T1849" i="5"/>
  <c r="T1850" i="5"/>
  <c r="T1851" i="5"/>
  <c r="T1852" i="5"/>
  <c r="B1843" i="5"/>
  <c r="M1843" i="5" s="1"/>
  <c r="B1844" i="5"/>
  <c r="M1844" i="5" s="1"/>
  <c r="B1845" i="5"/>
  <c r="M1845" i="5" s="1"/>
  <c r="J1843" i="5"/>
  <c r="K1843" i="5" s="1"/>
  <c r="L1843" i="5" s="1"/>
  <c r="P1843" i="5" s="1"/>
  <c r="J1844" i="5"/>
  <c r="K1844" i="5" s="1"/>
  <c r="J1845" i="5"/>
  <c r="K1845" i="5" s="1"/>
  <c r="T1843" i="5"/>
  <c r="T1844" i="5"/>
  <c r="T1845" i="5"/>
  <c r="B1839" i="5"/>
  <c r="M1839" i="5" s="1"/>
  <c r="B1840" i="5"/>
  <c r="M1840" i="5" s="1"/>
  <c r="B1841" i="5"/>
  <c r="Q1841" i="5" s="1"/>
  <c r="B1842" i="5"/>
  <c r="Q1842" i="5" s="1"/>
  <c r="J1839" i="5"/>
  <c r="K1839" i="5" s="1"/>
  <c r="J1840" i="5"/>
  <c r="K1840" i="5" s="1"/>
  <c r="J1841" i="5"/>
  <c r="K1841" i="5" s="1"/>
  <c r="L1841" i="5" s="1"/>
  <c r="P1841" i="5" s="1"/>
  <c r="J1842" i="5"/>
  <c r="K1842" i="5" s="1"/>
  <c r="L1842" i="5" s="1"/>
  <c r="T1839" i="5"/>
  <c r="T1840" i="5"/>
  <c r="T1841" i="5"/>
  <c r="T1842" i="5"/>
  <c r="B1836" i="5"/>
  <c r="Q1836" i="5" s="1"/>
  <c r="B1837" i="5"/>
  <c r="Q1837" i="5" s="1"/>
  <c r="B1838" i="5"/>
  <c r="M1838" i="5" s="1"/>
  <c r="J1836" i="5"/>
  <c r="K1836" i="5" s="1"/>
  <c r="J1837" i="5"/>
  <c r="K1837" i="5" s="1"/>
  <c r="J1838" i="5"/>
  <c r="K1838" i="5" s="1"/>
  <c r="T1836" i="5"/>
  <c r="T1837" i="5"/>
  <c r="T1838" i="5"/>
  <c r="B1831" i="5"/>
  <c r="M1831" i="5" s="1"/>
  <c r="B1832" i="5"/>
  <c r="M1832" i="5" s="1"/>
  <c r="B1833" i="5"/>
  <c r="M1833" i="5" s="1"/>
  <c r="B1834" i="5"/>
  <c r="M1834" i="5" s="1"/>
  <c r="B1835" i="5"/>
  <c r="Q1835" i="5" s="1"/>
  <c r="J1831" i="5"/>
  <c r="J1832" i="5"/>
  <c r="J1833" i="5"/>
  <c r="K1833" i="5" s="1"/>
  <c r="J1834" i="5"/>
  <c r="K1834" i="5" s="1"/>
  <c r="J1835" i="5"/>
  <c r="T1831" i="5"/>
  <c r="T1832" i="5"/>
  <c r="T1833" i="5"/>
  <c r="T1834" i="5"/>
  <c r="T1835" i="5"/>
  <c r="B1826" i="5"/>
  <c r="Q1826" i="5" s="1"/>
  <c r="B1827" i="5"/>
  <c r="Q1827" i="5" s="1"/>
  <c r="B1828" i="5"/>
  <c r="M1828" i="5" s="1"/>
  <c r="B1829" i="5"/>
  <c r="M1829" i="5" s="1"/>
  <c r="B1830" i="5"/>
  <c r="Q1830" i="5" s="1"/>
  <c r="J1826" i="5"/>
  <c r="J1827" i="5"/>
  <c r="J1828" i="5"/>
  <c r="J1829" i="5"/>
  <c r="J1830" i="5"/>
  <c r="K1830" i="5" s="1"/>
  <c r="T1826" i="5"/>
  <c r="T1827" i="5"/>
  <c r="T1828" i="5"/>
  <c r="T1829" i="5"/>
  <c r="T1830" i="5"/>
  <c r="B1820" i="5"/>
  <c r="M1820" i="5" s="1"/>
  <c r="B1821" i="5"/>
  <c r="Q1821" i="5" s="1"/>
  <c r="B1822" i="5"/>
  <c r="M1822" i="5" s="1"/>
  <c r="B1823" i="5"/>
  <c r="M1823" i="5" s="1"/>
  <c r="B1824" i="5"/>
  <c r="M1824" i="5" s="1"/>
  <c r="B1825" i="5"/>
  <c r="M1825" i="5" s="1"/>
  <c r="J1820" i="5"/>
  <c r="K1820" i="5" s="1"/>
  <c r="L1820" i="5" s="1"/>
  <c r="J1821" i="5"/>
  <c r="K1821" i="5" s="1"/>
  <c r="J1822" i="5"/>
  <c r="K1822" i="5" s="1"/>
  <c r="L1822" i="5" s="1"/>
  <c r="P1822" i="5" s="1"/>
  <c r="J1823" i="5"/>
  <c r="K1823" i="5" s="1"/>
  <c r="L1823" i="5" s="1"/>
  <c r="J1824" i="5"/>
  <c r="K1824" i="5" s="1"/>
  <c r="J1825" i="5"/>
  <c r="K1825" i="5" s="1"/>
  <c r="T1820" i="5"/>
  <c r="T1821" i="5"/>
  <c r="T1822" i="5"/>
  <c r="T1823" i="5"/>
  <c r="T1824" i="5"/>
  <c r="T1825" i="5"/>
  <c r="B1812" i="5"/>
  <c r="Q1812" i="5" s="1"/>
  <c r="B1813" i="5"/>
  <c r="Q1813" i="5" s="1"/>
  <c r="B1814" i="5"/>
  <c r="M1814" i="5" s="1"/>
  <c r="B1815" i="5"/>
  <c r="M1815" i="5" s="1"/>
  <c r="B1816" i="5"/>
  <c r="Q1816" i="5" s="1"/>
  <c r="B1817" i="5"/>
  <c r="Q1817" i="5" s="1"/>
  <c r="B1818" i="5"/>
  <c r="Q1818" i="5" s="1"/>
  <c r="B1819" i="5"/>
  <c r="M1819" i="5" s="1"/>
  <c r="J1812" i="5"/>
  <c r="K1812" i="5" s="1"/>
  <c r="J1813" i="5"/>
  <c r="K1813" i="5" s="1"/>
  <c r="J1814" i="5"/>
  <c r="K1814" i="5" s="1"/>
  <c r="J1815" i="5"/>
  <c r="J1816" i="5"/>
  <c r="K1816" i="5" s="1"/>
  <c r="J1817" i="5"/>
  <c r="K1817" i="5" s="1"/>
  <c r="J1818" i="5"/>
  <c r="K1818" i="5" s="1"/>
  <c r="J1819" i="5"/>
  <c r="K1819" i="5" s="1"/>
  <c r="T1812" i="5"/>
  <c r="T1813" i="5"/>
  <c r="T1814" i="5"/>
  <c r="T1815" i="5"/>
  <c r="T1816" i="5"/>
  <c r="T1817" i="5"/>
  <c r="T1818" i="5"/>
  <c r="T1819" i="5"/>
  <c r="B1808" i="5"/>
  <c r="M1808" i="5" s="1"/>
  <c r="B1809" i="5"/>
  <c r="Q1809" i="5" s="1"/>
  <c r="B1810" i="5"/>
  <c r="Q1810" i="5" s="1"/>
  <c r="B1811" i="5"/>
  <c r="Q1811" i="5" s="1"/>
  <c r="J1808" i="5"/>
  <c r="K1808" i="5" s="1"/>
  <c r="L1808" i="5" s="1"/>
  <c r="J1809" i="5"/>
  <c r="J1810" i="5"/>
  <c r="K1810" i="5" s="1"/>
  <c r="J1811" i="5"/>
  <c r="K1811" i="5" s="1"/>
  <c r="L1811" i="5" s="1"/>
  <c r="T1808" i="5"/>
  <c r="T1809" i="5"/>
  <c r="T1810" i="5"/>
  <c r="T1811" i="5"/>
  <c r="B1802" i="5"/>
  <c r="M1802" i="5" s="1"/>
  <c r="B1803" i="5"/>
  <c r="M1803" i="5" s="1"/>
  <c r="B1804" i="5"/>
  <c r="M1804" i="5" s="1"/>
  <c r="B1805" i="5"/>
  <c r="Q1805" i="5" s="1"/>
  <c r="B1806" i="5"/>
  <c r="M1806" i="5" s="1"/>
  <c r="B1807" i="5"/>
  <c r="M1807" i="5" s="1"/>
  <c r="J1802" i="5"/>
  <c r="K1802" i="5" s="1"/>
  <c r="J1803" i="5"/>
  <c r="K1803" i="5" s="1"/>
  <c r="L1803" i="5" s="1"/>
  <c r="J1804" i="5"/>
  <c r="K1804" i="5" s="1"/>
  <c r="J1805" i="5"/>
  <c r="K1805" i="5" s="1"/>
  <c r="L1805" i="5" s="1"/>
  <c r="P1805" i="5" s="1"/>
  <c r="J1806" i="5"/>
  <c r="K1806" i="5" s="1"/>
  <c r="L1806" i="5" s="1"/>
  <c r="J1807" i="5"/>
  <c r="K1807" i="5" s="1"/>
  <c r="T1802" i="5"/>
  <c r="T1803" i="5"/>
  <c r="T1804" i="5"/>
  <c r="T1805" i="5"/>
  <c r="T1806" i="5"/>
  <c r="T1807" i="5"/>
  <c r="Q2576" i="5" l="1"/>
  <c r="M2622" i="5"/>
  <c r="M2259" i="5"/>
  <c r="M2456" i="5"/>
  <c r="N2456" i="5" s="1"/>
  <c r="M2469" i="5"/>
  <c r="Q2478" i="5"/>
  <c r="R2478" i="5" s="1"/>
  <c r="S2478" i="5" s="1"/>
  <c r="M2308" i="5"/>
  <c r="N2308" i="5" s="1"/>
  <c r="M2346" i="5"/>
  <c r="N2346" i="5" s="1"/>
  <c r="O2346" i="5" s="1"/>
  <c r="Q2394" i="5"/>
  <c r="R2394" i="5" s="1"/>
  <c r="S2394" i="5" s="1"/>
  <c r="M2488" i="5"/>
  <c r="N2488" i="5" s="1"/>
  <c r="O2488" i="5" s="1"/>
  <c r="M2313" i="5"/>
  <c r="Q2227" i="5"/>
  <c r="M2015" i="5"/>
  <c r="M2035" i="5"/>
  <c r="N2035" i="5" s="1"/>
  <c r="M2225" i="5"/>
  <c r="Q1843" i="5"/>
  <c r="R1843" i="5" s="1"/>
  <c r="S1843" i="5" s="1"/>
  <c r="M2476" i="5"/>
  <c r="N2476" i="5" s="1"/>
  <c r="U2476" i="5" s="1"/>
  <c r="V2476" i="5" s="1"/>
  <c r="M2034" i="5"/>
  <c r="N2034" i="5" s="1"/>
  <c r="M1895" i="5"/>
  <c r="Q2208" i="5"/>
  <c r="R2208" i="5" s="1"/>
  <c r="S2208" i="5" s="1"/>
  <c r="M2089" i="5"/>
  <c r="M2330" i="5"/>
  <c r="N2330" i="5" s="1"/>
  <c r="Q2271" i="5"/>
  <c r="M2470" i="5"/>
  <c r="M2256" i="5"/>
  <c r="M2111" i="5"/>
  <c r="N2111" i="5" s="1"/>
  <c r="M2258" i="5"/>
  <c r="M2613" i="5"/>
  <c r="M2077" i="5"/>
  <c r="M2495" i="5"/>
  <c r="M1922" i="5"/>
  <c r="M1949" i="5"/>
  <c r="N1949" i="5" s="1"/>
  <c r="O1949" i="5" s="1"/>
  <c r="M2224" i="5"/>
  <c r="M2314" i="5"/>
  <c r="M2312" i="5"/>
  <c r="M2468" i="5"/>
  <c r="M1948" i="5"/>
  <c r="N1948" i="5" s="1"/>
  <c r="U1948" i="5" s="1"/>
  <c r="V1948" i="5" s="1"/>
  <c r="M2023" i="5"/>
  <c r="M2307" i="5"/>
  <c r="N2307" i="5" s="1"/>
  <c r="M2204" i="5"/>
  <c r="M2347" i="5"/>
  <c r="Q1962" i="5"/>
  <c r="R1962" i="5" s="1"/>
  <c r="S1962" i="5" s="1"/>
  <c r="Q2174" i="5"/>
  <c r="R2174" i="5" s="1"/>
  <c r="S2174" i="5" s="1"/>
  <c r="Q1844" i="5"/>
  <c r="R1844" i="5" s="1"/>
  <c r="S1844" i="5" s="1"/>
  <c r="M1923" i="5"/>
  <c r="N1923" i="5" s="1"/>
  <c r="M2066" i="5"/>
  <c r="M2065" i="5"/>
  <c r="N2065" i="5" s="1"/>
  <c r="M1836" i="5"/>
  <c r="U3132" i="5"/>
  <c r="V3132" i="5" s="1"/>
  <c r="Q2054" i="5"/>
  <c r="R2054" i="5" s="1"/>
  <c r="S2054" i="5" s="1"/>
  <c r="O3298" i="5"/>
  <c r="O3252" i="5"/>
  <c r="M2090" i="5"/>
  <c r="M2634" i="5"/>
  <c r="N2634" i="5" s="1"/>
  <c r="O3238" i="5"/>
  <c r="U3129" i="5"/>
  <c r="V3129" i="5" s="1"/>
  <c r="O3247" i="5"/>
  <c r="U3222" i="5"/>
  <c r="V3222" i="5" s="1"/>
  <c r="U3127" i="5"/>
  <c r="V3127" i="5" s="1"/>
  <c r="U3316" i="5"/>
  <c r="V3316" i="5" s="1"/>
  <c r="U3099" i="5"/>
  <c r="V3099" i="5" s="1"/>
  <c r="U3259" i="5"/>
  <c r="V3259" i="5" s="1"/>
  <c r="O3275" i="5"/>
  <c r="U3234" i="5"/>
  <c r="V3234" i="5" s="1"/>
  <c r="O3221" i="5"/>
  <c r="O3152" i="5"/>
  <c r="U3290" i="5"/>
  <c r="V3290" i="5" s="1"/>
  <c r="O3135" i="5"/>
  <c r="U3113" i="5"/>
  <c r="V3113" i="5" s="1"/>
  <c r="U3220" i="5"/>
  <c r="V3220" i="5" s="1"/>
  <c r="U3287" i="5"/>
  <c r="V3287" i="5" s="1"/>
  <c r="O3313" i="5"/>
  <c r="O3115" i="5"/>
  <c r="U3121" i="5"/>
  <c r="V3121" i="5" s="1"/>
  <c r="U3250" i="5"/>
  <c r="V3250" i="5" s="1"/>
  <c r="O3234" i="5"/>
  <c r="U3284" i="5"/>
  <c r="V3284" i="5" s="1"/>
  <c r="U3194" i="5"/>
  <c r="V3194" i="5" s="1"/>
  <c r="O3158" i="5"/>
  <c r="O3256" i="5"/>
  <c r="O3107" i="5"/>
  <c r="Q2055" i="5"/>
  <c r="U3144" i="5"/>
  <c r="V3144" i="5" s="1"/>
  <c r="O3215" i="5"/>
  <c r="U3228" i="5"/>
  <c r="V3228" i="5" s="1"/>
  <c r="O3178" i="5"/>
  <c r="U3203" i="5"/>
  <c r="V3203" i="5" s="1"/>
  <c r="O3281" i="5"/>
  <c r="O3282" i="5"/>
  <c r="U3282" i="5"/>
  <c r="V3282" i="5" s="1"/>
  <c r="U3191" i="5"/>
  <c r="V3191" i="5" s="1"/>
  <c r="U3244" i="5"/>
  <c r="V3244" i="5" s="1"/>
  <c r="Q2623" i="5"/>
  <c r="R2623" i="5" s="1"/>
  <c r="S2623" i="5" s="1"/>
  <c r="U3299" i="5"/>
  <c r="V3299" i="5" s="1"/>
  <c r="U3231" i="5"/>
  <c r="V3231" i="5" s="1"/>
  <c r="U3235" i="5"/>
  <c r="V3235" i="5" s="1"/>
  <c r="U3278" i="5"/>
  <c r="V3278" i="5" s="1"/>
  <c r="U3311" i="5"/>
  <c r="V3311" i="5" s="1"/>
  <c r="O3311" i="5"/>
  <c r="U3305" i="5"/>
  <c r="V3305" i="5" s="1"/>
  <c r="O3305" i="5"/>
  <c r="U3301" i="5"/>
  <c r="V3301" i="5" s="1"/>
  <c r="O3299" i="5"/>
  <c r="U3295" i="5"/>
  <c r="V3295" i="5" s="1"/>
  <c r="O3262" i="5"/>
  <c r="U3214" i="5"/>
  <c r="V3214" i="5" s="1"/>
  <c r="U3197" i="5"/>
  <c r="V3197" i="5" s="1"/>
  <c r="U3185" i="5"/>
  <c r="V3185" i="5" s="1"/>
  <c r="U3176" i="5"/>
  <c r="V3176" i="5" s="1"/>
  <c r="U3106" i="5"/>
  <c r="V3106" i="5" s="1"/>
  <c r="U3304" i="5"/>
  <c r="V3304" i="5" s="1"/>
  <c r="U3124" i="5"/>
  <c r="V3124" i="5" s="1"/>
  <c r="U3262" i="5"/>
  <c r="V3262" i="5" s="1"/>
  <c r="U3256" i="5"/>
  <c r="V3256" i="5" s="1"/>
  <c r="O3214" i="5"/>
  <c r="U3170" i="5"/>
  <c r="V3170" i="5" s="1"/>
  <c r="O3113" i="5"/>
  <c r="O3206" i="5"/>
  <c r="U3206" i="5"/>
  <c r="V3206" i="5" s="1"/>
  <c r="U3212" i="5"/>
  <c r="V3212" i="5" s="1"/>
  <c r="O3212" i="5"/>
  <c r="O3096" i="5"/>
  <c r="U3096" i="5"/>
  <c r="V3096" i="5" s="1"/>
  <c r="U3225" i="5"/>
  <c r="V3225" i="5" s="1"/>
  <c r="U3101" i="5"/>
  <c r="V3101" i="5" s="1"/>
  <c r="U3307" i="5"/>
  <c r="V3307" i="5" s="1"/>
  <c r="O3091" i="5"/>
  <c r="U3091" i="5"/>
  <c r="V3091" i="5" s="1"/>
  <c r="U3208" i="5"/>
  <c r="V3208" i="5" s="1"/>
  <c r="U3205" i="5"/>
  <c r="V3205" i="5" s="1"/>
  <c r="O3203" i="5"/>
  <c r="U3188" i="5"/>
  <c r="V3188" i="5" s="1"/>
  <c r="O3176" i="5"/>
  <c r="U3164" i="5"/>
  <c r="V3164" i="5" s="1"/>
  <c r="U3150" i="5"/>
  <c r="V3150" i="5" s="1"/>
  <c r="O3124" i="5"/>
  <c r="O3244" i="5"/>
  <c r="O3287" i="5"/>
  <c r="O3150" i="5"/>
  <c r="O3106" i="5"/>
  <c r="O3191" i="5"/>
  <c r="O3220" i="5"/>
  <c r="O3197" i="5"/>
  <c r="O3295" i="5"/>
  <c r="O3284" i="5"/>
  <c r="O3188" i="5"/>
  <c r="O3164" i="5"/>
  <c r="O3225" i="5"/>
  <c r="O3101" i="5"/>
  <c r="O3307" i="5"/>
  <c r="O3304" i="5"/>
  <c r="O3231" i="5"/>
  <c r="O3208" i="5"/>
  <c r="O3235" i="5"/>
  <c r="O3185" i="5"/>
  <c r="O3278" i="5"/>
  <c r="O3301" i="5"/>
  <c r="O3205" i="5"/>
  <c r="O3170" i="5"/>
  <c r="O2869" i="5"/>
  <c r="U2822" i="5"/>
  <c r="V2822" i="5" s="1"/>
  <c r="U3084" i="5"/>
  <c r="V3084" i="5" s="1"/>
  <c r="U2754" i="5"/>
  <c r="V2754" i="5" s="1"/>
  <c r="O2879" i="5"/>
  <c r="U2667" i="5"/>
  <c r="V2667" i="5" s="1"/>
  <c r="U2857" i="5"/>
  <c r="V2857" i="5" s="1"/>
  <c r="U2958" i="5"/>
  <c r="V2958" i="5" s="1"/>
  <c r="U2899" i="5"/>
  <c r="V2899" i="5" s="1"/>
  <c r="U2951" i="5"/>
  <c r="V2951" i="5" s="1"/>
  <c r="O2746" i="5"/>
  <c r="O2913" i="5"/>
  <c r="U2888" i="5"/>
  <c r="V2888" i="5" s="1"/>
  <c r="M2260" i="5"/>
  <c r="U2954" i="5"/>
  <c r="V2954" i="5" s="1"/>
  <c r="U2742" i="5"/>
  <c r="V2742" i="5" s="1"/>
  <c r="O2875" i="5"/>
  <c r="U2875" i="5"/>
  <c r="V2875" i="5" s="1"/>
  <c r="U2889" i="5"/>
  <c r="V2889" i="5" s="1"/>
  <c r="O2737" i="5"/>
  <c r="O2792" i="5"/>
  <c r="O2943" i="5"/>
  <c r="U2973" i="5"/>
  <c r="V2973" i="5" s="1"/>
  <c r="U2914" i="5"/>
  <c r="V2914" i="5" s="1"/>
  <c r="M2362" i="5"/>
  <c r="O2868" i="5"/>
  <c r="M2334" i="5"/>
  <c r="N2334" i="5" s="1"/>
  <c r="M2170" i="5"/>
  <c r="N2170" i="5" s="1"/>
  <c r="U2867" i="5"/>
  <c r="V2867" i="5" s="1"/>
  <c r="O2867" i="5"/>
  <c r="M2098" i="5"/>
  <c r="O2902" i="5"/>
  <c r="U2902" i="5"/>
  <c r="V2902" i="5" s="1"/>
  <c r="U2897" i="5"/>
  <c r="V2897" i="5" s="1"/>
  <c r="O3067" i="5"/>
  <c r="U3067" i="5"/>
  <c r="V3067" i="5" s="1"/>
  <c r="O3039" i="5"/>
  <c r="U3039" i="5"/>
  <c r="V3039" i="5" s="1"/>
  <c r="O3063" i="5"/>
  <c r="U3063" i="5"/>
  <c r="V3063" i="5" s="1"/>
  <c r="O3036" i="5"/>
  <c r="U3036" i="5"/>
  <c r="V3036" i="5" s="1"/>
  <c r="O2694" i="5"/>
  <c r="U2694" i="5"/>
  <c r="V2694" i="5" s="1"/>
  <c r="O2936" i="5"/>
  <c r="U2936" i="5"/>
  <c r="V2936" i="5" s="1"/>
  <c r="O2836" i="5"/>
  <c r="U2836" i="5"/>
  <c r="V2836" i="5" s="1"/>
  <c r="O2784" i="5"/>
  <c r="U2784" i="5"/>
  <c r="V2784" i="5" s="1"/>
  <c r="U2922" i="5"/>
  <c r="V2922" i="5" s="1"/>
  <c r="O2922" i="5"/>
  <c r="O2961" i="5"/>
  <c r="U2961" i="5"/>
  <c r="V2961" i="5" s="1"/>
  <c r="O2777" i="5"/>
  <c r="U2777" i="5"/>
  <c r="V2777" i="5" s="1"/>
  <c r="O3000" i="5"/>
  <c r="U3000" i="5"/>
  <c r="V3000" i="5" s="1"/>
  <c r="O3017" i="5"/>
  <c r="U3017" i="5"/>
  <c r="V3017" i="5" s="1"/>
  <c r="O2948" i="5"/>
  <c r="U2948" i="5"/>
  <c r="V2948" i="5" s="1"/>
  <c r="O2809" i="5"/>
  <c r="U2809" i="5"/>
  <c r="V2809" i="5" s="1"/>
  <c r="O2907" i="5"/>
  <c r="U2907" i="5"/>
  <c r="V2907" i="5" s="1"/>
  <c r="O2923" i="5"/>
  <c r="U2923" i="5"/>
  <c r="V2923" i="5" s="1"/>
  <c r="O3027" i="5"/>
  <c r="U3027" i="5"/>
  <c r="V3027" i="5" s="1"/>
  <c r="Q2647" i="5"/>
  <c r="R2647" i="5" s="1"/>
  <c r="S2647" i="5" s="1"/>
  <c r="M2648" i="5"/>
  <c r="M1897" i="5"/>
  <c r="M2036" i="5"/>
  <c r="M2448" i="5"/>
  <c r="M2298" i="5"/>
  <c r="N2298" i="5" s="1"/>
  <c r="M1842" i="5"/>
  <c r="N1842" i="5" s="1"/>
  <c r="Q2607" i="5"/>
  <c r="R2607" i="5" s="1"/>
  <c r="S2607" i="5" s="1"/>
  <c r="Q2345" i="5"/>
  <c r="R2345" i="5" s="1"/>
  <c r="S2345" i="5" s="1"/>
  <c r="M2305" i="5"/>
  <c r="M1896" i="5"/>
  <c r="M2304" i="5"/>
  <c r="N2304" i="5" s="1"/>
  <c r="Q2327" i="5"/>
  <c r="R2327" i="5" s="1"/>
  <c r="S2327" i="5" s="1"/>
  <c r="M2449" i="5"/>
  <c r="N2449" i="5" s="1"/>
  <c r="Q2466" i="5"/>
  <c r="R2466" i="5" s="1"/>
  <c r="S2466" i="5" s="1"/>
  <c r="M1841" i="5"/>
  <c r="N1841" i="5" s="1"/>
  <c r="Q2638" i="5"/>
  <c r="Q2604" i="5"/>
  <c r="R2604" i="5" s="1"/>
  <c r="S2604" i="5" s="1"/>
  <c r="M2382" i="5"/>
  <c r="M2333" i="5"/>
  <c r="Q2484" i="5"/>
  <c r="R2484" i="5" s="1"/>
  <c r="S2484" i="5" s="1"/>
  <c r="Q2236" i="5"/>
  <c r="R2236" i="5" s="1"/>
  <c r="S2236" i="5" s="1"/>
  <c r="M2361" i="5"/>
  <c r="L2611" i="5"/>
  <c r="P2611" i="5" s="1"/>
  <c r="M2288" i="5"/>
  <c r="M2371" i="5"/>
  <c r="M2282" i="5"/>
  <c r="Q2360" i="5"/>
  <c r="R2360" i="5" s="1"/>
  <c r="S2360" i="5" s="1"/>
  <c r="M2501" i="5"/>
  <c r="N2501" i="5" s="1"/>
  <c r="Q1845" i="5"/>
  <c r="R1845" i="5" s="1"/>
  <c r="S1845" i="5" s="1"/>
  <c r="Q2296" i="5"/>
  <c r="R2296" i="5" s="1"/>
  <c r="S2296" i="5" s="1"/>
  <c r="Q2358" i="5"/>
  <c r="R2358" i="5" s="1"/>
  <c r="S2358" i="5" s="1"/>
  <c r="Q2367" i="5"/>
  <c r="R2367" i="5" s="1"/>
  <c r="S2367" i="5" s="1"/>
  <c r="L2481" i="5"/>
  <c r="P2481" i="5" s="1"/>
  <c r="M2594" i="5"/>
  <c r="M2642" i="5"/>
  <c r="Q2437" i="5"/>
  <c r="R2437" i="5" s="1"/>
  <c r="S2437" i="5" s="1"/>
  <c r="Q2332" i="5"/>
  <c r="R2332" i="5" s="1"/>
  <c r="S2332" i="5" s="1"/>
  <c r="M2359" i="5"/>
  <c r="Q2560" i="5"/>
  <c r="R2560" i="5" s="1"/>
  <c r="S2560" i="5" s="1"/>
  <c r="Q2247" i="5"/>
  <c r="R2247" i="5" s="1"/>
  <c r="S2247" i="5" s="1"/>
  <c r="Q2338" i="5"/>
  <c r="Q2388" i="5"/>
  <c r="R2388" i="5" s="1"/>
  <c r="S2388" i="5" s="1"/>
  <c r="Q2563" i="5"/>
  <c r="R2563" i="5" s="1"/>
  <c r="S2563" i="5" s="1"/>
  <c r="Q2342" i="5"/>
  <c r="R2342" i="5" s="1"/>
  <c r="S2342" i="5" s="1"/>
  <c r="M2373" i="5"/>
  <c r="Q2402" i="5"/>
  <c r="Q2611" i="5"/>
  <c r="R2611" i="5" s="1"/>
  <c r="S2611" i="5" s="1"/>
  <c r="Q2621" i="5"/>
  <c r="R2621" i="5" s="1"/>
  <c r="S2621" i="5" s="1"/>
  <c r="M2310" i="5"/>
  <c r="N2310" i="5" s="1"/>
  <c r="M2368" i="5"/>
  <c r="Q2376" i="5"/>
  <c r="M2421" i="5"/>
  <c r="M2462" i="5"/>
  <c r="N2462" i="5" s="1"/>
  <c r="M2573" i="5"/>
  <c r="Q2646" i="5"/>
  <c r="R2646" i="5" s="1"/>
  <c r="S2646" i="5" s="1"/>
  <c r="M2284" i="5"/>
  <c r="M2349" i="5"/>
  <c r="N2349" i="5" s="1"/>
  <c r="M2378" i="5"/>
  <c r="M2396" i="5"/>
  <c r="Q2473" i="5"/>
  <c r="M2490" i="5"/>
  <c r="Q2517" i="5"/>
  <c r="R2517" i="5" s="1"/>
  <c r="S2517" i="5" s="1"/>
  <c r="M2599" i="5"/>
  <c r="L2616" i="5"/>
  <c r="N2616" i="5" s="1"/>
  <c r="M2300" i="5"/>
  <c r="N2300" i="5" s="1"/>
  <c r="M2410" i="5"/>
  <c r="M2428" i="5"/>
  <c r="N2428" i="5" s="1"/>
  <c r="O2428" i="5" s="1"/>
  <c r="M2510" i="5"/>
  <c r="Q2527" i="5"/>
  <c r="L2575" i="5"/>
  <c r="P2575" i="5" s="1"/>
  <c r="Q2584" i="5"/>
  <c r="R2584" i="5" s="1"/>
  <c r="S2584" i="5" s="1"/>
  <c r="M2286" i="5"/>
  <c r="N2286" i="5" s="1"/>
  <c r="M2318" i="5"/>
  <c r="Q2458" i="5"/>
  <c r="Q2558" i="5"/>
  <c r="R2558" i="5" s="1"/>
  <c r="S2558" i="5" s="1"/>
  <c r="Q2597" i="5"/>
  <c r="R2597" i="5" s="1"/>
  <c r="S2597" i="5" s="1"/>
  <c r="Q2640" i="5"/>
  <c r="R2640" i="5" s="1"/>
  <c r="S2640" i="5" s="1"/>
  <c r="M2317" i="5"/>
  <c r="M2372" i="5"/>
  <c r="N2372" i="5" s="1"/>
  <c r="Q2406" i="5"/>
  <c r="R2406" i="5" s="1"/>
  <c r="S2406" i="5" s="1"/>
  <c r="M2429" i="5"/>
  <c r="N2429" i="5" s="1"/>
  <c r="M2435" i="5"/>
  <c r="Q2493" i="5"/>
  <c r="M2500" i="5"/>
  <c r="M2523" i="5"/>
  <c r="Q2531" i="5"/>
  <c r="M2548" i="5"/>
  <c r="M2615" i="5"/>
  <c r="Q2643" i="5"/>
  <c r="R2643" i="5" s="1"/>
  <c r="S2643" i="5" s="1"/>
  <c r="M2325" i="5"/>
  <c r="Q2395" i="5"/>
  <c r="R2395" i="5" s="1"/>
  <c r="S2395" i="5" s="1"/>
  <c r="Q2474" i="5"/>
  <c r="Q2498" i="5"/>
  <c r="R2498" i="5" s="1"/>
  <c r="S2498" i="5" s="1"/>
  <c r="Q2543" i="5"/>
  <c r="R2543" i="5" s="1"/>
  <c r="S2543" i="5" s="1"/>
  <c r="Q2553" i="5"/>
  <c r="R2553" i="5" s="1"/>
  <c r="S2553" i="5" s="1"/>
  <c r="M2566" i="5"/>
  <c r="Q2593" i="5"/>
  <c r="R2593" i="5" s="1"/>
  <c r="S2593" i="5" s="1"/>
  <c r="Q2625" i="5"/>
  <c r="R2625" i="5" s="1"/>
  <c r="S2625" i="5" s="1"/>
  <c r="Q2306" i="5"/>
  <c r="R2306" i="5" s="1"/>
  <c r="S2306" i="5" s="1"/>
  <c r="Q2369" i="5"/>
  <c r="R2369" i="5" s="1"/>
  <c r="S2369" i="5" s="1"/>
  <c r="R2389" i="5"/>
  <c r="S2389" i="5" s="1"/>
  <c r="Q2411" i="5"/>
  <c r="R2411" i="5" s="1"/>
  <c r="S2411" i="5" s="1"/>
  <c r="M2430" i="5"/>
  <c r="M2506" i="5"/>
  <c r="M2534" i="5"/>
  <c r="N2534" i="5" s="1"/>
  <c r="M2538" i="5"/>
  <c r="N2538" i="5" s="1"/>
  <c r="O2538" i="5" s="1"/>
  <c r="M2554" i="5"/>
  <c r="R2564" i="5"/>
  <c r="S2564" i="5" s="1"/>
  <c r="Q2592" i="5"/>
  <c r="R2592" i="5" s="1"/>
  <c r="S2592" i="5" s="1"/>
  <c r="L2610" i="5"/>
  <c r="P2610" i="5" s="1"/>
  <c r="M2639" i="5"/>
  <c r="R2636" i="5"/>
  <c r="S2636" i="5" s="1"/>
  <c r="M2168" i="5"/>
  <c r="M2355" i="5"/>
  <c r="Q2454" i="5"/>
  <c r="Q2460" i="5"/>
  <c r="M2505" i="5"/>
  <c r="N2505" i="5" s="1"/>
  <c r="Q2514" i="5"/>
  <c r="R2514" i="5" s="1"/>
  <c r="S2514" i="5" s="1"/>
  <c r="Q2556" i="5"/>
  <c r="M2294" i="5"/>
  <c r="M2389" i="5"/>
  <c r="Q2397" i="5"/>
  <c r="Q2399" i="5"/>
  <c r="R2399" i="5" s="1"/>
  <c r="S2399" i="5" s="1"/>
  <c r="M2407" i="5"/>
  <c r="Q2418" i="5"/>
  <c r="R2418" i="5" s="1"/>
  <c r="S2418" i="5" s="1"/>
  <c r="Q2422" i="5"/>
  <c r="R2422" i="5" s="1"/>
  <c r="S2422" i="5" s="1"/>
  <c r="M2432" i="5"/>
  <c r="Q2459" i="5"/>
  <c r="R2459" i="5" s="1"/>
  <c r="S2459" i="5" s="1"/>
  <c r="Q2508" i="5"/>
  <c r="R2508" i="5" s="1"/>
  <c r="S2508" i="5" s="1"/>
  <c r="L2507" i="5"/>
  <c r="P2507" i="5" s="1"/>
  <c r="M2521" i="5"/>
  <c r="Q2530" i="5"/>
  <c r="R2530" i="5" s="1"/>
  <c r="S2530" i="5" s="1"/>
  <c r="M2565" i="5"/>
  <c r="Q2606" i="5"/>
  <c r="R2606" i="5" s="1"/>
  <c r="S2606" i="5" s="1"/>
  <c r="Q2612" i="5"/>
  <c r="R2612" i="5" s="1"/>
  <c r="S2612" i="5" s="1"/>
  <c r="Q2200" i="5"/>
  <c r="R2200" i="5" s="1"/>
  <c r="S2200" i="5" s="1"/>
  <c r="M2293" i="5"/>
  <c r="N2293" i="5" s="1"/>
  <c r="Q2356" i="5"/>
  <c r="R2356" i="5" s="1"/>
  <c r="S2356" i="5" s="1"/>
  <c r="Q2374" i="5"/>
  <c r="R2374" i="5" s="1"/>
  <c r="S2374" i="5" s="1"/>
  <c r="Q2386" i="5"/>
  <c r="R2386" i="5" s="1"/>
  <c r="S2386" i="5" s="1"/>
  <c r="R2412" i="5"/>
  <c r="S2412" i="5" s="1"/>
  <c r="M2425" i="5"/>
  <c r="M2431" i="5"/>
  <c r="Q2438" i="5"/>
  <c r="R2438" i="5" s="1"/>
  <c r="S2438" i="5" s="1"/>
  <c r="Q2467" i="5"/>
  <c r="R2467" i="5" s="1"/>
  <c r="S2467" i="5" s="1"/>
  <c r="Q2471" i="5"/>
  <c r="M2483" i="5"/>
  <c r="Q2486" i="5"/>
  <c r="R2486" i="5" s="1"/>
  <c r="S2486" i="5" s="1"/>
  <c r="M2497" i="5"/>
  <c r="Q2499" i="5"/>
  <c r="R2499" i="5" s="1"/>
  <c r="S2499" i="5" s="1"/>
  <c r="M2509" i="5"/>
  <c r="N2509" i="5" s="1"/>
  <c r="L2506" i="5"/>
  <c r="R2506" i="5"/>
  <c r="S2506" i="5" s="1"/>
  <c r="Q2519" i="5"/>
  <c r="R2519" i="5" s="1"/>
  <c r="S2519" i="5" s="1"/>
  <c r="Q2567" i="5"/>
  <c r="R2567" i="5" s="1"/>
  <c r="S2567" i="5" s="1"/>
  <c r="Q2618" i="5"/>
  <c r="R2618" i="5" s="1"/>
  <c r="S2618" i="5" s="1"/>
  <c r="Q2626" i="5"/>
  <c r="M2143" i="5"/>
  <c r="N2143" i="5" s="1"/>
  <c r="Q2162" i="5"/>
  <c r="R2162" i="5" s="1"/>
  <c r="S2162" i="5" s="1"/>
  <c r="M2172" i="5"/>
  <c r="L2168" i="5"/>
  <c r="Q2319" i="5"/>
  <c r="R2319" i="5" s="1"/>
  <c r="S2319" i="5" s="1"/>
  <c r="Q2320" i="5"/>
  <c r="Q2370" i="5"/>
  <c r="R2370" i="5" s="1"/>
  <c r="S2370" i="5" s="1"/>
  <c r="M2390" i="5"/>
  <c r="N2390" i="5" s="1"/>
  <c r="M2400" i="5"/>
  <c r="Q2415" i="5"/>
  <c r="M2424" i="5"/>
  <c r="Q2446" i="5"/>
  <c r="R2446" i="5" s="1"/>
  <c r="S2446" i="5" s="1"/>
  <c r="Q2453" i="5"/>
  <c r="R2453" i="5" s="1"/>
  <c r="S2453" i="5" s="1"/>
  <c r="L2484" i="5"/>
  <c r="P2484" i="5" s="1"/>
  <c r="Q2491" i="5"/>
  <c r="L2518" i="5"/>
  <c r="P2518" i="5" s="1"/>
  <c r="Q2522" i="5"/>
  <c r="R2522" i="5" s="1"/>
  <c r="S2522" i="5" s="1"/>
  <c r="Q2525" i="5"/>
  <c r="R2525" i="5" s="1"/>
  <c r="S2525" i="5" s="1"/>
  <c r="R2548" i="5"/>
  <c r="S2548" i="5" s="1"/>
  <c r="Q2580" i="5"/>
  <c r="L2609" i="5"/>
  <c r="N2609" i="5" s="1"/>
  <c r="Q2617" i="5"/>
  <c r="R2617" i="5" s="1"/>
  <c r="S2617" i="5" s="1"/>
  <c r="M2629" i="5"/>
  <c r="M2171" i="5"/>
  <c r="N2171" i="5" s="1"/>
  <c r="Q2340" i="5"/>
  <c r="R2340" i="5" s="1"/>
  <c r="S2340" i="5" s="1"/>
  <c r="L2401" i="5"/>
  <c r="P2401" i="5" s="1"/>
  <c r="Q2451" i="5"/>
  <c r="R2451" i="5" s="1"/>
  <c r="S2451" i="5" s="1"/>
  <c r="M2487" i="5"/>
  <c r="M2504" i="5"/>
  <c r="M2515" i="5"/>
  <c r="L2521" i="5"/>
  <c r="P2521" i="5" s="1"/>
  <c r="Q2536" i="5"/>
  <c r="R2536" i="5" s="1"/>
  <c r="S2536" i="5" s="1"/>
  <c r="L2565" i="5"/>
  <c r="P2565" i="5" s="1"/>
  <c r="M2569" i="5"/>
  <c r="N2569" i="5" s="1"/>
  <c r="M2579" i="5"/>
  <c r="M2583" i="5"/>
  <c r="M2589" i="5"/>
  <c r="M2416" i="5"/>
  <c r="N2416" i="5" s="1"/>
  <c r="Q2441" i="5"/>
  <c r="M2532" i="5"/>
  <c r="Q2603" i="5"/>
  <c r="R2603" i="5" s="1"/>
  <c r="S2603" i="5" s="1"/>
  <c r="M2620" i="5"/>
  <c r="R2619" i="5"/>
  <c r="S2619" i="5" s="1"/>
  <c r="Q2635" i="5"/>
  <c r="R2635" i="5" s="1"/>
  <c r="S2635" i="5" s="1"/>
  <c r="M1830" i="5"/>
  <c r="M2173" i="5"/>
  <c r="Q2283" i="5"/>
  <c r="R2283" i="5" s="1"/>
  <c r="S2283" i="5" s="1"/>
  <c r="M2281" i="5"/>
  <c r="N2281" i="5" s="1"/>
  <c r="Q2295" i="5"/>
  <c r="R2295" i="5" s="1"/>
  <c r="S2295" i="5" s="1"/>
  <c r="M2292" i="5"/>
  <c r="N2292" i="5" s="1"/>
  <c r="Q2303" i="5"/>
  <c r="R2303" i="5" s="1"/>
  <c r="S2303" i="5" s="1"/>
  <c r="M2316" i="5"/>
  <c r="N2316" i="5" s="1"/>
  <c r="M2323" i="5"/>
  <c r="Q2339" i="5"/>
  <c r="R2339" i="5" s="1"/>
  <c r="S2339" i="5" s="1"/>
  <c r="Q2343" i="5"/>
  <c r="R2343" i="5" s="1"/>
  <c r="S2343" i="5" s="1"/>
  <c r="Q2375" i="5"/>
  <c r="Q2381" i="5"/>
  <c r="R2381" i="5" s="1"/>
  <c r="S2381" i="5" s="1"/>
  <c r="M2393" i="5"/>
  <c r="Q2409" i="5"/>
  <c r="R2409" i="5" s="1"/>
  <c r="S2409" i="5" s="1"/>
  <c r="Q2414" i="5"/>
  <c r="R2414" i="5" s="1"/>
  <c r="S2414" i="5" s="1"/>
  <c r="Q2420" i="5"/>
  <c r="R2420" i="5" s="1"/>
  <c r="S2420" i="5" s="1"/>
  <c r="Q2443" i="5"/>
  <c r="R2443" i="5" s="1"/>
  <c r="S2443" i="5" s="1"/>
  <c r="Q2461" i="5"/>
  <c r="R2461" i="5" s="1"/>
  <c r="S2461" i="5" s="1"/>
  <c r="Q2482" i="5"/>
  <c r="R2482" i="5" s="1"/>
  <c r="S2482" i="5" s="1"/>
  <c r="M2489" i="5"/>
  <c r="Q2511" i="5"/>
  <c r="R2511" i="5" s="1"/>
  <c r="S2511" i="5" s="1"/>
  <c r="M2533" i="5"/>
  <c r="N2533" i="5" s="1"/>
  <c r="Q2542" i="5"/>
  <c r="L2548" i="5"/>
  <c r="P2548" i="5" s="1"/>
  <c r="L2554" i="5"/>
  <c r="Q2574" i="5"/>
  <c r="R2574" i="5" s="1"/>
  <c r="S2574" i="5" s="1"/>
  <c r="Q2581" i="5"/>
  <c r="R2581" i="5" s="1"/>
  <c r="S2581" i="5" s="1"/>
  <c r="M2585" i="5"/>
  <c r="R2600" i="5"/>
  <c r="S2600" i="5" s="1"/>
  <c r="Q2609" i="5"/>
  <c r="R2609" i="5" s="1"/>
  <c r="S2609" i="5" s="1"/>
  <c r="M2610" i="5"/>
  <c r="Q2616" i="5"/>
  <c r="R2616" i="5" s="1"/>
  <c r="S2616" i="5" s="1"/>
  <c r="L2617" i="5"/>
  <c r="P2617" i="5" s="1"/>
  <c r="M2633" i="5"/>
  <c r="L2646" i="5"/>
  <c r="P2646" i="5" s="1"/>
  <c r="Q2139" i="5"/>
  <c r="M2280" i="5"/>
  <c r="N2280" i="5" s="1"/>
  <c r="Q2290" i="5"/>
  <c r="R2290" i="5" s="1"/>
  <c r="S2290" i="5" s="1"/>
  <c r="Q2302" i="5"/>
  <c r="M2315" i="5"/>
  <c r="M2322" i="5"/>
  <c r="Q2329" i="5"/>
  <c r="R2329" i="5" s="1"/>
  <c r="S2329" i="5" s="1"/>
  <c r="M2344" i="5"/>
  <c r="Q2354" i="5"/>
  <c r="R2354" i="5" s="1"/>
  <c r="S2354" i="5" s="1"/>
  <c r="M2392" i="5"/>
  <c r="N2392" i="5" s="1"/>
  <c r="O2392" i="5" s="1"/>
  <c r="M2408" i="5"/>
  <c r="M2447" i="5"/>
  <c r="Q2528" i="5"/>
  <c r="R2528" i="5" s="1"/>
  <c r="S2528" i="5" s="1"/>
  <c r="Q2540" i="5"/>
  <c r="R2540" i="5" s="1"/>
  <c r="S2540" i="5" s="1"/>
  <c r="Q2571" i="5"/>
  <c r="Q2572" i="5"/>
  <c r="R2572" i="5" s="1"/>
  <c r="S2572" i="5" s="1"/>
  <c r="Q2575" i="5"/>
  <c r="R2575" i="5" s="1"/>
  <c r="S2575" i="5" s="1"/>
  <c r="Q2591" i="5"/>
  <c r="M2627" i="5"/>
  <c r="K2628" i="5"/>
  <c r="L2628" i="5" s="1"/>
  <c r="M2632" i="5"/>
  <c r="N2632" i="5" s="1"/>
  <c r="M2636" i="5"/>
  <c r="N2636" i="5" s="1"/>
  <c r="O2636" i="5" s="1"/>
  <c r="L2173" i="5"/>
  <c r="P2173" i="5" s="1"/>
  <c r="M2287" i="5"/>
  <c r="N2287" i="5" s="1"/>
  <c r="M2321" i="5"/>
  <c r="M2326" i="5"/>
  <c r="Q2328" i="5"/>
  <c r="R2328" i="5" s="1"/>
  <c r="S2328" i="5" s="1"/>
  <c r="Q2351" i="5"/>
  <c r="Q2352" i="5"/>
  <c r="R2352" i="5" s="1"/>
  <c r="S2352" i="5" s="1"/>
  <c r="Q2366" i="5"/>
  <c r="R2366" i="5" s="1"/>
  <c r="S2366" i="5" s="1"/>
  <c r="Q2387" i="5"/>
  <c r="R2387" i="5" s="1"/>
  <c r="S2387" i="5" s="1"/>
  <c r="M2391" i="5"/>
  <c r="Q2403" i="5"/>
  <c r="Q2426" i="5"/>
  <c r="R2426" i="5" s="1"/>
  <c r="S2426" i="5" s="1"/>
  <c r="Q2439" i="5"/>
  <c r="Q2444" i="5"/>
  <c r="Q2464" i="5"/>
  <c r="R2464" i="5" s="1"/>
  <c r="S2464" i="5" s="1"/>
  <c r="L2477" i="5"/>
  <c r="P2477" i="5" s="1"/>
  <c r="R2490" i="5"/>
  <c r="S2490" i="5" s="1"/>
  <c r="R2518" i="5"/>
  <c r="S2518" i="5" s="1"/>
  <c r="Q2586" i="5"/>
  <c r="R2586" i="5" s="1"/>
  <c r="S2586" i="5" s="1"/>
  <c r="Q2587" i="5"/>
  <c r="R2587" i="5" s="1"/>
  <c r="S2587" i="5" s="1"/>
  <c r="M2595" i="5"/>
  <c r="L2598" i="5"/>
  <c r="P2598" i="5" s="1"/>
  <c r="L2169" i="5"/>
  <c r="P2169" i="5" s="1"/>
  <c r="M2301" i="5"/>
  <c r="Q2350" i="5"/>
  <c r="M2417" i="5"/>
  <c r="L2426" i="5"/>
  <c r="P2426" i="5" s="1"/>
  <c r="M2434" i="5"/>
  <c r="M2445" i="5"/>
  <c r="L2479" i="5"/>
  <c r="P2479" i="5" s="1"/>
  <c r="R2496" i="5"/>
  <c r="S2496" i="5" s="1"/>
  <c r="Q2503" i="5"/>
  <c r="R2503" i="5" s="1"/>
  <c r="S2503" i="5" s="1"/>
  <c r="M2516" i="5"/>
  <c r="Q2524" i="5"/>
  <c r="R2524" i="5" s="1"/>
  <c r="S2524" i="5" s="1"/>
  <c r="Q2526" i="5"/>
  <c r="R2526" i="5" s="1"/>
  <c r="S2526" i="5" s="1"/>
  <c r="R2565" i="5"/>
  <c r="S2565" i="5" s="1"/>
  <c r="R2576" i="5"/>
  <c r="S2576" i="5" s="1"/>
  <c r="M2600" i="5"/>
  <c r="N2600" i="5" s="1"/>
  <c r="M2602" i="5"/>
  <c r="K2626" i="5"/>
  <c r="L2122" i="5"/>
  <c r="P2122" i="5" s="1"/>
  <c r="Q2163" i="5"/>
  <c r="M2169" i="5"/>
  <c r="K2323" i="5"/>
  <c r="R2323" i="5" s="1"/>
  <c r="S2323" i="5" s="1"/>
  <c r="Q2324" i="5"/>
  <c r="R2324" i="5" s="1"/>
  <c r="S2324" i="5" s="1"/>
  <c r="Q2357" i="5"/>
  <c r="R2357" i="5" s="1"/>
  <c r="S2357" i="5" s="1"/>
  <c r="L2412" i="5"/>
  <c r="M2433" i="5"/>
  <c r="L2433" i="5"/>
  <c r="P2433" i="5" s="1"/>
  <c r="L2448" i="5"/>
  <c r="R2448" i="5"/>
  <c r="S2448" i="5" s="1"/>
  <c r="Q2463" i="5"/>
  <c r="R2463" i="5" s="1"/>
  <c r="S2463" i="5" s="1"/>
  <c r="M2481" i="5"/>
  <c r="M2507" i="5"/>
  <c r="Q2547" i="5"/>
  <c r="R2547" i="5" s="1"/>
  <c r="S2547" i="5" s="1"/>
  <c r="L2551" i="5"/>
  <c r="P2551" i="5" s="1"/>
  <c r="Q2552" i="5"/>
  <c r="Q2559" i="5"/>
  <c r="R2559" i="5" s="1"/>
  <c r="S2559" i="5" s="1"/>
  <c r="M2570" i="5"/>
  <c r="N2570" i="5" s="1"/>
  <c r="M2577" i="5"/>
  <c r="L2629" i="5"/>
  <c r="P2629" i="5" s="1"/>
  <c r="R2390" i="5"/>
  <c r="S2390" i="5" s="1"/>
  <c r="L2389" i="5"/>
  <c r="L2355" i="5"/>
  <c r="P2355" i="5" s="1"/>
  <c r="L2354" i="5"/>
  <c r="N2354" i="5" s="1"/>
  <c r="R2300" i="5"/>
  <c r="S2300" i="5" s="1"/>
  <c r="L2508" i="5"/>
  <c r="K2348" i="5"/>
  <c r="L2348" i="5" s="1"/>
  <c r="P2482" i="5"/>
  <c r="N2482" i="5"/>
  <c r="K2331" i="5"/>
  <c r="L2331" i="5" s="1"/>
  <c r="R2488" i="5"/>
  <c r="S2488" i="5" s="1"/>
  <c r="L2289" i="5"/>
  <c r="N2289" i="5" s="1"/>
  <c r="N2328" i="5"/>
  <c r="O2328" i="5" s="1"/>
  <c r="L2341" i="5"/>
  <c r="N2341" i="5" s="1"/>
  <c r="L2361" i="5"/>
  <c r="R2368" i="5"/>
  <c r="S2368" i="5" s="1"/>
  <c r="L2378" i="5"/>
  <c r="P2378" i="5" s="1"/>
  <c r="L2386" i="5"/>
  <c r="L2398" i="5"/>
  <c r="P2398" i="5" s="1"/>
  <c r="N2395" i="5"/>
  <c r="O2395" i="5" s="1"/>
  <c r="L2409" i="5"/>
  <c r="N2409" i="5" s="1"/>
  <c r="R2429" i="5"/>
  <c r="S2429" i="5" s="1"/>
  <c r="K2445" i="5"/>
  <c r="L2445" i="5" s="1"/>
  <c r="P2445" i="5" s="1"/>
  <c r="L2453" i="5"/>
  <c r="P2453" i="5" s="1"/>
  <c r="L2455" i="5"/>
  <c r="N2455" i="5" s="1"/>
  <c r="N2494" i="5"/>
  <c r="O2494" i="5" s="1"/>
  <c r="R2507" i="5"/>
  <c r="S2507" i="5" s="1"/>
  <c r="L2512" i="5"/>
  <c r="N2512" i="5" s="1"/>
  <c r="L2535" i="5"/>
  <c r="P2535" i="5" s="1"/>
  <c r="L2550" i="5"/>
  <c r="P2550" i="5" s="1"/>
  <c r="L2596" i="5"/>
  <c r="P2596" i="5" s="1"/>
  <c r="L2620" i="5"/>
  <c r="P2620" i="5" s="1"/>
  <c r="L2623" i="5"/>
  <c r="P2623" i="5" s="1"/>
  <c r="L2357" i="5"/>
  <c r="P2357" i="5" s="1"/>
  <c r="L2368" i="5"/>
  <c r="P2368" i="5" s="1"/>
  <c r="L2377" i="5"/>
  <c r="P2377" i="5" s="1"/>
  <c r="L2380" i="5"/>
  <c r="P2380" i="5" s="1"/>
  <c r="L2385" i="5"/>
  <c r="P2385" i="5" s="1"/>
  <c r="R2385" i="5"/>
  <c r="S2385" i="5" s="1"/>
  <c r="R2428" i="5"/>
  <c r="S2428" i="5" s="1"/>
  <c r="L2430" i="5"/>
  <c r="P2430" i="5" s="1"/>
  <c r="L2450" i="5"/>
  <c r="P2450" i="5" s="1"/>
  <c r="R2462" i="5"/>
  <c r="S2462" i="5" s="1"/>
  <c r="R2521" i="5"/>
  <c r="S2521" i="5" s="1"/>
  <c r="L2520" i="5"/>
  <c r="P2520" i="5" s="1"/>
  <c r="R2523" i="5"/>
  <c r="S2523" i="5" s="1"/>
  <c r="R2554" i="5"/>
  <c r="S2554" i="5" s="1"/>
  <c r="L2576" i="5"/>
  <c r="N2576" i="5" s="1"/>
  <c r="L2582" i="5"/>
  <c r="P2582" i="5" s="1"/>
  <c r="R2610" i="5"/>
  <c r="S2610" i="5" s="1"/>
  <c r="L2614" i="5"/>
  <c r="P2614" i="5" s="1"/>
  <c r="L2619" i="5"/>
  <c r="P2619" i="5" s="1"/>
  <c r="L2622" i="5"/>
  <c r="P2622" i="5" s="1"/>
  <c r="N2630" i="5"/>
  <c r="O2630" i="5" s="1"/>
  <c r="R2634" i="5"/>
  <c r="S2634" i="5" s="1"/>
  <c r="R2569" i="5"/>
  <c r="S2569" i="5" s="1"/>
  <c r="L2322" i="5"/>
  <c r="P2322" i="5" s="1"/>
  <c r="R2346" i="5"/>
  <c r="S2346" i="5" s="1"/>
  <c r="R2349" i="5"/>
  <c r="S2349" i="5" s="1"/>
  <c r="R2355" i="5"/>
  <c r="S2355" i="5" s="1"/>
  <c r="L2353" i="5"/>
  <c r="P2353" i="5" s="1"/>
  <c r="L2356" i="5"/>
  <c r="P2356" i="5" s="1"/>
  <c r="R2361" i="5"/>
  <c r="S2361" i="5" s="1"/>
  <c r="L2373" i="5"/>
  <c r="P2373" i="5" s="1"/>
  <c r="L2405" i="5"/>
  <c r="P2405" i="5" s="1"/>
  <c r="R2416" i="5"/>
  <c r="S2416" i="5" s="1"/>
  <c r="L2431" i="5"/>
  <c r="P2431" i="5" s="1"/>
  <c r="L2464" i="5"/>
  <c r="N2464" i="5" s="1"/>
  <c r="R2481" i="5"/>
  <c r="S2481" i="5" s="1"/>
  <c r="R2505" i="5"/>
  <c r="S2505" i="5" s="1"/>
  <c r="L2519" i="5"/>
  <c r="N2519" i="5" s="1"/>
  <c r="L2530" i="5"/>
  <c r="N2530" i="5" s="1"/>
  <c r="R2535" i="5"/>
  <c r="S2535" i="5" s="1"/>
  <c r="L2544" i="5"/>
  <c r="P2544" i="5" s="1"/>
  <c r="R2613" i="5"/>
  <c r="S2613" i="5" s="1"/>
  <c r="R2620" i="5"/>
  <c r="S2620" i="5" s="1"/>
  <c r="R2622" i="5"/>
  <c r="S2622" i="5" s="1"/>
  <c r="R2629" i="5"/>
  <c r="S2629" i="5" s="1"/>
  <c r="L2568" i="5"/>
  <c r="P2568" i="5" s="1"/>
  <c r="L2321" i="5"/>
  <c r="P2321" i="5" s="1"/>
  <c r="N2418" i="5"/>
  <c r="O2418" i="5" s="1"/>
  <c r="N2440" i="5"/>
  <c r="O2440" i="5" s="1"/>
  <c r="L2472" i="5"/>
  <c r="P2472" i="5" s="1"/>
  <c r="L2517" i="5"/>
  <c r="P2517" i="5" s="1"/>
  <c r="L2567" i="5"/>
  <c r="P2567" i="5" s="1"/>
  <c r="R2570" i="5"/>
  <c r="S2570" i="5" s="1"/>
  <c r="N2584" i="5"/>
  <c r="N2607" i="5"/>
  <c r="O2607" i="5" s="1"/>
  <c r="R2645" i="5"/>
  <c r="S2645" i="5" s="1"/>
  <c r="L2400" i="5"/>
  <c r="P2400" i="5" s="1"/>
  <c r="L2303" i="5"/>
  <c r="P2303" i="5" s="1"/>
  <c r="L2345" i="5"/>
  <c r="P2345" i="5" s="1"/>
  <c r="R2378" i="5"/>
  <c r="S2378" i="5" s="1"/>
  <c r="R2430" i="5"/>
  <c r="S2430" i="5" s="1"/>
  <c r="R2433" i="5"/>
  <c r="S2433" i="5" s="1"/>
  <c r="L2461" i="5"/>
  <c r="N2461" i="5" s="1"/>
  <c r="R2476" i="5"/>
  <c r="S2476" i="5" s="1"/>
  <c r="L2497" i="5"/>
  <c r="P2497" i="5" s="1"/>
  <c r="R2509" i="5"/>
  <c r="S2509" i="5" s="1"/>
  <c r="L2511" i="5"/>
  <c r="P2511" i="5" s="1"/>
  <c r="L2523" i="5"/>
  <c r="R2538" i="5"/>
  <c r="S2538" i="5" s="1"/>
  <c r="L2555" i="5"/>
  <c r="P2555" i="5" s="1"/>
  <c r="M2285" i="5"/>
  <c r="N2285" i="5" s="1"/>
  <c r="Q2289" i="5"/>
  <c r="R2289" i="5" s="1"/>
  <c r="S2289" i="5" s="1"/>
  <c r="M2297" i="5"/>
  <c r="N2297" i="5" s="1"/>
  <c r="M2291" i="5"/>
  <c r="N2291" i="5" s="1"/>
  <c r="Q2309" i="5"/>
  <c r="R2309" i="5" s="1"/>
  <c r="S2309" i="5" s="1"/>
  <c r="M2311" i="5"/>
  <c r="M2331" i="5"/>
  <c r="Q2336" i="5"/>
  <c r="R2336" i="5" s="1"/>
  <c r="S2336" i="5" s="1"/>
  <c r="Q2337" i="5"/>
  <c r="Q2341" i="5"/>
  <c r="R2341" i="5" s="1"/>
  <c r="S2341" i="5" s="1"/>
  <c r="M2348" i="5"/>
  <c r="Q2353" i="5"/>
  <c r="R2353" i="5" s="1"/>
  <c r="S2353" i="5" s="1"/>
  <c r="Q2364" i="5"/>
  <c r="R2364" i="5" s="1"/>
  <c r="S2364" i="5" s="1"/>
  <c r="Q2365" i="5"/>
  <c r="R2365" i="5" s="1"/>
  <c r="S2365" i="5" s="1"/>
  <c r="M2383" i="5"/>
  <c r="M2401" i="5"/>
  <c r="M2405" i="5"/>
  <c r="M2442" i="5"/>
  <c r="Q2442" i="5"/>
  <c r="Q2477" i="5"/>
  <c r="R2477" i="5" s="1"/>
  <c r="S2477" i="5" s="1"/>
  <c r="Q2541" i="5"/>
  <c r="R2541" i="5" s="1"/>
  <c r="S2541" i="5" s="1"/>
  <c r="M2541" i="5"/>
  <c r="N2541" i="5" s="1"/>
  <c r="M2551" i="5"/>
  <c r="Q2551" i="5"/>
  <c r="R2551" i="5" s="1"/>
  <c r="S2551" i="5" s="1"/>
  <c r="M2555" i="5"/>
  <c r="Q2555" i="5"/>
  <c r="R2555" i="5" s="1"/>
  <c r="S2555" i="5" s="1"/>
  <c r="Q2561" i="5"/>
  <c r="R2561" i="5" s="1"/>
  <c r="S2561" i="5" s="1"/>
  <c r="M2561" i="5"/>
  <c r="M2578" i="5"/>
  <c r="Q2578" i="5"/>
  <c r="R2578" i="5" s="1"/>
  <c r="S2578" i="5" s="1"/>
  <c r="Q2624" i="5"/>
  <c r="R2624" i="5" s="1"/>
  <c r="S2624" i="5" s="1"/>
  <c r="M2624" i="5"/>
  <c r="Q2335" i="5"/>
  <c r="R2335" i="5" s="1"/>
  <c r="S2335" i="5" s="1"/>
  <c r="Q2363" i="5"/>
  <c r="R2363" i="5" s="1"/>
  <c r="S2363" i="5" s="1"/>
  <c r="Q2377" i="5"/>
  <c r="R2377" i="5" s="1"/>
  <c r="S2377" i="5" s="1"/>
  <c r="Q2379" i="5"/>
  <c r="R2379" i="5" s="1"/>
  <c r="S2379" i="5" s="1"/>
  <c r="Q2380" i="5"/>
  <c r="R2380" i="5" s="1"/>
  <c r="S2380" i="5" s="1"/>
  <c r="M2385" i="5"/>
  <c r="M2404" i="5"/>
  <c r="M2472" i="5"/>
  <c r="Q2472" i="5"/>
  <c r="R2472" i="5" s="1"/>
  <c r="S2472" i="5" s="1"/>
  <c r="M2562" i="5"/>
  <c r="N2562" i="5" s="1"/>
  <c r="Q2562" i="5"/>
  <c r="R2562" i="5" s="1"/>
  <c r="S2562" i="5" s="1"/>
  <c r="Q2588" i="5"/>
  <c r="Q2614" i="5"/>
  <c r="R2614" i="5" s="1"/>
  <c r="S2614" i="5" s="1"/>
  <c r="M2614" i="5"/>
  <c r="Q2299" i="5"/>
  <c r="R2299" i="5" s="1"/>
  <c r="S2299" i="5" s="1"/>
  <c r="M2384" i="5"/>
  <c r="N2384" i="5" s="1"/>
  <c r="M2413" i="5"/>
  <c r="Q2423" i="5"/>
  <c r="M2423" i="5"/>
  <c r="M2427" i="5"/>
  <c r="Q2440" i="5"/>
  <c r="R2440" i="5" s="1"/>
  <c r="S2440" i="5" s="1"/>
  <c r="Q2450" i="5"/>
  <c r="R2450" i="5" s="1"/>
  <c r="S2450" i="5" s="1"/>
  <c r="M2450" i="5"/>
  <c r="M2452" i="5"/>
  <c r="N2452" i="5" s="1"/>
  <c r="Q2452" i="5"/>
  <c r="R2452" i="5" s="1"/>
  <c r="S2452" i="5" s="1"/>
  <c r="M2545" i="5"/>
  <c r="Q2545" i="5"/>
  <c r="R2545" i="5" s="1"/>
  <c r="S2545" i="5" s="1"/>
  <c r="Q2546" i="5"/>
  <c r="R2546" i="5" s="1"/>
  <c r="S2546" i="5" s="1"/>
  <c r="M2550" i="5"/>
  <c r="Q2550" i="5"/>
  <c r="R2550" i="5" s="1"/>
  <c r="S2550" i="5" s="1"/>
  <c r="M2582" i="5"/>
  <c r="Q2582" i="5"/>
  <c r="R2582" i="5" s="1"/>
  <c r="S2582" i="5" s="1"/>
  <c r="M2598" i="5"/>
  <c r="Q2598" i="5"/>
  <c r="R2598" i="5" s="1"/>
  <c r="S2598" i="5" s="1"/>
  <c r="Q2457" i="5"/>
  <c r="R2457" i="5" s="1"/>
  <c r="S2457" i="5" s="1"/>
  <c r="M2457" i="5"/>
  <c r="Q2398" i="5"/>
  <c r="R2398" i="5" s="1"/>
  <c r="S2398" i="5" s="1"/>
  <c r="M2412" i="5"/>
  <c r="Q2419" i="5"/>
  <c r="Q2436" i="5"/>
  <c r="M2436" i="5"/>
  <c r="Q2479" i="5"/>
  <c r="R2479" i="5" s="1"/>
  <c r="S2479" i="5" s="1"/>
  <c r="M2479" i="5"/>
  <c r="M2520" i="5"/>
  <c r="Q2520" i="5"/>
  <c r="R2520" i="5" s="1"/>
  <c r="S2520" i="5" s="1"/>
  <c r="Q2529" i="5"/>
  <c r="R2529" i="5" s="1"/>
  <c r="S2529" i="5" s="1"/>
  <c r="M2529" i="5"/>
  <c r="Q2590" i="5"/>
  <c r="R2590" i="5" s="1"/>
  <c r="S2590" i="5" s="1"/>
  <c r="M2608" i="5"/>
  <c r="Q2608" i="5"/>
  <c r="M2628" i="5"/>
  <c r="Q2628" i="5"/>
  <c r="M2465" i="5"/>
  <c r="Q2465" i="5"/>
  <c r="R2465" i="5" s="1"/>
  <c r="S2465" i="5" s="1"/>
  <c r="M2485" i="5"/>
  <c r="N2485" i="5" s="1"/>
  <c r="Q2485" i="5"/>
  <c r="R2485" i="5" s="1"/>
  <c r="S2485" i="5" s="1"/>
  <c r="M2492" i="5"/>
  <c r="Q2492" i="5"/>
  <c r="Q2544" i="5"/>
  <c r="R2544" i="5" s="1"/>
  <c r="S2544" i="5" s="1"/>
  <c r="M2544" i="5"/>
  <c r="M2549" i="5"/>
  <c r="Q2549" i="5"/>
  <c r="R2549" i="5" s="1"/>
  <c r="S2549" i="5" s="1"/>
  <c r="M2480" i="5"/>
  <c r="Q2494" i="5"/>
  <c r="R2494" i="5" s="1"/>
  <c r="S2494" i="5" s="1"/>
  <c r="Q2512" i="5"/>
  <c r="R2512" i="5" s="1"/>
  <c r="S2512" i="5" s="1"/>
  <c r="R2516" i="5"/>
  <c r="S2516" i="5" s="1"/>
  <c r="M2518" i="5"/>
  <c r="Q2537" i="5"/>
  <c r="R2537" i="5" s="1"/>
  <c r="S2537" i="5" s="1"/>
  <c r="M2535" i="5"/>
  <c r="Q2539" i="5"/>
  <c r="R2539" i="5" s="1"/>
  <c r="S2539" i="5" s="1"/>
  <c r="Q2557" i="5"/>
  <c r="R2557" i="5" s="1"/>
  <c r="S2557" i="5" s="1"/>
  <c r="R2583" i="5"/>
  <c r="S2583" i="5" s="1"/>
  <c r="M2601" i="5"/>
  <c r="Q2605" i="5"/>
  <c r="M2619" i="5"/>
  <c r="Q2637" i="5"/>
  <c r="R2637" i="5" s="1"/>
  <c r="S2637" i="5" s="1"/>
  <c r="M2564" i="5"/>
  <c r="Q2630" i="5"/>
  <c r="R2630" i="5" s="1"/>
  <c r="S2630" i="5" s="1"/>
  <c r="M2645" i="5"/>
  <c r="N2645" i="5" s="1"/>
  <c r="O2645" i="5" s="1"/>
  <c r="Q2455" i="5"/>
  <c r="R2455" i="5" s="1"/>
  <c r="S2455" i="5" s="1"/>
  <c r="M2475" i="5"/>
  <c r="M2496" i="5"/>
  <c r="Q2502" i="5"/>
  <c r="Q2513" i="5"/>
  <c r="M2568" i="5"/>
  <c r="Q2631" i="5"/>
  <c r="Q2641" i="5"/>
  <c r="R2641" i="5" s="1"/>
  <c r="S2641" i="5" s="1"/>
  <c r="Q2644" i="5"/>
  <c r="Q2596" i="5"/>
  <c r="R2596" i="5" s="1"/>
  <c r="S2596" i="5" s="1"/>
  <c r="R2401" i="5"/>
  <c r="S2401" i="5" s="1"/>
  <c r="R2510" i="5"/>
  <c r="S2510" i="5" s="1"/>
  <c r="N2414" i="5"/>
  <c r="P2286" i="5"/>
  <c r="P2308" i="5"/>
  <c r="L2312" i="5"/>
  <c r="R2312" i="5"/>
  <c r="S2312" i="5" s="1"/>
  <c r="P2327" i="5"/>
  <c r="N2327" i="5"/>
  <c r="P2330" i="5"/>
  <c r="N2360" i="5"/>
  <c r="P2360" i="5"/>
  <c r="P2369" i="5"/>
  <c r="N2369" i="5"/>
  <c r="P2285" i="5"/>
  <c r="P2298" i="5"/>
  <c r="P2307" i="5"/>
  <c r="P2319" i="5"/>
  <c r="N2319" i="5"/>
  <c r="L2315" i="5"/>
  <c r="R2315" i="5"/>
  <c r="S2315" i="5" s="1"/>
  <c r="P2281" i="5"/>
  <c r="L2284" i="5"/>
  <c r="R2284" i="5"/>
  <c r="S2284" i="5" s="1"/>
  <c r="P2297" i="5"/>
  <c r="L2296" i="5"/>
  <c r="L2290" i="5"/>
  <c r="L2309" i="5"/>
  <c r="P2310" i="5"/>
  <c r="P2316" i="5"/>
  <c r="L2325" i="5"/>
  <c r="R2325" i="5"/>
  <c r="S2325" i="5" s="1"/>
  <c r="L2326" i="5"/>
  <c r="R2326" i="5"/>
  <c r="S2326" i="5" s="1"/>
  <c r="P2280" i="5"/>
  <c r="L2283" i="5"/>
  <c r="P2293" i="5"/>
  <c r="L2295" i="5"/>
  <c r="L2299" i="5"/>
  <c r="L2288" i="5"/>
  <c r="R2288" i="5"/>
  <c r="S2288" i="5" s="1"/>
  <c r="L2282" i="5"/>
  <c r="R2282" i="5"/>
  <c r="S2282" i="5" s="1"/>
  <c r="P2292" i="5"/>
  <c r="L2294" i="5"/>
  <c r="R2294" i="5"/>
  <c r="S2294" i="5" s="1"/>
  <c r="L2314" i="5"/>
  <c r="R2314" i="5"/>
  <c r="S2314" i="5" s="1"/>
  <c r="P2335" i="5"/>
  <c r="N2335" i="5"/>
  <c r="N2379" i="5"/>
  <c r="P2379" i="5"/>
  <c r="P2390" i="5"/>
  <c r="P2287" i="5"/>
  <c r="P2291" i="5"/>
  <c r="P2304" i="5"/>
  <c r="L2313" i="5"/>
  <c r="R2313" i="5"/>
  <c r="S2313" i="5" s="1"/>
  <c r="P2334" i="5"/>
  <c r="K2393" i="5"/>
  <c r="R2393" i="5" s="1"/>
  <c r="S2393" i="5" s="1"/>
  <c r="K2403" i="5"/>
  <c r="L2403" i="5" s="1"/>
  <c r="P2416" i="5"/>
  <c r="K2423" i="5"/>
  <c r="L2423" i="5" s="1"/>
  <c r="L2438" i="5"/>
  <c r="L2572" i="5"/>
  <c r="L2612" i="5"/>
  <c r="L2648" i="5"/>
  <c r="R2648" i="5"/>
  <c r="S2648" i="5" s="1"/>
  <c r="K2318" i="5"/>
  <c r="L2318" i="5" s="1"/>
  <c r="K2351" i="5"/>
  <c r="L2358" i="5"/>
  <c r="L2374" i="5"/>
  <c r="K2376" i="5"/>
  <c r="L2376" i="5" s="1"/>
  <c r="P2384" i="5"/>
  <c r="K2402" i="5"/>
  <c r="L2402" i="5" s="1"/>
  <c r="N2406" i="5"/>
  <c r="K2480" i="5"/>
  <c r="L2480" i="5" s="1"/>
  <c r="K2487" i="5"/>
  <c r="L2487" i="5" s="1"/>
  <c r="L2121" i="5"/>
  <c r="P2121" i="5" s="1"/>
  <c r="R2287" i="5"/>
  <c r="S2287" i="5" s="1"/>
  <c r="R2281" i="5"/>
  <c r="S2281" i="5" s="1"/>
  <c r="R2293" i="5"/>
  <c r="S2293" i="5" s="1"/>
  <c r="P2300" i="5"/>
  <c r="K2302" i="5"/>
  <c r="L2302" i="5" s="1"/>
  <c r="R2308" i="5"/>
  <c r="S2308" i="5" s="1"/>
  <c r="K2317" i="5"/>
  <c r="L2317" i="5" s="1"/>
  <c r="R2322" i="5"/>
  <c r="S2322" i="5" s="1"/>
  <c r="K2320" i="5"/>
  <c r="L2320" i="5" s="1"/>
  <c r="L2324" i="5"/>
  <c r="L2329" i="5"/>
  <c r="L2336" i="5"/>
  <c r="N2339" i="5"/>
  <c r="P2339" i="5"/>
  <c r="L2342" i="5"/>
  <c r="K2350" i="5"/>
  <c r="L2362" i="5"/>
  <c r="L2365" i="5"/>
  <c r="P2372" i="5"/>
  <c r="K2375" i="5"/>
  <c r="L2375" i="5" s="1"/>
  <c r="L2388" i="5"/>
  <c r="K2396" i="5"/>
  <c r="L2396" i="5" s="1"/>
  <c r="L2422" i="5"/>
  <c r="K2435" i="5"/>
  <c r="R2435" i="5" s="1"/>
  <c r="S2435" i="5" s="1"/>
  <c r="P2467" i="5"/>
  <c r="N2467" i="5"/>
  <c r="L2120" i="5"/>
  <c r="P2120" i="5" s="1"/>
  <c r="R2286" i="5"/>
  <c r="S2286" i="5" s="1"/>
  <c r="R2280" i="5"/>
  <c r="S2280" i="5" s="1"/>
  <c r="R2298" i="5"/>
  <c r="S2298" i="5" s="1"/>
  <c r="R2292" i="5"/>
  <c r="S2292" i="5" s="1"/>
  <c r="K2301" i="5"/>
  <c r="L2301" i="5" s="1"/>
  <c r="R2305" i="5"/>
  <c r="S2305" i="5" s="1"/>
  <c r="L2305" i="5"/>
  <c r="L2306" i="5"/>
  <c r="R2307" i="5"/>
  <c r="S2307" i="5" s="1"/>
  <c r="R2311" i="5"/>
  <c r="S2311" i="5" s="1"/>
  <c r="L2311" i="5"/>
  <c r="R2321" i="5"/>
  <c r="S2321" i="5" s="1"/>
  <c r="R2330" i="5"/>
  <c r="S2330" i="5" s="1"/>
  <c r="L2333" i="5"/>
  <c r="K2338" i="5"/>
  <c r="L2338" i="5" s="1"/>
  <c r="L2343" i="5"/>
  <c r="K2347" i="5"/>
  <c r="R2347" i="5" s="1"/>
  <c r="S2347" i="5" s="1"/>
  <c r="L2344" i="5"/>
  <c r="R2344" i="5"/>
  <c r="S2344" i="5" s="1"/>
  <c r="L2352" i="5"/>
  <c r="L2364" i="5"/>
  <c r="L2367" i="5"/>
  <c r="L2371" i="5"/>
  <c r="R2371" i="5"/>
  <c r="S2371" i="5" s="1"/>
  <c r="R2383" i="5"/>
  <c r="S2383" i="5" s="1"/>
  <c r="L2383" i="5"/>
  <c r="N2387" i="5"/>
  <c r="P2387" i="5"/>
  <c r="K2397" i="5"/>
  <c r="L2397" i="5" s="1"/>
  <c r="L2399" i="5"/>
  <c r="L2404" i="5"/>
  <c r="R2404" i="5"/>
  <c r="S2404" i="5" s="1"/>
  <c r="P2414" i="5"/>
  <c r="L2411" i="5"/>
  <c r="L2420" i="5"/>
  <c r="L2425" i="5"/>
  <c r="R2425" i="5"/>
  <c r="S2425" i="5" s="1"/>
  <c r="P2456" i="5"/>
  <c r="K2474" i="5"/>
  <c r="L2474" i="5" s="1"/>
  <c r="R2285" i="5"/>
  <c r="S2285" i="5" s="1"/>
  <c r="R2297" i="5"/>
  <c r="S2297" i="5" s="1"/>
  <c r="R2291" i="5"/>
  <c r="S2291" i="5" s="1"/>
  <c r="R2304" i="5"/>
  <c r="S2304" i="5" s="1"/>
  <c r="R2310" i="5"/>
  <c r="S2310" i="5" s="1"/>
  <c r="R2316" i="5"/>
  <c r="S2316" i="5" s="1"/>
  <c r="R2333" i="5"/>
  <c r="S2333" i="5" s="1"/>
  <c r="L2332" i="5"/>
  <c r="R2334" i="5"/>
  <c r="S2334" i="5" s="1"/>
  <c r="K2337" i="5"/>
  <c r="L2337" i="5" s="1"/>
  <c r="N2340" i="5"/>
  <c r="O2340" i="5" s="1"/>
  <c r="P2349" i="5"/>
  <c r="L2359" i="5"/>
  <c r="R2362" i="5"/>
  <c r="S2362" i="5" s="1"/>
  <c r="L2370" i="5"/>
  <c r="R2382" i="5"/>
  <c r="S2382" i="5" s="1"/>
  <c r="L2382" i="5"/>
  <c r="P2406" i="5"/>
  <c r="K2415" i="5"/>
  <c r="K2421" i="5"/>
  <c r="R2421" i="5" s="1"/>
  <c r="S2421" i="5" s="1"/>
  <c r="K2458" i="5"/>
  <c r="L2458" i="5" s="1"/>
  <c r="K2470" i="5"/>
  <c r="R2470" i="5" s="1"/>
  <c r="S2470" i="5" s="1"/>
  <c r="L2522" i="5"/>
  <c r="L2172" i="5"/>
  <c r="P2172" i="5" s="1"/>
  <c r="R2279" i="5"/>
  <c r="S2279" i="5" s="1"/>
  <c r="L2363" i="5"/>
  <c r="L2366" i="5"/>
  <c r="N2381" i="5"/>
  <c r="P2381" i="5"/>
  <c r="L2394" i="5"/>
  <c r="K2408" i="5"/>
  <c r="R2408" i="5" s="1"/>
  <c r="S2408" i="5" s="1"/>
  <c r="K2419" i="5"/>
  <c r="L2419" i="5" s="1"/>
  <c r="L2424" i="5"/>
  <c r="R2424" i="5"/>
  <c r="S2424" i="5" s="1"/>
  <c r="K2439" i="5"/>
  <c r="L2439" i="5" s="1"/>
  <c r="L2469" i="5"/>
  <c r="R2469" i="5"/>
  <c r="S2469" i="5" s="1"/>
  <c r="K2492" i="5"/>
  <c r="P2501" i="5"/>
  <c r="R2359" i="5"/>
  <c r="S2359" i="5" s="1"/>
  <c r="R2372" i="5"/>
  <c r="S2372" i="5" s="1"/>
  <c r="R2384" i="5"/>
  <c r="S2384" i="5" s="1"/>
  <c r="R2400" i="5"/>
  <c r="S2400" i="5" s="1"/>
  <c r="R2405" i="5"/>
  <c r="S2405" i="5" s="1"/>
  <c r="R2407" i="5"/>
  <c r="S2407" i="5" s="1"/>
  <c r="P2429" i="5"/>
  <c r="K2432" i="5"/>
  <c r="R2432" i="5" s="1"/>
  <c r="S2432" i="5" s="1"/>
  <c r="L2443" i="5"/>
  <c r="L2446" i="5"/>
  <c r="N2451" i="5"/>
  <c r="P2451" i="5"/>
  <c r="L2457" i="5"/>
  <c r="N2466" i="5"/>
  <c r="P2466" i="5"/>
  <c r="L2468" i="5"/>
  <c r="R2468" i="5"/>
  <c r="S2468" i="5" s="1"/>
  <c r="K2493" i="5"/>
  <c r="L2493" i="5" s="1"/>
  <c r="N2540" i="5"/>
  <c r="P2540" i="5"/>
  <c r="L2417" i="5"/>
  <c r="R2417" i="5"/>
  <c r="S2417" i="5" s="1"/>
  <c r="L2434" i="5"/>
  <c r="R2434" i="5"/>
  <c r="S2434" i="5" s="1"/>
  <c r="K2473" i="5"/>
  <c r="P2485" i="5"/>
  <c r="L2498" i="5"/>
  <c r="K2504" i="5"/>
  <c r="L2504" i="5" s="1"/>
  <c r="N2537" i="5"/>
  <c r="P2537" i="5"/>
  <c r="R2392" i="5"/>
  <c r="S2392" i="5" s="1"/>
  <c r="K2391" i="5"/>
  <c r="L2391" i="5" s="1"/>
  <c r="L2407" i="5"/>
  <c r="L2410" i="5"/>
  <c r="R2410" i="5"/>
  <c r="S2410" i="5" s="1"/>
  <c r="K2427" i="5"/>
  <c r="L2427" i="5" s="1"/>
  <c r="K2441" i="5"/>
  <c r="L2441" i="5" s="1"/>
  <c r="K2460" i="5"/>
  <c r="N2463" i="5"/>
  <c r="P2463" i="5"/>
  <c r="L2465" i="5"/>
  <c r="K2491" i="5"/>
  <c r="L2543" i="5"/>
  <c r="L2559" i="5"/>
  <c r="R2373" i="5"/>
  <c r="S2373" i="5" s="1"/>
  <c r="K2413" i="5"/>
  <c r="R2413" i="5" s="1"/>
  <c r="S2413" i="5" s="1"/>
  <c r="R2431" i="5"/>
  <c r="S2431" i="5" s="1"/>
  <c r="L2437" i="5"/>
  <c r="K2444" i="5"/>
  <c r="L2444" i="5" s="1"/>
  <c r="P2449" i="5"/>
  <c r="P2452" i="5"/>
  <c r="L2459" i="5"/>
  <c r="P2462" i="5"/>
  <c r="K2471" i="5"/>
  <c r="K2532" i="5"/>
  <c r="R2532" i="5" s="1"/>
  <c r="S2532" i="5" s="1"/>
  <c r="P2541" i="5"/>
  <c r="K2436" i="5"/>
  <c r="L2436" i="5" s="1"/>
  <c r="K2442" i="5"/>
  <c r="L2442" i="5" s="1"/>
  <c r="R2447" i="5"/>
  <c r="S2447" i="5" s="1"/>
  <c r="L2447" i="5"/>
  <c r="R2449" i="5"/>
  <c r="S2449" i="5" s="1"/>
  <c r="K2454" i="5"/>
  <c r="L2454" i="5" s="1"/>
  <c r="L2478" i="5"/>
  <c r="L2486" i="5"/>
  <c r="L2503" i="5"/>
  <c r="L2510" i="5"/>
  <c r="K2515" i="5"/>
  <c r="L2515" i="5" s="1"/>
  <c r="L2516" i="5"/>
  <c r="L2528" i="5"/>
  <c r="N2536" i="5"/>
  <c r="P2536" i="5"/>
  <c r="K2542" i="5"/>
  <c r="L2542" i="5" s="1"/>
  <c r="N2546" i="5"/>
  <c r="P2546" i="5"/>
  <c r="P2553" i="5"/>
  <c r="N2553" i="5"/>
  <c r="P2600" i="5"/>
  <c r="R2456" i="5"/>
  <c r="S2456" i="5" s="1"/>
  <c r="K2483" i="5"/>
  <c r="R2483" i="5" s="1"/>
  <c r="S2483" i="5" s="1"/>
  <c r="L2499" i="5"/>
  <c r="R2501" i="5"/>
  <c r="S2501" i="5" s="1"/>
  <c r="L2500" i="5"/>
  <c r="K2502" i="5"/>
  <c r="K2527" i="5"/>
  <c r="K2531" i="5"/>
  <c r="L2531" i="5" s="1"/>
  <c r="P2534" i="5"/>
  <c r="K2552" i="5"/>
  <c r="L2552" i="5" s="1"/>
  <c r="N2563" i="5"/>
  <c r="P2563" i="5"/>
  <c r="K2571" i="5"/>
  <c r="L2571" i="5" s="1"/>
  <c r="P2533" i="5"/>
  <c r="L2489" i="5"/>
  <c r="R2489" i="5"/>
  <c r="S2489" i="5" s="1"/>
  <c r="L2490" i="5"/>
  <c r="L2496" i="5"/>
  <c r="L2495" i="5"/>
  <c r="R2495" i="5"/>
  <c r="S2495" i="5" s="1"/>
  <c r="L2514" i="5"/>
  <c r="N2525" i="5"/>
  <c r="P2525" i="5"/>
  <c r="L2529" i="5"/>
  <c r="L2557" i="5"/>
  <c r="L2475" i="5"/>
  <c r="R2475" i="5"/>
  <c r="S2475" i="5" s="1"/>
  <c r="N2524" i="5"/>
  <c r="P2524" i="5"/>
  <c r="N2526" i="5"/>
  <c r="P2526" i="5"/>
  <c r="L2615" i="5"/>
  <c r="R2615" i="5"/>
  <c r="S2615" i="5" s="1"/>
  <c r="R2497" i="5"/>
  <c r="S2497" i="5" s="1"/>
  <c r="R2500" i="5"/>
  <c r="S2500" i="5" s="1"/>
  <c r="K2513" i="5"/>
  <c r="L2513" i="5" s="1"/>
  <c r="L2539" i="5"/>
  <c r="L2560" i="5"/>
  <c r="P2562" i="5"/>
  <c r="K2566" i="5"/>
  <c r="R2566" i="5" s="1"/>
  <c r="S2566" i="5" s="1"/>
  <c r="L2578" i="5"/>
  <c r="P2569" i="5"/>
  <c r="N2574" i="5"/>
  <c r="P2574" i="5"/>
  <c r="L2577" i="5"/>
  <c r="R2577" i="5"/>
  <c r="S2577" i="5" s="1"/>
  <c r="K2594" i="5"/>
  <c r="R2594" i="5" s="1"/>
  <c r="S2594" i="5" s="1"/>
  <c r="P2625" i="5"/>
  <c r="N2625" i="5"/>
  <c r="L2573" i="5"/>
  <c r="R2573" i="5"/>
  <c r="S2573" i="5" s="1"/>
  <c r="L2633" i="5"/>
  <c r="R2633" i="5"/>
  <c r="S2633" i="5" s="1"/>
  <c r="R2534" i="5"/>
  <c r="S2534" i="5" s="1"/>
  <c r="L2545" i="5"/>
  <c r="L2547" i="5"/>
  <c r="L2549" i="5"/>
  <c r="K2585" i="5"/>
  <c r="R2585" i="5" s="1"/>
  <c r="S2585" i="5" s="1"/>
  <c r="R2533" i="5"/>
  <c r="S2533" i="5" s="1"/>
  <c r="K2556" i="5"/>
  <c r="L2561" i="5"/>
  <c r="L2564" i="5"/>
  <c r="K2580" i="5"/>
  <c r="L2580" i="5" s="1"/>
  <c r="L2637" i="5"/>
  <c r="L2558" i="5"/>
  <c r="R2568" i="5"/>
  <c r="S2568" i="5" s="1"/>
  <c r="P2570" i="5"/>
  <c r="L2586" i="5"/>
  <c r="L2587" i="5"/>
  <c r="K2602" i="5"/>
  <c r="R2602" i="5" s="1"/>
  <c r="S2602" i="5" s="1"/>
  <c r="K2631" i="5"/>
  <c r="P2632" i="5"/>
  <c r="L2639" i="5"/>
  <c r="R2639" i="5"/>
  <c r="S2639" i="5" s="1"/>
  <c r="N2643" i="5"/>
  <c r="P2643" i="5"/>
  <c r="R2579" i="5"/>
  <c r="S2579" i="5" s="1"/>
  <c r="L2579" i="5"/>
  <c r="L2581" i="5"/>
  <c r="L2583" i="5"/>
  <c r="L2589" i="5"/>
  <c r="R2589" i="5"/>
  <c r="S2589" i="5" s="1"/>
  <c r="L2590" i="5"/>
  <c r="P2593" i="5"/>
  <c r="N2593" i="5"/>
  <c r="K2601" i="5"/>
  <c r="L2601" i="5" s="1"/>
  <c r="K2605" i="5"/>
  <c r="L2605" i="5" s="1"/>
  <c r="L2606" i="5"/>
  <c r="L2627" i="5"/>
  <c r="R2627" i="5"/>
  <c r="S2627" i="5" s="1"/>
  <c r="N2635" i="5"/>
  <c r="P2635" i="5"/>
  <c r="K2644" i="5"/>
  <c r="L2644" i="5" s="1"/>
  <c r="K2588" i="5"/>
  <c r="L2588" i="5" s="1"/>
  <c r="K2591" i="5"/>
  <c r="L2591" i="5" s="1"/>
  <c r="L2595" i="5"/>
  <c r="R2595" i="5"/>
  <c r="S2595" i="5" s="1"/>
  <c r="K2599" i="5"/>
  <c r="R2599" i="5" s="1"/>
  <c r="S2599" i="5" s="1"/>
  <c r="L2604" i="5"/>
  <c r="L2624" i="5"/>
  <c r="L2603" i="5"/>
  <c r="L2621" i="5"/>
  <c r="P2640" i="5"/>
  <c r="N2640" i="5"/>
  <c r="L2642" i="5"/>
  <c r="R2642" i="5"/>
  <c r="S2642" i="5" s="1"/>
  <c r="N2592" i="5"/>
  <c r="O2592" i="5" s="1"/>
  <c r="L2597" i="5"/>
  <c r="K2608" i="5"/>
  <c r="L2608" i="5" s="1"/>
  <c r="L2613" i="5"/>
  <c r="L2618" i="5"/>
  <c r="K2638" i="5"/>
  <c r="N2641" i="5"/>
  <c r="O2641" i="5" s="1"/>
  <c r="N2647" i="5"/>
  <c r="O2647" i="5" s="1"/>
  <c r="R2632" i="5"/>
  <c r="S2632" i="5" s="1"/>
  <c r="P2634" i="5"/>
  <c r="P2170" i="5"/>
  <c r="M2279" i="5"/>
  <c r="L2279" i="5"/>
  <c r="N1979" i="5"/>
  <c r="M1952" i="5"/>
  <c r="N1952" i="5" s="1"/>
  <c r="U1952" i="5" s="1"/>
  <c r="V1952" i="5" s="1"/>
  <c r="M2132" i="5"/>
  <c r="Q2234" i="5"/>
  <c r="M2078" i="5"/>
  <c r="Q1846" i="5"/>
  <c r="M1953" i="5"/>
  <c r="N1953" i="5" s="1"/>
  <c r="O1953" i="5" s="1"/>
  <c r="Q2129" i="5"/>
  <c r="M2000" i="5"/>
  <c r="Q2063" i="5"/>
  <c r="M2246" i="5"/>
  <c r="Q1875" i="5"/>
  <c r="R1875" i="5" s="1"/>
  <c r="S1875" i="5" s="1"/>
  <c r="Q1879" i="5"/>
  <c r="R1879" i="5" s="1"/>
  <c r="S1879" i="5" s="1"/>
  <c r="Q1823" i="5"/>
  <c r="R1823" i="5" s="1"/>
  <c r="S1823" i="5" s="1"/>
  <c r="M1861" i="5"/>
  <c r="M2122" i="5"/>
  <c r="Q1914" i="5"/>
  <c r="R1914" i="5" s="1"/>
  <c r="S1914" i="5" s="1"/>
  <c r="M1954" i="5"/>
  <c r="Q2030" i="5"/>
  <c r="R2030" i="5" s="1"/>
  <c r="S2030" i="5" s="1"/>
  <c r="Q2137" i="5"/>
  <c r="R2137" i="5" s="1"/>
  <c r="S2137" i="5" s="1"/>
  <c r="Q1838" i="5"/>
  <c r="R1838" i="5" s="1"/>
  <c r="S1838" i="5" s="1"/>
  <c r="Q2100" i="5"/>
  <c r="R2100" i="5" s="1"/>
  <c r="S2100" i="5" s="1"/>
  <c r="M1882" i="5"/>
  <c r="N1882" i="5" s="1"/>
  <c r="R1890" i="5"/>
  <c r="S1890" i="5" s="1"/>
  <c r="M2014" i="5"/>
  <c r="R1950" i="5"/>
  <c r="S1950" i="5" s="1"/>
  <c r="M1811" i="5"/>
  <c r="N1811" i="5" s="1"/>
  <c r="M1856" i="5"/>
  <c r="Q1903" i="5"/>
  <c r="R1903" i="5" s="1"/>
  <c r="S1903" i="5" s="1"/>
  <c r="M1951" i="5"/>
  <c r="N1951" i="5" s="1"/>
  <c r="M2133" i="5"/>
  <c r="N2133" i="5" s="1"/>
  <c r="M2213" i="5"/>
  <c r="M1950" i="5"/>
  <c r="N1950" i="5" s="1"/>
  <c r="Q2073" i="5"/>
  <c r="R2073" i="5" s="1"/>
  <c r="S2073" i="5" s="1"/>
  <c r="M2269" i="5"/>
  <c r="P1950" i="5"/>
  <c r="P1951" i="5"/>
  <c r="Q1803" i="5"/>
  <c r="R1803" i="5" s="1"/>
  <c r="S1803" i="5" s="1"/>
  <c r="M1894" i="5"/>
  <c r="N1894" i="5" s="1"/>
  <c r="Q1904" i="5"/>
  <c r="M1925" i="5"/>
  <c r="R1948" i="5"/>
  <c r="S1948" i="5" s="1"/>
  <c r="L1982" i="5"/>
  <c r="N1982" i="5" s="1"/>
  <c r="K2000" i="5"/>
  <c r="L2000" i="5" s="1"/>
  <c r="M2084" i="5"/>
  <c r="Q2191" i="5"/>
  <c r="R2191" i="5" s="1"/>
  <c r="S2191" i="5" s="1"/>
  <c r="Q1833" i="5"/>
  <c r="R1833" i="5" s="1"/>
  <c r="S1833" i="5" s="1"/>
  <c r="M1883" i="5"/>
  <c r="Q1928" i="5"/>
  <c r="Q1942" i="5"/>
  <c r="L1969" i="5"/>
  <c r="P1969" i="5" s="1"/>
  <c r="M2033" i="5"/>
  <c r="Q2141" i="5"/>
  <c r="R2141" i="5" s="1"/>
  <c r="S2141" i="5" s="1"/>
  <c r="Q2217" i="5"/>
  <c r="R2217" i="5" s="1"/>
  <c r="S2217" i="5" s="1"/>
  <c r="Q2232" i="5"/>
  <c r="R2232" i="5" s="1"/>
  <c r="S2232" i="5" s="1"/>
  <c r="Q1832" i="5"/>
  <c r="Q1884" i="5"/>
  <c r="M2001" i="5"/>
  <c r="L2001" i="5"/>
  <c r="P2001" i="5" s="1"/>
  <c r="Q2241" i="5"/>
  <c r="R2241" i="5" s="1"/>
  <c r="S2241" i="5" s="1"/>
  <c r="M1970" i="5"/>
  <c r="M2002" i="5"/>
  <c r="M2115" i="5"/>
  <c r="L2131" i="5"/>
  <c r="P2131" i="5" s="1"/>
  <c r="Q1888" i="5"/>
  <c r="R1888" i="5" s="1"/>
  <c r="S1888" i="5" s="1"/>
  <c r="R2001" i="5"/>
  <c r="S2001" i="5" s="1"/>
  <c r="Q2083" i="5"/>
  <c r="R2083" i="5" s="1"/>
  <c r="S2083" i="5" s="1"/>
  <c r="Q2113" i="5"/>
  <c r="R2113" i="5" s="1"/>
  <c r="S2113" i="5" s="1"/>
  <c r="Q1889" i="5"/>
  <c r="R1889" i="5" s="1"/>
  <c r="S1889" i="5" s="1"/>
  <c r="L1973" i="5"/>
  <c r="P1973" i="5" s="1"/>
  <c r="M1993" i="5"/>
  <c r="N1993" i="5" s="1"/>
  <c r="Q2029" i="5"/>
  <c r="R2029" i="5" s="1"/>
  <c r="S2029" i="5" s="1"/>
  <c r="Q2094" i="5"/>
  <c r="R2122" i="5"/>
  <c r="S2122" i="5" s="1"/>
  <c r="Q2249" i="5"/>
  <c r="M2268" i="5"/>
  <c r="M1849" i="5"/>
  <c r="M1881" i="5"/>
  <c r="N1881" i="5" s="1"/>
  <c r="M1974" i="5"/>
  <c r="N1974" i="5" s="1"/>
  <c r="M1991" i="5"/>
  <c r="M1992" i="5"/>
  <c r="N1992" i="5" s="1"/>
  <c r="M2019" i="5"/>
  <c r="M2045" i="5"/>
  <c r="M2147" i="5"/>
  <c r="M2267" i="5"/>
  <c r="Q2276" i="5"/>
  <c r="Q1814" i="5"/>
  <c r="R1814" i="5" s="1"/>
  <c r="S1814" i="5" s="1"/>
  <c r="Q2022" i="5"/>
  <c r="R2048" i="5"/>
  <c r="S2048" i="5" s="1"/>
  <c r="Q2050" i="5"/>
  <c r="R2050" i="5" s="1"/>
  <c r="S2050" i="5" s="1"/>
  <c r="M2181" i="5"/>
  <c r="L2268" i="5"/>
  <c r="P2268" i="5" s="1"/>
  <c r="M1809" i="5"/>
  <c r="M1816" i="5"/>
  <c r="Q1976" i="5"/>
  <c r="R1976" i="5" s="1"/>
  <c r="S1976" i="5" s="1"/>
  <c r="Q2017" i="5"/>
  <c r="R2017" i="5" s="1"/>
  <c r="S2017" i="5" s="1"/>
  <c r="M2195" i="5"/>
  <c r="N1999" i="5"/>
  <c r="P1999" i="5"/>
  <c r="M2048" i="5"/>
  <c r="Q1853" i="5"/>
  <c r="Q1867" i="5"/>
  <c r="R1867" i="5" s="1"/>
  <c r="S1867" i="5" s="1"/>
  <c r="Q1898" i="5"/>
  <c r="R1898" i="5" s="1"/>
  <c r="S1898" i="5" s="1"/>
  <c r="Q1908" i="5"/>
  <c r="R1908" i="5" s="1"/>
  <c r="S1908" i="5" s="1"/>
  <c r="M1919" i="5"/>
  <c r="M1987" i="5"/>
  <c r="N1987" i="5" s="1"/>
  <c r="M2004" i="5"/>
  <c r="N2004" i="5" s="1"/>
  <c r="L2048" i="5"/>
  <c r="P2048" i="5" s="1"/>
  <c r="Q2068" i="5"/>
  <c r="R2068" i="5" s="1"/>
  <c r="S2068" i="5" s="1"/>
  <c r="Q2095" i="5"/>
  <c r="R2095" i="5" s="1"/>
  <c r="S2095" i="5" s="1"/>
  <c r="Q2107" i="5"/>
  <c r="R2107" i="5" s="1"/>
  <c r="S2107" i="5" s="1"/>
  <c r="Q2134" i="5"/>
  <c r="Q2140" i="5"/>
  <c r="R2140" i="5" s="1"/>
  <c r="S2140" i="5" s="1"/>
  <c r="Q2179" i="5"/>
  <c r="R2179" i="5" s="1"/>
  <c r="S2179" i="5" s="1"/>
  <c r="M2221" i="5"/>
  <c r="Q2240" i="5"/>
  <c r="Q2255" i="5"/>
  <c r="Q2272" i="5"/>
  <c r="R2272" i="5" s="1"/>
  <c r="S2272" i="5" s="1"/>
  <c r="Q1999" i="5"/>
  <c r="R1999" i="5" s="1"/>
  <c r="S1999" i="5" s="1"/>
  <c r="Q1807" i="5"/>
  <c r="R1807" i="5" s="1"/>
  <c r="S1807" i="5" s="1"/>
  <c r="M1900" i="5"/>
  <c r="M1924" i="5"/>
  <c r="R1951" i="5"/>
  <c r="S1951" i="5" s="1"/>
  <c r="Q1961" i="5"/>
  <c r="R1961" i="5" s="1"/>
  <c r="S1961" i="5" s="1"/>
  <c r="M1969" i="5"/>
  <c r="M1986" i="5"/>
  <c r="N1986" i="5" s="1"/>
  <c r="Q1990" i="5"/>
  <c r="Q2010" i="5"/>
  <c r="M2071" i="5"/>
  <c r="Q2109" i="5"/>
  <c r="R2109" i="5" s="1"/>
  <c r="S2109" i="5" s="1"/>
  <c r="Q2118" i="5"/>
  <c r="M2124" i="5"/>
  <c r="M2262" i="5"/>
  <c r="M2277" i="5"/>
  <c r="Q1806" i="5"/>
  <c r="R1806" i="5" s="1"/>
  <c r="S1806" i="5" s="1"/>
  <c r="M1967" i="5"/>
  <c r="Q1973" i="5"/>
  <c r="R1973" i="5" s="1"/>
  <c r="S1973" i="5" s="1"/>
  <c r="M1983" i="5"/>
  <c r="N1983" i="5" s="1"/>
  <c r="M2043" i="5"/>
  <c r="N2043" i="5" s="1"/>
  <c r="L2124" i="5"/>
  <c r="Q2185" i="5"/>
  <c r="R2185" i="5" s="1"/>
  <c r="S2185" i="5" s="1"/>
  <c r="R2260" i="5"/>
  <c r="S2260" i="5" s="1"/>
  <c r="L2273" i="5"/>
  <c r="P2273" i="5" s="1"/>
  <c r="R1866" i="5"/>
  <c r="S1866" i="5" s="1"/>
  <c r="R1983" i="5"/>
  <c r="S1983" i="5" s="1"/>
  <c r="M2121" i="5"/>
  <c r="Q1850" i="5"/>
  <c r="Q1887" i="5"/>
  <c r="R1887" i="5" s="1"/>
  <c r="S1887" i="5" s="1"/>
  <c r="M1931" i="5"/>
  <c r="R1952" i="5"/>
  <c r="S1952" i="5" s="1"/>
  <c r="Q1968" i="5"/>
  <c r="R1968" i="5" s="1"/>
  <c r="S1968" i="5" s="1"/>
  <c r="R1974" i="5"/>
  <c r="S1974" i="5" s="1"/>
  <c r="M2013" i="5"/>
  <c r="M2038" i="5"/>
  <c r="Q2057" i="5"/>
  <c r="Q2101" i="5"/>
  <c r="L2116" i="5"/>
  <c r="P2116" i="5" s="1"/>
  <c r="M2127" i="5"/>
  <c r="M2235" i="5"/>
  <c r="K1975" i="5"/>
  <c r="L1975" i="5" s="1"/>
  <c r="Q1808" i="5"/>
  <c r="R1808" i="5" s="1"/>
  <c r="S1808" i="5" s="1"/>
  <c r="M1813" i="5"/>
  <c r="Q1820" i="5"/>
  <c r="R1820" i="5" s="1"/>
  <c r="S1820" i="5" s="1"/>
  <c r="M1821" i="5"/>
  <c r="Q1829" i="5"/>
  <c r="M1854" i="5"/>
  <c r="M1940" i="5"/>
  <c r="M1946" i="5"/>
  <c r="N1946" i="5" s="1"/>
  <c r="Q1964" i="5"/>
  <c r="R1964" i="5" s="1"/>
  <c r="S1964" i="5" s="1"/>
  <c r="L1970" i="5"/>
  <c r="P1970" i="5" s="1"/>
  <c r="Q1981" i="5"/>
  <c r="R1981" i="5" s="1"/>
  <c r="S1981" i="5" s="1"/>
  <c r="Q1996" i="5"/>
  <c r="R1996" i="5" s="1"/>
  <c r="S1996" i="5" s="1"/>
  <c r="Q2003" i="5"/>
  <c r="R2003" i="5" s="1"/>
  <c r="S2003" i="5" s="1"/>
  <c r="Q2007" i="5"/>
  <c r="Q2027" i="5"/>
  <c r="R2027" i="5" s="1"/>
  <c r="S2027" i="5" s="1"/>
  <c r="Q2052" i="5"/>
  <c r="Q2069" i="5"/>
  <c r="L2141" i="5"/>
  <c r="P2141" i="5" s="1"/>
  <c r="Q2153" i="5"/>
  <c r="Q2166" i="5"/>
  <c r="M2183" i="5"/>
  <c r="Q2231" i="5"/>
  <c r="Q2251" i="5"/>
  <c r="R2251" i="5" s="1"/>
  <c r="S2251" i="5" s="1"/>
  <c r="Q2253" i="5"/>
  <c r="Q2261" i="5"/>
  <c r="R2261" i="5" s="1"/>
  <c r="S2261" i="5" s="1"/>
  <c r="Q1819" i="5"/>
  <c r="R1819" i="5" s="1"/>
  <c r="S1819" i="5" s="1"/>
  <c r="Q1828" i="5"/>
  <c r="Q1834" i="5"/>
  <c r="R1834" i="5" s="1"/>
  <c r="S1834" i="5" s="1"/>
  <c r="M1866" i="5"/>
  <c r="N1866" i="5" s="1"/>
  <c r="O1866" i="5" s="1"/>
  <c r="M1874" i="5"/>
  <c r="Q1901" i="5"/>
  <c r="R1901" i="5" s="1"/>
  <c r="S1901" i="5" s="1"/>
  <c r="Q1913" i="5"/>
  <c r="R1913" i="5" s="1"/>
  <c r="S1913" i="5" s="1"/>
  <c r="M1930" i="5"/>
  <c r="Q1945" i="5"/>
  <c r="K1945" i="5"/>
  <c r="L1945" i="5" s="1"/>
  <c r="M1972" i="5"/>
  <c r="N1972" i="5" s="1"/>
  <c r="L1976" i="5"/>
  <c r="N1976" i="5" s="1"/>
  <c r="Q1980" i="5"/>
  <c r="R1980" i="5" s="1"/>
  <c r="S1980" i="5" s="1"/>
  <c r="M1989" i="5"/>
  <c r="M2021" i="5"/>
  <c r="Q2058" i="5"/>
  <c r="Q2072" i="5"/>
  <c r="R2072" i="5" s="1"/>
  <c r="S2072" i="5" s="1"/>
  <c r="L2074" i="5"/>
  <c r="P2074" i="5" s="1"/>
  <c r="Q2104" i="5"/>
  <c r="R2104" i="5" s="1"/>
  <c r="S2104" i="5" s="1"/>
  <c r="Q2117" i="5"/>
  <c r="Q2152" i="5"/>
  <c r="R2152" i="5" s="1"/>
  <c r="S2152" i="5" s="1"/>
  <c r="M2164" i="5"/>
  <c r="Q2197" i="5"/>
  <c r="R2197" i="5" s="1"/>
  <c r="S2197" i="5" s="1"/>
  <c r="Q2215" i="5"/>
  <c r="Q2263" i="5"/>
  <c r="R2263" i="5" s="1"/>
  <c r="S2263" i="5" s="1"/>
  <c r="M2278" i="5"/>
  <c r="Q1893" i="5"/>
  <c r="M1936" i="5"/>
  <c r="Q2093" i="5"/>
  <c r="R2169" i="5"/>
  <c r="S2169" i="5" s="1"/>
  <c r="R2209" i="5"/>
  <c r="S2209" i="5" s="1"/>
  <c r="K2228" i="5"/>
  <c r="L2228" i="5" s="1"/>
  <c r="L2237" i="5"/>
  <c r="P2237" i="5" s="1"/>
  <c r="M2245" i="5"/>
  <c r="Q2250" i="5"/>
  <c r="R2250" i="5" s="1"/>
  <c r="S2250" i="5" s="1"/>
  <c r="Q1909" i="5"/>
  <c r="R1909" i="5" s="1"/>
  <c r="S1909" i="5" s="1"/>
  <c r="Q1959" i="5"/>
  <c r="Q1965" i="5"/>
  <c r="R1965" i="5" s="1"/>
  <c r="S1965" i="5" s="1"/>
  <c r="L1968" i="5"/>
  <c r="L1967" i="5"/>
  <c r="P1979" i="5"/>
  <c r="Q1985" i="5"/>
  <c r="R1985" i="5" s="1"/>
  <c r="S1985" i="5" s="1"/>
  <c r="Q2020" i="5"/>
  <c r="Q2032" i="5"/>
  <c r="R2032" i="5" s="1"/>
  <c r="S2032" i="5" s="1"/>
  <c r="L2087" i="5"/>
  <c r="P2087" i="5" s="1"/>
  <c r="Q2102" i="5"/>
  <c r="R2102" i="5" s="1"/>
  <c r="S2102" i="5" s="1"/>
  <c r="Q2177" i="5"/>
  <c r="R2177" i="5" s="1"/>
  <c r="S2177" i="5" s="1"/>
  <c r="Q2199" i="5"/>
  <c r="R2199" i="5" s="1"/>
  <c r="S2199" i="5" s="1"/>
  <c r="Q2257" i="5"/>
  <c r="R2257" i="5" s="1"/>
  <c r="S2257" i="5" s="1"/>
  <c r="Q1825" i="5"/>
  <c r="R1825" i="5" s="1"/>
  <c r="S1825" i="5" s="1"/>
  <c r="Q1869" i="5"/>
  <c r="R1869" i="5" s="1"/>
  <c r="S1869" i="5" s="1"/>
  <c r="Q1880" i="5"/>
  <c r="R1880" i="5" s="1"/>
  <c r="S1880" i="5" s="1"/>
  <c r="M1932" i="5"/>
  <c r="Q1975" i="5"/>
  <c r="Q1982" i="5"/>
  <c r="R1982" i="5" s="1"/>
  <c r="S1982" i="5" s="1"/>
  <c r="Q2031" i="5"/>
  <c r="R2031" i="5" s="1"/>
  <c r="S2031" i="5" s="1"/>
  <c r="M2037" i="5"/>
  <c r="N2037" i="5" s="1"/>
  <c r="M2039" i="5"/>
  <c r="R2043" i="5"/>
  <c r="S2043" i="5" s="1"/>
  <c r="Q2061" i="5"/>
  <c r="R2061" i="5" s="1"/>
  <c r="S2061" i="5" s="1"/>
  <c r="L2062" i="5"/>
  <c r="P2062" i="5" s="1"/>
  <c r="L2072" i="5"/>
  <c r="P2072" i="5" s="1"/>
  <c r="R2078" i="5"/>
  <c r="S2078" i="5" s="1"/>
  <c r="M2080" i="5"/>
  <c r="Q2081" i="5"/>
  <c r="L2086" i="5"/>
  <c r="P2086" i="5" s="1"/>
  <c r="R2098" i="5"/>
  <c r="S2098" i="5" s="1"/>
  <c r="Q2130" i="5"/>
  <c r="M2155" i="5"/>
  <c r="Q2180" i="5"/>
  <c r="R2180" i="5" s="1"/>
  <c r="S2180" i="5" s="1"/>
  <c r="L2209" i="5"/>
  <c r="P2209" i="5" s="1"/>
  <c r="Q2210" i="5"/>
  <c r="R2210" i="5" s="1"/>
  <c r="S2210" i="5" s="1"/>
  <c r="Q2248" i="5"/>
  <c r="R2248" i="5" s="1"/>
  <c r="S2248" i="5" s="1"/>
  <c r="M1876" i="5"/>
  <c r="Q1876" i="5"/>
  <c r="R1876" i="5" s="1"/>
  <c r="S1876" i="5" s="1"/>
  <c r="K1934" i="5"/>
  <c r="L1934" i="5" s="1"/>
  <c r="M1933" i="5"/>
  <c r="Q1933" i="5"/>
  <c r="R1933" i="5" s="1"/>
  <c r="S1933" i="5" s="1"/>
  <c r="M2203" i="5"/>
  <c r="Q2203" i="5"/>
  <c r="R2203" i="5" s="1"/>
  <c r="S2203" i="5" s="1"/>
  <c r="K2277" i="5"/>
  <c r="L2277" i="5" s="1"/>
  <c r="M1812" i="5"/>
  <c r="M1864" i="5"/>
  <c r="R1861" i="5"/>
  <c r="S1861" i="5" s="1"/>
  <c r="M1868" i="5"/>
  <c r="N1868" i="5" s="1"/>
  <c r="Q1870" i="5"/>
  <c r="R1870" i="5" s="1"/>
  <c r="S1870" i="5" s="1"/>
  <c r="M1870" i="5"/>
  <c r="Q1899" i="5"/>
  <c r="R1899" i="5" s="1"/>
  <c r="S1899" i="5" s="1"/>
  <c r="M1899" i="5"/>
  <c r="Q1906" i="5"/>
  <c r="M1906" i="5"/>
  <c r="M1910" i="5"/>
  <c r="Q1910" i="5"/>
  <c r="K1959" i="5"/>
  <c r="L1959" i="5" s="1"/>
  <c r="M2237" i="5"/>
  <c r="Q2237" i="5"/>
  <c r="R2237" i="5" s="1"/>
  <c r="S2237" i="5" s="1"/>
  <c r="K2249" i="5"/>
  <c r="K2077" i="5"/>
  <c r="L2077" i="5" s="1"/>
  <c r="L1814" i="5"/>
  <c r="P1814" i="5" s="1"/>
  <c r="Q1831" i="5"/>
  <c r="M1857" i="5"/>
  <c r="M1873" i="5"/>
  <c r="N1873" i="5" s="1"/>
  <c r="M1877" i="5"/>
  <c r="Q1878" i="5"/>
  <c r="R1878" i="5" s="1"/>
  <c r="S1878" i="5" s="1"/>
  <c r="M1912" i="5"/>
  <c r="Q1912" i="5"/>
  <c r="R1912" i="5" s="1"/>
  <c r="S1912" i="5" s="1"/>
  <c r="K1924" i="5"/>
  <c r="L1924" i="5" s="1"/>
  <c r="R1935" i="5"/>
  <c r="S1935" i="5" s="1"/>
  <c r="Q1939" i="5"/>
  <c r="R1939" i="5" s="1"/>
  <c r="S1939" i="5" s="1"/>
  <c r="Q1966" i="5"/>
  <c r="R1966" i="5" s="1"/>
  <c r="S1966" i="5" s="1"/>
  <c r="M1966" i="5"/>
  <c r="M1997" i="5"/>
  <c r="Q1997" i="5"/>
  <c r="R1997" i="5" s="1"/>
  <c r="S1997" i="5" s="1"/>
  <c r="M2006" i="5"/>
  <c r="Q2006" i="5"/>
  <c r="R2006" i="5" s="1"/>
  <c r="S2006" i="5" s="1"/>
  <c r="M2189" i="5"/>
  <c r="Q2189" i="5"/>
  <c r="R2189" i="5" s="1"/>
  <c r="S2189" i="5" s="1"/>
  <c r="Q2228" i="5"/>
  <c r="M2228" i="5"/>
  <c r="M2067" i="5"/>
  <c r="Q2067" i="5"/>
  <c r="M1835" i="5"/>
  <c r="Q1858" i="5"/>
  <c r="R1858" i="5" s="1"/>
  <c r="S1858" i="5" s="1"/>
  <c r="M1871" i="5"/>
  <c r="M1917" i="5"/>
  <c r="N1917" i="5" s="1"/>
  <c r="O1917" i="5" s="1"/>
  <c r="M1927" i="5"/>
  <c r="Q1929" i="5"/>
  <c r="R1929" i="5" s="1"/>
  <c r="S1929" i="5" s="1"/>
  <c r="M1943" i="5"/>
  <c r="Q1956" i="5"/>
  <c r="R1956" i="5" s="1"/>
  <c r="S1956" i="5" s="1"/>
  <c r="L2212" i="5"/>
  <c r="Q2212" i="5"/>
  <c r="R2212" i="5" s="1"/>
  <c r="S2212" i="5" s="1"/>
  <c r="M2212" i="5"/>
  <c r="Q1944" i="5"/>
  <c r="R1944" i="5" s="1"/>
  <c r="S1944" i="5" s="1"/>
  <c r="M1944" i="5"/>
  <c r="M1818" i="5"/>
  <c r="Q1840" i="5"/>
  <c r="R1840" i="5" s="1"/>
  <c r="S1840" i="5" s="1"/>
  <c r="Q1855" i="5"/>
  <c r="R1855" i="5" s="1"/>
  <c r="S1855" i="5" s="1"/>
  <c r="Q1886" i="5"/>
  <c r="R1886" i="5" s="1"/>
  <c r="S1886" i="5" s="1"/>
  <c r="Q1902" i="5"/>
  <c r="R1902" i="5" s="1"/>
  <c r="S1902" i="5" s="1"/>
  <c r="M1907" i="5"/>
  <c r="N1907" i="5" s="1"/>
  <c r="Q1907" i="5"/>
  <c r="R1907" i="5" s="1"/>
  <c r="S1907" i="5" s="1"/>
  <c r="M1916" i="5"/>
  <c r="Q1916" i="5"/>
  <c r="R1916" i="5" s="1"/>
  <c r="S1916" i="5" s="1"/>
  <c r="Q1926" i="5"/>
  <c r="R1926" i="5" s="1"/>
  <c r="S1926" i="5" s="1"/>
  <c r="M1926" i="5"/>
  <c r="M1935" i="5"/>
  <c r="M1947" i="5"/>
  <c r="Q1947" i="5"/>
  <c r="K1990" i="5"/>
  <c r="L1990" i="5" s="1"/>
  <c r="Q2106" i="5"/>
  <c r="R2106" i="5" s="1"/>
  <c r="S2106" i="5" s="1"/>
  <c r="M2106" i="5"/>
  <c r="R1972" i="5"/>
  <c r="S1972" i="5" s="1"/>
  <c r="Q1971" i="5"/>
  <c r="R1971" i="5" s="1"/>
  <c r="S1971" i="5" s="1"/>
  <c r="Q1978" i="5"/>
  <c r="R1978" i="5" s="1"/>
  <c r="S1978" i="5" s="1"/>
  <c r="Q1994" i="5"/>
  <c r="R1994" i="5" s="1"/>
  <c r="S1994" i="5" s="1"/>
  <c r="Q2009" i="5"/>
  <c r="R2009" i="5" s="1"/>
  <c r="S2009" i="5" s="1"/>
  <c r="M2012" i="5"/>
  <c r="Q2012" i="5"/>
  <c r="R2012" i="5" s="1"/>
  <c r="S2012" i="5" s="1"/>
  <c r="Q2025" i="5"/>
  <c r="L2211" i="5"/>
  <c r="Q2211" i="5"/>
  <c r="R2211" i="5" s="1"/>
  <c r="S2211" i="5" s="1"/>
  <c r="M2211" i="5"/>
  <c r="Q2222" i="5"/>
  <c r="R2222" i="5" s="1"/>
  <c r="S2222" i="5" s="1"/>
  <c r="M2222" i="5"/>
  <c r="M2226" i="5"/>
  <c r="Q2226" i="5"/>
  <c r="R2226" i="5" s="1"/>
  <c r="S2226" i="5" s="1"/>
  <c r="Q2254" i="5"/>
  <c r="M2254" i="5"/>
  <c r="K2276" i="5"/>
  <c r="L2276" i="5" s="1"/>
  <c r="Q1911" i="5"/>
  <c r="R1911" i="5" s="1"/>
  <c r="S1911" i="5" s="1"/>
  <c r="M1920" i="5"/>
  <c r="M1934" i="5"/>
  <c r="Q1955" i="5"/>
  <c r="R1955" i="5" s="1"/>
  <c r="S1955" i="5" s="1"/>
  <c r="M1957" i="5"/>
  <c r="Q1963" i="5"/>
  <c r="R1963" i="5" s="1"/>
  <c r="S1963" i="5" s="1"/>
  <c r="R1970" i="5"/>
  <c r="S1970" i="5" s="1"/>
  <c r="Q1977" i="5"/>
  <c r="R1977" i="5" s="1"/>
  <c r="S1977" i="5" s="1"/>
  <c r="Q1979" i="5"/>
  <c r="R1979" i="5" s="1"/>
  <c r="S1979" i="5" s="1"/>
  <c r="L1981" i="5"/>
  <c r="Q2005" i="5"/>
  <c r="R2005" i="5" s="1"/>
  <c r="S2005" i="5" s="1"/>
  <c r="M2005" i="5"/>
  <c r="N2005" i="5" s="1"/>
  <c r="Q2026" i="5"/>
  <c r="M2026" i="5"/>
  <c r="Q2028" i="5"/>
  <c r="R2028" i="5" s="1"/>
  <c r="S2028" i="5" s="1"/>
  <c r="Q2051" i="5"/>
  <c r="R2051" i="5" s="1"/>
  <c r="S2051" i="5" s="1"/>
  <c r="M2051" i="5"/>
  <c r="M2091" i="5"/>
  <c r="N2091" i="5" s="1"/>
  <c r="Q2091" i="5"/>
  <c r="R2091" i="5" s="1"/>
  <c r="S2091" i="5" s="1"/>
  <c r="M2103" i="5"/>
  <c r="Q2103" i="5"/>
  <c r="R2103" i="5" s="1"/>
  <c r="S2103" i="5" s="1"/>
  <c r="K2134" i="5"/>
  <c r="L2134" i="5" s="1"/>
  <c r="Q2138" i="5"/>
  <c r="R2138" i="5" s="1"/>
  <c r="S2138" i="5" s="1"/>
  <c r="M2138" i="5"/>
  <c r="R2172" i="5"/>
  <c r="S2172" i="5" s="1"/>
  <c r="M2219" i="5"/>
  <c r="Q2219" i="5"/>
  <c r="L2267" i="5"/>
  <c r="P2267" i="5" s="1"/>
  <c r="R2267" i="5"/>
  <c r="S2267" i="5" s="1"/>
  <c r="Q2018" i="5"/>
  <c r="R2018" i="5" s="1"/>
  <c r="S2018" i="5" s="1"/>
  <c r="M2018" i="5"/>
  <c r="N2018" i="5" s="1"/>
  <c r="K2057" i="5"/>
  <c r="L2057" i="5" s="1"/>
  <c r="M2086" i="5"/>
  <c r="Q2086" i="5"/>
  <c r="R2086" i="5" s="1"/>
  <c r="S2086" i="5" s="1"/>
  <c r="Q2110" i="5"/>
  <c r="R2110" i="5" s="1"/>
  <c r="S2110" i="5" s="1"/>
  <c r="M2110" i="5"/>
  <c r="N2110" i="5" s="1"/>
  <c r="M2161" i="5"/>
  <c r="N2161" i="5" s="1"/>
  <c r="Q2161" i="5"/>
  <c r="R2161" i="5" s="1"/>
  <c r="S2161" i="5" s="1"/>
  <c r="Q2184" i="5"/>
  <c r="R2184" i="5" s="1"/>
  <c r="S2184" i="5" s="1"/>
  <c r="M2184" i="5"/>
  <c r="M2218" i="5"/>
  <c r="Q2218" i="5"/>
  <c r="R2218" i="5" s="1"/>
  <c r="S2218" i="5" s="1"/>
  <c r="M2214" i="5"/>
  <c r="Q2214" i="5"/>
  <c r="R2214" i="5" s="1"/>
  <c r="S2214" i="5" s="1"/>
  <c r="Q2242" i="5"/>
  <c r="R2242" i="5" s="1"/>
  <c r="S2242" i="5" s="1"/>
  <c r="M2242" i="5"/>
  <c r="N2242" i="5" s="1"/>
  <c r="Q2244" i="5"/>
  <c r="R2244" i="5" s="1"/>
  <c r="S2244" i="5" s="1"/>
  <c r="M2244" i="5"/>
  <c r="N2244" i="5" s="1"/>
  <c r="M2252" i="5"/>
  <c r="Q2252" i="5"/>
  <c r="Q2270" i="5"/>
  <c r="M2270" i="5"/>
  <c r="Q1960" i="5"/>
  <c r="R1960" i="5" s="1"/>
  <c r="S1960" i="5" s="1"/>
  <c r="M1995" i="5"/>
  <c r="Q1995" i="5"/>
  <c r="R1995" i="5" s="1"/>
  <c r="S1995" i="5" s="1"/>
  <c r="M2096" i="5"/>
  <c r="Q2096" i="5"/>
  <c r="R2096" i="5" s="1"/>
  <c r="S2096" i="5" s="1"/>
  <c r="P2119" i="5"/>
  <c r="Q2119" i="5"/>
  <c r="R2119" i="5" s="1"/>
  <c r="S2119" i="5" s="1"/>
  <c r="M2119" i="5"/>
  <c r="N2119" i="5" s="1"/>
  <c r="Q2151" i="5"/>
  <c r="R2151" i="5" s="1"/>
  <c r="S2151" i="5" s="1"/>
  <c r="Q2157" i="5"/>
  <c r="R2157" i="5" s="1"/>
  <c r="S2157" i="5" s="1"/>
  <c r="M2157" i="5"/>
  <c r="N2157" i="5" s="1"/>
  <c r="M2192" i="5"/>
  <c r="Q2192" i="5"/>
  <c r="Q2243" i="5"/>
  <c r="R2243" i="5" s="1"/>
  <c r="S2243" i="5" s="1"/>
  <c r="M2243" i="5"/>
  <c r="N2243" i="5" s="1"/>
  <c r="M2274" i="5"/>
  <c r="Q2274" i="5"/>
  <c r="L1984" i="5"/>
  <c r="Q1984" i="5"/>
  <c r="R1984" i="5" s="1"/>
  <c r="S1984" i="5" s="1"/>
  <c r="M1984" i="5"/>
  <c r="M1988" i="5"/>
  <c r="Q1988" i="5"/>
  <c r="R1988" i="5" s="1"/>
  <c r="S1988" i="5" s="1"/>
  <c r="Q2008" i="5"/>
  <c r="R2008" i="5" s="1"/>
  <c r="S2008" i="5" s="1"/>
  <c r="M2008" i="5"/>
  <c r="Q2016" i="5"/>
  <c r="R2016" i="5" s="1"/>
  <c r="S2016" i="5" s="1"/>
  <c r="M2016" i="5"/>
  <c r="K2022" i="5"/>
  <c r="L2022" i="5" s="1"/>
  <c r="N2022" i="5" s="1"/>
  <c r="K2055" i="5"/>
  <c r="K2080" i="5"/>
  <c r="L2080" i="5" s="1"/>
  <c r="L2083" i="5"/>
  <c r="P2083" i="5" s="1"/>
  <c r="M2120" i="5"/>
  <c r="Q2148" i="5"/>
  <c r="R2148" i="5" s="1"/>
  <c r="S2148" i="5" s="1"/>
  <c r="M2148" i="5"/>
  <c r="L2203" i="5"/>
  <c r="P2203" i="5" s="1"/>
  <c r="L2236" i="5"/>
  <c r="N2236" i="5" s="1"/>
  <c r="L2233" i="5"/>
  <c r="P2233" i="5" s="1"/>
  <c r="Q2273" i="5"/>
  <c r="R2273" i="5" s="1"/>
  <c r="S2273" i="5" s="1"/>
  <c r="M2273" i="5"/>
  <c r="M2041" i="5"/>
  <c r="N2041" i="5" s="1"/>
  <c r="L2078" i="5"/>
  <c r="P2078" i="5" s="1"/>
  <c r="L2079" i="5"/>
  <c r="P2079" i="5" s="1"/>
  <c r="Q2123" i="5"/>
  <c r="R2123" i="5" s="1"/>
  <c r="S2123" i="5" s="1"/>
  <c r="L2151" i="5"/>
  <c r="P2151" i="5" s="1"/>
  <c r="Q2175" i="5"/>
  <c r="R2175" i="5" s="1"/>
  <c r="S2175" i="5" s="1"/>
  <c r="R2176" i="5"/>
  <c r="S2176" i="5" s="1"/>
  <c r="L2184" i="5"/>
  <c r="P2184" i="5" s="1"/>
  <c r="M2194" i="5"/>
  <c r="N2194" i="5" s="1"/>
  <c r="Q2206" i="5"/>
  <c r="R2206" i="5" s="1"/>
  <c r="S2206" i="5" s="1"/>
  <c r="L2226" i="5"/>
  <c r="P2226" i="5" s="1"/>
  <c r="L2269" i="5"/>
  <c r="P2269" i="5" s="1"/>
  <c r="M2053" i="5"/>
  <c r="M2059" i="5"/>
  <c r="Q2088" i="5"/>
  <c r="Q2158" i="5"/>
  <c r="R2158" i="5" s="1"/>
  <c r="S2158" i="5" s="1"/>
  <c r="M2209" i="5"/>
  <c r="M2220" i="5"/>
  <c r="M2223" i="5"/>
  <c r="M2233" i="5"/>
  <c r="L2260" i="5"/>
  <c r="P2260" i="5" s="1"/>
  <c r="Q2011" i="5"/>
  <c r="R2011" i="5" s="1"/>
  <c r="S2011" i="5" s="1"/>
  <c r="Q2097" i="5"/>
  <c r="R2097" i="5" s="1"/>
  <c r="S2097" i="5" s="1"/>
  <c r="M2128" i="5"/>
  <c r="M2156" i="5"/>
  <c r="N2156" i="5" s="1"/>
  <c r="M2188" i="5"/>
  <c r="K2231" i="5"/>
  <c r="M2238" i="5"/>
  <c r="K2270" i="5"/>
  <c r="L2270" i="5" s="1"/>
  <c r="L2278" i="5"/>
  <c r="L2261" i="5"/>
  <c r="N2261" i="5" s="1"/>
  <c r="Q2266" i="5"/>
  <c r="R2266" i="5" s="1"/>
  <c r="S2266" i="5" s="1"/>
  <c r="R2090" i="5"/>
  <c r="S2090" i="5" s="1"/>
  <c r="L2090" i="5"/>
  <c r="P2090" i="5" s="1"/>
  <c r="K2052" i="5"/>
  <c r="L2052" i="5" s="1"/>
  <c r="L2040" i="5"/>
  <c r="P2040" i="5" s="1"/>
  <c r="N1978" i="5"/>
  <c r="U1978" i="5" s="1"/>
  <c r="V1978" i="5" s="1"/>
  <c r="L1944" i="5"/>
  <c r="L1905" i="5"/>
  <c r="P1905" i="5" s="1"/>
  <c r="L1902" i="5"/>
  <c r="P1902" i="5" s="1"/>
  <c r="L1875" i="5"/>
  <c r="N1875" i="5" s="1"/>
  <c r="L1867" i="5"/>
  <c r="N1867" i="5" s="1"/>
  <c r="L1817" i="5"/>
  <c r="P1817" i="5" s="1"/>
  <c r="P2210" i="5"/>
  <c r="N2210" i="5"/>
  <c r="P2123" i="5"/>
  <c r="N2123" i="5"/>
  <c r="P1974" i="5"/>
  <c r="P1946" i="5"/>
  <c r="L1977" i="5"/>
  <c r="P1980" i="5"/>
  <c r="N1980" i="5"/>
  <c r="P1983" i="5"/>
  <c r="L1971" i="5"/>
  <c r="R1859" i="5"/>
  <c r="S1859" i="5" s="1"/>
  <c r="K1831" i="5"/>
  <c r="L1831" i="5" s="1"/>
  <c r="N1858" i="5"/>
  <c r="O1858" i="5" s="1"/>
  <c r="K2007" i="5"/>
  <c r="L2007" i="5" s="1"/>
  <c r="L1816" i="5"/>
  <c r="P1816" i="5" s="1"/>
  <c r="R1842" i="5"/>
  <c r="S1842" i="5" s="1"/>
  <c r="N1843" i="5"/>
  <c r="U1843" i="5" s="1"/>
  <c r="V1843" i="5" s="1"/>
  <c r="L1861" i="5"/>
  <c r="L1890" i="5"/>
  <c r="P1890" i="5" s="1"/>
  <c r="R1969" i="5"/>
  <c r="S1969" i="5" s="1"/>
  <c r="K2025" i="5"/>
  <c r="L2025" i="5" s="1"/>
  <c r="K2258" i="5"/>
  <c r="L2258" i="5" s="1"/>
  <c r="N2265" i="5"/>
  <c r="O2265" i="5" s="1"/>
  <c r="L1886" i="5"/>
  <c r="P1886" i="5" s="1"/>
  <c r="K2039" i="5"/>
  <c r="L2039" i="5" s="1"/>
  <c r="R1817" i="5"/>
  <c r="S1817" i="5" s="1"/>
  <c r="K1828" i="5"/>
  <c r="L1828" i="5" s="1"/>
  <c r="L1877" i="5"/>
  <c r="P1877" i="5" s="1"/>
  <c r="L1911" i="5"/>
  <c r="P1911" i="5" s="1"/>
  <c r="K1922" i="5"/>
  <c r="L1922" i="5" s="1"/>
  <c r="R1923" i="5"/>
  <c r="S1923" i="5" s="1"/>
  <c r="R1953" i="5"/>
  <c r="S1953" i="5" s="1"/>
  <c r="K2147" i="5"/>
  <c r="L2147" i="5" s="1"/>
  <c r="L2217" i="5"/>
  <c r="P2217" i="5" s="1"/>
  <c r="L2241" i="5"/>
  <c r="P2241" i="5" s="1"/>
  <c r="L2251" i="5"/>
  <c r="P2251" i="5" s="1"/>
  <c r="K1827" i="5"/>
  <c r="R1827" i="5" s="1"/>
  <c r="S1827" i="5" s="1"/>
  <c r="L1833" i="5"/>
  <c r="N1833" i="5" s="1"/>
  <c r="R1848" i="5"/>
  <c r="S1848" i="5" s="1"/>
  <c r="R1868" i="5"/>
  <c r="S1868" i="5" s="1"/>
  <c r="L1876" i="5"/>
  <c r="P1876" i="5" s="1"/>
  <c r="L1903" i="5"/>
  <c r="P1903" i="5" s="1"/>
  <c r="L2073" i="5"/>
  <c r="N2073" i="5" s="1"/>
  <c r="K2076" i="5"/>
  <c r="L2076" i="5" s="1"/>
  <c r="L2230" i="5"/>
  <c r="P2230" i="5" s="1"/>
  <c r="R2233" i="5"/>
  <c r="S2233" i="5" s="1"/>
  <c r="K2240" i="5"/>
  <c r="L1840" i="5"/>
  <c r="P1840" i="5" s="1"/>
  <c r="L1870" i="5"/>
  <c r="P1870" i="5" s="1"/>
  <c r="L1909" i="5"/>
  <c r="P1909" i="5" s="1"/>
  <c r="K2067" i="5"/>
  <c r="L2067" i="5" s="1"/>
  <c r="L1819" i="5"/>
  <c r="P1819" i="5" s="1"/>
  <c r="L1813" i="5"/>
  <c r="P1813" i="5" s="1"/>
  <c r="L1830" i="5"/>
  <c r="P1830" i="5" s="1"/>
  <c r="L1849" i="5"/>
  <c r="P1849" i="5" s="1"/>
  <c r="L1859" i="5"/>
  <c r="P1859" i="5" s="1"/>
  <c r="K1904" i="5"/>
  <c r="L1904" i="5" s="1"/>
  <c r="L1912" i="5"/>
  <c r="P1912" i="5" s="1"/>
  <c r="K2069" i="5"/>
  <c r="L2069" i="5" s="1"/>
  <c r="K2127" i="5"/>
  <c r="L2127" i="5" s="1"/>
  <c r="P2127" i="5" s="1"/>
  <c r="K2142" i="5"/>
  <c r="L2142" i="5" s="1"/>
  <c r="P2242" i="5"/>
  <c r="L1940" i="5"/>
  <c r="P1940" i="5" s="1"/>
  <c r="L2008" i="5"/>
  <c r="P2008" i="5" s="1"/>
  <c r="L2027" i="5"/>
  <c r="N2027" i="5" s="1"/>
  <c r="N2082" i="5"/>
  <c r="O2082" i="5" s="1"/>
  <c r="L2098" i="5"/>
  <c r="P2098" i="5" s="1"/>
  <c r="L2103" i="5"/>
  <c r="P2103" i="5" s="1"/>
  <c r="L2113" i="5"/>
  <c r="N2113" i="5" s="1"/>
  <c r="R2115" i="5"/>
  <c r="S2115" i="5" s="1"/>
  <c r="L2179" i="5"/>
  <c r="P2179" i="5" s="1"/>
  <c r="L2263" i="5"/>
  <c r="P2263" i="5" s="1"/>
  <c r="R2269" i="5"/>
  <c r="S2269" i="5" s="1"/>
  <c r="K2274" i="5"/>
  <c r="L2274" i="5" s="1"/>
  <c r="P2274" i="5" s="1"/>
  <c r="L1935" i="5"/>
  <c r="P1935" i="5" s="1"/>
  <c r="R1967" i="5"/>
  <c r="S1967" i="5" s="1"/>
  <c r="R2112" i="5"/>
  <c r="S2112" i="5" s="1"/>
  <c r="R2168" i="5"/>
  <c r="S2168" i="5" s="1"/>
  <c r="R2194" i="5"/>
  <c r="S2194" i="5" s="1"/>
  <c r="L2208" i="5"/>
  <c r="P2208" i="5" s="1"/>
  <c r="K2259" i="5"/>
  <c r="L2259" i="5" s="1"/>
  <c r="P2259" i="5" s="1"/>
  <c r="R2268" i="5"/>
  <c r="S2268" i="5" s="1"/>
  <c r="R2120" i="5"/>
  <c r="S2120" i="5" s="1"/>
  <c r="R2173" i="5"/>
  <c r="S2173" i="5" s="1"/>
  <c r="N2191" i="5"/>
  <c r="O2191" i="5" s="1"/>
  <c r="L2222" i="5"/>
  <c r="P2222" i="5" s="1"/>
  <c r="R1949" i="5"/>
  <c r="S1949" i="5" s="1"/>
  <c r="L1991" i="5"/>
  <c r="P1991" i="5" s="1"/>
  <c r="L2019" i="5"/>
  <c r="P2019" i="5" s="1"/>
  <c r="L2051" i="5"/>
  <c r="P2051" i="5" s="1"/>
  <c r="K2081" i="5"/>
  <c r="N2197" i="5"/>
  <c r="U2197" i="5" s="1"/>
  <c r="V2197" i="5" s="1"/>
  <c r="N2206" i="5"/>
  <c r="O2206" i="5" s="1"/>
  <c r="R2065" i="5"/>
  <c r="S2065" i="5" s="1"/>
  <c r="L2112" i="5"/>
  <c r="P2112" i="5" s="1"/>
  <c r="R2124" i="5"/>
  <c r="S2124" i="5" s="1"/>
  <c r="L2138" i="5"/>
  <c r="R2171" i="5"/>
  <c r="S2171" i="5" s="1"/>
  <c r="L2183" i="5"/>
  <c r="P2183" i="5" s="1"/>
  <c r="R2278" i="5"/>
  <c r="S2278" i="5" s="1"/>
  <c r="Q1804" i="5"/>
  <c r="R1804" i="5" s="1"/>
  <c r="S1804" i="5" s="1"/>
  <c r="M1810" i="5"/>
  <c r="Q1815" i="5"/>
  <c r="M1817" i="5"/>
  <c r="Q1824" i="5"/>
  <c r="R1824" i="5" s="1"/>
  <c r="S1824" i="5" s="1"/>
  <c r="M1837" i="5"/>
  <c r="Q1839" i="5"/>
  <c r="R1839" i="5" s="1"/>
  <c r="S1839" i="5" s="1"/>
  <c r="Q1865" i="5"/>
  <c r="Q1885" i="5"/>
  <c r="R1885" i="5" s="1"/>
  <c r="S1885" i="5" s="1"/>
  <c r="M1890" i="5"/>
  <c r="M1892" i="5"/>
  <c r="Q1905" i="5"/>
  <c r="R1905" i="5" s="1"/>
  <c r="S1905" i="5" s="1"/>
  <c r="Q1938" i="5"/>
  <c r="M1958" i="5"/>
  <c r="Q1958" i="5"/>
  <c r="R1958" i="5" s="1"/>
  <c r="S1958" i="5" s="1"/>
  <c r="Q2024" i="5"/>
  <c r="R2024" i="5" s="1"/>
  <c r="S2024" i="5" s="1"/>
  <c r="M2024" i="5"/>
  <c r="M2190" i="5"/>
  <c r="Q2190" i="5"/>
  <c r="R2190" i="5" s="1"/>
  <c r="S2190" i="5" s="1"/>
  <c r="M1852" i="5"/>
  <c r="N1852" i="5" s="1"/>
  <c r="M1848" i="5"/>
  <c r="N1848" i="5" s="1"/>
  <c r="O1848" i="5" s="1"/>
  <c r="M1860" i="5"/>
  <c r="N1860" i="5" s="1"/>
  <c r="Q1872" i="5"/>
  <c r="Q1915" i="5"/>
  <c r="R1915" i="5" s="1"/>
  <c r="S1915" i="5" s="1"/>
  <c r="M2046" i="5"/>
  <c r="N2046" i="5" s="1"/>
  <c r="Q2046" i="5"/>
  <c r="R2046" i="5" s="1"/>
  <c r="S2046" i="5" s="1"/>
  <c r="M2079" i="5"/>
  <c r="Q2079" i="5"/>
  <c r="R2079" i="5" s="1"/>
  <c r="S2079" i="5" s="1"/>
  <c r="M2085" i="5"/>
  <c r="Q2085" i="5"/>
  <c r="R2085" i="5" s="1"/>
  <c r="S2085" i="5" s="1"/>
  <c r="M2136" i="5"/>
  <c r="Q2136" i="5"/>
  <c r="Q2182" i="5"/>
  <c r="R2182" i="5" s="1"/>
  <c r="S2182" i="5" s="1"/>
  <c r="M2182" i="5"/>
  <c r="M2205" i="5"/>
  <c r="N2205" i="5" s="1"/>
  <c r="Q2205" i="5"/>
  <c r="R2205" i="5" s="1"/>
  <c r="S2205" i="5" s="1"/>
  <c r="M2229" i="5"/>
  <c r="N2229" i="5" s="1"/>
  <c r="O2229" i="5" s="1"/>
  <c r="Q2229" i="5"/>
  <c r="R2229" i="5" s="1"/>
  <c r="S2229" i="5" s="1"/>
  <c r="M2150" i="5"/>
  <c r="Q2150" i="5"/>
  <c r="R2150" i="5" s="1"/>
  <c r="S2150" i="5" s="1"/>
  <c r="Q1822" i="5"/>
  <c r="R1822" i="5" s="1"/>
  <c r="S1822" i="5" s="1"/>
  <c r="M1827" i="5"/>
  <c r="M1859" i="5"/>
  <c r="M2047" i="5"/>
  <c r="Q2047" i="5"/>
  <c r="R2047" i="5" s="1"/>
  <c r="S2047" i="5" s="1"/>
  <c r="Q2056" i="5"/>
  <c r="R2056" i="5" s="1"/>
  <c r="S2056" i="5" s="1"/>
  <c r="M2060" i="5"/>
  <c r="N2060" i="5" s="1"/>
  <c r="Q2060" i="5"/>
  <c r="R2060" i="5" s="1"/>
  <c r="S2060" i="5" s="1"/>
  <c r="Q2087" i="5"/>
  <c r="R2087" i="5" s="1"/>
  <c r="S2087" i="5" s="1"/>
  <c r="M2087" i="5"/>
  <c r="Q2105" i="5"/>
  <c r="R2105" i="5" s="1"/>
  <c r="S2105" i="5" s="1"/>
  <c r="M2105" i="5"/>
  <c r="M2165" i="5"/>
  <c r="Q2165" i="5"/>
  <c r="R2165" i="5" s="1"/>
  <c r="S2165" i="5" s="1"/>
  <c r="M2239" i="5"/>
  <c r="N2239" i="5" s="1"/>
  <c r="Q2239" i="5"/>
  <c r="R2239" i="5" s="1"/>
  <c r="S2239" i="5" s="1"/>
  <c r="R1841" i="5"/>
  <c r="S1841" i="5" s="1"/>
  <c r="M1851" i="5"/>
  <c r="M1847" i="5"/>
  <c r="Q1863" i="5"/>
  <c r="R1863" i="5" s="1"/>
  <c r="S1863" i="5" s="1"/>
  <c r="M1826" i="5"/>
  <c r="Q1862" i="5"/>
  <c r="R1862" i="5" s="1"/>
  <c r="S1862" i="5" s="1"/>
  <c r="Q1891" i="5"/>
  <c r="R1891" i="5" s="1"/>
  <c r="S1891" i="5" s="1"/>
  <c r="M1921" i="5"/>
  <c r="Q1921" i="5"/>
  <c r="R1921" i="5" s="1"/>
  <c r="S1921" i="5" s="1"/>
  <c r="M1998" i="5"/>
  <c r="N1998" i="5" s="1"/>
  <c r="Q1998" i="5"/>
  <c r="R1998" i="5" s="1"/>
  <c r="S1998" i="5" s="1"/>
  <c r="M2040" i="5"/>
  <c r="Q2040" i="5"/>
  <c r="R2040" i="5" s="1"/>
  <c r="S2040" i="5" s="1"/>
  <c r="Q2042" i="5"/>
  <c r="R2042" i="5" s="1"/>
  <c r="S2042" i="5" s="1"/>
  <c r="M2042" i="5"/>
  <c r="M2062" i="5"/>
  <c r="Q2062" i="5"/>
  <c r="R2062" i="5" s="1"/>
  <c r="S2062" i="5" s="1"/>
  <c r="M2092" i="5"/>
  <c r="Q2092" i="5"/>
  <c r="R2092" i="5" s="1"/>
  <c r="S2092" i="5" s="1"/>
  <c r="R1877" i="5"/>
  <c r="S1877" i="5" s="1"/>
  <c r="M1918" i="5"/>
  <c r="Q2074" i="5"/>
  <c r="R2074" i="5" s="1"/>
  <c r="S2074" i="5" s="1"/>
  <c r="M2074" i="5"/>
  <c r="M2125" i="5"/>
  <c r="Q2125" i="5"/>
  <c r="R2125" i="5" s="1"/>
  <c r="S2125" i="5" s="1"/>
  <c r="M2159" i="5"/>
  <c r="Q2159" i="5"/>
  <c r="R2159" i="5" s="1"/>
  <c r="S2159" i="5" s="1"/>
  <c r="R1917" i="5"/>
  <c r="S1917" i="5" s="1"/>
  <c r="Q1941" i="5"/>
  <c r="Q1937" i="5"/>
  <c r="Q2044" i="5"/>
  <c r="R2044" i="5" s="1"/>
  <c r="S2044" i="5" s="1"/>
  <c r="M2070" i="5"/>
  <c r="M2099" i="5"/>
  <c r="N2099" i="5" s="1"/>
  <c r="M2108" i="5"/>
  <c r="M2112" i="5"/>
  <c r="M2114" i="5"/>
  <c r="N2114" i="5" s="1"/>
  <c r="M2135" i="5"/>
  <c r="Q2135" i="5"/>
  <c r="M2142" i="5"/>
  <c r="Q2142" i="5"/>
  <c r="M2146" i="5"/>
  <c r="Q2146" i="5"/>
  <c r="M2149" i="5"/>
  <c r="N2149" i="5" s="1"/>
  <c r="Q2149" i="5"/>
  <c r="R2149" i="5" s="1"/>
  <c r="S2149" i="5" s="1"/>
  <c r="M2201" i="5"/>
  <c r="Q2201" i="5"/>
  <c r="R2201" i="5" s="1"/>
  <c r="S2201" i="5" s="1"/>
  <c r="Q2230" i="5"/>
  <c r="R2230" i="5" s="1"/>
  <c r="S2230" i="5" s="1"/>
  <c r="M2049" i="5"/>
  <c r="N2049" i="5" s="1"/>
  <c r="Q2076" i="5"/>
  <c r="M2144" i="5"/>
  <c r="M2145" i="5"/>
  <c r="Q2145" i="5"/>
  <c r="R2145" i="5" s="1"/>
  <c r="S2145" i="5" s="1"/>
  <c r="Q2186" i="5"/>
  <c r="M2186" i="5"/>
  <c r="M2193" i="5"/>
  <c r="Q2193" i="5"/>
  <c r="Q2265" i="5"/>
  <c r="R2265" i="5" s="1"/>
  <c r="S2265" i="5" s="1"/>
  <c r="M2064" i="5"/>
  <c r="Q2075" i="5"/>
  <c r="R2075" i="5" s="1"/>
  <c r="S2075" i="5" s="1"/>
  <c r="M2126" i="5"/>
  <c r="Q2126" i="5"/>
  <c r="M2187" i="5"/>
  <c r="Q2202" i="5"/>
  <c r="R2202" i="5" s="1"/>
  <c r="S2202" i="5" s="1"/>
  <c r="Q2216" i="5"/>
  <c r="R2216" i="5" s="1"/>
  <c r="S2216" i="5" s="1"/>
  <c r="M2216" i="5"/>
  <c r="N2216" i="5" s="1"/>
  <c r="O2216" i="5" s="1"/>
  <c r="Q2275" i="5"/>
  <c r="R2275" i="5" s="1"/>
  <c r="S2275" i="5" s="1"/>
  <c r="M2275" i="5"/>
  <c r="N2275" i="5" s="1"/>
  <c r="M2167" i="5"/>
  <c r="Q2167" i="5"/>
  <c r="R2167" i="5" s="1"/>
  <c r="S2167" i="5" s="1"/>
  <c r="M2198" i="5"/>
  <c r="Q2198" i="5"/>
  <c r="R2198" i="5" s="1"/>
  <c r="S2198" i="5" s="1"/>
  <c r="Q2207" i="5"/>
  <c r="M2207" i="5"/>
  <c r="M2264" i="5"/>
  <c r="Q2264" i="5"/>
  <c r="Q2082" i="5"/>
  <c r="R2082" i="5" s="1"/>
  <c r="S2082" i="5" s="1"/>
  <c r="M2116" i="5"/>
  <c r="Q2131" i="5"/>
  <c r="R2131" i="5" s="1"/>
  <c r="S2131" i="5" s="1"/>
  <c r="M2154" i="5"/>
  <c r="Q2160" i="5"/>
  <c r="R2160" i="5" s="1"/>
  <c r="S2160" i="5" s="1"/>
  <c r="M2176" i="5"/>
  <c r="Q2178" i="5"/>
  <c r="R2178" i="5" s="1"/>
  <c r="S2178" i="5" s="1"/>
  <c r="M2196" i="5"/>
  <c r="R2204" i="5"/>
  <c r="S2204" i="5" s="1"/>
  <c r="R2170" i="5"/>
  <c r="S2170" i="5" s="1"/>
  <c r="N2202" i="5"/>
  <c r="O2202" i="5" s="1"/>
  <c r="P1880" i="5"/>
  <c r="N1880" i="5"/>
  <c r="P1823" i="5"/>
  <c r="N1823" i="5"/>
  <c r="L1834" i="5"/>
  <c r="P1869" i="5"/>
  <c r="N1869" i="5"/>
  <c r="N1820" i="5"/>
  <c r="P1820" i="5"/>
  <c r="L1825" i="5"/>
  <c r="P2004" i="5"/>
  <c r="P2044" i="5"/>
  <c r="N2044" i="5"/>
  <c r="P1881" i="5"/>
  <c r="P1894" i="5"/>
  <c r="L1896" i="5"/>
  <c r="R1896" i="5"/>
  <c r="S1896" i="5" s="1"/>
  <c r="N1901" i="5"/>
  <c r="P1961" i="5"/>
  <c r="N1961" i="5"/>
  <c r="P1987" i="5"/>
  <c r="R1813" i="5"/>
  <c r="S1813" i="5" s="1"/>
  <c r="K1815" i="5"/>
  <c r="L1815" i="5" s="1"/>
  <c r="N1822" i="5"/>
  <c r="L1824" i="5"/>
  <c r="R1830" i="5"/>
  <c r="S1830" i="5" s="1"/>
  <c r="K1829" i="5"/>
  <c r="L1829" i="5" s="1"/>
  <c r="K1832" i="5"/>
  <c r="R1837" i="5"/>
  <c r="S1837" i="5" s="1"/>
  <c r="L1837" i="5"/>
  <c r="L1839" i="5"/>
  <c r="L1844" i="5"/>
  <c r="K1865" i="5"/>
  <c r="P1873" i="5"/>
  <c r="N1878" i="5"/>
  <c r="P1878" i="5"/>
  <c r="P1882" i="5"/>
  <c r="K1884" i="5"/>
  <c r="L1884" i="5" s="1"/>
  <c r="N1885" i="5"/>
  <c r="P1885" i="5"/>
  <c r="N1888" i="5"/>
  <c r="P1888" i="5"/>
  <c r="R1897" i="5"/>
  <c r="S1897" i="5" s="1"/>
  <c r="L1895" i="5"/>
  <c r="R1895" i="5"/>
  <c r="S1895" i="5" s="1"/>
  <c r="N1956" i="5"/>
  <c r="P1956" i="5"/>
  <c r="P1960" i="5"/>
  <c r="N1960" i="5"/>
  <c r="R1818" i="5"/>
  <c r="S1818" i="5" s="1"/>
  <c r="R1812" i="5"/>
  <c r="S1812" i="5" s="1"/>
  <c r="L1818" i="5"/>
  <c r="L1812" i="5"/>
  <c r="L1838" i="5"/>
  <c r="K1851" i="5"/>
  <c r="R1851" i="5" s="1"/>
  <c r="S1851" i="5" s="1"/>
  <c r="K1847" i="5"/>
  <c r="R1847" i="5" s="1"/>
  <c r="S1847" i="5" s="1"/>
  <c r="K1854" i="5"/>
  <c r="L1854" i="5" s="1"/>
  <c r="N1855" i="5"/>
  <c r="P1855" i="5"/>
  <c r="K1857" i="5"/>
  <c r="L1857" i="5" s="1"/>
  <c r="L1864" i="5"/>
  <c r="N1887" i="5"/>
  <c r="P1887" i="5"/>
  <c r="L1889" i="5"/>
  <c r="L1915" i="5"/>
  <c r="L1925" i="5"/>
  <c r="R1925" i="5"/>
  <c r="S1925" i="5" s="1"/>
  <c r="K1947" i="5"/>
  <c r="L1947" i="5" s="1"/>
  <c r="N1965" i="5"/>
  <c r="P1965" i="5"/>
  <c r="L1845" i="5"/>
  <c r="K1850" i="5"/>
  <c r="K1846" i="5"/>
  <c r="L1846" i="5" s="1"/>
  <c r="K1853" i="5"/>
  <c r="L1856" i="5"/>
  <c r="N1863" i="5"/>
  <c r="P1863" i="5"/>
  <c r="L1883" i="5"/>
  <c r="R1883" i="5"/>
  <c r="S1883" i="5" s="1"/>
  <c r="N1891" i="5"/>
  <c r="P1891" i="5"/>
  <c r="K1893" i="5"/>
  <c r="L1893" i="5" s="1"/>
  <c r="P1907" i="5"/>
  <c r="P1913" i="5"/>
  <c r="N1913" i="5"/>
  <c r="P1923" i="5"/>
  <c r="L1963" i="5"/>
  <c r="R1816" i="5"/>
  <c r="S1816" i="5" s="1"/>
  <c r="R1821" i="5"/>
  <c r="S1821" i="5" s="1"/>
  <c r="L1821" i="5"/>
  <c r="K1826" i="5"/>
  <c r="L1826" i="5" s="1"/>
  <c r="K1835" i="5"/>
  <c r="L1835" i="5" s="1"/>
  <c r="L1836" i="5"/>
  <c r="R1836" i="5"/>
  <c r="S1836" i="5" s="1"/>
  <c r="R1849" i="5"/>
  <c r="S1849" i="5" s="1"/>
  <c r="R1860" i="5"/>
  <c r="S1860" i="5" s="1"/>
  <c r="L1862" i="5"/>
  <c r="K1872" i="5"/>
  <c r="L1872" i="5" s="1"/>
  <c r="L1874" i="5"/>
  <c r="L1897" i="5"/>
  <c r="L1933" i="5"/>
  <c r="L1802" i="5"/>
  <c r="N1802" i="5" s="1"/>
  <c r="P1842" i="5"/>
  <c r="R1852" i="5"/>
  <c r="S1852" i="5" s="1"/>
  <c r="P1860" i="5"/>
  <c r="L1871" i="5"/>
  <c r="R1871" i="5"/>
  <c r="S1871" i="5" s="1"/>
  <c r="R1946" i="5"/>
  <c r="S1946" i="5" s="1"/>
  <c r="L1914" i="5"/>
  <c r="K1928" i="5"/>
  <c r="L1928" i="5" s="1"/>
  <c r="L1962" i="5"/>
  <c r="P1986" i="5"/>
  <c r="L1997" i="5"/>
  <c r="L2003" i="5"/>
  <c r="N2011" i="5"/>
  <c r="P2011" i="5"/>
  <c r="R1874" i="5"/>
  <c r="S1874" i="5" s="1"/>
  <c r="R1882" i="5"/>
  <c r="S1882" i="5" s="1"/>
  <c r="L1899" i="5"/>
  <c r="K1906" i="5"/>
  <c r="L1906" i="5" s="1"/>
  <c r="L1918" i="5"/>
  <c r="R1918" i="5"/>
  <c r="S1918" i="5" s="1"/>
  <c r="L1921" i="5"/>
  <c r="L1927" i="5"/>
  <c r="R1927" i="5"/>
  <c r="S1927" i="5" s="1"/>
  <c r="R1931" i="5"/>
  <c r="S1931" i="5" s="1"/>
  <c r="L1931" i="5"/>
  <c r="L1936" i="5"/>
  <c r="R1936" i="5"/>
  <c r="S1936" i="5" s="1"/>
  <c r="L1932" i="5"/>
  <c r="R1932" i="5"/>
  <c r="S1932" i="5" s="1"/>
  <c r="L1943" i="5"/>
  <c r="L1939" i="5"/>
  <c r="L1996" i="5"/>
  <c r="L2002" i="5"/>
  <c r="R2002" i="5"/>
  <c r="S2002" i="5" s="1"/>
  <c r="R1873" i="5"/>
  <c r="S1873" i="5" s="1"/>
  <c r="N1879" i="5"/>
  <c r="R1894" i="5"/>
  <c r="S1894" i="5" s="1"/>
  <c r="K1892" i="5"/>
  <c r="L1892" i="5" s="1"/>
  <c r="L1898" i="5"/>
  <c r="K1910" i="5"/>
  <c r="K1942" i="5"/>
  <c r="K1938" i="5"/>
  <c r="N1955" i="5"/>
  <c r="P1955" i="5"/>
  <c r="P1993" i="5"/>
  <c r="L2009" i="5"/>
  <c r="L1919" i="5"/>
  <c r="R1919" i="5"/>
  <c r="S1919" i="5" s="1"/>
  <c r="L1930" i="5"/>
  <c r="R1930" i="5"/>
  <c r="S1930" i="5" s="1"/>
  <c r="K1941" i="5"/>
  <c r="L1941" i="5" s="1"/>
  <c r="K1937" i="5"/>
  <c r="L1937" i="5" s="1"/>
  <c r="L1989" i="5"/>
  <c r="R1989" i="5"/>
  <c r="S1989" i="5" s="1"/>
  <c r="P1992" i="5"/>
  <c r="R1856" i="5"/>
  <c r="S1856" i="5" s="1"/>
  <c r="R1864" i="5"/>
  <c r="S1864" i="5" s="1"/>
  <c r="R1881" i="5"/>
  <c r="S1881" i="5" s="1"/>
  <c r="K1900" i="5"/>
  <c r="L1900" i="5" s="1"/>
  <c r="N1908" i="5"/>
  <c r="P1908" i="5"/>
  <c r="L1916" i="5"/>
  <c r="K1920" i="5"/>
  <c r="L1920" i="5" s="1"/>
  <c r="L1926" i="5"/>
  <c r="L1954" i="5"/>
  <c r="R1954" i="5"/>
  <c r="S1954" i="5" s="1"/>
  <c r="N1964" i="5"/>
  <c r="P1964" i="5"/>
  <c r="P2005" i="5"/>
  <c r="L2017" i="5"/>
  <c r="K2020" i="5"/>
  <c r="L2020" i="5" s="1"/>
  <c r="K2021" i="5"/>
  <c r="L2021" i="5" s="1"/>
  <c r="L2024" i="5"/>
  <c r="L2030" i="5"/>
  <c r="L2036" i="5"/>
  <c r="R2036" i="5"/>
  <c r="S2036" i="5" s="1"/>
  <c r="P2041" i="5"/>
  <c r="N2056" i="5"/>
  <c r="P2056" i="5"/>
  <c r="P2091" i="5"/>
  <c r="K2010" i="5"/>
  <c r="L2010" i="5" s="1"/>
  <c r="L2014" i="5"/>
  <c r="R2014" i="5"/>
  <c r="S2014" i="5" s="1"/>
  <c r="L2016" i="5"/>
  <c r="K2026" i="5"/>
  <c r="N2029" i="5"/>
  <c r="P2029" i="5"/>
  <c r="P2035" i="5"/>
  <c r="P2037" i="5"/>
  <c r="L2075" i="5"/>
  <c r="L1929" i="5"/>
  <c r="R1940" i="5"/>
  <c r="S1940" i="5" s="1"/>
  <c r="L1958" i="5"/>
  <c r="L1966" i="5"/>
  <c r="L1995" i="5"/>
  <c r="P1998" i="5"/>
  <c r="L2013" i="5"/>
  <c r="R2013" i="5"/>
  <c r="S2013" i="5" s="1"/>
  <c r="N2028" i="5"/>
  <c r="P2028" i="5"/>
  <c r="P2034" i="5"/>
  <c r="L2042" i="5"/>
  <c r="P2049" i="5"/>
  <c r="K2059" i="5"/>
  <c r="L2059" i="5" s="1"/>
  <c r="P2065" i="5"/>
  <c r="K2089" i="5"/>
  <c r="R2089" i="5" s="1"/>
  <c r="S2089" i="5" s="1"/>
  <c r="K2108" i="5"/>
  <c r="L2108" i="5" s="1"/>
  <c r="R1943" i="5"/>
  <c r="S1943" i="5" s="1"/>
  <c r="R1957" i="5"/>
  <c r="S1957" i="5" s="1"/>
  <c r="L1957" i="5"/>
  <c r="L1994" i="5"/>
  <c r="L2033" i="5"/>
  <c r="R2033" i="5"/>
  <c r="S2033" i="5" s="1"/>
  <c r="P2046" i="5"/>
  <c r="L1985" i="5"/>
  <c r="R1987" i="5"/>
  <c r="S1987" i="5" s="1"/>
  <c r="L1988" i="5"/>
  <c r="R1993" i="5"/>
  <c r="S1993" i="5" s="1"/>
  <c r="L2006" i="5"/>
  <c r="N2032" i="5"/>
  <c r="P2032" i="5"/>
  <c r="K2088" i="5"/>
  <c r="K2139" i="5"/>
  <c r="L2139" i="5" s="1"/>
  <c r="R1986" i="5"/>
  <c r="S1986" i="5" s="1"/>
  <c r="R1991" i="5"/>
  <c r="S1991" i="5" s="1"/>
  <c r="R1992" i="5"/>
  <c r="S1992" i="5" s="1"/>
  <c r="R2004" i="5"/>
  <c r="S2004" i="5" s="1"/>
  <c r="L2012" i="5"/>
  <c r="K2015" i="5"/>
  <c r="R2015" i="5" s="1"/>
  <c r="S2015" i="5" s="1"/>
  <c r="K2023" i="5"/>
  <c r="L2023" i="5" s="1"/>
  <c r="N2031" i="5"/>
  <c r="P2031" i="5"/>
  <c r="K2038" i="5"/>
  <c r="R2038" i="5" s="1"/>
  <c r="S2038" i="5" s="1"/>
  <c r="L2047" i="5"/>
  <c r="K2053" i="5"/>
  <c r="R2053" i="5" s="1"/>
  <c r="S2053" i="5" s="1"/>
  <c r="K2064" i="5"/>
  <c r="R2064" i="5" s="1"/>
  <c r="S2064" i="5" s="1"/>
  <c r="R2019" i="5"/>
  <c r="S2019" i="5" s="1"/>
  <c r="R2035" i="5"/>
  <c r="S2035" i="5" s="1"/>
  <c r="L2095" i="5"/>
  <c r="P2161" i="5"/>
  <c r="R2034" i="5"/>
  <c r="S2034" i="5" s="1"/>
  <c r="R2041" i="5"/>
  <c r="S2041" i="5" s="1"/>
  <c r="R2045" i="5"/>
  <c r="S2045" i="5" s="1"/>
  <c r="L2045" i="5"/>
  <c r="R2049" i="5"/>
  <c r="S2049" i="5" s="1"/>
  <c r="L2054" i="5"/>
  <c r="K2101" i="5"/>
  <c r="L2101" i="5" s="1"/>
  <c r="P2110" i="5"/>
  <c r="R2037" i="5"/>
  <c r="S2037" i="5" s="1"/>
  <c r="K2058" i="5"/>
  <c r="L2058" i="5" s="1"/>
  <c r="L2061" i="5"/>
  <c r="K2063" i="5"/>
  <c r="P2107" i="5"/>
  <c r="N2107" i="5"/>
  <c r="R2121" i="5"/>
  <c r="S2121" i="5" s="1"/>
  <c r="P2060" i="5"/>
  <c r="K2066" i="5"/>
  <c r="R2066" i="5" s="1"/>
  <c r="S2066" i="5" s="1"/>
  <c r="K2093" i="5"/>
  <c r="L2106" i="5"/>
  <c r="L2137" i="5"/>
  <c r="L2188" i="5"/>
  <c r="R2188" i="5"/>
  <c r="S2188" i="5" s="1"/>
  <c r="L2050" i="5"/>
  <c r="K2094" i="5"/>
  <c r="L2094" i="5" s="1"/>
  <c r="N2100" i="5"/>
  <c r="P2100" i="5"/>
  <c r="L2068" i="5"/>
  <c r="L2071" i="5"/>
  <c r="L2115" i="5"/>
  <c r="L2132" i="5"/>
  <c r="R2132" i="5"/>
  <c r="S2132" i="5" s="1"/>
  <c r="L2140" i="5"/>
  <c r="L2145" i="5"/>
  <c r="P2149" i="5"/>
  <c r="R2154" i="5"/>
  <c r="S2154" i="5" s="1"/>
  <c r="L2155" i="5"/>
  <c r="R2155" i="5"/>
  <c r="S2155" i="5" s="1"/>
  <c r="P2157" i="5"/>
  <c r="L2162" i="5"/>
  <c r="L2165" i="5"/>
  <c r="L2190" i="5"/>
  <c r="R2071" i="5"/>
  <c r="S2071" i="5" s="1"/>
  <c r="L2096" i="5"/>
  <c r="L2102" i="5"/>
  <c r="L2105" i="5"/>
  <c r="P2114" i="5"/>
  <c r="P2143" i="5"/>
  <c r="K2146" i="5"/>
  <c r="L2146" i="5" s="1"/>
  <c r="K2193" i="5"/>
  <c r="L2193" i="5" s="1"/>
  <c r="P2111" i="5"/>
  <c r="K2118" i="5"/>
  <c r="L2118" i="5" s="1"/>
  <c r="L2128" i="5"/>
  <c r="R2128" i="5"/>
  <c r="S2128" i="5" s="1"/>
  <c r="K2130" i="5"/>
  <c r="L2130" i="5" s="1"/>
  <c r="L2150" i="5"/>
  <c r="P2158" i="5"/>
  <c r="N2158" i="5"/>
  <c r="L2164" i="5"/>
  <c r="R2164" i="5"/>
  <c r="S2164" i="5" s="1"/>
  <c r="L2221" i="5"/>
  <c r="R2221" i="5"/>
  <c r="S2221" i="5" s="1"/>
  <c r="K2225" i="5"/>
  <c r="L2225" i="5" s="1"/>
  <c r="L2250" i="5"/>
  <c r="L2085" i="5"/>
  <c r="K2117" i="5"/>
  <c r="K2129" i="5"/>
  <c r="L2129" i="5" s="1"/>
  <c r="K2136" i="5"/>
  <c r="L2136" i="5" s="1"/>
  <c r="L2144" i="5"/>
  <c r="R2144" i="5"/>
  <c r="S2144" i="5" s="1"/>
  <c r="L2154" i="5"/>
  <c r="P2178" i="5"/>
  <c r="N2178" i="5"/>
  <c r="L2070" i="5"/>
  <c r="R2070" i="5"/>
  <c r="S2070" i="5" s="1"/>
  <c r="K2084" i="5"/>
  <c r="L2084" i="5" s="1"/>
  <c r="L2092" i="5"/>
  <c r="L2097" i="5"/>
  <c r="P2099" i="5"/>
  <c r="L2104" i="5"/>
  <c r="L2109" i="5"/>
  <c r="R2116" i="5"/>
  <c r="S2116" i="5" s="1"/>
  <c r="K2126" i="5"/>
  <c r="L2126" i="5" s="1"/>
  <c r="P2133" i="5"/>
  <c r="L2148" i="5"/>
  <c r="K2153" i="5"/>
  <c r="L2153" i="5" s="1"/>
  <c r="P2156" i="5"/>
  <c r="L2160" i="5"/>
  <c r="K2163" i="5"/>
  <c r="L2163" i="5" s="1"/>
  <c r="K2196" i="5"/>
  <c r="L2196" i="5" s="1"/>
  <c r="K2207" i="5"/>
  <c r="L2207" i="5" s="1"/>
  <c r="P2243" i="5"/>
  <c r="R2099" i="5"/>
  <c r="S2099" i="5" s="1"/>
  <c r="R2111" i="5"/>
  <c r="S2111" i="5" s="1"/>
  <c r="R2114" i="5"/>
  <c r="S2114" i="5" s="1"/>
  <c r="L2125" i="5"/>
  <c r="K2135" i="5"/>
  <c r="L2135" i="5" s="1"/>
  <c r="R2143" i="5"/>
  <c r="S2143" i="5" s="1"/>
  <c r="L2167" i="5"/>
  <c r="L2176" i="5"/>
  <c r="K2181" i="5"/>
  <c r="L2181" i="5" s="1"/>
  <c r="L2195" i="5"/>
  <c r="R2195" i="5"/>
  <c r="S2195" i="5" s="1"/>
  <c r="P2272" i="5"/>
  <c r="N2272" i="5"/>
  <c r="L2152" i="5"/>
  <c r="L2159" i="5"/>
  <c r="K2166" i="5"/>
  <c r="L2166" i="5" s="1"/>
  <c r="L2174" i="5"/>
  <c r="K2187" i="5"/>
  <c r="R2187" i="5" s="1"/>
  <c r="S2187" i="5" s="1"/>
  <c r="L2201" i="5"/>
  <c r="L2218" i="5"/>
  <c r="K2219" i="5"/>
  <c r="K2215" i="5"/>
  <c r="K2255" i="5"/>
  <c r="L2255" i="5" s="1"/>
  <c r="R2133" i="5"/>
  <c r="S2133" i="5" s="1"/>
  <c r="R2156" i="5"/>
  <c r="S2156" i="5" s="1"/>
  <c r="L2177" i="5"/>
  <c r="L2180" i="5"/>
  <c r="L2182" i="5"/>
  <c r="K2186" i="5"/>
  <c r="L2186" i="5" s="1"/>
  <c r="L2189" i="5"/>
  <c r="P2205" i="5"/>
  <c r="K2254" i="5"/>
  <c r="L2175" i="5"/>
  <c r="N2185" i="5"/>
  <c r="P2185" i="5"/>
  <c r="K2192" i="5"/>
  <c r="L2192" i="5" s="1"/>
  <c r="L2204" i="5"/>
  <c r="R2183" i="5"/>
  <c r="S2183" i="5" s="1"/>
  <c r="K2223" i="5"/>
  <c r="L2223" i="5" s="1"/>
  <c r="P2239" i="5"/>
  <c r="L2200" i="5"/>
  <c r="L2247" i="5"/>
  <c r="P2275" i="5"/>
  <c r="L2199" i="5"/>
  <c r="K2264" i="5"/>
  <c r="L2264" i="5" s="1"/>
  <c r="L2198" i="5"/>
  <c r="L2213" i="5"/>
  <c r="R2213" i="5"/>
  <c r="S2213" i="5" s="1"/>
  <c r="L2220" i="5"/>
  <c r="R2220" i="5"/>
  <c r="S2220" i="5" s="1"/>
  <c r="L2235" i="5"/>
  <c r="R2235" i="5"/>
  <c r="S2235" i="5" s="1"/>
  <c r="K2253" i="5"/>
  <c r="L2253" i="5" s="1"/>
  <c r="L2257" i="5"/>
  <c r="K2262" i="5"/>
  <c r="L2262" i="5" s="1"/>
  <c r="L2266" i="5"/>
  <c r="K2227" i="5"/>
  <c r="L2227" i="5" s="1"/>
  <c r="K2234" i="5"/>
  <c r="K2246" i="5"/>
  <c r="R2246" i="5" s="1"/>
  <c r="S2246" i="5" s="1"/>
  <c r="K2252" i="5"/>
  <c r="L2256" i="5"/>
  <c r="R2256" i="5"/>
  <c r="S2256" i="5" s="1"/>
  <c r="L2214" i="5"/>
  <c r="L2232" i="5"/>
  <c r="K2245" i="5"/>
  <c r="L2245" i="5" s="1"/>
  <c r="K2271" i="5"/>
  <c r="L2271" i="5" s="1"/>
  <c r="L2224" i="5"/>
  <c r="R2224" i="5"/>
  <c r="S2224" i="5" s="1"/>
  <c r="L2238" i="5"/>
  <c r="R2238" i="5"/>
  <c r="S2238" i="5" s="1"/>
  <c r="P2244" i="5"/>
  <c r="L2248" i="5"/>
  <c r="L1810" i="5"/>
  <c r="R1810" i="5"/>
  <c r="S1810" i="5" s="1"/>
  <c r="P1811" i="5"/>
  <c r="N1808" i="5"/>
  <c r="P1808" i="5"/>
  <c r="R1811" i="5"/>
  <c r="S1811" i="5" s="1"/>
  <c r="K1809" i="5"/>
  <c r="L1809" i="5" s="1"/>
  <c r="R1805" i="5"/>
  <c r="S1805" i="5" s="1"/>
  <c r="N1803" i="5"/>
  <c r="P1803" i="5"/>
  <c r="P1806" i="5"/>
  <c r="N1806" i="5"/>
  <c r="Q1802" i="5"/>
  <c r="R1802" i="5" s="1"/>
  <c r="S1802" i="5" s="1"/>
  <c r="L1807" i="5"/>
  <c r="M1805" i="5"/>
  <c r="N1805" i="5" s="1"/>
  <c r="L1804" i="5"/>
  <c r="N2554" i="5" l="1"/>
  <c r="N2506" i="5"/>
  <c r="N2168" i="5"/>
  <c r="R2055" i="5"/>
  <c r="S2055" i="5" s="1"/>
  <c r="N2448" i="5"/>
  <c r="R2473" i="5"/>
  <c r="S2473" i="5" s="1"/>
  <c r="N2426" i="5"/>
  <c r="O2426" i="5" s="1"/>
  <c r="N2614" i="5"/>
  <c r="O2614" i="5" s="1"/>
  <c r="R2626" i="5"/>
  <c r="S2626" i="5" s="1"/>
  <c r="P2512" i="5"/>
  <c r="U2512" i="5" s="1"/>
  <c r="V2512" i="5" s="1"/>
  <c r="P2354" i="5"/>
  <c r="U2354" i="5" s="1"/>
  <c r="V2354" i="5" s="1"/>
  <c r="N2617" i="5"/>
  <c r="O2617" i="5" s="1"/>
  <c r="P2341" i="5"/>
  <c r="U2341" i="5" s="1"/>
  <c r="V2341" i="5" s="1"/>
  <c r="N2072" i="5"/>
  <c r="U2072" i="5" s="1"/>
  <c r="V2072" i="5" s="1"/>
  <c r="R2077" i="5"/>
  <c r="S2077" i="5" s="1"/>
  <c r="N2551" i="5"/>
  <c r="U2551" i="5" s="1"/>
  <c r="V2551" i="5" s="1"/>
  <c r="P2448" i="5"/>
  <c r="N2120" i="5"/>
  <c r="O2120" i="5" s="1"/>
  <c r="N2484" i="5"/>
  <c r="O2484" i="5" s="1"/>
  <c r="R2471" i="5"/>
  <c r="S2471" i="5" s="1"/>
  <c r="P2289" i="5"/>
  <c r="U2289" i="5" s="1"/>
  <c r="V2289" i="5" s="1"/>
  <c r="N2481" i="5"/>
  <c r="O2481" i="5" s="1"/>
  <c r="R2527" i="5"/>
  <c r="S2527" i="5" s="1"/>
  <c r="N2610" i="5"/>
  <c r="U2610" i="5" s="1"/>
  <c r="V2610" i="5" s="1"/>
  <c r="N2401" i="5"/>
  <c r="U2401" i="5" s="1"/>
  <c r="V2401" i="5" s="1"/>
  <c r="P2616" i="5"/>
  <c r="U2616" i="5" s="1"/>
  <c r="V2616" i="5" s="1"/>
  <c r="N2368" i="5"/>
  <c r="U2368" i="5" s="1"/>
  <c r="V2368" i="5" s="1"/>
  <c r="N2361" i="5"/>
  <c r="N2575" i="5"/>
  <c r="U2575" i="5" s="1"/>
  <c r="V2575" i="5" s="1"/>
  <c r="R2638" i="5"/>
  <c r="S2638" i="5" s="1"/>
  <c r="N2173" i="5"/>
  <c r="U2173" i="5" s="1"/>
  <c r="V2173" i="5" s="1"/>
  <c r="R2460" i="5"/>
  <c r="S2460" i="5" s="1"/>
  <c r="O1979" i="5"/>
  <c r="N2303" i="5"/>
  <c r="U2303" i="5" s="1"/>
  <c r="V2303" i="5" s="1"/>
  <c r="U2206" i="5"/>
  <c r="V2206" i="5" s="1"/>
  <c r="R2628" i="5"/>
  <c r="S2628" i="5" s="1"/>
  <c r="N2565" i="5"/>
  <c r="O2565" i="5" s="1"/>
  <c r="O2509" i="5"/>
  <c r="U2509" i="5"/>
  <c r="V2509" i="5" s="1"/>
  <c r="N2389" i="5"/>
  <c r="N2497" i="5"/>
  <c r="O2497" i="5" s="1"/>
  <c r="N2568" i="5"/>
  <c r="U2568" i="5" s="1"/>
  <c r="V2568" i="5" s="1"/>
  <c r="N2477" i="5"/>
  <c r="R2234" i="5"/>
  <c r="S2234" i="5" s="1"/>
  <c r="N2400" i="5"/>
  <c r="O2400" i="5" s="1"/>
  <c r="N2378" i="5"/>
  <c r="U2378" i="5" s="1"/>
  <c r="V2378" i="5" s="1"/>
  <c r="R2063" i="5"/>
  <c r="S2063" i="5" s="1"/>
  <c r="N2356" i="5"/>
  <c r="U2356" i="5" s="1"/>
  <c r="V2356" i="5" s="1"/>
  <c r="N2629" i="5"/>
  <c r="O2629" i="5" s="1"/>
  <c r="P2409" i="5"/>
  <c r="U2409" i="5" s="1"/>
  <c r="V2409" i="5" s="1"/>
  <c r="N2121" i="5"/>
  <c r="U2121" i="5" s="1"/>
  <c r="V2121" i="5" s="1"/>
  <c r="R2556" i="5"/>
  <c r="S2556" i="5" s="1"/>
  <c r="R2631" i="5"/>
  <c r="S2631" i="5" s="1"/>
  <c r="N2582" i="5"/>
  <c r="U2582" i="5" s="1"/>
  <c r="V2582" i="5" s="1"/>
  <c r="P2519" i="5"/>
  <c r="O2519" i="5" s="1"/>
  <c r="P1833" i="5"/>
  <c r="O1833" i="5" s="1"/>
  <c r="R2491" i="5"/>
  <c r="S2491" i="5" s="1"/>
  <c r="P2609" i="5"/>
  <c r="O2609" i="5" s="1"/>
  <c r="N2611" i="5"/>
  <c r="U2229" i="5"/>
  <c r="V2229" i="5" s="1"/>
  <c r="U2640" i="5"/>
  <c r="V2640" i="5" s="1"/>
  <c r="U2328" i="5"/>
  <c r="V2328" i="5" s="1"/>
  <c r="N2598" i="5"/>
  <c r="U2598" i="5" s="1"/>
  <c r="V2598" i="5" s="1"/>
  <c r="O2170" i="5"/>
  <c r="R2608" i="5"/>
  <c r="S2608" i="5" s="1"/>
  <c r="L2599" i="5"/>
  <c r="P2599" i="5" s="1"/>
  <c r="U2645" i="5"/>
  <c r="V2645" i="5" s="1"/>
  <c r="N2544" i="5"/>
  <c r="O2544" i="5" s="1"/>
  <c r="P2506" i="5"/>
  <c r="N2355" i="5"/>
  <c r="U2355" i="5" s="1"/>
  <c r="V2355" i="5" s="1"/>
  <c r="U2553" i="5"/>
  <c r="V2553" i="5" s="1"/>
  <c r="O2505" i="5"/>
  <c r="U2505" i="5"/>
  <c r="V2505" i="5" s="1"/>
  <c r="P2554" i="5"/>
  <c r="N2433" i="5"/>
  <c r="O2433" i="5" s="1"/>
  <c r="U2381" i="5"/>
  <c r="V2381" i="5" s="1"/>
  <c r="R2415" i="5"/>
  <c r="S2415" i="5" s="1"/>
  <c r="U2414" i="5"/>
  <c r="V2414" i="5" s="1"/>
  <c r="U2387" i="5"/>
  <c r="V2387" i="5" s="1"/>
  <c r="U2334" i="5"/>
  <c r="V2334" i="5" s="1"/>
  <c r="N2518" i="5"/>
  <c r="U2518" i="5" s="1"/>
  <c r="V2518" i="5" s="1"/>
  <c r="R2350" i="5"/>
  <c r="S2350" i="5" s="1"/>
  <c r="U2428" i="5"/>
  <c r="V2428" i="5" s="1"/>
  <c r="R2331" i="5"/>
  <c r="S2331" i="5" s="1"/>
  <c r="P2168" i="5"/>
  <c r="N2172" i="5"/>
  <c r="U2172" i="5" s="1"/>
  <c r="V2172" i="5" s="1"/>
  <c r="U2440" i="5"/>
  <c r="V2440" i="5" s="1"/>
  <c r="U2630" i="5"/>
  <c r="V2630" i="5" s="1"/>
  <c r="N2523" i="5"/>
  <c r="R2644" i="5"/>
  <c r="S2644" i="5" s="1"/>
  <c r="U2418" i="5"/>
  <c r="V2418" i="5" s="1"/>
  <c r="U2467" i="5"/>
  <c r="V2467" i="5" s="1"/>
  <c r="N2520" i="5"/>
  <c r="U2520" i="5" s="1"/>
  <c r="V2520" i="5" s="1"/>
  <c r="N2412" i="5"/>
  <c r="L2323" i="5"/>
  <c r="P2323" i="5" s="1"/>
  <c r="N2445" i="5"/>
  <c r="O2445" i="5" s="1"/>
  <c r="O2316" i="5"/>
  <c r="O2482" i="5"/>
  <c r="N2521" i="5"/>
  <c r="U2521" i="5" s="1"/>
  <c r="V2521" i="5" s="1"/>
  <c r="U2171" i="5"/>
  <c r="V2171" i="5" s="1"/>
  <c r="O2171" i="5"/>
  <c r="R2254" i="5"/>
  <c r="S2254" i="5" s="1"/>
  <c r="U2170" i="5"/>
  <c r="V2170" i="5" s="1"/>
  <c r="L2556" i="5"/>
  <c r="P2556" i="5" s="1"/>
  <c r="N2431" i="5"/>
  <c r="U2431" i="5" s="1"/>
  <c r="V2431" i="5" s="1"/>
  <c r="R2402" i="5"/>
  <c r="S2402" i="5" s="1"/>
  <c r="U2607" i="5"/>
  <c r="V2607" i="5" s="1"/>
  <c r="N2596" i="5"/>
  <c r="N2322" i="5"/>
  <c r="O2322" i="5" s="1"/>
  <c r="R2502" i="5"/>
  <c r="S2502" i="5" s="1"/>
  <c r="R2492" i="5"/>
  <c r="S2492" i="5" s="1"/>
  <c r="N2398" i="5"/>
  <c r="O2398" i="5" s="1"/>
  <c r="N2479" i="5"/>
  <c r="U2479" i="5" s="1"/>
  <c r="V2479" i="5" s="1"/>
  <c r="U2346" i="5"/>
  <c r="V2346" i="5" s="1"/>
  <c r="N2122" i="5"/>
  <c r="O2122" i="5" s="1"/>
  <c r="N2169" i="5"/>
  <c r="N2517" i="5"/>
  <c r="U2517" i="5" s="1"/>
  <c r="V2517" i="5" s="1"/>
  <c r="R2436" i="5"/>
  <c r="S2436" i="5" s="1"/>
  <c r="P2523" i="5"/>
  <c r="P2412" i="5"/>
  <c r="L2347" i="5"/>
  <c r="P2347" i="5" s="1"/>
  <c r="N2321" i="5"/>
  <c r="U2321" i="5" s="1"/>
  <c r="V2321" i="5" s="1"/>
  <c r="R1942" i="5"/>
  <c r="S1942" i="5" s="1"/>
  <c r="R1990" i="5"/>
  <c r="S1990" i="5" s="1"/>
  <c r="R2580" i="5"/>
  <c r="S2580" i="5" s="1"/>
  <c r="L2471" i="5"/>
  <c r="N2471" i="5" s="1"/>
  <c r="N2430" i="5"/>
  <c r="U2430" i="5" s="1"/>
  <c r="V2430" i="5" s="1"/>
  <c r="P2455" i="5"/>
  <c r="O2455" i="5" s="1"/>
  <c r="O2327" i="5"/>
  <c r="P2389" i="5"/>
  <c r="N2507" i="5"/>
  <c r="O2507" i="5" s="1"/>
  <c r="P2628" i="5"/>
  <c r="N2628" i="5"/>
  <c r="U2634" i="5"/>
  <c r="V2634" i="5" s="1"/>
  <c r="L2638" i="5"/>
  <c r="N2638" i="5" s="1"/>
  <c r="N2646" i="5"/>
  <c r="O2646" i="5" s="1"/>
  <c r="O2462" i="5"/>
  <c r="N2357" i="5"/>
  <c r="U2357" i="5" s="1"/>
  <c r="V2357" i="5" s="1"/>
  <c r="L2585" i="5"/>
  <c r="N2585" i="5" s="1"/>
  <c r="N2453" i="5"/>
  <c r="U2453" i="5" s="1"/>
  <c r="V2453" i="5" s="1"/>
  <c r="N2535" i="5"/>
  <c r="U2535" i="5" s="1"/>
  <c r="V2535" i="5" s="1"/>
  <c r="N2622" i="5"/>
  <c r="R1924" i="5"/>
  <c r="S1924" i="5" s="1"/>
  <c r="P2464" i="5"/>
  <c r="U2464" i="5" s="1"/>
  <c r="V2464" i="5" s="1"/>
  <c r="O2339" i="5"/>
  <c r="N2116" i="5"/>
  <c r="U2116" i="5" s="1"/>
  <c r="V2116" i="5" s="1"/>
  <c r="P2576" i="5"/>
  <c r="O2576" i="5" s="1"/>
  <c r="R2351" i="5"/>
  <c r="S2351" i="5" s="1"/>
  <c r="L2626" i="5"/>
  <c r="N2112" i="5"/>
  <c r="O2112" i="5" s="1"/>
  <c r="U2452" i="5"/>
  <c r="V2452" i="5" s="1"/>
  <c r="N2345" i="5"/>
  <c r="O2345" i="5" s="1"/>
  <c r="N2550" i="5"/>
  <c r="O2550" i="5" s="1"/>
  <c r="N2548" i="5"/>
  <c r="L2532" i="5"/>
  <c r="N2532" i="5" s="1"/>
  <c r="O2569" i="5"/>
  <c r="R2542" i="5"/>
  <c r="S2542" i="5" s="1"/>
  <c r="U2538" i="5"/>
  <c r="V2538" i="5" s="1"/>
  <c r="N2567" i="5"/>
  <c r="R2513" i="5"/>
  <c r="S2513" i="5" s="1"/>
  <c r="R2531" i="5"/>
  <c r="S2531" i="5" s="1"/>
  <c r="L2527" i="5"/>
  <c r="N2527" i="5" s="1"/>
  <c r="O2476" i="5"/>
  <c r="R2474" i="5"/>
  <c r="S2474" i="5" s="1"/>
  <c r="U2488" i="5"/>
  <c r="V2488" i="5" s="1"/>
  <c r="L2492" i="5"/>
  <c r="N2492" i="5" s="1"/>
  <c r="U2494" i="5"/>
  <c r="V2494" i="5" s="1"/>
  <c r="R2427" i="5"/>
  <c r="S2427" i="5" s="1"/>
  <c r="R2419" i="5"/>
  <c r="S2419" i="5" s="1"/>
  <c r="R2423" i="5"/>
  <c r="S2423" i="5" s="1"/>
  <c r="L2408" i="5"/>
  <c r="N2408" i="5" s="1"/>
  <c r="R2396" i="5"/>
  <c r="S2396" i="5" s="1"/>
  <c r="U2395" i="5"/>
  <c r="V2395" i="5" s="1"/>
  <c r="U2390" i="5"/>
  <c r="V2390" i="5" s="1"/>
  <c r="R2391" i="5"/>
  <c r="S2391" i="5" s="1"/>
  <c r="U2384" i="5"/>
  <c r="V2384" i="5" s="1"/>
  <c r="N2380" i="5"/>
  <c r="N2377" i="5"/>
  <c r="O2377" i="5" s="1"/>
  <c r="P2361" i="5"/>
  <c r="R2348" i="5"/>
  <c r="S2348" i="5" s="1"/>
  <c r="R2318" i="5"/>
  <c r="S2318" i="5" s="1"/>
  <c r="N2348" i="5"/>
  <c r="P2348" i="5"/>
  <c r="P2331" i="5"/>
  <c r="N2331" i="5"/>
  <c r="O2584" i="5"/>
  <c r="U2584" i="5"/>
  <c r="V2584" i="5" s="1"/>
  <c r="R2591" i="5"/>
  <c r="S2591" i="5" s="1"/>
  <c r="L2631" i="5"/>
  <c r="P2631" i="5" s="1"/>
  <c r="L2594" i="5"/>
  <c r="N2594" i="5" s="1"/>
  <c r="N2511" i="5"/>
  <c r="U2511" i="5" s="1"/>
  <c r="V2511" i="5" s="1"/>
  <c r="R2571" i="5"/>
  <c r="S2571" i="5" s="1"/>
  <c r="L2502" i="5"/>
  <c r="N2502" i="5" s="1"/>
  <c r="P2461" i="5"/>
  <c r="O2461" i="5" s="1"/>
  <c r="O2501" i="5"/>
  <c r="L2421" i="5"/>
  <c r="N2421" i="5" s="1"/>
  <c r="U2300" i="5"/>
  <c r="V2300" i="5" s="1"/>
  <c r="R2480" i="5"/>
  <c r="S2480" i="5" s="1"/>
  <c r="L2351" i="5"/>
  <c r="P2351" i="5" s="1"/>
  <c r="O2319" i="5"/>
  <c r="U2482" i="5"/>
  <c r="V2482" i="5" s="1"/>
  <c r="N2619" i="5"/>
  <c r="N2472" i="5"/>
  <c r="N2373" i="5"/>
  <c r="R2454" i="5"/>
  <c r="S2454" i="5" s="1"/>
  <c r="U2525" i="5"/>
  <c r="V2525" i="5" s="1"/>
  <c r="L2460" i="5"/>
  <c r="N2460" i="5" s="1"/>
  <c r="N2450" i="5"/>
  <c r="O2450" i="5" s="1"/>
  <c r="R2301" i="5"/>
  <c r="S2301" i="5" s="1"/>
  <c r="L2470" i="5"/>
  <c r="P2470" i="5" s="1"/>
  <c r="L2435" i="5"/>
  <c r="N2435" i="5" s="1"/>
  <c r="N2405" i="5"/>
  <c r="O2405" i="5" s="1"/>
  <c r="N2385" i="5"/>
  <c r="O2485" i="5"/>
  <c r="N2620" i="5"/>
  <c r="N2623" i="5"/>
  <c r="U2636" i="5"/>
  <c r="V2636" i="5" s="1"/>
  <c r="U2570" i="5"/>
  <c r="V2570" i="5" s="1"/>
  <c r="P2530" i="5"/>
  <c r="U2530" i="5" s="1"/>
  <c r="V2530" i="5" s="1"/>
  <c r="L2483" i="5"/>
  <c r="N2483" i="5" s="1"/>
  <c r="R2442" i="5"/>
  <c r="S2442" i="5" s="1"/>
  <c r="L2473" i="5"/>
  <c r="N2473" i="5" s="1"/>
  <c r="N2353" i="5"/>
  <c r="O2353" i="5" s="1"/>
  <c r="R2376" i="5"/>
  <c r="S2376" i="5" s="1"/>
  <c r="U2392" i="5"/>
  <c r="V2392" i="5" s="1"/>
  <c r="L2602" i="5"/>
  <c r="N2602" i="5" s="1"/>
  <c r="U2534" i="5"/>
  <c r="V2534" i="5" s="1"/>
  <c r="U2600" i="5"/>
  <c r="V2600" i="5" s="1"/>
  <c r="U2541" i="5"/>
  <c r="V2541" i="5" s="1"/>
  <c r="O2452" i="5"/>
  <c r="L2491" i="5"/>
  <c r="P2491" i="5" s="1"/>
  <c r="R2458" i="5"/>
  <c r="S2458" i="5" s="1"/>
  <c r="R2375" i="5"/>
  <c r="S2375" i="5" s="1"/>
  <c r="U2316" i="5"/>
  <c r="V2316" i="5" s="1"/>
  <c r="U2369" i="5"/>
  <c r="V2369" i="5" s="1"/>
  <c r="U2327" i="5"/>
  <c r="V2327" i="5" s="1"/>
  <c r="N2555" i="5"/>
  <c r="P2386" i="5"/>
  <c r="N2386" i="5"/>
  <c r="N2508" i="5"/>
  <c r="P2508" i="5"/>
  <c r="R2302" i="5"/>
  <c r="S2302" i="5" s="1"/>
  <c r="O2416" i="5"/>
  <c r="O2335" i="5"/>
  <c r="U2292" i="5"/>
  <c r="V2292" i="5" s="1"/>
  <c r="U2298" i="5"/>
  <c r="V2298" i="5" s="1"/>
  <c r="R2445" i="5"/>
  <c r="S2445" i="5" s="1"/>
  <c r="U2625" i="5"/>
  <c r="V2625" i="5" s="1"/>
  <c r="U2546" i="5"/>
  <c r="V2546" i="5" s="1"/>
  <c r="U2536" i="5"/>
  <c r="V2536" i="5" s="1"/>
  <c r="U2406" i="5"/>
  <c r="V2406" i="5" s="1"/>
  <c r="U2335" i="5"/>
  <c r="V2335" i="5" s="1"/>
  <c r="U2280" i="5"/>
  <c r="V2280" i="5" s="1"/>
  <c r="U2574" i="5"/>
  <c r="V2574" i="5" s="1"/>
  <c r="U2526" i="5"/>
  <c r="V2526" i="5" s="1"/>
  <c r="U2533" i="5"/>
  <c r="V2533" i="5" s="1"/>
  <c r="U2501" i="5"/>
  <c r="V2501" i="5" s="1"/>
  <c r="U2304" i="5"/>
  <c r="V2304" i="5" s="1"/>
  <c r="U2297" i="5"/>
  <c r="V2297" i="5" s="1"/>
  <c r="U2281" i="5"/>
  <c r="V2281" i="5" s="1"/>
  <c r="U2285" i="5"/>
  <c r="V2285" i="5" s="1"/>
  <c r="U2330" i="5"/>
  <c r="V2330" i="5" s="1"/>
  <c r="U2308" i="5"/>
  <c r="V2308" i="5" s="1"/>
  <c r="U2569" i="5"/>
  <c r="V2569" i="5" s="1"/>
  <c r="U2524" i="5"/>
  <c r="V2524" i="5" s="1"/>
  <c r="U2485" i="5"/>
  <c r="V2485" i="5" s="1"/>
  <c r="U2429" i="5"/>
  <c r="V2429" i="5" s="1"/>
  <c r="U2456" i="5"/>
  <c r="V2456" i="5" s="1"/>
  <c r="U2291" i="5"/>
  <c r="V2291" i="5" s="1"/>
  <c r="U2340" i="5"/>
  <c r="V2340" i="5" s="1"/>
  <c r="U2632" i="5"/>
  <c r="V2632" i="5" s="1"/>
  <c r="U2562" i="5"/>
  <c r="V2562" i="5" s="1"/>
  <c r="U2635" i="5"/>
  <c r="V2635" i="5" s="1"/>
  <c r="U2643" i="5"/>
  <c r="V2643" i="5" s="1"/>
  <c r="U2647" i="5"/>
  <c r="V2647" i="5" s="1"/>
  <c r="U2563" i="5"/>
  <c r="V2563" i="5" s="1"/>
  <c r="U2641" i="5"/>
  <c r="V2641" i="5" s="1"/>
  <c r="U2593" i="5"/>
  <c r="V2593" i="5" s="1"/>
  <c r="U2592" i="5"/>
  <c r="V2592" i="5" s="1"/>
  <c r="U2537" i="5"/>
  <c r="V2537" i="5" s="1"/>
  <c r="U2451" i="5"/>
  <c r="V2451" i="5" s="1"/>
  <c r="U2416" i="5"/>
  <c r="V2416" i="5" s="1"/>
  <c r="U2462" i="5"/>
  <c r="V2462" i="5" s="1"/>
  <c r="U2463" i="5"/>
  <c r="V2463" i="5" s="1"/>
  <c r="U2466" i="5"/>
  <c r="V2466" i="5" s="1"/>
  <c r="O2456" i="5"/>
  <c r="U2379" i="5"/>
  <c r="V2379" i="5" s="1"/>
  <c r="O2533" i="5"/>
  <c r="U2449" i="5"/>
  <c r="V2449" i="5" s="1"/>
  <c r="U2540" i="5"/>
  <c r="V2540" i="5" s="1"/>
  <c r="U2372" i="5"/>
  <c r="V2372" i="5" s="1"/>
  <c r="O2369" i="5"/>
  <c r="U2360" i="5"/>
  <c r="V2360" i="5" s="1"/>
  <c r="U2349" i="5"/>
  <c r="V2349" i="5" s="1"/>
  <c r="U2339" i="5"/>
  <c r="V2339" i="5" s="1"/>
  <c r="U2319" i="5"/>
  <c r="V2319" i="5" s="1"/>
  <c r="U2310" i="5"/>
  <c r="V2310" i="5" s="1"/>
  <c r="U2307" i="5"/>
  <c r="V2307" i="5" s="1"/>
  <c r="O2304" i="5"/>
  <c r="U2293" i="5"/>
  <c r="V2293" i="5" s="1"/>
  <c r="U2286" i="5"/>
  <c r="V2286" i="5" s="1"/>
  <c r="U2287" i="5"/>
  <c r="V2287" i="5" s="1"/>
  <c r="O2635" i="5"/>
  <c r="O2562" i="5"/>
  <c r="O2524" i="5"/>
  <c r="O2534" i="5"/>
  <c r="O2387" i="5"/>
  <c r="O2372" i="5"/>
  <c r="O2541" i="5"/>
  <c r="O2540" i="5"/>
  <c r="O2291" i="5"/>
  <c r="O2379" i="5"/>
  <c r="O2297" i="5"/>
  <c r="O2285" i="5"/>
  <c r="O2330" i="5"/>
  <c r="O2308" i="5"/>
  <c r="O2632" i="5"/>
  <c r="O2574" i="5"/>
  <c r="O2525" i="5"/>
  <c r="O2467" i="5"/>
  <c r="O2287" i="5"/>
  <c r="O2292" i="5"/>
  <c r="O2307" i="5"/>
  <c r="O2640" i="5"/>
  <c r="O2625" i="5"/>
  <c r="O2449" i="5"/>
  <c r="O2390" i="5"/>
  <c r="P2436" i="5"/>
  <c r="N2436" i="5"/>
  <c r="N2397" i="5"/>
  <c r="P2397" i="5"/>
  <c r="N2605" i="5"/>
  <c r="P2605" i="5"/>
  <c r="P2552" i="5"/>
  <c r="N2552" i="5"/>
  <c r="P2391" i="5"/>
  <c r="N2391" i="5"/>
  <c r="P2302" i="5"/>
  <c r="N2302" i="5"/>
  <c r="N2601" i="5"/>
  <c r="P2601" i="5"/>
  <c r="N2515" i="5"/>
  <c r="P2515" i="5"/>
  <c r="N2444" i="5"/>
  <c r="P2444" i="5"/>
  <c r="N2474" i="5"/>
  <c r="P2474" i="5"/>
  <c r="N2320" i="5"/>
  <c r="P2320" i="5"/>
  <c r="N2588" i="5"/>
  <c r="P2588" i="5"/>
  <c r="N2480" i="5"/>
  <c r="P2480" i="5"/>
  <c r="N2402" i="5"/>
  <c r="P2402" i="5"/>
  <c r="N2301" i="5"/>
  <c r="P2301" i="5"/>
  <c r="N2317" i="5"/>
  <c r="P2317" i="5"/>
  <c r="N2403" i="5"/>
  <c r="P2403" i="5"/>
  <c r="P2513" i="5"/>
  <c r="N2513" i="5"/>
  <c r="P2454" i="5"/>
  <c r="N2454" i="5"/>
  <c r="P2442" i="5"/>
  <c r="N2442" i="5"/>
  <c r="N2441" i="5"/>
  <c r="P2441" i="5"/>
  <c r="N2504" i="5"/>
  <c r="P2504" i="5"/>
  <c r="N2439" i="5"/>
  <c r="P2439" i="5"/>
  <c r="N2318" i="5"/>
  <c r="P2318" i="5"/>
  <c r="N2597" i="5"/>
  <c r="P2597" i="5"/>
  <c r="R2588" i="5"/>
  <c r="S2588" i="5" s="1"/>
  <c r="R2605" i="5"/>
  <c r="S2605" i="5" s="1"/>
  <c r="P2583" i="5"/>
  <c r="N2583" i="5"/>
  <c r="O2643" i="5"/>
  <c r="L2566" i="5"/>
  <c r="N2615" i="5"/>
  <c r="P2615" i="5"/>
  <c r="P2529" i="5"/>
  <c r="N2529" i="5"/>
  <c r="R2552" i="5"/>
  <c r="S2552" i="5" s="1"/>
  <c r="O2600" i="5"/>
  <c r="N2516" i="5"/>
  <c r="P2516" i="5"/>
  <c r="N2510" i="5"/>
  <c r="P2510" i="5"/>
  <c r="P2486" i="5"/>
  <c r="N2486" i="5"/>
  <c r="N2447" i="5"/>
  <c r="P2447" i="5"/>
  <c r="R2444" i="5"/>
  <c r="S2444" i="5" s="1"/>
  <c r="P2559" i="5"/>
  <c r="N2559" i="5"/>
  <c r="R2441" i="5"/>
  <c r="S2441" i="5" s="1"/>
  <c r="R2504" i="5"/>
  <c r="S2504" i="5" s="1"/>
  <c r="L2413" i="5"/>
  <c r="R2493" i="5"/>
  <c r="S2493" i="5" s="1"/>
  <c r="O2466" i="5"/>
  <c r="L2432" i="5"/>
  <c r="R2439" i="5"/>
  <c r="S2439" i="5" s="1"/>
  <c r="N2366" i="5"/>
  <c r="P2366" i="5"/>
  <c r="L2415" i="5"/>
  <c r="O2349" i="5"/>
  <c r="R2320" i="5"/>
  <c r="S2320" i="5" s="1"/>
  <c r="P2404" i="5"/>
  <c r="N2404" i="5"/>
  <c r="N2333" i="5"/>
  <c r="P2333" i="5"/>
  <c r="R2317" i="5"/>
  <c r="S2317" i="5" s="1"/>
  <c r="N2305" i="5"/>
  <c r="P2305" i="5"/>
  <c r="N2362" i="5"/>
  <c r="P2362" i="5"/>
  <c r="L2350" i="5"/>
  <c r="N2324" i="5"/>
  <c r="P2324" i="5"/>
  <c r="R2397" i="5"/>
  <c r="S2397" i="5" s="1"/>
  <c r="P2374" i="5"/>
  <c r="N2374" i="5"/>
  <c r="L2393" i="5"/>
  <c r="N2313" i="5"/>
  <c r="P2313" i="5"/>
  <c r="N2288" i="5"/>
  <c r="P2288" i="5"/>
  <c r="O2293" i="5"/>
  <c r="O2281" i="5"/>
  <c r="O2360" i="5"/>
  <c r="N2618" i="5"/>
  <c r="P2618" i="5"/>
  <c r="O2634" i="5"/>
  <c r="O2593" i="5"/>
  <c r="N2581" i="5"/>
  <c r="P2581" i="5"/>
  <c r="P2561" i="5"/>
  <c r="N2561" i="5"/>
  <c r="P2633" i="5"/>
  <c r="N2633" i="5"/>
  <c r="N2557" i="5"/>
  <c r="P2557" i="5"/>
  <c r="P2514" i="5"/>
  <c r="N2514" i="5"/>
  <c r="P2489" i="5"/>
  <c r="N2489" i="5"/>
  <c r="O2553" i="5"/>
  <c r="R2515" i="5"/>
  <c r="S2515" i="5" s="1"/>
  <c r="N2493" i="5"/>
  <c r="P2493" i="5"/>
  <c r="O2429" i="5"/>
  <c r="N2394" i="5"/>
  <c r="P2394" i="5"/>
  <c r="N2370" i="5"/>
  <c r="P2370" i="5"/>
  <c r="N2420" i="5"/>
  <c r="P2420" i="5"/>
  <c r="N2371" i="5"/>
  <c r="P2371" i="5"/>
  <c r="N2311" i="5"/>
  <c r="P2311" i="5"/>
  <c r="N2388" i="5"/>
  <c r="P2388" i="5"/>
  <c r="R2487" i="5"/>
  <c r="S2487" i="5" s="1"/>
  <c r="O2406" i="5"/>
  <c r="P2648" i="5"/>
  <c r="N2648" i="5"/>
  <c r="O2414" i="5"/>
  <c r="O2310" i="5"/>
  <c r="N2290" i="5"/>
  <c r="P2290" i="5"/>
  <c r="N2312" i="5"/>
  <c r="P2312" i="5"/>
  <c r="P2613" i="5"/>
  <c r="N2613" i="5"/>
  <c r="P2604" i="5"/>
  <c r="N2604" i="5"/>
  <c r="P2595" i="5"/>
  <c r="N2595" i="5"/>
  <c r="N2637" i="5"/>
  <c r="P2637" i="5"/>
  <c r="N2577" i="5"/>
  <c r="P2577" i="5"/>
  <c r="N2578" i="5"/>
  <c r="P2578" i="5"/>
  <c r="N2539" i="5"/>
  <c r="P2539" i="5"/>
  <c r="N2475" i="5"/>
  <c r="P2475" i="5"/>
  <c r="P2500" i="5"/>
  <c r="N2500" i="5"/>
  <c r="N2542" i="5"/>
  <c r="P2542" i="5"/>
  <c r="P2528" i="5"/>
  <c r="N2528" i="5"/>
  <c r="N2503" i="5"/>
  <c r="P2503" i="5"/>
  <c r="N2478" i="5"/>
  <c r="P2478" i="5"/>
  <c r="P2543" i="5"/>
  <c r="N2543" i="5"/>
  <c r="N2465" i="5"/>
  <c r="P2465" i="5"/>
  <c r="N2457" i="5"/>
  <c r="P2457" i="5"/>
  <c r="P2446" i="5"/>
  <c r="N2446" i="5"/>
  <c r="N2363" i="5"/>
  <c r="P2363" i="5"/>
  <c r="P2337" i="5"/>
  <c r="N2337" i="5"/>
  <c r="P2411" i="5"/>
  <c r="N2411" i="5"/>
  <c r="N2343" i="5"/>
  <c r="P2343" i="5"/>
  <c r="N2487" i="5"/>
  <c r="P2487" i="5"/>
  <c r="N2423" i="5"/>
  <c r="P2423" i="5"/>
  <c r="O2334" i="5"/>
  <c r="N2314" i="5"/>
  <c r="P2314" i="5"/>
  <c r="N2299" i="5"/>
  <c r="P2299" i="5"/>
  <c r="N2283" i="5"/>
  <c r="P2283" i="5"/>
  <c r="P2326" i="5"/>
  <c r="N2326" i="5"/>
  <c r="P2315" i="5"/>
  <c r="N2315" i="5"/>
  <c r="P2603" i="5"/>
  <c r="N2603" i="5"/>
  <c r="N2627" i="5"/>
  <c r="P2627" i="5"/>
  <c r="N2590" i="5"/>
  <c r="P2590" i="5"/>
  <c r="P2579" i="5"/>
  <c r="N2579" i="5"/>
  <c r="P2639" i="5"/>
  <c r="N2639" i="5"/>
  <c r="N2587" i="5"/>
  <c r="P2587" i="5"/>
  <c r="P2549" i="5"/>
  <c r="N2549" i="5"/>
  <c r="P2495" i="5"/>
  <c r="N2495" i="5"/>
  <c r="N2571" i="5"/>
  <c r="P2571" i="5"/>
  <c r="P2437" i="5"/>
  <c r="N2437" i="5"/>
  <c r="N2410" i="5"/>
  <c r="P2410" i="5"/>
  <c r="P2443" i="5"/>
  <c r="N2443" i="5"/>
  <c r="P2419" i="5"/>
  <c r="N2419" i="5"/>
  <c r="P2399" i="5"/>
  <c r="N2399" i="5"/>
  <c r="N2383" i="5"/>
  <c r="P2383" i="5"/>
  <c r="N2367" i="5"/>
  <c r="P2367" i="5"/>
  <c r="P2352" i="5"/>
  <c r="N2352" i="5"/>
  <c r="N2396" i="5"/>
  <c r="P2396" i="5"/>
  <c r="N2336" i="5"/>
  <c r="P2336" i="5"/>
  <c r="N2376" i="5"/>
  <c r="P2376" i="5"/>
  <c r="N2612" i="5"/>
  <c r="P2612" i="5"/>
  <c r="N2296" i="5"/>
  <c r="P2296" i="5"/>
  <c r="N2608" i="5"/>
  <c r="P2608" i="5"/>
  <c r="P2642" i="5"/>
  <c r="N2642" i="5"/>
  <c r="N2591" i="5"/>
  <c r="P2591" i="5"/>
  <c r="N2644" i="5"/>
  <c r="P2644" i="5"/>
  <c r="R2601" i="5"/>
  <c r="S2601" i="5" s="1"/>
  <c r="P2586" i="5"/>
  <c r="N2586" i="5"/>
  <c r="N2564" i="5"/>
  <c r="P2564" i="5"/>
  <c r="N2547" i="5"/>
  <c r="P2547" i="5"/>
  <c r="N2573" i="5"/>
  <c r="P2573" i="5"/>
  <c r="O2570" i="5"/>
  <c r="N2496" i="5"/>
  <c r="P2496" i="5"/>
  <c r="N2499" i="5"/>
  <c r="P2499" i="5"/>
  <c r="O2546" i="5"/>
  <c r="N2407" i="5"/>
  <c r="P2407" i="5"/>
  <c r="O2537" i="5"/>
  <c r="P2498" i="5"/>
  <c r="N2498" i="5"/>
  <c r="P2417" i="5"/>
  <c r="N2417" i="5"/>
  <c r="N2468" i="5"/>
  <c r="P2468" i="5"/>
  <c r="N2469" i="5"/>
  <c r="P2469" i="5"/>
  <c r="N2382" i="5"/>
  <c r="P2382" i="5"/>
  <c r="P2359" i="5"/>
  <c r="N2359" i="5"/>
  <c r="P2332" i="5"/>
  <c r="N2332" i="5"/>
  <c r="P2338" i="5"/>
  <c r="N2338" i="5"/>
  <c r="P2306" i="5"/>
  <c r="N2306" i="5"/>
  <c r="N2422" i="5"/>
  <c r="P2422" i="5"/>
  <c r="N2365" i="5"/>
  <c r="P2365" i="5"/>
  <c r="N2342" i="5"/>
  <c r="P2342" i="5"/>
  <c r="P2358" i="5"/>
  <c r="N2358" i="5"/>
  <c r="R2403" i="5"/>
  <c r="S2403" i="5" s="1"/>
  <c r="N2282" i="5"/>
  <c r="P2282" i="5"/>
  <c r="R2337" i="5"/>
  <c r="S2337" i="5" s="1"/>
  <c r="N2295" i="5"/>
  <c r="P2295" i="5"/>
  <c r="O2280" i="5"/>
  <c r="P2325" i="5"/>
  <c r="N2325" i="5"/>
  <c r="N2284" i="5"/>
  <c r="P2284" i="5"/>
  <c r="O2298" i="5"/>
  <c r="O2286" i="5"/>
  <c r="N2621" i="5"/>
  <c r="P2621" i="5"/>
  <c r="N2624" i="5"/>
  <c r="P2624" i="5"/>
  <c r="N2606" i="5"/>
  <c r="P2606" i="5"/>
  <c r="P2589" i="5"/>
  <c r="N2589" i="5"/>
  <c r="P2558" i="5"/>
  <c r="N2558" i="5"/>
  <c r="N2580" i="5"/>
  <c r="P2580" i="5"/>
  <c r="N2545" i="5"/>
  <c r="P2545" i="5"/>
  <c r="P2560" i="5"/>
  <c r="N2560" i="5"/>
  <c r="O2526" i="5"/>
  <c r="N2490" i="5"/>
  <c r="P2490" i="5"/>
  <c r="O2563" i="5"/>
  <c r="N2531" i="5"/>
  <c r="P2531" i="5"/>
  <c r="O2536" i="5"/>
  <c r="N2459" i="5"/>
  <c r="P2459" i="5"/>
  <c r="O2463" i="5"/>
  <c r="N2427" i="5"/>
  <c r="P2427" i="5"/>
  <c r="P2434" i="5"/>
  <c r="N2434" i="5"/>
  <c r="O2451" i="5"/>
  <c r="N2424" i="5"/>
  <c r="P2424" i="5"/>
  <c r="O2381" i="5"/>
  <c r="N2522" i="5"/>
  <c r="P2522" i="5"/>
  <c r="N2458" i="5"/>
  <c r="P2458" i="5"/>
  <c r="P2425" i="5"/>
  <c r="N2425" i="5"/>
  <c r="N2364" i="5"/>
  <c r="P2364" i="5"/>
  <c r="P2344" i="5"/>
  <c r="N2344" i="5"/>
  <c r="N2375" i="5"/>
  <c r="P2375" i="5"/>
  <c r="N2329" i="5"/>
  <c r="P2329" i="5"/>
  <c r="O2384" i="5"/>
  <c r="N2572" i="5"/>
  <c r="P2572" i="5"/>
  <c r="N2438" i="5"/>
  <c r="P2438" i="5"/>
  <c r="N2294" i="5"/>
  <c r="P2294" i="5"/>
  <c r="R2338" i="5"/>
  <c r="S2338" i="5" s="1"/>
  <c r="N2309" i="5"/>
  <c r="P2309" i="5"/>
  <c r="O2300" i="5"/>
  <c r="P1867" i="5"/>
  <c r="O1867" i="5" s="1"/>
  <c r="P2279" i="5"/>
  <c r="N2279" i="5"/>
  <c r="N2086" i="5"/>
  <c r="U2086" i="5" s="1"/>
  <c r="V2086" i="5" s="1"/>
  <c r="N1991" i="5"/>
  <c r="U1991" i="5" s="1"/>
  <c r="V1991" i="5" s="1"/>
  <c r="N1911" i="5"/>
  <c r="O1911" i="5" s="1"/>
  <c r="N2233" i="5"/>
  <c r="U2233" i="5" s="1"/>
  <c r="V2233" i="5" s="1"/>
  <c r="U1811" i="5"/>
  <c r="V1811" i="5" s="1"/>
  <c r="N2237" i="5"/>
  <c r="O2237" i="5" s="1"/>
  <c r="U2210" i="5"/>
  <c r="V2210" i="5" s="1"/>
  <c r="N2151" i="5"/>
  <c r="O2151" i="5" s="1"/>
  <c r="U1951" i="5"/>
  <c r="V1951" i="5" s="1"/>
  <c r="R1853" i="5"/>
  <c r="S1853" i="5" s="1"/>
  <c r="U1953" i="5"/>
  <c r="V1953" i="5" s="1"/>
  <c r="R2000" i="5"/>
  <c r="S2000" i="5" s="1"/>
  <c r="R2052" i="5"/>
  <c r="S2052" i="5" s="1"/>
  <c r="N2048" i="5"/>
  <c r="O2048" i="5" s="1"/>
  <c r="N2019" i="5"/>
  <c r="O2019" i="5" s="1"/>
  <c r="N2124" i="5"/>
  <c r="N2131" i="5"/>
  <c r="O2131" i="5" s="1"/>
  <c r="R1975" i="5"/>
  <c r="S1975" i="5" s="1"/>
  <c r="N1967" i="5"/>
  <c r="R2117" i="5"/>
  <c r="S2117" i="5" s="1"/>
  <c r="N2062" i="5"/>
  <c r="O2062" i="5" s="1"/>
  <c r="N2001" i="5"/>
  <c r="U2001" i="5" s="1"/>
  <c r="V2001" i="5" s="1"/>
  <c r="O1951" i="5"/>
  <c r="R2231" i="5"/>
  <c r="S2231" i="5" s="1"/>
  <c r="P2000" i="5"/>
  <c r="N2000" i="5"/>
  <c r="U1950" i="5"/>
  <c r="V1950" i="5" s="1"/>
  <c r="O1950" i="5"/>
  <c r="R1850" i="5"/>
  <c r="S1850" i="5" s="1"/>
  <c r="U1999" i="5"/>
  <c r="V1999" i="5" s="1"/>
  <c r="N2083" i="5"/>
  <c r="U2083" i="5" s="1"/>
  <c r="V2083" i="5" s="1"/>
  <c r="R2249" i="5"/>
  <c r="S2249" i="5" s="1"/>
  <c r="N1973" i="5"/>
  <c r="U1973" i="5" s="1"/>
  <c r="V1973" i="5" s="1"/>
  <c r="R1832" i="5"/>
  <c r="S1832" i="5" s="1"/>
  <c r="U1873" i="5"/>
  <c r="V1873" i="5" s="1"/>
  <c r="N2079" i="5"/>
  <c r="O2079" i="5" s="1"/>
  <c r="R2277" i="5"/>
  <c r="S2277" i="5" s="1"/>
  <c r="R2240" i="5"/>
  <c r="S2240" i="5" s="1"/>
  <c r="N1969" i="5"/>
  <c r="O1969" i="5" s="1"/>
  <c r="N1859" i="5"/>
  <c r="O1859" i="5" s="1"/>
  <c r="N2208" i="5"/>
  <c r="U2208" i="5" s="1"/>
  <c r="V2208" i="5" s="1"/>
  <c r="O2210" i="5"/>
  <c r="N2273" i="5"/>
  <c r="U2273" i="5" s="1"/>
  <c r="V2273" i="5" s="1"/>
  <c r="P1967" i="5"/>
  <c r="N2268" i="5"/>
  <c r="O2268" i="5" s="1"/>
  <c r="P1982" i="5"/>
  <c r="U1982" i="5" s="1"/>
  <c r="V1982" i="5" s="1"/>
  <c r="U2265" i="5"/>
  <c r="V2265" i="5" s="1"/>
  <c r="N1813" i="5"/>
  <c r="U1813" i="5" s="1"/>
  <c r="V1813" i="5" s="1"/>
  <c r="N1886" i="5"/>
  <c r="O1886" i="5" s="1"/>
  <c r="N2241" i="5"/>
  <c r="O2241" i="5" s="1"/>
  <c r="N2087" i="5"/>
  <c r="U2087" i="5" s="1"/>
  <c r="V2087" i="5" s="1"/>
  <c r="O1952" i="5"/>
  <c r="U1949" i="5"/>
  <c r="V1949" i="5" s="1"/>
  <c r="N2103" i="5"/>
  <c r="O2103" i="5" s="1"/>
  <c r="R2093" i="5"/>
  <c r="S2093" i="5" s="1"/>
  <c r="R1938" i="5"/>
  <c r="S1938" i="5" s="1"/>
  <c r="R1884" i="5"/>
  <c r="S1884" i="5" s="1"/>
  <c r="L2055" i="5"/>
  <c r="P2055" i="5" s="1"/>
  <c r="P2124" i="5"/>
  <c r="R2057" i="5"/>
  <c r="S2057" i="5" s="1"/>
  <c r="U2194" i="5"/>
  <c r="V2194" i="5" s="1"/>
  <c r="O2194" i="5"/>
  <c r="R2253" i="5"/>
  <c r="S2253" i="5" s="1"/>
  <c r="N1909" i="5"/>
  <c r="U1909" i="5" s="1"/>
  <c r="V1909" i="5" s="1"/>
  <c r="N2141" i="5"/>
  <c r="U2141" i="5" s="1"/>
  <c r="V2141" i="5" s="1"/>
  <c r="P2073" i="5"/>
  <c r="U2073" i="5" s="1"/>
  <c r="V2073" i="5" s="1"/>
  <c r="O1948" i="5"/>
  <c r="R2026" i="5"/>
  <c r="S2026" i="5" s="1"/>
  <c r="U1858" i="5"/>
  <c r="V1858" i="5" s="1"/>
  <c r="R2022" i="5"/>
  <c r="S2022" i="5" s="1"/>
  <c r="N2267" i="5"/>
  <c r="O2267" i="5" s="1"/>
  <c r="N2230" i="5"/>
  <c r="U2230" i="5" s="1"/>
  <c r="V2230" i="5" s="1"/>
  <c r="O1843" i="5"/>
  <c r="R2228" i="5"/>
  <c r="S2228" i="5" s="1"/>
  <c r="R2127" i="5"/>
  <c r="S2127" i="5" s="1"/>
  <c r="N1814" i="5"/>
  <c r="O1814" i="5" s="1"/>
  <c r="N2090" i="5"/>
  <c r="U2090" i="5" s="1"/>
  <c r="V2090" i="5" s="1"/>
  <c r="O1999" i="5"/>
  <c r="U2242" i="5"/>
  <c r="V2242" i="5" s="1"/>
  <c r="U2191" i="5"/>
  <c r="V2191" i="5" s="1"/>
  <c r="U1866" i="5"/>
  <c r="V1866" i="5" s="1"/>
  <c r="U1860" i="5"/>
  <c r="V1860" i="5" s="1"/>
  <c r="P2228" i="5"/>
  <c r="N2228" i="5"/>
  <c r="R2252" i="5"/>
  <c r="S2252" i="5" s="1"/>
  <c r="R2215" i="5"/>
  <c r="S2215" i="5" s="1"/>
  <c r="R2219" i="5"/>
  <c r="S2219" i="5" s="1"/>
  <c r="L2066" i="5"/>
  <c r="P2066" i="5" s="1"/>
  <c r="R2076" i="5"/>
  <c r="S2076" i="5" s="1"/>
  <c r="R2142" i="5"/>
  <c r="S2142" i="5" s="1"/>
  <c r="N2074" i="5"/>
  <c r="O2074" i="5" s="1"/>
  <c r="N2138" i="5"/>
  <c r="L2231" i="5"/>
  <c r="P1976" i="5"/>
  <c r="U1976" i="5" s="1"/>
  <c r="V1976" i="5" s="1"/>
  <c r="N2183" i="5"/>
  <c r="O2183" i="5" s="1"/>
  <c r="P2027" i="5"/>
  <c r="O2027" i="5" s="1"/>
  <c r="N1903" i="5"/>
  <c r="U1903" i="5" s="1"/>
  <c r="V1903" i="5" s="1"/>
  <c r="N1819" i="5"/>
  <c r="O1819" i="5" s="1"/>
  <c r="N2040" i="5"/>
  <c r="U2040" i="5" s="1"/>
  <c r="V2040" i="5" s="1"/>
  <c r="O1983" i="5"/>
  <c r="U1946" i="5"/>
  <c r="V1946" i="5" s="1"/>
  <c r="R1910" i="5"/>
  <c r="S1910" i="5" s="1"/>
  <c r="P1802" i="5"/>
  <c r="U1802" i="5" s="1"/>
  <c r="V1802" i="5" s="1"/>
  <c r="P2113" i="5"/>
  <c r="O2113" i="5" s="1"/>
  <c r="N1849" i="5"/>
  <c r="O1849" i="5" s="1"/>
  <c r="N2217" i="5"/>
  <c r="O2217" i="5" s="1"/>
  <c r="N2260" i="5"/>
  <c r="O2260" i="5" s="1"/>
  <c r="N2209" i="5"/>
  <c r="O2209" i="5" s="1"/>
  <c r="U1979" i="5"/>
  <c r="V1979" i="5" s="1"/>
  <c r="N1970" i="5"/>
  <c r="P1975" i="5"/>
  <c r="N1975" i="5"/>
  <c r="U1972" i="5"/>
  <c r="V1972" i="5" s="1"/>
  <c r="O1972" i="5"/>
  <c r="N1959" i="5"/>
  <c r="P1959" i="5"/>
  <c r="P1924" i="5"/>
  <c r="N1924" i="5"/>
  <c r="P1945" i="5"/>
  <c r="N1945" i="5"/>
  <c r="R1959" i="5"/>
  <c r="S1959" i="5" s="1"/>
  <c r="U2041" i="5"/>
  <c r="V2041" i="5" s="1"/>
  <c r="N1816" i="5"/>
  <c r="O1816" i="5" s="1"/>
  <c r="R2126" i="5"/>
  <c r="S2126" i="5" s="1"/>
  <c r="N1968" i="5"/>
  <c r="P1968" i="5"/>
  <c r="P2022" i="5"/>
  <c r="U2022" i="5" s="1"/>
  <c r="V2022" i="5" s="1"/>
  <c r="N1817" i="5"/>
  <c r="O1817" i="5" s="1"/>
  <c r="R2258" i="5"/>
  <c r="S2258" i="5" s="1"/>
  <c r="P2261" i="5"/>
  <c r="O2261" i="5" s="1"/>
  <c r="N2184" i="5"/>
  <c r="O2184" i="5" s="1"/>
  <c r="R2067" i="5"/>
  <c r="S2067" i="5" s="1"/>
  <c r="R2139" i="5"/>
  <c r="S2139" i="5" s="1"/>
  <c r="R2069" i="5"/>
  <c r="S2069" i="5" s="1"/>
  <c r="N1830" i="5"/>
  <c r="U1830" i="5" s="1"/>
  <c r="V1830" i="5" s="1"/>
  <c r="R2081" i="5"/>
  <c r="S2081" i="5" s="1"/>
  <c r="N2251" i="5"/>
  <c r="O2157" i="5"/>
  <c r="O2119" i="5"/>
  <c r="R1934" i="5"/>
  <c r="S1934" i="5" s="1"/>
  <c r="R1826" i="5"/>
  <c r="S1826" i="5" s="1"/>
  <c r="U1987" i="5"/>
  <c r="V1987" i="5" s="1"/>
  <c r="N2226" i="5"/>
  <c r="O2226" i="5" s="1"/>
  <c r="R2276" i="5"/>
  <c r="S2276" i="5" s="1"/>
  <c r="R2134" i="5"/>
  <c r="S2134" i="5" s="1"/>
  <c r="R1945" i="5"/>
  <c r="S1945" i="5" s="1"/>
  <c r="P2080" i="5"/>
  <c r="N2080" i="5"/>
  <c r="P2277" i="5"/>
  <c r="N2277" i="5"/>
  <c r="P2076" i="5"/>
  <c r="N2076" i="5"/>
  <c r="N1990" i="5"/>
  <c r="P1990" i="5"/>
  <c r="P2077" i="5"/>
  <c r="N2077" i="5"/>
  <c r="N2057" i="5"/>
  <c r="P2057" i="5"/>
  <c r="P2276" i="5"/>
  <c r="N2276" i="5"/>
  <c r="P2270" i="5"/>
  <c r="N2270" i="5"/>
  <c r="P2134" i="5"/>
  <c r="N2134" i="5"/>
  <c r="P1984" i="5"/>
  <c r="N1984" i="5"/>
  <c r="L1850" i="5"/>
  <c r="P1850" i="5" s="1"/>
  <c r="L2249" i="5"/>
  <c r="L2187" i="5"/>
  <c r="P2187" i="5" s="1"/>
  <c r="P2236" i="5"/>
  <c r="U2236" i="5" s="1"/>
  <c r="V2236" i="5" s="1"/>
  <c r="N2098" i="5"/>
  <c r="O2098" i="5" s="1"/>
  <c r="N2078" i="5"/>
  <c r="U2078" i="5" s="1"/>
  <c r="V2078" i="5" s="1"/>
  <c r="R2088" i="5"/>
  <c r="S2088" i="5" s="1"/>
  <c r="R1947" i="5"/>
  <c r="S1947" i="5" s="1"/>
  <c r="R1865" i="5"/>
  <c r="S1865" i="5" s="1"/>
  <c r="N1890" i="5"/>
  <c r="O1890" i="5" s="1"/>
  <c r="N2203" i="5"/>
  <c r="R2274" i="5"/>
  <c r="S2274" i="5" s="1"/>
  <c r="O1978" i="5"/>
  <c r="R2080" i="5"/>
  <c r="S2080" i="5" s="1"/>
  <c r="P1981" i="5"/>
  <c r="N1981" i="5"/>
  <c r="N1934" i="5"/>
  <c r="P1934" i="5"/>
  <c r="L1942" i="5"/>
  <c r="N1942" i="5" s="1"/>
  <c r="O1965" i="5"/>
  <c r="U1908" i="5"/>
  <c r="V1908" i="5" s="1"/>
  <c r="U1848" i="5"/>
  <c r="V1848" i="5" s="1"/>
  <c r="U1956" i="5"/>
  <c r="V1956" i="5" s="1"/>
  <c r="O1881" i="5"/>
  <c r="N1877" i="5"/>
  <c r="O1877" i="5" s="1"/>
  <c r="P2212" i="5"/>
  <c r="N2212" i="5"/>
  <c r="O2197" i="5"/>
  <c r="U2272" i="5"/>
  <c r="V2272" i="5" s="1"/>
  <c r="P2138" i="5"/>
  <c r="N2179" i="5"/>
  <c r="O2179" i="5" s="1"/>
  <c r="R2108" i="5"/>
  <c r="S2108" i="5" s="1"/>
  <c r="N1876" i="5"/>
  <c r="O1876" i="5" s="1"/>
  <c r="N1840" i="5"/>
  <c r="O1840" i="5" s="1"/>
  <c r="N2269" i="5"/>
  <c r="N1935" i="5"/>
  <c r="U1980" i="5"/>
  <c r="V1980" i="5" s="1"/>
  <c r="U1974" i="5"/>
  <c r="V1974" i="5" s="1"/>
  <c r="P2278" i="5"/>
  <c r="N2278" i="5"/>
  <c r="O1811" i="5"/>
  <c r="R2147" i="5"/>
  <c r="S2147" i="5" s="1"/>
  <c r="N1905" i="5"/>
  <c r="O1905" i="5" s="1"/>
  <c r="P1875" i="5"/>
  <c r="O1875" i="5" s="1"/>
  <c r="U1885" i="5"/>
  <c r="V1885" i="5" s="1"/>
  <c r="U2119" i="5"/>
  <c r="V2119" i="5" s="1"/>
  <c r="R2270" i="5"/>
  <c r="S2270" i="5" s="1"/>
  <c r="P2211" i="5"/>
  <c r="N2211" i="5"/>
  <c r="N2263" i="5"/>
  <c r="O2263" i="5" s="1"/>
  <c r="L2240" i="5"/>
  <c r="R2245" i="5"/>
  <c r="S2245" i="5" s="1"/>
  <c r="R2262" i="5"/>
  <c r="S2262" i="5" s="1"/>
  <c r="N2259" i="5"/>
  <c r="R2163" i="5"/>
  <c r="S2163" i="5" s="1"/>
  <c r="R2153" i="5"/>
  <c r="S2153" i="5" s="1"/>
  <c r="O2158" i="5"/>
  <c r="U2123" i="5"/>
  <c r="V2123" i="5" s="1"/>
  <c r="R2129" i="5"/>
  <c r="S2129" i="5" s="1"/>
  <c r="L2093" i="5"/>
  <c r="N2093" i="5" s="1"/>
  <c r="L2081" i="5"/>
  <c r="L2088" i="5"/>
  <c r="N2088" i="5" s="1"/>
  <c r="U2082" i="5"/>
  <c r="V2082" i="5" s="1"/>
  <c r="O2056" i="5"/>
  <c r="U2065" i="5"/>
  <c r="V2065" i="5" s="1"/>
  <c r="L2063" i="5"/>
  <c r="N2063" i="5" s="1"/>
  <c r="N2052" i="5"/>
  <c r="P2052" i="5"/>
  <c r="L2053" i="5"/>
  <c r="P2053" i="5" s="1"/>
  <c r="P2025" i="5"/>
  <c r="N2025" i="5"/>
  <c r="N2039" i="5"/>
  <c r="P2039" i="5"/>
  <c r="R2023" i="5"/>
  <c r="S2023" i="5" s="1"/>
  <c r="R2025" i="5"/>
  <c r="S2025" i="5" s="1"/>
  <c r="R2039" i="5"/>
  <c r="S2039" i="5" s="1"/>
  <c r="R2020" i="5"/>
  <c r="S2020" i="5" s="1"/>
  <c r="P2007" i="5"/>
  <c r="N2007" i="5"/>
  <c r="R2007" i="5"/>
  <c r="S2007" i="5" s="1"/>
  <c r="L2015" i="5"/>
  <c r="P2015" i="5" s="1"/>
  <c r="N2008" i="5"/>
  <c r="U2008" i="5" s="1"/>
  <c r="V2008" i="5" s="1"/>
  <c r="O1998" i="5"/>
  <c r="O1946" i="5"/>
  <c r="P1944" i="5"/>
  <c r="N1944" i="5"/>
  <c r="R1941" i="5"/>
  <c r="S1941" i="5" s="1"/>
  <c r="N1940" i="5"/>
  <c r="O1940" i="5" s="1"/>
  <c r="N1912" i="5"/>
  <c r="U1912" i="5" s="1"/>
  <c r="V1912" i="5" s="1"/>
  <c r="R1904" i="5"/>
  <c r="S1904" i="5" s="1"/>
  <c r="N1902" i="5"/>
  <c r="U1902" i="5" s="1"/>
  <c r="V1902" i="5" s="1"/>
  <c r="O1891" i="5"/>
  <c r="N1870" i="5"/>
  <c r="U1870" i="5" s="1"/>
  <c r="V1870" i="5" s="1"/>
  <c r="O1860" i="5"/>
  <c r="L1853" i="5"/>
  <c r="N1853" i="5" s="1"/>
  <c r="L1851" i="5"/>
  <c r="P1851" i="5" s="1"/>
  <c r="R1831" i="5"/>
  <c r="S1831" i="5" s="1"/>
  <c r="U1823" i="5"/>
  <c r="V1823" i="5" s="1"/>
  <c r="N2069" i="5"/>
  <c r="P2069" i="5"/>
  <c r="P2067" i="5"/>
  <c r="N2067" i="5"/>
  <c r="P2258" i="5"/>
  <c r="N2258" i="5"/>
  <c r="P2147" i="5"/>
  <c r="N2147" i="5"/>
  <c r="P1922" i="5"/>
  <c r="N1922" i="5"/>
  <c r="P2142" i="5"/>
  <c r="N2142" i="5"/>
  <c r="P1904" i="5"/>
  <c r="N1904" i="5"/>
  <c r="N1828" i="5"/>
  <c r="P1828" i="5"/>
  <c r="N1831" i="5"/>
  <c r="P1831" i="5"/>
  <c r="O2046" i="5"/>
  <c r="L1827" i="5"/>
  <c r="R2058" i="5"/>
  <c r="S2058" i="5" s="1"/>
  <c r="O1885" i="5"/>
  <c r="O2004" i="5"/>
  <c r="N2274" i="5"/>
  <c r="O2242" i="5"/>
  <c r="R1828" i="5"/>
  <c r="S1828" i="5" s="1"/>
  <c r="R2259" i="5"/>
  <c r="S2259" i="5" s="1"/>
  <c r="U1983" i="5"/>
  <c r="V1983" i="5" s="1"/>
  <c r="O2100" i="5"/>
  <c r="O1803" i="5"/>
  <c r="L1832" i="5"/>
  <c r="P1832" i="5" s="1"/>
  <c r="N2127" i="5"/>
  <c r="N2222" i="5"/>
  <c r="L2246" i="5"/>
  <c r="N2246" i="5" s="1"/>
  <c r="L2254" i="5"/>
  <c r="N2254" i="5" s="1"/>
  <c r="R2255" i="5"/>
  <c r="S2255" i="5" s="1"/>
  <c r="R2196" i="5"/>
  <c r="S2196" i="5" s="1"/>
  <c r="L2117" i="5"/>
  <c r="N2117" i="5" s="1"/>
  <c r="R2193" i="5"/>
  <c r="S2193" i="5" s="1"/>
  <c r="R2146" i="5"/>
  <c r="S2146" i="5" s="1"/>
  <c r="R2094" i="5"/>
  <c r="S2094" i="5" s="1"/>
  <c r="R2101" i="5"/>
  <c r="S2101" i="5" s="1"/>
  <c r="L2064" i="5"/>
  <c r="P2064" i="5" s="1"/>
  <c r="O2005" i="5"/>
  <c r="O1986" i="5"/>
  <c r="R1893" i="5"/>
  <c r="S1893" i="5" s="1"/>
  <c r="U1878" i="5"/>
  <c r="V1878" i="5" s="1"/>
  <c r="P1861" i="5"/>
  <c r="N1861" i="5"/>
  <c r="O1980" i="5"/>
  <c r="O1974" i="5"/>
  <c r="O2123" i="5"/>
  <c r="R2186" i="5"/>
  <c r="S2186" i="5" s="1"/>
  <c r="R2192" i="5"/>
  <c r="S2192" i="5" s="1"/>
  <c r="R2135" i="5"/>
  <c r="S2135" i="5" s="1"/>
  <c r="R2207" i="5"/>
  <c r="S2207" i="5" s="1"/>
  <c r="N2051" i="5"/>
  <c r="U2051" i="5" s="1"/>
  <c r="V2051" i="5" s="1"/>
  <c r="U2056" i="5"/>
  <c r="V2056" i="5" s="1"/>
  <c r="R1892" i="5"/>
  <c r="S1892" i="5" s="1"/>
  <c r="U1891" i="5"/>
  <c r="V1891" i="5" s="1"/>
  <c r="R1872" i="5"/>
  <c r="S1872" i="5" s="1"/>
  <c r="O1907" i="5"/>
  <c r="L1865" i="5"/>
  <c r="N1865" i="5" s="1"/>
  <c r="O1894" i="5"/>
  <c r="R1922" i="5"/>
  <c r="S1922" i="5" s="1"/>
  <c r="P1971" i="5"/>
  <c r="N1971" i="5"/>
  <c r="L2252" i="5"/>
  <c r="P2252" i="5" s="1"/>
  <c r="L2215" i="5"/>
  <c r="P2215" i="5" s="1"/>
  <c r="O2272" i="5"/>
  <c r="R2225" i="5"/>
  <c r="S2225" i="5" s="1"/>
  <c r="U1965" i="5"/>
  <c r="V1965" i="5" s="1"/>
  <c r="R1928" i="5"/>
  <c r="S1928" i="5" s="1"/>
  <c r="R1835" i="5"/>
  <c r="S1835" i="5" s="1"/>
  <c r="P1977" i="5"/>
  <c r="N1977" i="5"/>
  <c r="U1894" i="5"/>
  <c r="V1894" i="5" s="1"/>
  <c r="U2202" i="5"/>
  <c r="V2202" i="5" s="1"/>
  <c r="U2275" i="5"/>
  <c r="V2275" i="5" s="1"/>
  <c r="U1992" i="5"/>
  <c r="V1992" i="5" s="1"/>
  <c r="U2216" i="5"/>
  <c r="V2216" i="5" s="1"/>
  <c r="N2264" i="5"/>
  <c r="P2264" i="5"/>
  <c r="N2271" i="5"/>
  <c r="P2271" i="5"/>
  <c r="N2227" i="5"/>
  <c r="P2227" i="5"/>
  <c r="N2223" i="5"/>
  <c r="P2223" i="5"/>
  <c r="N2181" i="5"/>
  <c r="P2181" i="5"/>
  <c r="N2136" i="5"/>
  <c r="P2136" i="5"/>
  <c r="N2166" i="5"/>
  <c r="P2166" i="5"/>
  <c r="N2207" i="5"/>
  <c r="P2207" i="5"/>
  <c r="N2084" i="5"/>
  <c r="P2084" i="5"/>
  <c r="P1815" i="5"/>
  <c r="N1815" i="5"/>
  <c r="N2262" i="5"/>
  <c r="P2262" i="5"/>
  <c r="N2186" i="5"/>
  <c r="P2186" i="5"/>
  <c r="N2135" i="5"/>
  <c r="P2135" i="5"/>
  <c r="N2118" i="5"/>
  <c r="P2118" i="5"/>
  <c r="N2021" i="5"/>
  <c r="P2021" i="5"/>
  <c r="N1928" i="5"/>
  <c r="P1928" i="5"/>
  <c r="N1872" i="5"/>
  <c r="P1872" i="5"/>
  <c r="N1854" i="5"/>
  <c r="P1854" i="5"/>
  <c r="N1829" i="5"/>
  <c r="P1829" i="5"/>
  <c r="N2153" i="5"/>
  <c r="P2153" i="5"/>
  <c r="P2225" i="5"/>
  <c r="N2225" i="5"/>
  <c r="P1835" i="5"/>
  <c r="N1835" i="5"/>
  <c r="N1900" i="5"/>
  <c r="P1900" i="5"/>
  <c r="N1846" i="5"/>
  <c r="P1846" i="5"/>
  <c r="N2126" i="5"/>
  <c r="P2126" i="5"/>
  <c r="N2129" i="5"/>
  <c r="P2129" i="5"/>
  <c r="N2130" i="5"/>
  <c r="P2130" i="5"/>
  <c r="N2010" i="5"/>
  <c r="P2010" i="5"/>
  <c r="N1937" i="5"/>
  <c r="P1937" i="5"/>
  <c r="P1906" i="5"/>
  <c r="N1906" i="5"/>
  <c r="N1893" i="5"/>
  <c r="P1893" i="5"/>
  <c r="N2245" i="5"/>
  <c r="P2245" i="5"/>
  <c r="P1920" i="5"/>
  <c r="N1920" i="5"/>
  <c r="N1857" i="5"/>
  <c r="P1857" i="5"/>
  <c r="N2238" i="5"/>
  <c r="P2238" i="5"/>
  <c r="L2234" i="5"/>
  <c r="N2180" i="5"/>
  <c r="P2180" i="5"/>
  <c r="N2218" i="5"/>
  <c r="P2218" i="5"/>
  <c r="U1806" i="5"/>
  <c r="V1806" i="5" s="1"/>
  <c r="N2214" i="5"/>
  <c r="P2214" i="5"/>
  <c r="P2256" i="5"/>
  <c r="N2256" i="5"/>
  <c r="R2227" i="5"/>
  <c r="S2227" i="5" s="1"/>
  <c r="N2253" i="5"/>
  <c r="P2253" i="5"/>
  <c r="R2264" i="5"/>
  <c r="S2264" i="5" s="1"/>
  <c r="P2199" i="5"/>
  <c r="N2199" i="5"/>
  <c r="N2192" i="5"/>
  <c r="P2192" i="5"/>
  <c r="N2201" i="5"/>
  <c r="P2201" i="5"/>
  <c r="N2159" i="5"/>
  <c r="P2159" i="5"/>
  <c r="N2196" i="5"/>
  <c r="P2196" i="5"/>
  <c r="P2109" i="5"/>
  <c r="N2109" i="5"/>
  <c r="P2097" i="5"/>
  <c r="N2097" i="5"/>
  <c r="R2084" i="5"/>
  <c r="S2084" i="5" s="1"/>
  <c r="U2157" i="5"/>
  <c r="V2157" i="5" s="1"/>
  <c r="R2130" i="5"/>
  <c r="S2130" i="5" s="1"/>
  <c r="R2118" i="5"/>
  <c r="S2118" i="5" s="1"/>
  <c r="U2158" i="5"/>
  <c r="V2158" i="5" s="1"/>
  <c r="O2114" i="5"/>
  <c r="U2114" i="5"/>
  <c r="V2114" i="5" s="1"/>
  <c r="N2096" i="5"/>
  <c r="P2096" i="5"/>
  <c r="N2145" i="5"/>
  <c r="P2145" i="5"/>
  <c r="N2132" i="5"/>
  <c r="P2132" i="5"/>
  <c r="N2071" i="5"/>
  <c r="P2071" i="5"/>
  <c r="P2137" i="5"/>
  <c r="N2137" i="5"/>
  <c r="O2110" i="5"/>
  <c r="U2110" i="5"/>
  <c r="V2110" i="5" s="1"/>
  <c r="U2100" i="5"/>
  <c r="V2100" i="5" s="1"/>
  <c r="U2046" i="5"/>
  <c r="V2046" i="5" s="1"/>
  <c r="L2038" i="5"/>
  <c r="L2089" i="5"/>
  <c r="O2049" i="5"/>
  <c r="U2049" i="5"/>
  <c r="V2049" i="5" s="1"/>
  <c r="P1966" i="5"/>
  <c r="N1966" i="5"/>
  <c r="L2026" i="5"/>
  <c r="O2091" i="5"/>
  <c r="U2091" i="5"/>
  <c r="V2091" i="5" s="1"/>
  <c r="R2021" i="5"/>
  <c r="S2021" i="5" s="1"/>
  <c r="P2017" i="5"/>
  <c r="N2017" i="5"/>
  <c r="U2005" i="5"/>
  <c r="V2005" i="5" s="1"/>
  <c r="N1989" i="5"/>
  <c r="P1989" i="5"/>
  <c r="R1937" i="5"/>
  <c r="S1937" i="5" s="1"/>
  <c r="P2009" i="5"/>
  <c r="N2009" i="5"/>
  <c r="L1938" i="5"/>
  <c r="N1898" i="5"/>
  <c r="P1898" i="5"/>
  <c r="O1868" i="5"/>
  <c r="U1868" i="5"/>
  <c r="V1868" i="5" s="1"/>
  <c r="N1931" i="5"/>
  <c r="P1931" i="5"/>
  <c r="R1906" i="5"/>
  <c r="S1906" i="5" s="1"/>
  <c r="P2003" i="5"/>
  <c r="N2003" i="5"/>
  <c r="U1986" i="5"/>
  <c r="V1986" i="5" s="1"/>
  <c r="O1842" i="5"/>
  <c r="U1842" i="5"/>
  <c r="V1842" i="5" s="1"/>
  <c r="R1815" i="5"/>
  <c r="S1815" i="5" s="1"/>
  <c r="R1846" i="5"/>
  <c r="S1846" i="5" s="1"/>
  <c r="O1923" i="5"/>
  <c r="U1923" i="5"/>
  <c r="V1923" i="5" s="1"/>
  <c r="L1847" i="5"/>
  <c r="O1888" i="5"/>
  <c r="U1888" i="5"/>
  <c r="V1888" i="5" s="1"/>
  <c r="O1878" i="5"/>
  <c r="O1820" i="5"/>
  <c r="U1820" i="5"/>
  <c r="V1820" i="5" s="1"/>
  <c r="N2224" i="5"/>
  <c r="P2224" i="5"/>
  <c r="O1808" i="5"/>
  <c r="N2248" i="5"/>
  <c r="P2248" i="5"/>
  <c r="R2271" i="5"/>
  <c r="S2271" i="5" s="1"/>
  <c r="N2220" i="5"/>
  <c r="P2220" i="5"/>
  <c r="O2275" i="5"/>
  <c r="P2200" i="5"/>
  <c r="N2200" i="5"/>
  <c r="R2223" i="5"/>
  <c r="S2223" i="5" s="1"/>
  <c r="N2177" i="5"/>
  <c r="P2177" i="5"/>
  <c r="L2219" i="5"/>
  <c r="N2174" i="5"/>
  <c r="P2174" i="5"/>
  <c r="N2152" i="5"/>
  <c r="P2152" i="5"/>
  <c r="P2160" i="5"/>
  <c r="N2160" i="5"/>
  <c r="P2104" i="5"/>
  <c r="N2104" i="5"/>
  <c r="P2154" i="5"/>
  <c r="N2154" i="5"/>
  <c r="N2085" i="5"/>
  <c r="P2085" i="5"/>
  <c r="O2143" i="5"/>
  <c r="U2143" i="5"/>
  <c r="V2143" i="5" s="1"/>
  <c r="N2155" i="5"/>
  <c r="P2155" i="5"/>
  <c r="N2050" i="5"/>
  <c r="P2050" i="5"/>
  <c r="N2061" i="5"/>
  <c r="P2061" i="5"/>
  <c r="N2054" i="5"/>
  <c r="P2054" i="5"/>
  <c r="O2161" i="5"/>
  <c r="U2161" i="5"/>
  <c r="V2161" i="5" s="1"/>
  <c r="N1985" i="5"/>
  <c r="P1985" i="5"/>
  <c r="N1994" i="5"/>
  <c r="P1994" i="5"/>
  <c r="R2059" i="5"/>
  <c r="S2059" i="5" s="1"/>
  <c r="U2018" i="5"/>
  <c r="V2018" i="5" s="1"/>
  <c r="O2018" i="5"/>
  <c r="N1995" i="5"/>
  <c r="P1995" i="5"/>
  <c r="P2075" i="5"/>
  <c r="N2075" i="5"/>
  <c r="O2035" i="5"/>
  <c r="U2035" i="5"/>
  <c r="V2035" i="5" s="1"/>
  <c r="N2030" i="5"/>
  <c r="P2030" i="5"/>
  <c r="U1998" i="5"/>
  <c r="V1998" i="5" s="1"/>
  <c r="R1920" i="5"/>
  <c r="S1920" i="5" s="1"/>
  <c r="U1881" i="5"/>
  <c r="V1881" i="5" s="1"/>
  <c r="P1874" i="5"/>
  <c r="N1874" i="5"/>
  <c r="P1925" i="5"/>
  <c r="N1925" i="5"/>
  <c r="O1887" i="5"/>
  <c r="U1887" i="5"/>
  <c r="V1887" i="5" s="1"/>
  <c r="R1854" i="5"/>
  <c r="S1854" i="5" s="1"/>
  <c r="R1829" i="5"/>
  <c r="S1829" i="5" s="1"/>
  <c r="O1960" i="5"/>
  <c r="U1960" i="5"/>
  <c r="V1960" i="5" s="1"/>
  <c r="O1873" i="5"/>
  <c r="O1987" i="5"/>
  <c r="N1896" i="5"/>
  <c r="P1896" i="5"/>
  <c r="U2004" i="5"/>
  <c r="V2004" i="5" s="1"/>
  <c r="U1869" i="5"/>
  <c r="V1869" i="5" s="1"/>
  <c r="O1869" i="5"/>
  <c r="O1823" i="5"/>
  <c r="N2232" i="5"/>
  <c r="P2232" i="5"/>
  <c r="N2247" i="5"/>
  <c r="P2247" i="5"/>
  <c r="P2204" i="5"/>
  <c r="N2204" i="5"/>
  <c r="N2175" i="5"/>
  <c r="P2175" i="5"/>
  <c r="N2189" i="5"/>
  <c r="P2189" i="5"/>
  <c r="P2182" i="5"/>
  <c r="N2182" i="5"/>
  <c r="R2166" i="5"/>
  <c r="S2166" i="5" s="1"/>
  <c r="P2195" i="5"/>
  <c r="N2195" i="5"/>
  <c r="N2176" i="5"/>
  <c r="P2176" i="5"/>
  <c r="P2125" i="5"/>
  <c r="N2125" i="5"/>
  <c r="O2133" i="5"/>
  <c r="U2133" i="5"/>
  <c r="V2133" i="5" s="1"/>
  <c r="N2105" i="5"/>
  <c r="P2105" i="5"/>
  <c r="P2115" i="5"/>
  <c r="N2115" i="5"/>
  <c r="N2068" i="5"/>
  <c r="P2068" i="5"/>
  <c r="O2031" i="5"/>
  <c r="U2031" i="5"/>
  <c r="V2031" i="5" s="1"/>
  <c r="N2012" i="5"/>
  <c r="P2012" i="5"/>
  <c r="N1988" i="5"/>
  <c r="P1988" i="5"/>
  <c r="N2059" i="5"/>
  <c r="P2059" i="5"/>
  <c r="O2034" i="5"/>
  <c r="U2034" i="5"/>
  <c r="V2034" i="5" s="1"/>
  <c r="N2014" i="5"/>
  <c r="P2014" i="5"/>
  <c r="O2041" i="5"/>
  <c r="N1954" i="5"/>
  <c r="P1954" i="5"/>
  <c r="N1916" i="5"/>
  <c r="P1916" i="5"/>
  <c r="O1992" i="5"/>
  <c r="N1930" i="5"/>
  <c r="P1930" i="5"/>
  <c r="P1921" i="5"/>
  <c r="N1921" i="5"/>
  <c r="P1997" i="5"/>
  <c r="N1997" i="5"/>
  <c r="N1962" i="5"/>
  <c r="P1962" i="5"/>
  <c r="P1897" i="5"/>
  <c r="N1897" i="5"/>
  <c r="O1841" i="5"/>
  <c r="U1841" i="5"/>
  <c r="V1841" i="5" s="1"/>
  <c r="N1821" i="5"/>
  <c r="P1821" i="5"/>
  <c r="N1963" i="5"/>
  <c r="P1963" i="5"/>
  <c r="U1913" i="5"/>
  <c r="V1913" i="5" s="1"/>
  <c r="O1913" i="5"/>
  <c r="R1857" i="5"/>
  <c r="S1857" i="5" s="1"/>
  <c r="N1812" i="5"/>
  <c r="P1812" i="5"/>
  <c r="N1895" i="5"/>
  <c r="P1895" i="5"/>
  <c r="O1882" i="5"/>
  <c r="U1882" i="5"/>
  <c r="V1882" i="5" s="1"/>
  <c r="P1844" i="5"/>
  <c r="N1844" i="5"/>
  <c r="N1824" i="5"/>
  <c r="P1824" i="5"/>
  <c r="P2266" i="5"/>
  <c r="N2266" i="5"/>
  <c r="P2257" i="5"/>
  <c r="N2257" i="5"/>
  <c r="N2235" i="5"/>
  <c r="P2235" i="5"/>
  <c r="N2213" i="5"/>
  <c r="P2213" i="5"/>
  <c r="N2198" i="5"/>
  <c r="P2198" i="5"/>
  <c r="O2239" i="5"/>
  <c r="U2239" i="5"/>
  <c r="V2239" i="5" s="1"/>
  <c r="U2243" i="5"/>
  <c r="V2243" i="5" s="1"/>
  <c r="O2243" i="5"/>
  <c r="O2156" i="5"/>
  <c r="U2156" i="5"/>
  <c r="V2156" i="5" s="1"/>
  <c r="P2148" i="5"/>
  <c r="N2148" i="5"/>
  <c r="N2092" i="5"/>
  <c r="P2092" i="5"/>
  <c r="N2070" i="5"/>
  <c r="P2070" i="5"/>
  <c r="N2221" i="5"/>
  <c r="P2221" i="5"/>
  <c r="P2164" i="5"/>
  <c r="N2164" i="5"/>
  <c r="N2150" i="5"/>
  <c r="P2150" i="5"/>
  <c r="N2193" i="5"/>
  <c r="P2193" i="5"/>
  <c r="N2162" i="5"/>
  <c r="P2162" i="5"/>
  <c r="P2140" i="5"/>
  <c r="N2140" i="5"/>
  <c r="P2188" i="5"/>
  <c r="N2188" i="5"/>
  <c r="O2060" i="5"/>
  <c r="U2060" i="5"/>
  <c r="V2060" i="5" s="1"/>
  <c r="N2139" i="5"/>
  <c r="P2139" i="5"/>
  <c r="N2033" i="5"/>
  <c r="P2033" i="5"/>
  <c r="N2013" i="5"/>
  <c r="P2013" i="5"/>
  <c r="P1958" i="5"/>
  <c r="N1958" i="5"/>
  <c r="P1929" i="5"/>
  <c r="N1929" i="5"/>
  <c r="O2029" i="5"/>
  <c r="U2029" i="5"/>
  <c r="V2029" i="5" s="1"/>
  <c r="P2024" i="5"/>
  <c r="N2024" i="5"/>
  <c r="O1964" i="5"/>
  <c r="U1964" i="5"/>
  <c r="V1964" i="5" s="1"/>
  <c r="P1926" i="5"/>
  <c r="N1926" i="5"/>
  <c r="O1993" i="5"/>
  <c r="O1955" i="5"/>
  <c r="U1955" i="5"/>
  <c r="V1955" i="5" s="1"/>
  <c r="O1879" i="5"/>
  <c r="U1879" i="5"/>
  <c r="V1879" i="5" s="1"/>
  <c r="P2002" i="5"/>
  <c r="N2002" i="5"/>
  <c r="N1932" i="5"/>
  <c r="P1932" i="5"/>
  <c r="R1900" i="5"/>
  <c r="S1900" i="5" s="1"/>
  <c r="P1871" i="5"/>
  <c r="N1871" i="5"/>
  <c r="N1864" i="5"/>
  <c r="P1864" i="5"/>
  <c r="O1855" i="5"/>
  <c r="U1855" i="5"/>
  <c r="V1855" i="5" s="1"/>
  <c r="N1818" i="5"/>
  <c r="P1818" i="5"/>
  <c r="O2044" i="5"/>
  <c r="U2044" i="5"/>
  <c r="V2044" i="5" s="1"/>
  <c r="U1907" i="5"/>
  <c r="V1907" i="5" s="1"/>
  <c r="N1825" i="5"/>
  <c r="P1825" i="5"/>
  <c r="N2255" i="5"/>
  <c r="P2255" i="5"/>
  <c r="R2181" i="5"/>
  <c r="S2181" i="5" s="1"/>
  <c r="P2167" i="5"/>
  <c r="N2167" i="5"/>
  <c r="N2163" i="5"/>
  <c r="P2163" i="5"/>
  <c r="O2099" i="5"/>
  <c r="U2099" i="5"/>
  <c r="V2099" i="5" s="1"/>
  <c r="O2178" i="5"/>
  <c r="U2178" i="5"/>
  <c r="V2178" i="5" s="1"/>
  <c r="R2136" i="5"/>
  <c r="S2136" i="5" s="1"/>
  <c r="N2250" i="5"/>
  <c r="P2250" i="5"/>
  <c r="P2128" i="5"/>
  <c r="N2128" i="5"/>
  <c r="O2111" i="5"/>
  <c r="U2111" i="5"/>
  <c r="V2111" i="5" s="1"/>
  <c r="N2146" i="5"/>
  <c r="P2146" i="5"/>
  <c r="N2102" i="5"/>
  <c r="P2102" i="5"/>
  <c r="N2190" i="5"/>
  <c r="P2190" i="5"/>
  <c r="O2149" i="5"/>
  <c r="U2149" i="5"/>
  <c r="V2149" i="5" s="1"/>
  <c r="P2094" i="5"/>
  <c r="N2094" i="5"/>
  <c r="N2106" i="5"/>
  <c r="P2106" i="5"/>
  <c r="N2058" i="5"/>
  <c r="P2058" i="5"/>
  <c r="N2101" i="5"/>
  <c r="P2101" i="5"/>
  <c r="N2045" i="5"/>
  <c r="P2045" i="5"/>
  <c r="N2023" i="5"/>
  <c r="P2023" i="5"/>
  <c r="N2006" i="5"/>
  <c r="P2006" i="5"/>
  <c r="N2108" i="5"/>
  <c r="P2108" i="5"/>
  <c r="O2065" i="5"/>
  <c r="P2042" i="5"/>
  <c r="N2042" i="5"/>
  <c r="O2028" i="5"/>
  <c r="U2028" i="5"/>
  <c r="V2028" i="5" s="1"/>
  <c r="O2037" i="5"/>
  <c r="U2037" i="5"/>
  <c r="V2037" i="5" s="1"/>
  <c r="R2010" i="5"/>
  <c r="S2010" i="5" s="1"/>
  <c r="N2020" i="5"/>
  <c r="P2020" i="5"/>
  <c r="N1941" i="5"/>
  <c r="P1941" i="5"/>
  <c r="N1919" i="5"/>
  <c r="P1919" i="5"/>
  <c r="P1939" i="5"/>
  <c r="N1939" i="5"/>
  <c r="P1918" i="5"/>
  <c r="N1918" i="5"/>
  <c r="U2011" i="5"/>
  <c r="V2011" i="5" s="1"/>
  <c r="O2011" i="5"/>
  <c r="N1914" i="5"/>
  <c r="P1914" i="5"/>
  <c r="U1917" i="5"/>
  <c r="V1917" i="5" s="1"/>
  <c r="N1892" i="5"/>
  <c r="P1892" i="5"/>
  <c r="N1862" i="5"/>
  <c r="P1862" i="5"/>
  <c r="N1836" i="5"/>
  <c r="P1836" i="5"/>
  <c r="N1883" i="5"/>
  <c r="P1883" i="5"/>
  <c r="O1863" i="5"/>
  <c r="U1863" i="5"/>
  <c r="V1863" i="5" s="1"/>
  <c r="N1947" i="5"/>
  <c r="P1947" i="5"/>
  <c r="O1956" i="5"/>
  <c r="N1839" i="5"/>
  <c r="P1839" i="5"/>
  <c r="U1822" i="5"/>
  <c r="V1822" i="5" s="1"/>
  <c r="O1822" i="5"/>
  <c r="O1961" i="5"/>
  <c r="U1961" i="5"/>
  <c r="V1961" i="5" s="1"/>
  <c r="P1826" i="5"/>
  <c r="N1826" i="5"/>
  <c r="O2244" i="5"/>
  <c r="U2244" i="5"/>
  <c r="V2244" i="5" s="1"/>
  <c r="O2185" i="5"/>
  <c r="U2185" i="5"/>
  <c r="V2185" i="5" s="1"/>
  <c r="O2205" i="5"/>
  <c r="U2205" i="5"/>
  <c r="V2205" i="5" s="1"/>
  <c r="N2144" i="5"/>
  <c r="P2144" i="5"/>
  <c r="N2165" i="5"/>
  <c r="P2165" i="5"/>
  <c r="U2107" i="5"/>
  <c r="V2107" i="5" s="1"/>
  <c r="O2107" i="5"/>
  <c r="O2043" i="5"/>
  <c r="U2043" i="5"/>
  <c r="V2043" i="5" s="1"/>
  <c r="P2095" i="5"/>
  <c r="N2095" i="5"/>
  <c r="N2047" i="5"/>
  <c r="P2047" i="5"/>
  <c r="O2032" i="5"/>
  <c r="U2032" i="5"/>
  <c r="V2032" i="5" s="1"/>
  <c r="P1957" i="5"/>
  <c r="N1957" i="5"/>
  <c r="P2016" i="5"/>
  <c r="N2016" i="5"/>
  <c r="N2036" i="5"/>
  <c r="P2036" i="5"/>
  <c r="O1908" i="5"/>
  <c r="U1993" i="5"/>
  <c r="V1993" i="5" s="1"/>
  <c r="L1910" i="5"/>
  <c r="P1996" i="5"/>
  <c r="N1996" i="5"/>
  <c r="P1943" i="5"/>
  <c r="N1943" i="5"/>
  <c r="N1936" i="5"/>
  <c r="P1936" i="5"/>
  <c r="N1927" i="5"/>
  <c r="P1927" i="5"/>
  <c r="N1899" i="5"/>
  <c r="P1899" i="5"/>
  <c r="N1933" i="5"/>
  <c r="P1933" i="5"/>
  <c r="O1852" i="5"/>
  <c r="U1852" i="5"/>
  <c r="V1852" i="5" s="1"/>
  <c r="N1856" i="5"/>
  <c r="P1856" i="5"/>
  <c r="N1845" i="5"/>
  <c r="P1845" i="5"/>
  <c r="N1915" i="5"/>
  <c r="P1915" i="5"/>
  <c r="P1889" i="5"/>
  <c r="N1889" i="5"/>
  <c r="N1838" i="5"/>
  <c r="P1838" i="5"/>
  <c r="N1884" i="5"/>
  <c r="P1884" i="5"/>
  <c r="P1837" i="5"/>
  <c r="N1837" i="5"/>
  <c r="U1901" i="5"/>
  <c r="V1901" i="5" s="1"/>
  <c r="O1901" i="5"/>
  <c r="P1834" i="5"/>
  <c r="N1834" i="5"/>
  <c r="U1880" i="5"/>
  <c r="V1880" i="5" s="1"/>
  <c r="O1880" i="5"/>
  <c r="P1809" i="5"/>
  <c r="N1809" i="5"/>
  <c r="U1808" i="5"/>
  <c r="V1808" i="5" s="1"/>
  <c r="R1809" i="5"/>
  <c r="S1809" i="5" s="1"/>
  <c r="P1810" i="5"/>
  <c r="N1810" i="5"/>
  <c r="O1805" i="5"/>
  <c r="U1805" i="5"/>
  <c r="V1805" i="5" s="1"/>
  <c r="N1804" i="5"/>
  <c r="P1804" i="5"/>
  <c r="N1807" i="5"/>
  <c r="P1807" i="5"/>
  <c r="U1803" i="5"/>
  <c r="V1803" i="5" s="1"/>
  <c r="O1806" i="5"/>
  <c r="O2168" i="5" l="1"/>
  <c r="U2554" i="5"/>
  <c r="V2554" i="5" s="1"/>
  <c r="O2506" i="5"/>
  <c r="O2448" i="5"/>
  <c r="U2426" i="5"/>
  <c r="V2426" i="5" s="1"/>
  <c r="O2072" i="5"/>
  <c r="U1833" i="5"/>
  <c r="V1833" i="5" s="1"/>
  <c r="O2289" i="5"/>
  <c r="O2554" i="5"/>
  <c r="O2409" i="5"/>
  <c r="O2616" i="5"/>
  <c r="O2368" i="5"/>
  <c r="U2614" i="5"/>
  <c r="V2614" i="5" s="1"/>
  <c r="O2575" i="5"/>
  <c r="O2551" i="5"/>
  <c r="U2400" i="5"/>
  <c r="V2400" i="5" s="1"/>
  <c r="O2354" i="5"/>
  <c r="O2121" i="5"/>
  <c r="O2512" i="5"/>
  <c r="O2341" i="5"/>
  <c r="U2617" i="5"/>
  <c r="V2617" i="5" s="1"/>
  <c r="U2120" i="5"/>
  <c r="V2120" i="5" s="1"/>
  <c r="N2351" i="5"/>
  <c r="U2351" i="5" s="1"/>
  <c r="V2351" i="5" s="1"/>
  <c r="O2464" i="5"/>
  <c r="U2519" i="5"/>
  <c r="V2519" i="5" s="1"/>
  <c r="O2401" i="5"/>
  <c r="U2484" i="5"/>
  <c r="V2484" i="5" s="1"/>
  <c r="P2502" i="5"/>
  <c r="O2502" i="5" s="1"/>
  <c r="O2357" i="5"/>
  <c r="U2544" i="5"/>
  <c r="V2544" i="5" s="1"/>
  <c r="U2481" i="5"/>
  <c r="V2481" i="5" s="1"/>
  <c r="U2361" i="5"/>
  <c r="V2361" i="5" s="1"/>
  <c r="U2168" i="5"/>
  <c r="V2168" i="5" s="1"/>
  <c r="U2506" i="5"/>
  <c r="V2506" i="5" s="1"/>
  <c r="U2448" i="5"/>
  <c r="V2448" i="5" s="1"/>
  <c r="N2470" i="5"/>
  <c r="U2470" i="5" s="1"/>
  <c r="V2470" i="5" s="1"/>
  <c r="U2433" i="5"/>
  <c r="V2433" i="5" s="1"/>
  <c r="O2236" i="5"/>
  <c r="N2347" i="5"/>
  <c r="U2347" i="5" s="1"/>
  <c r="V2347" i="5" s="1"/>
  <c r="P2527" i="5"/>
  <c r="O2527" i="5" s="1"/>
  <c r="N2015" i="5"/>
  <c r="U2015" i="5" s="1"/>
  <c r="V2015" i="5" s="1"/>
  <c r="O2378" i="5"/>
  <c r="O2610" i="5"/>
  <c r="O2389" i="5"/>
  <c r="P2594" i="5"/>
  <c r="O2594" i="5" s="1"/>
  <c r="N2556" i="5"/>
  <c r="U2556" i="5" s="1"/>
  <c r="V2556" i="5" s="1"/>
  <c r="U2609" i="5"/>
  <c r="V2609" i="5" s="1"/>
  <c r="O2173" i="5"/>
  <c r="U2122" i="5"/>
  <c r="V2122" i="5" s="1"/>
  <c r="U2497" i="5"/>
  <c r="V2497" i="5" s="1"/>
  <c r="O2453" i="5"/>
  <c r="O2303" i="5"/>
  <c r="O2230" i="5"/>
  <c r="U2237" i="5"/>
  <c r="V2237" i="5" s="1"/>
  <c r="U2565" i="5"/>
  <c r="V2565" i="5" s="1"/>
  <c r="O2356" i="5"/>
  <c r="N2599" i="5"/>
  <c r="O2599" i="5" s="1"/>
  <c r="P2460" i="5"/>
  <c r="U2460" i="5" s="1"/>
  <c r="V2460" i="5" s="1"/>
  <c r="U2629" i="5"/>
  <c r="V2629" i="5" s="1"/>
  <c r="O2412" i="5"/>
  <c r="U2523" i="5"/>
  <c r="V2523" i="5" s="1"/>
  <c r="O2530" i="5"/>
  <c r="O2520" i="5"/>
  <c r="O2568" i="5"/>
  <c r="U2576" i="5"/>
  <c r="V2576" i="5" s="1"/>
  <c r="O2582" i="5"/>
  <c r="U2628" i="5"/>
  <c r="V2628" i="5" s="1"/>
  <c r="U2477" i="5"/>
  <c r="V2477" i="5" s="1"/>
  <c r="O2477" i="5"/>
  <c r="O2518" i="5"/>
  <c r="O2535" i="5"/>
  <c r="U2445" i="5"/>
  <c r="V2445" i="5" s="1"/>
  <c r="O2321" i="5"/>
  <c r="O2172" i="5"/>
  <c r="O2598" i="5"/>
  <c r="U2019" i="5"/>
  <c r="V2019" i="5" s="1"/>
  <c r="O2430" i="5"/>
  <c r="U1867" i="5"/>
  <c r="V1867" i="5" s="1"/>
  <c r="O1973" i="5"/>
  <c r="O2355" i="5"/>
  <c r="O2431" i="5"/>
  <c r="P2408" i="5"/>
  <c r="O2408" i="5" s="1"/>
  <c r="O2517" i="5"/>
  <c r="U1911" i="5"/>
  <c r="V1911" i="5" s="1"/>
  <c r="U2048" i="5"/>
  <c r="V2048" i="5" s="1"/>
  <c r="U2507" i="5"/>
  <c r="V2507" i="5" s="1"/>
  <c r="U2611" i="5"/>
  <c r="V2611" i="5" s="1"/>
  <c r="O2611" i="5"/>
  <c r="U2268" i="5"/>
  <c r="V2268" i="5" s="1"/>
  <c r="U1969" i="5"/>
  <c r="V1969" i="5" s="1"/>
  <c r="U2412" i="5"/>
  <c r="V2412" i="5" s="1"/>
  <c r="U2514" i="5"/>
  <c r="V2514" i="5" s="1"/>
  <c r="O2618" i="5"/>
  <c r="P2532" i="5"/>
  <c r="U2532" i="5" s="1"/>
  <c r="V2532" i="5" s="1"/>
  <c r="U2345" i="5"/>
  <c r="V2345" i="5" s="1"/>
  <c r="P2483" i="5"/>
  <c r="U2483" i="5" s="1"/>
  <c r="V2483" i="5" s="1"/>
  <c r="P2492" i="5"/>
  <c r="U2492" i="5" s="1"/>
  <c r="V2492" i="5" s="1"/>
  <c r="U2389" i="5"/>
  <c r="V2389" i="5" s="1"/>
  <c r="U2603" i="5"/>
  <c r="V2603" i="5" s="1"/>
  <c r="N2491" i="5"/>
  <c r="U2491" i="5" s="1"/>
  <c r="V2491" i="5" s="1"/>
  <c r="U2322" i="5"/>
  <c r="V2322" i="5" s="1"/>
  <c r="U2579" i="5"/>
  <c r="V2579" i="5" s="1"/>
  <c r="N2631" i="5"/>
  <c r="U2631" i="5" s="1"/>
  <c r="V2631" i="5" s="1"/>
  <c r="U2407" i="5"/>
  <c r="V2407" i="5" s="1"/>
  <c r="U2405" i="5"/>
  <c r="V2405" i="5" s="1"/>
  <c r="O2521" i="5"/>
  <c r="U2646" i="5"/>
  <c r="V2646" i="5" s="1"/>
  <c r="U2331" i="5"/>
  <c r="V2331" i="5" s="1"/>
  <c r="U2455" i="5"/>
  <c r="V2455" i="5" s="1"/>
  <c r="N2323" i="5"/>
  <c r="P2435" i="5"/>
  <c r="O2435" i="5" s="1"/>
  <c r="U2597" i="5"/>
  <c r="V2597" i="5" s="1"/>
  <c r="U2601" i="5"/>
  <c r="V2601" i="5" s="1"/>
  <c r="U2398" i="5"/>
  <c r="V2398" i="5" s="1"/>
  <c r="U2367" i="5"/>
  <c r="V2367" i="5" s="1"/>
  <c r="O2479" i="5"/>
  <c r="O2086" i="5"/>
  <c r="P2585" i="5"/>
  <c r="O2585" i="5" s="1"/>
  <c r="U2595" i="5"/>
  <c r="V2595" i="5" s="1"/>
  <c r="U2353" i="5"/>
  <c r="V2353" i="5" s="1"/>
  <c r="O2523" i="5"/>
  <c r="O2116" i="5"/>
  <c r="O2090" i="5"/>
  <c r="U2131" i="5"/>
  <c r="V2131" i="5" s="1"/>
  <c r="O2628" i="5"/>
  <c r="O2169" i="5"/>
  <c r="U2169" i="5"/>
  <c r="V2169" i="5" s="1"/>
  <c r="O2596" i="5"/>
  <c r="U2596" i="5"/>
  <c r="V2596" i="5" s="1"/>
  <c r="U2112" i="5"/>
  <c r="V2112" i="5" s="1"/>
  <c r="P2471" i="5"/>
  <c r="O2471" i="5" s="1"/>
  <c r="O2511" i="5"/>
  <c r="O2588" i="5"/>
  <c r="O2605" i="5"/>
  <c r="U2348" i="5"/>
  <c r="V2348" i="5" s="1"/>
  <c r="O2083" i="5"/>
  <c r="O2141" i="5"/>
  <c r="P2473" i="5"/>
  <c r="O2473" i="5" s="1"/>
  <c r="U2461" i="5"/>
  <c r="V2461" i="5" s="1"/>
  <c r="U2377" i="5"/>
  <c r="V2377" i="5" s="1"/>
  <c r="U2288" i="5"/>
  <c r="V2288" i="5" s="1"/>
  <c r="O2559" i="5"/>
  <c r="P2638" i="5"/>
  <c r="O2638" i="5" s="1"/>
  <c r="U2550" i="5"/>
  <c r="V2550" i="5" s="1"/>
  <c r="O2331" i="5"/>
  <c r="P2626" i="5"/>
  <c r="N2626" i="5"/>
  <c r="U2548" i="5"/>
  <c r="V2548" i="5" s="1"/>
  <c r="O2548" i="5"/>
  <c r="O1903" i="5"/>
  <c r="O2434" i="5"/>
  <c r="O2338" i="5"/>
  <c r="U2622" i="5"/>
  <c r="V2622" i="5" s="1"/>
  <c r="O2622" i="5"/>
  <c r="U2567" i="5"/>
  <c r="V2567" i="5" s="1"/>
  <c r="O2567" i="5"/>
  <c r="U2561" i="5"/>
  <c r="V2561" i="5" s="1"/>
  <c r="O2508" i="5"/>
  <c r="P2421" i="5"/>
  <c r="O2421" i="5" s="1"/>
  <c r="O2441" i="5"/>
  <c r="O2380" i="5"/>
  <c r="U2380" i="5"/>
  <c r="V2380" i="5" s="1"/>
  <c r="O2370" i="5"/>
  <c r="O2362" i="5"/>
  <c r="O2361" i="5"/>
  <c r="U2333" i="5"/>
  <c r="V2333" i="5" s="1"/>
  <c r="O2318" i="5"/>
  <c r="U2317" i="5"/>
  <c r="V2317" i="5" s="1"/>
  <c r="O2301" i="5"/>
  <c r="O2385" i="5"/>
  <c r="U2385" i="5"/>
  <c r="V2385" i="5" s="1"/>
  <c r="O2472" i="5"/>
  <c r="U2472" i="5"/>
  <c r="V2472" i="5" s="1"/>
  <c r="U2294" i="5"/>
  <c r="V2294" i="5" s="1"/>
  <c r="U2572" i="5"/>
  <c r="V2572" i="5" s="1"/>
  <c r="O2375" i="5"/>
  <c r="O2459" i="5"/>
  <c r="U2490" i="5"/>
  <c r="V2490" i="5" s="1"/>
  <c r="U2295" i="5"/>
  <c r="V2295" i="5" s="1"/>
  <c r="O2358" i="5"/>
  <c r="U2422" i="5"/>
  <c r="V2422" i="5" s="1"/>
  <c r="O2332" i="5"/>
  <c r="U2573" i="5"/>
  <c r="V2573" i="5" s="1"/>
  <c r="O2564" i="5"/>
  <c r="U2591" i="5"/>
  <c r="V2591" i="5" s="1"/>
  <c r="O2352" i="5"/>
  <c r="O2399" i="5"/>
  <c r="U2587" i="5"/>
  <c r="V2587" i="5" s="1"/>
  <c r="U2590" i="5"/>
  <c r="V2590" i="5" s="1"/>
  <c r="O2315" i="5"/>
  <c r="U2299" i="5"/>
  <c r="V2299" i="5" s="1"/>
  <c r="U2423" i="5"/>
  <c r="V2423" i="5" s="1"/>
  <c r="O2337" i="5"/>
  <c r="U2363" i="5"/>
  <c r="V2363" i="5" s="1"/>
  <c r="U2457" i="5"/>
  <c r="V2457" i="5" s="1"/>
  <c r="U2465" i="5"/>
  <c r="V2465" i="5" s="1"/>
  <c r="U2478" i="5"/>
  <c r="V2478" i="5" s="1"/>
  <c r="U2542" i="5"/>
  <c r="V2542" i="5" s="1"/>
  <c r="U2539" i="5"/>
  <c r="V2539" i="5" s="1"/>
  <c r="U2637" i="5"/>
  <c r="V2637" i="5" s="1"/>
  <c r="O2604" i="5"/>
  <c r="P2602" i="5"/>
  <c r="U2602" i="5" s="1"/>
  <c r="V2602" i="5" s="1"/>
  <c r="O2504" i="5"/>
  <c r="O2480" i="5"/>
  <c r="O2601" i="5"/>
  <c r="U2450" i="5"/>
  <c r="V2450" i="5" s="1"/>
  <c r="O2619" i="5"/>
  <c r="U2619" i="5"/>
  <c r="V2619" i="5" s="1"/>
  <c r="U2311" i="5"/>
  <c r="V2311" i="5" s="1"/>
  <c r="U2370" i="5"/>
  <c r="V2370" i="5" s="1"/>
  <c r="U2444" i="5"/>
  <c r="V2444" i="5" s="1"/>
  <c r="O2348" i="5"/>
  <c r="U2508" i="5"/>
  <c r="V2508" i="5" s="1"/>
  <c r="O2458" i="5"/>
  <c r="O2424" i="5"/>
  <c r="O2427" i="5"/>
  <c r="U2531" i="5"/>
  <c r="V2531" i="5" s="1"/>
  <c r="O2545" i="5"/>
  <c r="O2624" i="5"/>
  <c r="O2284" i="5"/>
  <c r="U2342" i="5"/>
  <c r="V2342" i="5" s="1"/>
  <c r="O2306" i="5"/>
  <c r="O2469" i="5"/>
  <c r="O2496" i="5"/>
  <c r="U2547" i="5"/>
  <c r="V2547" i="5" s="1"/>
  <c r="U2612" i="5"/>
  <c r="V2612" i="5" s="1"/>
  <c r="O2410" i="5"/>
  <c r="O2571" i="5"/>
  <c r="U2627" i="5"/>
  <c r="V2627" i="5" s="1"/>
  <c r="U2314" i="5"/>
  <c r="V2314" i="5" s="1"/>
  <c r="U2343" i="5"/>
  <c r="V2343" i="5" s="1"/>
  <c r="U2503" i="5"/>
  <c r="V2503" i="5" s="1"/>
  <c r="U2578" i="5"/>
  <c r="V2578" i="5" s="1"/>
  <c r="U2290" i="5"/>
  <c r="V2290" i="5" s="1"/>
  <c r="U2493" i="5"/>
  <c r="V2493" i="5" s="1"/>
  <c r="U2581" i="5"/>
  <c r="V2581" i="5" s="1"/>
  <c r="U2313" i="5"/>
  <c r="V2313" i="5" s="1"/>
  <c r="U2366" i="5"/>
  <c r="V2366" i="5" s="1"/>
  <c r="U2615" i="5"/>
  <c r="V2615" i="5" s="1"/>
  <c r="U2386" i="5"/>
  <c r="V2386" i="5" s="1"/>
  <c r="O2386" i="5"/>
  <c r="O2623" i="5"/>
  <c r="U2623" i="5"/>
  <c r="V2623" i="5" s="1"/>
  <c r="U2325" i="5"/>
  <c r="V2325" i="5" s="1"/>
  <c r="O2443" i="5"/>
  <c r="U2437" i="5"/>
  <c r="V2437" i="5" s="1"/>
  <c r="U2495" i="5"/>
  <c r="V2495" i="5" s="1"/>
  <c r="O2411" i="5"/>
  <c r="O2446" i="5"/>
  <c r="O2528" i="5"/>
  <c r="O2529" i="5"/>
  <c r="O2439" i="5"/>
  <c r="U2442" i="5"/>
  <c r="V2442" i="5" s="1"/>
  <c r="O2402" i="5"/>
  <c r="O2515" i="5"/>
  <c r="U2391" i="5"/>
  <c r="V2391" i="5" s="1"/>
  <c r="O2555" i="5"/>
  <c r="U2555" i="5"/>
  <c r="V2555" i="5" s="1"/>
  <c r="O2620" i="5"/>
  <c r="U2620" i="5"/>
  <c r="V2620" i="5" s="1"/>
  <c r="O2373" i="5"/>
  <c r="U2373" i="5"/>
  <c r="V2373" i="5" s="1"/>
  <c r="U2549" i="5"/>
  <c r="V2549" i="5" s="1"/>
  <c r="U2454" i="5"/>
  <c r="V2454" i="5" s="1"/>
  <c r="U2438" i="5"/>
  <c r="V2438" i="5" s="1"/>
  <c r="U2365" i="5"/>
  <c r="V2365" i="5" s="1"/>
  <c r="U2382" i="5"/>
  <c r="V2382" i="5" s="1"/>
  <c r="U2499" i="5"/>
  <c r="V2499" i="5" s="1"/>
  <c r="U2396" i="5"/>
  <c r="V2396" i="5" s="1"/>
  <c r="U2383" i="5"/>
  <c r="V2383" i="5" s="1"/>
  <c r="U2283" i="5"/>
  <c r="V2283" i="5" s="1"/>
  <c r="U2487" i="5"/>
  <c r="V2487" i="5" s="1"/>
  <c r="U2475" i="5"/>
  <c r="V2475" i="5" s="1"/>
  <c r="U2558" i="5"/>
  <c r="V2558" i="5" s="1"/>
  <c r="U2552" i="5"/>
  <c r="V2552" i="5" s="1"/>
  <c r="U2436" i="5"/>
  <c r="V2436" i="5" s="1"/>
  <c r="U2489" i="5"/>
  <c r="V2489" i="5" s="1"/>
  <c r="U2337" i="5"/>
  <c r="V2337" i="5" s="1"/>
  <c r="U2374" i="5"/>
  <c r="V2374" i="5" s="1"/>
  <c r="U2279" i="5"/>
  <c r="V2279" i="5" s="1"/>
  <c r="U2589" i="5"/>
  <c r="V2589" i="5" s="1"/>
  <c r="U2498" i="5"/>
  <c r="V2498" i="5" s="1"/>
  <c r="U2586" i="5"/>
  <c r="V2586" i="5" s="1"/>
  <c r="U2648" i="5"/>
  <c r="V2648" i="5" s="1"/>
  <c r="U2583" i="5"/>
  <c r="V2583" i="5" s="1"/>
  <c r="U2513" i="5"/>
  <c r="V2513" i="5" s="1"/>
  <c r="U2302" i="5"/>
  <c r="V2302" i="5" s="1"/>
  <c r="U2425" i="5"/>
  <c r="V2425" i="5" s="1"/>
  <c r="U2417" i="5"/>
  <c r="V2417" i="5" s="1"/>
  <c r="U2344" i="5"/>
  <c r="V2344" i="5" s="1"/>
  <c r="U2309" i="5"/>
  <c r="V2309" i="5" s="1"/>
  <c r="U2580" i="5"/>
  <c r="V2580" i="5" s="1"/>
  <c r="U2606" i="5"/>
  <c r="V2606" i="5" s="1"/>
  <c r="U2621" i="5"/>
  <c r="V2621" i="5" s="1"/>
  <c r="U2282" i="5"/>
  <c r="V2282" i="5" s="1"/>
  <c r="U2306" i="5"/>
  <c r="V2306" i="5" s="1"/>
  <c r="U2359" i="5"/>
  <c r="V2359" i="5" s="1"/>
  <c r="U2371" i="5"/>
  <c r="V2371" i="5" s="1"/>
  <c r="U2557" i="5"/>
  <c r="V2557" i="5" s="1"/>
  <c r="U2320" i="5"/>
  <c r="V2320" i="5" s="1"/>
  <c r="U2560" i="5"/>
  <c r="V2560" i="5" s="1"/>
  <c r="U2644" i="5"/>
  <c r="V2644" i="5" s="1"/>
  <c r="U2608" i="5"/>
  <c r="V2608" i="5" s="1"/>
  <c r="O2579" i="5"/>
  <c r="O2603" i="5"/>
  <c r="U2577" i="5"/>
  <c r="V2577" i="5" s="1"/>
  <c r="U2564" i="5"/>
  <c r="V2564" i="5" s="1"/>
  <c r="O2597" i="5"/>
  <c r="U2624" i="5"/>
  <c r="V2624" i="5" s="1"/>
  <c r="U2571" i="5"/>
  <c r="V2571" i="5" s="1"/>
  <c r="U2604" i="5"/>
  <c r="V2604" i="5" s="1"/>
  <c r="U2618" i="5"/>
  <c r="V2618" i="5" s="1"/>
  <c r="U2559" i="5"/>
  <c r="V2559" i="5" s="1"/>
  <c r="U2588" i="5"/>
  <c r="V2588" i="5" s="1"/>
  <c r="U2605" i="5"/>
  <c r="V2605" i="5" s="1"/>
  <c r="U2642" i="5"/>
  <c r="V2642" i="5" s="1"/>
  <c r="U2639" i="5"/>
  <c r="V2639" i="5" s="1"/>
  <c r="U2613" i="5"/>
  <c r="V2613" i="5" s="1"/>
  <c r="U2633" i="5"/>
  <c r="V2633" i="5" s="1"/>
  <c r="U2434" i="5"/>
  <c r="V2434" i="5" s="1"/>
  <c r="U2459" i="5"/>
  <c r="V2459" i="5" s="1"/>
  <c r="U2443" i="5"/>
  <c r="V2443" i="5" s="1"/>
  <c r="U2411" i="5"/>
  <c r="V2411" i="5" s="1"/>
  <c r="U2446" i="5"/>
  <c r="V2446" i="5" s="1"/>
  <c r="U2528" i="5"/>
  <c r="V2528" i="5" s="1"/>
  <c r="U2388" i="5"/>
  <c r="V2388" i="5" s="1"/>
  <c r="U2420" i="5"/>
  <c r="V2420" i="5" s="1"/>
  <c r="U2447" i="5"/>
  <c r="V2447" i="5" s="1"/>
  <c r="U2516" i="5"/>
  <c r="V2516" i="5" s="1"/>
  <c r="U2529" i="5"/>
  <c r="V2529" i="5" s="1"/>
  <c r="U2504" i="5"/>
  <c r="V2504" i="5" s="1"/>
  <c r="U2480" i="5"/>
  <c r="V2480" i="5" s="1"/>
  <c r="U2474" i="5"/>
  <c r="V2474" i="5" s="1"/>
  <c r="U2458" i="5"/>
  <c r="V2458" i="5" s="1"/>
  <c r="U2424" i="5"/>
  <c r="V2424" i="5" s="1"/>
  <c r="U2427" i="5"/>
  <c r="V2427" i="5" s="1"/>
  <c r="U2545" i="5"/>
  <c r="V2545" i="5" s="1"/>
  <c r="U2469" i="5"/>
  <c r="V2469" i="5" s="1"/>
  <c r="U2496" i="5"/>
  <c r="V2496" i="5" s="1"/>
  <c r="U2399" i="5"/>
  <c r="V2399" i="5" s="1"/>
  <c r="U2410" i="5"/>
  <c r="V2410" i="5" s="1"/>
  <c r="U2441" i="5"/>
  <c r="V2441" i="5" s="1"/>
  <c r="U2486" i="5"/>
  <c r="V2486" i="5" s="1"/>
  <c r="O2444" i="5"/>
  <c r="U2522" i="5"/>
  <c r="V2522" i="5" s="1"/>
  <c r="U2468" i="5"/>
  <c r="V2468" i="5" s="1"/>
  <c r="U2419" i="5"/>
  <c r="V2419" i="5" s="1"/>
  <c r="U2543" i="5"/>
  <c r="V2543" i="5" s="1"/>
  <c r="U2500" i="5"/>
  <c r="V2500" i="5" s="1"/>
  <c r="U2394" i="5"/>
  <c r="V2394" i="5" s="1"/>
  <c r="U2404" i="5"/>
  <c r="V2404" i="5" s="1"/>
  <c r="U2510" i="5"/>
  <c r="V2510" i="5" s="1"/>
  <c r="U2439" i="5"/>
  <c r="V2439" i="5" s="1"/>
  <c r="U2403" i="5"/>
  <c r="V2403" i="5" s="1"/>
  <c r="U2402" i="5"/>
  <c r="V2402" i="5" s="1"/>
  <c r="U2515" i="5"/>
  <c r="V2515" i="5" s="1"/>
  <c r="U2397" i="5"/>
  <c r="V2397" i="5" s="1"/>
  <c r="U2375" i="5"/>
  <c r="V2375" i="5" s="1"/>
  <c r="U2376" i="5"/>
  <c r="V2376" i="5" s="1"/>
  <c r="O2374" i="5"/>
  <c r="U2364" i="5"/>
  <c r="V2364" i="5" s="1"/>
  <c r="U2362" i="5"/>
  <c r="V2362" i="5" s="1"/>
  <c r="O2359" i="5"/>
  <c r="U2358" i="5"/>
  <c r="V2358" i="5" s="1"/>
  <c r="U2352" i="5"/>
  <c r="V2352" i="5" s="1"/>
  <c r="U2338" i="5"/>
  <c r="V2338" i="5" s="1"/>
  <c r="U2336" i="5"/>
  <c r="V2336" i="5" s="1"/>
  <c r="U2332" i="5"/>
  <c r="V2332" i="5" s="1"/>
  <c r="U2329" i="5"/>
  <c r="V2329" i="5" s="1"/>
  <c r="U2326" i="5"/>
  <c r="V2326" i="5" s="1"/>
  <c r="U2324" i="5"/>
  <c r="V2324" i="5" s="1"/>
  <c r="O2317" i="5"/>
  <c r="U2315" i="5"/>
  <c r="V2315" i="5" s="1"/>
  <c r="U2318" i="5"/>
  <c r="V2318" i="5" s="1"/>
  <c r="U2312" i="5"/>
  <c r="V2312" i="5" s="1"/>
  <c r="O2311" i="5"/>
  <c r="U2305" i="5"/>
  <c r="V2305" i="5" s="1"/>
  <c r="U2301" i="5"/>
  <c r="V2301" i="5" s="1"/>
  <c r="U2296" i="5"/>
  <c r="V2296" i="5" s="1"/>
  <c r="U2284" i="5"/>
  <c r="V2284" i="5" s="1"/>
  <c r="O2531" i="5"/>
  <c r="O2342" i="5"/>
  <c r="O2547" i="5"/>
  <c r="O2612" i="5"/>
  <c r="O2336" i="5"/>
  <c r="O2367" i="5"/>
  <c r="O2627" i="5"/>
  <c r="O2314" i="5"/>
  <c r="O2343" i="5"/>
  <c r="O2503" i="5"/>
  <c r="O2578" i="5"/>
  <c r="O2290" i="5"/>
  <c r="O2493" i="5"/>
  <c r="O2581" i="5"/>
  <c r="O2313" i="5"/>
  <c r="O2366" i="5"/>
  <c r="O2615" i="5"/>
  <c r="O2309" i="5"/>
  <c r="O2329" i="5"/>
  <c r="O2364" i="5"/>
  <c r="O2522" i="5"/>
  <c r="O2580" i="5"/>
  <c r="O2606" i="5"/>
  <c r="O2621" i="5"/>
  <c r="O2282" i="5"/>
  <c r="O2468" i="5"/>
  <c r="O2595" i="5"/>
  <c r="O2371" i="5"/>
  <c r="O2394" i="5"/>
  <c r="O2557" i="5"/>
  <c r="O2561" i="5"/>
  <c r="O2305" i="5"/>
  <c r="O2510" i="5"/>
  <c r="O2403" i="5"/>
  <c r="O2320" i="5"/>
  <c r="O2397" i="5"/>
  <c r="O2425" i="5"/>
  <c r="O2558" i="5"/>
  <c r="O2417" i="5"/>
  <c r="O2489" i="5"/>
  <c r="O2454" i="5"/>
  <c r="O2552" i="5"/>
  <c r="O2436" i="5"/>
  <c r="N2064" i="5"/>
  <c r="O2064" i="5" s="1"/>
  <c r="O2294" i="5"/>
  <c r="O2572" i="5"/>
  <c r="O2344" i="5"/>
  <c r="O2490" i="5"/>
  <c r="O2589" i="5"/>
  <c r="O2295" i="5"/>
  <c r="O2422" i="5"/>
  <c r="O2498" i="5"/>
  <c r="O2573" i="5"/>
  <c r="O2586" i="5"/>
  <c r="O2591" i="5"/>
  <c r="O2296" i="5"/>
  <c r="O2376" i="5"/>
  <c r="O2587" i="5"/>
  <c r="O2590" i="5"/>
  <c r="O2299" i="5"/>
  <c r="O2423" i="5"/>
  <c r="O2363" i="5"/>
  <c r="O2457" i="5"/>
  <c r="O2465" i="5"/>
  <c r="O2478" i="5"/>
  <c r="O2542" i="5"/>
  <c r="O2539" i="5"/>
  <c r="O2637" i="5"/>
  <c r="O2312" i="5"/>
  <c r="O2648" i="5"/>
  <c r="O2514" i="5"/>
  <c r="O2288" i="5"/>
  <c r="O2333" i="5"/>
  <c r="N2415" i="5"/>
  <c r="P2415" i="5"/>
  <c r="O2486" i="5"/>
  <c r="O2583" i="5"/>
  <c r="O2513" i="5"/>
  <c r="O2302" i="5"/>
  <c r="O2642" i="5"/>
  <c r="O2419" i="5"/>
  <c r="O2639" i="5"/>
  <c r="O2326" i="5"/>
  <c r="O2543" i="5"/>
  <c r="O2500" i="5"/>
  <c r="O2613" i="5"/>
  <c r="O2633" i="5"/>
  <c r="O2404" i="5"/>
  <c r="O2560" i="5"/>
  <c r="O2325" i="5"/>
  <c r="O2437" i="5"/>
  <c r="O2495" i="5"/>
  <c r="N2413" i="5"/>
  <c r="P2413" i="5"/>
  <c r="O2442" i="5"/>
  <c r="O2391" i="5"/>
  <c r="N2566" i="5"/>
  <c r="P2566" i="5"/>
  <c r="U2124" i="5"/>
  <c r="V2124" i="5" s="1"/>
  <c r="O2279" i="5"/>
  <c r="O2438" i="5"/>
  <c r="O2365" i="5"/>
  <c r="O2382" i="5"/>
  <c r="O2407" i="5"/>
  <c r="O2499" i="5"/>
  <c r="O2644" i="5"/>
  <c r="O2608" i="5"/>
  <c r="O2396" i="5"/>
  <c r="O2383" i="5"/>
  <c r="O2549" i="5"/>
  <c r="O2283" i="5"/>
  <c r="O2487" i="5"/>
  <c r="O2475" i="5"/>
  <c r="O2577" i="5"/>
  <c r="N2393" i="5"/>
  <c r="P2393" i="5"/>
  <c r="O2324" i="5"/>
  <c r="O2388" i="5"/>
  <c r="O2420" i="5"/>
  <c r="N2350" i="5"/>
  <c r="P2350" i="5"/>
  <c r="N2432" i="5"/>
  <c r="P2432" i="5"/>
  <c r="O2447" i="5"/>
  <c r="O2516" i="5"/>
  <c r="O2474" i="5"/>
  <c r="U2151" i="5"/>
  <c r="V2151" i="5" s="1"/>
  <c r="U1886" i="5"/>
  <c r="V1886" i="5" s="1"/>
  <c r="O1991" i="5"/>
  <c r="O2000" i="5"/>
  <c r="U2241" i="5"/>
  <c r="V2241" i="5" s="1"/>
  <c r="U2062" i="5"/>
  <c r="V2062" i="5" s="1"/>
  <c r="U2027" i="5"/>
  <c r="V2027" i="5" s="1"/>
  <c r="O2069" i="5"/>
  <c r="O2233" i="5"/>
  <c r="O1831" i="5"/>
  <c r="O2025" i="5"/>
  <c r="U2057" i="5"/>
  <c r="V2057" i="5" s="1"/>
  <c r="O2057" i="5"/>
  <c r="U1890" i="5"/>
  <c r="V1890" i="5" s="1"/>
  <c r="O1982" i="5"/>
  <c r="O2124" i="5"/>
  <c r="O1802" i="5"/>
  <c r="O1813" i="5"/>
  <c r="U2267" i="5"/>
  <c r="V2267" i="5" s="1"/>
  <c r="O2087" i="5"/>
  <c r="U1905" i="5"/>
  <c r="V1905" i="5" s="1"/>
  <c r="U2103" i="5"/>
  <c r="V2103" i="5" s="1"/>
  <c r="O2273" i="5"/>
  <c r="O1990" i="5"/>
  <c r="O1967" i="5"/>
  <c r="U1859" i="5"/>
  <c r="V1859" i="5" s="1"/>
  <c r="O2077" i="5"/>
  <c r="O2228" i="5"/>
  <c r="O2001" i="5"/>
  <c r="O1902" i="5"/>
  <c r="N1851" i="5"/>
  <c r="U1851" i="5" s="1"/>
  <c r="V1851" i="5" s="1"/>
  <c r="U2017" i="5"/>
  <c r="V2017" i="5" s="1"/>
  <c r="U2076" i="5"/>
  <c r="V2076" i="5" s="1"/>
  <c r="U2209" i="5"/>
  <c r="V2209" i="5" s="1"/>
  <c r="O1909" i="5"/>
  <c r="U2098" i="5"/>
  <c r="V2098" i="5" s="1"/>
  <c r="U2260" i="5"/>
  <c r="V2260" i="5" s="1"/>
  <c r="O2022" i="5"/>
  <c r="O1870" i="5"/>
  <c r="U2007" i="5"/>
  <c r="V2007" i="5" s="1"/>
  <c r="U2079" i="5"/>
  <c r="V2079" i="5" s="1"/>
  <c r="U2000" i="5"/>
  <c r="V2000" i="5" s="1"/>
  <c r="O2208" i="5"/>
  <c r="U2217" i="5"/>
  <c r="V2217" i="5" s="1"/>
  <c r="N2066" i="5"/>
  <c r="O2066" i="5" s="1"/>
  <c r="P2254" i="5"/>
  <c r="O2254" i="5" s="1"/>
  <c r="O1904" i="5"/>
  <c r="U2045" i="5"/>
  <c r="V2045" i="5" s="1"/>
  <c r="P1942" i="5"/>
  <c r="O1942" i="5" s="1"/>
  <c r="U2142" i="5"/>
  <c r="V2142" i="5" s="1"/>
  <c r="N2055" i="5"/>
  <c r="O2055" i="5" s="1"/>
  <c r="O2040" i="5"/>
  <c r="U1828" i="5"/>
  <c r="V1828" i="5" s="1"/>
  <c r="O1922" i="5"/>
  <c r="U1967" i="5"/>
  <c r="V1967" i="5" s="1"/>
  <c r="U1924" i="5"/>
  <c r="V1924" i="5" s="1"/>
  <c r="U1975" i="5"/>
  <c r="V1975" i="5" s="1"/>
  <c r="O1830" i="5"/>
  <c r="U1807" i="5"/>
  <c r="V1807" i="5" s="1"/>
  <c r="U1825" i="5"/>
  <c r="V1825" i="5" s="1"/>
  <c r="U1819" i="5"/>
  <c r="V1819" i="5" s="1"/>
  <c r="U2228" i="5"/>
  <c r="V2228" i="5" s="1"/>
  <c r="U1849" i="5"/>
  <c r="V1849" i="5" s="1"/>
  <c r="U1876" i="5"/>
  <c r="V1876" i="5" s="1"/>
  <c r="O1976" i="5"/>
  <c r="U2261" i="5"/>
  <c r="V2261" i="5" s="1"/>
  <c r="U1835" i="5"/>
  <c r="V1835" i="5" s="1"/>
  <c r="O1828" i="5"/>
  <c r="U1814" i="5"/>
  <c r="V1814" i="5" s="1"/>
  <c r="O2073" i="5"/>
  <c r="U1816" i="5"/>
  <c r="V1816" i="5" s="1"/>
  <c r="U2232" i="5"/>
  <c r="V2232" i="5" s="1"/>
  <c r="U2138" i="5"/>
  <c r="V2138" i="5" s="1"/>
  <c r="U2179" i="5"/>
  <c r="V2179" i="5" s="1"/>
  <c r="U2025" i="5"/>
  <c r="V2025" i="5" s="1"/>
  <c r="U2184" i="5"/>
  <c r="V2184" i="5" s="1"/>
  <c r="U2113" i="5"/>
  <c r="V2113" i="5" s="1"/>
  <c r="U2226" i="5"/>
  <c r="V2226" i="5" s="1"/>
  <c r="U2183" i="5"/>
  <c r="V2183" i="5" s="1"/>
  <c r="N1832" i="5"/>
  <c r="O1832" i="5" s="1"/>
  <c r="O1912" i="5"/>
  <c r="O1959" i="5"/>
  <c r="U1970" i="5"/>
  <c r="V1970" i="5" s="1"/>
  <c r="O1970" i="5"/>
  <c r="U1840" i="5"/>
  <c r="V1840" i="5" s="1"/>
  <c r="P2231" i="5"/>
  <c r="N2231" i="5"/>
  <c r="U2074" i="5"/>
  <c r="V2074" i="5" s="1"/>
  <c r="U2039" i="5"/>
  <c r="V2039" i="5" s="1"/>
  <c r="O2076" i="5"/>
  <c r="O2080" i="5"/>
  <c r="O1968" i="5"/>
  <c r="O2008" i="5"/>
  <c r="P2093" i="5"/>
  <c r="U2093" i="5" s="1"/>
  <c r="V2093" i="5" s="1"/>
  <c r="O2078" i="5"/>
  <c r="U2080" i="5"/>
  <c r="V2080" i="5" s="1"/>
  <c r="P2246" i="5"/>
  <c r="U2246" i="5" s="1"/>
  <c r="V2246" i="5" s="1"/>
  <c r="U1817" i="5"/>
  <c r="V1817" i="5" s="1"/>
  <c r="N1850" i="5"/>
  <c r="U1850" i="5" s="1"/>
  <c r="V1850" i="5" s="1"/>
  <c r="U2263" i="5"/>
  <c r="V2263" i="5" s="1"/>
  <c r="U2069" i="5"/>
  <c r="V2069" i="5" s="1"/>
  <c r="U1981" i="5"/>
  <c r="V1981" i="5" s="1"/>
  <c r="O1975" i="5"/>
  <c r="U1945" i="5"/>
  <c r="V1945" i="5" s="1"/>
  <c r="O1945" i="5"/>
  <c r="O2251" i="5"/>
  <c r="U2251" i="5"/>
  <c r="V2251" i="5" s="1"/>
  <c r="O2051" i="5"/>
  <c r="U1875" i="5"/>
  <c r="V1875" i="5" s="1"/>
  <c r="U1959" i="5"/>
  <c r="V1959" i="5" s="1"/>
  <c r="N2215" i="5"/>
  <c r="O2215" i="5" s="1"/>
  <c r="O2270" i="5"/>
  <c r="U1968" i="5"/>
  <c r="V1968" i="5" s="1"/>
  <c r="N2187" i="5"/>
  <c r="O2187" i="5" s="1"/>
  <c r="O1924" i="5"/>
  <c r="U1984" i="5"/>
  <c r="V1984" i="5" s="1"/>
  <c r="U2077" i="5"/>
  <c r="V2077" i="5" s="1"/>
  <c r="O2277" i="5"/>
  <c r="P1865" i="5"/>
  <c r="O1865" i="5" s="1"/>
  <c r="U1877" i="5"/>
  <c r="V1877" i="5" s="1"/>
  <c r="U1940" i="5"/>
  <c r="V1940" i="5" s="1"/>
  <c r="O2039" i="5"/>
  <c r="P2249" i="5"/>
  <c r="N2249" i="5"/>
  <c r="O2134" i="5"/>
  <c r="U2134" i="5"/>
  <c r="V2134" i="5" s="1"/>
  <c r="U1990" i="5"/>
  <c r="V1990" i="5" s="1"/>
  <c r="O2138" i="5"/>
  <c r="U2277" i="5"/>
  <c r="V2277" i="5" s="1"/>
  <c r="O2211" i="5"/>
  <c r="U2211" i="5"/>
  <c r="V2211" i="5" s="1"/>
  <c r="O2276" i="5"/>
  <c r="U2276" i="5"/>
  <c r="V2276" i="5" s="1"/>
  <c r="P1853" i="5"/>
  <c r="O1853" i="5" s="1"/>
  <c r="U1944" i="5"/>
  <c r="V1944" i="5" s="1"/>
  <c r="U1935" i="5"/>
  <c r="V1935" i="5" s="1"/>
  <c r="O1935" i="5"/>
  <c r="U1934" i="5"/>
  <c r="V1934" i="5" s="1"/>
  <c r="O1934" i="5"/>
  <c r="O1981" i="5"/>
  <c r="O2203" i="5"/>
  <c r="U2203" i="5"/>
  <c r="V2203" i="5" s="1"/>
  <c r="U2270" i="5"/>
  <c r="V2270" i="5" s="1"/>
  <c r="O2278" i="5"/>
  <c r="U2278" i="5"/>
  <c r="V2278" i="5" s="1"/>
  <c r="N2252" i="5"/>
  <c r="U2252" i="5" s="1"/>
  <c r="V2252" i="5" s="1"/>
  <c r="O2212" i="5"/>
  <c r="U2212" i="5"/>
  <c r="V2212" i="5" s="1"/>
  <c r="O1984" i="5"/>
  <c r="O2269" i="5"/>
  <c r="U2269" i="5"/>
  <c r="V2269" i="5" s="1"/>
  <c r="P2240" i="5"/>
  <c r="N2240" i="5"/>
  <c r="U2259" i="5"/>
  <c r="V2259" i="5" s="1"/>
  <c r="O2259" i="5"/>
  <c r="O2147" i="5"/>
  <c r="P2117" i="5"/>
  <c r="O2117" i="5" s="1"/>
  <c r="P2088" i="5"/>
  <c r="O2088" i="5" s="1"/>
  <c r="N2081" i="5"/>
  <c r="P2081" i="5"/>
  <c r="P2063" i="5"/>
  <c r="O2063" i="5" s="1"/>
  <c r="N2053" i="5"/>
  <c r="U2053" i="5" s="1"/>
  <c r="V2053" i="5" s="1"/>
  <c r="O2052" i="5"/>
  <c r="U2052" i="5"/>
  <c r="V2052" i="5" s="1"/>
  <c r="O2007" i="5"/>
  <c r="U1977" i="5"/>
  <c r="V1977" i="5" s="1"/>
  <c r="U1971" i="5"/>
  <c r="V1971" i="5" s="1"/>
  <c r="O1944" i="5"/>
  <c r="U1904" i="5"/>
  <c r="V1904" i="5" s="1"/>
  <c r="O1835" i="5"/>
  <c r="O1825" i="5"/>
  <c r="O2045" i="5"/>
  <c r="O2127" i="5"/>
  <c r="U2127" i="5"/>
  <c r="V2127" i="5" s="1"/>
  <c r="O2067" i="5"/>
  <c r="U2067" i="5"/>
  <c r="V2067" i="5" s="1"/>
  <c r="U1831" i="5"/>
  <c r="V1831" i="5" s="1"/>
  <c r="U2274" i="5"/>
  <c r="V2274" i="5" s="1"/>
  <c r="O2274" i="5"/>
  <c r="O2142" i="5"/>
  <c r="U2147" i="5"/>
  <c r="V2147" i="5" s="1"/>
  <c r="O1861" i="5"/>
  <c r="U1861" i="5"/>
  <c r="V1861" i="5" s="1"/>
  <c r="O1977" i="5"/>
  <c r="N1827" i="5"/>
  <c r="P1827" i="5"/>
  <c r="O2258" i="5"/>
  <c r="U2258" i="5"/>
  <c r="V2258" i="5" s="1"/>
  <c r="U1922" i="5"/>
  <c r="V1922" i="5" s="1"/>
  <c r="O1971" i="5"/>
  <c r="O2222" i="5"/>
  <c r="U2222" i="5"/>
  <c r="V2222" i="5" s="1"/>
  <c r="O2101" i="5"/>
  <c r="U2101" i="5"/>
  <c r="V2101" i="5" s="1"/>
  <c r="O1997" i="5"/>
  <c r="U1997" i="5"/>
  <c r="V1997" i="5" s="1"/>
  <c r="O1954" i="5"/>
  <c r="U1954" i="5"/>
  <c r="V1954" i="5" s="1"/>
  <c r="O2196" i="5"/>
  <c r="U2196" i="5"/>
  <c r="V2196" i="5" s="1"/>
  <c r="O2218" i="5"/>
  <c r="U2218" i="5"/>
  <c r="V2218" i="5" s="1"/>
  <c r="O2225" i="5"/>
  <c r="U2225" i="5"/>
  <c r="V2225" i="5" s="1"/>
  <c r="O1834" i="5"/>
  <c r="U1834" i="5"/>
  <c r="V1834" i="5" s="1"/>
  <c r="O1943" i="5"/>
  <c r="U1943" i="5"/>
  <c r="V1943" i="5" s="1"/>
  <c r="O1839" i="5"/>
  <c r="U1839" i="5"/>
  <c r="V1839" i="5" s="1"/>
  <c r="O1947" i="5"/>
  <c r="U1947" i="5"/>
  <c r="V1947" i="5" s="1"/>
  <c r="U1919" i="5"/>
  <c r="V1919" i="5" s="1"/>
  <c r="O1919" i="5"/>
  <c r="O2094" i="5"/>
  <c r="U2094" i="5"/>
  <c r="V2094" i="5" s="1"/>
  <c r="O2128" i="5"/>
  <c r="U2128" i="5"/>
  <c r="V2128" i="5" s="1"/>
  <c r="O1932" i="5"/>
  <c r="U1932" i="5"/>
  <c r="V1932" i="5" s="1"/>
  <c r="O1929" i="5"/>
  <c r="U1929" i="5"/>
  <c r="V1929" i="5" s="1"/>
  <c r="O2188" i="5"/>
  <c r="U2188" i="5"/>
  <c r="V2188" i="5" s="1"/>
  <c r="U2193" i="5"/>
  <c r="V2193" i="5" s="1"/>
  <c r="O2193" i="5"/>
  <c r="U2221" i="5"/>
  <c r="V2221" i="5" s="1"/>
  <c r="O2221" i="5"/>
  <c r="O2092" i="5"/>
  <c r="U2092" i="5"/>
  <c r="V2092" i="5" s="1"/>
  <c r="O2235" i="5"/>
  <c r="U2235" i="5"/>
  <c r="V2235" i="5" s="1"/>
  <c r="U1963" i="5"/>
  <c r="V1963" i="5" s="1"/>
  <c r="O1963" i="5"/>
  <c r="U1930" i="5"/>
  <c r="V1930" i="5" s="1"/>
  <c r="O1930" i="5"/>
  <c r="U2115" i="5"/>
  <c r="V2115" i="5" s="1"/>
  <c r="O2115" i="5"/>
  <c r="O2125" i="5"/>
  <c r="U2125" i="5"/>
  <c r="V2125" i="5" s="1"/>
  <c r="O2247" i="5"/>
  <c r="U2247" i="5"/>
  <c r="V2247" i="5" s="1"/>
  <c r="O1874" i="5"/>
  <c r="U1874" i="5"/>
  <c r="V1874" i="5" s="1"/>
  <c r="O1985" i="5"/>
  <c r="U1985" i="5"/>
  <c r="V1985" i="5" s="1"/>
  <c r="O2154" i="5"/>
  <c r="U2154" i="5"/>
  <c r="V2154" i="5" s="1"/>
  <c r="N1847" i="5"/>
  <c r="P1847" i="5"/>
  <c r="N1938" i="5"/>
  <c r="P1938" i="5"/>
  <c r="O1989" i="5"/>
  <c r="U1989" i="5"/>
  <c r="V1989" i="5" s="1"/>
  <c r="O2137" i="5"/>
  <c r="U2137" i="5"/>
  <c r="V2137" i="5" s="1"/>
  <c r="O2097" i="5"/>
  <c r="U2097" i="5"/>
  <c r="V2097" i="5" s="1"/>
  <c r="O2199" i="5"/>
  <c r="U2199" i="5"/>
  <c r="V2199" i="5" s="1"/>
  <c r="O2256" i="5"/>
  <c r="U2256" i="5"/>
  <c r="V2256" i="5" s="1"/>
  <c r="O2238" i="5"/>
  <c r="U2238" i="5"/>
  <c r="V2238" i="5" s="1"/>
  <c r="O2245" i="5"/>
  <c r="U2245" i="5"/>
  <c r="V2245" i="5" s="1"/>
  <c r="O1937" i="5"/>
  <c r="U1937" i="5"/>
  <c r="V1937" i="5" s="1"/>
  <c r="O2129" i="5"/>
  <c r="U2129" i="5"/>
  <c r="V2129" i="5" s="1"/>
  <c r="O1900" i="5"/>
  <c r="U1900" i="5"/>
  <c r="V1900" i="5" s="1"/>
  <c r="O1829" i="5"/>
  <c r="U1829" i="5"/>
  <c r="V1829" i="5" s="1"/>
  <c r="O1872" i="5"/>
  <c r="U1872" i="5"/>
  <c r="V1872" i="5" s="1"/>
  <c r="O2118" i="5"/>
  <c r="U2118" i="5"/>
  <c r="V2118" i="5" s="1"/>
  <c r="O2262" i="5"/>
  <c r="U2262" i="5"/>
  <c r="V2262" i="5" s="1"/>
  <c r="O2084" i="5"/>
  <c r="U2084" i="5"/>
  <c r="V2084" i="5" s="1"/>
  <c r="O2136" i="5"/>
  <c r="U2136" i="5"/>
  <c r="V2136" i="5" s="1"/>
  <c r="U2227" i="5"/>
  <c r="V2227" i="5" s="1"/>
  <c r="O2227" i="5"/>
  <c r="O1892" i="5"/>
  <c r="U1892" i="5"/>
  <c r="V1892" i="5" s="1"/>
  <c r="U2108" i="5"/>
  <c r="V2108" i="5" s="1"/>
  <c r="O2108" i="5"/>
  <c r="O2033" i="5"/>
  <c r="U2033" i="5"/>
  <c r="V2033" i="5" s="1"/>
  <c r="O2220" i="5"/>
  <c r="U2220" i="5"/>
  <c r="V2220" i="5" s="1"/>
  <c r="O1837" i="5"/>
  <c r="U1837" i="5"/>
  <c r="V1837" i="5" s="1"/>
  <c r="O1915" i="5"/>
  <c r="U1915" i="5"/>
  <c r="V1915" i="5" s="1"/>
  <c r="O1899" i="5"/>
  <c r="U1899" i="5"/>
  <c r="V1899" i="5" s="1"/>
  <c r="U1836" i="5"/>
  <c r="V1836" i="5" s="1"/>
  <c r="O1836" i="5"/>
  <c r="O1939" i="5"/>
  <c r="U1939" i="5"/>
  <c r="V1939" i="5" s="1"/>
  <c r="O2020" i="5"/>
  <c r="U2020" i="5"/>
  <c r="V2020" i="5" s="1"/>
  <c r="O2042" i="5"/>
  <c r="U2042" i="5"/>
  <c r="V2042" i="5" s="1"/>
  <c r="O2006" i="5"/>
  <c r="U2006" i="5"/>
  <c r="V2006" i="5" s="1"/>
  <c r="O2058" i="5"/>
  <c r="U2058" i="5"/>
  <c r="V2058" i="5" s="1"/>
  <c r="U2102" i="5"/>
  <c r="V2102" i="5" s="1"/>
  <c r="O2102" i="5"/>
  <c r="O2167" i="5"/>
  <c r="U2167" i="5"/>
  <c r="V2167" i="5" s="1"/>
  <c r="O1818" i="5"/>
  <c r="U1818" i="5"/>
  <c r="V1818" i="5" s="1"/>
  <c r="O1864" i="5"/>
  <c r="U1864" i="5"/>
  <c r="V1864" i="5" s="1"/>
  <c r="O2002" i="5"/>
  <c r="U2002" i="5"/>
  <c r="V2002" i="5" s="1"/>
  <c r="U2013" i="5"/>
  <c r="V2013" i="5" s="1"/>
  <c r="O2013" i="5"/>
  <c r="O2162" i="5"/>
  <c r="U2162" i="5"/>
  <c r="V2162" i="5" s="1"/>
  <c r="O2148" i="5"/>
  <c r="U2148" i="5"/>
  <c r="V2148" i="5" s="1"/>
  <c r="O2257" i="5"/>
  <c r="U2257" i="5"/>
  <c r="V2257" i="5" s="1"/>
  <c r="O1921" i="5"/>
  <c r="U1921" i="5"/>
  <c r="V1921" i="5" s="1"/>
  <c r="O2182" i="5"/>
  <c r="U2182" i="5"/>
  <c r="V2182" i="5" s="1"/>
  <c r="O2054" i="5"/>
  <c r="U2054" i="5"/>
  <c r="V2054" i="5" s="1"/>
  <c r="U2174" i="5"/>
  <c r="V2174" i="5" s="1"/>
  <c r="O2174" i="5"/>
  <c r="U2200" i="5"/>
  <c r="V2200" i="5" s="1"/>
  <c r="O2200" i="5"/>
  <c r="O1931" i="5"/>
  <c r="U1931" i="5"/>
  <c r="V1931" i="5" s="1"/>
  <c r="O2009" i="5"/>
  <c r="U2009" i="5"/>
  <c r="V2009" i="5" s="1"/>
  <c r="N2038" i="5"/>
  <c r="P2038" i="5"/>
  <c r="O2145" i="5"/>
  <c r="U2145" i="5"/>
  <c r="V2145" i="5" s="1"/>
  <c r="O2192" i="5"/>
  <c r="U2192" i="5"/>
  <c r="V2192" i="5" s="1"/>
  <c r="O1815" i="5"/>
  <c r="U1815" i="5"/>
  <c r="V1815" i="5" s="1"/>
  <c r="O2106" i="5"/>
  <c r="U2106" i="5"/>
  <c r="V2106" i="5" s="1"/>
  <c r="O1995" i="5"/>
  <c r="U1995" i="5"/>
  <c r="V1995" i="5" s="1"/>
  <c r="O2132" i="5"/>
  <c r="U2132" i="5"/>
  <c r="V2132" i="5" s="1"/>
  <c r="O2201" i="5"/>
  <c r="U2201" i="5"/>
  <c r="V2201" i="5" s="1"/>
  <c r="U1838" i="5"/>
  <c r="V1838" i="5" s="1"/>
  <c r="O1838" i="5"/>
  <c r="O1996" i="5"/>
  <c r="U1996" i="5"/>
  <c r="V1996" i="5" s="1"/>
  <c r="O2036" i="5"/>
  <c r="U2036" i="5"/>
  <c r="V2036" i="5" s="1"/>
  <c r="O2165" i="5"/>
  <c r="U2165" i="5"/>
  <c r="V2165" i="5" s="1"/>
  <c r="O1914" i="5"/>
  <c r="U1914" i="5"/>
  <c r="V1914" i="5" s="1"/>
  <c r="O1941" i="5"/>
  <c r="U1941" i="5"/>
  <c r="V1941" i="5" s="1"/>
  <c r="O1871" i="5"/>
  <c r="U1871" i="5"/>
  <c r="V1871" i="5" s="1"/>
  <c r="O2024" i="5"/>
  <c r="U2024" i="5"/>
  <c r="V2024" i="5" s="1"/>
  <c r="O1958" i="5"/>
  <c r="U1958" i="5"/>
  <c r="V1958" i="5" s="1"/>
  <c r="O2150" i="5"/>
  <c r="U2150" i="5"/>
  <c r="V2150" i="5" s="1"/>
  <c r="O2198" i="5"/>
  <c r="U2198" i="5"/>
  <c r="V2198" i="5" s="1"/>
  <c r="O1824" i="5"/>
  <c r="U1824" i="5"/>
  <c r="V1824" i="5" s="1"/>
  <c r="O1895" i="5"/>
  <c r="U1895" i="5"/>
  <c r="V1895" i="5" s="1"/>
  <c r="O1821" i="5"/>
  <c r="U1821" i="5"/>
  <c r="V1821" i="5" s="1"/>
  <c r="U2014" i="5"/>
  <c r="V2014" i="5" s="1"/>
  <c r="O2014" i="5"/>
  <c r="O2175" i="5"/>
  <c r="U2175" i="5"/>
  <c r="V2175" i="5" s="1"/>
  <c r="O1925" i="5"/>
  <c r="U1925" i="5"/>
  <c r="V1925" i="5" s="1"/>
  <c r="U2075" i="5"/>
  <c r="V2075" i="5" s="1"/>
  <c r="O2075" i="5"/>
  <c r="O2050" i="5"/>
  <c r="U2050" i="5"/>
  <c r="V2050" i="5" s="1"/>
  <c r="O2104" i="5"/>
  <c r="U2104" i="5"/>
  <c r="V2104" i="5" s="1"/>
  <c r="P2219" i="5"/>
  <c r="N2219" i="5"/>
  <c r="O2248" i="5"/>
  <c r="U2248" i="5"/>
  <c r="V2248" i="5" s="1"/>
  <c r="O2109" i="5"/>
  <c r="U2109" i="5"/>
  <c r="V2109" i="5" s="1"/>
  <c r="O1857" i="5"/>
  <c r="U1857" i="5"/>
  <c r="V1857" i="5" s="1"/>
  <c r="O1893" i="5"/>
  <c r="U1893" i="5"/>
  <c r="V1893" i="5" s="1"/>
  <c r="O2010" i="5"/>
  <c r="U2010" i="5"/>
  <c r="V2010" i="5" s="1"/>
  <c r="U2126" i="5"/>
  <c r="V2126" i="5" s="1"/>
  <c r="O2126" i="5"/>
  <c r="O2153" i="5"/>
  <c r="U2153" i="5"/>
  <c r="V2153" i="5" s="1"/>
  <c r="O1854" i="5"/>
  <c r="U1854" i="5"/>
  <c r="V1854" i="5" s="1"/>
  <c r="O1928" i="5"/>
  <c r="U1928" i="5"/>
  <c r="V1928" i="5" s="1"/>
  <c r="O2135" i="5"/>
  <c r="U2135" i="5"/>
  <c r="V2135" i="5" s="1"/>
  <c r="O2207" i="5"/>
  <c r="U2207" i="5"/>
  <c r="V2207" i="5" s="1"/>
  <c r="O2181" i="5"/>
  <c r="U2181" i="5"/>
  <c r="V2181" i="5" s="1"/>
  <c r="O2271" i="5"/>
  <c r="U2271" i="5"/>
  <c r="V2271" i="5" s="1"/>
  <c r="O1936" i="5"/>
  <c r="U1936" i="5"/>
  <c r="V1936" i="5" s="1"/>
  <c r="O1957" i="5"/>
  <c r="U1957" i="5"/>
  <c r="V1957" i="5" s="1"/>
  <c r="O1918" i="5"/>
  <c r="U1918" i="5"/>
  <c r="V1918" i="5" s="1"/>
  <c r="O2023" i="5"/>
  <c r="U2023" i="5"/>
  <c r="V2023" i="5" s="1"/>
  <c r="O2255" i="5"/>
  <c r="U2255" i="5"/>
  <c r="V2255" i="5" s="1"/>
  <c r="O1988" i="5"/>
  <c r="U1988" i="5"/>
  <c r="V1988" i="5" s="1"/>
  <c r="O2152" i="5"/>
  <c r="U2152" i="5"/>
  <c r="V2152" i="5" s="1"/>
  <c r="O1898" i="5"/>
  <c r="U1898" i="5"/>
  <c r="V1898" i="5" s="1"/>
  <c r="U1845" i="5"/>
  <c r="V1845" i="5" s="1"/>
  <c r="O1845" i="5"/>
  <c r="O1933" i="5"/>
  <c r="U1933" i="5"/>
  <c r="V1933" i="5" s="1"/>
  <c r="O1927" i="5"/>
  <c r="U1927" i="5"/>
  <c r="V1927" i="5" s="1"/>
  <c r="O2016" i="5"/>
  <c r="U2016" i="5"/>
  <c r="V2016" i="5" s="1"/>
  <c r="O1826" i="5"/>
  <c r="U1826" i="5"/>
  <c r="V1826" i="5" s="1"/>
  <c r="O1862" i="5"/>
  <c r="U1862" i="5"/>
  <c r="V1862" i="5" s="1"/>
  <c r="O2190" i="5"/>
  <c r="U2190" i="5"/>
  <c r="V2190" i="5" s="1"/>
  <c r="O2146" i="5"/>
  <c r="U2146" i="5"/>
  <c r="V2146" i="5" s="1"/>
  <c r="O2250" i="5"/>
  <c r="U2250" i="5"/>
  <c r="V2250" i="5" s="1"/>
  <c r="O2164" i="5"/>
  <c r="U2164" i="5"/>
  <c r="V2164" i="5" s="1"/>
  <c r="O2266" i="5"/>
  <c r="U2266" i="5"/>
  <c r="V2266" i="5" s="1"/>
  <c r="O1844" i="5"/>
  <c r="U1844" i="5"/>
  <c r="V1844" i="5" s="1"/>
  <c r="O1916" i="5"/>
  <c r="U1916" i="5"/>
  <c r="V1916" i="5" s="1"/>
  <c r="O2059" i="5"/>
  <c r="U2059" i="5"/>
  <c r="V2059" i="5" s="1"/>
  <c r="O2012" i="5"/>
  <c r="U2012" i="5"/>
  <c r="V2012" i="5" s="1"/>
  <c r="O2105" i="5"/>
  <c r="U2105" i="5"/>
  <c r="V2105" i="5" s="1"/>
  <c r="O2176" i="5"/>
  <c r="U2176" i="5"/>
  <c r="V2176" i="5" s="1"/>
  <c r="O2204" i="5"/>
  <c r="U2204" i="5"/>
  <c r="V2204" i="5" s="1"/>
  <c r="O1896" i="5"/>
  <c r="U1896" i="5"/>
  <c r="V1896" i="5" s="1"/>
  <c r="U2085" i="5"/>
  <c r="V2085" i="5" s="1"/>
  <c r="O2085" i="5"/>
  <c r="U2224" i="5"/>
  <c r="V2224" i="5" s="1"/>
  <c r="O2224" i="5"/>
  <c r="O2003" i="5"/>
  <c r="U2003" i="5"/>
  <c r="V2003" i="5" s="1"/>
  <c r="N2026" i="5"/>
  <c r="P2026" i="5"/>
  <c r="P2089" i="5"/>
  <c r="N2089" i="5"/>
  <c r="U2071" i="5"/>
  <c r="V2071" i="5" s="1"/>
  <c r="O2071" i="5"/>
  <c r="O2096" i="5"/>
  <c r="U2096" i="5"/>
  <c r="V2096" i="5" s="1"/>
  <c r="O2159" i="5"/>
  <c r="U2159" i="5"/>
  <c r="V2159" i="5" s="1"/>
  <c r="U2214" i="5"/>
  <c r="V2214" i="5" s="1"/>
  <c r="O2214" i="5"/>
  <c r="O2180" i="5"/>
  <c r="U2180" i="5"/>
  <c r="V2180" i="5" s="1"/>
  <c r="O1920" i="5"/>
  <c r="U1920" i="5"/>
  <c r="V1920" i="5" s="1"/>
  <c r="O1906" i="5"/>
  <c r="U1906" i="5"/>
  <c r="V1906" i="5" s="1"/>
  <c r="O1856" i="5"/>
  <c r="U1856" i="5"/>
  <c r="V1856" i="5" s="1"/>
  <c r="O2095" i="5"/>
  <c r="U2095" i="5"/>
  <c r="V2095" i="5" s="1"/>
  <c r="O2139" i="5"/>
  <c r="U2139" i="5"/>
  <c r="V2139" i="5" s="1"/>
  <c r="O1897" i="5"/>
  <c r="U1897" i="5"/>
  <c r="V1897" i="5" s="1"/>
  <c r="O2068" i="5"/>
  <c r="U2068" i="5"/>
  <c r="V2068" i="5" s="1"/>
  <c r="U2030" i="5"/>
  <c r="V2030" i="5" s="1"/>
  <c r="O2030" i="5"/>
  <c r="O1884" i="5"/>
  <c r="U1884" i="5"/>
  <c r="V1884" i="5" s="1"/>
  <c r="O1889" i="5"/>
  <c r="U1889" i="5"/>
  <c r="V1889" i="5" s="1"/>
  <c r="N1910" i="5"/>
  <c r="P1910" i="5"/>
  <c r="O2047" i="5"/>
  <c r="U2047" i="5"/>
  <c r="V2047" i="5" s="1"/>
  <c r="O2144" i="5"/>
  <c r="U2144" i="5"/>
  <c r="V2144" i="5" s="1"/>
  <c r="O1883" i="5"/>
  <c r="U1883" i="5"/>
  <c r="V1883" i="5" s="1"/>
  <c r="O2163" i="5"/>
  <c r="U2163" i="5"/>
  <c r="V2163" i="5" s="1"/>
  <c r="O1926" i="5"/>
  <c r="U1926" i="5"/>
  <c r="V1926" i="5" s="1"/>
  <c r="O2140" i="5"/>
  <c r="U2140" i="5"/>
  <c r="V2140" i="5" s="1"/>
  <c r="U2070" i="5"/>
  <c r="V2070" i="5" s="1"/>
  <c r="O2070" i="5"/>
  <c r="O2213" i="5"/>
  <c r="U2213" i="5"/>
  <c r="V2213" i="5" s="1"/>
  <c r="O1812" i="5"/>
  <c r="U1812" i="5"/>
  <c r="V1812" i="5" s="1"/>
  <c r="U1962" i="5"/>
  <c r="V1962" i="5" s="1"/>
  <c r="O1962" i="5"/>
  <c r="U2195" i="5"/>
  <c r="V2195" i="5" s="1"/>
  <c r="O2195" i="5"/>
  <c r="O2189" i="5"/>
  <c r="U2189" i="5"/>
  <c r="V2189" i="5" s="1"/>
  <c r="O2232" i="5"/>
  <c r="O1994" i="5"/>
  <c r="U1994" i="5"/>
  <c r="V1994" i="5" s="1"/>
  <c r="O2061" i="5"/>
  <c r="U2061" i="5"/>
  <c r="V2061" i="5" s="1"/>
  <c r="O2155" i="5"/>
  <c r="U2155" i="5"/>
  <c r="V2155" i="5" s="1"/>
  <c r="O2160" i="5"/>
  <c r="U2160" i="5"/>
  <c r="V2160" i="5" s="1"/>
  <c r="O2177" i="5"/>
  <c r="U2177" i="5"/>
  <c r="V2177" i="5" s="1"/>
  <c r="O2017" i="5"/>
  <c r="O1966" i="5"/>
  <c r="U1966" i="5"/>
  <c r="V1966" i="5" s="1"/>
  <c r="O2253" i="5"/>
  <c r="U2253" i="5"/>
  <c r="V2253" i="5" s="1"/>
  <c r="N2234" i="5"/>
  <c r="P2234" i="5"/>
  <c r="O2130" i="5"/>
  <c r="U2130" i="5"/>
  <c r="V2130" i="5" s="1"/>
  <c r="O1846" i="5"/>
  <c r="U1846" i="5"/>
  <c r="V1846" i="5" s="1"/>
  <c r="O2021" i="5"/>
  <c r="U2021" i="5"/>
  <c r="V2021" i="5" s="1"/>
  <c r="O2186" i="5"/>
  <c r="U2186" i="5"/>
  <c r="V2186" i="5" s="1"/>
  <c r="O2166" i="5"/>
  <c r="U2166" i="5"/>
  <c r="V2166" i="5" s="1"/>
  <c r="O2223" i="5"/>
  <c r="U2223" i="5"/>
  <c r="V2223" i="5" s="1"/>
  <c r="O2264" i="5"/>
  <c r="U2264" i="5"/>
  <c r="V2264" i="5" s="1"/>
  <c r="O1810" i="5"/>
  <c r="U1810" i="5"/>
  <c r="V1810" i="5" s="1"/>
  <c r="O1809" i="5"/>
  <c r="U1809" i="5"/>
  <c r="V1809" i="5" s="1"/>
  <c r="O1807" i="5"/>
  <c r="U1804" i="5"/>
  <c r="V1804" i="5" s="1"/>
  <c r="O1804" i="5"/>
  <c r="U2055" i="5" l="1"/>
  <c r="V2055" i="5" s="1"/>
  <c r="U2594" i="5"/>
  <c r="V2594" i="5" s="1"/>
  <c r="O2347" i="5"/>
  <c r="O2351" i="5"/>
  <c r="U2435" i="5"/>
  <c r="V2435" i="5" s="1"/>
  <c r="O2483" i="5"/>
  <c r="O2015" i="5"/>
  <c r="U2638" i="5"/>
  <c r="V2638" i="5" s="1"/>
  <c r="O2556" i="5"/>
  <c r="U2502" i="5"/>
  <c r="V2502" i="5" s="1"/>
  <c r="U2408" i="5"/>
  <c r="V2408" i="5" s="1"/>
  <c r="U2527" i="5"/>
  <c r="V2527" i="5" s="1"/>
  <c r="O2470" i="5"/>
  <c r="O2491" i="5"/>
  <c r="O2460" i="5"/>
  <c r="U2599" i="5"/>
  <c r="V2599" i="5" s="1"/>
  <c r="O2492" i="5"/>
  <c r="O2532" i="5"/>
  <c r="U2585" i="5"/>
  <c r="V2585" i="5" s="1"/>
  <c r="U2473" i="5"/>
  <c r="V2473" i="5" s="1"/>
  <c r="O2631" i="5"/>
  <c r="U2421" i="5"/>
  <c r="V2421" i="5" s="1"/>
  <c r="U2066" i="5"/>
  <c r="V2066" i="5" s="1"/>
  <c r="O2602" i="5"/>
  <c r="U2471" i="5"/>
  <c r="V2471" i="5" s="1"/>
  <c r="U2413" i="5"/>
  <c r="V2413" i="5" s="1"/>
  <c r="O2323" i="5"/>
  <c r="U2323" i="5"/>
  <c r="V2323" i="5" s="1"/>
  <c r="O2415" i="5"/>
  <c r="O1850" i="5"/>
  <c r="U1832" i="5"/>
  <c r="V1832" i="5" s="1"/>
  <c r="U2626" i="5"/>
  <c r="V2626" i="5" s="1"/>
  <c r="O2626" i="5"/>
  <c r="U2064" i="5"/>
  <c r="V2064" i="5" s="1"/>
  <c r="U2393" i="5"/>
  <c r="V2393" i="5" s="1"/>
  <c r="U2432" i="5"/>
  <c r="V2432" i="5" s="1"/>
  <c r="U2415" i="5"/>
  <c r="V2415" i="5" s="1"/>
  <c r="U2566" i="5"/>
  <c r="V2566" i="5" s="1"/>
  <c r="U2350" i="5"/>
  <c r="V2350" i="5" s="1"/>
  <c r="O2350" i="5"/>
  <c r="O2432" i="5"/>
  <c r="O2566" i="5"/>
  <c r="O2413" i="5"/>
  <c r="O2393" i="5"/>
  <c r="U2063" i="5"/>
  <c r="V2063" i="5" s="1"/>
  <c r="O1851" i="5"/>
  <c r="O2093" i="5"/>
  <c r="U1942" i="5"/>
  <c r="V1942" i="5" s="1"/>
  <c r="U2117" i="5"/>
  <c r="V2117" i="5" s="1"/>
  <c r="O2252" i="5"/>
  <c r="U2215" i="5"/>
  <c r="V2215" i="5" s="1"/>
  <c r="U2254" i="5"/>
  <c r="V2254" i="5" s="1"/>
  <c r="U1865" i="5"/>
  <c r="V1865" i="5" s="1"/>
  <c r="U2187" i="5"/>
  <c r="V2187" i="5" s="1"/>
  <c r="U1910" i="5"/>
  <c r="V1910" i="5" s="1"/>
  <c r="O2246" i="5"/>
  <c r="U2231" i="5"/>
  <c r="V2231" i="5" s="1"/>
  <c r="O2231" i="5"/>
  <c r="O2053" i="5"/>
  <c r="U1853" i="5"/>
  <c r="V1853" i="5" s="1"/>
  <c r="U2088" i="5"/>
  <c r="V2088" i="5" s="1"/>
  <c r="U2249" i="5"/>
  <c r="V2249" i="5" s="1"/>
  <c r="O2249" i="5"/>
  <c r="O2240" i="5"/>
  <c r="U2240" i="5"/>
  <c r="V2240" i="5" s="1"/>
  <c r="O2081" i="5"/>
  <c r="U2081" i="5"/>
  <c r="V2081" i="5" s="1"/>
  <c r="U1827" i="5"/>
  <c r="V1827" i="5" s="1"/>
  <c r="O1827" i="5"/>
  <c r="O1910" i="5"/>
  <c r="O2089" i="5"/>
  <c r="U2089" i="5"/>
  <c r="V2089" i="5" s="1"/>
  <c r="O2038" i="5"/>
  <c r="U2038" i="5"/>
  <c r="V2038" i="5" s="1"/>
  <c r="O1938" i="5"/>
  <c r="U1938" i="5"/>
  <c r="V1938" i="5" s="1"/>
  <c r="O2219" i="5"/>
  <c r="U2219" i="5"/>
  <c r="V2219" i="5" s="1"/>
  <c r="O2234" i="5"/>
  <c r="U2234" i="5"/>
  <c r="V2234" i="5" s="1"/>
  <c r="O2026" i="5"/>
  <c r="U2026" i="5"/>
  <c r="V2026" i="5" s="1"/>
  <c r="O1847" i="5"/>
  <c r="U1847" i="5"/>
  <c r="V1847" i="5" s="1"/>
  <c r="BT28" i="12"/>
  <c r="B1796" i="5" l="1"/>
  <c r="Q1796" i="5" s="1"/>
  <c r="B1797" i="5"/>
  <c r="Q1797" i="5" s="1"/>
  <c r="B1798" i="5"/>
  <c r="M1798" i="5" s="1"/>
  <c r="B1799" i="5"/>
  <c r="B1800" i="5"/>
  <c r="Q1800" i="5" s="1"/>
  <c r="B1801" i="5"/>
  <c r="Q1801" i="5" s="1"/>
  <c r="J1796" i="5"/>
  <c r="K1796" i="5" s="1"/>
  <c r="J1797" i="5"/>
  <c r="K1797" i="5" s="1"/>
  <c r="L1797" i="5" s="1"/>
  <c r="J1798" i="5"/>
  <c r="J1799" i="5"/>
  <c r="K1799" i="5" s="1"/>
  <c r="J1800" i="5"/>
  <c r="K1800" i="5" s="1"/>
  <c r="J1801" i="5"/>
  <c r="K1801" i="5" s="1"/>
  <c r="L1801" i="5" s="1"/>
  <c r="T1796" i="5"/>
  <c r="T1797" i="5"/>
  <c r="T1798" i="5"/>
  <c r="T1799" i="5"/>
  <c r="T1800" i="5"/>
  <c r="T1801" i="5"/>
  <c r="B1792" i="5"/>
  <c r="M1792" i="5" s="1"/>
  <c r="B1793" i="5"/>
  <c r="Q1793" i="5" s="1"/>
  <c r="B1794" i="5"/>
  <c r="B1795" i="5"/>
  <c r="M1795" i="5" s="1"/>
  <c r="J1792" i="5"/>
  <c r="J1793" i="5"/>
  <c r="K1793" i="5" s="1"/>
  <c r="J1794" i="5"/>
  <c r="K1794" i="5" s="1"/>
  <c r="J1795" i="5"/>
  <c r="K1795" i="5" s="1"/>
  <c r="T1792" i="5"/>
  <c r="T1793" i="5"/>
  <c r="T1794" i="5"/>
  <c r="T1795" i="5"/>
  <c r="B1789" i="5"/>
  <c r="M1789" i="5" s="1"/>
  <c r="B1790" i="5"/>
  <c r="B1791" i="5"/>
  <c r="M1791" i="5" s="1"/>
  <c r="J1789" i="5"/>
  <c r="K1789" i="5" s="1"/>
  <c r="J1790" i="5"/>
  <c r="K1790" i="5" s="1"/>
  <c r="J1791" i="5"/>
  <c r="K1791" i="5" s="1"/>
  <c r="T1789" i="5"/>
  <c r="T1790" i="5"/>
  <c r="T1791" i="5"/>
  <c r="B1786" i="5"/>
  <c r="Q1786" i="5" s="1"/>
  <c r="B1787" i="5"/>
  <c r="M1787" i="5" s="1"/>
  <c r="B1788" i="5"/>
  <c r="M1788" i="5" s="1"/>
  <c r="J1786" i="5"/>
  <c r="K1786" i="5" s="1"/>
  <c r="J1787" i="5"/>
  <c r="K1787" i="5" s="1"/>
  <c r="J1788" i="5"/>
  <c r="K1788" i="5" s="1"/>
  <c r="T1786" i="5"/>
  <c r="T1787" i="5"/>
  <c r="T1788" i="5"/>
  <c r="B1779" i="5"/>
  <c r="B1780" i="5"/>
  <c r="M1780" i="5" s="1"/>
  <c r="B1781" i="5"/>
  <c r="Q1781" i="5" s="1"/>
  <c r="B1782" i="5"/>
  <c r="M1782" i="5" s="1"/>
  <c r="B1783" i="5"/>
  <c r="B1784" i="5"/>
  <c r="M1784" i="5" s="1"/>
  <c r="B1785" i="5"/>
  <c r="Q1785" i="5" s="1"/>
  <c r="J1779" i="5"/>
  <c r="K1779" i="5" s="1"/>
  <c r="J1780" i="5"/>
  <c r="K1780" i="5" s="1"/>
  <c r="L1780" i="5" s="1"/>
  <c r="P1780" i="5" s="1"/>
  <c r="J1781" i="5"/>
  <c r="J1782" i="5"/>
  <c r="K1782" i="5" s="1"/>
  <c r="J1783" i="5"/>
  <c r="K1783" i="5" s="1"/>
  <c r="J1784" i="5"/>
  <c r="K1784" i="5" s="1"/>
  <c r="J1785" i="5"/>
  <c r="T1779" i="5"/>
  <c r="T1780" i="5"/>
  <c r="T1781" i="5"/>
  <c r="T1782" i="5"/>
  <c r="T1783" i="5"/>
  <c r="T1784" i="5"/>
  <c r="T1785" i="5"/>
  <c r="B1774" i="5"/>
  <c r="M1774" i="5" s="1"/>
  <c r="B1775" i="5"/>
  <c r="B1776" i="5"/>
  <c r="Q1776" i="5" s="1"/>
  <c r="B1777" i="5"/>
  <c r="M1777" i="5" s="1"/>
  <c r="B1778" i="5"/>
  <c r="M1778" i="5" s="1"/>
  <c r="J1774" i="5"/>
  <c r="J1775" i="5"/>
  <c r="K1775" i="5" s="1"/>
  <c r="L1775" i="5" s="1"/>
  <c r="P1775" i="5" s="1"/>
  <c r="J1776" i="5"/>
  <c r="K1776" i="5" s="1"/>
  <c r="J1777" i="5"/>
  <c r="J1778" i="5"/>
  <c r="T1774" i="5"/>
  <c r="T1775" i="5"/>
  <c r="T1776" i="5"/>
  <c r="T1777" i="5"/>
  <c r="T1778" i="5"/>
  <c r="B1769" i="5"/>
  <c r="M1769" i="5" s="1"/>
  <c r="B1770" i="5"/>
  <c r="M1770" i="5" s="1"/>
  <c r="B1771" i="5"/>
  <c r="B1772" i="5"/>
  <c r="M1772" i="5" s="1"/>
  <c r="B1773" i="5"/>
  <c r="Q1773" i="5" s="1"/>
  <c r="J1769" i="5"/>
  <c r="J1770" i="5"/>
  <c r="K1770" i="5" s="1"/>
  <c r="J1771" i="5"/>
  <c r="K1771" i="5" s="1"/>
  <c r="J1772" i="5"/>
  <c r="K1772" i="5" s="1"/>
  <c r="J1773" i="5"/>
  <c r="T1769" i="5"/>
  <c r="T1770" i="5"/>
  <c r="T1771" i="5"/>
  <c r="T1772" i="5"/>
  <c r="T1773" i="5"/>
  <c r="B1767" i="5"/>
  <c r="Q1767" i="5" s="1"/>
  <c r="B1768" i="5"/>
  <c r="M1768" i="5" s="1"/>
  <c r="J1767" i="5"/>
  <c r="K1767" i="5" s="1"/>
  <c r="J1768" i="5"/>
  <c r="K1768" i="5" s="1"/>
  <c r="T1767" i="5"/>
  <c r="T1768" i="5"/>
  <c r="B1764" i="5"/>
  <c r="B1765" i="5"/>
  <c r="M1765" i="5" s="1"/>
  <c r="B1766" i="5"/>
  <c r="M1766" i="5" s="1"/>
  <c r="J1764" i="5"/>
  <c r="K1764" i="5" s="1"/>
  <c r="J1765" i="5"/>
  <c r="K1765" i="5" s="1"/>
  <c r="J1766" i="5"/>
  <c r="K1766" i="5" s="1"/>
  <c r="T1764" i="5"/>
  <c r="T1765" i="5"/>
  <c r="T1766" i="5"/>
  <c r="B1761" i="5"/>
  <c r="M1761" i="5" s="1"/>
  <c r="B1762" i="5"/>
  <c r="M1762" i="5" s="1"/>
  <c r="B1763" i="5"/>
  <c r="M1763" i="5" s="1"/>
  <c r="J1761" i="5"/>
  <c r="K1761" i="5" s="1"/>
  <c r="J1762" i="5"/>
  <c r="K1762" i="5" s="1"/>
  <c r="J1763" i="5"/>
  <c r="K1763" i="5" s="1"/>
  <c r="T1761" i="5"/>
  <c r="T1762" i="5"/>
  <c r="T1763" i="5"/>
  <c r="B1758" i="5"/>
  <c r="Q1758" i="5" s="1"/>
  <c r="B1759" i="5"/>
  <c r="B1760" i="5"/>
  <c r="M1760" i="5" s="1"/>
  <c r="J1758" i="5"/>
  <c r="K1758" i="5" s="1"/>
  <c r="J1759" i="5"/>
  <c r="K1759" i="5" s="1"/>
  <c r="J1760" i="5"/>
  <c r="T1758" i="5"/>
  <c r="T1759" i="5"/>
  <c r="T1760" i="5"/>
  <c r="B1755" i="5"/>
  <c r="Q1755" i="5" s="1"/>
  <c r="B1756" i="5"/>
  <c r="M1756" i="5" s="1"/>
  <c r="B1757" i="5"/>
  <c r="M1757" i="5" s="1"/>
  <c r="J1755" i="5"/>
  <c r="K1755" i="5" s="1"/>
  <c r="J1756" i="5"/>
  <c r="K1756" i="5" s="1"/>
  <c r="J1757" i="5"/>
  <c r="K1757" i="5" s="1"/>
  <c r="L1757" i="5" s="1"/>
  <c r="P1757" i="5" s="1"/>
  <c r="T1755" i="5"/>
  <c r="T1756" i="5"/>
  <c r="T1757" i="5"/>
  <c r="B1753" i="5"/>
  <c r="M1753" i="5" s="1"/>
  <c r="B1754" i="5"/>
  <c r="M1754" i="5" s="1"/>
  <c r="J1753" i="5"/>
  <c r="J1754" i="5"/>
  <c r="K1754" i="5" s="1"/>
  <c r="T1753" i="5"/>
  <c r="T1754" i="5"/>
  <c r="B1750" i="5"/>
  <c r="Q1750" i="5" s="1"/>
  <c r="B1751" i="5"/>
  <c r="Q1751" i="5" s="1"/>
  <c r="B1752" i="5"/>
  <c r="J1750" i="5"/>
  <c r="J1751" i="5"/>
  <c r="K1751" i="5" s="1"/>
  <c r="J1752" i="5"/>
  <c r="K1752" i="5" s="1"/>
  <c r="T1750" i="5"/>
  <c r="T1751" i="5"/>
  <c r="T1752" i="5"/>
  <c r="B1748" i="5"/>
  <c r="M1748" i="5" s="1"/>
  <c r="B1749" i="5"/>
  <c r="M1749" i="5" s="1"/>
  <c r="J1748" i="5"/>
  <c r="K1748" i="5" s="1"/>
  <c r="J1749" i="5"/>
  <c r="T1748" i="5"/>
  <c r="T1749" i="5"/>
  <c r="B1745" i="5"/>
  <c r="Q1745" i="5" s="1"/>
  <c r="B1746" i="5"/>
  <c r="Q1746" i="5" s="1"/>
  <c r="B1747" i="5"/>
  <c r="Q1747" i="5" s="1"/>
  <c r="J1745" i="5"/>
  <c r="J1746" i="5"/>
  <c r="K1746" i="5" s="1"/>
  <c r="J1747" i="5"/>
  <c r="T1745" i="5"/>
  <c r="T1746" i="5"/>
  <c r="T1747" i="5"/>
  <c r="B1742" i="5"/>
  <c r="Q1742" i="5" s="1"/>
  <c r="B1743" i="5"/>
  <c r="M1743" i="5" s="1"/>
  <c r="B1744" i="5"/>
  <c r="J1742" i="5"/>
  <c r="K1742" i="5" s="1"/>
  <c r="J1743" i="5"/>
  <c r="J1744" i="5"/>
  <c r="T1742" i="5"/>
  <c r="T1743" i="5"/>
  <c r="T1744" i="5"/>
  <c r="B1740" i="5"/>
  <c r="M1740" i="5" s="1"/>
  <c r="B1741" i="5"/>
  <c r="M1741" i="5" s="1"/>
  <c r="J1740" i="5"/>
  <c r="J1741" i="5"/>
  <c r="T1740" i="5"/>
  <c r="T1741" i="5"/>
  <c r="B1738" i="5"/>
  <c r="Q1738" i="5" s="1"/>
  <c r="B1739" i="5"/>
  <c r="J1738" i="5"/>
  <c r="K1738" i="5" s="1"/>
  <c r="J1739" i="5"/>
  <c r="T1738" i="5"/>
  <c r="T1739" i="5"/>
  <c r="B1735" i="5"/>
  <c r="Q1735" i="5" s="1"/>
  <c r="B1736" i="5"/>
  <c r="Q1736" i="5" s="1"/>
  <c r="B1737" i="5"/>
  <c r="M1737" i="5" s="1"/>
  <c r="J1735" i="5"/>
  <c r="J1736" i="5"/>
  <c r="J1737" i="5"/>
  <c r="K1737" i="5" s="1"/>
  <c r="T1735" i="5"/>
  <c r="T1736" i="5"/>
  <c r="T1737" i="5"/>
  <c r="B1732" i="5"/>
  <c r="Q1732" i="5" s="1"/>
  <c r="B1733" i="5"/>
  <c r="Q1733" i="5" s="1"/>
  <c r="B1734" i="5"/>
  <c r="J1732" i="5"/>
  <c r="K1732" i="5" s="1"/>
  <c r="J1733" i="5"/>
  <c r="K1733" i="5" s="1"/>
  <c r="J1734" i="5"/>
  <c r="K1734" i="5" s="1"/>
  <c r="L1734" i="5" s="1"/>
  <c r="T1732" i="5"/>
  <c r="T1733" i="5"/>
  <c r="T1734" i="5"/>
  <c r="B1728" i="5"/>
  <c r="Q1728" i="5" s="1"/>
  <c r="B1729" i="5"/>
  <c r="B1730" i="5"/>
  <c r="M1730" i="5" s="1"/>
  <c r="B1731" i="5"/>
  <c r="Q1731" i="5" s="1"/>
  <c r="J1728" i="5"/>
  <c r="K1728" i="5" s="1"/>
  <c r="L1728" i="5" s="1"/>
  <c r="J1729" i="5"/>
  <c r="J1730" i="5"/>
  <c r="J1731" i="5"/>
  <c r="K1731" i="5" s="1"/>
  <c r="L1731" i="5" s="1"/>
  <c r="T1728" i="5"/>
  <c r="T1729" i="5"/>
  <c r="T1730" i="5"/>
  <c r="T1731" i="5"/>
  <c r="B1725" i="5"/>
  <c r="B1726" i="5"/>
  <c r="M1726" i="5" s="1"/>
  <c r="B1727" i="5"/>
  <c r="M1727" i="5" s="1"/>
  <c r="J1725" i="5"/>
  <c r="J1726" i="5"/>
  <c r="J1727" i="5"/>
  <c r="K1727" i="5" s="1"/>
  <c r="L1727" i="5" s="1"/>
  <c r="P1727" i="5" s="1"/>
  <c r="T1725" i="5"/>
  <c r="T1726" i="5"/>
  <c r="T1727" i="5"/>
  <c r="B1723" i="5"/>
  <c r="M1723" i="5" s="1"/>
  <c r="B1724" i="5"/>
  <c r="M1724" i="5" s="1"/>
  <c r="J1723" i="5"/>
  <c r="K1723" i="5" s="1"/>
  <c r="L1723" i="5" s="1"/>
  <c r="J1724" i="5"/>
  <c r="K1724" i="5" s="1"/>
  <c r="T1723" i="5"/>
  <c r="T1724" i="5"/>
  <c r="B1719" i="5"/>
  <c r="M1719" i="5" s="1"/>
  <c r="B1720" i="5"/>
  <c r="M1720" i="5" s="1"/>
  <c r="B1721" i="5"/>
  <c r="B1722" i="5"/>
  <c r="M1722" i="5" s="1"/>
  <c r="J1719" i="5"/>
  <c r="K1719" i="5" s="1"/>
  <c r="J1720" i="5"/>
  <c r="K1720" i="5" s="1"/>
  <c r="J1721" i="5"/>
  <c r="K1721" i="5" s="1"/>
  <c r="J1722" i="5"/>
  <c r="K1722" i="5" s="1"/>
  <c r="L1722" i="5" s="1"/>
  <c r="T1719" i="5"/>
  <c r="T1720" i="5"/>
  <c r="T1721" i="5"/>
  <c r="T1722" i="5"/>
  <c r="B1715" i="5"/>
  <c r="Q1715" i="5" s="1"/>
  <c r="B1716" i="5"/>
  <c r="M1716" i="5" s="1"/>
  <c r="B1717" i="5"/>
  <c r="B1718" i="5"/>
  <c r="M1718" i="5" s="1"/>
  <c r="J1715" i="5"/>
  <c r="J1716" i="5"/>
  <c r="K1716" i="5" s="1"/>
  <c r="L1716" i="5" s="1"/>
  <c r="J1717" i="5"/>
  <c r="K1717" i="5" s="1"/>
  <c r="J1718" i="5"/>
  <c r="T1715" i="5"/>
  <c r="T1716" i="5"/>
  <c r="T1717" i="5"/>
  <c r="T1718" i="5"/>
  <c r="B1714" i="5"/>
  <c r="J1714" i="5"/>
  <c r="T1714" i="5"/>
  <c r="B1710" i="5"/>
  <c r="M1710" i="5" s="1"/>
  <c r="B1711" i="5"/>
  <c r="B1712" i="5"/>
  <c r="M1712" i="5" s="1"/>
  <c r="B1713" i="5"/>
  <c r="M1713" i="5" s="1"/>
  <c r="J1710" i="5"/>
  <c r="K1710" i="5" s="1"/>
  <c r="J1711" i="5"/>
  <c r="K1711" i="5" s="1"/>
  <c r="L1711" i="5" s="1"/>
  <c r="J1712" i="5"/>
  <c r="K1712" i="5" s="1"/>
  <c r="J1713" i="5"/>
  <c r="T1710" i="5"/>
  <c r="T1711" i="5"/>
  <c r="T1712" i="5"/>
  <c r="T1713" i="5"/>
  <c r="B1708" i="5"/>
  <c r="M1708" i="5" s="1"/>
  <c r="B1709" i="5"/>
  <c r="M1709" i="5" s="1"/>
  <c r="J1708" i="5"/>
  <c r="K1708" i="5" s="1"/>
  <c r="J1709" i="5"/>
  <c r="K1709" i="5" s="1"/>
  <c r="T1708" i="5"/>
  <c r="T1709" i="5"/>
  <c r="B1705" i="5"/>
  <c r="B1706" i="5"/>
  <c r="M1706" i="5" s="1"/>
  <c r="B1707" i="5"/>
  <c r="M1707" i="5" s="1"/>
  <c r="J1705" i="5"/>
  <c r="K1705" i="5" s="1"/>
  <c r="J1706" i="5"/>
  <c r="K1706" i="5" s="1"/>
  <c r="J1707" i="5"/>
  <c r="K1707" i="5" s="1"/>
  <c r="T1705" i="5"/>
  <c r="T1706" i="5"/>
  <c r="T1707" i="5"/>
  <c r="B1702" i="5"/>
  <c r="Q1702" i="5" s="1"/>
  <c r="B1703" i="5"/>
  <c r="B1704" i="5"/>
  <c r="M1704" i="5" s="1"/>
  <c r="J1702" i="5"/>
  <c r="K1702" i="5" s="1"/>
  <c r="L1702" i="5" s="1"/>
  <c r="P1702" i="5" s="1"/>
  <c r="J1703" i="5"/>
  <c r="K1703" i="5" s="1"/>
  <c r="J1704" i="5"/>
  <c r="K1704" i="5" s="1"/>
  <c r="T1702" i="5"/>
  <c r="T1703" i="5"/>
  <c r="T1704" i="5"/>
  <c r="B1697" i="5"/>
  <c r="Q1697" i="5" s="1"/>
  <c r="B1698" i="5"/>
  <c r="B1699" i="5"/>
  <c r="B1700" i="5"/>
  <c r="M1700" i="5" s="1"/>
  <c r="B1701" i="5"/>
  <c r="Q1701" i="5" s="1"/>
  <c r="J1697" i="5"/>
  <c r="J1698" i="5"/>
  <c r="J1699" i="5"/>
  <c r="J1700" i="5"/>
  <c r="J1701" i="5"/>
  <c r="K1701" i="5" s="1"/>
  <c r="T1697" i="5"/>
  <c r="T1698" i="5"/>
  <c r="T1699" i="5"/>
  <c r="T1700" i="5"/>
  <c r="T1701" i="5"/>
  <c r="B1696" i="5"/>
  <c r="Q1696" i="5" s="1"/>
  <c r="J1696" i="5"/>
  <c r="K1696" i="5" s="1"/>
  <c r="L1696" i="5" s="1"/>
  <c r="T1696" i="5"/>
  <c r="B1692" i="5"/>
  <c r="B1693" i="5"/>
  <c r="Q1693" i="5" s="1"/>
  <c r="B1694" i="5"/>
  <c r="M1694" i="5" s="1"/>
  <c r="B1695" i="5"/>
  <c r="Q1695" i="5" s="1"/>
  <c r="J1692" i="5"/>
  <c r="K1692" i="5" s="1"/>
  <c r="L1692" i="5" s="1"/>
  <c r="P1692" i="5" s="1"/>
  <c r="J1693" i="5"/>
  <c r="J1694" i="5"/>
  <c r="K1694" i="5" s="1"/>
  <c r="L1694" i="5" s="1"/>
  <c r="J1695" i="5"/>
  <c r="T1692" i="5"/>
  <c r="T1693" i="5"/>
  <c r="T1694" i="5"/>
  <c r="T1695" i="5"/>
  <c r="B1689" i="5"/>
  <c r="B1690" i="5"/>
  <c r="M1690" i="5" s="1"/>
  <c r="B1691" i="5"/>
  <c r="M1691" i="5" s="1"/>
  <c r="J1689" i="5"/>
  <c r="K1689" i="5" s="1"/>
  <c r="J1690" i="5"/>
  <c r="K1690" i="5" s="1"/>
  <c r="J1691" i="5"/>
  <c r="K1691" i="5" s="1"/>
  <c r="T1689" i="5"/>
  <c r="T1690" i="5"/>
  <c r="T1691" i="5"/>
  <c r="B1688" i="5"/>
  <c r="J1688" i="5"/>
  <c r="K1688" i="5" s="1"/>
  <c r="L1688" i="5" s="1"/>
  <c r="P1688" i="5" s="1"/>
  <c r="T1688" i="5"/>
  <c r="B1686" i="5"/>
  <c r="M1686" i="5" s="1"/>
  <c r="B1687" i="5"/>
  <c r="J1686" i="5"/>
  <c r="K1686" i="5" s="1"/>
  <c r="J1687" i="5"/>
  <c r="T1686" i="5"/>
  <c r="T1687" i="5"/>
  <c r="B1683" i="5"/>
  <c r="Q1683" i="5" s="1"/>
  <c r="B1684" i="5"/>
  <c r="M1684" i="5" s="1"/>
  <c r="B1685" i="5"/>
  <c r="Q1685" i="5" s="1"/>
  <c r="J1683" i="5"/>
  <c r="K1683" i="5" s="1"/>
  <c r="J1684" i="5"/>
  <c r="J1685" i="5"/>
  <c r="K1685" i="5" s="1"/>
  <c r="T1683" i="5"/>
  <c r="T1684" i="5"/>
  <c r="T1685" i="5"/>
  <c r="B1682" i="5"/>
  <c r="M1682" i="5" s="1"/>
  <c r="J1682" i="5"/>
  <c r="K1682" i="5" s="1"/>
  <c r="T1682" i="5"/>
  <c r="B1681" i="5"/>
  <c r="J1681" i="5"/>
  <c r="K1681" i="5" s="1"/>
  <c r="T1681" i="5"/>
  <c r="B1678" i="5"/>
  <c r="B1679" i="5"/>
  <c r="M1679" i="5" s="1"/>
  <c r="B1680" i="5"/>
  <c r="Q1680" i="5" s="1"/>
  <c r="J1678" i="5"/>
  <c r="K1678" i="5" s="1"/>
  <c r="J1679" i="5"/>
  <c r="K1679" i="5" s="1"/>
  <c r="J1680" i="5"/>
  <c r="K1680" i="5" s="1"/>
  <c r="T1678" i="5"/>
  <c r="T1679" i="5"/>
  <c r="T1680" i="5"/>
  <c r="B1673" i="5"/>
  <c r="B1674" i="5"/>
  <c r="Q1674" i="5" s="1"/>
  <c r="B1675" i="5"/>
  <c r="M1675" i="5" s="1"/>
  <c r="B1676" i="5"/>
  <c r="M1676" i="5" s="1"/>
  <c r="B1677" i="5"/>
  <c r="J1673" i="5"/>
  <c r="J1674" i="5"/>
  <c r="K1674" i="5" s="1"/>
  <c r="L1674" i="5" s="1"/>
  <c r="J1675" i="5"/>
  <c r="K1675" i="5" s="1"/>
  <c r="J1676" i="5"/>
  <c r="J1677" i="5"/>
  <c r="T1673" i="5"/>
  <c r="T1674" i="5"/>
  <c r="T1675" i="5"/>
  <c r="T1676" i="5"/>
  <c r="T1677" i="5"/>
  <c r="B1670" i="5"/>
  <c r="Q1670" i="5" s="1"/>
  <c r="B1671" i="5"/>
  <c r="Q1671" i="5" s="1"/>
  <c r="B1672" i="5"/>
  <c r="Q1672" i="5" s="1"/>
  <c r="J1670" i="5"/>
  <c r="K1670" i="5" s="1"/>
  <c r="J1671" i="5"/>
  <c r="K1671" i="5" s="1"/>
  <c r="J1672" i="5"/>
  <c r="K1672" i="5" s="1"/>
  <c r="T1670" i="5"/>
  <c r="T1671" i="5"/>
  <c r="T1672" i="5"/>
  <c r="B1667" i="5"/>
  <c r="B1668" i="5"/>
  <c r="Q1668" i="5" s="1"/>
  <c r="B1669" i="5"/>
  <c r="M1669" i="5" s="1"/>
  <c r="J1667" i="5"/>
  <c r="K1667" i="5" s="1"/>
  <c r="L1667" i="5" s="1"/>
  <c r="J1668" i="5"/>
  <c r="J1669" i="5"/>
  <c r="K1669" i="5" s="1"/>
  <c r="T1667" i="5"/>
  <c r="T1668" i="5"/>
  <c r="T1669" i="5"/>
  <c r="B1664" i="5"/>
  <c r="Q1664" i="5" s="1"/>
  <c r="B1665" i="5"/>
  <c r="Q1665" i="5" s="1"/>
  <c r="B1666" i="5"/>
  <c r="Q1666" i="5" s="1"/>
  <c r="J1664" i="5"/>
  <c r="K1664" i="5" s="1"/>
  <c r="L1664" i="5" s="1"/>
  <c r="J1665" i="5"/>
  <c r="J1666" i="5"/>
  <c r="K1666" i="5" s="1"/>
  <c r="T1664" i="5"/>
  <c r="T1665" i="5"/>
  <c r="T1666" i="5"/>
  <c r="B1662" i="5"/>
  <c r="M1662" i="5" s="1"/>
  <c r="B1663" i="5"/>
  <c r="M1663" i="5" s="1"/>
  <c r="J1662" i="5"/>
  <c r="K1662" i="5" s="1"/>
  <c r="L1662" i="5" s="1"/>
  <c r="J1663" i="5"/>
  <c r="T1662" i="5"/>
  <c r="T1663" i="5"/>
  <c r="B1658" i="5"/>
  <c r="Q1658" i="5" s="1"/>
  <c r="B1659" i="5"/>
  <c r="Q1659" i="5" s="1"/>
  <c r="B1660" i="5"/>
  <c r="M1660" i="5" s="1"/>
  <c r="B1661" i="5"/>
  <c r="J1658" i="5"/>
  <c r="J1659" i="5"/>
  <c r="K1659" i="5" s="1"/>
  <c r="J1660" i="5"/>
  <c r="K1660" i="5" s="1"/>
  <c r="L1660" i="5" s="1"/>
  <c r="J1661" i="5"/>
  <c r="K1661" i="5" s="1"/>
  <c r="L1661" i="5" s="1"/>
  <c r="T1658" i="5"/>
  <c r="T1659" i="5"/>
  <c r="T1660" i="5"/>
  <c r="T1661" i="5"/>
  <c r="B1656" i="5"/>
  <c r="Q1656" i="5" s="1"/>
  <c r="B1657" i="5"/>
  <c r="Q1657" i="5" s="1"/>
  <c r="J1656" i="5"/>
  <c r="K1656" i="5" s="1"/>
  <c r="J1657" i="5"/>
  <c r="T1656" i="5"/>
  <c r="T1657" i="5"/>
  <c r="B1655" i="5"/>
  <c r="J1655" i="5"/>
  <c r="K1655" i="5" s="1"/>
  <c r="L1655" i="5" s="1"/>
  <c r="T1655" i="5"/>
  <c r="B1652" i="5"/>
  <c r="B1653" i="5"/>
  <c r="M1653" i="5" s="1"/>
  <c r="B1654" i="5"/>
  <c r="J1652" i="5"/>
  <c r="K1652" i="5" s="1"/>
  <c r="L1652" i="5" s="1"/>
  <c r="J1653" i="5"/>
  <c r="J1654" i="5"/>
  <c r="K1654" i="5" s="1"/>
  <c r="T1652" i="5"/>
  <c r="T1653" i="5"/>
  <c r="T1654" i="5"/>
  <c r="B1651" i="5"/>
  <c r="J1651" i="5"/>
  <c r="T1651" i="5"/>
  <c r="B1650" i="5"/>
  <c r="M1650" i="5" s="1"/>
  <c r="J1650" i="5"/>
  <c r="K1650" i="5" s="1"/>
  <c r="T1650" i="5"/>
  <c r="B1645" i="5"/>
  <c r="B1646" i="5"/>
  <c r="M1646" i="5" s="1"/>
  <c r="B1647" i="5"/>
  <c r="M1647" i="5" s="1"/>
  <c r="B1648" i="5"/>
  <c r="Q1648" i="5" s="1"/>
  <c r="B1649" i="5"/>
  <c r="Q1649" i="5" s="1"/>
  <c r="J1645" i="5"/>
  <c r="K1645" i="5" s="1"/>
  <c r="J1646" i="5"/>
  <c r="J1647" i="5"/>
  <c r="K1647" i="5" s="1"/>
  <c r="J1648" i="5"/>
  <c r="K1648" i="5" s="1"/>
  <c r="J1649" i="5"/>
  <c r="T1645" i="5"/>
  <c r="T1646" i="5"/>
  <c r="T1647" i="5"/>
  <c r="T1648" i="5"/>
  <c r="T1649" i="5"/>
  <c r="B1639" i="5"/>
  <c r="M1639" i="5" s="1"/>
  <c r="B1640" i="5"/>
  <c r="Q1640" i="5" s="1"/>
  <c r="B1641" i="5"/>
  <c r="B1642" i="5"/>
  <c r="M1642" i="5" s="1"/>
  <c r="B1643" i="5"/>
  <c r="Q1643" i="5" s="1"/>
  <c r="B1644" i="5"/>
  <c r="M1644" i="5" s="1"/>
  <c r="J1639" i="5"/>
  <c r="K1639" i="5" s="1"/>
  <c r="L1639" i="5" s="1"/>
  <c r="J1640" i="5"/>
  <c r="K1640" i="5" s="1"/>
  <c r="J1641" i="5"/>
  <c r="K1641" i="5" s="1"/>
  <c r="J1642" i="5"/>
  <c r="K1642" i="5" s="1"/>
  <c r="J1643" i="5"/>
  <c r="K1643" i="5" s="1"/>
  <c r="J1644" i="5"/>
  <c r="T1639" i="5"/>
  <c r="T1640" i="5"/>
  <c r="T1641" i="5"/>
  <c r="T1642" i="5"/>
  <c r="T1643" i="5"/>
  <c r="T1644" i="5"/>
  <c r="B1637" i="5"/>
  <c r="Q1637" i="5" s="1"/>
  <c r="B1638" i="5"/>
  <c r="J1637" i="5"/>
  <c r="K1637" i="5" s="1"/>
  <c r="J1638" i="5"/>
  <c r="K1638" i="5" s="1"/>
  <c r="T1637" i="5"/>
  <c r="T1638" i="5"/>
  <c r="B1633" i="5"/>
  <c r="Q1633" i="5" s="1"/>
  <c r="B1634" i="5"/>
  <c r="M1634" i="5" s="1"/>
  <c r="B1635" i="5"/>
  <c r="M1635" i="5" s="1"/>
  <c r="B1636" i="5"/>
  <c r="Q1636" i="5" s="1"/>
  <c r="J1633" i="5"/>
  <c r="K1633" i="5" s="1"/>
  <c r="J1634" i="5"/>
  <c r="J1635" i="5"/>
  <c r="K1635" i="5" s="1"/>
  <c r="J1636" i="5"/>
  <c r="K1636" i="5" s="1"/>
  <c r="L1636" i="5" s="1"/>
  <c r="T1633" i="5"/>
  <c r="T1634" i="5"/>
  <c r="T1635" i="5"/>
  <c r="T1636" i="5"/>
  <c r="B1631" i="5"/>
  <c r="Q1631" i="5" s="1"/>
  <c r="B1632" i="5"/>
  <c r="M1632" i="5" s="1"/>
  <c r="J1631" i="5"/>
  <c r="K1631" i="5" s="1"/>
  <c r="J1632" i="5"/>
  <c r="K1632" i="5" s="1"/>
  <c r="T1631" i="5"/>
  <c r="T1632" i="5"/>
  <c r="B1624" i="5"/>
  <c r="M1624" i="5" s="1"/>
  <c r="B1625" i="5"/>
  <c r="B1626" i="5"/>
  <c r="M1626" i="5" s="1"/>
  <c r="B1627" i="5"/>
  <c r="M1627" i="5" s="1"/>
  <c r="B1628" i="5"/>
  <c r="M1628" i="5" s="1"/>
  <c r="B1629" i="5"/>
  <c r="B1630" i="5"/>
  <c r="M1630" i="5" s="1"/>
  <c r="J1624" i="5"/>
  <c r="K1624" i="5" s="1"/>
  <c r="J1625" i="5"/>
  <c r="J1626" i="5"/>
  <c r="K1626" i="5" s="1"/>
  <c r="L1626" i="5" s="1"/>
  <c r="J1627" i="5"/>
  <c r="K1627" i="5" s="1"/>
  <c r="L1627" i="5" s="1"/>
  <c r="J1628" i="5"/>
  <c r="K1628" i="5" s="1"/>
  <c r="J1629" i="5"/>
  <c r="J1630" i="5"/>
  <c r="K1630" i="5" s="1"/>
  <c r="L1630" i="5" s="1"/>
  <c r="T1624" i="5"/>
  <c r="T1625" i="5"/>
  <c r="T1626" i="5"/>
  <c r="T1627" i="5"/>
  <c r="T1628" i="5"/>
  <c r="T1629" i="5"/>
  <c r="T1630" i="5"/>
  <c r="B1621" i="5"/>
  <c r="Q1621" i="5" s="1"/>
  <c r="B1622" i="5"/>
  <c r="M1622" i="5" s="1"/>
  <c r="B1623" i="5"/>
  <c r="Q1623" i="5" s="1"/>
  <c r="J1621" i="5"/>
  <c r="K1621" i="5" s="1"/>
  <c r="L1621" i="5" s="1"/>
  <c r="P1621" i="5" s="1"/>
  <c r="J1622" i="5"/>
  <c r="K1622" i="5" s="1"/>
  <c r="L1622" i="5" s="1"/>
  <c r="J1623" i="5"/>
  <c r="K1623" i="5" s="1"/>
  <c r="L1623" i="5" s="1"/>
  <c r="P1623" i="5" s="1"/>
  <c r="T1621" i="5"/>
  <c r="T1622" i="5"/>
  <c r="T1623" i="5"/>
  <c r="B1615" i="5"/>
  <c r="M1615" i="5" s="1"/>
  <c r="B1616" i="5"/>
  <c r="M1616" i="5" s="1"/>
  <c r="B1617" i="5"/>
  <c r="Q1617" i="5" s="1"/>
  <c r="B1618" i="5"/>
  <c r="M1618" i="5" s="1"/>
  <c r="B1619" i="5"/>
  <c r="B1620" i="5"/>
  <c r="Q1620" i="5" s="1"/>
  <c r="J1615" i="5"/>
  <c r="K1615" i="5" s="1"/>
  <c r="J1616" i="5"/>
  <c r="K1616" i="5" s="1"/>
  <c r="J1617" i="5"/>
  <c r="K1617" i="5" s="1"/>
  <c r="J1618" i="5"/>
  <c r="K1618" i="5" s="1"/>
  <c r="J1619" i="5"/>
  <c r="K1619" i="5" s="1"/>
  <c r="J1620" i="5"/>
  <c r="K1620" i="5" s="1"/>
  <c r="T1615" i="5"/>
  <c r="T1616" i="5"/>
  <c r="T1617" i="5"/>
  <c r="T1618" i="5"/>
  <c r="T1619" i="5"/>
  <c r="T1620" i="5"/>
  <c r="B1613" i="5"/>
  <c r="M1613" i="5" s="1"/>
  <c r="B1614" i="5"/>
  <c r="M1614" i="5" s="1"/>
  <c r="J1613" i="5"/>
  <c r="K1613" i="5" s="1"/>
  <c r="J1614" i="5"/>
  <c r="T1613" i="5"/>
  <c r="T1614" i="5"/>
  <c r="B1609" i="5"/>
  <c r="Q1609" i="5" s="1"/>
  <c r="B1610" i="5"/>
  <c r="M1610" i="5" s="1"/>
  <c r="B1611" i="5"/>
  <c r="B1612" i="5"/>
  <c r="Q1612" i="5" s="1"/>
  <c r="J1609" i="5"/>
  <c r="K1609" i="5" s="1"/>
  <c r="J1610" i="5"/>
  <c r="J1611" i="5"/>
  <c r="K1611" i="5" s="1"/>
  <c r="J1612" i="5"/>
  <c r="K1612" i="5" s="1"/>
  <c r="T1609" i="5"/>
  <c r="T1610" i="5"/>
  <c r="T1611" i="5"/>
  <c r="T1612" i="5"/>
  <c r="B1603" i="5"/>
  <c r="M1603" i="5" s="1"/>
  <c r="B1604" i="5"/>
  <c r="M1604" i="5" s="1"/>
  <c r="B1605" i="5"/>
  <c r="M1605" i="5" s="1"/>
  <c r="B1606" i="5"/>
  <c r="M1606" i="5" s="1"/>
  <c r="B1607" i="5"/>
  <c r="M1607" i="5" s="1"/>
  <c r="B1608" i="5"/>
  <c r="Q1608" i="5" s="1"/>
  <c r="J1603" i="5"/>
  <c r="J1604" i="5"/>
  <c r="K1604" i="5" s="1"/>
  <c r="J1605" i="5"/>
  <c r="K1605" i="5" s="1"/>
  <c r="J1606" i="5"/>
  <c r="K1606" i="5" s="1"/>
  <c r="J1607" i="5"/>
  <c r="K1607" i="5" s="1"/>
  <c r="J1608" i="5"/>
  <c r="K1608" i="5" s="1"/>
  <c r="T1603" i="5"/>
  <c r="T1604" i="5"/>
  <c r="T1605" i="5"/>
  <c r="T1606" i="5"/>
  <c r="T1607" i="5"/>
  <c r="T1608" i="5"/>
  <c r="B1602" i="5"/>
  <c r="J1602" i="5"/>
  <c r="K1602" i="5" s="1"/>
  <c r="T1602" i="5"/>
  <c r="B1599" i="5"/>
  <c r="Q1599" i="5" s="1"/>
  <c r="B1600" i="5"/>
  <c r="B1601" i="5"/>
  <c r="M1601" i="5" s="1"/>
  <c r="J1599" i="5"/>
  <c r="K1599" i="5" s="1"/>
  <c r="J1600" i="5"/>
  <c r="K1600" i="5" s="1"/>
  <c r="L1600" i="5" s="1"/>
  <c r="J1601" i="5"/>
  <c r="T1599" i="5"/>
  <c r="T1600" i="5"/>
  <c r="T1601" i="5"/>
  <c r="B1596" i="5"/>
  <c r="Q1596" i="5" s="1"/>
  <c r="B1597" i="5"/>
  <c r="B1598" i="5"/>
  <c r="M1598" i="5" s="1"/>
  <c r="J1596" i="5"/>
  <c r="K1596" i="5" s="1"/>
  <c r="J1597" i="5"/>
  <c r="J1598" i="5"/>
  <c r="T1596" i="5"/>
  <c r="T1597" i="5"/>
  <c r="T1598" i="5"/>
  <c r="B1594" i="5"/>
  <c r="M1594" i="5" s="1"/>
  <c r="B1595" i="5"/>
  <c r="M1595" i="5" s="1"/>
  <c r="J1594" i="5"/>
  <c r="K1594" i="5" s="1"/>
  <c r="J1595" i="5"/>
  <c r="K1595" i="5" s="1"/>
  <c r="T1594" i="5"/>
  <c r="T1595" i="5"/>
  <c r="B1590" i="5"/>
  <c r="B1591" i="5"/>
  <c r="Q1591" i="5" s="1"/>
  <c r="B1592" i="5"/>
  <c r="Q1592" i="5" s="1"/>
  <c r="B1593" i="5"/>
  <c r="Q1593" i="5" s="1"/>
  <c r="J1590" i="5"/>
  <c r="K1590" i="5" s="1"/>
  <c r="J1591" i="5"/>
  <c r="K1591" i="5" s="1"/>
  <c r="J1592" i="5"/>
  <c r="K1592" i="5" s="1"/>
  <c r="J1593" i="5"/>
  <c r="K1593" i="5" s="1"/>
  <c r="T1590" i="5"/>
  <c r="T1591" i="5"/>
  <c r="T1592" i="5"/>
  <c r="T1593" i="5"/>
  <c r="B1589" i="5"/>
  <c r="J1589" i="5"/>
  <c r="K1589" i="5" s="1"/>
  <c r="T1589" i="5"/>
  <c r="B1587" i="5"/>
  <c r="B1588" i="5"/>
  <c r="Q1588" i="5" s="1"/>
  <c r="J1587" i="5"/>
  <c r="K1587" i="5" s="1"/>
  <c r="J1588" i="5"/>
  <c r="K1588" i="5" s="1"/>
  <c r="T1587" i="5"/>
  <c r="T1588" i="5"/>
  <c r="B1585" i="5"/>
  <c r="Q1585" i="5" s="1"/>
  <c r="B1586" i="5"/>
  <c r="J1585" i="5"/>
  <c r="J1586" i="5"/>
  <c r="K1586" i="5" s="1"/>
  <c r="L1586" i="5" s="1"/>
  <c r="P1586" i="5" s="1"/>
  <c r="T1585" i="5"/>
  <c r="T1586" i="5"/>
  <c r="B1583" i="5"/>
  <c r="Q1583" i="5" s="1"/>
  <c r="B1584" i="5"/>
  <c r="M1584" i="5" s="1"/>
  <c r="J1583" i="5"/>
  <c r="J1584" i="5"/>
  <c r="K1584" i="5" s="1"/>
  <c r="T1583" i="5"/>
  <c r="T1584" i="5"/>
  <c r="B1581" i="5"/>
  <c r="B1582" i="5"/>
  <c r="J1581" i="5"/>
  <c r="K1581" i="5" s="1"/>
  <c r="J1582" i="5"/>
  <c r="T1581" i="5"/>
  <c r="T1582" i="5"/>
  <c r="B1578" i="5"/>
  <c r="B1579" i="5"/>
  <c r="B1580" i="5"/>
  <c r="Q1580" i="5" s="1"/>
  <c r="J1578" i="5"/>
  <c r="K1578" i="5" s="1"/>
  <c r="J1579" i="5"/>
  <c r="K1579" i="5" s="1"/>
  <c r="J1580" i="5"/>
  <c r="K1580" i="5" s="1"/>
  <c r="T1578" i="5"/>
  <c r="T1579" i="5"/>
  <c r="T1580" i="5"/>
  <c r="B1575" i="5"/>
  <c r="B1576" i="5"/>
  <c r="M1576" i="5" s="1"/>
  <c r="B1577" i="5"/>
  <c r="M1577" i="5" s="1"/>
  <c r="J1575" i="5"/>
  <c r="K1575" i="5" s="1"/>
  <c r="J1576" i="5"/>
  <c r="K1576" i="5" s="1"/>
  <c r="J1577" i="5"/>
  <c r="K1577" i="5" s="1"/>
  <c r="T1575" i="5"/>
  <c r="T1576" i="5"/>
  <c r="T1577" i="5"/>
  <c r="B1571" i="5"/>
  <c r="M1571" i="5" s="1"/>
  <c r="B1572" i="5"/>
  <c r="Q1572" i="5" s="1"/>
  <c r="B1573" i="5"/>
  <c r="Q1573" i="5" s="1"/>
  <c r="B1574" i="5"/>
  <c r="J1571" i="5"/>
  <c r="K1571" i="5" s="1"/>
  <c r="J1572" i="5"/>
  <c r="K1572" i="5" s="1"/>
  <c r="J1573" i="5"/>
  <c r="K1573" i="5" s="1"/>
  <c r="J1574" i="5"/>
  <c r="T1571" i="5"/>
  <c r="T1572" i="5"/>
  <c r="T1573" i="5"/>
  <c r="T1574" i="5"/>
  <c r="B1570" i="5"/>
  <c r="J1570" i="5"/>
  <c r="K1570" i="5" s="1"/>
  <c r="T1570" i="5"/>
  <c r="B1567" i="5"/>
  <c r="M1567" i="5" s="1"/>
  <c r="B1568" i="5"/>
  <c r="M1568" i="5" s="1"/>
  <c r="B1569" i="5"/>
  <c r="Q1569" i="5" s="1"/>
  <c r="J1567" i="5"/>
  <c r="K1567" i="5" s="1"/>
  <c r="J1568" i="5"/>
  <c r="K1568" i="5" s="1"/>
  <c r="J1569" i="5"/>
  <c r="K1569" i="5" s="1"/>
  <c r="T1567" i="5"/>
  <c r="T1568" i="5"/>
  <c r="T1569" i="5"/>
  <c r="B1564" i="5"/>
  <c r="B1565" i="5"/>
  <c r="Q1565" i="5" s="1"/>
  <c r="B1566" i="5"/>
  <c r="M1566" i="5" s="1"/>
  <c r="J1564" i="5"/>
  <c r="J1565" i="5"/>
  <c r="K1565" i="5" s="1"/>
  <c r="L1565" i="5" s="1"/>
  <c r="J1566" i="5"/>
  <c r="K1566" i="5" s="1"/>
  <c r="T1564" i="5"/>
  <c r="T1565" i="5"/>
  <c r="T1566" i="5"/>
  <c r="B1562" i="5"/>
  <c r="Q1562" i="5" s="1"/>
  <c r="B1563" i="5"/>
  <c r="M1563" i="5" s="1"/>
  <c r="J1562" i="5"/>
  <c r="K1562" i="5" s="1"/>
  <c r="J1563" i="5"/>
  <c r="K1563" i="5" s="1"/>
  <c r="L1563" i="5" s="1"/>
  <c r="T1562" i="5"/>
  <c r="T1563" i="5"/>
  <c r="B1556" i="5"/>
  <c r="M1556" i="5" s="1"/>
  <c r="B1557" i="5"/>
  <c r="Q1557" i="5" s="1"/>
  <c r="B1558" i="5"/>
  <c r="M1558" i="5" s="1"/>
  <c r="B1559" i="5"/>
  <c r="B1560" i="5"/>
  <c r="M1560" i="5" s="1"/>
  <c r="B1561" i="5"/>
  <c r="M1561" i="5" s="1"/>
  <c r="J1556" i="5"/>
  <c r="K1556" i="5" s="1"/>
  <c r="J1557" i="5"/>
  <c r="K1557" i="5" s="1"/>
  <c r="L1557" i="5" s="1"/>
  <c r="P1557" i="5" s="1"/>
  <c r="J1558" i="5"/>
  <c r="K1558" i="5" s="1"/>
  <c r="L1558" i="5" s="1"/>
  <c r="J1559" i="5"/>
  <c r="K1559" i="5" s="1"/>
  <c r="L1559" i="5" s="1"/>
  <c r="J1560" i="5"/>
  <c r="K1560" i="5" s="1"/>
  <c r="J1561" i="5"/>
  <c r="K1561" i="5" s="1"/>
  <c r="L1561" i="5" s="1"/>
  <c r="P1561" i="5" s="1"/>
  <c r="T1556" i="5"/>
  <c r="T1557" i="5"/>
  <c r="T1558" i="5"/>
  <c r="T1559" i="5"/>
  <c r="T1560" i="5"/>
  <c r="T1561" i="5"/>
  <c r="B1555" i="5"/>
  <c r="Q1555" i="5" s="1"/>
  <c r="J1555" i="5"/>
  <c r="K1555" i="5" s="1"/>
  <c r="T1555" i="5"/>
  <c r="B1553" i="5"/>
  <c r="M1553" i="5" s="1"/>
  <c r="B1554" i="5"/>
  <c r="M1554" i="5" s="1"/>
  <c r="J1553" i="5"/>
  <c r="J1554" i="5"/>
  <c r="K1554" i="5" s="1"/>
  <c r="T1553" i="5"/>
  <c r="T1554" i="5"/>
  <c r="B1548" i="5"/>
  <c r="Q1548" i="5" s="1"/>
  <c r="B1549" i="5"/>
  <c r="M1549" i="5" s="1"/>
  <c r="B1550" i="5"/>
  <c r="Q1550" i="5" s="1"/>
  <c r="B1551" i="5"/>
  <c r="B1552" i="5"/>
  <c r="M1552" i="5" s="1"/>
  <c r="J1548" i="5"/>
  <c r="K1548" i="5" s="1"/>
  <c r="J1549" i="5"/>
  <c r="K1549" i="5" s="1"/>
  <c r="L1549" i="5" s="1"/>
  <c r="J1550" i="5"/>
  <c r="J1551" i="5"/>
  <c r="K1551" i="5" s="1"/>
  <c r="L1551" i="5" s="1"/>
  <c r="J1552" i="5"/>
  <c r="K1552" i="5" s="1"/>
  <c r="T1548" i="5"/>
  <c r="T1549" i="5"/>
  <c r="T1550" i="5"/>
  <c r="T1551" i="5"/>
  <c r="T1552" i="5"/>
  <c r="B1546" i="5"/>
  <c r="M1546" i="5" s="1"/>
  <c r="B1547" i="5"/>
  <c r="M1547" i="5" s="1"/>
  <c r="J1546" i="5"/>
  <c r="K1546" i="5" s="1"/>
  <c r="J1547" i="5"/>
  <c r="K1547" i="5" s="1"/>
  <c r="T1546" i="5"/>
  <c r="T1547" i="5"/>
  <c r="B1543" i="5"/>
  <c r="Q1543" i="5" s="1"/>
  <c r="B1544" i="5"/>
  <c r="B1545" i="5"/>
  <c r="M1545" i="5" s="1"/>
  <c r="J1543" i="5"/>
  <c r="K1543" i="5" s="1"/>
  <c r="J1544" i="5"/>
  <c r="K1544" i="5" s="1"/>
  <c r="L1544" i="5" s="1"/>
  <c r="J1545" i="5"/>
  <c r="K1545" i="5" s="1"/>
  <c r="T1543" i="5"/>
  <c r="T1544" i="5"/>
  <c r="T1545" i="5"/>
  <c r="B1541" i="5"/>
  <c r="M1541" i="5" s="1"/>
  <c r="B1542" i="5"/>
  <c r="M1542" i="5" s="1"/>
  <c r="J1541" i="5"/>
  <c r="J1542" i="5"/>
  <c r="K1542" i="5" s="1"/>
  <c r="L1542" i="5" s="1"/>
  <c r="T1541" i="5"/>
  <c r="T1542" i="5"/>
  <c r="B1539" i="5"/>
  <c r="M1539" i="5" s="1"/>
  <c r="B1540" i="5"/>
  <c r="M1540" i="5" s="1"/>
  <c r="J1539" i="5"/>
  <c r="K1539" i="5" s="1"/>
  <c r="L1539" i="5" s="1"/>
  <c r="J1540" i="5"/>
  <c r="T1539" i="5"/>
  <c r="T1540" i="5"/>
  <c r="B1535" i="5"/>
  <c r="M1535" i="5" s="1"/>
  <c r="B1536" i="5"/>
  <c r="Q1536" i="5" s="1"/>
  <c r="B1537" i="5"/>
  <c r="B1538" i="5"/>
  <c r="Q1538" i="5" s="1"/>
  <c r="J1535" i="5"/>
  <c r="K1535" i="5" s="1"/>
  <c r="L1535" i="5" s="1"/>
  <c r="P1535" i="5" s="1"/>
  <c r="J1536" i="5"/>
  <c r="K1536" i="5" s="1"/>
  <c r="L1536" i="5" s="1"/>
  <c r="J1537" i="5"/>
  <c r="K1537" i="5" s="1"/>
  <c r="J1538" i="5"/>
  <c r="K1538" i="5" s="1"/>
  <c r="T1535" i="5"/>
  <c r="T1536" i="5"/>
  <c r="T1537" i="5"/>
  <c r="T1538" i="5"/>
  <c r="B1532" i="5"/>
  <c r="M1532" i="5" s="1"/>
  <c r="B1533" i="5"/>
  <c r="Q1533" i="5" s="1"/>
  <c r="B1534" i="5"/>
  <c r="Q1534" i="5" s="1"/>
  <c r="J1532" i="5"/>
  <c r="K1532" i="5" s="1"/>
  <c r="J1533" i="5"/>
  <c r="K1533" i="5" s="1"/>
  <c r="J1534" i="5"/>
  <c r="K1534" i="5" s="1"/>
  <c r="T1532" i="5"/>
  <c r="T1533" i="5"/>
  <c r="T1534" i="5"/>
  <c r="B1528" i="5"/>
  <c r="B1529" i="5"/>
  <c r="M1529" i="5" s="1"/>
  <c r="B1530" i="5"/>
  <c r="B1531" i="5"/>
  <c r="Q1531" i="5" s="1"/>
  <c r="J1528" i="5"/>
  <c r="K1528" i="5" s="1"/>
  <c r="J1529" i="5"/>
  <c r="K1529" i="5" s="1"/>
  <c r="J1530" i="5"/>
  <c r="K1530" i="5" s="1"/>
  <c r="J1531" i="5"/>
  <c r="T1528" i="5"/>
  <c r="T1529" i="5"/>
  <c r="T1530" i="5"/>
  <c r="T1531" i="5"/>
  <c r="B1522" i="5"/>
  <c r="Q1522" i="5" s="1"/>
  <c r="B1523" i="5"/>
  <c r="Q1523" i="5" s="1"/>
  <c r="B1524" i="5"/>
  <c r="B1525" i="5"/>
  <c r="M1525" i="5" s="1"/>
  <c r="B1526" i="5"/>
  <c r="Q1526" i="5" s="1"/>
  <c r="B1527" i="5"/>
  <c r="M1527" i="5" s="1"/>
  <c r="J1522" i="5"/>
  <c r="K1522" i="5" s="1"/>
  <c r="J1523" i="5"/>
  <c r="K1523" i="5" s="1"/>
  <c r="L1523" i="5" s="1"/>
  <c r="J1524" i="5"/>
  <c r="K1524" i="5" s="1"/>
  <c r="J1525" i="5"/>
  <c r="K1525" i="5" s="1"/>
  <c r="L1525" i="5" s="1"/>
  <c r="J1526" i="5"/>
  <c r="K1526" i="5" s="1"/>
  <c r="J1527" i="5"/>
  <c r="K1527" i="5" s="1"/>
  <c r="L1527" i="5" s="1"/>
  <c r="T1522" i="5"/>
  <c r="T1523" i="5"/>
  <c r="T1524" i="5"/>
  <c r="T1525" i="5"/>
  <c r="T1526" i="5"/>
  <c r="T1527" i="5"/>
  <c r="B1521" i="5"/>
  <c r="J1521" i="5"/>
  <c r="K1521" i="5" s="1"/>
  <c r="T1521" i="5"/>
  <c r="B1520" i="5"/>
  <c r="M1520" i="5" s="1"/>
  <c r="J1520" i="5"/>
  <c r="K1520" i="5" s="1"/>
  <c r="T1520" i="5"/>
  <c r="B1517" i="5"/>
  <c r="B1518" i="5"/>
  <c r="Q1518" i="5" s="1"/>
  <c r="B1519" i="5"/>
  <c r="Q1519" i="5" s="1"/>
  <c r="J1517" i="5"/>
  <c r="K1517" i="5" s="1"/>
  <c r="J1518" i="5"/>
  <c r="K1518" i="5" s="1"/>
  <c r="J1519" i="5"/>
  <c r="K1519" i="5" s="1"/>
  <c r="T1517" i="5"/>
  <c r="T1518" i="5"/>
  <c r="T1519" i="5"/>
  <c r="B1513" i="5"/>
  <c r="B1514" i="5"/>
  <c r="M1514" i="5" s="1"/>
  <c r="B1515" i="5"/>
  <c r="M1515" i="5" s="1"/>
  <c r="B1516" i="5"/>
  <c r="M1516" i="5" s="1"/>
  <c r="J1513" i="5"/>
  <c r="K1513" i="5" s="1"/>
  <c r="J1514" i="5"/>
  <c r="K1514" i="5" s="1"/>
  <c r="L1514" i="5" s="1"/>
  <c r="J1515" i="5"/>
  <c r="K1515" i="5" s="1"/>
  <c r="J1516" i="5"/>
  <c r="T1513" i="5"/>
  <c r="T1514" i="5"/>
  <c r="T1515" i="5"/>
  <c r="T1516" i="5"/>
  <c r="B1512" i="5"/>
  <c r="M1512" i="5" s="1"/>
  <c r="J1512" i="5"/>
  <c r="T1512" i="5"/>
  <c r="B1509" i="5"/>
  <c r="M1509" i="5" s="1"/>
  <c r="B1510" i="5"/>
  <c r="M1510" i="5" s="1"/>
  <c r="B1511" i="5"/>
  <c r="J1509" i="5"/>
  <c r="K1509" i="5" s="1"/>
  <c r="J1510" i="5"/>
  <c r="K1510" i="5" s="1"/>
  <c r="L1510" i="5" s="1"/>
  <c r="J1511" i="5"/>
  <c r="K1511" i="5" s="1"/>
  <c r="T1509" i="5"/>
  <c r="T1510" i="5"/>
  <c r="T1511" i="5"/>
  <c r="B1506" i="5"/>
  <c r="M1506" i="5" s="1"/>
  <c r="B1507" i="5"/>
  <c r="M1507" i="5" s="1"/>
  <c r="B1508" i="5"/>
  <c r="M1508" i="5" s="1"/>
  <c r="J1506" i="5"/>
  <c r="K1506" i="5" s="1"/>
  <c r="J1507" i="5"/>
  <c r="K1507" i="5" s="1"/>
  <c r="L1507" i="5" s="1"/>
  <c r="J1508" i="5"/>
  <c r="K1508" i="5" s="1"/>
  <c r="T1506" i="5"/>
  <c r="T1507" i="5"/>
  <c r="T1508" i="5"/>
  <c r="B1504" i="5"/>
  <c r="M1504" i="5" s="1"/>
  <c r="B1505" i="5"/>
  <c r="J1504" i="5"/>
  <c r="K1504" i="5" s="1"/>
  <c r="J1505" i="5"/>
  <c r="T1504" i="5"/>
  <c r="T1505" i="5"/>
  <c r="B1502" i="5"/>
  <c r="Q1502" i="5" s="1"/>
  <c r="B1503" i="5"/>
  <c r="M1503" i="5" s="1"/>
  <c r="J1502" i="5"/>
  <c r="J1503" i="5"/>
  <c r="K1503" i="5" s="1"/>
  <c r="T1502" i="5"/>
  <c r="T1503" i="5"/>
  <c r="B1499" i="5"/>
  <c r="Q1499" i="5" s="1"/>
  <c r="B1500" i="5"/>
  <c r="B1501" i="5"/>
  <c r="J1499" i="5"/>
  <c r="K1499" i="5" s="1"/>
  <c r="L1499" i="5" s="1"/>
  <c r="J1500" i="5"/>
  <c r="K1500" i="5" s="1"/>
  <c r="J1501" i="5"/>
  <c r="K1501" i="5" s="1"/>
  <c r="T1499" i="5"/>
  <c r="T1500" i="5"/>
  <c r="T1501" i="5"/>
  <c r="B1498" i="5"/>
  <c r="Q1498" i="5" s="1"/>
  <c r="J1498" i="5"/>
  <c r="T1498" i="5"/>
  <c r="B1495" i="5"/>
  <c r="Q1495" i="5" s="1"/>
  <c r="B1496" i="5"/>
  <c r="M1496" i="5" s="1"/>
  <c r="B1497" i="5"/>
  <c r="Q1497" i="5" s="1"/>
  <c r="J1495" i="5"/>
  <c r="K1495" i="5" s="1"/>
  <c r="J1496" i="5"/>
  <c r="K1496" i="5" s="1"/>
  <c r="J1497" i="5"/>
  <c r="K1497" i="5" s="1"/>
  <c r="T1495" i="5"/>
  <c r="T1496" i="5"/>
  <c r="T1497" i="5"/>
  <c r="B1494" i="5"/>
  <c r="J1494" i="5"/>
  <c r="K1494" i="5" s="1"/>
  <c r="T1494" i="5"/>
  <c r="B1492" i="5"/>
  <c r="B1493" i="5"/>
  <c r="M1493" i="5" s="1"/>
  <c r="J1492" i="5"/>
  <c r="J1493" i="5"/>
  <c r="K1493" i="5" s="1"/>
  <c r="L1493" i="5" s="1"/>
  <c r="T1492" i="5"/>
  <c r="T1493" i="5"/>
  <c r="B1489" i="5"/>
  <c r="Q1489" i="5" s="1"/>
  <c r="B1490" i="5"/>
  <c r="B1491" i="5"/>
  <c r="M1491" i="5" s="1"/>
  <c r="J1489" i="5"/>
  <c r="K1489" i="5" s="1"/>
  <c r="L1489" i="5" s="1"/>
  <c r="J1490" i="5"/>
  <c r="K1490" i="5" s="1"/>
  <c r="J1491" i="5"/>
  <c r="K1491" i="5" s="1"/>
  <c r="L1491" i="5" s="1"/>
  <c r="T1489" i="5"/>
  <c r="T1490" i="5"/>
  <c r="T1491" i="5"/>
  <c r="B1488" i="5"/>
  <c r="Q1488" i="5" s="1"/>
  <c r="J1488" i="5"/>
  <c r="K1488" i="5" s="1"/>
  <c r="T1488" i="5"/>
  <c r="B1485" i="5"/>
  <c r="Q1485" i="5" s="1"/>
  <c r="B1486" i="5"/>
  <c r="Q1486" i="5" s="1"/>
  <c r="B1487" i="5"/>
  <c r="Q1487" i="5" s="1"/>
  <c r="J1485" i="5"/>
  <c r="K1485" i="5" s="1"/>
  <c r="J1486" i="5"/>
  <c r="J1487" i="5"/>
  <c r="K1487" i="5" s="1"/>
  <c r="T1485" i="5"/>
  <c r="T1486" i="5"/>
  <c r="T1487" i="5"/>
  <c r="B1484" i="5"/>
  <c r="M1484" i="5" s="1"/>
  <c r="J1484" i="5"/>
  <c r="T1484" i="5"/>
  <c r="B1478" i="5"/>
  <c r="M1478" i="5" s="1"/>
  <c r="B1479" i="5"/>
  <c r="Q1479" i="5" s="1"/>
  <c r="B1480" i="5"/>
  <c r="Q1480" i="5" s="1"/>
  <c r="B1481" i="5"/>
  <c r="Q1481" i="5" s="1"/>
  <c r="B1482" i="5"/>
  <c r="B1483" i="5"/>
  <c r="Q1483" i="5" s="1"/>
  <c r="J1478" i="5"/>
  <c r="K1478" i="5" s="1"/>
  <c r="J1479" i="5"/>
  <c r="K1479" i="5" s="1"/>
  <c r="J1480" i="5"/>
  <c r="K1480" i="5" s="1"/>
  <c r="J1481" i="5"/>
  <c r="K1481" i="5" s="1"/>
  <c r="L1481" i="5" s="1"/>
  <c r="J1482" i="5"/>
  <c r="K1482" i="5" s="1"/>
  <c r="J1483" i="5"/>
  <c r="T1478" i="5"/>
  <c r="T1479" i="5"/>
  <c r="T1480" i="5"/>
  <c r="T1481" i="5"/>
  <c r="T1482" i="5"/>
  <c r="T1483" i="5"/>
  <c r="B1477" i="5"/>
  <c r="J1477" i="5"/>
  <c r="K1477" i="5" s="1"/>
  <c r="T1477" i="5"/>
  <c r="B1474" i="5"/>
  <c r="B1475" i="5"/>
  <c r="M1475" i="5" s="1"/>
  <c r="B1476" i="5"/>
  <c r="M1476" i="5" s="1"/>
  <c r="J1474" i="5"/>
  <c r="K1474" i="5" s="1"/>
  <c r="L1474" i="5" s="1"/>
  <c r="J1475" i="5"/>
  <c r="K1475" i="5" s="1"/>
  <c r="J1476" i="5"/>
  <c r="K1476" i="5" s="1"/>
  <c r="T1474" i="5"/>
  <c r="T1475" i="5"/>
  <c r="T1476" i="5"/>
  <c r="B1472" i="5"/>
  <c r="B1473" i="5"/>
  <c r="Q1473" i="5" s="1"/>
  <c r="J1472" i="5"/>
  <c r="J1473" i="5"/>
  <c r="T1472" i="5"/>
  <c r="T1473" i="5"/>
  <c r="B1471" i="5"/>
  <c r="M1471" i="5" s="1"/>
  <c r="J1471" i="5"/>
  <c r="T1471" i="5"/>
  <c r="B1469" i="5"/>
  <c r="M1469" i="5" s="1"/>
  <c r="B1470" i="5"/>
  <c r="M1470" i="5" s="1"/>
  <c r="J1469" i="5"/>
  <c r="K1469" i="5" s="1"/>
  <c r="J1470" i="5"/>
  <c r="K1470" i="5" s="1"/>
  <c r="T1469" i="5"/>
  <c r="T1470" i="5"/>
  <c r="B1466" i="5"/>
  <c r="M1466" i="5" s="1"/>
  <c r="B1467" i="5"/>
  <c r="Q1467" i="5" s="1"/>
  <c r="B1468" i="5"/>
  <c r="Q1468" i="5" s="1"/>
  <c r="J1466" i="5"/>
  <c r="K1466" i="5" s="1"/>
  <c r="J1467" i="5"/>
  <c r="K1467" i="5" s="1"/>
  <c r="L1467" i="5" s="1"/>
  <c r="P1467" i="5" s="1"/>
  <c r="J1468" i="5"/>
  <c r="T1466" i="5"/>
  <c r="T1467" i="5"/>
  <c r="T1468" i="5"/>
  <c r="B1460" i="5"/>
  <c r="M1460" i="5" s="1"/>
  <c r="B1461" i="5"/>
  <c r="M1461" i="5" s="1"/>
  <c r="B1462" i="5"/>
  <c r="M1462" i="5" s="1"/>
  <c r="B1463" i="5"/>
  <c r="B1464" i="5"/>
  <c r="M1464" i="5" s="1"/>
  <c r="B1465" i="5"/>
  <c r="M1465" i="5" s="1"/>
  <c r="J1460" i="5"/>
  <c r="K1460" i="5" s="1"/>
  <c r="J1461" i="5"/>
  <c r="K1461" i="5" s="1"/>
  <c r="J1462" i="5"/>
  <c r="K1462" i="5" s="1"/>
  <c r="L1462" i="5" s="1"/>
  <c r="J1463" i="5"/>
  <c r="K1463" i="5" s="1"/>
  <c r="L1463" i="5" s="1"/>
  <c r="J1464" i="5"/>
  <c r="K1464" i="5" s="1"/>
  <c r="J1465" i="5"/>
  <c r="K1465" i="5" s="1"/>
  <c r="T1460" i="5"/>
  <c r="T1461" i="5"/>
  <c r="T1462" i="5"/>
  <c r="T1463" i="5"/>
  <c r="T1464" i="5"/>
  <c r="T1465" i="5"/>
  <c r="B1458" i="5"/>
  <c r="Q1458" i="5" s="1"/>
  <c r="B1459" i="5"/>
  <c r="Q1459" i="5" s="1"/>
  <c r="J1458" i="5"/>
  <c r="K1458" i="5" s="1"/>
  <c r="J1459" i="5"/>
  <c r="K1459" i="5" s="1"/>
  <c r="T1458" i="5"/>
  <c r="T1459" i="5"/>
  <c r="B1452" i="5"/>
  <c r="Q1452" i="5" s="1"/>
  <c r="B1453" i="5"/>
  <c r="M1453" i="5" s="1"/>
  <c r="B1454" i="5"/>
  <c r="Q1454" i="5" s="1"/>
  <c r="B1455" i="5"/>
  <c r="M1455" i="5" s="1"/>
  <c r="B1456" i="5"/>
  <c r="Q1456" i="5" s="1"/>
  <c r="B1457" i="5"/>
  <c r="Q1457" i="5" s="1"/>
  <c r="J1452" i="5"/>
  <c r="J1453" i="5"/>
  <c r="J1454" i="5"/>
  <c r="K1454" i="5" s="1"/>
  <c r="J1455" i="5"/>
  <c r="J1456" i="5"/>
  <c r="K1456" i="5" s="1"/>
  <c r="J1457" i="5"/>
  <c r="K1457" i="5" s="1"/>
  <c r="T1452" i="5"/>
  <c r="T1453" i="5"/>
  <c r="T1454" i="5"/>
  <c r="T1455" i="5"/>
  <c r="T1456" i="5"/>
  <c r="T1457" i="5"/>
  <c r="B1449" i="5"/>
  <c r="Q1449" i="5" s="1"/>
  <c r="B1450" i="5"/>
  <c r="M1450" i="5" s="1"/>
  <c r="B1451" i="5"/>
  <c r="Q1451" i="5" s="1"/>
  <c r="J1449" i="5"/>
  <c r="K1449" i="5" s="1"/>
  <c r="L1449" i="5" s="1"/>
  <c r="J1450" i="5"/>
  <c r="J1451" i="5"/>
  <c r="T1449" i="5"/>
  <c r="T1450" i="5"/>
  <c r="T1451" i="5"/>
  <c r="B1447" i="5"/>
  <c r="M1447" i="5" s="1"/>
  <c r="B1448" i="5"/>
  <c r="M1448" i="5" s="1"/>
  <c r="J1447" i="5"/>
  <c r="J1448" i="5"/>
  <c r="K1448" i="5" s="1"/>
  <c r="T1447" i="5"/>
  <c r="T1448" i="5"/>
  <c r="B1441" i="5"/>
  <c r="Q1441" i="5" s="1"/>
  <c r="B1442" i="5"/>
  <c r="M1442" i="5" s="1"/>
  <c r="B1443" i="5"/>
  <c r="Q1443" i="5" s="1"/>
  <c r="B1444" i="5"/>
  <c r="Q1444" i="5" s="1"/>
  <c r="B1445" i="5"/>
  <c r="M1445" i="5" s="1"/>
  <c r="B1446" i="5"/>
  <c r="M1446" i="5" s="1"/>
  <c r="J1441" i="5"/>
  <c r="K1441" i="5" s="1"/>
  <c r="L1441" i="5" s="1"/>
  <c r="J1442" i="5"/>
  <c r="K1442" i="5" s="1"/>
  <c r="J1443" i="5"/>
  <c r="K1443" i="5" s="1"/>
  <c r="L1443" i="5" s="1"/>
  <c r="J1444" i="5"/>
  <c r="K1444" i="5" s="1"/>
  <c r="J1445" i="5"/>
  <c r="K1445" i="5" s="1"/>
  <c r="L1445" i="5" s="1"/>
  <c r="J1446" i="5"/>
  <c r="K1446" i="5" s="1"/>
  <c r="T1441" i="5"/>
  <c r="T1442" i="5"/>
  <c r="T1443" i="5"/>
  <c r="T1444" i="5"/>
  <c r="T1445" i="5"/>
  <c r="T1446" i="5"/>
  <c r="B1439" i="5"/>
  <c r="Q1439" i="5" s="1"/>
  <c r="B1440" i="5"/>
  <c r="J1439" i="5"/>
  <c r="K1439" i="5" s="1"/>
  <c r="J1440" i="5"/>
  <c r="K1440" i="5" s="1"/>
  <c r="T1439" i="5"/>
  <c r="T1440" i="5"/>
  <c r="B1436" i="5"/>
  <c r="Q1436" i="5" s="1"/>
  <c r="B1437" i="5"/>
  <c r="Q1437" i="5" s="1"/>
  <c r="B1438" i="5"/>
  <c r="Q1438" i="5" s="1"/>
  <c r="J1436" i="5"/>
  <c r="J1437" i="5"/>
  <c r="K1437" i="5" s="1"/>
  <c r="L1437" i="5" s="1"/>
  <c r="J1438" i="5"/>
  <c r="K1438" i="5" s="1"/>
  <c r="L1438" i="5" s="1"/>
  <c r="T1436" i="5"/>
  <c r="T1437" i="5"/>
  <c r="T1438" i="5"/>
  <c r="B1435" i="5"/>
  <c r="Q1435" i="5" s="1"/>
  <c r="J1435" i="5"/>
  <c r="K1435" i="5" s="1"/>
  <c r="T1435" i="5"/>
  <c r="B1431" i="5"/>
  <c r="M1431" i="5" s="1"/>
  <c r="B1432" i="5"/>
  <c r="M1432" i="5" s="1"/>
  <c r="B1433" i="5"/>
  <c r="B1434" i="5"/>
  <c r="Q1434" i="5" s="1"/>
  <c r="J1431" i="5"/>
  <c r="J1432" i="5"/>
  <c r="K1432" i="5" s="1"/>
  <c r="J1433" i="5"/>
  <c r="K1433" i="5" s="1"/>
  <c r="J1434" i="5"/>
  <c r="K1434" i="5" s="1"/>
  <c r="T1431" i="5"/>
  <c r="T1432" i="5"/>
  <c r="T1433" i="5"/>
  <c r="T1434" i="5"/>
  <c r="B1427" i="5"/>
  <c r="M1427" i="5" s="1"/>
  <c r="B1428" i="5"/>
  <c r="M1428" i="5" s="1"/>
  <c r="B1429" i="5"/>
  <c r="M1429" i="5" s="1"/>
  <c r="B1430" i="5"/>
  <c r="J1427" i="5"/>
  <c r="K1427" i="5" s="1"/>
  <c r="L1427" i="5" s="1"/>
  <c r="P1427" i="5" s="1"/>
  <c r="J1428" i="5"/>
  <c r="K1428" i="5" s="1"/>
  <c r="J1429" i="5"/>
  <c r="K1429" i="5" s="1"/>
  <c r="L1429" i="5" s="1"/>
  <c r="J1430" i="5"/>
  <c r="K1430" i="5" s="1"/>
  <c r="T1427" i="5"/>
  <c r="T1428" i="5"/>
  <c r="T1429" i="5"/>
  <c r="T1430" i="5"/>
  <c r="B1426" i="5"/>
  <c r="Q1426" i="5" s="1"/>
  <c r="J1426" i="5"/>
  <c r="K1426" i="5" s="1"/>
  <c r="L1426" i="5" s="1"/>
  <c r="T1426" i="5"/>
  <c r="B1421" i="5"/>
  <c r="B1422" i="5"/>
  <c r="M1422" i="5" s="1"/>
  <c r="B1423" i="5"/>
  <c r="Q1423" i="5" s="1"/>
  <c r="B1424" i="5"/>
  <c r="Q1424" i="5" s="1"/>
  <c r="B1425" i="5"/>
  <c r="J1421" i="5"/>
  <c r="K1421" i="5" s="1"/>
  <c r="J1422" i="5"/>
  <c r="K1422" i="5" s="1"/>
  <c r="J1423" i="5"/>
  <c r="K1423" i="5" s="1"/>
  <c r="L1423" i="5" s="1"/>
  <c r="J1424" i="5"/>
  <c r="J1425" i="5"/>
  <c r="K1425" i="5" s="1"/>
  <c r="T1421" i="5"/>
  <c r="T1422" i="5"/>
  <c r="T1423" i="5"/>
  <c r="T1424" i="5"/>
  <c r="T1425" i="5"/>
  <c r="B1416" i="5"/>
  <c r="B1417" i="5"/>
  <c r="M1417" i="5" s="1"/>
  <c r="B1418" i="5"/>
  <c r="B1419" i="5"/>
  <c r="M1419" i="5" s="1"/>
  <c r="B1420" i="5"/>
  <c r="M1420" i="5" s="1"/>
  <c r="J1416" i="5"/>
  <c r="K1416" i="5" s="1"/>
  <c r="L1416" i="5" s="1"/>
  <c r="J1417" i="5"/>
  <c r="J1418" i="5"/>
  <c r="K1418" i="5" s="1"/>
  <c r="J1419" i="5"/>
  <c r="K1419" i="5" s="1"/>
  <c r="L1419" i="5" s="1"/>
  <c r="J1420" i="5"/>
  <c r="T1416" i="5"/>
  <c r="T1417" i="5"/>
  <c r="T1418" i="5"/>
  <c r="T1419" i="5"/>
  <c r="T1420" i="5"/>
  <c r="B1411" i="5"/>
  <c r="Q1411" i="5" s="1"/>
  <c r="B1412" i="5"/>
  <c r="Q1412" i="5" s="1"/>
  <c r="B1413" i="5"/>
  <c r="M1413" i="5" s="1"/>
  <c r="B1414" i="5"/>
  <c r="M1414" i="5" s="1"/>
  <c r="B1415" i="5"/>
  <c r="J1411" i="5"/>
  <c r="J1412" i="5"/>
  <c r="K1412" i="5" s="1"/>
  <c r="J1413" i="5"/>
  <c r="K1413" i="5" s="1"/>
  <c r="L1413" i="5" s="1"/>
  <c r="J1414" i="5"/>
  <c r="J1415" i="5"/>
  <c r="K1415" i="5" s="1"/>
  <c r="T1411" i="5"/>
  <c r="T1412" i="5"/>
  <c r="T1413" i="5"/>
  <c r="T1414" i="5"/>
  <c r="T1415" i="5"/>
  <c r="B1407" i="5"/>
  <c r="M1407" i="5" s="1"/>
  <c r="B1408" i="5"/>
  <c r="M1408" i="5" s="1"/>
  <c r="B1409" i="5"/>
  <c r="M1409" i="5" s="1"/>
  <c r="B1410" i="5"/>
  <c r="M1410" i="5" s="1"/>
  <c r="J1407" i="5"/>
  <c r="J1408" i="5"/>
  <c r="J1409" i="5"/>
  <c r="K1409" i="5" s="1"/>
  <c r="L1409" i="5" s="1"/>
  <c r="J1410" i="5"/>
  <c r="K1410" i="5" s="1"/>
  <c r="L1410" i="5" s="1"/>
  <c r="P1410" i="5" s="1"/>
  <c r="T1407" i="5"/>
  <c r="T1408" i="5"/>
  <c r="T1409" i="5"/>
  <c r="T1410" i="5"/>
  <c r="B1402" i="5"/>
  <c r="Q1402" i="5" s="1"/>
  <c r="B1403" i="5"/>
  <c r="M1403" i="5" s="1"/>
  <c r="B1404" i="5"/>
  <c r="M1404" i="5" s="1"/>
  <c r="B1405" i="5"/>
  <c r="M1405" i="5" s="1"/>
  <c r="B1406" i="5"/>
  <c r="M1406" i="5" s="1"/>
  <c r="J1402" i="5"/>
  <c r="K1402" i="5" s="1"/>
  <c r="L1402" i="5" s="1"/>
  <c r="J1403" i="5"/>
  <c r="K1403" i="5" s="1"/>
  <c r="J1404" i="5"/>
  <c r="K1404" i="5" s="1"/>
  <c r="L1404" i="5" s="1"/>
  <c r="J1405" i="5"/>
  <c r="J1406" i="5"/>
  <c r="K1406" i="5" s="1"/>
  <c r="T1402" i="5"/>
  <c r="T1403" i="5"/>
  <c r="T1404" i="5"/>
  <c r="T1405" i="5"/>
  <c r="T1406" i="5"/>
  <c r="B1401" i="5"/>
  <c r="Q1401" i="5" s="1"/>
  <c r="J1401" i="5"/>
  <c r="T1401" i="5"/>
  <c r="B1394" i="5"/>
  <c r="M1394" i="5" s="1"/>
  <c r="B1395" i="5"/>
  <c r="M1395" i="5" s="1"/>
  <c r="B1396" i="5"/>
  <c r="Q1396" i="5" s="1"/>
  <c r="B1397" i="5"/>
  <c r="Q1397" i="5" s="1"/>
  <c r="B1398" i="5"/>
  <c r="M1398" i="5" s="1"/>
  <c r="B1399" i="5"/>
  <c r="M1399" i="5" s="1"/>
  <c r="B1400" i="5"/>
  <c r="M1400" i="5" s="1"/>
  <c r="J1394" i="5"/>
  <c r="K1394" i="5" s="1"/>
  <c r="L1394" i="5" s="1"/>
  <c r="P1394" i="5" s="1"/>
  <c r="J1395" i="5"/>
  <c r="K1395" i="5" s="1"/>
  <c r="J1396" i="5"/>
  <c r="K1396" i="5" s="1"/>
  <c r="J1397" i="5"/>
  <c r="K1397" i="5" s="1"/>
  <c r="L1397" i="5" s="1"/>
  <c r="J1398" i="5"/>
  <c r="J1399" i="5"/>
  <c r="J1400" i="5"/>
  <c r="K1400" i="5" s="1"/>
  <c r="L1400" i="5" s="1"/>
  <c r="T1394" i="5"/>
  <c r="T1395" i="5"/>
  <c r="T1396" i="5"/>
  <c r="T1397" i="5"/>
  <c r="T1398" i="5"/>
  <c r="T1399" i="5"/>
  <c r="T1400" i="5"/>
  <c r="B1388" i="5"/>
  <c r="M1388" i="5" s="1"/>
  <c r="B1389" i="5"/>
  <c r="M1389" i="5" s="1"/>
  <c r="B1390" i="5"/>
  <c r="Q1390" i="5" s="1"/>
  <c r="B1391" i="5"/>
  <c r="Q1391" i="5" s="1"/>
  <c r="B1392" i="5"/>
  <c r="Q1392" i="5" s="1"/>
  <c r="B1393" i="5"/>
  <c r="Q1393" i="5" s="1"/>
  <c r="J1388" i="5"/>
  <c r="K1388" i="5" s="1"/>
  <c r="J1389" i="5"/>
  <c r="K1389" i="5" s="1"/>
  <c r="L1389" i="5" s="1"/>
  <c r="J1390" i="5"/>
  <c r="K1390" i="5" s="1"/>
  <c r="J1391" i="5"/>
  <c r="K1391" i="5" s="1"/>
  <c r="L1391" i="5" s="1"/>
  <c r="J1392" i="5"/>
  <c r="K1392" i="5" s="1"/>
  <c r="J1393" i="5"/>
  <c r="K1393" i="5" s="1"/>
  <c r="T1388" i="5"/>
  <c r="T1389" i="5"/>
  <c r="T1390" i="5"/>
  <c r="T1391" i="5"/>
  <c r="T1392" i="5"/>
  <c r="T1393" i="5"/>
  <c r="B1382" i="5"/>
  <c r="M1382" i="5" s="1"/>
  <c r="B1383" i="5"/>
  <c r="Q1383" i="5" s="1"/>
  <c r="B1384" i="5"/>
  <c r="Q1384" i="5" s="1"/>
  <c r="B1385" i="5"/>
  <c r="Q1385" i="5" s="1"/>
  <c r="B1386" i="5"/>
  <c r="M1386" i="5" s="1"/>
  <c r="B1387" i="5"/>
  <c r="Q1387" i="5" s="1"/>
  <c r="J1382" i="5"/>
  <c r="K1382" i="5" s="1"/>
  <c r="J1383" i="5"/>
  <c r="K1383" i="5" s="1"/>
  <c r="L1383" i="5" s="1"/>
  <c r="J1384" i="5"/>
  <c r="K1384" i="5" s="1"/>
  <c r="J1385" i="5"/>
  <c r="K1385" i="5" s="1"/>
  <c r="J1386" i="5"/>
  <c r="K1386" i="5" s="1"/>
  <c r="J1387" i="5"/>
  <c r="K1387" i="5" s="1"/>
  <c r="L1387" i="5" s="1"/>
  <c r="T1382" i="5"/>
  <c r="T1383" i="5"/>
  <c r="T1384" i="5"/>
  <c r="T1385" i="5"/>
  <c r="T1386" i="5"/>
  <c r="T1387" i="5"/>
  <c r="B1376" i="5"/>
  <c r="Q1376" i="5" s="1"/>
  <c r="B1377" i="5"/>
  <c r="Q1377" i="5" s="1"/>
  <c r="B1378" i="5"/>
  <c r="Q1378" i="5" s="1"/>
  <c r="B1379" i="5"/>
  <c r="M1379" i="5" s="1"/>
  <c r="B1380" i="5"/>
  <c r="Q1380" i="5" s="1"/>
  <c r="B1381" i="5"/>
  <c r="Q1381" i="5" s="1"/>
  <c r="J1376" i="5"/>
  <c r="K1376" i="5" s="1"/>
  <c r="L1376" i="5" s="1"/>
  <c r="P1376" i="5" s="1"/>
  <c r="J1377" i="5"/>
  <c r="K1377" i="5" s="1"/>
  <c r="L1377" i="5" s="1"/>
  <c r="J1378" i="5"/>
  <c r="K1378" i="5" s="1"/>
  <c r="J1379" i="5"/>
  <c r="K1379" i="5" s="1"/>
  <c r="J1380" i="5"/>
  <c r="J1381" i="5"/>
  <c r="K1381" i="5" s="1"/>
  <c r="L1381" i="5" s="1"/>
  <c r="P1381" i="5" s="1"/>
  <c r="T1376" i="5"/>
  <c r="T1377" i="5"/>
  <c r="T1378" i="5"/>
  <c r="T1379" i="5"/>
  <c r="T1380" i="5"/>
  <c r="T1381" i="5"/>
  <c r="B1373" i="5"/>
  <c r="Q1373" i="5" s="1"/>
  <c r="B1374" i="5"/>
  <c r="M1374" i="5" s="1"/>
  <c r="B1375" i="5"/>
  <c r="M1375" i="5" s="1"/>
  <c r="J1373" i="5"/>
  <c r="K1373" i="5" s="1"/>
  <c r="J1374" i="5"/>
  <c r="K1374" i="5" s="1"/>
  <c r="L1374" i="5" s="1"/>
  <c r="J1375" i="5"/>
  <c r="K1375" i="5" s="1"/>
  <c r="L1375" i="5" s="1"/>
  <c r="T1373" i="5"/>
  <c r="T1374" i="5"/>
  <c r="T1375" i="5"/>
  <c r="B1367" i="5"/>
  <c r="M1367" i="5" s="1"/>
  <c r="B1368" i="5"/>
  <c r="M1368" i="5" s="1"/>
  <c r="B1369" i="5"/>
  <c r="M1369" i="5" s="1"/>
  <c r="B1370" i="5"/>
  <c r="Q1370" i="5" s="1"/>
  <c r="B1371" i="5"/>
  <c r="Q1371" i="5" s="1"/>
  <c r="B1372" i="5"/>
  <c r="M1372" i="5" s="1"/>
  <c r="J1367" i="5"/>
  <c r="K1367" i="5" s="1"/>
  <c r="L1367" i="5" s="1"/>
  <c r="P1367" i="5" s="1"/>
  <c r="J1368" i="5"/>
  <c r="J1369" i="5"/>
  <c r="K1369" i="5" s="1"/>
  <c r="J1370" i="5"/>
  <c r="J1371" i="5"/>
  <c r="J1372" i="5"/>
  <c r="K1372" i="5" s="1"/>
  <c r="T1367" i="5"/>
  <c r="T1368" i="5"/>
  <c r="T1369" i="5"/>
  <c r="T1370" i="5"/>
  <c r="T1371" i="5"/>
  <c r="T1372" i="5"/>
  <c r="B1362" i="5"/>
  <c r="M1362" i="5" s="1"/>
  <c r="B1363" i="5"/>
  <c r="Q1363" i="5" s="1"/>
  <c r="B1364" i="5"/>
  <c r="M1364" i="5" s="1"/>
  <c r="B1365" i="5"/>
  <c r="M1365" i="5" s="1"/>
  <c r="B1366" i="5"/>
  <c r="M1366" i="5" s="1"/>
  <c r="J1362" i="5"/>
  <c r="J1363" i="5"/>
  <c r="K1363" i="5" s="1"/>
  <c r="J1364" i="5"/>
  <c r="K1364" i="5" s="1"/>
  <c r="J1365" i="5"/>
  <c r="J1366" i="5"/>
  <c r="K1366" i="5" s="1"/>
  <c r="T1362" i="5"/>
  <c r="T1363" i="5"/>
  <c r="T1364" i="5"/>
  <c r="T1365" i="5"/>
  <c r="T1366" i="5"/>
  <c r="M1495" i="5" l="1"/>
  <c r="M1745" i="5"/>
  <c r="M1486" i="5"/>
  <c r="M1396" i="5"/>
  <c r="M1499" i="5"/>
  <c r="Q1660" i="5"/>
  <c r="R1660" i="5" s="1"/>
  <c r="S1660" i="5" s="1"/>
  <c r="M1599" i="5"/>
  <c r="M1489" i="5"/>
  <c r="M1664" i="5"/>
  <c r="N1664" i="5" s="1"/>
  <c r="Q1506" i="5"/>
  <c r="R1506" i="5" s="1"/>
  <c r="S1506" i="5" s="1"/>
  <c r="M1543" i="5"/>
  <c r="M1683" i="5"/>
  <c r="M1742" i="5"/>
  <c r="M1773" i="5"/>
  <c r="M1485" i="5"/>
  <c r="M1373" i="5"/>
  <c r="Q1789" i="5"/>
  <c r="R1789" i="5" s="1"/>
  <c r="S1789" i="5" s="1"/>
  <c r="M1437" i="5"/>
  <c r="N1437" i="5" s="1"/>
  <c r="Q1508" i="5"/>
  <c r="R1508" i="5" s="1"/>
  <c r="S1508" i="5" s="1"/>
  <c r="M1436" i="5"/>
  <c r="Q1507" i="5"/>
  <c r="R1507" i="5" s="1"/>
  <c r="S1507" i="5" s="1"/>
  <c r="M1438" i="5"/>
  <c r="N1438" i="5" s="1"/>
  <c r="M1732" i="5"/>
  <c r="M1735" i="5"/>
  <c r="M1701" i="5"/>
  <c r="M1449" i="5"/>
  <c r="N1449" i="5" s="1"/>
  <c r="Q1366" i="5"/>
  <c r="R1366" i="5" s="1"/>
  <c r="S1366" i="5" s="1"/>
  <c r="M1649" i="5"/>
  <c r="Q1420" i="5"/>
  <c r="Q1756" i="5"/>
  <c r="R1756" i="5" s="1"/>
  <c r="S1756" i="5" s="1"/>
  <c r="M1755" i="5"/>
  <c r="M1786" i="5"/>
  <c r="M1797" i="5"/>
  <c r="N1797" i="5" s="1"/>
  <c r="M1747" i="5"/>
  <c r="M1666" i="5"/>
  <c r="Q1737" i="5"/>
  <c r="R1737" i="5" s="1"/>
  <c r="S1737" i="5" s="1"/>
  <c r="M1746" i="5"/>
  <c r="M1665" i="5"/>
  <c r="Q1749" i="5"/>
  <c r="Q1484" i="5"/>
  <c r="Q1798" i="5"/>
  <c r="M1467" i="5"/>
  <c r="N1467" i="5" s="1"/>
  <c r="U1467" i="5" s="1"/>
  <c r="V1467" i="5" s="1"/>
  <c r="M1796" i="5"/>
  <c r="M1643" i="5"/>
  <c r="M1781" i="5"/>
  <c r="M1680" i="5"/>
  <c r="M1750" i="5"/>
  <c r="Q1605" i="5"/>
  <c r="R1605" i="5" s="1"/>
  <c r="S1605" i="5" s="1"/>
  <c r="Q1630" i="5"/>
  <c r="R1630" i="5" s="1"/>
  <c r="S1630" i="5" s="1"/>
  <c r="Q1718" i="5"/>
  <c r="Q1726" i="5"/>
  <c r="M1518" i="5"/>
  <c r="M1612" i="5"/>
  <c r="M1621" i="5"/>
  <c r="N1621" i="5" s="1"/>
  <c r="O1621" i="5" s="1"/>
  <c r="Q1644" i="5"/>
  <c r="L1478" i="5"/>
  <c r="P1478" i="5" s="1"/>
  <c r="Q1520" i="5"/>
  <c r="R1520" i="5" s="1"/>
  <c r="S1520" i="5" s="1"/>
  <c r="Q1442" i="5"/>
  <c r="R1442" i="5" s="1"/>
  <c r="S1442" i="5" s="1"/>
  <c r="M1672" i="5"/>
  <c r="M1573" i="5"/>
  <c r="M1479" i="5"/>
  <c r="M1801" i="5"/>
  <c r="N1801" i="5" s="1"/>
  <c r="M1800" i="5"/>
  <c r="Q1413" i="5"/>
  <c r="R1413" i="5" s="1"/>
  <c r="S1413" i="5" s="1"/>
  <c r="Q1455" i="5"/>
  <c r="Q1622" i="5"/>
  <c r="R1622" i="5" s="1"/>
  <c r="S1622" i="5" s="1"/>
  <c r="M1785" i="5"/>
  <c r="M1391" i="5"/>
  <c r="N1391" i="5" s="1"/>
  <c r="M1443" i="5"/>
  <c r="N1443" i="5" s="1"/>
  <c r="M1623" i="5"/>
  <c r="N1623" i="5" s="1"/>
  <c r="M1523" i="5"/>
  <c r="N1523" i="5" s="1"/>
  <c r="Q1532" i="5"/>
  <c r="R1532" i="5" s="1"/>
  <c r="S1532" i="5" s="1"/>
  <c r="Q1770" i="5"/>
  <c r="R1770" i="5" s="1"/>
  <c r="S1770" i="5" s="1"/>
  <c r="R1801" i="5"/>
  <c r="S1801" i="5" s="1"/>
  <c r="N1622" i="5"/>
  <c r="P1622" i="5"/>
  <c r="R1467" i="5"/>
  <c r="S1467" i="5" s="1"/>
  <c r="Q1503" i="5"/>
  <c r="R1503" i="5" s="1"/>
  <c r="S1503" i="5" s="1"/>
  <c r="M1538" i="5"/>
  <c r="Q1552" i="5"/>
  <c r="R1552" i="5" s="1"/>
  <c r="S1552" i="5" s="1"/>
  <c r="L1618" i="5"/>
  <c r="N1618" i="5" s="1"/>
  <c r="Q1628" i="5"/>
  <c r="R1628" i="5" s="1"/>
  <c r="S1628" i="5" s="1"/>
  <c r="Q1642" i="5"/>
  <c r="R1642" i="5" s="1"/>
  <c r="S1642" i="5" s="1"/>
  <c r="Q1403" i="5"/>
  <c r="R1403" i="5" s="1"/>
  <c r="S1403" i="5" s="1"/>
  <c r="M1502" i="5"/>
  <c r="M1550" i="5"/>
  <c r="M1555" i="5"/>
  <c r="Q1624" i="5"/>
  <c r="R1624" i="5" s="1"/>
  <c r="S1624" i="5" s="1"/>
  <c r="Q1706" i="5"/>
  <c r="R1706" i="5" s="1"/>
  <c r="S1706" i="5" s="1"/>
  <c r="M1767" i="5"/>
  <c r="Q1386" i="5"/>
  <c r="R1386" i="5" s="1"/>
  <c r="S1386" i="5" s="1"/>
  <c r="M1423" i="5"/>
  <c r="N1423" i="5" s="1"/>
  <c r="Q1431" i="5"/>
  <c r="Q1446" i="5"/>
  <c r="R1446" i="5" s="1"/>
  <c r="S1446" i="5" s="1"/>
  <c r="Q1478" i="5"/>
  <c r="R1478" i="5" s="1"/>
  <c r="S1478" i="5" s="1"/>
  <c r="L1479" i="5"/>
  <c r="P1479" i="5" s="1"/>
  <c r="M1633" i="5"/>
  <c r="L1533" i="5"/>
  <c r="P1533" i="5" s="1"/>
  <c r="Q1369" i="5"/>
  <c r="R1369" i="5" s="1"/>
  <c r="S1369" i="5" s="1"/>
  <c r="Q1388" i="5"/>
  <c r="R1388" i="5" s="1"/>
  <c r="S1388" i="5" s="1"/>
  <c r="Q1561" i="5"/>
  <c r="R1561" i="5" s="1"/>
  <c r="S1561" i="5" s="1"/>
  <c r="Q1653" i="5"/>
  <c r="M1685" i="5"/>
  <c r="M1731" i="5"/>
  <c r="N1731" i="5" s="1"/>
  <c r="Q1760" i="5"/>
  <c r="Q1404" i="5"/>
  <c r="R1404" i="5" s="1"/>
  <c r="S1404" i="5" s="1"/>
  <c r="M1481" i="5"/>
  <c r="N1481" i="5" s="1"/>
  <c r="L1534" i="5"/>
  <c r="P1534" i="5" s="1"/>
  <c r="Q1558" i="5"/>
  <c r="R1558" i="5" s="1"/>
  <c r="S1558" i="5" s="1"/>
  <c r="Q1607" i="5"/>
  <c r="R1607" i="5" s="1"/>
  <c r="S1607" i="5" s="1"/>
  <c r="M1657" i="5"/>
  <c r="M1715" i="5"/>
  <c r="M1387" i="5"/>
  <c r="N1387" i="5" s="1"/>
  <c r="Q1566" i="5"/>
  <c r="R1566" i="5" s="1"/>
  <c r="S1566" i="5" s="1"/>
  <c r="Q1568" i="5"/>
  <c r="R1568" i="5" s="1"/>
  <c r="S1568" i="5" s="1"/>
  <c r="Q1618" i="5"/>
  <c r="R1618" i="5" s="1"/>
  <c r="S1618" i="5" s="1"/>
  <c r="M1631" i="5"/>
  <c r="Q1710" i="5"/>
  <c r="R1710" i="5" s="1"/>
  <c r="S1710" i="5" s="1"/>
  <c r="M1402" i="5"/>
  <c r="N1402" i="5" s="1"/>
  <c r="Q1448" i="5"/>
  <c r="R1448" i="5" s="1"/>
  <c r="S1448" i="5" s="1"/>
  <c r="Q1464" i="5"/>
  <c r="R1464" i="5" s="1"/>
  <c r="S1464" i="5" s="1"/>
  <c r="Q1466" i="5"/>
  <c r="R1466" i="5" s="1"/>
  <c r="S1466" i="5" s="1"/>
  <c r="Q1514" i="5"/>
  <c r="R1514" i="5" s="1"/>
  <c r="S1514" i="5" s="1"/>
  <c r="M1519" i="5"/>
  <c r="Q1525" i="5"/>
  <c r="R1525" i="5" s="1"/>
  <c r="S1525" i="5" s="1"/>
  <c r="L1532" i="5"/>
  <c r="P1532" i="5" s="1"/>
  <c r="Q1576" i="5"/>
  <c r="R1576" i="5" s="1"/>
  <c r="S1576" i="5" s="1"/>
  <c r="M1608" i="5"/>
  <c r="Q1768" i="5"/>
  <c r="R1768" i="5" s="1"/>
  <c r="S1768" i="5" s="1"/>
  <c r="Q1769" i="5"/>
  <c r="Q1422" i="5"/>
  <c r="R1422" i="5" s="1"/>
  <c r="S1422" i="5" s="1"/>
  <c r="Q1453" i="5"/>
  <c r="Q1460" i="5"/>
  <c r="R1460" i="5" s="1"/>
  <c r="S1460" i="5" s="1"/>
  <c r="M1497" i="5"/>
  <c r="M1668" i="5"/>
  <c r="Q1364" i="5"/>
  <c r="R1364" i="5" s="1"/>
  <c r="S1364" i="5" s="1"/>
  <c r="M1434" i="5"/>
  <c r="M1480" i="5"/>
  <c r="M1363" i="5"/>
  <c r="M1370" i="5"/>
  <c r="M1393" i="5"/>
  <c r="L1406" i="5"/>
  <c r="N1406" i="5" s="1"/>
  <c r="M1459" i="5"/>
  <c r="L1480" i="5"/>
  <c r="P1480" i="5" s="1"/>
  <c r="Q1527" i="5"/>
  <c r="R1527" i="5" s="1"/>
  <c r="S1527" i="5" s="1"/>
  <c r="M1534" i="5"/>
  <c r="Q1584" i="5"/>
  <c r="R1584" i="5" s="1"/>
  <c r="S1584" i="5" s="1"/>
  <c r="Q1662" i="5"/>
  <c r="R1662" i="5" s="1"/>
  <c r="S1662" i="5" s="1"/>
  <c r="Q1690" i="5"/>
  <c r="R1690" i="5" s="1"/>
  <c r="S1690" i="5" s="1"/>
  <c r="Q1777" i="5"/>
  <c r="M1381" i="5"/>
  <c r="N1381" i="5" s="1"/>
  <c r="U1381" i="5" s="1"/>
  <c r="V1381" i="5" s="1"/>
  <c r="M1392" i="5"/>
  <c r="M1458" i="5"/>
  <c r="Q1510" i="5"/>
  <c r="R1510" i="5" s="1"/>
  <c r="S1510" i="5" s="1"/>
  <c r="M1533" i="5"/>
  <c r="Q1542" i="5"/>
  <c r="R1542" i="5" s="1"/>
  <c r="S1542" i="5" s="1"/>
  <c r="Q1547" i="5"/>
  <c r="R1547" i="5" s="1"/>
  <c r="S1547" i="5" s="1"/>
  <c r="Q1549" i="5"/>
  <c r="R1549" i="5" s="1"/>
  <c r="S1549" i="5" s="1"/>
  <c r="M1583" i="5"/>
  <c r="Q1616" i="5"/>
  <c r="R1616" i="5" s="1"/>
  <c r="S1616" i="5" s="1"/>
  <c r="Q1626" i="5"/>
  <c r="R1626" i="5" s="1"/>
  <c r="S1626" i="5" s="1"/>
  <c r="Q1635" i="5"/>
  <c r="R1635" i="5" s="1"/>
  <c r="S1635" i="5" s="1"/>
  <c r="M1640" i="5"/>
  <c r="L1671" i="5"/>
  <c r="P1671" i="5" s="1"/>
  <c r="R1670" i="5"/>
  <c r="S1670" i="5" s="1"/>
  <c r="Q1708" i="5"/>
  <c r="R1708" i="5" s="1"/>
  <c r="S1708" i="5" s="1"/>
  <c r="Q1723" i="5"/>
  <c r="R1723" i="5" s="1"/>
  <c r="S1723" i="5" s="1"/>
  <c r="Q1772" i="5"/>
  <c r="R1772" i="5" s="1"/>
  <c r="S1772" i="5" s="1"/>
  <c r="Q1795" i="5"/>
  <c r="R1795" i="5" s="1"/>
  <c r="S1795" i="5" s="1"/>
  <c r="Q1595" i="5"/>
  <c r="R1595" i="5" s="1"/>
  <c r="S1595" i="5" s="1"/>
  <c r="Q1615" i="5"/>
  <c r="R1615" i="5" s="1"/>
  <c r="S1615" i="5" s="1"/>
  <c r="M1637" i="5"/>
  <c r="Q1719" i="5"/>
  <c r="R1719" i="5" s="1"/>
  <c r="S1719" i="5" s="1"/>
  <c r="Q1748" i="5"/>
  <c r="R1748" i="5" s="1"/>
  <c r="S1748" i="5" s="1"/>
  <c r="Q1754" i="5"/>
  <c r="R1754" i="5" s="1"/>
  <c r="S1754" i="5" s="1"/>
  <c r="Q1763" i="5"/>
  <c r="R1763" i="5" s="1"/>
  <c r="S1763" i="5" s="1"/>
  <c r="M1390" i="5"/>
  <c r="N1419" i="5"/>
  <c r="Q1516" i="5"/>
  <c r="M1557" i="5"/>
  <c r="N1557" i="5" s="1"/>
  <c r="M1588" i="5"/>
  <c r="M1591" i="5"/>
  <c r="Q1727" i="5"/>
  <c r="R1727" i="5" s="1"/>
  <c r="S1727" i="5" s="1"/>
  <c r="M1371" i="5"/>
  <c r="L1378" i="5"/>
  <c r="P1378" i="5" s="1"/>
  <c r="Q1400" i="5"/>
  <c r="R1400" i="5" s="1"/>
  <c r="S1400" i="5" s="1"/>
  <c r="Q1410" i="5"/>
  <c r="R1410" i="5" s="1"/>
  <c r="S1410" i="5" s="1"/>
  <c r="Q1414" i="5"/>
  <c r="Q1445" i="5"/>
  <c r="R1445" i="5" s="1"/>
  <c r="S1445" i="5" s="1"/>
  <c r="M1441" i="5"/>
  <c r="N1441" i="5" s="1"/>
  <c r="Q1560" i="5"/>
  <c r="R1560" i="5" s="1"/>
  <c r="S1560" i="5" s="1"/>
  <c r="M1569" i="5"/>
  <c r="L1571" i="5"/>
  <c r="P1571" i="5" s="1"/>
  <c r="L1580" i="5"/>
  <c r="P1580" i="5" s="1"/>
  <c r="M1585" i="5"/>
  <c r="L1593" i="5"/>
  <c r="P1593" i="5" s="1"/>
  <c r="Q1594" i="5"/>
  <c r="R1594" i="5" s="1"/>
  <c r="S1594" i="5" s="1"/>
  <c r="Q1606" i="5"/>
  <c r="R1606" i="5" s="1"/>
  <c r="S1606" i="5" s="1"/>
  <c r="L1608" i="5"/>
  <c r="P1608" i="5" s="1"/>
  <c r="Q1647" i="5"/>
  <c r="R1647" i="5" s="1"/>
  <c r="S1647" i="5" s="1"/>
  <c r="M1658" i="5"/>
  <c r="M1674" i="5"/>
  <c r="N1674" i="5" s="1"/>
  <c r="M1697" i="5"/>
  <c r="Q1716" i="5"/>
  <c r="R1716" i="5" s="1"/>
  <c r="S1716" i="5" s="1"/>
  <c r="Q1730" i="5"/>
  <c r="M1738" i="5"/>
  <c r="Q1782" i="5"/>
  <c r="R1782" i="5" s="1"/>
  <c r="S1782" i="5" s="1"/>
  <c r="Q1399" i="5"/>
  <c r="R1397" i="5"/>
  <c r="S1397" i="5" s="1"/>
  <c r="Q1427" i="5"/>
  <c r="R1427" i="5" s="1"/>
  <c r="S1427" i="5" s="1"/>
  <c r="R1449" i="5"/>
  <c r="S1449" i="5" s="1"/>
  <c r="Q1471" i="5"/>
  <c r="Q1493" i="5"/>
  <c r="R1493" i="5" s="1"/>
  <c r="S1493" i="5" s="1"/>
  <c r="Q1563" i="5"/>
  <c r="R1563" i="5" s="1"/>
  <c r="S1563" i="5" s="1"/>
  <c r="L1604" i="5"/>
  <c r="N1604" i="5" s="1"/>
  <c r="R1608" i="5"/>
  <c r="S1608" i="5" s="1"/>
  <c r="Q1610" i="5"/>
  <c r="M1620" i="5"/>
  <c r="Q1741" i="5"/>
  <c r="Q1766" i="5"/>
  <c r="R1766" i="5" s="1"/>
  <c r="S1766" i="5" s="1"/>
  <c r="Q1774" i="5"/>
  <c r="Q1780" i="5"/>
  <c r="R1780" i="5" s="1"/>
  <c r="S1780" i="5" s="1"/>
  <c r="M1793" i="5"/>
  <c r="Q1406" i="5"/>
  <c r="R1406" i="5" s="1"/>
  <c r="S1406" i="5" s="1"/>
  <c r="M1426" i="5"/>
  <c r="N1426" i="5" s="1"/>
  <c r="Q1432" i="5"/>
  <c r="R1432" i="5" s="1"/>
  <c r="S1432" i="5" s="1"/>
  <c r="M1454" i="5"/>
  <c r="Q1475" i="5"/>
  <c r="R1475" i="5" s="1"/>
  <c r="S1475" i="5" s="1"/>
  <c r="M1488" i="5"/>
  <c r="Q1491" i="5"/>
  <c r="R1491" i="5" s="1"/>
  <c r="S1491" i="5" s="1"/>
  <c r="Q1496" i="5"/>
  <c r="R1496" i="5" s="1"/>
  <c r="S1496" i="5" s="1"/>
  <c r="Q1556" i="5"/>
  <c r="R1556" i="5" s="1"/>
  <c r="S1556" i="5" s="1"/>
  <c r="Q1601" i="5"/>
  <c r="Q1676" i="5"/>
  <c r="Q1694" i="5"/>
  <c r="R1694" i="5" s="1"/>
  <c r="S1694" i="5" s="1"/>
  <c r="M1696" i="5"/>
  <c r="N1696" i="5" s="1"/>
  <c r="L1703" i="5"/>
  <c r="P1703" i="5" s="1"/>
  <c r="M1728" i="5"/>
  <c r="N1728" i="5" s="1"/>
  <c r="M1384" i="5"/>
  <c r="Q1405" i="5"/>
  <c r="Q1407" i="5"/>
  <c r="M1412" i="5"/>
  <c r="Q1417" i="5"/>
  <c r="M1439" i="5"/>
  <c r="M1444" i="5"/>
  <c r="Q1461" i="5"/>
  <c r="R1461" i="5" s="1"/>
  <c r="S1461" i="5" s="1"/>
  <c r="M1468" i="5"/>
  <c r="Q1529" i="5"/>
  <c r="R1529" i="5" s="1"/>
  <c r="S1529" i="5" s="1"/>
  <c r="Q1540" i="5"/>
  <c r="N1561" i="5"/>
  <c r="U1561" i="5" s="1"/>
  <c r="V1561" i="5" s="1"/>
  <c r="R1557" i="5"/>
  <c r="S1557" i="5" s="1"/>
  <c r="R1593" i="5"/>
  <c r="S1593" i="5" s="1"/>
  <c r="R1591" i="5"/>
  <c r="S1591" i="5" s="1"/>
  <c r="M1596" i="5"/>
  <c r="Q1603" i="5"/>
  <c r="M1609" i="5"/>
  <c r="Q1634" i="5"/>
  <c r="R1637" i="5"/>
  <c r="S1637" i="5" s="1"/>
  <c r="L1648" i="5"/>
  <c r="L1754" i="5"/>
  <c r="P1754" i="5" s="1"/>
  <c r="Q1784" i="5"/>
  <c r="R1784" i="5" s="1"/>
  <c r="S1784" i="5" s="1"/>
  <c r="M1377" i="5"/>
  <c r="N1377" i="5" s="1"/>
  <c r="M1383" i="5"/>
  <c r="N1383" i="5" s="1"/>
  <c r="M1397" i="5"/>
  <c r="N1397" i="5" s="1"/>
  <c r="M1593" i="5"/>
  <c r="M1670" i="5"/>
  <c r="R1671" i="5"/>
  <c r="S1671" i="5" s="1"/>
  <c r="M1693" i="5"/>
  <c r="Q1787" i="5"/>
  <c r="R1787" i="5" s="1"/>
  <c r="S1787" i="5" s="1"/>
  <c r="Q1791" i="5"/>
  <c r="R1791" i="5" s="1"/>
  <c r="S1791" i="5" s="1"/>
  <c r="P1449" i="5"/>
  <c r="K1483" i="5"/>
  <c r="R1483" i="5" s="1"/>
  <c r="S1483" i="5" s="1"/>
  <c r="R1534" i="5"/>
  <c r="S1534" i="5" s="1"/>
  <c r="Q1365" i="5"/>
  <c r="Q1375" i="5"/>
  <c r="R1375" i="5" s="1"/>
  <c r="S1375" i="5" s="1"/>
  <c r="Q1382" i="5"/>
  <c r="R1382" i="5" s="1"/>
  <c r="S1382" i="5" s="1"/>
  <c r="Q1389" i="5"/>
  <c r="R1389" i="5" s="1"/>
  <c r="S1389" i="5" s="1"/>
  <c r="M1401" i="5"/>
  <c r="M1435" i="5"/>
  <c r="Q1450" i="5"/>
  <c r="L1459" i="5"/>
  <c r="P1459" i="5" s="1"/>
  <c r="Q1462" i="5"/>
  <c r="R1462" i="5" s="1"/>
  <c r="S1462" i="5" s="1"/>
  <c r="M1498" i="5"/>
  <c r="M1517" i="5"/>
  <c r="Q1517" i="5"/>
  <c r="R1517" i="5" s="1"/>
  <c r="S1517" i="5" s="1"/>
  <c r="M1528" i="5"/>
  <c r="Q1528" i="5"/>
  <c r="R1528" i="5" s="1"/>
  <c r="S1528" i="5" s="1"/>
  <c r="Q1590" i="5"/>
  <c r="R1590" i="5" s="1"/>
  <c r="S1590" i="5" s="1"/>
  <c r="M1590" i="5"/>
  <c r="M1629" i="5"/>
  <c r="Q1629" i="5"/>
  <c r="Q1625" i="5"/>
  <c r="M1625" i="5"/>
  <c r="M1799" i="5"/>
  <c r="Q1799" i="5"/>
  <c r="R1799" i="5" s="1"/>
  <c r="S1799" i="5" s="1"/>
  <c r="R1396" i="5"/>
  <c r="S1396" i="5" s="1"/>
  <c r="M1611" i="5"/>
  <c r="Q1611" i="5"/>
  <c r="R1611" i="5" s="1"/>
  <c r="S1611" i="5" s="1"/>
  <c r="K1735" i="5"/>
  <c r="L1735" i="5" s="1"/>
  <c r="Q1779" i="5"/>
  <c r="R1779" i="5" s="1"/>
  <c r="S1779" i="5" s="1"/>
  <c r="M1779" i="5"/>
  <c r="Q1362" i="5"/>
  <c r="Q1368" i="5"/>
  <c r="M1411" i="5"/>
  <c r="Q1419" i="5"/>
  <c r="R1419" i="5" s="1"/>
  <c r="S1419" i="5" s="1"/>
  <c r="Q1447" i="5"/>
  <c r="K1451" i="5"/>
  <c r="L1451" i="5" s="1"/>
  <c r="M1457" i="5"/>
  <c r="M1452" i="5"/>
  <c r="L1482" i="5"/>
  <c r="Q1482" i="5"/>
  <c r="R1482" i="5" s="1"/>
  <c r="S1482" i="5" s="1"/>
  <c r="M1482" i="5"/>
  <c r="M1511" i="5"/>
  <c r="Q1511" i="5"/>
  <c r="R1511" i="5" s="1"/>
  <c r="S1511" i="5" s="1"/>
  <c r="M1725" i="5"/>
  <c r="Q1725" i="5"/>
  <c r="K1778" i="5"/>
  <c r="L1778" i="5" s="1"/>
  <c r="P1778" i="5" s="1"/>
  <c r="K1774" i="5"/>
  <c r="L1774" i="5" s="1"/>
  <c r="Q1500" i="5"/>
  <c r="R1500" i="5" s="1"/>
  <c r="S1500" i="5" s="1"/>
  <c r="M1500" i="5"/>
  <c r="M1521" i="5"/>
  <c r="Q1521" i="5"/>
  <c r="R1521" i="5" s="1"/>
  <c r="S1521" i="5" s="1"/>
  <c r="Q1783" i="5"/>
  <c r="R1783" i="5" s="1"/>
  <c r="S1783" i="5" s="1"/>
  <c r="M1783" i="5"/>
  <c r="Q1790" i="5"/>
  <c r="R1790" i="5" s="1"/>
  <c r="S1790" i="5" s="1"/>
  <c r="M1790" i="5"/>
  <c r="Q1367" i="5"/>
  <c r="R1367" i="5" s="1"/>
  <c r="S1367" i="5" s="1"/>
  <c r="M1378" i="5"/>
  <c r="M1385" i="5"/>
  <c r="K1398" i="5"/>
  <c r="L1398" i="5" s="1"/>
  <c r="M1451" i="5"/>
  <c r="K1450" i="5"/>
  <c r="L1450" i="5" s="1"/>
  <c r="M1456" i="5"/>
  <c r="Q1465" i="5"/>
  <c r="R1465" i="5" s="1"/>
  <c r="S1465" i="5" s="1"/>
  <c r="K1468" i="5"/>
  <c r="R1468" i="5" s="1"/>
  <c r="S1468" i="5" s="1"/>
  <c r="Q1469" i="5"/>
  <c r="R1469" i="5" s="1"/>
  <c r="S1469" i="5" s="1"/>
  <c r="M1505" i="5"/>
  <c r="Q1505" i="5"/>
  <c r="Q1524" i="5"/>
  <c r="R1524" i="5" s="1"/>
  <c r="S1524" i="5" s="1"/>
  <c r="M1524" i="5"/>
  <c r="Q1559" i="5"/>
  <c r="R1559" i="5" s="1"/>
  <c r="S1559" i="5" s="1"/>
  <c r="M1559" i="5"/>
  <c r="N1559" i="5" s="1"/>
  <c r="M1570" i="5"/>
  <c r="Q1570" i="5"/>
  <c r="R1570" i="5" s="1"/>
  <c r="S1570" i="5" s="1"/>
  <c r="Q1654" i="5"/>
  <c r="R1654" i="5" s="1"/>
  <c r="S1654" i="5" s="1"/>
  <c r="M1654" i="5"/>
  <c r="M1689" i="5"/>
  <c r="Q1689" i="5"/>
  <c r="R1689" i="5" s="1"/>
  <c r="S1689" i="5" s="1"/>
  <c r="Q1698" i="5"/>
  <c r="M1698" i="5"/>
  <c r="R1732" i="5"/>
  <c r="S1732" i="5" s="1"/>
  <c r="M1764" i="5"/>
  <c r="Q1764" i="5"/>
  <c r="R1764" i="5" s="1"/>
  <c r="S1764" i="5" s="1"/>
  <c r="Q1638" i="5"/>
  <c r="R1638" i="5" s="1"/>
  <c r="S1638" i="5" s="1"/>
  <c r="M1638" i="5"/>
  <c r="Q1379" i="5"/>
  <c r="R1379" i="5" s="1"/>
  <c r="S1379" i="5" s="1"/>
  <c r="M1483" i="5"/>
  <c r="Q1574" i="5"/>
  <c r="M1574" i="5"/>
  <c r="Q1582" i="5"/>
  <c r="M1582" i="5"/>
  <c r="M1619" i="5"/>
  <c r="Q1619" i="5"/>
  <c r="R1619" i="5" s="1"/>
  <c r="S1619" i="5" s="1"/>
  <c r="M1661" i="5"/>
  <c r="N1661" i="5" s="1"/>
  <c r="Q1661" i="5"/>
  <c r="R1661" i="5" s="1"/>
  <c r="S1661" i="5" s="1"/>
  <c r="Q1663" i="5"/>
  <c r="M1667" i="5"/>
  <c r="N1667" i="5" s="1"/>
  <c r="Q1667" i="5"/>
  <c r="R1667" i="5" s="1"/>
  <c r="S1667" i="5" s="1"/>
  <c r="M1688" i="5"/>
  <c r="N1688" i="5" s="1"/>
  <c r="Q1688" i="5"/>
  <c r="R1688" i="5" s="1"/>
  <c r="S1688" i="5" s="1"/>
  <c r="R1702" i="5"/>
  <c r="S1702" i="5" s="1"/>
  <c r="M1714" i="5"/>
  <c r="Q1714" i="5"/>
  <c r="M1729" i="5"/>
  <c r="Q1729" i="5"/>
  <c r="Q1744" i="5"/>
  <c r="M1744" i="5"/>
  <c r="K1585" i="5"/>
  <c r="L1585" i="5" s="1"/>
  <c r="Q1476" i="5"/>
  <c r="R1476" i="5" s="1"/>
  <c r="S1476" i="5" s="1"/>
  <c r="R1479" i="5"/>
  <c r="S1479" i="5" s="1"/>
  <c r="Q1513" i="5"/>
  <c r="R1513" i="5" s="1"/>
  <c r="S1513" i="5" s="1"/>
  <c r="M1513" i="5"/>
  <c r="Q1539" i="5"/>
  <c r="R1539" i="5" s="1"/>
  <c r="S1539" i="5" s="1"/>
  <c r="Q1551" i="5"/>
  <c r="R1551" i="5" s="1"/>
  <c r="S1551" i="5" s="1"/>
  <c r="M1551" i="5"/>
  <c r="N1551" i="5" s="1"/>
  <c r="Q1553" i="5"/>
  <c r="M1578" i="5"/>
  <c r="Q1578" i="5"/>
  <c r="R1578" i="5" s="1"/>
  <c r="S1578" i="5" s="1"/>
  <c r="Q1587" i="5"/>
  <c r="R1587" i="5" s="1"/>
  <c r="S1587" i="5" s="1"/>
  <c r="M1587" i="5"/>
  <c r="K1651" i="5"/>
  <c r="L1651" i="5" s="1"/>
  <c r="M1687" i="5"/>
  <c r="Q1687" i="5"/>
  <c r="Q1717" i="5"/>
  <c r="R1717" i="5" s="1"/>
  <c r="S1717" i="5" s="1"/>
  <c r="M1717" i="5"/>
  <c r="M1771" i="5"/>
  <c r="Q1771" i="5"/>
  <c r="R1771" i="5" s="1"/>
  <c r="S1771" i="5" s="1"/>
  <c r="Q1571" i="5"/>
  <c r="R1571" i="5" s="1"/>
  <c r="S1571" i="5" s="1"/>
  <c r="Q1577" i="5"/>
  <c r="R1577" i="5" s="1"/>
  <c r="S1577" i="5" s="1"/>
  <c r="L1584" i="5"/>
  <c r="N1584" i="5" s="1"/>
  <c r="Q1604" i="5"/>
  <c r="R1604" i="5" s="1"/>
  <c r="S1604" i="5" s="1"/>
  <c r="M1617" i="5"/>
  <c r="Q1627" i="5"/>
  <c r="R1627" i="5" s="1"/>
  <c r="S1627" i="5" s="1"/>
  <c r="Q1646" i="5"/>
  <c r="Q1669" i="5"/>
  <c r="R1669" i="5" s="1"/>
  <c r="S1669" i="5" s="1"/>
  <c r="M1671" i="5"/>
  <c r="Q1675" i="5"/>
  <c r="R1675" i="5" s="1"/>
  <c r="S1675" i="5" s="1"/>
  <c r="Q1679" i="5"/>
  <c r="R1679" i="5" s="1"/>
  <c r="S1679" i="5" s="1"/>
  <c r="M1695" i="5"/>
  <c r="M1702" i="5"/>
  <c r="N1702" i="5" s="1"/>
  <c r="O1702" i="5" s="1"/>
  <c r="Q1707" i="5"/>
  <c r="R1707" i="5" s="1"/>
  <c r="S1707" i="5" s="1"/>
  <c r="Q1709" i="5"/>
  <c r="R1709" i="5" s="1"/>
  <c r="S1709" i="5" s="1"/>
  <c r="Q1720" i="5"/>
  <c r="R1720" i="5" s="1"/>
  <c r="S1720" i="5" s="1"/>
  <c r="M1733" i="5"/>
  <c r="M1736" i="5"/>
  <c r="M1751" i="5"/>
  <c r="Q1753" i="5"/>
  <c r="Q1778" i="5"/>
  <c r="Q1535" i="5"/>
  <c r="R1535" i="5" s="1"/>
  <c r="S1535" i="5" s="1"/>
  <c r="Q1639" i="5"/>
  <c r="R1639" i="5" s="1"/>
  <c r="S1639" i="5" s="1"/>
  <c r="M1648" i="5"/>
  <c r="L1732" i="5"/>
  <c r="P1732" i="5" s="1"/>
  <c r="Q1740" i="5"/>
  <c r="M1758" i="5"/>
  <c r="Q1761" i="5"/>
  <c r="R1761" i="5" s="1"/>
  <c r="S1761" i="5" s="1"/>
  <c r="Q1765" i="5"/>
  <c r="R1765" i="5" s="1"/>
  <c r="S1765" i="5" s="1"/>
  <c r="M1562" i="5"/>
  <c r="M1572" i="5"/>
  <c r="Q1632" i="5"/>
  <c r="R1632" i="5" s="1"/>
  <c r="S1632" i="5" s="1"/>
  <c r="M1656" i="5"/>
  <c r="Q1788" i="5"/>
  <c r="R1788" i="5" s="1"/>
  <c r="S1788" i="5" s="1"/>
  <c r="Q1515" i="5"/>
  <c r="R1515" i="5" s="1"/>
  <c r="S1515" i="5" s="1"/>
  <c r="Q1546" i="5"/>
  <c r="R1546" i="5" s="1"/>
  <c r="S1546" i="5" s="1"/>
  <c r="L1556" i="5"/>
  <c r="P1556" i="5" s="1"/>
  <c r="M1592" i="5"/>
  <c r="L1606" i="5"/>
  <c r="P1606" i="5" s="1"/>
  <c r="Q1613" i="5"/>
  <c r="R1613" i="5" s="1"/>
  <c r="S1613" i="5" s="1"/>
  <c r="M1636" i="5"/>
  <c r="N1636" i="5" s="1"/>
  <c r="M1659" i="5"/>
  <c r="L1708" i="5"/>
  <c r="P1708" i="5" s="1"/>
  <c r="N1727" i="5"/>
  <c r="O1727" i="5" s="1"/>
  <c r="K1745" i="5"/>
  <c r="R1745" i="5" s="1"/>
  <c r="S1745" i="5" s="1"/>
  <c r="L1721" i="5"/>
  <c r="P1721" i="5" s="1"/>
  <c r="L1566" i="5"/>
  <c r="P1566" i="5" s="1"/>
  <c r="R1487" i="5"/>
  <c r="S1487" i="5" s="1"/>
  <c r="P1481" i="5"/>
  <c r="L1466" i="5"/>
  <c r="L1457" i="5"/>
  <c r="P1457" i="5" s="1"/>
  <c r="L1396" i="5"/>
  <c r="N1396" i="5" s="1"/>
  <c r="N1394" i="5"/>
  <c r="O1394" i="5" s="1"/>
  <c r="R1378" i="5"/>
  <c r="S1378" i="5" s="1"/>
  <c r="L1379" i="5"/>
  <c r="P1379" i="5" s="1"/>
  <c r="K1370" i="5"/>
  <c r="L1370" i="5" s="1"/>
  <c r="L1369" i="5"/>
  <c r="P1369" i="5" s="1"/>
  <c r="K1380" i="5"/>
  <c r="L1380" i="5" s="1"/>
  <c r="P1380" i="5" s="1"/>
  <c r="N1367" i="5"/>
  <c r="U1367" i="5" s="1"/>
  <c r="V1367" i="5" s="1"/>
  <c r="R1391" i="5"/>
  <c r="S1391" i="5" s="1"/>
  <c r="K1405" i="5"/>
  <c r="L1405" i="5" s="1"/>
  <c r="P1405" i="5" s="1"/>
  <c r="K1512" i="5"/>
  <c r="L1512" i="5" s="1"/>
  <c r="K1540" i="5"/>
  <c r="L1540" i="5" s="1"/>
  <c r="L1701" i="5"/>
  <c r="R1701" i="5"/>
  <c r="S1701" i="5" s="1"/>
  <c r="K1798" i="5"/>
  <c r="R1377" i="5"/>
  <c r="S1377" i="5" s="1"/>
  <c r="L1422" i="5"/>
  <c r="P1422" i="5" s="1"/>
  <c r="L1635" i="5"/>
  <c r="P1635" i="5" s="1"/>
  <c r="K1657" i="5"/>
  <c r="L1657" i="5" s="1"/>
  <c r="L1712" i="5"/>
  <c r="P1712" i="5" s="1"/>
  <c r="K1715" i="5"/>
  <c r="R1715" i="5" s="1"/>
  <c r="S1715" i="5" s="1"/>
  <c r="K1739" i="5"/>
  <c r="L1739" i="5" s="1"/>
  <c r="P1739" i="5" s="1"/>
  <c r="K1785" i="5"/>
  <c r="R1785" i="5" s="1"/>
  <c r="S1785" i="5" s="1"/>
  <c r="K1781" i="5"/>
  <c r="L1781" i="5" s="1"/>
  <c r="R1800" i="5"/>
  <c r="S1800" i="5" s="1"/>
  <c r="L1800" i="5"/>
  <c r="L1796" i="5"/>
  <c r="R1796" i="5"/>
  <c r="S1796" i="5" s="1"/>
  <c r="K1777" i="5"/>
  <c r="L1777" i="5" s="1"/>
  <c r="P1397" i="5"/>
  <c r="K1371" i="5"/>
  <c r="L1371" i="5" s="1"/>
  <c r="R1376" i="5"/>
  <c r="S1376" i="5" s="1"/>
  <c r="L1562" i="5"/>
  <c r="P1562" i="5" s="1"/>
  <c r="R1562" i="5"/>
  <c r="S1562" i="5" s="1"/>
  <c r="K1714" i="5"/>
  <c r="L1714" i="5" s="1"/>
  <c r="K1436" i="5"/>
  <c r="R1436" i="5" s="1"/>
  <c r="S1436" i="5" s="1"/>
  <c r="K1472" i="5"/>
  <c r="L1472" i="5" s="1"/>
  <c r="R1381" i="5"/>
  <c r="S1381" i="5" s="1"/>
  <c r="R1383" i="5"/>
  <c r="S1383" i="5" s="1"/>
  <c r="R1533" i="5"/>
  <c r="S1533" i="5" s="1"/>
  <c r="K1649" i="5"/>
  <c r="L1649" i="5" s="1"/>
  <c r="K1693" i="5"/>
  <c r="L1693" i="5" s="1"/>
  <c r="K1736" i="5"/>
  <c r="L1736" i="5" s="1"/>
  <c r="R1423" i="5"/>
  <c r="S1423" i="5" s="1"/>
  <c r="L1440" i="5"/>
  <c r="P1440" i="5" s="1"/>
  <c r="R1457" i="5"/>
  <c r="S1457" i="5" s="1"/>
  <c r="L1506" i="5"/>
  <c r="P1506" i="5" s="1"/>
  <c r="R1623" i="5"/>
  <c r="S1623" i="5" s="1"/>
  <c r="L1631" i="5"/>
  <c r="K1700" i="5"/>
  <c r="L1700" i="5" s="1"/>
  <c r="R1731" i="5"/>
  <c r="S1731" i="5" s="1"/>
  <c r="L1766" i="5"/>
  <c r="P1766" i="5" s="1"/>
  <c r="R1797" i="5"/>
  <c r="S1797" i="5" s="1"/>
  <c r="L1415" i="5"/>
  <c r="P1415" i="5" s="1"/>
  <c r="R1437" i="5"/>
  <c r="S1437" i="5" s="1"/>
  <c r="L1488" i="5"/>
  <c r="P1488" i="5" s="1"/>
  <c r="L1503" i="5"/>
  <c r="P1503" i="5" s="1"/>
  <c r="L1530" i="5"/>
  <c r="L1637" i="5"/>
  <c r="L1645" i="5"/>
  <c r="P1645" i="5" s="1"/>
  <c r="L1710" i="5"/>
  <c r="P1710" i="5" s="1"/>
  <c r="L1425" i="5"/>
  <c r="P1425" i="5" s="1"/>
  <c r="L1421" i="5"/>
  <c r="P1421" i="5" s="1"/>
  <c r="L1433" i="5"/>
  <c r="P1433" i="5" s="1"/>
  <c r="K1452" i="5"/>
  <c r="L1452" i="5" s="1"/>
  <c r="L1454" i="5"/>
  <c r="P1454" i="5" s="1"/>
  <c r="L1628" i="5"/>
  <c r="P1628" i="5" s="1"/>
  <c r="R1733" i="5"/>
  <c r="S1733" i="5" s="1"/>
  <c r="R1443" i="5"/>
  <c r="S1443" i="5" s="1"/>
  <c r="L1458" i="5"/>
  <c r="P1458" i="5" s="1"/>
  <c r="L1515" i="5"/>
  <c r="N1515" i="5" s="1"/>
  <c r="L1520" i="5"/>
  <c r="N1520" i="5" s="1"/>
  <c r="L1554" i="5"/>
  <c r="P1554" i="5" s="1"/>
  <c r="L1573" i="5"/>
  <c r="P1573" i="5" s="1"/>
  <c r="L1643" i="5"/>
  <c r="R1664" i="5"/>
  <c r="S1664" i="5" s="1"/>
  <c r="R1674" i="5"/>
  <c r="S1674" i="5" s="1"/>
  <c r="R1696" i="5"/>
  <c r="S1696" i="5" s="1"/>
  <c r="R1786" i="5"/>
  <c r="S1786" i="5" s="1"/>
  <c r="L1786" i="5"/>
  <c r="P1786" i="5" s="1"/>
  <c r="L1799" i="5"/>
  <c r="L1412" i="5"/>
  <c r="P1412" i="5" s="1"/>
  <c r="L1418" i="5"/>
  <c r="P1418" i="5" s="1"/>
  <c r="N1427" i="5"/>
  <c r="O1427" i="5" s="1"/>
  <c r="L1432" i="5"/>
  <c r="P1432" i="5" s="1"/>
  <c r="L1439" i="5"/>
  <c r="P1439" i="5" s="1"/>
  <c r="R1459" i="5"/>
  <c r="S1459" i="5" s="1"/>
  <c r="R1488" i="5"/>
  <c r="S1488" i="5" s="1"/>
  <c r="L1521" i="5"/>
  <c r="L1548" i="5"/>
  <c r="P1548" i="5" s="1"/>
  <c r="L1572" i="5"/>
  <c r="P1572" i="5" s="1"/>
  <c r="L1587" i="5"/>
  <c r="P1587" i="5" s="1"/>
  <c r="R1631" i="5"/>
  <c r="S1631" i="5" s="1"/>
  <c r="R1746" i="5"/>
  <c r="S1746" i="5" s="1"/>
  <c r="N1780" i="5"/>
  <c r="O1780" i="5" s="1"/>
  <c r="M1433" i="5"/>
  <c r="Q1433" i="5"/>
  <c r="R1433" i="5" s="1"/>
  <c r="S1433" i="5" s="1"/>
  <c r="M1530" i="5"/>
  <c r="Q1530" i="5"/>
  <c r="R1530" i="5" s="1"/>
  <c r="S1530" i="5" s="1"/>
  <c r="Q1374" i="5"/>
  <c r="R1374" i="5" s="1"/>
  <c r="S1374" i="5" s="1"/>
  <c r="M1376" i="5"/>
  <c r="N1376" i="5" s="1"/>
  <c r="U1376" i="5" s="1"/>
  <c r="V1376" i="5" s="1"/>
  <c r="Q1395" i="5"/>
  <c r="R1395" i="5" s="1"/>
  <c r="S1395" i="5" s="1"/>
  <c r="M1424" i="5"/>
  <c r="M1477" i="5"/>
  <c r="Q1477" i="5"/>
  <c r="R1477" i="5" s="1"/>
  <c r="S1477" i="5" s="1"/>
  <c r="M1589" i="5"/>
  <c r="Q1589" i="5"/>
  <c r="R1589" i="5" s="1"/>
  <c r="S1589" i="5" s="1"/>
  <c r="M1416" i="5"/>
  <c r="N1416" i="5" s="1"/>
  <c r="Q1416" i="5"/>
  <c r="R1416" i="5" s="1"/>
  <c r="S1416" i="5" s="1"/>
  <c r="R1435" i="5"/>
  <c r="S1435" i="5" s="1"/>
  <c r="M1440" i="5"/>
  <c r="Q1440" i="5"/>
  <c r="R1440" i="5" s="1"/>
  <c r="S1440" i="5" s="1"/>
  <c r="Q1463" i="5"/>
  <c r="R1463" i="5" s="1"/>
  <c r="S1463" i="5" s="1"/>
  <c r="M1463" i="5"/>
  <c r="N1463" i="5" s="1"/>
  <c r="M1490" i="5"/>
  <c r="Q1490" i="5"/>
  <c r="R1490" i="5" s="1"/>
  <c r="S1490" i="5" s="1"/>
  <c r="M1494" i="5"/>
  <c r="Q1494" i="5"/>
  <c r="R1494" i="5" s="1"/>
  <c r="S1494" i="5" s="1"/>
  <c r="Q1504" i="5"/>
  <c r="R1504" i="5" s="1"/>
  <c r="S1504" i="5" s="1"/>
  <c r="M1602" i="5"/>
  <c r="Q1602" i="5"/>
  <c r="R1602" i="5" s="1"/>
  <c r="S1602" i="5" s="1"/>
  <c r="M1678" i="5"/>
  <c r="Q1678" i="5"/>
  <c r="R1678" i="5" s="1"/>
  <c r="S1678" i="5" s="1"/>
  <c r="M1564" i="5"/>
  <c r="Q1564" i="5"/>
  <c r="M1380" i="5"/>
  <c r="Q1409" i="5"/>
  <c r="R1409" i="5" s="1"/>
  <c r="S1409" i="5" s="1"/>
  <c r="Q1429" i="5"/>
  <c r="R1429" i="5" s="1"/>
  <c r="S1429" i="5" s="1"/>
  <c r="Q1472" i="5"/>
  <c r="M1472" i="5"/>
  <c r="Q1544" i="5"/>
  <c r="R1544" i="5" s="1"/>
  <c r="S1544" i="5" s="1"/>
  <c r="M1544" i="5"/>
  <c r="N1544" i="5" s="1"/>
  <c r="M1581" i="5"/>
  <c r="Q1581" i="5"/>
  <c r="R1581" i="5" s="1"/>
  <c r="S1581" i="5" s="1"/>
  <c r="Q1597" i="5"/>
  <c r="M1597" i="5"/>
  <c r="Q1645" i="5"/>
  <c r="R1645" i="5" s="1"/>
  <c r="S1645" i="5" s="1"/>
  <c r="M1645" i="5"/>
  <c r="M1418" i="5"/>
  <c r="Q1418" i="5"/>
  <c r="R1418" i="5" s="1"/>
  <c r="S1418" i="5" s="1"/>
  <c r="Q1537" i="5"/>
  <c r="R1537" i="5" s="1"/>
  <c r="S1537" i="5" s="1"/>
  <c r="M1537" i="5"/>
  <c r="M1579" i="5"/>
  <c r="Q1579" i="5"/>
  <c r="R1579" i="5" s="1"/>
  <c r="S1579" i="5" s="1"/>
  <c r="Q1398" i="5"/>
  <c r="Q1394" i="5"/>
  <c r="R1394" i="5" s="1"/>
  <c r="S1394" i="5" s="1"/>
  <c r="Q1408" i="5"/>
  <c r="Q1428" i="5"/>
  <c r="R1428" i="5" s="1"/>
  <c r="S1428" i="5" s="1"/>
  <c r="M1430" i="5"/>
  <c r="Q1430" i="5"/>
  <c r="R1430" i="5" s="1"/>
  <c r="S1430" i="5" s="1"/>
  <c r="M1473" i="5"/>
  <c r="M1474" i="5"/>
  <c r="N1474" i="5" s="1"/>
  <c r="Q1474" i="5"/>
  <c r="R1474" i="5" s="1"/>
  <c r="S1474" i="5" s="1"/>
  <c r="M1492" i="5"/>
  <c r="Q1492" i="5"/>
  <c r="M1501" i="5"/>
  <c r="Q1501" i="5"/>
  <c r="R1501" i="5" s="1"/>
  <c r="S1501" i="5" s="1"/>
  <c r="Q1586" i="5"/>
  <c r="R1586" i="5" s="1"/>
  <c r="S1586" i="5" s="1"/>
  <c r="M1586" i="5"/>
  <c r="N1586" i="5" s="1"/>
  <c r="M1600" i="5"/>
  <c r="N1600" i="5" s="1"/>
  <c r="Q1600" i="5"/>
  <c r="R1600" i="5" s="1"/>
  <c r="S1600" i="5" s="1"/>
  <c r="M1415" i="5"/>
  <c r="Q1415" i="5"/>
  <c r="R1415" i="5" s="1"/>
  <c r="S1415" i="5" s="1"/>
  <c r="M1425" i="5"/>
  <c r="Q1425" i="5"/>
  <c r="R1425" i="5" s="1"/>
  <c r="S1425" i="5" s="1"/>
  <c r="M1421" i="5"/>
  <c r="Q1421" i="5"/>
  <c r="R1421" i="5" s="1"/>
  <c r="S1421" i="5" s="1"/>
  <c r="M1487" i="5"/>
  <c r="M1575" i="5"/>
  <c r="Q1575" i="5"/>
  <c r="R1575" i="5" s="1"/>
  <c r="S1575" i="5" s="1"/>
  <c r="Q1652" i="5"/>
  <c r="R1652" i="5" s="1"/>
  <c r="S1652" i="5" s="1"/>
  <c r="M1652" i="5"/>
  <c r="N1652" i="5" s="1"/>
  <c r="M1711" i="5"/>
  <c r="N1711" i="5" s="1"/>
  <c r="Q1711" i="5"/>
  <c r="R1711" i="5" s="1"/>
  <c r="S1711" i="5" s="1"/>
  <c r="M1775" i="5"/>
  <c r="N1775" i="5" s="1"/>
  <c r="Q1775" i="5"/>
  <c r="R1775" i="5" s="1"/>
  <c r="S1775" i="5" s="1"/>
  <c r="Q1794" i="5"/>
  <c r="R1794" i="5" s="1"/>
  <c r="S1794" i="5" s="1"/>
  <c r="M1794" i="5"/>
  <c r="R1481" i="5"/>
  <c r="S1481" i="5" s="1"/>
  <c r="Q1509" i="5"/>
  <c r="R1509" i="5" s="1"/>
  <c r="S1509" i="5" s="1"/>
  <c r="Q1512" i="5"/>
  <c r="M1526" i="5"/>
  <c r="M1522" i="5"/>
  <c r="Q1545" i="5"/>
  <c r="R1545" i="5" s="1"/>
  <c r="S1545" i="5" s="1"/>
  <c r="Q1598" i="5"/>
  <c r="Q1699" i="5"/>
  <c r="M1699" i="5"/>
  <c r="M1703" i="5"/>
  <c r="Q1703" i="5"/>
  <c r="R1703" i="5" s="1"/>
  <c r="S1703" i="5" s="1"/>
  <c r="Q1470" i="5"/>
  <c r="R1470" i="5" s="1"/>
  <c r="S1470" i="5" s="1"/>
  <c r="M1531" i="5"/>
  <c r="M1536" i="5"/>
  <c r="N1536" i="5" s="1"/>
  <c r="Q1541" i="5"/>
  <c r="Q1554" i="5"/>
  <c r="R1554" i="5" s="1"/>
  <c r="S1554" i="5" s="1"/>
  <c r="R1565" i="5"/>
  <c r="S1565" i="5" s="1"/>
  <c r="Q1567" i="5"/>
  <c r="R1567" i="5" s="1"/>
  <c r="S1567" i="5" s="1"/>
  <c r="M1580" i="5"/>
  <c r="Q1614" i="5"/>
  <c r="M1677" i="5"/>
  <c r="Q1677" i="5"/>
  <c r="M1673" i="5"/>
  <c r="Q1673" i="5"/>
  <c r="M1734" i="5"/>
  <c r="N1734" i="5" s="1"/>
  <c r="Q1734" i="5"/>
  <c r="R1734" i="5" s="1"/>
  <c r="S1734" i="5" s="1"/>
  <c r="M1548" i="5"/>
  <c r="M1565" i="5"/>
  <c r="N1565" i="5" s="1"/>
  <c r="R1592" i="5"/>
  <c r="S1592" i="5" s="1"/>
  <c r="M1651" i="5"/>
  <c r="Q1651" i="5"/>
  <c r="M1655" i="5"/>
  <c r="N1655" i="5" s="1"/>
  <c r="Q1655" i="5"/>
  <c r="R1655" i="5" s="1"/>
  <c r="S1655" i="5" s="1"/>
  <c r="Q1692" i="5"/>
  <c r="R1692" i="5" s="1"/>
  <c r="S1692" i="5" s="1"/>
  <c r="M1692" i="5"/>
  <c r="N1692" i="5" s="1"/>
  <c r="O1692" i="5" s="1"/>
  <c r="Q1721" i="5"/>
  <c r="R1721" i="5" s="1"/>
  <c r="S1721" i="5" s="1"/>
  <c r="M1721" i="5"/>
  <c r="Q1739" i="5"/>
  <c r="M1739" i="5"/>
  <c r="N1549" i="5"/>
  <c r="Q1641" i="5"/>
  <c r="R1641" i="5" s="1"/>
  <c r="S1641" i="5" s="1"/>
  <c r="M1641" i="5"/>
  <c r="M1681" i="5"/>
  <c r="Q1681" i="5"/>
  <c r="R1681" i="5" s="1"/>
  <c r="S1681" i="5" s="1"/>
  <c r="Q1705" i="5"/>
  <c r="R1705" i="5" s="1"/>
  <c r="S1705" i="5" s="1"/>
  <c r="M1705" i="5"/>
  <c r="Q1752" i="5"/>
  <c r="R1752" i="5" s="1"/>
  <c r="S1752" i="5" s="1"/>
  <c r="M1752" i="5"/>
  <c r="Q1757" i="5"/>
  <c r="R1757" i="5" s="1"/>
  <c r="S1757" i="5" s="1"/>
  <c r="Q1759" i="5"/>
  <c r="R1759" i="5" s="1"/>
  <c r="S1759" i="5" s="1"/>
  <c r="M1759" i="5"/>
  <c r="Q1762" i="5"/>
  <c r="R1762" i="5" s="1"/>
  <c r="S1762" i="5" s="1"/>
  <c r="Q1684" i="5"/>
  <c r="Q1691" i="5"/>
  <c r="R1691" i="5" s="1"/>
  <c r="S1691" i="5" s="1"/>
  <c r="Q1700" i="5"/>
  <c r="Q1712" i="5"/>
  <c r="R1712" i="5" s="1"/>
  <c r="S1712" i="5" s="1"/>
  <c r="Q1743" i="5"/>
  <c r="Q1792" i="5"/>
  <c r="Q1650" i="5"/>
  <c r="R1650" i="5" s="1"/>
  <c r="S1650" i="5" s="1"/>
  <c r="Q1686" i="5"/>
  <c r="R1686" i="5" s="1"/>
  <c r="S1686" i="5" s="1"/>
  <c r="Q1704" i="5"/>
  <c r="R1704" i="5" s="1"/>
  <c r="S1704" i="5" s="1"/>
  <c r="Q1722" i="5"/>
  <c r="R1722" i="5" s="1"/>
  <c r="S1722" i="5" s="1"/>
  <c r="Q1724" i="5"/>
  <c r="R1724" i="5" s="1"/>
  <c r="S1724" i="5" s="1"/>
  <c r="Q1682" i="5"/>
  <c r="R1682" i="5" s="1"/>
  <c r="S1682" i="5" s="1"/>
  <c r="M1776" i="5"/>
  <c r="R1648" i="5"/>
  <c r="S1648" i="5" s="1"/>
  <c r="Q1713" i="5"/>
  <c r="L1373" i="5"/>
  <c r="R1373" i="5"/>
  <c r="S1373" i="5" s="1"/>
  <c r="N1389" i="5"/>
  <c r="P1389" i="5"/>
  <c r="P1377" i="5"/>
  <c r="P1387" i="5"/>
  <c r="N1375" i="5"/>
  <c r="P1375" i="5"/>
  <c r="P1383" i="5"/>
  <c r="P1400" i="5"/>
  <c r="N1400" i="5"/>
  <c r="P1404" i="5"/>
  <c r="N1404" i="5"/>
  <c r="N1374" i="5"/>
  <c r="P1374" i="5"/>
  <c r="P1426" i="5"/>
  <c r="L1386" i="5"/>
  <c r="P1391" i="5"/>
  <c r="L1388" i="5"/>
  <c r="N1429" i="5"/>
  <c r="P1429" i="5"/>
  <c r="L1469" i="5"/>
  <c r="K1484" i="5"/>
  <c r="L1484" i="5" s="1"/>
  <c r="L1508" i="5"/>
  <c r="R1385" i="5"/>
  <c r="S1385" i="5" s="1"/>
  <c r="L1385" i="5"/>
  <c r="R1393" i="5"/>
  <c r="S1393" i="5" s="1"/>
  <c r="L1393" i="5"/>
  <c r="R1402" i="5"/>
  <c r="S1402" i="5" s="1"/>
  <c r="K1431" i="5"/>
  <c r="L1431" i="5" s="1"/>
  <c r="L1435" i="5"/>
  <c r="P1437" i="5"/>
  <c r="P1441" i="5"/>
  <c r="L1444" i="5"/>
  <c r="R1444" i="5"/>
  <c r="S1444" i="5" s="1"/>
  <c r="R1456" i="5"/>
  <c r="S1456" i="5" s="1"/>
  <c r="L1456" i="5"/>
  <c r="L1461" i="5"/>
  <c r="N1489" i="5"/>
  <c r="P1489" i="5"/>
  <c r="R1497" i="5"/>
  <c r="S1497" i="5" s="1"/>
  <c r="L1430" i="5"/>
  <c r="L1442" i="5"/>
  <c r="L1500" i="5"/>
  <c r="L1517" i="5"/>
  <c r="P1539" i="5"/>
  <c r="N1539" i="5"/>
  <c r="P1559" i="5"/>
  <c r="L1372" i="5"/>
  <c r="P1372" i="5" s="1"/>
  <c r="R1384" i="5"/>
  <c r="S1384" i="5" s="1"/>
  <c r="L1384" i="5"/>
  <c r="R1392" i="5"/>
  <c r="S1392" i="5" s="1"/>
  <c r="L1392" i="5"/>
  <c r="L1403" i="5"/>
  <c r="N1409" i="5"/>
  <c r="P1409" i="5"/>
  <c r="R1426" i="5"/>
  <c r="S1426" i="5" s="1"/>
  <c r="K1471" i="5"/>
  <c r="L1471" i="5" s="1"/>
  <c r="L1395" i="5"/>
  <c r="P1402" i="5"/>
  <c r="K1408" i="5"/>
  <c r="L1408" i="5" s="1"/>
  <c r="K1414" i="5"/>
  <c r="L1414" i="5" s="1"/>
  <c r="K1420" i="5"/>
  <c r="L1420" i="5" s="1"/>
  <c r="L1446" i="5"/>
  <c r="L1476" i="5"/>
  <c r="L1496" i="5"/>
  <c r="L1504" i="5"/>
  <c r="K1368" i="5"/>
  <c r="L1368" i="5" s="1"/>
  <c r="K1411" i="5"/>
  <c r="L1411" i="5" s="1"/>
  <c r="P1438" i="5"/>
  <c r="N1462" i="5"/>
  <c r="P1462" i="5"/>
  <c r="L1560" i="5"/>
  <c r="P1565" i="5"/>
  <c r="L1382" i="5"/>
  <c r="R1390" i="5"/>
  <c r="S1390" i="5" s="1"/>
  <c r="L1390" i="5"/>
  <c r="P1413" i="5"/>
  <c r="N1413" i="5"/>
  <c r="L1434" i="5"/>
  <c r="R1434" i="5"/>
  <c r="S1434" i="5" s="1"/>
  <c r="N1445" i="5"/>
  <c r="P1445" i="5"/>
  <c r="L1448" i="5"/>
  <c r="L1465" i="5"/>
  <c r="L1464" i="5"/>
  <c r="L1460" i="5"/>
  <c r="L1470" i="5"/>
  <c r="K1473" i="5"/>
  <c r="R1473" i="5" s="1"/>
  <c r="S1473" i="5" s="1"/>
  <c r="K1486" i="5"/>
  <c r="R1486" i="5" s="1"/>
  <c r="S1486" i="5" s="1"/>
  <c r="K1492" i="5"/>
  <c r="L1492" i="5" s="1"/>
  <c r="K1407" i="5"/>
  <c r="L1407" i="5" s="1"/>
  <c r="L1524" i="5"/>
  <c r="R1387" i="5"/>
  <c r="S1387" i="5" s="1"/>
  <c r="K1399" i="5"/>
  <c r="L1399" i="5" s="1"/>
  <c r="K1401" i="5"/>
  <c r="R1401" i="5" s="1"/>
  <c r="S1401" i="5" s="1"/>
  <c r="N1410" i="5"/>
  <c r="O1410" i="5" s="1"/>
  <c r="P1416" i="5"/>
  <c r="K1424" i="5"/>
  <c r="L1424" i="5" s="1"/>
  <c r="P1443" i="5"/>
  <c r="K1453" i="5"/>
  <c r="L1453" i="5" s="1"/>
  <c r="P1463" i="5"/>
  <c r="P1474" i="5"/>
  <c r="R1480" i="5"/>
  <c r="S1480" i="5" s="1"/>
  <c r="R1412" i="5"/>
  <c r="S1412" i="5" s="1"/>
  <c r="P1419" i="5"/>
  <c r="P1423" i="5"/>
  <c r="L1428" i="5"/>
  <c r="R1439" i="5"/>
  <c r="S1439" i="5" s="1"/>
  <c r="K1447" i="5"/>
  <c r="L1447" i="5" s="1"/>
  <c r="R1454" i="5"/>
  <c r="S1454" i="5" s="1"/>
  <c r="K1455" i="5"/>
  <c r="L1455" i="5" s="1"/>
  <c r="R1458" i="5"/>
  <c r="S1458" i="5" s="1"/>
  <c r="L1477" i="5"/>
  <c r="L1487" i="5"/>
  <c r="L1495" i="5"/>
  <c r="R1495" i="5"/>
  <c r="S1495" i="5" s="1"/>
  <c r="N1499" i="5"/>
  <c r="P1499" i="5"/>
  <c r="L1509" i="5"/>
  <c r="K1516" i="5"/>
  <c r="L1516" i="5" s="1"/>
  <c r="L1538" i="5"/>
  <c r="R1538" i="5"/>
  <c r="S1538" i="5" s="1"/>
  <c r="P1544" i="5"/>
  <c r="N1558" i="5"/>
  <c r="P1558" i="5"/>
  <c r="N1493" i="5"/>
  <c r="P1493" i="5"/>
  <c r="L1494" i="5"/>
  <c r="L1501" i="5"/>
  <c r="N1510" i="5"/>
  <c r="P1510" i="5"/>
  <c r="N1527" i="5"/>
  <c r="P1527" i="5"/>
  <c r="L1526" i="5"/>
  <c r="R1526" i="5"/>
  <c r="S1526" i="5" s="1"/>
  <c r="L1522" i="5"/>
  <c r="R1522" i="5"/>
  <c r="S1522" i="5" s="1"/>
  <c r="L1545" i="5"/>
  <c r="L1552" i="5"/>
  <c r="L1475" i="5"/>
  <c r="R1489" i="5"/>
  <c r="S1489" i="5" s="1"/>
  <c r="N1491" i="5"/>
  <c r="P1491" i="5"/>
  <c r="L1497" i="5"/>
  <c r="L1511" i="5"/>
  <c r="L1518" i="5"/>
  <c r="R1518" i="5"/>
  <c r="S1518" i="5" s="1"/>
  <c r="L1529" i="5"/>
  <c r="L1546" i="5"/>
  <c r="K1417" i="5"/>
  <c r="L1417" i="5" s="1"/>
  <c r="R1438" i="5"/>
  <c r="S1438" i="5" s="1"/>
  <c r="R1441" i="5"/>
  <c r="S1441" i="5" s="1"/>
  <c r="L1485" i="5"/>
  <c r="R1485" i="5"/>
  <c r="S1485" i="5" s="1"/>
  <c r="L1490" i="5"/>
  <c r="N1514" i="5"/>
  <c r="P1514" i="5"/>
  <c r="L1519" i="5"/>
  <c r="R1519" i="5"/>
  <c r="S1519" i="5" s="1"/>
  <c r="N1525" i="5"/>
  <c r="P1525" i="5"/>
  <c r="L1543" i="5"/>
  <c r="R1543" i="5"/>
  <c r="S1543" i="5" s="1"/>
  <c r="K1498" i="5"/>
  <c r="L1498" i="5" s="1"/>
  <c r="K1505" i="5"/>
  <c r="L1505" i="5" s="1"/>
  <c r="N1507" i="5"/>
  <c r="P1507" i="5"/>
  <c r="P1523" i="5"/>
  <c r="P1536" i="5"/>
  <c r="N1542" i="5"/>
  <c r="P1542" i="5"/>
  <c r="P1551" i="5"/>
  <c r="N1563" i="5"/>
  <c r="P1563" i="5"/>
  <c r="K1502" i="5"/>
  <c r="L1502" i="5" s="1"/>
  <c r="L1513" i="5"/>
  <c r="R1523" i="5"/>
  <c r="S1523" i="5" s="1"/>
  <c r="L1528" i="5"/>
  <c r="N1535" i="5"/>
  <c r="L1537" i="5"/>
  <c r="K1541" i="5"/>
  <c r="P1549" i="5"/>
  <c r="K1550" i="5"/>
  <c r="L1550" i="5" s="1"/>
  <c r="K1553" i="5"/>
  <c r="L1553" i="5" s="1"/>
  <c r="K1564" i="5"/>
  <c r="L1567" i="5"/>
  <c r="L1569" i="5"/>
  <c r="R1569" i="5"/>
  <c r="S1569" i="5" s="1"/>
  <c r="R1573" i="5"/>
  <c r="S1573" i="5" s="1"/>
  <c r="L1576" i="5"/>
  <c r="L1581" i="5"/>
  <c r="K1597" i="5"/>
  <c r="L1605" i="5"/>
  <c r="L1615" i="5"/>
  <c r="K1531" i="5"/>
  <c r="L1531" i="5" s="1"/>
  <c r="R1536" i="5"/>
  <c r="S1536" i="5" s="1"/>
  <c r="L1547" i="5"/>
  <c r="L1570" i="5"/>
  <c r="R1572" i="5"/>
  <c r="S1572" i="5" s="1"/>
  <c r="L1575" i="5"/>
  <c r="K1601" i="5"/>
  <c r="L1611" i="5"/>
  <c r="P1626" i="5"/>
  <c r="N1626" i="5"/>
  <c r="P1662" i="5"/>
  <c r="N1662" i="5"/>
  <c r="K1695" i="5"/>
  <c r="L1695" i="5" s="1"/>
  <c r="P1655" i="5"/>
  <c r="R1499" i="5"/>
  <c r="S1499" i="5" s="1"/>
  <c r="R1548" i="5"/>
  <c r="S1548" i="5" s="1"/>
  <c r="R1555" i="5"/>
  <c r="S1555" i="5" s="1"/>
  <c r="L1555" i="5"/>
  <c r="L1609" i="5"/>
  <c r="L1568" i="5"/>
  <c r="K1574" i="5"/>
  <c r="L1574" i="5" s="1"/>
  <c r="R1580" i="5"/>
  <c r="S1580" i="5" s="1"/>
  <c r="L1579" i="5"/>
  <c r="K1583" i="5"/>
  <c r="L1583" i="5" s="1"/>
  <c r="L1590" i="5"/>
  <c r="P1664" i="5"/>
  <c r="L1577" i="5"/>
  <c r="L1578" i="5"/>
  <c r="K1582" i="5"/>
  <c r="P1600" i="5"/>
  <c r="R1621" i="5"/>
  <c r="S1621" i="5" s="1"/>
  <c r="L1642" i="5"/>
  <c r="L1592" i="5"/>
  <c r="K1603" i="5"/>
  <c r="L1613" i="5"/>
  <c r="L1650" i="5"/>
  <c r="P1667" i="5"/>
  <c r="K1684" i="5"/>
  <c r="L1684" i="5" s="1"/>
  <c r="N1694" i="5"/>
  <c r="P1694" i="5"/>
  <c r="P1696" i="5"/>
  <c r="L1588" i="5"/>
  <c r="R1588" i="5"/>
  <c r="S1588" i="5" s="1"/>
  <c r="L1591" i="5"/>
  <c r="L1595" i="5"/>
  <c r="K1598" i="5"/>
  <c r="L1598" i="5" s="1"/>
  <c r="L1620" i="5"/>
  <c r="R1620" i="5"/>
  <c r="S1620" i="5" s="1"/>
  <c r="L1616" i="5"/>
  <c r="R1643" i="5"/>
  <c r="S1643" i="5" s="1"/>
  <c r="K1646" i="5"/>
  <c r="L1646" i="5" s="1"/>
  <c r="P1652" i="5"/>
  <c r="K1665" i="5"/>
  <c r="L1665" i="5" s="1"/>
  <c r="L1704" i="5"/>
  <c r="L1594" i="5"/>
  <c r="L1602" i="5"/>
  <c r="L1607" i="5"/>
  <c r="R1609" i="5"/>
  <c r="S1609" i="5" s="1"/>
  <c r="K1610" i="5"/>
  <c r="L1610" i="5" s="1"/>
  <c r="K1614" i="5"/>
  <c r="L1614" i="5" s="1"/>
  <c r="L1619" i="5"/>
  <c r="N1639" i="5"/>
  <c r="P1639" i="5"/>
  <c r="L1647" i="5"/>
  <c r="K1668" i="5"/>
  <c r="L1668" i="5" s="1"/>
  <c r="K1677" i="5"/>
  <c r="L1677" i="5" s="1"/>
  <c r="K1673" i="5"/>
  <c r="L1673" i="5" s="1"/>
  <c r="L1681" i="5"/>
  <c r="K1699" i="5"/>
  <c r="L1699" i="5" s="1"/>
  <c r="L1589" i="5"/>
  <c r="L1596" i="5"/>
  <c r="R1596" i="5"/>
  <c r="S1596" i="5" s="1"/>
  <c r="L1612" i="5"/>
  <c r="R1612" i="5"/>
  <c r="S1612" i="5" s="1"/>
  <c r="N1627" i="5"/>
  <c r="P1627" i="5"/>
  <c r="L1624" i="5"/>
  <c r="P1636" i="5"/>
  <c r="L1633" i="5"/>
  <c r="K1644" i="5"/>
  <c r="L1644" i="5" s="1"/>
  <c r="K1653" i="5"/>
  <c r="L1653" i="5" s="1"/>
  <c r="P1660" i="5"/>
  <c r="N1660" i="5"/>
  <c r="L1672" i="5"/>
  <c r="R1672" i="5"/>
  <c r="S1672" i="5" s="1"/>
  <c r="L1599" i="5"/>
  <c r="R1599" i="5"/>
  <c r="S1599" i="5" s="1"/>
  <c r="L1617" i="5"/>
  <c r="R1617" i="5"/>
  <c r="S1617" i="5" s="1"/>
  <c r="P1630" i="5"/>
  <c r="N1630" i="5"/>
  <c r="P1661" i="5"/>
  <c r="K1663" i="5"/>
  <c r="L1663" i="5" s="1"/>
  <c r="P1674" i="5"/>
  <c r="L1679" i="5"/>
  <c r="L1682" i="5"/>
  <c r="L1683" i="5"/>
  <c r="R1683" i="5"/>
  <c r="S1683" i="5" s="1"/>
  <c r="P1716" i="5"/>
  <c r="N1716" i="5"/>
  <c r="K1629" i="5"/>
  <c r="L1629" i="5" s="1"/>
  <c r="K1625" i="5"/>
  <c r="L1625" i="5" s="1"/>
  <c r="L1632" i="5"/>
  <c r="R1636" i="5"/>
  <c r="S1636" i="5" s="1"/>
  <c r="K1634" i="5"/>
  <c r="L1634" i="5" s="1"/>
  <c r="L1638" i="5"/>
  <c r="K1658" i="5"/>
  <c r="R1658" i="5" s="1"/>
  <c r="S1658" i="5" s="1"/>
  <c r="L1670" i="5"/>
  <c r="L1678" i="5"/>
  <c r="L1641" i="5"/>
  <c r="L1656" i="5"/>
  <c r="K1676" i="5"/>
  <c r="L1676" i="5" s="1"/>
  <c r="R1685" i="5"/>
  <c r="S1685" i="5" s="1"/>
  <c r="K1687" i="5"/>
  <c r="L1691" i="5"/>
  <c r="K1698" i="5"/>
  <c r="L1698" i="5" s="1"/>
  <c r="N1723" i="5"/>
  <c r="P1723" i="5"/>
  <c r="R1633" i="5"/>
  <c r="S1633" i="5" s="1"/>
  <c r="R1640" i="5"/>
  <c r="S1640" i="5" s="1"/>
  <c r="L1640" i="5"/>
  <c r="L1654" i="5"/>
  <c r="R1656" i="5"/>
  <c r="S1656" i="5" s="1"/>
  <c r="L1659" i="5"/>
  <c r="R1659" i="5"/>
  <c r="S1659" i="5" s="1"/>
  <c r="L1666" i="5"/>
  <c r="R1666" i="5"/>
  <c r="S1666" i="5" s="1"/>
  <c r="L1675" i="5"/>
  <c r="L1685" i="5"/>
  <c r="L1686" i="5"/>
  <c r="L1690" i="5"/>
  <c r="L1669" i="5"/>
  <c r="L1680" i="5"/>
  <c r="R1680" i="5"/>
  <c r="S1680" i="5" s="1"/>
  <c r="L1689" i="5"/>
  <c r="K1697" i="5"/>
  <c r="R1697" i="5" s="1"/>
  <c r="S1697" i="5" s="1"/>
  <c r="L1706" i="5"/>
  <c r="K1726" i="5"/>
  <c r="L1726" i="5" s="1"/>
  <c r="P1731" i="5"/>
  <c r="K1744" i="5"/>
  <c r="L1744" i="5" s="1"/>
  <c r="N1757" i="5"/>
  <c r="O1757" i="5" s="1"/>
  <c r="K1760" i="5"/>
  <c r="L1760" i="5" s="1"/>
  <c r="L1767" i="5"/>
  <c r="R1767" i="5"/>
  <c r="S1767" i="5" s="1"/>
  <c r="L1707" i="5"/>
  <c r="P1711" i="5"/>
  <c r="L1724" i="5"/>
  <c r="L1790" i="5"/>
  <c r="K1718" i="5"/>
  <c r="L1718" i="5" s="1"/>
  <c r="P1734" i="5"/>
  <c r="L1765" i="5"/>
  <c r="L1779" i="5"/>
  <c r="L1787" i="5"/>
  <c r="L1717" i="5"/>
  <c r="K1730" i="5"/>
  <c r="P1722" i="5"/>
  <c r="N1722" i="5"/>
  <c r="K1729" i="5"/>
  <c r="L1729" i="5" s="1"/>
  <c r="K1747" i="5"/>
  <c r="R1747" i="5" s="1"/>
  <c r="S1747" i="5" s="1"/>
  <c r="L1762" i="5"/>
  <c r="L1705" i="5"/>
  <c r="L1709" i="5"/>
  <c r="K1713" i="5"/>
  <c r="L1713" i="5" s="1"/>
  <c r="L1719" i="5"/>
  <c r="P1728" i="5"/>
  <c r="R1728" i="5"/>
  <c r="S1728" i="5" s="1"/>
  <c r="L1756" i="5"/>
  <c r="L1761" i="5"/>
  <c r="L1795" i="5"/>
  <c r="K1792" i="5"/>
  <c r="L1792" i="5" s="1"/>
  <c r="L1752" i="5"/>
  <c r="K1725" i="5"/>
  <c r="L1725" i="5" s="1"/>
  <c r="L1733" i="5"/>
  <c r="L1737" i="5"/>
  <c r="L1738" i="5"/>
  <c r="R1738" i="5"/>
  <c r="S1738" i="5" s="1"/>
  <c r="R1751" i="5"/>
  <c r="S1751" i="5" s="1"/>
  <c r="L1758" i="5"/>
  <c r="R1758" i="5"/>
  <c r="S1758" i="5" s="1"/>
  <c r="L1776" i="5"/>
  <c r="R1776" i="5"/>
  <c r="S1776" i="5" s="1"/>
  <c r="L1720" i="5"/>
  <c r="K1740" i="5"/>
  <c r="K1743" i="5"/>
  <c r="L1743" i="5" s="1"/>
  <c r="K1749" i="5"/>
  <c r="L1751" i="5"/>
  <c r="K1750" i="5"/>
  <c r="L1750" i="5" s="1"/>
  <c r="K1753" i="5"/>
  <c r="L1753" i="5" s="1"/>
  <c r="L1763" i="5"/>
  <c r="L1764" i="5"/>
  <c r="L1772" i="5"/>
  <c r="K1741" i="5"/>
  <c r="L1741" i="5" s="1"/>
  <c r="R1742" i="5"/>
  <c r="S1742" i="5" s="1"/>
  <c r="L1742" i="5"/>
  <c r="L1748" i="5"/>
  <c r="L1771" i="5"/>
  <c r="L1788" i="5"/>
  <c r="L1793" i="5"/>
  <c r="R1793" i="5"/>
  <c r="S1793" i="5" s="1"/>
  <c r="L1794" i="5"/>
  <c r="L1755" i="5"/>
  <c r="R1755" i="5"/>
  <c r="S1755" i="5" s="1"/>
  <c r="L1768" i="5"/>
  <c r="L1784" i="5"/>
  <c r="L1783" i="5"/>
  <c r="L1789" i="5"/>
  <c r="P1801" i="5"/>
  <c r="P1797" i="5"/>
  <c r="L1746" i="5"/>
  <c r="L1759" i="5"/>
  <c r="L1770" i="5"/>
  <c r="K1773" i="5"/>
  <c r="L1773" i="5" s="1"/>
  <c r="K1769" i="5"/>
  <c r="L1769" i="5" s="1"/>
  <c r="L1782" i="5"/>
  <c r="L1791" i="5"/>
  <c r="R1363" i="5"/>
  <c r="S1363" i="5" s="1"/>
  <c r="Q1372" i="5"/>
  <c r="R1372" i="5" s="1"/>
  <c r="S1372" i="5" s="1"/>
  <c r="L1366" i="5"/>
  <c r="N1366" i="5" s="1"/>
  <c r="L1363" i="5"/>
  <c r="P1363" i="5" s="1"/>
  <c r="L1364" i="5"/>
  <c r="K1362" i="5"/>
  <c r="L1362" i="5" s="1"/>
  <c r="K1365" i="5"/>
  <c r="N1701" i="5" l="1"/>
  <c r="N1580" i="5"/>
  <c r="O1580" i="5" s="1"/>
  <c r="P1618" i="5"/>
  <c r="O1618" i="5" s="1"/>
  <c r="R1700" i="5"/>
  <c r="S1700" i="5" s="1"/>
  <c r="N1422" i="5"/>
  <c r="U1422" i="5" s="1"/>
  <c r="V1422" i="5" s="1"/>
  <c r="N1643" i="5"/>
  <c r="R1398" i="5"/>
  <c r="S1398" i="5" s="1"/>
  <c r="N1478" i="5"/>
  <c r="U1478" i="5" s="1"/>
  <c r="V1478" i="5" s="1"/>
  <c r="N1671" i="5"/>
  <c r="O1671" i="5" s="1"/>
  <c r="N1533" i="5"/>
  <c r="O1533" i="5" s="1"/>
  <c r="N1554" i="5"/>
  <c r="O1554" i="5" s="1"/>
  <c r="R1749" i="5"/>
  <c r="S1749" i="5" s="1"/>
  <c r="P1406" i="5"/>
  <c r="U1406" i="5" s="1"/>
  <c r="V1406" i="5" s="1"/>
  <c r="N1432" i="5"/>
  <c r="U1432" i="5" s="1"/>
  <c r="V1432" i="5" s="1"/>
  <c r="N1721" i="5"/>
  <c r="O1721" i="5" s="1"/>
  <c r="N1796" i="5"/>
  <c r="R1798" i="5"/>
  <c r="S1798" i="5" s="1"/>
  <c r="N1703" i="5"/>
  <c r="O1703" i="5" s="1"/>
  <c r="N1637" i="5"/>
  <c r="R1740" i="5"/>
  <c r="S1740" i="5" s="1"/>
  <c r="U1622" i="5"/>
  <c r="V1622" i="5" s="1"/>
  <c r="N1378" i="5"/>
  <c r="O1378" i="5" s="1"/>
  <c r="U1623" i="5"/>
  <c r="V1623" i="5" s="1"/>
  <c r="O1623" i="5"/>
  <c r="N1415" i="5"/>
  <c r="O1415" i="5" s="1"/>
  <c r="U1621" i="5"/>
  <c r="V1621" i="5" s="1"/>
  <c r="N1631" i="5"/>
  <c r="O1622" i="5"/>
  <c r="N1521" i="5"/>
  <c r="R1597" i="5"/>
  <c r="S1597" i="5" s="1"/>
  <c r="U1394" i="5"/>
  <c r="V1394" i="5" s="1"/>
  <c r="N1593" i="5"/>
  <c r="U1593" i="5" s="1"/>
  <c r="V1593" i="5" s="1"/>
  <c r="R1778" i="5"/>
  <c r="S1778" i="5" s="1"/>
  <c r="U1438" i="5"/>
  <c r="V1438" i="5" s="1"/>
  <c r="U1731" i="5"/>
  <c r="V1731" i="5" s="1"/>
  <c r="R1777" i="5"/>
  <c r="S1777" i="5" s="1"/>
  <c r="U1702" i="5"/>
  <c r="V1702" i="5" s="1"/>
  <c r="R1371" i="5"/>
  <c r="S1371" i="5" s="1"/>
  <c r="R1687" i="5"/>
  <c r="S1687" i="5" s="1"/>
  <c r="O1561" i="5"/>
  <c r="U1400" i="5"/>
  <c r="V1400" i="5" s="1"/>
  <c r="N1754" i="5"/>
  <c r="U1754" i="5" s="1"/>
  <c r="V1754" i="5" s="1"/>
  <c r="N1454" i="5"/>
  <c r="O1454" i="5" s="1"/>
  <c r="U1387" i="5"/>
  <c r="V1387" i="5" s="1"/>
  <c r="O1557" i="5"/>
  <c r="U1557" i="5"/>
  <c r="V1557" i="5" s="1"/>
  <c r="N1766" i="5"/>
  <c r="U1766" i="5" s="1"/>
  <c r="V1766" i="5" s="1"/>
  <c r="P1521" i="5"/>
  <c r="N1608" i="5"/>
  <c r="R1603" i="5"/>
  <c r="S1603" i="5" s="1"/>
  <c r="N1379" i="5"/>
  <c r="U1379" i="5" s="1"/>
  <c r="V1379" i="5" s="1"/>
  <c r="P1520" i="5"/>
  <c r="U1520" i="5" s="1"/>
  <c r="V1520" i="5" s="1"/>
  <c r="N1562" i="5"/>
  <c r="U1562" i="5" s="1"/>
  <c r="V1562" i="5" s="1"/>
  <c r="R1601" i="5"/>
  <c r="S1601" i="5" s="1"/>
  <c r="P1796" i="5"/>
  <c r="U1780" i="5"/>
  <c r="V1780" i="5" s="1"/>
  <c r="N1587" i="5"/>
  <c r="U1587" i="5" s="1"/>
  <c r="V1587" i="5" s="1"/>
  <c r="U1481" i="5"/>
  <c r="V1481" i="5" s="1"/>
  <c r="N1479" i="5"/>
  <c r="R1553" i="5"/>
  <c r="S1553" i="5" s="1"/>
  <c r="N1534" i="5"/>
  <c r="O1534" i="5" s="1"/>
  <c r="P1584" i="5"/>
  <c r="O1584" i="5" s="1"/>
  <c r="N1571" i="5"/>
  <c r="O1571" i="5" s="1"/>
  <c r="N1530" i="5"/>
  <c r="N1532" i="5"/>
  <c r="N1458" i="5"/>
  <c r="U1458" i="5" s="1"/>
  <c r="V1458" i="5" s="1"/>
  <c r="R1582" i="5"/>
  <c r="S1582" i="5" s="1"/>
  <c r="P1604" i="5"/>
  <c r="U1604" i="5" s="1"/>
  <c r="V1604" i="5" s="1"/>
  <c r="N1425" i="5"/>
  <c r="U1425" i="5" s="1"/>
  <c r="V1425" i="5" s="1"/>
  <c r="R1735" i="5"/>
  <c r="S1735" i="5" s="1"/>
  <c r="N1732" i="5"/>
  <c r="N1372" i="5"/>
  <c r="O1372" i="5" s="1"/>
  <c r="N1648" i="5"/>
  <c r="N1556" i="5"/>
  <c r="O1556" i="5" s="1"/>
  <c r="N1700" i="5"/>
  <c r="P1700" i="5"/>
  <c r="P1701" i="5"/>
  <c r="L1601" i="5"/>
  <c r="P1601" i="5" s="1"/>
  <c r="P1648" i="5"/>
  <c r="R1564" i="5"/>
  <c r="S1564" i="5" s="1"/>
  <c r="R1541" i="5"/>
  <c r="S1541" i="5" s="1"/>
  <c r="N1566" i="5"/>
  <c r="L1715" i="5"/>
  <c r="P1715" i="5" s="1"/>
  <c r="R1365" i="5"/>
  <c r="S1365" i="5" s="1"/>
  <c r="P1530" i="5"/>
  <c r="N1573" i="5"/>
  <c r="U1573" i="5" s="1"/>
  <c r="V1573" i="5" s="1"/>
  <c r="R1730" i="5"/>
  <c r="S1730" i="5" s="1"/>
  <c r="R1649" i="5"/>
  <c r="S1649" i="5" s="1"/>
  <c r="R1634" i="5"/>
  <c r="S1634" i="5" s="1"/>
  <c r="N1488" i="5"/>
  <c r="U1488" i="5" s="1"/>
  <c r="V1488" i="5" s="1"/>
  <c r="R1774" i="5"/>
  <c r="S1774" i="5" s="1"/>
  <c r="U1542" i="5"/>
  <c r="V1542" i="5" s="1"/>
  <c r="N1645" i="5"/>
  <c r="U1645" i="5" s="1"/>
  <c r="V1645" i="5" s="1"/>
  <c r="N1440" i="5"/>
  <c r="O1440" i="5" s="1"/>
  <c r="N1433" i="5"/>
  <c r="O1433" i="5" s="1"/>
  <c r="N1480" i="5"/>
  <c r="R1750" i="5"/>
  <c r="S1750" i="5" s="1"/>
  <c r="O1655" i="5"/>
  <c r="R1585" i="5"/>
  <c r="S1585" i="5" s="1"/>
  <c r="N1649" i="5"/>
  <c r="P1649" i="5"/>
  <c r="N1651" i="5"/>
  <c r="P1651" i="5"/>
  <c r="P1585" i="5"/>
  <c r="N1585" i="5"/>
  <c r="R1408" i="5"/>
  <c r="S1408" i="5" s="1"/>
  <c r="N1459" i="5"/>
  <c r="O1459" i="5" s="1"/>
  <c r="O1660" i="5"/>
  <c r="L1597" i="5"/>
  <c r="P1597" i="5" s="1"/>
  <c r="R1447" i="5"/>
  <c r="S1447" i="5" s="1"/>
  <c r="O1367" i="5"/>
  <c r="N1418" i="5"/>
  <c r="O1418" i="5" s="1"/>
  <c r="L1436" i="5"/>
  <c r="P1436" i="5" s="1"/>
  <c r="N1572" i="5"/>
  <c r="U1572" i="5" s="1"/>
  <c r="V1572" i="5" s="1"/>
  <c r="L1697" i="5"/>
  <c r="P1697" i="5" s="1"/>
  <c r="R1512" i="5"/>
  <c r="S1512" i="5" s="1"/>
  <c r="U1389" i="5"/>
  <c r="V1389" i="5" s="1"/>
  <c r="N1457" i="5"/>
  <c r="O1457" i="5" s="1"/>
  <c r="L1745" i="5"/>
  <c r="L1687" i="5"/>
  <c r="P1687" i="5" s="1"/>
  <c r="R1657" i="5"/>
  <c r="S1657" i="5" s="1"/>
  <c r="N1628" i="5"/>
  <c r="O1628" i="5" s="1"/>
  <c r="O1423" i="5"/>
  <c r="N1369" i="5"/>
  <c r="U1369" i="5" s="1"/>
  <c r="V1369" i="5" s="1"/>
  <c r="N1708" i="5"/>
  <c r="O1708" i="5" s="1"/>
  <c r="O1536" i="5"/>
  <c r="N1606" i="5"/>
  <c r="O1449" i="5"/>
  <c r="L1468" i="5"/>
  <c r="N1468" i="5" s="1"/>
  <c r="U1801" i="5"/>
  <c r="V1801" i="5" s="1"/>
  <c r="R1673" i="5"/>
  <c r="S1673" i="5" s="1"/>
  <c r="R1471" i="5"/>
  <c r="S1471" i="5" s="1"/>
  <c r="R1651" i="5"/>
  <c r="S1651" i="5" s="1"/>
  <c r="P1693" i="5"/>
  <c r="N1693" i="5"/>
  <c r="O1688" i="5"/>
  <c r="U1688" i="5"/>
  <c r="V1688" i="5" s="1"/>
  <c r="P1735" i="5"/>
  <c r="N1735" i="5"/>
  <c r="N1777" i="5"/>
  <c r="P1777" i="5"/>
  <c r="P1398" i="5"/>
  <c r="N1398" i="5"/>
  <c r="P1451" i="5"/>
  <c r="N1451" i="5"/>
  <c r="P1774" i="5"/>
  <c r="N1774" i="5"/>
  <c r="N1450" i="5"/>
  <c r="P1450" i="5"/>
  <c r="N1778" i="5"/>
  <c r="O1778" i="5" s="1"/>
  <c r="R1718" i="5"/>
  <c r="S1718" i="5" s="1"/>
  <c r="P1515" i="5"/>
  <c r="O1515" i="5" s="1"/>
  <c r="P1396" i="5"/>
  <c r="O1396" i="5" s="1"/>
  <c r="O1387" i="5"/>
  <c r="N1503" i="5"/>
  <c r="R1451" i="5"/>
  <c r="S1451" i="5" s="1"/>
  <c r="L1483" i="5"/>
  <c r="U1727" i="5"/>
  <c r="V1727" i="5" s="1"/>
  <c r="N1710" i="5"/>
  <c r="O1710" i="5" s="1"/>
  <c r="O1722" i="5"/>
  <c r="R1676" i="5"/>
  <c r="S1676" i="5" s="1"/>
  <c r="O1474" i="5"/>
  <c r="N1439" i="5"/>
  <c r="O1439" i="5" s="1"/>
  <c r="R1414" i="5"/>
  <c r="S1414" i="5" s="1"/>
  <c r="R1739" i="5"/>
  <c r="S1739" i="5" s="1"/>
  <c r="R1781" i="5"/>
  <c r="S1781" i="5" s="1"/>
  <c r="O1467" i="5"/>
  <c r="N1635" i="5"/>
  <c r="U1635" i="5" s="1"/>
  <c r="V1635" i="5" s="1"/>
  <c r="P1631" i="5"/>
  <c r="R1583" i="5"/>
  <c r="S1583" i="5" s="1"/>
  <c r="O1549" i="5"/>
  <c r="N1405" i="5"/>
  <c r="O1405" i="5" s="1"/>
  <c r="U1692" i="5"/>
  <c r="V1692" i="5" s="1"/>
  <c r="R1450" i="5"/>
  <c r="S1450" i="5" s="1"/>
  <c r="R1693" i="5"/>
  <c r="S1693" i="5" s="1"/>
  <c r="N1421" i="5"/>
  <c r="U1421" i="5" s="1"/>
  <c r="V1421" i="5" s="1"/>
  <c r="R1714" i="5"/>
  <c r="S1714" i="5" s="1"/>
  <c r="N1412" i="5"/>
  <c r="R1540" i="5"/>
  <c r="S1540" i="5" s="1"/>
  <c r="P1482" i="5"/>
  <c r="N1482" i="5"/>
  <c r="U1449" i="5"/>
  <c r="V1449" i="5" s="1"/>
  <c r="N1781" i="5"/>
  <c r="P1781" i="5"/>
  <c r="L1798" i="5"/>
  <c r="R1792" i="5"/>
  <c r="S1792" i="5" s="1"/>
  <c r="R1769" i="5"/>
  <c r="S1769" i="5" s="1"/>
  <c r="L1785" i="5"/>
  <c r="P1736" i="5"/>
  <c r="N1736" i="5"/>
  <c r="R1743" i="5"/>
  <c r="S1743" i="5" s="1"/>
  <c r="R1725" i="5"/>
  <c r="S1725" i="5" s="1"/>
  <c r="N1739" i="5"/>
  <c r="O1739" i="5" s="1"/>
  <c r="R1736" i="5"/>
  <c r="S1736" i="5" s="1"/>
  <c r="L1740" i="5"/>
  <c r="P1740" i="5" s="1"/>
  <c r="U1728" i="5"/>
  <c r="V1728" i="5" s="1"/>
  <c r="L1749" i="5"/>
  <c r="P1749" i="5" s="1"/>
  <c r="R1668" i="5"/>
  <c r="S1668" i="5" s="1"/>
  <c r="P1643" i="5"/>
  <c r="P1637" i="5"/>
  <c r="R1625" i="5"/>
  <c r="S1625" i="5" s="1"/>
  <c r="P1540" i="5"/>
  <c r="N1540" i="5"/>
  <c r="P1512" i="5"/>
  <c r="N1512" i="5"/>
  <c r="N1548" i="5"/>
  <c r="O1548" i="5" s="1"/>
  <c r="N1506" i="5"/>
  <c r="R1484" i="5"/>
  <c r="S1484" i="5" s="1"/>
  <c r="O1481" i="5"/>
  <c r="P1466" i="5"/>
  <c r="N1466" i="5"/>
  <c r="R1453" i="5"/>
  <c r="S1453" i="5" s="1"/>
  <c r="R1417" i="5"/>
  <c r="S1417" i="5" s="1"/>
  <c r="R1420" i="5"/>
  <c r="S1420" i="5" s="1"/>
  <c r="O1404" i="5"/>
  <c r="R1405" i="5"/>
  <c r="S1405" i="5" s="1"/>
  <c r="P1370" i="5"/>
  <c r="N1370" i="5"/>
  <c r="R1370" i="5"/>
  <c r="S1370" i="5" s="1"/>
  <c r="N1363" i="5"/>
  <c r="O1363" i="5" s="1"/>
  <c r="P1714" i="5"/>
  <c r="N1714" i="5"/>
  <c r="N1371" i="5"/>
  <c r="P1371" i="5"/>
  <c r="N1452" i="5"/>
  <c r="P1452" i="5"/>
  <c r="P1472" i="5"/>
  <c r="N1472" i="5"/>
  <c r="N1657" i="5"/>
  <c r="P1657" i="5"/>
  <c r="R1741" i="5"/>
  <c r="S1741" i="5" s="1"/>
  <c r="R1663" i="5"/>
  <c r="S1663" i="5" s="1"/>
  <c r="R1665" i="5"/>
  <c r="S1665" i="5" s="1"/>
  <c r="R1684" i="5"/>
  <c r="S1684" i="5" s="1"/>
  <c r="L1582" i="5"/>
  <c r="N1582" i="5" s="1"/>
  <c r="R1550" i="5"/>
  <c r="S1550" i="5" s="1"/>
  <c r="R1516" i="5"/>
  <c r="S1516" i="5" s="1"/>
  <c r="R1407" i="5"/>
  <c r="S1407" i="5" s="1"/>
  <c r="L1486" i="5"/>
  <c r="P1486" i="5" s="1"/>
  <c r="U1539" i="5"/>
  <c r="V1539" i="5" s="1"/>
  <c r="O1397" i="5"/>
  <c r="R1380" i="5"/>
  <c r="S1380" i="5" s="1"/>
  <c r="L1730" i="5"/>
  <c r="N1730" i="5" s="1"/>
  <c r="R1698" i="5"/>
  <c r="S1698" i="5" s="1"/>
  <c r="U1636" i="5"/>
  <c r="V1636" i="5" s="1"/>
  <c r="R1677" i="5"/>
  <c r="S1677" i="5" s="1"/>
  <c r="O1551" i="5"/>
  <c r="R1505" i="5"/>
  <c r="S1505" i="5" s="1"/>
  <c r="L1541" i="5"/>
  <c r="P1541" i="5" s="1"/>
  <c r="L1401" i="5"/>
  <c r="P1401" i="5" s="1"/>
  <c r="O1734" i="5"/>
  <c r="O1381" i="5"/>
  <c r="R1472" i="5"/>
  <c r="S1472" i="5" s="1"/>
  <c r="N1380" i="5"/>
  <c r="O1376" i="5"/>
  <c r="N1712" i="5"/>
  <c r="N1786" i="5"/>
  <c r="U1397" i="5"/>
  <c r="V1397" i="5" s="1"/>
  <c r="U1797" i="5"/>
  <c r="V1797" i="5" s="1"/>
  <c r="U1716" i="5"/>
  <c r="V1716" i="5" s="1"/>
  <c r="R1695" i="5"/>
  <c r="S1695" i="5" s="1"/>
  <c r="P1799" i="5"/>
  <c r="N1799" i="5"/>
  <c r="R1773" i="5"/>
  <c r="S1773" i="5" s="1"/>
  <c r="O1377" i="5"/>
  <c r="R1713" i="5"/>
  <c r="S1713" i="5" s="1"/>
  <c r="R1729" i="5"/>
  <c r="S1729" i="5" s="1"/>
  <c r="R1644" i="5"/>
  <c r="S1644" i="5" s="1"/>
  <c r="R1610" i="5"/>
  <c r="S1610" i="5" s="1"/>
  <c r="O1667" i="5"/>
  <c r="R1531" i="5"/>
  <c r="S1531" i="5" s="1"/>
  <c r="O1662" i="5"/>
  <c r="O1542" i="5"/>
  <c r="R1455" i="5"/>
  <c r="S1455" i="5" s="1"/>
  <c r="R1492" i="5"/>
  <c r="S1492" i="5" s="1"/>
  <c r="U1427" i="5"/>
  <c r="V1427" i="5" s="1"/>
  <c r="P1366" i="5"/>
  <c r="U1366" i="5" s="1"/>
  <c r="V1366" i="5" s="1"/>
  <c r="O1801" i="5"/>
  <c r="R1452" i="5"/>
  <c r="S1452" i="5" s="1"/>
  <c r="N1800" i="5"/>
  <c r="P1800" i="5"/>
  <c r="U1627" i="5"/>
  <c r="V1627" i="5" s="1"/>
  <c r="U1757" i="5"/>
  <c r="V1757" i="5" s="1"/>
  <c r="U1662" i="5"/>
  <c r="V1662" i="5" s="1"/>
  <c r="U1558" i="5"/>
  <c r="V1558" i="5" s="1"/>
  <c r="U1565" i="5"/>
  <c r="V1565" i="5" s="1"/>
  <c r="O1775" i="5"/>
  <c r="U1775" i="5"/>
  <c r="V1775" i="5" s="1"/>
  <c r="N1792" i="5"/>
  <c r="P1792" i="5"/>
  <c r="P1625" i="5"/>
  <c r="N1625" i="5"/>
  <c r="N1646" i="5"/>
  <c r="P1646" i="5"/>
  <c r="N1407" i="5"/>
  <c r="P1407" i="5"/>
  <c r="N1713" i="5"/>
  <c r="P1713" i="5"/>
  <c r="N1676" i="5"/>
  <c r="P1676" i="5"/>
  <c r="P1629" i="5"/>
  <c r="N1629" i="5"/>
  <c r="N1574" i="5"/>
  <c r="P1574" i="5"/>
  <c r="N1695" i="5"/>
  <c r="P1695" i="5"/>
  <c r="P1455" i="5"/>
  <c r="N1455" i="5"/>
  <c r="N1769" i="5"/>
  <c r="P1769" i="5"/>
  <c r="P1744" i="5"/>
  <c r="N1744" i="5"/>
  <c r="N1699" i="5"/>
  <c r="P1699" i="5"/>
  <c r="N1677" i="5"/>
  <c r="P1677" i="5"/>
  <c r="N1614" i="5"/>
  <c r="P1614" i="5"/>
  <c r="N1411" i="5"/>
  <c r="P1411" i="5"/>
  <c r="P1502" i="5"/>
  <c r="N1502" i="5"/>
  <c r="N1505" i="5"/>
  <c r="P1505" i="5"/>
  <c r="N1417" i="5"/>
  <c r="P1417" i="5"/>
  <c r="N1424" i="5"/>
  <c r="P1424" i="5"/>
  <c r="P1399" i="5"/>
  <c r="N1399" i="5"/>
  <c r="N1773" i="5"/>
  <c r="P1773" i="5"/>
  <c r="N1760" i="5"/>
  <c r="P1760" i="5"/>
  <c r="N1644" i="5"/>
  <c r="P1644" i="5"/>
  <c r="P1668" i="5"/>
  <c r="N1668" i="5"/>
  <c r="N1498" i="5"/>
  <c r="P1498" i="5"/>
  <c r="N1492" i="5"/>
  <c r="P1492" i="5"/>
  <c r="N1431" i="5"/>
  <c r="P1431" i="5"/>
  <c r="N1663" i="5"/>
  <c r="P1663" i="5"/>
  <c r="P1553" i="5"/>
  <c r="N1553" i="5"/>
  <c r="N1484" i="5"/>
  <c r="P1484" i="5"/>
  <c r="N1719" i="5"/>
  <c r="P1719" i="5"/>
  <c r="N1685" i="5"/>
  <c r="P1685" i="5"/>
  <c r="N1607" i="5"/>
  <c r="P1607" i="5"/>
  <c r="P1577" i="5"/>
  <c r="N1577" i="5"/>
  <c r="P1569" i="5"/>
  <c r="N1569" i="5"/>
  <c r="N1513" i="5"/>
  <c r="P1513" i="5"/>
  <c r="N1453" i="5"/>
  <c r="P1453" i="5"/>
  <c r="O1445" i="5"/>
  <c r="U1445" i="5"/>
  <c r="V1445" i="5" s="1"/>
  <c r="N1560" i="5"/>
  <c r="P1560" i="5"/>
  <c r="O1797" i="5"/>
  <c r="P1748" i="5"/>
  <c r="N1748" i="5"/>
  <c r="N1764" i="5"/>
  <c r="P1764" i="5"/>
  <c r="P1743" i="5"/>
  <c r="N1743" i="5"/>
  <c r="P1776" i="5"/>
  <c r="N1776" i="5"/>
  <c r="N1725" i="5"/>
  <c r="P1725" i="5"/>
  <c r="U1734" i="5"/>
  <c r="V1734" i="5" s="1"/>
  <c r="L1747" i="5"/>
  <c r="P1779" i="5"/>
  <c r="N1779" i="5"/>
  <c r="R1760" i="5"/>
  <c r="S1760" i="5" s="1"/>
  <c r="R1744" i="5"/>
  <c r="S1744" i="5" s="1"/>
  <c r="O1731" i="5"/>
  <c r="N1690" i="5"/>
  <c r="P1690" i="5"/>
  <c r="N1659" i="5"/>
  <c r="P1659" i="5"/>
  <c r="O1723" i="5"/>
  <c r="U1723" i="5"/>
  <c r="V1723" i="5" s="1"/>
  <c r="P1641" i="5"/>
  <c r="N1641" i="5"/>
  <c r="R1629" i="5"/>
  <c r="S1629" i="5" s="1"/>
  <c r="P1670" i="5"/>
  <c r="N1670" i="5"/>
  <c r="O1716" i="5"/>
  <c r="P1682" i="5"/>
  <c r="N1682" i="5"/>
  <c r="L1658" i="5"/>
  <c r="O1630" i="5"/>
  <c r="U1630" i="5"/>
  <c r="V1630" i="5" s="1"/>
  <c r="U1667" i="5"/>
  <c r="V1667" i="5" s="1"/>
  <c r="O1627" i="5"/>
  <c r="R1699" i="5"/>
  <c r="S1699" i="5" s="1"/>
  <c r="N1602" i="5"/>
  <c r="P1602" i="5"/>
  <c r="R1646" i="5"/>
  <c r="S1646" i="5" s="1"/>
  <c r="N1616" i="5"/>
  <c r="P1616" i="5"/>
  <c r="P1591" i="5"/>
  <c r="N1591" i="5"/>
  <c r="U1694" i="5"/>
  <c r="V1694" i="5" s="1"/>
  <c r="O1694" i="5"/>
  <c r="U1660" i="5"/>
  <c r="V1660" i="5" s="1"/>
  <c r="L1603" i="5"/>
  <c r="O1586" i="5"/>
  <c r="U1586" i="5"/>
  <c r="V1586" i="5" s="1"/>
  <c r="U1664" i="5"/>
  <c r="V1664" i="5" s="1"/>
  <c r="O1664" i="5"/>
  <c r="R1502" i="5"/>
  <c r="S1502" i="5" s="1"/>
  <c r="P1609" i="5"/>
  <c r="N1609" i="5"/>
  <c r="N1605" i="5"/>
  <c r="P1605" i="5"/>
  <c r="N1567" i="5"/>
  <c r="P1567" i="5"/>
  <c r="O1514" i="5"/>
  <c r="U1514" i="5"/>
  <c r="V1514" i="5" s="1"/>
  <c r="N1485" i="5"/>
  <c r="P1485" i="5"/>
  <c r="N1497" i="5"/>
  <c r="P1497" i="5"/>
  <c r="N1475" i="5"/>
  <c r="P1475" i="5"/>
  <c r="N1522" i="5"/>
  <c r="P1522" i="5"/>
  <c r="O1493" i="5"/>
  <c r="U1493" i="5"/>
  <c r="V1493" i="5" s="1"/>
  <c r="O1558" i="5"/>
  <c r="N1464" i="5"/>
  <c r="P1464" i="5"/>
  <c r="N1446" i="5"/>
  <c r="P1446" i="5"/>
  <c r="U1409" i="5"/>
  <c r="V1409" i="5" s="1"/>
  <c r="O1409" i="5"/>
  <c r="R1399" i="5"/>
  <c r="S1399" i="5" s="1"/>
  <c r="O1539" i="5"/>
  <c r="P1456" i="5"/>
  <c r="N1456" i="5"/>
  <c r="R1431" i="5"/>
  <c r="S1431" i="5" s="1"/>
  <c r="U1423" i="5"/>
  <c r="V1423" i="5" s="1"/>
  <c r="N1388" i="5"/>
  <c r="P1388" i="5"/>
  <c r="U1722" i="5"/>
  <c r="V1722" i="5" s="1"/>
  <c r="N1718" i="5"/>
  <c r="P1718" i="5"/>
  <c r="N1707" i="5"/>
  <c r="P1707" i="5"/>
  <c r="N1673" i="5"/>
  <c r="P1673" i="5"/>
  <c r="N1647" i="5"/>
  <c r="P1647" i="5"/>
  <c r="P1595" i="5"/>
  <c r="N1595" i="5"/>
  <c r="N1590" i="5"/>
  <c r="P1590" i="5"/>
  <c r="N1576" i="5"/>
  <c r="P1576" i="5"/>
  <c r="O1535" i="5"/>
  <c r="U1535" i="5"/>
  <c r="V1535" i="5" s="1"/>
  <c r="N1382" i="5"/>
  <c r="P1382" i="5"/>
  <c r="N1414" i="5"/>
  <c r="P1414" i="5"/>
  <c r="N1435" i="5"/>
  <c r="P1435" i="5"/>
  <c r="N1788" i="5"/>
  <c r="P1788" i="5"/>
  <c r="P1742" i="5"/>
  <c r="N1742" i="5"/>
  <c r="N1751" i="5"/>
  <c r="P1751" i="5"/>
  <c r="N1761" i="5"/>
  <c r="P1761" i="5"/>
  <c r="N1705" i="5"/>
  <c r="P1705" i="5"/>
  <c r="N1717" i="5"/>
  <c r="P1717" i="5"/>
  <c r="N1787" i="5"/>
  <c r="P1787" i="5"/>
  <c r="O1711" i="5"/>
  <c r="U1711" i="5"/>
  <c r="V1711" i="5" s="1"/>
  <c r="N1680" i="5"/>
  <c r="P1680" i="5"/>
  <c r="N1675" i="5"/>
  <c r="P1675" i="5"/>
  <c r="P1638" i="5"/>
  <c r="N1638" i="5"/>
  <c r="U1661" i="5"/>
  <c r="V1661" i="5" s="1"/>
  <c r="O1661" i="5"/>
  <c r="N1599" i="5"/>
  <c r="P1599" i="5"/>
  <c r="P1633" i="5"/>
  <c r="N1633" i="5"/>
  <c r="U1639" i="5"/>
  <c r="V1639" i="5" s="1"/>
  <c r="O1639" i="5"/>
  <c r="N1594" i="5"/>
  <c r="P1594" i="5"/>
  <c r="O1600" i="5"/>
  <c r="P1555" i="5"/>
  <c r="N1555" i="5"/>
  <c r="R1574" i="5"/>
  <c r="S1574" i="5" s="1"/>
  <c r="N1528" i="5"/>
  <c r="P1528" i="5"/>
  <c r="N1543" i="5"/>
  <c r="P1543" i="5"/>
  <c r="O1525" i="5"/>
  <c r="U1525" i="5"/>
  <c r="V1525" i="5" s="1"/>
  <c r="N1501" i="5"/>
  <c r="P1501" i="5"/>
  <c r="N1538" i="5"/>
  <c r="P1538" i="5"/>
  <c r="P1487" i="5"/>
  <c r="N1487" i="5"/>
  <c r="N1428" i="5"/>
  <c r="P1428" i="5"/>
  <c r="O1419" i="5"/>
  <c r="U1419" i="5"/>
  <c r="V1419" i="5" s="1"/>
  <c r="P1447" i="5"/>
  <c r="N1447" i="5"/>
  <c r="U1413" i="5"/>
  <c r="V1413" i="5" s="1"/>
  <c r="O1413" i="5"/>
  <c r="N1390" i="5"/>
  <c r="P1390" i="5"/>
  <c r="N1504" i="5"/>
  <c r="P1504" i="5"/>
  <c r="O1402" i="5"/>
  <c r="U1402" i="5"/>
  <c r="V1402" i="5" s="1"/>
  <c r="P1384" i="5"/>
  <c r="N1384" i="5"/>
  <c r="P1430" i="5"/>
  <c r="N1430" i="5"/>
  <c r="O1400" i="5"/>
  <c r="N1770" i="5"/>
  <c r="P1770" i="5"/>
  <c r="N1768" i="5"/>
  <c r="P1768" i="5"/>
  <c r="P1750" i="5"/>
  <c r="N1750" i="5"/>
  <c r="P1642" i="5"/>
  <c r="N1642" i="5"/>
  <c r="N1518" i="5"/>
  <c r="P1518" i="5"/>
  <c r="O1443" i="5"/>
  <c r="U1443" i="5"/>
  <c r="V1443" i="5" s="1"/>
  <c r="P1368" i="5"/>
  <c r="N1368" i="5"/>
  <c r="O1441" i="5"/>
  <c r="U1441" i="5"/>
  <c r="V1441" i="5" s="1"/>
  <c r="N1385" i="5"/>
  <c r="P1385" i="5"/>
  <c r="U1383" i="5"/>
  <c r="V1383" i="5" s="1"/>
  <c r="O1383" i="5"/>
  <c r="N1782" i="5"/>
  <c r="P1782" i="5"/>
  <c r="N1759" i="5"/>
  <c r="P1759" i="5"/>
  <c r="P1783" i="5"/>
  <c r="N1783" i="5"/>
  <c r="N1755" i="5"/>
  <c r="P1755" i="5"/>
  <c r="P1763" i="5"/>
  <c r="N1763" i="5"/>
  <c r="N1726" i="5"/>
  <c r="P1726" i="5"/>
  <c r="P1706" i="5"/>
  <c r="N1706" i="5"/>
  <c r="N1698" i="5"/>
  <c r="P1698" i="5"/>
  <c r="N1679" i="5"/>
  <c r="P1679" i="5"/>
  <c r="N1596" i="5"/>
  <c r="P1596" i="5"/>
  <c r="U1655" i="5"/>
  <c r="V1655" i="5" s="1"/>
  <c r="N1619" i="5"/>
  <c r="P1619" i="5"/>
  <c r="N1610" i="5"/>
  <c r="P1610" i="5"/>
  <c r="P1665" i="5"/>
  <c r="N1665" i="5"/>
  <c r="N1620" i="5"/>
  <c r="P1620" i="5"/>
  <c r="P1588" i="5"/>
  <c r="N1588" i="5"/>
  <c r="P1684" i="5"/>
  <c r="N1684" i="5"/>
  <c r="N1592" i="5"/>
  <c r="P1592" i="5"/>
  <c r="N1583" i="5"/>
  <c r="P1583" i="5"/>
  <c r="P1568" i="5"/>
  <c r="N1568" i="5"/>
  <c r="O1626" i="5"/>
  <c r="U1626" i="5"/>
  <c r="V1626" i="5" s="1"/>
  <c r="N1611" i="5"/>
  <c r="P1611" i="5"/>
  <c r="U1600" i="5"/>
  <c r="V1600" i="5" s="1"/>
  <c r="N1575" i="5"/>
  <c r="P1575" i="5"/>
  <c r="P1547" i="5"/>
  <c r="N1547" i="5"/>
  <c r="U1536" i="5"/>
  <c r="V1536" i="5" s="1"/>
  <c r="P1550" i="5"/>
  <c r="N1550" i="5"/>
  <c r="N1546" i="5"/>
  <c r="P1546" i="5"/>
  <c r="N1511" i="5"/>
  <c r="P1511" i="5"/>
  <c r="N1545" i="5"/>
  <c r="P1545" i="5"/>
  <c r="N1526" i="5"/>
  <c r="P1526" i="5"/>
  <c r="U1551" i="5"/>
  <c r="V1551" i="5" s="1"/>
  <c r="P1531" i="5"/>
  <c r="N1531" i="5"/>
  <c r="N1516" i="5"/>
  <c r="P1516" i="5"/>
  <c r="O1499" i="5"/>
  <c r="U1499" i="5"/>
  <c r="V1499" i="5" s="1"/>
  <c r="O1463" i="5"/>
  <c r="U1463" i="5"/>
  <c r="V1463" i="5" s="1"/>
  <c r="O1416" i="5"/>
  <c r="U1416" i="5"/>
  <c r="V1416" i="5" s="1"/>
  <c r="P1470" i="5"/>
  <c r="N1470" i="5"/>
  <c r="N1465" i="5"/>
  <c r="P1465" i="5"/>
  <c r="O1438" i="5"/>
  <c r="N1420" i="5"/>
  <c r="P1420" i="5"/>
  <c r="N1408" i="5"/>
  <c r="P1408" i="5"/>
  <c r="N1395" i="5"/>
  <c r="P1395" i="5"/>
  <c r="P1403" i="5"/>
  <c r="N1403" i="5"/>
  <c r="P1392" i="5"/>
  <c r="N1392" i="5"/>
  <c r="O1489" i="5"/>
  <c r="U1489" i="5"/>
  <c r="V1489" i="5" s="1"/>
  <c r="N1393" i="5"/>
  <c r="P1393" i="5"/>
  <c r="O1429" i="5"/>
  <c r="U1429" i="5"/>
  <c r="V1429" i="5" s="1"/>
  <c r="U1404" i="5"/>
  <c r="V1404" i="5" s="1"/>
  <c r="O1374" i="5"/>
  <c r="U1374" i="5"/>
  <c r="V1374" i="5" s="1"/>
  <c r="U1377" i="5"/>
  <c r="V1377" i="5" s="1"/>
  <c r="P1793" i="5"/>
  <c r="N1793" i="5"/>
  <c r="P1741" i="5"/>
  <c r="N1741" i="5"/>
  <c r="N1733" i="5"/>
  <c r="P1733" i="5"/>
  <c r="P1729" i="5"/>
  <c r="N1729" i="5"/>
  <c r="N1678" i="5"/>
  <c r="P1678" i="5"/>
  <c r="N1672" i="5"/>
  <c r="P1672" i="5"/>
  <c r="P1612" i="5"/>
  <c r="N1612" i="5"/>
  <c r="P1634" i="5"/>
  <c r="N1634" i="5"/>
  <c r="N1579" i="5"/>
  <c r="P1579" i="5"/>
  <c r="P1500" i="5"/>
  <c r="N1500" i="5"/>
  <c r="N1746" i="5"/>
  <c r="P1746" i="5"/>
  <c r="P1784" i="5"/>
  <c r="N1784" i="5"/>
  <c r="P1771" i="5"/>
  <c r="N1771" i="5"/>
  <c r="N1772" i="5"/>
  <c r="P1772" i="5"/>
  <c r="R1753" i="5"/>
  <c r="S1753" i="5" s="1"/>
  <c r="P1738" i="5"/>
  <c r="N1738" i="5"/>
  <c r="N1752" i="5"/>
  <c r="P1752" i="5"/>
  <c r="N1756" i="5"/>
  <c r="P1756" i="5"/>
  <c r="O1728" i="5"/>
  <c r="N1790" i="5"/>
  <c r="P1790" i="5"/>
  <c r="R1726" i="5"/>
  <c r="S1726" i="5" s="1"/>
  <c r="N1689" i="5"/>
  <c r="P1689" i="5"/>
  <c r="N1669" i="5"/>
  <c r="P1669" i="5"/>
  <c r="N1686" i="5"/>
  <c r="P1686" i="5"/>
  <c r="N1654" i="5"/>
  <c r="P1654" i="5"/>
  <c r="N1683" i="5"/>
  <c r="P1683" i="5"/>
  <c r="R1653" i="5"/>
  <c r="S1653" i="5" s="1"/>
  <c r="O1636" i="5"/>
  <c r="P1681" i="5"/>
  <c r="N1681" i="5"/>
  <c r="R1614" i="5"/>
  <c r="S1614" i="5" s="1"/>
  <c r="U1652" i="5"/>
  <c r="V1652" i="5" s="1"/>
  <c r="O1652" i="5"/>
  <c r="O1696" i="5"/>
  <c r="U1696" i="5"/>
  <c r="V1696" i="5" s="1"/>
  <c r="N1613" i="5"/>
  <c r="P1613" i="5"/>
  <c r="R1598" i="5"/>
  <c r="S1598" i="5" s="1"/>
  <c r="N1578" i="5"/>
  <c r="P1578" i="5"/>
  <c r="P1581" i="5"/>
  <c r="N1581" i="5"/>
  <c r="R1498" i="5"/>
  <c r="S1498" i="5" s="1"/>
  <c r="U1549" i="5"/>
  <c r="V1549" i="5" s="1"/>
  <c r="N1519" i="5"/>
  <c r="P1519" i="5"/>
  <c r="O1491" i="5"/>
  <c r="U1491" i="5"/>
  <c r="V1491" i="5" s="1"/>
  <c r="N1477" i="5"/>
  <c r="P1477" i="5"/>
  <c r="U1474" i="5"/>
  <c r="V1474" i="5" s="1"/>
  <c r="R1424" i="5"/>
  <c r="S1424" i="5" s="1"/>
  <c r="L1473" i="5"/>
  <c r="P1448" i="5"/>
  <c r="N1448" i="5"/>
  <c r="O1565" i="5"/>
  <c r="R1411" i="5"/>
  <c r="S1411" i="5" s="1"/>
  <c r="N1496" i="5"/>
  <c r="P1496" i="5"/>
  <c r="N1517" i="5"/>
  <c r="P1517" i="5"/>
  <c r="N1444" i="5"/>
  <c r="P1444" i="5"/>
  <c r="O1437" i="5"/>
  <c r="U1437" i="5"/>
  <c r="V1437" i="5" s="1"/>
  <c r="P1469" i="5"/>
  <c r="N1469" i="5"/>
  <c r="U1391" i="5"/>
  <c r="V1391" i="5" s="1"/>
  <c r="O1391" i="5"/>
  <c r="N1386" i="5"/>
  <c r="P1386" i="5"/>
  <c r="O1426" i="5"/>
  <c r="U1426" i="5"/>
  <c r="V1426" i="5" s="1"/>
  <c r="R1368" i="5"/>
  <c r="S1368" i="5" s="1"/>
  <c r="O1389" i="5"/>
  <c r="N1791" i="5"/>
  <c r="P1791" i="5"/>
  <c r="P1789" i="5"/>
  <c r="N1789" i="5"/>
  <c r="P1767" i="5"/>
  <c r="N1767" i="5"/>
  <c r="P1632" i="5"/>
  <c r="N1632" i="5"/>
  <c r="N1617" i="5"/>
  <c r="P1617" i="5"/>
  <c r="P1552" i="5"/>
  <c r="N1552" i="5"/>
  <c r="N1471" i="5"/>
  <c r="P1471" i="5"/>
  <c r="N1442" i="5"/>
  <c r="P1442" i="5"/>
  <c r="P1794" i="5"/>
  <c r="N1794" i="5"/>
  <c r="N1753" i="5"/>
  <c r="P1753" i="5"/>
  <c r="P1720" i="5"/>
  <c r="N1720" i="5"/>
  <c r="N1758" i="5"/>
  <c r="P1758" i="5"/>
  <c r="N1737" i="5"/>
  <c r="P1737" i="5"/>
  <c r="P1795" i="5"/>
  <c r="N1795" i="5"/>
  <c r="P1709" i="5"/>
  <c r="N1709" i="5"/>
  <c r="N1762" i="5"/>
  <c r="P1762" i="5"/>
  <c r="N1765" i="5"/>
  <c r="P1765" i="5"/>
  <c r="P1724" i="5"/>
  <c r="N1724" i="5"/>
  <c r="N1666" i="5"/>
  <c r="P1666" i="5"/>
  <c r="P1640" i="5"/>
  <c r="N1640" i="5"/>
  <c r="N1691" i="5"/>
  <c r="P1691" i="5"/>
  <c r="N1656" i="5"/>
  <c r="P1656" i="5"/>
  <c r="U1674" i="5"/>
  <c r="V1674" i="5" s="1"/>
  <c r="O1674" i="5"/>
  <c r="P1653" i="5"/>
  <c r="N1653" i="5"/>
  <c r="P1624" i="5"/>
  <c r="N1624" i="5"/>
  <c r="N1589" i="5"/>
  <c r="P1589" i="5"/>
  <c r="N1704" i="5"/>
  <c r="P1704" i="5"/>
  <c r="P1598" i="5"/>
  <c r="N1598" i="5"/>
  <c r="N1650" i="5"/>
  <c r="P1650" i="5"/>
  <c r="N1570" i="5"/>
  <c r="P1570" i="5"/>
  <c r="N1615" i="5"/>
  <c r="P1615" i="5"/>
  <c r="N1537" i="5"/>
  <c r="P1537" i="5"/>
  <c r="U1563" i="5"/>
  <c r="V1563" i="5" s="1"/>
  <c r="O1563" i="5"/>
  <c r="O1523" i="5"/>
  <c r="U1523" i="5"/>
  <c r="V1523" i="5" s="1"/>
  <c r="O1507" i="5"/>
  <c r="U1507" i="5"/>
  <c r="V1507" i="5" s="1"/>
  <c r="N1490" i="5"/>
  <c r="P1490" i="5"/>
  <c r="L1564" i="5"/>
  <c r="N1529" i="5"/>
  <c r="P1529" i="5"/>
  <c r="O1527" i="5"/>
  <c r="U1527" i="5"/>
  <c r="V1527" i="5" s="1"/>
  <c r="O1510" i="5"/>
  <c r="U1510" i="5"/>
  <c r="V1510" i="5" s="1"/>
  <c r="P1494" i="5"/>
  <c r="N1494" i="5"/>
  <c r="O1544" i="5"/>
  <c r="U1544" i="5"/>
  <c r="V1544" i="5" s="1"/>
  <c r="N1509" i="5"/>
  <c r="P1509" i="5"/>
  <c r="N1495" i="5"/>
  <c r="P1495" i="5"/>
  <c r="N1524" i="5"/>
  <c r="P1524" i="5"/>
  <c r="N1460" i="5"/>
  <c r="P1460" i="5"/>
  <c r="N1434" i="5"/>
  <c r="P1434" i="5"/>
  <c r="O1462" i="5"/>
  <c r="U1462" i="5"/>
  <c r="V1462" i="5" s="1"/>
  <c r="P1476" i="5"/>
  <c r="N1476" i="5"/>
  <c r="O1559" i="5"/>
  <c r="U1559" i="5"/>
  <c r="V1559" i="5" s="1"/>
  <c r="N1461" i="5"/>
  <c r="P1461" i="5"/>
  <c r="N1508" i="5"/>
  <c r="P1508" i="5"/>
  <c r="U1410" i="5"/>
  <c r="V1410" i="5" s="1"/>
  <c r="O1375" i="5"/>
  <c r="U1375" i="5"/>
  <c r="V1375" i="5" s="1"/>
  <c r="N1373" i="5"/>
  <c r="P1373" i="5"/>
  <c r="N1362" i="5"/>
  <c r="P1362" i="5"/>
  <c r="L1365" i="5"/>
  <c r="P1364" i="5"/>
  <c r="N1364" i="5"/>
  <c r="R1362" i="5"/>
  <c r="S1362" i="5" s="1"/>
  <c r="O1701" i="5" l="1"/>
  <c r="U1618" i="5"/>
  <c r="V1618" i="5" s="1"/>
  <c r="U1580" i="5"/>
  <c r="V1580" i="5" s="1"/>
  <c r="O1422" i="5"/>
  <c r="O1406" i="5"/>
  <c r="U1671" i="5"/>
  <c r="V1671" i="5" s="1"/>
  <c r="O1478" i="5"/>
  <c r="U1372" i="5"/>
  <c r="V1372" i="5" s="1"/>
  <c r="O1458" i="5"/>
  <c r="P1582" i="5"/>
  <c r="O1582" i="5" s="1"/>
  <c r="U1533" i="5"/>
  <c r="V1533" i="5" s="1"/>
  <c r="U1643" i="5"/>
  <c r="V1643" i="5" s="1"/>
  <c r="U1554" i="5"/>
  <c r="V1554" i="5" s="1"/>
  <c r="O1432" i="5"/>
  <c r="O1754" i="5"/>
  <c r="P1730" i="5"/>
  <c r="U1730" i="5" s="1"/>
  <c r="V1730" i="5" s="1"/>
  <c r="U1721" i="5"/>
  <c r="V1721" i="5" s="1"/>
  <c r="O1520" i="5"/>
  <c r="U1521" i="5"/>
  <c r="V1521" i="5" s="1"/>
  <c r="O1637" i="5"/>
  <c r="N1740" i="5"/>
  <c r="U1740" i="5" s="1"/>
  <c r="V1740" i="5" s="1"/>
  <c r="U1415" i="5"/>
  <c r="V1415" i="5" s="1"/>
  <c r="U1459" i="5"/>
  <c r="V1459" i="5" s="1"/>
  <c r="O1645" i="5"/>
  <c r="U1703" i="5"/>
  <c r="V1703" i="5" s="1"/>
  <c r="N1541" i="5"/>
  <c r="U1541" i="5" s="1"/>
  <c r="V1541" i="5" s="1"/>
  <c r="O1587" i="5"/>
  <c r="U1796" i="5"/>
  <c r="V1796" i="5" s="1"/>
  <c r="O1631" i="5"/>
  <c r="U1571" i="5"/>
  <c r="V1571" i="5" s="1"/>
  <c r="O1488" i="5"/>
  <c r="U1378" i="5"/>
  <c r="V1378" i="5" s="1"/>
  <c r="O1649" i="5"/>
  <c r="N1486" i="5"/>
  <c r="U1486" i="5" s="1"/>
  <c r="V1486" i="5" s="1"/>
  <c r="N1601" i="5"/>
  <c r="O1601" i="5" s="1"/>
  <c r="U1556" i="5"/>
  <c r="V1556" i="5" s="1"/>
  <c r="O1604" i="5"/>
  <c r="O1593" i="5"/>
  <c r="N1749" i="5"/>
  <c r="O1749" i="5" s="1"/>
  <c r="U1708" i="5"/>
  <c r="V1708" i="5" s="1"/>
  <c r="U1649" i="5"/>
  <c r="V1649" i="5" s="1"/>
  <c r="O1648" i="5"/>
  <c r="N1436" i="5"/>
  <c r="O1436" i="5" s="1"/>
  <c r="O1651" i="5"/>
  <c r="O1700" i="5"/>
  <c r="O1521" i="5"/>
  <c r="O1562" i="5"/>
  <c r="O1573" i="5"/>
  <c r="O1766" i="5"/>
  <c r="U1574" i="5"/>
  <c r="V1574" i="5" s="1"/>
  <c r="U1534" i="5"/>
  <c r="V1534" i="5" s="1"/>
  <c r="O1796" i="5"/>
  <c r="U1540" i="5"/>
  <c r="V1540" i="5" s="1"/>
  <c r="O1379" i="5"/>
  <c r="U1393" i="5"/>
  <c r="V1393" i="5" s="1"/>
  <c r="U1631" i="5"/>
  <c r="V1631" i="5" s="1"/>
  <c r="N1687" i="5"/>
  <c r="U1687" i="5" s="1"/>
  <c r="V1687" i="5" s="1"/>
  <c r="U1778" i="5"/>
  <c r="V1778" i="5" s="1"/>
  <c r="O1425" i="5"/>
  <c r="O1540" i="5"/>
  <c r="U1648" i="5"/>
  <c r="V1648" i="5" s="1"/>
  <c r="U1454" i="5"/>
  <c r="V1454" i="5" s="1"/>
  <c r="U1515" i="5"/>
  <c r="V1515" i="5" s="1"/>
  <c r="U1701" i="5"/>
  <c r="V1701" i="5" s="1"/>
  <c r="N1597" i="5"/>
  <c r="U1597" i="5" s="1"/>
  <c r="V1597" i="5" s="1"/>
  <c r="U1363" i="5"/>
  <c r="V1363" i="5" s="1"/>
  <c r="O1635" i="5"/>
  <c r="U1420" i="5"/>
  <c r="V1420" i="5" s="1"/>
  <c r="U1433" i="5"/>
  <c r="V1433" i="5" s="1"/>
  <c r="O1585" i="5"/>
  <c r="O1421" i="5"/>
  <c r="U1650" i="5"/>
  <c r="V1650" i="5" s="1"/>
  <c r="O1530" i="5"/>
  <c r="U1644" i="5"/>
  <c r="V1644" i="5" s="1"/>
  <c r="U1577" i="5"/>
  <c r="V1577" i="5" s="1"/>
  <c r="O1777" i="5"/>
  <c r="U1693" i="5"/>
  <c r="V1693" i="5" s="1"/>
  <c r="O1608" i="5"/>
  <c r="U1608" i="5"/>
  <c r="V1608" i="5" s="1"/>
  <c r="O1479" i="5"/>
  <c r="U1479" i="5"/>
  <c r="V1479" i="5" s="1"/>
  <c r="U1710" i="5"/>
  <c r="V1710" i="5" s="1"/>
  <c r="O1512" i="5"/>
  <c r="U1781" i="5"/>
  <c r="V1781" i="5" s="1"/>
  <c r="U1451" i="5"/>
  <c r="V1451" i="5" s="1"/>
  <c r="O1366" i="5"/>
  <c r="O1472" i="5"/>
  <c r="O1732" i="5"/>
  <c r="U1732" i="5"/>
  <c r="V1732" i="5" s="1"/>
  <c r="O1532" i="5"/>
  <c r="U1532" i="5"/>
  <c r="V1532" i="5" s="1"/>
  <c r="U1637" i="5"/>
  <c r="V1637" i="5" s="1"/>
  <c r="U1777" i="5"/>
  <c r="V1777" i="5" s="1"/>
  <c r="U1450" i="5"/>
  <c r="V1450" i="5" s="1"/>
  <c r="U1584" i="5"/>
  <c r="V1584" i="5" s="1"/>
  <c r="N1715" i="5"/>
  <c r="O1715" i="5" s="1"/>
  <c r="U1700" i="5"/>
  <c r="V1700" i="5" s="1"/>
  <c r="U1530" i="5"/>
  <c r="V1530" i="5" s="1"/>
  <c r="U1585" i="5"/>
  <c r="V1585" i="5" s="1"/>
  <c r="O1781" i="5"/>
  <c r="O1693" i="5"/>
  <c r="U1396" i="5"/>
  <c r="V1396" i="5" s="1"/>
  <c r="O1566" i="5"/>
  <c r="U1566" i="5"/>
  <c r="V1566" i="5" s="1"/>
  <c r="U1440" i="5"/>
  <c r="V1440" i="5" s="1"/>
  <c r="O1572" i="5"/>
  <c r="U1651" i="5"/>
  <c r="V1651" i="5" s="1"/>
  <c r="U1480" i="5"/>
  <c r="V1480" i="5" s="1"/>
  <c r="O1480" i="5"/>
  <c r="U1457" i="5"/>
  <c r="V1457" i="5" s="1"/>
  <c r="N1697" i="5"/>
  <c r="O1697" i="5" s="1"/>
  <c r="N1401" i="5"/>
  <c r="O1401" i="5" s="1"/>
  <c r="O1644" i="5"/>
  <c r="U1418" i="5"/>
  <c r="V1418" i="5" s="1"/>
  <c r="U1628" i="5"/>
  <c r="V1628" i="5" s="1"/>
  <c r="P1468" i="5"/>
  <c r="O1468" i="5" s="1"/>
  <c r="U1439" i="5"/>
  <c r="V1439" i="5" s="1"/>
  <c r="P1745" i="5"/>
  <c r="N1745" i="5"/>
  <c r="U1405" i="5"/>
  <c r="V1405" i="5" s="1"/>
  <c r="O1369" i="5"/>
  <c r="O1657" i="5"/>
  <c r="O1714" i="5"/>
  <c r="O1774" i="5"/>
  <c r="O1606" i="5"/>
  <c r="U1606" i="5"/>
  <c r="V1606" i="5" s="1"/>
  <c r="O1412" i="5"/>
  <c r="U1412" i="5"/>
  <c r="V1412" i="5" s="1"/>
  <c r="N1483" i="5"/>
  <c r="P1483" i="5"/>
  <c r="U1657" i="5"/>
  <c r="V1657" i="5" s="1"/>
  <c r="U1739" i="5"/>
  <c r="V1739" i="5" s="1"/>
  <c r="U1472" i="5"/>
  <c r="V1472" i="5" s="1"/>
  <c r="O1643" i="5"/>
  <c r="U1774" i="5"/>
  <c r="V1774" i="5" s="1"/>
  <c r="O1503" i="5"/>
  <c r="U1503" i="5"/>
  <c r="V1503" i="5" s="1"/>
  <c r="U1548" i="5"/>
  <c r="V1548" i="5" s="1"/>
  <c r="U1482" i="5"/>
  <c r="V1482" i="5" s="1"/>
  <c r="O1482" i="5"/>
  <c r="O1451" i="5"/>
  <c r="U1714" i="5"/>
  <c r="V1714" i="5" s="1"/>
  <c r="O1450" i="5"/>
  <c r="U1398" i="5"/>
  <c r="V1398" i="5" s="1"/>
  <c r="O1398" i="5"/>
  <c r="O1735" i="5"/>
  <c r="U1735" i="5"/>
  <c r="V1735" i="5" s="1"/>
  <c r="U1512" i="5"/>
  <c r="V1512" i="5" s="1"/>
  <c r="U1466" i="5"/>
  <c r="V1466" i="5" s="1"/>
  <c r="N1785" i="5"/>
  <c r="P1785" i="5"/>
  <c r="P1798" i="5"/>
  <c r="N1798" i="5"/>
  <c r="O1736" i="5"/>
  <c r="U1736" i="5"/>
  <c r="V1736" i="5" s="1"/>
  <c r="O1574" i="5"/>
  <c r="O1506" i="5"/>
  <c r="U1506" i="5"/>
  <c r="V1506" i="5" s="1"/>
  <c r="O1466" i="5"/>
  <c r="U1452" i="5"/>
  <c r="V1452" i="5" s="1"/>
  <c r="O1370" i="5"/>
  <c r="U1370" i="5"/>
  <c r="V1370" i="5" s="1"/>
  <c r="O1712" i="5"/>
  <c r="U1712" i="5"/>
  <c r="V1712" i="5" s="1"/>
  <c r="U1368" i="5"/>
  <c r="V1368" i="5" s="1"/>
  <c r="O1800" i="5"/>
  <c r="U1800" i="5"/>
  <c r="V1800" i="5" s="1"/>
  <c r="U1371" i="5"/>
  <c r="V1371" i="5" s="1"/>
  <c r="O1371" i="5"/>
  <c r="O1799" i="5"/>
  <c r="U1799" i="5"/>
  <c r="V1799" i="5" s="1"/>
  <c r="O1650" i="5"/>
  <c r="O1393" i="5"/>
  <c r="O1420" i="5"/>
  <c r="U1380" i="5"/>
  <c r="V1380" i="5" s="1"/>
  <c r="O1380" i="5"/>
  <c r="O1452" i="5"/>
  <c r="O1786" i="5"/>
  <c r="U1786" i="5"/>
  <c r="V1786" i="5" s="1"/>
  <c r="P1564" i="5"/>
  <c r="N1564" i="5"/>
  <c r="O1615" i="5"/>
  <c r="U1615" i="5"/>
  <c r="V1615" i="5" s="1"/>
  <c r="O1794" i="5"/>
  <c r="U1794" i="5"/>
  <c r="V1794" i="5" s="1"/>
  <c r="O1789" i="5"/>
  <c r="U1789" i="5"/>
  <c r="V1789" i="5" s="1"/>
  <c r="O1689" i="5"/>
  <c r="U1689" i="5"/>
  <c r="V1689" i="5" s="1"/>
  <c r="O1579" i="5"/>
  <c r="U1579" i="5"/>
  <c r="V1579" i="5" s="1"/>
  <c r="O1408" i="5"/>
  <c r="U1408" i="5"/>
  <c r="V1408" i="5" s="1"/>
  <c r="O1665" i="5"/>
  <c r="U1665" i="5"/>
  <c r="V1665" i="5" s="1"/>
  <c r="O1783" i="5"/>
  <c r="U1783" i="5"/>
  <c r="V1783" i="5" s="1"/>
  <c r="O1460" i="5"/>
  <c r="U1460" i="5"/>
  <c r="V1460" i="5" s="1"/>
  <c r="O1509" i="5"/>
  <c r="U1509" i="5"/>
  <c r="V1509" i="5" s="1"/>
  <c r="O1653" i="5"/>
  <c r="U1653" i="5"/>
  <c r="V1653" i="5" s="1"/>
  <c r="U1765" i="5"/>
  <c r="V1765" i="5" s="1"/>
  <c r="O1765" i="5"/>
  <c r="P1473" i="5"/>
  <c r="N1473" i="5"/>
  <c r="O1681" i="5"/>
  <c r="U1681" i="5"/>
  <c r="V1681" i="5" s="1"/>
  <c r="O1771" i="5"/>
  <c r="U1771" i="5"/>
  <c r="V1771" i="5" s="1"/>
  <c r="O1500" i="5"/>
  <c r="U1500" i="5"/>
  <c r="V1500" i="5" s="1"/>
  <c r="O1634" i="5"/>
  <c r="U1634" i="5"/>
  <c r="V1634" i="5" s="1"/>
  <c r="O1403" i="5"/>
  <c r="U1403" i="5"/>
  <c r="V1403" i="5" s="1"/>
  <c r="O1511" i="5"/>
  <c r="U1511" i="5"/>
  <c r="V1511" i="5" s="1"/>
  <c r="O1547" i="5"/>
  <c r="U1547" i="5"/>
  <c r="V1547" i="5" s="1"/>
  <c r="O1611" i="5"/>
  <c r="U1611" i="5"/>
  <c r="V1611" i="5" s="1"/>
  <c r="O1385" i="5"/>
  <c r="U1385" i="5"/>
  <c r="V1385" i="5" s="1"/>
  <c r="O1368" i="5"/>
  <c r="O1518" i="5"/>
  <c r="U1518" i="5"/>
  <c r="V1518" i="5" s="1"/>
  <c r="O1430" i="5"/>
  <c r="U1430" i="5"/>
  <c r="V1430" i="5" s="1"/>
  <c r="O1446" i="5"/>
  <c r="U1446" i="5"/>
  <c r="V1446" i="5" s="1"/>
  <c r="O1464" i="5"/>
  <c r="U1464" i="5"/>
  <c r="V1464" i="5" s="1"/>
  <c r="O1475" i="5"/>
  <c r="U1475" i="5"/>
  <c r="V1475" i="5" s="1"/>
  <c r="O1591" i="5"/>
  <c r="U1591" i="5"/>
  <c r="V1591" i="5" s="1"/>
  <c r="O1602" i="5"/>
  <c r="U1602" i="5"/>
  <c r="V1602" i="5" s="1"/>
  <c r="U1682" i="5"/>
  <c r="V1682" i="5" s="1"/>
  <c r="O1682" i="5"/>
  <c r="O1641" i="5"/>
  <c r="U1641" i="5"/>
  <c r="V1641" i="5" s="1"/>
  <c r="O1743" i="5"/>
  <c r="U1743" i="5"/>
  <c r="V1743" i="5" s="1"/>
  <c r="O1560" i="5"/>
  <c r="U1560" i="5"/>
  <c r="V1560" i="5" s="1"/>
  <c r="O1513" i="5"/>
  <c r="U1513" i="5"/>
  <c r="V1513" i="5" s="1"/>
  <c r="O1607" i="5"/>
  <c r="U1607" i="5"/>
  <c r="V1607" i="5" s="1"/>
  <c r="U1484" i="5"/>
  <c r="V1484" i="5" s="1"/>
  <c r="O1484" i="5"/>
  <c r="O1663" i="5"/>
  <c r="U1663" i="5"/>
  <c r="V1663" i="5" s="1"/>
  <c r="O1498" i="5"/>
  <c r="U1498" i="5"/>
  <c r="V1498" i="5" s="1"/>
  <c r="U1760" i="5"/>
  <c r="V1760" i="5" s="1"/>
  <c r="O1760" i="5"/>
  <c r="O1417" i="5"/>
  <c r="U1417" i="5"/>
  <c r="V1417" i="5" s="1"/>
  <c r="O1411" i="5"/>
  <c r="U1411" i="5"/>
  <c r="V1411" i="5" s="1"/>
  <c r="O1677" i="5"/>
  <c r="U1677" i="5"/>
  <c r="V1677" i="5" s="1"/>
  <c r="O1646" i="5"/>
  <c r="U1646" i="5"/>
  <c r="V1646" i="5" s="1"/>
  <c r="O1795" i="5"/>
  <c r="U1795" i="5"/>
  <c r="V1795" i="5" s="1"/>
  <c r="O1632" i="5"/>
  <c r="U1632" i="5"/>
  <c r="V1632" i="5" s="1"/>
  <c r="O1746" i="5"/>
  <c r="U1746" i="5"/>
  <c r="V1746" i="5" s="1"/>
  <c r="U1599" i="5"/>
  <c r="V1599" i="5" s="1"/>
  <c r="O1599" i="5"/>
  <c r="U1788" i="5"/>
  <c r="V1788" i="5" s="1"/>
  <c r="O1788" i="5"/>
  <c r="O1456" i="5"/>
  <c r="U1456" i="5"/>
  <c r="V1456" i="5" s="1"/>
  <c r="O1629" i="5"/>
  <c r="U1629" i="5"/>
  <c r="V1629" i="5" s="1"/>
  <c r="O1490" i="5"/>
  <c r="U1490" i="5"/>
  <c r="V1490" i="5" s="1"/>
  <c r="U1704" i="5"/>
  <c r="V1704" i="5" s="1"/>
  <c r="O1704" i="5"/>
  <c r="O1656" i="5"/>
  <c r="U1656" i="5"/>
  <c r="V1656" i="5" s="1"/>
  <c r="O1666" i="5"/>
  <c r="U1666" i="5"/>
  <c r="V1666" i="5" s="1"/>
  <c r="O1581" i="5"/>
  <c r="U1581" i="5"/>
  <c r="V1581" i="5" s="1"/>
  <c r="U1613" i="5"/>
  <c r="V1613" i="5" s="1"/>
  <c r="O1613" i="5"/>
  <c r="O1686" i="5"/>
  <c r="U1686" i="5"/>
  <c r="V1686" i="5" s="1"/>
  <c r="O1738" i="5"/>
  <c r="U1738" i="5"/>
  <c r="V1738" i="5" s="1"/>
  <c r="O1678" i="5"/>
  <c r="U1678" i="5"/>
  <c r="V1678" i="5" s="1"/>
  <c r="O1733" i="5"/>
  <c r="U1733" i="5"/>
  <c r="V1733" i="5" s="1"/>
  <c r="O1588" i="5"/>
  <c r="U1588" i="5"/>
  <c r="V1588" i="5" s="1"/>
  <c r="U1596" i="5"/>
  <c r="V1596" i="5" s="1"/>
  <c r="O1596" i="5"/>
  <c r="O1726" i="5"/>
  <c r="U1726" i="5"/>
  <c r="V1726" i="5" s="1"/>
  <c r="O1538" i="5"/>
  <c r="U1538" i="5"/>
  <c r="V1538" i="5" s="1"/>
  <c r="O1543" i="5"/>
  <c r="U1543" i="5"/>
  <c r="V1543" i="5" s="1"/>
  <c r="O1555" i="5"/>
  <c r="U1555" i="5"/>
  <c r="V1555" i="5" s="1"/>
  <c r="O1675" i="5"/>
  <c r="U1675" i="5"/>
  <c r="V1675" i="5" s="1"/>
  <c r="O1787" i="5"/>
  <c r="U1787" i="5"/>
  <c r="V1787" i="5" s="1"/>
  <c r="O1751" i="5"/>
  <c r="U1751" i="5"/>
  <c r="V1751" i="5" s="1"/>
  <c r="O1435" i="5"/>
  <c r="U1435" i="5"/>
  <c r="V1435" i="5" s="1"/>
  <c r="O1382" i="5"/>
  <c r="U1382" i="5"/>
  <c r="V1382" i="5" s="1"/>
  <c r="O1647" i="5"/>
  <c r="U1647" i="5"/>
  <c r="V1647" i="5" s="1"/>
  <c r="O1707" i="5"/>
  <c r="U1707" i="5"/>
  <c r="V1707" i="5" s="1"/>
  <c r="U1485" i="5"/>
  <c r="V1485" i="5" s="1"/>
  <c r="O1485" i="5"/>
  <c r="O1605" i="5"/>
  <c r="U1605" i="5"/>
  <c r="V1605" i="5" s="1"/>
  <c r="N1603" i="5"/>
  <c r="P1603" i="5"/>
  <c r="O1690" i="5"/>
  <c r="U1690" i="5"/>
  <c r="V1690" i="5" s="1"/>
  <c r="O1779" i="5"/>
  <c r="U1779" i="5"/>
  <c r="V1779" i="5" s="1"/>
  <c r="O1725" i="5"/>
  <c r="U1725" i="5"/>
  <c r="V1725" i="5" s="1"/>
  <c r="O1569" i="5"/>
  <c r="U1569" i="5"/>
  <c r="V1569" i="5" s="1"/>
  <c r="U1668" i="5"/>
  <c r="V1668" i="5" s="1"/>
  <c r="O1668" i="5"/>
  <c r="O1399" i="5"/>
  <c r="U1399" i="5"/>
  <c r="V1399" i="5" s="1"/>
  <c r="O1625" i="5"/>
  <c r="U1625" i="5"/>
  <c r="V1625" i="5" s="1"/>
  <c r="O1508" i="5"/>
  <c r="U1508" i="5"/>
  <c r="V1508" i="5" s="1"/>
  <c r="O1720" i="5"/>
  <c r="U1720" i="5"/>
  <c r="V1720" i="5" s="1"/>
  <c r="O1654" i="5"/>
  <c r="U1654" i="5"/>
  <c r="V1654" i="5" s="1"/>
  <c r="O1772" i="5"/>
  <c r="U1772" i="5"/>
  <c r="V1772" i="5" s="1"/>
  <c r="O1568" i="5"/>
  <c r="U1568" i="5"/>
  <c r="V1568" i="5" s="1"/>
  <c r="O1679" i="5"/>
  <c r="U1679" i="5"/>
  <c r="V1679" i="5" s="1"/>
  <c r="U1594" i="5"/>
  <c r="V1594" i="5" s="1"/>
  <c r="O1594" i="5"/>
  <c r="O1705" i="5"/>
  <c r="U1705" i="5"/>
  <c r="V1705" i="5" s="1"/>
  <c r="O1567" i="5"/>
  <c r="U1567" i="5"/>
  <c r="V1567" i="5" s="1"/>
  <c r="O1461" i="5"/>
  <c r="U1461" i="5"/>
  <c r="V1461" i="5" s="1"/>
  <c r="O1524" i="5"/>
  <c r="U1524" i="5"/>
  <c r="V1524" i="5" s="1"/>
  <c r="O1598" i="5"/>
  <c r="U1598" i="5"/>
  <c r="V1598" i="5" s="1"/>
  <c r="O1724" i="5"/>
  <c r="U1724" i="5"/>
  <c r="V1724" i="5" s="1"/>
  <c r="O1762" i="5"/>
  <c r="U1762" i="5"/>
  <c r="V1762" i="5" s="1"/>
  <c r="O1737" i="5"/>
  <c r="U1737" i="5"/>
  <c r="V1737" i="5" s="1"/>
  <c r="O1753" i="5"/>
  <c r="U1753" i="5"/>
  <c r="V1753" i="5" s="1"/>
  <c r="O1442" i="5"/>
  <c r="U1442" i="5"/>
  <c r="V1442" i="5" s="1"/>
  <c r="O1791" i="5"/>
  <c r="U1791" i="5"/>
  <c r="V1791" i="5" s="1"/>
  <c r="O1469" i="5"/>
  <c r="U1469" i="5"/>
  <c r="V1469" i="5" s="1"/>
  <c r="O1444" i="5"/>
  <c r="U1444" i="5"/>
  <c r="V1444" i="5" s="1"/>
  <c r="O1477" i="5"/>
  <c r="U1477" i="5"/>
  <c r="V1477" i="5" s="1"/>
  <c r="O1578" i="5"/>
  <c r="U1578" i="5"/>
  <c r="V1578" i="5" s="1"/>
  <c r="O1683" i="5"/>
  <c r="U1683" i="5"/>
  <c r="V1683" i="5" s="1"/>
  <c r="U1784" i="5"/>
  <c r="V1784" i="5" s="1"/>
  <c r="O1784" i="5"/>
  <c r="O1612" i="5"/>
  <c r="U1612" i="5"/>
  <c r="V1612" i="5" s="1"/>
  <c r="O1741" i="5"/>
  <c r="U1741" i="5"/>
  <c r="V1741" i="5" s="1"/>
  <c r="O1526" i="5"/>
  <c r="U1526" i="5"/>
  <c r="V1526" i="5" s="1"/>
  <c r="O1546" i="5"/>
  <c r="U1546" i="5"/>
  <c r="V1546" i="5" s="1"/>
  <c r="O1583" i="5"/>
  <c r="U1583" i="5"/>
  <c r="V1583" i="5" s="1"/>
  <c r="O1610" i="5"/>
  <c r="U1610" i="5"/>
  <c r="V1610" i="5" s="1"/>
  <c r="U1759" i="5"/>
  <c r="V1759" i="5" s="1"/>
  <c r="O1759" i="5"/>
  <c r="O1768" i="5"/>
  <c r="U1768" i="5"/>
  <c r="V1768" i="5" s="1"/>
  <c r="O1504" i="5"/>
  <c r="U1504" i="5"/>
  <c r="V1504" i="5" s="1"/>
  <c r="O1633" i="5"/>
  <c r="U1633" i="5"/>
  <c r="V1633" i="5" s="1"/>
  <c r="O1638" i="5"/>
  <c r="U1638" i="5"/>
  <c r="V1638" i="5" s="1"/>
  <c r="O1742" i="5"/>
  <c r="U1742" i="5"/>
  <c r="V1742" i="5" s="1"/>
  <c r="O1497" i="5"/>
  <c r="U1497" i="5"/>
  <c r="V1497" i="5" s="1"/>
  <c r="O1776" i="5"/>
  <c r="U1776" i="5"/>
  <c r="V1776" i="5" s="1"/>
  <c r="O1685" i="5"/>
  <c r="U1685" i="5"/>
  <c r="V1685" i="5" s="1"/>
  <c r="O1431" i="5"/>
  <c r="U1431" i="5"/>
  <c r="V1431" i="5" s="1"/>
  <c r="O1505" i="5"/>
  <c r="U1505" i="5"/>
  <c r="V1505" i="5" s="1"/>
  <c r="O1699" i="5"/>
  <c r="U1699" i="5"/>
  <c r="V1699" i="5" s="1"/>
  <c r="O1695" i="5"/>
  <c r="U1695" i="5"/>
  <c r="V1695" i="5" s="1"/>
  <c r="O1676" i="5"/>
  <c r="U1676" i="5"/>
  <c r="V1676" i="5" s="1"/>
  <c r="O1407" i="5"/>
  <c r="U1407" i="5"/>
  <c r="V1407" i="5" s="1"/>
  <c r="O1752" i="5"/>
  <c r="U1752" i="5"/>
  <c r="V1752" i="5" s="1"/>
  <c r="O1750" i="5"/>
  <c r="U1750" i="5"/>
  <c r="V1750" i="5" s="1"/>
  <c r="O1414" i="5"/>
  <c r="U1414" i="5"/>
  <c r="V1414" i="5" s="1"/>
  <c r="O1659" i="5"/>
  <c r="U1659" i="5"/>
  <c r="V1659" i="5" s="1"/>
  <c r="O1455" i="5"/>
  <c r="U1455" i="5"/>
  <c r="V1455" i="5" s="1"/>
  <c r="O1476" i="5"/>
  <c r="U1476" i="5"/>
  <c r="V1476" i="5" s="1"/>
  <c r="O1494" i="5"/>
  <c r="U1494" i="5"/>
  <c r="V1494" i="5" s="1"/>
  <c r="O1537" i="5"/>
  <c r="U1537" i="5"/>
  <c r="V1537" i="5" s="1"/>
  <c r="O1570" i="5"/>
  <c r="U1570" i="5"/>
  <c r="V1570" i="5" s="1"/>
  <c r="O1589" i="5"/>
  <c r="U1589" i="5"/>
  <c r="V1589" i="5" s="1"/>
  <c r="O1691" i="5"/>
  <c r="U1691" i="5"/>
  <c r="V1691" i="5" s="1"/>
  <c r="O1709" i="5"/>
  <c r="U1709" i="5"/>
  <c r="V1709" i="5" s="1"/>
  <c r="O1767" i="5"/>
  <c r="U1767" i="5"/>
  <c r="V1767" i="5" s="1"/>
  <c r="O1496" i="5"/>
  <c r="U1496" i="5"/>
  <c r="V1496" i="5" s="1"/>
  <c r="O1448" i="5"/>
  <c r="U1448" i="5"/>
  <c r="V1448" i="5" s="1"/>
  <c r="U1669" i="5"/>
  <c r="V1669" i="5" s="1"/>
  <c r="O1669" i="5"/>
  <c r="O1790" i="5"/>
  <c r="U1790" i="5"/>
  <c r="V1790" i="5" s="1"/>
  <c r="U1756" i="5"/>
  <c r="V1756" i="5" s="1"/>
  <c r="O1756" i="5"/>
  <c r="U1395" i="5"/>
  <c r="V1395" i="5" s="1"/>
  <c r="O1395" i="5"/>
  <c r="O1465" i="5"/>
  <c r="U1465" i="5"/>
  <c r="V1465" i="5" s="1"/>
  <c r="O1516" i="5"/>
  <c r="U1516" i="5"/>
  <c r="V1516" i="5" s="1"/>
  <c r="O1550" i="5"/>
  <c r="U1550" i="5"/>
  <c r="V1550" i="5" s="1"/>
  <c r="U1575" i="5"/>
  <c r="V1575" i="5" s="1"/>
  <c r="O1575" i="5"/>
  <c r="O1698" i="5"/>
  <c r="U1698" i="5"/>
  <c r="V1698" i="5" s="1"/>
  <c r="O1384" i="5"/>
  <c r="U1384" i="5"/>
  <c r="V1384" i="5" s="1"/>
  <c r="O1428" i="5"/>
  <c r="U1428" i="5"/>
  <c r="V1428" i="5" s="1"/>
  <c r="O1501" i="5"/>
  <c r="U1501" i="5"/>
  <c r="V1501" i="5" s="1"/>
  <c r="O1528" i="5"/>
  <c r="U1528" i="5"/>
  <c r="V1528" i="5" s="1"/>
  <c r="O1680" i="5"/>
  <c r="U1680" i="5"/>
  <c r="V1680" i="5" s="1"/>
  <c r="O1717" i="5"/>
  <c r="U1717" i="5"/>
  <c r="V1717" i="5" s="1"/>
  <c r="U1761" i="5"/>
  <c r="V1761" i="5" s="1"/>
  <c r="O1761" i="5"/>
  <c r="O1590" i="5"/>
  <c r="U1590" i="5"/>
  <c r="V1590" i="5" s="1"/>
  <c r="U1673" i="5"/>
  <c r="V1673" i="5" s="1"/>
  <c r="O1673" i="5"/>
  <c r="U1718" i="5"/>
  <c r="V1718" i="5" s="1"/>
  <c r="O1718" i="5"/>
  <c r="O1388" i="5"/>
  <c r="U1388" i="5"/>
  <c r="V1388" i="5" s="1"/>
  <c r="O1616" i="5"/>
  <c r="U1616" i="5"/>
  <c r="V1616" i="5" s="1"/>
  <c r="U1670" i="5"/>
  <c r="V1670" i="5" s="1"/>
  <c r="O1670" i="5"/>
  <c r="P1747" i="5"/>
  <c r="N1747" i="5"/>
  <c r="U1764" i="5"/>
  <c r="V1764" i="5" s="1"/>
  <c r="O1764" i="5"/>
  <c r="O1577" i="5"/>
  <c r="O1553" i="5"/>
  <c r="U1553" i="5"/>
  <c r="V1553" i="5" s="1"/>
  <c r="O1502" i="5"/>
  <c r="U1502" i="5"/>
  <c r="V1502" i="5" s="1"/>
  <c r="O1373" i="5"/>
  <c r="U1373" i="5"/>
  <c r="V1373" i="5" s="1"/>
  <c r="O1552" i="5"/>
  <c r="U1552" i="5"/>
  <c r="V1552" i="5" s="1"/>
  <c r="O1386" i="5"/>
  <c r="U1386" i="5"/>
  <c r="V1386" i="5" s="1"/>
  <c r="O1672" i="5"/>
  <c r="U1672" i="5"/>
  <c r="V1672" i="5" s="1"/>
  <c r="O1684" i="5"/>
  <c r="U1684" i="5"/>
  <c r="V1684" i="5" s="1"/>
  <c r="O1642" i="5"/>
  <c r="U1642" i="5"/>
  <c r="V1642" i="5" s="1"/>
  <c r="O1576" i="5"/>
  <c r="U1576" i="5"/>
  <c r="V1576" i="5" s="1"/>
  <c r="O1609" i="5"/>
  <c r="U1609" i="5"/>
  <c r="V1609" i="5" s="1"/>
  <c r="O1744" i="5"/>
  <c r="U1744" i="5"/>
  <c r="V1744" i="5" s="1"/>
  <c r="O1434" i="5"/>
  <c r="U1434" i="5"/>
  <c r="V1434" i="5" s="1"/>
  <c r="O1495" i="5"/>
  <c r="U1495" i="5"/>
  <c r="V1495" i="5" s="1"/>
  <c r="O1529" i="5"/>
  <c r="U1529" i="5"/>
  <c r="V1529" i="5" s="1"/>
  <c r="O1624" i="5"/>
  <c r="U1624" i="5"/>
  <c r="V1624" i="5" s="1"/>
  <c r="O1640" i="5"/>
  <c r="U1640" i="5"/>
  <c r="V1640" i="5" s="1"/>
  <c r="O1758" i="5"/>
  <c r="U1758" i="5"/>
  <c r="V1758" i="5" s="1"/>
  <c r="O1471" i="5"/>
  <c r="U1471" i="5"/>
  <c r="V1471" i="5" s="1"/>
  <c r="O1617" i="5"/>
  <c r="U1617" i="5"/>
  <c r="V1617" i="5" s="1"/>
  <c r="O1517" i="5"/>
  <c r="U1517" i="5"/>
  <c r="V1517" i="5" s="1"/>
  <c r="O1519" i="5"/>
  <c r="U1519" i="5"/>
  <c r="V1519" i="5" s="1"/>
  <c r="O1729" i="5"/>
  <c r="U1729" i="5"/>
  <c r="V1729" i="5" s="1"/>
  <c r="O1793" i="5"/>
  <c r="U1793" i="5"/>
  <c r="V1793" i="5" s="1"/>
  <c r="O1392" i="5"/>
  <c r="U1392" i="5"/>
  <c r="V1392" i="5" s="1"/>
  <c r="O1470" i="5"/>
  <c r="U1470" i="5"/>
  <c r="V1470" i="5" s="1"/>
  <c r="O1531" i="5"/>
  <c r="U1531" i="5"/>
  <c r="V1531" i="5" s="1"/>
  <c r="O1545" i="5"/>
  <c r="U1545" i="5"/>
  <c r="V1545" i="5" s="1"/>
  <c r="U1592" i="5"/>
  <c r="V1592" i="5" s="1"/>
  <c r="O1592" i="5"/>
  <c r="O1620" i="5"/>
  <c r="U1620" i="5"/>
  <c r="V1620" i="5" s="1"/>
  <c r="O1619" i="5"/>
  <c r="U1619" i="5"/>
  <c r="V1619" i="5" s="1"/>
  <c r="O1706" i="5"/>
  <c r="U1706" i="5"/>
  <c r="V1706" i="5" s="1"/>
  <c r="O1763" i="5"/>
  <c r="U1763" i="5"/>
  <c r="V1763" i="5" s="1"/>
  <c r="O1755" i="5"/>
  <c r="U1755" i="5"/>
  <c r="V1755" i="5" s="1"/>
  <c r="U1782" i="5"/>
  <c r="V1782" i="5" s="1"/>
  <c r="O1782" i="5"/>
  <c r="U1770" i="5"/>
  <c r="V1770" i="5" s="1"/>
  <c r="O1770" i="5"/>
  <c r="O1390" i="5"/>
  <c r="U1390" i="5"/>
  <c r="V1390" i="5" s="1"/>
  <c r="O1447" i="5"/>
  <c r="U1447" i="5"/>
  <c r="V1447" i="5" s="1"/>
  <c r="O1487" i="5"/>
  <c r="U1487" i="5"/>
  <c r="V1487" i="5" s="1"/>
  <c r="O1595" i="5"/>
  <c r="U1595" i="5"/>
  <c r="V1595" i="5" s="1"/>
  <c r="O1522" i="5"/>
  <c r="U1522" i="5"/>
  <c r="V1522" i="5" s="1"/>
  <c r="P1658" i="5"/>
  <c r="N1658" i="5"/>
  <c r="O1748" i="5"/>
  <c r="U1748" i="5"/>
  <c r="V1748" i="5" s="1"/>
  <c r="O1453" i="5"/>
  <c r="U1453" i="5"/>
  <c r="V1453" i="5" s="1"/>
  <c r="O1719" i="5"/>
  <c r="U1719" i="5"/>
  <c r="V1719" i="5" s="1"/>
  <c r="U1492" i="5"/>
  <c r="V1492" i="5" s="1"/>
  <c r="O1492" i="5"/>
  <c r="O1773" i="5"/>
  <c r="U1773" i="5"/>
  <c r="V1773" i="5" s="1"/>
  <c r="O1424" i="5"/>
  <c r="U1424" i="5"/>
  <c r="V1424" i="5" s="1"/>
  <c r="O1614" i="5"/>
  <c r="U1614" i="5"/>
  <c r="V1614" i="5" s="1"/>
  <c r="O1769" i="5"/>
  <c r="U1769" i="5"/>
  <c r="V1769" i="5" s="1"/>
  <c r="O1713" i="5"/>
  <c r="U1713" i="5"/>
  <c r="V1713" i="5" s="1"/>
  <c r="O1792" i="5"/>
  <c r="U1792" i="5"/>
  <c r="V1792" i="5" s="1"/>
  <c r="P1365" i="5"/>
  <c r="N1365" i="5"/>
  <c r="O1364" i="5"/>
  <c r="U1364" i="5"/>
  <c r="V1364" i="5" s="1"/>
  <c r="O1362" i="5"/>
  <c r="U1362" i="5"/>
  <c r="V1362" i="5" s="1"/>
  <c r="O1730" i="5" l="1"/>
  <c r="U1582" i="5"/>
  <c r="V1582" i="5" s="1"/>
  <c r="O1740" i="5"/>
  <c r="O1541" i="5"/>
  <c r="U1749" i="5"/>
  <c r="V1749" i="5" s="1"/>
  <c r="O1597" i="5"/>
  <c r="O1486" i="5"/>
  <c r="O1687" i="5"/>
  <c r="U1601" i="5"/>
  <c r="V1601" i="5" s="1"/>
  <c r="U1401" i="5"/>
  <c r="V1401" i="5" s="1"/>
  <c r="BL28" i="12"/>
  <c r="U1436" i="5"/>
  <c r="V1436" i="5" s="1"/>
  <c r="U1697" i="5"/>
  <c r="V1697" i="5" s="1"/>
  <c r="U1468" i="5"/>
  <c r="V1468" i="5" s="1"/>
  <c r="U1715" i="5"/>
  <c r="V1715" i="5" s="1"/>
  <c r="O1745" i="5"/>
  <c r="U1745" i="5"/>
  <c r="V1745" i="5" s="1"/>
  <c r="O1483" i="5"/>
  <c r="U1483" i="5"/>
  <c r="V1483" i="5" s="1"/>
  <c r="O1798" i="5"/>
  <c r="U1798" i="5"/>
  <c r="V1798" i="5" s="1"/>
  <c r="O1785" i="5"/>
  <c r="U1785" i="5"/>
  <c r="V1785" i="5" s="1"/>
  <c r="O1473" i="5"/>
  <c r="U1473" i="5"/>
  <c r="V1473" i="5" s="1"/>
  <c r="O1603" i="5"/>
  <c r="U1603" i="5"/>
  <c r="V1603" i="5" s="1"/>
  <c r="U1564" i="5"/>
  <c r="V1564" i="5" s="1"/>
  <c r="O1564" i="5"/>
  <c r="O1658" i="5"/>
  <c r="U1658" i="5"/>
  <c r="V1658" i="5" s="1"/>
  <c r="O1747" i="5"/>
  <c r="U1747" i="5"/>
  <c r="V1747" i="5" s="1"/>
  <c r="O1365" i="5"/>
  <c r="U1365" i="5"/>
  <c r="V1365" i="5" s="1"/>
  <c r="B1356" i="5" l="1"/>
  <c r="Q1356" i="5" s="1"/>
  <c r="B1357" i="5"/>
  <c r="Q1357" i="5" s="1"/>
  <c r="B1358" i="5"/>
  <c r="B1359" i="5"/>
  <c r="B1360" i="5"/>
  <c r="M1360" i="5" s="1"/>
  <c r="B1361" i="5"/>
  <c r="M1361" i="5" s="1"/>
  <c r="J1356" i="5"/>
  <c r="J1357" i="5"/>
  <c r="K1357" i="5" s="1"/>
  <c r="J1358" i="5"/>
  <c r="J1359" i="5"/>
  <c r="K1359" i="5" s="1"/>
  <c r="L1359" i="5" s="1"/>
  <c r="P1359" i="5" s="1"/>
  <c r="J1360" i="5"/>
  <c r="J1361" i="5"/>
  <c r="K1361" i="5" s="1"/>
  <c r="L1361" i="5" s="1"/>
  <c r="T1356" i="5"/>
  <c r="T1357" i="5"/>
  <c r="T1358" i="5"/>
  <c r="T1359" i="5"/>
  <c r="T1360" i="5"/>
  <c r="T1361" i="5"/>
  <c r="B1353" i="5"/>
  <c r="Q1353" i="5" s="1"/>
  <c r="B1354" i="5"/>
  <c r="M1354" i="5" s="1"/>
  <c r="B1355" i="5"/>
  <c r="Q1355" i="5" s="1"/>
  <c r="J1353" i="5"/>
  <c r="K1353" i="5" s="1"/>
  <c r="J1354" i="5"/>
  <c r="K1354" i="5" s="1"/>
  <c r="L1354" i="5" s="1"/>
  <c r="P1354" i="5" s="1"/>
  <c r="J1355" i="5"/>
  <c r="K1355" i="5" s="1"/>
  <c r="T1353" i="5"/>
  <c r="T1354" i="5"/>
  <c r="T1355" i="5"/>
  <c r="B1350" i="5"/>
  <c r="B1351" i="5"/>
  <c r="Q1351" i="5" s="1"/>
  <c r="B1352" i="5"/>
  <c r="J1350" i="5"/>
  <c r="K1350" i="5" s="1"/>
  <c r="J1351" i="5"/>
  <c r="J1352" i="5"/>
  <c r="T1350" i="5"/>
  <c r="T1351" i="5"/>
  <c r="T1352" i="5"/>
  <c r="B1346" i="5"/>
  <c r="M1346" i="5" s="1"/>
  <c r="B1347" i="5"/>
  <c r="M1347" i="5" s="1"/>
  <c r="B1348" i="5"/>
  <c r="M1348" i="5" s="1"/>
  <c r="B1349" i="5"/>
  <c r="Q1349" i="5" s="1"/>
  <c r="J1346" i="5"/>
  <c r="K1346" i="5" s="1"/>
  <c r="L1346" i="5" s="1"/>
  <c r="P1346" i="5" s="1"/>
  <c r="J1347" i="5"/>
  <c r="K1347" i="5" s="1"/>
  <c r="J1348" i="5"/>
  <c r="K1348" i="5" s="1"/>
  <c r="L1348" i="5" s="1"/>
  <c r="J1349" i="5"/>
  <c r="K1349" i="5" s="1"/>
  <c r="L1349" i="5" s="1"/>
  <c r="T1346" i="5"/>
  <c r="T1347" i="5"/>
  <c r="T1348" i="5"/>
  <c r="T1349" i="5"/>
  <c r="B1343" i="5"/>
  <c r="M1343" i="5" s="1"/>
  <c r="B1344" i="5"/>
  <c r="M1344" i="5" s="1"/>
  <c r="B1345" i="5"/>
  <c r="J1343" i="5"/>
  <c r="K1343" i="5" s="1"/>
  <c r="J1344" i="5"/>
  <c r="K1344" i="5" s="1"/>
  <c r="J1345" i="5"/>
  <c r="K1345" i="5" s="1"/>
  <c r="L1345" i="5" s="1"/>
  <c r="P1345" i="5" s="1"/>
  <c r="T1343" i="5"/>
  <c r="T1344" i="5"/>
  <c r="T1345" i="5"/>
  <c r="B1340" i="5"/>
  <c r="Q1340" i="5" s="1"/>
  <c r="B1341" i="5"/>
  <c r="Q1341" i="5" s="1"/>
  <c r="B1342" i="5"/>
  <c r="M1342" i="5" s="1"/>
  <c r="J1340" i="5"/>
  <c r="K1340" i="5" s="1"/>
  <c r="L1340" i="5" s="1"/>
  <c r="J1341" i="5"/>
  <c r="K1341" i="5" s="1"/>
  <c r="J1342" i="5"/>
  <c r="T1340" i="5"/>
  <c r="T1341" i="5"/>
  <c r="T1342" i="5"/>
  <c r="B1335" i="5"/>
  <c r="B1336" i="5"/>
  <c r="M1336" i="5" s="1"/>
  <c r="B1337" i="5"/>
  <c r="M1337" i="5" s="1"/>
  <c r="B1338" i="5"/>
  <c r="B1339" i="5"/>
  <c r="J1335" i="5"/>
  <c r="J1336" i="5"/>
  <c r="K1336" i="5" s="1"/>
  <c r="L1336" i="5" s="1"/>
  <c r="J1337" i="5"/>
  <c r="K1337" i="5" s="1"/>
  <c r="L1337" i="5" s="1"/>
  <c r="J1338" i="5"/>
  <c r="J1339" i="5"/>
  <c r="K1339" i="5" s="1"/>
  <c r="T1335" i="5"/>
  <c r="T1336" i="5"/>
  <c r="T1337" i="5"/>
  <c r="T1338" i="5"/>
  <c r="T1339" i="5"/>
  <c r="B1328" i="5"/>
  <c r="Q1328" i="5" s="1"/>
  <c r="B1329" i="5"/>
  <c r="M1329" i="5" s="1"/>
  <c r="B1330" i="5"/>
  <c r="Q1330" i="5" s="1"/>
  <c r="B1331" i="5"/>
  <c r="B1332" i="5"/>
  <c r="M1332" i="5" s="1"/>
  <c r="B1333" i="5"/>
  <c r="B1334" i="5"/>
  <c r="M1334" i="5" s="1"/>
  <c r="J1328" i="5"/>
  <c r="J1329" i="5"/>
  <c r="K1329" i="5" s="1"/>
  <c r="J1330" i="5"/>
  <c r="K1330" i="5" s="1"/>
  <c r="L1330" i="5" s="1"/>
  <c r="J1331" i="5"/>
  <c r="K1331" i="5" s="1"/>
  <c r="L1331" i="5" s="1"/>
  <c r="J1332" i="5"/>
  <c r="J1333" i="5"/>
  <c r="K1333" i="5" s="1"/>
  <c r="J1334" i="5"/>
  <c r="K1334" i="5" s="1"/>
  <c r="L1334" i="5" s="1"/>
  <c r="T1328" i="5"/>
  <c r="T1329" i="5"/>
  <c r="T1330" i="5"/>
  <c r="T1331" i="5"/>
  <c r="T1332" i="5"/>
  <c r="T1333" i="5"/>
  <c r="T1334" i="5"/>
  <c r="B1326" i="5"/>
  <c r="Q1326" i="5" s="1"/>
  <c r="B1327" i="5"/>
  <c r="Q1327" i="5" s="1"/>
  <c r="J1326" i="5"/>
  <c r="K1326" i="5" s="1"/>
  <c r="L1326" i="5" s="1"/>
  <c r="J1327" i="5"/>
  <c r="K1327" i="5" s="1"/>
  <c r="T1326" i="5"/>
  <c r="T1327" i="5"/>
  <c r="B1324" i="5"/>
  <c r="M1324" i="5" s="1"/>
  <c r="B1325" i="5"/>
  <c r="M1325" i="5" s="1"/>
  <c r="J1324" i="5"/>
  <c r="K1324" i="5" s="1"/>
  <c r="J1325" i="5"/>
  <c r="T1324" i="5"/>
  <c r="T1325" i="5"/>
  <c r="B1321" i="5"/>
  <c r="M1321" i="5" s="1"/>
  <c r="B1322" i="5"/>
  <c r="M1322" i="5" s="1"/>
  <c r="B1323" i="5"/>
  <c r="J1321" i="5"/>
  <c r="K1321" i="5" s="1"/>
  <c r="L1321" i="5" s="1"/>
  <c r="P1321" i="5" s="1"/>
  <c r="J1322" i="5"/>
  <c r="K1322" i="5" s="1"/>
  <c r="L1322" i="5" s="1"/>
  <c r="J1323" i="5"/>
  <c r="K1323" i="5" s="1"/>
  <c r="L1323" i="5" s="1"/>
  <c r="T1321" i="5"/>
  <c r="T1322" i="5"/>
  <c r="T1323" i="5"/>
  <c r="B1316" i="5"/>
  <c r="Q1316" i="5" s="1"/>
  <c r="B1317" i="5"/>
  <c r="M1317" i="5" s="1"/>
  <c r="B1318" i="5"/>
  <c r="B1319" i="5"/>
  <c r="B1320" i="5"/>
  <c r="Q1320" i="5" s="1"/>
  <c r="J1316" i="5"/>
  <c r="J1317" i="5"/>
  <c r="K1317" i="5" s="1"/>
  <c r="J1318" i="5"/>
  <c r="K1318" i="5" s="1"/>
  <c r="J1319" i="5"/>
  <c r="K1319" i="5" s="1"/>
  <c r="J1320" i="5"/>
  <c r="T1316" i="5"/>
  <c r="T1317" i="5"/>
  <c r="T1318" i="5"/>
  <c r="T1319" i="5"/>
  <c r="T1320" i="5"/>
  <c r="B1312" i="5"/>
  <c r="Q1312" i="5" s="1"/>
  <c r="B1313" i="5"/>
  <c r="M1313" i="5" s="1"/>
  <c r="B1314" i="5"/>
  <c r="Q1314" i="5" s="1"/>
  <c r="B1315" i="5"/>
  <c r="Q1315" i="5" s="1"/>
  <c r="J1312" i="5"/>
  <c r="K1312" i="5" s="1"/>
  <c r="J1313" i="5"/>
  <c r="J1314" i="5"/>
  <c r="K1314" i="5" s="1"/>
  <c r="J1315" i="5"/>
  <c r="K1315" i="5" s="1"/>
  <c r="T1312" i="5"/>
  <c r="T1313" i="5"/>
  <c r="T1314" i="5"/>
  <c r="T1315" i="5"/>
  <c r="B1310" i="5"/>
  <c r="M1310" i="5" s="1"/>
  <c r="B1311" i="5"/>
  <c r="Q1311" i="5" s="1"/>
  <c r="J1310" i="5"/>
  <c r="J1311" i="5"/>
  <c r="K1311" i="5" s="1"/>
  <c r="T1310" i="5"/>
  <c r="T1311" i="5"/>
  <c r="B1307" i="5"/>
  <c r="Q1307" i="5" s="1"/>
  <c r="B1308" i="5"/>
  <c r="Q1308" i="5" s="1"/>
  <c r="B1309" i="5"/>
  <c r="Q1309" i="5" s="1"/>
  <c r="J1307" i="5"/>
  <c r="K1307" i="5" s="1"/>
  <c r="J1308" i="5"/>
  <c r="K1308" i="5" s="1"/>
  <c r="L1308" i="5" s="1"/>
  <c r="J1309" i="5"/>
  <c r="K1309" i="5" s="1"/>
  <c r="T1307" i="5"/>
  <c r="T1308" i="5"/>
  <c r="T1309" i="5"/>
  <c r="B1302" i="5"/>
  <c r="M1302" i="5" s="1"/>
  <c r="B1303" i="5"/>
  <c r="M1303" i="5" s="1"/>
  <c r="B1304" i="5"/>
  <c r="B1305" i="5"/>
  <c r="B1306" i="5"/>
  <c r="M1306" i="5" s="1"/>
  <c r="J1302" i="5"/>
  <c r="K1302" i="5" s="1"/>
  <c r="L1302" i="5" s="1"/>
  <c r="J1303" i="5"/>
  <c r="J1304" i="5"/>
  <c r="K1304" i="5" s="1"/>
  <c r="J1305" i="5"/>
  <c r="K1305" i="5" s="1"/>
  <c r="J1306" i="5"/>
  <c r="K1306" i="5" s="1"/>
  <c r="L1306" i="5" s="1"/>
  <c r="T1302" i="5"/>
  <c r="T1303" i="5"/>
  <c r="T1304" i="5"/>
  <c r="T1305" i="5"/>
  <c r="T1306" i="5"/>
  <c r="B1297" i="5"/>
  <c r="Q1297" i="5" s="1"/>
  <c r="B1298" i="5"/>
  <c r="Q1298" i="5" s="1"/>
  <c r="B1299" i="5"/>
  <c r="B1300" i="5"/>
  <c r="M1300" i="5" s="1"/>
  <c r="B1301" i="5"/>
  <c r="M1301" i="5" s="1"/>
  <c r="J1297" i="5"/>
  <c r="K1297" i="5" s="1"/>
  <c r="L1297" i="5" s="1"/>
  <c r="J1298" i="5"/>
  <c r="J1299" i="5"/>
  <c r="K1299" i="5" s="1"/>
  <c r="J1300" i="5"/>
  <c r="K1300" i="5" s="1"/>
  <c r="J1301" i="5"/>
  <c r="K1301" i="5" s="1"/>
  <c r="L1301" i="5" s="1"/>
  <c r="T1297" i="5"/>
  <c r="T1298" i="5"/>
  <c r="T1299" i="5"/>
  <c r="T1300" i="5"/>
  <c r="T1301" i="5"/>
  <c r="B1293" i="5"/>
  <c r="B1294" i="5"/>
  <c r="M1294" i="5" s="1"/>
  <c r="B1295" i="5"/>
  <c r="B1296" i="5"/>
  <c r="Q1296" i="5" s="1"/>
  <c r="J1293" i="5"/>
  <c r="K1293" i="5" s="1"/>
  <c r="L1293" i="5" s="1"/>
  <c r="P1293" i="5" s="1"/>
  <c r="J1294" i="5"/>
  <c r="K1294" i="5" s="1"/>
  <c r="J1295" i="5"/>
  <c r="J1296" i="5"/>
  <c r="K1296" i="5" s="1"/>
  <c r="T1293" i="5"/>
  <c r="T1294" i="5"/>
  <c r="T1295" i="5"/>
  <c r="T1296" i="5"/>
  <c r="B1285" i="5"/>
  <c r="M1285" i="5" s="1"/>
  <c r="B1286" i="5"/>
  <c r="M1286" i="5" s="1"/>
  <c r="B1287" i="5"/>
  <c r="M1287" i="5" s="1"/>
  <c r="B1288" i="5"/>
  <c r="M1288" i="5" s="1"/>
  <c r="B1289" i="5"/>
  <c r="B1290" i="5"/>
  <c r="M1290" i="5" s="1"/>
  <c r="B1291" i="5"/>
  <c r="B1292" i="5"/>
  <c r="M1292" i="5" s="1"/>
  <c r="J1285" i="5"/>
  <c r="K1285" i="5" s="1"/>
  <c r="J1286" i="5"/>
  <c r="K1286" i="5" s="1"/>
  <c r="J1287" i="5"/>
  <c r="J1288" i="5"/>
  <c r="K1288" i="5" s="1"/>
  <c r="J1289" i="5"/>
  <c r="K1289" i="5" s="1"/>
  <c r="J1290" i="5"/>
  <c r="K1290" i="5" s="1"/>
  <c r="J1291" i="5"/>
  <c r="J1292" i="5"/>
  <c r="K1292" i="5" s="1"/>
  <c r="T1285" i="5"/>
  <c r="T1286" i="5"/>
  <c r="T1287" i="5"/>
  <c r="T1288" i="5"/>
  <c r="T1289" i="5"/>
  <c r="T1290" i="5"/>
  <c r="T1291" i="5"/>
  <c r="T1292" i="5"/>
  <c r="B1282" i="5"/>
  <c r="Q1282" i="5" s="1"/>
  <c r="B1283" i="5"/>
  <c r="B1284" i="5"/>
  <c r="Q1284" i="5" s="1"/>
  <c r="J1282" i="5"/>
  <c r="K1282" i="5" s="1"/>
  <c r="L1282" i="5" s="1"/>
  <c r="J1283" i="5"/>
  <c r="K1283" i="5" s="1"/>
  <c r="J1284" i="5"/>
  <c r="K1284" i="5" s="1"/>
  <c r="T1282" i="5"/>
  <c r="T1283" i="5"/>
  <c r="T1284" i="5"/>
  <c r="B1276" i="5"/>
  <c r="M1276" i="5" s="1"/>
  <c r="B1277" i="5"/>
  <c r="M1277" i="5" s="1"/>
  <c r="B1278" i="5"/>
  <c r="M1278" i="5" s="1"/>
  <c r="B1279" i="5"/>
  <c r="M1279" i="5" s="1"/>
  <c r="B1280" i="5"/>
  <c r="B1281" i="5"/>
  <c r="Q1281" i="5" s="1"/>
  <c r="J1276" i="5"/>
  <c r="K1276" i="5" s="1"/>
  <c r="J1277" i="5"/>
  <c r="K1277" i="5" s="1"/>
  <c r="J1278" i="5"/>
  <c r="K1278" i="5" s="1"/>
  <c r="J1279" i="5"/>
  <c r="K1279" i="5" s="1"/>
  <c r="J1280" i="5"/>
  <c r="K1280" i="5" s="1"/>
  <c r="J1281" i="5"/>
  <c r="K1281" i="5" s="1"/>
  <c r="T1276" i="5"/>
  <c r="T1277" i="5"/>
  <c r="T1278" i="5"/>
  <c r="T1279" i="5"/>
  <c r="T1280" i="5"/>
  <c r="T1281" i="5"/>
  <c r="B1273" i="5"/>
  <c r="Q1273" i="5" s="1"/>
  <c r="B1274" i="5"/>
  <c r="B1275" i="5"/>
  <c r="Q1275" i="5" s="1"/>
  <c r="J1273" i="5"/>
  <c r="J1274" i="5"/>
  <c r="J1275" i="5"/>
  <c r="K1275" i="5" s="1"/>
  <c r="L1275" i="5" s="1"/>
  <c r="T1273" i="5"/>
  <c r="T1274" i="5"/>
  <c r="T1275" i="5"/>
  <c r="B1268" i="5"/>
  <c r="Q1268" i="5" s="1"/>
  <c r="B1269" i="5"/>
  <c r="B1270" i="5"/>
  <c r="Q1270" i="5" s="1"/>
  <c r="B1271" i="5"/>
  <c r="Q1271" i="5" s="1"/>
  <c r="B1272" i="5"/>
  <c r="Q1272" i="5" s="1"/>
  <c r="J1268" i="5"/>
  <c r="K1268" i="5" s="1"/>
  <c r="L1268" i="5" s="1"/>
  <c r="J1269" i="5"/>
  <c r="J1270" i="5"/>
  <c r="K1270" i="5" s="1"/>
  <c r="L1270" i="5" s="1"/>
  <c r="J1271" i="5"/>
  <c r="J1272" i="5"/>
  <c r="T1268" i="5"/>
  <c r="T1269" i="5"/>
  <c r="T1270" i="5"/>
  <c r="T1271" i="5"/>
  <c r="T1272" i="5"/>
  <c r="B1265" i="5"/>
  <c r="Q1265" i="5" s="1"/>
  <c r="B1266" i="5"/>
  <c r="Q1266" i="5" s="1"/>
  <c r="B1267" i="5"/>
  <c r="J1265" i="5"/>
  <c r="K1265" i="5" s="1"/>
  <c r="J1266" i="5"/>
  <c r="K1266" i="5" s="1"/>
  <c r="J1267" i="5"/>
  <c r="K1267" i="5" s="1"/>
  <c r="T1265" i="5"/>
  <c r="T1266" i="5"/>
  <c r="T1267" i="5"/>
  <c r="B1263" i="5"/>
  <c r="Q1263" i="5" s="1"/>
  <c r="B1264" i="5"/>
  <c r="J1263" i="5"/>
  <c r="K1263" i="5" s="1"/>
  <c r="L1263" i="5" s="1"/>
  <c r="J1264" i="5"/>
  <c r="T1263" i="5"/>
  <c r="T1264" i="5"/>
  <c r="B1258" i="5"/>
  <c r="M1258" i="5" s="1"/>
  <c r="B1259" i="5"/>
  <c r="Q1259" i="5" s="1"/>
  <c r="B1260" i="5"/>
  <c r="B1261" i="5"/>
  <c r="Q1261" i="5" s="1"/>
  <c r="B1262" i="5"/>
  <c r="J1258" i="5"/>
  <c r="J1259" i="5"/>
  <c r="K1259" i="5" s="1"/>
  <c r="J1260" i="5"/>
  <c r="K1260" i="5" s="1"/>
  <c r="L1260" i="5" s="1"/>
  <c r="J1261" i="5"/>
  <c r="K1261" i="5" s="1"/>
  <c r="J1262" i="5"/>
  <c r="K1262" i="5" s="1"/>
  <c r="L1262" i="5" s="1"/>
  <c r="P1262" i="5" s="1"/>
  <c r="T1258" i="5"/>
  <c r="T1259" i="5"/>
  <c r="T1260" i="5"/>
  <c r="T1261" i="5"/>
  <c r="T1262" i="5"/>
  <c r="B1254" i="5"/>
  <c r="B1255" i="5"/>
  <c r="M1255" i="5" s="1"/>
  <c r="B1256" i="5"/>
  <c r="Q1256" i="5" s="1"/>
  <c r="B1257" i="5"/>
  <c r="J1254" i="5"/>
  <c r="J1255" i="5"/>
  <c r="K1255" i="5" s="1"/>
  <c r="J1256" i="5"/>
  <c r="K1256" i="5" s="1"/>
  <c r="L1256" i="5" s="1"/>
  <c r="J1257" i="5"/>
  <c r="T1254" i="5"/>
  <c r="T1255" i="5"/>
  <c r="T1256" i="5"/>
  <c r="T1257" i="5"/>
  <c r="B1250" i="5"/>
  <c r="M1250" i="5" s="1"/>
  <c r="B1251" i="5"/>
  <c r="Q1251" i="5" s="1"/>
  <c r="B1252" i="5"/>
  <c r="Q1252" i="5" s="1"/>
  <c r="B1253" i="5"/>
  <c r="J1250" i="5"/>
  <c r="K1250" i="5" s="1"/>
  <c r="L1250" i="5" s="1"/>
  <c r="J1251" i="5"/>
  <c r="J1252" i="5"/>
  <c r="J1253" i="5"/>
  <c r="K1253" i="5" s="1"/>
  <c r="T1250" i="5"/>
  <c r="T1251" i="5"/>
  <c r="T1252" i="5"/>
  <c r="T1253" i="5"/>
  <c r="B1248" i="5"/>
  <c r="M1248" i="5" s="1"/>
  <c r="B1249" i="5"/>
  <c r="J1248" i="5"/>
  <c r="K1248" i="5" s="1"/>
  <c r="L1248" i="5" s="1"/>
  <c r="J1249" i="5"/>
  <c r="T1248" i="5"/>
  <c r="T1249" i="5"/>
  <c r="B1244" i="5"/>
  <c r="Q1244" i="5" s="1"/>
  <c r="B1245" i="5"/>
  <c r="M1245" i="5" s="1"/>
  <c r="B1246" i="5"/>
  <c r="Q1246" i="5" s="1"/>
  <c r="B1247" i="5"/>
  <c r="J1244" i="5"/>
  <c r="K1244" i="5" s="1"/>
  <c r="L1244" i="5" s="1"/>
  <c r="J1245" i="5"/>
  <c r="J1246" i="5"/>
  <c r="J1247" i="5"/>
  <c r="T1244" i="5"/>
  <c r="T1245" i="5"/>
  <c r="T1246" i="5"/>
  <c r="T1247" i="5"/>
  <c r="B1242" i="5"/>
  <c r="Q1242" i="5" s="1"/>
  <c r="B1243" i="5"/>
  <c r="J1242" i="5"/>
  <c r="K1242" i="5" s="1"/>
  <c r="L1242" i="5" s="1"/>
  <c r="J1243" i="5"/>
  <c r="T1242" i="5"/>
  <c r="T1243" i="5"/>
  <c r="B1238" i="5"/>
  <c r="Q1238" i="5" s="1"/>
  <c r="B1239" i="5"/>
  <c r="Q1239" i="5" s="1"/>
  <c r="B1240" i="5"/>
  <c r="M1240" i="5" s="1"/>
  <c r="B1241" i="5"/>
  <c r="M1241" i="5" s="1"/>
  <c r="J1238" i="5"/>
  <c r="K1238" i="5" s="1"/>
  <c r="L1238" i="5" s="1"/>
  <c r="J1239" i="5"/>
  <c r="J1240" i="5"/>
  <c r="J1241" i="5"/>
  <c r="T1238" i="5"/>
  <c r="T1239" i="5"/>
  <c r="T1240" i="5"/>
  <c r="T1241" i="5"/>
  <c r="B1237" i="5"/>
  <c r="Q1237" i="5" s="1"/>
  <c r="J1237" i="5"/>
  <c r="K1237" i="5" s="1"/>
  <c r="T1237" i="5"/>
  <c r="B1235" i="5"/>
  <c r="M1235" i="5" s="1"/>
  <c r="B1236" i="5"/>
  <c r="J1235" i="5"/>
  <c r="K1235" i="5" s="1"/>
  <c r="J1236" i="5"/>
  <c r="K1236" i="5" s="1"/>
  <c r="T1235" i="5"/>
  <c r="T1236" i="5"/>
  <c r="B1234" i="5"/>
  <c r="M1234" i="5" s="1"/>
  <c r="J1234" i="5"/>
  <c r="T1234" i="5"/>
  <c r="B1233" i="5"/>
  <c r="M1233" i="5" s="1"/>
  <c r="J1233" i="5"/>
  <c r="K1233" i="5" s="1"/>
  <c r="T1233" i="5"/>
  <c r="B1232" i="5"/>
  <c r="Q1232" i="5" s="1"/>
  <c r="J1232" i="5"/>
  <c r="K1232" i="5" s="1"/>
  <c r="T1232" i="5"/>
  <c r="B1226" i="5"/>
  <c r="M1226" i="5" s="1"/>
  <c r="B1227" i="5"/>
  <c r="M1227" i="5" s="1"/>
  <c r="B1228" i="5"/>
  <c r="B1229" i="5"/>
  <c r="Q1229" i="5" s="1"/>
  <c r="B1230" i="5"/>
  <c r="Q1230" i="5" s="1"/>
  <c r="B1231" i="5"/>
  <c r="Q1231" i="5" s="1"/>
  <c r="J1226" i="5"/>
  <c r="K1226" i="5" s="1"/>
  <c r="L1226" i="5" s="1"/>
  <c r="P1226" i="5" s="1"/>
  <c r="J1227" i="5"/>
  <c r="K1227" i="5" s="1"/>
  <c r="L1227" i="5" s="1"/>
  <c r="J1228" i="5"/>
  <c r="K1228" i="5" s="1"/>
  <c r="J1229" i="5"/>
  <c r="J1230" i="5"/>
  <c r="K1230" i="5" s="1"/>
  <c r="L1230" i="5" s="1"/>
  <c r="J1231" i="5"/>
  <c r="K1231" i="5" s="1"/>
  <c r="T1226" i="5"/>
  <c r="T1227" i="5"/>
  <c r="T1228" i="5"/>
  <c r="T1229" i="5"/>
  <c r="T1230" i="5"/>
  <c r="T1231" i="5"/>
  <c r="B1220" i="5"/>
  <c r="M1220" i="5" s="1"/>
  <c r="B1221" i="5"/>
  <c r="M1221" i="5" s="1"/>
  <c r="B1222" i="5"/>
  <c r="B1223" i="5"/>
  <c r="M1223" i="5" s="1"/>
  <c r="B1224" i="5"/>
  <c r="M1224" i="5" s="1"/>
  <c r="B1225" i="5"/>
  <c r="Q1225" i="5" s="1"/>
  <c r="J1220" i="5"/>
  <c r="K1220" i="5" s="1"/>
  <c r="J1221" i="5"/>
  <c r="K1221" i="5" s="1"/>
  <c r="J1222" i="5"/>
  <c r="K1222" i="5" s="1"/>
  <c r="L1222" i="5" s="1"/>
  <c r="P1222" i="5" s="1"/>
  <c r="J1223" i="5"/>
  <c r="K1223" i="5" s="1"/>
  <c r="J1224" i="5"/>
  <c r="K1224" i="5" s="1"/>
  <c r="J1225" i="5"/>
  <c r="K1225" i="5" s="1"/>
  <c r="T1220" i="5"/>
  <c r="T1221" i="5"/>
  <c r="T1222" i="5"/>
  <c r="T1223" i="5"/>
  <c r="T1224" i="5"/>
  <c r="T1225" i="5"/>
  <c r="B1214" i="5"/>
  <c r="M1214" i="5" s="1"/>
  <c r="B1215" i="5"/>
  <c r="M1215" i="5" s="1"/>
  <c r="B1216" i="5"/>
  <c r="B1217" i="5"/>
  <c r="Q1217" i="5" s="1"/>
  <c r="B1218" i="5"/>
  <c r="Q1218" i="5" s="1"/>
  <c r="B1219" i="5"/>
  <c r="Q1219" i="5" s="1"/>
  <c r="J1214" i="5"/>
  <c r="K1214" i="5" s="1"/>
  <c r="J1215" i="5"/>
  <c r="J1216" i="5"/>
  <c r="K1216" i="5" s="1"/>
  <c r="J1217" i="5"/>
  <c r="K1217" i="5" s="1"/>
  <c r="J1218" i="5"/>
  <c r="K1218" i="5" s="1"/>
  <c r="L1218" i="5" s="1"/>
  <c r="J1219" i="5"/>
  <c r="K1219" i="5" s="1"/>
  <c r="T1214" i="5"/>
  <c r="T1215" i="5"/>
  <c r="T1216" i="5"/>
  <c r="T1217" i="5"/>
  <c r="T1218" i="5"/>
  <c r="T1219" i="5"/>
  <c r="B1208" i="5"/>
  <c r="M1208" i="5" s="1"/>
  <c r="B1209" i="5"/>
  <c r="Q1209" i="5" s="1"/>
  <c r="B1210" i="5"/>
  <c r="B1211" i="5"/>
  <c r="M1211" i="5" s="1"/>
  <c r="B1212" i="5"/>
  <c r="M1212" i="5" s="1"/>
  <c r="B1213" i="5"/>
  <c r="Q1213" i="5" s="1"/>
  <c r="J1208" i="5"/>
  <c r="K1208" i="5" s="1"/>
  <c r="J1209" i="5"/>
  <c r="K1209" i="5" s="1"/>
  <c r="J1210" i="5"/>
  <c r="K1210" i="5" s="1"/>
  <c r="L1210" i="5" s="1"/>
  <c r="J1211" i="5"/>
  <c r="K1211" i="5" s="1"/>
  <c r="L1211" i="5" s="1"/>
  <c r="J1212" i="5"/>
  <c r="K1212" i="5" s="1"/>
  <c r="J1213" i="5"/>
  <c r="T1208" i="5"/>
  <c r="T1209" i="5"/>
  <c r="T1210" i="5"/>
  <c r="T1211" i="5"/>
  <c r="T1212" i="5"/>
  <c r="T1213" i="5"/>
  <c r="B1207" i="5"/>
  <c r="J1207" i="5"/>
  <c r="K1207" i="5" s="1"/>
  <c r="T1207" i="5"/>
  <c r="B1203" i="5"/>
  <c r="M1203" i="5" s="1"/>
  <c r="B1204" i="5"/>
  <c r="B1205" i="5"/>
  <c r="Q1205" i="5" s="1"/>
  <c r="B1206" i="5"/>
  <c r="Q1206" i="5" s="1"/>
  <c r="J1203" i="5"/>
  <c r="J1204" i="5"/>
  <c r="J1205" i="5"/>
  <c r="K1205" i="5" s="1"/>
  <c r="J1206" i="5"/>
  <c r="K1206" i="5" s="1"/>
  <c r="L1206" i="5" s="1"/>
  <c r="T1203" i="5"/>
  <c r="T1204" i="5"/>
  <c r="T1205" i="5"/>
  <c r="T1206" i="5"/>
  <c r="B1202" i="5"/>
  <c r="M1202" i="5" s="1"/>
  <c r="J1202" i="5"/>
  <c r="K1202" i="5" s="1"/>
  <c r="T1202" i="5"/>
  <c r="B1200" i="5"/>
  <c r="M1200" i="5" s="1"/>
  <c r="B1201" i="5"/>
  <c r="M1201" i="5" s="1"/>
  <c r="J1200" i="5"/>
  <c r="K1200" i="5" s="1"/>
  <c r="J1201" i="5"/>
  <c r="T1200" i="5"/>
  <c r="T1201" i="5"/>
  <c r="B1199" i="5"/>
  <c r="M1199" i="5" s="1"/>
  <c r="J1199" i="5"/>
  <c r="K1199" i="5" s="1"/>
  <c r="T1199" i="5"/>
  <c r="B1198" i="5"/>
  <c r="M1198" i="5" s="1"/>
  <c r="J1198" i="5"/>
  <c r="T1198" i="5"/>
  <c r="B1194" i="5"/>
  <c r="M1194" i="5" s="1"/>
  <c r="B1195" i="5"/>
  <c r="Q1195" i="5" s="1"/>
  <c r="B1196" i="5"/>
  <c r="Q1196" i="5" s="1"/>
  <c r="B1197" i="5"/>
  <c r="Q1197" i="5" s="1"/>
  <c r="J1194" i="5"/>
  <c r="J1195" i="5"/>
  <c r="J1196" i="5"/>
  <c r="K1196" i="5" s="1"/>
  <c r="J1197" i="5"/>
  <c r="K1197" i="5" s="1"/>
  <c r="T1194" i="5"/>
  <c r="T1195" i="5"/>
  <c r="T1196" i="5"/>
  <c r="T1197" i="5"/>
  <c r="B1191" i="5"/>
  <c r="Q1191" i="5" s="1"/>
  <c r="B1192" i="5"/>
  <c r="Q1192" i="5" s="1"/>
  <c r="B1193" i="5"/>
  <c r="Q1193" i="5" s="1"/>
  <c r="J1191" i="5"/>
  <c r="J1192" i="5"/>
  <c r="K1192" i="5" s="1"/>
  <c r="L1192" i="5" s="1"/>
  <c r="J1193" i="5"/>
  <c r="K1193" i="5" s="1"/>
  <c r="T1191" i="5"/>
  <c r="T1192" i="5"/>
  <c r="T1193" i="5"/>
  <c r="B1188" i="5"/>
  <c r="Q1188" i="5" s="1"/>
  <c r="B1189" i="5"/>
  <c r="B1190" i="5"/>
  <c r="Q1190" i="5" s="1"/>
  <c r="J1188" i="5"/>
  <c r="K1188" i="5" s="1"/>
  <c r="J1189" i="5"/>
  <c r="K1189" i="5" s="1"/>
  <c r="L1189" i="5" s="1"/>
  <c r="J1190" i="5"/>
  <c r="K1190" i="5" s="1"/>
  <c r="T1188" i="5"/>
  <c r="T1189" i="5"/>
  <c r="T1190" i="5"/>
  <c r="B1184" i="5"/>
  <c r="Q1184" i="5" s="1"/>
  <c r="B1185" i="5"/>
  <c r="Q1185" i="5" s="1"/>
  <c r="B1186" i="5"/>
  <c r="Q1186" i="5" s="1"/>
  <c r="B1187" i="5"/>
  <c r="J1184" i="5"/>
  <c r="K1184" i="5" s="1"/>
  <c r="J1185" i="5"/>
  <c r="K1185" i="5" s="1"/>
  <c r="J1186" i="5"/>
  <c r="K1186" i="5" s="1"/>
  <c r="J1187" i="5"/>
  <c r="K1187" i="5" s="1"/>
  <c r="L1187" i="5" s="1"/>
  <c r="T1184" i="5"/>
  <c r="T1185" i="5"/>
  <c r="T1186" i="5"/>
  <c r="T1187" i="5"/>
  <c r="B1182" i="5"/>
  <c r="M1182" i="5" s="1"/>
  <c r="B1183" i="5"/>
  <c r="Q1183" i="5" s="1"/>
  <c r="J1182" i="5"/>
  <c r="K1182" i="5" s="1"/>
  <c r="L1182" i="5" s="1"/>
  <c r="J1183" i="5"/>
  <c r="K1183" i="5" s="1"/>
  <c r="L1183" i="5" s="1"/>
  <c r="T1182" i="5"/>
  <c r="T1183" i="5"/>
  <c r="B1179" i="5"/>
  <c r="M1179" i="5" s="1"/>
  <c r="B1180" i="5"/>
  <c r="Q1180" i="5" s="1"/>
  <c r="B1181" i="5"/>
  <c r="J1179" i="5"/>
  <c r="J1180" i="5"/>
  <c r="K1180" i="5" s="1"/>
  <c r="J1181" i="5"/>
  <c r="K1181" i="5" s="1"/>
  <c r="T1179" i="5"/>
  <c r="T1180" i="5"/>
  <c r="T1181" i="5"/>
  <c r="B1175" i="5"/>
  <c r="M1175" i="5" s="1"/>
  <c r="B1176" i="5"/>
  <c r="M1176" i="5" s="1"/>
  <c r="B1177" i="5"/>
  <c r="M1177" i="5" s="1"/>
  <c r="B1178" i="5"/>
  <c r="J1175" i="5"/>
  <c r="K1175" i="5" s="1"/>
  <c r="J1176" i="5"/>
  <c r="K1176" i="5" s="1"/>
  <c r="L1176" i="5" s="1"/>
  <c r="J1177" i="5"/>
  <c r="K1177" i="5" s="1"/>
  <c r="J1178" i="5"/>
  <c r="T1175" i="5"/>
  <c r="T1176" i="5"/>
  <c r="T1177" i="5"/>
  <c r="T1178" i="5"/>
  <c r="B1171" i="5"/>
  <c r="Q1171" i="5" s="1"/>
  <c r="B1172" i="5"/>
  <c r="M1172" i="5" s="1"/>
  <c r="B1173" i="5"/>
  <c r="M1173" i="5" s="1"/>
  <c r="B1174" i="5"/>
  <c r="Q1174" i="5" s="1"/>
  <c r="J1171" i="5"/>
  <c r="J1172" i="5"/>
  <c r="K1172" i="5" s="1"/>
  <c r="J1173" i="5"/>
  <c r="K1173" i="5" s="1"/>
  <c r="J1174" i="5"/>
  <c r="K1174" i="5" s="1"/>
  <c r="T1171" i="5"/>
  <c r="T1172" i="5"/>
  <c r="T1173" i="5"/>
  <c r="T1174" i="5"/>
  <c r="B1169" i="5"/>
  <c r="M1169" i="5" s="1"/>
  <c r="B1170" i="5"/>
  <c r="M1170" i="5" s="1"/>
  <c r="J1169" i="5"/>
  <c r="K1169" i="5" s="1"/>
  <c r="J1170" i="5"/>
  <c r="K1170" i="5" s="1"/>
  <c r="T1169" i="5"/>
  <c r="T1170" i="5"/>
  <c r="B1166" i="5"/>
  <c r="M1166" i="5" s="1"/>
  <c r="B1167" i="5"/>
  <c r="M1167" i="5" s="1"/>
  <c r="B1168" i="5"/>
  <c r="M1168" i="5" s="1"/>
  <c r="J1166" i="5"/>
  <c r="K1166" i="5" s="1"/>
  <c r="J1167" i="5"/>
  <c r="K1167" i="5" s="1"/>
  <c r="J1168" i="5"/>
  <c r="K1168" i="5" s="1"/>
  <c r="T1166" i="5"/>
  <c r="T1167" i="5"/>
  <c r="T1168" i="5"/>
  <c r="B1164" i="5"/>
  <c r="M1164" i="5" s="1"/>
  <c r="B1165" i="5"/>
  <c r="Q1165" i="5" s="1"/>
  <c r="J1164" i="5"/>
  <c r="K1164" i="5" s="1"/>
  <c r="J1165" i="5"/>
  <c r="K1165" i="5" s="1"/>
  <c r="L1165" i="5" s="1"/>
  <c r="T1164" i="5"/>
  <c r="T1165" i="5"/>
  <c r="B1162" i="5"/>
  <c r="M1162" i="5" s="1"/>
  <c r="B1163" i="5"/>
  <c r="Q1163" i="5" s="1"/>
  <c r="J1162" i="5"/>
  <c r="K1162" i="5" s="1"/>
  <c r="L1162" i="5" s="1"/>
  <c r="J1163" i="5"/>
  <c r="T1162" i="5"/>
  <c r="T1163" i="5"/>
  <c r="B1161" i="5"/>
  <c r="Q1161" i="5" s="1"/>
  <c r="J1161" i="5"/>
  <c r="K1161" i="5" s="1"/>
  <c r="T1161" i="5"/>
  <c r="B1158" i="5"/>
  <c r="Q1158" i="5" s="1"/>
  <c r="B1159" i="5"/>
  <c r="Q1159" i="5" s="1"/>
  <c r="B1160" i="5"/>
  <c r="M1160" i="5" s="1"/>
  <c r="J1158" i="5"/>
  <c r="K1158" i="5" s="1"/>
  <c r="J1159" i="5"/>
  <c r="K1159" i="5" s="1"/>
  <c r="L1159" i="5" s="1"/>
  <c r="J1160" i="5"/>
  <c r="K1160" i="5" s="1"/>
  <c r="T1158" i="5"/>
  <c r="T1159" i="5"/>
  <c r="T1160" i="5"/>
  <c r="B1153" i="5"/>
  <c r="Q1153" i="5" s="1"/>
  <c r="B1154" i="5"/>
  <c r="M1154" i="5" s="1"/>
  <c r="B1155" i="5"/>
  <c r="Q1155" i="5" s="1"/>
  <c r="B1156" i="5"/>
  <c r="Q1156" i="5" s="1"/>
  <c r="B1157" i="5"/>
  <c r="Q1157" i="5" s="1"/>
  <c r="J1153" i="5"/>
  <c r="K1153" i="5" s="1"/>
  <c r="J1154" i="5"/>
  <c r="J1155" i="5"/>
  <c r="J1156" i="5"/>
  <c r="K1156" i="5" s="1"/>
  <c r="L1156" i="5" s="1"/>
  <c r="J1157" i="5"/>
  <c r="T1153" i="5"/>
  <c r="T1154" i="5"/>
  <c r="T1155" i="5"/>
  <c r="T1156" i="5"/>
  <c r="T1157" i="5"/>
  <c r="B1151" i="5"/>
  <c r="Q1151" i="5" s="1"/>
  <c r="B1152" i="5"/>
  <c r="M1152" i="5" s="1"/>
  <c r="J1151" i="5"/>
  <c r="K1151" i="5" s="1"/>
  <c r="J1152" i="5"/>
  <c r="K1152" i="5" s="1"/>
  <c r="T1151" i="5"/>
  <c r="T1152" i="5"/>
  <c r="B1147" i="5"/>
  <c r="M1147" i="5" s="1"/>
  <c r="B1148" i="5"/>
  <c r="Q1148" i="5" s="1"/>
  <c r="B1149" i="5"/>
  <c r="Q1149" i="5" s="1"/>
  <c r="B1150" i="5"/>
  <c r="J1147" i="5"/>
  <c r="K1147" i="5" s="1"/>
  <c r="J1148" i="5"/>
  <c r="K1148" i="5" s="1"/>
  <c r="L1148" i="5" s="1"/>
  <c r="J1149" i="5"/>
  <c r="J1150" i="5"/>
  <c r="T1147" i="5"/>
  <c r="T1148" i="5"/>
  <c r="T1149" i="5"/>
  <c r="T1150" i="5"/>
  <c r="B1144" i="5"/>
  <c r="M1144" i="5" s="1"/>
  <c r="B1145" i="5"/>
  <c r="M1145" i="5" s="1"/>
  <c r="B1146" i="5"/>
  <c r="J1144" i="5"/>
  <c r="K1144" i="5" s="1"/>
  <c r="J1145" i="5"/>
  <c r="K1145" i="5" s="1"/>
  <c r="L1145" i="5" s="1"/>
  <c r="J1146" i="5"/>
  <c r="K1146" i="5" s="1"/>
  <c r="T1144" i="5"/>
  <c r="T1145" i="5"/>
  <c r="T1146" i="5"/>
  <c r="B1141" i="5"/>
  <c r="M1141" i="5" s="1"/>
  <c r="B1142" i="5"/>
  <c r="M1142" i="5" s="1"/>
  <c r="B1143" i="5"/>
  <c r="M1143" i="5" s="1"/>
  <c r="J1141" i="5"/>
  <c r="K1141" i="5" s="1"/>
  <c r="J1142" i="5"/>
  <c r="K1142" i="5" s="1"/>
  <c r="L1142" i="5" s="1"/>
  <c r="J1143" i="5"/>
  <c r="K1143" i="5" s="1"/>
  <c r="T1141" i="5"/>
  <c r="T1142" i="5"/>
  <c r="T1143" i="5"/>
  <c r="B1140" i="5"/>
  <c r="M1140" i="5" s="1"/>
  <c r="J1140" i="5"/>
  <c r="K1140" i="5" s="1"/>
  <c r="L1140" i="5" s="1"/>
  <c r="T1140" i="5"/>
  <c r="B1135" i="5"/>
  <c r="M1135" i="5" s="1"/>
  <c r="B1136" i="5"/>
  <c r="M1136" i="5" s="1"/>
  <c r="B1137" i="5"/>
  <c r="M1137" i="5" s="1"/>
  <c r="B1138" i="5"/>
  <c r="M1138" i="5" s="1"/>
  <c r="B1139" i="5"/>
  <c r="J1135" i="5"/>
  <c r="K1135" i="5" s="1"/>
  <c r="J1136" i="5"/>
  <c r="J1137" i="5"/>
  <c r="J1138" i="5"/>
  <c r="K1138" i="5" s="1"/>
  <c r="J1139" i="5"/>
  <c r="K1139" i="5" s="1"/>
  <c r="T1135" i="5"/>
  <c r="T1136" i="5"/>
  <c r="T1137" i="5"/>
  <c r="T1138" i="5"/>
  <c r="T1139" i="5"/>
  <c r="B1131" i="5"/>
  <c r="M1131" i="5" s="1"/>
  <c r="B1132" i="5"/>
  <c r="Q1132" i="5" s="1"/>
  <c r="B1133" i="5"/>
  <c r="Q1133" i="5" s="1"/>
  <c r="B1134" i="5"/>
  <c r="J1131" i="5"/>
  <c r="K1131" i="5" s="1"/>
  <c r="L1131" i="5" s="1"/>
  <c r="J1132" i="5"/>
  <c r="K1132" i="5" s="1"/>
  <c r="J1133" i="5"/>
  <c r="J1134" i="5"/>
  <c r="K1134" i="5" s="1"/>
  <c r="L1134" i="5" s="1"/>
  <c r="T1131" i="5"/>
  <c r="T1132" i="5"/>
  <c r="T1133" i="5"/>
  <c r="T1134" i="5"/>
  <c r="B1128" i="5"/>
  <c r="Q1128" i="5" s="1"/>
  <c r="B1129" i="5"/>
  <c r="M1129" i="5" s="1"/>
  <c r="B1130" i="5"/>
  <c r="M1130" i="5" s="1"/>
  <c r="J1128" i="5"/>
  <c r="K1128" i="5" s="1"/>
  <c r="J1129" i="5"/>
  <c r="K1129" i="5" s="1"/>
  <c r="J1130" i="5"/>
  <c r="K1130" i="5" s="1"/>
  <c r="T1128" i="5"/>
  <c r="T1129" i="5"/>
  <c r="T1130" i="5"/>
  <c r="B1125" i="5"/>
  <c r="Q1125" i="5" s="1"/>
  <c r="B1126" i="5"/>
  <c r="Q1126" i="5" s="1"/>
  <c r="B1127" i="5"/>
  <c r="Q1127" i="5" s="1"/>
  <c r="J1125" i="5"/>
  <c r="K1125" i="5" s="1"/>
  <c r="J1126" i="5"/>
  <c r="K1126" i="5" s="1"/>
  <c r="J1127" i="5"/>
  <c r="K1127" i="5" s="1"/>
  <c r="T1125" i="5"/>
  <c r="T1126" i="5"/>
  <c r="T1127" i="5"/>
  <c r="B1121" i="5"/>
  <c r="Q1121" i="5" s="1"/>
  <c r="B1122" i="5"/>
  <c r="M1122" i="5" s="1"/>
  <c r="B1123" i="5"/>
  <c r="M1123" i="5" s="1"/>
  <c r="B1124" i="5"/>
  <c r="M1124" i="5" s="1"/>
  <c r="J1121" i="5"/>
  <c r="J1122" i="5"/>
  <c r="K1122" i="5" s="1"/>
  <c r="L1122" i="5" s="1"/>
  <c r="J1123" i="5"/>
  <c r="K1123" i="5" s="1"/>
  <c r="J1124" i="5"/>
  <c r="K1124" i="5" s="1"/>
  <c r="T1121" i="5"/>
  <c r="T1122" i="5"/>
  <c r="T1123" i="5"/>
  <c r="T1124" i="5"/>
  <c r="B1119" i="5"/>
  <c r="M1119" i="5" s="1"/>
  <c r="B1120" i="5"/>
  <c r="M1120" i="5" s="1"/>
  <c r="J1119" i="5"/>
  <c r="J1120" i="5"/>
  <c r="K1120" i="5" s="1"/>
  <c r="L1120" i="5" s="1"/>
  <c r="T1119" i="5"/>
  <c r="T1120" i="5"/>
  <c r="B1118" i="5"/>
  <c r="M1118" i="5" s="1"/>
  <c r="J1118" i="5"/>
  <c r="K1118" i="5" s="1"/>
  <c r="T1118" i="5"/>
  <c r="B1116" i="5"/>
  <c r="M1116" i="5" s="1"/>
  <c r="B1117" i="5"/>
  <c r="Q1117" i="5" s="1"/>
  <c r="J1116" i="5"/>
  <c r="J1117" i="5"/>
  <c r="K1117" i="5" s="1"/>
  <c r="T1116" i="5"/>
  <c r="T1117" i="5"/>
  <c r="B1113" i="5"/>
  <c r="M1113" i="5" s="1"/>
  <c r="B1114" i="5"/>
  <c r="M1114" i="5" s="1"/>
  <c r="B1115" i="5"/>
  <c r="J1113" i="5"/>
  <c r="K1113" i="5" s="1"/>
  <c r="J1114" i="5"/>
  <c r="J1115" i="5"/>
  <c r="K1115" i="5" s="1"/>
  <c r="T1113" i="5"/>
  <c r="T1114" i="5"/>
  <c r="T1115" i="5"/>
  <c r="B1105" i="5"/>
  <c r="M1105" i="5" s="1"/>
  <c r="B1106" i="5"/>
  <c r="M1106" i="5" s="1"/>
  <c r="B1107" i="5"/>
  <c r="Q1107" i="5" s="1"/>
  <c r="B1108" i="5"/>
  <c r="M1108" i="5" s="1"/>
  <c r="B1109" i="5"/>
  <c r="M1109" i="5" s="1"/>
  <c r="B1110" i="5"/>
  <c r="M1110" i="5" s="1"/>
  <c r="B1111" i="5"/>
  <c r="B1112" i="5"/>
  <c r="Q1112" i="5" s="1"/>
  <c r="J1105" i="5"/>
  <c r="K1105" i="5" s="1"/>
  <c r="J1106" i="5"/>
  <c r="K1106" i="5" s="1"/>
  <c r="J1107" i="5"/>
  <c r="J1108" i="5"/>
  <c r="K1108" i="5" s="1"/>
  <c r="L1108" i="5" s="1"/>
  <c r="J1109" i="5"/>
  <c r="K1109" i="5" s="1"/>
  <c r="L1109" i="5" s="1"/>
  <c r="J1110" i="5"/>
  <c r="J1111" i="5"/>
  <c r="K1111" i="5" s="1"/>
  <c r="J1112" i="5"/>
  <c r="K1112" i="5" s="1"/>
  <c r="T1105" i="5"/>
  <c r="T1106" i="5"/>
  <c r="T1107" i="5"/>
  <c r="T1108" i="5"/>
  <c r="T1109" i="5"/>
  <c r="T1110" i="5"/>
  <c r="T1111" i="5"/>
  <c r="T1112" i="5"/>
  <c r="B1101" i="5"/>
  <c r="M1101" i="5" s="1"/>
  <c r="B1102" i="5"/>
  <c r="M1102" i="5" s="1"/>
  <c r="B1103" i="5"/>
  <c r="M1103" i="5" s="1"/>
  <c r="B1104" i="5"/>
  <c r="Q1104" i="5" s="1"/>
  <c r="J1101" i="5"/>
  <c r="K1101" i="5" s="1"/>
  <c r="L1101" i="5" s="1"/>
  <c r="J1102" i="5"/>
  <c r="K1102" i="5" s="1"/>
  <c r="J1103" i="5"/>
  <c r="J1104" i="5"/>
  <c r="K1104" i="5" s="1"/>
  <c r="L1104" i="5" s="1"/>
  <c r="T1101" i="5"/>
  <c r="T1102" i="5"/>
  <c r="T1103" i="5"/>
  <c r="T1104" i="5"/>
  <c r="B1094" i="5"/>
  <c r="Q1094" i="5" s="1"/>
  <c r="B1095" i="5"/>
  <c r="M1095" i="5" s="1"/>
  <c r="B1096" i="5"/>
  <c r="B1097" i="5"/>
  <c r="M1097" i="5" s="1"/>
  <c r="B1098" i="5"/>
  <c r="Q1098" i="5" s="1"/>
  <c r="B1099" i="5"/>
  <c r="B1100" i="5"/>
  <c r="Q1100" i="5" s="1"/>
  <c r="J1094" i="5"/>
  <c r="K1094" i="5" s="1"/>
  <c r="J1095" i="5"/>
  <c r="K1095" i="5" s="1"/>
  <c r="J1096" i="5"/>
  <c r="J1097" i="5"/>
  <c r="K1097" i="5" s="1"/>
  <c r="J1098" i="5"/>
  <c r="K1098" i="5" s="1"/>
  <c r="J1099" i="5"/>
  <c r="K1099" i="5" s="1"/>
  <c r="J1100" i="5"/>
  <c r="K1100" i="5" s="1"/>
  <c r="T1094" i="5"/>
  <c r="T1095" i="5"/>
  <c r="T1096" i="5"/>
  <c r="T1097" i="5"/>
  <c r="T1098" i="5"/>
  <c r="T1099" i="5"/>
  <c r="T1100" i="5"/>
  <c r="B1090" i="5"/>
  <c r="M1090" i="5" s="1"/>
  <c r="B1091" i="5"/>
  <c r="Q1091" i="5" s="1"/>
  <c r="B1092" i="5"/>
  <c r="Q1092" i="5" s="1"/>
  <c r="B1093" i="5"/>
  <c r="M1093" i="5" s="1"/>
  <c r="J1090" i="5"/>
  <c r="K1090" i="5" s="1"/>
  <c r="L1090" i="5" s="1"/>
  <c r="J1091" i="5"/>
  <c r="J1092" i="5"/>
  <c r="J1093" i="5"/>
  <c r="K1093" i="5" s="1"/>
  <c r="L1093" i="5" s="1"/>
  <c r="T1090" i="5"/>
  <c r="T1091" i="5"/>
  <c r="T1092" i="5"/>
  <c r="T1093" i="5"/>
  <c r="B1086" i="5"/>
  <c r="M1086" i="5" s="1"/>
  <c r="B1087" i="5"/>
  <c r="Q1087" i="5" s="1"/>
  <c r="B1088" i="5"/>
  <c r="M1088" i="5" s="1"/>
  <c r="B1089" i="5"/>
  <c r="J1086" i="5"/>
  <c r="J1087" i="5"/>
  <c r="K1087" i="5" s="1"/>
  <c r="L1087" i="5" s="1"/>
  <c r="J1088" i="5"/>
  <c r="J1089" i="5"/>
  <c r="K1089" i="5" s="1"/>
  <c r="T1086" i="5"/>
  <c r="T1087" i="5"/>
  <c r="T1088" i="5"/>
  <c r="T1089" i="5"/>
  <c r="B1085" i="5"/>
  <c r="Q1085" i="5" s="1"/>
  <c r="J1085" i="5"/>
  <c r="K1085" i="5" s="1"/>
  <c r="T1085" i="5"/>
  <c r="B1084" i="5"/>
  <c r="Q1084" i="5" s="1"/>
  <c r="J1084" i="5"/>
  <c r="K1084" i="5" s="1"/>
  <c r="T1084" i="5"/>
  <c r="B1080" i="5"/>
  <c r="Q1080" i="5" s="1"/>
  <c r="B1081" i="5"/>
  <c r="Q1081" i="5" s="1"/>
  <c r="B1082" i="5"/>
  <c r="M1082" i="5" s="1"/>
  <c r="B1083" i="5"/>
  <c r="J1080" i="5"/>
  <c r="K1080" i="5" s="1"/>
  <c r="J1081" i="5"/>
  <c r="K1081" i="5" s="1"/>
  <c r="L1081" i="5" s="1"/>
  <c r="J1082" i="5"/>
  <c r="J1083" i="5"/>
  <c r="K1083" i="5" s="1"/>
  <c r="L1083" i="5" s="1"/>
  <c r="T1080" i="5"/>
  <c r="T1081" i="5"/>
  <c r="T1082" i="5"/>
  <c r="T1083" i="5"/>
  <c r="B1078" i="5"/>
  <c r="Q1078" i="5" s="1"/>
  <c r="B1079" i="5"/>
  <c r="M1079" i="5" s="1"/>
  <c r="J1078" i="5"/>
  <c r="K1078" i="5" s="1"/>
  <c r="J1079" i="5"/>
  <c r="K1079" i="5" s="1"/>
  <c r="T1078" i="5"/>
  <c r="T1079" i="5"/>
  <c r="B1076" i="5"/>
  <c r="M1076" i="5" s="1"/>
  <c r="B1077" i="5"/>
  <c r="M1077" i="5" s="1"/>
  <c r="J1076" i="5"/>
  <c r="K1076" i="5" s="1"/>
  <c r="L1076" i="5" s="1"/>
  <c r="J1077" i="5"/>
  <c r="K1077" i="5" s="1"/>
  <c r="L1077" i="5" s="1"/>
  <c r="T1076" i="5"/>
  <c r="T1077" i="5"/>
  <c r="B1069" i="5"/>
  <c r="Q1069" i="5" s="1"/>
  <c r="B1070" i="5"/>
  <c r="Q1070" i="5" s="1"/>
  <c r="B1071" i="5"/>
  <c r="M1071" i="5" s="1"/>
  <c r="B1072" i="5"/>
  <c r="Q1072" i="5" s="1"/>
  <c r="B1073" i="5"/>
  <c r="Q1073" i="5" s="1"/>
  <c r="B1074" i="5"/>
  <c r="B1075" i="5"/>
  <c r="Q1075" i="5" s="1"/>
  <c r="J1069" i="5"/>
  <c r="K1069" i="5" s="1"/>
  <c r="J1070" i="5"/>
  <c r="K1070" i="5" s="1"/>
  <c r="L1070" i="5" s="1"/>
  <c r="J1071" i="5"/>
  <c r="K1071" i="5" s="1"/>
  <c r="J1072" i="5"/>
  <c r="K1072" i="5" s="1"/>
  <c r="J1073" i="5"/>
  <c r="K1073" i="5" s="1"/>
  <c r="L1073" i="5" s="1"/>
  <c r="J1074" i="5"/>
  <c r="K1074" i="5" s="1"/>
  <c r="J1075" i="5"/>
  <c r="K1075" i="5" s="1"/>
  <c r="T1069" i="5"/>
  <c r="T1070" i="5"/>
  <c r="T1071" i="5"/>
  <c r="T1072" i="5"/>
  <c r="T1073" i="5"/>
  <c r="T1074" i="5"/>
  <c r="T1075" i="5"/>
  <c r="B1065" i="5"/>
  <c r="Q1065" i="5" s="1"/>
  <c r="B1066" i="5"/>
  <c r="Q1066" i="5" s="1"/>
  <c r="B1067" i="5"/>
  <c r="Q1067" i="5" s="1"/>
  <c r="B1068" i="5"/>
  <c r="J1065" i="5"/>
  <c r="J1066" i="5"/>
  <c r="J1067" i="5"/>
  <c r="K1067" i="5" s="1"/>
  <c r="J1068" i="5"/>
  <c r="K1068" i="5" s="1"/>
  <c r="T1065" i="5"/>
  <c r="T1066" i="5"/>
  <c r="T1067" i="5"/>
  <c r="T1068" i="5"/>
  <c r="B1062" i="5"/>
  <c r="M1062" i="5" s="1"/>
  <c r="B1063" i="5"/>
  <c r="Q1063" i="5" s="1"/>
  <c r="B1064" i="5"/>
  <c r="M1064" i="5" s="1"/>
  <c r="J1062" i="5"/>
  <c r="K1062" i="5" s="1"/>
  <c r="J1063" i="5"/>
  <c r="K1063" i="5" s="1"/>
  <c r="L1063" i="5" s="1"/>
  <c r="J1064" i="5"/>
  <c r="K1064" i="5" s="1"/>
  <c r="L1064" i="5" s="1"/>
  <c r="T1062" i="5"/>
  <c r="T1063" i="5"/>
  <c r="T1064" i="5"/>
  <c r="B1060" i="5"/>
  <c r="M1060" i="5" s="1"/>
  <c r="B1061" i="5"/>
  <c r="M1061" i="5" s="1"/>
  <c r="J1060" i="5"/>
  <c r="K1060" i="5" s="1"/>
  <c r="J1061" i="5"/>
  <c r="K1061" i="5" s="1"/>
  <c r="T1060" i="5"/>
  <c r="T1061" i="5"/>
  <c r="B1055" i="5"/>
  <c r="M1055" i="5" s="1"/>
  <c r="B1056" i="5"/>
  <c r="Q1056" i="5" s="1"/>
  <c r="B1057" i="5"/>
  <c r="Q1057" i="5" s="1"/>
  <c r="B1058" i="5"/>
  <c r="Q1058" i="5" s="1"/>
  <c r="B1059" i="5"/>
  <c r="J1055" i="5"/>
  <c r="J1056" i="5"/>
  <c r="K1056" i="5" s="1"/>
  <c r="J1057" i="5"/>
  <c r="K1057" i="5" s="1"/>
  <c r="J1058" i="5"/>
  <c r="K1058" i="5" s="1"/>
  <c r="J1059" i="5"/>
  <c r="K1059" i="5" s="1"/>
  <c r="L1059" i="5" s="1"/>
  <c r="P1059" i="5" s="1"/>
  <c r="T1055" i="5"/>
  <c r="T1056" i="5"/>
  <c r="T1057" i="5"/>
  <c r="T1058" i="5"/>
  <c r="T1059" i="5"/>
  <c r="B1052" i="5"/>
  <c r="Q1052" i="5" s="1"/>
  <c r="B1053" i="5"/>
  <c r="Q1053" i="5" s="1"/>
  <c r="B1054" i="5"/>
  <c r="Q1054" i="5" s="1"/>
  <c r="J1052" i="5"/>
  <c r="K1052" i="5" s="1"/>
  <c r="J1053" i="5"/>
  <c r="K1053" i="5" s="1"/>
  <c r="L1053" i="5" s="1"/>
  <c r="J1054" i="5"/>
  <c r="K1054" i="5" s="1"/>
  <c r="L1054" i="5" s="1"/>
  <c r="T1052" i="5"/>
  <c r="T1053" i="5"/>
  <c r="T1054" i="5"/>
  <c r="B1047" i="5"/>
  <c r="M1047" i="5" s="1"/>
  <c r="B1048" i="5"/>
  <c r="Q1048" i="5" s="1"/>
  <c r="B1049" i="5"/>
  <c r="M1049" i="5" s="1"/>
  <c r="B1050" i="5"/>
  <c r="B1051" i="5"/>
  <c r="Q1051" i="5" s="1"/>
  <c r="J1047" i="5"/>
  <c r="J1048" i="5"/>
  <c r="K1048" i="5" s="1"/>
  <c r="L1048" i="5" s="1"/>
  <c r="J1049" i="5"/>
  <c r="J1050" i="5"/>
  <c r="K1050" i="5" s="1"/>
  <c r="J1051" i="5"/>
  <c r="K1051" i="5" s="1"/>
  <c r="T1047" i="5"/>
  <c r="T1048" i="5"/>
  <c r="T1049" i="5"/>
  <c r="T1050" i="5"/>
  <c r="T1051" i="5"/>
  <c r="B1043" i="5"/>
  <c r="M1043" i="5" s="1"/>
  <c r="B1044" i="5"/>
  <c r="M1044" i="5" s="1"/>
  <c r="B1045" i="5"/>
  <c r="Q1045" i="5" s="1"/>
  <c r="B1046" i="5"/>
  <c r="M1046" i="5" s="1"/>
  <c r="J1043" i="5"/>
  <c r="K1043" i="5" s="1"/>
  <c r="L1043" i="5" s="1"/>
  <c r="J1044" i="5"/>
  <c r="K1044" i="5" s="1"/>
  <c r="L1044" i="5" s="1"/>
  <c r="J1045" i="5"/>
  <c r="K1045" i="5" s="1"/>
  <c r="J1046" i="5"/>
  <c r="K1046" i="5" s="1"/>
  <c r="T1043" i="5"/>
  <c r="T1044" i="5"/>
  <c r="T1045" i="5"/>
  <c r="T1046" i="5"/>
  <c r="B1042" i="5"/>
  <c r="Q1042" i="5" s="1"/>
  <c r="J1042" i="5"/>
  <c r="K1042" i="5" s="1"/>
  <c r="T1042" i="5"/>
  <c r="B1038" i="5"/>
  <c r="Q1038" i="5" s="1"/>
  <c r="B1039" i="5"/>
  <c r="Q1039" i="5" s="1"/>
  <c r="B1040" i="5"/>
  <c r="Q1040" i="5" s="1"/>
  <c r="B1041" i="5"/>
  <c r="J1038" i="5"/>
  <c r="K1038" i="5" s="1"/>
  <c r="L1038" i="5" s="1"/>
  <c r="J1039" i="5"/>
  <c r="J1040" i="5"/>
  <c r="J1041" i="5"/>
  <c r="K1041" i="5" s="1"/>
  <c r="L1041" i="5" s="1"/>
  <c r="T1038" i="5"/>
  <c r="T1039" i="5"/>
  <c r="T1040" i="5"/>
  <c r="T1041" i="5"/>
  <c r="B1035" i="5"/>
  <c r="Q1035" i="5" s="1"/>
  <c r="B1036" i="5"/>
  <c r="Q1036" i="5" s="1"/>
  <c r="B1037" i="5"/>
  <c r="J1035" i="5"/>
  <c r="K1035" i="5" s="1"/>
  <c r="J1036" i="5"/>
  <c r="K1036" i="5" s="1"/>
  <c r="L1036" i="5" s="1"/>
  <c r="J1037" i="5"/>
  <c r="K1037" i="5" s="1"/>
  <c r="L1037" i="5" s="1"/>
  <c r="T1035" i="5"/>
  <c r="T1036" i="5"/>
  <c r="T1037" i="5"/>
  <c r="B1032" i="5"/>
  <c r="Q1032" i="5" s="1"/>
  <c r="B1033" i="5"/>
  <c r="Q1033" i="5" s="1"/>
  <c r="B1034" i="5"/>
  <c r="Q1034" i="5" s="1"/>
  <c r="J1032" i="5"/>
  <c r="K1032" i="5" s="1"/>
  <c r="L1032" i="5" s="1"/>
  <c r="J1033" i="5"/>
  <c r="K1033" i="5" s="1"/>
  <c r="L1033" i="5" s="1"/>
  <c r="J1034" i="5"/>
  <c r="K1034" i="5" s="1"/>
  <c r="T1032" i="5"/>
  <c r="T1033" i="5"/>
  <c r="T1034" i="5"/>
  <c r="B1030" i="5"/>
  <c r="Q1030" i="5" s="1"/>
  <c r="B1031" i="5"/>
  <c r="M1031" i="5" s="1"/>
  <c r="J1030" i="5"/>
  <c r="J1031" i="5"/>
  <c r="K1031" i="5" s="1"/>
  <c r="L1031" i="5" s="1"/>
  <c r="T1030" i="5"/>
  <c r="T1031" i="5"/>
  <c r="B1029" i="5"/>
  <c r="M1029" i="5" s="1"/>
  <c r="J1029" i="5"/>
  <c r="T1029" i="5"/>
  <c r="B1025" i="5"/>
  <c r="M1025" i="5" s="1"/>
  <c r="B1026" i="5"/>
  <c r="Q1026" i="5" s="1"/>
  <c r="B1027" i="5"/>
  <c r="Q1027" i="5" s="1"/>
  <c r="B1028" i="5"/>
  <c r="M1028" i="5" s="1"/>
  <c r="J1025" i="5"/>
  <c r="K1025" i="5" s="1"/>
  <c r="L1025" i="5" s="1"/>
  <c r="J1026" i="5"/>
  <c r="J1027" i="5"/>
  <c r="K1027" i="5" s="1"/>
  <c r="J1028" i="5"/>
  <c r="K1028" i="5" s="1"/>
  <c r="T1025" i="5"/>
  <c r="T1026" i="5"/>
  <c r="T1027" i="5"/>
  <c r="T1028" i="5"/>
  <c r="B1020" i="5"/>
  <c r="M1020" i="5" s="1"/>
  <c r="B1021" i="5"/>
  <c r="M1021" i="5" s="1"/>
  <c r="B1022" i="5"/>
  <c r="B1023" i="5"/>
  <c r="Q1023" i="5" s="1"/>
  <c r="B1024" i="5"/>
  <c r="Q1024" i="5" s="1"/>
  <c r="J1020" i="5"/>
  <c r="K1020" i="5" s="1"/>
  <c r="J1021" i="5"/>
  <c r="J1022" i="5"/>
  <c r="K1022" i="5" s="1"/>
  <c r="J1023" i="5"/>
  <c r="K1023" i="5" s="1"/>
  <c r="L1023" i="5" s="1"/>
  <c r="P1023" i="5" s="1"/>
  <c r="J1024" i="5"/>
  <c r="T1020" i="5"/>
  <c r="T1021" i="5"/>
  <c r="T1022" i="5"/>
  <c r="T1023" i="5"/>
  <c r="T1024" i="5"/>
  <c r="B1018" i="5"/>
  <c r="Q1018" i="5" s="1"/>
  <c r="B1019" i="5"/>
  <c r="M1019" i="5" s="1"/>
  <c r="J1018" i="5"/>
  <c r="J1019" i="5"/>
  <c r="K1019" i="5" s="1"/>
  <c r="L1019" i="5" s="1"/>
  <c r="T1018" i="5"/>
  <c r="T1019" i="5"/>
  <c r="B1017" i="5"/>
  <c r="M1017" i="5" s="1"/>
  <c r="J1017" i="5"/>
  <c r="K1017" i="5" s="1"/>
  <c r="T1017" i="5"/>
  <c r="B1016" i="5"/>
  <c r="M1016" i="5" s="1"/>
  <c r="J1016" i="5"/>
  <c r="K1016" i="5" s="1"/>
  <c r="T1016" i="5"/>
  <c r="B1014" i="5"/>
  <c r="Q1014" i="5" s="1"/>
  <c r="B1015" i="5"/>
  <c r="M1015" i="5" s="1"/>
  <c r="J1014" i="5"/>
  <c r="J1015" i="5"/>
  <c r="T1014" i="5"/>
  <c r="T1015" i="5"/>
  <c r="B1011" i="5"/>
  <c r="Q1011" i="5" s="1"/>
  <c r="B1012" i="5"/>
  <c r="Q1012" i="5" s="1"/>
  <c r="B1013" i="5"/>
  <c r="Q1013" i="5" s="1"/>
  <c r="J1011" i="5"/>
  <c r="K1011" i="5" s="1"/>
  <c r="J1012" i="5"/>
  <c r="K1012" i="5" s="1"/>
  <c r="L1012" i="5" s="1"/>
  <c r="J1013" i="5"/>
  <c r="K1013" i="5" s="1"/>
  <c r="T1011" i="5"/>
  <c r="T1012" i="5"/>
  <c r="T1013" i="5"/>
  <c r="B1010" i="5"/>
  <c r="Q1010" i="5" s="1"/>
  <c r="J1010" i="5"/>
  <c r="K1010" i="5" s="1"/>
  <c r="T1010" i="5"/>
  <c r="B1008" i="5"/>
  <c r="M1008" i="5" s="1"/>
  <c r="B1009" i="5"/>
  <c r="M1009" i="5" s="1"/>
  <c r="J1008" i="5"/>
  <c r="K1008" i="5" s="1"/>
  <c r="L1008" i="5" s="1"/>
  <c r="J1009" i="5"/>
  <c r="K1009" i="5" s="1"/>
  <c r="L1009" i="5" s="1"/>
  <c r="T1008" i="5"/>
  <c r="T1009" i="5"/>
  <c r="B1005" i="5"/>
  <c r="Q1005" i="5" s="1"/>
  <c r="B1006" i="5"/>
  <c r="Q1006" i="5" s="1"/>
  <c r="B1007" i="5"/>
  <c r="Q1007" i="5" s="1"/>
  <c r="J1005" i="5"/>
  <c r="K1005" i="5" s="1"/>
  <c r="J1006" i="5"/>
  <c r="K1006" i="5" s="1"/>
  <c r="L1006" i="5" s="1"/>
  <c r="J1007" i="5"/>
  <c r="K1007" i="5" s="1"/>
  <c r="T1005" i="5"/>
  <c r="T1006" i="5"/>
  <c r="T1007" i="5"/>
  <c r="B1002" i="5"/>
  <c r="Q1002" i="5" s="1"/>
  <c r="B1003" i="5"/>
  <c r="Q1003" i="5" s="1"/>
  <c r="B1004" i="5"/>
  <c r="Q1004" i="5" s="1"/>
  <c r="J1002" i="5"/>
  <c r="K1002" i="5" s="1"/>
  <c r="J1003" i="5"/>
  <c r="K1003" i="5" s="1"/>
  <c r="L1003" i="5" s="1"/>
  <c r="J1004" i="5"/>
  <c r="K1004" i="5" s="1"/>
  <c r="T1002" i="5"/>
  <c r="T1003" i="5"/>
  <c r="T1004" i="5"/>
  <c r="B999" i="5"/>
  <c r="Q999" i="5" s="1"/>
  <c r="B1000" i="5"/>
  <c r="Q1000" i="5" s="1"/>
  <c r="B1001" i="5"/>
  <c r="Q1001" i="5" s="1"/>
  <c r="J999" i="5"/>
  <c r="K999" i="5" s="1"/>
  <c r="L999" i="5" s="1"/>
  <c r="J1000" i="5"/>
  <c r="K1000" i="5" s="1"/>
  <c r="L1000" i="5" s="1"/>
  <c r="J1001" i="5"/>
  <c r="K1001" i="5" s="1"/>
  <c r="T999" i="5"/>
  <c r="T1000" i="5"/>
  <c r="T1001" i="5"/>
  <c r="B998" i="5"/>
  <c r="M998" i="5" s="1"/>
  <c r="J998" i="5"/>
  <c r="K998" i="5" s="1"/>
  <c r="T998" i="5"/>
  <c r="B992" i="5"/>
  <c r="Q992" i="5" s="1"/>
  <c r="B993" i="5"/>
  <c r="Q993" i="5" s="1"/>
  <c r="B994" i="5"/>
  <c r="Q994" i="5" s="1"/>
  <c r="B995" i="5"/>
  <c r="Q995" i="5" s="1"/>
  <c r="B996" i="5"/>
  <c r="Q996" i="5" s="1"/>
  <c r="B997" i="5"/>
  <c r="Q997" i="5" s="1"/>
  <c r="J992" i="5"/>
  <c r="K992" i="5" s="1"/>
  <c r="J993" i="5"/>
  <c r="K993" i="5" s="1"/>
  <c r="J994" i="5"/>
  <c r="K994" i="5" s="1"/>
  <c r="L994" i="5" s="1"/>
  <c r="J995" i="5"/>
  <c r="K995" i="5" s="1"/>
  <c r="J996" i="5"/>
  <c r="K996" i="5" s="1"/>
  <c r="J997" i="5"/>
  <c r="K997" i="5" s="1"/>
  <c r="L997" i="5" s="1"/>
  <c r="P997" i="5" s="1"/>
  <c r="T992" i="5"/>
  <c r="T993" i="5"/>
  <c r="T994" i="5"/>
  <c r="T995" i="5"/>
  <c r="T996" i="5"/>
  <c r="T997" i="5"/>
  <c r="B987" i="5"/>
  <c r="M987" i="5" s="1"/>
  <c r="B988" i="5"/>
  <c r="M988" i="5" s="1"/>
  <c r="B989" i="5"/>
  <c r="Q989" i="5" s="1"/>
  <c r="B990" i="5"/>
  <c r="M990" i="5" s="1"/>
  <c r="B991" i="5"/>
  <c r="M991" i="5" s="1"/>
  <c r="J987" i="5"/>
  <c r="J988" i="5"/>
  <c r="K988" i="5" s="1"/>
  <c r="L988" i="5" s="1"/>
  <c r="J989" i="5"/>
  <c r="K989" i="5" s="1"/>
  <c r="L989" i="5" s="1"/>
  <c r="P989" i="5" s="1"/>
  <c r="J990" i="5"/>
  <c r="J991" i="5"/>
  <c r="K991" i="5" s="1"/>
  <c r="L991" i="5" s="1"/>
  <c r="T987" i="5"/>
  <c r="T988" i="5"/>
  <c r="T989" i="5"/>
  <c r="T990" i="5"/>
  <c r="T991" i="5"/>
  <c r="B982" i="5"/>
  <c r="M982" i="5" s="1"/>
  <c r="B983" i="5"/>
  <c r="M983" i="5" s="1"/>
  <c r="B984" i="5"/>
  <c r="M984" i="5" s="1"/>
  <c r="B985" i="5"/>
  <c r="M985" i="5" s="1"/>
  <c r="B986" i="5"/>
  <c r="Q986" i="5" s="1"/>
  <c r="J982" i="5"/>
  <c r="K982" i="5" s="1"/>
  <c r="L982" i="5" s="1"/>
  <c r="J983" i="5"/>
  <c r="K983" i="5" s="1"/>
  <c r="J984" i="5"/>
  <c r="J985" i="5"/>
  <c r="K985" i="5" s="1"/>
  <c r="L985" i="5" s="1"/>
  <c r="J986" i="5"/>
  <c r="K986" i="5" s="1"/>
  <c r="L986" i="5" s="1"/>
  <c r="P986" i="5" s="1"/>
  <c r="T982" i="5"/>
  <c r="T983" i="5"/>
  <c r="T984" i="5"/>
  <c r="T985" i="5"/>
  <c r="T986" i="5"/>
  <c r="B979" i="5"/>
  <c r="Q979" i="5" s="1"/>
  <c r="B980" i="5"/>
  <c r="Q980" i="5" s="1"/>
  <c r="B981" i="5"/>
  <c r="Q981" i="5" s="1"/>
  <c r="J979" i="5"/>
  <c r="K979" i="5" s="1"/>
  <c r="J980" i="5"/>
  <c r="K980" i="5" s="1"/>
  <c r="L980" i="5" s="1"/>
  <c r="J981" i="5"/>
  <c r="K981" i="5" s="1"/>
  <c r="L981" i="5" s="1"/>
  <c r="T979" i="5"/>
  <c r="T980" i="5"/>
  <c r="T981" i="5"/>
  <c r="B977" i="5"/>
  <c r="Q977" i="5" s="1"/>
  <c r="B978" i="5"/>
  <c r="M978" i="5" s="1"/>
  <c r="J977" i="5"/>
  <c r="J978" i="5"/>
  <c r="K978" i="5" s="1"/>
  <c r="L978" i="5" s="1"/>
  <c r="T977" i="5"/>
  <c r="T978" i="5"/>
  <c r="B972" i="5"/>
  <c r="Q972" i="5" s="1"/>
  <c r="B973" i="5"/>
  <c r="M973" i="5" s="1"/>
  <c r="B974" i="5"/>
  <c r="Q974" i="5" s="1"/>
  <c r="B975" i="5"/>
  <c r="Q975" i="5" s="1"/>
  <c r="B976" i="5"/>
  <c r="M976" i="5" s="1"/>
  <c r="J972" i="5"/>
  <c r="K972" i="5" s="1"/>
  <c r="J973" i="5"/>
  <c r="J974" i="5"/>
  <c r="J975" i="5"/>
  <c r="K975" i="5" s="1"/>
  <c r="J976" i="5"/>
  <c r="K976" i="5" s="1"/>
  <c r="T972" i="5"/>
  <c r="T973" i="5"/>
  <c r="T974" i="5"/>
  <c r="T975" i="5"/>
  <c r="T976" i="5"/>
  <c r="B970" i="5"/>
  <c r="Q970" i="5" s="1"/>
  <c r="B971" i="5"/>
  <c r="M971" i="5" s="1"/>
  <c r="J970" i="5"/>
  <c r="J971" i="5"/>
  <c r="T970" i="5"/>
  <c r="T971" i="5"/>
  <c r="B965" i="5"/>
  <c r="M965" i="5" s="1"/>
  <c r="B966" i="5"/>
  <c r="M966" i="5" s="1"/>
  <c r="B967" i="5"/>
  <c r="Q967" i="5" s="1"/>
  <c r="B968" i="5"/>
  <c r="M968" i="5" s="1"/>
  <c r="B969" i="5"/>
  <c r="Q969" i="5" s="1"/>
  <c r="J965" i="5"/>
  <c r="J966" i="5"/>
  <c r="K966" i="5" s="1"/>
  <c r="J967" i="5"/>
  <c r="J968" i="5"/>
  <c r="K968" i="5" s="1"/>
  <c r="J969" i="5"/>
  <c r="K969" i="5" s="1"/>
  <c r="T965" i="5"/>
  <c r="T966" i="5"/>
  <c r="T967" i="5"/>
  <c r="T968" i="5"/>
  <c r="T969" i="5"/>
  <c r="B963" i="5"/>
  <c r="M963" i="5" s="1"/>
  <c r="B964" i="5"/>
  <c r="M964" i="5" s="1"/>
  <c r="J963" i="5"/>
  <c r="K963" i="5" s="1"/>
  <c r="L963" i="5" s="1"/>
  <c r="J964" i="5"/>
  <c r="T963" i="5"/>
  <c r="T964" i="5"/>
  <c r="B962" i="5"/>
  <c r="M962" i="5" s="1"/>
  <c r="J962" i="5"/>
  <c r="K962" i="5" s="1"/>
  <c r="T962" i="5"/>
  <c r="B958" i="5"/>
  <c r="Q958" i="5" s="1"/>
  <c r="B959" i="5"/>
  <c r="Q959" i="5" s="1"/>
  <c r="B960" i="5"/>
  <c r="Q960" i="5" s="1"/>
  <c r="B961" i="5"/>
  <c r="M961" i="5" s="1"/>
  <c r="J958" i="5"/>
  <c r="K958" i="5" s="1"/>
  <c r="L958" i="5" s="1"/>
  <c r="J959" i="5"/>
  <c r="J960" i="5"/>
  <c r="K960" i="5" s="1"/>
  <c r="J961" i="5"/>
  <c r="K961" i="5" s="1"/>
  <c r="L961" i="5" s="1"/>
  <c r="T958" i="5"/>
  <c r="T959" i="5"/>
  <c r="T960" i="5"/>
  <c r="T961" i="5"/>
  <c r="B955" i="5"/>
  <c r="Q955" i="5" s="1"/>
  <c r="B956" i="5"/>
  <c r="Q956" i="5" s="1"/>
  <c r="B957" i="5"/>
  <c r="Q957" i="5" s="1"/>
  <c r="J955" i="5"/>
  <c r="K955" i="5" s="1"/>
  <c r="J956" i="5"/>
  <c r="K956" i="5" s="1"/>
  <c r="L956" i="5" s="1"/>
  <c r="J957" i="5"/>
  <c r="K957" i="5" s="1"/>
  <c r="L957" i="5" s="1"/>
  <c r="T955" i="5"/>
  <c r="T956" i="5"/>
  <c r="T957" i="5"/>
  <c r="B954" i="5"/>
  <c r="Q954" i="5" s="1"/>
  <c r="J954" i="5"/>
  <c r="K954" i="5" s="1"/>
  <c r="T954" i="5"/>
  <c r="B952" i="5"/>
  <c r="M952" i="5" s="1"/>
  <c r="B953" i="5"/>
  <c r="M953" i="5" s="1"/>
  <c r="J952" i="5"/>
  <c r="K952" i="5" s="1"/>
  <c r="L952" i="5" s="1"/>
  <c r="P952" i="5" s="1"/>
  <c r="J953" i="5"/>
  <c r="K953" i="5" s="1"/>
  <c r="L953" i="5" s="1"/>
  <c r="T952" i="5"/>
  <c r="T953" i="5"/>
  <c r="B948" i="5"/>
  <c r="M948" i="5" s="1"/>
  <c r="B949" i="5"/>
  <c r="Q949" i="5" s="1"/>
  <c r="B950" i="5"/>
  <c r="Q950" i="5" s="1"/>
  <c r="B951" i="5"/>
  <c r="Q951" i="5" s="1"/>
  <c r="J948" i="5"/>
  <c r="K948" i="5" s="1"/>
  <c r="L948" i="5" s="1"/>
  <c r="J949" i="5"/>
  <c r="K949" i="5" s="1"/>
  <c r="J950" i="5"/>
  <c r="J951" i="5"/>
  <c r="T948" i="5"/>
  <c r="T949" i="5"/>
  <c r="T950" i="5"/>
  <c r="T951" i="5"/>
  <c r="B946" i="5"/>
  <c r="M946" i="5" s="1"/>
  <c r="B947" i="5"/>
  <c r="M947" i="5" s="1"/>
  <c r="J946" i="5"/>
  <c r="K946" i="5" s="1"/>
  <c r="J947" i="5"/>
  <c r="K947" i="5" s="1"/>
  <c r="T946" i="5"/>
  <c r="T947" i="5"/>
  <c r="B944" i="5"/>
  <c r="M944" i="5" s="1"/>
  <c r="B945" i="5"/>
  <c r="M945" i="5" s="1"/>
  <c r="J944" i="5"/>
  <c r="K944" i="5" s="1"/>
  <c r="L944" i="5" s="1"/>
  <c r="J945" i="5"/>
  <c r="K945" i="5" s="1"/>
  <c r="T944" i="5"/>
  <c r="T945" i="5"/>
  <c r="B942" i="5"/>
  <c r="Q942" i="5" s="1"/>
  <c r="B943" i="5"/>
  <c r="M943" i="5" s="1"/>
  <c r="J942" i="5"/>
  <c r="K942" i="5" s="1"/>
  <c r="J943" i="5"/>
  <c r="K943" i="5" s="1"/>
  <c r="L943" i="5" s="1"/>
  <c r="T942" i="5"/>
  <c r="T943" i="5"/>
  <c r="B940" i="5"/>
  <c r="M940" i="5" s="1"/>
  <c r="B941" i="5"/>
  <c r="M941" i="5" s="1"/>
  <c r="J940" i="5"/>
  <c r="K940" i="5" s="1"/>
  <c r="L940" i="5" s="1"/>
  <c r="P940" i="5" s="1"/>
  <c r="J941" i="5"/>
  <c r="K941" i="5" s="1"/>
  <c r="T940" i="5"/>
  <c r="T941" i="5"/>
  <c r="B939" i="5"/>
  <c r="Q939" i="5" s="1"/>
  <c r="J939" i="5"/>
  <c r="K939" i="5" s="1"/>
  <c r="T939" i="5"/>
  <c r="B937" i="5"/>
  <c r="M937" i="5" s="1"/>
  <c r="B938" i="5"/>
  <c r="Q938" i="5" s="1"/>
  <c r="J937" i="5"/>
  <c r="K937" i="5" s="1"/>
  <c r="J938" i="5"/>
  <c r="T937" i="5"/>
  <c r="T938" i="5"/>
  <c r="B935" i="5"/>
  <c r="Q935" i="5" s="1"/>
  <c r="B936" i="5"/>
  <c r="Q936" i="5" s="1"/>
  <c r="J935" i="5"/>
  <c r="K935" i="5" s="1"/>
  <c r="J936" i="5"/>
  <c r="K936" i="5" s="1"/>
  <c r="L936" i="5" s="1"/>
  <c r="T935" i="5"/>
  <c r="T936" i="5"/>
  <c r="B933" i="5"/>
  <c r="M933" i="5" s="1"/>
  <c r="B934" i="5"/>
  <c r="M934" i="5" s="1"/>
  <c r="J933" i="5"/>
  <c r="K933" i="5" s="1"/>
  <c r="J934" i="5"/>
  <c r="K934" i="5" s="1"/>
  <c r="L934" i="5" s="1"/>
  <c r="T933" i="5"/>
  <c r="T934" i="5"/>
  <c r="B930" i="5"/>
  <c r="Q930" i="5" s="1"/>
  <c r="B931" i="5"/>
  <c r="Q931" i="5" s="1"/>
  <c r="B932" i="5"/>
  <c r="Q932" i="5" s="1"/>
  <c r="J930" i="5"/>
  <c r="K930" i="5" s="1"/>
  <c r="J931" i="5"/>
  <c r="K931" i="5" s="1"/>
  <c r="L931" i="5" s="1"/>
  <c r="J932" i="5"/>
  <c r="K932" i="5" s="1"/>
  <c r="T930" i="5"/>
  <c r="T931" i="5"/>
  <c r="T932" i="5"/>
  <c r="B925" i="5"/>
  <c r="Q925" i="5" s="1"/>
  <c r="B926" i="5"/>
  <c r="M926" i="5" s="1"/>
  <c r="B927" i="5"/>
  <c r="Q927" i="5" s="1"/>
  <c r="B928" i="5"/>
  <c r="M928" i="5" s="1"/>
  <c r="B929" i="5"/>
  <c r="Q929" i="5" s="1"/>
  <c r="J925" i="5"/>
  <c r="J926" i="5"/>
  <c r="K926" i="5" s="1"/>
  <c r="L926" i="5" s="1"/>
  <c r="J927" i="5"/>
  <c r="K927" i="5" s="1"/>
  <c r="J928" i="5"/>
  <c r="K928" i="5" s="1"/>
  <c r="J929" i="5"/>
  <c r="K929" i="5" s="1"/>
  <c r="T925" i="5"/>
  <c r="T926" i="5"/>
  <c r="T927" i="5"/>
  <c r="T928" i="5"/>
  <c r="T929" i="5"/>
  <c r="B923" i="5"/>
  <c r="M923" i="5" s="1"/>
  <c r="B924" i="5"/>
  <c r="M924" i="5" s="1"/>
  <c r="J923" i="5"/>
  <c r="K923" i="5" s="1"/>
  <c r="J924" i="5"/>
  <c r="K924" i="5" s="1"/>
  <c r="T923" i="5"/>
  <c r="T924" i="5"/>
  <c r="B921" i="5"/>
  <c r="M921" i="5" s="1"/>
  <c r="B922" i="5"/>
  <c r="M922" i="5" s="1"/>
  <c r="J921" i="5"/>
  <c r="K921" i="5" s="1"/>
  <c r="L921" i="5" s="1"/>
  <c r="J922" i="5"/>
  <c r="K922" i="5" s="1"/>
  <c r="T921" i="5"/>
  <c r="T922" i="5"/>
  <c r="B920" i="5"/>
  <c r="M920" i="5" s="1"/>
  <c r="J920" i="5"/>
  <c r="K920" i="5" s="1"/>
  <c r="T920" i="5"/>
  <c r="B918" i="5"/>
  <c r="M918" i="5" s="1"/>
  <c r="B919" i="5"/>
  <c r="M919" i="5" s="1"/>
  <c r="J918" i="5"/>
  <c r="K918" i="5" s="1"/>
  <c r="L918" i="5" s="1"/>
  <c r="J919" i="5"/>
  <c r="K919" i="5" s="1"/>
  <c r="T918" i="5"/>
  <c r="T919" i="5"/>
  <c r="B915" i="5"/>
  <c r="Q915" i="5" s="1"/>
  <c r="B916" i="5"/>
  <c r="Q916" i="5" s="1"/>
  <c r="B917" i="5"/>
  <c r="Q917" i="5" s="1"/>
  <c r="J915" i="5"/>
  <c r="K915" i="5" s="1"/>
  <c r="L915" i="5" s="1"/>
  <c r="J916" i="5"/>
  <c r="K916" i="5" s="1"/>
  <c r="L916" i="5" s="1"/>
  <c r="J917" i="5"/>
  <c r="K917" i="5" s="1"/>
  <c r="T915" i="5"/>
  <c r="T916" i="5"/>
  <c r="T917" i="5"/>
  <c r="B912" i="5"/>
  <c r="Q912" i="5" s="1"/>
  <c r="B913" i="5"/>
  <c r="Q913" i="5" s="1"/>
  <c r="B914" i="5"/>
  <c r="Q914" i="5" s="1"/>
  <c r="J912" i="5"/>
  <c r="K912" i="5" s="1"/>
  <c r="L912" i="5" s="1"/>
  <c r="J913" i="5"/>
  <c r="K913" i="5" s="1"/>
  <c r="L913" i="5" s="1"/>
  <c r="J914" i="5"/>
  <c r="K914" i="5" s="1"/>
  <c r="T912" i="5"/>
  <c r="T913" i="5"/>
  <c r="T914" i="5"/>
  <c r="B911" i="5"/>
  <c r="M911" i="5" s="1"/>
  <c r="J911" i="5"/>
  <c r="K911" i="5" s="1"/>
  <c r="T911" i="5"/>
  <c r="B910" i="5"/>
  <c r="Q910" i="5" s="1"/>
  <c r="J910" i="5"/>
  <c r="K910" i="5" s="1"/>
  <c r="L910" i="5" s="1"/>
  <c r="T910" i="5"/>
  <c r="B908" i="5"/>
  <c r="M908" i="5" s="1"/>
  <c r="B909" i="5"/>
  <c r="M909" i="5" s="1"/>
  <c r="J908" i="5"/>
  <c r="K908" i="5" s="1"/>
  <c r="J909" i="5"/>
  <c r="K909" i="5" s="1"/>
  <c r="T908" i="5"/>
  <c r="T909" i="5"/>
  <c r="B907" i="5"/>
  <c r="M907" i="5" s="1"/>
  <c r="J907" i="5"/>
  <c r="K907" i="5" s="1"/>
  <c r="T907" i="5"/>
  <c r="B906" i="5"/>
  <c r="Q906" i="5" s="1"/>
  <c r="J906" i="5"/>
  <c r="K906" i="5" s="1"/>
  <c r="T906" i="5"/>
  <c r="B905" i="5"/>
  <c r="Q905" i="5" s="1"/>
  <c r="J905" i="5"/>
  <c r="K905" i="5" s="1"/>
  <c r="T905" i="5"/>
  <c r="B903" i="5"/>
  <c r="M903" i="5" s="1"/>
  <c r="B904" i="5"/>
  <c r="M904" i="5" s="1"/>
  <c r="J903" i="5"/>
  <c r="K903" i="5" s="1"/>
  <c r="J904" i="5"/>
  <c r="T903" i="5"/>
  <c r="T904" i="5"/>
  <c r="B902" i="5"/>
  <c r="Q902" i="5" s="1"/>
  <c r="J902" i="5"/>
  <c r="K902" i="5" s="1"/>
  <c r="T902" i="5"/>
  <c r="B901" i="5"/>
  <c r="Q901" i="5" s="1"/>
  <c r="J901" i="5"/>
  <c r="K901" i="5" s="1"/>
  <c r="T901" i="5"/>
  <c r="B900" i="5"/>
  <c r="M900" i="5" s="1"/>
  <c r="J900" i="5"/>
  <c r="T900" i="5"/>
  <c r="B899" i="5"/>
  <c r="M899" i="5" s="1"/>
  <c r="J899" i="5"/>
  <c r="K899" i="5" s="1"/>
  <c r="T899" i="5"/>
  <c r="B898" i="5"/>
  <c r="Q898" i="5" s="1"/>
  <c r="J898" i="5"/>
  <c r="K898" i="5" s="1"/>
  <c r="L898" i="5" s="1"/>
  <c r="P898" i="5" s="1"/>
  <c r="T898" i="5"/>
  <c r="B896" i="5"/>
  <c r="M896" i="5" s="1"/>
  <c r="B897" i="5"/>
  <c r="M897" i="5" s="1"/>
  <c r="J896" i="5"/>
  <c r="K896" i="5" s="1"/>
  <c r="J897" i="5"/>
  <c r="K897" i="5" s="1"/>
  <c r="T896" i="5"/>
  <c r="T897" i="5"/>
  <c r="B895" i="5"/>
  <c r="M895" i="5" s="1"/>
  <c r="J895" i="5"/>
  <c r="K895" i="5" s="1"/>
  <c r="T895" i="5"/>
  <c r="B891" i="5"/>
  <c r="Q891" i="5" s="1"/>
  <c r="B892" i="5"/>
  <c r="Q892" i="5" s="1"/>
  <c r="B893" i="5"/>
  <c r="M893" i="5" s="1"/>
  <c r="B894" i="5"/>
  <c r="M894" i="5" s="1"/>
  <c r="J891" i="5"/>
  <c r="K891" i="5" s="1"/>
  <c r="L891" i="5" s="1"/>
  <c r="J892" i="5"/>
  <c r="J893" i="5"/>
  <c r="K893" i="5" s="1"/>
  <c r="J894" i="5"/>
  <c r="T891" i="5"/>
  <c r="T892" i="5"/>
  <c r="T893" i="5"/>
  <c r="T894" i="5"/>
  <c r="B889" i="5"/>
  <c r="M889" i="5" s="1"/>
  <c r="B890" i="5"/>
  <c r="M890" i="5" s="1"/>
  <c r="J889" i="5"/>
  <c r="K889" i="5" s="1"/>
  <c r="J890" i="5"/>
  <c r="K890" i="5" s="1"/>
  <c r="T889" i="5"/>
  <c r="T890" i="5"/>
  <c r="B887" i="5"/>
  <c r="M887" i="5" s="1"/>
  <c r="B888" i="5"/>
  <c r="Q888" i="5" s="1"/>
  <c r="J887" i="5"/>
  <c r="K887" i="5" s="1"/>
  <c r="J888" i="5"/>
  <c r="K888" i="5" s="1"/>
  <c r="L888" i="5" s="1"/>
  <c r="T887" i="5"/>
  <c r="T888" i="5"/>
  <c r="B884" i="5"/>
  <c r="Q884" i="5" s="1"/>
  <c r="B885" i="5"/>
  <c r="Q885" i="5" s="1"/>
  <c r="B886" i="5"/>
  <c r="Q886" i="5" s="1"/>
  <c r="J884" i="5"/>
  <c r="K884" i="5" s="1"/>
  <c r="L884" i="5" s="1"/>
  <c r="J885" i="5"/>
  <c r="K885" i="5" s="1"/>
  <c r="L885" i="5" s="1"/>
  <c r="J886" i="5"/>
  <c r="K886" i="5" s="1"/>
  <c r="T884" i="5"/>
  <c r="T885" i="5"/>
  <c r="T886" i="5"/>
  <c r="B882" i="5"/>
  <c r="M882" i="5" s="1"/>
  <c r="B883" i="5"/>
  <c r="Q883" i="5" s="1"/>
  <c r="J882" i="5"/>
  <c r="K882" i="5" s="1"/>
  <c r="L882" i="5" s="1"/>
  <c r="J883" i="5"/>
  <c r="K883" i="5" s="1"/>
  <c r="T882" i="5"/>
  <c r="T883" i="5"/>
  <c r="B880" i="5"/>
  <c r="Q880" i="5" s="1"/>
  <c r="B881" i="5"/>
  <c r="Q881" i="5" s="1"/>
  <c r="J880" i="5"/>
  <c r="J881" i="5"/>
  <c r="T880" i="5"/>
  <c r="T881" i="5"/>
  <c r="B879" i="5"/>
  <c r="Q879" i="5" s="1"/>
  <c r="J879" i="5"/>
  <c r="K879" i="5" s="1"/>
  <c r="T879" i="5"/>
  <c r="B878" i="5"/>
  <c r="Q878" i="5" s="1"/>
  <c r="J878" i="5"/>
  <c r="K878" i="5" s="1"/>
  <c r="T878" i="5"/>
  <c r="B877" i="5"/>
  <c r="Q877" i="5" s="1"/>
  <c r="J877" i="5"/>
  <c r="K877" i="5" s="1"/>
  <c r="T877" i="5"/>
  <c r="B876" i="5"/>
  <c r="M876" i="5" s="1"/>
  <c r="J876" i="5"/>
  <c r="K876" i="5" s="1"/>
  <c r="T876" i="5"/>
  <c r="B875" i="5"/>
  <c r="Q875" i="5" s="1"/>
  <c r="J875" i="5"/>
  <c r="K875" i="5" s="1"/>
  <c r="T875" i="5"/>
  <c r="B874" i="5"/>
  <c r="Q874" i="5" s="1"/>
  <c r="J874" i="5"/>
  <c r="K874" i="5" s="1"/>
  <c r="T874" i="5"/>
  <c r="B873" i="5"/>
  <c r="Q873" i="5" s="1"/>
  <c r="J873" i="5"/>
  <c r="K873" i="5" s="1"/>
  <c r="T873" i="5"/>
  <c r="B870" i="5"/>
  <c r="Q870" i="5" s="1"/>
  <c r="B871" i="5"/>
  <c r="Q871" i="5" s="1"/>
  <c r="B872" i="5"/>
  <c r="Q872" i="5" s="1"/>
  <c r="J870" i="5"/>
  <c r="K870" i="5" s="1"/>
  <c r="J871" i="5"/>
  <c r="K871" i="5" s="1"/>
  <c r="L871" i="5" s="1"/>
  <c r="J872" i="5"/>
  <c r="K872" i="5" s="1"/>
  <c r="T870" i="5"/>
  <c r="T871" i="5"/>
  <c r="T872" i="5"/>
  <c r="B867" i="5"/>
  <c r="Q867" i="5" s="1"/>
  <c r="B868" i="5"/>
  <c r="Q868" i="5" s="1"/>
  <c r="B869" i="5"/>
  <c r="Q869" i="5" s="1"/>
  <c r="J867" i="5"/>
  <c r="K867" i="5" s="1"/>
  <c r="J868" i="5"/>
  <c r="K868" i="5" s="1"/>
  <c r="L868" i="5" s="1"/>
  <c r="J869" i="5"/>
  <c r="K869" i="5" s="1"/>
  <c r="L869" i="5" s="1"/>
  <c r="T867" i="5"/>
  <c r="T868" i="5"/>
  <c r="T869" i="5"/>
  <c r="B866" i="5"/>
  <c r="Q866" i="5" s="1"/>
  <c r="J866" i="5"/>
  <c r="K866" i="5" s="1"/>
  <c r="T866" i="5"/>
  <c r="B865" i="5"/>
  <c r="M865" i="5" s="1"/>
  <c r="J865" i="5"/>
  <c r="K865" i="5" s="1"/>
  <c r="T865" i="5"/>
  <c r="B863" i="5"/>
  <c r="M863" i="5" s="1"/>
  <c r="B864" i="5"/>
  <c r="Q864" i="5" s="1"/>
  <c r="J863" i="5"/>
  <c r="K863" i="5" s="1"/>
  <c r="J864" i="5"/>
  <c r="K864" i="5" s="1"/>
  <c r="L864" i="5" s="1"/>
  <c r="T863" i="5"/>
  <c r="T864" i="5"/>
  <c r="B862" i="5"/>
  <c r="Q862" i="5" s="1"/>
  <c r="J862" i="5"/>
  <c r="K862" i="5" s="1"/>
  <c r="T862" i="5"/>
  <c r="B861" i="5"/>
  <c r="M861" i="5" s="1"/>
  <c r="J861" i="5"/>
  <c r="K861" i="5" s="1"/>
  <c r="T861" i="5"/>
  <c r="B860" i="5"/>
  <c r="M860" i="5" s="1"/>
  <c r="J860" i="5"/>
  <c r="K860" i="5" s="1"/>
  <c r="T860" i="5"/>
  <c r="B859" i="5"/>
  <c r="Q859" i="5" s="1"/>
  <c r="J859" i="5"/>
  <c r="K859" i="5" s="1"/>
  <c r="T859" i="5"/>
  <c r="B857" i="5"/>
  <c r="M857" i="5" s="1"/>
  <c r="B858" i="5"/>
  <c r="M858" i="5" s="1"/>
  <c r="J857" i="5"/>
  <c r="K857" i="5" s="1"/>
  <c r="J858" i="5"/>
  <c r="K858" i="5" s="1"/>
  <c r="L858" i="5" s="1"/>
  <c r="T857" i="5"/>
  <c r="T858" i="5"/>
  <c r="B856" i="5"/>
  <c r="Q856" i="5" s="1"/>
  <c r="J856" i="5"/>
  <c r="K856" i="5" s="1"/>
  <c r="T856" i="5"/>
  <c r="B855" i="5"/>
  <c r="M855" i="5" s="1"/>
  <c r="J855" i="5"/>
  <c r="K855" i="5" s="1"/>
  <c r="T855" i="5"/>
  <c r="B854" i="5"/>
  <c r="M854" i="5" s="1"/>
  <c r="J854" i="5"/>
  <c r="K854" i="5" s="1"/>
  <c r="T854" i="5"/>
  <c r="B853" i="5"/>
  <c r="M853" i="5" s="1"/>
  <c r="J853" i="5"/>
  <c r="K853" i="5" s="1"/>
  <c r="T853" i="5"/>
  <c r="B852" i="5"/>
  <c r="Q852" i="5" s="1"/>
  <c r="J852" i="5"/>
  <c r="K852" i="5" s="1"/>
  <c r="T852" i="5"/>
  <c r="B851" i="5"/>
  <c r="Q851" i="5" s="1"/>
  <c r="J851" i="5"/>
  <c r="K851" i="5" s="1"/>
  <c r="T851" i="5"/>
  <c r="B849" i="5"/>
  <c r="M849" i="5" s="1"/>
  <c r="B850" i="5"/>
  <c r="Q850" i="5" s="1"/>
  <c r="J849" i="5"/>
  <c r="J850" i="5"/>
  <c r="K850" i="5" s="1"/>
  <c r="T849" i="5"/>
  <c r="T850" i="5"/>
  <c r="B847" i="5"/>
  <c r="M847" i="5" s="1"/>
  <c r="B848" i="5"/>
  <c r="M848" i="5" s="1"/>
  <c r="J847" i="5"/>
  <c r="K847" i="5" s="1"/>
  <c r="L847" i="5" s="1"/>
  <c r="J848" i="5"/>
  <c r="K848" i="5" s="1"/>
  <c r="T847" i="5"/>
  <c r="T848" i="5"/>
  <c r="B845" i="5"/>
  <c r="M845" i="5" s="1"/>
  <c r="B846" i="5"/>
  <c r="Q846" i="5" s="1"/>
  <c r="J845" i="5"/>
  <c r="K845" i="5" s="1"/>
  <c r="J846" i="5"/>
  <c r="T845" i="5"/>
  <c r="T846" i="5"/>
  <c r="B844" i="5"/>
  <c r="Q844" i="5" s="1"/>
  <c r="J844" i="5"/>
  <c r="K844" i="5" s="1"/>
  <c r="T844" i="5"/>
  <c r="B843" i="5"/>
  <c r="M843" i="5" s="1"/>
  <c r="J843" i="5"/>
  <c r="K843" i="5" s="1"/>
  <c r="T843" i="5"/>
  <c r="B841" i="5"/>
  <c r="M841" i="5" s="1"/>
  <c r="B842" i="5"/>
  <c r="M842" i="5" s="1"/>
  <c r="J841" i="5"/>
  <c r="K841" i="5" s="1"/>
  <c r="J842" i="5"/>
  <c r="K842" i="5" s="1"/>
  <c r="T841" i="5"/>
  <c r="T842" i="5"/>
  <c r="B839" i="5"/>
  <c r="M839" i="5" s="1"/>
  <c r="B840" i="5"/>
  <c r="M840" i="5" s="1"/>
  <c r="J839" i="5"/>
  <c r="K839" i="5" s="1"/>
  <c r="L839" i="5" s="1"/>
  <c r="J840" i="5"/>
  <c r="K840" i="5" s="1"/>
  <c r="T839" i="5"/>
  <c r="T840" i="5"/>
  <c r="B838" i="5"/>
  <c r="Q838" i="5" s="1"/>
  <c r="J838" i="5"/>
  <c r="K838" i="5" s="1"/>
  <c r="T838" i="5"/>
  <c r="B834" i="5"/>
  <c r="Q834" i="5" s="1"/>
  <c r="B835" i="5"/>
  <c r="Q835" i="5" s="1"/>
  <c r="B836" i="5"/>
  <c r="Q836" i="5" s="1"/>
  <c r="B837" i="5"/>
  <c r="M837" i="5" s="1"/>
  <c r="J834" i="5"/>
  <c r="K834" i="5" s="1"/>
  <c r="L834" i="5" s="1"/>
  <c r="J835" i="5"/>
  <c r="J836" i="5"/>
  <c r="K836" i="5" s="1"/>
  <c r="J837" i="5"/>
  <c r="K837" i="5" s="1"/>
  <c r="L837" i="5" s="1"/>
  <c r="T834" i="5"/>
  <c r="T835" i="5"/>
  <c r="T836" i="5"/>
  <c r="T837" i="5"/>
  <c r="B832" i="5"/>
  <c r="Q832" i="5" s="1"/>
  <c r="B833" i="5"/>
  <c r="M833" i="5" s="1"/>
  <c r="J832" i="5"/>
  <c r="K832" i="5" s="1"/>
  <c r="J833" i="5"/>
  <c r="T832" i="5"/>
  <c r="T833" i="5"/>
  <c r="B831" i="5"/>
  <c r="M831" i="5" s="1"/>
  <c r="J831" i="5"/>
  <c r="K831" i="5" s="1"/>
  <c r="T831" i="5"/>
  <c r="B830" i="5"/>
  <c r="Q830" i="5" s="1"/>
  <c r="J830" i="5"/>
  <c r="K830" i="5" s="1"/>
  <c r="T830" i="5"/>
  <c r="B828" i="5"/>
  <c r="M828" i="5" s="1"/>
  <c r="B829" i="5"/>
  <c r="M829" i="5" s="1"/>
  <c r="J828" i="5"/>
  <c r="K828" i="5" s="1"/>
  <c r="L828" i="5" s="1"/>
  <c r="J829" i="5"/>
  <c r="K829" i="5" s="1"/>
  <c r="L829" i="5" s="1"/>
  <c r="T828" i="5"/>
  <c r="T829" i="5"/>
  <c r="B827" i="5"/>
  <c r="Q827" i="5" s="1"/>
  <c r="J827" i="5"/>
  <c r="K827" i="5" s="1"/>
  <c r="T827" i="5"/>
  <c r="B826" i="5"/>
  <c r="Q826" i="5" s="1"/>
  <c r="J826" i="5"/>
  <c r="K826" i="5" s="1"/>
  <c r="T826" i="5"/>
  <c r="B824" i="5"/>
  <c r="M824" i="5" s="1"/>
  <c r="B825" i="5"/>
  <c r="M825" i="5" s="1"/>
  <c r="J824" i="5"/>
  <c r="K824" i="5" s="1"/>
  <c r="J825" i="5"/>
  <c r="K825" i="5" s="1"/>
  <c r="T824" i="5"/>
  <c r="T825" i="5"/>
  <c r="B823" i="5"/>
  <c r="Q823" i="5" s="1"/>
  <c r="J823" i="5"/>
  <c r="K823" i="5" s="1"/>
  <c r="T823" i="5"/>
  <c r="B821" i="5"/>
  <c r="M821" i="5" s="1"/>
  <c r="B822" i="5"/>
  <c r="M822" i="5" s="1"/>
  <c r="J821" i="5"/>
  <c r="K821" i="5" s="1"/>
  <c r="J822" i="5"/>
  <c r="K822" i="5" s="1"/>
  <c r="L822" i="5" s="1"/>
  <c r="T821" i="5"/>
  <c r="T822" i="5"/>
  <c r="B820" i="5"/>
  <c r="Q820" i="5" s="1"/>
  <c r="J820" i="5"/>
  <c r="K820" i="5" s="1"/>
  <c r="T820" i="5"/>
  <c r="B819" i="5"/>
  <c r="Q819" i="5" s="1"/>
  <c r="J819" i="5"/>
  <c r="K819" i="5" s="1"/>
  <c r="T819" i="5"/>
  <c r="B817" i="5"/>
  <c r="M817" i="5" s="1"/>
  <c r="B818" i="5"/>
  <c r="Q818" i="5" s="1"/>
  <c r="J817" i="5"/>
  <c r="K817" i="5" s="1"/>
  <c r="J818" i="5"/>
  <c r="K818" i="5" s="1"/>
  <c r="T817" i="5"/>
  <c r="T818" i="5"/>
  <c r="B816" i="5"/>
  <c r="M816" i="5" s="1"/>
  <c r="J816" i="5"/>
  <c r="K816" i="5" s="1"/>
  <c r="T816" i="5"/>
  <c r="B813" i="5"/>
  <c r="Q813" i="5" s="1"/>
  <c r="B814" i="5"/>
  <c r="Q814" i="5" s="1"/>
  <c r="B815" i="5"/>
  <c r="Q815" i="5" s="1"/>
  <c r="J813" i="5"/>
  <c r="K813" i="5" s="1"/>
  <c r="J814" i="5"/>
  <c r="K814" i="5" s="1"/>
  <c r="L814" i="5" s="1"/>
  <c r="J815" i="5"/>
  <c r="K815" i="5" s="1"/>
  <c r="L815" i="5" s="1"/>
  <c r="T813" i="5"/>
  <c r="T814" i="5"/>
  <c r="T815" i="5"/>
  <c r="B811" i="5"/>
  <c r="M811" i="5" s="1"/>
  <c r="B812" i="5"/>
  <c r="Q812" i="5" s="1"/>
  <c r="J811" i="5"/>
  <c r="K811" i="5" s="1"/>
  <c r="J812" i="5"/>
  <c r="T811" i="5"/>
  <c r="T812" i="5"/>
  <c r="B809" i="5"/>
  <c r="M809" i="5" s="1"/>
  <c r="B810" i="5"/>
  <c r="M810" i="5" s="1"/>
  <c r="J809" i="5"/>
  <c r="K809" i="5" s="1"/>
  <c r="L809" i="5" s="1"/>
  <c r="J810" i="5"/>
  <c r="K810" i="5" s="1"/>
  <c r="T809" i="5"/>
  <c r="T810" i="5"/>
  <c r="B808" i="5"/>
  <c r="Q808" i="5" s="1"/>
  <c r="J808" i="5"/>
  <c r="K808" i="5" s="1"/>
  <c r="T808" i="5"/>
  <c r="B807" i="5"/>
  <c r="Q807" i="5" s="1"/>
  <c r="J807" i="5"/>
  <c r="K807" i="5" s="1"/>
  <c r="T807" i="5"/>
  <c r="B806" i="5"/>
  <c r="Q806" i="5" s="1"/>
  <c r="J806" i="5"/>
  <c r="K806" i="5" s="1"/>
  <c r="L806" i="5" s="1"/>
  <c r="T806" i="5"/>
  <c r="B804" i="5"/>
  <c r="M804" i="5" s="1"/>
  <c r="B805" i="5"/>
  <c r="M805" i="5" s="1"/>
  <c r="J804" i="5"/>
  <c r="K804" i="5" s="1"/>
  <c r="J805" i="5"/>
  <c r="K805" i="5" s="1"/>
  <c r="T804" i="5"/>
  <c r="T805" i="5"/>
  <c r="B801" i="5"/>
  <c r="Q801" i="5" s="1"/>
  <c r="B802" i="5"/>
  <c r="Q802" i="5" s="1"/>
  <c r="B803" i="5"/>
  <c r="Q803" i="5" s="1"/>
  <c r="J801" i="5"/>
  <c r="K801" i="5" s="1"/>
  <c r="J802" i="5"/>
  <c r="K802" i="5" s="1"/>
  <c r="L802" i="5" s="1"/>
  <c r="J803" i="5"/>
  <c r="K803" i="5" s="1"/>
  <c r="L803" i="5" s="1"/>
  <c r="T801" i="5"/>
  <c r="T802" i="5"/>
  <c r="T803" i="5"/>
  <c r="B797" i="5"/>
  <c r="Q797" i="5" s="1"/>
  <c r="B798" i="5"/>
  <c r="M798" i="5" s="1"/>
  <c r="B799" i="5"/>
  <c r="Q799" i="5" s="1"/>
  <c r="B800" i="5"/>
  <c r="M800" i="5" s="1"/>
  <c r="J797" i="5"/>
  <c r="K797" i="5" s="1"/>
  <c r="L797" i="5" s="1"/>
  <c r="J798" i="5"/>
  <c r="J799" i="5"/>
  <c r="K799" i="5" s="1"/>
  <c r="J800" i="5"/>
  <c r="K800" i="5" s="1"/>
  <c r="L800" i="5" s="1"/>
  <c r="T797" i="5"/>
  <c r="T798" i="5"/>
  <c r="T799" i="5"/>
  <c r="T800" i="5"/>
  <c r="B796" i="5"/>
  <c r="Q796" i="5" s="1"/>
  <c r="J796" i="5"/>
  <c r="K796" i="5" s="1"/>
  <c r="T796" i="5"/>
  <c r="B791" i="5"/>
  <c r="Q791" i="5" s="1"/>
  <c r="B792" i="5"/>
  <c r="M792" i="5" s="1"/>
  <c r="B793" i="5"/>
  <c r="Q793" i="5" s="1"/>
  <c r="B794" i="5"/>
  <c r="M794" i="5" s="1"/>
  <c r="B795" i="5"/>
  <c r="Q795" i="5" s="1"/>
  <c r="J791" i="5"/>
  <c r="J792" i="5"/>
  <c r="K792" i="5" s="1"/>
  <c r="L792" i="5" s="1"/>
  <c r="J793" i="5"/>
  <c r="K793" i="5" s="1"/>
  <c r="J794" i="5"/>
  <c r="K794" i="5" s="1"/>
  <c r="J795" i="5"/>
  <c r="K795" i="5" s="1"/>
  <c r="T791" i="5"/>
  <c r="T792" i="5"/>
  <c r="T793" i="5"/>
  <c r="T794" i="5"/>
  <c r="T795" i="5"/>
  <c r="B788" i="5"/>
  <c r="Q788" i="5" s="1"/>
  <c r="B789" i="5"/>
  <c r="Q789" i="5" s="1"/>
  <c r="B790" i="5"/>
  <c r="Q790" i="5" s="1"/>
  <c r="J788" i="5"/>
  <c r="K788" i="5" s="1"/>
  <c r="J789" i="5"/>
  <c r="K789" i="5" s="1"/>
  <c r="L789" i="5" s="1"/>
  <c r="J790" i="5"/>
  <c r="K790" i="5" s="1"/>
  <c r="T788" i="5"/>
  <c r="T789" i="5"/>
  <c r="T790" i="5"/>
  <c r="B784" i="5"/>
  <c r="Q784" i="5" s="1"/>
  <c r="B785" i="5"/>
  <c r="Q785" i="5" s="1"/>
  <c r="B786" i="5"/>
  <c r="M786" i="5" s="1"/>
  <c r="B787" i="5"/>
  <c r="M787" i="5" s="1"/>
  <c r="J784" i="5"/>
  <c r="K784" i="5" s="1"/>
  <c r="L784" i="5" s="1"/>
  <c r="J785" i="5"/>
  <c r="K785" i="5" s="1"/>
  <c r="L785" i="5" s="1"/>
  <c r="J786" i="5"/>
  <c r="K786" i="5" s="1"/>
  <c r="J787" i="5"/>
  <c r="K787" i="5" s="1"/>
  <c r="T784" i="5"/>
  <c r="T785" i="5"/>
  <c r="T786" i="5"/>
  <c r="T787" i="5"/>
  <c r="B783" i="5"/>
  <c r="Q783" i="5" s="1"/>
  <c r="J783" i="5"/>
  <c r="K783" i="5" s="1"/>
  <c r="T783" i="5"/>
  <c r="B782" i="5"/>
  <c r="M782" i="5" s="1"/>
  <c r="J782" i="5"/>
  <c r="K782" i="5" s="1"/>
  <c r="T782" i="5"/>
  <c r="B780" i="5"/>
  <c r="M780" i="5" s="1"/>
  <c r="B781" i="5"/>
  <c r="Q781" i="5" s="1"/>
  <c r="J780" i="5"/>
  <c r="K780" i="5" s="1"/>
  <c r="J781" i="5"/>
  <c r="K781" i="5" s="1"/>
  <c r="T780" i="5"/>
  <c r="T781" i="5"/>
  <c r="B778" i="5"/>
  <c r="M778" i="5" s="1"/>
  <c r="B779" i="5"/>
  <c r="M779" i="5" s="1"/>
  <c r="J778" i="5"/>
  <c r="K778" i="5" s="1"/>
  <c r="J779" i="5"/>
  <c r="K779" i="5" s="1"/>
  <c r="T778" i="5"/>
  <c r="T779" i="5"/>
  <c r="B775" i="5"/>
  <c r="Q775" i="5" s="1"/>
  <c r="B776" i="5"/>
  <c r="Q776" i="5" s="1"/>
  <c r="B777" i="5"/>
  <c r="Q777" i="5" s="1"/>
  <c r="J775" i="5"/>
  <c r="K775" i="5" s="1"/>
  <c r="L775" i="5" s="1"/>
  <c r="J776" i="5"/>
  <c r="K776" i="5" s="1"/>
  <c r="J777" i="5"/>
  <c r="K777" i="5" s="1"/>
  <c r="T775" i="5"/>
  <c r="T776" i="5"/>
  <c r="T777" i="5"/>
  <c r="B774" i="5"/>
  <c r="M774" i="5" s="1"/>
  <c r="J774" i="5"/>
  <c r="K774" i="5" s="1"/>
  <c r="T774" i="5"/>
  <c r="B768" i="5"/>
  <c r="Q768" i="5" s="1"/>
  <c r="B769" i="5"/>
  <c r="Q769" i="5" s="1"/>
  <c r="B770" i="5"/>
  <c r="Q770" i="5" s="1"/>
  <c r="B771" i="5"/>
  <c r="M771" i="5" s="1"/>
  <c r="B772" i="5"/>
  <c r="M772" i="5" s="1"/>
  <c r="B773" i="5"/>
  <c r="M773" i="5" s="1"/>
  <c r="J768" i="5"/>
  <c r="K768" i="5" s="1"/>
  <c r="J769" i="5"/>
  <c r="K769" i="5" s="1"/>
  <c r="J770" i="5"/>
  <c r="K770" i="5" s="1"/>
  <c r="J771" i="5"/>
  <c r="K771" i="5" s="1"/>
  <c r="J772" i="5"/>
  <c r="K772" i="5" s="1"/>
  <c r="J773" i="5"/>
  <c r="K773" i="5" s="1"/>
  <c r="T768" i="5"/>
  <c r="T769" i="5"/>
  <c r="T770" i="5"/>
  <c r="T771" i="5"/>
  <c r="T772" i="5"/>
  <c r="T773" i="5"/>
  <c r="B763" i="5"/>
  <c r="M763" i="5" s="1"/>
  <c r="B764" i="5"/>
  <c r="Q764" i="5" s="1"/>
  <c r="B765" i="5"/>
  <c r="Q765" i="5" s="1"/>
  <c r="B766" i="5"/>
  <c r="Q766" i="5" s="1"/>
  <c r="B767" i="5"/>
  <c r="M767" i="5" s="1"/>
  <c r="J763" i="5"/>
  <c r="J764" i="5"/>
  <c r="K764" i="5" s="1"/>
  <c r="L764" i="5" s="1"/>
  <c r="J765" i="5"/>
  <c r="K765" i="5" s="1"/>
  <c r="L765" i="5" s="1"/>
  <c r="P765" i="5" s="1"/>
  <c r="J766" i="5"/>
  <c r="K766" i="5" s="1"/>
  <c r="L766" i="5" s="1"/>
  <c r="P766" i="5" s="1"/>
  <c r="J767" i="5"/>
  <c r="T763" i="5"/>
  <c r="T764" i="5"/>
  <c r="T765" i="5"/>
  <c r="T766" i="5"/>
  <c r="T767" i="5"/>
  <c r="B758" i="5"/>
  <c r="Q758" i="5" s="1"/>
  <c r="B759" i="5"/>
  <c r="Q759" i="5" s="1"/>
  <c r="B760" i="5"/>
  <c r="M760" i="5" s="1"/>
  <c r="B761" i="5"/>
  <c r="M761" i="5" s="1"/>
  <c r="B762" i="5"/>
  <c r="Q762" i="5" s="1"/>
  <c r="J758" i="5"/>
  <c r="J759" i="5"/>
  <c r="J760" i="5"/>
  <c r="J761" i="5"/>
  <c r="K761" i="5" s="1"/>
  <c r="L761" i="5" s="1"/>
  <c r="J762" i="5"/>
  <c r="K762" i="5" s="1"/>
  <c r="T758" i="5"/>
  <c r="T759" i="5"/>
  <c r="T760" i="5"/>
  <c r="T761" i="5"/>
  <c r="T762" i="5"/>
  <c r="B757" i="5"/>
  <c r="M757" i="5" s="1"/>
  <c r="J757" i="5"/>
  <c r="K757" i="5" s="1"/>
  <c r="T757" i="5"/>
  <c r="B754" i="5"/>
  <c r="Q754" i="5" s="1"/>
  <c r="B755" i="5"/>
  <c r="Q755" i="5" s="1"/>
  <c r="B756" i="5"/>
  <c r="Q756" i="5" s="1"/>
  <c r="J754" i="5"/>
  <c r="K754" i="5" s="1"/>
  <c r="J755" i="5"/>
  <c r="K755" i="5" s="1"/>
  <c r="J756" i="5"/>
  <c r="K756" i="5" s="1"/>
  <c r="T754" i="5"/>
  <c r="T755" i="5"/>
  <c r="T756" i="5"/>
  <c r="B751" i="5"/>
  <c r="Q751" i="5" s="1"/>
  <c r="B752" i="5"/>
  <c r="Q752" i="5" s="1"/>
  <c r="B753" i="5"/>
  <c r="Q753" i="5" s="1"/>
  <c r="J751" i="5"/>
  <c r="K751" i="5" s="1"/>
  <c r="L751" i="5" s="1"/>
  <c r="J752" i="5"/>
  <c r="K752" i="5" s="1"/>
  <c r="L752" i="5" s="1"/>
  <c r="J753" i="5"/>
  <c r="K753" i="5" s="1"/>
  <c r="T751" i="5"/>
  <c r="T752" i="5"/>
  <c r="T753" i="5"/>
  <c r="B748" i="5"/>
  <c r="Q748" i="5" s="1"/>
  <c r="B749" i="5"/>
  <c r="Q749" i="5" s="1"/>
  <c r="B750" i="5"/>
  <c r="Q750" i="5" s="1"/>
  <c r="J748" i="5"/>
  <c r="K748" i="5" s="1"/>
  <c r="L748" i="5" s="1"/>
  <c r="J749" i="5"/>
  <c r="K749" i="5" s="1"/>
  <c r="L749" i="5" s="1"/>
  <c r="J750" i="5"/>
  <c r="K750" i="5" s="1"/>
  <c r="T748" i="5"/>
  <c r="T749" i="5"/>
  <c r="T750" i="5"/>
  <c r="B745" i="5"/>
  <c r="Q745" i="5" s="1"/>
  <c r="B746" i="5"/>
  <c r="Q746" i="5" s="1"/>
  <c r="B747" i="5"/>
  <c r="Q747" i="5" s="1"/>
  <c r="J745" i="5"/>
  <c r="K745" i="5" s="1"/>
  <c r="L745" i="5" s="1"/>
  <c r="J746" i="5"/>
  <c r="K746" i="5" s="1"/>
  <c r="L746" i="5" s="1"/>
  <c r="J747" i="5"/>
  <c r="K747" i="5" s="1"/>
  <c r="T745" i="5"/>
  <c r="T746" i="5"/>
  <c r="T747" i="5"/>
  <c r="B744" i="5"/>
  <c r="Q744" i="5" s="1"/>
  <c r="J744" i="5"/>
  <c r="K744" i="5" s="1"/>
  <c r="T744" i="5"/>
  <c r="B739" i="5"/>
  <c r="M739" i="5" s="1"/>
  <c r="B740" i="5"/>
  <c r="M740" i="5" s="1"/>
  <c r="B741" i="5"/>
  <c r="M741" i="5" s="1"/>
  <c r="B742" i="5"/>
  <c r="Q742" i="5" s="1"/>
  <c r="B743" i="5"/>
  <c r="M743" i="5" s="1"/>
  <c r="J739" i="5"/>
  <c r="K739" i="5" s="1"/>
  <c r="J740" i="5"/>
  <c r="K740" i="5" s="1"/>
  <c r="J741" i="5"/>
  <c r="J742" i="5"/>
  <c r="K742" i="5" s="1"/>
  <c r="J743" i="5"/>
  <c r="T739" i="5"/>
  <c r="T740" i="5"/>
  <c r="T741" i="5"/>
  <c r="T742" i="5"/>
  <c r="T743" i="5"/>
  <c r="B736" i="5"/>
  <c r="Q736" i="5" s="1"/>
  <c r="B737" i="5"/>
  <c r="Q737" i="5" s="1"/>
  <c r="B738" i="5"/>
  <c r="Q738" i="5" s="1"/>
  <c r="J736" i="5"/>
  <c r="K736" i="5" s="1"/>
  <c r="J737" i="5"/>
  <c r="K737" i="5" s="1"/>
  <c r="J738" i="5"/>
  <c r="K738" i="5" s="1"/>
  <c r="T736" i="5"/>
  <c r="T737" i="5"/>
  <c r="T738" i="5"/>
  <c r="B734" i="5"/>
  <c r="M734" i="5" s="1"/>
  <c r="B735" i="5"/>
  <c r="M735" i="5" s="1"/>
  <c r="J734" i="5"/>
  <c r="K734" i="5" s="1"/>
  <c r="L734" i="5" s="1"/>
  <c r="J735" i="5"/>
  <c r="K735" i="5" s="1"/>
  <c r="T734" i="5"/>
  <c r="T735" i="5"/>
  <c r="B731" i="5"/>
  <c r="Q731" i="5" s="1"/>
  <c r="B732" i="5"/>
  <c r="Q732" i="5" s="1"/>
  <c r="B733" i="5"/>
  <c r="Q733" i="5" s="1"/>
  <c r="J731" i="5"/>
  <c r="K731" i="5" s="1"/>
  <c r="J732" i="5"/>
  <c r="K732" i="5" s="1"/>
  <c r="J733" i="5"/>
  <c r="K733" i="5" s="1"/>
  <c r="T731" i="5"/>
  <c r="T732" i="5"/>
  <c r="T733" i="5"/>
  <c r="B728" i="5"/>
  <c r="Q728" i="5" s="1"/>
  <c r="B729" i="5"/>
  <c r="Q729" i="5" s="1"/>
  <c r="B730" i="5"/>
  <c r="Q730" i="5" s="1"/>
  <c r="J728" i="5"/>
  <c r="K728" i="5" s="1"/>
  <c r="J729" i="5"/>
  <c r="K729" i="5" s="1"/>
  <c r="J730" i="5"/>
  <c r="K730" i="5" s="1"/>
  <c r="T728" i="5"/>
  <c r="T729" i="5"/>
  <c r="T730" i="5"/>
  <c r="B724" i="5"/>
  <c r="Q724" i="5" s="1"/>
  <c r="B725" i="5"/>
  <c r="M725" i="5" s="1"/>
  <c r="B726" i="5"/>
  <c r="M726" i="5" s="1"/>
  <c r="B727" i="5"/>
  <c r="M727" i="5" s="1"/>
  <c r="J724" i="5"/>
  <c r="K724" i="5" s="1"/>
  <c r="L724" i="5" s="1"/>
  <c r="J725" i="5"/>
  <c r="J726" i="5"/>
  <c r="K726" i="5" s="1"/>
  <c r="J727" i="5"/>
  <c r="K727" i="5" s="1"/>
  <c r="L727" i="5" s="1"/>
  <c r="T724" i="5"/>
  <c r="T725" i="5"/>
  <c r="T726" i="5"/>
  <c r="T727" i="5"/>
  <c r="B719" i="5"/>
  <c r="M719" i="5" s="1"/>
  <c r="B720" i="5"/>
  <c r="M720" i="5" s="1"/>
  <c r="B721" i="5"/>
  <c r="Q721" i="5" s="1"/>
  <c r="B722" i="5"/>
  <c r="Q722" i="5" s="1"/>
  <c r="B723" i="5"/>
  <c r="Q723" i="5" s="1"/>
  <c r="J719" i="5"/>
  <c r="K719" i="5" s="1"/>
  <c r="J720" i="5"/>
  <c r="J721" i="5"/>
  <c r="K721" i="5" s="1"/>
  <c r="J722" i="5"/>
  <c r="K722" i="5" s="1"/>
  <c r="L722" i="5" s="1"/>
  <c r="P722" i="5" s="1"/>
  <c r="J723" i="5"/>
  <c r="T719" i="5"/>
  <c r="T720" i="5"/>
  <c r="T721" i="5"/>
  <c r="T722" i="5"/>
  <c r="T723" i="5"/>
  <c r="B718" i="5"/>
  <c r="Q718" i="5" s="1"/>
  <c r="J718" i="5"/>
  <c r="K718" i="5" s="1"/>
  <c r="L718" i="5" s="1"/>
  <c r="T718" i="5"/>
  <c r="B715" i="5"/>
  <c r="Q715" i="5" s="1"/>
  <c r="B716" i="5"/>
  <c r="Q716" i="5" s="1"/>
  <c r="B717" i="5"/>
  <c r="Q717" i="5" s="1"/>
  <c r="J715" i="5"/>
  <c r="K715" i="5" s="1"/>
  <c r="J716" i="5"/>
  <c r="K716" i="5" s="1"/>
  <c r="L716" i="5" s="1"/>
  <c r="J717" i="5"/>
  <c r="K717" i="5" s="1"/>
  <c r="L717" i="5" s="1"/>
  <c r="T715" i="5"/>
  <c r="T716" i="5"/>
  <c r="T717" i="5"/>
  <c r="B714" i="5"/>
  <c r="M714" i="5" s="1"/>
  <c r="J714" i="5"/>
  <c r="K714" i="5" s="1"/>
  <c r="T714" i="5"/>
  <c r="B712" i="5"/>
  <c r="M712" i="5" s="1"/>
  <c r="B713" i="5"/>
  <c r="M713" i="5" s="1"/>
  <c r="J712" i="5"/>
  <c r="K712" i="5" s="1"/>
  <c r="L712" i="5" s="1"/>
  <c r="J713" i="5"/>
  <c r="K713" i="5" s="1"/>
  <c r="T712" i="5"/>
  <c r="T713" i="5"/>
  <c r="B711" i="5"/>
  <c r="Q711" i="5" s="1"/>
  <c r="J711" i="5"/>
  <c r="K711" i="5" s="1"/>
  <c r="T711" i="5"/>
  <c r="B709" i="5"/>
  <c r="Q709" i="5" s="1"/>
  <c r="B710" i="5"/>
  <c r="M710" i="5" s="1"/>
  <c r="J709" i="5"/>
  <c r="J710" i="5"/>
  <c r="T709" i="5"/>
  <c r="T710" i="5"/>
  <c r="B707" i="5"/>
  <c r="M707" i="5" s="1"/>
  <c r="B708" i="5"/>
  <c r="M708" i="5" s="1"/>
  <c r="J707" i="5"/>
  <c r="K707" i="5" s="1"/>
  <c r="L707" i="5" s="1"/>
  <c r="J708" i="5"/>
  <c r="K708" i="5" s="1"/>
  <c r="T707" i="5"/>
  <c r="T708" i="5"/>
  <c r="B703" i="5"/>
  <c r="Q703" i="5" s="1"/>
  <c r="B704" i="5"/>
  <c r="Q704" i="5" s="1"/>
  <c r="B705" i="5"/>
  <c r="Q705" i="5" s="1"/>
  <c r="B706" i="5"/>
  <c r="M706" i="5" s="1"/>
  <c r="J703" i="5"/>
  <c r="K703" i="5" s="1"/>
  <c r="L703" i="5" s="1"/>
  <c r="J704" i="5"/>
  <c r="K704" i="5" s="1"/>
  <c r="L704" i="5" s="1"/>
  <c r="J705" i="5"/>
  <c r="J706" i="5"/>
  <c r="K706" i="5" s="1"/>
  <c r="T703" i="5"/>
  <c r="T704" i="5"/>
  <c r="T705" i="5"/>
  <c r="T706" i="5"/>
  <c r="B699" i="5"/>
  <c r="M699" i="5" s="1"/>
  <c r="B700" i="5"/>
  <c r="Q700" i="5" s="1"/>
  <c r="B701" i="5"/>
  <c r="Q701" i="5" s="1"/>
  <c r="B702" i="5"/>
  <c r="Q702" i="5" s="1"/>
  <c r="J699" i="5"/>
  <c r="J700" i="5"/>
  <c r="J701" i="5"/>
  <c r="J702" i="5"/>
  <c r="K702" i="5" s="1"/>
  <c r="T699" i="5"/>
  <c r="T700" i="5"/>
  <c r="T701" i="5"/>
  <c r="T702" i="5"/>
  <c r="B693" i="5"/>
  <c r="Q693" i="5" s="1"/>
  <c r="B694" i="5"/>
  <c r="Q694" i="5" s="1"/>
  <c r="B695" i="5"/>
  <c r="Q695" i="5" s="1"/>
  <c r="B696" i="5"/>
  <c r="Q696" i="5" s="1"/>
  <c r="B697" i="5"/>
  <c r="Q697" i="5" s="1"/>
  <c r="B698" i="5"/>
  <c r="Q698" i="5" s="1"/>
  <c r="J693" i="5"/>
  <c r="K693" i="5" s="1"/>
  <c r="J694" i="5"/>
  <c r="K694" i="5" s="1"/>
  <c r="J695" i="5"/>
  <c r="K695" i="5" s="1"/>
  <c r="J696" i="5"/>
  <c r="K696" i="5" s="1"/>
  <c r="J697" i="5"/>
  <c r="K697" i="5" s="1"/>
  <c r="L697" i="5" s="1"/>
  <c r="J698" i="5"/>
  <c r="T693" i="5"/>
  <c r="T694" i="5"/>
  <c r="T695" i="5"/>
  <c r="T696" i="5"/>
  <c r="T697" i="5"/>
  <c r="T698" i="5"/>
  <c r="B691" i="5"/>
  <c r="M691" i="5" s="1"/>
  <c r="B692" i="5"/>
  <c r="M692" i="5" s="1"/>
  <c r="J691" i="5"/>
  <c r="J692" i="5"/>
  <c r="T691" i="5"/>
  <c r="T692" i="5"/>
  <c r="B688" i="5"/>
  <c r="Q688" i="5" s="1"/>
  <c r="B689" i="5"/>
  <c r="Q689" i="5" s="1"/>
  <c r="B690" i="5"/>
  <c r="Q690" i="5" s="1"/>
  <c r="J688" i="5"/>
  <c r="K688" i="5" s="1"/>
  <c r="J689" i="5"/>
  <c r="K689" i="5" s="1"/>
  <c r="L689" i="5" s="1"/>
  <c r="J690" i="5"/>
  <c r="K690" i="5" s="1"/>
  <c r="L690" i="5" s="1"/>
  <c r="T688" i="5"/>
  <c r="T689" i="5"/>
  <c r="T690" i="5"/>
  <c r="B687" i="5"/>
  <c r="M687" i="5" s="1"/>
  <c r="J687" i="5"/>
  <c r="K687" i="5" s="1"/>
  <c r="T687" i="5"/>
  <c r="B684" i="5"/>
  <c r="Q684" i="5" s="1"/>
  <c r="B685" i="5"/>
  <c r="Q685" i="5" s="1"/>
  <c r="B686" i="5"/>
  <c r="Q686" i="5" s="1"/>
  <c r="J684" i="5"/>
  <c r="K684" i="5" s="1"/>
  <c r="L684" i="5" s="1"/>
  <c r="J685" i="5"/>
  <c r="K685" i="5" s="1"/>
  <c r="L685" i="5" s="1"/>
  <c r="J686" i="5"/>
  <c r="K686" i="5" s="1"/>
  <c r="L686" i="5" s="1"/>
  <c r="T684" i="5"/>
  <c r="T685" i="5"/>
  <c r="T686" i="5"/>
  <c r="B680" i="5"/>
  <c r="Q680" i="5" s="1"/>
  <c r="B681" i="5"/>
  <c r="M681" i="5" s="1"/>
  <c r="B682" i="5"/>
  <c r="M682" i="5" s="1"/>
  <c r="B683" i="5"/>
  <c r="Q683" i="5" s="1"/>
  <c r="J680" i="5"/>
  <c r="K680" i="5" s="1"/>
  <c r="J681" i="5"/>
  <c r="J682" i="5"/>
  <c r="K682" i="5" s="1"/>
  <c r="J683" i="5"/>
  <c r="K683" i="5" s="1"/>
  <c r="L683" i="5" s="1"/>
  <c r="T680" i="5"/>
  <c r="T681" i="5"/>
  <c r="T682" i="5"/>
  <c r="T683" i="5"/>
  <c r="B675" i="5"/>
  <c r="Q675" i="5" s="1"/>
  <c r="B676" i="5"/>
  <c r="M676" i="5" s="1"/>
  <c r="B677" i="5"/>
  <c r="M677" i="5" s="1"/>
  <c r="B678" i="5"/>
  <c r="Q678" i="5" s="1"/>
  <c r="B679" i="5"/>
  <c r="M679" i="5" s="1"/>
  <c r="J675" i="5"/>
  <c r="J676" i="5"/>
  <c r="K676" i="5" s="1"/>
  <c r="L676" i="5" s="1"/>
  <c r="J677" i="5"/>
  <c r="K677" i="5" s="1"/>
  <c r="L677" i="5" s="1"/>
  <c r="P677" i="5" s="1"/>
  <c r="J678" i="5"/>
  <c r="K678" i="5" s="1"/>
  <c r="L678" i="5" s="1"/>
  <c r="P678" i="5" s="1"/>
  <c r="J679" i="5"/>
  <c r="T675" i="5"/>
  <c r="T676" i="5"/>
  <c r="T677" i="5"/>
  <c r="T678" i="5"/>
  <c r="T679" i="5"/>
  <c r="B669" i="5"/>
  <c r="Q669" i="5" s="1"/>
  <c r="B670" i="5"/>
  <c r="Q670" i="5" s="1"/>
  <c r="B671" i="5"/>
  <c r="Q671" i="5" s="1"/>
  <c r="B672" i="5"/>
  <c r="M672" i="5" s="1"/>
  <c r="B673" i="5"/>
  <c r="Q673" i="5" s="1"/>
  <c r="B674" i="5"/>
  <c r="M674" i="5" s="1"/>
  <c r="J669" i="5"/>
  <c r="K669" i="5" s="1"/>
  <c r="L669" i="5" s="1"/>
  <c r="P669" i="5" s="1"/>
  <c r="J670" i="5"/>
  <c r="K670" i="5" s="1"/>
  <c r="L670" i="5" s="1"/>
  <c r="J671" i="5"/>
  <c r="K671" i="5" s="1"/>
  <c r="J672" i="5"/>
  <c r="K672" i="5" s="1"/>
  <c r="J673" i="5"/>
  <c r="K673" i="5" s="1"/>
  <c r="J674" i="5"/>
  <c r="K674" i="5" s="1"/>
  <c r="T669" i="5"/>
  <c r="T670" i="5"/>
  <c r="T671" i="5"/>
  <c r="T672" i="5"/>
  <c r="T673" i="5"/>
  <c r="T674" i="5"/>
  <c r="B665" i="5"/>
  <c r="M665" i="5" s="1"/>
  <c r="B666" i="5"/>
  <c r="Q666" i="5" s="1"/>
  <c r="B667" i="5"/>
  <c r="Q667" i="5" s="1"/>
  <c r="B668" i="5"/>
  <c r="M668" i="5" s="1"/>
  <c r="J665" i="5"/>
  <c r="K665" i="5" s="1"/>
  <c r="J666" i="5"/>
  <c r="K666" i="5" s="1"/>
  <c r="L666" i="5" s="1"/>
  <c r="J667" i="5"/>
  <c r="K667" i="5" s="1"/>
  <c r="J668" i="5"/>
  <c r="K668" i="5" s="1"/>
  <c r="T665" i="5"/>
  <c r="T666" i="5"/>
  <c r="T667" i="5"/>
  <c r="T668" i="5"/>
  <c r="B659" i="5"/>
  <c r="Q659" i="5" s="1"/>
  <c r="B660" i="5"/>
  <c r="Q660" i="5" s="1"/>
  <c r="B661" i="5"/>
  <c r="Q661" i="5" s="1"/>
  <c r="B662" i="5"/>
  <c r="Q662" i="5" s="1"/>
  <c r="B663" i="5"/>
  <c r="Q663" i="5" s="1"/>
  <c r="B664" i="5"/>
  <c r="Q664" i="5" s="1"/>
  <c r="J659" i="5"/>
  <c r="K659" i="5" s="1"/>
  <c r="L659" i="5" s="1"/>
  <c r="J660" i="5"/>
  <c r="K660" i="5" s="1"/>
  <c r="L660" i="5" s="1"/>
  <c r="P660" i="5" s="1"/>
  <c r="J661" i="5"/>
  <c r="K661" i="5" s="1"/>
  <c r="J662" i="5"/>
  <c r="K662" i="5" s="1"/>
  <c r="L662" i="5" s="1"/>
  <c r="J663" i="5"/>
  <c r="K663" i="5" s="1"/>
  <c r="J664" i="5"/>
  <c r="K664" i="5" s="1"/>
  <c r="T659" i="5"/>
  <c r="T660" i="5"/>
  <c r="T661" i="5"/>
  <c r="T662" i="5"/>
  <c r="T663" i="5"/>
  <c r="T664" i="5"/>
  <c r="B654" i="5"/>
  <c r="M654" i="5" s="1"/>
  <c r="B655" i="5"/>
  <c r="Q655" i="5" s="1"/>
  <c r="B656" i="5"/>
  <c r="M656" i="5" s="1"/>
  <c r="B657" i="5"/>
  <c r="M657" i="5" s="1"/>
  <c r="B658" i="5"/>
  <c r="M658" i="5" s="1"/>
  <c r="J654" i="5"/>
  <c r="J655" i="5"/>
  <c r="K655" i="5" s="1"/>
  <c r="L655" i="5" s="1"/>
  <c r="J656" i="5"/>
  <c r="K656" i="5" s="1"/>
  <c r="L656" i="5" s="1"/>
  <c r="P656" i="5" s="1"/>
  <c r="J657" i="5"/>
  <c r="K657" i="5" s="1"/>
  <c r="J658" i="5"/>
  <c r="K658" i="5" s="1"/>
  <c r="T654" i="5"/>
  <c r="T655" i="5"/>
  <c r="T656" i="5"/>
  <c r="T657" i="5"/>
  <c r="T658" i="5"/>
  <c r="B653" i="5"/>
  <c r="M653" i="5" s="1"/>
  <c r="J653" i="5"/>
  <c r="K653" i="5" s="1"/>
  <c r="T653" i="5"/>
  <c r="B648" i="5"/>
  <c r="Q648" i="5" s="1"/>
  <c r="B649" i="5"/>
  <c r="M649" i="5" s="1"/>
  <c r="B650" i="5"/>
  <c r="Q650" i="5" s="1"/>
  <c r="B651" i="5"/>
  <c r="Q651" i="5" s="1"/>
  <c r="B652" i="5"/>
  <c r="M652" i="5" s="1"/>
  <c r="J648" i="5"/>
  <c r="J649" i="5"/>
  <c r="K649" i="5" s="1"/>
  <c r="L649" i="5" s="1"/>
  <c r="J650" i="5"/>
  <c r="K650" i="5" s="1"/>
  <c r="L650" i="5" s="1"/>
  <c r="P650" i="5" s="1"/>
  <c r="J651" i="5"/>
  <c r="K651" i="5" s="1"/>
  <c r="L651" i="5" s="1"/>
  <c r="P651" i="5" s="1"/>
  <c r="J652" i="5"/>
  <c r="T648" i="5"/>
  <c r="T649" i="5"/>
  <c r="T650" i="5"/>
  <c r="T651" i="5"/>
  <c r="T652" i="5"/>
  <c r="B644" i="5"/>
  <c r="Q644" i="5" s="1"/>
  <c r="B645" i="5"/>
  <c r="M645" i="5" s="1"/>
  <c r="B646" i="5"/>
  <c r="M646" i="5" s="1"/>
  <c r="B647" i="5"/>
  <c r="Q647" i="5" s="1"/>
  <c r="J644" i="5"/>
  <c r="K644" i="5" s="1"/>
  <c r="L644" i="5" s="1"/>
  <c r="J645" i="5"/>
  <c r="K645" i="5" s="1"/>
  <c r="J646" i="5"/>
  <c r="K646" i="5" s="1"/>
  <c r="J647" i="5"/>
  <c r="T644" i="5"/>
  <c r="T645" i="5"/>
  <c r="T646" i="5"/>
  <c r="T647" i="5"/>
  <c r="B640" i="5"/>
  <c r="Q640" i="5" s="1"/>
  <c r="B641" i="5"/>
  <c r="M641" i="5" s="1"/>
  <c r="B642" i="5"/>
  <c r="M642" i="5" s="1"/>
  <c r="B643" i="5"/>
  <c r="M643" i="5" s="1"/>
  <c r="J640" i="5"/>
  <c r="K640" i="5" s="1"/>
  <c r="L640" i="5" s="1"/>
  <c r="J641" i="5"/>
  <c r="K641" i="5" s="1"/>
  <c r="L641" i="5" s="1"/>
  <c r="J642" i="5"/>
  <c r="K642" i="5" s="1"/>
  <c r="J643" i="5"/>
  <c r="K643" i="5" s="1"/>
  <c r="T640" i="5"/>
  <c r="T641" i="5"/>
  <c r="T642" i="5"/>
  <c r="T643" i="5"/>
  <c r="B637" i="5"/>
  <c r="Q637" i="5" s="1"/>
  <c r="B638" i="5"/>
  <c r="Q638" i="5" s="1"/>
  <c r="B639" i="5"/>
  <c r="Q639" i="5" s="1"/>
  <c r="J637" i="5"/>
  <c r="K637" i="5" s="1"/>
  <c r="L637" i="5" s="1"/>
  <c r="J638" i="5"/>
  <c r="K638" i="5" s="1"/>
  <c r="L638" i="5" s="1"/>
  <c r="J639" i="5"/>
  <c r="K639" i="5" s="1"/>
  <c r="L639" i="5" s="1"/>
  <c r="T637" i="5"/>
  <c r="T638" i="5"/>
  <c r="T639" i="5"/>
  <c r="B636" i="5"/>
  <c r="M636" i="5" s="1"/>
  <c r="J636" i="5"/>
  <c r="K636" i="5" s="1"/>
  <c r="T636" i="5"/>
  <c r="B634" i="5"/>
  <c r="M634" i="5" s="1"/>
  <c r="B635" i="5"/>
  <c r="Q635" i="5" s="1"/>
  <c r="J634" i="5"/>
  <c r="J635" i="5"/>
  <c r="T634" i="5"/>
  <c r="T635" i="5"/>
  <c r="B629" i="5"/>
  <c r="Q629" i="5" s="1"/>
  <c r="B630" i="5"/>
  <c r="M630" i="5" s="1"/>
  <c r="B631" i="5"/>
  <c r="Q631" i="5" s="1"/>
  <c r="B632" i="5"/>
  <c r="Q632" i="5" s="1"/>
  <c r="B633" i="5"/>
  <c r="Q633" i="5" s="1"/>
  <c r="J629" i="5"/>
  <c r="J630" i="5"/>
  <c r="K630" i="5" s="1"/>
  <c r="L630" i="5" s="1"/>
  <c r="J631" i="5"/>
  <c r="K631" i="5" s="1"/>
  <c r="J632" i="5"/>
  <c r="K632" i="5" s="1"/>
  <c r="L632" i="5" s="1"/>
  <c r="J633" i="5"/>
  <c r="K633" i="5" s="1"/>
  <c r="T629" i="5"/>
  <c r="T630" i="5"/>
  <c r="T631" i="5"/>
  <c r="T632" i="5"/>
  <c r="T633" i="5"/>
  <c r="B626" i="5"/>
  <c r="Q626" i="5" s="1"/>
  <c r="B627" i="5"/>
  <c r="Q627" i="5" s="1"/>
  <c r="B628" i="5"/>
  <c r="Q628" i="5" s="1"/>
  <c r="J626" i="5"/>
  <c r="K626" i="5" s="1"/>
  <c r="J627" i="5"/>
  <c r="K627" i="5" s="1"/>
  <c r="L627" i="5" s="1"/>
  <c r="J628" i="5"/>
  <c r="K628" i="5" s="1"/>
  <c r="L628" i="5" s="1"/>
  <c r="T626" i="5"/>
  <c r="T627" i="5"/>
  <c r="T628" i="5"/>
  <c r="B624" i="5"/>
  <c r="M624" i="5" s="1"/>
  <c r="B625" i="5"/>
  <c r="M625" i="5" s="1"/>
  <c r="J624" i="5"/>
  <c r="K624" i="5" s="1"/>
  <c r="J625" i="5"/>
  <c r="K625" i="5" s="1"/>
  <c r="T624" i="5"/>
  <c r="T625" i="5"/>
  <c r="B623" i="5"/>
  <c r="Q623" i="5" s="1"/>
  <c r="J623" i="5"/>
  <c r="K623" i="5" s="1"/>
  <c r="T623" i="5"/>
  <c r="B621" i="5"/>
  <c r="M621" i="5" s="1"/>
  <c r="B622" i="5"/>
  <c r="M622" i="5" s="1"/>
  <c r="J621" i="5"/>
  <c r="K621" i="5" s="1"/>
  <c r="J622" i="5"/>
  <c r="K622" i="5" s="1"/>
  <c r="T621" i="5"/>
  <c r="T622" i="5"/>
  <c r="B618" i="5"/>
  <c r="Q618" i="5" s="1"/>
  <c r="B619" i="5"/>
  <c r="Q619" i="5" s="1"/>
  <c r="B620" i="5"/>
  <c r="Q620" i="5" s="1"/>
  <c r="J618" i="5"/>
  <c r="K618" i="5" s="1"/>
  <c r="J619" i="5"/>
  <c r="K619" i="5" s="1"/>
  <c r="L619" i="5" s="1"/>
  <c r="J620" i="5"/>
  <c r="K620" i="5" s="1"/>
  <c r="T618" i="5"/>
  <c r="T619" i="5"/>
  <c r="T620" i="5"/>
  <c r="B616" i="5"/>
  <c r="M616" i="5" s="1"/>
  <c r="B617" i="5"/>
  <c r="Q617" i="5" s="1"/>
  <c r="J616" i="5"/>
  <c r="J617" i="5"/>
  <c r="T616" i="5"/>
  <c r="T617" i="5"/>
  <c r="B614" i="5"/>
  <c r="M614" i="5" s="1"/>
  <c r="B615" i="5"/>
  <c r="M615" i="5" s="1"/>
  <c r="J614" i="5"/>
  <c r="K614" i="5" s="1"/>
  <c r="L614" i="5" s="1"/>
  <c r="J615" i="5"/>
  <c r="K615" i="5" s="1"/>
  <c r="L615" i="5" s="1"/>
  <c r="T614" i="5"/>
  <c r="T615" i="5"/>
  <c r="B612" i="5"/>
  <c r="M612" i="5" s="1"/>
  <c r="B613" i="5"/>
  <c r="M613" i="5" s="1"/>
  <c r="J612" i="5"/>
  <c r="K612" i="5" s="1"/>
  <c r="L612" i="5" s="1"/>
  <c r="J613" i="5"/>
  <c r="K613" i="5" s="1"/>
  <c r="T612" i="5"/>
  <c r="T613" i="5"/>
  <c r="B609" i="5"/>
  <c r="Q609" i="5" s="1"/>
  <c r="B610" i="5"/>
  <c r="Q610" i="5" s="1"/>
  <c r="B611" i="5"/>
  <c r="Q611" i="5" s="1"/>
  <c r="J609" i="5"/>
  <c r="K609" i="5" s="1"/>
  <c r="J610" i="5"/>
  <c r="K610" i="5" s="1"/>
  <c r="L610" i="5" s="1"/>
  <c r="J611" i="5"/>
  <c r="K611" i="5" s="1"/>
  <c r="T609" i="5"/>
  <c r="T610" i="5"/>
  <c r="T611" i="5"/>
  <c r="B608" i="5"/>
  <c r="M608" i="5" s="1"/>
  <c r="J608" i="5"/>
  <c r="K608" i="5" s="1"/>
  <c r="T608" i="5"/>
  <c r="B606" i="5"/>
  <c r="Q606" i="5" s="1"/>
  <c r="B607" i="5"/>
  <c r="M607" i="5" s="1"/>
  <c r="J606" i="5"/>
  <c r="K606" i="5" s="1"/>
  <c r="L606" i="5" s="1"/>
  <c r="J607" i="5"/>
  <c r="K607" i="5" s="1"/>
  <c r="T606" i="5"/>
  <c r="T607" i="5"/>
  <c r="B604" i="5"/>
  <c r="M604" i="5" s="1"/>
  <c r="B605" i="5"/>
  <c r="M605" i="5" s="1"/>
  <c r="J604" i="5"/>
  <c r="J605" i="5"/>
  <c r="T604" i="5"/>
  <c r="T605" i="5"/>
  <c r="B600" i="5"/>
  <c r="Q600" i="5" s="1"/>
  <c r="B601" i="5"/>
  <c r="M601" i="5" s="1"/>
  <c r="B602" i="5"/>
  <c r="M602" i="5" s="1"/>
  <c r="B603" i="5"/>
  <c r="Q603" i="5" s="1"/>
  <c r="J600" i="5"/>
  <c r="K600" i="5" s="1"/>
  <c r="J601" i="5"/>
  <c r="K601" i="5" s="1"/>
  <c r="J602" i="5"/>
  <c r="K602" i="5" s="1"/>
  <c r="L602" i="5" s="1"/>
  <c r="J603" i="5"/>
  <c r="T600" i="5"/>
  <c r="T601" i="5"/>
  <c r="T602" i="5"/>
  <c r="T603" i="5"/>
  <c r="B597" i="5"/>
  <c r="Q597" i="5" s="1"/>
  <c r="B598" i="5"/>
  <c r="Q598" i="5" s="1"/>
  <c r="B599" i="5"/>
  <c r="Q599" i="5" s="1"/>
  <c r="J597" i="5"/>
  <c r="K597" i="5" s="1"/>
  <c r="J598" i="5"/>
  <c r="K598" i="5" s="1"/>
  <c r="L598" i="5" s="1"/>
  <c r="J599" i="5"/>
  <c r="K599" i="5" s="1"/>
  <c r="L599" i="5" s="1"/>
  <c r="T597" i="5"/>
  <c r="T598" i="5"/>
  <c r="T599" i="5"/>
  <c r="B593" i="5"/>
  <c r="Q593" i="5" s="1"/>
  <c r="B594" i="5"/>
  <c r="Q594" i="5" s="1"/>
  <c r="B595" i="5"/>
  <c r="Q595" i="5" s="1"/>
  <c r="B596" i="5"/>
  <c r="M596" i="5" s="1"/>
  <c r="J593" i="5"/>
  <c r="K593" i="5" s="1"/>
  <c r="L593" i="5" s="1"/>
  <c r="J594" i="5"/>
  <c r="K594" i="5" s="1"/>
  <c r="L594" i="5" s="1"/>
  <c r="J595" i="5"/>
  <c r="J596" i="5"/>
  <c r="K596" i="5" s="1"/>
  <c r="T593" i="5"/>
  <c r="T594" i="5"/>
  <c r="T595" i="5"/>
  <c r="T596" i="5"/>
  <c r="B591" i="5"/>
  <c r="Q591" i="5" s="1"/>
  <c r="B592" i="5"/>
  <c r="M592" i="5" s="1"/>
  <c r="J591" i="5"/>
  <c r="J592" i="5"/>
  <c r="T591" i="5"/>
  <c r="T592" i="5"/>
  <c r="B589" i="5"/>
  <c r="M589" i="5" s="1"/>
  <c r="B590" i="5"/>
  <c r="M590" i="5" s="1"/>
  <c r="J589" i="5"/>
  <c r="J590" i="5"/>
  <c r="K590" i="5" s="1"/>
  <c r="L590" i="5" s="1"/>
  <c r="T589" i="5"/>
  <c r="T590" i="5"/>
  <c r="B585" i="5"/>
  <c r="Q585" i="5" s="1"/>
  <c r="B586" i="5"/>
  <c r="Q586" i="5" s="1"/>
  <c r="B587" i="5"/>
  <c r="M587" i="5" s="1"/>
  <c r="B588" i="5"/>
  <c r="M588" i="5" s="1"/>
  <c r="J585" i="5"/>
  <c r="K585" i="5" s="1"/>
  <c r="L585" i="5" s="1"/>
  <c r="J586" i="5"/>
  <c r="J587" i="5"/>
  <c r="K587" i="5" s="1"/>
  <c r="J588" i="5"/>
  <c r="K588" i="5" s="1"/>
  <c r="L588" i="5" s="1"/>
  <c r="T585" i="5"/>
  <c r="T586" i="5"/>
  <c r="T587" i="5"/>
  <c r="T588" i="5"/>
  <c r="B581" i="5"/>
  <c r="Q581" i="5" s="1"/>
  <c r="B582" i="5"/>
  <c r="M582" i="5" s="1"/>
  <c r="B583" i="5"/>
  <c r="B584" i="5"/>
  <c r="M584" i="5" s="1"/>
  <c r="J581" i="5"/>
  <c r="K581" i="5" s="1"/>
  <c r="L581" i="5" s="1"/>
  <c r="J582" i="5"/>
  <c r="J583" i="5"/>
  <c r="K583" i="5" s="1"/>
  <c r="J584" i="5"/>
  <c r="K584" i="5" s="1"/>
  <c r="L584" i="5" s="1"/>
  <c r="T581" i="5"/>
  <c r="T582" i="5"/>
  <c r="T583" i="5"/>
  <c r="T584" i="5"/>
  <c r="B579" i="5"/>
  <c r="M579" i="5" s="1"/>
  <c r="B580" i="5"/>
  <c r="M580" i="5" s="1"/>
  <c r="J579" i="5"/>
  <c r="K579" i="5" s="1"/>
  <c r="J580" i="5"/>
  <c r="K580" i="5" s="1"/>
  <c r="T579" i="5"/>
  <c r="T580" i="5"/>
  <c r="B576" i="5"/>
  <c r="Q576" i="5" s="1"/>
  <c r="B577" i="5"/>
  <c r="Q577" i="5" s="1"/>
  <c r="B578" i="5"/>
  <c r="Q578" i="5" s="1"/>
  <c r="J576" i="5"/>
  <c r="K576" i="5" s="1"/>
  <c r="L576" i="5" s="1"/>
  <c r="J577" i="5"/>
  <c r="K577" i="5" s="1"/>
  <c r="J578" i="5"/>
  <c r="K578" i="5" s="1"/>
  <c r="T576" i="5"/>
  <c r="T577" i="5"/>
  <c r="T578" i="5"/>
  <c r="B575" i="5"/>
  <c r="M575" i="5" s="1"/>
  <c r="J575" i="5"/>
  <c r="K575" i="5" s="1"/>
  <c r="T575" i="5"/>
  <c r="B571" i="5"/>
  <c r="Q571" i="5" s="1"/>
  <c r="B572" i="5"/>
  <c r="B573" i="5"/>
  <c r="Q573" i="5" s="1"/>
  <c r="B574" i="5"/>
  <c r="M574" i="5" s="1"/>
  <c r="J571" i="5"/>
  <c r="K571" i="5" s="1"/>
  <c r="L571" i="5" s="1"/>
  <c r="J572" i="5"/>
  <c r="J573" i="5"/>
  <c r="J574" i="5"/>
  <c r="K574" i="5" s="1"/>
  <c r="L574" i="5" s="1"/>
  <c r="T571" i="5"/>
  <c r="T572" i="5"/>
  <c r="T573" i="5"/>
  <c r="T574" i="5"/>
  <c r="B566" i="5"/>
  <c r="Q566" i="5" s="1"/>
  <c r="B567" i="5"/>
  <c r="M567" i="5" s="1"/>
  <c r="B568" i="5"/>
  <c r="B569" i="5"/>
  <c r="M569" i="5" s="1"/>
  <c r="B570" i="5"/>
  <c r="M570" i="5" s="1"/>
  <c r="J566" i="5"/>
  <c r="J567" i="5"/>
  <c r="K567" i="5" s="1"/>
  <c r="J568" i="5"/>
  <c r="K568" i="5" s="1"/>
  <c r="J569" i="5"/>
  <c r="K569" i="5" s="1"/>
  <c r="L569" i="5" s="1"/>
  <c r="J570" i="5"/>
  <c r="K570" i="5" s="1"/>
  <c r="T566" i="5"/>
  <c r="T567" i="5"/>
  <c r="T568" i="5"/>
  <c r="T569" i="5"/>
  <c r="T570" i="5"/>
  <c r="B564" i="5"/>
  <c r="Q564" i="5" s="1"/>
  <c r="B565" i="5"/>
  <c r="J564" i="5"/>
  <c r="J565" i="5"/>
  <c r="K565" i="5" s="1"/>
  <c r="L565" i="5" s="1"/>
  <c r="T564" i="5"/>
  <c r="T565" i="5"/>
  <c r="B560" i="5"/>
  <c r="M560" i="5" s="1"/>
  <c r="B561" i="5"/>
  <c r="Q561" i="5" s="1"/>
  <c r="B562" i="5"/>
  <c r="B563" i="5"/>
  <c r="M563" i="5" s="1"/>
  <c r="J560" i="5"/>
  <c r="K560" i="5" s="1"/>
  <c r="J561" i="5"/>
  <c r="K561" i="5" s="1"/>
  <c r="J562" i="5"/>
  <c r="J563" i="5"/>
  <c r="K563" i="5" s="1"/>
  <c r="T560" i="5"/>
  <c r="T561" i="5"/>
  <c r="T562" i="5"/>
  <c r="T563" i="5"/>
  <c r="B559" i="5"/>
  <c r="Q559" i="5" s="1"/>
  <c r="J559" i="5"/>
  <c r="K559" i="5" s="1"/>
  <c r="T559" i="5"/>
  <c r="B556" i="5"/>
  <c r="Q556" i="5" s="1"/>
  <c r="B557" i="5"/>
  <c r="Q557" i="5" s="1"/>
  <c r="B558" i="5"/>
  <c r="M558" i="5" s="1"/>
  <c r="J556" i="5"/>
  <c r="K556" i="5" s="1"/>
  <c r="J557" i="5"/>
  <c r="K557" i="5" s="1"/>
  <c r="L557" i="5" s="1"/>
  <c r="J558" i="5"/>
  <c r="K558" i="5" s="1"/>
  <c r="T556" i="5"/>
  <c r="T557" i="5"/>
  <c r="T558" i="5"/>
  <c r="B553" i="5"/>
  <c r="Q553" i="5" s="1"/>
  <c r="B554" i="5"/>
  <c r="B555" i="5"/>
  <c r="Q555" i="5" s="1"/>
  <c r="J553" i="5"/>
  <c r="K553" i="5" s="1"/>
  <c r="J554" i="5"/>
  <c r="K554" i="5" s="1"/>
  <c r="J555" i="5"/>
  <c r="K555" i="5" s="1"/>
  <c r="L555" i="5" s="1"/>
  <c r="T553" i="5"/>
  <c r="T554" i="5"/>
  <c r="T555" i="5"/>
  <c r="B552" i="5"/>
  <c r="M552" i="5" s="1"/>
  <c r="J552" i="5"/>
  <c r="K552" i="5" s="1"/>
  <c r="T552" i="5"/>
  <c r="B550" i="5"/>
  <c r="M550" i="5" s="1"/>
  <c r="B551" i="5"/>
  <c r="M551" i="5" s="1"/>
  <c r="J550" i="5"/>
  <c r="K550" i="5" s="1"/>
  <c r="J551" i="5"/>
  <c r="T550" i="5"/>
  <c r="T551" i="5"/>
  <c r="B549" i="5"/>
  <c r="M549" i="5" s="1"/>
  <c r="J549" i="5"/>
  <c r="K549" i="5" s="1"/>
  <c r="T549" i="5"/>
  <c r="B547" i="5"/>
  <c r="M547" i="5" s="1"/>
  <c r="B548" i="5"/>
  <c r="M548" i="5" s="1"/>
  <c r="J547" i="5"/>
  <c r="K547" i="5" s="1"/>
  <c r="L547" i="5" s="1"/>
  <c r="J548" i="5"/>
  <c r="K548" i="5" s="1"/>
  <c r="L548" i="5" s="1"/>
  <c r="T547" i="5"/>
  <c r="T548" i="5"/>
  <c r="B544" i="5"/>
  <c r="Q544" i="5" s="1"/>
  <c r="B545" i="5"/>
  <c r="Q545" i="5" s="1"/>
  <c r="B546" i="5"/>
  <c r="Q546" i="5" s="1"/>
  <c r="J544" i="5"/>
  <c r="K544" i="5" s="1"/>
  <c r="J545" i="5"/>
  <c r="K545" i="5" s="1"/>
  <c r="L545" i="5" s="1"/>
  <c r="J546" i="5"/>
  <c r="K546" i="5" s="1"/>
  <c r="L546" i="5" s="1"/>
  <c r="T544" i="5"/>
  <c r="T545" i="5"/>
  <c r="T546" i="5"/>
  <c r="B540" i="5"/>
  <c r="Q540" i="5" s="1"/>
  <c r="B541" i="5"/>
  <c r="M541" i="5" s="1"/>
  <c r="B542" i="5"/>
  <c r="M542" i="5" s="1"/>
  <c r="B543" i="5"/>
  <c r="M543" i="5" s="1"/>
  <c r="J540" i="5"/>
  <c r="K540" i="5" s="1"/>
  <c r="L540" i="5" s="1"/>
  <c r="J541" i="5"/>
  <c r="K541" i="5" s="1"/>
  <c r="L541" i="5" s="1"/>
  <c r="J542" i="5"/>
  <c r="J543" i="5"/>
  <c r="T540" i="5"/>
  <c r="T541" i="5"/>
  <c r="T542" i="5"/>
  <c r="T543" i="5"/>
  <c r="B537" i="5"/>
  <c r="Q537" i="5" s="1"/>
  <c r="B538" i="5"/>
  <c r="Q538" i="5" s="1"/>
  <c r="B539" i="5"/>
  <c r="Q539" i="5" s="1"/>
  <c r="J537" i="5"/>
  <c r="K537" i="5" s="1"/>
  <c r="L537" i="5" s="1"/>
  <c r="J538" i="5"/>
  <c r="K538" i="5" s="1"/>
  <c r="J539" i="5"/>
  <c r="K539" i="5" s="1"/>
  <c r="T537" i="5"/>
  <c r="T538" i="5"/>
  <c r="T539" i="5"/>
  <c r="B535" i="5"/>
  <c r="M535" i="5" s="1"/>
  <c r="B536" i="5"/>
  <c r="M536" i="5" s="1"/>
  <c r="J535" i="5"/>
  <c r="K535" i="5" s="1"/>
  <c r="J536" i="5"/>
  <c r="K536" i="5" s="1"/>
  <c r="L536" i="5" s="1"/>
  <c r="T535" i="5"/>
  <c r="T536" i="5"/>
  <c r="B532" i="5"/>
  <c r="Q532" i="5" s="1"/>
  <c r="B533" i="5"/>
  <c r="B534" i="5"/>
  <c r="Q534" i="5" s="1"/>
  <c r="J532" i="5"/>
  <c r="K532" i="5" s="1"/>
  <c r="J533" i="5"/>
  <c r="K533" i="5" s="1"/>
  <c r="L533" i="5" s="1"/>
  <c r="J534" i="5"/>
  <c r="K534" i="5" s="1"/>
  <c r="L534" i="5" s="1"/>
  <c r="T532" i="5"/>
  <c r="T533" i="5"/>
  <c r="T534" i="5"/>
  <c r="B528" i="5"/>
  <c r="M528" i="5" s="1"/>
  <c r="B529" i="5"/>
  <c r="M529" i="5" s="1"/>
  <c r="B530" i="5"/>
  <c r="B531" i="5"/>
  <c r="M531" i="5" s="1"/>
  <c r="J528" i="5"/>
  <c r="K528" i="5" s="1"/>
  <c r="L528" i="5" s="1"/>
  <c r="J529" i="5"/>
  <c r="K529" i="5" s="1"/>
  <c r="L529" i="5" s="1"/>
  <c r="J530" i="5"/>
  <c r="K530" i="5" s="1"/>
  <c r="J531" i="5"/>
  <c r="K531" i="5" s="1"/>
  <c r="T528" i="5"/>
  <c r="T529" i="5"/>
  <c r="T530" i="5"/>
  <c r="T531" i="5"/>
  <c r="B525" i="5"/>
  <c r="Q525" i="5" s="1"/>
  <c r="B526" i="5"/>
  <c r="Q526" i="5" s="1"/>
  <c r="B527" i="5"/>
  <c r="M527" i="5" s="1"/>
  <c r="J525" i="5"/>
  <c r="K525" i="5" s="1"/>
  <c r="L525" i="5" s="1"/>
  <c r="J526" i="5"/>
  <c r="K526" i="5" s="1"/>
  <c r="L526" i="5" s="1"/>
  <c r="J527" i="5"/>
  <c r="K527" i="5" s="1"/>
  <c r="T525" i="5"/>
  <c r="T526" i="5"/>
  <c r="T527" i="5"/>
  <c r="B523" i="5"/>
  <c r="M523" i="5" s="1"/>
  <c r="B524" i="5"/>
  <c r="J523" i="5"/>
  <c r="K523" i="5" s="1"/>
  <c r="J524" i="5"/>
  <c r="K524" i="5" s="1"/>
  <c r="T523" i="5"/>
  <c r="T524" i="5"/>
  <c r="B519" i="5"/>
  <c r="M519" i="5" s="1"/>
  <c r="B520" i="5"/>
  <c r="M520" i="5" s="1"/>
  <c r="B521" i="5"/>
  <c r="Q521" i="5" s="1"/>
  <c r="B522" i="5"/>
  <c r="Q522" i="5" s="1"/>
  <c r="J519" i="5"/>
  <c r="K519" i="5" s="1"/>
  <c r="J520" i="5"/>
  <c r="K520" i="5" s="1"/>
  <c r="L520" i="5" s="1"/>
  <c r="J521" i="5"/>
  <c r="K521" i="5" s="1"/>
  <c r="J522" i="5"/>
  <c r="K522" i="5" s="1"/>
  <c r="L522" i="5" s="1"/>
  <c r="T519" i="5"/>
  <c r="T520" i="5"/>
  <c r="T521" i="5"/>
  <c r="T522" i="5"/>
  <c r="B518" i="5"/>
  <c r="J518" i="5"/>
  <c r="K518" i="5" s="1"/>
  <c r="T518" i="5"/>
  <c r="B517" i="5"/>
  <c r="J517" i="5"/>
  <c r="K517" i="5" s="1"/>
  <c r="T517" i="5"/>
  <c r="B512" i="5"/>
  <c r="M512" i="5" s="1"/>
  <c r="B513" i="5"/>
  <c r="M513" i="5" s="1"/>
  <c r="B514" i="5"/>
  <c r="B515" i="5"/>
  <c r="Q515" i="5" s="1"/>
  <c r="B516" i="5"/>
  <c r="M516" i="5" s="1"/>
  <c r="J512" i="5"/>
  <c r="J513" i="5"/>
  <c r="J514" i="5"/>
  <c r="K514" i="5" s="1"/>
  <c r="L514" i="5" s="1"/>
  <c r="J515" i="5"/>
  <c r="K515" i="5" s="1"/>
  <c r="L515" i="5" s="1"/>
  <c r="P515" i="5" s="1"/>
  <c r="J516" i="5"/>
  <c r="T512" i="5"/>
  <c r="T513" i="5"/>
  <c r="T514" i="5"/>
  <c r="T515" i="5"/>
  <c r="T516" i="5"/>
  <c r="B511" i="5"/>
  <c r="M511" i="5" s="1"/>
  <c r="J511" i="5"/>
  <c r="K511" i="5" s="1"/>
  <c r="T511" i="5"/>
  <c r="B509" i="5"/>
  <c r="Q509" i="5" s="1"/>
  <c r="B510" i="5"/>
  <c r="Q510" i="5" s="1"/>
  <c r="J509" i="5"/>
  <c r="J510" i="5"/>
  <c r="T509" i="5"/>
  <c r="T510" i="5"/>
  <c r="B506" i="5"/>
  <c r="Q506" i="5" s="1"/>
  <c r="B507" i="5"/>
  <c r="M507" i="5" s="1"/>
  <c r="B508" i="5"/>
  <c r="Q508" i="5" s="1"/>
  <c r="J506" i="5"/>
  <c r="K506" i="5" s="1"/>
  <c r="J507" i="5"/>
  <c r="K507" i="5" s="1"/>
  <c r="L507" i="5" s="1"/>
  <c r="J508" i="5"/>
  <c r="K508" i="5" s="1"/>
  <c r="T506" i="5"/>
  <c r="T507" i="5"/>
  <c r="T508" i="5"/>
  <c r="B503" i="5"/>
  <c r="Q503" i="5" s="1"/>
  <c r="B504" i="5"/>
  <c r="Q504" i="5" s="1"/>
  <c r="B505" i="5"/>
  <c r="Q505" i="5" s="1"/>
  <c r="J503" i="5"/>
  <c r="K503" i="5" s="1"/>
  <c r="J504" i="5"/>
  <c r="K504" i="5" s="1"/>
  <c r="L504" i="5" s="1"/>
  <c r="J505" i="5"/>
  <c r="K505" i="5" s="1"/>
  <c r="T503" i="5"/>
  <c r="T504" i="5"/>
  <c r="T505" i="5"/>
  <c r="B499" i="5"/>
  <c r="M499" i="5" s="1"/>
  <c r="B500" i="5"/>
  <c r="Q500" i="5" s="1"/>
  <c r="B501" i="5"/>
  <c r="B502" i="5"/>
  <c r="Q502" i="5" s="1"/>
  <c r="J499" i="5"/>
  <c r="K499" i="5" s="1"/>
  <c r="L499" i="5" s="1"/>
  <c r="J500" i="5"/>
  <c r="J501" i="5"/>
  <c r="K501" i="5" s="1"/>
  <c r="J502" i="5"/>
  <c r="K502" i="5" s="1"/>
  <c r="L502" i="5" s="1"/>
  <c r="T499" i="5"/>
  <c r="T500" i="5"/>
  <c r="T501" i="5"/>
  <c r="T502" i="5"/>
  <c r="B498" i="5"/>
  <c r="M498" i="5" s="1"/>
  <c r="J498" i="5"/>
  <c r="K498" i="5" s="1"/>
  <c r="T498" i="5"/>
  <c r="B494" i="5"/>
  <c r="Q494" i="5" s="1"/>
  <c r="B495" i="5"/>
  <c r="M495" i="5" s="1"/>
  <c r="B496" i="5"/>
  <c r="B497" i="5"/>
  <c r="M497" i="5" s="1"/>
  <c r="J494" i="5"/>
  <c r="K494" i="5" s="1"/>
  <c r="J495" i="5"/>
  <c r="K495" i="5" s="1"/>
  <c r="L495" i="5" s="1"/>
  <c r="J496" i="5"/>
  <c r="K496" i="5" s="1"/>
  <c r="J497" i="5"/>
  <c r="K497" i="5" s="1"/>
  <c r="T494" i="5"/>
  <c r="T495" i="5"/>
  <c r="T496" i="5"/>
  <c r="T497" i="5"/>
  <c r="B493" i="5"/>
  <c r="M493" i="5" s="1"/>
  <c r="J493" i="5"/>
  <c r="K493" i="5" s="1"/>
  <c r="T493" i="5"/>
  <c r="B492" i="5"/>
  <c r="M492" i="5" s="1"/>
  <c r="J492" i="5"/>
  <c r="K492" i="5" s="1"/>
  <c r="T492" i="5"/>
  <c r="B489" i="5"/>
  <c r="Q489" i="5" s="1"/>
  <c r="B490" i="5"/>
  <c r="Q490" i="5" s="1"/>
  <c r="B491" i="5"/>
  <c r="Q491" i="5" s="1"/>
  <c r="J489" i="5"/>
  <c r="K489" i="5" s="1"/>
  <c r="J490" i="5"/>
  <c r="K490" i="5" s="1"/>
  <c r="L490" i="5" s="1"/>
  <c r="J491" i="5"/>
  <c r="K491" i="5" s="1"/>
  <c r="T489" i="5"/>
  <c r="T490" i="5"/>
  <c r="T491" i="5"/>
  <c r="B488" i="5"/>
  <c r="M488" i="5" s="1"/>
  <c r="J488" i="5"/>
  <c r="K488" i="5" s="1"/>
  <c r="T488" i="5"/>
  <c r="B487" i="5"/>
  <c r="M487" i="5" s="1"/>
  <c r="J487" i="5"/>
  <c r="K487" i="5" s="1"/>
  <c r="T487" i="5"/>
  <c r="B485" i="5"/>
  <c r="M485" i="5" s="1"/>
  <c r="B486" i="5"/>
  <c r="M486" i="5" s="1"/>
  <c r="J485" i="5"/>
  <c r="J486" i="5"/>
  <c r="K486" i="5" s="1"/>
  <c r="L486" i="5" s="1"/>
  <c r="T485" i="5"/>
  <c r="T486" i="5"/>
  <c r="B483" i="5"/>
  <c r="Q483" i="5" s="1"/>
  <c r="B484" i="5"/>
  <c r="M484" i="5" s="1"/>
  <c r="J483" i="5"/>
  <c r="K483" i="5" s="1"/>
  <c r="J484" i="5"/>
  <c r="K484" i="5" s="1"/>
  <c r="L484" i="5" s="1"/>
  <c r="T483" i="5"/>
  <c r="T484" i="5"/>
  <c r="B481" i="5"/>
  <c r="M481" i="5" s="1"/>
  <c r="B482" i="5"/>
  <c r="M482" i="5" s="1"/>
  <c r="J481" i="5"/>
  <c r="K481" i="5" s="1"/>
  <c r="J482" i="5"/>
  <c r="K482" i="5" s="1"/>
  <c r="T481" i="5"/>
  <c r="T482" i="5"/>
  <c r="B479" i="5"/>
  <c r="M479" i="5" s="1"/>
  <c r="B480" i="5"/>
  <c r="M480" i="5" s="1"/>
  <c r="J479" i="5"/>
  <c r="K479" i="5" s="1"/>
  <c r="L479" i="5" s="1"/>
  <c r="J480" i="5"/>
  <c r="K480" i="5" s="1"/>
  <c r="T479" i="5"/>
  <c r="T480" i="5"/>
  <c r="B477" i="5"/>
  <c r="M477" i="5" s="1"/>
  <c r="B478" i="5"/>
  <c r="J477" i="5"/>
  <c r="K477" i="5" s="1"/>
  <c r="J478" i="5"/>
  <c r="K478" i="5" s="1"/>
  <c r="T477" i="5"/>
  <c r="T478" i="5"/>
  <c r="B473" i="5"/>
  <c r="M473" i="5" s="1"/>
  <c r="B474" i="5"/>
  <c r="M474" i="5" s="1"/>
  <c r="B475" i="5"/>
  <c r="B476" i="5"/>
  <c r="Q476" i="5" s="1"/>
  <c r="J473" i="5"/>
  <c r="K473" i="5" s="1"/>
  <c r="J474" i="5"/>
  <c r="K474" i="5" s="1"/>
  <c r="J475" i="5"/>
  <c r="K475" i="5" s="1"/>
  <c r="J476" i="5"/>
  <c r="T473" i="5"/>
  <c r="T474" i="5"/>
  <c r="T475" i="5"/>
  <c r="T476" i="5"/>
  <c r="B471" i="5"/>
  <c r="M471" i="5" s="1"/>
  <c r="B472" i="5"/>
  <c r="M472" i="5" s="1"/>
  <c r="J471" i="5"/>
  <c r="K471" i="5" s="1"/>
  <c r="J472" i="5"/>
  <c r="K472" i="5" s="1"/>
  <c r="T471" i="5"/>
  <c r="T472" i="5"/>
  <c r="B468" i="5"/>
  <c r="Q468" i="5" s="1"/>
  <c r="B469" i="5"/>
  <c r="Q469" i="5" s="1"/>
  <c r="B470" i="5"/>
  <c r="Q470" i="5" s="1"/>
  <c r="J468" i="5"/>
  <c r="K468" i="5" s="1"/>
  <c r="J469" i="5"/>
  <c r="K469" i="5" s="1"/>
  <c r="L469" i="5" s="1"/>
  <c r="J470" i="5"/>
  <c r="K470" i="5" s="1"/>
  <c r="T468" i="5"/>
  <c r="T469" i="5"/>
  <c r="T470" i="5"/>
  <c r="B466" i="5"/>
  <c r="Q466" i="5" s="1"/>
  <c r="B467" i="5"/>
  <c r="Q467" i="5" s="1"/>
  <c r="J466" i="5"/>
  <c r="J467" i="5"/>
  <c r="T466" i="5"/>
  <c r="T467" i="5"/>
  <c r="B462" i="5"/>
  <c r="M462" i="5" s="1"/>
  <c r="B463" i="5"/>
  <c r="Q463" i="5" s="1"/>
  <c r="B464" i="5"/>
  <c r="B465" i="5"/>
  <c r="M465" i="5" s="1"/>
  <c r="J462" i="5"/>
  <c r="K462" i="5" s="1"/>
  <c r="L462" i="5" s="1"/>
  <c r="J463" i="5"/>
  <c r="J464" i="5"/>
  <c r="K464" i="5" s="1"/>
  <c r="J465" i="5"/>
  <c r="K465" i="5" s="1"/>
  <c r="L465" i="5" s="1"/>
  <c r="T462" i="5"/>
  <c r="T463" i="5"/>
  <c r="T464" i="5"/>
  <c r="T465" i="5"/>
  <c r="B458" i="5"/>
  <c r="M458" i="5" s="1"/>
  <c r="B459" i="5"/>
  <c r="Q459" i="5" s="1"/>
  <c r="B460" i="5"/>
  <c r="B461" i="5"/>
  <c r="M461" i="5" s="1"/>
  <c r="J458" i="5"/>
  <c r="K458" i="5" s="1"/>
  <c r="L458" i="5" s="1"/>
  <c r="J459" i="5"/>
  <c r="J460" i="5"/>
  <c r="K460" i="5" s="1"/>
  <c r="J461" i="5"/>
  <c r="K461" i="5" s="1"/>
  <c r="T458" i="5"/>
  <c r="T459" i="5"/>
  <c r="T460" i="5"/>
  <c r="T461" i="5"/>
  <c r="B454" i="5"/>
  <c r="M454" i="5" s="1"/>
  <c r="B455" i="5"/>
  <c r="Q455" i="5" s="1"/>
  <c r="B456" i="5"/>
  <c r="B457" i="5"/>
  <c r="Q457" i="5" s="1"/>
  <c r="J454" i="5"/>
  <c r="K454" i="5" s="1"/>
  <c r="L454" i="5" s="1"/>
  <c r="J455" i="5"/>
  <c r="J456" i="5"/>
  <c r="K456" i="5" s="1"/>
  <c r="J457" i="5"/>
  <c r="K457" i="5" s="1"/>
  <c r="T454" i="5"/>
  <c r="T455" i="5"/>
  <c r="T456" i="5"/>
  <c r="T457" i="5"/>
  <c r="B453" i="5"/>
  <c r="M453" i="5" s="1"/>
  <c r="J453" i="5"/>
  <c r="K453" i="5" s="1"/>
  <c r="T453" i="5"/>
  <c r="B452" i="5"/>
  <c r="M452" i="5" s="1"/>
  <c r="J452" i="5"/>
  <c r="K452" i="5" s="1"/>
  <c r="L452" i="5" s="1"/>
  <c r="T452" i="5"/>
  <c r="B450" i="5"/>
  <c r="M450" i="5" s="1"/>
  <c r="B451" i="5"/>
  <c r="Q451" i="5" s="1"/>
  <c r="J450" i="5"/>
  <c r="K450" i="5" s="1"/>
  <c r="J451" i="5"/>
  <c r="T450" i="5"/>
  <c r="T451" i="5"/>
  <c r="B448" i="5"/>
  <c r="M448" i="5" s="1"/>
  <c r="B449" i="5"/>
  <c r="J448" i="5"/>
  <c r="K448" i="5" s="1"/>
  <c r="L448" i="5" s="1"/>
  <c r="J449" i="5"/>
  <c r="K449" i="5" s="1"/>
  <c r="L449" i="5" s="1"/>
  <c r="T448" i="5"/>
  <c r="T449" i="5"/>
  <c r="B442" i="5"/>
  <c r="M442" i="5" s="1"/>
  <c r="B443" i="5"/>
  <c r="M443" i="5" s="1"/>
  <c r="B444" i="5"/>
  <c r="M444" i="5" s="1"/>
  <c r="B445" i="5"/>
  <c r="M445" i="5" s="1"/>
  <c r="B446" i="5"/>
  <c r="B447" i="5"/>
  <c r="M447" i="5" s="1"/>
  <c r="J442" i="5"/>
  <c r="K442" i="5" s="1"/>
  <c r="L442" i="5" s="1"/>
  <c r="P442" i="5" s="1"/>
  <c r="J443" i="5"/>
  <c r="K443" i="5" s="1"/>
  <c r="L443" i="5" s="1"/>
  <c r="J444" i="5"/>
  <c r="K444" i="5" s="1"/>
  <c r="J445" i="5"/>
  <c r="K445" i="5" s="1"/>
  <c r="J446" i="5"/>
  <c r="J447" i="5"/>
  <c r="K447" i="5" s="1"/>
  <c r="T442" i="5"/>
  <c r="T443" i="5"/>
  <c r="T444" i="5"/>
  <c r="T445" i="5"/>
  <c r="T446" i="5"/>
  <c r="T447" i="5"/>
  <c r="E55" i="12"/>
  <c r="E50" i="12"/>
  <c r="E49" i="12"/>
  <c r="E48" i="12"/>
  <c r="E47" i="12"/>
  <c r="E46" i="12"/>
  <c r="E45" i="12"/>
  <c r="E44" i="12"/>
  <c r="E42" i="12"/>
  <c r="E40" i="12"/>
  <c r="E39" i="12"/>
  <c r="E38" i="12"/>
  <c r="E37" i="12"/>
  <c r="E36" i="12"/>
  <c r="E35" i="12"/>
  <c r="E34" i="12"/>
  <c r="E33" i="12"/>
  <c r="E31" i="12"/>
  <c r="E30" i="12"/>
  <c r="E29" i="12"/>
  <c r="E27" i="12"/>
  <c r="E26" i="12"/>
  <c r="E24" i="12"/>
  <c r="E23" i="12"/>
  <c r="E21" i="12"/>
  <c r="E20" i="12"/>
  <c r="E19" i="12"/>
  <c r="E17" i="12"/>
  <c r="E16" i="12"/>
  <c r="E14" i="12"/>
  <c r="E13" i="12"/>
  <c r="E12" i="12"/>
  <c r="E11" i="12"/>
  <c r="D55" i="12"/>
  <c r="D50" i="12"/>
  <c r="D49" i="12"/>
  <c r="D48" i="12"/>
  <c r="D46" i="12"/>
  <c r="D45" i="12"/>
  <c r="D44" i="12"/>
  <c r="D43" i="12"/>
  <c r="D42" i="12"/>
  <c r="D40" i="12"/>
  <c r="D39" i="12"/>
  <c r="D38" i="12"/>
  <c r="D37" i="12"/>
  <c r="D36" i="12"/>
  <c r="D35" i="12"/>
  <c r="D34" i="12"/>
  <c r="D33" i="12"/>
  <c r="D31" i="12"/>
  <c r="D30" i="12"/>
  <c r="D29" i="12"/>
  <c r="D27" i="12"/>
  <c r="D26" i="12"/>
  <c r="D24" i="12"/>
  <c r="D23" i="12"/>
  <c r="D22" i="12"/>
  <c r="D21" i="12"/>
  <c r="D20" i="12"/>
  <c r="D19" i="12"/>
  <c r="D17" i="12"/>
  <c r="D16" i="12"/>
  <c r="D14" i="12"/>
  <c r="D12" i="12"/>
  <c r="B439" i="5"/>
  <c r="Q439" i="5" s="1"/>
  <c r="B440" i="5"/>
  <c r="Q440" i="5" s="1"/>
  <c r="B441" i="5"/>
  <c r="Q441" i="5" s="1"/>
  <c r="J439" i="5"/>
  <c r="K439" i="5" s="1"/>
  <c r="J440" i="5"/>
  <c r="K440" i="5" s="1"/>
  <c r="J441" i="5"/>
  <c r="T439" i="5"/>
  <c r="T440" i="5"/>
  <c r="T441" i="5"/>
  <c r="B437" i="5"/>
  <c r="M437" i="5" s="1"/>
  <c r="B438" i="5"/>
  <c r="Q438" i="5" s="1"/>
  <c r="J437" i="5"/>
  <c r="K437" i="5" s="1"/>
  <c r="L437" i="5" s="1"/>
  <c r="J438" i="5"/>
  <c r="K438" i="5" s="1"/>
  <c r="T437" i="5"/>
  <c r="T438" i="5"/>
  <c r="B436" i="5"/>
  <c r="Q436" i="5" s="1"/>
  <c r="J436" i="5"/>
  <c r="T436" i="5"/>
  <c r="B433" i="5"/>
  <c r="Q433" i="5" s="1"/>
  <c r="B434" i="5"/>
  <c r="M434" i="5" s="1"/>
  <c r="B435" i="5"/>
  <c r="J433" i="5"/>
  <c r="K433" i="5" s="1"/>
  <c r="J434" i="5"/>
  <c r="K434" i="5" s="1"/>
  <c r="J435" i="5"/>
  <c r="T433" i="5"/>
  <c r="T434" i="5"/>
  <c r="T435" i="5"/>
  <c r="B432" i="5"/>
  <c r="M432" i="5" s="1"/>
  <c r="J432" i="5"/>
  <c r="K432" i="5" s="1"/>
  <c r="T432" i="5"/>
  <c r="B431" i="5"/>
  <c r="J431" i="5"/>
  <c r="K431" i="5" s="1"/>
  <c r="T431" i="5"/>
  <c r="B430" i="5"/>
  <c r="J430" i="5"/>
  <c r="T430" i="5"/>
  <c r="B429" i="5"/>
  <c r="J429" i="5"/>
  <c r="K429" i="5" s="1"/>
  <c r="L429" i="5" s="1"/>
  <c r="P429" i="5" s="1"/>
  <c r="T429" i="5"/>
  <c r="B427" i="5"/>
  <c r="M427" i="5" s="1"/>
  <c r="B428" i="5"/>
  <c r="M428" i="5" s="1"/>
  <c r="J427" i="5"/>
  <c r="K427" i="5" s="1"/>
  <c r="J428" i="5"/>
  <c r="T427" i="5"/>
  <c r="T428" i="5"/>
  <c r="B424" i="5"/>
  <c r="Q424" i="5" s="1"/>
  <c r="B425" i="5"/>
  <c r="M425" i="5" s="1"/>
  <c r="B426" i="5"/>
  <c r="M426" i="5" s="1"/>
  <c r="J424" i="5"/>
  <c r="K424" i="5" s="1"/>
  <c r="J425" i="5"/>
  <c r="K425" i="5" s="1"/>
  <c r="J426" i="5"/>
  <c r="K426" i="5" s="1"/>
  <c r="T424" i="5"/>
  <c r="T425" i="5"/>
  <c r="T426" i="5"/>
  <c r="B423" i="5"/>
  <c r="M423" i="5" s="1"/>
  <c r="J423" i="5"/>
  <c r="K423" i="5" s="1"/>
  <c r="T423" i="5"/>
  <c r="B421" i="5"/>
  <c r="Q421" i="5" s="1"/>
  <c r="B422" i="5"/>
  <c r="M422" i="5" s="1"/>
  <c r="J421" i="5"/>
  <c r="K421" i="5" s="1"/>
  <c r="J422" i="5"/>
  <c r="T421" i="5"/>
  <c r="T422" i="5"/>
  <c r="B419" i="5"/>
  <c r="M419" i="5" s="1"/>
  <c r="B420" i="5"/>
  <c r="Q420" i="5" s="1"/>
  <c r="J419" i="5"/>
  <c r="K419" i="5" s="1"/>
  <c r="J420" i="5"/>
  <c r="K420" i="5" s="1"/>
  <c r="T419" i="5"/>
  <c r="T420" i="5"/>
  <c r="B416" i="5"/>
  <c r="Q416" i="5" s="1"/>
  <c r="B417" i="5"/>
  <c r="Q417" i="5" s="1"/>
  <c r="B418" i="5"/>
  <c r="M418" i="5" s="1"/>
  <c r="J416" i="5"/>
  <c r="K416" i="5" s="1"/>
  <c r="J417" i="5"/>
  <c r="K417" i="5" s="1"/>
  <c r="L417" i="5" s="1"/>
  <c r="P417" i="5" s="1"/>
  <c r="J418" i="5"/>
  <c r="K418" i="5" s="1"/>
  <c r="L418" i="5" s="1"/>
  <c r="T416" i="5"/>
  <c r="T417" i="5"/>
  <c r="T418" i="5"/>
  <c r="B415" i="5"/>
  <c r="M415" i="5" s="1"/>
  <c r="J415" i="5"/>
  <c r="T415" i="5"/>
  <c r="B412" i="5"/>
  <c r="B413" i="5"/>
  <c r="Q413" i="5" s="1"/>
  <c r="B414" i="5"/>
  <c r="M414" i="5" s="1"/>
  <c r="J412" i="5"/>
  <c r="K412" i="5" s="1"/>
  <c r="J413" i="5"/>
  <c r="K413" i="5" s="1"/>
  <c r="J414" i="5"/>
  <c r="T412" i="5"/>
  <c r="T413" i="5"/>
  <c r="T414" i="5"/>
  <c r="B411" i="5"/>
  <c r="Q411" i="5" s="1"/>
  <c r="J411" i="5"/>
  <c r="K411" i="5" s="1"/>
  <c r="T411" i="5"/>
  <c r="B406" i="5"/>
  <c r="M406" i="5" s="1"/>
  <c r="B407" i="5"/>
  <c r="M407" i="5" s="1"/>
  <c r="B408" i="5"/>
  <c r="Q408" i="5" s="1"/>
  <c r="B409" i="5"/>
  <c r="M409" i="5" s="1"/>
  <c r="B410" i="5"/>
  <c r="Q410" i="5" s="1"/>
  <c r="J406" i="5"/>
  <c r="K406" i="5" s="1"/>
  <c r="L406" i="5" s="1"/>
  <c r="J407" i="5"/>
  <c r="J408" i="5"/>
  <c r="J409" i="5"/>
  <c r="K409" i="5" s="1"/>
  <c r="J410" i="5"/>
  <c r="T406" i="5"/>
  <c r="T407" i="5"/>
  <c r="T408" i="5"/>
  <c r="T409" i="5"/>
  <c r="T410" i="5"/>
  <c r="B405" i="5"/>
  <c r="M405" i="5" s="1"/>
  <c r="J405" i="5"/>
  <c r="K405" i="5" s="1"/>
  <c r="T405" i="5"/>
  <c r="B401" i="5"/>
  <c r="M401" i="5" s="1"/>
  <c r="B402" i="5"/>
  <c r="M402" i="5" s="1"/>
  <c r="B403" i="5"/>
  <c r="Q403" i="5" s="1"/>
  <c r="B404" i="5"/>
  <c r="M404" i="5" s="1"/>
  <c r="J401" i="5"/>
  <c r="K401" i="5" s="1"/>
  <c r="L401" i="5" s="1"/>
  <c r="P401" i="5" s="1"/>
  <c r="J402" i="5"/>
  <c r="K402" i="5" s="1"/>
  <c r="J403" i="5"/>
  <c r="J404" i="5"/>
  <c r="K404" i="5" s="1"/>
  <c r="T401" i="5"/>
  <c r="T402" i="5"/>
  <c r="T403" i="5"/>
  <c r="T404" i="5"/>
  <c r="B399" i="5"/>
  <c r="Q399" i="5" s="1"/>
  <c r="B400" i="5"/>
  <c r="Q400" i="5" s="1"/>
  <c r="J399" i="5"/>
  <c r="K399" i="5" s="1"/>
  <c r="J400" i="5"/>
  <c r="K400" i="5" s="1"/>
  <c r="T399" i="5"/>
  <c r="T400" i="5"/>
  <c r="B398" i="5"/>
  <c r="M398" i="5" s="1"/>
  <c r="J398" i="5"/>
  <c r="K398" i="5" s="1"/>
  <c r="L398" i="5" s="1"/>
  <c r="T398" i="5"/>
  <c r="B396" i="5"/>
  <c r="Q396" i="5" s="1"/>
  <c r="B397" i="5"/>
  <c r="M397" i="5" s="1"/>
  <c r="J396" i="5"/>
  <c r="K396" i="5" s="1"/>
  <c r="J397" i="5"/>
  <c r="K397" i="5" s="1"/>
  <c r="L397" i="5" s="1"/>
  <c r="T396" i="5"/>
  <c r="T397" i="5"/>
  <c r="B395" i="5"/>
  <c r="M395" i="5" s="1"/>
  <c r="J395" i="5"/>
  <c r="K395" i="5" s="1"/>
  <c r="T395" i="5"/>
  <c r="B392" i="5"/>
  <c r="Q392" i="5" s="1"/>
  <c r="B393" i="5"/>
  <c r="Q393" i="5" s="1"/>
  <c r="B394" i="5"/>
  <c r="J392" i="5"/>
  <c r="K392" i="5" s="1"/>
  <c r="J393" i="5"/>
  <c r="K393" i="5" s="1"/>
  <c r="L393" i="5" s="1"/>
  <c r="J394" i="5"/>
  <c r="K394" i="5" s="1"/>
  <c r="T392" i="5"/>
  <c r="T393" i="5"/>
  <c r="T394" i="5"/>
  <c r="B391" i="5"/>
  <c r="M391" i="5" s="1"/>
  <c r="J391" i="5"/>
  <c r="K391" i="5" s="1"/>
  <c r="T391" i="5"/>
  <c r="B388" i="5"/>
  <c r="Q388" i="5" s="1"/>
  <c r="B389" i="5"/>
  <c r="M389" i="5" s="1"/>
  <c r="B390" i="5"/>
  <c r="M390" i="5" s="1"/>
  <c r="J388" i="5"/>
  <c r="K388" i="5" s="1"/>
  <c r="J389" i="5"/>
  <c r="K389" i="5" s="1"/>
  <c r="J390" i="5"/>
  <c r="K390" i="5" s="1"/>
  <c r="L390" i="5" s="1"/>
  <c r="T388" i="5"/>
  <c r="T389" i="5"/>
  <c r="T390" i="5"/>
  <c r="B383" i="5"/>
  <c r="M383" i="5" s="1"/>
  <c r="B384" i="5"/>
  <c r="B385" i="5"/>
  <c r="B386" i="5"/>
  <c r="Q386" i="5" s="1"/>
  <c r="B387" i="5"/>
  <c r="M387" i="5" s="1"/>
  <c r="J383" i="5"/>
  <c r="K383" i="5" s="1"/>
  <c r="J384" i="5"/>
  <c r="K384" i="5" s="1"/>
  <c r="L384" i="5" s="1"/>
  <c r="J385" i="5"/>
  <c r="K385" i="5" s="1"/>
  <c r="J386" i="5"/>
  <c r="K386" i="5" s="1"/>
  <c r="J387" i="5"/>
  <c r="K387" i="5" s="1"/>
  <c r="T383" i="5"/>
  <c r="T384" i="5"/>
  <c r="T385" i="5"/>
  <c r="T386" i="5"/>
  <c r="T387" i="5"/>
  <c r="B380" i="5"/>
  <c r="B381" i="5"/>
  <c r="Q381" i="5" s="1"/>
  <c r="B382" i="5"/>
  <c r="M382" i="5" s="1"/>
  <c r="J380" i="5"/>
  <c r="K380" i="5" s="1"/>
  <c r="L380" i="5" s="1"/>
  <c r="J381" i="5"/>
  <c r="J382" i="5"/>
  <c r="K382" i="5" s="1"/>
  <c r="T380" i="5"/>
  <c r="T381" i="5"/>
  <c r="T382" i="5"/>
  <c r="B378" i="5"/>
  <c r="M378" i="5" s="1"/>
  <c r="B379" i="5"/>
  <c r="M379" i="5" s="1"/>
  <c r="J378" i="5"/>
  <c r="K378" i="5" s="1"/>
  <c r="L378" i="5" s="1"/>
  <c r="P378" i="5" s="1"/>
  <c r="J379" i="5"/>
  <c r="K379" i="5" s="1"/>
  <c r="T378" i="5"/>
  <c r="T379" i="5"/>
  <c r="B376" i="5"/>
  <c r="M376" i="5" s="1"/>
  <c r="B377" i="5"/>
  <c r="M377" i="5" s="1"/>
  <c r="J376" i="5"/>
  <c r="K376" i="5" s="1"/>
  <c r="J377" i="5"/>
  <c r="T376" i="5"/>
  <c r="T377" i="5"/>
  <c r="B375" i="5"/>
  <c r="J375" i="5"/>
  <c r="K375" i="5" s="1"/>
  <c r="T375" i="5"/>
  <c r="B374" i="5"/>
  <c r="J374" i="5"/>
  <c r="K374" i="5" s="1"/>
  <c r="L374" i="5" s="1"/>
  <c r="T374" i="5"/>
  <c r="B373" i="5"/>
  <c r="J373" i="5"/>
  <c r="K373" i="5" s="1"/>
  <c r="T373" i="5"/>
  <c r="B372" i="5"/>
  <c r="J372" i="5"/>
  <c r="K372" i="5" s="1"/>
  <c r="T372" i="5"/>
  <c r="B371" i="5"/>
  <c r="J371" i="5"/>
  <c r="K371" i="5" s="1"/>
  <c r="L371" i="5" s="1"/>
  <c r="T371" i="5"/>
  <c r="B370" i="5"/>
  <c r="J370" i="5"/>
  <c r="K370" i="5" s="1"/>
  <c r="L370" i="5" s="1"/>
  <c r="T370" i="5"/>
  <c r="B368" i="5"/>
  <c r="Q368" i="5" s="1"/>
  <c r="B369" i="5"/>
  <c r="Q369" i="5" s="1"/>
  <c r="J368" i="5"/>
  <c r="K368" i="5" s="1"/>
  <c r="J369" i="5"/>
  <c r="T368" i="5"/>
  <c r="T369" i="5"/>
  <c r="B366" i="5"/>
  <c r="Q366" i="5" s="1"/>
  <c r="B367" i="5"/>
  <c r="M367" i="5" s="1"/>
  <c r="J366" i="5"/>
  <c r="K366" i="5" s="1"/>
  <c r="J367" i="5"/>
  <c r="K367" i="5" s="1"/>
  <c r="T366" i="5"/>
  <c r="T367" i="5"/>
  <c r="B364" i="5"/>
  <c r="Q364" i="5" s="1"/>
  <c r="B365" i="5"/>
  <c r="Q365" i="5" s="1"/>
  <c r="J364" i="5"/>
  <c r="K364" i="5" s="1"/>
  <c r="L364" i="5" s="1"/>
  <c r="J365" i="5"/>
  <c r="K365" i="5" s="1"/>
  <c r="T364" i="5"/>
  <c r="T365" i="5"/>
  <c r="B361" i="5"/>
  <c r="M361" i="5" s="1"/>
  <c r="B362" i="5"/>
  <c r="M362" i="5" s="1"/>
  <c r="B363" i="5"/>
  <c r="Q363" i="5" s="1"/>
  <c r="J361" i="5"/>
  <c r="K361" i="5" s="1"/>
  <c r="J362" i="5"/>
  <c r="J363" i="5"/>
  <c r="K363" i="5" s="1"/>
  <c r="T361" i="5"/>
  <c r="T362" i="5"/>
  <c r="T363" i="5"/>
  <c r="B359" i="5"/>
  <c r="Q359" i="5" s="1"/>
  <c r="B360" i="5"/>
  <c r="Q360" i="5" s="1"/>
  <c r="J359" i="5"/>
  <c r="K359" i="5" s="1"/>
  <c r="J360" i="5"/>
  <c r="K360" i="5" s="1"/>
  <c r="T359" i="5"/>
  <c r="T360" i="5"/>
  <c r="B358" i="5"/>
  <c r="M358" i="5" s="1"/>
  <c r="J358" i="5"/>
  <c r="T358" i="5"/>
  <c r="B356" i="5"/>
  <c r="Q356" i="5" s="1"/>
  <c r="B357" i="5"/>
  <c r="Q357" i="5" s="1"/>
  <c r="J356" i="5"/>
  <c r="K356" i="5" s="1"/>
  <c r="J357" i="5"/>
  <c r="T356" i="5"/>
  <c r="T357" i="5"/>
  <c r="B353" i="5"/>
  <c r="B354" i="5"/>
  <c r="M354" i="5" s="1"/>
  <c r="B355" i="5"/>
  <c r="M355" i="5" s="1"/>
  <c r="J353" i="5"/>
  <c r="K353" i="5" s="1"/>
  <c r="J354" i="5"/>
  <c r="J355" i="5"/>
  <c r="K355" i="5" s="1"/>
  <c r="T353" i="5"/>
  <c r="T354" i="5"/>
  <c r="T355" i="5"/>
  <c r="B350" i="5"/>
  <c r="B351" i="5"/>
  <c r="M351" i="5" s="1"/>
  <c r="B352" i="5"/>
  <c r="M352" i="5" s="1"/>
  <c r="J350" i="5"/>
  <c r="K350" i="5" s="1"/>
  <c r="J351" i="5"/>
  <c r="J352" i="5"/>
  <c r="K352" i="5" s="1"/>
  <c r="T350" i="5"/>
  <c r="T351" i="5"/>
  <c r="T352" i="5"/>
  <c r="B346" i="5"/>
  <c r="B347" i="5"/>
  <c r="Q347" i="5" s="1"/>
  <c r="B348" i="5"/>
  <c r="Q348" i="5" s="1"/>
  <c r="B349" i="5"/>
  <c r="M349" i="5" s="1"/>
  <c r="J346" i="5"/>
  <c r="K346" i="5" s="1"/>
  <c r="J347" i="5"/>
  <c r="K347" i="5" s="1"/>
  <c r="J348" i="5"/>
  <c r="K348" i="5" s="1"/>
  <c r="J349" i="5"/>
  <c r="T346" i="5"/>
  <c r="T347" i="5"/>
  <c r="T348" i="5"/>
  <c r="T349" i="5"/>
  <c r="B344" i="5"/>
  <c r="Q344" i="5" s="1"/>
  <c r="B345" i="5"/>
  <c r="Q345" i="5" s="1"/>
  <c r="J344" i="5"/>
  <c r="K344" i="5" s="1"/>
  <c r="J345" i="5"/>
  <c r="K345" i="5" s="1"/>
  <c r="L345" i="5" s="1"/>
  <c r="T344" i="5"/>
  <c r="T345" i="5"/>
  <c r="B342" i="5"/>
  <c r="B343" i="5"/>
  <c r="M343" i="5" s="1"/>
  <c r="J342" i="5"/>
  <c r="K342" i="5" s="1"/>
  <c r="L342" i="5" s="1"/>
  <c r="P342" i="5" s="1"/>
  <c r="J343" i="5"/>
  <c r="K343" i="5" s="1"/>
  <c r="T342" i="5"/>
  <c r="T343" i="5"/>
  <c r="B340" i="5"/>
  <c r="M340" i="5" s="1"/>
  <c r="B341" i="5"/>
  <c r="M341" i="5" s="1"/>
  <c r="J340" i="5"/>
  <c r="K340" i="5" s="1"/>
  <c r="J341" i="5"/>
  <c r="K341" i="5" s="1"/>
  <c r="T340" i="5"/>
  <c r="T341" i="5"/>
  <c r="B339" i="5"/>
  <c r="M339" i="5" s="1"/>
  <c r="J339" i="5"/>
  <c r="K339" i="5" s="1"/>
  <c r="T339" i="5"/>
  <c r="B337" i="5"/>
  <c r="M337" i="5" s="1"/>
  <c r="B338" i="5"/>
  <c r="Q338" i="5" s="1"/>
  <c r="J337" i="5"/>
  <c r="K337" i="5" s="1"/>
  <c r="L337" i="5" s="1"/>
  <c r="J338" i="5"/>
  <c r="T337" i="5"/>
  <c r="T338" i="5"/>
  <c r="B334" i="5"/>
  <c r="M334" i="5" s="1"/>
  <c r="B335" i="5"/>
  <c r="M335" i="5" s="1"/>
  <c r="B336" i="5"/>
  <c r="M336" i="5" s="1"/>
  <c r="J334" i="5"/>
  <c r="K334" i="5" s="1"/>
  <c r="L334" i="5" s="1"/>
  <c r="J335" i="5"/>
  <c r="K335" i="5" s="1"/>
  <c r="L335" i="5" s="1"/>
  <c r="J336" i="5"/>
  <c r="K336" i="5" s="1"/>
  <c r="L336" i="5" s="1"/>
  <c r="T334" i="5"/>
  <c r="T335" i="5"/>
  <c r="T336" i="5"/>
  <c r="B332" i="5"/>
  <c r="M332" i="5" s="1"/>
  <c r="B333" i="5"/>
  <c r="Q333" i="5" s="1"/>
  <c r="J332" i="5"/>
  <c r="J333" i="5"/>
  <c r="K333" i="5" s="1"/>
  <c r="T332" i="5"/>
  <c r="T333" i="5"/>
  <c r="B330" i="5"/>
  <c r="M330" i="5" s="1"/>
  <c r="B331" i="5"/>
  <c r="Q331" i="5" s="1"/>
  <c r="J330" i="5"/>
  <c r="K330" i="5" s="1"/>
  <c r="J331" i="5"/>
  <c r="K331" i="5" s="1"/>
  <c r="T330" i="5"/>
  <c r="T331" i="5"/>
  <c r="B328" i="5"/>
  <c r="Q328" i="5" s="1"/>
  <c r="B329" i="5"/>
  <c r="Q329" i="5" s="1"/>
  <c r="J328" i="5"/>
  <c r="K328" i="5" s="1"/>
  <c r="J329" i="5"/>
  <c r="T328" i="5"/>
  <c r="T329" i="5"/>
  <c r="B324" i="5"/>
  <c r="B325" i="5"/>
  <c r="Q325" i="5" s="1"/>
  <c r="B326" i="5"/>
  <c r="Q326" i="5" s="1"/>
  <c r="B327" i="5"/>
  <c r="Q327" i="5" s="1"/>
  <c r="J324" i="5"/>
  <c r="K324" i="5" s="1"/>
  <c r="L324" i="5" s="1"/>
  <c r="J325" i="5"/>
  <c r="J326" i="5"/>
  <c r="K326" i="5" s="1"/>
  <c r="J327" i="5"/>
  <c r="K327" i="5" s="1"/>
  <c r="L327" i="5" s="1"/>
  <c r="P327" i="5" s="1"/>
  <c r="T324" i="5"/>
  <c r="T325" i="5"/>
  <c r="T326" i="5"/>
  <c r="T327" i="5"/>
  <c r="B323" i="5"/>
  <c r="J323" i="5"/>
  <c r="K323" i="5" s="1"/>
  <c r="T323" i="5"/>
  <c r="B321" i="5"/>
  <c r="B322" i="5"/>
  <c r="M322" i="5" s="1"/>
  <c r="J321" i="5"/>
  <c r="K321" i="5" s="1"/>
  <c r="J322" i="5"/>
  <c r="K322" i="5" s="1"/>
  <c r="T321" i="5"/>
  <c r="T322" i="5"/>
  <c r="B317" i="5"/>
  <c r="M317" i="5" s="1"/>
  <c r="B318" i="5"/>
  <c r="M318" i="5" s="1"/>
  <c r="B319" i="5"/>
  <c r="B320" i="5"/>
  <c r="M320" i="5" s="1"/>
  <c r="J317" i="5"/>
  <c r="J318" i="5"/>
  <c r="J319" i="5"/>
  <c r="K319" i="5" s="1"/>
  <c r="J320" i="5"/>
  <c r="K320" i="5" s="1"/>
  <c r="L320" i="5" s="1"/>
  <c r="T317" i="5"/>
  <c r="T318" i="5"/>
  <c r="T319" i="5"/>
  <c r="T320" i="5"/>
  <c r="B316" i="5"/>
  <c r="J316" i="5"/>
  <c r="K316" i="5" s="1"/>
  <c r="T316" i="5"/>
  <c r="B314" i="5"/>
  <c r="Q314" i="5" s="1"/>
  <c r="B315" i="5"/>
  <c r="Q315" i="5" s="1"/>
  <c r="J314" i="5"/>
  <c r="J315" i="5"/>
  <c r="K315" i="5" s="1"/>
  <c r="T314" i="5"/>
  <c r="T315" i="5"/>
  <c r="B312" i="5"/>
  <c r="M312" i="5" s="1"/>
  <c r="B313" i="5"/>
  <c r="M313" i="5" s="1"/>
  <c r="J312" i="5"/>
  <c r="K312" i="5" s="1"/>
  <c r="J313" i="5"/>
  <c r="T312" i="5"/>
  <c r="T313" i="5"/>
  <c r="B310" i="5"/>
  <c r="M310" i="5" s="1"/>
  <c r="B311" i="5"/>
  <c r="M311" i="5" s="1"/>
  <c r="J310" i="5"/>
  <c r="K310" i="5" s="1"/>
  <c r="J311" i="5"/>
  <c r="T310" i="5"/>
  <c r="T311" i="5"/>
  <c r="B306" i="5"/>
  <c r="M306" i="5" s="1"/>
  <c r="B307" i="5"/>
  <c r="M307" i="5" s="1"/>
  <c r="B308" i="5"/>
  <c r="B309" i="5"/>
  <c r="Q309" i="5" s="1"/>
  <c r="J306" i="5"/>
  <c r="K306" i="5" s="1"/>
  <c r="J307" i="5"/>
  <c r="J308" i="5"/>
  <c r="K308" i="5" s="1"/>
  <c r="J309" i="5"/>
  <c r="T306" i="5"/>
  <c r="T307" i="5"/>
  <c r="T308" i="5"/>
  <c r="T309" i="5"/>
  <c r="B301" i="5"/>
  <c r="Q301" i="5" s="1"/>
  <c r="B302" i="5"/>
  <c r="Q302" i="5" s="1"/>
  <c r="B303" i="5"/>
  <c r="M303" i="5" s="1"/>
  <c r="B304" i="5"/>
  <c r="Q304" i="5" s="1"/>
  <c r="B305" i="5"/>
  <c r="Q305" i="5" s="1"/>
  <c r="J301" i="5"/>
  <c r="J302" i="5"/>
  <c r="K302" i="5" s="1"/>
  <c r="J303" i="5"/>
  <c r="K303" i="5" s="1"/>
  <c r="J304" i="5"/>
  <c r="J305" i="5"/>
  <c r="K305" i="5" s="1"/>
  <c r="L305" i="5" s="1"/>
  <c r="P305" i="5" s="1"/>
  <c r="T301" i="5"/>
  <c r="T302" i="5"/>
  <c r="T303" i="5"/>
  <c r="T304" i="5"/>
  <c r="T305" i="5"/>
  <c r="B300" i="5"/>
  <c r="M300" i="5" s="1"/>
  <c r="J300" i="5"/>
  <c r="K300" i="5" s="1"/>
  <c r="T300" i="5"/>
  <c r="B299" i="5"/>
  <c r="M299" i="5" s="1"/>
  <c r="J299" i="5"/>
  <c r="K299" i="5" s="1"/>
  <c r="T299" i="5"/>
  <c r="B297" i="5"/>
  <c r="Q297" i="5" s="1"/>
  <c r="B298" i="5"/>
  <c r="Q298" i="5" s="1"/>
  <c r="J297" i="5"/>
  <c r="K297" i="5" s="1"/>
  <c r="J298" i="5"/>
  <c r="T297" i="5"/>
  <c r="T298" i="5"/>
  <c r="B292" i="5"/>
  <c r="Q292" i="5" s="1"/>
  <c r="B293" i="5"/>
  <c r="M293" i="5" s="1"/>
  <c r="B294" i="5"/>
  <c r="M294" i="5" s="1"/>
  <c r="B295" i="5"/>
  <c r="Q295" i="5" s="1"/>
  <c r="B296" i="5"/>
  <c r="Q296" i="5" s="1"/>
  <c r="J292" i="5"/>
  <c r="J293" i="5"/>
  <c r="J294" i="5"/>
  <c r="K294" i="5" s="1"/>
  <c r="J295" i="5"/>
  <c r="J296" i="5"/>
  <c r="K296" i="5" s="1"/>
  <c r="T292" i="5"/>
  <c r="T293" i="5"/>
  <c r="T294" i="5"/>
  <c r="T295" i="5"/>
  <c r="T296" i="5"/>
  <c r="B291" i="5"/>
  <c r="J291" i="5"/>
  <c r="K291" i="5" s="1"/>
  <c r="T291" i="5"/>
  <c r="B290" i="5"/>
  <c r="M290" i="5" s="1"/>
  <c r="J290" i="5"/>
  <c r="K290" i="5" s="1"/>
  <c r="T290" i="5"/>
  <c r="B288" i="5"/>
  <c r="M288" i="5" s="1"/>
  <c r="B289" i="5"/>
  <c r="M289" i="5" s="1"/>
  <c r="J288" i="5"/>
  <c r="K288" i="5" s="1"/>
  <c r="J289" i="5"/>
  <c r="T288" i="5"/>
  <c r="T289" i="5"/>
  <c r="B287" i="5"/>
  <c r="Q287" i="5" s="1"/>
  <c r="J287" i="5"/>
  <c r="K287" i="5" s="1"/>
  <c r="T287" i="5"/>
  <c r="B285" i="5"/>
  <c r="Q285" i="5" s="1"/>
  <c r="B286" i="5"/>
  <c r="M286" i="5" s="1"/>
  <c r="J285" i="5"/>
  <c r="K285" i="5" s="1"/>
  <c r="L285" i="5" s="1"/>
  <c r="J286" i="5"/>
  <c r="T285" i="5"/>
  <c r="T286" i="5"/>
  <c r="B284" i="5"/>
  <c r="Q284" i="5" s="1"/>
  <c r="J284" i="5"/>
  <c r="K284" i="5" s="1"/>
  <c r="T284" i="5"/>
  <c r="B279" i="5"/>
  <c r="M279" i="5" s="1"/>
  <c r="B280" i="5"/>
  <c r="Q280" i="5" s="1"/>
  <c r="B281" i="5"/>
  <c r="Q281" i="5" s="1"/>
  <c r="B282" i="5"/>
  <c r="Q282" i="5" s="1"/>
  <c r="B283" i="5"/>
  <c r="M283" i="5" s="1"/>
  <c r="J279" i="5"/>
  <c r="K279" i="5" s="1"/>
  <c r="J280" i="5"/>
  <c r="J281" i="5"/>
  <c r="K281" i="5" s="1"/>
  <c r="J282" i="5"/>
  <c r="K282" i="5" s="1"/>
  <c r="J283" i="5"/>
  <c r="K283" i="5" s="1"/>
  <c r="T279" i="5"/>
  <c r="T280" i="5"/>
  <c r="T281" i="5"/>
  <c r="T282" i="5"/>
  <c r="T283" i="5"/>
  <c r="B278" i="5"/>
  <c r="J278" i="5"/>
  <c r="K278" i="5" s="1"/>
  <c r="T278" i="5"/>
  <c r="B276" i="5"/>
  <c r="M276" i="5" s="1"/>
  <c r="B277" i="5"/>
  <c r="Q277" i="5" s="1"/>
  <c r="J276" i="5"/>
  <c r="K276" i="5" s="1"/>
  <c r="J277" i="5"/>
  <c r="T276" i="5"/>
  <c r="T277" i="5"/>
  <c r="B273" i="5"/>
  <c r="M273" i="5" s="1"/>
  <c r="B274" i="5"/>
  <c r="M274" i="5" s="1"/>
  <c r="B275" i="5"/>
  <c r="M275" i="5" s="1"/>
  <c r="J273" i="5"/>
  <c r="K273" i="5" s="1"/>
  <c r="J274" i="5"/>
  <c r="K274" i="5" s="1"/>
  <c r="J275" i="5"/>
  <c r="K275" i="5" s="1"/>
  <c r="T273" i="5"/>
  <c r="T274" i="5"/>
  <c r="T275" i="5"/>
  <c r="B270" i="5"/>
  <c r="B271" i="5"/>
  <c r="M271" i="5" s="1"/>
  <c r="B272" i="5"/>
  <c r="M272" i="5" s="1"/>
  <c r="J270" i="5"/>
  <c r="K270" i="5" s="1"/>
  <c r="J271" i="5"/>
  <c r="K271" i="5" s="1"/>
  <c r="J272" i="5"/>
  <c r="K272" i="5" s="1"/>
  <c r="T270" i="5"/>
  <c r="T271" i="5"/>
  <c r="T272" i="5"/>
  <c r="B267" i="5"/>
  <c r="M267" i="5" s="1"/>
  <c r="B268" i="5"/>
  <c r="B269" i="5"/>
  <c r="Q269" i="5" s="1"/>
  <c r="J267" i="5"/>
  <c r="K267" i="5" s="1"/>
  <c r="J268" i="5"/>
  <c r="K268" i="5" s="1"/>
  <c r="J269" i="5"/>
  <c r="K269" i="5" s="1"/>
  <c r="L269" i="5" s="1"/>
  <c r="T267" i="5"/>
  <c r="T268" i="5"/>
  <c r="T269" i="5"/>
  <c r="B266" i="5"/>
  <c r="M266" i="5" s="1"/>
  <c r="J266" i="5"/>
  <c r="K266" i="5" s="1"/>
  <c r="L266" i="5" s="1"/>
  <c r="T266" i="5"/>
  <c r="B263" i="5"/>
  <c r="M263" i="5" s="1"/>
  <c r="B264" i="5"/>
  <c r="M264" i="5" s="1"/>
  <c r="B265" i="5"/>
  <c r="M265" i="5" s="1"/>
  <c r="J263" i="5"/>
  <c r="K263" i="5" s="1"/>
  <c r="J264" i="5"/>
  <c r="K264" i="5" s="1"/>
  <c r="J265" i="5"/>
  <c r="K265" i="5" s="1"/>
  <c r="L265" i="5" s="1"/>
  <c r="T263" i="5"/>
  <c r="T264" i="5"/>
  <c r="T265" i="5"/>
  <c r="B262" i="5"/>
  <c r="J262" i="5"/>
  <c r="T262" i="5"/>
  <c r="B260" i="5"/>
  <c r="M260" i="5" s="1"/>
  <c r="B261" i="5"/>
  <c r="M261" i="5" s="1"/>
  <c r="J260" i="5"/>
  <c r="J261" i="5"/>
  <c r="K261" i="5" s="1"/>
  <c r="T260" i="5"/>
  <c r="T261" i="5"/>
  <c r="B258" i="5"/>
  <c r="M258" i="5" s="1"/>
  <c r="B259" i="5"/>
  <c r="M259" i="5" s="1"/>
  <c r="J258" i="5"/>
  <c r="K258" i="5" s="1"/>
  <c r="L258" i="5" s="1"/>
  <c r="J259" i="5"/>
  <c r="K259" i="5" s="1"/>
  <c r="T258" i="5"/>
  <c r="T259" i="5"/>
  <c r="B254" i="5"/>
  <c r="Q254" i="5" s="1"/>
  <c r="B255" i="5"/>
  <c r="M255" i="5" s="1"/>
  <c r="B256" i="5"/>
  <c r="Q256" i="5" s="1"/>
  <c r="B257" i="5"/>
  <c r="M257" i="5" s="1"/>
  <c r="J254" i="5"/>
  <c r="K254" i="5" s="1"/>
  <c r="L254" i="5" s="1"/>
  <c r="P254" i="5" s="1"/>
  <c r="J255" i="5"/>
  <c r="K255" i="5" s="1"/>
  <c r="J256" i="5"/>
  <c r="K256" i="5" s="1"/>
  <c r="J257" i="5"/>
  <c r="K257" i="5" s="1"/>
  <c r="L257" i="5" s="1"/>
  <c r="T254" i="5"/>
  <c r="T255" i="5"/>
  <c r="T256" i="5"/>
  <c r="T257" i="5"/>
  <c r="B251" i="5"/>
  <c r="M251" i="5" s="1"/>
  <c r="B252" i="5"/>
  <c r="M252" i="5" s="1"/>
  <c r="B253" i="5"/>
  <c r="Q253" i="5" s="1"/>
  <c r="J251" i="5"/>
  <c r="K251" i="5" s="1"/>
  <c r="J252" i="5"/>
  <c r="J253" i="5"/>
  <c r="K253" i="5" s="1"/>
  <c r="T251" i="5"/>
  <c r="T252" i="5"/>
  <c r="T253" i="5"/>
  <c r="B250" i="5"/>
  <c r="J250" i="5"/>
  <c r="K250" i="5" s="1"/>
  <c r="T250" i="5"/>
  <c r="B249" i="5"/>
  <c r="J249" i="5"/>
  <c r="K249" i="5" s="1"/>
  <c r="T249" i="5"/>
  <c r="B247" i="5"/>
  <c r="M247" i="5" s="1"/>
  <c r="B248" i="5"/>
  <c r="Q248" i="5" s="1"/>
  <c r="J247" i="5"/>
  <c r="K247" i="5" s="1"/>
  <c r="J248" i="5"/>
  <c r="T247" i="5"/>
  <c r="T248" i="5"/>
  <c r="B246" i="5"/>
  <c r="Q246" i="5" s="1"/>
  <c r="J246" i="5"/>
  <c r="K246" i="5" s="1"/>
  <c r="T246" i="5"/>
  <c r="B244" i="5"/>
  <c r="M244" i="5" s="1"/>
  <c r="B245" i="5"/>
  <c r="M245" i="5" s="1"/>
  <c r="J244" i="5"/>
  <c r="K244" i="5" s="1"/>
  <c r="J245" i="5"/>
  <c r="T244" i="5"/>
  <c r="T245" i="5"/>
  <c r="B243" i="5"/>
  <c r="M243" i="5" s="1"/>
  <c r="J243" i="5"/>
  <c r="T243" i="5"/>
  <c r="B242" i="5"/>
  <c r="M242" i="5" s="1"/>
  <c r="J242" i="5"/>
  <c r="K242" i="5" s="1"/>
  <c r="T242" i="5"/>
  <c r="B240" i="5"/>
  <c r="M240" i="5" s="1"/>
  <c r="B241" i="5"/>
  <c r="M241" i="5" s="1"/>
  <c r="J240" i="5"/>
  <c r="K240" i="5" s="1"/>
  <c r="L240" i="5" s="1"/>
  <c r="J241" i="5"/>
  <c r="K241" i="5" s="1"/>
  <c r="T240" i="5"/>
  <c r="T241" i="5"/>
  <c r="B238" i="5"/>
  <c r="Q238" i="5" s="1"/>
  <c r="B239" i="5"/>
  <c r="Q239" i="5" s="1"/>
  <c r="J238" i="5"/>
  <c r="K238" i="5" s="1"/>
  <c r="J239" i="5"/>
  <c r="K239" i="5" s="1"/>
  <c r="L239" i="5" s="1"/>
  <c r="T238" i="5"/>
  <c r="T239" i="5"/>
  <c r="B237" i="5"/>
  <c r="J237" i="5"/>
  <c r="K237" i="5" s="1"/>
  <c r="T237" i="5"/>
  <c r="B236" i="5"/>
  <c r="M236" i="5" s="1"/>
  <c r="J236" i="5"/>
  <c r="K236" i="5" s="1"/>
  <c r="T236" i="5"/>
  <c r="B234" i="5"/>
  <c r="M234" i="5" s="1"/>
  <c r="B235" i="5"/>
  <c r="M235" i="5" s="1"/>
  <c r="J234" i="5"/>
  <c r="K234" i="5" s="1"/>
  <c r="L234" i="5" s="1"/>
  <c r="J235" i="5"/>
  <c r="K235" i="5" s="1"/>
  <c r="L235" i="5" s="1"/>
  <c r="T234" i="5"/>
  <c r="T235" i="5"/>
  <c r="B232" i="5"/>
  <c r="M232" i="5" s="1"/>
  <c r="B233" i="5"/>
  <c r="M233" i="5" s="1"/>
  <c r="J232" i="5"/>
  <c r="K232" i="5" s="1"/>
  <c r="L232" i="5" s="1"/>
  <c r="J233" i="5"/>
  <c r="K233" i="5" s="1"/>
  <c r="T232" i="5"/>
  <c r="T233" i="5"/>
  <c r="B229" i="5"/>
  <c r="Q229" i="5" s="1"/>
  <c r="B230" i="5"/>
  <c r="M230" i="5" s="1"/>
  <c r="B231" i="5"/>
  <c r="Q231" i="5" s="1"/>
  <c r="J229" i="5"/>
  <c r="K229" i="5" s="1"/>
  <c r="J230" i="5"/>
  <c r="K230" i="5" s="1"/>
  <c r="J231" i="5"/>
  <c r="K231" i="5" s="1"/>
  <c r="T229" i="5"/>
  <c r="T230" i="5"/>
  <c r="T231" i="5"/>
  <c r="B226" i="5"/>
  <c r="Q226" i="5" s="1"/>
  <c r="B227" i="5"/>
  <c r="Q227" i="5" s="1"/>
  <c r="B228" i="5"/>
  <c r="Q228" i="5" s="1"/>
  <c r="J226" i="5"/>
  <c r="K226" i="5" s="1"/>
  <c r="L226" i="5" s="1"/>
  <c r="J227" i="5"/>
  <c r="K227" i="5" s="1"/>
  <c r="J228" i="5"/>
  <c r="K228" i="5" s="1"/>
  <c r="T226" i="5"/>
  <c r="T227" i="5"/>
  <c r="T228" i="5"/>
  <c r="B225" i="5"/>
  <c r="M225" i="5" s="1"/>
  <c r="J225" i="5"/>
  <c r="K225" i="5" s="1"/>
  <c r="T225" i="5"/>
  <c r="B224" i="5"/>
  <c r="Q224" i="5" s="1"/>
  <c r="J224" i="5"/>
  <c r="K224" i="5" s="1"/>
  <c r="T224" i="5"/>
  <c r="B221" i="5"/>
  <c r="Q221" i="5" s="1"/>
  <c r="B222" i="5"/>
  <c r="Q222" i="5" s="1"/>
  <c r="B223" i="5"/>
  <c r="Q223" i="5" s="1"/>
  <c r="J221" i="5"/>
  <c r="K221" i="5" s="1"/>
  <c r="L221" i="5" s="1"/>
  <c r="J222" i="5"/>
  <c r="K222" i="5" s="1"/>
  <c r="J223" i="5"/>
  <c r="K223" i="5" s="1"/>
  <c r="L223" i="5" s="1"/>
  <c r="T221" i="5"/>
  <c r="T222" i="5"/>
  <c r="T223" i="5"/>
  <c r="B219" i="5"/>
  <c r="M219" i="5" s="1"/>
  <c r="B220" i="5"/>
  <c r="M220" i="5" s="1"/>
  <c r="J219" i="5"/>
  <c r="K219" i="5" s="1"/>
  <c r="J220" i="5"/>
  <c r="K220" i="5" s="1"/>
  <c r="L220" i="5" s="1"/>
  <c r="T219" i="5"/>
  <c r="T220" i="5"/>
  <c r="B218" i="5"/>
  <c r="Q218" i="5" s="1"/>
  <c r="J218" i="5"/>
  <c r="T218" i="5"/>
  <c r="M979" i="5" l="1"/>
  <c r="M1356" i="5"/>
  <c r="M686" i="5"/>
  <c r="M1125" i="5"/>
  <c r="M868" i="5"/>
  <c r="N868" i="5" s="1"/>
  <c r="Q1144" i="5"/>
  <c r="R1144" i="5" s="1"/>
  <c r="S1144" i="5" s="1"/>
  <c r="M1265" i="5"/>
  <c r="M1340" i="5"/>
  <c r="N1340" i="5" s="1"/>
  <c r="M667" i="5"/>
  <c r="M867" i="5"/>
  <c r="M731" i="5"/>
  <c r="M769" i="5"/>
  <c r="M736" i="5"/>
  <c r="M746" i="5"/>
  <c r="N746" i="5" s="1"/>
  <c r="M745" i="5"/>
  <c r="N745" i="5" s="1"/>
  <c r="M756" i="5"/>
  <c r="M627" i="5"/>
  <c r="N627" i="5" s="1"/>
  <c r="M525" i="5"/>
  <c r="N525" i="5" s="1"/>
  <c r="M1005" i="5"/>
  <c r="Q1103" i="5"/>
  <c r="M1003" i="5"/>
  <c r="N1003" i="5" s="1"/>
  <c r="M775" i="5"/>
  <c r="N775" i="5" s="1"/>
  <c r="M595" i="5"/>
  <c r="M532" i="5"/>
  <c r="M1045" i="5"/>
  <c r="M1036" i="5"/>
  <c r="N1036" i="5" s="1"/>
  <c r="M957" i="5"/>
  <c r="N957" i="5" s="1"/>
  <c r="M1004" i="5"/>
  <c r="M728" i="5"/>
  <c r="M755" i="5"/>
  <c r="M1149" i="5"/>
  <c r="M1067" i="5"/>
  <c r="M912" i="5"/>
  <c r="N912" i="5" s="1"/>
  <c r="M1040" i="5"/>
  <c r="M637" i="5"/>
  <c r="N637" i="5" s="1"/>
  <c r="Q652" i="5"/>
  <c r="M685" i="5"/>
  <c r="N685" i="5" s="1"/>
  <c r="M1002" i="5"/>
  <c r="M1035" i="5"/>
  <c r="M1282" i="5"/>
  <c r="N1282" i="5" s="1"/>
  <c r="M1011" i="5"/>
  <c r="M801" i="5"/>
  <c r="M884" i="5"/>
  <c r="N884" i="5" s="1"/>
  <c r="M695" i="5"/>
  <c r="M914" i="5"/>
  <c r="M1266" i="5"/>
  <c r="M693" i="5"/>
  <c r="M913" i="5"/>
  <c r="N913" i="5" s="1"/>
  <c r="M671" i="5"/>
  <c r="M670" i="5"/>
  <c r="N670" i="5" s="1"/>
  <c r="M669" i="5"/>
  <c r="N669" i="5" s="1"/>
  <c r="O669" i="5" s="1"/>
  <c r="M626" i="5"/>
  <c r="M770" i="5"/>
  <c r="M1252" i="5"/>
  <c r="M768" i="5"/>
  <c r="M1034" i="5"/>
  <c r="M1159" i="5"/>
  <c r="N1159" i="5" s="1"/>
  <c r="M1033" i="5"/>
  <c r="N1033" i="5" s="1"/>
  <c r="M1133" i="5"/>
  <c r="M1158" i="5"/>
  <c r="M229" i="5"/>
  <c r="M1032" i="5"/>
  <c r="N1032" i="5" s="1"/>
  <c r="M799" i="5"/>
  <c r="Q1088" i="5"/>
  <c r="M638" i="5"/>
  <c r="N638" i="5" s="1"/>
  <c r="M1256" i="5"/>
  <c r="N1256" i="5" s="1"/>
  <c r="M1092" i="5"/>
  <c r="M609" i="5"/>
  <c r="M688" i="5"/>
  <c r="M537" i="5"/>
  <c r="N537" i="5" s="1"/>
  <c r="M556" i="5"/>
  <c r="M639" i="5"/>
  <c r="N639" i="5" s="1"/>
  <c r="M1024" i="5"/>
  <c r="M737" i="5"/>
  <c r="M1186" i="5"/>
  <c r="M754" i="5"/>
  <c r="M684" i="5"/>
  <c r="N684" i="5" s="1"/>
  <c r="M956" i="5"/>
  <c r="N956" i="5" s="1"/>
  <c r="Q1141" i="5"/>
  <c r="R1141" i="5" s="1"/>
  <c r="S1141" i="5" s="1"/>
  <c r="M955" i="5"/>
  <c r="M986" i="5"/>
  <c r="N986" i="5" s="1"/>
  <c r="M1027" i="5"/>
  <c r="M305" i="5"/>
  <c r="N305" i="5" s="1"/>
  <c r="U305" i="5" s="1"/>
  <c r="V305" i="5" s="1"/>
  <c r="M597" i="5"/>
  <c r="M659" i="5"/>
  <c r="N659" i="5" s="1"/>
  <c r="M694" i="5"/>
  <c r="M1307" i="5"/>
  <c r="M1272" i="5"/>
  <c r="M748" i="5"/>
  <c r="N748" i="5" s="1"/>
  <c r="Q674" i="5"/>
  <c r="R674" i="5" s="1"/>
  <c r="S674" i="5" s="1"/>
  <c r="M673" i="5"/>
  <c r="M221" i="5"/>
  <c r="N221" i="5" s="1"/>
  <c r="Q672" i="5"/>
  <c r="R672" i="5" s="1"/>
  <c r="S672" i="5" s="1"/>
  <c r="M662" i="5"/>
  <c r="N662" i="5" s="1"/>
  <c r="M660" i="5"/>
  <c r="N660" i="5" s="1"/>
  <c r="U660" i="5" s="1"/>
  <c r="V660" i="5" s="1"/>
  <c r="M489" i="5"/>
  <c r="Q263" i="5"/>
  <c r="R263" i="5" s="1"/>
  <c r="S263" i="5" s="1"/>
  <c r="M663" i="5"/>
  <c r="M661" i="5"/>
  <c r="Q1179" i="5"/>
  <c r="M1341" i="5"/>
  <c r="M619" i="5"/>
  <c r="N619" i="5" s="1"/>
  <c r="M732" i="5"/>
  <c r="M618" i="5"/>
  <c r="M815" i="5"/>
  <c r="N815" i="5" s="1"/>
  <c r="M1007" i="5"/>
  <c r="M814" i="5"/>
  <c r="N814" i="5" s="1"/>
  <c r="M813" i="5"/>
  <c r="M730" i="5"/>
  <c r="M1006" i="5"/>
  <c r="N1006" i="5" s="1"/>
  <c r="M729" i="5"/>
  <c r="M747" i="5"/>
  <c r="M738" i="5"/>
  <c r="M416" i="5"/>
  <c r="M705" i="5"/>
  <c r="M750" i="5"/>
  <c r="M1192" i="5"/>
  <c r="N1192" i="5" s="1"/>
  <c r="M393" i="5"/>
  <c r="N393" i="5" s="1"/>
  <c r="M557" i="5"/>
  <c r="N557" i="5" s="1"/>
  <c r="M749" i="5"/>
  <c r="N749" i="5" s="1"/>
  <c r="M717" i="5"/>
  <c r="N717" i="5" s="1"/>
  <c r="M716" i="5"/>
  <c r="N716" i="5" s="1"/>
  <c r="M690" i="5"/>
  <c r="N690" i="5" s="1"/>
  <c r="M689" i="5"/>
  <c r="N689" i="5" s="1"/>
  <c r="M1053" i="5"/>
  <c r="N1053" i="5" s="1"/>
  <c r="M1013" i="5"/>
  <c r="M392" i="5"/>
  <c r="M776" i="5"/>
  <c r="M1191" i="5"/>
  <c r="M539" i="5"/>
  <c r="M1054" i="5"/>
  <c r="N1054" i="5" s="1"/>
  <c r="M715" i="5"/>
  <c r="M1052" i="5"/>
  <c r="M538" i="5"/>
  <c r="M598" i="5"/>
  <c r="N598" i="5" s="1"/>
  <c r="M1012" i="5"/>
  <c r="N1012" i="5" s="1"/>
  <c r="M470" i="5"/>
  <c r="M469" i="5"/>
  <c r="N469" i="5" s="1"/>
  <c r="M468" i="5"/>
  <c r="M628" i="5"/>
  <c r="N628" i="5" s="1"/>
  <c r="M508" i="5"/>
  <c r="M526" i="5"/>
  <c r="N526" i="5" s="1"/>
  <c r="M664" i="5"/>
  <c r="M504" i="5"/>
  <c r="N504" i="5" s="1"/>
  <c r="M723" i="5"/>
  <c r="M788" i="5"/>
  <c r="M490" i="5"/>
  <c r="N490" i="5" s="1"/>
  <c r="M503" i="5"/>
  <c r="Q1114" i="5"/>
  <c r="M506" i="5"/>
  <c r="Q1113" i="5"/>
  <c r="R1113" i="5" s="1"/>
  <c r="S1113" i="5" s="1"/>
  <c r="Q771" i="5"/>
  <c r="R771" i="5" s="1"/>
  <c r="S771" i="5" s="1"/>
  <c r="M790" i="5"/>
  <c r="M1000" i="5"/>
  <c r="N1000" i="5" s="1"/>
  <c r="M545" i="5"/>
  <c r="N545" i="5" s="1"/>
  <c r="Q773" i="5"/>
  <c r="R773" i="5" s="1"/>
  <c r="S773" i="5" s="1"/>
  <c r="Q772" i="5"/>
  <c r="R772" i="5" s="1"/>
  <c r="S772" i="5" s="1"/>
  <c r="M789" i="5"/>
  <c r="N789" i="5" s="1"/>
  <c r="M491" i="5"/>
  <c r="M544" i="5"/>
  <c r="M872" i="5"/>
  <c r="M871" i="5"/>
  <c r="N871" i="5" s="1"/>
  <c r="M803" i="5"/>
  <c r="N803" i="5" s="1"/>
  <c r="Q1360" i="5"/>
  <c r="M870" i="5"/>
  <c r="M1174" i="5"/>
  <c r="M802" i="5"/>
  <c r="N802" i="5" s="1"/>
  <c r="M917" i="5"/>
  <c r="M733" i="5"/>
  <c r="Q1361" i="5"/>
  <c r="R1361" i="5" s="1"/>
  <c r="S1361" i="5" s="1"/>
  <c r="M327" i="5"/>
  <c r="N327" i="5" s="1"/>
  <c r="O327" i="5" s="1"/>
  <c r="M1328" i="5"/>
  <c r="M1296" i="5"/>
  <c r="Q1182" i="5"/>
  <c r="R1182" i="5" s="1"/>
  <c r="S1182" i="5" s="1"/>
  <c r="Q1334" i="5"/>
  <c r="R1334" i="5" s="1"/>
  <c r="S1334" i="5" s="1"/>
  <c r="M1218" i="5"/>
  <c r="N1218" i="5" s="1"/>
  <c r="M931" i="5"/>
  <c r="N931" i="5" s="1"/>
  <c r="M1001" i="5"/>
  <c r="Q1354" i="5"/>
  <c r="R1354" i="5" s="1"/>
  <c r="S1354" i="5" s="1"/>
  <c r="M1269" i="5"/>
  <c r="M1280" i="5"/>
  <c r="Q1333" i="5"/>
  <c r="R1333" i="5" s="1"/>
  <c r="S1333" i="5" s="1"/>
  <c r="M1210" i="5"/>
  <c r="N1210" i="5" s="1"/>
  <c r="Q1295" i="5"/>
  <c r="M1333" i="5"/>
  <c r="Q1358" i="5"/>
  <c r="M1358" i="5"/>
  <c r="M1291" i="5"/>
  <c r="M1305" i="5"/>
  <c r="Q1216" i="5"/>
  <c r="R1216" i="5" s="1"/>
  <c r="S1216" i="5" s="1"/>
  <c r="Q1222" i="5"/>
  <c r="R1222" i="5" s="1"/>
  <c r="S1222" i="5" s="1"/>
  <c r="M1228" i="5"/>
  <c r="M1274" i="5"/>
  <c r="Q1300" i="5"/>
  <c r="R1300" i="5" s="1"/>
  <c r="S1300" i="5" s="1"/>
  <c r="Q1338" i="5"/>
  <c r="M1022" i="5"/>
  <c r="M1059" i="5"/>
  <c r="N1059" i="5" s="1"/>
  <c r="O1059" i="5" s="1"/>
  <c r="M1068" i="5"/>
  <c r="Q1068" i="5"/>
  <c r="R1068" i="5" s="1"/>
  <c r="S1068" i="5" s="1"/>
  <c r="Q1099" i="5"/>
  <c r="R1099" i="5" s="1"/>
  <c r="S1099" i="5" s="1"/>
  <c r="Q1111" i="5"/>
  <c r="R1111" i="5" s="1"/>
  <c r="S1111" i="5" s="1"/>
  <c r="Q1247" i="5"/>
  <c r="M1267" i="5"/>
  <c r="Q1267" i="5"/>
  <c r="R1267" i="5" s="1"/>
  <c r="S1267" i="5" s="1"/>
  <c r="M1345" i="5"/>
  <c r="N1345" i="5" s="1"/>
  <c r="O1345" i="5" s="1"/>
  <c r="Q1074" i="5"/>
  <c r="R1074" i="5" s="1"/>
  <c r="S1074" i="5" s="1"/>
  <c r="M1134" i="5"/>
  <c r="N1134" i="5" s="1"/>
  <c r="M1157" i="5"/>
  <c r="M1181" i="5"/>
  <c r="Q1189" i="5"/>
  <c r="R1189" i="5" s="1"/>
  <c r="S1189" i="5" s="1"/>
  <c r="Q1207" i="5"/>
  <c r="R1207" i="5" s="1"/>
  <c r="S1207" i="5" s="1"/>
  <c r="M1178" i="5"/>
  <c r="Q1187" i="5"/>
  <c r="R1187" i="5" s="1"/>
  <c r="S1187" i="5" s="1"/>
  <c r="Q1249" i="5"/>
  <c r="Q1257" i="5"/>
  <c r="Q1037" i="5"/>
  <c r="R1037" i="5" s="1"/>
  <c r="S1037" i="5" s="1"/>
  <c r="M1041" i="5"/>
  <c r="N1041" i="5" s="1"/>
  <c r="Q1083" i="5"/>
  <c r="R1083" i="5" s="1"/>
  <c r="S1083" i="5" s="1"/>
  <c r="Q1096" i="5"/>
  <c r="Q1115" i="5"/>
  <c r="R1115" i="5" s="1"/>
  <c r="S1115" i="5" s="1"/>
  <c r="M1139" i="5"/>
  <c r="M1204" i="5"/>
  <c r="M1289" i="5"/>
  <c r="M1318" i="5"/>
  <c r="Q1050" i="5"/>
  <c r="R1050" i="5" s="1"/>
  <c r="S1050" i="5" s="1"/>
  <c r="Q1089" i="5"/>
  <c r="R1089" i="5" s="1"/>
  <c r="S1089" i="5" s="1"/>
  <c r="M1146" i="5"/>
  <c r="M1150" i="5"/>
  <c r="Q1262" i="5"/>
  <c r="R1262" i="5" s="1"/>
  <c r="S1262" i="5" s="1"/>
  <c r="M1304" i="5"/>
  <c r="M1352" i="5"/>
  <c r="M999" i="5"/>
  <c r="N999" i="5" s="1"/>
  <c r="L1139" i="5"/>
  <c r="M869" i="5"/>
  <c r="N869" i="5" s="1"/>
  <c r="M553" i="5"/>
  <c r="M932" i="5"/>
  <c r="Q1124" i="5"/>
  <c r="R1124" i="5" s="1"/>
  <c r="S1124" i="5" s="1"/>
  <c r="Q1168" i="5"/>
  <c r="R1168" i="5" s="1"/>
  <c r="S1168" i="5" s="1"/>
  <c r="Q1278" i="5"/>
  <c r="R1278" i="5" s="1"/>
  <c r="S1278" i="5" s="1"/>
  <c r="M326" i="5"/>
  <c r="M1112" i="5"/>
  <c r="M916" i="5"/>
  <c r="N916" i="5" s="1"/>
  <c r="M1075" i="5"/>
  <c r="Q1167" i="5"/>
  <c r="R1167" i="5" s="1"/>
  <c r="S1167" i="5" s="1"/>
  <c r="M1225" i="5"/>
  <c r="Q1154" i="5"/>
  <c r="M1231" i="5"/>
  <c r="Q1245" i="5"/>
  <c r="Q1285" i="5"/>
  <c r="R1285" i="5" s="1"/>
  <c r="S1285" i="5" s="1"/>
  <c r="Q387" i="5"/>
  <c r="R387" i="5" s="1"/>
  <c r="S387" i="5" s="1"/>
  <c r="M1063" i="5"/>
  <c r="N1063" i="5" s="1"/>
  <c r="M1074" i="5"/>
  <c r="M1111" i="5"/>
  <c r="M1121" i="5"/>
  <c r="M1268" i="5"/>
  <c r="N1268" i="5" s="1"/>
  <c r="M1037" i="5"/>
  <c r="N1037" i="5" s="1"/>
  <c r="M1242" i="5"/>
  <c r="N1242" i="5" s="1"/>
  <c r="Q1324" i="5"/>
  <c r="R1324" i="5" s="1"/>
  <c r="S1324" i="5" s="1"/>
  <c r="M1327" i="5"/>
  <c r="M930" i="5"/>
  <c r="M981" i="5"/>
  <c r="N981" i="5" s="1"/>
  <c r="Q1059" i="5"/>
  <c r="R1059" i="5" s="1"/>
  <c r="S1059" i="5" s="1"/>
  <c r="M1183" i="5"/>
  <c r="N1183" i="5" s="1"/>
  <c r="Q1269" i="5"/>
  <c r="Q1279" i="5"/>
  <c r="R1279" i="5" s="1"/>
  <c r="S1279" i="5" s="1"/>
  <c r="M915" i="5"/>
  <c r="N915" i="5" s="1"/>
  <c r="Q1344" i="5"/>
  <c r="R1344" i="5" s="1"/>
  <c r="S1344" i="5" s="1"/>
  <c r="Q1138" i="5"/>
  <c r="R1138" i="5" s="1"/>
  <c r="S1138" i="5" s="1"/>
  <c r="P1268" i="5"/>
  <c r="P1270" i="5"/>
  <c r="Q1062" i="5"/>
  <c r="R1062" i="5" s="1"/>
  <c r="S1062" i="5" s="1"/>
  <c r="M1099" i="5"/>
  <c r="M1271" i="5"/>
  <c r="K1269" i="5"/>
  <c r="L1269" i="5" s="1"/>
  <c r="Q1306" i="5"/>
  <c r="R1306" i="5" s="1"/>
  <c r="S1306" i="5" s="1"/>
  <c r="L1318" i="5"/>
  <c r="P1318" i="5" s="1"/>
  <c r="L1339" i="5"/>
  <c r="P1339" i="5" s="1"/>
  <c r="M885" i="5"/>
  <c r="N885" i="5" s="1"/>
  <c r="L1098" i="5"/>
  <c r="P1098" i="5" s="1"/>
  <c r="Q1110" i="5"/>
  <c r="Q1194" i="5"/>
  <c r="Q1215" i="5"/>
  <c r="M1238" i="5"/>
  <c r="N1238" i="5" s="1"/>
  <c r="Q1258" i="5"/>
  <c r="M1270" i="5"/>
  <c r="N1270" i="5" s="1"/>
  <c r="Q1303" i="5"/>
  <c r="M1330" i="5"/>
  <c r="N1330" i="5" s="1"/>
  <c r="M980" i="5"/>
  <c r="N980" i="5" s="1"/>
  <c r="Q1055" i="5"/>
  <c r="Q1178" i="5"/>
  <c r="K1272" i="5"/>
  <c r="L1272" i="5" s="1"/>
  <c r="M1315" i="5"/>
  <c r="M1128" i="5"/>
  <c r="K1055" i="5"/>
  <c r="L1055" i="5" s="1"/>
  <c r="P1055" i="5" s="1"/>
  <c r="M1083" i="5"/>
  <c r="N1083" i="5" s="1"/>
  <c r="Q1211" i="5"/>
  <c r="R1211" i="5" s="1"/>
  <c r="S1211" i="5" s="1"/>
  <c r="Q1224" i="5"/>
  <c r="R1224" i="5" s="1"/>
  <c r="S1224" i="5" s="1"/>
  <c r="K1271" i="5"/>
  <c r="L1271" i="5" s="1"/>
  <c r="P1271" i="5" s="1"/>
  <c r="Q1329" i="5"/>
  <c r="R1329" i="5" s="1"/>
  <c r="S1329" i="5" s="1"/>
  <c r="Q1337" i="5"/>
  <c r="R1337" i="5" s="1"/>
  <c r="S1337" i="5" s="1"/>
  <c r="M1355" i="5"/>
  <c r="M577" i="5"/>
  <c r="M1100" i="5"/>
  <c r="Q1223" i="5"/>
  <c r="R1223" i="5" s="1"/>
  <c r="S1223" i="5" s="1"/>
  <c r="Q1317" i="5"/>
  <c r="R1317" i="5" s="1"/>
  <c r="S1317" i="5" s="1"/>
  <c r="Q1325" i="5"/>
  <c r="Q1044" i="5"/>
  <c r="R1044" i="5" s="1"/>
  <c r="S1044" i="5" s="1"/>
  <c r="M1057" i="5"/>
  <c r="L1056" i="5"/>
  <c r="P1056" i="5" s="1"/>
  <c r="R1056" i="5"/>
  <c r="S1056" i="5" s="1"/>
  <c r="M1084" i="5"/>
  <c r="Q1105" i="5"/>
  <c r="R1105" i="5" s="1"/>
  <c r="S1105" i="5" s="1"/>
  <c r="Q1203" i="5"/>
  <c r="M1230" i="5"/>
  <c r="N1230" i="5" s="1"/>
  <c r="Q1289" i="5"/>
  <c r="R1289" i="5" s="1"/>
  <c r="S1289" i="5" s="1"/>
  <c r="Q1345" i="5"/>
  <c r="R1345" i="5" s="1"/>
  <c r="S1345" i="5" s="1"/>
  <c r="M1349" i="5"/>
  <c r="N1349" i="5" s="1"/>
  <c r="M1357" i="5"/>
  <c r="M1081" i="5"/>
  <c r="N1081" i="5" s="1"/>
  <c r="Q1164" i="5"/>
  <c r="R1164" i="5" s="1"/>
  <c r="S1164" i="5" s="1"/>
  <c r="Q1181" i="5"/>
  <c r="R1181" i="5" s="1"/>
  <c r="S1181" i="5" s="1"/>
  <c r="Q1286" i="5"/>
  <c r="R1286" i="5" s="1"/>
  <c r="S1286" i="5" s="1"/>
  <c r="Q1332" i="5"/>
  <c r="M886" i="5"/>
  <c r="Q1047" i="5"/>
  <c r="M1073" i="5"/>
  <c r="N1073" i="5" s="1"/>
  <c r="Q1140" i="5"/>
  <c r="R1140" i="5" s="1"/>
  <c r="S1140" i="5" s="1"/>
  <c r="M1190" i="5"/>
  <c r="M1222" i="5"/>
  <c r="N1222" i="5" s="1"/>
  <c r="O1222" i="5" s="1"/>
  <c r="Q1226" i="5"/>
  <c r="R1226" i="5" s="1"/>
  <c r="S1226" i="5" s="1"/>
  <c r="M1247" i="5"/>
  <c r="M1259" i="5"/>
  <c r="M578" i="5"/>
  <c r="M1050" i="5"/>
  <c r="M1069" i="5"/>
  <c r="Q1116" i="5"/>
  <c r="Q1130" i="5"/>
  <c r="R1130" i="5" s="1"/>
  <c r="S1130" i="5" s="1"/>
  <c r="M1155" i="5"/>
  <c r="Q1173" i="5"/>
  <c r="R1173" i="5" s="1"/>
  <c r="S1173" i="5" s="1"/>
  <c r="R1188" i="5"/>
  <c r="S1188" i="5" s="1"/>
  <c r="Q1210" i="5"/>
  <c r="R1210" i="5" s="1"/>
  <c r="S1210" i="5" s="1"/>
  <c r="M1232" i="5"/>
  <c r="M1263" i="5"/>
  <c r="N1263" i="5" s="1"/>
  <c r="M1275" i="5"/>
  <c r="N1275" i="5" s="1"/>
  <c r="M1284" i="5"/>
  <c r="Q1318" i="5"/>
  <c r="R1318" i="5" s="1"/>
  <c r="S1318" i="5" s="1"/>
  <c r="M1338" i="5"/>
  <c r="Q1290" i="5"/>
  <c r="R1290" i="5" s="1"/>
  <c r="S1290" i="5" s="1"/>
  <c r="M1311" i="5"/>
  <c r="L1097" i="5"/>
  <c r="P1097" i="5" s="1"/>
  <c r="L1058" i="5"/>
  <c r="P1058" i="5" s="1"/>
  <c r="M1051" i="5"/>
  <c r="M1056" i="5"/>
  <c r="L1057" i="5"/>
  <c r="P1057" i="5" s="1"/>
  <c r="Q1076" i="5"/>
  <c r="R1076" i="5" s="1"/>
  <c r="S1076" i="5" s="1"/>
  <c r="M1089" i="5"/>
  <c r="M1188" i="5"/>
  <c r="M1209" i="5"/>
  <c r="R1230" i="5"/>
  <c r="S1230" i="5" s="1"/>
  <c r="R1232" i="5"/>
  <c r="S1232" i="5" s="1"/>
  <c r="M1237" i="5"/>
  <c r="M1249" i="5"/>
  <c r="M1251" i="5"/>
  <c r="M1262" i="5"/>
  <c r="N1262" i="5" s="1"/>
  <c r="O1262" i="5" s="1"/>
  <c r="L1279" i="5"/>
  <c r="N1279" i="5" s="1"/>
  <c r="Q1292" i="5"/>
  <c r="R1292" i="5" s="1"/>
  <c r="S1292" i="5" s="1"/>
  <c r="M576" i="5"/>
  <c r="N576" i="5" s="1"/>
  <c r="L1177" i="5"/>
  <c r="N1177" i="5" s="1"/>
  <c r="Q1220" i="5"/>
  <c r="R1220" i="5" s="1"/>
  <c r="S1220" i="5" s="1"/>
  <c r="M1239" i="5"/>
  <c r="M1244" i="5"/>
  <c r="N1244" i="5" s="1"/>
  <c r="Q1255" i="5"/>
  <c r="R1255" i="5" s="1"/>
  <c r="S1255" i="5" s="1"/>
  <c r="Q1302" i="5"/>
  <c r="R1302" i="5" s="1"/>
  <c r="S1302" i="5" s="1"/>
  <c r="M546" i="5"/>
  <c r="N546" i="5" s="1"/>
  <c r="M698" i="5"/>
  <c r="Q1090" i="5"/>
  <c r="R1090" i="5" s="1"/>
  <c r="S1090" i="5" s="1"/>
  <c r="Q1119" i="5"/>
  <c r="Q1139" i="5"/>
  <c r="R1139" i="5" s="1"/>
  <c r="S1139" i="5" s="1"/>
  <c r="Q1172" i="5"/>
  <c r="R1172" i="5" s="1"/>
  <c r="S1172" i="5" s="1"/>
  <c r="R1265" i="5"/>
  <c r="S1265" i="5" s="1"/>
  <c r="M1281" i="5"/>
  <c r="M1295" i="5"/>
  <c r="M1316" i="5"/>
  <c r="Q1019" i="5"/>
  <c r="R1019" i="5" s="1"/>
  <c r="S1019" i="5" s="1"/>
  <c r="Q1097" i="5"/>
  <c r="R1097" i="5" s="1"/>
  <c r="S1097" i="5" s="1"/>
  <c r="L1095" i="5"/>
  <c r="P1095" i="5" s="1"/>
  <c r="Q1118" i="5"/>
  <c r="R1118" i="5" s="1"/>
  <c r="S1118" i="5" s="1"/>
  <c r="M1161" i="5"/>
  <c r="Q1228" i="5"/>
  <c r="R1228" i="5" s="1"/>
  <c r="S1228" i="5" s="1"/>
  <c r="L1355" i="5"/>
  <c r="P1355" i="5" s="1"/>
  <c r="Q1029" i="5"/>
  <c r="Q1049" i="5"/>
  <c r="M1085" i="5"/>
  <c r="Q1095" i="5"/>
  <c r="R1095" i="5" s="1"/>
  <c r="S1095" i="5" s="1"/>
  <c r="Q1106" i="5"/>
  <c r="R1106" i="5" s="1"/>
  <c r="S1106" i="5" s="1"/>
  <c r="Q1137" i="5"/>
  <c r="Q1146" i="5"/>
  <c r="R1146" i="5" s="1"/>
  <c r="S1146" i="5" s="1"/>
  <c r="M1184" i="5"/>
  <c r="Q1204" i="5"/>
  <c r="M1207" i="5"/>
  <c r="Q1214" i="5"/>
  <c r="R1214" i="5" s="1"/>
  <c r="S1214" i="5" s="1"/>
  <c r="Q1227" i="5"/>
  <c r="R1227" i="5" s="1"/>
  <c r="S1227" i="5" s="1"/>
  <c r="R1284" i="5"/>
  <c r="S1284" i="5" s="1"/>
  <c r="Q1301" i="5"/>
  <c r="R1301" i="5" s="1"/>
  <c r="S1301" i="5" s="1"/>
  <c r="P1227" i="5"/>
  <c r="N1227" i="5"/>
  <c r="L1228" i="5"/>
  <c r="P1275" i="5"/>
  <c r="Q1022" i="5"/>
  <c r="R1022" i="5" s="1"/>
  <c r="S1022" i="5" s="1"/>
  <c r="M1127" i="5"/>
  <c r="Q1143" i="5"/>
  <c r="R1143" i="5" s="1"/>
  <c r="S1143" i="5" s="1"/>
  <c r="Q1147" i="5"/>
  <c r="R1147" i="5" s="1"/>
  <c r="S1147" i="5" s="1"/>
  <c r="M1153" i="5"/>
  <c r="R1153" i="5"/>
  <c r="S1153" i="5" s="1"/>
  <c r="Q1177" i="5"/>
  <c r="R1177" i="5" s="1"/>
  <c r="S1177" i="5" s="1"/>
  <c r="Q1208" i="5"/>
  <c r="R1208" i="5" s="1"/>
  <c r="S1208" i="5" s="1"/>
  <c r="K1229" i="5"/>
  <c r="L1229" i="5" s="1"/>
  <c r="Q1250" i="5"/>
  <c r="R1250" i="5" s="1"/>
  <c r="S1250" i="5" s="1"/>
  <c r="Q1274" i="5"/>
  <c r="K1274" i="5"/>
  <c r="L1274" i="5" s="1"/>
  <c r="M1193" i="5"/>
  <c r="M403" i="5"/>
  <c r="Q1021" i="5"/>
  <c r="Q1025" i="5"/>
  <c r="R1025" i="5" s="1"/>
  <c r="S1025" i="5" s="1"/>
  <c r="M1030" i="5"/>
  <c r="Q1061" i="5"/>
  <c r="R1061" i="5" s="1"/>
  <c r="S1061" i="5" s="1"/>
  <c r="Q1079" i="5"/>
  <c r="R1079" i="5" s="1"/>
  <c r="S1079" i="5" s="1"/>
  <c r="Q1086" i="5"/>
  <c r="Q1101" i="5"/>
  <c r="R1101" i="5" s="1"/>
  <c r="S1101" i="5" s="1"/>
  <c r="Q1109" i="5"/>
  <c r="R1109" i="5" s="1"/>
  <c r="S1109" i="5" s="1"/>
  <c r="M1117" i="5"/>
  <c r="Q1123" i="5"/>
  <c r="R1123" i="5" s="1"/>
  <c r="S1123" i="5" s="1"/>
  <c r="Q1131" i="5"/>
  <c r="R1131" i="5" s="1"/>
  <c r="S1131" i="5" s="1"/>
  <c r="Q1162" i="5"/>
  <c r="R1162" i="5" s="1"/>
  <c r="S1162" i="5" s="1"/>
  <c r="Q1169" i="5"/>
  <c r="R1169" i="5" s="1"/>
  <c r="S1169" i="5" s="1"/>
  <c r="Q1176" i="5"/>
  <c r="R1176" i="5" s="1"/>
  <c r="S1176" i="5" s="1"/>
  <c r="M1197" i="5"/>
  <c r="Q1201" i="5"/>
  <c r="M1217" i="5"/>
  <c r="M1246" i="5"/>
  <c r="M1261" i="5"/>
  <c r="K1273" i="5"/>
  <c r="R1273" i="5" s="1"/>
  <c r="S1273" i="5" s="1"/>
  <c r="Q1343" i="5"/>
  <c r="R1343" i="5" s="1"/>
  <c r="S1343" i="5" s="1"/>
  <c r="M1353" i="5"/>
  <c r="M1072" i="5"/>
  <c r="Q1108" i="5"/>
  <c r="R1108" i="5" s="1"/>
  <c r="S1108" i="5" s="1"/>
  <c r="M1107" i="5"/>
  <c r="Q1122" i="5"/>
  <c r="R1122" i="5" s="1"/>
  <c r="S1122" i="5" s="1"/>
  <c r="Q1152" i="5"/>
  <c r="R1152" i="5" s="1"/>
  <c r="S1152" i="5" s="1"/>
  <c r="M1180" i="5"/>
  <c r="Q1200" i="5"/>
  <c r="R1200" i="5" s="1"/>
  <c r="S1200" i="5" s="1"/>
  <c r="Q1212" i="5"/>
  <c r="R1212" i="5" s="1"/>
  <c r="S1212" i="5" s="1"/>
  <c r="R1218" i="5"/>
  <c r="S1218" i="5" s="1"/>
  <c r="M1216" i="5"/>
  <c r="M1229" i="5"/>
  <c r="Q1234" i="5"/>
  <c r="Q1235" i="5"/>
  <c r="R1235" i="5" s="1"/>
  <c r="S1235" i="5" s="1"/>
  <c r="Q1241" i="5"/>
  <c r="M1273" i="5"/>
  <c r="Q1277" i="5"/>
  <c r="R1277" i="5" s="1"/>
  <c r="S1277" i="5" s="1"/>
  <c r="Q1313" i="5"/>
  <c r="M1320" i="5"/>
  <c r="Q1322" i="5"/>
  <c r="R1322" i="5" s="1"/>
  <c r="S1322" i="5" s="1"/>
  <c r="R1327" i="5"/>
  <c r="S1327" i="5" s="1"/>
  <c r="M1026" i="5"/>
  <c r="R1057" i="5"/>
  <c r="S1057" i="5" s="1"/>
  <c r="Q1071" i="5"/>
  <c r="R1071" i="5" s="1"/>
  <c r="S1071" i="5" s="1"/>
  <c r="Q1160" i="5"/>
  <c r="R1160" i="5" s="1"/>
  <c r="S1160" i="5" s="1"/>
  <c r="Q1202" i="5"/>
  <c r="R1202" i="5" s="1"/>
  <c r="S1202" i="5" s="1"/>
  <c r="Q1240" i="5"/>
  <c r="Q1280" i="5"/>
  <c r="R1280" i="5" s="1"/>
  <c r="S1280" i="5" s="1"/>
  <c r="Q1276" i="5"/>
  <c r="R1276" i="5" s="1"/>
  <c r="S1276" i="5" s="1"/>
  <c r="Q1288" i="5"/>
  <c r="R1288" i="5" s="1"/>
  <c r="S1288" i="5" s="1"/>
  <c r="M1298" i="5"/>
  <c r="Q1304" i="5"/>
  <c r="R1304" i="5" s="1"/>
  <c r="S1304" i="5" s="1"/>
  <c r="R1315" i="5"/>
  <c r="S1315" i="5" s="1"/>
  <c r="Q1321" i="5"/>
  <c r="R1321" i="5" s="1"/>
  <c r="S1321" i="5" s="1"/>
  <c r="Q1342" i="5"/>
  <c r="M1058" i="5"/>
  <c r="Q1064" i="5"/>
  <c r="R1064" i="5" s="1"/>
  <c r="S1064" i="5" s="1"/>
  <c r="M1070" i="5"/>
  <c r="N1070" i="5" s="1"/>
  <c r="M1094" i="5"/>
  <c r="M1165" i="5"/>
  <c r="N1165" i="5" s="1"/>
  <c r="M1189" i="5"/>
  <c r="N1189" i="5" s="1"/>
  <c r="Q1233" i="5"/>
  <c r="R1233" i="5" s="1"/>
  <c r="S1233" i="5" s="1"/>
  <c r="R1275" i="5"/>
  <c r="S1275" i="5" s="1"/>
  <c r="L1278" i="5"/>
  <c r="N1278" i="5" s="1"/>
  <c r="M1312" i="5"/>
  <c r="M1351" i="5"/>
  <c r="K1360" i="5"/>
  <c r="R1355" i="5"/>
  <c r="S1355" i="5" s="1"/>
  <c r="L1343" i="5"/>
  <c r="P1343" i="5" s="1"/>
  <c r="K1320" i="5"/>
  <c r="L1320" i="5" s="1"/>
  <c r="L1290" i="5"/>
  <c r="P1290" i="5" s="1"/>
  <c r="L1261" i="5"/>
  <c r="P1261" i="5" s="1"/>
  <c r="L1255" i="5"/>
  <c r="N1255" i="5" s="1"/>
  <c r="P1230" i="5"/>
  <c r="N1226" i="5"/>
  <c r="U1226" i="5" s="1"/>
  <c r="V1226" i="5" s="1"/>
  <c r="L1231" i="5"/>
  <c r="L1221" i="5"/>
  <c r="P1221" i="5" s="1"/>
  <c r="L1224" i="5"/>
  <c r="P1224" i="5" s="1"/>
  <c r="L1200" i="5"/>
  <c r="P1200" i="5" s="1"/>
  <c r="L1188" i="5"/>
  <c r="P1188" i="5" s="1"/>
  <c r="L1172" i="5"/>
  <c r="N1172" i="5" s="1"/>
  <c r="R1158" i="5"/>
  <c r="S1158" i="5" s="1"/>
  <c r="L1135" i="5"/>
  <c r="P1135" i="5" s="1"/>
  <c r="L1112" i="5"/>
  <c r="P1112" i="5" s="1"/>
  <c r="L1072" i="5"/>
  <c r="L1117" i="5"/>
  <c r="P1117" i="5" s="1"/>
  <c r="K1154" i="5"/>
  <c r="L1154" i="5" s="1"/>
  <c r="K1171" i="5"/>
  <c r="R1171" i="5" s="1"/>
  <c r="S1171" i="5" s="1"/>
  <c r="K1303" i="5"/>
  <c r="L1303" i="5" s="1"/>
  <c r="K1335" i="5"/>
  <c r="L1335" i="5" s="1"/>
  <c r="P1335" i="5" s="1"/>
  <c r="K1352" i="5"/>
  <c r="L1352" i="5" s="1"/>
  <c r="K1332" i="5"/>
  <c r="K1356" i="5"/>
  <c r="L1356" i="5" s="1"/>
  <c r="L1061" i="5"/>
  <c r="N1061" i="5" s="1"/>
  <c r="K1201" i="5"/>
  <c r="L1201" i="5" s="1"/>
  <c r="N1346" i="5"/>
  <c r="O1346" i="5" s="1"/>
  <c r="K1178" i="5"/>
  <c r="K1088" i="5"/>
  <c r="L1088" i="5" s="1"/>
  <c r="P1088" i="5" s="1"/>
  <c r="R1058" i="5"/>
  <c r="S1058" i="5" s="1"/>
  <c r="L1068" i="5"/>
  <c r="R1268" i="5"/>
  <c r="S1268" i="5" s="1"/>
  <c r="K1328" i="5"/>
  <c r="L1328" i="5" s="1"/>
  <c r="L1286" i="5"/>
  <c r="P1286" i="5" s="1"/>
  <c r="K1313" i="5"/>
  <c r="L1313" i="5" s="1"/>
  <c r="K1149" i="5"/>
  <c r="L1149" i="5" s="1"/>
  <c r="L1285" i="5"/>
  <c r="P1285" i="5" s="1"/>
  <c r="P1340" i="5"/>
  <c r="R1081" i="5"/>
  <c r="S1081" i="5" s="1"/>
  <c r="R1183" i="5"/>
  <c r="S1183" i="5" s="1"/>
  <c r="R1192" i="5"/>
  <c r="S1192" i="5" s="1"/>
  <c r="R1270" i="5"/>
  <c r="S1270" i="5" s="1"/>
  <c r="L1327" i="5"/>
  <c r="P1327" i="5" s="1"/>
  <c r="K1342" i="5"/>
  <c r="N1354" i="5"/>
  <c r="O1354" i="5" s="1"/>
  <c r="R1072" i="5"/>
  <c r="S1072" i="5" s="1"/>
  <c r="R1104" i="5"/>
  <c r="S1104" i="5" s="1"/>
  <c r="L1113" i="5"/>
  <c r="P1113" i="5" s="1"/>
  <c r="K1136" i="5"/>
  <c r="L1136" i="5" s="1"/>
  <c r="L1153" i="5"/>
  <c r="P1153" i="5" s="1"/>
  <c r="R1238" i="5"/>
  <c r="S1238" i="5" s="1"/>
  <c r="R1244" i="5"/>
  <c r="S1244" i="5" s="1"/>
  <c r="L1314" i="5"/>
  <c r="P1314" i="5" s="1"/>
  <c r="K1351" i="5"/>
  <c r="R1351" i="5" s="1"/>
  <c r="S1351" i="5" s="1"/>
  <c r="L1079" i="5"/>
  <c r="P1079" i="5" s="1"/>
  <c r="L1123" i="5"/>
  <c r="N1123" i="5" s="1"/>
  <c r="L1186" i="5"/>
  <c r="R1261" i="5"/>
  <c r="S1261" i="5" s="1"/>
  <c r="L1067" i="5"/>
  <c r="P1067" i="5" s="1"/>
  <c r="L1143" i="5"/>
  <c r="N1143" i="5" s="1"/>
  <c r="L1147" i="5"/>
  <c r="N1147" i="5" s="1"/>
  <c r="K1241" i="5"/>
  <c r="L1241" i="5" s="1"/>
  <c r="K1247" i="5"/>
  <c r="L1247" i="5" s="1"/>
  <c r="L1253" i="5"/>
  <c r="P1253" i="5" s="1"/>
  <c r="R1256" i="5"/>
  <c r="S1256" i="5" s="1"/>
  <c r="R1282" i="5"/>
  <c r="S1282" i="5" s="1"/>
  <c r="R1308" i="5"/>
  <c r="S1308" i="5" s="1"/>
  <c r="N1321" i="5"/>
  <c r="O1321" i="5" s="1"/>
  <c r="R1340" i="5"/>
  <c r="S1340" i="5" s="1"/>
  <c r="R1349" i="5"/>
  <c r="S1349" i="5" s="1"/>
  <c r="R1098" i="5"/>
  <c r="S1098" i="5" s="1"/>
  <c r="L1106" i="5"/>
  <c r="N1106" i="5" s="1"/>
  <c r="L1146" i="5"/>
  <c r="P1146" i="5" s="1"/>
  <c r="L1158" i="5"/>
  <c r="R1165" i="5"/>
  <c r="S1165" i="5" s="1"/>
  <c r="R1186" i="5"/>
  <c r="S1186" i="5" s="1"/>
  <c r="L1219" i="5"/>
  <c r="L1223" i="5"/>
  <c r="P1223" i="5" s="1"/>
  <c r="K1254" i="5"/>
  <c r="L1254" i="5" s="1"/>
  <c r="R1297" i="5"/>
  <c r="S1297" i="5" s="1"/>
  <c r="L1350" i="5"/>
  <c r="P1350" i="5" s="1"/>
  <c r="M1213" i="5"/>
  <c r="M1219" i="5"/>
  <c r="M1299" i="5"/>
  <c r="Q1299" i="5"/>
  <c r="R1299" i="5" s="1"/>
  <c r="S1299" i="5" s="1"/>
  <c r="Q1175" i="5"/>
  <c r="R1175" i="5" s="1"/>
  <c r="S1175" i="5" s="1"/>
  <c r="M1018" i="5"/>
  <c r="Q1028" i="5"/>
  <c r="R1028" i="5" s="1"/>
  <c r="S1028" i="5" s="1"/>
  <c r="M1039" i="5"/>
  <c r="Q1043" i="5"/>
  <c r="R1043" i="5" s="1"/>
  <c r="S1043" i="5" s="1"/>
  <c r="N1077" i="5"/>
  <c r="M1078" i="5"/>
  <c r="Q1082" i="5"/>
  <c r="M1080" i="5"/>
  <c r="Q1093" i="5"/>
  <c r="R1093" i="5" s="1"/>
  <c r="S1093" i="5" s="1"/>
  <c r="M1091" i="5"/>
  <c r="Q1102" i="5"/>
  <c r="R1102" i="5" s="1"/>
  <c r="S1102" i="5" s="1"/>
  <c r="M1115" i="5"/>
  <c r="R1117" i="5"/>
  <c r="S1117" i="5" s="1"/>
  <c r="M1126" i="5"/>
  <c r="Q1134" i="5"/>
  <c r="R1134" i="5" s="1"/>
  <c r="S1134" i="5" s="1"/>
  <c r="M1132" i="5"/>
  <c r="Q1142" i="5"/>
  <c r="R1142" i="5" s="1"/>
  <c r="S1142" i="5" s="1"/>
  <c r="Q1145" i="5"/>
  <c r="R1145" i="5" s="1"/>
  <c r="S1145" i="5" s="1"/>
  <c r="Q1150" i="5"/>
  <c r="M1148" i="5"/>
  <c r="N1148" i="5" s="1"/>
  <c r="M1151" i="5"/>
  <c r="M1163" i="5"/>
  <c r="M1171" i="5"/>
  <c r="M1187" i="5"/>
  <c r="N1187" i="5" s="1"/>
  <c r="R1219" i="5"/>
  <c r="S1219" i="5" s="1"/>
  <c r="Q1221" i="5"/>
  <c r="R1221" i="5" s="1"/>
  <c r="S1221" i="5" s="1"/>
  <c r="Q1264" i="5"/>
  <c r="M1264" i="5"/>
  <c r="M1319" i="5"/>
  <c r="Q1319" i="5"/>
  <c r="R1319" i="5" s="1"/>
  <c r="S1319" i="5" s="1"/>
  <c r="Q1350" i="5"/>
  <c r="R1350" i="5" s="1"/>
  <c r="S1350" i="5" s="1"/>
  <c r="M1350" i="5"/>
  <c r="Q1041" i="5"/>
  <c r="R1041" i="5" s="1"/>
  <c r="S1041" i="5" s="1"/>
  <c r="M1087" i="5"/>
  <c r="N1087" i="5" s="1"/>
  <c r="M1098" i="5"/>
  <c r="Q1129" i="5"/>
  <c r="R1129" i="5" s="1"/>
  <c r="S1129" i="5" s="1"/>
  <c r="Q1136" i="5"/>
  <c r="Q1166" i="5"/>
  <c r="R1166" i="5" s="1"/>
  <c r="S1166" i="5" s="1"/>
  <c r="M1196" i="5"/>
  <c r="M1206" i="5"/>
  <c r="N1206" i="5" s="1"/>
  <c r="Q1293" i="5"/>
  <c r="R1293" i="5" s="1"/>
  <c r="S1293" i="5" s="1"/>
  <c r="M1293" i="5"/>
  <c r="N1293" i="5" s="1"/>
  <c r="O1293" i="5" s="1"/>
  <c r="Q1323" i="5"/>
  <c r="R1323" i="5" s="1"/>
  <c r="S1323" i="5" s="1"/>
  <c r="M1323" i="5"/>
  <c r="N1323" i="5" s="1"/>
  <c r="M1339" i="5"/>
  <c r="Q1339" i="5"/>
  <c r="R1339" i="5" s="1"/>
  <c r="S1339" i="5" s="1"/>
  <c r="M1335" i="5"/>
  <c r="Q1335" i="5"/>
  <c r="M1048" i="5"/>
  <c r="N1048" i="5" s="1"/>
  <c r="M1066" i="5"/>
  <c r="Q1060" i="5"/>
  <c r="R1060" i="5" s="1"/>
  <c r="S1060" i="5" s="1"/>
  <c r="M1065" i="5"/>
  <c r="Q1077" i="5"/>
  <c r="R1077" i="5" s="1"/>
  <c r="S1077" i="5" s="1"/>
  <c r="M1104" i="5"/>
  <c r="N1104" i="5" s="1"/>
  <c r="Q1120" i="5"/>
  <c r="R1120" i="5" s="1"/>
  <c r="S1120" i="5" s="1"/>
  <c r="N1131" i="5"/>
  <c r="Q1135" i="5"/>
  <c r="R1135" i="5" s="1"/>
  <c r="S1135" i="5" s="1"/>
  <c r="M1156" i="5"/>
  <c r="N1156" i="5" s="1"/>
  <c r="Q1170" i="5"/>
  <c r="R1170" i="5" s="1"/>
  <c r="S1170" i="5" s="1"/>
  <c r="M1185" i="5"/>
  <c r="M1195" i="5"/>
  <c r="Q1199" i="5"/>
  <c r="R1199" i="5" s="1"/>
  <c r="S1199" i="5" s="1"/>
  <c r="M1205" i="5"/>
  <c r="M1260" i="5"/>
  <c r="N1260" i="5" s="1"/>
  <c r="Q1260" i="5"/>
  <c r="R1260" i="5" s="1"/>
  <c r="S1260" i="5" s="1"/>
  <c r="Q1031" i="5"/>
  <c r="R1031" i="5" s="1"/>
  <c r="S1031" i="5" s="1"/>
  <c r="M1096" i="5"/>
  <c r="Q1198" i="5"/>
  <c r="Q1236" i="5"/>
  <c r="R1236" i="5" s="1"/>
  <c r="S1236" i="5" s="1"/>
  <c r="M1236" i="5"/>
  <c r="M1254" i="5"/>
  <c r="Q1254" i="5"/>
  <c r="Q1305" i="5"/>
  <c r="R1305" i="5" s="1"/>
  <c r="S1305" i="5" s="1"/>
  <c r="M1331" i="5"/>
  <c r="N1331" i="5" s="1"/>
  <c r="Q1331" i="5"/>
  <c r="R1331" i="5" s="1"/>
  <c r="S1331" i="5" s="1"/>
  <c r="M1243" i="5"/>
  <c r="Q1243" i="5"/>
  <c r="Q1253" i="5"/>
  <c r="R1253" i="5" s="1"/>
  <c r="S1253" i="5" s="1"/>
  <c r="M1253" i="5"/>
  <c r="M1283" i="5"/>
  <c r="Q1283" i="5"/>
  <c r="R1283" i="5" s="1"/>
  <c r="S1283" i="5" s="1"/>
  <c r="Q1294" i="5"/>
  <c r="R1294" i="5" s="1"/>
  <c r="S1294" i="5" s="1"/>
  <c r="M1297" i="5"/>
  <c r="N1297" i="5" s="1"/>
  <c r="M1309" i="5"/>
  <c r="M1326" i="5"/>
  <c r="N1326" i="5" s="1"/>
  <c r="Q1336" i="5"/>
  <c r="R1336" i="5" s="1"/>
  <c r="S1336" i="5" s="1"/>
  <c r="Q1348" i="5"/>
  <c r="R1348" i="5" s="1"/>
  <c r="S1348" i="5" s="1"/>
  <c r="Q1248" i="5"/>
  <c r="R1248" i="5" s="1"/>
  <c r="S1248" i="5" s="1"/>
  <c r="M1257" i="5"/>
  <c r="M1308" i="5"/>
  <c r="N1308" i="5" s="1"/>
  <c r="Q1310" i="5"/>
  <c r="Q1347" i="5"/>
  <c r="R1347" i="5" s="1"/>
  <c r="S1347" i="5" s="1"/>
  <c r="Q1352" i="5"/>
  <c r="Q1346" i="5"/>
  <c r="R1346" i="5" s="1"/>
  <c r="S1346" i="5" s="1"/>
  <c r="R1237" i="5"/>
  <c r="S1237" i="5" s="1"/>
  <c r="Q1291" i="5"/>
  <c r="Q1287" i="5"/>
  <c r="M1314" i="5"/>
  <c r="N1250" i="5"/>
  <c r="P1073" i="5"/>
  <c r="P1120" i="5"/>
  <c r="N1120" i="5"/>
  <c r="N1064" i="5"/>
  <c r="P1064" i="5"/>
  <c r="P1081" i="5"/>
  <c r="P1104" i="5"/>
  <c r="P1148" i="5"/>
  <c r="P1063" i="5"/>
  <c r="P1070" i="5"/>
  <c r="P1076" i="5"/>
  <c r="N1076" i="5"/>
  <c r="P1083" i="5"/>
  <c r="P1122" i="5"/>
  <c r="N1122" i="5"/>
  <c r="L1075" i="5"/>
  <c r="R1075" i="5"/>
  <c r="S1075" i="5" s="1"/>
  <c r="L1069" i="5"/>
  <c r="R1069" i="5"/>
  <c r="S1069" i="5" s="1"/>
  <c r="N1093" i="5"/>
  <c r="P1093" i="5"/>
  <c r="P1134" i="5"/>
  <c r="L1050" i="5"/>
  <c r="P1050" i="5" s="1"/>
  <c r="P1087" i="5"/>
  <c r="L1062" i="5"/>
  <c r="P1108" i="5"/>
  <c r="N1108" i="5"/>
  <c r="P1140" i="5"/>
  <c r="N1140" i="5"/>
  <c r="Q1359" i="5"/>
  <c r="R1359" i="5" s="1"/>
  <c r="S1359" i="5" s="1"/>
  <c r="M1359" i="5"/>
  <c r="N1359" i="5" s="1"/>
  <c r="K1116" i="5"/>
  <c r="L1116" i="5" s="1"/>
  <c r="L1126" i="5"/>
  <c r="R1126" i="5"/>
  <c r="S1126" i="5" s="1"/>
  <c r="L1129" i="5"/>
  <c r="K1137" i="5"/>
  <c r="L1137" i="5" s="1"/>
  <c r="P1176" i="5"/>
  <c r="N1176" i="5"/>
  <c r="P1187" i="5"/>
  <c r="P1218" i="5"/>
  <c r="K1215" i="5"/>
  <c r="L1215" i="5" s="1"/>
  <c r="K1234" i="5"/>
  <c r="L1234" i="5" s="1"/>
  <c r="K1249" i="5"/>
  <c r="L1357" i="5"/>
  <c r="R1357" i="5"/>
  <c r="S1357" i="5" s="1"/>
  <c r="K1358" i="5"/>
  <c r="L1358" i="5" s="1"/>
  <c r="K1066" i="5"/>
  <c r="L1066" i="5" s="1"/>
  <c r="L1071" i="5"/>
  <c r="P1077" i="5"/>
  <c r="L1089" i="5"/>
  <c r="R1112" i="5"/>
  <c r="S1112" i="5" s="1"/>
  <c r="L1111" i="5"/>
  <c r="K1114" i="5"/>
  <c r="L1124" i="5"/>
  <c r="R1125" i="5"/>
  <c r="S1125" i="5" s="1"/>
  <c r="L1127" i="5"/>
  <c r="R1127" i="5"/>
  <c r="S1127" i="5" s="1"/>
  <c r="R1128" i="5"/>
  <c r="S1128" i="5" s="1"/>
  <c r="L1130" i="5"/>
  <c r="L1138" i="5"/>
  <c r="N1142" i="5"/>
  <c r="P1142" i="5"/>
  <c r="L1144" i="5"/>
  <c r="R1148" i="5"/>
  <c r="S1148" i="5" s="1"/>
  <c r="P1156" i="5"/>
  <c r="L1166" i="5"/>
  <c r="L1175" i="5"/>
  <c r="N1211" i="5"/>
  <c r="P1211" i="5"/>
  <c r="N1090" i="5"/>
  <c r="P1090" i="5"/>
  <c r="L1100" i="5"/>
  <c r="R1100" i="5"/>
  <c r="S1100" i="5" s="1"/>
  <c r="L1099" i="5"/>
  <c r="L1060" i="5"/>
  <c r="R1067" i="5"/>
  <c r="S1067" i="5" s="1"/>
  <c r="K1065" i="5"/>
  <c r="R1065" i="5" s="1"/>
  <c r="S1065" i="5" s="1"/>
  <c r="R1070" i="5"/>
  <c r="S1070" i="5" s="1"/>
  <c r="R1078" i="5"/>
  <c r="S1078" i="5" s="1"/>
  <c r="L1078" i="5"/>
  <c r="L1080" i="5"/>
  <c r="R1087" i="5"/>
  <c r="S1087" i="5" s="1"/>
  <c r="K1091" i="5"/>
  <c r="L1091" i="5" s="1"/>
  <c r="K1110" i="5"/>
  <c r="L1110" i="5" s="1"/>
  <c r="L1115" i="5"/>
  <c r="L1152" i="5"/>
  <c r="N1162" i="5"/>
  <c r="P1162" i="5"/>
  <c r="K1179" i="5"/>
  <c r="L1179" i="5" s="1"/>
  <c r="L1205" i="5"/>
  <c r="R1205" i="5"/>
  <c r="S1205" i="5" s="1"/>
  <c r="L1085" i="5"/>
  <c r="K1086" i="5"/>
  <c r="L1086" i="5" s="1"/>
  <c r="L1094" i="5"/>
  <c r="R1094" i="5"/>
  <c r="S1094" i="5" s="1"/>
  <c r="K1096" i="5"/>
  <c r="L1096" i="5" s="1"/>
  <c r="L1151" i="5"/>
  <c r="R1151" i="5"/>
  <c r="S1151" i="5" s="1"/>
  <c r="L1161" i="5"/>
  <c r="R1161" i="5"/>
  <c r="S1161" i="5" s="1"/>
  <c r="K1163" i="5"/>
  <c r="R1163" i="5" s="1"/>
  <c r="S1163" i="5" s="1"/>
  <c r="R1063" i="5"/>
  <c r="S1063" i="5" s="1"/>
  <c r="L1074" i="5"/>
  <c r="R1080" i="5"/>
  <c r="S1080" i="5" s="1"/>
  <c r="K1082" i="5"/>
  <c r="L1082" i="5" s="1"/>
  <c r="R1085" i="5"/>
  <c r="S1085" i="5" s="1"/>
  <c r="K1103" i="5"/>
  <c r="L1103" i="5" s="1"/>
  <c r="P1109" i="5"/>
  <c r="N1109" i="5"/>
  <c r="L1105" i="5"/>
  <c r="K1107" i="5"/>
  <c r="L1107" i="5" s="1"/>
  <c r="L1118" i="5"/>
  <c r="L1141" i="5"/>
  <c r="N1145" i="5"/>
  <c r="P1145" i="5"/>
  <c r="K1150" i="5"/>
  <c r="L1150" i="5" s="1"/>
  <c r="K1157" i="5"/>
  <c r="R1157" i="5" s="1"/>
  <c r="S1157" i="5" s="1"/>
  <c r="P1159" i="5"/>
  <c r="P1165" i="5"/>
  <c r="L1167" i="5"/>
  <c r="L1197" i="5"/>
  <c r="R1197" i="5"/>
  <c r="S1197" i="5" s="1"/>
  <c r="R1073" i="5"/>
  <c r="S1073" i="5" s="1"/>
  <c r="R1084" i="5"/>
  <c r="S1084" i="5" s="1"/>
  <c r="L1084" i="5"/>
  <c r="K1092" i="5"/>
  <c r="L1092" i="5" s="1"/>
  <c r="N1101" i="5"/>
  <c r="P1101" i="5"/>
  <c r="L1102" i="5"/>
  <c r="K1119" i="5"/>
  <c r="L1119" i="5" s="1"/>
  <c r="L1125" i="5"/>
  <c r="L1128" i="5"/>
  <c r="L1132" i="5"/>
  <c r="R1132" i="5"/>
  <c r="S1132" i="5" s="1"/>
  <c r="L1160" i="5"/>
  <c r="L1168" i="5"/>
  <c r="K1191" i="5"/>
  <c r="R1191" i="5" s="1"/>
  <c r="S1191" i="5" s="1"/>
  <c r="K1121" i="5"/>
  <c r="L1121" i="5" s="1"/>
  <c r="P1131" i="5"/>
  <c r="K1133" i="5"/>
  <c r="R1133" i="5" s="1"/>
  <c r="S1133" i="5" s="1"/>
  <c r="L1164" i="5"/>
  <c r="L1169" i="5"/>
  <c r="L1190" i="5"/>
  <c r="R1190" i="5"/>
  <c r="S1190" i="5" s="1"/>
  <c r="L1196" i="5"/>
  <c r="R1196" i="5"/>
  <c r="S1196" i="5" s="1"/>
  <c r="L1214" i="5"/>
  <c r="K1243" i="5"/>
  <c r="L1267" i="5"/>
  <c r="L1181" i="5"/>
  <c r="P1189" i="5"/>
  <c r="L1193" i="5"/>
  <c r="R1193" i="5"/>
  <c r="S1193" i="5" s="1"/>
  <c r="L1212" i="5"/>
  <c r="L1209" i="5"/>
  <c r="R1209" i="5"/>
  <c r="S1209" i="5" s="1"/>
  <c r="R1231" i="5"/>
  <c r="S1231" i="5" s="1"/>
  <c r="R1156" i="5"/>
  <c r="S1156" i="5" s="1"/>
  <c r="K1155" i="5"/>
  <c r="R1155" i="5" s="1"/>
  <c r="S1155" i="5" s="1"/>
  <c r="L1174" i="5"/>
  <c r="R1174" i="5"/>
  <c r="S1174" i="5" s="1"/>
  <c r="L1180" i="5"/>
  <c r="R1180" i="5"/>
  <c r="S1180" i="5" s="1"/>
  <c r="P1192" i="5"/>
  <c r="P1210" i="5"/>
  <c r="L1170" i="5"/>
  <c r="L1173" i="5"/>
  <c r="P1183" i="5"/>
  <c r="L1185" i="5"/>
  <c r="R1185" i="5"/>
  <c r="S1185" i="5" s="1"/>
  <c r="K1195" i="5"/>
  <c r="L1195" i="5" s="1"/>
  <c r="L1199" i="5"/>
  <c r="L1202" i="5"/>
  <c r="K1203" i="5"/>
  <c r="L1203" i="5" s="1"/>
  <c r="K1213" i="5"/>
  <c r="L1213" i="5" s="1"/>
  <c r="L1217" i="5"/>
  <c r="R1217" i="5"/>
  <c r="S1217" i="5" s="1"/>
  <c r="R1225" i="5"/>
  <c r="S1225" i="5" s="1"/>
  <c r="L1225" i="5"/>
  <c r="K1264" i="5"/>
  <c r="L1264" i="5" s="1"/>
  <c r="R1159" i="5"/>
  <c r="S1159" i="5" s="1"/>
  <c r="P1182" i="5"/>
  <c r="N1182" i="5"/>
  <c r="L1184" i="5"/>
  <c r="R1184" i="5"/>
  <c r="S1184" i="5" s="1"/>
  <c r="K1194" i="5"/>
  <c r="L1194" i="5" s="1"/>
  <c r="K1198" i="5"/>
  <c r="L1198" i="5" s="1"/>
  <c r="P1206" i="5"/>
  <c r="R1206" i="5"/>
  <c r="S1206" i="5" s="1"/>
  <c r="K1204" i="5"/>
  <c r="L1204" i="5" s="1"/>
  <c r="L1232" i="5"/>
  <c r="L1237" i="5"/>
  <c r="L1259" i="5"/>
  <c r="L1266" i="5"/>
  <c r="R1266" i="5"/>
  <c r="S1266" i="5" s="1"/>
  <c r="L1277" i="5"/>
  <c r="L1292" i="5"/>
  <c r="K1239" i="5"/>
  <c r="L1239" i="5" s="1"/>
  <c r="K1245" i="5"/>
  <c r="L1245" i="5" s="1"/>
  <c r="K1251" i="5"/>
  <c r="L1251" i="5" s="1"/>
  <c r="K1257" i="5"/>
  <c r="L1257" i="5" s="1"/>
  <c r="K1258" i="5"/>
  <c r="L1258" i="5" s="1"/>
  <c r="L1207" i="5"/>
  <c r="L1208" i="5"/>
  <c r="L1216" i="5"/>
  <c r="L1236" i="5"/>
  <c r="P1282" i="5"/>
  <c r="P1302" i="5"/>
  <c r="N1302" i="5"/>
  <c r="L1220" i="5"/>
  <c r="L1235" i="5"/>
  <c r="P1242" i="5"/>
  <c r="N1248" i="5"/>
  <c r="P1248" i="5"/>
  <c r="P1260" i="5"/>
  <c r="P1263" i="5"/>
  <c r="L1265" i="5"/>
  <c r="P1238" i="5"/>
  <c r="K1240" i="5"/>
  <c r="P1244" i="5"/>
  <c r="K1246" i="5"/>
  <c r="L1246" i="5" s="1"/>
  <c r="P1250" i="5"/>
  <c r="K1252" i="5"/>
  <c r="R1252" i="5" s="1"/>
  <c r="S1252" i="5" s="1"/>
  <c r="P1256" i="5"/>
  <c r="R1259" i="5"/>
  <c r="S1259" i="5" s="1"/>
  <c r="L1276" i="5"/>
  <c r="L1284" i="5"/>
  <c r="L1294" i="5"/>
  <c r="P1297" i="5"/>
  <c r="P1306" i="5"/>
  <c r="N1306" i="5"/>
  <c r="L1305" i="5"/>
  <c r="P1323" i="5"/>
  <c r="L1233" i="5"/>
  <c r="L1281" i="5"/>
  <c r="R1281" i="5"/>
  <c r="S1281" i="5" s="1"/>
  <c r="K1298" i="5"/>
  <c r="L1298" i="5" s="1"/>
  <c r="P1308" i="5"/>
  <c r="R1242" i="5"/>
  <c r="S1242" i="5" s="1"/>
  <c r="R1263" i="5"/>
  <c r="S1263" i="5" s="1"/>
  <c r="L1280" i="5"/>
  <c r="L1283" i="5"/>
  <c r="L1289" i="5"/>
  <c r="K1291" i="5"/>
  <c r="L1291" i="5" s="1"/>
  <c r="K1287" i="5"/>
  <c r="L1287" i="5" s="1"/>
  <c r="L1309" i="5"/>
  <c r="R1309" i="5"/>
  <c r="S1309" i="5" s="1"/>
  <c r="P1349" i="5"/>
  <c r="L1288" i="5"/>
  <c r="N1301" i="5"/>
  <c r="P1301" i="5"/>
  <c r="L1300" i="5"/>
  <c r="R1311" i="5"/>
  <c r="S1311" i="5" s="1"/>
  <c r="K1295" i="5"/>
  <c r="L1295" i="5" s="1"/>
  <c r="L1299" i="5"/>
  <c r="K1316" i="5"/>
  <c r="R1316" i="5" s="1"/>
  <c r="S1316" i="5" s="1"/>
  <c r="P1331" i="5"/>
  <c r="L1304" i="5"/>
  <c r="L1311" i="5"/>
  <c r="L1315" i="5"/>
  <c r="L1317" i="5"/>
  <c r="K1325" i="5"/>
  <c r="L1325" i="5" s="1"/>
  <c r="R1353" i="5"/>
  <c r="S1353" i="5" s="1"/>
  <c r="N1322" i="5"/>
  <c r="P1322" i="5"/>
  <c r="L1324" i="5"/>
  <c r="P1330" i="5"/>
  <c r="L1344" i="5"/>
  <c r="R1296" i="5"/>
  <c r="S1296" i="5" s="1"/>
  <c r="L1296" i="5"/>
  <c r="R1307" i="5"/>
  <c r="S1307" i="5" s="1"/>
  <c r="L1319" i="5"/>
  <c r="N1334" i="5"/>
  <c r="P1334" i="5"/>
  <c r="L1329" i="5"/>
  <c r="N1337" i="5"/>
  <c r="P1337" i="5"/>
  <c r="L1341" i="5"/>
  <c r="R1341" i="5"/>
  <c r="S1341" i="5" s="1"/>
  <c r="N1348" i="5"/>
  <c r="P1348" i="5"/>
  <c r="N1361" i="5"/>
  <c r="P1361" i="5"/>
  <c r="L1307" i="5"/>
  <c r="K1310" i="5"/>
  <c r="P1326" i="5"/>
  <c r="L1333" i="5"/>
  <c r="K1338" i="5"/>
  <c r="L1338" i="5" s="1"/>
  <c r="L1347" i="5"/>
  <c r="P1336" i="5"/>
  <c r="N1336" i="5"/>
  <c r="L1353" i="5"/>
  <c r="R1312" i="5"/>
  <c r="S1312" i="5" s="1"/>
  <c r="L1312" i="5"/>
  <c r="R1326" i="5"/>
  <c r="S1326" i="5" s="1"/>
  <c r="R1330" i="5"/>
  <c r="S1330" i="5" s="1"/>
  <c r="R1314" i="5"/>
  <c r="S1314" i="5" s="1"/>
  <c r="L1052" i="5"/>
  <c r="R1052" i="5"/>
  <c r="S1052" i="5" s="1"/>
  <c r="P1054" i="5"/>
  <c r="P1053" i="5"/>
  <c r="R1051" i="5"/>
  <c r="S1051" i="5" s="1"/>
  <c r="K1049" i="5"/>
  <c r="L1049" i="5" s="1"/>
  <c r="P1049" i="5" s="1"/>
  <c r="R1054" i="5"/>
  <c r="S1054" i="5" s="1"/>
  <c r="L1051" i="5"/>
  <c r="R1053" i="5"/>
  <c r="S1053" i="5" s="1"/>
  <c r="P1048" i="5"/>
  <c r="R1048" i="5"/>
  <c r="S1048" i="5" s="1"/>
  <c r="K1047" i="5"/>
  <c r="L1047" i="5" s="1"/>
  <c r="N1044" i="5"/>
  <c r="P1044" i="5"/>
  <c r="N1043" i="5"/>
  <c r="P1043" i="5"/>
  <c r="L1046" i="5"/>
  <c r="L1045" i="5"/>
  <c r="R1045" i="5"/>
  <c r="S1045" i="5" s="1"/>
  <c r="Q1046" i="5"/>
  <c r="R1046" i="5" s="1"/>
  <c r="S1046" i="5" s="1"/>
  <c r="L1042" i="5"/>
  <c r="R1042" i="5"/>
  <c r="S1042" i="5" s="1"/>
  <c r="M1042" i="5"/>
  <c r="R1038" i="5"/>
  <c r="S1038" i="5" s="1"/>
  <c r="P1041" i="5"/>
  <c r="P1038" i="5"/>
  <c r="M1038" i="5"/>
  <c r="N1038" i="5" s="1"/>
  <c r="K1040" i="5"/>
  <c r="L1040" i="5" s="1"/>
  <c r="K1039" i="5"/>
  <c r="L1039" i="5" s="1"/>
  <c r="L1035" i="5"/>
  <c r="R1035" i="5"/>
  <c r="S1035" i="5" s="1"/>
  <c r="P1037" i="5"/>
  <c r="P1036" i="5"/>
  <c r="R1036" i="5"/>
  <c r="S1036" i="5" s="1"/>
  <c r="L1034" i="5"/>
  <c r="R1034" i="5"/>
  <c r="S1034" i="5" s="1"/>
  <c r="P1033" i="5"/>
  <c r="P1032" i="5"/>
  <c r="R1033" i="5"/>
  <c r="S1033" i="5" s="1"/>
  <c r="R1032" i="5"/>
  <c r="S1032" i="5" s="1"/>
  <c r="P1031" i="5"/>
  <c r="N1031" i="5"/>
  <c r="K1030" i="5"/>
  <c r="L1030" i="5" s="1"/>
  <c r="R1023" i="5"/>
  <c r="S1023" i="5" s="1"/>
  <c r="K1029" i="5"/>
  <c r="L1029" i="5" s="1"/>
  <c r="L1028" i="5"/>
  <c r="P1028" i="5" s="1"/>
  <c r="N1025" i="5"/>
  <c r="P1025" i="5"/>
  <c r="L1027" i="5"/>
  <c r="R1027" i="5"/>
  <c r="S1027" i="5" s="1"/>
  <c r="L1020" i="5"/>
  <c r="N1020" i="5" s="1"/>
  <c r="L1022" i="5"/>
  <c r="P1022" i="5" s="1"/>
  <c r="K1026" i="5"/>
  <c r="R1026" i="5" s="1"/>
  <c r="S1026" i="5" s="1"/>
  <c r="M1023" i="5"/>
  <c r="N1023" i="5" s="1"/>
  <c r="K1021" i="5"/>
  <c r="L1021" i="5" s="1"/>
  <c r="Q1020" i="5"/>
  <c r="R1020" i="5" s="1"/>
  <c r="S1020" i="5" s="1"/>
  <c r="K1024" i="5"/>
  <c r="L1024" i="5" s="1"/>
  <c r="P1019" i="5"/>
  <c r="N1019" i="5"/>
  <c r="K1018" i="5"/>
  <c r="R1018" i="5" s="1"/>
  <c r="S1018" i="5" s="1"/>
  <c r="Q921" i="5"/>
  <c r="R921" i="5" s="1"/>
  <c r="S921" i="5" s="1"/>
  <c r="M975" i="5"/>
  <c r="M992" i="5"/>
  <c r="M697" i="5"/>
  <c r="N697" i="5" s="1"/>
  <c r="M620" i="5"/>
  <c r="M995" i="5"/>
  <c r="M683" i="5"/>
  <c r="N683" i="5" s="1"/>
  <c r="M852" i="5"/>
  <c r="M696" i="5"/>
  <c r="Q624" i="5"/>
  <c r="R624" i="5" s="1"/>
  <c r="S624" i="5" s="1"/>
  <c r="Q782" i="5"/>
  <c r="R782" i="5" s="1"/>
  <c r="S782" i="5" s="1"/>
  <c r="M227" i="5"/>
  <c r="Q865" i="5"/>
  <c r="R865" i="5" s="1"/>
  <c r="S865" i="5" s="1"/>
  <c r="Q861" i="5"/>
  <c r="R861" i="5" s="1"/>
  <c r="S861" i="5" s="1"/>
  <c r="M866" i="5"/>
  <c r="M873" i="5"/>
  <c r="Q998" i="5"/>
  <c r="R998" i="5" s="1"/>
  <c r="S998" i="5" s="1"/>
  <c r="M226" i="5"/>
  <c r="N226" i="5" s="1"/>
  <c r="M906" i="5"/>
  <c r="L995" i="5"/>
  <c r="P995" i="5" s="1"/>
  <c r="M603" i="5"/>
  <c r="M711" i="5"/>
  <c r="M993" i="5"/>
  <c r="M818" i="5"/>
  <c r="M783" i="5"/>
  <c r="M935" i="5"/>
  <c r="M951" i="5"/>
  <c r="Q842" i="5"/>
  <c r="R842" i="5" s="1"/>
  <c r="S842" i="5" s="1"/>
  <c r="M864" i="5"/>
  <c r="N864" i="5" s="1"/>
  <c r="Q841" i="5"/>
  <c r="R841" i="5" s="1"/>
  <c r="S841" i="5" s="1"/>
  <c r="M862" i="5"/>
  <c r="Q708" i="5"/>
  <c r="R708" i="5" s="1"/>
  <c r="S708" i="5" s="1"/>
  <c r="M704" i="5"/>
  <c r="N704" i="5" s="1"/>
  <c r="Q887" i="5"/>
  <c r="R887" i="5" s="1"/>
  <c r="S887" i="5" s="1"/>
  <c r="Q962" i="5"/>
  <c r="R962" i="5" s="1"/>
  <c r="S962" i="5" s="1"/>
  <c r="M441" i="5"/>
  <c r="M718" i="5"/>
  <c r="N718" i="5" s="1"/>
  <c r="Q725" i="5"/>
  <c r="M877" i="5"/>
  <c r="Q854" i="5"/>
  <c r="R854" i="5" s="1"/>
  <c r="S854" i="5" s="1"/>
  <c r="Q876" i="5"/>
  <c r="R876" i="5" s="1"/>
  <c r="S876" i="5" s="1"/>
  <c r="Q934" i="5"/>
  <c r="R934" i="5" s="1"/>
  <c r="S934" i="5" s="1"/>
  <c r="M959" i="5"/>
  <c r="Q719" i="5"/>
  <c r="R719" i="5" s="1"/>
  <c r="S719" i="5" s="1"/>
  <c r="M796" i="5"/>
  <c r="Q843" i="5"/>
  <c r="R843" i="5" s="1"/>
  <c r="S843" i="5" s="1"/>
  <c r="Q860" i="5"/>
  <c r="R860" i="5" s="1"/>
  <c r="S860" i="5" s="1"/>
  <c r="M898" i="5"/>
  <c r="N898" i="5" s="1"/>
  <c r="O898" i="5" s="1"/>
  <c r="M936" i="5"/>
  <c r="N936" i="5" s="1"/>
  <c r="Q990" i="5"/>
  <c r="M611" i="5"/>
  <c r="M632" i="5"/>
  <c r="N632" i="5" s="1"/>
  <c r="Q641" i="5"/>
  <c r="R641" i="5" s="1"/>
  <c r="S641" i="5" s="1"/>
  <c r="Q691" i="5"/>
  <c r="M702" i="5"/>
  <c r="Q761" i="5"/>
  <c r="R761" i="5" s="1"/>
  <c r="S761" i="5" s="1"/>
  <c r="M781" i="5"/>
  <c r="Q863" i="5"/>
  <c r="R863" i="5" s="1"/>
  <c r="S863" i="5" s="1"/>
  <c r="Q616" i="5"/>
  <c r="M647" i="5"/>
  <c r="Q713" i="5"/>
  <c r="R713" i="5" s="1"/>
  <c r="S713" i="5" s="1"/>
  <c r="M765" i="5"/>
  <c r="N765" i="5" s="1"/>
  <c r="O765" i="5" s="1"/>
  <c r="Q774" i="5"/>
  <c r="R774" i="5" s="1"/>
  <c r="S774" i="5" s="1"/>
  <c r="Q811" i="5"/>
  <c r="R811" i="5" s="1"/>
  <c r="S811" i="5" s="1"/>
  <c r="Q831" i="5"/>
  <c r="R831" i="5" s="1"/>
  <c r="S831" i="5" s="1"/>
  <c r="M856" i="5"/>
  <c r="Q897" i="5"/>
  <c r="R897" i="5" s="1"/>
  <c r="S897" i="5" s="1"/>
  <c r="Q919" i="5"/>
  <c r="R919" i="5" s="1"/>
  <c r="S919" i="5" s="1"/>
  <c r="M997" i="5"/>
  <c r="N997" i="5" s="1"/>
  <c r="M617" i="5"/>
  <c r="M709" i="5"/>
  <c r="Q712" i="5"/>
  <c r="R712" i="5" s="1"/>
  <c r="S712" i="5" s="1"/>
  <c r="Q792" i="5"/>
  <c r="R792" i="5" s="1"/>
  <c r="S792" i="5" s="1"/>
  <c r="M812" i="5"/>
  <c r="Q896" i="5"/>
  <c r="R896" i="5" s="1"/>
  <c r="S896" i="5" s="1"/>
  <c r="M1010" i="5"/>
  <c r="Q677" i="5"/>
  <c r="R677" i="5" s="1"/>
  <c r="S677" i="5" s="1"/>
  <c r="M680" i="5"/>
  <c r="M888" i="5"/>
  <c r="N888" i="5" s="1"/>
  <c r="Q966" i="5"/>
  <c r="R966" i="5" s="1"/>
  <c r="S966" i="5" s="1"/>
  <c r="Q605" i="5"/>
  <c r="Q657" i="5"/>
  <c r="R657" i="5" s="1"/>
  <c r="S657" i="5" s="1"/>
  <c r="M678" i="5"/>
  <c r="N678" i="5" s="1"/>
  <c r="U678" i="5" s="1"/>
  <c r="V678" i="5" s="1"/>
  <c r="Q798" i="5"/>
  <c r="Q926" i="5"/>
  <c r="R926" i="5" s="1"/>
  <c r="S926" i="5" s="1"/>
  <c r="Q946" i="5"/>
  <c r="R946" i="5" s="1"/>
  <c r="S946" i="5" s="1"/>
  <c r="L992" i="5"/>
  <c r="P992" i="5" s="1"/>
  <c r="R992" i="5"/>
  <c r="S992" i="5" s="1"/>
  <c r="Q922" i="5"/>
  <c r="R922" i="5" s="1"/>
  <c r="S922" i="5" s="1"/>
  <c r="M925" i="5"/>
  <c r="Q964" i="5"/>
  <c r="Q625" i="5"/>
  <c r="R625" i="5" s="1"/>
  <c r="S625" i="5" s="1"/>
  <c r="Q692" i="5"/>
  <c r="M721" i="5"/>
  <c r="M724" i="5"/>
  <c r="N724" i="5" s="1"/>
  <c r="Q739" i="5"/>
  <c r="R739" i="5" s="1"/>
  <c r="S739" i="5" s="1"/>
  <c r="M836" i="5"/>
  <c r="M838" i="5"/>
  <c r="Q847" i="5"/>
  <c r="R847" i="5" s="1"/>
  <c r="S847" i="5" s="1"/>
  <c r="M878" i="5"/>
  <c r="M891" i="5"/>
  <c r="N891" i="5" s="1"/>
  <c r="M939" i="5"/>
  <c r="Q940" i="5"/>
  <c r="R940" i="5" s="1"/>
  <c r="S940" i="5" s="1"/>
  <c r="M633" i="5"/>
  <c r="M666" i="5"/>
  <c r="N666" i="5" s="1"/>
  <c r="M752" i="5"/>
  <c r="N752" i="5" s="1"/>
  <c r="M835" i="5"/>
  <c r="Q947" i="5"/>
  <c r="R947" i="5" s="1"/>
  <c r="S947" i="5" s="1"/>
  <c r="M977" i="5"/>
  <c r="M440" i="5"/>
  <c r="M610" i="5"/>
  <c r="N610" i="5" s="1"/>
  <c r="M599" i="5"/>
  <c r="N599" i="5" s="1"/>
  <c r="M700" i="5"/>
  <c r="Q780" i="5"/>
  <c r="R780" i="5" s="1"/>
  <c r="S780" i="5" s="1"/>
  <c r="Q817" i="5"/>
  <c r="R817" i="5" s="1"/>
  <c r="S817" i="5" s="1"/>
  <c r="Q953" i="5"/>
  <c r="R953" i="5" s="1"/>
  <c r="S953" i="5" s="1"/>
  <c r="M410" i="5"/>
  <c r="Q676" i="5"/>
  <c r="R676" i="5" s="1"/>
  <c r="S676" i="5" s="1"/>
  <c r="Q933" i="5"/>
  <c r="R933" i="5" s="1"/>
  <c r="S933" i="5" s="1"/>
  <c r="Q976" i="5"/>
  <c r="R976" i="5" s="1"/>
  <c r="S976" i="5" s="1"/>
  <c r="M600" i="5"/>
  <c r="Q604" i="5"/>
  <c r="Q613" i="5"/>
  <c r="R613" i="5" s="1"/>
  <c r="S613" i="5" s="1"/>
  <c r="M644" i="5"/>
  <c r="N644" i="5" s="1"/>
  <c r="Q687" i="5"/>
  <c r="R687" i="5" s="1"/>
  <c r="S687" i="5" s="1"/>
  <c r="Q710" i="5"/>
  <c r="Q740" i="5"/>
  <c r="R740" i="5" s="1"/>
  <c r="S740" i="5" s="1"/>
  <c r="M784" i="5"/>
  <c r="N784" i="5" s="1"/>
  <c r="Q848" i="5"/>
  <c r="R848" i="5" s="1"/>
  <c r="S848" i="5" s="1"/>
  <c r="M910" i="5"/>
  <c r="N910" i="5" s="1"/>
  <c r="M938" i="5"/>
  <c r="Q941" i="5"/>
  <c r="R941" i="5" s="1"/>
  <c r="S941" i="5" s="1"/>
  <c r="L993" i="5"/>
  <c r="P993" i="5" s="1"/>
  <c r="Q541" i="5"/>
  <c r="R541" i="5" s="1"/>
  <c r="S541" i="5" s="1"/>
  <c r="M594" i="5"/>
  <c r="N594" i="5" s="1"/>
  <c r="M606" i="5"/>
  <c r="N606" i="5" s="1"/>
  <c r="Q608" i="5"/>
  <c r="R608" i="5" s="1"/>
  <c r="S608" i="5" s="1"/>
  <c r="Q614" i="5"/>
  <c r="R614" i="5" s="1"/>
  <c r="S614" i="5" s="1"/>
  <c r="Q621" i="5"/>
  <c r="R621" i="5" s="1"/>
  <c r="S621" i="5" s="1"/>
  <c r="M635" i="5"/>
  <c r="Q636" i="5"/>
  <c r="R636" i="5" s="1"/>
  <c r="S636" i="5" s="1"/>
  <c r="Q645" i="5"/>
  <c r="R645" i="5" s="1"/>
  <c r="S645" i="5" s="1"/>
  <c r="M655" i="5"/>
  <c r="N655" i="5" s="1"/>
  <c r="Q727" i="5"/>
  <c r="R727" i="5" s="1"/>
  <c r="S727" i="5" s="1"/>
  <c r="M744" i="5"/>
  <c r="M751" i="5"/>
  <c r="N751" i="5" s="1"/>
  <c r="Q757" i="5"/>
  <c r="R757" i="5" s="1"/>
  <c r="S757" i="5" s="1"/>
  <c r="M759" i="5"/>
  <c r="M793" i="5"/>
  <c r="Q805" i="5"/>
  <c r="R805" i="5" s="1"/>
  <c r="S805" i="5" s="1"/>
  <c r="Q809" i="5"/>
  <c r="R809" i="5" s="1"/>
  <c r="S809" i="5" s="1"/>
  <c r="M823" i="5"/>
  <c r="Q824" i="5"/>
  <c r="R824" i="5" s="1"/>
  <c r="S824" i="5" s="1"/>
  <c r="M826" i="5"/>
  <c r="M832" i="5"/>
  <c r="M834" i="5"/>
  <c r="N834" i="5" s="1"/>
  <c r="Q845" i="5"/>
  <c r="R845" i="5" s="1"/>
  <c r="S845" i="5" s="1"/>
  <c r="M850" i="5"/>
  <c r="M859" i="5"/>
  <c r="Q899" i="5"/>
  <c r="R899" i="5" s="1"/>
  <c r="S899" i="5" s="1"/>
  <c r="M902" i="5"/>
  <c r="Q907" i="5"/>
  <c r="R907" i="5" s="1"/>
  <c r="S907" i="5" s="1"/>
  <c r="Q909" i="5"/>
  <c r="R909" i="5" s="1"/>
  <c r="S909" i="5" s="1"/>
  <c r="Q911" i="5"/>
  <c r="R911" i="5" s="1"/>
  <c r="S911" i="5" s="1"/>
  <c r="Q924" i="5"/>
  <c r="R924" i="5" s="1"/>
  <c r="S924" i="5" s="1"/>
  <c r="Q944" i="5"/>
  <c r="R944" i="5" s="1"/>
  <c r="S944" i="5" s="1"/>
  <c r="Q985" i="5"/>
  <c r="R985" i="5" s="1"/>
  <c r="S985" i="5" s="1"/>
  <c r="M651" i="5"/>
  <c r="N651" i="5" s="1"/>
  <c r="O651" i="5" s="1"/>
  <c r="Q679" i="5"/>
  <c r="M701" i="5"/>
  <c r="Q726" i="5"/>
  <c r="R726" i="5" s="1"/>
  <c r="S726" i="5" s="1"/>
  <c r="Q734" i="5"/>
  <c r="R734" i="5" s="1"/>
  <c r="S734" i="5" s="1"/>
  <c r="Q741" i="5"/>
  <c r="M766" i="5"/>
  <c r="N766" i="5" s="1"/>
  <c r="O766" i="5" s="1"/>
  <c r="Q804" i="5"/>
  <c r="R804" i="5" s="1"/>
  <c r="S804" i="5" s="1"/>
  <c r="Q923" i="5"/>
  <c r="R923" i="5" s="1"/>
  <c r="S923" i="5" s="1"/>
  <c r="Q984" i="5"/>
  <c r="Q991" i="5"/>
  <c r="R991" i="5" s="1"/>
  <c r="S991" i="5" s="1"/>
  <c r="M994" i="5"/>
  <c r="N994" i="5" s="1"/>
  <c r="M1014" i="5"/>
  <c r="Q612" i="5"/>
  <c r="R612" i="5" s="1"/>
  <c r="S612" i="5" s="1"/>
  <c r="Q656" i="5"/>
  <c r="R656" i="5" s="1"/>
  <c r="S656" i="5" s="1"/>
  <c r="Q760" i="5"/>
  <c r="Q794" i="5"/>
  <c r="R794" i="5" s="1"/>
  <c r="S794" i="5" s="1"/>
  <c r="Q858" i="5"/>
  <c r="R858" i="5" s="1"/>
  <c r="S858" i="5" s="1"/>
  <c r="Q890" i="5"/>
  <c r="R890" i="5" s="1"/>
  <c r="S890" i="5" s="1"/>
  <c r="Q948" i="5"/>
  <c r="R948" i="5" s="1"/>
  <c r="S948" i="5" s="1"/>
  <c r="Q965" i="5"/>
  <c r="Q988" i="5"/>
  <c r="R988" i="5" s="1"/>
  <c r="S988" i="5" s="1"/>
  <c r="M505" i="5"/>
  <c r="Q602" i="5"/>
  <c r="R602" i="5" s="1"/>
  <c r="S602" i="5" s="1"/>
  <c r="Q607" i="5"/>
  <c r="R607" i="5" s="1"/>
  <c r="S607" i="5" s="1"/>
  <c r="Q682" i="5"/>
  <c r="R682" i="5" s="1"/>
  <c r="S682" i="5" s="1"/>
  <c r="Q707" i="5"/>
  <c r="R707" i="5" s="1"/>
  <c r="S707" i="5" s="1"/>
  <c r="Q767" i="5"/>
  <c r="Q833" i="5"/>
  <c r="Q840" i="5"/>
  <c r="R840" i="5" s="1"/>
  <c r="S840" i="5" s="1"/>
  <c r="Q855" i="5"/>
  <c r="R855" i="5" s="1"/>
  <c r="S855" i="5" s="1"/>
  <c r="Q857" i="5"/>
  <c r="R857" i="5" s="1"/>
  <c r="S857" i="5" s="1"/>
  <c r="Q882" i="5"/>
  <c r="R882" i="5" s="1"/>
  <c r="S882" i="5" s="1"/>
  <c r="Q889" i="5"/>
  <c r="R889" i="5" s="1"/>
  <c r="S889" i="5" s="1"/>
  <c r="Q918" i="5"/>
  <c r="R918" i="5" s="1"/>
  <c r="S918" i="5" s="1"/>
  <c r="M942" i="5"/>
  <c r="M960" i="5"/>
  <c r="Q963" i="5"/>
  <c r="R963" i="5" s="1"/>
  <c r="S963" i="5" s="1"/>
  <c r="M439" i="5"/>
  <c r="M777" i="5"/>
  <c r="Q592" i="5"/>
  <c r="Q601" i="5"/>
  <c r="R601" i="5" s="1"/>
  <c r="S601" i="5" s="1"/>
  <c r="Q615" i="5"/>
  <c r="R615" i="5" s="1"/>
  <c r="S615" i="5" s="1"/>
  <c r="Q622" i="5"/>
  <c r="R622" i="5" s="1"/>
  <c r="S622" i="5" s="1"/>
  <c r="Q634" i="5"/>
  <c r="Q646" i="5"/>
  <c r="R646" i="5" s="1"/>
  <c r="S646" i="5" s="1"/>
  <c r="Q681" i="5"/>
  <c r="Q699" i="5"/>
  <c r="Q810" i="5"/>
  <c r="R810" i="5" s="1"/>
  <c r="S810" i="5" s="1"/>
  <c r="Q822" i="5"/>
  <c r="R822" i="5" s="1"/>
  <c r="S822" i="5" s="1"/>
  <c r="Q825" i="5"/>
  <c r="R825" i="5" s="1"/>
  <c r="S825" i="5" s="1"/>
  <c r="Q839" i="5"/>
  <c r="R839" i="5" s="1"/>
  <c r="S839" i="5" s="1"/>
  <c r="Q849" i="5"/>
  <c r="M883" i="5"/>
  <c r="Q945" i="5"/>
  <c r="R945" i="5" s="1"/>
  <c r="S945" i="5" s="1"/>
  <c r="M996" i="5"/>
  <c r="Q1009" i="5"/>
  <c r="R1009" i="5" s="1"/>
  <c r="S1009" i="5" s="1"/>
  <c r="L1017" i="5"/>
  <c r="P1017" i="5" s="1"/>
  <c r="L996" i="5"/>
  <c r="P996" i="5" s="1"/>
  <c r="P994" i="5"/>
  <c r="Q665" i="5"/>
  <c r="R665" i="5" s="1"/>
  <c r="S665" i="5" s="1"/>
  <c r="M623" i="5"/>
  <c r="Q630" i="5"/>
  <c r="R630" i="5" s="1"/>
  <c r="S630" i="5" s="1"/>
  <c r="M629" i="5"/>
  <c r="M640" i="5"/>
  <c r="N640" i="5" s="1"/>
  <c r="Q649" i="5"/>
  <c r="R649" i="5" s="1"/>
  <c r="S649" i="5" s="1"/>
  <c r="M648" i="5"/>
  <c r="Q653" i="5"/>
  <c r="R653" i="5" s="1"/>
  <c r="S653" i="5" s="1"/>
  <c r="Q654" i="5"/>
  <c r="Q714" i="5"/>
  <c r="R714" i="5" s="1"/>
  <c r="S714" i="5" s="1"/>
  <c r="Q743" i="5"/>
  <c r="M742" i="5"/>
  <c r="M762" i="5"/>
  <c r="Q763" i="5"/>
  <c r="M795" i="5"/>
  <c r="Q800" i="5"/>
  <c r="R800" i="5" s="1"/>
  <c r="S800" i="5" s="1"/>
  <c r="M797" i="5"/>
  <c r="N797" i="5" s="1"/>
  <c r="Q816" i="5"/>
  <c r="R816" i="5" s="1"/>
  <c r="S816" i="5" s="1"/>
  <c r="M830" i="5"/>
  <c r="Q853" i="5"/>
  <c r="R853" i="5" s="1"/>
  <c r="S853" i="5" s="1"/>
  <c r="M875" i="5"/>
  <c r="M880" i="5"/>
  <c r="Q895" i="5"/>
  <c r="R895" i="5" s="1"/>
  <c r="S895" i="5" s="1"/>
  <c r="M901" i="5"/>
  <c r="M905" i="5"/>
  <c r="Q920" i="5"/>
  <c r="R920" i="5" s="1"/>
  <c r="S920" i="5" s="1"/>
  <c r="Q928" i="5"/>
  <c r="R928" i="5" s="1"/>
  <c r="S928" i="5" s="1"/>
  <c r="M927" i="5"/>
  <c r="Q943" i="5"/>
  <c r="R943" i="5" s="1"/>
  <c r="S943" i="5" s="1"/>
  <c r="M949" i="5"/>
  <c r="Q961" i="5"/>
  <c r="R961" i="5" s="1"/>
  <c r="S961" i="5" s="1"/>
  <c r="M958" i="5"/>
  <c r="N958" i="5" s="1"/>
  <c r="Q968" i="5"/>
  <c r="R968" i="5" s="1"/>
  <c r="S968" i="5" s="1"/>
  <c r="M967" i="5"/>
  <c r="Q973" i="5"/>
  <c r="M972" i="5"/>
  <c r="Q983" i="5"/>
  <c r="R983" i="5" s="1"/>
  <c r="S983" i="5" s="1"/>
  <c r="Q987" i="5"/>
  <c r="Q1008" i="5"/>
  <c r="R1008" i="5" s="1"/>
  <c r="S1008" i="5" s="1"/>
  <c r="Q1016" i="5"/>
  <c r="R1016" i="5" s="1"/>
  <c r="S1016" i="5" s="1"/>
  <c r="Q1017" i="5"/>
  <c r="R1017" i="5" s="1"/>
  <c r="S1017" i="5" s="1"/>
  <c r="Q720" i="5"/>
  <c r="M753" i="5"/>
  <c r="M785" i="5"/>
  <c r="N785" i="5" s="1"/>
  <c r="M846" i="5"/>
  <c r="M874" i="5"/>
  <c r="M892" i="5"/>
  <c r="Q900" i="5"/>
  <c r="Q978" i="5"/>
  <c r="R978" i="5" s="1"/>
  <c r="S978" i="5" s="1"/>
  <c r="Q982" i="5"/>
  <c r="R982" i="5" s="1"/>
  <c r="S982" i="5" s="1"/>
  <c r="Q735" i="5"/>
  <c r="R735" i="5" s="1"/>
  <c r="S735" i="5" s="1"/>
  <c r="Q971" i="5"/>
  <c r="M631" i="5"/>
  <c r="M650" i="5"/>
  <c r="N650" i="5" s="1"/>
  <c r="O650" i="5" s="1"/>
  <c r="M675" i="5"/>
  <c r="M758" i="5"/>
  <c r="M764" i="5"/>
  <c r="N764" i="5" s="1"/>
  <c r="M791" i="5"/>
  <c r="Q829" i="5"/>
  <c r="R829" i="5" s="1"/>
  <c r="S829" i="5" s="1"/>
  <c r="Q837" i="5"/>
  <c r="R837" i="5" s="1"/>
  <c r="S837" i="5" s="1"/>
  <c r="Q904" i="5"/>
  <c r="M929" i="5"/>
  <c r="M969" i="5"/>
  <c r="M974" i="5"/>
  <c r="Q1015" i="5"/>
  <c r="Q828" i="5"/>
  <c r="R828" i="5" s="1"/>
  <c r="S828" i="5" s="1"/>
  <c r="M881" i="5"/>
  <c r="M970" i="5"/>
  <c r="L1016" i="5"/>
  <c r="R996" i="5"/>
  <c r="S996" i="5" s="1"/>
  <c r="K1015" i="5"/>
  <c r="L1015" i="5" s="1"/>
  <c r="P1015" i="5" s="1"/>
  <c r="P1012" i="5"/>
  <c r="L1013" i="5"/>
  <c r="R1013" i="5"/>
  <c r="S1013" i="5" s="1"/>
  <c r="L1011" i="5"/>
  <c r="R1011" i="5"/>
  <c r="S1011" i="5" s="1"/>
  <c r="R1010" i="5"/>
  <c r="S1010" i="5" s="1"/>
  <c r="K1014" i="5"/>
  <c r="L1014" i="5" s="1"/>
  <c r="R1012" i="5"/>
  <c r="S1012" i="5" s="1"/>
  <c r="L1010" i="5"/>
  <c r="P1010" i="5" s="1"/>
  <c r="R993" i="5"/>
  <c r="S993" i="5" s="1"/>
  <c r="R995" i="5"/>
  <c r="S995" i="5" s="1"/>
  <c r="R994" i="5"/>
  <c r="S994" i="5" s="1"/>
  <c r="P1008" i="5"/>
  <c r="N1008" i="5"/>
  <c r="N1009" i="5"/>
  <c r="P1009" i="5"/>
  <c r="R997" i="5"/>
  <c r="S997" i="5" s="1"/>
  <c r="L1007" i="5"/>
  <c r="R1007" i="5"/>
  <c r="S1007" i="5" s="1"/>
  <c r="L1004" i="5"/>
  <c r="R1004" i="5"/>
  <c r="S1004" i="5" s="1"/>
  <c r="P1003" i="5"/>
  <c r="L1002" i="5"/>
  <c r="R1002" i="5"/>
  <c r="S1002" i="5" s="1"/>
  <c r="P1006" i="5"/>
  <c r="R1003" i="5"/>
  <c r="S1003" i="5" s="1"/>
  <c r="R1006" i="5"/>
  <c r="S1006" i="5" s="1"/>
  <c r="R1005" i="5"/>
  <c r="S1005" i="5" s="1"/>
  <c r="L1005" i="5"/>
  <c r="P1000" i="5"/>
  <c r="P999" i="5"/>
  <c r="R1001" i="5"/>
  <c r="S1001" i="5" s="1"/>
  <c r="R1000" i="5"/>
  <c r="S1000" i="5" s="1"/>
  <c r="L1001" i="5"/>
  <c r="R989" i="5"/>
  <c r="S989" i="5" s="1"/>
  <c r="R999" i="5"/>
  <c r="S999" i="5" s="1"/>
  <c r="R986" i="5"/>
  <c r="S986" i="5" s="1"/>
  <c r="L998" i="5"/>
  <c r="P988" i="5"/>
  <c r="N988" i="5"/>
  <c r="L983" i="5"/>
  <c r="P985" i="5"/>
  <c r="N985" i="5"/>
  <c r="P982" i="5"/>
  <c r="N982" i="5"/>
  <c r="P991" i="5"/>
  <c r="N991" i="5"/>
  <c r="K984" i="5"/>
  <c r="L984" i="5" s="1"/>
  <c r="M989" i="5"/>
  <c r="N989" i="5" s="1"/>
  <c r="K987" i="5"/>
  <c r="L987" i="5" s="1"/>
  <c r="K990" i="5"/>
  <c r="L990" i="5" s="1"/>
  <c r="P981" i="5"/>
  <c r="P980" i="5"/>
  <c r="R979" i="5"/>
  <c r="S979" i="5" s="1"/>
  <c r="R972" i="5"/>
  <c r="S972" i="5" s="1"/>
  <c r="L975" i="5"/>
  <c r="P975" i="5" s="1"/>
  <c r="R981" i="5"/>
  <c r="S981" i="5" s="1"/>
  <c r="L972" i="5"/>
  <c r="R980" i="5"/>
  <c r="S980" i="5" s="1"/>
  <c r="K973" i="5"/>
  <c r="R975" i="5"/>
  <c r="S975" i="5" s="1"/>
  <c r="L979" i="5"/>
  <c r="L966" i="5"/>
  <c r="P966" i="5" s="1"/>
  <c r="P978" i="5"/>
  <c r="N978" i="5"/>
  <c r="L969" i="5"/>
  <c r="P969" i="5" s="1"/>
  <c r="R969" i="5"/>
  <c r="S969" i="5" s="1"/>
  <c r="L976" i="5"/>
  <c r="K974" i="5"/>
  <c r="L974" i="5" s="1"/>
  <c r="K977" i="5"/>
  <c r="L977" i="5" s="1"/>
  <c r="L968" i="5"/>
  <c r="P968" i="5" s="1"/>
  <c r="K971" i="5"/>
  <c r="L971" i="5" s="1"/>
  <c r="K967" i="5"/>
  <c r="L967" i="5" s="1"/>
  <c r="K970" i="5"/>
  <c r="R970" i="5" s="1"/>
  <c r="S970" i="5" s="1"/>
  <c r="K965" i="5"/>
  <c r="P963" i="5"/>
  <c r="N963" i="5"/>
  <c r="K964" i="5"/>
  <c r="L964" i="5" s="1"/>
  <c r="R958" i="5"/>
  <c r="S958" i="5" s="1"/>
  <c r="L962" i="5"/>
  <c r="P956" i="5"/>
  <c r="P961" i="5"/>
  <c r="N961" i="5"/>
  <c r="P958" i="5"/>
  <c r="P957" i="5"/>
  <c r="L955" i="5"/>
  <c r="R955" i="5"/>
  <c r="S955" i="5" s="1"/>
  <c r="L960" i="5"/>
  <c r="R960" i="5"/>
  <c r="S960" i="5" s="1"/>
  <c r="K959" i="5"/>
  <c r="L959" i="5" s="1"/>
  <c r="R957" i="5"/>
  <c r="S957" i="5" s="1"/>
  <c r="R956" i="5"/>
  <c r="S956" i="5" s="1"/>
  <c r="L954" i="5"/>
  <c r="R954" i="5"/>
  <c r="S954" i="5" s="1"/>
  <c r="M954" i="5"/>
  <c r="N948" i="5"/>
  <c r="P953" i="5"/>
  <c r="N953" i="5"/>
  <c r="Q952" i="5"/>
  <c r="R952" i="5" s="1"/>
  <c r="S952" i="5" s="1"/>
  <c r="N952" i="5"/>
  <c r="L945" i="5"/>
  <c r="N945" i="5" s="1"/>
  <c r="L947" i="5"/>
  <c r="N947" i="5" s="1"/>
  <c r="N944" i="5"/>
  <c r="P944" i="5"/>
  <c r="L949" i="5"/>
  <c r="R949" i="5"/>
  <c r="S949" i="5" s="1"/>
  <c r="P948" i="5"/>
  <c r="M950" i="5"/>
  <c r="L946" i="5"/>
  <c r="K951" i="5"/>
  <c r="L951" i="5" s="1"/>
  <c r="K950" i="5"/>
  <c r="R950" i="5" s="1"/>
  <c r="S950" i="5" s="1"/>
  <c r="L942" i="5"/>
  <c r="R942" i="5"/>
  <c r="S942" i="5" s="1"/>
  <c r="L939" i="5"/>
  <c r="R939" i="5"/>
  <c r="S939" i="5" s="1"/>
  <c r="L941" i="5"/>
  <c r="P943" i="5"/>
  <c r="N943" i="5"/>
  <c r="R929" i="5"/>
  <c r="S929" i="5" s="1"/>
  <c r="N940" i="5"/>
  <c r="O940" i="5" s="1"/>
  <c r="L935" i="5"/>
  <c r="R935" i="5"/>
  <c r="S935" i="5" s="1"/>
  <c r="P936" i="5"/>
  <c r="P934" i="5"/>
  <c r="N934" i="5"/>
  <c r="L937" i="5"/>
  <c r="K938" i="5"/>
  <c r="L938" i="5" s="1"/>
  <c r="R927" i="5"/>
  <c r="S927" i="5" s="1"/>
  <c r="L933" i="5"/>
  <c r="Q937" i="5"/>
  <c r="R937" i="5" s="1"/>
  <c r="S937" i="5" s="1"/>
  <c r="R936" i="5"/>
  <c r="S936" i="5" s="1"/>
  <c r="L930" i="5"/>
  <c r="R930" i="5"/>
  <c r="S930" i="5" s="1"/>
  <c r="P931" i="5"/>
  <c r="R932" i="5"/>
  <c r="S932" i="5" s="1"/>
  <c r="L929" i="5"/>
  <c r="R931" i="5"/>
  <c r="S931" i="5" s="1"/>
  <c r="L932" i="5"/>
  <c r="L928" i="5"/>
  <c r="P928" i="5" s="1"/>
  <c r="L927" i="5"/>
  <c r="P927" i="5" s="1"/>
  <c r="N918" i="5"/>
  <c r="P918" i="5"/>
  <c r="P926" i="5"/>
  <c r="N926" i="5"/>
  <c r="R906" i="5"/>
  <c r="S906" i="5" s="1"/>
  <c r="L906" i="5"/>
  <c r="L924" i="5"/>
  <c r="N921" i="5"/>
  <c r="P921" i="5"/>
  <c r="L903" i="5"/>
  <c r="P903" i="5" s="1"/>
  <c r="R914" i="5"/>
  <c r="S914" i="5" s="1"/>
  <c r="L923" i="5"/>
  <c r="K925" i="5"/>
  <c r="L925" i="5" s="1"/>
  <c r="R910" i="5"/>
  <c r="S910" i="5" s="1"/>
  <c r="L919" i="5"/>
  <c r="L920" i="5"/>
  <c r="L922" i="5"/>
  <c r="P912" i="5"/>
  <c r="P916" i="5"/>
  <c r="P913" i="5"/>
  <c r="P915" i="5"/>
  <c r="L914" i="5"/>
  <c r="R917" i="5"/>
  <c r="S917" i="5" s="1"/>
  <c r="R913" i="5"/>
  <c r="S913" i="5" s="1"/>
  <c r="R916" i="5"/>
  <c r="S916" i="5" s="1"/>
  <c r="L917" i="5"/>
  <c r="P910" i="5"/>
  <c r="L911" i="5"/>
  <c r="R912" i="5"/>
  <c r="S912" i="5" s="1"/>
  <c r="R915" i="5"/>
  <c r="S915" i="5" s="1"/>
  <c r="L909" i="5"/>
  <c r="N909" i="5" s="1"/>
  <c r="L908" i="5"/>
  <c r="L905" i="5"/>
  <c r="R905" i="5"/>
  <c r="S905" i="5" s="1"/>
  <c r="Q908" i="5"/>
  <c r="R908" i="5" s="1"/>
  <c r="S908" i="5" s="1"/>
  <c r="L907" i="5"/>
  <c r="L901" i="5"/>
  <c r="R901" i="5"/>
  <c r="S901" i="5" s="1"/>
  <c r="K904" i="5"/>
  <c r="L904" i="5" s="1"/>
  <c r="K900" i="5"/>
  <c r="Q903" i="5"/>
  <c r="R903" i="5" s="1"/>
  <c r="S903" i="5" s="1"/>
  <c r="L895" i="5"/>
  <c r="P895" i="5" s="1"/>
  <c r="R902" i="5"/>
  <c r="S902" i="5" s="1"/>
  <c r="L902" i="5"/>
  <c r="L899" i="5"/>
  <c r="R898" i="5"/>
  <c r="S898" i="5" s="1"/>
  <c r="L897" i="5"/>
  <c r="K894" i="5"/>
  <c r="L894" i="5" s="1"/>
  <c r="L896" i="5"/>
  <c r="R873" i="5"/>
  <c r="S873" i="5" s="1"/>
  <c r="L890" i="5"/>
  <c r="P891" i="5"/>
  <c r="L889" i="5"/>
  <c r="L893" i="5"/>
  <c r="Q894" i="5"/>
  <c r="Q893" i="5"/>
  <c r="R893" i="5" s="1"/>
  <c r="S893" i="5" s="1"/>
  <c r="K892" i="5"/>
  <c r="L892" i="5" s="1"/>
  <c r="R891" i="5"/>
  <c r="S891" i="5" s="1"/>
  <c r="L886" i="5"/>
  <c r="R886" i="5"/>
  <c r="S886" i="5" s="1"/>
  <c r="P888" i="5"/>
  <c r="P884" i="5"/>
  <c r="L887" i="5"/>
  <c r="P885" i="5"/>
  <c r="R885" i="5"/>
  <c r="S885" i="5" s="1"/>
  <c r="L883" i="5"/>
  <c r="R884" i="5"/>
  <c r="S884" i="5" s="1"/>
  <c r="R888" i="5"/>
  <c r="S888" i="5" s="1"/>
  <c r="P882" i="5"/>
  <c r="N882" i="5"/>
  <c r="R878" i="5"/>
  <c r="S878" i="5" s="1"/>
  <c r="R883" i="5"/>
  <c r="S883" i="5" s="1"/>
  <c r="R879" i="5"/>
  <c r="S879" i="5" s="1"/>
  <c r="K881" i="5"/>
  <c r="L881" i="5" s="1"/>
  <c r="L878" i="5"/>
  <c r="K880" i="5"/>
  <c r="L880" i="5" s="1"/>
  <c r="R875" i="5"/>
  <c r="S875" i="5" s="1"/>
  <c r="L875" i="5"/>
  <c r="P875" i="5" s="1"/>
  <c r="M879" i="5"/>
  <c r="L879" i="5"/>
  <c r="L873" i="5"/>
  <c r="R877" i="5"/>
  <c r="S877" i="5" s="1"/>
  <c r="L877" i="5"/>
  <c r="L876" i="5"/>
  <c r="L874" i="5"/>
  <c r="R874" i="5"/>
  <c r="S874" i="5" s="1"/>
  <c r="L870" i="5"/>
  <c r="R870" i="5"/>
  <c r="S870" i="5" s="1"/>
  <c r="P871" i="5"/>
  <c r="R872" i="5"/>
  <c r="S872" i="5" s="1"/>
  <c r="L872" i="5"/>
  <c r="R871" i="5"/>
  <c r="S871" i="5" s="1"/>
  <c r="R862" i="5"/>
  <c r="S862" i="5" s="1"/>
  <c r="P869" i="5"/>
  <c r="P868" i="5"/>
  <c r="R869" i="5"/>
  <c r="S869" i="5" s="1"/>
  <c r="L867" i="5"/>
  <c r="R868" i="5"/>
  <c r="S868" i="5" s="1"/>
  <c r="R867" i="5"/>
  <c r="S867" i="5" s="1"/>
  <c r="P864" i="5"/>
  <c r="L866" i="5"/>
  <c r="R866" i="5"/>
  <c r="S866" i="5" s="1"/>
  <c r="L863" i="5"/>
  <c r="R864" i="5"/>
  <c r="S864" i="5" s="1"/>
  <c r="L865" i="5"/>
  <c r="L861" i="5"/>
  <c r="N861" i="5" s="1"/>
  <c r="L857" i="5"/>
  <c r="P857" i="5" s="1"/>
  <c r="R856" i="5"/>
  <c r="S856" i="5" s="1"/>
  <c r="L862" i="5"/>
  <c r="P858" i="5"/>
  <c r="N858" i="5"/>
  <c r="L860" i="5"/>
  <c r="R859" i="5"/>
  <c r="S859" i="5" s="1"/>
  <c r="L859" i="5"/>
  <c r="L856" i="5"/>
  <c r="P856" i="5" s="1"/>
  <c r="L854" i="5"/>
  <c r="P854" i="5" s="1"/>
  <c r="L855" i="5"/>
  <c r="L853" i="5"/>
  <c r="L852" i="5"/>
  <c r="R852" i="5"/>
  <c r="S852" i="5" s="1"/>
  <c r="R851" i="5"/>
  <c r="S851" i="5" s="1"/>
  <c r="K849" i="5"/>
  <c r="L849" i="5" s="1"/>
  <c r="N849" i="5" s="1"/>
  <c r="L851" i="5"/>
  <c r="P851" i="5" s="1"/>
  <c r="L850" i="5"/>
  <c r="R850" i="5"/>
  <c r="S850" i="5" s="1"/>
  <c r="M851" i="5"/>
  <c r="L848" i="5"/>
  <c r="N848" i="5" s="1"/>
  <c r="P847" i="5"/>
  <c r="N847" i="5"/>
  <c r="L845" i="5"/>
  <c r="K846" i="5"/>
  <c r="L846" i="5" s="1"/>
  <c r="R844" i="5"/>
  <c r="S844" i="5" s="1"/>
  <c r="L844" i="5"/>
  <c r="M844" i="5"/>
  <c r="L840" i="5"/>
  <c r="P840" i="5" s="1"/>
  <c r="P839" i="5"/>
  <c r="N839" i="5"/>
  <c r="L843" i="5"/>
  <c r="L842" i="5"/>
  <c r="L841" i="5"/>
  <c r="R834" i="5"/>
  <c r="S834" i="5" s="1"/>
  <c r="R838" i="5"/>
  <c r="S838" i="5" s="1"/>
  <c r="L838" i="5"/>
  <c r="P837" i="5"/>
  <c r="N837" i="5"/>
  <c r="P834" i="5"/>
  <c r="L830" i="5"/>
  <c r="R830" i="5"/>
  <c r="S830" i="5" s="1"/>
  <c r="L836" i="5"/>
  <c r="R836" i="5"/>
  <c r="S836" i="5" s="1"/>
  <c r="K835" i="5"/>
  <c r="L835" i="5" s="1"/>
  <c r="L832" i="5"/>
  <c r="R832" i="5"/>
  <c r="S832" i="5" s="1"/>
  <c r="K833" i="5"/>
  <c r="L831" i="5"/>
  <c r="P829" i="5"/>
  <c r="N829" i="5"/>
  <c r="P828" i="5"/>
  <c r="N828" i="5"/>
  <c r="R826" i="5"/>
  <c r="S826" i="5" s="1"/>
  <c r="L826" i="5"/>
  <c r="L825" i="5"/>
  <c r="L823" i="5"/>
  <c r="R823" i="5"/>
  <c r="S823" i="5" s="1"/>
  <c r="L827" i="5"/>
  <c r="R827" i="5"/>
  <c r="S827" i="5" s="1"/>
  <c r="L824" i="5"/>
  <c r="M827" i="5"/>
  <c r="N822" i="5"/>
  <c r="P822" i="5"/>
  <c r="L821" i="5"/>
  <c r="Q821" i="5"/>
  <c r="R821" i="5" s="1"/>
  <c r="S821" i="5" s="1"/>
  <c r="R820" i="5"/>
  <c r="S820" i="5" s="1"/>
  <c r="M820" i="5"/>
  <c r="L820" i="5"/>
  <c r="L817" i="5"/>
  <c r="N817" i="5" s="1"/>
  <c r="L819" i="5"/>
  <c r="R819" i="5"/>
  <c r="S819" i="5" s="1"/>
  <c r="M819" i="5"/>
  <c r="R818" i="5"/>
  <c r="S818" i="5" s="1"/>
  <c r="L818" i="5"/>
  <c r="L816" i="5"/>
  <c r="N809" i="5"/>
  <c r="P809" i="5"/>
  <c r="P815" i="5"/>
  <c r="P814" i="5"/>
  <c r="R813" i="5"/>
  <c r="S813" i="5" s="1"/>
  <c r="R815" i="5"/>
  <c r="S815" i="5" s="1"/>
  <c r="R814" i="5"/>
  <c r="S814" i="5" s="1"/>
  <c r="L813" i="5"/>
  <c r="L810" i="5"/>
  <c r="N810" i="5" s="1"/>
  <c r="L811" i="5"/>
  <c r="K812" i="5"/>
  <c r="L812" i="5" s="1"/>
  <c r="L808" i="5"/>
  <c r="R808" i="5"/>
  <c r="S808" i="5" s="1"/>
  <c r="M808" i="5"/>
  <c r="R807" i="5"/>
  <c r="S807" i="5" s="1"/>
  <c r="M807" i="5"/>
  <c r="L807" i="5"/>
  <c r="L804" i="5"/>
  <c r="P804" i="5" s="1"/>
  <c r="P806" i="5"/>
  <c r="R795" i="5"/>
  <c r="S795" i="5" s="1"/>
  <c r="M806" i="5"/>
  <c r="N806" i="5" s="1"/>
  <c r="R801" i="5"/>
  <c r="S801" i="5" s="1"/>
  <c r="L805" i="5"/>
  <c r="R806" i="5"/>
  <c r="S806" i="5" s="1"/>
  <c r="P803" i="5"/>
  <c r="P802" i="5"/>
  <c r="R797" i="5"/>
  <c r="S797" i="5" s="1"/>
  <c r="R803" i="5"/>
  <c r="S803" i="5" s="1"/>
  <c r="R802" i="5"/>
  <c r="S802" i="5" s="1"/>
  <c r="L801" i="5"/>
  <c r="P800" i="5"/>
  <c r="N800" i="5"/>
  <c r="P797" i="5"/>
  <c r="L799" i="5"/>
  <c r="R799" i="5"/>
  <c r="S799" i="5" s="1"/>
  <c r="L795" i="5"/>
  <c r="K798" i="5"/>
  <c r="L798" i="5" s="1"/>
  <c r="L796" i="5"/>
  <c r="R796" i="5"/>
  <c r="S796" i="5" s="1"/>
  <c r="L794" i="5"/>
  <c r="P794" i="5" s="1"/>
  <c r="L793" i="5"/>
  <c r="P793" i="5" s="1"/>
  <c r="R793" i="5"/>
  <c r="S793" i="5" s="1"/>
  <c r="L788" i="5"/>
  <c r="R788" i="5"/>
  <c r="S788" i="5" s="1"/>
  <c r="P792" i="5"/>
  <c r="N792" i="5"/>
  <c r="P789" i="5"/>
  <c r="L790" i="5"/>
  <c r="R790" i="5"/>
  <c r="S790" i="5" s="1"/>
  <c r="L782" i="5"/>
  <c r="N782" i="5" s="1"/>
  <c r="K791" i="5"/>
  <c r="R791" i="5" s="1"/>
  <c r="S791" i="5" s="1"/>
  <c r="R789" i="5"/>
  <c r="S789" i="5" s="1"/>
  <c r="P785" i="5"/>
  <c r="L787" i="5"/>
  <c r="P784" i="5"/>
  <c r="L786" i="5"/>
  <c r="L770" i="5"/>
  <c r="P770" i="5" s="1"/>
  <c r="R770" i="5"/>
  <c r="S770" i="5" s="1"/>
  <c r="R783" i="5"/>
  <c r="S783" i="5" s="1"/>
  <c r="L783" i="5"/>
  <c r="Q787" i="5"/>
  <c r="R787" i="5" s="1"/>
  <c r="S787" i="5" s="1"/>
  <c r="Q786" i="5"/>
  <c r="R786" i="5" s="1"/>
  <c r="S786" i="5" s="1"/>
  <c r="R785" i="5"/>
  <c r="S785" i="5" s="1"/>
  <c r="L781" i="5"/>
  <c r="P781" i="5" s="1"/>
  <c r="R784" i="5"/>
  <c r="S784" i="5" s="1"/>
  <c r="L780" i="5"/>
  <c r="R781" i="5"/>
  <c r="S781" i="5" s="1"/>
  <c r="L779" i="5"/>
  <c r="L778" i="5"/>
  <c r="L771" i="5"/>
  <c r="P771" i="5" s="1"/>
  <c r="Q779" i="5"/>
  <c r="R779" i="5" s="1"/>
  <c r="S779" i="5" s="1"/>
  <c r="Q778" i="5"/>
  <c r="R778" i="5" s="1"/>
  <c r="S778" i="5" s="1"/>
  <c r="L774" i="5"/>
  <c r="P774" i="5" s="1"/>
  <c r="L776" i="5"/>
  <c r="R776" i="5"/>
  <c r="S776" i="5" s="1"/>
  <c r="L777" i="5"/>
  <c r="R777" i="5"/>
  <c r="S777" i="5" s="1"/>
  <c r="P775" i="5"/>
  <c r="R765" i="5"/>
  <c r="S765" i="5" s="1"/>
  <c r="R775" i="5"/>
  <c r="S775" i="5" s="1"/>
  <c r="L772" i="5"/>
  <c r="P772" i="5" s="1"/>
  <c r="L769" i="5"/>
  <c r="P769" i="5" s="1"/>
  <c r="L768" i="5"/>
  <c r="R769" i="5"/>
  <c r="S769" i="5" s="1"/>
  <c r="R768" i="5"/>
  <c r="S768" i="5" s="1"/>
  <c r="K759" i="5"/>
  <c r="R759" i="5" s="1"/>
  <c r="S759" i="5" s="1"/>
  <c r="R766" i="5"/>
  <c r="S766" i="5" s="1"/>
  <c r="P761" i="5"/>
  <c r="N761" i="5"/>
  <c r="L757" i="5"/>
  <c r="R762" i="5"/>
  <c r="S762" i="5" s="1"/>
  <c r="L762" i="5"/>
  <c r="P764" i="5"/>
  <c r="L773" i="5"/>
  <c r="K760" i="5"/>
  <c r="L760" i="5" s="1"/>
  <c r="R764" i="5"/>
  <c r="S764" i="5" s="1"/>
  <c r="K763" i="5"/>
  <c r="L763" i="5" s="1"/>
  <c r="K758" i="5"/>
  <c r="R758" i="5" s="1"/>
  <c r="S758" i="5" s="1"/>
  <c r="K767" i="5"/>
  <c r="L755" i="5"/>
  <c r="R755" i="5"/>
  <c r="S755" i="5" s="1"/>
  <c r="L756" i="5"/>
  <c r="R756" i="5"/>
  <c r="S756" i="5" s="1"/>
  <c r="L754" i="5"/>
  <c r="R754" i="5"/>
  <c r="S754" i="5" s="1"/>
  <c r="R751" i="5"/>
  <c r="S751" i="5" s="1"/>
  <c r="P751" i="5"/>
  <c r="P752" i="5"/>
  <c r="L753" i="5"/>
  <c r="R753" i="5"/>
  <c r="S753" i="5" s="1"/>
  <c r="R752" i="5"/>
  <c r="S752" i="5" s="1"/>
  <c r="P745" i="5"/>
  <c r="L750" i="5"/>
  <c r="R750" i="5"/>
  <c r="S750" i="5" s="1"/>
  <c r="L747" i="5"/>
  <c r="R747" i="5"/>
  <c r="S747" i="5" s="1"/>
  <c r="P749" i="5"/>
  <c r="P746" i="5"/>
  <c r="P748" i="5"/>
  <c r="L739" i="5"/>
  <c r="P739" i="5" s="1"/>
  <c r="R746" i="5"/>
  <c r="S746" i="5" s="1"/>
  <c r="R749" i="5"/>
  <c r="S749" i="5" s="1"/>
  <c r="L735" i="5"/>
  <c r="N735" i="5" s="1"/>
  <c r="R745" i="5"/>
  <c r="S745" i="5" s="1"/>
  <c r="R748" i="5"/>
  <c r="S748" i="5" s="1"/>
  <c r="L742" i="5"/>
  <c r="P734" i="5"/>
  <c r="N734" i="5"/>
  <c r="L740" i="5"/>
  <c r="L738" i="5"/>
  <c r="R738" i="5"/>
  <c r="S738" i="5" s="1"/>
  <c r="L737" i="5"/>
  <c r="R737" i="5"/>
  <c r="S737" i="5" s="1"/>
  <c r="L744" i="5"/>
  <c r="R744" i="5"/>
  <c r="S744" i="5" s="1"/>
  <c r="L736" i="5"/>
  <c r="R736" i="5"/>
  <c r="S736" i="5" s="1"/>
  <c r="R722" i="5"/>
  <c r="S722" i="5" s="1"/>
  <c r="K743" i="5"/>
  <c r="R742" i="5"/>
  <c r="S742" i="5" s="1"/>
  <c r="K741" i="5"/>
  <c r="L741" i="5" s="1"/>
  <c r="L661" i="5"/>
  <c r="P661" i="5" s="1"/>
  <c r="L732" i="5"/>
  <c r="R732" i="5"/>
  <c r="S732" i="5" s="1"/>
  <c r="L733" i="5"/>
  <c r="R733" i="5"/>
  <c r="S733" i="5" s="1"/>
  <c r="L731" i="5"/>
  <c r="R731" i="5"/>
  <c r="S731" i="5" s="1"/>
  <c r="L730" i="5"/>
  <c r="R730" i="5"/>
  <c r="S730" i="5" s="1"/>
  <c r="L729" i="5"/>
  <c r="R729" i="5"/>
  <c r="S729" i="5" s="1"/>
  <c r="L728" i="5"/>
  <c r="R728" i="5"/>
  <c r="S728" i="5" s="1"/>
  <c r="R724" i="5"/>
  <c r="S724" i="5" s="1"/>
  <c r="P727" i="5"/>
  <c r="N727" i="5"/>
  <c r="P724" i="5"/>
  <c r="L726" i="5"/>
  <c r="R721" i="5"/>
  <c r="S721" i="5" s="1"/>
  <c r="R715" i="5"/>
  <c r="S715" i="5" s="1"/>
  <c r="L719" i="5"/>
  <c r="N719" i="5" s="1"/>
  <c r="L721" i="5"/>
  <c r="P721" i="5" s="1"/>
  <c r="K725" i="5"/>
  <c r="L725" i="5" s="1"/>
  <c r="P718" i="5"/>
  <c r="L708" i="5"/>
  <c r="P708" i="5" s="1"/>
  <c r="M722" i="5"/>
  <c r="N722" i="5" s="1"/>
  <c r="K720" i="5"/>
  <c r="R662" i="5"/>
  <c r="S662" i="5" s="1"/>
  <c r="K723" i="5"/>
  <c r="L723" i="5" s="1"/>
  <c r="R718" i="5"/>
  <c r="S718" i="5" s="1"/>
  <c r="P717" i="5"/>
  <c r="P716" i="5"/>
  <c r="R717" i="5"/>
  <c r="S717" i="5" s="1"/>
  <c r="L715" i="5"/>
  <c r="R716" i="5"/>
  <c r="S716" i="5" s="1"/>
  <c r="R661" i="5"/>
  <c r="S661" i="5" s="1"/>
  <c r="L714" i="5"/>
  <c r="K709" i="5"/>
  <c r="L709" i="5" s="1"/>
  <c r="L713" i="5"/>
  <c r="P713" i="5" s="1"/>
  <c r="L693" i="5"/>
  <c r="P693" i="5" s="1"/>
  <c r="R694" i="5"/>
  <c r="S694" i="5" s="1"/>
  <c r="K700" i="5"/>
  <c r="R700" i="5" s="1"/>
  <c r="S700" i="5" s="1"/>
  <c r="K710" i="5"/>
  <c r="L710" i="5" s="1"/>
  <c r="P707" i="5"/>
  <c r="N707" i="5"/>
  <c r="P712" i="5"/>
  <c r="N712" i="5"/>
  <c r="L695" i="5"/>
  <c r="P695" i="5" s="1"/>
  <c r="R669" i="5"/>
  <c r="S669" i="5" s="1"/>
  <c r="L694" i="5"/>
  <c r="L664" i="5"/>
  <c r="P664" i="5" s="1"/>
  <c r="R693" i="5"/>
  <c r="S693" i="5" s="1"/>
  <c r="R703" i="5"/>
  <c r="S703" i="5" s="1"/>
  <c r="R664" i="5"/>
  <c r="S664" i="5" s="1"/>
  <c r="R695" i="5"/>
  <c r="S695" i="5" s="1"/>
  <c r="R711" i="5"/>
  <c r="S711" i="5" s="1"/>
  <c r="L711" i="5"/>
  <c r="K701" i="5"/>
  <c r="R701" i="5" s="1"/>
  <c r="S701" i="5" s="1"/>
  <c r="P697" i="5"/>
  <c r="P704" i="5"/>
  <c r="L706" i="5"/>
  <c r="R670" i="5"/>
  <c r="S670" i="5" s="1"/>
  <c r="L672" i="5"/>
  <c r="P672" i="5" s="1"/>
  <c r="R702" i="5"/>
  <c r="S702" i="5" s="1"/>
  <c r="L702" i="5"/>
  <c r="Q706" i="5"/>
  <c r="R706" i="5" s="1"/>
  <c r="S706" i="5" s="1"/>
  <c r="K699" i="5"/>
  <c r="P703" i="5"/>
  <c r="M703" i="5"/>
  <c r="N703" i="5" s="1"/>
  <c r="K705" i="5"/>
  <c r="L705" i="5" s="1"/>
  <c r="R697" i="5"/>
  <c r="S697" i="5" s="1"/>
  <c r="K698" i="5"/>
  <c r="R698" i="5" s="1"/>
  <c r="S698" i="5" s="1"/>
  <c r="R704" i="5"/>
  <c r="S704" i="5" s="1"/>
  <c r="R696" i="5"/>
  <c r="S696" i="5" s="1"/>
  <c r="L696" i="5"/>
  <c r="K692" i="5"/>
  <c r="L692" i="5" s="1"/>
  <c r="K691" i="5"/>
  <c r="L691" i="5" s="1"/>
  <c r="L687" i="5"/>
  <c r="P687" i="5" s="1"/>
  <c r="P690" i="5"/>
  <c r="L688" i="5"/>
  <c r="R688" i="5"/>
  <c r="S688" i="5" s="1"/>
  <c r="P689" i="5"/>
  <c r="L674" i="5"/>
  <c r="P674" i="5" s="1"/>
  <c r="R659" i="5"/>
  <c r="S659" i="5" s="1"/>
  <c r="R690" i="5"/>
  <c r="S690" i="5" s="1"/>
  <c r="R663" i="5"/>
  <c r="S663" i="5" s="1"/>
  <c r="P659" i="5"/>
  <c r="R689" i="5"/>
  <c r="S689" i="5" s="1"/>
  <c r="R660" i="5"/>
  <c r="S660" i="5" s="1"/>
  <c r="L680" i="5"/>
  <c r="P680" i="5" s="1"/>
  <c r="R680" i="5"/>
  <c r="S680" i="5" s="1"/>
  <c r="P685" i="5"/>
  <c r="P684" i="5"/>
  <c r="N686" i="5"/>
  <c r="P686" i="5"/>
  <c r="L663" i="5"/>
  <c r="R684" i="5"/>
  <c r="S684" i="5" s="1"/>
  <c r="L673" i="5"/>
  <c r="P673" i="5" s="1"/>
  <c r="R686" i="5"/>
  <c r="S686" i="5" s="1"/>
  <c r="R671" i="5"/>
  <c r="S671" i="5" s="1"/>
  <c r="R685" i="5"/>
  <c r="S685" i="5" s="1"/>
  <c r="P662" i="5"/>
  <c r="P683" i="5"/>
  <c r="L682" i="5"/>
  <c r="R678" i="5"/>
  <c r="S678" i="5" s="1"/>
  <c r="L671" i="5"/>
  <c r="R673" i="5"/>
  <c r="S673" i="5" s="1"/>
  <c r="R683" i="5"/>
  <c r="S683" i="5" s="1"/>
  <c r="K681" i="5"/>
  <c r="L681" i="5" s="1"/>
  <c r="P676" i="5"/>
  <c r="N676" i="5"/>
  <c r="P670" i="5"/>
  <c r="K675" i="5"/>
  <c r="L675" i="5" s="1"/>
  <c r="N677" i="5"/>
  <c r="O677" i="5" s="1"/>
  <c r="K679" i="5"/>
  <c r="L679" i="5" s="1"/>
  <c r="L665" i="5"/>
  <c r="P665" i="5" s="1"/>
  <c r="N612" i="5"/>
  <c r="L668" i="5"/>
  <c r="P666" i="5"/>
  <c r="L667" i="5"/>
  <c r="R667" i="5"/>
  <c r="S667" i="5" s="1"/>
  <c r="Q668" i="5"/>
  <c r="R668" i="5" s="1"/>
  <c r="S668" i="5" s="1"/>
  <c r="R666" i="5"/>
  <c r="S666" i="5" s="1"/>
  <c r="L658" i="5"/>
  <c r="P658" i="5" s="1"/>
  <c r="L657" i="5"/>
  <c r="P657" i="5" s="1"/>
  <c r="P655" i="5"/>
  <c r="R655" i="5"/>
  <c r="S655" i="5" s="1"/>
  <c r="K654" i="5"/>
  <c r="L654" i="5" s="1"/>
  <c r="R651" i="5"/>
  <c r="S651" i="5" s="1"/>
  <c r="N656" i="5"/>
  <c r="Q658" i="5"/>
  <c r="R658" i="5" s="1"/>
  <c r="S658" i="5" s="1"/>
  <c r="R650" i="5"/>
  <c r="S650" i="5" s="1"/>
  <c r="L653" i="5"/>
  <c r="P649" i="5"/>
  <c r="N649" i="5"/>
  <c r="P644" i="5"/>
  <c r="L646" i="5"/>
  <c r="L633" i="5"/>
  <c r="R633" i="5"/>
  <c r="S633" i="5" s="1"/>
  <c r="L645" i="5"/>
  <c r="R644" i="5"/>
  <c r="S644" i="5" s="1"/>
  <c r="K648" i="5"/>
  <c r="L648" i="5" s="1"/>
  <c r="K647" i="5"/>
  <c r="L647" i="5" s="1"/>
  <c r="R606" i="5"/>
  <c r="S606" i="5" s="1"/>
  <c r="K652" i="5"/>
  <c r="L652" i="5" s="1"/>
  <c r="N641" i="5"/>
  <c r="P641" i="5"/>
  <c r="P639" i="5"/>
  <c r="P640" i="5"/>
  <c r="P638" i="5"/>
  <c r="L643" i="5"/>
  <c r="P637" i="5"/>
  <c r="L642" i="5"/>
  <c r="K603" i="5"/>
  <c r="R603" i="5" s="1"/>
  <c r="S603" i="5" s="1"/>
  <c r="L636" i="5"/>
  <c r="R637" i="5"/>
  <c r="S637" i="5" s="1"/>
  <c r="Q643" i="5"/>
  <c r="R643" i="5" s="1"/>
  <c r="S643" i="5" s="1"/>
  <c r="Q642" i="5"/>
  <c r="R642" i="5" s="1"/>
  <c r="S642" i="5" s="1"/>
  <c r="R639" i="5"/>
  <c r="S639" i="5" s="1"/>
  <c r="R638" i="5"/>
  <c r="S638" i="5" s="1"/>
  <c r="R640" i="5"/>
  <c r="S640" i="5" s="1"/>
  <c r="L609" i="5"/>
  <c r="R609" i="5"/>
  <c r="S609" i="5" s="1"/>
  <c r="P614" i="5"/>
  <c r="N614" i="5"/>
  <c r="P619" i="5"/>
  <c r="P627" i="5"/>
  <c r="L631" i="5"/>
  <c r="R631" i="5"/>
  <c r="S631" i="5" s="1"/>
  <c r="L613" i="5"/>
  <c r="L620" i="5"/>
  <c r="R620" i="5"/>
  <c r="S620" i="5" s="1"/>
  <c r="L622" i="5"/>
  <c r="L621" i="5"/>
  <c r="L623" i="5"/>
  <c r="R623" i="5"/>
  <c r="S623" i="5" s="1"/>
  <c r="P632" i="5"/>
  <c r="L607" i="5"/>
  <c r="P610" i="5"/>
  <c r="L618" i="5"/>
  <c r="R618" i="5"/>
  <c r="S618" i="5" s="1"/>
  <c r="L626" i="5"/>
  <c r="R626" i="5"/>
  <c r="S626" i="5" s="1"/>
  <c r="N630" i="5"/>
  <c r="P630" i="5"/>
  <c r="L608" i="5"/>
  <c r="L611" i="5"/>
  <c r="R611" i="5"/>
  <c r="S611" i="5" s="1"/>
  <c r="L625" i="5"/>
  <c r="N602" i="5"/>
  <c r="P602" i="5"/>
  <c r="N615" i="5"/>
  <c r="P615" i="5"/>
  <c r="L624" i="5"/>
  <c r="P628" i="5"/>
  <c r="R593" i="5"/>
  <c r="S593" i="5" s="1"/>
  <c r="L601" i="5"/>
  <c r="K605" i="5"/>
  <c r="L605" i="5" s="1"/>
  <c r="K617" i="5"/>
  <c r="R617" i="5" s="1"/>
  <c r="S617" i="5" s="1"/>
  <c r="K635" i="5"/>
  <c r="L635" i="5" s="1"/>
  <c r="R600" i="5"/>
  <c r="S600" i="5" s="1"/>
  <c r="L600" i="5"/>
  <c r="K604" i="5"/>
  <c r="L604" i="5" s="1"/>
  <c r="P606" i="5"/>
  <c r="R610" i="5"/>
  <c r="S610" i="5" s="1"/>
  <c r="P612" i="5"/>
  <c r="K616" i="5"/>
  <c r="L616" i="5" s="1"/>
  <c r="R619" i="5"/>
  <c r="S619" i="5" s="1"/>
  <c r="R632" i="5"/>
  <c r="S632" i="5" s="1"/>
  <c r="K634" i="5"/>
  <c r="K629" i="5"/>
  <c r="L629" i="5" s="1"/>
  <c r="R628" i="5"/>
  <c r="S628" i="5" s="1"/>
  <c r="R627" i="5"/>
  <c r="S627" i="5" s="1"/>
  <c r="P599" i="5"/>
  <c r="L597" i="5"/>
  <c r="R597" i="5"/>
  <c r="S597" i="5" s="1"/>
  <c r="P598" i="5"/>
  <c r="R599" i="5"/>
  <c r="S599" i="5" s="1"/>
  <c r="R598" i="5"/>
  <c r="S598" i="5" s="1"/>
  <c r="P594" i="5"/>
  <c r="L596" i="5"/>
  <c r="Q596" i="5"/>
  <c r="R596" i="5" s="1"/>
  <c r="S596" i="5" s="1"/>
  <c r="P593" i="5"/>
  <c r="M593" i="5"/>
  <c r="N593" i="5" s="1"/>
  <c r="K595" i="5"/>
  <c r="R595" i="5" s="1"/>
  <c r="S595" i="5" s="1"/>
  <c r="R594" i="5"/>
  <c r="S594" i="5" s="1"/>
  <c r="Q549" i="5"/>
  <c r="R549" i="5" s="1"/>
  <c r="S549" i="5" s="1"/>
  <c r="Q552" i="5"/>
  <c r="R552" i="5" s="1"/>
  <c r="S552" i="5" s="1"/>
  <c r="M223" i="5"/>
  <c r="N223" i="5" s="1"/>
  <c r="Q477" i="5"/>
  <c r="R477" i="5" s="1"/>
  <c r="S477" i="5" s="1"/>
  <c r="M534" i="5"/>
  <c r="N534" i="5" s="1"/>
  <c r="Q465" i="5"/>
  <c r="R465" i="5" s="1"/>
  <c r="S465" i="5" s="1"/>
  <c r="Q444" i="5"/>
  <c r="R444" i="5" s="1"/>
  <c r="S444" i="5" s="1"/>
  <c r="Q497" i="5"/>
  <c r="R497" i="5" s="1"/>
  <c r="S497" i="5" s="1"/>
  <c r="M476" i="5"/>
  <c r="M555" i="5"/>
  <c r="N555" i="5" s="1"/>
  <c r="Q520" i="5"/>
  <c r="R520" i="5" s="1"/>
  <c r="S520" i="5" s="1"/>
  <c r="Q519" i="5"/>
  <c r="R519" i="5" s="1"/>
  <c r="S519" i="5" s="1"/>
  <c r="Q588" i="5"/>
  <c r="R588" i="5" s="1"/>
  <c r="S588" i="5" s="1"/>
  <c r="M449" i="5"/>
  <c r="N449" i="5" s="1"/>
  <c r="M464" i="5"/>
  <c r="M524" i="5"/>
  <c r="M533" i="5"/>
  <c r="N533" i="5" s="1"/>
  <c r="Q533" i="5"/>
  <c r="R533" i="5" s="1"/>
  <c r="S533" i="5" s="1"/>
  <c r="M554" i="5"/>
  <c r="Q554" i="5"/>
  <c r="R554" i="5" s="1"/>
  <c r="S554" i="5" s="1"/>
  <c r="M572" i="5"/>
  <c r="Q551" i="5"/>
  <c r="M475" i="5"/>
  <c r="Q475" i="5"/>
  <c r="R475" i="5" s="1"/>
  <c r="S475" i="5" s="1"/>
  <c r="M501" i="5"/>
  <c r="Q507" i="5"/>
  <c r="R507" i="5" s="1"/>
  <c r="S507" i="5" s="1"/>
  <c r="M517" i="5"/>
  <c r="Q562" i="5"/>
  <c r="M583" i="5"/>
  <c r="M446" i="5"/>
  <c r="Q514" i="5"/>
  <c r="R514" i="5" s="1"/>
  <c r="S514" i="5" s="1"/>
  <c r="M565" i="5"/>
  <c r="N565" i="5" s="1"/>
  <c r="M456" i="5"/>
  <c r="Q460" i="5"/>
  <c r="R460" i="5" s="1"/>
  <c r="S460" i="5" s="1"/>
  <c r="M478" i="5"/>
  <c r="M496" i="5"/>
  <c r="Q518" i="5"/>
  <c r="R518" i="5" s="1"/>
  <c r="S518" i="5" s="1"/>
  <c r="Q527" i="5"/>
  <c r="R527" i="5" s="1"/>
  <c r="S527" i="5" s="1"/>
  <c r="Q530" i="5"/>
  <c r="R530" i="5" s="1"/>
  <c r="S530" i="5" s="1"/>
  <c r="Q558" i="5"/>
  <c r="R558" i="5" s="1"/>
  <c r="S558" i="5" s="1"/>
  <c r="Q568" i="5"/>
  <c r="R568" i="5" s="1"/>
  <c r="S568" i="5" s="1"/>
  <c r="Q511" i="5"/>
  <c r="R511" i="5" s="1"/>
  <c r="S511" i="5" s="1"/>
  <c r="Q574" i="5"/>
  <c r="R574" i="5" s="1"/>
  <c r="S574" i="5" s="1"/>
  <c r="Q446" i="5"/>
  <c r="M457" i="5"/>
  <c r="M222" i="5"/>
  <c r="Q461" i="5"/>
  <c r="R461" i="5" s="1"/>
  <c r="S461" i="5" s="1"/>
  <c r="Q478" i="5"/>
  <c r="R478" i="5" s="1"/>
  <c r="S478" i="5" s="1"/>
  <c r="Q495" i="5"/>
  <c r="R495" i="5" s="1"/>
  <c r="S495" i="5" s="1"/>
  <c r="Q513" i="5"/>
  <c r="M514" i="5"/>
  <c r="N514" i="5" s="1"/>
  <c r="Q472" i="5"/>
  <c r="R472" i="5" s="1"/>
  <c r="S472" i="5" s="1"/>
  <c r="Q536" i="5"/>
  <c r="R536" i="5" s="1"/>
  <c r="S536" i="5" s="1"/>
  <c r="M586" i="5"/>
  <c r="Q389" i="5"/>
  <c r="R389" i="5" s="1"/>
  <c r="S389" i="5" s="1"/>
  <c r="Q409" i="5"/>
  <c r="R409" i="5" s="1"/>
  <c r="S409" i="5" s="1"/>
  <c r="Q447" i="5"/>
  <c r="R447" i="5" s="1"/>
  <c r="S447" i="5" s="1"/>
  <c r="M459" i="5"/>
  <c r="Q481" i="5"/>
  <c r="R481" i="5" s="1"/>
  <c r="S481" i="5" s="1"/>
  <c r="Q496" i="5"/>
  <c r="R496" i="5" s="1"/>
  <c r="S496" i="5" s="1"/>
  <c r="M502" i="5"/>
  <c r="N502" i="5" s="1"/>
  <c r="Q512" i="5"/>
  <c r="Q542" i="5"/>
  <c r="Q547" i="5"/>
  <c r="R547" i="5" s="1"/>
  <c r="S547" i="5" s="1"/>
  <c r="Q584" i="5"/>
  <c r="R584" i="5" s="1"/>
  <c r="S584" i="5" s="1"/>
  <c r="M509" i="5"/>
  <c r="Q590" i="5"/>
  <c r="R590" i="5" s="1"/>
  <c r="S590" i="5" s="1"/>
  <c r="Q535" i="5"/>
  <c r="R535" i="5" s="1"/>
  <c r="S535" i="5" s="1"/>
  <c r="M566" i="5"/>
  <c r="Q579" i="5"/>
  <c r="R579" i="5" s="1"/>
  <c r="S579" i="5" s="1"/>
  <c r="Q453" i="5"/>
  <c r="R453" i="5" s="1"/>
  <c r="S453" i="5" s="1"/>
  <c r="Q471" i="5"/>
  <c r="R471" i="5" s="1"/>
  <c r="S471" i="5" s="1"/>
  <c r="Q516" i="5"/>
  <c r="Q488" i="5"/>
  <c r="R488" i="5" s="1"/>
  <c r="S488" i="5" s="1"/>
  <c r="M231" i="5"/>
  <c r="M411" i="5"/>
  <c r="M463" i="5"/>
  <c r="Q482" i="5"/>
  <c r="R482" i="5" s="1"/>
  <c r="S482" i="5" s="1"/>
  <c r="Q493" i="5"/>
  <c r="R493" i="5" s="1"/>
  <c r="S493" i="5" s="1"/>
  <c r="M494" i="5"/>
  <c r="Q528" i="5"/>
  <c r="R528" i="5" s="1"/>
  <c r="S528" i="5" s="1"/>
  <c r="Q543" i="5"/>
  <c r="M540" i="5"/>
  <c r="N540" i="5" s="1"/>
  <c r="Q548" i="5"/>
  <c r="R548" i="5" s="1"/>
  <c r="S548" i="5" s="1"/>
  <c r="M561" i="5"/>
  <c r="M568" i="5"/>
  <c r="M573" i="5"/>
  <c r="M581" i="5"/>
  <c r="N581" i="5" s="1"/>
  <c r="M460" i="5"/>
  <c r="M500" i="5"/>
  <c r="Q486" i="5"/>
  <c r="R486" i="5" s="1"/>
  <c r="S486" i="5" s="1"/>
  <c r="Q569" i="5"/>
  <c r="R569" i="5" s="1"/>
  <c r="S569" i="5" s="1"/>
  <c r="Q349" i="5"/>
  <c r="M438" i="5"/>
  <c r="M455" i="5"/>
  <c r="Q474" i="5"/>
  <c r="R474" i="5" s="1"/>
  <c r="S474" i="5" s="1"/>
  <c r="Q480" i="5"/>
  <c r="R480" i="5" s="1"/>
  <c r="S480" i="5" s="1"/>
  <c r="Q485" i="5"/>
  <c r="Q517" i="5"/>
  <c r="R517" i="5" s="1"/>
  <c r="S517" i="5" s="1"/>
  <c r="Q524" i="5"/>
  <c r="R524" i="5" s="1"/>
  <c r="S524" i="5" s="1"/>
  <c r="Q580" i="5"/>
  <c r="R580" i="5" s="1"/>
  <c r="S580" i="5" s="1"/>
  <c r="Q583" i="5"/>
  <c r="R583" i="5" s="1"/>
  <c r="S583" i="5" s="1"/>
  <c r="Q432" i="5"/>
  <c r="R432" i="5" s="1"/>
  <c r="S432" i="5" s="1"/>
  <c r="Q449" i="5"/>
  <c r="R449" i="5" s="1"/>
  <c r="S449" i="5" s="1"/>
  <c r="M466" i="5"/>
  <c r="Q473" i="5"/>
  <c r="R473" i="5" s="1"/>
  <c r="S473" i="5" s="1"/>
  <c r="Q479" i="5"/>
  <c r="R479" i="5" s="1"/>
  <c r="S479" i="5" s="1"/>
  <c r="Q487" i="5"/>
  <c r="R487" i="5" s="1"/>
  <c r="S487" i="5" s="1"/>
  <c r="Q499" i="5"/>
  <c r="R499" i="5" s="1"/>
  <c r="S499" i="5" s="1"/>
  <c r="Q523" i="5"/>
  <c r="R523" i="5" s="1"/>
  <c r="S523" i="5" s="1"/>
  <c r="Q529" i="5"/>
  <c r="R529" i="5" s="1"/>
  <c r="S529" i="5" s="1"/>
  <c r="Q560" i="5"/>
  <c r="R560" i="5" s="1"/>
  <c r="S560" i="5" s="1"/>
  <c r="M564" i="5"/>
  <c r="Q575" i="5"/>
  <c r="R575" i="5" s="1"/>
  <c r="S575" i="5" s="1"/>
  <c r="R581" i="5"/>
  <c r="S581" i="5" s="1"/>
  <c r="K589" i="5"/>
  <c r="M518" i="5"/>
  <c r="Q570" i="5"/>
  <c r="R570" i="5" s="1"/>
  <c r="S570" i="5" s="1"/>
  <c r="Q572" i="5"/>
  <c r="M585" i="5"/>
  <c r="N585" i="5" s="1"/>
  <c r="Q589" i="5"/>
  <c r="Q445" i="5"/>
  <c r="R445" i="5" s="1"/>
  <c r="S445" i="5" s="1"/>
  <c r="M510" i="5"/>
  <c r="M530" i="5"/>
  <c r="M562" i="5"/>
  <c r="Q565" i="5"/>
  <c r="R565" i="5" s="1"/>
  <c r="S565" i="5" s="1"/>
  <c r="Q582" i="5"/>
  <c r="M591" i="5"/>
  <c r="Q443" i="5"/>
  <c r="R443" i="5" s="1"/>
  <c r="S443" i="5" s="1"/>
  <c r="Q448" i="5"/>
  <c r="R448" i="5" s="1"/>
  <c r="S448" i="5" s="1"/>
  <c r="Q458" i="5"/>
  <c r="R458" i="5" s="1"/>
  <c r="S458" i="5" s="1"/>
  <c r="Q462" i="5"/>
  <c r="R462" i="5" s="1"/>
  <c r="S462" i="5" s="1"/>
  <c r="Q484" i="5"/>
  <c r="R484" i="5" s="1"/>
  <c r="S484" i="5" s="1"/>
  <c r="Q492" i="5"/>
  <c r="R492" i="5" s="1"/>
  <c r="S492" i="5" s="1"/>
  <c r="Q498" i="5"/>
  <c r="R498" i="5" s="1"/>
  <c r="S498" i="5" s="1"/>
  <c r="Q567" i="5"/>
  <c r="R567" i="5" s="1"/>
  <c r="S567" i="5" s="1"/>
  <c r="Q442" i="5"/>
  <c r="R442" i="5" s="1"/>
  <c r="S442" i="5" s="1"/>
  <c r="M451" i="5"/>
  <c r="Q452" i="5"/>
  <c r="R452" i="5" s="1"/>
  <c r="S452" i="5" s="1"/>
  <c r="Q454" i="5"/>
  <c r="R454" i="5" s="1"/>
  <c r="S454" i="5" s="1"/>
  <c r="M467" i="5"/>
  <c r="M483" i="5"/>
  <c r="M515" i="5"/>
  <c r="N515" i="5" s="1"/>
  <c r="U515" i="5" s="1"/>
  <c r="V515" i="5" s="1"/>
  <c r="M521" i="5"/>
  <c r="P590" i="5"/>
  <c r="N590" i="5"/>
  <c r="K592" i="5"/>
  <c r="L592" i="5" s="1"/>
  <c r="K591" i="5"/>
  <c r="L591" i="5" s="1"/>
  <c r="P585" i="5"/>
  <c r="P588" i="5"/>
  <c r="N588" i="5"/>
  <c r="L587" i="5"/>
  <c r="Q587" i="5"/>
  <c r="R587" i="5" s="1"/>
  <c r="S587" i="5" s="1"/>
  <c r="L575" i="5"/>
  <c r="N575" i="5" s="1"/>
  <c r="K586" i="5"/>
  <c r="R586" i="5" s="1"/>
  <c r="S586" i="5" s="1"/>
  <c r="R585" i="5"/>
  <c r="S585" i="5" s="1"/>
  <c r="P576" i="5"/>
  <c r="P581" i="5"/>
  <c r="P584" i="5"/>
  <c r="N584" i="5"/>
  <c r="L578" i="5"/>
  <c r="R578" i="5"/>
  <c r="S578" i="5" s="1"/>
  <c r="L577" i="5"/>
  <c r="R577" i="5"/>
  <c r="S577" i="5" s="1"/>
  <c r="L579" i="5"/>
  <c r="L583" i="5"/>
  <c r="R571" i="5"/>
  <c r="S571" i="5" s="1"/>
  <c r="R576" i="5"/>
  <c r="S576" i="5" s="1"/>
  <c r="L580" i="5"/>
  <c r="K582" i="5"/>
  <c r="P574" i="5"/>
  <c r="N574" i="5"/>
  <c r="P571" i="5"/>
  <c r="M571" i="5"/>
  <c r="N571" i="5" s="1"/>
  <c r="K573" i="5"/>
  <c r="R573" i="5" s="1"/>
  <c r="S573" i="5" s="1"/>
  <c r="K572" i="5"/>
  <c r="L572" i="5" s="1"/>
  <c r="L567" i="5"/>
  <c r="N567" i="5" s="1"/>
  <c r="P569" i="5"/>
  <c r="N569" i="5"/>
  <c r="L568" i="5"/>
  <c r="L570" i="5"/>
  <c r="K566" i="5"/>
  <c r="R566" i="5" s="1"/>
  <c r="S566" i="5" s="1"/>
  <c r="P565" i="5"/>
  <c r="L563" i="5"/>
  <c r="P563" i="5" s="1"/>
  <c r="K564" i="5"/>
  <c r="L564" i="5" s="1"/>
  <c r="L560" i="5"/>
  <c r="P560" i="5" s="1"/>
  <c r="L561" i="5"/>
  <c r="Q563" i="5"/>
  <c r="R563" i="5" s="1"/>
  <c r="S563" i="5" s="1"/>
  <c r="K562" i="5"/>
  <c r="R561" i="5"/>
  <c r="S561" i="5" s="1"/>
  <c r="L559" i="5"/>
  <c r="R559" i="5"/>
  <c r="S559" i="5" s="1"/>
  <c r="M559" i="5"/>
  <c r="L558" i="5"/>
  <c r="L556" i="5"/>
  <c r="R556" i="5"/>
  <c r="S556" i="5" s="1"/>
  <c r="P557" i="5"/>
  <c r="R557" i="5"/>
  <c r="S557" i="5" s="1"/>
  <c r="L552" i="5"/>
  <c r="P552" i="5" s="1"/>
  <c r="L554" i="5"/>
  <c r="P555" i="5"/>
  <c r="R555" i="5"/>
  <c r="S555" i="5" s="1"/>
  <c r="R539" i="5"/>
  <c r="S539" i="5" s="1"/>
  <c r="N541" i="5"/>
  <c r="R553" i="5"/>
  <c r="S553" i="5" s="1"/>
  <c r="L553" i="5"/>
  <c r="L550" i="5"/>
  <c r="K551" i="5"/>
  <c r="L551" i="5" s="1"/>
  <c r="R540" i="5"/>
  <c r="S540" i="5" s="1"/>
  <c r="Q550" i="5"/>
  <c r="R550" i="5" s="1"/>
  <c r="S550" i="5" s="1"/>
  <c r="N547" i="5"/>
  <c r="P547" i="5"/>
  <c r="L549" i="5"/>
  <c r="N548" i="5"/>
  <c r="P548" i="5"/>
  <c r="L544" i="5"/>
  <c r="R544" i="5"/>
  <c r="S544" i="5" s="1"/>
  <c r="P546" i="5"/>
  <c r="P545" i="5"/>
  <c r="P541" i="5"/>
  <c r="K543" i="5"/>
  <c r="R546" i="5"/>
  <c r="S546" i="5" s="1"/>
  <c r="P540" i="5"/>
  <c r="K542" i="5"/>
  <c r="L542" i="5" s="1"/>
  <c r="R545" i="5"/>
  <c r="S545" i="5" s="1"/>
  <c r="L535" i="5"/>
  <c r="P535" i="5" s="1"/>
  <c r="L538" i="5"/>
  <c r="R538" i="5"/>
  <c r="S538" i="5" s="1"/>
  <c r="N536" i="5"/>
  <c r="P536" i="5"/>
  <c r="P537" i="5"/>
  <c r="R537" i="5"/>
  <c r="S537" i="5" s="1"/>
  <c r="L539" i="5"/>
  <c r="P534" i="5"/>
  <c r="P533" i="5"/>
  <c r="R532" i="5"/>
  <c r="S532" i="5" s="1"/>
  <c r="L524" i="5"/>
  <c r="R534" i="5"/>
  <c r="S534" i="5" s="1"/>
  <c r="L532" i="5"/>
  <c r="N529" i="5"/>
  <c r="P529" i="5"/>
  <c r="P526" i="5"/>
  <c r="N528" i="5"/>
  <c r="P528" i="5"/>
  <c r="P525" i="5"/>
  <c r="L531" i="5"/>
  <c r="L527" i="5"/>
  <c r="L530" i="5"/>
  <c r="R525" i="5"/>
  <c r="S525" i="5" s="1"/>
  <c r="Q531" i="5"/>
  <c r="R531" i="5" s="1"/>
  <c r="S531" i="5" s="1"/>
  <c r="R515" i="5"/>
  <c r="S515" i="5" s="1"/>
  <c r="L518" i="5"/>
  <c r="L523" i="5"/>
  <c r="R526" i="5"/>
  <c r="S526" i="5" s="1"/>
  <c r="P522" i="5"/>
  <c r="N520" i="5"/>
  <c r="P520" i="5"/>
  <c r="M522" i="5"/>
  <c r="N522" i="5" s="1"/>
  <c r="L519" i="5"/>
  <c r="R522" i="5"/>
  <c r="S522" i="5" s="1"/>
  <c r="R521" i="5"/>
  <c r="S521" i="5" s="1"/>
  <c r="L521" i="5"/>
  <c r="L517" i="5"/>
  <c r="K513" i="5"/>
  <c r="K512" i="5"/>
  <c r="L512" i="5" s="1"/>
  <c r="K516" i="5"/>
  <c r="L511" i="5"/>
  <c r="P514" i="5"/>
  <c r="K510" i="5"/>
  <c r="L510" i="5" s="1"/>
  <c r="K509" i="5"/>
  <c r="L509" i="5" s="1"/>
  <c r="R505" i="5"/>
  <c r="S505" i="5" s="1"/>
  <c r="L506" i="5"/>
  <c r="R506" i="5"/>
  <c r="S506" i="5" s="1"/>
  <c r="L508" i="5"/>
  <c r="R508" i="5"/>
  <c r="S508" i="5" s="1"/>
  <c r="N507" i="5"/>
  <c r="P507" i="5"/>
  <c r="L503" i="5"/>
  <c r="R503" i="5"/>
  <c r="S503" i="5" s="1"/>
  <c r="P504" i="5"/>
  <c r="R504" i="5"/>
  <c r="S504" i="5" s="1"/>
  <c r="L505" i="5"/>
  <c r="P502" i="5"/>
  <c r="L475" i="5"/>
  <c r="L501" i="5"/>
  <c r="N499" i="5"/>
  <c r="P499" i="5"/>
  <c r="L497" i="5"/>
  <c r="N497" i="5" s="1"/>
  <c r="Q501" i="5"/>
  <c r="R501" i="5" s="1"/>
  <c r="S501" i="5" s="1"/>
  <c r="R502" i="5"/>
  <c r="S502" i="5" s="1"/>
  <c r="K500" i="5"/>
  <c r="L500" i="5" s="1"/>
  <c r="L489" i="5"/>
  <c r="R489" i="5"/>
  <c r="S489" i="5" s="1"/>
  <c r="P486" i="5"/>
  <c r="N486" i="5"/>
  <c r="P490" i="5"/>
  <c r="L494" i="5"/>
  <c r="R494" i="5"/>
  <c r="S494" i="5" s="1"/>
  <c r="L488" i="5"/>
  <c r="L491" i="5"/>
  <c r="R491" i="5"/>
  <c r="S491" i="5" s="1"/>
  <c r="P495" i="5"/>
  <c r="N495" i="5"/>
  <c r="K485" i="5"/>
  <c r="L496" i="5"/>
  <c r="L492" i="5"/>
  <c r="L498" i="5"/>
  <c r="L473" i="5"/>
  <c r="N473" i="5" s="1"/>
  <c r="L478" i="5"/>
  <c r="P478" i="5" s="1"/>
  <c r="L487" i="5"/>
  <c r="L493" i="5"/>
  <c r="L472" i="5"/>
  <c r="N472" i="5" s="1"/>
  <c r="R490" i="5"/>
  <c r="S490" i="5" s="1"/>
  <c r="N479" i="5"/>
  <c r="P479" i="5"/>
  <c r="P469" i="5"/>
  <c r="L474" i="5"/>
  <c r="P484" i="5"/>
  <c r="N484" i="5"/>
  <c r="L470" i="5"/>
  <c r="R470" i="5"/>
  <c r="S470" i="5" s="1"/>
  <c r="L477" i="5"/>
  <c r="L483" i="5"/>
  <c r="R483" i="5"/>
  <c r="S483" i="5" s="1"/>
  <c r="L468" i="5"/>
  <c r="R468" i="5"/>
  <c r="S468" i="5" s="1"/>
  <c r="L471" i="5"/>
  <c r="L482" i="5"/>
  <c r="L481" i="5"/>
  <c r="K476" i="5"/>
  <c r="L476" i="5" s="1"/>
  <c r="L480" i="5"/>
  <c r="R469" i="5"/>
  <c r="S469" i="5" s="1"/>
  <c r="K467" i="5"/>
  <c r="L467" i="5" s="1"/>
  <c r="K466" i="5"/>
  <c r="R466" i="5" s="1"/>
  <c r="S466" i="5" s="1"/>
  <c r="L464" i="5"/>
  <c r="P465" i="5"/>
  <c r="N465" i="5"/>
  <c r="N462" i="5"/>
  <c r="P462" i="5"/>
  <c r="Q464" i="5"/>
  <c r="R464" i="5" s="1"/>
  <c r="S464" i="5" s="1"/>
  <c r="L461" i="5"/>
  <c r="N461" i="5" s="1"/>
  <c r="K463" i="5"/>
  <c r="R463" i="5" s="1"/>
  <c r="S463" i="5" s="1"/>
  <c r="N458" i="5"/>
  <c r="P458" i="5"/>
  <c r="L460" i="5"/>
  <c r="K446" i="5"/>
  <c r="L446" i="5" s="1"/>
  <c r="L457" i="5"/>
  <c r="P457" i="5" s="1"/>
  <c r="K459" i="5"/>
  <c r="R459" i="5" s="1"/>
  <c r="S459" i="5" s="1"/>
  <c r="L447" i="5"/>
  <c r="P447" i="5" s="1"/>
  <c r="L456" i="5"/>
  <c r="N454" i="5"/>
  <c r="P454" i="5"/>
  <c r="Q456" i="5"/>
  <c r="R456" i="5" s="1"/>
  <c r="S456" i="5" s="1"/>
  <c r="L453" i="5"/>
  <c r="N453" i="5" s="1"/>
  <c r="R457" i="5"/>
  <c r="S457" i="5" s="1"/>
  <c r="K455" i="5"/>
  <c r="L455" i="5" s="1"/>
  <c r="L444" i="5"/>
  <c r="N444" i="5" s="1"/>
  <c r="L450" i="5"/>
  <c r="P450" i="5" s="1"/>
  <c r="P452" i="5"/>
  <c r="N452" i="5"/>
  <c r="L445" i="5"/>
  <c r="N442" i="5"/>
  <c r="U442" i="5" s="1"/>
  <c r="V442" i="5" s="1"/>
  <c r="N443" i="5"/>
  <c r="P443" i="5"/>
  <c r="K451" i="5"/>
  <c r="L451" i="5" s="1"/>
  <c r="Q450" i="5"/>
  <c r="R450" i="5" s="1"/>
  <c r="S450" i="5" s="1"/>
  <c r="P449" i="5"/>
  <c r="P448" i="5"/>
  <c r="N448" i="5"/>
  <c r="M228" i="5"/>
  <c r="Q355" i="5"/>
  <c r="R355" i="5" s="1"/>
  <c r="S355" i="5" s="1"/>
  <c r="Q418" i="5"/>
  <c r="R418" i="5" s="1"/>
  <c r="S418" i="5" s="1"/>
  <c r="Q274" i="5"/>
  <c r="R274" i="5" s="1"/>
  <c r="S274" i="5" s="1"/>
  <c r="Q354" i="5"/>
  <c r="M400" i="5"/>
  <c r="Q289" i="5"/>
  <c r="Q367" i="5"/>
  <c r="R367" i="5" s="1"/>
  <c r="S367" i="5" s="1"/>
  <c r="Q398" i="5"/>
  <c r="R398" i="5" s="1"/>
  <c r="S398" i="5" s="1"/>
  <c r="Q379" i="5"/>
  <c r="R379" i="5" s="1"/>
  <c r="S379" i="5" s="1"/>
  <c r="Q425" i="5"/>
  <c r="R425" i="5" s="1"/>
  <c r="S425" i="5" s="1"/>
  <c r="M269" i="5"/>
  <c r="N269" i="5" s="1"/>
  <c r="M347" i="5"/>
  <c r="Q352" i="5"/>
  <c r="R352" i="5" s="1"/>
  <c r="S352" i="5" s="1"/>
  <c r="M359" i="5"/>
  <c r="M420" i="5"/>
  <c r="M254" i="5"/>
  <c r="N254" i="5" s="1"/>
  <c r="M297" i="5"/>
  <c r="M285" i="5"/>
  <c r="N285" i="5" s="1"/>
  <c r="Q378" i="5"/>
  <c r="R378" i="5" s="1"/>
  <c r="S378" i="5" s="1"/>
  <c r="M421" i="5"/>
  <c r="M239" i="5"/>
  <c r="N239" i="5" s="1"/>
  <c r="Q307" i="5"/>
  <c r="M315" i="5"/>
  <c r="Q318" i="5"/>
  <c r="Q322" i="5"/>
  <c r="R322" i="5" s="1"/>
  <c r="S322" i="5" s="1"/>
  <c r="M328" i="5"/>
  <c r="M396" i="5"/>
  <c r="Q241" i="5"/>
  <c r="R241" i="5" s="1"/>
  <c r="S241" i="5" s="1"/>
  <c r="M282" i="5"/>
  <c r="Q294" i="5"/>
  <c r="R294" i="5" s="1"/>
  <c r="S294" i="5" s="1"/>
  <c r="M309" i="5"/>
  <c r="Q303" i="5"/>
  <c r="R303" i="5" s="1"/>
  <c r="S303" i="5" s="1"/>
  <c r="M277" i="5"/>
  <c r="Q234" i="5"/>
  <c r="R234" i="5" s="1"/>
  <c r="S234" i="5" s="1"/>
  <c r="Q275" i="5"/>
  <c r="R275" i="5" s="1"/>
  <c r="S275" i="5" s="1"/>
  <c r="Q306" i="5"/>
  <c r="R306" i="5" s="1"/>
  <c r="S306" i="5" s="1"/>
  <c r="Q336" i="5"/>
  <c r="R336" i="5" s="1"/>
  <c r="S336" i="5" s="1"/>
  <c r="Q341" i="5"/>
  <c r="R341" i="5" s="1"/>
  <c r="S341" i="5" s="1"/>
  <c r="M369" i="5"/>
  <c r="M280" i="5"/>
  <c r="M302" i="5"/>
  <c r="Q343" i="5"/>
  <c r="R343" i="5" s="1"/>
  <c r="S343" i="5" s="1"/>
  <c r="M363" i="5"/>
  <c r="Q414" i="5"/>
  <c r="Q427" i="5"/>
  <c r="R427" i="5" s="1"/>
  <c r="S427" i="5" s="1"/>
  <c r="Q293" i="5"/>
  <c r="Q310" i="5"/>
  <c r="R310" i="5" s="1"/>
  <c r="S310" i="5" s="1"/>
  <c r="Q405" i="5"/>
  <c r="R405" i="5" s="1"/>
  <c r="S405" i="5" s="1"/>
  <c r="Q419" i="5"/>
  <c r="R419" i="5" s="1"/>
  <c r="S419" i="5" s="1"/>
  <c r="M248" i="5"/>
  <c r="Q240" i="5"/>
  <c r="R240" i="5" s="1"/>
  <c r="S240" i="5" s="1"/>
  <c r="Q257" i="5"/>
  <c r="R257" i="5" s="1"/>
  <c r="S257" i="5" s="1"/>
  <c r="Q265" i="5"/>
  <c r="R265" i="5" s="1"/>
  <c r="S265" i="5" s="1"/>
  <c r="M296" i="5"/>
  <c r="Q244" i="5"/>
  <c r="R244" i="5" s="1"/>
  <c r="S244" i="5" s="1"/>
  <c r="M253" i="5"/>
  <c r="M256" i="5"/>
  <c r="L379" i="5"/>
  <c r="P379" i="5" s="1"/>
  <c r="Q434" i="5"/>
  <c r="R434" i="5" s="1"/>
  <c r="S434" i="5" s="1"/>
  <c r="Q259" i="5"/>
  <c r="R259" i="5" s="1"/>
  <c r="S259" i="5" s="1"/>
  <c r="M304" i="5"/>
  <c r="Q330" i="5"/>
  <c r="R330" i="5" s="1"/>
  <c r="S330" i="5" s="1"/>
  <c r="Q337" i="5"/>
  <c r="R337" i="5" s="1"/>
  <c r="S337" i="5" s="1"/>
  <c r="Q395" i="5"/>
  <c r="R395" i="5" s="1"/>
  <c r="S395" i="5" s="1"/>
  <c r="Q397" i="5"/>
  <c r="R397" i="5" s="1"/>
  <c r="S397" i="5" s="1"/>
  <c r="Q422" i="5"/>
  <c r="Q252" i="5"/>
  <c r="Q286" i="5"/>
  <c r="M292" i="5"/>
  <c r="K301" i="5"/>
  <c r="L301" i="5" s="1"/>
  <c r="M344" i="5"/>
  <c r="Q361" i="5"/>
  <c r="R361" i="5" s="1"/>
  <c r="S361" i="5" s="1"/>
  <c r="Q428" i="5"/>
  <c r="M433" i="5"/>
  <c r="Q402" i="5"/>
  <c r="R402" i="5" s="1"/>
  <c r="S402" i="5" s="1"/>
  <c r="Q423" i="5"/>
  <c r="R423" i="5" s="1"/>
  <c r="S423" i="5" s="1"/>
  <c r="Q242" i="5"/>
  <c r="R242" i="5" s="1"/>
  <c r="S242" i="5" s="1"/>
  <c r="Q260" i="5"/>
  <c r="Q271" i="5"/>
  <c r="R271" i="5" s="1"/>
  <c r="S271" i="5" s="1"/>
  <c r="M287" i="5"/>
  <c r="Q288" i="5"/>
  <c r="R288" i="5" s="1"/>
  <c r="S288" i="5" s="1"/>
  <c r="Q290" i="5"/>
  <c r="R290" i="5" s="1"/>
  <c r="S290" i="5" s="1"/>
  <c r="M301" i="5"/>
  <c r="Q383" i="5"/>
  <c r="R383" i="5" s="1"/>
  <c r="S383" i="5" s="1"/>
  <c r="Q437" i="5"/>
  <c r="R437" i="5" s="1"/>
  <c r="S437" i="5" s="1"/>
  <c r="Q255" i="5"/>
  <c r="R255" i="5" s="1"/>
  <c r="S255" i="5" s="1"/>
  <c r="Q267" i="5"/>
  <c r="R267" i="5" s="1"/>
  <c r="S267" i="5" s="1"/>
  <c r="M399" i="5"/>
  <c r="M436" i="5"/>
  <c r="M417" i="5"/>
  <c r="N417" i="5" s="1"/>
  <c r="Q230" i="5"/>
  <c r="R230" i="5" s="1"/>
  <c r="S230" i="5" s="1"/>
  <c r="Q236" i="5"/>
  <c r="R236" i="5" s="1"/>
  <c r="S236" i="5" s="1"/>
  <c r="Q243" i="5"/>
  <c r="M246" i="5"/>
  <c r="Q247" i="5"/>
  <c r="R247" i="5" s="1"/>
  <c r="S247" i="5" s="1"/>
  <c r="Q251" i="5"/>
  <c r="R251" i="5" s="1"/>
  <c r="S251" i="5" s="1"/>
  <c r="Q279" i="5"/>
  <c r="R279" i="5" s="1"/>
  <c r="S279" i="5" s="1"/>
  <c r="M284" i="5"/>
  <c r="M295" i="5"/>
  <c r="Q299" i="5"/>
  <c r="R299" i="5" s="1"/>
  <c r="S299" i="5" s="1"/>
  <c r="Q339" i="5"/>
  <c r="R339" i="5" s="1"/>
  <c r="S339" i="5" s="1"/>
  <c r="Q220" i="5"/>
  <c r="R220" i="5" s="1"/>
  <c r="S220" i="5" s="1"/>
  <c r="R305" i="5"/>
  <c r="S305" i="5" s="1"/>
  <c r="Q340" i="5"/>
  <c r="R340" i="5" s="1"/>
  <c r="S340" i="5" s="1"/>
  <c r="Q351" i="5"/>
  <c r="Q404" i="5"/>
  <c r="R404" i="5" s="1"/>
  <c r="S404" i="5" s="1"/>
  <c r="M408" i="5"/>
  <c r="Q258" i="5"/>
  <c r="R258" i="5" s="1"/>
  <c r="S258" i="5" s="1"/>
  <c r="M281" i="5"/>
  <c r="Q311" i="5"/>
  <c r="L310" i="5"/>
  <c r="P310" i="5" s="1"/>
  <c r="Q317" i="5"/>
  <c r="M331" i="5"/>
  <c r="M360" i="5"/>
  <c r="M366" i="5"/>
  <c r="Q377" i="5"/>
  <c r="Q382" i="5"/>
  <c r="R382" i="5" s="1"/>
  <c r="S382" i="5" s="1"/>
  <c r="Q390" i="5"/>
  <c r="R390" i="5" s="1"/>
  <c r="S390" i="5" s="1"/>
  <c r="Q426" i="5"/>
  <c r="R426" i="5" s="1"/>
  <c r="S426" i="5" s="1"/>
  <c r="R439" i="5"/>
  <c r="S439" i="5" s="1"/>
  <c r="Q225" i="5"/>
  <c r="R225" i="5" s="1"/>
  <c r="S225" i="5" s="1"/>
  <c r="Q272" i="5"/>
  <c r="R272" i="5" s="1"/>
  <c r="S272" i="5" s="1"/>
  <c r="L282" i="5"/>
  <c r="P282" i="5" s="1"/>
  <c r="Q300" i="5"/>
  <c r="R300" i="5" s="1"/>
  <c r="S300" i="5" s="1"/>
  <c r="Q332" i="5"/>
  <c r="M357" i="5"/>
  <c r="M365" i="5"/>
  <c r="M368" i="5"/>
  <c r="L382" i="5"/>
  <c r="P382" i="5" s="1"/>
  <c r="M298" i="5"/>
  <c r="M329" i="5"/>
  <c r="M338" i="5"/>
  <c r="M345" i="5"/>
  <c r="N345" i="5" s="1"/>
  <c r="M348" i="5"/>
  <c r="Q362" i="5"/>
  <c r="M364" i="5"/>
  <c r="N364" i="5" s="1"/>
  <c r="K369" i="5"/>
  <c r="L369" i="5" s="1"/>
  <c r="L433" i="5"/>
  <c r="P433" i="5" s="1"/>
  <c r="L432" i="5"/>
  <c r="P432" i="5" s="1"/>
  <c r="L426" i="5"/>
  <c r="P426" i="5" s="1"/>
  <c r="L425" i="5"/>
  <c r="P425" i="5" s="1"/>
  <c r="L411" i="5"/>
  <c r="P411" i="5" s="1"/>
  <c r="L404" i="5"/>
  <c r="N404" i="5" s="1"/>
  <c r="L399" i="5"/>
  <c r="P399" i="5" s="1"/>
  <c r="L373" i="5"/>
  <c r="P373" i="5" s="1"/>
  <c r="L347" i="5"/>
  <c r="L326" i="5"/>
  <c r="K318" i="5"/>
  <c r="L318" i="5" s="1"/>
  <c r="L308" i="5"/>
  <c r="P308" i="5" s="1"/>
  <c r="L303" i="5"/>
  <c r="L302" i="5"/>
  <c r="P302" i="5" s="1"/>
  <c r="K304" i="5"/>
  <c r="L304" i="5" s="1"/>
  <c r="L274" i="5"/>
  <c r="P274" i="5" s="1"/>
  <c r="L241" i="5"/>
  <c r="N241" i="5" s="1"/>
  <c r="L322" i="5"/>
  <c r="P322" i="5" s="1"/>
  <c r="N418" i="5"/>
  <c r="P418" i="5"/>
  <c r="R417" i="5"/>
  <c r="S417" i="5" s="1"/>
  <c r="R302" i="5"/>
  <c r="S302" i="5" s="1"/>
  <c r="R331" i="5"/>
  <c r="S331" i="5" s="1"/>
  <c r="L346" i="5"/>
  <c r="L387" i="5"/>
  <c r="N387" i="5" s="1"/>
  <c r="R388" i="5"/>
  <c r="S388" i="5" s="1"/>
  <c r="L388" i="5"/>
  <c r="P388" i="5" s="1"/>
  <c r="K408" i="5"/>
  <c r="R408" i="5" s="1"/>
  <c r="S408" i="5" s="1"/>
  <c r="L424" i="5"/>
  <c r="P424" i="5" s="1"/>
  <c r="R433" i="5"/>
  <c r="S433" i="5" s="1"/>
  <c r="R269" i="5"/>
  <c r="S269" i="5" s="1"/>
  <c r="K293" i="5"/>
  <c r="L293" i="5" s="1"/>
  <c r="P293" i="5" s="1"/>
  <c r="L306" i="5"/>
  <c r="N306" i="5" s="1"/>
  <c r="R364" i="5"/>
  <c r="S364" i="5" s="1"/>
  <c r="L367" i="5"/>
  <c r="N367" i="5" s="1"/>
  <c r="L396" i="5"/>
  <c r="P396" i="5" s="1"/>
  <c r="R396" i="5"/>
  <c r="S396" i="5" s="1"/>
  <c r="K403" i="5"/>
  <c r="R403" i="5" s="1"/>
  <c r="S403" i="5" s="1"/>
  <c r="K407" i="5"/>
  <c r="L407" i="5" s="1"/>
  <c r="L288" i="5"/>
  <c r="N288" i="5" s="1"/>
  <c r="R297" i="5"/>
  <c r="S297" i="5" s="1"/>
  <c r="R327" i="5"/>
  <c r="S327" i="5" s="1"/>
  <c r="R328" i="5"/>
  <c r="S328" i="5" s="1"/>
  <c r="L331" i="5"/>
  <c r="P331" i="5" s="1"/>
  <c r="L343" i="5"/>
  <c r="P343" i="5" s="1"/>
  <c r="R347" i="5"/>
  <c r="S347" i="5" s="1"/>
  <c r="L363" i="5"/>
  <c r="P363" i="5" s="1"/>
  <c r="L394" i="5"/>
  <c r="P394" i="5" s="1"/>
  <c r="L395" i="5"/>
  <c r="P395" i="5" s="1"/>
  <c r="L400" i="5"/>
  <c r="P400" i="5" s="1"/>
  <c r="L405" i="5"/>
  <c r="P405" i="5" s="1"/>
  <c r="R411" i="5"/>
  <c r="S411" i="5" s="1"/>
  <c r="L412" i="5"/>
  <c r="P412" i="5" s="1"/>
  <c r="R421" i="5"/>
  <c r="S421" i="5" s="1"/>
  <c r="L423" i="5"/>
  <c r="P423" i="5" s="1"/>
  <c r="R424" i="5"/>
  <c r="S424" i="5" s="1"/>
  <c r="L242" i="5"/>
  <c r="P242" i="5" s="1"/>
  <c r="L259" i="5"/>
  <c r="P259" i="5" s="1"/>
  <c r="L283" i="5"/>
  <c r="P283" i="5" s="1"/>
  <c r="L328" i="5"/>
  <c r="P328" i="5" s="1"/>
  <c r="K354" i="5"/>
  <c r="L354" i="5" s="1"/>
  <c r="R393" i="5"/>
  <c r="S393" i="5" s="1"/>
  <c r="R399" i="5"/>
  <c r="S399" i="5" s="1"/>
  <c r="L439" i="5"/>
  <c r="K243" i="5"/>
  <c r="L243" i="5" s="1"/>
  <c r="L297" i="5"/>
  <c r="P297" i="5" s="1"/>
  <c r="R400" i="5"/>
  <c r="S400" i="5" s="1"/>
  <c r="L421" i="5"/>
  <c r="Q237" i="5"/>
  <c r="R237" i="5" s="1"/>
  <c r="S237" i="5" s="1"/>
  <c r="M237" i="5"/>
  <c r="M291" i="5"/>
  <c r="Q291" i="5"/>
  <c r="R291" i="5" s="1"/>
  <c r="S291" i="5" s="1"/>
  <c r="M371" i="5"/>
  <c r="N371" i="5" s="1"/>
  <c r="Q371" i="5"/>
  <c r="R371" i="5" s="1"/>
  <c r="S371" i="5" s="1"/>
  <c r="M374" i="5"/>
  <c r="N374" i="5" s="1"/>
  <c r="Q374" i="5"/>
  <c r="R374" i="5" s="1"/>
  <c r="S374" i="5" s="1"/>
  <c r="Q394" i="5"/>
  <c r="R394" i="5" s="1"/>
  <c r="S394" i="5" s="1"/>
  <c r="M394" i="5"/>
  <c r="M429" i="5"/>
  <c r="N429" i="5" s="1"/>
  <c r="O429" i="5" s="1"/>
  <c r="Q429" i="5"/>
  <c r="R429" i="5" s="1"/>
  <c r="S429" i="5" s="1"/>
  <c r="M250" i="5"/>
  <c r="Q250" i="5"/>
  <c r="R250" i="5" s="1"/>
  <c r="S250" i="5" s="1"/>
  <c r="Q268" i="5"/>
  <c r="R268" i="5" s="1"/>
  <c r="S268" i="5" s="1"/>
  <c r="M268" i="5"/>
  <c r="M278" i="5"/>
  <c r="Q278" i="5"/>
  <c r="R278" i="5" s="1"/>
  <c r="S278" i="5" s="1"/>
  <c r="Q283" i="5"/>
  <c r="R283" i="5" s="1"/>
  <c r="S283" i="5" s="1"/>
  <c r="Q313" i="5"/>
  <c r="M316" i="5"/>
  <c r="Q316" i="5"/>
  <c r="R316" i="5" s="1"/>
  <c r="S316" i="5" s="1"/>
  <c r="Q320" i="5"/>
  <c r="R320" i="5" s="1"/>
  <c r="S320" i="5" s="1"/>
  <c r="M356" i="5"/>
  <c r="M431" i="5"/>
  <c r="Q431" i="5"/>
  <c r="R431" i="5" s="1"/>
  <c r="S431" i="5" s="1"/>
  <c r="Q412" i="5"/>
  <c r="R412" i="5" s="1"/>
  <c r="S412" i="5" s="1"/>
  <c r="M412" i="5"/>
  <c r="Q261" i="5"/>
  <c r="R261" i="5" s="1"/>
  <c r="S261" i="5" s="1"/>
  <c r="M270" i="5"/>
  <c r="Q270" i="5"/>
  <c r="R270" i="5" s="1"/>
  <c r="S270" i="5" s="1"/>
  <c r="Q273" i="5"/>
  <c r="R273" i="5" s="1"/>
  <c r="S273" i="5" s="1"/>
  <c r="Q308" i="5"/>
  <c r="R308" i="5" s="1"/>
  <c r="S308" i="5" s="1"/>
  <c r="M308" i="5"/>
  <c r="Q312" i="5"/>
  <c r="R312" i="5" s="1"/>
  <c r="S312" i="5" s="1"/>
  <c r="M323" i="5"/>
  <c r="Q323" i="5"/>
  <c r="R323" i="5" s="1"/>
  <c r="S323" i="5" s="1"/>
  <c r="Q346" i="5"/>
  <c r="R346" i="5" s="1"/>
  <c r="S346" i="5" s="1"/>
  <c r="M346" i="5"/>
  <c r="M350" i="5"/>
  <c r="Q350" i="5"/>
  <c r="R350" i="5" s="1"/>
  <c r="S350" i="5" s="1"/>
  <c r="M370" i="5"/>
  <c r="N370" i="5" s="1"/>
  <c r="Q370" i="5"/>
  <c r="R370" i="5" s="1"/>
  <c r="S370" i="5" s="1"/>
  <c r="M373" i="5"/>
  <c r="Q373" i="5"/>
  <c r="R373" i="5" s="1"/>
  <c r="S373" i="5" s="1"/>
  <c r="Q376" i="5"/>
  <c r="R376" i="5" s="1"/>
  <c r="S376" i="5" s="1"/>
  <c r="M424" i="5"/>
  <c r="Q335" i="5"/>
  <c r="R335" i="5" s="1"/>
  <c r="S335" i="5" s="1"/>
  <c r="M342" i="5"/>
  <c r="N342" i="5" s="1"/>
  <c r="O342" i="5" s="1"/>
  <c r="Q342" i="5"/>
  <c r="R342" i="5" s="1"/>
  <c r="S342" i="5" s="1"/>
  <c r="M353" i="5"/>
  <c r="Q353" i="5"/>
  <c r="R353" i="5" s="1"/>
  <c r="S353" i="5" s="1"/>
  <c r="Q380" i="5"/>
  <c r="R380" i="5" s="1"/>
  <c r="S380" i="5" s="1"/>
  <c r="M380" i="5"/>
  <c r="N380" i="5" s="1"/>
  <c r="Q385" i="5"/>
  <c r="R385" i="5" s="1"/>
  <c r="S385" i="5" s="1"/>
  <c r="M385" i="5"/>
  <c r="M430" i="5"/>
  <c r="Q430" i="5"/>
  <c r="Q233" i="5"/>
  <c r="R233" i="5" s="1"/>
  <c r="S233" i="5" s="1"/>
  <c r="M238" i="5"/>
  <c r="Q245" i="5"/>
  <c r="Q264" i="5"/>
  <c r="R264" i="5" s="1"/>
  <c r="S264" i="5" s="1"/>
  <c r="Q276" i="5"/>
  <c r="R276" i="5" s="1"/>
  <c r="S276" i="5" s="1"/>
  <c r="M314" i="5"/>
  <c r="M319" i="5"/>
  <c r="Q319" i="5"/>
  <c r="R319" i="5" s="1"/>
  <c r="S319" i="5" s="1"/>
  <c r="Q324" i="5"/>
  <c r="R324" i="5" s="1"/>
  <c r="S324" i="5" s="1"/>
  <c r="M324" i="5"/>
  <c r="N324" i="5" s="1"/>
  <c r="Q334" i="5"/>
  <c r="R334" i="5" s="1"/>
  <c r="S334" i="5" s="1"/>
  <c r="R363" i="5"/>
  <c r="S363" i="5" s="1"/>
  <c r="M372" i="5"/>
  <c r="Q372" i="5"/>
  <c r="R372" i="5" s="1"/>
  <c r="S372" i="5" s="1"/>
  <c r="M375" i="5"/>
  <c r="Q375" i="5"/>
  <c r="R375" i="5" s="1"/>
  <c r="S375" i="5" s="1"/>
  <c r="Q384" i="5"/>
  <c r="R384" i="5" s="1"/>
  <c r="S384" i="5" s="1"/>
  <c r="M384" i="5"/>
  <c r="N384" i="5" s="1"/>
  <c r="Q407" i="5"/>
  <c r="M435" i="5"/>
  <c r="Q435" i="5"/>
  <c r="M249" i="5"/>
  <c r="Q249" i="5"/>
  <c r="R249" i="5" s="1"/>
  <c r="S249" i="5" s="1"/>
  <c r="Q232" i="5"/>
  <c r="R232" i="5" s="1"/>
  <c r="S232" i="5" s="1"/>
  <c r="M262" i="5"/>
  <c r="Q262" i="5"/>
  <c r="M321" i="5"/>
  <c r="Q321" i="5"/>
  <c r="R321" i="5" s="1"/>
  <c r="S321" i="5" s="1"/>
  <c r="M325" i="5"/>
  <c r="M333" i="5"/>
  <c r="Q406" i="5"/>
  <c r="R406" i="5" s="1"/>
  <c r="S406" i="5" s="1"/>
  <c r="R282" i="5"/>
  <c r="S282" i="5" s="1"/>
  <c r="R315" i="5"/>
  <c r="S315" i="5" s="1"/>
  <c r="Q358" i="5"/>
  <c r="M386" i="5"/>
  <c r="M388" i="5"/>
  <c r="Q391" i="5"/>
  <c r="R391" i="5" s="1"/>
  <c r="S391" i="5" s="1"/>
  <c r="Q401" i="5"/>
  <c r="R401" i="5" s="1"/>
  <c r="S401" i="5" s="1"/>
  <c r="Q415" i="5"/>
  <c r="Q266" i="5"/>
  <c r="R266" i="5" s="1"/>
  <c r="S266" i="5" s="1"/>
  <c r="M381" i="5"/>
  <c r="M413" i="5"/>
  <c r="Q235" i="5"/>
  <c r="R235" i="5" s="1"/>
  <c r="S235" i="5" s="1"/>
  <c r="R254" i="5"/>
  <c r="S254" i="5" s="1"/>
  <c r="N437" i="5"/>
  <c r="L244" i="5"/>
  <c r="P285" i="5"/>
  <c r="P240" i="5"/>
  <c r="N240" i="5"/>
  <c r="P258" i="5"/>
  <c r="N258" i="5"/>
  <c r="P269" i="5"/>
  <c r="P257" i="5"/>
  <c r="N257" i="5"/>
  <c r="K252" i="5"/>
  <c r="L252" i="5" s="1"/>
  <c r="L256" i="5"/>
  <c r="L271" i="5"/>
  <c r="L278" i="5"/>
  <c r="L279" i="5"/>
  <c r="L287" i="5"/>
  <c r="L294" i="5"/>
  <c r="L253" i="5"/>
  <c r="R253" i="5"/>
  <c r="S253" i="5" s="1"/>
  <c r="P266" i="5"/>
  <c r="N266" i="5"/>
  <c r="K280" i="5"/>
  <c r="L280" i="5" s="1"/>
  <c r="K295" i="5"/>
  <c r="L295" i="5" s="1"/>
  <c r="L251" i="5"/>
  <c r="R256" i="5"/>
  <c r="S256" i="5" s="1"/>
  <c r="L264" i="5"/>
  <c r="L272" i="5"/>
  <c r="L275" i="5"/>
  <c r="L281" i="5"/>
  <c r="R281" i="5"/>
  <c r="S281" i="5" s="1"/>
  <c r="L290" i="5"/>
  <c r="L316" i="5"/>
  <c r="N336" i="5"/>
  <c r="P336" i="5"/>
  <c r="K314" i="5"/>
  <c r="R314" i="5" s="1"/>
  <c r="S314" i="5" s="1"/>
  <c r="L246" i="5"/>
  <c r="R246" i="5"/>
  <c r="S246" i="5" s="1"/>
  <c r="L255" i="5"/>
  <c r="L261" i="5"/>
  <c r="N265" i="5"/>
  <c r="P265" i="5"/>
  <c r="L276" i="5"/>
  <c r="L296" i="5"/>
  <c r="R296" i="5"/>
  <c r="S296" i="5" s="1"/>
  <c r="L299" i="5"/>
  <c r="K307" i="5"/>
  <c r="K441" i="5"/>
  <c r="L441" i="5" s="1"/>
  <c r="K245" i="5"/>
  <c r="L245" i="5" s="1"/>
  <c r="L247" i="5"/>
  <c r="K260" i="5"/>
  <c r="L267" i="5"/>
  <c r="R285" i="5"/>
  <c r="S285" i="5" s="1"/>
  <c r="K317" i="5"/>
  <c r="L317" i="5" s="1"/>
  <c r="P324" i="5"/>
  <c r="K329" i="5"/>
  <c r="L329" i="5" s="1"/>
  <c r="N334" i="5"/>
  <c r="P334" i="5"/>
  <c r="K248" i="5"/>
  <c r="R248" i="5" s="1"/>
  <c r="S248" i="5" s="1"/>
  <c r="L392" i="5"/>
  <c r="R392" i="5"/>
  <c r="S392" i="5" s="1"/>
  <c r="L249" i="5"/>
  <c r="L250" i="5"/>
  <c r="K262" i="5"/>
  <c r="L262" i="5" s="1"/>
  <c r="L263" i="5"/>
  <c r="L270" i="5"/>
  <c r="L273" i="5"/>
  <c r="L284" i="5"/>
  <c r="N320" i="5"/>
  <c r="P320" i="5"/>
  <c r="L333" i="5"/>
  <c r="R333" i="5"/>
  <c r="S333" i="5" s="1"/>
  <c r="L268" i="5"/>
  <c r="K277" i="5"/>
  <c r="L277" i="5" s="1"/>
  <c r="K286" i="5"/>
  <c r="K289" i="5"/>
  <c r="L289" i="5" s="1"/>
  <c r="L291" i="5"/>
  <c r="K298" i="5"/>
  <c r="R298" i="5" s="1"/>
  <c r="S298" i="5" s="1"/>
  <c r="L300" i="5"/>
  <c r="K309" i="5"/>
  <c r="R309" i="5" s="1"/>
  <c r="S309" i="5" s="1"/>
  <c r="K311" i="5"/>
  <c r="K313" i="5"/>
  <c r="L313" i="5" s="1"/>
  <c r="P337" i="5"/>
  <c r="N337" i="5"/>
  <c r="L416" i="5"/>
  <c r="R416" i="5"/>
  <c r="S416" i="5" s="1"/>
  <c r="L315" i="5"/>
  <c r="L321" i="5"/>
  <c r="L323" i="5"/>
  <c r="K332" i="5"/>
  <c r="L332" i="5" s="1"/>
  <c r="K357" i="5"/>
  <c r="R357" i="5" s="1"/>
  <c r="S357" i="5" s="1"/>
  <c r="P380" i="5"/>
  <c r="K435" i="5"/>
  <c r="L435" i="5" s="1"/>
  <c r="L438" i="5"/>
  <c r="R438" i="5"/>
  <c r="S438" i="5" s="1"/>
  <c r="K325" i="5"/>
  <c r="L325" i="5" s="1"/>
  <c r="L330" i="5"/>
  <c r="K351" i="5"/>
  <c r="L351" i="5" s="1"/>
  <c r="K292" i="5"/>
  <c r="L292" i="5" s="1"/>
  <c r="L312" i="5"/>
  <c r="L319" i="5"/>
  <c r="L339" i="5"/>
  <c r="L341" i="5"/>
  <c r="P345" i="5"/>
  <c r="P364" i="5"/>
  <c r="R284" i="5"/>
  <c r="S284" i="5" s="1"/>
  <c r="R287" i="5"/>
  <c r="S287" i="5" s="1"/>
  <c r="R326" i="5"/>
  <c r="S326" i="5" s="1"/>
  <c r="N335" i="5"/>
  <c r="P335" i="5"/>
  <c r="R345" i="5"/>
  <c r="S345" i="5" s="1"/>
  <c r="K349" i="5"/>
  <c r="L349" i="5" s="1"/>
  <c r="K338" i="5"/>
  <c r="R338" i="5" s="1"/>
  <c r="S338" i="5" s="1"/>
  <c r="L348" i="5"/>
  <c r="R348" i="5"/>
  <c r="S348" i="5" s="1"/>
  <c r="L352" i="5"/>
  <c r="L353" i="5"/>
  <c r="L356" i="5"/>
  <c r="R356" i="5"/>
  <c r="S356" i="5" s="1"/>
  <c r="K358" i="5"/>
  <c r="L360" i="5"/>
  <c r="R360" i="5"/>
  <c r="S360" i="5" s="1"/>
  <c r="L361" i="5"/>
  <c r="P374" i="5"/>
  <c r="K410" i="5"/>
  <c r="L410" i="5" s="1"/>
  <c r="L420" i="5"/>
  <c r="R420" i="5"/>
  <c r="S420" i="5" s="1"/>
  <c r="L359" i="5"/>
  <c r="R359" i="5"/>
  <c r="S359" i="5" s="1"/>
  <c r="N398" i="5"/>
  <c r="P398" i="5"/>
  <c r="L344" i="5"/>
  <c r="R344" i="5"/>
  <c r="S344" i="5" s="1"/>
  <c r="K362" i="5"/>
  <c r="L362" i="5" s="1"/>
  <c r="K377" i="5"/>
  <c r="L377" i="5" s="1"/>
  <c r="P393" i="5"/>
  <c r="L350" i="5"/>
  <c r="L355" i="5"/>
  <c r="P370" i="5"/>
  <c r="P384" i="5"/>
  <c r="P390" i="5"/>
  <c r="N390" i="5"/>
  <c r="L402" i="5"/>
  <c r="K436" i="5"/>
  <c r="L436" i="5" s="1"/>
  <c r="L340" i="5"/>
  <c r="P371" i="5"/>
  <c r="K381" i="5"/>
  <c r="L381" i="5" s="1"/>
  <c r="K414" i="5"/>
  <c r="K430" i="5"/>
  <c r="L430" i="5" s="1"/>
  <c r="L365" i="5"/>
  <c r="R365" i="5"/>
  <c r="S365" i="5" s="1"/>
  <c r="L366" i="5"/>
  <c r="L368" i="5"/>
  <c r="L372" i="5"/>
  <c r="L385" i="5"/>
  <c r="P406" i="5"/>
  <c r="N406" i="5"/>
  <c r="L419" i="5"/>
  <c r="L427" i="5"/>
  <c r="L434" i="5"/>
  <c r="L440" i="5"/>
  <c r="R440" i="5"/>
  <c r="S440" i="5" s="1"/>
  <c r="R366" i="5"/>
  <c r="S366" i="5" s="1"/>
  <c r="R368" i="5"/>
  <c r="S368" i="5" s="1"/>
  <c r="L386" i="5"/>
  <c r="R386" i="5"/>
  <c r="S386" i="5" s="1"/>
  <c r="L389" i="5"/>
  <c r="P397" i="5"/>
  <c r="N397" i="5"/>
  <c r="N401" i="5"/>
  <c r="O401" i="5" s="1"/>
  <c r="L413" i="5"/>
  <c r="K415" i="5"/>
  <c r="K428" i="5"/>
  <c r="L428" i="5" s="1"/>
  <c r="L431" i="5"/>
  <c r="P437" i="5"/>
  <c r="L375" i="5"/>
  <c r="L376" i="5"/>
  <c r="L391" i="5"/>
  <c r="L409" i="5"/>
  <c r="R413" i="5"/>
  <c r="S413" i="5" s="1"/>
  <c r="K422" i="5"/>
  <c r="L422" i="5" s="1"/>
  <c r="N378" i="5"/>
  <c r="L383" i="5"/>
  <c r="P239" i="5"/>
  <c r="L238" i="5"/>
  <c r="R238" i="5"/>
  <c r="S238" i="5" s="1"/>
  <c r="R239" i="5"/>
  <c r="S239" i="5" s="1"/>
  <c r="L237" i="5"/>
  <c r="L236" i="5"/>
  <c r="N235" i="5"/>
  <c r="P235" i="5"/>
  <c r="P234" i="5"/>
  <c r="N234" i="5"/>
  <c r="N232" i="5"/>
  <c r="P232" i="5"/>
  <c r="L233" i="5"/>
  <c r="P233" i="5" s="1"/>
  <c r="L230" i="5"/>
  <c r="L229" i="5"/>
  <c r="R229" i="5"/>
  <c r="S229" i="5" s="1"/>
  <c r="L231" i="5"/>
  <c r="R231" i="5"/>
  <c r="S231" i="5" s="1"/>
  <c r="L227" i="5"/>
  <c r="R227" i="5"/>
  <c r="S227" i="5" s="1"/>
  <c r="R228" i="5"/>
  <c r="S228" i="5" s="1"/>
  <c r="L228" i="5"/>
  <c r="P226" i="5"/>
  <c r="R226" i="5"/>
  <c r="S226" i="5" s="1"/>
  <c r="L225" i="5"/>
  <c r="P225" i="5" s="1"/>
  <c r="R224" i="5"/>
  <c r="S224" i="5" s="1"/>
  <c r="M224" i="5"/>
  <c r="L224" i="5"/>
  <c r="L222" i="5"/>
  <c r="R222" i="5"/>
  <c r="S222" i="5" s="1"/>
  <c r="P223" i="5"/>
  <c r="P221" i="5"/>
  <c r="R223" i="5"/>
  <c r="S223" i="5" s="1"/>
  <c r="R221" i="5"/>
  <c r="S221" i="5" s="1"/>
  <c r="L219" i="5"/>
  <c r="N220" i="5"/>
  <c r="P220" i="5"/>
  <c r="Q219" i="5"/>
  <c r="R219" i="5" s="1"/>
  <c r="S219" i="5" s="1"/>
  <c r="K218" i="5"/>
  <c r="L218" i="5" s="1"/>
  <c r="P218" i="5" s="1"/>
  <c r="M218" i="5"/>
  <c r="E43" i="12" l="1"/>
  <c r="N694" i="5"/>
  <c r="N768" i="5"/>
  <c r="N1158" i="5"/>
  <c r="N1186" i="5"/>
  <c r="N1139" i="5"/>
  <c r="R1114" i="5"/>
  <c r="S1114" i="5" s="1"/>
  <c r="R1249" i="5"/>
  <c r="S1249" i="5" s="1"/>
  <c r="N326" i="5"/>
  <c r="R1229" i="5"/>
  <c r="S1229" i="5" s="1"/>
  <c r="N1146" i="5"/>
  <c r="U1146" i="5" s="1"/>
  <c r="V1146" i="5" s="1"/>
  <c r="P1139" i="5"/>
  <c r="R1332" i="5"/>
  <c r="S1332" i="5" s="1"/>
  <c r="N1068" i="5"/>
  <c r="N1318" i="5"/>
  <c r="U1318" i="5" s="1"/>
  <c r="V1318" i="5" s="1"/>
  <c r="R1360" i="5"/>
  <c r="S1360" i="5" s="1"/>
  <c r="R1178" i="5"/>
  <c r="S1178" i="5" s="1"/>
  <c r="P1177" i="5"/>
  <c r="O1177" i="5" s="1"/>
  <c r="P1255" i="5"/>
  <c r="O1255" i="5" s="1"/>
  <c r="N1339" i="5"/>
  <c r="O1339" i="5" s="1"/>
  <c r="P1143" i="5"/>
  <c r="O1143" i="5" s="1"/>
  <c r="N1253" i="5"/>
  <c r="U1253" i="5" s="1"/>
  <c r="V1253" i="5" s="1"/>
  <c r="N1221" i="5"/>
  <c r="O1221" i="5" s="1"/>
  <c r="R1247" i="5"/>
  <c r="S1247" i="5" s="1"/>
  <c r="R1271" i="5"/>
  <c r="S1271" i="5" s="1"/>
  <c r="P1158" i="5"/>
  <c r="R1055" i="5"/>
  <c r="S1055" i="5" s="1"/>
  <c r="N1327" i="5"/>
  <c r="O1327" i="5" s="1"/>
  <c r="R1096" i="5"/>
  <c r="S1096" i="5" s="1"/>
  <c r="O1250" i="5"/>
  <c r="N1219" i="5"/>
  <c r="U1222" i="5"/>
  <c r="V1222" i="5" s="1"/>
  <c r="R634" i="5"/>
  <c r="S634" i="5" s="1"/>
  <c r="P1061" i="5"/>
  <c r="O1061" i="5" s="1"/>
  <c r="N1058" i="5"/>
  <c r="U1058" i="5" s="1"/>
  <c r="V1058" i="5" s="1"/>
  <c r="O1227" i="5"/>
  <c r="N1290" i="5"/>
  <c r="U1290" i="5" s="1"/>
  <c r="V1290" i="5" s="1"/>
  <c r="P1219" i="5"/>
  <c r="R1136" i="5"/>
  <c r="S1136" i="5" s="1"/>
  <c r="N1056" i="5"/>
  <c r="O1056" i="5" s="1"/>
  <c r="N1095" i="5"/>
  <c r="O1095" i="5" s="1"/>
  <c r="U1268" i="5"/>
  <c r="V1268" i="5" s="1"/>
  <c r="O1268" i="5"/>
  <c r="R1254" i="5"/>
  <c r="S1254" i="5" s="1"/>
  <c r="N1072" i="5"/>
  <c r="R1313" i="5"/>
  <c r="S1313" i="5" s="1"/>
  <c r="R1269" i="5"/>
  <c r="S1269" i="5" s="1"/>
  <c r="U1073" i="5"/>
  <c r="V1073" i="5" s="1"/>
  <c r="N1057" i="5"/>
  <c r="O1057" i="5" s="1"/>
  <c r="U1206" i="5"/>
  <c r="V1206" i="5" s="1"/>
  <c r="R1240" i="5"/>
  <c r="S1240" i="5" s="1"/>
  <c r="N1135" i="5"/>
  <c r="O1135" i="5" s="1"/>
  <c r="N1112" i="5"/>
  <c r="O1112" i="5" s="1"/>
  <c r="N1355" i="5"/>
  <c r="O1355" i="5" s="1"/>
  <c r="N1261" i="5"/>
  <c r="O1261" i="5" s="1"/>
  <c r="N1098" i="5"/>
  <c r="O1098" i="5" s="1"/>
  <c r="U1250" i="5"/>
  <c r="V1250" i="5" s="1"/>
  <c r="R1088" i="5"/>
  <c r="S1088" i="5" s="1"/>
  <c r="R1272" i="5"/>
  <c r="S1272" i="5" s="1"/>
  <c r="U1361" i="5"/>
  <c r="V1361" i="5" s="1"/>
  <c r="P1272" i="5"/>
  <c r="N1272" i="5"/>
  <c r="U1270" i="5"/>
  <c r="V1270" i="5" s="1"/>
  <c r="O1270" i="5"/>
  <c r="N1271" i="5"/>
  <c r="R1310" i="5"/>
  <c r="S1310" i="5" s="1"/>
  <c r="P1279" i="5"/>
  <c r="U1279" i="5" s="1"/>
  <c r="V1279" i="5" s="1"/>
  <c r="U1256" i="5"/>
  <c r="V1256" i="5" s="1"/>
  <c r="O1238" i="5"/>
  <c r="N1055" i="5"/>
  <c r="U1055" i="5" s="1"/>
  <c r="V1055" i="5" s="1"/>
  <c r="R1241" i="5"/>
  <c r="S1241" i="5" s="1"/>
  <c r="R1274" i="5"/>
  <c r="S1274" i="5" s="1"/>
  <c r="R1204" i="5"/>
  <c r="S1204" i="5" s="1"/>
  <c r="U1227" i="5"/>
  <c r="V1227" i="5" s="1"/>
  <c r="N1269" i="5"/>
  <c r="P1269" i="5"/>
  <c r="U1230" i="5"/>
  <c r="V1230" i="5" s="1"/>
  <c r="P1172" i="5"/>
  <c r="U1172" i="5" s="1"/>
  <c r="V1172" i="5" s="1"/>
  <c r="P1123" i="5"/>
  <c r="U1123" i="5" s="1"/>
  <c r="V1123" i="5" s="1"/>
  <c r="U1354" i="5"/>
  <c r="V1354" i="5" s="1"/>
  <c r="O1230" i="5"/>
  <c r="U1321" i="5"/>
  <c r="V1321" i="5" s="1"/>
  <c r="U1301" i="5"/>
  <c r="V1301" i="5" s="1"/>
  <c r="U1293" i="5"/>
  <c r="V1293" i="5" s="1"/>
  <c r="N1314" i="5"/>
  <c r="O1314" i="5" s="1"/>
  <c r="N1088" i="5"/>
  <c r="O1088" i="5" s="1"/>
  <c r="R1154" i="5"/>
  <c r="S1154" i="5" s="1"/>
  <c r="R1328" i="5"/>
  <c r="S1328" i="5" s="1"/>
  <c r="N1097" i="5"/>
  <c r="O1097" i="5" s="1"/>
  <c r="R1303" i="5"/>
  <c r="S1303" i="5" s="1"/>
  <c r="L1351" i="5"/>
  <c r="P1351" i="5" s="1"/>
  <c r="P1106" i="5"/>
  <c r="U1106" i="5" s="1"/>
  <c r="V1106" i="5" s="1"/>
  <c r="N1079" i="5"/>
  <c r="O1079" i="5" s="1"/>
  <c r="N1285" i="5"/>
  <c r="O1285" i="5" s="1"/>
  <c r="L1273" i="5"/>
  <c r="P1273" i="5" s="1"/>
  <c r="R1342" i="5"/>
  <c r="S1342" i="5" s="1"/>
  <c r="L1157" i="5"/>
  <c r="P1157" i="5" s="1"/>
  <c r="O1070" i="5"/>
  <c r="L1240" i="5"/>
  <c r="P1240" i="5" s="1"/>
  <c r="R1066" i="5"/>
  <c r="S1066" i="5" s="1"/>
  <c r="U1104" i="5"/>
  <c r="V1104" i="5" s="1"/>
  <c r="O1275" i="5"/>
  <c r="O1244" i="5"/>
  <c r="R1264" i="5"/>
  <c r="S1264" i="5" s="1"/>
  <c r="U1308" i="5"/>
  <c r="V1308" i="5" s="1"/>
  <c r="U1340" i="5"/>
  <c r="V1340" i="5" s="1"/>
  <c r="P1229" i="5"/>
  <c r="N1229" i="5"/>
  <c r="U1077" i="5"/>
  <c r="V1077" i="5" s="1"/>
  <c r="N1286" i="5"/>
  <c r="O1286" i="5" s="1"/>
  <c r="L1316" i="5"/>
  <c r="P1316" i="5" s="1"/>
  <c r="U1323" i="5"/>
  <c r="V1323" i="5" s="1"/>
  <c r="O1297" i="5"/>
  <c r="P1278" i="5"/>
  <c r="U1278" i="5" s="1"/>
  <c r="V1278" i="5" s="1"/>
  <c r="U1210" i="5"/>
  <c r="V1210" i="5" s="1"/>
  <c r="R1121" i="5"/>
  <c r="S1121" i="5" s="1"/>
  <c r="R1119" i="5"/>
  <c r="S1119" i="5" s="1"/>
  <c r="N1200" i="5"/>
  <c r="O1200" i="5" s="1"/>
  <c r="U1275" i="5"/>
  <c r="V1275" i="5" s="1"/>
  <c r="R1149" i="5"/>
  <c r="S1149" i="5" s="1"/>
  <c r="P1228" i="5"/>
  <c r="N1228" i="5"/>
  <c r="R1092" i="5"/>
  <c r="S1092" i="5" s="1"/>
  <c r="R1137" i="5"/>
  <c r="S1137" i="5" s="1"/>
  <c r="R1243" i="5"/>
  <c r="S1243" i="5" s="1"/>
  <c r="P1274" i="5"/>
  <c r="N1274" i="5"/>
  <c r="R1356" i="5"/>
  <c r="S1356" i="5" s="1"/>
  <c r="L1360" i="5"/>
  <c r="R1352" i="5"/>
  <c r="S1352" i="5" s="1"/>
  <c r="U1346" i="5"/>
  <c r="V1346" i="5" s="1"/>
  <c r="U1345" i="5"/>
  <c r="V1345" i="5" s="1"/>
  <c r="N1343" i="5"/>
  <c r="R1338" i="5"/>
  <c r="S1338" i="5" s="1"/>
  <c r="O1326" i="5"/>
  <c r="P1320" i="5"/>
  <c r="N1320" i="5"/>
  <c r="R1320" i="5"/>
  <c r="S1320" i="5" s="1"/>
  <c r="R1258" i="5"/>
  <c r="S1258" i="5" s="1"/>
  <c r="L1249" i="5"/>
  <c r="P1249" i="5" s="1"/>
  <c r="R1245" i="5"/>
  <c r="S1245" i="5" s="1"/>
  <c r="R1246" i="5"/>
  <c r="S1246" i="5" s="1"/>
  <c r="L1243" i="5"/>
  <c r="N1243" i="5" s="1"/>
  <c r="R1234" i="5"/>
  <c r="S1234" i="5" s="1"/>
  <c r="O1226" i="5"/>
  <c r="P1231" i="5"/>
  <c r="N1231" i="5"/>
  <c r="N1223" i="5"/>
  <c r="N1224" i="5"/>
  <c r="O1224" i="5" s="1"/>
  <c r="R1201" i="5"/>
  <c r="S1201" i="5" s="1"/>
  <c r="N1188" i="5"/>
  <c r="O1188" i="5" s="1"/>
  <c r="P1186" i="5"/>
  <c r="R1179" i="5"/>
  <c r="S1179" i="5" s="1"/>
  <c r="L1178" i="5"/>
  <c r="L1163" i="5"/>
  <c r="N1163" i="5" s="1"/>
  <c r="N1153" i="5"/>
  <c r="U1153" i="5" s="1"/>
  <c r="V1153" i="5" s="1"/>
  <c r="P1147" i="5"/>
  <c r="U1147" i="5" s="1"/>
  <c r="V1147" i="5" s="1"/>
  <c r="R1150" i="5"/>
  <c r="S1150" i="5" s="1"/>
  <c r="U1140" i="5"/>
  <c r="V1140" i="5" s="1"/>
  <c r="N1117" i="5"/>
  <c r="O1117" i="5" s="1"/>
  <c r="N1113" i="5"/>
  <c r="O1113" i="5" s="1"/>
  <c r="R1082" i="5"/>
  <c r="S1082" i="5" s="1"/>
  <c r="P1072" i="5"/>
  <c r="U1070" i="5"/>
  <c r="V1070" i="5" s="1"/>
  <c r="P1068" i="5"/>
  <c r="L1065" i="5"/>
  <c r="N1065" i="5" s="1"/>
  <c r="P1154" i="5"/>
  <c r="N1154" i="5"/>
  <c r="N1254" i="5"/>
  <c r="P1254" i="5"/>
  <c r="N1356" i="5"/>
  <c r="P1356" i="5"/>
  <c r="N1303" i="5"/>
  <c r="P1303" i="5"/>
  <c r="P1247" i="5"/>
  <c r="N1247" i="5"/>
  <c r="N1149" i="5"/>
  <c r="P1149" i="5"/>
  <c r="N1241" i="5"/>
  <c r="P1241" i="5"/>
  <c r="P1201" i="5"/>
  <c r="N1201" i="5"/>
  <c r="P1136" i="5"/>
  <c r="N1136" i="5"/>
  <c r="P1313" i="5"/>
  <c r="N1313" i="5"/>
  <c r="P1352" i="5"/>
  <c r="N1352" i="5"/>
  <c r="N1050" i="5"/>
  <c r="O1050" i="5" s="1"/>
  <c r="R1291" i="5"/>
  <c r="S1291" i="5" s="1"/>
  <c r="R1298" i="5"/>
  <c r="S1298" i="5" s="1"/>
  <c r="U1238" i="5"/>
  <c r="V1238" i="5" s="1"/>
  <c r="R1251" i="5"/>
  <c r="S1251" i="5" s="1"/>
  <c r="R1198" i="5"/>
  <c r="S1198" i="5" s="1"/>
  <c r="R1203" i="5"/>
  <c r="S1203" i="5" s="1"/>
  <c r="R1195" i="5"/>
  <c r="S1195" i="5" s="1"/>
  <c r="R1107" i="5"/>
  <c r="S1107" i="5" s="1"/>
  <c r="O1211" i="5"/>
  <c r="R1110" i="5"/>
  <c r="S1110" i="5" s="1"/>
  <c r="U1059" i="5"/>
  <c r="V1059" i="5" s="1"/>
  <c r="O1120" i="5"/>
  <c r="N1067" i="5"/>
  <c r="O1067" i="5" s="1"/>
  <c r="R1335" i="5"/>
  <c r="S1335" i="5" s="1"/>
  <c r="L1171" i="5"/>
  <c r="U1076" i="5"/>
  <c r="V1076" i="5" s="1"/>
  <c r="N1335" i="5"/>
  <c r="N1328" i="5"/>
  <c r="P1328" i="5"/>
  <c r="O1131" i="5"/>
  <c r="O1340" i="5"/>
  <c r="U1306" i="5"/>
  <c r="V1306" i="5" s="1"/>
  <c r="O1210" i="5"/>
  <c r="R1086" i="5"/>
  <c r="S1086" i="5" s="1"/>
  <c r="R1215" i="5"/>
  <c r="S1215" i="5" s="1"/>
  <c r="L1155" i="5"/>
  <c r="P1155" i="5" s="1"/>
  <c r="R1116" i="5"/>
  <c r="S1116" i="5" s="1"/>
  <c r="U1262" i="5"/>
  <c r="V1262" i="5" s="1"/>
  <c r="L1332" i="5"/>
  <c r="L1342" i="5"/>
  <c r="L1310" i="5"/>
  <c r="P1310" i="5" s="1"/>
  <c r="R1287" i="5"/>
  <c r="S1287" i="5" s="1"/>
  <c r="O1263" i="5"/>
  <c r="U1248" i="5"/>
  <c r="V1248" i="5" s="1"/>
  <c r="O1302" i="5"/>
  <c r="O1256" i="5"/>
  <c r="R1257" i="5"/>
  <c r="S1257" i="5" s="1"/>
  <c r="R1239" i="5"/>
  <c r="S1239" i="5" s="1"/>
  <c r="R1091" i="5"/>
  <c r="S1091" i="5" s="1"/>
  <c r="O1077" i="5"/>
  <c r="O1218" i="5"/>
  <c r="U1134" i="5"/>
  <c r="V1134" i="5" s="1"/>
  <c r="N1350" i="5"/>
  <c r="U1083" i="5"/>
  <c r="V1083" i="5" s="1"/>
  <c r="U1131" i="5"/>
  <c r="V1131" i="5" s="1"/>
  <c r="U1326" i="5"/>
  <c r="V1326" i="5" s="1"/>
  <c r="U1218" i="5"/>
  <c r="V1218" i="5" s="1"/>
  <c r="P1246" i="5"/>
  <c r="N1246" i="5"/>
  <c r="N1198" i="5"/>
  <c r="P1198" i="5"/>
  <c r="N1257" i="5"/>
  <c r="P1257" i="5"/>
  <c r="N1239" i="5"/>
  <c r="P1239" i="5"/>
  <c r="N1194" i="5"/>
  <c r="P1194" i="5"/>
  <c r="N1234" i="5"/>
  <c r="P1234" i="5"/>
  <c r="N1325" i="5"/>
  <c r="P1325" i="5"/>
  <c r="N1150" i="5"/>
  <c r="P1150" i="5"/>
  <c r="N1091" i="5"/>
  <c r="P1091" i="5"/>
  <c r="N1137" i="5"/>
  <c r="P1137" i="5"/>
  <c r="N1287" i="5"/>
  <c r="P1287" i="5"/>
  <c r="N1251" i="5"/>
  <c r="P1251" i="5"/>
  <c r="P1082" i="5"/>
  <c r="N1082" i="5"/>
  <c r="N1203" i="5"/>
  <c r="P1203" i="5"/>
  <c r="N1086" i="5"/>
  <c r="P1086" i="5"/>
  <c r="N1358" i="5"/>
  <c r="P1358" i="5"/>
  <c r="P1295" i="5"/>
  <c r="N1295" i="5"/>
  <c r="N1291" i="5"/>
  <c r="P1291" i="5"/>
  <c r="N1258" i="5"/>
  <c r="P1258" i="5"/>
  <c r="N1245" i="5"/>
  <c r="P1245" i="5"/>
  <c r="N1213" i="5"/>
  <c r="P1213" i="5"/>
  <c r="N1119" i="5"/>
  <c r="P1119" i="5"/>
  <c r="N1092" i="5"/>
  <c r="P1092" i="5"/>
  <c r="N1103" i="5"/>
  <c r="P1103" i="5"/>
  <c r="P1333" i="5"/>
  <c r="N1333" i="5"/>
  <c r="O1334" i="5"/>
  <c r="U1334" i="5"/>
  <c r="V1334" i="5" s="1"/>
  <c r="N1315" i="5"/>
  <c r="P1315" i="5"/>
  <c r="U1331" i="5"/>
  <c r="V1331" i="5" s="1"/>
  <c r="O1331" i="5"/>
  <c r="P1299" i="5"/>
  <c r="N1299" i="5"/>
  <c r="P1300" i="5"/>
  <c r="N1300" i="5"/>
  <c r="N1283" i="5"/>
  <c r="P1283" i="5"/>
  <c r="N1298" i="5"/>
  <c r="P1298" i="5"/>
  <c r="N1276" i="5"/>
  <c r="P1276" i="5"/>
  <c r="N1265" i="5"/>
  <c r="P1265" i="5"/>
  <c r="U1182" i="5"/>
  <c r="V1182" i="5" s="1"/>
  <c r="O1182" i="5"/>
  <c r="N1264" i="5"/>
  <c r="P1264" i="5"/>
  <c r="P1225" i="5"/>
  <c r="N1225" i="5"/>
  <c r="N1195" i="5"/>
  <c r="P1195" i="5"/>
  <c r="P1204" i="5"/>
  <c r="N1204" i="5"/>
  <c r="P1209" i="5"/>
  <c r="N1209" i="5"/>
  <c r="N1181" i="5"/>
  <c r="P1181" i="5"/>
  <c r="P1196" i="5"/>
  <c r="N1196" i="5"/>
  <c r="N1074" i="5"/>
  <c r="P1074" i="5"/>
  <c r="P1151" i="5"/>
  <c r="N1151" i="5"/>
  <c r="P1085" i="5"/>
  <c r="N1085" i="5"/>
  <c r="P1121" i="5"/>
  <c r="N1121" i="5"/>
  <c r="P1175" i="5"/>
  <c r="N1175" i="5"/>
  <c r="O1156" i="5"/>
  <c r="U1156" i="5"/>
  <c r="V1156" i="5" s="1"/>
  <c r="N1144" i="5"/>
  <c r="P1144" i="5"/>
  <c r="N1110" i="5"/>
  <c r="P1110" i="5"/>
  <c r="O1176" i="5"/>
  <c r="U1176" i="5"/>
  <c r="V1176" i="5" s="1"/>
  <c r="N1062" i="5"/>
  <c r="P1062" i="5"/>
  <c r="U1093" i="5"/>
  <c r="V1093" i="5" s="1"/>
  <c r="O1093" i="5"/>
  <c r="P1066" i="5"/>
  <c r="N1066" i="5"/>
  <c r="R1049" i="5"/>
  <c r="S1049" i="5" s="1"/>
  <c r="N1312" i="5"/>
  <c r="P1312" i="5"/>
  <c r="N1338" i="5"/>
  <c r="P1338" i="5"/>
  <c r="O1348" i="5"/>
  <c r="U1348" i="5"/>
  <c r="V1348" i="5" s="1"/>
  <c r="O1330" i="5"/>
  <c r="U1330" i="5"/>
  <c r="V1330" i="5" s="1"/>
  <c r="N1324" i="5"/>
  <c r="P1324" i="5"/>
  <c r="R1325" i="5"/>
  <c r="S1325" i="5" s="1"/>
  <c r="R1295" i="5"/>
  <c r="S1295" i="5" s="1"/>
  <c r="N1280" i="5"/>
  <c r="P1280" i="5"/>
  <c r="N1305" i="5"/>
  <c r="P1305" i="5"/>
  <c r="O1242" i="5"/>
  <c r="U1242" i="5"/>
  <c r="V1242" i="5" s="1"/>
  <c r="P1216" i="5"/>
  <c r="N1216" i="5"/>
  <c r="N1277" i="5"/>
  <c r="P1277" i="5"/>
  <c r="L1252" i="5"/>
  <c r="O1206" i="5"/>
  <c r="R1194" i="5"/>
  <c r="S1194" i="5" s="1"/>
  <c r="R1213" i="5"/>
  <c r="S1213" i="5" s="1"/>
  <c r="N1202" i="5"/>
  <c r="P1202" i="5"/>
  <c r="N1173" i="5"/>
  <c r="P1173" i="5"/>
  <c r="N1132" i="5"/>
  <c r="P1132" i="5"/>
  <c r="P1125" i="5"/>
  <c r="N1125" i="5"/>
  <c r="O1145" i="5"/>
  <c r="U1145" i="5"/>
  <c r="V1145" i="5" s="1"/>
  <c r="N1107" i="5"/>
  <c r="P1107" i="5"/>
  <c r="N1096" i="5"/>
  <c r="P1096" i="5"/>
  <c r="P1205" i="5"/>
  <c r="N1205" i="5"/>
  <c r="O1162" i="5"/>
  <c r="N1078" i="5"/>
  <c r="P1078" i="5"/>
  <c r="N1060" i="5"/>
  <c r="P1060" i="5"/>
  <c r="P1100" i="5"/>
  <c r="N1100" i="5"/>
  <c r="N1124" i="5"/>
  <c r="P1124" i="5"/>
  <c r="U1359" i="5"/>
  <c r="V1359" i="5" s="1"/>
  <c r="O1359" i="5"/>
  <c r="U1120" i="5"/>
  <c r="V1120" i="5" s="1"/>
  <c r="O1083" i="5"/>
  <c r="O1048" i="5"/>
  <c r="O1361" i="5"/>
  <c r="P1296" i="5"/>
  <c r="N1296" i="5"/>
  <c r="N1344" i="5"/>
  <c r="P1344" i="5"/>
  <c r="P1311" i="5"/>
  <c r="N1311" i="5"/>
  <c r="O1301" i="5"/>
  <c r="N1289" i="5"/>
  <c r="P1289" i="5"/>
  <c r="P1233" i="5"/>
  <c r="N1233" i="5"/>
  <c r="O1306" i="5"/>
  <c r="P1185" i="5"/>
  <c r="N1185" i="5"/>
  <c r="N1180" i="5"/>
  <c r="P1180" i="5"/>
  <c r="N1193" i="5"/>
  <c r="P1193" i="5"/>
  <c r="N1160" i="5"/>
  <c r="P1160" i="5"/>
  <c r="N1102" i="5"/>
  <c r="P1102" i="5"/>
  <c r="O1159" i="5"/>
  <c r="U1159" i="5"/>
  <c r="V1159" i="5" s="1"/>
  <c r="L1133" i="5"/>
  <c r="P1152" i="5"/>
  <c r="N1152" i="5"/>
  <c r="N1115" i="5"/>
  <c r="P1115" i="5"/>
  <c r="N1166" i="5"/>
  <c r="P1166" i="5"/>
  <c r="O1142" i="5"/>
  <c r="U1142" i="5"/>
  <c r="V1142" i="5" s="1"/>
  <c r="N1130" i="5"/>
  <c r="P1130" i="5"/>
  <c r="P1111" i="5"/>
  <c r="N1111" i="5"/>
  <c r="L1114" i="5"/>
  <c r="O1134" i="5"/>
  <c r="O1148" i="5"/>
  <c r="U1148" i="5"/>
  <c r="V1148" i="5" s="1"/>
  <c r="O1081" i="5"/>
  <c r="U1081" i="5"/>
  <c r="V1081" i="5" s="1"/>
  <c r="U1064" i="5"/>
  <c r="V1064" i="5" s="1"/>
  <c r="O1064" i="5"/>
  <c r="N1353" i="5"/>
  <c r="P1353" i="5"/>
  <c r="N1341" i="5"/>
  <c r="P1341" i="5"/>
  <c r="P1319" i="5"/>
  <c r="N1319" i="5"/>
  <c r="O1322" i="5"/>
  <c r="U1322" i="5"/>
  <c r="V1322" i="5" s="1"/>
  <c r="P1304" i="5"/>
  <c r="N1304" i="5"/>
  <c r="O1349" i="5"/>
  <c r="U1349" i="5"/>
  <c r="V1349" i="5" s="1"/>
  <c r="N1281" i="5"/>
  <c r="P1281" i="5"/>
  <c r="N1294" i="5"/>
  <c r="P1294" i="5"/>
  <c r="U1263" i="5"/>
  <c r="V1263" i="5" s="1"/>
  <c r="U1244" i="5"/>
  <c r="V1244" i="5" s="1"/>
  <c r="P1207" i="5"/>
  <c r="N1207" i="5"/>
  <c r="N1266" i="5"/>
  <c r="P1266" i="5"/>
  <c r="N1232" i="5"/>
  <c r="P1232" i="5"/>
  <c r="P1217" i="5"/>
  <c r="N1217" i="5"/>
  <c r="N1199" i="5"/>
  <c r="P1199" i="5"/>
  <c r="N1170" i="5"/>
  <c r="P1170" i="5"/>
  <c r="N1169" i="5"/>
  <c r="P1169" i="5"/>
  <c r="P1161" i="5"/>
  <c r="N1161" i="5"/>
  <c r="P1179" i="5"/>
  <c r="N1179" i="5"/>
  <c r="O1090" i="5"/>
  <c r="U1090" i="5"/>
  <c r="V1090" i="5" s="1"/>
  <c r="N1215" i="5"/>
  <c r="P1215" i="5"/>
  <c r="N1129" i="5"/>
  <c r="P1129" i="5"/>
  <c r="N1116" i="5"/>
  <c r="P1116" i="5"/>
  <c r="U1108" i="5"/>
  <c r="V1108" i="5" s="1"/>
  <c r="O1108" i="5"/>
  <c r="P1069" i="5"/>
  <c r="N1069" i="5"/>
  <c r="U1122" i="5"/>
  <c r="V1122" i="5" s="1"/>
  <c r="O1122" i="5"/>
  <c r="U1336" i="5"/>
  <c r="V1336" i="5" s="1"/>
  <c r="O1336" i="5"/>
  <c r="N1307" i="5"/>
  <c r="P1307" i="5"/>
  <c r="P1329" i="5"/>
  <c r="N1329" i="5"/>
  <c r="U1302" i="5"/>
  <c r="V1302" i="5" s="1"/>
  <c r="O1308" i="5"/>
  <c r="O1323" i="5"/>
  <c r="O1260" i="5"/>
  <c r="U1260" i="5"/>
  <c r="V1260" i="5" s="1"/>
  <c r="O1248" i="5"/>
  <c r="P1235" i="5"/>
  <c r="N1235" i="5"/>
  <c r="P1236" i="5"/>
  <c r="N1236" i="5"/>
  <c r="N1237" i="5"/>
  <c r="P1237" i="5"/>
  <c r="P1184" i="5"/>
  <c r="N1184" i="5"/>
  <c r="U1183" i="5"/>
  <c r="V1183" i="5" s="1"/>
  <c r="O1183" i="5"/>
  <c r="U1211" i="5"/>
  <c r="V1211" i="5" s="1"/>
  <c r="O1192" i="5"/>
  <c r="U1192" i="5"/>
  <c r="V1192" i="5" s="1"/>
  <c r="N1174" i="5"/>
  <c r="P1174" i="5"/>
  <c r="N1212" i="5"/>
  <c r="P1212" i="5"/>
  <c r="O1189" i="5"/>
  <c r="U1189" i="5"/>
  <c r="V1189" i="5" s="1"/>
  <c r="N1190" i="5"/>
  <c r="P1190" i="5"/>
  <c r="P1164" i="5"/>
  <c r="N1164" i="5"/>
  <c r="L1191" i="5"/>
  <c r="N1168" i="5"/>
  <c r="P1168" i="5"/>
  <c r="U1101" i="5"/>
  <c r="V1101" i="5" s="1"/>
  <c r="O1101" i="5"/>
  <c r="N1167" i="5"/>
  <c r="P1167" i="5"/>
  <c r="N1141" i="5"/>
  <c r="P1141" i="5"/>
  <c r="N1118" i="5"/>
  <c r="P1118" i="5"/>
  <c r="P1105" i="5"/>
  <c r="N1105" i="5"/>
  <c r="R1103" i="5"/>
  <c r="S1103" i="5" s="1"/>
  <c r="P1094" i="5"/>
  <c r="N1094" i="5"/>
  <c r="U1162" i="5"/>
  <c r="V1162" i="5" s="1"/>
  <c r="R1358" i="5"/>
  <c r="S1358" i="5" s="1"/>
  <c r="O1087" i="5"/>
  <c r="U1087" i="5"/>
  <c r="V1087" i="5" s="1"/>
  <c r="O1073" i="5"/>
  <c r="P1347" i="5"/>
  <c r="N1347" i="5"/>
  <c r="O1337" i="5"/>
  <c r="U1337" i="5"/>
  <c r="V1337" i="5" s="1"/>
  <c r="P1317" i="5"/>
  <c r="N1317" i="5"/>
  <c r="N1288" i="5"/>
  <c r="P1288" i="5"/>
  <c r="N1309" i="5"/>
  <c r="P1309" i="5"/>
  <c r="U1297" i="5"/>
  <c r="V1297" i="5" s="1"/>
  <c r="P1284" i="5"/>
  <c r="N1284" i="5"/>
  <c r="N1220" i="5"/>
  <c r="P1220" i="5"/>
  <c r="U1282" i="5"/>
  <c r="V1282" i="5" s="1"/>
  <c r="O1282" i="5"/>
  <c r="P1208" i="5"/>
  <c r="N1208" i="5"/>
  <c r="N1292" i="5"/>
  <c r="P1292" i="5"/>
  <c r="P1259" i="5"/>
  <c r="N1259" i="5"/>
  <c r="N1267" i="5"/>
  <c r="P1267" i="5"/>
  <c r="N1214" i="5"/>
  <c r="P1214" i="5"/>
  <c r="P1128" i="5"/>
  <c r="N1128" i="5"/>
  <c r="N1084" i="5"/>
  <c r="P1084" i="5"/>
  <c r="P1197" i="5"/>
  <c r="N1197" i="5"/>
  <c r="O1165" i="5"/>
  <c r="U1165" i="5"/>
  <c r="V1165" i="5" s="1"/>
  <c r="U1109" i="5"/>
  <c r="V1109" i="5" s="1"/>
  <c r="O1109" i="5"/>
  <c r="N1080" i="5"/>
  <c r="P1080" i="5"/>
  <c r="N1099" i="5"/>
  <c r="P1099" i="5"/>
  <c r="N1138" i="5"/>
  <c r="P1138" i="5"/>
  <c r="N1127" i="5"/>
  <c r="P1127" i="5"/>
  <c r="N1089" i="5"/>
  <c r="P1089" i="5"/>
  <c r="N1071" i="5"/>
  <c r="P1071" i="5"/>
  <c r="N1357" i="5"/>
  <c r="P1357" i="5"/>
  <c r="U1187" i="5"/>
  <c r="V1187" i="5" s="1"/>
  <c r="O1187" i="5"/>
  <c r="N1126" i="5"/>
  <c r="P1126" i="5"/>
  <c r="O1140" i="5"/>
  <c r="P1075" i="5"/>
  <c r="N1075" i="5"/>
  <c r="O1076" i="5"/>
  <c r="O1063" i="5"/>
  <c r="U1063" i="5"/>
  <c r="V1063" i="5" s="1"/>
  <c r="O1104" i="5"/>
  <c r="P1051" i="5"/>
  <c r="N1051" i="5"/>
  <c r="N1049" i="5"/>
  <c r="O1049" i="5" s="1"/>
  <c r="O1054" i="5"/>
  <c r="U1054" i="5"/>
  <c r="V1054" i="5" s="1"/>
  <c r="O1053" i="5"/>
  <c r="U1053" i="5"/>
  <c r="V1053" i="5" s="1"/>
  <c r="N1052" i="5"/>
  <c r="P1052" i="5"/>
  <c r="N1047" i="5"/>
  <c r="P1047" i="5"/>
  <c r="U1031" i="5"/>
  <c r="V1031" i="5" s="1"/>
  <c r="O1044" i="5"/>
  <c r="R1047" i="5"/>
  <c r="S1047" i="5" s="1"/>
  <c r="U1048" i="5"/>
  <c r="V1048" i="5" s="1"/>
  <c r="U1041" i="5"/>
  <c r="V1041" i="5" s="1"/>
  <c r="U1043" i="5"/>
  <c r="V1043" i="5" s="1"/>
  <c r="O1043" i="5"/>
  <c r="P1045" i="5"/>
  <c r="N1045" i="5"/>
  <c r="P1046" i="5"/>
  <c r="N1046" i="5"/>
  <c r="U1044" i="5"/>
  <c r="V1044" i="5" s="1"/>
  <c r="N873" i="5"/>
  <c r="N878" i="5"/>
  <c r="R743" i="5"/>
  <c r="S743" i="5" s="1"/>
  <c r="N826" i="5"/>
  <c r="R1040" i="5"/>
  <c r="S1040" i="5" s="1"/>
  <c r="P1042" i="5"/>
  <c r="N1042" i="5"/>
  <c r="N1039" i="5"/>
  <c r="P1039" i="5"/>
  <c r="O1041" i="5"/>
  <c r="R1039" i="5"/>
  <c r="S1039" i="5" s="1"/>
  <c r="P1040" i="5"/>
  <c r="N1040" i="5"/>
  <c r="O1038" i="5"/>
  <c r="U1038" i="5"/>
  <c r="V1038" i="5" s="1"/>
  <c r="O1036" i="5"/>
  <c r="U1036" i="5"/>
  <c r="V1036" i="5" s="1"/>
  <c r="R1029" i="5"/>
  <c r="S1029" i="5" s="1"/>
  <c r="O1037" i="5"/>
  <c r="U1037" i="5"/>
  <c r="V1037" i="5" s="1"/>
  <c r="N1028" i="5"/>
  <c r="O1028" i="5" s="1"/>
  <c r="R1030" i="5"/>
  <c r="S1030" i="5" s="1"/>
  <c r="N1035" i="5"/>
  <c r="P1035" i="5"/>
  <c r="O1032" i="5"/>
  <c r="U1032" i="5"/>
  <c r="V1032" i="5" s="1"/>
  <c r="O1033" i="5"/>
  <c r="U1033" i="5"/>
  <c r="V1033" i="5" s="1"/>
  <c r="R699" i="5"/>
  <c r="S699" i="5" s="1"/>
  <c r="N883" i="5"/>
  <c r="N1034" i="5"/>
  <c r="P1034" i="5"/>
  <c r="N1029" i="5"/>
  <c r="P1029" i="5"/>
  <c r="P1030" i="5"/>
  <c r="N1030" i="5"/>
  <c r="P1020" i="5"/>
  <c r="U1020" i="5" s="1"/>
  <c r="V1020" i="5" s="1"/>
  <c r="O1031" i="5"/>
  <c r="O1025" i="5"/>
  <c r="R1024" i="5"/>
  <c r="S1024" i="5" s="1"/>
  <c r="N1022" i="5"/>
  <c r="O1022" i="5" s="1"/>
  <c r="L1026" i="5"/>
  <c r="N1026" i="5" s="1"/>
  <c r="N995" i="5"/>
  <c r="U995" i="5" s="1"/>
  <c r="V995" i="5" s="1"/>
  <c r="L1018" i="5"/>
  <c r="N1018" i="5" s="1"/>
  <c r="P1027" i="5"/>
  <c r="N1027" i="5"/>
  <c r="R973" i="5"/>
  <c r="S973" i="5" s="1"/>
  <c r="U1025" i="5"/>
  <c r="V1025" i="5" s="1"/>
  <c r="P1021" i="5"/>
  <c r="N1021" i="5"/>
  <c r="O1023" i="5"/>
  <c r="U1023" i="5"/>
  <c r="V1023" i="5" s="1"/>
  <c r="U997" i="5"/>
  <c r="V997" i="5" s="1"/>
  <c r="O997" i="5"/>
  <c r="P1024" i="5"/>
  <c r="N1024" i="5"/>
  <c r="N992" i="5"/>
  <c r="U992" i="5" s="1"/>
  <c r="V992" i="5" s="1"/>
  <c r="O1019" i="5"/>
  <c r="R1021" i="5"/>
  <c r="S1021" i="5" s="1"/>
  <c r="N830" i="5"/>
  <c r="R965" i="5"/>
  <c r="S965" i="5" s="1"/>
  <c r="U1019" i="5"/>
  <c r="V1019" i="5" s="1"/>
  <c r="R938" i="5"/>
  <c r="S938" i="5" s="1"/>
  <c r="U690" i="5"/>
  <c r="V690" i="5" s="1"/>
  <c r="R720" i="5"/>
  <c r="S720" i="5" s="1"/>
  <c r="U991" i="5"/>
  <c r="V991" i="5" s="1"/>
  <c r="O994" i="5"/>
  <c r="U994" i="5"/>
  <c r="V994" i="5" s="1"/>
  <c r="N795" i="5"/>
  <c r="U864" i="5"/>
  <c r="V864" i="5" s="1"/>
  <c r="R833" i="5"/>
  <c r="S833" i="5" s="1"/>
  <c r="N996" i="5"/>
  <c r="O996" i="5" s="1"/>
  <c r="N993" i="5"/>
  <c r="R849" i="5"/>
  <c r="S849" i="5" s="1"/>
  <c r="N1017" i="5"/>
  <c r="O1017" i="5" s="1"/>
  <c r="R767" i="5"/>
  <c r="S767" i="5" s="1"/>
  <c r="R1015" i="5"/>
  <c r="S1015" i="5" s="1"/>
  <c r="N742" i="5"/>
  <c r="R900" i="5"/>
  <c r="S900" i="5" s="1"/>
  <c r="N1015" i="5"/>
  <c r="O1015" i="5" s="1"/>
  <c r="N1010" i="5"/>
  <c r="O1010" i="5" s="1"/>
  <c r="P1016" i="5"/>
  <c r="N1016" i="5"/>
  <c r="U988" i="5"/>
  <c r="V988" i="5" s="1"/>
  <c r="P1014" i="5"/>
  <c r="N1014" i="5"/>
  <c r="N1011" i="5"/>
  <c r="P1011" i="5"/>
  <c r="N1013" i="5"/>
  <c r="P1013" i="5"/>
  <c r="O1008" i="5"/>
  <c r="R1014" i="5"/>
  <c r="S1014" i="5" s="1"/>
  <c r="O1012" i="5"/>
  <c r="U1012" i="5"/>
  <c r="V1012" i="5" s="1"/>
  <c r="O1009" i="5"/>
  <c r="U1008" i="5"/>
  <c r="V1008" i="5" s="1"/>
  <c r="U1009" i="5"/>
  <c r="V1009" i="5" s="1"/>
  <c r="O991" i="5"/>
  <c r="N1004" i="5"/>
  <c r="P1004" i="5"/>
  <c r="N1002" i="5"/>
  <c r="P1002" i="5"/>
  <c r="N1007" i="5"/>
  <c r="P1007" i="5"/>
  <c r="N1005" i="5"/>
  <c r="P1005" i="5"/>
  <c r="O1006" i="5"/>
  <c r="U1006" i="5"/>
  <c r="V1006" i="5" s="1"/>
  <c r="O1003" i="5"/>
  <c r="U1003" i="5"/>
  <c r="V1003" i="5" s="1"/>
  <c r="U985" i="5"/>
  <c r="V985" i="5" s="1"/>
  <c r="P1001" i="5"/>
  <c r="N1001" i="5"/>
  <c r="R984" i="5"/>
  <c r="S984" i="5" s="1"/>
  <c r="R990" i="5"/>
  <c r="S990" i="5" s="1"/>
  <c r="O1000" i="5"/>
  <c r="U1000" i="5"/>
  <c r="V1000" i="5" s="1"/>
  <c r="U978" i="5"/>
  <c r="V978" i="5" s="1"/>
  <c r="U982" i="5"/>
  <c r="V982" i="5" s="1"/>
  <c r="O999" i="5"/>
  <c r="U999" i="5"/>
  <c r="V999" i="5" s="1"/>
  <c r="U963" i="5"/>
  <c r="V963" i="5" s="1"/>
  <c r="U958" i="5"/>
  <c r="V958" i="5" s="1"/>
  <c r="P998" i="5"/>
  <c r="N998" i="5"/>
  <c r="O988" i="5"/>
  <c r="P990" i="5"/>
  <c r="N990" i="5"/>
  <c r="N987" i="5"/>
  <c r="P987" i="5"/>
  <c r="R959" i="5"/>
  <c r="S959" i="5" s="1"/>
  <c r="N966" i="5"/>
  <c r="O966" i="5" s="1"/>
  <c r="U961" i="5"/>
  <c r="V961" i="5" s="1"/>
  <c r="R971" i="5"/>
  <c r="S971" i="5" s="1"/>
  <c r="R977" i="5"/>
  <c r="S977" i="5" s="1"/>
  <c r="O985" i="5"/>
  <c r="O989" i="5"/>
  <c r="U989" i="5"/>
  <c r="V989" i="5" s="1"/>
  <c r="N984" i="5"/>
  <c r="P984" i="5"/>
  <c r="R987" i="5"/>
  <c r="S987" i="5" s="1"/>
  <c r="O982" i="5"/>
  <c r="R964" i="5"/>
  <c r="S964" i="5" s="1"/>
  <c r="O986" i="5"/>
  <c r="U986" i="5"/>
  <c r="V986" i="5" s="1"/>
  <c r="N983" i="5"/>
  <c r="P983" i="5"/>
  <c r="P971" i="5"/>
  <c r="N971" i="5"/>
  <c r="P972" i="5"/>
  <c r="N972" i="5"/>
  <c r="N969" i="5"/>
  <c r="O978" i="5"/>
  <c r="P979" i="5"/>
  <c r="N979" i="5"/>
  <c r="O980" i="5"/>
  <c r="U980" i="5"/>
  <c r="V980" i="5" s="1"/>
  <c r="R974" i="5"/>
  <c r="S974" i="5" s="1"/>
  <c r="N975" i="5"/>
  <c r="O975" i="5" s="1"/>
  <c r="L973" i="5"/>
  <c r="N968" i="5"/>
  <c r="O968" i="5" s="1"/>
  <c r="O981" i="5"/>
  <c r="U981" i="5"/>
  <c r="V981" i="5" s="1"/>
  <c r="P976" i="5"/>
  <c r="N976" i="5"/>
  <c r="P977" i="5"/>
  <c r="N977" i="5"/>
  <c r="N974" i="5"/>
  <c r="P974" i="5"/>
  <c r="N967" i="5"/>
  <c r="P967" i="5"/>
  <c r="O963" i="5"/>
  <c r="R967" i="5"/>
  <c r="S967" i="5" s="1"/>
  <c r="L970" i="5"/>
  <c r="P945" i="5"/>
  <c r="U945" i="5" s="1"/>
  <c r="V945" i="5" s="1"/>
  <c r="L965" i="5"/>
  <c r="R951" i="5"/>
  <c r="S951" i="5" s="1"/>
  <c r="O958" i="5"/>
  <c r="N962" i="5"/>
  <c r="P962" i="5"/>
  <c r="P964" i="5"/>
  <c r="N964" i="5"/>
  <c r="N959" i="5"/>
  <c r="P959" i="5"/>
  <c r="O910" i="5"/>
  <c r="O957" i="5"/>
  <c r="U957" i="5"/>
  <c r="V957" i="5" s="1"/>
  <c r="O961" i="5"/>
  <c r="P960" i="5"/>
  <c r="N960" i="5"/>
  <c r="U953" i="5"/>
  <c r="V953" i="5" s="1"/>
  <c r="O956" i="5"/>
  <c r="U956" i="5"/>
  <c r="V956" i="5" s="1"/>
  <c r="O943" i="5"/>
  <c r="N955" i="5"/>
  <c r="P955" i="5"/>
  <c r="O944" i="5"/>
  <c r="O918" i="5"/>
  <c r="O934" i="5"/>
  <c r="P954" i="5"/>
  <c r="N954" i="5"/>
  <c r="O948" i="5"/>
  <c r="O953" i="5"/>
  <c r="U944" i="5"/>
  <c r="V944" i="5" s="1"/>
  <c r="O952" i="5"/>
  <c r="U952" i="5"/>
  <c r="V952" i="5" s="1"/>
  <c r="U948" i="5"/>
  <c r="V948" i="5" s="1"/>
  <c r="N903" i="5"/>
  <c r="U903" i="5" s="1"/>
  <c r="V903" i="5" s="1"/>
  <c r="P947" i="5"/>
  <c r="U947" i="5" s="1"/>
  <c r="V947" i="5" s="1"/>
  <c r="U940" i="5"/>
  <c r="V940" i="5" s="1"/>
  <c r="L950" i="5"/>
  <c r="N950" i="5" s="1"/>
  <c r="P946" i="5"/>
  <c r="N946" i="5"/>
  <c r="P949" i="5"/>
  <c r="N949" i="5"/>
  <c r="P951" i="5"/>
  <c r="N951" i="5"/>
  <c r="U921" i="5"/>
  <c r="V921" i="5" s="1"/>
  <c r="P942" i="5"/>
  <c r="N942" i="5"/>
  <c r="R904" i="5"/>
  <c r="S904" i="5" s="1"/>
  <c r="P941" i="5"/>
  <c r="N941" i="5"/>
  <c r="R925" i="5"/>
  <c r="S925" i="5" s="1"/>
  <c r="N939" i="5"/>
  <c r="P939" i="5"/>
  <c r="U943" i="5"/>
  <c r="V943" i="5" s="1"/>
  <c r="P938" i="5"/>
  <c r="N938" i="5"/>
  <c r="O936" i="5"/>
  <c r="U936" i="5"/>
  <c r="V936" i="5" s="1"/>
  <c r="P933" i="5"/>
  <c r="N933" i="5"/>
  <c r="P937" i="5"/>
  <c r="N937" i="5"/>
  <c r="N935" i="5"/>
  <c r="P935" i="5"/>
  <c r="N927" i="5"/>
  <c r="U927" i="5" s="1"/>
  <c r="V927" i="5" s="1"/>
  <c r="U934" i="5"/>
  <c r="V934" i="5" s="1"/>
  <c r="U918" i="5"/>
  <c r="V918" i="5" s="1"/>
  <c r="O931" i="5"/>
  <c r="U931" i="5"/>
  <c r="V931" i="5" s="1"/>
  <c r="N932" i="5"/>
  <c r="P932" i="5"/>
  <c r="N928" i="5"/>
  <c r="U882" i="5"/>
  <c r="V882" i="5" s="1"/>
  <c r="U910" i="5"/>
  <c r="V910" i="5" s="1"/>
  <c r="O921" i="5"/>
  <c r="P929" i="5"/>
  <c r="N929" i="5"/>
  <c r="N930" i="5"/>
  <c r="P930" i="5"/>
  <c r="N922" i="5"/>
  <c r="P922" i="5"/>
  <c r="P920" i="5"/>
  <c r="N920" i="5"/>
  <c r="N919" i="5"/>
  <c r="P919" i="5"/>
  <c r="P923" i="5"/>
  <c r="N923" i="5"/>
  <c r="P924" i="5"/>
  <c r="N924" i="5"/>
  <c r="N925" i="5"/>
  <c r="P925" i="5"/>
  <c r="P906" i="5"/>
  <c r="N906" i="5"/>
  <c r="O926" i="5"/>
  <c r="U926" i="5"/>
  <c r="V926" i="5" s="1"/>
  <c r="P917" i="5"/>
  <c r="N917" i="5"/>
  <c r="O915" i="5"/>
  <c r="U915" i="5"/>
  <c r="V915" i="5" s="1"/>
  <c r="O916" i="5"/>
  <c r="U916" i="5"/>
  <c r="V916" i="5" s="1"/>
  <c r="O913" i="5"/>
  <c r="U913" i="5"/>
  <c r="V913" i="5" s="1"/>
  <c r="O912" i="5"/>
  <c r="U912" i="5"/>
  <c r="V912" i="5" s="1"/>
  <c r="P911" i="5"/>
  <c r="N911" i="5"/>
  <c r="P909" i="5"/>
  <c r="U909" i="5" s="1"/>
  <c r="V909" i="5" s="1"/>
  <c r="P914" i="5"/>
  <c r="N914" i="5"/>
  <c r="P908" i="5"/>
  <c r="N908" i="5"/>
  <c r="N905" i="5"/>
  <c r="P905" i="5"/>
  <c r="P907" i="5"/>
  <c r="N907" i="5"/>
  <c r="P904" i="5"/>
  <c r="N904" i="5"/>
  <c r="N895" i="5"/>
  <c r="O895" i="5" s="1"/>
  <c r="N902" i="5"/>
  <c r="P902" i="5"/>
  <c r="P901" i="5"/>
  <c r="N901" i="5"/>
  <c r="L900" i="5"/>
  <c r="N899" i="5"/>
  <c r="P899" i="5"/>
  <c r="U898" i="5"/>
  <c r="V898" i="5" s="1"/>
  <c r="P894" i="5"/>
  <c r="N894" i="5"/>
  <c r="P883" i="5"/>
  <c r="R892" i="5"/>
  <c r="S892" i="5" s="1"/>
  <c r="N896" i="5"/>
  <c r="P896" i="5"/>
  <c r="O891" i="5"/>
  <c r="N897" i="5"/>
  <c r="P897" i="5"/>
  <c r="R894" i="5"/>
  <c r="S894" i="5" s="1"/>
  <c r="N892" i="5"/>
  <c r="P892" i="5"/>
  <c r="N875" i="5"/>
  <c r="O875" i="5" s="1"/>
  <c r="U891" i="5"/>
  <c r="V891" i="5" s="1"/>
  <c r="P893" i="5"/>
  <c r="N893" i="5"/>
  <c r="N840" i="5"/>
  <c r="O840" i="5" s="1"/>
  <c r="O888" i="5"/>
  <c r="N890" i="5"/>
  <c r="P890" i="5"/>
  <c r="N889" i="5"/>
  <c r="P889" i="5"/>
  <c r="O885" i="5"/>
  <c r="U885" i="5"/>
  <c r="V885" i="5" s="1"/>
  <c r="P887" i="5"/>
  <c r="N887" i="5"/>
  <c r="U888" i="5"/>
  <c r="V888" i="5" s="1"/>
  <c r="N771" i="5"/>
  <c r="U771" i="5" s="1"/>
  <c r="V771" i="5" s="1"/>
  <c r="O882" i="5"/>
  <c r="O884" i="5"/>
  <c r="U884" i="5"/>
  <c r="V884" i="5" s="1"/>
  <c r="N886" i="5"/>
  <c r="P886" i="5"/>
  <c r="P880" i="5"/>
  <c r="N880" i="5"/>
  <c r="P881" i="5"/>
  <c r="N881" i="5"/>
  <c r="P873" i="5"/>
  <c r="P878" i="5"/>
  <c r="R880" i="5"/>
  <c r="S880" i="5" s="1"/>
  <c r="R881" i="5"/>
  <c r="S881" i="5" s="1"/>
  <c r="N877" i="5"/>
  <c r="P877" i="5"/>
  <c r="P879" i="5"/>
  <c r="N879" i="5"/>
  <c r="P876" i="5"/>
  <c r="N876" i="5"/>
  <c r="P874" i="5"/>
  <c r="N874" i="5"/>
  <c r="O871" i="5"/>
  <c r="U871" i="5"/>
  <c r="V871" i="5" s="1"/>
  <c r="N872" i="5"/>
  <c r="P872" i="5"/>
  <c r="N870" i="5"/>
  <c r="P870" i="5"/>
  <c r="N857" i="5"/>
  <c r="U857" i="5" s="1"/>
  <c r="V857" i="5" s="1"/>
  <c r="O868" i="5"/>
  <c r="U868" i="5"/>
  <c r="V868" i="5" s="1"/>
  <c r="O869" i="5"/>
  <c r="U869" i="5"/>
  <c r="V869" i="5" s="1"/>
  <c r="P848" i="5"/>
  <c r="U848" i="5" s="1"/>
  <c r="V848" i="5" s="1"/>
  <c r="P861" i="5"/>
  <c r="O861" i="5" s="1"/>
  <c r="N867" i="5"/>
  <c r="P867" i="5"/>
  <c r="P865" i="5"/>
  <c r="N865" i="5"/>
  <c r="P866" i="5"/>
  <c r="N866" i="5"/>
  <c r="O864" i="5"/>
  <c r="O837" i="5"/>
  <c r="P863" i="5"/>
  <c r="N863" i="5"/>
  <c r="P862" i="5"/>
  <c r="N862" i="5"/>
  <c r="N851" i="5"/>
  <c r="U851" i="5" s="1"/>
  <c r="V851" i="5" s="1"/>
  <c r="N856" i="5"/>
  <c r="O856" i="5" s="1"/>
  <c r="N854" i="5"/>
  <c r="U854" i="5" s="1"/>
  <c r="V854" i="5" s="1"/>
  <c r="O858" i="5"/>
  <c r="U858" i="5"/>
  <c r="V858" i="5" s="1"/>
  <c r="U834" i="5"/>
  <c r="V834" i="5" s="1"/>
  <c r="N859" i="5"/>
  <c r="P859" i="5"/>
  <c r="P860" i="5"/>
  <c r="N860" i="5"/>
  <c r="N855" i="5"/>
  <c r="P855" i="5"/>
  <c r="N852" i="5"/>
  <c r="P852" i="5"/>
  <c r="P853" i="5"/>
  <c r="N853" i="5"/>
  <c r="O847" i="5"/>
  <c r="P849" i="5"/>
  <c r="O849" i="5" s="1"/>
  <c r="N850" i="5"/>
  <c r="P850" i="5"/>
  <c r="O839" i="5"/>
  <c r="R846" i="5"/>
  <c r="S846" i="5" s="1"/>
  <c r="U847" i="5"/>
  <c r="V847" i="5" s="1"/>
  <c r="P846" i="5"/>
  <c r="N846" i="5"/>
  <c r="P830" i="5"/>
  <c r="P845" i="5"/>
  <c r="N845" i="5"/>
  <c r="P844" i="5"/>
  <c r="N844" i="5"/>
  <c r="P838" i="5"/>
  <c r="N838" i="5"/>
  <c r="R835" i="5"/>
  <c r="S835" i="5" s="1"/>
  <c r="U839" i="5"/>
  <c r="V839" i="5" s="1"/>
  <c r="N841" i="5"/>
  <c r="P841" i="5"/>
  <c r="O834" i="5"/>
  <c r="P843" i="5"/>
  <c r="N843" i="5"/>
  <c r="U822" i="5"/>
  <c r="V822" i="5" s="1"/>
  <c r="U829" i="5"/>
  <c r="V829" i="5" s="1"/>
  <c r="U837" i="5"/>
  <c r="V837" i="5" s="1"/>
  <c r="N842" i="5"/>
  <c r="P842" i="5"/>
  <c r="P836" i="5"/>
  <c r="N836" i="5"/>
  <c r="N835" i="5"/>
  <c r="P835" i="5"/>
  <c r="O828" i="5"/>
  <c r="L833" i="5"/>
  <c r="P832" i="5"/>
  <c r="N832" i="5"/>
  <c r="P831" i="5"/>
  <c r="N831" i="5"/>
  <c r="O822" i="5"/>
  <c r="P826" i="5"/>
  <c r="U828" i="5"/>
  <c r="V828" i="5" s="1"/>
  <c r="O829" i="5"/>
  <c r="P824" i="5"/>
  <c r="N824" i="5"/>
  <c r="N823" i="5"/>
  <c r="P823" i="5"/>
  <c r="P827" i="5"/>
  <c r="N827" i="5"/>
  <c r="P825" i="5"/>
  <c r="N825" i="5"/>
  <c r="P817" i="5"/>
  <c r="U817" i="5" s="1"/>
  <c r="V817" i="5" s="1"/>
  <c r="P821" i="5"/>
  <c r="N821" i="5"/>
  <c r="N804" i="5"/>
  <c r="U804" i="5" s="1"/>
  <c r="V804" i="5" s="1"/>
  <c r="P810" i="5"/>
  <c r="O810" i="5" s="1"/>
  <c r="P820" i="5"/>
  <c r="N820" i="5"/>
  <c r="P819" i="5"/>
  <c r="N819" i="5"/>
  <c r="N818" i="5"/>
  <c r="P818" i="5"/>
  <c r="O800" i="5"/>
  <c r="U809" i="5"/>
  <c r="V809" i="5" s="1"/>
  <c r="R812" i="5"/>
  <c r="S812" i="5" s="1"/>
  <c r="P816" i="5"/>
  <c r="N816" i="5"/>
  <c r="O814" i="5"/>
  <c r="U814" i="5"/>
  <c r="V814" i="5" s="1"/>
  <c r="O815" i="5"/>
  <c r="U815" i="5"/>
  <c r="V815" i="5" s="1"/>
  <c r="P813" i="5"/>
  <c r="N813" i="5"/>
  <c r="O809" i="5"/>
  <c r="P811" i="5"/>
  <c r="N811" i="5"/>
  <c r="P812" i="5"/>
  <c r="N812" i="5"/>
  <c r="N770" i="5"/>
  <c r="U770" i="5" s="1"/>
  <c r="V770" i="5" s="1"/>
  <c r="P808" i="5"/>
  <c r="N808" i="5"/>
  <c r="O806" i="5"/>
  <c r="U806" i="5"/>
  <c r="V806" i="5" s="1"/>
  <c r="N774" i="5"/>
  <c r="U774" i="5" s="1"/>
  <c r="V774" i="5" s="1"/>
  <c r="P807" i="5"/>
  <c r="N807" i="5"/>
  <c r="N805" i="5"/>
  <c r="P805" i="5"/>
  <c r="O802" i="5"/>
  <c r="U802" i="5"/>
  <c r="V802" i="5" s="1"/>
  <c r="P801" i="5"/>
  <c r="N801" i="5"/>
  <c r="N793" i="5"/>
  <c r="O793" i="5" s="1"/>
  <c r="O803" i="5"/>
  <c r="U803" i="5"/>
  <c r="V803" i="5" s="1"/>
  <c r="P795" i="5"/>
  <c r="P798" i="5"/>
  <c r="N798" i="5"/>
  <c r="O797" i="5"/>
  <c r="U797" i="5"/>
  <c r="V797" i="5" s="1"/>
  <c r="P799" i="5"/>
  <c r="N799" i="5"/>
  <c r="R798" i="5"/>
  <c r="S798" i="5" s="1"/>
  <c r="U800" i="5"/>
  <c r="V800" i="5" s="1"/>
  <c r="P796" i="5"/>
  <c r="N796" i="5"/>
  <c r="P782" i="5"/>
  <c r="O782" i="5" s="1"/>
  <c r="O784" i="5"/>
  <c r="N794" i="5"/>
  <c r="L791" i="5"/>
  <c r="N790" i="5"/>
  <c r="P790" i="5"/>
  <c r="O792" i="5"/>
  <c r="U792" i="5"/>
  <c r="V792" i="5" s="1"/>
  <c r="O785" i="5"/>
  <c r="U789" i="5"/>
  <c r="V789" i="5" s="1"/>
  <c r="O789" i="5"/>
  <c r="N788" i="5"/>
  <c r="P788" i="5"/>
  <c r="N781" i="5"/>
  <c r="P786" i="5"/>
  <c r="N786" i="5"/>
  <c r="P787" i="5"/>
  <c r="N787" i="5"/>
  <c r="P783" i="5"/>
  <c r="N783" i="5"/>
  <c r="U761" i="5"/>
  <c r="V761" i="5" s="1"/>
  <c r="U784" i="5"/>
  <c r="V784" i="5" s="1"/>
  <c r="P768" i="5"/>
  <c r="U785" i="5"/>
  <c r="V785" i="5" s="1"/>
  <c r="P780" i="5"/>
  <c r="N780" i="5"/>
  <c r="U752" i="5"/>
  <c r="V752" i="5" s="1"/>
  <c r="N769" i="5"/>
  <c r="U769" i="5" s="1"/>
  <c r="V769" i="5" s="1"/>
  <c r="L759" i="5"/>
  <c r="P778" i="5"/>
  <c r="N778" i="5"/>
  <c r="P779" i="5"/>
  <c r="N779" i="5"/>
  <c r="U766" i="5"/>
  <c r="V766" i="5" s="1"/>
  <c r="N772" i="5"/>
  <c r="U772" i="5" s="1"/>
  <c r="V772" i="5" s="1"/>
  <c r="N777" i="5"/>
  <c r="P777" i="5"/>
  <c r="R741" i="5"/>
  <c r="S741" i="5" s="1"/>
  <c r="O775" i="5"/>
  <c r="U775" i="5"/>
  <c r="V775" i="5" s="1"/>
  <c r="N776" i="5"/>
  <c r="P776" i="5"/>
  <c r="O761" i="5"/>
  <c r="N760" i="5"/>
  <c r="P760" i="5"/>
  <c r="N763" i="5"/>
  <c r="P763" i="5"/>
  <c r="P762" i="5"/>
  <c r="N762" i="5"/>
  <c r="U734" i="5"/>
  <c r="V734" i="5" s="1"/>
  <c r="O764" i="5"/>
  <c r="U764" i="5"/>
  <c r="V764" i="5" s="1"/>
  <c r="N661" i="5"/>
  <c r="U661" i="5" s="1"/>
  <c r="V661" i="5" s="1"/>
  <c r="N773" i="5"/>
  <c r="P773" i="5"/>
  <c r="N757" i="5"/>
  <c r="P757" i="5"/>
  <c r="L767" i="5"/>
  <c r="L758" i="5"/>
  <c r="N708" i="5"/>
  <c r="U708" i="5" s="1"/>
  <c r="V708" i="5" s="1"/>
  <c r="R763" i="5"/>
  <c r="S763" i="5" s="1"/>
  <c r="N739" i="5"/>
  <c r="O739" i="5" s="1"/>
  <c r="U751" i="5"/>
  <c r="V751" i="5" s="1"/>
  <c r="R760" i="5"/>
  <c r="S760" i="5" s="1"/>
  <c r="U765" i="5"/>
  <c r="V765" i="5" s="1"/>
  <c r="N754" i="5"/>
  <c r="P754" i="5"/>
  <c r="O752" i="5"/>
  <c r="P742" i="5"/>
  <c r="N756" i="5"/>
  <c r="P756" i="5"/>
  <c r="O751" i="5"/>
  <c r="P735" i="5"/>
  <c r="U735" i="5" s="1"/>
  <c r="V735" i="5" s="1"/>
  <c r="N755" i="5"/>
  <c r="P755" i="5"/>
  <c r="P753" i="5"/>
  <c r="N753" i="5"/>
  <c r="O746" i="5"/>
  <c r="U746" i="5"/>
  <c r="V746" i="5" s="1"/>
  <c r="N747" i="5"/>
  <c r="P747" i="5"/>
  <c r="N721" i="5"/>
  <c r="U721" i="5" s="1"/>
  <c r="V721" i="5" s="1"/>
  <c r="O749" i="5"/>
  <c r="U749" i="5"/>
  <c r="V749" i="5" s="1"/>
  <c r="N750" i="5"/>
  <c r="P750" i="5"/>
  <c r="O734" i="5"/>
  <c r="O748" i="5"/>
  <c r="U748" i="5"/>
  <c r="V748" i="5" s="1"/>
  <c r="O745" i="5"/>
  <c r="U745" i="5"/>
  <c r="V745" i="5" s="1"/>
  <c r="L743" i="5"/>
  <c r="N738" i="5"/>
  <c r="P738" i="5"/>
  <c r="P719" i="5"/>
  <c r="O719" i="5" s="1"/>
  <c r="P740" i="5"/>
  <c r="N740" i="5"/>
  <c r="P741" i="5"/>
  <c r="N741" i="5"/>
  <c r="R725" i="5"/>
  <c r="S725" i="5" s="1"/>
  <c r="N736" i="5"/>
  <c r="P736" i="5"/>
  <c r="N737" i="5"/>
  <c r="P737" i="5"/>
  <c r="P744" i="5"/>
  <c r="N744" i="5"/>
  <c r="N729" i="5"/>
  <c r="P729" i="5"/>
  <c r="U724" i="5"/>
  <c r="V724" i="5" s="1"/>
  <c r="N733" i="5"/>
  <c r="P733" i="5"/>
  <c r="R723" i="5"/>
  <c r="S723" i="5" s="1"/>
  <c r="O727" i="5"/>
  <c r="N728" i="5"/>
  <c r="P728" i="5"/>
  <c r="N730" i="5"/>
  <c r="P730" i="5"/>
  <c r="N732" i="5"/>
  <c r="P732" i="5"/>
  <c r="N731" i="5"/>
  <c r="P731" i="5"/>
  <c r="O724" i="5"/>
  <c r="N713" i="5"/>
  <c r="U713" i="5" s="1"/>
  <c r="V713" i="5" s="1"/>
  <c r="L720" i="5"/>
  <c r="P720" i="5" s="1"/>
  <c r="N680" i="5"/>
  <c r="U680" i="5" s="1"/>
  <c r="V680" i="5" s="1"/>
  <c r="R710" i="5"/>
  <c r="S710" i="5" s="1"/>
  <c r="P726" i="5"/>
  <c r="N726" i="5"/>
  <c r="U727" i="5"/>
  <c r="V727" i="5" s="1"/>
  <c r="N725" i="5"/>
  <c r="P725" i="5"/>
  <c r="P710" i="5"/>
  <c r="N710" i="5"/>
  <c r="P723" i="5"/>
  <c r="N723" i="5"/>
  <c r="U612" i="5"/>
  <c r="V612" i="5" s="1"/>
  <c r="U697" i="5"/>
  <c r="V697" i="5" s="1"/>
  <c r="O718" i="5"/>
  <c r="U718" i="5"/>
  <c r="V718" i="5" s="1"/>
  <c r="U722" i="5"/>
  <c r="V722" i="5" s="1"/>
  <c r="O722" i="5"/>
  <c r="R692" i="5"/>
  <c r="S692" i="5" s="1"/>
  <c r="N695" i="5"/>
  <c r="U695" i="5" s="1"/>
  <c r="V695" i="5" s="1"/>
  <c r="O716" i="5"/>
  <c r="U716" i="5"/>
  <c r="V716" i="5" s="1"/>
  <c r="P715" i="5"/>
  <c r="N715" i="5"/>
  <c r="O717" i="5"/>
  <c r="U717" i="5"/>
  <c r="V717" i="5" s="1"/>
  <c r="N709" i="5"/>
  <c r="P709" i="5"/>
  <c r="N693" i="5"/>
  <c r="O693" i="5" s="1"/>
  <c r="R709" i="5"/>
  <c r="S709" i="5" s="1"/>
  <c r="L700" i="5"/>
  <c r="P714" i="5"/>
  <c r="N714" i="5"/>
  <c r="N687" i="5"/>
  <c r="O687" i="5" s="1"/>
  <c r="O659" i="5"/>
  <c r="O712" i="5"/>
  <c r="R705" i="5"/>
  <c r="S705" i="5" s="1"/>
  <c r="N664" i="5"/>
  <c r="U664" i="5" s="1"/>
  <c r="V664" i="5" s="1"/>
  <c r="N674" i="5"/>
  <c r="O674" i="5" s="1"/>
  <c r="N711" i="5"/>
  <c r="P711" i="5"/>
  <c r="P694" i="5"/>
  <c r="L699" i="5"/>
  <c r="P699" i="5" s="1"/>
  <c r="O707" i="5"/>
  <c r="U707" i="5"/>
  <c r="V707" i="5" s="1"/>
  <c r="N673" i="5"/>
  <c r="O673" i="5" s="1"/>
  <c r="L701" i="5"/>
  <c r="U712" i="5"/>
  <c r="V712" i="5" s="1"/>
  <c r="O703" i="5"/>
  <c r="U703" i="5"/>
  <c r="V703" i="5" s="1"/>
  <c r="N672" i="5"/>
  <c r="O672" i="5" s="1"/>
  <c r="P706" i="5"/>
  <c r="N706" i="5"/>
  <c r="O697" i="5"/>
  <c r="U669" i="5"/>
  <c r="V669" i="5" s="1"/>
  <c r="P705" i="5"/>
  <c r="N705" i="5"/>
  <c r="N702" i="5"/>
  <c r="P702" i="5"/>
  <c r="R679" i="5"/>
  <c r="S679" i="5" s="1"/>
  <c r="L698" i="5"/>
  <c r="O704" i="5"/>
  <c r="U704" i="5"/>
  <c r="V704" i="5" s="1"/>
  <c r="P691" i="5"/>
  <c r="N691" i="5"/>
  <c r="N692" i="5"/>
  <c r="P692" i="5"/>
  <c r="U662" i="5"/>
  <c r="V662" i="5" s="1"/>
  <c r="R691" i="5"/>
  <c r="S691" i="5" s="1"/>
  <c r="P696" i="5"/>
  <c r="N696" i="5"/>
  <c r="P688" i="5"/>
  <c r="N688" i="5"/>
  <c r="U659" i="5"/>
  <c r="V659" i="5" s="1"/>
  <c r="O689" i="5"/>
  <c r="U689" i="5"/>
  <c r="V689" i="5" s="1"/>
  <c r="O678" i="5"/>
  <c r="O690" i="5"/>
  <c r="U666" i="5"/>
  <c r="V666" i="5" s="1"/>
  <c r="R681" i="5"/>
  <c r="S681" i="5" s="1"/>
  <c r="O683" i="5"/>
  <c r="O686" i="5"/>
  <c r="U686" i="5"/>
  <c r="V686" i="5" s="1"/>
  <c r="O685" i="5"/>
  <c r="U685" i="5"/>
  <c r="V685" i="5" s="1"/>
  <c r="P663" i="5"/>
  <c r="N663" i="5"/>
  <c r="O684" i="5"/>
  <c r="U684" i="5"/>
  <c r="V684" i="5" s="1"/>
  <c r="N665" i="5"/>
  <c r="U665" i="5" s="1"/>
  <c r="V665" i="5" s="1"/>
  <c r="U670" i="5"/>
  <c r="V670" i="5" s="1"/>
  <c r="O662" i="5"/>
  <c r="O660" i="5"/>
  <c r="N681" i="5"/>
  <c r="P681" i="5"/>
  <c r="P671" i="5"/>
  <c r="N671" i="5"/>
  <c r="P682" i="5"/>
  <c r="N682" i="5"/>
  <c r="U683" i="5"/>
  <c r="V683" i="5" s="1"/>
  <c r="P679" i="5"/>
  <c r="N679" i="5"/>
  <c r="N675" i="5"/>
  <c r="P675" i="5"/>
  <c r="U641" i="5"/>
  <c r="V641" i="5" s="1"/>
  <c r="O676" i="5"/>
  <c r="U676" i="5"/>
  <c r="V676" i="5" s="1"/>
  <c r="R675" i="5"/>
  <c r="S675" i="5" s="1"/>
  <c r="U677" i="5"/>
  <c r="V677" i="5" s="1"/>
  <c r="O670" i="5"/>
  <c r="O666" i="5"/>
  <c r="N657" i="5"/>
  <c r="O657" i="5" s="1"/>
  <c r="P668" i="5"/>
  <c r="N668" i="5"/>
  <c r="U651" i="5"/>
  <c r="V651" i="5" s="1"/>
  <c r="P667" i="5"/>
  <c r="N667" i="5"/>
  <c r="O644" i="5"/>
  <c r="N658" i="5"/>
  <c r="N654" i="5"/>
  <c r="P654" i="5"/>
  <c r="O656" i="5"/>
  <c r="U656" i="5"/>
  <c r="V656" i="5" s="1"/>
  <c r="O655" i="5"/>
  <c r="U655" i="5"/>
  <c r="V655" i="5" s="1"/>
  <c r="U606" i="5"/>
  <c r="V606" i="5" s="1"/>
  <c r="P653" i="5"/>
  <c r="N653" i="5"/>
  <c r="R654" i="5"/>
  <c r="S654" i="5" s="1"/>
  <c r="R635" i="5"/>
  <c r="S635" i="5" s="1"/>
  <c r="R652" i="5"/>
  <c r="S652" i="5" s="1"/>
  <c r="O649" i="5"/>
  <c r="P647" i="5"/>
  <c r="N647" i="5"/>
  <c r="N648" i="5"/>
  <c r="P648" i="5"/>
  <c r="P652" i="5"/>
  <c r="N652" i="5"/>
  <c r="R605" i="5"/>
  <c r="S605" i="5" s="1"/>
  <c r="L634" i="5"/>
  <c r="N634" i="5" s="1"/>
  <c r="U640" i="5"/>
  <c r="V640" i="5" s="1"/>
  <c r="R647" i="5"/>
  <c r="S647" i="5" s="1"/>
  <c r="N646" i="5"/>
  <c r="P646" i="5"/>
  <c r="L617" i="5"/>
  <c r="P617" i="5" s="1"/>
  <c r="N645" i="5"/>
  <c r="P645" i="5"/>
  <c r="R604" i="5"/>
  <c r="S604" i="5" s="1"/>
  <c r="U644" i="5"/>
  <c r="V644" i="5" s="1"/>
  <c r="U649" i="5"/>
  <c r="V649" i="5" s="1"/>
  <c r="U650" i="5"/>
  <c r="V650" i="5" s="1"/>
  <c r="R648" i="5"/>
  <c r="S648" i="5" s="1"/>
  <c r="P633" i="5"/>
  <c r="N633" i="5"/>
  <c r="U632" i="5"/>
  <c r="V632" i="5" s="1"/>
  <c r="O614" i="5"/>
  <c r="L603" i="5"/>
  <c r="P643" i="5"/>
  <c r="N643" i="5"/>
  <c r="U614" i="5"/>
  <c r="V614" i="5" s="1"/>
  <c r="P642" i="5"/>
  <c r="N642" i="5"/>
  <c r="O602" i="5"/>
  <c r="N636" i="5"/>
  <c r="P636" i="5"/>
  <c r="O638" i="5"/>
  <c r="U638" i="5"/>
  <c r="V638" i="5" s="1"/>
  <c r="O639" i="5"/>
  <c r="U639" i="5"/>
  <c r="V639" i="5" s="1"/>
  <c r="U637" i="5"/>
  <c r="V637" i="5" s="1"/>
  <c r="O637" i="5"/>
  <c r="O640" i="5"/>
  <c r="O641" i="5"/>
  <c r="P616" i="5"/>
  <c r="N616" i="5"/>
  <c r="P605" i="5"/>
  <c r="N605" i="5"/>
  <c r="P629" i="5"/>
  <c r="N629" i="5"/>
  <c r="P604" i="5"/>
  <c r="N604" i="5"/>
  <c r="P601" i="5"/>
  <c r="N601" i="5"/>
  <c r="R616" i="5"/>
  <c r="S616" i="5" s="1"/>
  <c r="O612" i="5"/>
  <c r="N607" i="5"/>
  <c r="P607" i="5"/>
  <c r="O606" i="5"/>
  <c r="O628" i="5"/>
  <c r="U628" i="5"/>
  <c r="V628" i="5" s="1"/>
  <c r="N618" i="5"/>
  <c r="P618" i="5"/>
  <c r="N620" i="5"/>
  <c r="P620" i="5"/>
  <c r="O619" i="5"/>
  <c r="U619" i="5"/>
  <c r="V619" i="5" s="1"/>
  <c r="N611" i="5"/>
  <c r="P611" i="5"/>
  <c r="N624" i="5"/>
  <c r="P624" i="5"/>
  <c r="O615" i="5"/>
  <c r="U602" i="5"/>
  <c r="V602" i="5" s="1"/>
  <c r="O630" i="5"/>
  <c r="U630" i="5"/>
  <c r="V630" i="5" s="1"/>
  <c r="P623" i="5"/>
  <c r="N623" i="5"/>
  <c r="N613" i="5"/>
  <c r="P613" i="5"/>
  <c r="N631" i="5"/>
  <c r="P631" i="5"/>
  <c r="P635" i="5"/>
  <c r="N635" i="5"/>
  <c r="N609" i="5"/>
  <c r="P609" i="5"/>
  <c r="R629" i="5"/>
  <c r="S629" i="5" s="1"/>
  <c r="U615" i="5"/>
  <c r="V615" i="5" s="1"/>
  <c r="P608" i="5"/>
  <c r="N608" i="5"/>
  <c r="O610" i="5"/>
  <c r="U610" i="5"/>
  <c r="V610" i="5" s="1"/>
  <c r="N600" i="5"/>
  <c r="P600" i="5"/>
  <c r="N625" i="5"/>
  <c r="P625" i="5"/>
  <c r="N626" i="5"/>
  <c r="P626" i="5"/>
  <c r="O632" i="5"/>
  <c r="N621" i="5"/>
  <c r="P621" i="5"/>
  <c r="N622" i="5"/>
  <c r="P622" i="5"/>
  <c r="O627" i="5"/>
  <c r="U627" i="5"/>
  <c r="V627" i="5" s="1"/>
  <c r="O598" i="5"/>
  <c r="U598" i="5"/>
  <c r="V598" i="5" s="1"/>
  <c r="O594" i="5"/>
  <c r="N597" i="5"/>
  <c r="P597" i="5"/>
  <c r="O599" i="5"/>
  <c r="U599" i="5"/>
  <c r="V599" i="5" s="1"/>
  <c r="O593" i="5"/>
  <c r="U593" i="5"/>
  <c r="V593" i="5" s="1"/>
  <c r="P596" i="5"/>
  <c r="N596" i="5"/>
  <c r="R513" i="5"/>
  <c r="S513" i="5" s="1"/>
  <c r="L595" i="5"/>
  <c r="U594" i="5"/>
  <c r="V594" i="5" s="1"/>
  <c r="N561" i="5"/>
  <c r="N524" i="5"/>
  <c r="N475" i="5"/>
  <c r="R516" i="5"/>
  <c r="S516" i="5" s="1"/>
  <c r="R485" i="5"/>
  <c r="S485" i="5" s="1"/>
  <c r="R582" i="5"/>
  <c r="S582" i="5" s="1"/>
  <c r="R562" i="5"/>
  <c r="S562" i="5" s="1"/>
  <c r="L586" i="5"/>
  <c r="N586" i="5" s="1"/>
  <c r="N518" i="5"/>
  <c r="R543" i="5"/>
  <c r="S543" i="5" s="1"/>
  <c r="R591" i="5"/>
  <c r="S591" i="5" s="1"/>
  <c r="O585" i="5"/>
  <c r="R589" i="5"/>
  <c r="S589" i="5" s="1"/>
  <c r="E18" i="12"/>
  <c r="E32" i="12"/>
  <c r="E25" i="12"/>
  <c r="L589" i="5"/>
  <c r="P589" i="5" s="1"/>
  <c r="U590" i="5"/>
  <c r="V590" i="5" s="1"/>
  <c r="N592" i="5"/>
  <c r="P592" i="5"/>
  <c r="P591" i="5"/>
  <c r="N591" i="5"/>
  <c r="L582" i="5"/>
  <c r="P582" i="5" s="1"/>
  <c r="O590" i="5"/>
  <c r="U588" i="5"/>
  <c r="V588" i="5" s="1"/>
  <c r="R592" i="5"/>
  <c r="S592" i="5" s="1"/>
  <c r="P575" i="5"/>
  <c r="O575" i="5" s="1"/>
  <c r="P587" i="5"/>
  <c r="N587" i="5"/>
  <c r="U585" i="5"/>
  <c r="V585" i="5" s="1"/>
  <c r="O581" i="5"/>
  <c r="O588" i="5"/>
  <c r="N579" i="5"/>
  <c r="P579" i="5"/>
  <c r="N578" i="5"/>
  <c r="P578" i="5"/>
  <c r="P561" i="5"/>
  <c r="N577" i="5"/>
  <c r="P577" i="5"/>
  <c r="O576" i="5"/>
  <c r="U576" i="5"/>
  <c r="V576" i="5" s="1"/>
  <c r="O565" i="5"/>
  <c r="L573" i="5"/>
  <c r="P573" i="5" s="1"/>
  <c r="P583" i="5"/>
  <c r="N583" i="5"/>
  <c r="O584" i="5"/>
  <c r="U584" i="5"/>
  <c r="V584" i="5" s="1"/>
  <c r="N580" i="5"/>
  <c r="P580" i="5"/>
  <c r="U581" i="5"/>
  <c r="V581" i="5" s="1"/>
  <c r="U574" i="5"/>
  <c r="V574" i="5" s="1"/>
  <c r="O540" i="5"/>
  <c r="O569" i="5"/>
  <c r="P567" i="5"/>
  <c r="O567" i="5" s="1"/>
  <c r="N560" i="5"/>
  <c r="U560" i="5" s="1"/>
  <c r="V560" i="5" s="1"/>
  <c r="O571" i="5"/>
  <c r="U571" i="5"/>
  <c r="V571" i="5" s="1"/>
  <c r="P572" i="5"/>
  <c r="N572" i="5"/>
  <c r="L566" i="5"/>
  <c r="N566" i="5" s="1"/>
  <c r="O574" i="5"/>
  <c r="R572" i="5"/>
  <c r="S572" i="5" s="1"/>
  <c r="P568" i="5"/>
  <c r="N568" i="5"/>
  <c r="N563" i="5"/>
  <c r="U563" i="5" s="1"/>
  <c r="V563" i="5" s="1"/>
  <c r="U569" i="5"/>
  <c r="V569" i="5" s="1"/>
  <c r="N570" i="5"/>
  <c r="P570" i="5"/>
  <c r="P564" i="5"/>
  <c r="N564" i="5"/>
  <c r="R564" i="5"/>
  <c r="S564" i="5" s="1"/>
  <c r="O541" i="5"/>
  <c r="U565" i="5"/>
  <c r="V565" i="5" s="1"/>
  <c r="L562" i="5"/>
  <c r="R551" i="5"/>
  <c r="S551" i="5" s="1"/>
  <c r="R542" i="5"/>
  <c r="S542" i="5" s="1"/>
  <c r="P559" i="5"/>
  <c r="N559" i="5"/>
  <c r="O547" i="5"/>
  <c r="N552" i="5"/>
  <c r="O552" i="5" s="1"/>
  <c r="N556" i="5"/>
  <c r="P556" i="5"/>
  <c r="O557" i="5"/>
  <c r="U557" i="5"/>
  <c r="V557" i="5" s="1"/>
  <c r="P558" i="5"/>
  <c r="N558" i="5"/>
  <c r="U529" i="5"/>
  <c r="V529" i="5" s="1"/>
  <c r="O555" i="5"/>
  <c r="U555" i="5"/>
  <c r="V555" i="5" s="1"/>
  <c r="N553" i="5"/>
  <c r="P553" i="5"/>
  <c r="O548" i="5"/>
  <c r="N554" i="5"/>
  <c r="P554" i="5"/>
  <c r="P551" i="5"/>
  <c r="N551" i="5"/>
  <c r="P550" i="5"/>
  <c r="N550" i="5"/>
  <c r="U540" i="5"/>
  <c r="V540" i="5" s="1"/>
  <c r="P549" i="5"/>
  <c r="N549" i="5"/>
  <c r="U547" i="5"/>
  <c r="V547" i="5" s="1"/>
  <c r="N542" i="5"/>
  <c r="P542" i="5"/>
  <c r="O520" i="5"/>
  <c r="N535" i="5"/>
  <c r="U545" i="5"/>
  <c r="V545" i="5" s="1"/>
  <c r="O545" i="5"/>
  <c r="N544" i="5"/>
  <c r="P544" i="5"/>
  <c r="L543" i="5"/>
  <c r="O536" i="5"/>
  <c r="U541" i="5"/>
  <c r="V541" i="5" s="1"/>
  <c r="O546" i="5"/>
  <c r="U546" i="5"/>
  <c r="V546" i="5" s="1"/>
  <c r="U548" i="5"/>
  <c r="V548" i="5" s="1"/>
  <c r="O537" i="5"/>
  <c r="U537" i="5"/>
  <c r="V537" i="5" s="1"/>
  <c r="U536" i="5"/>
  <c r="V536" i="5" s="1"/>
  <c r="O495" i="5"/>
  <c r="N539" i="5"/>
  <c r="P539" i="5"/>
  <c r="N538" i="5"/>
  <c r="P538" i="5"/>
  <c r="O515" i="5"/>
  <c r="P524" i="5"/>
  <c r="O528" i="5"/>
  <c r="N532" i="5"/>
  <c r="P532" i="5"/>
  <c r="O533" i="5"/>
  <c r="U533" i="5"/>
  <c r="V533" i="5" s="1"/>
  <c r="O534" i="5"/>
  <c r="U534" i="5"/>
  <c r="V534" i="5" s="1"/>
  <c r="O514" i="5"/>
  <c r="N523" i="5"/>
  <c r="P523" i="5"/>
  <c r="P518" i="5"/>
  <c r="P530" i="5"/>
  <c r="N530" i="5"/>
  <c r="O525" i="5"/>
  <c r="U525" i="5"/>
  <c r="V525" i="5" s="1"/>
  <c r="O529" i="5"/>
  <c r="R512" i="5"/>
  <c r="S512" i="5" s="1"/>
  <c r="U528" i="5"/>
  <c r="V528" i="5" s="1"/>
  <c r="P531" i="5"/>
  <c r="N531" i="5"/>
  <c r="O526" i="5"/>
  <c r="U526" i="5"/>
  <c r="V526" i="5" s="1"/>
  <c r="N527" i="5"/>
  <c r="P527" i="5"/>
  <c r="U522" i="5"/>
  <c r="V522" i="5" s="1"/>
  <c r="O522" i="5"/>
  <c r="N521" i="5"/>
  <c r="P521" i="5"/>
  <c r="U520" i="5"/>
  <c r="V520" i="5" s="1"/>
  <c r="U514" i="5"/>
  <c r="V514" i="5" s="1"/>
  <c r="P519" i="5"/>
  <c r="N519" i="5"/>
  <c r="L513" i="5"/>
  <c r="P517" i="5"/>
  <c r="N517" i="5"/>
  <c r="L516" i="5"/>
  <c r="N516" i="5" s="1"/>
  <c r="R510" i="5"/>
  <c r="S510" i="5" s="1"/>
  <c r="N512" i="5"/>
  <c r="P512" i="5"/>
  <c r="N511" i="5"/>
  <c r="P511" i="5"/>
  <c r="P509" i="5"/>
  <c r="N509" i="5"/>
  <c r="P510" i="5"/>
  <c r="N510" i="5"/>
  <c r="U479" i="5"/>
  <c r="V479" i="5" s="1"/>
  <c r="P497" i="5"/>
  <c r="O497" i="5" s="1"/>
  <c r="R509" i="5"/>
  <c r="S509" i="5" s="1"/>
  <c r="R500" i="5"/>
  <c r="S500" i="5" s="1"/>
  <c r="O507" i="5"/>
  <c r="U507" i="5"/>
  <c r="V507" i="5" s="1"/>
  <c r="N508" i="5"/>
  <c r="P508" i="5"/>
  <c r="O479" i="5"/>
  <c r="P475" i="5"/>
  <c r="P472" i="5"/>
  <c r="U472" i="5" s="1"/>
  <c r="V472" i="5" s="1"/>
  <c r="N506" i="5"/>
  <c r="P506" i="5"/>
  <c r="O504" i="5"/>
  <c r="U504" i="5"/>
  <c r="V504" i="5" s="1"/>
  <c r="R476" i="5"/>
  <c r="S476" i="5" s="1"/>
  <c r="N505" i="5"/>
  <c r="P505" i="5"/>
  <c r="N503" i="5"/>
  <c r="P503" i="5"/>
  <c r="U499" i="5"/>
  <c r="V499" i="5" s="1"/>
  <c r="O502" i="5"/>
  <c r="O484" i="5"/>
  <c r="L485" i="5"/>
  <c r="N485" i="5" s="1"/>
  <c r="O486" i="5"/>
  <c r="U502" i="5"/>
  <c r="V502" i="5" s="1"/>
  <c r="N478" i="5"/>
  <c r="U478" i="5" s="1"/>
  <c r="V478" i="5" s="1"/>
  <c r="U486" i="5"/>
  <c r="V486" i="5" s="1"/>
  <c r="O499" i="5"/>
  <c r="P501" i="5"/>
  <c r="N501" i="5"/>
  <c r="N500" i="5"/>
  <c r="P500" i="5"/>
  <c r="N493" i="5"/>
  <c r="P493" i="5"/>
  <c r="N496" i="5"/>
  <c r="P496" i="5"/>
  <c r="P494" i="5"/>
  <c r="N494" i="5"/>
  <c r="O454" i="5"/>
  <c r="P498" i="5"/>
  <c r="N498" i="5"/>
  <c r="O490" i="5"/>
  <c r="U490" i="5"/>
  <c r="V490" i="5" s="1"/>
  <c r="P473" i="5"/>
  <c r="U473" i="5" s="1"/>
  <c r="V473" i="5" s="1"/>
  <c r="N487" i="5"/>
  <c r="P487" i="5"/>
  <c r="N491" i="5"/>
  <c r="P491" i="5"/>
  <c r="P489" i="5"/>
  <c r="N489" i="5"/>
  <c r="U458" i="5"/>
  <c r="V458" i="5" s="1"/>
  <c r="P492" i="5"/>
  <c r="N492" i="5"/>
  <c r="N488" i="5"/>
  <c r="P488" i="5"/>
  <c r="U495" i="5"/>
  <c r="V495" i="5" s="1"/>
  <c r="P481" i="5"/>
  <c r="N481" i="5"/>
  <c r="N476" i="5"/>
  <c r="P476" i="5"/>
  <c r="O462" i="5"/>
  <c r="P461" i="5"/>
  <c r="O461" i="5" s="1"/>
  <c r="L466" i="5"/>
  <c r="P466" i="5" s="1"/>
  <c r="P483" i="5"/>
  <c r="N483" i="5"/>
  <c r="O469" i="5"/>
  <c r="U469" i="5"/>
  <c r="V469" i="5" s="1"/>
  <c r="N480" i="5"/>
  <c r="P480" i="5"/>
  <c r="P471" i="5"/>
  <c r="N471" i="5"/>
  <c r="U484" i="5"/>
  <c r="V484" i="5" s="1"/>
  <c r="N470" i="5"/>
  <c r="P470" i="5"/>
  <c r="P482" i="5"/>
  <c r="N482" i="5"/>
  <c r="N468" i="5"/>
  <c r="P468" i="5"/>
  <c r="P477" i="5"/>
  <c r="N477" i="5"/>
  <c r="N474" i="5"/>
  <c r="P474" i="5"/>
  <c r="N467" i="5"/>
  <c r="P467" i="5"/>
  <c r="R467" i="5"/>
  <c r="S467" i="5" s="1"/>
  <c r="L459" i="5"/>
  <c r="N459" i="5" s="1"/>
  <c r="U465" i="5"/>
  <c r="V465" i="5" s="1"/>
  <c r="N447" i="5"/>
  <c r="O447" i="5" s="1"/>
  <c r="P446" i="5"/>
  <c r="N446" i="5"/>
  <c r="P444" i="5"/>
  <c r="O444" i="5" s="1"/>
  <c r="R446" i="5"/>
  <c r="S446" i="5" s="1"/>
  <c r="U462" i="5"/>
  <c r="V462" i="5" s="1"/>
  <c r="L463" i="5"/>
  <c r="O465" i="5"/>
  <c r="P464" i="5"/>
  <c r="N464" i="5"/>
  <c r="N450" i="5"/>
  <c r="O450" i="5" s="1"/>
  <c r="P453" i="5"/>
  <c r="O453" i="5" s="1"/>
  <c r="P460" i="5"/>
  <c r="N460" i="5"/>
  <c r="N457" i="5"/>
  <c r="O457" i="5" s="1"/>
  <c r="O458" i="5"/>
  <c r="N455" i="5"/>
  <c r="P455" i="5"/>
  <c r="P288" i="5"/>
  <c r="O288" i="5" s="1"/>
  <c r="U454" i="5"/>
  <c r="V454" i="5" s="1"/>
  <c r="R455" i="5"/>
  <c r="S455" i="5" s="1"/>
  <c r="N395" i="5"/>
  <c r="U395" i="5" s="1"/>
  <c r="V395" i="5" s="1"/>
  <c r="O452" i="5"/>
  <c r="P456" i="5"/>
  <c r="N456" i="5"/>
  <c r="O442" i="5"/>
  <c r="O448" i="5"/>
  <c r="U452" i="5"/>
  <c r="V452" i="5" s="1"/>
  <c r="P445" i="5"/>
  <c r="N445" i="5"/>
  <c r="N282" i="5"/>
  <c r="O282" i="5" s="1"/>
  <c r="U443" i="5"/>
  <c r="V443" i="5" s="1"/>
  <c r="P451" i="5"/>
  <c r="N451" i="5"/>
  <c r="N382" i="5"/>
  <c r="O382" i="5" s="1"/>
  <c r="U449" i="5"/>
  <c r="V449" i="5" s="1"/>
  <c r="O443" i="5"/>
  <c r="R451" i="5"/>
  <c r="S451" i="5" s="1"/>
  <c r="U448" i="5"/>
  <c r="V448" i="5" s="1"/>
  <c r="R358" i="5"/>
  <c r="S358" i="5" s="1"/>
  <c r="O449" i="5"/>
  <c r="R260" i="5"/>
  <c r="S260" i="5" s="1"/>
  <c r="N388" i="5"/>
  <c r="O388" i="5" s="1"/>
  <c r="P326" i="5"/>
  <c r="N379" i="5"/>
  <c r="U379" i="5" s="1"/>
  <c r="V379" i="5" s="1"/>
  <c r="N373" i="5"/>
  <c r="O373" i="5" s="1"/>
  <c r="E41" i="12"/>
  <c r="E9" i="12"/>
  <c r="E15" i="12"/>
  <c r="E8" i="12"/>
  <c r="R307" i="5"/>
  <c r="S307" i="5" s="1"/>
  <c r="P241" i="5"/>
  <c r="U241" i="5" s="1"/>
  <c r="V241" i="5" s="1"/>
  <c r="E10" i="12"/>
  <c r="U418" i="5"/>
  <c r="V418" i="5" s="1"/>
  <c r="R301" i="5"/>
  <c r="S301" i="5" s="1"/>
  <c r="R407" i="5"/>
  <c r="S407" i="5" s="1"/>
  <c r="R414" i="5"/>
  <c r="S414" i="5" s="1"/>
  <c r="R286" i="5"/>
  <c r="S286" i="5" s="1"/>
  <c r="N242" i="5"/>
  <c r="U242" i="5" s="1"/>
  <c r="V242" i="5" s="1"/>
  <c r="P404" i="5"/>
  <c r="U404" i="5" s="1"/>
  <c r="V404" i="5" s="1"/>
  <c r="N259" i="5"/>
  <c r="O259" i="5" s="1"/>
  <c r="P387" i="5"/>
  <c r="O387" i="5" s="1"/>
  <c r="N347" i="5"/>
  <c r="N302" i="5"/>
  <c r="U302" i="5" s="1"/>
  <c r="V302" i="5" s="1"/>
  <c r="P347" i="5"/>
  <c r="N421" i="5"/>
  <c r="R311" i="5"/>
  <c r="S311" i="5" s="1"/>
  <c r="N308" i="5"/>
  <c r="U308" i="5" s="1"/>
  <c r="V308" i="5" s="1"/>
  <c r="N412" i="5"/>
  <c r="O305" i="5"/>
  <c r="N426" i="5"/>
  <c r="O426" i="5" s="1"/>
  <c r="N433" i="5"/>
  <c r="U433" i="5" s="1"/>
  <c r="V433" i="5" s="1"/>
  <c r="U320" i="5"/>
  <c r="V320" i="5" s="1"/>
  <c r="N399" i="5"/>
  <c r="R415" i="5"/>
  <c r="S415" i="5" s="1"/>
  <c r="O390" i="5"/>
  <c r="N425" i="5"/>
  <c r="O425" i="5" s="1"/>
  <c r="O239" i="5"/>
  <c r="P301" i="5"/>
  <c r="N301" i="5"/>
  <c r="L248" i="5"/>
  <c r="N248" i="5" s="1"/>
  <c r="N331" i="5"/>
  <c r="U331" i="5" s="1"/>
  <c r="V331" i="5" s="1"/>
  <c r="N346" i="5"/>
  <c r="R313" i="5"/>
  <c r="S313" i="5" s="1"/>
  <c r="O240" i="5"/>
  <c r="N432" i="5"/>
  <c r="O432" i="5" s="1"/>
  <c r="R369" i="5"/>
  <c r="S369" i="5" s="1"/>
  <c r="O345" i="5"/>
  <c r="N322" i="5"/>
  <c r="P369" i="5"/>
  <c r="N369" i="5"/>
  <c r="N293" i="5"/>
  <c r="N297" i="5"/>
  <c r="O297" i="5" s="1"/>
  <c r="P421" i="5"/>
  <c r="P346" i="5"/>
  <c r="N310" i="5"/>
  <c r="U310" i="5" s="1"/>
  <c r="V310" i="5" s="1"/>
  <c r="N283" i="5"/>
  <c r="U283" i="5" s="1"/>
  <c r="V283" i="5" s="1"/>
  <c r="U437" i="5"/>
  <c r="V437" i="5" s="1"/>
  <c r="R277" i="5"/>
  <c r="S277" i="5" s="1"/>
  <c r="N274" i="5"/>
  <c r="O274" i="5" s="1"/>
  <c r="N424" i="5"/>
  <c r="O424" i="5" s="1"/>
  <c r="U327" i="5"/>
  <c r="V327" i="5" s="1"/>
  <c r="N328" i="5"/>
  <c r="O328" i="5" s="1"/>
  <c r="R317" i="5"/>
  <c r="S317" i="5" s="1"/>
  <c r="R304" i="5"/>
  <c r="S304" i="5" s="1"/>
  <c r="L415" i="5"/>
  <c r="N415" i="5" s="1"/>
  <c r="N411" i="5"/>
  <c r="L408" i="5"/>
  <c r="L403" i="5"/>
  <c r="R381" i="5"/>
  <c r="S381" i="5" s="1"/>
  <c r="R377" i="5"/>
  <c r="S377" i="5" s="1"/>
  <c r="L358" i="5"/>
  <c r="N358" i="5" s="1"/>
  <c r="R354" i="5"/>
  <c r="S354" i="5" s="1"/>
  <c r="R351" i="5"/>
  <c r="S351" i="5" s="1"/>
  <c r="N343" i="5"/>
  <c r="R332" i="5"/>
  <c r="S332" i="5" s="1"/>
  <c r="R325" i="5"/>
  <c r="S325" i="5" s="1"/>
  <c r="P318" i="5"/>
  <c r="N318" i="5"/>
  <c r="R318" i="5"/>
  <c r="S318" i="5" s="1"/>
  <c r="O320" i="5"/>
  <c r="P306" i="5"/>
  <c r="O306" i="5" s="1"/>
  <c r="P304" i="5"/>
  <c r="N304" i="5"/>
  <c r="N303" i="5"/>
  <c r="P303" i="5"/>
  <c r="L286" i="5"/>
  <c r="N286" i="5" s="1"/>
  <c r="R243" i="5"/>
  <c r="S243" i="5" s="1"/>
  <c r="P243" i="5"/>
  <c r="N243" i="5"/>
  <c r="P354" i="5"/>
  <c r="N354" i="5"/>
  <c r="P407" i="5"/>
  <c r="N407" i="5"/>
  <c r="L357" i="5"/>
  <c r="N357" i="5" s="1"/>
  <c r="R422" i="5"/>
  <c r="S422" i="5" s="1"/>
  <c r="N400" i="5"/>
  <c r="O400" i="5" s="1"/>
  <c r="R428" i="5"/>
  <c r="S428" i="5" s="1"/>
  <c r="P367" i="5"/>
  <c r="O367" i="5" s="1"/>
  <c r="R410" i="5"/>
  <c r="S410" i="5" s="1"/>
  <c r="R349" i="5"/>
  <c r="S349" i="5" s="1"/>
  <c r="O418" i="5"/>
  <c r="O393" i="5"/>
  <c r="U364" i="5"/>
  <c r="V364" i="5" s="1"/>
  <c r="L307" i="5"/>
  <c r="N307" i="5" s="1"/>
  <c r="P439" i="5"/>
  <c r="N439" i="5"/>
  <c r="U401" i="5"/>
  <c r="V401" i="5" s="1"/>
  <c r="R252" i="5"/>
  <c r="S252" i="5" s="1"/>
  <c r="N363" i="5"/>
  <c r="R280" i="5"/>
  <c r="S280" i="5" s="1"/>
  <c r="L260" i="5"/>
  <c r="N260" i="5" s="1"/>
  <c r="N423" i="5"/>
  <c r="N405" i="5"/>
  <c r="N394" i="5"/>
  <c r="N396" i="5"/>
  <c r="R293" i="5"/>
  <c r="S293" i="5" s="1"/>
  <c r="U342" i="5"/>
  <c r="V342" i="5" s="1"/>
  <c r="U371" i="5"/>
  <c r="V371" i="5" s="1"/>
  <c r="U384" i="5"/>
  <c r="V384" i="5" s="1"/>
  <c r="O437" i="5"/>
  <c r="U239" i="5"/>
  <c r="V239" i="5" s="1"/>
  <c r="U429" i="5"/>
  <c r="V429" i="5" s="1"/>
  <c r="R245" i="5"/>
  <c r="S245" i="5" s="1"/>
  <c r="U240" i="5"/>
  <c r="V240" i="5" s="1"/>
  <c r="P292" i="5"/>
  <c r="N292" i="5"/>
  <c r="N436" i="5"/>
  <c r="P436" i="5"/>
  <c r="N332" i="5"/>
  <c r="P332" i="5"/>
  <c r="N441" i="5"/>
  <c r="P441" i="5"/>
  <c r="N295" i="5"/>
  <c r="P295" i="5"/>
  <c r="N362" i="5"/>
  <c r="P362" i="5"/>
  <c r="N349" i="5"/>
  <c r="P349" i="5"/>
  <c r="P289" i="5"/>
  <c r="N289" i="5"/>
  <c r="N410" i="5"/>
  <c r="P410" i="5"/>
  <c r="P435" i="5"/>
  <c r="N435" i="5"/>
  <c r="N430" i="5"/>
  <c r="P430" i="5"/>
  <c r="N262" i="5"/>
  <c r="P262" i="5"/>
  <c r="N329" i="5"/>
  <c r="P329" i="5"/>
  <c r="P252" i="5"/>
  <c r="N252" i="5"/>
  <c r="N376" i="5"/>
  <c r="P376" i="5"/>
  <c r="P413" i="5"/>
  <c r="N413" i="5"/>
  <c r="P438" i="5"/>
  <c r="N438" i="5"/>
  <c r="O337" i="5"/>
  <c r="U337" i="5"/>
  <c r="V337" i="5" s="1"/>
  <c r="N317" i="5"/>
  <c r="P317" i="5"/>
  <c r="N290" i="5"/>
  <c r="P290" i="5"/>
  <c r="N386" i="5"/>
  <c r="P386" i="5"/>
  <c r="N427" i="5"/>
  <c r="P427" i="5"/>
  <c r="R436" i="5"/>
  <c r="S436" i="5" s="1"/>
  <c r="N350" i="5"/>
  <c r="P350" i="5"/>
  <c r="P360" i="5"/>
  <c r="N360" i="5"/>
  <c r="L338" i="5"/>
  <c r="R435" i="5"/>
  <c r="S435" i="5" s="1"/>
  <c r="N416" i="5"/>
  <c r="P416" i="5"/>
  <c r="N300" i="5"/>
  <c r="P300" i="5"/>
  <c r="P333" i="5"/>
  <c r="N333" i="5"/>
  <c r="R262" i="5"/>
  <c r="S262" i="5" s="1"/>
  <c r="N250" i="5"/>
  <c r="P250" i="5"/>
  <c r="R329" i="5"/>
  <c r="S329" i="5" s="1"/>
  <c r="R441" i="5"/>
  <c r="S441" i="5" s="1"/>
  <c r="P255" i="5"/>
  <c r="N255" i="5"/>
  <c r="N275" i="5"/>
  <c r="P275" i="5"/>
  <c r="L298" i="5"/>
  <c r="N434" i="5"/>
  <c r="P434" i="5"/>
  <c r="N325" i="5"/>
  <c r="P325" i="5"/>
  <c r="N263" i="5"/>
  <c r="P263" i="5"/>
  <c r="N245" i="5"/>
  <c r="P245" i="5"/>
  <c r="P296" i="5"/>
  <c r="N296" i="5"/>
  <c r="N316" i="5"/>
  <c r="P316" i="5"/>
  <c r="O258" i="5"/>
  <c r="U258" i="5"/>
  <c r="V258" i="5" s="1"/>
  <c r="O285" i="5"/>
  <c r="U285" i="5"/>
  <c r="V285" i="5" s="1"/>
  <c r="U235" i="5"/>
  <c r="V235" i="5" s="1"/>
  <c r="N409" i="5"/>
  <c r="P409" i="5"/>
  <c r="N375" i="5"/>
  <c r="P375" i="5"/>
  <c r="N431" i="5"/>
  <c r="P431" i="5"/>
  <c r="O397" i="5"/>
  <c r="U397" i="5"/>
  <c r="V397" i="5" s="1"/>
  <c r="N385" i="5"/>
  <c r="P385" i="5"/>
  <c r="O371" i="5"/>
  <c r="O384" i="5"/>
  <c r="U398" i="5"/>
  <c r="V398" i="5" s="1"/>
  <c r="O398" i="5"/>
  <c r="N353" i="5"/>
  <c r="P353" i="5"/>
  <c r="N319" i="5"/>
  <c r="P319" i="5"/>
  <c r="N323" i="5"/>
  <c r="P323" i="5"/>
  <c r="N273" i="5"/>
  <c r="P273" i="5"/>
  <c r="N392" i="5"/>
  <c r="P392" i="5"/>
  <c r="N279" i="5"/>
  <c r="P279" i="5"/>
  <c r="U257" i="5"/>
  <c r="V257" i="5" s="1"/>
  <c r="O257" i="5"/>
  <c r="N244" i="5"/>
  <c r="P244" i="5"/>
  <c r="N339" i="5"/>
  <c r="P339" i="5"/>
  <c r="P383" i="5"/>
  <c r="N383" i="5"/>
  <c r="N440" i="5"/>
  <c r="P440" i="5"/>
  <c r="U417" i="5"/>
  <c r="V417" i="5" s="1"/>
  <c r="O417" i="5"/>
  <c r="R292" i="5"/>
  <c r="S292" i="5" s="1"/>
  <c r="P341" i="5"/>
  <c r="N341" i="5"/>
  <c r="R362" i="5"/>
  <c r="S362" i="5" s="1"/>
  <c r="P381" i="5"/>
  <c r="N381" i="5"/>
  <c r="N268" i="5"/>
  <c r="P268" i="5"/>
  <c r="P249" i="5"/>
  <c r="N249" i="5"/>
  <c r="U324" i="5"/>
  <c r="V324" i="5" s="1"/>
  <c r="O324" i="5"/>
  <c r="L309" i="5"/>
  <c r="P277" i="5"/>
  <c r="N277" i="5"/>
  <c r="P247" i="5"/>
  <c r="N247" i="5"/>
  <c r="N299" i="5"/>
  <c r="P299" i="5"/>
  <c r="O265" i="5"/>
  <c r="U265" i="5"/>
  <c r="V265" i="5" s="1"/>
  <c r="P246" i="5"/>
  <c r="N246" i="5"/>
  <c r="P281" i="5"/>
  <c r="N281" i="5"/>
  <c r="N272" i="5"/>
  <c r="P272" i="5"/>
  <c r="N251" i="5"/>
  <c r="P251" i="5"/>
  <c r="O266" i="5"/>
  <c r="U266" i="5"/>
  <c r="V266" i="5" s="1"/>
  <c r="N253" i="5"/>
  <c r="P253" i="5"/>
  <c r="N294" i="5"/>
  <c r="P294" i="5"/>
  <c r="N278" i="5"/>
  <c r="P278" i="5"/>
  <c r="N256" i="5"/>
  <c r="P256" i="5"/>
  <c r="N419" i="5"/>
  <c r="P419" i="5"/>
  <c r="U393" i="5"/>
  <c r="V393" i="5" s="1"/>
  <c r="P352" i="5"/>
  <c r="N352" i="5"/>
  <c r="O378" i="5"/>
  <c r="U378" i="5"/>
  <c r="V378" i="5" s="1"/>
  <c r="N428" i="5"/>
  <c r="P428" i="5"/>
  <c r="P389" i="5"/>
  <c r="N389" i="5"/>
  <c r="O406" i="5"/>
  <c r="U406" i="5"/>
  <c r="V406" i="5" s="1"/>
  <c r="R430" i="5"/>
  <c r="S430" i="5" s="1"/>
  <c r="U390" i="5"/>
  <c r="V390" i="5" s="1"/>
  <c r="N340" i="5"/>
  <c r="P340" i="5"/>
  <c r="P377" i="5"/>
  <c r="N377" i="5"/>
  <c r="P420" i="5"/>
  <c r="N420" i="5"/>
  <c r="R289" i="5"/>
  <c r="S289" i="5" s="1"/>
  <c r="O364" i="5"/>
  <c r="P351" i="5"/>
  <c r="N351" i="5"/>
  <c r="N330" i="5"/>
  <c r="P330" i="5"/>
  <c r="U345" i="5"/>
  <c r="V345" i="5" s="1"/>
  <c r="P321" i="5"/>
  <c r="N321" i="5"/>
  <c r="P313" i="5"/>
  <c r="N313" i="5"/>
  <c r="N291" i="5"/>
  <c r="P291" i="5"/>
  <c r="N284" i="5"/>
  <c r="P284" i="5"/>
  <c r="N270" i="5"/>
  <c r="P270" i="5"/>
  <c r="L314" i="5"/>
  <c r="O336" i="5"/>
  <c r="U336" i="5"/>
  <c r="V336" i="5" s="1"/>
  <c r="N264" i="5"/>
  <c r="P264" i="5"/>
  <c r="R295" i="5"/>
  <c r="S295" i="5" s="1"/>
  <c r="N280" i="5"/>
  <c r="P280" i="5"/>
  <c r="O254" i="5"/>
  <c r="U254" i="5"/>
  <c r="V254" i="5" s="1"/>
  <c r="O269" i="5"/>
  <c r="U269" i="5"/>
  <c r="V269" i="5" s="1"/>
  <c r="N366" i="5"/>
  <c r="P366" i="5"/>
  <c r="N359" i="5"/>
  <c r="P359" i="5"/>
  <c r="P356" i="5"/>
  <c r="N356" i="5"/>
  <c r="P365" i="5"/>
  <c r="N365" i="5"/>
  <c r="P344" i="5"/>
  <c r="N344" i="5"/>
  <c r="N422" i="5"/>
  <c r="P422" i="5"/>
  <c r="N391" i="5"/>
  <c r="P391" i="5"/>
  <c r="N372" i="5"/>
  <c r="P372" i="5"/>
  <c r="L414" i="5"/>
  <c r="P368" i="5"/>
  <c r="N368" i="5"/>
  <c r="P402" i="5"/>
  <c r="N402" i="5"/>
  <c r="O370" i="5"/>
  <c r="U370" i="5"/>
  <c r="V370" i="5" s="1"/>
  <c r="N355" i="5"/>
  <c r="P355" i="5"/>
  <c r="U374" i="5"/>
  <c r="V374" i="5" s="1"/>
  <c r="O374" i="5"/>
  <c r="N361" i="5"/>
  <c r="P361" i="5"/>
  <c r="N348" i="5"/>
  <c r="P348" i="5"/>
  <c r="O335" i="5"/>
  <c r="U335" i="5"/>
  <c r="V335" i="5" s="1"/>
  <c r="N312" i="5"/>
  <c r="P312" i="5"/>
  <c r="O380" i="5"/>
  <c r="U380" i="5"/>
  <c r="V380" i="5" s="1"/>
  <c r="N315" i="5"/>
  <c r="P315" i="5"/>
  <c r="L311" i="5"/>
  <c r="O334" i="5"/>
  <c r="U334" i="5"/>
  <c r="V334" i="5" s="1"/>
  <c r="N267" i="5"/>
  <c r="P267" i="5"/>
  <c r="N276" i="5"/>
  <c r="P276" i="5"/>
  <c r="P261" i="5"/>
  <c r="N261" i="5"/>
  <c r="N287" i="5"/>
  <c r="P287" i="5"/>
  <c r="N271" i="5"/>
  <c r="P271" i="5"/>
  <c r="P238" i="5"/>
  <c r="N238" i="5"/>
  <c r="U232" i="5"/>
  <c r="V232" i="5" s="1"/>
  <c r="P237" i="5"/>
  <c r="N237" i="5"/>
  <c r="U234" i="5"/>
  <c r="V234" i="5" s="1"/>
  <c r="N233" i="5"/>
  <c r="O233" i="5" s="1"/>
  <c r="N236" i="5"/>
  <c r="P236" i="5"/>
  <c r="O232" i="5"/>
  <c r="O234" i="5"/>
  <c r="O235" i="5"/>
  <c r="N225" i="5"/>
  <c r="U225" i="5" s="1"/>
  <c r="V225" i="5" s="1"/>
  <c r="N231" i="5"/>
  <c r="P231" i="5"/>
  <c r="N229" i="5"/>
  <c r="P229" i="5"/>
  <c r="N230" i="5"/>
  <c r="P230" i="5"/>
  <c r="N228" i="5"/>
  <c r="P228" i="5"/>
  <c r="O226" i="5"/>
  <c r="U226" i="5"/>
  <c r="V226" i="5" s="1"/>
  <c r="N227" i="5"/>
  <c r="P227" i="5"/>
  <c r="P224" i="5"/>
  <c r="N224" i="5"/>
  <c r="O221" i="5"/>
  <c r="U221" i="5"/>
  <c r="V221" i="5" s="1"/>
  <c r="U223" i="5"/>
  <c r="V223" i="5" s="1"/>
  <c r="O223" i="5"/>
  <c r="N222" i="5"/>
  <c r="P222" i="5"/>
  <c r="N218" i="5"/>
  <c r="U218" i="5" s="1"/>
  <c r="V218" i="5" s="1"/>
  <c r="R218" i="5"/>
  <c r="S218" i="5" s="1"/>
  <c r="O220" i="5"/>
  <c r="P219" i="5"/>
  <c r="N219" i="5"/>
  <c r="U220" i="5"/>
  <c r="V220" i="5" s="1"/>
  <c r="AI12" i="17"/>
  <c r="AJ12" i="17" s="1"/>
  <c r="AI13" i="17" s="1"/>
  <c r="AJ13" i="17" s="1"/>
  <c r="AI14" i="17" s="1"/>
  <c r="AJ14" i="17" s="1"/>
  <c r="AI15" i="17" s="1"/>
  <c r="O694" i="5" l="1"/>
  <c r="O768" i="5"/>
  <c r="U1158" i="5"/>
  <c r="V1158" i="5" s="1"/>
  <c r="E22" i="12"/>
  <c r="O742" i="5"/>
  <c r="O1186" i="5"/>
  <c r="AJ15" i="17"/>
  <c r="O1139" i="5"/>
  <c r="U326" i="5"/>
  <c r="V326" i="5" s="1"/>
  <c r="O326" i="5"/>
  <c r="U1143" i="5"/>
  <c r="V1143" i="5" s="1"/>
  <c r="O1318" i="5"/>
  <c r="O1146" i="5"/>
  <c r="U1177" i="5"/>
  <c r="V1177" i="5" s="1"/>
  <c r="U1139" i="5"/>
  <c r="V1139" i="5" s="1"/>
  <c r="O1068" i="5"/>
  <c r="U1255" i="5"/>
  <c r="V1255" i="5" s="1"/>
  <c r="O1253" i="5"/>
  <c r="U1061" i="5"/>
  <c r="V1061" i="5" s="1"/>
  <c r="U1339" i="5"/>
  <c r="V1339" i="5" s="1"/>
  <c r="U1095" i="5"/>
  <c r="V1095" i="5" s="1"/>
  <c r="O1158" i="5"/>
  <c r="O1020" i="5"/>
  <c r="U1028" i="5"/>
  <c r="V1028" i="5" s="1"/>
  <c r="N1240" i="5"/>
  <c r="O1240" i="5" s="1"/>
  <c r="N1351" i="5"/>
  <c r="O1351" i="5" s="1"/>
  <c r="O1278" i="5"/>
  <c r="U1314" i="5"/>
  <c r="V1314" i="5" s="1"/>
  <c r="N1157" i="5"/>
  <c r="U1157" i="5" s="1"/>
  <c r="V1157" i="5" s="1"/>
  <c r="U1221" i="5"/>
  <c r="V1221" i="5" s="1"/>
  <c r="O1123" i="5"/>
  <c r="U1327" i="5"/>
  <c r="V1327" i="5" s="1"/>
  <c r="O1136" i="5"/>
  <c r="N1316" i="5"/>
  <c r="O1316" i="5" s="1"/>
  <c r="U1285" i="5"/>
  <c r="V1285" i="5" s="1"/>
  <c r="O1172" i="5"/>
  <c r="U1219" i="5"/>
  <c r="V1219" i="5" s="1"/>
  <c r="O1219" i="5"/>
  <c r="U1286" i="5"/>
  <c r="V1286" i="5" s="1"/>
  <c r="U1098" i="5"/>
  <c r="V1098" i="5" s="1"/>
  <c r="U1112" i="5"/>
  <c r="V1112" i="5" s="1"/>
  <c r="O1290" i="5"/>
  <c r="U1135" i="5"/>
  <c r="V1135" i="5" s="1"/>
  <c r="U1056" i="5"/>
  <c r="V1056" i="5" s="1"/>
  <c r="O1072" i="5"/>
  <c r="U1231" i="5"/>
  <c r="V1231" i="5" s="1"/>
  <c r="O1055" i="5"/>
  <c r="U1225" i="5"/>
  <c r="V1225" i="5" s="1"/>
  <c r="O1058" i="5"/>
  <c r="N1273" i="5"/>
  <c r="U1273" i="5" s="1"/>
  <c r="V1273" i="5" s="1"/>
  <c r="U1272" i="5"/>
  <c r="V1272" i="5" s="1"/>
  <c r="O1106" i="5"/>
  <c r="U1068" i="5"/>
  <c r="V1068" i="5" s="1"/>
  <c r="U1224" i="5"/>
  <c r="V1224" i="5" s="1"/>
  <c r="U1057" i="5"/>
  <c r="V1057" i="5" s="1"/>
  <c r="U1067" i="5"/>
  <c r="V1067" i="5" s="1"/>
  <c r="U1188" i="5"/>
  <c r="V1188" i="5" s="1"/>
  <c r="U1200" i="5"/>
  <c r="V1200" i="5" s="1"/>
  <c r="U1136" i="5"/>
  <c r="V1136" i="5" s="1"/>
  <c r="O1153" i="5"/>
  <c r="U1261" i="5"/>
  <c r="V1261" i="5" s="1"/>
  <c r="U1355" i="5"/>
  <c r="V1355" i="5" s="1"/>
  <c r="N1155" i="5"/>
  <c r="O1155" i="5" s="1"/>
  <c r="U1079" i="5"/>
  <c r="V1079" i="5" s="1"/>
  <c r="O1279" i="5"/>
  <c r="O1154" i="5"/>
  <c r="N1249" i="5"/>
  <c r="O1249" i="5" s="1"/>
  <c r="U1201" i="5"/>
  <c r="V1201" i="5" s="1"/>
  <c r="U1247" i="5"/>
  <c r="V1247" i="5" s="1"/>
  <c r="U1320" i="5"/>
  <c r="V1320" i="5" s="1"/>
  <c r="O1272" i="5"/>
  <c r="U1213" i="5"/>
  <c r="V1213" i="5" s="1"/>
  <c r="O826" i="5"/>
  <c r="U1241" i="5"/>
  <c r="V1241" i="5" s="1"/>
  <c r="U1303" i="5"/>
  <c r="V1303" i="5" s="1"/>
  <c r="O1271" i="5"/>
  <c r="U1271" i="5"/>
  <c r="V1271" i="5" s="1"/>
  <c r="U1269" i="5"/>
  <c r="V1269" i="5" s="1"/>
  <c r="O1269" i="5"/>
  <c r="P1243" i="5"/>
  <c r="U1243" i="5" s="1"/>
  <c r="V1243" i="5" s="1"/>
  <c r="P1163" i="5"/>
  <c r="O1163" i="5" s="1"/>
  <c r="U1088" i="5"/>
  <c r="V1088" i="5" s="1"/>
  <c r="U1097" i="5"/>
  <c r="V1097" i="5" s="1"/>
  <c r="U1117" i="5"/>
  <c r="V1117" i="5" s="1"/>
  <c r="O1356" i="5"/>
  <c r="O1201" i="5"/>
  <c r="O1254" i="5"/>
  <c r="U1113" i="5"/>
  <c r="V1113" i="5" s="1"/>
  <c r="O1303" i="5"/>
  <c r="U1154" i="5"/>
  <c r="V1154" i="5" s="1"/>
  <c r="O1228" i="5"/>
  <c r="U1228" i="5"/>
  <c r="V1228" i="5" s="1"/>
  <c r="N1310" i="5"/>
  <c r="O1310" i="5" s="1"/>
  <c r="U1274" i="5"/>
  <c r="V1274" i="5" s="1"/>
  <c r="O1274" i="5"/>
  <c r="U1229" i="5"/>
  <c r="V1229" i="5" s="1"/>
  <c r="O1229" i="5"/>
  <c r="U1254" i="5"/>
  <c r="V1254" i="5" s="1"/>
  <c r="O1247" i="5"/>
  <c r="O1231" i="5"/>
  <c r="O1320" i="5"/>
  <c r="U1356" i="5"/>
  <c r="V1356" i="5" s="1"/>
  <c r="P1360" i="5"/>
  <c r="N1360" i="5"/>
  <c r="O1343" i="5"/>
  <c r="U1343" i="5"/>
  <c r="V1343" i="5" s="1"/>
  <c r="O1241" i="5"/>
  <c r="O1223" i="5"/>
  <c r="U1223" i="5"/>
  <c r="V1223" i="5" s="1"/>
  <c r="O1225" i="5"/>
  <c r="U1186" i="5"/>
  <c r="V1186" i="5" s="1"/>
  <c r="P1178" i="5"/>
  <c r="N1178" i="5"/>
  <c r="O1147" i="5"/>
  <c r="U1149" i="5"/>
  <c r="V1149" i="5" s="1"/>
  <c r="U1072" i="5"/>
  <c r="V1072" i="5" s="1"/>
  <c r="P1065" i="5"/>
  <c r="O1065" i="5" s="1"/>
  <c r="U1049" i="5"/>
  <c r="V1049" i="5" s="1"/>
  <c r="U1050" i="5"/>
  <c r="V1050" i="5" s="1"/>
  <c r="U1350" i="5"/>
  <c r="V1350" i="5" s="1"/>
  <c r="O1350" i="5"/>
  <c r="P1332" i="5"/>
  <c r="N1332" i="5"/>
  <c r="O1335" i="5"/>
  <c r="U1335" i="5"/>
  <c r="V1335" i="5" s="1"/>
  <c r="P1171" i="5"/>
  <c r="N1171" i="5"/>
  <c r="O1352" i="5"/>
  <c r="U1352" i="5"/>
  <c r="V1352" i="5" s="1"/>
  <c r="O1149" i="5"/>
  <c r="U1313" i="5"/>
  <c r="V1313" i="5" s="1"/>
  <c r="O1313" i="5"/>
  <c r="P1342" i="5"/>
  <c r="N1342" i="5"/>
  <c r="O1328" i="5"/>
  <c r="U1328" i="5"/>
  <c r="V1328" i="5" s="1"/>
  <c r="O1307" i="5"/>
  <c r="U1307" i="5"/>
  <c r="V1307" i="5" s="1"/>
  <c r="U1180" i="5"/>
  <c r="V1180" i="5" s="1"/>
  <c r="O1180" i="5"/>
  <c r="O1277" i="5"/>
  <c r="U1277" i="5"/>
  <c r="V1277" i="5" s="1"/>
  <c r="O1121" i="5"/>
  <c r="U1121" i="5"/>
  <c r="V1121" i="5" s="1"/>
  <c r="O1089" i="5"/>
  <c r="U1089" i="5"/>
  <c r="V1089" i="5" s="1"/>
  <c r="O1099" i="5"/>
  <c r="U1099" i="5"/>
  <c r="V1099" i="5" s="1"/>
  <c r="U1084" i="5"/>
  <c r="V1084" i="5" s="1"/>
  <c r="O1084" i="5"/>
  <c r="O1267" i="5"/>
  <c r="U1267" i="5"/>
  <c r="V1267" i="5" s="1"/>
  <c r="O1220" i="5"/>
  <c r="U1220" i="5"/>
  <c r="V1220" i="5" s="1"/>
  <c r="U1167" i="5"/>
  <c r="V1167" i="5" s="1"/>
  <c r="O1167" i="5"/>
  <c r="O1164" i="5"/>
  <c r="U1164" i="5"/>
  <c r="V1164" i="5" s="1"/>
  <c r="O1236" i="5"/>
  <c r="U1236" i="5"/>
  <c r="V1236" i="5" s="1"/>
  <c r="O1329" i="5"/>
  <c r="U1329" i="5"/>
  <c r="V1329" i="5" s="1"/>
  <c r="O1217" i="5"/>
  <c r="U1217" i="5"/>
  <c r="V1217" i="5" s="1"/>
  <c r="O1304" i="5"/>
  <c r="U1304" i="5"/>
  <c r="V1304" i="5" s="1"/>
  <c r="O1130" i="5"/>
  <c r="U1130" i="5"/>
  <c r="V1130" i="5" s="1"/>
  <c r="P1133" i="5"/>
  <c r="N1133" i="5"/>
  <c r="O1102" i="5"/>
  <c r="U1102" i="5"/>
  <c r="V1102" i="5" s="1"/>
  <c r="O1185" i="5"/>
  <c r="U1185" i="5"/>
  <c r="V1185" i="5" s="1"/>
  <c r="O1344" i="5"/>
  <c r="U1344" i="5"/>
  <c r="V1344" i="5" s="1"/>
  <c r="O1173" i="5"/>
  <c r="U1173" i="5"/>
  <c r="V1173" i="5" s="1"/>
  <c r="O1216" i="5"/>
  <c r="U1216" i="5"/>
  <c r="V1216" i="5" s="1"/>
  <c r="O1305" i="5"/>
  <c r="U1305" i="5"/>
  <c r="V1305" i="5" s="1"/>
  <c r="O1312" i="5"/>
  <c r="U1312" i="5"/>
  <c r="V1312" i="5" s="1"/>
  <c r="O1265" i="5"/>
  <c r="U1265" i="5"/>
  <c r="V1265" i="5" s="1"/>
  <c r="U1283" i="5"/>
  <c r="V1283" i="5" s="1"/>
  <c r="O1283" i="5"/>
  <c r="O1103" i="5"/>
  <c r="U1103" i="5"/>
  <c r="V1103" i="5" s="1"/>
  <c r="O1213" i="5"/>
  <c r="O1291" i="5"/>
  <c r="U1291" i="5"/>
  <c r="V1291" i="5" s="1"/>
  <c r="O1086" i="5"/>
  <c r="U1086" i="5"/>
  <c r="V1086" i="5" s="1"/>
  <c r="O1287" i="5"/>
  <c r="U1287" i="5"/>
  <c r="V1287" i="5" s="1"/>
  <c r="O1150" i="5"/>
  <c r="U1150" i="5"/>
  <c r="V1150" i="5" s="1"/>
  <c r="O1257" i="5"/>
  <c r="U1257" i="5"/>
  <c r="V1257" i="5" s="1"/>
  <c r="O1075" i="5"/>
  <c r="U1075" i="5"/>
  <c r="V1075" i="5" s="1"/>
  <c r="U1208" i="5"/>
  <c r="V1208" i="5" s="1"/>
  <c r="O1208" i="5"/>
  <c r="O1309" i="5"/>
  <c r="U1309" i="5"/>
  <c r="V1309" i="5" s="1"/>
  <c r="O1105" i="5"/>
  <c r="U1105" i="5"/>
  <c r="V1105" i="5" s="1"/>
  <c r="N1191" i="5"/>
  <c r="P1191" i="5"/>
  <c r="O1259" i="5"/>
  <c r="U1259" i="5"/>
  <c r="V1259" i="5" s="1"/>
  <c r="O1284" i="5"/>
  <c r="U1284" i="5"/>
  <c r="V1284" i="5" s="1"/>
  <c r="U1288" i="5"/>
  <c r="V1288" i="5" s="1"/>
  <c r="O1288" i="5"/>
  <c r="O1212" i="5"/>
  <c r="U1212" i="5"/>
  <c r="V1212" i="5" s="1"/>
  <c r="O1184" i="5"/>
  <c r="U1184" i="5"/>
  <c r="V1184" i="5" s="1"/>
  <c r="O1116" i="5"/>
  <c r="U1116" i="5"/>
  <c r="V1116" i="5" s="1"/>
  <c r="O1215" i="5"/>
  <c r="U1215" i="5"/>
  <c r="V1215" i="5" s="1"/>
  <c r="O1169" i="5"/>
  <c r="U1169" i="5"/>
  <c r="V1169" i="5" s="1"/>
  <c r="O1266" i="5"/>
  <c r="U1266" i="5"/>
  <c r="V1266" i="5" s="1"/>
  <c r="U1294" i="5"/>
  <c r="V1294" i="5" s="1"/>
  <c r="O1294" i="5"/>
  <c r="U1341" i="5"/>
  <c r="V1341" i="5" s="1"/>
  <c r="O1341" i="5"/>
  <c r="U1193" i="5"/>
  <c r="V1193" i="5" s="1"/>
  <c r="O1193" i="5"/>
  <c r="U1296" i="5"/>
  <c r="V1296" i="5" s="1"/>
  <c r="O1296" i="5"/>
  <c r="O1060" i="5"/>
  <c r="U1060" i="5"/>
  <c r="V1060" i="5" s="1"/>
  <c r="O1125" i="5"/>
  <c r="U1125" i="5"/>
  <c r="V1125" i="5" s="1"/>
  <c r="O1175" i="5"/>
  <c r="U1175" i="5"/>
  <c r="V1175" i="5" s="1"/>
  <c r="O1085" i="5"/>
  <c r="U1085" i="5"/>
  <c r="V1085" i="5" s="1"/>
  <c r="O1204" i="5"/>
  <c r="U1204" i="5"/>
  <c r="V1204" i="5" s="1"/>
  <c r="O1300" i="5"/>
  <c r="U1300" i="5"/>
  <c r="V1300" i="5" s="1"/>
  <c r="O1333" i="5"/>
  <c r="U1333" i="5"/>
  <c r="V1333" i="5" s="1"/>
  <c r="O1295" i="5"/>
  <c r="U1295" i="5"/>
  <c r="V1295" i="5" s="1"/>
  <c r="O1082" i="5"/>
  <c r="U1082" i="5"/>
  <c r="V1082" i="5" s="1"/>
  <c r="O1166" i="5"/>
  <c r="U1166" i="5"/>
  <c r="V1166" i="5" s="1"/>
  <c r="O1289" i="5"/>
  <c r="U1289" i="5"/>
  <c r="V1289" i="5" s="1"/>
  <c r="O1357" i="5"/>
  <c r="U1357" i="5"/>
  <c r="V1357" i="5" s="1"/>
  <c r="O1127" i="5"/>
  <c r="U1127" i="5"/>
  <c r="V1127" i="5" s="1"/>
  <c r="O1080" i="5"/>
  <c r="U1080" i="5"/>
  <c r="V1080" i="5" s="1"/>
  <c r="O1347" i="5"/>
  <c r="U1347" i="5"/>
  <c r="V1347" i="5" s="1"/>
  <c r="O1094" i="5"/>
  <c r="U1094" i="5"/>
  <c r="V1094" i="5" s="1"/>
  <c r="O1118" i="5"/>
  <c r="U1118" i="5"/>
  <c r="V1118" i="5" s="1"/>
  <c r="O1235" i="5"/>
  <c r="U1235" i="5"/>
  <c r="V1235" i="5" s="1"/>
  <c r="O1069" i="5"/>
  <c r="U1069" i="5"/>
  <c r="V1069" i="5" s="1"/>
  <c r="O1179" i="5"/>
  <c r="U1179" i="5"/>
  <c r="V1179" i="5" s="1"/>
  <c r="U1207" i="5"/>
  <c r="V1207" i="5" s="1"/>
  <c r="O1207" i="5"/>
  <c r="P1114" i="5"/>
  <c r="N1114" i="5"/>
  <c r="O1160" i="5"/>
  <c r="U1160" i="5"/>
  <c r="V1160" i="5" s="1"/>
  <c r="O1233" i="5"/>
  <c r="U1233" i="5"/>
  <c r="V1233" i="5" s="1"/>
  <c r="O1096" i="5"/>
  <c r="U1096" i="5"/>
  <c r="V1096" i="5" s="1"/>
  <c r="O1202" i="5"/>
  <c r="U1202" i="5"/>
  <c r="V1202" i="5" s="1"/>
  <c r="O1280" i="5"/>
  <c r="U1280" i="5"/>
  <c r="V1280" i="5" s="1"/>
  <c r="O1062" i="5"/>
  <c r="U1062" i="5"/>
  <c r="V1062" i="5" s="1"/>
  <c r="O1110" i="5"/>
  <c r="U1110" i="5"/>
  <c r="V1110" i="5" s="1"/>
  <c r="U1181" i="5"/>
  <c r="V1181" i="5" s="1"/>
  <c r="O1181" i="5"/>
  <c r="O1264" i="5"/>
  <c r="U1264" i="5"/>
  <c r="V1264" i="5" s="1"/>
  <c r="O1276" i="5"/>
  <c r="U1276" i="5"/>
  <c r="V1276" i="5" s="1"/>
  <c r="U1315" i="5"/>
  <c r="V1315" i="5" s="1"/>
  <c r="O1315" i="5"/>
  <c r="O1092" i="5"/>
  <c r="U1092" i="5"/>
  <c r="V1092" i="5" s="1"/>
  <c r="O1245" i="5"/>
  <c r="U1245" i="5"/>
  <c r="V1245" i="5" s="1"/>
  <c r="O1203" i="5"/>
  <c r="U1203" i="5"/>
  <c r="V1203" i="5" s="1"/>
  <c r="O1137" i="5"/>
  <c r="U1137" i="5"/>
  <c r="V1137" i="5" s="1"/>
  <c r="O1325" i="5"/>
  <c r="U1325" i="5"/>
  <c r="V1325" i="5" s="1"/>
  <c r="O1194" i="5"/>
  <c r="U1194" i="5"/>
  <c r="V1194" i="5" s="1"/>
  <c r="U1198" i="5"/>
  <c r="V1198" i="5" s="1"/>
  <c r="O1198" i="5"/>
  <c r="O1197" i="5"/>
  <c r="U1197" i="5"/>
  <c r="V1197" i="5" s="1"/>
  <c r="O1128" i="5"/>
  <c r="U1128" i="5"/>
  <c r="V1128" i="5" s="1"/>
  <c r="U1190" i="5"/>
  <c r="V1190" i="5" s="1"/>
  <c r="O1190" i="5"/>
  <c r="O1174" i="5"/>
  <c r="U1174" i="5"/>
  <c r="V1174" i="5" s="1"/>
  <c r="U1129" i="5"/>
  <c r="V1129" i="5" s="1"/>
  <c r="O1129" i="5"/>
  <c r="O1170" i="5"/>
  <c r="U1170" i="5"/>
  <c r="V1170" i="5" s="1"/>
  <c r="O1232" i="5"/>
  <c r="U1232" i="5"/>
  <c r="V1232" i="5" s="1"/>
  <c r="O1281" i="5"/>
  <c r="U1281" i="5"/>
  <c r="V1281" i="5" s="1"/>
  <c r="O1111" i="5"/>
  <c r="U1111" i="5"/>
  <c r="V1111" i="5" s="1"/>
  <c r="O1115" i="5"/>
  <c r="U1115" i="5"/>
  <c r="V1115" i="5" s="1"/>
  <c r="O1311" i="5"/>
  <c r="U1311" i="5"/>
  <c r="V1311" i="5" s="1"/>
  <c r="U1124" i="5"/>
  <c r="V1124" i="5" s="1"/>
  <c r="O1124" i="5"/>
  <c r="O1078" i="5"/>
  <c r="U1078" i="5"/>
  <c r="V1078" i="5" s="1"/>
  <c r="P1252" i="5"/>
  <c r="N1252" i="5"/>
  <c r="O1324" i="5"/>
  <c r="U1324" i="5"/>
  <c r="V1324" i="5" s="1"/>
  <c r="O1066" i="5"/>
  <c r="U1066" i="5"/>
  <c r="V1066" i="5" s="1"/>
  <c r="O1151" i="5"/>
  <c r="U1151" i="5"/>
  <c r="V1151" i="5" s="1"/>
  <c r="O1196" i="5"/>
  <c r="U1196" i="5"/>
  <c r="V1196" i="5" s="1"/>
  <c r="O1209" i="5"/>
  <c r="U1209" i="5"/>
  <c r="V1209" i="5" s="1"/>
  <c r="O1299" i="5"/>
  <c r="U1299" i="5"/>
  <c r="V1299" i="5" s="1"/>
  <c r="O1246" i="5"/>
  <c r="U1246" i="5"/>
  <c r="V1246" i="5" s="1"/>
  <c r="O1199" i="5"/>
  <c r="U1199" i="5"/>
  <c r="V1199" i="5" s="1"/>
  <c r="O1353" i="5"/>
  <c r="U1353" i="5"/>
  <c r="V1353" i="5" s="1"/>
  <c r="O1205" i="5"/>
  <c r="U1205" i="5"/>
  <c r="V1205" i="5" s="1"/>
  <c r="U1126" i="5"/>
  <c r="V1126" i="5" s="1"/>
  <c r="O1126" i="5"/>
  <c r="O1071" i="5"/>
  <c r="U1071" i="5"/>
  <c r="V1071" i="5" s="1"/>
  <c r="O1138" i="5"/>
  <c r="U1138" i="5"/>
  <c r="V1138" i="5" s="1"/>
  <c r="O1214" i="5"/>
  <c r="U1214" i="5"/>
  <c r="V1214" i="5" s="1"/>
  <c r="O1292" i="5"/>
  <c r="U1292" i="5"/>
  <c r="V1292" i="5" s="1"/>
  <c r="U1317" i="5"/>
  <c r="V1317" i="5" s="1"/>
  <c r="O1317" i="5"/>
  <c r="O1141" i="5"/>
  <c r="U1141" i="5"/>
  <c r="V1141" i="5" s="1"/>
  <c r="O1168" i="5"/>
  <c r="U1168" i="5"/>
  <c r="V1168" i="5" s="1"/>
  <c r="O1237" i="5"/>
  <c r="U1237" i="5"/>
  <c r="V1237" i="5" s="1"/>
  <c r="O1161" i="5"/>
  <c r="U1161" i="5"/>
  <c r="V1161" i="5" s="1"/>
  <c r="O1319" i="5"/>
  <c r="U1319" i="5"/>
  <c r="V1319" i="5" s="1"/>
  <c r="O1152" i="5"/>
  <c r="U1152" i="5"/>
  <c r="V1152" i="5" s="1"/>
  <c r="O1100" i="5"/>
  <c r="U1100" i="5"/>
  <c r="V1100" i="5" s="1"/>
  <c r="O1107" i="5"/>
  <c r="U1107" i="5"/>
  <c r="V1107" i="5" s="1"/>
  <c r="O1132" i="5"/>
  <c r="U1132" i="5"/>
  <c r="V1132" i="5" s="1"/>
  <c r="O1338" i="5"/>
  <c r="U1338" i="5"/>
  <c r="V1338" i="5" s="1"/>
  <c r="O1144" i="5"/>
  <c r="U1144" i="5"/>
  <c r="V1144" i="5" s="1"/>
  <c r="O1074" i="5"/>
  <c r="U1074" i="5"/>
  <c r="V1074" i="5" s="1"/>
  <c r="O1195" i="5"/>
  <c r="U1195" i="5"/>
  <c r="V1195" i="5" s="1"/>
  <c r="O1298" i="5"/>
  <c r="U1298" i="5"/>
  <c r="V1298" i="5" s="1"/>
  <c r="O1119" i="5"/>
  <c r="U1119" i="5"/>
  <c r="V1119" i="5" s="1"/>
  <c r="O1258" i="5"/>
  <c r="U1258" i="5"/>
  <c r="V1258" i="5" s="1"/>
  <c r="O1358" i="5"/>
  <c r="U1358" i="5"/>
  <c r="V1358" i="5" s="1"/>
  <c r="O1251" i="5"/>
  <c r="U1251" i="5"/>
  <c r="V1251" i="5" s="1"/>
  <c r="O1091" i="5"/>
  <c r="U1091" i="5"/>
  <c r="V1091" i="5" s="1"/>
  <c r="O1234" i="5"/>
  <c r="U1234" i="5"/>
  <c r="V1234" i="5" s="1"/>
  <c r="O1239" i="5"/>
  <c r="U1239" i="5"/>
  <c r="V1239" i="5" s="1"/>
  <c r="O1052" i="5"/>
  <c r="U1052" i="5"/>
  <c r="V1052" i="5" s="1"/>
  <c r="O1051" i="5"/>
  <c r="U1051" i="5"/>
  <c r="V1051" i="5" s="1"/>
  <c r="O878" i="5"/>
  <c r="O1047" i="5"/>
  <c r="U1047" i="5"/>
  <c r="V1047" i="5" s="1"/>
  <c r="U1046" i="5"/>
  <c r="V1046" i="5" s="1"/>
  <c r="O1046" i="5"/>
  <c r="O1045" i="5"/>
  <c r="U1045" i="5"/>
  <c r="V1045" i="5" s="1"/>
  <c r="O873" i="5"/>
  <c r="O1042" i="5"/>
  <c r="U1042" i="5"/>
  <c r="V1042" i="5" s="1"/>
  <c r="O1040" i="5"/>
  <c r="U1040" i="5"/>
  <c r="V1040" i="5" s="1"/>
  <c r="O1039" i="5"/>
  <c r="U1039" i="5"/>
  <c r="V1039" i="5" s="1"/>
  <c r="O995" i="5"/>
  <c r="O1035" i="5"/>
  <c r="U1035" i="5"/>
  <c r="V1035" i="5" s="1"/>
  <c r="U1029" i="5"/>
  <c r="V1029" i="5" s="1"/>
  <c r="P1026" i="5"/>
  <c r="U1026" i="5" s="1"/>
  <c r="V1026" i="5" s="1"/>
  <c r="U883" i="5"/>
  <c r="V883" i="5" s="1"/>
  <c r="O992" i="5"/>
  <c r="O1034" i="5"/>
  <c r="U1034" i="5"/>
  <c r="V1034" i="5" s="1"/>
  <c r="P1018" i="5"/>
  <c r="O1018" i="5" s="1"/>
  <c r="O1030" i="5"/>
  <c r="U1030" i="5"/>
  <c r="V1030" i="5" s="1"/>
  <c r="O1029" i="5"/>
  <c r="U1022" i="5"/>
  <c r="V1022" i="5" s="1"/>
  <c r="O1027" i="5"/>
  <c r="U1027" i="5"/>
  <c r="V1027" i="5" s="1"/>
  <c r="O830" i="5"/>
  <c r="O1024" i="5"/>
  <c r="U1024" i="5"/>
  <c r="V1024" i="5" s="1"/>
  <c r="O1021" i="5"/>
  <c r="U1021" i="5"/>
  <c r="V1021" i="5" s="1"/>
  <c r="O735" i="5"/>
  <c r="O795" i="5"/>
  <c r="U951" i="5"/>
  <c r="V951" i="5" s="1"/>
  <c r="U996" i="5"/>
  <c r="V996" i="5" s="1"/>
  <c r="U1017" i="5"/>
  <c r="V1017" i="5" s="1"/>
  <c r="U692" i="5"/>
  <c r="V692" i="5" s="1"/>
  <c r="O854" i="5"/>
  <c r="O993" i="5"/>
  <c r="U993" i="5"/>
  <c r="V993" i="5" s="1"/>
  <c r="U1010" i="5"/>
  <c r="V1010" i="5" s="1"/>
  <c r="O971" i="5"/>
  <c r="U1015" i="5"/>
  <c r="V1015" i="5" s="1"/>
  <c r="O1016" i="5"/>
  <c r="U1016" i="5"/>
  <c r="V1016" i="5" s="1"/>
  <c r="O1013" i="5"/>
  <c r="U1013" i="5"/>
  <c r="V1013" i="5" s="1"/>
  <c r="O1011" i="5"/>
  <c r="U1011" i="5"/>
  <c r="V1011" i="5" s="1"/>
  <c r="O1014" i="5"/>
  <c r="U1014" i="5"/>
  <c r="V1014" i="5" s="1"/>
  <c r="O903" i="5"/>
  <c r="U971" i="5"/>
  <c r="V971" i="5" s="1"/>
  <c r="O1007" i="5"/>
  <c r="U1007" i="5"/>
  <c r="V1007" i="5" s="1"/>
  <c r="O1002" i="5"/>
  <c r="U1002" i="5"/>
  <c r="V1002" i="5" s="1"/>
  <c r="O1005" i="5"/>
  <c r="U1005" i="5"/>
  <c r="V1005" i="5" s="1"/>
  <c r="O1004" i="5"/>
  <c r="U1004" i="5"/>
  <c r="V1004" i="5" s="1"/>
  <c r="U966" i="5"/>
  <c r="V966" i="5" s="1"/>
  <c r="O1001" i="5"/>
  <c r="U1001" i="5"/>
  <c r="V1001" i="5" s="1"/>
  <c r="O998" i="5"/>
  <c r="U998" i="5"/>
  <c r="V998" i="5" s="1"/>
  <c r="U968" i="5"/>
  <c r="V968" i="5" s="1"/>
  <c r="O945" i="5"/>
  <c r="O987" i="5"/>
  <c r="U987" i="5"/>
  <c r="V987" i="5" s="1"/>
  <c r="O983" i="5"/>
  <c r="U983" i="5"/>
  <c r="V983" i="5" s="1"/>
  <c r="O990" i="5"/>
  <c r="U990" i="5"/>
  <c r="V990" i="5" s="1"/>
  <c r="O984" i="5"/>
  <c r="U984" i="5"/>
  <c r="V984" i="5" s="1"/>
  <c r="O974" i="5"/>
  <c r="U974" i="5"/>
  <c r="V974" i="5" s="1"/>
  <c r="O969" i="5"/>
  <c r="U969" i="5"/>
  <c r="V969" i="5" s="1"/>
  <c r="U975" i="5"/>
  <c r="V975" i="5" s="1"/>
  <c r="O972" i="5"/>
  <c r="U972" i="5"/>
  <c r="V972" i="5" s="1"/>
  <c r="O976" i="5"/>
  <c r="U976" i="5"/>
  <c r="V976" i="5" s="1"/>
  <c r="O979" i="5"/>
  <c r="U979" i="5"/>
  <c r="V979" i="5" s="1"/>
  <c r="N973" i="5"/>
  <c r="P973" i="5"/>
  <c r="O977" i="5"/>
  <c r="U977" i="5"/>
  <c r="V977" i="5" s="1"/>
  <c r="O964" i="5"/>
  <c r="U964" i="5"/>
  <c r="V964" i="5" s="1"/>
  <c r="P970" i="5"/>
  <c r="N970" i="5"/>
  <c r="O962" i="5"/>
  <c r="U962" i="5"/>
  <c r="V962" i="5" s="1"/>
  <c r="P965" i="5"/>
  <c r="N965" i="5"/>
  <c r="O967" i="5"/>
  <c r="U967" i="5"/>
  <c r="V967" i="5" s="1"/>
  <c r="O960" i="5"/>
  <c r="U960" i="5"/>
  <c r="V960" i="5" s="1"/>
  <c r="P950" i="5"/>
  <c r="U950" i="5" s="1"/>
  <c r="V950" i="5" s="1"/>
  <c r="O955" i="5"/>
  <c r="U955" i="5"/>
  <c r="V955" i="5" s="1"/>
  <c r="O959" i="5"/>
  <c r="U959" i="5"/>
  <c r="V959" i="5" s="1"/>
  <c r="O927" i="5"/>
  <c r="O954" i="5"/>
  <c r="U954" i="5"/>
  <c r="V954" i="5" s="1"/>
  <c r="O951" i="5"/>
  <c r="O947" i="5"/>
  <c r="O949" i="5"/>
  <c r="U949" i="5"/>
  <c r="V949" i="5" s="1"/>
  <c r="O894" i="5"/>
  <c r="O946" i="5"/>
  <c r="U946" i="5"/>
  <c r="V946" i="5" s="1"/>
  <c r="O941" i="5"/>
  <c r="U941" i="5"/>
  <c r="V941" i="5" s="1"/>
  <c r="O942" i="5"/>
  <c r="U942" i="5"/>
  <c r="V942" i="5" s="1"/>
  <c r="O939" i="5"/>
  <c r="U939" i="5"/>
  <c r="V939" i="5" s="1"/>
  <c r="O935" i="5"/>
  <c r="U935" i="5"/>
  <c r="V935" i="5" s="1"/>
  <c r="O937" i="5"/>
  <c r="U937" i="5"/>
  <c r="V937" i="5" s="1"/>
  <c r="O933" i="5"/>
  <c r="U933" i="5"/>
  <c r="V933" i="5" s="1"/>
  <c r="O938" i="5"/>
  <c r="U938" i="5"/>
  <c r="V938" i="5" s="1"/>
  <c r="O909" i="5"/>
  <c r="U894" i="5"/>
  <c r="V894" i="5" s="1"/>
  <c r="O930" i="5"/>
  <c r="U930" i="5"/>
  <c r="V930" i="5" s="1"/>
  <c r="O928" i="5"/>
  <c r="U928" i="5"/>
  <c r="V928" i="5" s="1"/>
  <c r="O922" i="5"/>
  <c r="U922" i="5"/>
  <c r="V922" i="5" s="1"/>
  <c r="O906" i="5"/>
  <c r="U906" i="5"/>
  <c r="V906" i="5" s="1"/>
  <c r="O923" i="5"/>
  <c r="U923" i="5"/>
  <c r="V923" i="5" s="1"/>
  <c r="O929" i="5"/>
  <c r="U929" i="5"/>
  <c r="V929" i="5" s="1"/>
  <c r="O932" i="5"/>
  <c r="U932" i="5"/>
  <c r="V932" i="5" s="1"/>
  <c r="O919" i="5"/>
  <c r="U919" i="5"/>
  <c r="V919" i="5" s="1"/>
  <c r="O920" i="5"/>
  <c r="U920" i="5"/>
  <c r="V920" i="5" s="1"/>
  <c r="O925" i="5"/>
  <c r="U925" i="5"/>
  <c r="V925" i="5" s="1"/>
  <c r="O924" i="5"/>
  <c r="U924" i="5"/>
  <c r="V924" i="5" s="1"/>
  <c r="O914" i="5"/>
  <c r="U914" i="5"/>
  <c r="V914" i="5" s="1"/>
  <c r="O917" i="5"/>
  <c r="U917" i="5"/>
  <c r="V917" i="5" s="1"/>
  <c r="O911" i="5"/>
  <c r="U911" i="5"/>
  <c r="V911" i="5" s="1"/>
  <c r="O907" i="5"/>
  <c r="U907" i="5"/>
  <c r="V907" i="5" s="1"/>
  <c r="O883" i="5"/>
  <c r="U875" i="5"/>
  <c r="V875" i="5" s="1"/>
  <c r="O905" i="5"/>
  <c r="U905" i="5"/>
  <c r="V905" i="5" s="1"/>
  <c r="O908" i="5"/>
  <c r="U908" i="5"/>
  <c r="V908" i="5" s="1"/>
  <c r="U895" i="5"/>
  <c r="V895" i="5" s="1"/>
  <c r="O902" i="5"/>
  <c r="U902" i="5"/>
  <c r="V902" i="5" s="1"/>
  <c r="P900" i="5"/>
  <c r="N900" i="5"/>
  <c r="O901" i="5"/>
  <c r="U901" i="5"/>
  <c r="V901" i="5" s="1"/>
  <c r="U840" i="5"/>
  <c r="V840" i="5" s="1"/>
  <c r="O904" i="5"/>
  <c r="U904" i="5"/>
  <c r="V904" i="5" s="1"/>
  <c r="O899" i="5"/>
  <c r="U899" i="5"/>
  <c r="V899" i="5" s="1"/>
  <c r="O771" i="5"/>
  <c r="O848" i="5"/>
  <c r="U873" i="5"/>
  <c r="V873" i="5" s="1"/>
  <c r="O851" i="5"/>
  <c r="O896" i="5"/>
  <c r="U896" i="5"/>
  <c r="V896" i="5" s="1"/>
  <c r="O857" i="5"/>
  <c r="O897" i="5"/>
  <c r="U897" i="5"/>
  <c r="V897" i="5" s="1"/>
  <c r="O890" i="5"/>
  <c r="U890" i="5"/>
  <c r="V890" i="5" s="1"/>
  <c r="O893" i="5"/>
  <c r="U893" i="5"/>
  <c r="V893" i="5" s="1"/>
  <c r="U861" i="5"/>
  <c r="V861" i="5" s="1"/>
  <c r="U878" i="5"/>
  <c r="V878" i="5" s="1"/>
  <c r="O889" i="5"/>
  <c r="U889" i="5"/>
  <c r="V889" i="5" s="1"/>
  <c r="O892" i="5"/>
  <c r="U892" i="5"/>
  <c r="V892" i="5" s="1"/>
  <c r="O886" i="5"/>
  <c r="U886" i="5"/>
  <c r="V886" i="5" s="1"/>
  <c r="O887" i="5"/>
  <c r="U887" i="5"/>
  <c r="V887" i="5" s="1"/>
  <c r="O881" i="5"/>
  <c r="U881" i="5"/>
  <c r="V881" i="5" s="1"/>
  <c r="O880" i="5"/>
  <c r="U880" i="5"/>
  <c r="V880" i="5" s="1"/>
  <c r="O876" i="5"/>
  <c r="U876" i="5"/>
  <c r="V876" i="5" s="1"/>
  <c r="O879" i="5"/>
  <c r="U879" i="5"/>
  <c r="V879" i="5" s="1"/>
  <c r="O774" i="5"/>
  <c r="O877" i="5"/>
  <c r="U877" i="5"/>
  <c r="V877" i="5" s="1"/>
  <c r="O874" i="5"/>
  <c r="U874" i="5"/>
  <c r="V874" i="5" s="1"/>
  <c r="O870" i="5"/>
  <c r="U870" i="5"/>
  <c r="V870" i="5" s="1"/>
  <c r="O872" i="5"/>
  <c r="U872" i="5"/>
  <c r="V872" i="5" s="1"/>
  <c r="O867" i="5"/>
  <c r="U867" i="5"/>
  <c r="V867" i="5" s="1"/>
  <c r="O863" i="5"/>
  <c r="U863" i="5"/>
  <c r="V863" i="5" s="1"/>
  <c r="O866" i="5"/>
  <c r="U866" i="5"/>
  <c r="V866" i="5" s="1"/>
  <c r="O865" i="5"/>
  <c r="U865" i="5"/>
  <c r="V865" i="5" s="1"/>
  <c r="U856" i="5"/>
  <c r="V856" i="5" s="1"/>
  <c r="O862" i="5"/>
  <c r="U862" i="5"/>
  <c r="V862" i="5" s="1"/>
  <c r="O860" i="5"/>
  <c r="U860" i="5"/>
  <c r="V860" i="5" s="1"/>
  <c r="O859" i="5"/>
  <c r="U859" i="5"/>
  <c r="V859" i="5" s="1"/>
  <c r="U810" i="5"/>
  <c r="V810" i="5" s="1"/>
  <c r="O770" i="5"/>
  <c r="O855" i="5"/>
  <c r="U855" i="5"/>
  <c r="V855" i="5" s="1"/>
  <c r="U793" i="5"/>
  <c r="V793" i="5" s="1"/>
  <c r="U849" i="5"/>
  <c r="V849" i="5" s="1"/>
  <c r="U830" i="5"/>
  <c r="V830" i="5" s="1"/>
  <c r="O852" i="5"/>
  <c r="U852" i="5"/>
  <c r="V852" i="5" s="1"/>
  <c r="O853" i="5"/>
  <c r="U853" i="5"/>
  <c r="V853" i="5" s="1"/>
  <c r="O850" i="5"/>
  <c r="U850" i="5"/>
  <c r="V850" i="5" s="1"/>
  <c r="O804" i="5"/>
  <c r="O845" i="5"/>
  <c r="U845" i="5"/>
  <c r="V845" i="5" s="1"/>
  <c r="U826" i="5"/>
  <c r="V826" i="5" s="1"/>
  <c r="O846" i="5"/>
  <c r="U846" i="5"/>
  <c r="V846" i="5" s="1"/>
  <c r="O817" i="5"/>
  <c r="O844" i="5"/>
  <c r="U844" i="5"/>
  <c r="V844" i="5" s="1"/>
  <c r="O841" i="5"/>
  <c r="U841" i="5"/>
  <c r="V841" i="5" s="1"/>
  <c r="O843" i="5"/>
  <c r="U843" i="5"/>
  <c r="V843" i="5" s="1"/>
  <c r="O842" i="5"/>
  <c r="U842" i="5"/>
  <c r="V842" i="5" s="1"/>
  <c r="U782" i="5"/>
  <c r="V782" i="5" s="1"/>
  <c r="O838" i="5"/>
  <c r="U838" i="5"/>
  <c r="V838" i="5" s="1"/>
  <c r="O835" i="5"/>
  <c r="U835" i="5"/>
  <c r="V835" i="5" s="1"/>
  <c r="O836" i="5"/>
  <c r="U836" i="5"/>
  <c r="V836" i="5" s="1"/>
  <c r="O831" i="5"/>
  <c r="U831" i="5"/>
  <c r="V831" i="5" s="1"/>
  <c r="O832" i="5"/>
  <c r="U832" i="5"/>
  <c r="V832" i="5" s="1"/>
  <c r="P833" i="5"/>
  <c r="N833" i="5"/>
  <c r="O823" i="5"/>
  <c r="U823" i="5"/>
  <c r="V823" i="5" s="1"/>
  <c r="O825" i="5"/>
  <c r="U825" i="5"/>
  <c r="V825" i="5" s="1"/>
  <c r="O824" i="5"/>
  <c r="U824" i="5"/>
  <c r="V824" i="5" s="1"/>
  <c r="O827" i="5"/>
  <c r="U827" i="5"/>
  <c r="V827" i="5" s="1"/>
  <c r="O821" i="5"/>
  <c r="U821" i="5"/>
  <c r="V821" i="5" s="1"/>
  <c r="O820" i="5"/>
  <c r="U820" i="5"/>
  <c r="V820" i="5" s="1"/>
  <c r="O818" i="5"/>
  <c r="U818" i="5"/>
  <c r="V818" i="5" s="1"/>
  <c r="O819" i="5"/>
  <c r="U819" i="5"/>
  <c r="V819" i="5" s="1"/>
  <c r="O816" i="5"/>
  <c r="U816" i="5"/>
  <c r="V816" i="5" s="1"/>
  <c r="U795" i="5"/>
  <c r="V795" i="5" s="1"/>
  <c r="O708" i="5"/>
  <c r="U768" i="5"/>
  <c r="V768" i="5" s="1"/>
  <c r="O713" i="5"/>
  <c r="O811" i="5"/>
  <c r="U811" i="5"/>
  <c r="V811" i="5" s="1"/>
  <c r="O813" i="5"/>
  <c r="U813" i="5"/>
  <c r="V813" i="5" s="1"/>
  <c r="O812" i="5"/>
  <c r="U812" i="5"/>
  <c r="V812" i="5" s="1"/>
  <c r="O808" i="5"/>
  <c r="U808" i="5"/>
  <c r="V808" i="5" s="1"/>
  <c r="O807" i="5"/>
  <c r="U807" i="5"/>
  <c r="V807" i="5" s="1"/>
  <c r="O805" i="5"/>
  <c r="U805" i="5"/>
  <c r="V805" i="5" s="1"/>
  <c r="O801" i="5"/>
  <c r="U801" i="5"/>
  <c r="V801" i="5" s="1"/>
  <c r="O799" i="5"/>
  <c r="U799" i="5"/>
  <c r="V799" i="5" s="1"/>
  <c r="O798" i="5"/>
  <c r="U798" i="5"/>
  <c r="V798" i="5" s="1"/>
  <c r="O794" i="5"/>
  <c r="U794" i="5"/>
  <c r="V794" i="5" s="1"/>
  <c r="O772" i="5"/>
  <c r="O796" i="5"/>
  <c r="U796" i="5"/>
  <c r="V796" i="5" s="1"/>
  <c r="O661" i="5"/>
  <c r="U742" i="5"/>
  <c r="V742" i="5" s="1"/>
  <c r="O788" i="5"/>
  <c r="U788" i="5"/>
  <c r="V788" i="5" s="1"/>
  <c r="O790" i="5"/>
  <c r="U790" i="5"/>
  <c r="V790" i="5" s="1"/>
  <c r="N791" i="5"/>
  <c r="P791" i="5"/>
  <c r="O786" i="5"/>
  <c r="U786" i="5"/>
  <c r="V786" i="5" s="1"/>
  <c r="U719" i="5"/>
  <c r="V719" i="5" s="1"/>
  <c r="O787" i="5"/>
  <c r="U787" i="5"/>
  <c r="V787" i="5" s="1"/>
  <c r="O769" i="5"/>
  <c r="O783" i="5"/>
  <c r="U783" i="5"/>
  <c r="V783" i="5" s="1"/>
  <c r="O781" i="5"/>
  <c r="U781" i="5"/>
  <c r="V781" i="5" s="1"/>
  <c r="O780" i="5"/>
  <c r="U780" i="5"/>
  <c r="V780" i="5" s="1"/>
  <c r="O778" i="5"/>
  <c r="U778" i="5"/>
  <c r="V778" i="5" s="1"/>
  <c r="P759" i="5"/>
  <c r="N759" i="5"/>
  <c r="O779" i="5"/>
  <c r="U779" i="5"/>
  <c r="V779" i="5" s="1"/>
  <c r="O776" i="5"/>
  <c r="U776" i="5"/>
  <c r="V776" i="5" s="1"/>
  <c r="O777" i="5"/>
  <c r="U777" i="5"/>
  <c r="V777" i="5" s="1"/>
  <c r="O472" i="5"/>
  <c r="U739" i="5"/>
  <c r="V739" i="5" s="1"/>
  <c r="O762" i="5"/>
  <c r="U762" i="5"/>
  <c r="V762" i="5" s="1"/>
  <c r="O773" i="5"/>
  <c r="U773" i="5"/>
  <c r="V773" i="5" s="1"/>
  <c r="P758" i="5"/>
  <c r="N758" i="5"/>
  <c r="U710" i="5"/>
  <c r="V710" i="5" s="1"/>
  <c r="P767" i="5"/>
  <c r="N767" i="5"/>
  <c r="O763" i="5"/>
  <c r="U763" i="5"/>
  <c r="V763" i="5" s="1"/>
  <c r="O757" i="5"/>
  <c r="U757" i="5"/>
  <c r="V757" i="5" s="1"/>
  <c r="O760" i="5"/>
  <c r="U760" i="5"/>
  <c r="V760" i="5" s="1"/>
  <c r="O680" i="5"/>
  <c r="O756" i="5"/>
  <c r="U756" i="5"/>
  <c r="V756" i="5" s="1"/>
  <c r="O755" i="5"/>
  <c r="U755" i="5"/>
  <c r="V755" i="5" s="1"/>
  <c r="O754" i="5"/>
  <c r="U754" i="5"/>
  <c r="V754" i="5" s="1"/>
  <c r="O753" i="5"/>
  <c r="U753" i="5"/>
  <c r="V753" i="5" s="1"/>
  <c r="O747" i="5"/>
  <c r="U747" i="5"/>
  <c r="V747" i="5" s="1"/>
  <c r="O750" i="5"/>
  <c r="U750" i="5"/>
  <c r="V750" i="5" s="1"/>
  <c r="O721" i="5"/>
  <c r="N720" i="5"/>
  <c r="O720" i="5" s="1"/>
  <c r="O736" i="5"/>
  <c r="U736" i="5"/>
  <c r="V736" i="5" s="1"/>
  <c r="U672" i="5"/>
  <c r="V672" i="5" s="1"/>
  <c r="O740" i="5"/>
  <c r="U740" i="5"/>
  <c r="V740" i="5" s="1"/>
  <c r="O737" i="5"/>
  <c r="U737" i="5"/>
  <c r="V737" i="5" s="1"/>
  <c r="O741" i="5"/>
  <c r="U741" i="5"/>
  <c r="V741" i="5" s="1"/>
  <c r="O738" i="5"/>
  <c r="U738" i="5"/>
  <c r="V738" i="5" s="1"/>
  <c r="O744" i="5"/>
  <c r="U744" i="5"/>
  <c r="V744" i="5" s="1"/>
  <c r="N743" i="5"/>
  <c r="P743" i="5"/>
  <c r="O732" i="5"/>
  <c r="U732" i="5"/>
  <c r="V732" i="5" s="1"/>
  <c r="O730" i="5"/>
  <c r="U730" i="5"/>
  <c r="V730" i="5" s="1"/>
  <c r="O733" i="5"/>
  <c r="U733" i="5"/>
  <c r="V733" i="5" s="1"/>
  <c r="O731" i="5"/>
  <c r="U731" i="5"/>
  <c r="V731" i="5" s="1"/>
  <c r="O728" i="5"/>
  <c r="U728" i="5"/>
  <c r="V728" i="5" s="1"/>
  <c r="O729" i="5"/>
  <c r="U729" i="5"/>
  <c r="V729" i="5" s="1"/>
  <c r="O710" i="5"/>
  <c r="O725" i="5"/>
  <c r="U725" i="5"/>
  <c r="V725" i="5" s="1"/>
  <c r="U674" i="5"/>
  <c r="V674" i="5" s="1"/>
  <c r="O726" i="5"/>
  <c r="U726" i="5"/>
  <c r="V726" i="5" s="1"/>
  <c r="U687" i="5"/>
  <c r="V687" i="5" s="1"/>
  <c r="U673" i="5"/>
  <c r="V673" i="5" s="1"/>
  <c r="O692" i="5"/>
  <c r="O695" i="5"/>
  <c r="O723" i="5"/>
  <c r="U723" i="5"/>
  <c r="V723" i="5" s="1"/>
  <c r="N699" i="5"/>
  <c r="U699" i="5" s="1"/>
  <c r="V699" i="5" s="1"/>
  <c r="O664" i="5"/>
  <c r="U693" i="5"/>
  <c r="V693" i="5" s="1"/>
  <c r="O715" i="5"/>
  <c r="U715" i="5"/>
  <c r="V715" i="5" s="1"/>
  <c r="P700" i="5"/>
  <c r="N700" i="5"/>
  <c r="O714" i="5"/>
  <c r="U714" i="5"/>
  <c r="V714" i="5" s="1"/>
  <c r="U709" i="5"/>
  <c r="V709" i="5" s="1"/>
  <c r="O709" i="5"/>
  <c r="P701" i="5"/>
  <c r="N701" i="5"/>
  <c r="U694" i="5"/>
  <c r="V694" i="5" s="1"/>
  <c r="O711" i="5"/>
  <c r="U711" i="5"/>
  <c r="V711" i="5" s="1"/>
  <c r="O702" i="5"/>
  <c r="U702" i="5"/>
  <c r="V702" i="5" s="1"/>
  <c r="P634" i="5"/>
  <c r="O634" i="5" s="1"/>
  <c r="U671" i="5"/>
  <c r="V671" i="5" s="1"/>
  <c r="O706" i="5"/>
  <c r="U706" i="5"/>
  <c r="V706" i="5" s="1"/>
  <c r="O705" i="5"/>
  <c r="U705" i="5"/>
  <c r="V705" i="5" s="1"/>
  <c r="N698" i="5"/>
  <c r="P698" i="5"/>
  <c r="O696" i="5"/>
  <c r="U696" i="5"/>
  <c r="V696" i="5" s="1"/>
  <c r="O691" i="5"/>
  <c r="U691" i="5"/>
  <c r="V691" i="5" s="1"/>
  <c r="U561" i="5"/>
  <c r="V561" i="5" s="1"/>
  <c r="U663" i="5"/>
  <c r="V663" i="5" s="1"/>
  <c r="O688" i="5"/>
  <c r="U688" i="5"/>
  <c r="V688" i="5" s="1"/>
  <c r="O665" i="5"/>
  <c r="O663" i="5"/>
  <c r="O671" i="5"/>
  <c r="O682" i="5"/>
  <c r="U682" i="5"/>
  <c r="V682" i="5" s="1"/>
  <c r="O681" i="5"/>
  <c r="U681" i="5"/>
  <c r="V681" i="5" s="1"/>
  <c r="N617" i="5"/>
  <c r="O617" i="5" s="1"/>
  <c r="U657" i="5"/>
  <c r="V657" i="5" s="1"/>
  <c r="O675" i="5"/>
  <c r="U675" i="5"/>
  <c r="V675" i="5" s="1"/>
  <c r="O679" i="5"/>
  <c r="U679" i="5"/>
  <c r="V679" i="5" s="1"/>
  <c r="O667" i="5"/>
  <c r="U667" i="5"/>
  <c r="V667" i="5" s="1"/>
  <c r="O668" i="5"/>
  <c r="U668" i="5"/>
  <c r="V668" i="5" s="1"/>
  <c r="O524" i="5"/>
  <c r="O658" i="5"/>
  <c r="U658" i="5"/>
  <c r="V658" i="5" s="1"/>
  <c r="O518" i="5"/>
  <c r="O653" i="5"/>
  <c r="U653" i="5"/>
  <c r="V653" i="5" s="1"/>
  <c r="O654" i="5"/>
  <c r="U654" i="5"/>
  <c r="V654" i="5" s="1"/>
  <c r="O652" i="5"/>
  <c r="U652" i="5"/>
  <c r="V652" i="5" s="1"/>
  <c r="O646" i="5"/>
  <c r="U646" i="5"/>
  <c r="V646" i="5" s="1"/>
  <c r="O633" i="5"/>
  <c r="U633" i="5"/>
  <c r="V633" i="5" s="1"/>
  <c r="O648" i="5"/>
  <c r="U648" i="5"/>
  <c r="V648" i="5" s="1"/>
  <c r="O645" i="5"/>
  <c r="U645" i="5"/>
  <c r="V645" i="5" s="1"/>
  <c r="O647" i="5"/>
  <c r="U647" i="5"/>
  <c r="V647" i="5" s="1"/>
  <c r="O643" i="5"/>
  <c r="U643" i="5"/>
  <c r="V643" i="5" s="1"/>
  <c r="N603" i="5"/>
  <c r="P603" i="5"/>
  <c r="O642" i="5"/>
  <c r="U642" i="5"/>
  <c r="V642" i="5" s="1"/>
  <c r="U636" i="5"/>
  <c r="V636" i="5" s="1"/>
  <c r="O636" i="5"/>
  <c r="O629" i="5"/>
  <c r="U629" i="5"/>
  <c r="V629" i="5" s="1"/>
  <c r="O621" i="5"/>
  <c r="U621" i="5"/>
  <c r="V621" i="5" s="1"/>
  <c r="O607" i="5"/>
  <c r="U607" i="5"/>
  <c r="V607" i="5" s="1"/>
  <c r="O625" i="5"/>
  <c r="U625" i="5"/>
  <c r="V625" i="5" s="1"/>
  <c r="O624" i="5"/>
  <c r="U624" i="5"/>
  <c r="V624" i="5" s="1"/>
  <c r="O600" i="5"/>
  <c r="U600" i="5"/>
  <c r="V600" i="5" s="1"/>
  <c r="O631" i="5"/>
  <c r="U631" i="5"/>
  <c r="V631" i="5" s="1"/>
  <c r="O611" i="5"/>
  <c r="U611" i="5"/>
  <c r="V611" i="5" s="1"/>
  <c r="O618" i="5"/>
  <c r="U618" i="5"/>
  <c r="V618" i="5" s="1"/>
  <c r="O601" i="5"/>
  <c r="U601" i="5"/>
  <c r="V601" i="5" s="1"/>
  <c r="O605" i="5"/>
  <c r="U605" i="5"/>
  <c r="V605" i="5" s="1"/>
  <c r="O626" i="5"/>
  <c r="U626" i="5"/>
  <c r="V626" i="5" s="1"/>
  <c r="O609" i="5"/>
  <c r="U609" i="5"/>
  <c r="V609" i="5" s="1"/>
  <c r="O613" i="5"/>
  <c r="U613" i="5"/>
  <c r="V613" i="5" s="1"/>
  <c r="O604" i="5"/>
  <c r="U604" i="5"/>
  <c r="V604" i="5" s="1"/>
  <c r="O616" i="5"/>
  <c r="U616" i="5"/>
  <c r="V616" i="5" s="1"/>
  <c r="O620" i="5"/>
  <c r="U620" i="5"/>
  <c r="V620" i="5" s="1"/>
  <c r="O622" i="5"/>
  <c r="U622" i="5"/>
  <c r="V622" i="5" s="1"/>
  <c r="O608" i="5"/>
  <c r="U608" i="5"/>
  <c r="V608" i="5" s="1"/>
  <c r="O635" i="5"/>
  <c r="U635" i="5"/>
  <c r="V635" i="5" s="1"/>
  <c r="O623" i="5"/>
  <c r="U623" i="5"/>
  <c r="V623" i="5" s="1"/>
  <c r="O597" i="5"/>
  <c r="U597" i="5"/>
  <c r="V597" i="5" s="1"/>
  <c r="N582" i="5"/>
  <c r="O582" i="5" s="1"/>
  <c r="O475" i="5"/>
  <c r="P595" i="5"/>
  <c r="N595" i="5"/>
  <c r="O596" i="5"/>
  <c r="U596" i="5"/>
  <c r="V596" i="5" s="1"/>
  <c r="P586" i="5"/>
  <c r="U586" i="5" s="1"/>
  <c r="V586" i="5" s="1"/>
  <c r="U233" i="5"/>
  <c r="V233" i="5" s="1"/>
  <c r="N589" i="5"/>
  <c r="U589" i="5" s="1"/>
  <c r="V589" i="5" s="1"/>
  <c r="O561" i="5"/>
  <c r="O560" i="5"/>
  <c r="O591" i="5"/>
  <c r="U591" i="5"/>
  <c r="V591" i="5" s="1"/>
  <c r="N573" i="5"/>
  <c r="O573" i="5" s="1"/>
  <c r="O592" i="5"/>
  <c r="U592" i="5"/>
  <c r="V592" i="5" s="1"/>
  <c r="O587" i="5"/>
  <c r="U587" i="5"/>
  <c r="V587" i="5" s="1"/>
  <c r="U567" i="5"/>
  <c r="V567" i="5" s="1"/>
  <c r="U575" i="5"/>
  <c r="V575" i="5" s="1"/>
  <c r="O563" i="5"/>
  <c r="P566" i="5"/>
  <c r="U566" i="5" s="1"/>
  <c r="V566" i="5" s="1"/>
  <c r="O577" i="5"/>
  <c r="U577" i="5"/>
  <c r="V577" i="5" s="1"/>
  <c r="O580" i="5"/>
  <c r="U580" i="5"/>
  <c r="V580" i="5" s="1"/>
  <c r="O578" i="5"/>
  <c r="U578" i="5"/>
  <c r="V578" i="5" s="1"/>
  <c r="O583" i="5"/>
  <c r="U583" i="5"/>
  <c r="V583" i="5" s="1"/>
  <c r="O579" i="5"/>
  <c r="U579" i="5"/>
  <c r="V579" i="5" s="1"/>
  <c r="O572" i="5"/>
  <c r="U572" i="5"/>
  <c r="V572" i="5" s="1"/>
  <c r="U552" i="5"/>
  <c r="V552" i="5" s="1"/>
  <c r="O568" i="5"/>
  <c r="U568" i="5"/>
  <c r="V568" i="5" s="1"/>
  <c r="O570" i="5"/>
  <c r="U570" i="5"/>
  <c r="V570" i="5" s="1"/>
  <c r="O564" i="5"/>
  <c r="U564" i="5"/>
  <c r="V564" i="5" s="1"/>
  <c r="P562" i="5"/>
  <c r="N562" i="5"/>
  <c r="O559" i="5"/>
  <c r="U559" i="5"/>
  <c r="V559" i="5" s="1"/>
  <c r="O556" i="5"/>
  <c r="U556" i="5"/>
  <c r="V556" i="5" s="1"/>
  <c r="O558" i="5"/>
  <c r="U558" i="5"/>
  <c r="V558" i="5" s="1"/>
  <c r="O553" i="5"/>
  <c r="U553" i="5"/>
  <c r="V553" i="5" s="1"/>
  <c r="O554" i="5"/>
  <c r="U554" i="5"/>
  <c r="V554" i="5" s="1"/>
  <c r="O550" i="5"/>
  <c r="U550" i="5"/>
  <c r="V550" i="5" s="1"/>
  <c r="O551" i="5"/>
  <c r="U551" i="5"/>
  <c r="V551" i="5" s="1"/>
  <c r="U518" i="5"/>
  <c r="V518" i="5" s="1"/>
  <c r="O549" i="5"/>
  <c r="U549" i="5"/>
  <c r="V549" i="5" s="1"/>
  <c r="U524" i="5"/>
  <c r="V524" i="5" s="1"/>
  <c r="O535" i="5"/>
  <c r="U535" i="5"/>
  <c r="V535" i="5" s="1"/>
  <c r="O544" i="5"/>
  <c r="U544" i="5"/>
  <c r="V544" i="5" s="1"/>
  <c r="P543" i="5"/>
  <c r="N543" i="5"/>
  <c r="O542" i="5"/>
  <c r="U542" i="5"/>
  <c r="V542" i="5" s="1"/>
  <c r="O539" i="5"/>
  <c r="U539" i="5"/>
  <c r="V539" i="5" s="1"/>
  <c r="O538" i="5"/>
  <c r="U538" i="5"/>
  <c r="V538" i="5" s="1"/>
  <c r="O532" i="5"/>
  <c r="U532" i="5"/>
  <c r="V532" i="5" s="1"/>
  <c r="O530" i="5"/>
  <c r="U530" i="5"/>
  <c r="V530" i="5" s="1"/>
  <c r="O527" i="5"/>
  <c r="U527" i="5"/>
  <c r="V527" i="5" s="1"/>
  <c r="O523" i="5"/>
  <c r="U523" i="5"/>
  <c r="V523" i="5" s="1"/>
  <c r="O531" i="5"/>
  <c r="U531" i="5"/>
  <c r="V531" i="5" s="1"/>
  <c r="P516" i="5"/>
  <c r="U516" i="5" s="1"/>
  <c r="V516" i="5" s="1"/>
  <c r="O519" i="5"/>
  <c r="U519" i="5"/>
  <c r="V519" i="5" s="1"/>
  <c r="O521" i="5"/>
  <c r="U521" i="5"/>
  <c r="V521" i="5" s="1"/>
  <c r="O517" i="5"/>
  <c r="U517" i="5"/>
  <c r="V517" i="5" s="1"/>
  <c r="P513" i="5"/>
  <c r="N513" i="5"/>
  <c r="P485" i="5"/>
  <c r="O485" i="5" s="1"/>
  <c r="U475" i="5"/>
  <c r="V475" i="5" s="1"/>
  <c r="O511" i="5"/>
  <c r="U511" i="5"/>
  <c r="V511" i="5" s="1"/>
  <c r="O512" i="5"/>
  <c r="U512" i="5"/>
  <c r="V512" i="5" s="1"/>
  <c r="O478" i="5"/>
  <c r="U497" i="5"/>
  <c r="V497" i="5" s="1"/>
  <c r="O510" i="5"/>
  <c r="U510" i="5"/>
  <c r="V510" i="5" s="1"/>
  <c r="O509" i="5"/>
  <c r="U509" i="5"/>
  <c r="V509" i="5" s="1"/>
  <c r="O508" i="5"/>
  <c r="U508" i="5"/>
  <c r="V508" i="5" s="1"/>
  <c r="O506" i="5"/>
  <c r="U506" i="5"/>
  <c r="V506" i="5" s="1"/>
  <c r="O473" i="5"/>
  <c r="U453" i="5"/>
  <c r="V453" i="5" s="1"/>
  <c r="P459" i="5"/>
  <c r="O459" i="5" s="1"/>
  <c r="O505" i="5"/>
  <c r="U505" i="5"/>
  <c r="V505" i="5" s="1"/>
  <c r="O503" i="5"/>
  <c r="U503" i="5"/>
  <c r="V503" i="5" s="1"/>
  <c r="U446" i="5"/>
  <c r="V446" i="5" s="1"/>
  <c r="O500" i="5"/>
  <c r="U500" i="5"/>
  <c r="V500" i="5" s="1"/>
  <c r="O501" i="5"/>
  <c r="U501" i="5"/>
  <c r="V501" i="5" s="1"/>
  <c r="O492" i="5"/>
  <c r="U492" i="5"/>
  <c r="V492" i="5" s="1"/>
  <c r="U288" i="5"/>
  <c r="V288" i="5" s="1"/>
  <c r="U450" i="5"/>
  <c r="V450" i="5" s="1"/>
  <c r="O491" i="5"/>
  <c r="U491" i="5"/>
  <c r="V491" i="5" s="1"/>
  <c r="O498" i="5"/>
  <c r="U498" i="5"/>
  <c r="V498" i="5" s="1"/>
  <c r="O496" i="5"/>
  <c r="U496" i="5"/>
  <c r="V496" i="5" s="1"/>
  <c r="O488" i="5"/>
  <c r="U488" i="5"/>
  <c r="V488" i="5" s="1"/>
  <c r="N466" i="5"/>
  <c r="O466" i="5" s="1"/>
  <c r="O487" i="5"/>
  <c r="U487" i="5"/>
  <c r="V487" i="5" s="1"/>
  <c r="O493" i="5"/>
  <c r="U493" i="5"/>
  <c r="V493" i="5" s="1"/>
  <c r="O489" i="5"/>
  <c r="U489" i="5"/>
  <c r="V489" i="5" s="1"/>
  <c r="O494" i="5"/>
  <c r="U494" i="5"/>
  <c r="V494" i="5" s="1"/>
  <c r="U461" i="5"/>
  <c r="V461" i="5" s="1"/>
  <c r="O468" i="5"/>
  <c r="U468" i="5"/>
  <c r="V468" i="5" s="1"/>
  <c r="O474" i="5"/>
  <c r="U474" i="5"/>
  <c r="V474" i="5" s="1"/>
  <c r="O482" i="5"/>
  <c r="U482" i="5"/>
  <c r="V482" i="5" s="1"/>
  <c r="O471" i="5"/>
  <c r="U471" i="5"/>
  <c r="V471" i="5" s="1"/>
  <c r="O483" i="5"/>
  <c r="U483" i="5"/>
  <c r="V483" i="5" s="1"/>
  <c r="O476" i="5"/>
  <c r="U476" i="5"/>
  <c r="V476" i="5" s="1"/>
  <c r="O477" i="5"/>
  <c r="U477" i="5"/>
  <c r="V477" i="5" s="1"/>
  <c r="O481" i="5"/>
  <c r="U481" i="5"/>
  <c r="V481" i="5" s="1"/>
  <c r="O470" i="5"/>
  <c r="U470" i="5"/>
  <c r="V470" i="5" s="1"/>
  <c r="O480" i="5"/>
  <c r="U480" i="5"/>
  <c r="V480" i="5" s="1"/>
  <c r="U447" i="5"/>
  <c r="V447" i="5" s="1"/>
  <c r="U444" i="5"/>
  <c r="V444" i="5" s="1"/>
  <c r="O467" i="5"/>
  <c r="U467" i="5"/>
  <c r="V467" i="5" s="1"/>
  <c r="O464" i="5"/>
  <c r="U464" i="5"/>
  <c r="V464" i="5" s="1"/>
  <c r="U457" i="5"/>
  <c r="V457" i="5" s="1"/>
  <c r="N463" i="5"/>
  <c r="P463" i="5"/>
  <c r="O446" i="5"/>
  <c r="O460" i="5"/>
  <c r="U460" i="5"/>
  <c r="V460" i="5" s="1"/>
  <c r="O395" i="5"/>
  <c r="O456" i="5"/>
  <c r="U456" i="5"/>
  <c r="V456" i="5" s="1"/>
  <c r="O455" i="5"/>
  <c r="U455" i="5"/>
  <c r="V455" i="5" s="1"/>
  <c r="U282" i="5"/>
  <c r="V282" i="5" s="1"/>
  <c r="O379" i="5"/>
  <c r="P357" i="5"/>
  <c r="U357" i="5" s="1"/>
  <c r="V357" i="5" s="1"/>
  <c r="U382" i="5"/>
  <c r="V382" i="5" s="1"/>
  <c r="P415" i="5"/>
  <c r="O415" i="5" s="1"/>
  <c r="O241" i="5"/>
  <c r="U259" i="5"/>
  <c r="V259" i="5" s="1"/>
  <c r="O404" i="5"/>
  <c r="O243" i="5"/>
  <c r="U445" i="5"/>
  <c r="V445" i="5" s="1"/>
  <c r="O445" i="5"/>
  <c r="O421" i="5"/>
  <c r="U373" i="5"/>
  <c r="V373" i="5" s="1"/>
  <c r="O451" i="5"/>
  <c r="U451" i="5"/>
  <c r="V451" i="5" s="1"/>
  <c r="U388" i="5"/>
  <c r="V388" i="5" s="1"/>
  <c r="O369" i="5"/>
  <c r="P286" i="5"/>
  <c r="O286" i="5" s="1"/>
  <c r="U297" i="5"/>
  <c r="V297" i="5" s="1"/>
  <c r="O302" i="5"/>
  <c r="O310" i="5"/>
  <c r="U346" i="5"/>
  <c r="V346" i="5" s="1"/>
  <c r="O242" i="5"/>
  <c r="U347" i="5"/>
  <c r="V347" i="5" s="1"/>
  <c r="O433" i="5"/>
  <c r="U424" i="5"/>
  <c r="V424" i="5" s="1"/>
  <c r="P248" i="5"/>
  <c r="O248" i="5" s="1"/>
  <c r="U432" i="5"/>
  <c r="V432" i="5" s="1"/>
  <c r="O347" i="5"/>
  <c r="U306" i="5"/>
  <c r="V306" i="5" s="1"/>
  <c r="U387" i="5"/>
  <c r="V387" i="5" s="1"/>
  <c r="O218" i="5"/>
  <c r="O308" i="5"/>
  <c r="U426" i="5"/>
  <c r="V426" i="5" s="1"/>
  <c r="U328" i="5"/>
  <c r="V328" i="5" s="1"/>
  <c r="U354" i="5"/>
  <c r="V354" i="5" s="1"/>
  <c r="U369" i="5"/>
  <c r="V369" i="5" s="1"/>
  <c r="P260" i="5"/>
  <c r="O260" i="5" s="1"/>
  <c r="U400" i="5"/>
  <c r="V400" i="5" s="1"/>
  <c r="O412" i="5"/>
  <c r="U412" i="5"/>
  <c r="V412" i="5" s="1"/>
  <c r="O346" i="5"/>
  <c r="O399" i="5"/>
  <c r="U399" i="5"/>
  <c r="V399" i="5" s="1"/>
  <c r="P358" i="5"/>
  <c r="O358" i="5" s="1"/>
  <c r="O283" i="5"/>
  <c r="U425" i="5"/>
  <c r="V425" i="5" s="1"/>
  <c r="O331" i="5"/>
  <c r="O322" i="5"/>
  <c r="U322" i="5"/>
  <c r="V322" i="5" s="1"/>
  <c r="U303" i="5"/>
  <c r="V303" i="5" s="1"/>
  <c r="O301" i="5"/>
  <c r="U301" i="5"/>
  <c r="V301" i="5" s="1"/>
  <c r="U367" i="5"/>
  <c r="V367" i="5" s="1"/>
  <c r="O293" i="5"/>
  <c r="U293" i="5"/>
  <c r="V293" i="5" s="1"/>
  <c r="U421" i="5"/>
  <c r="V421" i="5" s="1"/>
  <c r="U243" i="5"/>
  <c r="V243" i="5" s="1"/>
  <c r="U274" i="5"/>
  <c r="V274" i="5" s="1"/>
  <c r="O411" i="5"/>
  <c r="U411" i="5"/>
  <c r="V411" i="5" s="1"/>
  <c r="P408" i="5"/>
  <c r="N408" i="5"/>
  <c r="P403" i="5"/>
  <c r="N403" i="5"/>
  <c r="O343" i="5"/>
  <c r="U343" i="5"/>
  <c r="V343" i="5" s="1"/>
  <c r="O318" i="5"/>
  <c r="U318" i="5"/>
  <c r="V318" i="5" s="1"/>
  <c r="P307" i="5"/>
  <c r="O307" i="5" s="1"/>
  <c r="U304" i="5"/>
  <c r="V304" i="5" s="1"/>
  <c r="O304" i="5"/>
  <c r="O303" i="5"/>
  <c r="O439" i="5"/>
  <c r="U439" i="5"/>
  <c r="V439" i="5" s="1"/>
  <c r="O396" i="5"/>
  <c r="U396" i="5"/>
  <c r="V396" i="5" s="1"/>
  <c r="O354" i="5"/>
  <c r="O407" i="5"/>
  <c r="U407" i="5"/>
  <c r="V407" i="5" s="1"/>
  <c r="O394" i="5"/>
  <c r="U394" i="5"/>
  <c r="V394" i="5" s="1"/>
  <c r="O363" i="5"/>
  <c r="U363" i="5"/>
  <c r="V363" i="5" s="1"/>
  <c r="O423" i="5"/>
  <c r="U423" i="5"/>
  <c r="V423" i="5" s="1"/>
  <c r="O405" i="5"/>
  <c r="U405" i="5"/>
  <c r="V405" i="5" s="1"/>
  <c r="O287" i="5"/>
  <c r="U287" i="5"/>
  <c r="V287" i="5" s="1"/>
  <c r="O355" i="5"/>
  <c r="U355" i="5"/>
  <c r="V355" i="5" s="1"/>
  <c r="O365" i="5"/>
  <c r="U365" i="5"/>
  <c r="V365" i="5" s="1"/>
  <c r="O291" i="5"/>
  <c r="U291" i="5"/>
  <c r="V291" i="5" s="1"/>
  <c r="O420" i="5"/>
  <c r="U420" i="5"/>
  <c r="V420" i="5" s="1"/>
  <c r="O383" i="5"/>
  <c r="U383" i="5"/>
  <c r="V383" i="5" s="1"/>
  <c r="O434" i="5"/>
  <c r="U434" i="5"/>
  <c r="V434" i="5" s="1"/>
  <c r="N338" i="5"/>
  <c r="P338" i="5"/>
  <c r="U276" i="5"/>
  <c r="V276" i="5" s="1"/>
  <c r="O276" i="5"/>
  <c r="P311" i="5"/>
  <c r="N311" i="5"/>
  <c r="O312" i="5"/>
  <c r="U312" i="5"/>
  <c r="V312" i="5" s="1"/>
  <c r="U368" i="5"/>
  <c r="V368" i="5" s="1"/>
  <c r="O368" i="5"/>
  <c r="O372" i="5"/>
  <c r="U372" i="5"/>
  <c r="V372" i="5" s="1"/>
  <c r="O391" i="5"/>
  <c r="U391" i="5"/>
  <c r="V391" i="5" s="1"/>
  <c r="O366" i="5"/>
  <c r="U366" i="5"/>
  <c r="V366" i="5" s="1"/>
  <c r="O264" i="5"/>
  <c r="U264" i="5"/>
  <c r="V264" i="5" s="1"/>
  <c r="O313" i="5"/>
  <c r="U313" i="5"/>
  <c r="V313" i="5" s="1"/>
  <c r="O330" i="5"/>
  <c r="U330" i="5"/>
  <c r="V330" i="5" s="1"/>
  <c r="O428" i="5"/>
  <c r="U428" i="5"/>
  <c r="V428" i="5" s="1"/>
  <c r="P309" i="5"/>
  <c r="N309" i="5"/>
  <c r="O392" i="5"/>
  <c r="U392" i="5"/>
  <c r="V392" i="5" s="1"/>
  <c r="O353" i="5"/>
  <c r="U353" i="5"/>
  <c r="V353" i="5" s="1"/>
  <c r="O375" i="5"/>
  <c r="U375" i="5"/>
  <c r="V375" i="5" s="1"/>
  <c r="O360" i="5"/>
  <c r="U360" i="5"/>
  <c r="V360" i="5" s="1"/>
  <c r="O386" i="5"/>
  <c r="U386" i="5"/>
  <c r="V386" i="5" s="1"/>
  <c r="U376" i="5"/>
  <c r="V376" i="5" s="1"/>
  <c r="O376" i="5"/>
  <c r="U262" i="5"/>
  <c r="V262" i="5" s="1"/>
  <c r="O262" i="5"/>
  <c r="O410" i="5"/>
  <c r="U410" i="5"/>
  <c r="V410" i="5" s="1"/>
  <c r="O362" i="5"/>
  <c r="U362" i="5"/>
  <c r="V362" i="5" s="1"/>
  <c r="O332" i="5"/>
  <c r="U332" i="5"/>
  <c r="V332" i="5" s="1"/>
  <c r="O348" i="5"/>
  <c r="U348" i="5"/>
  <c r="V348" i="5" s="1"/>
  <c r="O278" i="5"/>
  <c r="U278" i="5"/>
  <c r="V278" i="5" s="1"/>
  <c r="U275" i="5"/>
  <c r="V275" i="5" s="1"/>
  <c r="O275" i="5"/>
  <c r="U350" i="5"/>
  <c r="V350" i="5" s="1"/>
  <c r="O350" i="5"/>
  <c r="O361" i="5"/>
  <c r="U361" i="5"/>
  <c r="V361" i="5" s="1"/>
  <c r="O356" i="5"/>
  <c r="U356" i="5"/>
  <c r="V356" i="5" s="1"/>
  <c r="O280" i="5"/>
  <c r="U280" i="5"/>
  <c r="V280" i="5" s="1"/>
  <c r="O270" i="5"/>
  <c r="U270" i="5"/>
  <c r="V270" i="5" s="1"/>
  <c r="U351" i="5"/>
  <c r="V351" i="5" s="1"/>
  <c r="O351" i="5"/>
  <c r="O377" i="5"/>
  <c r="U377" i="5"/>
  <c r="V377" i="5" s="1"/>
  <c r="O419" i="5"/>
  <c r="U419" i="5"/>
  <c r="V419" i="5" s="1"/>
  <c r="O294" i="5"/>
  <c r="U294" i="5"/>
  <c r="V294" i="5" s="1"/>
  <c r="U251" i="5"/>
  <c r="V251" i="5" s="1"/>
  <c r="O251" i="5"/>
  <c r="O299" i="5"/>
  <c r="U299" i="5"/>
  <c r="V299" i="5" s="1"/>
  <c r="O263" i="5"/>
  <c r="U263" i="5"/>
  <c r="V263" i="5" s="1"/>
  <c r="P298" i="5"/>
  <c r="N298" i="5"/>
  <c r="O255" i="5"/>
  <c r="U255" i="5"/>
  <c r="V255" i="5" s="1"/>
  <c r="O300" i="5"/>
  <c r="U300" i="5"/>
  <c r="V300" i="5" s="1"/>
  <c r="O438" i="5"/>
  <c r="U438" i="5"/>
  <c r="V438" i="5" s="1"/>
  <c r="O252" i="5"/>
  <c r="U252" i="5"/>
  <c r="V252" i="5" s="1"/>
  <c r="O289" i="5"/>
  <c r="U289" i="5"/>
  <c r="V289" i="5" s="1"/>
  <c r="O315" i="5"/>
  <c r="U315" i="5"/>
  <c r="V315" i="5" s="1"/>
  <c r="O321" i="5"/>
  <c r="U321" i="5"/>
  <c r="V321" i="5" s="1"/>
  <c r="O268" i="5"/>
  <c r="U268" i="5"/>
  <c r="V268" i="5" s="1"/>
  <c r="O341" i="5"/>
  <c r="U341" i="5"/>
  <c r="V341" i="5" s="1"/>
  <c r="U279" i="5"/>
  <c r="V279" i="5" s="1"/>
  <c r="O279" i="5"/>
  <c r="U431" i="5"/>
  <c r="V431" i="5" s="1"/>
  <c r="O431" i="5"/>
  <c r="O290" i="5"/>
  <c r="U290" i="5"/>
  <c r="V290" i="5" s="1"/>
  <c r="O436" i="5"/>
  <c r="U436" i="5"/>
  <c r="V436" i="5" s="1"/>
  <c r="O271" i="5"/>
  <c r="U271" i="5"/>
  <c r="V271" i="5" s="1"/>
  <c r="O261" i="5"/>
  <c r="U261" i="5"/>
  <c r="V261" i="5" s="1"/>
  <c r="O344" i="5"/>
  <c r="U344" i="5"/>
  <c r="V344" i="5" s="1"/>
  <c r="N314" i="5"/>
  <c r="P314" i="5"/>
  <c r="O284" i="5"/>
  <c r="U284" i="5"/>
  <c r="V284" i="5" s="1"/>
  <c r="O389" i="5"/>
  <c r="U389" i="5"/>
  <c r="V389" i="5" s="1"/>
  <c r="O352" i="5"/>
  <c r="U352" i="5"/>
  <c r="V352" i="5" s="1"/>
  <c r="O256" i="5"/>
  <c r="U256" i="5"/>
  <c r="V256" i="5" s="1"/>
  <c r="O253" i="5"/>
  <c r="U253" i="5"/>
  <c r="V253" i="5" s="1"/>
  <c r="U272" i="5"/>
  <c r="V272" i="5" s="1"/>
  <c r="O272" i="5"/>
  <c r="U249" i="5"/>
  <c r="V249" i="5" s="1"/>
  <c r="O249" i="5"/>
  <c r="O381" i="5"/>
  <c r="U381" i="5"/>
  <c r="V381" i="5" s="1"/>
  <c r="O316" i="5"/>
  <c r="U316" i="5"/>
  <c r="V316" i="5" s="1"/>
  <c r="O245" i="5"/>
  <c r="U245" i="5"/>
  <c r="V245" i="5" s="1"/>
  <c r="O325" i="5"/>
  <c r="U325" i="5"/>
  <c r="V325" i="5" s="1"/>
  <c r="O416" i="5"/>
  <c r="U416" i="5"/>
  <c r="V416" i="5" s="1"/>
  <c r="O413" i="5"/>
  <c r="U413" i="5"/>
  <c r="V413" i="5" s="1"/>
  <c r="O435" i="5"/>
  <c r="U435" i="5"/>
  <c r="V435" i="5" s="1"/>
  <c r="O292" i="5"/>
  <c r="U292" i="5"/>
  <c r="V292" i="5" s="1"/>
  <c r="O267" i="5"/>
  <c r="U267" i="5"/>
  <c r="V267" i="5" s="1"/>
  <c r="O402" i="5"/>
  <c r="U402" i="5"/>
  <c r="V402" i="5" s="1"/>
  <c r="O422" i="5"/>
  <c r="U422" i="5"/>
  <c r="V422" i="5" s="1"/>
  <c r="O246" i="5"/>
  <c r="U246" i="5"/>
  <c r="V246" i="5" s="1"/>
  <c r="O247" i="5"/>
  <c r="U247" i="5"/>
  <c r="V247" i="5" s="1"/>
  <c r="O339" i="5"/>
  <c r="U339" i="5"/>
  <c r="V339" i="5" s="1"/>
  <c r="O273" i="5"/>
  <c r="U273" i="5"/>
  <c r="V273" i="5" s="1"/>
  <c r="O319" i="5"/>
  <c r="U319" i="5"/>
  <c r="V319" i="5" s="1"/>
  <c r="U409" i="5"/>
  <c r="V409" i="5" s="1"/>
  <c r="O409" i="5"/>
  <c r="U250" i="5"/>
  <c r="V250" i="5" s="1"/>
  <c r="O250" i="5"/>
  <c r="U430" i="5"/>
  <c r="V430" i="5" s="1"/>
  <c r="O430" i="5"/>
  <c r="O295" i="5"/>
  <c r="U295" i="5"/>
  <c r="V295" i="5" s="1"/>
  <c r="P414" i="5"/>
  <c r="N414" i="5"/>
  <c r="O359" i="5"/>
  <c r="U359" i="5"/>
  <c r="V359" i="5" s="1"/>
  <c r="O340" i="5"/>
  <c r="U340" i="5"/>
  <c r="V340" i="5" s="1"/>
  <c r="O281" i="5"/>
  <c r="U281" i="5"/>
  <c r="V281" i="5" s="1"/>
  <c r="O277" i="5"/>
  <c r="U277" i="5"/>
  <c r="V277" i="5" s="1"/>
  <c r="O440" i="5"/>
  <c r="U440" i="5"/>
  <c r="V440" i="5" s="1"/>
  <c r="O244" i="5"/>
  <c r="U244" i="5"/>
  <c r="V244" i="5" s="1"/>
  <c r="O323" i="5"/>
  <c r="U323" i="5"/>
  <c r="V323" i="5" s="1"/>
  <c r="U385" i="5"/>
  <c r="V385" i="5" s="1"/>
  <c r="O385" i="5"/>
  <c r="O296" i="5"/>
  <c r="U296" i="5"/>
  <c r="V296" i="5" s="1"/>
  <c r="O333" i="5"/>
  <c r="U333" i="5"/>
  <c r="V333" i="5" s="1"/>
  <c r="O427" i="5"/>
  <c r="U427" i="5"/>
  <c r="V427" i="5" s="1"/>
  <c r="U317" i="5"/>
  <c r="V317" i="5" s="1"/>
  <c r="O317" i="5"/>
  <c r="O329" i="5"/>
  <c r="U329" i="5"/>
  <c r="V329" i="5" s="1"/>
  <c r="O349" i="5"/>
  <c r="U349" i="5"/>
  <c r="V349" i="5" s="1"/>
  <c r="O441" i="5"/>
  <c r="U441" i="5"/>
  <c r="V441" i="5" s="1"/>
  <c r="O238" i="5"/>
  <c r="U238" i="5"/>
  <c r="V238" i="5" s="1"/>
  <c r="O237" i="5"/>
  <c r="U237" i="5"/>
  <c r="V237" i="5" s="1"/>
  <c r="O225" i="5"/>
  <c r="O236" i="5"/>
  <c r="U236" i="5"/>
  <c r="V236" i="5" s="1"/>
  <c r="O230" i="5"/>
  <c r="U230" i="5"/>
  <c r="V230" i="5" s="1"/>
  <c r="O229" i="5"/>
  <c r="U229" i="5"/>
  <c r="V229" i="5" s="1"/>
  <c r="O231" i="5"/>
  <c r="U231" i="5"/>
  <c r="V231" i="5" s="1"/>
  <c r="O227" i="5"/>
  <c r="U227" i="5"/>
  <c r="V227" i="5" s="1"/>
  <c r="O228" i="5"/>
  <c r="U228" i="5"/>
  <c r="V228" i="5" s="1"/>
  <c r="O224" i="5"/>
  <c r="U224" i="5"/>
  <c r="V224" i="5" s="1"/>
  <c r="O222" i="5"/>
  <c r="U222" i="5"/>
  <c r="V222" i="5" s="1"/>
  <c r="O219" i="5"/>
  <c r="U219" i="5"/>
  <c r="V219" i="5" s="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B217" i="5"/>
  <c r="Q217" i="5" s="1"/>
  <c r="J217" i="5"/>
  <c r="K217" i="5" s="1"/>
  <c r="B216" i="5"/>
  <c r="M216" i="5" s="1"/>
  <c r="J216" i="5"/>
  <c r="K216" i="5" s="1"/>
  <c r="B214" i="5"/>
  <c r="M214" i="5" s="1"/>
  <c r="B215" i="5"/>
  <c r="M215" i="5" s="1"/>
  <c r="J214" i="5"/>
  <c r="K214" i="5" s="1"/>
  <c r="L214" i="5" s="1"/>
  <c r="J215" i="5"/>
  <c r="K215" i="5" s="1"/>
  <c r="L215" i="5" s="1"/>
  <c r="B211" i="5"/>
  <c r="M211" i="5" s="1"/>
  <c r="B212" i="5"/>
  <c r="Q212" i="5" s="1"/>
  <c r="B213" i="5"/>
  <c r="Q213" i="5" s="1"/>
  <c r="J211" i="5"/>
  <c r="K211" i="5" s="1"/>
  <c r="L211" i="5" s="1"/>
  <c r="J212" i="5"/>
  <c r="K212" i="5" s="1"/>
  <c r="L212" i="5" s="1"/>
  <c r="J213" i="5"/>
  <c r="B208" i="5"/>
  <c r="Q208" i="5" s="1"/>
  <c r="B209" i="5"/>
  <c r="Q209" i="5" s="1"/>
  <c r="B210" i="5"/>
  <c r="Q210" i="5" s="1"/>
  <c r="J208" i="5"/>
  <c r="K208" i="5" s="1"/>
  <c r="J209" i="5"/>
  <c r="K209" i="5" s="1"/>
  <c r="L209" i="5" s="1"/>
  <c r="J210" i="5"/>
  <c r="K210" i="5" s="1"/>
  <c r="L210" i="5" s="1"/>
  <c r="B207" i="5"/>
  <c r="Q207" i="5" s="1"/>
  <c r="J207" i="5"/>
  <c r="K207" i="5" s="1"/>
  <c r="B205" i="5"/>
  <c r="M205" i="5" s="1"/>
  <c r="B206" i="5"/>
  <c r="M206" i="5" s="1"/>
  <c r="J205" i="5"/>
  <c r="K205" i="5" s="1"/>
  <c r="J206" i="5"/>
  <c r="B204" i="5"/>
  <c r="M204" i="5" s="1"/>
  <c r="J204" i="5"/>
  <c r="K204" i="5" s="1"/>
  <c r="B203" i="5"/>
  <c r="M203" i="5" s="1"/>
  <c r="J203" i="5"/>
  <c r="B202" i="5"/>
  <c r="M202" i="5" s="1"/>
  <c r="J202" i="5"/>
  <c r="K202" i="5" s="1"/>
  <c r="B201" i="5"/>
  <c r="M201" i="5" s="1"/>
  <c r="J201" i="5"/>
  <c r="K201" i="5" s="1"/>
  <c r="B198" i="5"/>
  <c r="Q198" i="5" s="1"/>
  <c r="B199" i="5"/>
  <c r="Q199" i="5" s="1"/>
  <c r="B200" i="5"/>
  <c r="Q200" i="5" s="1"/>
  <c r="J198" i="5"/>
  <c r="K198" i="5" s="1"/>
  <c r="J199" i="5"/>
  <c r="K199" i="5" s="1"/>
  <c r="L199" i="5" s="1"/>
  <c r="J200" i="5"/>
  <c r="K200" i="5" s="1"/>
  <c r="L200" i="5" s="1"/>
  <c r="B197" i="5"/>
  <c r="Q197" i="5" s="1"/>
  <c r="J197" i="5"/>
  <c r="K197" i="5" s="1"/>
  <c r="B195" i="5"/>
  <c r="M195" i="5" s="1"/>
  <c r="B196" i="5"/>
  <c r="M196" i="5" s="1"/>
  <c r="J195" i="5"/>
  <c r="K195" i="5" s="1"/>
  <c r="J196" i="5"/>
  <c r="K196" i="5" s="1"/>
  <c r="L196" i="5" s="1"/>
  <c r="B192" i="5"/>
  <c r="Q192" i="5" s="1"/>
  <c r="B193" i="5"/>
  <c r="Q193" i="5" s="1"/>
  <c r="B194" i="5"/>
  <c r="Q194" i="5" s="1"/>
  <c r="J192" i="5"/>
  <c r="K192" i="5" s="1"/>
  <c r="J193" i="5"/>
  <c r="K193" i="5" s="1"/>
  <c r="L193" i="5" s="1"/>
  <c r="J194" i="5"/>
  <c r="K194" i="5" s="1"/>
  <c r="B189" i="5"/>
  <c r="Q189" i="5" s="1"/>
  <c r="B190" i="5"/>
  <c r="Q190" i="5" s="1"/>
  <c r="B191" i="5"/>
  <c r="Q191" i="5" s="1"/>
  <c r="J189" i="5"/>
  <c r="K189" i="5" s="1"/>
  <c r="L189" i="5" s="1"/>
  <c r="J190" i="5"/>
  <c r="K190" i="5" s="1"/>
  <c r="L190" i="5" s="1"/>
  <c r="J191" i="5"/>
  <c r="B188" i="5"/>
  <c r="Q188" i="5" s="1"/>
  <c r="J188" i="5"/>
  <c r="K188" i="5" s="1"/>
  <c r="B187" i="5"/>
  <c r="Q187" i="5" s="1"/>
  <c r="J187" i="5"/>
  <c r="K187" i="5" s="1"/>
  <c r="B186" i="5"/>
  <c r="M186" i="5" s="1"/>
  <c r="J186" i="5"/>
  <c r="K186" i="5" s="1"/>
  <c r="B185" i="5"/>
  <c r="Q185" i="5" s="1"/>
  <c r="J185" i="5"/>
  <c r="K185" i="5" s="1"/>
  <c r="B182" i="5"/>
  <c r="Q182" i="5" s="1"/>
  <c r="B183" i="5"/>
  <c r="Q183" i="5" s="1"/>
  <c r="B184" i="5"/>
  <c r="Q184" i="5" s="1"/>
  <c r="J182" i="5"/>
  <c r="K182" i="5" s="1"/>
  <c r="L182" i="5" s="1"/>
  <c r="J183" i="5"/>
  <c r="K183" i="5" s="1"/>
  <c r="L183" i="5" s="1"/>
  <c r="J184" i="5"/>
  <c r="K184" i="5" s="1"/>
  <c r="B180" i="5"/>
  <c r="M180" i="5" s="1"/>
  <c r="B181" i="5"/>
  <c r="M181" i="5" s="1"/>
  <c r="J180" i="5"/>
  <c r="J181" i="5"/>
  <c r="K181" i="5" s="1"/>
  <c r="L181" i="5" s="1"/>
  <c r="B178" i="5"/>
  <c r="M178" i="5" s="1"/>
  <c r="B179" i="5"/>
  <c r="M179" i="5" s="1"/>
  <c r="J178" i="5"/>
  <c r="K178" i="5" s="1"/>
  <c r="J179" i="5"/>
  <c r="K179" i="5" s="1"/>
  <c r="L179" i="5" s="1"/>
  <c r="B175" i="5"/>
  <c r="Q175" i="5" s="1"/>
  <c r="B176" i="5"/>
  <c r="Q176" i="5" s="1"/>
  <c r="B177" i="5"/>
  <c r="Q177" i="5" s="1"/>
  <c r="J175" i="5"/>
  <c r="K175" i="5" s="1"/>
  <c r="L175" i="5" s="1"/>
  <c r="J176" i="5"/>
  <c r="K176" i="5" s="1"/>
  <c r="L176" i="5" s="1"/>
  <c r="J177" i="5"/>
  <c r="B174" i="5"/>
  <c r="Q174" i="5" s="1"/>
  <c r="J174" i="5"/>
  <c r="K174" i="5" s="1"/>
  <c r="B172" i="5"/>
  <c r="M172" i="5" s="1"/>
  <c r="B173" i="5"/>
  <c r="M173" i="5" s="1"/>
  <c r="J172" i="5"/>
  <c r="K172" i="5" s="1"/>
  <c r="J173" i="5"/>
  <c r="K173" i="5" s="1"/>
  <c r="L173" i="5" s="1"/>
  <c r="B169" i="5"/>
  <c r="Q169" i="5" s="1"/>
  <c r="B170" i="5"/>
  <c r="Q170" i="5" s="1"/>
  <c r="B171" i="5"/>
  <c r="Q171" i="5" s="1"/>
  <c r="J169" i="5"/>
  <c r="K169" i="5" s="1"/>
  <c r="J170" i="5"/>
  <c r="K170" i="5" s="1"/>
  <c r="L170" i="5" s="1"/>
  <c r="J171" i="5"/>
  <c r="K171" i="5" s="1"/>
  <c r="L171" i="5" s="1"/>
  <c r="B167" i="5"/>
  <c r="M167" i="5" s="1"/>
  <c r="B168" i="5"/>
  <c r="M168" i="5" s="1"/>
  <c r="J167" i="5"/>
  <c r="K167" i="5" s="1"/>
  <c r="J168" i="5"/>
  <c r="K168" i="5" s="1"/>
  <c r="L168" i="5" s="1"/>
  <c r="B165" i="5"/>
  <c r="M165" i="5" s="1"/>
  <c r="B166" i="5"/>
  <c r="M166" i="5" s="1"/>
  <c r="J165" i="5"/>
  <c r="K165" i="5" s="1"/>
  <c r="L165" i="5" s="1"/>
  <c r="J166" i="5"/>
  <c r="K166" i="5" s="1"/>
  <c r="L166" i="5" s="1"/>
  <c r="B164" i="5"/>
  <c r="Q164" i="5" s="1"/>
  <c r="J164" i="5"/>
  <c r="K164" i="5" s="1"/>
  <c r="B163" i="5"/>
  <c r="M163" i="5" s="1"/>
  <c r="J163" i="5"/>
  <c r="K163" i="5" s="1"/>
  <c r="B161" i="5"/>
  <c r="M161" i="5" s="1"/>
  <c r="B162" i="5"/>
  <c r="M162" i="5" s="1"/>
  <c r="J161" i="5"/>
  <c r="K161" i="5" s="1"/>
  <c r="J162" i="5"/>
  <c r="K162" i="5" s="1"/>
  <c r="L162" i="5" s="1"/>
  <c r="B159" i="5"/>
  <c r="M159" i="5" s="1"/>
  <c r="B160" i="5"/>
  <c r="M160" i="5" s="1"/>
  <c r="J159" i="5"/>
  <c r="K159" i="5" s="1"/>
  <c r="J160" i="5"/>
  <c r="K160" i="5" s="1"/>
  <c r="L160" i="5" s="1"/>
  <c r="B158" i="5"/>
  <c r="M158" i="5" s="1"/>
  <c r="J158" i="5"/>
  <c r="K158" i="5" s="1"/>
  <c r="B157" i="5"/>
  <c r="Q157" i="5" s="1"/>
  <c r="J157" i="5"/>
  <c r="K157" i="5" s="1"/>
  <c r="B156" i="5"/>
  <c r="Q156" i="5" s="1"/>
  <c r="J156" i="5"/>
  <c r="K156" i="5" s="1"/>
  <c r="B155" i="5"/>
  <c r="Q155" i="5" s="1"/>
  <c r="J155" i="5"/>
  <c r="K155" i="5" s="1"/>
  <c r="B153" i="5"/>
  <c r="M153" i="5" s="1"/>
  <c r="B154" i="5"/>
  <c r="Q154" i="5" s="1"/>
  <c r="J153" i="5"/>
  <c r="J154" i="5"/>
  <c r="B152" i="5"/>
  <c r="M152" i="5" s="1"/>
  <c r="J152" i="5"/>
  <c r="K152" i="5" s="1"/>
  <c r="B151" i="5"/>
  <c r="Q151" i="5" s="1"/>
  <c r="J151" i="5"/>
  <c r="K151" i="5" s="1"/>
  <c r="B149" i="5"/>
  <c r="M149" i="5" s="1"/>
  <c r="B150" i="5"/>
  <c r="M150" i="5" s="1"/>
  <c r="J149" i="5"/>
  <c r="K149" i="5" s="1"/>
  <c r="J150" i="5"/>
  <c r="B148" i="5"/>
  <c r="M148" i="5" s="1"/>
  <c r="J148" i="5"/>
  <c r="K148" i="5" s="1"/>
  <c r="B147" i="5"/>
  <c r="Q147" i="5" s="1"/>
  <c r="J147" i="5"/>
  <c r="K147" i="5" s="1"/>
  <c r="L147" i="5" s="1"/>
  <c r="P147" i="5" s="1"/>
  <c r="B146" i="5"/>
  <c r="M146" i="5" s="1"/>
  <c r="J146" i="5"/>
  <c r="K146" i="5" s="1"/>
  <c r="B145" i="5"/>
  <c r="M145" i="5" s="1"/>
  <c r="J145" i="5"/>
  <c r="K145" i="5" s="1"/>
  <c r="B142" i="5"/>
  <c r="Q142" i="5" s="1"/>
  <c r="B143" i="5"/>
  <c r="Q143" i="5" s="1"/>
  <c r="B144" i="5"/>
  <c r="Q144" i="5" s="1"/>
  <c r="J142" i="5"/>
  <c r="K142" i="5" s="1"/>
  <c r="L142" i="5" s="1"/>
  <c r="J143" i="5"/>
  <c r="K143" i="5" s="1"/>
  <c r="J144" i="5"/>
  <c r="K144" i="5" s="1"/>
  <c r="B139" i="5"/>
  <c r="Q139" i="5" s="1"/>
  <c r="B140" i="5"/>
  <c r="Q140" i="5" s="1"/>
  <c r="B141" i="5"/>
  <c r="Q141" i="5" s="1"/>
  <c r="J139" i="5"/>
  <c r="K139" i="5" s="1"/>
  <c r="L139" i="5" s="1"/>
  <c r="J140" i="5"/>
  <c r="K140" i="5" s="1"/>
  <c r="J141" i="5"/>
  <c r="K141" i="5" s="1"/>
  <c r="B137" i="5"/>
  <c r="M137" i="5" s="1"/>
  <c r="B138" i="5"/>
  <c r="M138" i="5" s="1"/>
  <c r="J137" i="5"/>
  <c r="K137" i="5" s="1"/>
  <c r="J138" i="5"/>
  <c r="K138" i="5" s="1"/>
  <c r="L138" i="5" s="1"/>
  <c r="B135" i="5"/>
  <c r="M135" i="5" s="1"/>
  <c r="B136" i="5"/>
  <c r="M136" i="5" s="1"/>
  <c r="J135" i="5"/>
  <c r="K135" i="5" s="1"/>
  <c r="J136" i="5"/>
  <c r="K136" i="5" s="1"/>
  <c r="L136" i="5" s="1"/>
  <c r="B132" i="5"/>
  <c r="Q132" i="5" s="1"/>
  <c r="B133" i="5"/>
  <c r="Q133" i="5" s="1"/>
  <c r="B134" i="5"/>
  <c r="Q134" i="5" s="1"/>
  <c r="J132" i="5"/>
  <c r="K132" i="5" s="1"/>
  <c r="J133" i="5"/>
  <c r="K133" i="5" s="1"/>
  <c r="J134" i="5"/>
  <c r="K134" i="5" s="1"/>
  <c r="B131" i="5"/>
  <c r="M131" i="5" s="1"/>
  <c r="J131" i="5"/>
  <c r="K131" i="5" s="1"/>
  <c r="B130" i="5"/>
  <c r="Q130" i="5" s="1"/>
  <c r="J130" i="5"/>
  <c r="K130" i="5" s="1"/>
  <c r="B128" i="5"/>
  <c r="M128" i="5" s="1"/>
  <c r="B129" i="5"/>
  <c r="M129" i="5" s="1"/>
  <c r="J128" i="5"/>
  <c r="K128" i="5" s="1"/>
  <c r="J129" i="5"/>
  <c r="K129" i="5" s="1"/>
  <c r="L129" i="5" s="1"/>
  <c r="B127" i="5"/>
  <c r="M127" i="5" s="1"/>
  <c r="J127" i="5"/>
  <c r="K127" i="5" s="1"/>
  <c r="B124" i="5"/>
  <c r="Q124" i="5" s="1"/>
  <c r="B125" i="5"/>
  <c r="Q125" i="5" s="1"/>
  <c r="B126" i="5"/>
  <c r="Q126" i="5" s="1"/>
  <c r="J124" i="5"/>
  <c r="K124" i="5" s="1"/>
  <c r="L124" i="5" s="1"/>
  <c r="J125" i="5"/>
  <c r="K125" i="5" s="1"/>
  <c r="J126" i="5"/>
  <c r="K126" i="5" s="1"/>
  <c r="L126" i="5" s="1"/>
  <c r="B118" i="5"/>
  <c r="Q118" i="5" s="1"/>
  <c r="B119" i="5"/>
  <c r="M119" i="5" s="1"/>
  <c r="B120" i="5"/>
  <c r="Q120" i="5" s="1"/>
  <c r="B121" i="5"/>
  <c r="Q121" i="5" s="1"/>
  <c r="B122" i="5"/>
  <c r="M122" i="5" s="1"/>
  <c r="B123" i="5"/>
  <c r="M123" i="5" s="1"/>
  <c r="J118" i="5"/>
  <c r="K118" i="5" s="1"/>
  <c r="J119" i="5"/>
  <c r="K119" i="5" s="1"/>
  <c r="L119" i="5" s="1"/>
  <c r="J120" i="5"/>
  <c r="K120" i="5" s="1"/>
  <c r="J121" i="5"/>
  <c r="K121" i="5" s="1"/>
  <c r="J122" i="5"/>
  <c r="K122" i="5" s="1"/>
  <c r="J123" i="5"/>
  <c r="K123" i="5" s="1"/>
  <c r="B117" i="5"/>
  <c r="M117" i="5" s="1"/>
  <c r="J117" i="5"/>
  <c r="K117" i="5" s="1"/>
  <c r="B111" i="5"/>
  <c r="M111" i="5" s="1"/>
  <c r="B112" i="5"/>
  <c r="M112" i="5" s="1"/>
  <c r="B113" i="5"/>
  <c r="Q113" i="5" s="1"/>
  <c r="B114" i="5"/>
  <c r="Q114" i="5" s="1"/>
  <c r="B115" i="5"/>
  <c r="M115" i="5" s="1"/>
  <c r="B116" i="5"/>
  <c r="Q116" i="5" s="1"/>
  <c r="J111" i="5"/>
  <c r="K111" i="5" s="1"/>
  <c r="J112" i="5"/>
  <c r="K112" i="5" s="1"/>
  <c r="J113" i="5"/>
  <c r="K113" i="5" s="1"/>
  <c r="J114" i="5"/>
  <c r="K114" i="5" s="1"/>
  <c r="J115" i="5"/>
  <c r="K115" i="5" s="1"/>
  <c r="L115" i="5" s="1"/>
  <c r="P115" i="5" s="1"/>
  <c r="J116" i="5"/>
  <c r="K116" i="5" s="1"/>
  <c r="L116" i="5" s="1"/>
  <c r="B105" i="5"/>
  <c r="M105" i="5" s="1"/>
  <c r="B106" i="5"/>
  <c r="Q106" i="5" s="1"/>
  <c r="B107" i="5"/>
  <c r="Q107" i="5" s="1"/>
  <c r="B108" i="5"/>
  <c r="Q108" i="5" s="1"/>
  <c r="B109" i="5"/>
  <c r="Q109" i="5" s="1"/>
  <c r="B110" i="5"/>
  <c r="Q110" i="5" s="1"/>
  <c r="J105" i="5"/>
  <c r="K105" i="5" s="1"/>
  <c r="J106" i="5"/>
  <c r="K106" i="5" s="1"/>
  <c r="J107" i="5"/>
  <c r="K107" i="5" s="1"/>
  <c r="J108" i="5"/>
  <c r="K108" i="5" s="1"/>
  <c r="J109" i="5"/>
  <c r="K109" i="5" s="1"/>
  <c r="L109" i="5" s="1"/>
  <c r="J110" i="5"/>
  <c r="K110" i="5" s="1"/>
  <c r="B99" i="5"/>
  <c r="Q99" i="5" s="1"/>
  <c r="B100" i="5"/>
  <c r="M100" i="5" s="1"/>
  <c r="B101" i="5"/>
  <c r="Q101" i="5" s="1"/>
  <c r="B102" i="5"/>
  <c r="Q102" i="5" s="1"/>
  <c r="B103" i="5"/>
  <c r="Q103" i="5" s="1"/>
  <c r="B104" i="5"/>
  <c r="M104" i="5" s="1"/>
  <c r="J99" i="5"/>
  <c r="K99" i="5" s="1"/>
  <c r="J100" i="5"/>
  <c r="K100" i="5" s="1"/>
  <c r="J101" i="5"/>
  <c r="K101" i="5" s="1"/>
  <c r="J102" i="5"/>
  <c r="K102" i="5" s="1"/>
  <c r="J103" i="5"/>
  <c r="K103" i="5" s="1"/>
  <c r="L103" i="5" s="1"/>
  <c r="P103" i="5" s="1"/>
  <c r="J104" i="5"/>
  <c r="B93" i="5"/>
  <c r="M93" i="5" s="1"/>
  <c r="B94" i="5"/>
  <c r="M94" i="5" s="1"/>
  <c r="B95" i="5"/>
  <c r="Q95" i="5" s="1"/>
  <c r="B96" i="5"/>
  <c r="Q96" i="5" s="1"/>
  <c r="B97" i="5"/>
  <c r="M97" i="5" s="1"/>
  <c r="B98" i="5"/>
  <c r="M98" i="5" s="1"/>
  <c r="J93" i="5"/>
  <c r="K93" i="5" s="1"/>
  <c r="L93" i="5" s="1"/>
  <c r="J94" i="5"/>
  <c r="K94" i="5" s="1"/>
  <c r="J95" i="5"/>
  <c r="K95" i="5" s="1"/>
  <c r="J96" i="5"/>
  <c r="K96" i="5" s="1"/>
  <c r="L96" i="5" s="1"/>
  <c r="P96" i="5" s="1"/>
  <c r="J97" i="5"/>
  <c r="J98" i="5"/>
  <c r="K98" i="5" s="1"/>
  <c r="B92" i="5"/>
  <c r="Q92" i="5" s="1"/>
  <c r="J92" i="5"/>
  <c r="K92" i="5" s="1"/>
  <c r="B90" i="5"/>
  <c r="M90" i="5" s="1"/>
  <c r="B91" i="5"/>
  <c r="M91" i="5" s="1"/>
  <c r="J90" i="5"/>
  <c r="K90" i="5" s="1"/>
  <c r="L90" i="5" s="1"/>
  <c r="J91" i="5"/>
  <c r="B87" i="5"/>
  <c r="Q87" i="5" s="1"/>
  <c r="B88" i="5"/>
  <c r="Q88" i="5" s="1"/>
  <c r="B89" i="5"/>
  <c r="Q89" i="5" s="1"/>
  <c r="J87" i="5"/>
  <c r="K87" i="5" s="1"/>
  <c r="L87" i="5" s="1"/>
  <c r="J88" i="5"/>
  <c r="K88" i="5" s="1"/>
  <c r="J89" i="5"/>
  <c r="K89" i="5" s="1"/>
  <c r="B84" i="5"/>
  <c r="Q84" i="5" s="1"/>
  <c r="B85" i="5"/>
  <c r="Q85" i="5" s="1"/>
  <c r="B86" i="5"/>
  <c r="Q86" i="5" s="1"/>
  <c r="J84" i="5"/>
  <c r="K84" i="5" s="1"/>
  <c r="L84" i="5" s="1"/>
  <c r="J85" i="5"/>
  <c r="K85" i="5" s="1"/>
  <c r="J86" i="5"/>
  <c r="K86" i="5" s="1"/>
  <c r="B82" i="5"/>
  <c r="M82" i="5" s="1"/>
  <c r="B83" i="5"/>
  <c r="M83" i="5" s="1"/>
  <c r="J82" i="5"/>
  <c r="K82" i="5" s="1"/>
  <c r="L82" i="5" s="1"/>
  <c r="J83" i="5"/>
  <c r="K83" i="5" s="1"/>
  <c r="L83" i="5" s="1"/>
  <c r="B81" i="5"/>
  <c r="Q81" i="5" s="1"/>
  <c r="J81" i="5"/>
  <c r="K81" i="5" s="1"/>
  <c r="B79" i="5"/>
  <c r="M79" i="5" s="1"/>
  <c r="B80" i="5"/>
  <c r="M80" i="5" s="1"/>
  <c r="J79" i="5"/>
  <c r="K79" i="5" s="1"/>
  <c r="J80" i="5"/>
  <c r="B78" i="5"/>
  <c r="Q78" i="5" s="1"/>
  <c r="J78" i="5"/>
  <c r="K78" i="5" s="1"/>
  <c r="B77" i="5"/>
  <c r="M77" i="5" s="1"/>
  <c r="J77" i="5"/>
  <c r="K77" i="5" s="1"/>
  <c r="L77" i="5" s="1"/>
  <c r="B76" i="5"/>
  <c r="M76" i="5" s="1"/>
  <c r="J76" i="5"/>
  <c r="K76" i="5" s="1"/>
  <c r="B73" i="5"/>
  <c r="Q73" i="5" s="1"/>
  <c r="B74" i="5"/>
  <c r="Q74" i="5" s="1"/>
  <c r="B75" i="5"/>
  <c r="Q75" i="5" s="1"/>
  <c r="J73" i="5"/>
  <c r="K73" i="5" s="1"/>
  <c r="L73" i="5" s="1"/>
  <c r="J74" i="5"/>
  <c r="K74" i="5" s="1"/>
  <c r="J75" i="5"/>
  <c r="K75" i="5" s="1"/>
  <c r="B72" i="5"/>
  <c r="Q72" i="5" s="1"/>
  <c r="J72" i="5"/>
  <c r="K72" i="5" s="1"/>
  <c r="B71" i="5"/>
  <c r="M71" i="5" s="1"/>
  <c r="J71" i="5"/>
  <c r="K71" i="5" s="1"/>
  <c r="B70" i="5"/>
  <c r="M70" i="5" s="1"/>
  <c r="J70" i="5"/>
  <c r="K70" i="5" s="1"/>
  <c r="B69" i="5"/>
  <c r="M69" i="5" s="1"/>
  <c r="J69" i="5"/>
  <c r="K69" i="5" s="1"/>
  <c r="L69" i="5" s="1"/>
  <c r="B68" i="5"/>
  <c r="M68" i="5" s="1"/>
  <c r="J68" i="5"/>
  <c r="K68" i="5" s="1"/>
  <c r="B67" i="5"/>
  <c r="Q67" i="5" s="1"/>
  <c r="J67" i="5"/>
  <c r="K67" i="5" s="1"/>
  <c r="B64" i="5"/>
  <c r="Q64" i="5" s="1"/>
  <c r="B65" i="5"/>
  <c r="Q65" i="5" s="1"/>
  <c r="B66" i="5"/>
  <c r="Q66" i="5" s="1"/>
  <c r="J64" i="5"/>
  <c r="K64" i="5" s="1"/>
  <c r="L64" i="5" s="1"/>
  <c r="J65" i="5"/>
  <c r="K65" i="5" s="1"/>
  <c r="L65" i="5" s="1"/>
  <c r="J66" i="5"/>
  <c r="K66" i="5" s="1"/>
  <c r="L66" i="5" s="1"/>
  <c r="B63" i="5"/>
  <c r="Q63" i="5" s="1"/>
  <c r="J63" i="5"/>
  <c r="K63" i="5" s="1"/>
  <c r="B62" i="5"/>
  <c r="Q62" i="5" s="1"/>
  <c r="J62" i="5"/>
  <c r="K62" i="5" s="1"/>
  <c r="B61" i="5"/>
  <c r="M61" i="5" s="1"/>
  <c r="J61" i="5"/>
  <c r="K61" i="5" s="1"/>
  <c r="L61" i="5" s="1"/>
  <c r="B57" i="5"/>
  <c r="M57" i="5" s="1"/>
  <c r="B58" i="5"/>
  <c r="M58" i="5" s="1"/>
  <c r="B59" i="5"/>
  <c r="Q59" i="5" s="1"/>
  <c r="B60" i="5"/>
  <c r="M60" i="5" s="1"/>
  <c r="J57" i="5"/>
  <c r="K57" i="5" s="1"/>
  <c r="L57" i="5" s="1"/>
  <c r="J58" i="5"/>
  <c r="K58" i="5" s="1"/>
  <c r="L58" i="5" s="1"/>
  <c r="J59" i="5"/>
  <c r="K59" i="5" s="1"/>
  <c r="J60" i="5"/>
  <c r="K60" i="5" s="1"/>
  <c r="B55" i="5"/>
  <c r="Q55" i="5" s="1"/>
  <c r="B56" i="5"/>
  <c r="Q56" i="5" s="1"/>
  <c r="J55" i="5"/>
  <c r="K55" i="5" s="1"/>
  <c r="J56" i="5"/>
  <c r="K56" i="5" s="1"/>
  <c r="B53" i="5"/>
  <c r="M53" i="5" s="1"/>
  <c r="B54" i="5"/>
  <c r="M54" i="5" s="1"/>
  <c r="J53" i="5"/>
  <c r="K53" i="5" s="1"/>
  <c r="J54" i="5"/>
  <c r="K54" i="5" s="1"/>
  <c r="B49" i="5"/>
  <c r="Q49" i="5" s="1"/>
  <c r="B50" i="5"/>
  <c r="Q50" i="5" s="1"/>
  <c r="B51" i="5"/>
  <c r="Q51" i="5" s="1"/>
  <c r="B52" i="5"/>
  <c r="Q52" i="5" s="1"/>
  <c r="J49" i="5"/>
  <c r="K49" i="5" s="1"/>
  <c r="J50" i="5"/>
  <c r="K50" i="5" s="1"/>
  <c r="J51" i="5"/>
  <c r="K51" i="5" s="1"/>
  <c r="J52" i="5"/>
  <c r="K52" i="5" s="1"/>
  <c r="B47" i="5"/>
  <c r="M47" i="5" s="1"/>
  <c r="B48" i="5"/>
  <c r="M48" i="5" s="1"/>
  <c r="J47" i="5"/>
  <c r="J48" i="5"/>
  <c r="B46" i="5"/>
  <c r="M46" i="5" s="1"/>
  <c r="J46" i="5"/>
  <c r="B44" i="5"/>
  <c r="M44" i="5" s="1"/>
  <c r="B45" i="5"/>
  <c r="M45" i="5" s="1"/>
  <c r="J44" i="5"/>
  <c r="K44" i="5" s="1"/>
  <c r="L44" i="5" s="1"/>
  <c r="J45" i="5"/>
  <c r="K45" i="5" s="1"/>
  <c r="L45" i="5" s="1"/>
  <c r="B41" i="5"/>
  <c r="Q41" i="5" s="1"/>
  <c r="B42" i="5"/>
  <c r="Q42" i="5" s="1"/>
  <c r="B43" i="5"/>
  <c r="Q43" i="5" s="1"/>
  <c r="J41" i="5"/>
  <c r="K41" i="5" s="1"/>
  <c r="J42" i="5"/>
  <c r="K42" i="5" s="1"/>
  <c r="L42" i="5" s="1"/>
  <c r="J43" i="5"/>
  <c r="K43" i="5" s="1"/>
  <c r="B40" i="5"/>
  <c r="M40" i="5" s="1"/>
  <c r="J40" i="5"/>
  <c r="K40" i="5" s="1"/>
  <c r="B38" i="5"/>
  <c r="M38" i="5" s="1"/>
  <c r="B39" i="5"/>
  <c r="M39" i="5" s="1"/>
  <c r="J38" i="5"/>
  <c r="K38" i="5" s="1"/>
  <c r="J39" i="5"/>
  <c r="K39" i="5" s="1"/>
  <c r="B37" i="5"/>
  <c r="M37" i="5" s="1"/>
  <c r="J37" i="5"/>
  <c r="K37" i="5" s="1"/>
  <c r="B34" i="5"/>
  <c r="Q34" i="5" s="1"/>
  <c r="B35" i="5"/>
  <c r="Q35" i="5" s="1"/>
  <c r="B36" i="5"/>
  <c r="Q36" i="5" s="1"/>
  <c r="J34" i="5"/>
  <c r="K34" i="5" s="1"/>
  <c r="J35" i="5"/>
  <c r="K35" i="5" s="1"/>
  <c r="L35" i="5" s="1"/>
  <c r="J36" i="5"/>
  <c r="K36" i="5" s="1"/>
  <c r="B32" i="5"/>
  <c r="Q32" i="5" s="1"/>
  <c r="B33" i="5"/>
  <c r="M33" i="5" s="1"/>
  <c r="J32" i="5"/>
  <c r="K32" i="5" s="1"/>
  <c r="L32" i="5" s="1"/>
  <c r="J33" i="5"/>
  <c r="K33" i="5" s="1"/>
  <c r="L33" i="5" s="1"/>
  <c r="B29" i="5"/>
  <c r="Q29" i="5" s="1"/>
  <c r="B30" i="5"/>
  <c r="Q30" i="5" s="1"/>
  <c r="B31" i="5"/>
  <c r="Q31" i="5" s="1"/>
  <c r="J29" i="5"/>
  <c r="K29" i="5" s="1"/>
  <c r="L29" i="5" s="1"/>
  <c r="J30" i="5"/>
  <c r="K30" i="5" s="1"/>
  <c r="J31" i="5"/>
  <c r="B27" i="5"/>
  <c r="M27" i="5" s="1"/>
  <c r="B28" i="5"/>
  <c r="M28" i="5" s="1"/>
  <c r="J27" i="5"/>
  <c r="K27" i="5" s="1"/>
  <c r="J28" i="5"/>
  <c r="B26" i="5"/>
  <c r="Q26" i="5" s="1"/>
  <c r="J26" i="5"/>
  <c r="K26" i="5" s="1"/>
  <c r="B24" i="5"/>
  <c r="M24" i="5" s="1"/>
  <c r="B25" i="5"/>
  <c r="M25" i="5" s="1"/>
  <c r="J24" i="5"/>
  <c r="K24" i="5" s="1"/>
  <c r="L24" i="5" s="1"/>
  <c r="J25" i="5"/>
  <c r="K25" i="5" s="1"/>
  <c r="L25" i="5" s="1"/>
  <c r="B23" i="5"/>
  <c r="Q23" i="5" s="1"/>
  <c r="J23" i="5"/>
  <c r="K23" i="5" s="1"/>
  <c r="B18" i="5"/>
  <c r="M18" i="5" s="1"/>
  <c r="B19" i="5"/>
  <c r="Q19" i="5" s="1"/>
  <c r="B20" i="5"/>
  <c r="Q20" i="5" s="1"/>
  <c r="B21" i="5"/>
  <c r="Q21" i="5" s="1"/>
  <c r="B22" i="5"/>
  <c r="M22" i="5" s="1"/>
  <c r="J18" i="5"/>
  <c r="J19" i="5"/>
  <c r="K19" i="5" s="1"/>
  <c r="L19" i="5" s="1"/>
  <c r="J20" i="5"/>
  <c r="K20" i="5" s="1"/>
  <c r="J21" i="5"/>
  <c r="K21" i="5" s="1"/>
  <c r="L21" i="5" s="1"/>
  <c r="P21" i="5" s="1"/>
  <c r="J22" i="5"/>
  <c r="B17" i="5"/>
  <c r="Q17" i="5" s="1"/>
  <c r="J17" i="5"/>
  <c r="K17" i="5" s="1"/>
  <c r="B16" i="5"/>
  <c r="M16" i="5" s="1"/>
  <c r="J16" i="5"/>
  <c r="K16" i="5" s="1"/>
  <c r="B15" i="5"/>
  <c r="Q15" i="5" s="1"/>
  <c r="J15" i="5"/>
  <c r="K15" i="5" s="1"/>
  <c r="B14" i="5"/>
  <c r="Q14" i="5" s="1"/>
  <c r="J14" i="5"/>
  <c r="K14" i="5" s="1"/>
  <c r="B9" i="5"/>
  <c r="Q9" i="5" s="1"/>
  <c r="B10" i="5"/>
  <c r="M10" i="5" s="1"/>
  <c r="B11" i="5"/>
  <c r="M11" i="5" s="1"/>
  <c r="B12" i="5"/>
  <c r="Q12" i="5" s="1"/>
  <c r="B13" i="5"/>
  <c r="M13" i="5" s="1"/>
  <c r="J9" i="5"/>
  <c r="J10" i="5"/>
  <c r="K10" i="5" s="1"/>
  <c r="L10" i="5" s="1"/>
  <c r="J11" i="5"/>
  <c r="K11" i="5" s="1"/>
  <c r="L11" i="5" s="1"/>
  <c r="P11" i="5" s="1"/>
  <c r="J12" i="5"/>
  <c r="J13" i="5"/>
  <c r="B5" i="5"/>
  <c r="M5" i="5" s="1"/>
  <c r="B6" i="5"/>
  <c r="M6" i="5" s="1"/>
  <c r="B7" i="5"/>
  <c r="Q7" i="5" s="1"/>
  <c r="B8" i="5"/>
  <c r="M8" i="5" s="1"/>
  <c r="J5" i="5"/>
  <c r="K5" i="5" s="1"/>
  <c r="L5" i="5" s="1"/>
  <c r="J6" i="5"/>
  <c r="J7" i="5"/>
  <c r="K7" i="5" s="1"/>
  <c r="J8" i="5"/>
  <c r="K8" i="5" s="1"/>
  <c r="D47" i="12" l="1"/>
  <c r="D11" i="12"/>
  <c r="M99" i="5"/>
  <c r="Q111" i="5"/>
  <c r="R111" i="5" s="1"/>
  <c r="S111" i="5" s="1"/>
  <c r="M34" i="5"/>
  <c r="M41" i="5"/>
  <c r="M84" i="5"/>
  <c r="N84" i="5" s="1"/>
  <c r="M132" i="5"/>
  <c r="D41" i="12"/>
  <c r="M192" i="5"/>
  <c r="M209" i="5"/>
  <c r="N209" i="5" s="1"/>
  <c r="M208" i="5"/>
  <c r="M87" i="5"/>
  <c r="N87" i="5" s="1"/>
  <c r="M169" i="5"/>
  <c r="M142" i="5"/>
  <c r="N142" i="5" s="1"/>
  <c r="M210" i="5"/>
  <c r="N210" i="5" s="1"/>
  <c r="M144" i="5"/>
  <c r="M143" i="5"/>
  <c r="M133" i="5"/>
  <c r="M89" i="5"/>
  <c r="M88" i="5"/>
  <c r="O699" i="5"/>
  <c r="M193" i="5"/>
  <c r="N193" i="5" s="1"/>
  <c r="M125" i="5"/>
  <c r="O1026" i="5"/>
  <c r="M126" i="5"/>
  <c r="N126" i="5" s="1"/>
  <c r="M124" i="5"/>
  <c r="N124" i="5" s="1"/>
  <c r="M199" i="5"/>
  <c r="N199" i="5" s="1"/>
  <c r="M200" i="5"/>
  <c r="N200" i="5" s="1"/>
  <c r="M198" i="5"/>
  <c r="M35" i="5"/>
  <c r="N35" i="5" s="1"/>
  <c r="M75" i="5"/>
  <c r="U1240" i="5"/>
  <c r="V1240" i="5" s="1"/>
  <c r="M74" i="5"/>
  <c r="M73" i="5"/>
  <c r="N73" i="5" s="1"/>
  <c r="M194" i="5"/>
  <c r="U1351" i="5"/>
  <c r="V1351" i="5" s="1"/>
  <c r="O1157" i="5"/>
  <c r="U1316" i="5"/>
  <c r="V1316" i="5" s="1"/>
  <c r="O1273" i="5"/>
  <c r="U1155" i="5"/>
  <c r="V1155" i="5" s="1"/>
  <c r="O1243" i="5"/>
  <c r="M85" i="5"/>
  <c r="U1163" i="5"/>
  <c r="V1163" i="5" s="1"/>
  <c r="U1249" i="5"/>
  <c r="V1249" i="5" s="1"/>
  <c r="M182" i="5"/>
  <c r="N182" i="5" s="1"/>
  <c r="U1310" i="5"/>
  <c r="V1310" i="5" s="1"/>
  <c r="M43" i="5"/>
  <c r="O1360" i="5"/>
  <c r="U1360" i="5"/>
  <c r="V1360" i="5" s="1"/>
  <c r="O1178" i="5"/>
  <c r="U1178" i="5"/>
  <c r="V1178" i="5" s="1"/>
  <c r="U1065" i="5"/>
  <c r="V1065" i="5" s="1"/>
  <c r="O1342" i="5"/>
  <c r="U1342" i="5"/>
  <c r="V1342" i="5" s="1"/>
  <c r="O1332" i="5"/>
  <c r="U1332" i="5"/>
  <c r="V1332" i="5" s="1"/>
  <c r="O1171" i="5"/>
  <c r="U1171" i="5"/>
  <c r="V1171" i="5" s="1"/>
  <c r="O1133" i="5"/>
  <c r="U1133" i="5"/>
  <c r="V1133" i="5" s="1"/>
  <c r="O1114" i="5"/>
  <c r="U1114" i="5"/>
  <c r="V1114" i="5" s="1"/>
  <c r="O1191" i="5"/>
  <c r="U1191" i="5"/>
  <c r="V1191" i="5" s="1"/>
  <c r="O1252" i="5"/>
  <c r="U1252" i="5"/>
  <c r="V1252" i="5" s="1"/>
  <c r="U1018" i="5"/>
  <c r="V1018" i="5" s="1"/>
  <c r="M42" i="5"/>
  <c r="N42" i="5" s="1"/>
  <c r="M66" i="5"/>
  <c r="N66" i="5" s="1"/>
  <c r="M65" i="5"/>
  <c r="N65" i="5" s="1"/>
  <c r="M177" i="5"/>
  <c r="M176" i="5"/>
  <c r="N176" i="5" s="1"/>
  <c r="M175" i="5"/>
  <c r="N175" i="5" s="1"/>
  <c r="M64" i="5"/>
  <c r="N64" i="5" s="1"/>
  <c r="Q60" i="5"/>
  <c r="R60" i="5" s="1"/>
  <c r="S60" i="5" s="1"/>
  <c r="M59" i="5"/>
  <c r="M134" i="5"/>
  <c r="O950" i="5"/>
  <c r="U973" i="5"/>
  <c r="V973" i="5" s="1"/>
  <c r="O973" i="5"/>
  <c r="O970" i="5"/>
  <c r="U970" i="5"/>
  <c r="V970" i="5" s="1"/>
  <c r="O965" i="5"/>
  <c r="U965" i="5"/>
  <c r="V965" i="5" s="1"/>
  <c r="O900" i="5"/>
  <c r="U900" i="5"/>
  <c r="V900" i="5" s="1"/>
  <c r="O833" i="5"/>
  <c r="U833" i="5"/>
  <c r="V833" i="5" s="1"/>
  <c r="O791" i="5"/>
  <c r="U791" i="5"/>
  <c r="V791" i="5" s="1"/>
  <c r="U759" i="5"/>
  <c r="V759" i="5" s="1"/>
  <c r="O759" i="5"/>
  <c r="O758" i="5"/>
  <c r="U758" i="5"/>
  <c r="V758" i="5" s="1"/>
  <c r="O767" i="5"/>
  <c r="U767" i="5"/>
  <c r="V767" i="5" s="1"/>
  <c r="U720" i="5"/>
  <c r="V720" i="5" s="1"/>
  <c r="U634" i="5"/>
  <c r="V634" i="5" s="1"/>
  <c r="O743" i="5"/>
  <c r="U743" i="5"/>
  <c r="V743" i="5" s="1"/>
  <c r="U617" i="5"/>
  <c r="V617" i="5" s="1"/>
  <c r="O698" i="5"/>
  <c r="O700" i="5"/>
  <c r="U700" i="5"/>
  <c r="V700" i="5" s="1"/>
  <c r="O701" i="5"/>
  <c r="U701" i="5"/>
  <c r="V701" i="5" s="1"/>
  <c r="U698" i="5"/>
  <c r="V698" i="5" s="1"/>
  <c r="U582" i="5"/>
  <c r="V582" i="5" s="1"/>
  <c r="O586" i="5"/>
  <c r="U603" i="5"/>
  <c r="V603" i="5" s="1"/>
  <c r="O603" i="5"/>
  <c r="O595" i="5"/>
  <c r="U595" i="5"/>
  <c r="V595" i="5" s="1"/>
  <c r="Q112" i="5"/>
  <c r="R112" i="5" s="1"/>
  <c r="S112" i="5" s="1"/>
  <c r="O589" i="5"/>
  <c r="M29" i="5"/>
  <c r="N29" i="5" s="1"/>
  <c r="D18" i="12"/>
  <c r="D54" i="12"/>
  <c r="D9" i="12"/>
  <c r="O566" i="5"/>
  <c r="U573" i="5"/>
  <c r="V573" i="5" s="1"/>
  <c r="O562" i="5"/>
  <c r="U562" i="5"/>
  <c r="V562" i="5" s="1"/>
  <c r="O543" i="5"/>
  <c r="U543" i="5"/>
  <c r="V543" i="5" s="1"/>
  <c r="O516" i="5"/>
  <c r="O513" i="5"/>
  <c r="U513" i="5"/>
  <c r="V513" i="5" s="1"/>
  <c r="U485" i="5"/>
  <c r="V485" i="5" s="1"/>
  <c r="U459" i="5"/>
  <c r="V459" i="5" s="1"/>
  <c r="U466" i="5"/>
  <c r="V466" i="5" s="1"/>
  <c r="U286" i="5"/>
  <c r="V286" i="5" s="1"/>
  <c r="O463" i="5"/>
  <c r="U463" i="5"/>
  <c r="V463" i="5" s="1"/>
  <c r="U415" i="5"/>
  <c r="V415" i="5" s="1"/>
  <c r="O357" i="5"/>
  <c r="U248" i="5"/>
  <c r="V248" i="5" s="1"/>
  <c r="E28" i="12"/>
  <c r="D10" i="12"/>
  <c r="D32" i="12"/>
  <c r="D13" i="12"/>
  <c r="D15" i="12"/>
  <c r="U307" i="5"/>
  <c r="V307" i="5" s="1"/>
  <c r="U358" i="5"/>
  <c r="V358" i="5" s="1"/>
  <c r="D25" i="12"/>
  <c r="S14" i="17"/>
  <c r="U260" i="5"/>
  <c r="V260" i="5" s="1"/>
  <c r="M121" i="5"/>
  <c r="Q80" i="5"/>
  <c r="M170" i="5"/>
  <c r="N170" i="5" s="1"/>
  <c r="M86" i="5"/>
  <c r="O408" i="5"/>
  <c r="U408" i="5"/>
  <c r="V408" i="5" s="1"/>
  <c r="O403" i="5"/>
  <c r="U403" i="5"/>
  <c r="V403" i="5" s="1"/>
  <c r="O298" i="5"/>
  <c r="U298" i="5"/>
  <c r="V298" i="5" s="1"/>
  <c r="O309" i="5"/>
  <c r="U309" i="5"/>
  <c r="V309" i="5" s="1"/>
  <c r="O314" i="5"/>
  <c r="U314" i="5"/>
  <c r="V314" i="5" s="1"/>
  <c r="O338" i="5"/>
  <c r="U338" i="5"/>
  <c r="V338" i="5" s="1"/>
  <c r="O311" i="5"/>
  <c r="U311" i="5"/>
  <c r="V311" i="5" s="1"/>
  <c r="O414" i="5"/>
  <c r="U414" i="5"/>
  <c r="V414" i="5" s="1"/>
  <c r="M52" i="5"/>
  <c r="Q97" i="5"/>
  <c r="M191" i="5"/>
  <c r="M190" i="5"/>
  <c r="N190" i="5" s="1"/>
  <c r="M184" i="5"/>
  <c r="M49" i="5"/>
  <c r="M56" i="5"/>
  <c r="Q153" i="5"/>
  <c r="M171" i="5"/>
  <c r="N171" i="5" s="1"/>
  <c r="M183" i="5"/>
  <c r="N183" i="5" s="1"/>
  <c r="M189" i="5"/>
  <c r="N189" i="5" s="1"/>
  <c r="M19" i="5"/>
  <c r="N19" i="5" s="1"/>
  <c r="M78" i="5"/>
  <c r="M141" i="5"/>
  <c r="M155" i="5"/>
  <c r="Q216" i="5"/>
  <c r="R216" i="5" s="1"/>
  <c r="S216" i="5" s="1"/>
  <c r="M55" i="5"/>
  <c r="M106" i="5"/>
  <c r="M120" i="5"/>
  <c r="M9" i="5"/>
  <c r="M51" i="5"/>
  <c r="M151" i="5"/>
  <c r="M15" i="5"/>
  <c r="M50" i="5"/>
  <c r="Q104" i="5"/>
  <c r="Q150" i="5"/>
  <c r="Q149" i="5"/>
  <c r="R149" i="5" s="1"/>
  <c r="S149" i="5" s="1"/>
  <c r="M213" i="5"/>
  <c r="M36" i="5"/>
  <c r="M118" i="5"/>
  <c r="Q215" i="5"/>
  <c r="R215" i="5" s="1"/>
  <c r="S215" i="5" s="1"/>
  <c r="M103" i="5"/>
  <c r="N103" i="5" s="1"/>
  <c r="O103" i="5" s="1"/>
  <c r="Q117" i="5"/>
  <c r="R117" i="5" s="1"/>
  <c r="S117" i="5" s="1"/>
  <c r="Q145" i="5"/>
  <c r="R145" i="5" s="1"/>
  <c r="S145" i="5" s="1"/>
  <c r="M17" i="5"/>
  <c r="Q98" i="5"/>
  <c r="R98" i="5" s="1"/>
  <c r="S98" i="5" s="1"/>
  <c r="M23" i="5"/>
  <c r="Q48" i="5"/>
  <c r="M188" i="5"/>
  <c r="M140" i="5"/>
  <c r="M154" i="5"/>
  <c r="Q206" i="5"/>
  <c r="Q54" i="5"/>
  <c r="R54" i="5" s="1"/>
  <c r="S54" i="5" s="1"/>
  <c r="Q128" i="5"/>
  <c r="R128" i="5" s="1"/>
  <c r="S128" i="5" s="1"/>
  <c r="M185" i="5"/>
  <c r="Q203" i="5"/>
  <c r="M20" i="5"/>
  <c r="M32" i="5"/>
  <c r="N32" i="5" s="1"/>
  <c r="Q136" i="5"/>
  <c r="R136" i="5" s="1"/>
  <c r="S136" i="5" s="1"/>
  <c r="Q28" i="5"/>
  <c r="Q79" i="5"/>
  <c r="R79" i="5" s="1"/>
  <c r="S79" i="5" s="1"/>
  <c r="Q179" i="5"/>
  <c r="R179" i="5" s="1"/>
  <c r="S179" i="5" s="1"/>
  <c r="M212" i="5"/>
  <c r="N212" i="5" s="1"/>
  <c r="Q53" i="5"/>
  <c r="R53" i="5" s="1"/>
  <c r="S53" i="5" s="1"/>
  <c r="M116" i="5"/>
  <c r="N116" i="5" s="1"/>
  <c r="Q178" i="5"/>
  <c r="R178" i="5" s="1"/>
  <c r="S178" i="5" s="1"/>
  <c r="Q181" i="5"/>
  <c r="R181" i="5" s="1"/>
  <c r="S181" i="5" s="1"/>
  <c r="Q47" i="5"/>
  <c r="Q45" i="5"/>
  <c r="R45" i="5" s="1"/>
  <c r="S45" i="5" s="1"/>
  <c r="Q69" i="5"/>
  <c r="R69" i="5" s="1"/>
  <c r="S69" i="5" s="1"/>
  <c r="Q83" i="5"/>
  <c r="R83" i="5" s="1"/>
  <c r="S83" i="5" s="1"/>
  <c r="Q94" i="5"/>
  <c r="R94" i="5" s="1"/>
  <c r="S94" i="5" s="1"/>
  <c r="Q160" i="5"/>
  <c r="R160" i="5" s="1"/>
  <c r="S160" i="5" s="1"/>
  <c r="Q162" i="5"/>
  <c r="R162" i="5" s="1"/>
  <c r="S162" i="5" s="1"/>
  <c r="Q163" i="5"/>
  <c r="R163" i="5" s="1"/>
  <c r="S163" i="5" s="1"/>
  <c r="Q166" i="5"/>
  <c r="R166" i="5" s="1"/>
  <c r="S166" i="5" s="1"/>
  <c r="Q168" i="5"/>
  <c r="R168" i="5" s="1"/>
  <c r="S168" i="5" s="1"/>
  <c r="Q180" i="5"/>
  <c r="M139" i="5"/>
  <c r="N139" i="5" s="1"/>
  <c r="Q24" i="5"/>
  <c r="R24" i="5" s="1"/>
  <c r="S24" i="5" s="1"/>
  <c r="Q38" i="5"/>
  <c r="R38" i="5" s="1"/>
  <c r="S38" i="5" s="1"/>
  <c r="Q44" i="5"/>
  <c r="R44" i="5" s="1"/>
  <c r="S44" i="5" s="1"/>
  <c r="Q46" i="5"/>
  <c r="Q82" i="5"/>
  <c r="R82" i="5" s="1"/>
  <c r="S82" i="5" s="1"/>
  <c r="Q161" i="5"/>
  <c r="R161" i="5" s="1"/>
  <c r="S161" i="5" s="1"/>
  <c r="Q165" i="5"/>
  <c r="R165" i="5" s="1"/>
  <c r="S165" i="5" s="1"/>
  <c r="M174" i="5"/>
  <c r="Q11" i="5"/>
  <c r="R11" i="5" s="1"/>
  <c r="S11" i="5" s="1"/>
  <c r="Q90" i="5"/>
  <c r="R90" i="5" s="1"/>
  <c r="S90" i="5" s="1"/>
  <c r="M109" i="5"/>
  <c r="N109" i="5" s="1"/>
  <c r="Q122" i="5"/>
  <c r="R122" i="5" s="1"/>
  <c r="S122" i="5" s="1"/>
  <c r="Q129" i="5"/>
  <c r="R129" i="5" s="1"/>
  <c r="S129" i="5" s="1"/>
  <c r="Q91" i="5"/>
  <c r="M110" i="5"/>
  <c r="Q135" i="5"/>
  <c r="R135" i="5" s="1"/>
  <c r="S135" i="5" s="1"/>
  <c r="Q138" i="5"/>
  <c r="R138" i="5" s="1"/>
  <c r="S138" i="5" s="1"/>
  <c r="Q167" i="5"/>
  <c r="R167" i="5" s="1"/>
  <c r="S167" i="5" s="1"/>
  <c r="Q173" i="5"/>
  <c r="R173" i="5" s="1"/>
  <c r="S173" i="5" s="1"/>
  <c r="Q205" i="5"/>
  <c r="R205" i="5" s="1"/>
  <c r="S205" i="5" s="1"/>
  <c r="Q214" i="5"/>
  <c r="R214" i="5" s="1"/>
  <c r="S214" i="5" s="1"/>
  <c r="Q119" i="5"/>
  <c r="R119" i="5" s="1"/>
  <c r="S119" i="5" s="1"/>
  <c r="Q137" i="5"/>
  <c r="R137" i="5" s="1"/>
  <c r="S137" i="5" s="1"/>
  <c r="Q172" i="5"/>
  <c r="R172" i="5" s="1"/>
  <c r="S172" i="5" s="1"/>
  <c r="Q196" i="5"/>
  <c r="R196" i="5" s="1"/>
  <c r="S196" i="5" s="1"/>
  <c r="Q6" i="5"/>
  <c r="M12" i="5"/>
  <c r="Q27" i="5"/>
  <c r="R27" i="5" s="1"/>
  <c r="S27" i="5" s="1"/>
  <c r="Q39" i="5"/>
  <c r="R39" i="5" s="1"/>
  <c r="S39" i="5" s="1"/>
  <c r="M72" i="5"/>
  <c r="Q93" i="5"/>
  <c r="R93" i="5" s="1"/>
  <c r="S93" i="5" s="1"/>
  <c r="Q105" i="5"/>
  <c r="R105" i="5" s="1"/>
  <c r="S105" i="5" s="1"/>
  <c r="Q146" i="5"/>
  <c r="R146" i="5" s="1"/>
  <c r="S146" i="5" s="1"/>
  <c r="Q158" i="5"/>
  <c r="R158" i="5" s="1"/>
  <c r="S158" i="5" s="1"/>
  <c r="Q195" i="5"/>
  <c r="R195" i="5" s="1"/>
  <c r="S195" i="5" s="1"/>
  <c r="Q204" i="5"/>
  <c r="R204" i="5" s="1"/>
  <c r="S204" i="5" s="1"/>
  <c r="Q5" i="5"/>
  <c r="R5" i="5" s="1"/>
  <c r="S5" i="5" s="1"/>
  <c r="M14" i="5"/>
  <c r="Q25" i="5"/>
  <c r="R25" i="5" s="1"/>
  <c r="S25" i="5" s="1"/>
  <c r="Q40" i="5"/>
  <c r="R40" i="5" s="1"/>
  <c r="S40" i="5" s="1"/>
  <c r="Q58" i="5"/>
  <c r="R58" i="5" s="1"/>
  <c r="S58" i="5" s="1"/>
  <c r="Q68" i="5"/>
  <c r="R68" i="5" s="1"/>
  <c r="S68" i="5" s="1"/>
  <c r="Q123" i="5"/>
  <c r="R123" i="5" s="1"/>
  <c r="S123" i="5" s="1"/>
  <c r="M156" i="5"/>
  <c r="Q57" i="5"/>
  <c r="R57" i="5" s="1"/>
  <c r="S57" i="5" s="1"/>
  <c r="M62" i="5"/>
  <c r="Q115" i="5"/>
  <c r="R115" i="5" s="1"/>
  <c r="S115" i="5" s="1"/>
  <c r="M7" i="5"/>
  <c r="Q10" i="5"/>
  <c r="R10" i="5" s="1"/>
  <c r="S10" i="5" s="1"/>
  <c r="Q18" i="5"/>
  <c r="M31" i="5"/>
  <c r="M63" i="5"/>
  <c r="Q211" i="5"/>
  <c r="R211" i="5" s="1"/>
  <c r="S211" i="5" s="1"/>
  <c r="M21" i="5"/>
  <c r="N21" i="5" s="1"/>
  <c r="M26" i="5"/>
  <c r="M30" i="5"/>
  <c r="M67" i="5"/>
  <c r="Q148" i="5"/>
  <c r="R148" i="5" s="1"/>
  <c r="S148" i="5" s="1"/>
  <c r="M197" i="5"/>
  <c r="Q202" i="5"/>
  <c r="R202" i="5" s="1"/>
  <c r="S202" i="5" s="1"/>
  <c r="Q16" i="5"/>
  <c r="R16" i="5" s="1"/>
  <c r="S16" i="5" s="1"/>
  <c r="Q37" i="5"/>
  <c r="R37" i="5" s="1"/>
  <c r="S37" i="5" s="1"/>
  <c r="Q61" i="5"/>
  <c r="R61" i="5" s="1"/>
  <c r="S61" i="5" s="1"/>
  <c r="Q71" i="5"/>
  <c r="R71" i="5" s="1"/>
  <c r="S71" i="5" s="1"/>
  <c r="Q77" i="5"/>
  <c r="R77" i="5" s="1"/>
  <c r="S77" i="5" s="1"/>
  <c r="Q127" i="5"/>
  <c r="R127" i="5" s="1"/>
  <c r="S127" i="5" s="1"/>
  <c r="Q131" i="5"/>
  <c r="R131" i="5" s="1"/>
  <c r="S131" i="5" s="1"/>
  <c r="Q152" i="5"/>
  <c r="R152" i="5" s="1"/>
  <c r="S152" i="5" s="1"/>
  <c r="Q186" i="5"/>
  <c r="R186" i="5" s="1"/>
  <c r="S186" i="5" s="1"/>
  <c r="Q201" i="5"/>
  <c r="R201" i="5" s="1"/>
  <c r="S201" i="5" s="1"/>
  <c r="Q33" i="5"/>
  <c r="R33" i="5" s="1"/>
  <c r="S33" i="5" s="1"/>
  <c r="Q70" i="5"/>
  <c r="R70" i="5" s="1"/>
  <c r="S70" i="5" s="1"/>
  <c r="Q76" i="5"/>
  <c r="R76" i="5" s="1"/>
  <c r="S76" i="5" s="1"/>
  <c r="Q100" i="5"/>
  <c r="R100" i="5" s="1"/>
  <c r="S100" i="5" s="1"/>
  <c r="Q13" i="5"/>
  <c r="M81" i="5"/>
  <c r="M92" i="5"/>
  <c r="R217" i="5"/>
  <c r="S217" i="5" s="1"/>
  <c r="L217" i="5"/>
  <c r="M217" i="5"/>
  <c r="L216" i="5"/>
  <c r="P215" i="5"/>
  <c r="N215" i="5"/>
  <c r="P214" i="5"/>
  <c r="N214" i="5"/>
  <c r="P212" i="5"/>
  <c r="N211" i="5"/>
  <c r="P211" i="5"/>
  <c r="R212" i="5"/>
  <c r="S212" i="5" s="1"/>
  <c r="K213" i="5"/>
  <c r="R213" i="5" s="1"/>
  <c r="S213" i="5" s="1"/>
  <c r="L208" i="5"/>
  <c r="R208" i="5"/>
  <c r="S208" i="5" s="1"/>
  <c r="P210" i="5"/>
  <c r="P209" i="5"/>
  <c r="R210" i="5"/>
  <c r="S210" i="5" s="1"/>
  <c r="R209" i="5"/>
  <c r="S209" i="5" s="1"/>
  <c r="R207" i="5"/>
  <c r="S207" i="5" s="1"/>
  <c r="M207" i="5"/>
  <c r="L207" i="5"/>
  <c r="K206" i="5"/>
  <c r="L206" i="5" s="1"/>
  <c r="L205" i="5"/>
  <c r="L204" i="5"/>
  <c r="K203" i="5"/>
  <c r="L202" i="5"/>
  <c r="L201" i="5"/>
  <c r="P200" i="5"/>
  <c r="P199" i="5"/>
  <c r="R198" i="5"/>
  <c r="S198" i="5" s="1"/>
  <c r="R200" i="5"/>
  <c r="S200" i="5" s="1"/>
  <c r="R199" i="5"/>
  <c r="S199" i="5" s="1"/>
  <c r="L198" i="5"/>
  <c r="L197" i="5"/>
  <c r="R197" i="5"/>
  <c r="S197" i="5" s="1"/>
  <c r="P196" i="5"/>
  <c r="N196" i="5"/>
  <c r="L195" i="5"/>
  <c r="R194" i="5"/>
  <c r="S194" i="5" s="1"/>
  <c r="L192" i="5"/>
  <c r="R192" i="5"/>
  <c r="S192" i="5" s="1"/>
  <c r="P193" i="5"/>
  <c r="R193" i="5"/>
  <c r="S193" i="5" s="1"/>
  <c r="L194" i="5"/>
  <c r="P190" i="5"/>
  <c r="P189" i="5"/>
  <c r="R190" i="5"/>
  <c r="S190" i="5" s="1"/>
  <c r="R189" i="5"/>
  <c r="S189" i="5" s="1"/>
  <c r="K191" i="5"/>
  <c r="L191" i="5" s="1"/>
  <c r="L188" i="5"/>
  <c r="R188" i="5"/>
  <c r="S188" i="5" s="1"/>
  <c r="L187" i="5"/>
  <c r="R187" i="5"/>
  <c r="S187" i="5" s="1"/>
  <c r="M187" i="5"/>
  <c r="L186" i="5"/>
  <c r="R185" i="5"/>
  <c r="S185" i="5" s="1"/>
  <c r="L185" i="5"/>
  <c r="L184" i="5"/>
  <c r="R184" i="5"/>
  <c r="S184" i="5" s="1"/>
  <c r="P183" i="5"/>
  <c r="P182" i="5"/>
  <c r="K180" i="5"/>
  <c r="L180" i="5" s="1"/>
  <c r="R183" i="5"/>
  <c r="S183" i="5" s="1"/>
  <c r="R182" i="5"/>
  <c r="S182" i="5" s="1"/>
  <c r="N181" i="5"/>
  <c r="P181" i="5"/>
  <c r="P179" i="5"/>
  <c r="N179" i="5"/>
  <c r="L178" i="5"/>
  <c r="P176" i="5"/>
  <c r="P175" i="5"/>
  <c r="R176" i="5"/>
  <c r="S176" i="5" s="1"/>
  <c r="R175" i="5"/>
  <c r="S175" i="5" s="1"/>
  <c r="K177" i="5"/>
  <c r="L177" i="5" s="1"/>
  <c r="L174" i="5"/>
  <c r="R174" i="5"/>
  <c r="S174" i="5" s="1"/>
  <c r="N173" i="5"/>
  <c r="P173" i="5"/>
  <c r="L172" i="5"/>
  <c r="L169" i="5"/>
  <c r="R169" i="5"/>
  <c r="S169" i="5" s="1"/>
  <c r="P171" i="5"/>
  <c r="P170" i="5"/>
  <c r="R171" i="5"/>
  <c r="S171" i="5" s="1"/>
  <c r="R170" i="5"/>
  <c r="S170" i="5" s="1"/>
  <c r="P168" i="5"/>
  <c r="N168" i="5"/>
  <c r="L167" i="5"/>
  <c r="P166" i="5"/>
  <c r="N166" i="5"/>
  <c r="P165" i="5"/>
  <c r="N165" i="5"/>
  <c r="R164" i="5"/>
  <c r="S164" i="5" s="1"/>
  <c r="M164" i="5"/>
  <c r="L164" i="5"/>
  <c r="L163" i="5"/>
  <c r="P162" i="5"/>
  <c r="N162" i="5"/>
  <c r="L161" i="5"/>
  <c r="P160" i="5"/>
  <c r="N160" i="5"/>
  <c r="L159" i="5"/>
  <c r="Q159" i="5"/>
  <c r="R159" i="5" s="1"/>
  <c r="S159" i="5" s="1"/>
  <c r="L158" i="5"/>
  <c r="R156" i="5"/>
  <c r="S156" i="5" s="1"/>
  <c r="R157" i="5"/>
  <c r="S157" i="5" s="1"/>
  <c r="L157" i="5"/>
  <c r="M157" i="5"/>
  <c r="L156" i="5"/>
  <c r="L155" i="5"/>
  <c r="R155" i="5"/>
  <c r="S155" i="5" s="1"/>
  <c r="K154" i="5"/>
  <c r="R154" i="5" s="1"/>
  <c r="S154" i="5" s="1"/>
  <c r="K153" i="5"/>
  <c r="L152" i="5"/>
  <c r="L151" i="5"/>
  <c r="R151" i="5"/>
  <c r="S151" i="5" s="1"/>
  <c r="L149" i="5"/>
  <c r="K150" i="5"/>
  <c r="L150" i="5" s="1"/>
  <c r="L148" i="5"/>
  <c r="R147" i="5"/>
  <c r="S147" i="5" s="1"/>
  <c r="M147" i="5"/>
  <c r="N147" i="5" s="1"/>
  <c r="O147" i="5" s="1"/>
  <c r="R141" i="5"/>
  <c r="S141" i="5" s="1"/>
  <c r="L146" i="5"/>
  <c r="L145" i="5"/>
  <c r="L143" i="5"/>
  <c r="R143" i="5"/>
  <c r="S143" i="5" s="1"/>
  <c r="R144" i="5"/>
  <c r="S144" i="5" s="1"/>
  <c r="L144" i="5"/>
  <c r="P142" i="5"/>
  <c r="R142" i="5"/>
  <c r="S142" i="5" s="1"/>
  <c r="L140" i="5"/>
  <c r="R140" i="5"/>
  <c r="S140" i="5" s="1"/>
  <c r="P139" i="5"/>
  <c r="R139" i="5"/>
  <c r="S139" i="5" s="1"/>
  <c r="L141" i="5"/>
  <c r="P138" i="5"/>
  <c r="N138" i="5"/>
  <c r="N136" i="5"/>
  <c r="P136" i="5"/>
  <c r="L137" i="5"/>
  <c r="L135" i="5"/>
  <c r="L134" i="5"/>
  <c r="R134" i="5"/>
  <c r="S134" i="5" s="1"/>
  <c r="L133" i="5"/>
  <c r="R133" i="5"/>
  <c r="S133" i="5" s="1"/>
  <c r="L132" i="5"/>
  <c r="R132" i="5"/>
  <c r="S132" i="5" s="1"/>
  <c r="L118" i="5"/>
  <c r="P118" i="5" s="1"/>
  <c r="R118" i="5"/>
  <c r="S118" i="5" s="1"/>
  <c r="R130" i="5"/>
  <c r="S130" i="5" s="1"/>
  <c r="L131" i="5"/>
  <c r="R121" i="5"/>
  <c r="S121" i="5" s="1"/>
  <c r="L120" i="5"/>
  <c r="P120" i="5" s="1"/>
  <c r="M130" i="5"/>
  <c r="L130" i="5"/>
  <c r="P129" i="5"/>
  <c r="N129" i="5"/>
  <c r="L128" i="5"/>
  <c r="L121" i="5"/>
  <c r="P121" i="5" s="1"/>
  <c r="L122" i="5"/>
  <c r="P122" i="5" s="1"/>
  <c r="L127" i="5"/>
  <c r="R120" i="5"/>
  <c r="S120" i="5" s="1"/>
  <c r="P126" i="5"/>
  <c r="N119" i="5"/>
  <c r="P119" i="5"/>
  <c r="P124" i="5"/>
  <c r="R126" i="5"/>
  <c r="S126" i="5" s="1"/>
  <c r="R124" i="5"/>
  <c r="S124" i="5" s="1"/>
  <c r="R125" i="5"/>
  <c r="S125" i="5" s="1"/>
  <c r="L125" i="5"/>
  <c r="L123" i="5"/>
  <c r="N115" i="5"/>
  <c r="O115" i="5" s="1"/>
  <c r="L114" i="5"/>
  <c r="P114" i="5" s="1"/>
  <c r="R116" i="5"/>
  <c r="S116" i="5" s="1"/>
  <c r="L111" i="5"/>
  <c r="N111" i="5" s="1"/>
  <c r="L117" i="5"/>
  <c r="N93" i="5"/>
  <c r="L105" i="5"/>
  <c r="N105" i="5" s="1"/>
  <c r="R114" i="5"/>
  <c r="S114" i="5" s="1"/>
  <c r="L112" i="5"/>
  <c r="N112" i="5" s="1"/>
  <c r="M114" i="5"/>
  <c r="R110" i="5"/>
  <c r="S110" i="5" s="1"/>
  <c r="L110" i="5"/>
  <c r="P116" i="5"/>
  <c r="M113" i="5"/>
  <c r="R109" i="5"/>
  <c r="S109" i="5" s="1"/>
  <c r="R113" i="5"/>
  <c r="S113" i="5" s="1"/>
  <c r="L113" i="5"/>
  <c r="L106" i="5"/>
  <c r="P106" i="5" s="1"/>
  <c r="P109" i="5"/>
  <c r="L108" i="5"/>
  <c r="R108" i="5"/>
  <c r="S108" i="5" s="1"/>
  <c r="L99" i="5"/>
  <c r="K104" i="5"/>
  <c r="L104" i="5" s="1"/>
  <c r="N104" i="5" s="1"/>
  <c r="M108" i="5"/>
  <c r="R103" i="5"/>
  <c r="S103" i="5" s="1"/>
  <c r="M107" i="5"/>
  <c r="R99" i="5"/>
  <c r="S99" i="5" s="1"/>
  <c r="R107" i="5"/>
  <c r="S107" i="5" s="1"/>
  <c r="L107" i="5"/>
  <c r="K97" i="5"/>
  <c r="L97" i="5" s="1"/>
  <c r="R96" i="5"/>
  <c r="S96" i="5" s="1"/>
  <c r="L100" i="5"/>
  <c r="N100" i="5" s="1"/>
  <c r="R106" i="5"/>
  <c r="S106" i="5" s="1"/>
  <c r="M102" i="5"/>
  <c r="L98" i="5"/>
  <c r="N98" i="5" s="1"/>
  <c r="R102" i="5"/>
  <c r="S102" i="5" s="1"/>
  <c r="M101" i="5"/>
  <c r="L102" i="5"/>
  <c r="R101" i="5"/>
  <c r="S101" i="5" s="1"/>
  <c r="L101" i="5"/>
  <c r="L94" i="5"/>
  <c r="N94" i="5" s="1"/>
  <c r="P93" i="5"/>
  <c r="M96" i="5"/>
  <c r="N96" i="5" s="1"/>
  <c r="O96" i="5" s="1"/>
  <c r="M95" i="5"/>
  <c r="R95" i="5"/>
  <c r="S95" i="5" s="1"/>
  <c r="L95" i="5"/>
  <c r="R92" i="5"/>
  <c r="S92" i="5" s="1"/>
  <c r="L92" i="5"/>
  <c r="K91" i="5"/>
  <c r="L91" i="5" s="1"/>
  <c r="N90" i="5"/>
  <c r="P90" i="5"/>
  <c r="R89" i="5"/>
  <c r="S89" i="5" s="1"/>
  <c r="L89" i="5"/>
  <c r="L88" i="5"/>
  <c r="R88" i="5"/>
  <c r="S88" i="5" s="1"/>
  <c r="P87" i="5"/>
  <c r="R87" i="5"/>
  <c r="S87" i="5" s="1"/>
  <c r="L86" i="5"/>
  <c r="R86" i="5"/>
  <c r="S86" i="5" s="1"/>
  <c r="P84" i="5"/>
  <c r="R85" i="5"/>
  <c r="S85" i="5" s="1"/>
  <c r="R84" i="5"/>
  <c r="S84" i="5" s="1"/>
  <c r="L85" i="5"/>
  <c r="P82" i="5"/>
  <c r="N82" i="5"/>
  <c r="N83" i="5"/>
  <c r="P83" i="5"/>
  <c r="R81" i="5"/>
  <c r="S81" i="5" s="1"/>
  <c r="L81" i="5"/>
  <c r="K80" i="5"/>
  <c r="L79" i="5"/>
  <c r="L78" i="5"/>
  <c r="R78" i="5"/>
  <c r="S78" i="5" s="1"/>
  <c r="P77" i="5"/>
  <c r="N77" i="5"/>
  <c r="L76" i="5"/>
  <c r="L74" i="5"/>
  <c r="R74" i="5"/>
  <c r="S74" i="5" s="1"/>
  <c r="P73" i="5"/>
  <c r="L75" i="5"/>
  <c r="R73" i="5"/>
  <c r="S73" i="5" s="1"/>
  <c r="R75" i="5"/>
  <c r="S75" i="5" s="1"/>
  <c r="L72" i="5"/>
  <c r="R72" i="5"/>
  <c r="S72" i="5" s="1"/>
  <c r="L71" i="5"/>
  <c r="L70" i="5"/>
  <c r="P69" i="5"/>
  <c r="N69" i="5"/>
  <c r="L68" i="5"/>
  <c r="R67" i="5"/>
  <c r="S67" i="5" s="1"/>
  <c r="L51" i="5"/>
  <c r="L67" i="5"/>
  <c r="P66" i="5"/>
  <c r="P65" i="5"/>
  <c r="P64" i="5"/>
  <c r="R66" i="5"/>
  <c r="S66" i="5" s="1"/>
  <c r="R65" i="5"/>
  <c r="S65" i="5" s="1"/>
  <c r="R64" i="5"/>
  <c r="S64" i="5" s="1"/>
  <c r="R63" i="5"/>
  <c r="S63" i="5" s="1"/>
  <c r="R52" i="5"/>
  <c r="S52" i="5" s="1"/>
  <c r="R62" i="5"/>
  <c r="S62" i="5" s="1"/>
  <c r="L63" i="5"/>
  <c r="R51" i="5"/>
  <c r="S51" i="5" s="1"/>
  <c r="L62" i="5"/>
  <c r="R49" i="5"/>
  <c r="S49" i="5" s="1"/>
  <c r="P61" i="5"/>
  <c r="N61" i="5"/>
  <c r="L52" i="5"/>
  <c r="P52" i="5" s="1"/>
  <c r="N58" i="5"/>
  <c r="P58" i="5"/>
  <c r="N57" i="5"/>
  <c r="P57" i="5"/>
  <c r="L60" i="5"/>
  <c r="L59" i="5"/>
  <c r="R59" i="5"/>
  <c r="S59" i="5" s="1"/>
  <c r="R50" i="5"/>
  <c r="S50" i="5" s="1"/>
  <c r="L49" i="5"/>
  <c r="P49" i="5" s="1"/>
  <c r="L56" i="5"/>
  <c r="R56" i="5"/>
  <c r="S56" i="5" s="1"/>
  <c r="L55" i="5"/>
  <c r="R55" i="5"/>
  <c r="S55" i="5" s="1"/>
  <c r="L50" i="5"/>
  <c r="P50" i="5" s="1"/>
  <c r="L54" i="5"/>
  <c r="L53" i="5"/>
  <c r="K46" i="5"/>
  <c r="K48" i="5"/>
  <c r="L48" i="5" s="1"/>
  <c r="K47" i="5"/>
  <c r="L47" i="5" s="1"/>
  <c r="N44" i="5"/>
  <c r="P44" i="5"/>
  <c r="N45" i="5"/>
  <c r="P45" i="5"/>
  <c r="L43" i="5"/>
  <c r="R43" i="5"/>
  <c r="S43" i="5" s="1"/>
  <c r="L41" i="5"/>
  <c r="R41" i="5"/>
  <c r="S41" i="5" s="1"/>
  <c r="P42" i="5"/>
  <c r="R42" i="5"/>
  <c r="S42" i="5" s="1"/>
  <c r="L40" i="5"/>
  <c r="R29" i="5"/>
  <c r="S29" i="5" s="1"/>
  <c r="L39" i="5"/>
  <c r="L38" i="5"/>
  <c r="L37" i="5"/>
  <c r="R36" i="5"/>
  <c r="S36" i="5" s="1"/>
  <c r="L36" i="5"/>
  <c r="L34" i="5"/>
  <c r="R34" i="5"/>
  <c r="S34" i="5" s="1"/>
  <c r="P35" i="5"/>
  <c r="R35" i="5"/>
  <c r="S35" i="5" s="1"/>
  <c r="N33" i="5"/>
  <c r="P33" i="5"/>
  <c r="P32" i="5"/>
  <c r="K31" i="5"/>
  <c r="R31" i="5" s="1"/>
  <c r="S31" i="5" s="1"/>
  <c r="R32" i="5"/>
  <c r="S32" i="5" s="1"/>
  <c r="L27" i="5"/>
  <c r="N27" i="5" s="1"/>
  <c r="P29" i="5"/>
  <c r="L30" i="5"/>
  <c r="R30" i="5"/>
  <c r="S30" i="5" s="1"/>
  <c r="K28" i="5"/>
  <c r="L28" i="5" s="1"/>
  <c r="L26" i="5"/>
  <c r="R26" i="5"/>
  <c r="S26" i="5" s="1"/>
  <c r="P25" i="5"/>
  <c r="N25" i="5"/>
  <c r="P24" i="5"/>
  <c r="N24" i="5"/>
  <c r="R23" i="5"/>
  <c r="S23" i="5" s="1"/>
  <c r="L23" i="5"/>
  <c r="P23" i="5" s="1"/>
  <c r="R21" i="5"/>
  <c r="S21" i="5" s="1"/>
  <c r="L20" i="5"/>
  <c r="P20" i="5" s="1"/>
  <c r="R20" i="5"/>
  <c r="S20" i="5" s="1"/>
  <c r="P19" i="5"/>
  <c r="R19" i="5"/>
  <c r="S19" i="5" s="1"/>
  <c r="K18" i="5"/>
  <c r="L18" i="5" s="1"/>
  <c r="Q22" i="5"/>
  <c r="K22" i="5"/>
  <c r="L17" i="5"/>
  <c r="R17" i="5"/>
  <c r="S17" i="5" s="1"/>
  <c r="L16" i="5"/>
  <c r="L15" i="5"/>
  <c r="R15" i="5"/>
  <c r="S15" i="5" s="1"/>
  <c r="R14" i="5"/>
  <c r="S14" i="5" s="1"/>
  <c r="L14" i="5"/>
  <c r="P10" i="5"/>
  <c r="N10" i="5"/>
  <c r="K9" i="5"/>
  <c r="L9" i="5" s="1"/>
  <c r="L8" i="5"/>
  <c r="P8" i="5" s="1"/>
  <c r="N11" i="5"/>
  <c r="O11" i="5" s="1"/>
  <c r="K13" i="5"/>
  <c r="L13" i="5" s="1"/>
  <c r="K6" i="5"/>
  <c r="K12" i="5"/>
  <c r="R12" i="5" s="1"/>
  <c r="S12" i="5" s="1"/>
  <c r="N5" i="5"/>
  <c r="P5" i="5"/>
  <c r="L7" i="5"/>
  <c r="R7" i="5"/>
  <c r="S7" i="5" s="1"/>
  <c r="Q8" i="5"/>
  <c r="R8" i="5" s="1"/>
  <c r="S8" i="5" s="1"/>
  <c r="N99" i="5" l="1"/>
  <c r="BH28" i="12"/>
  <c r="BD28" i="12"/>
  <c r="R80" i="5"/>
  <c r="S80" i="5" s="1"/>
  <c r="U116" i="5"/>
  <c r="V116" i="5" s="1"/>
  <c r="R203" i="5"/>
  <c r="S203" i="5" s="1"/>
  <c r="R46" i="5"/>
  <c r="S46" i="5" s="1"/>
  <c r="N51" i="5"/>
  <c r="R153" i="5"/>
  <c r="S153" i="5" s="1"/>
  <c r="N110" i="5"/>
  <c r="U103" i="5"/>
  <c r="V103" i="5" s="1"/>
  <c r="U32" i="5"/>
  <c r="V32" i="5" s="1"/>
  <c r="U175" i="5"/>
  <c r="V175" i="5" s="1"/>
  <c r="U19" i="5"/>
  <c r="V19" i="5" s="1"/>
  <c r="U96" i="5"/>
  <c r="V96" i="5" s="1"/>
  <c r="O21" i="5"/>
  <c r="U21" i="5"/>
  <c r="V21" i="5" s="1"/>
  <c r="R6" i="5"/>
  <c r="S6" i="5" s="1"/>
  <c r="U166" i="5"/>
  <c r="V166" i="5" s="1"/>
  <c r="U11" i="5"/>
  <c r="V11" i="5" s="1"/>
  <c r="U24" i="5"/>
  <c r="V24" i="5" s="1"/>
  <c r="U57" i="5"/>
  <c r="V57" i="5" s="1"/>
  <c r="U147" i="5"/>
  <c r="V147" i="5" s="1"/>
  <c r="U29" i="5"/>
  <c r="V29" i="5" s="1"/>
  <c r="U35" i="5"/>
  <c r="V35" i="5" s="1"/>
  <c r="U77" i="5"/>
  <c r="V77" i="5" s="1"/>
  <c r="U10" i="5"/>
  <c r="V10" i="5" s="1"/>
  <c r="U61" i="5"/>
  <c r="V61" i="5" s="1"/>
  <c r="U82" i="5"/>
  <c r="V82" i="5" s="1"/>
  <c r="U138" i="5"/>
  <c r="V138" i="5" s="1"/>
  <c r="U165" i="5"/>
  <c r="V165" i="5" s="1"/>
  <c r="U171" i="5"/>
  <c r="V171" i="5" s="1"/>
  <c r="U181" i="5"/>
  <c r="V181" i="5" s="1"/>
  <c r="U190" i="5"/>
  <c r="V190" i="5" s="1"/>
  <c r="U215" i="5"/>
  <c r="V215" i="5" s="1"/>
  <c r="U5" i="5"/>
  <c r="V5" i="5" s="1"/>
  <c r="U33" i="5"/>
  <c r="V33" i="5" s="1"/>
  <c r="U42" i="5"/>
  <c r="V42" i="5" s="1"/>
  <c r="U64" i="5"/>
  <c r="V64" i="5" s="1"/>
  <c r="U93" i="5"/>
  <c r="V93" i="5" s="1"/>
  <c r="U199" i="5"/>
  <c r="V199" i="5" s="1"/>
  <c r="U73" i="5"/>
  <c r="V73" i="5" s="1"/>
  <c r="U83" i="5"/>
  <c r="V83" i="5" s="1"/>
  <c r="U87" i="5"/>
  <c r="V87" i="5" s="1"/>
  <c r="U109" i="5"/>
  <c r="V109" i="5" s="1"/>
  <c r="U126" i="5"/>
  <c r="V126" i="5" s="1"/>
  <c r="U136" i="5"/>
  <c r="V136" i="5" s="1"/>
  <c r="U142" i="5"/>
  <c r="V142" i="5" s="1"/>
  <c r="U210" i="5"/>
  <c r="V210" i="5" s="1"/>
  <c r="U211" i="5"/>
  <c r="V211" i="5" s="1"/>
  <c r="U69" i="5"/>
  <c r="V69" i="5" s="1"/>
  <c r="U129" i="5"/>
  <c r="V129" i="5" s="1"/>
  <c r="U139" i="5"/>
  <c r="V139" i="5" s="1"/>
  <c r="U160" i="5"/>
  <c r="V160" i="5" s="1"/>
  <c r="U170" i="5"/>
  <c r="V170" i="5" s="1"/>
  <c r="U176" i="5"/>
  <c r="V176" i="5" s="1"/>
  <c r="U179" i="5"/>
  <c r="V179" i="5" s="1"/>
  <c r="U189" i="5"/>
  <c r="V189" i="5" s="1"/>
  <c r="U193" i="5"/>
  <c r="V193" i="5" s="1"/>
  <c r="U200" i="5"/>
  <c r="V200" i="5" s="1"/>
  <c r="U214" i="5"/>
  <c r="V214" i="5" s="1"/>
  <c r="U45" i="5"/>
  <c r="V45" i="5" s="1"/>
  <c r="U65" i="5"/>
  <c r="V65" i="5" s="1"/>
  <c r="U124" i="5"/>
  <c r="V124" i="5" s="1"/>
  <c r="U182" i="5"/>
  <c r="V182" i="5" s="1"/>
  <c r="U212" i="5"/>
  <c r="V212" i="5" s="1"/>
  <c r="U25" i="5"/>
  <c r="V25" i="5" s="1"/>
  <c r="U44" i="5"/>
  <c r="V44" i="5" s="1"/>
  <c r="U66" i="5"/>
  <c r="V66" i="5" s="1"/>
  <c r="U84" i="5"/>
  <c r="V84" i="5" s="1"/>
  <c r="U90" i="5"/>
  <c r="V90" i="5" s="1"/>
  <c r="U168" i="5"/>
  <c r="V168" i="5" s="1"/>
  <c r="U173" i="5"/>
  <c r="V173" i="5" s="1"/>
  <c r="U183" i="5"/>
  <c r="V183" i="5" s="1"/>
  <c r="U196" i="5"/>
  <c r="V196" i="5" s="1"/>
  <c r="U209" i="5"/>
  <c r="V209" i="5" s="1"/>
  <c r="U58" i="5"/>
  <c r="V58" i="5" s="1"/>
  <c r="U115" i="5"/>
  <c r="V115" i="5" s="1"/>
  <c r="U162" i="5"/>
  <c r="V162" i="5" s="1"/>
  <c r="O215" i="5"/>
  <c r="P217" i="5"/>
  <c r="N217" i="5"/>
  <c r="P216" i="5"/>
  <c r="N216" i="5"/>
  <c r="O214" i="5"/>
  <c r="O211" i="5"/>
  <c r="O209" i="5"/>
  <c r="O212" i="5"/>
  <c r="O210" i="5"/>
  <c r="L213" i="5"/>
  <c r="N208" i="5"/>
  <c r="P208" i="5"/>
  <c r="P206" i="5"/>
  <c r="N206" i="5"/>
  <c r="R206" i="5"/>
  <c r="S206" i="5" s="1"/>
  <c r="P207" i="5"/>
  <c r="N207" i="5"/>
  <c r="L203" i="5"/>
  <c r="P203" i="5" s="1"/>
  <c r="P205" i="5"/>
  <c r="N205" i="5"/>
  <c r="P204" i="5"/>
  <c r="N204" i="5"/>
  <c r="P202" i="5"/>
  <c r="N202" i="5"/>
  <c r="O199" i="5"/>
  <c r="P201" i="5"/>
  <c r="N201" i="5"/>
  <c r="P198" i="5"/>
  <c r="N198" i="5"/>
  <c r="O200" i="5"/>
  <c r="O196" i="5"/>
  <c r="P197" i="5"/>
  <c r="N197" i="5"/>
  <c r="O193" i="5"/>
  <c r="P195" i="5"/>
  <c r="N195" i="5"/>
  <c r="O190" i="5"/>
  <c r="R191" i="5"/>
  <c r="S191" i="5" s="1"/>
  <c r="N194" i="5"/>
  <c r="P194" i="5"/>
  <c r="N192" i="5"/>
  <c r="P192" i="5"/>
  <c r="N191" i="5"/>
  <c r="P191" i="5"/>
  <c r="O189" i="5"/>
  <c r="P188" i="5"/>
  <c r="N188" i="5"/>
  <c r="P187" i="5"/>
  <c r="N187" i="5"/>
  <c r="R180" i="5"/>
  <c r="S180" i="5" s="1"/>
  <c r="P186" i="5"/>
  <c r="N186" i="5"/>
  <c r="P185" i="5"/>
  <c r="N185" i="5"/>
  <c r="N180" i="5"/>
  <c r="P180" i="5"/>
  <c r="O183" i="5"/>
  <c r="O182" i="5"/>
  <c r="N184" i="5"/>
  <c r="P184" i="5"/>
  <c r="O171" i="5"/>
  <c r="O181" i="5"/>
  <c r="P178" i="5"/>
  <c r="N178" i="5"/>
  <c r="O179" i="5"/>
  <c r="P177" i="5"/>
  <c r="N177" i="5"/>
  <c r="O175" i="5"/>
  <c r="O170" i="5"/>
  <c r="R177" i="5"/>
  <c r="S177" i="5" s="1"/>
  <c r="O176" i="5"/>
  <c r="P174" i="5"/>
  <c r="N174" i="5"/>
  <c r="P172" i="5"/>
  <c r="N172" i="5"/>
  <c r="O173" i="5"/>
  <c r="O168" i="5"/>
  <c r="O166" i="5"/>
  <c r="O165" i="5"/>
  <c r="N169" i="5"/>
  <c r="P169" i="5"/>
  <c r="P167" i="5"/>
  <c r="N167" i="5"/>
  <c r="P164" i="5"/>
  <c r="N164" i="5"/>
  <c r="O160" i="5"/>
  <c r="O162" i="5"/>
  <c r="P163" i="5"/>
  <c r="N163" i="5"/>
  <c r="P161" i="5"/>
  <c r="N161" i="5"/>
  <c r="P159" i="5"/>
  <c r="N159" i="5"/>
  <c r="P158" i="5"/>
  <c r="N158" i="5"/>
  <c r="P157" i="5"/>
  <c r="N157" i="5"/>
  <c r="L154" i="5"/>
  <c r="P156" i="5"/>
  <c r="N156" i="5"/>
  <c r="P155" i="5"/>
  <c r="N155" i="5"/>
  <c r="L153" i="5"/>
  <c r="P152" i="5"/>
  <c r="N152" i="5"/>
  <c r="N149" i="5"/>
  <c r="P149" i="5"/>
  <c r="P151" i="5"/>
  <c r="N151" i="5"/>
  <c r="P150" i="5"/>
  <c r="N150" i="5"/>
  <c r="R150" i="5"/>
  <c r="S150" i="5" s="1"/>
  <c r="P148" i="5"/>
  <c r="N148" i="5"/>
  <c r="P146" i="5"/>
  <c r="N146" i="5"/>
  <c r="P145" i="5"/>
  <c r="N145" i="5"/>
  <c r="O138" i="5"/>
  <c r="N118" i="5"/>
  <c r="O118" i="5" s="1"/>
  <c r="P144" i="5"/>
  <c r="N144" i="5"/>
  <c r="O136" i="5"/>
  <c r="O142" i="5"/>
  <c r="N143" i="5"/>
  <c r="P143" i="5"/>
  <c r="O139" i="5"/>
  <c r="P141" i="5"/>
  <c r="N141" i="5"/>
  <c r="P140" i="5"/>
  <c r="N140" i="5"/>
  <c r="P110" i="5"/>
  <c r="N106" i="5"/>
  <c r="O106" i="5" s="1"/>
  <c r="P137" i="5"/>
  <c r="N137" i="5"/>
  <c r="P135" i="5"/>
  <c r="N135" i="5"/>
  <c r="N134" i="5"/>
  <c r="P134" i="5"/>
  <c r="N120" i="5"/>
  <c r="O120" i="5" s="1"/>
  <c r="O129" i="5"/>
  <c r="N132" i="5"/>
  <c r="P132" i="5"/>
  <c r="N133" i="5"/>
  <c r="P133" i="5"/>
  <c r="N122" i="5"/>
  <c r="O122" i="5" s="1"/>
  <c r="P131" i="5"/>
  <c r="N131" i="5"/>
  <c r="P130" i="5"/>
  <c r="N130" i="5"/>
  <c r="N121" i="5"/>
  <c r="O121" i="5" s="1"/>
  <c r="O109" i="5"/>
  <c r="P128" i="5"/>
  <c r="N128" i="5"/>
  <c r="O124" i="5"/>
  <c r="P127" i="5"/>
  <c r="N127" i="5"/>
  <c r="P111" i="5"/>
  <c r="U111" i="5" s="1"/>
  <c r="V111" i="5" s="1"/>
  <c r="O119" i="5"/>
  <c r="U119" i="5"/>
  <c r="V119" i="5" s="1"/>
  <c r="P112" i="5"/>
  <c r="U112" i="5" s="1"/>
  <c r="V112" i="5" s="1"/>
  <c r="N125" i="5"/>
  <c r="P125" i="5"/>
  <c r="O126" i="5"/>
  <c r="N114" i="5"/>
  <c r="O114" i="5" s="1"/>
  <c r="N123" i="5"/>
  <c r="P123" i="5"/>
  <c r="P105" i="5"/>
  <c r="U105" i="5" s="1"/>
  <c r="V105" i="5" s="1"/>
  <c r="P117" i="5"/>
  <c r="N117" i="5"/>
  <c r="P113" i="5"/>
  <c r="N113" i="5"/>
  <c r="O116" i="5"/>
  <c r="P104" i="5"/>
  <c r="U104" i="5" s="1"/>
  <c r="V104" i="5" s="1"/>
  <c r="P100" i="5"/>
  <c r="U100" i="5" s="1"/>
  <c r="V100" i="5" s="1"/>
  <c r="R104" i="5"/>
  <c r="S104" i="5" s="1"/>
  <c r="P98" i="5"/>
  <c r="U98" i="5" s="1"/>
  <c r="V98" i="5" s="1"/>
  <c r="N97" i="5"/>
  <c r="P97" i="5"/>
  <c r="R91" i="5"/>
  <c r="S91" i="5" s="1"/>
  <c r="P99" i="5"/>
  <c r="P107" i="5"/>
  <c r="N107" i="5"/>
  <c r="P108" i="5"/>
  <c r="N108" i="5"/>
  <c r="R97" i="5"/>
  <c r="S97" i="5" s="1"/>
  <c r="P94" i="5"/>
  <c r="U94" i="5" s="1"/>
  <c r="V94" i="5" s="1"/>
  <c r="P101" i="5"/>
  <c r="N101" i="5"/>
  <c r="P102" i="5"/>
  <c r="N102" i="5"/>
  <c r="O93" i="5"/>
  <c r="N95" i="5"/>
  <c r="P95" i="5"/>
  <c r="N91" i="5"/>
  <c r="P91" i="5"/>
  <c r="P92" i="5"/>
  <c r="N92" i="5"/>
  <c r="O90" i="5"/>
  <c r="N88" i="5"/>
  <c r="P88" i="5"/>
  <c r="N89" i="5"/>
  <c r="P89" i="5"/>
  <c r="O82" i="5"/>
  <c r="O87" i="5"/>
  <c r="O84" i="5"/>
  <c r="N85" i="5"/>
  <c r="P85" i="5"/>
  <c r="O83" i="5"/>
  <c r="N86" i="5"/>
  <c r="P86" i="5"/>
  <c r="L80" i="5"/>
  <c r="N80" i="5" s="1"/>
  <c r="P81" i="5"/>
  <c r="N81" i="5"/>
  <c r="P79" i="5"/>
  <c r="N79" i="5"/>
  <c r="P51" i="5"/>
  <c r="O77" i="5"/>
  <c r="P78" i="5"/>
  <c r="N78" i="5"/>
  <c r="P76" i="5"/>
  <c r="N76" i="5"/>
  <c r="O73" i="5"/>
  <c r="P75" i="5"/>
  <c r="N75" i="5"/>
  <c r="N74" i="5"/>
  <c r="P74" i="5"/>
  <c r="P72" i="5"/>
  <c r="N72" i="5"/>
  <c r="P71" i="5"/>
  <c r="N71" i="5"/>
  <c r="O69" i="5"/>
  <c r="P70" i="5"/>
  <c r="N70" i="5"/>
  <c r="N49" i="5"/>
  <c r="O49" i="5" s="1"/>
  <c r="P68" i="5"/>
  <c r="N68" i="5"/>
  <c r="N67" i="5"/>
  <c r="P67" i="5"/>
  <c r="O64" i="5"/>
  <c r="O65" i="5"/>
  <c r="O57" i="5"/>
  <c r="O66" i="5"/>
  <c r="P63" i="5"/>
  <c r="N63" i="5"/>
  <c r="O58" i="5"/>
  <c r="N50" i="5"/>
  <c r="O50" i="5" s="1"/>
  <c r="P62" i="5"/>
  <c r="N62" i="5"/>
  <c r="O61" i="5"/>
  <c r="N52" i="5"/>
  <c r="O52" i="5" s="1"/>
  <c r="P59" i="5"/>
  <c r="N59" i="5"/>
  <c r="P60" i="5"/>
  <c r="N60" i="5"/>
  <c r="N55" i="5"/>
  <c r="P55" i="5"/>
  <c r="N56" i="5"/>
  <c r="P56" i="5"/>
  <c r="P54" i="5"/>
  <c r="N54" i="5"/>
  <c r="L46" i="5"/>
  <c r="P53" i="5"/>
  <c r="N53" i="5"/>
  <c r="N47" i="5"/>
  <c r="P47" i="5"/>
  <c r="P48" i="5"/>
  <c r="N48" i="5"/>
  <c r="O42" i="5"/>
  <c r="R47" i="5"/>
  <c r="S47" i="5" s="1"/>
  <c r="R48" i="5"/>
  <c r="S48" i="5" s="1"/>
  <c r="O45" i="5"/>
  <c r="O44" i="5"/>
  <c r="N41" i="5"/>
  <c r="P41" i="5"/>
  <c r="O19" i="5"/>
  <c r="N43" i="5"/>
  <c r="P43" i="5"/>
  <c r="P27" i="5"/>
  <c r="U27" i="5" s="1"/>
  <c r="V27" i="5" s="1"/>
  <c r="P40" i="5"/>
  <c r="N40" i="5"/>
  <c r="P38" i="5"/>
  <c r="N38" i="5"/>
  <c r="P39" i="5"/>
  <c r="N39" i="5"/>
  <c r="L31" i="5"/>
  <c r="P31" i="5" s="1"/>
  <c r="O35" i="5"/>
  <c r="P37" i="5"/>
  <c r="N37" i="5"/>
  <c r="O33" i="5"/>
  <c r="N34" i="5"/>
  <c r="P34" i="5"/>
  <c r="P36" i="5"/>
  <c r="N36" i="5"/>
  <c r="O32" i="5"/>
  <c r="O25" i="5"/>
  <c r="O29" i="5"/>
  <c r="P30" i="5"/>
  <c r="N30" i="5"/>
  <c r="N28" i="5"/>
  <c r="P28" i="5"/>
  <c r="N23" i="5"/>
  <c r="O23" i="5" s="1"/>
  <c r="R28" i="5"/>
  <c r="S28" i="5" s="1"/>
  <c r="P26" i="5"/>
  <c r="N26" i="5"/>
  <c r="N20" i="5"/>
  <c r="O20" i="5" s="1"/>
  <c r="O24" i="5"/>
  <c r="R22" i="5"/>
  <c r="S22" i="5" s="1"/>
  <c r="N18" i="5"/>
  <c r="P18" i="5"/>
  <c r="L22" i="5"/>
  <c r="R18" i="5"/>
  <c r="S18" i="5" s="1"/>
  <c r="P17" i="5"/>
  <c r="N17" i="5"/>
  <c r="O10" i="5"/>
  <c r="P16" i="5"/>
  <c r="N16" i="5"/>
  <c r="R13" i="5"/>
  <c r="S13" i="5" s="1"/>
  <c r="P15" i="5"/>
  <c r="N15" i="5"/>
  <c r="P14" i="5"/>
  <c r="N14" i="5"/>
  <c r="L12" i="5"/>
  <c r="N12" i="5" s="1"/>
  <c r="P13" i="5"/>
  <c r="N13" i="5"/>
  <c r="N9" i="5"/>
  <c r="P9" i="5"/>
  <c r="O5" i="5"/>
  <c r="N8" i="5"/>
  <c r="O8" i="5" s="1"/>
  <c r="R9" i="5"/>
  <c r="S9" i="5" s="1"/>
  <c r="L6" i="5"/>
  <c r="P7" i="5"/>
  <c r="N7" i="5"/>
  <c r="U99" i="5" l="1"/>
  <c r="V99" i="5" s="1"/>
  <c r="U120" i="5"/>
  <c r="V120" i="5" s="1"/>
  <c r="O51" i="5"/>
  <c r="U51" i="5"/>
  <c r="V51" i="5" s="1"/>
  <c r="U110" i="5"/>
  <c r="V110" i="5" s="1"/>
  <c r="U205" i="5"/>
  <c r="V205" i="5" s="1"/>
  <c r="U206" i="5"/>
  <c r="V206" i="5" s="1"/>
  <c r="U28" i="5"/>
  <c r="V28" i="5" s="1"/>
  <c r="U185" i="5"/>
  <c r="V185" i="5" s="1"/>
  <c r="U195" i="5"/>
  <c r="V195" i="5" s="1"/>
  <c r="U202" i="5"/>
  <c r="V202" i="5" s="1"/>
  <c r="U75" i="5"/>
  <c r="V75" i="5" s="1"/>
  <c r="U56" i="5"/>
  <c r="V56" i="5" s="1"/>
  <c r="U52" i="5"/>
  <c r="V52" i="5" s="1"/>
  <c r="U48" i="5"/>
  <c r="V48" i="5" s="1"/>
  <c r="U34" i="5"/>
  <c r="V34" i="5" s="1"/>
  <c r="U40" i="5"/>
  <c r="V40" i="5" s="1"/>
  <c r="U95" i="5"/>
  <c r="V95" i="5" s="1"/>
  <c r="U125" i="5"/>
  <c r="V125" i="5" s="1"/>
  <c r="U15" i="5"/>
  <c r="V15" i="5" s="1"/>
  <c r="U204" i="5"/>
  <c r="V204" i="5" s="1"/>
  <c r="U216" i="5"/>
  <c r="V216" i="5" s="1"/>
  <c r="U122" i="5"/>
  <c r="V122" i="5" s="1"/>
  <c r="U7" i="5"/>
  <c r="V7" i="5" s="1"/>
  <c r="U30" i="5"/>
  <c r="V30" i="5" s="1"/>
  <c r="U62" i="5"/>
  <c r="V62" i="5" s="1"/>
  <c r="U78" i="5"/>
  <c r="V78" i="5" s="1"/>
  <c r="U81" i="5"/>
  <c r="V81" i="5" s="1"/>
  <c r="U101" i="5"/>
  <c r="V101" i="5" s="1"/>
  <c r="U158" i="5"/>
  <c r="V158" i="5" s="1"/>
  <c r="U217" i="5"/>
  <c r="V217" i="5" s="1"/>
  <c r="U18" i="5"/>
  <c r="V18" i="5" s="1"/>
  <c r="U67" i="5"/>
  <c r="V67" i="5" s="1"/>
  <c r="U13" i="5"/>
  <c r="V13" i="5" s="1"/>
  <c r="U59" i="5"/>
  <c r="V59" i="5" s="1"/>
  <c r="U102" i="5"/>
  <c r="V102" i="5" s="1"/>
  <c r="U127" i="5"/>
  <c r="V127" i="5" s="1"/>
  <c r="U150" i="5"/>
  <c r="V150" i="5" s="1"/>
  <c r="U152" i="5"/>
  <c r="V152" i="5" s="1"/>
  <c r="U159" i="5"/>
  <c r="V159" i="5" s="1"/>
  <c r="U172" i="5"/>
  <c r="V172" i="5" s="1"/>
  <c r="U72" i="5"/>
  <c r="V72" i="5" s="1"/>
  <c r="U117" i="5"/>
  <c r="V117" i="5" s="1"/>
  <c r="U130" i="5"/>
  <c r="V130" i="5" s="1"/>
  <c r="U144" i="5"/>
  <c r="V144" i="5" s="1"/>
  <c r="U146" i="5"/>
  <c r="V146" i="5" s="1"/>
  <c r="U106" i="5"/>
  <c r="V106" i="5" s="1"/>
  <c r="U74" i="5"/>
  <c r="V74" i="5" s="1"/>
  <c r="U89" i="5"/>
  <c r="V89" i="5" s="1"/>
  <c r="U132" i="5"/>
  <c r="V132" i="5" s="1"/>
  <c r="U143" i="5"/>
  <c r="V143" i="5" s="1"/>
  <c r="U88" i="5"/>
  <c r="V88" i="5" s="1"/>
  <c r="U163" i="5"/>
  <c r="V163" i="5" s="1"/>
  <c r="U167" i="5"/>
  <c r="V167" i="5" s="1"/>
  <c r="U188" i="5"/>
  <c r="V188" i="5" s="1"/>
  <c r="U194" i="5"/>
  <c r="V194" i="5" s="1"/>
  <c r="U198" i="5"/>
  <c r="V198" i="5" s="1"/>
  <c r="U207" i="5"/>
  <c r="V207" i="5" s="1"/>
  <c r="U17" i="5"/>
  <c r="V17" i="5" s="1"/>
  <c r="U36" i="5"/>
  <c r="V36" i="5" s="1"/>
  <c r="U37" i="5"/>
  <c r="V37" i="5" s="1"/>
  <c r="U38" i="5"/>
  <c r="V38" i="5" s="1"/>
  <c r="U54" i="5"/>
  <c r="V54" i="5" s="1"/>
  <c r="U68" i="5"/>
  <c r="V68" i="5" s="1"/>
  <c r="U71" i="5"/>
  <c r="V71" i="5" s="1"/>
  <c r="U97" i="5"/>
  <c r="V97" i="5" s="1"/>
  <c r="U137" i="5"/>
  <c r="V137" i="5" s="1"/>
  <c r="U141" i="5"/>
  <c r="V141" i="5" s="1"/>
  <c r="U145" i="5"/>
  <c r="V145" i="5" s="1"/>
  <c r="U156" i="5"/>
  <c r="V156" i="5" s="1"/>
  <c r="U169" i="5"/>
  <c r="V169" i="5" s="1"/>
  <c r="U178" i="5"/>
  <c r="V178" i="5" s="1"/>
  <c r="U186" i="5"/>
  <c r="V186" i="5" s="1"/>
  <c r="U8" i="5"/>
  <c r="V8" i="5" s="1"/>
  <c r="U41" i="5"/>
  <c r="V41" i="5" s="1"/>
  <c r="U86" i="5"/>
  <c r="V86" i="5" s="1"/>
  <c r="U123" i="5"/>
  <c r="V123" i="5" s="1"/>
  <c r="U133" i="5"/>
  <c r="V133" i="5" s="1"/>
  <c r="U134" i="5"/>
  <c r="V134" i="5" s="1"/>
  <c r="U180" i="5"/>
  <c r="V180" i="5" s="1"/>
  <c r="U191" i="5"/>
  <c r="V191" i="5" s="1"/>
  <c r="U197" i="5"/>
  <c r="V197" i="5" s="1"/>
  <c r="U201" i="5"/>
  <c r="V201" i="5" s="1"/>
  <c r="O206" i="5"/>
  <c r="O217" i="5"/>
  <c r="U118" i="5"/>
  <c r="V118" i="5" s="1"/>
  <c r="U114" i="5"/>
  <c r="V114" i="5" s="1"/>
  <c r="U16" i="5"/>
  <c r="V16" i="5" s="1"/>
  <c r="U26" i="5"/>
  <c r="V26" i="5" s="1"/>
  <c r="U53" i="5"/>
  <c r="V53" i="5" s="1"/>
  <c r="U70" i="5"/>
  <c r="V70" i="5" s="1"/>
  <c r="U76" i="5"/>
  <c r="V76" i="5" s="1"/>
  <c r="U79" i="5"/>
  <c r="V79" i="5" s="1"/>
  <c r="U92" i="5"/>
  <c r="V92" i="5" s="1"/>
  <c r="U108" i="5"/>
  <c r="V108" i="5" s="1"/>
  <c r="U107" i="5"/>
  <c r="V107" i="5" s="1"/>
  <c r="U113" i="5"/>
  <c r="V113" i="5" s="1"/>
  <c r="U151" i="5"/>
  <c r="V151" i="5" s="1"/>
  <c r="U157" i="5"/>
  <c r="V157" i="5" s="1"/>
  <c r="U161" i="5"/>
  <c r="V161" i="5" s="1"/>
  <c r="U164" i="5"/>
  <c r="V164" i="5" s="1"/>
  <c r="U174" i="5"/>
  <c r="V174" i="5" s="1"/>
  <c r="U177" i="5"/>
  <c r="V177" i="5" s="1"/>
  <c r="U184" i="5"/>
  <c r="V184" i="5" s="1"/>
  <c r="U187" i="5"/>
  <c r="V187" i="5" s="1"/>
  <c r="U192" i="5"/>
  <c r="V192" i="5" s="1"/>
  <c r="U208" i="5"/>
  <c r="V208" i="5" s="1"/>
  <c r="U23" i="5"/>
  <c r="V23" i="5" s="1"/>
  <c r="U121" i="5"/>
  <c r="V121" i="5" s="1"/>
  <c r="U9" i="5"/>
  <c r="V9" i="5" s="1"/>
  <c r="U14" i="5"/>
  <c r="V14" i="5" s="1"/>
  <c r="U39" i="5"/>
  <c r="V39" i="5" s="1"/>
  <c r="U43" i="5"/>
  <c r="V43" i="5" s="1"/>
  <c r="U47" i="5"/>
  <c r="V47" i="5" s="1"/>
  <c r="U55" i="5"/>
  <c r="V55" i="5" s="1"/>
  <c r="U60" i="5"/>
  <c r="V60" i="5" s="1"/>
  <c r="U63" i="5"/>
  <c r="V63" i="5" s="1"/>
  <c r="U85" i="5"/>
  <c r="V85" i="5" s="1"/>
  <c r="U91" i="5"/>
  <c r="V91" i="5" s="1"/>
  <c r="U128" i="5"/>
  <c r="V128" i="5" s="1"/>
  <c r="U131" i="5"/>
  <c r="V131" i="5" s="1"/>
  <c r="U135" i="5"/>
  <c r="V135" i="5" s="1"/>
  <c r="U140" i="5"/>
  <c r="V140" i="5" s="1"/>
  <c r="U148" i="5"/>
  <c r="V148" i="5" s="1"/>
  <c r="U149" i="5"/>
  <c r="V149" i="5" s="1"/>
  <c r="U155" i="5"/>
  <c r="V155" i="5" s="1"/>
  <c r="U20" i="5"/>
  <c r="V20" i="5" s="1"/>
  <c r="U50" i="5"/>
  <c r="V50" i="5" s="1"/>
  <c r="O216" i="5"/>
  <c r="U49" i="5"/>
  <c r="V49" i="5" s="1"/>
  <c r="O205" i="5"/>
  <c r="O207" i="5"/>
  <c r="O204" i="5"/>
  <c r="P213" i="5"/>
  <c r="N213" i="5"/>
  <c r="O208" i="5"/>
  <c r="N203" i="5"/>
  <c r="O203" i="5" s="1"/>
  <c r="O202" i="5"/>
  <c r="O197" i="5"/>
  <c r="O201" i="5"/>
  <c r="O198" i="5"/>
  <c r="O195" i="5"/>
  <c r="O192" i="5"/>
  <c r="O194" i="5"/>
  <c r="O188" i="5"/>
  <c r="O191" i="5"/>
  <c r="O187" i="5"/>
  <c r="O186" i="5"/>
  <c r="O185" i="5"/>
  <c r="O184" i="5"/>
  <c r="O178" i="5"/>
  <c r="O180" i="5"/>
  <c r="O174" i="5"/>
  <c r="O177" i="5"/>
  <c r="O172" i="5"/>
  <c r="O164" i="5"/>
  <c r="O169" i="5"/>
  <c r="O167" i="5"/>
  <c r="O158" i="5"/>
  <c r="O163" i="5"/>
  <c r="O157" i="5"/>
  <c r="O161" i="5"/>
  <c r="O159" i="5"/>
  <c r="O156" i="5"/>
  <c r="O155" i="5"/>
  <c r="N154" i="5"/>
  <c r="P154" i="5"/>
  <c r="O150" i="5"/>
  <c r="O152" i="5"/>
  <c r="O151" i="5"/>
  <c r="P153" i="5"/>
  <c r="N153" i="5"/>
  <c r="O145" i="5"/>
  <c r="O149" i="5"/>
  <c r="O148" i="5"/>
  <c r="O110" i="5"/>
  <c r="O144" i="5"/>
  <c r="O146" i="5"/>
  <c r="O143" i="5"/>
  <c r="O135" i="5"/>
  <c r="O140" i="5"/>
  <c r="O137" i="5"/>
  <c r="O141" i="5"/>
  <c r="O132" i="5"/>
  <c r="O131" i="5"/>
  <c r="O133" i="5"/>
  <c r="O134" i="5"/>
  <c r="O128" i="5"/>
  <c r="O105" i="5"/>
  <c r="O113" i="5"/>
  <c r="O130" i="5"/>
  <c r="O111" i="5"/>
  <c r="O98" i="5"/>
  <c r="O112" i="5"/>
  <c r="O100" i="5"/>
  <c r="O127" i="5"/>
  <c r="O123" i="5"/>
  <c r="O125" i="5"/>
  <c r="O99" i="5"/>
  <c r="O117" i="5"/>
  <c r="P80" i="5"/>
  <c r="U80" i="5" s="1"/>
  <c r="V80" i="5" s="1"/>
  <c r="O91" i="5"/>
  <c r="O97" i="5"/>
  <c r="O104" i="5"/>
  <c r="O76" i="5"/>
  <c r="O79" i="5"/>
  <c r="O101" i="5"/>
  <c r="O108" i="5"/>
  <c r="O107" i="5"/>
  <c r="O74" i="5"/>
  <c r="O78" i="5"/>
  <c r="O81" i="5"/>
  <c r="O92" i="5"/>
  <c r="O102" i="5"/>
  <c r="O94" i="5"/>
  <c r="O95" i="5"/>
  <c r="O89" i="5"/>
  <c r="O88" i="5"/>
  <c r="O86" i="5"/>
  <c r="O85" i="5"/>
  <c r="O68" i="5"/>
  <c r="O75" i="5"/>
  <c r="O71" i="5"/>
  <c r="O72" i="5"/>
  <c r="O70" i="5"/>
  <c r="O59" i="5"/>
  <c r="O67" i="5"/>
  <c r="O63" i="5"/>
  <c r="O48" i="5"/>
  <c r="O53" i="5"/>
  <c r="O62" i="5"/>
  <c r="O56" i="5"/>
  <c r="O60" i="5"/>
  <c r="O40" i="5"/>
  <c r="N31" i="5"/>
  <c r="O31" i="5" s="1"/>
  <c r="O55" i="5"/>
  <c r="O27" i="5"/>
  <c r="P46" i="5"/>
  <c r="N46" i="5"/>
  <c r="O54" i="5"/>
  <c r="O43" i="5"/>
  <c r="O47" i="5"/>
  <c r="O41" i="5"/>
  <c r="O36" i="5"/>
  <c r="O37" i="5"/>
  <c r="O38" i="5"/>
  <c r="O39" i="5"/>
  <c r="P12" i="5"/>
  <c r="U12" i="5" s="1"/>
  <c r="V12" i="5" s="1"/>
  <c r="O34" i="5"/>
  <c r="O17" i="5"/>
  <c r="O30" i="5"/>
  <c r="O26" i="5"/>
  <c r="O28" i="5"/>
  <c r="O15" i="5"/>
  <c r="O7" i="5"/>
  <c r="O16" i="5"/>
  <c r="N22" i="5"/>
  <c r="P22" i="5"/>
  <c r="O18" i="5"/>
  <c r="O14" i="5"/>
  <c r="O13" i="5"/>
  <c r="N6" i="5"/>
  <c r="P6" i="5"/>
  <c r="O9" i="5"/>
  <c r="AI11" i="17"/>
  <c r="AI10" i="17"/>
  <c r="U39" i="17" l="1"/>
  <c r="V39" i="17" s="1"/>
  <c r="E39" i="17"/>
  <c r="F39" i="17" s="1"/>
  <c r="E41" i="17"/>
  <c r="U41" i="17"/>
  <c r="U40" i="17"/>
  <c r="V40" i="17" s="1"/>
  <c r="E40" i="17"/>
  <c r="F40" i="17" s="1"/>
  <c r="E38" i="17"/>
  <c r="F38" i="17" s="1"/>
  <c r="U38" i="17"/>
  <c r="V38" i="17" s="1"/>
  <c r="U31" i="5"/>
  <c r="V31" i="5" s="1"/>
  <c r="U22" i="5"/>
  <c r="V22" i="5" s="1"/>
  <c r="U213" i="5"/>
  <c r="V213" i="5" s="1"/>
  <c r="U46" i="5"/>
  <c r="V46" i="5" s="1"/>
  <c r="U6" i="5"/>
  <c r="V6" i="5" s="1"/>
  <c r="U153" i="5"/>
  <c r="V153" i="5" s="1"/>
  <c r="U154" i="5"/>
  <c r="V154" i="5" s="1"/>
  <c r="U203" i="5"/>
  <c r="V203" i="5" s="1"/>
  <c r="O213" i="5"/>
  <c r="O12" i="5"/>
  <c r="O154" i="5"/>
  <c r="O153" i="5"/>
  <c r="O80" i="5"/>
  <c r="O46" i="5"/>
  <c r="O22" i="5"/>
  <c r="O6" i="5"/>
  <c r="D8" i="12" l="1"/>
  <c r="J39" i="17"/>
  <c r="P39" i="17"/>
  <c r="G39" i="17"/>
  <c r="Z39" i="17"/>
  <c r="W39" i="17"/>
  <c r="Y39" i="17"/>
  <c r="Y40" i="17"/>
  <c r="W40" i="17"/>
  <c r="G40" i="17"/>
  <c r="J40" i="17"/>
  <c r="P40" i="17"/>
  <c r="Z40" i="17"/>
  <c r="W38" i="17"/>
  <c r="Y38" i="17"/>
  <c r="P38" i="17"/>
  <c r="Z38" i="17"/>
  <c r="J38" i="17"/>
  <c r="G38" i="17"/>
  <c r="AA39" i="17" l="1"/>
  <c r="AC39" i="17" s="1"/>
  <c r="AD39" i="17" s="1"/>
  <c r="AA40" i="17"/>
  <c r="AC40" i="17" s="1"/>
  <c r="AD40" i="17" s="1"/>
  <c r="AA38" i="17"/>
  <c r="AC38" i="17" s="1"/>
  <c r="AD38" i="17" s="1"/>
  <c r="DV54" i="12"/>
  <c r="AW54" i="12"/>
  <c r="AV54" i="12"/>
  <c r="AU54" i="12"/>
  <c r="AT54" i="12"/>
  <c r="AS54" i="12"/>
  <c r="AR54" i="12"/>
  <c r="AQ54" i="12"/>
  <c r="AP54" i="12"/>
  <c r="AO54" i="12"/>
  <c r="AN54" i="12"/>
  <c r="AM54" i="12"/>
  <c r="AL54" i="12"/>
  <c r="AK54" i="12"/>
  <c r="AJ54" i="12"/>
  <c r="AI54" i="12"/>
  <c r="AH54" i="12"/>
  <c r="AG54" i="12"/>
  <c r="AF54" i="12"/>
  <c r="AE54" i="12"/>
  <c r="AD54" i="12"/>
  <c r="AC54" i="12"/>
  <c r="X54" i="12"/>
  <c r="W54" i="12"/>
  <c r="V54" i="12"/>
  <c r="U54" i="12"/>
  <c r="T54" i="12"/>
  <c r="S54" i="12"/>
  <c r="R54" i="12"/>
  <c r="Q54" i="12"/>
  <c r="P54" i="12"/>
  <c r="O54" i="12"/>
  <c r="N54" i="12"/>
  <c r="M54" i="12"/>
  <c r="L54" i="12"/>
  <c r="K54" i="12"/>
  <c r="J54" i="12"/>
  <c r="I54" i="12"/>
  <c r="H54" i="12"/>
  <c r="G54" i="12"/>
  <c r="F54" i="12"/>
  <c r="E54" i="12"/>
  <c r="BD54" i="12" l="1"/>
  <c r="BH54" i="12"/>
  <c r="BL54" i="12"/>
  <c r="AA54" i="12"/>
  <c r="AZ54" i="12"/>
  <c r="BF54" i="12"/>
  <c r="CO54" i="12"/>
  <c r="CC54" i="12"/>
  <c r="CE54" i="12" s="1"/>
  <c r="BJ54" i="12"/>
  <c r="CG54" i="12"/>
  <c r="CI54" i="12"/>
  <c r="BN54" i="12"/>
  <c r="CK54" i="12"/>
  <c r="BP54" i="12"/>
  <c r="CM54" i="12"/>
  <c r="BR54" i="12"/>
  <c r="BT54" i="12" s="1"/>
  <c r="BY54" i="12"/>
  <c r="CA54" i="12" s="1"/>
  <c r="BU54" i="12"/>
  <c r="BW54" i="12" s="1"/>
  <c r="H35" i="17"/>
  <c r="D35" i="17"/>
  <c r="H34" i="17"/>
  <c r="D34" i="17"/>
  <c r="C35" i="17"/>
  <c r="C34" i="17"/>
  <c r="C33" i="17"/>
  <c r="AE6" i="6" l="1"/>
  <c r="CU54" i="12"/>
  <c r="Z54" i="12"/>
  <c r="E34" i="17"/>
  <c r="F34" i="17" s="1"/>
  <c r="E35" i="17"/>
  <c r="F35" i="17" s="1"/>
  <c r="I34" i="17"/>
  <c r="I35" i="17"/>
  <c r="AX54" i="12" l="1"/>
  <c r="Y54" i="12"/>
  <c r="AY54" i="12"/>
  <c r="CS54" i="12" s="1"/>
  <c r="D33" i="17"/>
  <c r="E33" i="17" s="1"/>
  <c r="H33" i="17"/>
  <c r="R33" i="17"/>
  <c r="U33" i="17" s="1"/>
  <c r="S35" i="17"/>
  <c r="R35" i="17"/>
  <c r="U35" i="17" s="1"/>
  <c r="S34" i="17"/>
  <c r="S33" i="17"/>
  <c r="R34" i="17"/>
  <c r="U34" i="17" s="1"/>
  <c r="P35" i="17"/>
  <c r="Z35" i="17"/>
  <c r="J35" i="17"/>
  <c r="G35" i="17"/>
  <c r="Z34" i="17"/>
  <c r="G34" i="17"/>
  <c r="P34" i="17"/>
  <c r="J34" i="17"/>
  <c r="H20" i="17"/>
  <c r="CQ54" i="12" l="1"/>
  <c r="BA54" i="12"/>
  <c r="I33" i="17"/>
  <c r="F33" i="17"/>
  <c r="J33" i="17" s="1"/>
  <c r="V35" i="17"/>
  <c r="Y35" i="17" s="1"/>
  <c r="AA35" i="17" s="1"/>
  <c r="AC35" i="17" s="1"/>
  <c r="AD35" i="17" s="1"/>
  <c r="V34" i="17"/>
  <c r="W34" i="17" s="1"/>
  <c r="V33" i="17"/>
  <c r="T33" i="17"/>
  <c r="T35" i="17"/>
  <c r="T34" i="17"/>
  <c r="Z33" i="17" l="1"/>
  <c r="G33" i="17"/>
  <c r="P33" i="17"/>
  <c r="Y34" i="17"/>
  <c r="AA34" i="17" s="1"/>
  <c r="AC34" i="17" s="1"/>
  <c r="AD34" i="17" s="1"/>
  <c r="W35" i="17"/>
  <c r="W33" i="17"/>
  <c r="Y33" i="17"/>
  <c r="AA33" i="17" l="1"/>
  <c r="AC33" i="17" s="1"/>
  <c r="AD33" i="17" s="1"/>
  <c r="AS48" i="12" l="1"/>
  <c r="T48" i="12"/>
  <c r="DV50" i="12"/>
  <c r="AZ50" i="12"/>
  <c r="AY50" i="12"/>
  <c r="AX50" i="12"/>
  <c r="AW50" i="12"/>
  <c r="AV50" i="12"/>
  <c r="AU50" i="12"/>
  <c r="AT50" i="12"/>
  <c r="AS50" i="12"/>
  <c r="AQ50" i="12"/>
  <c r="AP50" i="12"/>
  <c r="AO50" i="12"/>
  <c r="AN50" i="12"/>
  <c r="AM50" i="12"/>
  <c r="AL50" i="12"/>
  <c r="AK50" i="12"/>
  <c r="AJ50" i="12"/>
  <c r="AI50" i="12"/>
  <c r="AH50" i="12"/>
  <c r="AG50" i="12"/>
  <c r="AF50" i="12"/>
  <c r="AE50" i="12"/>
  <c r="AD50" i="12"/>
  <c r="BD50" i="12" s="1"/>
  <c r="AC50" i="12"/>
  <c r="AA50" i="12"/>
  <c r="Z50" i="12"/>
  <c r="Y50" i="12"/>
  <c r="X50" i="12"/>
  <c r="W50" i="12"/>
  <c r="V50" i="12"/>
  <c r="U50" i="12"/>
  <c r="T50" i="12"/>
  <c r="R50" i="12"/>
  <c r="Q50" i="12"/>
  <c r="P50" i="12"/>
  <c r="O50" i="12"/>
  <c r="N50" i="12"/>
  <c r="M50" i="12"/>
  <c r="L50" i="12"/>
  <c r="K50" i="12"/>
  <c r="J50" i="12"/>
  <c r="I50" i="12"/>
  <c r="H50" i="12"/>
  <c r="G50" i="12"/>
  <c r="F50" i="12"/>
  <c r="DV49" i="12"/>
  <c r="AZ49" i="12"/>
  <c r="AY49" i="12"/>
  <c r="AX49" i="12"/>
  <c r="AW49" i="12"/>
  <c r="AV49" i="12"/>
  <c r="AU49" i="12"/>
  <c r="AT49" i="12"/>
  <c r="AS49" i="12"/>
  <c r="AR49" i="12"/>
  <c r="AQ49" i="12"/>
  <c r="AO49" i="12"/>
  <c r="AN49" i="12"/>
  <c r="AM49" i="12"/>
  <c r="AL49" i="12"/>
  <c r="AK49" i="12"/>
  <c r="AJ49" i="12"/>
  <c r="AI49" i="12"/>
  <c r="AH49" i="12"/>
  <c r="AG49" i="12"/>
  <c r="AF49" i="12"/>
  <c r="AE49" i="12"/>
  <c r="AD49" i="12"/>
  <c r="BD49" i="12" s="1"/>
  <c r="AC49" i="12"/>
  <c r="AA49" i="12"/>
  <c r="Z49" i="12"/>
  <c r="Y49" i="12"/>
  <c r="X49" i="12"/>
  <c r="W49" i="12"/>
  <c r="V49" i="12"/>
  <c r="U49" i="12"/>
  <c r="T49" i="12"/>
  <c r="S49" i="12"/>
  <c r="R49" i="12"/>
  <c r="P49" i="12"/>
  <c r="O49" i="12"/>
  <c r="N49" i="12"/>
  <c r="M49" i="12"/>
  <c r="L49" i="12"/>
  <c r="K49" i="12"/>
  <c r="J49" i="12"/>
  <c r="I49" i="12"/>
  <c r="H49" i="12"/>
  <c r="G49" i="12"/>
  <c r="F49" i="12"/>
  <c r="DV48" i="12"/>
  <c r="AZ48" i="12"/>
  <c r="AY48" i="12"/>
  <c r="AX48" i="12"/>
  <c r="AW48" i="12"/>
  <c r="AV48" i="12"/>
  <c r="AU48" i="12"/>
  <c r="AT48" i="12"/>
  <c r="AR48" i="12"/>
  <c r="AO48" i="12"/>
  <c r="AN48" i="12"/>
  <c r="AM48" i="12"/>
  <c r="AL48" i="12"/>
  <c r="AK48" i="12"/>
  <c r="AJ48" i="12"/>
  <c r="AI48" i="12"/>
  <c r="AH48" i="12"/>
  <c r="AG48" i="12"/>
  <c r="AF48" i="12"/>
  <c r="AE48" i="12"/>
  <c r="AD48" i="12"/>
  <c r="BD48" i="12" s="1"/>
  <c r="AC48" i="12"/>
  <c r="AA48" i="12"/>
  <c r="Z48" i="12"/>
  <c r="Y48" i="12"/>
  <c r="X48" i="12"/>
  <c r="W48" i="12"/>
  <c r="V48" i="12"/>
  <c r="U48" i="12"/>
  <c r="S48" i="12"/>
  <c r="P48" i="12"/>
  <c r="O48" i="12"/>
  <c r="N48" i="12"/>
  <c r="M48" i="12"/>
  <c r="L48" i="12"/>
  <c r="K48" i="12"/>
  <c r="J48" i="12"/>
  <c r="I48" i="12"/>
  <c r="H48" i="12"/>
  <c r="G48" i="12"/>
  <c r="F48" i="12"/>
  <c r="DV47" i="12"/>
  <c r="AZ47" i="12"/>
  <c r="AY47" i="12"/>
  <c r="AX47" i="12"/>
  <c r="AW47" i="12"/>
  <c r="AV47" i="12"/>
  <c r="AU47" i="12"/>
  <c r="AT47" i="12"/>
  <c r="AS47" i="12"/>
  <c r="AQ47" i="12"/>
  <c r="AO47" i="12"/>
  <c r="AN47" i="12"/>
  <c r="AM47" i="12"/>
  <c r="AL47" i="12"/>
  <c r="AK47" i="12"/>
  <c r="AJ47" i="12"/>
  <c r="AI47" i="12"/>
  <c r="AH47" i="12"/>
  <c r="AG47" i="12"/>
  <c r="AF47" i="12"/>
  <c r="AE47" i="12"/>
  <c r="AD47" i="12"/>
  <c r="BD47" i="12" s="1"/>
  <c r="AC47" i="12"/>
  <c r="AA47" i="12"/>
  <c r="Z47" i="12"/>
  <c r="Y47" i="12"/>
  <c r="X47" i="12"/>
  <c r="W47" i="12"/>
  <c r="V47" i="12"/>
  <c r="U47" i="12"/>
  <c r="T47" i="12"/>
  <c r="R47" i="12"/>
  <c r="P47" i="12"/>
  <c r="O47" i="12"/>
  <c r="N47" i="12"/>
  <c r="M47" i="12"/>
  <c r="L47" i="12"/>
  <c r="K47" i="12"/>
  <c r="J47" i="12"/>
  <c r="I47" i="12"/>
  <c r="H47" i="12"/>
  <c r="G47" i="12"/>
  <c r="F47" i="12"/>
  <c r="DV46" i="12"/>
  <c r="AZ46" i="12"/>
  <c r="AY46" i="12"/>
  <c r="AX46" i="12"/>
  <c r="AW46" i="12"/>
  <c r="AV46" i="12"/>
  <c r="AU46" i="12"/>
  <c r="AT46" i="12"/>
  <c r="AS46" i="12"/>
  <c r="AR46" i="12"/>
  <c r="AQ46" i="12"/>
  <c r="AO46" i="12"/>
  <c r="AN46" i="12"/>
  <c r="AM46" i="12"/>
  <c r="AL46" i="12"/>
  <c r="AK46" i="12"/>
  <c r="AJ46" i="12"/>
  <c r="AI46" i="12"/>
  <c r="AH46" i="12"/>
  <c r="AG46" i="12"/>
  <c r="AF46" i="12"/>
  <c r="AE46" i="12"/>
  <c r="AD46" i="12"/>
  <c r="BD46" i="12" s="1"/>
  <c r="AC46" i="12"/>
  <c r="AA46" i="12"/>
  <c r="Z46" i="12"/>
  <c r="Y46" i="12"/>
  <c r="X46" i="12"/>
  <c r="W46" i="12"/>
  <c r="V46" i="12"/>
  <c r="U46" i="12"/>
  <c r="T46" i="12"/>
  <c r="S46" i="12"/>
  <c r="R46" i="12"/>
  <c r="P46" i="12"/>
  <c r="O46" i="12"/>
  <c r="N46" i="12"/>
  <c r="M46" i="12"/>
  <c r="L46" i="12"/>
  <c r="K46" i="12"/>
  <c r="J46" i="12"/>
  <c r="I46" i="12"/>
  <c r="H46" i="12"/>
  <c r="G46" i="12"/>
  <c r="F46" i="12"/>
  <c r="S45" i="12"/>
  <c r="S44" i="12"/>
  <c r="S42" i="12"/>
  <c r="S41" i="12"/>
  <c r="S40" i="12"/>
  <c r="S39" i="12"/>
  <c r="BH46" i="12" l="1"/>
  <c r="BH50" i="12"/>
  <c r="BH47" i="12"/>
  <c r="BH48" i="12"/>
  <c r="BH49" i="12"/>
  <c r="BL49" i="12"/>
  <c r="BL46" i="12"/>
  <c r="BL50" i="12"/>
  <c r="BL47" i="12"/>
  <c r="BL48" i="12"/>
  <c r="CK49" i="12"/>
  <c r="BP50" i="12"/>
  <c r="CI48" i="12"/>
  <c r="CK46" i="12"/>
  <c r="CS47" i="12"/>
  <c r="CO48" i="12"/>
  <c r="BP47" i="12"/>
  <c r="CM50" i="12"/>
  <c r="CQ49" i="12"/>
  <c r="CU48" i="12"/>
  <c r="CM47" i="12"/>
  <c r="CQ46" i="12"/>
  <c r="BJ46" i="12"/>
  <c r="CG46" i="12"/>
  <c r="CS46" i="12"/>
  <c r="BF47" i="12"/>
  <c r="CO47" i="12"/>
  <c r="BN48" i="12"/>
  <c r="CK48" i="12"/>
  <c r="BJ49" i="12"/>
  <c r="CG49" i="12"/>
  <c r="CS49" i="12"/>
  <c r="BF50" i="12"/>
  <c r="CO50" i="12"/>
  <c r="CI46" i="12"/>
  <c r="CU46" i="12"/>
  <c r="CQ47" i="12"/>
  <c r="BP48" i="12"/>
  <c r="CM48" i="12"/>
  <c r="CI49" i="12"/>
  <c r="CU49" i="12"/>
  <c r="CQ50" i="12"/>
  <c r="BN46" i="12"/>
  <c r="BJ47" i="12"/>
  <c r="CG47" i="12"/>
  <c r="BF48" i="12"/>
  <c r="BN49" i="12"/>
  <c r="BJ50" i="12"/>
  <c r="CG50" i="12"/>
  <c r="CS50" i="12"/>
  <c r="BP46" i="12"/>
  <c r="CM46" i="12"/>
  <c r="CI47" i="12"/>
  <c r="CU47" i="12"/>
  <c r="CQ48" i="12"/>
  <c r="BP49" i="12"/>
  <c r="CM49" i="12"/>
  <c r="CI50" i="12"/>
  <c r="CU50" i="12"/>
  <c r="BF46" i="12"/>
  <c r="BR46" i="12"/>
  <c r="BT46" i="12" s="1"/>
  <c r="CC46" i="12"/>
  <c r="CE46" i="12" s="1"/>
  <c r="CO46" i="12"/>
  <c r="BN47" i="12"/>
  <c r="BY47" i="12"/>
  <c r="CK47" i="12"/>
  <c r="BJ48" i="12"/>
  <c r="BU48" i="12"/>
  <c r="BW48" i="12" s="1"/>
  <c r="CG48" i="12"/>
  <c r="CS48" i="12"/>
  <c r="BF49" i="12"/>
  <c r="BR49" i="12"/>
  <c r="BT49" i="12" s="1"/>
  <c r="CC49" i="12"/>
  <c r="CE49" i="12" s="1"/>
  <c r="CO49" i="12"/>
  <c r="BN50" i="12"/>
  <c r="BY50" i="12"/>
  <c r="CA50" i="12" s="1"/>
  <c r="CK50" i="12"/>
  <c r="BU46" i="12"/>
  <c r="BW46" i="12" s="1"/>
  <c r="BR47" i="12"/>
  <c r="BT47" i="12" s="1"/>
  <c r="CC47" i="12"/>
  <c r="BY48" i="12"/>
  <c r="BU49" i="12"/>
  <c r="BW49" i="12" s="1"/>
  <c r="BR50" i="12"/>
  <c r="BT50" i="12" s="1"/>
  <c r="CC50" i="12"/>
  <c r="BY46" i="12"/>
  <c r="BU47" i="12"/>
  <c r="BW47" i="12" s="1"/>
  <c r="BR48" i="12"/>
  <c r="BT48" i="12" s="1"/>
  <c r="BY49" i="12"/>
  <c r="BU50" i="12"/>
  <c r="BW50" i="12" s="1"/>
  <c r="H36" i="17"/>
  <c r="D36" i="17"/>
  <c r="C36" i="17"/>
  <c r="E36" i="17" l="1"/>
  <c r="F36" i="17" s="1"/>
  <c r="I36" i="17"/>
  <c r="DV8" i="12"/>
  <c r="DV9" i="12"/>
  <c r="DV10" i="12"/>
  <c r="DV11" i="12"/>
  <c r="DV12" i="12"/>
  <c r="DV13" i="12"/>
  <c r="DV14" i="12"/>
  <c r="DV15" i="12"/>
  <c r="DV16" i="12"/>
  <c r="DV17" i="12"/>
  <c r="DV18" i="12"/>
  <c r="DV19" i="12"/>
  <c r="DV20" i="12"/>
  <c r="DV21" i="12"/>
  <c r="DV22" i="12"/>
  <c r="DV23" i="12"/>
  <c r="DV24" i="12"/>
  <c r="DV25" i="12"/>
  <c r="DV26" i="12"/>
  <c r="DV27" i="12"/>
  <c r="DV28" i="12"/>
  <c r="DV29" i="12"/>
  <c r="DV30" i="12"/>
  <c r="DV31" i="12"/>
  <c r="DV32" i="12"/>
  <c r="DV33" i="12"/>
  <c r="DV34" i="12"/>
  <c r="DV35" i="12"/>
  <c r="DV36" i="12"/>
  <c r="DV37" i="12"/>
  <c r="DV38" i="12"/>
  <c r="DV39" i="12"/>
  <c r="DV40" i="12"/>
  <c r="DV41" i="12"/>
  <c r="DV42" i="12"/>
  <c r="DV43" i="12"/>
  <c r="DV44" i="12"/>
  <c r="DV45" i="12"/>
  <c r="DV55" i="12"/>
  <c r="R45" i="12"/>
  <c r="Q45" i="12"/>
  <c r="P45" i="12"/>
  <c r="O45" i="12"/>
  <c r="N45" i="12"/>
  <c r="M45" i="12"/>
  <c r="L45" i="12"/>
  <c r="R44" i="12"/>
  <c r="Q44" i="12"/>
  <c r="P44" i="12"/>
  <c r="O44" i="12"/>
  <c r="N44" i="12"/>
  <c r="M44" i="12"/>
  <c r="R43" i="12"/>
  <c r="L43" i="12"/>
  <c r="R42" i="12"/>
  <c r="Q42" i="12"/>
  <c r="P42" i="12"/>
  <c r="O42" i="12"/>
  <c r="N42" i="12"/>
  <c r="M42" i="12"/>
  <c r="L42" i="12"/>
  <c r="O41" i="12"/>
  <c r="N41" i="12"/>
  <c r="R40" i="12"/>
  <c r="Q40" i="12"/>
  <c r="P40" i="12"/>
  <c r="O40" i="12"/>
  <c r="N40" i="12"/>
  <c r="M40" i="12"/>
  <c r="L40" i="12"/>
  <c r="R39" i="12"/>
  <c r="Q39" i="12"/>
  <c r="P39" i="12"/>
  <c r="O39" i="12"/>
  <c r="N39" i="12"/>
  <c r="M39" i="12"/>
  <c r="L39" i="12"/>
  <c r="R38" i="12"/>
  <c r="Q38" i="12"/>
  <c r="P38" i="12"/>
  <c r="O38" i="12"/>
  <c r="N38" i="12"/>
  <c r="M38" i="12"/>
  <c r="L38" i="12"/>
  <c r="J36" i="17" l="1"/>
  <c r="G36" i="17"/>
  <c r="P36" i="17"/>
  <c r="Z36" i="17"/>
  <c r="AR47" i="12"/>
  <c r="S47" i="12"/>
  <c r="H32" i="17"/>
  <c r="D32" i="17"/>
  <c r="C32" i="17"/>
  <c r="C31" i="17"/>
  <c r="CE47" i="12" l="1"/>
  <c r="R36" i="17"/>
  <c r="U36" i="17" s="1"/>
  <c r="S50" i="12"/>
  <c r="S36" i="17"/>
  <c r="AR50" i="12"/>
  <c r="AQ48" i="12"/>
  <c r="R48" i="12"/>
  <c r="E32" i="17"/>
  <c r="F32" i="17" s="1"/>
  <c r="I32" i="17"/>
  <c r="AP48" i="12"/>
  <c r="Q48" i="12"/>
  <c r="Q41" i="12"/>
  <c r="D16" i="17"/>
  <c r="D13" i="17"/>
  <c r="N42" i="17"/>
  <c r="V36" i="17" l="1"/>
  <c r="W36" i="17" s="1"/>
  <c r="Q47" i="12"/>
  <c r="AP47" i="12"/>
  <c r="BA47" i="12" s="1"/>
  <c r="CC48" i="12"/>
  <c r="CE48" i="12" s="1"/>
  <c r="Q46" i="12"/>
  <c r="AP49" i="12"/>
  <c r="Q49" i="12"/>
  <c r="AP46" i="12"/>
  <c r="BA50" i="12"/>
  <c r="CE50" i="12"/>
  <c r="BA48" i="12"/>
  <c r="CA48" i="12"/>
  <c r="T36" i="17"/>
  <c r="R31" i="17"/>
  <c r="U31" i="17" s="1"/>
  <c r="R41" i="12"/>
  <c r="Q43" i="12"/>
  <c r="H31" i="17"/>
  <c r="D31" i="17"/>
  <c r="E31" i="17" s="1"/>
  <c r="R32" i="17"/>
  <c r="U32" i="17" s="1"/>
  <c r="S32" i="17"/>
  <c r="S31" i="17"/>
  <c r="P32" i="17"/>
  <c r="Z32" i="17"/>
  <c r="J32" i="17"/>
  <c r="G32" i="17"/>
  <c r="O43" i="12"/>
  <c r="D12" i="17"/>
  <c r="J5" i="19"/>
  <c r="Y36" i="17" l="1"/>
  <c r="AA36" i="17" s="1"/>
  <c r="AC36" i="17" s="1"/>
  <c r="AD36" i="17" s="1"/>
  <c r="CA47" i="12"/>
  <c r="BA49" i="12"/>
  <c r="CA49" i="12"/>
  <c r="BA46" i="12"/>
  <c r="CA46" i="12"/>
  <c r="T31" i="17"/>
  <c r="N43" i="12"/>
  <c r="M43" i="12"/>
  <c r="M41" i="12"/>
  <c r="P41" i="12"/>
  <c r="P43" i="12"/>
  <c r="F31" i="17"/>
  <c r="P31" i="17" s="1"/>
  <c r="I31" i="17"/>
  <c r="V32" i="17"/>
  <c r="Y32" i="17" s="1"/>
  <c r="AA32" i="17" s="1"/>
  <c r="AC32" i="17" s="1"/>
  <c r="AD32" i="17" s="1"/>
  <c r="T32" i="17"/>
  <c r="V31" i="17"/>
  <c r="Y31" i="17" s="1"/>
  <c r="D15" i="17"/>
  <c r="D8" i="17"/>
  <c r="D11" i="17"/>
  <c r="D9" i="17"/>
  <c r="D14" i="17"/>
  <c r="D10" i="17"/>
  <c r="D29" i="17"/>
  <c r="L44" i="12"/>
  <c r="L41" i="12"/>
  <c r="J31" i="17" l="1"/>
  <c r="Z31" i="17"/>
  <c r="AA31" i="17" s="1"/>
  <c r="AC31" i="17" s="1"/>
  <c r="AD31" i="17" s="1"/>
  <c r="G31" i="17"/>
  <c r="W32" i="17"/>
  <c r="W31" i="17"/>
  <c r="K45" i="12" l="1"/>
  <c r="J45" i="12"/>
  <c r="K44" i="12"/>
  <c r="J44" i="12"/>
  <c r="K43" i="12"/>
  <c r="J43" i="12"/>
  <c r="K42" i="12"/>
  <c r="J42" i="12"/>
  <c r="K41" i="12"/>
  <c r="K40" i="12"/>
  <c r="J40" i="12"/>
  <c r="K39" i="12"/>
  <c r="J39" i="12"/>
  <c r="K38" i="12"/>
  <c r="J38" i="12" l="1"/>
  <c r="J41" i="12" l="1"/>
  <c r="AH42" i="12"/>
  <c r="AH41" i="12"/>
  <c r="AH40" i="12"/>
  <c r="AH39" i="12"/>
  <c r="I45" i="12"/>
  <c r="I44" i="12"/>
  <c r="I42" i="12"/>
  <c r="I41" i="12"/>
  <c r="I40" i="12"/>
  <c r="I39" i="12"/>
  <c r="I55" i="12"/>
  <c r="BL39" i="12" l="1"/>
  <c r="BL40" i="12"/>
  <c r="BL41" i="12"/>
  <c r="BL42" i="12"/>
  <c r="AG42" i="12"/>
  <c r="AG40" i="12"/>
  <c r="AG39" i="12"/>
  <c r="H45" i="12"/>
  <c r="H44" i="12"/>
  <c r="H42" i="12"/>
  <c r="H40" i="12"/>
  <c r="H39" i="12"/>
  <c r="BP28" i="12" l="1"/>
  <c r="BJ42" i="12"/>
  <c r="BJ39" i="12"/>
  <c r="BJ40" i="12"/>
  <c r="H38" i="12"/>
  <c r="AF42" i="12"/>
  <c r="AF41" i="12"/>
  <c r="AF40" i="12"/>
  <c r="AF39" i="12"/>
  <c r="BN28" i="12" l="1"/>
  <c r="I38" i="12"/>
  <c r="I43" i="12"/>
  <c r="G45" i="12"/>
  <c r="G42" i="12"/>
  <c r="BH42" i="12" s="1"/>
  <c r="G41" i="12"/>
  <c r="BH41" i="12" s="1"/>
  <c r="G40" i="12"/>
  <c r="BH40" i="12" s="1"/>
  <c r="G39" i="12"/>
  <c r="BH39" i="12" s="1"/>
  <c r="G44" i="12"/>
  <c r="AH38" i="12" l="1"/>
  <c r="BL38" i="12" s="1"/>
  <c r="H41" i="12"/>
  <c r="AG38" i="12"/>
  <c r="BJ38" i="12" s="1"/>
  <c r="H43" i="12"/>
  <c r="G38" i="12"/>
  <c r="AG41" i="12" l="1"/>
  <c r="BJ41" i="12" s="1"/>
  <c r="AF38" i="12" l="1"/>
  <c r="BH38" i="12" s="1"/>
  <c r="BJ28" i="12" l="1"/>
  <c r="C26" i="7" l="1"/>
  <c r="F45" i="12"/>
  <c r="F44" i="12"/>
  <c r="F43" i="12"/>
  <c r="F42" i="12"/>
  <c r="F41" i="12"/>
  <c r="F40" i="12"/>
  <c r="F39" i="12"/>
  <c r="AE42" i="12"/>
  <c r="AD42" i="12"/>
  <c r="BD42" i="12" s="1"/>
  <c r="AC42" i="12"/>
  <c r="AE41" i="12"/>
  <c r="AC41" i="12"/>
  <c r="AE40" i="12"/>
  <c r="AD40" i="12"/>
  <c r="BD40" i="12" s="1"/>
  <c r="AC40" i="12"/>
  <c r="AE39" i="12"/>
  <c r="AD39" i="12"/>
  <c r="BD39" i="12" s="1"/>
  <c r="AC39" i="12"/>
  <c r="AC38" i="12"/>
  <c r="BF41" i="12" l="1"/>
  <c r="BF40" i="12"/>
  <c r="BB42" i="12"/>
  <c r="BF39" i="12"/>
  <c r="BB39" i="12"/>
  <c r="BB38" i="12"/>
  <c r="BB40" i="12"/>
  <c r="BB41" i="12"/>
  <c r="BF42" i="12"/>
  <c r="F38" i="12"/>
  <c r="B4" i="5"/>
  <c r="Q4" i="5" s="1"/>
  <c r="J4" i="5"/>
  <c r="K4" i="5" s="1"/>
  <c r="AB54" i="12" l="1"/>
  <c r="DW54" i="12" s="1"/>
  <c r="BB54" i="12"/>
  <c r="CW54" i="12" s="1"/>
  <c r="DX54" i="12" s="1"/>
  <c r="L6" i="6"/>
  <c r="AC6" i="6" s="1"/>
  <c r="AB47" i="12"/>
  <c r="DW47" i="12" s="1"/>
  <c r="BB47" i="12"/>
  <c r="CW47" i="12" s="1"/>
  <c r="DX47" i="12" s="1"/>
  <c r="AB46" i="12"/>
  <c r="DW46" i="12" s="1"/>
  <c r="BB46" i="12"/>
  <c r="CW46" i="12" s="1"/>
  <c r="DX46" i="12" s="1"/>
  <c r="AB48" i="12"/>
  <c r="DW48" i="12" s="1"/>
  <c r="BB48" i="12"/>
  <c r="CW48" i="12" s="1"/>
  <c r="DX48" i="12" s="1"/>
  <c r="AB49" i="12"/>
  <c r="DW49" i="12" s="1"/>
  <c r="BB49" i="12"/>
  <c r="CW49" i="12" s="1"/>
  <c r="DX49" i="12" s="1"/>
  <c r="AB50" i="12"/>
  <c r="DW50" i="12" s="1"/>
  <c r="BB50" i="12"/>
  <c r="CW50" i="12" s="1"/>
  <c r="DX50" i="12" s="1"/>
  <c r="AE38" i="12"/>
  <c r="M4" i="5"/>
  <c r="R4" i="5"/>
  <c r="S4" i="5" s="1"/>
  <c r="L4" i="5"/>
  <c r="AD6" i="6" l="1"/>
  <c r="AF6" i="6"/>
  <c r="BF38" i="12"/>
  <c r="DY54" i="12"/>
  <c r="DY50" i="12"/>
  <c r="DY46" i="12"/>
  <c r="DY49" i="12"/>
  <c r="DY47" i="12"/>
  <c r="DY48" i="12"/>
  <c r="AD41" i="12"/>
  <c r="BD41" i="12" s="1"/>
  <c r="AD38" i="12"/>
  <c r="BD38" i="12" s="1"/>
  <c r="P4" i="5"/>
  <c r="D28" i="12" s="1"/>
  <c r="D56" i="12" s="1"/>
  <c r="N4" i="5"/>
  <c r="O4" i="5" l="1"/>
  <c r="U4" i="5"/>
  <c r="V4" i="5" s="1"/>
  <c r="BF28" i="12" l="1"/>
  <c r="BB28" i="12" l="1"/>
  <c r="CU28" i="12"/>
  <c r="AZ42" i="12" l="1"/>
  <c r="AY42" i="12"/>
  <c r="AW42" i="12"/>
  <c r="AV42" i="12"/>
  <c r="AU42" i="12"/>
  <c r="AT42" i="12"/>
  <c r="AS42" i="12"/>
  <c r="AR42" i="12"/>
  <c r="AQ42" i="12"/>
  <c r="CC42" i="12" s="1"/>
  <c r="AP42" i="12"/>
  <c r="AO42" i="12"/>
  <c r="AN42" i="12"/>
  <c r="AM42" i="12"/>
  <c r="AL42" i="12"/>
  <c r="AK42" i="12"/>
  <c r="AJ42" i="12"/>
  <c r="BP42" i="12" s="1"/>
  <c r="AI42" i="12"/>
  <c r="BN42" i="12" s="1"/>
  <c r="AA42" i="12"/>
  <c r="Z42" i="12"/>
  <c r="X42" i="12"/>
  <c r="W42" i="12"/>
  <c r="V42" i="12"/>
  <c r="U42" i="12"/>
  <c r="T42" i="12"/>
  <c r="AZ41" i="12"/>
  <c r="AY41" i="12"/>
  <c r="AW41" i="12"/>
  <c r="AV41" i="12"/>
  <c r="AU41" i="12"/>
  <c r="AT41" i="12"/>
  <c r="AS41" i="12"/>
  <c r="AR41" i="12"/>
  <c r="AQ41" i="12"/>
  <c r="AP41" i="12"/>
  <c r="AO41" i="12"/>
  <c r="AN41" i="12"/>
  <c r="AM41" i="12"/>
  <c r="BU41" i="12" s="1"/>
  <c r="AL41" i="12"/>
  <c r="AK41" i="12"/>
  <c r="AJ41" i="12"/>
  <c r="BP41" i="12" s="1"/>
  <c r="AI41" i="12"/>
  <c r="BN41" i="12" s="1"/>
  <c r="AA41" i="12"/>
  <c r="Z41" i="12"/>
  <c r="X41" i="12"/>
  <c r="W41" i="12"/>
  <c r="V41" i="12"/>
  <c r="U41" i="12"/>
  <c r="T41" i="12"/>
  <c r="AZ40" i="12"/>
  <c r="AY40" i="12"/>
  <c r="AW40" i="12"/>
  <c r="AU40" i="12"/>
  <c r="AT40" i="12"/>
  <c r="AS40" i="12"/>
  <c r="AR40" i="12"/>
  <c r="AQ40" i="12"/>
  <c r="AP40" i="12"/>
  <c r="AO40" i="12"/>
  <c r="BY40" i="12" s="1"/>
  <c r="AN40" i="12"/>
  <c r="AM40" i="12"/>
  <c r="AL40" i="12"/>
  <c r="AK40" i="12"/>
  <c r="AJ40" i="12"/>
  <c r="BP40" i="12" s="1"/>
  <c r="AI40" i="12"/>
  <c r="BN40" i="12" s="1"/>
  <c r="AA40" i="12"/>
  <c r="Z40" i="12"/>
  <c r="X40" i="12"/>
  <c r="V40" i="12"/>
  <c r="U40" i="12"/>
  <c r="T40" i="12"/>
  <c r="AZ39" i="12"/>
  <c r="AY39" i="12"/>
  <c r="AX39" i="12"/>
  <c r="AW39" i="12"/>
  <c r="AV39" i="12"/>
  <c r="AU39" i="12"/>
  <c r="AS39" i="12"/>
  <c r="AR39" i="12"/>
  <c r="AQ39" i="12"/>
  <c r="CC39" i="12" s="1"/>
  <c r="AP39" i="12"/>
  <c r="AO39" i="12"/>
  <c r="AN39" i="12"/>
  <c r="AM39" i="12"/>
  <c r="AL39" i="12"/>
  <c r="AK39" i="12"/>
  <c r="AJ39" i="12"/>
  <c r="BP39" i="12" s="1"/>
  <c r="AI39" i="12"/>
  <c r="BN39" i="12" s="1"/>
  <c r="AA39" i="12"/>
  <c r="Z39" i="12"/>
  <c r="Y39" i="12"/>
  <c r="X39" i="12"/>
  <c r="W39" i="12"/>
  <c r="V39" i="12"/>
  <c r="T39" i="12"/>
  <c r="CU39" i="12" l="1"/>
  <c r="CU41" i="12"/>
  <c r="CS42" i="12"/>
  <c r="CS39" i="12"/>
  <c r="CU40" i="12"/>
  <c r="CS41" i="12"/>
  <c r="CO42" i="12"/>
  <c r="CU42" i="12"/>
  <c r="CO39" i="12"/>
  <c r="CO40" i="12"/>
  <c r="CQ39" i="12"/>
  <c r="CS40" i="12"/>
  <c r="CO41" i="12"/>
  <c r="CE39" i="12"/>
  <c r="CE42" i="12"/>
  <c r="CA40" i="12"/>
  <c r="CI41" i="12"/>
  <c r="CK39" i="12"/>
  <c r="CM42" i="12"/>
  <c r="CM39" i="12"/>
  <c r="CG40" i="12"/>
  <c r="CK41" i="12"/>
  <c r="CI40" i="12"/>
  <c r="CM41" i="12"/>
  <c r="CK40" i="12"/>
  <c r="CG42" i="12"/>
  <c r="CG39" i="12"/>
  <c r="CI42" i="12"/>
  <c r="CG41" i="12"/>
  <c r="CK42" i="12"/>
  <c r="BW41" i="12"/>
  <c r="BU39" i="12"/>
  <c r="CC40" i="12"/>
  <c r="CE40" i="12" s="1"/>
  <c r="BY41" i="12"/>
  <c r="CA41" i="12" s="1"/>
  <c r="BU42" i="12"/>
  <c r="BY39" i="12"/>
  <c r="CA39" i="12" s="1"/>
  <c r="BU40" i="12"/>
  <c r="CC41" i="12"/>
  <c r="CE41" i="12" s="1"/>
  <c r="BY42" i="12"/>
  <c r="CA42" i="12" s="1"/>
  <c r="BW40" i="12" l="1"/>
  <c r="BW39" i="12"/>
  <c r="BW42" i="12"/>
  <c r="S41" i="17" l="1"/>
  <c r="V41" i="17" s="1"/>
  <c r="Y41" i="17" s="1"/>
  <c r="H37" i="17"/>
  <c r="C37" i="17"/>
  <c r="H30" i="17"/>
  <c r="C30" i="17"/>
  <c r="Y40" i="12"/>
  <c r="AZ45" i="12"/>
  <c r="AY45" i="12"/>
  <c r="AU45" i="12"/>
  <c r="AT45" i="12"/>
  <c r="AS45" i="12"/>
  <c r="AR45" i="12"/>
  <c r="AQ45" i="12"/>
  <c r="CC45" i="12" s="1"/>
  <c r="AP45" i="12"/>
  <c r="AO45" i="12"/>
  <c r="AN45" i="12"/>
  <c r="AM45" i="12"/>
  <c r="AL45" i="12"/>
  <c r="AK45" i="12"/>
  <c r="AJ45" i="12"/>
  <c r="BP45" i="12" s="1"/>
  <c r="AI45" i="12"/>
  <c r="BN45" i="12" s="1"/>
  <c r="AH45" i="12"/>
  <c r="BL45" i="12" s="1"/>
  <c r="AG45" i="12"/>
  <c r="AF45" i="12"/>
  <c r="BH45" i="12" s="1"/>
  <c r="AE45" i="12"/>
  <c r="AD45" i="12"/>
  <c r="BD45" i="12" s="1"/>
  <c r="AC45" i="12"/>
  <c r="AA45" i="12"/>
  <c r="Z45" i="12"/>
  <c r="V45" i="12"/>
  <c r="U45" i="12"/>
  <c r="T45" i="12"/>
  <c r="AZ44" i="12"/>
  <c r="AY44" i="12"/>
  <c r="AX44" i="12"/>
  <c r="AU44" i="12"/>
  <c r="AS44" i="12"/>
  <c r="AR44" i="12"/>
  <c r="AQ44" i="12"/>
  <c r="AP44" i="12"/>
  <c r="AO44" i="12"/>
  <c r="BY44" i="12" s="1"/>
  <c r="AN44" i="12"/>
  <c r="AM44" i="12"/>
  <c r="AL44" i="12"/>
  <c r="AK44" i="12"/>
  <c r="AJ44" i="12"/>
  <c r="BP44" i="12" s="1"/>
  <c r="AI44" i="12"/>
  <c r="BN44" i="12" s="1"/>
  <c r="AH44" i="12"/>
  <c r="BL44" i="12" s="1"/>
  <c r="AG44" i="12"/>
  <c r="BJ44" i="12" s="1"/>
  <c r="AF44" i="12"/>
  <c r="BH44" i="12" s="1"/>
  <c r="AE44" i="12"/>
  <c r="AD44" i="12"/>
  <c r="BD44" i="12" s="1"/>
  <c r="AC44" i="12"/>
  <c r="AA44" i="12"/>
  <c r="Z44" i="12"/>
  <c r="Y44" i="12"/>
  <c r="V44" i="12"/>
  <c r="T44" i="12"/>
  <c r="C28" i="17"/>
  <c r="X44" i="12"/>
  <c r="BJ45" i="12" l="1"/>
  <c r="BB44" i="12"/>
  <c r="BF44" i="12"/>
  <c r="BB45" i="12"/>
  <c r="BF45" i="12"/>
  <c r="CQ44" i="12"/>
  <c r="CU44" i="12"/>
  <c r="CS45" i="12"/>
  <c r="CU45" i="12"/>
  <c r="CS44" i="12"/>
  <c r="CS28" i="12"/>
  <c r="CK44" i="12"/>
  <c r="CI45" i="12"/>
  <c r="CK45" i="12"/>
  <c r="CG44" i="12"/>
  <c r="CG45" i="12"/>
  <c r="CE45" i="12"/>
  <c r="CA44" i="12"/>
  <c r="BR45" i="12"/>
  <c r="BT45" i="12" s="1"/>
  <c r="BR44" i="12"/>
  <c r="BT44" i="12" s="1"/>
  <c r="CC44" i="12"/>
  <c r="CE44" i="12" s="1"/>
  <c r="BU45" i="12"/>
  <c r="BW45" i="12" s="1"/>
  <c r="BU44" i="12"/>
  <c r="BW44" i="12" s="1"/>
  <c r="BY45" i="12"/>
  <c r="CA45" i="12" s="1"/>
  <c r="X45" i="12"/>
  <c r="Y41" i="12" l="1"/>
  <c r="AB41" i="12" s="1"/>
  <c r="DW41" i="12" s="1"/>
  <c r="AX41" i="12"/>
  <c r="R37" i="17"/>
  <c r="U37" i="17" s="1"/>
  <c r="Y42" i="12"/>
  <c r="AB42" i="12" s="1"/>
  <c r="DW42" i="12" s="1"/>
  <c r="R30" i="17"/>
  <c r="U30" i="17" s="1"/>
  <c r="R28" i="17"/>
  <c r="U28" i="17" s="1"/>
  <c r="S30" i="17"/>
  <c r="AX42" i="12"/>
  <c r="Y45" i="12"/>
  <c r="AW45" i="12"/>
  <c r="CO45" i="12" s="1"/>
  <c r="AW44" i="12"/>
  <c r="CO44" i="12" s="1"/>
  <c r="S28" i="17"/>
  <c r="CQ42" i="12" l="1"/>
  <c r="CW42" i="12" s="1"/>
  <c r="DX42" i="12" s="1"/>
  <c r="DY42" i="12" s="1"/>
  <c r="CQ41" i="12"/>
  <c r="CW41" i="12" s="1"/>
  <c r="DX41" i="12" s="1"/>
  <c r="BA41" i="12"/>
  <c r="V28" i="17"/>
  <c r="AX40" i="12"/>
  <c r="CQ40" i="12" s="1"/>
  <c r="BA42" i="12"/>
  <c r="V30" i="17"/>
  <c r="AX45" i="12"/>
  <c r="CQ45" i="12" s="1"/>
  <c r="T30" i="17"/>
  <c r="T28" i="17"/>
  <c r="S37" i="17"/>
  <c r="V37" i="17" s="1"/>
  <c r="H28" i="17"/>
  <c r="DY41" i="12" l="1"/>
  <c r="CQ28" i="12"/>
  <c r="W28" i="17"/>
  <c r="Y28" i="17"/>
  <c r="Y30" i="17"/>
  <c r="W30" i="17"/>
  <c r="T37" i="17"/>
  <c r="Y37" i="17" l="1"/>
  <c r="W37" i="17"/>
  <c r="AZ55" i="12" l="1"/>
  <c r="AZ43" i="12"/>
  <c r="AZ38" i="12"/>
  <c r="AZ37" i="12"/>
  <c r="AZ36" i="12"/>
  <c r="AZ35" i="12"/>
  <c r="AZ34" i="12"/>
  <c r="AZ33" i="12"/>
  <c r="AZ32" i="12"/>
  <c r="AZ31" i="12"/>
  <c r="AZ30" i="12"/>
  <c r="AZ29" i="12"/>
  <c r="AZ28" i="12"/>
  <c r="AZ27" i="12"/>
  <c r="AZ26" i="12"/>
  <c r="AZ25" i="12"/>
  <c r="AZ24" i="12"/>
  <c r="AZ23" i="12"/>
  <c r="AZ22" i="12"/>
  <c r="AZ21" i="12"/>
  <c r="AZ20" i="12"/>
  <c r="AZ19" i="12"/>
  <c r="AZ18" i="12"/>
  <c r="AZ17" i="12"/>
  <c r="AZ16" i="12"/>
  <c r="AZ15" i="12"/>
  <c r="AZ14" i="12"/>
  <c r="AZ13" i="12"/>
  <c r="AZ12" i="12"/>
  <c r="AZ11" i="12"/>
  <c r="AZ10" i="12"/>
  <c r="AZ9" i="12"/>
  <c r="AZ8" i="12"/>
  <c r="AY55" i="12"/>
  <c r="AY43" i="12"/>
  <c r="AY38" i="12"/>
  <c r="AY37" i="12"/>
  <c r="AY36" i="12"/>
  <c r="AY35" i="12"/>
  <c r="AY34" i="12"/>
  <c r="AY33" i="12"/>
  <c r="AY32" i="12"/>
  <c r="AY31" i="12"/>
  <c r="AY30" i="12"/>
  <c r="AY29" i="12"/>
  <c r="AY28" i="12"/>
  <c r="AY27" i="12"/>
  <c r="AY26" i="12"/>
  <c r="AY25" i="12"/>
  <c r="AY24" i="12"/>
  <c r="AY23" i="12"/>
  <c r="AY22" i="12"/>
  <c r="AY21" i="12"/>
  <c r="AY20" i="12"/>
  <c r="AY19" i="12"/>
  <c r="AY18" i="12"/>
  <c r="AY17" i="12"/>
  <c r="AY16" i="12"/>
  <c r="AY15" i="12"/>
  <c r="AY14" i="12"/>
  <c r="AY13" i="12"/>
  <c r="AY12" i="12"/>
  <c r="AY11" i="12"/>
  <c r="AY10" i="12"/>
  <c r="AY9" i="12"/>
  <c r="AY8" i="12"/>
  <c r="AX55" i="12"/>
  <c r="AX43" i="12"/>
  <c r="AX38" i="12"/>
  <c r="AX37" i="12"/>
  <c r="AX36" i="12"/>
  <c r="AX35" i="12"/>
  <c r="AX34" i="12"/>
  <c r="AX33" i="12"/>
  <c r="AX32" i="12"/>
  <c r="AX31" i="12"/>
  <c r="AX30" i="12"/>
  <c r="AX29" i="12"/>
  <c r="AX28" i="12"/>
  <c r="AX27" i="12"/>
  <c r="AX26" i="12"/>
  <c r="AX25" i="12"/>
  <c r="AX24" i="12"/>
  <c r="AX23" i="12"/>
  <c r="AX22" i="12"/>
  <c r="AX21" i="12"/>
  <c r="AX20" i="12"/>
  <c r="AX19" i="12"/>
  <c r="AX18" i="12"/>
  <c r="AX17" i="12"/>
  <c r="AX16" i="12"/>
  <c r="AX15" i="12"/>
  <c r="AX14" i="12"/>
  <c r="AX13" i="12"/>
  <c r="AX12" i="12"/>
  <c r="AX11" i="12"/>
  <c r="AX10" i="12"/>
  <c r="AX9" i="12"/>
  <c r="AX8" i="12"/>
  <c r="AW55" i="12"/>
  <c r="AW43" i="12"/>
  <c r="AW38" i="12"/>
  <c r="AW37" i="12"/>
  <c r="AW36" i="12"/>
  <c r="AW35" i="12"/>
  <c r="AW34" i="12"/>
  <c r="AW33" i="12"/>
  <c r="AW32" i="12"/>
  <c r="AW31" i="12"/>
  <c r="AW30" i="12"/>
  <c r="AW29" i="12"/>
  <c r="AW27" i="12"/>
  <c r="AW26" i="12"/>
  <c r="AW25" i="12"/>
  <c r="AW24" i="12"/>
  <c r="AW23" i="12"/>
  <c r="AW22" i="12"/>
  <c r="AW21" i="12"/>
  <c r="AW20" i="12"/>
  <c r="AW19" i="12"/>
  <c r="AW18" i="12"/>
  <c r="AW17" i="12"/>
  <c r="AW16" i="12"/>
  <c r="AW15" i="12"/>
  <c r="AW14" i="12"/>
  <c r="AW13" i="12"/>
  <c r="AW12" i="12"/>
  <c r="AW11" i="12"/>
  <c r="AW10" i="12"/>
  <c r="AW9" i="12"/>
  <c r="AW8" i="12"/>
  <c r="AV55" i="12"/>
  <c r="AV38" i="12"/>
  <c r="AV37" i="12"/>
  <c r="AV36" i="12"/>
  <c r="AV34" i="12"/>
  <c r="AV33" i="12"/>
  <c r="AV31" i="12"/>
  <c r="AV30" i="12"/>
  <c r="AV29" i="12"/>
  <c r="AV27" i="12"/>
  <c r="AV24" i="12"/>
  <c r="AV23" i="12"/>
  <c r="AV21" i="12"/>
  <c r="AV19" i="12"/>
  <c r="AV18" i="12"/>
  <c r="AV17" i="12"/>
  <c r="AV15" i="12"/>
  <c r="AV12" i="12"/>
  <c r="AA55" i="12"/>
  <c r="AA43" i="12"/>
  <c r="AA38" i="12"/>
  <c r="AA37" i="12"/>
  <c r="AA36" i="12"/>
  <c r="AA35" i="12"/>
  <c r="AA34" i="12"/>
  <c r="AA33" i="12"/>
  <c r="AA32" i="12"/>
  <c r="AA31" i="12"/>
  <c r="AA30" i="12"/>
  <c r="AA29" i="12"/>
  <c r="AA28" i="12"/>
  <c r="AA27" i="12"/>
  <c r="AA26" i="12"/>
  <c r="AA25" i="12"/>
  <c r="AA24" i="12"/>
  <c r="AA23" i="12"/>
  <c r="AA22" i="12"/>
  <c r="AA21" i="12"/>
  <c r="AA20" i="12"/>
  <c r="AA19" i="12"/>
  <c r="AA18" i="12"/>
  <c r="AA17" i="12"/>
  <c r="AA16" i="12"/>
  <c r="AA15" i="12"/>
  <c r="AA14" i="12"/>
  <c r="AA13" i="12"/>
  <c r="AA12" i="12"/>
  <c r="AA11" i="12"/>
  <c r="AA10" i="12"/>
  <c r="AA9" i="12"/>
  <c r="AA8" i="12"/>
  <c r="Z55" i="12"/>
  <c r="Z43" i="12"/>
  <c r="Z38" i="12"/>
  <c r="Z37" i="12"/>
  <c r="Z36" i="12"/>
  <c r="Z35" i="12"/>
  <c r="Z34" i="12"/>
  <c r="Z33" i="12"/>
  <c r="Z32" i="12"/>
  <c r="Z31" i="12"/>
  <c r="Z30" i="12"/>
  <c r="Z29" i="12"/>
  <c r="Z28" i="12"/>
  <c r="Z27" i="12"/>
  <c r="Z26" i="12"/>
  <c r="Z25" i="12"/>
  <c r="Z24" i="12"/>
  <c r="Z23" i="12"/>
  <c r="Z22" i="12"/>
  <c r="Z21" i="12"/>
  <c r="Z20" i="12"/>
  <c r="Z19" i="12"/>
  <c r="Z18" i="12"/>
  <c r="Z17" i="12"/>
  <c r="Z16" i="12"/>
  <c r="Z15" i="12"/>
  <c r="Z14" i="12"/>
  <c r="Z13" i="12"/>
  <c r="Z12" i="12"/>
  <c r="Z11" i="12"/>
  <c r="Z10" i="12"/>
  <c r="Z9" i="12"/>
  <c r="Z8" i="12"/>
  <c r="Y55" i="12"/>
  <c r="Y43" i="12"/>
  <c r="Y38" i="12"/>
  <c r="Y37" i="12"/>
  <c r="Y36" i="12"/>
  <c r="Y35" i="12"/>
  <c r="Y34" i="12"/>
  <c r="Y33" i="12"/>
  <c r="Y32" i="12"/>
  <c r="Y31" i="12"/>
  <c r="Y30" i="12"/>
  <c r="Y29" i="12"/>
  <c r="Y27" i="12"/>
  <c r="Y26" i="12"/>
  <c r="Y25" i="12"/>
  <c r="Y24" i="12"/>
  <c r="Y23" i="12"/>
  <c r="Y22" i="12"/>
  <c r="Y21" i="12"/>
  <c r="Y20" i="12"/>
  <c r="Y19" i="12"/>
  <c r="Y18" i="12"/>
  <c r="Y17" i="12"/>
  <c r="Y16" i="12"/>
  <c r="Y15" i="12"/>
  <c r="Y14" i="12"/>
  <c r="Y13" i="12"/>
  <c r="Y12" i="12"/>
  <c r="Y11" i="12"/>
  <c r="Y10" i="12"/>
  <c r="Y9" i="12"/>
  <c r="Y8" i="12"/>
  <c r="X55" i="12"/>
  <c r="X43" i="12"/>
  <c r="X38" i="12"/>
  <c r="X37" i="12"/>
  <c r="X36" i="12"/>
  <c r="X35" i="12"/>
  <c r="X34" i="12"/>
  <c r="X33" i="12"/>
  <c r="X32" i="12"/>
  <c r="X31" i="12"/>
  <c r="X30" i="12"/>
  <c r="X29" i="12"/>
  <c r="X27" i="12"/>
  <c r="X26" i="12"/>
  <c r="X25" i="12"/>
  <c r="X24" i="12"/>
  <c r="X23" i="12"/>
  <c r="X22" i="12"/>
  <c r="X21" i="12"/>
  <c r="X20" i="12"/>
  <c r="X19" i="12"/>
  <c r="X18" i="12"/>
  <c r="X17" i="12"/>
  <c r="X16" i="12"/>
  <c r="X15" i="12"/>
  <c r="X14" i="12"/>
  <c r="X13" i="12"/>
  <c r="X12" i="12"/>
  <c r="X11" i="12"/>
  <c r="X10" i="12"/>
  <c r="X9" i="12"/>
  <c r="X8" i="12"/>
  <c r="W55" i="12"/>
  <c r="W38" i="12"/>
  <c r="W37" i="12"/>
  <c r="W36" i="12"/>
  <c r="W34" i="12"/>
  <c r="W33" i="12"/>
  <c r="W31" i="12"/>
  <c r="W30" i="12"/>
  <c r="W29" i="12"/>
  <c r="W27" i="12"/>
  <c r="W24" i="12"/>
  <c r="W23" i="12"/>
  <c r="W21" i="12"/>
  <c r="W19" i="12"/>
  <c r="W18" i="12"/>
  <c r="W17" i="12"/>
  <c r="W15" i="12"/>
  <c r="W12" i="12"/>
  <c r="AU43" i="12"/>
  <c r="AT43" i="12"/>
  <c r="AS43" i="12"/>
  <c r="AR43" i="12"/>
  <c r="AQ43" i="12"/>
  <c r="AP43" i="12"/>
  <c r="AO43" i="12"/>
  <c r="AN43" i="12"/>
  <c r="AM43" i="12"/>
  <c r="AL43" i="12"/>
  <c r="AK43" i="12"/>
  <c r="AJ43" i="12"/>
  <c r="BP43" i="12" s="1"/>
  <c r="AI43" i="12"/>
  <c r="BN43" i="12" s="1"/>
  <c r="AH43" i="12"/>
  <c r="BL43" i="12" s="1"/>
  <c r="AG43" i="12"/>
  <c r="BJ43" i="12" s="1"/>
  <c r="AF43" i="12"/>
  <c r="AE43" i="12"/>
  <c r="AD43" i="12"/>
  <c r="BD43" i="12" s="1"/>
  <c r="AC43" i="12"/>
  <c r="V43" i="12"/>
  <c r="U43" i="12"/>
  <c r="T43" i="12"/>
  <c r="S43" i="12"/>
  <c r="G43" i="12"/>
  <c r="BH43" i="12" l="1"/>
  <c r="BB43" i="12"/>
  <c r="BF43" i="12"/>
  <c r="CO27" i="12"/>
  <c r="CO32" i="12"/>
  <c r="CO38" i="12"/>
  <c r="CQ34" i="12"/>
  <c r="CQ55" i="12"/>
  <c r="CS30" i="12"/>
  <c r="CS36" i="12"/>
  <c r="CU23" i="12"/>
  <c r="CU32" i="12"/>
  <c r="CU38" i="12"/>
  <c r="CO23" i="12"/>
  <c r="CO33" i="12"/>
  <c r="CO43" i="12"/>
  <c r="CQ12" i="12"/>
  <c r="CQ21" i="12"/>
  <c r="CQ35" i="12"/>
  <c r="CS27" i="12"/>
  <c r="CS31" i="12"/>
  <c r="CS37" i="12"/>
  <c r="CU33" i="12"/>
  <c r="CU43" i="12"/>
  <c r="CO34" i="12"/>
  <c r="CO55" i="12"/>
  <c r="CQ30" i="12"/>
  <c r="CQ36" i="12"/>
  <c r="CS23" i="12"/>
  <c r="CS32" i="12"/>
  <c r="CS38" i="12"/>
  <c r="CU34" i="12"/>
  <c r="CU55" i="12"/>
  <c r="CO35" i="12"/>
  <c r="CQ27" i="12"/>
  <c r="CQ31" i="12"/>
  <c r="CQ37" i="12"/>
  <c r="CS33" i="12"/>
  <c r="CS43" i="12"/>
  <c r="CU12" i="12"/>
  <c r="CU21" i="12"/>
  <c r="CU35" i="12"/>
  <c r="CO12" i="12"/>
  <c r="CO21" i="12"/>
  <c r="CO30" i="12"/>
  <c r="CO36" i="12"/>
  <c r="CQ23" i="12"/>
  <c r="CQ32" i="12"/>
  <c r="CQ38" i="12"/>
  <c r="CS34" i="12"/>
  <c r="CS55" i="12"/>
  <c r="CU30" i="12"/>
  <c r="CU36" i="12"/>
  <c r="CO31" i="12"/>
  <c r="CO37" i="12"/>
  <c r="CQ33" i="12"/>
  <c r="CQ43" i="12"/>
  <c r="CS12" i="12"/>
  <c r="CS21" i="12"/>
  <c r="CS35" i="12"/>
  <c r="CU27" i="12"/>
  <c r="CU31" i="12"/>
  <c r="CU37" i="12"/>
  <c r="AW28" i="12"/>
  <c r="CM30" i="12"/>
  <c r="CM38" i="12"/>
  <c r="CM23" i="12"/>
  <c r="CM31" i="12"/>
  <c r="CM55" i="12"/>
  <c r="CM33" i="12"/>
  <c r="CM34" i="12"/>
  <c r="CM12" i="12"/>
  <c r="CM27" i="12"/>
  <c r="CM36" i="12"/>
  <c r="CM21" i="12"/>
  <c r="CM37" i="12"/>
  <c r="AY56" i="12"/>
  <c r="AX56" i="12"/>
  <c r="AZ56" i="12"/>
  <c r="Z56" i="12"/>
  <c r="CI43" i="12"/>
  <c r="CG43" i="12"/>
  <c r="BY43" i="12"/>
  <c r="CA43" i="12" s="1"/>
  <c r="CK43" i="12"/>
  <c r="BR43" i="12"/>
  <c r="BT43" i="12" s="1"/>
  <c r="CC43" i="12"/>
  <c r="CE43" i="12" s="1"/>
  <c r="BU43" i="12"/>
  <c r="BW43" i="12" s="1"/>
  <c r="H29" i="17"/>
  <c r="C29" i="17"/>
  <c r="AW56" i="12" l="1"/>
  <c r="W10" i="12"/>
  <c r="Y28" i="12"/>
  <c r="R29" i="17"/>
  <c r="U29" i="17" s="1"/>
  <c r="W43" i="12"/>
  <c r="AV43" i="12"/>
  <c r="C26" i="19"/>
  <c r="W44" i="12"/>
  <c r="W22" i="12"/>
  <c r="W40" i="12" l="1"/>
  <c r="AB40" i="12" s="1"/>
  <c r="DW40" i="12" s="1"/>
  <c r="CO28" i="12"/>
  <c r="W45" i="12"/>
  <c r="AB45" i="12" s="1"/>
  <c r="DW45" i="12" s="1"/>
  <c r="X28" i="12"/>
  <c r="X56" i="12" s="1"/>
  <c r="W20" i="12"/>
  <c r="W14" i="12"/>
  <c r="CM43" i="12"/>
  <c r="CW43" i="12" s="1"/>
  <c r="DX43" i="12" s="1"/>
  <c r="BA43" i="12"/>
  <c r="S29" i="17"/>
  <c r="V29" i="17" s="1"/>
  <c r="AV40" i="12"/>
  <c r="AV45" i="12"/>
  <c r="CM40" i="12" l="1"/>
  <c r="BA40" i="12"/>
  <c r="W35" i="12"/>
  <c r="AV44" i="12"/>
  <c r="CM44" i="12" s="1"/>
  <c r="CM45" i="12"/>
  <c r="BA45" i="12"/>
  <c r="W9" i="12"/>
  <c r="W8" i="12"/>
  <c r="W13" i="12"/>
  <c r="W16" i="12"/>
  <c r="W32" i="12"/>
  <c r="W25" i="12"/>
  <c r="W11" i="12"/>
  <c r="AV10" i="12"/>
  <c r="W26" i="12"/>
  <c r="T29" i="17"/>
  <c r="AV28" i="12"/>
  <c r="CW45" i="12" l="1"/>
  <c r="DX45" i="12" s="1"/>
  <c r="CW40" i="12"/>
  <c r="DX40" i="12" s="1"/>
  <c r="DY40" i="12" s="1"/>
  <c r="AV9" i="12"/>
  <c r="AV26" i="12"/>
  <c r="W28" i="12"/>
  <c r="W56" i="12" s="1"/>
  <c r="AV16" i="12"/>
  <c r="AV25" i="12"/>
  <c r="AV20" i="12"/>
  <c r="AV11" i="12"/>
  <c r="AV14" i="12"/>
  <c r="AV8" i="12"/>
  <c r="AV35" i="12"/>
  <c r="CM35" i="12" s="1"/>
  <c r="AV22" i="12"/>
  <c r="AV32" i="12"/>
  <c r="CM32" i="12" s="1"/>
  <c r="AV13" i="12"/>
  <c r="W29" i="17"/>
  <c r="Y29" i="17"/>
  <c r="DY45" i="12" l="1"/>
  <c r="AV56" i="12"/>
  <c r="CM28" i="12" l="1"/>
  <c r="AU55" i="12"/>
  <c r="AT55" i="12"/>
  <c r="AU38" i="12"/>
  <c r="AU37" i="12"/>
  <c r="AT37" i="12"/>
  <c r="AU36" i="12"/>
  <c r="AT36" i="12"/>
  <c r="AU35" i="12"/>
  <c r="AU34" i="12"/>
  <c r="AT34" i="12"/>
  <c r="AU33" i="12"/>
  <c r="AT33" i="12"/>
  <c r="AU31" i="12"/>
  <c r="AT31" i="12"/>
  <c r="AU30" i="12"/>
  <c r="AT30" i="12"/>
  <c r="AU29" i="12"/>
  <c r="AT29" i="12"/>
  <c r="AU27" i="12"/>
  <c r="AT27" i="12"/>
  <c r="AU24" i="12"/>
  <c r="AT24" i="12"/>
  <c r="AU23" i="12"/>
  <c r="AT23" i="12"/>
  <c r="AT22" i="12"/>
  <c r="AU21" i="12"/>
  <c r="AT21" i="12"/>
  <c r="AU19" i="12"/>
  <c r="AT19" i="12"/>
  <c r="AU17" i="12"/>
  <c r="AT17" i="12"/>
  <c r="AU12" i="12"/>
  <c r="AT12" i="12"/>
  <c r="T38" i="12"/>
  <c r="T37" i="12"/>
  <c r="T36" i="12"/>
  <c r="T34" i="12"/>
  <c r="T33" i="12"/>
  <c r="T31" i="12"/>
  <c r="T30" i="12"/>
  <c r="T29" i="12"/>
  <c r="T27" i="12"/>
  <c r="T24" i="12"/>
  <c r="T23" i="12"/>
  <c r="T21" i="12"/>
  <c r="T19" i="12"/>
  <c r="T18" i="12"/>
  <c r="T17" i="12"/>
  <c r="T12" i="12"/>
  <c r="V55" i="12"/>
  <c r="U55" i="12"/>
  <c r="V38" i="12"/>
  <c r="V37" i="12"/>
  <c r="U37" i="12"/>
  <c r="V36" i="12"/>
  <c r="U36" i="12"/>
  <c r="V35" i="12"/>
  <c r="V34" i="12"/>
  <c r="U34" i="12"/>
  <c r="V33" i="12"/>
  <c r="U33" i="12"/>
  <c r="V31" i="12"/>
  <c r="U31" i="12"/>
  <c r="V30" i="12"/>
  <c r="U30" i="12"/>
  <c r="V29" i="12"/>
  <c r="U29" i="12"/>
  <c r="V27" i="12"/>
  <c r="U27" i="12"/>
  <c r="V24" i="12"/>
  <c r="U24" i="12"/>
  <c r="V23" i="12"/>
  <c r="U23" i="12"/>
  <c r="U22" i="12"/>
  <c r="V21" i="12"/>
  <c r="U21" i="12"/>
  <c r="V19" i="12"/>
  <c r="U19" i="12"/>
  <c r="V17" i="12"/>
  <c r="U17" i="12"/>
  <c r="V12" i="12"/>
  <c r="U12" i="12"/>
  <c r="CI21" i="12" l="1"/>
  <c r="CK23" i="12"/>
  <c r="CK27" i="12"/>
  <c r="CI31" i="12"/>
  <c r="CK35" i="12"/>
  <c r="CI55" i="12"/>
  <c r="CK21" i="12"/>
  <c r="CK31" i="12"/>
  <c r="CI36" i="12"/>
  <c r="CK55" i="12"/>
  <c r="CI33" i="12"/>
  <c r="CK36" i="12"/>
  <c r="CI12" i="12"/>
  <c r="CK33" i="12"/>
  <c r="CI37" i="12"/>
  <c r="CK12" i="12"/>
  <c r="CI30" i="12"/>
  <c r="CI34" i="12"/>
  <c r="CK37" i="12"/>
  <c r="CI23" i="12"/>
  <c r="CI27" i="12"/>
  <c r="CK30" i="12"/>
  <c r="CK34" i="12"/>
  <c r="CK38" i="12"/>
  <c r="C44" i="7"/>
  <c r="C43" i="7"/>
  <c r="V22" i="12" l="1"/>
  <c r="V15" i="12"/>
  <c r="V18" i="12" l="1"/>
  <c r="V10" i="12"/>
  <c r="R12" i="17"/>
  <c r="V8" i="12"/>
  <c r="V32" i="12"/>
  <c r="AU16" i="12"/>
  <c r="AU20" i="12"/>
  <c r="V9" i="12"/>
  <c r="V20" i="12"/>
  <c r="V16" i="12"/>
  <c r="V14" i="12"/>
  <c r="V11" i="12"/>
  <c r="V26" i="12"/>
  <c r="V13" i="12"/>
  <c r="V25" i="12"/>
  <c r="S12" i="17"/>
  <c r="J7" i="19"/>
  <c r="J7" i="7"/>
  <c r="O19" i="19"/>
  <c r="N18" i="19"/>
  <c r="N19" i="19" s="1"/>
  <c r="S20" i="17" l="1"/>
  <c r="AU8" i="12"/>
  <c r="AU18" i="12"/>
  <c r="AU9" i="12"/>
  <c r="AU32" i="12"/>
  <c r="CK32" i="12" s="1"/>
  <c r="AU26" i="12"/>
  <c r="AU22" i="12"/>
  <c r="AU25" i="12"/>
  <c r="AU11" i="12"/>
  <c r="AU10" i="12"/>
  <c r="AU13" i="12"/>
  <c r="AU15" i="12"/>
  <c r="AU14" i="12"/>
  <c r="AU28" i="12"/>
  <c r="H27" i="17"/>
  <c r="C27" i="17"/>
  <c r="AU56" i="12" l="1"/>
  <c r="V28" i="12"/>
  <c r="CK28" i="12" l="1"/>
  <c r="U18" i="12"/>
  <c r="U39" i="12" l="1"/>
  <c r="AB39" i="12" s="1"/>
  <c r="DW39" i="12" s="1"/>
  <c r="AT44" i="12"/>
  <c r="AT39" i="12" l="1"/>
  <c r="BA39" i="12" s="1"/>
  <c r="R27" i="17"/>
  <c r="U27" i="17" s="1"/>
  <c r="U44" i="12"/>
  <c r="AB44" i="12" s="1"/>
  <c r="DW44" i="12" s="1"/>
  <c r="BA44" i="12"/>
  <c r="U11" i="12"/>
  <c r="AT10" i="12"/>
  <c r="U35" i="12"/>
  <c r="AT25" i="12"/>
  <c r="AT38" i="12"/>
  <c r="AT13" i="12"/>
  <c r="AT15" i="12"/>
  <c r="AT8" i="12"/>
  <c r="AT9" i="12"/>
  <c r="AT32" i="12"/>
  <c r="AT18" i="12"/>
  <c r="AT11" i="12"/>
  <c r="AT14" i="12"/>
  <c r="AT20" i="12"/>
  <c r="AT35" i="12"/>
  <c r="AT16" i="12"/>
  <c r="AT26" i="12"/>
  <c r="U13" i="12"/>
  <c r="U10" i="12"/>
  <c r="U20" i="12"/>
  <c r="U25" i="12"/>
  <c r="U14" i="12"/>
  <c r="U16" i="12"/>
  <c r="U26" i="12"/>
  <c r="U9" i="12"/>
  <c r="U32" i="12"/>
  <c r="U38" i="12"/>
  <c r="U15" i="12"/>
  <c r="U8" i="12"/>
  <c r="S27" i="17"/>
  <c r="V27" i="17" l="1"/>
  <c r="CI39" i="12"/>
  <c r="CI44" i="12"/>
  <c r="CI35" i="12"/>
  <c r="AT28" i="12"/>
  <c r="AT56" i="12" s="1"/>
  <c r="CI32" i="12"/>
  <c r="CI38" i="12"/>
  <c r="T27" i="17"/>
  <c r="CW44" i="12" l="1"/>
  <c r="DX44" i="12" s="1"/>
  <c r="CW39" i="12"/>
  <c r="DX39" i="12" s="1"/>
  <c r="DY39" i="12" s="1"/>
  <c r="U28" i="12"/>
  <c r="W27" i="17"/>
  <c r="Y27" i="17"/>
  <c r="DY44" i="12" l="1"/>
  <c r="CI28" i="12"/>
  <c r="AI38" i="12" l="1"/>
  <c r="BN38" i="12" s="1"/>
  <c r="AJ38" i="12"/>
  <c r="BP38" i="12" s="1"/>
  <c r="AK38" i="12"/>
  <c r="AL38" i="12"/>
  <c r="AM38" i="12"/>
  <c r="AP38" i="12"/>
  <c r="AS38" i="12"/>
  <c r="AS12" i="12"/>
  <c r="AS17" i="12"/>
  <c r="AS18" i="12"/>
  <c r="AS19" i="12"/>
  <c r="AS21" i="12"/>
  <c r="AS23" i="12"/>
  <c r="AS24" i="12"/>
  <c r="AS27" i="12"/>
  <c r="AS29" i="12"/>
  <c r="AS30" i="12"/>
  <c r="AS31" i="12"/>
  <c r="AS33" i="12"/>
  <c r="AS34" i="12"/>
  <c r="AS36" i="12"/>
  <c r="AS37" i="12"/>
  <c r="AR12" i="12"/>
  <c r="AR17" i="12"/>
  <c r="AR19" i="12"/>
  <c r="AR20" i="12"/>
  <c r="AR21" i="12"/>
  <c r="AR22" i="12"/>
  <c r="AR23" i="12"/>
  <c r="AR24" i="12"/>
  <c r="AR27" i="12"/>
  <c r="AR29" i="12"/>
  <c r="AR30" i="12"/>
  <c r="AR31" i="12"/>
  <c r="AR33" i="12"/>
  <c r="AR34" i="12"/>
  <c r="AR35" i="12"/>
  <c r="AR36" i="12"/>
  <c r="AR37" i="12"/>
  <c r="AR55" i="12"/>
  <c r="U56" i="12"/>
  <c r="S12" i="12"/>
  <c r="S17" i="12"/>
  <c r="S19" i="12"/>
  <c r="S20" i="12"/>
  <c r="S21" i="12"/>
  <c r="S22" i="12"/>
  <c r="S23" i="12"/>
  <c r="S24" i="12"/>
  <c r="S27" i="12"/>
  <c r="S29" i="12"/>
  <c r="S30" i="12"/>
  <c r="S31" i="12"/>
  <c r="S33" i="12"/>
  <c r="S34" i="12"/>
  <c r="S35" i="12"/>
  <c r="S36" i="12"/>
  <c r="S37" i="12"/>
  <c r="S55" i="12"/>
  <c r="T10" i="12" l="1"/>
  <c r="CG36" i="12"/>
  <c r="CG34" i="12"/>
  <c r="CG38" i="12"/>
  <c r="CG33" i="12"/>
  <c r="CG31" i="12"/>
  <c r="CG23" i="12"/>
  <c r="CG30" i="12"/>
  <c r="CG12" i="12"/>
  <c r="CG37" i="12"/>
  <c r="CG21" i="12"/>
  <c r="CG27" i="12"/>
  <c r="BU38" i="12"/>
  <c r="T55" i="12" l="1"/>
  <c r="T35" i="12"/>
  <c r="AS10" i="12" l="1"/>
  <c r="T20" i="12"/>
  <c r="T22" i="12"/>
  <c r="T14" i="12" l="1"/>
  <c r="T13" i="12"/>
  <c r="T16" i="12"/>
  <c r="T9" i="12"/>
  <c r="T11" i="12"/>
  <c r="T15" i="12"/>
  <c r="T25" i="12"/>
  <c r="T26" i="12"/>
  <c r="T8" i="12"/>
  <c r="T32" i="12"/>
  <c r="AS35" i="12"/>
  <c r="CG35" i="12" s="1"/>
  <c r="AS28" i="12"/>
  <c r="AS55" i="12" l="1"/>
  <c r="CG55" i="12" s="1"/>
  <c r="AS20" i="12"/>
  <c r="AS9" i="12"/>
  <c r="AS14" i="12"/>
  <c r="AS25" i="12"/>
  <c r="AS22" i="12"/>
  <c r="AS32" i="12"/>
  <c r="CG32" i="12" s="1"/>
  <c r="AS16" i="12"/>
  <c r="AS11" i="12"/>
  <c r="AS8" i="12"/>
  <c r="S19" i="17"/>
  <c r="S16" i="17"/>
  <c r="S15" i="17"/>
  <c r="AS13" i="12"/>
  <c r="AS15" i="12"/>
  <c r="AS26" i="12"/>
  <c r="T28" i="12"/>
  <c r="T56" i="12" s="1"/>
  <c r="AS56" i="12" l="1"/>
  <c r="CG28" i="12" l="1"/>
  <c r="S15" i="12"/>
  <c r="S18" i="12"/>
  <c r="S14" i="12" l="1"/>
  <c r="S38" i="12"/>
  <c r="S13" i="12" l="1"/>
  <c r="S16" i="12"/>
  <c r="S8" i="12"/>
  <c r="S11" i="12"/>
  <c r="S9" i="12"/>
  <c r="S26" i="12"/>
  <c r="S25" i="12"/>
  <c r="S32" i="12"/>
  <c r="S10" i="12"/>
  <c r="AR15" i="12" l="1"/>
  <c r="AR8" i="12"/>
  <c r="AR13" i="12"/>
  <c r="AR11" i="12"/>
  <c r="AR10" i="12"/>
  <c r="AR26" i="12"/>
  <c r="AR16" i="12"/>
  <c r="AR14" i="12"/>
  <c r="AR38" i="12"/>
  <c r="AR25" i="12"/>
  <c r="AR32" i="12"/>
  <c r="AR9" i="12"/>
  <c r="AP12" i="12" l="1"/>
  <c r="AQ12" i="12"/>
  <c r="AP17" i="12"/>
  <c r="AQ17" i="12"/>
  <c r="AP18" i="12"/>
  <c r="AP19" i="12"/>
  <c r="AQ19" i="12"/>
  <c r="AP21" i="12"/>
  <c r="AQ21" i="12"/>
  <c r="AP22" i="12"/>
  <c r="AP23" i="12"/>
  <c r="AQ23" i="12"/>
  <c r="AP24" i="12"/>
  <c r="AQ24" i="12"/>
  <c r="AP26" i="12"/>
  <c r="AP27" i="12"/>
  <c r="AQ27" i="12"/>
  <c r="AP29" i="12"/>
  <c r="AQ29" i="12"/>
  <c r="AP30" i="12"/>
  <c r="AQ30" i="12"/>
  <c r="AP31" i="12"/>
  <c r="AQ31" i="12"/>
  <c r="AP33" i="12"/>
  <c r="AQ33" i="12"/>
  <c r="AP34" i="12"/>
  <c r="AQ34" i="12"/>
  <c r="AQ36" i="12"/>
  <c r="AP37" i="12"/>
  <c r="AQ37" i="12"/>
  <c r="AP55" i="12"/>
  <c r="AQ55" i="12"/>
  <c r="R12" i="12"/>
  <c r="R17" i="12"/>
  <c r="R19" i="12"/>
  <c r="R21" i="12"/>
  <c r="R23" i="12"/>
  <c r="R24" i="12"/>
  <c r="R27" i="12"/>
  <c r="R29" i="12"/>
  <c r="R30" i="12"/>
  <c r="R31" i="12"/>
  <c r="R33" i="12"/>
  <c r="R34" i="12"/>
  <c r="R36" i="12"/>
  <c r="R37" i="12"/>
  <c r="R55" i="12"/>
  <c r="Q12" i="12"/>
  <c r="Q17" i="12"/>
  <c r="Q18" i="12"/>
  <c r="Q19" i="12"/>
  <c r="Q21" i="12"/>
  <c r="Q22" i="12"/>
  <c r="Q23" i="12"/>
  <c r="Q24" i="12"/>
  <c r="Q26" i="12"/>
  <c r="Q27" i="12"/>
  <c r="Q29" i="12"/>
  <c r="Q30" i="12"/>
  <c r="Q31" i="12"/>
  <c r="Q33" i="12"/>
  <c r="Q34" i="12"/>
  <c r="Q37" i="12"/>
  <c r="Q55" i="12"/>
  <c r="CC55" i="12" l="1"/>
  <c r="CE55" i="12" s="1"/>
  <c r="CC27" i="12"/>
  <c r="CE27" i="12" s="1"/>
  <c r="CC31" i="12"/>
  <c r="CE31" i="12" s="1"/>
  <c r="CC37" i="12"/>
  <c r="CE37" i="12" s="1"/>
  <c r="CC30" i="12"/>
  <c r="CE30" i="12" s="1"/>
  <c r="CC36" i="12"/>
  <c r="CE36" i="12" s="1"/>
  <c r="CC21" i="12"/>
  <c r="CE21" i="12" s="1"/>
  <c r="CC34" i="12"/>
  <c r="CE34" i="12" s="1"/>
  <c r="CC12" i="12"/>
  <c r="CE12" i="12" s="1"/>
  <c r="CC33" i="12"/>
  <c r="CE33" i="12" s="1"/>
  <c r="CC23" i="12"/>
  <c r="CE23" i="12" s="1"/>
  <c r="R14" i="12" l="1"/>
  <c r="R15" i="12"/>
  <c r="R20" i="12"/>
  <c r="R18" i="12"/>
  <c r="R11" i="12" l="1"/>
  <c r="R10" i="12"/>
  <c r="R32" i="12"/>
  <c r="R26" i="12"/>
  <c r="R22" i="12"/>
  <c r="Q11" i="12"/>
  <c r="R35" i="12"/>
  <c r="R9" i="12"/>
  <c r="R13" i="12" l="1"/>
  <c r="R25" i="12"/>
  <c r="R8" i="12"/>
  <c r="R16" i="12"/>
  <c r="AQ15" i="12"/>
  <c r="AQ14" i="12"/>
  <c r="AQ18" i="12"/>
  <c r="AQ22" i="12" l="1"/>
  <c r="AQ8" i="12"/>
  <c r="AQ38" i="12"/>
  <c r="AQ10" i="12"/>
  <c r="AP11" i="12"/>
  <c r="AQ16" i="12"/>
  <c r="AQ35" i="12"/>
  <c r="AQ26" i="12"/>
  <c r="AQ13" i="12"/>
  <c r="AQ25" i="12"/>
  <c r="AQ9" i="12"/>
  <c r="AQ32" i="12"/>
  <c r="AQ20" i="12"/>
  <c r="AQ11" i="12"/>
  <c r="CC32" i="12" l="1"/>
  <c r="CE32" i="12" s="1"/>
  <c r="CC35" i="12"/>
  <c r="CE35" i="12" s="1"/>
  <c r="CC38" i="12"/>
  <c r="CE38" i="12" s="1"/>
  <c r="AR28" i="12" l="1"/>
  <c r="AQ28" i="12"/>
  <c r="AQ56" i="12" s="1"/>
  <c r="R28" i="12" l="1"/>
  <c r="R56" i="12" s="1"/>
  <c r="S28" i="12"/>
  <c r="S56" i="12" s="1"/>
  <c r="CC28" i="12" l="1"/>
  <c r="CE28" i="12"/>
  <c r="Q9" i="12" l="1"/>
  <c r="Q8" i="12"/>
  <c r="Q13" i="12" l="1"/>
  <c r="AP9" i="12" l="1"/>
  <c r="AP8" i="12"/>
  <c r="AP13" i="12"/>
  <c r="AP28" i="12" l="1"/>
  <c r="Q28" i="12" l="1"/>
  <c r="CA28" i="12" l="1"/>
  <c r="Q16" i="12" l="1"/>
  <c r="Q10" i="12"/>
  <c r="Q32" i="12"/>
  <c r="Q20" i="12"/>
  <c r="AP20" i="12"/>
  <c r="AP16" i="12" l="1"/>
  <c r="AP32" i="12"/>
  <c r="AP10" i="12"/>
  <c r="Q36" i="12" l="1"/>
  <c r="Q14" i="12" l="1"/>
  <c r="Q15" i="12"/>
  <c r="Q25" i="12"/>
  <c r="AP36" i="12"/>
  <c r="AP14" i="12" l="1"/>
  <c r="AP15" i="12"/>
  <c r="AP25" i="12"/>
  <c r="Q35" i="12" l="1"/>
  <c r="Q56" i="12" s="1"/>
  <c r="AP35" i="12" l="1"/>
  <c r="AO28" i="12" l="1"/>
  <c r="AP56" i="12"/>
  <c r="P28" i="12"/>
  <c r="BY28" i="12" l="1"/>
  <c r="AO11" i="12"/>
  <c r="AO12" i="12"/>
  <c r="AO17" i="12"/>
  <c r="AO19" i="12"/>
  <c r="AO21" i="12"/>
  <c r="AO23" i="12"/>
  <c r="AO24" i="12"/>
  <c r="AO27" i="12"/>
  <c r="AO29" i="12"/>
  <c r="AO30" i="12"/>
  <c r="AO31" i="12"/>
  <c r="AO33" i="12"/>
  <c r="AO34" i="12"/>
  <c r="AO36" i="12"/>
  <c r="AO37" i="12"/>
  <c r="AO55" i="12"/>
  <c r="P11" i="12"/>
  <c r="P12" i="12"/>
  <c r="P17" i="12"/>
  <c r="P19" i="12"/>
  <c r="P21" i="12"/>
  <c r="P23" i="12"/>
  <c r="P24" i="12"/>
  <c r="P27" i="12"/>
  <c r="P29" i="12"/>
  <c r="P30" i="12"/>
  <c r="P31" i="12"/>
  <c r="P33" i="12"/>
  <c r="P34" i="12"/>
  <c r="P36" i="12"/>
  <c r="P37" i="12"/>
  <c r="P55" i="12"/>
  <c r="BY55" i="12" l="1"/>
  <c r="CA55" i="12" s="1"/>
  <c r="BY27" i="12"/>
  <c r="CA27" i="12" s="1"/>
  <c r="BY37" i="12"/>
  <c r="CA37" i="12" s="1"/>
  <c r="BY12" i="12"/>
  <c r="CA12" i="12" s="1"/>
  <c r="BY36" i="12"/>
  <c r="CA36" i="12" s="1"/>
  <c r="BY34" i="12"/>
  <c r="CA34" i="12" s="1"/>
  <c r="BY23" i="12"/>
  <c r="CA23" i="12" s="1"/>
  <c r="BY33" i="12"/>
  <c r="CA33" i="12" s="1"/>
  <c r="BY31" i="12"/>
  <c r="CA31" i="12" s="1"/>
  <c r="BY21" i="12"/>
  <c r="CA21" i="12" s="1"/>
  <c r="BY30" i="12"/>
  <c r="CA30" i="12" s="1"/>
  <c r="P8" i="12"/>
  <c r="P18" i="12" l="1"/>
  <c r="P22" i="12"/>
  <c r="P9" i="12"/>
  <c r="P13" i="12"/>
  <c r="AO18" i="12"/>
  <c r="AO9" i="12" l="1"/>
  <c r="AO13" i="12"/>
  <c r="AO22" i="12"/>
  <c r="AO8" i="12"/>
  <c r="P16" i="12" l="1"/>
  <c r="P15" i="12"/>
  <c r="P10" i="12"/>
  <c r="P20" i="12"/>
  <c r="P26" i="12"/>
  <c r="P32" i="12"/>
  <c r="AO38" i="12" l="1"/>
  <c r="H26" i="17"/>
  <c r="AO20" i="12"/>
  <c r="AO26" i="12"/>
  <c r="AO32" i="12"/>
  <c r="AO15" i="12"/>
  <c r="AO10" i="12"/>
  <c r="AO16" i="12"/>
  <c r="BY38" i="12" l="1"/>
  <c r="CA38" i="12" s="1"/>
  <c r="BY32" i="12"/>
  <c r="CA32" i="12" s="1"/>
  <c r="P14" i="12"/>
  <c r="P25" i="12" l="1"/>
  <c r="P35" i="12"/>
  <c r="AO14" i="12" l="1"/>
  <c r="AO35" i="12"/>
  <c r="C26" i="17"/>
  <c r="O12" i="12"/>
  <c r="O17" i="12"/>
  <c r="O19" i="12"/>
  <c r="O20" i="12"/>
  <c r="O21" i="12"/>
  <c r="O23" i="12"/>
  <c r="O24" i="12"/>
  <c r="O27" i="12"/>
  <c r="O30" i="12"/>
  <c r="O31" i="12"/>
  <c r="O33" i="12"/>
  <c r="O34" i="12"/>
  <c r="O36" i="12"/>
  <c r="O37" i="12"/>
  <c r="O55" i="12"/>
  <c r="AN12" i="12"/>
  <c r="AN17" i="12"/>
  <c r="AN19" i="12"/>
  <c r="AN20" i="12"/>
  <c r="AN21" i="12"/>
  <c r="AN23" i="12"/>
  <c r="AN24" i="12"/>
  <c r="AN27" i="12"/>
  <c r="AN30" i="12"/>
  <c r="AN31" i="12"/>
  <c r="AN33" i="12"/>
  <c r="AN34" i="12"/>
  <c r="AN36" i="12"/>
  <c r="AN37" i="12"/>
  <c r="AN55" i="12"/>
  <c r="BY35" i="12" l="1"/>
  <c r="CA35" i="12" s="1"/>
  <c r="AO25" i="12"/>
  <c r="O18" i="12"/>
  <c r="O29" i="12"/>
  <c r="O15" i="12"/>
  <c r="O25" i="12"/>
  <c r="AB38" i="12" l="1"/>
  <c r="DW38" i="12" s="1"/>
  <c r="AO56" i="12"/>
  <c r="O14" i="12"/>
  <c r="O16" i="12"/>
  <c r="O11" i="12"/>
  <c r="O9" i="12"/>
  <c r="O13" i="12"/>
  <c r="O22" i="12"/>
  <c r="O35" i="12"/>
  <c r="O10" i="12"/>
  <c r="R26" i="17"/>
  <c r="U26" i="17" s="1"/>
  <c r="O8" i="12"/>
  <c r="O32" i="12"/>
  <c r="O26" i="12"/>
  <c r="AN38" i="12" l="1"/>
  <c r="BA38" i="12" s="1"/>
  <c r="AN35" i="12"/>
  <c r="AN10" i="12"/>
  <c r="AN32" i="12"/>
  <c r="AN16" i="12"/>
  <c r="S26" i="17"/>
  <c r="V26" i="17" s="1"/>
  <c r="AN29" i="12"/>
  <c r="AN22" i="12"/>
  <c r="AN14" i="12"/>
  <c r="AN18" i="12"/>
  <c r="AN25" i="12"/>
  <c r="AN13" i="12"/>
  <c r="AN26" i="12"/>
  <c r="AN8" i="12"/>
  <c r="AN9" i="12"/>
  <c r="AN11" i="12"/>
  <c r="AN15" i="12"/>
  <c r="BW38" i="12" l="1"/>
  <c r="AN28" i="12"/>
  <c r="AN56" i="12" s="1"/>
  <c r="T26" i="17"/>
  <c r="W26" i="17"/>
  <c r="Y26" i="17"/>
  <c r="CW38" i="12" l="1"/>
  <c r="DX38" i="12" s="1"/>
  <c r="O28" i="12"/>
  <c r="O56" i="12" s="1"/>
  <c r="DY38" i="12" l="1"/>
  <c r="BW28" i="12"/>
  <c r="AC30" i="12"/>
  <c r="AD30" i="12"/>
  <c r="BD30" i="12" s="1"/>
  <c r="AE30" i="12"/>
  <c r="AF30" i="12"/>
  <c r="AG30" i="12"/>
  <c r="AH30" i="12"/>
  <c r="AI30" i="12"/>
  <c r="AJ30" i="12"/>
  <c r="AK30" i="12"/>
  <c r="AL30" i="12"/>
  <c r="AM30" i="12"/>
  <c r="AC31" i="12"/>
  <c r="AD31" i="12"/>
  <c r="BD31" i="12" s="1"/>
  <c r="AE31" i="12"/>
  <c r="AF31" i="12"/>
  <c r="AG31" i="12"/>
  <c r="AH31" i="12"/>
  <c r="AI31" i="12"/>
  <c r="AJ31" i="12"/>
  <c r="AK31" i="12"/>
  <c r="AL31" i="12"/>
  <c r="AM31" i="12"/>
  <c r="AC32" i="12"/>
  <c r="AD32" i="12"/>
  <c r="BD32" i="12" s="1"/>
  <c r="AE32" i="12"/>
  <c r="AF32" i="12"/>
  <c r="AG32" i="12"/>
  <c r="AH32" i="12"/>
  <c r="AI32" i="12"/>
  <c r="AC33" i="12"/>
  <c r="AD33" i="12"/>
  <c r="BD33" i="12" s="1"/>
  <c r="AE33" i="12"/>
  <c r="AF33" i="12"/>
  <c r="AG33" i="12"/>
  <c r="AH33" i="12"/>
  <c r="AI33" i="12"/>
  <c r="AJ33" i="12"/>
  <c r="AK33" i="12"/>
  <c r="AL33" i="12"/>
  <c r="AM33" i="12"/>
  <c r="AC34" i="12"/>
  <c r="AD34" i="12"/>
  <c r="BD34" i="12" s="1"/>
  <c r="AE34" i="12"/>
  <c r="AF34" i="12"/>
  <c r="AG34" i="12"/>
  <c r="AH34" i="12"/>
  <c r="AI34" i="12"/>
  <c r="AJ34" i="12"/>
  <c r="AK34" i="12"/>
  <c r="AL34" i="12"/>
  <c r="AM34" i="12"/>
  <c r="AC35" i="12"/>
  <c r="AD35" i="12"/>
  <c r="BD35" i="12" s="1"/>
  <c r="AE35" i="12"/>
  <c r="AK35" i="12"/>
  <c r="AC36" i="12"/>
  <c r="AD36" i="12"/>
  <c r="BD36" i="12" s="1"/>
  <c r="AE36" i="12"/>
  <c r="AF36" i="12"/>
  <c r="AG36" i="12"/>
  <c r="AH36" i="12"/>
  <c r="AJ36" i="12"/>
  <c r="AK36" i="12"/>
  <c r="AL36" i="12"/>
  <c r="AM36" i="12"/>
  <c r="AC37" i="12"/>
  <c r="AD37" i="12"/>
  <c r="BD37" i="12" s="1"/>
  <c r="AE37" i="12"/>
  <c r="AF37" i="12"/>
  <c r="AG37" i="12"/>
  <c r="AH37" i="12"/>
  <c r="AI37" i="12"/>
  <c r="AK37" i="12"/>
  <c r="AL37" i="12"/>
  <c r="AM37" i="12"/>
  <c r="AC55" i="12"/>
  <c r="AD55" i="12"/>
  <c r="BD55" i="12" s="1"/>
  <c r="AE55" i="12"/>
  <c r="AF55" i="12"/>
  <c r="AG55" i="12"/>
  <c r="AI55" i="12"/>
  <c r="AK55" i="12"/>
  <c r="AM55" i="12"/>
  <c r="CY56" i="12"/>
  <c r="CZ56" i="12"/>
  <c r="DA56" i="12"/>
  <c r="DB56" i="12"/>
  <c r="DC56" i="12"/>
  <c r="DD56" i="12"/>
  <c r="DE56" i="12"/>
  <c r="DF56" i="12"/>
  <c r="DG56" i="12"/>
  <c r="DH56" i="12"/>
  <c r="DI56" i="12"/>
  <c r="DJ56" i="12"/>
  <c r="DK56" i="12"/>
  <c r="DL56" i="12"/>
  <c r="DM56" i="12"/>
  <c r="DN56" i="12"/>
  <c r="DO56" i="12"/>
  <c r="DP56" i="12"/>
  <c r="DQ56" i="12"/>
  <c r="DR56" i="12"/>
  <c r="DS56" i="12"/>
  <c r="DT56" i="12"/>
  <c r="DU56" i="12"/>
  <c r="CX56" i="12"/>
  <c r="BB55" i="12" l="1"/>
  <c r="BB35" i="12"/>
  <c r="BB36" i="12"/>
  <c r="BB30" i="12"/>
  <c r="BB37" i="12"/>
  <c r="BB33" i="12"/>
  <c r="BB31" i="12"/>
  <c r="BB34" i="12"/>
  <c r="BB32" i="12"/>
  <c r="BA30" i="12"/>
  <c r="BA33" i="12"/>
  <c r="BA31" i="12"/>
  <c r="BA34" i="12"/>
  <c r="P56" i="12" l="1"/>
  <c r="V56" i="12"/>
  <c r="Y56" i="12"/>
  <c r="AA56" i="12"/>
  <c r="F35" i="12"/>
  <c r="BF35" i="12" s="1"/>
  <c r="L35" i="12"/>
  <c r="BR35" i="12" s="1"/>
  <c r="F36" i="12"/>
  <c r="BF36" i="12" s="1"/>
  <c r="G36" i="12"/>
  <c r="BH36" i="12" s="1"/>
  <c r="H36" i="12"/>
  <c r="BJ36" i="12" s="1"/>
  <c r="I36" i="12"/>
  <c r="BL36" i="12" s="1"/>
  <c r="K36" i="12"/>
  <c r="BP36" i="12" s="1"/>
  <c r="L36" i="12"/>
  <c r="M36" i="12"/>
  <c r="N36" i="12"/>
  <c r="F37" i="12"/>
  <c r="BF37" i="12" s="1"/>
  <c r="G37" i="12"/>
  <c r="BH37" i="12" s="1"/>
  <c r="H37" i="12"/>
  <c r="BJ37" i="12" s="1"/>
  <c r="I37" i="12"/>
  <c r="BL37" i="12" s="1"/>
  <c r="J37" i="12"/>
  <c r="BN37" i="12" s="1"/>
  <c r="L37" i="12"/>
  <c r="M37" i="12"/>
  <c r="N37" i="12"/>
  <c r="F55" i="12"/>
  <c r="BF55" i="12" s="1"/>
  <c r="G55" i="12"/>
  <c r="BH55" i="12" s="1"/>
  <c r="H55" i="12"/>
  <c r="BJ55" i="12" s="1"/>
  <c r="J55" i="12"/>
  <c r="BN55" i="12" s="1"/>
  <c r="L55" i="12"/>
  <c r="BR55" i="12" s="1"/>
  <c r="N55" i="12"/>
  <c r="BR36" i="12" l="1"/>
  <c r="BT36" i="12" s="1"/>
  <c r="BR37" i="12"/>
  <c r="BT37" i="12" s="1"/>
  <c r="BU36" i="12"/>
  <c r="BW36" i="12" s="1"/>
  <c r="BU55" i="12"/>
  <c r="BW55" i="12" s="1"/>
  <c r="BU37" i="12"/>
  <c r="BW37" i="12" s="1"/>
  <c r="F30" i="12"/>
  <c r="BF30" i="12" s="1"/>
  <c r="G30" i="12"/>
  <c r="BH30" i="12" s="1"/>
  <c r="H30" i="12"/>
  <c r="BJ30" i="12" s="1"/>
  <c r="I30" i="12"/>
  <c r="BL30" i="12" s="1"/>
  <c r="J30" i="12"/>
  <c r="BN30" i="12" s="1"/>
  <c r="K30" i="12"/>
  <c r="BP30" i="12" s="1"/>
  <c r="L30" i="12"/>
  <c r="M30" i="12"/>
  <c r="N30" i="12"/>
  <c r="F31" i="12"/>
  <c r="BF31" i="12" s="1"/>
  <c r="G31" i="12"/>
  <c r="BH31" i="12" s="1"/>
  <c r="H31" i="12"/>
  <c r="BJ31" i="12" s="1"/>
  <c r="I31" i="12"/>
  <c r="BL31" i="12" s="1"/>
  <c r="J31" i="12"/>
  <c r="BN31" i="12" s="1"/>
  <c r="K31" i="12"/>
  <c r="BP31" i="12" s="1"/>
  <c r="L31" i="12"/>
  <c r="M31" i="12"/>
  <c r="N31" i="12"/>
  <c r="F32" i="12"/>
  <c r="BF32" i="12" s="1"/>
  <c r="G32" i="12"/>
  <c r="BH32" i="12" s="1"/>
  <c r="H32" i="12"/>
  <c r="BJ32" i="12" s="1"/>
  <c r="I32" i="12"/>
  <c r="BL32" i="12" s="1"/>
  <c r="J32" i="12"/>
  <c r="BN32" i="12" s="1"/>
  <c r="F33" i="12"/>
  <c r="BF33" i="12" s="1"/>
  <c r="G33" i="12"/>
  <c r="BH33" i="12" s="1"/>
  <c r="H33" i="12"/>
  <c r="BJ33" i="12" s="1"/>
  <c r="I33" i="12"/>
  <c r="BL33" i="12" s="1"/>
  <c r="J33" i="12"/>
  <c r="BN33" i="12" s="1"/>
  <c r="K33" i="12"/>
  <c r="BP33" i="12" s="1"/>
  <c r="L33" i="12"/>
  <c r="M33" i="12"/>
  <c r="N33" i="12"/>
  <c r="F34" i="12"/>
  <c r="BF34" i="12" s="1"/>
  <c r="G34" i="12"/>
  <c r="BH34" i="12" s="1"/>
  <c r="H34" i="12"/>
  <c r="BJ34" i="12" s="1"/>
  <c r="I34" i="12"/>
  <c r="BL34" i="12" s="1"/>
  <c r="J34" i="12"/>
  <c r="BN34" i="12" s="1"/>
  <c r="K34" i="12"/>
  <c r="BP34" i="12" s="1"/>
  <c r="L34" i="12"/>
  <c r="M34" i="12"/>
  <c r="N34" i="12"/>
  <c r="BR34" i="12" l="1"/>
  <c r="BT34" i="12" s="1"/>
  <c r="BR30" i="12"/>
  <c r="BT30" i="12" s="1"/>
  <c r="BR33" i="12"/>
  <c r="BT33" i="12" s="1"/>
  <c r="BR31" i="12"/>
  <c r="BT31" i="12" s="1"/>
  <c r="BU33" i="12"/>
  <c r="BW33" i="12" s="1"/>
  <c r="BU31" i="12"/>
  <c r="BW31" i="12" s="1"/>
  <c r="BU34" i="12"/>
  <c r="BW34" i="12" s="1"/>
  <c r="BU30" i="12"/>
  <c r="BW30" i="12" s="1"/>
  <c r="CW33" i="12" l="1"/>
  <c r="DX33" i="12" s="1"/>
  <c r="CW34" i="12"/>
  <c r="DX34" i="12" s="1"/>
  <c r="N12" i="12"/>
  <c r="N17" i="12"/>
  <c r="N19" i="12"/>
  <c r="N21" i="12"/>
  <c r="N23" i="12"/>
  <c r="N24" i="12"/>
  <c r="N27" i="12"/>
  <c r="N29" i="12"/>
  <c r="CW30" i="12" l="1"/>
  <c r="DX30" i="12" s="1"/>
  <c r="CW31" i="12"/>
  <c r="DX31" i="12" s="1"/>
  <c r="N11" i="12"/>
  <c r="N18" i="12"/>
  <c r="N22" i="12"/>
  <c r="N8" i="12" l="1"/>
  <c r="N9" i="12"/>
  <c r="N13" i="12"/>
  <c r="N25" i="12" l="1"/>
  <c r="N20" i="12" l="1"/>
  <c r="N10" i="12"/>
  <c r="N35" i="12"/>
  <c r="N16" i="12"/>
  <c r="N14" i="12"/>
  <c r="N32" i="12"/>
  <c r="N26" i="12"/>
  <c r="N15" i="12"/>
  <c r="AM32" i="12" l="1"/>
  <c r="AM35" i="12"/>
  <c r="BW35" i="12" s="1"/>
  <c r="AM8" i="12"/>
  <c r="AM9" i="12"/>
  <c r="AM10" i="12"/>
  <c r="AM11" i="12"/>
  <c r="AM12" i="12"/>
  <c r="AM13" i="12"/>
  <c r="AM14" i="12"/>
  <c r="AM15" i="12"/>
  <c r="AM16" i="12"/>
  <c r="AM17" i="12"/>
  <c r="AM18" i="12"/>
  <c r="AM19" i="12"/>
  <c r="AM20" i="12"/>
  <c r="AM21" i="12"/>
  <c r="AM22" i="12"/>
  <c r="AM23" i="12"/>
  <c r="AM24" i="12"/>
  <c r="AM25" i="12"/>
  <c r="AM26" i="12"/>
  <c r="AM27" i="12"/>
  <c r="BW27" i="12" s="1"/>
  <c r="AM29" i="12"/>
  <c r="AB43" i="12" l="1"/>
  <c r="DW43" i="12" s="1"/>
  <c r="DY43" i="12" s="1"/>
  <c r="BU12" i="12"/>
  <c r="BW12" i="12" s="1"/>
  <c r="BU35" i="12"/>
  <c r="BU32" i="12"/>
  <c r="BW32" i="12" s="1"/>
  <c r="BU23" i="12"/>
  <c r="BW23" i="12" s="1"/>
  <c r="BU21" i="12"/>
  <c r="BW21" i="12" s="1"/>
  <c r="AB30" i="12"/>
  <c r="AB33" i="12"/>
  <c r="AB31" i="12"/>
  <c r="AB34" i="12"/>
  <c r="DW34" i="12" l="1"/>
  <c r="DY34" i="12" s="1"/>
  <c r="DW31" i="12"/>
  <c r="DY31" i="12" s="1"/>
  <c r="DW33" i="12"/>
  <c r="DY33" i="12" s="1"/>
  <c r="DW30" i="12"/>
  <c r="DY30" i="12" s="1"/>
  <c r="AL11" i="12" l="1"/>
  <c r="M35" i="12" l="1"/>
  <c r="M32" i="12"/>
  <c r="AL32" i="12" l="1"/>
  <c r="AL35" i="12"/>
  <c r="BT35" i="12" s="1"/>
  <c r="M55" i="12" l="1"/>
  <c r="AL55" i="12" l="1"/>
  <c r="BT55" i="12" s="1"/>
  <c r="AL28" i="12" l="1"/>
  <c r="M28" i="12" l="1"/>
  <c r="L32" i="12" l="1"/>
  <c r="S21" i="17" l="1"/>
  <c r="AL9" i="12"/>
  <c r="AL10" i="12"/>
  <c r="AL12" i="12"/>
  <c r="AL13" i="12"/>
  <c r="AL14" i="12"/>
  <c r="AL15" i="12"/>
  <c r="AL16" i="12"/>
  <c r="AL17" i="12"/>
  <c r="AL18" i="12"/>
  <c r="AL19" i="12"/>
  <c r="AL20" i="12"/>
  <c r="AL21" i="12"/>
  <c r="AL22" i="12"/>
  <c r="AL23" i="12"/>
  <c r="AL24" i="12"/>
  <c r="AL25" i="12"/>
  <c r="AL26" i="12"/>
  <c r="AL27" i="12"/>
  <c r="AL29" i="12"/>
  <c r="AK8" i="12"/>
  <c r="AK9" i="12"/>
  <c r="AK10" i="12"/>
  <c r="AK11" i="12"/>
  <c r="AK12" i="12"/>
  <c r="AK13" i="12"/>
  <c r="AK14" i="12"/>
  <c r="AK15" i="12"/>
  <c r="AK16" i="12"/>
  <c r="AK17" i="12"/>
  <c r="AK18" i="12"/>
  <c r="AK19" i="12"/>
  <c r="AK20" i="12"/>
  <c r="AK21" i="12"/>
  <c r="AK22" i="12"/>
  <c r="AK23" i="12"/>
  <c r="AK24" i="12"/>
  <c r="AK25" i="12"/>
  <c r="AK26" i="12"/>
  <c r="AK27" i="12"/>
  <c r="AK29" i="12"/>
  <c r="AJ12" i="12"/>
  <c r="AJ17" i="12"/>
  <c r="AJ18" i="12"/>
  <c r="AJ19" i="12"/>
  <c r="AJ21" i="12"/>
  <c r="AJ22" i="12"/>
  <c r="AJ23" i="12"/>
  <c r="AJ24" i="12"/>
  <c r="AJ27" i="12"/>
  <c r="M8" i="12"/>
  <c r="M9" i="12"/>
  <c r="M10" i="12"/>
  <c r="M11" i="12"/>
  <c r="M12" i="12"/>
  <c r="M13" i="12"/>
  <c r="M14" i="12"/>
  <c r="M15" i="12"/>
  <c r="M16" i="12"/>
  <c r="M17" i="12"/>
  <c r="M18" i="12"/>
  <c r="M19" i="12"/>
  <c r="M20" i="12"/>
  <c r="M21" i="12"/>
  <c r="M22" i="12"/>
  <c r="M23" i="12"/>
  <c r="M24" i="12"/>
  <c r="M25" i="12"/>
  <c r="M26" i="12"/>
  <c r="M27" i="12"/>
  <c r="M29" i="12"/>
  <c r="L8" i="12"/>
  <c r="L9" i="12"/>
  <c r="L10" i="12"/>
  <c r="L11" i="12"/>
  <c r="L12" i="12"/>
  <c r="L13" i="12"/>
  <c r="L14" i="12"/>
  <c r="L15" i="12"/>
  <c r="L16" i="12"/>
  <c r="L17" i="12"/>
  <c r="L18" i="12"/>
  <c r="L19" i="12"/>
  <c r="L20" i="12"/>
  <c r="L21" i="12"/>
  <c r="L22" i="12"/>
  <c r="L23" i="12"/>
  <c r="L24" i="12"/>
  <c r="L25" i="12"/>
  <c r="L26" i="12"/>
  <c r="L27" i="12"/>
  <c r="L29" i="12"/>
  <c r="K12" i="12"/>
  <c r="K17" i="12"/>
  <c r="K18" i="12"/>
  <c r="K19" i="12"/>
  <c r="K21" i="12"/>
  <c r="K22" i="12"/>
  <c r="K23" i="12"/>
  <c r="K24" i="12"/>
  <c r="K27" i="12"/>
  <c r="K11" i="12"/>
  <c r="K55" i="12"/>
  <c r="BP23" i="12" l="1"/>
  <c r="BP12" i="12"/>
  <c r="BP27" i="12"/>
  <c r="BP21" i="12"/>
  <c r="AK32" i="12"/>
  <c r="BR12" i="12"/>
  <c r="BT12" i="12" s="1"/>
  <c r="BR23" i="12"/>
  <c r="BT23" i="12" s="1"/>
  <c r="BR27" i="12"/>
  <c r="BR21" i="12"/>
  <c r="BT21" i="12" s="1"/>
  <c r="M56" i="12"/>
  <c r="K37" i="12"/>
  <c r="AB37" i="12" s="1"/>
  <c r="DW37" i="12" s="1"/>
  <c r="C20" i="17"/>
  <c r="K15" i="12"/>
  <c r="BR32" i="12" l="1"/>
  <c r="BT32" i="12" s="1"/>
  <c r="AJ55" i="12"/>
  <c r="BP55" i="12" s="1"/>
  <c r="K29" i="12"/>
  <c r="AJ11" i="12"/>
  <c r="K32" i="12"/>
  <c r="AB32" i="12" s="1"/>
  <c r="DW32" i="12" s="1"/>
  <c r="AI28" i="12"/>
  <c r="AK28" i="12"/>
  <c r="AJ28" i="12"/>
  <c r="L28" i="12"/>
  <c r="L56" i="12" s="1"/>
  <c r="K8" i="12"/>
  <c r="K13" i="12"/>
  <c r="K9" i="12"/>
  <c r="K20" i="12"/>
  <c r="R20" i="17"/>
  <c r="U20" i="17" s="1"/>
  <c r="V20" i="17" s="1"/>
  <c r="AK56" i="12" l="1"/>
  <c r="K25" i="12"/>
  <c r="AJ15" i="12"/>
  <c r="AJ37" i="12"/>
  <c r="AJ29" i="12"/>
  <c r="K28" i="12"/>
  <c r="J28" i="12"/>
  <c r="AJ32" i="12"/>
  <c r="K10" i="12"/>
  <c r="K16" i="12"/>
  <c r="AJ8" i="12"/>
  <c r="K26" i="12"/>
  <c r="AJ9" i="12"/>
  <c r="AJ13" i="12"/>
  <c r="BA37" i="12" l="1"/>
  <c r="BP37" i="12"/>
  <c r="BA32" i="12"/>
  <c r="BP32" i="12"/>
  <c r="BR28" i="12"/>
  <c r="AJ20" i="12"/>
  <c r="AJ16" i="12"/>
  <c r="AJ26" i="12"/>
  <c r="AJ10" i="12"/>
  <c r="AJ25" i="12"/>
  <c r="T20" i="17"/>
  <c r="CW32" i="12" l="1"/>
  <c r="DX32" i="12" s="1"/>
  <c r="CW37" i="12"/>
  <c r="DX37" i="12" s="1"/>
  <c r="DY37" i="12" s="1"/>
  <c r="Y20" i="17"/>
  <c r="W20" i="17"/>
  <c r="DY32" i="12" l="1"/>
  <c r="K35" i="12" l="1"/>
  <c r="K14" i="12" l="1"/>
  <c r="K56" i="12" l="1"/>
  <c r="AJ14" i="12"/>
  <c r="AJ35" i="12"/>
  <c r="BP35" i="12" s="1"/>
  <c r="AI12" i="12"/>
  <c r="AI15" i="12"/>
  <c r="AI18" i="12"/>
  <c r="AI19" i="12"/>
  <c r="AI21" i="12"/>
  <c r="AI23" i="12"/>
  <c r="AI24" i="12"/>
  <c r="AI27" i="12"/>
  <c r="AI29" i="12"/>
  <c r="J12" i="12"/>
  <c r="J15" i="12"/>
  <c r="J18" i="12"/>
  <c r="J19" i="12"/>
  <c r="J21" i="12"/>
  <c r="J23" i="12"/>
  <c r="J24" i="12"/>
  <c r="J27" i="12"/>
  <c r="J29" i="12"/>
  <c r="J11" i="12"/>
  <c r="BN21" i="12" l="1"/>
  <c r="BN27" i="12"/>
  <c r="BN23" i="12"/>
  <c r="BN12" i="12"/>
  <c r="AJ56" i="12"/>
  <c r="J36" i="12"/>
  <c r="AB36" i="12" s="1"/>
  <c r="DW36" i="12" s="1"/>
  <c r="J17" i="12"/>
  <c r="J14" i="12"/>
  <c r="J25" i="12"/>
  <c r="J20" i="12"/>
  <c r="J35" i="12"/>
  <c r="AI36" i="12" l="1"/>
  <c r="J22" i="12"/>
  <c r="J26" i="12"/>
  <c r="J16" i="12"/>
  <c r="J13" i="12"/>
  <c r="J8" i="12"/>
  <c r="J10" i="12"/>
  <c r="AI22" i="12"/>
  <c r="BA36" i="12" l="1"/>
  <c r="BN36" i="12"/>
  <c r="CW36" i="12" s="1"/>
  <c r="DX36" i="12" s="1"/>
  <c r="AI10" i="12"/>
  <c r="AI17" i="12"/>
  <c r="AI14" i="12"/>
  <c r="AI20" i="12"/>
  <c r="AI11" i="12"/>
  <c r="AI35" i="12"/>
  <c r="BN35" i="12" s="1"/>
  <c r="AI25" i="12"/>
  <c r="AI8" i="12"/>
  <c r="AI13" i="12"/>
  <c r="AI26" i="12"/>
  <c r="AI16" i="12"/>
  <c r="DY36" i="12" l="1"/>
  <c r="AH12" i="12" l="1"/>
  <c r="AH18" i="12"/>
  <c r="AH19" i="12"/>
  <c r="AH21" i="12"/>
  <c r="AH23" i="12"/>
  <c r="AH27" i="12"/>
  <c r="AH29" i="12"/>
  <c r="AH17" i="12" l="1"/>
  <c r="AH13" i="12"/>
  <c r="DV56" i="12" l="1"/>
  <c r="I35" i="12"/>
  <c r="J9" i="12"/>
  <c r="J56" i="12" s="1"/>
  <c r="I26" i="12"/>
  <c r="AG12" i="12"/>
  <c r="AG15" i="12"/>
  <c r="AG17" i="12"/>
  <c r="AG18" i="12"/>
  <c r="AG19" i="12"/>
  <c r="AG21" i="12"/>
  <c r="AG23" i="12"/>
  <c r="AG24" i="12"/>
  <c r="AG27" i="12"/>
  <c r="I12" i="12"/>
  <c r="BL12" i="12" s="1"/>
  <c r="I13" i="12"/>
  <c r="I17" i="12"/>
  <c r="I18" i="12"/>
  <c r="I19" i="12"/>
  <c r="I21" i="12"/>
  <c r="BL21" i="12" s="1"/>
  <c r="I23" i="12"/>
  <c r="BL23" i="12" s="1"/>
  <c r="I24" i="12"/>
  <c r="I27" i="12"/>
  <c r="BL27" i="12" s="1"/>
  <c r="I29" i="12"/>
  <c r="H12" i="12"/>
  <c r="H15" i="12"/>
  <c r="H17" i="12"/>
  <c r="H18" i="12"/>
  <c r="H19" i="12"/>
  <c r="H21" i="12"/>
  <c r="H23" i="12"/>
  <c r="H24" i="12"/>
  <c r="H27" i="12"/>
  <c r="BJ21" i="12" l="1"/>
  <c r="BJ12" i="12"/>
  <c r="BJ27" i="12"/>
  <c r="BJ23" i="12"/>
  <c r="AB55" i="12"/>
  <c r="DW55" i="12" s="1"/>
  <c r="AH35" i="12"/>
  <c r="BL35" i="12" s="1"/>
  <c r="I11" i="12"/>
  <c r="I8" i="12"/>
  <c r="I22" i="12"/>
  <c r="I25" i="12"/>
  <c r="I9" i="12"/>
  <c r="I10" i="12"/>
  <c r="I20" i="12"/>
  <c r="I16" i="12"/>
  <c r="I15" i="12"/>
  <c r="I14" i="12"/>
  <c r="AH28" i="12"/>
  <c r="AH55" i="12" l="1"/>
  <c r="BL55" i="12" s="1"/>
  <c r="AH24" i="12"/>
  <c r="AH22" i="12"/>
  <c r="AI9" i="12"/>
  <c r="AI56" i="12" s="1"/>
  <c r="AH20" i="12"/>
  <c r="AH16" i="12"/>
  <c r="AH14" i="12"/>
  <c r="AH15" i="12"/>
  <c r="AH11" i="12"/>
  <c r="AH8" i="12"/>
  <c r="AH26" i="12"/>
  <c r="AH9" i="12"/>
  <c r="AH25" i="12"/>
  <c r="AH10" i="12"/>
  <c r="BA55" i="12" l="1"/>
  <c r="CW55" i="12"/>
  <c r="DX55" i="12" s="1"/>
  <c r="DY55" i="12" s="1"/>
  <c r="AH56" i="12"/>
  <c r="I28" i="12"/>
  <c r="I56" i="12" s="1"/>
  <c r="H22" i="12"/>
  <c r="H26" i="12" l="1"/>
  <c r="H20" i="12"/>
  <c r="H29" i="12" l="1"/>
  <c r="AG22" i="12"/>
  <c r="H21" i="17"/>
  <c r="AG29" i="12"/>
  <c r="H13" i="12"/>
  <c r="H16" i="12"/>
  <c r="H10" i="12"/>
  <c r="H11" i="12"/>
  <c r="H9" i="12"/>
  <c r="H8" i="12"/>
  <c r="AG20" i="12"/>
  <c r="AG10" i="12" l="1"/>
  <c r="AG11" i="12"/>
  <c r="AG13" i="12"/>
  <c r="AG8" i="12"/>
  <c r="AG9" i="12"/>
  <c r="AG26" i="12"/>
  <c r="AG16" i="12"/>
  <c r="H35" i="12" l="1"/>
  <c r="H25" i="12"/>
  <c r="H14" i="12" l="1"/>
  <c r="AG25" i="12" l="1"/>
  <c r="AG35" i="12" l="1"/>
  <c r="BJ35" i="12" s="1"/>
  <c r="AG14" i="12"/>
  <c r="AF11" i="12" l="1"/>
  <c r="AF17" i="12"/>
  <c r="AF19" i="12"/>
  <c r="AF21" i="12"/>
  <c r="AF22" i="12"/>
  <c r="AF23" i="12"/>
  <c r="AF24" i="12"/>
  <c r="AF27" i="12"/>
  <c r="AF29" i="12"/>
  <c r="G11" i="12"/>
  <c r="G17" i="12"/>
  <c r="G19" i="12"/>
  <c r="G21" i="12"/>
  <c r="G22" i="12"/>
  <c r="G23" i="12"/>
  <c r="G24" i="12"/>
  <c r="G27" i="12"/>
  <c r="G29" i="12"/>
  <c r="BH23" i="12" l="1"/>
  <c r="BH21" i="12"/>
  <c r="BH27" i="12"/>
  <c r="G18" i="12"/>
  <c r="AG28" i="12" l="1"/>
  <c r="AG56" i="12" s="1"/>
  <c r="G8" i="12" l="1"/>
  <c r="G9" i="12"/>
  <c r="G13" i="12"/>
  <c r="H28" i="12"/>
  <c r="AF18" i="12" l="1"/>
  <c r="AF9" i="12"/>
  <c r="AF8" i="12"/>
  <c r="AF13" i="12"/>
  <c r="G35" i="12" l="1"/>
  <c r="AB35" i="12" s="1"/>
  <c r="G20" i="12"/>
  <c r="R21" i="17"/>
  <c r="G15" i="12"/>
  <c r="G12" i="12"/>
  <c r="G26" i="12"/>
  <c r="DW35" i="12" l="1"/>
  <c r="T21" i="17"/>
  <c r="G14" i="12"/>
  <c r="AF15" i="12"/>
  <c r="G16" i="12"/>
  <c r="G10" i="12"/>
  <c r="G25" i="12"/>
  <c r="AF20" i="12" l="1"/>
  <c r="AF35" i="12"/>
  <c r="BH35" i="12" s="1"/>
  <c r="AF10" i="12"/>
  <c r="AF25" i="12"/>
  <c r="AF12" i="12"/>
  <c r="BH12" i="12" s="1"/>
  <c r="AF14" i="12"/>
  <c r="AF16" i="12"/>
  <c r="AF26" i="12"/>
  <c r="BA35" i="12" l="1"/>
  <c r="CW35" i="12"/>
  <c r="DX35" i="12" s="1"/>
  <c r="DY35" i="12" s="1"/>
  <c r="I12" i="19"/>
  <c r="C44" i="19" l="1"/>
  <c r="C43" i="19"/>
  <c r="C42" i="19"/>
  <c r="C41" i="19"/>
  <c r="C42" i="7"/>
  <c r="C41" i="7"/>
  <c r="J5" i="7" l="1"/>
  <c r="I12" i="7"/>
  <c r="C29" i="19"/>
  <c r="C27" i="19" l="1"/>
  <c r="C28" i="19"/>
  <c r="C28" i="12"/>
  <c r="AE17" i="12"/>
  <c r="AE19" i="12"/>
  <c r="AE20" i="12"/>
  <c r="AE21" i="12"/>
  <c r="AE22" i="12"/>
  <c r="AE23" i="12"/>
  <c r="AE24" i="12"/>
  <c r="AE27" i="12"/>
  <c r="F17" i="12"/>
  <c r="F19" i="12"/>
  <c r="F20" i="12"/>
  <c r="F21" i="12"/>
  <c r="F22" i="12"/>
  <c r="F23" i="12"/>
  <c r="F24" i="12"/>
  <c r="F27" i="12"/>
  <c r="AC29" i="12"/>
  <c r="AC11" i="12"/>
  <c r="AC12" i="12"/>
  <c r="AC17" i="12"/>
  <c r="AC19" i="12"/>
  <c r="AC20" i="12"/>
  <c r="AC21" i="12"/>
  <c r="AC22" i="12"/>
  <c r="AC23" i="12"/>
  <c r="AC24" i="12"/>
  <c r="AC27" i="12"/>
  <c r="AD29" i="12"/>
  <c r="AD12" i="12"/>
  <c r="BD12" i="12" s="1"/>
  <c r="AD17" i="12"/>
  <c r="AD18" i="12"/>
  <c r="AD19" i="12"/>
  <c r="AD20" i="12"/>
  <c r="AD21" i="12"/>
  <c r="BD21" i="12" s="1"/>
  <c r="AD23" i="12"/>
  <c r="BD23" i="12" s="1"/>
  <c r="AD24" i="12"/>
  <c r="AD27" i="12"/>
  <c r="BD27" i="12" s="1"/>
  <c r="H41" i="17"/>
  <c r="F41" i="17" s="1"/>
  <c r="BF23" i="12" l="1"/>
  <c r="BF27" i="12"/>
  <c r="BF21" i="12"/>
  <c r="BA24" i="12"/>
  <c r="BA19" i="12"/>
  <c r="BA23" i="12"/>
  <c r="BA17" i="12"/>
  <c r="BA27" i="12"/>
  <c r="BA21" i="12"/>
  <c r="BA20" i="12"/>
  <c r="AF28" i="12"/>
  <c r="AF56" i="12" s="1"/>
  <c r="G28" i="12" l="1"/>
  <c r="G56" i="12" s="1"/>
  <c r="F13" i="12" l="1"/>
  <c r="AE13" i="12" l="1"/>
  <c r="F29" i="12" l="1"/>
  <c r="F12" i="12"/>
  <c r="F18" i="12"/>
  <c r="F26" i="12"/>
  <c r="AE29" i="12" l="1"/>
  <c r="F8" i="12"/>
  <c r="F10" i="12"/>
  <c r="F25" i="12"/>
  <c r="F14" i="12"/>
  <c r="F11" i="12"/>
  <c r="F9" i="12"/>
  <c r="F15" i="12"/>
  <c r="F16" i="12"/>
  <c r="BA29" i="12" l="1"/>
  <c r="AE18" i="12"/>
  <c r="AE9" i="12"/>
  <c r="AE11" i="12"/>
  <c r="AE16" i="12"/>
  <c r="AE14" i="12"/>
  <c r="AE10" i="12"/>
  <c r="AE26" i="12"/>
  <c r="AE8" i="12"/>
  <c r="AE15" i="12"/>
  <c r="AE25" i="12"/>
  <c r="AE12" i="12" l="1"/>
  <c r="BA12" i="12" l="1"/>
  <c r="BF12" i="12"/>
  <c r="S22" i="17"/>
  <c r="S23" i="17"/>
  <c r="S24" i="17"/>
  <c r="S25" i="17"/>
  <c r="AE28" i="12" l="1"/>
  <c r="AE56" i="12" s="1"/>
  <c r="F28" i="12" l="1"/>
  <c r="F56" i="12" l="1"/>
  <c r="AD28" i="12" l="1"/>
  <c r="AD13" i="12" l="1"/>
  <c r="AD22" i="12" l="1"/>
  <c r="S13" i="17"/>
  <c r="AD16" i="12"/>
  <c r="AD9" i="12"/>
  <c r="AD26" i="12"/>
  <c r="AD8" i="12"/>
  <c r="BA22" i="12" l="1"/>
  <c r="AD15" i="12"/>
  <c r="AD10" i="12"/>
  <c r="AD25" i="12"/>
  <c r="AD11" i="12"/>
  <c r="BA11" i="12" l="1"/>
  <c r="C27" i="7"/>
  <c r="H25" i="17"/>
  <c r="H24" i="17"/>
  <c r="H23" i="17"/>
  <c r="H22" i="17"/>
  <c r="H16" i="17"/>
  <c r="H13" i="17"/>
  <c r="E56" i="12" l="1"/>
  <c r="C25" i="17"/>
  <c r="C29" i="12" s="1"/>
  <c r="C24" i="17"/>
  <c r="C24" i="12" s="1"/>
  <c r="C23" i="17"/>
  <c r="C19" i="12" s="1"/>
  <c r="C22" i="17"/>
  <c r="C17" i="12" s="1"/>
  <c r="C21" i="17"/>
  <c r="C19" i="17"/>
  <c r="C26" i="12" s="1"/>
  <c r="C18" i="17"/>
  <c r="C13" i="12" s="1"/>
  <c r="C17" i="17"/>
  <c r="C18" i="12" s="1"/>
  <c r="C16" i="17"/>
  <c r="C11" i="12" s="1"/>
  <c r="C15" i="17"/>
  <c r="C16" i="12" s="1"/>
  <c r="C14" i="17"/>
  <c r="C25" i="12" s="1"/>
  <c r="C13" i="17"/>
  <c r="C22" i="12" s="1"/>
  <c r="C12" i="17"/>
  <c r="C10" i="12" s="1"/>
  <c r="C11" i="17"/>
  <c r="C10" i="17"/>
  <c r="C9" i="12" s="1"/>
  <c r="C9" i="17"/>
  <c r="C8" i="17"/>
  <c r="T41" i="17"/>
  <c r="P41" i="17"/>
  <c r="R25" i="17"/>
  <c r="T25" i="17" s="1"/>
  <c r="R24" i="17"/>
  <c r="T24" i="17" s="1"/>
  <c r="R23" i="17"/>
  <c r="T23" i="17" s="1"/>
  <c r="R22" i="17"/>
  <c r="T22" i="17" s="1"/>
  <c r="R13" i="17"/>
  <c r="T13" i="17" s="1"/>
  <c r="BL25" i="12" l="1"/>
  <c r="BD25" i="12"/>
  <c r="BH25" i="12"/>
  <c r="BL16" i="12"/>
  <c r="BD16" i="12"/>
  <c r="BH16" i="12"/>
  <c r="BL17" i="12"/>
  <c r="BD17" i="12"/>
  <c r="BH17" i="12"/>
  <c r="BL9" i="12"/>
  <c r="BD9" i="12"/>
  <c r="BH9" i="12"/>
  <c r="BL11" i="12"/>
  <c r="BH11" i="12"/>
  <c r="BD11" i="12"/>
  <c r="BL19" i="12"/>
  <c r="BH19" i="12"/>
  <c r="BD19" i="12"/>
  <c r="BL18" i="12"/>
  <c r="BH18" i="12"/>
  <c r="BD18" i="12"/>
  <c r="BL24" i="12"/>
  <c r="BH24" i="12"/>
  <c r="BD24" i="12"/>
  <c r="BL10" i="12"/>
  <c r="BD10" i="12"/>
  <c r="BH10" i="12"/>
  <c r="BL13" i="12"/>
  <c r="BD13" i="12"/>
  <c r="BH13" i="12"/>
  <c r="BL29" i="12"/>
  <c r="BH29" i="12"/>
  <c r="BD29" i="12"/>
  <c r="BL22" i="12"/>
  <c r="BH22" i="12"/>
  <c r="BD22" i="12"/>
  <c r="BL26" i="12"/>
  <c r="BD26" i="12"/>
  <c r="BH26" i="12"/>
  <c r="C8" i="12"/>
  <c r="CQ8" i="12" s="1"/>
  <c r="E9" i="17"/>
  <c r="BN9" i="12"/>
  <c r="BP9" i="12"/>
  <c r="BN16" i="12"/>
  <c r="BP16" i="12"/>
  <c r="BP24" i="12"/>
  <c r="BN24" i="12"/>
  <c r="BN25" i="12"/>
  <c r="BP25" i="12"/>
  <c r="BN11" i="12"/>
  <c r="BP11" i="12"/>
  <c r="BN29" i="12"/>
  <c r="BP29" i="12"/>
  <c r="BP10" i="12"/>
  <c r="BN10" i="12"/>
  <c r="BP18" i="12"/>
  <c r="BN18" i="12"/>
  <c r="BP19" i="12"/>
  <c r="BN19" i="12"/>
  <c r="BN13" i="12"/>
  <c r="BP13" i="12"/>
  <c r="BP22" i="12"/>
  <c r="BN22" i="12"/>
  <c r="BN26" i="12"/>
  <c r="BP26" i="12"/>
  <c r="BP17" i="12"/>
  <c r="BN17" i="12"/>
  <c r="BJ25" i="12"/>
  <c r="BJ19" i="12"/>
  <c r="BJ11" i="12"/>
  <c r="BJ29" i="12"/>
  <c r="BJ9" i="12"/>
  <c r="BJ24" i="12"/>
  <c r="BJ10" i="12"/>
  <c r="BJ18" i="12"/>
  <c r="BJ16" i="12"/>
  <c r="BJ13" i="12"/>
  <c r="BJ22" i="12"/>
  <c r="BJ26" i="12"/>
  <c r="BJ17" i="12"/>
  <c r="BF17" i="12"/>
  <c r="BF19" i="12"/>
  <c r="BF26" i="12"/>
  <c r="BF25" i="12"/>
  <c r="BF9" i="12"/>
  <c r="BF16" i="12"/>
  <c r="BF24" i="12"/>
  <c r="BF11" i="12"/>
  <c r="BB29" i="12"/>
  <c r="BF29" i="12"/>
  <c r="BF22" i="12"/>
  <c r="BF10" i="12"/>
  <c r="BF18" i="12"/>
  <c r="BF13" i="12"/>
  <c r="CQ25" i="12"/>
  <c r="CS25" i="12"/>
  <c r="CU25" i="12"/>
  <c r="CO25" i="12"/>
  <c r="CS19" i="12"/>
  <c r="CU19" i="12"/>
  <c r="CO19" i="12"/>
  <c r="CQ19" i="12"/>
  <c r="CU10" i="12"/>
  <c r="CO10" i="12"/>
  <c r="CQ10" i="12"/>
  <c r="CS10" i="12"/>
  <c r="CS18" i="12"/>
  <c r="CU18" i="12"/>
  <c r="CO18" i="12"/>
  <c r="CQ18" i="12"/>
  <c r="CU11" i="12"/>
  <c r="CO11" i="12"/>
  <c r="CQ11" i="12"/>
  <c r="CS11" i="12"/>
  <c r="CQ29" i="12"/>
  <c r="CS29" i="12"/>
  <c r="CU29" i="12"/>
  <c r="CO29" i="12"/>
  <c r="CS13" i="12"/>
  <c r="CU13" i="12"/>
  <c r="CO13" i="12"/>
  <c r="CQ13" i="12"/>
  <c r="CO9" i="12"/>
  <c r="CQ9" i="12"/>
  <c r="CS9" i="12"/>
  <c r="CU9" i="12"/>
  <c r="CS16" i="12"/>
  <c r="CU16" i="12"/>
  <c r="CO16" i="12"/>
  <c r="CQ16" i="12"/>
  <c r="CS24" i="12"/>
  <c r="CU24" i="12"/>
  <c r="CO24" i="12"/>
  <c r="CQ24" i="12"/>
  <c r="CQ22" i="12"/>
  <c r="CS22" i="12"/>
  <c r="CU22" i="12"/>
  <c r="CO22" i="12"/>
  <c r="CQ26" i="12"/>
  <c r="CS26" i="12"/>
  <c r="CU26" i="12"/>
  <c r="CO26" i="12"/>
  <c r="CS17" i="12"/>
  <c r="CU17" i="12"/>
  <c r="CO17" i="12"/>
  <c r="CQ17" i="12"/>
  <c r="CM25" i="12"/>
  <c r="CM19" i="12"/>
  <c r="CM9" i="12"/>
  <c r="CM16" i="12"/>
  <c r="CM24" i="12"/>
  <c r="CM10" i="12"/>
  <c r="CM18" i="12"/>
  <c r="CM11" i="12"/>
  <c r="CM29" i="12"/>
  <c r="CM13" i="12"/>
  <c r="CM22" i="12"/>
  <c r="CM26" i="12"/>
  <c r="CM17" i="12"/>
  <c r="CK19" i="12"/>
  <c r="CI19" i="12"/>
  <c r="CK25" i="12"/>
  <c r="CI25" i="12"/>
  <c r="CK9" i="12"/>
  <c r="CI9" i="12"/>
  <c r="CK16" i="12"/>
  <c r="CI16" i="12"/>
  <c r="CI24" i="12"/>
  <c r="CK24" i="12"/>
  <c r="CK11" i="12"/>
  <c r="CI11" i="12"/>
  <c r="CI29" i="12"/>
  <c r="CK29" i="12"/>
  <c r="CK18" i="12"/>
  <c r="CI18" i="12"/>
  <c r="CK10" i="12"/>
  <c r="CI10" i="12"/>
  <c r="CK13" i="12"/>
  <c r="CI13" i="12"/>
  <c r="CI22" i="12"/>
  <c r="CK22" i="12"/>
  <c r="CK26" i="12"/>
  <c r="CI26" i="12"/>
  <c r="CK17" i="12"/>
  <c r="CI17" i="12"/>
  <c r="CG10" i="12"/>
  <c r="CG22" i="12"/>
  <c r="CG29" i="12"/>
  <c r="CG25" i="12"/>
  <c r="CG16" i="12"/>
  <c r="CG18" i="12"/>
  <c r="CG17" i="12"/>
  <c r="CG11" i="12"/>
  <c r="CG13" i="12"/>
  <c r="CG19" i="12"/>
  <c r="CG9" i="12"/>
  <c r="CG26" i="12"/>
  <c r="CG24" i="12"/>
  <c r="CC29" i="12"/>
  <c r="CE29" i="12" s="1"/>
  <c r="CC10" i="12"/>
  <c r="CE10" i="12" s="1"/>
  <c r="CC22" i="12"/>
  <c r="CE22" i="12" s="1"/>
  <c r="CC25" i="12"/>
  <c r="CC16" i="12"/>
  <c r="CE16" i="12" s="1"/>
  <c r="CC18" i="12"/>
  <c r="CC17" i="12"/>
  <c r="CE17" i="12" s="1"/>
  <c r="CC11" i="12"/>
  <c r="CE11" i="12" s="1"/>
  <c r="CC13" i="12"/>
  <c r="CE13" i="12" s="1"/>
  <c r="CC19" i="12"/>
  <c r="CE19" i="12" s="1"/>
  <c r="CC9" i="12"/>
  <c r="CC26" i="12"/>
  <c r="CE26" i="12" s="1"/>
  <c r="CC24" i="12"/>
  <c r="CE24" i="12" s="1"/>
  <c r="BY29" i="12"/>
  <c r="CA29" i="12" s="1"/>
  <c r="BY10" i="12"/>
  <c r="CA10" i="12" s="1"/>
  <c r="BY22" i="12"/>
  <c r="CA22" i="12" s="1"/>
  <c r="BY25" i="12"/>
  <c r="BY16" i="12"/>
  <c r="CA16" i="12" s="1"/>
  <c r="BY18" i="12"/>
  <c r="CA18" i="12" s="1"/>
  <c r="BY17" i="12"/>
  <c r="CA17" i="12" s="1"/>
  <c r="BY11" i="12"/>
  <c r="CA11" i="12" s="1"/>
  <c r="BY13" i="12"/>
  <c r="CA13" i="12" s="1"/>
  <c r="BY19" i="12"/>
  <c r="CA19" i="12" s="1"/>
  <c r="BY9" i="12"/>
  <c r="BY26" i="12"/>
  <c r="CA26" i="12" s="1"/>
  <c r="BY24" i="12"/>
  <c r="CA24" i="12" s="1"/>
  <c r="BR16" i="12"/>
  <c r="BT16" i="12" s="1"/>
  <c r="BU16" i="12"/>
  <c r="BW16" i="12" s="1"/>
  <c r="BR18" i="12"/>
  <c r="BT18" i="12" s="1"/>
  <c r="BU18" i="12"/>
  <c r="BW18" i="12" s="1"/>
  <c r="BU17" i="12"/>
  <c r="BW17" i="12" s="1"/>
  <c r="BU11" i="12"/>
  <c r="BW11" i="12" s="1"/>
  <c r="BR13" i="12"/>
  <c r="BT13" i="12" s="1"/>
  <c r="BU13" i="12"/>
  <c r="BW13" i="12" s="1"/>
  <c r="BU19" i="12"/>
  <c r="BW19" i="12" s="1"/>
  <c r="BR9" i="12"/>
  <c r="BT9" i="12" s="1"/>
  <c r="BU9" i="12"/>
  <c r="BR26" i="12"/>
  <c r="BT26" i="12" s="1"/>
  <c r="BU26" i="12"/>
  <c r="BW26" i="12" s="1"/>
  <c r="BU24" i="12"/>
  <c r="BW24" i="12" s="1"/>
  <c r="BU29" i="12"/>
  <c r="BW29" i="12" s="1"/>
  <c r="BR10" i="12"/>
  <c r="BT10" i="12" s="1"/>
  <c r="BU10" i="12"/>
  <c r="BW10" i="12" s="1"/>
  <c r="BU22" i="12"/>
  <c r="BW22" i="12" s="1"/>
  <c r="BR25" i="12"/>
  <c r="BT25" i="12" s="1"/>
  <c r="BU25" i="12"/>
  <c r="BR17" i="12"/>
  <c r="BT17" i="12" s="1"/>
  <c r="BR11" i="12"/>
  <c r="BT11" i="12" s="1"/>
  <c r="BR19" i="12"/>
  <c r="BT19" i="12" s="1"/>
  <c r="BR24" i="12"/>
  <c r="BT24" i="12" s="1"/>
  <c r="BR29" i="12"/>
  <c r="BT29" i="12" s="1"/>
  <c r="BR22" i="12"/>
  <c r="BT22" i="12" s="1"/>
  <c r="C20" i="12"/>
  <c r="U21" i="17"/>
  <c r="V21" i="17" s="1"/>
  <c r="C15" i="12"/>
  <c r="C14" i="12"/>
  <c r="AD14" i="12"/>
  <c r="W41" i="17"/>
  <c r="BZ8" i="12" l="1"/>
  <c r="CU8" i="12"/>
  <c r="BY8" i="12"/>
  <c r="CA8" i="12" s="1"/>
  <c r="CM8" i="12"/>
  <c r="CG8" i="12"/>
  <c r="CI8" i="12"/>
  <c r="CO8" i="12"/>
  <c r="BM8" i="12"/>
  <c r="BL15" i="12"/>
  <c r="BD15" i="12"/>
  <c r="BH15" i="12"/>
  <c r="BD8" i="12"/>
  <c r="BH8" i="12"/>
  <c r="BL14" i="12"/>
  <c r="BD14" i="12"/>
  <c r="BH14" i="12"/>
  <c r="BL20" i="12"/>
  <c r="BD20" i="12"/>
  <c r="BH20" i="12"/>
  <c r="BM14" i="12"/>
  <c r="BP8" i="12"/>
  <c r="BQ8" i="12"/>
  <c r="CS8" i="12"/>
  <c r="BL8" i="12"/>
  <c r="BU8" i="12"/>
  <c r="BW8" i="12" s="1"/>
  <c r="CK8" i="12"/>
  <c r="BR8" i="12"/>
  <c r="CC8" i="12"/>
  <c r="CE8" i="12" s="1"/>
  <c r="CW29" i="12"/>
  <c r="DX29" i="12" s="1"/>
  <c r="BI14" i="12"/>
  <c r="BN8" i="12"/>
  <c r="BF8" i="12"/>
  <c r="BJ8" i="12"/>
  <c r="BK8" i="12"/>
  <c r="BK14" i="12"/>
  <c r="BG8" i="12"/>
  <c r="CJ8" i="12"/>
  <c r="BV8" i="12"/>
  <c r="CH8" i="12"/>
  <c r="BV14" i="12"/>
  <c r="CT8" i="12"/>
  <c r="BS14" i="12"/>
  <c r="BZ14" i="12"/>
  <c r="CL8" i="12"/>
  <c r="CR8" i="12"/>
  <c r="BQ14" i="12"/>
  <c r="BS8" i="12"/>
  <c r="CD14" i="12"/>
  <c r="CV14" i="12"/>
  <c r="BO14" i="12"/>
  <c r="CD8" i="12"/>
  <c r="CN14" i="12"/>
  <c r="CT14" i="12"/>
  <c r="CH14" i="12"/>
  <c r="CJ14" i="12"/>
  <c r="CR14" i="12"/>
  <c r="CP8" i="12"/>
  <c r="BG14" i="12"/>
  <c r="CL14" i="12"/>
  <c r="CN8" i="12"/>
  <c r="CP14" i="12"/>
  <c r="CV8" i="12"/>
  <c r="BO8" i="12"/>
  <c r="CA25" i="12"/>
  <c r="CB8" i="12" s="1"/>
  <c r="CE25" i="12"/>
  <c r="CF8" i="12" s="1"/>
  <c r="BW9" i="12"/>
  <c r="BX14" i="12" s="1"/>
  <c r="CE9" i="12"/>
  <c r="BW25" i="12"/>
  <c r="BX8" i="12" s="1"/>
  <c r="CA9" i="12"/>
  <c r="CB14" i="12" s="1"/>
  <c r="BN20" i="12"/>
  <c r="BP20" i="12"/>
  <c r="BN14" i="12"/>
  <c r="BP14" i="12"/>
  <c r="BP15" i="12"/>
  <c r="BN15" i="12"/>
  <c r="BJ14" i="12"/>
  <c r="BJ20" i="12"/>
  <c r="BJ15" i="12"/>
  <c r="BF14" i="12"/>
  <c r="AD56" i="12"/>
  <c r="BF20" i="12"/>
  <c r="BF15" i="12"/>
  <c r="CU14" i="12"/>
  <c r="CO14" i="12"/>
  <c r="CQ14" i="12"/>
  <c r="CS14" i="12"/>
  <c r="CU15" i="12"/>
  <c r="CO15" i="12"/>
  <c r="CQ15" i="12"/>
  <c r="CS15" i="12"/>
  <c r="CS20" i="12"/>
  <c r="CU20" i="12"/>
  <c r="CO20" i="12"/>
  <c r="CQ20" i="12"/>
  <c r="CM14" i="12"/>
  <c r="CM15" i="12"/>
  <c r="CM20" i="12"/>
  <c r="CK14" i="12"/>
  <c r="CI14" i="12"/>
  <c r="CK15" i="12"/>
  <c r="CI15" i="12"/>
  <c r="CK20" i="12"/>
  <c r="CI20" i="12"/>
  <c r="CG14" i="12"/>
  <c r="CG15" i="12"/>
  <c r="CG20" i="12"/>
  <c r="CC20" i="12"/>
  <c r="CE20" i="12" s="1"/>
  <c r="CC14" i="12"/>
  <c r="CE14" i="12" s="1"/>
  <c r="CC15" i="12"/>
  <c r="CE15" i="12" s="1"/>
  <c r="BY20" i="12"/>
  <c r="CA20" i="12" s="1"/>
  <c r="BY14" i="12"/>
  <c r="CA14" i="12" s="1"/>
  <c r="BY15" i="12"/>
  <c r="CA15" i="12" s="1"/>
  <c r="BR14" i="12"/>
  <c r="BT14" i="12" s="1"/>
  <c r="BU14" i="12"/>
  <c r="BW14" i="12" s="1"/>
  <c r="BR15" i="12"/>
  <c r="BT15" i="12" s="1"/>
  <c r="BU15" i="12"/>
  <c r="BW15" i="12" s="1"/>
  <c r="BU20" i="12"/>
  <c r="BW20" i="12" s="1"/>
  <c r="BR20" i="12"/>
  <c r="BT20" i="12" s="1"/>
  <c r="W21" i="17"/>
  <c r="Y21" i="17"/>
  <c r="CB56" i="12" l="1"/>
  <c r="BI8" i="12"/>
  <c r="BI56" i="12" s="1"/>
  <c r="BH56" i="12"/>
  <c r="BQ56" i="12"/>
  <c r="BM56" i="12"/>
  <c r="BN56" i="12"/>
  <c r="BL56" i="12"/>
  <c r="BK56" i="12"/>
  <c r="BJ56" i="12"/>
  <c r="BF56" i="12"/>
  <c r="BG56" i="12"/>
  <c r="CS56" i="12"/>
  <c r="CT56" i="12"/>
  <c r="CU56" i="12"/>
  <c r="CO56" i="12"/>
  <c r="CQ56" i="12"/>
  <c r="CN56" i="12"/>
  <c r="CM56" i="12"/>
  <c r="CR56" i="12"/>
  <c r="CL56" i="12"/>
  <c r="CI56" i="12"/>
  <c r="CJ56" i="12"/>
  <c r="CK56" i="12"/>
  <c r="CG56" i="12"/>
  <c r="CC56" i="12"/>
  <c r="BY56" i="12"/>
  <c r="CA56" i="12"/>
  <c r="BW56" i="12"/>
  <c r="BP56" i="12"/>
  <c r="BR56" i="12"/>
  <c r="BO56" i="12" l="1"/>
  <c r="CP56" i="12"/>
  <c r="CH56" i="12"/>
  <c r="BZ56" i="12"/>
  <c r="CD56" i="12"/>
  <c r="BX56" i="12"/>
  <c r="BS56" i="12"/>
  <c r="J41" i="17" l="1"/>
  <c r="H56" i="12" l="1"/>
  <c r="U25" i="17"/>
  <c r="U24" i="17"/>
  <c r="U23" i="17"/>
  <c r="U22" i="17"/>
  <c r="R16" i="17"/>
  <c r="T16" i="17" s="1"/>
  <c r="U13" i="17"/>
  <c r="V25" i="17" l="1"/>
  <c r="W25" i="17" s="1"/>
  <c r="V22" i="17"/>
  <c r="W22" i="17" s="1"/>
  <c r="V23" i="17"/>
  <c r="W23" i="17" s="1"/>
  <c r="V13" i="17"/>
  <c r="Y13" i="17" s="1"/>
  <c r="V24" i="17"/>
  <c r="W24" i="17" s="1"/>
  <c r="U16" i="17"/>
  <c r="Y22" i="17" l="1"/>
  <c r="Y25" i="17"/>
  <c r="Y24" i="17"/>
  <c r="Y23" i="17"/>
  <c r="W13" i="17"/>
  <c r="V16" i="17"/>
  <c r="W16" i="17" l="1"/>
  <c r="Y16" i="17"/>
  <c r="AF3" i="4"/>
  <c r="AF4" i="4"/>
  <c r="L38" i="4"/>
  <c r="K38" i="4"/>
  <c r="K9" i="4"/>
  <c r="K15" i="4"/>
  <c r="B47" i="4"/>
  <c r="R18" i="17" l="1"/>
  <c r="U18" i="17" s="1"/>
  <c r="AC28" i="12" l="1"/>
  <c r="S18" i="17" l="1"/>
  <c r="V18" i="17" s="1"/>
  <c r="AC13" i="12"/>
  <c r="H18" i="17"/>
  <c r="BA13" i="12" l="1"/>
  <c r="T18" i="17"/>
  <c r="W18" i="17" l="1"/>
  <c r="Y18" i="17"/>
  <c r="R19" i="17"/>
  <c r="U19" i="17" s="1"/>
  <c r="V19" i="17" s="1"/>
  <c r="R9" i="17"/>
  <c r="U9" i="17" s="1"/>
  <c r="R17" i="17"/>
  <c r="U17" i="17" s="1"/>
  <c r="R14" i="17"/>
  <c r="U14" i="17" s="1"/>
  <c r="U12" i="17"/>
  <c r="V12" i="17" s="1"/>
  <c r="R10" i="17"/>
  <c r="U10" i="17" s="1"/>
  <c r="R15" i="17"/>
  <c r="U15" i="17" s="1"/>
  <c r="V15" i="17" s="1"/>
  <c r="J38" i="4"/>
  <c r="AB18" i="12"/>
  <c r="DW18" i="12" s="1"/>
  <c r="C38" i="4"/>
  <c r="V14" i="17" l="1"/>
  <c r="X9" i="17" s="1"/>
  <c r="AC18" i="12"/>
  <c r="AC16" i="12"/>
  <c r="AC10" i="12"/>
  <c r="S9" i="17"/>
  <c r="T15" i="17"/>
  <c r="T12" i="17"/>
  <c r="H14" i="17"/>
  <c r="H15" i="17"/>
  <c r="H17" i="17"/>
  <c r="H19" i="17"/>
  <c r="D38" i="4"/>
  <c r="Y14" i="17" l="1"/>
  <c r="BA10" i="12"/>
  <c r="BB10" i="12"/>
  <c r="CW10" i="12" s="1"/>
  <c r="DX10" i="12" s="1"/>
  <c r="BA16" i="12"/>
  <c r="BB18" i="12"/>
  <c r="T9" i="17"/>
  <c r="V9" i="17"/>
  <c r="AC9" i="12"/>
  <c r="AC25" i="12"/>
  <c r="AC8" i="12"/>
  <c r="AL8" i="12"/>
  <c r="BT8" i="12" s="1"/>
  <c r="T14" i="17"/>
  <c r="S10" i="17"/>
  <c r="V10" i="17" s="1"/>
  <c r="Y10" i="17" s="1"/>
  <c r="AC26" i="12"/>
  <c r="W12" i="17"/>
  <c r="Y15" i="17"/>
  <c r="B6" i="4"/>
  <c r="B38" i="4"/>
  <c r="I38" i="4" s="1"/>
  <c r="BA9" i="12" l="1"/>
  <c r="BA25" i="12"/>
  <c r="BA26" i="12"/>
  <c r="BA8" i="12"/>
  <c r="AL56" i="12"/>
  <c r="T10" i="17"/>
  <c r="W10" i="17"/>
  <c r="W14" i="17"/>
  <c r="R8" i="17"/>
  <c r="W19" i="17"/>
  <c r="W9" i="17"/>
  <c r="Y19" i="17"/>
  <c r="T19" i="17"/>
  <c r="W15" i="17"/>
  <c r="Y12" i="17"/>
  <c r="BT56" i="12" l="1"/>
  <c r="U8" i="17"/>
  <c r="M48" i="4"/>
  <c r="AB29" i="12" l="1"/>
  <c r="DW29" i="12" s="1"/>
  <c r="S8" i="17"/>
  <c r="V8" i="17" s="1"/>
  <c r="T8" i="17" l="1"/>
  <c r="AC14" i="12"/>
  <c r="J37" i="4"/>
  <c r="K37" i="4"/>
  <c r="BA14" i="12" l="1"/>
  <c r="DY29" i="12"/>
  <c r="W8" i="17"/>
  <c r="L37" i="4"/>
  <c r="C37" i="4"/>
  <c r="D37" i="4"/>
  <c r="B37" i="4" l="1"/>
  <c r="I37" i="4" s="1"/>
  <c r="D46" i="4" l="1"/>
  <c r="D45" i="4"/>
  <c r="D44" i="4"/>
  <c r="D43" i="4"/>
  <c r="D41" i="4"/>
  <c r="D39" i="4"/>
  <c r="D36" i="4"/>
  <c r="D34" i="4"/>
  <c r="D31" i="4"/>
  <c r="D30" i="4"/>
  <c r="D29" i="4"/>
  <c r="D28" i="4"/>
  <c r="D24" i="4"/>
  <c r="D23" i="4"/>
  <c r="D21" i="4"/>
  <c r="D20" i="4"/>
  <c r="D19" i="4"/>
  <c r="D18" i="4"/>
  <c r="D17" i="4"/>
  <c r="D16" i="4"/>
  <c r="D14" i="4"/>
  <c r="D13" i="4"/>
  <c r="D12" i="4"/>
  <c r="D8" i="4"/>
  <c r="D40" i="4" l="1"/>
  <c r="C25" i="4" l="1"/>
  <c r="D25" i="4"/>
  <c r="D33" i="4"/>
  <c r="D9" i="4"/>
  <c r="D32" i="4" l="1"/>
  <c r="D7" i="4" l="1"/>
  <c r="D11" i="4" l="1"/>
  <c r="D26" i="4"/>
  <c r="D22" i="4"/>
  <c r="D15" i="4" l="1"/>
  <c r="D35" i="4"/>
  <c r="C6" i="4"/>
  <c r="D6" i="4"/>
  <c r="D27" i="4" l="1"/>
  <c r="D42" i="4"/>
  <c r="K12" i="4" l="1"/>
  <c r="J12" i="4"/>
  <c r="C12" i="4"/>
  <c r="L12" i="4"/>
  <c r="B12" i="4" l="1"/>
  <c r="I12" i="4" l="1"/>
  <c r="R11" i="17" l="1"/>
  <c r="U11" i="17" l="1"/>
  <c r="AC15" i="12" l="1"/>
  <c r="BD56" i="12" s="1"/>
  <c r="S11" i="17"/>
  <c r="D10" i="4"/>
  <c r="D49" i="4" s="1"/>
  <c r="BA15" i="12" l="1"/>
  <c r="T11" i="17"/>
  <c r="V11" i="17"/>
  <c r="W11" i="17" s="1"/>
  <c r="AC56" i="12"/>
  <c r="Y11" i="17" l="1"/>
  <c r="L6" i="4" l="1"/>
  <c r="K23" i="4" l="1"/>
  <c r="BB25" i="12" l="1"/>
  <c r="BB26" i="12"/>
  <c r="CW26" i="12" s="1"/>
  <c r="DX26" i="12" s="1"/>
  <c r="CW25" i="12" l="1"/>
  <c r="DX25" i="12" s="1"/>
  <c r="K40" i="4"/>
  <c r="J40" i="4" l="1"/>
  <c r="AB26" i="12"/>
  <c r="DW26" i="12" s="1"/>
  <c r="L40" i="4" l="1"/>
  <c r="C40" i="4"/>
  <c r="B40" i="4" l="1"/>
  <c r="I40" i="4" s="1"/>
  <c r="B48" i="4" l="1"/>
  <c r="K7" i="4" l="1"/>
  <c r="K42" i="4"/>
  <c r="L7" i="4" l="1"/>
  <c r="J42" i="4"/>
  <c r="AB25" i="12"/>
  <c r="DW25" i="12" s="1"/>
  <c r="L42" i="4" l="1"/>
  <c r="C42" i="4"/>
  <c r="J47" i="4"/>
  <c r="B42" i="4" l="1"/>
  <c r="I42" i="4" s="1"/>
  <c r="BB19" i="12" l="1"/>
  <c r="CW19" i="12" s="1"/>
  <c r="DX19" i="12" s="1"/>
  <c r="E49" i="4"/>
  <c r="AB19" i="12" l="1"/>
  <c r="DW19" i="12" s="1"/>
  <c r="K39" i="4"/>
  <c r="J39" i="4"/>
  <c r="K41" i="4"/>
  <c r="J41" i="4"/>
  <c r="L41" i="4" l="1"/>
  <c r="C41" i="4"/>
  <c r="C39" i="4"/>
  <c r="L39" i="4"/>
  <c r="B41" i="4" l="1"/>
  <c r="I41" i="4" s="1"/>
  <c r="B39" i="4"/>
  <c r="I39" i="4" s="1"/>
  <c r="L9" i="4" l="1"/>
  <c r="L11" i="4" l="1"/>
  <c r="W110" i="11" l="1"/>
  <c r="W112" i="11"/>
  <c r="W113" i="11"/>
  <c r="W119" i="11"/>
  <c r="W123" i="11"/>
  <c r="W125" i="11"/>
  <c r="W130" i="11"/>
  <c r="W131" i="11"/>
  <c r="W133" i="11"/>
  <c r="W134" i="11"/>
  <c r="W136" i="11"/>
  <c r="W137" i="11"/>
  <c r="W141" i="11"/>
  <c r="W143" i="11"/>
  <c r="AF5" i="4"/>
  <c r="K6" i="4" l="1"/>
  <c r="W142" i="11"/>
  <c r="W124" i="11"/>
  <c r="W118" i="11"/>
  <c r="W135" i="11"/>
  <c r="W129" i="11"/>
  <c r="W117" i="11"/>
  <c r="W111" i="11"/>
  <c r="W140" i="11"/>
  <c r="W128" i="11"/>
  <c r="W122" i="11"/>
  <c r="W116" i="11"/>
  <c r="W139" i="11"/>
  <c r="W127" i="11"/>
  <c r="W121" i="11"/>
  <c r="W115" i="11"/>
  <c r="W138" i="11"/>
  <c r="W132" i="11"/>
  <c r="W126" i="11"/>
  <c r="W120" i="11"/>
  <c r="W114" i="11"/>
  <c r="W218" i="11" l="1"/>
  <c r="K35" i="4"/>
  <c r="L35" i="4"/>
  <c r="BB12" i="12"/>
  <c r="CW12" i="12" s="1"/>
  <c r="DX12" i="12" s="1"/>
  <c r="K47" i="4" l="1"/>
  <c r="I47" i="4" l="1"/>
  <c r="L48" i="4"/>
  <c r="J48" i="4" l="1"/>
  <c r="AB12" i="12" l="1"/>
  <c r="DW12" i="12" s="1"/>
  <c r="C60" i="13"/>
  <c r="B60" i="13"/>
  <c r="C39" i="13"/>
  <c r="B39" i="13"/>
  <c r="C19" i="13"/>
  <c r="B19" i="13"/>
  <c r="D60" i="13" l="1"/>
  <c r="C61" i="13" s="1"/>
  <c r="D39" i="13"/>
  <c r="C40" i="13" s="1"/>
  <c r="D19" i="13"/>
  <c r="C20" i="13" s="1"/>
  <c r="J21" i="4" l="1"/>
  <c r="J23" i="4"/>
  <c r="L23" i="4"/>
  <c r="C23" i="4"/>
  <c r="B23" i="4" l="1"/>
  <c r="I23" i="4" s="1"/>
  <c r="C27" i="4"/>
  <c r="Q49" i="4" l="1"/>
  <c r="B21" i="4"/>
  <c r="C21" i="4"/>
  <c r="K21" i="4"/>
  <c r="L21" i="4"/>
  <c r="BB11" i="12" l="1"/>
  <c r="BE8" i="12" s="1"/>
  <c r="CW11" i="12" l="1"/>
  <c r="DX11" i="12" s="1"/>
  <c r="BC8" i="12"/>
  <c r="K18" i="4"/>
  <c r="L18" i="4" l="1"/>
  <c r="J18" i="4" l="1"/>
  <c r="AB11" i="12"/>
  <c r="DW11" i="12" s="1"/>
  <c r="BB24" i="12"/>
  <c r="CW24" i="12" s="1"/>
  <c r="DX24" i="12" s="1"/>
  <c r="BB23" i="12"/>
  <c r="CW23" i="12" s="1"/>
  <c r="DX23" i="12" s="1"/>
  <c r="BB21" i="12"/>
  <c r="CW21" i="12" s="1"/>
  <c r="DX21" i="12" s="1"/>
  <c r="AB17" i="12" l="1"/>
  <c r="DW17" i="12" s="1"/>
  <c r="BB17" i="12"/>
  <c r="CW17" i="12" s="1"/>
  <c r="DX17" i="12" s="1"/>
  <c r="B18" i="4"/>
  <c r="I18" i="4" s="1"/>
  <c r="C18" i="4"/>
  <c r="L46" i="4" l="1"/>
  <c r="L44" i="4"/>
  <c r="L43" i="4"/>
  <c r="L36" i="4"/>
  <c r="L34" i="4"/>
  <c r="L30" i="4"/>
  <c r="L28" i="4"/>
  <c r="L22" i="4"/>
  <c r="L8" i="4"/>
  <c r="C24" i="4"/>
  <c r="C22" i="4"/>
  <c r="C17" i="4"/>
  <c r="C8" i="4"/>
  <c r="J10" i="4" l="1"/>
  <c r="J20" i="4"/>
  <c r="J19" i="4"/>
  <c r="K20" i="4"/>
  <c r="K19" i="4"/>
  <c r="C10" i="4"/>
  <c r="L45" i="4"/>
  <c r="C14" i="4"/>
  <c r="L14" i="4"/>
  <c r="C11" i="4"/>
  <c r="C16" i="4"/>
  <c r="L16" i="4"/>
  <c r="C9" i="4"/>
  <c r="C19" i="4"/>
  <c r="L19" i="4"/>
  <c r="C15" i="4"/>
  <c r="L13" i="4"/>
  <c r="C13" i="4"/>
  <c r="C20" i="4"/>
  <c r="L20" i="4"/>
  <c r="B20" i="4" l="1"/>
  <c r="I20" i="4" s="1"/>
  <c r="B19" i="4" l="1"/>
  <c r="I19" i="4" s="1"/>
  <c r="B15" i="4"/>
  <c r="I15" i="4" s="1"/>
  <c r="J17" i="4" l="1"/>
  <c r="K17" i="4" l="1"/>
  <c r="L10" i="4"/>
  <c r="L32" i="4"/>
  <c r="L17" i="4"/>
  <c r="L24" i="4"/>
  <c r="L26" i="4"/>
  <c r="L15" i="4"/>
  <c r="L29" i="4"/>
  <c r="L27" i="4"/>
  <c r="L31" i="4"/>
  <c r="L25" i="4"/>
  <c r="L33" i="4"/>
  <c r="B17" i="4" l="1"/>
  <c r="I17" i="4" s="1"/>
  <c r="J8" i="4" l="1"/>
  <c r="K8" i="4"/>
  <c r="J14" i="4"/>
  <c r="K14" i="4"/>
  <c r="J22" i="4"/>
  <c r="J30" i="4"/>
  <c r="K30" i="4"/>
  <c r="J36" i="4"/>
  <c r="J44" i="4"/>
  <c r="K44" i="4"/>
  <c r="J46" i="4"/>
  <c r="K46" i="4"/>
  <c r="B8" i="4"/>
  <c r="I8" i="4" s="1"/>
  <c r="B14" i="4"/>
  <c r="I14" i="4" s="1"/>
  <c r="B22" i="4"/>
  <c r="I22" i="4" s="1"/>
  <c r="J32" i="4" l="1"/>
  <c r="I48" i="4" l="1"/>
  <c r="O48" i="4" s="1"/>
  <c r="P48" i="4" s="1"/>
  <c r="J29" i="4" l="1"/>
  <c r="J35" i="4"/>
  <c r="J31" i="4"/>
  <c r="J11" i="4"/>
  <c r="K11" i="4"/>
  <c r="J7" i="4"/>
  <c r="J24" i="4"/>
  <c r="J33" i="4"/>
  <c r="K43" i="4"/>
  <c r="J43" i="4"/>
  <c r="J9" i="4"/>
  <c r="J25" i="4"/>
  <c r="J27" i="4"/>
  <c r="J26" i="4"/>
  <c r="J28" i="4" l="1"/>
  <c r="J34" i="4"/>
  <c r="J13" i="4"/>
  <c r="J16" i="4"/>
  <c r="J45" i="4"/>
  <c r="AB24" i="12"/>
  <c r="DW24" i="12" s="1"/>
  <c r="J15" i="4"/>
  <c r="B7" i="4" l="1"/>
  <c r="B24" i="4"/>
  <c r="I24" i="4" s="1"/>
  <c r="B10" i="4"/>
  <c r="I10" i="4" s="1"/>
  <c r="B16" i="4"/>
  <c r="I16" i="4" s="1"/>
  <c r="B9" i="4"/>
  <c r="I9" i="4" s="1"/>
  <c r="B25" i="4"/>
  <c r="B11" i="4"/>
  <c r="I11" i="4" s="1"/>
  <c r="B13" i="4"/>
  <c r="I13" i="4" s="1"/>
  <c r="I7" i="4" l="1"/>
  <c r="K33" i="4" l="1"/>
  <c r="K32" i="4" l="1"/>
  <c r="K36" i="4"/>
  <c r="K31" i="4"/>
  <c r="K34" i="4"/>
  <c r="K29" i="4"/>
  <c r="K26" i="4"/>
  <c r="K16" i="4"/>
  <c r="K24" i="4"/>
  <c r="K45" i="4"/>
  <c r="K22" i="4"/>
  <c r="K10" i="4"/>
  <c r="K25" i="4" l="1"/>
  <c r="K27" i="4"/>
  <c r="C36" i="4"/>
  <c r="B36" i="4" l="1"/>
  <c r="I36" i="4" l="1"/>
  <c r="K28" i="4" l="1"/>
  <c r="K13" i="4"/>
  <c r="K49" i="4" l="1"/>
  <c r="AA6" i="4" l="1"/>
  <c r="AB6" i="4"/>
  <c r="AC7" i="4"/>
  <c r="AF7" i="4"/>
  <c r="AB23" i="12" l="1"/>
  <c r="DW23" i="12" s="1"/>
  <c r="B35" i="4" l="1"/>
  <c r="J6" i="4" l="1"/>
  <c r="J49" i="4" s="1"/>
  <c r="AB10" i="12" l="1"/>
  <c r="DW10" i="12" s="1"/>
  <c r="G11" i="3" l="1"/>
  <c r="G10" i="3"/>
  <c r="G9" i="3"/>
  <c r="G8" i="3"/>
  <c r="G7" i="3"/>
  <c r="G6" i="3"/>
  <c r="G5" i="3"/>
  <c r="G4" i="3"/>
  <c r="G3" i="3"/>
  <c r="G2" i="3"/>
  <c r="C50" i="8"/>
  <c r="D34" i="8"/>
  <c r="C20" i="8"/>
  <c r="C15" i="8"/>
  <c r="C13" i="8"/>
  <c r="C9" i="8"/>
  <c r="C29" i="7"/>
  <c r="C46" i="4"/>
  <c r="B46" i="4"/>
  <c r="C44" i="4"/>
  <c r="B44" i="4"/>
  <c r="C30" i="4"/>
  <c r="B30" i="4"/>
  <c r="I30" i="4" s="1"/>
  <c r="AF8" i="4"/>
  <c r="AD11" i="4" s="1"/>
  <c r="AC8" i="4"/>
  <c r="AF6" i="4"/>
  <c r="AC6" i="4"/>
  <c r="AA5" i="4"/>
  <c r="AC5" i="4"/>
  <c r="N38" i="4" l="1"/>
  <c r="N37" i="4"/>
  <c r="O37" i="4" s="1"/>
  <c r="N9" i="4"/>
  <c r="M9" i="4" s="1"/>
  <c r="N6" i="4"/>
  <c r="M6" i="4" s="1"/>
  <c r="N12" i="4"/>
  <c r="M12" i="4" s="1"/>
  <c r="N42" i="4"/>
  <c r="M42" i="4" s="1"/>
  <c r="N40" i="4"/>
  <c r="M40" i="4" s="1"/>
  <c r="N41" i="4"/>
  <c r="M41" i="4" s="1"/>
  <c r="N39" i="4"/>
  <c r="M39" i="4" s="1"/>
  <c r="N35" i="4"/>
  <c r="N23" i="4"/>
  <c r="M23" i="4" s="1"/>
  <c r="N21" i="4"/>
  <c r="M21" i="4" s="1"/>
  <c r="N18" i="4"/>
  <c r="M18" i="4" s="1"/>
  <c r="N20" i="4"/>
  <c r="M20" i="4" s="1"/>
  <c r="N19" i="4"/>
  <c r="M19" i="4" s="1"/>
  <c r="N17" i="4"/>
  <c r="M17" i="4" s="1"/>
  <c r="N47" i="4"/>
  <c r="M47" i="4" s="1"/>
  <c r="N46" i="4"/>
  <c r="M46" i="4" s="1"/>
  <c r="N14" i="4"/>
  <c r="M14" i="4" s="1"/>
  <c r="N8" i="4"/>
  <c r="M8" i="4" s="1"/>
  <c r="N30" i="4"/>
  <c r="M30" i="4" s="1"/>
  <c r="N44" i="4"/>
  <c r="N43" i="4"/>
  <c r="M43" i="4" s="1"/>
  <c r="N11" i="4"/>
  <c r="M11" i="4" s="1"/>
  <c r="N33" i="4"/>
  <c r="M33" i="4" s="1"/>
  <c r="N10" i="4"/>
  <c r="N26" i="4"/>
  <c r="M26" i="4" s="1"/>
  <c r="N31" i="4"/>
  <c r="M31" i="4" s="1"/>
  <c r="N45" i="4"/>
  <c r="M45" i="4" s="1"/>
  <c r="N29" i="4"/>
  <c r="M29" i="4" s="1"/>
  <c r="N34" i="4"/>
  <c r="M34" i="4" s="1"/>
  <c r="N36" i="4"/>
  <c r="M36" i="4" s="1"/>
  <c r="N24" i="4"/>
  <c r="M24" i="4" s="1"/>
  <c r="N15" i="4"/>
  <c r="N7" i="4"/>
  <c r="M7" i="4" s="1"/>
  <c r="N22" i="4"/>
  <c r="M22" i="4" s="1"/>
  <c r="N32" i="4"/>
  <c r="M32" i="4" s="1"/>
  <c r="N16" i="4"/>
  <c r="M16" i="4" s="1"/>
  <c r="N25" i="4"/>
  <c r="N27" i="4"/>
  <c r="N13" i="4"/>
  <c r="M13" i="4" s="1"/>
  <c r="N28" i="4"/>
  <c r="M28" i="4" s="1"/>
  <c r="I44" i="4"/>
  <c r="I46" i="4"/>
  <c r="AG7" i="4"/>
  <c r="AG8" i="4"/>
  <c r="C28" i="7"/>
  <c r="AG5" i="4"/>
  <c r="AG6" i="4"/>
  <c r="M37" i="4" l="1"/>
  <c r="M38" i="4"/>
  <c r="O38" i="4"/>
  <c r="M10" i="4"/>
  <c r="R37" i="4"/>
  <c r="S37" i="4" s="1"/>
  <c r="M44" i="4"/>
  <c r="O24" i="4"/>
  <c r="O18" i="4"/>
  <c r="O39" i="4"/>
  <c r="O22" i="4"/>
  <c r="R22" i="4" s="1"/>
  <c r="S22" i="4" s="1"/>
  <c r="O36" i="4"/>
  <c r="O11" i="4"/>
  <c r="O8" i="4"/>
  <c r="O17" i="4"/>
  <c r="R17" i="4" s="1"/>
  <c r="S17" i="4" s="1"/>
  <c r="O41" i="4"/>
  <c r="O40" i="4"/>
  <c r="O7" i="4"/>
  <c r="O14" i="4"/>
  <c r="O19" i="4"/>
  <c r="O42" i="4"/>
  <c r="O16" i="4"/>
  <c r="O10" i="4"/>
  <c r="O20" i="4"/>
  <c r="O47" i="4"/>
  <c r="O12" i="4"/>
  <c r="O13" i="4"/>
  <c r="O44" i="4"/>
  <c r="O30" i="4"/>
  <c r="R30" i="4" s="1"/>
  <c r="S30" i="4" s="1"/>
  <c r="O46" i="4"/>
  <c r="R46" i="4" s="1"/>
  <c r="S46" i="4" s="1"/>
  <c r="O23" i="4"/>
  <c r="C31" i="4"/>
  <c r="C45" i="4"/>
  <c r="BB16" i="12"/>
  <c r="CW16" i="12" s="1"/>
  <c r="DX16" i="12" s="1"/>
  <c r="BB20" i="12"/>
  <c r="CW20" i="12" s="1"/>
  <c r="DX20" i="12" s="1"/>
  <c r="BB22" i="12"/>
  <c r="CW22" i="12" s="1"/>
  <c r="DX22" i="12" s="1"/>
  <c r="BB13" i="12"/>
  <c r="CW13" i="12" s="1"/>
  <c r="DX13" i="12" s="1"/>
  <c r="BB14" i="12"/>
  <c r="BB9" i="12"/>
  <c r="BB15" i="12"/>
  <c r="CW15" i="12" s="1"/>
  <c r="DX15" i="12" s="1"/>
  <c r="C28" i="4"/>
  <c r="C43" i="4"/>
  <c r="AB21" i="12"/>
  <c r="DW21" i="12" s="1"/>
  <c r="C29" i="4"/>
  <c r="BE14" i="12" l="1"/>
  <c r="BE56" i="12" s="1"/>
  <c r="BC14" i="12"/>
  <c r="CW9" i="12"/>
  <c r="DX9" i="12" s="1"/>
  <c r="BB8" i="12"/>
  <c r="DY25" i="12"/>
  <c r="R38" i="4"/>
  <c r="P7" i="4"/>
  <c r="R44" i="4"/>
  <c r="S44" i="4" s="1"/>
  <c r="R12" i="4"/>
  <c r="S12" i="4" s="1"/>
  <c r="R8" i="4"/>
  <c r="S8" i="4" s="1"/>
  <c r="P10" i="4"/>
  <c r="P16" i="4"/>
  <c r="R42" i="4"/>
  <c r="S42" i="4" s="1"/>
  <c r="R19" i="4"/>
  <c r="S19" i="4" s="1"/>
  <c r="R20" i="4"/>
  <c r="S20" i="4" s="1"/>
  <c r="R23" i="4"/>
  <c r="S23" i="4" s="1"/>
  <c r="AB15" i="12"/>
  <c r="DW15" i="12" s="1"/>
  <c r="AB22" i="12"/>
  <c r="DW22" i="12" s="1"/>
  <c r="AB9" i="12"/>
  <c r="DW9" i="12" s="1"/>
  <c r="AB20" i="12"/>
  <c r="DW20" i="12" s="1"/>
  <c r="AB8" i="12"/>
  <c r="DW8" i="12" s="1"/>
  <c r="AB14" i="12"/>
  <c r="DW14" i="12" s="1"/>
  <c r="AB13" i="12"/>
  <c r="DW13" i="12" s="1"/>
  <c r="AB16" i="12"/>
  <c r="DW16" i="12" s="1"/>
  <c r="R36" i="4"/>
  <c r="S36" i="4" s="1"/>
  <c r="R41" i="4"/>
  <c r="S41" i="4" s="1"/>
  <c r="BB27" i="12"/>
  <c r="CW27" i="12" s="1"/>
  <c r="DX27" i="12" s="1"/>
  <c r="B28" i="4"/>
  <c r="K4" i="11"/>
  <c r="C35" i="4"/>
  <c r="B34" i="4"/>
  <c r="C34" i="4"/>
  <c r="B26" i="4"/>
  <c r="B33" i="4"/>
  <c r="C33" i="4"/>
  <c r="B31" i="4"/>
  <c r="B27" i="4"/>
  <c r="B43" i="4"/>
  <c r="B45" i="4"/>
  <c r="B29" i="4"/>
  <c r="C7" i="4"/>
  <c r="C32" i="4"/>
  <c r="B32" i="4"/>
  <c r="C26" i="4"/>
  <c r="CW8" i="12" l="1"/>
  <c r="BB56" i="12"/>
  <c r="DY17" i="12"/>
  <c r="DY19" i="12"/>
  <c r="DY12" i="12"/>
  <c r="AB27" i="12"/>
  <c r="DW27" i="12" s="1"/>
  <c r="J50" i="4"/>
  <c r="M15" i="4"/>
  <c r="M27" i="4"/>
  <c r="F25" i="4"/>
  <c r="I32" i="4"/>
  <c r="O32" i="4" s="1"/>
  <c r="I27" i="4"/>
  <c r="I33" i="4"/>
  <c r="O33" i="4" s="1"/>
  <c r="I29" i="4"/>
  <c r="O29" i="4" s="1"/>
  <c r="I28" i="4"/>
  <c r="O28" i="4" s="1"/>
  <c r="R39" i="4"/>
  <c r="S39" i="4" s="1"/>
  <c r="R40" i="4"/>
  <c r="S40" i="4" s="1"/>
  <c r="B49" i="4"/>
  <c r="C49" i="4"/>
  <c r="I21" i="4"/>
  <c r="O21" i="4" s="1"/>
  <c r="I31" i="4"/>
  <c r="O31" i="4" s="1"/>
  <c r="I45" i="4"/>
  <c r="O45" i="4" s="1"/>
  <c r="I26" i="4"/>
  <c r="O26" i="4" s="1"/>
  <c r="I43" i="4"/>
  <c r="O43" i="4" s="1"/>
  <c r="I34" i="4"/>
  <c r="O34" i="4" s="1"/>
  <c r="I6" i="4"/>
  <c r="R4" i="11"/>
  <c r="N4" i="11"/>
  <c r="O4" i="11" s="1"/>
  <c r="L49" i="4"/>
  <c r="BC56" i="12" l="1"/>
  <c r="DX8" i="12"/>
  <c r="DY26" i="12"/>
  <c r="I25" i="4"/>
  <c r="M25" i="4"/>
  <c r="M35" i="4"/>
  <c r="O9" i="4"/>
  <c r="O27" i="4"/>
  <c r="O15" i="4"/>
  <c r="P15" i="4" s="1"/>
  <c r="P21" i="4"/>
  <c r="F35" i="4"/>
  <c r="R28" i="4"/>
  <c r="S28" i="4" s="1"/>
  <c r="G49" i="4"/>
  <c r="H49" i="4"/>
  <c r="DY8" i="12" l="1"/>
  <c r="DY27" i="12"/>
  <c r="DY24" i="12"/>
  <c r="DY23" i="12"/>
  <c r="O25" i="4"/>
  <c r="P27" i="4"/>
  <c r="R15" i="4"/>
  <c r="R43" i="4"/>
  <c r="S43" i="4" s="1"/>
  <c r="R34" i="4"/>
  <c r="S34" i="4" s="1"/>
  <c r="R31" i="4"/>
  <c r="S31" i="4" s="1"/>
  <c r="I35" i="4"/>
  <c r="O35" i="4" s="1"/>
  <c r="F49" i="4"/>
  <c r="CV56" i="12" l="1"/>
  <c r="I49" i="4"/>
  <c r="C17" i="8" l="1"/>
  <c r="R24" i="4" l="1"/>
  <c r="S24" i="4" s="1"/>
  <c r="R14" i="4"/>
  <c r="S14" i="4" s="1"/>
  <c r="R18" i="4"/>
  <c r="S18" i="4" s="1"/>
  <c r="R47" i="4"/>
  <c r="T47" i="4" s="1"/>
  <c r="DY11" i="12" l="1"/>
  <c r="DY20" i="12"/>
  <c r="R27" i="4"/>
  <c r="T27" i="4" s="1"/>
  <c r="R33" i="4"/>
  <c r="S33" i="4" s="1"/>
  <c r="R21" i="4"/>
  <c r="S21" i="4" s="1"/>
  <c r="R29" i="4"/>
  <c r="S29" i="4" s="1"/>
  <c r="S15" i="4"/>
  <c r="R32" i="4"/>
  <c r="T32" i="4" s="1"/>
  <c r="R45" i="4"/>
  <c r="S45" i="4" s="1"/>
  <c r="R11" i="4"/>
  <c r="T11" i="4" s="1"/>
  <c r="R16" i="4"/>
  <c r="S16" i="4" s="1"/>
  <c r="DY21" i="12"/>
  <c r="R26" i="4"/>
  <c r="S26" i="4" s="1"/>
  <c r="R13" i="4"/>
  <c r="S13" i="4" s="1"/>
  <c r="R25" i="4"/>
  <c r="T25" i="4" s="1"/>
  <c r="R48" i="4"/>
  <c r="S48" i="4" s="1"/>
  <c r="DY15" i="12" l="1"/>
  <c r="DY22" i="12"/>
  <c r="DY10" i="12"/>
  <c r="DY13" i="12"/>
  <c r="DY9" i="12"/>
  <c r="DY16" i="12"/>
  <c r="R9" i="4"/>
  <c r="AB3" i="4" s="1"/>
  <c r="R10" i="4"/>
  <c r="S10" i="4" s="1"/>
  <c r="S49" i="4" s="1"/>
  <c r="R7" i="4"/>
  <c r="R35" i="4"/>
  <c r="T35" i="4" s="1"/>
  <c r="T7" i="4" l="1"/>
  <c r="T9" i="4"/>
  <c r="P49" i="4"/>
  <c r="O6" i="4" l="1"/>
  <c r="R6" i="4" s="1"/>
  <c r="R49" i="4" s="1"/>
  <c r="R51" i="4" s="1"/>
  <c r="M49" i="4"/>
  <c r="M51" i="4" s="1"/>
  <c r="O49" i="4" l="1"/>
  <c r="T6" i="4"/>
  <c r="T49" i="4" s="1"/>
  <c r="B28" i="18" l="1"/>
  <c r="H8" i="17" l="1"/>
  <c r="H9" i="17"/>
  <c r="H10" i="17"/>
  <c r="H11" i="17"/>
  <c r="H12" i="17"/>
  <c r="Z41" i="17"/>
  <c r="AA41" i="17" s="1"/>
  <c r="AC41" i="17" s="1"/>
  <c r="AD41" i="17" s="1"/>
  <c r="E10" i="17"/>
  <c r="E11" i="17"/>
  <c r="E12" i="17"/>
  <c r="D17" i="17"/>
  <c r="D18" i="17"/>
  <c r="D19" i="17"/>
  <c r="D20" i="17"/>
  <c r="D21" i="17"/>
  <c r="D22" i="17"/>
  <c r="D23" i="17"/>
  <c r="D24" i="17"/>
  <c r="D25" i="17"/>
  <c r="D26" i="17"/>
  <c r="D27" i="17"/>
  <c r="D28" i="17"/>
  <c r="D30" i="17"/>
  <c r="D37" i="17"/>
  <c r="I41" i="17"/>
  <c r="E8" i="17"/>
  <c r="F9" i="17" l="1"/>
  <c r="C3" i="18" s="1"/>
  <c r="D3" i="18" s="1"/>
  <c r="E37" i="17"/>
  <c r="F37" i="17" s="1"/>
  <c r="I37" i="17"/>
  <c r="E27" i="17"/>
  <c r="F27" i="17" s="1"/>
  <c r="I27" i="17"/>
  <c r="E18" i="17"/>
  <c r="F18" i="17" s="1"/>
  <c r="I18" i="17"/>
  <c r="E13" i="17"/>
  <c r="F13" i="17" s="1"/>
  <c r="I13" i="17"/>
  <c r="I10" i="17"/>
  <c r="F10" i="17"/>
  <c r="E19" i="17"/>
  <c r="F19" i="17" s="1"/>
  <c r="I19" i="17"/>
  <c r="E24" i="17"/>
  <c r="F24" i="17" s="1"/>
  <c r="I24" i="17"/>
  <c r="E17" i="17"/>
  <c r="F17" i="17" s="1"/>
  <c r="I17" i="17"/>
  <c r="E25" i="17"/>
  <c r="F25" i="17" s="1"/>
  <c r="I25" i="17"/>
  <c r="E14" i="17"/>
  <c r="F14" i="17" s="1"/>
  <c r="I14" i="17"/>
  <c r="I30" i="17"/>
  <c r="E30" i="17"/>
  <c r="F30" i="17" s="1"/>
  <c r="I29" i="17"/>
  <c r="E29" i="17"/>
  <c r="F29" i="17" s="1"/>
  <c r="I26" i="17"/>
  <c r="E26" i="17"/>
  <c r="F26" i="17" s="1"/>
  <c r="E23" i="17"/>
  <c r="F23" i="17" s="1"/>
  <c r="I23" i="17"/>
  <c r="E16" i="17"/>
  <c r="F16" i="17" s="1"/>
  <c r="I16" i="17"/>
  <c r="E21" i="17"/>
  <c r="F21" i="17" s="1"/>
  <c r="I21" i="17"/>
  <c r="I11" i="17"/>
  <c r="F11" i="17"/>
  <c r="E28" i="17"/>
  <c r="F28" i="17" s="1"/>
  <c r="I28" i="17"/>
  <c r="E22" i="17"/>
  <c r="F22" i="17" s="1"/>
  <c r="I22" i="17"/>
  <c r="I9" i="17"/>
  <c r="E20" i="17"/>
  <c r="F20" i="17" s="1"/>
  <c r="I20" i="17"/>
  <c r="E15" i="17"/>
  <c r="F15" i="17" s="1"/>
  <c r="I15" i="17"/>
  <c r="F12" i="17"/>
  <c r="I12" i="17"/>
  <c r="AH8" i="17"/>
  <c r="I8" i="17"/>
  <c r="F8" i="17"/>
  <c r="Y9" i="17" l="1"/>
  <c r="G9" i="17"/>
  <c r="J9" i="17"/>
  <c r="R42" i="17"/>
  <c r="G23" i="17"/>
  <c r="J23" i="17"/>
  <c r="P23" i="17"/>
  <c r="Z23" i="17"/>
  <c r="AA23" i="17" s="1"/>
  <c r="AC23" i="17" s="1"/>
  <c r="AD23" i="17" s="1"/>
  <c r="C23" i="18"/>
  <c r="D23" i="18" s="1"/>
  <c r="J19" i="17"/>
  <c r="G19" i="17"/>
  <c r="Q19" i="17"/>
  <c r="Z19" i="17"/>
  <c r="AA19" i="17" s="1"/>
  <c r="AC19" i="17" s="1"/>
  <c r="AE19" i="17" s="1"/>
  <c r="C19" i="18"/>
  <c r="D19" i="18" s="1"/>
  <c r="G26" i="17"/>
  <c r="P26" i="17"/>
  <c r="J26" i="17"/>
  <c r="Z26" i="17"/>
  <c r="AA26" i="17" s="1"/>
  <c r="AC26" i="17" s="1"/>
  <c r="AD26" i="17" s="1"/>
  <c r="G13" i="17"/>
  <c r="J13" i="17"/>
  <c r="C10" i="18"/>
  <c r="D10" i="18" s="1"/>
  <c r="M13" i="17"/>
  <c r="O13" i="17" s="1"/>
  <c r="P37" i="17"/>
  <c r="J37" i="17"/>
  <c r="G37" i="17"/>
  <c r="Z37" i="17"/>
  <c r="AA37" i="17" s="1"/>
  <c r="AC37" i="17" s="1"/>
  <c r="AD37" i="17" s="1"/>
  <c r="C5" i="18"/>
  <c r="D5" i="18" s="1"/>
  <c r="J12" i="17"/>
  <c r="C8" i="18"/>
  <c r="D8" i="18" s="1"/>
  <c r="G12" i="17"/>
  <c r="G20" i="17"/>
  <c r="J20" i="17"/>
  <c r="G21" i="17"/>
  <c r="J21" i="17"/>
  <c r="P21" i="17"/>
  <c r="Z21" i="17"/>
  <c r="AA21" i="17" s="1"/>
  <c r="AC21" i="17" s="1"/>
  <c r="AD21" i="17" s="1"/>
  <c r="C20" i="18"/>
  <c r="D20" i="18" s="1"/>
  <c r="G14" i="17"/>
  <c r="J14" i="17"/>
  <c r="C11" i="18"/>
  <c r="D11" i="18" s="1"/>
  <c r="C15" i="18"/>
  <c r="D15" i="18" s="1"/>
  <c r="P24" i="17"/>
  <c r="J24" i="17"/>
  <c r="G24" i="17"/>
  <c r="Z24" i="17"/>
  <c r="AA24" i="17" s="1"/>
  <c r="AC24" i="17" s="1"/>
  <c r="AD24" i="17" s="1"/>
  <c r="J16" i="17"/>
  <c r="C14" i="18"/>
  <c r="D14" i="18" s="1"/>
  <c r="G16" i="17"/>
  <c r="P16" i="17"/>
  <c r="Z16" i="17"/>
  <c r="AA16" i="17" s="1"/>
  <c r="AC16" i="17" s="1"/>
  <c r="AD16" i="17" s="1"/>
  <c r="C26" i="18"/>
  <c r="D26" i="18" s="1"/>
  <c r="G29" i="17"/>
  <c r="P29" i="17"/>
  <c r="J29" i="17"/>
  <c r="Z29" i="17"/>
  <c r="AA29" i="17" s="1"/>
  <c r="AC29" i="17" s="1"/>
  <c r="AD29" i="17" s="1"/>
  <c r="C16" i="18"/>
  <c r="D16" i="18" s="1"/>
  <c r="C17" i="18"/>
  <c r="D17" i="18" s="1"/>
  <c r="G8" i="17"/>
  <c r="C2" i="18"/>
  <c r="D2" i="18" s="1"/>
  <c r="J8" i="17"/>
  <c r="C12" i="18"/>
  <c r="D12" i="18" s="1"/>
  <c r="J15" i="17"/>
  <c r="G15" i="17"/>
  <c r="C25" i="18"/>
  <c r="D25" i="18" s="1"/>
  <c r="P25" i="17"/>
  <c r="G25" i="17"/>
  <c r="J25" i="17"/>
  <c r="Z25" i="17"/>
  <c r="AA25" i="17" s="1"/>
  <c r="AC25" i="17" s="1"/>
  <c r="AD25" i="17" s="1"/>
  <c r="G17" i="17"/>
  <c r="J17" i="17"/>
  <c r="C21" i="18"/>
  <c r="D21" i="18" s="1"/>
  <c r="J10" i="17"/>
  <c r="C6" i="18"/>
  <c r="D6" i="18" s="1"/>
  <c r="G10" i="17"/>
  <c r="C18" i="18"/>
  <c r="D18" i="18" s="1"/>
  <c r="F12" i="7"/>
  <c r="C9" i="18"/>
  <c r="D9" i="18" s="1"/>
  <c r="C24" i="18"/>
  <c r="D24" i="18" s="1"/>
  <c r="P28" i="17"/>
  <c r="G28" i="17"/>
  <c r="J28" i="17"/>
  <c r="Z28" i="17"/>
  <c r="AA28" i="17" s="1"/>
  <c r="AC28" i="17" s="1"/>
  <c r="AD28" i="17" s="1"/>
  <c r="C4" i="18"/>
  <c r="D4" i="18" s="1"/>
  <c r="C13" i="18"/>
  <c r="D13" i="18" s="1"/>
  <c r="G22" i="17"/>
  <c r="P22" i="17"/>
  <c r="J22" i="17"/>
  <c r="Z22" i="17"/>
  <c r="AA22" i="17" s="1"/>
  <c r="AC22" i="17" s="1"/>
  <c r="AD22" i="17" s="1"/>
  <c r="C7" i="18"/>
  <c r="D7" i="18" s="1"/>
  <c r="G11" i="17"/>
  <c r="M11" i="17"/>
  <c r="O11" i="17" s="1"/>
  <c r="J11" i="17"/>
  <c r="Z11" i="17"/>
  <c r="AA11" i="17" s="1"/>
  <c r="J30" i="17"/>
  <c r="G30" i="17"/>
  <c r="P30" i="17"/>
  <c r="Z30" i="17"/>
  <c r="AA30" i="17" s="1"/>
  <c r="AC30" i="17" s="1"/>
  <c r="AD30" i="17" s="1"/>
  <c r="G18" i="17"/>
  <c r="C22" i="18"/>
  <c r="D22" i="18" s="1"/>
  <c r="Q18" i="17"/>
  <c r="J18" i="17"/>
  <c r="Z18" i="17"/>
  <c r="AA18" i="17" s="1"/>
  <c r="AC18" i="17" s="1"/>
  <c r="AE18" i="17" s="1"/>
  <c r="P27" i="17"/>
  <c r="G27" i="17"/>
  <c r="J27" i="17"/>
  <c r="Z27" i="17"/>
  <c r="AA27" i="17" s="1"/>
  <c r="AC27" i="17" s="1"/>
  <c r="AD27" i="17" s="1"/>
  <c r="Z17" i="17" l="1"/>
  <c r="Q17" i="17"/>
  <c r="M10" i="17"/>
  <c r="P13" i="17"/>
  <c r="Z13" i="17"/>
  <c r="AA13" i="17" s="1"/>
  <c r="Z9" i="17"/>
  <c r="AA9" i="17" s="1"/>
  <c r="AC9" i="17" s="1"/>
  <c r="AE9" i="17" s="1"/>
  <c r="Q9" i="17"/>
  <c r="Z14" i="17"/>
  <c r="AA14" i="17" s="1"/>
  <c r="AC14" i="17" s="1"/>
  <c r="AE14" i="17" s="1"/>
  <c r="Q14" i="17"/>
  <c r="Z20" i="17"/>
  <c r="AB11" i="17"/>
  <c r="AC11" i="17" s="1"/>
  <c r="AD11" i="17" s="1"/>
  <c r="M15" i="17"/>
  <c r="O15" i="17" s="1"/>
  <c r="Z15" i="17"/>
  <c r="AA15" i="17" s="1"/>
  <c r="AB15" i="17" s="1"/>
  <c r="AC15" i="17" s="1"/>
  <c r="AE15" i="17" s="1"/>
  <c r="N2" i="5"/>
  <c r="Z10" i="17"/>
  <c r="AA10" i="17" s="1"/>
  <c r="AB10" i="17" s="1"/>
  <c r="Z12" i="17"/>
  <c r="AA12" i="17" s="1"/>
  <c r="Q12" i="17"/>
  <c r="AM28" i="12"/>
  <c r="S2" i="5"/>
  <c r="N28" i="12"/>
  <c r="P2" i="5"/>
  <c r="R45" i="17" s="1"/>
  <c r="D42" i="17"/>
  <c r="O10" i="17" l="1"/>
  <c r="Q10" i="17" s="1"/>
  <c r="D45" i="17"/>
  <c r="AM56" i="12"/>
  <c r="BA28" i="12"/>
  <c r="AC13" i="17"/>
  <c r="AD13" i="17" s="1"/>
  <c r="H42" i="17"/>
  <c r="I42" i="17" s="1"/>
  <c r="AC10" i="17"/>
  <c r="AE10" i="17" s="1"/>
  <c r="AA20" i="17"/>
  <c r="AC20" i="17" s="1"/>
  <c r="AE20" i="17" s="1"/>
  <c r="AC12" i="17"/>
  <c r="AE12" i="17" s="1"/>
  <c r="BU28" i="12"/>
  <c r="V2" i="5"/>
  <c r="V1" i="5" s="1"/>
  <c r="N56" i="12"/>
  <c r="AB28" i="12"/>
  <c r="DW28" i="12" s="1"/>
  <c r="Q20" i="17"/>
  <c r="H12" i="7"/>
  <c r="J12" i="7" s="1"/>
  <c r="J14" i="7" s="1"/>
  <c r="J15" i="7" s="1"/>
  <c r="J16" i="7" s="1"/>
  <c r="J18" i="7" s="1"/>
  <c r="CW28" i="12" l="1"/>
  <c r="DX28" i="12" s="1"/>
  <c r="BU56" i="12"/>
  <c r="J21" i="7"/>
  <c r="J19" i="7"/>
  <c r="J20" i="7" s="1"/>
  <c r="H12" i="19"/>
  <c r="C27" i="18"/>
  <c r="F42" i="17"/>
  <c r="DW56" i="12"/>
  <c r="AB56" i="12"/>
  <c r="P42" i="17" l="1"/>
  <c r="J22" i="7"/>
  <c r="C28" i="18"/>
  <c r="D27" i="18"/>
  <c r="BV56" i="12"/>
  <c r="G42" i="17"/>
  <c r="DY28" i="12"/>
  <c r="AD42" i="17" l="1"/>
  <c r="K42" i="17"/>
  <c r="M42" i="17" l="1"/>
  <c r="L42" i="17"/>
  <c r="O42" i="17"/>
  <c r="Z8" i="17"/>
  <c r="G12" i="19" s="1"/>
  <c r="Q8" i="17" l="1"/>
  <c r="Q42" i="17" s="1"/>
  <c r="Z42" i="17"/>
  <c r="V6" i="6" l="1"/>
  <c r="O6" i="6"/>
  <c r="T6" i="6"/>
  <c r="AR18" i="12"/>
  <c r="BA18" i="12" s="1"/>
  <c r="BA56" i="12" s="1"/>
  <c r="S17" i="17"/>
  <c r="S42" i="17" s="1"/>
  <c r="T42" i="17" s="1"/>
  <c r="CE18" i="12" l="1"/>
  <c r="CF14" i="12" s="1"/>
  <c r="T17" i="17"/>
  <c r="V17" i="17"/>
  <c r="X8" i="17" s="1"/>
  <c r="F12" i="19" s="1"/>
  <c r="AR56" i="12"/>
  <c r="E12" i="19" l="1"/>
  <c r="J12" i="19" s="1"/>
  <c r="J14" i="19" s="1"/>
  <c r="J15" i="19" s="1"/>
  <c r="J16" i="19" s="1"/>
  <c r="J18" i="19" s="1"/>
  <c r="J21" i="19" s="1"/>
  <c r="W17" i="17"/>
  <c r="Y17" i="17"/>
  <c r="AA17" i="17" s="1"/>
  <c r="V42" i="17"/>
  <c r="CE56" i="12"/>
  <c r="CW18" i="12"/>
  <c r="DX18" i="12" s="1"/>
  <c r="AC17" i="17" l="1"/>
  <c r="AE17" i="17" s="1"/>
  <c r="J19" i="19"/>
  <c r="J20" i="19" s="1"/>
  <c r="J22" i="19" s="1"/>
  <c r="CW14" i="12"/>
  <c r="CF56" i="12"/>
  <c r="DY18" i="12"/>
  <c r="W42" i="17"/>
  <c r="Y8" i="17" l="1"/>
  <c r="Y42" i="17" s="1"/>
  <c r="X42" i="17"/>
  <c r="CW56" i="12"/>
  <c r="DX14" i="12"/>
  <c r="DY14" i="12" l="1"/>
  <c r="DX56" i="12"/>
  <c r="DZ53" i="12" s="1"/>
  <c r="AA8" i="17"/>
  <c r="AB42" i="17" s="1"/>
  <c r="DZ51" i="12" l="1"/>
  <c r="DZ52" i="12"/>
  <c r="DZ54" i="12"/>
  <c r="AA42" i="17"/>
  <c r="AC8" i="17"/>
  <c r="DZ33" i="12"/>
  <c r="DZ11" i="12"/>
  <c r="DZ25" i="12"/>
  <c r="DZ37" i="12"/>
  <c r="DZ12" i="12"/>
  <c r="DZ45" i="12"/>
  <c r="DZ32" i="12"/>
  <c r="DY56" i="12"/>
  <c r="DZ13" i="12"/>
  <c r="DZ8" i="12"/>
  <c r="DZ34" i="12"/>
  <c r="DZ16" i="12"/>
  <c r="DZ55" i="12"/>
  <c r="DZ56" i="12"/>
  <c r="DZ10" i="12"/>
  <c r="DZ43" i="12"/>
  <c r="DZ20" i="12"/>
  <c r="DZ24" i="12"/>
  <c r="DZ40" i="12"/>
  <c r="DZ44" i="12"/>
  <c r="DZ31" i="12"/>
  <c r="DZ35" i="12"/>
  <c r="DZ36" i="12"/>
  <c r="DZ50" i="12"/>
  <c r="DZ26" i="12"/>
  <c r="DZ15" i="12"/>
  <c r="DZ17" i="12"/>
  <c r="DZ47" i="12"/>
  <c r="DZ30" i="12"/>
  <c r="DZ29" i="12"/>
  <c r="DZ21" i="12"/>
  <c r="DZ19" i="12"/>
  <c r="DZ28" i="12"/>
  <c r="DZ22" i="12"/>
  <c r="DZ27" i="12"/>
  <c r="DZ49" i="12"/>
  <c r="DZ23" i="12"/>
  <c r="DZ38" i="12"/>
  <c r="DZ48" i="12"/>
  <c r="DZ46" i="12"/>
  <c r="DZ39" i="12"/>
  <c r="DZ41" i="12"/>
  <c r="DZ9" i="12"/>
  <c r="DZ42" i="12"/>
  <c r="DZ18" i="12"/>
  <c r="DZ14" i="12"/>
  <c r="AC42" i="17" l="1"/>
  <c r="AE8" i="17"/>
  <c r="AE42"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M11" authorId="0" shapeId="0" xr:uid="{6C5D9726-D178-4BB0-9989-2E62C30B2296}">
      <text>
        <r>
          <rPr>
            <b/>
            <sz val="9"/>
            <color indexed="81"/>
            <rFont val="Tahoma"/>
            <family val="2"/>
          </rPr>
          <t>PC:</t>
        </r>
        <r>
          <rPr>
            <sz val="9"/>
            <color indexed="81"/>
            <rFont val="Tahoma"/>
            <family val="2"/>
          </rPr>
          <t xml:space="preserve">
Descontar todo
</t>
        </r>
      </text>
    </comment>
    <comment ref="M17" authorId="1" shapeId="0" xr:uid="{73516A02-D36A-4C59-8A1F-9ABAE11112E7}">
      <text>
        <r>
          <rPr>
            <b/>
            <sz val="9"/>
            <color indexed="81"/>
            <rFont val="Tahoma"/>
            <family val="2"/>
          </rPr>
          <t xml:space="preserve">Se considera como descuento y se abona a la deuda de Cristian 
</t>
        </r>
      </text>
    </comment>
    <comment ref="AB17" authorId="1" shapeId="0" xr:uid="{F0854827-C40E-4D64-806A-15BB986DCCFD}">
      <text>
        <r>
          <rPr>
            <b/>
            <sz val="9"/>
            <color indexed="81"/>
            <rFont val="Tahoma"/>
            <family val="2"/>
          </rPr>
          <t xml:space="preserve">Se considera como descuento y se abona a la deuda de Cristian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P25" authorId="0" shapeId="0" xr:uid="{DC914A75-C8DF-41C0-88D0-5B0AB6E705A0}">
      <text>
        <r>
          <rPr>
            <b/>
            <sz val="9"/>
            <color indexed="81"/>
            <rFont val="Tahoma"/>
            <family val="2"/>
          </rPr>
          <t>PC:</t>
        </r>
        <r>
          <rPr>
            <sz val="9"/>
            <color indexed="81"/>
            <rFont val="Tahoma"/>
            <family val="2"/>
          </rPr>
          <t xml:space="preserve">
Se le descuenta una vez al mes, en la quincena chica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P25" authorId="0" shapeId="0" xr:uid="{588D6DFD-3244-4422-9CF8-63D8E52797B1}">
      <text>
        <r>
          <rPr>
            <b/>
            <sz val="9"/>
            <color indexed="81"/>
            <rFont val="Tahoma"/>
            <family val="2"/>
          </rPr>
          <t>PC:</t>
        </r>
        <r>
          <rPr>
            <sz val="9"/>
            <color indexed="81"/>
            <rFont val="Tahoma"/>
            <family val="2"/>
          </rPr>
          <t xml:space="preserve">
Se le descuenta una vez al mes, en la quincena chica</t>
        </r>
      </text>
    </comment>
  </commentList>
</comments>
</file>

<file path=xl/sharedStrings.xml><?xml version="1.0" encoding="utf-8"?>
<sst xmlns="http://schemas.openxmlformats.org/spreadsheetml/2006/main" count="25749" uniqueCount="4117">
  <si>
    <t>ASESOR</t>
  </si>
  <si>
    <t>OV</t>
  </si>
  <si>
    <t>Nivel</t>
  </si>
  <si>
    <t>Asesor</t>
  </si>
  <si>
    <t>Producto</t>
  </si>
  <si>
    <t>Cantidad</t>
  </si>
  <si>
    <t>Total</t>
  </si>
  <si>
    <t>Apoyo</t>
  </si>
  <si>
    <t>Comisión a Pagar</t>
  </si>
  <si>
    <t>Cliente</t>
  </si>
  <si>
    <t>Asesores</t>
  </si>
  <si>
    <t>Proyectos</t>
  </si>
  <si>
    <t>Coordinador</t>
  </si>
  <si>
    <t>Adrian Benavides</t>
  </si>
  <si>
    <t>Comisión Calculada</t>
  </si>
  <si>
    <t>Precio Unitario Neto</t>
  </si>
  <si>
    <t>ST-10-100</t>
  </si>
  <si>
    <t>ST-12-120</t>
  </si>
  <si>
    <t>ST-15-150</t>
  </si>
  <si>
    <t>ST-18-180</t>
  </si>
  <si>
    <t>ST-24-240</t>
  </si>
  <si>
    <t>ST-30-300</t>
  </si>
  <si>
    <t>CHP-20-240</t>
  </si>
  <si>
    <t>CPE-150</t>
  </si>
  <si>
    <t>LIRA</t>
  </si>
  <si>
    <t>PLP-5</t>
  </si>
  <si>
    <t>CP-250</t>
  </si>
  <si>
    <t>CI-350</t>
  </si>
  <si>
    <t>PLP-4</t>
  </si>
  <si>
    <t>EC-180</t>
  </si>
  <si>
    <t>GR-10-100</t>
  </si>
  <si>
    <t>GR-12-120</t>
  </si>
  <si>
    <t>GR-15-150</t>
  </si>
  <si>
    <t>GR-18-180</t>
  </si>
  <si>
    <t>GR-20-200</t>
  </si>
  <si>
    <t>GR-24-240</t>
  </si>
  <si>
    <t>GR-30-300</t>
  </si>
  <si>
    <t>EBG</t>
  </si>
  <si>
    <t>BG-10</t>
  </si>
  <si>
    <t>BG-12</t>
  </si>
  <si>
    <t>BG-15</t>
  </si>
  <si>
    <t>BG-18</t>
  </si>
  <si>
    <t>BG-20</t>
  </si>
  <si>
    <t>BG-30</t>
  </si>
  <si>
    <t>BP-10</t>
  </si>
  <si>
    <t>BP-12</t>
  </si>
  <si>
    <t>BP-20</t>
  </si>
  <si>
    <t>BP-26</t>
  </si>
  <si>
    <t>TGE-10</t>
  </si>
  <si>
    <t>TGR-10</t>
  </si>
  <si>
    <t>TGE-12</t>
  </si>
  <si>
    <t>TGR-12</t>
  </si>
  <si>
    <t>TGE-15</t>
  </si>
  <si>
    <t>TGR-15</t>
  </si>
  <si>
    <t>TGE-18</t>
  </si>
  <si>
    <t>TGR-18</t>
  </si>
  <si>
    <t>TGE-24</t>
  </si>
  <si>
    <t>TGR-24</t>
  </si>
  <si>
    <t>TGE-30</t>
  </si>
  <si>
    <t>TGR-30</t>
  </si>
  <si>
    <t>TPE-10</t>
  </si>
  <si>
    <t>TPE-12</t>
  </si>
  <si>
    <t>TPE-20</t>
  </si>
  <si>
    <t>TPE-26</t>
  </si>
  <si>
    <t>Fecha Comisión</t>
  </si>
  <si>
    <t>Fecha Pago</t>
  </si>
  <si>
    <t>Ov</t>
  </si>
  <si>
    <t>Fecha Entrega</t>
  </si>
  <si>
    <t>Crédito</t>
  </si>
  <si>
    <t>Vencimiento</t>
  </si>
  <si>
    <t>Vencida</t>
  </si>
  <si>
    <t>Corriente</t>
  </si>
  <si>
    <t>Monto Cobrado</t>
  </si>
  <si>
    <t>TOTAL</t>
  </si>
  <si>
    <t>TOTALES</t>
  </si>
  <si>
    <t>TGE-20</t>
  </si>
  <si>
    <t>TGR-20</t>
  </si>
  <si>
    <t>BG-24</t>
  </si>
  <si>
    <t>TCPE-150</t>
  </si>
  <si>
    <t>BCPE-150</t>
  </si>
  <si>
    <t>PCPE-150</t>
  </si>
  <si>
    <t>ST-20-200</t>
  </si>
  <si>
    <t>CHP-10-150</t>
  </si>
  <si>
    <t>CHP-12-150</t>
  </si>
  <si>
    <t>CHP-26-300</t>
  </si>
  <si>
    <t>BAR-MG-30CM</t>
  </si>
  <si>
    <t>VAL-ANTRET-3/4</t>
  </si>
  <si>
    <t>VAL-ANTVAC</t>
  </si>
  <si>
    <t>CASQUILLO-CHP</t>
  </si>
  <si>
    <t>SUJETADOR-TUBO-CHP-NEGR</t>
  </si>
  <si>
    <t>GRASA-TERMICA</t>
  </si>
  <si>
    <t>CUBPOLV</t>
  </si>
  <si>
    <t>CON-ACC-PLA-58</t>
  </si>
  <si>
    <t>PIPETA-1.30</t>
  </si>
  <si>
    <t>MSF-260</t>
  </si>
  <si>
    <t>MSF-270</t>
  </si>
  <si>
    <t>MSF-330</t>
  </si>
  <si>
    <t>GW1500-NS</t>
  </si>
  <si>
    <t>GW2500-NS</t>
  </si>
  <si>
    <t>GW3000-NS</t>
  </si>
  <si>
    <t>GW3600D-NS</t>
  </si>
  <si>
    <t>GW4200D-NS</t>
  </si>
  <si>
    <t>GW12KLV-DT</t>
  </si>
  <si>
    <t>GW15KLV-DT</t>
  </si>
  <si>
    <t>GW17K-DT</t>
  </si>
  <si>
    <t>Antartic-12E</t>
  </si>
  <si>
    <t>HELIOS-1</t>
  </si>
  <si>
    <t>HELIOS-2</t>
  </si>
  <si>
    <t>ZEUS-1</t>
  </si>
  <si>
    <t>ZEUS-2</t>
  </si>
  <si>
    <t>GEM-270X2</t>
  </si>
  <si>
    <t>Precio Base</t>
  </si>
  <si>
    <t>Familia</t>
  </si>
  <si>
    <t>Fotovoltaico</t>
  </si>
  <si>
    <t>Termico Solar</t>
  </si>
  <si>
    <t>CHP-10-150 CV</t>
  </si>
  <si>
    <t>JOSE SALUD PEÑA</t>
  </si>
  <si>
    <t>Mariana Gómez Hernandez</t>
  </si>
  <si>
    <t>Precio Descontado</t>
  </si>
  <si>
    <t>Precio Bruto</t>
  </si>
  <si>
    <t xml:space="preserve">RECIBO DE COMISIONES </t>
  </si>
  <si>
    <t>Fecha</t>
  </si>
  <si>
    <t>ERDM</t>
  </si>
  <si>
    <t>Comisión</t>
  </si>
  <si>
    <t>Subtotal</t>
  </si>
  <si>
    <t>Concepto</t>
  </si>
  <si>
    <t>Monto</t>
  </si>
  <si>
    <t>Descuento</t>
  </si>
  <si>
    <t>DATOS FACTURACIÓN</t>
  </si>
  <si>
    <t>Empresa a Facturar</t>
  </si>
  <si>
    <t>RFC</t>
  </si>
  <si>
    <t>Domicilio</t>
  </si>
  <si>
    <t>Concepto Facturación</t>
  </si>
  <si>
    <t>Clave Producto</t>
  </si>
  <si>
    <t>Uso CFDI</t>
  </si>
  <si>
    <t>Forma de Pago</t>
  </si>
  <si>
    <t>Método de Pago</t>
  </si>
  <si>
    <t>Servicios de promoción de ventas (Servicios de comisionistas)</t>
  </si>
  <si>
    <t>Unidad de Medida</t>
  </si>
  <si>
    <t>E48</t>
  </si>
  <si>
    <t>Unidad de servicio</t>
  </si>
  <si>
    <t>G03</t>
  </si>
  <si>
    <t>Gastos en General</t>
  </si>
  <si>
    <t>IVA</t>
  </si>
  <si>
    <t>Retención IVA</t>
  </si>
  <si>
    <t>Empresa Facturar</t>
  </si>
  <si>
    <t>EEA</t>
  </si>
  <si>
    <t xml:space="preserve">Razones sociales </t>
  </si>
  <si>
    <t xml:space="preserve">Domicilio </t>
  </si>
  <si>
    <t>Empresa</t>
  </si>
  <si>
    <t>Energía Renovable de Michoacán</t>
  </si>
  <si>
    <t>Energía Ecologica de America</t>
  </si>
  <si>
    <t>Raymundo Lopez Olvera</t>
  </si>
  <si>
    <t>ERM071005BZA</t>
  </si>
  <si>
    <t>LOOR700106922</t>
  </si>
  <si>
    <t>Diego de Singuenza y Figueroa #34 Col. Mirador del Punhuato Morelia, Mich. CP. 58249</t>
  </si>
  <si>
    <t>Fray Bernardino de Sahagun #268 - A Col. Mirador del Punhuato Morelia, Mich. CP. 58249</t>
  </si>
  <si>
    <t>Razón Social</t>
  </si>
  <si>
    <t>EEA150413UC1</t>
  </si>
  <si>
    <t>TRANSFERENCIA</t>
  </si>
  <si>
    <t>EFECTIVO</t>
  </si>
  <si>
    <t>ELABORO</t>
  </si>
  <si>
    <t xml:space="preserve">ROSARIO RUIZ ALCARAZ            </t>
  </si>
  <si>
    <t>GABRIEL LOPEZ</t>
  </si>
  <si>
    <t>ING. JOSE GABRIEL RUIZ</t>
  </si>
  <si>
    <t xml:space="preserve"> YOLANDA RANGEL        </t>
  </si>
  <si>
    <t>BANCO</t>
  </si>
  <si>
    <t>CUENTA</t>
  </si>
  <si>
    <t>CLABE</t>
  </si>
  <si>
    <t>DATOS PAGO</t>
  </si>
  <si>
    <t xml:space="preserve">RESPONSIVA POR FACTURA </t>
  </si>
  <si>
    <t>EMPRESA:</t>
  </si>
  <si>
    <t>BENEFICIARIO:</t>
  </si>
  <si>
    <t xml:space="preserve">CUENTA: </t>
  </si>
  <si>
    <t>BANCO:</t>
  </si>
  <si>
    <t>IMPORTE:</t>
  </si>
  <si>
    <t>(CON NÚMERO Y LETRA)</t>
  </si>
  <si>
    <t>FECHA ESTIMADA DE PAGO:</t>
  </si>
  <si>
    <t>DOCUMENTACIÓN ANEXA:</t>
  </si>
  <si>
    <t>RECIBO COMISIONES</t>
  </si>
  <si>
    <t xml:space="preserve">HAGO CONSTAR QUE CON FINES LABORALES SOLICITO TRANSFERENCIA O CHEQUE A FAVOR DEL PROVEEDOR ANTES MENCIONADO Y ME COMPROMETO A ENTREGAR AL ÁREA DE CONTABILIDAD EL COMPROBANTE FISCAL O FACTURA ORIGINAL EN UN LAPSO NO MAYOR A 3 DIAS HABILES POSTERIOR A LA FECHA DE EFECTUADO EL PAGO SOLICITADO O EL ULTIMO DÍA DEL MES, LO QUE SUCEDA PRIMERO, EN EL CONOCIMIENTO DE QUE DE NO CUMPLIR CON LA ENTREGA DE LOS DOCUMENTOS ANTES MENCIONADOS ME HARÉ ACREEDOR A UNA ACTA ADMINISTRATIVA. </t>
  </si>
  <si>
    <t>NOMBRE Y FIRMA DEL SOLICITANTE:</t>
  </si>
  <si>
    <t>FECHA DE ELABORACIÓN RESPONSIVA:</t>
  </si>
  <si>
    <t>P A G A R É</t>
  </si>
  <si>
    <t>N°</t>
  </si>
  <si>
    <t>1/1</t>
  </si>
  <si>
    <t>BUENO POR</t>
  </si>
  <si>
    <t>Debo y pagare incondicionalmente por este Pagaré a la orden de RAYMUNDO LOPEZ OLVERA en MORELIA, MICHOACAN, el día ________________________________________________________________</t>
  </si>
  <si>
    <t>FECHA DEL PAGO</t>
  </si>
  <si>
    <r>
      <t xml:space="preserve">La cantidad de: </t>
    </r>
    <r>
      <rPr>
        <u/>
        <sz val="11"/>
        <color theme="1"/>
        <rFont val="Calibri"/>
        <family val="2"/>
        <scheme val="minor"/>
      </rPr>
      <t>_(QUINIENTOS PESOS 00/100 MN)______</t>
    </r>
    <r>
      <rPr>
        <sz val="11"/>
        <color theme="1"/>
        <rFont val="Calibri"/>
        <family val="2"/>
        <scheme val="minor"/>
      </rPr>
      <t>_______________________________________</t>
    </r>
  </si>
  <si>
    <t xml:space="preserve">Valor recibido a nuestra entera satisfacción. Este pagare forma parte de una serie numerada del 1 al 1 y todos están sujetos a la condición de que, al no pagarse cualquiera de ellos a su vencimiento, serán exigibles todos los que le sigan en número, ademas de los ya vencídos, desde la fecha de vencimiento de este documento hasta el dia de su liquidación causará intereses moratorios al tipo de _0_% mensual, pagadero en esta ciudad juntamente con el principal. </t>
  </si>
  <si>
    <t xml:space="preserve">NOMBRE: </t>
  </si>
  <si>
    <t>ACEPTO</t>
  </si>
  <si>
    <t xml:space="preserve">DIRECCIÓN: </t>
  </si>
  <si>
    <t>_______________________________________________</t>
  </si>
  <si>
    <t>FIRMA</t>
  </si>
  <si>
    <t>PUE</t>
  </si>
  <si>
    <t>Pago en una sola exhibición</t>
  </si>
  <si>
    <t>03</t>
  </si>
  <si>
    <t>Transferencia electronica de fondos</t>
  </si>
  <si>
    <t>BAR-M-1X360-AP</t>
  </si>
  <si>
    <t>NIEVES FLORES</t>
  </si>
  <si>
    <t>CESAR ESCOBAR</t>
  </si>
  <si>
    <t>KARLA HERNANDEZ</t>
  </si>
  <si>
    <t>Mes</t>
  </si>
  <si>
    <t>TGE-08</t>
  </si>
  <si>
    <t>TGR-08</t>
  </si>
  <si>
    <t>BG-08</t>
  </si>
  <si>
    <t>TUG-01</t>
  </si>
  <si>
    <t>TUP-01</t>
  </si>
  <si>
    <t>ST-08-80</t>
  </si>
  <si>
    <t>GR-08-80</t>
  </si>
  <si>
    <t>GR-08-80 CR</t>
  </si>
  <si>
    <t>GR-10-100 CR</t>
  </si>
  <si>
    <t>GR-12-120 CR</t>
  </si>
  <si>
    <t>GR-15-150 CR</t>
  </si>
  <si>
    <t>GR-18-180 CR</t>
  </si>
  <si>
    <t>GR-20-200 CR</t>
  </si>
  <si>
    <t>GR-24-240 CR</t>
  </si>
  <si>
    <t>GR-30-300 CR</t>
  </si>
  <si>
    <t>SL-8-105</t>
  </si>
  <si>
    <t>SL-10-140</t>
  </si>
  <si>
    <t>SL-12-160</t>
  </si>
  <si>
    <t>SL-15-190</t>
  </si>
  <si>
    <t>SL-18-230</t>
  </si>
  <si>
    <t>SL-20-260</t>
  </si>
  <si>
    <t>SL-24-310</t>
  </si>
  <si>
    <t>RHP-10-150</t>
  </si>
  <si>
    <t>RHP-12-150</t>
  </si>
  <si>
    <t>VAL-PT-0.77-90C</t>
  </si>
  <si>
    <t>VAL-ANTICONG</t>
  </si>
  <si>
    <t>VENA-CHP-FRIA</t>
  </si>
  <si>
    <t>FILTRO CSA</t>
  </si>
  <si>
    <t>RESISTENCIA 1500W--3/4 PULG</t>
  </si>
  <si>
    <t>KIT-INST PPR-GRAV</t>
  </si>
  <si>
    <t>KIT-INST PPR-PRES</t>
  </si>
  <si>
    <t>MSF-590</t>
  </si>
  <si>
    <t>PANEL OSDA-545W</t>
  </si>
  <si>
    <t>BDM-250LV</t>
  </si>
  <si>
    <t>BDM-300X2LV</t>
  </si>
  <si>
    <t>PV-IN-1K4GD-SL</t>
  </si>
  <si>
    <t>PV-IN-2K4GD-SL</t>
  </si>
  <si>
    <t>PV-IN-5K4GD-SL</t>
  </si>
  <si>
    <t>PV-IN-6K4GD-SL</t>
  </si>
  <si>
    <t>PV-IN-8K4GD-SL</t>
  </si>
  <si>
    <t>PV-IN-10K4GD-SL</t>
  </si>
  <si>
    <t>PV-IN-TL20X-GW</t>
  </si>
  <si>
    <t>PV-IN-TL25X-GW</t>
  </si>
  <si>
    <t>PV-IN-TL30X-GW</t>
  </si>
  <si>
    <t>PV-IN-MTM36-GW</t>
  </si>
  <si>
    <t>PV-IN-MLX42-GW</t>
  </si>
  <si>
    <t>PV-IN-MLX46-GW</t>
  </si>
  <si>
    <t>PV-IN-MLX5-GW</t>
  </si>
  <si>
    <t>PV-IN-MLX6-GW</t>
  </si>
  <si>
    <t>EFV-1X4-1133MM</t>
  </si>
  <si>
    <t>ILP-06</t>
  </si>
  <si>
    <t>ILP-09</t>
  </si>
  <si>
    <t>PEI-4-60</t>
  </si>
  <si>
    <t>PEI-5-90</t>
  </si>
  <si>
    <t>LIRA-4-60</t>
  </si>
  <si>
    <t>LIRA-5-90</t>
  </si>
  <si>
    <t>FTL-30</t>
  </si>
  <si>
    <t>FTL-50</t>
  </si>
  <si>
    <t>FTL-70</t>
  </si>
  <si>
    <t>FTL-100</t>
  </si>
  <si>
    <t>FTL-150</t>
  </si>
  <si>
    <t>Fecha Cobranza</t>
  </si>
  <si>
    <t>RENE ARREOLA RODRIGUEZ</t>
  </si>
  <si>
    <t>DANIEL QUINTANA</t>
  </si>
  <si>
    <t>CRISTIAN SUAREZ LEMUS</t>
  </si>
  <si>
    <t>ERICKA PANIAGUA VILCHIS</t>
  </si>
  <si>
    <t>GOMEZ HERNANDEZ MARIANA</t>
  </si>
  <si>
    <t>JOSE GUADALUPE RODRIGUEZ</t>
  </si>
  <si>
    <t>LEONEL RODRIGUEZ MOLINERO</t>
  </si>
  <si>
    <t>FERNANDO RODRIGUEZ</t>
  </si>
  <si>
    <t>AUDEMAR FLORES CHRISTIAN IVES</t>
  </si>
  <si>
    <t>PEREZ PEREZ LUCIO HERIBERTO</t>
  </si>
  <si>
    <t>LOPEZ PEREZ JOSE UBALDO</t>
  </si>
  <si>
    <t>RUIZ FUENTES ALEJANDRO</t>
  </si>
  <si>
    <t>GABRIEL RUIZ</t>
  </si>
  <si>
    <t>EDUARDO CALDERON</t>
  </si>
  <si>
    <t>HERNANDEZ TLAXCALTECA MARIA VIANEY</t>
  </si>
  <si>
    <t>ROJAS MENDEZ JAVIER RUTILIO</t>
  </si>
  <si>
    <t>MARKO ZAVALA</t>
  </si>
  <si>
    <t>MIGUEL AVILA RANGEL</t>
  </si>
  <si>
    <t>NEGRETE MARTINEZ MARCO ANTONIO</t>
  </si>
  <si>
    <t>ALVAREZ TORRES ESTEBAN DE JESUS</t>
  </si>
  <si>
    <t>AVILA ABARCA MONICA ESMERALDA</t>
  </si>
  <si>
    <t>ARREOLA LOPEZ MARCO ANTONIO</t>
  </si>
  <si>
    <t>OLGUIN MEDINA AARON AXCEL</t>
  </si>
  <si>
    <t>PEREZ MOLINA MAURO</t>
  </si>
  <si>
    <t>SANCHEZ LOPEZ JOSE AGUSTIN</t>
  </si>
  <si>
    <t>PALACIOS ROSAS JOSE EDUARDO</t>
  </si>
  <si>
    <t>RODRIGUEZ DELGADILLO ROBERTO</t>
  </si>
  <si>
    <t>SALOMO HERNANDEZ EDGAR DANIEL</t>
  </si>
  <si>
    <t>GARCIA GARCIA EDDIE ANDRES</t>
  </si>
  <si>
    <t>OLVERA SANCHEZ GUILLERMO</t>
  </si>
  <si>
    <t>HERNANDEZ MENDOZA ISAAC</t>
  </si>
  <si>
    <t>DIAZ HERNANDEZ RAUL ERICK</t>
  </si>
  <si>
    <t>RANGEL CHAVEZ ABEL ROGELIO</t>
  </si>
  <si>
    <t>CORONA LOPEZ ALVARO</t>
  </si>
  <si>
    <t>VERONICA MALDONADO</t>
  </si>
  <si>
    <t>LOPU870903R99</t>
  </si>
  <si>
    <t>BBVA</t>
  </si>
  <si>
    <t>012470026240118053</t>
  </si>
  <si>
    <t>AERR900312LV8</t>
  </si>
  <si>
    <t>BANORTE</t>
  </si>
  <si>
    <t>072910003236831799</t>
  </si>
  <si>
    <t>QUGD941209CC8</t>
  </si>
  <si>
    <t>SANTANDER</t>
  </si>
  <si>
    <t>014470606189510017</t>
  </si>
  <si>
    <t>RUFA88050966A</t>
  </si>
  <si>
    <t>SULC930801P82</t>
  </si>
  <si>
    <t>CACE5509119U7</t>
  </si>
  <si>
    <t>072470011269512902</t>
  </si>
  <si>
    <t>60-61895100-1</t>
  </si>
  <si>
    <t>% Comisión Asesor</t>
  </si>
  <si>
    <t>Comisiones Asesor</t>
  </si>
  <si>
    <t>Comisiones Coordinador</t>
  </si>
  <si>
    <t>Comisiones Gerente</t>
  </si>
  <si>
    <t>Comisiones Director</t>
  </si>
  <si>
    <t>COORDINADOR</t>
  </si>
  <si>
    <t>GERENTE</t>
  </si>
  <si>
    <t>DIRECTOR</t>
  </si>
  <si>
    <t>COMISIONES</t>
  </si>
  <si>
    <t>Nombre</t>
  </si>
  <si>
    <t>DESCUENTOS</t>
  </si>
  <si>
    <t>OCTAVIO RODRIGUEZ</t>
  </si>
  <si>
    <t>Rango Cobranza</t>
  </si>
  <si>
    <t xml:space="preserve">Fecha Pago </t>
  </si>
  <si>
    <t>Desde</t>
  </si>
  <si>
    <t>Hasta</t>
  </si>
  <si>
    <t>PAGO EFECTIVO</t>
  </si>
  <si>
    <t>PAGO TRANSFERENCIA</t>
  </si>
  <si>
    <t>Comisiones</t>
  </si>
  <si>
    <t>ECOLITE-100W</t>
  </si>
  <si>
    <t>BASE-1.2</t>
  </si>
  <si>
    <t>P. ERIKA CANTU 6MFV</t>
  </si>
  <si>
    <t>C-CAPH-25</t>
  </si>
  <si>
    <t>JUAN CARLOS GONZALEZ</t>
  </si>
  <si>
    <t>VENTAS</t>
  </si>
  <si>
    <t>Rango Bonos</t>
  </si>
  <si>
    <t>Utilidad x Eq.</t>
  </si>
  <si>
    <t>Utilidad Total</t>
  </si>
  <si>
    <t>ESPECIAL</t>
  </si>
  <si>
    <t>UTILIDAD COMISIONES</t>
  </si>
  <si>
    <t>COPPEL</t>
  </si>
  <si>
    <t>ROSARIO RUIZ</t>
  </si>
  <si>
    <t>GR-07-80</t>
  </si>
  <si>
    <t>P. GONZALO HUANTE</t>
  </si>
  <si>
    <t>P. ANTONIO GARCIA</t>
  </si>
  <si>
    <t>ROBERTO LARA ENRIQUEZ</t>
  </si>
  <si>
    <t>TOTAL COMISIONES</t>
  </si>
  <si>
    <t>FLETE</t>
  </si>
  <si>
    <t>%Utilidad / Vta</t>
  </si>
  <si>
    <t>ACUMULADO</t>
  </si>
  <si>
    <t>NOMINA</t>
  </si>
  <si>
    <t>TOTAL PAGADO</t>
  </si>
  <si>
    <t>TOTAL VENTA</t>
  </si>
  <si>
    <t>MARTINEZ TLAXCALTECA ADRIANA YURITZI</t>
  </si>
  <si>
    <t>ELENA SERRANO</t>
  </si>
  <si>
    <t xml:space="preserve">P. ALFREDO CHAVEZ </t>
  </si>
  <si>
    <t>P. TERESA CARRANZA</t>
  </si>
  <si>
    <t>P. YURIKO MENDOZA</t>
  </si>
  <si>
    <t>P. NEREYDA CARABANTES</t>
  </si>
  <si>
    <t>P. ERANDENI</t>
  </si>
  <si>
    <t>PENALIZACIÓN COBRANZA</t>
  </si>
  <si>
    <t>FEBRERO</t>
  </si>
  <si>
    <t>ENERO</t>
  </si>
  <si>
    <t>GS-10-100</t>
  </si>
  <si>
    <t>GS-12-120</t>
  </si>
  <si>
    <t>GS-15-150</t>
  </si>
  <si>
    <t>GS-18-180</t>
  </si>
  <si>
    <t>GS-20-200</t>
  </si>
  <si>
    <t>GS-24-240</t>
  </si>
  <si>
    <t>GS-30-300</t>
  </si>
  <si>
    <t>Penalización Cobranza</t>
  </si>
  <si>
    <t>THD EDUARDO CALDERON</t>
  </si>
  <si>
    <t>Retención ISR</t>
  </si>
  <si>
    <t>BP120W15-090</t>
  </si>
  <si>
    <t>EMP-ACC-SIL-58</t>
  </si>
  <si>
    <t>FORLITE-50W</t>
  </si>
  <si>
    <t>MARZO</t>
  </si>
  <si>
    <t>TGS-12</t>
  </si>
  <si>
    <t>P.PURUANDIRO</t>
  </si>
  <si>
    <t>LIRA-5-77</t>
  </si>
  <si>
    <t>HERIBERTO ALCANTARA</t>
  </si>
  <si>
    <t>BAR-INT-M-1-1/4-300</t>
  </si>
  <si>
    <t>B-CAPH-25</t>
  </si>
  <si>
    <t>NAOS-100W/LM</t>
  </si>
  <si>
    <t>TGS-10</t>
  </si>
  <si>
    <t>VAL-EXPULSORA-1/2</t>
  </si>
  <si>
    <t xml:space="preserve">SERGIO MEJIA </t>
  </si>
  <si>
    <t>SOP-SUJ-TUB-PRE-AP</t>
  </si>
  <si>
    <t>BAR-INT-M-3/4X300</t>
  </si>
  <si>
    <t>ABRIL</t>
  </si>
  <si>
    <t>COPPEL (Alejandro Ruiz)</t>
  </si>
  <si>
    <t>MAYO</t>
  </si>
  <si>
    <t>UV-30</t>
  </si>
  <si>
    <t>LIZETH CRUZ</t>
  </si>
  <si>
    <t>PAS-TER-100-AP</t>
  </si>
  <si>
    <t>YOLANDA RANGEL</t>
  </si>
  <si>
    <t>DANIEL LOPEZ</t>
  </si>
  <si>
    <t>TGS-20</t>
  </si>
  <si>
    <t>AATE870925L49</t>
  </si>
  <si>
    <t>BANAMEX</t>
  </si>
  <si>
    <t>002470902120053621</t>
  </si>
  <si>
    <t>NARAYAN CASTILLO</t>
  </si>
  <si>
    <t>ANI-ACC-PLA-58</t>
  </si>
  <si>
    <t>ST-12-120-S</t>
  </si>
  <si>
    <t>JUNIO</t>
  </si>
  <si>
    <t>TUP-06</t>
  </si>
  <si>
    <t>TUP-12</t>
  </si>
  <si>
    <t>TUP-10</t>
  </si>
  <si>
    <t>TINACO-1100 ERA negro</t>
  </si>
  <si>
    <t>GS-20-200-T</t>
  </si>
  <si>
    <t>JULIO</t>
  </si>
  <si>
    <t>SUNUNO-TL5K</t>
  </si>
  <si>
    <t>JASIEL CRUZ</t>
  </si>
  <si>
    <t>GR-20-200-TIENDAS</t>
  </si>
  <si>
    <t>SOP-TUBO-ST-BLAN</t>
  </si>
  <si>
    <t>LIRA-SC</t>
  </si>
  <si>
    <t>Costo unitario</t>
  </si>
  <si>
    <t>% utilidad bruta / precio</t>
  </si>
  <si>
    <t>GR-12-120-TIENDAS</t>
  </si>
  <si>
    <t xml:space="preserve">SEBASTIAN CABRAL </t>
  </si>
  <si>
    <t>AGOSTO</t>
  </si>
  <si>
    <t>Utilidad Neta x Eq.</t>
  </si>
  <si>
    <t>Utilidad Neta Total</t>
  </si>
  <si>
    <t>Utilidad Bruta</t>
  </si>
  <si>
    <t>1A ENERO</t>
  </si>
  <si>
    <t>2DA ENERO</t>
  </si>
  <si>
    <t>1A FEBRERO</t>
  </si>
  <si>
    <t>2DA FEBRERO</t>
  </si>
  <si>
    <t>1A MARZO</t>
  </si>
  <si>
    <t>2DA MARZO</t>
  </si>
  <si>
    <t>1A ABRIL</t>
  </si>
  <si>
    <t>2DA ABRIL</t>
  </si>
  <si>
    <t>1A MAYO</t>
  </si>
  <si>
    <t>2DA MAYO</t>
  </si>
  <si>
    <t>1A JUNIO</t>
  </si>
  <si>
    <t>2DA JUNIO</t>
  </si>
  <si>
    <t>1A JULIO</t>
  </si>
  <si>
    <t>2DA JULIO</t>
  </si>
  <si>
    <t>1A AGOSTO</t>
  </si>
  <si>
    <t>2DA AGOSTO</t>
  </si>
  <si>
    <t>CRISTIAN AUDEMAR</t>
  </si>
  <si>
    <t>ALEJANDRO RUIZ</t>
  </si>
  <si>
    <t>SEPTIEMBRE</t>
  </si>
  <si>
    <t>PEDRO MENDOZA</t>
  </si>
  <si>
    <t>RAFAEL AVILA</t>
  </si>
  <si>
    <t>COMPLEMENTO MENSUAL</t>
  </si>
  <si>
    <t>% COMPLEMENTO</t>
  </si>
  <si>
    <t>GR-08-80-TIENDAS</t>
  </si>
  <si>
    <t xml:space="preserve">UTILIDAD </t>
  </si>
  <si>
    <t>DIEGO MOLINERO</t>
  </si>
  <si>
    <t>TINACO-1100-SOLUCION-NEG</t>
  </si>
  <si>
    <t>WC-TAN-TAZ-3.8</t>
  </si>
  <si>
    <t>BOMBA-PRETUL-1/2P3</t>
  </si>
  <si>
    <t>LIZBETH TAPIA</t>
  </si>
  <si>
    <t>GS-08-80</t>
  </si>
  <si>
    <t>HOGAR</t>
  </si>
  <si>
    <t>OCTUBRE</t>
  </si>
  <si>
    <t>CAS-INT-COB-75-AP</t>
  </si>
  <si>
    <t>XL-20-260</t>
  </si>
  <si>
    <t>ANI-HEX-SIL-1/2X22-AP</t>
  </si>
  <si>
    <t>NOVIEMBRE</t>
  </si>
  <si>
    <t>2V-CHP</t>
  </si>
  <si>
    <t>ULISES LEMUS</t>
  </si>
  <si>
    <t>DICIEMBRE</t>
  </si>
  <si>
    <t>UTILIDAD BRUTA</t>
  </si>
  <si>
    <t>Utilidad Bruta Total</t>
  </si>
  <si>
    <t>Del 01 -15 de diciembre del 2022</t>
  </si>
  <si>
    <t>2° Diciembre</t>
  </si>
  <si>
    <t>ECOLITE-50W</t>
  </si>
  <si>
    <t>GR-10-100-TIENDAS</t>
  </si>
  <si>
    <t>GR-15-150-TIENDAS</t>
  </si>
  <si>
    <t>GR-24-240-TIENDAS</t>
  </si>
  <si>
    <t>GR-30-300-TIENDAS</t>
  </si>
  <si>
    <t xml:space="preserve"> MARIA JUAREZ</t>
  </si>
  <si>
    <t>MIGUEL SERENO</t>
  </si>
  <si>
    <t>VALVULA ANTI-VACIO</t>
  </si>
  <si>
    <t>PASTA TERMICA</t>
  </si>
  <si>
    <t>SANDRA LOPEZ</t>
  </si>
  <si>
    <t>Del 01 al 15 de enero 2023</t>
  </si>
  <si>
    <t>INTERNO</t>
  </si>
  <si>
    <t>EXTERNO</t>
  </si>
  <si>
    <t>TIPO</t>
  </si>
  <si>
    <t>VENTAS
QUINCENAL</t>
  </si>
  <si>
    <t>NOMBRE ASESOR</t>
  </si>
  <si>
    <t>QUINCENAL</t>
  </si>
  <si>
    <t>VENTAS
MENSUAL</t>
  </si>
  <si>
    <t>UTILIDAD</t>
  </si>
  <si>
    <t>% REEVALUADO</t>
  </si>
  <si>
    <t>COMISION MENSUAL</t>
  </si>
  <si>
    <t>COMISION</t>
  </si>
  <si>
    <t>LIQUIDACION MENSUAL</t>
  </si>
  <si>
    <t>NEREYDA PEREZ</t>
  </si>
  <si>
    <t>BERTHA RODRIGUEZ</t>
  </si>
  <si>
    <t xml:space="preserve">AARON OLGUIN </t>
  </si>
  <si>
    <t>MENSUAL</t>
  </si>
  <si>
    <t>C.P. YUNUEN HERNANDEZ</t>
  </si>
  <si>
    <t>ESQUEMA 22</t>
  </si>
  <si>
    <t>ESQUEMA 23</t>
  </si>
  <si>
    <t>DIFERENCIA (22 MENOS 23</t>
  </si>
  <si>
    <t>Adicionales</t>
  </si>
  <si>
    <t>RAYMUNDO LOPEZ OLVERA</t>
  </si>
  <si>
    <t>048 345 5017</t>
  </si>
  <si>
    <t>0124 7000 4834 5501 75</t>
  </si>
  <si>
    <t>TPR-12</t>
  </si>
  <si>
    <t>XL-12-160</t>
  </si>
  <si>
    <t>JOSE SALUD PEÑA AYALA</t>
  </si>
  <si>
    <t>CEI-8KW-1S</t>
  </si>
  <si>
    <t>XL-24-310</t>
  </si>
  <si>
    <t>FV-TELESCOPIO</t>
  </si>
  <si>
    <t>PAGO</t>
  </si>
  <si>
    <t>ANTICIPO</t>
  </si>
  <si>
    <t>TOTAL COMISION</t>
  </si>
  <si>
    <t>TOTAL COMISION MENSUAL</t>
  </si>
  <si>
    <t>Anticipo</t>
  </si>
  <si>
    <t>XL-10-140</t>
  </si>
  <si>
    <t>COSTO + INDI</t>
  </si>
  <si>
    <t>Costo</t>
  </si>
  <si>
    <t>U. Bruta Total</t>
  </si>
  <si>
    <t>U. Bruta Uni</t>
  </si>
  <si>
    <t>20.85%</t>
  </si>
  <si>
    <t>-</t>
  </si>
  <si>
    <t>Raymundo lopez olvera</t>
  </si>
  <si>
    <t>ADRIANA GONZALEZ</t>
  </si>
  <si>
    <t>XL-15-190</t>
  </si>
  <si>
    <t>RHP-26-300</t>
  </si>
  <si>
    <t>FLX-90-32</t>
  </si>
  <si>
    <t>REPR. SOBRE EL GASTO</t>
  </si>
  <si>
    <t>COMISION/VENTA</t>
  </si>
  <si>
    <t>TINACO 1100-ERA-BGE</t>
  </si>
  <si>
    <t>JUAN MUÑOZ</t>
  </si>
  <si>
    <t>CP-250-90</t>
  </si>
  <si>
    <t>K-ROAD100W/LM</t>
  </si>
  <si>
    <t>GERENTES</t>
  </si>
  <si>
    <t xml:space="preserve"> </t>
  </si>
  <si>
    <t>GC-10-100</t>
  </si>
  <si>
    <t>GC-12-120</t>
  </si>
  <si>
    <t>GC-15-150</t>
  </si>
  <si>
    <t>CARLOS GEMBE</t>
  </si>
  <si>
    <t>FORLITE-100W</t>
  </si>
  <si>
    <t>VAL-ANTVAC-AP</t>
  </si>
  <si>
    <t xml:space="preserve">ABRIL </t>
  </si>
  <si>
    <t>EDUARDO HERRERA</t>
  </si>
  <si>
    <t>FERNANDA DIEGO</t>
  </si>
  <si>
    <t>FORLITE-70W</t>
  </si>
  <si>
    <t xml:space="preserve">MAYO </t>
  </si>
  <si>
    <t xml:space="preserve">FILTRO GRAVEAD </t>
  </si>
  <si>
    <t>FILTRO CHP</t>
  </si>
  <si>
    <t>BAR-TUB</t>
  </si>
  <si>
    <t>ULISES SUAREZ LEMUS</t>
  </si>
  <si>
    <t>VAL-PT-0.77-90C-AP</t>
  </si>
  <si>
    <t>CAJ-EMP-39-GEN-10</t>
  </si>
  <si>
    <t>VENA-CHP-CALIENTE</t>
  </si>
  <si>
    <t>ZURITA VAZQUEZ JOSE EDUARDO HUMBERTO</t>
  </si>
  <si>
    <t>PV-IN-5S6-SL</t>
  </si>
  <si>
    <t>CAJ-EMP-39-GEN-12</t>
  </si>
  <si>
    <t>CAL-12000-GAXECO</t>
  </si>
  <si>
    <t>JOSE UBALDO LOPEZ PEREZ</t>
  </si>
  <si>
    <t>Comision</t>
  </si>
  <si>
    <t>Venta Total</t>
  </si>
  <si>
    <t>% comision mensual</t>
  </si>
  <si>
    <t>TUG-15</t>
  </si>
  <si>
    <t>regimen</t>
  </si>
  <si>
    <t>RESICO</t>
  </si>
  <si>
    <t>PF</t>
  </si>
  <si>
    <t>tug-15</t>
  </si>
  <si>
    <t>TUG-10</t>
  </si>
  <si>
    <t>TUG-12</t>
  </si>
  <si>
    <t>FACTURAS</t>
  </si>
  <si>
    <t>TUG-08</t>
  </si>
  <si>
    <t>RHP-20-240</t>
  </si>
  <si>
    <t>APS05W25</t>
  </si>
  <si>
    <t>FLX-100-32</t>
  </si>
  <si>
    <t>Matias de bocanegra #42 int B Col. Mirador del Punhuato Morelia, Mich CP. 58249</t>
  </si>
  <si>
    <t>JUAN C GONZALEZ ORTIZ</t>
  </si>
  <si>
    <t>ALEJANDRO RUIZ FUENTES</t>
  </si>
  <si>
    <t>JUAN D MOLINERO</t>
  </si>
  <si>
    <t>MARIA V HERNANDEZ TLAXCALTECA</t>
  </si>
  <si>
    <t>ESTEBAN D ALVAREZ TORRES</t>
  </si>
  <si>
    <t>EDGAR E HERRERA VALDEZ</t>
  </si>
  <si>
    <t>SEBASTIÁN A CABRAL ALDER</t>
  </si>
  <si>
    <t>JOSE GABRIEL RUIZ FUENTES</t>
  </si>
  <si>
    <t>SANDRA LOPEZ MATA</t>
  </si>
  <si>
    <t>JOSE GUADALUPE RODRIGUEZ MOLINERO</t>
  </si>
  <si>
    <t>ADRIANA LIZETH GONZALEZ</t>
  </si>
  <si>
    <t>Nereyda Esmeralda Pérez Hernández</t>
  </si>
  <si>
    <t>MARIA L TAPIA INFANTE</t>
  </si>
  <si>
    <t>Bertha Rodríguez Molinero</t>
  </si>
  <si>
    <t>VERONICA MALDONADO CALDERON</t>
  </si>
  <si>
    <t>9 CONTROL TECNICO DE FLUIDOS ARFI S.A DE C.V</t>
  </si>
  <si>
    <t>JARAI-190CM</t>
  </si>
  <si>
    <t xml:space="preserve">BAR-INT-M-1-1/4-300 </t>
  </si>
  <si>
    <t>TUER-AC</t>
  </si>
  <si>
    <t>TOR-EXT</t>
  </si>
  <si>
    <t>TUG-01R</t>
  </si>
  <si>
    <t>1H025-FS</t>
  </si>
  <si>
    <t>BL-020</t>
  </si>
  <si>
    <t>PERLA L MARROQUIN BARAJAS</t>
  </si>
  <si>
    <t>FRANCISCO JAVIER MENDEZ ORTIZ</t>
  </si>
  <si>
    <t>si</t>
  </si>
  <si>
    <t>TAIL8806278YA</t>
  </si>
  <si>
    <t xml:space="preserve">014470605638853802 </t>
  </si>
  <si>
    <t>60-56388538-0</t>
  </si>
  <si>
    <t xml:space="preserve">GOOJ611124829 </t>
  </si>
  <si>
    <t>Estatus</t>
  </si>
  <si>
    <t>INACTIVO</t>
  </si>
  <si>
    <t>TGS-15</t>
  </si>
  <si>
    <t>012470015903818300</t>
  </si>
  <si>
    <t>AEMJ000324I75</t>
  </si>
  <si>
    <t>012470015630450455</t>
  </si>
  <si>
    <t>TGS-08</t>
  </si>
  <si>
    <t>Perla Isabel Luna Molinero</t>
  </si>
  <si>
    <t>AGUSTIN GONZALEZ</t>
  </si>
  <si>
    <t xml:space="preserve"> 00/100 M.N.</t>
  </si>
  <si>
    <t>SG-S11W18EB</t>
  </si>
  <si>
    <t>SG-S04W12</t>
  </si>
  <si>
    <t>SELENE B MARTINEZ HERNANDEZ</t>
  </si>
  <si>
    <t>ALONDRA ARREOLA</t>
  </si>
  <si>
    <t>HETV9812047Q4</t>
  </si>
  <si>
    <t>012470015482177575</t>
  </si>
  <si>
    <t>MIGUEL AVILA</t>
  </si>
  <si>
    <t>3793 FERRETERIA Y MATERIALES REAL DEL MEZQUITAL</t>
  </si>
  <si>
    <t>305 FG TUBOS ACEROS Y HERRAMIENTAS</t>
  </si>
  <si>
    <t>HEVE781227KY4</t>
  </si>
  <si>
    <t>012470029927876013</t>
  </si>
  <si>
    <t>LOMS890310CU5</t>
  </si>
  <si>
    <t>012470026240101837</t>
  </si>
  <si>
    <t>012470015687547418</t>
  </si>
  <si>
    <t>TINACO-1100</t>
  </si>
  <si>
    <t>4678 DANIEL ALEJANDRO LOPEZ OLVERA</t>
  </si>
  <si>
    <t>ALEJANDRA A ORTIZ SEGURA</t>
  </si>
  <si>
    <t>DULCE H AYALA RANGEL</t>
  </si>
  <si>
    <t>FRANCISCO C TORRES</t>
  </si>
  <si>
    <t>TUG-06</t>
  </si>
  <si>
    <t>Victor H Cortés Peña</t>
  </si>
  <si>
    <t>4760 JUAN ALBERTO ROSAS CONTRERAS</t>
  </si>
  <si>
    <t>ODA580-36V-MH</t>
  </si>
  <si>
    <t>TGS-30</t>
  </si>
  <si>
    <t>GC-08-80</t>
  </si>
  <si>
    <t>GC-18-180</t>
  </si>
  <si>
    <t>GC-20-200</t>
  </si>
  <si>
    <t>GC-24-240</t>
  </si>
  <si>
    <t>GC-30-300</t>
  </si>
  <si>
    <t>TGS-18</t>
  </si>
  <si>
    <t>TGS-24</t>
  </si>
  <si>
    <t>TPR-10</t>
  </si>
  <si>
    <t>TGC-08</t>
  </si>
  <si>
    <t>TGC-10</t>
  </si>
  <si>
    <t>TGC-12</t>
  </si>
  <si>
    <t>TGC-15</t>
  </si>
  <si>
    <t>TGC-18</t>
  </si>
  <si>
    <t>TGC-20</t>
  </si>
  <si>
    <t>TGC-24</t>
  </si>
  <si>
    <t>TGC-30</t>
  </si>
  <si>
    <t>CI-350-77</t>
  </si>
  <si>
    <t>PEI-5-77</t>
  </si>
  <si>
    <t>CP-TS-60-N</t>
  </si>
  <si>
    <t>CP-TS-90-N</t>
  </si>
  <si>
    <t>CEI-3.5KW-1S</t>
  </si>
  <si>
    <t>PAQUETE-2-PANEL-270</t>
  </si>
  <si>
    <t>ODA590-36V-MH</t>
  </si>
  <si>
    <t>Luis F Sánchez Pérez</t>
  </si>
  <si>
    <t>Zurisadai C Rincon</t>
  </si>
  <si>
    <t>Sara Georgina Galvan Tzintzun</t>
  </si>
  <si>
    <t>BP1ME100</t>
  </si>
  <si>
    <t>FAMILIA</t>
  </si>
  <si>
    <t>PRODUCTO</t>
  </si>
  <si>
    <t>ODA545-36V-MH</t>
  </si>
  <si>
    <t>FE-EEA-23565</t>
  </si>
  <si>
    <t>FE-EEA-24266</t>
  </si>
  <si>
    <t>FE-EEA-24308</t>
  </si>
  <si>
    <t>FE-EEA-24337</t>
  </si>
  <si>
    <t>FE-EEA-24338</t>
  </si>
  <si>
    <t>FE-EEA-24343</t>
  </si>
  <si>
    <t>FE-EEA-24369</t>
  </si>
  <si>
    <t>FE-EEA-24372</t>
  </si>
  <si>
    <t>FE-EEA-24397</t>
  </si>
  <si>
    <t>FE-EEA-24408</t>
  </si>
  <si>
    <t>FE-EEA-24409</t>
  </si>
  <si>
    <t>FE-EEA-24410</t>
  </si>
  <si>
    <t>FE-EEA-24411</t>
  </si>
  <si>
    <t>FE-EEA-24412</t>
  </si>
  <si>
    <t>FE-EEA-24413</t>
  </si>
  <si>
    <t>FE-EEA-24414</t>
  </si>
  <si>
    <t>FE-EEA-24415</t>
  </si>
  <si>
    <t>FE-EEA-24416</t>
  </si>
  <si>
    <t>FE-EEA-24417</t>
  </si>
  <si>
    <t>FE-EEA-24418</t>
  </si>
  <si>
    <t>FE-EEA-24419</t>
  </si>
  <si>
    <t>FE-EEA-24420</t>
  </si>
  <si>
    <t>FE-EEA-24421</t>
  </si>
  <si>
    <t>FE-EEA-24422</t>
  </si>
  <si>
    <t>FE-EEA-24426</t>
  </si>
  <si>
    <t>FE-EEA-24428</t>
  </si>
  <si>
    <t>FE-EEA-24429</t>
  </si>
  <si>
    <t>FE-EEA-24430</t>
  </si>
  <si>
    <t>FE-EEA-24431</t>
  </si>
  <si>
    <t>FE-EEA-24432</t>
  </si>
  <si>
    <t>FE-EEA-24433</t>
  </si>
  <si>
    <t>FE-EEA-24434</t>
  </si>
  <si>
    <t>FE-EEA-24436</t>
  </si>
  <si>
    <t>FE-EEA-24437</t>
  </si>
  <si>
    <t>FE-EEA-24438</t>
  </si>
  <si>
    <t>FE-EEA-24439</t>
  </si>
  <si>
    <t>FE-EEA-24440</t>
  </si>
  <si>
    <t>FE-EEA-24441</t>
  </si>
  <si>
    <t>FE-EEA-24442</t>
  </si>
  <si>
    <t>FE-EEA-24443</t>
  </si>
  <si>
    <t>FE-EEA-24444</t>
  </si>
  <si>
    <t>FE-EEA-24445</t>
  </si>
  <si>
    <t>FE-EEA-24446</t>
  </si>
  <si>
    <t>FE-EEA-24447</t>
  </si>
  <si>
    <t>FE-EEA-24448</t>
  </si>
  <si>
    <t>FE-EEA-24449</t>
  </si>
  <si>
    <t>FE-EEA-24450</t>
  </si>
  <si>
    <t>FE-EEA-24451</t>
  </si>
  <si>
    <t>FE-EEA-24452</t>
  </si>
  <si>
    <t>FE-EEA-24454</t>
  </si>
  <si>
    <t>FE-EEA-24455</t>
  </si>
  <si>
    <t>FE-EEA-24456</t>
  </si>
  <si>
    <t>FE-EEA-24458</t>
  </si>
  <si>
    <t>FE-EEA-24459</t>
  </si>
  <si>
    <t>FE-EEA-24460</t>
  </si>
  <si>
    <t>FE-EEA-24462</t>
  </si>
  <si>
    <t>FE-EEA-24463</t>
  </si>
  <si>
    <t>FE-EEA-24464</t>
  </si>
  <si>
    <t>FE-EEA-24465</t>
  </si>
  <si>
    <t>FE-EEA-24466</t>
  </si>
  <si>
    <t>FE-EEA-24467</t>
  </si>
  <si>
    <t>FE-EEA-24468</t>
  </si>
  <si>
    <t>FE-EEA-24469</t>
  </si>
  <si>
    <t>FE-EEA-24470</t>
  </si>
  <si>
    <t>FE-EEA-24471</t>
  </si>
  <si>
    <t>FE-EEA-24473</t>
  </si>
  <si>
    <t>FE-EEA-24474</t>
  </si>
  <si>
    <t>FE-EEA-24475</t>
  </si>
  <si>
    <t>FE-EEA-24476</t>
  </si>
  <si>
    <t>FE-EEA-24477</t>
  </si>
  <si>
    <t>FE-EEA-24478</t>
  </si>
  <si>
    <t>FE-EEA-24479</t>
  </si>
  <si>
    <t>FE-EEA-24480</t>
  </si>
  <si>
    <t>FE-EEA-24481</t>
  </si>
  <si>
    <t>FE-EEA-24482</t>
  </si>
  <si>
    <t>FE-EEA-24483</t>
  </si>
  <si>
    <t>FE-EEA-24484</t>
  </si>
  <si>
    <t>FE-EEA-24485</t>
  </si>
  <si>
    <t>FE-EEA-24487</t>
  </si>
  <si>
    <t>FE-EEA-24488</t>
  </si>
  <si>
    <t>FE-EEA-24489</t>
  </si>
  <si>
    <t>FE-EEA-24490</t>
  </si>
  <si>
    <t>FE-EEA-24491</t>
  </si>
  <si>
    <t>FE-EEA-24492</t>
  </si>
  <si>
    <t>FE-EEA-24493</t>
  </si>
  <si>
    <t>FE-EEA-24494</t>
  </si>
  <si>
    <t>FE-EEA-24496</t>
  </si>
  <si>
    <t>FE-EEA-24497</t>
  </si>
  <si>
    <t>FE-EEA-24498</t>
  </si>
  <si>
    <t>FE-EEA-24499</t>
  </si>
  <si>
    <t>FE-EEA-24503</t>
  </si>
  <si>
    <t>FE-EEA-24504</t>
  </si>
  <si>
    <t>FE-EEA-24505</t>
  </si>
  <si>
    <t>FE-EEA-24507</t>
  </si>
  <si>
    <t>FE-EEA-24508</t>
  </si>
  <si>
    <t>FE-EEA-24509</t>
  </si>
  <si>
    <t>FE-EEA-24510</t>
  </si>
  <si>
    <t>FE-EEA-24511</t>
  </si>
  <si>
    <t>FE-EEA-24512</t>
  </si>
  <si>
    <t>FE-EEA-24513</t>
  </si>
  <si>
    <t>FE-EEA-24516</t>
  </si>
  <si>
    <t>FE-EEA-24520</t>
  </si>
  <si>
    <t>FE-EEA-24521</t>
  </si>
  <si>
    <t>FE-EEA-24522</t>
  </si>
  <si>
    <t>FE-EEA-24523</t>
  </si>
  <si>
    <t>FE-EEA-24524</t>
  </si>
  <si>
    <t>FE-EEA-24525</t>
  </si>
  <si>
    <t>Claudia N Cruz</t>
  </si>
  <si>
    <t>Limite inf</t>
  </si>
  <si>
    <t>Limite sup</t>
  </si>
  <si>
    <t>FE-EEA-24461</t>
  </si>
  <si>
    <t>FE-EEA-24495</t>
  </si>
  <si>
    <t>FE-EEA-24506</t>
  </si>
  <si>
    <t>FE-EEA-24527</t>
  </si>
  <si>
    <t>FE-EEA-24528</t>
  </si>
  <si>
    <t>FE-EEA-24529</t>
  </si>
  <si>
    <t>FE-EEA-24530</t>
  </si>
  <si>
    <t>FE-EEA-24531</t>
  </si>
  <si>
    <t>FE-EEA-24532</t>
  </si>
  <si>
    <t>FE-EEA-24533</t>
  </si>
  <si>
    <t>FE-EEA-24534</t>
  </si>
  <si>
    <t>FE-EEA-24535</t>
  </si>
  <si>
    <t>FE-EEA-24537</t>
  </si>
  <si>
    <t>FE-EEA-24538</t>
  </si>
  <si>
    <t>FE-EEA-24539</t>
  </si>
  <si>
    <t>FE-EEA-24540</t>
  </si>
  <si>
    <t>FE-EEA-24541</t>
  </si>
  <si>
    <t>FE-EEA-24542</t>
  </si>
  <si>
    <t>FE-EEA-24543</t>
  </si>
  <si>
    <t>FE-EEA-24544</t>
  </si>
  <si>
    <t>FE-EEA-24545</t>
  </si>
  <si>
    <t>FE-EEA-24546</t>
  </si>
  <si>
    <t>FE-EEA-24547</t>
  </si>
  <si>
    <t>FE-EEA-24548</t>
  </si>
  <si>
    <t>FE-EEA-24549</t>
  </si>
  <si>
    <t>FE-EEA-24550</t>
  </si>
  <si>
    <t>FE-EEA-24552</t>
  </si>
  <si>
    <t>FE-EEA-24554</t>
  </si>
  <si>
    <t>FE-EEA-24555</t>
  </si>
  <si>
    <t>FE-EEA-24557</t>
  </si>
  <si>
    <t>FE-EEA-24558</t>
  </si>
  <si>
    <t>FE-EEA-24559</t>
  </si>
  <si>
    <t>FE-EEA-24560</t>
  </si>
  <si>
    <t>FE-EEA-24561</t>
  </si>
  <si>
    <t>FE-EEA-24562</t>
  </si>
  <si>
    <t>FE-EEA-24563</t>
  </si>
  <si>
    <t>FE-EEA-24564</t>
  </si>
  <si>
    <t>FE-EEA-24565</t>
  </si>
  <si>
    <t>FE-EEA-24566</t>
  </si>
  <si>
    <t>FE-EEA-24567</t>
  </si>
  <si>
    <t>FE-EEA-24568</t>
  </si>
  <si>
    <t>FE-EEA-24569</t>
  </si>
  <si>
    <t>FE-EEA-24570</t>
  </si>
  <si>
    <t>FE-EEA-24571</t>
  </si>
  <si>
    <t>FE-EEA-24572</t>
  </si>
  <si>
    <t>FE-EEA-24573</t>
  </si>
  <si>
    <t>FE-EEA-24574</t>
  </si>
  <si>
    <t>FE-EEA-24575</t>
  </si>
  <si>
    <t>FE-EEA-24576</t>
  </si>
  <si>
    <t>FE-EEA-24577</t>
  </si>
  <si>
    <t>FE-EEA-24578</t>
  </si>
  <si>
    <t>FE-EEA-24579</t>
  </si>
  <si>
    <t>FE-EEA-24580</t>
  </si>
  <si>
    <t>FE-EEA-24581</t>
  </si>
  <si>
    <t>FE-EEA-24582</t>
  </si>
  <si>
    <t>FE-EEA-24583</t>
  </si>
  <si>
    <t>FE-EEA-24584</t>
  </si>
  <si>
    <t>FE-EEA-24585</t>
  </si>
  <si>
    <t>FE-EEA-24587</t>
  </si>
  <si>
    <t>FE-EEA-24588</t>
  </si>
  <si>
    <t>FE-EEA-24589</t>
  </si>
  <si>
    <t>FE-EEA-24590</t>
  </si>
  <si>
    <t>FE-EEA-24591</t>
  </si>
  <si>
    <t>FE-EEA-24592</t>
  </si>
  <si>
    <t>FE-EEA-24593</t>
  </si>
  <si>
    <t>FE-EEA-24594</t>
  </si>
  <si>
    <t>FE-EEA-24595</t>
  </si>
  <si>
    <t>FE-EEA-24596</t>
  </si>
  <si>
    <t>FE-EEA-24597</t>
  </si>
  <si>
    <t>FE-EEA-24598</t>
  </si>
  <si>
    <t>FE-EEA-24599</t>
  </si>
  <si>
    <t>FE-EEA-24600</t>
  </si>
  <si>
    <t>FE-EEA-24601</t>
  </si>
  <si>
    <t>FE-EEA-24602</t>
  </si>
  <si>
    <t>FE-EEA-24603</t>
  </si>
  <si>
    <t>FE-EEA-24604</t>
  </si>
  <si>
    <t>FE-EEA-24605</t>
  </si>
  <si>
    <t>FE-EEA-24606</t>
  </si>
  <si>
    <t>FE-EEA-24607</t>
  </si>
  <si>
    <t>FE-EEA-24608</t>
  </si>
  <si>
    <t>FE-EEA-24609</t>
  </si>
  <si>
    <t>FE-EEA-24610</t>
  </si>
  <si>
    <t>FE-EEA-24614</t>
  </si>
  <si>
    <t>FE-EEA-24615</t>
  </si>
  <si>
    <t>FE-EEA-24616</t>
  </si>
  <si>
    <t>FE-EEA-24617</t>
  </si>
  <si>
    <t>FE-EEA-24618</t>
  </si>
  <si>
    <t>FE-EEA-24619</t>
  </si>
  <si>
    <t>FE-EEA-24620</t>
  </si>
  <si>
    <t>FE-EEA-24622</t>
  </si>
  <si>
    <t>FE-EEA-24623</t>
  </si>
  <si>
    <t>FE-EEA-24624</t>
  </si>
  <si>
    <t>FE-EEA-24626</t>
  </si>
  <si>
    <t>FE-EEA-24627</t>
  </si>
  <si>
    <t>FE-EEA-24628</t>
  </si>
  <si>
    <t>FE-EEA-24629</t>
  </si>
  <si>
    <t>FE-EEA-24630</t>
  </si>
  <si>
    <t>FE-EEA-24631</t>
  </si>
  <si>
    <t>FE-EEA-24632</t>
  </si>
  <si>
    <t>FE-EEA-24634</t>
  </si>
  <si>
    <t>FE-EEA-24635</t>
  </si>
  <si>
    <t>FE-EEA-24636</t>
  </si>
  <si>
    <t>FE-EEA-24637</t>
  </si>
  <si>
    <t>FE-EEA-24638</t>
  </si>
  <si>
    <t>FE-EEA-24642</t>
  </si>
  <si>
    <t>FE-EEA-24643</t>
  </si>
  <si>
    <t>FE-EEA-24644</t>
  </si>
  <si>
    <t>FE-EEA-24646</t>
  </si>
  <si>
    <t>FE-EEA-24647</t>
  </si>
  <si>
    <t>56 ALBERTO BRETON MUÑOZ</t>
  </si>
  <si>
    <t>25 CONECTIVIDAD PARA EL HABITAT</t>
  </si>
  <si>
    <t>231 CONSTRUCTORA CABOSA : INMOBILIARIA MICHOACANA HERSOL</t>
  </si>
  <si>
    <t>181 MEDA CASA SA DE CV</t>
  </si>
  <si>
    <t>3547 GRACIELA MONTOYA GAONA</t>
  </si>
  <si>
    <t>683 Tuberías de Oriente, S.A. de C.V</t>
  </si>
  <si>
    <t>39 PROMOCIONES HABI S.A. DE C.V.</t>
  </si>
  <si>
    <t>3972 SANITARIOS AZULEJOS Y RECUBRIMIENTOS : CONJUNTO SAR</t>
  </si>
  <si>
    <t>290 ARTURO OLGUIN CATAÑO</t>
  </si>
  <si>
    <t>29/02/2025</t>
  </si>
  <si>
    <t>FE-EEA-24517</t>
  </si>
  <si>
    <t>FE-EEA-24586</t>
  </si>
  <si>
    <t>FE-EEA-24613</t>
  </si>
  <si>
    <t>FE-EEA-24621</t>
  </si>
  <si>
    <t>FE-EEA-24625</t>
  </si>
  <si>
    <t>FE-EEA-24645</t>
  </si>
  <si>
    <t>FE-EEA-24648</t>
  </si>
  <si>
    <t>FE-EEA-24649</t>
  </si>
  <si>
    <t>FE-EEA-24650</t>
  </si>
  <si>
    <t>FE-EEA-24651</t>
  </si>
  <si>
    <t>FE-EEA-24653</t>
  </si>
  <si>
    <t>FE-EEA-24654</t>
  </si>
  <si>
    <t>FE-EEA-24656</t>
  </si>
  <si>
    <t>FE-EEA-24657</t>
  </si>
  <si>
    <t>FE-EEA-24663</t>
  </si>
  <si>
    <t>FE-EEA-24664</t>
  </si>
  <si>
    <t>FE-EEA-24668</t>
  </si>
  <si>
    <t>FE-EEA-24669</t>
  </si>
  <si>
    <t>FE-EEA-24671</t>
  </si>
  <si>
    <t>FE-EEA-24674</t>
  </si>
  <si>
    <t>FE-EEA-24676</t>
  </si>
  <si>
    <t>FE-EEA-24677</t>
  </si>
  <si>
    <t>FE-EEA-24679</t>
  </si>
  <si>
    <t>FE-EEA-24680</t>
  </si>
  <si>
    <t>FE-EEA-24686</t>
  </si>
  <si>
    <t>FE-EEA-24687</t>
  </si>
  <si>
    <t>FE-EEA-24688</t>
  </si>
  <si>
    <t>FE-EEA-24689</t>
  </si>
  <si>
    <t>FE-EEA-24690</t>
  </si>
  <si>
    <t>FE-EEA-24691</t>
  </si>
  <si>
    <t>FE-EEA-24692</t>
  </si>
  <si>
    <t>FE-EEA-24693</t>
  </si>
  <si>
    <t>FE-EEA-24712</t>
  </si>
  <si>
    <t>FE-EEA-24714</t>
  </si>
  <si>
    <t>FE-EEA-24715</t>
  </si>
  <si>
    <t>FE-EEA-24716</t>
  </si>
  <si>
    <t>FE-EEA-24718</t>
  </si>
  <si>
    <t>FE-EEA-24719</t>
  </si>
  <si>
    <t>FE-EEA-24943</t>
  </si>
  <si>
    <t>FE-EEA-24948</t>
  </si>
  <si>
    <t>FE-EEA-24951</t>
  </si>
  <si>
    <t>FE-EEA-24952</t>
  </si>
  <si>
    <t>FE-EEA-24953</t>
  </si>
  <si>
    <t>FE-EEA-24954</t>
  </si>
  <si>
    <t>FE-EEA-24955</t>
  </si>
  <si>
    <t>FE-EEA-24956</t>
  </si>
  <si>
    <t>FE-EEA-24957</t>
  </si>
  <si>
    <t>FE-EEA-24958</t>
  </si>
  <si>
    <t>FE-EEA-24959</t>
  </si>
  <si>
    <t>FE-EEA-24960</t>
  </si>
  <si>
    <t>FE-EEA-24961</t>
  </si>
  <si>
    <t>FE-EEA-24962</t>
  </si>
  <si>
    <t>FE-EEA-24963</t>
  </si>
  <si>
    <t>FE-EEA-24964</t>
  </si>
  <si>
    <t>FE-EEA-24965</t>
  </si>
  <si>
    <t>FE-EEA-24966</t>
  </si>
  <si>
    <t>FE-EEA-24967</t>
  </si>
  <si>
    <t>FE-EEA-24968</t>
  </si>
  <si>
    <t>FE-EEA-24969</t>
  </si>
  <si>
    <t>4593 CAR COMERCIALIZADORA</t>
  </si>
  <si>
    <t>FE-EEA-24711</t>
  </si>
  <si>
    <t>FE-EEA-24713</t>
  </si>
  <si>
    <t>FE-EEA-24717</t>
  </si>
  <si>
    <t>FE-EEA-24720</t>
  </si>
  <si>
    <t>FE-EEA-24721</t>
  </si>
  <si>
    <t>FE-EEA-24722</t>
  </si>
  <si>
    <t>FE-EEA-24723</t>
  </si>
  <si>
    <t>FE-EEA-24724</t>
  </si>
  <si>
    <t>FE-EEA-24725</t>
  </si>
  <si>
    <t>FE-EEA-24726</t>
  </si>
  <si>
    <t>FE-EEA-24727</t>
  </si>
  <si>
    <t>FE-EEA-24728</t>
  </si>
  <si>
    <t>FE-EEA-24729</t>
  </si>
  <si>
    <t>FE-EEA-24730</t>
  </si>
  <si>
    <t>FE-EEA-24731</t>
  </si>
  <si>
    <t>FE-EEA-24732</t>
  </si>
  <si>
    <t>FE-EEA-24733</t>
  </si>
  <si>
    <t>FE-EEA-24734</t>
  </si>
  <si>
    <t>FE-EEA-24735</t>
  </si>
  <si>
    <t>FE-EEA-24737</t>
  </si>
  <si>
    <t>FE-EEA-24738</t>
  </si>
  <si>
    <t>FE-EEA-24741</t>
  </si>
  <si>
    <t>FE-EEA-24742</t>
  </si>
  <si>
    <t>FE-EEA-24743</t>
  </si>
  <si>
    <t>FE-EEA-24744</t>
  </si>
  <si>
    <t>FE-EEA-24745</t>
  </si>
  <si>
    <t>FE-EEA-24746</t>
  </si>
  <si>
    <t>FE-EEA-24747</t>
  </si>
  <si>
    <t>FE-EEA-24748</t>
  </si>
  <si>
    <t>FE-EEA-24749</t>
  </si>
  <si>
    <t>FE-EEA-24750</t>
  </si>
  <si>
    <t>FE-EEA-24751</t>
  </si>
  <si>
    <t>FE-EEA-24752</t>
  </si>
  <si>
    <t>FE-EEA-24753</t>
  </si>
  <si>
    <t>FE-EEA-24754</t>
  </si>
  <si>
    <t>FE-EEA-24755</t>
  </si>
  <si>
    <t>FE-EEA-24756</t>
  </si>
  <si>
    <t>FE-EEA-24757</t>
  </si>
  <si>
    <t>FE-EEA-24758</t>
  </si>
  <si>
    <t>FE-EEA-24759</t>
  </si>
  <si>
    <t>FE-EEA-24760</t>
  </si>
  <si>
    <t>FE-EEA-24761</t>
  </si>
  <si>
    <t>FE-EEA-24762</t>
  </si>
  <si>
    <t>FE-EEA-24763</t>
  </si>
  <si>
    <t>FE-EEA-24764</t>
  </si>
  <si>
    <t>FE-EEA-24765</t>
  </si>
  <si>
    <t>FE-EEA-24766</t>
  </si>
  <si>
    <t>FE-EEA-24767</t>
  </si>
  <si>
    <t>FE-EEA-24768</t>
  </si>
  <si>
    <t>FE-EEA-24770</t>
  </si>
  <si>
    <t>FE-EEA-24771</t>
  </si>
  <si>
    <t>FE-EEA-24774</t>
  </si>
  <si>
    <t>FE-EEA-24775</t>
  </si>
  <si>
    <t>FE-EEA-24776</t>
  </si>
  <si>
    <t>FE-EEA-24777</t>
  </si>
  <si>
    <t>FE-EEA-24778</t>
  </si>
  <si>
    <t>FE-EEA-24779</t>
  </si>
  <si>
    <t>FE-EEA-24780</t>
  </si>
  <si>
    <t>FE-EEA-24781</t>
  </si>
  <si>
    <t>FE-EEA-24782</t>
  </si>
  <si>
    <t>FE-EEA-24783</t>
  </si>
  <si>
    <t>FE-EEA-24784</t>
  </si>
  <si>
    <t>FE-EEA-24785</t>
  </si>
  <si>
    <t>FE-EEA-24788</t>
  </si>
  <si>
    <t>FE-EEA-24789</t>
  </si>
  <si>
    <t>FE-EEA-24790</t>
  </si>
  <si>
    <t>FE-EEA-24791</t>
  </si>
  <si>
    <t>FE-EEA-24792</t>
  </si>
  <si>
    <t>FE-EEA-24793</t>
  </si>
  <si>
    <t>FE-EEA-24794</t>
  </si>
  <si>
    <t>FE-EEA-24795</t>
  </si>
  <si>
    <t>FE-EEA-24796</t>
  </si>
  <si>
    <t>FE-EEA-24797</t>
  </si>
  <si>
    <t>FE-EEA-24798</t>
  </si>
  <si>
    <t>FE-EEA-24799</t>
  </si>
  <si>
    <t>FE-EEA-24800</t>
  </si>
  <si>
    <t>FE-EEA-24801</t>
  </si>
  <si>
    <t>FE-EEA-24802</t>
  </si>
  <si>
    <t>FE-EEA-24803</t>
  </si>
  <si>
    <t>FE-EEA-24804</t>
  </si>
  <si>
    <t>FE-EEA-24805</t>
  </si>
  <si>
    <t>FE-EEA-24806</t>
  </si>
  <si>
    <t>FE-EEA-24807</t>
  </si>
  <si>
    <t>FE-EEA-24808</t>
  </si>
  <si>
    <t>FE-EEA-24809</t>
  </si>
  <si>
    <t>FE-EEA-24810</t>
  </si>
  <si>
    <t>FE-EEA-24811</t>
  </si>
  <si>
    <t>FE-EEA-24812</t>
  </si>
  <si>
    <t>FE-EEA-24813</t>
  </si>
  <si>
    <t>FE-EEA-24814</t>
  </si>
  <si>
    <t>FE-EEA-24815</t>
  </si>
  <si>
    <t>FE-EEA-24816</t>
  </si>
  <si>
    <t>FE-EEA-24817</t>
  </si>
  <si>
    <t>FE-EEA-24818</t>
  </si>
  <si>
    <t>FE-EEA-24819</t>
  </si>
  <si>
    <t>FE-EEA-24820</t>
  </si>
  <si>
    <t>FE-EEA-24821</t>
  </si>
  <si>
    <t>FE-EEA-24822</t>
  </si>
  <si>
    <t>FE-EEA-24823</t>
  </si>
  <si>
    <t>FE-EEA-24824</t>
  </si>
  <si>
    <t>FE-EEA-24826</t>
  </si>
  <si>
    <t>FE-EEA-24828</t>
  </si>
  <si>
    <t>FE-EEA-24829</t>
  </si>
  <si>
    <t>FE-EEA-24830</t>
  </si>
  <si>
    <t>FE-EEA-24831</t>
  </si>
  <si>
    <t>FE-EEA-24832</t>
  </si>
  <si>
    <t>FE-EEA-24833</t>
  </si>
  <si>
    <t>FE-EEA-24834</t>
  </si>
  <si>
    <t>FE-EEA-24835</t>
  </si>
  <si>
    <t>FE-EEA-24836</t>
  </si>
  <si>
    <t>FE-EEA-24837</t>
  </si>
  <si>
    <t>FE-EEA-24838</t>
  </si>
  <si>
    <t>FE-EEA-24839</t>
  </si>
  <si>
    <t>FE-EEA-24840</t>
  </si>
  <si>
    <t>FE-EEA-24841</t>
  </si>
  <si>
    <t>FE-EEA-24842</t>
  </si>
  <si>
    <t>FE-EEA-24843</t>
  </si>
  <si>
    <t>FE-EEA-24844</t>
  </si>
  <si>
    <t>FE-EEA-24845</t>
  </si>
  <si>
    <t>FE-EEA-24846</t>
  </si>
  <si>
    <t>FE-EEA-24847</t>
  </si>
  <si>
    <t>FE-EEA-24851</t>
  </si>
  <si>
    <t>FE-EEA-24856</t>
  </si>
  <si>
    <t>FE-EEA-24857</t>
  </si>
  <si>
    <t>FE-EEA-24858</t>
  </si>
  <si>
    <t>FE-EEA-24859</t>
  </si>
  <si>
    <t>FE-EEA-24860</t>
  </si>
  <si>
    <t>FE-EEA-24861</t>
  </si>
  <si>
    <t>FE-EEA-24862</t>
  </si>
  <si>
    <t>FE-EEA-24863</t>
  </si>
  <si>
    <t>FE-EEA-24864</t>
  </si>
  <si>
    <t>FE-EEA-24865</t>
  </si>
  <si>
    <t>FE-EEA-24866</t>
  </si>
  <si>
    <t>FE-EEA-24867</t>
  </si>
  <si>
    <t>FE-EEA-24868</t>
  </si>
  <si>
    <t>FE-EEA-24870</t>
  </si>
  <si>
    <t>FE-EEA-24871</t>
  </si>
  <si>
    <t>FE-EEA-24872</t>
  </si>
  <si>
    <t>FE-EEA-24873</t>
  </si>
  <si>
    <t>FE-EEA-24874</t>
  </si>
  <si>
    <t>FE-EEA-24875</t>
  </si>
  <si>
    <t>FE-EEA-24876</t>
  </si>
  <si>
    <t>FE-EEA-24877</t>
  </si>
  <si>
    <t>FE-EEA-24878</t>
  </si>
  <si>
    <t>FE-EEA-24879</t>
  </si>
  <si>
    <t>FE-EEA-24880</t>
  </si>
  <si>
    <t>FE-EEA-24881</t>
  </si>
  <si>
    <t>FE-EEA-24882</t>
  </si>
  <si>
    <t>FE-EEA-24883</t>
  </si>
  <si>
    <t>FE-EEA-24884</t>
  </si>
  <si>
    <t>FE-EEA-24885</t>
  </si>
  <si>
    <t>FE-EEA-24886</t>
  </si>
  <si>
    <t>FE-EEA-24887</t>
  </si>
  <si>
    <t>FE-EEA-24888</t>
  </si>
  <si>
    <t>FE-EEA-24889</t>
  </si>
  <si>
    <t>FE-EEA-24890</t>
  </si>
  <si>
    <t>FE-EEA-24891</t>
  </si>
  <si>
    <t>FE-EEA-24892</t>
  </si>
  <si>
    <t>FE-EEA-24893</t>
  </si>
  <si>
    <t>FE-EEA-24894</t>
  </si>
  <si>
    <t>FE-EEA-24895</t>
  </si>
  <si>
    <t>FE-EEA-24896</t>
  </si>
  <si>
    <t>FE-EEA-24897</t>
  </si>
  <si>
    <t>FE-EEA-24899</t>
  </si>
  <si>
    <t>FE-EEA-24902</t>
  </si>
  <si>
    <t>FE-EEA-24904</t>
  </si>
  <si>
    <t>FE-EEA-24905</t>
  </si>
  <si>
    <t>FE-EEA-24907</t>
  </si>
  <si>
    <t>FE-EEA-24910</t>
  </si>
  <si>
    <t>FE-EEA-24911</t>
  </si>
  <si>
    <t>FE-EEA-24913</t>
  </si>
  <si>
    <t>FE-EEA-24915</t>
  </si>
  <si>
    <t>FE-EEA-24917</t>
  </si>
  <si>
    <t>FE-EEA-24918</t>
  </si>
  <si>
    <t>FE-EEA-24919</t>
  </si>
  <si>
    <t>FE-EEA-24923</t>
  </si>
  <si>
    <t>FE-EEA-24924</t>
  </si>
  <si>
    <t>FE-EEA-24925</t>
  </si>
  <si>
    <t>FE-EEA-24944</t>
  </si>
  <si>
    <t>FE-EEA-24945</t>
  </si>
  <si>
    <t>FE-EEA-24946</t>
  </si>
  <si>
    <t>FE-EEA-24947</t>
  </si>
  <si>
    <t>FE-EEA-24949</t>
  </si>
  <si>
    <t>FE-EEA-24950</t>
  </si>
  <si>
    <t>3078 Proveedora de Servicios Gubernamentales</t>
  </si>
  <si>
    <t>4326 MUNICIPIO DE IXTAPAN DE LA SAL</t>
  </si>
  <si>
    <t>FE-EEA-24849</t>
  </si>
  <si>
    <t>FE-EEA-24850</t>
  </si>
  <si>
    <t>FE-EEA-24898</t>
  </si>
  <si>
    <t>FE-EEA-24901</t>
  </si>
  <si>
    <t>FE-EEA-24903</t>
  </si>
  <si>
    <t>FE-EEA-24906</t>
  </si>
  <si>
    <t>FE-EEA-24908</t>
  </si>
  <si>
    <t>FE-EEA-24909</t>
  </si>
  <si>
    <t>FE-EEA-24912</t>
  </si>
  <si>
    <t>FE-EEA-24914</t>
  </si>
  <si>
    <t>FE-EEA-24920</t>
  </si>
  <si>
    <t>FE-EEA-24921</t>
  </si>
  <si>
    <t>FE-EEA-24926</t>
  </si>
  <si>
    <t>FE-EEA-24927</t>
  </si>
  <si>
    <t>FE-EEA-24928</t>
  </si>
  <si>
    <t>FE-EEA-24929</t>
  </si>
  <si>
    <t>FE-EEA-24930</t>
  </si>
  <si>
    <t>FE-EEA-24931</t>
  </si>
  <si>
    <t>FE-EEA-24932</t>
  </si>
  <si>
    <t>FE-EEA-24933</t>
  </si>
  <si>
    <t>FE-EEA-24934</t>
  </si>
  <si>
    <t>FE-EEA-24935</t>
  </si>
  <si>
    <t>FE-EEA-24937</t>
  </si>
  <si>
    <t>FE-EEA-24938</t>
  </si>
  <si>
    <t>FE-EEA-24940</t>
  </si>
  <si>
    <t>FE-EEA-24941</t>
  </si>
  <si>
    <t>FE-EEA-24942</t>
  </si>
  <si>
    <t>FE-EEA-24970</t>
  </si>
  <si>
    <t>FE-EEA-24971</t>
  </si>
  <si>
    <t>FE-EEA-24972</t>
  </si>
  <si>
    <t>FE-EEA-24973</t>
  </si>
  <si>
    <t>FE-EEA-24974</t>
  </si>
  <si>
    <t>FE-EEA-24975</t>
  </si>
  <si>
    <t>FE-EEA-24976</t>
  </si>
  <si>
    <t>FE-EEA-24977</t>
  </si>
  <si>
    <t>FE-EEA-24978</t>
  </si>
  <si>
    <t>FE-EEA-24979</t>
  </si>
  <si>
    <t>FE-EEA-24980</t>
  </si>
  <si>
    <t>FE-EEA-24983</t>
  </si>
  <si>
    <t>FE-EEA-24984</t>
  </si>
  <si>
    <t>FE-EEA-24985</t>
  </si>
  <si>
    <t>FE-EEA-24986</t>
  </si>
  <si>
    <t>FE-EEA-24987</t>
  </si>
  <si>
    <t>FE-EEA-24988</t>
  </si>
  <si>
    <t>FE-EEA-24989</t>
  </si>
  <si>
    <t>FE-EEA-24991</t>
  </si>
  <si>
    <t>FE-EEA-24992</t>
  </si>
  <si>
    <t>FE-EEA-24993</t>
  </si>
  <si>
    <t>FE-EEA-24995</t>
  </si>
  <si>
    <t>FE-EEA-24999</t>
  </si>
  <si>
    <t>FE-EEA-25000</t>
  </si>
  <si>
    <t>FE-EEA-25001</t>
  </si>
  <si>
    <t>FE-EEA-25002</t>
  </si>
  <si>
    <t>FE-EEA-25003</t>
  </si>
  <si>
    <t>FE-EEA-25004</t>
  </si>
  <si>
    <t>FE-EEA-25005</t>
  </si>
  <si>
    <t>FE-EEA-25006</t>
  </si>
  <si>
    <t>FE-EEA-25007</t>
  </si>
  <si>
    <t>FE-EEA-25008</t>
  </si>
  <si>
    <t>FE-EEA-25009</t>
  </si>
  <si>
    <t>FE-EEA-25010</t>
  </si>
  <si>
    <t>FE-EEA-25011</t>
  </si>
  <si>
    <t>FE-EEA-25013</t>
  </si>
  <si>
    <t>FE-EEA-25014</t>
  </si>
  <si>
    <t>FE-EEA-25018</t>
  </si>
  <si>
    <t>FE-EEA-25020</t>
  </si>
  <si>
    <t>FE-EEA-25021</t>
  </si>
  <si>
    <t>FE-EEA-25022</t>
  </si>
  <si>
    <t>FE-EEA-25023</t>
  </si>
  <si>
    <t>FE-EEA-25024</t>
  </si>
  <si>
    <t>FE-EEA-25027</t>
  </si>
  <si>
    <t>FE-EEA-25029</t>
  </si>
  <si>
    <t>FE-EEA-25030</t>
  </si>
  <si>
    <t>FE-EEA-25031</t>
  </si>
  <si>
    <t>FE-EEA-25034</t>
  </si>
  <si>
    <t>FE-EEA-25035</t>
  </si>
  <si>
    <t>FE-EEA-25036</t>
  </si>
  <si>
    <t>FE-EEA-25037</t>
  </si>
  <si>
    <t>FE-EEA-25038</t>
  </si>
  <si>
    <t>FE-EEA-25039</t>
  </si>
  <si>
    <t>FE-EEA-25040</t>
  </si>
  <si>
    <t>FE-EEA-25043</t>
  </si>
  <si>
    <t>FE-EEA-25046</t>
  </si>
  <si>
    <t>FE-EEA-25047</t>
  </si>
  <si>
    <t>FE-EEA-25048</t>
  </si>
  <si>
    <t>FE-EEA-25049</t>
  </si>
  <si>
    <t>FE-EEA-25050</t>
  </si>
  <si>
    <t>FE-EEA-25051</t>
  </si>
  <si>
    <t>FE-EEA-25052</t>
  </si>
  <si>
    <t>FE-EEA-25054</t>
  </si>
  <si>
    <t>FE-EEA-25055</t>
  </si>
  <si>
    <t>FE-EEA-25057</t>
  </si>
  <si>
    <t>FE-EEA-25058</t>
  </si>
  <si>
    <t>FE-EEA-25059</t>
  </si>
  <si>
    <t>FE-EEA-25060</t>
  </si>
  <si>
    <t>FE-EEA-25063</t>
  </si>
  <si>
    <t>FE-EEA-25064</t>
  </si>
  <si>
    <t>FE-EEA-25066</t>
  </si>
  <si>
    <t>FE-EEA-25068</t>
  </si>
  <si>
    <t>FE-EEA-25069</t>
  </si>
  <si>
    <t>FE-EEA-25070</t>
  </si>
  <si>
    <t>FE-EEA-25071</t>
  </si>
  <si>
    <t>FE-EEA-25072</t>
  </si>
  <si>
    <t>FE-EEA-24990</t>
  </si>
  <si>
    <t>FE-EEA-24994</t>
  </si>
  <si>
    <t>FE-EEA-24996</t>
  </si>
  <si>
    <t>FE-EEA-24997</t>
  </si>
  <si>
    <t>FE-EEA-25015</t>
  </si>
  <si>
    <t>FE-EEA-25016</t>
  </si>
  <si>
    <t>FE-EEA-25017</t>
  </si>
  <si>
    <t>FE-EEA-25028</t>
  </si>
  <si>
    <t>FE-EEA-25044</t>
  </si>
  <si>
    <t>FE-EEA-25045</t>
  </si>
  <si>
    <t>FE-EEA-25053</t>
  </si>
  <si>
    <t>FE-EEA-25056</t>
  </si>
  <si>
    <t>FE-EEA-25065</t>
  </si>
  <si>
    <t>FE-EEA-25073</t>
  </si>
  <si>
    <t>FE-EEA-25075</t>
  </si>
  <si>
    <t>FE-EEA-25077</t>
  </si>
  <si>
    <t>FE-EEA-25079</t>
  </si>
  <si>
    <t>FE-EEA-25080</t>
  </si>
  <si>
    <t>FE-EEA-25082</t>
  </si>
  <si>
    <t>FE-EEA-25083</t>
  </si>
  <si>
    <t>FE-EEA-25084</t>
  </si>
  <si>
    <t>FE-EEA-25085</t>
  </si>
  <si>
    <t>FE-EEA-25086</t>
  </si>
  <si>
    <t>FE-EEA-25087</t>
  </si>
  <si>
    <t>FE-EEA-25088</t>
  </si>
  <si>
    <t>FE-EEA-25089</t>
  </si>
  <si>
    <t>FE-EEA-25090</t>
  </si>
  <si>
    <t>FE-EEA-25091</t>
  </si>
  <si>
    <t>FE-EEA-25092</t>
  </si>
  <si>
    <t>FE-EEA-25093</t>
  </si>
  <si>
    <t>FE-EEA-25094</t>
  </si>
  <si>
    <t>FE-EEA-25095</t>
  </si>
  <si>
    <t>FE-EEA-25096</t>
  </si>
  <si>
    <t>FE-EEA-25098</t>
  </si>
  <si>
    <t>FE-EEA-25099</t>
  </si>
  <si>
    <t>FE-EEA-25100</t>
  </si>
  <si>
    <t>FE-EEA-25101</t>
  </si>
  <si>
    <t>FE-EEA-25102</t>
  </si>
  <si>
    <t>FE-EEA-25103</t>
  </si>
  <si>
    <t>FE-EEA-25104</t>
  </si>
  <si>
    <t>FE-EEA-25105</t>
  </si>
  <si>
    <t>FE-EEA-25106</t>
  </si>
  <si>
    <t>FE-EEA-25107</t>
  </si>
  <si>
    <t>FE-EEA-25108</t>
  </si>
  <si>
    <t>FE-EEA-25109</t>
  </si>
  <si>
    <t>FE-EEA-25110</t>
  </si>
  <si>
    <t>FE-EEA-25111</t>
  </si>
  <si>
    <t>FE-EEA-25112</t>
  </si>
  <si>
    <t>FE-EEA-25113</t>
  </si>
  <si>
    <t>FE-EEA-25114</t>
  </si>
  <si>
    <t>FE-EEA-25115</t>
  </si>
  <si>
    <t>FE-EEA-25116</t>
  </si>
  <si>
    <t>FE-EEA-25117</t>
  </si>
  <si>
    <t>FE-EEA-25118</t>
  </si>
  <si>
    <t>FE-EEA-25119</t>
  </si>
  <si>
    <t>FE-EEA-25120</t>
  </si>
  <si>
    <t>FE-EEA-25121</t>
  </si>
  <si>
    <t>FE-EEA-25122</t>
  </si>
  <si>
    <t>FE-EEA-25123</t>
  </si>
  <si>
    <t>FE-EEA-25124</t>
  </si>
  <si>
    <t>FE-EEA-25127</t>
  </si>
  <si>
    <t>FE-EEA-25128</t>
  </si>
  <si>
    <t>FE-EEA-25134</t>
  </si>
  <si>
    <t>FE-EEA-25135</t>
  </si>
  <si>
    <t>FE-EEA-25136</t>
  </si>
  <si>
    <t>FE-EEA-25138</t>
  </si>
  <si>
    <t>FE-EEA-25139</t>
  </si>
  <si>
    <t>FE-EEA-25140</t>
  </si>
  <si>
    <t>FE-EEA-25141</t>
  </si>
  <si>
    <t>FE-EEA-25142</t>
  </si>
  <si>
    <t>FE-EEA-25143</t>
  </si>
  <si>
    <t>FE-EEA-25144</t>
  </si>
  <si>
    <t>FE-EEA-25145</t>
  </si>
  <si>
    <t>FE-EEA-25146</t>
  </si>
  <si>
    <t>FE-EEA-25147</t>
  </si>
  <si>
    <t>FE-EEA-25148</t>
  </si>
  <si>
    <t>FE-EEA-25149</t>
  </si>
  <si>
    <t>FE-EEA-25150</t>
  </si>
  <si>
    <t>FE-EEA-25151</t>
  </si>
  <si>
    <t>FE-EEA-25152</t>
  </si>
  <si>
    <t>FE-EEA-25153</t>
  </si>
  <si>
    <t>FE-EEA-25154</t>
  </si>
  <si>
    <t>FE-EEA-25155</t>
  </si>
  <si>
    <t>FE-EEA-25156</t>
  </si>
  <si>
    <t>FE-EEA-25157</t>
  </si>
  <si>
    <t>FE-EEA-25158</t>
  </si>
  <si>
    <t>FE-EEA-25159</t>
  </si>
  <si>
    <t>FE-EEA-25160</t>
  </si>
  <si>
    <t>FE-EEA-25161</t>
  </si>
  <si>
    <t>FE-EEA-25163</t>
  </si>
  <si>
    <t>FE-EEA-25164</t>
  </si>
  <si>
    <t>FE-EEA-25165</t>
  </si>
  <si>
    <t>FE-EEA-25166</t>
  </si>
  <si>
    <t>FE-EEA-25171</t>
  </si>
  <si>
    <t>FE-EEA-25173</t>
  </si>
  <si>
    <t>FE-EEA-25174</t>
  </si>
  <si>
    <t>FE-EEA-25176</t>
  </si>
  <si>
    <t>FE-EEA-25177</t>
  </si>
  <si>
    <t>FE-EEA-25178</t>
  </si>
  <si>
    <t>FE-EEA-25179</t>
  </si>
  <si>
    <t>FE-EEA-25180</t>
  </si>
  <si>
    <t>FE-EEA-25181</t>
  </si>
  <si>
    <t>FE-EEA-25182</t>
  </si>
  <si>
    <t>FE-EEA-25183</t>
  </si>
  <si>
    <t>FE-EEA-25184</t>
  </si>
  <si>
    <t>FE-EEA-25185</t>
  </si>
  <si>
    <t>FE-EEA-25186</t>
  </si>
  <si>
    <t>FE-EEA-25187</t>
  </si>
  <si>
    <t>FE-EEA-25188</t>
  </si>
  <si>
    <t>FE-EEA-25189</t>
  </si>
  <si>
    <t>FE-EEA-25190</t>
  </si>
  <si>
    <t>FE-EEA-25191</t>
  </si>
  <si>
    <t>FE-EEA-25192</t>
  </si>
  <si>
    <t>FE-EEA-25193</t>
  </si>
  <si>
    <t>FE-EEA-25194</t>
  </si>
  <si>
    <t>FE-EEA-25195</t>
  </si>
  <si>
    <t>FE-EEA-25196</t>
  </si>
  <si>
    <t>FE-EEA-25197</t>
  </si>
  <si>
    <t>FE-EEA-25198</t>
  </si>
  <si>
    <t>FE-EEA-25199</t>
  </si>
  <si>
    <t>FE-EEA-25200</t>
  </si>
  <si>
    <t>FE-EEA-25203</t>
  </si>
  <si>
    <t>FE-EEA-25204</t>
  </si>
  <si>
    <t>FE-EEA-25205</t>
  </si>
  <si>
    <t>FE-EEA-25206</t>
  </si>
  <si>
    <t>FE-EEA-25207</t>
  </si>
  <si>
    <t>FE-EEA-25208</t>
  </si>
  <si>
    <t>FE-EEA-25209</t>
  </si>
  <si>
    <t>FE-EEA-25210</t>
  </si>
  <si>
    <t>FE-EEA-25211</t>
  </si>
  <si>
    <t>FE-EEA-25212</t>
  </si>
  <si>
    <t>FE-EEA-25213</t>
  </si>
  <si>
    <t>FE-EEA-25214</t>
  </si>
  <si>
    <t>FE-EEA-25215</t>
  </si>
  <si>
    <t>FE-EEA-25216</t>
  </si>
  <si>
    <t>FE-EEA-25217</t>
  </si>
  <si>
    <t>FE-EEA-25218</t>
  </si>
  <si>
    <t>FE-EEA-25219</t>
  </si>
  <si>
    <t>FE-EEA-25220</t>
  </si>
  <si>
    <t>FE-EEA-25221</t>
  </si>
  <si>
    <t>FE-EEA-25222</t>
  </si>
  <si>
    <t>FE-EEA-25223</t>
  </si>
  <si>
    <t>59 OSCAR HUGO PIÑON GARCIA</t>
  </si>
  <si>
    <t>943 GREENPOINT SOLAR MEXICO</t>
  </si>
  <si>
    <t>RESUMEN COMISIONES 2025</t>
  </si>
  <si>
    <t>FE-EEA-25130</t>
  </si>
  <si>
    <t>FE-EEA-25131</t>
  </si>
  <si>
    <t>FE-EEA-25132</t>
  </si>
  <si>
    <t>FE-EEA-25133</t>
  </si>
  <si>
    <t>FE-EEA-25137</t>
  </si>
  <si>
    <t>FE-EEA-25175</t>
  </si>
  <si>
    <t>FE-EEA-25229</t>
  </si>
  <si>
    <t>FE-EEA-25230</t>
  </si>
  <si>
    <t>FE-EEA-25231</t>
  </si>
  <si>
    <t>FE-EEA-25232</t>
  </si>
  <si>
    <t>FE-EEA-25233</t>
  </si>
  <si>
    <t>FE-EEA-25236</t>
  </si>
  <si>
    <t>FE-EEA-25237</t>
  </si>
  <si>
    <t>FE-EEA-25238</t>
  </si>
  <si>
    <t>FE-EEA-25239</t>
  </si>
  <si>
    <t>FE-EEA-25240</t>
  </si>
  <si>
    <t>FE-EEA-25241</t>
  </si>
  <si>
    <t>FE-EEA-25242</t>
  </si>
  <si>
    <t>FE-EEA-25243</t>
  </si>
  <si>
    <t>FE-EEA-25244</t>
  </si>
  <si>
    <t>FE-EEA-25245</t>
  </si>
  <si>
    <t>FE-EEA-25246</t>
  </si>
  <si>
    <t>FE-EEA-25247</t>
  </si>
  <si>
    <t>FE-EEA-25248</t>
  </si>
  <si>
    <t>FE-EEA-25249</t>
  </si>
  <si>
    <t>FE-EEA-25250</t>
  </si>
  <si>
    <t>FE-EEA-25251</t>
  </si>
  <si>
    <t>FE-EEA-25252</t>
  </si>
  <si>
    <t>FE-EEA-25253</t>
  </si>
  <si>
    <t>FE-EEA-25254</t>
  </si>
  <si>
    <t>FE-EEA-25256</t>
  </si>
  <si>
    <t>FE-EEA-25257</t>
  </si>
  <si>
    <t>FE-EEA-25259</t>
  </si>
  <si>
    <t>FE-EEA-25260</t>
  </si>
  <si>
    <t>FE-EEA-25261</t>
  </si>
  <si>
    <t>FE-EEA-25262</t>
  </si>
  <si>
    <t>FE-EEA-25263</t>
  </si>
  <si>
    <t>FE-EEA-25264</t>
  </si>
  <si>
    <t>FE-EEA-25265</t>
  </si>
  <si>
    <t>FE-EEA-25266</t>
  </si>
  <si>
    <t>FE-EEA-25267</t>
  </si>
  <si>
    <t>FE-EEA-25268</t>
  </si>
  <si>
    <t>FE-EEA-25269</t>
  </si>
  <si>
    <t>FE-EEA-25270</t>
  </si>
  <si>
    <t>FE-EEA-25271</t>
  </si>
  <si>
    <t>FE-EEA-25272</t>
  </si>
  <si>
    <t>FE-EEA-25273</t>
  </si>
  <si>
    <t>FE-EEA-25275</t>
  </si>
  <si>
    <t>FE-EEA-25276</t>
  </si>
  <si>
    <t>FE-EEA-25277</t>
  </si>
  <si>
    <t>FE-EEA-25278</t>
  </si>
  <si>
    <t>FE-EEA-25279</t>
  </si>
  <si>
    <t>FE-EEA-25280</t>
  </si>
  <si>
    <t>FE-EEA-25281</t>
  </si>
  <si>
    <t>FE-EEA-25282</t>
  </si>
  <si>
    <t>FE-EEA-25283</t>
  </si>
  <si>
    <t>FE-EEA-25284</t>
  </si>
  <si>
    <t>FE-EEA-25285</t>
  </si>
  <si>
    <t>FE-EEA-25286</t>
  </si>
  <si>
    <t>FE-EEA-25287</t>
  </si>
  <si>
    <t>FE-EEA-25288</t>
  </si>
  <si>
    <t>FE-EEA-25289</t>
  </si>
  <si>
    <t>FE-EEA-25290</t>
  </si>
  <si>
    <t>FE-EEA-25291</t>
  </si>
  <si>
    <t>FE-EEA-25292</t>
  </si>
  <si>
    <t>FE-EEA-25293</t>
  </si>
  <si>
    <t>FE-EEA-25294</t>
  </si>
  <si>
    <t>FE-EEA-25295</t>
  </si>
  <si>
    <t>FE-EEA-25296</t>
  </si>
  <si>
    <t>FE-EEA-25297</t>
  </si>
  <si>
    <t>FE-EEA-25298</t>
  </si>
  <si>
    <t>FE-EEA-25299</t>
  </si>
  <si>
    <t>FE-EEA-25300</t>
  </si>
  <si>
    <t>FE-EEA-25301</t>
  </si>
  <si>
    <t>FE-EEA-25302</t>
  </si>
  <si>
    <t>FE-EEA-25303</t>
  </si>
  <si>
    <t>FE-EEA-25304</t>
  </si>
  <si>
    <t>FE-EEA-25305</t>
  </si>
  <si>
    <t>FE-EEA-25306</t>
  </si>
  <si>
    <t>FE-EEA-25307</t>
  </si>
  <si>
    <t>FE-EEA-25308</t>
  </si>
  <si>
    <t>FE-EEA-25309</t>
  </si>
  <si>
    <t>FE-EEA-25310</t>
  </si>
  <si>
    <t>FE-EEA-25311</t>
  </si>
  <si>
    <t>FE-EEA-25312</t>
  </si>
  <si>
    <t>FE-EEA-25313</t>
  </si>
  <si>
    <t>FE-EEA-25318</t>
  </si>
  <si>
    <t>FE-EEA-25319</t>
  </si>
  <si>
    <t>FE-EEA-25320</t>
  </si>
  <si>
    <t>FE-EEA-25321</t>
  </si>
  <si>
    <t>FE-EEA-25322</t>
  </si>
  <si>
    <t>FE-EEA-25323</t>
  </si>
  <si>
    <t>FE-EEA-25324</t>
  </si>
  <si>
    <t>FE-EEA-25325</t>
  </si>
  <si>
    <t>FE-EEA-25326</t>
  </si>
  <si>
    <t>FE-EEA-25327</t>
  </si>
  <si>
    <t>FE-EEA-25328</t>
  </si>
  <si>
    <t>FE-EEA-25329</t>
  </si>
  <si>
    <t>FE-EEA-25330</t>
  </si>
  <si>
    <t>FE-EEA-25331</t>
  </si>
  <si>
    <t>FE-EEA-25332</t>
  </si>
  <si>
    <t>FE-EEA-25333</t>
  </si>
  <si>
    <t>FE-EEA-25334</t>
  </si>
  <si>
    <t>FE-EEA-25335</t>
  </si>
  <si>
    <t>FE-EEA-25336</t>
  </si>
  <si>
    <t>FE-EEA-25337</t>
  </si>
  <si>
    <t>FE-EEA-25338</t>
  </si>
  <si>
    <t>FE-EEA-25339</t>
  </si>
  <si>
    <t>FE-EEA-25340</t>
  </si>
  <si>
    <t>FE-EEA-25341</t>
  </si>
  <si>
    <t>FE-EEA-25342</t>
  </si>
  <si>
    <t>FE-EEA-25343</t>
  </si>
  <si>
    <t>FE-EEA-25344</t>
  </si>
  <si>
    <t>FE-EEA-25345</t>
  </si>
  <si>
    <t>FE-EEA-25346</t>
  </si>
  <si>
    <t>FE-EEA-25347</t>
  </si>
  <si>
    <t>FE-EEA-25348</t>
  </si>
  <si>
    <t>FE-EEA-25349</t>
  </si>
  <si>
    <t>FE-EEA-25350</t>
  </si>
  <si>
    <t>FE-EEA-25351</t>
  </si>
  <si>
    <t>FE-EEA-25352</t>
  </si>
  <si>
    <t>FE-EEA-25353</t>
  </si>
  <si>
    <t>FE-EEA-25354</t>
  </si>
  <si>
    <t>FE-EEA-25356</t>
  </si>
  <si>
    <t>FE-EEA-25357</t>
  </si>
  <si>
    <t>FE-EEA-25358</t>
  </si>
  <si>
    <t>FE-EEA-25359</t>
  </si>
  <si>
    <t>FE-EEA-25361</t>
  </si>
  <si>
    <t>FE-EEA-25362</t>
  </si>
  <si>
    <t>FE-EEA-25363</t>
  </si>
  <si>
    <t>FE-EEA-25364</t>
  </si>
  <si>
    <t>FE-EEA-25365</t>
  </si>
  <si>
    <t>FE-EEA-25366</t>
  </si>
  <si>
    <t>FE-EEA-25367</t>
  </si>
  <si>
    <t>FE-EEA-25368</t>
  </si>
  <si>
    <t>FE-EEA-25369</t>
  </si>
  <si>
    <t>FE-EEA-25370</t>
  </si>
  <si>
    <t>FE-EEA-25371</t>
  </si>
  <si>
    <t>FE-EEA-25372</t>
  </si>
  <si>
    <t>FE-EEA-25373</t>
  </si>
  <si>
    <t>FE-EEA-25374</t>
  </si>
  <si>
    <t>FE-EEA-25375</t>
  </si>
  <si>
    <t>FE-EEA-25376</t>
  </si>
  <si>
    <t>FE-EEA-25377</t>
  </si>
  <si>
    <t>FE-EEA-25378</t>
  </si>
  <si>
    <t>FE-EEA-25379</t>
  </si>
  <si>
    <t>FE-EEA-25380</t>
  </si>
  <si>
    <t>FE-EEA-25381</t>
  </si>
  <si>
    <t>FE-EEA-25382</t>
  </si>
  <si>
    <t>FE-EEA-25383</t>
  </si>
  <si>
    <t>FE-EEA-25384</t>
  </si>
  <si>
    <t>FE-EEA-25385</t>
  </si>
  <si>
    <t>FE-EEA-25386</t>
  </si>
  <si>
    <t>FE-EEA-25387</t>
  </si>
  <si>
    <t>FE-EEA-25388</t>
  </si>
  <si>
    <t>FE-EEA-25389</t>
  </si>
  <si>
    <t>FE-EEA-25390</t>
  </si>
  <si>
    <t>FE-EEA-25391</t>
  </si>
  <si>
    <t>FE-EEA-25392</t>
  </si>
  <si>
    <t>FE-EEA-25393</t>
  </si>
  <si>
    <t>FE-EEA-25394</t>
  </si>
  <si>
    <t>FE-EEA-25395</t>
  </si>
  <si>
    <t>FE-EEA-25397</t>
  </si>
  <si>
    <t>FE-EEA-25398</t>
  </si>
  <si>
    <t>FE-EEA-25399</t>
  </si>
  <si>
    <t>FE-EEA-25402</t>
  </si>
  <si>
    <t>FE-EEA-25404</t>
  </si>
  <si>
    <t>FE-EEA-25405</t>
  </si>
  <si>
    <t>FE-EEA-25406</t>
  </si>
  <si>
    <t>FE-EEA-25407</t>
  </si>
  <si>
    <t>FE-EEA-25408</t>
  </si>
  <si>
    <t>FE-EEA-25409</t>
  </si>
  <si>
    <t>FE-EEA-25410</t>
  </si>
  <si>
    <t>FE-EEA-25411</t>
  </si>
  <si>
    <t>FE-EEA-25412</t>
  </si>
  <si>
    <t>FE-EEA-25413</t>
  </si>
  <si>
    <t>FE-EEA-25414</t>
  </si>
  <si>
    <t>FE-EEA-25417</t>
  </si>
  <si>
    <t>FE-EEA-25420</t>
  </si>
  <si>
    <t>FE-EEA-25423</t>
  </si>
  <si>
    <t>FE-EEA-25424</t>
  </si>
  <si>
    <t>FE-EEA-25430</t>
  </si>
  <si>
    <t>3943 TEC CONSTRUCTORA</t>
  </si>
  <si>
    <t>FE-EEA-24848</t>
  </si>
  <si>
    <t>FE-EEA-25227</t>
  </si>
  <si>
    <t>FE-EEA-25235</t>
  </si>
  <si>
    <t>FE-EEA-25360</t>
  </si>
  <si>
    <t>FE-EEA-25418</t>
  </si>
  <si>
    <t>FE-EEA-25419</t>
  </si>
  <si>
    <t>FE-EEA-25421</t>
  </si>
  <si>
    <t>FE-EEA-25422</t>
  </si>
  <si>
    <t>FE-EEA-25425</t>
  </si>
  <si>
    <t>FE-EEA-25426</t>
  </si>
  <si>
    <t>FE-EEA-25427</t>
  </si>
  <si>
    <t>FE-EEA-25428</t>
  </si>
  <si>
    <t>FE-EEA-25429</t>
  </si>
  <si>
    <t>FE-EEA-25431</t>
  </si>
  <si>
    <t>FE-EEA-25432</t>
  </si>
  <si>
    <t>FE-EEA-25433</t>
  </si>
  <si>
    <t>FE-EEA-25434</t>
  </si>
  <si>
    <t>FE-EEA-25435</t>
  </si>
  <si>
    <t>FE-EEA-25436</t>
  </si>
  <si>
    <t>FE-EEA-25437</t>
  </si>
  <si>
    <t>FE-EEA-25438</t>
  </si>
  <si>
    <t>FE-EEA-25439</t>
  </si>
  <si>
    <t>FE-EEA-25441</t>
  </si>
  <si>
    <t>FE-EEA-25445</t>
  </si>
  <si>
    <t>FE-EEA-25446</t>
  </si>
  <si>
    <t>FE-EEA-25447</t>
  </si>
  <si>
    <t>FE-EEA-25448</t>
  </si>
  <si>
    <t>FE-EEA-25449</t>
  </si>
  <si>
    <t>FE-EEA-25450</t>
  </si>
  <si>
    <t>FE-EEA-25451</t>
  </si>
  <si>
    <t>FE-EEA-25452</t>
  </si>
  <si>
    <t>FE-EEA-25453</t>
  </si>
  <si>
    <t>FE-EEA-25454</t>
  </si>
  <si>
    <t>FE-EEA-25455</t>
  </si>
  <si>
    <t>FE-EEA-25456</t>
  </si>
  <si>
    <t>FE-EEA-25457</t>
  </si>
  <si>
    <t>FE-EEA-25458</t>
  </si>
  <si>
    <t>FE-EEA-25459</t>
  </si>
  <si>
    <t>FE-EEA-25460</t>
  </si>
  <si>
    <t>FE-EEA-25461</t>
  </si>
  <si>
    <t>FE-EEA-25462</t>
  </si>
  <si>
    <t>FE-EEA-25463</t>
  </si>
  <si>
    <t>FE-EEA-25464</t>
  </si>
  <si>
    <t>FE-EEA-25465</t>
  </si>
  <si>
    <t>FE-EEA-25466</t>
  </si>
  <si>
    <t>FE-EEA-25467</t>
  </si>
  <si>
    <t>FE-EEA-25468</t>
  </si>
  <si>
    <t>FE-EEA-25469</t>
  </si>
  <si>
    <t>FE-EEA-25470</t>
  </si>
  <si>
    <t>FE-EEA-25471</t>
  </si>
  <si>
    <t>FE-EEA-25472</t>
  </si>
  <si>
    <t>FE-EEA-25473</t>
  </si>
  <si>
    <t>FE-EEA-25474</t>
  </si>
  <si>
    <t>FE-EEA-25475</t>
  </si>
  <si>
    <t>FE-EEA-25476</t>
  </si>
  <si>
    <t>FE-EEA-25477</t>
  </si>
  <si>
    <t>FE-EEA-25478</t>
  </si>
  <si>
    <t>FE-EEA-25479</t>
  </si>
  <si>
    <t>FE-EEA-25480</t>
  </si>
  <si>
    <t>FE-EEA-25484</t>
  </si>
  <si>
    <t>FE-EEA-25485</t>
  </si>
  <si>
    <t>FE-EEA-25486</t>
  </si>
  <si>
    <t>FE-EEA-25487</t>
  </si>
  <si>
    <t>FE-EEA-25488</t>
  </si>
  <si>
    <t>FE-EEA-25489</t>
  </si>
  <si>
    <t>FE-EEA-25490</t>
  </si>
  <si>
    <t>FE-EEA-25491</t>
  </si>
  <si>
    <t>FE-EEA-25493</t>
  </si>
  <si>
    <t>FE-EEA-25495</t>
  </si>
  <si>
    <t>FE-EEA-25496</t>
  </si>
  <si>
    <t>FE-EEA-25497</t>
  </si>
  <si>
    <t>FE-EEA-25499</t>
  </si>
  <si>
    <t>FE-EEA-25500</t>
  </si>
  <si>
    <t>FE-EEA-25501</t>
  </si>
  <si>
    <t>FE-EEA-25502</t>
  </si>
  <si>
    <t>FE-EEA-25503</t>
  </si>
  <si>
    <t>FE-EEA-25504</t>
  </si>
  <si>
    <t>FE-EEA-25506</t>
  </si>
  <si>
    <t>FE-EEA-25507</t>
  </si>
  <si>
    <t>FE-EEA-25508</t>
  </si>
  <si>
    <t>FE-EEA-25509</t>
  </si>
  <si>
    <t>FE-EEA-25510</t>
  </si>
  <si>
    <t>FE-EEA-25511</t>
  </si>
  <si>
    <t>FE-EEA-25512</t>
  </si>
  <si>
    <t>FE-EEA-25513</t>
  </si>
  <si>
    <t>FE-EEA-25514</t>
  </si>
  <si>
    <t>FE-EEA-25515</t>
  </si>
  <si>
    <t>FE-EEA-25517</t>
  </si>
  <si>
    <t>FE-EEA-25518</t>
  </si>
  <si>
    <t>FE-EEA-25519</t>
  </si>
  <si>
    <t>FE-EEA-25520</t>
  </si>
  <si>
    <t>FE-EEA-25521</t>
  </si>
  <si>
    <t>FE-EEA-25523</t>
  </si>
  <si>
    <t>FE-EEA-25524</t>
  </si>
  <si>
    <t>FE-EEA-25525</t>
  </si>
  <si>
    <t>FE-EEA-25526</t>
  </si>
  <si>
    <t>FE-EEA-25528</t>
  </si>
  <si>
    <t>FE-EEA-25529</t>
  </si>
  <si>
    <t>FE-EEA-25530</t>
  </si>
  <si>
    <t>FE-EEA-25531</t>
  </si>
  <si>
    <t>FE-EEA-25533</t>
  </si>
  <si>
    <t>FE-EEA-25534</t>
  </si>
  <si>
    <t>FE-EEA-25536</t>
  </si>
  <si>
    <t>FE-EEA-25537</t>
  </si>
  <si>
    <t>FE-EEA-25538</t>
  </si>
  <si>
    <t>FE-EEA-25540</t>
  </si>
  <si>
    <t>FE-EEA-25541</t>
  </si>
  <si>
    <t>FE-EEA-25543</t>
  </si>
  <si>
    <t>FE-EEA-25544</t>
  </si>
  <si>
    <t>FE-EEA-25546</t>
  </si>
  <si>
    <t>FE-EEA-25547</t>
  </si>
  <si>
    <t>FE-EEA-25548</t>
  </si>
  <si>
    <t>FE-EEA-25550</t>
  </si>
  <si>
    <t>FE-EEA-25551</t>
  </si>
  <si>
    <t>FE-EEA-25554</t>
  </si>
  <si>
    <t>FE-EEA-25555</t>
  </si>
  <si>
    <t>FE-EEA-25556</t>
  </si>
  <si>
    <t>FE-EEA-25557</t>
  </si>
  <si>
    <t>FE-EEA-25559</t>
  </si>
  <si>
    <t>FE-EEA-25560</t>
  </si>
  <si>
    <t>FE-EEA-25562</t>
  </si>
  <si>
    <t>FE-EEA-25563</t>
  </si>
  <si>
    <t>FE-EEA-25565</t>
  </si>
  <si>
    <t>FE-EEA-25566</t>
  </si>
  <si>
    <t>FE-EEA-25567</t>
  </si>
  <si>
    <t>FE-EEA-25568</t>
  </si>
  <si>
    <t>FE-EEA-25569</t>
  </si>
  <si>
    <t>FE-EEA-25570</t>
  </si>
  <si>
    <t>FE-EEA-25571</t>
  </si>
  <si>
    <t>FE-EEA-25572</t>
  </si>
  <si>
    <t>FE-EEA-25573</t>
  </si>
  <si>
    <t>FE-EEA-25574</t>
  </si>
  <si>
    <t>FE-EEA-25575</t>
  </si>
  <si>
    <t>FE-EEA-25577</t>
  </si>
  <si>
    <t>FE-EEA-25578</t>
  </si>
  <si>
    <t>FE-EEA-25579</t>
  </si>
  <si>
    <t>FE-EEA-25580</t>
  </si>
  <si>
    <t>FE-EEA-25581</t>
  </si>
  <si>
    <t>FE-EEA-25582</t>
  </si>
  <si>
    <t>FE-EEA-25583</t>
  </si>
  <si>
    <t>FE-EEA-25584</t>
  </si>
  <si>
    <t>FE-EEA-25585</t>
  </si>
  <si>
    <t>FE-EEA-25586</t>
  </si>
  <si>
    <t>FE-EEA-25587</t>
  </si>
  <si>
    <t>FE-EEA-25589</t>
  </si>
  <si>
    <t>FE-EEA-25591</t>
  </si>
  <si>
    <t>FE-EEA-25592</t>
  </si>
  <si>
    <t>FE-EEA-25593</t>
  </si>
  <si>
    <t>FE-EEA-25594</t>
  </si>
  <si>
    <t>FE-EEA-25595</t>
  </si>
  <si>
    <t>FE-EEA-25596</t>
  </si>
  <si>
    <t>FE-EEA-25597</t>
  </si>
  <si>
    <t>FE-EEA-25598</t>
  </si>
  <si>
    <t>FE-EEA-25599</t>
  </si>
  <si>
    <t>FE-EEA-25600</t>
  </si>
  <si>
    <t>FE-EEA-25601</t>
  </si>
  <si>
    <t>FE-EEA-25602</t>
  </si>
  <si>
    <t>FE-EEA-25603</t>
  </si>
  <si>
    <t>FE-EEA-25482</t>
  </si>
  <si>
    <t>FE-EEA-25483</t>
  </si>
  <si>
    <t>FE-EEA-25492</t>
  </si>
  <si>
    <t>FE-EEA-25494</t>
  </si>
  <si>
    <t>FE-EEA-25498</t>
  </si>
  <si>
    <t>FE-EEA-25505</t>
  </si>
  <si>
    <t>FE-EEA-25516</t>
  </si>
  <si>
    <t>FE-EEA-25522</t>
  </si>
  <si>
    <t>FE-EEA-25527</t>
  </si>
  <si>
    <t>FE-EEA-25532</t>
  </si>
  <si>
    <t>FE-EEA-25535</t>
  </si>
  <si>
    <t>FE-EEA-25539</t>
  </si>
  <si>
    <t>FE-EEA-25542</t>
  </si>
  <si>
    <t>FE-EEA-25545</t>
  </si>
  <si>
    <t>FE-EEA-25549</t>
  </si>
  <si>
    <t>FE-EEA-25553</t>
  </si>
  <si>
    <t>FE-EEA-25558</t>
  </si>
  <si>
    <t>FE-EEA-25561</t>
  </si>
  <si>
    <t>FE-EEA-25564</t>
  </si>
  <si>
    <t>FE-EEA-25576</t>
  </si>
  <si>
    <t>FE-EEA-25605</t>
  </si>
  <si>
    <t>FE-EEA-25606</t>
  </si>
  <si>
    <t>FE-EEA-25608</t>
  </si>
  <si>
    <t>FE-EEA-25609</t>
  </si>
  <si>
    <t>FE-EEA-25610</t>
  </si>
  <si>
    <t>FE-EEA-25611</t>
  </si>
  <si>
    <t>FE-EEA-25613</t>
  </si>
  <si>
    <t>FE-EEA-25614</t>
  </si>
  <si>
    <t>FE-EEA-25615</t>
  </si>
  <si>
    <t>FE-EEA-25616</t>
  </si>
  <si>
    <t>FE-EEA-25617</t>
  </si>
  <si>
    <t>FE-EEA-25618</t>
  </si>
  <si>
    <t>FE-EEA-25619</t>
  </si>
  <si>
    <t>FE-EEA-25620</t>
  </si>
  <si>
    <t>FE-EEA-25621</t>
  </si>
  <si>
    <t>FE-EEA-25622</t>
  </si>
  <si>
    <t>FE-EEA-25623</t>
  </si>
  <si>
    <t>FE-EEA-25624</t>
  </si>
  <si>
    <t>FE-EEA-25625</t>
  </si>
  <si>
    <t>FE-EEA-25626</t>
  </si>
  <si>
    <t>FE-EEA-25627</t>
  </si>
  <si>
    <t>FE-EEA-25628</t>
  </si>
  <si>
    <t>FE-EEA-25629</t>
  </si>
  <si>
    <t>FE-EEA-25630</t>
  </si>
  <si>
    <t>FE-EEA-25631</t>
  </si>
  <si>
    <t>FE-EEA-25632</t>
  </si>
  <si>
    <t>FE-EEA-25633</t>
  </si>
  <si>
    <t>FE-EEA-25634</t>
  </si>
  <si>
    <t>FE-EEA-25635</t>
  </si>
  <si>
    <t>FE-EEA-25636</t>
  </si>
  <si>
    <t>FE-EEA-25637</t>
  </si>
  <si>
    <t>FE-EEA-25638</t>
  </si>
  <si>
    <t>FE-EEA-25639</t>
  </si>
  <si>
    <t>FE-EEA-25640</t>
  </si>
  <si>
    <t>FE-EEA-25642</t>
  </si>
  <si>
    <t>FE-EEA-25643</t>
  </si>
  <si>
    <t>FE-EEA-25644</t>
  </si>
  <si>
    <t>FE-EEA-25645</t>
  </si>
  <si>
    <t>FE-EEA-25646</t>
  </si>
  <si>
    <t>FE-EEA-25647</t>
  </si>
  <si>
    <t>FE-EEA-25648</t>
  </si>
  <si>
    <t>FE-EEA-25649</t>
  </si>
  <si>
    <t>FE-EEA-25650</t>
  </si>
  <si>
    <t>FE-EEA-25651</t>
  </si>
  <si>
    <t>FE-EEA-25652</t>
  </si>
  <si>
    <t>FE-EEA-25654</t>
  </si>
  <si>
    <t>FE-EEA-25655</t>
  </si>
  <si>
    <t>FE-EEA-25656</t>
  </si>
  <si>
    <t>FE-EEA-25658</t>
  </si>
  <si>
    <t>FE-EEA-25659</t>
  </si>
  <si>
    <t>FE-EEA-25660</t>
  </si>
  <si>
    <t>FE-EEA-25661</t>
  </si>
  <si>
    <t>FE-EEA-25662</t>
  </si>
  <si>
    <t>FE-EEA-25663</t>
  </si>
  <si>
    <t>FE-EEA-25664</t>
  </si>
  <si>
    <t>FE-EEA-25665</t>
  </si>
  <si>
    <t>FE-EEA-25666</t>
  </si>
  <si>
    <t>FE-EEA-25667</t>
  </si>
  <si>
    <t>FE-EEA-25668</t>
  </si>
  <si>
    <t>FE-EEA-25669</t>
  </si>
  <si>
    <t>FE-EEA-25670</t>
  </si>
  <si>
    <t>FE-EEA-25671</t>
  </si>
  <si>
    <t>FE-EEA-25672</t>
  </si>
  <si>
    <t>FE-EEA-25673</t>
  </si>
  <si>
    <t>FE-EEA-25674</t>
  </si>
  <si>
    <t>FE-EEA-25675</t>
  </si>
  <si>
    <t>FE-EEA-25676</t>
  </si>
  <si>
    <t>FE-EEA-25677</t>
  </si>
  <si>
    <t>FE-EEA-25678</t>
  </si>
  <si>
    <t>FE-EEA-25679</t>
  </si>
  <si>
    <t>FE-EEA-25680</t>
  </si>
  <si>
    <t>FE-EEA-25681</t>
  </si>
  <si>
    <t>FE-EEA-25682</t>
  </si>
  <si>
    <t>FE-EEA-25683</t>
  </si>
  <si>
    <t>FE-EEA-25684</t>
  </si>
  <si>
    <t>FE-EEA-25685</t>
  </si>
  <si>
    <t>FE-EEA-25686</t>
  </si>
  <si>
    <t>FE-EEA-25687</t>
  </si>
  <si>
    <t>FE-EEA-25688</t>
  </si>
  <si>
    <t>FE-EEA-25689</t>
  </si>
  <si>
    <t>FE-EEA-25690</t>
  </si>
  <si>
    <t>FE-EEA-25691</t>
  </si>
  <si>
    <t>FE-EEA-25692</t>
  </si>
  <si>
    <t>FE-EEA-25693</t>
  </si>
  <si>
    <t>FE-EEA-25694</t>
  </si>
  <si>
    <t>FE-EEA-25701</t>
  </si>
  <si>
    <t>FE-EEA-25702</t>
  </si>
  <si>
    <t>FE-EEA-25703</t>
  </si>
  <si>
    <t>FE-EEA-25704</t>
  </si>
  <si>
    <t>FE-EEA-25705</t>
  </si>
  <si>
    <t>FE-EEA-25706</t>
  </si>
  <si>
    <t>FE-EEA-25707</t>
  </si>
  <si>
    <t>FE-EEA-25714</t>
  </si>
  <si>
    <t>FE-EEA-25715</t>
  </si>
  <si>
    <t>FE-EEA-25716</t>
  </si>
  <si>
    <t>FE-EEA-25717</t>
  </si>
  <si>
    <t>FE-EEA-25719</t>
  </si>
  <si>
    <t>FE-EEA-25720</t>
  </si>
  <si>
    <t>FE-EEA-25721</t>
  </si>
  <si>
    <t>FE-EEA-25722</t>
  </si>
  <si>
    <t>FE-EEA-25723</t>
  </si>
  <si>
    <t>FE-EEA-25724</t>
  </si>
  <si>
    <t>FE-EEA-25725</t>
  </si>
  <si>
    <t>FE-EEA-25726</t>
  </si>
  <si>
    <t>FE-EEA-25727</t>
  </si>
  <si>
    <t>FE-EEA-25728</t>
  </si>
  <si>
    <t>FE-EEA-25729</t>
  </si>
  <si>
    <t>FE-EEA-25730</t>
  </si>
  <si>
    <t>FE-EEA-25732</t>
  </si>
  <si>
    <t>FE-EEA-25733</t>
  </si>
  <si>
    <t>FE-EEA-25735</t>
  </si>
  <si>
    <t>FE-EEA-25736</t>
  </si>
  <si>
    <t>FE-EEA-25738</t>
  </si>
  <si>
    <t>FE-EEA-25739</t>
  </si>
  <si>
    <t>FE-EEA-25740</t>
  </si>
  <si>
    <t>FE-EEA-25741</t>
  </si>
  <si>
    <t>FE-EEA-25742</t>
  </si>
  <si>
    <t>FE-EEA-25743</t>
  </si>
  <si>
    <t>FE-EEA-25744</t>
  </si>
  <si>
    <t>FE-EEA-25745</t>
  </si>
  <si>
    <t>FE-EEA-25746</t>
  </si>
  <si>
    <t>FE-EEA-25747</t>
  </si>
  <si>
    <t>FE-EEA-25748</t>
  </si>
  <si>
    <t>FE-EEA-25749</t>
  </si>
  <si>
    <t>FE-EEA-25750</t>
  </si>
  <si>
    <t>FE-EEA-25751</t>
  </si>
  <si>
    <t>FE-EEA-25752</t>
  </si>
  <si>
    <t>FE-EEA-25753</t>
  </si>
  <si>
    <t>FE-EEA-25754</t>
  </si>
  <si>
    <t>FE-EEA-25755</t>
  </si>
  <si>
    <t>FE-EEA-25756</t>
  </si>
  <si>
    <t>FE-EEA-25757</t>
  </si>
  <si>
    <t>FE-EEA-25758</t>
  </si>
  <si>
    <t>FE-EEA-25759</t>
  </si>
  <si>
    <t>FE-EEA-25760</t>
  </si>
  <si>
    <t>FE-EEA-25762</t>
  </si>
  <si>
    <t>FE-EEA-25764</t>
  </si>
  <si>
    <t>FE-EEA-25765</t>
  </si>
  <si>
    <t>FE-EEA-25766</t>
  </si>
  <si>
    <t>FE-EEA-25767</t>
  </si>
  <si>
    <t>FE-EEA-25768</t>
  </si>
  <si>
    <t>FE-EEA-25769</t>
  </si>
  <si>
    <t>FE-EEA-25770</t>
  </si>
  <si>
    <t>FE-EEA-25773</t>
  </si>
  <si>
    <t>FE-EEA-25774</t>
  </si>
  <si>
    <t>FE-EEA-25775</t>
  </si>
  <si>
    <t>FE-EEA-25776</t>
  </si>
  <si>
    <t>FE-EEA-25777</t>
  </si>
  <si>
    <t>FE-EEA-25778</t>
  </si>
  <si>
    <t>FE-EEA-25779</t>
  </si>
  <si>
    <t>FE-EEA-25780</t>
  </si>
  <si>
    <t>FE-EEA-25781</t>
  </si>
  <si>
    <t>FE-EEA-25782</t>
  </si>
  <si>
    <t>FE-EEA-25783</t>
  </si>
  <si>
    <t>FE-EEA-24916</t>
  </si>
  <si>
    <t>FE-EEA-25067</t>
  </si>
  <si>
    <t>FE-EEA-25607</t>
  </si>
  <si>
    <t>FE-EEA-25731</t>
  </si>
  <si>
    <t>FE-EEA-25737</t>
  </si>
  <si>
    <t>FE-EEA-25761</t>
  </si>
  <si>
    <t>FE-EEA-25785</t>
  </si>
  <si>
    <t>FE-EEA-25786</t>
  </si>
  <si>
    <t>FE-EEA-25787</t>
  </si>
  <si>
    <t>FE-EEA-25788</t>
  </si>
  <si>
    <t>FE-EEA-25789</t>
  </si>
  <si>
    <t>FE-EEA-25790</t>
  </si>
  <si>
    <t>FE-EEA-25791</t>
  </si>
  <si>
    <t>FE-EEA-25792</t>
  </si>
  <si>
    <t>FE-EEA-25793</t>
  </si>
  <si>
    <t>FE-EEA-25794</t>
  </si>
  <si>
    <t>FE-EEA-25795</t>
  </si>
  <si>
    <t>FE-EEA-25796</t>
  </si>
  <si>
    <t>FE-EEA-25797</t>
  </si>
  <si>
    <t>FE-EEA-25798</t>
  </si>
  <si>
    <t>FE-EEA-25799</t>
  </si>
  <si>
    <t>FE-EEA-25800</t>
  </si>
  <si>
    <t>FE-EEA-25801</t>
  </si>
  <si>
    <t>FE-EEA-25804</t>
  </si>
  <si>
    <t>FE-EEA-25805</t>
  </si>
  <si>
    <t>FE-EEA-25806</t>
  </si>
  <si>
    <t>FE-EEA-25807</t>
  </si>
  <si>
    <t>FE-EEA-25808</t>
  </si>
  <si>
    <t>FE-EEA-25809</t>
  </si>
  <si>
    <t>FE-EEA-25810</t>
  </si>
  <si>
    <t>FE-EEA-25811</t>
  </si>
  <si>
    <t>FE-EEA-25813</t>
  </si>
  <si>
    <t>FE-EEA-25814</t>
  </si>
  <si>
    <t>FE-EEA-25815</t>
  </si>
  <si>
    <t>FE-EEA-25816</t>
  </si>
  <si>
    <t>FE-EEA-25817</t>
  </si>
  <si>
    <t>FE-EEA-25818</t>
  </si>
  <si>
    <t>FE-EEA-25819</t>
  </si>
  <si>
    <t>FE-EEA-25820</t>
  </si>
  <si>
    <t>FE-EEA-25821</t>
  </si>
  <si>
    <t>FE-EEA-25825</t>
  </si>
  <si>
    <t>FE-EEA-25826</t>
  </si>
  <si>
    <t>FE-EEA-25827</t>
  </si>
  <si>
    <t>FE-EEA-25828</t>
  </si>
  <si>
    <t>FE-EEA-25829</t>
  </si>
  <si>
    <t>FE-EEA-25830</t>
  </si>
  <si>
    <t>FE-EEA-25831</t>
  </si>
  <si>
    <t>FE-EEA-25832</t>
  </si>
  <si>
    <t>FE-EEA-25833</t>
  </si>
  <si>
    <t>FE-EEA-25834</t>
  </si>
  <si>
    <t>FE-EEA-25835</t>
  </si>
  <si>
    <t>FE-EEA-25836</t>
  </si>
  <si>
    <t>FE-EEA-25837</t>
  </si>
  <si>
    <t>FE-EEA-25838</t>
  </si>
  <si>
    <t>FE-EEA-25839</t>
  </si>
  <si>
    <t>FE-EEA-25840</t>
  </si>
  <si>
    <t>FE-EEA-25841</t>
  </si>
  <si>
    <t>FE-EEA-25842</t>
  </si>
  <si>
    <t>FE-EEA-25843</t>
  </si>
  <si>
    <t>FE-EEA-25844</t>
  </si>
  <si>
    <t>FE-EEA-25845</t>
  </si>
  <si>
    <t>FE-EEA-25846</t>
  </si>
  <si>
    <t>FE-EEA-25847</t>
  </si>
  <si>
    <t>FE-EEA-25848</t>
  </si>
  <si>
    <t>FE-EEA-25849</t>
  </si>
  <si>
    <t>FE-EEA-25850</t>
  </si>
  <si>
    <t>FE-EEA-25851</t>
  </si>
  <si>
    <t>FE-EEA-25852</t>
  </si>
  <si>
    <t>FE-EEA-25853</t>
  </si>
  <si>
    <t>FE-EEA-25854</t>
  </si>
  <si>
    <t>FE-EEA-25855</t>
  </si>
  <si>
    <t>FE-EEA-25856</t>
  </si>
  <si>
    <t>FE-EEA-25857</t>
  </si>
  <si>
    <t>FE-EEA-25859</t>
  </si>
  <si>
    <t>FE-EEA-25860</t>
  </si>
  <si>
    <t>FE-EEA-25861</t>
  </si>
  <si>
    <t>FE-EEA-25863</t>
  </si>
  <si>
    <t>FE-EEA-25864</t>
  </si>
  <si>
    <t>FE-EEA-25865</t>
  </si>
  <si>
    <t>FE-EEA-25653</t>
  </si>
  <si>
    <t>FE-EEA-25657</t>
  </si>
  <si>
    <t>FE-EEA-25718</t>
  </si>
  <si>
    <t>FE-EEA-25734</t>
  </si>
  <si>
    <t>FE-EEA-25866</t>
  </si>
  <si>
    <t>FE-EEA-25867</t>
  </si>
  <si>
    <t>FE-EEA-25868</t>
  </si>
  <si>
    <t>FE-EEA-25869</t>
  </si>
  <si>
    <t>FE-EEA-25870</t>
  </si>
  <si>
    <t>FE-EEA-25871</t>
  </si>
  <si>
    <t>FE-EEA-25872</t>
  </si>
  <si>
    <t>FE-EEA-25873</t>
  </si>
  <si>
    <t>FE-EEA-25874</t>
  </si>
  <si>
    <t>FE-EEA-25875</t>
  </si>
  <si>
    <t>FE-EEA-25876</t>
  </si>
  <si>
    <t>FE-EEA-25877</t>
  </si>
  <si>
    <t>FE-EEA-25878</t>
  </si>
  <si>
    <t>FE-EEA-25879</t>
  </si>
  <si>
    <t>FE-EEA-25880</t>
  </si>
  <si>
    <t>FE-EEA-25881</t>
  </si>
  <si>
    <t>FE-EEA-25882</t>
  </si>
  <si>
    <t>FE-EEA-25883</t>
  </si>
  <si>
    <t>FE-EEA-25884</t>
  </si>
  <si>
    <t>FE-EEA-25885</t>
  </si>
  <si>
    <t>FE-EEA-25886</t>
  </si>
  <si>
    <t>FE-EEA-25887</t>
  </si>
  <si>
    <t>FE-EEA-25888</t>
  </si>
  <si>
    <t>FE-EEA-25893</t>
  </si>
  <si>
    <t>FE-EEA-25894</t>
  </si>
  <si>
    <t>FE-EEA-25895</t>
  </si>
  <si>
    <t>FE-EEA-25898</t>
  </si>
  <si>
    <t>FE-EEA-25899</t>
  </si>
  <si>
    <t>FE-EEA-25900</t>
  </si>
  <si>
    <t>FE-EEA-25901</t>
  </si>
  <si>
    <t>FE-EEA-25902</t>
  </si>
  <si>
    <t>FE-EEA-25903</t>
  </si>
  <si>
    <t>FE-EEA-25904</t>
  </si>
  <si>
    <t>FE-EEA-25905</t>
  </si>
  <si>
    <t>FE-EEA-25906</t>
  </si>
  <si>
    <t>FE-EEA-25907</t>
  </si>
  <si>
    <t>FE-EEA-25908</t>
  </si>
  <si>
    <t>FE-EEA-25909</t>
  </si>
  <si>
    <t>FE-EEA-25910</t>
  </si>
  <si>
    <t>FE-EEA-25911</t>
  </si>
  <si>
    <t>FE-EEA-25912</t>
  </si>
  <si>
    <t>FE-EEA-25913</t>
  </si>
  <si>
    <t>FE-EEA-25914</t>
  </si>
  <si>
    <t>FE-EEA-25915</t>
  </si>
  <si>
    <t>FE-EEA-25916</t>
  </si>
  <si>
    <t>FE-EEA-25917</t>
  </si>
  <si>
    <t>FE-EEA-25918</t>
  </si>
  <si>
    <t>FE-EEA-25919</t>
  </si>
  <si>
    <t>FE-EEA-25920</t>
  </si>
  <si>
    <t>FE-EEA-25921</t>
  </si>
  <si>
    <t>FE-EEA-25922</t>
  </si>
  <si>
    <t>FE-EEA-25923</t>
  </si>
  <si>
    <t>FE-EEA-25924</t>
  </si>
  <si>
    <t>FE-EEA-25925</t>
  </si>
  <si>
    <t>FE-EEA-25926</t>
  </si>
  <si>
    <t>FE-EEA-25928</t>
  </si>
  <si>
    <t>FE-EEA-25929</t>
  </si>
  <si>
    <t>FE-EEA-25930</t>
  </si>
  <si>
    <t>FE-EEA-25931</t>
  </si>
  <si>
    <t>FE-EEA-25932</t>
  </si>
  <si>
    <t>FE-EEA-25933</t>
  </si>
  <si>
    <t>FE-EEA-25934</t>
  </si>
  <si>
    <t>FE-EEA-25935</t>
  </si>
  <si>
    <t>FE-EEA-25936</t>
  </si>
  <si>
    <t>FE-EEA-25937</t>
  </si>
  <si>
    <t>FE-EEA-25938</t>
  </si>
  <si>
    <t>FE-EEA-25939</t>
  </si>
  <si>
    <t>FE-EEA-25940</t>
  </si>
  <si>
    <t>FE-EEA-25941</t>
  </si>
  <si>
    <t>FE-EEA-25942</t>
  </si>
  <si>
    <t>FE-EEA-25943</t>
  </si>
  <si>
    <t>FE-EEA-25947</t>
  </si>
  <si>
    <t>FE-EEA-25948</t>
  </si>
  <si>
    <t>FE-EEA-25950</t>
  </si>
  <si>
    <t>FE-EEA-25951</t>
  </si>
  <si>
    <t>FE-EEA-25952</t>
  </si>
  <si>
    <t>FE-EEA-25953</t>
  </si>
  <si>
    <t>FE-EEA-25954</t>
  </si>
  <si>
    <t>FE-EEA-25955</t>
  </si>
  <si>
    <t>FE-EEA-25956</t>
  </si>
  <si>
    <t>FE-EEA-25957</t>
  </si>
  <si>
    <t>FE-EEA-25958</t>
  </si>
  <si>
    <t>FE-EEA-25959</t>
  </si>
  <si>
    <t>FE-EEA-25960</t>
  </si>
  <si>
    <t>FE-EEA-25961</t>
  </si>
  <si>
    <t>FE-EEA-25962</t>
  </si>
  <si>
    <t>FE-EEA-25963</t>
  </si>
  <si>
    <t>FE-EEA-25965</t>
  </si>
  <si>
    <t>FE-EEA-25966</t>
  </si>
  <si>
    <t>FE-EEA-25967</t>
  </si>
  <si>
    <t>FE-EEA-25968</t>
  </si>
  <si>
    <t>FE-EEA-25969</t>
  </si>
  <si>
    <t>FE-EEA-25970</t>
  </si>
  <si>
    <t>FE-EEA-25971</t>
  </si>
  <si>
    <t>FE-EEA-25972</t>
  </si>
  <si>
    <t>FE-EEA-25973</t>
  </si>
  <si>
    <t>FE-EEA-25974</t>
  </si>
  <si>
    <t>FE-EEA-25975</t>
  </si>
  <si>
    <t>FE-EEA-25977</t>
  </si>
  <si>
    <t>FE-EEA-25978</t>
  </si>
  <si>
    <t>FE-EEA-25979</t>
  </si>
  <si>
    <t>FE-EEA-25980</t>
  </si>
  <si>
    <t>FE-EEA-25981</t>
  </si>
  <si>
    <t>FE-EEA-25982</t>
  </si>
  <si>
    <t>FE-EEA-25983</t>
  </si>
  <si>
    <t>FE-EEA-25984</t>
  </si>
  <si>
    <t>FE-EEA-25985</t>
  </si>
  <si>
    <t>FE-EEA-25986</t>
  </si>
  <si>
    <t>FE-EEA-25987</t>
  </si>
  <si>
    <t>FE-EEA-25988</t>
  </si>
  <si>
    <t>FE-EEA-25989</t>
  </si>
  <si>
    <t>FE-EEA-25990</t>
  </si>
  <si>
    <t>FE-EEA-25991</t>
  </si>
  <si>
    <t>FE-EEA-25992</t>
  </si>
  <si>
    <t>FE-EEA-25994</t>
  </si>
  <si>
    <t>FE-EEA-25996</t>
  </si>
  <si>
    <t>FE-EEA-25997</t>
  </si>
  <si>
    <t>FE-EEA-25998</t>
  </si>
  <si>
    <t>FE-EEA-26000</t>
  </si>
  <si>
    <t>FE-EEA-26001</t>
  </si>
  <si>
    <t>FE-EEA-26003</t>
  </si>
  <si>
    <t>FE-EEA-26004</t>
  </si>
  <si>
    <t>FE-EEA-26006</t>
  </si>
  <si>
    <t>FE-EEA-26007</t>
  </si>
  <si>
    <t>FE-EEA-26008</t>
  </si>
  <si>
    <t>FE-EEA-26010</t>
  </si>
  <si>
    <t>FE-EEA-26011</t>
  </si>
  <si>
    <t>FE-EEA-26012</t>
  </si>
  <si>
    <t>FE-EEA-26013</t>
  </si>
  <si>
    <t>FE-EEA-26014</t>
  </si>
  <si>
    <t>FE-EEA-26015</t>
  </si>
  <si>
    <t>FE-EEA-26016</t>
  </si>
  <si>
    <t>FE-EEA-26017</t>
  </si>
  <si>
    <t>FE-EEA-26018</t>
  </si>
  <si>
    <t>FE-EEA-26019</t>
  </si>
  <si>
    <t>FE-EEA-26020</t>
  </si>
  <si>
    <t>FE-EEA-26021</t>
  </si>
  <si>
    <t>FE-EEA-26022</t>
  </si>
  <si>
    <t>FE-EEA-26023</t>
  </si>
  <si>
    <t>FE-EEA-26025</t>
  </si>
  <si>
    <t>FE-EEA-26026</t>
  </si>
  <si>
    <t>FE-EEA-26027</t>
  </si>
  <si>
    <t>FE-EEA-26028</t>
  </si>
  <si>
    <t>FE-EEA-26029</t>
  </si>
  <si>
    <t>FE-EEA-26030</t>
  </si>
  <si>
    <t>FE-EEA-26031</t>
  </si>
  <si>
    <t>FE-EEA-26032</t>
  </si>
  <si>
    <t>FE-EEA-25896</t>
  </si>
  <si>
    <t>FE-EEA-25897</t>
  </si>
  <si>
    <t>FE-EEA-26002</t>
  </si>
  <si>
    <t>FE-EEA-26034</t>
  </si>
  <si>
    <t>FE-EEA-26035</t>
  </si>
  <si>
    <t>FE-EEA-26036</t>
  </si>
  <si>
    <t>FE-EEA-26037</t>
  </si>
  <si>
    <t>FE-EEA-26038</t>
  </si>
  <si>
    <t>FE-EEA-26039</t>
  </si>
  <si>
    <t>FE-EEA-26040</t>
  </si>
  <si>
    <t>FE-EEA-26041</t>
  </si>
  <si>
    <t>FE-EEA-26042</t>
  </si>
  <si>
    <t>FE-EEA-26043</t>
  </si>
  <si>
    <t>FE-EEA-26049</t>
  </si>
  <si>
    <t>FE-EEA-26050</t>
  </si>
  <si>
    <t>FE-EEA-26051</t>
  </si>
  <si>
    <t>FE-EEA-26052</t>
  </si>
  <si>
    <t>FE-EEA-26053</t>
  </si>
  <si>
    <t>FE-EEA-26055</t>
  </si>
  <si>
    <t>FE-EEA-26056</t>
  </si>
  <si>
    <t>FE-EEA-26057</t>
  </si>
  <si>
    <t>FE-EEA-26058</t>
  </si>
  <si>
    <t>FE-EEA-26059</t>
  </si>
  <si>
    <t>FE-EEA-26060</t>
  </si>
  <si>
    <t>FE-EEA-26061</t>
  </si>
  <si>
    <t>FE-EEA-26062</t>
  </si>
  <si>
    <t>FE-EEA-26064</t>
  </si>
  <si>
    <t>FE-EEA-26065</t>
  </si>
  <si>
    <t>FE-EEA-26066</t>
  </si>
  <si>
    <t>FE-EEA-26067</t>
  </si>
  <si>
    <t>FE-EEA-26068</t>
  </si>
  <si>
    <t>FE-EEA-26069</t>
  </si>
  <si>
    <t>FE-EEA-26070</t>
  </si>
  <si>
    <t>FE-EEA-26071</t>
  </si>
  <si>
    <t>FE-EEA-26072</t>
  </si>
  <si>
    <t>FE-EEA-26073</t>
  </si>
  <si>
    <t>FE-EEA-26074</t>
  </si>
  <si>
    <t>FE-EEA-26075</t>
  </si>
  <si>
    <t>FE-EEA-26077</t>
  </si>
  <si>
    <t>FE-EEA-26080</t>
  </si>
  <si>
    <t>FE-EEA-26081</t>
  </si>
  <si>
    <t>FE-EEA-26083</t>
  </si>
  <si>
    <t>FE-EEA-26084</t>
  </si>
  <si>
    <t>FE-EEA-26086</t>
  </si>
  <si>
    <t>FE-EEA-26087</t>
  </si>
  <si>
    <t>FE-EEA-26088</t>
  </si>
  <si>
    <t>FE-EEA-26090</t>
  </si>
  <si>
    <t>FE-EEA-26092</t>
  </si>
  <si>
    <t>FE-EEA-26096</t>
  </si>
  <si>
    <t>FE-EEA-26097</t>
  </si>
  <si>
    <t>FE-EEA-26098</t>
  </si>
  <si>
    <t>FE-EEA-26100</t>
  </si>
  <si>
    <t>FE-EEA-26103</t>
  </si>
  <si>
    <t>FE-EEA-26104</t>
  </si>
  <si>
    <t>FE-EEA-26105</t>
  </si>
  <si>
    <t>FE-EEA-26106</t>
  </si>
  <si>
    <t>FE-EEA-26107</t>
  </si>
  <si>
    <t>FE-EEA-26108</t>
  </si>
  <si>
    <t>FE-EEA-26109</t>
  </si>
  <si>
    <t>FE-EEA-26110</t>
  </si>
  <si>
    <t>FE-EEA-26111</t>
  </si>
  <si>
    <t>FE-EEA-26112</t>
  </si>
  <si>
    <t>FE-EEA-26113</t>
  </si>
  <si>
    <t>FE-EEA-26114</t>
  </si>
  <si>
    <t>FE-EEA-26115</t>
  </si>
  <si>
    <t>FE-EEA-26116</t>
  </si>
  <si>
    <t>FE-EEA-26117</t>
  </si>
  <si>
    <t>FE-EEA-26118</t>
  </si>
  <si>
    <t>FE-EEA-26119</t>
  </si>
  <si>
    <t>FE-EEA-26120</t>
  </si>
  <si>
    <t>FE-EEA-26121</t>
  </si>
  <si>
    <t>FE-EEA-26122</t>
  </si>
  <si>
    <t>FE-EEA-26123</t>
  </si>
  <si>
    <t>FE-EEA-26124</t>
  </si>
  <si>
    <t>FE-EEA-26125</t>
  </si>
  <si>
    <t>FE-EEA-26126</t>
  </si>
  <si>
    <t>FE-EEA-26127</t>
  </si>
  <si>
    <t>FE-EEA-26128</t>
  </si>
  <si>
    <t>FE-EEA-26129</t>
  </si>
  <si>
    <t>FE-EEA-26130</t>
  </si>
  <si>
    <t>FE-EEA-26131</t>
  </si>
  <si>
    <t>FE-EEA-26132</t>
  </si>
  <si>
    <t>FE-EEA-26133</t>
  </si>
  <si>
    <t>FE-EEA-26134</t>
  </si>
  <si>
    <t>FE-EEA-26135</t>
  </si>
  <si>
    <t>FE-EEA-26136</t>
  </si>
  <si>
    <t>FE-EEA-26137</t>
  </si>
  <si>
    <t>FE-EEA-26138</t>
  </si>
  <si>
    <t>FE-EEA-26139</t>
  </si>
  <si>
    <t>FE-EEA-26140</t>
  </si>
  <si>
    <t>FE-EEA-26141</t>
  </si>
  <si>
    <t>FE-EEA-26142</t>
  </si>
  <si>
    <t>FE-EEA-26143</t>
  </si>
  <si>
    <t>FE-EEA-26144</t>
  </si>
  <si>
    <t>FE-EEA-26145</t>
  </si>
  <si>
    <t>FE-EEA-26146</t>
  </si>
  <si>
    <t>FE-EEA-26147</t>
  </si>
  <si>
    <t>FE-EEA-26148</t>
  </si>
  <si>
    <t>FE-EEA-26149</t>
  </si>
  <si>
    <t>FE-EEA-26150</t>
  </si>
  <si>
    <t>FE-EEA-26151</t>
  </si>
  <si>
    <t>FE-EEA-26152</t>
  </si>
  <si>
    <t>FE-EEA-26153</t>
  </si>
  <si>
    <t>FE-EEA-26154</t>
  </si>
  <si>
    <t>FE-EEA-26155</t>
  </si>
  <si>
    <t>FE-EEA-26156</t>
  </si>
  <si>
    <t>FE-EEA-26157</t>
  </si>
  <si>
    <t>FE-EEA-26158</t>
  </si>
  <si>
    <t>FE-EEA-26159</t>
  </si>
  <si>
    <t>FE-EEA-26160</t>
  </si>
  <si>
    <t>FE-EEA-26161</t>
  </si>
  <si>
    <t>FE-EEA-26162</t>
  </si>
  <si>
    <t>FE-EEA-26163</t>
  </si>
  <si>
    <t>FE-EEA-26164</t>
  </si>
  <si>
    <t>FE-EEA-26165</t>
  </si>
  <si>
    <t>FE-EEA-26166</t>
  </si>
  <si>
    <t>FE-EEA-26167</t>
  </si>
  <si>
    <t>FE-EEA-26168</t>
  </si>
  <si>
    <t>FE-EEA-26169</t>
  </si>
  <si>
    <t>FE-EEA-26170</t>
  </si>
  <si>
    <t>FE-EEA-26171</t>
  </si>
  <si>
    <t>FE-EEA-26172</t>
  </si>
  <si>
    <t>FE-EEA-26173</t>
  </si>
  <si>
    <t>FE-EEA-26176</t>
  </si>
  <si>
    <t>FE-EEA-26177</t>
  </si>
  <si>
    <t>FE-EEA-26178</t>
  </si>
  <si>
    <t>FE-EEA-26179</t>
  </si>
  <si>
    <t>FE-EEA-26180</t>
  </si>
  <si>
    <t>FE-EEA-26181</t>
  </si>
  <si>
    <t>FE-EEA-26182</t>
  </si>
  <si>
    <t>FE-EEA-26183</t>
  </si>
  <si>
    <t>FE-EEA-26185</t>
  </si>
  <si>
    <t>FE-EEA-26189</t>
  </si>
  <si>
    <t>FE-EEA-26190</t>
  </si>
  <si>
    <t>FE-EEA-26192</t>
  </si>
  <si>
    <t>FE-EEA-26193</t>
  </si>
  <si>
    <t>FE-EEA-26194</t>
  </si>
  <si>
    <t>FE-EEA-26195</t>
  </si>
  <si>
    <t>FE-EEA-26196</t>
  </si>
  <si>
    <t>FE-EEA-26198</t>
  </si>
  <si>
    <t>FE-EEA-26199</t>
  </si>
  <si>
    <t>FE-EEA-26200</t>
  </si>
  <si>
    <t>FE-EEA-26201</t>
  </si>
  <si>
    <t>FE-EEA-26204</t>
  </si>
  <si>
    <t>FE-EEA-26205</t>
  </si>
  <si>
    <t>FE-EEA-26206</t>
  </si>
  <si>
    <t>FE-EEA-26207</t>
  </si>
  <si>
    <t>FE-EEA-26208</t>
  </si>
  <si>
    <t>FE-EEA-26209</t>
  </si>
  <si>
    <t>FE-EEA-26210</t>
  </si>
  <si>
    <t>FE-EEA-26211</t>
  </si>
  <si>
    <t>FE-EEA-26212</t>
  </si>
  <si>
    <t>FE-EEA-26213</t>
  </si>
  <si>
    <t>FE-EEA-26214</t>
  </si>
  <si>
    <t>FE-EEA-26215</t>
  </si>
  <si>
    <t>FE-EEA-26217</t>
  </si>
  <si>
    <t>FE-EEA-26218</t>
  </si>
  <si>
    <t>FE-EEA-26219</t>
  </si>
  <si>
    <t>FE-EEA-26220</t>
  </si>
  <si>
    <t>FE-EEA-26223</t>
  </si>
  <si>
    <t>FE-EEA-26224</t>
  </si>
  <si>
    <t>FE-EEA-26225</t>
  </si>
  <si>
    <t>FE-EEA-26226</t>
  </si>
  <si>
    <t>FE-EEA-26227</t>
  </si>
  <si>
    <t>FE-EEA-26228</t>
  </si>
  <si>
    <t>FE-EEA-26230</t>
  </si>
  <si>
    <t>FE-EEA-26234</t>
  </si>
  <si>
    <t>FE-EEA-26236</t>
  </si>
  <si>
    <t>32 TECNO ENERGIA ALTERNATIVA DE MEXICO SA DE CV</t>
  </si>
  <si>
    <t>FE-EEA-26063</t>
  </si>
  <si>
    <t>FE-EEA-26078</t>
  </si>
  <si>
    <t>FE-EEA-26079</t>
  </si>
  <si>
    <t>FE-EEA-26082</t>
  </si>
  <si>
    <t>FE-EEA-26085</t>
  </si>
  <si>
    <t>FE-EEA-26089</t>
  </si>
  <si>
    <t>FE-EEA-26091</t>
  </si>
  <si>
    <t>FE-EEA-26093</t>
  </si>
  <si>
    <t>FE-EEA-26094</t>
  </si>
  <si>
    <t>FE-EEA-26095</t>
  </si>
  <si>
    <t>FE-EEA-26099</t>
  </si>
  <si>
    <t>FE-EEA-26101</t>
  </si>
  <si>
    <t>FE-EEA-26102</t>
  </si>
  <si>
    <t>FE-EEA-26222</t>
  </si>
  <si>
    <t>FE-EEA-26229</t>
  </si>
  <si>
    <t>FE-EEA-26231</t>
  </si>
  <si>
    <t>FE-EEA-26232</t>
  </si>
  <si>
    <t>FE-EEA-26233</t>
  </si>
  <si>
    <t>FE-EEA-26235</t>
  </si>
  <si>
    <t>FE-EEA-26237</t>
  </si>
  <si>
    <t>FE-EEA-26238</t>
  </si>
  <si>
    <t>FE-EEA-26239</t>
  </si>
  <si>
    <t>FE-EEA-26240</t>
  </si>
  <si>
    <t>FE-EEA-26241</t>
  </si>
  <si>
    <t>FE-EEA-26243</t>
  </si>
  <si>
    <t>FE-EEA-26244</t>
  </si>
  <si>
    <t>FE-EEA-26246</t>
  </si>
  <si>
    <t>FE-EEA-26247</t>
  </si>
  <si>
    <t>FE-EEA-26248</t>
  </si>
  <si>
    <t>FE-EEA-26249</t>
  </si>
  <si>
    <t>FE-EEA-26250</t>
  </si>
  <si>
    <t>FE-EEA-26252</t>
  </si>
  <si>
    <t>FE-EEA-26253</t>
  </si>
  <si>
    <t>FE-EEA-26254</t>
  </si>
  <si>
    <t>FE-EEA-26255</t>
  </si>
  <si>
    <t>FE-EEA-26256</t>
  </si>
  <si>
    <t>FE-EEA-26257</t>
  </si>
  <si>
    <t>FE-EEA-26258</t>
  </si>
  <si>
    <t>FE-EEA-26262</t>
  </si>
  <si>
    <t>FE-EEA-26265</t>
  </si>
  <si>
    <t>FE-EEA-26268</t>
  </si>
  <si>
    <t>FE-EEA-26269</t>
  </si>
  <si>
    <t>FE-EEA-26270</t>
  </si>
  <si>
    <t>FE-EEA-26271</t>
  </si>
  <si>
    <t>FE-EEA-26273</t>
  </si>
  <si>
    <t>FE-EEA-26275</t>
  </si>
  <si>
    <t>FE-EEA-26276</t>
  </si>
  <si>
    <t>FE-EEA-26277</t>
  </si>
  <si>
    <t>FE-EEA-26278</t>
  </si>
  <si>
    <t>FE-EEA-26279</t>
  </si>
  <si>
    <t>FE-EEA-26280</t>
  </si>
  <si>
    <t>FE-EEA-26281</t>
  </si>
  <si>
    <t>FE-EEA-26282</t>
  </si>
  <si>
    <t>FE-EEA-26283</t>
  </si>
  <si>
    <t>FE-EEA-26284</t>
  </si>
  <si>
    <t>FE-EEA-26285</t>
  </si>
  <si>
    <t>FE-EEA-26286</t>
  </si>
  <si>
    <t>FE-EEA-26287</t>
  </si>
  <si>
    <t>FE-EEA-26288</t>
  </si>
  <si>
    <t>FE-EEA-26289</t>
  </si>
  <si>
    <t>FE-EEA-26290</t>
  </si>
  <si>
    <t>FE-EEA-26291</t>
  </si>
  <si>
    <t>FE-EEA-26293</t>
  </si>
  <si>
    <t>FE-EEA-26294</t>
  </si>
  <si>
    <t>FE-EEA-26296</t>
  </si>
  <si>
    <t>FE-EEA-26297</t>
  </si>
  <si>
    <t>FE-EEA-26298</t>
  </si>
  <si>
    <t>FE-EEA-26299</t>
  </si>
  <si>
    <t>FE-EEA-26300</t>
  </si>
  <si>
    <t>FE-EEA-26301</t>
  </si>
  <si>
    <t>FE-EEA-26302</t>
  </si>
  <si>
    <t>FE-EEA-26303</t>
  </si>
  <si>
    <t>FE-EEA-26304</t>
  </si>
  <si>
    <t>FE-EEA-26305</t>
  </si>
  <si>
    <t>FE-EEA-26306</t>
  </si>
  <si>
    <t>FE-EEA-26307</t>
  </si>
  <si>
    <t>FE-EEA-26308</t>
  </si>
  <si>
    <t>FE-EEA-26309</t>
  </si>
  <si>
    <t>FE-EEA-26310</t>
  </si>
  <si>
    <t>FE-EEA-26311</t>
  </si>
  <si>
    <t>FE-EEA-26312</t>
  </si>
  <si>
    <t>FE-EEA-26313</t>
  </si>
  <si>
    <t>FE-EEA-26314</t>
  </si>
  <si>
    <t>FE-EEA-26315</t>
  </si>
  <si>
    <t>FE-EEA-26316</t>
  </si>
  <si>
    <t>FE-EEA-26317</t>
  </si>
  <si>
    <t>FE-EEA-26318</t>
  </si>
  <si>
    <t>FE-EEA-26319</t>
  </si>
  <si>
    <t>FE-EEA-26320</t>
  </si>
  <si>
    <t>FE-EEA-26321</t>
  </si>
  <si>
    <t>FE-EEA-26322</t>
  </si>
  <si>
    <t>FE-EEA-26323</t>
  </si>
  <si>
    <t>FE-EEA-26324</t>
  </si>
  <si>
    <t>FE-EEA-26325</t>
  </si>
  <si>
    <t>FE-EEA-26327</t>
  </si>
  <si>
    <t>FE-EEA-26328</t>
  </si>
  <si>
    <t>FE-EEA-26329</t>
  </si>
  <si>
    <t>FE-EEA-26330</t>
  </si>
  <si>
    <t>FE-EEA-26331</t>
  </si>
  <si>
    <t>FE-EEA-26332</t>
  </si>
  <si>
    <t>FE-EEA-26333</t>
  </si>
  <si>
    <t>FE-EEA-26334</t>
  </si>
  <si>
    <t>FE-EEA-26335</t>
  </si>
  <si>
    <t>FE-EEA-26336</t>
  </si>
  <si>
    <t>FE-EEA-26337</t>
  </si>
  <si>
    <t>FE-EEA-26338</t>
  </si>
  <si>
    <t>FE-EEA-26339</t>
  </si>
  <si>
    <t>FE-EEA-26340</t>
  </si>
  <si>
    <t>FE-EEA-26341</t>
  </si>
  <si>
    <t>FE-EEA-26342</t>
  </si>
  <si>
    <t>FE-EEA-26343</t>
  </si>
  <si>
    <t>FE-EEA-26344</t>
  </si>
  <si>
    <t>FE-EEA-26345</t>
  </si>
  <si>
    <t>FE-EEA-26346</t>
  </si>
  <si>
    <t>FE-EEA-26347</t>
  </si>
  <si>
    <t>FE-EEA-26348</t>
  </si>
  <si>
    <t>FE-EEA-26349</t>
  </si>
  <si>
    <t>FE-EEA-26350</t>
  </si>
  <si>
    <t>FE-EEA-26351</t>
  </si>
  <si>
    <t>FE-EEA-26352</t>
  </si>
  <si>
    <t>FE-EEA-26353</t>
  </si>
  <si>
    <t>FE-EEA-26354</t>
  </si>
  <si>
    <t>FE-EEA-26355</t>
  </si>
  <si>
    <t>FE-EEA-26356</t>
  </si>
  <si>
    <t>FE-EEA-26357</t>
  </si>
  <si>
    <t>FE-EEA-26358</t>
  </si>
  <si>
    <t>FE-EEA-26359</t>
  </si>
  <si>
    <t>FE-EEA-26360</t>
  </si>
  <si>
    <t>FE-EEA-26361</t>
  </si>
  <si>
    <t>FE-EEA-26362</t>
  </si>
  <si>
    <t>FE-EEA-26363</t>
  </si>
  <si>
    <t>FE-EEA-26364</t>
  </si>
  <si>
    <t>FE-EEA-26365</t>
  </si>
  <si>
    <t>FE-EEA-26366</t>
  </si>
  <si>
    <t>FE-EEA-26367</t>
  </si>
  <si>
    <t>FE-EEA-26368</t>
  </si>
  <si>
    <t>FE-EEA-26369</t>
  </si>
  <si>
    <t>FE-EEA-26370</t>
  </si>
  <si>
    <t>FE-EEA-26371</t>
  </si>
  <si>
    <t>FE-EEA-26372</t>
  </si>
  <si>
    <t>FE-EEA-26374</t>
  </si>
  <si>
    <t>FE-EEA-26375</t>
  </si>
  <si>
    <t>FE-EEA-26376</t>
  </si>
  <si>
    <t>FE-EEA-26377</t>
  </si>
  <si>
    <t>FE-EEA-26378</t>
  </si>
  <si>
    <t>FE-EEA-26379</t>
  </si>
  <si>
    <t>FE-EEA-26380</t>
  </si>
  <si>
    <t>FE-EEA-26381</t>
  </si>
  <si>
    <t>FE-EEA-26382</t>
  </si>
  <si>
    <t>FE-EEA-26383</t>
  </si>
  <si>
    <t>FE-EEA-26384</t>
  </si>
  <si>
    <t>FE-EEA-26385</t>
  </si>
  <si>
    <t>FE-EEA-26386</t>
  </si>
  <si>
    <t>FE-EEA-26387</t>
  </si>
  <si>
    <t>FE-EEA-26388</t>
  </si>
  <si>
    <t>FE-EEA-26389</t>
  </si>
  <si>
    <t>FE-EEA-26390</t>
  </si>
  <si>
    <t>FE-EEA-26391</t>
  </si>
  <si>
    <t>FE-EEA-26392</t>
  </si>
  <si>
    <t>FE-EEA-26393</t>
  </si>
  <si>
    <t>FE-EEA-26394</t>
  </si>
  <si>
    <t>FE-EEA-26395</t>
  </si>
  <si>
    <t>FE-EEA-26396</t>
  </si>
  <si>
    <t>FE-EEA-26397</t>
  </si>
  <si>
    <t>FE-EEA-26398</t>
  </si>
  <si>
    <t>FE-EEA-26399</t>
  </si>
  <si>
    <t>FE-EEA-26400</t>
  </si>
  <si>
    <t>FE-EEA-26401</t>
  </si>
  <si>
    <t>FE-EEA-26406</t>
  </si>
  <si>
    <t>FE-EEA-26407</t>
  </si>
  <si>
    <t>FE-EEA-26408</t>
  </si>
  <si>
    <t>FE-EEA-26409</t>
  </si>
  <si>
    <t>FE-EEA-26410</t>
  </si>
  <si>
    <t>FE-EEA-26411</t>
  </si>
  <si>
    <t>FE-EEA-26412</t>
  </si>
  <si>
    <t>FE-EEA-26373</t>
  </si>
  <si>
    <t>FE-EEA-26413</t>
  </si>
  <si>
    <t>FE-EEA-26414</t>
  </si>
  <si>
    <t>FE-EEA-26415</t>
  </si>
  <si>
    <t>FE-EEA-26416</t>
  </si>
  <si>
    <t>FE-EEA-26417</t>
  </si>
  <si>
    <t>FE-EEA-26419</t>
  </si>
  <si>
    <t>FE-EEA-26423</t>
  </si>
  <si>
    <t>FE-EEA-26424</t>
  </si>
  <si>
    <t>FE-EEA-26426</t>
  </si>
  <si>
    <t>FE-EEA-26427</t>
  </si>
  <si>
    <t>FE-EEA-26429</t>
  </si>
  <si>
    <t>FE-EEA-26430</t>
  </si>
  <si>
    <t>FE-EEA-26433</t>
  </si>
  <si>
    <t>FE-EEA-26434</t>
  </si>
  <si>
    <t>FE-EEA-26435</t>
  </si>
  <si>
    <t>FE-EEA-26438</t>
  </si>
  <si>
    <t>FE-EEA-26439</t>
  </si>
  <si>
    <t>FE-EEA-26440</t>
  </si>
  <si>
    <t>FE-EEA-26441</t>
  </si>
  <si>
    <t>FE-EEA-26442</t>
  </si>
  <si>
    <t>FE-EEA-26443</t>
  </si>
  <si>
    <t>FE-EEA-26445</t>
  </si>
  <si>
    <t>FE-EEA-26741</t>
  </si>
  <si>
    <t>FE-EEA-26260</t>
  </si>
  <si>
    <t>FE-EEA-26266</t>
  </si>
  <si>
    <t>FE-EEA-26421</t>
  </si>
  <si>
    <t>FE-EEA-26444</t>
  </si>
  <si>
    <t>FE-EEA-26447</t>
  </si>
  <si>
    <t>FE-EEA-26448</t>
  </si>
  <si>
    <t>FE-EEA-26449</t>
  </si>
  <si>
    <t>FE-EEA-26450</t>
  </si>
  <si>
    <t>FE-EEA-26451</t>
  </si>
  <si>
    <t>FE-EEA-26452</t>
  </si>
  <si>
    <t>FE-EEA-26453</t>
  </si>
  <si>
    <t>FE-EEA-26454</t>
  </si>
  <si>
    <t>FE-EEA-26455</t>
  </si>
  <si>
    <t>FE-EEA-26456</t>
  </si>
  <si>
    <t>FE-EEA-26457</t>
  </si>
  <si>
    <t>FE-EEA-26458</t>
  </si>
  <si>
    <t>FE-EEA-26459</t>
  </si>
  <si>
    <t>FE-EEA-26460</t>
  </si>
  <si>
    <t>FE-EEA-26461</t>
  </si>
  <si>
    <t>FE-EEA-26462</t>
  </si>
  <si>
    <t>FE-EEA-26463</t>
  </si>
  <si>
    <t>FE-EEA-26464</t>
  </si>
  <si>
    <t>FE-EEA-26465</t>
  </si>
  <si>
    <t>FE-EEA-26466</t>
  </si>
  <si>
    <t>FE-EEA-26467</t>
  </si>
  <si>
    <t>FE-EEA-26468</t>
  </si>
  <si>
    <t>FE-EEA-26469</t>
  </si>
  <si>
    <t>FE-EEA-26470</t>
  </si>
  <si>
    <t>FE-EEA-26471</t>
  </si>
  <si>
    <t>FE-EEA-26472</t>
  </si>
  <si>
    <t>FE-EEA-26473</t>
  </si>
  <si>
    <t>FE-EEA-26474</t>
  </si>
  <si>
    <t>FE-EEA-26475</t>
  </si>
  <si>
    <t>FE-EEA-26476</t>
  </si>
  <si>
    <t>FE-EEA-26477</t>
  </si>
  <si>
    <t>FE-EEA-26478</t>
  </si>
  <si>
    <t>FE-EEA-26479</t>
  </si>
  <si>
    <t>FE-EEA-26480</t>
  </si>
  <si>
    <t>FE-EEA-26481</t>
  </si>
  <si>
    <t>FE-EEA-26482</t>
  </si>
  <si>
    <t>FE-EEA-26483</t>
  </si>
  <si>
    <t>FE-EEA-26484</t>
  </si>
  <si>
    <t>FE-EEA-26485</t>
  </si>
  <si>
    <t>FE-EEA-26486</t>
  </si>
  <si>
    <t>FE-EEA-26487</t>
  </si>
  <si>
    <t>FE-EEA-26488</t>
  </si>
  <si>
    <t>FE-EEA-26489</t>
  </si>
  <si>
    <t>FE-EEA-26490</t>
  </si>
  <si>
    <t>FE-EEA-26491</t>
  </si>
  <si>
    <t>FE-EEA-26492</t>
  </si>
  <si>
    <t>FE-EEA-26493</t>
  </si>
  <si>
    <t>FE-EEA-26495</t>
  </si>
  <si>
    <t>FE-EEA-26496</t>
  </si>
  <si>
    <t>FE-EEA-26497</t>
  </si>
  <si>
    <t>FE-EEA-26498</t>
  </si>
  <si>
    <t>FE-EEA-26500</t>
  </si>
  <si>
    <t>FE-EEA-26501</t>
  </si>
  <si>
    <t>FE-EEA-26502</t>
  </si>
  <si>
    <t>FE-EEA-26504</t>
  </si>
  <si>
    <t>FE-EEA-26505</t>
  </si>
  <si>
    <t>FE-EEA-26506</t>
  </si>
  <si>
    <t>FE-EEA-26507</t>
  </si>
  <si>
    <t>FE-EEA-26508</t>
  </si>
  <si>
    <t>FE-EEA-26509</t>
  </si>
  <si>
    <t>FE-EEA-26510</t>
  </si>
  <si>
    <t>FE-EEA-26511</t>
  </si>
  <si>
    <t>FE-EEA-26513</t>
  </si>
  <si>
    <t>FE-EEA-26514</t>
  </si>
  <si>
    <t>FE-EEA-26515</t>
  </si>
  <si>
    <t>FE-EEA-26516</t>
  </si>
  <si>
    <t>FE-EEA-26517</t>
  </si>
  <si>
    <t>FE-EEA-26518</t>
  </si>
  <si>
    <t>FE-EEA-26519</t>
  </si>
  <si>
    <t>FE-EEA-26520</t>
  </si>
  <si>
    <t>FE-EEA-26521</t>
  </si>
  <si>
    <t>FE-EEA-26522</t>
  </si>
  <si>
    <t>FE-EEA-26523</t>
  </si>
  <si>
    <t>FE-EEA-26524</t>
  </si>
  <si>
    <t>FE-EEA-26525</t>
  </si>
  <si>
    <t>FE-EEA-26526</t>
  </si>
  <si>
    <t>FE-EEA-26527</t>
  </si>
  <si>
    <t>FE-EEA-26528</t>
  </si>
  <si>
    <t>FE-EEA-26529</t>
  </si>
  <si>
    <t>FE-EEA-26530</t>
  </si>
  <si>
    <t>FE-EEA-26531</t>
  </si>
  <si>
    <t>FE-EEA-26532</t>
  </si>
  <si>
    <t>FE-EEA-26533</t>
  </si>
  <si>
    <t>FE-EEA-26534</t>
  </si>
  <si>
    <t>FE-EEA-26535</t>
  </si>
  <si>
    <t>FE-EEA-26537</t>
  </si>
  <si>
    <t>FE-EEA-26538</t>
  </si>
  <si>
    <t>FE-EEA-26539</t>
  </si>
  <si>
    <t>FE-EEA-26540</t>
  </si>
  <si>
    <t>FE-EEA-26541</t>
  </si>
  <si>
    <t>FE-EEA-26542</t>
  </si>
  <si>
    <t>FE-EEA-26543</t>
  </si>
  <si>
    <t>FE-EEA-26544</t>
  </si>
  <si>
    <t>FE-EEA-26545</t>
  </si>
  <si>
    <t>FE-EEA-26546</t>
  </si>
  <si>
    <t>FE-EEA-26547</t>
  </si>
  <si>
    <t>FE-EEA-26548</t>
  </si>
  <si>
    <t>FE-EEA-26549</t>
  </si>
  <si>
    <t>FE-EEA-26550</t>
  </si>
  <si>
    <t>FE-EEA-26552</t>
  </si>
  <si>
    <t>FE-EEA-26553</t>
  </si>
  <si>
    <t>FE-EEA-26554</t>
  </si>
  <si>
    <t>FE-EEA-26555</t>
  </si>
  <si>
    <t>FE-EEA-26556</t>
  </si>
  <si>
    <t>FE-EEA-26557</t>
  </si>
  <si>
    <t>FE-EEA-26558</t>
  </si>
  <si>
    <t>FE-EEA-26559</t>
  </si>
  <si>
    <t>FE-EEA-26560</t>
  </si>
  <si>
    <t>FE-EEA-26561</t>
  </si>
  <si>
    <t>FE-EEA-26562</t>
  </si>
  <si>
    <t>FE-EEA-26563</t>
  </si>
  <si>
    <t>FE-EEA-26564</t>
  </si>
  <si>
    <t>FE-EEA-26565</t>
  </si>
  <si>
    <t>FE-EEA-26566</t>
  </si>
  <si>
    <t>FE-EEA-26567</t>
  </si>
  <si>
    <t>FE-EEA-26568</t>
  </si>
  <si>
    <t>FE-EEA-26570</t>
  </si>
  <si>
    <t>FE-EEA-26571</t>
  </si>
  <si>
    <t>FE-EEA-26572</t>
  </si>
  <si>
    <t>FE-EEA-26573</t>
  </si>
  <si>
    <t>FE-EEA-26574</t>
  </si>
  <si>
    <t>FE-EEA-26575</t>
  </si>
  <si>
    <t>FE-EEA-26576</t>
  </si>
  <si>
    <t>FE-EEA-26577</t>
  </si>
  <si>
    <t>FE-EEA-26578</t>
  </si>
  <si>
    <t>FE-EEA-26579</t>
  </si>
  <si>
    <t>FE-EEA-26580</t>
  </si>
  <si>
    <t>FE-EEA-26581</t>
  </si>
  <si>
    <t>FE-EEA-26582</t>
  </si>
  <si>
    <t>FE-EEA-26583</t>
  </si>
  <si>
    <t>FE-EEA-26584</t>
  </si>
  <si>
    <t>FE-EEA-26585</t>
  </si>
  <si>
    <t>FE-EEA-26586</t>
  </si>
  <si>
    <t>FE-EEA-26587</t>
  </si>
  <si>
    <t>FE-EEA-26588</t>
  </si>
  <si>
    <t>FE-EEA-26589</t>
  </si>
  <si>
    <t>FE-EEA-26590</t>
  </si>
  <si>
    <t>FE-EEA-26591</t>
  </si>
  <si>
    <t>FE-EEA-26592</t>
  </si>
  <si>
    <t>FE-EEA-26593</t>
  </si>
  <si>
    <t>FE-EEA-26594</t>
  </si>
  <si>
    <t>FE-EEA-26595</t>
  </si>
  <si>
    <t>FE-EEA-26596</t>
  </si>
  <si>
    <t>FE-EEA-26597</t>
  </si>
  <si>
    <t>FE-EEA-26598</t>
  </si>
  <si>
    <t>FE-EEA-26599</t>
  </si>
  <si>
    <t>FE-EEA-26600</t>
  </si>
  <si>
    <t>FE-EEA-26601</t>
  </si>
  <si>
    <t>FE-EEA-26602</t>
  </si>
  <si>
    <t>FE-EEA-26604</t>
  </si>
  <si>
    <t>FE-EEA-26605</t>
  </si>
  <si>
    <t>FE-EEA-26606</t>
  </si>
  <si>
    <t>FE-EEA-26608</t>
  </si>
  <si>
    <t>FE-EEA-26609</t>
  </si>
  <si>
    <t>FE-EEA-26610</t>
  </si>
  <si>
    <t>FE-EEA-26611</t>
  </si>
  <si>
    <t>FE-EEA-26612</t>
  </si>
  <si>
    <t>FE-EEA-26613</t>
  </si>
  <si>
    <t>FE-EEA-26614</t>
  </si>
  <si>
    <t>FE-EEA-26615</t>
  </si>
  <si>
    <t>FE-EEA-26616</t>
  </si>
  <si>
    <t>FE-EEA-26617</t>
  </si>
  <si>
    <t>FE-EEA-26618</t>
  </si>
  <si>
    <t>FE-EEA-26619</t>
  </si>
  <si>
    <t>FE-EEA-26620</t>
  </si>
  <si>
    <t>FE-EEA-26621</t>
  </si>
  <si>
    <t>FE-EEA-26622</t>
  </si>
  <si>
    <t>FE-EEA-26623</t>
  </si>
  <si>
    <t>FE-EEA-26624</t>
  </si>
  <si>
    <t>FE-EEA-26625</t>
  </si>
  <si>
    <t>FE-EEA-26626</t>
  </si>
  <si>
    <t>FE-EEA-26629</t>
  </si>
  <si>
    <t>FE-EEA-26630</t>
  </si>
  <si>
    <t>FE-EEA-26631</t>
  </si>
  <si>
    <t>FE-EEA-26633</t>
  </si>
  <si>
    <t>FE-EEA-26635</t>
  </si>
  <si>
    <t>FE-EEA-26636</t>
  </si>
  <si>
    <t>FE-EEA-26640</t>
  </si>
  <si>
    <t>FE-EEA-26641</t>
  </si>
  <si>
    <t>FE-EEA-26642</t>
  </si>
  <si>
    <t>FE-EEA-26643</t>
  </si>
  <si>
    <t>FE-EEA-26645</t>
  </si>
  <si>
    <t>FE-EEA-26646</t>
  </si>
  <si>
    <t>FE-EEA-26648</t>
  </si>
  <si>
    <t>FE-EEA-26649</t>
  </si>
  <si>
    <t>Mónica Ríos Ortega</t>
  </si>
  <si>
    <t>4954 CONGRESO DEL ESTADO DE MICHOACAN DE OCAMPO</t>
  </si>
  <si>
    <t>FERNANDO SCHEVENIN</t>
  </si>
  <si>
    <t>FE-EEA-26536</t>
  </si>
  <si>
    <t>FE-EEA-26607</t>
  </si>
  <si>
    <t>FE-EEA-26632</t>
  </si>
  <si>
    <t>FE-EEA-26634</t>
  </si>
  <si>
    <t>FE-EEA-26637</t>
  </si>
  <si>
    <t>FE-EEA-26638</t>
  </si>
  <si>
    <t>FE-EEA-26639</t>
  </si>
  <si>
    <t>FE-EEA-26644</t>
  </si>
  <si>
    <t>FE-EEA-26650</t>
  </si>
  <si>
    <t>FE-EEA-26651</t>
  </si>
  <si>
    <t>FE-EEA-26652</t>
  </si>
  <si>
    <t>FE-EEA-26653</t>
  </si>
  <si>
    <t>FE-EEA-26654</t>
  </si>
  <si>
    <t>FE-EEA-26655</t>
  </si>
  <si>
    <t>FE-EEA-26656</t>
  </si>
  <si>
    <t>FE-EEA-26657</t>
  </si>
  <si>
    <t>FE-EEA-26658</t>
  </si>
  <si>
    <t>FE-EEA-26659</t>
  </si>
  <si>
    <t>FE-EEA-26660</t>
  </si>
  <si>
    <t>FE-EEA-26661</t>
  </si>
  <si>
    <t>FE-EEA-26662</t>
  </si>
  <si>
    <t>FE-EEA-26663</t>
  </si>
  <si>
    <t>FE-EEA-26664</t>
  </si>
  <si>
    <t>FE-EEA-26666</t>
  </si>
  <si>
    <t>FE-EEA-26667</t>
  </si>
  <si>
    <t>FE-EEA-26668</t>
  </si>
  <si>
    <t>FE-EEA-26671</t>
  </si>
  <si>
    <t>FE-EEA-26672</t>
  </si>
  <si>
    <t>FE-EEA-26673</t>
  </si>
  <si>
    <t>FE-EEA-26674</t>
  </si>
  <si>
    <t>FE-EEA-26675</t>
  </si>
  <si>
    <t>FE-EEA-26676</t>
  </si>
  <si>
    <t>FE-EEA-26677</t>
  </si>
  <si>
    <t>FE-EEA-26678</t>
  </si>
  <si>
    <t>FE-EEA-26679</t>
  </si>
  <si>
    <t>FE-EEA-26680</t>
  </si>
  <si>
    <t>FE-EEA-26681</t>
  </si>
  <si>
    <t>FE-EEA-26682</t>
  </si>
  <si>
    <t>FE-EEA-26683</t>
  </si>
  <si>
    <t>FE-EEA-26684</t>
  </si>
  <si>
    <t>FE-EEA-26685</t>
  </si>
  <si>
    <t>FE-EEA-26686</t>
  </si>
  <si>
    <t>FE-EEA-26687</t>
  </si>
  <si>
    <t>FE-EEA-26688</t>
  </si>
  <si>
    <t>FE-EEA-26689</t>
  </si>
  <si>
    <t>FE-EEA-26690</t>
  </si>
  <si>
    <t>FE-EEA-26691</t>
  </si>
  <si>
    <t>FE-EEA-26692</t>
  </si>
  <si>
    <t>FE-EEA-26693</t>
  </si>
  <si>
    <t>FE-EEA-26694</t>
  </si>
  <si>
    <t>FE-EEA-26695</t>
  </si>
  <si>
    <t>FE-EEA-26696</t>
  </si>
  <si>
    <t>FE-EEA-26697</t>
  </si>
  <si>
    <t>FE-EEA-26698</t>
  </si>
  <si>
    <t>FE-EEA-26699</t>
  </si>
  <si>
    <t>FE-EEA-26700</t>
  </si>
  <si>
    <t>FE-EEA-26701</t>
  </si>
  <si>
    <t>FE-EEA-26702</t>
  </si>
  <si>
    <t>FE-EEA-26703</t>
  </si>
  <si>
    <t>FE-EEA-26704</t>
  </si>
  <si>
    <t>FE-EEA-26705</t>
  </si>
  <si>
    <t>FE-EEA-26706</t>
  </si>
  <si>
    <t>FE-EEA-26707</t>
  </si>
  <si>
    <t>FE-EEA-26708</t>
  </si>
  <si>
    <t>FE-EEA-26710</t>
  </si>
  <si>
    <t>FE-EEA-26711</t>
  </si>
  <si>
    <t>FE-EEA-26712</t>
  </si>
  <si>
    <t>FE-EEA-26713</t>
  </si>
  <si>
    <t>FE-EEA-26714</t>
  </si>
  <si>
    <t>FE-EEA-26715</t>
  </si>
  <si>
    <t>FE-EEA-26716</t>
  </si>
  <si>
    <t>FE-EEA-26717</t>
  </si>
  <si>
    <t>FE-EEA-26718</t>
  </si>
  <si>
    <t>FE-EEA-26719</t>
  </si>
  <si>
    <t>FE-EEA-26720</t>
  </si>
  <si>
    <t>FE-EEA-26725</t>
  </si>
  <si>
    <t>FE-EEA-26727</t>
  </si>
  <si>
    <t>FE-EEA-26728</t>
  </si>
  <si>
    <t>FE-EEA-26729</t>
  </si>
  <si>
    <t>FE-EEA-26731</t>
  </si>
  <si>
    <t>FE-EEA-26732</t>
  </si>
  <si>
    <t>FE-EEA-26733</t>
  </si>
  <si>
    <t>FE-EEA-26734</t>
  </si>
  <si>
    <t>FE-EEA-26736</t>
  </si>
  <si>
    <t>FE-EEA-26737</t>
  </si>
  <si>
    <t>FE-EEA-26738</t>
  </si>
  <si>
    <t>FE-EEA-26743</t>
  </si>
  <si>
    <t>FE-EEA-26744</t>
  </si>
  <si>
    <t>OV-ERM-18982</t>
  </si>
  <si>
    <t>FE-EEA-26721</t>
  </si>
  <si>
    <t>FE-EEA-26722</t>
  </si>
  <si>
    <t>FE-EEA-26723</t>
  </si>
  <si>
    <t>FE-EEA-26724</t>
  </si>
  <si>
    <t>FE-EEA-26726</t>
  </si>
  <si>
    <t>FE-EEA-26730</t>
  </si>
  <si>
    <t>FE-EEA-26735</t>
  </si>
  <si>
    <t>FE-EEA-26739</t>
  </si>
  <si>
    <t>FE-EEA-26745</t>
  </si>
  <si>
    <t>FE-EEA-26746</t>
  </si>
  <si>
    <t>FE-EEA-26747</t>
  </si>
  <si>
    <t>FE-EEA-26748</t>
  </si>
  <si>
    <t>FE-EEA-26749</t>
  </si>
  <si>
    <t>FE-EEA-26750</t>
  </si>
  <si>
    <t>FE-EEA-26751</t>
  </si>
  <si>
    <t>FE-EEA-26752</t>
  </si>
  <si>
    <t>FE-EEA-26753</t>
  </si>
  <si>
    <t>FE-EEA-26754</t>
  </si>
  <si>
    <t>FE-EEA-26755</t>
  </si>
  <si>
    <t>FE-EEA-26756</t>
  </si>
  <si>
    <t>FE-EEA-26759</t>
  </si>
  <si>
    <t>FE-EEA-26761</t>
  </si>
  <si>
    <t>FE-EEA-26762</t>
  </si>
  <si>
    <t>FE-EEA-26763</t>
  </si>
  <si>
    <t>FE-EEA-26764</t>
  </si>
  <si>
    <t>FE-EEA-26765</t>
  </si>
  <si>
    <t>FE-EEA-26766</t>
  </si>
  <si>
    <t>FE-EEA-26767</t>
  </si>
  <si>
    <t>FE-EEA-26768</t>
  </si>
  <si>
    <t>FE-EEA-26769</t>
  </si>
  <si>
    <t>FE-EEA-26770</t>
  </si>
  <si>
    <t>FE-EEA-26771</t>
  </si>
  <si>
    <t>FE-EEA-26772</t>
  </si>
  <si>
    <t>FE-EEA-26776</t>
  </si>
  <si>
    <t>FE-EEA-26777</t>
  </si>
  <si>
    <t>FE-EEA-26778</t>
  </si>
  <si>
    <t>FE-EEA-26779</t>
  </si>
  <si>
    <t>FE-EEA-26780</t>
  </si>
  <si>
    <t>FE-EEA-26781</t>
  </si>
  <si>
    <t>FE-EEA-26784</t>
  </si>
  <si>
    <t>FE-EEA-26785</t>
  </si>
  <si>
    <t>FE-EEA-26786</t>
  </si>
  <si>
    <t>FE-EEA-26787</t>
  </si>
  <si>
    <t>FE-EEA-26788</t>
  </si>
  <si>
    <t>FE-EEA-26789</t>
  </si>
  <si>
    <t>FE-EEA-26790</t>
  </si>
  <si>
    <t>FE-EEA-26791</t>
  </si>
  <si>
    <t>FE-EEA-26792</t>
  </si>
  <si>
    <t>FE-EEA-26793</t>
  </si>
  <si>
    <t>FE-EEA-26794</t>
  </si>
  <si>
    <t>FE-EEA-26798</t>
  </si>
  <si>
    <t>FE-EEA-26799</t>
  </si>
  <si>
    <t>FE-EEA-26800</t>
  </si>
  <si>
    <t>FE-EEA-26801</t>
  </si>
  <si>
    <t>FE-EEA-26802</t>
  </si>
  <si>
    <t>FE-EEA-26803</t>
  </si>
  <si>
    <t>FE-EEA-26804</t>
  </si>
  <si>
    <t>FE-EEA-26805</t>
  </si>
  <si>
    <t>FE-EEA-26806</t>
  </si>
  <si>
    <t>FE-EEA-26807</t>
  </si>
  <si>
    <t>FE-EEA-26808</t>
  </si>
  <si>
    <t>FE-EEA-26809</t>
  </si>
  <si>
    <t>FE-EEA-26810</t>
  </si>
  <si>
    <t>FE-EEA-26811</t>
  </si>
  <si>
    <t>FE-EEA-26812</t>
  </si>
  <si>
    <t>FE-EEA-26813</t>
  </si>
  <si>
    <t>FE-EEA-26814</t>
  </si>
  <si>
    <t>FE-EEA-26815</t>
  </si>
  <si>
    <t>FE-EEA-26816</t>
  </si>
  <si>
    <t>FE-EEA-26817</t>
  </si>
  <si>
    <t>FE-EEA-26818</t>
  </si>
  <si>
    <t>FE-EEA-26820</t>
  </si>
  <si>
    <t>FE-EEA-26821</t>
  </si>
  <si>
    <t>FE-EEA-26822</t>
  </si>
  <si>
    <t>FE-EEA-26823</t>
  </si>
  <si>
    <t>FE-EEA-26824</t>
  </si>
  <si>
    <t>FE-EEA-26825</t>
  </si>
  <si>
    <t>FE-EEA-26826</t>
  </si>
  <si>
    <t>FE-EEA-26827</t>
  </si>
  <si>
    <t>FE-EEA-26828</t>
  </si>
  <si>
    <t>FE-EEA-26829</t>
  </si>
  <si>
    <t>FE-EEA-26830</t>
  </si>
  <si>
    <t>FE-EEA-26831</t>
  </si>
  <si>
    <t>FE-EEA-26832</t>
  </si>
  <si>
    <t>FE-EEA-26833</t>
  </si>
  <si>
    <t>FE-EEA-26834</t>
  </si>
  <si>
    <t>FE-EEA-26835</t>
  </si>
  <si>
    <t>FE-EEA-26836</t>
  </si>
  <si>
    <t>FE-EEA-26838</t>
  </si>
  <si>
    <t>FE-EEA-26840</t>
  </si>
  <si>
    <t>FE-EEA-26841</t>
  </si>
  <si>
    <t>FE-EEA-26842</t>
  </si>
  <si>
    <t>FE-EEA-26843</t>
  </si>
  <si>
    <t>FE-EEA-26844</t>
  </si>
  <si>
    <t>FE-EEA-26845</t>
  </si>
  <si>
    <t>FE-EEA-26846</t>
  </si>
  <si>
    <t>FE-EEA-26847</t>
  </si>
  <si>
    <t>FE-EEA-26848</t>
  </si>
  <si>
    <t>FE-EEA-26849</t>
  </si>
  <si>
    <t>4976 MUNICIPIO DE TECAMAC</t>
  </si>
  <si>
    <t>Stephany Serrano Piñón</t>
  </si>
  <si>
    <t>FE-EEA-26603</t>
  </si>
  <si>
    <t>FE-EEA-26795</t>
  </si>
  <si>
    <t>FE-EEA-26796</t>
  </si>
  <si>
    <t>FE-EEA-26797</t>
  </si>
  <si>
    <t>FE-EEA-26839</t>
  </si>
  <si>
    <t>FE-EEA-26850</t>
  </si>
  <si>
    <t>FE-EEA-26852</t>
  </si>
  <si>
    <t>FE-EEA-26853</t>
  </si>
  <si>
    <t>FE-EEA-26854</t>
  </si>
  <si>
    <t>FE-EEA-26855</t>
  </si>
  <si>
    <t>FE-EEA-26857</t>
  </si>
  <si>
    <t>FE-EEA-26858</t>
  </si>
  <si>
    <t>FE-EEA-26859</t>
  </si>
  <si>
    <t>FE-EEA-26860</t>
  </si>
  <si>
    <t>FE-EEA-26861</t>
  </si>
  <si>
    <t>FE-EEA-26866</t>
  </si>
  <si>
    <t>FE-EEA-26867</t>
  </si>
  <si>
    <t>FE-EEA-26868</t>
  </si>
  <si>
    <t>FE-EEA-26869</t>
  </si>
  <si>
    <t>FE-EEA-26870</t>
  </si>
  <si>
    <t>FE-EEA-26871</t>
  </si>
  <si>
    <t>FE-EEA-26874</t>
  </si>
  <si>
    <t>FE-EEA-26875</t>
  </si>
  <si>
    <t>FE-EEA-26876</t>
  </si>
  <si>
    <t>FE-EEA-26877</t>
  </si>
  <si>
    <t>FE-EEA-26879</t>
  </si>
  <si>
    <t>FE-EEA-26880</t>
  </si>
  <si>
    <t>FE-EEA-26881</t>
  </si>
  <si>
    <t>FE-EEA-26882</t>
  </si>
  <si>
    <t>FE-EEA-26883</t>
  </si>
  <si>
    <t>FE-EEA-26884</t>
  </si>
  <si>
    <t>FE-EEA-26885</t>
  </si>
  <si>
    <t>FE-EEA-26886</t>
  </si>
  <si>
    <t>FE-EEA-26887</t>
  </si>
  <si>
    <t>FE-EEA-26888</t>
  </si>
  <si>
    <t>FE-EEA-26889</t>
  </si>
  <si>
    <t>FE-EEA-26890</t>
  </si>
  <si>
    <t>FE-EEA-26891</t>
  </si>
  <si>
    <t>FE-EEA-26892</t>
  </si>
  <si>
    <t>FE-EEA-26893</t>
  </si>
  <si>
    <t>FE-EEA-26894</t>
  </si>
  <si>
    <t>FE-EEA-26895</t>
  </si>
  <si>
    <t>FE-EEA-26896</t>
  </si>
  <si>
    <t>FE-EEA-26897</t>
  </si>
  <si>
    <t>FE-EEA-26898</t>
  </si>
  <si>
    <t>FE-EEA-26901</t>
  </si>
  <si>
    <t>FE-EEA-26902</t>
  </si>
  <si>
    <t>FE-EEA-26903</t>
  </si>
  <si>
    <t>FE-EEA-26905</t>
  </si>
  <si>
    <t>FE-EEA-26906</t>
  </si>
  <si>
    <t>FE-EEA-26907</t>
  </si>
  <si>
    <t>FE-EEA-26908</t>
  </si>
  <si>
    <t>FE-EEA-26909</t>
  </si>
  <si>
    <t>FE-EEA-26910</t>
  </si>
  <si>
    <t>FE-EEA-26740</t>
  </si>
  <si>
    <t>FE-EEA-26862</t>
  </si>
  <si>
    <t>FE-EEA-26911</t>
  </si>
  <si>
    <t>FE-EEA-26912</t>
  </si>
  <si>
    <t>FE-EEA-26913</t>
  </si>
  <si>
    <t>FE-EEA-26914</t>
  </si>
  <si>
    <t>FE-EEA-26915</t>
  </si>
  <si>
    <t>FE-EEA-26916</t>
  </si>
  <si>
    <t>FE-EEA-26917</t>
  </si>
  <si>
    <t>FE-EEA-26918</t>
  </si>
  <si>
    <t>FE-EEA-26919</t>
  </si>
  <si>
    <t>FE-EEA-26920</t>
  </si>
  <si>
    <t>FE-EEA-26921</t>
  </si>
  <si>
    <t>FE-EEA-26922</t>
  </si>
  <si>
    <t>FE-EEA-26923</t>
  </si>
  <si>
    <t>FE-EEA-26924</t>
  </si>
  <si>
    <t>FE-EEA-26925</t>
  </si>
  <si>
    <t>FE-EEA-26926</t>
  </si>
  <si>
    <t>FE-EEA-26927</t>
  </si>
  <si>
    <t>FE-EEA-26928</t>
  </si>
  <si>
    <t>FE-EEA-26929</t>
  </si>
  <si>
    <t>FE-EEA-26930</t>
  </si>
  <si>
    <t>FE-EEA-26931</t>
  </si>
  <si>
    <t>FE-EEA-26932</t>
  </si>
  <si>
    <t>FE-EEA-26933</t>
  </si>
  <si>
    <t>FE-EEA-26934</t>
  </si>
  <si>
    <t>FE-EEA-26935</t>
  </si>
  <si>
    <t>FE-EEA-26936</t>
  </si>
  <si>
    <t>FE-EEA-26937</t>
  </si>
  <si>
    <t>FE-EEA-26938</t>
  </si>
  <si>
    <t>FE-EEA-26939</t>
  </si>
  <si>
    <t>FE-EEA-26940</t>
  </si>
  <si>
    <t>FE-EEA-26941</t>
  </si>
  <si>
    <t>FE-EEA-26942</t>
  </si>
  <si>
    <t>FE-EEA-26944</t>
  </si>
  <si>
    <t>FE-EEA-26945</t>
  </si>
  <si>
    <t>FE-EEA-26946</t>
  </si>
  <si>
    <t>FE-EEA-26947</t>
  </si>
  <si>
    <t>FE-EEA-26948</t>
  </si>
  <si>
    <t>FE-EEA-26949</t>
  </si>
  <si>
    <t>FE-EEA-26950</t>
  </si>
  <si>
    <t>FE-EEA-26951</t>
  </si>
  <si>
    <t>FE-EEA-26952</t>
  </si>
  <si>
    <t>FE-EEA-26953</t>
  </si>
  <si>
    <t>FE-EEA-26954</t>
  </si>
  <si>
    <t>FE-EEA-26955</t>
  </si>
  <si>
    <t>FE-EEA-26957</t>
  </si>
  <si>
    <t>FE-EEA-26958</t>
  </si>
  <si>
    <t>FE-EEA-26959</t>
  </si>
  <si>
    <t>FE-EEA-26960</t>
  </si>
  <si>
    <t>FE-EEA-26961</t>
  </si>
  <si>
    <t>FE-EEA-26962</t>
  </si>
  <si>
    <t>FE-EEA-26963</t>
  </si>
  <si>
    <t>FE-EEA-26964</t>
  </si>
  <si>
    <t>FE-EEA-26965</t>
  </si>
  <si>
    <t>FE-EEA-26966</t>
  </si>
  <si>
    <t>FE-EEA-26967</t>
  </si>
  <si>
    <t>FE-EEA-26968</t>
  </si>
  <si>
    <t>FE-EEA-26971</t>
  </si>
  <si>
    <t>FE-EEA-26973</t>
  </si>
  <si>
    <t>FE-EEA-26974</t>
  </si>
  <si>
    <t>FE-EEA-26975</t>
  </si>
  <si>
    <t>FE-EEA-26976</t>
  </si>
  <si>
    <t>FE-EEA-26977</t>
  </si>
  <si>
    <t>FE-EEA-26978</t>
  </si>
  <si>
    <t>FE-EEA-26979</t>
  </si>
  <si>
    <t>FE-EEA-26980</t>
  </si>
  <si>
    <t>FE-EEA-26981</t>
  </si>
  <si>
    <t>FE-EEA-26982</t>
  </si>
  <si>
    <t>FE-EEA-26983</t>
  </si>
  <si>
    <t>FE-EEA-26984</t>
  </si>
  <si>
    <t>FE-EEA-26985</t>
  </si>
  <si>
    <t>FE-EEA-26986</t>
  </si>
  <si>
    <t>FE-EEA-26987</t>
  </si>
  <si>
    <t>FE-EEA-26988</t>
  </si>
  <si>
    <t>FE-EEA-26989</t>
  </si>
  <si>
    <t>FE-EEA-26990</t>
  </si>
  <si>
    <t>FE-EEA-26991</t>
  </si>
  <si>
    <t>FE-EEA-26992</t>
  </si>
  <si>
    <t>FE-EEA-26993</t>
  </si>
  <si>
    <t>FE-EEA-26994</t>
  </si>
  <si>
    <t>FE-EEA-26995</t>
  </si>
  <si>
    <t>FE-EEA-26996</t>
  </si>
  <si>
    <t>FE-EEA-26997</t>
  </si>
  <si>
    <t>FE-EEA-26998</t>
  </si>
  <si>
    <t>FE-EEA-26999</t>
  </si>
  <si>
    <t>FE-EEA-27000</t>
  </si>
  <si>
    <t>FE-EEA-27002</t>
  </si>
  <si>
    <t>FE-EEA-27003</t>
  </si>
  <si>
    <t>FE-EEA-27004</t>
  </si>
  <si>
    <t>FE-EEA-27005</t>
  </si>
  <si>
    <t>FE-EEA-27006</t>
  </si>
  <si>
    <t>FE-EEA-27007</t>
  </si>
  <si>
    <t>FE-EEA-27008</t>
  </si>
  <si>
    <t>FE-EEA-27009</t>
  </si>
  <si>
    <t>FE-EEA-27010</t>
  </si>
  <si>
    <t>FE-EEA-27011</t>
  </si>
  <si>
    <t>FE-EEA-27012</t>
  </si>
  <si>
    <t>FE-EEA-27013</t>
  </si>
  <si>
    <t>FE-EEA-27014</t>
  </si>
  <si>
    <t>FE-EEA-27015</t>
  </si>
  <si>
    <t>FE-EEA-27016</t>
  </si>
  <si>
    <t>FE-EEA-27017</t>
  </si>
  <si>
    <t>FE-EEA-27018</t>
  </si>
  <si>
    <t>FE-EEA-27019</t>
  </si>
  <si>
    <t>FE-EEA-27020</t>
  </si>
  <si>
    <t>FE-EEA-27021</t>
  </si>
  <si>
    <t>FE-EEA-27022</t>
  </si>
  <si>
    <t>FE-EEA-27023</t>
  </si>
  <si>
    <t>FE-EEA-27024</t>
  </si>
  <si>
    <t>FE-EEA-27025</t>
  </si>
  <si>
    <t>FE-EEA-27026</t>
  </si>
  <si>
    <t>FE-EEA-27027</t>
  </si>
  <si>
    <t>FE-EEA-27028</t>
  </si>
  <si>
    <t>FE-EEA-27029</t>
  </si>
  <si>
    <t>FE-EEA-27030</t>
  </si>
  <si>
    <t>FE-EEA-27031</t>
  </si>
  <si>
    <t>FE-EEA-27032</t>
  </si>
  <si>
    <t>FE-EEA-27033</t>
  </si>
  <si>
    <t>FE-EEA-27034</t>
  </si>
  <si>
    <t>FE-EEA-27035</t>
  </si>
  <si>
    <t>FE-EEA-27036</t>
  </si>
  <si>
    <t>FE-EEA-27037</t>
  </si>
  <si>
    <t>FE-EEA-27038</t>
  </si>
  <si>
    <t>FE-EEA-27039</t>
  </si>
  <si>
    <t>FE-EEA-27040</t>
  </si>
  <si>
    <t>FE-EEA-27041</t>
  </si>
  <si>
    <t>FE-EEA-27042</t>
  </si>
  <si>
    <t>FE-EEA-27043</t>
  </si>
  <si>
    <t>FE-EEA-27044</t>
  </si>
  <si>
    <t>FE-EEA-27045</t>
  </si>
  <si>
    <t>FE-EEA-27046</t>
  </si>
  <si>
    <t>FE-EEA-27047</t>
  </si>
  <si>
    <t>FE-EEA-27048</t>
  </si>
  <si>
    <t>FE-EEA-27049</t>
  </si>
  <si>
    <t>FE-EEA-27050</t>
  </si>
  <si>
    <t>FE-EEA-27051</t>
  </si>
  <si>
    <t>FE-EEA-27052</t>
  </si>
  <si>
    <t>FE-EEA-27053</t>
  </si>
  <si>
    <t>FE-EEA-27054</t>
  </si>
  <si>
    <t>FE-EEA-27055</t>
  </si>
  <si>
    <t>FE-EEA-27056</t>
  </si>
  <si>
    <t>FE-EEA-27057</t>
  </si>
  <si>
    <t>FE-EEA-27058</t>
  </si>
  <si>
    <t>FE-EEA-27059</t>
  </si>
  <si>
    <t>FE-EEA-27060</t>
  </si>
  <si>
    <t>FE-EEA-27061</t>
  </si>
  <si>
    <t>FE-EEA-27062</t>
  </si>
  <si>
    <t>FE-EEA-27063</t>
  </si>
  <si>
    <t>FE-EEA-27064</t>
  </si>
  <si>
    <t>FE-EEA-27066</t>
  </si>
  <si>
    <t>FE-EEA-27067</t>
  </si>
  <si>
    <t>FE-EEA-27068</t>
  </si>
  <si>
    <t>FE-EEA-27069</t>
  </si>
  <si>
    <t>FE-EEA-27070</t>
  </si>
  <si>
    <t>FE-EEA-27071</t>
  </si>
  <si>
    <t>FE-EEA-27072</t>
  </si>
  <si>
    <t>FE-EEA-27073</t>
  </si>
  <si>
    <t>FE-EEA-27074</t>
  </si>
  <si>
    <t>FE-EEA-27075</t>
  </si>
  <si>
    <t>FE-EEA-27076</t>
  </si>
  <si>
    <t>FE-EEA-27077</t>
  </si>
  <si>
    <t>FE-EEA-27078</t>
  </si>
  <si>
    <t>FE-EEA-27079</t>
  </si>
  <si>
    <t>FE-EEA-27080</t>
  </si>
  <si>
    <t>FE-EEA-27081</t>
  </si>
  <si>
    <t>FE-EEA-27082</t>
  </si>
  <si>
    <t>FE-EEA-27083</t>
  </si>
  <si>
    <t>FE-EEA-27084</t>
  </si>
  <si>
    <t>FE-EEA-27085</t>
  </si>
  <si>
    <t>FE-EEA-27086</t>
  </si>
  <si>
    <t>FE-EEA-27087</t>
  </si>
  <si>
    <t>FE-EEA-27088</t>
  </si>
  <si>
    <t>FE-EEA-27089</t>
  </si>
  <si>
    <t>FE-EEA-27090</t>
  </si>
  <si>
    <t>FE-EEA-27091</t>
  </si>
  <si>
    <t>FE-EEA-27092</t>
  </si>
  <si>
    <t>FE-EEA-27093</t>
  </si>
  <si>
    <t>FE-EEA-27094</t>
  </si>
  <si>
    <t>FE-EEA-27095</t>
  </si>
  <si>
    <t>FE-EEA-27098</t>
  </si>
  <si>
    <t>FE-EEA-27099</t>
  </si>
  <si>
    <t>FE-EEA-27100</t>
  </si>
  <si>
    <t>FE-EEA-27102</t>
  </si>
  <si>
    <t>FE-EEA-27103</t>
  </si>
  <si>
    <t>FE-EEA-27104</t>
  </si>
  <si>
    <t>FE-EEA-27105</t>
  </si>
  <si>
    <t>FE-EEA-27106</t>
  </si>
  <si>
    <t>FE-EEA-27109</t>
  </si>
  <si>
    <t>FE-EEA-27111</t>
  </si>
  <si>
    <t>FE-EEA-27115</t>
  </si>
  <si>
    <t>FE-EEA-27116</t>
  </si>
  <si>
    <t>FE-EEA-27117</t>
  </si>
  <si>
    <t>FE-EEA-27118</t>
  </si>
  <si>
    <t>FE-EEA-27119</t>
  </si>
  <si>
    <t>FE-EEA-27120</t>
  </si>
  <si>
    <t>FE-EEA-27121</t>
  </si>
  <si>
    <t>FE-EEA-27122</t>
  </si>
  <si>
    <t>FE-EEA-27123</t>
  </si>
  <si>
    <t>FE-EEA-27124</t>
  </si>
  <si>
    <t>FE-EEA-27125</t>
  </si>
  <si>
    <t>FE-EEA-27126</t>
  </si>
  <si>
    <t>FE-EEA-27127</t>
  </si>
  <si>
    <t>FE-EEA-27129</t>
  </si>
  <si>
    <t>FE-EEA-27130</t>
  </si>
  <si>
    <t>FE-EEA-27131</t>
  </si>
  <si>
    <t>FE-EEA-27132</t>
  </si>
  <si>
    <t>FE-EEA-27133</t>
  </si>
  <si>
    <t>FE-EEA-27134</t>
  </si>
  <si>
    <t>FE-EEA-27135</t>
  </si>
  <si>
    <t>FE-EEA-27136</t>
  </si>
  <si>
    <t>FE-EEA-27137</t>
  </si>
  <si>
    <t>FE-EEA-27138</t>
  </si>
  <si>
    <t>FE-EEA-27139</t>
  </si>
  <si>
    <t>FE-EEA-27140</t>
  </si>
  <si>
    <t>FE-EEA-27141</t>
  </si>
  <si>
    <t>FE-EEA-27142</t>
  </si>
  <si>
    <t>FE-EEA-27143</t>
  </si>
  <si>
    <t>FE-EEA-27145</t>
  </si>
  <si>
    <t>FE-EEA-27146</t>
  </si>
  <si>
    <t>FE-EEA-27147</t>
  </si>
  <si>
    <t>FE-EEA-27148</t>
  </si>
  <si>
    <t>FE-EEA-27149</t>
  </si>
  <si>
    <t>FE-EEA-27150</t>
  </si>
  <si>
    <t>FE-EEA-27151</t>
  </si>
  <si>
    <t>FE-EEA-27152</t>
  </si>
  <si>
    <t>FE-EEA-27154</t>
  </si>
  <si>
    <t>FE-EEA-27155</t>
  </si>
  <si>
    <t>FE-EEA-27156</t>
  </si>
  <si>
    <t>FE-EEA-27157</t>
  </si>
  <si>
    <t>FE-EEA-27158</t>
  </si>
  <si>
    <t>FE-EEA-27159</t>
  </si>
  <si>
    <t>FE-EEA-27160</t>
  </si>
  <si>
    <t>FE-EEA-27162</t>
  </si>
  <si>
    <t>FE-EEA-27163</t>
  </si>
  <si>
    <t>FE-EEA-27164</t>
  </si>
  <si>
    <t>FE-EEA-27165</t>
  </si>
  <si>
    <t>FE-EEA-27166</t>
  </si>
  <si>
    <t>FE-EEA-27167</t>
  </si>
  <si>
    <t>FE-EEA-27168</t>
  </si>
  <si>
    <t>FE-EEA-27169</t>
  </si>
  <si>
    <t>FE-EEA-27170</t>
  </si>
  <si>
    <t>FE-EEA-27171</t>
  </si>
  <si>
    <t>FE-EEA-27172</t>
  </si>
  <si>
    <t>FE-EEA-27173</t>
  </si>
  <si>
    <t>FE-EEA-27174</t>
  </si>
  <si>
    <t>FE-EEA-27175</t>
  </si>
  <si>
    <t>FE-EEA-27176</t>
  </si>
  <si>
    <t>FE-EEA-27178</t>
  </si>
  <si>
    <t>FE-EEA-27179</t>
  </si>
  <si>
    <t>4706 CARLOS HUMBERTO GOMEZ MARTINEZ</t>
  </si>
  <si>
    <t>FE-EEA-27065</t>
  </si>
  <si>
    <t>FE-EEA-27107</t>
  </si>
  <si>
    <t>FE-EEA-27108</t>
  </si>
  <si>
    <t>FE-EEA-27144</t>
  </si>
  <si>
    <t>FE-EEA-27153</t>
  </si>
  <si>
    <t>FE-EEA-27161</t>
  </si>
  <si>
    <t>FE-EEA-27180</t>
  </si>
  <si>
    <t>FE-EEA-27181</t>
  </si>
  <si>
    <t>FE-EEA-27182</t>
  </si>
  <si>
    <t>FE-EEA-27183</t>
  </si>
  <si>
    <t>FE-EEA-27184</t>
  </si>
  <si>
    <t>FE-EEA-27185</t>
  </si>
  <si>
    <t>FE-EEA-27186</t>
  </si>
  <si>
    <t>FE-EEA-27187</t>
  </si>
  <si>
    <t>FE-EEA-27188</t>
  </si>
  <si>
    <t>FE-EEA-27189</t>
  </si>
  <si>
    <t>FE-EEA-27190</t>
  </si>
  <si>
    <t>FE-EEA-27191</t>
  </si>
  <si>
    <t>FE-EEA-27192</t>
  </si>
  <si>
    <t>FE-EEA-27193</t>
  </si>
  <si>
    <t>FE-EEA-27194</t>
  </si>
  <si>
    <t>FE-EEA-27195</t>
  </si>
  <si>
    <t>FE-EEA-27196</t>
  </si>
  <si>
    <t>FE-EEA-27197</t>
  </si>
  <si>
    <t>FE-EEA-27198</t>
  </si>
  <si>
    <t>FE-EEA-27199</t>
  </si>
  <si>
    <t>FE-EEA-27200</t>
  </si>
  <si>
    <t>FE-EEA-27201</t>
  </si>
  <si>
    <t>FE-EEA-27202</t>
  </si>
  <si>
    <t>FE-EEA-27203</t>
  </si>
  <si>
    <t>FE-EEA-27204</t>
  </si>
  <si>
    <t>FE-EEA-27205</t>
  </si>
  <si>
    <t>FE-EEA-27206</t>
  </si>
  <si>
    <t>FE-EEA-27207</t>
  </si>
  <si>
    <t>FE-EEA-27208</t>
  </si>
  <si>
    <t>FE-EEA-27209</t>
  </si>
  <si>
    <t>FE-EEA-27210</t>
  </si>
  <si>
    <t>FE-EEA-27211</t>
  </si>
  <si>
    <t>FE-EEA-27212</t>
  </si>
  <si>
    <t>FE-EEA-27213</t>
  </si>
  <si>
    <t>FE-EEA-27214</t>
  </si>
  <si>
    <t>FE-EEA-27215</t>
  </si>
  <si>
    <t>FE-EEA-27216</t>
  </si>
  <si>
    <t>FE-EEA-27217</t>
  </si>
  <si>
    <t>FE-EEA-27218</t>
  </si>
  <si>
    <t>FE-EEA-27219</t>
  </si>
  <si>
    <t>FE-EEA-27220</t>
  </si>
  <si>
    <t>FE-EEA-27221</t>
  </si>
  <si>
    <t>FE-EEA-27222</t>
  </si>
  <si>
    <t>FE-EEA-27223</t>
  </si>
  <si>
    <t>FE-EEA-27224</t>
  </si>
  <si>
    <t>FE-EEA-27225</t>
  </si>
  <si>
    <t>FE-EEA-27226</t>
  </si>
  <si>
    <t>FE-EEA-27227</t>
  </si>
  <si>
    <t>FE-EEA-27228</t>
  </si>
  <si>
    <t>FE-EEA-27229</t>
  </si>
  <si>
    <t>FE-EEA-27230</t>
  </si>
  <si>
    <t>FE-EEA-27231</t>
  </si>
  <si>
    <t>FE-EEA-27232</t>
  </si>
  <si>
    <t>FE-EEA-27233</t>
  </si>
  <si>
    <t>FE-EEA-27234</t>
  </si>
  <si>
    <t>FE-EEA-27235</t>
  </si>
  <si>
    <t>FE-EEA-27236</t>
  </si>
  <si>
    <t>FE-EEA-27237</t>
  </si>
  <si>
    <t>FE-EEA-27238</t>
  </si>
  <si>
    <t>FE-EEA-27239</t>
  </si>
  <si>
    <t>FE-EEA-27240</t>
  </si>
  <si>
    <t>FE-EEA-27241</t>
  </si>
  <si>
    <t>FE-EEA-27242</t>
  </si>
  <si>
    <t>FE-EEA-27243</t>
  </si>
  <si>
    <t>FE-EEA-27244</t>
  </si>
  <si>
    <t>FE-EEA-27245</t>
  </si>
  <si>
    <t>FE-EEA-27246</t>
  </si>
  <si>
    <t>FE-EEA-27247</t>
  </si>
  <si>
    <t>FE-EEA-27248</t>
  </si>
  <si>
    <t>FE-EEA-27249</t>
  </si>
  <si>
    <t>FE-EEA-27250</t>
  </si>
  <si>
    <t>FE-EEA-27251</t>
  </si>
  <si>
    <t>FE-EEA-27252</t>
  </si>
  <si>
    <t>FE-EEA-27253</t>
  </si>
  <si>
    <t>FE-EEA-27254</t>
  </si>
  <si>
    <t>FE-EEA-27255</t>
  </si>
  <si>
    <t>FE-EEA-27257</t>
  </si>
  <si>
    <t>FE-EEA-27258</t>
  </si>
  <si>
    <t>FE-EEA-27259</t>
  </si>
  <si>
    <t>FE-EEA-27260</t>
  </si>
  <si>
    <t>FE-EEA-27261</t>
  </si>
  <si>
    <t>FE-EEA-27262</t>
  </si>
  <si>
    <t>FE-EEA-27263</t>
  </si>
  <si>
    <t>FE-EEA-27264</t>
  </si>
  <si>
    <t>FE-EEA-27265</t>
  </si>
  <si>
    <t>FE-EEA-27266</t>
  </si>
  <si>
    <t>FE-EEA-27267</t>
  </si>
  <si>
    <t>FE-EEA-27268</t>
  </si>
  <si>
    <t>FE-EEA-27269</t>
  </si>
  <si>
    <t>FE-EEA-27271</t>
  </si>
  <si>
    <t>FE-EEA-27272</t>
  </si>
  <si>
    <t>FE-EEA-27275</t>
  </si>
  <si>
    <t>FE-EEA-27277</t>
  </si>
  <si>
    <t>FE-EEA-27278</t>
  </si>
  <si>
    <t>FE-EEA-27279</t>
  </si>
  <si>
    <t>FE-EEA-27280</t>
  </si>
  <si>
    <t>FE-EEA-27281</t>
  </si>
  <si>
    <t>FE-EEA-27282</t>
  </si>
  <si>
    <t>FE-EEA-27283</t>
  </si>
  <si>
    <t>FE-EEA-27284</t>
  </si>
  <si>
    <t>FE-EEA-27285</t>
  </si>
  <si>
    <t>FE-EEA-27286</t>
  </si>
  <si>
    <t>FE-EEA-27287</t>
  </si>
  <si>
    <t>FE-EEA-27288</t>
  </si>
  <si>
    <t>FE-EEA-27289</t>
  </si>
  <si>
    <t>FE-EEA-27291</t>
  </si>
  <si>
    <t>FE-EEA-27292</t>
  </si>
  <si>
    <t>FE-EEA-27293</t>
  </si>
  <si>
    <t>FE-EEA-27294</t>
  </si>
  <si>
    <t>FE-EEA-27295</t>
  </si>
  <si>
    <t>FE-EEA-27296</t>
  </si>
  <si>
    <t>FE-EEA-27298</t>
  </si>
  <si>
    <t>FE-EEA-27300</t>
  </si>
  <si>
    <t>FE-EEA-27301</t>
  </si>
  <si>
    <t>FE-EEA-27302</t>
  </si>
  <si>
    <t>FE-EEA-27303</t>
  </si>
  <si>
    <t>FE-EEA-27304</t>
  </si>
  <si>
    <t>FE-EEA-27305</t>
  </si>
  <si>
    <t>FE-EEA-27306</t>
  </si>
  <si>
    <t>FE-EEA-27307</t>
  </si>
  <si>
    <t>FE-EEA-27308</t>
  </si>
  <si>
    <t>FE-EEA-27309</t>
  </si>
  <si>
    <t>FE-EEA-27310</t>
  </si>
  <si>
    <t>FE-EEA-27311</t>
  </si>
  <si>
    <t>FE-EEA-27312</t>
  </si>
  <si>
    <t>FE-EEA-27313</t>
  </si>
  <si>
    <t>FE-EEA-27314</t>
  </si>
  <si>
    <t>FE-EEA-27315</t>
  </si>
  <si>
    <t>FE-EEA-27316</t>
  </si>
  <si>
    <t>FE-EEA-27318</t>
  </si>
  <si>
    <t>FE-EEA-27319</t>
  </si>
  <si>
    <t>FE-EEA-27320</t>
  </si>
  <si>
    <t>FE-EEA-27321</t>
  </si>
  <si>
    <t>FE-EEA-27322</t>
  </si>
  <si>
    <t>FE-EEA-27323</t>
  </si>
  <si>
    <t>FE-EEA-27324</t>
  </si>
  <si>
    <t>FE-EEA-27325</t>
  </si>
  <si>
    <t>FE-EEA-27326</t>
  </si>
  <si>
    <t>FE-EEA-27327</t>
  </si>
  <si>
    <t>FE-EEA-27333</t>
  </si>
  <si>
    <t>FE-EEA-27334</t>
  </si>
  <si>
    <t>FE-EEA-27335</t>
  </si>
  <si>
    <t>FE-EEA-27336</t>
  </si>
  <si>
    <t>FE-EEA-27337</t>
  </si>
  <si>
    <t>FE-EEA-27338</t>
  </si>
  <si>
    <t>FE-EEA-27340</t>
  </si>
  <si>
    <t>FE-EEA-27341</t>
  </si>
  <si>
    <t>FE-EEA-27342</t>
  </si>
  <si>
    <t>FE-EEA-27343</t>
  </si>
  <si>
    <t>FE-EEA-27344</t>
  </si>
  <si>
    <t>FE-EEA-27345</t>
  </si>
  <si>
    <t>FE-EEA-27346</t>
  </si>
  <si>
    <t>FE-EEA-27347</t>
  </si>
  <si>
    <t>FE-EEA-27348</t>
  </si>
  <si>
    <t>FE-EEA-27349</t>
  </si>
  <si>
    <t>FE-EEA-27350</t>
  </si>
  <si>
    <t>FE-EEA-27351</t>
  </si>
  <si>
    <t>FE-EEA-27352</t>
  </si>
  <si>
    <t>FE-EEA-27353</t>
  </si>
  <si>
    <t>FE-EEA-27354</t>
  </si>
  <si>
    <t>FE-EEA-27356</t>
  </si>
  <si>
    <t>FE-EEA-27357</t>
  </si>
  <si>
    <t>FE-EEA-27358</t>
  </si>
  <si>
    <t>FE-EEA-27359</t>
  </si>
  <si>
    <t>FE-EEA-27360</t>
  </si>
  <si>
    <t>FE-EEA-27361</t>
  </si>
  <si>
    <t>FE-EEA-27362</t>
  </si>
  <si>
    <t>FE-EEA-27363</t>
  </si>
  <si>
    <t>FE-EEA-27364</t>
  </si>
  <si>
    <t>FE-EEA-27365</t>
  </si>
  <si>
    <t>FE-EEA-27366</t>
  </si>
  <si>
    <t>FE-EEA-27367</t>
  </si>
  <si>
    <t>5000 CHRISTIAN OBED SAAVEDRA BAEZ</t>
  </si>
  <si>
    <t>5009 JESSICA ALEJANDRA FERRER GUERRERO</t>
  </si>
  <si>
    <t>Martha Alcaraz Garcia</t>
  </si>
  <si>
    <t>Carolina Magaña</t>
  </si>
  <si>
    <t>FE-EEA-27328</t>
  </si>
  <si>
    <t>FE-EEA-27330</t>
  </si>
  <si>
    <t>FE-EEA-27370</t>
  </si>
  <si>
    <t>FE-EEA-27371</t>
  </si>
  <si>
    <t>FE-EEA-27372</t>
  </si>
  <si>
    <t>FE-EEA-27373</t>
  </si>
  <si>
    <t>FE-EEA-27374</t>
  </si>
  <si>
    <t>FE-EEA-27375</t>
  </si>
  <si>
    <t>FE-EEA-27376</t>
  </si>
  <si>
    <t>FE-EEA-27377</t>
  </si>
  <si>
    <t>FE-EEA-27378</t>
  </si>
  <si>
    <t>FE-EEA-27379</t>
  </si>
  <si>
    <t>FE-EEA-27380</t>
  </si>
  <si>
    <t>FE-EEA-27381</t>
  </si>
  <si>
    <t>FE-EEA-27382</t>
  </si>
  <si>
    <t>FE-EEA-27383</t>
  </si>
  <si>
    <t>FE-EEA-27384</t>
  </si>
  <si>
    <t>FE-EEA-27385</t>
  </si>
  <si>
    <t>FE-EEA-27386</t>
  </si>
  <si>
    <t>FE-EEA-27387</t>
  </si>
  <si>
    <t>FE-EEA-27388</t>
  </si>
  <si>
    <t>FE-EEA-27389</t>
  </si>
  <si>
    <t>FE-EEA-27390</t>
  </si>
  <si>
    <t>FE-EEA-27391</t>
  </si>
  <si>
    <t>FE-EEA-27392</t>
  </si>
  <si>
    <t>FE-EEA-27393</t>
  </si>
  <si>
    <t>FE-EEA-27394</t>
  </si>
  <si>
    <t>FE-EEA-27395</t>
  </si>
  <si>
    <t>FE-EEA-27396</t>
  </si>
  <si>
    <t>FE-EEA-27397</t>
  </si>
  <si>
    <t>FE-EEA-27398</t>
  </si>
  <si>
    <t>FE-EEA-27399</t>
  </si>
  <si>
    <t>FE-EEA-27400</t>
  </si>
  <si>
    <t>FE-EEA-27401</t>
  </si>
  <si>
    <t>FE-EEA-27402</t>
  </si>
  <si>
    <t>FE-EEA-27404</t>
  </si>
  <si>
    <t>FE-EEA-27405</t>
  </si>
  <si>
    <t>FE-EEA-27406</t>
  </si>
  <si>
    <t>FE-EEA-27407</t>
  </si>
  <si>
    <t>FE-EEA-27408</t>
  </si>
  <si>
    <t>FE-EEA-27409</t>
  </si>
  <si>
    <t>FE-EEA-27410</t>
  </si>
  <si>
    <t>FE-EEA-27411</t>
  </si>
  <si>
    <t>FE-EEA-27412</t>
  </si>
  <si>
    <t>FE-EEA-27413</t>
  </si>
  <si>
    <t>FE-EEA-27414</t>
  </si>
  <si>
    <t>FE-EEA-27415</t>
  </si>
  <si>
    <t>FE-EEA-27416</t>
  </si>
  <si>
    <t>FE-EEA-27417</t>
  </si>
  <si>
    <t>FE-EEA-27418</t>
  </si>
  <si>
    <t>FE-EEA-27419</t>
  </si>
  <si>
    <t>FE-EEA-27420</t>
  </si>
  <si>
    <t>FE-EEA-27421</t>
  </si>
  <si>
    <t>FE-EEA-27422</t>
  </si>
  <si>
    <t>FE-EEA-27423</t>
  </si>
  <si>
    <t>FE-EEA-27425</t>
  </si>
  <si>
    <t>FE-EEA-27426</t>
  </si>
  <si>
    <t>FE-EEA-27427</t>
  </si>
  <si>
    <t>FE-EEA-27428</t>
  </si>
  <si>
    <t>FE-EEA-27429</t>
  </si>
  <si>
    <t>FE-EEA-27430</t>
  </si>
  <si>
    <t>FE-EEA-27431</t>
  </si>
  <si>
    <t>FE-EEA-27433</t>
  </si>
  <si>
    <t>FE-EEA-27434</t>
  </si>
  <si>
    <t>FE-EEA-27435</t>
  </si>
  <si>
    <t>FE-EEA-27436</t>
  </si>
  <si>
    <t>FE-EEA-27437</t>
  </si>
  <si>
    <t>FE-EEA-27438</t>
  </si>
  <si>
    <t>FE-EEA-27439</t>
  </si>
  <si>
    <t>FE-EEA-27440</t>
  </si>
  <si>
    <t>FE-EEA-27441</t>
  </si>
  <si>
    <t>FE-EEA-27442</t>
  </si>
  <si>
    <t>FE-EEA-27443</t>
  </si>
  <si>
    <t>FE-EEA-27444</t>
  </si>
  <si>
    <t>FE-EEA-27445</t>
  </si>
  <si>
    <t>FE-EEA-27446</t>
  </si>
  <si>
    <t>FE-EEA-27447</t>
  </si>
  <si>
    <t>FE-EEA-27448</t>
  </si>
  <si>
    <t>FE-EEA-27449</t>
  </si>
  <si>
    <t>FE-EEA-27450</t>
  </si>
  <si>
    <t>FE-EEA-27451</t>
  </si>
  <si>
    <t>FE-EEA-27452</t>
  </si>
  <si>
    <t>FE-EEA-27453</t>
  </si>
  <si>
    <t>FE-EEA-27454</t>
  </si>
  <si>
    <t>FE-EEA-27455</t>
  </si>
  <si>
    <t>FE-EEA-27456</t>
  </si>
  <si>
    <t>FE-EEA-27457</t>
  </si>
  <si>
    <t>FE-EEA-27458</t>
  </si>
  <si>
    <t>FE-EEA-27459</t>
  </si>
  <si>
    <t>FE-EEA-27460</t>
  </si>
  <si>
    <t>FE-EEA-27461</t>
  </si>
  <si>
    <t>FE-EEA-27462</t>
  </si>
  <si>
    <t>FE-EEA-27463</t>
  </si>
  <si>
    <t>FE-EEA-27464</t>
  </si>
  <si>
    <t>FE-EEA-27465</t>
  </si>
  <si>
    <t>FE-EEA-27468</t>
  </si>
  <si>
    <t>FE-EEA-27469</t>
  </si>
  <si>
    <t>FE-EEA-27470</t>
  </si>
  <si>
    <t>FE-EEA-27471</t>
  </si>
  <si>
    <t>FE-EEA-27472</t>
  </si>
  <si>
    <t>FE-EEA-27473</t>
  </si>
  <si>
    <t>FE-EEA-27474</t>
  </si>
  <si>
    <t>FE-EEA-27475</t>
  </si>
  <si>
    <t>FE-EEA-27476</t>
  </si>
  <si>
    <t>FE-EEA-27478</t>
  </si>
  <si>
    <t>FE-EEA-27479</t>
  </si>
  <si>
    <t>FE-EEA-27480</t>
  </si>
  <si>
    <t>FE-EEA-27481</t>
  </si>
  <si>
    <t>FE-EEA-27484</t>
  </si>
  <si>
    <t>FE-EEA-27485</t>
  </si>
  <si>
    <t>FE-EEA-27486</t>
  </si>
  <si>
    <t>FE-EEA-27488</t>
  </si>
  <si>
    <t>FE-EEA-27489</t>
  </si>
  <si>
    <t>FE-EEA-27493</t>
  </si>
  <si>
    <t>FE-EEA-27494</t>
  </si>
  <si>
    <t>FE-EEA-27495</t>
  </si>
  <si>
    <t>FE-EEA-27496</t>
  </si>
  <si>
    <t>FE-EEA-27498</t>
  </si>
  <si>
    <t>FE-EEA-27499</t>
  </si>
  <si>
    <t>FE-EEA-27500</t>
  </si>
  <si>
    <t>FE-EEA-27501</t>
  </si>
  <si>
    <t>FE-EEA-27502</t>
  </si>
  <si>
    <t>FE-EEA-27503</t>
  </si>
  <si>
    <t>FE-EEA-27504</t>
  </si>
  <si>
    <t>FE-EEA-27505</t>
  </si>
  <si>
    <t>FE-EEA-27506</t>
  </si>
  <si>
    <t>FE-EEA-27507</t>
  </si>
  <si>
    <t>FE-EEA-27508</t>
  </si>
  <si>
    <t>FE-EEA-27509</t>
  </si>
  <si>
    <t>FE-EEA-27510</t>
  </si>
  <si>
    <t>FE-EEA-27511</t>
  </si>
  <si>
    <t>FE-EEA-27512</t>
  </si>
  <si>
    <t>FE-EEA-27513</t>
  </si>
  <si>
    <t>FE-EEA-27514</t>
  </si>
  <si>
    <t>FE-EEA-27515</t>
  </si>
  <si>
    <t>FE-EEA-27516</t>
  </si>
  <si>
    <t>FE-EEA-27517</t>
  </si>
  <si>
    <t>FE-EEA-27518</t>
  </si>
  <si>
    <t>FE-EEA-27519</t>
  </si>
  <si>
    <t>FE-EEA-27520</t>
  </si>
  <si>
    <t>FE-EEA-27521</t>
  </si>
  <si>
    <t>FE-EEA-27522</t>
  </si>
  <si>
    <t>FE-EEA-27523</t>
  </si>
  <si>
    <t>FE-EEA-27524</t>
  </si>
  <si>
    <t>FE-EEA-27527</t>
  </si>
  <si>
    <t>FE-EEA-27528</t>
  </si>
  <si>
    <t>FE-EEA-27529</t>
  </si>
  <si>
    <t>FE-EEA-27530</t>
  </si>
  <si>
    <t>FE-EEA-27531</t>
  </si>
  <si>
    <t>FE-EEA-27538</t>
  </si>
  <si>
    <t>FE-EEA-27541</t>
  </si>
  <si>
    <t>Rolando E García Gutiérrez</t>
  </si>
  <si>
    <t>FE-EEA-27532</t>
  </si>
  <si>
    <t>FE-EEA-27533</t>
  </si>
  <si>
    <t>FE-EEA-27534</t>
  </si>
  <si>
    <t>FE-EEA-27535</t>
  </si>
  <si>
    <t>FE-EEA-27536</t>
  </si>
  <si>
    <t>FE-EEA-27537</t>
  </si>
  <si>
    <t>FE-EEA-27539</t>
  </si>
  <si>
    <t>FE-EEA-27540</t>
  </si>
  <si>
    <t>FE-EEA-27542</t>
  </si>
  <si>
    <t>FE-EEA-27543</t>
  </si>
  <si>
    <t>FE-EEA-27544</t>
  </si>
  <si>
    <t>FE-EEA-27545</t>
  </si>
  <si>
    <t>FE-EEA-27546</t>
  </si>
  <si>
    <t>FE-EEA-27547</t>
  </si>
  <si>
    <t>FE-EEA-27548</t>
  </si>
  <si>
    <t>FE-EEA-27549</t>
  </si>
  <si>
    <t>FE-EEA-27550</t>
  </si>
  <si>
    <t>FE-EEA-27551</t>
  </si>
  <si>
    <t>FE-EEA-27552</t>
  </si>
  <si>
    <t>FE-EEA-27553</t>
  </si>
  <si>
    <t>FE-EEA-27555</t>
  </si>
  <si>
    <t>FE-EEA-27556</t>
  </si>
  <si>
    <t>FE-EEA-27557</t>
  </si>
  <si>
    <t>FE-EEA-27558</t>
  </si>
  <si>
    <t>FE-EEA-27559</t>
  </si>
  <si>
    <t>FE-EEA-27560</t>
  </si>
  <si>
    <t>FE-EEA-27561</t>
  </si>
  <si>
    <t>FE-EEA-27562</t>
  </si>
  <si>
    <t>FE-EEA-27563</t>
  </si>
  <si>
    <t>FE-EEA-27565</t>
  </si>
  <si>
    <t>FE-EEA-27566</t>
  </si>
  <si>
    <t>FE-EEA-27567</t>
  </si>
  <si>
    <t>FE-EEA-27568</t>
  </si>
  <si>
    <t>FE-EEA-27570</t>
  </si>
  <si>
    <t>FE-EEA-27571</t>
  </si>
  <si>
    <t>FE-EEA-27572</t>
  </si>
  <si>
    <t>FE-EEA-27573</t>
  </si>
  <si>
    <t>FE-EEA-27574</t>
  </si>
  <si>
    <t>FE-EEA-27575</t>
  </si>
  <si>
    <t>FE-EEA-27576</t>
  </si>
  <si>
    <t>FE-EEA-27577</t>
  </si>
  <si>
    <t>FE-EEA-27578</t>
  </si>
  <si>
    <t>FE-EEA-27579</t>
  </si>
  <si>
    <t>FE-EEA-27580</t>
  </si>
  <si>
    <t>FE-EEA-27581</t>
  </si>
  <si>
    <t>FE-EEA-27582</t>
  </si>
  <si>
    <t>FE-EEA-27583</t>
  </si>
  <si>
    <t>FE-EEA-27584</t>
  </si>
  <si>
    <t>FE-EEA-27585</t>
  </si>
  <si>
    <t>FE-EEA-27586</t>
  </si>
  <si>
    <t>FE-EEA-27587</t>
  </si>
  <si>
    <t>FE-EEA-27588</t>
  </si>
  <si>
    <t>FE-EEA-27591</t>
  </si>
  <si>
    <t>FE-EEA-27593</t>
  </si>
  <si>
    <t>FE-EEA-27594</t>
  </si>
  <si>
    <t>FE-EEA-27596</t>
  </si>
  <si>
    <t>FE-EEA-27597</t>
  </si>
  <si>
    <t>FE-EEA-27601</t>
  </si>
  <si>
    <t>FE-EEA-27602</t>
  </si>
  <si>
    <t>FE-EEA-27604</t>
  </si>
  <si>
    <t>FE-EEA-27605</t>
  </si>
  <si>
    <t>FE-EEA-27606</t>
  </si>
  <si>
    <t>FE-EEA-27608</t>
  </si>
  <si>
    <t>FE-EEA-27613</t>
  </si>
  <si>
    <t>FE-EEA-27614</t>
  </si>
  <si>
    <t>FE-EEA-27615</t>
  </si>
  <si>
    <t>FE-EEA-27616</t>
  </si>
  <si>
    <t>FE-EEA-27617</t>
  </si>
  <si>
    <t>FE-EEA-27618</t>
  </si>
  <si>
    <t>FE-EEA-27619</t>
  </si>
  <si>
    <t>FE-EEA-27620</t>
  </si>
  <si>
    <t>FE-EEA-27621</t>
  </si>
  <si>
    <t>FE-EEA-27622</t>
  </si>
  <si>
    <t>FE-EEA-27623</t>
  </si>
  <si>
    <t>FE-EEA-27624</t>
  </si>
  <si>
    <t>FE-EEA-27625</t>
  </si>
  <si>
    <t>FE-EEA-27626</t>
  </si>
  <si>
    <t>FE-EEA-27627</t>
  </si>
  <si>
    <t>FE-EEA-27629</t>
  </si>
  <si>
    <t>FE-EEA-27630</t>
  </si>
  <si>
    <t>FE-EEA-27631</t>
  </si>
  <si>
    <t>FE-EEA-27632</t>
  </si>
  <si>
    <t>FE-EEA-27633</t>
  </si>
  <si>
    <t>FE-EEA-27634</t>
  </si>
  <si>
    <t>FE-EEA-27635</t>
  </si>
  <si>
    <t>FE-EEA-27636</t>
  </si>
  <si>
    <t>FE-EEA-27637</t>
  </si>
  <si>
    <t>FE-EEA-27638</t>
  </si>
  <si>
    <t>FE-EEA-27639</t>
  </si>
  <si>
    <t>FE-EEA-27640</t>
  </si>
  <si>
    <t>FE-EEA-27641</t>
  </si>
  <si>
    <t>FE-EEA-27642</t>
  </si>
  <si>
    <t>FE-EEA-27643</t>
  </si>
  <si>
    <t>FE-EEA-27644</t>
  </si>
  <si>
    <t>FE-EEA-27645</t>
  </si>
  <si>
    <t>FE-EEA-27646</t>
  </si>
  <si>
    <t>FE-EEA-27647</t>
  </si>
  <si>
    <t>FE-EEA-27648</t>
  </si>
  <si>
    <t>FE-EEA-27649</t>
  </si>
  <si>
    <t>FE-EEA-27650</t>
  </si>
  <si>
    <t>FE-EEA-27651</t>
  </si>
  <si>
    <t>FE-EEA-27659</t>
  </si>
  <si>
    <t>FE-EEA-27660</t>
  </si>
  <si>
    <t>FE-EEA-27661</t>
  </si>
  <si>
    <t>FE-EEA-27662</t>
  </si>
  <si>
    <t>FE-EEA-27707</t>
  </si>
  <si>
    <t>CALCULO DE COMISIONES DEL 15 AL 31 DE NOVIEMBRE 2025</t>
  </si>
  <si>
    <t>GAB-EXT-08</t>
  </si>
  <si>
    <t>FV-OPRESOR-MED-1133</t>
  </si>
  <si>
    <t>FV-RIEL-ALU-4.7M-1133</t>
  </si>
  <si>
    <t>FV-LAMTIER-1133</t>
  </si>
  <si>
    <t>3660 MARKO CUAHUTEMOC ZAVALA CORONA</t>
  </si>
  <si>
    <t>5030 EFINE CONSTRUCCIONES</t>
  </si>
  <si>
    <t>CNT-MC4-HYM</t>
  </si>
  <si>
    <t>CAB-CD-1500V-12</t>
  </si>
  <si>
    <t>CAB-CD-1500V-10</t>
  </si>
  <si>
    <t>CAJA-HERR-FV</t>
  </si>
  <si>
    <t>ODA620-BIFASIAL</t>
  </si>
  <si>
    <t>COMISIONES A PAGO 26-12-25</t>
  </si>
  <si>
    <t>CALCULO DE COMISIONES DEL 01 AL 15 DE DICIEMBRE 2025</t>
  </si>
  <si>
    <t>FE-EEA-27609</t>
  </si>
  <si>
    <t>FE-EEA-27610</t>
  </si>
  <si>
    <t>FE-EEA-27611</t>
  </si>
  <si>
    <t>FE-EEA-27612</t>
  </si>
  <si>
    <t>FE-EEA-27658</t>
  </si>
  <si>
    <t>FE-EEA-27664</t>
  </si>
  <si>
    <t>FE-EEA-27665</t>
  </si>
  <si>
    <t>FE-EEA-27666</t>
  </si>
  <si>
    <t>FE-EEA-27667</t>
  </si>
  <si>
    <t>FE-EEA-27668</t>
  </si>
  <si>
    <t>FE-EEA-27669</t>
  </si>
  <si>
    <t>FE-EEA-27670</t>
  </si>
  <si>
    <t>FE-EEA-27671</t>
  </si>
  <si>
    <t>FE-EEA-27672</t>
  </si>
  <si>
    <t>FE-EEA-27673</t>
  </si>
  <si>
    <t>FE-EEA-27674</t>
  </si>
  <si>
    <t>FE-EEA-27675</t>
  </si>
  <si>
    <t>FE-EEA-27676</t>
  </si>
  <si>
    <t>FE-EEA-27677</t>
  </si>
  <si>
    <t>FE-EEA-27678</t>
  </si>
  <si>
    <t>FE-EEA-27679</t>
  </si>
  <si>
    <t>FE-EEA-27680</t>
  </si>
  <si>
    <t>FE-EEA-27681</t>
  </si>
  <si>
    <t>FE-EEA-27682</t>
  </si>
  <si>
    <t>FE-EEA-27683</t>
  </si>
  <si>
    <t>FE-EEA-27684</t>
  </si>
  <si>
    <t>FE-EEA-27685</t>
  </si>
  <si>
    <t>FE-EEA-27686</t>
  </si>
  <si>
    <t>FE-EEA-27687</t>
  </si>
  <si>
    <t>FE-EEA-27688</t>
  </si>
  <si>
    <t>FE-EEA-27689</t>
  </si>
  <si>
    <t>FE-EEA-27690</t>
  </si>
  <si>
    <t>FE-EEA-27691</t>
  </si>
  <si>
    <t>FE-EEA-27692</t>
  </si>
  <si>
    <t>FE-EEA-27693</t>
  </si>
  <si>
    <t>FE-EEA-27695</t>
  </si>
  <si>
    <t>FE-EEA-27696</t>
  </si>
  <si>
    <t>FE-EEA-27697</t>
  </si>
  <si>
    <t>FE-EEA-27698</t>
  </si>
  <si>
    <t>FE-EEA-27699</t>
  </si>
  <si>
    <t>FE-EEA-27702</t>
  </si>
  <si>
    <t>FE-EEA-27703</t>
  </si>
  <si>
    <t>FE-EEA-27704</t>
  </si>
  <si>
    <t>FE-EEA-27705</t>
  </si>
  <si>
    <t>FE-EEA-27706</t>
  </si>
  <si>
    <t>FE-EEA-27708</t>
  </si>
  <si>
    <t>FE-EEA-27709</t>
  </si>
  <si>
    <t>FE-EEA-27710</t>
  </si>
  <si>
    <t>FE-EEA-27711</t>
  </si>
  <si>
    <t>FE-EEA-27712</t>
  </si>
  <si>
    <t>FE-EEA-27713</t>
  </si>
  <si>
    <t>FE-EEA-27715</t>
  </si>
  <si>
    <t>FE-EEA-27716</t>
  </si>
  <si>
    <t>FE-EEA-27717</t>
  </si>
  <si>
    <t>FE-EEA-27718</t>
  </si>
  <si>
    <t>FE-EEA-27719</t>
  </si>
  <si>
    <t>FE-EEA-27720</t>
  </si>
  <si>
    <t>FE-EEA-27725</t>
  </si>
  <si>
    <t>FE-EEA-27726</t>
  </si>
  <si>
    <t>FE-EEA-27727</t>
  </si>
  <si>
    <t>FE-EEA-27728</t>
  </si>
  <si>
    <t>FE-EEA-27729</t>
  </si>
  <si>
    <t>FE-EEA-27730</t>
  </si>
  <si>
    <t>FE-EEA-27731</t>
  </si>
  <si>
    <t>FE-EEA-27732</t>
  </si>
  <si>
    <t>FE-EEA-27733</t>
  </si>
  <si>
    <t>FE-EEA-27734</t>
  </si>
  <si>
    <t>FE-EEA-27735</t>
  </si>
  <si>
    <t>FE-EEA-27736</t>
  </si>
  <si>
    <t>FE-EEA-27737</t>
  </si>
  <si>
    <t>FE-EEA-27738</t>
  </si>
  <si>
    <t>FE-EEA-27739</t>
  </si>
  <si>
    <t>FE-EEA-27740</t>
  </si>
  <si>
    <t>FE-EEA-27741</t>
  </si>
  <si>
    <t>FE-EEA-27742</t>
  </si>
  <si>
    <t>FE-EEA-27743</t>
  </si>
  <si>
    <t>FE-EEA-27744</t>
  </si>
  <si>
    <t>FE-EEA-27745</t>
  </si>
  <si>
    <t>FE-EEA-27746</t>
  </si>
  <si>
    <t>FE-EEA-27747</t>
  </si>
  <si>
    <t>FE-EEA-27748</t>
  </si>
  <si>
    <t>FE-EEA-27749</t>
  </si>
  <si>
    <t>FE-EEA-27750</t>
  </si>
  <si>
    <t>FE-EEA-27751</t>
  </si>
  <si>
    <t>FE-EEA-27752</t>
  </si>
  <si>
    <t>FE-EEA-27753</t>
  </si>
  <si>
    <t>FE-EEA-27754</t>
  </si>
  <si>
    <t>FE-EEA-27755</t>
  </si>
  <si>
    <t>FE-EEA-27756</t>
  </si>
  <si>
    <t>FE-EEA-27757</t>
  </si>
  <si>
    <t>FE-EEA-27758</t>
  </si>
  <si>
    <t>FE-EEA-27759</t>
  </si>
  <si>
    <t>FE-EEA-27760</t>
  </si>
  <si>
    <t>FE-EEA-27761</t>
  </si>
  <si>
    <t>FE-EEA-27762</t>
  </si>
  <si>
    <t>FE-EEA-27763</t>
  </si>
  <si>
    <t>FE-EEA-27764</t>
  </si>
  <si>
    <t>FE-EEA-27765</t>
  </si>
  <si>
    <t>FE-EEA-27766</t>
  </si>
  <si>
    <t>FE-EEA-27767</t>
  </si>
  <si>
    <t>FE-EEA-27768</t>
  </si>
  <si>
    <t>FE-EEA-27769</t>
  </si>
  <si>
    <t>FE-EEA-27770</t>
  </si>
  <si>
    <t>FE-EEA-27771</t>
  </si>
  <si>
    <t>FE-EEA-27772</t>
  </si>
  <si>
    <t>FE-EEA-27773</t>
  </si>
  <si>
    <t>FE-EEA-27774</t>
  </si>
  <si>
    <t>FE-EEA-27775</t>
  </si>
  <si>
    <t>FE-EEA-27776</t>
  </si>
  <si>
    <t>FE-EEA-27777</t>
  </si>
  <si>
    <t>FE-EEA-27778</t>
  </si>
  <si>
    <t>FE-EEA-27779</t>
  </si>
  <si>
    <t>FE-EEA-27780</t>
  </si>
  <si>
    <t>FE-EEA-27781</t>
  </si>
  <si>
    <t>FE-EEA-27782</t>
  </si>
  <si>
    <t>FE-EEA-27783</t>
  </si>
  <si>
    <t>FE-EEA-27784</t>
  </si>
  <si>
    <t>FE-EEA-27785</t>
  </si>
  <si>
    <t>FE-EEA-27786</t>
  </si>
  <si>
    <t>FE-EEA-27787</t>
  </si>
  <si>
    <t>FE-EEA-27788</t>
  </si>
  <si>
    <t>FE-EEA-27789</t>
  </si>
  <si>
    <t>FE-EEA-27790</t>
  </si>
  <si>
    <t>FE-EEA-27792</t>
  </si>
  <si>
    <t>FE-EEA-27793</t>
  </si>
  <si>
    <t>FE-EEA-27794</t>
  </si>
  <si>
    <t>5048 CARLOS DIAZ RENDON</t>
  </si>
  <si>
    <t>106 MAFEVA SA DE CV</t>
  </si>
  <si>
    <t>836 EDGAR RESENDIZ PEREZ</t>
  </si>
  <si>
    <t>5054 ALEX GEOVANI GUZMAN GUZMAN</t>
  </si>
  <si>
    <t>1990 FABRICIO SANCHEZ GUIZAR</t>
  </si>
  <si>
    <t>5051 JOSE LUIS ZAMORA SANCHEZ</t>
  </si>
  <si>
    <t>5050 MIGUEL ANGEL MARTINEZ CORTES</t>
  </si>
  <si>
    <t>715 PROYECTOS Y VIVIENDAS VERT</t>
  </si>
  <si>
    <t>5056 MORELIA LUCIA MORENO CHAVEZ</t>
  </si>
  <si>
    <t>OV-ERM-15352</t>
  </si>
  <si>
    <t>OV-EEA-20207</t>
  </si>
  <si>
    <t>OV-EEA-20281</t>
  </si>
  <si>
    <t>OV-EEA-20208</t>
  </si>
  <si>
    <t>OV-EEA-20209</t>
  </si>
  <si>
    <t>OV-ERM-19375</t>
  </si>
  <si>
    <t>OV-EEA-20399</t>
  </si>
  <si>
    <t>OV-ERM-19462</t>
  </si>
  <si>
    <t>OV-EEA-20471</t>
  </si>
  <si>
    <t>OV-EEA-20472</t>
  </si>
  <si>
    <t>OV-EEA-20473</t>
  </si>
  <si>
    <t>OV-EEA-20474</t>
  </si>
  <si>
    <t>OV-ERM-19681</t>
  </si>
  <si>
    <t>OV-ERM-19674</t>
  </si>
  <si>
    <t>OV-ERM-19744</t>
  </si>
  <si>
    <t>OV-ERM-19813</t>
  </si>
  <si>
    <t>OV-ERM-19808</t>
  </si>
  <si>
    <t>OV-ERM-19752</t>
  </si>
  <si>
    <t>OV-ERM-20040</t>
  </si>
  <si>
    <t>OV-ERM-19940</t>
  </si>
  <si>
    <t>OV-ERM-20244</t>
  </si>
  <si>
    <t>OV-ERM-20100</t>
  </si>
  <si>
    <t>OV-ERM-20050</t>
  </si>
  <si>
    <t>OV-ERM-19962</t>
  </si>
  <si>
    <t>OV-ERM-20089</t>
  </si>
  <si>
    <t>OV-ERM-20516</t>
  </si>
  <si>
    <t>OV-ERM-20806</t>
  </si>
  <si>
    <t>OV-ERM-20661</t>
  </si>
  <si>
    <t>OV-ERM-20825</t>
  </si>
  <si>
    <t>OV-ERM-20254</t>
  </si>
  <si>
    <t>OV-EEA-21175</t>
  </si>
  <si>
    <t>OV-ERM-20840</t>
  </si>
  <si>
    <t>OV-ERM-20662</t>
  </si>
  <si>
    <t>OV-ERM-20972</t>
  </si>
  <si>
    <t>OV-ERM-20984</t>
  </si>
  <si>
    <t>OV-ERM-20985</t>
  </si>
  <si>
    <t>OV-ERM-20905</t>
  </si>
  <si>
    <t>OV-ERM-20821</t>
  </si>
  <si>
    <t>OV-ERM-21011</t>
  </si>
  <si>
    <t>OV-ERM-20832</t>
  </si>
  <si>
    <t>OV-ERM-21033</t>
  </si>
  <si>
    <t>OV-ERM-20911</t>
  </si>
  <si>
    <t>OV-ERM-20986</t>
  </si>
  <si>
    <t>OV-ERM-21136</t>
  </si>
  <si>
    <t>OV-ERM-21144</t>
  </si>
  <si>
    <t>OV-ERM-21040</t>
  </si>
  <si>
    <t>OV-ERM-21146</t>
  </si>
  <si>
    <t>OV-ERM-21148</t>
  </si>
  <si>
    <t>OV-ERM-21143</t>
  </si>
  <si>
    <t>OV-ERM-21139</t>
  </si>
  <si>
    <t>OV-ERM-21138</t>
  </si>
  <si>
    <t>OV-EEA-21331</t>
  </si>
  <si>
    <t>OV-ERM-20842</t>
  </si>
  <si>
    <t>OV-ERM-21147</t>
  </si>
  <si>
    <t>OV-EEA-21336</t>
  </si>
  <si>
    <t>OV-ERM-21137</t>
  </si>
  <si>
    <t>OV-ERM-21252</t>
  </si>
  <si>
    <t>OV-ERM-21027</t>
  </si>
  <si>
    <t>OV-ERM-20987</t>
  </si>
  <si>
    <t>LISTA DE PRECIOS PRODUCTOS GENERALES ERA</t>
  </si>
  <si>
    <t>MODELO</t>
  </si>
  <si>
    <t>COSTO</t>
  </si>
  <si>
    <t>INDIRECTOS</t>
  </si>
  <si>
    <t>PRECIO 
+200 PIEZAS</t>
  </si>
  <si>
    <t>MULT</t>
  </si>
  <si>
    <t>UTILIDAD
NETA</t>
  </si>
  <si>
    <t>PRECIO 
+100 PIEZAS</t>
  </si>
  <si>
    <t>SALTO</t>
  </si>
  <si>
    <t>PRECIO 
+50 PIEZAS</t>
  </si>
  <si>
    <t>PRECIO 
+20 PIEZAS</t>
  </si>
  <si>
    <t>PRECIO 4</t>
  </si>
  <si>
    <t>PRECIO 3</t>
  </si>
  <si>
    <t>PRECIO 2</t>
  </si>
  <si>
    <t>PRECIO 1</t>
  </si>
  <si>
    <t>CALENTADORES</t>
  </si>
  <si>
    <t>CALENTADORES RAYSOL</t>
  </si>
  <si>
    <t>CALENTADORES CELSIUS</t>
  </si>
  <si>
    <t>CALENTADORES CELSIUS ECO</t>
  </si>
  <si>
    <t>TANQUES</t>
  </si>
  <si>
    <t>TPR-20</t>
  </si>
  <si>
    <t>TPR-26</t>
  </si>
  <si>
    <t>BASES</t>
  </si>
  <si>
    <t>BG-08S</t>
  </si>
  <si>
    <t>BG-10S</t>
  </si>
  <si>
    <t>BG-12S</t>
  </si>
  <si>
    <t>BG-15S</t>
  </si>
  <si>
    <t>BG-18S</t>
  </si>
  <si>
    <t>BG-20S</t>
  </si>
  <si>
    <t>BG-24S</t>
  </si>
  <si>
    <t>BG-30S</t>
  </si>
  <si>
    <t>TUBOS</t>
  </si>
  <si>
    <t>LINEA HOGAR</t>
  </si>
  <si>
    <t>LIRA-4-60-220</t>
  </si>
  <si>
    <t>CI-TS-90-N</t>
  </si>
  <si>
    <t>CEI-5.3-BS</t>
  </si>
  <si>
    <t>CP-TELE-60</t>
  </si>
  <si>
    <t>CP-TELE-90</t>
  </si>
  <si>
    <t>EC-180-60</t>
  </si>
  <si>
    <t>EC-180-75</t>
  </si>
  <si>
    <t>EC-180-90</t>
  </si>
  <si>
    <t>KITS INSTALACION TERMICO</t>
  </si>
  <si>
    <t>PPR-ADAPMACH-3/4</t>
  </si>
  <si>
    <t>PPR-COD-3/4-90</t>
  </si>
  <si>
    <t>PPR-COD-3/4-45</t>
  </si>
  <si>
    <t>PPR-COP-3/4</t>
  </si>
  <si>
    <t>PPR-TUE-3/4</t>
  </si>
  <si>
    <t>PPR-TEE-3/4</t>
  </si>
  <si>
    <t>PPR-TUB-3/4</t>
  </si>
  <si>
    <t>CU-ADAPMACH-1/2</t>
  </si>
  <si>
    <t>CU-TUB-1/2</t>
  </si>
  <si>
    <t>CINT-TEFL-3/4-X260</t>
  </si>
  <si>
    <t>VAL-ANTRET-3/4-PPR</t>
  </si>
  <si>
    <t>VALESF-SOL-3/4</t>
  </si>
  <si>
    <t>PPR-VALESF-3/4</t>
  </si>
  <si>
    <t>PPR-ABRCLIP-3/4-GRIS</t>
  </si>
  <si>
    <t>GAL-TEE-3/4</t>
  </si>
  <si>
    <t>GAL-NIP-3/4</t>
  </si>
  <si>
    <t>GAL-RED-3/4-1/2</t>
  </si>
  <si>
    <t>PPR-BOL-KIT-GRA</t>
  </si>
  <si>
    <t>PPR-BOL-KIT-PRE</t>
  </si>
  <si>
    <t>REFACCIONES</t>
  </si>
  <si>
    <t>SET-2V-CHP</t>
  </si>
  <si>
    <t>SET-MAN-GRA-15</t>
  </si>
  <si>
    <t>SET-EMP-ACC-10</t>
  </si>
  <si>
    <t>SET-ANI-ACC-10</t>
  </si>
  <si>
    <t>SET-MAN-GRA-12</t>
  </si>
  <si>
    <t>SET-MAN-GRA-10</t>
  </si>
  <si>
    <t>SET-MAN-PRE-20-26</t>
  </si>
  <si>
    <t>SET-MAN-PRE-10-12</t>
  </si>
  <si>
    <t>SET-KIT-CAMBIO-CASQUILLOS</t>
  </si>
  <si>
    <t>SET-KIT-INST-PPR-BP</t>
  </si>
  <si>
    <t>SET-KIT-INST-PPR-AP</t>
  </si>
  <si>
    <t>SET-KIT-CON-PPR-BP</t>
  </si>
  <si>
    <t>SET-KIT-CON-PPR-AP</t>
  </si>
  <si>
    <t>SET-KIT-5-SOP-TUB-PRE</t>
  </si>
  <si>
    <t>SET-KIT-ANI-ACC-5</t>
  </si>
  <si>
    <t>SET-KIT-EMP-ACC-5</t>
  </si>
  <si>
    <t>LUMINARIAS</t>
  </si>
  <si>
    <t>NAOS-50W/LM</t>
  </si>
  <si>
    <t xml:space="preserve">NAOS150W/LM </t>
  </si>
  <si>
    <t>K-ROAD50W/LM</t>
  </si>
  <si>
    <t>K-ROAD80W/LM</t>
  </si>
  <si>
    <t>HCX-L28-192</t>
  </si>
  <si>
    <t>HCX-L24-158</t>
  </si>
  <si>
    <t>HCX-L19-129</t>
  </si>
  <si>
    <t>HCX-L15-99</t>
  </si>
  <si>
    <t>HCX-L12-85</t>
  </si>
  <si>
    <t>FLX-50-16</t>
  </si>
  <si>
    <t>FLX-60-32</t>
  </si>
  <si>
    <t>FLX-70-32</t>
  </si>
  <si>
    <t>FLX-80-32</t>
  </si>
  <si>
    <t>ELEKTRA-40/LM</t>
  </si>
  <si>
    <t>ELEKTRA-60/LM</t>
  </si>
  <si>
    <t>ELEKTRA-100/LM</t>
  </si>
  <si>
    <t>SOLARLED60W</t>
  </si>
  <si>
    <t>SOLARLED90W</t>
  </si>
  <si>
    <t>SOLARLED120W</t>
  </si>
  <si>
    <t>SOLARSTLED300W</t>
  </si>
  <si>
    <t>ECOFL60W</t>
  </si>
  <si>
    <t>ECOFL100W</t>
  </si>
  <si>
    <t>FL60W</t>
  </si>
  <si>
    <t>FL100W</t>
  </si>
  <si>
    <t xml:space="preserve">SUNEL-04/LM </t>
  </si>
  <si>
    <t xml:space="preserve">SUNEL-06/LM </t>
  </si>
  <si>
    <t xml:space="preserve">SUNEL-08/LM </t>
  </si>
  <si>
    <t>SUNEL-120/LM</t>
  </si>
  <si>
    <t>HERCULES-60/LM</t>
  </si>
  <si>
    <t>HERCULES-80/LM</t>
  </si>
  <si>
    <t>SOLAX60W</t>
  </si>
  <si>
    <t>SOLAX100W</t>
  </si>
  <si>
    <t>SOLAX150W</t>
  </si>
  <si>
    <t>EQUIPO HIDRAULICO</t>
  </si>
  <si>
    <t>EAP050-024HE</t>
  </si>
  <si>
    <t>BP1ME050</t>
  </si>
  <si>
    <t>LAMPUV-6W</t>
  </si>
  <si>
    <t>PP-10</t>
  </si>
  <si>
    <t>CTO-10</t>
  </si>
  <si>
    <t>PP-10B</t>
  </si>
  <si>
    <t>CTO-10B</t>
  </si>
  <si>
    <t>TINACO-1100 L ROTOPLAS</t>
  </si>
  <si>
    <t>TINACO-1100 ERA beige</t>
  </si>
  <si>
    <t>TINACO-1100 IUSA</t>
  </si>
  <si>
    <t>TINACO-750 IUSA</t>
  </si>
  <si>
    <t>BASE-PTR-80CM</t>
  </si>
  <si>
    <t>BASE-PTR-60CM</t>
  </si>
  <si>
    <t>TINACO-750 L ERA beige</t>
  </si>
  <si>
    <t>TINACO-750 L ERA negro</t>
  </si>
  <si>
    <t>TINACO-800 L ROTOPLAS</t>
  </si>
  <si>
    <t>FOTOVOLTAICO</t>
  </si>
  <si>
    <t>ODA545-36-MH</t>
  </si>
  <si>
    <t>ODA270-30-P</t>
  </si>
  <si>
    <t>DESCONTINUADO</t>
  </si>
  <si>
    <t>GW5000D-NS</t>
  </si>
  <si>
    <t>INVERA X2-3.6K</t>
  </si>
  <si>
    <t>INVERA X2-4.2K</t>
  </si>
  <si>
    <t>ISI-1.1</t>
  </si>
  <si>
    <t>PV-IN-1S6-SL</t>
  </si>
  <si>
    <t>PV-IN-1S62S-SL</t>
  </si>
  <si>
    <t>PV-IN-2S6-SL</t>
  </si>
  <si>
    <t>PV-IN-25S62-SL</t>
  </si>
  <si>
    <t>PV-IN-25S6S2-SL</t>
  </si>
  <si>
    <t>PV-IN-3S6S2-SL</t>
  </si>
  <si>
    <t>PV-IN-3S6S2S-SL</t>
  </si>
  <si>
    <t>PV-IN-36S6S2-SL</t>
  </si>
  <si>
    <t>PV-IN-4S6S2-SL</t>
  </si>
  <si>
    <t>PV-IN-5S6S2-SL</t>
  </si>
  <si>
    <t>PV-IN-6S6S2-SL</t>
  </si>
  <si>
    <t>PV-IN-5S8K1F-SL</t>
  </si>
  <si>
    <t>PV-IN-5S10K1F-SL</t>
  </si>
  <si>
    <t>PV-IN-3PS5-SL</t>
  </si>
  <si>
    <t>PV-IN-5S15K3F-SL</t>
  </si>
  <si>
    <t>PV-IN-5S15K-SL</t>
  </si>
  <si>
    <t>PV-IN-5S20K3F-SL</t>
  </si>
  <si>
    <t>PV-IN-20S5-SL</t>
  </si>
  <si>
    <t>PV-IN-5S30K3F-SL</t>
  </si>
  <si>
    <t>PV-IN-5S40K3F4-SL</t>
  </si>
  <si>
    <t>PV-IN-5S50K3F-SL</t>
  </si>
  <si>
    <t>PV-IN-5S50K3F4-SL</t>
  </si>
  <si>
    <t>PV-IN-5S60K3F-SL</t>
  </si>
  <si>
    <t>PV-IN-5S60K3F4-SL</t>
  </si>
  <si>
    <t>PV-IN-80KS5-SL</t>
  </si>
  <si>
    <t>PV-IN-100KS5-SL</t>
  </si>
  <si>
    <t>PV-IN-5S124K3F4-SL</t>
  </si>
  <si>
    <t>PV-INH-1P5S5-SL</t>
  </si>
  <si>
    <t>PV-INH-1P8S5-SL</t>
  </si>
  <si>
    <t>PV-INH-1P114S5-SL</t>
  </si>
  <si>
    <t>PV-IN-TL2KX2-GW</t>
  </si>
  <si>
    <t>PV-IN-TL25KX2-GW</t>
  </si>
  <si>
    <t>PV-IN-TL3KX2-GW</t>
  </si>
  <si>
    <t>PV-IN-TL33KX2-GW</t>
  </si>
  <si>
    <t>PV-IN-TL36KX2-GW</t>
  </si>
  <si>
    <t>PV-IN-TL42KX2-GW</t>
  </si>
  <si>
    <t>PV-IN-TL46KX2-GW</t>
  </si>
  <si>
    <t>PV-IN-TL5KX2-GW</t>
  </si>
  <si>
    <t>PV-IN-TL6KX2-GW</t>
  </si>
  <si>
    <t>PV-IN-TL8KX2-GW</t>
  </si>
  <si>
    <t>PV-IN-TL9KX2-GW</t>
  </si>
  <si>
    <t>PV-IN-TL10KX2-GW</t>
  </si>
  <si>
    <t>PV-IN-MID15-GW</t>
  </si>
  <si>
    <t>PV-IN-MID20-GW</t>
  </si>
  <si>
    <t>PV-IN-MID25-GW</t>
  </si>
  <si>
    <t>PV-IN-KTL330-GW</t>
  </si>
  <si>
    <t>PV-IN-KTL336-GW</t>
  </si>
  <si>
    <t>PV-IN-KT350-GW</t>
  </si>
  <si>
    <t>PV-IN-KTL3-60-GRW</t>
  </si>
  <si>
    <t>PV-IN-KTL370-GW</t>
  </si>
  <si>
    <t>PV-IN-KTL3-75-GRW</t>
  </si>
  <si>
    <t>PV-IN-KTL3-124-GRW</t>
  </si>
  <si>
    <t>PV-IN-KTL3-150-GRW</t>
  </si>
  <si>
    <t>PV-IN-HYB10-GW</t>
  </si>
  <si>
    <t>PV-IN-5K1P-HUA</t>
  </si>
  <si>
    <t>PV-IN-20K3P-HUA</t>
  </si>
  <si>
    <t>PV-IN-40K3P-HUA</t>
  </si>
  <si>
    <t>PV-IN-50KLV-HUA</t>
  </si>
  <si>
    <t>PV-IN-50K3P-HUA</t>
  </si>
  <si>
    <t>PV-IN-80KLV-HUA</t>
  </si>
  <si>
    <t>PV-IN-100K3P-HUA</t>
  </si>
  <si>
    <t>PV-IN-150K3P-HUA</t>
  </si>
  <si>
    <t>PV-INH-2K1P-HUA</t>
  </si>
  <si>
    <t>PV-INH-3K1P-HUA</t>
  </si>
  <si>
    <t>PV-INH-4K1P-HUA</t>
  </si>
  <si>
    <t>PV-INH-5K1P-HUA</t>
  </si>
  <si>
    <t>PV-INH-6K1P-HUA</t>
  </si>
  <si>
    <t>PV-INH-8K1P-HUA</t>
  </si>
  <si>
    <t>PV-INH-10K1P-HUA</t>
  </si>
  <si>
    <t>CAB-CD-1500V-8</t>
  </si>
  <si>
    <t>CNT-MC4-HYM-10AWG</t>
  </si>
  <si>
    <t>CNT-MC4-HYM-8AWG</t>
  </si>
  <si>
    <t>CNT-MC4-HYM-TIPO-Y</t>
  </si>
  <si>
    <t>TOOL-FV-BOX</t>
  </si>
  <si>
    <t>TOOL-FV-CORTA-CAB</t>
  </si>
  <si>
    <t>GAB-EXT-04</t>
  </si>
  <si>
    <t>GAB-EXT-12</t>
  </si>
  <si>
    <t>GAB-EXT-18</t>
  </si>
  <si>
    <t>GAB-EXT-24</t>
  </si>
  <si>
    <t>GAB-EXT-36</t>
  </si>
  <si>
    <t>EFV-1X20-1133MM</t>
  </si>
  <si>
    <t>FV-PATADEL-NEOP-150</t>
  </si>
  <si>
    <t>FV-PATATRA-NEOP-540</t>
  </si>
  <si>
    <t>FV-OPRESOR-EXT-1133</t>
  </si>
  <si>
    <t>FV-ANG-REF-1456-1133</t>
  </si>
  <si>
    <t>FV-CLIP-TIERRA-1133</t>
  </si>
  <si>
    <t>FV-TAQEXP-INOX5/16</t>
  </si>
  <si>
    <t>FV-UNIONRIEL-150</t>
  </si>
  <si>
    <t>EXTRAS MATERIAL PPR</t>
  </si>
  <si>
    <t>PPR-TUB-2</t>
  </si>
  <si>
    <t>PPR-TEE-2</t>
  </si>
  <si>
    <t>PPR-ADAPHEMB-2</t>
  </si>
  <si>
    <t>PPR-RDC-2A1-1/4</t>
  </si>
  <si>
    <t>PPR-COD-90-2</t>
  </si>
  <si>
    <t>PPR-RDC-1A3/4</t>
  </si>
  <si>
    <t>PPR-ADAP-HEMBRA-3/4</t>
  </si>
  <si>
    <t>PPR-COD-90-1</t>
  </si>
  <si>
    <t>PPR-COP-2</t>
  </si>
  <si>
    <t>PPR-COD-45-1</t>
  </si>
  <si>
    <t>PPR-RDC-1Y1/2A1</t>
  </si>
  <si>
    <t>PPR-COP-1</t>
  </si>
  <si>
    <t>PPR-TEE-1</t>
  </si>
  <si>
    <t>PPR-ADAPHEMB-1/2</t>
  </si>
  <si>
    <t>PPR-ADAPMACH-1/2</t>
  </si>
  <si>
    <t>PPR-COD-1/2-45</t>
  </si>
  <si>
    <t>PPR-COD-90-1/2</t>
  </si>
  <si>
    <t>PPR-RDC-3/4A1/2</t>
  </si>
  <si>
    <t>PPR-TEE-1/2</t>
  </si>
  <si>
    <t>PPR-TUB-1/2</t>
  </si>
  <si>
    <t>PPR-TUE-1/2</t>
  </si>
  <si>
    <t>EXTRAS</t>
  </si>
  <si>
    <t>PTR-1-X1-CAL-14-8/40</t>
  </si>
  <si>
    <t>PTR-11/2X11/2</t>
  </si>
  <si>
    <t>CAB-USO-RUDO-3X10</t>
  </si>
  <si>
    <t>CALENTADORES RAYSOL AP</t>
  </si>
  <si>
    <t>GH-08-80</t>
  </si>
  <si>
    <t>GH-10-100</t>
  </si>
  <si>
    <t>GH-12-120</t>
  </si>
  <si>
    <t>GH-15-150</t>
  </si>
  <si>
    <t>GH-18-180</t>
  </si>
  <si>
    <t>GH-20-200</t>
  </si>
  <si>
    <t>GH-24-240</t>
  </si>
  <si>
    <t>GH-30-300</t>
  </si>
  <si>
    <t>* PRECIOS YA INCLUYEN IVA
 * PRECIOS SUJETOS A DISPONIBILIDAD
 * VALIDOS EN EL MES DE NOVIEMBRE 2025
 * TIEMPO DE ENTREGA DE 45 DIAS
 * ENTREGA POR CONTENEDOR
 * 50 % DE ANTICIPO</t>
  </si>
  <si>
    <t>COMISION PRECIO</t>
  </si>
  <si>
    <t>COMISION
MONTO</t>
  </si>
  <si>
    <t>PRECIO 1
COMISION</t>
  </si>
  <si>
    <t>PRECIO 2
COMISION</t>
  </si>
  <si>
    <t>PRECIO 3
COMISION</t>
  </si>
  <si>
    <t>PRECIO 4
COMISION</t>
  </si>
  <si>
    <t>COMISIONES 2026</t>
  </si>
  <si>
    <t>MINIMA</t>
  </si>
  <si>
    <t>ACUMULADO VENTA</t>
  </si>
  <si>
    <t>TOTAL COMISION
%</t>
  </si>
  <si>
    <t>TOTAL COMISION
$</t>
  </si>
  <si>
    <t>NUEVOS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</si>
</sst>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quot;$&quot;#,##0.00"/>
    <numFmt numFmtId="167" formatCode="[$-F800]dddd\,\ mmmm\ dd\,\ yyyy"/>
    <numFmt numFmtId="168" formatCode="0.0%"/>
    <numFmt numFmtId="169" formatCode="0.000%"/>
    <numFmt numFmtId="170" formatCode="_(* #,##0_);_(* \(#,##0\);_(* &quot;-&quot;??_);_(@_)"/>
    <numFmt numFmtId="171" formatCode="&quot;$&quot;#,##0.00;[Red]&quot;$&quot;#,##0.00"/>
    <numFmt numFmtId="172" formatCode="_(&quot;$&quot;* #,##0_);_(&quot;$&quot;* \(#,##0\);_(&quot;$&quot;* &quot;-&quot;??_);_(@_)"/>
    <numFmt numFmtId="173" formatCode="_-* #,##0.0000_-;\-* #,##0.0000_-;_-* &quot;-&quot;??_-;_-@_-"/>
    <numFmt numFmtId="174" formatCode="_(&quot;$&quot;* #,##0.0_);_(&quot;$&quot;* \(#,##0.0\);_(&quot;$&quot;* &quot;-&quot;??_);_(@_)"/>
  </numFmts>
  <fonts count="5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
      <sz val="11"/>
      <color theme="1"/>
      <name val="Century Gothic"/>
      <family val="2"/>
    </font>
    <font>
      <b/>
      <sz val="11"/>
      <name val="Century Gothic"/>
      <family val="2"/>
    </font>
    <font>
      <sz val="11"/>
      <name val="Century Gothic"/>
      <family val="2"/>
    </font>
    <font>
      <b/>
      <sz val="9"/>
      <color indexed="81"/>
      <name val="Tahoma"/>
      <family val="2"/>
    </font>
    <font>
      <sz val="9"/>
      <color indexed="81"/>
      <name val="Tahoma"/>
      <family val="2"/>
    </font>
    <font>
      <sz val="8"/>
      <name val="Calibri"/>
      <family val="2"/>
      <scheme val="minor"/>
    </font>
    <font>
      <b/>
      <sz val="12"/>
      <color theme="1"/>
      <name val="Calibri"/>
      <family val="2"/>
      <scheme val="minor"/>
    </font>
    <font>
      <b/>
      <sz val="14"/>
      <color theme="1"/>
      <name val="Calibri"/>
      <family val="2"/>
      <scheme val="minor"/>
    </font>
    <font>
      <b/>
      <sz val="14"/>
      <name val="Century Gothic"/>
      <family val="2"/>
    </font>
    <font>
      <sz val="8"/>
      <color theme="1"/>
      <name val="Century Gothic"/>
      <family val="2"/>
    </font>
    <font>
      <sz val="8"/>
      <color theme="1"/>
      <name val="Calibri"/>
      <family val="2"/>
      <scheme val="minor"/>
    </font>
    <font>
      <sz val="8"/>
      <name val="Century Gothic"/>
      <family val="2"/>
    </font>
    <font>
      <b/>
      <sz val="12"/>
      <name val="Century Gothic"/>
      <family val="2"/>
    </font>
    <font>
      <b/>
      <sz val="12"/>
      <color theme="1"/>
      <name val="Century Gothic"/>
      <family val="2"/>
    </font>
    <font>
      <sz val="12"/>
      <color theme="1"/>
      <name val="Century Gothic"/>
      <family val="2"/>
    </font>
    <font>
      <b/>
      <sz val="10"/>
      <color theme="1"/>
      <name val="Calibri"/>
      <family val="2"/>
      <scheme val="minor"/>
    </font>
    <font>
      <sz val="12"/>
      <color theme="1"/>
      <name val="Calibri"/>
      <family val="2"/>
      <scheme val="minor"/>
    </font>
    <font>
      <sz val="10"/>
      <color theme="1"/>
      <name val="Calibri"/>
      <family val="2"/>
      <scheme val="minor"/>
    </font>
    <font>
      <sz val="9"/>
      <color theme="1"/>
      <name val="Calibri"/>
      <family val="2"/>
      <scheme val="minor"/>
    </font>
    <font>
      <u/>
      <sz val="11"/>
      <color theme="1"/>
      <name val="Calibri"/>
      <family val="2"/>
      <scheme val="minor"/>
    </font>
    <font>
      <sz val="8.6999999999999993"/>
      <color theme="1"/>
      <name val="Calibri"/>
      <family val="2"/>
      <scheme val="minor"/>
    </font>
    <font>
      <sz val="8.5"/>
      <color theme="1"/>
      <name val="Calibri"/>
      <family val="2"/>
      <scheme val="minor"/>
    </font>
    <font>
      <b/>
      <sz val="8.5"/>
      <color theme="1"/>
      <name val="Calibri"/>
      <family val="2"/>
      <scheme val="minor"/>
    </font>
    <font>
      <sz val="9"/>
      <color theme="1"/>
      <name val="Century Gothic"/>
      <family val="2"/>
    </font>
    <font>
      <sz val="11"/>
      <color theme="0"/>
      <name val="Calibri"/>
      <family val="2"/>
      <scheme val="minor"/>
    </font>
    <font>
      <b/>
      <sz val="9"/>
      <color theme="1"/>
      <name val="Century Gothic"/>
      <family val="2"/>
    </font>
    <font>
      <b/>
      <sz val="18"/>
      <color theme="1"/>
      <name val="Calibri"/>
      <family val="2"/>
      <scheme val="minor"/>
    </font>
    <font>
      <sz val="24"/>
      <color theme="1"/>
      <name val="Calibri"/>
      <family val="2"/>
      <scheme val="minor"/>
    </font>
    <font>
      <sz val="24"/>
      <color theme="1"/>
      <name val="Century Gothic"/>
      <family val="2"/>
    </font>
    <font>
      <sz val="9"/>
      <name val="Century Gothic"/>
      <family val="2"/>
    </font>
    <font>
      <b/>
      <sz val="9"/>
      <name val="Century Gothic"/>
      <family val="2"/>
    </font>
    <font>
      <b/>
      <sz val="16"/>
      <name val="Century Gothic"/>
      <family val="2"/>
    </font>
    <font>
      <sz val="9"/>
      <color rgb="FFFF0000"/>
      <name val="Century Gothic"/>
      <family val="2"/>
    </font>
    <font>
      <b/>
      <u/>
      <sz val="11"/>
      <name val="Calibri"/>
      <family val="2"/>
      <scheme val="minor"/>
    </font>
    <font>
      <b/>
      <u/>
      <sz val="11"/>
      <color theme="1"/>
      <name val="Calibri"/>
      <family val="2"/>
      <scheme val="minor"/>
    </font>
    <font>
      <b/>
      <sz val="14"/>
      <color rgb="FFF63C2E"/>
      <name val="Calibri"/>
      <family val="2"/>
      <scheme val="minor"/>
    </font>
    <font>
      <sz val="11"/>
      <color rgb="FFFF0000"/>
      <name val="Calibri"/>
      <family val="2"/>
      <scheme val="minor"/>
    </font>
    <font>
      <b/>
      <sz val="11"/>
      <color rgb="FFFF0000"/>
      <name val="Calibri"/>
      <family val="2"/>
      <scheme val="minor"/>
    </font>
    <font>
      <sz val="10"/>
      <color theme="1"/>
      <name val="Calibri"/>
      <family val="2"/>
    </font>
    <font>
      <sz val="9"/>
      <color theme="0"/>
      <name val="Calibri"/>
      <family val="2"/>
      <scheme val="minor"/>
    </font>
    <font>
      <sz val="9"/>
      <name val="Calibri"/>
      <family val="2"/>
      <scheme val="minor"/>
    </font>
    <font>
      <b/>
      <sz val="14"/>
      <name val="Calibri"/>
      <family val="2"/>
      <scheme val="minor"/>
    </font>
    <font>
      <sz val="18"/>
      <color theme="1"/>
      <name val="Calibri"/>
      <family val="2"/>
      <scheme val="minor"/>
    </font>
    <font>
      <b/>
      <sz val="9"/>
      <color theme="1"/>
      <name val="Calibri"/>
      <family val="2"/>
      <scheme val="minor"/>
    </font>
    <font>
      <b/>
      <sz val="16"/>
      <color theme="1"/>
      <name val="Calibri Light"/>
      <family val="2"/>
      <scheme val="major"/>
    </font>
    <font>
      <sz val="11"/>
      <color theme="1"/>
      <name val="Calibri Light"/>
      <family val="2"/>
      <scheme val="major"/>
    </font>
    <font>
      <b/>
      <sz val="11"/>
      <color theme="1"/>
      <name val="Calibri Light"/>
      <family val="2"/>
      <scheme val="major"/>
    </font>
  </fonts>
  <fills count="30">
    <fill>
      <patternFill patternType="none"/>
    </fill>
    <fill>
      <patternFill patternType="gray125"/>
    </fill>
    <fill>
      <patternFill patternType="solid">
        <fgColor theme="7"/>
        <bgColor theme="7"/>
      </patternFill>
    </fill>
    <fill>
      <patternFill patternType="solid">
        <fgColor theme="4"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1" tint="0.499984740745262"/>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rgb="FFCCFF99"/>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79998168889431442"/>
        <bgColor indexed="64"/>
      </patternFill>
    </fill>
  </fills>
  <borders count="6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dotted">
        <color auto="1"/>
      </left>
      <right style="dotted">
        <color auto="1"/>
      </right>
      <top style="dotted">
        <color auto="1"/>
      </top>
      <bottom style="dotted">
        <color auto="1"/>
      </bottom>
      <diagonal/>
    </border>
    <border>
      <left/>
      <right/>
      <top style="dotted">
        <color indexed="64"/>
      </top>
      <bottom/>
      <diagonal/>
    </border>
    <border>
      <left/>
      <right style="thin">
        <color indexed="64"/>
      </right>
      <top style="dotted">
        <color indexed="64"/>
      </top>
      <bottom/>
      <diagonal/>
    </border>
    <border>
      <left style="dotted">
        <color indexed="64"/>
      </left>
      <right/>
      <top style="dotted">
        <color indexed="64"/>
      </top>
      <bottom style="dotted">
        <color indexed="64"/>
      </bottom>
      <diagonal/>
    </border>
    <border>
      <left/>
      <right/>
      <top style="dotted">
        <color auto="1"/>
      </top>
      <bottom style="dotted">
        <color auto="1"/>
      </bottom>
      <diagonal/>
    </border>
    <border>
      <left/>
      <right style="thin">
        <color indexed="64"/>
      </right>
      <top style="dotted">
        <color indexed="64"/>
      </top>
      <bottom style="dotted">
        <color indexed="64"/>
      </bottom>
      <diagonal/>
    </border>
    <border>
      <left style="dotted">
        <color indexed="64"/>
      </left>
      <right/>
      <top/>
      <bottom/>
      <diagonal/>
    </border>
    <border>
      <left style="dotted">
        <color indexed="64"/>
      </left>
      <right/>
      <top/>
      <bottom style="dotted">
        <color indexed="64"/>
      </bottom>
      <diagonal/>
    </border>
    <border>
      <left/>
      <right/>
      <top/>
      <bottom style="dotted">
        <color auto="1"/>
      </bottom>
      <diagonal/>
    </border>
    <border>
      <left/>
      <right style="thin">
        <color indexed="64"/>
      </right>
      <top/>
      <bottom style="dotted">
        <color indexed="64"/>
      </bottom>
      <diagonal/>
    </border>
    <border>
      <left style="thin">
        <color indexed="64"/>
      </left>
      <right/>
      <top style="dotted">
        <color indexed="64"/>
      </top>
      <bottom style="dotted">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661">
    <xf numFmtId="0" fontId="0" fillId="0" borderId="0" xfId="0"/>
    <xf numFmtId="0" fontId="3" fillId="0" borderId="0" xfId="0" applyFont="1" applyAlignment="1">
      <alignment horizontal="center" vertical="center" wrapText="1"/>
    </xf>
    <xf numFmtId="0" fontId="4" fillId="2" borderId="1" xfId="0" applyFont="1" applyFill="1" applyBorder="1" applyAlignment="1">
      <alignment horizontal="center" vertical="center" wrapText="1"/>
    </xf>
    <xf numFmtId="0" fontId="4" fillId="2" borderId="2" xfId="0" applyFont="1" applyFill="1" applyBorder="1" applyAlignment="1">
      <alignment horizontal="center" vertical="center" wrapText="1"/>
    </xf>
    <xf numFmtId="14" fontId="0" fillId="0" borderId="0" xfId="0" applyNumberFormat="1"/>
    <xf numFmtId="0" fontId="0" fillId="0" borderId="9" xfId="0" applyBorder="1"/>
    <xf numFmtId="0" fontId="0" fillId="0" borderId="10" xfId="0" applyBorder="1"/>
    <xf numFmtId="0" fontId="0" fillId="0" borderId="11"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15" fillId="0" borderId="0" xfId="0" applyFont="1"/>
    <xf numFmtId="49" fontId="0" fillId="0" borderId="0" xfId="0" applyNumberFormat="1"/>
    <xf numFmtId="0" fontId="12" fillId="0" borderId="0" xfId="0" applyFont="1" applyAlignment="1">
      <alignment horizontal="center"/>
    </xf>
    <xf numFmtId="0" fontId="20" fillId="0" borderId="0" xfId="0" applyFont="1" applyAlignment="1">
      <alignment horizontal="right"/>
    </xf>
    <xf numFmtId="0" fontId="22" fillId="0" borderId="0" xfId="0" applyFont="1" applyAlignment="1">
      <alignment horizontal="right"/>
    </xf>
    <xf numFmtId="166" fontId="21" fillId="0" borderId="15" xfId="0" applyNumberFormat="1" applyFont="1" applyBorder="1" applyAlignment="1">
      <alignment horizontal="center" vertical="center"/>
    </xf>
    <xf numFmtId="0" fontId="22" fillId="0" borderId="0" xfId="0" applyFont="1"/>
    <xf numFmtId="0" fontId="22" fillId="0" borderId="0" xfId="0" applyFont="1" applyAlignment="1">
      <alignment horizontal="center"/>
    </xf>
    <xf numFmtId="0" fontId="23" fillId="0" borderId="0" xfId="0" applyFont="1" applyAlignment="1">
      <alignment horizontal="justify" vertical="center"/>
    </xf>
    <xf numFmtId="0" fontId="0" fillId="0" borderId="0" xfId="0" applyAlignment="1">
      <alignment horizontal="right"/>
    </xf>
    <xf numFmtId="0" fontId="0" fillId="0" borderId="17" xfId="0" applyBorder="1"/>
    <xf numFmtId="0" fontId="0" fillId="0" borderId="16" xfId="0" applyBorder="1"/>
    <xf numFmtId="0" fontId="0" fillId="0" borderId="18" xfId="0" applyBorder="1"/>
    <xf numFmtId="0" fontId="0" fillId="0" borderId="19" xfId="0" applyBorder="1"/>
    <xf numFmtId="0" fontId="0" fillId="5" borderId="0" xfId="0" applyFill="1" applyAlignment="1">
      <alignment horizontal="center"/>
    </xf>
    <xf numFmtId="49" fontId="23" fillId="0" borderId="0" xfId="0" applyNumberFormat="1" applyFont="1" applyAlignment="1">
      <alignment horizontal="center"/>
    </xf>
    <xf numFmtId="166" fontId="0" fillId="0" borderId="6" xfId="0" applyNumberFormat="1" applyBorder="1"/>
    <xf numFmtId="166" fontId="0" fillId="0" borderId="20" xfId="0" applyNumberFormat="1" applyBorder="1"/>
    <xf numFmtId="0" fontId="0" fillId="0" borderId="20" xfId="0" applyBorder="1"/>
    <xf numFmtId="0" fontId="25" fillId="0" borderId="19" xfId="0" applyFont="1" applyBorder="1" applyAlignment="1">
      <alignment horizontal="justify"/>
    </xf>
    <xf numFmtId="0" fontId="25" fillId="0" borderId="0" xfId="0" applyFont="1" applyAlignment="1">
      <alignment horizontal="justify"/>
    </xf>
    <xf numFmtId="0" fontId="26" fillId="0" borderId="19" xfId="0" applyFont="1" applyBorder="1" applyAlignment="1">
      <alignment horizontal="center"/>
    </xf>
    <xf numFmtId="0" fontId="15" fillId="0" borderId="19" xfId="0" applyFont="1" applyBorder="1" applyAlignment="1">
      <alignment horizontal="right"/>
    </xf>
    <xf numFmtId="0" fontId="26" fillId="0" borderId="21" xfId="0" applyFont="1" applyBorder="1" applyAlignment="1">
      <alignment horizontal="right"/>
    </xf>
    <xf numFmtId="0" fontId="0" fillId="0" borderId="15" xfId="0" applyBorder="1"/>
    <xf numFmtId="0" fontId="0" fillId="0" borderId="22" xfId="0" applyBorder="1"/>
    <xf numFmtId="0" fontId="22" fillId="0" borderId="0" xfId="0" applyFont="1" applyAlignment="1">
      <alignment horizontal="center" vertical="center" wrapText="1"/>
    </xf>
    <xf numFmtId="49" fontId="22" fillId="0" borderId="0" xfId="0" applyNumberFormat="1" applyFont="1" applyAlignment="1">
      <alignment horizontal="center" vertical="center" wrapText="1"/>
    </xf>
    <xf numFmtId="0" fontId="3" fillId="0" borderId="0" xfId="0" applyFont="1" applyAlignment="1" applyProtection="1">
      <alignment horizontal="center" vertical="center" wrapText="1"/>
      <protection locked="0"/>
    </xf>
    <xf numFmtId="43" fontId="3" fillId="0" borderId="0" xfId="1" applyFont="1" applyFill="1" applyAlignment="1" applyProtection="1">
      <alignment horizontal="center" vertical="center" wrapText="1"/>
      <protection locked="0"/>
    </xf>
    <xf numFmtId="43" fontId="29" fillId="0" borderId="0" xfId="1" applyFont="1" applyFill="1" applyAlignment="1" applyProtection="1">
      <alignment horizontal="center" vertical="center" wrapText="1"/>
      <protection locked="0"/>
    </xf>
    <xf numFmtId="10" fontId="29" fillId="0" borderId="0" xfId="3" applyNumberFormat="1"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Protection="1">
      <protection locked="0"/>
    </xf>
    <xf numFmtId="43" fontId="0" fillId="0" borderId="0" xfId="1" applyFont="1" applyProtection="1">
      <protection locked="0"/>
    </xf>
    <xf numFmtId="0" fontId="15" fillId="0" borderId="0" xfId="0" applyFont="1" applyAlignment="1" applyProtection="1">
      <alignment horizontal="center"/>
      <protection locked="0"/>
    </xf>
    <xf numFmtId="43" fontId="15" fillId="0" borderId="0" xfId="1" applyFont="1" applyFill="1" applyBorder="1" applyProtection="1">
      <protection locked="0"/>
    </xf>
    <xf numFmtId="0" fontId="23" fillId="0" borderId="0" xfId="0" applyFont="1" applyProtection="1">
      <protection locked="0"/>
    </xf>
    <xf numFmtId="43" fontId="0" fillId="0" borderId="0" xfId="1" applyFont="1" applyFill="1" applyBorder="1" applyProtection="1">
      <protection locked="0"/>
    </xf>
    <xf numFmtId="10" fontId="0" fillId="0" borderId="0" xfId="3" applyNumberFormat="1" applyFont="1" applyProtection="1">
      <protection locked="0"/>
    </xf>
    <xf numFmtId="168" fontId="0" fillId="0" borderId="0" xfId="3" applyNumberFormat="1" applyFont="1" applyProtection="1">
      <protection locked="0"/>
    </xf>
    <xf numFmtId="0" fontId="20" fillId="3" borderId="0" xfId="0" applyFont="1" applyFill="1" applyAlignment="1">
      <alignment horizontal="center" vertical="center" wrapText="1"/>
    </xf>
    <xf numFmtId="17" fontId="20" fillId="3" borderId="0" xfId="0" applyNumberFormat="1" applyFont="1" applyFill="1" applyAlignment="1">
      <alignment horizontal="center" vertical="center" wrapText="1"/>
    </xf>
    <xf numFmtId="8" fontId="0" fillId="0" borderId="0" xfId="1" applyNumberFormat="1" applyFont="1" applyFill="1" applyBorder="1" applyProtection="1"/>
    <xf numFmtId="0" fontId="22" fillId="3" borderId="0" xfId="0" applyFont="1" applyFill="1" applyAlignment="1">
      <alignment horizontal="center" vertical="center" wrapText="1"/>
    </xf>
    <xf numFmtId="0" fontId="0" fillId="0" borderId="9"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3" xfId="0" applyBorder="1" applyProtection="1">
      <protection locked="0"/>
    </xf>
    <xf numFmtId="0" fontId="0" fillId="0" borderId="4" xfId="0" applyBorder="1" applyProtection="1">
      <protection locked="0"/>
    </xf>
    <xf numFmtId="0" fontId="2" fillId="0" borderId="0" xfId="0" applyFont="1" applyProtection="1">
      <protection locked="0"/>
    </xf>
    <xf numFmtId="0" fontId="0" fillId="0" borderId="5" xfId="0" applyBorder="1" applyProtection="1">
      <protection locked="0"/>
    </xf>
    <xf numFmtId="0" fontId="2" fillId="0" borderId="12" xfId="0" applyFont="1" applyBorder="1" applyProtection="1">
      <protection locked="0"/>
    </xf>
    <xf numFmtId="0" fontId="0" fillId="0" borderId="12" xfId="0" applyBorder="1" applyProtection="1">
      <protection locked="0"/>
    </xf>
    <xf numFmtId="0" fontId="0" fillId="0" borderId="13" xfId="0" applyBorder="1" applyProtection="1">
      <protection locked="0"/>
    </xf>
    <xf numFmtId="43" fontId="0" fillId="0" borderId="6" xfId="1" applyFont="1" applyBorder="1" applyProtection="1"/>
    <xf numFmtId="0" fontId="2" fillId="0" borderId="0" xfId="0" applyFont="1"/>
    <xf numFmtId="9" fontId="0" fillId="0" borderId="0" xfId="0" applyNumberFormat="1"/>
    <xf numFmtId="12" fontId="0" fillId="0" borderId="0" xfId="0" applyNumberFormat="1"/>
    <xf numFmtId="43" fontId="7" fillId="0" borderId="25" xfId="1" applyFont="1" applyFill="1" applyBorder="1" applyAlignment="1" applyProtection="1">
      <alignment horizontal="center" vertical="center"/>
    </xf>
    <xf numFmtId="43" fontId="7" fillId="0" borderId="6" xfId="1" applyFont="1" applyFill="1" applyBorder="1" applyAlignment="1" applyProtection="1">
      <alignment horizontal="center" vertical="center"/>
    </xf>
    <xf numFmtId="43" fontId="7" fillId="0" borderId="28" xfId="1" applyFont="1" applyFill="1" applyBorder="1" applyAlignment="1" applyProtection="1">
      <alignment horizontal="center" vertical="center"/>
    </xf>
    <xf numFmtId="0" fontId="15" fillId="0" borderId="0" xfId="0" applyFont="1" applyProtection="1">
      <protection locked="0"/>
    </xf>
    <xf numFmtId="14" fontId="2" fillId="12" borderId="0" xfId="0" applyNumberFormat="1" applyFont="1" applyFill="1" applyAlignment="1" applyProtection="1">
      <alignment horizontal="center" vertical="center"/>
      <protection locked="0"/>
    </xf>
    <xf numFmtId="0" fontId="17" fillId="0" borderId="6" xfId="0" applyFont="1" applyBorder="1" applyAlignment="1" applyProtection="1">
      <alignment horizontal="center" vertical="center"/>
      <protection locked="0"/>
    </xf>
    <xf numFmtId="0" fontId="18" fillId="0" borderId="6" xfId="0" applyFont="1" applyBorder="1" applyProtection="1">
      <protection locked="0"/>
    </xf>
    <xf numFmtId="0" fontId="19" fillId="0" borderId="6" xfId="0" applyFont="1" applyBorder="1" applyProtection="1">
      <protection locked="0"/>
    </xf>
    <xf numFmtId="43" fontId="19" fillId="0" borderId="6" xfId="1" applyFont="1" applyBorder="1" applyProtection="1">
      <protection locked="0"/>
    </xf>
    <xf numFmtId="44" fontId="0" fillId="0" borderId="0" xfId="0" applyNumberFormat="1" applyProtection="1">
      <protection locked="0"/>
    </xf>
    <xf numFmtId="0" fontId="19" fillId="0" borderId="0" xfId="0" applyFont="1" applyProtection="1">
      <protection locked="0"/>
    </xf>
    <xf numFmtId="43" fontId="19" fillId="0" borderId="0" xfId="1" applyFont="1" applyBorder="1" applyProtection="1">
      <protection locked="0"/>
    </xf>
    <xf numFmtId="43" fontId="0" fillId="0" borderId="0" xfId="0" applyNumberFormat="1" applyProtection="1">
      <protection locked="0"/>
    </xf>
    <xf numFmtId="0" fontId="5" fillId="0" borderId="0" xfId="0" applyFont="1" applyProtection="1">
      <protection locked="0"/>
    </xf>
    <xf numFmtId="0" fontId="5" fillId="0" borderId="15" xfId="0" applyFont="1" applyBorder="1" applyProtection="1">
      <protection locked="0"/>
    </xf>
    <xf numFmtId="0" fontId="5" fillId="0" borderId="15" xfId="0" applyFont="1" applyBorder="1" applyAlignment="1" applyProtection="1">
      <alignment horizontal="center"/>
      <protection locked="0"/>
    </xf>
    <xf numFmtId="0" fontId="5" fillId="0" borderId="0" xfId="0" applyFont="1" applyAlignment="1" applyProtection="1">
      <alignment horizontal="center"/>
      <protection locked="0"/>
    </xf>
    <xf numFmtId="0" fontId="14" fillId="0" borderId="0" xfId="0" applyFont="1" applyAlignment="1" applyProtection="1">
      <alignment horizontal="center"/>
      <protection locked="0"/>
    </xf>
    <xf numFmtId="0" fontId="14" fillId="0" borderId="0" xfId="0" applyFont="1" applyProtection="1">
      <protection locked="0"/>
    </xf>
    <xf numFmtId="0" fontId="14" fillId="0" borderId="15" xfId="0" applyFont="1" applyBorder="1" applyAlignment="1" applyProtection="1">
      <alignment horizontal="center"/>
      <protection locked="0"/>
    </xf>
    <xf numFmtId="0" fontId="15" fillId="0" borderId="15" xfId="0" applyFont="1" applyBorder="1" applyAlignment="1" applyProtection="1">
      <alignment horizontal="center"/>
      <protection locked="0"/>
    </xf>
    <xf numFmtId="0" fontId="16" fillId="0" borderId="0" xfId="0" applyFont="1" applyAlignment="1" applyProtection="1">
      <alignment horizontal="center" vertical="center"/>
      <protection locked="0"/>
    </xf>
    <xf numFmtId="43" fontId="5" fillId="0" borderId="0" xfId="1" applyFont="1" applyAlignment="1" applyProtection="1">
      <protection locked="0"/>
    </xf>
    <xf numFmtId="0" fontId="10" fillId="0" borderId="0" xfId="0" applyFont="1" applyAlignment="1" applyProtection="1">
      <alignment horizontal="center" vertical="center" wrapText="1"/>
      <protection locked="0"/>
    </xf>
    <xf numFmtId="43" fontId="10" fillId="0" borderId="0" xfId="1" applyFont="1" applyFill="1" applyAlignment="1" applyProtection="1">
      <alignment horizontal="center" vertical="center" wrapText="1"/>
      <protection locked="0"/>
    </xf>
    <xf numFmtId="10" fontId="10" fillId="0" borderId="0" xfId="3" applyNumberFormat="1" applyFont="1" applyFill="1" applyAlignment="1" applyProtection="1">
      <alignment horizontal="center" vertical="center" wrapText="1"/>
      <protection locked="0"/>
    </xf>
    <xf numFmtId="0" fontId="3"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4" fontId="0" fillId="0" borderId="0" xfId="0" applyNumberFormat="1" applyProtection="1">
      <protection locked="0"/>
    </xf>
    <xf numFmtId="9" fontId="0" fillId="0" borderId="0" xfId="0" applyNumberFormat="1" applyProtection="1">
      <protection locked="0"/>
    </xf>
    <xf numFmtId="9" fontId="0" fillId="0" borderId="0" xfId="3" applyFont="1" applyProtection="1">
      <protection locked="0"/>
    </xf>
    <xf numFmtId="10" fontId="0" fillId="0" borderId="0" xfId="0" applyNumberFormat="1" applyProtection="1">
      <protection locked="0"/>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horizontal="center"/>
      <protection locked="0"/>
    </xf>
    <xf numFmtId="43" fontId="3" fillId="0" borderId="0" xfId="1" applyFont="1" applyProtection="1">
      <protection locked="0"/>
    </xf>
    <xf numFmtId="10" fontId="3" fillId="0" borderId="0" xfId="3" applyNumberFormat="1" applyFont="1" applyFill="1" applyAlignment="1" applyProtection="1">
      <alignment horizontal="center"/>
      <protection locked="0"/>
    </xf>
    <xf numFmtId="9" fontId="3" fillId="0" borderId="0" xfId="0" applyNumberFormat="1" applyFont="1" applyProtection="1">
      <protection locked="0"/>
    </xf>
    <xf numFmtId="14" fontId="3" fillId="0" borderId="0" xfId="0" applyNumberFormat="1" applyFont="1" applyAlignment="1" applyProtection="1">
      <alignment horizontal="left"/>
      <protection locked="0"/>
    </xf>
    <xf numFmtId="14" fontId="3" fillId="0" borderId="0" xfId="0" applyNumberFormat="1" applyFont="1" applyAlignment="1" applyProtection="1">
      <alignment horizontal="left" vertical="center" wrapText="1"/>
      <protection locked="0"/>
    </xf>
    <xf numFmtId="14" fontId="15" fillId="0" borderId="0" xfId="0" applyNumberFormat="1" applyFont="1" applyAlignment="1">
      <alignment horizontal="left"/>
    </xf>
    <xf numFmtId="14" fontId="0" fillId="0" borderId="0" xfId="0" applyNumberFormat="1" applyAlignment="1">
      <alignment horizontal="left"/>
    </xf>
    <xf numFmtId="43" fontId="10" fillId="0" borderId="0" xfId="1" applyFont="1" applyFill="1" applyAlignment="1" applyProtection="1">
      <alignment horizontal="left" vertical="center" wrapText="1"/>
      <protection locked="0"/>
    </xf>
    <xf numFmtId="0" fontId="15" fillId="0" borderId="0" xfId="0" applyFont="1" applyAlignment="1">
      <alignment horizontal="left"/>
    </xf>
    <xf numFmtId="43" fontId="15" fillId="0" borderId="0" xfId="1" applyFont="1"/>
    <xf numFmtId="43" fontId="15" fillId="0" borderId="0" xfId="0" applyNumberFormat="1" applyFont="1"/>
    <xf numFmtId="43" fontId="3" fillId="0" borderId="0" xfId="1" applyFont="1" applyAlignment="1" applyProtection="1">
      <alignment horizontal="left"/>
      <protection locked="0"/>
    </xf>
    <xf numFmtId="43" fontId="29" fillId="0" borderId="0" xfId="1" applyFont="1" applyFill="1" applyAlignment="1" applyProtection="1">
      <alignment horizontal="left" vertical="center" wrapText="1"/>
      <protection locked="0"/>
    </xf>
    <xf numFmtId="43" fontId="15" fillId="0" borderId="0" xfId="0" applyNumberFormat="1" applyFont="1" applyAlignment="1">
      <alignment horizontal="left"/>
    </xf>
    <xf numFmtId="0" fontId="0" fillId="0" borderId="0" xfId="0" applyAlignment="1">
      <alignment horizontal="left"/>
    </xf>
    <xf numFmtId="10" fontId="0" fillId="0" borderId="0" xfId="3" applyNumberFormat="1" applyFont="1" applyAlignment="1">
      <alignment horizontal="center"/>
    </xf>
    <xf numFmtId="43" fontId="7" fillId="0" borderId="32" xfId="1" applyFont="1" applyFill="1" applyBorder="1" applyAlignment="1" applyProtection="1">
      <alignment horizontal="center" vertical="center"/>
    </xf>
    <xf numFmtId="43" fontId="10" fillId="0" borderId="0" xfId="1" applyFont="1" applyFill="1" applyAlignment="1" applyProtection="1">
      <alignment horizontal="center" vertical="center" wrapText="1"/>
    </xf>
    <xf numFmtId="10" fontId="10" fillId="0" borderId="0" xfId="3" applyNumberFormat="1" applyFont="1" applyFill="1" applyAlignment="1" applyProtection="1">
      <alignment horizontal="center" vertical="center" wrapText="1"/>
    </xf>
    <xf numFmtId="43" fontId="10" fillId="0" borderId="0" xfId="1" applyFont="1" applyFill="1" applyAlignment="1" applyProtection="1">
      <alignment horizontal="left" vertical="center" wrapText="1"/>
    </xf>
    <xf numFmtId="43" fontId="10" fillId="0" borderId="0" xfId="3" applyNumberFormat="1" applyFont="1" applyFill="1" applyAlignment="1" applyProtection="1">
      <alignment horizontal="center" vertical="center" wrapText="1"/>
    </xf>
    <xf numFmtId="10" fontId="15" fillId="0" borderId="0" xfId="0" applyNumberFormat="1" applyFont="1" applyAlignment="1">
      <alignment horizontal="center"/>
    </xf>
    <xf numFmtId="10" fontId="3" fillId="0" borderId="0" xfId="3" applyNumberFormat="1" applyFont="1" applyAlignment="1" applyProtection="1">
      <alignment horizontal="center"/>
      <protection locked="0"/>
    </xf>
    <xf numFmtId="43" fontId="0" fillId="0" borderId="0" xfId="1" applyFont="1" applyBorder="1"/>
    <xf numFmtId="43" fontId="0" fillId="0" borderId="0" xfId="1" applyFont="1" applyFill="1" applyBorder="1"/>
    <xf numFmtId="43" fontId="0" fillId="0" borderId="0" xfId="0" applyNumberFormat="1"/>
    <xf numFmtId="0" fontId="2" fillId="7" borderId="0" xfId="0" applyFont="1" applyFill="1" applyAlignment="1">
      <alignment horizontal="center"/>
    </xf>
    <xf numFmtId="0" fontId="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2" fillId="4" borderId="0" xfId="0" applyFont="1" applyFill="1" applyAlignment="1">
      <alignment horizontal="center"/>
    </xf>
    <xf numFmtId="0" fontId="2" fillId="0" borderId="6" xfId="0" applyFont="1" applyBorder="1" applyAlignment="1">
      <alignment horizontal="center" vertical="center" wrapText="1"/>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12" fillId="0" borderId="4" xfId="0" applyFont="1" applyBorder="1" applyProtection="1">
      <protection locked="0"/>
    </xf>
    <xf numFmtId="14" fontId="2" fillId="4" borderId="4" xfId="0" applyNumberFormat="1" applyFont="1" applyFill="1" applyBorder="1" applyProtection="1">
      <protection locked="0"/>
    </xf>
    <xf numFmtId="0" fontId="2" fillId="0" borderId="34" xfId="0" applyFont="1" applyBorder="1" applyAlignment="1">
      <alignment horizontal="center" vertical="center" wrapText="1"/>
    </xf>
    <xf numFmtId="43" fontId="0" fillId="0" borderId="34" xfId="1" applyFont="1" applyBorder="1" applyProtection="1"/>
    <xf numFmtId="44" fontId="0" fillId="0" borderId="4" xfId="2" applyFont="1" applyBorder="1" applyProtection="1"/>
    <xf numFmtId="44" fontId="11" fillId="4" borderId="4" xfId="0" applyNumberFormat="1" applyFont="1" applyFill="1" applyBorder="1"/>
    <xf numFmtId="10" fontId="0" fillId="0" borderId="0" xfId="0" applyNumberFormat="1"/>
    <xf numFmtId="10" fontId="0" fillId="0" borderId="0" xfId="3" applyNumberFormat="1" applyFont="1" applyBorder="1" applyAlignment="1">
      <alignment horizontal="center"/>
    </xf>
    <xf numFmtId="10" fontId="0" fillId="0" borderId="0" xfId="3" applyNumberFormat="1" applyFont="1"/>
    <xf numFmtId="43" fontId="0" fillId="0" borderId="0" xfId="1" applyFont="1" applyFill="1" applyProtection="1">
      <protection locked="0"/>
    </xf>
    <xf numFmtId="43" fontId="7" fillId="0" borderId="6" xfId="1" quotePrefix="1" applyFont="1" applyFill="1" applyBorder="1" applyAlignment="1" applyProtection="1">
      <alignment horizontal="center" vertical="center"/>
    </xf>
    <xf numFmtId="44" fontId="7" fillId="0" borderId="6" xfId="2" applyFont="1" applyFill="1" applyBorder="1" applyAlignment="1" applyProtection="1">
      <alignment horizontal="center" vertical="center"/>
      <protection locked="0"/>
    </xf>
    <xf numFmtId="43" fontId="7" fillId="0" borderId="25" xfId="1" quotePrefix="1" applyFont="1" applyFill="1" applyBorder="1" applyAlignment="1" applyProtection="1">
      <alignment horizontal="center" vertical="center"/>
    </xf>
    <xf numFmtId="44" fontId="7" fillId="0" borderId="25" xfId="2" applyFont="1" applyFill="1" applyBorder="1" applyAlignment="1" applyProtection="1">
      <alignment horizontal="center" vertical="center"/>
      <protection locked="0"/>
    </xf>
    <xf numFmtId="43" fontId="7" fillId="0" borderId="34" xfId="1" applyFont="1" applyFill="1" applyBorder="1" applyAlignment="1" applyProtection="1">
      <alignment horizontal="center" vertical="center"/>
    </xf>
    <xf numFmtId="43" fontId="7" fillId="0" borderId="28" xfId="1" quotePrefix="1" applyFont="1" applyFill="1" applyBorder="1" applyAlignment="1" applyProtection="1">
      <alignment horizontal="center" vertical="center"/>
    </xf>
    <xf numFmtId="44" fontId="7" fillId="0" borderId="28" xfId="2" applyFont="1" applyFill="1" applyBorder="1" applyAlignment="1" applyProtection="1">
      <alignment horizontal="center" vertical="center"/>
      <protection locked="0"/>
    </xf>
    <xf numFmtId="0" fontId="13" fillId="6" borderId="27" xfId="0" applyFont="1" applyFill="1" applyBorder="1" applyProtection="1">
      <protection locked="0"/>
    </xf>
    <xf numFmtId="43" fontId="13" fillId="6" borderId="28" xfId="0" applyNumberFormat="1" applyFont="1" applyFill="1" applyBorder="1" applyAlignment="1" applyProtection="1">
      <alignment horizontal="center"/>
      <protection locked="0"/>
    </xf>
    <xf numFmtId="43" fontId="13" fillId="6" borderId="32" xfId="0" applyNumberFormat="1" applyFont="1" applyFill="1" applyBorder="1" applyAlignment="1" applyProtection="1">
      <alignment horizontal="center"/>
      <protection locked="0"/>
    </xf>
    <xf numFmtId="43" fontId="7" fillId="11" borderId="31" xfId="1" applyFont="1" applyFill="1" applyBorder="1" applyAlignment="1" applyProtection="1">
      <alignment horizontal="center" vertical="center"/>
    </xf>
    <xf numFmtId="43" fontId="7" fillId="11" borderId="34" xfId="1" applyFont="1" applyFill="1" applyBorder="1" applyAlignment="1" applyProtection="1">
      <alignment horizontal="center" vertical="center"/>
    </xf>
    <xf numFmtId="10" fontId="0" fillId="13" borderId="0" xfId="0" applyNumberFormat="1" applyFill="1"/>
    <xf numFmtId="165" fontId="0" fillId="0" borderId="0" xfId="0" applyNumberFormat="1"/>
    <xf numFmtId="0" fontId="2" fillId="0" borderId="0" xfId="0" applyFont="1" applyAlignment="1" applyProtection="1">
      <alignment horizontal="center" vertical="center"/>
      <protection locked="0"/>
    </xf>
    <xf numFmtId="165" fontId="0" fillId="0" borderId="0" xfId="0" applyNumberFormat="1" applyProtection="1">
      <protection locked="0"/>
    </xf>
    <xf numFmtId="43" fontId="6" fillId="0" borderId="6" xfId="1" applyFont="1" applyFill="1" applyBorder="1" applyAlignment="1" applyProtection="1">
      <alignment horizontal="center" vertical="center"/>
    </xf>
    <xf numFmtId="43" fontId="0" fillId="0" borderId="0" xfId="1" applyFont="1"/>
    <xf numFmtId="43" fontId="7" fillId="0" borderId="24" xfId="1" applyFont="1" applyFill="1" applyBorder="1" applyAlignment="1" applyProtection="1">
      <alignment horizontal="center" vertical="center"/>
    </xf>
    <xf numFmtId="43" fontId="7" fillId="0" borderId="26" xfId="1" applyFont="1" applyFill="1" applyBorder="1" applyAlignment="1" applyProtection="1">
      <alignment horizontal="center" vertical="center"/>
    </xf>
    <xf numFmtId="43" fontId="7" fillId="11" borderId="26" xfId="1" applyFont="1" applyFill="1" applyBorder="1" applyAlignment="1" applyProtection="1">
      <alignment horizontal="center" vertical="center"/>
    </xf>
    <xf numFmtId="43" fontId="13" fillId="6" borderId="27" xfId="0" applyNumberFormat="1" applyFont="1" applyFill="1" applyBorder="1" applyAlignment="1" applyProtection="1">
      <alignment horizontal="center"/>
      <protection locked="0"/>
    </xf>
    <xf numFmtId="44" fontId="7" fillId="0" borderId="31" xfId="2" applyFont="1" applyFill="1" applyBorder="1" applyAlignment="1" applyProtection="1">
      <alignment horizontal="center" vertical="center"/>
    </xf>
    <xf numFmtId="44" fontId="7" fillId="0" borderId="34" xfId="2" applyFont="1" applyFill="1" applyBorder="1" applyAlignment="1" applyProtection="1">
      <alignment horizontal="center" vertical="center"/>
    </xf>
    <xf numFmtId="44" fontId="7" fillId="0" borderId="32" xfId="2" applyFont="1" applyFill="1" applyBorder="1" applyAlignment="1" applyProtection="1">
      <alignment horizontal="center" vertical="center"/>
    </xf>
    <xf numFmtId="0" fontId="6" fillId="9" borderId="25" xfId="0" applyFont="1" applyFill="1" applyBorder="1" applyAlignment="1" applyProtection="1">
      <alignment horizontal="center" vertical="center"/>
      <protection locked="0"/>
    </xf>
    <xf numFmtId="0" fontId="6" fillId="9" borderId="6" xfId="0" applyFont="1" applyFill="1" applyBorder="1" applyAlignment="1">
      <alignment horizontal="center" vertical="center"/>
    </xf>
    <xf numFmtId="9" fontId="6" fillId="9" borderId="6" xfId="3" applyFont="1" applyFill="1" applyBorder="1" applyAlignment="1" applyProtection="1">
      <alignment horizontal="center" vertical="center"/>
    </xf>
    <xf numFmtId="0" fontId="6" fillId="9" borderId="23" xfId="0" applyFont="1" applyFill="1" applyBorder="1" applyAlignment="1">
      <alignment horizontal="center" vertical="center"/>
    </xf>
    <xf numFmtId="0" fontId="6" fillId="9" borderId="23" xfId="0" applyFont="1" applyFill="1" applyBorder="1" applyAlignment="1">
      <alignment horizontal="center" vertical="center" wrapText="1"/>
    </xf>
    <xf numFmtId="0" fontId="6" fillId="9" borderId="23" xfId="0" applyFont="1" applyFill="1" applyBorder="1" applyAlignment="1" applyProtection="1">
      <alignment horizontal="center" vertical="center"/>
      <protection locked="0"/>
    </xf>
    <xf numFmtId="16" fontId="17" fillId="10" borderId="25" xfId="0" applyNumberFormat="1" applyFont="1" applyFill="1" applyBorder="1" applyAlignment="1" applyProtection="1">
      <alignment horizontal="center" vertical="center"/>
      <protection locked="0"/>
    </xf>
    <xf numFmtId="16" fontId="17" fillId="10" borderId="6" xfId="0" applyNumberFormat="1" applyFont="1" applyFill="1" applyBorder="1" applyAlignment="1" applyProtection="1">
      <alignment horizontal="center" vertical="center"/>
      <protection locked="0"/>
    </xf>
    <xf numFmtId="44" fontId="2" fillId="0" borderId="0" xfId="2" applyFont="1"/>
    <xf numFmtId="164" fontId="0" fillId="0" borderId="0" xfId="0" applyNumberFormat="1"/>
    <xf numFmtId="9" fontId="0" fillId="0" borderId="0" xfId="3" applyFont="1"/>
    <xf numFmtId="0" fontId="34" fillId="0" borderId="24" xfId="0" applyFont="1" applyBorder="1"/>
    <xf numFmtId="0" fontId="34" fillId="0" borderId="26" xfId="0" applyFont="1" applyBorder="1"/>
    <xf numFmtId="0" fontId="34" fillId="0" borderId="27" xfId="0" applyFont="1" applyBorder="1"/>
    <xf numFmtId="0" fontId="35" fillId="0" borderId="26" xfId="0" applyFont="1" applyBorder="1" applyProtection="1">
      <protection locked="0"/>
    </xf>
    <xf numFmtId="0" fontId="34" fillId="0" borderId="30" xfId="0" applyFont="1" applyBorder="1"/>
    <xf numFmtId="43" fontId="7" fillId="0" borderId="23" xfId="1" applyFont="1" applyFill="1" applyBorder="1" applyAlignment="1" applyProtection="1">
      <alignment horizontal="center" vertical="center"/>
    </xf>
    <xf numFmtId="43" fontId="19" fillId="0" borderId="0" xfId="1" applyFont="1" applyFill="1" applyBorder="1" applyProtection="1">
      <protection locked="0"/>
    </xf>
    <xf numFmtId="10" fontId="0" fillId="0" borderId="0" xfId="3" applyNumberFormat="1" applyFont="1" applyFill="1" applyProtection="1">
      <protection locked="0"/>
    </xf>
    <xf numFmtId="0" fontId="34" fillId="0" borderId="40" xfId="0" applyFont="1" applyBorder="1"/>
    <xf numFmtId="43" fontId="7" fillId="0" borderId="39" xfId="1" applyFont="1" applyFill="1" applyBorder="1" applyAlignment="1" applyProtection="1">
      <alignment horizontal="center" vertical="center"/>
    </xf>
    <xf numFmtId="43" fontId="7" fillId="0" borderId="39" xfId="1" quotePrefix="1" applyFont="1" applyFill="1" applyBorder="1" applyAlignment="1" applyProtection="1">
      <alignment horizontal="center" vertical="center"/>
    </xf>
    <xf numFmtId="44" fontId="7" fillId="0" borderId="39" xfId="2" applyFont="1" applyFill="1" applyBorder="1" applyAlignment="1" applyProtection="1">
      <alignment horizontal="center" vertical="center"/>
      <protection locked="0"/>
    </xf>
    <xf numFmtId="44" fontId="7" fillId="0" borderId="41" xfId="2" applyFont="1" applyFill="1" applyBorder="1" applyAlignment="1" applyProtection="1">
      <alignment horizontal="center" vertical="center"/>
    </xf>
    <xf numFmtId="43" fontId="7" fillId="0" borderId="40" xfId="1" applyFont="1" applyFill="1" applyBorder="1" applyAlignment="1" applyProtection="1">
      <alignment horizontal="center" vertical="center"/>
    </xf>
    <xf numFmtId="43" fontId="7" fillId="0" borderId="31" xfId="1" applyFont="1" applyFill="1" applyBorder="1" applyAlignment="1" applyProtection="1">
      <alignment horizontal="center" vertical="center"/>
    </xf>
    <xf numFmtId="44" fontId="7" fillId="0" borderId="29" xfId="2" applyFont="1" applyFill="1" applyBorder="1" applyAlignment="1" applyProtection="1">
      <alignment horizontal="center" vertical="center"/>
    </xf>
    <xf numFmtId="44" fontId="7" fillId="0" borderId="8" xfId="2" applyFont="1" applyFill="1" applyBorder="1" applyAlignment="1" applyProtection="1">
      <alignment horizontal="center" vertical="center"/>
    </xf>
    <xf numFmtId="43" fontId="13" fillId="6" borderId="42" xfId="0" applyNumberFormat="1" applyFont="1" applyFill="1" applyBorder="1" applyAlignment="1" applyProtection="1">
      <alignment horizontal="center"/>
      <protection locked="0"/>
    </xf>
    <xf numFmtId="43" fontId="7" fillId="11" borderId="24" xfId="1" applyFont="1" applyFill="1" applyBorder="1" applyAlignment="1" applyProtection="1">
      <alignment horizontal="center" vertical="center"/>
    </xf>
    <xf numFmtId="43" fontId="7" fillId="11" borderId="41" xfId="1" applyFont="1" applyFill="1" applyBorder="1" applyAlignment="1" applyProtection="1">
      <alignment horizontal="center" vertical="center"/>
    </xf>
    <xf numFmtId="0" fontId="34" fillId="0" borderId="43" xfId="0" applyFont="1" applyBorder="1"/>
    <xf numFmtId="43" fontId="7" fillId="0" borderId="33" xfId="1" applyFont="1" applyFill="1" applyBorder="1" applyAlignment="1" applyProtection="1">
      <alignment horizontal="center" vertical="center"/>
    </xf>
    <xf numFmtId="43" fontId="7" fillId="0" borderId="33" xfId="1" quotePrefix="1" applyFont="1" applyFill="1" applyBorder="1" applyAlignment="1" applyProtection="1">
      <alignment horizontal="center" vertical="center"/>
    </xf>
    <xf numFmtId="44" fontId="7" fillId="0" borderId="33" xfId="2" applyFont="1" applyFill="1" applyBorder="1" applyAlignment="1" applyProtection="1">
      <alignment horizontal="center" vertical="center"/>
      <protection locked="0"/>
    </xf>
    <xf numFmtId="43" fontId="7" fillId="0" borderId="44" xfId="1" applyFont="1" applyFill="1" applyBorder="1" applyAlignment="1" applyProtection="1">
      <alignment horizontal="center" vertical="center"/>
    </xf>
    <xf numFmtId="165" fontId="7" fillId="0" borderId="39" xfId="1" applyNumberFormat="1" applyFont="1" applyFill="1" applyBorder="1" applyAlignment="1" applyProtection="1">
      <alignment horizontal="center" vertical="center"/>
    </xf>
    <xf numFmtId="43" fontId="3" fillId="0" borderId="0" xfId="1" applyFont="1" applyAlignment="1" applyProtection="1">
      <alignment horizontal="center" vertical="center" wrapText="1"/>
      <protection locked="0"/>
    </xf>
    <xf numFmtId="9" fontId="7" fillId="0" borderId="25" xfId="3" applyFont="1" applyFill="1" applyBorder="1" applyAlignment="1" applyProtection="1">
      <alignment horizontal="center" vertical="center"/>
    </xf>
    <xf numFmtId="9" fontId="7" fillId="0" borderId="33" xfId="3" applyFont="1" applyFill="1" applyBorder="1" applyAlignment="1" applyProtection="1">
      <alignment horizontal="center" vertical="center"/>
    </xf>
    <xf numFmtId="9" fontId="7" fillId="0" borderId="6" xfId="3" applyFont="1" applyFill="1" applyBorder="1" applyAlignment="1" applyProtection="1">
      <alignment horizontal="center" vertical="center"/>
    </xf>
    <xf numFmtId="9" fontId="7" fillId="0" borderId="28" xfId="3" applyFont="1" applyFill="1" applyBorder="1" applyAlignment="1" applyProtection="1">
      <alignment horizontal="center" vertical="center"/>
    </xf>
    <xf numFmtId="9" fontId="7" fillId="0" borderId="39" xfId="3" applyFont="1" applyFill="1" applyBorder="1" applyAlignment="1" applyProtection="1">
      <alignment horizontal="center" vertical="center"/>
    </xf>
    <xf numFmtId="0" fontId="32" fillId="0" borderId="0" xfId="0" applyFont="1" applyAlignment="1" applyProtection="1">
      <alignment vertical="center"/>
      <protection locked="0"/>
    </xf>
    <xf numFmtId="0" fontId="33" fillId="0" borderId="0" xfId="0" applyFont="1" applyAlignment="1" applyProtection="1">
      <alignment vertical="center"/>
      <protection locked="0"/>
    </xf>
    <xf numFmtId="169" fontId="0" fillId="0" borderId="0" xfId="3" applyNumberFormat="1" applyFont="1" applyProtection="1">
      <protection locked="0"/>
    </xf>
    <xf numFmtId="44" fontId="6" fillId="0" borderId="6" xfId="2" applyFont="1" applyFill="1" applyBorder="1" applyAlignment="1" applyProtection="1">
      <alignment horizontal="center" vertical="center"/>
      <protection locked="0"/>
    </xf>
    <xf numFmtId="44" fontId="6" fillId="0" borderId="39" xfId="2" applyFont="1" applyFill="1" applyBorder="1" applyAlignment="1" applyProtection="1">
      <alignment horizontal="center" vertical="center"/>
      <protection locked="0"/>
    </xf>
    <xf numFmtId="43" fontId="7" fillId="16" borderId="39" xfId="1" quotePrefix="1" applyFont="1" applyFill="1" applyBorder="1" applyAlignment="1" applyProtection="1">
      <alignment horizontal="center" vertical="center"/>
    </xf>
    <xf numFmtId="43" fontId="7" fillId="16" borderId="25" xfId="1" quotePrefix="1" applyFont="1" applyFill="1" applyBorder="1" applyAlignment="1" applyProtection="1">
      <alignment horizontal="center" vertical="center"/>
    </xf>
    <xf numFmtId="43" fontId="7" fillId="16" borderId="25" xfId="1" applyFont="1" applyFill="1" applyBorder="1" applyAlignment="1" applyProtection="1">
      <alignment horizontal="center" vertical="center"/>
    </xf>
    <xf numFmtId="165" fontId="7" fillId="16" borderId="39" xfId="1" applyNumberFormat="1" applyFont="1" applyFill="1" applyBorder="1" applyAlignment="1" applyProtection="1">
      <alignment horizontal="center" vertical="center"/>
    </xf>
    <xf numFmtId="43" fontId="7" fillId="11" borderId="43" xfId="1" applyFont="1" applyFill="1" applyBorder="1" applyAlignment="1" applyProtection="1">
      <alignment horizontal="center" vertical="center"/>
    </xf>
    <xf numFmtId="170" fontId="0" fillId="0" borderId="0" xfId="1" applyNumberFormat="1" applyFont="1" applyProtection="1">
      <protection locked="0"/>
    </xf>
    <xf numFmtId="168" fontId="0" fillId="0" borderId="0" xfId="0" applyNumberFormat="1" applyProtection="1">
      <protection locked="0"/>
    </xf>
    <xf numFmtId="44" fontId="0" fillId="0" borderId="0" xfId="2" applyFont="1" applyProtection="1">
      <protection locked="0"/>
    </xf>
    <xf numFmtId="0" fontId="0" fillId="0" borderId="6" xfId="0" applyBorder="1"/>
    <xf numFmtId="43" fontId="0" fillId="0" borderId="6" xfId="1" applyFont="1" applyBorder="1"/>
    <xf numFmtId="43" fontId="0" fillId="17" borderId="6" xfId="0" applyNumberFormat="1" applyFill="1" applyBorder="1"/>
    <xf numFmtId="43" fontId="0" fillId="17" borderId="6" xfId="1" applyFont="1" applyFill="1" applyBorder="1"/>
    <xf numFmtId="43" fontId="0" fillId="18" borderId="6" xfId="1" applyFont="1" applyFill="1" applyBorder="1"/>
    <xf numFmtId="44" fontId="0" fillId="0" borderId="0" xfId="2" applyFont="1"/>
    <xf numFmtId="168" fontId="0" fillId="18" borderId="6" xfId="3" applyNumberFormat="1" applyFont="1" applyFill="1" applyBorder="1"/>
    <xf numFmtId="10" fontId="0" fillId="0" borderId="6" xfId="3" applyNumberFormat="1" applyFont="1" applyBorder="1"/>
    <xf numFmtId="43" fontId="0" fillId="0" borderId="6" xfId="0" applyNumberFormat="1" applyBorder="1"/>
    <xf numFmtId="0" fontId="0" fillId="0" borderId="0" xfId="0" applyAlignment="1">
      <alignment horizontal="center"/>
    </xf>
    <xf numFmtId="9" fontId="0" fillId="0" borderId="6" xfId="3" applyFont="1" applyBorder="1"/>
    <xf numFmtId="0" fontId="2" fillId="13" borderId="0" xfId="0" applyFont="1" applyFill="1" applyAlignment="1">
      <alignment horizontal="center" vertical="center"/>
    </xf>
    <xf numFmtId="10" fontId="2" fillId="19" borderId="0" xfId="0" applyNumberFormat="1" applyFont="1" applyFill="1"/>
    <xf numFmtId="0" fontId="2" fillId="0" borderId="6" xfId="0" applyFont="1" applyBorder="1"/>
    <xf numFmtId="43" fontId="2" fillId="0" borderId="6" xfId="0" applyNumberFormat="1" applyFont="1" applyBorder="1"/>
    <xf numFmtId="0" fontId="42" fillId="0" borderId="6" xfId="0" applyFont="1" applyBorder="1"/>
    <xf numFmtId="165" fontId="41" fillId="0" borderId="6" xfId="0" applyNumberFormat="1" applyFont="1" applyBorder="1"/>
    <xf numFmtId="164" fontId="0" fillId="0" borderId="0" xfId="0" applyNumberFormat="1" applyProtection="1">
      <protection locked="0"/>
    </xf>
    <xf numFmtId="43" fontId="0" fillId="20" borderId="6" xfId="1" applyFont="1" applyFill="1" applyBorder="1"/>
    <xf numFmtId="43" fontId="2" fillId="17" borderId="6" xfId="1" applyFont="1" applyFill="1" applyBorder="1"/>
    <xf numFmtId="43" fontId="2" fillId="20" borderId="6" xfId="1" applyFont="1" applyFill="1" applyBorder="1"/>
    <xf numFmtId="43" fontId="0" fillId="0" borderId="6" xfId="1" applyFont="1" applyFill="1" applyBorder="1"/>
    <xf numFmtId="9" fontId="0" fillId="0" borderId="6" xfId="3" applyFont="1" applyBorder="1" applyAlignment="1">
      <alignment horizontal="center"/>
    </xf>
    <xf numFmtId="0" fontId="38" fillId="0" borderId="0" xfId="0" applyFont="1"/>
    <xf numFmtId="165" fontId="38" fillId="0" borderId="0" xfId="0" applyNumberFormat="1" applyFont="1"/>
    <xf numFmtId="165" fontId="40" fillId="0" borderId="0" xfId="0" applyNumberFormat="1" applyFont="1"/>
    <xf numFmtId="0" fontId="45" fillId="0" borderId="0" xfId="0" applyFont="1" applyAlignment="1" applyProtection="1">
      <alignment horizontal="left" vertical="center" wrapText="1"/>
      <protection locked="0"/>
    </xf>
    <xf numFmtId="43" fontId="45" fillId="0" borderId="0" xfId="1" applyFont="1" applyFill="1" applyAlignment="1" applyProtection="1">
      <alignment horizontal="center" vertical="center" wrapText="1"/>
      <protection locked="0"/>
    </xf>
    <xf numFmtId="43" fontId="44" fillId="0" borderId="0" xfId="1" applyFont="1" applyFill="1" applyAlignment="1" applyProtection="1">
      <alignment horizontal="center" vertical="center" wrapText="1"/>
      <protection locked="0"/>
    </xf>
    <xf numFmtId="43" fontId="45" fillId="0" borderId="0" xfId="1" applyFont="1" applyFill="1" applyAlignment="1" applyProtection="1">
      <alignment horizontal="center" vertical="center" wrapText="1"/>
    </xf>
    <xf numFmtId="9" fontId="44" fillId="0" borderId="0" xfId="3" applyFont="1" applyFill="1" applyAlignment="1" applyProtection="1">
      <alignment horizontal="center" vertical="center" wrapText="1"/>
      <protection locked="0"/>
    </xf>
    <xf numFmtId="10" fontId="44" fillId="14" borderId="0" xfId="3" applyNumberFormat="1" applyFont="1" applyFill="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14" fontId="23" fillId="0" borderId="0" xfId="0" applyNumberFormat="1" applyFont="1" applyAlignment="1" applyProtection="1">
      <alignment horizontal="center"/>
      <protection locked="0"/>
    </xf>
    <xf numFmtId="0" fontId="45" fillId="0" borderId="0" xfId="0" applyFont="1" applyAlignment="1" applyProtection="1">
      <alignment horizontal="left" vertical="center"/>
      <protection locked="0"/>
    </xf>
    <xf numFmtId="0" fontId="45" fillId="0" borderId="0" xfId="0" applyFont="1" applyAlignment="1" applyProtection="1">
      <alignment horizontal="left"/>
      <protection locked="0"/>
    </xf>
    <xf numFmtId="0" fontId="45" fillId="0" borderId="0" xfId="0" applyFont="1" applyAlignment="1" applyProtection="1">
      <alignment horizontal="center" vertical="center"/>
      <protection locked="0"/>
    </xf>
    <xf numFmtId="0" fontId="23" fillId="0" borderId="0" xfId="0" applyFont="1" applyAlignment="1" applyProtection="1">
      <alignment horizontal="left"/>
      <protection locked="0"/>
    </xf>
    <xf numFmtId="0" fontId="23" fillId="0" borderId="0" xfId="0" applyFont="1" applyAlignment="1" applyProtection="1">
      <alignment horizontal="center"/>
      <protection locked="0"/>
    </xf>
    <xf numFmtId="43" fontId="45" fillId="0" borderId="0" xfId="1" applyFont="1" applyFill="1" applyAlignment="1" applyProtection="1">
      <alignment horizontal="center"/>
    </xf>
    <xf numFmtId="9" fontId="45" fillId="0" borderId="0" xfId="3" applyFont="1" applyFill="1" applyAlignment="1" applyProtection="1">
      <alignment horizontal="center" vertical="center" wrapText="1"/>
      <protection locked="0"/>
    </xf>
    <xf numFmtId="166" fontId="45" fillId="0" borderId="0" xfId="3" applyNumberFormat="1" applyFont="1" applyFill="1" applyAlignment="1" applyProtection="1">
      <alignment horizontal="center" vertical="center"/>
    </xf>
    <xf numFmtId="43" fontId="45" fillId="0" borderId="0" xfId="1" applyFont="1" applyFill="1" applyAlignment="1" applyProtection="1">
      <alignment horizontal="center" vertical="center"/>
    </xf>
    <xf numFmtId="0" fontId="23" fillId="0" borderId="0" xfId="0" applyFont="1" applyAlignment="1">
      <alignment horizontal="center" vertical="center"/>
    </xf>
    <xf numFmtId="43" fontId="23" fillId="0" borderId="0" xfId="1" applyFont="1" applyFill="1" applyProtection="1">
      <protection locked="0"/>
    </xf>
    <xf numFmtId="10" fontId="23" fillId="0" borderId="0" xfId="3" applyNumberFormat="1" applyFont="1" applyFill="1" applyAlignment="1" applyProtection="1">
      <alignment horizontal="center"/>
      <protection locked="0"/>
    </xf>
    <xf numFmtId="43" fontId="23" fillId="0" borderId="0" xfId="1" applyFont="1" applyFill="1" applyAlignment="1" applyProtection="1">
      <alignment horizontal="center"/>
      <protection locked="0"/>
    </xf>
    <xf numFmtId="43" fontId="23" fillId="0" borderId="0" xfId="1" applyFont="1" applyProtection="1">
      <protection locked="0"/>
    </xf>
    <xf numFmtId="9" fontId="23" fillId="0" borderId="0" xfId="3" applyFont="1" applyProtection="1">
      <protection locked="0"/>
    </xf>
    <xf numFmtId="171" fontId="0" fillId="0" borderId="0" xfId="0" applyNumberFormat="1"/>
    <xf numFmtId="43" fontId="0" fillId="0" borderId="0" xfId="1" applyFont="1" applyFill="1" applyBorder="1" applyProtection="1"/>
    <xf numFmtId="43" fontId="3" fillId="0" borderId="0" xfId="1" applyFont="1" applyFill="1" applyBorder="1" applyAlignment="1" applyProtection="1">
      <alignment horizontal="center"/>
    </xf>
    <xf numFmtId="44" fontId="3" fillId="0" borderId="0" xfId="1" applyNumberFormat="1" applyFont="1" applyFill="1" applyBorder="1" applyAlignment="1" applyProtection="1">
      <alignment horizontal="center"/>
    </xf>
    <xf numFmtId="10" fontId="3" fillId="0" borderId="0" xfId="3" applyNumberFormat="1" applyFont="1" applyFill="1" applyBorder="1" applyAlignment="1" applyProtection="1">
      <alignment horizontal="center"/>
    </xf>
    <xf numFmtId="43" fontId="0" fillId="0" borderId="0" xfId="1" applyFont="1" applyFill="1" applyBorder="1" applyAlignment="1" applyProtection="1">
      <alignment horizontal="center" vertical="center" wrapText="1"/>
      <protection locked="0"/>
    </xf>
    <xf numFmtId="43" fontId="0" fillId="0" borderId="0" xfId="1" applyFont="1" applyFill="1" applyBorder="1" applyAlignment="1" applyProtection="1">
      <alignment horizontal="center" vertical="center" wrapText="1"/>
    </xf>
    <xf numFmtId="10" fontId="0" fillId="0" borderId="0" xfId="3" applyNumberFormat="1" applyFont="1" applyFill="1" applyBorder="1" applyAlignment="1" applyProtection="1">
      <alignment horizontal="center" vertical="center" wrapText="1"/>
    </xf>
    <xf numFmtId="43" fontId="3" fillId="0" borderId="0" xfId="1" applyFont="1" applyFill="1" applyBorder="1" applyAlignment="1" applyProtection="1">
      <alignment horizontal="center" vertical="center" wrapText="1"/>
    </xf>
    <xf numFmtId="44" fontId="3" fillId="0" borderId="0" xfId="1" applyNumberFormat="1" applyFont="1" applyFill="1" applyBorder="1" applyAlignment="1" applyProtection="1">
      <alignment horizontal="center" vertical="center" wrapText="1"/>
    </xf>
    <xf numFmtId="10" fontId="3" fillId="0" borderId="0" xfId="3" applyNumberFormat="1" applyFont="1" applyFill="1" applyBorder="1" applyAlignment="1" applyProtection="1">
      <alignment horizontal="center" vertical="center" wrapText="1"/>
    </xf>
    <xf numFmtId="44" fontId="46" fillId="0" borderId="0" xfId="1" applyNumberFormat="1" applyFont="1" applyFill="1" applyBorder="1" applyAlignment="1" applyProtection="1">
      <alignment horizontal="center"/>
    </xf>
    <xf numFmtId="43" fontId="12" fillId="21" borderId="6" xfId="1" applyFont="1" applyFill="1" applyBorder="1"/>
    <xf numFmtId="14" fontId="29" fillId="0" borderId="0" xfId="0" applyNumberFormat="1" applyFont="1"/>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8" fillId="15" borderId="0" xfId="0" applyFont="1" applyFill="1"/>
    <xf numFmtId="10" fontId="0" fillId="0" borderId="0" xfId="3" applyNumberFormat="1" applyFont="1" applyBorder="1"/>
    <xf numFmtId="168" fontId="0" fillId="0" borderId="0" xfId="3" applyNumberFormat="1" applyFont="1" applyBorder="1" applyProtection="1">
      <protection locked="0"/>
    </xf>
    <xf numFmtId="14" fontId="12" fillId="0" borderId="0" xfId="0" applyNumberFormat="1" applyFont="1" applyAlignment="1" applyProtection="1">
      <alignment horizontal="center"/>
      <protection locked="0"/>
    </xf>
    <xf numFmtId="0" fontId="12" fillId="0" borderId="0" xfId="0" applyFont="1" applyProtection="1">
      <protection locked="0"/>
    </xf>
    <xf numFmtId="0" fontId="46" fillId="0" borderId="0" xfId="0" applyFont="1" applyAlignment="1" applyProtection="1">
      <alignment horizontal="left" vertical="center"/>
      <protection locked="0"/>
    </xf>
    <xf numFmtId="0" fontId="46" fillId="0" borderId="0" xfId="0" applyFont="1" applyAlignment="1" applyProtection="1">
      <alignment horizontal="left"/>
      <protection locked="0"/>
    </xf>
    <xf numFmtId="0" fontId="12" fillId="0" borderId="0" xfId="0" applyFont="1" applyAlignment="1" applyProtection="1">
      <alignment horizontal="left"/>
      <protection locked="0"/>
    </xf>
    <xf numFmtId="0" fontId="46" fillId="0" borderId="0" xfId="0" applyFont="1" applyAlignment="1" applyProtection="1">
      <alignment horizontal="center" vertical="center"/>
      <protection locked="0"/>
    </xf>
    <xf numFmtId="43" fontId="12" fillId="0" borderId="0" xfId="1" applyFont="1" applyProtection="1">
      <protection locked="0"/>
    </xf>
    <xf numFmtId="43" fontId="12" fillId="0" borderId="0" xfId="1" applyFont="1" applyFill="1" applyProtection="1">
      <protection locked="0"/>
    </xf>
    <xf numFmtId="43" fontId="46" fillId="0" borderId="0" xfId="1" applyFont="1" applyFill="1" applyAlignment="1" applyProtection="1">
      <alignment horizontal="center"/>
    </xf>
    <xf numFmtId="9" fontId="12" fillId="0" borderId="0" xfId="3" applyFont="1" applyProtection="1">
      <protection locked="0"/>
    </xf>
    <xf numFmtId="10" fontId="12" fillId="0" borderId="0" xfId="3" applyNumberFormat="1" applyFont="1" applyFill="1" applyAlignment="1" applyProtection="1">
      <alignment horizontal="center"/>
      <protection locked="0"/>
    </xf>
    <xf numFmtId="43" fontId="0" fillId="0" borderId="0" xfId="1" applyFont="1" applyBorder="1" applyAlignment="1">
      <alignment horizontal="center" vertical="center" wrapText="1"/>
    </xf>
    <xf numFmtId="43" fontId="0" fillId="0" borderId="0" xfId="1" applyFont="1" applyBorder="1" applyProtection="1">
      <protection locked="0"/>
    </xf>
    <xf numFmtId="9" fontId="0" fillId="0" borderId="0" xfId="3" applyFont="1" applyBorder="1"/>
    <xf numFmtId="9" fontId="0" fillId="0" borderId="0" xfId="3" applyFont="1" applyBorder="1" applyAlignment="1">
      <alignment horizontal="center" vertical="center" wrapText="1"/>
    </xf>
    <xf numFmtId="9" fontId="0" fillId="0" borderId="0" xfId="3" applyFont="1" applyBorder="1" applyProtection="1">
      <protection locked="0"/>
    </xf>
    <xf numFmtId="14" fontId="0" fillId="10" borderId="0" xfId="1" applyNumberFormat="1" applyFont="1" applyFill="1" applyBorder="1" applyAlignment="1">
      <alignment horizontal="center" vertical="center"/>
    </xf>
    <xf numFmtId="14" fontId="0" fillId="10" borderId="0" xfId="0" applyNumberFormat="1" applyFill="1" applyAlignment="1">
      <alignment horizontal="center" vertical="center"/>
    </xf>
    <xf numFmtId="43" fontId="0" fillId="10" borderId="0" xfId="1" applyFont="1" applyFill="1" applyBorder="1"/>
    <xf numFmtId="0" fontId="2" fillId="11" borderId="0" xfId="0" applyFont="1" applyFill="1" applyAlignment="1">
      <alignment horizontal="center" vertical="center" wrapText="1"/>
    </xf>
    <xf numFmtId="14" fontId="0" fillId="11" borderId="0" xfId="0" applyNumberFormat="1" applyFill="1" applyAlignment="1">
      <alignment horizontal="center" vertical="center"/>
    </xf>
    <xf numFmtId="14" fontId="0" fillId="11" borderId="0" xfId="1" applyNumberFormat="1" applyFont="1" applyFill="1" applyBorder="1" applyAlignment="1">
      <alignment horizontal="center" vertical="center"/>
    </xf>
    <xf numFmtId="43" fontId="1" fillId="11" borderId="0" xfId="1" applyFont="1" applyFill="1" applyBorder="1"/>
    <xf numFmtId="43" fontId="2" fillId="11" borderId="0" xfId="1" applyFont="1" applyFill="1" applyBorder="1"/>
    <xf numFmtId="14" fontId="0" fillId="22" borderId="0" xfId="0" applyNumberFormat="1" applyFill="1" applyAlignment="1">
      <alignment horizontal="center" vertical="center"/>
    </xf>
    <xf numFmtId="14" fontId="0" fillId="22" borderId="0" xfId="1" applyNumberFormat="1" applyFont="1" applyFill="1" applyBorder="1" applyAlignment="1">
      <alignment horizontal="center" vertical="center"/>
    </xf>
    <xf numFmtId="43" fontId="0" fillId="22" borderId="0" xfId="1" applyFont="1" applyFill="1" applyBorder="1"/>
    <xf numFmtId="43" fontId="2" fillId="22" borderId="0" xfId="1" applyFont="1" applyFill="1" applyBorder="1"/>
    <xf numFmtId="14" fontId="0" fillId="23" borderId="0" xfId="1" applyNumberFormat="1" applyFont="1" applyFill="1" applyBorder="1" applyAlignment="1">
      <alignment horizontal="center" vertical="center"/>
    </xf>
    <xf numFmtId="14" fontId="0" fillId="23" borderId="0" xfId="0" applyNumberFormat="1" applyFill="1" applyAlignment="1">
      <alignment horizontal="center" vertical="center"/>
    </xf>
    <xf numFmtId="43" fontId="0" fillId="23" borderId="0" xfId="1" applyFont="1" applyFill="1" applyBorder="1"/>
    <xf numFmtId="43" fontId="2" fillId="23" borderId="0" xfId="1" applyFont="1" applyFill="1" applyBorder="1"/>
    <xf numFmtId="0" fontId="28" fillId="0" borderId="0" xfId="0" applyFont="1"/>
    <xf numFmtId="0" fontId="37" fillId="0" borderId="0" xfId="0" applyFont="1"/>
    <xf numFmtId="0" fontId="30" fillId="24" borderId="0" xfId="0" applyFont="1" applyFill="1"/>
    <xf numFmtId="43" fontId="2" fillId="24" borderId="0" xfId="1" applyFont="1" applyFill="1" applyBorder="1"/>
    <xf numFmtId="9" fontId="0" fillId="0" borderId="0" xfId="3" applyFont="1" applyFill="1" applyBorder="1"/>
    <xf numFmtId="43" fontId="0" fillId="0" borderId="6" xfId="1" applyFont="1" applyBorder="1" applyAlignment="1" applyProtection="1">
      <alignment horizontal="center"/>
    </xf>
    <xf numFmtId="14" fontId="28" fillId="0" borderId="0" xfId="0" applyNumberFormat="1" applyFont="1" applyAlignment="1">
      <alignment horizontal="center" vertical="center"/>
    </xf>
    <xf numFmtId="0" fontId="6" fillId="9" borderId="6" xfId="0" applyFont="1" applyFill="1" applyBorder="1" applyAlignment="1" applyProtection="1">
      <alignment horizontal="center" vertical="center" wrapText="1"/>
      <protection locked="0"/>
    </xf>
    <xf numFmtId="9" fontId="6" fillId="9" borderId="6" xfId="0" applyNumberFormat="1" applyFont="1" applyFill="1" applyBorder="1" applyAlignment="1" applyProtection="1">
      <alignment horizontal="center" vertical="center" wrapText="1"/>
      <protection locked="0"/>
    </xf>
    <xf numFmtId="168" fontId="0" fillId="0" borderId="6" xfId="3" applyNumberFormat="1" applyFont="1" applyBorder="1"/>
    <xf numFmtId="168" fontId="12" fillId="21" borderId="6" xfId="3" applyNumberFormat="1" applyFont="1" applyFill="1" applyBorder="1" applyAlignment="1">
      <alignment horizontal="center"/>
    </xf>
    <xf numFmtId="10" fontId="2" fillId="24" borderId="0" xfId="3" applyNumberFormat="1" applyFont="1" applyFill="1" applyBorder="1"/>
    <xf numFmtId="10" fontId="2" fillId="24" borderId="0" xfId="3" applyNumberFormat="1" applyFont="1" applyFill="1" applyBorder="1" applyAlignment="1">
      <alignment horizontal="center"/>
    </xf>
    <xf numFmtId="0" fontId="2" fillId="22" borderId="0" xfId="0" applyFont="1" applyFill="1" applyAlignment="1">
      <alignment horizontal="center" vertical="center" wrapText="1"/>
    </xf>
    <xf numFmtId="0" fontId="2" fillId="10" borderId="0" xfId="0" applyFont="1" applyFill="1" applyAlignment="1">
      <alignment horizontal="center" vertical="center" wrapText="1"/>
    </xf>
    <xf numFmtId="0" fontId="2" fillId="23" borderId="0" xfId="0" applyFont="1" applyFill="1" applyAlignment="1">
      <alignment horizontal="center" vertical="center" wrapText="1"/>
    </xf>
    <xf numFmtId="14" fontId="2" fillId="10" borderId="0" xfId="0" applyNumberFormat="1" applyFont="1" applyFill="1" applyAlignment="1">
      <alignment horizontal="center" vertical="center" wrapText="1"/>
    </xf>
    <xf numFmtId="0" fontId="28" fillId="25" borderId="0" xfId="0" applyFont="1" applyFill="1"/>
    <xf numFmtId="0" fontId="28" fillId="20" borderId="0" xfId="0" applyFont="1" applyFill="1"/>
    <xf numFmtId="10" fontId="0" fillId="0" borderId="0" xfId="3" applyNumberFormat="1" applyFont="1" applyFill="1"/>
    <xf numFmtId="43" fontId="0" fillId="7" borderId="6" xfId="1" applyFont="1" applyFill="1" applyBorder="1"/>
    <xf numFmtId="0" fontId="0" fillId="7" borderId="6" xfId="0" applyFill="1" applyBorder="1"/>
    <xf numFmtId="43" fontId="0" fillId="7" borderId="6" xfId="0" applyNumberFormat="1" applyFill="1" applyBorder="1"/>
    <xf numFmtId="10" fontId="0" fillId="0" borderId="6" xfId="3" applyNumberFormat="1" applyFont="1" applyFill="1" applyBorder="1"/>
    <xf numFmtId="168" fontId="0" fillId="0" borderId="6" xfId="3" applyNumberFormat="1" applyFont="1" applyFill="1" applyBorder="1"/>
    <xf numFmtId="9" fontId="0" fillId="0" borderId="6" xfId="3" applyFont="1" applyFill="1" applyBorder="1"/>
    <xf numFmtId="43" fontId="2" fillId="0" borderId="6" xfId="1" applyFont="1" applyFill="1" applyBorder="1"/>
    <xf numFmtId="43" fontId="15" fillId="0" borderId="0" xfId="0" applyNumberFormat="1" applyFont="1" applyAlignment="1">
      <alignment horizontal="center"/>
    </xf>
    <xf numFmtId="172" fontId="0" fillId="0" borderId="0" xfId="2" applyNumberFormat="1" applyFont="1"/>
    <xf numFmtId="0" fontId="47" fillId="0" borderId="0" xfId="0" applyFont="1"/>
    <xf numFmtId="4" fontId="0" fillId="0" borderId="0" xfId="0" applyNumberFormat="1"/>
    <xf numFmtId="0" fontId="2" fillId="0" borderId="0" xfId="0" applyFont="1" applyAlignment="1">
      <alignment horizontal="center" vertical="center" wrapText="1"/>
    </xf>
    <xf numFmtId="10" fontId="0" fillId="0" borderId="0" xfId="3" applyNumberFormat="1" applyFont="1" applyBorder="1" applyProtection="1">
      <protection locked="0"/>
    </xf>
    <xf numFmtId="43" fontId="0" fillId="0" borderId="0" xfId="1" applyFont="1" applyFill="1"/>
    <xf numFmtId="0" fontId="43" fillId="0" borderId="0" xfId="0" applyFont="1" applyAlignment="1" applyProtection="1">
      <alignment vertical="center"/>
      <protection locked="0"/>
    </xf>
    <xf numFmtId="44" fontId="46" fillId="10" borderId="0" xfId="1" applyNumberFormat="1" applyFont="1" applyFill="1" applyBorder="1" applyAlignment="1" applyProtection="1">
      <alignment horizontal="center"/>
    </xf>
    <xf numFmtId="0" fontId="29" fillId="0" borderId="0" xfId="0" applyFont="1" applyAlignment="1" applyProtection="1">
      <alignment horizontal="center" vertical="center" wrapText="1"/>
      <protection locked="0"/>
    </xf>
    <xf numFmtId="43" fontId="3" fillId="0" borderId="0" xfId="2" applyNumberFormat="1" applyFont="1" applyFill="1" applyAlignment="1" applyProtection="1">
      <alignment horizontal="center"/>
    </xf>
    <xf numFmtId="14" fontId="23" fillId="0" borderId="0" xfId="0" applyNumberFormat="1" applyFont="1" applyAlignment="1" applyProtection="1">
      <alignment horizontal="center" vertical="center" wrapText="1"/>
      <protection locked="0"/>
    </xf>
    <xf numFmtId="0" fontId="44" fillId="0" borderId="0" xfId="0" applyFont="1" applyAlignment="1" applyProtection="1">
      <alignment horizontal="center" vertical="center" wrapText="1"/>
      <protection locked="0"/>
    </xf>
    <xf numFmtId="0" fontId="45" fillId="0" borderId="0" xfId="0" applyFont="1" applyAlignment="1" applyProtection="1">
      <alignment horizontal="center" vertical="center" wrapText="1"/>
      <protection locked="0"/>
    </xf>
    <xf numFmtId="0" fontId="45" fillId="0" borderId="0" xfId="0" applyFont="1" applyAlignment="1" applyProtection="1">
      <alignment vertical="center" wrapText="1"/>
      <protection locked="0"/>
    </xf>
    <xf numFmtId="10" fontId="44" fillId="0" borderId="0" xfId="3" applyNumberFormat="1" applyFont="1" applyFill="1" applyAlignment="1" applyProtection="1">
      <alignment horizontal="center" vertical="center" wrapText="1"/>
      <protection locked="0"/>
    </xf>
    <xf numFmtId="0" fontId="48" fillId="0" borderId="0" xfId="0" applyFont="1" applyProtection="1">
      <protection locked="0"/>
    </xf>
    <xf numFmtId="0" fontId="48" fillId="26" borderId="0" xfId="0" applyFont="1" applyFill="1" applyAlignment="1" applyProtection="1">
      <alignment horizontal="center" wrapText="1"/>
      <protection locked="0"/>
    </xf>
    <xf numFmtId="10" fontId="2" fillId="26" borderId="0" xfId="0" applyNumberFormat="1" applyFont="1" applyFill="1" applyAlignment="1" applyProtection="1">
      <alignment horizontal="center" vertical="center" wrapText="1"/>
      <protection locked="0"/>
    </xf>
    <xf numFmtId="173" fontId="0" fillId="0" borderId="0" xfId="0" applyNumberFormat="1"/>
    <xf numFmtId="0" fontId="0" fillId="15" borderId="0" xfId="0" applyFill="1"/>
    <xf numFmtId="0" fontId="0" fillId="13" borderId="0" xfId="0" applyFill="1"/>
    <xf numFmtId="43" fontId="1" fillId="0" borderId="0" xfId="1" applyFont="1" applyFill="1" applyBorder="1"/>
    <xf numFmtId="0" fontId="30" fillId="0" borderId="0" xfId="0" applyFont="1" applyProtection="1">
      <protection locked="0"/>
    </xf>
    <xf numFmtId="0" fontId="28" fillId="0" borderId="0" xfId="0" applyFont="1" applyProtection="1">
      <protection locked="0"/>
    </xf>
    <xf numFmtId="0" fontId="13" fillId="9" borderId="6" xfId="0" applyFont="1" applyFill="1" applyBorder="1" applyProtection="1">
      <protection locked="0"/>
    </xf>
    <xf numFmtId="43" fontId="12" fillId="9" borderId="6" xfId="1" applyFont="1" applyFill="1" applyBorder="1"/>
    <xf numFmtId="10" fontId="12" fillId="9" borderId="6" xfId="3" applyNumberFormat="1" applyFont="1" applyFill="1" applyBorder="1"/>
    <xf numFmtId="9" fontId="12" fillId="9" borderId="6" xfId="3" applyFont="1" applyFill="1" applyBorder="1"/>
    <xf numFmtId="0" fontId="0" fillId="0" borderId="0" xfId="0" applyAlignment="1">
      <alignment horizontal="left" vertical="center"/>
    </xf>
    <xf numFmtId="43" fontId="12" fillId="0" borderId="0" xfId="1" applyFont="1" applyFill="1" applyAlignment="1" applyProtection="1">
      <alignment horizontal="center"/>
      <protection locked="0"/>
    </xf>
    <xf numFmtId="43" fontId="44" fillId="14" borderId="0" xfId="1" applyFont="1" applyFill="1" applyAlignment="1" applyProtection="1">
      <alignment horizontal="center" vertical="center" wrapText="1"/>
      <protection locked="0"/>
    </xf>
    <xf numFmtId="43" fontId="2" fillId="19" borderId="6" xfId="1" applyFont="1" applyFill="1" applyBorder="1"/>
    <xf numFmtId="0" fontId="0" fillId="21" borderId="4" xfId="0" applyFill="1" applyBorder="1" applyProtection="1">
      <protection locked="0"/>
    </xf>
    <xf numFmtId="10" fontId="11" fillId="21" borderId="6" xfId="3" applyNumberFormat="1" applyFont="1" applyFill="1" applyBorder="1"/>
    <xf numFmtId="43" fontId="12" fillId="0" borderId="0" xfId="1" applyFont="1" applyProtection="1"/>
    <xf numFmtId="43" fontId="12" fillId="13" borderId="0" xfId="1" applyFont="1" applyFill="1" applyProtection="1"/>
    <xf numFmtId="43" fontId="12" fillId="13" borderId="0" xfId="1" applyFont="1" applyFill="1" applyAlignment="1" applyProtection="1">
      <alignment horizontal="center"/>
    </xf>
    <xf numFmtId="49" fontId="0" fillId="0" borderId="0" xfId="0" applyNumberFormat="1" applyAlignment="1">
      <alignment horizontal="center"/>
    </xf>
    <xf numFmtId="43" fontId="2" fillId="27" borderId="6" xfId="1" applyFont="1" applyFill="1" applyBorder="1"/>
    <xf numFmtId="0" fontId="44" fillId="0" borderId="0" xfId="0" applyFont="1" applyAlignment="1" applyProtection="1">
      <alignment horizontal="center"/>
      <protection locked="0"/>
    </xf>
    <xf numFmtId="43" fontId="44" fillId="0" borderId="0" xfId="1" applyFont="1" applyProtection="1">
      <protection locked="0"/>
    </xf>
    <xf numFmtId="10" fontId="0" fillId="0" borderId="0" xfId="1" applyNumberFormat="1" applyFont="1" applyFill="1" applyBorder="1" applyProtection="1"/>
    <xf numFmtId="44" fontId="0" fillId="0" borderId="0" xfId="2" applyFont="1" applyFill="1" applyProtection="1">
      <protection locked="0"/>
    </xf>
    <xf numFmtId="168" fontId="0" fillId="0" borderId="0" xfId="3" applyNumberFormat="1" applyFont="1" applyFill="1" applyProtection="1">
      <protection locked="0"/>
    </xf>
    <xf numFmtId="44" fontId="45" fillId="0" borderId="0" xfId="2" applyFont="1" applyFill="1" applyAlignment="1" applyProtection="1">
      <alignment horizontal="center" vertical="center" wrapText="1"/>
    </xf>
    <xf numFmtId="8" fontId="0" fillId="0" borderId="0" xfId="1" applyNumberFormat="1" applyFont="1" applyFill="1" applyProtection="1"/>
    <xf numFmtId="43" fontId="0" fillId="11" borderId="6" xfId="1" applyFont="1" applyFill="1" applyBorder="1"/>
    <xf numFmtId="43" fontId="0" fillId="28" borderId="6" xfId="1" applyFont="1" applyFill="1" applyBorder="1"/>
    <xf numFmtId="168" fontId="0" fillId="11" borderId="6" xfId="3" applyNumberFormat="1" applyFont="1" applyFill="1" applyBorder="1"/>
    <xf numFmtId="168" fontId="0" fillId="28" borderId="6" xfId="3" applyNumberFormat="1" applyFont="1" applyFill="1" applyBorder="1"/>
    <xf numFmtId="43" fontId="0" fillId="28" borderId="6" xfId="0" applyNumberFormat="1" applyFill="1" applyBorder="1"/>
    <xf numFmtId="0" fontId="0" fillId="11" borderId="6" xfId="0" applyFill="1" applyBorder="1"/>
    <xf numFmtId="43" fontId="0" fillId="11" borderId="6" xfId="0" applyNumberFormat="1" applyFill="1" applyBorder="1"/>
    <xf numFmtId="9" fontId="0" fillId="11" borderId="6" xfId="3" applyFont="1" applyFill="1" applyBorder="1" applyAlignment="1">
      <alignment horizontal="center"/>
    </xf>
    <xf numFmtId="10" fontId="0" fillId="11" borderId="6" xfId="3" applyNumberFormat="1" applyFont="1" applyFill="1" applyBorder="1"/>
    <xf numFmtId="9" fontId="0" fillId="28" borderId="6" xfId="3" applyFont="1" applyFill="1" applyBorder="1" applyAlignment="1">
      <alignment horizontal="center"/>
    </xf>
    <xf numFmtId="10" fontId="0" fillId="28" borderId="6" xfId="3" applyNumberFormat="1" applyFont="1" applyFill="1" applyBorder="1"/>
    <xf numFmtId="43" fontId="0" fillId="15" borderId="0" xfId="1" applyFont="1" applyFill="1" applyBorder="1"/>
    <xf numFmtId="43" fontId="0" fillId="28" borderId="0" xfId="1" applyFont="1" applyFill="1" applyBorder="1"/>
    <xf numFmtId="43" fontId="2" fillId="20" borderId="0" xfId="1" applyFont="1" applyFill="1" applyBorder="1"/>
    <xf numFmtId="43" fontId="0" fillId="11" borderId="0" xfId="1" applyFont="1" applyFill="1" applyBorder="1"/>
    <xf numFmtId="10" fontId="12" fillId="0" borderId="0" xfId="3" applyNumberFormat="1" applyFont="1" applyProtection="1">
      <protection locked="0"/>
    </xf>
    <xf numFmtId="168" fontId="50" fillId="0" borderId="0" xfId="0" applyNumberFormat="1" applyFont="1"/>
    <xf numFmtId="0" fontId="50" fillId="0" borderId="0" xfId="0" applyFont="1"/>
    <xf numFmtId="0" fontId="50" fillId="0" borderId="0" xfId="0" applyFont="1" applyAlignment="1">
      <alignment horizontal="center"/>
    </xf>
    <xf numFmtId="10" fontId="51" fillId="0" borderId="0" xfId="0" applyNumberFormat="1" applyFont="1"/>
    <xf numFmtId="10" fontId="50" fillId="0" borderId="0" xfId="0" applyNumberFormat="1" applyFont="1"/>
    <xf numFmtId="10" fontId="51" fillId="0" borderId="0" xfId="3" applyNumberFormat="1" applyFont="1" applyBorder="1" applyAlignment="1">
      <alignment horizontal="center" vertical="center"/>
    </xf>
    <xf numFmtId="168" fontId="51" fillId="0" borderId="0" xfId="3" applyNumberFormat="1" applyFont="1" applyBorder="1" applyAlignment="1">
      <alignment horizontal="center" vertical="center"/>
    </xf>
    <xf numFmtId="0" fontId="51" fillId="22" borderId="15" xfId="0" applyFont="1" applyFill="1" applyBorder="1" applyAlignment="1">
      <alignment horizontal="center" vertical="center" wrapText="1"/>
    </xf>
    <xf numFmtId="0" fontId="51" fillId="22" borderId="22" xfId="0" applyFont="1" applyFill="1" applyBorder="1" applyAlignment="1">
      <alignment horizontal="center" vertical="center" wrapText="1"/>
    </xf>
    <xf numFmtId="0" fontId="51" fillId="5" borderId="0" xfId="0" applyFont="1" applyFill="1" applyAlignment="1">
      <alignment horizontal="center" vertical="center" wrapText="1"/>
    </xf>
    <xf numFmtId="0" fontId="51" fillId="5" borderId="20" xfId="0" applyFont="1" applyFill="1" applyBorder="1" applyAlignment="1">
      <alignment horizontal="center" vertical="center" wrapText="1"/>
    </xf>
    <xf numFmtId="0" fontId="51" fillId="11" borderId="0" xfId="0" applyFont="1" applyFill="1" applyAlignment="1">
      <alignment horizontal="center" vertical="center" wrapText="1"/>
    </xf>
    <xf numFmtId="168" fontId="51" fillId="11" borderId="20" xfId="0" applyNumberFormat="1" applyFont="1" applyFill="1" applyBorder="1" applyAlignment="1">
      <alignment horizontal="center" vertical="center" wrapText="1"/>
    </xf>
    <xf numFmtId="168" fontId="51" fillId="5" borderId="0" xfId="0" applyNumberFormat="1" applyFont="1" applyFill="1" applyAlignment="1">
      <alignment horizontal="center" vertical="center" wrapText="1"/>
    </xf>
    <xf numFmtId="168" fontId="51" fillId="5" borderId="20" xfId="0" applyNumberFormat="1" applyFont="1" applyFill="1" applyBorder="1" applyAlignment="1">
      <alignment horizontal="center" vertical="center" wrapText="1"/>
    </xf>
    <xf numFmtId="168" fontId="51" fillId="11" borderId="0" xfId="0" applyNumberFormat="1" applyFont="1" applyFill="1" applyAlignment="1">
      <alignment horizontal="center" vertical="center" wrapText="1"/>
    </xf>
    <xf numFmtId="0" fontId="51" fillId="0" borderId="0" xfId="0" applyFont="1" applyAlignment="1">
      <alignment horizontal="center" vertical="center" wrapText="1"/>
    </xf>
    <xf numFmtId="0" fontId="50" fillId="0" borderId="0" xfId="0" applyFont="1" applyAlignment="1">
      <alignment horizontal="center" vertical="center"/>
    </xf>
    <xf numFmtId="172" fontId="50" fillId="0" borderId="0" xfId="0" applyNumberFormat="1" applyFont="1" applyAlignment="1">
      <alignment horizontal="center" vertical="center"/>
    </xf>
    <xf numFmtId="168" fontId="50" fillId="0" borderId="20" xfId="3" applyNumberFormat="1" applyFont="1" applyFill="1" applyBorder="1" applyAlignment="1">
      <alignment horizontal="center" vertical="center"/>
    </xf>
    <xf numFmtId="10" fontId="50" fillId="0" borderId="20" xfId="3" applyNumberFormat="1" applyFont="1" applyBorder="1" applyAlignment="1">
      <alignment horizontal="center" vertical="center"/>
    </xf>
    <xf numFmtId="168" fontId="51" fillId="0" borderId="20" xfId="3" applyNumberFormat="1" applyFont="1" applyBorder="1" applyAlignment="1">
      <alignment horizontal="center" vertical="center"/>
    </xf>
    <xf numFmtId="44" fontId="50" fillId="0" borderId="0" xfId="0" applyNumberFormat="1" applyFont="1" applyAlignment="1">
      <alignment horizontal="center" vertical="center"/>
    </xf>
    <xf numFmtId="172" fontId="50" fillId="16" borderId="0" xfId="0" applyNumberFormat="1" applyFont="1" applyFill="1" applyAlignment="1">
      <alignment horizontal="center" vertical="center"/>
    </xf>
    <xf numFmtId="0" fontId="50" fillId="16" borderId="0" xfId="0" applyFont="1" applyFill="1" applyAlignment="1">
      <alignment horizontal="center" vertical="center"/>
    </xf>
    <xf numFmtId="168" fontId="51" fillId="16" borderId="20" xfId="3" applyNumberFormat="1" applyFont="1" applyFill="1" applyBorder="1" applyAlignment="1">
      <alignment horizontal="center" vertical="center"/>
    </xf>
    <xf numFmtId="172" fontId="50" fillId="29" borderId="0" xfId="0" applyNumberFormat="1" applyFont="1" applyFill="1" applyAlignment="1">
      <alignment horizontal="center" vertical="center"/>
    </xf>
    <xf numFmtId="10" fontId="51" fillId="29" borderId="0" xfId="3" applyNumberFormat="1" applyFont="1" applyFill="1" applyBorder="1" applyAlignment="1">
      <alignment horizontal="center" vertical="center"/>
    </xf>
    <xf numFmtId="168" fontId="51" fillId="29" borderId="20" xfId="3" applyNumberFormat="1" applyFont="1" applyFill="1" applyBorder="1" applyAlignment="1">
      <alignment horizontal="center" vertical="center"/>
    </xf>
    <xf numFmtId="168" fontId="51" fillId="16" borderId="0" xfId="3" applyNumberFormat="1" applyFont="1" applyFill="1" applyBorder="1" applyAlignment="1">
      <alignment horizontal="center" vertical="center"/>
    </xf>
    <xf numFmtId="168" fontId="51" fillId="29" borderId="0" xfId="3" applyNumberFormat="1" applyFont="1" applyFill="1" applyBorder="1" applyAlignment="1">
      <alignment horizontal="center" vertical="center"/>
    </xf>
    <xf numFmtId="0" fontId="50" fillId="0" borderId="50" xfId="0" applyFont="1" applyBorder="1" applyAlignment="1">
      <alignment horizontal="center" vertical="center"/>
    </xf>
    <xf numFmtId="0" fontId="50" fillId="0" borderId="51" xfId="0" applyFont="1" applyBorder="1" applyAlignment="1">
      <alignment horizontal="center" vertical="center"/>
    </xf>
    <xf numFmtId="172" fontId="50" fillId="0" borderId="51" xfId="0" applyNumberFormat="1" applyFont="1" applyBorder="1" applyAlignment="1">
      <alignment horizontal="center" vertical="center"/>
    </xf>
    <xf numFmtId="168" fontId="50" fillId="0" borderId="52" xfId="3" applyNumberFormat="1" applyFont="1" applyFill="1" applyBorder="1" applyAlignment="1">
      <alignment horizontal="center" vertical="center"/>
    </xf>
    <xf numFmtId="172" fontId="50" fillId="16" borderId="51" xfId="0" applyNumberFormat="1" applyFont="1" applyFill="1" applyBorder="1" applyAlignment="1">
      <alignment horizontal="center" vertical="center"/>
    </xf>
    <xf numFmtId="0" fontId="50" fillId="16" borderId="51" xfId="0" applyFont="1" applyFill="1" applyBorder="1" applyAlignment="1">
      <alignment horizontal="center" vertical="center"/>
    </xf>
    <xf numFmtId="168" fontId="51" fillId="16" borderId="52" xfId="3" applyNumberFormat="1" applyFont="1" applyFill="1" applyBorder="1" applyAlignment="1">
      <alignment horizontal="center" vertical="center"/>
    </xf>
    <xf numFmtId="172" fontId="50" fillId="29" borderId="51" xfId="0" applyNumberFormat="1" applyFont="1" applyFill="1" applyBorder="1" applyAlignment="1">
      <alignment horizontal="center" vertical="center"/>
    </xf>
    <xf numFmtId="10" fontId="51" fillId="29" borderId="51" xfId="3" applyNumberFormat="1" applyFont="1" applyFill="1" applyBorder="1" applyAlignment="1">
      <alignment horizontal="center" vertical="center"/>
    </xf>
    <xf numFmtId="168" fontId="51" fillId="29" borderId="52" xfId="3" applyNumberFormat="1" applyFont="1" applyFill="1" applyBorder="1" applyAlignment="1">
      <alignment horizontal="center" vertical="center"/>
    </xf>
    <xf numFmtId="168" fontId="51" fillId="16" borderId="51" xfId="3" applyNumberFormat="1" applyFont="1" applyFill="1" applyBorder="1" applyAlignment="1">
      <alignment horizontal="center" vertical="center"/>
    </xf>
    <xf numFmtId="168" fontId="51" fillId="29" borderId="51" xfId="3" applyNumberFormat="1" applyFont="1" applyFill="1" applyBorder="1" applyAlignment="1">
      <alignment horizontal="center" vertical="center"/>
    </xf>
    <xf numFmtId="0" fontId="50" fillId="0" borderId="53" xfId="0" applyFont="1" applyBorder="1" applyAlignment="1">
      <alignment horizontal="center" vertical="center"/>
    </xf>
    <xf numFmtId="0" fontId="50" fillId="0" borderId="54" xfId="0" applyFont="1" applyBorder="1" applyAlignment="1">
      <alignment horizontal="center" vertical="center"/>
    </xf>
    <xf numFmtId="172" fontId="50" fillId="0" borderId="54" xfId="0" applyNumberFormat="1" applyFont="1" applyBorder="1" applyAlignment="1">
      <alignment horizontal="center" vertical="center"/>
    </xf>
    <xf numFmtId="168" fontId="50" fillId="0" borderId="55" xfId="3" applyNumberFormat="1" applyFont="1" applyFill="1" applyBorder="1" applyAlignment="1">
      <alignment horizontal="center" vertical="center"/>
    </xf>
    <xf numFmtId="172" fontId="50" fillId="16" borderId="54" xfId="0" applyNumberFormat="1" applyFont="1" applyFill="1" applyBorder="1" applyAlignment="1">
      <alignment horizontal="center" vertical="center"/>
    </xf>
    <xf numFmtId="0" fontId="50" fillId="16" borderId="54" xfId="0" applyFont="1" applyFill="1" applyBorder="1" applyAlignment="1">
      <alignment horizontal="center" vertical="center"/>
    </xf>
    <xf numFmtId="168" fontId="51" fillId="16" borderId="55" xfId="3" applyNumberFormat="1" applyFont="1" applyFill="1" applyBorder="1" applyAlignment="1">
      <alignment horizontal="center" vertical="center"/>
    </xf>
    <xf numFmtId="172" fontId="50" fillId="29" borderId="54" xfId="0" applyNumberFormat="1" applyFont="1" applyFill="1" applyBorder="1" applyAlignment="1">
      <alignment horizontal="center" vertical="center"/>
    </xf>
    <xf numFmtId="10" fontId="51" fillId="29" borderId="54" xfId="3" applyNumberFormat="1" applyFont="1" applyFill="1" applyBorder="1" applyAlignment="1">
      <alignment horizontal="center" vertical="center"/>
    </xf>
    <xf numFmtId="168" fontId="51" fillId="29" borderId="55" xfId="3" applyNumberFormat="1" applyFont="1" applyFill="1" applyBorder="1" applyAlignment="1">
      <alignment horizontal="center" vertical="center"/>
    </xf>
    <xf numFmtId="168" fontId="51" fillId="16" borderId="54" xfId="3" applyNumberFormat="1" applyFont="1" applyFill="1" applyBorder="1" applyAlignment="1">
      <alignment horizontal="center" vertical="center"/>
    </xf>
    <xf numFmtId="168" fontId="51" fillId="29" borderId="54" xfId="3" applyNumberFormat="1" applyFont="1" applyFill="1" applyBorder="1" applyAlignment="1">
      <alignment horizontal="center" vertical="center"/>
    </xf>
    <xf numFmtId="0" fontId="50" fillId="0" borderId="56" xfId="0" applyFont="1" applyBorder="1" applyAlignment="1">
      <alignment horizontal="center" vertical="center"/>
    </xf>
    <xf numFmtId="0" fontId="50" fillId="0" borderId="57" xfId="0" applyFont="1" applyBorder="1" applyAlignment="1">
      <alignment horizontal="center" vertical="center"/>
    </xf>
    <xf numFmtId="0" fontId="50" fillId="0" borderId="58" xfId="0" applyFont="1" applyBorder="1" applyAlignment="1">
      <alignment horizontal="center" vertical="center"/>
    </xf>
    <xf numFmtId="172" fontId="50" fillId="0" borderId="58" xfId="0" applyNumberFormat="1" applyFont="1" applyBorder="1" applyAlignment="1">
      <alignment horizontal="center" vertical="center"/>
    </xf>
    <xf numFmtId="168" fontId="50" fillId="0" borderId="59" xfId="3" applyNumberFormat="1" applyFont="1" applyFill="1" applyBorder="1" applyAlignment="1">
      <alignment horizontal="center" vertical="center"/>
    </xf>
    <xf numFmtId="172" fontId="50" fillId="16" borderId="58" xfId="0" applyNumberFormat="1" applyFont="1" applyFill="1" applyBorder="1" applyAlignment="1">
      <alignment horizontal="center" vertical="center"/>
    </xf>
    <xf numFmtId="0" fontId="50" fillId="16" borderId="58" xfId="0" applyFont="1" applyFill="1" applyBorder="1" applyAlignment="1">
      <alignment horizontal="center" vertical="center"/>
    </xf>
    <xf numFmtId="168" fontId="51" fillId="16" borderId="59" xfId="3" applyNumberFormat="1" applyFont="1" applyFill="1" applyBorder="1" applyAlignment="1">
      <alignment horizontal="center" vertical="center"/>
    </xf>
    <xf numFmtId="172" fontId="50" fillId="29" borderId="58" xfId="0" applyNumberFormat="1" applyFont="1" applyFill="1" applyBorder="1" applyAlignment="1">
      <alignment horizontal="center" vertical="center"/>
    </xf>
    <xf numFmtId="10" fontId="51" fillId="29" borderId="58" xfId="3" applyNumberFormat="1" applyFont="1" applyFill="1" applyBorder="1" applyAlignment="1">
      <alignment horizontal="center" vertical="center"/>
    </xf>
    <xf numFmtId="168" fontId="51" fillId="29" borderId="59" xfId="3" applyNumberFormat="1" applyFont="1" applyFill="1" applyBorder="1" applyAlignment="1">
      <alignment horizontal="center" vertical="center"/>
    </xf>
    <xf numFmtId="168" fontId="51" fillId="16" borderId="58" xfId="3" applyNumberFormat="1" applyFont="1" applyFill="1" applyBorder="1" applyAlignment="1">
      <alignment horizontal="center" vertical="center"/>
    </xf>
    <xf numFmtId="168" fontId="51" fillId="29" borderId="58" xfId="3" applyNumberFormat="1" applyFont="1" applyFill="1" applyBorder="1" applyAlignment="1">
      <alignment horizontal="center" vertical="center"/>
    </xf>
    <xf numFmtId="0" fontId="50" fillId="0" borderId="15" xfId="0" applyFont="1" applyBorder="1" applyAlignment="1">
      <alignment horizontal="center" vertical="center"/>
    </xf>
    <xf numFmtId="172" fontId="50" fillId="0" borderId="15" xfId="0" applyNumberFormat="1" applyFont="1" applyBorder="1" applyAlignment="1">
      <alignment horizontal="center" vertical="center"/>
    </xf>
    <xf numFmtId="168" fontId="50" fillId="0" borderId="22" xfId="3" applyNumberFormat="1" applyFont="1" applyFill="1" applyBorder="1" applyAlignment="1">
      <alignment horizontal="center" vertical="center"/>
    </xf>
    <xf numFmtId="172" fontId="50" fillId="16" borderId="15" xfId="0" applyNumberFormat="1" applyFont="1" applyFill="1" applyBorder="1" applyAlignment="1">
      <alignment horizontal="center" vertical="center"/>
    </xf>
    <xf numFmtId="0" fontId="50" fillId="16" borderId="15" xfId="0" applyFont="1" applyFill="1" applyBorder="1" applyAlignment="1">
      <alignment horizontal="center" vertical="center"/>
    </xf>
    <xf numFmtId="168" fontId="51" fillId="16" borderId="22" xfId="3" applyNumberFormat="1" applyFont="1" applyFill="1" applyBorder="1" applyAlignment="1">
      <alignment horizontal="center" vertical="center"/>
    </xf>
    <xf numFmtId="172" fontId="50" fillId="29" borderId="15" xfId="0" applyNumberFormat="1" applyFont="1" applyFill="1" applyBorder="1" applyAlignment="1">
      <alignment horizontal="center" vertical="center"/>
    </xf>
    <xf numFmtId="10" fontId="51" fillId="29" borderId="15" xfId="3" applyNumberFormat="1" applyFont="1" applyFill="1" applyBorder="1" applyAlignment="1">
      <alignment horizontal="center" vertical="center"/>
    </xf>
    <xf numFmtId="168" fontId="51" fillId="29" borderId="22" xfId="3" applyNumberFormat="1" applyFont="1" applyFill="1" applyBorder="1" applyAlignment="1">
      <alignment horizontal="center" vertical="center"/>
    </xf>
    <xf numFmtId="168" fontId="51" fillId="16" borderId="15" xfId="3" applyNumberFormat="1" applyFont="1" applyFill="1" applyBorder="1" applyAlignment="1">
      <alignment horizontal="center" vertical="center"/>
    </xf>
    <xf numFmtId="168" fontId="51" fillId="29" borderId="15" xfId="3" applyNumberFormat="1" applyFont="1" applyFill="1" applyBorder="1" applyAlignment="1">
      <alignment horizontal="center" vertical="center"/>
    </xf>
    <xf numFmtId="44" fontId="50" fillId="0" borderId="0" xfId="0" applyNumberFormat="1" applyFont="1"/>
    <xf numFmtId="174" fontId="50" fillId="16" borderId="0" xfId="0" applyNumberFormat="1" applyFont="1" applyFill="1" applyAlignment="1">
      <alignment horizontal="center" vertical="center"/>
    </xf>
    <xf numFmtId="10" fontId="50" fillId="16" borderId="20" xfId="3" applyNumberFormat="1" applyFont="1" applyFill="1" applyBorder="1" applyAlignment="1">
      <alignment horizontal="center" vertical="center"/>
    </xf>
    <xf numFmtId="44" fontId="50" fillId="29" borderId="0" xfId="0" applyNumberFormat="1" applyFont="1" applyFill="1" applyAlignment="1">
      <alignment horizontal="center" vertical="center"/>
    </xf>
    <xf numFmtId="44" fontId="50" fillId="16" borderId="0" xfId="0" applyNumberFormat="1" applyFont="1" applyFill="1" applyAlignment="1">
      <alignment horizontal="center" vertical="center"/>
    </xf>
    <xf numFmtId="44" fontId="50" fillId="0" borderId="0" xfId="2" applyFont="1" applyFill="1" applyBorder="1"/>
    <xf numFmtId="0" fontId="50" fillId="0" borderId="15" xfId="0" applyFont="1" applyBorder="1" applyAlignment="1">
      <alignment horizontal="center"/>
    </xf>
    <xf numFmtId="44" fontId="50" fillId="0" borderId="15" xfId="2" applyFont="1" applyFill="1" applyBorder="1"/>
    <xf numFmtId="174" fontId="50" fillId="16" borderId="15" xfId="0" applyNumberFormat="1" applyFont="1" applyFill="1" applyBorder="1" applyAlignment="1">
      <alignment horizontal="center" vertical="center"/>
    </xf>
    <xf numFmtId="10" fontId="50" fillId="16" borderId="22" xfId="3" applyNumberFormat="1" applyFont="1" applyFill="1" applyBorder="1" applyAlignment="1">
      <alignment horizontal="center" vertical="center"/>
    </xf>
    <xf numFmtId="44" fontId="50" fillId="29" borderId="15" xfId="0" applyNumberFormat="1" applyFont="1" applyFill="1" applyBorder="1" applyAlignment="1">
      <alignment horizontal="center" vertical="center"/>
    </xf>
    <xf numFmtId="44" fontId="50" fillId="16" borderId="15" xfId="0" applyNumberFormat="1" applyFont="1" applyFill="1" applyBorder="1" applyAlignment="1">
      <alignment horizontal="center" vertical="center"/>
    </xf>
    <xf numFmtId="10" fontId="51" fillId="16" borderId="20" xfId="3" applyNumberFormat="1" applyFont="1" applyFill="1" applyBorder="1" applyAlignment="1">
      <alignment horizontal="center" vertical="center"/>
    </xf>
    <xf numFmtId="10" fontId="51" fillId="16" borderId="22" xfId="3" applyNumberFormat="1" applyFont="1" applyFill="1" applyBorder="1" applyAlignment="1">
      <alignment horizontal="center" vertical="center"/>
    </xf>
    <xf numFmtId="168" fontId="50" fillId="0" borderId="0" xfId="0" applyNumberFormat="1" applyFont="1" applyAlignment="1">
      <alignment horizontal="center" vertical="center"/>
    </xf>
    <xf numFmtId="0" fontId="50" fillId="0" borderId="19" xfId="0" applyFont="1" applyBorder="1" applyAlignment="1">
      <alignment horizontal="center" vertical="center"/>
    </xf>
    <xf numFmtId="172" fontId="50" fillId="0" borderId="0" xfId="2" applyNumberFormat="1" applyFont="1" applyAlignment="1">
      <alignment horizontal="center" vertical="center"/>
    </xf>
    <xf numFmtId="168" fontId="50" fillId="16" borderId="20" xfId="3" applyNumberFormat="1" applyFont="1" applyFill="1" applyBorder="1" applyAlignment="1">
      <alignment horizontal="center" vertical="center"/>
    </xf>
    <xf numFmtId="168" fontId="51" fillId="0" borderId="0" xfId="3" applyNumberFormat="1" applyFont="1" applyFill="1" applyBorder="1" applyAlignment="1">
      <alignment horizontal="center" vertical="center"/>
    </xf>
    <xf numFmtId="10" fontId="51" fillId="0" borderId="0" xfId="3" applyNumberFormat="1" applyFont="1" applyFill="1" applyBorder="1" applyAlignment="1">
      <alignment horizontal="center" vertical="center"/>
    </xf>
    <xf numFmtId="44" fontId="51" fillId="0" borderId="0" xfId="2" applyFont="1" applyFill="1" applyBorder="1" applyAlignment="1">
      <alignment horizontal="center" vertical="center"/>
    </xf>
    <xf numFmtId="0" fontId="50" fillId="0" borderId="60" xfId="0" applyFont="1" applyBorder="1" applyAlignment="1">
      <alignment horizontal="center" vertical="center"/>
    </xf>
    <xf numFmtId="172" fontId="50" fillId="0" borderId="54" xfId="2" applyNumberFormat="1" applyFont="1" applyBorder="1" applyAlignment="1">
      <alignment horizontal="center" vertical="center"/>
    </xf>
    <xf numFmtId="168" fontId="50" fillId="0" borderId="0" xfId="3" applyNumberFormat="1" applyFont="1" applyFill="1" applyBorder="1" applyAlignment="1">
      <alignment horizontal="center" vertical="center"/>
    </xf>
    <xf numFmtId="10" fontId="50" fillId="0" borderId="0" xfId="3" applyNumberFormat="1" applyFont="1" applyFill="1" applyBorder="1" applyAlignment="1">
      <alignment horizontal="center" vertical="center"/>
    </xf>
    <xf numFmtId="44" fontId="50" fillId="0" borderId="0" xfId="2" applyFont="1" applyFill="1" applyBorder="1" applyAlignment="1">
      <alignment horizontal="center" vertical="center"/>
    </xf>
    <xf numFmtId="0" fontId="50" fillId="0" borderId="21" xfId="0" applyFont="1" applyBorder="1" applyAlignment="1">
      <alignment horizontal="center" vertical="center"/>
    </xf>
    <xf numFmtId="172" fontId="50" fillId="0" borderId="15" xfId="2" applyNumberFormat="1" applyFont="1" applyBorder="1" applyAlignment="1">
      <alignment horizontal="center" vertical="center"/>
    </xf>
    <xf numFmtId="44" fontId="50" fillId="0" borderId="0" xfId="2" applyFont="1"/>
    <xf numFmtId="14" fontId="12" fillId="0" borderId="0" xfId="3" applyNumberFormat="1" applyFont="1" applyProtection="1">
      <protection locked="0"/>
    </xf>
    <xf numFmtId="172" fontId="0" fillId="0" borderId="0" xfId="2" applyNumberFormat="1" applyFont="1" applyBorder="1" applyAlignment="1" applyProtection="1">
      <alignment horizontal="center" vertical="center"/>
      <protection locked="0"/>
    </xf>
    <xf numFmtId="0" fontId="0" fillId="29" borderId="0" xfId="0" applyFill="1" applyAlignment="1" applyProtection="1">
      <alignment horizontal="center" vertical="center"/>
      <protection locked="0"/>
    </xf>
    <xf numFmtId="0" fontId="0" fillId="29" borderId="0" xfId="0" applyFill="1" applyAlignment="1" applyProtection="1">
      <alignment horizontal="center" vertical="center" wrapText="1"/>
      <protection locked="0"/>
    </xf>
    <xf numFmtId="172" fontId="0" fillId="0" borderId="0" xfId="2" applyNumberFormat="1" applyFont="1" applyFill="1" applyBorder="1" applyAlignment="1" applyProtection="1">
      <alignment horizontal="center" vertical="center"/>
      <protection locked="0"/>
    </xf>
    <xf numFmtId="10" fontId="2" fillId="0" borderId="0" xfId="3" applyNumberFormat="1" applyFont="1" applyFill="1" applyBorder="1" applyAlignment="1" applyProtection="1">
      <alignment horizontal="center" vertical="center"/>
      <protection locked="0"/>
    </xf>
    <xf numFmtId="10" fontId="2" fillId="0" borderId="0" xfId="3" applyNumberFormat="1" applyFont="1" applyBorder="1" applyAlignment="1" applyProtection="1">
      <alignment horizontal="center" vertical="center"/>
      <protection locked="0"/>
    </xf>
    <xf numFmtId="10" fontId="2" fillId="0" borderId="0" xfId="0" applyNumberFormat="1" applyFont="1" applyAlignment="1" applyProtection="1">
      <alignment horizontal="center" vertical="center"/>
      <protection locked="0"/>
    </xf>
    <xf numFmtId="9" fontId="23" fillId="0" borderId="0" xfId="0" applyNumberFormat="1" applyFont="1" applyProtection="1">
      <protection locked="0"/>
    </xf>
    <xf numFmtId="172" fontId="23" fillId="0" borderId="0" xfId="2" applyNumberFormat="1" applyFont="1" applyProtection="1">
      <protection locked="0"/>
    </xf>
    <xf numFmtId="172" fontId="23" fillId="0" borderId="0" xfId="2" applyNumberFormat="1" applyFont="1" applyAlignment="1" applyProtection="1">
      <alignment horizontal="center"/>
      <protection locked="0"/>
    </xf>
    <xf numFmtId="172" fontId="48" fillId="0" borderId="0" xfId="2" applyNumberFormat="1" applyFont="1" applyAlignment="1" applyProtection="1">
      <alignment horizontal="center"/>
      <protection locked="0"/>
    </xf>
    <xf numFmtId="10" fontId="23" fillId="0" borderId="0" xfId="3" applyNumberFormat="1" applyFont="1" applyProtection="1">
      <protection locked="0"/>
    </xf>
    <xf numFmtId="10" fontId="23" fillId="0" borderId="0" xfId="3" applyNumberFormat="1" applyFont="1" applyAlignment="1" applyProtection="1">
      <alignment horizontal="center"/>
      <protection locked="0"/>
    </xf>
    <xf numFmtId="10" fontId="23" fillId="0" borderId="0" xfId="0" applyNumberFormat="1" applyFont="1" applyProtection="1">
      <protection locked="0"/>
    </xf>
    <xf numFmtId="43" fontId="23" fillId="0" borderId="0" xfId="0" applyNumberFormat="1" applyFont="1" applyProtection="1">
      <protection locked="0"/>
    </xf>
    <xf numFmtId="44" fontId="12" fillId="0" borderId="0" xfId="2" applyFont="1" applyProtection="1">
      <protection locked="0"/>
    </xf>
    <xf numFmtId="0" fontId="47" fillId="0" borderId="0" xfId="0" applyFont="1" applyAlignment="1">
      <alignment horizontal="center" vertical="center"/>
    </xf>
    <xf numFmtId="0" fontId="49" fillId="0" borderId="0" xfId="0" applyFont="1" applyAlignment="1">
      <alignment horizontal="center"/>
    </xf>
    <xf numFmtId="0" fontId="50" fillId="0" borderId="16" xfId="0" applyFont="1" applyBorder="1" applyAlignment="1">
      <alignment horizontal="left" wrapText="1"/>
    </xf>
    <xf numFmtId="0" fontId="50" fillId="0" borderId="0" xfId="0" applyFont="1" applyAlignment="1">
      <alignment horizontal="left" wrapText="1"/>
    </xf>
    <xf numFmtId="0" fontId="6" fillId="9" borderId="6" xfId="0" applyFont="1" applyFill="1" applyBorder="1" applyAlignment="1" applyProtection="1">
      <alignment horizontal="center" vertical="center" wrapText="1"/>
      <protection locked="0"/>
    </xf>
    <xf numFmtId="0" fontId="39" fillId="0" borderId="6" xfId="0" applyFont="1" applyBorder="1" applyAlignment="1">
      <alignment horizontal="center"/>
    </xf>
    <xf numFmtId="0" fontId="6" fillId="20" borderId="6" xfId="0" applyFont="1" applyFill="1" applyBorder="1" applyAlignment="1" applyProtection="1">
      <alignment horizontal="center" vertical="center" wrapText="1"/>
      <protection locked="0"/>
    </xf>
    <xf numFmtId="0" fontId="6" fillId="9" borderId="6" xfId="0" applyFont="1" applyFill="1" applyBorder="1" applyAlignment="1">
      <alignment horizontal="center" vertical="center"/>
    </xf>
    <xf numFmtId="0" fontId="6" fillId="9" borderId="6" xfId="0" applyFont="1" applyFill="1" applyBorder="1" applyAlignment="1">
      <alignment horizontal="center" vertical="center" wrapText="1"/>
    </xf>
    <xf numFmtId="0" fontId="6" fillId="7" borderId="6" xfId="0" applyFont="1" applyFill="1" applyBorder="1" applyAlignment="1" applyProtection="1">
      <alignment horizontal="center" vertical="center" wrapText="1"/>
      <protection locked="0"/>
    </xf>
    <xf numFmtId="9" fontId="6" fillId="20" borderId="6" xfId="0" applyNumberFormat="1" applyFont="1" applyFill="1" applyBorder="1" applyAlignment="1" applyProtection="1">
      <alignment horizontal="center" vertical="center" wrapText="1"/>
      <protection locked="0"/>
    </xf>
    <xf numFmtId="0" fontId="31" fillId="17" borderId="6" xfId="0" applyFont="1" applyFill="1" applyBorder="1" applyAlignment="1">
      <alignment horizontal="center"/>
    </xf>
    <xf numFmtId="0" fontId="36" fillId="9" borderId="6" xfId="0" applyFont="1" applyFill="1" applyBorder="1" applyAlignment="1" applyProtection="1">
      <alignment horizontal="center" vertical="center"/>
      <protection locked="0"/>
    </xf>
    <xf numFmtId="0" fontId="6" fillId="18" borderId="6" xfId="0" applyFont="1" applyFill="1" applyBorder="1" applyAlignment="1" applyProtection="1">
      <alignment horizontal="center" vertical="center" wrapText="1"/>
      <protection locked="0"/>
    </xf>
    <xf numFmtId="16" fontId="17" fillId="10" borderId="6" xfId="0" applyNumberFormat="1" applyFont="1" applyFill="1" applyBorder="1" applyAlignment="1" applyProtection="1">
      <alignment horizontal="center" vertical="center"/>
      <protection locked="0"/>
    </xf>
    <xf numFmtId="0" fontId="0" fillId="0" borderId="0" xfId="0" applyAlignment="1">
      <alignment horizontal="center"/>
    </xf>
    <xf numFmtId="43" fontId="6" fillId="9" borderId="6" xfId="1" applyFont="1" applyFill="1" applyBorder="1" applyAlignment="1" applyProtection="1">
      <alignment horizontal="center" vertical="center" wrapText="1"/>
      <protection locked="0"/>
    </xf>
    <xf numFmtId="0" fontId="6" fillId="9" borderId="6" xfId="0" applyFont="1" applyFill="1" applyBorder="1" applyAlignment="1" applyProtection="1">
      <alignment horizontal="center" vertical="center"/>
      <protection locked="0"/>
    </xf>
    <xf numFmtId="0" fontId="6" fillId="18" borderId="6" xfId="0" applyFont="1" applyFill="1" applyBorder="1" applyAlignment="1">
      <alignment horizontal="center" vertical="center" wrapText="1"/>
    </xf>
    <xf numFmtId="0" fontId="0" fillId="0" borderId="0" xfId="0" applyAlignment="1">
      <alignment horizontal="center" vertical="center"/>
    </xf>
    <xf numFmtId="0" fontId="31" fillId="0" borderId="0" xfId="0" applyFont="1" applyAlignment="1">
      <alignment horizontal="center"/>
    </xf>
    <xf numFmtId="10" fontId="2" fillId="9" borderId="0" xfId="3" applyNumberFormat="1" applyFont="1" applyFill="1" applyBorder="1" applyAlignment="1">
      <alignment horizontal="center" vertical="center" wrapText="1"/>
    </xf>
    <xf numFmtId="0" fontId="2" fillId="22" borderId="0" xfId="0" applyFont="1" applyFill="1" applyAlignment="1">
      <alignment horizontal="center" vertical="center" wrapText="1"/>
    </xf>
    <xf numFmtId="0" fontId="2" fillId="23" borderId="0" xfId="0" applyFont="1" applyFill="1" applyAlignment="1">
      <alignment horizontal="center" vertical="center" wrapText="1"/>
    </xf>
    <xf numFmtId="14" fontId="2" fillId="22" borderId="0" xfId="0" applyNumberFormat="1" applyFont="1" applyFill="1" applyAlignment="1">
      <alignment horizontal="center" vertical="center"/>
    </xf>
    <xf numFmtId="14" fontId="2" fillId="10" borderId="0" xfId="0" applyNumberFormat="1" applyFont="1" applyFill="1" applyAlignment="1">
      <alignment horizontal="center" vertical="center"/>
    </xf>
    <xf numFmtId="14" fontId="2" fillId="23" borderId="0" xfId="0" applyNumberFormat="1" applyFont="1" applyFill="1" applyAlignment="1">
      <alignment horizontal="center" vertical="center"/>
    </xf>
    <xf numFmtId="0" fontId="2" fillId="9" borderId="0" xfId="0" applyFont="1" applyFill="1" applyAlignment="1">
      <alignment horizontal="center" vertical="center" wrapText="1"/>
    </xf>
    <xf numFmtId="14" fontId="0" fillId="11" borderId="0" xfId="0" applyNumberFormat="1" applyFill="1" applyAlignment="1">
      <alignment horizontal="center" vertical="center"/>
    </xf>
    <xf numFmtId="0" fontId="2" fillId="11" borderId="0" xfId="0" applyFont="1" applyFill="1" applyAlignment="1">
      <alignment horizontal="center" vertical="center" wrapText="1"/>
    </xf>
    <xf numFmtId="0" fontId="2" fillId="10" borderId="0" xfId="0" applyFont="1" applyFill="1" applyAlignment="1">
      <alignment horizontal="center" vertical="center" wrapText="1"/>
    </xf>
    <xf numFmtId="0" fontId="2" fillId="7" borderId="0" xfId="0" applyFont="1" applyFill="1" applyAlignment="1">
      <alignment horizontal="center"/>
    </xf>
    <xf numFmtId="0" fontId="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0" fillId="4" borderId="0" xfId="0" applyFill="1" applyAlignment="1">
      <alignment horizontal="center"/>
    </xf>
    <xf numFmtId="0" fontId="2" fillId="4" borderId="0" xfId="0" applyFont="1" applyFill="1" applyAlignment="1">
      <alignment horizontal="center"/>
    </xf>
    <xf numFmtId="0" fontId="11" fillId="8" borderId="0" xfId="0" applyFont="1" applyFill="1" applyAlignment="1">
      <alignment horizontal="center"/>
    </xf>
    <xf numFmtId="0" fontId="11" fillId="8" borderId="4" xfId="0" applyFont="1" applyFill="1" applyBorder="1" applyAlignment="1">
      <alignment horizontal="center"/>
    </xf>
    <xf numFmtId="0" fontId="2" fillId="0" borderId="6" xfId="0" applyFont="1" applyBorder="1" applyAlignment="1">
      <alignment horizontal="center" vertical="center" wrapText="1"/>
    </xf>
    <xf numFmtId="0" fontId="0" fillId="0" borderId="8" xfId="0" applyBorder="1" applyAlignment="1">
      <alignment horizontal="center"/>
    </xf>
    <xf numFmtId="0" fontId="0" fillId="0" borderId="7" xfId="0" applyBorder="1" applyAlignment="1">
      <alignment horizontal="center"/>
    </xf>
    <xf numFmtId="0" fontId="0" fillId="0" borderId="14" xfId="0" applyBorder="1" applyAlignment="1">
      <alignment horizontal="center"/>
    </xf>
    <xf numFmtId="0" fontId="32" fillId="0" borderId="3" xfId="0" applyFont="1" applyBorder="1" applyAlignment="1" applyProtection="1">
      <alignment horizontal="center" vertical="center"/>
      <protection locked="0"/>
    </xf>
    <xf numFmtId="0" fontId="32" fillId="0" borderId="0" xfId="0" applyFont="1" applyAlignment="1" applyProtection="1">
      <alignment horizontal="center" vertical="center"/>
      <protection locked="0"/>
    </xf>
    <xf numFmtId="0" fontId="6" fillId="9" borderId="39" xfId="0" applyFont="1" applyFill="1" applyBorder="1" applyAlignment="1" applyProtection="1">
      <alignment horizontal="center" vertical="center" wrapText="1"/>
      <protection locked="0"/>
    </xf>
    <xf numFmtId="0" fontId="6" fillId="9" borderId="37" xfId="0" applyFont="1" applyFill="1" applyBorder="1" applyAlignment="1" applyProtection="1">
      <alignment horizontal="center" vertical="center" wrapText="1"/>
      <protection locked="0"/>
    </xf>
    <xf numFmtId="0" fontId="6" fillId="9" borderId="38" xfId="0" applyFont="1" applyFill="1" applyBorder="1" applyAlignment="1" applyProtection="1">
      <alignment horizontal="center" vertical="center" wrapText="1"/>
      <protection locked="0"/>
    </xf>
    <xf numFmtId="0" fontId="33" fillId="0" borderId="5" xfId="0" applyFont="1" applyBorder="1" applyAlignment="1" applyProtection="1">
      <alignment horizontal="center" vertical="center"/>
      <protection locked="0"/>
    </xf>
    <xf numFmtId="0" fontId="33" fillId="0" borderId="12" xfId="0" applyFont="1" applyBorder="1" applyAlignment="1" applyProtection="1">
      <alignment horizontal="center" vertical="center"/>
      <protection locked="0"/>
    </xf>
    <xf numFmtId="0" fontId="6" fillId="9" borderId="24" xfId="0" applyFont="1" applyFill="1" applyBorder="1" applyAlignment="1" applyProtection="1">
      <alignment horizontal="center" vertical="center" wrapText="1"/>
      <protection locked="0"/>
    </xf>
    <xf numFmtId="0" fontId="6" fillId="9" borderId="26" xfId="0" applyFont="1" applyFill="1" applyBorder="1" applyAlignment="1" applyProtection="1">
      <alignment horizontal="center" vertical="center" wrapText="1"/>
      <protection locked="0"/>
    </xf>
    <xf numFmtId="0" fontId="6" fillId="9" borderId="30" xfId="0" applyFont="1" applyFill="1" applyBorder="1" applyAlignment="1" applyProtection="1">
      <alignment horizontal="center" vertical="center" wrapText="1"/>
      <protection locked="0"/>
    </xf>
    <xf numFmtId="0" fontId="6" fillId="9" borderId="31" xfId="0" applyFont="1" applyFill="1" applyBorder="1" applyAlignment="1" applyProtection="1">
      <alignment horizontal="center" vertical="center" wrapText="1"/>
      <protection locked="0"/>
    </xf>
    <xf numFmtId="0" fontId="6" fillId="9" borderId="34" xfId="0" applyFont="1" applyFill="1" applyBorder="1" applyAlignment="1" applyProtection="1">
      <alignment horizontal="center" vertical="center" wrapText="1"/>
      <protection locked="0"/>
    </xf>
    <xf numFmtId="0" fontId="6" fillId="9" borderId="36" xfId="0" applyFont="1" applyFill="1" applyBorder="1" applyAlignment="1" applyProtection="1">
      <alignment horizontal="center" vertical="center" wrapText="1"/>
      <protection locked="0"/>
    </xf>
    <xf numFmtId="0" fontId="6" fillId="9" borderId="25" xfId="0" applyFont="1" applyFill="1" applyBorder="1" applyAlignment="1" applyProtection="1">
      <alignment horizontal="center" vertical="center"/>
      <protection locked="0"/>
    </xf>
    <xf numFmtId="0" fontId="6" fillId="9" borderId="24" xfId="0" applyFont="1" applyFill="1" applyBorder="1" applyAlignment="1" applyProtection="1">
      <alignment horizontal="center" vertical="center"/>
      <protection locked="0"/>
    </xf>
    <xf numFmtId="0" fontId="6" fillId="9" borderId="26" xfId="0" applyFont="1" applyFill="1" applyBorder="1" applyAlignment="1" applyProtection="1">
      <alignment horizontal="center" vertical="center"/>
      <protection locked="0"/>
    </xf>
    <xf numFmtId="0" fontId="6" fillId="9" borderId="30" xfId="0" applyFont="1" applyFill="1" applyBorder="1" applyAlignment="1" applyProtection="1">
      <alignment horizontal="center" vertical="center"/>
      <protection locked="0"/>
    </xf>
    <xf numFmtId="0" fontId="6" fillId="9" borderId="23" xfId="0" applyFont="1" applyFill="1" applyBorder="1" applyAlignment="1" applyProtection="1">
      <alignment horizontal="center" vertical="center"/>
      <protection locked="0"/>
    </xf>
    <xf numFmtId="0" fontId="6" fillId="9" borderId="31" xfId="0" applyFont="1" applyFill="1" applyBorder="1" applyAlignment="1" applyProtection="1">
      <alignment horizontal="center" vertical="center"/>
      <protection locked="0"/>
    </xf>
    <xf numFmtId="0" fontId="6" fillId="9" borderId="34" xfId="0" applyFont="1" applyFill="1" applyBorder="1" applyAlignment="1" applyProtection="1">
      <alignment horizontal="center" vertical="center"/>
      <protection locked="0"/>
    </xf>
    <xf numFmtId="0" fontId="6" fillId="9" borderId="36" xfId="0" applyFont="1" applyFill="1" applyBorder="1" applyAlignment="1" applyProtection="1">
      <alignment horizontal="center" vertical="center"/>
      <protection locked="0"/>
    </xf>
    <xf numFmtId="0" fontId="6" fillId="9" borderId="25" xfId="0" applyFont="1" applyFill="1" applyBorder="1" applyAlignment="1" applyProtection="1">
      <alignment horizontal="center" vertical="center" wrapText="1"/>
      <protection locked="0"/>
    </xf>
    <xf numFmtId="0" fontId="6" fillId="9" borderId="23" xfId="0" applyFont="1" applyFill="1" applyBorder="1" applyAlignment="1" applyProtection="1">
      <alignment horizontal="center" vertical="center" wrapText="1"/>
      <protection locked="0"/>
    </xf>
    <xf numFmtId="0" fontId="16" fillId="0" borderId="16" xfId="0" applyFont="1" applyBorder="1" applyAlignment="1" applyProtection="1">
      <alignment horizontal="center" vertical="center"/>
      <protection locked="0"/>
    </xf>
    <xf numFmtId="0" fontId="14" fillId="0" borderId="16" xfId="0" applyFont="1" applyBorder="1" applyAlignment="1" applyProtection="1">
      <alignment horizontal="center"/>
      <protection locked="0"/>
    </xf>
    <xf numFmtId="0" fontId="14" fillId="0" borderId="0" xfId="0" applyFont="1" applyAlignment="1" applyProtection="1">
      <alignment horizontal="center"/>
      <protection locked="0"/>
    </xf>
    <xf numFmtId="0" fontId="14" fillId="0" borderId="0" xfId="0" applyFont="1" applyAlignment="1" applyProtection="1">
      <alignment horizontal="center" vertical="center"/>
      <protection locked="0"/>
    </xf>
    <xf numFmtId="0" fontId="6" fillId="9" borderId="41" xfId="0" applyFont="1" applyFill="1" applyBorder="1" applyAlignment="1" applyProtection="1">
      <alignment horizontal="center" vertical="center" wrapText="1"/>
      <protection locked="0"/>
    </xf>
    <xf numFmtId="0" fontId="6" fillId="9" borderId="47" xfId="0" applyFont="1" applyFill="1" applyBorder="1" applyAlignment="1" applyProtection="1">
      <alignment horizontal="center" vertical="center" wrapText="1"/>
      <protection locked="0"/>
    </xf>
    <xf numFmtId="0" fontId="6" fillId="9" borderId="44" xfId="0" applyFont="1" applyFill="1" applyBorder="1" applyAlignment="1" applyProtection="1">
      <alignment horizontal="center" vertical="center" wrapText="1"/>
      <protection locked="0"/>
    </xf>
    <xf numFmtId="0" fontId="14" fillId="0" borderId="16" xfId="0" applyFont="1" applyBorder="1" applyAlignment="1" applyProtection="1">
      <alignment horizontal="center" vertical="center"/>
      <protection locked="0"/>
    </xf>
    <xf numFmtId="0" fontId="6" fillId="9" borderId="33" xfId="0" applyFont="1" applyFill="1" applyBorder="1" applyAlignment="1" applyProtection="1">
      <alignment horizontal="center" vertical="center" wrapText="1"/>
      <protection locked="0"/>
    </xf>
    <xf numFmtId="0" fontId="6" fillId="9" borderId="39" xfId="0" applyFont="1" applyFill="1" applyBorder="1" applyAlignment="1" applyProtection="1">
      <alignment horizontal="center" vertical="center"/>
      <protection locked="0"/>
    </xf>
    <xf numFmtId="0" fontId="6" fillId="9" borderId="37" xfId="0" applyFont="1" applyFill="1" applyBorder="1" applyAlignment="1" applyProtection="1">
      <alignment horizontal="center" vertical="center"/>
      <protection locked="0"/>
    </xf>
    <xf numFmtId="0" fontId="6" fillId="9" borderId="38" xfId="0" applyFont="1" applyFill="1" applyBorder="1" applyAlignment="1" applyProtection="1">
      <alignment horizontal="center" vertical="center"/>
      <protection locked="0"/>
    </xf>
    <xf numFmtId="0" fontId="6" fillId="9" borderId="41" xfId="0" applyFont="1" applyFill="1" applyBorder="1" applyAlignment="1" applyProtection="1">
      <alignment horizontal="center" vertical="center"/>
      <protection locked="0"/>
    </xf>
    <xf numFmtId="0" fontId="6" fillId="9" borderId="47" xfId="0" applyFont="1" applyFill="1" applyBorder="1" applyAlignment="1" applyProtection="1">
      <alignment horizontal="center" vertical="center"/>
      <protection locked="0"/>
    </xf>
    <xf numFmtId="0" fontId="6" fillId="9" borderId="48" xfId="0" applyFont="1" applyFill="1" applyBorder="1" applyAlignment="1" applyProtection="1">
      <alignment horizontal="center" vertical="center"/>
      <protection locked="0"/>
    </xf>
    <xf numFmtId="0" fontId="6" fillId="9" borderId="40" xfId="0" applyFont="1" applyFill="1" applyBorder="1" applyAlignment="1" applyProtection="1">
      <alignment horizontal="center" vertical="center" wrapText="1"/>
      <protection locked="0"/>
    </xf>
    <xf numFmtId="0" fontId="6" fillId="9" borderId="45" xfId="0" applyFont="1" applyFill="1" applyBorder="1" applyAlignment="1" applyProtection="1">
      <alignment horizontal="center" vertical="center" wrapText="1"/>
      <protection locked="0"/>
    </xf>
    <xf numFmtId="0" fontId="6" fillId="9" borderId="46" xfId="0" applyFont="1" applyFill="1" applyBorder="1" applyAlignment="1" applyProtection="1">
      <alignment horizontal="center" vertical="center" wrapText="1"/>
      <protection locked="0"/>
    </xf>
    <xf numFmtId="0" fontId="6" fillId="9" borderId="40" xfId="0" applyFont="1" applyFill="1" applyBorder="1" applyAlignment="1" applyProtection="1">
      <alignment horizontal="center" vertical="center"/>
      <protection locked="0"/>
    </xf>
    <xf numFmtId="0" fontId="6" fillId="9" borderId="45" xfId="0" applyFont="1" applyFill="1" applyBorder="1" applyAlignment="1" applyProtection="1">
      <alignment horizontal="center" vertical="center"/>
      <protection locked="0"/>
    </xf>
    <xf numFmtId="0" fontId="6" fillId="9" borderId="46" xfId="0" applyFont="1" applyFill="1" applyBorder="1" applyAlignment="1" applyProtection="1">
      <alignment horizontal="center" vertical="center"/>
      <protection locked="0"/>
    </xf>
    <xf numFmtId="0" fontId="6" fillId="9" borderId="29" xfId="0" applyFont="1" applyFill="1" applyBorder="1" applyAlignment="1" applyProtection="1">
      <alignment horizontal="center" vertical="center"/>
      <protection locked="0"/>
    </xf>
    <xf numFmtId="0" fontId="6" fillId="9" borderId="49" xfId="0" applyFont="1" applyFill="1" applyBorder="1" applyAlignment="1" applyProtection="1">
      <alignment horizontal="center" vertical="center"/>
      <protection locked="0"/>
    </xf>
    <xf numFmtId="0" fontId="6" fillId="9" borderId="35" xfId="0" applyFont="1" applyFill="1" applyBorder="1" applyAlignment="1" applyProtection="1">
      <alignment horizontal="center" vertical="center"/>
      <protection locked="0"/>
    </xf>
    <xf numFmtId="0" fontId="0" fillId="0" borderId="0" xfId="0"/>
    <xf numFmtId="0" fontId="0" fillId="0" borderId="0" xfId="0" applyAlignment="1">
      <alignment horizontal="left"/>
    </xf>
    <xf numFmtId="167" fontId="21" fillId="0" borderId="15" xfId="0" applyNumberFormat="1" applyFont="1" applyBorder="1" applyAlignment="1">
      <alignment horizontal="center"/>
    </xf>
    <xf numFmtId="0" fontId="12" fillId="0" borderId="0" xfId="0" applyFont="1" applyAlignment="1">
      <alignment horizontal="center"/>
    </xf>
    <xf numFmtId="0" fontId="21" fillId="0" borderId="15" xfId="0" applyFont="1" applyBorder="1" applyAlignment="1">
      <alignment horizontal="center"/>
    </xf>
    <xf numFmtId="0" fontId="0" fillId="0" borderId="15" xfId="0" applyBorder="1" applyAlignment="1">
      <alignment horizontal="center"/>
    </xf>
    <xf numFmtId="0" fontId="23" fillId="0" borderId="15" xfId="0" applyFont="1" applyBorder="1" applyAlignment="1">
      <alignment horizontal="center"/>
    </xf>
    <xf numFmtId="0" fontId="23" fillId="0" borderId="0" xfId="0" applyFont="1" applyAlignment="1">
      <alignment horizontal="center"/>
    </xf>
    <xf numFmtId="167" fontId="0" fillId="0" borderId="15" xfId="0" applyNumberFormat="1" applyBorder="1" applyAlignment="1">
      <alignment horizontal="center"/>
    </xf>
    <xf numFmtId="0" fontId="22" fillId="0" borderId="15" xfId="0" applyFont="1" applyBorder="1" applyAlignment="1">
      <alignment horizontal="center"/>
    </xf>
    <xf numFmtId="0" fontId="23" fillId="0" borderId="0" xfId="0" applyFont="1" applyAlignment="1">
      <alignment horizontal="justify" vertical="center" wrapText="1"/>
    </xf>
    <xf numFmtId="0" fontId="23" fillId="0" borderId="0" xfId="0" applyFont="1" applyAlignment="1">
      <alignment horizontal="justify" vertical="center"/>
    </xf>
    <xf numFmtId="0" fontId="26" fillId="0" borderId="7" xfId="0" applyFont="1" applyBorder="1" applyAlignment="1">
      <alignment horizontal="center"/>
    </xf>
    <xf numFmtId="0" fontId="26" fillId="0" borderId="0" xfId="0" applyFont="1" applyAlignment="1">
      <alignment horizontal="center"/>
    </xf>
    <xf numFmtId="0" fontId="27" fillId="0" borderId="0" xfId="0" applyFont="1" applyAlignment="1">
      <alignment horizontal="center"/>
    </xf>
    <xf numFmtId="0" fontId="0" fillId="0" borderId="19" xfId="0" applyBorder="1" applyAlignment="1">
      <alignment horizontal="justify" wrapText="1"/>
    </xf>
    <xf numFmtId="0" fontId="0" fillId="0" borderId="0" xfId="0" applyAlignment="1">
      <alignment horizontal="justify" wrapText="1"/>
    </xf>
    <xf numFmtId="0" fontId="15" fillId="0" borderId="0" xfId="0" applyFont="1" applyAlignment="1">
      <alignment horizontal="left" vertical="top" indent="7"/>
    </xf>
    <xf numFmtId="0" fontId="0" fillId="0" borderId="19" xfId="0" applyBorder="1" applyAlignment="1">
      <alignment horizontal="left" vertical="justify" indent="1"/>
    </xf>
    <xf numFmtId="0" fontId="0" fillId="0" borderId="0" xfId="0" applyAlignment="1">
      <alignment horizontal="left" vertical="justify" indent="1"/>
    </xf>
    <xf numFmtId="0" fontId="25" fillId="0" borderId="19" xfId="0" applyFont="1" applyBorder="1" applyAlignment="1">
      <alignment horizontal="justify" wrapText="1"/>
    </xf>
    <xf numFmtId="0" fontId="25" fillId="0" borderId="0" xfId="0" applyFont="1" applyAlignment="1">
      <alignment horizontal="justify"/>
    </xf>
    <xf numFmtId="0" fontId="25" fillId="0" borderId="19" xfId="0" applyFont="1" applyBorder="1" applyAlignment="1">
      <alignment horizontal="justify"/>
    </xf>
    <xf numFmtId="0" fontId="26" fillId="0" borderId="15" xfId="0" applyFont="1" applyBorder="1" applyAlignment="1">
      <alignment horizontal="center"/>
    </xf>
    <xf numFmtId="0" fontId="26" fillId="0" borderId="0" xfId="0" applyFont="1" applyAlignment="1">
      <alignment horizontal="center" vertical="center"/>
    </xf>
  </cellXfs>
  <cellStyles count="6">
    <cellStyle name="Millares" xfId="1" builtinId="3"/>
    <cellStyle name="Millares 2 2 2 2 2 2" xfId="5" xr:uid="{CCF1C06E-2100-41F5-A506-2A63E1A09827}"/>
    <cellStyle name="Moneda" xfId="2" builtinId="4"/>
    <cellStyle name="Moneda 10 2 2 2 2 2 2" xfId="4" xr:uid="{15111128-EACD-4FE8-9BD1-44A0E840C64B}"/>
    <cellStyle name="Normal" xfId="0" builtinId="0"/>
    <cellStyle name="Porcentaje" xfId="3" builtinId="5"/>
  </cellStyles>
  <dxfs count="218">
    <dxf>
      <numFmt numFmtId="0" formatCode="General"/>
    </dxf>
    <dxf>
      <numFmt numFmtId="19" formatCode="m/d/yyyy"/>
    </dxf>
    <dxf>
      <numFmt numFmtId="19" formatCode="m/d/yyyy"/>
    </dxf>
    <dxf>
      <numFmt numFmtId="19" formatCode="m/d/yyyy"/>
    </dxf>
    <dxf>
      <font>
        <strike val="0"/>
        <outline val="0"/>
        <shadow val="0"/>
        <u val="none"/>
        <vertAlign val="baseline"/>
        <sz val="11"/>
        <color auto="1"/>
        <name val="Calibri"/>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35" formatCode="_(* #,##0.00_);_(* \(#,##0.00\);_(* &quot;-&quot;??_);_(@_)"/>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35" formatCode="_(* #,##0.00_);_(* \(#,##0.00\);_(* &quot;-&quot;??_);_(@_)"/>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35" formatCode="_(* #,##0.00_);_(* \(#,##0.00\);_(* &quot;-&quot;??_);_(@_)"/>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35" formatCode="_(* #,##0.00_);_(* \(#,##0.00\);_(* &quot;-&quot;??_);_(@_)"/>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35" formatCode="_(* #,##0.00_);_(* \(#,##0.00\);_(* &quot;-&quot;??_);_(@_)"/>
      <protection locked="0"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166" formatCode="&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4" formatCode="_(&quot;$&quot;* #,##0.00_);_(&quot;$&quot;* \(#,##0.00\);_(&quot;$&quot;*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13" formatCode="0%"/>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35" formatCode="_(* #,##0.00_);_(* \(#,##0.00\);_(* &quot;-&quot;??_);_(@_)"/>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5" formatCode="_(* #,##0.00_);_(* \(#,##0.00\);_(* &quot;-&quot;??_);_(@_)"/>
      <alignment horizontal="center" vertical="bottom" textRotation="0" wrapText="0" indent="0" justifyLastLine="0" shrinkToFit="0" readingOrder="0"/>
    </dxf>
    <dxf>
      <font>
        <strike val="0"/>
        <outline val="0"/>
        <shadow val="0"/>
        <u val="none"/>
        <vertAlign val="baseline"/>
        <sz val="9"/>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9"/>
        <color auto="1"/>
        <name val="Calibri"/>
        <family val="2"/>
        <scheme val="minor"/>
      </font>
      <numFmt numFmtId="35" formatCode="_(* #,##0.00_);_(* \(#,##0.00\);_(* &quot;-&quot;??_);_(@_)"/>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9"/>
        <name val="Calibri"/>
        <family val="2"/>
        <scheme val="minor"/>
      </font>
      <fill>
        <patternFill patternType="none">
          <fgColor indexed="64"/>
          <bgColor indexed="65"/>
        </patternFill>
      </fill>
      <protection locked="0" hidden="0"/>
    </dxf>
    <dxf>
      <font>
        <b val="0"/>
        <i val="0"/>
        <strike val="0"/>
        <condense val="0"/>
        <extend val="0"/>
        <outline val="0"/>
        <shadow val="0"/>
        <u val="none"/>
        <vertAlign val="baseline"/>
        <sz val="9"/>
        <color auto="1"/>
        <name val="Calibri"/>
        <family val="2"/>
        <scheme val="minor"/>
      </font>
      <numFmt numFmtId="35" formatCode="_(* #,##0.00_);_(* \(#,##0.00\);_(* &quot;-&quot;??_);_(@_)"/>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9"/>
        <color auto="1"/>
        <name val="Calibri"/>
        <family val="2"/>
        <scheme val="minor"/>
      </font>
      <numFmt numFmtId="35" formatCode="_(* #,##0.00_);_(* \(#,##0.00\);_(* &quot;-&quot;??_);_(@_)"/>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theme="1"/>
        <name val="Calibri"/>
        <family val="2"/>
        <scheme val="minor"/>
      </font>
      <numFmt numFmtId="35" formatCode="_(* #,##0.00_);_(* \(#,##0.00\);_(* &quot;-&quot;??_);_(@_)"/>
      <fill>
        <patternFill patternType="solid">
          <fgColor indexed="64"/>
          <bgColor theme="6" tint="0.59999389629810485"/>
        </patternFill>
      </fill>
      <protection locked="0" hidden="0"/>
    </dxf>
    <dxf>
      <font>
        <strike val="0"/>
        <outline val="0"/>
        <shadow val="0"/>
        <u val="none"/>
        <vertAlign val="baseline"/>
        <sz val="9"/>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6" tint="0.59999389629810485"/>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fill>
        <patternFill patternType="none">
          <fgColor indexed="64"/>
          <bgColor auto="1"/>
        </patternFill>
      </fill>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6" tint="0.59999389629810485"/>
        </patternFill>
      </fill>
      <protection locked="0" hidden="0"/>
    </dxf>
    <dxf>
      <font>
        <strike val="0"/>
        <outline val="0"/>
        <shadow val="0"/>
        <u val="none"/>
        <vertAlign val="baseline"/>
        <sz val="9"/>
        <name val="Calibri"/>
        <family val="2"/>
        <scheme val="minor"/>
      </font>
      <fill>
        <patternFill patternType="none">
          <fgColor indexed="64"/>
          <bgColor auto="1"/>
        </patternFill>
      </fill>
      <alignment horizontal="general" textRotation="0" indent="0" justifyLastLine="0" shrinkToFit="0" readingOrder="0"/>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0" indent="0" justifyLastLine="0" shrinkToFit="0" readingOrder="0"/>
      <protection locked="0" hidden="0"/>
    </dxf>
    <dxf>
      <font>
        <strike val="0"/>
        <outline val="0"/>
        <shadow val="0"/>
        <u val="none"/>
        <vertAlign val="baseline"/>
        <sz val="9"/>
        <color auto="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6" tint="0.59999389629810485"/>
        </patternFill>
      </fill>
      <alignment horizontal="left" vertical="bottom" textRotation="0" wrapText="0" indent="0" justifyLastLine="0" shrinkToFit="0" readingOrder="0"/>
      <protection locked="0" hidden="0"/>
    </dxf>
    <dxf>
      <font>
        <strike val="0"/>
        <outline val="0"/>
        <shadow val="0"/>
        <u val="none"/>
        <vertAlign val="baseline"/>
        <sz val="9"/>
        <name val="Calibri"/>
        <family val="2"/>
        <scheme val="minor"/>
      </font>
      <fill>
        <patternFill patternType="none">
          <fgColor indexed="64"/>
          <bgColor auto="1"/>
        </patternFill>
      </fill>
      <alignment horizontal="left" textRotation="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theme="0"/>
        </left>
        <right style="thin">
          <color theme="0"/>
        </right>
        <top style="thin">
          <color theme="0"/>
        </top>
        <bottom/>
      </border>
      <protection locked="0" hidden="0"/>
    </dxf>
    <dxf>
      <font>
        <b val="0"/>
        <i val="0"/>
        <strike val="0"/>
        <condense val="0"/>
        <extend val="0"/>
        <outline val="0"/>
        <shadow val="0"/>
        <u val="none"/>
        <vertAlign val="baseline"/>
        <sz val="9"/>
        <color auto="1"/>
        <name val="Calibri"/>
        <family val="2"/>
        <scheme val="minor"/>
      </font>
      <numFmt numFmtId="0" formatCode="General"/>
      <alignment horizontal="lef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alignment horizontal="left" vertical="center" textRotation="0" wrapText="0" indent="0" justifyLastLine="0" shrinkToFit="0" readingOrder="0"/>
      <protection locked="0" hidden="0"/>
    </dxf>
    <dxf>
      <font>
        <strike val="0"/>
        <outline val="0"/>
        <shadow val="0"/>
        <u val="none"/>
        <vertAlign val="baseline"/>
        <sz val="9"/>
        <color auto="1"/>
        <name val="Calibri"/>
        <family val="2"/>
        <scheme val="minor"/>
      </font>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6" tint="0.59999389629810485"/>
        </patternFill>
      </fill>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family val="2"/>
        <scheme val="minor"/>
      </font>
      <numFmt numFmtId="175" formatCode="dd/mm/yyyy"/>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numFmt numFmtId="175" formatCode="dd/mm/yyyy"/>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vertAlign val="baseline"/>
        <sz val="9"/>
        <name val="Calibri"/>
        <family val="2"/>
        <scheme val="minor"/>
      </font>
      <fill>
        <patternFill patternType="solid">
          <fgColor indexed="64"/>
          <bgColor theme="6" tint="0.59999389629810485"/>
        </patternFill>
      </fill>
      <protection locked="0" hidden="0"/>
    </dxf>
    <dxf>
      <font>
        <strike val="0"/>
        <outline val="0"/>
        <shadow val="0"/>
        <u val="none"/>
        <vertAlign val="baseline"/>
        <sz val="9"/>
        <name val="Calibri"/>
        <family val="2"/>
        <scheme val="minor"/>
      </font>
      <protection locked="0" hidden="0"/>
    </dxf>
    <dxf>
      <font>
        <strike val="0"/>
        <outline val="0"/>
        <shadow val="0"/>
        <u val="none"/>
        <vertAlign val="baseline"/>
        <sz val="9"/>
        <color auto="1"/>
        <name val="Calibri"/>
        <family val="2"/>
        <scheme val="minor"/>
      </font>
      <alignment horizontal="center" vertical="center" textRotation="0" wrapText="1" indent="0" justifyLastLine="0" shrinkToFit="0" readingOrder="0"/>
      <protection locked="0" hidden="0"/>
    </dxf>
    <dxf>
      <font>
        <color rgb="FF9C0006"/>
      </font>
      <fill>
        <patternFill>
          <bgColor rgb="FFFFC7CE"/>
        </patternFill>
      </fill>
    </dxf>
    <dxf>
      <font>
        <color auto="1"/>
      </font>
      <fill>
        <patternFill>
          <bgColor theme="7" tint="0.39994506668294322"/>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14" formatCode="0.00%"/>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fill>
        <patternFill patternType="solid">
          <fgColor indexed="64"/>
          <bgColor theme="6" tint="0.39997558519241921"/>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14" formatCode="0.00%"/>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auto="1"/>
        <name val="Calibri"/>
        <family val="2"/>
        <scheme val="minor"/>
      </font>
      <numFmt numFmtId="35" formatCode="_(* #,##0.00_);_(* \(#,##0.00\);_(* &quot;-&quot;??_);_(@_)"/>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35" formatCode="_(* #,##0.00_);_(* \(#,##0.00\);_(* &quot;-&quot;??_);_(@_)"/>
      <fill>
        <patternFill patternType="none">
          <fgColor indexed="64"/>
          <bgColor indexed="65"/>
        </patternFill>
      </fill>
      <alignment horizontal="center" vertical="bottom" textRotation="0" wrapText="0" indent="0" justifyLastLine="0" shrinkToFit="0" readingOrder="0"/>
      <protection locked="1" hidden="0"/>
    </dxf>
    <dxf>
      <numFmt numFmtId="35" formatCode="_(* #,##0.00_);_(* \(#,##0.00\);_(* &quot;-&quot;??_);_(@_)"/>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fill>
        <patternFill patternType="none">
          <fgColor indexed="64"/>
          <bgColor indexed="65"/>
        </patternFill>
      </fill>
      <protection locked="1" hidden="0"/>
    </dxf>
    <dxf>
      <numFmt numFmtId="35" formatCode="_(* #,##0.00_);_(* \(#,##0.00\);_(* &quot;-&quot;??_);_(@_)"/>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protection locked="1" hidden="0"/>
    </dxf>
    <dxf>
      <numFmt numFmtId="35" formatCode="_(* #,##0.00_);_(* \(#,##0.00\);_(* &quot;-&quot;??_);_(@_)"/>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0"/>
        <color theme="1"/>
        <name val="Calibri"/>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0"/>
        <color theme="1"/>
        <name val="Calibri"/>
        <family val="2"/>
        <scheme val="none"/>
      </font>
      <numFmt numFmtId="0" formatCode="General"/>
      <fill>
        <patternFill patternType="none">
          <fgColor indexed="64"/>
          <bgColor auto="1"/>
        </patternFill>
      </fill>
      <alignment horizontal="general"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fill>
        <patternFill patternType="solid">
          <fgColor indexed="64"/>
          <bgColor theme="6" tint="0.39997558519241921"/>
        </patternFill>
      </fill>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fill>
        <patternFill patternType="solid">
          <fgColor indexed="64"/>
          <bgColor theme="6" tint="0.39997558519241921"/>
        </patternFill>
      </fill>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protection locked="0" hidden="0"/>
    </dxf>
    <dxf>
      <fill>
        <patternFill patternType="solid">
          <fgColor indexed="64"/>
          <bgColor theme="6" tint="0.39997558519241921"/>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protection locked="1" hidden="0"/>
    </dxf>
    <dxf>
      <numFmt numFmtId="175" formatCode="dd/mm/yyyy"/>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numFmt numFmtId="175" formatCode="dd/mm/yyyy"/>
      <fill>
        <patternFill patternType="none">
          <fgColor indexed="64"/>
          <bgColor auto="1"/>
        </patternFill>
      </fill>
      <protection locked="0" hidden="0"/>
    </dxf>
    <dxf>
      <fill>
        <patternFill patternType="solid">
          <fgColor indexed="64"/>
          <bgColor theme="6" tint="0.39997558519241921"/>
        </patternFill>
      </fill>
      <protection locked="0" hidden="0"/>
    </dxf>
    <dxf>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dxf>
    <dxf>
      <font>
        <b val="0"/>
        <i val="0"/>
        <strike val="0"/>
        <condense val="0"/>
        <extend val="0"/>
        <outline val="0"/>
        <shadow val="0"/>
        <u val="none"/>
        <vertAlign val="baseline"/>
        <sz val="8"/>
        <color theme="1"/>
        <name val="Calibri"/>
        <family val="2"/>
        <scheme val="minor"/>
      </font>
      <numFmt numFmtId="14" formatCode="0.00%"/>
      <alignment horizontal="center" vertical="bottom" textRotation="0" wrapText="0" indent="0" justifyLastLine="0" shrinkToFit="0" readingOrder="0"/>
    </dxf>
    <dxf>
      <font>
        <strike val="0"/>
        <outline val="0"/>
        <shadow val="0"/>
        <u val="none"/>
        <vertAlign val="baseline"/>
        <sz val="8"/>
        <name val="Calibri"/>
        <family val="2"/>
        <scheme val="minor"/>
      </font>
      <numFmt numFmtId="14" formatCode="0.00%"/>
      <alignment horizontal="center" textRotation="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alignment horizontal="left" vertical="bottom" textRotation="0" wrapText="0" indent="0" justifyLastLine="0" shrinkToFit="0" readingOrder="0"/>
    </dxf>
    <dxf>
      <font>
        <strike val="0"/>
        <outline val="0"/>
        <shadow val="0"/>
        <u val="none"/>
        <vertAlign val="baseline"/>
        <sz val="8"/>
        <name val="Calibri"/>
        <family val="2"/>
        <scheme val="minor"/>
      </font>
      <numFmt numFmtId="35" formatCode="_(* #,##0.00_);_(* \(#,##0.00\);_(* &quot;-&quot;??_);_(@_)"/>
      <alignment horizontal="left" textRotation="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4" formatCode="0.00%"/>
      <alignment horizontal="center" textRotation="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numFmt numFmtId="35" formatCode="_(* #,##0.00_);_(* \(#,##0.00\);_(* &quot;-&quot;??_);_(@_)"/>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name val="Calibri"/>
        <family val="2"/>
        <scheme val="minor"/>
      </font>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name val="Calibri"/>
        <family val="2"/>
        <scheme val="minor"/>
      </font>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strike val="0"/>
        <outline val="0"/>
        <shadow val="0"/>
        <u val="none"/>
        <vertAlign val="baseline"/>
        <sz val="8"/>
        <name val="Calibri"/>
        <family val="2"/>
        <scheme val="minor"/>
      </font>
      <alignment horizontal="left" textRotation="0" indent="0" justifyLastLine="0" shrinkToFit="0" readingOrder="0"/>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name val="Calibri"/>
        <family val="2"/>
        <scheme val="minor"/>
      </font>
    </dxf>
    <dxf>
      <font>
        <b val="0"/>
        <i val="0"/>
        <strike val="0"/>
        <condense val="0"/>
        <extend val="0"/>
        <outline val="0"/>
        <shadow val="0"/>
        <u val="none"/>
        <vertAlign val="baseline"/>
        <sz val="8"/>
        <color auto="1"/>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name val="Calibri"/>
        <family val="2"/>
        <scheme val="minor"/>
      </font>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175" formatCode="dd/mm/yyyy"/>
      <alignment horizontal="left" vertical="bottom" textRotation="0" wrapText="0" indent="0" justifyLastLine="0" shrinkToFit="0" readingOrder="0"/>
    </dxf>
    <dxf>
      <font>
        <strike val="0"/>
        <outline val="0"/>
        <shadow val="0"/>
        <u val="none"/>
        <vertAlign val="baseline"/>
        <sz val="9"/>
        <name val="Century Gothic"/>
        <family val="2"/>
        <scheme val="none"/>
      </font>
      <numFmt numFmtId="175" formatCode="dd/mm/yyyy"/>
      <alignment horizontal="center" vertical="center" textRotation="0" wrapText="0" indent="0" justifyLastLine="0" shrinkToFit="0" readingOrder="0"/>
    </dxf>
    <dxf>
      <font>
        <strike val="0"/>
        <outline val="0"/>
        <shadow val="0"/>
        <u val="none"/>
        <vertAlign val="baseline"/>
        <sz val="8"/>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font>
        <b val="0"/>
        <i val="0"/>
        <strike val="0"/>
        <condense val="0"/>
        <extend val="0"/>
        <outline val="0"/>
        <shadow val="0"/>
        <u val="none"/>
        <vertAlign val="baseline"/>
        <sz val="11"/>
        <color theme="1"/>
        <name val="Calibri"/>
        <family val="2"/>
        <scheme val="minor"/>
      </font>
      <numFmt numFmtId="12" formatCode="&quot;$&quot;#,##0.00_);[Red]\(&quot;$&quot;#,##0.00\)"/>
      <fill>
        <patternFill patternType="none">
          <fgColor indexed="64"/>
          <bgColor indexed="65"/>
        </patternFill>
      </fill>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protection locked="1" hidden="0"/>
    </dxf>
    <dxf>
      <font>
        <strike val="0"/>
        <outline val="0"/>
        <shadow val="0"/>
        <u val="none"/>
        <vertAlign val="baseline"/>
        <sz val="10"/>
        <color theme="1"/>
        <name val="Calibri"/>
        <family val="2"/>
        <scheme val="minor"/>
      </font>
      <fill>
        <patternFill>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F63C2E"/>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2.xml"/><Relationship Id="rId18" Type="http://schemas.openxmlformats.org/officeDocument/2006/relationships/worksheet" Target="worksheets/sheet16.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chartsheet" Target="chartsheets/sheet1.xml"/><Relationship Id="rId17" Type="http://schemas.openxmlformats.org/officeDocument/2006/relationships/worksheet" Target="worksheets/sheet15.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externalLink" Target="externalLinks/externalLink5.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2.xml"/><Relationship Id="rId22" Type="http://schemas.openxmlformats.org/officeDocument/2006/relationships/externalLink" Target="externalLinks/externalLink4.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Caratula!$B$1:$B$5</c:f>
              <c:strCache>
                <c:ptCount val="5"/>
                <c:pt idx="0">
                  <c:v>COMISIONES</c:v>
                </c:pt>
                <c:pt idx="1">
                  <c:v>Del 01 al 15 de enero 2023</c:v>
                </c:pt>
                <c:pt idx="2">
                  <c:v>COMISIONES</c:v>
                </c:pt>
                <c:pt idx="4">
                  <c:v>ASESOR</c:v>
                </c:pt>
              </c:strCache>
            </c:strRef>
          </c:tx>
          <c:spPr>
            <a:solidFill>
              <a:schemeClr val="accent1"/>
            </a:solidFill>
            <a:ln>
              <a:noFill/>
            </a:ln>
            <a:effectLst/>
          </c:spPr>
          <c:invertIfNegative val="0"/>
          <c:cat>
            <c:strRef>
              <c:f>Caratula!$A$49:$A$49</c:f>
              <c:strCache>
                <c:ptCount val="1"/>
                <c:pt idx="0">
                  <c:v>TOTALES</c:v>
                </c:pt>
              </c:strCache>
            </c:strRef>
          </c:cat>
          <c:val>
            <c:numRef>
              <c:f>Caratula!$B$49:$B$49</c:f>
              <c:numCache>
                <c:formatCode>_(* #,##0.00_);_(* \(#,##0.00\);_(* "-"??_);_(@_)</c:formatCode>
                <c:ptCount val="1"/>
                <c:pt idx="0">
                  <c:v>0</c:v>
                </c:pt>
              </c:numCache>
            </c:numRef>
          </c:val>
          <c:extLst>
            <c:ext xmlns:c16="http://schemas.microsoft.com/office/drawing/2014/chart" uri="{C3380CC4-5D6E-409C-BE32-E72D297353CC}">
              <c16:uniqueId val="{00000000-0783-469E-B106-6169BBE134C0}"/>
            </c:ext>
          </c:extLst>
        </c:ser>
        <c:ser>
          <c:idx val="1"/>
          <c:order val="1"/>
          <c:tx>
            <c:strRef>
              <c:f>Caratula!$P$1:$P$5</c:f>
              <c:strCache>
                <c:ptCount val="5"/>
                <c:pt idx="0">
                  <c:v>2° Diciembre</c:v>
                </c:pt>
                <c:pt idx="2">
                  <c:v>DESCUENTOS</c:v>
                </c:pt>
                <c:pt idx="3">
                  <c:v>16-Jan</c:v>
                </c:pt>
                <c:pt idx="4">
                  <c:v>VENTAS</c:v>
                </c:pt>
              </c:strCache>
            </c:strRef>
          </c:tx>
          <c:spPr>
            <a:solidFill>
              <a:schemeClr val="accent2"/>
            </a:solidFill>
            <a:ln>
              <a:noFill/>
            </a:ln>
            <a:effectLst/>
          </c:spPr>
          <c:invertIfNegative val="0"/>
          <c:cat>
            <c:strRef>
              <c:f>Caratula!$A$49:$A$49</c:f>
              <c:strCache>
                <c:ptCount val="1"/>
                <c:pt idx="0">
                  <c:v>TOTALES</c:v>
                </c:pt>
              </c:strCache>
            </c:strRef>
          </c:cat>
          <c:val>
            <c:numRef>
              <c:f>Caratula!$P$49:$P$49</c:f>
              <c:numCache>
                <c:formatCode>_(* #,##0.00_);_(* \(#,##0.00\);_(* "-"??_);_(@_)</c:formatCode>
                <c:ptCount val="1"/>
                <c:pt idx="0">
                  <c:v>0</c:v>
                </c:pt>
              </c:numCache>
            </c:numRef>
          </c:val>
          <c:extLst>
            <c:ext xmlns:c16="http://schemas.microsoft.com/office/drawing/2014/chart" uri="{C3380CC4-5D6E-409C-BE32-E72D297353CC}">
              <c16:uniqueId val="{00000001-0783-469E-B106-6169BBE134C0}"/>
            </c:ext>
          </c:extLst>
        </c:ser>
        <c:ser>
          <c:idx val="2"/>
          <c:order val="2"/>
          <c:tx>
            <c:strRef>
              <c:f>Caratula!$R$1:$R$5</c:f>
              <c:strCache>
                <c:ptCount val="5"/>
                <c:pt idx="0">
                  <c:v>2° Diciembre</c:v>
                </c:pt>
                <c:pt idx="2">
                  <c:v>TOTAL</c:v>
                </c:pt>
                <c:pt idx="3">
                  <c:v>16-Jan</c:v>
                </c:pt>
                <c:pt idx="4">
                  <c:v>VENTAS</c:v>
                </c:pt>
              </c:strCache>
            </c:strRef>
          </c:tx>
          <c:spPr>
            <a:solidFill>
              <a:schemeClr val="accent3"/>
            </a:solidFill>
            <a:ln>
              <a:noFill/>
            </a:ln>
            <a:effectLst/>
          </c:spPr>
          <c:invertIfNegative val="0"/>
          <c:cat>
            <c:strRef>
              <c:f>Caratula!$A$49:$A$49</c:f>
              <c:strCache>
                <c:ptCount val="1"/>
                <c:pt idx="0">
                  <c:v>TOTALES</c:v>
                </c:pt>
              </c:strCache>
            </c:strRef>
          </c:cat>
          <c:val>
            <c:numRef>
              <c:f>Caratula!$R$49:$R$49</c:f>
              <c:numCache>
                <c:formatCode>_(* #,##0.00_);_(* \(#,##0.00\);_(* "-"??_);_(@_)</c:formatCode>
                <c:ptCount val="1"/>
                <c:pt idx="0">
                  <c:v>0</c:v>
                </c:pt>
              </c:numCache>
            </c:numRef>
          </c:val>
          <c:extLst>
            <c:ext xmlns:c16="http://schemas.microsoft.com/office/drawing/2014/chart" uri="{C3380CC4-5D6E-409C-BE32-E72D297353CC}">
              <c16:uniqueId val="{00000002-0783-469E-B106-6169BBE134C0}"/>
            </c:ext>
          </c:extLst>
        </c:ser>
        <c:dLbls>
          <c:showLegendKey val="0"/>
          <c:showVal val="0"/>
          <c:showCatName val="0"/>
          <c:showSerName val="0"/>
          <c:showPercent val="0"/>
          <c:showBubbleSize val="0"/>
        </c:dLbls>
        <c:gapWidth val="219"/>
        <c:overlap val="-27"/>
        <c:axId val="334485352"/>
        <c:axId val="334485680"/>
      </c:barChart>
      <c:catAx>
        <c:axId val="334485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34485680"/>
        <c:crosses val="autoZero"/>
        <c:auto val="1"/>
        <c:lblAlgn val="ctr"/>
        <c:lblOffset val="100"/>
        <c:noMultiLvlLbl val="0"/>
      </c:catAx>
      <c:valAx>
        <c:axId val="33448568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34485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Caratula!$B$1:$B$5</c:f>
              <c:strCache>
                <c:ptCount val="5"/>
                <c:pt idx="0">
                  <c:v>COMISIONES</c:v>
                </c:pt>
                <c:pt idx="1">
                  <c:v>Del 01 al 15 de enero 2023</c:v>
                </c:pt>
                <c:pt idx="2">
                  <c:v>COMISIONES</c:v>
                </c:pt>
                <c:pt idx="4">
                  <c:v>ASESOR</c:v>
                </c:pt>
              </c:strCache>
            </c:strRef>
          </c:tx>
          <c:spPr>
            <a:solidFill>
              <a:schemeClr val="accent1"/>
            </a:solidFill>
            <a:ln>
              <a:noFill/>
            </a:ln>
            <a:effectLst/>
          </c:spPr>
          <c:invertIfNegative val="0"/>
          <c:cat>
            <c:strRef>
              <c:f>Caratula!$A$49:$A$49</c:f>
              <c:strCache>
                <c:ptCount val="1"/>
                <c:pt idx="0">
                  <c:v>TOTALES</c:v>
                </c:pt>
              </c:strCache>
            </c:strRef>
          </c:cat>
          <c:val>
            <c:numRef>
              <c:f>Caratula!$B$49:$B$49</c:f>
              <c:numCache>
                <c:formatCode>_(* #,##0.00_);_(* \(#,##0.00\);_(* "-"??_);_(@_)</c:formatCode>
                <c:ptCount val="1"/>
                <c:pt idx="0">
                  <c:v>0</c:v>
                </c:pt>
              </c:numCache>
            </c:numRef>
          </c:val>
          <c:extLst>
            <c:ext xmlns:c16="http://schemas.microsoft.com/office/drawing/2014/chart" uri="{C3380CC4-5D6E-409C-BE32-E72D297353CC}">
              <c16:uniqueId val="{00000000-D2DA-4B14-BE15-94FDCFE11F49}"/>
            </c:ext>
          </c:extLst>
        </c:ser>
        <c:ser>
          <c:idx val="1"/>
          <c:order val="1"/>
          <c:tx>
            <c:strRef>
              <c:f>Caratula!$P$1:$P$5</c:f>
              <c:strCache>
                <c:ptCount val="5"/>
                <c:pt idx="0">
                  <c:v>2° Diciembre</c:v>
                </c:pt>
                <c:pt idx="2">
                  <c:v>DESCUENTOS</c:v>
                </c:pt>
                <c:pt idx="3">
                  <c:v>16-Jan</c:v>
                </c:pt>
                <c:pt idx="4">
                  <c:v>VENTAS</c:v>
                </c:pt>
              </c:strCache>
            </c:strRef>
          </c:tx>
          <c:spPr>
            <a:solidFill>
              <a:schemeClr val="accent2"/>
            </a:solidFill>
            <a:ln>
              <a:noFill/>
            </a:ln>
            <a:effectLst/>
          </c:spPr>
          <c:invertIfNegative val="0"/>
          <c:cat>
            <c:strRef>
              <c:f>Caratula!$A$49:$A$49</c:f>
              <c:strCache>
                <c:ptCount val="1"/>
                <c:pt idx="0">
                  <c:v>TOTALES</c:v>
                </c:pt>
              </c:strCache>
            </c:strRef>
          </c:cat>
          <c:val>
            <c:numRef>
              <c:f>Caratula!$P$49:$P$49</c:f>
              <c:numCache>
                <c:formatCode>_(* #,##0.00_);_(* \(#,##0.00\);_(* "-"??_);_(@_)</c:formatCode>
                <c:ptCount val="1"/>
                <c:pt idx="0">
                  <c:v>0</c:v>
                </c:pt>
              </c:numCache>
            </c:numRef>
          </c:val>
          <c:extLst>
            <c:ext xmlns:c16="http://schemas.microsoft.com/office/drawing/2014/chart" uri="{C3380CC4-5D6E-409C-BE32-E72D297353CC}">
              <c16:uniqueId val="{00000001-D2DA-4B14-BE15-94FDCFE11F49}"/>
            </c:ext>
          </c:extLst>
        </c:ser>
        <c:ser>
          <c:idx val="2"/>
          <c:order val="2"/>
          <c:tx>
            <c:strRef>
              <c:f>Caratula!$R$1:$R$5</c:f>
              <c:strCache>
                <c:ptCount val="5"/>
                <c:pt idx="0">
                  <c:v>2° Diciembre</c:v>
                </c:pt>
                <c:pt idx="2">
                  <c:v>TOTAL</c:v>
                </c:pt>
                <c:pt idx="3">
                  <c:v>16-Jan</c:v>
                </c:pt>
                <c:pt idx="4">
                  <c:v>VENTAS</c:v>
                </c:pt>
              </c:strCache>
            </c:strRef>
          </c:tx>
          <c:spPr>
            <a:solidFill>
              <a:schemeClr val="accent3"/>
            </a:solidFill>
            <a:ln>
              <a:noFill/>
            </a:ln>
            <a:effectLst/>
          </c:spPr>
          <c:invertIfNegative val="0"/>
          <c:cat>
            <c:strRef>
              <c:f>Caratula!$A$49:$A$49</c:f>
              <c:strCache>
                <c:ptCount val="1"/>
                <c:pt idx="0">
                  <c:v>TOTALES</c:v>
                </c:pt>
              </c:strCache>
            </c:strRef>
          </c:cat>
          <c:val>
            <c:numRef>
              <c:f>Caratula!$R$49:$R$49</c:f>
              <c:numCache>
                <c:formatCode>_(* #,##0.00_);_(* \(#,##0.00\);_(* "-"??_);_(@_)</c:formatCode>
                <c:ptCount val="1"/>
                <c:pt idx="0">
                  <c:v>0</c:v>
                </c:pt>
              </c:numCache>
            </c:numRef>
          </c:val>
          <c:extLst>
            <c:ext xmlns:c16="http://schemas.microsoft.com/office/drawing/2014/chart" uri="{C3380CC4-5D6E-409C-BE32-E72D297353CC}">
              <c16:uniqueId val="{00000002-D2DA-4B14-BE15-94FDCFE11F49}"/>
            </c:ext>
          </c:extLst>
        </c:ser>
        <c:dLbls>
          <c:showLegendKey val="0"/>
          <c:showVal val="0"/>
          <c:showCatName val="0"/>
          <c:showSerName val="0"/>
          <c:showPercent val="0"/>
          <c:showBubbleSize val="0"/>
        </c:dLbls>
        <c:gapWidth val="219"/>
        <c:overlap val="-27"/>
        <c:axId val="400605640"/>
        <c:axId val="400610232"/>
      </c:barChart>
      <c:catAx>
        <c:axId val="400605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00610232"/>
        <c:crosses val="autoZero"/>
        <c:auto val="1"/>
        <c:lblAlgn val="ctr"/>
        <c:lblOffset val="100"/>
        <c:noMultiLvlLbl val="0"/>
      </c:catAx>
      <c:valAx>
        <c:axId val="40061023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0060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B9CAE07-3255-464A-B890-84EFF92AFF3F}">
  <sheetPr codeName="Gráfico1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8DC3AFB-6D4C-4598-8654-258069E9B4F5}">
  <sheetPr codeName="Gráfico12"/>
  <sheetViews>
    <sheetView zoomScale="6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63500</xdr:rowOff>
    </xdr:from>
    <xdr:to>
      <xdr:col>1</xdr:col>
      <xdr:colOff>1250156</xdr:colOff>
      <xdr:row>3</xdr:row>
      <xdr:rowOff>23812</xdr:rowOff>
    </xdr:to>
    <xdr:pic>
      <xdr:nvPicPr>
        <xdr:cNvPr id="2" name="Imagen 1">
          <a:extLst>
            <a:ext uri="{FF2B5EF4-FFF2-40B4-BE49-F238E27FC236}">
              <a16:creationId xmlns:a16="http://schemas.microsoft.com/office/drawing/2014/main" id="{8A4997FD-E830-47EF-9C6F-7E12BE8C0957}"/>
            </a:ext>
          </a:extLst>
        </xdr:cNvPr>
        <xdr:cNvPicPr>
          <a:picLocks noChangeAspect="1"/>
        </xdr:cNvPicPr>
      </xdr:nvPicPr>
      <xdr:blipFill>
        <a:blip xmlns:r="http://schemas.openxmlformats.org/officeDocument/2006/relationships" r:embed="rId1"/>
        <a:stretch>
          <a:fillRect/>
        </a:stretch>
      </xdr:blipFill>
      <xdr:spPr>
        <a:xfrm>
          <a:off x="355600" y="63500"/>
          <a:ext cx="1212056" cy="579437"/>
        </a:xfrm>
        <a:prstGeom prst="rect">
          <a:avLst/>
        </a:prstGeom>
      </xdr:spPr>
    </xdr:pic>
    <xdr:clientData/>
  </xdr:twoCellAnchor>
  <xdr:twoCellAnchor editAs="oneCell">
    <xdr:from>
      <xdr:col>9</xdr:col>
      <xdr:colOff>12942</xdr:colOff>
      <xdr:row>0</xdr:row>
      <xdr:rowOff>57151</xdr:rowOff>
    </xdr:from>
    <xdr:to>
      <xdr:col>9</xdr:col>
      <xdr:colOff>1250155</xdr:colOff>
      <xdr:row>3</xdr:row>
      <xdr:rowOff>23812</xdr:rowOff>
    </xdr:to>
    <xdr:pic>
      <xdr:nvPicPr>
        <xdr:cNvPr id="3" name="Imagen 2">
          <a:extLst>
            <a:ext uri="{FF2B5EF4-FFF2-40B4-BE49-F238E27FC236}">
              <a16:creationId xmlns:a16="http://schemas.microsoft.com/office/drawing/2014/main" id="{AADB1D6C-0B08-447C-8C29-01BEA776700B}"/>
            </a:ext>
          </a:extLst>
        </xdr:cNvPr>
        <xdr:cNvPicPr>
          <a:picLocks noChangeAspect="1"/>
        </xdr:cNvPicPr>
      </xdr:nvPicPr>
      <xdr:blipFill>
        <a:blip xmlns:r="http://schemas.openxmlformats.org/officeDocument/2006/relationships" r:embed="rId2"/>
        <a:stretch>
          <a:fillRect/>
        </a:stretch>
      </xdr:blipFill>
      <xdr:spPr>
        <a:xfrm>
          <a:off x="4858786" y="57151"/>
          <a:ext cx="1237213" cy="5857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absoluteAnchor>
    <xdr:pos x="0" y="0"/>
    <xdr:ext cx="9312088" cy="6084794"/>
    <xdr:graphicFrame macro="">
      <xdr:nvGraphicFramePr>
        <xdr:cNvPr id="2" name="Gráfico 1">
          <a:extLst>
            <a:ext uri="{FF2B5EF4-FFF2-40B4-BE49-F238E27FC236}">
              <a16:creationId xmlns:a16="http://schemas.microsoft.com/office/drawing/2014/main" id="{E5545742-5804-4BF1-A2FD-0A63C1CDB55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5192" cy="6081346"/>
    <xdr:graphicFrame macro="">
      <xdr:nvGraphicFramePr>
        <xdr:cNvPr id="2" name="Gráfico 1">
          <a:extLst>
            <a:ext uri="{FF2B5EF4-FFF2-40B4-BE49-F238E27FC236}">
              <a16:creationId xmlns:a16="http://schemas.microsoft.com/office/drawing/2014/main" id="{8554F62C-20F8-4D83-ABAC-C5AB880EEDD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63500</xdr:rowOff>
    </xdr:from>
    <xdr:to>
      <xdr:col>1</xdr:col>
      <xdr:colOff>1250156</xdr:colOff>
      <xdr:row>3</xdr:row>
      <xdr:rowOff>71437</xdr:rowOff>
    </xdr:to>
    <xdr:pic>
      <xdr:nvPicPr>
        <xdr:cNvPr id="2" name="Imagen 1">
          <a:extLst>
            <a:ext uri="{FF2B5EF4-FFF2-40B4-BE49-F238E27FC236}">
              <a16:creationId xmlns:a16="http://schemas.microsoft.com/office/drawing/2014/main" id="{6A982DCE-FF0D-42EC-924D-BEB8958B5A1D}"/>
            </a:ext>
          </a:extLst>
        </xdr:cNvPr>
        <xdr:cNvPicPr>
          <a:picLocks noChangeAspect="1"/>
        </xdr:cNvPicPr>
      </xdr:nvPicPr>
      <xdr:blipFill>
        <a:blip xmlns:r="http://schemas.openxmlformats.org/officeDocument/2006/relationships" r:embed="rId1"/>
        <a:stretch>
          <a:fillRect/>
        </a:stretch>
      </xdr:blipFill>
      <xdr:spPr>
        <a:xfrm>
          <a:off x="219075" y="63500"/>
          <a:ext cx="1212056" cy="579437"/>
        </a:xfrm>
        <a:prstGeom prst="rect">
          <a:avLst/>
        </a:prstGeom>
      </xdr:spPr>
    </xdr:pic>
    <xdr:clientData/>
  </xdr:twoCellAnchor>
  <xdr:twoCellAnchor editAs="oneCell">
    <xdr:from>
      <xdr:col>9</xdr:col>
      <xdr:colOff>12942</xdr:colOff>
      <xdr:row>0</xdr:row>
      <xdr:rowOff>57151</xdr:rowOff>
    </xdr:from>
    <xdr:to>
      <xdr:col>9</xdr:col>
      <xdr:colOff>1250155</xdr:colOff>
      <xdr:row>3</xdr:row>
      <xdr:rowOff>71437</xdr:rowOff>
    </xdr:to>
    <xdr:pic>
      <xdr:nvPicPr>
        <xdr:cNvPr id="3" name="Imagen 2">
          <a:extLst>
            <a:ext uri="{FF2B5EF4-FFF2-40B4-BE49-F238E27FC236}">
              <a16:creationId xmlns:a16="http://schemas.microsoft.com/office/drawing/2014/main" id="{23935DDE-E455-4F54-B69D-EE129D7AA00B}"/>
            </a:ext>
          </a:extLst>
        </xdr:cNvPr>
        <xdr:cNvPicPr>
          <a:picLocks noChangeAspect="1"/>
        </xdr:cNvPicPr>
      </xdr:nvPicPr>
      <xdr:blipFill>
        <a:blip xmlns:r="http://schemas.openxmlformats.org/officeDocument/2006/relationships" r:embed="rId2"/>
        <a:stretch>
          <a:fillRect/>
        </a:stretch>
      </xdr:blipFill>
      <xdr:spPr>
        <a:xfrm>
          <a:off x="8794992" y="57151"/>
          <a:ext cx="1237213" cy="58578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161925</xdr:colOff>
      <xdr:row>0</xdr:row>
      <xdr:rowOff>38100</xdr:rowOff>
    </xdr:from>
    <xdr:to>
      <xdr:col>1</xdr:col>
      <xdr:colOff>161925</xdr:colOff>
      <xdr:row>5</xdr:row>
      <xdr:rowOff>21772</xdr:rowOff>
    </xdr:to>
    <xdr:pic>
      <xdr:nvPicPr>
        <xdr:cNvPr id="2" name="Imagen 1">
          <a:extLst>
            <a:ext uri="{FF2B5EF4-FFF2-40B4-BE49-F238E27FC236}">
              <a16:creationId xmlns:a16="http://schemas.microsoft.com/office/drawing/2014/main" id="{CAD25581-FF2F-4487-964C-105269CB3D8D}"/>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86459"/>
        <a:stretch/>
      </xdr:blipFill>
      <xdr:spPr bwMode="auto">
        <a:xfrm>
          <a:off x="333375" y="38100"/>
          <a:ext cx="5353050" cy="850447"/>
        </a:xfrm>
        <a:prstGeom prst="rect">
          <a:avLst/>
        </a:prstGeom>
        <a:noFill/>
        <a:ln>
          <a:noFill/>
        </a:ln>
      </xdr:spPr>
    </xdr:pic>
    <xdr:clientData/>
  </xdr:twoCellAnchor>
  <xdr:twoCellAnchor editAs="oneCell">
    <xdr:from>
      <xdr:col>1</xdr:col>
      <xdr:colOff>19050</xdr:colOff>
      <xdr:row>0</xdr:row>
      <xdr:rowOff>0</xdr:rowOff>
    </xdr:from>
    <xdr:to>
      <xdr:col>7</xdr:col>
      <xdr:colOff>9525</xdr:colOff>
      <xdr:row>5</xdr:row>
      <xdr:rowOff>59872</xdr:rowOff>
    </xdr:to>
    <xdr:pic>
      <xdr:nvPicPr>
        <xdr:cNvPr id="3" name="Imagen 2">
          <a:extLst>
            <a:ext uri="{FF2B5EF4-FFF2-40B4-BE49-F238E27FC236}">
              <a16:creationId xmlns:a16="http://schemas.microsoft.com/office/drawing/2014/main" id="{C3C01DDF-6F22-4E93-9FD9-F5D677FB5D57}"/>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86459"/>
        <a:stretch/>
      </xdr:blipFill>
      <xdr:spPr bwMode="auto">
        <a:xfrm>
          <a:off x="190500" y="0"/>
          <a:ext cx="6143625" cy="850447"/>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1/T30/LOCALS~1/Temp/&#19975;&#33021;&#20272;&#20215;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OCUME~1\T30\LOCALS~1\Temp\&#19975;&#33021;&#20272;&#20215;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Nueva%20carpeta/Planeaci&#243;n!/Requisiciones/MATERIA%20PRIMA/Gravedad/Plan%202020%20MPG%20a%201.5%20meses%20(V10.1)%20.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Desktop\REPORTES\Utilidad\2021\Utilidad%202021%201.19.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PC/Downloads/BUENO%20COSTEOS%20POR%20ARTICULO.V2%20THD-%20copia%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本厂新钢板支架"/>
      <sheetName val="临平 (2)"/>
      <sheetName val="反射板"/>
      <sheetName val="角铁支架"/>
      <sheetName val="钢板支架"/>
      <sheetName val="底托"/>
      <sheetName val="430水箱成本"/>
      <sheetName val="Sheet3"/>
      <sheetName val="方管支架"/>
      <sheetName val="成本核算"/>
      <sheetName val="水箱成本"/>
      <sheetName val="Sheet2"/>
      <sheetName val="水箱尺寸"/>
      <sheetName val="临平"/>
      <sheetName val="反射板成本"/>
      <sheetName val="尺寸"/>
      <sheetName val="钢管支架"/>
      <sheetName val="华信钢板支架"/>
      <sheetName val="本厂钢板支架"/>
      <sheetName val="CATÁLOGOS"/>
      <sheetName val="BASE DE 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本厂新钢板支架"/>
      <sheetName val="临平 (2)"/>
      <sheetName val="反射板"/>
      <sheetName val="角铁支架"/>
      <sheetName val="钢板支架"/>
      <sheetName val="底托"/>
      <sheetName val="430水箱成本"/>
      <sheetName val="Sheet3"/>
      <sheetName val="方管支架"/>
      <sheetName val="成本核算"/>
      <sheetName val="水箱成本"/>
      <sheetName val="Sheet2"/>
      <sheetName val="水箱尺寸"/>
      <sheetName val="临平"/>
      <sheetName val="反射板成本"/>
      <sheetName val="尺寸"/>
      <sheetName val="钢管支架"/>
      <sheetName val="华信钢板支架"/>
      <sheetName val="本厂钢板支架"/>
      <sheetName val="CATÁLOGOS"/>
      <sheetName val="BASE DE 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M Final"/>
      <sheetName val="Existencias"/>
      <sheetName val="LlegadasConfirmadas"/>
      <sheetName val="LlegadasPlaneadas"/>
      <sheetName val="Plan Producción"/>
      <sheetName val="MPG-PLAN (S)"/>
      <sheetName val="MPG-PLAN (D)"/>
      <sheetName val="R"/>
      <sheetName val="GRÁFICAS"/>
      <sheetName val="GRÁFICA INVENTARIO"/>
      <sheetName val="GRÁFICA INVERSIÓN"/>
      <sheetName val="Cálculo PEB normal"/>
      <sheetName val="Costo Prom Bodega"/>
      <sheetName val="Cálculo PEB-Zhang"/>
      <sheetName val="MPG-REAL"/>
      <sheetName val="PROPUESTA"/>
      <sheetName val="R  ACERO"/>
      <sheetName val="Calendario"/>
      <sheetName val="CATALOGO"/>
      <sheetName val="Total &quot;Necesidad&quot;"/>
      <sheetName val="DEUDA A ZHA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B1">
            <v>2019</v>
          </cell>
          <cell r="C1" t="str">
            <v>noviembre</v>
          </cell>
        </row>
        <row r="2">
          <cell r="B2" t="str">
            <v>DOMINGO</v>
          </cell>
        </row>
        <row r="15">
          <cell r="B15">
            <v>2019</v>
          </cell>
          <cell r="C15" t="str">
            <v>diciembre</v>
          </cell>
        </row>
        <row r="29">
          <cell r="B29">
            <v>2020</v>
          </cell>
          <cell r="C29" t="str">
            <v>enero</v>
          </cell>
        </row>
        <row r="43">
          <cell r="B43">
            <v>2020</v>
          </cell>
          <cell r="C43" t="str">
            <v>febrero</v>
          </cell>
        </row>
        <row r="57">
          <cell r="B57">
            <v>2020</v>
          </cell>
          <cell r="C57" t="str">
            <v>marzo</v>
          </cell>
        </row>
        <row r="71">
          <cell r="B71">
            <v>2020</v>
          </cell>
          <cell r="C71" t="str">
            <v>abril</v>
          </cell>
        </row>
        <row r="85">
          <cell r="B85">
            <v>2020</v>
          </cell>
          <cell r="C85" t="str">
            <v>mayo</v>
          </cell>
        </row>
        <row r="99">
          <cell r="B99">
            <v>2020</v>
          </cell>
          <cell r="C99" t="str">
            <v>junio</v>
          </cell>
        </row>
        <row r="113">
          <cell r="B113">
            <v>2020</v>
          </cell>
          <cell r="C113" t="str">
            <v>julio</v>
          </cell>
        </row>
        <row r="127">
          <cell r="B127">
            <v>2020</v>
          </cell>
          <cell r="C127" t="str">
            <v>agosto</v>
          </cell>
        </row>
        <row r="141">
          <cell r="B141">
            <v>2020</v>
          </cell>
          <cell r="C141" t="str">
            <v>septiembre</v>
          </cell>
        </row>
        <row r="155">
          <cell r="B155">
            <v>2020</v>
          </cell>
          <cell r="C155" t="str">
            <v>octubre</v>
          </cell>
        </row>
      </sheetData>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talogos"/>
      <sheetName val="Venta"/>
      <sheetName val="Descuentos"/>
      <sheetName val="Devoluciones"/>
      <sheetName val="Ingresos"/>
      <sheetName val="T.C. DOF"/>
      <sheetName val="Cajas"/>
      <sheetName val="E. Efe."/>
      <sheetName val="Grueso"/>
      <sheetName val="Comisiones"/>
      <sheetName val="Hoja3"/>
      <sheetName val="Nominas"/>
      <sheetName val="Nombres"/>
      <sheetName val="Rentas"/>
      <sheetName val="Resumen"/>
      <sheetName val=" Combustible"/>
      <sheetName val="Peajes"/>
      <sheetName val="Bancos"/>
      <sheetName val="E.Ef.G."/>
      <sheetName val="Inv Grueso"/>
      <sheetName val="Resumen Grueso"/>
      <sheetName val="Resumen Grueso (2)"/>
      <sheetName val="ER Grueso"/>
      <sheetName val="Resumen ERA"/>
      <sheetName val="ER ERA"/>
      <sheetName val="Costos Inv."/>
      <sheetName val="Flujo 1.1"/>
      <sheetName val="GASTOS"/>
      <sheetName val="Resumen Tiendas"/>
      <sheetName val="ER Tiendas"/>
      <sheetName val="Flujo efe"/>
      <sheetName val="Fluj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3">
          <cell r="C3">
            <v>0</v>
          </cell>
        </row>
      </sheetData>
      <sheetData sheetId="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B 2021"/>
      <sheetName val="DDP´s 2021 ERA-LORENTO"/>
      <sheetName val="DDP´s 2021 GRUESO"/>
      <sheetName val="GRAFICO DE COMPORTAMIENTO"/>
      <sheetName val="COMPORTAMIENTOS $ PONDERADO"/>
      <sheetName val="BD"/>
      <sheetName val="TULTITLAN"/>
      <sheetName val="RESUMEN"/>
      <sheetName val="Resumen ddps jul"/>
      <sheetName val="PONDERACIÓN DE COSTOS final"/>
      <sheetName val="PRECIOS"/>
      <sheetName val="COSTOS - LISTAS"/>
    </sheetNames>
    <sheetDataSet>
      <sheetData sheetId="0"/>
      <sheetData sheetId="1">
        <row r="1">
          <cell r="A1" t="str">
            <v>RESUMEN POR ARTICULO-PEDIDO ERA Y LORENTO DDP'S</v>
          </cell>
          <cell r="B1">
            <v>0</v>
          </cell>
          <cell r="C1">
            <v>0</v>
          </cell>
          <cell r="D1">
            <v>0</v>
          </cell>
          <cell r="E1">
            <v>0</v>
          </cell>
          <cell r="F1">
            <v>0</v>
          </cell>
          <cell r="G1">
            <v>186468</v>
          </cell>
          <cell r="H1">
            <v>396342.62707533757</v>
          </cell>
          <cell r="I1">
            <v>459757.4474073918</v>
          </cell>
          <cell r="J1">
            <v>97400112.108004659</v>
          </cell>
          <cell r="K1">
            <v>112984130.04528552</v>
          </cell>
          <cell r="L1">
            <v>605.91699404340432</v>
          </cell>
          <cell r="M1">
            <v>29.556926538702651</v>
          </cell>
          <cell r="N1">
            <v>0</v>
          </cell>
          <cell r="O1">
            <v>0</v>
          </cell>
          <cell r="P1">
            <v>0</v>
          </cell>
          <cell r="Q1">
            <v>0</v>
          </cell>
          <cell r="R1">
            <v>0</v>
          </cell>
        </row>
        <row r="2">
          <cell r="A2" t="str">
            <v>PEDIDO</v>
          </cell>
          <cell r="B2" t="str">
            <v>FECHA PEDIMENTO</v>
          </cell>
          <cell r="C2" t="str">
            <v>FECHA ALMACEN</v>
          </cell>
          <cell r="D2" t="str">
            <v>PROVEEDOR</v>
          </cell>
          <cell r="E2" t="str">
            <v>PROVEEDOR</v>
          </cell>
          <cell r="F2" t="str">
            <v>ARTICULOS</v>
          </cell>
          <cell r="G2" t="str">
            <v>PIEZAS</v>
          </cell>
          <cell r="H2" t="str">
            <v>PRECIO SUBTOTAL DDP</v>
          </cell>
          <cell r="I2" t="str">
            <v>DDP CON IVA</v>
          </cell>
          <cell r="J2" t="str">
            <v>SUBTOTAL SIN IVA</v>
          </cell>
          <cell r="K2" t="str">
            <v>TOTAL CON IVA</v>
          </cell>
          <cell r="L2" t="str">
            <v>PRECIO PONDERADO MXN</v>
          </cell>
          <cell r="M2" t="str">
            <v>PRECIO PONDERADO USD</v>
          </cell>
          <cell r="N2">
            <v>0</v>
          </cell>
          <cell r="O2">
            <v>0</v>
          </cell>
          <cell r="P2">
            <v>0</v>
          </cell>
        </row>
        <row r="3">
          <cell r="A3" t="str">
            <v>20L85</v>
          </cell>
          <cell r="B3">
            <v>44193</v>
          </cell>
          <cell r="C3">
            <v>44195</v>
          </cell>
          <cell r="D3" t="str">
            <v>CSP HOLDING GROUP LIMITED</v>
          </cell>
          <cell r="E3" t="str">
            <v>JESSIE</v>
          </cell>
          <cell r="F3" t="str">
            <v>TUG-08</v>
          </cell>
          <cell r="G3">
            <v>79</v>
          </cell>
          <cell r="H3">
            <v>357.09</v>
          </cell>
          <cell r="I3">
            <v>414.22439999999995</v>
          </cell>
          <cell r="J3">
            <v>28210.109999999997</v>
          </cell>
          <cell r="K3">
            <v>32723.727599999995</v>
          </cell>
          <cell r="L3" t="str">
            <v>GRAVEDAD</v>
          </cell>
        </row>
        <row r="4">
          <cell r="A4" t="str">
            <v>20L85</v>
          </cell>
          <cell r="B4">
            <v>44193</v>
          </cell>
          <cell r="C4">
            <v>44195</v>
          </cell>
          <cell r="D4" t="str">
            <v>CSP HOLDING GROUP LIMITED</v>
          </cell>
          <cell r="E4" t="str">
            <v>JESSIE</v>
          </cell>
          <cell r="F4" t="str">
            <v>TUG-10</v>
          </cell>
          <cell r="G4">
            <v>319</v>
          </cell>
          <cell r="H4">
            <v>445.74</v>
          </cell>
          <cell r="I4">
            <v>517.05840000000001</v>
          </cell>
          <cell r="J4">
            <v>142191.06</v>
          </cell>
          <cell r="K4">
            <v>164941.62960000001</v>
          </cell>
          <cell r="L4" t="str">
            <v>GRAVEDAD</v>
          </cell>
        </row>
        <row r="5">
          <cell r="A5" t="str">
            <v>20L85</v>
          </cell>
          <cell r="B5">
            <v>44193</v>
          </cell>
          <cell r="C5">
            <v>44195</v>
          </cell>
          <cell r="D5" t="str">
            <v>CSP HOLDING GROUP LIMITED</v>
          </cell>
          <cell r="E5" t="str">
            <v>JESSIE</v>
          </cell>
          <cell r="F5" t="str">
            <v>TUG-12</v>
          </cell>
          <cell r="G5">
            <v>555</v>
          </cell>
          <cell r="H5">
            <v>534.94000000000005</v>
          </cell>
          <cell r="I5">
            <v>620.53039999999999</v>
          </cell>
          <cell r="J5">
            <v>296891.7</v>
          </cell>
          <cell r="K5">
            <v>344394.37199999997</v>
          </cell>
          <cell r="L5" t="str">
            <v>GRAVEDAD</v>
          </cell>
        </row>
        <row r="6">
          <cell r="A6" t="str">
            <v>20L85</v>
          </cell>
          <cell r="B6">
            <v>44193</v>
          </cell>
          <cell r="C6">
            <v>44195</v>
          </cell>
          <cell r="D6" t="str">
            <v>CSP HOLDING GROUP LIMITED</v>
          </cell>
          <cell r="E6" t="str">
            <v>JESSIE</v>
          </cell>
          <cell r="F6" t="str">
            <v>TUG-12</v>
          </cell>
          <cell r="G6">
            <v>75</v>
          </cell>
          <cell r="H6">
            <v>534.94000000000005</v>
          </cell>
          <cell r="I6">
            <v>620.53039999999999</v>
          </cell>
          <cell r="J6">
            <v>40120.500000000007</v>
          </cell>
          <cell r="K6">
            <v>46539.78</v>
          </cell>
          <cell r="L6" t="str">
            <v>GRAVEDAD</v>
          </cell>
          <cell r="M6">
            <v>0</v>
          </cell>
        </row>
        <row r="7">
          <cell r="A7" t="str">
            <v>20L85</v>
          </cell>
          <cell r="B7">
            <v>44193</v>
          </cell>
          <cell r="C7">
            <v>44195</v>
          </cell>
          <cell r="D7" t="str">
            <v>CSP HOLDING GROUP LIMITED</v>
          </cell>
          <cell r="E7" t="str">
            <v>JESSIE</v>
          </cell>
          <cell r="F7" t="str">
            <v>TUP-12</v>
          </cell>
          <cell r="G7">
            <v>105</v>
          </cell>
          <cell r="H7">
            <v>1259.8800000000001</v>
          </cell>
          <cell r="I7">
            <v>1461.4608000000001</v>
          </cell>
          <cell r="J7">
            <v>132287.40000000002</v>
          </cell>
          <cell r="K7">
            <v>153453.38400000002</v>
          </cell>
          <cell r="L7" t="str">
            <v>PRESION</v>
          </cell>
        </row>
        <row r="8">
          <cell r="A8" t="str">
            <v>20L85</v>
          </cell>
          <cell r="B8">
            <v>44193</v>
          </cell>
          <cell r="C8">
            <v>44195</v>
          </cell>
          <cell r="D8" t="str">
            <v>CSP HOLDING GROUP LIMITED</v>
          </cell>
          <cell r="E8" t="str">
            <v>JESSIE</v>
          </cell>
          <cell r="F8" t="str">
            <v>TUP-12</v>
          </cell>
          <cell r="G8">
            <v>105</v>
          </cell>
          <cell r="H8">
            <v>1259.8800000000001</v>
          </cell>
          <cell r="I8">
            <v>1461.4608000000001</v>
          </cell>
          <cell r="J8">
            <v>132287.40000000002</v>
          </cell>
          <cell r="K8">
            <v>153453.38400000002</v>
          </cell>
          <cell r="L8" t="str">
            <v>PRESION</v>
          </cell>
        </row>
        <row r="9">
          <cell r="A9" t="str">
            <v>20L85</v>
          </cell>
          <cell r="B9">
            <v>44193</v>
          </cell>
          <cell r="C9">
            <v>44195</v>
          </cell>
          <cell r="D9" t="str">
            <v>CSP HOLDING GROUP LIMITED</v>
          </cell>
          <cell r="E9" t="str">
            <v>JESSIE</v>
          </cell>
          <cell r="F9" t="str">
            <v>TUP-06</v>
          </cell>
          <cell r="G9">
            <v>80</v>
          </cell>
          <cell r="H9">
            <v>629.92999999999995</v>
          </cell>
          <cell r="I9">
            <v>730.71879999999987</v>
          </cell>
          <cell r="J9">
            <v>50394.399999999994</v>
          </cell>
          <cell r="K9">
            <v>58457.503999999986</v>
          </cell>
          <cell r="L9" t="str">
            <v>PRESION</v>
          </cell>
        </row>
        <row r="10">
          <cell r="A10" t="str">
            <v>20L85</v>
          </cell>
          <cell r="B10">
            <v>44193</v>
          </cell>
          <cell r="C10">
            <v>44195</v>
          </cell>
          <cell r="D10" t="str">
            <v>CSP HOLDING GROUP LIMITED</v>
          </cell>
          <cell r="E10" t="str">
            <v>JESSIE</v>
          </cell>
          <cell r="F10" t="str">
            <v>TUG-15</v>
          </cell>
          <cell r="G10">
            <v>492</v>
          </cell>
          <cell r="H10">
            <v>668.71</v>
          </cell>
          <cell r="I10">
            <v>775.70359999999994</v>
          </cell>
          <cell r="J10">
            <v>329005.32</v>
          </cell>
          <cell r="K10">
            <v>381646.17119999998</v>
          </cell>
          <cell r="L10" t="str">
            <v>GRAVEDAD</v>
          </cell>
        </row>
        <row r="11">
          <cell r="A11" t="str">
            <v>20L85</v>
          </cell>
          <cell r="B11">
            <v>44193</v>
          </cell>
          <cell r="C11">
            <v>44195</v>
          </cell>
          <cell r="D11" t="str">
            <v>CSP HOLDING GROUP LIMITED</v>
          </cell>
          <cell r="E11" t="str">
            <v>JESSIE</v>
          </cell>
          <cell r="F11" t="str">
            <v>TUG-15</v>
          </cell>
          <cell r="G11">
            <v>108</v>
          </cell>
          <cell r="H11">
            <v>668.71</v>
          </cell>
          <cell r="I11">
            <v>775.70359999999994</v>
          </cell>
          <cell r="J11">
            <v>72220.680000000008</v>
          </cell>
          <cell r="K11">
            <v>83775.988799999992</v>
          </cell>
          <cell r="L11" t="str">
            <v>GRAVEDAD</v>
          </cell>
        </row>
        <row r="12">
          <cell r="A12" t="str">
            <v>20L88</v>
          </cell>
          <cell r="B12">
            <v>44194</v>
          </cell>
          <cell r="C12">
            <v>44200</v>
          </cell>
          <cell r="D12" t="str">
            <v>Haining Sunsurf New Energy Technology Co., Ltd.</v>
          </cell>
          <cell r="E12" t="str">
            <v>LEON</v>
          </cell>
          <cell r="F12" t="str">
            <v>BP-26</v>
          </cell>
          <cell r="G12">
            <v>30</v>
          </cell>
          <cell r="H12">
            <v>569.26</v>
          </cell>
          <cell r="I12">
            <v>660.34159999999997</v>
          </cell>
          <cell r="J12">
            <v>17077.8</v>
          </cell>
          <cell r="K12">
            <v>19810.248</v>
          </cell>
          <cell r="L12" t="str">
            <v>PRESION</v>
          </cell>
        </row>
        <row r="13">
          <cell r="A13" t="str">
            <v>20L88</v>
          </cell>
          <cell r="B13">
            <v>44194</v>
          </cell>
          <cell r="C13">
            <v>44200</v>
          </cell>
          <cell r="D13" t="str">
            <v>Haining Sunsurf New Energy Technology Co., Ltd.</v>
          </cell>
          <cell r="E13" t="str">
            <v>LEON</v>
          </cell>
          <cell r="F13" t="str">
            <v>BG-30</v>
          </cell>
          <cell r="G13">
            <v>30</v>
          </cell>
          <cell r="H13">
            <v>514.47</v>
          </cell>
          <cell r="I13">
            <v>596.78520000000003</v>
          </cell>
          <cell r="J13">
            <v>15434.1</v>
          </cell>
          <cell r="K13">
            <v>17903.556</v>
          </cell>
          <cell r="L13" t="str">
            <v>GRAVEDAD</v>
          </cell>
          <cell r="N13">
            <v>0</v>
          </cell>
        </row>
        <row r="14">
          <cell r="A14" t="str">
            <v>20L88</v>
          </cell>
          <cell r="B14">
            <v>44194</v>
          </cell>
          <cell r="C14">
            <v>44200</v>
          </cell>
          <cell r="D14" t="str">
            <v>Haining Sunsurf New Energy Technology Co., Ltd.</v>
          </cell>
          <cell r="E14" t="str">
            <v>LEON</v>
          </cell>
          <cell r="F14" t="str">
            <v>BG-24</v>
          </cell>
          <cell r="G14">
            <v>30</v>
          </cell>
          <cell r="H14">
            <v>487.95</v>
          </cell>
          <cell r="I14">
            <v>566.02199999999993</v>
          </cell>
          <cell r="J14">
            <v>14638.5</v>
          </cell>
          <cell r="K14">
            <v>16980.659999999996</v>
          </cell>
          <cell r="L14" t="str">
            <v>GRAVEDAD</v>
          </cell>
          <cell r="N14">
            <v>0</v>
          </cell>
        </row>
        <row r="15">
          <cell r="A15" t="str">
            <v>20L88</v>
          </cell>
          <cell r="B15">
            <v>44194</v>
          </cell>
          <cell r="C15">
            <v>44200</v>
          </cell>
          <cell r="D15" t="str">
            <v>Haining Sunsurf New Energy Technology Co., Ltd.</v>
          </cell>
          <cell r="E15" t="str">
            <v>LEON</v>
          </cell>
          <cell r="F15" t="str">
            <v>BG-18</v>
          </cell>
          <cell r="G15">
            <v>80</v>
          </cell>
          <cell r="H15">
            <v>338.71</v>
          </cell>
          <cell r="I15">
            <v>392.90359999999993</v>
          </cell>
          <cell r="J15">
            <v>27096.799999999999</v>
          </cell>
          <cell r="K15">
            <v>31432.287999999993</v>
          </cell>
          <cell r="L15" t="str">
            <v>GRAVEDAD</v>
          </cell>
          <cell r="N15">
            <v>0</v>
          </cell>
        </row>
        <row r="16">
          <cell r="A16" t="str">
            <v>20L88</v>
          </cell>
          <cell r="B16">
            <v>44194</v>
          </cell>
          <cell r="C16">
            <v>44200</v>
          </cell>
          <cell r="D16" t="str">
            <v>Haining Sunsurf New Energy Technology Co., Ltd.</v>
          </cell>
          <cell r="E16" t="str">
            <v>LEON</v>
          </cell>
          <cell r="F16" t="str">
            <v>BG-15</v>
          </cell>
          <cell r="G16">
            <v>450</v>
          </cell>
          <cell r="H16">
            <v>323.57</v>
          </cell>
          <cell r="I16">
            <v>375.34119999999996</v>
          </cell>
          <cell r="J16">
            <v>145606.5</v>
          </cell>
          <cell r="K16">
            <v>168903.53999999998</v>
          </cell>
          <cell r="L16" t="str">
            <v>GRAVEDAD</v>
          </cell>
          <cell r="N16">
            <v>0</v>
          </cell>
        </row>
        <row r="17">
          <cell r="A17" t="str">
            <v>20L88</v>
          </cell>
          <cell r="B17">
            <v>44194</v>
          </cell>
          <cell r="C17">
            <v>44200</v>
          </cell>
          <cell r="D17" t="str">
            <v>Haining Sunsurf New Energy Technology Co., Ltd.</v>
          </cell>
          <cell r="E17" t="str">
            <v>LEON</v>
          </cell>
          <cell r="F17" t="str">
            <v>BP-12</v>
          </cell>
          <cell r="G17">
            <v>730</v>
          </cell>
          <cell r="H17">
            <v>306.39</v>
          </cell>
          <cell r="I17">
            <v>355.41239999999993</v>
          </cell>
          <cell r="J17">
            <v>223664.69999999998</v>
          </cell>
          <cell r="K17">
            <v>259451.05199999994</v>
          </cell>
          <cell r="L17" t="str">
            <v>PRESION</v>
          </cell>
          <cell r="N17">
            <v>0</v>
          </cell>
        </row>
        <row r="18">
          <cell r="A18" t="str">
            <v>20L88</v>
          </cell>
          <cell r="B18">
            <v>44194</v>
          </cell>
          <cell r="C18">
            <v>44200</v>
          </cell>
          <cell r="D18" t="str">
            <v>Haining Sunsurf New Energy Technology Co., Ltd.</v>
          </cell>
          <cell r="E18" t="str">
            <v>LEON</v>
          </cell>
          <cell r="F18" t="str">
            <v>BP-10</v>
          </cell>
          <cell r="G18">
            <v>220</v>
          </cell>
          <cell r="H18">
            <v>306.38</v>
          </cell>
          <cell r="I18">
            <v>355.40079999999995</v>
          </cell>
          <cell r="J18">
            <v>67403.600000000006</v>
          </cell>
          <cell r="K18">
            <v>78188.175999999992</v>
          </cell>
          <cell r="L18" t="str">
            <v>PRESION</v>
          </cell>
          <cell r="N18">
            <v>0</v>
          </cell>
        </row>
        <row r="19">
          <cell r="A19" t="str">
            <v>20L88</v>
          </cell>
          <cell r="B19">
            <v>44194</v>
          </cell>
          <cell r="C19">
            <v>44200</v>
          </cell>
          <cell r="D19" t="str">
            <v>Haining Sunsurf New Energy Technology Co., Ltd.</v>
          </cell>
          <cell r="E19" t="str">
            <v>LEON</v>
          </cell>
          <cell r="F19" t="str">
            <v>BG-10</v>
          </cell>
          <cell r="G19">
            <v>140</v>
          </cell>
          <cell r="H19">
            <v>302.08999999999997</v>
          </cell>
          <cell r="I19">
            <v>350.42439999999993</v>
          </cell>
          <cell r="J19">
            <v>42292.6</v>
          </cell>
          <cell r="K19">
            <v>49059.41599999999</v>
          </cell>
          <cell r="L19" t="str">
            <v>GRAVEDAD</v>
          </cell>
          <cell r="N19">
            <v>0</v>
          </cell>
        </row>
        <row r="20">
          <cell r="A20" t="str">
            <v>20L88</v>
          </cell>
          <cell r="B20">
            <v>44194</v>
          </cell>
          <cell r="C20">
            <v>44200</v>
          </cell>
          <cell r="D20" t="str">
            <v>Haining Sunsurf New Energy Technology Co., Ltd.</v>
          </cell>
          <cell r="E20" t="str">
            <v>LEON</v>
          </cell>
          <cell r="F20" t="str">
            <v>BG-08</v>
          </cell>
          <cell r="G20">
            <v>40</v>
          </cell>
          <cell r="H20">
            <v>293.81</v>
          </cell>
          <cell r="I20">
            <v>340.81959999999998</v>
          </cell>
          <cell r="J20">
            <v>11752.4</v>
          </cell>
          <cell r="K20">
            <v>13632.784</v>
          </cell>
          <cell r="L20" t="str">
            <v>GRAVEDAD</v>
          </cell>
          <cell r="N20">
            <v>0</v>
          </cell>
        </row>
        <row r="21">
          <cell r="A21" t="str">
            <v>20L88</v>
          </cell>
          <cell r="B21">
            <v>44194</v>
          </cell>
          <cell r="C21">
            <v>44200</v>
          </cell>
          <cell r="D21" t="str">
            <v>Haining Sunsurf New Energy Technology Co., Ltd.</v>
          </cell>
          <cell r="E21" t="str">
            <v>LEON</v>
          </cell>
          <cell r="F21" t="str">
            <v>CAJA DE CARTÓN</v>
          </cell>
          <cell r="G21">
            <v>17</v>
          </cell>
          <cell r="H21">
            <v>25.59</v>
          </cell>
          <cell r="I21">
            <v>29.684399999999997</v>
          </cell>
          <cell r="J21">
            <v>435.03</v>
          </cell>
          <cell r="K21">
            <v>504.63479999999993</v>
          </cell>
          <cell r="L21" t="str">
            <v>GARANTIA</v>
          </cell>
          <cell r="N21">
            <v>0</v>
          </cell>
        </row>
        <row r="22">
          <cell r="A22" t="str">
            <v>20E60-1</v>
          </cell>
          <cell r="B22">
            <v>44202</v>
          </cell>
          <cell r="C22">
            <v>44204</v>
          </cell>
          <cell r="D22" t="str">
            <v>ZHEJIANG YILE NEW ENERGY CO.,LTD</v>
          </cell>
          <cell r="E22" t="str">
            <v>KEN</v>
          </cell>
          <cell r="F22" t="str">
            <v>TPE-12</v>
          </cell>
          <cell r="G22">
            <v>191</v>
          </cell>
          <cell r="H22">
            <v>2617.69</v>
          </cell>
          <cell r="I22">
            <v>3036.5203999999999</v>
          </cell>
          <cell r="J22">
            <v>499978.79000000004</v>
          </cell>
          <cell r="K22">
            <v>579975.39639999997</v>
          </cell>
          <cell r="L22" t="str">
            <v>PRESION</v>
          </cell>
          <cell r="N22">
            <v>0</v>
          </cell>
        </row>
        <row r="23">
          <cell r="A23" t="str">
            <v>20E60-1</v>
          </cell>
          <cell r="B23">
            <v>44202</v>
          </cell>
          <cell r="C23">
            <v>44204</v>
          </cell>
          <cell r="D23" t="str">
            <v>ZHEJIANG YILE NEW ENERGY CO.,LTD</v>
          </cell>
          <cell r="E23" t="str">
            <v>KEN</v>
          </cell>
          <cell r="F23" t="str">
            <v>CAJA DE CARTÓN</v>
          </cell>
          <cell r="G23">
            <v>8</v>
          </cell>
          <cell r="H23">
            <v>27.16</v>
          </cell>
          <cell r="I23">
            <v>31.505599999999998</v>
          </cell>
          <cell r="J23">
            <v>217.28</v>
          </cell>
          <cell r="K23">
            <v>252.04479999999998</v>
          </cell>
          <cell r="L23" t="str">
            <v>GARANTIA</v>
          </cell>
          <cell r="N23">
            <v>0</v>
          </cell>
        </row>
        <row r="24">
          <cell r="A24" t="str">
            <v>20E60-2</v>
          </cell>
          <cell r="B24">
            <v>44202</v>
          </cell>
          <cell r="C24">
            <v>44204</v>
          </cell>
          <cell r="D24" t="str">
            <v>ZHEJIANG YILE NEW ENERGY CO.,LTD</v>
          </cell>
          <cell r="E24" t="str">
            <v>KEN</v>
          </cell>
          <cell r="F24" t="str">
            <v>TPE-12</v>
          </cell>
          <cell r="G24">
            <v>99</v>
          </cell>
          <cell r="H24">
            <v>2653.6</v>
          </cell>
          <cell r="I24">
            <v>3078.1759999999995</v>
          </cell>
          <cell r="J24">
            <v>262706.39999999997</v>
          </cell>
          <cell r="K24">
            <v>304739.42399999994</v>
          </cell>
          <cell r="L24" t="str">
            <v>PRESION</v>
          </cell>
          <cell r="N24">
            <v>0</v>
          </cell>
        </row>
        <row r="25">
          <cell r="A25" t="str">
            <v>20E60-2</v>
          </cell>
          <cell r="B25">
            <v>44202</v>
          </cell>
          <cell r="C25">
            <v>44204</v>
          </cell>
          <cell r="D25" t="str">
            <v>ZHEJIANG YILE NEW ENERGY CO.,LTD</v>
          </cell>
          <cell r="E25" t="str">
            <v>KEN</v>
          </cell>
          <cell r="F25" t="str">
            <v>TPE-10</v>
          </cell>
          <cell r="G25">
            <v>92</v>
          </cell>
          <cell r="H25">
            <v>2390.6799999999998</v>
          </cell>
          <cell r="I25">
            <v>2773.1887999999994</v>
          </cell>
          <cell r="J25">
            <v>219942.56</v>
          </cell>
          <cell r="K25">
            <v>255133.36959999995</v>
          </cell>
          <cell r="L25" t="str">
            <v>PRESION</v>
          </cell>
          <cell r="N25">
            <v>0</v>
          </cell>
        </row>
        <row r="26">
          <cell r="A26" t="str">
            <v>20E60-2</v>
          </cell>
          <cell r="B26">
            <v>44202</v>
          </cell>
          <cell r="C26">
            <v>44204</v>
          </cell>
          <cell r="D26" t="str">
            <v>ZHEJIANG YILE NEW ENERGY CO.,LTD</v>
          </cell>
          <cell r="E26" t="str">
            <v>KEN</v>
          </cell>
          <cell r="F26" t="str">
            <v>CAJA DE CARTÓN</v>
          </cell>
          <cell r="G26">
            <v>8</v>
          </cell>
          <cell r="H26">
            <v>27.16</v>
          </cell>
          <cell r="I26">
            <v>31.505599999999998</v>
          </cell>
          <cell r="J26">
            <v>217.28</v>
          </cell>
          <cell r="K26">
            <v>252.04479999999998</v>
          </cell>
          <cell r="L26" t="str">
            <v>GARANTIA</v>
          </cell>
          <cell r="N26">
            <v>0</v>
          </cell>
        </row>
        <row r="27">
          <cell r="A27" t="str">
            <v>20L93</v>
          </cell>
          <cell r="B27">
            <v>44202</v>
          </cell>
          <cell r="C27">
            <v>44203</v>
          </cell>
          <cell r="D27" t="str">
            <v>HAINING LEBRIA E
BUSINESS CO.</v>
          </cell>
          <cell r="E27" t="str">
            <v>EMMA</v>
          </cell>
          <cell r="F27" t="str">
            <v>TUG-10</v>
          </cell>
          <cell r="G27">
            <v>249</v>
          </cell>
          <cell r="H27">
            <v>399.63</v>
          </cell>
          <cell r="I27">
            <v>463.57079999999996</v>
          </cell>
          <cell r="J27">
            <v>99507.87</v>
          </cell>
          <cell r="K27">
            <v>115429.1292</v>
          </cell>
          <cell r="L27" t="str">
            <v>GRAVEDAD</v>
          </cell>
          <cell r="N27">
            <v>0</v>
          </cell>
        </row>
        <row r="28">
          <cell r="A28" t="str">
            <v>20L93</v>
          </cell>
          <cell r="B28">
            <v>44202</v>
          </cell>
          <cell r="C28">
            <v>44203</v>
          </cell>
          <cell r="D28" t="str">
            <v>HAINING LEBRIA E
BUSINESS CO.</v>
          </cell>
          <cell r="E28" t="str">
            <v>EMMA</v>
          </cell>
          <cell r="F28" t="str">
            <v>TUG-10</v>
          </cell>
          <cell r="G28">
            <v>110</v>
          </cell>
          <cell r="H28">
            <v>399.63</v>
          </cell>
          <cell r="I28">
            <v>463.57079999999996</v>
          </cell>
          <cell r="J28">
            <v>43959.3</v>
          </cell>
          <cell r="K28">
            <v>50992.787999999993</v>
          </cell>
          <cell r="L28" t="str">
            <v>GRAVEDAD</v>
          </cell>
          <cell r="N28">
            <v>0</v>
          </cell>
        </row>
        <row r="29">
          <cell r="A29" t="str">
            <v>20L93</v>
          </cell>
          <cell r="B29">
            <v>44202</v>
          </cell>
          <cell r="C29">
            <v>44203</v>
          </cell>
          <cell r="D29" t="str">
            <v>HAINING LEBRIA E
BUSINESS CO.</v>
          </cell>
          <cell r="E29" t="str">
            <v>EMMA</v>
          </cell>
          <cell r="F29" t="str">
            <v>TUP-12</v>
          </cell>
          <cell r="G29">
            <v>201</v>
          </cell>
          <cell r="H29">
            <v>1269.5899999999999</v>
          </cell>
          <cell r="I29">
            <v>1472.7243999999998</v>
          </cell>
          <cell r="J29">
            <v>255187.59</v>
          </cell>
          <cell r="K29">
            <v>296017.60439999995</v>
          </cell>
          <cell r="L29" t="str">
            <v>PRESION</v>
          </cell>
          <cell r="N29">
            <v>0</v>
          </cell>
        </row>
        <row r="30">
          <cell r="A30" t="str">
            <v>20L93</v>
          </cell>
          <cell r="B30">
            <v>44202</v>
          </cell>
          <cell r="C30">
            <v>44203</v>
          </cell>
          <cell r="D30" t="str">
            <v>HAINING LEBRIA E
BUSINESS CO.</v>
          </cell>
          <cell r="E30" t="str">
            <v>EMMA</v>
          </cell>
          <cell r="F30" t="str">
            <v>TUP-12</v>
          </cell>
          <cell r="G30">
            <v>127</v>
          </cell>
          <cell r="H30">
            <v>1269.5899999999999</v>
          </cell>
          <cell r="I30">
            <v>1472.7243999999998</v>
          </cell>
          <cell r="J30">
            <v>161237.93</v>
          </cell>
          <cell r="K30">
            <v>187035.99879999997</v>
          </cell>
          <cell r="L30" t="str">
            <v>PRESION</v>
          </cell>
          <cell r="N30">
            <v>0</v>
          </cell>
        </row>
        <row r="31">
          <cell r="A31" t="str">
            <v>20L93</v>
          </cell>
          <cell r="B31">
            <v>44202</v>
          </cell>
          <cell r="C31">
            <v>44203</v>
          </cell>
          <cell r="D31" t="str">
            <v>HAINING LEBRIA E
BUSINESS CO.</v>
          </cell>
          <cell r="E31" t="str">
            <v>EMMA</v>
          </cell>
          <cell r="F31" t="str">
            <v>TUP-10</v>
          </cell>
          <cell r="G31">
            <v>130</v>
          </cell>
          <cell r="H31">
            <v>1057.97</v>
          </cell>
          <cell r="I31">
            <v>1227.2451999999998</v>
          </cell>
          <cell r="J31">
            <v>137536.1</v>
          </cell>
          <cell r="K31">
            <v>159541.87599999999</v>
          </cell>
          <cell r="L31" t="str">
            <v>PRESION</v>
          </cell>
          <cell r="N31">
            <v>0</v>
          </cell>
        </row>
        <row r="32">
          <cell r="A32" t="str">
            <v>20L93</v>
          </cell>
          <cell r="B32">
            <v>44202</v>
          </cell>
          <cell r="C32">
            <v>44203</v>
          </cell>
          <cell r="D32" t="str">
            <v>HAINING LEBRIA E
BUSINESS CO.</v>
          </cell>
          <cell r="E32" t="str">
            <v>EMMA</v>
          </cell>
          <cell r="F32" t="str">
            <v>TUG-15</v>
          </cell>
          <cell r="G32">
            <v>419</v>
          </cell>
          <cell r="H32">
            <v>599.51</v>
          </cell>
          <cell r="I32">
            <v>695.43159999999989</v>
          </cell>
          <cell r="J32">
            <v>251194.69</v>
          </cell>
          <cell r="K32">
            <v>291385.84039999993</v>
          </cell>
          <cell r="L32" t="str">
            <v>GRAVEDAD</v>
          </cell>
          <cell r="N32">
            <v>0</v>
          </cell>
        </row>
        <row r="33">
          <cell r="A33" t="str">
            <v>20E61</v>
          </cell>
          <cell r="B33">
            <v>44207</v>
          </cell>
          <cell r="C33">
            <v>44209</v>
          </cell>
          <cell r="D33" t="str">
            <v>Haining Sunsurf New Energy Technology Co., Ltd.</v>
          </cell>
          <cell r="E33" t="str">
            <v>LEON</v>
          </cell>
          <cell r="F33" t="str">
            <v>TPE-26</v>
          </cell>
          <cell r="G33">
            <v>40</v>
          </cell>
          <cell r="H33">
            <v>4907.97</v>
          </cell>
          <cell r="I33">
            <v>5693.2452000000003</v>
          </cell>
          <cell r="J33">
            <v>196318.80000000002</v>
          </cell>
          <cell r="K33">
            <v>227729.80800000002</v>
          </cell>
          <cell r="L33" t="str">
            <v>PRESION</v>
          </cell>
          <cell r="N33">
            <v>0</v>
          </cell>
        </row>
        <row r="34">
          <cell r="A34" t="str">
            <v>20E61</v>
          </cell>
          <cell r="B34">
            <v>44207</v>
          </cell>
          <cell r="C34">
            <v>44209</v>
          </cell>
          <cell r="D34" t="str">
            <v>Haining Sunsurf New Energy Technology Co., Ltd.</v>
          </cell>
          <cell r="E34" t="str">
            <v>LEON</v>
          </cell>
          <cell r="F34" t="str">
            <v>TPE-10</v>
          </cell>
          <cell r="G34">
            <v>118</v>
          </cell>
          <cell r="H34">
            <v>2320.12</v>
          </cell>
          <cell r="I34">
            <v>2691.3391999999999</v>
          </cell>
          <cell r="J34">
            <v>273774.15999999997</v>
          </cell>
          <cell r="K34">
            <v>317578.02559999999</v>
          </cell>
          <cell r="L34" t="str">
            <v>PRESION</v>
          </cell>
          <cell r="N34">
            <v>0</v>
          </cell>
        </row>
        <row r="35">
          <cell r="A35" t="str">
            <v>20E61</v>
          </cell>
          <cell r="B35">
            <v>44207</v>
          </cell>
          <cell r="C35">
            <v>44209</v>
          </cell>
          <cell r="D35" t="str">
            <v>Haining Sunsurf New Energy Technology Co., Ltd.</v>
          </cell>
          <cell r="E35" t="str">
            <v>LEON</v>
          </cell>
          <cell r="F35" t="str">
            <v>VAL-PT-0.55-90C</v>
          </cell>
          <cell r="G35">
            <v>50</v>
          </cell>
          <cell r="H35">
            <v>133.80000000000001</v>
          </cell>
          <cell r="I35">
            <v>155.208</v>
          </cell>
          <cell r="J35">
            <v>6690.0000000000009</v>
          </cell>
          <cell r="K35">
            <v>7760.4</v>
          </cell>
          <cell r="L35" t="str">
            <v>PRESION</v>
          </cell>
          <cell r="N35">
            <v>0</v>
          </cell>
        </row>
        <row r="36">
          <cell r="A36" t="str">
            <v>20E61</v>
          </cell>
          <cell r="B36">
            <v>44207</v>
          </cell>
          <cell r="C36">
            <v>44209</v>
          </cell>
          <cell r="D36" t="str">
            <v>Haining Sunsurf New Energy Technology Co., Ltd.</v>
          </cell>
          <cell r="E36" t="str">
            <v>LEON</v>
          </cell>
          <cell r="F36" t="str">
            <v>VAL-ANTVAC</v>
          </cell>
          <cell r="G36">
            <v>130</v>
          </cell>
          <cell r="H36">
            <v>80.31</v>
          </cell>
          <cell r="I36">
            <v>93.159599999999998</v>
          </cell>
          <cell r="J36">
            <v>10440.300000000001</v>
          </cell>
          <cell r="K36">
            <v>12110.748</v>
          </cell>
          <cell r="L36" t="str">
            <v>PRESION</v>
          </cell>
          <cell r="N36">
            <v>0</v>
          </cell>
        </row>
        <row r="37">
          <cell r="A37" t="str">
            <v>20E61</v>
          </cell>
          <cell r="B37">
            <v>44207</v>
          </cell>
          <cell r="C37">
            <v>44209</v>
          </cell>
          <cell r="D37" t="str">
            <v>Haining Sunsurf New Energy Technology Co., Ltd.</v>
          </cell>
          <cell r="E37" t="str">
            <v>LEON</v>
          </cell>
          <cell r="F37" t="str">
            <v>CAJA DE CARTÓN</v>
          </cell>
          <cell r="G37">
            <v>2</v>
          </cell>
          <cell r="H37">
            <v>32.549999999999997</v>
          </cell>
          <cell r="I37">
            <v>37.757999999999996</v>
          </cell>
          <cell r="J37">
            <v>65.099999999999994</v>
          </cell>
          <cell r="K37">
            <v>75.515999999999991</v>
          </cell>
          <cell r="L37" t="str">
            <v>GARANTIA</v>
          </cell>
          <cell r="N37">
            <v>0</v>
          </cell>
        </row>
        <row r="38">
          <cell r="A38" t="str">
            <v>20L94</v>
          </cell>
          <cell r="B38">
            <v>44207</v>
          </cell>
          <cell r="C38">
            <v>44209</v>
          </cell>
          <cell r="D38" t="str">
            <v>Haining Sunsurf New Energy Technology Co., Ltd.</v>
          </cell>
          <cell r="E38" t="str">
            <v>LEON</v>
          </cell>
          <cell r="F38" t="str">
            <v>BP-26</v>
          </cell>
          <cell r="G38">
            <v>40</v>
          </cell>
          <cell r="H38">
            <v>574.6</v>
          </cell>
          <cell r="I38">
            <v>666.53599999999994</v>
          </cell>
          <cell r="J38">
            <v>22984</v>
          </cell>
          <cell r="K38">
            <v>26661.439999999999</v>
          </cell>
          <cell r="L38" t="str">
            <v>PRESION</v>
          </cell>
          <cell r="N38">
            <v>0</v>
          </cell>
        </row>
        <row r="39">
          <cell r="A39" t="str">
            <v>20L94</v>
          </cell>
          <cell r="B39">
            <v>44207</v>
          </cell>
          <cell r="C39">
            <v>44209</v>
          </cell>
          <cell r="D39" t="str">
            <v>Haining Sunsurf New Energy Technology Co., Ltd.</v>
          </cell>
          <cell r="E39" t="str">
            <v>LEON</v>
          </cell>
          <cell r="F39" t="str">
            <v>BP-20</v>
          </cell>
          <cell r="G39">
            <v>30</v>
          </cell>
          <cell r="H39">
            <v>519.45000000000005</v>
          </cell>
          <cell r="I39">
            <v>602.56200000000001</v>
          </cell>
          <cell r="J39">
            <v>15583.500000000002</v>
          </cell>
          <cell r="K39">
            <v>18076.86</v>
          </cell>
          <cell r="L39" t="str">
            <v>PRESION</v>
          </cell>
          <cell r="N39">
            <v>0</v>
          </cell>
        </row>
        <row r="40">
          <cell r="A40" t="str">
            <v>20L94</v>
          </cell>
          <cell r="B40">
            <v>44207</v>
          </cell>
          <cell r="C40">
            <v>44209</v>
          </cell>
          <cell r="D40" t="str">
            <v>Haining Sunsurf New Energy Technology Co., Ltd.</v>
          </cell>
          <cell r="E40" t="str">
            <v>LEON</v>
          </cell>
          <cell r="F40" t="str">
            <v>BG-30</v>
          </cell>
          <cell r="G40">
            <v>30</v>
          </cell>
          <cell r="H40">
            <v>519.25</v>
          </cell>
          <cell r="I40">
            <v>602.32999999999993</v>
          </cell>
          <cell r="J40">
            <v>15577.5</v>
          </cell>
          <cell r="K40">
            <v>18069.899999999998</v>
          </cell>
          <cell r="L40" t="str">
            <v>GRAVEDAD</v>
          </cell>
          <cell r="N40">
            <v>0</v>
          </cell>
        </row>
        <row r="41">
          <cell r="A41" t="str">
            <v>20L94</v>
          </cell>
          <cell r="B41">
            <v>44207</v>
          </cell>
          <cell r="C41">
            <v>44209</v>
          </cell>
          <cell r="D41" t="str">
            <v>Haining Sunsurf New Energy Technology Co., Ltd.</v>
          </cell>
          <cell r="E41" t="str">
            <v>LEON</v>
          </cell>
          <cell r="F41" t="str">
            <v>BG-24</v>
          </cell>
          <cell r="G41">
            <v>50</v>
          </cell>
          <cell r="H41">
            <v>492.47</v>
          </cell>
          <cell r="I41">
            <v>571.26519999999994</v>
          </cell>
          <cell r="J41">
            <v>24623.5</v>
          </cell>
          <cell r="K41">
            <v>28563.26</v>
          </cell>
          <cell r="L41" t="str">
            <v>GRAVEDAD</v>
          </cell>
          <cell r="N41">
            <v>0</v>
          </cell>
        </row>
        <row r="42">
          <cell r="A42" t="str">
            <v>20L94</v>
          </cell>
          <cell r="B42">
            <v>44207</v>
          </cell>
          <cell r="C42">
            <v>44209</v>
          </cell>
          <cell r="D42" t="str">
            <v>Haining Sunsurf New Energy Technology Co., Ltd.</v>
          </cell>
          <cell r="E42" t="str">
            <v>LEON</v>
          </cell>
          <cell r="F42" t="str">
            <v>BG-20</v>
          </cell>
          <cell r="G42">
            <v>100</v>
          </cell>
          <cell r="H42">
            <v>359.76</v>
          </cell>
          <cell r="I42">
            <v>417.32159999999993</v>
          </cell>
          <cell r="J42">
            <v>35976</v>
          </cell>
          <cell r="K42">
            <v>41732.159999999996</v>
          </cell>
          <cell r="L42" t="str">
            <v>GRAVEDAD</v>
          </cell>
          <cell r="N42">
            <v>0</v>
          </cell>
        </row>
        <row r="43">
          <cell r="A43" t="str">
            <v>20L94</v>
          </cell>
          <cell r="B43">
            <v>44207</v>
          </cell>
          <cell r="C43">
            <v>44209</v>
          </cell>
          <cell r="D43" t="str">
            <v>Haining Sunsurf New Energy Technology Co., Ltd.</v>
          </cell>
          <cell r="E43" t="str">
            <v>LEON</v>
          </cell>
          <cell r="F43" t="str">
            <v>BG-15</v>
          </cell>
          <cell r="G43">
            <v>500</v>
          </cell>
          <cell r="H43">
            <v>326.54000000000002</v>
          </cell>
          <cell r="I43">
            <v>378.78640000000001</v>
          </cell>
          <cell r="J43">
            <v>163270</v>
          </cell>
          <cell r="K43">
            <v>189393.2</v>
          </cell>
          <cell r="L43" t="str">
            <v>GRAVEDAD</v>
          </cell>
          <cell r="N43">
            <v>0</v>
          </cell>
        </row>
        <row r="44">
          <cell r="A44" t="str">
            <v>20L94</v>
          </cell>
          <cell r="B44">
            <v>44207</v>
          </cell>
          <cell r="C44">
            <v>44209</v>
          </cell>
          <cell r="D44" t="str">
            <v>Haining Sunsurf New Energy Technology Co., Ltd.</v>
          </cell>
          <cell r="E44" t="str">
            <v>LEON</v>
          </cell>
          <cell r="F44" t="str">
            <v>BG-12</v>
          </cell>
          <cell r="G44">
            <v>520</v>
          </cell>
          <cell r="H44">
            <v>313.77999999999997</v>
          </cell>
          <cell r="I44">
            <v>363.98479999999995</v>
          </cell>
          <cell r="J44">
            <v>163165.59999999998</v>
          </cell>
          <cell r="K44">
            <v>189272.09599999996</v>
          </cell>
          <cell r="L44" t="str">
            <v>GRAVEDAD</v>
          </cell>
          <cell r="N44">
            <v>0</v>
          </cell>
        </row>
        <row r="45">
          <cell r="A45" t="str">
            <v>20L94</v>
          </cell>
          <cell r="B45">
            <v>44207</v>
          </cell>
          <cell r="C45">
            <v>44209</v>
          </cell>
          <cell r="D45" t="str">
            <v>Haining Sunsurf New Energy Technology Co., Ltd.</v>
          </cell>
          <cell r="E45" t="str">
            <v>LEON</v>
          </cell>
          <cell r="F45" t="str">
            <v>BP-10</v>
          </cell>
          <cell r="G45">
            <v>200</v>
          </cell>
          <cell r="H45">
            <v>309.17</v>
          </cell>
          <cell r="I45">
            <v>358.63720000000001</v>
          </cell>
          <cell r="J45">
            <v>61834</v>
          </cell>
          <cell r="K45">
            <v>71727.44</v>
          </cell>
          <cell r="L45" t="str">
            <v>PRESION</v>
          </cell>
          <cell r="N45">
            <v>0</v>
          </cell>
        </row>
        <row r="46">
          <cell r="A46" t="str">
            <v>20L94</v>
          </cell>
          <cell r="B46">
            <v>44207</v>
          </cell>
          <cell r="C46">
            <v>44209</v>
          </cell>
          <cell r="D46" t="str">
            <v>Haining Sunsurf New Energy Technology Co., Ltd.</v>
          </cell>
          <cell r="E46" t="str">
            <v>LEON</v>
          </cell>
          <cell r="F46" t="str">
            <v>BG-10</v>
          </cell>
          <cell r="G46">
            <v>250</v>
          </cell>
          <cell r="H46">
            <v>304.87</v>
          </cell>
          <cell r="I46">
            <v>353.64920000000001</v>
          </cell>
          <cell r="J46">
            <v>76217.5</v>
          </cell>
          <cell r="K46">
            <v>88412.3</v>
          </cell>
          <cell r="L46" t="str">
            <v>GRAVEDAD</v>
          </cell>
          <cell r="N46">
            <v>0</v>
          </cell>
        </row>
        <row r="47">
          <cell r="A47" t="str">
            <v>20L94</v>
          </cell>
          <cell r="B47">
            <v>44207</v>
          </cell>
          <cell r="C47">
            <v>44209</v>
          </cell>
          <cell r="D47" t="str">
            <v>Haining Sunsurf New Energy Technology Co., Ltd.</v>
          </cell>
          <cell r="E47" t="str">
            <v>LEON</v>
          </cell>
          <cell r="F47" t="str">
            <v>BG-08</v>
          </cell>
          <cell r="G47">
            <v>30</v>
          </cell>
          <cell r="H47">
            <v>296.35000000000002</v>
          </cell>
          <cell r="I47">
            <v>343.76600000000002</v>
          </cell>
          <cell r="J47">
            <v>8890.5</v>
          </cell>
          <cell r="K47">
            <v>10312.980000000001</v>
          </cell>
          <cell r="L47" t="str">
            <v>GRAVEDAD</v>
          </cell>
          <cell r="N47">
            <v>0</v>
          </cell>
        </row>
        <row r="48">
          <cell r="A48" t="str">
            <v>20L94</v>
          </cell>
          <cell r="B48">
            <v>44207</v>
          </cell>
          <cell r="C48">
            <v>44209</v>
          </cell>
          <cell r="D48" t="str">
            <v>Haining Sunsurf New Energy Technology Co., Ltd.</v>
          </cell>
          <cell r="E48" t="str">
            <v>LEON</v>
          </cell>
          <cell r="F48" t="str">
            <v>CAJA DE CARTÓN</v>
          </cell>
          <cell r="G48">
            <v>17</v>
          </cell>
          <cell r="H48">
            <v>25.526320829888999</v>
          </cell>
          <cell r="I48">
            <v>29.610532162671237</v>
          </cell>
          <cell r="J48">
            <v>433.94745410811299</v>
          </cell>
          <cell r="K48">
            <v>503.37904676541103</v>
          </cell>
          <cell r="L48" t="str">
            <v>GARANTIA</v>
          </cell>
          <cell r="N48">
            <v>0</v>
          </cell>
        </row>
        <row r="49">
          <cell r="A49" t="str">
            <v>21E01A</v>
          </cell>
          <cell r="B49">
            <v>44208</v>
          </cell>
          <cell r="C49">
            <v>44210</v>
          </cell>
          <cell r="D49" t="str">
            <v>Haining Sunsurf New Energy Technology Co., Ltd.</v>
          </cell>
          <cell r="E49" t="str">
            <v>LEON</v>
          </cell>
          <cell r="F49" t="str">
            <v>TPE-12</v>
          </cell>
          <cell r="G49">
            <v>382</v>
          </cell>
          <cell r="H49">
            <v>2644.19</v>
          </cell>
          <cell r="I49">
            <v>3067.2603999999997</v>
          </cell>
          <cell r="J49">
            <v>1010080.5800000001</v>
          </cell>
          <cell r="K49">
            <v>1171693.4727999999</v>
          </cell>
          <cell r="L49" t="str">
            <v>PRESION</v>
          </cell>
          <cell r="N49">
            <v>0</v>
          </cell>
        </row>
        <row r="50">
          <cell r="A50" t="str">
            <v>21E01A</v>
          </cell>
          <cell r="B50">
            <v>44208</v>
          </cell>
          <cell r="C50">
            <v>44210</v>
          </cell>
          <cell r="D50" t="str">
            <v>Haining Sunsurf New Energy Technology Co., Ltd.</v>
          </cell>
          <cell r="E50" t="str">
            <v>LEON</v>
          </cell>
          <cell r="F50" t="str">
            <v>VAL-PT-0.55-90C</v>
          </cell>
          <cell r="G50">
            <v>1000</v>
          </cell>
          <cell r="H50">
            <v>133.94999999999999</v>
          </cell>
          <cell r="I50">
            <v>155.38199999999998</v>
          </cell>
          <cell r="J50">
            <v>133950</v>
          </cell>
          <cell r="K50">
            <v>155381.99999999997</v>
          </cell>
          <cell r="L50" t="str">
            <v>PRESION</v>
          </cell>
          <cell r="N50">
            <v>0</v>
          </cell>
        </row>
        <row r="51">
          <cell r="A51" t="str">
            <v>21E01A</v>
          </cell>
          <cell r="B51">
            <v>44208</v>
          </cell>
          <cell r="C51">
            <v>44210</v>
          </cell>
          <cell r="D51" t="str">
            <v>Haining Sunsurf New Energy Technology Co., Ltd.</v>
          </cell>
          <cell r="E51" t="str">
            <v>LEON</v>
          </cell>
          <cell r="F51" t="str">
            <v>VAL-ANTVAC</v>
          </cell>
          <cell r="G51">
            <v>1000</v>
          </cell>
          <cell r="H51">
            <v>80.36</v>
          </cell>
          <cell r="I51">
            <v>93.21759999999999</v>
          </cell>
          <cell r="J51">
            <v>80360</v>
          </cell>
          <cell r="K51">
            <v>93217.599999999991</v>
          </cell>
          <cell r="L51" t="str">
            <v>PRESION</v>
          </cell>
          <cell r="N51">
            <v>0</v>
          </cell>
        </row>
        <row r="52">
          <cell r="A52" t="str">
            <v>21E01A</v>
          </cell>
          <cell r="B52">
            <v>44208</v>
          </cell>
          <cell r="C52">
            <v>44210</v>
          </cell>
          <cell r="D52" t="str">
            <v>Haining Sunsurf New Energy Technology Co., Ltd.</v>
          </cell>
          <cell r="E52" t="str">
            <v>LEON</v>
          </cell>
          <cell r="F52" t="str">
            <v>CAJA DE CARTÓN</v>
          </cell>
          <cell r="G52">
            <v>4</v>
          </cell>
          <cell r="H52">
            <v>26.791527635471102</v>
          </cell>
          <cell r="I52">
            <v>31.078172057146475</v>
          </cell>
          <cell r="J52">
            <v>107.16611054188441</v>
          </cell>
          <cell r="K52">
            <v>124.3126882285859</v>
          </cell>
          <cell r="L52" t="str">
            <v>GARANTIA</v>
          </cell>
          <cell r="N52">
            <v>0</v>
          </cell>
        </row>
        <row r="53">
          <cell r="A53" t="str">
            <v>21E01B</v>
          </cell>
          <cell r="B53">
            <v>44209</v>
          </cell>
          <cell r="C53">
            <v>44211</v>
          </cell>
          <cell r="D53" t="str">
            <v>Haining Sunsurf New Energy Technology Co., Ltd.</v>
          </cell>
          <cell r="E53" t="str">
            <v>LEON</v>
          </cell>
          <cell r="F53" t="str">
            <v>TPE-12</v>
          </cell>
          <cell r="G53">
            <v>191</v>
          </cell>
          <cell r="H53">
            <v>2809.16</v>
          </cell>
          <cell r="I53">
            <v>3258.6255999999994</v>
          </cell>
          <cell r="J53">
            <v>536549.55999999994</v>
          </cell>
          <cell r="K53">
            <v>622397.48959999986</v>
          </cell>
          <cell r="L53" t="str">
            <v>PRESION</v>
          </cell>
          <cell r="N53">
            <v>0</v>
          </cell>
        </row>
        <row r="54">
          <cell r="A54" t="str">
            <v>21E01B</v>
          </cell>
          <cell r="B54">
            <v>44209</v>
          </cell>
          <cell r="C54">
            <v>44211</v>
          </cell>
          <cell r="D54" t="str">
            <v>Haining Sunsurf New Energy Technology Co., Ltd.</v>
          </cell>
          <cell r="E54" t="str">
            <v>LEON</v>
          </cell>
          <cell r="F54" t="str">
            <v>CAJA DE CARTÓN</v>
          </cell>
          <cell r="G54">
            <v>2</v>
          </cell>
          <cell r="H54">
            <v>28.463673551773226</v>
          </cell>
          <cell r="I54">
            <v>33.017861320056937</v>
          </cell>
          <cell r="J54">
            <v>56.927347103546452</v>
          </cell>
          <cell r="K54">
            <v>66.035722640113875</v>
          </cell>
          <cell r="L54" t="str">
            <v>GARANTIA</v>
          </cell>
          <cell r="N54">
            <v>0</v>
          </cell>
        </row>
        <row r="55">
          <cell r="A55" t="str">
            <v>21L01</v>
          </cell>
          <cell r="B55">
            <v>44209</v>
          </cell>
          <cell r="C55">
            <v>44211</v>
          </cell>
          <cell r="D55" t="str">
            <v>JIAXING WOERQI ELECTRICAL CO., LTD</v>
          </cell>
          <cell r="E55" t="str">
            <v>JACKY</v>
          </cell>
          <cell r="F55" t="str">
            <v>BG-24</v>
          </cell>
          <cell r="G55">
            <v>55</v>
          </cell>
          <cell r="H55">
            <v>498.46</v>
          </cell>
          <cell r="I55">
            <v>578.21359999999993</v>
          </cell>
          <cell r="J55">
            <v>27415.3</v>
          </cell>
          <cell r="K55">
            <v>31801.747999999996</v>
          </cell>
          <cell r="L55" t="str">
            <v>GRAVEDAD</v>
          </cell>
          <cell r="N55">
            <v>0</v>
          </cell>
        </row>
        <row r="56">
          <cell r="A56" t="str">
            <v>21L01</v>
          </cell>
          <cell r="B56">
            <v>44209</v>
          </cell>
          <cell r="C56">
            <v>44211</v>
          </cell>
          <cell r="D56" t="str">
            <v>JIAXING WOERQI ELECTRICAL CO., LTD</v>
          </cell>
          <cell r="E56" t="str">
            <v>JACKY</v>
          </cell>
          <cell r="F56" t="str">
            <v>BP-12</v>
          </cell>
          <cell r="G56">
            <v>645</v>
          </cell>
          <cell r="H56">
            <v>371.98</v>
          </cell>
          <cell r="I56">
            <v>431.49680000000001</v>
          </cell>
          <cell r="J56">
            <v>239927.1</v>
          </cell>
          <cell r="K56">
            <v>278315.43599999999</v>
          </cell>
          <cell r="L56" t="str">
            <v>PRESION</v>
          </cell>
          <cell r="N56">
            <v>0</v>
          </cell>
        </row>
        <row r="57">
          <cell r="A57" t="str">
            <v>21L01</v>
          </cell>
          <cell r="B57">
            <v>44209</v>
          </cell>
          <cell r="C57">
            <v>44211</v>
          </cell>
          <cell r="D57" t="str">
            <v>JIAXING WOERQI ELECTRICAL CO., LTD</v>
          </cell>
          <cell r="E57" t="str">
            <v>JACKY</v>
          </cell>
          <cell r="F57" t="str">
            <v>BG-18</v>
          </cell>
          <cell r="G57">
            <v>100</v>
          </cell>
          <cell r="H57">
            <v>329.53</v>
          </cell>
          <cell r="I57">
            <v>382.25479999999993</v>
          </cell>
          <cell r="J57">
            <v>32953</v>
          </cell>
          <cell r="K57">
            <v>38225.479999999996</v>
          </cell>
          <cell r="L57" t="str">
            <v>GRAVEDAD</v>
          </cell>
          <cell r="N57">
            <v>0</v>
          </cell>
        </row>
        <row r="58">
          <cell r="A58" t="str">
            <v>21L01</v>
          </cell>
          <cell r="B58">
            <v>44209</v>
          </cell>
          <cell r="C58">
            <v>44211</v>
          </cell>
          <cell r="D58" t="str">
            <v>JIAXING WOERQI ELECTRICAL CO., LTD</v>
          </cell>
          <cell r="E58" t="str">
            <v>JACKY</v>
          </cell>
          <cell r="F58" t="str">
            <v>BG-15</v>
          </cell>
          <cell r="G58">
            <v>400</v>
          </cell>
          <cell r="H58">
            <v>319.32</v>
          </cell>
          <cell r="I58">
            <v>370.41119999999995</v>
          </cell>
          <cell r="J58">
            <v>127728</v>
          </cell>
          <cell r="K58">
            <v>148164.47999999998</v>
          </cell>
          <cell r="L58" t="str">
            <v>GRAVEDAD</v>
          </cell>
          <cell r="N58">
            <v>0</v>
          </cell>
        </row>
        <row r="59">
          <cell r="A59" t="str">
            <v>21L01</v>
          </cell>
          <cell r="B59">
            <v>44209</v>
          </cell>
          <cell r="C59">
            <v>44211</v>
          </cell>
          <cell r="D59" t="str">
            <v>JIAXING WOERQI ELECTRICAL CO., LTD</v>
          </cell>
          <cell r="E59" t="str">
            <v>JACKY</v>
          </cell>
          <cell r="F59" t="str">
            <v>BG-08</v>
          </cell>
          <cell r="G59">
            <v>100</v>
          </cell>
          <cell r="H59">
            <v>286.76</v>
          </cell>
          <cell r="I59">
            <v>332.64159999999998</v>
          </cell>
          <cell r="J59">
            <v>28676</v>
          </cell>
          <cell r="K59">
            <v>33264.159999999996</v>
          </cell>
          <cell r="L59" t="str">
            <v>GRAVEDAD</v>
          </cell>
          <cell r="N59">
            <v>0</v>
          </cell>
        </row>
        <row r="60">
          <cell r="A60" t="str">
            <v>21L01</v>
          </cell>
          <cell r="B60">
            <v>44209</v>
          </cell>
          <cell r="C60">
            <v>44211</v>
          </cell>
          <cell r="D60" t="str">
            <v>JIAXING WOERQI ELECTRICAL CO., LTD</v>
          </cell>
          <cell r="E60" t="str">
            <v>JACKY</v>
          </cell>
          <cell r="F60" t="str">
            <v>UNI-EMP-ORI</v>
          </cell>
          <cell r="G60">
            <v>4540</v>
          </cell>
          <cell r="H60">
            <v>3.11</v>
          </cell>
          <cell r="I60">
            <v>3.6075999999999997</v>
          </cell>
          <cell r="J60">
            <v>14119.4</v>
          </cell>
          <cell r="K60">
            <v>16378.503999999999</v>
          </cell>
          <cell r="L60" t="str">
            <v>GRAVEDAD</v>
          </cell>
          <cell r="N60">
            <v>0</v>
          </cell>
        </row>
        <row r="61">
          <cell r="A61" t="str">
            <v>20E62</v>
          </cell>
          <cell r="B61">
            <v>44210</v>
          </cell>
          <cell r="C61">
            <v>44212</v>
          </cell>
          <cell r="D61" t="str">
            <v>ZHEJIANG YILE NEW ENERGY CO.,LTD</v>
          </cell>
          <cell r="E61" t="str">
            <v>KEN</v>
          </cell>
          <cell r="F61" t="str">
            <v>TPE-12</v>
          </cell>
          <cell r="G61">
            <v>200</v>
          </cell>
          <cell r="H61">
            <v>2728.74</v>
          </cell>
          <cell r="I61">
            <v>3165.3383999999996</v>
          </cell>
          <cell r="J61">
            <v>545748</v>
          </cell>
          <cell r="K61">
            <v>633067.67999999993</v>
          </cell>
          <cell r="L61" t="str">
            <v>PRESION</v>
          </cell>
          <cell r="N61">
            <v>0</v>
          </cell>
        </row>
        <row r="62">
          <cell r="A62" t="str">
            <v>20E62</v>
          </cell>
          <cell r="B62">
            <v>44210</v>
          </cell>
          <cell r="C62">
            <v>44212</v>
          </cell>
          <cell r="D62" t="str">
            <v>ZHEJIANG YILE NEW ENERGY CO.,LTD</v>
          </cell>
          <cell r="E62" t="str">
            <v>KEN</v>
          </cell>
          <cell r="F62" t="str">
            <v>TPE-10</v>
          </cell>
          <cell r="G62">
            <v>182</v>
          </cell>
          <cell r="H62">
            <v>2466.16</v>
          </cell>
          <cell r="I62">
            <v>2860.7455999999997</v>
          </cell>
          <cell r="J62">
            <v>448841.12</v>
          </cell>
          <cell r="K62">
            <v>520655.69919999997</v>
          </cell>
          <cell r="L62" t="str">
            <v>PRESION</v>
          </cell>
          <cell r="N62">
            <v>0</v>
          </cell>
        </row>
        <row r="63">
          <cell r="A63" t="str">
            <v>20E62</v>
          </cell>
          <cell r="B63">
            <v>44210</v>
          </cell>
          <cell r="C63">
            <v>44212</v>
          </cell>
          <cell r="D63" t="str">
            <v>ZHEJIANG YILE NEW ENERGY CO.,LTD</v>
          </cell>
          <cell r="E63" t="str">
            <v>KEN</v>
          </cell>
          <cell r="F63" t="str">
            <v>CAJA DE CARTÓN</v>
          </cell>
          <cell r="G63">
            <v>16</v>
          </cell>
          <cell r="H63">
            <v>29.202297469965099</v>
          </cell>
          <cell r="I63">
            <v>33.874665065159512</v>
          </cell>
          <cell r="J63">
            <v>467.23675951944159</v>
          </cell>
          <cell r="K63">
            <v>541.99464104255219</v>
          </cell>
          <cell r="L63" t="str">
            <v>GARANTIA</v>
          </cell>
          <cell r="N63">
            <v>0</v>
          </cell>
        </row>
        <row r="64">
          <cell r="A64" t="str">
            <v>21L02</v>
          </cell>
          <cell r="B64">
            <v>44212</v>
          </cell>
          <cell r="C64">
            <v>44216</v>
          </cell>
          <cell r="D64" t="str">
            <v>HAINING LEBRIA E
BUSINESS CO.</v>
          </cell>
          <cell r="E64" t="str">
            <v>EMMA</v>
          </cell>
          <cell r="F64" t="str">
            <v>TUG-08</v>
          </cell>
          <cell r="G64">
            <v>335</v>
          </cell>
          <cell r="H64">
            <v>367.53</v>
          </cell>
          <cell r="I64">
            <v>426.33479999999992</v>
          </cell>
          <cell r="J64">
            <v>123122.54999999999</v>
          </cell>
          <cell r="K64">
            <v>142822.15799999997</v>
          </cell>
          <cell r="L64" t="str">
            <v>GRAVEDAD</v>
          </cell>
          <cell r="N64">
            <v>0</v>
          </cell>
        </row>
        <row r="65">
          <cell r="A65" t="str">
            <v>21L02</v>
          </cell>
          <cell r="B65">
            <v>44212</v>
          </cell>
          <cell r="C65">
            <v>44216</v>
          </cell>
          <cell r="D65" t="str">
            <v>HAINING LEBRIA E
BUSINESS CO.</v>
          </cell>
          <cell r="E65" t="str">
            <v>EMMA</v>
          </cell>
          <cell r="F65" t="str">
            <v>TUG-10</v>
          </cell>
          <cell r="G65">
            <v>152</v>
          </cell>
          <cell r="H65">
            <v>459.49</v>
          </cell>
          <cell r="I65">
            <v>533.00839999999994</v>
          </cell>
          <cell r="J65">
            <v>69842.48</v>
          </cell>
          <cell r="K65">
            <v>81017.276799999992</v>
          </cell>
          <cell r="L65" t="str">
            <v>GRAVEDAD</v>
          </cell>
          <cell r="N65">
            <v>0</v>
          </cell>
        </row>
        <row r="66">
          <cell r="A66" t="str">
            <v>21L02</v>
          </cell>
          <cell r="B66">
            <v>44212</v>
          </cell>
          <cell r="C66">
            <v>44216</v>
          </cell>
          <cell r="D66" t="str">
            <v>HAINING LEBRIA E
BUSINESS CO.</v>
          </cell>
          <cell r="E66" t="str">
            <v>EMMA</v>
          </cell>
          <cell r="F66" t="str">
            <v>TUP-12</v>
          </cell>
          <cell r="G66">
            <v>244</v>
          </cell>
          <cell r="H66">
            <v>1300.08</v>
          </cell>
          <cell r="I66">
            <v>1508.0927999999999</v>
          </cell>
          <cell r="J66">
            <v>317219.51999999996</v>
          </cell>
          <cell r="K66">
            <v>367974.64319999999</v>
          </cell>
          <cell r="L66" t="str">
            <v>PRESION</v>
          </cell>
          <cell r="N66">
            <v>0</v>
          </cell>
        </row>
        <row r="67">
          <cell r="A67" t="str">
            <v>21L02</v>
          </cell>
          <cell r="B67">
            <v>44212</v>
          </cell>
          <cell r="C67">
            <v>44216</v>
          </cell>
          <cell r="D67" t="str">
            <v>HAINING LEBRIA E
BUSINESS CO.</v>
          </cell>
          <cell r="E67" t="str">
            <v>EMMA</v>
          </cell>
          <cell r="F67" t="str">
            <v>TUP-10</v>
          </cell>
          <cell r="G67">
            <v>401</v>
          </cell>
          <cell r="H67">
            <v>1083.3800000000001</v>
          </cell>
          <cell r="I67">
            <v>1256.7208000000001</v>
          </cell>
          <cell r="J67">
            <v>434435.38000000006</v>
          </cell>
          <cell r="K67">
            <v>503945.04080000002</v>
          </cell>
          <cell r="L67" t="str">
            <v>PRESION</v>
          </cell>
          <cell r="N67">
            <v>0</v>
          </cell>
        </row>
        <row r="68">
          <cell r="A68" t="str">
            <v>21L02</v>
          </cell>
          <cell r="B68">
            <v>44212</v>
          </cell>
          <cell r="C68">
            <v>44216</v>
          </cell>
          <cell r="D68" t="str">
            <v>HAINING LEBRIA E
BUSINESS CO.</v>
          </cell>
          <cell r="E68" t="str">
            <v>EMMA</v>
          </cell>
          <cell r="F68" t="str">
            <v>CAJA DE CARTÓN</v>
          </cell>
          <cell r="G68">
            <v>19</v>
          </cell>
          <cell r="H68">
            <v>27.427618246791098</v>
          </cell>
          <cell r="I68">
            <v>31.81603716627767</v>
          </cell>
          <cell r="J68">
            <v>521.12474668903087</v>
          </cell>
          <cell r="K68">
            <v>604.50470615927577</v>
          </cell>
          <cell r="L68" t="str">
            <v>GARANTIA</v>
          </cell>
          <cell r="N68">
            <v>0</v>
          </cell>
        </row>
        <row r="69">
          <cell r="A69" t="str">
            <v>21L02</v>
          </cell>
          <cell r="B69">
            <v>44212</v>
          </cell>
          <cell r="C69">
            <v>44216</v>
          </cell>
          <cell r="D69" t="str">
            <v>HAINING LEBRIA E
BUSINESS CO.</v>
          </cell>
          <cell r="E69" t="str">
            <v>EMMA</v>
          </cell>
          <cell r="F69" t="str">
            <v>TUG-15</v>
          </cell>
          <cell r="G69">
            <v>226</v>
          </cell>
          <cell r="H69">
            <v>689.07</v>
          </cell>
          <cell r="I69">
            <v>799.32119999999998</v>
          </cell>
          <cell r="J69">
            <v>155729.82</v>
          </cell>
          <cell r="K69">
            <v>180646.5912</v>
          </cell>
          <cell r="L69" t="str">
            <v>GRAVEDAD</v>
          </cell>
          <cell r="N69">
            <v>0</v>
          </cell>
        </row>
        <row r="70">
          <cell r="A70" t="str">
            <v>21L02-2</v>
          </cell>
          <cell r="B70">
            <v>44212</v>
          </cell>
          <cell r="C70">
            <v>44216</v>
          </cell>
          <cell r="D70" t="str">
            <v>HAINING LEBRIA E
BUSINESS CO.</v>
          </cell>
          <cell r="E70" t="str">
            <v>EMMA</v>
          </cell>
          <cell r="F70" t="str">
            <v>TUP-12</v>
          </cell>
          <cell r="G70">
            <v>127</v>
          </cell>
          <cell r="H70">
            <v>1376.63</v>
          </cell>
          <cell r="I70">
            <v>1596.8908000000001</v>
          </cell>
          <cell r="J70">
            <v>174832.01</v>
          </cell>
          <cell r="K70">
            <v>202805.13160000002</v>
          </cell>
          <cell r="L70" t="str">
            <v>PRESION</v>
          </cell>
          <cell r="N70">
            <v>0</v>
          </cell>
        </row>
        <row r="71">
          <cell r="A71" t="str">
            <v>21L02-2</v>
          </cell>
          <cell r="B71">
            <v>44212</v>
          </cell>
          <cell r="C71">
            <v>44216</v>
          </cell>
          <cell r="D71" t="str">
            <v>HAINING LEBRIA E
BUSINESS CO.</v>
          </cell>
          <cell r="E71" t="str">
            <v>EMMA</v>
          </cell>
          <cell r="F71" t="str">
            <v>TUG-15</v>
          </cell>
          <cell r="G71">
            <v>419</v>
          </cell>
          <cell r="H71">
            <v>729.7</v>
          </cell>
          <cell r="I71">
            <v>846.452</v>
          </cell>
          <cell r="J71">
            <v>305744.30000000005</v>
          </cell>
          <cell r="K71">
            <v>354663.38799999998</v>
          </cell>
          <cell r="L71" t="str">
            <v>GRAVEDAD</v>
          </cell>
          <cell r="N71">
            <v>0</v>
          </cell>
        </row>
        <row r="72">
          <cell r="A72" t="str">
            <v>21L10</v>
          </cell>
          <cell r="B72">
            <v>44215</v>
          </cell>
          <cell r="C72">
            <v>44216</v>
          </cell>
          <cell r="D72" t="str">
            <v>JIAXING WOERQI ELECTRICAL CO., LTD</v>
          </cell>
          <cell r="E72" t="str">
            <v>JACKY</v>
          </cell>
          <cell r="F72" t="str">
            <v>BG-18</v>
          </cell>
          <cell r="G72">
            <v>200</v>
          </cell>
          <cell r="H72">
            <v>378.08097392426151</v>
          </cell>
          <cell r="I72">
            <v>438.57392975214333</v>
          </cell>
          <cell r="J72">
            <v>75616.194784852298</v>
          </cell>
          <cell r="K72">
            <v>87714.785950428661</v>
          </cell>
          <cell r="L72" t="str">
            <v>GRAVEDAD</v>
          </cell>
          <cell r="N72">
            <v>0</v>
          </cell>
        </row>
        <row r="73">
          <cell r="A73" t="str">
            <v>21L10</v>
          </cell>
          <cell r="B73">
            <v>44215</v>
          </cell>
          <cell r="C73">
            <v>44216</v>
          </cell>
          <cell r="D73" t="str">
            <v>JIAXING WOERQI ELECTRICAL CO., LTD</v>
          </cell>
          <cell r="E73" t="str">
            <v>JACKY</v>
          </cell>
          <cell r="F73" t="str">
            <v>BG-15</v>
          </cell>
          <cell r="G73">
            <v>1100</v>
          </cell>
          <cell r="H73">
            <v>366.08705694324669</v>
          </cell>
          <cell r="I73">
            <v>424.66098605416613</v>
          </cell>
          <cell r="J73">
            <v>402695.76263757137</v>
          </cell>
          <cell r="K73">
            <v>467127.08465958276</v>
          </cell>
          <cell r="L73" t="str">
            <v>GRAVEDAD</v>
          </cell>
          <cell r="N73">
            <v>0</v>
          </cell>
        </row>
        <row r="74">
          <cell r="A74" t="str">
            <v>21L10</v>
          </cell>
          <cell r="B74">
            <v>44215</v>
          </cell>
          <cell r="C74">
            <v>44216</v>
          </cell>
          <cell r="D74" t="str">
            <v>JIAXING WOERQI ELECTRICAL CO., LTD</v>
          </cell>
          <cell r="E74" t="str">
            <v>JACKY</v>
          </cell>
          <cell r="F74" t="str">
            <v>BG-12</v>
          </cell>
          <cell r="G74">
            <v>400</v>
          </cell>
          <cell r="H74">
            <v>354.36572898452772</v>
          </cell>
          <cell r="I74">
            <v>411.06424562205211</v>
          </cell>
          <cell r="J74">
            <v>141746.2915938111</v>
          </cell>
          <cell r="K74">
            <v>164425.69824882085</v>
          </cell>
          <cell r="L74" t="str">
            <v>GRAVEDAD</v>
          </cell>
          <cell r="N74">
            <v>0</v>
          </cell>
        </row>
        <row r="75">
          <cell r="A75" t="str">
            <v>21L10</v>
          </cell>
          <cell r="B75">
            <v>44215</v>
          </cell>
          <cell r="C75">
            <v>44216</v>
          </cell>
          <cell r="D75" t="str">
            <v>JIAXING WOERQI ELECTRICAL CO., LTD</v>
          </cell>
          <cell r="E75" t="str">
            <v>JACKY</v>
          </cell>
          <cell r="F75" t="str">
            <v>UNI-EMP-ORI</v>
          </cell>
          <cell r="G75">
            <v>2580</v>
          </cell>
          <cell r="H75">
            <v>3.0802559519424331</v>
          </cell>
          <cell r="I75">
            <v>3.5730969042532221</v>
          </cell>
          <cell r="J75">
            <v>7947.0603560114769</v>
          </cell>
          <cell r="K75">
            <v>9218.5900129733127</v>
          </cell>
          <cell r="L75" t="str">
            <v>GRAVEDAD</v>
          </cell>
          <cell r="N75">
            <v>0</v>
          </cell>
        </row>
        <row r="76">
          <cell r="A76" t="str">
            <v>21E02</v>
          </cell>
          <cell r="B76">
            <v>44216</v>
          </cell>
          <cell r="C76">
            <v>44218</v>
          </cell>
          <cell r="D76" t="str">
            <v>Haining Sunsurf New Energy Technology Co., Ltd.</v>
          </cell>
          <cell r="E76" t="str">
            <v>LEON</v>
          </cell>
          <cell r="F76" t="str">
            <v>TPE-12</v>
          </cell>
          <cell r="G76">
            <v>191</v>
          </cell>
          <cell r="H76">
            <v>2525.15</v>
          </cell>
          <cell r="I76">
            <v>2929.174</v>
          </cell>
          <cell r="J76">
            <v>482303.65</v>
          </cell>
          <cell r="K76">
            <v>559472.23399999994</v>
          </cell>
          <cell r="L76" t="str">
            <v>PRESION</v>
          </cell>
          <cell r="N76">
            <v>0</v>
          </cell>
        </row>
        <row r="77">
          <cell r="A77" t="str">
            <v>21E02</v>
          </cell>
          <cell r="B77">
            <v>44216</v>
          </cell>
          <cell r="C77">
            <v>44218</v>
          </cell>
          <cell r="D77" t="str">
            <v>Haining Sunsurf New Energy Technology Co., Ltd.</v>
          </cell>
          <cell r="E77" t="str">
            <v>LEON</v>
          </cell>
          <cell r="F77" t="str">
            <v>TPE-10</v>
          </cell>
          <cell r="G77">
            <v>191</v>
          </cell>
          <cell r="H77">
            <v>2269.38</v>
          </cell>
          <cell r="I77">
            <v>2632.4807999999998</v>
          </cell>
          <cell r="J77">
            <v>433451.58</v>
          </cell>
          <cell r="K77">
            <v>502803.83279999997</v>
          </cell>
          <cell r="L77" t="str">
            <v>PRESION</v>
          </cell>
          <cell r="N77">
            <v>0</v>
          </cell>
        </row>
        <row r="78">
          <cell r="A78" t="str">
            <v>21E02</v>
          </cell>
          <cell r="B78">
            <v>44216</v>
          </cell>
          <cell r="C78">
            <v>44218</v>
          </cell>
          <cell r="D78" t="str">
            <v>Haining Sunsurf New Energy Technology Co., Ltd.</v>
          </cell>
          <cell r="E78" t="str">
            <v>LEON</v>
          </cell>
          <cell r="F78" t="str">
            <v>VAL-PT-0.55-90C</v>
          </cell>
          <cell r="G78">
            <v>2700</v>
          </cell>
          <cell r="H78">
            <v>127.93</v>
          </cell>
          <cell r="I78">
            <v>148.39879999999999</v>
          </cell>
          <cell r="J78">
            <v>345411</v>
          </cell>
          <cell r="K78">
            <v>400676.76</v>
          </cell>
          <cell r="L78" t="str">
            <v>PRESION</v>
          </cell>
          <cell r="N78">
            <v>0</v>
          </cell>
        </row>
        <row r="79">
          <cell r="A79" t="str">
            <v>21E02</v>
          </cell>
          <cell r="B79">
            <v>44216</v>
          </cell>
          <cell r="C79">
            <v>44218</v>
          </cell>
          <cell r="D79" t="str">
            <v>Haining Sunsurf New Energy Technology Co., Ltd.</v>
          </cell>
          <cell r="E79" t="str">
            <v>LEON</v>
          </cell>
          <cell r="F79" t="str">
            <v>VAL-ANTVAC</v>
          </cell>
          <cell r="G79">
            <v>2000</v>
          </cell>
          <cell r="H79">
            <v>76.75</v>
          </cell>
          <cell r="I79">
            <v>89.029999999999987</v>
          </cell>
          <cell r="J79">
            <v>153500</v>
          </cell>
          <cell r="K79">
            <v>178059.99999999997</v>
          </cell>
          <cell r="L79" t="str">
            <v>PRESION</v>
          </cell>
          <cell r="N79">
            <v>0</v>
          </cell>
        </row>
        <row r="80">
          <cell r="A80" t="str">
            <v>21E02</v>
          </cell>
          <cell r="B80">
            <v>44216</v>
          </cell>
          <cell r="C80">
            <v>44218</v>
          </cell>
          <cell r="D80" t="str">
            <v>Haining Sunsurf New Energy Technology Co., Ltd.</v>
          </cell>
          <cell r="E80" t="str">
            <v>LEON</v>
          </cell>
          <cell r="F80" t="str">
            <v>CAJA DE CARTÓN</v>
          </cell>
          <cell r="G80">
            <v>4</v>
          </cell>
          <cell r="H80">
            <v>25.58622884064313</v>
          </cell>
          <cell r="I80">
            <v>29.68002545514603</v>
          </cell>
          <cell r="J80">
            <v>102.34491536257252</v>
          </cell>
          <cell r="K80">
            <v>118.72010182058412</v>
          </cell>
          <cell r="L80" t="str">
            <v>GARANTIA</v>
          </cell>
          <cell r="N80">
            <v>0</v>
          </cell>
        </row>
        <row r="81">
          <cell r="A81" t="str">
            <v>20L86-21L04-1</v>
          </cell>
          <cell r="B81">
            <v>44218</v>
          </cell>
          <cell r="C81">
            <v>44221</v>
          </cell>
          <cell r="D81" t="str">
            <v>Haining Sunsurf New Energy Technology Co., Ltd.</v>
          </cell>
          <cell r="E81" t="str">
            <v>LEON</v>
          </cell>
          <cell r="F81" t="str">
            <v>BP-26</v>
          </cell>
          <cell r="G81">
            <v>70</v>
          </cell>
          <cell r="H81">
            <v>612.37</v>
          </cell>
          <cell r="I81">
            <v>710.3492</v>
          </cell>
          <cell r="J81">
            <v>42865.9</v>
          </cell>
          <cell r="K81">
            <v>49724.444000000003</v>
          </cell>
          <cell r="L81" t="str">
            <v>PRESION</v>
          </cell>
          <cell r="N81">
            <v>0</v>
          </cell>
        </row>
        <row r="82">
          <cell r="A82" t="str">
            <v>20L86-21L04-1</v>
          </cell>
          <cell r="B82">
            <v>44218</v>
          </cell>
          <cell r="C82">
            <v>44221</v>
          </cell>
          <cell r="D82" t="str">
            <v>Haining Sunsurf New Energy Technology Co., Ltd.</v>
          </cell>
          <cell r="E82" t="str">
            <v>LEON</v>
          </cell>
          <cell r="F82" t="str">
            <v>BP-26</v>
          </cell>
          <cell r="G82">
            <v>50</v>
          </cell>
          <cell r="H82">
            <v>582.92999999999995</v>
          </cell>
          <cell r="I82">
            <v>676.19879999999989</v>
          </cell>
          <cell r="J82">
            <v>29146.499999999996</v>
          </cell>
          <cell r="K82">
            <v>33809.939999999995</v>
          </cell>
          <cell r="L82" t="str">
            <v>PRESION</v>
          </cell>
          <cell r="N82">
            <v>0</v>
          </cell>
        </row>
        <row r="83">
          <cell r="A83" t="str">
            <v>20L86-21L04-1</v>
          </cell>
          <cell r="B83">
            <v>44218</v>
          </cell>
          <cell r="C83">
            <v>44221</v>
          </cell>
          <cell r="D83" t="str">
            <v>Haining Sunsurf New Energy Technology Co., Ltd.</v>
          </cell>
          <cell r="E83" t="str">
            <v>LEON</v>
          </cell>
          <cell r="F83" t="str">
            <v>BG-30</v>
          </cell>
          <cell r="G83">
            <v>30</v>
          </cell>
          <cell r="H83">
            <v>522.07000000000005</v>
          </cell>
          <cell r="I83">
            <v>605.60120000000006</v>
          </cell>
          <cell r="J83">
            <v>15662.100000000002</v>
          </cell>
          <cell r="K83">
            <v>18168.036</v>
          </cell>
          <cell r="L83" t="str">
            <v>GRAVEDAD</v>
          </cell>
          <cell r="N83">
            <v>0</v>
          </cell>
        </row>
        <row r="84">
          <cell r="A84" t="str">
            <v>20L86-21L04-1</v>
          </cell>
          <cell r="B84">
            <v>44218</v>
          </cell>
          <cell r="C84">
            <v>44221</v>
          </cell>
          <cell r="D84" t="str">
            <v>Haining Sunsurf New Energy Technology Co., Ltd.</v>
          </cell>
          <cell r="E84" t="str">
            <v>LEON</v>
          </cell>
          <cell r="F84" t="str">
            <v>BG-24</v>
          </cell>
          <cell r="G84">
            <v>30</v>
          </cell>
          <cell r="H84">
            <v>494.84</v>
          </cell>
          <cell r="I84">
            <v>574.01439999999991</v>
          </cell>
          <cell r="J84">
            <v>14845.199999999999</v>
          </cell>
          <cell r="K84">
            <v>17220.431999999997</v>
          </cell>
          <cell r="L84" t="str">
            <v>GRAVEDAD</v>
          </cell>
          <cell r="N84">
            <v>0</v>
          </cell>
        </row>
        <row r="85">
          <cell r="A85" t="str">
            <v>20L86-21L04-1</v>
          </cell>
          <cell r="B85">
            <v>44218</v>
          </cell>
          <cell r="C85">
            <v>44221</v>
          </cell>
          <cell r="D85" t="str">
            <v>Haining Sunsurf New Energy Technology Co., Ltd.</v>
          </cell>
          <cell r="E85" t="str">
            <v>LEON</v>
          </cell>
          <cell r="F85" t="str">
            <v>BP-12</v>
          </cell>
          <cell r="G85">
            <v>1190</v>
          </cell>
          <cell r="H85">
            <v>331.81</v>
          </cell>
          <cell r="I85">
            <v>384.89959999999996</v>
          </cell>
          <cell r="J85">
            <v>394853.9</v>
          </cell>
          <cell r="K85">
            <v>458030.52399999998</v>
          </cell>
          <cell r="L85" t="str">
            <v>PRESION</v>
          </cell>
          <cell r="N85">
            <v>0</v>
          </cell>
        </row>
        <row r="86">
          <cell r="A86" t="str">
            <v>20L86-21L04-1</v>
          </cell>
          <cell r="B86">
            <v>44218</v>
          </cell>
          <cell r="C86">
            <v>44221</v>
          </cell>
          <cell r="D86" t="str">
            <v>Haining Sunsurf New Energy Technology Co., Ltd.</v>
          </cell>
          <cell r="E86" t="str">
            <v>LEON</v>
          </cell>
          <cell r="F86" t="str">
            <v>BG-08</v>
          </cell>
          <cell r="G86">
            <v>160</v>
          </cell>
          <cell r="H86">
            <v>330.82</v>
          </cell>
          <cell r="I86">
            <v>383.75119999999998</v>
          </cell>
          <cell r="J86">
            <v>52931.199999999997</v>
          </cell>
          <cell r="K86">
            <v>61400.191999999995</v>
          </cell>
          <cell r="L86" t="str">
            <v>GRAVEDAD</v>
          </cell>
          <cell r="N86">
            <v>0</v>
          </cell>
        </row>
        <row r="87">
          <cell r="A87" t="str">
            <v>20L86-21L04-1</v>
          </cell>
          <cell r="B87">
            <v>44218</v>
          </cell>
          <cell r="C87">
            <v>44221</v>
          </cell>
          <cell r="D87" t="str">
            <v>Haining Sunsurf New Energy Technology Co., Ltd.</v>
          </cell>
          <cell r="E87" t="str">
            <v>LEON</v>
          </cell>
          <cell r="F87" t="str">
            <v>BP-10</v>
          </cell>
          <cell r="G87">
            <v>400</v>
          </cell>
          <cell r="H87">
            <v>330.23</v>
          </cell>
          <cell r="I87">
            <v>383.0668</v>
          </cell>
          <cell r="J87">
            <v>132092</v>
          </cell>
          <cell r="K87">
            <v>153226.72</v>
          </cell>
          <cell r="L87" t="str">
            <v>PRESION</v>
          </cell>
          <cell r="N87">
            <v>0</v>
          </cell>
        </row>
        <row r="88">
          <cell r="A88" t="str">
            <v>20L86-21L04-1</v>
          </cell>
          <cell r="B88">
            <v>44218</v>
          </cell>
          <cell r="C88">
            <v>44221</v>
          </cell>
          <cell r="D88" t="str">
            <v>Haining Sunsurf New Energy Technology Co., Ltd.</v>
          </cell>
          <cell r="E88" t="str">
            <v>LEON</v>
          </cell>
          <cell r="F88" t="str">
            <v>BG-15</v>
          </cell>
          <cell r="G88">
            <v>430</v>
          </cell>
          <cell r="H88">
            <v>328.5</v>
          </cell>
          <cell r="I88">
            <v>381.05999999999995</v>
          </cell>
          <cell r="J88">
            <v>141255</v>
          </cell>
          <cell r="K88">
            <v>163855.79999999999</v>
          </cell>
          <cell r="L88" t="str">
            <v>GRAVEDAD</v>
          </cell>
          <cell r="N88">
            <v>0</v>
          </cell>
        </row>
        <row r="89">
          <cell r="A89" t="str">
            <v>20L86-21L04-1</v>
          </cell>
          <cell r="B89">
            <v>44218</v>
          </cell>
          <cell r="C89">
            <v>44221</v>
          </cell>
          <cell r="D89" t="str">
            <v>Haining Sunsurf New Energy Technology Co., Ltd.</v>
          </cell>
          <cell r="E89" t="str">
            <v>LEON</v>
          </cell>
          <cell r="F89" t="str">
            <v>BG-12</v>
          </cell>
          <cell r="G89">
            <v>720</v>
          </cell>
          <cell r="H89">
            <v>315.63</v>
          </cell>
          <cell r="I89">
            <v>366.13079999999997</v>
          </cell>
          <cell r="J89">
            <v>227253.6</v>
          </cell>
          <cell r="K89">
            <v>263614.17599999998</v>
          </cell>
          <cell r="L89" t="str">
            <v>GRAVEDAD</v>
          </cell>
          <cell r="N89">
            <v>0</v>
          </cell>
        </row>
        <row r="90">
          <cell r="A90" t="str">
            <v>20L86-21L04-1</v>
          </cell>
          <cell r="B90">
            <v>44218</v>
          </cell>
          <cell r="C90">
            <v>44221</v>
          </cell>
          <cell r="D90" t="str">
            <v>Haining Sunsurf New Energy Technology Co., Ltd.</v>
          </cell>
          <cell r="E90" t="str">
            <v>LEON</v>
          </cell>
          <cell r="F90" t="str">
            <v>BP-10</v>
          </cell>
          <cell r="G90">
            <v>200</v>
          </cell>
          <cell r="H90">
            <v>314.22000000000003</v>
          </cell>
          <cell r="I90">
            <v>364.49520000000001</v>
          </cell>
          <cell r="J90">
            <v>62844.000000000007</v>
          </cell>
          <cell r="K90">
            <v>72899.040000000008</v>
          </cell>
          <cell r="L90" t="str">
            <v>PRESION</v>
          </cell>
          <cell r="N90">
            <v>0</v>
          </cell>
        </row>
        <row r="91">
          <cell r="A91" t="str">
            <v>20L86-21L04-1</v>
          </cell>
          <cell r="B91">
            <v>44218</v>
          </cell>
          <cell r="C91">
            <v>44221</v>
          </cell>
          <cell r="D91" t="str">
            <v>Haining Sunsurf New Energy Technology Co., Ltd.</v>
          </cell>
          <cell r="E91" t="str">
            <v>LEON</v>
          </cell>
          <cell r="F91" t="str">
            <v>BG-10</v>
          </cell>
          <cell r="G91">
            <v>290</v>
          </cell>
          <cell r="H91">
            <v>306.66000000000003</v>
          </cell>
          <cell r="I91">
            <v>355.72559999999999</v>
          </cell>
          <cell r="J91">
            <v>88931.400000000009</v>
          </cell>
          <cell r="K91">
            <v>103160.424</v>
          </cell>
          <cell r="L91" t="str">
            <v>GRAVEDAD</v>
          </cell>
          <cell r="N91">
            <v>0</v>
          </cell>
        </row>
        <row r="92">
          <cell r="A92" t="str">
            <v>20L86-21L04-1</v>
          </cell>
          <cell r="B92">
            <v>44218</v>
          </cell>
          <cell r="C92">
            <v>44221</v>
          </cell>
          <cell r="D92" t="str">
            <v>Haining Sunsurf New Energy Technology Co., Ltd.</v>
          </cell>
          <cell r="E92" t="str">
            <v>LEON</v>
          </cell>
          <cell r="F92" t="str">
            <v>CAJA DE CARTÓN</v>
          </cell>
          <cell r="G92">
            <v>34</v>
          </cell>
          <cell r="H92">
            <v>25.46</v>
          </cell>
          <cell r="I92">
            <v>29.5336</v>
          </cell>
          <cell r="J92">
            <v>865.64</v>
          </cell>
          <cell r="K92">
            <v>1004.1424</v>
          </cell>
          <cell r="L92" t="str">
            <v>GARANTIA</v>
          </cell>
          <cell r="N92">
            <v>0</v>
          </cell>
        </row>
        <row r="93">
          <cell r="A93" t="str">
            <v>21E05</v>
          </cell>
          <cell r="B93">
            <v>44221</v>
          </cell>
          <cell r="C93">
            <v>44225</v>
          </cell>
          <cell r="D93" t="str">
            <v>ZHEJIANG YILE NEW ENERGY CO.,LTD</v>
          </cell>
          <cell r="E93" t="str">
            <v>KEN</v>
          </cell>
          <cell r="F93" t="str">
            <v>TPE-10</v>
          </cell>
          <cell r="G93">
            <v>191</v>
          </cell>
          <cell r="H93">
            <v>2580.66</v>
          </cell>
          <cell r="I93">
            <v>2993.5655999999994</v>
          </cell>
          <cell r="J93">
            <v>492906.06</v>
          </cell>
          <cell r="K93">
            <v>571771.02959999989</v>
          </cell>
          <cell r="L93" t="str">
            <v>PRESION</v>
          </cell>
          <cell r="N93">
            <v>0</v>
          </cell>
        </row>
        <row r="94">
          <cell r="A94" t="str">
            <v>21E05</v>
          </cell>
          <cell r="B94">
            <v>44221</v>
          </cell>
          <cell r="C94">
            <v>44225</v>
          </cell>
          <cell r="D94" t="str">
            <v>ZHEJIANG YILE NEW ENERGY CO.,LTD</v>
          </cell>
          <cell r="E94" t="str">
            <v>KEN</v>
          </cell>
          <cell r="F94" t="str">
            <v>CAJA DE CARTÓN</v>
          </cell>
          <cell r="G94">
            <v>8</v>
          </cell>
          <cell r="H94">
            <v>30.77</v>
          </cell>
          <cell r="I94">
            <v>35.693199999999997</v>
          </cell>
          <cell r="J94">
            <v>246.16</v>
          </cell>
          <cell r="K94">
            <v>285.54559999999998</v>
          </cell>
          <cell r="L94" t="str">
            <v>GARANTIA</v>
          </cell>
          <cell r="N94">
            <v>0</v>
          </cell>
        </row>
        <row r="95">
          <cell r="A95" t="str">
            <v>20L87-2-20L90</v>
          </cell>
          <cell r="B95">
            <v>44222</v>
          </cell>
          <cell r="C95">
            <v>44225</v>
          </cell>
          <cell r="D95" t="str">
            <v>CSP HOLDING GROUP LIMITED</v>
          </cell>
          <cell r="E95" t="str">
            <v>JESSIE</v>
          </cell>
          <cell r="F95" t="str">
            <v>TUG-12</v>
          </cell>
          <cell r="G95">
            <v>1105</v>
          </cell>
          <cell r="H95">
            <v>618.09</v>
          </cell>
          <cell r="I95">
            <v>716.98439999999994</v>
          </cell>
          <cell r="J95">
            <v>682989.45000000007</v>
          </cell>
          <cell r="K95">
            <v>792267.76199999999</v>
          </cell>
          <cell r="L95" t="str">
            <v>GRAVEDAD</v>
          </cell>
          <cell r="N95">
            <v>0</v>
          </cell>
        </row>
        <row r="96">
          <cell r="A96" t="str">
            <v>20L87-2-20L90</v>
          </cell>
          <cell r="B96">
            <v>44222</v>
          </cell>
          <cell r="C96">
            <v>44225</v>
          </cell>
          <cell r="D96" t="str">
            <v>CSP HOLDING GROUP LIMITED</v>
          </cell>
          <cell r="E96" t="str">
            <v>JESSIE</v>
          </cell>
          <cell r="F96" t="str">
            <v>TUP-06</v>
          </cell>
          <cell r="G96">
            <v>50</v>
          </cell>
          <cell r="H96">
            <v>727.49</v>
          </cell>
          <cell r="I96">
            <v>843.88839999999993</v>
          </cell>
          <cell r="J96">
            <v>36374.5</v>
          </cell>
          <cell r="K96">
            <v>42194.42</v>
          </cell>
          <cell r="L96" t="str">
            <v>PRESION</v>
          </cell>
          <cell r="N96">
            <v>0</v>
          </cell>
        </row>
        <row r="97">
          <cell r="A97" t="str">
            <v>20L87-2-20L90</v>
          </cell>
          <cell r="B97">
            <v>44222</v>
          </cell>
          <cell r="C97">
            <v>44225</v>
          </cell>
          <cell r="D97" t="str">
            <v>CSP HOLDING GROUP LIMITED</v>
          </cell>
          <cell r="E97" t="str">
            <v>JESSIE</v>
          </cell>
          <cell r="F97" t="str">
            <v>TUG-15</v>
          </cell>
          <cell r="G97">
            <v>136</v>
          </cell>
          <cell r="H97">
            <v>772.44</v>
          </cell>
          <cell r="I97">
            <v>896.03039999999999</v>
          </cell>
          <cell r="J97">
            <v>105051.84000000001</v>
          </cell>
          <cell r="K97">
            <v>121860.1344</v>
          </cell>
          <cell r="L97" t="str">
            <v>GRAVEDAD</v>
          </cell>
          <cell r="N97">
            <v>0</v>
          </cell>
        </row>
        <row r="98">
          <cell r="A98" t="str">
            <v>21E03</v>
          </cell>
          <cell r="B98">
            <v>44224</v>
          </cell>
          <cell r="C98">
            <v>44229</v>
          </cell>
          <cell r="D98" t="str">
            <v>Haining Sunsurf New Energy Technology Co., Ltd.</v>
          </cell>
          <cell r="E98" t="str">
            <v>LEON</v>
          </cell>
          <cell r="F98" t="str">
            <v>TPE-12</v>
          </cell>
          <cell r="G98">
            <v>191</v>
          </cell>
          <cell r="H98">
            <v>2603.98</v>
          </cell>
          <cell r="I98">
            <v>3020.6167999999998</v>
          </cell>
          <cell r="J98">
            <v>497360.18</v>
          </cell>
          <cell r="K98">
            <v>576937.8088</v>
          </cell>
          <cell r="L98" t="str">
            <v>PRESION</v>
          </cell>
          <cell r="N98">
            <v>0</v>
          </cell>
        </row>
        <row r="99">
          <cell r="A99" t="str">
            <v>21E03</v>
          </cell>
          <cell r="B99">
            <v>44224</v>
          </cell>
          <cell r="C99">
            <v>44229</v>
          </cell>
          <cell r="D99" t="str">
            <v>Haining Sunsurf New Energy Technology Co., Ltd.</v>
          </cell>
          <cell r="E99" t="str">
            <v>LEON</v>
          </cell>
          <cell r="F99" t="str">
            <v>TPE-10</v>
          </cell>
          <cell r="G99">
            <v>191</v>
          </cell>
          <cell r="H99">
            <v>2340.0300000000002</v>
          </cell>
          <cell r="I99">
            <v>2714.4348</v>
          </cell>
          <cell r="J99">
            <v>446945.73000000004</v>
          </cell>
          <cell r="K99">
            <v>518457.04680000001</v>
          </cell>
          <cell r="L99" t="str">
            <v>PRESION</v>
          </cell>
          <cell r="N99">
            <v>0</v>
          </cell>
        </row>
        <row r="100">
          <cell r="A100" t="str">
            <v>21E03</v>
          </cell>
          <cell r="B100">
            <v>44224</v>
          </cell>
          <cell r="C100">
            <v>44229</v>
          </cell>
          <cell r="D100" t="str">
            <v>Haining Sunsurf New Energy Technology Co., Ltd.</v>
          </cell>
          <cell r="E100" t="str">
            <v>LEON</v>
          </cell>
          <cell r="F100" t="str">
            <v>VAL-PT-0.55-90C</v>
          </cell>
          <cell r="G100">
            <v>2500</v>
          </cell>
          <cell r="H100">
            <v>126.64</v>
          </cell>
          <cell r="I100">
            <v>146.9024</v>
          </cell>
          <cell r="J100">
            <v>316600</v>
          </cell>
          <cell r="K100">
            <v>367256</v>
          </cell>
          <cell r="L100" t="str">
            <v>PRESION</v>
          </cell>
          <cell r="N100">
            <v>0</v>
          </cell>
        </row>
        <row r="101">
          <cell r="A101" t="str">
            <v>21E03</v>
          </cell>
          <cell r="B101">
            <v>44224</v>
          </cell>
          <cell r="C101">
            <v>44229</v>
          </cell>
          <cell r="D101" t="str">
            <v>Haining Sunsurf New Energy Technology Co., Ltd.</v>
          </cell>
          <cell r="E101" t="str">
            <v>LEON</v>
          </cell>
          <cell r="F101" t="str">
            <v>VAL-ANTVAC</v>
          </cell>
          <cell r="G101">
            <v>2500</v>
          </cell>
          <cell r="H101">
            <v>84.43</v>
          </cell>
          <cell r="I101">
            <v>97.938800000000001</v>
          </cell>
          <cell r="J101">
            <v>211075.00000000003</v>
          </cell>
          <cell r="K101">
            <v>244847</v>
          </cell>
          <cell r="L101" t="str">
            <v>PRESION</v>
          </cell>
          <cell r="N101">
            <v>0</v>
          </cell>
        </row>
        <row r="102">
          <cell r="A102" t="str">
            <v>21E03</v>
          </cell>
          <cell r="B102">
            <v>44224</v>
          </cell>
          <cell r="C102">
            <v>44229</v>
          </cell>
          <cell r="D102" t="str">
            <v>Haining Sunsurf New Energy Technology Co., Ltd.</v>
          </cell>
          <cell r="E102" t="str">
            <v>LEON</v>
          </cell>
          <cell r="F102" t="str">
            <v>CAJA DE CARTÓN</v>
          </cell>
          <cell r="G102">
            <v>4</v>
          </cell>
          <cell r="H102">
            <v>26.382140390465491</v>
          </cell>
          <cell r="I102">
            <v>30.603282852939966</v>
          </cell>
          <cell r="J102">
            <v>105.52856156186196</v>
          </cell>
          <cell r="K102">
            <v>122.41313141175986</v>
          </cell>
          <cell r="L102" t="str">
            <v>GARANTIA</v>
          </cell>
          <cell r="N102">
            <v>0</v>
          </cell>
        </row>
        <row r="103">
          <cell r="A103" t="str">
            <v>21L11</v>
          </cell>
          <cell r="B103">
            <v>44224</v>
          </cell>
          <cell r="C103">
            <v>44226</v>
          </cell>
          <cell r="D103" t="str">
            <v>JIAXING WOERQI ELECTRICAL CO., LTD</v>
          </cell>
          <cell r="E103" t="str">
            <v>JACKY</v>
          </cell>
          <cell r="F103" t="str">
            <v>BG-15</v>
          </cell>
          <cell r="G103">
            <v>845</v>
          </cell>
          <cell r="H103">
            <v>368.18</v>
          </cell>
          <cell r="I103">
            <v>427.08879999999999</v>
          </cell>
          <cell r="J103">
            <v>311112.09999999998</v>
          </cell>
          <cell r="K103">
            <v>360890.03600000002</v>
          </cell>
          <cell r="L103" t="str">
            <v>GRAVEDAD</v>
          </cell>
          <cell r="N103">
            <v>0</v>
          </cell>
        </row>
        <row r="104">
          <cell r="A104" t="str">
            <v>21L11</v>
          </cell>
          <cell r="B104">
            <v>44224</v>
          </cell>
          <cell r="C104">
            <v>44226</v>
          </cell>
          <cell r="D104" t="str">
            <v>JIAXING WOERQI ELECTRICAL CO., LTD</v>
          </cell>
          <cell r="E104" t="str">
            <v>JACKY</v>
          </cell>
          <cell r="F104" t="str">
            <v>BG-12</v>
          </cell>
          <cell r="G104">
            <v>875</v>
          </cell>
          <cell r="H104">
            <v>356.4</v>
          </cell>
          <cell r="I104">
            <v>413.42399999999992</v>
          </cell>
          <cell r="J104">
            <v>311850</v>
          </cell>
          <cell r="K104">
            <v>361745.99999999994</v>
          </cell>
          <cell r="L104" t="str">
            <v>GRAVEDAD</v>
          </cell>
          <cell r="N104">
            <v>0</v>
          </cell>
        </row>
        <row r="105">
          <cell r="A105" t="str">
            <v>21L11</v>
          </cell>
          <cell r="B105">
            <v>44224</v>
          </cell>
          <cell r="C105">
            <v>44226</v>
          </cell>
          <cell r="D105" t="str">
            <v>JIAXING WOERQI ELECTRICAL CO., LTD</v>
          </cell>
          <cell r="E105" t="str">
            <v>JACKY</v>
          </cell>
          <cell r="F105" t="str">
            <v>UNI-EMP-ORI</v>
          </cell>
          <cell r="G105">
            <v>3640</v>
          </cell>
          <cell r="H105">
            <v>3.1</v>
          </cell>
          <cell r="I105">
            <v>3.5959999999999996</v>
          </cell>
          <cell r="J105">
            <v>11284</v>
          </cell>
          <cell r="K105">
            <v>13089.439999999999</v>
          </cell>
          <cell r="L105" t="str">
            <v>GRAVEDAD</v>
          </cell>
          <cell r="N105">
            <v>0</v>
          </cell>
        </row>
        <row r="106">
          <cell r="A106" t="str">
            <v>21L03</v>
          </cell>
          <cell r="B106">
            <v>44225</v>
          </cell>
          <cell r="C106">
            <v>44229</v>
          </cell>
          <cell r="D106" t="str">
            <v>HAINING LEBRIA E
BUSINESS CO.</v>
          </cell>
          <cell r="E106" t="str">
            <v>EMMA</v>
          </cell>
          <cell r="F106" t="str">
            <v>TUG-08</v>
          </cell>
          <cell r="G106">
            <v>145</v>
          </cell>
          <cell r="H106">
            <v>387.26</v>
          </cell>
          <cell r="I106">
            <v>449.22159999999997</v>
          </cell>
          <cell r="J106">
            <v>56152.7</v>
          </cell>
          <cell r="K106">
            <v>65137.131999999998</v>
          </cell>
          <cell r="L106" t="str">
            <v>GRAVEDAD</v>
          </cell>
          <cell r="N106">
            <v>0</v>
          </cell>
        </row>
        <row r="107">
          <cell r="A107" t="str">
            <v>21L03</v>
          </cell>
          <cell r="B107">
            <v>44225</v>
          </cell>
          <cell r="C107">
            <v>44229</v>
          </cell>
          <cell r="D107" t="str">
            <v>HAINING LEBRIA E
BUSINESS CO.</v>
          </cell>
          <cell r="E107" t="str">
            <v>EMMA</v>
          </cell>
          <cell r="F107" t="str">
            <v>TUG-10</v>
          </cell>
          <cell r="G107">
            <v>238</v>
          </cell>
          <cell r="H107">
            <v>484.41</v>
          </cell>
          <cell r="I107">
            <v>561.91560000000004</v>
          </cell>
          <cell r="J107">
            <v>115289.58</v>
          </cell>
          <cell r="K107">
            <v>133735.91280000002</v>
          </cell>
          <cell r="L107" t="str">
            <v>GRAVEDAD</v>
          </cell>
          <cell r="N107">
            <v>0</v>
          </cell>
        </row>
        <row r="108">
          <cell r="A108" t="str">
            <v>21L03</v>
          </cell>
          <cell r="B108">
            <v>44225</v>
          </cell>
          <cell r="C108">
            <v>44229</v>
          </cell>
          <cell r="D108" t="str">
            <v>HAINING LEBRIA E
BUSINESS CO.</v>
          </cell>
          <cell r="E108" t="str">
            <v>EMMA</v>
          </cell>
          <cell r="F108" t="str">
            <v>TUG-10</v>
          </cell>
          <cell r="G108">
            <v>100</v>
          </cell>
          <cell r="H108">
            <v>484.41</v>
          </cell>
          <cell r="I108">
            <v>561.91560000000004</v>
          </cell>
          <cell r="J108">
            <v>48441</v>
          </cell>
          <cell r="K108">
            <v>56191.560000000005</v>
          </cell>
          <cell r="L108" t="str">
            <v>GRAVEDAD</v>
          </cell>
          <cell r="N108">
            <v>0</v>
          </cell>
        </row>
        <row r="109">
          <cell r="A109" t="str">
            <v>21L03</v>
          </cell>
          <cell r="B109">
            <v>44225</v>
          </cell>
          <cell r="C109">
            <v>44229</v>
          </cell>
          <cell r="D109" t="str">
            <v>HAINING LEBRIA E
BUSINESS CO.</v>
          </cell>
          <cell r="E109" t="str">
            <v>EMMA</v>
          </cell>
          <cell r="F109" t="str">
            <v>TUP-12</v>
          </cell>
          <cell r="G109">
            <v>327</v>
          </cell>
          <cell r="H109">
            <v>1370.77</v>
          </cell>
          <cell r="I109">
            <v>1590.0931999999998</v>
          </cell>
          <cell r="J109">
            <v>448241.79</v>
          </cell>
          <cell r="K109">
            <v>519960.47639999993</v>
          </cell>
          <cell r="L109" t="str">
            <v>PRESION</v>
          </cell>
          <cell r="N109">
            <v>0</v>
          </cell>
        </row>
        <row r="110">
          <cell r="A110" t="str">
            <v>21L03</v>
          </cell>
          <cell r="B110">
            <v>44225</v>
          </cell>
          <cell r="C110">
            <v>44229</v>
          </cell>
          <cell r="D110" t="str">
            <v>HAINING LEBRIA E
BUSINESS CO.</v>
          </cell>
          <cell r="E110" t="str">
            <v>EMMA</v>
          </cell>
          <cell r="F110" t="str">
            <v>TUP-12</v>
          </cell>
          <cell r="G110">
            <v>100</v>
          </cell>
          <cell r="H110">
            <v>1370.77</v>
          </cell>
          <cell r="I110">
            <v>1590.0931999999998</v>
          </cell>
          <cell r="J110">
            <v>137077</v>
          </cell>
          <cell r="K110">
            <v>159009.31999999998</v>
          </cell>
          <cell r="L110" t="str">
            <v>PRESION</v>
          </cell>
          <cell r="N110">
            <v>0</v>
          </cell>
        </row>
        <row r="111">
          <cell r="A111" t="str">
            <v>21L03</v>
          </cell>
          <cell r="B111">
            <v>44225</v>
          </cell>
          <cell r="C111">
            <v>44229</v>
          </cell>
          <cell r="D111" t="str">
            <v>HAINING LEBRIA E
BUSINESS CO.</v>
          </cell>
          <cell r="E111" t="str">
            <v>EMMA</v>
          </cell>
          <cell r="F111" t="str">
            <v>TUP-10</v>
          </cell>
          <cell r="G111">
            <v>237</v>
          </cell>
          <cell r="H111">
            <v>1142.3699999999999</v>
          </cell>
          <cell r="I111">
            <v>1325.1491999999998</v>
          </cell>
          <cell r="J111">
            <v>270741.69</v>
          </cell>
          <cell r="K111">
            <v>314060.36039999995</v>
          </cell>
          <cell r="L111" t="str">
            <v>PRESION</v>
          </cell>
          <cell r="N111">
            <v>0</v>
          </cell>
        </row>
        <row r="112">
          <cell r="A112" t="str">
            <v>21L03</v>
          </cell>
          <cell r="B112">
            <v>44225</v>
          </cell>
          <cell r="C112">
            <v>44229</v>
          </cell>
          <cell r="D112" t="str">
            <v>HAINING LEBRIA E
BUSINESS CO.</v>
          </cell>
          <cell r="E112" t="str">
            <v>EMMA</v>
          </cell>
          <cell r="F112" t="str">
            <v>CAJA DE CARTÓN</v>
          </cell>
          <cell r="G112">
            <v>46</v>
          </cell>
          <cell r="H112">
            <v>28.931694582999999</v>
          </cell>
          <cell r="I112">
            <v>33.560765716279995</v>
          </cell>
          <cell r="J112">
            <v>1330.8579508179998</v>
          </cell>
          <cell r="K112">
            <v>1543.7952229488799</v>
          </cell>
          <cell r="L112" t="str">
            <v>GARANTIA</v>
          </cell>
          <cell r="N112">
            <v>0</v>
          </cell>
        </row>
        <row r="113">
          <cell r="A113" t="str">
            <v>21L03</v>
          </cell>
          <cell r="B113">
            <v>44225</v>
          </cell>
          <cell r="C113">
            <v>44229</v>
          </cell>
          <cell r="D113" t="str">
            <v>HAINING LEBRIA E
BUSINESS CO.</v>
          </cell>
          <cell r="E113" t="str">
            <v>EMMA</v>
          </cell>
          <cell r="F113" t="str">
            <v>TUG-15</v>
          </cell>
          <cell r="G113">
            <v>442</v>
          </cell>
          <cell r="H113">
            <v>726.54</v>
          </cell>
          <cell r="I113">
            <v>842.78639999999984</v>
          </cell>
          <cell r="J113">
            <v>321130.68</v>
          </cell>
          <cell r="K113">
            <v>372511.58879999991</v>
          </cell>
          <cell r="L113" t="str">
            <v>GRAVEDAD</v>
          </cell>
          <cell r="N113">
            <v>0</v>
          </cell>
        </row>
        <row r="114">
          <cell r="A114" t="str">
            <v>21L03</v>
          </cell>
          <cell r="B114">
            <v>44225</v>
          </cell>
          <cell r="C114">
            <v>44229</v>
          </cell>
          <cell r="D114" t="str">
            <v>HAINING LEBRIA E
BUSINESS CO.</v>
          </cell>
          <cell r="E114" t="str">
            <v>EMMA</v>
          </cell>
          <cell r="F114" t="str">
            <v>TUG-15</v>
          </cell>
          <cell r="G114">
            <v>193</v>
          </cell>
          <cell r="H114">
            <v>726.54</v>
          </cell>
          <cell r="I114">
            <v>842.78639999999984</v>
          </cell>
          <cell r="J114">
            <v>140222.22</v>
          </cell>
          <cell r="K114">
            <v>162657.77519999997</v>
          </cell>
          <cell r="L114" t="str">
            <v>GRAVEDAD</v>
          </cell>
          <cell r="N114">
            <v>0</v>
          </cell>
        </row>
        <row r="115">
          <cell r="A115" t="str">
            <v>21L03</v>
          </cell>
          <cell r="B115">
            <v>44225</v>
          </cell>
          <cell r="C115">
            <v>44229</v>
          </cell>
          <cell r="D115" t="str">
            <v>HAINING LEBRIA E
BUSINESS CO.</v>
          </cell>
          <cell r="E115" t="str">
            <v>EMMA</v>
          </cell>
          <cell r="F115" t="str">
            <v>TUG-15</v>
          </cell>
          <cell r="G115">
            <v>83</v>
          </cell>
          <cell r="H115">
            <v>726.54</v>
          </cell>
          <cell r="I115">
            <v>842.78639999999984</v>
          </cell>
          <cell r="J115">
            <v>60302.82</v>
          </cell>
          <cell r="K115">
            <v>69951.271199999988</v>
          </cell>
          <cell r="L115" t="str">
            <v>GRAVEDAD</v>
          </cell>
          <cell r="N115">
            <v>0</v>
          </cell>
        </row>
        <row r="116">
          <cell r="A116" t="str">
            <v>21L05</v>
          </cell>
          <cell r="B116">
            <v>44225</v>
          </cell>
          <cell r="C116">
            <v>44230</v>
          </cell>
          <cell r="D116" t="str">
            <v>HAINING LEBRIA E
BUSINESS CO.</v>
          </cell>
          <cell r="E116" t="str">
            <v>EMMA</v>
          </cell>
          <cell r="F116" t="str">
            <v>TUP-12</v>
          </cell>
          <cell r="G116">
            <v>213</v>
          </cell>
          <cell r="H116">
            <v>1240.94</v>
          </cell>
          <cell r="I116">
            <v>1439.4903999999999</v>
          </cell>
          <cell r="J116">
            <v>264320.22000000003</v>
          </cell>
          <cell r="K116">
            <v>306611.45519999997</v>
          </cell>
          <cell r="L116" t="str">
            <v>PRESION</v>
          </cell>
          <cell r="N116">
            <v>0</v>
          </cell>
        </row>
        <row r="117">
          <cell r="A117" t="str">
            <v>21L05</v>
          </cell>
          <cell r="B117">
            <v>44225</v>
          </cell>
          <cell r="C117">
            <v>44230</v>
          </cell>
          <cell r="D117" t="str">
            <v>HAINING LEBRIA E
BUSINESS CO.</v>
          </cell>
          <cell r="E117" t="str">
            <v>EMMA</v>
          </cell>
          <cell r="F117" t="str">
            <v>TUP-10</v>
          </cell>
          <cell r="G117">
            <v>476</v>
          </cell>
          <cell r="H117">
            <v>1034.0899999999999</v>
          </cell>
          <cell r="I117">
            <v>1199.5443999999998</v>
          </cell>
          <cell r="J117">
            <v>492226.83999999997</v>
          </cell>
          <cell r="K117">
            <v>570983.13439999986</v>
          </cell>
          <cell r="L117" t="str">
            <v>PRESION</v>
          </cell>
          <cell r="N117">
            <v>0</v>
          </cell>
        </row>
        <row r="118">
          <cell r="A118" t="str">
            <v>21L05</v>
          </cell>
          <cell r="B118">
            <v>44225</v>
          </cell>
          <cell r="C118">
            <v>44230</v>
          </cell>
          <cell r="D118" t="str">
            <v>HAINING LEBRIA E
BUSINESS CO.</v>
          </cell>
          <cell r="E118" t="str">
            <v>EMMA</v>
          </cell>
          <cell r="F118" t="str">
            <v>CAJA DE CARTÓN</v>
          </cell>
          <cell r="G118">
            <v>2</v>
          </cell>
          <cell r="H118">
            <v>26.181108327492947</v>
          </cell>
          <cell r="I118">
            <v>30.370085659891817</v>
          </cell>
          <cell r="J118">
            <v>52.362216654985893</v>
          </cell>
          <cell r="K118">
            <v>60.740171319783634</v>
          </cell>
          <cell r="L118" t="str">
            <v>GARANTIA</v>
          </cell>
          <cell r="N118">
            <v>0</v>
          </cell>
        </row>
        <row r="119">
          <cell r="A119" t="str">
            <v>21L08</v>
          </cell>
          <cell r="B119">
            <v>44230</v>
          </cell>
          <cell r="C119">
            <v>44232</v>
          </cell>
          <cell r="D119" t="str">
            <v>HAINING LEBRIA E
BUSINESS CO.</v>
          </cell>
          <cell r="E119" t="str">
            <v>EMMA</v>
          </cell>
          <cell r="F119" t="str">
            <v>TUG-10</v>
          </cell>
          <cell r="G119">
            <v>125</v>
          </cell>
          <cell r="H119">
            <v>450.92</v>
          </cell>
          <cell r="I119">
            <v>523.06719999999996</v>
          </cell>
          <cell r="J119">
            <v>56365</v>
          </cell>
          <cell r="K119">
            <v>65383.399999999994</v>
          </cell>
          <cell r="L119" t="str">
            <v>GRAVEDAD</v>
          </cell>
          <cell r="N119">
            <v>0</v>
          </cell>
        </row>
        <row r="120">
          <cell r="A120" t="str">
            <v>21L08</v>
          </cell>
          <cell r="B120">
            <v>44230</v>
          </cell>
          <cell r="C120">
            <v>44232</v>
          </cell>
          <cell r="D120" t="str">
            <v>HAINING LEBRIA E
BUSINESS CO.</v>
          </cell>
          <cell r="E120" t="str">
            <v>EMMA</v>
          </cell>
          <cell r="F120" t="str">
            <v>TUP-12</v>
          </cell>
          <cell r="G120">
            <v>850</v>
          </cell>
          <cell r="H120">
            <v>1276.6300000000001</v>
          </cell>
          <cell r="I120">
            <v>1480.8908000000001</v>
          </cell>
          <cell r="J120">
            <v>1085135.5</v>
          </cell>
          <cell r="K120">
            <v>1258757.1800000002</v>
          </cell>
          <cell r="L120" t="str">
            <v>PRESION</v>
          </cell>
          <cell r="N120">
            <v>0</v>
          </cell>
        </row>
        <row r="121">
          <cell r="A121" t="str">
            <v>21L08</v>
          </cell>
          <cell r="B121">
            <v>44230</v>
          </cell>
          <cell r="C121">
            <v>44232</v>
          </cell>
          <cell r="D121" t="str">
            <v>HAINING LEBRIA E
BUSINESS CO.</v>
          </cell>
          <cell r="E121" t="str">
            <v>EMMA</v>
          </cell>
          <cell r="F121" t="str">
            <v>TUP-10</v>
          </cell>
          <cell r="G121">
            <v>312</v>
          </cell>
          <cell r="H121">
            <v>1063.8800000000001</v>
          </cell>
          <cell r="I121">
            <v>1234.1007999999999</v>
          </cell>
          <cell r="J121">
            <v>331930.56000000006</v>
          </cell>
          <cell r="K121">
            <v>385039.44959999999</v>
          </cell>
          <cell r="L121" t="str">
            <v>PRESION</v>
          </cell>
          <cell r="N121">
            <v>0</v>
          </cell>
        </row>
        <row r="122">
          <cell r="A122" t="str">
            <v>21L08-2</v>
          </cell>
          <cell r="B122">
            <v>44230</v>
          </cell>
          <cell r="C122">
            <v>44235</v>
          </cell>
          <cell r="D122" t="str">
            <v>HAINING LEBRIA E
BUSINESS CO.</v>
          </cell>
          <cell r="E122" t="str">
            <v>EMMA</v>
          </cell>
          <cell r="F122" t="str">
            <v>TUG-10</v>
          </cell>
          <cell r="G122">
            <v>119</v>
          </cell>
          <cell r="H122">
            <v>568.11</v>
          </cell>
          <cell r="I122">
            <v>659.00760000000002</v>
          </cell>
          <cell r="J122">
            <v>67605.09</v>
          </cell>
          <cell r="K122">
            <v>78421.904399999999</v>
          </cell>
          <cell r="L122" t="str">
            <v>GRAVEDAD</v>
          </cell>
          <cell r="N122">
            <v>0</v>
          </cell>
        </row>
        <row r="123">
          <cell r="A123" t="str">
            <v>21L08-2</v>
          </cell>
          <cell r="B123">
            <v>44230</v>
          </cell>
          <cell r="C123">
            <v>44235</v>
          </cell>
          <cell r="D123" t="str">
            <v>HAINING LEBRIA E
BUSINESS CO.</v>
          </cell>
          <cell r="E123" t="str">
            <v>EMMA</v>
          </cell>
          <cell r="F123" t="str">
            <v>TUG-15</v>
          </cell>
          <cell r="G123">
            <v>448</v>
          </cell>
          <cell r="H123">
            <v>852.28</v>
          </cell>
          <cell r="I123">
            <v>988.64479999999992</v>
          </cell>
          <cell r="J123">
            <v>381821.44</v>
          </cell>
          <cell r="K123">
            <v>442912.87039999996</v>
          </cell>
          <cell r="L123" t="str">
            <v>GRAVEDAD</v>
          </cell>
          <cell r="N123">
            <v>0</v>
          </cell>
        </row>
        <row r="124">
          <cell r="A124" t="str">
            <v>21L04-2</v>
          </cell>
          <cell r="B124">
            <v>44232</v>
          </cell>
          <cell r="C124">
            <v>44236</v>
          </cell>
          <cell r="D124" t="str">
            <v>Haining Sunsurf New Energy Technology Co., Ltd.</v>
          </cell>
          <cell r="E124" t="str">
            <v>LEON</v>
          </cell>
          <cell r="F124" t="str">
            <v>BP-20</v>
          </cell>
          <cell r="G124">
            <v>120</v>
          </cell>
          <cell r="H124">
            <v>568.76</v>
          </cell>
          <cell r="I124">
            <v>659.76159999999993</v>
          </cell>
          <cell r="J124">
            <v>68251.199999999997</v>
          </cell>
          <cell r="K124">
            <v>79171.391999999993</v>
          </cell>
          <cell r="L124" t="str">
            <v>PRESION</v>
          </cell>
          <cell r="N124">
            <v>0</v>
          </cell>
        </row>
        <row r="125">
          <cell r="A125" t="str">
            <v>21L04-2</v>
          </cell>
          <cell r="B125">
            <v>44232</v>
          </cell>
          <cell r="C125">
            <v>44236</v>
          </cell>
          <cell r="D125" t="str">
            <v>Haining Sunsurf New Energy Technology Co., Ltd.</v>
          </cell>
          <cell r="E125" t="str">
            <v>LEON</v>
          </cell>
          <cell r="F125" t="str">
            <v>BP-12</v>
          </cell>
          <cell r="G125">
            <v>950</v>
          </cell>
          <cell r="H125">
            <v>338.29</v>
          </cell>
          <cell r="I125">
            <v>392.41640000000001</v>
          </cell>
          <cell r="J125">
            <v>321375.5</v>
          </cell>
          <cell r="K125">
            <v>372795.58</v>
          </cell>
          <cell r="L125" t="str">
            <v>PRESION</v>
          </cell>
          <cell r="N125">
            <v>0</v>
          </cell>
        </row>
        <row r="126">
          <cell r="A126" t="str">
            <v>21L04-2</v>
          </cell>
          <cell r="B126">
            <v>44232</v>
          </cell>
          <cell r="C126">
            <v>44236</v>
          </cell>
          <cell r="D126" t="str">
            <v>Haining Sunsurf New Energy Technology Co., Ltd.</v>
          </cell>
          <cell r="E126" t="str">
            <v>LEON</v>
          </cell>
          <cell r="F126" t="str">
            <v>BP-10</v>
          </cell>
          <cell r="G126">
            <v>750</v>
          </cell>
          <cell r="H126">
            <v>338.29</v>
          </cell>
          <cell r="I126">
            <v>392.41640000000001</v>
          </cell>
          <cell r="J126">
            <v>253717.50000000003</v>
          </cell>
          <cell r="K126">
            <v>294312.3</v>
          </cell>
          <cell r="L126" t="str">
            <v>PRESION</v>
          </cell>
          <cell r="N126">
            <v>0</v>
          </cell>
        </row>
        <row r="127">
          <cell r="A127" t="str">
            <v>21L04-2</v>
          </cell>
          <cell r="B127">
            <v>44232</v>
          </cell>
          <cell r="C127">
            <v>44236</v>
          </cell>
          <cell r="D127" t="str">
            <v>Haining Sunsurf New Energy Technology Co., Ltd.</v>
          </cell>
          <cell r="E127" t="str">
            <v>LEON</v>
          </cell>
          <cell r="F127" t="str">
            <v>CAJA DE CARTÓN</v>
          </cell>
          <cell r="G127">
            <v>17</v>
          </cell>
          <cell r="H127">
            <v>26.25</v>
          </cell>
          <cell r="I127">
            <v>30.45</v>
          </cell>
          <cell r="J127">
            <v>446.25</v>
          </cell>
          <cell r="K127">
            <v>517.65</v>
          </cell>
          <cell r="L127" t="str">
            <v>GARANTIA</v>
          </cell>
          <cell r="N127">
            <v>0</v>
          </cell>
        </row>
        <row r="128">
          <cell r="A128" t="str">
            <v>21E04A</v>
          </cell>
          <cell r="B128">
            <v>44233</v>
          </cell>
          <cell r="C128">
            <v>44237</v>
          </cell>
          <cell r="D128" t="str">
            <v>Haining Sunsurf New Energy Technology Co., Ltd.</v>
          </cell>
          <cell r="E128" t="str">
            <v>LEON</v>
          </cell>
          <cell r="F128" t="str">
            <v>TPE-12</v>
          </cell>
          <cell r="G128">
            <v>382</v>
          </cell>
          <cell r="H128">
            <v>2961.15</v>
          </cell>
          <cell r="I128">
            <v>3434.9339999999997</v>
          </cell>
          <cell r="J128">
            <v>1131159.3</v>
          </cell>
          <cell r="K128">
            <v>1312144.7879999999</v>
          </cell>
          <cell r="L128" t="str">
            <v>PRESION</v>
          </cell>
          <cell r="N128">
            <v>0</v>
          </cell>
        </row>
        <row r="129">
          <cell r="A129" t="str">
            <v>21E04A</v>
          </cell>
          <cell r="B129">
            <v>44233</v>
          </cell>
          <cell r="C129">
            <v>44237</v>
          </cell>
          <cell r="D129" t="str">
            <v>Haining Sunsurf New Energy Technology Co., Ltd.</v>
          </cell>
          <cell r="E129" t="str">
            <v>LEON</v>
          </cell>
          <cell r="F129" t="str">
            <v>CAJA DE CARTÓN</v>
          </cell>
          <cell r="G129">
            <v>4</v>
          </cell>
          <cell r="H129">
            <v>29.58</v>
          </cell>
          <cell r="I129">
            <v>34.312799999999996</v>
          </cell>
          <cell r="J129">
            <v>118.32</v>
          </cell>
          <cell r="K129">
            <v>137.25119999999998</v>
          </cell>
          <cell r="L129" t="str">
            <v>GARANTIA</v>
          </cell>
          <cell r="N129">
            <v>0</v>
          </cell>
        </row>
        <row r="130">
          <cell r="A130" t="str">
            <v>21E04B</v>
          </cell>
          <cell r="B130">
            <v>44233</v>
          </cell>
          <cell r="C130">
            <v>44238</v>
          </cell>
          <cell r="D130" t="str">
            <v>Haining Sunsurf New Energy Technology Co., Ltd.</v>
          </cell>
          <cell r="E130" t="str">
            <v>LEON</v>
          </cell>
          <cell r="F130" t="str">
            <v>TPE-12</v>
          </cell>
          <cell r="G130">
            <v>382</v>
          </cell>
          <cell r="H130">
            <v>2961.15</v>
          </cell>
          <cell r="I130">
            <v>3434.9339999999997</v>
          </cell>
          <cell r="J130">
            <v>1131159.3</v>
          </cell>
          <cell r="K130">
            <v>1312144.7879999999</v>
          </cell>
          <cell r="L130" t="str">
            <v>PRESION</v>
          </cell>
          <cell r="N130">
            <v>0</v>
          </cell>
        </row>
        <row r="131">
          <cell r="A131" t="str">
            <v>21E04B</v>
          </cell>
          <cell r="B131">
            <v>44233</v>
          </cell>
          <cell r="C131">
            <v>44238</v>
          </cell>
          <cell r="D131" t="str">
            <v>Haining Sunsurf New Energy Technology Co., Ltd.</v>
          </cell>
          <cell r="E131" t="str">
            <v>LEON</v>
          </cell>
          <cell r="F131" t="str">
            <v>CAJA DE CARTÓN</v>
          </cell>
          <cell r="G131">
            <v>4</v>
          </cell>
          <cell r="H131">
            <v>29.38</v>
          </cell>
          <cell r="I131">
            <v>34.080799999999996</v>
          </cell>
          <cell r="J131">
            <v>117.52</v>
          </cell>
          <cell r="K131">
            <v>136.32319999999999</v>
          </cell>
          <cell r="L131" t="str">
            <v>GARANTIA</v>
          </cell>
          <cell r="N131">
            <v>0</v>
          </cell>
        </row>
        <row r="132">
          <cell r="A132" t="str">
            <v>21E04C</v>
          </cell>
          <cell r="B132">
            <v>44233</v>
          </cell>
          <cell r="C132">
            <v>44236</v>
          </cell>
          <cell r="D132" t="str">
            <v>Haining Sunsurf New Energy Technology Co., Ltd.</v>
          </cell>
          <cell r="E132" t="str">
            <v>LEON</v>
          </cell>
          <cell r="F132" t="str">
            <v>TPE-26</v>
          </cell>
          <cell r="G132">
            <v>50</v>
          </cell>
          <cell r="H132">
            <v>5691.68</v>
          </cell>
          <cell r="I132">
            <v>6602.3487999999998</v>
          </cell>
          <cell r="J132">
            <v>284584</v>
          </cell>
          <cell r="K132">
            <v>330117.44</v>
          </cell>
          <cell r="L132" t="str">
            <v>PRESION</v>
          </cell>
          <cell r="N132">
            <v>0</v>
          </cell>
        </row>
        <row r="133">
          <cell r="A133" t="str">
            <v>21E04C</v>
          </cell>
          <cell r="B133">
            <v>44233</v>
          </cell>
          <cell r="C133">
            <v>44236</v>
          </cell>
          <cell r="D133" t="str">
            <v>Haining Sunsurf New Energy Technology Co., Ltd.</v>
          </cell>
          <cell r="E133" t="str">
            <v>LEON</v>
          </cell>
          <cell r="F133" t="str">
            <v>TPE-20</v>
          </cell>
          <cell r="G133">
            <v>50</v>
          </cell>
          <cell r="H133">
            <v>4869.3100000000004</v>
          </cell>
          <cell r="I133">
            <v>5648.3995999999997</v>
          </cell>
          <cell r="J133">
            <v>243465.50000000003</v>
          </cell>
          <cell r="K133">
            <v>282419.98</v>
          </cell>
          <cell r="L133" t="str">
            <v>PRESION</v>
          </cell>
          <cell r="N133">
            <v>0</v>
          </cell>
        </row>
        <row r="134">
          <cell r="A134" t="str">
            <v>21E04C</v>
          </cell>
          <cell r="B134">
            <v>44233</v>
          </cell>
          <cell r="C134">
            <v>44236</v>
          </cell>
          <cell r="D134" t="str">
            <v>Haining Sunsurf New Energy Technology Co., Ltd.</v>
          </cell>
          <cell r="E134" t="str">
            <v>LEON</v>
          </cell>
          <cell r="F134" t="str">
            <v>CAJA DE CARTÓN</v>
          </cell>
          <cell r="G134">
            <v>2</v>
          </cell>
          <cell r="H134">
            <v>29.38</v>
          </cell>
          <cell r="I134">
            <v>34.080799999999996</v>
          </cell>
          <cell r="J134">
            <v>58.76</v>
          </cell>
          <cell r="K134">
            <v>68.161599999999993</v>
          </cell>
          <cell r="L134" t="str">
            <v>GARANTIA</v>
          </cell>
          <cell r="N134">
            <v>0</v>
          </cell>
        </row>
        <row r="135">
          <cell r="A135" t="str">
            <v>21L16A</v>
          </cell>
          <cell r="B135">
            <v>44237</v>
          </cell>
          <cell r="C135">
            <v>44239</v>
          </cell>
          <cell r="D135" t="str">
            <v>CSP HOLDING GROUP LIMITED</v>
          </cell>
          <cell r="E135" t="str">
            <v>JESSIE</v>
          </cell>
          <cell r="F135" t="str">
            <v>TUP-12</v>
          </cell>
          <cell r="G135">
            <v>636</v>
          </cell>
          <cell r="H135">
            <v>1295.47</v>
          </cell>
          <cell r="I135">
            <v>1502.7451999999998</v>
          </cell>
          <cell r="J135">
            <v>823918.92</v>
          </cell>
          <cell r="K135">
            <v>955745.94719999994</v>
          </cell>
          <cell r="L135" t="str">
            <v>PRESION</v>
          </cell>
          <cell r="N135">
            <v>0</v>
          </cell>
        </row>
        <row r="136">
          <cell r="A136" t="str">
            <v>21L16B</v>
          </cell>
          <cell r="B136">
            <v>44237</v>
          </cell>
          <cell r="C136">
            <v>44239</v>
          </cell>
          <cell r="D136" t="str">
            <v>CSP HOLDING GROUP LIMITED</v>
          </cell>
          <cell r="E136" t="str">
            <v>JESSIE</v>
          </cell>
          <cell r="F136" t="str">
            <v>TUP-12</v>
          </cell>
          <cell r="G136">
            <v>624</v>
          </cell>
          <cell r="H136">
            <v>1302.6099999999999</v>
          </cell>
          <cell r="I136">
            <v>1511.0275999999999</v>
          </cell>
          <cell r="J136">
            <v>812828.6399999999</v>
          </cell>
          <cell r="K136">
            <v>942881.22239999997</v>
          </cell>
          <cell r="L136" t="str">
            <v>PRESION</v>
          </cell>
          <cell r="N136">
            <v>0</v>
          </cell>
        </row>
        <row r="137">
          <cell r="A137" t="str">
            <v>21L09-1</v>
          </cell>
          <cell r="B137">
            <v>44238</v>
          </cell>
          <cell r="C137">
            <v>44242</v>
          </cell>
          <cell r="D137" t="str">
            <v>HAINING LEBRIA E
BUSINESS CO.</v>
          </cell>
          <cell r="E137" t="str">
            <v>EMMA</v>
          </cell>
          <cell r="F137" t="str">
            <v>TUG-08</v>
          </cell>
          <cell r="G137">
            <v>139</v>
          </cell>
          <cell r="H137">
            <v>381.95</v>
          </cell>
          <cell r="I137">
            <v>443.06199999999995</v>
          </cell>
          <cell r="J137">
            <v>53091.049999999996</v>
          </cell>
          <cell r="K137">
            <v>61585.617999999995</v>
          </cell>
          <cell r="L137" t="str">
            <v>GRAVEDAD</v>
          </cell>
          <cell r="N137">
            <v>0</v>
          </cell>
        </row>
        <row r="138">
          <cell r="A138" t="str">
            <v>21L09-1</v>
          </cell>
          <cell r="B138">
            <v>44238</v>
          </cell>
          <cell r="C138">
            <v>44242</v>
          </cell>
          <cell r="D138" t="str">
            <v>HAINING LEBRIA E
BUSINESS CO.</v>
          </cell>
          <cell r="E138" t="str">
            <v>EMMA</v>
          </cell>
          <cell r="F138" t="str">
            <v>TUP-12</v>
          </cell>
          <cell r="G138">
            <v>423</v>
          </cell>
          <cell r="H138">
            <v>1354.72</v>
          </cell>
          <cell r="I138">
            <v>1571.4751999999999</v>
          </cell>
          <cell r="J138">
            <v>573046.56000000006</v>
          </cell>
          <cell r="K138">
            <v>664734.00959999999</v>
          </cell>
          <cell r="L138" t="str">
            <v>PRESION</v>
          </cell>
          <cell r="N138">
            <v>0</v>
          </cell>
        </row>
        <row r="139">
          <cell r="A139" t="str">
            <v>21L09-1</v>
          </cell>
          <cell r="B139">
            <v>44238</v>
          </cell>
          <cell r="C139">
            <v>44242</v>
          </cell>
          <cell r="D139" t="str">
            <v>HAINING LEBRIA E
BUSINESS CO.</v>
          </cell>
          <cell r="E139" t="str">
            <v>EMMA</v>
          </cell>
          <cell r="F139" t="str">
            <v>TUP-10</v>
          </cell>
          <cell r="G139">
            <v>332</v>
          </cell>
          <cell r="H139">
            <v>1128.92</v>
          </cell>
          <cell r="I139">
            <v>1309.5472</v>
          </cell>
          <cell r="J139">
            <v>374801.44</v>
          </cell>
          <cell r="K139">
            <v>434769.6704</v>
          </cell>
          <cell r="L139" t="str">
            <v>PRESION</v>
          </cell>
          <cell r="N139">
            <v>0</v>
          </cell>
        </row>
        <row r="140">
          <cell r="A140" t="str">
            <v>21L09-1</v>
          </cell>
          <cell r="B140">
            <v>44238</v>
          </cell>
          <cell r="C140">
            <v>44242</v>
          </cell>
          <cell r="D140" t="str">
            <v>HAINING LEBRIA E
BUSINESS CO.</v>
          </cell>
          <cell r="E140" t="str">
            <v>EMMA</v>
          </cell>
          <cell r="F140" t="str">
            <v>CAJA DE CARTÓN</v>
          </cell>
          <cell r="G140">
            <v>12</v>
          </cell>
          <cell r="H140">
            <v>29.45</v>
          </cell>
          <cell r="I140">
            <v>34.161999999999999</v>
          </cell>
          <cell r="J140">
            <v>353.4</v>
          </cell>
          <cell r="K140">
            <v>409.94399999999996</v>
          </cell>
          <cell r="L140" t="str">
            <v>GARANTIA</v>
          </cell>
          <cell r="N140">
            <v>0</v>
          </cell>
        </row>
        <row r="141">
          <cell r="A141" t="str">
            <v>21L09-1</v>
          </cell>
          <cell r="B141">
            <v>44238</v>
          </cell>
          <cell r="C141">
            <v>44242</v>
          </cell>
          <cell r="D141" t="str">
            <v>HAINING LEBRIA E
BUSINESS CO.</v>
          </cell>
          <cell r="E141" t="str">
            <v>EMMA</v>
          </cell>
          <cell r="F141" t="str">
            <v>TUG-15</v>
          </cell>
          <cell r="G141">
            <v>364</v>
          </cell>
          <cell r="H141">
            <v>715.93</v>
          </cell>
          <cell r="I141">
            <v>830.47879999999986</v>
          </cell>
          <cell r="J141">
            <v>260598.52</v>
          </cell>
          <cell r="K141">
            <v>302294.28319999995</v>
          </cell>
          <cell r="L141" t="str">
            <v>GRAVEDAD</v>
          </cell>
          <cell r="N141">
            <v>0</v>
          </cell>
        </row>
        <row r="142">
          <cell r="A142" t="str">
            <v>21L14</v>
          </cell>
          <cell r="B142">
            <v>44240</v>
          </cell>
          <cell r="C142">
            <v>44244</v>
          </cell>
          <cell r="D142" t="str">
            <v>Haining Sunsurf New Energy Technology Co., Ltd.</v>
          </cell>
          <cell r="E142" t="str">
            <v>LEON</v>
          </cell>
          <cell r="F142" t="str">
            <v>BG-30</v>
          </cell>
          <cell r="G142">
            <v>50</v>
          </cell>
          <cell r="H142">
            <v>608.41999999999996</v>
          </cell>
          <cell r="I142">
            <v>705.76719999999989</v>
          </cell>
          <cell r="J142">
            <v>30420.999999999996</v>
          </cell>
          <cell r="K142">
            <v>35288.359999999993</v>
          </cell>
          <cell r="L142" t="str">
            <v>GRAVEDAD</v>
          </cell>
          <cell r="N142">
            <v>0</v>
          </cell>
        </row>
        <row r="143">
          <cell r="A143" t="str">
            <v>21L14</v>
          </cell>
          <cell r="B143">
            <v>44240</v>
          </cell>
          <cell r="C143">
            <v>44244</v>
          </cell>
          <cell r="D143" t="str">
            <v>Haining Sunsurf New Energy Technology Co., Ltd.</v>
          </cell>
          <cell r="E143" t="str">
            <v>LEON</v>
          </cell>
          <cell r="F143" t="str">
            <v>BG-24</v>
          </cell>
          <cell r="G143">
            <v>25</v>
          </cell>
          <cell r="H143">
            <v>576.88</v>
          </cell>
          <cell r="I143">
            <v>669.18079999999998</v>
          </cell>
          <cell r="J143">
            <v>14422</v>
          </cell>
          <cell r="K143">
            <v>16729.52</v>
          </cell>
          <cell r="L143" t="str">
            <v>GRAVEDAD</v>
          </cell>
          <cell r="N143">
            <v>0</v>
          </cell>
        </row>
        <row r="144">
          <cell r="A144" t="str">
            <v>21L14</v>
          </cell>
          <cell r="B144">
            <v>44240</v>
          </cell>
          <cell r="C144">
            <v>44244</v>
          </cell>
          <cell r="D144" t="str">
            <v>Haining Sunsurf New Energy Technology Co., Ltd.</v>
          </cell>
          <cell r="E144" t="str">
            <v>LEON</v>
          </cell>
          <cell r="F144" t="str">
            <v>BG-18</v>
          </cell>
          <cell r="G144">
            <v>25</v>
          </cell>
          <cell r="H144">
            <v>400.58</v>
          </cell>
          <cell r="I144">
            <v>464.67279999999994</v>
          </cell>
          <cell r="J144">
            <v>10014.5</v>
          </cell>
          <cell r="K144">
            <v>11616.819999999998</v>
          </cell>
          <cell r="L144" t="str">
            <v>GRAVEDAD</v>
          </cell>
          <cell r="N144">
            <v>0</v>
          </cell>
        </row>
        <row r="145">
          <cell r="A145" t="str">
            <v>21L14</v>
          </cell>
          <cell r="B145">
            <v>44240</v>
          </cell>
          <cell r="C145">
            <v>44244</v>
          </cell>
          <cell r="D145" t="str">
            <v>Haining Sunsurf New Energy Technology Co., Ltd.</v>
          </cell>
          <cell r="E145" t="str">
            <v>LEON</v>
          </cell>
          <cell r="F145" t="str">
            <v>BP-10</v>
          </cell>
          <cell r="G145">
            <v>200</v>
          </cell>
          <cell r="H145">
            <v>348.49</v>
          </cell>
          <cell r="I145">
            <v>404.2484</v>
          </cell>
          <cell r="J145">
            <v>69698</v>
          </cell>
          <cell r="K145">
            <v>80849.680000000008</v>
          </cell>
          <cell r="L145" t="str">
            <v>PRESION</v>
          </cell>
          <cell r="N145">
            <v>0</v>
          </cell>
        </row>
        <row r="146">
          <cell r="A146" t="str">
            <v>21L14</v>
          </cell>
          <cell r="B146">
            <v>44240</v>
          </cell>
          <cell r="C146">
            <v>44244</v>
          </cell>
          <cell r="D146" t="str">
            <v>Haining Sunsurf New Energy Technology Co., Ltd.</v>
          </cell>
          <cell r="E146" t="str">
            <v>LEON</v>
          </cell>
          <cell r="F146" t="str">
            <v>BP-12</v>
          </cell>
          <cell r="G146">
            <v>1425</v>
          </cell>
          <cell r="H146">
            <v>348.48</v>
          </cell>
          <cell r="I146">
            <v>404.23680000000002</v>
          </cell>
          <cell r="J146">
            <v>496584</v>
          </cell>
          <cell r="K146">
            <v>576037.44000000006</v>
          </cell>
          <cell r="L146" t="str">
            <v>PRESION</v>
          </cell>
          <cell r="N146">
            <v>0</v>
          </cell>
        </row>
        <row r="147">
          <cell r="A147" t="str">
            <v>21L14</v>
          </cell>
          <cell r="B147">
            <v>44240</v>
          </cell>
          <cell r="C147">
            <v>44244</v>
          </cell>
          <cell r="D147" t="str">
            <v>Haining Sunsurf New Energy Technology Co., Ltd.</v>
          </cell>
          <cell r="E147" t="str">
            <v>LEON</v>
          </cell>
          <cell r="F147" t="str">
            <v>BG-08</v>
          </cell>
          <cell r="G147">
            <v>25</v>
          </cell>
          <cell r="H147">
            <v>347.53</v>
          </cell>
          <cell r="I147">
            <v>403.13479999999993</v>
          </cell>
          <cell r="J147">
            <v>8688.25</v>
          </cell>
          <cell r="K147">
            <v>10078.369999999999</v>
          </cell>
          <cell r="L147" t="str">
            <v>GRAVEDAD</v>
          </cell>
          <cell r="N147">
            <v>0</v>
          </cell>
        </row>
        <row r="148">
          <cell r="A148" t="str">
            <v>21L14</v>
          </cell>
          <cell r="B148">
            <v>44240</v>
          </cell>
          <cell r="C148">
            <v>44244</v>
          </cell>
          <cell r="D148" t="str">
            <v>Haining Sunsurf New Energy Technology Co., Ltd.</v>
          </cell>
          <cell r="E148" t="str">
            <v>LEON</v>
          </cell>
          <cell r="F148" t="str">
            <v>CAJA DE CARTÓN</v>
          </cell>
          <cell r="G148">
            <v>17</v>
          </cell>
          <cell r="H148">
            <v>25.76</v>
          </cell>
          <cell r="I148">
            <v>29.881599999999999</v>
          </cell>
          <cell r="J148">
            <v>437.92</v>
          </cell>
          <cell r="K148">
            <v>507.98719999999997</v>
          </cell>
          <cell r="L148" t="str">
            <v>GARANTIA</v>
          </cell>
          <cell r="N148">
            <v>0</v>
          </cell>
        </row>
        <row r="149">
          <cell r="A149" t="str">
            <v>21E09A</v>
          </cell>
          <cell r="B149">
            <v>44242</v>
          </cell>
          <cell r="C149">
            <v>44244</v>
          </cell>
          <cell r="D149" t="str">
            <v>ZHEJIANG YILE NEW ENERGY CO.,LTD</v>
          </cell>
          <cell r="E149" t="str">
            <v>KEN</v>
          </cell>
          <cell r="F149" t="str">
            <v>TPE-12</v>
          </cell>
          <cell r="G149">
            <v>382</v>
          </cell>
          <cell r="H149">
            <v>2890.84</v>
          </cell>
          <cell r="I149">
            <v>3353.3744000000002</v>
          </cell>
          <cell r="J149">
            <v>1104300.8800000001</v>
          </cell>
          <cell r="K149">
            <v>1280989.0208000001</v>
          </cell>
          <cell r="L149" t="str">
            <v>PRESION</v>
          </cell>
          <cell r="N149">
            <v>0</v>
          </cell>
        </row>
        <row r="150">
          <cell r="A150" t="str">
            <v>21E09A</v>
          </cell>
          <cell r="B150">
            <v>44242</v>
          </cell>
          <cell r="C150">
            <v>44244</v>
          </cell>
          <cell r="D150" t="str">
            <v>ZHEJIANG YILE NEW ENERGY CO.,LTD</v>
          </cell>
          <cell r="E150" t="str">
            <v>KEN</v>
          </cell>
          <cell r="F150" t="str">
            <v>CAJA DE CARTÓN</v>
          </cell>
          <cell r="G150">
            <v>16</v>
          </cell>
          <cell r="H150">
            <v>48.37</v>
          </cell>
          <cell r="I150">
            <v>56.109199999999994</v>
          </cell>
          <cell r="J150">
            <v>773.92</v>
          </cell>
          <cell r="K150">
            <v>897.74719999999991</v>
          </cell>
          <cell r="L150" t="str">
            <v>GARANTIA</v>
          </cell>
          <cell r="N150">
            <v>0</v>
          </cell>
        </row>
        <row r="151">
          <cell r="A151" t="str">
            <v>21E09B</v>
          </cell>
          <cell r="B151">
            <v>44242</v>
          </cell>
          <cell r="C151">
            <v>44244</v>
          </cell>
          <cell r="D151" t="str">
            <v>ZHEJIANG YILE NEW ENERGY CO.,LTD</v>
          </cell>
          <cell r="E151" t="str">
            <v>KEN</v>
          </cell>
          <cell r="F151" t="str">
            <v>TPE-12</v>
          </cell>
          <cell r="G151">
            <v>191</v>
          </cell>
          <cell r="H151">
            <v>2891.46</v>
          </cell>
          <cell r="I151">
            <v>3354.0935999999997</v>
          </cell>
          <cell r="J151">
            <v>552268.86</v>
          </cell>
          <cell r="K151">
            <v>640631.87759999989</v>
          </cell>
          <cell r="L151" t="str">
            <v>PRESION</v>
          </cell>
          <cell r="N151">
            <v>0</v>
          </cell>
        </row>
        <row r="152">
          <cell r="A152" t="str">
            <v>21E09B</v>
          </cell>
          <cell r="B152">
            <v>44242</v>
          </cell>
          <cell r="C152">
            <v>44244</v>
          </cell>
          <cell r="D152" t="str">
            <v>ZHEJIANG YILE NEW ENERGY CO.,LTD</v>
          </cell>
          <cell r="E152" t="str">
            <v>KEN</v>
          </cell>
          <cell r="F152" t="str">
            <v>CAJA DE CARTÓN</v>
          </cell>
          <cell r="G152">
            <v>8</v>
          </cell>
          <cell r="H152">
            <v>61.03</v>
          </cell>
          <cell r="I152">
            <v>70.794799999999995</v>
          </cell>
          <cell r="J152">
            <v>488.24</v>
          </cell>
          <cell r="K152">
            <v>566.35839999999996</v>
          </cell>
          <cell r="L152" t="str">
            <v>GARANTIA</v>
          </cell>
          <cell r="N152">
            <v>0</v>
          </cell>
        </row>
        <row r="153">
          <cell r="A153" t="str">
            <v>21E16</v>
          </cell>
          <cell r="B153">
            <v>44242</v>
          </cell>
          <cell r="C153">
            <v>44243</v>
          </cell>
          <cell r="D153" t="str">
            <v>Haining Sunsurf New Energy Technology Co., Ltd.</v>
          </cell>
          <cell r="E153" t="str">
            <v>LEON</v>
          </cell>
          <cell r="F153" t="str">
            <v>TPE-20</v>
          </cell>
          <cell r="G153">
            <v>50</v>
          </cell>
          <cell r="H153">
            <v>4908.66</v>
          </cell>
          <cell r="I153">
            <v>5694.0455999999995</v>
          </cell>
          <cell r="J153">
            <v>245433</v>
          </cell>
          <cell r="K153">
            <v>284702.27999999997</v>
          </cell>
          <cell r="L153" t="str">
            <v>PRESION</v>
          </cell>
          <cell r="N153">
            <v>0</v>
          </cell>
        </row>
        <row r="154">
          <cell r="A154" t="str">
            <v>21E16</v>
          </cell>
          <cell r="B154">
            <v>44242</v>
          </cell>
          <cell r="C154">
            <v>44243</v>
          </cell>
          <cell r="D154" t="str">
            <v>Haining Sunsurf New Energy Technology Co., Ltd.</v>
          </cell>
          <cell r="E154" t="str">
            <v>LEON</v>
          </cell>
          <cell r="F154" t="str">
            <v>TPE-10</v>
          </cell>
          <cell r="G154">
            <v>96</v>
          </cell>
          <cell r="H154">
            <v>2789.66</v>
          </cell>
          <cell r="I154">
            <v>3236.0055999999995</v>
          </cell>
          <cell r="J154">
            <v>267807.35999999999</v>
          </cell>
          <cell r="K154">
            <v>310656.53759999992</v>
          </cell>
          <cell r="L154" t="str">
            <v>PRESION</v>
          </cell>
          <cell r="N154">
            <v>0</v>
          </cell>
        </row>
        <row r="155">
          <cell r="A155" t="str">
            <v>21E16</v>
          </cell>
          <cell r="B155">
            <v>44242</v>
          </cell>
          <cell r="C155">
            <v>44243</v>
          </cell>
          <cell r="D155" t="str">
            <v>Haining Sunsurf New Energy Technology Co., Ltd.</v>
          </cell>
          <cell r="E155" t="str">
            <v>LEON</v>
          </cell>
          <cell r="F155" t="str">
            <v>CAJA DE CARTÓN</v>
          </cell>
          <cell r="G155">
            <v>2</v>
          </cell>
          <cell r="H155">
            <v>41.63</v>
          </cell>
          <cell r="I155">
            <v>48.290799999999997</v>
          </cell>
          <cell r="J155">
            <v>83.26</v>
          </cell>
          <cell r="K155">
            <v>96.581599999999995</v>
          </cell>
          <cell r="L155" t="str">
            <v>GARANTIA</v>
          </cell>
          <cell r="N155">
            <v>0</v>
          </cell>
        </row>
        <row r="156">
          <cell r="A156" t="str">
            <v>21L13</v>
          </cell>
          <cell r="B156">
            <v>44242</v>
          </cell>
          <cell r="C156">
            <v>44243</v>
          </cell>
          <cell r="D156" t="str">
            <v>Haining Sunsurf New Energy Technology Co., Ltd.</v>
          </cell>
          <cell r="E156" t="str">
            <v>LEON</v>
          </cell>
          <cell r="F156" t="str">
            <v>BG-30</v>
          </cell>
          <cell r="G156">
            <v>25</v>
          </cell>
          <cell r="H156">
            <v>607.11</v>
          </cell>
          <cell r="I156">
            <v>704.24759999999992</v>
          </cell>
          <cell r="J156">
            <v>15177.75</v>
          </cell>
          <cell r="K156">
            <v>17606.189999999999</v>
          </cell>
          <cell r="L156" t="str">
            <v>GRAVEDAD</v>
          </cell>
          <cell r="N156">
            <v>0</v>
          </cell>
        </row>
        <row r="157">
          <cell r="A157" t="str">
            <v>21L13</v>
          </cell>
          <cell r="B157">
            <v>44242</v>
          </cell>
          <cell r="C157">
            <v>44243</v>
          </cell>
          <cell r="D157" t="str">
            <v>Haining Sunsurf New Energy Technology Co., Ltd.</v>
          </cell>
          <cell r="E157" t="str">
            <v>LEON</v>
          </cell>
          <cell r="F157" t="str">
            <v>BG-24</v>
          </cell>
          <cell r="G157">
            <v>50</v>
          </cell>
          <cell r="H157">
            <v>575.33000000000004</v>
          </cell>
          <cell r="I157">
            <v>667.38279999999997</v>
          </cell>
          <cell r="J157">
            <v>28766.500000000004</v>
          </cell>
          <cell r="K157">
            <v>33369.14</v>
          </cell>
          <cell r="L157" t="str">
            <v>GRAVEDAD</v>
          </cell>
          <cell r="N157">
            <v>0</v>
          </cell>
        </row>
        <row r="158">
          <cell r="A158" t="str">
            <v>21L13</v>
          </cell>
          <cell r="B158">
            <v>44242</v>
          </cell>
          <cell r="C158">
            <v>44243</v>
          </cell>
          <cell r="D158" t="str">
            <v>Haining Sunsurf New Energy Technology Co., Ltd.</v>
          </cell>
          <cell r="E158" t="str">
            <v>LEON</v>
          </cell>
          <cell r="F158" t="str">
            <v>BG-18</v>
          </cell>
          <cell r="G158">
            <v>25</v>
          </cell>
          <cell r="H158">
            <v>399.51</v>
          </cell>
          <cell r="I158">
            <v>463.43159999999995</v>
          </cell>
          <cell r="J158">
            <v>9987.75</v>
          </cell>
          <cell r="K158">
            <v>11585.789999999999</v>
          </cell>
          <cell r="L158" t="str">
            <v>GRAVEDAD</v>
          </cell>
          <cell r="N158">
            <v>0</v>
          </cell>
        </row>
        <row r="159">
          <cell r="A159" t="str">
            <v>21L13</v>
          </cell>
          <cell r="B159">
            <v>44242</v>
          </cell>
          <cell r="C159">
            <v>44243</v>
          </cell>
          <cell r="D159" t="str">
            <v>Haining Sunsurf New Energy Technology Co., Ltd.</v>
          </cell>
          <cell r="E159" t="str">
            <v>LEON</v>
          </cell>
          <cell r="F159" t="str">
            <v>BP-12</v>
          </cell>
          <cell r="G159">
            <v>1425</v>
          </cell>
          <cell r="H159">
            <v>347.65</v>
          </cell>
          <cell r="I159">
            <v>403.27399999999994</v>
          </cell>
          <cell r="J159">
            <v>495401.24999999994</v>
          </cell>
          <cell r="K159">
            <v>574665.44999999995</v>
          </cell>
          <cell r="L159" t="str">
            <v>PRESION</v>
          </cell>
          <cell r="N159">
            <v>0</v>
          </cell>
        </row>
        <row r="160">
          <cell r="A160" t="str">
            <v>21L13</v>
          </cell>
          <cell r="B160">
            <v>44242</v>
          </cell>
          <cell r="C160">
            <v>44243</v>
          </cell>
          <cell r="D160" t="str">
            <v>Haining Sunsurf New Energy Technology Co., Ltd.</v>
          </cell>
          <cell r="E160" t="str">
            <v>LEON</v>
          </cell>
          <cell r="F160" t="str">
            <v>BP-10</v>
          </cell>
          <cell r="G160">
            <v>200</v>
          </cell>
          <cell r="H160">
            <v>347.63</v>
          </cell>
          <cell r="I160">
            <v>403.25079999999997</v>
          </cell>
          <cell r="J160">
            <v>69526</v>
          </cell>
          <cell r="K160">
            <v>80650.159999999989</v>
          </cell>
          <cell r="L160" t="str">
            <v>PRESION</v>
          </cell>
          <cell r="N160">
            <v>0</v>
          </cell>
        </row>
        <row r="161">
          <cell r="A161" t="str">
            <v>21L13</v>
          </cell>
          <cell r="B161">
            <v>44242</v>
          </cell>
          <cell r="C161">
            <v>44243</v>
          </cell>
          <cell r="D161" t="str">
            <v>Haining Sunsurf New Energy Technology Co., Ltd.</v>
          </cell>
          <cell r="E161" t="str">
            <v>LEON</v>
          </cell>
          <cell r="F161" t="str">
            <v>BG-08</v>
          </cell>
          <cell r="G161">
            <v>25</v>
          </cell>
          <cell r="H161">
            <v>346.55</v>
          </cell>
          <cell r="I161">
            <v>401.99799999999999</v>
          </cell>
          <cell r="J161">
            <v>8663.75</v>
          </cell>
          <cell r="K161">
            <v>10049.949999999999</v>
          </cell>
          <cell r="L161" t="str">
            <v>GRAVEDAD</v>
          </cell>
          <cell r="N161">
            <v>0</v>
          </cell>
        </row>
        <row r="162">
          <cell r="A162" t="str">
            <v>21L13</v>
          </cell>
          <cell r="B162">
            <v>44242</v>
          </cell>
          <cell r="C162">
            <v>44243</v>
          </cell>
          <cell r="D162" t="str">
            <v>Haining Sunsurf New Energy Technology Co., Ltd.</v>
          </cell>
          <cell r="E162" t="str">
            <v>LEON</v>
          </cell>
          <cell r="F162" t="str">
            <v>CAJA DE CARTÓN</v>
          </cell>
          <cell r="G162">
            <v>17</v>
          </cell>
          <cell r="H162">
            <v>26.64</v>
          </cell>
          <cell r="I162">
            <v>30.9024</v>
          </cell>
          <cell r="J162">
            <v>452.88</v>
          </cell>
          <cell r="K162">
            <v>525.34079999999994</v>
          </cell>
          <cell r="L162" t="str">
            <v>GARANTIA</v>
          </cell>
          <cell r="N162">
            <v>0</v>
          </cell>
        </row>
        <row r="163">
          <cell r="A163" t="str">
            <v>21L18</v>
          </cell>
          <cell r="B163">
            <v>44243</v>
          </cell>
          <cell r="C163">
            <v>44246</v>
          </cell>
          <cell r="D163" t="str">
            <v>HELIOS POWER LTD</v>
          </cell>
          <cell r="E163" t="str">
            <v>PHILIP</v>
          </cell>
          <cell r="F163" t="str">
            <v>TUG-08</v>
          </cell>
          <cell r="G163">
            <v>100</v>
          </cell>
          <cell r="H163">
            <v>470.44</v>
          </cell>
          <cell r="I163">
            <v>545.71039999999994</v>
          </cell>
          <cell r="J163">
            <v>47044</v>
          </cell>
          <cell r="K163">
            <v>54571.039999999994</v>
          </cell>
          <cell r="L163" t="str">
            <v>GRAVEDAD</v>
          </cell>
          <cell r="N163">
            <v>0</v>
          </cell>
        </row>
        <row r="164">
          <cell r="A164" t="str">
            <v>21L18</v>
          </cell>
          <cell r="B164">
            <v>44243</v>
          </cell>
          <cell r="C164">
            <v>44246</v>
          </cell>
          <cell r="D164" t="str">
            <v>HELIOS POWER LTD</v>
          </cell>
          <cell r="E164" t="str">
            <v>PHILIP</v>
          </cell>
          <cell r="F164" t="str">
            <v>TUG-10</v>
          </cell>
          <cell r="G164">
            <v>704</v>
          </cell>
          <cell r="H164">
            <v>583.89</v>
          </cell>
          <cell r="I164">
            <v>677.31239999999991</v>
          </cell>
          <cell r="J164">
            <v>411058.56</v>
          </cell>
          <cell r="K164">
            <v>476827.92959999992</v>
          </cell>
          <cell r="L164" t="str">
            <v>GRAVEDAD</v>
          </cell>
          <cell r="N164">
            <v>0</v>
          </cell>
        </row>
        <row r="165">
          <cell r="A165" t="str">
            <v>21L18</v>
          </cell>
          <cell r="B165">
            <v>44243</v>
          </cell>
          <cell r="C165">
            <v>44246</v>
          </cell>
          <cell r="D165" t="str">
            <v>HELIOS POWER LTD</v>
          </cell>
          <cell r="E165" t="str">
            <v>PHILIP</v>
          </cell>
          <cell r="F165" t="str">
            <v>TUG-12</v>
          </cell>
          <cell r="G165">
            <v>231</v>
          </cell>
          <cell r="H165">
            <v>703.19</v>
          </cell>
          <cell r="I165">
            <v>815.70040000000006</v>
          </cell>
          <cell r="J165">
            <v>162436.89000000001</v>
          </cell>
          <cell r="K165">
            <v>188426.79240000001</v>
          </cell>
          <cell r="L165" t="str">
            <v>GRAVEDAD</v>
          </cell>
          <cell r="N165">
            <v>0</v>
          </cell>
        </row>
        <row r="166">
          <cell r="A166" t="str">
            <v>21L18</v>
          </cell>
          <cell r="B166">
            <v>44243</v>
          </cell>
          <cell r="C166">
            <v>44246</v>
          </cell>
          <cell r="D166" t="str">
            <v>HELIOS POWER LTD</v>
          </cell>
          <cell r="E166" t="str">
            <v>PHILIP</v>
          </cell>
          <cell r="F166" t="str">
            <v>TUG-15</v>
          </cell>
          <cell r="G166">
            <v>313</v>
          </cell>
          <cell r="H166">
            <v>881.78</v>
          </cell>
          <cell r="I166">
            <v>1022.8647999999999</v>
          </cell>
          <cell r="J166">
            <v>275997.14</v>
          </cell>
          <cell r="K166">
            <v>320156.68239999999</v>
          </cell>
          <cell r="L166" t="str">
            <v>GRAVEDAD</v>
          </cell>
          <cell r="N166">
            <v>0</v>
          </cell>
        </row>
        <row r="167">
          <cell r="A167" t="str">
            <v>21L09-2</v>
          </cell>
          <cell r="B167">
            <v>44244</v>
          </cell>
          <cell r="C167">
            <v>44245</v>
          </cell>
          <cell r="D167" t="str">
            <v>HAINING LEBRIA E
BUSINESS CO.</v>
          </cell>
          <cell r="E167" t="str">
            <v>EMMA</v>
          </cell>
          <cell r="F167" t="str">
            <v>TUG-12</v>
          </cell>
          <cell r="G167">
            <v>403</v>
          </cell>
          <cell r="H167">
            <v>608.57000000000005</v>
          </cell>
          <cell r="I167">
            <v>705.94119999999998</v>
          </cell>
          <cell r="J167">
            <v>245253.71000000002</v>
          </cell>
          <cell r="K167">
            <v>284494.30359999998</v>
          </cell>
          <cell r="L167" t="str">
            <v>GRAVEDAD</v>
          </cell>
          <cell r="N167">
            <v>0</v>
          </cell>
        </row>
        <row r="168">
          <cell r="A168" t="str">
            <v>21L09-2</v>
          </cell>
          <cell r="B168">
            <v>44244</v>
          </cell>
          <cell r="C168">
            <v>44245</v>
          </cell>
          <cell r="D168" t="str">
            <v>HAINING LEBRIA E
BUSINESS CO.</v>
          </cell>
          <cell r="E168" t="str">
            <v>EMMA</v>
          </cell>
          <cell r="F168" t="str">
            <v>TUG-12</v>
          </cell>
          <cell r="G168">
            <v>202</v>
          </cell>
          <cell r="H168">
            <v>608.57000000000005</v>
          </cell>
          <cell r="I168">
            <v>705.94119999999998</v>
          </cell>
          <cell r="J168">
            <v>122931.14000000001</v>
          </cell>
          <cell r="K168">
            <v>142600.12239999999</v>
          </cell>
          <cell r="L168" t="str">
            <v>GRAVEDAD</v>
          </cell>
          <cell r="N168">
            <v>0</v>
          </cell>
        </row>
        <row r="169">
          <cell r="A169" t="str">
            <v>21L09-2</v>
          </cell>
          <cell r="B169">
            <v>44244</v>
          </cell>
          <cell r="C169">
            <v>44245</v>
          </cell>
          <cell r="D169" t="str">
            <v>HAINING LEBRIA E
BUSINESS CO.</v>
          </cell>
          <cell r="E169" t="str">
            <v>EMMA</v>
          </cell>
          <cell r="F169" t="str">
            <v>TUP-12</v>
          </cell>
          <cell r="G169">
            <v>112</v>
          </cell>
          <cell r="H169">
            <v>1435.39</v>
          </cell>
          <cell r="I169">
            <v>1665.0524</v>
          </cell>
          <cell r="J169">
            <v>160763.68000000002</v>
          </cell>
          <cell r="K169">
            <v>186485.8688</v>
          </cell>
          <cell r="L169" t="str">
            <v>PRESION</v>
          </cell>
          <cell r="N169">
            <v>0</v>
          </cell>
        </row>
        <row r="170">
          <cell r="A170" t="str">
            <v>21L09-2</v>
          </cell>
          <cell r="B170">
            <v>44244</v>
          </cell>
          <cell r="C170">
            <v>44245</v>
          </cell>
          <cell r="D170" t="str">
            <v>HAINING LEBRIA E
BUSINESS CO.</v>
          </cell>
          <cell r="E170" t="str">
            <v>EMMA</v>
          </cell>
          <cell r="F170" t="str">
            <v>TUP-12</v>
          </cell>
          <cell r="G170">
            <v>13</v>
          </cell>
          <cell r="H170">
            <v>1435.39</v>
          </cell>
          <cell r="I170">
            <v>1665.0524</v>
          </cell>
          <cell r="J170">
            <v>18660.07</v>
          </cell>
          <cell r="K170">
            <v>21645.681199999999</v>
          </cell>
          <cell r="L170" t="str">
            <v>PRESION</v>
          </cell>
          <cell r="N170">
            <v>0</v>
          </cell>
        </row>
        <row r="171">
          <cell r="A171" t="str">
            <v>21L09-2</v>
          </cell>
          <cell r="B171">
            <v>44244</v>
          </cell>
          <cell r="C171">
            <v>44245</v>
          </cell>
          <cell r="D171" t="str">
            <v>HAINING LEBRIA E
BUSINESS CO.</v>
          </cell>
          <cell r="E171" t="str">
            <v>EMMA</v>
          </cell>
          <cell r="F171" t="str">
            <v>TUP-10</v>
          </cell>
          <cell r="G171">
            <v>157</v>
          </cell>
          <cell r="H171">
            <v>1218.7</v>
          </cell>
          <cell r="I171">
            <v>1413.692</v>
          </cell>
          <cell r="J171">
            <v>191335.9</v>
          </cell>
          <cell r="K171">
            <v>221949.644</v>
          </cell>
          <cell r="L171" t="str">
            <v>PRESION</v>
          </cell>
          <cell r="N171">
            <v>0</v>
          </cell>
        </row>
        <row r="172">
          <cell r="A172" t="str">
            <v>21L09-2</v>
          </cell>
          <cell r="B172">
            <v>44244</v>
          </cell>
          <cell r="C172">
            <v>44245</v>
          </cell>
          <cell r="D172" t="str">
            <v>HAINING LEBRIA E
BUSINESS CO.</v>
          </cell>
          <cell r="E172" t="str">
            <v>EMMA</v>
          </cell>
          <cell r="F172" t="str">
            <v>TUP-10</v>
          </cell>
          <cell r="G172">
            <v>119</v>
          </cell>
          <cell r="H172">
            <v>1218.7</v>
          </cell>
          <cell r="I172">
            <v>1413.692</v>
          </cell>
          <cell r="J172">
            <v>145025.30000000002</v>
          </cell>
          <cell r="K172">
            <v>168229.348</v>
          </cell>
          <cell r="L172" t="str">
            <v>PRESION</v>
          </cell>
          <cell r="N172">
            <v>0</v>
          </cell>
        </row>
        <row r="173">
          <cell r="A173" t="str">
            <v>21L09-2</v>
          </cell>
          <cell r="B173">
            <v>44244</v>
          </cell>
          <cell r="C173">
            <v>44245</v>
          </cell>
          <cell r="D173" t="str">
            <v>HAINING LEBRIA E
BUSINESS CO.</v>
          </cell>
          <cell r="E173" t="str">
            <v>EMMA</v>
          </cell>
          <cell r="F173" t="str">
            <v>TUP-10</v>
          </cell>
          <cell r="G173">
            <v>81</v>
          </cell>
          <cell r="H173">
            <v>1218.7</v>
          </cell>
          <cell r="I173">
            <v>1413.692</v>
          </cell>
          <cell r="J173">
            <v>98714.7</v>
          </cell>
          <cell r="K173">
            <v>114509.052</v>
          </cell>
          <cell r="L173" t="str">
            <v>PRESION</v>
          </cell>
          <cell r="N173">
            <v>0</v>
          </cell>
        </row>
        <row r="174">
          <cell r="A174" t="str">
            <v>21L09-2</v>
          </cell>
          <cell r="B174">
            <v>44244</v>
          </cell>
          <cell r="C174">
            <v>44245</v>
          </cell>
          <cell r="D174" t="str">
            <v>HAINING LEBRIA E
BUSINESS CO.</v>
          </cell>
          <cell r="E174" t="str">
            <v>EMMA</v>
          </cell>
          <cell r="F174" t="str">
            <v>TUG-15</v>
          </cell>
          <cell r="G174">
            <v>168</v>
          </cell>
          <cell r="H174">
            <v>760.79</v>
          </cell>
          <cell r="I174">
            <v>882.51639999999986</v>
          </cell>
          <cell r="J174">
            <v>127812.72</v>
          </cell>
          <cell r="K174">
            <v>148262.75519999999</v>
          </cell>
          <cell r="L174" t="str">
            <v>GRAVEDAD</v>
          </cell>
          <cell r="N174">
            <v>0</v>
          </cell>
        </row>
        <row r="175">
          <cell r="A175" t="str">
            <v>21L12</v>
          </cell>
          <cell r="B175">
            <v>44245</v>
          </cell>
          <cell r="C175">
            <v>44251</v>
          </cell>
          <cell r="D175" t="str">
            <v>JIAXING WOERQI ELECTRICAL CO., LTD</v>
          </cell>
          <cell r="E175" t="str">
            <v>JACKY</v>
          </cell>
          <cell r="F175" t="str">
            <v>BP-10</v>
          </cell>
          <cell r="G175">
            <v>450</v>
          </cell>
          <cell r="H175">
            <v>423.81</v>
          </cell>
          <cell r="I175">
            <v>491.61959999999999</v>
          </cell>
          <cell r="J175">
            <v>190714.5</v>
          </cell>
          <cell r="K175">
            <v>221228.82</v>
          </cell>
          <cell r="L175" t="str">
            <v>PRESION</v>
          </cell>
          <cell r="N175">
            <v>0</v>
          </cell>
        </row>
        <row r="176">
          <cell r="A176" t="str">
            <v>21L12</v>
          </cell>
          <cell r="B176">
            <v>44245</v>
          </cell>
          <cell r="C176">
            <v>44251</v>
          </cell>
          <cell r="D176" t="str">
            <v>JIAXING WOERQI ELECTRICAL CO., LTD</v>
          </cell>
          <cell r="E176" t="str">
            <v>JACKY</v>
          </cell>
          <cell r="F176" t="str">
            <v>BG-18</v>
          </cell>
          <cell r="G176">
            <v>30</v>
          </cell>
          <cell r="H176">
            <v>367.68</v>
          </cell>
          <cell r="I176">
            <v>426.50879999999995</v>
          </cell>
          <cell r="J176">
            <v>11030.4</v>
          </cell>
          <cell r="K176">
            <v>12795.263999999999</v>
          </cell>
          <cell r="L176" t="str">
            <v>GRAVEDAD</v>
          </cell>
          <cell r="N176">
            <v>0</v>
          </cell>
        </row>
        <row r="177">
          <cell r="A177" t="str">
            <v>21L12</v>
          </cell>
          <cell r="B177">
            <v>44245</v>
          </cell>
          <cell r="C177">
            <v>44251</v>
          </cell>
          <cell r="D177" t="str">
            <v>JIAXING WOERQI ELECTRICAL CO., LTD</v>
          </cell>
          <cell r="E177" t="str">
            <v>JACKY</v>
          </cell>
          <cell r="F177" t="str">
            <v>BG-15</v>
          </cell>
          <cell r="G177">
            <v>875</v>
          </cell>
          <cell r="H177">
            <v>355.72</v>
          </cell>
          <cell r="I177">
            <v>412.6352</v>
          </cell>
          <cell r="J177">
            <v>311255</v>
          </cell>
          <cell r="K177">
            <v>361055.8</v>
          </cell>
          <cell r="L177" t="str">
            <v>GRAVEDAD</v>
          </cell>
          <cell r="N177">
            <v>0</v>
          </cell>
        </row>
        <row r="178">
          <cell r="A178" t="str">
            <v>21L12</v>
          </cell>
          <cell r="B178">
            <v>44245</v>
          </cell>
          <cell r="C178">
            <v>44251</v>
          </cell>
          <cell r="D178" t="str">
            <v>JIAXING WOERQI ELECTRICAL CO., LTD</v>
          </cell>
          <cell r="E178" t="str">
            <v>JACKY</v>
          </cell>
          <cell r="F178" t="str">
            <v>BG-12</v>
          </cell>
          <cell r="G178">
            <v>804</v>
          </cell>
          <cell r="H178">
            <v>344.3</v>
          </cell>
          <cell r="I178">
            <v>399.38799999999998</v>
          </cell>
          <cell r="J178">
            <v>276817.2</v>
          </cell>
          <cell r="K178">
            <v>321107.95199999999</v>
          </cell>
          <cell r="L178" t="str">
            <v>GRAVEDAD</v>
          </cell>
          <cell r="N178">
            <v>0</v>
          </cell>
        </row>
        <row r="179">
          <cell r="A179" t="str">
            <v>21E10-21E12A</v>
          </cell>
          <cell r="B179">
            <v>44247</v>
          </cell>
          <cell r="C179">
            <v>44251</v>
          </cell>
          <cell r="D179" t="str">
            <v>ZHEJIANG YILE NEW ENERGY CO.,LTD</v>
          </cell>
          <cell r="E179" t="str">
            <v>KEN</v>
          </cell>
          <cell r="F179" t="str">
            <v>TPE-12</v>
          </cell>
          <cell r="G179">
            <v>382</v>
          </cell>
          <cell r="H179">
            <v>2908.02</v>
          </cell>
          <cell r="I179">
            <v>3373.3031999999998</v>
          </cell>
          <cell r="J179">
            <v>1110863.6399999999</v>
          </cell>
          <cell r="K179">
            <v>1288601.8223999999</v>
          </cell>
          <cell r="L179" t="str">
            <v>PRESION</v>
          </cell>
          <cell r="N179">
            <v>0</v>
          </cell>
        </row>
        <row r="180">
          <cell r="A180" t="str">
            <v>21E10-21E12A</v>
          </cell>
          <cell r="B180">
            <v>44247</v>
          </cell>
          <cell r="C180">
            <v>44251</v>
          </cell>
          <cell r="D180" t="str">
            <v>ZHEJIANG YILE NEW ENERGY CO.,LTD</v>
          </cell>
          <cell r="E180" t="str">
            <v>KEN</v>
          </cell>
          <cell r="F180" t="str">
            <v>CAJA DE CARTÓN</v>
          </cell>
          <cell r="G180">
            <v>16</v>
          </cell>
          <cell r="H180">
            <v>29.76</v>
          </cell>
          <cell r="I180">
            <v>34.521599999999999</v>
          </cell>
          <cell r="J180">
            <v>476.16</v>
          </cell>
          <cell r="K180">
            <v>552.34559999999999</v>
          </cell>
          <cell r="L180" t="str">
            <v>GARANTIA</v>
          </cell>
          <cell r="N180">
            <v>0</v>
          </cell>
        </row>
        <row r="181">
          <cell r="A181" t="str">
            <v>21E10-21E12B</v>
          </cell>
          <cell r="B181">
            <v>44247</v>
          </cell>
          <cell r="C181">
            <v>44251</v>
          </cell>
          <cell r="D181" t="str">
            <v>ZHEJIANG YILE NEW ENERGY CO.,LTD</v>
          </cell>
          <cell r="E181" t="str">
            <v>KEN</v>
          </cell>
          <cell r="F181" t="str">
            <v>TPE-12</v>
          </cell>
          <cell r="G181">
            <v>191</v>
          </cell>
          <cell r="H181">
            <v>2725.12</v>
          </cell>
          <cell r="I181">
            <v>3161.1391999999996</v>
          </cell>
          <cell r="J181">
            <v>520497.91999999998</v>
          </cell>
          <cell r="K181">
            <v>603777.58719999995</v>
          </cell>
          <cell r="L181" t="str">
            <v>PRESION</v>
          </cell>
          <cell r="N181">
            <v>0</v>
          </cell>
        </row>
        <row r="182">
          <cell r="A182" t="str">
            <v>21E10-21E12B</v>
          </cell>
          <cell r="B182">
            <v>44247</v>
          </cell>
          <cell r="C182">
            <v>44251</v>
          </cell>
          <cell r="D182" t="str">
            <v>ZHEJIANG YILE NEW ENERGY CO.,LTD</v>
          </cell>
          <cell r="E182" t="str">
            <v>KEN</v>
          </cell>
          <cell r="F182" t="str">
            <v>CAJA DE CARTÓN</v>
          </cell>
          <cell r="G182">
            <v>8</v>
          </cell>
          <cell r="H182">
            <v>32.11</v>
          </cell>
          <cell r="I182">
            <v>37.247599999999998</v>
          </cell>
          <cell r="J182">
            <v>256.88</v>
          </cell>
          <cell r="K182">
            <v>297.98079999999999</v>
          </cell>
          <cell r="L182" t="str">
            <v>GARANTIA</v>
          </cell>
          <cell r="N182">
            <v>0</v>
          </cell>
        </row>
        <row r="183">
          <cell r="A183" t="str">
            <v>21E08</v>
          </cell>
          <cell r="B183">
            <v>44249</v>
          </cell>
          <cell r="C183">
            <v>44252</v>
          </cell>
          <cell r="D183" t="str">
            <v>JIANGSU GOODWE POWER SUPPLY TECHNOLOGY CO., LTD</v>
          </cell>
          <cell r="E183" t="str">
            <v>ELISABETH</v>
          </cell>
          <cell r="F183" t="str">
            <v>GW60KN-MT-W</v>
          </cell>
          <cell r="G183">
            <v>1</v>
          </cell>
          <cell r="H183">
            <v>28033.56</v>
          </cell>
          <cell r="I183">
            <v>32518.929599999999</v>
          </cell>
          <cell r="J183">
            <v>28033.56</v>
          </cell>
          <cell r="K183">
            <v>32518.929599999999</v>
          </cell>
          <cell r="L183" t="str">
            <v>FOTOVOLTAICO</v>
          </cell>
          <cell r="N183">
            <v>0</v>
          </cell>
        </row>
        <row r="184">
          <cell r="A184" t="str">
            <v>21E11A</v>
          </cell>
          <cell r="B184">
            <v>44249</v>
          </cell>
          <cell r="C184">
            <v>44252</v>
          </cell>
          <cell r="D184" t="str">
            <v>ZHEJIANG YILE NEW ENERGY CO.,LTD</v>
          </cell>
          <cell r="E184" t="str">
            <v>KEN</v>
          </cell>
          <cell r="F184" t="str">
            <v>TPE-12</v>
          </cell>
          <cell r="G184">
            <v>382</v>
          </cell>
          <cell r="H184">
            <v>2908.02</v>
          </cell>
          <cell r="I184">
            <v>3373.3031999999998</v>
          </cell>
          <cell r="J184">
            <v>1110863.6399999999</v>
          </cell>
          <cell r="K184">
            <v>1288601.8223999999</v>
          </cell>
          <cell r="L184" t="str">
            <v>PRESION</v>
          </cell>
          <cell r="N184">
            <v>0</v>
          </cell>
        </row>
        <row r="185">
          <cell r="A185" t="str">
            <v>21E11A</v>
          </cell>
          <cell r="B185">
            <v>44249</v>
          </cell>
          <cell r="C185">
            <v>44252</v>
          </cell>
          <cell r="D185" t="str">
            <v>ZHEJIANG YILE NEW ENERGY CO.,LTD</v>
          </cell>
          <cell r="E185" t="str">
            <v>KEN</v>
          </cell>
          <cell r="F185" t="str">
            <v>CAJA DE CARTÓN</v>
          </cell>
          <cell r="G185">
            <v>16</v>
          </cell>
          <cell r="H185">
            <v>29.76</v>
          </cell>
          <cell r="I185">
            <v>34.521599999999999</v>
          </cell>
          <cell r="J185">
            <v>476.16</v>
          </cell>
          <cell r="K185">
            <v>552.34559999999999</v>
          </cell>
          <cell r="L185" t="str">
            <v>GARANTIA</v>
          </cell>
          <cell r="N185">
            <v>0</v>
          </cell>
        </row>
        <row r="186">
          <cell r="A186" t="str">
            <v>21E11B</v>
          </cell>
          <cell r="B186">
            <v>44249</v>
          </cell>
          <cell r="C186">
            <v>44252</v>
          </cell>
          <cell r="D186" t="str">
            <v>ZHEJIANG YILE NEW ENERGY CO.,LTD</v>
          </cell>
          <cell r="E186" t="str">
            <v>KEN</v>
          </cell>
          <cell r="F186" t="str">
            <v>TPE-12</v>
          </cell>
          <cell r="G186">
            <v>191</v>
          </cell>
          <cell r="H186">
            <v>2908.7</v>
          </cell>
          <cell r="I186">
            <v>3374.0919999999996</v>
          </cell>
          <cell r="J186">
            <v>555561.69999999995</v>
          </cell>
          <cell r="K186">
            <v>644451.57199999993</v>
          </cell>
          <cell r="L186" t="str">
            <v>PRESION</v>
          </cell>
          <cell r="N186">
            <v>0</v>
          </cell>
        </row>
        <row r="187">
          <cell r="A187" t="str">
            <v>21E11B</v>
          </cell>
          <cell r="B187">
            <v>44249</v>
          </cell>
          <cell r="C187">
            <v>44252</v>
          </cell>
          <cell r="D187" t="str">
            <v>ZHEJIANG YILE NEW ENERGY CO.,LTD</v>
          </cell>
          <cell r="E187" t="str">
            <v>KEN</v>
          </cell>
          <cell r="F187" t="str">
            <v>CAJA DE CARTÓN</v>
          </cell>
          <cell r="G187">
            <v>8</v>
          </cell>
          <cell r="H187">
            <v>29.73</v>
          </cell>
          <cell r="I187">
            <v>34.486799999999995</v>
          </cell>
          <cell r="J187">
            <v>237.84</v>
          </cell>
          <cell r="K187">
            <v>275.89439999999996</v>
          </cell>
          <cell r="L187" t="str">
            <v>GARANTIA</v>
          </cell>
          <cell r="N187">
            <v>0</v>
          </cell>
        </row>
        <row r="188">
          <cell r="A188" t="str">
            <v>21E13</v>
          </cell>
          <cell r="B188">
            <v>44249</v>
          </cell>
          <cell r="C188">
            <v>44253</v>
          </cell>
          <cell r="D188" t="str">
            <v>ZHEJIANG YILE NEW ENERGY CO.,LTD</v>
          </cell>
          <cell r="E188" t="str">
            <v>KEN</v>
          </cell>
          <cell r="F188" t="str">
            <v>TPE-12</v>
          </cell>
          <cell r="G188">
            <v>191</v>
          </cell>
          <cell r="H188">
            <v>2908.7</v>
          </cell>
          <cell r="I188">
            <v>3374.0919999999996</v>
          </cell>
          <cell r="J188">
            <v>555561.69999999995</v>
          </cell>
          <cell r="K188">
            <v>644451.57199999993</v>
          </cell>
          <cell r="L188" t="str">
            <v>PRESION</v>
          </cell>
          <cell r="N188">
            <v>0</v>
          </cell>
        </row>
        <row r="189">
          <cell r="A189" t="str">
            <v>21E13</v>
          </cell>
          <cell r="B189">
            <v>44249</v>
          </cell>
          <cell r="C189">
            <v>44253</v>
          </cell>
          <cell r="D189" t="str">
            <v>ZHEJIANG YILE NEW ENERGY CO.,LTD</v>
          </cell>
          <cell r="E189" t="str">
            <v>KEN</v>
          </cell>
          <cell r="F189" t="str">
            <v>CAJA DE CARTÓN</v>
          </cell>
          <cell r="G189">
            <v>8</v>
          </cell>
          <cell r="H189">
            <v>29.73</v>
          </cell>
          <cell r="I189">
            <v>34.486799999999995</v>
          </cell>
          <cell r="J189">
            <v>237.84</v>
          </cell>
          <cell r="K189">
            <v>275.89439999999996</v>
          </cell>
          <cell r="L189" t="str">
            <v>GARANTIA</v>
          </cell>
          <cell r="N189">
            <v>0</v>
          </cell>
        </row>
        <row r="190">
          <cell r="A190" t="str">
            <v>21L15</v>
          </cell>
          <cell r="B190">
            <v>44249</v>
          </cell>
          <cell r="C190">
            <v>44253</v>
          </cell>
          <cell r="D190" t="str">
            <v>Haining Sunsurf New Energy Technology Co., Ltd.</v>
          </cell>
          <cell r="E190" t="str">
            <v>LEON</v>
          </cell>
          <cell r="F190" t="str">
            <v>BG-30</v>
          </cell>
          <cell r="G190">
            <v>100</v>
          </cell>
          <cell r="H190">
            <v>615.5</v>
          </cell>
          <cell r="I190">
            <v>713.9799999999999</v>
          </cell>
          <cell r="J190">
            <v>61550</v>
          </cell>
          <cell r="K190">
            <v>71397.999999999985</v>
          </cell>
          <cell r="L190" t="str">
            <v>GRAVEDAD</v>
          </cell>
          <cell r="N190">
            <v>0</v>
          </cell>
        </row>
        <row r="191">
          <cell r="A191" t="str">
            <v>21L15</v>
          </cell>
          <cell r="B191">
            <v>44249</v>
          </cell>
          <cell r="C191">
            <v>44253</v>
          </cell>
          <cell r="D191" t="str">
            <v>Haining Sunsurf New Energy Technology Co., Ltd.</v>
          </cell>
          <cell r="E191" t="str">
            <v>LEON</v>
          </cell>
          <cell r="F191" t="str">
            <v>BG-24</v>
          </cell>
          <cell r="G191">
            <v>50</v>
          </cell>
          <cell r="H191">
            <v>580.5</v>
          </cell>
          <cell r="I191">
            <v>673.38</v>
          </cell>
          <cell r="J191">
            <v>29025</v>
          </cell>
          <cell r="K191">
            <v>33669</v>
          </cell>
          <cell r="L191" t="str">
            <v>GRAVEDAD</v>
          </cell>
          <cell r="N191">
            <v>0</v>
          </cell>
        </row>
        <row r="192">
          <cell r="A192" t="str">
            <v>21L15</v>
          </cell>
          <cell r="B192">
            <v>44249</v>
          </cell>
          <cell r="C192">
            <v>44253</v>
          </cell>
          <cell r="D192" t="str">
            <v>Haining Sunsurf New Energy Technology Co., Ltd.</v>
          </cell>
          <cell r="E192" t="str">
            <v>LEON</v>
          </cell>
          <cell r="F192" t="str">
            <v>BG-18</v>
          </cell>
          <cell r="G192">
            <v>50</v>
          </cell>
          <cell r="H192">
            <v>405.3</v>
          </cell>
          <cell r="I192">
            <v>470.14799999999997</v>
          </cell>
          <cell r="J192">
            <v>20265</v>
          </cell>
          <cell r="K192">
            <v>23507.399999999998</v>
          </cell>
          <cell r="L192" t="str">
            <v>GRAVEDAD</v>
          </cell>
          <cell r="N192">
            <v>0</v>
          </cell>
        </row>
        <row r="193">
          <cell r="A193" t="str">
            <v>21L15</v>
          </cell>
          <cell r="B193">
            <v>44249</v>
          </cell>
          <cell r="C193">
            <v>44253</v>
          </cell>
          <cell r="D193" t="str">
            <v>Haining Sunsurf New Energy Technology Co., Ltd.</v>
          </cell>
          <cell r="E193" t="str">
            <v>LEON</v>
          </cell>
          <cell r="F193" t="str">
            <v>BP-12</v>
          </cell>
          <cell r="G193">
            <v>1300</v>
          </cell>
          <cell r="H193">
            <v>352.65</v>
          </cell>
          <cell r="I193">
            <v>409.07399999999996</v>
          </cell>
          <cell r="J193">
            <v>458444.99999999994</v>
          </cell>
          <cell r="K193">
            <v>531796.19999999995</v>
          </cell>
          <cell r="L193" t="str">
            <v>PRESION</v>
          </cell>
          <cell r="N193">
            <v>0</v>
          </cell>
        </row>
        <row r="194">
          <cell r="A194" t="str">
            <v>21L15</v>
          </cell>
          <cell r="B194">
            <v>44249</v>
          </cell>
          <cell r="C194">
            <v>44253</v>
          </cell>
          <cell r="D194" t="str">
            <v>Haining Sunsurf New Energy Technology Co., Ltd.</v>
          </cell>
          <cell r="E194" t="str">
            <v>LEON</v>
          </cell>
          <cell r="F194" t="str">
            <v>BP-10</v>
          </cell>
          <cell r="G194">
            <v>200</v>
          </cell>
          <cell r="H194">
            <v>352.57</v>
          </cell>
          <cell r="I194">
            <v>408.98119999999994</v>
          </cell>
          <cell r="J194">
            <v>70514</v>
          </cell>
          <cell r="K194">
            <v>81796.239999999991</v>
          </cell>
          <cell r="L194" t="str">
            <v>PRESION</v>
          </cell>
          <cell r="N194">
            <v>0</v>
          </cell>
        </row>
        <row r="195">
          <cell r="A195" t="str">
            <v>21L15</v>
          </cell>
          <cell r="B195">
            <v>44249</v>
          </cell>
          <cell r="C195">
            <v>44253</v>
          </cell>
          <cell r="D195" t="str">
            <v>Haining Sunsurf New Energy Technology Co., Ltd.</v>
          </cell>
          <cell r="E195" t="str">
            <v>LEON</v>
          </cell>
          <cell r="F195" t="str">
            <v>BG-08</v>
          </cell>
          <cell r="G195">
            <v>50</v>
          </cell>
          <cell r="H195">
            <v>351.51</v>
          </cell>
          <cell r="I195">
            <v>407.75159999999994</v>
          </cell>
          <cell r="J195">
            <v>17575.5</v>
          </cell>
          <cell r="K195">
            <v>20387.579999999998</v>
          </cell>
          <cell r="L195" t="str">
            <v>GRAVEDAD</v>
          </cell>
          <cell r="N195">
            <v>0</v>
          </cell>
        </row>
        <row r="196">
          <cell r="A196" t="str">
            <v>21L15</v>
          </cell>
          <cell r="B196">
            <v>44249</v>
          </cell>
          <cell r="C196">
            <v>44253</v>
          </cell>
          <cell r="D196" t="str">
            <v>Haining Sunsurf New Energy Technology Co., Ltd.</v>
          </cell>
          <cell r="E196" t="str">
            <v>LEON</v>
          </cell>
          <cell r="F196" t="str">
            <v>CAJA DE CARTÓN</v>
          </cell>
          <cell r="G196">
            <v>17</v>
          </cell>
          <cell r="H196">
            <v>28.47</v>
          </cell>
          <cell r="I196">
            <v>33.025199999999998</v>
          </cell>
          <cell r="J196">
            <v>483.99</v>
          </cell>
          <cell r="K196">
            <v>561.42840000000001</v>
          </cell>
          <cell r="L196" t="str">
            <v>GARANTIA</v>
          </cell>
          <cell r="N196">
            <v>0</v>
          </cell>
        </row>
        <row r="197">
          <cell r="A197" t="str">
            <v>21L17</v>
          </cell>
          <cell r="B197">
            <v>44249</v>
          </cell>
          <cell r="C197">
            <v>44251</v>
          </cell>
          <cell r="D197" t="str">
            <v>HELIOS POWER LTD</v>
          </cell>
          <cell r="E197" t="str">
            <v>PHILIP</v>
          </cell>
          <cell r="F197" t="str">
            <v>TUG-10</v>
          </cell>
          <cell r="G197">
            <v>49</v>
          </cell>
          <cell r="H197">
            <v>585.83000000000004</v>
          </cell>
          <cell r="I197">
            <v>679.56280000000004</v>
          </cell>
          <cell r="J197">
            <v>28705.670000000002</v>
          </cell>
          <cell r="K197">
            <v>33298.5772</v>
          </cell>
          <cell r="L197" t="str">
            <v>GRAVEDAD</v>
          </cell>
          <cell r="N197">
            <v>0</v>
          </cell>
        </row>
        <row r="198">
          <cell r="A198" t="str">
            <v>21L17</v>
          </cell>
          <cell r="B198">
            <v>44249</v>
          </cell>
          <cell r="C198">
            <v>44251</v>
          </cell>
          <cell r="D198" t="str">
            <v>HELIOS POWER LTD</v>
          </cell>
          <cell r="E198" t="str">
            <v>PHILIP</v>
          </cell>
          <cell r="F198" t="str">
            <v>TUG-12</v>
          </cell>
          <cell r="G198">
            <v>222</v>
          </cell>
          <cell r="H198">
            <v>702.98</v>
          </cell>
          <cell r="I198">
            <v>815.45679999999993</v>
          </cell>
          <cell r="J198">
            <v>156061.56</v>
          </cell>
          <cell r="K198">
            <v>181031.40959999998</v>
          </cell>
          <cell r="L198" t="str">
            <v>GRAVEDAD</v>
          </cell>
          <cell r="N198">
            <v>0</v>
          </cell>
        </row>
        <row r="199">
          <cell r="A199" t="str">
            <v>21L17</v>
          </cell>
          <cell r="B199">
            <v>44249</v>
          </cell>
          <cell r="C199">
            <v>44251</v>
          </cell>
          <cell r="D199" t="str">
            <v>HELIOS POWER LTD</v>
          </cell>
          <cell r="E199" t="str">
            <v>PHILIP</v>
          </cell>
          <cell r="F199" t="str">
            <v>TUG-15</v>
          </cell>
          <cell r="G199">
            <v>310</v>
          </cell>
          <cell r="H199">
            <v>878.65</v>
          </cell>
          <cell r="I199">
            <v>1019.2339999999999</v>
          </cell>
          <cell r="J199">
            <v>272381.5</v>
          </cell>
          <cell r="K199">
            <v>315962.53999999998</v>
          </cell>
          <cell r="L199" t="str">
            <v>GRAVEDAD</v>
          </cell>
          <cell r="N199">
            <v>0</v>
          </cell>
        </row>
        <row r="200">
          <cell r="A200" t="str">
            <v>21L20-2</v>
          </cell>
          <cell r="B200">
            <v>44260</v>
          </cell>
          <cell r="C200">
            <v>44263</v>
          </cell>
          <cell r="D200" t="str">
            <v>HAINING LEBRIA E
BUSINESS CO.</v>
          </cell>
          <cell r="E200" t="str">
            <v>EMMA</v>
          </cell>
          <cell r="F200" t="str">
            <v>TUP-12</v>
          </cell>
          <cell r="G200">
            <v>400</v>
          </cell>
          <cell r="H200">
            <v>1422.81</v>
          </cell>
          <cell r="I200">
            <v>1650.4595999999999</v>
          </cell>
          <cell r="J200">
            <v>569124</v>
          </cell>
          <cell r="K200">
            <v>660183.84</v>
          </cell>
          <cell r="L200" t="str">
            <v>PRESION</v>
          </cell>
          <cell r="N200">
            <v>0</v>
          </cell>
        </row>
        <row r="201">
          <cell r="A201" t="str">
            <v>21L20-2</v>
          </cell>
          <cell r="B201">
            <v>44260</v>
          </cell>
          <cell r="C201">
            <v>44263</v>
          </cell>
          <cell r="D201" t="str">
            <v>HAINING LEBRIA E
BUSINESS CO.</v>
          </cell>
          <cell r="E201" t="str">
            <v>EMMA</v>
          </cell>
          <cell r="F201" t="str">
            <v>TUG-12</v>
          </cell>
          <cell r="G201">
            <v>99</v>
          </cell>
          <cell r="H201">
            <v>578.41</v>
          </cell>
          <cell r="I201">
            <v>670.95559999999989</v>
          </cell>
          <cell r="J201">
            <v>57262.59</v>
          </cell>
          <cell r="K201">
            <v>66424.604399999982</v>
          </cell>
          <cell r="L201" t="str">
            <v>GRAVEDAD</v>
          </cell>
          <cell r="N201">
            <v>0</v>
          </cell>
        </row>
        <row r="202">
          <cell r="A202" t="str">
            <v>21L20-2</v>
          </cell>
          <cell r="B202">
            <v>44260</v>
          </cell>
          <cell r="C202">
            <v>44263</v>
          </cell>
          <cell r="D202" t="str">
            <v>HAINING LEBRIA E
BUSINESS CO.</v>
          </cell>
          <cell r="E202" t="str">
            <v>EMMA</v>
          </cell>
          <cell r="F202" t="str">
            <v>TUG-15</v>
          </cell>
          <cell r="G202">
            <v>97</v>
          </cell>
          <cell r="H202">
            <v>723.07</v>
          </cell>
          <cell r="I202">
            <v>838.76120000000003</v>
          </cell>
          <cell r="J202">
            <v>70137.790000000008</v>
          </cell>
          <cell r="K202">
            <v>81359.8364</v>
          </cell>
          <cell r="L202" t="str">
            <v>GRAVEDAD</v>
          </cell>
          <cell r="N202">
            <v>0</v>
          </cell>
        </row>
        <row r="203">
          <cell r="A203" t="str">
            <v>21L23A</v>
          </cell>
          <cell r="B203">
            <v>44260</v>
          </cell>
          <cell r="C203">
            <v>44264</v>
          </cell>
          <cell r="D203" t="str">
            <v>HELIOS POWER LTD</v>
          </cell>
          <cell r="E203" t="str">
            <v>PHILIP</v>
          </cell>
          <cell r="F203" t="str">
            <v>TUG-15</v>
          </cell>
          <cell r="G203">
            <v>509</v>
          </cell>
          <cell r="H203">
            <v>916.11</v>
          </cell>
          <cell r="I203">
            <v>1062.6876</v>
          </cell>
          <cell r="J203">
            <v>466299.99</v>
          </cell>
          <cell r="K203">
            <v>540907.98840000003</v>
          </cell>
          <cell r="L203" t="str">
            <v>GRAVEDAD</v>
          </cell>
          <cell r="N203">
            <v>0</v>
          </cell>
        </row>
        <row r="204">
          <cell r="A204" t="str">
            <v>21L23A</v>
          </cell>
          <cell r="B204">
            <v>44260</v>
          </cell>
          <cell r="C204">
            <v>44264</v>
          </cell>
          <cell r="D204" t="str">
            <v>HELIOS POWER LTD</v>
          </cell>
          <cell r="E204" t="str">
            <v>PHILIP</v>
          </cell>
          <cell r="F204" t="str">
            <v>TUG-15</v>
          </cell>
          <cell r="G204">
            <v>508</v>
          </cell>
          <cell r="H204">
            <v>916.11</v>
          </cell>
          <cell r="I204">
            <v>1062.6876</v>
          </cell>
          <cell r="J204">
            <v>465383.88</v>
          </cell>
          <cell r="K204">
            <v>539845.30079999997</v>
          </cell>
          <cell r="L204" t="str">
            <v>GRAVEDAD</v>
          </cell>
          <cell r="N204">
            <v>0</v>
          </cell>
        </row>
        <row r="205">
          <cell r="A205" t="str">
            <v>21L23B</v>
          </cell>
          <cell r="B205">
            <v>44260</v>
          </cell>
          <cell r="C205">
            <v>44268</v>
          </cell>
          <cell r="D205" t="str">
            <v>HELIOS POWER LTD</v>
          </cell>
          <cell r="E205" t="str">
            <v>PHILIP</v>
          </cell>
          <cell r="F205" t="str">
            <v>TUG-15</v>
          </cell>
          <cell r="G205">
            <v>507</v>
          </cell>
          <cell r="H205">
            <v>917.47</v>
          </cell>
          <cell r="I205">
            <v>1064.2652</v>
          </cell>
          <cell r="J205">
            <v>465157.29000000004</v>
          </cell>
          <cell r="K205">
            <v>539582.45640000002</v>
          </cell>
          <cell r="L205" t="str">
            <v>GRAVEDAD</v>
          </cell>
          <cell r="N205">
            <v>0</v>
          </cell>
        </row>
        <row r="206">
          <cell r="A206" t="str">
            <v>21L19-1</v>
          </cell>
          <cell r="B206">
            <v>44263</v>
          </cell>
          <cell r="C206">
            <v>44266</v>
          </cell>
          <cell r="D206" t="str">
            <v>HAINING LEBRIA E
BUSINESS CO.</v>
          </cell>
          <cell r="E206" t="str">
            <v>EMMA</v>
          </cell>
          <cell r="F206" t="str">
            <v>TUP-12</v>
          </cell>
          <cell r="G206">
            <v>140</v>
          </cell>
          <cell r="H206">
            <v>1454.01</v>
          </cell>
          <cell r="I206">
            <v>1686.6515999999999</v>
          </cell>
          <cell r="J206">
            <v>203561.4</v>
          </cell>
          <cell r="K206">
            <v>236131.22399999999</v>
          </cell>
          <cell r="L206" t="str">
            <v>PRESION</v>
          </cell>
          <cell r="N206">
            <v>0</v>
          </cell>
        </row>
        <row r="207">
          <cell r="A207" t="str">
            <v>21L19-1</v>
          </cell>
          <cell r="B207">
            <v>44263</v>
          </cell>
          <cell r="C207">
            <v>44266</v>
          </cell>
          <cell r="D207" t="str">
            <v>HAINING LEBRIA E
BUSINESS CO.</v>
          </cell>
          <cell r="E207" t="str">
            <v>EMMA</v>
          </cell>
          <cell r="F207" t="str">
            <v>TUP-10</v>
          </cell>
          <cell r="G207">
            <v>386</v>
          </cell>
          <cell r="H207">
            <v>1263.83</v>
          </cell>
          <cell r="I207">
            <v>1466.0427999999997</v>
          </cell>
          <cell r="J207">
            <v>487838.37999999995</v>
          </cell>
          <cell r="K207">
            <v>565892.52079999994</v>
          </cell>
          <cell r="L207" t="str">
            <v>PRESION</v>
          </cell>
          <cell r="N207">
            <v>0</v>
          </cell>
        </row>
        <row r="208">
          <cell r="A208" t="str">
            <v>21L19-1</v>
          </cell>
          <cell r="B208">
            <v>44263</v>
          </cell>
          <cell r="C208">
            <v>44266</v>
          </cell>
          <cell r="D208" t="str">
            <v>HAINING LEBRIA E
BUSINESS CO.</v>
          </cell>
          <cell r="E208" t="str">
            <v>EMMA</v>
          </cell>
          <cell r="F208" t="str">
            <v>CAJA DE CARTÓN</v>
          </cell>
          <cell r="G208">
            <v>6</v>
          </cell>
          <cell r="H208">
            <v>32.840000000000003</v>
          </cell>
          <cell r="I208">
            <v>38.0944</v>
          </cell>
          <cell r="J208">
            <v>197.04000000000002</v>
          </cell>
          <cell r="K208">
            <v>228.56639999999999</v>
          </cell>
          <cell r="L208" t="str">
            <v>GARANTIA</v>
          </cell>
          <cell r="N208">
            <v>0</v>
          </cell>
        </row>
        <row r="209">
          <cell r="A209" t="str">
            <v>21L19-1</v>
          </cell>
          <cell r="B209">
            <v>44263</v>
          </cell>
          <cell r="C209">
            <v>44266</v>
          </cell>
          <cell r="D209" t="str">
            <v>HAINING LEBRIA E
BUSINESS CO.</v>
          </cell>
          <cell r="E209" t="str">
            <v>EMMA</v>
          </cell>
          <cell r="F209" t="str">
            <v>TUG-12</v>
          </cell>
          <cell r="G209">
            <v>363</v>
          </cell>
          <cell r="H209">
            <v>616.55999999999995</v>
          </cell>
          <cell r="I209">
            <v>715.20959999999991</v>
          </cell>
          <cell r="J209">
            <v>223811.27999999997</v>
          </cell>
          <cell r="K209">
            <v>259621.08479999995</v>
          </cell>
          <cell r="L209" t="str">
            <v>GRAVEDAD</v>
          </cell>
          <cell r="N209">
            <v>0</v>
          </cell>
        </row>
        <row r="210">
          <cell r="A210" t="str">
            <v>21L19-1</v>
          </cell>
          <cell r="B210">
            <v>44263</v>
          </cell>
          <cell r="C210">
            <v>44266</v>
          </cell>
          <cell r="D210" t="str">
            <v>HAINING LEBRIA E
BUSINESS CO.</v>
          </cell>
          <cell r="E210" t="str">
            <v>EMMA</v>
          </cell>
          <cell r="F210" t="str">
            <v>TUG-15</v>
          </cell>
          <cell r="G210">
            <v>358</v>
          </cell>
          <cell r="H210">
            <v>770.7</v>
          </cell>
          <cell r="I210">
            <v>894.01199999999994</v>
          </cell>
          <cell r="J210">
            <v>275910.60000000003</v>
          </cell>
          <cell r="K210">
            <v>320056.29599999997</v>
          </cell>
          <cell r="L210" t="str">
            <v>GRAVEDAD</v>
          </cell>
          <cell r="N210">
            <v>0</v>
          </cell>
        </row>
        <row r="211">
          <cell r="A211" t="str">
            <v>21L26</v>
          </cell>
          <cell r="B211">
            <v>44265</v>
          </cell>
          <cell r="C211">
            <v>44267</v>
          </cell>
          <cell r="D211" t="str">
            <v>HELIOS POWER LTD</v>
          </cell>
          <cell r="E211" t="str">
            <v>PHILIP</v>
          </cell>
          <cell r="F211" t="str">
            <v>TUG-12</v>
          </cell>
          <cell r="G211">
            <v>20</v>
          </cell>
          <cell r="H211">
            <v>743.41</v>
          </cell>
          <cell r="I211">
            <v>862.35559999999987</v>
          </cell>
          <cell r="J211">
            <v>14868.199999999999</v>
          </cell>
          <cell r="K211">
            <v>17247.111999999997</v>
          </cell>
          <cell r="L211" t="str">
            <v>GRAVEDAD</v>
          </cell>
          <cell r="N211">
            <v>0</v>
          </cell>
        </row>
        <row r="212">
          <cell r="A212" t="str">
            <v>21L26</v>
          </cell>
          <cell r="B212">
            <v>44265</v>
          </cell>
          <cell r="C212">
            <v>44267</v>
          </cell>
          <cell r="D212" t="str">
            <v>HELIOS POWER LTD</v>
          </cell>
          <cell r="E212" t="str">
            <v>PHILIP</v>
          </cell>
          <cell r="F212" t="str">
            <v>TUG-15</v>
          </cell>
          <cell r="G212">
            <v>1027</v>
          </cell>
          <cell r="H212">
            <v>930.27</v>
          </cell>
          <cell r="I212">
            <v>1079.1132</v>
          </cell>
          <cell r="J212">
            <v>955387.29</v>
          </cell>
          <cell r="K212">
            <v>1108249.2564000001</v>
          </cell>
          <cell r="L212" t="str">
            <v>GRAVEDAD</v>
          </cell>
          <cell r="N212">
            <v>0</v>
          </cell>
        </row>
        <row r="213">
          <cell r="A213" t="str">
            <v>21L19-2</v>
          </cell>
          <cell r="B213">
            <v>44266</v>
          </cell>
          <cell r="C213">
            <v>44272</v>
          </cell>
          <cell r="D213" t="str">
            <v>HAINING LEBRIA E
BUSINESS CO.</v>
          </cell>
          <cell r="E213" t="str">
            <v>EMMA</v>
          </cell>
          <cell r="F213" t="str">
            <v>TUP-12</v>
          </cell>
          <cell r="G213">
            <v>1234</v>
          </cell>
          <cell r="H213">
            <v>1383.98</v>
          </cell>
          <cell r="I213">
            <v>1605.4168</v>
          </cell>
          <cell r="J213">
            <v>1707831.32</v>
          </cell>
          <cell r="K213">
            <v>1981084.3311999999</v>
          </cell>
          <cell r="L213" t="str">
            <v>PRESION</v>
          </cell>
          <cell r="N213">
            <v>0</v>
          </cell>
        </row>
        <row r="214">
          <cell r="A214" t="str">
            <v>21L22</v>
          </cell>
          <cell r="B214">
            <v>44266</v>
          </cell>
          <cell r="C214">
            <v>44271</v>
          </cell>
          <cell r="D214" t="str">
            <v>HELIOS POWER LTD</v>
          </cell>
          <cell r="E214" t="str">
            <v>PHILIP</v>
          </cell>
          <cell r="F214" t="str">
            <v>TUG-12</v>
          </cell>
          <cell r="G214">
            <v>1281</v>
          </cell>
          <cell r="H214">
            <v>750.6</v>
          </cell>
          <cell r="I214">
            <v>870.69599999999991</v>
          </cell>
          <cell r="J214">
            <v>961518.6</v>
          </cell>
          <cell r="K214">
            <v>1115361.5759999999</v>
          </cell>
          <cell r="L214" t="str">
            <v>GRAVEDAD</v>
          </cell>
          <cell r="N214">
            <v>0</v>
          </cell>
        </row>
        <row r="215">
          <cell r="A215" t="str">
            <v>21L22-1</v>
          </cell>
          <cell r="B215">
            <v>44266</v>
          </cell>
          <cell r="C215">
            <v>44268</v>
          </cell>
          <cell r="D215" t="str">
            <v>HELIOS POWER LTD</v>
          </cell>
          <cell r="E215" t="str">
            <v>PHILIP</v>
          </cell>
          <cell r="F215" t="str">
            <v>TUG-12</v>
          </cell>
          <cell r="G215">
            <v>640</v>
          </cell>
          <cell r="H215">
            <v>753.63</v>
          </cell>
          <cell r="I215">
            <v>874.21079999999995</v>
          </cell>
          <cell r="J215">
            <v>482323.20000000001</v>
          </cell>
          <cell r="K215">
            <v>559494.91200000001</v>
          </cell>
          <cell r="L215" t="str">
            <v>GRAVEDAD</v>
          </cell>
          <cell r="N215">
            <v>0</v>
          </cell>
        </row>
        <row r="216">
          <cell r="A216" t="str">
            <v>21L25</v>
          </cell>
          <cell r="B216">
            <v>44266</v>
          </cell>
          <cell r="C216">
            <v>44273</v>
          </cell>
          <cell r="D216" t="str">
            <v>JIAXING WOERQI ELECTRICAL CO., LTD</v>
          </cell>
          <cell r="E216" t="str">
            <v>JACKY</v>
          </cell>
          <cell r="F216" t="str">
            <v>BG-15</v>
          </cell>
          <cell r="G216">
            <v>3500</v>
          </cell>
          <cell r="H216">
            <v>373.06</v>
          </cell>
          <cell r="I216">
            <v>432.74959999999999</v>
          </cell>
          <cell r="J216">
            <v>1305710</v>
          </cell>
          <cell r="K216">
            <v>1514623.5999999999</v>
          </cell>
          <cell r="L216" t="str">
            <v>GRAVEDAD</v>
          </cell>
          <cell r="N216">
            <v>0</v>
          </cell>
        </row>
        <row r="217">
          <cell r="A217" t="str">
            <v>21L25</v>
          </cell>
          <cell r="B217">
            <v>44266</v>
          </cell>
          <cell r="C217">
            <v>44273</v>
          </cell>
          <cell r="D217" t="str">
            <v>JIAXING WOERQI ELECTRICAL CO., LTD</v>
          </cell>
          <cell r="E217" t="str">
            <v>JACKY</v>
          </cell>
          <cell r="F217" t="str">
            <v>BG-12</v>
          </cell>
          <cell r="G217">
            <v>25</v>
          </cell>
          <cell r="H217">
            <v>346.42</v>
          </cell>
          <cell r="I217">
            <v>401.84719999999999</v>
          </cell>
          <cell r="J217">
            <v>8660.5</v>
          </cell>
          <cell r="K217">
            <v>10046.18</v>
          </cell>
          <cell r="L217" t="str">
            <v>GRAVEDAD</v>
          </cell>
          <cell r="N217">
            <v>0</v>
          </cell>
        </row>
        <row r="218">
          <cell r="A218" t="str">
            <v>21L25</v>
          </cell>
          <cell r="B218">
            <v>44266</v>
          </cell>
          <cell r="C218">
            <v>44273</v>
          </cell>
          <cell r="D218" t="str">
            <v>JIAXING WOERQI ELECTRICAL CO., LTD</v>
          </cell>
          <cell r="E218" t="str">
            <v>JACKY</v>
          </cell>
          <cell r="F218" t="str">
            <v>UNI-EMP-ORI</v>
          </cell>
          <cell r="G218">
            <v>5900</v>
          </cell>
          <cell r="H218">
            <v>3.32</v>
          </cell>
          <cell r="I218">
            <v>3.8511999999999995</v>
          </cell>
          <cell r="J218">
            <v>19588</v>
          </cell>
          <cell r="K218">
            <v>22722.079999999998</v>
          </cell>
          <cell r="L218" t="str">
            <v>GRAVEDAD</v>
          </cell>
          <cell r="N218">
            <v>0</v>
          </cell>
        </row>
        <row r="219">
          <cell r="A219" t="str">
            <v>21E14-21E15</v>
          </cell>
          <cell r="B219">
            <v>44271</v>
          </cell>
          <cell r="C219">
            <v>44277</v>
          </cell>
          <cell r="D219" t="str">
            <v>ZHEJIANG YILE NEW ENERGY CO.,LTD</v>
          </cell>
          <cell r="E219" t="str">
            <v>KEN</v>
          </cell>
          <cell r="F219" t="str">
            <v>TPE-10</v>
          </cell>
          <cell r="G219">
            <v>382</v>
          </cell>
          <cell r="H219">
            <v>2781.03</v>
          </cell>
          <cell r="I219">
            <v>3225.9947999999999</v>
          </cell>
          <cell r="J219">
            <v>1062353.46</v>
          </cell>
          <cell r="K219">
            <v>1232330.0135999999</v>
          </cell>
          <cell r="L219" t="str">
            <v>PRESION</v>
          </cell>
          <cell r="N219">
            <v>0</v>
          </cell>
        </row>
        <row r="220">
          <cell r="A220" t="str">
            <v>21E14-21E15</v>
          </cell>
          <cell r="B220">
            <v>44271</v>
          </cell>
          <cell r="C220">
            <v>44277</v>
          </cell>
          <cell r="D220" t="str">
            <v>ZHEJIANG YILE NEW ENERGY CO.,LTD</v>
          </cell>
          <cell r="E220" t="str">
            <v>KEN</v>
          </cell>
          <cell r="F220" t="str">
            <v>CAJA DE CARTÓN</v>
          </cell>
          <cell r="G220">
            <v>16</v>
          </cell>
          <cell r="H220">
            <v>32.799999999999997</v>
          </cell>
          <cell r="I220">
            <v>38.047999999999995</v>
          </cell>
          <cell r="J220">
            <v>524.79999999999995</v>
          </cell>
          <cell r="K220">
            <v>608.76799999999992</v>
          </cell>
          <cell r="L220" t="str">
            <v>GARANTIA</v>
          </cell>
          <cell r="N220">
            <v>0</v>
          </cell>
        </row>
        <row r="221">
          <cell r="A221" t="str">
            <v>21L20-1</v>
          </cell>
          <cell r="B221">
            <v>44271</v>
          </cell>
          <cell r="C221">
            <v>44274</v>
          </cell>
          <cell r="D221" t="str">
            <v>HAINING LEBRIA E
BUSINESS CO.</v>
          </cell>
          <cell r="E221" t="str">
            <v>EMMA</v>
          </cell>
          <cell r="F221" t="str">
            <v>TUG-12</v>
          </cell>
          <cell r="G221">
            <v>640</v>
          </cell>
          <cell r="H221">
            <v>732.67</v>
          </cell>
          <cell r="I221">
            <v>849.89719999999988</v>
          </cell>
          <cell r="J221">
            <v>468908.79999999999</v>
          </cell>
          <cell r="K221">
            <v>543934.20799999987</v>
          </cell>
          <cell r="L221" t="str">
            <v>GRAVEDAD</v>
          </cell>
          <cell r="N221">
            <v>0</v>
          </cell>
        </row>
        <row r="222">
          <cell r="A222" t="str">
            <v>21L20-1</v>
          </cell>
          <cell r="B222">
            <v>44271</v>
          </cell>
          <cell r="C222">
            <v>44274</v>
          </cell>
          <cell r="D222" t="str">
            <v>HAINING LEBRIA E
BUSINESS CO.</v>
          </cell>
          <cell r="E222" t="str">
            <v>EMMA</v>
          </cell>
          <cell r="F222" t="str">
            <v>TUG-15</v>
          </cell>
          <cell r="G222">
            <v>528</v>
          </cell>
          <cell r="H222">
            <v>915.85</v>
          </cell>
          <cell r="I222">
            <v>1062.386</v>
          </cell>
          <cell r="J222">
            <v>483568.8</v>
          </cell>
          <cell r="K222">
            <v>560939.80799999996</v>
          </cell>
          <cell r="L222" t="str">
            <v>GRAVEDAD</v>
          </cell>
          <cell r="N222">
            <v>0</v>
          </cell>
        </row>
        <row r="223">
          <cell r="A223" t="str">
            <v>21L21</v>
          </cell>
          <cell r="B223">
            <v>44272</v>
          </cell>
          <cell r="C223">
            <v>44280</v>
          </cell>
          <cell r="D223" t="str">
            <v>Haining Sunsurf New Energy Technology Co., Ltd.</v>
          </cell>
          <cell r="E223" t="str">
            <v>LEON</v>
          </cell>
          <cell r="F223" t="str">
            <v>BG-12</v>
          </cell>
          <cell r="G223">
            <v>1850</v>
          </cell>
          <cell r="H223">
            <v>385.16</v>
          </cell>
          <cell r="I223">
            <v>446.78559999999999</v>
          </cell>
          <cell r="J223">
            <v>712546</v>
          </cell>
          <cell r="K223">
            <v>826553.36</v>
          </cell>
          <cell r="L223" t="str">
            <v>GRAVEDAD</v>
          </cell>
          <cell r="N223">
            <v>0</v>
          </cell>
        </row>
        <row r="224">
          <cell r="A224" t="str">
            <v>21L21</v>
          </cell>
          <cell r="B224">
            <v>44272</v>
          </cell>
          <cell r="C224">
            <v>44280</v>
          </cell>
          <cell r="D224" t="str">
            <v>Haining Sunsurf New Energy Technology Co., Ltd.</v>
          </cell>
          <cell r="E224" t="str">
            <v>LEON</v>
          </cell>
          <cell r="F224" t="str">
            <v>CAJA DE CARTÓN</v>
          </cell>
          <cell r="G224">
            <v>1</v>
          </cell>
          <cell r="H224">
            <v>30.26</v>
          </cell>
          <cell r="I224">
            <v>35.101599999999998</v>
          </cell>
          <cell r="J224">
            <v>30.26</v>
          </cell>
          <cell r="K224">
            <v>35.101599999999998</v>
          </cell>
          <cell r="L224" t="str">
            <v>GARANTIA</v>
          </cell>
          <cell r="N224">
            <v>0</v>
          </cell>
        </row>
        <row r="225">
          <cell r="A225" t="str">
            <v>21L21</v>
          </cell>
          <cell r="B225">
            <v>44272</v>
          </cell>
          <cell r="C225">
            <v>44280</v>
          </cell>
          <cell r="D225" t="str">
            <v>Haining Sunsurf New Energy Technology Co., Ltd.</v>
          </cell>
          <cell r="E225" t="str">
            <v>LEON</v>
          </cell>
          <cell r="F225" t="str">
            <v>CAJA DE CARTÓN</v>
          </cell>
          <cell r="G225">
            <v>1</v>
          </cell>
          <cell r="H225">
            <v>30.26</v>
          </cell>
          <cell r="I225">
            <v>35.101599999999998</v>
          </cell>
          <cell r="J225">
            <v>30.26</v>
          </cell>
          <cell r="K225">
            <v>35.101599999999998</v>
          </cell>
          <cell r="L225" t="str">
            <v>GARANTIA</v>
          </cell>
          <cell r="N225">
            <v>0</v>
          </cell>
        </row>
        <row r="226">
          <cell r="A226" t="str">
            <v>21L21</v>
          </cell>
          <cell r="B226">
            <v>44272</v>
          </cell>
          <cell r="C226">
            <v>44280</v>
          </cell>
          <cell r="D226" t="str">
            <v>Haining Sunsurf New Energy Technology Co., Ltd.</v>
          </cell>
          <cell r="E226" t="str">
            <v>LEON</v>
          </cell>
          <cell r="F226" t="str">
            <v>CAJA DE CARTÓN</v>
          </cell>
          <cell r="G226">
            <v>11</v>
          </cell>
          <cell r="H226">
            <v>30.04</v>
          </cell>
          <cell r="I226">
            <v>34.846399999999996</v>
          </cell>
          <cell r="J226">
            <v>330.44</v>
          </cell>
          <cell r="K226">
            <v>383.31039999999996</v>
          </cell>
          <cell r="L226" t="str">
            <v>GARANTIA</v>
          </cell>
          <cell r="N226">
            <v>0</v>
          </cell>
        </row>
        <row r="227">
          <cell r="A227" t="str">
            <v>21L21</v>
          </cell>
          <cell r="B227">
            <v>44272</v>
          </cell>
          <cell r="C227">
            <v>44280</v>
          </cell>
          <cell r="D227" t="str">
            <v>Haining Sunsurf New Energy Technology Co., Ltd.</v>
          </cell>
          <cell r="E227" t="str">
            <v>LEON</v>
          </cell>
          <cell r="F227" t="str">
            <v>CAJA DE CARTÓN</v>
          </cell>
          <cell r="G227">
            <v>2</v>
          </cell>
          <cell r="H227">
            <v>29.93</v>
          </cell>
          <cell r="I227">
            <v>34.718799999999995</v>
          </cell>
          <cell r="J227">
            <v>59.86</v>
          </cell>
          <cell r="K227">
            <v>69.437599999999989</v>
          </cell>
          <cell r="L227" t="str">
            <v>GARANTIA</v>
          </cell>
          <cell r="N227">
            <v>0</v>
          </cell>
        </row>
        <row r="228">
          <cell r="A228" t="str">
            <v>21L21</v>
          </cell>
          <cell r="B228">
            <v>44272</v>
          </cell>
          <cell r="C228">
            <v>44280</v>
          </cell>
          <cell r="D228" t="str">
            <v>Haining Sunsurf New Energy Technology Co., Ltd.</v>
          </cell>
          <cell r="E228" t="str">
            <v>LEON</v>
          </cell>
          <cell r="F228" t="str">
            <v>CAJA DE CARTÓN</v>
          </cell>
          <cell r="G228">
            <v>2</v>
          </cell>
          <cell r="H228">
            <v>29.93</v>
          </cell>
          <cell r="I228">
            <v>34.718799999999995</v>
          </cell>
          <cell r="J228">
            <v>59.86</v>
          </cell>
          <cell r="K228">
            <v>69.437599999999989</v>
          </cell>
          <cell r="L228" t="str">
            <v>GARANTIA</v>
          </cell>
          <cell r="N228">
            <v>0</v>
          </cell>
        </row>
        <row r="229">
          <cell r="A229" t="str">
            <v>21L20-2B</v>
          </cell>
          <cell r="B229">
            <v>44274</v>
          </cell>
          <cell r="C229">
            <v>44284</v>
          </cell>
          <cell r="D229" t="str">
            <v>HAINING LEBRIA E
BUSINESS CO.</v>
          </cell>
          <cell r="E229" t="str">
            <v>EMMA</v>
          </cell>
          <cell r="F229" t="str">
            <v>TUG-08</v>
          </cell>
          <cell r="G229">
            <v>33</v>
          </cell>
          <cell r="H229">
            <v>366.25</v>
          </cell>
          <cell r="I229">
            <v>424.84999999999997</v>
          </cell>
          <cell r="J229">
            <v>12086.25</v>
          </cell>
          <cell r="K229">
            <v>14020.05</v>
          </cell>
          <cell r="L229" t="str">
            <v>GRAVEDAD</v>
          </cell>
          <cell r="N229">
            <v>0</v>
          </cell>
        </row>
        <row r="230">
          <cell r="A230" t="str">
            <v>21L20-2B</v>
          </cell>
          <cell r="B230">
            <v>44274</v>
          </cell>
          <cell r="C230">
            <v>44284</v>
          </cell>
          <cell r="D230" t="str">
            <v>HAINING LEBRIA E
BUSINESS CO.</v>
          </cell>
          <cell r="E230" t="str">
            <v>EMMA</v>
          </cell>
          <cell r="F230" t="str">
            <v>TUP-12</v>
          </cell>
          <cell r="G230">
            <v>907</v>
          </cell>
          <cell r="H230">
            <v>1348.36</v>
          </cell>
          <cell r="I230">
            <v>1564.0975999999998</v>
          </cell>
          <cell r="J230">
            <v>1222962.52</v>
          </cell>
          <cell r="K230">
            <v>1418636.5231999999</v>
          </cell>
          <cell r="L230" t="str">
            <v>PRESION</v>
          </cell>
          <cell r="N230">
            <v>0</v>
          </cell>
        </row>
        <row r="231">
          <cell r="A231" t="str">
            <v>21L20-2B</v>
          </cell>
          <cell r="B231">
            <v>44274</v>
          </cell>
          <cell r="C231">
            <v>44284</v>
          </cell>
          <cell r="D231" t="str">
            <v>HAINING LEBRIA E
BUSINESS CO.</v>
          </cell>
          <cell r="E231" t="str">
            <v>EMMA</v>
          </cell>
          <cell r="F231" t="str">
            <v>TUP-10</v>
          </cell>
          <cell r="G231">
            <v>239</v>
          </cell>
          <cell r="H231">
            <v>1123.58</v>
          </cell>
          <cell r="I231">
            <v>1303.3527999999999</v>
          </cell>
          <cell r="J231">
            <v>268535.62</v>
          </cell>
          <cell r="K231">
            <v>311501.31919999997</v>
          </cell>
          <cell r="L231" t="str">
            <v>PRESION</v>
          </cell>
          <cell r="N231">
            <v>0</v>
          </cell>
        </row>
        <row r="232">
          <cell r="A232" t="str">
            <v>21L20-2B</v>
          </cell>
          <cell r="B232">
            <v>44274</v>
          </cell>
          <cell r="C232">
            <v>44284</v>
          </cell>
          <cell r="D232" t="str">
            <v>HAINING LEBRIA E
BUSINESS CO.</v>
          </cell>
          <cell r="E232" t="str">
            <v>EMMA</v>
          </cell>
          <cell r="F232" t="str">
            <v>TUG-12</v>
          </cell>
          <cell r="G232">
            <v>103</v>
          </cell>
          <cell r="H232">
            <v>548.21</v>
          </cell>
          <cell r="I232">
            <v>635.92359999999996</v>
          </cell>
          <cell r="J232">
            <v>56465.630000000005</v>
          </cell>
          <cell r="K232">
            <v>65500.130799999999</v>
          </cell>
          <cell r="L232" t="str">
            <v>GRAVEDAD</v>
          </cell>
          <cell r="N232">
            <v>0</v>
          </cell>
        </row>
        <row r="233">
          <cell r="A233" t="str">
            <v>21L24</v>
          </cell>
          <cell r="B233">
            <v>44274</v>
          </cell>
          <cell r="C233">
            <v>44281</v>
          </cell>
          <cell r="D233" t="str">
            <v>CSP HOLDING GROUP LIMITED</v>
          </cell>
          <cell r="E233" t="str">
            <v>JESSIE</v>
          </cell>
          <cell r="F233" t="str">
            <v>TUG-15</v>
          </cell>
          <cell r="G233">
            <v>1060</v>
          </cell>
          <cell r="H233">
            <v>922.39</v>
          </cell>
          <cell r="I233">
            <v>1069.9723999999999</v>
          </cell>
          <cell r="J233">
            <v>977733.4</v>
          </cell>
          <cell r="K233">
            <v>1134170.7439999999</v>
          </cell>
          <cell r="L233" t="str">
            <v>GRAVEDAD</v>
          </cell>
          <cell r="N233">
            <v>0</v>
          </cell>
        </row>
        <row r="234">
          <cell r="A234" t="str">
            <v>21E20</v>
          </cell>
          <cell r="B234">
            <v>44277</v>
          </cell>
          <cell r="C234">
            <v>44279</v>
          </cell>
          <cell r="D234" t="str">
            <v>ZHEJIANG MINGDA COPPER CO.,LTD</v>
          </cell>
          <cell r="E234" t="str">
            <v>YOUNG</v>
          </cell>
          <cell r="F234" t="str">
            <v>PPR-ADAPMACH-3/4</v>
          </cell>
          <cell r="G234">
            <v>4000</v>
          </cell>
          <cell r="H234">
            <v>13.51</v>
          </cell>
          <cell r="I234">
            <v>15.671599999999998</v>
          </cell>
          <cell r="J234">
            <v>54040</v>
          </cell>
          <cell r="K234">
            <v>62686.399999999994</v>
          </cell>
          <cell r="L234" t="str">
            <v>MATERIAL TC</v>
          </cell>
          <cell r="N234">
            <v>0</v>
          </cell>
        </row>
        <row r="235">
          <cell r="A235" t="str">
            <v>21E20</v>
          </cell>
          <cell r="B235">
            <v>44277</v>
          </cell>
          <cell r="C235">
            <v>44279</v>
          </cell>
          <cell r="D235" t="str">
            <v>ZHEJIANG MINGDA COPPER CO.,LTD</v>
          </cell>
          <cell r="E235" t="str">
            <v>YOUNG</v>
          </cell>
          <cell r="F235" t="str">
            <v>PPR-TUB-3/4</v>
          </cell>
          <cell r="G235">
            <v>6000</v>
          </cell>
          <cell r="H235">
            <v>11.47</v>
          </cell>
          <cell r="I235">
            <v>13.305199999999999</v>
          </cell>
          <cell r="J235">
            <v>68820</v>
          </cell>
          <cell r="K235">
            <v>79831.199999999997</v>
          </cell>
          <cell r="L235" t="str">
            <v>MATERIAL TC</v>
          </cell>
          <cell r="N235">
            <v>0</v>
          </cell>
        </row>
        <row r="236">
          <cell r="A236" t="str">
            <v>21E20</v>
          </cell>
          <cell r="B236">
            <v>44277</v>
          </cell>
          <cell r="C236">
            <v>44279</v>
          </cell>
          <cell r="D236" t="str">
            <v>ZHEJIANG MINGDA COPPER CO.,LTD</v>
          </cell>
          <cell r="E236" t="str">
            <v>YOUNG</v>
          </cell>
          <cell r="F236" t="str">
            <v>PPR-VALESF-3/4</v>
          </cell>
          <cell r="G236">
            <v>1500</v>
          </cell>
          <cell r="H236">
            <v>9.2100000000000009</v>
          </cell>
          <cell r="I236">
            <v>10.6836</v>
          </cell>
          <cell r="J236">
            <v>13815.000000000002</v>
          </cell>
          <cell r="K236">
            <v>16025.4</v>
          </cell>
          <cell r="L236" t="str">
            <v>MATERIAL TC</v>
          </cell>
          <cell r="N236">
            <v>0</v>
          </cell>
        </row>
        <row r="237">
          <cell r="A237" t="str">
            <v>21E20</v>
          </cell>
          <cell r="B237">
            <v>44277</v>
          </cell>
          <cell r="C237">
            <v>44279</v>
          </cell>
          <cell r="D237" t="str">
            <v>ZHEJIANG MINGDA COPPER CO.,LTD</v>
          </cell>
          <cell r="E237" t="str">
            <v>YOUNG</v>
          </cell>
          <cell r="F237" t="str">
            <v xml:space="preserve">PPR-TUE-3/4	</v>
          </cell>
          <cell r="G237">
            <v>1000</v>
          </cell>
          <cell r="H237">
            <v>3.65</v>
          </cell>
          <cell r="I237">
            <v>4.234</v>
          </cell>
          <cell r="J237">
            <v>3650</v>
          </cell>
          <cell r="K237">
            <v>4234</v>
          </cell>
          <cell r="L237" t="str">
            <v>MATERIAL TC</v>
          </cell>
          <cell r="N237">
            <v>0</v>
          </cell>
        </row>
        <row r="238">
          <cell r="A238" t="str">
            <v>21E20</v>
          </cell>
          <cell r="B238">
            <v>44277</v>
          </cell>
          <cell r="C238">
            <v>44279</v>
          </cell>
          <cell r="D238" t="str">
            <v>ZHEJIANG MINGDA COPPER CO.,LTD</v>
          </cell>
          <cell r="E238" t="str">
            <v>YOUNG</v>
          </cell>
          <cell r="F238" t="str">
            <v>PPR-TEE-3/4</v>
          </cell>
          <cell r="G238">
            <v>1000</v>
          </cell>
          <cell r="H238">
            <v>1.73</v>
          </cell>
          <cell r="I238">
            <v>2.0067999999999997</v>
          </cell>
          <cell r="J238">
            <v>1730</v>
          </cell>
          <cell r="K238">
            <v>2006.7999999999997</v>
          </cell>
          <cell r="L238" t="str">
            <v>MATERIAL TC</v>
          </cell>
          <cell r="N238">
            <v>0</v>
          </cell>
        </row>
        <row r="239">
          <cell r="A239" t="str">
            <v>21E20</v>
          </cell>
          <cell r="B239">
            <v>44277</v>
          </cell>
          <cell r="C239">
            <v>44279</v>
          </cell>
          <cell r="D239" t="str">
            <v>ZHEJIANG MINGDA COPPER CO.,LTD</v>
          </cell>
          <cell r="E239" t="str">
            <v>YOUNG</v>
          </cell>
          <cell r="F239" t="str">
            <v>PPR-COD-3/4-90</v>
          </cell>
          <cell r="G239">
            <v>4000</v>
          </cell>
          <cell r="H239">
            <v>1.4</v>
          </cell>
          <cell r="I239">
            <v>1.6239999999999999</v>
          </cell>
          <cell r="J239">
            <v>5600</v>
          </cell>
          <cell r="K239">
            <v>6496</v>
          </cell>
          <cell r="L239" t="str">
            <v>MATERIAL TC</v>
          </cell>
          <cell r="N239">
            <v>0</v>
          </cell>
        </row>
        <row r="240">
          <cell r="A240" t="str">
            <v>21E20</v>
          </cell>
          <cell r="B240">
            <v>44277</v>
          </cell>
          <cell r="C240">
            <v>44279</v>
          </cell>
          <cell r="D240" t="str">
            <v>ZHEJIANG MINGDA COPPER CO.,LTD</v>
          </cell>
          <cell r="E240" t="str">
            <v>YOUNG</v>
          </cell>
          <cell r="F240" t="str">
            <v>PPR-COD-3/4-45</v>
          </cell>
          <cell r="G240">
            <v>1000</v>
          </cell>
          <cell r="H240">
            <v>1.17</v>
          </cell>
          <cell r="I240">
            <v>1.3571999999999997</v>
          </cell>
          <cell r="J240">
            <v>1170</v>
          </cell>
          <cell r="K240">
            <v>1357.1999999999998</v>
          </cell>
          <cell r="L240" t="str">
            <v>MATERIAL TC</v>
          </cell>
          <cell r="N240">
            <v>0</v>
          </cell>
        </row>
        <row r="241">
          <cell r="A241" t="str">
            <v>21E20</v>
          </cell>
          <cell r="B241">
            <v>44277</v>
          </cell>
          <cell r="C241">
            <v>44279</v>
          </cell>
          <cell r="D241" t="str">
            <v>ZHEJIANG MINGDA COPPER CO.,LTD</v>
          </cell>
          <cell r="E241" t="str">
            <v>YOUNG</v>
          </cell>
          <cell r="F241" t="str">
            <v>PPR-COP-3/4</v>
          </cell>
          <cell r="G241">
            <v>2000</v>
          </cell>
          <cell r="H241">
            <v>0.63</v>
          </cell>
          <cell r="I241">
            <v>0.73080000000000001</v>
          </cell>
          <cell r="J241">
            <v>1260</v>
          </cell>
          <cell r="K241">
            <v>1461.6</v>
          </cell>
          <cell r="L241" t="str">
            <v>MATERIAL TC</v>
          </cell>
          <cell r="N241">
            <v>0</v>
          </cell>
        </row>
        <row r="242">
          <cell r="A242" t="str">
            <v>21E22</v>
          </cell>
          <cell r="B242">
            <v>44277</v>
          </cell>
          <cell r="C242">
            <v>44279</v>
          </cell>
          <cell r="D242" t="str">
            <v>XIAMEN EMPERY SOLAR TECHNOLOGY CO., LTD</v>
          </cell>
          <cell r="E242" t="str">
            <v>ALICE</v>
          </cell>
          <cell r="F242" t="str">
            <v xml:space="preserve">EPR-R01	</v>
          </cell>
          <cell r="G242">
            <v>2</v>
          </cell>
          <cell r="H242">
            <v>286.26</v>
          </cell>
          <cell r="I242">
            <v>332.06159999999994</v>
          </cell>
          <cell r="J242">
            <v>572.52</v>
          </cell>
          <cell r="K242">
            <v>664.12319999999988</v>
          </cell>
          <cell r="L242" t="str">
            <v>FOTOVOLTAICO</v>
          </cell>
          <cell r="N242">
            <v>0</v>
          </cell>
        </row>
        <row r="243">
          <cell r="A243" t="str">
            <v>21E22</v>
          </cell>
          <cell r="B243">
            <v>44277</v>
          </cell>
          <cell r="C243">
            <v>44279</v>
          </cell>
          <cell r="D243" t="str">
            <v>XIAMEN EMPERY SOLAR TECHNOLOGY CO., LTD</v>
          </cell>
          <cell r="E243" t="str">
            <v>ALICE</v>
          </cell>
          <cell r="F243" t="str">
            <v xml:space="preserve">EPR-ARL	</v>
          </cell>
          <cell r="G243">
            <v>4</v>
          </cell>
          <cell r="H243">
            <v>96.78</v>
          </cell>
          <cell r="I243">
            <v>112.26479999999999</v>
          </cell>
          <cell r="J243">
            <v>387.12</v>
          </cell>
          <cell r="K243">
            <v>449.05919999999998</v>
          </cell>
          <cell r="L243" t="str">
            <v>FOTOVOLTAICO</v>
          </cell>
          <cell r="N243">
            <v>0</v>
          </cell>
        </row>
        <row r="244">
          <cell r="A244" t="str">
            <v>21E22</v>
          </cell>
          <cell r="B244">
            <v>44277</v>
          </cell>
          <cell r="C244">
            <v>44279</v>
          </cell>
          <cell r="D244" t="str">
            <v>XIAMEN EMPERY SOLAR TECHNOLOGY CO., LTD</v>
          </cell>
          <cell r="E244" t="str">
            <v>ALICE</v>
          </cell>
          <cell r="F244" t="str">
            <v>EFV-PTM-H2</v>
          </cell>
          <cell r="G244">
            <v>500</v>
          </cell>
          <cell r="H244">
            <v>96.24</v>
          </cell>
          <cell r="I244">
            <v>111.63839999999999</v>
          </cell>
          <cell r="J244">
            <v>48120</v>
          </cell>
          <cell r="K244">
            <v>55819.199999999997</v>
          </cell>
          <cell r="L244" t="str">
            <v>FOTOVOLTAICO</v>
          </cell>
          <cell r="N244">
            <v>0</v>
          </cell>
        </row>
        <row r="245">
          <cell r="A245" t="str">
            <v>21E22</v>
          </cell>
          <cell r="B245">
            <v>44277</v>
          </cell>
          <cell r="C245">
            <v>44279</v>
          </cell>
          <cell r="D245" t="str">
            <v>XIAMEN EMPERY SOLAR TECHNOLOGY CO., LTD</v>
          </cell>
          <cell r="E245" t="str">
            <v>ALICE</v>
          </cell>
          <cell r="F245" t="str">
            <v xml:space="preserve">EFV-PTE-H1	</v>
          </cell>
          <cell r="G245">
            <v>500</v>
          </cell>
          <cell r="H245">
            <v>80.8</v>
          </cell>
          <cell r="I245">
            <v>93.727999999999994</v>
          </cell>
          <cell r="J245">
            <v>40400</v>
          </cell>
          <cell r="K245">
            <v>46864</v>
          </cell>
          <cell r="L245" t="str">
            <v>FOTOVOLTAICO</v>
          </cell>
          <cell r="N245">
            <v>0</v>
          </cell>
        </row>
        <row r="246">
          <cell r="A246" t="str">
            <v>21E22</v>
          </cell>
          <cell r="B246">
            <v>44277</v>
          </cell>
          <cell r="C246">
            <v>44279</v>
          </cell>
          <cell r="D246" t="str">
            <v>XIAMEN EMPERY SOLAR TECHNOLOGY CO., LTD</v>
          </cell>
          <cell r="E246" t="str">
            <v>ALICE</v>
          </cell>
          <cell r="F246" t="str">
            <v xml:space="preserve">EFV-KR-H1	</v>
          </cell>
          <cell r="G246">
            <v>500</v>
          </cell>
          <cell r="H246">
            <v>79.97</v>
          </cell>
          <cell r="I246">
            <v>92.765199999999993</v>
          </cell>
          <cell r="J246">
            <v>39985</v>
          </cell>
          <cell r="K246">
            <v>46382.6</v>
          </cell>
          <cell r="L246" t="str">
            <v>FOTOVOLTAICO</v>
          </cell>
          <cell r="N246">
            <v>0</v>
          </cell>
        </row>
        <row r="247">
          <cell r="A247" t="str">
            <v>21E22</v>
          </cell>
          <cell r="B247">
            <v>44277</v>
          </cell>
          <cell r="C247">
            <v>44279</v>
          </cell>
          <cell r="D247" t="str">
            <v>XIAMEN EMPERY SOLAR TECHNOLOGY CO., LTD</v>
          </cell>
          <cell r="E247" t="str">
            <v>ALICE</v>
          </cell>
          <cell r="F247" t="str">
            <v xml:space="preserve">EFV-KRL-H2	</v>
          </cell>
          <cell r="G247">
            <v>500</v>
          </cell>
          <cell r="H247">
            <v>79.97</v>
          </cell>
          <cell r="I247">
            <v>92.765199999999993</v>
          </cell>
          <cell r="J247">
            <v>39985</v>
          </cell>
          <cell r="K247">
            <v>46382.6</v>
          </cell>
          <cell r="L247" t="str">
            <v>FOTOVOLTAICO</v>
          </cell>
          <cell r="N247">
            <v>0</v>
          </cell>
        </row>
        <row r="248">
          <cell r="A248" t="str">
            <v>21E22</v>
          </cell>
          <cell r="B248">
            <v>44277</v>
          </cell>
          <cell r="C248">
            <v>44279</v>
          </cell>
          <cell r="D248" t="str">
            <v>XIAMEN EMPERY SOLAR TECHNOLOGY CO., LTD</v>
          </cell>
          <cell r="E248" t="str">
            <v>ALICE</v>
          </cell>
          <cell r="F248" t="str">
            <v xml:space="preserve">EFV-KRR-H2	</v>
          </cell>
          <cell r="G248">
            <v>500</v>
          </cell>
          <cell r="H248">
            <v>79.97</v>
          </cell>
          <cell r="I248">
            <v>92.765199999999993</v>
          </cell>
          <cell r="J248">
            <v>39985</v>
          </cell>
          <cell r="K248">
            <v>46382.6</v>
          </cell>
          <cell r="L248" t="str">
            <v>FOTOVOLTAICO</v>
          </cell>
          <cell r="N248">
            <v>0</v>
          </cell>
        </row>
        <row r="249">
          <cell r="A249" t="str">
            <v>21E22</v>
          </cell>
          <cell r="B249">
            <v>44277</v>
          </cell>
          <cell r="C249">
            <v>44279</v>
          </cell>
          <cell r="D249" t="str">
            <v>XIAMEN EMPERY SOLAR TECHNOLOGY CO., LTD</v>
          </cell>
          <cell r="E249" t="str">
            <v>ALICE</v>
          </cell>
          <cell r="F249" t="str">
            <v xml:space="preserve">EFV-PDM-H2	</v>
          </cell>
          <cell r="G249">
            <v>1000</v>
          </cell>
          <cell r="H249">
            <v>67.569999999999993</v>
          </cell>
          <cell r="I249">
            <v>78.381199999999993</v>
          </cell>
          <cell r="J249">
            <v>67570</v>
          </cell>
          <cell r="K249">
            <v>78381.2</v>
          </cell>
          <cell r="L249" t="str">
            <v>FOTOVOLTAICO</v>
          </cell>
          <cell r="N249">
            <v>0</v>
          </cell>
        </row>
        <row r="250">
          <cell r="A250" t="str">
            <v>21E22</v>
          </cell>
          <cell r="B250">
            <v>44277</v>
          </cell>
          <cell r="C250">
            <v>44279</v>
          </cell>
          <cell r="D250" t="str">
            <v>XIAMEN EMPERY SOLAR TECHNOLOGY CO., LTD</v>
          </cell>
          <cell r="E250" t="str">
            <v>ALICE</v>
          </cell>
          <cell r="F250" t="str">
            <v>EFV-PT-H1</v>
          </cell>
          <cell r="G250">
            <v>500</v>
          </cell>
          <cell r="H250">
            <v>67.569999999999993</v>
          </cell>
          <cell r="I250">
            <v>78.381199999999993</v>
          </cell>
          <cell r="J250">
            <v>33785</v>
          </cell>
          <cell r="K250">
            <v>39190.6</v>
          </cell>
          <cell r="L250" t="str">
            <v>FOTOVOLTAICO</v>
          </cell>
          <cell r="N250">
            <v>0</v>
          </cell>
        </row>
        <row r="251">
          <cell r="A251" t="str">
            <v>21E22</v>
          </cell>
          <cell r="B251">
            <v>44277</v>
          </cell>
          <cell r="C251">
            <v>44279</v>
          </cell>
          <cell r="D251" t="str">
            <v>XIAMEN EMPERY SOLAR TECHNOLOGY CO., LTD</v>
          </cell>
          <cell r="E251" t="str">
            <v>ALICE</v>
          </cell>
          <cell r="F251" t="str">
            <v xml:space="preserve">EFV-PT-H2	</v>
          </cell>
          <cell r="G251">
            <v>500</v>
          </cell>
          <cell r="H251">
            <v>59.29</v>
          </cell>
          <cell r="I251">
            <v>68.776399999999995</v>
          </cell>
          <cell r="J251">
            <v>29645</v>
          </cell>
          <cell r="K251">
            <v>34388.199999999997</v>
          </cell>
          <cell r="L251" t="str">
            <v>FOTOVOLTAICO</v>
          </cell>
          <cell r="N251">
            <v>0</v>
          </cell>
        </row>
        <row r="252">
          <cell r="A252" t="str">
            <v>21E22</v>
          </cell>
          <cell r="B252">
            <v>44277</v>
          </cell>
          <cell r="C252">
            <v>44279</v>
          </cell>
          <cell r="D252" t="str">
            <v>XIAMEN EMPERY SOLAR TECHNOLOGY CO., LTD</v>
          </cell>
          <cell r="E252" t="str">
            <v>ALICE</v>
          </cell>
          <cell r="F252" t="str">
            <v>EFV-PD-H1</v>
          </cell>
          <cell r="G252">
            <v>1000</v>
          </cell>
          <cell r="H252">
            <v>48.26</v>
          </cell>
          <cell r="I252">
            <v>55.981599999999993</v>
          </cell>
          <cell r="J252">
            <v>48260</v>
          </cell>
          <cell r="K252">
            <v>55981.599999999991</v>
          </cell>
          <cell r="L252" t="str">
            <v>FOTOVOLTAICO</v>
          </cell>
          <cell r="N252">
            <v>0</v>
          </cell>
        </row>
        <row r="253">
          <cell r="A253" t="str">
            <v>21E22</v>
          </cell>
          <cell r="B253">
            <v>44277</v>
          </cell>
          <cell r="C253">
            <v>44279</v>
          </cell>
          <cell r="D253" t="str">
            <v>XIAMEN EMPERY SOLAR TECHNOLOGY CO., LTD</v>
          </cell>
          <cell r="E253" t="str">
            <v>ALICE</v>
          </cell>
          <cell r="F253" t="str">
            <v xml:space="preserve">EFV-PD-H2	</v>
          </cell>
          <cell r="G253">
            <v>1000</v>
          </cell>
          <cell r="H253">
            <v>48.26</v>
          </cell>
          <cell r="I253">
            <v>55.981599999999993</v>
          </cell>
          <cell r="J253">
            <v>48260</v>
          </cell>
          <cell r="K253">
            <v>55981.599999999991</v>
          </cell>
          <cell r="L253" t="str">
            <v>FOTOVOLTAICO</v>
          </cell>
          <cell r="N253">
            <v>0</v>
          </cell>
        </row>
        <row r="254">
          <cell r="A254" t="str">
            <v>21E22</v>
          </cell>
          <cell r="B254">
            <v>44277</v>
          </cell>
          <cell r="C254">
            <v>44279</v>
          </cell>
          <cell r="D254" t="str">
            <v>XIAMEN EMPERY SOLAR TECHNOLOGY CO., LTD</v>
          </cell>
          <cell r="E254" t="str">
            <v>ALICE</v>
          </cell>
          <cell r="F254" t="str">
            <v xml:space="preserve">EPR-AFL	</v>
          </cell>
          <cell r="G254">
            <v>4</v>
          </cell>
          <cell r="H254">
            <v>28.64</v>
          </cell>
          <cell r="I254">
            <v>33.2224</v>
          </cell>
          <cell r="J254">
            <v>114.56</v>
          </cell>
          <cell r="K254">
            <v>132.8896</v>
          </cell>
          <cell r="L254" t="str">
            <v>FOTOVOLTAICO</v>
          </cell>
          <cell r="N254">
            <v>0</v>
          </cell>
        </row>
        <row r="255">
          <cell r="A255" t="str">
            <v>21E22</v>
          </cell>
          <cell r="B255">
            <v>44277</v>
          </cell>
          <cell r="C255">
            <v>44279</v>
          </cell>
          <cell r="D255" t="str">
            <v>XIAMEN EMPERY SOLAR TECHNOLOGY CO., LTD</v>
          </cell>
          <cell r="E255" t="str">
            <v>ALICE</v>
          </cell>
          <cell r="F255" t="str">
            <v>EPR-GL</v>
          </cell>
          <cell r="G255">
            <v>2</v>
          </cell>
          <cell r="H255">
            <v>12.63</v>
          </cell>
          <cell r="I255">
            <v>14.6508</v>
          </cell>
          <cell r="J255">
            <v>25.26</v>
          </cell>
          <cell r="K255">
            <v>29.301600000000001</v>
          </cell>
          <cell r="L255" t="str">
            <v>FOTOVOLTAICO</v>
          </cell>
          <cell r="N255">
            <v>0</v>
          </cell>
        </row>
        <row r="256">
          <cell r="A256" t="str">
            <v>21E22</v>
          </cell>
          <cell r="B256">
            <v>44277</v>
          </cell>
          <cell r="C256">
            <v>44279</v>
          </cell>
          <cell r="D256" t="str">
            <v>XIAMEN EMPERY SOLAR TECHNOLOGY CO., LTD</v>
          </cell>
          <cell r="E256" t="str">
            <v>ALICE</v>
          </cell>
          <cell r="F256" t="str">
            <v xml:space="preserve">EPR-MC01-40	</v>
          </cell>
          <cell r="G256">
            <v>6</v>
          </cell>
          <cell r="H256">
            <v>8.73</v>
          </cell>
          <cell r="I256">
            <v>10.126799999999999</v>
          </cell>
          <cell r="J256">
            <v>52.38</v>
          </cell>
          <cell r="K256">
            <v>60.760799999999996</v>
          </cell>
          <cell r="L256" t="str">
            <v>FOTOVOLTAICO</v>
          </cell>
          <cell r="N256">
            <v>0</v>
          </cell>
        </row>
        <row r="257">
          <cell r="A257" t="str">
            <v>21E22</v>
          </cell>
          <cell r="B257">
            <v>44277</v>
          </cell>
          <cell r="C257">
            <v>44279</v>
          </cell>
          <cell r="D257" t="str">
            <v>XIAMEN EMPERY SOLAR TECHNOLOGY CO., LTD</v>
          </cell>
          <cell r="E257" t="str">
            <v>ALICE</v>
          </cell>
          <cell r="F257" t="str">
            <v xml:space="preserve">EPR-EC01-40	</v>
          </cell>
          <cell r="G257">
            <v>4</v>
          </cell>
          <cell r="H257">
            <v>8.65</v>
          </cell>
          <cell r="I257">
            <v>10.033999999999999</v>
          </cell>
          <cell r="J257">
            <v>34.6</v>
          </cell>
          <cell r="K257">
            <v>40.135999999999996</v>
          </cell>
          <cell r="L257" t="str">
            <v>FOTOVOLTAICO</v>
          </cell>
          <cell r="N257">
            <v>0</v>
          </cell>
        </row>
        <row r="258">
          <cell r="A258" t="str">
            <v>21E22</v>
          </cell>
          <cell r="B258">
            <v>44277</v>
          </cell>
          <cell r="C258">
            <v>44279</v>
          </cell>
          <cell r="D258" t="str">
            <v>XIAMEN EMPERY SOLAR TECHNOLOGY CO., LTD</v>
          </cell>
          <cell r="E258" t="str">
            <v>ALICE</v>
          </cell>
          <cell r="F258" t="str">
            <v xml:space="preserve">EPR-EB	</v>
          </cell>
          <cell r="G258">
            <v>8</v>
          </cell>
          <cell r="H258">
            <v>8.2100000000000009</v>
          </cell>
          <cell r="I258">
            <v>9.5236000000000001</v>
          </cell>
          <cell r="J258">
            <v>65.680000000000007</v>
          </cell>
          <cell r="K258">
            <v>76.188800000000001</v>
          </cell>
          <cell r="L258" t="str">
            <v>FOTOVOLTAICO</v>
          </cell>
          <cell r="N258">
            <v>0</v>
          </cell>
        </row>
        <row r="259">
          <cell r="A259" t="str">
            <v>21E22</v>
          </cell>
          <cell r="B259">
            <v>44277</v>
          </cell>
          <cell r="C259">
            <v>44279</v>
          </cell>
          <cell r="D259" t="str">
            <v>XIAMEN EMPERY SOLAR TECHNOLOGY CO., LTD</v>
          </cell>
          <cell r="E259" t="str">
            <v>ALICE</v>
          </cell>
          <cell r="F259" t="str">
            <v>FV-TAQEXP-INOX-5/16</v>
          </cell>
          <cell r="G259">
            <v>5000</v>
          </cell>
          <cell r="H259">
            <v>7.93</v>
          </cell>
          <cell r="I259">
            <v>9.1987999999999985</v>
          </cell>
          <cell r="J259">
            <v>39650</v>
          </cell>
          <cell r="K259">
            <v>45993.999999999993</v>
          </cell>
          <cell r="L259" t="str">
            <v>FOTOVOLTAICO</v>
          </cell>
          <cell r="N259">
            <v>0</v>
          </cell>
        </row>
        <row r="260">
          <cell r="A260" t="str">
            <v>21E22</v>
          </cell>
          <cell r="B260">
            <v>44277</v>
          </cell>
          <cell r="C260">
            <v>44279</v>
          </cell>
          <cell r="D260" t="str">
            <v>XIAMEN EMPERY SOLAR TECHNOLOGY CO., LTD</v>
          </cell>
          <cell r="E260" t="str">
            <v>ALICE</v>
          </cell>
          <cell r="F260" t="str">
            <v xml:space="preserve">EPR-GC	</v>
          </cell>
          <cell r="G260">
            <v>6</v>
          </cell>
          <cell r="H260">
            <v>2.5499999999999998</v>
          </cell>
          <cell r="I260">
            <v>2.9579999999999997</v>
          </cell>
          <cell r="J260">
            <v>15.299999999999999</v>
          </cell>
          <cell r="K260">
            <v>17.747999999999998</v>
          </cell>
          <cell r="L260" t="str">
            <v>FOTOVOLTAICO</v>
          </cell>
          <cell r="N260">
            <v>0</v>
          </cell>
        </row>
        <row r="261">
          <cell r="A261" t="str">
            <v>21L27</v>
          </cell>
          <cell r="B261">
            <v>44291</v>
          </cell>
          <cell r="C261">
            <v>44293</v>
          </cell>
          <cell r="D261" t="str">
            <v>JIAXING WOERQI ELECTRICAL CO., LTD</v>
          </cell>
          <cell r="E261" t="str">
            <v>JACKY</v>
          </cell>
          <cell r="F261" t="str">
            <v>M-BG-30</v>
          </cell>
          <cell r="G261">
            <v>2</v>
          </cell>
          <cell r="H261">
            <v>570.59</v>
          </cell>
          <cell r="I261">
            <v>661.88440000000003</v>
          </cell>
          <cell r="J261">
            <v>1141.18</v>
          </cell>
          <cell r="K261">
            <v>1323.7688000000001</v>
          </cell>
          <cell r="L261" t="str">
            <v>MUESTRA</v>
          </cell>
          <cell r="N261">
            <v>0</v>
          </cell>
        </row>
        <row r="262">
          <cell r="A262" t="str">
            <v>21L27</v>
          </cell>
          <cell r="B262">
            <v>44291</v>
          </cell>
          <cell r="C262">
            <v>44293</v>
          </cell>
          <cell r="D262" t="str">
            <v>JIAXING WOERQI ELECTRICAL CO., LTD</v>
          </cell>
          <cell r="E262" t="str">
            <v>JACKY</v>
          </cell>
          <cell r="F262" t="str">
            <v>M-BG-24</v>
          </cell>
          <cell r="G262">
            <v>2</v>
          </cell>
          <cell r="H262">
            <v>542.77</v>
          </cell>
          <cell r="I262">
            <v>629.61319999999989</v>
          </cell>
          <cell r="J262">
            <v>1085.54</v>
          </cell>
          <cell r="K262">
            <v>1259.2263999999998</v>
          </cell>
          <cell r="L262" t="str">
            <v>MUESTRA</v>
          </cell>
          <cell r="N262">
            <v>0</v>
          </cell>
        </row>
        <row r="263">
          <cell r="A263" t="str">
            <v>21L27</v>
          </cell>
          <cell r="B263">
            <v>44291</v>
          </cell>
          <cell r="C263">
            <v>44293</v>
          </cell>
          <cell r="D263" t="str">
            <v>JIAXING WOERQI ELECTRICAL CO., LTD</v>
          </cell>
          <cell r="E263" t="str">
            <v>JACKY</v>
          </cell>
          <cell r="F263" t="str">
            <v>M-BG-12-SS</v>
          </cell>
          <cell r="G263">
            <v>1</v>
          </cell>
          <cell r="H263">
            <v>420.08</v>
          </cell>
          <cell r="I263">
            <v>487.29279999999994</v>
          </cell>
          <cell r="J263">
            <v>420.08</v>
          </cell>
          <cell r="K263">
            <v>487.29279999999994</v>
          </cell>
          <cell r="L263" t="str">
            <v>MUESTRA</v>
          </cell>
          <cell r="N263">
            <v>0</v>
          </cell>
        </row>
        <row r="264">
          <cell r="A264" t="str">
            <v>21L27</v>
          </cell>
          <cell r="B264">
            <v>44291</v>
          </cell>
          <cell r="C264">
            <v>44293</v>
          </cell>
          <cell r="D264" t="str">
            <v>JIAXING WOERQI ELECTRICAL CO., LTD</v>
          </cell>
          <cell r="E264" t="str">
            <v>JACKY</v>
          </cell>
          <cell r="F264" t="str">
            <v>M-BG-20</v>
          </cell>
          <cell r="G264">
            <v>2</v>
          </cell>
          <cell r="H264">
            <v>369.41</v>
          </cell>
          <cell r="I264">
            <v>428.51560000000001</v>
          </cell>
          <cell r="J264">
            <v>738.82</v>
          </cell>
          <cell r="K264">
            <v>857.03120000000001</v>
          </cell>
          <cell r="L264" t="str">
            <v>MUESTRA</v>
          </cell>
          <cell r="N264">
            <v>0</v>
          </cell>
        </row>
        <row r="265">
          <cell r="A265" t="str">
            <v>21L27</v>
          </cell>
          <cell r="B265">
            <v>44291</v>
          </cell>
          <cell r="C265">
            <v>44293</v>
          </cell>
          <cell r="D265" t="str">
            <v>JIAXING WOERQI ELECTRICAL CO., LTD</v>
          </cell>
          <cell r="E265" t="str">
            <v>JACKY</v>
          </cell>
          <cell r="F265" t="str">
            <v>M-BG-18</v>
          </cell>
          <cell r="G265">
            <v>2</v>
          </cell>
          <cell r="H265">
            <v>352.82</v>
          </cell>
          <cell r="I265">
            <v>409.27119999999996</v>
          </cell>
          <cell r="J265">
            <v>705.64</v>
          </cell>
          <cell r="K265">
            <v>818.54239999999993</v>
          </cell>
          <cell r="L265" t="str">
            <v>MUESTRA</v>
          </cell>
          <cell r="N265">
            <v>0</v>
          </cell>
        </row>
        <row r="266">
          <cell r="A266" t="str">
            <v>21L27</v>
          </cell>
          <cell r="B266">
            <v>44291</v>
          </cell>
          <cell r="C266">
            <v>44293</v>
          </cell>
          <cell r="D266" t="str">
            <v>JIAXING WOERQI ELECTRICAL CO., LTD</v>
          </cell>
          <cell r="E266" t="str">
            <v>JACKY</v>
          </cell>
          <cell r="F266" t="str">
            <v>BG-12</v>
          </cell>
          <cell r="G266">
            <v>1300</v>
          </cell>
          <cell r="H266">
            <v>347.35</v>
          </cell>
          <cell r="I266">
            <v>402.92599999999999</v>
          </cell>
          <cell r="J266">
            <v>451555.00000000006</v>
          </cell>
          <cell r="K266">
            <v>523803.8</v>
          </cell>
          <cell r="L266" t="str">
            <v>GRAVEDAD</v>
          </cell>
          <cell r="N266">
            <v>0</v>
          </cell>
        </row>
        <row r="267">
          <cell r="A267" t="str">
            <v>21L27</v>
          </cell>
          <cell r="B267">
            <v>44291</v>
          </cell>
          <cell r="C267">
            <v>44293</v>
          </cell>
          <cell r="D267" t="str">
            <v>JIAXING WOERQI ELECTRICAL CO., LTD</v>
          </cell>
          <cell r="E267" t="str">
            <v>JACKY</v>
          </cell>
          <cell r="F267" t="str">
            <v>BG-12</v>
          </cell>
          <cell r="G267">
            <v>46</v>
          </cell>
          <cell r="H267">
            <v>347.35</v>
          </cell>
          <cell r="I267">
            <v>402.92599999999999</v>
          </cell>
          <cell r="J267">
            <v>15978.1</v>
          </cell>
          <cell r="K267">
            <v>18534.595999999998</v>
          </cell>
          <cell r="L267" t="str">
            <v>GRAVEDAD</v>
          </cell>
          <cell r="N267">
            <v>0</v>
          </cell>
        </row>
        <row r="268">
          <cell r="A268" t="str">
            <v>21L27</v>
          </cell>
          <cell r="B268">
            <v>44291</v>
          </cell>
          <cell r="C268">
            <v>44293</v>
          </cell>
          <cell r="D268" t="str">
            <v>JIAXING WOERQI ELECTRICAL CO., LTD</v>
          </cell>
          <cell r="E268" t="str">
            <v>JACKY</v>
          </cell>
          <cell r="F268" t="str">
            <v>BG-10</v>
          </cell>
          <cell r="G268">
            <v>450</v>
          </cell>
          <cell r="H268">
            <v>339.6</v>
          </cell>
          <cell r="I268">
            <v>393.93599999999998</v>
          </cell>
          <cell r="J268">
            <v>152820</v>
          </cell>
          <cell r="K268">
            <v>177271.19999999998</v>
          </cell>
          <cell r="L268" t="str">
            <v>GRAVEDAD</v>
          </cell>
          <cell r="N268">
            <v>0</v>
          </cell>
        </row>
        <row r="269">
          <cell r="A269" t="str">
            <v>21L27</v>
          </cell>
          <cell r="B269">
            <v>44291</v>
          </cell>
          <cell r="C269">
            <v>44293</v>
          </cell>
          <cell r="D269" t="str">
            <v>JIAXING WOERQI ELECTRICAL CO., LTD</v>
          </cell>
          <cell r="E269" t="str">
            <v>JACKY</v>
          </cell>
          <cell r="F269" t="str">
            <v>CAJA DE CARTÓN</v>
          </cell>
          <cell r="G269">
            <v>117</v>
          </cell>
          <cell r="H269">
            <v>29.72</v>
          </cell>
          <cell r="I269">
            <v>34.475199999999994</v>
          </cell>
          <cell r="J269">
            <v>3477.24</v>
          </cell>
          <cell r="K269">
            <v>4033.5983999999994</v>
          </cell>
          <cell r="L269" t="str">
            <v>GARANTIA</v>
          </cell>
          <cell r="N269">
            <v>0</v>
          </cell>
        </row>
        <row r="270">
          <cell r="A270" t="str">
            <v>21L28</v>
          </cell>
          <cell r="B270">
            <v>44291</v>
          </cell>
          <cell r="C270">
            <v>44295</v>
          </cell>
          <cell r="D270" t="str">
            <v>HELIOS POWER LTD</v>
          </cell>
          <cell r="E270" t="str">
            <v>PHILIP</v>
          </cell>
          <cell r="F270" t="str">
            <v>TUG-12</v>
          </cell>
          <cell r="G270">
            <v>1282</v>
          </cell>
          <cell r="H270">
            <v>737.7</v>
          </cell>
          <cell r="I270">
            <v>855.73199999999997</v>
          </cell>
          <cell r="J270">
            <v>945731.4</v>
          </cell>
          <cell r="K270">
            <v>1097048.4239999999</v>
          </cell>
          <cell r="L270" t="str">
            <v>GRAVEDAD</v>
          </cell>
          <cell r="N270">
            <v>0</v>
          </cell>
        </row>
        <row r="271">
          <cell r="A271" t="str">
            <v>21E18</v>
          </cell>
          <cell r="B271">
            <v>44307</v>
          </cell>
          <cell r="C271">
            <v>44308</v>
          </cell>
          <cell r="D271" t="str">
            <v>ZHONGSHAN HANBANG ELECTRIC APPLIANCE CO.LTD</v>
          </cell>
          <cell r="E271" t="str">
            <v>WINDY</v>
          </cell>
          <cell r="F271" t="str">
            <v>PLP-5</v>
          </cell>
          <cell r="G271">
            <v>250</v>
          </cell>
          <cell r="H271">
            <v>1643.49</v>
          </cell>
          <cell r="I271">
            <v>1906.4484</v>
          </cell>
          <cell r="J271">
            <v>410872.5</v>
          </cell>
          <cell r="K271">
            <v>476612.1</v>
          </cell>
          <cell r="L271" t="str">
            <v>GAS</v>
          </cell>
          <cell r="N271">
            <v>0</v>
          </cell>
        </row>
        <row r="272">
          <cell r="A272" t="str">
            <v>21E24</v>
          </cell>
          <cell r="B272">
            <v>44307</v>
          </cell>
          <cell r="C272">
            <v>44308</v>
          </cell>
          <cell r="D272" t="str">
            <v>QINGDAO NORTHERNE ELECTRIC AND POWER CO.,LTD</v>
          </cell>
          <cell r="E272" t="str">
            <v>JUDY</v>
          </cell>
          <cell r="F272" t="str">
            <v>BDM-300X2LV</v>
          </cell>
          <cell r="G272">
            <v>650</v>
          </cell>
          <cell r="H272">
            <v>2844.55</v>
          </cell>
          <cell r="I272">
            <v>3299.6779999999999</v>
          </cell>
          <cell r="J272">
            <v>1848957.5000000002</v>
          </cell>
          <cell r="K272">
            <v>2144790.6999999997</v>
          </cell>
          <cell r="L272" t="str">
            <v>FOTOVOLTAICO</v>
          </cell>
          <cell r="N272">
            <v>0</v>
          </cell>
        </row>
        <row r="273">
          <cell r="A273" t="str">
            <v>21E24</v>
          </cell>
          <cell r="B273">
            <v>44307</v>
          </cell>
          <cell r="C273">
            <v>44308</v>
          </cell>
          <cell r="D273" t="str">
            <v>QINGDAO NORTHERNE ELECTRIC AND POWER CO.,LTD</v>
          </cell>
          <cell r="E273" t="str">
            <v>JUDY</v>
          </cell>
          <cell r="F273" t="str">
            <v>BDM-250LV</v>
          </cell>
          <cell r="G273">
            <v>50</v>
          </cell>
          <cell r="H273">
            <v>1845.22</v>
          </cell>
          <cell r="I273">
            <v>2140.4551999999999</v>
          </cell>
          <cell r="J273">
            <v>92261</v>
          </cell>
          <cell r="K273">
            <v>107022.76</v>
          </cell>
          <cell r="L273" t="str">
            <v>FOTOVOLTAICO</v>
          </cell>
          <cell r="N273">
            <v>0</v>
          </cell>
        </row>
        <row r="274">
          <cell r="A274" t="str">
            <v>21E25</v>
          </cell>
          <cell r="B274">
            <v>44319</v>
          </cell>
          <cell r="C274">
            <v>44321</v>
          </cell>
          <cell r="D274" t="str">
            <v>Haining Sunsurf New Energy Technology Co., Ltd.</v>
          </cell>
          <cell r="E274" t="str">
            <v>LEON</v>
          </cell>
          <cell r="F274" t="str">
            <v>TPE-20</v>
          </cell>
          <cell r="G274">
            <v>100</v>
          </cell>
          <cell r="H274">
            <v>4847.59</v>
          </cell>
          <cell r="I274">
            <v>5623.2043999999996</v>
          </cell>
          <cell r="J274">
            <v>484759</v>
          </cell>
          <cell r="K274">
            <v>562320.43999999994</v>
          </cell>
          <cell r="L274" t="str">
            <v>PRESION</v>
          </cell>
          <cell r="N274">
            <v>0</v>
          </cell>
        </row>
        <row r="275">
          <cell r="A275" t="str">
            <v>21E25</v>
          </cell>
          <cell r="B275">
            <v>44319</v>
          </cell>
          <cell r="C275">
            <v>44321</v>
          </cell>
          <cell r="D275" t="str">
            <v>Haining Sunsurf New Energy Technology Co., Ltd.</v>
          </cell>
          <cell r="E275" t="str">
            <v>LEON</v>
          </cell>
          <cell r="F275" t="str">
            <v>VENA-CHP-FRIA</v>
          </cell>
          <cell r="G275">
            <v>88</v>
          </cell>
          <cell r="H275">
            <v>66.92</v>
          </cell>
          <cell r="I275">
            <v>77.627200000000002</v>
          </cell>
          <cell r="J275">
            <v>5888.96</v>
          </cell>
          <cell r="K275">
            <v>6831.1936000000005</v>
          </cell>
          <cell r="L275" t="str">
            <v>PRESION</v>
          </cell>
          <cell r="N275">
            <v>0</v>
          </cell>
        </row>
        <row r="276">
          <cell r="A276" t="str">
            <v>21E25</v>
          </cell>
          <cell r="B276">
            <v>44319</v>
          </cell>
          <cell r="C276">
            <v>44321</v>
          </cell>
          <cell r="D276" t="str">
            <v>Haining Sunsurf New Energy Technology Co., Ltd.</v>
          </cell>
          <cell r="E276" t="str">
            <v>LEON</v>
          </cell>
          <cell r="F276" t="str">
            <v>CAJA DE CARTÓN</v>
          </cell>
          <cell r="G276">
            <v>2</v>
          </cell>
          <cell r="H276">
            <v>30.97</v>
          </cell>
          <cell r="I276">
            <v>35.925199999999997</v>
          </cell>
          <cell r="J276">
            <v>61.94</v>
          </cell>
          <cell r="K276">
            <v>71.850399999999993</v>
          </cell>
          <cell r="L276" t="str">
            <v>GARANTIA</v>
          </cell>
          <cell r="N276">
            <v>0</v>
          </cell>
        </row>
        <row r="277">
          <cell r="A277" t="str">
            <v>21E25</v>
          </cell>
          <cell r="B277">
            <v>44319</v>
          </cell>
          <cell r="C277">
            <v>44321</v>
          </cell>
          <cell r="D277" t="str">
            <v>Haining Sunsurf New Energy Technology Co., Ltd.</v>
          </cell>
          <cell r="E277" t="str">
            <v>LEON</v>
          </cell>
          <cell r="F277" t="str">
            <v>VENA-CHP-CALIENTE</v>
          </cell>
          <cell r="G277">
            <v>200</v>
          </cell>
          <cell r="H277">
            <v>23.25</v>
          </cell>
          <cell r="I277">
            <v>26.97</v>
          </cell>
          <cell r="J277">
            <v>4650</v>
          </cell>
          <cell r="K277">
            <v>5394</v>
          </cell>
          <cell r="L277" t="str">
            <v>PRESION</v>
          </cell>
          <cell r="N277">
            <v>0</v>
          </cell>
        </row>
        <row r="278">
          <cell r="A278" t="str">
            <v>21L29</v>
          </cell>
          <cell r="B278">
            <v>44319</v>
          </cell>
          <cell r="C278">
            <v>44321</v>
          </cell>
          <cell r="D278" t="str">
            <v>JIAXING WOERQI ELECTRICAL CO., LTD</v>
          </cell>
          <cell r="E278" t="str">
            <v>JACKY</v>
          </cell>
          <cell r="F278" t="str">
            <v>BG-18</v>
          </cell>
          <cell r="G278">
            <v>250</v>
          </cell>
          <cell r="H278">
            <v>372.16</v>
          </cell>
          <cell r="I278">
            <v>431.7056</v>
          </cell>
          <cell r="J278">
            <v>93040</v>
          </cell>
          <cell r="K278">
            <v>107926.39999999999</v>
          </cell>
          <cell r="L278" t="str">
            <v>GRAVEDAD</v>
          </cell>
          <cell r="N278">
            <v>0</v>
          </cell>
        </row>
        <row r="279">
          <cell r="A279" t="str">
            <v>21L29</v>
          </cell>
          <cell r="B279">
            <v>44319</v>
          </cell>
          <cell r="C279">
            <v>44321</v>
          </cell>
          <cell r="D279" t="str">
            <v>JIAXING WOERQI ELECTRICAL CO., LTD</v>
          </cell>
          <cell r="E279" t="str">
            <v>JACKY</v>
          </cell>
          <cell r="F279" t="str">
            <v>BG-12</v>
          </cell>
          <cell r="G279">
            <v>1300</v>
          </cell>
          <cell r="H279">
            <v>342.4</v>
          </cell>
          <cell r="I279">
            <v>397.18399999999997</v>
          </cell>
          <cell r="J279">
            <v>445119.99999999994</v>
          </cell>
          <cell r="K279">
            <v>516339.19999999995</v>
          </cell>
          <cell r="L279" t="str">
            <v>GRAVEDAD</v>
          </cell>
          <cell r="N279">
            <v>0</v>
          </cell>
        </row>
        <row r="280">
          <cell r="A280" t="str">
            <v>21L29</v>
          </cell>
          <cell r="B280">
            <v>44319</v>
          </cell>
          <cell r="C280">
            <v>44321</v>
          </cell>
          <cell r="D280" t="str">
            <v>JIAXING WOERQI ELECTRICAL CO., LTD</v>
          </cell>
          <cell r="E280" t="str">
            <v>JACKY</v>
          </cell>
          <cell r="F280" t="str">
            <v>BG-10</v>
          </cell>
          <cell r="G280">
            <v>150</v>
          </cell>
          <cell r="H280">
            <v>332.74</v>
          </cell>
          <cell r="I280">
            <v>385.97839999999997</v>
          </cell>
          <cell r="J280">
            <v>49911</v>
          </cell>
          <cell r="K280">
            <v>57896.759999999995</v>
          </cell>
          <cell r="L280" t="str">
            <v>GRAVEDAD</v>
          </cell>
          <cell r="N280">
            <v>0</v>
          </cell>
        </row>
        <row r="281">
          <cell r="A281" t="str">
            <v>21L29</v>
          </cell>
          <cell r="B281">
            <v>44319</v>
          </cell>
          <cell r="C281">
            <v>44321</v>
          </cell>
          <cell r="D281" t="str">
            <v>JIAXING WOERQI ELECTRICAL CO., LTD</v>
          </cell>
          <cell r="E281" t="str">
            <v>JACKY</v>
          </cell>
          <cell r="F281" t="str">
            <v>M-BP-12</v>
          </cell>
          <cell r="G281">
            <v>1</v>
          </cell>
          <cell r="H281">
            <v>330.21</v>
          </cell>
          <cell r="I281">
            <v>383.04359999999997</v>
          </cell>
          <cell r="J281">
            <v>330.21</v>
          </cell>
          <cell r="K281">
            <v>383.04359999999997</v>
          </cell>
          <cell r="L281" t="str">
            <v>MUESTRA</v>
          </cell>
          <cell r="N281">
            <v>0</v>
          </cell>
        </row>
        <row r="282">
          <cell r="A282" t="str">
            <v>21L32</v>
          </cell>
          <cell r="B282">
            <v>44319</v>
          </cell>
          <cell r="C282">
            <v>44320</v>
          </cell>
          <cell r="D282" t="str">
            <v>CSP HOLDING GROUP LIMITED</v>
          </cell>
          <cell r="E282" t="str">
            <v>JESSIE</v>
          </cell>
          <cell r="F282" t="str">
            <v>TUG-08</v>
          </cell>
          <cell r="G282">
            <v>302</v>
          </cell>
          <cell r="H282">
            <v>453.31</v>
          </cell>
          <cell r="I282">
            <v>525.83960000000002</v>
          </cell>
          <cell r="J282">
            <v>136899.62</v>
          </cell>
          <cell r="K282">
            <v>158803.55920000002</v>
          </cell>
          <cell r="L282" t="str">
            <v>GRAVEDAD</v>
          </cell>
          <cell r="N282">
            <v>0</v>
          </cell>
        </row>
        <row r="283">
          <cell r="A283" t="str">
            <v>21L32</v>
          </cell>
          <cell r="B283">
            <v>44319</v>
          </cell>
          <cell r="C283">
            <v>44320</v>
          </cell>
          <cell r="D283" t="str">
            <v>CSP HOLDING GROUP LIMITED</v>
          </cell>
          <cell r="E283" t="str">
            <v>JESSIE</v>
          </cell>
          <cell r="F283" t="str">
            <v>TUG-10</v>
          </cell>
          <cell r="G283">
            <v>299</v>
          </cell>
          <cell r="H283">
            <v>566.91999999999996</v>
          </cell>
          <cell r="I283">
            <v>657.6271999999999</v>
          </cell>
          <cell r="J283">
            <v>169509.08</v>
          </cell>
          <cell r="K283">
            <v>196630.53279999996</v>
          </cell>
          <cell r="L283" t="str">
            <v>GRAVEDAD</v>
          </cell>
          <cell r="N283">
            <v>0</v>
          </cell>
        </row>
        <row r="284">
          <cell r="A284" t="str">
            <v>21L32</v>
          </cell>
          <cell r="B284">
            <v>44319</v>
          </cell>
          <cell r="C284">
            <v>44320</v>
          </cell>
          <cell r="D284" t="str">
            <v>CSP HOLDING GROUP LIMITED</v>
          </cell>
          <cell r="E284" t="str">
            <v>JESSIE</v>
          </cell>
          <cell r="F284" t="str">
            <v>TUG-12</v>
          </cell>
          <cell r="G284">
            <v>841</v>
          </cell>
          <cell r="H284">
            <v>680.15</v>
          </cell>
          <cell r="I284">
            <v>788.97399999999993</v>
          </cell>
          <cell r="J284">
            <v>572006.15</v>
          </cell>
          <cell r="K284">
            <v>663527.13399999996</v>
          </cell>
          <cell r="L284" t="str">
            <v>GRAVEDAD</v>
          </cell>
          <cell r="N284">
            <v>0</v>
          </cell>
        </row>
        <row r="285">
          <cell r="A285" t="str">
            <v>21L33-21L49</v>
          </cell>
          <cell r="B285">
            <v>44319</v>
          </cell>
          <cell r="C285">
            <v>44320</v>
          </cell>
          <cell r="D285" t="str">
            <v>CSP HOLDING GROUP LIMITED</v>
          </cell>
          <cell r="E285" t="str">
            <v>JESSIE</v>
          </cell>
          <cell r="F285" t="str">
            <v>TUG-10</v>
          </cell>
          <cell r="G285">
            <v>754</v>
          </cell>
          <cell r="H285">
            <v>556.83000000000004</v>
          </cell>
          <cell r="I285">
            <v>645.92280000000005</v>
          </cell>
          <cell r="J285">
            <v>419849.82</v>
          </cell>
          <cell r="K285">
            <v>487025.79120000004</v>
          </cell>
          <cell r="L285" t="str">
            <v>GRAVEDAD</v>
          </cell>
          <cell r="N285">
            <v>0</v>
          </cell>
        </row>
        <row r="286">
          <cell r="A286" t="str">
            <v>21L33-21L49</v>
          </cell>
          <cell r="B286">
            <v>44319</v>
          </cell>
          <cell r="C286">
            <v>44320</v>
          </cell>
          <cell r="D286" t="str">
            <v>CSP HOLDING GROUP LIMITED</v>
          </cell>
          <cell r="E286" t="str">
            <v>JESSIE</v>
          </cell>
          <cell r="F286" t="str">
            <v>TUG-10</v>
          </cell>
          <cell r="G286">
            <v>202</v>
          </cell>
          <cell r="H286">
            <v>556.83000000000004</v>
          </cell>
          <cell r="I286">
            <v>645.92280000000005</v>
          </cell>
          <cell r="J286">
            <v>112479.66</v>
          </cell>
          <cell r="K286">
            <v>130476.40560000001</v>
          </cell>
          <cell r="L286" t="str">
            <v>GRAVEDAD</v>
          </cell>
          <cell r="N286">
            <v>0</v>
          </cell>
        </row>
        <row r="287">
          <cell r="A287" t="str">
            <v>21L33-21L49</v>
          </cell>
          <cell r="B287">
            <v>44319</v>
          </cell>
          <cell r="C287">
            <v>44320</v>
          </cell>
          <cell r="D287" t="str">
            <v>CSP HOLDING GROUP LIMITED</v>
          </cell>
          <cell r="E287" t="str">
            <v>JESSIE</v>
          </cell>
          <cell r="F287" t="str">
            <v>TUG-12</v>
          </cell>
          <cell r="G287">
            <v>484</v>
          </cell>
          <cell r="H287">
            <v>686.71</v>
          </cell>
          <cell r="I287">
            <v>796.58359999999993</v>
          </cell>
          <cell r="J287">
            <v>332367.64</v>
          </cell>
          <cell r="K287">
            <v>385546.46239999996</v>
          </cell>
          <cell r="L287" t="str">
            <v>GRAVEDAD</v>
          </cell>
          <cell r="N287">
            <v>0</v>
          </cell>
        </row>
        <row r="288">
          <cell r="A288" t="str">
            <v>21E32</v>
          </cell>
          <cell r="B288">
            <v>44322</v>
          </cell>
          <cell r="C288">
            <v>44326</v>
          </cell>
          <cell r="D288" t="str">
            <v>QINGDAO NORTHERNE ELECTRIC AND POWER CO.,LTD</v>
          </cell>
          <cell r="E288" t="str">
            <v>JUDY</v>
          </cell>
          <cell r="F288" t="str">
            <v>BDM-250LV</v>
          </cell>
          <cell r="G288">
            <v>390</v>
          </cell>
          <cell r="H288">
            <v>1991.1</v>
          </cell>
          <cell r="I288">
            <v>2309.6759999999999</v>
          </cell>
          <cell r="J288">
            <v>776529</v>
          </cell>
          <cell r="K288">
            <v>900773.64</v>
          </cell>
          <cell r="L288" t="str">
            <v>FOTOVOLTAICO</v>
          </cell>
          <cell r="N288">
            <v>0</v>
          </cell>
        </row>
        <row r="289">
          <cell r="A289" t="str">
            <v>21L30</v>
          </cell>
          <cell r="B289">
            <v>44322</v>
          </cell>
          <cell r="C289">
            <v>44323</v>
          </cell>
          <cell r="D289" t="str">
            <v>HELIOS POWER LTD</v>
          </cell>
          <cell r="E289" t="str">
            <v>PHILIP</v>
          </cell>
          <cell r="F289" t="str">
            <v>TUG-10</v>
          </cell>
          <cell r="G289">
            <v>459</v>
          </cell>
          <cell r="H289">
            <v>578.04</v>
          </cell>
          <cell r="I289">
            <v>670.52639999999997</v>
          </cell>
          <cell r="J289">
            <v>265320.36</v>
          </cell>
          <cell r="K289">
            <v>307771.6176</v>
          </cell>
          <cell r="L289" t="str">
            <v>GRAVEDAD</v>
          </cell>
          <cell r="N289">
            <v>0</v>
          </cell>
        </row>
        <row r="290">
          <cell r="A290" t="str">
            <v>21L30</v>
          </cell>
          <cell r="B290">
            <v>44322</v>
          </cell>
          <cell r="C290">
            <v>44323</v>
          </cell>
          <cell r="D290" t="str">
            <v>HELIOS POWER LTD</v>
          </cell>
          <cell r="E290" t="str">
            <v>PHILIP</v>
          </cell>
          <cell r="F290" t="str">
            <v>M-TUP-10</v>
          </cell>
          <cell r="G290">
            <v>1</v>
          </cell>
          <cell r="H290">
            <v>1360.41</v>
          </cell>
          <cell r="I290">
            <v>1578.0755999999999</v>
          </cell>
          <cell r="J290">
            <v>1360.41</v>
          </cell>
          <cell r="K290">
            <v>1578.0755999999999</v>
          </cell>
          <cell r="L290" t="str">
            <v>MUESTRA</v>
          </cell>
          <cell r="N290">
            <v>0</v>
          </cell>
        </row>
        <row r="291">
          <cell r="A291" t="str">
            <v>21L30</v>
          </cell>
          <cell r="B291">
            <v>44322</v>
          </cell>
          <cell r="C291">
            <v>44323</v>
          </cell>
          <cell r="D291" t="str">
            <v>HELIOS POWER LTD</v>
          </cell>
          <cell r="E291" t="str">
            <v>PHILIP</v>
          </cell>
          <cell r="F291" t="str">
            <v>TUG-12</v>
          </cell>
          <cell r="G291">
            <v>249</v>
          </cell>
          <cell r="H291">
            <v>693.68</v>
          </cell>
          <cell r="I291">
            <v>804.66879999999992</v>
          </cell>
          <cell r="J291">
            <v>172726.31999999998</v>
          </cell>
          <cell r="K291">
            <v>200362.53119999997</v>
          </cell>
          <cell r="L291" t="str">
            <v>GRAVEDAD</v>
          </cell>
          <cell r="N291">
            <v>0</v>
          </cell>
        </row>
        <row r="292">
          <cell r="A292" t="str">
            <v>21L31</v>
          </cell>
          <cell r="B292">
            <v>44322</v>
          </cell>
          <cell r="C292">
            <v>44323</v>
          </cell>
          <cell r="D292" t="str">
            <v>HAINING LEBRIA E
BUSINESS CO.</v>
          </cell>
          <cell r="E292" t="str">
            <v>EMMA</v>
          </cell>
          <cell r="F292" t="str">
            <v>TUP-10</v>
          </cell>
          <cell r="G292">
            <v>661</v>
          </cell>
          <cell r="H292">
            <v>1110.97</v>
          </cell>
          <cell r="I292">
            <v>1288.7251999999999</v>
          </cell>
          <cell r="J292">
            <v>734351.17</v>
          </cell>
          <cell r="K292">
            <v>851847.35719999985</v>
          </cell>
          <cell r="L292" t="str">
            <v>PRESION</v>
          </cell>
          <cell r="N292">
            <v>0</v>
          </cell>
        </row>
        <row r="293">
          <cell r="A293" t="str">
            <v>21L31</v>
          </cell>
          <cell r="B293">
            <v>44322</v>
          </cell>
          <cell r="C293">
            <v>44323</v>
          </cell>
          <cell r="D293" t="str">
            <v>HAINING LEBRIA E
BUSINESS CO.</v>
          </cell>
          <cell r="E293" t="str">
            <v>EMMA</v>
          </cell>
          <cell r="F293" t="str">
            <v>TUP-06</v>
          </cell>
          <cell r="G293">
            <v>107</v>
          </cell>
          <cell r="H293">
            <v>666.54</v>
          </cell>
          <cell r="I293">
            <v>773.18639999999994</v>
          </cell>
          <cell r="J293">
            <v>71319.78</v>
          </cell>
          <cell r="K293">
            <v>82730.944799999997</v>
          </cell>
          <cell r="L293" t="str">
            <v>PRESION</v>
          </cell>
          <cell r="N293">
            <v>0</v>
          </cell>
        </row>
        <row r="294">
          <cell r="A294" t="str">
            <v>21E28</v>
          </cell>
          <cell r="B294">
            <v>44328</v>
          </cell>
          <cell r="C294">
            <v>44330</v>
          </cell>
          <cell r="D294" t="str">
            <v>Haining Sunsurf New Energy Technology Co., Ltd.</v>
          </cell>
          <cell r="E294" t="str">
            <v>LEON</v>
          </cell>
          <cell r="F294" t="str">
            <v>TPE-26</v>
          </cell>
          <cell r="G294">
            <v>50</v>
          </cell>
          <cell r="H294">
            <v>5630.1</v>
          </cell>
          <cell r="I294">
            <v>6530.9160000000002</v>
          </cell>
          <cell r="J294">
            <v>281505</v>
          </cell>
          <cell r="K294">
            <v>326545.8</v>
          </cell>
          <cell r="L294" t="str">
            <v>PRESION</v>
          </cell>
          <cell r="N294">
            <v>0</v>
          </cell>
        </row>
        <row r="295">
          <cell r="A295" t="str">
            <v>21E28</v>
          </cell>
          <cell r="B295">
            <v>44328</v>
          </cell>
          <cell r="C295">
            <v>44330</v>
          </cell>
          <cell r="D295" t="str">
            <v>Haining Sunsurf New Energy Technology Co., Ltd.</v>
          </cell>
          <cell r="E295" t="str">
            <v>LEON</v>
          </cell>
          <cell r="F295" t="str">
            <v>TPE-20</v>
          </cell>
          <cell r="G295">
            <v>50</v>
          </cell>
          <cell r="H295">
            <v>4681.22</v>
          </cell>
          <cell r="I295">
            <v>5430.2151999999996</v>
          </cell>
          <cell r="J295">
            <v>234061</v>
          </cell>
          <cell r="K295">
            <v>271510.76</v>
          </cell>
          <cell r="L295" t="str">
            <v>PRESION</v>
          </cell>
          <cell r="N295">
            <v>0</v>
          </cell>
        </row>
        <row r="296">
          <cell r="A296" t="str">
            <v>21E28</v>
          </cell>
          <cell r="B296">
            <v>44328</v>
          </cell>
          <cell r="C296">
            <v>44330</v>
          </cell>
          <cell r="D296" t="str">
            <v>Haining Sunsurf New Energy Technology Co., Ltd.</v>
          </cell>
          <cell r="E296" t="str">
            <v>LEON</v>
          </cell>
          <cell r="F296" t="str">
            <v>CAJA DE CARTÓN</v>
          </cell>
          <cell r="G296">
            <v>2</v>
          </cell>
          <cell r="H296">
            <v>31.63</v>
          </cell>
          <cell r="I296">
            <v>36.690799999999996</v>
          </cell>
          <cell r="J296">
            <v>63.26</v>
          </cell>
          <cell r="K296">
            <v>73.381599999999992</v>
          </cell>
          <cell r="L296" t="str">
            <v>GARANTIA</v>
          </cell>
          <cell r="N296">
            <v>0</v>
          </cell>
        </row>
        <row r="297">
          <cell r="A297" t="str">
            <v>21L34</v>
          </cell>
          <cell r="B297">
            <v>44328</v>
          </cell>
          <cell r="C297">
            <v>44331</v>
          </cell>
          <cell r="D297" t="str">
            <v>Haining Sunsurf New Energy Technology Co., Ltd.</v>
          </cell>
          <cell r="E297" t="str">
            <v>LEON</v>
          </cell>
          <cell r="F297" t="str">
            <v>BG-12</v>
          </cell>
          <cell r="G297">
            <v>1125</v>
          </cell>
          <cell r="H297">
            <v>353.36</v>
          </cell>
          <cell r="I297">
            <v>409.89760000000001</v>
          </cell>
          <cell r="J297">
            <v>397530</v>
          </cell>
          <cell r="K297">
            <v>461134.8</v>
          </cell>
          <cell r="L297" t="str">
            <v>GRAVEDAD</v>
          </cell>
          <cell r="N297">
            <v>0</v>
          </cell>
        </row>
        <row r="298">
          <cell r="A298" t="str">
            <v>21L34</v>
          </cell>
          <cell r="B298">
            <v>44328</v>
          </cell>
          <cell r="C298">
            <v>44331</v>
          </cell>
          <cell r="D298" t="str">
            <v>Haining Sunsurf New Energy Technology Co., Ltd.</v>
          </cell>
          <cell r="E298" t="str">
            <v>LEON</v>
          </cell>
          <cell r="F298" t="str">
            <v>BG-10</v>
          </cell>
          <cell r="G298">
            <v>220</v>
          </cell>
          <cell r="H298">
            <v>343.5</v>
          </cell>
          <cell r="I298">
            <v>398.46</v>
          </cell>
          <cell r="J298">
            <v>75570</v>
          </cell>
          <cell r="K298">
            <v>87661.2</v>
          </cell>
          <cell r="L298" t="str">
            <v>GRAVEDAD</v>
          </cell>
          <cell r="N298">
            <v>0</v>
          </cell>
        </row>
        <row r="299">
          <cell r="A299" t="str">
            <v>21L34</v>
          </cell>
          <cell r="B299">
            <v>44328</v>
          </cell>
          <cell r="C299">
            <v>44331</v>
          </cell>
          <cell r="D299" t="str">
            <v>Haining Sunsurf New Energy Technology Co., Ltd.</v>
          </cell>
          <cell r="E299" t="str">
            <v>LEON</v>
          </cell>
          <cell r="F299" t="str">
            <v>BP-10</v>
          </cell>
          <cell r="G299">
            <v>300</v>
          </cell>
          <cell r="H299">
            <v>335.2</v>
          </cell>
          <cell r="I299">
            <v>388.83199999999994</v>
          </cell>
          <cell r="J299">
            <v>100560</v>
          </cell>
          <cell r="K299">
            <v>116649.59999999998</v>
          </cell>
          <cell r="L299" t="str">
            <v>PRESION</v>
          </cell>
          <cell r="N299">
            <v>0</v>
          </cell>
        </row>
        <row r="300">
          <cell r="A300" t="str">
            <v>21L34</v>
          </cell>
          <cell r="B300">
            <v>44328</v>
          </cell>
          <cell r="C300">
            <v>44331</v>
          </cell>
          <cell r="D300" t="str">
            <v>Haining Sunsurf New Energy Technology Co., Ltd.</v>
          </cell>
          <cell r="E300" t="str">
            <v>LEON</v>
          </cell>
          <cell r="F300" t="str">
            <v>BP-12</v>
          </cell>
          <cell r="G300">
            <v>105</v>
          </cell>
          <cell r="H300">
            <v>335.18</v>
          </cell>
          <cell r="I300">
            <v>388.80879999999996</v>
          </cell>
          <cell r="J300">
            <v>35193.9</v>
          </cell>
          <cell r="K300">
            <v>40824.923999999999</v>
          </cell>
          <cell r="L300" t="str">
            <v>PRESION</v>
          </cell>
          <cell r="N300">
            <v>0</v>
          </cell>
        </row>
        <row r="301">
          <cell r="A301" t="str">
            <v>21L34</v>
          </cell>
          <cell r="B301">
            <v>44328</v>
          </cell>
          <cell r="C301">
            <v>44331</v>
          </cell>
          <cell r="D301" t="str">
            <v>Haining Sunsurf New Energy Technology Co., Ltd.</v>
          </cell>
          <cell r="E301" t="str">
            <v>LEON</v>
          </cell>
          <cell r="F301" t="str">
            <v>BG-08</v>
          </cell>
          <cell r="G301">
            <v>50</v>
          </cell>
          <cell r="H301">
            <v>334.21</v>
          </cell>
          <cell r="I301">
            <v>387.68359999999996</v>
          </cell>
          <cell r="J301">
            <v>16710.5</v>
          </cell>
          <cell r="K301">
            <v>19384.179999999997</v>
          </cell>
          <cell r="L301" t="str">
            <v>GRAVEDAD</v>
          </cell>
          <cell r="N301">
            <v>0</v>
          </cell>
        </row>
        <row r="302">
          <cell r="A302" t="str">
            <v>21L34</v>
          </cell>
          <cell r="B302">
            <v>44328</v>
          </cell>
          <cell r="C302">
            <v>44331</v>
          </cell>
          <cell r="D302" t="str">
            <v>Haining Sunsurf New Energy Technology Co., Ltd.</v>
          </cell>
          <cell r="E302" t="str">
            <v>LEON</v>
          </cell>
          <cell r="F302" t="str">
            <v>CAJA DE CARTÓN</v>
          </cell>
          <cell r="G302">
            <v>17</v>
          </cell>
          <cell r="H302">
            <v>26.94</v>
          </cell>
          <cell r="I302">
            <v>31.250399999999999</v>
          </cell>
          <cell r="J302">
            <v>457.98</v>
          </cell>
          <cell r="K302">
            <v>531.2568</v>
          </cell>
          <cell r="L302" t="str">
            <v>GARANTIA</v>
          </cell>
          <cell r="N302">
            <v>0</v>
          </cell>
        </row>
        <row r="303">
          <cell r="A303" t="str">
            <v>21L41</v>
          </cell>
          <cell r="B303">
            <v>44328</v>
          </cell>
          <cell r="C303">
            <v>44330</v>
          </cell>
          <cell r="D303" t="str">
            <v>JIAXING WOERQI ELECTRICAL CO., LTD</v>
          </cell>
          <cell r="E303" t="str">
            <v>JACKY</v>
          </cell>
          <cell r="F303" t="str">
            <v>M-TUG-12</v>
          </cell>
          <cell r="G303">
            <v>1</v>
          </cell>
          <cell r="H303">
            <v>311.02999999999997</v>
          </cell>
          <cell r="I303">
            <v>360.79479999999995</v>
          </cell>
          <cell r="J303">
            <v>311.02999999999997</v>
          </cell>
          <cell r="K303">
            <v>360.79479999999995</v>
          </cell>
          <cell r="L303" t="str">
            <v>MUESTRA</v>
          </cell>
          <cell r="N303">
            <v>0</v>
          </cell>
        </row>
        <row r="304">
          <cell r="A304" t="str">
            <v>21L41</v>
          </cell>
          <cell r="B304">
            <v>44328</v>
          </cell>
          <cell r="C304">
            <v>44330</v>
          </cell>
          <cell r="D304" t="str">
            <v>JIAXING WOERQI ELECTRICAL CO., LTD</v>
          </cell>
          <cell r="E304" t="str">
            <v>JACKY</v>
          </cell>
          <cell r="F304" t="str">
            <v>BG-12</v>
          </cell>
          <cell r="G304">
            <v>1000</v>
          </cell>
          <cell r="H304">
            <v>364.49</v>
          </cell>
          <cell r="I304">
            <v>422.80840000000001</v>
          </cell>
          <cell r="J304">
            <v>364490</v>
          </cell>
          <cell r="K304">
            <v>422808.4</v>
          </cell>
          <cell r="L304" t="str">
            <v>GRAVEDAD</v>
          </cell>
          <cell r="N304">
            <v>0</v>
          </cell>
        </row>
        <row r="305">
          <cell r="A305" t="str">
            <v>21L41</v>
          </cell>
          <cell r="B305">
            <v>44328</v>
          </cell>
          <cell r="C305">
            <v>44330</v>
          </cell>
          <cell r="D305" t="str">
            <v>JIAXING WOERQI ELECTRICAL CO., LTD</v>
          </cell>
          <cell r="E305" t="str">
            <v>JACKY</v>
          </cell>
          <cell r="F305" t="str">
            <v>BG-10</v>
          </cell>
          <cell r="G305">
            <v>600</v>
          </cell>
          <cell r="H305">
            <v>358.02</v>
          </cell>
          <cell r="I305">
            <v>415.30319999999995</v>
          </cell>
          <cell r="J305">
            <v>214812</v>
          </cell>
          <cell r="K305">
            <v>249181.91999999995</v>
          </cell>
          <cell r="L305" t="str">
            <v>GRAVEDAD</v>
          </cell>
          <cell r="N305">
            <v>0</v>
          </cell>
        </row>
        <row r="306">
          <cell r="A306" t="str">
            <v>21L41</v>
          </cell>
          <cell r="B306">
            <v>44328</v>
          </cell>
          <cell r="C306">
            <v>44330</v>
          </cell>
          <cell r="D306" t="str">
            <v>JIAXING WOERQI ELECTRICAL CO., LTD</v>
          </cell>
          <cell r="E306" t="str">
            <v>JACKY</v>
          </cell>
          <cell r="F306" t="str">
            <v>BG-08</v>
          </cell>
          <cell r="G306">
            <v>150</v>
          </cell>
          <cell r="H306">
            <v>344.05</v>
          </cell>
          <cell r="I306">
            <v>399.09800000000001</v>
          </cell>
          <cell r="J306">
            <v>51607.5</v>
          </cell>
          <cell r="K306">
            <v>59864.700000000004</v>
          </cell>
          <cell r="L306" t="str">
            <v>GRAVEDAD</v>
          </cell>
          <cell r="N306">
            <v>0</v>
          </cell>
        </row>
        <row r="307">
          <cell r="A307" t="str">
            <v>21E06</v>
          </cell>
          <cell r="B307">
            <v>44330</v>
          </cell>
          <cell r="C307">
            <v>44334</v>
          </cell>
          <cell r="D307" t="str">
            <v>DONGGUAN ARCIO HEAT ENERGY EQUIPMENT CO.,LTD</v>
          </cell>
          <cell r="E307" t="str">
            <v>MIKE</v>
          </cell>
          <cell r="F307" t="str">
            <v>ILP-09</v>
          </cell>
          <cell r="G307">
            <v>340</v>
          </cell>
          <cell r="H307">
            <v>1118.9605588235299</v>
          </cell>
          <cell r="I307">
            <v>1297.9942482352947</v>
          </cell>
          <cell r="J307">
            <v>380446.5900000002</v>
          </cell>
          <cell r="K307">
            <v>441318.04440000019</v>
          </cell>
          <cell r="L307" t="str">
            <v>GAS</v>
          </cell>
          <cell r="N307">
            <v>0</v>
          </cell>
        </row>
        <row r="308">
          <cell r="A308" t="str">
            <v>21E06</v>
          </cell>
          <cell r="B308">
            <v>44330</v>
          </cell>
          <cell r="C308">
            <v>44334</v>
          </cell>
          <cell r="D308" t="str">
            <v>DONGGUAN ARCIO HEAT ENERGY EQUIPMENT CO.,LTD</v>
          </cell>
          <cell r="E308" t="str">
            <v>MIKE</v>
          </cell>
          <cell r="F308" t="str">
            <v>ILP-06</v>
          </cell>
          <cell r="G308">
            <v>1343</v>
          </cell>
          <cell r="H308">
            <v>653.44135517498103</v>
          </cell>
          <cell r="I308">
            <v>757.99197200297795</v>
          </cell>
          <cell r="J308">
            <v>877571.73999999953</v>
          </cell>
          <cell r="K308">
            <v>1017983.2183999994</v>
          </cell>
          <cell r="L308" t="str">
            <v>GAS</v>
          </cell>
          <cell r="N308">
            <v>0</v>
          </cell>
        </row>
        <row r="309">
          <cell r="A309" t="str">
            <v>21E06</v>
          </cell>
          <cell r="B309">
            <v>44330</v>
          </cell>
          <cell r="C309">
            <v>44334</v>
          </cell>
          <cell r="D309" t="str">
            <v>DONGGUAN ARCIO HEAT ENERGY EQUIPMENT CO.,LTD</v>
          </cell>
          <cell r="E309" t="str">
            <v>MIKE</v>
          </cell>
          <cell r="F309" t="str">
            <v>ILP-06-VALSOL</v>
          </cell>
          <cell r="G309">
            <v>18</v>
          </cell>
          <cell r="H309">
            <v>17.3327777777778</v>
          </cell>
          <cell r="I309">
            <v>20.106022222222247</v>
          </cell>
          <cell r="J309">
            <v>311.99000000000041</v>
          </cell>
          <cell r="K309">
            <v>361.90840000000043</v>
          </cell>
          <cell r="L309" t="str">
            <v>GAS</v>
          </cell>
          <cell r="N309">
            <v>0</v>
          </cell>
        </row>
        <row r="310">
          <cell r="A310" t="str">
            <v>21E06</v>
          </cell>
          <cell r="B310">
            <v>44330</v>
          </cell>
          <cell r="C310">
            <v>44334</v>
          </cell>
          <cell r="D310" t="str">
            <v>DONGGUAN ARCIO HEAT ENERGY EQUIPMENT CO.,LTD</v>
          </cell>
          <cell r="E310" t="str">
            <v>MIKE</v>
          </cell>
          <cell r="F310" t="str">
            <v>ENCENDEDOR-ILP-09</v>
          </cell>
          <cell r="G310">
            <v>5</v>
          </cell>
          <cell r="H310">
            <v>12.792</v>
          </cell>
          <cell r="I310">
            <v>14.838719999999999</v>
          </cell>
          <cell r="J310">
            <v>63.96</v>
          </cell>
          <cell r="K310">
            <v>74.193599999999989</v>
          </cell>
          <cell r="L310" t="str">
            <v>REFACCION</v>
          </cell>
          <cell r="N310">
            <v>0</v>
          </cell>
        </row>
        <row r="311">
          <cell r="A311" t="str">
            <v>21E06</v>
          </cell>
          <cell r="B311">
            <v>44330</v>
          </cell>
          <cell r="C311">
            <v>44334</v>
          </cell>
          <cell r="D311" t="str">
            <v>DONGGUAN ARCIO HEAT ENERGY EQUIPMENT CO.,LTD</v>
          </cell>
          <cell r="E311" t="str">
            <v>MIKE</v>
          </cell>
          <cell r="F311" t="str">
            <v>ENCENDEDOR-ILP-06</v>
          </cell>
          <cell r="G311">
            <v>13</v>
          </cell>
          <cell r="H311">
            <v>11.8007692307692</v>
          </cell>
          <cell r="I311">
            <v>13.688892307692271</v>
          </cell>
          <cell r="J311">
            <v>153.4099999999996</v>
          </cell>
          <cell r="K311">
            <v>177.95559999999952</v>
          </cell>
          <cell r="L311" t="str">
            <v>REFACCION</v>
          </cell>
          <cell r="N311">
            <v>0</v>
          </cell>
        </row>
        <row r="312">
          <cell r="A312" t="str">
            <v>21E06</v>
          </cell>
          <cell r="B312">
            <v>44330</v>
          </cell>
          <cell r="C312">
            <v>44334</v>
          </cell>
          <cell r="D312" t="str">
            <v>DONGGUAN ARCIO HEAT ENERGY EQUIPMENT CO.,LTD</v>
          </cell>
          <cell r="E312" t="str">
            <v>MIKE</v>
          </cell>
          <cell r="F312" t="str">
            <v>TERMOSTATO-ILP</v>
          </cell>
          <cell r="G312">
            <v>18</v>
          </cell>
          <cell r="H312">
            <v>4.9366666666666701</v>
          </cell>
          <cell r="I312">
            <v>5.7265333333333368</v>
          </cell>
          <cell r="J312">
            <v>88.860000000000056</v>
          </cell>
          <cell r="K312">
            <v>103.07760000000006</v>
          </cell>
          <cell r="L312" t="str">
            <v>REFACCION</v>
          </cell>
          <cell r="N312">
            <v>0</v>
          </cell>
        </row>
        <row r="313">
          <cell r="A313" t="str">
            <v>21E06</v>
          </cell>
          <cell r="B313">
            <v>44330</v>
          </cell>
          <cell r="C313">
            <v>44334</v>
          </cell>
          <cell r="D313" t="str">
            <v>DONGGUAN ARCIO HEAT ENERGY EQUIPMENT CO.,LTD</v>
          </cell>
          <cell r="E313" t="str">
            <v>MIKE</v>
          </cell>
          <cell r="F313" t="str">
            <v>MICROSWITCH-ILP</v>
          </cell>
          <cell r="G313">
            <v>18</v>
          </cell>
          <cell r="H313">
            <v>4.7155555555555599</v>
          </cell>
          <cell r="I313">
            <v>5.4700444444444489</v>
          </cell>
          <cell r="J313">
            <v>84.880000000000081</v>
          </cell>
          <cell r="K313">
            <v>98.460800000000077</v>
          </cell>
          <cell r="L313" t="str">
            <v>REFACCION</v>
          </cell>
          <cell r="N313">
            <v>0</v>
          </cell>
        </row>
        <row r="314">
          <cell r="A314" t="str">
            <v>21E06</v>
          </cell>
          <cell r="B314">
            <v>44330</v>
          </cell>
          <cell r="C314">
            <v>44334</v>
          </cell>
          <cell r="D314" t="str">
            <v>DONGGUAN ARCIO HEAT ENERGY EQUIPMENT CO.,LTD</v>
          </cell>
          <cell r="E314" t="str">
            <v>MIKE</v>
          </cell>
          <cell r="F314" t="str">
            <v>CAJA DE CARTÓN</v>
          </cell>
          <cell r="G314">
            <v>18</v>
          </cell>
          <cell r="H314">
            <v>2.3688888888888902</v>
          </cell>
          <cell r="I314">
            <v>2.7479111111111125</v>
          </cell>
          <cell r="J314">
            <v>42.640000000000022</v>
          </cell>
          <cell r="K314">
            <v>49.462400000000024</v>
          </cell>
          <cell r="L314" t="str">
            <v>GARANTIA</v>
          </cell>
          <cell r="N314">
            <v>0</v>
          </cell>
        </row>
        <row r="315">
          <cell r="A315" t="str">
            <v>21E06</v>
          </cell>
          <cell r="B315">
            <v>44330</v>
          </cell>
          <cell r="C315">
            <v>44334</v>
          </cell>
          <cell r="D315" t="str">
            <v>DONGGUAN ARCIO HEAT ENERGY EQUIPMENT CO.,LTD</v>
          </cell>
          <cell r="E315" t="str">
            <v>MIKE</v>
          </cell>
          <cell r="F315" t="str">
            <v>PERILLA-MET-ILP</v>
          </cell>
          <cell r="G315">
            <v>32</v>
          </cell>
          <cell r="H315">
            <v>2.3596875000000002</v>
          </cell>
          <cell r="I315">
            <v>2.7372375</v>
          </cell>
          <cell r="J315">
            <v>75.510000000000005</v>
          </cell>
          <cell r="K315">
            <v>87.5916</v>
          </cell>
          <cell r="L315" t="str">
            <v>REFACCION</v>
          </cell>
          <cell r="N315">
            <v>0</v>
          </cell>
        </row>
        <row r="316">
          <cell r="A316" t="str">
            <v>21E07</v>
          </cell>
          <cell r="B316">
            <v>44330</v>
          </cell>
          <cell r="C316">
            <v>44334</v>
          </cell>
          <cell r="D316" t="str">
            <v>SUNFORSON POWER CO., LIMITED</v>
          </cell>
          <cell r="E316" t="str">
            <v>RICHARD</v>
          </cell>
          <cell r="F316" t="str">
            <v>FV-ANGUL-5.3M</v>
          </cell>
          <cell r="G316">
            <v>140</v>
          </cell>
          <cell r="H316">
            <v>360.09579000000002</v>
          </cell>
          <cell r="I316">
            <v>417.71111639999998</v>
          </cell>
          <cell r="J316">
            <v>50413.410600000003</v>
          </cell>
          <cell r="K316">
            <v>58479.556295999995</v>
          </cell>
          <cell r="L316" t="str">
            <v>FOTOVOLTAICO</v>
          </cell>
          <cell r="N316">
            <v>0</v>
          </cell>
        </row>
        <row r="317">
          <cell r="A317" t="str">
            <v>21E07</v>
          </cell>
          <cell r="B317">
            <v>44330</v>
          </cell>
          <cell r="C317">
            <v>44334</v>
          </cell>
          <cell r="D317" t="str">
            <v>SUNFORSON POWER CO., LIMITED</v>
          </cell>
          <cell r="E317" t="str">
            <v>RICHARD</v>
          </cell>
          <cell r="F317" t="str">
            <v>FV-RIEL-ALU-4.16M</v>
          </cell>
          <cell r="G317">
            <v>50</v>
          </cell>
          <cell r="H317">
            <v>335.86138</v>
          </cell>
          <cell r="I317">
            <v>389.59920079999995</v>
          </cell>
          <cell r="J317">
            <v>16793.069</v>
          </cell>
          <cell r="K317">
            <v>19479.960039999998</v>
          </cell>
          <cell r="L317" t="str">
            <v>FOTOVOLTAICO</v>
          </cell>
          <cell r="N317">
            <v>0</v>
          </cell>
        </row>
        <row r="318">
          <cell r="A318" t="str">
            <v>21E07</v>
          </cell>
          <cell r="B318">
            <v>44330</v>
          </cell>
          <cell r="C318">
            <v>44334</v>
          </cell>
          <cell r="D318" t="str">
            <v>SUNFORSON POWER CO., LIMITED</v>
          </cell>
          <cell r="E318" t="str">
            <v>RICHARD</v>
          </cell>
          <cell r="F318" t="str">
            <v xml:space="preserve">FV-OPRESOR-MED	</v>
          </cell>
          <cell r="G318">
            <v>150</v>
          </cell>
          <cell r="H318">
            <v>11.8131</v>
          </cell>
          <cell r="I318">
            <v>13.703196</v>
          </cell>
          <cell r="J318">
            <v>1771.9650000000001</v>
          </cell>
          <cell r="K318">
            <v>2055.4794000000002</v>
          </cell>
          <cell r="L318" t="str">
            <v>FOTOVOLTAICO</v>
          </cell>
          <cell r="N318">
            <v>0</v>
          </cell>
        </row>
        <row r="319">
          <cell r="A319" t="str">
            <v>21L42</v>
          </cell>
          <cell r="B319">
            <v>44330</v>
          </cell>
          <cell r="C319">
            <v>44333</v>
          </cell>
          <cell r="D319" t="str">
            <v>Haining Sunsurf New Energy Technology Co., Ltd.</v>
          </cell>
          <cell r="E319" t="str">
            <v>LEON</v>
          </cell>
          <cell r="F319" t="str">
            <v>BG-30</v>
          </cell>
          <cell r="G319">
            <v>50</v>
          </cell>
          <cell r="H319">
            <v>613.26080000000002</v>
          </cell>
          <cell r="I319">
            <v>711.38252799999998</v>
          </cell>
          <cell r="J319">
            <v>30663.040000000001</v>
          </cell>
          <cell r="K319">
            <v>35569.126400000001</v>
          </cell>
          <cell r="L319" t="str">
            <v>GRAVEDAD</v>
          </cell>
          <cell r="N319">
            <v>0</v>
          </cell>
        </row>
        <row r="320">
          <cell r="A320" t="str">
            <v>21L42</v>
          </cell>
          <cell r="B320">
            <v>44330</v>
          </cell>
          <cell r="C320">
            <v>44333</v>
          </cell>
          <cell r="D320" t="str">
            <v>Haining Sunsurf New Energy Technology Co., Ltd.</v>
          </cell>
          <cell r="E320" t="str">
            <v>LEON</v>
          </cell>
          <cell r="F320" t="str">
            <v>BG-24</v>
          </cell>
          <cell r="G320">
            <v>50</v>
          </cell>
          <cell r="H320">
            <v>581.02160000000003</v>
          </cell>
          <cell r="I320">
            <v>673.98505599999999</v>
          </cell>
          <cell r="J320">
            <v>29051.08</v>
          </cell>
          <cell r="K320">
            <v>33699.252800000002</v>
          </cell>
          <cell r="L320" t="str">
            <v>GRAVEDAD</v>
          </cell>
          <cell r="N320">
            <v>0</v>
          </cell>
        </row>
        <row r="321">
          <cell r="A321" t="str">
            <v>21L42</v>
          </cell>
          <cell r="B321">
            <v>44330</v>
          </cell>
          <cell r="C321">
            <v>44333</v>
          </cell>
          <cell r="D321" t="str">
            <v>Haining Sunsurf New Energy Technology Co., Ltd.</v>
          </cell>
          <cell r="E321" t="str">
            <v>LEON</v>
          </cell>
          <cell r="F321" t="str">
            <v>BG-20</v>
          </cell>
          <cell r="G321">
            <v>80</v>
          </cell>
          <cell r="H321">
            <v>424.57112499999999</v>
          </cell>
          <cell r="I321">
            <v>492.50250499999999</v>
          </cell>
          <cell r="J321">
            <v>33965.69</v>
          </cell>
          <cell r="K321">
            <v>39400.200400000002</v>
          </cell>
          <cell r="L321" t="str">
            <v>GRAVEDAD</v>
          </cell>
          <cell r="N321">
            <v>0</v>
          </cell>
        </row>
        <row r="322">
          <cell r="A322" t="str">
            <v>21L42</v>
          </cell>
          <cell r="B322">
            <v>44330</v>
          </cell>
          <cell r="C322">
            <v>44333</v>
          </cell>
          <cell r="D322" t="str">
            <v>Haining Sunsurf New Energy Technology Co., Ltd.</v>
          </cell>
          <cell r="E322" t="str">
            <v>LEON</v>
          </cell>
          <cell r="F322" t="str">
            <v>BG-18</v>
          </cell>
          <cell r="G322">
            <v>80</v>
          </cell>
          <cell r="H322">
            <v>403.532625</v>
          </cell>
          <cell r="I322">
            <v>468.09784499999995</v>
          </cell>
          <cell r="J322">
            <v>32282.61</v>
          </cell>
          <cell r="K322">
            <v>37447.827599999997</v>
          </cell>
          <cell r="L322" t="str">
            <v>GRAVEDAD</v>
          </cell>
          <cell r="N322">
            <v>0</v>
          </cell>
        </row>
        <row r="323">
          <cell r="A323" t="str">
            <v>21L42</v>
          </cell>
          <cell r="B323">
            <v>44330</v>
          </cell>
          <cell r="C323">
            <v>44333</v>
          </cell>
          <cell r="D323" t="str">
            <v>Haining Sunsurf New Energy Technology Co., Ltd.</v>
          </cell>
          <cell r="E323" t="str">
            <v>LEON</v>
          </cell>
          <cell r="F323" t="str">
            <v>BG-12</v>
          </cell>
          <cell r="G323">
            <v>990</v>
          </cell>
          <cell r="H323">
            <v>370.003595959596</v>
          </cell>
          <cell r="I323">
            <v>429.20417131313133</v>
          </cell>
          <cell r="J323">
            <v>366303.56000000006</v>
          </cell>
          <cell r="K323">
            <v>424912.12959999999</v>
          </cell>
          <cell r="L323" t="str">
            <v>GRAVEDAD</v>
          </cell>
          <cell r="N323">
            <v>0</v>
          </cell>
        </row>
        <row r="324">
          <cell r="A324" t="str">
            <v>21L42</v>
          </cell>
          <cell r="B324">
            <v>44330</v>
          </cell>
          <cell r="C324">
            <v>44333</v>
          </cell>
          <cell r="D324" t="str">
            <v>Haining Sunsurf New Energy Technology Co., Ltd.</v>
          </cell>
          <cell r="E324" t="str">
            <v>LEON</v>
          </cell>
          <cell r="F324" t="str">
            <v>BG-10</v>
          </cell>
          <cell r="G324">
            <v>500</v>
          </cell>
          <cell r="H324">
            <v>359.86588</v>
          </cell>
          <cell r="I324">
            <v>417.44442079999999</v>
          </cell>
          <cell r="J324">
            <v>179932.94</v>
          </cell>
          <cell r="K324">
            <v>208722.21039999998</v>
          </cell>
          <cell r="L324" t="str">
            <v>GRAVEDAD</v>
          </cell>
          <cell r="N324">
            <v>0</v>
          </cell>
        </row>
        <row r="325">
          <cell r="A325" t="str">
            <v>21L42</v>
          </cell>
          <cell r="B325">
            <v>44330</v>
          </cell>
          <cell r="C325">
            <v>44333</v>
          </cell>
          <cell r="D325" t="str">
            <v>Haining Sunsurf New Energy Technology Co., Ltd.</v>
          </cell>
          <cell r="E325" t="str">
            <v>LEON</v>
          </cell>
          <cell r="F325" t="str">
            <v>CAJA DE CARTÓN</v>
          </cell>
          <cell r="G325">
            <v>17</v>
          </cell>
          <cell r="H325">
            <v>25.5423529411765</v>
          </cell>
          <cell r="I325">
            <v>29.629129411764737</v>
          </cell>
          <cell r="J325">
            <v>434.22000000000048</v>
          </cell>
          <cell r="K325">
            <v>503.69520000000051</v>
          </cell>
          <cell r="L325" t="str">
            <v>GARANTIA</v>
          </cell>
          <cell r="N325">
            <v>0</v>
          </cell>
        </row>
        <row r="326">
          <cell r="A326" t="str">
            <v>21L43</v>
          </cell>
          <cell r="B326">
            <v>44330</v>
          </cell>
          <cell r="C326">
            <v>44333</v>
          </cell>
          <cell r="D326" t="str">
            <v>JIAXING WOERQI ELECTRICAL CO., LTD</v>
          </cell>
          <cell r="E326" t="str">
            <v>JACKY</v>
          </cell>
          <cell r="F326" t="str">
            <v>BG-12</v>
          </cell>
          <cell r="G326">
            <v>1000</v>
          </cell>
          <cell r="H326">
            <v>371.45808</v>
          </cell>
          <cell r="I326">
            <v>430.89137279999994</v>
          </cell>
          <cell r="J326">
            <v>371458.08</v>
          </cell>
          <cell r="K326">
            <v>430891.37279999995</v>
          </cell>
          <cell r="L326" t="str">
            <v>GRAVEDAD</v>
          </cell>
          <cell r="N326">
            <v>0</v>
          </cell>
        </row>
        <row r="327">
          <cell r="A327" t="str">
            <v>21L43</v>
          </cell>
          <cell r="B327">
            <v>44330</v>
          </cell>
          <cell r="C327">
            <v>44333</v>
          </cell>
          <cell r="D327" t="str">
            <v>JIAXING WOERQI ELECTRICAL CO., LTD</v>
          </cell>
          <cell r="E327" t="str">
            <v>JACKY</v>
          </cell>
          <cell r="F327" t="str">
            <v>BG-10</v>
          </cell>
          <cell r="G327">
            <v>400</v>
          </cell>
          <cell r="H327">
            <v>364.87542500000001</v>
          </cell>
          <cell r="I327">
            <v>423.255493</v>
          </cell>
          <cell r="J327">
            <v>145950.17000000001</v>
          </cell>
          <cell r="K327">
            <v>169302.1972</v>
          </cell>
          <cell r="L327" t="str">
            <v>GRAVEDAD</v>
          </cell>
          <cell r="N327">
            <v>0</v>
          </cell>
        </row>
        <row r="328">
          <cell r="A328" t="str">
            <v>21L43</v>
          </cell>
          <cell r="B328">
            <v>44330</v>
          </cell>
          <cell r="C328">
            <v>44333</v>
          </cell>
          <cell r="D328" t="str">
            <v>JIAXING WOERQI ELECTRICAL CO., LTD</v>
          </cell>
          <cell r="E328" t="str">
            <v>JACKY</v>
          </cell>
          <cell r="F328" t="str">
            <v>BG-08</v>
          </cell>
          <cell r="G328">
            <v>350</v>
          </cell>
          <cell r="H328">
            <v>350.62362857142898</v>
          </cell>
          <cell r="I328">
            <v>406.72340914285758</v>
          </cell>
          <cell r="J328">
            <v>122718.27000000015</v>
          </cell>
          <cell r="K328">
            <v>142353.19320000015</v>
          </cell>
          <cell r="L328" t="str">
            <v>GRAVEDAD</v>
          </cell>
          <cell r="N328">
            <v>0</v>
          </cell>
        </row>
        <row r="329">
          <cell r="A329" t="str">
            <v>21L43</v>
          </cell>
          <cell r="B329">
            <v>44330</v>
          </cell>
          <cell r="C329">
            <v>44333</v>
          </cell>
          <cell r="D329" t="str">
            <v>JIAXING WOERQI ELECTRICAL CO., LTD</v>
          </cell>
          <cell r="E329" t="str">
            <v>JACKY</v>
          </cell>
          <cell r="F329" t="str">
            <v>CAJA DE CARTÓN</v>
          </cell>
          <cell r="G329">
            <v>12</v>
          </cell>
          <cell r="H329">
            <v>26.5058333333333</v>
          </cell>
          <cell r="I329">
            <v>30.746766666666627</v>
          </cell>
          <cell r="J329">
            <v>318.0699999999996</v>
          </cell>
          <cell r="K329">
            <v>368.96119999999951</v>
          </cell>
          <cell r="L329" t="str">
            <v>GARANTIA</v>
          </cell>
          <cell r="N329">
            <v>0</v>
          </cell>
        </row>
        <row r="330">
          <cell r="A330" t="str">
            <v>21L47C</v>
          </cell>
          <cell r="B330">
            <v>44330</v>
          </cell>
          <cell r="C330">
            <v>44334</v>
          </cell>
          <cell r="D330" t="str">
            <v>CSP HOLDING GROUP LIMITED</v>
          </cell>
          <cell r="E330" t="str">
            <v>JESSIE</v>
          </cell>
          <cell r="F330" t="str">
            <v>TUG-12</v>
          </cell>
          <cell r="G330">
            <v>651</v>
          </cell>
          <cell r="H330">
            <v>695.56883233532926</v>
          </cell>
          <cell r="I330">
            <v>806.85984550898183</v>
          </cell>
          <cell r="J330">
            <v>452815.30985029932</v>
          </cell>
          <cell r="K330">
            <v>525265.75942634721</v>
          </cell>
          <cell r="L330" t="str">
            <v>GRAVEDAD</v>
          </cell>
          <cell r="N330">
            <v>0</v>
          </cell>
        </row>
        <row r="331">
          <cell r="A331" t="str">
            <v>21L47C</v>
          </cell>
          <cell r="B331">
            <v>44330</v>
          </cell>
          <cell r="C331">
            <v>44334</v>
          </cell>
          <cell r="D331" t="str">
            <v>CSP HOLDING GROUP LIMITED</v>
          </cell>
          <cell r="E331" t="str">
            <v>JESSIE</v>
          </cell>
          <cell r="F331" t="str">
            <v>TUG-12</v>
          </cell>
          <cell r="G331">
            <v>17</v>
          </cell>
          <cell r="H331">
            <v>695.56883233532926</v>
          </cell>
          <cell r="I331">
            <v>806.85984550898183</v>
          </cell>
          <cell r="J331">
            <v>11824.670149700598</v>
          </cell>
          <cell r="K331">
            <v>13716.617373652691</v>
          </cell>
          <cell r="L331" t="str">
            <v>GRAVEDAD</v>
          </cell>
          <cell r="N331">
            <v>0</v>
          </cell>
        </row>
        <row r="332">
          <cell r="A332" t="str">
            <v>21L35</v>
          </cell>
          <cell r="B332">
            <v>44333</v>
          </cell>
          <cell r="C332">
            <v>44335</v>
          </cell>
          <cell r="D332" t="str">
            <v>CSP HOLDING GROUP LIMITED</v>
          </cell>
          <cell r="E332" t="str">
            <v>JESSIE</v>
          </cell>
          <cell r="F332" t="str">
            <v>TUG-12</v>
          </cell>
          <cell r="G332">
            <v>660</v>
          </cell>
          <cell r="H332">
            <v>705.05857575757568</v>
          </cell>
          <cell r="I332">
            <v>817.86794787878773</v>
          </cell>
          <cell r="J332">
            <v>465338.66</v>
          </cell>
          <cell r="K332">
            <v>539792.84559999988</v>
          </cell>
          <cell r="L332" t="str">
            <v>GRAVEDAD</v>
          </cell>
          <cell r="N332">
            <v>0</v>
          </cell>
        </row>
        <row r="333">
          <cell r="A333" t="str">
            <v>21L36</v>
          </cell>
          <cell r="B333">
            <v>44333</v>
          </cell>
          <cell r="C333">
            <v>44335</v>
          </cell>
          <cell r="D333" t="str">
            <v>HAINING LEBRIA E
BUSINESS CO.</v>
          </cell>
          <cell r="E333" t="str">
            <v>EMMA</v>
          </cell>
          <cell r="F333" t="str">
            <v>TUG-10</v>
          </cell>
          <cell r="G333">
            <v>238</v>
          </cell>
          <cell r="H333">
            <v>494.25168067226889</v>
          </cell>
          <cell r="I333">
            <v>573.33194957983187</v>
          </cell>
          <cell r="J333">
            <v>117631.9</v>
          </cell>
          <cell r="K333">
            <v>136453.00399999999</v>
          </cell>
          <cell r="L333" t="str">
            <v>GRAVEDAD</v>
          </cell>
          <cell r="N333">
            <v>0</v>
          </cell>
        </row>
        <row r="334">
          <cell r="A334" t="str">
            <v>21L36</v>
          </cell>
          <cell r="B334">
            <v>44333</v>
          </cell>
          <cell r="C334">
            <v>44335</v>
          </cell>
          <cell r="D334" t="str">
            <v>HAINING LEBRIA E
BUSINESS CO.</v>
          </cell>
          <cell r="E334" t="str">
            <v>EMMA</v>
          </cell>
          <cell r="F334" t="str">
            <v>TUP-10</v>
          </cell>
          <cell r="G334">
            <v>495</v>
          </cell>
          <cell r="H334">
            <v>1193.0689090909091</v>
          </cell>
          <cell r="I334">
            <v>1383.9599345454544</v>
          </cell>
          <cell r="J334">
            <v>590569.11</v>
          </cell>
          <cell r="K334">
            <v>685060.16759999993</v>
          </cell>
          <cell r="L334" t="str">
            <v>PRESION</v>
          </cell>
          <cell r="N334">
            <v>0</v>
          </cell>
        </row>
        <row r="335">
          <cell r="A335" t="str">
            <v>21L47A</v>
          </cell>
          <cell r="B335">
            <v>44333</v>
          </cell>
          <cell r="C335">
            <v>44336</v>
          </cell>
          <cell r="D335" t="str">
            <v>CSP HOLDING GROUP LIMITED</v>
          </cell>
          <cell r="E335" t="str">
            <v>JESSIE</v>
          </cell>
          <cell r="F335" t="str">
            <v>TUG-08</v>
          </cell>
          <cell r="G335">
            <v>2</v>
          </cell>
          <cell r="H335">
            <v>468.68694444444441</v>
          </cell>
          <cell r="I335">
            <v>543.67685555555545</v>
          </cell>
          <cell r="J335">
            <v>937.37388888888881</v>
          </cell>
          <cell r="K335">
            <v>1087.3537111111109</v>
          </cell>
          <cell r="L335" t="str">
            <v>GRAVEDAD</v>
          </cell>
          <cell r="N335">
            <v>0</v>
          </cell>
        </row>
        <row r="336">
          <cell r="A336" t="str">
            <v>21L47A</v>
          </cell>
          <cell r="B336">
            <v>44333</v>
          </cell>
          <cell r="C336">
            <v>44336</v>
          </cell>
          <cell r="D336" t="str">
            <v>CSP HOLDING GROUP LIMITED</v>
          </cell>
          <cell r="E336" t="str">
            <v>JESSIE</v>
          </cell>
          <cell r="F336" t="str">
            <v>TUG-08</v>
          </cell>
          <cell r="G336">
            <v>178</v>
          </cell>
          <cell r="H336">
            <v>468.68694444444401</v>
          </cell>
          <cell r="I336">
            <v>543.67685555555499</v>
          </cell>
          <cell r="J336">
            <v>83426.27611111103</v>
          </cell>
          <cell r="K336">
            <v>96774.480288888793</v>
          </cell>
          <cell r="L336" t="str">
            <v>GRAVEDAD</v>
          </cell>
          <cell r="N336">
            <v>0</v>
          </cell>
        </row>
        <row r="337">
          <cell r="A337" t="str">
            <v>21L47A</v>
          </cell>
          <cell r="B337">
            <v>44333</v>
          </cell>
          <cell r="C337">
            <v>44336</v>
          </cell>
          <cell r="D337" t="str">
            <v>CSP HOLDING GROUP LIMITED</v>
          </cell>
          <cell r="E337" t="str">
            <v>JESSIE</v>
          </cell>
          <cell r="F337" t="str">
            <v>TUG-10</v>
          </cell>
          <cell r="G337">
            <v>929</v>
          </cell>
          <cell r="H337">
            <v>585.50608180839617</v>
          </cell>
          <cell r="I337">
            <v>679.18705489773947</v>
          </cell>
          <cell r="J337">
            <v>543935.15</v>
          </cell>
          <cell r="K337">
            <v>630964.77399999998</v>
          </cell>
          <cell r="L337" t="str">
            <v>GRAVEDAD</v>
          </cell>
          <cell r="N337">
            <v>0</v>
          </cell>
        </row>
        <row r="338">
          <cell r="A338" t="str">
            <v>21L47A</v>
          </cell>
          <cell r="B338">
            <v>44333</v>
          </cell>
          <cell r="C338">
            <v>44336</v>
          </cell>
          <cell r="D338" t="str">
            <v>CSP HOLDING GROUP LIMITED</v>
          </cell>
          <cell r="E338" t="str">
            <v>JESSIE</v>
          </cell>
          <cell r="F338" t="str">
            <v>TUG-12</v>
          </cell>
          <cell r="G338">
            <v>406</v>
          </cell>
          <cell r="H338">
            <v>702.5372167487684</v>
          </cell>
          <cell r="I338">
            <v>814.9431714285713</v>
          </cell>
          <cell r="J338">
            <v>285230.11</v>
          </cell>
          <cell r="K338">
            <v>330866.92759999994</v>
          </cell>
          <cell r="L338" t="str">
            <v>GRAVEDAD</v>
          </cell>
          <cell r="N338">
            <v>0</v>
          </cell>
        </row>
        <row r="339">
          <cell r="A339" t="str">
            <v>21L47B</v>
          </cell>
          <cell r="B339">
            <v>44333</v>
          </cell>
          <cell r="C339">
            <v>44337</v>
          </cell>
          <cell r="D339" t="str">
            <v>CSP HOLDING GROUP LIMITED</v>
          </cell>
          <cell r="E339" t="str">
            <v>JESSIE</v>
          </cell>
          <cell r="F339" t="str">
            <v>TUG-10</v>
          </cell>
          <cell r="G339">
            <v>753</v>
          </cell>
          <cell r="H339">
            <v>583.92251948051955</v>
          </cell>
          <cell r="I339">
            <v>677.35012259740267</v>
          </cell>
          <cell r="J339">
            <v>439693.65716883121</v>
          </cell>
          <cell r="K339">
            <v>510044.64231584419</v>
          </cell>
          <cell r="L339" t="str">
            <v>GRAVEDAD</v>
          </cell>
          <cell r="N339">
            <v>0</v>
          </cell>
        </row>
        <row r="340">
          <cell r="A340" t="str">
            <v>21L47B</v>
          </cell>
          <cell r="B340">
            <v>44333</v>
          </cell>
          <cell r="C340">
            <v>44337</v>
          </cell>
          <cell r="D340" t="str">
            <v>CSP HOLDING GROUP LIMITED</v>
          </cell>
          <cell r="E340" t="str">
            <v>JESSIE</v>
          </cell>
          <cell r="F340" t="str">
            <v>TUG-10</v>
          </cell>
          <cell r="G340">
            <v>17</v>
          </cell>
          <cell r="H340">
            <v>583.92251948051955</v>
          </cell>
          <cell r="I340">
            <v>677.35012259740267</v>
          </cell>
          <cell r="J340">
            <v>9926.6828311688332</v>
          </cell>
          <cell r="K340">
            <v>11514.952084155846</v>
          </cell>
          <cell r="L340" t="str">
            <v>GRAVEDAD</v>
          </cell>
          <cell r="N340">
            <v>0</v>
          </cell>
        </row>
        <row r="341">
          <cell r="A341" t="str">
            <v>21L47B</v>
          </cell>
          <cell r="B341">
            <v>44333</v>
          </cell>
          <cell r="C341">
            <v>44337</v>
          </cell>
          <cell r="D341" t="str">
            <v>CSP HOLDING GROUP LIMITED</v>
          </cell>
          <cell r="E341" t="str">
            <v>JESSIE</v>
          </cell>
          <cell r="F341" t="str">
            <v>TUG-12</v>
          </cell>
          <cell r="G341">
            <v>667</v>
          </cell>
          <cell r="H341">
            <v>700.7070014992504</v>
          </cell>
          <cell r="I341">
            <v>812.8201217391304</v>
          </cell>
          <cell r="J341">
            <v>467371.57</v>
          </cell>
          <cell r="K341">
            <v>542151.02119999996</v>
          </cell>
          <cell r="L341" t="str">
            <v>GRAVEDAD</v>
          </cell>
          <cell r="N341">
            <v>0</v>
          </cell>
        </row>
        <row r="342">
          <cell r="A342" t="str">
            <v>21L46A</v>
          </cell>
          <cell r="B342">
            <v>44334</v>
          </cell>
          <cell r="C342">
            <v>44340</v>
          </cell>
          <cell r="D342" t="str">
            <v>CSP HOLDING GROUP LIMITED</v>
          </cell>
          <cell r="E342" t="str">
            <v>JESSIE</v>
          </cell>
          <cell r="F342" t="str">
            <v>TUG-08</v>
          </cell>
          <cell r="G342">
            <v>396</v>
          </cell>
          <cell r="H342">
            <v>452.10775000000001</v>
          </cell>
          <cell r="I342">
            <v>524.44498999999996</v>
          </cell>
          <cell r="J342">
            <v>179034.66899999999</v>
          </cell>
          <cell r="K342">
            <v>207680.21603999997</v>
          </cell>
          <cell r="L342" t="str">
            <v>GRAVEDAD</v>
          </cell>
          <cell r="N342">
            <v>0</v>
          </cell>
        </row>
        <row r="343">
          <cell r="A343" t="str">
            <v>21L46A</v>
          </cell>
          <cell r="B343">
            <v>44334</v>
          </cell>
          <cell r="C343">
            <v>44340</v>
          </cell>
          <cell r="D343" t="str">
            <v>CSP HOLDING GROUP LIMITED</v>
          </cell>
          <cell r="E343" t="str">
            <v>JESSIE</v>
          </cell>
          <cell r="F343" t="str">
            <v>TUG-08</v>
          </cell>
          <cell r="G343">
            <v>4</v>
          </cell>
          <cell r="H343">
            <v>452.10775000000001</v>
          </cell>
          <cell r="I343">
            <v>524.44498999999996</v>
          </cell>
          <cell r="J343">
            <v>1808.431</v>
          </cell>
          <cell r="K343">
            <v>2097.7799599999998</v>
          </cell>
          <cell r="L343" t="str">
            <v>GRAVEDAD</v>
          </cell>
          <cell r="N343">
            <v>0</v>
          </cell>
        </row>
        <row r="344">
          <cell r="A344" t="str">
            <v>21L46A</v>
          </cell>
          <cell r="B344">
            <v>44334</v>
          </cell>
          <cell r="C344">
            <v>44340</v>
          </cell>
          <cell r="D344" t="str">
            <v>CSP HOLDING GROUP LIMITED</v>
          </cell>
          <cell r="E344" t="str">
            <v>JESSIE</v>
          </cell>
          <cell r="F344" t="str">
            <v>TUG-12</v>
          </cell>
          <cell r="G344">
            <v>1042</v>
          </cell>
          <cell r="H344">
            <v>678.15952015355083</v>
          </cell>
          <cell r="I344">
            <v>786.66504337811887</v>
          </cell>
          <cell r="J344">
            <v>706642.22</v>
          </cell>
          <cell r="K344">
            <v>819704.97519999987</v>
          </cell>
          <cell r="L344" t="str">
            <v>GRAVEDAD</v>
          </cell>
          <cell r="N344">
            <v>0</v>
          </cell>
        </row>
        <row r="345">
          <cell r="A345" t="str">
            <v>21L46B</v>
          </cell>
          <cell r="B345">
            <v>44334</v>
          </cell>
          <cell r="C345">
            <v>44341</v>
          </cell>
          <cell r="D345" t="str">
            <v>CSP HOLDING GROUP LIMITED</v>
          </cell>
          <cell r="E345" t="str">
            <v>JESSIE</v>
          </cell>
          <cell r="F345" t="str">
            <v>TUG-12</v>
          </cell>
          <cell r="G345">
            <v>646</v>
          </cell>
          <cell r="H345">
            <v>674.83714932126702</v>
          </cell>
          <cell r="I345">
            <v>782.81109321266968</v>
          </cell>
          <cell r="J345">
            <v>435944.79846153851</v>
          </cell>
          <cell r="K345">
            <v>505695.9662153846</v>
          </cell>
          <cell r="L345" t="str">
            <v>GRAVEDAD</v>
          </cell>
          <cell r="N345">
            <v>0</v>
          </cell>
        </row>
        <row r="346">
          <cell r="A346" t="str">
            <v>21L46B</v>
          </cell>
          <cell r="B346">
            <v>44334</v>
          </cell>
          <cell r="C346">
            <v>44341</v>
          </cell>
          <cell r="D346" t="str">
            <v>CSP HOLDING GROUP LIMITED</v>
          </cell>
          <cell r="E346" t="str">
            <v>JESSIE</v>
          </cell>
          <cell r="F346" t="str">
            <v>TUG-12</v>
          </cell>
          <cell r="G346">
            <v>17</v>
          </cell>
          <cell r="H346">
            <v>674.83714932126702</v>
          </cell>
          <cell r="I346">
            <v>782.81109321266968</v>
          </cell>
          <cell r="J346">
            <v>11472.231538461539</v>
          </cell>
          <cell r="K346">
            <v>13307.788584615384</v>
          </cell>
          <cell r="L346" t="str">
            <v>GRAVEDAD</v>
          </cell>
          <cell r="N346">
            <v>0</v>
          </cell>
        </row>
        <row r="347">
          <cell r="A347" t="str">
            <v>21E29-21E33</v>
          </cell>
          <cell r="B347">
            <v>44340</v>
          </cell>
          <cell r="C347">
            <v>44342</v>
          </cell>
          <cell r="D347" t="str">
            <v>Haining Sunsurf New Energy Technology Co., Ltd.</v>
          </cell>
          <cell r="E347" t="str">
            <v>LEON</v>
          </cell>
          <cell r="F347" t="str">
            <v>TPE-26</v>
          </cell>
          <cell r="G347">
            <v>100</v>
          </cell>
          <cell r="H347">
            <v>5815.0666000000001</v>
          </cell>
          <cell r="I347">
            <v>6745.4772559999992</v>
          </cell>
          <cell r="J347">
            <v>581506.66</v>
          </cell>
          <cell r="K347">
            <v>674547.72559999989</v>
          </cell>
          <cell r="L347" t="str">
            <v>PRESION</v>
          </cell>
          <cell r="N347">
            <v>0</v>
          </cell>
        </row>
        <row r="348">
          <cell r="A348" t="str">
            <v>21E29-21E33</v>
          </cell>
          <cell r="B348">
            <v>44340</v>
          </cell>
          <cell r="C348">
            <v>44342</v>
          </cell>
          <cell r="D348" t="str">
            <v>Haining Sunsurf New Energy Technology Co., Ltd.</v>
          </cell>
          <cell r="E348" t="str">
            <v>LEON</v>
          </cell>
          <cell r="F348" t="str">
            <v>TPE-26</v>
          </cell>
          <cell r="G348">
            <v>50</v>
          </cell>
          <cell r="H348">
            <v>5815.0666000000001</v>
          </cell>
          <cell r="I348">
            <v>6745.4772559999992</v>
          </cell>
          <cell r="J348">
            <v>290753.33</v>
          </cell>
          <cell r="K348">
            <v>337273.86279999994</v>
          </cell>
          <cell r="L348" t="str">
            <v>PRESION</v>
          </cell>
          <cell r="N348">
            <v>0</v>
          </cell>
        </row>
        <row r="349">
          <cell r="A349" t="str">
            <v>21E29-21E33</v>
          </cell>
          <cell r="B349">
            <v>44340</v>
          </cell>
          <cell r="C349">
            <v>44342</v>
          </cell>
          <cell r="D349" t="str">
            <v>Haining Sunsurf New Energy Technology Co., Ltd.</v>
          </cell>
          <cell r="E349" t="str">
            <v>LEON</v>
          </cell>
          <cell r="F349" t="str">
            <v>TPE-20</v>
          </cell>
          <cell r="G349">
            <v>50</v>
          </cell>
          <cell r="H349">
            <v>4479.5770000000002</v>
          </cell>
          <cell r="I349">
            <v>5196.3093200000003</v>
          </cell>
          <cell r="J349">
            <v>223978.85</v>
          </cell>
          <cell r="K349">
            <v>259815.46600000001</v>
          </cell>
          <cell r="L349" t="str">
            <v>PRESION</v>
          </cell>
          <cell r="N349">
            <v>0</v>
          </cell>
        </row>
        <row r="350">
          <cell r="A350" t="str">
            <v>21E29-21E33</v>
          </cell>
          <cell r="B350">
            <v>44340</v>
          </cell>
          <cell r="C350">
            <v>44342</v>
          </cell>
          <cell r="D350" t="str">
            <v>Haining Sunsurf New Energy Technology Co., Ltd.</v>
          </cell>
          <cell r="E350" t="str">
            <v>LEON</v>
          </cell>
          <cell r="F350" t="str">
            <v>TPE-20</v>
          </cell>
          <cell r="G350">
            <v>10</v>
          </cell>
          <cell r="H350">
            <v>4479.5770000000002</v>
          </cell>
          <cell r="I350">
            <v>5196.3093200000003</v>
          </cell>
          <cell r="J350">
            <v>44795.770000000004</v>
          </cell>
          <cell r="K350">
            <v>51963.093200000003</v>
          </cell>
          <cell r="L350" t="str">
            <v>PRESION</v>
          </cell>
          <cell r="N350">
            <v>0</v>
          </cell>
        </row>
        <row r="351">
          <cell r="A351" t="str">
            <v>21E29-21E33</v>
          </cell>
          <cell r="B351">
            <v>44340</v>
          </cell>
          <cell r="C351">
            <v>44342</v>
          </cell>
          <cell r="D351" t="str">
            <v>Haining Sunsurf New Energy Technology Co., Ltd.</v>
          </cell>
          <cell r="E351" t="str">
            <v>LEON</v>
          </cell>
          <cell r="F351" t="str">
            <v>CAJA DE CARTÓN</v>
          </cell>
          <cell r="G351">
            <v>4</v>
          </cell>
          <cell r="H351">
            <v>29.524999999999999</v>
          </cell>
          <cell r="I351">
            <v>34.248999999999995</v>
          </cell>
          <cell r="J351">
            <v>118.1</v>
          </cell>
          <cell r="K351">
            <v>136.99599999999998</v>
          </cell>
          <cell r="L351" t="str">
            <v>GARANTIA</v>
          </cell>
          <cell r="N351">
            <v>0</v>
          </cell>
        </row>
        <row r="352">
          <cell r="A352" t="str">
            <v>21L37-21L48B</v>
          </cell>
          <cell r="B352">
            <v>44340</v>
          </cell>
          <cell r="C352">
            <v>44341</v>
          </cell>
          <cell r="D352" t="str">
            <v>CSP HOLDING GROUP LIMITED</v>
          </cell>
          <cell r="E352" t="str">
            <v>JESSIE</v>
          </cell>
          <cell r="F352" t="str">
            <v>TUG-12</v>
          </cell>
          <cell r="G352">
            <v>650</v>
          </cell>
          <cell r="H352">
            <v>694.87</v>
          </cell>
          <cell r="I352">
            <v>806.04919999999993</v>
          </cell>
          <cell r="J352">
            <v>451665.5</v>
          </cell>
          <cell r="K352">
            <v>523931.98</v>
          </cell>
          <cell r="L352" t="str">
            <v>GRAVEDAD</v>
          </cell>
          <cell r="N352">
            <v>0</v>
          </cell>
        </row>
        <row r="353">
          <cell r="A353" t="str">
            <v>21L40-21L51-21L52B</v>
          </cell>
          <cell r="B353">
            <v>44340</v>
          </cell>
          <cell r="C353">
            <v>44342</v>
          </cell>
          <cell r="D353" t="str">
            <v>CSP HOLDING GROUP LIMITED</v>
          </cell>
          <cell r="E353" t="str">
            <v>JESSIE</v>
          </cell>
          <cell r="F353" t="str">
            <v>TUG-02</v>
          </cell>
          <cell r="G353">
            <v>51</v>
          </cell>
          <cell r="H353">
            <v>107.35365384615385</v>
          </cell>
          <cell r="I353">
            <v>124.53023846153846</v>
          </cell>
          <cell r="J353">
            <v>5475.0363461538464</v>
          </cell>
          <cell r="K353">
            <v>6351.0421615384612</v>
          </cell>
          <cell r="L353" t="str">
            <v>GRAVEDAD</v>
          </cell>
          <cell r="N353">
            <v>0</v>
          </cell>
        </row>
        <row r="354">
          <cell r="A354" t="str">
            <v>21L40-21L51-21L52B</v>
          </cell>
          <cell r="B354">
            <v>44340</v>
          </cell>
          <cell r="C354">
            <v>44342</v>
          </cell>
          <cell r="D354" t="str">
            <v>CSP HOLDING GROUP LIMITED</v>
          </cell>
          <cell r="E354" t="str">
            <v>JESSIE</v>
          </cell>
          <cell r="F354" t="str">
            <v>TUG-02</v>
          </cell>
          <cell r="G354">
            <v>1</v>
          </cell>
          <cell r="H354">
            <v>107.35365384615385</v>
          </cell>
          <cell r="I354">
            <v>124.53023846153846</v>
          </cell>
          <cell r="J354">
            <v>107.35365384615385</v>
          </cell>
          <cell r="K354">
            <v>124.53023846153846</v>
          </cell>
          <cell r="L354" t="str">
            <v>GRAVEDAD</v>
          </cell>
          <cell r="N354">
            <v>0</v>
          </cell>
        </row>
        <row r="355">
          <cell r="A355" t="str">
            <v>21L40-21L51-21L52B</v>
          </cell>
          <cell r="B355">
            <v>44340</v>
          </cell>
          <cell r="C355">
            <v>44342</v>
          </cell>
          <cell r="D355" t="str">
            <v>CSP HOLDING GROUP LIMITED</v>
          </cell>
          <cell r="E355" t="str">
            <v>JESSIE</v>
          </cell>
          <cell r="F355" t="str">
            <v>TUG-03</v>
          </cell>
          <cell r="G355">
            <v>54</v>
          </cell>
          <cell r="H355">
            <v>160.58763636363636</v>
          </cell>
          <cell r="I355">
            <v>186.28165818181816</v>
          </cell>
          <cell r="J355">
            <v>8671.7323636363635</v>
          </cell>
          <cell r="K355">
            <v>10059.20954181818</v>
          </cell>
          <cell r="L355" t="str">
            <v>GRAVEDAD</v>
          </cell>
          <cell r="N355">
            <v>0</v>
          </cell>
        </row>
        <row r="356">
          <cell r="A356" t="str">
            <v>21L40-21L51-21L52B</v>
          </cell>
          <cell r="B356">
            <v>44340</v>
          </cell>
          <cell r="C356">
            <v>44342</v>
          </cell>
          <cell r="D356" t="str">
            <v>CSP HOLDING GROUP LIMITED</v>
          </cell>
          <cell r="E356" t="str">
            <v>JESSIE</v>
          </cell>
          <cell r="F356" t="str">
            <v>TUG-03</v>
          </cell>
          <cell r="G356">
            <v>1</v>
          </cell>
          <cell r="H356">
            <v>160.58763636363636</v>
          </cell>
          <cell r="I356">
            <v>186.28165818181816</v>
          </cell>
          <cell r="J356">
            <v>160.58763636363636</v>
          </cell>
          <cell r="K356">
            <v>186.28165818181816</v>
          </cell>
          <cell r="L356" t="str">
            <v>GRAVEDAD</v>
          </cell>
          <cell r="N356">
            <v>0</v>
          </cell>
        </row>
        <row r="357">
          <cell r="A357" t="str">
            <v>21L40-21L51-21L52B</v>
          </cell>
          <cell r="B357">
            <v>44340</v>
          </cell>
          <cell r="C357">
            <v>44342</v>
          </cell>
          <cell r="D357" t="str">
            <v>CSP HOLDING GROUP LIMITED</v>
          </cell>
          <cell r="E357" t="str">
            <v>JESSIE</v>
          </cell>
          <cell r="F357" t="str">
            <v>TUG-08</v>
          </cell>
          <cell r="G357">
            <v>286</v>
          </cell>
          <cell r="H357">
            <v>429.32096885813149</v>
          </cell>
          <cell r="I357">
            <v>498.01232387543251</v>
          </cell>
          <cell r="J357">
            <v>122785.7970934256</v>
          </cell>
          <cell r="K357">
            <v>142431.52462837371</v>
          </cell>
          <cell r="L357" t="str">
            <v>GRAVEDAD</v>
          </cell>
          <cell r="N357">
            <v>0</v>
          </cell>
        </row>
        <row r="358">
          <cell r="A358" t="str">
            <v>21L40-21L51-21L52B</v>
          </cell>
          <cell r="B358">
            <v>44340</v>
          </cell>
          <cell r="C358">
            <v>44342</v>
          </cell>
          <cell r="D358" t="str">
            <v>CSP HOLDING GROUP LIMITED</v>
          </cell>
          <cell r="E358" t="str">
            <v>JESSIE</v>
          </cell>
          <cell r="F358" t="str">
            <v>TUG-08</v>
          </cell>
          <cell r="G358">
            <v>3</v>
          </cell>
          <cell r="H358">
            <v>429.32096885813149</v>
          </cell>
          <cell r="I358">
            <v>498.01232387543251</v>
          </cell>
          <cell r="J358">
            <v>1287.9629065743945</v>
          </cell>
          <cell r="K358">
            <v>1494.0369716262976</v>
          </cell>
          <cell r="L358" t="str">
            <v>GRAVEDAD</v>
          </cell>
          <cell r="N358">
            <v>0</v>
          </cell>
        </row>
        <row r="359">
          <cell r="A359" t="str">
            <v>21L40-21L51-21L52B</v>
          </cell>
          <cell r="B359">
            <v>44340</v>
          </cell>
          <cell r="C359">
            <v>44342</v>
          </cell>
          <cell r="D359" t="str">
            <v>CSP HOLDING GROUP LIMITED</v>
          </cell>
          <cell r="E359" t="str">
            <v>JESSIE</v>
          </cell>
          <cell r="F359" t="str">
            <v>TUP-10</v>
          </cell>
          <cell r="G359">
            <v>156</v>
          </cell>
          <cell r="H359">
            <v>1365.9803205128205</v>
          </cell>
          <cell r="I359">
            <v>1584.5371717948717</v>
          </cell>
          <cell r="J359">
            <v>213092.93</v>
          </cell>
          <cell r="K359">
            <v>247187.79879999999</v>
          </cell>
          <cell r="L359" t="str">
            <v>PRESION</v>
          </cell>
          <cell r="N359">
            <v>0</v>
          </cell>
        </row>
        <row r="360">
          <cell r="A360" t="str">
            <v>21L40-21L51-21L52B</v>
          </cell>
          <cell r="B360">
            <v>44340</v>
          </cell>
          <cell r="C360">
            <v>44342</v>
          </cell>
          <cell r="D360" t="str">
            <v>CSP HOLDING GROUP LIMITED</v>
          </cell>
          <cell r="E360" t="str">
            <v>JESSIE</v>
          </cell>
          <cell r="F360" t="str">
            <v>TUP-06</v>
          </cell>
          <cell r="G360">
            <v>103</v>
          </cell>
          <cell r="H360">
            <v>819.49865384615384</v>
          </cell>
          <cell r="I360">
            <v>950.6184384615384</v>
          </cell>
          <cell r="J360">
            <v>84408.361346153848</v>
          </cell>
          <cell r="K360">
            <v>97913.699161538461</v>
          </cell>
          <cell r="L360" t="str">
            <v>PRESION</v>
          </cell>
          <cell r="N360">
            <v>0</v>
          </cell>
        </row>
        <row r="361">
          <cell r="A361" t="str">
            <v>21L40-21L51-21L52B</v>
          </cell>
          <cell r="B361">
            <v>44340</v>
          </cell>
          <cell r="C361">
            <v>44342</v>
          </cell>
          <cell r="D361" t="str">
            <v>CSP HOLDING GROUP LIMITED</v>
          </cell>
          <cell r="E361" t="str">
            <v>JESSIE</v>
          </cell>
          <cell r="F361" t="str">
            <v>TUP-06</v>
          </cell>
          <cell r="G361">
            <v>1</v>
          </cell>
          <cell r="H361">
            <v>819.49865384615384</v>
          </cell>
          <cell r="I361">
            <v>950.6184384615384</v>
          </cell>
          <cell r="J361">
            <v>819.49865384615384</v>
          </cell>
          <cell r="K361">
            <v>950.6184384615384</v>
          </cell>
          <cell r="L361" t="str">
            <v>PRESION</v>
          </cell>
          <cell r="N361">
            <v>0</v>
          </cell>
        </row>
        <row r="362">
          <cell r="A362" t="str">
            <v>21L40-21L51-21L52B</v>
          </cell>
          <cell r="B362">
            <v>44340</v>
          </cell>
          <cell r="C362">
            <v>44342</v>
          </cell>
          <cell r="D362" t="str">
            <v>CSP HOLDING GROUP LIMITED</v>
          </cell>
          <cell r="E362" t="str">
            <v>JESSIE</v>
          </cell>
          <cell r="F362" t="str">
            <v>TUG-12</v>
          </cell>
          <cell r="G362">
            <v>223</v>
          </cell>
          <cell r="H362">
            <v>658.05304932735419</v>
          </cell>
          <cell r="I362">
            <v>763.34153721973075</v>
          </cell>
          <cell r="J362">
            <v>146745.82999999999</v>
          </cell>
          <cell r="K362">
            <v>170225.16279999996</v>
          </cell>
          <cell r="L362" t="str">
            <v>GRAVEDAD</v>
          </cell>
          <cell r="N362">
            <v>0</v>
          </cell>
        </row>
        <row r="363">
          <cell r="A363" t="str">
            <v>21L40-21L51-21L52B</v>
          </cell>
          <cell r="B363">
            <v>44340</v>
          </cell>
          <cell r="C363">
            <v>44342</v>
          </cell>
          <cell r="D363" t="str">
            <v>CSP HOLDING GROUP LIMITED</v>
          </cell>
          <cell r="E363" t="str">
            <v>JESSIE</v>
          </cell>
          <cell r="F363" t="str">
            <v>TUG-15</v>
          </cell>
          <cell r="G363">
            <v>535</v>
          </cell>
          <cell r="H363">
            <v>805.17530841121493</v>
          </cell>
          <cell r="I363">
            <v>934.00335775700921</v>
          </cell>
          <cell r="J363">
            <v>430768.79</v>
          </cell>
          <cell r="K363">
            <v>499691.79639999993</v>
          </cell>
          <cell r="L363" t="str">
            <v>GRAVEDAD</v>
          </cell>
          <cell r="N363">
            <v>0</v>
          </cell>
        </row>
        <row r="364">
          <cell r="A364" t="str">
            <v>21L38-21L50</v>
          </cell>
          <cell r="B364">
            <v>44341</v>
          </cell>
          <cell r="C364">
            <v>44343</v>
          </cell>
          <cell r="D364" t="str">
            <v>Haining Sunsurf New Energy Technology Co., Ltd.</v>
          </cell>
          <cell r="E364" t="str">
            <v>LEON</v>
          </cell>
          <cell r="F364" t="str">
            <v>BP-26</v>
          </cell>
          <cell r="G364">
            <v>130</v>
          </cell>
          <cell r="H364">
            <v>639.22623076923082</v>
          </cell>
          <cell r="I364">
            <v>741.50242769230772</v>
          </cell>
          <cell r="J364">
            <v>83099.41</v>
          </cell>
          <cell r="K364">
            <v>96395.315600000002</v>
          </cell>
          <cell r="L364" t="str">
            <v>PRESION</v>
          </cell>
          <cell r="N364">
            <v>0</v>
          </cell>
        </row>
        <row r="365">
          <cell r="A365" t="str">
            <v>21L38-21L50</v>
          </cell>
          <cell r="B365">
            <v>44341</v>
          </cell>
          <cell r="C365">
            <v>44343</v>
          </cell>
          <cell r="D365" t="str">
            <v>Haining Sunsurf New Energy Technology Co., Ltd.</v>
          </cell>
          <cell r="E365" t="str">
            <v>LEON</v>
          </cell>
          <cell r="F365" t="str">
            <v>BP-20</v>
          </cell>
          <cell r="G365">
            <v>200</v>
          </cell>
          <cell r="H365">
            <v>576.45965000000001</v>
          </cell>
          <cell r="I365">
            <v>668.69319399999995</v>
          </cell>
          <cell r="J365">
            <v>115291.93000000001</v>
          </cell>
          <cell r="K365">
            <v>133738.63879999999</v>
          </cell>
          <cell r="L365" t="str">
            <v>PRESION</v>
          </cell>
          <cell r="N365">
            <v>0</v>
          </cell>
        </row>
        <row r="366">
          <cell r="A366" t="str">
            <v>21L38-21L50</v>
          </cell>
          <cell r="B366">
            <v>44341</v>
          </cell>
          <cell r="C366">
            <v>44343</v>
          </cell>
          <cell r="D366" t="str">
            <v>Haining Sunsurf New Energy Technology Co., Ltd.</v>
          </cell>
          <cell r="E366" t="str">
            <v>LEON</v>
          </cell>
          <cell r="F366" t="str">
            <v>BG-18</v>
          </cell>
          <cell r="G366">
            <v>250</v>
          </cell>
          <cell r="H366">
            <v>410.18240000000003</v>
          </cell>
          <cell r="I366">
            <v>475.81158399999998</v>
          </cell>
          <cell r="J366">
            <v>102545.60000000001</v>
          </cell>
          <cell r="K366">
            <v>118952.89599999999</v>
          </cell>
          <cell r="L366" t="str">
            <v>GRAVEDAD</v>
          </cell>
          <cell r="N366">
            <v>0</v>
          </cell>
        </row>
        <row r="367">
          <cell r="A367" t="str">
            <v>21L38-21L50</v>
          </cell>
          <cell r="B367">
            <v>44341</v>
          </cell>
          <cell r="C367">
            <v>44343</v>
          </cell>
          <cell r="D367" t="str">
            <v>Haining Sunsurf New Energy Technology Co., Ltd.</v>
          </cell>
          <cell r="E367" t="str">
            <v>LEON</v>
          </cell>
          <cell r="F367" t="str">
            <v>BG-20</v>
          </cell>
          <cell r="G367">
            <v>50</v>
          </cell>
          <cell r="H367">
            <v>396.8526</v>
          </cell>
          <cell r="I367">
            <v>460.34901599999995</v>
          </cell>
          <cell r="J367">
            <v>19842.63</v>
          </cell>
          <cell r="K367">
            <v>23017.450799999999</v>
          </cell>
          <cell r="L367" t="str">
            <v>GRAVEDAD</v>
          </cell>
          <cell r="N367">
            <v>0</v>
          </cell>
        </row>
        <row r="368">
          <cell r="A368" t="str">
            <v>21L38-21L50</v>
          </cell>
          <cell r="B368">
            <v>44341</v>
          </cell>
          <cell r="C368">
            <v>44343</v>
          </cell>
          <cell r="D368" t="str">
            <v>Haining Sunsurf New Energy Technology Co., Ltd.</v>
          </cell>
          <cell r="E368" t="str">
            <v>LEON</v>
          </cell>
          <cell r="F368" t="str">
            <v>BG-12</v>
          </cell>
          <cell r="G368">
            <v>2220</v>
          </cell>
          <cell r="H368">
            <v>362.21337387387388</v>
          </cell>
          <cell r="I368">
            <v>420.16751369369365</v>
          </cell>
          <cell r="J368">
            <v>804113.69000000006</v>
          </cell>
          <cell r="K368">
            <v>932771.88039999991</v>
          </cell>
          <cell r="L368" t="str">
            <v>GRAVEDAD</v>
          </cell>
          <cell r="N368">
            <v>0</v>
          </cell>
        </row>
        <row r="369">
          <cell r="A369" t="str">
            <v>21L38-21L50</v>
          </cell>
          <cell r="B369">
            <v>44341</v>
          </cell>
          <cell r="C369">
            <v>44343</v>
          </cell>
          <cell r="D369" t="str">
            <v>Haining Sunsurf New Energy Technology Co., Ltd.</v>
          </cell>
          <cell r="E369" t="str">
            <v>LEON</v>
          </cell>
          <cell r="F369" t="str">
            <v>BG-10</v>
          </cell>
          <cell r="G369">
            <v>200</v>
          </cell>
          <cell r="H369">
            <v>336.49669999999998</v>
          </cell>
          <cell r="I369">
            <v>390.33617199999992</v>
          </cell>
          <cell r="J369">
            <v>67299.34</v>
          </cell>
          <cell r="K369">
            <v>78067.234399999987</v>
          </cell>
          <cell r="L369" t="str">
            <v>GRAVEDAD</v>
          </cell>
          <cell r="N369">
            <v>0</v>
          </cell>
        </row>
        <row r="370">
          <cell r="A370" t="str">
            <v>21L38-21L50</v>
          </cell>
          <cell r="B370">
            <v>44341</v>
          </cell>
          <cell r="C370">
            <v>44343</v>
          </cell>
          <cell r="D370" t="str">
            <v>Haining Sunsurf New Energy Technology Co., Ltd.</v>
          </cell>
          <cell r="E370" t="str">
            <v>LEON</v>
          </cell>
          <cell r="F370" t="str">
            <v>BP-10</v>
          </cell>
          <cell r="G370">
            <v>550</v>
          </cell>
          <cell r="H370">
            <v>336.24740000000003</v>
          </cell>
          <cell r="I370">
            <v>390.04698400000001</v>
          </cell>
          <cell r="J370">
            <v>184936.07</v>
          </cell>
          <cell r="K370">
            <v>214525.8412</v>
          </cell>
          <cell r="L370" t="str">
            <v>PRESION</v>
          </cell>
          <cell r="N370">
            <v>0</v>
          </cell>
        </row>
        <row r="371">
          <cell r="A371" t="str">
            <v>21L38-21L50</v>
          </cell>
          <cell r="B371">
            <v>44341</v>
          </cell>
          <cell r="C371">
            <v>44343</v>
          </cell>
          <cell r="D371" t="str">
            <v>Haining Sunsurf New Energy Technology Co., Ltd.</v>
          </cell>
          <cell r="E371" t="str">
            <v>LEON</v>
          </cell>
          <cell r="F371" t="str">
            <v>CAJA DE CARTÓN</v>
          </cell>
          <cell r="G371">
            <v>34</v>
          </cell>
          <cell r="H371">
            <v>26.85705882352941</v>
          </cell>
          <cell r="I371">
            <v>31.154188235294114</v>
          </cell>
          <cell r="J371">
            <v>913.14</v>
          </cell>
          <cell r="K371">
            <v>1059.2423999999999</v>
          </cell>
          <cell r="L371" t="str">
            <v>GARANTIA</v>
          </cell>
          <cell r="N371">
            <v>0</v>
          </cell>
        </row>
        <row r="372">
          <cell r="A372" t="str">
            <v>21L40-21L51-21L52A</v>
          </cell>
          <cell r="B372">
            <v>44341</v>
          </cell>
          <cell r="C372">
            <v>44343</v>
          </cell>
          <cell r="D372" t="str">
            <v>CSP HOLDING GROUP LIMITED</v>
          </cell>
          <cell r="E372" t="str">
            <v>JESSIE</v>
          </cell>
          <cell r="F372" t="str">
            <v>TUP-03</v>
          </cell>
          <cell r="G372">
            <v>49</v>
          </cell>
          <cell r="H372">
            <v>432.71820000000002</v>
          </cell>
          <cell r="I372">
            <v>501.95311199999998</v>
          </cell>
          <cell r="J372">
            <v>21203.191800000001</v>
          </cell>
          <cell r="K372">
            <v>24595.702487999999</v>
          </cell>
          <cell r="L372" t="str">
            <v>PRESION</v>
          </cell>
          <cell r="N372">
            <v>0</v>
          </cell>
        </row>
        <row r="373">
          <cell r="A373" t="str">
            <v>21L40-21L51-21L52A</v>
          </cell>
          <cell r="B373">
            <v>44341</v>
          </cell>
          <cell r="C373">
            <v>44343</v>
          </cell>
          <cell r="D373" t="str">
            <v>CSP HOLDING GROUP LIMITED</v>
          </cell>
          <cell r="E373" t="str">
            <v>JESSIE</v>
          </cell>
          <cell r="F373" t="str">
            <v>TUP-03</v>
          </cell>
          <cell r="G373">
            <v>1</v>
          </cell>
          <cell r="H373">
            <v>432.71820000000002</v>
          </cell>
          <cell r="I373">
            <v>501.95311199999998</v>
          </cell>
          <cell r="J373">
            <v>432.71820000000002</v>
          </cell>
          <cell r="K373">
            <v>501.95311199999998</v>
          </cell>
          <cell r="L373" t="str">
            <v>PRESION</v>
          </cell>
          <cell r="N373">
            <v>0</v>
          </cell>
        </row>
        <row r="374">
          <cell r="A374" t="str">
            <v>21L40-21L51-21L52A</v>
          </cell>
          <cell r="B374">
            <v>44341</v>
          </cell>
          <cell r="C374">
            <v>44343</v>
          </cell>
          <cell r="D374" t="str">
            <v>CSP HOLDING GROUP LIMITED</v>
          </cell>
          <cell r="E374" t="str">
            <v>JESSIE</v>
          </cell>
          <cell r="F374" t="str">
            <v>TUP-02</v>
          </cell>
          <cell r="G374">
            <v>51</v>
          </cell>
          <cell r="H374">
            <v>288.39346153846151</v>
          </cell>
          <cell r="I374">
            <v>334.53641538461534</v>
          </cell>
          <cell r="J374">
            <v>14708.066538461537</v>
          </cell>
          <cell r="K374">
            <v>17061.357184615383</v>
          </cell>
          <cell r="L374" t="str">
            <v>PRESION</v>
          </cell>
          <cell r="N374">
            <v>0</v>
          </cell>
        </row>
        <row r="375">
          <cell r="A375" t="str">
            <v>21L40-21L51-21L52A</v>
          </cell>
          <cell r="B375">
            <v>44341</v>
          </cell>
          <cell r="C375">
            <v>44343</v>
          </cell>
          <cell r="D375" t="str">
            <v>CSP HOLDING GROUP LIMITED</v>
          </cell>
          <cell r="E375" t="str">
            <v>JESSIE</v>
          </cell>
          <cell r="F375" t="str">
            <v>TUP-02</v>
          </cell>
          <cell r="G375">
            <v>1</v>
          </cell>
          <cell r="H375">
            <v>288.39346153846151</v>
          </cell>
          <cell r="I375">
            <v>334.53641538461534</v>
          </cell>
          <cell r="J375">
            <v>288.39346153846151</v>
          </cell>
          <cell r="K375">
            <v>334.53641538461534</v>
          </cell>
          <cell r="L375" t="str">
            <v>PRESION</v>
          </cell>
          <cell r="N375">
            <v>0</v>
          </cell>
        </row>
        <row r="376">
          <cell r="A376" t="str">
            <v>21L40-21L51-21L52A</v>
          </cell>
          <cell r="B376">
            <v>44341</v>
          </cell>
          <cell r="C376">
            <v>44343</v>
          </cell>
          <cell r="D376" t="str">
            <v>CSP HOLDING GROUP LIMITED</v>
          </cell>
          <cell r="E376" t="str">
            <v>JESSIE</v>
          </cell>
          <cell r="F376" t="str">
            <v>TUG-12</v>
          </cell>
          <cell r="G376">
            <v>652</v>
          </cell>
          <cell r="H376">
            <v>694.36456752655533</v>
          </cell>
          <cell r="I376">
            <v>805.46289833080414</v>
          </cell>
          <cell r="J376">
            <v>452725.69802731409</v>
          </cell>
          <cell r="K376">
            <v>525161.80971168424</v>
          </cell>
          <cell r="L376" t="str">
            <v>GRAVEDAD</v>
          </cell>
          <cell r="N376">
            <v>0</v>
          </cell>
        </row>
        <row r="377">
          <cell r="A377" t="str">
            <v>21L40-21L51-21L52A</v>
          </cell>
          <cell r="B377">
            <v>44341</v>
          </cell>
          <cell r="C377">
            <v>44343</v>
          </cell>
          <cell r="D377" t="str">
            <v>CSP HOLDING GROUP LIMITED</v>
          </cell>
          <cell r="E377" t="str">
            <v>JESSIE</v>
          </cell>
          <cell r="F377" t="str">
            <v>TUG-12</v>
          </cell>
          <cell r="G377">
            <v>7</v>
          </cell>
          <cell r="H377">
            <v>694.36456752655533</v>
          </cell>
          <cell r="I377">
            <v>805.46289833080414</v>
          </cell>
          <cell r="J377">
            <v>4860.5519726858874</v>
          </cell>
          <cell r="K377">
            <v>5638.2402883156292</v>
          </cell>
          <cell r="L377" t="str">
            <v>GRAVEDAD</v>
          </cell>
          <cell r="N377">
            <v>0</v>
          </cell>
        </row>
        <row r="378">
          <cell r="A378" t="str">
            <v>21L40-21L51-21L52A</v>
          </cell>
          <cell r="B378">
            <v>44341</v>
          </cell>
          <cell r="C378">
            <v>44343</v>
          </cell>
          <cell r="D378" t="str">
            <v>CSP HOLDING GROUP LIMITED</v>
          </cell>
          <cell r="E378" t="str">
            <v>JESSIE</v>
          </cell>
          <cell r="F378" t="str">
            <v>TUG-15</v>
          </cell>
          <cell r="G378">
            <v>505</v>
          </cell>
          <cell r="H378">
            <v>849.65563106796117</v>
          </cell>
          <cell r="I378">
            <v>985.6005320388349</v>
          </cell>
          <cell r="J378">
            <v>429076.09368932038</v>
          </cell>
          <cell r="K378">
            <v>497728.26867961162</v>
          </cell>
          <cell r="L378" t="str">
            <v>GRAVEDAD</v>
          </cell>
          <cell r="N378">
            <v>0</v>
          </cell>
        </row>
        <row r="379">
          <cell r="A379" t="str">
            <v>21L40-21L51-21L52A</v>
          </cell>
          <cell r="B379">
            <v>44341</v>
          </cell>
          <cell r="C379">
            <v>44343</v>
          </cell>
          <cell r="D379" t="str">
            <v>CSP HOLDING GROUP LIMITED</v>
          </cell>
          <cell r="E379" t="str">
            <v>JESSIE</v>
          </cell>
          <cell r="F379" t="str">
            <v>TUG-15</v>
          </cell>
          <cell r="G379">
            <v>10</v>
          </cell>
          <cell r="H379">
            <v>849.65563106796117</v>
          </cell>
          <cell r="I379">
            <v>985.6005320388349</v>
          </cell>
          <cell r="J379">
            <v>8496.5563106796108</v>
          </cell>
          <cell r="K379">
            <v>9856.005320388349</v>
          </cell>
          <cell r="L379" t="str">
            <v>GRAVEDAD</v>
          </cell>
          <cell r="N379">
            <v>0</v>
          </cell>
        </row>
        <row r="380">
          <cell r="A380" t="str">
            <v>21L37-21L48A</v>
          </cell>
          <cell r="B380">
            <v>44342</v>
          </cell>
          <cell r="C380">
            <v>44344</v>
          </cell>
          <cell r="D380" t="str">
            <v>CSP HOLDING GROUP LIMITED</v>
          </cell>
          <cell r="E380" t="str">
            <v>JESSIE</v>
          </cell>
          <cell r="F380" t="str">
            <v>TUG-12</v>
          </cell>
          <cell r="G380">
            <v>1338</v>
          </cell>
          <cell r="H380">
            <v>685.93163677129996</v>
          </cell>
          <cell r="I380">
            <v>795.68069865470795</v>
          </cell>
          <cell r="J380">
            <v>917776.52999999933</v>
          </cell>
          <cell r="K380">
            <v>1064620.7747999993</v>
          </cell>
          <cell r="L380" t="str">
            <v>GRAVEDAD</v>
          </cell>
          <cell r="N380">
            <v>0</v>
          </cell>
        </row>
        <row r="381">
          <cell r="A381" t="str">
            <v>21L39</v>
          </cell>
          <cell r="B381">
            <v>44342</v>
          </cell>
          <cell r="C381">
            <v>44345</v>
          </cell>
          <cell r="D381" t="str">
            <v>HAINING LEBRIA E
BUSINESS CO.</v>
          </cell>
          <cell r="E381" t="str">
            <v>EMMA</v>
          </cell>
          <cell r="F381" t="str">
            <v>TUP-10</v>
          </cell>
          <cell r="G381">
            <v>492</v>
          </cell>
          <cell r="H381">
            <v>1101.7876422764227</v>
          </cell>
          <cell r="I381">
            <v>1278.0736650406502</v>
          </cell>
          <cell r="J381">
            <v>542079.52</v>
          </cell>
          <cell r="K381">
            <v>628812.24319999991</v>
          </cell>
          <cell r="L381" t="str">
            <v>PRESION</v>
          </cell>
          <cell r="N381">
            <v>0</v>
          </cell>
        </row>
        <row r="382">
          <cell r="A382" t="str">
            <v>21L39</v>
          </cell>
          <cell r="B382">
            <v>44342</v>
          </cell>
          <cell r="C382">
            <v>44345</v>
          </cell>
          <cell r="D382" t="str">
            <v>HAINING LEBRIA E
BUSINESS CO.</v>
          </cell>
          <cell r="E382" t="str">
            <v>EMMA</v>
          </cell>
          <cell r="F382" t="str">
            <v>TUP-06</v>
          </cell>
          <cell r="G382">
            <v>44</v>
          </cell>
          <cell r="H382">
            <v>660.7590909090909</v>
          </cell>
          <cell r="I382">
            <v>766.48054545454534</v>
          </cell>
          <cell r="J382">
            <v>29073.4</v>
          </cell>
          <cell r="K382">
            <v>33725.143999999993</v>
          </cell>
          <cell r="L382" t="str">
            <v>PRESION</v>
          </cell>
          <cell r="N382">
            <v>0</v>
          </cell>
        </row>
        <row r="383">
          <cell r="A383" t="str">
            <v>21L39</v>
          </cell>
          <cell r="B383">
            <v>44342</v>
          </cell>
          <cell r="C383">
            <v>44345</v>
          </cell>
          <cell r="D383" t="str">
            <v>HAINING LEBRIA E
BUSINESS CO.</v>
          </cell>
          <cell r="E383" t="str">
            <v>EMMA</v>
          </cell>
          <cell r="F383" t="str">
            <v>TUG-10</v>
          </cell>
          <cell r="G383">
            <v>170</v>
          </cell>
          <cell r="H383">
            <v>409.31359813084111</v>
          </cell>
          <cell r="I383">
            <v>474.80377383177569</v>
          </cell>
          <cell r="J383">
            <v>69583.311682242987</v>
          </cell>
          <cell r="K383">
            <v>80716.641551401874</v>
          </cell>
          <cell r="L383" t="str">
            <v>GRAVEDAD</v>
          </cell>
          <cell r="N383">
            <v>0</v>
          </cell>
        </row>
        <row r="384">
          <cell r="A384" t="str">
            <v>21L39</v>
          </cell>
          <cell r="B384">
            <v>44342</v>
          </cell>
          <cell r="C384">
            <v>44345</v>
          </cell>
          <cell r="D384" t="str">
            <v>HAINING LEBRIA E
BUSINESS CO.</v>
          </cell>
          <cell r="E384" t="str">
            <v>EMMA</v>
          </cell>
          <cell r="F384" t="str">
            <v>TUG-10</v>
          </cell>
          <cell r="G384">
            <v>44</v>
          </cell>
          <cell r="H384">
            <v>409.31359813084111</v>
          </cell>
          <cell r="I384">
            <v>474.80377383177569</v>
          </cell>
          <cell r="J384">
            <v>18009.798317757009</v>
          </cell>
          <cell r="K384">
            <v>20891.366048598131</v>
          </cell>
          <cell r="L384" t="str">
            <v>GRAVEDAD</v>
          </cell>
          <cell r="N384">
            <v>0</v>
          </cell>
        </row>
        <row r="385">
          <cell r="A385" t="str">
            <v>21L40-21L51-21L52C</v>
          </cell>
          <cell r="B385">
            <v>44342</v>
          </cell>
          <cell r="C385">
            <v>44345</v>
          </cell>
          <cell r="D385" t="str">
            <v>CSP HOLDING GROUP LIMITED</v>
          </cell>
          <cell r="E385" t="str">
            <v>JESSIE</v>
          </cell>
          <cell r="F385" t="str">
            <v>TUP-10</v>
          </cell>
          <cell r="G385">
            <v>290</v>
          </cell>
          <cell r="H385">
            <v>1264.873103448276</v>
          </cell>
          <cell r="I385">
            <v>1467.2528</v>
          </cell>
          <cell r="J385">
            <v>366813.2</v>
          </cell>
          <cell r="K385">
            <v>425503.31199999998</v>
          </cell>
          <cell r="L385" t="str">
            <v>PRESION</v>
          </cell>
          <cell r="N385">
            <v>0</v>
          </cell>
        </row>
        <row r="386">
          <cell r="A386" t="str">
            <v>21L40-21L51-21L52C</v>
          </cell>
          <cell r="B386">
            <v>44342</v>
          </cell>
          <cell r="C386">
            <v>44345</v>
          </cell>
          <cell r="D386" t="str">
            <v>CSP HOLDING GROUP LIMITED</v>
          </cell>
          <cell r="E386" t="str">
            <v>JESSIE</v>
          </cell>
          <cell r="F386" t="str">
            <v>TUG-10</v>
          </cell>
          <cell r="G386">
            <v>200</v>
          </cell>
          <cell r="H386">
            <v>497.26749999999998</v>
          </cell>
          <cell r="I386">
            <v>576.83029999999997</v>
          </cell>
          <cell r="J386">
            <v>99453.5</v>
          </cell>
          <cell r="K386">
            <v>115366.06</v>
          </cell>
          <cell r="L386" t="str">
            <v>GRAVEDAD</v>
          </cell>
          <cell r="N386">
            <v>0</v>
          </cell>
        </row>
        <row r="387">
          <cell r="A387" t="str">
            <v>21L40-21L51-21L52C</v>
          </cell>
          <cell r="B387">
            <v>44342</v>
          </cell>
          <cell r="C387">
            <v>44345</v>
          </cell>
          <cell r="D387" t="str">
            <v>CSP HOLDING GROUP LIMITED</v>
          </cell>
          <cell r="E387" t="str">
            <v>JESSIE</v>
          </cell>
          <cell r="F387" t="str">
            <v>TUG-12</v>
          </cell>
          <cell r="G387">
            <v>200</v>
          </cell>
          <cell r="H387">
            <v>609.303</v>
          </cell>
          <cell r="I387">
            <v>706.79147999999998</v>
          </cell>
          <cell r="J387">
            <v>121860.6</v>
          </cell>
          <cell r="K387">
            <v>141358.296</v>
          </cell>
          <cell r="L387" t="str">
            <v>GRAVEDAD</v>
          </cell>
          <cell r="N387">
            <v>0</v>
          </cell>
        </row>
        <row r="388">
          <cell r="A388" t="str">
            <v>21L45</v>
          </cell>
          <cell r="B388">
            <v>44342</v>
          </cell>
          <cell r="C388">
            <v>44344</v>
          </cell>
          <cell r="D388" t="str">
            <v>JIAXING WOERQI ELECTRICAL CO., LTD</v>
          </cell>
          <cell r="E388" t="str">
            <v>JACKY</v>
          </cell>
          <cell r="F388" t="str">
            <v>BG-12</v>
          </cell>
          <cell r="G388">
            <v>1200</v>
          </cell>
          <cell r="H388">
            <v>365.2945876</v>
          </cell>
          <cell r="I388">
            <v>423.74172161599995</v>
          </cell>
          <cell r="J388">
            <v>438353.50511999999</v>
          </cell>
          <cell r="K388">
            <v>508490.06593919994</v>
          </cell>
          <cell r="L388" t="str">
            <v>GRAVEDAD</v>
          </cell>
          <cell r="N388">
            <v>0</v>
          </cell>
        </row>
        <row r="389">
          <cell r="A389" t="str">
            <v>21L45</v>
          </cell>
          <cell r="B389">
            <v>44342</v>
          </cell>
          <cell r="C389">
            <v>44344</v>
          </cell>
          <cell r="D389" t="str">
            <v>JIAXING WOERQI ELECTRICAL CO., LTD</v>
          </cell>
          <cell r="E389" t="str">
            <v>JACKY</v>
          </cell>
          <cell r="F389" t="str">
            <v>BG-10</v>
          </cell>
          <cell r="G389">
            <v>550</v>
          </cell>
          <cell r="H389">
            <v>358.80958700000002</v>
          </cell>
          <cell r="I389">
            <v>416.21912092000002</v>
          </cell>
          <cell r="J389">
            <v>197345.27285000001</v>
          </cell>
          <cell r="K389">
            <v>228920.51650600001</v>
          </cell>
          <cell r="L389" t="str">
            <v>GRAVEDAD</v>
          </cell>
          <cell r="N389">
            <v>0</v>
          </cell>
        </row>
        <row r="390">
          <cell r="A390" t="str">
            <v>21L53-21L54A</v>
          </cell>
          <cell r="B390">
            <v>44345</v>
          </cell>
          <cell r="C390">
            <v>44347</v>
          </cell>
          <cell r="D390" t="str">
            <v>CSP HOLDING GROUP LIMITED</v>
          </cell>
          <cell r="E390" t="str">
            <v>JESSIE</v>
          </cell>
          <cell r="F390" t="str">
            <v>TUG-08</v>
          </cell>
          <cell r="G390">
            <v>199</v>
          </cell>
          <cell r="H390">
            <v>435.87618090452264</v>
          </cell>
          <cell r="I390">
            <v>505.61636984924621</v>
          </cell>
          <cell r="J390">
            <v>86739.36</v>
          </cell>
          <cell r="K390">
            <v>100617.65759999999</v>
          </cell>
          <cell r="L390" t="str">
            <v>GRAVEDAD</v>
          </cell>
          <cell r="N390">
            <v>0</v>
          </cell>
        </row>
        <row r="391">
          <cell r="A391" t="str">
            <v>21L53-21L54A</v>
          </cell>
          <cell r="B391">
            <v>44345</v>
          </cell>
          <cell r="C391">
            <v>44347</v>
          </cell>
          <cell r="D391" t="str">
            <v>CSP HOLDING GROUP LIMITED</v>
          </cell>
          <cell r="E391" t="str">
            <v>JESSIE</v>
          </cell>
          <cell r="F391" t="str">
            <v>TUP-10</v>
          </cell>
          <cell r="G391">
            <v>126</v>
          </cell>
          <cell r="H391">
            <v>1387.1126190476191</v>
          </cell>
          <cell r="I391">
            <v>1609.0506380952381</v>
          </cell>
          <cell r="J391">
            <v>174776.19</v>
          </cell>
          <cell r="K391">
            <v>202740.38039999999</v>
          </cell>
          <cell r="L391" t="str">
            <v>PRESION</v>
          </cell>
          <cell r="N391">
            <v>0</v>
          </cell>
        </row>
        <row r="392">
          <cell r="A392" t="str">
            <v>21L53-21L54A</v>
          </cell>
          <cell r="B392">
            <v>44345</v>
          </cell>
          <cell r="C392">
            <v>44347</v>
          </cell>
          <cell r="D392" t="str">
            <v>CSP HOLDING GROUP LIMITED</v>
          </cell>
          <cell r="E392" t="str">
            <v>JESSIE</v>
          </cell>
          <cell r="F392" t="str">
            <v>TUP-06</v>
          </cell>
          <cell r="G392">
            <v>51</v>
          </cell>
          <cell r="H392">
            <v>832.10196078431363</v>
          </cell>
          <cell r="I392">
            <v>965.23827450980377</v>
          </cell>
          <cell r="J392">
            <v>42437.2</v>
          </cell>
          <cell r="K392">
            <v>49227.151999999995</v>
          </cell>
          <cell r="L392" t="str">
            <v>PRESION</v>
          </cell>
          <cell r="N392">
            <v>0</v>
          </cell>
        </row>
        <row r="393">
          <cell r="A393" t="str">
            <v>21L53-21L54A</v>
          </cell>
          <cell r="B393">
            <v>44345</v>
          </cell>
          <cell r="C393">
            <v>44347</v>
          </cell>
          <cell r="D393" t="str">
            <v>CSP HOLDING GROUP LIMITED</v>
          </cell>
          <cell r="E393" t="str">
            <v>JESSIE</v>
          </cell>
          <cell r="F393" t="str">
            <v>TUG-10</v>
          </cell>
          <cell r="G393">
            <v>260</v>
          </cell>
          <cell r="H393">
            <v>545.01553846153854</v>
          </cell>
          <cell r="I393">
            <v>632.21802461538471</v>
          </cell>
          <cell r="J393">
            <v>141704.04</v>
          </cell>
          <cell r="K393">
            <v>164376.68640000004</v>
          </cell>
          <cell r="L393" t="str">
            <v>GRAVEDAD</v>
          </cell>
          <cell r="N393">
            <v>0</v>
          </cell>
        </row>
        <row r="394">
          <cell r="A394" t="str">
            <v>21L53-21L54A</v>
          </cell>
          <cell r="B394">
            <v>44345</v>
          </cell>
          <cell r="C394">
            <v>44347</v>
          </cell>
          <cell r="D394" t="str">
            <v>CSP HOLDING GROUP LIMITED</v>
          </cell>
          <cell r="E394" t="str">
            <v>JESSIE</v>
          </cell>
          <cell r="F394" t="str">
            <v>TUG-12</v>
          </cell>
          <cell r="G394">
            <v>820</v>
          </cell>
          <cell r="H394">
            <v>654.07971951219508</v>
          </cell>
          <cell r="I394">
            <v>758.73247463414623</v>
          </cell>
          <cell r="J394">
            <v>536345.37</v>
          </cell>
          <cell r="K394">
            <v>622160.62919999985</v>
          </cell>
          <cell r="L394" t="str">
            <v>GRAVEDAD</v>
          </cell>
          <cell r="N394">
            <v>0</v>
          </cell>
        </row>
        <row r="395">
          <cell r="A395" t="str">
            <v>21L53-21L54B</v>
          </cell>
          <cell r="B395">
            <v>44345</v>
          </cell>
          <cell r="C395">
            <v>44346</v>
          </cell>
          <cell r="D395" t="str">
            <v>CSP HOLDING GROUP LIMITED</v>
          </cell>
          <cell r="E395" t="str">
            <v>JESSIE</v>
          </cell>
          <cell r="F395" t="str">
            <v>TUP-10</v>
          </cell>
          <cell r="G395">
            <v>353</v>
          </cell>
          <cell r="H395">
            <v>1315.3330594900849</v>
          </cell>
          <cell r="I395">
            <v>1525.7863490084983</v>
          </cell>
          <cell r="J395">
            <v>464312.56999999995</v>
          </cell>
          <cell r="K395">
            <v>538602.5811999999</v>
          </cell>
          <cell r="L395" t="str">
            <v>PRESION</v>
          </cell>
          <cell r="N395">
            <v>0</v>
          </cell>
        </row>
        <row r="396">
          <cell r="A396" t="str">
            <v>21L53-21L54B</v>
          </cell>
          <cell r="B396">
            <v>44345</v>
          </cell>
          <cell r="C396">
            <v>44346</v>
          </cell>
          <cell r="D396" t="str">
            <v>CSP HOLDING GROUP LIMITED</v>
          </cell>
          <cell r="E396" t="str">
            <v>JESSIE</v>
          </cell>
          <cell r="F396" t="str">
            <v>TUG-10</v>
          </cell>
          <cell r="G396">
            <v>688</v>
          </cell>
          <cell r="H396">
            <v>516.86209302325585</v>
          </cell>
          <cell r="I396">
            <v>599.56002790697676</v>
          </cell>
          <cell r="J396">
            <v>355601.12000000005</v>
          </cell>
          <cell r="K396">
            <v>412497.29920000001</v>
          </cell>
          <cell r="L396" t="str">
            <v>GRAVEDAD</v>
          </cell>
          <cell r="N396">
            <v>0</v>
          </cell>
        </row>
        <row r="397">
          <cell r="A397" t="str">
            <v>21L53-21L54B</v>
          </cell>
          <cell r="B397">
            <v>44345</v>
          </cell>
          <cell r="C397">
            <v>44346</v>
          </cell>
          <cell r="D397" t="str">
            <v>CSP HOLDING GROUP LIMITED</v>
          </cell>
          <cell r="E397" t="str">
            <v>JESSIE</v>
          </cell>
          <cell r="F397" t="str">
            <v>TUG-15</v>
          </cell>
          <cell r="G397">
            <v>332</v>
          </cell>
          <cell r="H397">
            <v>775.28066265060238</v>
          </cell>
          <cell r="I397">
            <v>899.32556867469873</v>
          </cell>
          <cell r="J397">
            <v>257393.18</v>
          </cell>
          <cell r="K397">
            <v>298576.08879999997</v>
          </cell>
          <cell r="L397" t="str">
            <v>GRAVEDAD</v>
          </cell>
          <cell r="N397">
            <v>0</v>
          </cell>
        </row>
        <row r="398">
          <cell r="A398" t="str">
            <v>21L53-21L54C</v>
          </cell>
          <cell r="B398">
            <v>44345</v>
          </cell>
          <cell r="C398">
            <v>44348</v>
          </cell>
          <cell r="D398" t="str">
            <v>CSP HOLDING GROUP LIMITED</v>
          </cell>
          <cell r="E398" t="str">
            <v>JESSIE</v>
          </cell>
          <cell r="F398" t="str">
            <v>TUP-10</v>
          </cell>
          <cell r="G398">
            <v>127</v>
          </cell>
          <cell r="H398">
            <v>1340.9854330708661</v>
          </cell>
          <cell r="I398">
            <v>1555.5431023622045</v>
          </cell>
          <cell r="J398">
            <v>170305.15</v>
          </cell>
          <cell r="K398">
            <v>197553.97399999999</v>
          </cell>
          <cell r="L398" t="str">
            <v>PRESION</v>
          </cell>
          <cell r="N398">
            <v>0</v>
          </cell>
        </row>
        <row r="399">
          <cell r="A399" t="str">
            <v>21L53-21L54C</v>
          </cell>
          <cell r="B399">
            <v>44345</v>
          </cell>
          <cell r="C399">
            <v>44348</v>
          </cell>
          <cell r="D399" t="str">
            <v>CSP HOLDING GROUP LIMITED</v>
          </cell>
          <cell r="E399" t="str">
            <v>JESSIE</v>
          </cell>
          <cell r="F399" t="str">
            <v>TUG-12</v>
          </cell>
          <cell r="G399">
            <v>291</v>
          </cell>
          <cell r="H399">
            <v>632.38745704467351</v>
          </cell>
          <cell r="I399">
            <v>733.56945017182125</v>
          </cell>
          <cell r="J399">
            <v>184024.75</v>
          </cell>
          <cell r="K399">
            <v>213468.71</v>
          </cell>
          <cell r="L399" t="str">
            <v>GRAVEDAD</v>
          </cell>
          <cell r="N399">
            <v>0</v>
          </cell>
        </row>
        <row r="400">
          <cell r="A400" t="str">
            <v>21L53-21L54C</v>
          </cell>
          <cell r="B400">
            <v>44345</v>
          </cell>
          <cell r="C400">
            <v>44348</v>
          </cell>
          <cell r="D400" t="str">
            <v>CSP HOLDING GROUP LIMITED</v>
          </cell>
          <cell r="E400" t="str">
            <v>JESSIE</v>
          </cell>
          <cell r="F400" t="str">
            <v>TUG-15</v>
          </cell>
          <cell r="G400">
            <v>210</v>
          </cell>
          <cell r="H400">
            <v>790.43033333333335</v>
          </cell>
          <cell r="I400">
            <v>916.89918666666665</v>
          </cell>
          <cell r="J400">
            <v>165990.37</v>
          </cell>
          <cell r="K400">
            <v>192548.82920000001</v>
          </cell>
          <cell r="L400" t="str">
            <v>GRAVEDAD</v>
          </cell>
          <cell r="N400">
            <v>0</v>
          </cell>
        </row>
        <row r="401">
          <cell r="A401" t="str">
            <v>21E34</v>
          </cell>
          <cell r="B401">
            <v>44348</v>
          </cell>
          <cell r="C401">
            <v>44350</v>
          </cell>
          <cell r="D401" t="str">
            <v>Haining Sunsurf New Energy Technology Co., Ltd.</v>
          </cell>
          <cell r="E401" t="str">
            <v>LEON</v>
          </cell>
          <cell r="F401" t="str">
            <v>TPE-20</v>
          </cell>
          <cell r="G401">
            <v>120</v>
          </cell>
          <cell r="H401">
            <v>4692.1769166666663</v>
          </cell>
          <cell r="I401">
            <v>5442.9252233333327</v>
          </cell>
          <cell r="J401">
            <v>563061.23</v>
          </cell>
          <cell r="K401">
            <v>653151.02679999988</v>
          </cell>
          <cell r="L401" t="str">
            <v>PRESION</v>
          </cell>
          <cell r="N401">
            <v>0</v>
          </cell>
        </row>
        <row r="402">
          <cell r="A402" t="str">
            <v>21E34</v>
          </cell>
          <cell r="B402">
            <v>44348</v>
          </cell>
          <cell r="C402">
            <v>44350</v>
          </cell>
          <cell r="D402" t="str">
            <v>Haining Sunsurf New Energy Technology Co., Ltd.</v>
          </cell>
          <cell r="E402" t="str">
            <v>LEON</v>
          </cell>
          <cell r="F402" t="str">
            <v>CAJA DE CARTÓN</v>
          </cell>
          <cell r="G402">
            <v>2</v>
          </cell>
          <cell r="H402">
            <v>30.33</v>
          </cell>
          <cell r="I402">
            <v>35.182799999999993</v>
          </cell>
          <cell r="J402">
            <v>60.66</v>
          </cell>
          <cell r="K402">
            <v>70.365599999999986</v>
          </cell>
          <cell r="L402" t="str">
            <v>GARANTIA</v>
          </cell>
          <cell r="N402">
            <v>0</v>
          </cell>
        </row>
        <row r="403">
          <cell r="A403" t="str">
            <v>21E36</v>
          </cell>
          <cell r="B403">
            <v>44355</v>
          </cell>
          <cell r="C403">
            <v>44363</v>
          </cell>
          <cell r="D403" t="str">
            <v>QINGDAO NORTHERNE ELECTRIC AND POWER CO.,LTD</v>
          </cell>
          <cell r="E403" t="str">
            <v>JUDY</v>
          </cell>
          <cell r="F403" t="str">
            <v>BDM-250LV</v>
          </cell>
          <cell r="G403">
            <v>160</v>
          </cell>
          <cell r="H403">
            <v>1913.1434375000001</v>
          </cell>
          <cell r="I403">
            <v>2219.2463874999999</v>
          </cell>
          <cell r="J403">
            <v>306102.95</v>
          </cell>
          <cell r="K403">
            <v>355079.42199999996</v>
          </cell>
          <cell r="L403" t="str">
            <v>FOTOVOLTAICO</v>
          </cell>
          <cell r="N403">
            <v>0</v>
          </cell>
        </row>
        <row r="404">
          <cell r="A404" t="str">
            <v>21L58</v>
          </cell>
          <cell r="B404">
            <v>44355</v>
          </cell>
          <cell r="C404">
            <v>44357</v>
          </cell>
          <cell r="D404" t="str">
            <v>JIAXING WOERQI ELECTRICAL CO., LTD</v>
          </cell>
          <cell r="E404" t="str">
            <v>JACKY</v>
          </cell>
          <cell r="F404" t="str">
            <v>BG-15</v>
          </cell>
          <cell r="G404">
            <v>370</v>
          </cell>
          <cell r="H404">
            <v>408.86197297297298</v>
          </cell>
          <cell r="I404">
            <v>474.27988864864864</v>
          </cell>
          <cell r="J404">
            <v>151278.93</v>
          </cell>
          <cell r="K404">
            <v>175483.5588</v>
          </cell>
          <cell r="L404" t="str">
            <v>GRAVEDAD</v>
          </cell>
          <cell r="N404">
            <v>0</v>
          </cell>
        </row>
        <row r="405">
          <cell r="A405" t="str">
            <v>21L58</v>
          </cell>
          <cell r="B405">
            <v>44355</v>
          </cell>
          <cell r="C405">
            <v>44357</v>
          </cell>
          <cell r="D405" t="str">
            <v>JIAXING WOERQI ELECTRICAL CO., LTD</v>
          </cell>
          <cell r="E405" t="str">
            <v>JACKY</v>
          </cell>
          <cell r="F405" t="str">
            <v>BG-12</v>
          </cell>
          <cell r="G405">
            <v>780</v>
          </cell>
          <cell r="H405">
            <v>395.72043589743589</v>
          </cell>
          <cell r="I405">
            <v>459.03570564102563</v>
          </cell>
          <cell r="J405">
            <v>308661.94</v>
          </cell>
          <cell r="K405">
            <v>358047.8504</v>
          </cell>
          <cell r="L405" t="str">
            <v>GRAVEDAD</v>
          </cell>
          <cell r="N405">
            <v>0</v>
          </cell>
        </row>
        <row r="406">
          <cell r="A406" t="str">
            <v>21L58</v>
          </cell>
          <cell r="B406">
            <v>44355</v>
          </cell>
          <cell r="C406">
            <v>44357</v>
          </cell>
          <cell r="D406" t="str">
            <v>JIAXING WOERQI ELECTRICAL CO., LTD</v>
          </cell>
          <cell r="E406" t="str">
            <v>JACKY</v>
          </cell>
          <cell r="F406" t="str">
            <v>BP-10</v>
          </cell>
          <cell r="G406">
            <v>200</v>
          </cell>
          <cell r="H406">
            <v>386.11415</v>
          </cell>
          <cell r="I406">
            <v>447.89241399999997</v>
          </cell>
          <cell r="J406">
            <v>77222.83</v>
          </cell>
          <cell r="K406">
            <v>89578.482799999998</v>
          </cell>
          <cell r="L406" t="str">
            <v>PRESION</v>
          </cell>
          <cell r="N406">
            <v>0</v>
          </cell>
        </row>
        <row r="407">
          <cell r="A407" t="str">
            <v>21L58</v>
          </cell>
          <cell r="B407">
            <v>44355</v>
          </cell>
          <cell r="C407">
            <v>44357</v>
          </cell>
          <cell r="D407" t="str">
            <v>JIAXING WOERQI ELECTRICAL CO., LTD</v>
          </cell>
          <cell r="E407" t="str">
            <v>JACKY</v>
          </cell>
          <cell r="F407" t="str">
            <v>BG-10</v>
          </cell>
          <cell r="G407">
            <v>350</v>
          </cell>
          <cell r="H407">
            <v>384.61994285714286</v>
          </cell>
          <cell r="I407">
            <v>446.1591337142857</v>
          </cell>
          <cell r="J407">
            <v>134616.98000000001</v>
          </cell>
          <cell r="K407">
            <v>156155.69680000001</v>
          </cell>
          <cell r="L407" t="str">
            <v>GRAVEDAD</v>
          </cell>
          <cell r="N407">
            <v>0</v>
          </cell>
        </row>
        <row r="408">
          <cell r="A408" t="str">
            <v>21L58</v>
          </cell>
          <cell r="B408">
            <v>44355</v>
          </cell>
          <cell r="C408">
            <v>44357</v>
          </cell>
          <cell r="D408" t="str">
            <v>JIAXING WOERQI ELECTRICAL CO., LTD</v>
          </cell>
          <cell r="E408" t="str">
            <v>JACKY</v>
          </cell>
          <cell r="F408" t="str">
            <v>BG-18</v>
          </cell>
          <cell r="G408">
            <v>50</v>
          </cell>
          <cell r="H408">
            <v>380.18480000000005</v>
          </cell>
          <cell r="I408">
            <v>441.01436800000005</v>
          </cell>
          <cell r="J408">
            <v>19009.240000000002</v>
          </cell>
          <cell r="K408">
            <v>22050.718400000002</v>
          </cell>
          <cell r="L408" t="str">
            <v>GRAVEDAD</v>
          </cell>
          <cell r="N408">
            <v>0</v>
          </cell>
        </row>
        <row r="409">
          <cell r="A409" t="str">
            <v>21L62</v>
          </cell>
          <cell r="B409">
            <v>44355</v>
          </cell>
          <cell r="C409">
            <v>44357</v>
          </cell>
          <cell r="D409" t="str">
            <v>Haining Sunsurf New Energy Technology Co., Ltd.</v>
          </cell>
          <cell r="E409" t="str">
            <v>LEON</v>
          </cell>
          <cell r="F409" t="str">
            <v>BP-26</v>
          </cell>
          <cell r="G409">
            <v>120</v>
          </cell>
          <cell r="H409">
            <v>656.50974999999994</v>
          </cell>
          <cell r="I409">
            <v>761.55130999999983</v>
          </cell>
          <cell r="J409">
            <v>78781.17</v>
          </cell>
          <cell r="K409">
            <v>91386.157199999987</v>
          </cell>
          <cell r="L409" t="str">
            <v>PRESION</v>
          </cell>
          <cell r="N409">
            <v>0</v>
          </cell>
        </row>
        <row r="410">
          <cell r="A410" t="str">
            <v>21L62</v>
          </cell>
          <cell r="B410">
            <v>44355</v>
          </cell>
          <cell r="C410">
            <v>44357</v>
          </cell>
          <cell r="D410" t="str">
            <v>Haining Sunsurf New Energy Technology Co., Ltd.</v>
          </cell>
          <cell r="E410" t="str">
            <v>LEON</v>
          </cell>
          <cell r="F410" t="str">
            <v>BG-30</v>
          </cell>
          <cell r="G410">
            <v>135</v>
          </cell>
          <cell r="H410">
            <v>617.2007407407408</v>
          </cell>
          <cell r="I410">
            <v>715.9528592592593</v>
          </cell>
          <cell r="J410">
            <v>83322.100000000006</v>
          </cell>
          <cell r="K410">
            <v>96653.635999999999</v>
          </cell>
          <cell r="L410" t="str">
            <v>GRAVEDAD</v>
          </cell>
          <cell r="N410">
            <v>0</v>
          </cell>
        </row>
        <row r="411">
          <cell r="A411" t="str">
            <v>21L62</v>
          </cell>
          <cell r="B411">
            <v>44355</v>
          </cell>
          <cell r="C411">
            <v>44357</v>
          </cell>
          <cell r="D411" t="str">
            <v>Haining Sunsurf New Energy Technology Co., Ltd.</v>
          </cell>
          <cell r="E411" t="str">
            <v>LEON</v>
          </cell>
          <cell r="F411" t="str">
            <v>BP-20</v>
          </cell>
          <cell r="G411">
            <v>100</v>
          </cell>
          <cell r="H411">
            <v>594.59280000000001</v>
          </cell>
          <cell r="I411">
            <v>689.72764799999993</v>
          </cell>
          <cell r="J411">
            <v>59459.28</v>
          </cell>
          <cell r="K411">
            <v>68972.76479999999</v>
          </cell>
          <cell r="L411" t="str">
            <v>PRESION</v>
          </cell>
          <cell r="N411">
            <v>0</v>
          </cell>
        </row>
        <row r="412">
          <cell r="A412" t="str">
            <v>21L62</v>
          </cell>
          <cell r="B412">
            <v>44355</v>
          </cell>
          <cell r="C412">
            <v>44357</v>
          </cell>
          <cell r="D412" t="str">
            <v>Haining Sunsurf New Energy Technology Co., Ltd.</v>
          </cell>
          <cell r="E412" t="str">
            <v>LEON</v>
          </cell>
          <cell r="F412" t="str">
            <v>BG-24</v>
          </cell>
          <cell r="G412">
            <v>20</v>
          </cell>
          <cell r="H412">
            <v>584.58999999999992</v>
          </cell>
          <cell r="I412">
            <v>678.12439999999981</v>
          </cell>
          <cell r="J412">
            <v>11691.8</v>
          </cell>
          <cell r="K412">
            <v>13562.487999999996</v>
          </cell>
          <cell r="L412" t="str">
            <v>GRAVEDAD</v>
          </cell>
          <cell r="N412">
            <v>0</v>
          </cell>
        </row>
        <row r="413">
          <cell r="A413" t="str">
            <v>21L62</v>
          </cell>
          <cell r="B413">
            <v>44355</v>
          </cell>
          <cell r="C413">
            <v>44357</v>
          </cell>
          <cell r="D413" t="str">
            <v>Haining Sunsurf New Energy Technology Co., Ltd.</v>
          </cell>
          <cell r="E413" t="str">
            <v>LEON</v>
          </cell>
          <cell r="F413" t="str">
            <v>BG-20</v>
          </cell>
          <cell r="G413">
            <v>80</v>
          </cell>
          <cell r="H413">
            <v>427.36212499999999</v>
          </cell>
          <cell r="I413">
            <v>495.74006499999996</v>
          </cell>
          <cell r="J413">
            <v>34188.97</v>
          </cell>
          <cell r="K413">
            <v>39659.205199999997</v>
          </cell>
          <cell r="L413" t="str">
            <v>GRAVEDAD</v>
          </cell>
          <cell r="N413">
            <v>0</v>
          </cell>
        </row>
        <row r="414">
          <cell r="A414" t="str">
            <v>21L62</v>
          </cell>
          <cell r="B414">
            <v>44355</v>
          </cell>
          <cell r="C414">
            <v>44357</v>
          </cell>
          <cell r="D414" t="str">
            <v>Haining Sunsurf New Energy Technology Co., Ltd.</v>
          </cell>
          <cell r="E414" t="str">
            <v>LEON</v>
          </cell>
          <cell r="F414" t="str">
            <v>BG-18</v>
          </cell>
          <cell r="G414">
            <v>100</v>
          </cell>
          <cell r="H414">
            <v>394.5145</v>
          </cell>
          <cell r="I414">
            <v>457.63681999999994</v>
          </cell>
          <cell r="J414">
            <v>39451.449999999997</v>
          </cell>
          <cell r="K414">
            <v>45763.681999999993</v>
          </cell>
          <cell r="L414" t="str">
            <v>GRAVEDAD</v>
          </cell>
          <cell r="N414">
            <v>0</v>
          </cell>
        </row>
        <row r="415">
          <cell r="A415" t="str">
            <v>21L62</v>
          </cell>
          <cell r="B415">
            <v>44355</v>
          </cell>
          <cell r="C415">
            <v>44357</v>
          </cell>
          <cell r="D415" t="str">
            <v>Haining Sunsurf New Energy Technology Co., Ltd.</v>
          </cell>
          <cell r="E415" t="str">
            <v>LEON</v>
          </cell>
          <cell r="F415" t="str">
            <v>BG-15</v>
          </cell>
          <cell r="G415">
            <v>370</v>
          </cell>
          <cell r="H415">
            <v>388.22716216216213</v>
          </cell>
          <cell r="I415">
            <v>450.34350810810804</v>
          </cell>
          <cell r="J415">
            <v>143644.04999999999</v>
          </cell>
          <cell r="K415">
            <v>166627.09799999997</v>
          </cell>
          <cell r="L415" t="str">
            <v>GRAVEDAD</v>
          </cell>
          <cell r="N415">
            <v>0</v>
          </cell>
        </row>
        <row r="416">
          <cell r="A416" t="str">
            <v>21L62</v>
          </cell>
          <cell r="B416">
            <v>44355</v>
          </cell>
          <cell r="C416">
            <v>44357</v>
          </cell>
          <cell r="D416" t="str">
            <v>Haining Sunsurf New Energy Technology Co., Ltd.</v>
          </cell>
          <cell r="E416" t="str">
            <v>LEON</v>
          </cell>
          <cell r="F416" t="str">
            <v>BG-12</v>
          </cell>
          <cell r="G416">
            <v>200</v>
          </cell>
          <cell r="H416">
            <v>372.49949999999995</v>
          </cell>
          <cell r="I416">
            <v>432.0994199999999</v>
          </cell>
          <cell r="J416">
            <v>74499.899999999994</v>
          </cell>
          <cell r="K416">
            <v>86419.883999999976</v>
          </cell>
          <cell r="L416" t="str">
            <v>GRAVEDAD</v>
          </cell>
          <cell r="N416">
            <v>0</v>
          </cell>
        </row>
        <row r="417">
          <cell r="A417" t="str">
            <v>21L62</v>
          </cell>
          <cell r="B417">
            <v>44355</v>
          </cell>
          <cell r="C417">
            <v>44357</v>
          </cell>
          <cell r="D417" t="str">
            <v>Haining Sunsurf New Energy Technology Co., Ltd.</v>
          </cell>
          <cell r="E417" t="str">
            <v>LEON</v>
          </cell>
          <cell r="F417" t="str">
            <v>BG-10</v>
          </cell>
          <cell r="G417">
            <v>205</v>
          </cell>
          <cell r="H417">
            <v>362.33317073170736</v>
          </cell>
          <cell r="I417">
            <v>420.30647804878049</v>
          </cell>
          <cell r="J417">
            <v>74278.3</v>
          </cell>
          <cell r="K417">
            <v>86162.827999999994</v>
          </cell>
          <cell r="L417" t="str">
            <v>GRAVEDAD</v>
          </cell>
          <cell r="N417">
            <v>0</v>
          </cell>
        </row>
        <row r="418">
          <cell r="A418" t="str">
            <v>21L62</v>
          </cell>
          <cell r="B418">
            <v>44355</v>
          </cell>
          <cell r="C418">
            <v>44357</v>
          </cell>
          <cell r="D418" t="str">
            <v>Haining Sunsurf New Energy Technology Co., Ltd.</v>
          </cell>
          <cell r="E418" t="str">
            <v>LEON</v>
          </cell>
          <cell r="F418" t="str">
            <v>BP-10</v>
          </cell>
          <cell r="G418">
            <v>420</v>
          </cell>
          <cell r="H418">
            <v>353.42111904761902</v>
          </cell>
          <cell r="I418">
            <v>409.96849809523803</v>
          </cell>
          <cell r="J418">
            <v>148436.87</v>
          </cell>
          <cell r="K418">
            <v>172186.76919999998</v>
          </cell>
          <cell r="L418" t="str">
            <v>PRESION</v>
          </cell>
          <cell r="N418">
            <v>0</v>
          </cell>
        </row>
        <row r="419">
          <cell r="A419" t="str">
            <v>21L62</v>
          </cell>
          <cell r="B419">
            <v>44355</v>
          </cell>
          <cell r="C419">
            <v>44357</v>
          </cell>
          <cell r="D419" t="str">
            <v>Haining Sunsurf New Energy Technology Co., Ltd.</v>
          </cell>
          <cell r="E419" t="str">
            <v>LEON</v>
          </cell>
          <cell r="F419" t="str">
            <v>CAJA DE CARTÓN</v>
          </cell>
          <cell r="G419">
            <v>17</v>
          </cell>
          <cell r="H419">
            <v>24.932941176470589</v>
          </cell>
          <cell r="I419">
            <v>28.922211764705882</v>
          </cell>
          <cell r="J419">
            <v>423.86</v>
          </cell>
          <cell r="K419">
            <v>491.67759999999998</v>
          </cell>
          <cell r="L419" t="str">
            <v>GARANTIA</v>
          </cell>
          <cell r="N419">
            <v>0</v>
          </cell>
        </row>
        <row r="420">
          <cell r="A420" t="str">
            <v>21L56A</v>
          </cell>
          <cell r="B420">
            <v>44361</v>
          </cell>
          <cell r="C420">
            <v>44364</v>
          </cell>
          <cell r="D420" t="str">
            <v>CSP HOLDING GROUP LIMITED</v>
          </cell>
          <cell r="E420" t="str">
            <v>JESSIE</v>
          </cell>
          <cell r="F420" t="str">
            <v>TUP-12</v>
          </cell>
          <cell r="G420">
            <v>100</v>
          </cell>
          <cell r="H420">
            <v>1591.4216000000001</v>
          </cell>
          <cell r="I420">
            <v>1846.0490560000001</v>
          </cell>
          <cell r="J420">
            <v>159142.16</v>
          </cell>
          <cell r="K420">
            <v>184604.9056</v>
          </cell>
          <cell r="L420" t="str">
            <v>PRESION</v>
          </cell>
          <cell r="N420">
            <v>0</v>
          </cell>
        </row>
        <row r="421">
          <cell r="A421" t="str">
            <v>21L56A</v>
          </cell>
          <cell r="B421">
            <v>44361</v>
          </cell>
          <cell r="C421">
            <v>44364</v>
          </cell>
          <cell r="D421" t="str">
            <v>CSP HOLDING GROUP LIMITED</v>
          </cell>
          <cell r="E421" t="str">
            <v>JESSIE</v>
          </cell>
          <cell r="F421" t="str">
            <v>TUP-10</v>
          </cell>
          <cell r="G421">
            <v>250</v>
          </cell>
          <cell r="H421">
            <v>1326.1836799999999</v>
          </cell>
          <cell r="I421">
            <v>1538.3730687999998</v>
          </cell>
          <cell r="J421">
            <v>331545.92</v>
          </cell>
          <cell r="K421">
            <v>384593.26719999994</v>
          </cell>
          <cell r="L421" t="str">
            <v>PRESION</v>
          </cell>
          <cell r="N421">
            <v>0</v>
          </cell>
        </row>
        <row r="422">
          <cell r="A422" t="str">
            <v>21L56A</v>
          </cell>
          <cell r="B422">
            <v>44361</v>
          </cell>
          <cell r="C422">
            <v>44364</v>
          </cell>
          <cell r="D422" t="str">
            <v>CSP HOLDING GROUP LIMITED</v>
          </cell>
          <cell r="E422" t="str">
            <v>JESSIE</v>
          </cell>
          <cell r="F422" t="str">
            <v>BG-18</v>
          </cell>
          <cell r="G422">
            <v>1</v>
          </cell>
          <cell r="H422">
            <v>501.96</v>
          </cell>
          <cell r="I422">
            <v>582.27359999999999</v>
          </cell>
          <cell r="J422">
            <v>501.96</v>
          </cell>
          <cell r="K422">
            <v>582.27359999999999</v>
          </cell>
          <cell r="L422" t="str">
            <v>GRAVEDAD</v>
          </cell>
          <cell r="N422">
            <v>0</v>
          </cell>
        </row>
        <row r="423">
          <cell r="A423" t="str">
            <v>21L56A</v>
          </cell>
          <cell r="B423">
            <v>44361</v>
          </cell>
          <cell r="C423">
            <v>44364</v>
          </cell>
          <cell r="D423" t="str">
            <v>CSP HOLDING GROUP LIMITED</v>
          </cell>
          <cell r="E423" t="str">
            <v>JESSIE</v>
          </cell>
          <cell r="F423" t="str">
            <v>TUG-08</v>
          </cell>
          <cell r="G423">
            <v>13</v>
          </cell>
          <cell r="H423">
            <v>416.90153846153851</v>
          </cell>
          <cell r="I423">
            <v>483.60578461538461</v>
          </cell>
          <cell r="J423">
            <v>5419.72</v>
          </cell>
          <cell r="K423">
            <v>6286.8751999999995</v>
          </cell>
          <cell r="L423" t="str">
            <v>GRAVEDAD</v>
          </cell>
          <cell r="N423">
            <v>0</v>
          </cell>
        </row>
        <row r="424">
          <cell r="A424" t="str">
            <v>21L56A</v>
          </cell>
          <cell r="B424">
            <v>44361</v>
          </cell>
          <cell r="C424">
            <v>44364</v>
          </cell>
          <cell r="D424" t="str">
            <v>CSP HOLDING GROUP LIMITED</v>
          </cell>
          <cell r="E424" t="str">
            <v>JESSIE</v>
          </cell>
          <cell r="F424" t="str">
            <v>BG-12</v>
          </cell>
          <cell r="G424">
            <v>1</v>
          </cell>
          <cell r="H424">
            <v>447.99</v>
          </cell>
          <cell r="I424">
            <v>519.66840000000002</v>
          </cell>
          <cell r="J424">
            <v>447.99</v>
          </cell>
          <cell r="K424">
            <v>519.66840000000002</v>
          </cell>
          <cell r="L424" t="str">
            <v>GRAVEDAD</v>
          </cell>
          <cell r="N424">
            <v>0</v>
          </cell>
        </row>
        <row r="425">
          <cell r="A425" t="str">
            <v>21L56A</v>
          </cell>
          <cell r="B425">
            <v>44361</v>
          </cell>
          <cell r="C425">
            <v>44364</v>
          </cell>
          <cell r="D425" t="str">
            <v>CSP HOLDING GROUP LIMITED</v>
          </cell>
          <cell r="E425" t="str">
            <v>JESSIE</v>
          </cell>
          <cell r="F425" t="str">
            <v>TUG-10</v>
          </cell>
          <cell r="G425">
            <v>7</v>
          </cell>
          <cell r="H425">
            <v>518.87428571428575</v>
          </cell>
          <cell r="I425">
            <v>601.89417142857144</v>
          </cell>
          <cell r="J425">
            <v>3632.1200000000003</v>
          </cell>
          <cell r="K425">
            <v>4213.2592000000004</v>
          </cell>
          <cell r="L425" t="str">
            <v>GRAVEDAD</v>
          </cell>
          <cell r="N425">
            <v>0</v>
          </cell>
        </row>
        <row r="426">
          <cell r="A426" t="str">
            <v>21L56A</v>
          </cell>
          <cell r="B426">
            <v>44361</v>
          </cell>
          <cell r="C426">
            <v>44364</v>
          </cell>
          <cell r="D426" t="str">
            <v>CSP HOLDING GROUP LIMITED</v>
          </cell>
          <cell r="E426" t="str">
            <v>JESSIE</v>
          </cell>
          <cell r="F426" t="str">
            <v>TUG-12</v>
          </cell>
          <cell r="G426">
            <v>42</v>
          </cell>
          <cell r="H426">
            <v>625.38738095238091</v>
          </cell>
          <cell r="I426">
            <v>725.44936190476176</v>
          </cell>
          <cell r="J426">
            <v>26266.269999999997</v>
          </cell>
          <cell r="K426">
            <v>30468.873199999995</v>
          </cell>
          <cell r="L426" t="str">
            <v>GRAVEDAD</v>
          </cell>
          <cell r="N426">
            <v>0</v>
          </cell>
        </row>
        <row r="427">
          <cell r="A427" t="str">
            <v>21L56A</v>
          </cell>
          <cell r="B427">
            <v>44361</v>
          </cell>
          <cell r="C427">
            <v>44364</v>
          </cell>
          <cell r="D427" t="str">
            <v>CSP HOLDING GROUP LIMITED</v>
          </cell>
          <cell r="E427" t="str">
            <v>JESSIE</v>
          </cell>
          <cell r="F427" t="str">
            <v>TUG-15</v>
          </cell>
          <cell r="G427">
            <v>760</v>
          </cell>
          <cell r="H427">
            <v>781.73169736842101</v>
          </cell>
          <cell r="I427">
            <v>906.80876894736832</v>
          </cell>
          <cell r="J427">
            <v>594116.09</v>
          </cell>
          <cell r="K427">
            <v>689174.66439999989</v>
          </cell>
          <cell r="L427" t="str">
            <v>GRAVEDAD</v>
          </cell>
          <cell r="N427">
            <v>0</v>
          </cell>
        </row>
        <row r="428">
          <cell r="A428" t="str">
            <v>21L56B</v>
          </cell>
          <cell r="B428">
            <v>44361</v>
          </cell>
          <cell r="C428">
            <v>44363</v>
          </cell>
          <cell r="D428" t="str">
            <v>CSP HOLDING GROUP LIMITED</v>
          </cell>
          <cell r="E428" t="str">
            <v>JESSIE</v>
          </cell>
          <cell r="F428" t="str">
            <v>TUP-06</v>
          </cell>
          <cell r="G428">
            <v>55</v>
          </cell>
          <cell r="H428">
            <v>878.60363636363627</v>
          </cell>
          <cell r="I428">
            <v>1019.180218181818</v>
          </cell>
          <cell r="J428">
            <v>48323.199999999997</v>
          </cell>
          <cell r="K428">
            <v>56054.911999999989</v>
          </cell>
          <cell r="L428" t="str">
            <v>PRESION</v>
          </cell>
          <cell r="N428">
            <v>0</v>
          </cell>
        </row>
        <row r="429">
          <cell r="A429" t="str">
            <v>21L56B</v>
          </cell>
          <cell r="B429">
            <v>44361</v>
          </cell>
          <cell r="C429">
            <v>44363</v>
          </cell>
          <cell r="D429" t="str">
            <v>CSP HOLDING GROUP LIMITED</v>
          </cell>
          <cell r="E429" t="str">
            <v>JESSIE</v>
          </cell>
          <cell r="F429" t="str">
            <v>TUG-08</v>
          </cell>
          <cell r="G429">
            <v>150</v>
          </cell>
          <cell r="H429">
            <v>460.30579999999998</v>
          </cell>
          <cell r="I429">
            <v>533.95472799999993</v>
          </cell>
          <cell r="J429">
            <v>69045.87</v>
          </cell>
          <cell r="K429">
            <v>80093.209199999983</v>
          </cell>
          <cell r="L429" t="str">
            <v>GRAVEDAD</v>
          </cell>
          <cell r="N429">
            <v>0</v>
          </cell>
        </row>
        <row r="430">
          <cell r="A430" t="str">
            <v>21L56B</v>
          </cell>
          <cell r="B430">
            <v>44361</v>
          </cell>
          <cell r="C430">
            <v>44363</v>
          </cell>
          <cell r="D430" t="str">
            <v>CSP HOLDING GROUP LIMITED</v>
          </cell>
          <cell r="E430" t="str">
            <v>JESSIE</v>
          </cell>
          <cell r="F430" t="str">
            <v>TUG-12</v>
          </cell>
          <cell r="G430">
            <v>527</v>
          </cell>
          <cell r="H430">
            <v>690.40265654648954</v>
          </cell>
          <cell r="I430">
            <v>800.86708159392776</v>
          </cell>
          <cell r="J430">
            <v>363842.2</v>
          </cell>
          <cell r="K430">
            <v>422056.95199999993</v>
          </cell>
          <cell r="L430" t="str">
            <v>GRAVEDAD</v>
          </cell>
          <cell r="N430">
            <v>0</v>
          </cell>
        </row>
        <row r="431">
          <cell r="A431" t="str">
            <v>21L55</v>
          </cell>
          <cell r="B431">
            <v>44368</v>
          </cell>
          <cell r="C431">
            <v>44370</v>
          </cell>
          <cell r="D431" t="str">
            <v>CSP HOLDING GROUP LIMITED</v>
          </cell>
          <cell r="E431" t="str">
            <v>JESSIE</v>
          </cell>
          <cell r="F431" t="str">
            <v>TUP-10</v>
          </cell>
          <cell r="G431">
            <v>115</v>
          </cell>
          <cell r="H431">
            <v>1435.0748695652173</v>
          </cell>
          <cell r="I431">
            <v>1664.6868486956521</v>
          </cell>
          <cell r="J431">
            <v>165033.60999999999</v>
          </cell>
          <cell r="K431">
            <v>191438.98759999999</v>
          </cell>
          <cell r="L431" t="str">
            <v>PRESION</v>
          </cell>
          <cell r="N431">
            <v>0</v>
          </cell>
        </row>
        <row r="432">
          <cell r="A432" t="str">
            <v>21L55</v>
          </cell>
          <cell r="B432">
            <v>44368</v>
          </cell>
          <cell r="C432">
            <v>44370</v>
          </cell>
          <cell r="D432" t="str">
            <v>CSP HOLDING GROUP LIMITED</v>
          </cell>
          <cell r="E432" t="str">
            <v>JESSIE</v>
          </cell>
          <cell r="F432" t="str">
            <v>TUG-08</v>
          </cell>
          <cell r="G432">
            <v>100</v>
          </cell>
          <cell r="H432">
            <v>451.0317</v>
          </cell>
          <cell r="I432">
            <v>523.19677200000001</v>
          </cell>
          <cell r="J432">
            <v>45103.17</v>
          </cell>
          <cell r="K432">
            <v>52319.677199999998</v>
          </cell>
          <cell r="L432" t="str">
            <v>GRAVEDAD</v>
          </cell>
          <cell r="N432">
            <v>0</v>
          </cell>
        </row>
        <row r="433">
          <cell r="A433" t="str">
            <v>21L55</v>
          </cell>
          <cell r="B433">
            <v>44368</v>
          </cell>
          <cell r="C433">
            <v>44370</v>
          </cell>
          <cell r="D433" t="str">
            <v>CSP HOLDING GROUP LIMITED</v>
          </cell>
          <cell r="E433" t="str">
            <v>JESSIE</v>
          </cell>
          <cell r="F433" t="str">
            <v>TUG-12</v>
          </cell>
          <cell r="G433">
            <v>683</v>
          </cell>
          <cell r="H433">
            <v>676.61480234260614</v>
          </cell>
          <cell r="I433">
            <v>784.87317071742302</v>
          </cell>
          <cell r="J433">
            <v>462127.91</v>
          </cell>
          <cell r="K433">
            <v>536068.37559999991</v>
          </cell>
          <cell r="L433" t="str">
            <v>GRAVEDAD</v>
          </cell>
          <cell r="N433">
            <v>0</v>
          </cell>
        </row>
        <row r="434">
          <cell r="A434" t="str">
            <v>21L55</v>
          </cell>
          <cell r="B434">
            <v>44368</v>
          </cell>
          <cell r="C434">
            <v>44370</v>
          </cell>
          <cell r="D434" t="str">
            <v>CSP HOLDING GROUP LIMITED</v>
          </cell>
          <cell r="E434" t="str">
            <v>JESSIE</v>
          </cell>
          <cell r="F434" t="str">
            <v>TUG-15</v>
          </cell>
          <cell r="G434">
            <v>385</v>
          </cell>
          <cell r="H434">
            <v>845.76311688311682</v>
          </cell>
          <cell r="I434">
            <v>981.08521558441544</v>
          </cell>
          <cell r="J434">
            <v>325618.8</v>
          </cell>
          <cell r="K434">
            <v>377717.80799999996</v>
          </cell>
          <cell r="L434" t="str">
            <v>GRAVEDAD</v>
          </cell>
          <cell r="N434">
            <v>0</v>
          </cell>
        </row>
        <row r="435">
          <cell r="A435" t="str">
            <v>21L59</v>
          </cell>
          <cell r="B435">
            <v>44368</v>
          </cell>
          <cell r="C435">
            <v>44375</v>
          </cell>
          <cell r="D435" t="str">
            <v>JIAXING WOERQI ELECTRICAL CO., LTD</v>
          </cell>
          <cell r="E435" t="str">
            <v>JACKY</v>
          </cell>
          <cell r="F435" t="str">
            <v>BG-18</v>
          </cell>
          <cell r="G435">
            <v>90</v>
          </cell>
          <cell r="H435">
            <v>434.86200000000002</v>
          </cell>
          <cell r="I435">
            <v>504.43991999999997</v>
          </cell>
          <cell r="J435">
            <v>39137.58</v>
          </cell>
          <cell r="K435">
            <v>45399.592799999999</v>
          </cell>
          <cell r="L435" t="str">
            <v>GRAVEDAD</v>
          </cell>
          <cell r="N435">
            <v>0</v>
          </cell>
        </row>
        <row r="436">
          <cell r="A436" t="str">
            <v>21L59</v>
          </cell>
          <cell r="B436">
            <v>44368</v>
          </cell>
          <cell r="C436">
            <v>44375</v>
          </cell>
          <cell r="D436" t="str">
            <v>JIAXING WOERQI ELECTRICAL CO., LTD</v>
          </cell>
          <cell r="E436" t="str">
            <v>JACKY</v>
          </cell>
          <cell r="F436" t="str">
            <v>BG-15</v>
          </cell>
          <cell r="G436">
            <v>350</v>
          </cell>
          <cell r="H436">
            <v>417.2482</v>
          </cell>
          <cell r="I436">
            <v>484.00791199999998</v>
          </cell>
          <cell r="J436">
            <v>146036.87</v>
          </cell>
          <cell r="K436">
            <v>169402.76919999998</v>
          </cell>
          <cell r="L436" t="str">
            <v>GRAVEDAD</v>
          </cell>
          <cell r="N436">
            <v>0</v>
          </cell>
        </row>
        <row r="437">
          <cell r="A437" t="str">
            <v>21L59</v>
          </cell>
          <cell r="B437">
            <v>44368</v>
          </cell>
          <cell r="C437">
            <v>44375</v>
          </cell>
          <cell r="D437" t="str">
            <v>JIAXING WOERQI ELECTRICAL CO., LTD</v>
          </cell>
          <cell r="E437" t="str">
            <v>JACKY</v>
          </cell>
          <cell r="F437" t="str">
            <v>BP-10</v>
          </cell>
          <cell r="G437">
            <v>150</v>
          </cell>
          <cell r="H437">
            <v>400.59693333333331</v>
          </cell>
          <cell r="I437">
            <v>464.69244266666664</v>
          </cell>
          <cell r="J437">
            <v>60089.539999999994</v>
          </cell>
          <cell r="K437">
            <v>69703.866399999999</v>
          </cell>
          <cell r="L437" t="str">
            <v>PRESION</v>
          </cell>
          <cell r="N437">
            <v>0</v>
          </cell>
        </row>
        <row r="438">
          <cell r="A438" t="str">
            <v>21L59</v>
          </cell>
          <cell r="B438">
            <v>44368</v>
          </cell>
          <cell r="C438">
            <v>44375</v>
          </cell>
          <cell r="D438" t="str">
            <v>JIAXING WOERQI ELECTRICAL CO., LTD</v>
          </cell>
          <cell r="E438" t="str">
            <v>JACKY</v>
          </cell>
          <cell r="F438" t="str">
            <v>BG-12</v>
          </cell>
          <cell r="G438">
            <v>735</v>
          </cell>
          <cell r="H438">
            <v>400.29289795918373</v>
          </cell>
          <cell r="I438">
            <v>464.33976163265311</v>
          </cell>
          <cell r="J438">
            <v>294215.28000000003</v>
          </cell>
          <cell r="K438">
            <v>341289.72480000003</v>
          </cell>
          <cell r="L438" t="str">
            <v>GRAVEDAD</v>
          </cell>
          <cell r="N438">
            <v>0</v>
          </cell>
        </row>
        <row r="439">
          <cell r="A439" t="str">
            <v>21L59</v>
          </cell>
          <cell r="B439">
            <v>44368</v>
          </cell>
          <cell r="C439">
            <v>44375</v>
          </cell>
          <cell r="D439" t="str">
            <v>JIAXING WOERQI ELECTRICAL CO., LTD</v>
          </cell>
          <cell r="E439" t="str">
            <v>JACKY</v>
          </cell>
          <cell r="F439" t="str">
            <v>BG-10</v>
          </cell>
          <cell r="G439">
            <v>345</v>
          </cell>
          <cell r="H439">
            <v>393.34721739130435</v>
          </cell>
          <cell r="I439">
            <v>456.28277217391303</v>
          </cell>
          <cell r="J439">
            <v>135704.79</v>
          </cell>
          <cell r="K439">
            <v>157417.5564</v>
          </cell>
          <cell r="L439" t="str">
            <v>GRAVEDAD</v>
          </cell>
          <cell r="N439">
            <v>0</v>
          </cell>
        </row>
        <row r="440">
          <cell r="A440" t="str">
            <v>21L59</v>
          </cell>
          <cell r="B440">
            <v>44368</v>
          </cell>
          <cell r="C440">
            <v>44375</v>
          </cell>
          <cell r="D440" t="str">
            <v>JIAXING WOERQI ELECTRICAL CO., LTD</v>
          </cell>
          <cell r="E440" t="str">
            <v>JACKY</v>
          </cell>
          <cell r="F440" t="str">
            <v>BG-08</v>
          </cell>
          <cell r="G440">
            <v>80</v>
          </cell>
          <cell r="H440">
            <v>377.84287499999999</v>
          </cell>
          <cell r="I440">
            <v>438.29773499999999</v>
          </cell>
          <cell r="J440">
            <v>30227.43</v>
          </cell>
          <cell r="K440">
            <v>35063.818800000001</v>
          </cell>
          <cell r="L440" t="str">
            <v>GRAVEDAD</v>
          </cell>
          <cell r="N440">
            <v>0</v>
          </cell>
        </row>
        <row r="441">
          <cell r="A441" t="str">
            <v>21L60</v>
          </cell>
          <cell r="B441">
            <v>44372</v>
          </cell>
          <cell r="C441">
            <v>44375</v>
          </cell>
          <cell r="D441" t="str">
            <v>JIAXING WOERQI ELECTRICAL CO., LTD</v>
          </cell>
          <cell r="E441" t="str">
            <v>JACKY</v>
          </cell>
          <cell r="F441" t="str">
            <v>BG-08</v>
          </cell>
          <cell r="G441">
            <v>80</v>
          </cell>
          <cell r="H441">
            <v>403.14412499999997</v>
          </cell>
          <cell r="I441">
            <v>467.64718499999992</v>
          </cell>
          <cell r="J441">
            <v>32251.53</v>
          </cell>
          <cell r="K441">
            <v>37411.774799999992</v>
          </cell>
          <cell r="L441" t="str">
            <v>GRAVEDAD</v>
          </cell>
          <cell r="N441">
            <v>0</v>
          </cell>
        </row>
        <row r="442">
          <cell r="A442" t="str">
            <v>21L60</v>
          </cell>
          <cell r="B442">
            <v>44372</v>
          </cell>
          <cell r="C442">
            <v>44375</v>
          </cell>
          <cell r="D442" t="str">
            <v>JIAXING WOERQI ELECTRICAL CO., LTD</v>
          </cell>
          <cell r="E442" t="str">
            <v>JACKY</v>
          </cell>
          <cell r="F442" t="str">
            <v>BG-10</v>
          </cell>
          <cell r="G442">
            <v>300</v>
          </cell>
          <cell r="H442">
            <v>419.55919999999998</v>
          </cell>
          <cell r="I442">
            <v>486.68867199999994</v>
          </cell>
          <cell r="J442">
            <v>125867.76</v>
          </cell>
          <cell r="K442">
            <v>146006.60159999999</v>
          </cell>
          <cell r="L442" t="str">
            <v>GRAVEDAD</v>
          </cell>
          <cell r="N442">
            <v>0</v>
          </cell>
        </row>
        <row r="443">
          <cell r="A443" t="str">
            <v>21L60</v>
          </cell>
          <cell r="B443">
            <v>44372</v>
          </cell>
          <cell r="C443">
            <v>44375</v>
          </cell>
          <cell r="D443" t="str">
            <v>JIAXING WOERQI ELECTRICAL CO., LTD</v>
          </cell>
          <cell r="E443" t="str">
            <v>JACKY</v>
          </cell>
          <cell r="F443" t="str">
            <v>BG-12</v>
          </cell>
          <cell r="G443">
            <v>775</v>
          </cell>
          <cell r="H443">
            <v>427.00847741935485</v>
          </cell>
          <cell r="I443">
            <v>495.32983380645157</v>
          </cell>
          <cell r="J443">
            <v>330931.57</v>
          </cell>
          <cell r="K443">
            <v>383880.62119999999</v>
          </cell>
          <cell r="L443" t="str">
            <v>GRAVEDAD</v>
          </cell>
          <cell r="N443">
            <v>0</v>
          </cell>
        </row>
        <row r="444">
          <cell r="A444" t="str">
            <v>21L60</v>
          </cell>
          <cell r="B444">
            <v>44372</v>
          </cell>
          <cell r="C444">
            <v>44375</v>
          </cell>
          <cell r="D444" t="str">
            <v>JIAXING WOERQI ELECTRICAL CO., LTD</v>
          </cell>
          <cell r="E444" t="str">
            <v>JACKY</v>
          </cell>
          <cell r="F444" t="str">
            <v>BG-15</v>
          </cell>
          <cell r="G444">
            <v>355</v>
          </cell>
          <cell r="H444">
            <v>445.11495774647886</v>
          </cell>
          <cell r="I444">
            <v>516.33335098591544</v>
          </cell>
          <cell r="J444">
            <v>158015.81</v>
          </cell>
          <cell r="K444">
            <v>183298.33959999998</v>
          </cell>
          <cell r="L444" t="str">
            <v>GRAVEDAD</v>
          </cell>
          <cell r="N444">
            <v>0</v>
          </cell>
        </row>
        <row r="445">
          <cell r="A445" t="str">
            <v>21L60</v>
          </cell>
          <cell r="B445">
            <v>44372</v>
          </cell>
          <cell r="C445">
            <v>44375</v>
          </cell>
          <cell r="D445" t="str">
            <v>JIAXING WOERQI ELECTRICAL CO., LTD</v>
          </cell>
          <cell r="E445" t="str">
            <v>JACKY</v>
          </cell>
          <cell r="F445" t="str">
            <v>BG-18</v>
          </cell>
          <cell r="G445">
            <v>80</v>
          </cell>
          <cell r="H445">
            <v>463.91925000000003</v>
          </cell>
          <cell r="I445">
            <v>538.14633000000003</v>
          </cell>
          <cell r="J445">
            <v>37113.54</v>
          </cell>
          <cell r="K445">
            <v>43051.706400000003</v>
          </cell>
          <cell r="L445" t="str">
            <v>GRAVEDAD</v>
          </cell>
          <cell r="N445">
            <v>0</v>
          </cell>
        </row>
        <row r="446">
          <cell r="A446" t="str">
            <v>21L60</v>
          </cell>
          <cell r="B446">
            <v>44372</v>
          </cell>
          <cell r="C446">
            <v>44375</v>
          </cell>
          <cell r="D446" t="str">
            <v>JIAXING WOERQI ELECTRICAL CO., LTD</v>
          </cell>
          <cell r="E446" t="str">
            <v>JACKY</v>
          </cell>
          <cell r="F446" t="str">
            <v>BP-10</v>
          </cell>
          <cell r="G446">
            <v>160</v>
          </cell>
          <cell r="H446">
            <v>427.33581249999997</v>
          </cell>
          <cell r="I446">
            <v>495.70954249999994</v>
          </cell>
          <cell r="J446">
            <v>68373.73</v>
          </cell>
          <cell r="K446">
            <v>79313.526799999992</v>
          </cell>
          <cell r="L446" t="str">
            <v>PRESION</v>
          </cell>
          <cell r="N446">
            <v>0</v>
          </cell>
        </row>
        <row r="447">
          <cell r="A447" t="str">
            <v>21L60</v>
          </cell>
          <cell r="B447">
            <v>44372</v>
          </cell>
          <cell r="C447">
            <v>44375</v>
          </cell>
          <cell r="D447" t="str">
            <v>JIAXING WOERQI ELECTRICAL CO., LTD</v>
          </cell>
          <cell r="E447" t="str">
            <v>JACKY</v>
          </cell>
          <cell r="F447" t="str">
            <v>CAJA DE CARTÓN</v>
          </cell>
          <cell r="G447">
            <v>18</v>
          </cell>
          <cell r="H447">
            <v>30.880555555555556</v>
          </cell>
          <cell r="I447">
            <v>35.821444444444445</v>
          </cell>
          <cell r="J447">
            <v>555.85</v>
          </cell>
          <cell r="K447">
            <v>644.78600000000006</v>
          </cell>
          <cell r="L447" t="str">
            <v>GARANTIA</v>
          </cell>
          <cell r="N447">
            <v>0</v>
          </cell>
        </row>
        <row r="448">
          <cell r="A448" t="str">
            <v>21E35</v>
          </cell>
          <cell r="B448">
            <v>44376</v>
          </cell>
          <cell r="C448">
            <v>44383</v>
          </cell>
          <cell r="D448" t="str">
            <v>Haining Sunsurf New Energy Technology Co., Ltd.</v>
          </cell>
          <cell r="E448" t="str">
            <v>LEON</v>
          </cell>
          <cell r="F448" t="str">
            <v>TPE-20</v>
          </cell>
          <cell r="G448">
            <v>60</v>
          </cell>
          <cell r="H448">
            <v>5352.2483333333339</v>
          </cell>
          <cell r="I448">
            <v>6208.6080666666667</v>
          </cell>
          <cell r="J448">
            <v>321134.90000000002</v>
          </cell>
          <cell r="K448">
            <v>372516.484</v>
          </cell>
          <cell r="L448" t="str">
            <v>PRESION</v>
          </cell>
          <cell r="M448">
            <v>0</v>
          </cell>
          <cell r="N448">
            <v>0</v>
          </cell>
        </row>
        <row r="449">
          <cell r="A449" t="str">
            <v>21E35</v>
          </cell>
          <cell r="B449">
            <v>44376</v>
          </cell>
          <cell r="C449">
            <v>44383</v>
          </cell>
          <cell r="D449" t="str">
            <v>Haining Sunsurf New Energy Technology Co., Ltd.</v>
          </cell>
          <cell r="E449" t="str">
            <v>LEON</v>
          </cell>
          <cell r="F449" t="str">
            <v>TPE-26</v>
          </cell>
          <cell r="G449">
            <v>50</v>
          </cell>
          <cell r="H449">
            <v>6215.3069999999998</v>
          </cell>
          <cell r="I449">
            <v>7209.7561199999991</v>
          </cell>
          <cell r="J449">
            <v>310765.34999999998</v>
          </cell>
          <cell r="K449">
            <v>360487.80599999998</v>
          </cell>
          <cell r="L449" t="str">
            <v>PRESION</v>
          </cell>
          <cell r="M449">
            <v>0</v>
          </cell>
          <cell r="N449">
            <v>0</v>
          </cell>
        </row>
        <row r="450">
          <cell r="A450" t="str">
            <v>21E35</v>
          </cell>
          <cell r="B450">
            <v>44376</v>
          </cell>
          <cell r="C450">
            <v>44383</v>
          </cell>
          <cell r="D450" t="str">
            <v>Haining Sunsurf New Energy Technology Co., Ltd.</v>
          </cell>
          <cell r="E450" t="str">
            <v>LEON</v>
          </cell>
          <cell r="F450" t="str">
            <v>CAJA DE CARTÓN</v>
          </cell>
          <cell r="G450">
            <v>2</v>
          </cell>
          <cell r="H450">
            <v>33.85</v>
          </cell>
          <cell r="I450">
            <v>39.265999999999998</v>
          </cell>
          <cell r="J450">
            <v>67.7</v>
          </cell>
          <cell r="K450">
            <v>78.531999999999996</v>
          </cell>
          <cell r="L450" t="str">
            <v>GARANTIA</v>
          </cell>
          <cell r="N450">
            <v>0</v>
          </cell>
        </row>
        <row r="451">
          <cell r="A451" t="str">
            <v>21L63B</v>
          </cell>
          <cell r="B451">
            <v>44382</v>
          </cell>
          <cell r="C451">
            <v>44385</v>
          </cell>
          <cell r="D451" t="str">
            <v>CSP HOLDING GROUP LIMITED</v>
          </cell>
          <cell r="E451" t="str">
            <v>JESSIE</v>
          </cell>
          <cell r="F451" t="str">
            <v>TUG-10</v>
          </cell>
          <cell r="G451">
            <v>3</v>
          </cell>
          <cell r="H451">
            <v>673.37</v>
          </cell>
          <cell r="I451">
            <v>781.10919999999999</v>
          </cell>
          <cell r="J451">
            <v>2020.1100000000001</v>
          </cell>
          <cell r="K451">
            <v>2343.3276000000001</v>
          </cell>
          <cell r="L451" t="str">
            <v>GRAVEDAD</v>
          </cell>
          <cell r="N451">
            <v>0</v>
          </cell>
        </row>
        <row r="452">
          <cell r="A452" t="str">
            <v>21L63B</v>
          </cell>
          <cell r="B452">
            <v>44382</v>
          </cell>
          <cell r="C452">
            <v>44385</v>
          </cell>
          <cell r="D452" t="str">
            <v>CSP HOLDING GROUP LIMITED</v>
          </cell>
          <cell r="E452" t="str">
            <v>JESSIE</v>
          </cell>
          <cell r="F452" t="str">
            <v>TUG-15</v>
          </cell>
          <cell r="G452">
            <v>1070</v>
          </cell>
          <cell r="H452">
            <v>1009.93</v>
          </cell>
          <cell r="I452">
            <v>1171.5187999999998</v>
          </cell>
          <cell r="J452">
            <v>1080625.0999999999</v>
          </cell>
          <cell r="K452">
            <v>1253525.1159999999</v>
          </cell>
          <cell r="L452" t="str">
            <v>GRAVEDAD</v>
          </cell>
          <cell r="N452">
            <v>0</v>
          </cell>
        </row>
        <row r="453">
          <cell r="A453" t="str">
            <v>21L63A</v>
          </cell>
          <cell r="B453">
            <v>44382</v>
          </cell>
          <cell r="C453">
            <v>44386</v>
          </cell>
          <cell r="D453" t="str">
            <v>CSP HOLDING GROUP LIMITED</v>
          </cell>
          <cell r="E453" t="str">
            <v>JESSIE</v>
          </cell>
          <cell r="F453" t="str">
            <v>TUG-05</v>
          </cell>
          <cell r="G453">
            <v>40</v>
          </cell>
          <cell r="H453">
            <v>337.38</v>
          </cell>
          <cell r="I453">
            <v>391.36079999999998</v>
          </cell>
          <cell r="J453">
            <v>13495.2</v>
          </cell>
          <cell r="K453">
            <v>15654.431999999999</v>
          </cell>
          <cell r="L453" t="str">
            <v>GRAVEDAD</v>
          </cell>
          <cell r="N453">
            <v>0</v>
          </cell>
        </row>
        <row r="454">
          <cell r="A454" t="str">
            <v>21L63A</v>
          </cell>
          <cell r="B454">
            <v>44382</v>
          </cell>
          <cell r="C454">
            <v>44386</v>
          </cell>
          <cell r="D454" t="str">
            <v>CSP HOLDING GROUP LIMITED</v>
          </cell>
          <cell r="E454" t="str">
            <v>JESSIE</v>
          </cell>
          <cell r="F454" t="str">
            <v>TUG-10</v>
          </cell>
          <cell r="G454">
            <v>58</v>
          </cell>
          <cell r="H454">
            <v>674.89</v>
          </cell>
          <cell r="I454">
            <v>782.87239999999997</v>
          </cell>
          <cell r="J454">
            <v>39143.620000000003</v>
          </cell>
          <cell r="K454">
            <v>45406.599199999997</v>
          </cell>
          <cell r="L454" t="str">
            <v>GRAVEDAD</v>
          </cell>
          <cell r="N454">
            <v>0</v>
          </cell>
        </row>
        <row r="455">
          <cell r="A455" t="str">
            <v>21L63A</v>
          </cell>
          <cell r="B455">
            <v>44382</v>
          </cell>
          <cell r="C455">
            <v>44386</v>
          </cell>
          <cell r="D455" t="str">
            <v>CSP HOLDING GROUP LIMITED</v>
          </cell>
          <cell r="E455" t="str">
            <v>JESSIE</v>
          </cell>
          <cell r="F455" t="str">
            <v>TUG-15</v>
          </cell>
          <cell r="G455">
            <v>1054</v>
          </cell>
          <cell r="H455">
            <v>1012.22</v>
          </cell>
          <cell r="I455">
            <v>1174.1751999999999</v>
          </cell>
          <cell r="J455">
            <v>1066879.8800000001</v>
          </cell>
          <cell r="K455">
            <v>1237580.6608</v>
          </cell>
          <cell r="L455" t="str">
            <v>GRAVEDAD</v>
          </cell>
          <cell r="N455">
            <v>0</v>
          </cell>
        </row>
        <row r="456">
          <cell r="A456" t="str">
            <v>21L57A</v>
          </cell>
          <cell r="B456">
            <v>44383</v>
          </cell>
          <cell r="C456">
            <v>44387</v>
          </cell>
          <cell r="D456" t="str">
            <v>CSP HOLDING GROUP LIMITED</v>
          </cell>
          <cell r="E456" t="str">
            <v>JESSIE</v>
          </cell>
          <cell r="F456" t="str">
            <v>TUG-08</v>
          </cell>
          <cell r="G456">
            <v>158</v>
          </cell>
          <cell r="H456">
            <v>462.17911392405063</v>
          </cell>
          <cell r="I456">
            <v>536.12777215189874</v>
          </cell>
          <cell r="J456">
            <v>73024.3</v>
          </cell>
          <cell r="K456">
            <v>84708.187999999995</v>
          </cell>
          <cell r="L456" t="str">
            <v>GRAVEDAD</v>
          </cell>
          <cell r="N456">
            <v>0</v>
          </cell>
        </row>
        <row r="457">
          <cell r="A457" t="str">
            <v>21L57A</v>
          </cell>
          <cell r="B457">
            <v>44383</v>
          </cell>
          <cell r="C457">
            <v>44387</v>
          </cell>
          <cell r="D457" t="str">
            <v>CSP HOLDING GROUP LIMITED</v>
          </cell>
          <cell r="E457" t="str">
            <v>JESSIE</v>
          </cell>
          <cell r="F457" t="str">
            <v>TUG-10</v>
          </cell>
          <cell r="G457">
            <v>650</v>
          </cell>
          <cell r="H457">
            <v>578.09653846153844</v>
          </cell>
          <cell r="I457">
            <v>670.5919846153846</v>
          </cell>
          <cell r="J457">
            <v>375762.75</v>
          </cell>
          <cell r="K457">
            <v>435884.79</v>
          </cell>
          <cell r="L457" t="str">
            <v>GRAVEDAD</v>
          </cell>
          <cell r="N457">
            <v>0</v>
          </cell>
        </row>
        <row r="458">
          <cell r="A458" t="str">
            <v>21L57A</v>
          </cell>
          <cell r="B458">
            <v>44383</v>
          </cell>
          <cell r="C458">
            <v>44387</v>
          </cell>
          <cell r="D458" t="str">
            <v>CSP HOLDING GROUP LIMITED</v>
          </cell>
          <cell r="E458" t="str">
            <v>JESSIE</v>
          </cell>
          <cell r="F458" t="str">
            <v>TUG-12</v>
          </cell>
          <cell r="G458">
            <v>310</v>
          </cell>
          <cell r="H458">
            <v>693.66435483870976</v>
          </cell>
          <cell r="I458">
            <v>804.65065161290329</v>
          </cell>
          <cell r="J458">
            <v>215035.95</v>
          </cell>
          <cell r="K458">
            <v>249441.70200000002</v>
          </cell>
          <cell r="L458" t="str">
            <v>GRAVEDAD</v>
          </cell>
          <cell r="N458">
            <v>0</v>
          </cell>
        </row>
        <row r="459">
          <cell r="A459" t="str">
            <v>21L57A</v>
          </cell>
          <cell r="B459">
            <v>44383</v>
          </cell>
          <cell r="C459">
            <v>44387</v>
          </cell>
          <cell r="D459" t="str">
            <v>CSP HOLDING GROUP LIMITED</v>
          </cell>
          <cell r="E459" t="str">
            <v>JESSIE</v>
          </cell>
          <cell r="F459" t="str">
            <v>TUP-10</v>
          </cell>
          <cell r="G459">
            <v>245</v>
          </cell>
          <cell r="H459">
            <v>1471.0592653061226</v>
          </cell>
          <cell r="I459">
            <v>1706.428747755102</v>
          </cell>
          <cell r="J459">
            <v>360409.52</v>
          </cell>
          <cell r="K459">
            <v>418075.04320000001</v>
          </cell>
          <cell r="L459" t="str">
            <v>PRESION</v>
          </cell>
          <cell r="N459">
            <v>0</v>
          </cell>
        </row>
        <row r="460">
          <cell r="A460" t="str">
            <v>21L57A</v>
          </cell>
          <cell r="B460">
            <v>44383</v>
          </cell>
          <cell r="C460">
            <v>44387</v>
          </cell>
          <cell r="D460" t="str">
            <v>CSP HOLDING GROUP LIMITED</v>
          </cell>
          <cell r="E460" t="str">
            <v>JESSIE</v>
          </cell>
          <cell r="F460" t="str">
            <v>TUP-12</v>
          </cell>
          <cell r="G460">
            <v>101</v>
          </cell>
          <cell r="H460">
            <v>1765.4763366336633</v>
          </cell>
          <cell r="I460">
            <v>2047.9525504950493</v>
          </cell>
          <cell r="J460">
            <v>178313.11</v>
          </cell>
          <cell r="K460">
            <v>206843.20759999999</v>
          </cell>
          <cell r="L460" t="str">
            <v>PRESION</v>
          </cell>
          <cell r="N460">
            <v>0</v>
          </cell>
        </row>
        <row r="461">
          <cell r="A461" t="str">
            <v>21L57B</v>
          </cell>
          <cell r="B461">
            <v>44383</v>
          </cell>
          <cell r="C461">
            <v>44389</v>
          </cell>
          <cell r="D461" t="str">
            <v>CSP HOLDING GROUP LIMITED</v>
          </cell>
          <cell r="E461" t="str">
            <v>JESSIE</v>
          </cell>
          <cell r="F461" t="str">
            <v>TUG-12</v>
          </cell>
          <cell r="G461">
            <v>528</v>
          </cell>
          <cell r="H461">
            <v>697.21683712121205</v>
          </cell>
          <cell r="I461">
            <v>808.77153106060598</v>
          </cell>
          <cell r="J461">
            <v>368130.49</v>
          </cell>
          <cell r="K461">
            <v>427031.36839999998</v>
          </cell>
          <cell r="L461" t="str">
            <v>GRAVEDAD</v>
          </cell>
          <cell r="N461">
            <v>0</v>
          </cell>
        </row>
        <row r="462">
          <cell r="A462" t="str">
            <v>21L57B</v>
          </cell>
          <cell r="B462">
            <v>44383</v>
          </cell>
          <cell r="C462">
            <v>44389</v>
          </cell>
          <cell r="D462" t="str">
            <v>CSP HOLDING GROUP LIMITED</v>
          </cell>
          <cell r="E462" t="str">
            <v>JESSIE</v>
          </cell>
          <cell r="F462" t="str">
            <v>TUP-10</v>
          </cell>
          <cell r="G462">
            <v>155</v>
          </cell>
          <cell r="H462">
            <v>1478.5154838709677</v>
          </cell>
          <cell r="I462">
            <v>1715.0779612903225</v>
          </cell>
          <cell r="J462">
            <v>229169.9</v>
          </cell>
          <cell r="K462">
            <v>265837.08399999997</v>
          </cell>
          <cell r="L462" t="str">
            <v>PRESION</v>
          </cell>
          <cell r="N462">
            <v>0</v>
          </cell>
        </row>
        <row r="463">
          <cell r="A463" t="str">
            <v>21E19</v>
          </cell>
          <cell r="B463">
            <v>44389</v>
          </cell>
          <cell r="C463">
            <v>44391</v>
          </cell>
          <cell r="D463" t="str">
            <v>NEWTIME IMPORT AND EXPORT CORPORATION LIMITED OF ZHONGSHAN</v>
          </cell>
          <cell r="E463" t="str">
            <v>JULIAN</v>
          </cell>
          <cell r="F463" t="str">
            <v>CI-350</v>
          </cell>
          <cell r="G463">
            <v>160</v>
          </cell>
          <cell r="H463">
            <v>3271.1855</v>
          </cell>
          <cell r="I463">
            <v>3794.5751799999998</v>
          </cell>
          <cell r="J463">
            <v>523389.68</v>
          </cell>
          <cell r="K463">
            <v>607132.02879999997</v>
          </cell>
          <cell r="L463" t="str">
            <v>REFACCION</v>
          </cell>
          <cell r="N463">
            <v>0</v>
          </cell>
        </row>
        <row r="464">
          <cell r="A464" t="str">
            <v>21E19</v>
          </cell>
          <cell r="B464">
            <v>44389</v>
          </cell>
          <cell r="C464">
            <v>44391</v>
          </cell>
          <cell r="D464" t="str">
            <v>NEWTIME IMPORT AND EXPORT CORPORATION LIMITED OF ZHONGSHAN</v>
          </cell>
          <cell r="E464" t="str">
            <v>JULIAN</v>
          </cell>
          <cell r="F464" t="str">
            <v>REF-CI-350-F-GLASS</v>
          </cell>
          <cell r="G464">
            <v>2</v>
          </cell>
          <cell r="H464">
            <v>119.01</v>
          </cell>
          <cell r="I464">
            <v>138.05160000000001</v>
          </cell>
          <cell r="J464">
            <v>238.02</v>
          </cell>
          <cell r="K464">
            <v>276.10320000000002</v>
          </cell>
          <cell r="L464" t="str">
            <v>REFACCION</v>
          </cell>
          <cell r="N464">
            <v>0</v>
          </cell>
        </row>
        <row r="465">
          <cell r="A465" t="str">
            <v>21E19</v>
          </cell>
          <cell r="B465">
            <v>44389</v>
          </cell>
          <cell r="C465">
            <v>44391</v>
          </cell>
          <cell r="D465" t="str">
            <v>NEWTIME IMPORT AND EXPORT CORPORATION LIMITED OF ZHONGSHAN</v>
          </cell>
          <cell r="E465" t="str">
            <v>JULIAN</v>
          </cell>
          <cell r="F465" t="str">
            <v>REF-CI-350-SWITCH</v>
          </cell>
          <cell r="G465">
            <v>2</v>
          </cell>
          <cell r="H465">
            <v>71.224999999999994</v>
          </cell>
          <cell r="I465">
            <v>82.620999999999981</v>
          </cell>
          <cell r="J465">
            <v>142.44999999999999</v>
          </cell>
          <cell r="K465">
            <v>165.24199999999996</v>
          </cell>
          <cell r="L465" t="str">
            <v>REFACCION</v>
          </cell>
          <cell r="N465">
            <v>0</v>
          </cell>
        </row>
        <row r="466">
          <cell r="A466" t="str">
            <v>21E19</v>
          </cell>
          <cell r="B466">
            <v>44389</v>
          </cell>
          <cell r="C466">
            <v>44391</v>
          </cell>
          <cell r="D466" t="str">
            <v>NEWTIME IMPORT AND EXPORT CORPORATION LIMITED OF ZHONGSHAN</v>
          </cell>
          <cell r="E466" t="str">
            <v>JULIAN</v>
          </cell>
          <cell r="F466" t="str">
            <v>REF-CI-350-MOTOR</v>
          </cell>
          <cell r="G466">
            <v>1</v>
          </cell>
          <cell r="H466">
            <v>593.48</v>
          </cell>
          <cell r="I466">
            <v>688.43679999999995</v>
          </cell>
          <cell r="J466">
            <v>593.48</v>
          </cell>
          <cell r="K466">
            <v>688.43679999999995</v>
          </cell>
          <cell r="L466" t="str">
            <v>REFACCION</v>
          </cell>
          <cell r="N466">
            <v>0</v>
          </cell>
        </row>
        <row r="467">
          <cell r="A467" t="str">
            <v>21E19</v>
          </cell>
          <cell r="B467">
            <v>44389</v>
          </cell>
          <cell r="C467">
            <v>44391</v>
          </cell>
          <cell r="D467" t="str">
            <v>NEWTIME IMPORT AND EXPORT CORPORATION LIMITED OF ZHONGSHAN</v>
          </cell>
          <cell r="E467" t="str">
            <v>JULIAN</v>
          </cell>
          <cell r="F467" t="str">
            <v>REF-CI-350-LIGHT</v>
          </cell>
          <cell r="G467">
            <v>2</v>
          </cell>
          <cell r="H467">
            <v>47.185000000000002</v>
          </cell>
          <cell r="I467">
            <v>54.7346</v>
          </cell>
          <cell r="J467">
            <v>94.37</v>
          </cell>
          <cell r="K467">
            <v>109.4692</v>
          </cell>
          <cell r="L467" t="str">
            <v>REFACCION</v>
          </cell>
          <cell r="N467">
            <v>0</v>
          </cell>
        </row>
        <row r="468">
          <cell r="A468" t="str">
            <v>21E19</v>
          </cell>
          <cell r="B468">
            <v>44389</v>
          </cell>
          <cell r="C468">
            <v>44391</v>
          </cell>
          <cell r="D468" t="str">
            <v>NEWTIME IMPORT AND EXPORT CORPORATION LIMITED OF ZHONGSHAN</v>
          </cell>
          <cell r="E468" t="str">
            <v>JULIAN</v>
          </cell>
          <cell r="F468" t="str">
            <v>REF-CI-350-CABLES</v>
          </cell>
          <cell r="G468">
            <v>2</v>
          </cell>
          <cell r="H468">
            <v>21.535</v>
          </cell>
          <cell r="I468">
            <v>24.980599999999999</v>
          </cell>
          <cell r="J468">
            <v>43.07</v>
          </cell>
          <cell r="K468">
            <v>49.961199999999998</v>
          </cell>
          <cell r="L468" t="str">
            <v>REFACCION</v>
          </cell>
          <cell r="N468">
            <v>0</v>
          </cell>
        </row>
        <row r="469">
          <cell r="A469" t="str">
            <v>21E19</v>
          </cell>
          <cell r="B469">
            <v>44389</v>
          </cell>
          <cell r="C469">
            <v>44391</v>
          </cell>
          <cell r="D469" t="str">
            <v>NEWTIME IMPORT AND EXPORT CORPORATION LIMITED OF ZHONGSHAN</v>
          </cell>
          <cell r="E469" t="str">
            <v>JULIAN</v>
          </cell>
          <cell r="F469" t="str">
            <v>REF-CI-350-C-GLASS</v>
          </cell>
          <cell r="G469">
            <v>2</v>
          </cell>
          <cell r="H469">
            <v>296.74</v>
          </cell>
          <cell r="I469">
            <v>344.21839999999997</v>
          </cell>
          <cell r="J469">
            <v>593.48</v>
          </cell>
          <cell r="K469">
            <v>688.43679999999995</v>
          </cell>
          <cell r="L469" t="str">
            <v>REFACCION</v>
          </cell>
          <cell r="N469">
            <v>0</v>
          </cell>
        </row>
        <row r="470">
          <cell r="A470" t="str">
            <v>21L64</v>
          </cell>
          <cell r="B470">
            <v>44391</v>
          </cell>
          <cell r="C470">
            <v>44396</v>
          </cell>
          <cell r="D470" t="str">
            <v>JIAXING WOERQI ELECTRICAL CO., LTD</v>
          </cell>
          <cell r="E470" t="str">
            <v>JACKY</v>
          </cell>
          <cell r="F470" t="str">
            <v>BG-10</v>
          </cell>
          <cell r="G470">
            <v>250</v>
          </cell>
          <cell r="H470">
            <v>410.58</v>
          </cell>
          <cell r="I470">
            <v>476.27279999999996</v>
          </cell>
          <cell r="J470">
            <v>102645</v>
          </cell>
          <cell r="K470">
            <v>119068.2</v>
          </cell>
          <cell r="L470" t="str">
            <v>GRAVEDAD</v>
          </cell>
          <cell r="N470">
            <v>0</v>
          </cell>
        </row>
        <row r="471">
          <cell r="A471" t="str">
            <v>21L64</v>
          </cell>
          <cell r="B471">
            <v>44391</v>
          </cell>
          <cell r="C471">
            <v>44396</v>
          </cell>
          <cell r="D471" t="str">
            <v>JIAXING WOERQI ELECTRICAL CO., LTD</v>
          </cell>
          <cell r="E471" t="str">
            <v>JACKY</v>
          </cell>
          <cell r="F471" t="str">
            <v>BG-15</v>
          </cell>
          <cell r="G471">
            <v>1400</v>
          </cell>
          <cell r="H471">
            <v>441.74</v>
          </cell>
          <cell r="I471">
            <v>512.41840000000002</v>
          </cell>
          <cell r="J471">
            <v>618436</v>
          </cell>
          <cell r="K471">
            <v>717385.76</v>
          </cell>
          <cell r="L471" t="str">
            <v>GRAVEDAD</v>
          </cell>
          <cell r="N471">
            <v>0</v>
          </cell>
        </row>
        <row r="472">
          <cell r="A472" t="str">
            <v>21L64</v>
          </cell>
          <cell r="B472">
            <v>44391</v>
          </cell>
          <cell r="C472">
            <v>44396</v>
          </cell>
          <cell r="D472" t="str">
            <v>JIAXING WOERQI ELECTRICAL CO., LTD</v>
          </cell>
          <cell r="E472" t="str">
            <v>JACKY</v>
          </cell>
          <cell r="F472" t="str">
            <v>BG-18</v>
          </cell>
          <cell r="G472">
            <v>100</v>
          </cell>
          <cell r="H472">
            <v>460.37</v>
          </cell>
          <cell r="I472">
            <v>534.02919999999995</v>
          </cell>
          <cell r="J472">
            <v>46037</v>
          </cell>
          <cell r="K472">
            <v>53402.92</v>
          </cell>
          <cell r="L472" t="str">
            <v>GRAVEDAD</v>
          </cell>
          <cell r="N472">
            <v>0</v>
          </cell>
        </row>
        <row r="473">
          <cell r="A473" t="str">
            <v>21L64</v>
          </cell>
          <cell r="B473">
            <v>44391</v>
          </cell>
          <cell r="C473">
            <v>44396</v>
          </cell>
          <cell r="D473" t="str">
            <v>JIAXING WOERQI ELECTRICAL CO., LTD</v>
          </cell>
          <cell r="E473" t="str">
            <v>JACKY</v>
          </cell>
          <cell r="F473" t="str">
            <v xml:space="preserve">CAJ-BG-15	</v>
          </cell>
          <cell r="G473">
            <v>18</v>
          </cell>
          <cell r="H473">
            <v>27.9</v>
          </cell>
          <cell r="I473">
            <v>32.363999999999997</v>
          </cell>
          <cell r="J473">
            <v>502.2</v>
          </cell>
          <cell r="K473">
            <v>582.55199999999991</v>
          </cell>
          <cell r="L473" t="str">
            <v>GARANTIA</v>
          </cell>
          <cell r="N473">
            <v>0</v>
          </cell>
        </row>
        <row r="474">
          <cell r="A474" t="str">
            <v>21L65</v>
          </cell>
          <cell r="B474">
            <v>44393</v>
          </cell>
          <cell r="C474">
            <v>44400</v>
          </cell>
          <cell r="D474" t="str">
            <v>JIAXING WOERQI ELECTRICAL CO., LTD</v>
          </cell>
          <cell r="E474" t="str">
            <v>JACKY</v>
          </cell>
          <cell r="F474" t="str">
            <v>BG-10</v>
          </cell>
          <cell r="G474">
            <v>350</v>
          </cell>
          <cell r="H474">
            <v>405.90017142857141</v>
          </cell>
          <cell r="I474">
            <v>470.84419885714283</v>
          </cell>
          <cell r="J474">
            <v>142065.06</v>
          </cell>
          <cell r="K474">
            <v>164795.46959999998</v>
          </cell>
          <cell r="L474" t="str">
            <v>GRAVEDAD</v>
          </cell>
          <cell r="N474">
            <v>0</v>
          </cell>
        </row>
        <row r="475">
          <cell r="A475" t="str">
            <v>21L65</v>
          </cell>
          <cell r="B475">
            <v>44393</v>
          </cell>
          <cell r="C475">
            <v>44400</v>
          </cell>
          <cell r="D475" t="str">
            <v>JIAXING WOERQI ELECTRICAL CO., LTD</v>
          </cell>
          <cell r="E475" t="str">
            <v>JACKY</v>
          </cell>
          <cell r="F475" t="str">
            <v>BG-15</v>
          </cell>
          <cell r="G475">
            <v>1180</v>
          </cell>
          <cell r="H475">
            <v>436.67786440677969</v>
          </cell>
          <cell r="I475">
            <v>506.54632271186443</v>
          </cell>
          <cell r="J475">
            <v>515279.88000000006</v>
          </cell>
          <cell r="K475">
            <v>597724.66080000007</v>
          </cell>
          <cell r="L475" t="str">
            <v>GRAVEDAD</v>
          </cell>
          <cell r="N475">
            <v>0</v>
          </cell>
        </row>
        <row r="476">
          <cell r="A476" t="str">
            <v>21L65</v>
          </cell>
          <cell r="B476">
            <v>44393</v>
          </cell>
          <cell r="C476">
            <v>44400</v>
          </cell>
          <cell r="D476" t="str">
            <v>JIAXING WOERQI ELECTRICAL CO., LTD</v>
          </cell>
          <cell r="E476" t="str">
            <v>JACKY</v>
          </cell>
          <cell r="F476" t="str">
            <v>BG-18</v>
          </cell>
          <cell r="G476">
            <v>150</v>
          </cell>
          <cell r="H476">
            <v>455.04599999999994</v>
          </cell>
          <cell r="I476">
            <v>527.85335999999984</v>
          </cell>
          <cell r="J476">
            <v>68256.899999999994</v>
          </cell>
          <cell r="K476">
            <v>79178.003999999972</v>
          </cell>
          <cell r="L476" t="str">
            <v>GRAVEDAD</v>
          </cell>
          <cell r="N476">
            <v>0</v>
          </cell>
        </row>
        <row r="477">
          <cell r="A477" t="str">
            <v>21L65</v>
          </cell>
          <cell r="B477">
            <v>44393</v>
          </cell>
          <cell r="C477">
            <v>44400</v>
          </cell>
          <cell r="D477" t="str">
            <v>JIAXING WOERQI ELECTRICAL CO., LTD</v>
          </cell>
          <cell r="E477" t="str">
            <v>JACKY</v>
          </cell>
          <cell r="F477" t="str">
            <v>BG-20</v>
          </cell>
          <cell r="G477">
            <v>70</v>
          </cell>
          <cell r="H477">
            <v>469.6261428571429</v>
          </cell>
          <cell r="I477">
            <v>544.7663257142857</v>
          </cell>
          <cell r="J477">
            <v>32873.83</v>
          </cell>
          <cell r="K477">
            <v>38133.642800000001</v>
          </cell>
          <cell r="L477" t="str">
            <v>GRAVEDAD</v>
          </cell>
          <cell r="N477">
            <v>0</v>
          </cell>
        </row>
        <row r="478">
          <cell r="A478" t="str">
            <v>21L65</v>
          </cell>
          <cell r="B478">
            <v>44393</v>
          </cell>
          <cell r="C478">
            <v>44400</v>
          </cell>
          <cell r="D478" t="str">
            <v>JIAXING WOERQI ELECTRICAL CO., LTD</v>
          </cell>
          <cell r="E478" t="str">
            <v>JACKY</v>
          </cell>
          <cell r="F478" t="str">
            <v>CAJ-BG-15</v>
          </cell>
          <cell r="G478">
            <v>18</v>
          </cell>
          <cell r="H478">
            <v>28.098333333333333</v>
          </cell>
          <cell r="I478">
            <v>32.594066666666663</v>
          </cell>
          <cell r="J478">
            <v>505.77</v>
          </cell>
          <cell r="K478">
            <v>586.69319999999993</v>
          </cell>
          <cell r="L478" t="str">
            <v>GARANTIA</v>
          </cell>
          <cell r="N478">
            <v>0</v>
          </cell>
        </row>
        <row r="479">
          <cell r="A479" t="str">
            <v>21L73</v>
          </cell>
          <cell r="B479">
            <v>44393</v>
          </cell>
          <cell r="C479">
            <v>44400</v>
          </cell>
          <cell r="D479" t="str">
            <v>Haining Sunsurf New Energy Technology Co., Ltd.</v>
          </cell>
          <cell r="E479" t="str">
            <v>LEON</v>
          </cell>
          <cell r="F479" t="str">
            <v>BG-12</v>
          </cell>
          <cell r="G479">
            <v>250</v>
          </cell>
          <cell r="H479">
            <v>421.14431999999999</v>
          </cell>
          <cell r="I479">
            <v>488.52741119999996</v>
          </cell>
          <cell r="J479">
            <v>105286.08</v>
          </cell>
          <cell r="K479">
            <v>122131.85279999999</v>
          </cell>
          <cell r="L479" t="str">
            <v>GRAVEDAD</v>
          </cell>
          <cell r="N479">
            <v>0</v>
          </cell>
        </row>
        <row r="480">
          <cell r="A480" t="str">
            <v>21L73</v>
          </cell>
          <cell r="B480">
            <v>44393</v>
          </cell>
          <cell r="C480">
            <v>44400</v>
          </cell>
          <cell r="D480" t="str">
            <v>Haining Sunsurf New Energy Technology Co., Ltd.</v>
          </cell>
          <cell r="E480" t="str">
            <v>LEON</v>
          </cell>
          <cell r="F480" t="str">
            <v>BG-15</v>
          </cell>
          <cell r="G480">
            <v>350</v>
          </cell>
          <cell r="H480">
            <v>439.1902</v>
          </cell>
          <cell r="I480">
            <v>509.46063199999998</v>
          </cell>
          <cell r="J480">
            <v>153716.57</v>
          </cell>
          <cell r="K480">
            <v>178311.2212</v>
          </cell>
          <cell r="L480" t="str">
            <v>GRAVEDAD</v>
          </cell>
          <cell r="N480">
            <v>0</v>
          </cell>
        </row>
        <row r="481">
          <cell r="A481" t="str">
            <v>21L73</v>
          </cell>
          <cell r="B481">
            <v>44393</v>
          </cell>
          <cell r="C481">
            <v>44400</v>
          </cell>
          <cell r="D481" t="str">
            <v>Haining Sunsurf New Energy Technology Co., Ltd.</v>
          </cell>
          <cell r="E481" t="str">
            <v>LEON</v>
          </cell>
          <cell r="F481" t="str">
            <v>BG-30</v>
          </cell>
          <cell r="G481">
            <v>120</v>
          </cell>
          <cell r="H481">
            <v>697.76649999999995</v>
          </cell>
          <cell r="I481">
            <v>809.40913999999987</v>
          </cell>
          <cell r="J481">
            <v>83731.98</v>
          </cell>
          <cell r="K481">
            <v>97129.096799999985</v>
          </cell>
          <cell r="L481" t="str">
            <v>GRAVEDAD</v>
          </cell>
          <cell r="N481">
            <v>0</v>
          </cell>
        </row>
        <row r="482">
          <cell r="A482" t="str">
            <v>21L73</v>
          </cell>
          <cell r="B482">
            <v>44393</v>
          </cell>
          <cell r="C482">
            <v>44400</v>
          </cell>
          <cell r="D482" t="str">
            <v>Haining Sunsurf New Energy Technology Co., Ltd.</v>
          </cell>
          <cell r="E482" t="str">
            <v>LEON</v>
          </cell>
          <cell r="F482" t="str">
            <v>BP-12</v>
          </cell>
          <cell r="G482">
            <v>900</v>
          </cell>
          <cell r="H482">
            <v>421.15451111111111</v>
          </cell>
          <cell r="I482">
            <v>488.53923288888888</v>
          </cell>
          <cell r="J482">
            <v>379039.06</v>
          </cell>
          <cell r="K482">
            <v>439685.30959999998</v>
          </cell>
          <cell r="L482" t="str">
            <v>PRESION</v>
          </cell>
          <cell r="N482">
            <v>0</v>
          </cell>
        </row>
        <row r="483">
          <cell r="A483" t="str">
            <v>21L73</v>
          </cell>
          <cell r="B483">
            <v>44393</v>
          </cell>
          <cell r="C483">
            <v>44400</v>
          </cell>
          <cell r="D483" t="str">
            <v>Haining Sunsurf New Energy Technology Co., Ltd.</v>
          </cell>
          <cell r="E483" t="str">
            <v>LEON</v>
          </cell>
          <cell r="F483" t="str">
            <v>BP-20</v>
          </cell>
          <cell r="G483">
            <v>80</v>
          </cell>
          <cell r="H483">
            <v>672.22225000000003</v>
          </cell>
          <cell r="I483">
            <v>779.77780999999993</v>
          </cell>
          <cell r="J483">
            <v>53777.78</v>
          </cell>
          <cell r="K483">
            <v>62382.224799999996</v>
          </cell>
          <cell r="L483" t="str">
            <v>PRESION</v>
          </cell>
          <cell r="N483">
            <v>0</v>
          </cell>
        </row>
        <row r="484">
          <cell r="A484" t="str">
            <v>21L73</v>
          </cell>
          <cell r="B484">
            <v>44393</v>
          </cell>
          <cell r="C484">
            <v>44400</v>
          </cell>
          <cell r="D484" t="str">
            <v>Haining Sunsurf New Energy Technology Co., Ltd.</v>
          </cell>
          <cell r="E484" t="str">
            <v>LEON</v>
          </cell>
          <cell r="F484" t="str">
            <v>BP-26</v>
          </cell>
          <cell r="G484">
            <v>50</v>
          </cell>
          <cell r="H484">
            <v>742.7876</v>
          </cell>
          <cell r="I484">
            <v>861.63361599999996</v>
          </cell>
          <cell r="J484">
            <v>37139.379999999997</v>
          </cell>
          <cell r="K484">
            <v>43081.680799999995</v>
          </cell>
          <cell r="L484" t="str">
            <v>PRESION</v>
          </cell>
          <cell r="N484">
            <v>0</v>
          </cell>
        </row>
        <row r="485">
          <cell r="A485" t="str">
            <v>21L73</v>
          </cell>
          <cell r="B485">
            <v>44393</v>
          </cell>
          <cell r="C485">
            <v>44400</v>
          </cell>
          <cell r="D485" t="str">
            <v>Haining Sunsurf New Energy Technology Co., Ltd.</v>
          </cell>
          <cell r="E485" t="str">
            <v>LEON</v>
          </cell>
          <cell r="F485" t="str">
            <v>CAJ-BASE</v>
          </cell>
          <cell r="G485">
            <v>17</v>
          </cell>
          <cell r="H485">
            <v>27.468823529411765</v>
          </cell>
          <cell r="I485">
            <v>31.863835294117646</v>
          </cell>
          <cell r="J485">
            <v>466.97</v>
          </cell>
          <cell r="K485">
            <v>541.68520000000001</v>
          </cell>
          <cell r="L485" t="str">
            <v>PRESION</v>
          </cell>
          <cell r="N485">
            <v>0</v>
          </cell>
        </row>
        <row r="486">
          <cell r="A486" t="str">
            <v>21L73</v>
          </cell>
          <cell r="B486">
            <v>44393</v>
          </cell>
          <cell r="C486">
            <v>44400</v>
          </cell>
          <cell r="D486" t="str">
            <v>Haining Sunsurf New Energy Technology Co., Ltd.</v>
          </cell>
          <cell r="E486" t="str">
            <v>LEON</v>
          </cell>
          <cell r="F486" t="str">
            <v>VENA-CHP-FRIA</v>
          </cell>
          <cell r="G486">
            <v>170</v>
          </cell>
          <cell r="H486">
            <v>32.132235294117642</v>
          </cell>
          <cell r="I486">
            <v>37.273392941176461</v>
          </cell>
          <cell r="J486">
            <v>5462.48</v>
          </cell>
          <cell r="K486">
            <v>6336.4767999999985</v>
          </cell>
          <cell r="L486" t="str">
            <v>PRESION</v>
          </cell>
          <cell r="N486">
            <v>0</v>
          </cell>
        </row>
        <row r="487">
          <cell r="A487" t="str">
            <v>21L68A</v>
          </cell>
          <cell r="B487">
            <v>44396</v>
          </cell>
          <cell r="C487">
            <v>44398</v>
          </cell>
          <cell r="D487" t="str">
            <v>CSP HOLDING GROUP LIMITED</v>
          </cell>
          <cell r="E487" t="str">
            <v>JESSIE</v>
          </cell>
          <cell r="F487" t="str">
            <v>TUG-08</v>
          </cell>
          <cell r="G487">
            <v>186</v>
          </cell>
          <cell r="H487">
            <v>522.933870967742</v>
          </cell>
          <cell r="I487">
            <v>606.60329032258062</v>
          </cell>
          <cell r="J487">
            <v>97265.700000000012</v>
          </cell>
          <cell r="K487">
            <v>112828.212</v>
          </cell>
          <cell r="L487" t="str">
            <v>GRAVEDAD</v>
          </cell>
          <cell r="N487">
            <v>0</v>
          </cell>
        </row>
        <row r="488">
          <cell r="A488" t="str">
            <v>21L68A</v>
          </cell>
          <cell r="B488">
            <v>44396</v>
          </cell>
          <cell r="C488">
            <v>44398</v>
          </cell>
          <cell r="D488" t="str">
            <v>CSP HOLDING GROUP LIMITED</v>
          </cell>
          <cell r="E488" t="str">
            <v>JESSIE</v>
          </cell>
          <cell r="F488" t="str">
            <v>TUG-10</v>
          </cell>
          <cell r="G488">
            <v>600</v>
          </cell>
          <cell r="H488">
            <v>653.5789666666667</v>
          </cell>
          <cell r="I488">
            <v>758.15160133333336</v>
          </cell>
          <cell r="J488">
            <v>392147.38</v>
          </cell>
          <cell r="K488">
            <v>454890.9608</v>
          </cell>
          <cell r="L488" t="str">
            <v>GRAVEDAD</v>
          </cell>
          <cell r="N488">
            <v>0</v>
          </cell>
        </row>
        <row r="489">
          <cell r="A489" t="str">
            <v>21L68A</v>
          </cell>
          <cell r="B489">
            <v>44396</v>
          </cell>
          <cell r="C489">
            <v>44398</v>
          </cell>
          <cell r="D489" t="str">
            <v>CSP HOLDING GROUP LIMITED</v>
          </cell>
          <cell r="E489" t="str">
            <v>JESSIE</v>
          </cell>
          <cell r="F489" t="str">
            <v>TUG-15</v>
          </cell>
          <cell r="G489">
            <v>530</v>
          </cell>
          <cell r="H489">
            <v>980.39603773584906</v>
          </cell>
          <cell r="I489">
            <v>1137.2594037735848</v>
          </cell>
          <cell r="J489">
            <v>519609.9</v>
          </cell>
          <cell r="K489">
            <v>602747.48399999994</v>
          </cell>
          <cell r="L489" t="str">
            <v>GRAVEDAD</v>
          </cell>
          <cell r="N489">
            <v>0</v>
          </cell>
        </row>
        <row r="490">
          <cell r="A490" t="str">
            <v>21L68A</v>
          </cell>
          <cell r="B490">
            <v>44396</v>
          </cell>
          <cell r="C490">
            <v>44398</v>
          </cell>
          <cell r="D490" t="str">
            <v>CSP HOLDING GROUP LIMITED</v>
          </cell>
          <cell r="E490" t="str">
            <v>JESSIE</v>
          </cell>
          <cell r="F490" t="str">
            <v>TUP-10</v>
          </cell>
          <cell r="G490">
            <v>20</v>
          </cell>
          <cell r="H490">
            <v>1738.3244999999999</v>
          </cell>
          <cell r="I490">
            <v>2016.4564199999998</v>
          </cell>
          <cell r="J490">
            <v>34766.49</v>
          </cell>
          <cell r="K490">
            <v>40329.128399999994</v>
          </cell>
          <cell r="L490" t="str">
            <v>PRESION</v>
          </cell>
          <cell r="N490">
            <v>0</v>
          </cell>
        </row>
        <row r="491">
          <cell r="A491" t="str">
            <v>21L68B</v>
          </cell>
          <cell r="B491">
            <v>44396</v>
          </cell>
          <cell r="C491">
            <v>44399</v>
          </cell>
          <cell r="D491" t="str">
            <v>CSP HOLDING GROUP LIMITED</v>
          </cell>
          <cell r="E491" t="str">
            <v>JESSIE</v>
          </cell>
          <cell r="F491" t="str">
            <v>TUG-08</v>
          </cell>
          <cell r="G491">
            <v>114</v>
          </cell>
          <cell r="H491">
            <v>520.37122807017545</v>
          </cell>
          <cell r="I491">
            <v>603.63062456140347</v>
          </cell>
          <cell r="J491">
            <v>59322.32</v>
          </cell>
          <cell r="K491">
            <v>68813.891199999998</v>
          </cell>
          <cell r="L491" t="str">
            <v>GRAVEDAD</v>
          </cell>
          <cell r="N491">
            <v>0</v>
          </cell>
        </row>
        <row r="492">
          <cell r="A492" t="str">
            <v>21L68B</v>
          </cell>
          <cell r="B492">
            <v>44396</v>
          </cell>
          <cell r="C492">
            <v>44399</v>
          </cell>
          <cell r="D492" t="str">
            <v>CSP HOLDING GROUP LIMITED</v>
          </cell>
          <cell r="E492" t="str">
            <v>JESSIE</v>
          </cell>
          <cell r="F492" t="str">
            <v>TUG-15</v>
          </cell>
          <cell r="G492">
            <v>460</v>
          </cell>
          <cell r="H492">
            <v>975.74819565217388</v>
          </cell>
          <cell r="I492">
            <v>1131.8679069565217</v>
          </cell>
          <cell r="J492">
            <v>448844.17</v>
          </cell>
          <cell r="K492">
            <v>520659.23719999997</v>
          </cell>
          <cell r="L492" t="str">
            <v>GRAVEDAD</v>
          </cell>
          <cell r="N492">
            <v>0</v>
          </cell>
        </row>
        <row r="493">
          <cell r="A493" t="str">
            <v>21L68B</v>
          </cell>
          <cell r="B493">
            <v>44396</v>
          </cell>
          <cell r="C493">
            <v>44399</v>
          </cell>
          <cell r="D493" t="str">
            <v>CSP HOLDING GROUP LIMITED</v>
          </cell>
          <cell r="E493" t="str">
            <v>JESSIE</v>
          </cell>
          <cell r="F493" t="str">
            <v>TUP-10</v>
          </cell>
          <cell r="G493">
            <v>10</v>
          </cell>
          <cell r="H493">
            <v>1729.6790000000001</v>
          </cell>
          <cell r="I493">
            <v>2006.4276399999999</v>
          </cell>
          <cell r="J493">
            <v>17296.79</v>
          </cell>
          <cell r="K493">
            <v>20064.276399999999</v>
          </cell>
          <cell r="L493" t="str">
            <v>PRESION</v>
          </cell>
          <cell r="N493">
            <v>0</v>
          </cell>
        </row>
        <row r="494">
          <cell r="A494" t="str">
            <v>21L67</v>
          </cell>
          <cell r="B494">
            <v>44396</v>
          </cell>
          <cell r="C494">
            <v>44399</v>
          </cell>
          <cell r="D494" t="str">
            <v>HAINING LEBRIA E
BUSINESS CO.</v>
          </cell>
          <cell r="E494" t="str">
            <v>EMMA</v>
          </cell>
          <cell r="F494" t="str">
            <v>TUP-12</v>
          </cell>
          <cell r="G494">
            <v>622</v>
          </cell>
          <cell r="H494">
            <v>1489.3601125401929</v>
          </cell>
          <cell r="I494">
            <v>1727.6577305466235</v>
          </cell>
          <cell r="J494">
            <v>926381.99</v>
          </cell>
          <cell r="K494">
            <v>1074603.1083999998</v>
          </cell>
          <cell r="L494" t="str">
            <v>PRESION</v>
          </cell>
          <cell r="N494">
            <v>0</v>
          </cell>
        </row>
        <row r="495">
          <cell r="N495">
            <v>0</v>
          </cell>
        </row>
        <row r="496">
          <cell r="N496">
            <v>0</v>
          </cell>
        </row>
        <row r="497">
          <cell r="N497">
            <v>0</v>
          </cell>
        </row>
        <row r="498">
          <cell r="N498">
            <v>0</v>
          </cell>
        </row>
        <row r="499">
          <cell r="N499">
            <v>0</v>
          </cell>
        </row>
        <row r="500">
          <cell r="N500">
            <v>0</v>
          </cell>
        </row>
        <row r="501">
          <cell r="N501">
            <v>0</v>
          </cell>
        </row>
        <row r="502">
          <cell r="N502">
            <v>0</v>
          </cell>
        </row>
        <row r="503">
          <cell r="N503">
            <v>0</v>
          </cell>
        </row>
        <row r="504">
          <cell r="N504">
            <v>0</v>
          </cell>
        </row>
        <row r="505">
          <cell r="N505">
            <v>0</v>
          </cell>
        </row>
        <row r="506">
          <cell r="N506">
            <v>0</v>
          </cell>
        </row>
        <row r="507">
          <cell r="N507">
            <v>0</v>
          </cell>
        </row>
        <row r="508">
          <cell r="N508">
            <v>0</v>
          </cell>
        </row>
        <row r="509">
          <cell r="N509">
            <v>0</v>
          </cell>
        </row>
        <row r="510">
          <cell r="N510">
            <v>0</v>
          </cell>
        </row>
        <row r="511">
          <cell r="N511">
            <v>0</v>
          </cell>
        </row>
        <row r="512">
          <cell r="N512">
            <v>0</v>
          </cell>
        </row>
        <row r="513">
          <cell r="N513">
            <v>0</v>
          </cell>
        </row>
        <row r="514">
          <cell r="N514">
            <v>0</v>
          </cell>
        </row>
        <row r="515">
          <cell r="N515">
            <v>0</v>
          </cell>
        </row>
        <row r="516">
          <cell r="N516">
            <v>0</v>
          </cell>
        </row>
        <row r="517">
          <cell r="N517">
            <v>0</v>
          </cell>
        </row>
        <row r="518">
          <cell r="N518">
            <v>0</v>
          </cell>
        </row>
        <row r="519">
          <cell r="N519">
            <v>0</v>
          </cell>
        </row>
        <row r="520">
          <cell r="N520">
            <v>0</v>
          </cell>
        </row>
        <row r="521">
          <cell r="N521">
            <v>0</v>
          </cell>
        </row>
        <row r="522">
          <cell r="N522">
            <v>0</v>
          </cell>
        </row>
        <row r="523">
          <cell r="N523">
            <v>0</v>
          </cell>
        </row>
        <row r="524">
          <cell r="N524">
            <v>0</v>
          </cell>
        </row>
        <row r="525">
          <cell r="N525">
            <v>0</v>
          </cell>
        </row>
        <row r="526">
          <cell r="N526">
            <v>0</v>
          </cell>
        </row>
        <row r="527">
          <cell r="N527">
            <v>0</v>
          </cell>
        </row>
        <row r="528">
          <cell r="N528">
            <v>0</v>
          </cell>
        </row>
        <row r="529">
          <cell r="N529">
            <v>0</v>
          </cell>
        </row>
        <row r="530">
          <cell r="N530">
            <v>0</v>
          </cell>
        </row>
        <row r="531">
          <cell r="N531">
            <v>0</v>
          </cell>
        </row>
        <row r="532">
          <cell r="N532">
            <v>0</v>
          </cell>
        </row>
        <row r="533">
          <cell r="N533">
            <v>0</v>
          </cell>
        </row>
        <row r="534">
          <cell r="N534">
            <v>0</v>
          </cell>
        </row>
        <row r="535">
          <cell r="N535">
            <v>0</v>
          </cell>
        </row>
        <row r="536">
          <cell r="N536">
            <v>0</v>
          </cell>
        </row>
        <row r="537">
          <cell r="N537">
            <v>0</v>
          </cell>
        </row>
        <row r="538">
          <cell r="N538">
            <v>0</v>
          </cell>
        </row>
        <row r="539">
          <cell r="N539">
            <v>0</v>
          </cell>
        </row>
        <row r="540">
          <cell r="N540">
            <v>0</v>
          </cell>
        </row>
        <row r="541">
          <cell r="N541">
            <v>0</v>
          </cell>
        </row>
        <row r="542">
          <cell r="N542">
            <v>0</v>
          </cell>
        </row>
        <row r="543">
          <cell r="N543">
            <v>0</v>
          </cell>
        </row>
        <row r="544">
          <cell r="N544">
            <v>0</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0</v>
          </cell>
        </row>
        <row r="603">
          <cell r="N603">
            <v>0</v>
          </cell>
        </row>
        <row r="604">
          <cell r="N604">
            <v>0</v>
          </cell>
        </row>
        <row r="605">
          <cell r="N605">
            <v>0</v>
          </cell>
        </row>
        <row r="606">
          <cell r="N606">
            <v>0</v>
          </cell>
        </row>
        <row r="607">
          <cell r="N607">
            <v>0</v>
          </cell>
        </row>
        <row r="608">
          <cell r="N608">
            <v>0</v>
          </cell>
        </row>
        <row r="609">
          <cell r="N609">
            <v>0</v>
          </cell>
        </row>
        <row r="610">
          <cell r="N610">
            <v>0</v>
          </cell>
        </row>
        <row r="611">
          <cell r="N611">
            <v>0</v>
          </cell>
        </row>
        <row r="612">
          <cell r="N612">
            <v>0</v>
          </cell>
        </row>
        <row r="613">
          <cell r="N613">
            <v>0</v>
          </cell>
        </row>
        <row r="614">
          <cell r="N614">
            <v>0</v>
          </cell>
        </row>
        <row r="615">
          <cell r="N615">
            <v>0</v>
          </cell>
        </row>
        <row r="616">
          <cell r="N616">
            <v>0</v>
          </cell>
        </row>
        <row r="617">
          <cell r="N617">
            <v>0</v>
          </cell>
        </row>
        <row r="618">
          <cell r="N618">
            <v>0</v>
          </cell>
        </row>
        <row r="619">
          <cell r="N619">
            <v>0</v>
          </cell>
        </row>
        <row r="620">
          <cell r="N620">
            <v>0</v>
          </cell>
        </row>
        <row r="621">
          <cell r="N621">
            <v>0</v>
          </cell>
        </row>
        <row r="622">
          <cell r="N622">
            <v>0</v>
          </cell>
        </row>
        <row r="623">
          <cell r="N623">
            <v>0</v>
          </cell>
        </row>
        <row r="624">
          <cell r="N624">
            <v>0</v>
          </cell>
        </row>
        <row r="625">
          <cell r="N625">
            <v>0</v>
          </cell>
        </row>
        <row r="626">
          <cell r="N626">
            <v>0</v>
          </cell>
        </row>
        <row r="627">
          <cell r="N627">
            <v>0</v>
          </cell>
        </row>
        <row r="628">
          <cell r="N628">
            <v>0</v>
          </cell>
        </row>
        <row r="629">
          <cell r="N629">
            <v>0</v>
          </cell>
        </row>
        <row r="630">
          <cell r="N630">
            <v>0</v>
          </cell>
        </row>
        <row r="631">
          <cell r="N631">
            <v>0</v>
          </cell>
        </row>
        <row r="632">
          <cell r="N632">
            <v>0</v>
          </cell>
        </row>
        <row r="633">
          <cell r="N633">
            <v>0</v>
          </cell>
        </row>
        <row r="634">
          <cell r="N634">
            <v>0</v>
          </cell>
        </row>
        <row r="635">
          <cell r="N635">
            <v>0</v>
          </cell>
        </row>
        <row r="636">
          <cell r="N636">
            <v>0</v>
          </cell>
        </row>
        <row r="637">
          <cell r="N637">
            <v>0</v>
          </cell>
        </row>
        <row r="638">
          <cell r="N638">
            <v>0</v>
          </cell>
        </row>
        <row r="639">
          <cell r="N639">
            <v>0</v>
          </cell>
        </row>
        <row r="640">
          <cell r="N640">
            <v>0</v>
          </cell>
        </row>
        <row r="641">
          <cell r="N641">
            <v>0</v>
          </cell>
        </row>
        <row r="642">
          <cell r="N642">
            <v>0</v>
          </cell>
        </row>
        <row r="643">
          <cell r="N643">
            <v>0</v>
          </cell>
        </row>
        <row r="644">
          <cell r="N644">
            <v>0</v>
          </cell>
        </row>
        <row r="645">
          <cell r="N645">
            <v>0</v>
          </cell>
        </row>
        <row r="646">
          <cell r="N646">
            <v>0</v>
          </cell>
        </row>
        <row r="647">
          <cell r="N647">
            <v>0</v>
          </cell>
        </row>
        <row r="648">
          <cell r="N648">
            <v>0</v>
          </cell>
        </row>
        <row r="649">
          <cell r="N649">
            <v>0</v>
          </cell>
        </row>
        <row r="650">
          <cell r="N650">
            <v>0</v>
          </cell>
        </row>
        <row r="651">
          <cell r="N651">
            <v>0</v>
          </cell>
        </row>
        <row r="652">
          <cell r="N652">
            <v>0</v>
          </cell>
        </row>
        <row r="653">
          <cell r="N653">
            <v>0</v>
          </cell>
        </row>
        <row r="654">
          <cell r="N654">
            <v>0</v>
          </cell>
        </row>
        <row r="655">
          <cell r="N655">
            <v>0</v>
          </cell>
        </row>
        <row r="656">
          <cell r="N656">
            <v>0</v>
          </cell>
        </row>
        <row r="657">
          <cell r="N657">
            <v>0</v>
          </cell>
        </row>
        <row r="658">
          <cell r="N658">
            <v>0</v>
          </cell>
        </row>
        <row r="659">
          <cell r="N659">
            <v>0</v>
          </cell>
        </row>
        <row r="660">
          <cell r="N660">
            <v>0</v>
          </cell>
        </row>
        <row r="661">
          <cell r="N661">
            <v>0</v>
          </cell>
        </row>
        <row r="662">
          <cell r="N662">
            <v>0</v>
          </cell>
        </row>
        <row r="663">
          <cell r="N663">
            <v>0</v>
          </cell>
        </row>
        <row r="664">
          <cell r="N664">
            <v>0</v>
          </cell>
        </row>
        <row r="665">
          <cell r="N665">
            <v>0</v>
          </cell>
        </row>
        <row r="666">
          <cell r="N666">
            <v>0</v>
          </cell>
        </row>
        <row r="667">
          <cell r="N667">
            <v>0</v>
          </cell>
        </row>
        <row r="668">
          <cell r="N668">
            <v>0</v>
          </cell>
        </row>
        <row r="669">
          <cell r="N669">
            <v>0</v>
          </cell>
        </row>
        <row r="670">
          <cell r="N670">
            <v>0</v>
          </cell>
        </row>
        <row r="671">
          <cell r="N671">
            <v>0</v>
          </cell>
        </row>
        <row r="672">
          <cell r="N672">
            <v>0</v>
          </cell>
        </row>
        <row r="673">
          <cell r="N673">
            <v>0</v>
          </cell>
        </row>
        <row r="674">
          <cell r="N674">
            <v>0</v>
          </cell>
        </row>
        <row r="675">
          <cell r="N675">
            <v>0</v>
          </cell>
        </row>
        <row r="676">
          <cell r="N676">
            <v>0</v>
          </cell>
        </row>
        <row r="677">
          <cell r="N677">
            <v>0</v>
          </cell>
        </row>
        <row r="678">
          <cell r="N678">
            <v>0</v>
          </cell>
        </row>
        <row r="679">
          <cell r="N679">
            <v>0</v>
          </cell>
        </row>
        <row r="680">
          <cell r="N680">
            <v>0</v>
          </cell>
        </row>
        <row r="681">
          <cell r="N681">
            <v>0</v>
          </cell>
        </row>
        <row r="682">
          <cell r="N682">
            <v>0</v>
          </cell>
        </row>
        <row r="683">
          <cell r="N683">
            <v>0</v>
          </cell>
        </row>
        <row r="684">
          <cell r="N684">
            <v>0</v>
          </cell>
        </row>
        <row r="685">
          <cell r="N685">
            <v>0</v>
          </cell>
        </row>
        <row r="686">
          <cell r="N686">
            <v>0</v>
          </cell>
        </row>
        <row r="687">
          <cell r="N687">
            <v>0</v>
          </cell>
        </row>
        <row r="688">
          <cell r="N688">
            <v>0</v>
          </cell>
        </row>
        <row r="689">
          <cell r="N689">
            <v>0</v>
          </cell>
        </row>
        <row r="690">
          <cell r="N690">
            <v>0</v>
          </cell>
        </row>
        <row r="691">
          <cell r="N691">
            <v>0</v>
          </cell>
        </row>
        <row r="692">
          <cell r="N692">
            <v>0</v>
          </cell>
        </row>
        <row r="693">
          <cell r="N693">
            <v>0</v>
          </cell>
        </row>
        <row r="694">
          <cell r="N694">
            <v>0</v>
          </cell>
        </row>
        <row r="695">
          <cell r="N695">
            <v>0</v>
          </cell>
        </row>
        <row r="696">
          <cell r="N696">
            <v>0</v>
          </cell>
        </row>
        <row r="697">
          <cell r="N697">
            <v>0</v>
          </cell>
        </row>
        <row r="698">
          <cell r="N698">
            <v>0</v>
          </cell>
        </row>
        <row r="699">
          <cell r="N699">
            <v>0</v>
          </cell>
        </row>
        <row r="700">
          <cell r="N700">
            <v>0</v>
          </cell>
        </row>
        <row r="701">
          <cell r="N701">
            <v>0</v>
          </cell>
        </row>
        <row r="702">
          <cell r="N702">
            <v>0</v>
          </cell>
        </row>
        <row r="703">
          <cell r="N703">
            <v>0</v>
          </cell>
        </row>
        <row r="704">
          <cell r="N704">
            <v>0</v>
          </cell>
        </row>
        <row r="705">
          <cell r="N705">
            <v>0</v>
          </cell>
        </row>
        <row r="706">
          <cell r="N706">
            <v>0</v>
          </cell>
        </row>
        <row r="707">
          <cell r="N707">
            <v>0</v>
          </cell>
        </row>
        <row r="708">
          <cell r="N708">
            <v>0</v>
          </cell>
        </row>
        <row r="709">
          <cell r="N709">
            <v>0</v>
          </cell>
        </row>
        <row r="710">
          <cell r="N710">
            <v>0</v>
          </cell>
        </row>
        <row r="711">
          <cell r="N711">
            <v>0</v>
          </cell>
        </row>
        <row r="712">
          <cell r="N712">
            <v>0</v>
          </cell>
        </row>
        <row r="713">
          <cell r="N713">
            <v>0</v>
          </cell>
        </row>
        <row r="714">
          <cell r="N714">
            <v>0</v>
          </cell>
        </row>
        <row r="715">
          <cell r="N715">
            <v>0</v>
          </cell>
        </row>
        <row r="716">
          <cell r="N716">
            <v>0</v>
          </cell>
        </row>
        <row r="717">
          <cell r="N717">
            <v>0</v>
          </cell>
        </row>
        <row r="718">
          <cell r="N718">
            <v>0</v>
          </cell>
        </row>
        <row r="719">
          <cell r="N719">
            <v>0</v>
          </cell>
        </row>
        <row r="720">
          <cell r="N720">
            <v>0</v>
          </cell>
        </row>
        <row r="721">
          <cell r="N721">
            <v>0</v>
          </cell>
        </row>
        <row r="722">
          <cell r="N722">
            <v>0</v>
          </cell>
        </row>
        <row r="723">
          <cell r="N723">
            <v>0</v>
          </cell>
        </row>
        <row r="724">
          <cell r="N724">
            <v>0</v>
          </cell>
        </row>
        <row r="725">
          <cell r="N725">
            <v>0</v>
          </cell>
        </row>
        <row r="726">
          <cell r="N726">
            <v>0</v>
          </cell>
        </row>
        <row r="727">
          <cell r="N727">
            <v>0</v>
          </cell>
        </row>
        <row r="728">
          <cell r="N728">
            <v>0</v>
          </cell>
        </row>
        <row r="729">
          <cell r="N729">
            <v>0</v>
          </cell>
        </row>
        <row r="730">
          <cell r="N730">
            <v>0</v>
          </cell>
        </row>
        <row r="731">
          <cell r="N731">
            <v>0</v>
          </cell>
        </row>
        <row r="732">
          <cell r="N732">
            <v>0</v>
          </cell>
        </row>
        <row r="733">
          <cell r="N733">
            <v>0</v>
          </cell>
        </row>
        <row r="734">
          <cell r="N734">
            <v>0</v>
          </cell>
        </row>
        <row r="735">
          <cell r="N735">
            <v>0</v>
          </cell>
        </row>
        <row r="736">
          <cell r="N736">
            <v>0</v>
          </cell>
        </row>
        <row r="737">
          <cell r="N737">
            <v>0</v>
          </cell>
        </row>
        <row r="738">
          <cell r="N738">
            <v>0</v>
          </cell>
        </row>
        <row r="739">
          <cell r="N739">
            <v>0</v>
          </cell>
        </row>
      </sheetData>
      <sheetData sheetId="2">
        <row r="1">
          <cell r="A1" t="str">
            <v>RESUMEN GRUESO ARTICULOS POR PEDIDO DDP´S</v>
          </cell>
          <cell r="B1">
            <v>0</v>
          </cell>
          <cell r="C1">
            <v>0</v>
          </cell>
          <cell r="D1">
            <v>0</v>
          </cell>
          <cell r="E1">
            <v>0</v>
          </cell>
          <cell r="F1">
            <v>0</v>
          </cell>
          <cell r="G1">
            <v>2931720.2</v>
          </cell>
          <cell r="H1">
            <v>74024.221722012357</v>
          </cell>
          <cell r="I1">
            <v>85868.097197534182</v>
          </cell>
          <cell r="J1">
            <v>27191310.388000008</v>
          </cell>
          <cell r="K1">
            <v>31541920.050079983</v>
          </cell>
        </row>
        <row r="2">
          <cell r="A2" t="str">
            <v>PEDIDO</v>
          </cell>
          <cell r="B2" t="str">
            <v>FECHA PEDIMENTO</v>
          </cell>
          <cell r="C2" t="str">
            <v>FECHA ALMACEN</v>
          </cell>
          <cell r="D2" t="str">
            <v>PROVEEDOR</v>
          </cell>
          <cell r="E2" t="str">
            <v>PROVEEDOR</v>
          </cell>
          <cell r="F2" t="str">
            <v>ARTICULOS</v>
          </cell>
          <cell r="G2" t="str">
            <v>PIEZAS</v>
          </cell>
          <cell r="H2" t="str">
            <v>SUBTOTAL DDP</v>
          </cell>
          <cell r="I2" t="str">
            <v>DDP CON IVA</v>
          </cell>
          <cell r="J2" t="str">
            <v>SUBTOTAL SIN IVA</v>
          </cell>
          <cell r="K2" t="str">
            <v>TOTAL CON IVA</v>
          </cell>
          <cell r="L2" t="str">
            <v>FAMILIA</v>
          </cell>
        </row>
        <row r="3">
          <cell r="A3" t="str">
            <v>20EF19-1</v>
          </cell>
          <cell r="B3">
            <v>44194</v>
          </cell>
          <cell r="C3">
            <v>44201</v>
          </cell>
          <cell r="D3" t="str">
            <v>ZHEJIANG JIAJIARE NEW ENERGY CO., LTD</v>
          </cell>
          <cell r="E3" t="str">
            <v>PHILIP</v>
          </cell>
          <cell r="F3" t="str">
            <v>TAC-INT-304-2B-0.41</v>
          </cell>
          <cell r="G3">
            <v>2000</v>
          </cell>
          <cell r="H3">
            <v>29.08</v>
          </cell>
          <cell r="I3">
            <v>33.732799999999997</v>
          </cell>
          <cell r="J3">
            <v>58160</v>
          </cell>
          <cell r="K3">
            <v>67465.599999999991</v>
          </cell>
          <cell r="L3" t="str">
            <v>GRAVEDAD</v>
          </cell>
        </row>
        <row r="4">
          <cell r="A4" t="str">
            <v>20EF19-2</v>
          </cell>
          <cell r="B4">
            <v>44205</v>
          </cell>
          <cell r="C4">
            <v>43841</v>
          </cell>
          <cell r="D4" t="str">
            <v>HELIOS POWER LTD</v>
          </cell>
          <cell r="E4" t="str">
            <v>PHILIP</v>
          </cell>
          <cell r="F4" t="str">
            <v>TAC-INT-304-2B-0.41</v>
          </cell>
          <cell r="G4">
            <v>7440</v>
          </cell>
          <cell r="H4">
            <v>25.420057795698927</v>
          </cell>
          <cell r="I4">
            <v>29.487267043010753</v>
          </cell>
          <cell r="J4">
            <v>189125.23</v>
          </cell>
          <cell r="K4">
            <v>219385.26680000001</v>
          </cell>
          <cell r="L4" t="str">
            <v>GRAVEDAD</v>
          </cell>
        </row>
        <row r="5">
          <cell r="A5" t="str">
            <v>20EF21//20EF19</v>
          </cell>
          <cell r="B5">
            <v>44198</v>
          </cell>
          <cell r="C5">
            <v>44201</v>
          </cell>
          <cell r="D5" t="str">
            <v>ZHEJIANG JIAJIARE NEW ENERGY CO., LTD</v>
          </cell>
          <cell r="E5" t="str">
            <v>PHILIP</v>
          </cell>
          <cell r="F5" t="str">
            <v>COD-INT-AC-25X200</v>
          </cell>
          <cell r="G5">
            <v>1123</v>
          </cell>
          <cell r="H5">
            <v>15.48</v>
          </cell>
          <cell r="I5">
            <v>17.956799999999998</v>
          </cell>
          <cell r="J5">
            <v>17384.04</v>
          </cell>
          <cell r="K5">
            <v>20165.486399999998</v>
          </cell>
          <cell r="L5" t="str">
            <v>GRAVEDAD</v>
          </cell>
        </row>
        <row r="6">
          <cell r="A6" t="str">
            <v>20EF21//20EF19</v>
          </cell>
          <cell r="B6">
            <v>44198</v>
          </cell>
          <cell r="C6">
            <v>44201</v>
          </cell>
          <cell r="D6" t="str">
            <v>HAINING LEBRIA E
BUSINESS CO.</v>
          </cell>
          <cell r="E6" t="str">
            <v>EMMA</v>
          </cell>
          <cell r="F6" t="str">
            <v>TAC-EXT-430-BA-0.31</v>
          </cell>
          <cell r="G6">
            <v>4370</v>
          </cell>
          <cell r="H6">
            <v>37.11</v>
          </cell>
          <cell r="I6">
            <v>43.047599999999996</v>
          </cell>
          <cell r="J6">
            <v>162170.70000000001</v>
          </cell>
          <cell r="K6">
            <v>188118.01199999999</v>
          </cell>
          <cell r="L6" t="str">
            <v>GRAVEDAD</v>
          </cell>
        </row>
        <row r="7">
          <cell r="A7" t="str">
            <v>20EF21//20EF19</v>
          </cell>
          <cell r="B7">
            <v>44198</v>
          </cell>
          <cell r="C7">
            <v>44201</v>
          </cell>
          <cell r="D7" t="str">
            <v>HAINING LEBRIA E
BUSINESS CO.</v>
          </cell>
          <cell r="E7" t="str">
            <v>EMMA</v>
          </cell>
          <cell r="F7" t="str">
            <v>TAC-EXT-430-BA-0.31-ERA</v>
          </cell>
          <cell r="G7">
            <v>4370</v>
          </cell>
          <cell r="H7">
            <v>37.11</v>
          </cell>
          <cell r="I7">
            <v>43.047599999999996</v>
          </cell>
          <cell r="J7">
            <v>162170.70000000001</v>
          </cell>
          <cell r="K7">
            <v>188118.01199999999</v>
          </cell>
          <cell r="L7" t="str">
            <v>GRAVEDAD</v>
          </cell>
        </row>
        <row r="8">
          <cell r="A8" t="str">
            <v>20EF21//20EF19</v>
          </cell>
          <cell r="B8">
            <v>44198</v>
          </cell>
          <cell r="C8">
            <v>44201</v>
          </cell>
          <cell r="D8" t="str">
            <v>ZHEJIANG JIAJIARE NEW ENERGY CO., LTD</v>
          </cell>
          <cell r="E8" t="str">
            <v>PHILIP</v>
          </cell>
          <cell r="F8" t="str">
            <v>TAC-INT-304-2B-0.41</v>
          </cell>
          <cell r="G8">
            <v>6000</v>
          </cell>
          <cell r="H8">
            <v>28.36</v>
          </cell>
          <cell r="I8">
            <v>32.897599999999997</v>
          </cell>
          <cell r="J8">
            <v>170160</v>
          </cell>
          <cell r="K8">
            <v>197385.59999999998</v>
          </cell>
          <cell r="L8" t="str">
            <v>GRAVEDAD</v>
          </cell>
        </row>
        <row r="9">
          <cell r="A9" t="str">
            <v>20EF21-2</v>
          </cell>
          <cell r="B9">
            <v>44194</v>
          </cell>
          <cell r="C9">
            <v>44201</v>
          </cell>
          <cell r="D9" t="str">
            <v>HAINING LEBRIA E
BUSINESS CO.</v>
          </cell>
          <cell r="E9" t="str">
            <v>EMMA</v>
          </cell>
          <cell r="F9" t="str">
            <v>COD-BARR-ROLLO-100</v>
          </cell>
          <cell r="G9">
            <v>30</v>
          </cell>
          <cell r="H9">
            <v>95.28</v>
          </cell>
          <cell r="I9">
            <v>110.5248</v>
          </cell>
          <cell r="J9">
            <v>2858.4</v>
          </cell>
          <cell r="K9">
            <v>3315.7440000000001</v>
          </cell>
          <cell r="L9" t="str">
            <v>GRAVEDAD</v>
          </cell>
        </row>
        <row r="10">
          <cell r="A10" t="str">
            <v>20EF21-2</v>
          </cell>
          <cell r="B10">
            <v>44194</v>
          </cell>
          <cell r="C10">
            <v>44201</v>
          </cell>
          <cell r="D10" t="str">
            <v>HAINING LEBRIA E
BUSINESS CO.</v>
          </cell>
          <cell r="E10" t="str">
            <v>EMMA</v>
          </cell>
          <cell r="F10" t="str">
            <v>POL-AIS</v>
          </cell>
          <cell r="G10">
            <v>3520</v>
          </cell>
          <cell r="H10">
            <v>60.23</v>
          </cell>
          <cell r="I10">
            <v>69.866799999999998</v>
          </cell>
          <cell r="J10">
            <v>212009.59999999998</v>
          </cell>
          <cell r="K10">
            <v>245931.136</v>
          </cell>
          <cell r="L10" t="str">
            <v>PRESION / GRAVEDAD</v>
          </cell>
        </row>
        <row r="11">
          <cell r="A11" t="str">
            <v>20EF21-2</v>
          </cell>
          <cell r="B11">
            <v>44194</v>
          </cell>
          <cell r="C11">
            <v>44201</v>
          </cell>
          <cell r="D11" t="str">
            <v>HAINING LEBRIA E
BUSINESS CO.</v>
          </cell>
          <cell r="E11" t="str">
            <v>EMMA</v>
          </cell>
          <cell r="F11" t="str">
            <v>TAC-EXT-430-BA-0.31</v>
          </cell>
          <cell r="G11">
            <v>4002</v>
          </cell>
          <cell r="H11">
            <v>36.409999999999997</v>
          </cell>
          <cell r="I11">
            <v>42.235599999999991</v>
          </cell>
          <cell r="J11">
            <v>145712.81999999998</v>
          </cell>
          <cell r="K11">
            <v>169026.87119999997</v>
          </cell>
          <cell r="L11" t="str">
            <v>GRAVEDAD</v>
          </cell>
        </row>
        <row r="12">
          <cell r="A12" t="str">
            <v>20EF21-2</v>
          </cell>
          <cell r="B12">
            <v>44194</v>
          </cell>
          <cell r="C12">
            <v>44201</v>
          </cell>
          <cell r="D12" t="str">
            <v>HAINING LEBRIA E
BUSINESS CO.</v>
          </cell>
          <cell r="E12" t="str">
            <v>EMMA</v>
          </cell>
          <cell r="F12" t="str">
            <v>TAC-EXT-430-BA-0.31-ERA</v>
          </cell>
          <cell r="G12">
            <v>4370</v>
          </cell>
          <cell r="H12">
            <v>36.42</v>
          </cell>
          <cell r="I12">
            <v>42.247199999999999</v>
          </cell>
          <cell r="J12">
            <v>159155.4</v>
          </cell>
          <cell r="K12">
            <v>184620.264</v>
          </cell>
          <cell r="L12" t="str">
            <v>GRAVEDAD</v>
          </cell>
        </row>
        <row r="13">
          <cell r="A13" t="str">
            <v>20EF21-2</v>
          </cell>
          <cell r="B13">
            <v>44194</v>
          </cell>
          <cell r="C13">
            <v>44201</v>
          </cell>
          <cell r="D13" t="str">
            <v>HAINING LEBRIA E
BUSINESS CO.</v>
          </cell>
          <cell r="E13" t="str">
            <v>EMMA</v>
          </cell>
          <cell r="F13" t="str">
            <v>TAP-EXT-GAL-0.40X500-AP</v>
          </cell>
          <cell r="G13">
            <v>156</v>
          </cell>
          <cell r="H13">
            <v>37.409999999999997</v>
          </cell>
          <cell r="I13">
            <v>43.395599999999995</v>
          </cell>
          <cell r="J13">
            <v>5835.9599999999991</v>
          </cell>
          <cell r="K13">
            <v>6769.7135999999991</v>
          </cell>
          <cell r="L13" t="str">
            <v>PRESION</v>
          </cell>
        </row>
        <row r="14">
          <cell r="A14" t="str">
            <v>21EF01</v>
          </cell>
          <cell r="B14">
            <v>44205</v>
          </cell>
          <cell r="C14">
            <v>43841</v>
          </cell>
          <cell r="D14" t="str">
            <v>HAINING LEBRIA E
BUSINESS CO.</v>
          </cell>
          <cell r="E14" t="str">
            <v>EMMA</v>
          </cell>
          <cell r="F14" t="str">
            <v>ANI-ACC-PLA-58</v>
          </cell>
          <cell r="G14">
            <v>32792</v>
          </cell>
          <cell r="H14">
            <v>0.36014332764088802</v>
          </cell>
          <cell r="I14">
            <v>0.41776626006343009</v>
          </cell>
          <cell r="J14">
            <v>11809.82</v>
          </cell>
          <cell r="K14">
            <v>13699.3912</v>
          </cell>
          <cell r="L14" t="str">
            <v>GRAVEDAD</v>
          </cell>
        </row>
        <row r="15">
          <cell r="A15" t="str">
            <v>21EF01</v>
          </cell>
          <cell r="B15">
            <v>44205</v>
          </cell>
          <cell r="C15">
            <v>43841</v>
          </cell>
          <cell r="D15" t="str">
            <v>HAINING LEBRIA E
BUSINESS CO.</v>
          </cell>
          <cell r="E15" t="str">
            <v>EMMA</v>
          </cell>
          <cell r="F15" t="str">
            <v>ANI-EXT-PLA-3/4-AZUL</v>
          </cell>
          <cell r="G15">
            <v>3500</v>
          </cell>
          <cell r="H15">
            <v>0.99026285714285711</v>
          </cell>
          <cell r="I15">
            <v>1.1487049142857142</v>
          </cell>
          <cell r="J15">
            <v>3465.92</v>
          </cell>
          <cell r="K15">
            <v>4020.4671999999996</v>
          </cell>
          <cell r="L15" t="str">
            <v>GRAVEDAD</v>
          </cell>
        </row>
        <row r="16">
          <cell r="A16" t="str">
            <v>21EF01</v>
          </cell>
          <cell r="B16">
            <v>44205</v>
          </cell>
          <cell r="C16">
            <v>43841</v>
          </cell>
          <cell r="D16" t="str">
            <v>HAINING LEBRIA E
BUSINESS CO.</v>
          </cell>
          <cell r="E16" t="str">
            <v>EMMA</v>
          </cell>
          <cell r="F16" t="str">
            <v>ANI-EXT-PLA-3/4-N</v>
          </cell>
          <cell r="G16">
            <v>3368</v>
          </cell>
          <cell r="H16">
            <v>0.98545427553444187</v>
          </cell>
          <cell r="I16">
            <v>1.1431269596199525</v>
          </cell>
          <cell r="J16">
            <v>3319.01</v>
          </cell>
          <cell r="K16">
            <v>3850.0515999999998</v>
          </cell>
          <cell r="L16" t="str">
            <v>GRAVEDAD</v>
          </cell>
        </row>
        <row r="17">
          <cell r="A17" t="str">
            <v>21EF01</v>
          </cell>
          <cell r="B17">
            <v>44205</v>
          </cell>
          <cell r="C17">
            <v>43841</v>
          </cell>
          <cell r="D17" t="str">
            <v>HAINING LEBRIA E
BUSINESS CO.</v>
          </cell>
          <cell r="E17" t="str">
            <v>EMMA</v>
          </cell>
          <cell r="F17" t="str">
            <v>ANI-EXT-PLA-3/4-R</v>
          </cell>
          <cell r="G17">
            <v>2568</v>
          </cell>
          <cell r="H17">
            <v>0.98488317757009336</v>
          </cell>
          <cell r="I17">
            <v>1.1424644859813082</v>
          </cell>
          <cell r="J17">
            <v>2529.1799999999998</v>
          </cell>
          <cell r="K17">
            <v>2933.8487999999998</v>
          </cell>
          <cell r="L17" t="str">
            <v>GRAVEDAD</v>
          </cell>
        </row>
        <row r="18">
          <cell r="A18" t="str">
            <v>21EF01</v>
          </cell>
          <cell r="B18">
            <v>44205</v>
          </cell>
          <cell r="C18">
            <v>43841</v>
          </cell>
          <cell r="D18" t="str">
            <v>HAINING LEBRIA E
BUSINESS CO.</v>
          </cell>
          <cell r="E18" t="str">
            <v>EMMA</v>
          </cell>
          <cell r="F18" t="str">
            <v>ANI-HEX-SIL-1/2X22-AP</v>
          </cell>
          <cell r="G18">
            <v>35640</v>
          </cell>
          <cell r="H18">
            <v>0.81905443322109983</v>
          </cell>
          <cell r="I18">
            <v>0.95010314253647576</v>
          </cell>
          <cell r="J18">
            <v>29191.1</v>
          </cell>
          <cell r="K18">
            <v>33861.675999999999</v>
          </cell>
          <cell r="L18" t="str">
            <v>PRESION</v>
          </cell>
        </row>
        <row r="19">
          <cell r="A19" t="str">
            <v>21EF01</v>
          </cell>
          <cell r="B19">
            <v>44205</v>
          </cell>
          <cell r="C19">
            <v>43841</v>
          </cell>
          <cell r="D19" t="str">
            <v>HAINING LEBRIA E
BUSINESS CO.</v>
          </cell>
          <cell r="E19" t="str">
            <v>EMMA</v>
          </cell>
          <cell r="F19" t="str">
            <v>ANI-INY-SIL-66</v>
          </cell>
          <cell r="G19">
            <v>503</v>
          </cell>
          <cell r="H19">
            <v>1.2956063618290259</v>
          </cell>
          <cell r="I19">
            <v>1.50290337972167</v>
          </cell>
          <cell r="J19">
            <v>651.69000000000005</v>
          </cell>
          <cell r="K19">
            <v>755.96040000000005</v>
          </cell>
          <cell r="L19" t="str">
            <v>GRAVEDAD</v>
          </cell>
        </row>
        <row r="20">
          <cell r="A20" t="str">
            <v>21EF01</v>
          </cell>
          <cell r="B20">
            <v>44205</v>
          </cell>
          <cell r="C20">
            <v>43841</v>
          </cell>
          <cell r="D20" t="str">
            <v>HAINING LEBRIA E
BUSINESS CO.</v>
          </cell>
          <cell r="E20" t="str">
            <v>EMMA</v>
          </cell>
          <cell r="F20" t="str">
            <v>ANI-PLA-1/2-N-AP</v>
          </cell>
          <cell r="G20">
            <v>300</v>
          </cell>
          <cell r="H20">
            <v>0.8572333333333334</v>
          </cell>
          <cell r="I20">
            <v>0.99439066666666664</v>
          </cell>
          <cell r="J20">
            <v>257.17</v>
          </cell>
          <cell r="K20">
            <v>298.31720000000001</v>
          </cell>
          <cell r="L20" t="str">
            <v>PRESION</v>
          </cell>
        </row>
        <row r="21">
          <cell r="A21" t="str">
            <v>21EF01</v>
          </cell>
          <cell r="B21">
            <v>44205</v>
          </cell>
          <cell r="C21">
            <v>43841</v>
          </cell>
          <cell r="D21" t="str">
            <v>HAINING LEBRIA E
BUSINESS CO.</v>
          </cell>
          <cell r="E21" t="str">
            <v>EMMA</v>
          </cell>
          <cell r="F21" t="str">
            <v>ANI-PVC-3/4-T-AP</v>
          </cell>
          <cell r="G21">
            <v>5960</v>
          </cell>
          <cell r="H21">
            <v>0.97311409395973159</v>
          </cell>
          <cell r="I21">
            <v>1.1288123489932886</v>
          </cell>
          <cell r="J21">
            <v>5799.76</v>
          </cell>
          <cell r="K21">
            <v>6727.7215999999999</v>
          </cell>
          <cell r="L21" t="str">
            <v>PRESION</v>
          </cell>
        </row>
        <row r="22">
          <cell r="A22" t="str">
            <v>21EF01</v>
          </cell>
          <cell r="B22">
            <v>44205</v>
          </cell>
          <cell r="C22">
            <v>43841</v>
          </cell>
          <cell r="D22" t="str">
            <v>HAINING LEBRIA E
BUSINESS CO.</v>
          </cell>
          <cell r="E22" t="str">
            <v>EMMA</v>
          </cell>
          <cell r="F22" t="str">
            <v>ANI-PVC-36-A-AF-AP</v>
          </cell>
          <cell r="G22">
            <v>2970</v>
          </cell>
          <cell r="H22">
            <v>0.72149158249158252</v>
          </cell>
          <cell r="I22">
            <v>0.83693023569023561</v>
          </cell>
          <cell r="J22">
            <v>2142.83</v>
          </cell>
          <cell r="K22">
            <v>2485.6827999999996</v>
          </cell>
          <cell r="L22" t="str">
            <v>PRESION</v>
          </cell>
        </row>
        <row r="23">
          <cell r="A23" t="str">
            <v>21EF01</v>
          </cell>
          <cell r="B23">
            <v>44205</v>
          </cell>
          <cell r="C23">
            <v>43841</v>
          </cell>
          <cell r="D23" t="str">
            <v>HAINING LEBRIA E
BUSINESS CO.</v>
          </cell>
          <cell r="E23" t="str">
            <v>EMMA</v>
          </cell>
          <cell r="F23" t="str">
            <v>ANI-PVC-36-R-AC-AP</v>
          </cell>
          <cell r="G23">
            <v>2970</v>
          </cell>
          <cell r="H23">
            <v>0.72209427609427601</v>
          </cell>
          <cell r="I23">
            <v>0.83762936026936008</v>
          </cell>
          <cell r="J23">
            <v>2144.62</v>
          </cell>
          <cell r="K23">
            <v>2487.7591999999995</v>
          </cell>
          <cell r="L23" t="str">
            <v>PRESION</v>
          </cell>
        </row>
        <row r="24">
          <cell r="A24" t="str">
            <v>21EF01</v>
          </cell>
          <cell r="B24">
            <v>44205</v>
          </cell>
          <cell r="C24">
            <v>43841</v>
          </cell>
          <cell r="D24" t="str">
            <v>HAINING LEBRIA E
BUSINESS CO.</v>
          </cell>
          <cell r="E24" t="str">
            <v>EMMA</v>
          </cell>
          <cell r="F24" t="str">
            <v>ANI-PVC-38-B-BM-AP</v>
          </cell>
          <cell r="G24">
            <v>2970</v>
          </cell>
          <cell r="H24">
            <v>0.72209427609427601</v>
          </cell>
          <cell r="I24">
            <v>0.83762936026936008</v>
          </cell>
          <cell r="J24">
            <v>2144.62</v>
          </cell>
          <cell r="K24">
            <v>2487.7591999999995</v>
          </cell>
          <cell r="L24" t="str">
            <v>PRESION</v>
          </cell>
        </row>
        <row r="25">
          <cell r="A25" t="str">
            <v>21EF01</v>
          </cell>
          <cell r="B25">
            <v>44205</v>
          </cell>
          <cell r="C25">
            <v>43841</v>
          </cell>
          <cell r="D25" t="str">
            <v>HAINING LEBRIA E
BUSINESS CO.</v>
          </cell>
          <cell r="E25" t="str">
            <v>EMMA</v>
          </cell>
          <cell r="F25" t="str">
            <v>BAR-INT-M-3/4X300</v>
          </cell>
          <cell r="G25">
            <v>4000</v>
          </cell>
          <cell r="H25">
            <v>25.550247500000001</v>
          </cell>
          <cell r="I25">
            <v>29.638287099999999</v>
          </cell>
          <cell r="J25">
            <v>102200.99</v>
          </cell>
          <cell r="K25">
            <v>118553.14839999999</v>
          </cell>
          <cell r="L25" t="str">
            <v>GRAVEDAD</v>
          </cell>
        </row>
        <row r="26">
          <cell r="A26" t="str">
            <v>21EF01</v>
          </cell>
          <cell r="B26">
            <v>44205</v>
          </cell>
          <cell r="C26">
            <v>43841</v>
          </cell>
          <cell r="D26" t="str">
            <v>HAINING LEBRIA E
BUSINESS CO.</v>
          </cell>
          <cell r="E26" t="str">
            <v>EMMA</v>
          </cell>
          <cell r="F26" t="str">
            <v>BAR-M-1X360-AP</v>
          </cell>
          <cell r="G26">
            <v>2762</v>
          </cell>
          <cell r="H26">
            <v>48.290094134685006</v>
          </cell>
          <cell r="I26">
            <v>56.016509196234601</v>
          </cell>
          <cell r="J26">
            <v>133377.24</v>
          </cell>
          <cell r="K26">
            <v>154717.59839999996</v>
          </cell>
          <cell r="L26" t="str">
            <v>PRESION</v>
          </cell>
        </row>
        <row r="27">
          <cell r="A27" t="str">
            <v>21EF01</v>
          </cell>
          <cell r="B27">
            <v>44205</v>
          </cell>
          <cell r="C27">
            <v>43841</v>
          </cell>
          <cell r="D27" t="str">
            <v>HAINING LEBRIA E
BUSINESS CO.</v>
          </cell>
          <cell r="E27" t="str">
            <v>EMMA</v>
          </cell>
          <cell r="F27" t="str">
            <v>BOL-EMP-PE</v>
          </cell>
          <cell r="G27">
            <v>110</v>
          </cell>
          <cell r="H27">
            <v>35.390454545454546</v>
          </cell>
          <cell r="I27">
            <v>41.052927272727267</v>
          </cell>
          <cell r="J27">
            <v>3892.95</v>
          </cell>
          <cell r="K27">
            <v>4515.8219999999992</v>
          </cell>
          <cell r="L27" t="str">
            <v>GRAVEDAD</v>
          </cell>
        </row>
        <row r="28">
          <cell r="A28" t="str">
            <v>21EF01</v>
          </cell>
          <cell r="B28">
            <v>44205</v>
          </cell>
          <cell r="C28">
            <v>43841</v>
          </cell>
          <cell r="D28" t="str">
            <v>HAINING LEBRIA E
BUSINESS CO.</v>
          </cell>
          <cell r="E28" t="str">
            <v>EMMA</v>
          </cell>
          <cell r="F28" t="str">
            <v>CAS-INT-COB-75-AP</v>
          </cell>
          <cell r="G28">
            <v>10000</v>
          </cell>
          <cell r="H28">
            <v>5.4740869999999999</v>
          </cell>
          <cell r="I28">
            <v>6.3499409199999999</v>
          </cell>
          <cell r="J28">
            <v>54740.87</v>
          </cell>
          <cell r="K28">
            <v>63499.409200000002</v>
          </cell>
          <cell r="L28" t="str">
            <v>PRESION</v>
          </cell>
        </row>
        <row r="29">
          <cell r="A29" t="str">
            <v>21EF01</v>
          </cell>
          <cell r="B29">
            <v>44205</v>
          </cell>
          <cell r="C29">
            <v>43841</v>
          </cell>
          <cell r="D29" t="str">
            <v>HAINING LEBRIA E
BUSINESS CO.</v>
          </cell>
          <cell r="E29" t="str">
            <v>EMMA</v>
          </cell>
          <cell r="F29" t="str">
            <v>CIN-EMP-600</v>
          </cell>
          <cell r="G29">
            <v>15600</v>
          </cell>
          <cell r="H29">
            <v>0.13247884615384617</v>
          </cell>
          <cell r="I29">
            <v>0.15367546153846154</v>
          </cell>
          <cell r="J29">
            <v>2066.67</v>
          </cell>
          <cell r="K29">
            <v>2397.3371999999999</v>
          </cell>
          <cell r="L29" t="str">
            <v>PRESION / GRAVEDAD</v>
          </cell>
        </row>
        <row r="30">
          <cell r="A30" t="str">
            <v>21EF01</v>
          </cell>
          <cell r="B30">
            <v>44205</v>
          </cell>
          <cell r="C30">
            <v>43841</v>
          </cell>
          <cell r="D30" t="str">
            <v>HAINING LEBRIA E
BUSINESS CO.</v>
          </cell>
          <cell r="E30" t="str">
            <v>EMMA</v>
          </cell>
          <cell r="F30" t="str">
            <v>COD-BARR-ROLLO-100</v>
          </cell>
          <cell r="G30">
            <v>30000</v>
          </cell>
          <cell r="H30">
            <v>8.1887333333333326E-2</v>
          </cell>
          <cell r="I30">
            <v>9.4989306666666648E-2</v>
          </cell>
          <cell r="J30">
            <v>2456.62</v>
          </cell>
          <cell r="K30">
            <v>2849.6791999999996</v>
          </cell>
          <cell r="L30" t="str">
            <v>GRAVEDAD</v>
          </cell>
        </row>
        <row r="31">
          <cell r="A31" t="str">
            <v>21EF01</v>
          </cell>
          <cell r="B31">
            <v>44205</v>
          </cell>
          <cell r="C31">
            <v>43841</v>
          </cell>
          <cell r="D31" t="str">
            <v>HAINING LEBRIA E
BUSINESS CO.</v>
          </cell>
          <cell r="E31" t="str">
            <v>EMMA</v>
          </cell>
          <cell r="F31" t="str">
            <v>COD-INT-AC-25x200</v>
          </cell>
          <cell r="G31">
            <v>4000</v>
          </cell>
          <cell r="H31">
            <v>15.7160625</v>
          </cell>
          <cell r="I31">
            <v>18.230632499999999</v>
          </cell>
          <cell r="J31">
            <v>62864.25</v>
          </cell>
          <cell r="K31">
            <v>72922.53</v>
          </cell>
          <cell r="L31" t="str">
            <v>GRAVEDAD</v>
          </cell>
        </row>
        <row r="32">
          <cell r="A32" t="str">
            <v>21EF01</v>
          </cell>
          <cell r="B32">
            <v>44205</v>
          </cell>
          <cell r="C32">
            <v>43841</v>
          </cell>
          <cell r="D32" t="str">
            <v>HAINING LEBRIA E
BUSINESS CO.</v>
          </cell>
          <cell r="E32" t="str">
            <v>EMMA</v>
          </cell>
          <cell r="F32" t="str">
            <v>EMP-ACC-SIL-58</v>
          </cell>
          <cell r="G32">
            <v>32369</v>
          </cell>
          <cell r="H32">
            <v>1.4052874664030399</v>
          </cell>
          <cell r="I32">
            <v>1.6301334610275262</v>
          </cell>
          <cell r="J32">
            <v>45487.75</v>
          </cell>
          <cell r="K32">
            <v>52765.789999999994</v>
          </cell>
          <cell r="L32" t="str">
            <v>GRAVEDAD</v>
          </cell>
        </row>
        <row r="33">
          <cell r="A33" t="str">
            <v>21EF01</v>
          </cell>
          <cell r="B33">
            <v>44205</v>
          </cell>
          <cell r="C33">
            <v>43841</v>
          </cell>
          <cell r="D33" t="str">
            <v>HAINING LEBRIA E
BUSINESS CO.</v>
          </cell>
          <cell r="E33" t="str">
            <v>EMMA</v>
          </cell>
          <cell r="F33" t="str">
            <v>LON-PLAS-PRE-AP</v>
          </cell>
          <cell r="G33">
            <v>500</v>
          </cell>
          <cell r="H33">
            <v>45.86412</v>
          </cell>
          <cell r="I33">
            <v>53.202379199999996</v>
          </cell>
          <cell r="J33">
            <v>22932.06</v>
          </cell>
          <cell r="K33">
            <v>26601.189599999998</v>
          </cell>
          <cell r="L33" t="str">
            <v>PRESION</v>
          </cell>
        </row>
        <row r="34">
          <cell r="A34" t="str">
            <v>21EF01</v>
          </cell>
          <cell r="B34">
            <v>44205</v>
          </cell>
          <cell r="C34">
            <v>43841</v>
          </cell>
          <cell r="D34" t="str">
            <v>HAINING LEBRIA E
BUSINESS CO.</v>
          </cell>
          <cell r="E34" t="str">
            <v>EMMA</v>
          </cell>
          <cell r="F34" t="str">
            <v>MDI-AIS</v>
          </cell>
          <cell r="G34">
            <v>3500</v>
          </cell>
          <cell r="H34">
            <v>64.136888571428571</v>
          </cell>
          <cell r="I34">
            <v>74.39879074285713</v>
          </cell>
          <cell r="J34">
            <v>224479.11</v>
          </cell>
          <cell r="K34">
            <v>260395.76759999996</v>
          </cell>
          <cell r="L34" t="str">
            <v>PRESION / GRAVEDAD</v>
          </cell>
        </row>
        <row r="35">
          <cell r="A35" t="str">
            <v>21EF01</v>
          </cell>
          <cell r="B35">
            <v>44205</v>
          </cell>
          <cell r="C35">
            <v>43841</v>
          </cell>
          <cell r="D35" t="str">
            <v>HAINING LEBRIA E
BUSINESS CO.</v>
          </cell>
          <cell r="E35" t="str">
            <v>EMMA</v>
          </cell>
          <cell r="F35" t="str">
            <v>NI-1ROS-H-304-1/2X19-C-AP</v>
          </cell>
          <cell r="G35">
            <v>10000</v>
          </cell>
          <cell r="H35">
            <v>5.7279400000000003</v>
          </cell>
          <cell r="I35">
            <v>6.6444103999999999</v>
          </cell>
          <cell r="J35">
            <v>57279.4</v>
          </cell>
          <cell r="K35">
            <v>66444.104000000007</v>
          </cell>
          <cell r="L35" t="str">
            <v>PRESION</v>
          </cell>
        </row>
        <row r="36">
          <cell r="A36" t="str">
            <v>21EF01</v>
          </cell>
          <cell r="B36">
            <v>44205</v>
          </cell>
          <cell r="C36">
            <v>43841</v>
          </cell>
          <cell r="D36" t="str">
            <v>HAINING LEBRIA E
BUSINESS CO.</v>
          </cell>
          <cell r="E36" t="str">
            <v>EMMA</v>
          </cell>
          <cell r="F36" t="str">
            <v>NI-1ROS-H-304-1/2X45-VA-AP</v>
          </cell>
          <cell r="G36">
            <v>1000</v>
          </cell>
          <cell r="H36">
            <v>7.8674200000000001</v>
          </cell>
          <cell r="I36">
            <v>9.1262071999999996</v>
          </cell>
          <cell r="J36">
            <v>7867.42</v>
          </cell>
          <cell r="K36">
            <v>9126.2071999999989</v>
          </cell>
          <cell r="L36" t="str">
            <v>PRESION</v>
          </cell>
        </row>
        <row r="37">
          <cell r="A37" t="str">
            <v>21EF01</v>
          </cell>
          <cell r="B37">
            <v>44205</v>
          </cell>
          <cell r="C37">
            <v>43841</v>
          </cell>
          <cell r="D37" t="str">
            <v>HAINING LEBRIA E
BUSINESS CO.</v>
          </cell>
          <cell r="E37" t="str">
            <v>EMMA</v>
          </cell>
          <cell r="F37" t="str">
            <v>NI-1ROS-H-304-3/4X45-PT-AP</v>
          </cell>
          <cell r="G37">
            <v>1000</v>
          </cell>
          <cell r="H37">
            <v>11.788690000000001</v>
          </cell>
          <cell r="I37">
            <v>13.674880399999999</v>
          </cell>
          <cell r="J37">
            <v>11788.69</v>
          </cell>
          <cell r="K37">
            <v>13674.8804</v>
          </cell>
          <cell r="L37" t="str">
            <v>PRESION</v>
          </cell>
        </row>
        <row r="38">
          <cell r="A38" t="str">
            <v>21EF01</v>
          </cell>
          <cell r="B38">
            <v>44205</v>
          </cell>
          <cell r="C38">
            <v>43841</v>
          </cell>
          <cell r="D38" t="str">
            <v>HAINING LEBRIA E
BUSINESS CO.</v>
          </cell>
          <cell r="E38" t="str">
            <v>EMMA</v>
          </cell>
          <cell r="F38" t="str">
            <v>NI-1ROS-M-304-3/4X400-VAC-AP</v>
          </cell>
          <cell r="G38">
            <v>1000</v>
          </cell>
          <cell r="H38">
            <v>17.025449999999999</v>
          </cell>
          <cell r="I38">
            <v>19.749521999999999</v>
          </cell>
          <cell r="J38">
            <v>17025.45</v>
          </cell>
          <cell r="K38">
            <v>19749.521999999997</v>
          </cell>
          <cell r="L38" t="str">
            <v>PRESION</v>
          </cell>
        </row>
        <row r="39">
          <cell r="A39" t="str">
            <v>21EF01</v>
          </cell>
          <cell r="B39">
            <v>44205</v>
          </cell>
          <cell r="C39">
            <v>43841</v>
          </cell>
          <cell r="D39" t="str">
            <v>HAINING LEBRIA E
BUSINESS CO.</v>
          </cell>
          <cell r="E39" t="str">
            <v>EMMA</v>
          </cell>
          <cell r="F39" t="str">
            <v>NI-1ROS-M-304-3/4X50-VAF-AP</v>
          </cell>
          <cell r="G39">
            <v>1000</v>
          </cell>
          <cell r="H39">
            <v>6.8744700000000005</v>
          </cell>
          <cell r="I39">
            <v>7.9743852000000004</v>
          </cell>
          <cell r="J39">
            <v>6874.47</v>
          </cell>
          <cell r="K39">
            <v>7974.3852000000006</v>
          </cell>
          <cell r="L39" t="str">
            <v>PRESION</v>
          </cell>
        </row>
        <row r="40">
          <cell r="A40" t="str">
            <v>21EF01</v>
          </cell>
          <cell r="B40">
            <v>44205</v>
          </cell>
          <cell r="C40">
            <v>43841</v>
          </cell>
          <cell r="D40" t="str">
            <v>HAINING LEBRIA E
BUSINESS CO.</v>
          </cell>
          <cell r="E40" t="str">
            <v>EMMA</v>
          </cell>
          <cell r="F40" t="str">
            <v>NI-2ROS-H-304-3/4X40-AC/AF-AP</v>
          </cell>
          <cell r="G40">
            <v>2000</v>
          </cell>
          <cell r="H40">
            <v>11.143379999999999</v>
          </cell>
          <cell r="I40">
            <v>12.926320799999997</v>
          </cell>
          <cell r="J40">
            <v>22286.76</v>
          </cell>
          <cell r="K40">
            <v>25852.641599999995</v>
          </cell>
          <cell r="L40" t="str">
            <v>PRESION</v>
          </cell>
        </row>
        <row r="41">
          <cell r="A41" t="str">
            <v>21EF01</v>
          </cell>
          <cell r="B41">
            <v>44205</v>
          </cell>
          <cell r="C41">
            <v>43841</v>
          </cell>
          <cell r="D41" t="str">
            <v>HAINING LEBRIA E
BUSINESS CO.</v>
          </cell>
          <cell r="E41" t="str">
            <v>EMMA</v>
          </cell>
          <cell r="F41" t="str">
            <v>NI-INT-1ROS-H-3/4</v>
          </cell>
          <cell r="G41">
            <v>8000</v>
          </cell>
          <cell r="H41">
            <v>16.379982500000001</v>
          </cell>
          <cell r="I41">
            <v>19.000779699999999</v>
          </cell>
          <cell r="J41">
            <v>131039.86</v>
          </cell>
          <cell r="K41">
            <v>152006.23759999999</v>
          </cell>
          <cell r="L41" t="str">
            <v>GRAVEDAD</v>
          </cell>
        </row>
        <row r="42">
          <cell r="A42" t="str">
            <v>21EF01</v>
          </cell>
          <cell r="B42">
            <v>44205</v>
          </cell>
          <cell r="C42">
            <v>43841</v>
          </cell>
          <cell r="D42" t="str">
            <v>HAINING LEBRIA E
BUSINESS CO.</v>
          </cell>
          <cell r="E42" t="str">
            <v>EMMA</v>
          </cell>
          <cell r="F42" t="str">
            <v>NI-INT-1ROS-H-304-1-40MM</v>
          </cell>
          <cell r="G42">
            <v>1000</v>
          </cell>
          <cell r="H42">
            <v>10.82103</v>
          </cell>
          <cell r="I42">
            <v>12.5523948</v>
          </cell>
          <cell r="J42">
            <v>10821.03</v>
          </cell>
          <cell r="K42">
            <v>12552.3948</v>
          </cell>
          <cell r="L42" t="str">
            <v>PRESION</v>
          </cell>
        </row>
        <row r="43">
          <cell r="A43" t="str">
            <v>21EF01</v>
          </cell>
          <cell r="B43">
            <v>44205</v>
          </cell>
          <cell r="C43">
            <v>43841</v>
          </cell>
          <cell r="D43" t="str">
            <v>HAINING LEBRIA E
BUSINESS CO.</v>
          </cell>
          <cell r="E43" t="str">
            <v>EMMA</v>
          </cell>
          <cell r="F43" t="str">
            <v>NI-INT-2ROS-H-3/4</v>
          </cell>
          <cell r="G43">
            <v>4000</v>
          </cell>
          <cell r="H43">
            <v>17.692142500000003</v>
          </cell>
          <cell r="I43">
            <v>20.522885300000002</v>
          </cell>
          <cell r="J43">
            <v>70768.570000000007</v>
          </cell>
          <cell r="K43">
            <v>82091.541200000007</v>
          </cell>
          <cell r="L43" t="str">
            <v>GRAVEDAD</v>
          </cell>
        </row>
        <row r="44">
          <cell r="A44" t="str">
            <v>21EF01</v>
          </cell>
          <cell r="B44">
            <v>44205</v>
          </cell>
          <cell r="C44">
            <v>43841</v>
          </cell>
          <cell r="D44" t="str">
            <v>HAINING LEBRIA E
BUSINESS CO.</v>
          </cell>
          <cell r="E44" t="str">
            <v>EMMA</v>
          </cell>
          <cell r="F44" t="str">
            <v>OPR-COB-M-1/2</v>
          </cell>
          <cell r="G44">
            <v>10000</v>
          </cell>
          <cell r="H44">
            <v>6.614021000000001</v>
          </cell>
          <cell r="I44">
            <v>7.6722643600000007</v>
          </cell>
          <cell r="J44">
            <v>66140.210000000006</v>
          </cell>
          <cell r="K44">
            <v>76722.64360000001</v>
          </cell>
          <cell r="L44" t="str">
            <v>PRESION</v>
          </cell>
        </row>
        <row r="45">
          <cell r="A45" t="str">
            <v>21EF01</v>
          </cell>
          <cell r="B45">
            <v>44205</v>
          </cell>
          <cell r="C45">
            <v>43841</v>
          </cell>
          <cell r="D45" t="str">
            <v>HAINING LEBRIA E
BUSINESS CO.</v>
          </cell>
          <cell r="E45" t="str">
            <v>EMMA</v>
          </cell>
          <cell r="F45" t="str">
            <v>PEL-EMP</v>
          </cell>
          <cell r="G45">
            <v>108</v>
          </cell>
          <cell r="H45">
            <v>65.538796296296297</v>
          </cell>
          <cell r="I45">
            <v>76.025003703703703</v>
          </cell>
          <cell r="J45">
            <v>7078.1900000000005</v>
          </cell>
          <cell r="K45">
            <v>8210.7003999999997</v>
          </cell>
          <cell r="L45" t="str">
            <v>GRAVEDAD</v>
          </cell>
        </row>
        <row r="46">
          <cell r="A46" t="str">
            <v>21EF01</v>
          </cell>
          <cell r="B46">
            <v>44205</v>
          </cell>
          <cell r="C46">
            <v>43841</v>
          </cell>
          <cell r="D46" t="str">
            <v>HAINING LEBRIA E
BUSINESS CO.</v>
          </cell>
          <cell r="E46" t="str">
            <v>EMMA</v>
          </cell>
          <cell r="F46" t="str">
            <v>PEL-EMP-P-1190-AP</v>
          </cell>
          <cell r="G46">
            <v>149</v>
          </cell>
          <cell r="H46">
            <v>81.70093959731544</v>
          </cell>
          <cell r="I46">
            <v>94.77308993288591</v>
          </cell>
          <cell r="J46">
            <v>12173.44</v>
          </cell>
          <cell r="K46">
            <v>14121.190400000001</v>
          </cell>
          <cell r="L46" t="str">
            <v>PRESION</v>
          </cell>
        </row>
        <row r="47">
          <cell r="A47" t="str">
            <v>21EF01</v>
          </cell>
          <cell r="B47">
            <v>44205</v>
          </cell>
          <cell r="C47">
            <v>43841</v>
          </cell>
          <cell r="D47" t="str">
            <v>HAINING LEBRIA E
BUSINESS CO.</v>
          </cell>
          <cell r="E47" t="str">
            <v>EMMA</v>
          </cell>
          <cell r="F47" t="str">
            <v>POL-AIS</v>
          </cell>
          <cell r="G47">
            <v>3960</v>
          </cell>
          <cell r="H47">
            <v>54.464626262626268</v>
          </cell>
          <cell r="I47">
            <v>63.178966464646464</v>
          </cell>
          <cell r="J47">
            <v>215679.92</v>
          </cell>
          <cell r="K47">
            <v>250188.7072</v>
          </cell>
          <cell r="L47" t="str">
            <v>PRESION / GRAVEDAD</v>
          </cell>
        </row>
        <row r="48">
          <cell r="A48" t="str">
            <v>21EF01</v>
          </cell>
          <cell r="B48">
            <v>44205</v>
          </cell>
          <cell r="C48">
            <v>43841</v>
          </cell>
          <cell r="D48" t="str">
            <v>HAINING LEBRIA E
BUSINESS CO.</v>
          </cell>
          <cell r="E48" t="str">
            <v>EMMA</v>
          </cell>
          <cell r="F48" t="str">
            <v>SOP-SUJ-TUB-PRE-AP</v>
          </cell>
          <cell r="G48">
            <v>21672</v>
          </cell>
          <cell r="H48">
            <v>2.6472822074566262</v>
          </cell>
          <cell r="I48">
            <v>3.0708473606496862</v>
          </cell>
          <cell r="J48">
            <v>57371.9</v>
          </cell>
          <cell r="K48">
            <v>66551.403999999995</v>
          </cell>
          <cell r="L48" t="str">
            <v>PRESION</v>
          </cell>
        </row>
        <row r="49">
          <cell r="A49" t="str">
            <v>21EF01</v>
          </cell>
          <cell r="B49">
            <v>44205</v>
          </cell>
          <cell r="C49">
            <v>43841</v>
          </cell>
          <cell r="D49" t="str">
            <v>HAINING LEBRIA E
BUSINESS CO.</v>
          </cell>
          <cell r="E49" t="str">
            <v>EMMA</v>
          </cell>
          <cell r="F49" t="str">
            <v>TAC-EXT-201-BA-0.31</v>
          </cell>
          <cell r="G49">
            <v>1665</v>
          </cell>
          <cell r="H49">
            <v>33.418102102102104</v>
          </cell>
          <cell r="I49">
            <v>38.76499843843844</v>
          </cell>
          <cell r="J49">
            <v>55641.14</v>
          </cell>
          <cell r="K49">
            <v>64543.722399999999</v>
          </cell>
          <cell r="L49" t="str">
            <v>GRAVEDAD</v>
          </cell>
        </row>
        <row r="50">
          <cell r="A50" t="str">
            <v>21EF01</v>
          </cell>
          <cell r="B50">
            <v>44205</v>
          </cell>
          <cell r="C50">
            <v>43841</v>
          </cell>
          <cell r="D50" t="str">
            <v>HAINING LEBRIA E
BUSINESS CO.</v>
          </cell>
          <cell r="E50" t="str">
            <v>EMMA</v>
          </cell>
          <cell r="F50" t="str">
            <v>TAC-EXT-430-BA-0.31-ERA</v>
          </cell>
          <cell r="G50">
            <v>1564</v>
          </cell>
          <cell r="H50">
            <v>32.105997442455241</v>
          </cell>
          <cell r="I50">
            <v>37.242957033248075</v>
          </cell>
          <cell r="J50">
            <v>50213.78</v>
          </cell>
          <cell r="K50">
            <v>58247.984799999991</v>
          </cell>
          <cell r="L50" t="str">
            <v>GRAVEDAD</v>
          </cell>
        </row>
        <row r="51">
          <cell r="A51" t="str">
            <v>21EF01</v>
          </cell>
          <cell r="B51">
            <v>44205</v>
          </cell>
          <cell r="C51">
            <v>43841</v>
          </cell>
          <cell r="D51" t="str">
            <v>HAINING LEBRIA E
BUSINESS CO.</v>
          </cell>
          <cell r="E51" t="str">
            <v>EMMA</v>
          </cell>
          <cell r="F51" t="str">
            <v>TAC-INT-304-2B-0.41</v>
          </cell>
          <cell r="G51">
            <v>5082</v>
          </cell>
          <cell r="H51">
            <v>26.54033451397088</v>
          </cell>
          <cell r="I51">
            <v>30.786788036206218</v>
          </cell>
          <cell r="J51">
            <v>134877.98000000001</v>
          </cell>
          <cell r="K51">
            <v>156458.45680000001</v>
          </cell>
          <cell r="L51" t="str">
            <v>GRAVEDAD</v>
          </cell>
        </row>
        <row r="52">
          <cell r="A52" t="str">
            <v>21EF01</v>
          </cell>
          <cell r="B52">
            <v>44205</v>
          </cell>
          <cell r="C52">
            <v>43841</v>
          </cell>
          <cell r="D52" t="str">
            <v>HAINING LEBRIA E
BUSINESS CO.</v>
          </cell>
          <cell r="E52" t="str">
            <v>EMMA</v>
          </cell>
          <cell r="F52" t="str">
            <v>TAP-EXT-GAL-0.40X500-AP</v>
          </cell>
          <cell r="G52">
            <v>2774</v>
          </cell>
          <cell r="H52">
            <v>32.760919250180244</v>
          </cell>
          <cell r="I52">
            <v>38.002666330209081</v>
          </cell>
          <cell r="J52">
            <v>90878.79</v>
          </cell>
          <cell r="K52">
            <v>105419.3964</v>
          </cell>
          <cell r="L52" t="str">
            <v>PRESION</v>
          </cell>
        </row>
        <row r="53">
          <cell r="A53" t="str">
            <v>21EF01</v>
          </cell>
          <cell r="B53">
            <v>44205</v>
          </cell>
          <cell r="C53">
            <v>43841</v>
          </cell>
          <cell r="D53" t="str">
            <v>HAINING LEBRIA E
BUSINESS CO.</v>
          </cell>
          <cell r="E53" t="str">
            <v>EMMA</v>
          </cell>
          <cell r="F53" t="str">
            <v>TAP-INT-304-2B-1X420-AP</v>
          </cell>
          <cell r="G53">
            <v>4047</v>
          </cell>
          <cell r="H53">
            <v>95.001648134420549</v>
          </cell>
          <cell r="I53">
            <v>110.20191183592783</v>
          </cell>
          <cell r="J53">
            <v>384471.67</v>
          </cell>
          <cell r="K53">
            <v>445987.13719999994</v>
          </cell>
          <cell r="L53" t="str">
            <v>PRESION</v>
          </cell>
        </row>
        <row r="54">
          <cell r="A54" t="str">
            <v>21EF01</v>
          </cell>
          <cell r="B54">
            <v>44205</v>
          </cell>
          <cell r="C54">
            <v>43841</v>
          </cell>
          <cell r="D54" t="str">
            <v>HAINING LEBRIA E
BUSINESS CO.</v>
          </cell>
          <cell r="E54" t="str">
            <v>EMMA</v>
          </cell>
          <cell r="F54" t="str">
            <v>TAP-SIL-22-ROJO-INY</v>
          </cell>
          <cell r="G54">
            <v>1000</v>
          </cell>
          <cell r="H54">
            <v>0.4667</v>
          </cell>
          <cell r="I54">
            <v>0.54137199999999996</v>
          </cell>
          <cell r="J54">
            <v>466.7</v>
          </cell>
          <cell r="K54">
            <v>541.37199999999996</v>
          </cell>
          <cell r="L54" t="str">
            <v>GRAVEDAD</v>
          </cell>
        </row>
        <row r="55">
          <cell r="A55" t="str">
            <v>21EF01</v>
          </cell>
          <cell r="B55">
            <v>44205</v>
          </cell>
          <cell r="C55">
            <v>43841</v>
          </cell>
          <cell r="D55" t="str">
            <v>HAINING LEBRIA E
BUSINESS CO.</v>
          </cell>
          <cell r="E55" t="str">
            <v>EMMA</v>
          </cell>
          <cell r="F55" t="str">
            <v>TOR-EXT</v>
          </cell>
          <cell r="G55">
            <v>11000</v>
          </cell>
          <cell r="H55">
            <v>1.4480045454545454</v>
          </cell>
          <cell r="I55">
            <v>1.6796852727272724</v>
          </cell>
          <cell r="J55">
            <v>15928.05</v>
          </cell>
          <cell r="K55">
            <v>18476.537999999997</v>
          </cell>
          <cell r="L55" t="str">
            <v>PRESION / GRAVEDAD</v>
          </cell>
        </row>
        <row r="56">
          <cell r="A56" t="str">
            <v>21EF01</v>
          </cell>
          <cell r="B56">
            <v>44205</v>
          </cell>
          <cell r="C56">
            <v>43841</v>
          </cell>
          <cell r="D56" t="str">
            <v>HAINING LEBRIA E
BUSINESS CO.</v>
          </cell>
          <cell r="E56" t="str">
            <v>EMMA</v>
          </cell>
          <cell r="F56" t="str">
            <v>UNI-EMP-LAT-500MM</v>
          </cell>
          <cell r="G56">
            <v>320</v>
          </cell>
          <cell r="H56">
            <v>3.6861249999999997</v>
          </cell>
          <cell r="I56">
            <v>4.275904999999999</v>
          </cell>
          <cell r="J56">
            <v>1179.56</v>
          </cell>
          <cell r="K56">
            <v>1368.2895999999996</v>
          </cell>
          <cell r="L56" t="str">
            <v>PRESION</v>
          </cell>
        </row>
        <row r="57">
          <cell r="A57" t="str">
            <v>21EF01</v>
          </cell>
          <cell r="B57">
            <v>44205</v>
          </cell>
          <cell r="C57">
            <v>43841</v>
          </cell>
          <cell r="D57" t="str">
            <v>HAINING LEBRIA E
BUSINESS CO.</v>
          </cell>
          <cell r="E57" t="str">
            <v>EMMA</v>
          </cell>
          <cell r="F57" t="str">
            <v>UNI-EMP-ORI</v>
          </cell>
          <cell r="G57">
            <v>2760</v>
          </cell>
          <cell r="H57">
            <v>2.5288804347826086</v>
          </cell>
          <cell r="I57">
            <v>2.9335013043478257</v>
          </cell>
          <cell r="J57">
            <v>6979.71</v>
          </cell>
          <cell r="K57">
            <v>8096.4635999999991</v>
          </cell>
          <cell r="L57" t="str">
            <v>GRAVEDAD</v>
          </cell>
        </row>
        <row r="58">
          <cell r="A58" t="str">
            <v>21EF01</v>
          </cell>
          <cell r="B58">
            <v>44205</v>
          </cell>
          <cell r="C58">
            <v>43841</v>
          </cell>
          <cell r="D58" t="str">
            <v>HAINING LEBRIA E
BUSINESS CO.</v>
          </cell>
          <cell r="E58" t="str">
            <v>EMMA</v>
          </cell>
          <cell r="F58" t="str">
            <v>VAL-ANTVAC</v>
          </cell>
          <cell r="G58">
            <v>2970</v>
          </cell>
          <cell r="H58">
            <v>65.521303030303031</v>
          </cell>
          <cell r="I58">
            <v>76.004711515151513</v>
          </cell>
          <cell r="J58">
            <v>194598.27</v>
          </cell>
          <cell r="K58">
            <v>225733.9932</v>
          </cell>
          <cell r="L58" t="str">
            <v>PRESION</v>
          </cell>
        </row>
        <row r="59">
          <cell r="A59" t="str">
            <v>21EF01</v>
          </cell>
          <cell r="B59">
            <v>44205</v>
          </cell>
          <cell r="C59">
            <v>43841</v>
          </cell>
          <cell r="D59" t="str">
            <v>HAINING LEBRIA E
BUSINESS CO.</v>
          </cell>
          <cell r="E59" t="str">
            <v>EMMA</v>
          </cell>
          <cell r="F59" t="str">
            <v>VAL-PT-0.77-90C</v>
          </cell>
          <cell r="G59">
            <v>2970</v>
          </cell>
          <cell r="H59">
            <v>137.58428956228957</v>
          </cell>
          <cell r="I59">
            <v>159.5977758922559</v>
          </cell>
          <cell r="J59">
            <v>408625.34</v>
          </cell>
          <cell r="K59">
            <v>474005.39439999999</v>
          </cell>
          <cell r="L59" t="str">
            <v>PRESION</v>
          </cell>
        </row>
        <row r="60">
          <cell r="A60" t="str">
            <v>21EF02</v>
          </cell>
          <cell r="B60">
            <v>44225</v>
          </cell>
          <cell r="C60">
            <v>44212</v>
          </cell>
          <cell r="D60" t="str">
            <v>HAINING LEBRIA E
BUSINESS CO.</v>
          </cell>
          <cell r="E60" t="str">
            <v>EMMA</v>
          </cell>
          <cell r="F60" t="str">
            <v>CAJ-GENTANQPRE</v>
          </cell>
          <cell r="G60">
            <v>10</v>
          </cell>
          <cell r="H60">
            <v>24.2</v>
          </cell>
          <cell r="I60">
            <v>28.071999999999996</v>
          </cell>
          <cell r="J60">
            <v>242</v>
          </cell>
          <cell r="K60">
            <v>280.71999999999997</v>
          </cell>
          <cell r="L60" t="str">
            <v>GARANTIA</v>
          </cell>
        </row>
        <row r="61">
          <cell r="A61" t="str">
            <v>21EF02</v>
          </cell>
          <cell r="B61">
            <v>44225</v>
          </cell>
          <cell r="C61">
            <v>44212</v>
          </cell>
          <cell r="D61" t="str">
            <v>HAINING LEBRIA E
BUSINESS CO.</v>
          </cell>
          <cell r="E61" t="str">
            <v>EMMA</v>
          </cell>
          <cell r="F61" t="str">
            <v>POL-AIS</v>
          </cell>
          <cell r="G61">
            <v>8800</v>
          </cell>
          <cell r="H61">
            <v>60.73</v>
          </cell>
          <cell r="I61">
            <v>70.446799999999996</v>
          </cell>
          <cell r="J61">
            <v>534424</v>
          </cell>
          <cell r="K61">
            <v>619931.84</v>
          </cell>
          <cell r="L61" t="str">
            <v>PRESION / GRAVEDAD</v>
          </cell>
        </row>
        <row r="62">
          <cell r="A62" t="str">
            <v>21EF02</v>
          </cell>
          <cell r="B62">
            <v>44225</v>
          </cell>
          <cell r="C62">
            <v>44212</v>
          </cell>
          <cell r="D62" t="str">
            <v>HAINING LEBRIA E
BUSINESS CO.</v>
          </cell>
          <cell r="E62" t="str">
            <v>EMMA</v>
          </cell>
          <cell r="F62" t="str">
            <v>TAC-EXT-430-BA-0.31</v>
          </cell>
          <cell r="G62">
            <v>3220</v>
          </cell>
          <cell r="H62">
            <v>35.57</v>
          </cell>
          <cell r="I62">
            <v>41.261199999999995</v>
          </cell>
          <cell r="J62">
            <v>114535.4</v>
          </cell>
          <cell r="K62">
            <v>132861.06399999998</v>
          </cell>
          <cell r="L62" t="str">
            <v>GRAVEDAD</v>
          </cell>
        </row>
        <row r="63">
          <cell r="A63" t="str">
            <v>21EF02</v>
          </cell>
          <cell r="B63">
            <v>44225</v>
          </cell>
          <cell r="C63">
            <v>44212</v>
          </cell>
          <cell r="D63" t="str">
            <v>HAINING LEBRIA E
BUSINESS CO.</v>
          </cell>
          <cell r="E63" t="str">
            <v>EMMA</v>
          </cell>
          <cell r="F63" t="str">
            <v>TAC-EXT-430-BA-0.31-ERA</v>
          </cell>
          <cell r="G63">
            <v>2070</v>
          </cell>
          <cell r="H63">
            <v>35.58</v>
          </cell>
          <cell r="I63">
            <v>41.272799999999997</v>
          </cell>
          <cell r="J63">
            <v>73650.599999999991</v>
          </cell>
          <cell r="K63">
            <v>85434.695999999996</v>
          </cell>
          <cell r="L63" t="str">
            <v>GRAVEDAD</v>
          </cell>
        </row>
        <row r="64">
          <cell r="A64" t="str">
            <v>21EF02</v>
          </cell>
          <cell r="B64">
            <v>44225</v>
          </cell>
          <cell r="C64">
            <v>44212</v>
          </cell>
          <cell r="D64" t="str">
            <v>HAINING LEBRIA E
BUSINESS CO.</v>
          </cell>
          <cell r="E64" t="str">
            <v>EMMA</v>
          </cell>
          <cell r="F64" t="str">
            <v>TAP-EXT-GAL-0.40X500-AP</v>
          </cell>
          <cell r="G64">
            <v>2500</v>
          </cell>
          <cell r="H64">
            <v>36.299999999999997</v>
          </cell>
          <cell r="I64">
            <v>42.107999999999997</v>
          </cell>
          <cell r="J64">
            <v>90750</v>
          </cell>
          <cell r="K64">
            <v>105269.99999999999</v>
          </cell>
          <cell r="L64" t="str">
            <v>PRESION</v>
          </cell>
        </row>
        <row r="65">
          <cell r="A65" t="str">
            <v>21EF02</v>
          </cell>
          <cell r="B65">
            <v>44225</v>
          </cell>
          <cell r="C65">
            <v>44212</v>
          </cell>
          <cell r="D65" t="str">
            <v>HAINING LEBRIA E
BUSINESS CO.</v>
          </cell>
          <cell r="E65" t="str">
            <v>EMMA</v>
          </cell>
          <cell r="F65" t="str">
            <v>UNI-EMP-ORI</v>
          </cell>
          <cell r="G65">
            <v>1080</v>
          </cell>
          <cell r="H65">
            <v>2.79</v>
          </cell>
          <cell r="I65">
            <v>3.2363999999999997</v>
          </cell>
          <cell r="J65">
            <v>3013.2</v>
          </cell>
          <cell r="K65">
            <v>3495.3119999999999</v>
          </cell>
          <cell r="L65" t="str">
            <v>GRAVEDAD</v>
          </cell>
        </row>
        <row r="66">
          <cell r="A66" t="str">
            <v>21EF02-1</v>
          </cell>
          <cell r="B66">
            <v>44211</v>
          </cell>
          <cell r="C66">
            <v>44212</v>
          </cell>
          <cell r="D66" t="str">
            <v>HAINING LEBRIA E
BUSINESS CO.</v>
          </cell>
          <cell r="E66" t="str">
            <v>EMMA</v>
          </cell>
          <cell r="F66" t="str">
            <v>ANI-ACC-PLA-58</v>
          </cell>
          <cell r="G66">
            <v>50000</v>
          </cell>
          <cell r="H66">
            <v>0.3655236</v>
          </cell>
          <cell r="I66">
            <v>0.42400737599999999</v>
          </cell>
          <cell r="J66">
            <v>18276.18</v>
          </cell>
          <cell r="K66">
            <v>21200.3688</v>
          </cell>
          <cell r="L66" t="str">
            <v>GRAVEDAD</v>
          </cell>
        </row>
        <row r="67">
          <cell r="A67" t="str">
            <v>21EF02-1</v>
          </cell>
          <cell r="B67">
            <v>44211</v>
          </cell>
          <cell r="C67">
            <v>44212</v>
          </cell>
          <cell r="D67" t="str">
            <v>HAINING LEBRIA E
BUSINESS CO.</v>
          </cell>
          <cell r="E67" t="str">
            <v>EMMA</v>
          </cell>
          <cell r="F67" t="str">
            <v>ANI-EXT-PLA-3/4-AZUL</v>
          </cell>
          <cell r="G67">
            <v>8635</v>
          </cell>
          <cell r="H67">
            <v>1.0025558772437753</v>
          </cell>
          <cell r="I67">
            <v>1.1629648176027791</v>
          </cell>
          <cell r="J67">
            <v>8657.07</v>
          </cell>
          <cell r="K67">
            <v>10042.201199999998</v>
          </cell>
          <cell r="L67" t="str">
            <v>GRAVEDAD</v>
          </cell>
        </row>
        <row r="68">
          <cell r="A68" t="str">
            <v>21EF02-1</v>
          </cell>
          <cell r="B68">
            <v>44211</v>
          </cell>
          <cell r="C68">
            <v>44212</v>
          </cell>
          <cell r="D68" t="str">
            <v>HAINING LEBRIA E
BUSINESS CO.</v>
          </cell>
          <cell r="E68" t="str">
            <v>EMMA</v>
          </cell>
          <cell r="F68" t="str">
            <v>ANI-EXT-PLA-3/4-N</v>
          </cell>
          <cell r="G68">
            <v>12911</v>
          </cell>
          <cell r="H68">
            <v>1.0370908527612113</v>
          </cell>
          <cell r="I68">
            <v>1.2030253892030049</v>
          </cell>
          <cell r="J68">
            <v>13389.88</v>
          </cell>
          <cell r="K68">
            <v>15532.260799999996</v>
          </cell>
          <cell r="L68" t="str">
            <v>GRAVEDAD</v>
          </cell>
        </row>
        <row r="69">
          <cell r="A69" t="str">
            <v>21EF02-1</v>
          </cell>
          <cell r="B69">
            <v>44211</v>
          </cell>
          <cell r="C69">
            <v>44212</v>
          </cell>
          <cell r="D69" t="str">
            <v>HAINING LEBRIA E
BUSINESS CO.</v>
          </cell>
          <cell r="E69" t="str">
            <v>EMMA</v>
          </cell>
          <cell r="F69" t="str">
            <v>ANI-EXT-PLA-3/4-R</v>
          </cell>
          <cell r="G69">
            <v>7702</v>
          </cell>
          <cell r="H69">
            <v>1.0029459880550506</v>
          </cell>
          <cell r="I69">
            <v>1.1634173461438586</v>
          </cell>
          <cell r="J69">
            <v>7724.69</v>
          </cell>
          <cell r="K69">
            <v>8960.6403999999984</v>
          </cell>
          <cell r="L69" t="str">
            <v>GRAVEDAD</v>
          </cell>
        </row>
        <row r="70">
          <cell r="A70" t="str">
            <v>21EF02-1</v>
          </cell>
          <cell r="B70">
            <v>44211</v>
          </cell>
          <cell r="C70">
            <v>44212</v>
          </cell>
          <cell r="D70" t="str">
            <v>HAINING LEBRIA E
BUSINESS CO.</v>
          </cell>
          <cell r="E70" t="str">
            <v>EMMA</v>
          </cell>
          <cell r="F70" t="str">
            <v>ANI-HEX-SIL-1/2X22-AP</v>
          </cell>
          <cell r="G70">
            <v>39600</v>
          </cell>
          <cell r="H70">
            <v>0.83143358585858573</v>
          </cell>
          <cell r="I70">
            <v>0.9644629595959594</v>
          </cell>
          <cell r="J70">
            <v>32924.769999999997</v>
          </cell>
          <cell r="K70">
            <v>38192.733199999995</v>
          </cell>
          <cell r="L70" t="str">
            <v>PRESION</v>
          </cell>
        </row>
        <row r="71">
          <cell r="A71" t="str">
            <v>21EF02-1</v>
          </cell>
          <cell r="B71">
            <v>44211</v>
          </cell>
          <cell r="C71">
            <v>44212</v>
          </cell>
          <cell r="D71" t="str">
            <v>HAINING LEBRIA E
BUSINESS CO.</v>
          </cell>
          <cell r="E71" t="str">
            <v>EMMA</v>
          </cell>
          <cell r="F71" t="str">
            <v>ANI-INY-SIL-66</v>
          </cell>
          <cell r="G71">
            <v>1512</v>
          </cell>
          <cell r="H71">
            <v>1.3398478835978835</v>
          </cell>
          <cell r="I71">
            <v>1.5542235449735449</v>
          </cell>
          <cell r="J71">
            <v>2025.85</v>
          </cell>
          <cell r="K71">
            <v>2349.9859999999999</v>
          </cell>
          <cell r="L71" t="str">
            <v>GRAVEDAD</v>
          </cell>
        </row>
        <row r="72">
          <cell r="A72" t="str">
            <v>21EF02-1</v>
          </cell>
          <cell r="B72">
            <v>44211</v>
          </cell>
          <cell r="C72">
            <v>44212</v>
          </cell>
          <cell r="D72" t="str">
            <v>HAINING LEBRIA E
BUSINESS CO.</v>
          </cell>
          <cell r="E72" t="str">
            <v>EMMA</v>
          </cell>
          <cell r="F72" t="str">
            <v>ANI-PLA-1/2-N-AP</v>
          </cell>
          <cell r="G72">
            <v>5953</v>
          </cell>
          <cell r="H72">
            <v>0.86479590122627248</v>
          </cell>
          <cell r="I72">
            <v>1.0031632454224759</v>
          </cell>
          <cell r="J72">
            <v>5148.13</v>
          </cell>
          <cell r="K72">
            <v>5971.8307999999988</v>
          </cell>
          <cell r="L72" t="str">
            <v>PRESION</v>
          </cell>
        </row>
        <row r="73">
          <cell r="A73" t="str">
            <v>21EF02-1</v>
          </cell>
          <cell r="B73">
            <v>44211</v>
          </cell>
          <cell r="C73">
            <v>44212</v>
          </cell>
          <cell r="D73" t="str">
            <v>HAINING LEBRIA E
BUSINESS CO.</v>
          </cell>
          <cell r="E73" t="str">
            <v>EMMA</v>
          </cell>
          <cell r="F73" t="str">
            <v>ANI-PVC-3/4-T-AP</v>
          </cell>
          <cell r="G73">
            <v>5219</v>
          </cell>
          <cell r="H73">
            <v>1.0926652615443571</v>
          </cell>
          <cell r="I73">
            <v>1.2674917033914541</v>
          </cell>
          <cell r="J73">
            <v>5702.62</v>
          </cell>
          <cell r="K73">
            <v>6615.0391999999993</v>
          </cell>
          <cell r="L73" t="str">
            <v>PRESION</v>
          </cell>
        </row>
        <row r="74">
          <cell r="A74" t="str">
            <v>21EF02-1</v>
          </cell>
          <cell r="B74">
            <v>44211</v>
          </cell>
          <cell r="C74">
            <v>44212</v>
          </cell>
          <cell r="D74" t="str">
            <v>HAINING LEBRIA E
BUSINESS CO.</v>
          </cell>
          <cell r="E74" t="str">
            <v>EMMA</v>
          </cell>
          <cell r="F74" t="str">
            <v>ANI-PVC-36-A-AF-AP</v>
          </cell>
          <cell r="G74">
            <v>3300</v>
          </cell>
          <cell r="H74">
            <v>0.73214545454545454</v>
          </cell>
          <cell r="I74">
            <v>0.8492887272727272</v>
          </cell>
          <cell r="J74">
            <v>2416.08</v>
          </cell>
          <cell r="K74">
            <v>2802.6527999999998</v>
          </cell>
          <cell r="L74" t="str">
            <v>PRESION</v>
          </cell>
        </row>
        <row r="75">
          <cell r="A75" t="str">
            <v>21EF02-1</v>
          </cell>
          <cell r="B75">
            <v>44211</v>
          </cell>
          <cell r="C75">
            <v>44212</v>
          </cell>
          <cell r="D75" t="str">
            <v>HAINING LEBRIA E
BUSINESS CO.</v>
          </cell>
          <cell r="E75" t="str">
            <v>EMMA</v>
          </cell>
          <cell r="F75" t="str">
            <v>ANI-PVC-36-R-AC-AP</v>
          </cell>
          <cell r="G75">
            <v>3300</v>
          </cell>
          <cell r="H75">
            <v>0.73214545454545454</v>
          </cell>
          <cell r="I75">
            <v>0.8492887272727272</v>
          </cell>
          <cell r="J75">
            <v>2416.08</v>
          </cell>
          <cell r="K75">
            <v>2802.6527999999998</v>
          </cell>
          <cell r="L75" t="str">
            <v>PRESION</v>
          </cell>
        </row>
        <row r="76">
          <cell r="A76" t="str">
            <v>21EF02-1</v>
          </cell>
          <cell r="B76">
            <v>44211</v>
          </cell>
          <cell r="C76">
            <v>44212</v>
          </cell>
          <cell r="D76" t="str">
            <v>HAINING LEBRIA E
BUSINESS CO.</v>
          </cell>
          <cell r="E76" t="str">
            <v>EMMA</v>
          </cell>
          <cell r="F76" t="str">
            <v>ANI-PVC-38-B-BM-AP</v>
          </cell>
          <cell r="G76">
            <v>9570</v>
          </cell>
          <cell r="H76">
            <v>0.73059456635318709</v>
          </cell>
          <cell r="I76">
            <v>0.847489696969697</v>
          </cell>
          <cell r="J76">
            <v>6991.7900000000009</v>
          </cell>
          <cell r="K76">
            <v>8110.4764000000005</v>
          </cell>
          <cell r="L76" t="str">
            <v>PRESION</v>
          </cell>
        </row>
        <row r="77">
          <cell r="A77" t="str">
            <v>21EF02-1</v>
          </cell>
          <cell r="B77">
            <v>44211</v>
          </cell>
          <cell r="C77">
            <v>44212</v>
          </cell>
          <cell r="D77" t="str">
            <v>HAINING LEBRIA E
BUSINESS CO.</v>
          </cell>
          <cell r="E77" t="str">
            <v>EMMA</v>
          </cell>
          <cell r="F77" t="str">
            <v>CAS-INT-COB-75-AP</v>
          </cell>
          <cell r="G77">
            <v>21143</v>
          </cell>
          <cell r="H77">
            <v>5.6090304119566756</v>
          </cell>
          <cell r="I77">
            <v>6.5064752778697432</v>
          </cell>
          <cell r="J77">
            <v>118591.73</v>
          </cell>
          <cell r="K77">
            <v>137566.40679999997</v>
          </cell>
          <cell r="L77" t="str">
            <v>PRESION</v>
          </cell>
        </row>
        <row r="78">
          <cell r="A78" t="str">
            <v>21EF02-1</v>
          </cell>
          <cell r="B78">
            <v>44211</v>
          </cell>
          <cell r="C78">
            <v>44212</v>
          </cell>
          <cell r="D78" t="str">
            <v>HAINING LEBRIA E
BUSINESS CO.</v>
          </cell>
          <cell r="E78" t="str">
            <v>EMMA</v>
          </cell>
          <cell r="F78" t="str">
            <v>COD-INT-AC-25x200</v>
          </cell>
          <cell r="G78">
            <v>1000</v>
          </cell>
          <cell r="H78">
            <v>15.95866</v>
          </cell>
          <cell r="I78">
            <v>18.5120456</v>
          </cell>
          <cell r="J78">
            <v>15958.66</v>
          </cell>
          <cell r="K78">
            <v>18512.045600000001</v>
          </cell>
          <cell r="L78" t="str">
            <v>GRAVEDAD</v>
          </cell>
        </row>
        <row r="79">
          <cell r="A79" t="str">
            <v>21EF02-1</v>
          </cell>
          <cell r="B79">
            <v>44211</v>
          </cell>
          <cell r="C79">
            <v>44212</v>
          </cell>
          <cell r="D79" t="str">
            <v>HAINING LEBRIA E
BUSINESS CO.</v>
          </cell>
          <cell r="E79" t="str">
            <v>EMMA</v>
          </cell>
          <cell r="F79" t="str">
            <v>EMP-ACC-SIL-58</v>
          </cell>
          <cell r="G79">
            <v>50000</v>
          </cell>
          <cell r="H79">
            <v>1.6715282</v>
          </cell>
          <cell r="I79">
            <v>1.938972712</v>
          </cell>
          <cell r="J79">
            <v>83576.41</v>
          </cell>
          <cell r="K79">
            <v>96948.635599999994</v>
          </cell>
          <cell r="L79" t="str">
            <v>GRAVEDAD</v>
          </cell>
        </row>
        <row r="80">
          <cell r="A80" t="str">
            <v>21EF02-1</v>
          </cell>
          <cell r="B80">
            <v>44211</v>
          </cell>
          <cell r="C80">
            <v>44212</v>
          </cell>
          <cell r="D80" t="str">
            <v>HAINING LEBRIA E
BUSINESS CO.</v>
          </cell>
          <cell r="E80" t="str">
            <v>EMMA</v>
          </cell>
          <cell r="F80" t="str">
            <v>NI-1ROS-H-304-1/2X19-C-AP</v>
          </cell>
          <cell r="G80">
            <v>21143</v>
          </cell>
          <cell r="H80">
            <v>5.8149013858014476</v>
          </cell>
          <cell r="I80">
            <v>6.745285607529679</v>
          </cell>
          <cell r="J80">
            <v>122944.46</v>
          </cell>
          <cell r="K80">
            <v>142615.5736</v>
          </cell>
          <cell r="L80" t="str">
            <v>PRESION</v>
          </cell>
        </row>
        <row r="81">
          <cell r="A81" t="str">
            <v>21EF02-1</v>
          </cell>
          <cell r="B81">
            <v>44211</v>
          </cell>
          <cell r="C81">
            <v>44212</v>
          </cell>
          <cell r="D81" t="str">
            <v>HAINING LEBRIA E
BUSINESS CO.</v>
          </cell>
          <cell r="E81" t="str">
            <v>EMMA</v>
          </cell>
          <cell r="F81" t="str">
            <v>NI-1ROS-H-304-1/2X45-VA-AP</v>
          </cell>
          <cell r="G81">
            <v>1970</v>
          </cell>
          <cell r="H81">
            <v>7.9821928934010149</v>
          </cell>
          <cell r="I81">
            <v>9.2593437563451761</v>
          </cell>
          <cell r="J81">
            <v>15724.92</v>
          </cell>
          <cell r="K81">
            <v>18240.907199999998</v>
          </cell>
          <cell r="L81" t="str">
            <v>PRESION</v>
          </cell>
        </row>
        <row r="82">
          <cell r="A82" t="str">
            <v>21EF02-1</v>
          </cell>
          <cell r="B82">
            <v>44211</v>
          </cell>
          <cell r="C82">
            <v>44212</v>
          </cell>
          <cell r="D82" t="str">
            <v>HAINING LEBRIA E
BUSINESS CO.</v>
          </cell>
          <cell r="E82" t="str">
            <v>EMMA</v>
          </cell>
          <cell r="F82" t="str">
            <v>NI-1ROS-H-304-3/4X45-PT-AP</v>
          </cell>
          <cell r="G82">
            <v>2970</v>
          </cell>
          <cell r="H82">
            <v>11.972010101010103</v>
          </cell>
          <cell r="I82">
            <v>13.887531717171719</v>
          </cell>
          <cell r="J82">
            <v>35556.870000000003</v>
          </cell>
          <cell r="K82">
            <v>41245.969200000007</v>
          </cell>
          <cell r="L82" t="str">
            <v>PRESION</v>
          </cell>
        </row>
        <row r="83">
          <cell r="A83" t="str">
            <v>21EF02-1</v>
          </cell>
          <cell r="B83">
            <v>44211</v>
          </cell>
          <cell r="C83">
            <v>44212</v>
          </cell>
          <cell r="D83" t="str">
            <v>HAINING LEBRIA E
BUSINESS CO.</v>
          </cell>
          <cell r="E83" t="str">
            <v>EMMA</v>
          </cell>
          <cell r="F83" t="str">
            <v>NI-1ROS-M-304-3/4X400-VAC-AP</v>
          </cell>
          <cell r="G83">
            <v>3940</v>
          </cell>
          <cell r="H83">
            <v>17.294213197969544</v>
          </cell>
          <cell r="I83">
            <v>20.061287309644669</v>
          </cell>
          <cell r="J83">
            <v>68139.199999999997</v>
          </cell>
          <cell r="K83">
            <v>79041.471999999994</v>
          </cell>
          <cell r="L83" t="str">
            <v>PRESION</v>
          </cell>
        </row>
        <row r="84">
          <cell r="A84" t="str">
            <v>21EF02-1</v>
          </cell>
          <cell r="B84">
            <v>44211</v>
          </cell>
          <cell r="C84">
            <v>44212</v>
          </cell>
          <cell r="D84" t="str">
            <v>HAINING LEBRIA E
BUSINESS CO.</v>
          </cell>
          <cell r="E84" t="str">
            <v>EMMA</v>
          </cell>
          <cell r="F84" t="str">
            <v>NI-1ROS-M-304-3/4X50-VAF-AP</v>
          </cell>
          <cell r="G84">
            <v>1679</v>
          </cell>
          <cell r="H84">
            <v>6.9842703990470518</v>
          </cell>
          <cell r="I84">
            <v>8.1017536628945788</v>
          </cell>
          <cell r="J84">
            <v>11726.59</v>
          </cell>
          <cell r="K84">
            <v>13602.844399999998</v>
          </cell>
          <cell r="L84" t="str">
            <v>PRESION</v>
          </cell>
        </row>
        <row r="85">
          <cell r="A85" t="str">
            <v>21EF02-1</v>
          </cell>
          <cell r="B85">
            <v>44211</v>
          </cell>
          <cell r="C85">
            <v>44212</v>
          </cell>
          <cell r="D85" t="str">
            <v>HAINING LEBRIA E
BUSINESS CO.</v>
          </cell>
          <cell r="E85" t="str">
            <v>EMMA</v>
          </cell>
          <cell r="F85" t="str">
            <v>NI-2ROS-H-304-3/4X40-AC/AF-AP</v>
          </cell>
          <cell r="G85">
            <v>1970</v>
          </cell>
          <cell r="H85">
            <v>11.30848730964467</v>
          </cell>
          <cell r="I85">
            <v>13.117845279187817</v>
          </cell>
          <cell r="J85">
            <v>22277.72</v>
          </cell>
          <cell r="K85">
            <v>25842.155199999997</v>
          </cell>
          <cell r="L85" t="str">
            <v>PRESION</v>
          </cell>
        </row>
        <row r="86">
          <cell r="A86" t="str">
            <v>21EF02-1</v>
          </cell>
          <cell r="B86">
            <v>44211</v>
          </cell>
          <cell r="C86">
            <v>44212</v>
          </cell>
          <cell r="D86" t="str">
            <v>HAINING LEBRIA E
BUSINESS CO.</v>
          </cell>
          <cell r="E86" t="str">
            <v>EMMA</v>
          </cell>
          <cell r="F86" t="str">
            <v>NI-INT-1ROS-H-3/4</v>
          </cell>
          <cell r="G86">
            <v>4000</v>
          </cell>
          <cell r="H86">
            <v>16.631970000000003</v>
          </cell>
          <cell r="I86">
            <v>19.2930852</v>
          </cell>
          <cell r="J86">
            <v>66527.88</v>
          </cell>
          <cell r="K86">
            <v>77172.340800000005</v>
          </cell>
          <cell r="L86" t="str">
            <v>GRAVEDAD</v>
          </cell>
        </row>
        <row r="87">
          <cell r="A87" t="str">
            <v>21EF02-1</v>
          </cell>
          <cell r="B87">
            <v>44211</v>
          </cell>
          <cell r="C87">
            <v>44212</v>
          </cell>
          <cell r="D87" t="str">
            <v>HAINING LEBRIA E
BUSINESS CO.</v>
          </cell>
          <cell r="E87" t="str">
            <v>EMMA</v>
          </cell>
          <cell r="F87" t="str">
            <v>NI-INT-1ROS-H-304-1-40MM</v>
          </cell>
          <cell r="G87">
            <v>1683</v>
          </cell>
          <cell r="H87">
            <v>16.296393345216877</v>
          </cell>
          <cell r="I87">
            <v>18.903816280451576</v>
          </cell>
          <cell r="J87">
            <v>27426.830000000005</v>
          </cell>
          <cell r="K87">
            <v>31815.122800000001</v>
          </cell>
          <cell r="L87" t="str">
            <v>PRESION</v>
          </cell>
        </row>
        <row r="88">
          <cell r="A88" t="str">
            <v>21EF02-1</v>
          </cell>
          <cell r="B88">
            <v>44211</v>
          </cell>
          <cell r="C88">
            <v>44212</v>
          </cell>
          <cell r="D88" t="str">
            <v>HAINING LEBRIA E
BUSINESS CO.</v>
          </cell>
          <cell r="E88" t="str">
            <v>EMMA</v>
          </cell>
          <cell r="F88" t="str">
            <v>NI-INT-2ROS-H-3/4</v>
          </cell>
          <cell r="G88">
            <v>2000</v>
          </cell>
          <cell r="H88">
            <v>17.963505000000001</v>
          </cell>
          <cell r="I88">
            <v>20.8376658</v>
          </cell>
          <cell r="J88">
            <v>35927.01</v>
          </cell>
          <cell r="K88">
            <v>41675.331599999998</v>
          </cell>
          <cell r="L88" t="str">
            <v>GRAVEDAD</v>
          </cell>
        </row>
        <row r="89">
          <cell r="A89" t="str">
            <v>21EF02-1</v>
          </cell>
          <cell r="B89">
            <v>44211</v>
          </cell>
          <cell r="C89">
            <v>44212</v>
          </cell>
          <cell r="D89" t="str">
            <v>HAINING LEBRIA E
BUSINESS CO.</v>
          </cell>
          <cell r="E89" t="str">
            <v>EMMA</v>
          </cell>
          <cell r="F89" t="str">
            <v>OPR-COB-M-1/2</v>
          </cell>
          <cell r="G89">
            <v>21143</v>
          </cell>
          <cell r="H89">
            <v>6.4637951094925032</v>
          </cell>
          <cell r="I89">
            <v>7.498002327011303</v>
          </cell>
          <cell r="J89">
            <v>136664.01999999999</v>
          </cell>
          <cell r="K89">
            <v>158530.26319999999</v>
          </cell>
          <cell r="L89" t="str">
            <v>PRESION</v>
          </cell>
        </row>
        <row r="90">
          <cell r="A90" t="str">
            <v>21EF02-1</v>
          </cell>
          <cell r="B90">
            <v>44211</v>
          </cell>
          <cell r="C90">
            <v>44212</v>
          </cell>
          <cell r="D90" t="str">
            <v>HAINING LEBRIA E
BUSINESS CO.</v>
          </cell>
          <cell r="E90" t="str">
            <v>EMMA</v>
          </cell>
          <cell r="F90" t="str">
            <v>SOP-SUJ-TUB-PRE-AP</v>
          </cell>
          <cell r="G90">
            <v>10080</v>
          </cell>
          <cell r="H90">
            <v>2.6872757936507936</v>
          </cell>
          <cell r="I90">
            <v>3.1172399206349204</v>
          </cell>
          <cell r="J90">
            <v>27087.739999999998</v>
          </cell>
          <cell r="K90">
            <v>31421.778399999999</v>
          </cell>
          <cell r="L90" t="str">
            <v>PRESION</v>
          </cell>
        </row>
        <row r="91">
          <cell r="A91" t="str">
            <v>21EF02-1</v>
          </cell>
          <cell r="B91">
            <v>44211</v>
          </cell>
          <cell r="C91">
            <v>44212</v>
          </cell>
          <cell r="D91" t="str">
            <v>HAINING LEBRIA E
BUSINESS CO.</v>
          </cell>
          <cell r="E91" t="str">
            <v>EMMA</v>
          </cell>
          <cell r="F91" t="str">
            <v>TAC-EXT-201-BA-0.31</v>
          </cell>
          <cell r="G91">
            <v>4635</v>
          </cell>
          <cell r="H91">
            <v>33.921143473570659</v>
          </cell>
          <cell r="I91">
            <v>39.348526429341959</v>
          </cell>
          <cell r="J91">
            <v>157224.5</v>
          </cell>
          <cell r="K91">
            <v>182380.41999999998</v>
          </cell>
          <cell r="L91" t="str">
            <v>GRAVEDAD</v>
          </cell>
        </row>
        <row r="92">
          <cell r="A92" t="str">
            <v>21EF02-1</v>
          </cell>
          <cell r="B92">
            <v>44211</v>
          </cell>
          <cell r="C92">
            <v>44212</v>
          </cell>
          <cell r="D92" t="str">
            <v>HAINING LEBRIA E
BUSINESS CO.</v>
          </cell>
          <cell r="E92" t="str">
            <v>EMMA</v>
          </cell>
          <cell r="F92" t="str">
            <v>TAC-INT-304-2B-0.41</v>
          </cell>
          <cell r="G92">
            <v>6000</v>
          </cell>
          <cell r="H92">
            <v>26.946361666666668</v>
          </cell>
          <cell r="I92">
            <v>31.257779533333334</v>
          </cell>
          <cell r="J92">
            <v>161678.17000000001</v>
          </cell>
          <cell r="K92">
            <v>187546.67720000001</v>
          </cell>
          <cell r="L92" t="str">
            <v>GRAVEDAD</v>
          </cell>
        </row>
        <row r="93">
          <cell r="A93" t="str">
            <v>21EF02-1</v>
          </cell>
          <cell r="B93">
            <v>44211</v>
          </cell>
          <cell r="C93">
            <v>44212</v>
          </cell>
          <cell r="D93" t="str">
            <v>HAINING LEBRIA E
BUSINESS CO.</v>
          </cell>
          <cell r="E93" t="str">
            <v>EMMA</v>
          </cell>
          <cell r="F93" t="str">
            <v>TAP-EXT-GAL-0.40X500-AP</v>
          </cell>
          <cell r="G93">
            <v>226</v>
          </cell>
          <cell r="H93">
            <v>33.236504424778758</v>
          </cell>
          <cell r="I93">
            <v>38.554345132743357</v>
          </cell>
          <cell r="J93">
            <v>7511.4499999999989</v>
          </cell>
          <cell r="K93">
            <v>8713.2819999999992</v>
          </cell>
          <cell r="L93" t="str">
            <v>PRESION</v>
          </cell>
        </row>
        <row r="94">
          <cell r="A94" t="str">
            <v>21EF02-1</v>
          </cell>
          <cell r="B94">
            <v>44211</v>
          </cell>
          <cell r="C94">
            <v>44212</v>
          </cell>
          <cell r="D94" t="str">
            <v>HAINING LEBRIA E
BUSINESS CO.</v>
          </cell>
          <cell r="E94" t="str">
            <v>EMMA</v>
          </cell>
          <cell r="F94" t="str">
            <v>TOR-EXT</v>
          </cell>
          <cell r="G94">
            <v>29925</v>
          </cell>
          <cell r="H94">
            <v>1.471030910609858</v>
          </cell>
          <cell r="I94">
            <v>1.7063958563074353</v>
          </cell>
          <cell r="J94">
            <v>44020.6</v>
          </cell>
          <cell r="K94">
            <v>51063.896000000001</v>
          </cell>
          <cell r="L94" t="str">
            <v>PRESION / GRAVEDAD</v>
          </cell>
        </row>
        <row r="95">
          <cell r="A95" t="str">
            <v>21EF02-1</v>
          </cell>
          <cell r="B95">
            <v>44211</v>
          </cell>
          <cell r="C95">
            <v>44212</v>
          </cell>
          <cell r="D95" t="str">
            <v>HAINING LEBRIA E
BUSINESS CO.</v>
          </cell>
          <cell r="E95" t="str">
            <v>EMMA</v>
          </cell>
          <cell r="F95" t="str">
            <v>UNI-EMP-LAT-500MM</v>
          </cell>
          <cell r="G95">
            <v>480</v>
          </cell>
          <cell r="H95">
            <v>3.7692083333333333</v>
          </cell>
          <cell r="I95">
            <v>4.372281666666666</v>
          </cell>
          <cell r="J95">
            <v>1809.22</v>
          </cell>
          <cell r="K95">
            <v>2098.6951999999997</v>
          </cell>
          <cell r="L95" t="str">
            <v>PRESION</v>
          </cell>
        </row>
        <row r="96">
          <cell r="A96" t="str">
            <v>21EF02-1</v>
          </cell>
          <cell r="B96">
            <v>44211</v>
          </cell>
          <cell r="C96">
            <v>44212</v>
          </cell>
          <cell r="D96" t="str">
            <v>HAINING LEBRIA E
BUSINESS CO.</v>
          </cell>
          <cell r="E96" t="str">
            <v>EMMA</v>
          </cell>
          <cell r="F96" t="str">
            <v>UNI-EMP-ORI</v>
          </cell>
          <cell r="G96">
            <v>1800</v>
          </cell>
          <cell r="H96">
            <v>2.5641888888888889</v>
          </cell>
          <cell r="I96">
            <v>2.9744591111111109</v>
          </cell>
          <cell r="J96">
            <v>4615.54</v>
          </cell>
          <cell r="K96">
            <v>5354.0263999999997</v>
          </cell>
          <cell r="L96" t="str">
            <v>GRAVEDAD</v>
          </cell>
        </row>
        <row r="97">
          <cell r="A97" t="str">
            <v>21EF02-1</v>
          </cell>
          <cell r="B97">
            <v>44211</v>
          </cell>
          <cell r="C97">
            <v>44212</v>
          </cell>
          <cell r="D97" t="str">
            <v>HAINING LEBRIA E
BUSINESS CO.</v>
          </cell>
          <cell r="E97" t="str">
            <v>EMMA</v>
          </cell>
          <cell r="F97" t="str">
            <v>VA-TAP-COB-1/2-AP</v>
          </cell>
          <cell r="G97">
            <v>2652</v>
          </cell>
          <cell r="H97">
            <v>8.7175377073906493</v>
          </cell>
          <cell r="I97">
            <v>10.112343740573152</v>
          </cell>
          <cell r="J97">
            <v>23118.910000000003</v>
          </cell>
          <cell r="K97">
            <v>26817.935600000001</v>
          </cell>
          <cell r="L97" t="str">
            <v>PRESION</v>
          </cell>
        </row>
        <row r="98">
          <cell r="A98" t="str">
            <v>21EF03</v>
          </cell>
          <cell r="B98">
            <v>44219</v>
          </cell>
          <cell r="C98">
            <v>44224</v>
          </cell>
          <cell r="D98" t="str">
            <v>HAINING LEBRIA E
BUSINESS CO.</v>
          </cell>
          <cell r="E98" t="str">
            <v>EMMA</v>
          </cell>
          <cell r="F98" t="str">
            <v>BAR-INT-M-3/4X300</v>
          </cell>
          <cell r="G98">
            <v>7909</v>
          </cell>
          <cell r="H98">
            <v>26.453643949930459</v>
          </cell>
          <cell r="I98">
            <v>30.686226981919329</v>
          </cell>
          <cell r="J98">
            <v>209221.87</v>
          </cell>
          <cell r="K98">
            <v>242697.36919999999</v>
          </cell>
          <cell r="L98" t="str">
            <v>GRAVEDAD</v>
          </cell>
        </row>
        <row r="99">
          <cell r="A99" t="str">
            <v>21EF03</v>
          </cell>
          <cell r="B99">
            <v>44219</v>
          </cell>
          <cell r="C99">
            <v>44224</v>
          </cell>
          <cell r="D99" t="str">
            <v>HAINING LEBRIA E
BUSINESS CO.</v>
          </cell>
          <cell r="E99" t="str">
            <v>EMMA</v>
          </cell>
          <cell r="F99" t="str">
            <v>CAS-INT-COB-75-AP</v>
          </cell>
          <cell r="G99">
            <v>10000</v>
          </cell>
          <cell r="H99">
            <v>6.2827760000000001</v>
          </cell>
          <cell r="I99">
            <v>7.2880201599999994</v>
          </cell>
          <cell r="J99">
            <v>62827.76</v>
          </cell>
          <cell r="K99">
            <v>72880.2016</v>
          </cell>
          <cell r="L99" t="str">
            <v>PRESION</v>
          </cell>
        </row>
        <row r="100">
          <cell r="A100" t="str">
            <v>21EF03</v>
          </cell>
          <cell r="B100">
            <v>44219</v>
          </cell>
          <cell r="C100">
            <v>44224</v>
          </cell>
          <cell r="D100" t="str">
            <v>HAINING LEBRIA E
BUSINESS CO.</v>
          </cell>
          <cell r="E100" t="str">
            <v>EMMA</v>
          </cell>
          <cell r="F100" t="str">
            <v>COD-INT-AC-25x200</v>
          </cell>
          <cell r="G100">
            <v>5139</v>
          </cell>
          <cell r="H100">
            <v>16.27102549134073</v>
          </cell>
          <cell r="I100">
            <v>18.874389569955245</v>
          </cell>
          <cell r="J100">
            <v>83616.800000000003</v>
          </cell>
          <cell r="K100">
            <v>96995.487999999998</v>
          </cell>
          <cell r="L100" t="str">
            <v>GRAVEDAD</v>
          </cell>
        </row>
        <row r="101">
          <cell r="A101" t="str">
            <v>21EF03</v>
          </cell>
          <cell r="B101">
            <v>44219</v>
          </cell>
          <cell r="C101">
            <v>44224</v>
          </cell>
          <cell r="D101" t="str">
            <v>HAINING LEBRIA E
BUSINESS CO.</v>
          </cell>
          <cell r="E101" t="str">
            <v>EMMA</v>
          </cell>
          <cell r="F101" t="str">
            <v>NI-1ROS-H-304-1/2X19-C-AP</v>
          </cell>
          <cell r="G101">
            <v>10000</v>
          </cell>
          <cell r="H101">
            <v>5.9911699999999994</v>
          </cell>
          <cell r="I101">
            <v>6.9497571999999987</v>
          </cell>
          <cell r="J101">
            <v>59911.7</v>
          </cell>
          <cell r="K101">
            <v>69497.571999999986</v>
          </cell>
          <cell r="L101" t="str">
            <v>PRESION</v>
          </cell>
        </row>
        <row r="102">
          <cell r="A102" t="str">
            <v>21EF03</v>
          </cell>
          <cell r="B102">
            <v>44219</v>
          </cell>
          <cell r="C102">
            <v>44224</v>
          </cell>
          <cell r="D102" t="str">
            <v>HAINING LEBRIA E
BUSINESS CO.</v>
          </cell>
          <cell r="E102" t="str">
            <v>EMMA</v>
          </cell>
          <cell r="F102" t="str">
            <v>NI-1ROS-H-304-1/2X45-VA-AP</v>
          </cell>
          <cell r="G102">
            <v>1000</v>
          </cell>
          <cell r="H102">
            <v>8.1445299999999996</v>
          </cell>
          <cell r="I102">
            <v>9.4476547999999987</v>
          </cell>
          <cell r="J102">
            <v>8144.53</v>
          </cell>
          <cell r="K102">
            <v>9447.6547999999984</v>
          </cell>
          <cell r="L102" t="str">
            <v>PRESION</v>
          </cell>
        </row>
        <row r="103">
          <cell r="A103" t="str">
            <v>21EF03</v>
          </cell>
          <cell r="B103">
            <v>44219</v>
          </cell>
          <cell r="C103">
            <v>44224</v>
          </cell>
          <cell r="D103" t="str">
            <v>HAINING LEBRIA E
BUSINESS CO.</v>
          </cell>
          <cell r="E103" t="str">
            <v>EMMA</v>
          </cell>
          <cell r="F103" t="str">
            <v>NI-1ROS-H-304-3/4X45-PT-AP</v>
          </cell>
          <cell r="G103">
            <v>1000</v>
          </cell>
          <cell r="H103">
            <v>12.21433</v>
          </cell>
          <cell r="I103">
            <v>14.1686228</v>
          </cell>
          <cell r="J103">
            <v>12214.33</v>
          </cell>
          <cell r="K103">
            <v>14168.622799999999</v>
          </cell>
          <cell r="L103" t="str">
            <v>PRESION</v>
          </cell>
        </row>
        <row r="104">
          <cell r="A104" t="str">
            <v>21EF03</v>
          </cell>
          <cell r="B104">
            <v>44219</v>
          </cell>
          <cell r="C104">
            <v>44224</v>
          </cell>
          <cell r="D104" t="str">
            <v>HAINING LEBRIA E
BUSINESS CO.</v>
          </cell>
          <cell r="E104" t="str">
            <v>EMMA</v>
          </cell>
          <cell r="F104" t="str">
            <v>NI-1ROS-M-304-3/4X400-VAC-AP</v>
          </cell>
          <cell r="G104">
            <v>1000</v>
          </cell>
          <cell r="H104">
            <v>17.643540000000002</v>
          </cell>
          <cell r="I104">
            <v>20.4665064</v>
          </cell>
          <cell r="J104">
            <v>17643.54</v>
          </cell>
          <cell r="K104">
            <v>20466.506399999998</v>
          </cell>
          <cell r="L104" t="str">
            <v>PRESION</v>
          </cell>
        </row>
        <row r="105">
          <cell r="A105" t="str">
            <v>21EF03</v>
          </cell>
          <cell r="B105">
            <v>44219</v>
          </cell>
          <cell r="C105">
            <v>44224</v>
          </cell>
          <cell r="D105" t="str">
            <v>HAINING LEBRIA E
BUSINESS CO.</v>
          </cell>
          <cell r="E105" t="str">
            <v>EMMA</v>
          </cell>
          <cell r="F105" t="str">
            <v>NI-1ROS-M-304-3/4X50-VAF-AP</v>
          </cell>
          <cell r="G105">
            <v>1000</v>
          </cell>
          <cell r="H105">
            <v>7.1167899999999999</v>
          </cell>
          <cell r="I105">
            <v>8.2554763999999992</v>
          </cell>
          <cell r="J105">
            <v>7116.79</v>
          </cell>
          <cell r="K105">
            <v>8255.4763999999996</v>
          </cell>
          <cell r="L105" t="str">
            <v>PRESION</v>
          </cell>
        </row>
        <row r="106">
          <cell r="A106" t="str">
            <v>21EF03</v>
          </cell>
          <cell r="B106">
            <v>44219</v>
          </cell>
          <cell r="C106">
            <v>44224</v>
          </cell>
          <cell r="D106" t="str">
            <v>HAINING LEBRIA E
BUSINESS CO.</v>
          </cell>
          <cell r="E106" t="str">
            <v>EMMA</v>
          </cell>
          <cell r="F106" t="str">
            <v>NI-2ROS-H-304-3/4X40-AC/AF-AP</v>
          </cell>
          <cell r="G106">
            <v>2000</v>
          </cell>
          <cell r="H106">
            <v>11.527674999999999</v>
          </cell>
          <cell r="I106">
            <v>13.372102999999997</v>
          </cell>
          <cell r="J106">
            <v>23055.35</v>
          </cell>
          <cell r="K106">
            <v>26744.205999999995</v>
          </cell>
          <cell r="L106" t="str">
            <v>PRESION</v>
          </cell>
        </row>
        <row r="107">
          <cell r="A107" t="str">
            <v>21EF03</v>
          </cell>
          <cell r="B107">
            <v>44219</v>
          </cell>
          <cell r="C107">
            <v>44224</v>
          </cell>
          <cell r="D107" t="str">
            <v>HAINING LEBRIA E
BUSINESS CO.</v>
          </cell>
          <cell r="E107" t="str">
            <v>EMMA</v>
          </cell>
          <cell r="F107" t="str">
            <v>NI-INT-1ROS-H-3/4</v>
          </cell>
          <cell r="G107">
            <v>8773</v>
          </cell>
          <cell r="H107">
            <v>16.95464607317907</v>
          </cell>
          <cell r="I107">
            <v>19.667389444887721</v>
          </cell>
          <cell r="J107">
            <v>148743.10999999999</v>
          </cell>
          <cell r="K107">
            <v>172542.00759999998</v>
          </cell>
          <cell r="L107" t="str">
            <v>GRAVEDAD</v>
          </cell>
        </row>
        <row r="108">
          <cell r="A108" t="str">
            <v>21EF03</v>
          </cell>
          <cell r="B108">
            <v>44219</v>
          </cell>
          <cell r="C108">
            <v>44224</v>
          </cell>
          <cell r="D108" t="str">
            <v>HAINING LEBRIA E
BUSINESS CO.</v>
          </cell>
          <cell r="E108" t="str">
            <v>EMMA</v>
          </cell>
          <cell r="F108" t="str">
            <v>NI-INT-1ROS-H-304-1-40MM</v>
          </cell>
          <cell r="G108">
            <v>1000</v>
          </cell>
          <cell r="H108">
            <v>16.616589999999999</v>
          </cell>
          <cell r="I108">
            <v>19.275244399999998</v>
          </cell>
          <cell r="J108">
            <v>16616.59</v>
          </cell>
          <cell r="K108">
            <v>19275.2444</v>
          </cell>
          <cell r="L108" t="str">
            <v>PRESION</v>
          </cell>
        </row>
        <row r="109">
          <cell r="A109" t="str">
            <v>21EF03</v>
          </cell>
          <cell r="B109">
            <v>44219</v>
          </cell>
          <cell r="C109">
            <v>44224</v>
          </cell>
          <cell r="D109" t="str">
            <v>HAINING LEBRIA E
BUSINESS CO.</v>
          </cell>
          <cell r="E109" t="str">
            <v>EMMA</v>
          </cell>
          <cell r="F109" t="str">
            <v>NI-INT-2ROS-H-3/4</v>
          </cell>
          <cell r="G109">
            <v>3148</v>
          </cell>
          <cell r="H109">
            <v>18.319787166454894</v>
          </cell>
          <cell r="I109">
            <v>21.250953113087675</v>
          </cell>
          <cell r="J109">
            <v>57670.69000000001</v>
          </cell>
          <cell r="K109">
            <v>66898.000400000004</v>
          </cell>
          <cell r="L109" t="str">
            <v>GRAVEDAD</v>
          </cell>
        </row>
        <row r="110">
          <cell r="A110" t="str">
            <v>21EF03</v>
          </cell>
          <cell r="B110">
            <v>44219</v>
          </cell>
          <cell r="C110">
            <v>44224</v>
          </cell>
          <cell r="D110" t="str">
            <v>HAINING LEBRIA E
BUSINESS CO.</v>
          </cell>
          <cell r="E110" t="str">
            <v>EMMA</v>
          </cell>
          <cell r="F110" t="str">
            <v>OPR-COB-M-1/2</v>
          </cell>
          <cell r="G110">
            <v>10000</v>
          </cell>
          <cell r="H110">
            <v>6.2827760000000001</v>
          </cell>
          <cell r="I110">
            <v>7.2880201599999994</v>
          </cell>
          <cell r="J110">
            <v>62827.76</v>
          </cell>
          <cell r="K110">
            <v>72880.2016</v>
          </cell>
          <cell r="L110" t="str">
            <v>PRESION</v>
          </cell>
        </row>
        <row r="111">
          <cell r="A111" t="str">
            <v>21EF03</v>
          </cell>
          <cell r="B111">
            <v>44219</v>
          </cell>
          <cell r="C111">
            <v>44224</v>
          </cell>
          <cell r="D111" t="str">
            <v>HAINING LEBRIA E
BUSINESS CO.</v>
          </cell>
          <cell r="E111" t="str">
            <v>EMMA</v>
          </cell>
          <cell r="F111" t="str">
            <v>TAC-EXT-430-BA-0.31</v>
          </cell>
          <cell r="G111">
            <v>3128</v>
          </cell>
          <cell r="H111">
            <v>33.238829923273656</v>
          </cell>
          <cell r="I111">
            <v>38.557042710997436</v>
          </cell>
          <cell r="J111">
            <v>103971.06</v>
          </cell>
          <cell r="K111">
            <v>120606.42959999997</v>
          </cell>
          <cell r="L111" t="str">
            <v>GRAVEDAD</v>
          </cell>
        </row>
        <row r="112">
          <cell r="A112" t="str">
            <v>21EF03</v>
          </cell>
          <cell r="B112">
            <v>44219</v>
          </cell>
          <cell r="C112">
            <v>44224</v>
          </cell>
          <cell r="D112" t="str">
            <v>HAINING LEBRIA E
BUSINESS CO.</v>
          </cell>
          <cell r="E112" t="str">
            <v>EMMA</v>
          </cell>
          <cell r="F112" t="str">
            <v>TAC-EXT-430-BA-0.31-ERA</v>
          </cell>
          <cell r="G112">
            <v>2484</v>
          </cell>
          <cell r="H112">
            <v>33.240849436392914</v>
          </cell>
          <cell r="I112">
            <v>38.559385346215777</v>
          </cell>
          <cell r="J112">
            <v>82570.27</v>
          </cell>
          <cell r="K112">
            <v>95781.513199999987</v>
          </cell>
          <cell r="L112" t="str">
            <v>GRAVEDAD</v>
          </cell>
        </row>
        <row r="113">
          <cell r="A113" t="str">
            <v>21EF03</v>
          </cell>
          <cell r="B113">
            <v>44219</v>
          </cell>
          <cell r="C113">
            <v>44224</v>
          </cell>
          <cell r="D113" t="str">
            <v>HAINING LEBRIA E
BUSINESS CO.</v>
          </cell>
          <cell r="E113" t="str">
            <v>EMMA</v>
          </cell>
          <cell r="F113" t="str">
            <v>TAC-INT-304-2B-0.41</v>
          </cell>
          <cell r="G113">
            <v>5000</v>
          </cell>
          <cell r="H113">
            <v>27.475464000000002</v>
          </cell>
          <cell r="I113">
            <v>31.87153824</v>
          </cell>
          <cell r="J113">
            <v>137377.32</v>
          </cell>
          <cell r="K113">
            <v>159357.6912</v>
          </cell>
          <cell r="L113" t="str">
            <v>GRAVEDAD</v>
          </cell>
        </row>
        <row r="114">
          <cell r="A114" t="str">
            <v>21EF03</v>
          </cell>
          <cell r="B114">
            <v>44219</v>
          </cell>
          <cell r="C114">
            <v>44224</v>
          </cell>
          <cell r="D114" t="str">
            <v>HAINING LEBRIA E
BUSINESS CO.</v>
          </cell>
          <cell r="E114" t="str">
            <v>EMMA</v>
          </cell>
          <cell r="F114" t="str">
            <v>TAP-EXT-GAL-0.40X500-AP</v>
          </cell>
          <cell r="G114">
            <v>2100</v>
          </cell>
          <cell r="H114">
            <v>33.912923809523811</v>
          </cell>
          <cell r="I114">
            <v>39.338991619047619</v>
          </cell>
          <cell r="J114">
            <v>71217.14</v>
          </cell>
          <cell r="K114">
            <v>82611.882400000002</v>
          </cell>
          <cell r="L114" t="str">
            <v>PRESION</v>
          </cell>
        </row>
        <row r="115">
          <cell r="A115" t="str">
            <v>21EF03</v>
          </cell>
          <cell r="B115">
            <v>44219</v>
          </cell>
          <cell r="C115">
            <v>44224</v>
          </cell>
          <cell r="D115" t="str">
            <v>HAINING LEBRIA E
BUSINESS CO.</v>
          </cell>
          <cell r="E115" t="str">
            <v>EMMA</v>
          </cell>
          <cell r="F115" t="str">
            <v>TAP-INT-304-2B-1X420-AP</v>
          </cell>
          <cell r="G115">
            <v>1988</v>
          </cell>
          <cell r="H115">
            <v>101.74699195171026</v>
          </cell>
          <cell r="I115">
            <v>118.02651066398388</v>
          </cell>
          <cell r="J115">
            <v>202273.02</v>
          </cell>
          <cell r="K115">
            <v>234636.70319999996</v>
          </cell>
          <cell r="L115" t="str">
            <v>PRESION</v>
          </cell>
        </row>
        <row r="116">
          <cell r="A116" t="str">
            <v>21EF04A</v>
          </cell>
          <cell r="B116">
            <v>44224</v>
          </cell>
          <cell r="C116">
            <v>44226</v>
          </cell>
          <cell r="D116" t="str">
            <v>HAINING LEBRIA E
BUSINESS CO.</v>
          </cell>
          <cell r="E116" t="str">
            <v>EMMA</v>
          </cell>
          <cell r="F116" t="str">
            <v>ANI-EXT-PLA-3/4-N</v>
          </cell>
          <cell r="G116">
            <v>1361</v>
          </cell>
          <cell r="H116">
            <v>1.05</v>
          </cell>
          <cell r="I116">
            <v>1.218</v>
          </cell>
          <cell r="J116">
            <v>1429.05</v>
          </cell>
          <cell r="K116">
            <v>1657.6979999999999</v>
          </cell>
          <cell r="L116" t="str">
            <v>GRAVEDAD</v>
          </cell>
        </row>
        <row r="117">
          <cell r="A117" t="str">
            <v>21EF04A</v>
          </cell>
          <cell r="B117">
            <v>44224</v>
          </cell>
          <cell r="C117">
            <v>44226</v>
          </cell>
          <cell r="D117" t="str">
            <v>HAINING LEBRIA E
BUSINESS CO.</v>
          </cell>
          <cell r="E117" t="str">
            <v>EMMA</v>
          </cell>
          <cell r="F117" t="str">
            <v>MOULD-1</v>
          </cell>
          <cell r="G117">
            <v>1</v>
          </cell>
          <cell r="H117">
            <v>15342.58</v>
          </cell>
          <cell r="I117">
            <v>17797.392799999998</v>
          </cell>
          <cell r="J117">
            <v>15342.58</v>
          </cell>
          <cell r="K117">
            <v>17797.392799999998</v>
          </cell>
          <cell r="L117" t="str">
            <v>REFACCION</v>
          </cell>
        </row>
        <row r="118">
          <cell r="A118" t="str">
            <v>21EF04A</v>
          </cell>
          <cell r="B118">
            <v>44224</v>
          </cell>
          <cell r="C118">
            <v>44226</v>
          </cell>
          <cell r="D118" t="str">
            <v>HAINING LEBRIA E
BUSINESS CO.</v>
          </cell>
          <cell r="E118" t="str">
            <v>EMMA</v>
          </cell>
          <cell r="F118" t="str">
            <v>MOULD-1/2-3/4</v>
          </cell>
          <cell r="G118">
            <v>2</v>
          </cell>
          <cell r="H118">
            <v>3145.97</v>
          </cell>
          <cell r="I118">
            <v>3649.3251999999993</v>
          </cell>
          <cell r="J118">
            <v>6291.94</v>
          </cell>
          <cell r="K118">
            <v>7298.6503999999986</v>
          </cell>
          <cell r="L118" t="str">
            <v>REFACCION</v>
          </cell>
        </row>
        <row r="119">
          <cell r="A119" t="str">
            <v>21EF04A</v>
          </cell>
          <cell r="B119">
            <v>44224</v>
          </cell>
          <cell r="C119">
            <v>44226</v>
          </cell>
          <cell r="D119" t="str">
            <v>HAINING LEBRIA E
BUSINESS CO.</v>
          </cell>
          <cell r="E119" t="str">
            <v>EMMA</v>
          </cell>
          <cell r="F119" t="str">
            <v>MOULD-58-TUBES</v>
          </cell>
          <cell r="G119">
            <v>1</v>
          </cell>
          <cell r="H119">
            <v>11301.57</v>
          </cell>
          <cell r="I119">
            <v>13109.821199999998</v>
          </cell>
          <cell r="J119">
            <v>11301.57</v>
          </cell>
          <cell r="K119">
            <v>13109.821199999998</v>
          </cell>
          <cell r="L119" t="str">
            <v>REFACCION</v>
          </cell>
        </row>
        <row r="120">
          <cell r="A120" t="str">
            <v>21EF04A</v>
          </cell>
          <cell r="B120">
            <v>44224</v>
          </cell>
          <cell r="C120">
            <v>44226</v>
          </cell>
          <cell r="D120" t="str">
            <v>HAINING LEBRIA E
BUSINESS CO.</v>
          </cell>
          <cell r="E120" t="str">
            <v>EMMA</v>
          </cell>
          <cell r="F120" t="str">
            <v>SOP-SUJ-TUB-PRE-AP</v>
          </cell>
          <cell r="G120">
            <v>41607</v>
          </cell>
          <cell r="H120">
            <v>2.84</v>
          </cell>
          <cell r="I120">
            <v>3.2943999999999996</v>
          </cell>
          <cell r="J120">
            <v>118163.87999999999</v>
          </cell>
          <cell r="K120">
            <v>137070.10079999999</v>
          </cell>
          <cell r="L120" t="str">
            <v>PRESION</v>
          </cell>
        </row>
        <row r="121">
          <cell r="A121" t="str">
            <v>21EF04A</v>
          </cell>
          <cell r="B121">
            <v>44224</v>
          </cell>
          <cell r="C121">
            <v>44226</v>
          </cell>
          <cell r="D121" t="str">
            <v>HAINING LEBRIA E
BUSINESS CO.</v>
          </cell>
          <cell r="E121" t="str">
            <v>EMMA</v>
          </cell>
          <cell r="F121" t="str">
            <v>TAC-EXT-430-BA-0.31</v>
          </cell>
          <cell r="G121">
            <v>1150</v>
          </cell>
          <cell r="H121">
            <v>34.35</v>
          </cell>
          <cell r="I121">
            <v>39.845999999999997</v>
          </cell>
          <cell r="J121">
            <v>39502.5</v>
          </cell>
          <cell r="K121">
            <v>45822.899999999994</v>
          </cell>
          <cell r="L121" t="str">
            <v>GRAVEDAD</v>
          </cell>
        </row>
        <row r="122">
          <cell r="A122" t="str">
            <v>21EF04A</v>
          </cell>
          <cell r="B122">
            <v>44224</v>
          </cell>
          <cell r="C122">
            <v>44226</v>
          </cell>
          <cell r="D122" t="str">
            <v>HAINING LEBRIA E
BUSINESS CO.</v>
          </cell>
          <cell r="E122" t="str">
            <v>EMMA</v>
          </cell>
          <cell r="F122" t="str">
            <v>TAC-EXT-430-BA-0.31-ERA</v>
          </cell>
          <cell r="G122">
            <v>1380</v>
          </cell>
          <cell r="H122">
            <v>34.35</v>
          </cell>
          <cell r="I122">
            <v>39.845999999999997</v>
          </cell>
          <cell r="J122">
            <v>47403</v>
          </cell>
          <cell r="K122">
            <v>54987.479999999996</v>
          </cell>
          <cell r="L122" t="str">
            <v>GRAVEDAD</v>
          </cell>
        </row>
        <row r="123">
          <cell r="A123" t="str">
            <v>21EF04A</v>
          </cell>
          <cell r="B123">
            <v>44224</v>
          </cell>
          <cell r="C123">
            <v>44226</v>
          </cell>
          <cell r="D123" t="str">
            <v>HAINING LEBRIA E
BUSINESS CO.</v>
          </cell>
          <cell r="E123" t="str">
            <v>EMMA</v>
          </cell>
          <cell r="F123" t="str">
            <v>TAC-INT-304-2B-0.41</v>
          </cell>
          <cell r="G123">
            <v>4252</v>
          </cell>
          <cell r="H123">
            <v>28.39</v>
          </cell>
          <cell r="I123">
            <v>32.932400000000001</v>
          </cell>
          <cell r="J123">
            <v>120714.28</v>
          </cell>
          <cell r="K123">
            <v>140028.56479999999</v>
          </cell>
          <cell r="L123" t="str">
            <v>GRAVEDAD</v>
          </cell>
        </row>
        <row r="124">
          <cell r="A124" t="str">
            <v>21EF04A</v>
          </cell>
          <cell r="B124">
            <v>44224</v>
          </cell>
          <cell r="C124">
            <v>44226</v>
          </cell>
          <cell r="D124" t="str">
            <v>HAINING LEBRIA E
BUSINESS CO.</v>
          </cell>
          <cell r="E124" t="str">
            <v>EMMA</v>
          </cell>
          <cell r="F124" t="str">
            <v>TAP-EXT-GAL-0.40X500-AP</v>
          </cell>
          <cell r="G124">
            <v>2050</v>
          </cell>
          <cell r="H124">
            <v>35.049999999999997</v>
          </cell>
          <cell r="I124">
            <v>40.657999999999994</v>
          </cell>
          <cell r="J124">
            <v>71852.5</v>
          </cell>
          <cell r="K124">
            <v>83348.899999999994</v>
          </cell>
          <cell r="L124" t="str">
            <v>PRESION</v>
          </cell>
        </row>
        <row r="125">
          <cell r="A125" t="str">
            <v>21EF04A</v>
          </cell>
          <cell r="B125">
            <v>44224</v>
          </cell>
          <cell r="C125">
            <v>44226</v>
          </cell>
          <cell r="D125" t="str">
            <v>HAINING LEBRIA E
BUSINESS CO.</v>
          </cell>
          <cell r="E125" t="str">
            <v>EMMA</v>
          </cell>
          <cell r="F125" t="str">
            <v>TAP-INT-304-2B-1X420-AP</v>
          </cell>
          <cell r="G125">
            <v>2012</v>
          </cell>
          <cell r="H125">
            <v>105.14</v>
          </cell>
          <cell r="I125">
            <v>121.96239999999999</v>
          </cell>
          <cell r="J125">
            <v>211541.68</v>
          </cell>
          <cell r="K125">
            <v>245388.34879999998</v>
          </cell>
          <cell r="L125" t="str">
            <v>PRESION</v>
          </cell>
        </row>
        <row r="126">
          <cell r="A126" t="str">
            <v>21EF04A</v>
          </cell>
          <cell r="B126">
            <v>44224</v>
          </cell>
          <cell r="C126">
            <v>44226</v>
          </cell>
          <cell r="D126" t="str">
            <v>HAINING LEBRIA E
BUSINESS CO.</v>
          </cell>
          <cell r="E126" t="str">
            <v>EMMA</v>
          </cell>
          <cell r="F126" t="str">
            <v>UNI-EMP-CEN</v>
          </cell>
          <cell r="G126">
            <v>350</v>
          </cell>
          <cell r="H126">
            <v>2.58</v>
          </cell>
          <cell r="I126">
            <v>2.9927999999999999</v>
          </cell>
          <cell r="J126">
            <v>903</v>
          </cell>
          <cell r="K126">
            <v>1047.48</v>
          </cell>
          <cell r="L126" t="str">
            <v>GRAVEDAD</v>
          </cell>
        </row>
        <row r="127">
          <cell r="A127" t="str">
            <v>21EF04A</v>
          </cell>
          <cell r="B127">
            <v>44224</v>
          </cell>
          <cell r="C127">
            <v>44226</v>
          </cell>
          <cell r="D127" t="str">
            <v>HAINING LEBRIA E
BUSINESS CO.</v>
          </cell>
          <cell r="E127" t="str">
            <v>EMMA</v>
          </cell>
          <cell r="F127" t="str">
            <v>UNI-EMP-LAT-500MM</v>
          </cell>
          <cell r="G127">
            <v>280</v>
          </cell>
          <cell r="H127">
            <v>3.63</v>
          </cell>
          <cell r="I127">
            <v>4.2107999999999999</v>
          </cell>
          <cell r="J127">
            <v>1016.4</v>
          </cell>
          <cell r="K127">
            <v>1179.0239999999999</v>
          </cell>
          <cell r="L127" t="str">
            <v>PRESION</v>
          </cell>
        </row>
        <row r="128">
          <cell r="A128" t="str">
            <v>21EF04B</v>
          </cell>
          <cell r="B128">
            <v>44204</v>
          </cell>
          <cell r="C128">
            <v>44226</v>
          </cell>
          <cell r="D128" t="str">
            <v>HAINING LEBRIA E
BUSINESS CO.</v>
          </cell>
          <cell r="E128" t="str">
            <v>EMMA</v>
          </cell>
          <cell r="F128" t="str">
            <v>ANI-EXT-PLA-3/4-AZUL</v>
          </cell>
          <cell r="G128">
            <v>8635</v>
          </cell>
          <cell r="H128">
            <v>1.03</v>
          </cell>
          <cell r="I128">
            <v>1.1947999999999999</v>
          </cell>
          <cell r="J128">
            <v>8894.0500000000011</v>
          </cell>
          <cell r="K128">
            <v>10317.097999999998</v>
          </cell>
          <cell r="L128" t="str">
            <v>GRAVEDAD</v>
          </cell>
        </row>
        <row r="129">
          <cell r="A129" t="str">
            <v>21EF04B</v>
          </cell>
          <cell r="B129">
            <v>44204</v>
          </cell>
          <cell r="C129">
            <v>44226</v>
          </cell>
          <cell r="D129" t="str">
            <v>HAINING LEBRIA E
BUSINESS CO.</v>
          </cell>
          <cell r="E129" t="str">
            <v>EMMA</v>
          </cell>
          <cell r="F129" t="str">
            <v>ANI-EXT-PLA-3/4-N</v>
          </cell>
          <cell r="G129">
            <v>7702</v>
          </cell>
          <cell r="H129">
            <v>1.03</v>
          </cell>
          <cell r="I129">
            <v>1.1947999999999999</v>
          </cell>
          <cell r="J129">
            <v>7933.06</v>
          </cell>
          <cell r="K129">
            <v>9202.3495999999996</v>
          </cell>
          <cell r="L129" t="str">
            <v>GRAVEDAD</v>
          </cell>
        </row>
        <row r="130">
          <cell r="A130" t="str">
            <v>21EF04B</v>
          </cell>
          <cell r="B130">
            <v>44204</v>
          </cell>
          <cell r="C130">
            <v>44226</v>
          </cell>
          <cell r="D130" t="str">
            <v>HAINING LEBRIA E
BUSINESS CO.</v>
          </cell>
          <cell r="E130" t="str">
            <v>EMMA</v>
          </cell>
          <cell r="F130" t="str">
            <v>ANI-EXT-PLA-3/4-R</v>
          </cell>
          <cell r="G130">
            <v>7702</v>
          </cell>
          <cell r="H130">
            <v>1.03</v>
          </cell>
          <cell r="I130">
            <v>1.1947999999999999</v>
          </cell>
          <cell r="J130">
            <v>7933.06</v>
          </cell>
          <cell r="K130">
            <v>9202.3495999999996</v>
          </cell>
          <cell r="L130" t="str">
            <v>GRAVEDAD</v>
          </cell>
        </row>
        <row r="131">
          <cell r="A131" t="str">
            <v>21EF04B</v>
          </cell>
          <cell r="B131">
            <v>44204</v>
          </cell>
          <cell r="C131">
            <v>44226</v>
          </cell>
          <cell r="D131" t="str">
            <v>HAINING LEBRIA E
BUSINESS CO.</v>
          </cell>
          <cell r="E131" t="str">
            <v>EMMA</v>
          </cell>
          <cell r="F131" t="str">
            <v>BAR-INT-M-3/4X300</v>
          </cell>
          <cell r="G131">
            <v>7907</v>
          </cell>
          <cell r="H131">
            <v>25.54</v>
          </cell>
          <cell r="I131">
            <v>29.626399999999997</v>
          </cell>
          <cell r="J131">
            <v>201944.78</v>
          </cell>
          <cell r="K131">
            <v>234255.94479999997</v>
          </cell>
          <cell r="L131" t="str">
            <v>GRAVEDAD</v>
          </cell>
        </row>
        <row r="132">
          <cell r="A132" t="str">
            <v>21EF04B</v>
          </cell>
          <cell r="B132">
            <v>44204</v>
          </cell>
          <cell r="C132">
            <v>44226</v>
          </cell>
          <cell r="D132" t="str">
            <v>HAINING LEBRIA E
BUSINESS CO.</v>
          </cell>
          <cell r="E132" t="str">
            <v>EMMA</v>
          </cell>
          <cell r="F132" t="str">
            <v>BOL-EMP-PE</v>
          </cell>
          <cell r="G132">
            <v>178.4</v>
          </cell>
          <cell r="H132">
            <v>37.24</v>
          </cell>
          <cell r="I132">
            <v>43.198399999999999</v>
          </cell>
          <cell r="J132">
            <v>6643.6160000000009</v>
          </cell>
          <cell r="K132">
            <v>7706.5945600000005</v>
          </cell>
          <cell r="L132" t="str">
            <v>GRAVEDAD</v>
          </cell>
        </row>
        <row r="133">
          <cell r="A133" t="str">
            <v>21EF04B</v>
          </cell>
          <cell r="B133">
            <v>44204</v>
          </cell>
          <cell r="C133">
            <v>44226</v>
          </cell>
          <cell r="D133" t="str">
            <v>HAINING LEBRIA E
BUSINESS CO.</v>
          </cell>
          <cell r="E133" t="str">
            <v>EMMA</v>
          </cell>
          <cell r="F133" t="str">
            <v>PEL-EMP</v>
          </cell>
          <cell r="G133">
            <v>280</v>
          </cell>
          <cell r="H133">
            <v>73.66</v>
          </cell>
          <cell r="I133">
            <v>85.445599999999985</v>
          </cell>
          <cell r="J133">
            <v>20624.8</v>
          </cell>
          <cell r="K133">
            <v>23924.767999999996</v>
          </cell>
          <cell r="L133" t="str">
            <v>GRAVEDAD</v>
          </cell>
        </row>
        <row r="134">
          <cell r="A134" t="str">
            <v>21EF04B</v>
          </cell>
          <cell r="B134">
            <v>44204</v>
          </cell>
          <cell r="C134">
            <v>44226</v>
          </cell>
          <cell r="D134" t="str">
            <v>HAINING LEBRIA E
BUSINESS CO.</v>
          </cell>
          <cell r="E134" t="str">
            <v>EMMA</v>
          </cell>
          <cell r="F134" t="str">
            <v>POL-AIS</v>
          </cell>
          <cell r="G134">
            <v>6160</v>
          </cell>
          <cell r="H134">
            <v>57.13</v>
          </cell>
          <cell r="I134">
            <v>66.270799999999994</v>
          </cell>
          <cell r="J134">
            <v>351920.8</v>
          </cell>
          <cell r="K134">
            <v>408228.12799999997</v>
          </cell>
          <cell r="L134" t="str">
            <v>PRESION / GRAVEDAD</v>
          </cell>
        </row>
        <row r="135">
          <cell r="A135" t="str">
            <v>21EF05</v>
          </cell>
          <cell r="B135">
            <v>44230</v>
          </cell>
          <cell r="C135">
            <v>44232</v>
          </cell>
          <cell r="D135" t="str">
            <v>HAINING LEBRIA E
BUSINESS CO.</v>
          </cell>
          <cell r="E135" t="str">
            <v>EMMA</v>
          </cell>
          <cell r="F135" t="str">
            <v>ANI-ACC-PLA-58</v>
          </cell>
          <cell r="G135">
            <v>48373</v>
          </cell>
          <cell r="H135">
            <v>0.38690219750687366</v>
          </cell>
          <cell r="I135">
            <v>0.44880654910797341</v>
          </cell>
          <cell r="J135">
            <v>18715.62</v>
          </cell>
          <cell r="K135">
            <v>21710.119199999997</v>
          </cell>
          <cell r="L135" t="str">
            <v>GRAVEDAD</v>
          </cell>
        </row>
        <row r="136">
          <cell r="A136" t="str">
            <v>21EF05</v>
          </cell>
          <cell r="B136">
            <v>44230</v>
          </cell>
          <cell r="C136">
            <v>44232</v>
          </cell>
          <cell r="D136" t="str">
            <v>HAINING LEBRIA E
BUSINESS CO.</v>
          </cell>
          <cell r="E136" t="str">
            <v>EMMA</v>
          </cell>
          <cell r="F136" t="str">
            <v>BAR-M-1X360-AP</v>
          </cell>
          <cell r="G136">
            <v>3508</v>
          </cell>
          <cell r="H136">
            <v>52.563061573546179</v>
          </cell>
          <cell r="I136">
            <v>60.97315142531356</v>
          </cell>
          <cell r="J136">
            <v>184391.22</v>
          </cell>
          <cell r="K136">
            <v>213893.81519999998</v>
          </cell>
          <cell r="L136" t="str">
            <v>PRESION</v>
          </cell>
        </row>
        <row r="137">
          <cell r="A137" t="str">
            <v>21EF05</v>
          </cell>
          <cell r="B137">
            <v>44230</v>
          </cell>
          <cell r="C137">
            <v>44232</v>
          </cell>
          <cell r="D137" t="str">
            <v>HAINING LEBRIA E
BUSINESS CO.</v>
          </cell>
          <cell r="E137" t="str">
            <v>EMMA</v>
          </cell>
          <cell r="F137" t="str">
            <v>CAS-INT-COB-75-AP</v>
          </cell>
          <cell r="G137">
            <v>10000</v>
          </cell>
          <cell r="H137">
            <v>6.0126470000000003</v>
          </cell>
          <cell r="I137">
            <v>6.9746705200000001</v>
          </cell>
          <cell r="J137">
            <v>60126.47</v>
          </cell>
          <cell r="K137">
            <v>69746.705199999997</v>
          </cell>
          <cell r="L137" t="str">
            <v>PRESION</v>
          </cell>
        </row>
        <row r="138">
          <cell r="A138" t="str">
            <v>21EF05</v>
          </cell>
          <cell r="B138">
            <v>44230</v>
          </cell>
          <cell r="C138">
            <v>44232</v>
          </cell>
          <cell r="D138" t="str">
            <v>HAINING LEBRIA E
BUSINESS CO.</v>
          </cell>
          <cell r="E138" t="str">
            <v>EMMA</v>
          </cell>
          <cell r="F138" t="str">
            <v>EMP-ACC-SIL-58</v>
          </cell>
          <cell r="G138">
            <v>47107</v>
          </cell>
          <cell r="H138">
            <v>1.792028785530813</v>
          </cell>
          <cell r="I138">
            <v>2.0787533912157428</v>
          </cell>
          <cell r="J138">
            <v>84417.1</v>
          </cell>
          <cell r="K138">
            <v>97923.835999999996</v>
          </cell>
          <cell r="L138" t="str">
            <v>GRAVEDAD</v>
          </cell>
        </row>
        <row r="139">
          <cell r="A139" t="str">
            <v>21EF05</v>
          </cell>
          <cell r="B139">
            <v>44230</v>
          </cell>
          <cell r="C139">
            <v>44232</v>
          </cell>
          <cell r="D139" t="str">
            <v>HAINING LEBRIA E
BUSINESS CO.</v>
          </cell>
          <cell r="E139" t="str">
            <v>EMMA</v>
          </cell>
          <cell r="F139" t="str">
            <v>MOL-MAQ-PER-1/2-R</v>
          </cell>
          <cell r="G139">
            <v>1</v>
          </cell>
          <cell r="H139">
            <v>7352.39</v>
          </cell>
          <cell r="I139">
            <v>8528.7723999999998</v>
          </cell>
          <cell r="J139">
            <v>7352.39</v>
          </cell>
          <cell r="K139">
            <v>8528.7723999999998</v>
          </cell>
          <cell r="L139" t="str">
            <v>REFACCION</v>
          </cell>
        </row>
        <row r="140">
          <cell r="A140" t="str">
            <v>21EF05</v>
          </cell>
          <cell r="B140">
            <v>44230</v>
          </cell>
          <cell r="C140">
            <v>44232</v>
          </cell>
          <cell r="D140" t="str">
            <v>HAINING LEBRIA E
BUSINESS CO.</v>
          </cell>
          <cell r="E140" t="str">
            <v>EMMA</v>
          </cell>
          <cell r="F140" t="str">
            <v>MOL-MAQ-PER-1-R</v>
          </cell>
          <cell r="G140">
            <v>1</v>
          </cell>
          <cell r="H140">
            <v>7352.39</v>
          </cell>
          <cell r="I140">
            <v>8528.7723999999998</v>
          </cell>
          <cell r="J140">
            <v>7352.39</v>
          </cell>
          <cell r="K140">
            <v>8528.7723999999998</v>
          </cell>
          <cell r="L140" t="str">
            <v>REFACCION</v>
          </cell>
        </row>
        <row r="141">
          <cell r="A141" t="str">
            <v>21EF05</v>
          </cell>
          <cell r="B141">
            <v>44230</v>
          </cell>
          <cell r="C141">
            <v>44232</v>
          </cell>
          <cell r="D141" t="str">
            <v>HAINING LEBRIA E
BUSINESS CO.</v>
          </cell>
          <cell r="E141" t="str">
            <v>EMMA</v>
          </cell>
          <cell r="F141" t="str">
            <v>MOL-MAQ-PER-3/4-R</v>
          </cell>
          <cell r="G141">
            <v>1</v>
          </cell>
          <cell r="H141">
            <v>7352.39</v>
          </cell>
          <cell r="I141">
            <v>8528.7723999999998</v>
          </cell>
          <cell r="J141">
            <v>7352.39</v>
          </cell>
          <cell r="K141">
            <v>8528.7723999999998</v>
          </cell>
          <cell r="L141" t="str">
            <v>REFACCION</v>
          </cell>
        </row>
        <row r="142">
          <cell r="A142" t="str">
            <v>21EF05</v>
          </cell>
          <cell r="B142">
            <v>44230</v>
          </cell>
          <cell r="C142">
            <v>44232</v>
          </cell>
          <cell r="D142" t="str">
            <v>HAINING LEBRIA E
BUSINESS CO.</v>
          </cell>
          <cell r="E142" t="str">
            <v>EMMA</v>
          </cell>
          <cell r="F142" t="str">
            <v>NI-1ROS-H-304-1/2X19-C-AP</v>
          </cell>
          <cell r="G142">
            <v>10000</v>
          </cell>
          <cell r="H142">
            <v>6.2340550000000006</v>
          </cell>
          <cell r="I142">
            <v>7.2315038000000005</v>
          </cell>
          <cell r="J142">
            <v>62340.55</v>
          </cell>
          <cell r="K142">
            <v>72315.038</v>
          </cell>
          <cell r="L142" t="str">
            <v>PRESION</v>
          </cell>
        </row>
        <row r="143">
          <cell r="A143" t="str">
            <v>21EF05</v>
          </cell>
          <cell r="B143">
            <v>44230</v>
          </cell>
          <cell r="C143">
            <v>44232</v>
          </cell>
          <cell r="D143" t="str">
            <v>HAINING LEBRIA E
BUSINESS CO.</v>
          </cell>
          <cell r="E143" t="str">
            <v>EMMA</v>
          </cell>
          <cell r="F143" t="str">
            <v>NI-1ROS-H-304-1/2X45-VA-AP</v>
          </cell>
          <cell r="G143">
            <v>1000</v>
          </cell>
          <cell r="H143">
            <v>8.565290000000001</v>
          </cell>
          <cell r="I143">
            <v>9.9357363999999997</v>
          </cell>
          <cell r="J143">
            <v>8565.2900000000009</v>
          </cell>
          <cell r="K143">
            <v>9935.7363999999998</v>
          </cell>
          <cell r="L143" t="str">
            <v>PRESION</v>
          </cell>
        </row>
        <row r="144">
          <cell r="A144" t="str">
            <v>21EF05</v>
          </cell>
          <cell r="B144">
            <v>44230</v>
          </cell>
          <cell r="C144">
            <v>44232</v>
          </cell>
          <cell r="D144" t="str">
            <v>HAINING LEBRIA E
BUSINESS CO.</v>
          </cell>
          <cell r="E144" t="str">
            <v>EMMA</v>
          </cell>
          <cell r="F144" t="str">
            <v>NI-1ROS-H-304-3/4X45-PT-AP</v>
          </cell>
          <cell r="G144">
            <v>1000</v>
          </cell>
          <cell r="H144">
            <v>12.827950000000001</v>
          </cell>
          <cell r="I144">
            <v>14.880422000000001</v>
          </cell>
          <cell r="J144">
            <v>12827.95</v>
          </cell>
          <cell r="K144">
            <v>14880.422</v>
          </cell>
          <cell r="L144" t="str">
            <v>PRESION</v>
          </cell>
        </row>
        <row r="145">
          <cell r="A145" t="str">
            <v>21EF05</v>
          </cell>
          <cell r="B145">
            <v>44230</v>
          </cell>
          <cell r="C145">
            <v>44232</v>
          </cell>
          <cell r="D145" t="str">
            <v>HAINING LEBRIA E
BUSINESS CO.</v>
          </cell>
          <cell r="E145" t="str">
            <v>EMMA</v>
          </cell>
          <cell r="F145" t="str">
            <v>NI-1ROS-M-304-3/4X400-VAC-AP</v>
          </cell>
          <cell r="G145">
            <v>1000</v>
          </cell>
          <cell r="H145">
            <v>18.54448</v>
          </cell>
          <cell r="I145">
            <v>21.5115968</v>
          </cell>
          <cell r="J145">
            <v>18544.48</v>
          </cell>
          <cell r="K145">
            <v>21511.596799999999</v>
          </cell>
          <cell r="L145" t="str">
            <v>PRESION</v>
          </cell>
        </row>
        <row r="146">
          <cell r="A146" t="str">
            <v>21EF05</v>
          </cell>
          <cell r="B146">
            <v>44230</v>
          </cell>
          <cell r="C146">
            <v>44232</v>
          </cell>
          <cell r="D146" t="str">
            <v>HAINING LEBRIA E
BUSINESS CO.</v>
          </cell>
          <cell r="E146" t="str">
            <v>EMMA</v>
          </cell>
          <cell r="F146" t="str">
            <v>NI-1ROS-M-304-3/4X50-VAF-AP</v>
          </cell>
          <cell r="G146">
            <v>1000</v>
          </cell>
          <cell r="H146">
            <v>7.4852799999999995</v>
          </cell>
          <cell r="I146">
            <v>8.6829247999999986</v>
          </cell>
          <cell r="J146">
            <v>7485.28</v>
          </cell>
          <cell r="K146">
            <v>8682.9247999999989</v>
          </cell>
          <cell r="L146" t="str">
            <v>PRESION</v>
          </cell>
        </row>
        <row r="147">
          <cell r="A147" t="str">
            <v>21EF05</v>
          </cell>
          <cell r="B147">
            <v>44230</v>
          </cell>
          <cell r="C147">
            <v>44232</v>
          </cell>
          <cell r="D147" t="str">
            <v>HAINING LEBRIA E
BUSINESS CO.</v>
          </cell>
          <cell r="E147" t="str">
            <v>EMMA</v>
          </cell>
          <cell r="F147" t="str">
            <v>NI-2ROS-H-304-3/4X40-AC/AF-AP</v>
          </cell>
          <cell r="G147">
            <v>2000</v>
          </cell>
          <cell r="H147">
            <v>12.1211</v>
          </cell>
          <cell r="I147">
            <v>14.060476</v>
          </cell>
          <cell r="J147">
            <v>24242.2</v>
          </cell>
          <cell r="K147">
            <v>28120.951999999997</v>
          </cell>
          <cell r="L147" t="str">
            <v>PRESION</v>
          </cell>
        </row>
        <row r="148">
          <cell r="A148" t="str">
            <v>21EF05</v>
          </cell>
          <cell r="B148">
            <v>44230</v>
          </cell>
          <cell r="C148">
            <v>44232</v>
          </cell>
          <cell r="D148" t="str">
            <v>HAINING LEBRIA E
BUSINESS CO.</v>
          </cell>
          <cell r="E148" t="str">
            <v>EMMA</v>
          </cell>
          <cell r="F148" t="str">
            <v>NI-INT-1ROS-H-304-1-40MM</v>
          </cell>
          <cell r="G148">
            <v>1000</v>
          </cell>
          <cell r="H148">
            <v>17.463849999999997</v>
          </cell>
          <cell r="I148">
            <v>20.258065999999996</v>
          </cell>
          <cell r="J148">
            <v>17463.849999999999</v>
          </cell>
          <cell r="K148">
            <v>20258.065999999995</v>
          </cell>
          <cell r="L148" t="str">
            <v>PRESION</v>
          </cell>
        </row>
        <row r="149">
          <cell r="A149" t="str">
            <v>21EF05</v>
          </cell>
          <cell r="B149">
            <v>44230</v>
          </cell>
          <cell r="C149">
            <v>44232</v>
          </cell>
          <cell r="D149" t="str">
            <v>HAINING LEBRIA E
BUSINESS CO.</v>
          </cell>
          <cell r="E149" t="str">
            <v>EMMA</v>
          </cell>
          <cell r="F149" t="str">
            <v>OPR-COB-M-1/2</v>
          </cell>
          <cell r="G149">
            <v>10000</v>
          </cell>
          <cell r="H149">
            <v>7.2641570000000009</v>
          </cell>
          <cell r="I149">
            <v>8.4264221199999998</v>
          </cell>
          <cell r="J149">
            <v>72641.570000000007</v>
          </cell>
          <cell r="K149">
            <v>84264.2212</v>
          </cell>
          <cell r="L149" t="str">
            <v>PRESION</v>
          </cell>
        </row>
        <row r="150">
          <cell r="A150" t="str">
            <v>21EF05</v>
          </cell>
          <cell r="B150">
            <v>44230</v>
          </cell>
          <cell r="C150">
            <v>44232</v>
          </cell>
          <cell r="D150" t="str">
            <v>HAINING LEBRIA E
BUSINESS CO.</v>
          </cell>
          <cell r="E150" t="str">
            <v>EMMA</v>
          </cell>
          <cell r="F150" t="str">
            <v>TAC-EXT-430-BA-0.31</v>
          </cell>
          <cell r="G150">
            <v>2300</v>
          </cell>
          <cell r="H150">
            <v>36.364834782608696</v>
          </cell>
          <cell r="I150">
            <v>42.183208347826081</v>
          </cell>
          <cell r="J150">
            <v>83639.12</v>
          </cell>
          <cell r="K150">
            <v>97021.379199999981</v>
          </cell>
          <cell r="L150" t="str">
            <v>GRAVEDAD</v>
          </cell>
        </row>
        <row r="151">
          <cell r="A151" t="str">
            <v>21EF05</v>
          </cell>
          <cell r="B151">
            <v>44230</v>
          </cell>
          <cell r="C151">
            <v>44232</v>
          </cell>
          <cell r="D151" t="str">
            <v>HAINING LEBRIA E
BUSINESS CO.</v>
          </cell>
          <cell r="E151" t="str">
            <v>EMMA</v>
          </cell>
          <cell r="F151" t="str">
            <v>TAC-EXT-430-BA-0.31-ERA</v>
          </cell>
          <cell r="G151">
            <v>2820</v>
          </cell>
          <cell r="H151">
            <v>34.945549645390066</v>
          </cell>
          <cell r="I151">
            <v>40.536837588652475</v>
          </cell>
          <cell r="J151">
            <v>98546.449999999983</v>
          </cell>
          <cell r="K151">
            <v>114313.88199999998</v>
          </cell>
          <cell r="L151" t="str">
            <v>GRAVEDAD</v>
          </cell>
        </row>
        <row r="152">
          <cell r="A152" t="str">
            <v>21EF05</v>
          </cell>
          <cell r="B152">
            <v>44230</v>
          </cell>
          <cell r="C152">
            <v>44232</v>
          </cell>
          <cell r="D152" t="str">
            <v>HAINING LEBRIA E
BUSINESS CO.</v>
          </cell>
          <cell r="E152" t="str">
            <v>EMMA</v>
          </cell>
          <cell r="F152" t="str">
            <v>TAP-EXT-GAL-0.40X500-AP</v>
          </cell>
          <cell r="G152">
            <v>2442</v>
          </cell>
          <cell r="H152">
            <v>35.652870597870596</v>
          </cell>
          <cell r="I152">
            <v>41.357329893529887</v>
          </cell>
          <cell r="J152">
            <v>87064.31</v>
          </cell>
          <cell r="K152">
            <v>100994.59959999999</v>
          </cell>
          <cell r="L152" t="str">
            <v>PRESION</v>
          </cell>
        </row>
        <row r="153">
          <cell r="A153" t="str">
            <v>21EF05</v>
          </cell>
          <cell r="B153">
            <v>44230</v>
          </cell>
          <cell r="C153">
            <v>44232</v>
          </cell>
          <cell r="D153" t="str">
            <v>HAINING LEBRIA E
BUSINESS CO.</v>
          </cell>
          <cell r="E153" t="str">
            <v>EMMA</v>
          </cell>
          <cell r="F153" t="str">
            <v>TAP-INT-304-2B-1X420-AP</v>
          </cell>
          <cell r="G153">
            <v>2570</v>
          </cell>
          <cell r="H153">
            <v>106.96854863813229</v>
          </cell>
          <cell r="I153">
            <v>124.08351642023345</v>
          </cell>
          <cell r="J153">
            <v>274909.17</v>
          </cell>
          <cell r="K153">
            <v>318894.6372</v>
          </cell>
          <cell r="L153" t="str">
            <v>PRESION</v>
          </cell>
        </row>
        <row r="154">
          <cell r="A154" t="str">
            <v>21EF06</v>
          </cell>
          <cell r="B154">
            <v>44250</v>
          </cell>
          <cell r="C154">
            <v>44256</v>
          </cell>
          <cell r="D154" t="str">
            <v>HAINING LEBRIA E
BUSINESS CO.</v>
          </cell>
          <cell r="E154" t="str">
            <v>EMMA</v>
          </cell>
          <cell r="F154" t="str">
            <v>ANI-ACC-PLA-58</v>
          </cell>
          <cell r="G154">
            <v>132660</v>
          </cell>
          <cell r="H154">
            <v>0.3724708276797829</v>
          </cell>
          <cell r="I154">
            <v>0.43206616010854815</v>
          </cell>
          <cell r="J154">
            <v>49411.98</v>
          </cell>
          <cell r="K154">
            <v>57317.896799999995</v>
          </cell>
          <cell r="L154" t="str">
            <v>GRAVEDAD</v>
          </cell>
        </row>
        <row r="155">
          <cell r="A155" t="str">
            <v>21EF06</v>
          </cell>
          <cell r="B155">
            <v>44250</v>
          </cell>
          <cell r="C155">
            <v>44256</v>
          </cell>
          <cell r="D155" t="str">
            <v>HAINING LEBRIA E
BUSINESS CO.</v>
          </cell>
          <cell r="E155" t="str">
            <v>EMMA</v>
          </cell>
          <cell r="F155" t="str">
            <v>ANI-EXT-PLA-3/4-N-AP</v>
          </cell>
          <cell r="G155">
            <v>5655</v>
          </cell>
          <cell r="H155">
            <v>1.1004137931034483</v>
          </cell>
          <cell r="I155">
            <v>1.2764800000000001</v>
          </cell>
          <cell r="J155">
            <v>6222.84</v>
          </cell>
          <cell r="K155">
            <v>7218.4944000000005</v>
          </cell>
          <cell r="L155" t="str">
            <v>GRAVEDAD</v>
          </cell>
        </row>
        <row r="156">
          <cell r="A156" t="str">
            <v>21EF06</v>
          </cell>
          <cell r="B156">
            <v>44250</v>
          </cell>
          <cell r="C156">
            <v>44256</v>
          </cell>
          <cell r="D156" t="str">
            <v>HAINING LEBRIA E
BUSINESS CO.</v>
          </cell>
          <cell r="E156" t="str">
            <v>EMMA</v>
          </cell>
          <cell r="F156" t="str">
            <v>ANI-HEX-SIL-1/2X22-AP</v>
          </cell>
          <cell r="G156">
            <v>67860</v>
          </cell>
          <cell r="H156">
            <v>0.89199646330680804</v>
          </cell>
          <cell r="I156">
            <v>1.0347158974358972</v>
          </cell>
          <cell r="J156">
            <v>60530.87999999999</v>
          </cell>
          <cell r="K156">
            <v>70215.820799999987</v>
          </cell>
          <cell r="L156" t="str">
            <v>PRESION</v>
          </cell>
        </row>
        <row r="157">
          <cell r="A157" t="str">
            <v>21EF06</v>
          </cell>
          <cell r="B157">
            <v>44250</v>
          </cell>
          <cell r="C157">
            <v>44256</v>
          </cell>
          <cell r="D157" t="str">
            <v>HAINING LEBRIA E
BUSINESS CO.</v>
          </cell>
          <cell r="E157" t="str">
            <v>EMMA</v>
          </cell>
          <cell r="F157" t="str">
            <v>ANI-PLA-1/2-N-AP</v>
          </cell>
          <cell r="G157">
            <v>5655</v>
          </cell>
          <cell r="H157">
            <v>1.1004137931034483</v>
          </cell>
          <cell r="I157">
            <v>1.2764800000000001</v>
          </cell>
          <cell r="J157">
            <v>6222.84</v>
          </cell>
          <cell r="K157">
            <v>7218.4944000000005</v>
          </cell>
          <cell r="L157" t="str">
            <v>PRESION</v>
          </cell>
        </row>
        <row r="158">
          <cell r="A158" t="str">
            <v>21EF06</v>
          </cell>
          <cell r="B158">
            <v>44250</v>
          </cell>
          <cell r="C158">
            <v>44256</v>
          </cell>
          <cell r="D158" t="str">
            <v>HAINING LEBRIA E
BUSINESS CO.</v>
          </cell>
          <cell r="E158" t="str">
            <v>EMMA</v>
          </cell>
          <cell r="F158" t="str">
            <v>ANI-PVC-3/4-T-AP</v>
          </cell>
          <cell r="G158">
            <v>11310</v>
          </cell>
          <cell r="H158">
            <v>1.100396109637489</v>
          </cell>
          <cell r="I158">
            <v>1.2764594871794872</v>
          </cell>
          <cell r="J158">
            <v>12445.480000000001</v>
          </cell>
          <cell r="K158">
            <v>14436.756800000001</v>
          </cell>
          <cell r="L158" t="str">
            <v>PRESION</v>
          </cell>
        </row>
        <row r="159">
          <cell r="A159" t="str">
            <v>21EF06</v>
          </cell>
          <cell r="B159">
            <v>44250</v>
          </cell>
          <cell r="C159">
            <v>44256</v>
          </cell>
          <cell r="D159" t="str">
            <v>HAINING LEBRIA E
BUSINESS CO.</v>
          </cell>
          <cell r="E159" t="str">
            <v>EMMA</v>
          </cell>
          <cell r="F159" t="str">
            <v>ANI-PVC-36-A-AF-AP</v>
          </cell>
          <cell r="G159">
            <v>5655</v>
          </cell>
          <cell r="H159">
            <v>0.75480636604774543</v>
          </cell>
          <cell r="I159">
            <v>0.87557538461538464</v>
          </cell>
          <cell r="J159">
            <v>4268.43</v>
          </cell>
          <cell r="K159">
            <v>4951.3788000000004</v>
          </cell>
          <cell r="L159" t="str">
            <v>PRESION</v>
          </cell>
        </row>
        <row r="160">
          <cell r="A160" t="str">
            <v>21EF06</v>
          </cell>
          <cell r="B160">
            <v>44250</v>
          </cell>
          <cell r="C160">
            <v>44256</v>
          </cell>
          <cell r="D160" t="str">
            <v>HAINING LEBRIA E
BUSINESS CO.</v>
          </cell>
          <cell r="E160" t="str">
            <v>EMMA</v>
          </cell>
          <cell r="F160" t="str">
            <v>ANI-PVC-36-R-AC-AP</v>
          </cell>
          <cell r="G160">
            <v>5655</v>
          </cell>
          <cell r="H160">
            <v>0.75480636604774543</v>
          </cell>
          <cell r="I160">
            <v>0.87557538461538464</v>
          </cell>
          <cell r="J160">
            <v>4268.43</v>
          </cell>
          <cell r="K160">
            <v>4951.3788000000004</v>
          </cell>
          <cell r="L160" t="str">
            <v>PRESION</v>
          </cell>
        </row>
        <row r="161">
          <cell r="A161" t="str">
            <v>21EF06</v>
          </cell>
          <cell r="B161">
            <v>44250</v>
          </cell>
          <cell r="C161">
            <v>44256</v>
          </cell>
          <cell r="D161" t="str">
            <v>HAINING LEBRIA E
BUSINESS CO.</v>
          </cell>
          <cell r="E161" t="str">
            <v>EMMA</v>
          </cell>
          <cell r="F161" t="str">
            <v>ANI-PVC-38-B-BM-AP</v>
          </cell>
          <cell r="G161">
            <v>5655</v>
          </cell>
          <cell r="H161">
            <v>0.75480636604774543</v>
          </cell>
          <cell r="I161">
            <v>0.87557538461538464</v>
          </cell>
          <cell r="J161">
            <v>4268.43</v>
          </cell>
          <cell r="K161">
            <v>4951.3788000000004</v>
          </cell>
          <cell r="L161" t="str">
            <v>PRESION</v>
          </cell>
        </row>
        <row r="162">
          <cell r="A162" t="str">
            <v>21EF06</v>
          </cell>
          <cell r="B162">
            <v>44250</v>
          </cell>
          <cell r="C162">
            <v>44256</v>
          </cell>
          <cell r="D162" t="str">
            <v>HAINING LEBRIA E
BUSINESS CO.</v>
          </cell>
          <cell r="E162" t="str">
            <v>EMMA</v>
          </cell>
          <cell r="F162" t="str">
            <v>BAR-M-1X360-AP</v>
          </cell>
          <cell r="G162">
            <v>5655</v>
          </cell>
          <cell r="H162">
            <v>51.477285587975238</v>
          </cell>
          <cell r="I162">
            <v>59.713651282051273</v>
          </cell>
          <cell r="J162">
            <v>291104.05</v>
          </cell>
          <cell r="K162">
            <v>337680.69799999997</v>
          </cell>
          <cell r="L162" t="str">
            <v>PRESION</v>
          </cell>
        </row>
        <row r="163">
          <cell r="A163" t="str">
            <v>21EF06</v>
          </cell>
          <cell r="B163">
            <v>44250</v>
          </cell>
          <cell r="C163">
            <v>44256</v>
          </cell>
          <cell r="D163" t="str">
            <v>HAINING LEBRIA E
BUSINESS CO.</v>
          </cell>
          <cell r="E163" t="str">
            <v>EMMA</v>
          </cell>
          <cell r="F163" t="str">
            <v>CAS-INT-COB-75-AP</v>
          </cell>
          <cell r="G163">
            <v>20000</v>
          </cell>
          <cell r="H163">
            <v>6.4762995000000005</v>
          </cell>
          <cell r="I163">
            <v>7.5125074200000004</v>
          </cell>
          <cell r="J163">
            <v>129525.99</v>
          </cell>
          <cell r="K163">
            <v>150250.14840000001</v>
          </cell>
          <cell r="L163" t="str">
            <v>PRESION</v>
          </cell>
        </row>
        <row r="164">
          <cell r="A164" t="str">
            <v>21EF06</v>
          </cell>
          <cell r="B164">
            <v>44250</v>
          </cell>
          <cell r="C164">
            <v>44256</v>
          </cell>
          <cell r="D164" t="str">
            <v>HAINING LEBRIA E
BUSINESS CO.</v>
          </cell>
          <cell r="E164" t="str">
            <v>EMMA</v>
          </cell>
          <cell r="F164" t="str">
            <v>NI-1ROS-H-304-1/2X19-C-AP</v>
          </cell>
          <cell r="G164">
            <v>20000</v>
          </cell>
          <cell r="H164">
            <v>6.1843525000000001</v>
          </cell>
          <cell r="I164">
            <v>7.1738488999999994</v>
          </cell>
          <cell r="J164">
            <v>123687.05</v>
          </cell>
          <cell r="K164">
            <v>143476.978</v>
          </cell>
          <cell r="L164" t="str">
            <v>PRESION</v>
          </cell>
        </row>
        <row r="165">
          <cell r="A165" t="str">
            <v>21EF06</v>
          </cell>
          <cell r="B165">
            <v>44250</v>
          </cell>
          <cell r="C165">
            <v>44256</v>
          </cell>
          <cell r="D165" t="str">
            <v>HAINING LEBRIA E
BUSINESS CO.</v>
          </cell>
          <cell r="E165" t="str">
            <v>EMMA</v>
          </cell>
          <cell r="F165" t="str">
            <v>NI-1ROS-H-304-1/2X45-VA-AP</v>
          </cell>
          <cell r="G165">
            <v>2000</v>
          </cell>
          <cell r="H165">
            <v>8.2388399999999997</v>
          </cell>
          <cell r="I165">
            <v>9.5570543999999984</v>
          </cell>
          <cell r="J165">
            <v>16477.68</v>
          </cell>
          <cell r="K165">
            <v>19114.108799999998</v>
          </cell>
          <cell r="L165" t="str">
            <v>PRESION</v>
          </cell>
        </row>
        <row r="166">
          <cell r="A166" t="str">
            <v>21EF06</v>
          </cell>
          <cell r="B166">
            <v>44250</v>
          </cell>
          <cell r="C166">
            <v>44256</v>
          </cell>
          <cell r="D166" t="str">
            <v>HAINING LEBRIA E
BUSINESS CO.</v>
          </cell>
          <cell r="E166" t="str">
            <v>EMMA</v>
          </cell>
          <cell r="F166" t="str">
            <v>NI-1ROS-H-304-3/4X45-PT-AP</v>
          </cell>
          <cell r="G166">
            <v>2000</v>
          </cell>
          <cell r="H166">
            <v>12.346674999999999</v>
          </cell>
          <cell r="I166">
            <v>14.322142999999999</v>
          </cell>
          <cell r="J166">
            <v>24693.35</v>
          </cell>
          <cell r="K166">
            <v>28644.285999999996</v>
          </cell>
          <cell r="L166" t="str">
            <v>PRESION</v>
          </cell>
        </row>
        <row r="167">
          <cell r="A167" t="str">
            <v>21EF06</v>
          </cell>
          <cell r="B167">
            <v>44250</v>
          </cell>
          <cell r="C167">
            <v>44256</v>
          </cell>
          <cell r="D167" t="str">
            <v>HAINING LEBRIA E
BUSINESS CO.</v>
          </cell>
          <cell r="E167" t="str">
            <v>EMMA</v>
          </cell>
          <cell r="F167" t="str">
            <v>NI-1ROS-M-304-3/4X400-VAC-AP</v>
          </cell>
          <cell r="G167">
            <v>2000</v>
          </cell>
          <cell r="H167">
            <v>17.842610000000001</v>
          </cell>
          <cell r="I167">
            <v>20.697427599999997</v>
          </cell>
          <cell r="J167">
            <v>35685.22</v>
          </cell>
          <cell r="K167">
            <v>41394.855199999998</v>
          </cell>
          <cell r="L167" t="str">
            <v>PRESION</v>
          </cell>
        </row>
        <row r="168">
          <cell r="A168" t="str">
            <v>21EF06</v>
          </cell>
          <cell r="B168">
            <v>44250</v>
          </cell>
          <cell r="C168">
            <v>44256</v>
          </cell>
          <cell r="D168" t="str">
            <v>HAINING LEBRIA E
BUSINESS CO.</v>
          </cell>
          <cell r="E168" t="str">
            <v>EMMA</v>
          </cell>
          <cell r="F168" t="str">
            <v>NI-1ROS-M-304-3/4X50-VAF-AP</v>
          </cell>
          <cell r="G168">
            <v>2000</v>
          </cell>
          <cell r="H168">
            <v>7.2037849999999999</v>
          </cell>
          <cell r="I168">
            <v>8.3563905999999992</v>
          </cell>
          <cell r="J168">
            <v>14407.57</v>
          </cell>
          <cell r="K168">
            <v>16712.781199999998</v>
          </cell>
          <cell r="L168" t="str">
            <v>PRESION</v>
          </cell>
        </row>
        <row r="169">
          <cell r="A169" t="str">
            <v>21EF06</v>
          </cell>
          <cell r="B169">
            <v>44250</v>
          </cell>
          <cell r="C169">
            <v>44256</v>
          </cell>
          <cell r="D169" t="str">
            <v>HAINING LEBRIA E
BUSINESS CO.</v>
          </cell>
          <cell r="E169" t="str">
            <v>EMMA</v>
          </cell>
          <cell r="F169" t="str">
            <v>NI-2ROS-H-304-3/4X40-AC/AF-AP</v>
          </cell>
          <cell r="G169">
            <v>4000</v>
          </cell>
          <cell r="H169">
            <v>12.384802499999999</v>
          </cell>
          <cell r="I169">
            <v>14.366370899999998</v>
          </cell>
          <cell r="J169">
            <v>49539.21</v>
          </cell>
          <cell r="K169">
            <v>57465.483599999992</v>
          </cell>
          <cell r="L169" t="str">
            <v>PRESION</v>
          </cell>
        </row>
        <row r="170">
          <cell r="A170" t="str">
            <v>21EF06</v>
          </cell>
          <cell r="B170">
            <v>44250</v>
          </cell>
          <cell r="C170">
            <v>44256</v>
          </cell>
          <cell r="D170" t="str">
            <v>HAINING LEBRIA E
BUSINESS CO.</v>
          </cell>
          <cell r="E170" t="str">
            <v>EMMA</v>
          </cell>
          <cell r="F170" t="str">
            <v>NI-INT-1ROS-H-304-1-40MM</v>
          </cell>
          <cell r="G170">
            <v>2000</v>
          </cell>
          <cell r="H170">
            <v>12.699915000000001</v>
          </cell>
          <cell r="I170">
            <v>14.7319014</v>
          </cell>
          <cell r="J170">
            <v>25399.83</v>
          </cell>
          <cell r="K170">
            <v>29463.802800000001</v>
          </cell>
          <cell r="L170" t="str">
            <v>PRESION</v>
          </cell>
        </row>
        <row r="171">
          <cell r="A171" t="str">
            <v>21EF06</v>
          </cell>
          <cell r="B171">
            <v>44250</v>
          </cell>
          <cell r="C171">
            <v>44256</v>
          </cell>
          <cell r="D171" t="str">
            <v>HAINING LEBRIA E
BUSINESS CO.</v>
          </cell>
          <cell r="E171" t="str">
            <v>EMMA</v>
          </cell>
          <cell r="F171" t="str">
            <v>OPR-COB-M-1/2</v>
          </cell>
          <cell r="G171">
            <v>20000</v>
          </cell>
          <cell r="H171">
            <v>6.4858669999999998</v>
          </cell>
          <cell r="I171">
            <v>7.5236057199999991</v>
          </cell>
          <cell r="J171">
            <v>129717.34</v>
          </cell>
          <cell r="K171">
            <v>150472.11439999999</v>
          </cell>
          <cell r="L171" t="str">
            <v>PRESION</v>
          </cell>
        </row>
        <row r="172">
          <cell r="A172" t="str">
            <v>21EF06</v>
          </cell>
          <cell r="B172">
            <v>44250</v>
          </cell>
          <cell r="C172">
            <v>44256</v>
          </cell>
          <cell r="D172" t="str">
            <v>HAINING LEBRIA E
BUSINESS CO.</v>
          </cell>
          <cell r="E172" t="str">
            <v>EMMA</v>
          </cell>
          <cell r="F172" t="str">
            <v>SOP-SUJ-TUB-PRE-AP</v>
          </cell>
          <cell r="G172">
            <v>67860</v>
          </cell>
          <cell r="H172">
            <v>2.7726671087533159</v>
          </cell>
          <cell r="I172">
            <v>3.2162938461538464</v>
          </cell>
          <cell r="J172">
            <v>188153.19000000003</v>
          </cell>
          <cell r="K172">
            <v>218257.70040000003</v>
          </cell>
          <cell r="L172" t="str">
            <v>PRESION</v>
          </cell>
        </row>
        <row r="173">
          <cell r="A173" t="str">
            <v>21EF06</v>
          </cell>
          <cell r="B173">
            <v>44250</v>
          </cell>
          <cell r="C173">
            <v>44256</v>
          </cell>
          <cell r="D173" t="str">
            <v>HAINING LEBRIA E
BUSINESS CO.</v>
          </cell>
          <cell r="E173" t="str">
            <v>EMMA</v>
          </cell>
          <cell r="F173" t="str">
            <v>TAC-EXT-201-BA-0.31</v>
          </cell>
          <cell r="G173">
            <v>3680</v>
          </cell>
          <cell r="H173">
            <v>34.992494565217392</v>
          </cell>
          <cell r="I173">
            <v>40.591293695652169</v>
          </cell>
          <cell r="J173">
            <v>128772.38</v>
          </cell>
          <cell r="K173">
            <v>149375.96079999997</v>
          </cell>
          <cell r="L173" t="str">
            <v>GRAVEDAD</v>
          </cell>
        </row>
        <row r="174">
          <cell r="A174" t="str">
            <v>21EF06</v>
          </cell>
          <cell r="B174">
            <v>44250</v>
          </cell>
          <cell r="C174">
            <v>44256</v>
          </cell>
          <cell r="D174" t="str">
            <v>HAINING LEBRIA E
BUSINESS CO.</v>
          </cell>
          <cell r="E174" t="str">
            <v>EMMA</v>
          </cell>
          <cell r="F174" t="str">
            <v>TAP-INT-304-2B-1X420-AP</v>
          </cell>
          <cell r="G174">
            <v>2926</v>
          </cell>
          <cell r="H174">
            <v>99.504367737525641</v>
          </cell>
          <cell r="I174">
            <v>115.42506657552974</v>
          </cell>
          <cell r="J174">
            <v>291149.78000000003</v>
          </cell>
          <cell r="K174">
            <v>337733.74480000004</v>
          </cell>
          <cell r="L174" t="str">
            <v>PRESION</v>
          </cell>
        </row>
        <row r="175">
          <cell r="A175" t="str">
            <v>21EF06</v>
          </cell>
          <cell r="B175">
            <v>44250</v>
          </cell>
          <cell r="C175">
            <v>44256</v>
          </cell>
          <cell r="D175" t="str">
            <v>HAINING LEBRIA E
BUSINESS CO.</v>
          </cell>
          <cell r="E175" t="str">
            <v>EMMA</v>
          </cell>
          <cell r="F175" t="str">
            <v>TOR-EXT</v>
          </cell>
          <cell r="G175">
            <v>46000</v>
          </cell>
          <cell r="H175">
            <v>1.4598249999999999</v>
          </cell>
          <cell r="I175">
            <v>1.6933969999999998</v>
          </cell>
          <cell r="J175">
            <v>67151.95</v>
          </cell>
          <cell r="K175">
            <v>77896.261999999988</v>
          </cell>
          <cell r="L175" t="str">
            <v>PRESION / GRAVEDAD</v>
          </cell>
        </row>
        <row r="176">
          <cell r="A176" t="str">
            <v>21EF06</v>
          </cell>
          <cell r="B176">
            <v>44250</v>
          </cell>
          <cell r="C176">
            <v>44256</v>
          </cell>
          <cell r="D176" t="str">
            <v>HAINING LEBRIA E
BUSINESS CO.</v>
          </cell>
          <cell r="E176" t="str">
            <v>EMMA</v>
          </cell>
          <cell r="F176" t="str">
            <v>UNI-EMP-ORI</v>
          </cell>
          <cell r="G176">
            <v>440</v>
          </cell>
          <cell r="H176">
            <v>3.8736136363636366</v>
          </cell>
          <cell r="I176">
            <v>4.4933918181818182</v>
          </cell>
          <cell r="J176">
            <v>1704.39</v>
          </cell>
          <cell r="K176">
            <v>1977.0924</v>
          </cell>
          <cell r="L176" t="str">
            <v>GRAVEDAD</v>
          </cell>
        </row>
        <row r="177">
          <cell r="A177" t="str">
            <v>21EF07</v>
          </cell>
          <cell r="B177">
            <v>44247</v>
          </cell>
          <cell r="C177">
            <v>44250</v>
          </cell>
          <cell r="D177" t="str">
            <v>HELIOS POWER LTD</v>
          </cell>
          <cell r="E177" t="str">
            <v>PHILIP</v>
          </cell>
          <cell r="F177" t="str">
            <v>POL-AIS</v>
          </cell>
          <cell r="G177">
            <v>10560</v>
          </cell>
          <cell r="H177">
            <v>58.36</v>
          </cell>
          <cell r="I177">
            <v>67.697599999999994</v>
          </cell>
          <cell r="J177">
            <v>616281.59999999998</v>
          </cell>
          <cell r="K177">
            <v>714886.65599999996</v>
          </cell>
          <cell r="L177" t="str">
            <v>PRESION / GRAVEDAD</v>
          </cell>
        </row>
        <row r="178">
          <cell r="A178" t="str">
            <v>21EF07</v>
          </cell>
          <cell r="B178">
            <v>44247</v>
          </cell>
          <cell r="C178">
            <v>44250</v>
          </cell>
          <cell r="D178" t="str">
            <v>HELIOS POWER LTD</v>
          </cell>
          <cell r="E178" t="str">
            <v>PHILIP</v>
          </cell>
          <cell r="F178" t="str">
            <v>TAP-EXT-GAL-0.40X500-AP</v>
          </cell>
          <cell r="G178">
            <v>6300</v>
          </cell>
          <cell r="H178">
            <v>36.880000000000003</v>
          </cell>
          <cell r="I178">
            <v>42.780799999999999</v>
          </cell>
          <cell r="J178">
            <v>232344.00000000003</v>
          </cell>
          <cell r="K178">
            <v>269519.03999999998</v>
          </cell>
          <cell r="L178" t="str">
            <v>PRESION</v>
          </cell>
        </row>
        <row r="179">
          <cell r="A179" t="str">
            <v>21EF07</v>
          </cell>
          <cell r="B179">
            <v>44247</v>
          </cell>
          <cell r="C179">
            <v>44250</v>
          </cell>
          <cell r="D179" t="str">
            <v>HELIOS POWER LTD</v>
          </cell>
          <cell r="E179" t="str">
            <v>PHILIP</v>
          </cell>
          <cell r="F179" t="str">
            <v>VAL-ANTVAC</v>
          </cell>
          <cell r="G179">
            <v>2000</v>
          </cell>
          <cell r="H179">
            <v>76.64</v>
          </cell>
          <cell r="I179">
            <v>88.9024</v>
          </cell>
          <cell r="J179">
            <v>153280</v>
          </cell>
          <cell r="K179">
            <v>177804.79999999999</v>
          </cell>
          <cell r="L179" t="str">
            <v>PRESION</v>
          </cell>
        </row>
        <row r="180">
          <cell r="A180" t="str">
            <v>21EF07</v>
          </cell>
          <cell r="B180">
            <v>44247</v>
          </cell>
          <cell r="C180">
            <v>44250</v>
          </cell>
          <cell r="D180" t="str">
            <v>HELIOS POWER LTD</v>
          </cell>
          <cell r="E180" t="str">
            <v>PHILIP</v>
          </cell>
          <cell r="F180" t="str">
            <v>VAL-PT-0.77-90C</v>
          </cell>
          <cell r="G180">
            <v>2000</v>
          </cell>
          <cell r="H180">
            <v>128.13999999999999</v>
          </cell>
          <cell r="I180">
            <v>148.64239999999998</v>
          </cell>
          <cell r="J180">
            <v>256279.99999999997</v>
          </cell>
          <cell r="K180">
            <v>297284.8</v>
          </cell>
          <cell r="L180" t="str">
            <v>PRESION</v>
          </cell>
        </row>
        <row r="181">
          <cell r="A181" t="str">
            <v>21EF07</v>
          </cell>
          <cell r="B181">
            <v>44247</v>
          </cell>
          <cell r="C181">
            <v>44250</v>
          </cell>
          <cell r="D181" t="str">
            <v>HELIOS POWER LTD</v>
          </cell>
          <cell r="E181" t="str">
            <v>PHILIP</v>
          </cell>
          <cell r="F181" t="str">
            <v>VA-TAP-COB-1/2-AP</v>
          </cell>
          <cell r="G181">
            <v>5655</v>
          </cell>
          <cell r="H181">
            <v>3.59</v>
          </cell>
          <cell r="I181">
            <v>4.1643999999999997</v>
          </cell>
          <cell r="J181">
            <v>20301.45</v>
          </cell>
          <cell r="K181">
            <v>23549.681999999997</v>
          </cell>
          <cell r="L181" t="str">
            <v>PRESION</v>
          </cell>
        </row>
        <row r="182">
          <cell r="A182" t="str">
            <v>21EF07-1</v>
          </cell>
          <cell r="B182">
            <v>44247</v>
          </cell>
          <cell r="C182">
            <v>44252</v>
          </cell>
          <cell r="D182" t="str">
            <v>HELIOS POWER LTD</v>
          </cell>
          <cell r="E182" t="str">
            <v>PHILIP</v>
          </cell>
          <cell r="F182" t="str">
            <v>TAC-INT-304-2B-0.41</v>
          </cell>
          <cell r="G182">
            <v>5700</v>
          </cell>
          <cell r="H182">
            <v>101.95</v>
          </cell>
          <cell r="I182">
            <v>118.262</v>
          </cell>
          <cell r="J182">
            <v>581115</v>
          </cell>
          <cell r="K182">
            <v>674093.4</v>
          </cell>
          <cell r="L182" t="str">
            <v>GRAVEDAD</v>
          </cell>
        </row>
        <row r="183">
          <cell r="A183" t="str">
            <v>21EF07-1</v>
          </cell>
          <cell r="B183">
            <v>44247</v>
          </cell>
          <cell r="C183">
            <v>44252</v>
          </cell>
          <cell r="D183" t="str">
            <v>HELIOS POWER LTD</v>
          </cell>
          <cell r="E183" t="str">
            <v>PHILIP</v>
          </cell>
          <cell r="F183" t="str">
            <v>TAP-EXT-GAL-0.40X500-AP</v>
          </cell>
          <cell r="G183">
            <v>4500</v>
          </cell>
          <cell r="H183">
            <v>35.76</v>
          </cell>
          <cell r="I183">
            <v>41.481599999999993</v>
          </cell>
          <cell r="J183">
            <v>160920</v>
          </cell>
          <cell r="K183">
            <v>186667.19999999998</v>
          </cell>
          <cell r="L183" t="str">
            <v>PRESION</v>
          </cell>
        </row>
        <row r="184">
          <cell r="A184" t="str">
            <v>21EF07-1</v>
          </cell>
          <cell r="B184">
            <v>44247</v>
          </cell>
          <cell r="C184">
            <v>44252</v>
          </cell>
          <cell r="D184" t="str">
            <v>HELIOS POWER LTD</v>
          </cell>
          <cell r="E184" t="str">
            <v>PHILIP</v>
          </cell>
          <cell r="F184" t="str">
            <v>VAL-ANTVAC</v>
          </cell>
          <cell r="G184">
            <v>3800</v>
          </cell>
          <cell r="H184">
            <v>74.31</v>
          </cell>
          <cell r="I184">
            <v>86.199600000000004</v>
          </cell>
          <cell r="J184">
            <v>282378</v>
          </cell>
          <cell r="K184">
            <v>327558.48000000004</v>
          </cell>
          <cell r="L184" t="str">
            <v>PRESION</v>
          </cell>
        </row>
        <row r="185">
          <cell r="A185" t="str">
            <v>21EF07-1</v>
          </cell>
          <cell r="B185">
            <v>44247</v>
          </cell>
          <cell r="C185">
            <v>44252</v>
          </cell>
          <cell r="D185" t="str">
            <v>HELIOS POWER LTD</v>
          </cell>
          <cell r="E185" t="str">
            <v>PHILIP</v>
          </cell>
          <cell r="F185" t="str">
            <v>VAL-PT-0.77-90C</v>
          </cell>
          <cell r="G185">
            <v>3800</v>
          </cell>
          <cell r="H185">
            <v>124.25</v>
          </cell>
          <cell r="I185">
            <v>144.13</v>
          </cell>
          <cell r="J185">
            <v>472150</v>
          </cell>
          <cell r="K185">
            <v>547694</v>
          </cell>
          <cell r="L185" t="str">
            <v>PRESION</v>
          </cell>
        </row>
        <row r="186">
          <cell r="A186" t="str">
            <v>21EF08</v>
          </cell>
          <cell r="B186">
            <v>44277</v>
          </cell>
          <cell r="C186">
            <v>44279</v>
          </cell>
          <cell r="D186" t="str">
            <v>HAINING LEBRIA E
BUSINESS CO.</v>
          </cell>
          <cell r="E186" t="str">
            <v>EMMA</v>
          </cell>
          <cell r="F186" t="str">
            <v>BAR-INT-M-3/4X300</v>
          </cell>
          <cell r="G186">
            <v>3000</v>
          </cell>
          <cell r="H186">
            <v>25.313716666666664</v>
          </cell>
          <cell r="I186">
            <v>29.363911333333327</v>
          </cell>
          <cell r="J186">
            <v>75941.149999999994</v>
          </cell>
          <cell r="K186">
            <v>88091.733999999982</v>
          </cell>
          <cell r="L186" t="str">
            <v>GRAVEDAD</v>
          </cell>
        </row>
        <row r="187">
          <cell r="A187" t="str">
            <v>21EF08</v>
          </cell>
          <cell r="B187">
            <v>44277</v>
          </cell>
          <cell r="C187">
            <v>44279</v>
          </cell>
          <cell r="D187" t="str">
            <v>HAINING LEBRIA E
BUSINESS CO.</v>
          </cell>
          <cell r="E187" t="str">
            <v>EMMA</v>
          </cell>
          <cell r="F187" t="str">
            <v>CAS-INT-COB-75-AP</v>
          </cell>
          <cell r="G187">
            <v>10000</v>
          </cell>
          <cell r="H187">
            <v>6.4967879999999996</v>
          </cell>
          <cell r="I187">
            <v>7.5362740799999992</v>
          </cell>
          <cell r="J187">
            <v>64967.88</v>
          </cell>
          <cell r="K187">
            <v>75362.740799999985</v>
          </cell>
          <cell r="L187" t="str">
            <v>PRESION</v>
          </cell>
        </row>
        <row r="188">
          <cell r="A188" t="str">
            <v>21EF08</v>
          </cell>
          <cell r="B188">
            <v>44277</v>
          </cell>
          <cell r="C188">
            <v>44279</v>
          </cell>
          <cell r="D188" t="str">
            <v>HAINING LEBRIA E
BUSINESS CO.</v>
          </cell>
          <cell r="E188" t="str">
            <v>EMMA</v>
          </cell>
          <cell r="F188" t="str">
            <v>CIN-EMP-600</v>
          </cell>
          <cell r="G188">
            <v>80</v>
          </cell>
          <cell r="H188">
            <v>82.811749999999989</v>
          </cell>
          <cell r="I188">
            <v>96.06162999999998</v>
          </cell>
          <cell r="J188">
            <v>6624.9399999999987</v>
          </cell>
          <cell r="K188">
            <v>7684.9303999999984</v>
          </cell>
          <cell r="L188" t="str">
            <v>PRESION / GRAVEDAD</v>
          </cell>
        </row>
        <row r="189">
          <cell r="A189" t="str">
            <v>21EF08</v>
          </cell>
          <cell r="B189">
            <v>44277</v>
          </cell>
          <cell r="C189">
            <v>44279</v>
          </cell>
          <cell r="D189" t="str">
            <v>HAINING LEBRIA E
BUSINESS CO.</v>
          </cell>
          <cell r="E189" t="str">
            <v>EMMA</v>
          </cell>
          <cell r="F189" t="str">
            <v>COD-INT-AC-25x200</v>
          </cell>
          <cell r="G189">
            <v>3000</v>
          </cell>
          <cell r="H189">
            <v>16.296256666666665</v>
          </cell>
          <cell r="I189">
            <v>18.903657733333329</v>
          </cell>
          <cell r="J189">
            <v>48888.77</v>
          </cell>
          <cell r="K189">
            <v>56710.973199999986</v>
          </cell>
          <cell r="L189" t="str">
            <v>GRAVEDAD</v>
          </cell>
        </row>
        <row r="190">
          <cell r="A190" t="str">
            <v>21EF08</v>
          </cell>
          <cell r="B190">
            <v>44277</v>
          </cell>
          <cell r="C190">
            <v>44279</v>
          </cell>
          <cell r="D190" t="str">
            <v>HAINING LEBRIA E
BUSINESS CO.</v>
          </cell>
          <cell r="E190" t="str">
            <v>EMMA</v>
          </cell>
          <cell r="F190" t="str">
            <v>FO-HP-R</v>
          </cell>
          <cell r="G190">
            <v>390</v>
          </cell>
          <cell r="H190">
            <v>100.98366666666666</v>
          </cell>
          <cell r="I190">
            <v>117.14105333333332</v>
          </cell>
          <cell r="J190">
            <v>39383.629999999997</v>
          </cell>
          <cell r="K190">
            <v>45685.010799999996</v>
          </cell>
          <cell r="L190" t="str">
            <v>REFACCION</v>
          </cell>
        </row>
        <row r="191">
          <cell r="A191" t="str">
            <v>21EF08</v>
          </cell>
          <cell r="B191">
            <v>44277</v>
          </cell>
          <cell r="C191">
            <v>44279</v>
          </cell>
          <cell r="D191" t="str">
            <v>HAINING LEBRIA E
BUSINESS CO.</v>
          </cell>
          <cell r="E191" t="str">
            <v>EMMA</v>
          </cell>
          <cell r="F191" t="str">
            <v>NI-1ROS-H-304-1/2X19-C-AP</v>
          </cell>
          <cell r="G191">
            <v>10000</v>
          </cell>
          <cell r="H191">
            <v>6.2035300000000007</v>
          </cell>
          <cell r="I191">
            <v>7.1960948</v>
          </cell>
          <cell r="J191">
            <v>62035.3</v>
          </cell>
          <cell r="K191">
            <v>71960.948000000004</v>
          </cell>
          <cell r="L191" t="str">
            <v>PRESION</v>
          </cell>
        </row>
        <row r="192">
          <cell r="A192" t="str">
            <v>21EF08</v>
          </cell>
          <cell r="B192">
            <v>44277</v>
          </cell>
          <cell r="C192">
            <v>44279</v>
          </cell>
          <cell r="D192" t="str">
            <v>HAINING LEBRIA E
BUSINESS CO.</v>
          </cell>
          <cell r="E192" t="str">
            <v>EMMA</v>
          </cell>
          <cell r="F192" t="str">
            <v>NI-1ROS-H-304-1/2X45-VA-AP</v>
          </cell>
          <cell r="G192">
            <v>4000</v>
          </cell>
          <cell r="H192">
            <v>6.2020799999999996</v>
          </cell>
          <cell r="I192">
            <v>7.1944127999999994</v>
          </cell>
          <cell r="J192">
            <v>24808.32</v>
          </cell>
          <cell r="K192">
            <v>28777.651199999997</v>
          </cell>
          <cell r="L192" t="str">
            <v>PRESION</v>
          </cell>
        </row>
        <row r="193">
          <cell r="A193" t="str">
            <v>21EF08</v>
          </cell>
          <cell r="B193">
            <v>44277</v>
          </cell>
          <cell r="C193">
            <v>44279</v>
          </cell>
          <cell r="D193" t="str">
            <v>HAINING LEBRIA E
BUSINESS CO.</v>
          </cell>
          <cell r="E193" t="str">
            <v>EMMA</v>
          </cell>
          <cell r="F193" t="str">
            <v>NI-1ROS-H-304-3/4X45-PT-AP</v>
          </cell>
          <cell r="G193">
            <v>4000</v>
          </cell>
          <cell r="H193">
            <v>12.387589999999999</v>
          </cell>
          <cell r="I193">
            <v>14.369604399999998</v>
          </cell>
          <cell r="J193">
            <v>49550.36</v>
          </cell>
          <cell r="K193">
            <v>57478.417599999993</v>
          </cell>
          <cell r="L193" t="str">
            <v>PRESION</v>
          </cell>
        </row>
        <row r="194">
          <cell r="A194" t="str">
            <v>21EF08</v>
          </cell>
          <cell r="B194">
            <v>44277</v>
          </cell>
          <cell r="C194">
            <v>44279</v>
          </cell>
          <cell r="D194" t="str">
            <v>HAINING LEBRIA E
BUSINESS CO.</v>
          </cell>
          <cell r="E194" t="str">
            <v>EMMA</v>
          </cell>
          <cell r="F194" t="str">
            <v>NI-1ROS-M-304-3/4X400-VAC-AP</v>
          </cell>
          <cell r="G194">
            <v>4000</v>
          </cell>
          <cell r="H194">
            <v>17.906957500000001</v>
          </cell>
          <cell r="I194">
            <v>20.7720707</v>
          </cell>
          <cell r="J194">
            <v>71627.83</v>
          </cell>
          <cell r="K194">
            <v>83088.282800000001</v>
          </cell>
          <cell r="L194" t="str">
            <v>PRESION</v>
          </cell>
        </row>
        <row r="195">
          <cell r="A195" t="str">
            <v>21EF08</v>
          </cell>
          <cell r="B195">
            <v>44277</v>
          </cell>
          <cell r="C195">
            <v>44279</v>
          </cell>
          <cell r="D195" t="str">
            <v>HAINING LEBRIA E
BUSINESS CO.</v>
          </cell>
          <cell r="E195" t="str">
            <v>EMMA</v>
          </cell>
          <cell r="F195" t="str">
            <v>NI-1ROS-M-304-3/4X50-VAF-AP</v>
          </cell>
          <cell r="G195">
            <v>4000</v>
          </cell>
          <cell r="H195">
            <v>7.2280074999999995</v>
          </cell>
          <cell r="I195">
            <v>8.3844886999999986</v>
          </cell>
          <cell r="J195">
            <v>28912.03</v>
          </cell>
          <cell r="K195">
            <v>33537.954799999992</v>
          </cell>
          <cell r="L195" t="str">
            <v>PRESION</v>
          </cell>
        </row>
        <row r="196">
          <cell r="A196" t="str">
            <v>21EF08</v>
          </cell>
          <cell r="B196">
            <v>44277</v>
          </cell>
          <cell r="C196">
            <v>44279</v>
          </cell>
          <cell r="D196" t="str">
            <v>HAINING LEBRIA E
BUSINESS CO.</v>
          </cell>
          <cell r="E196" t="str">
            <v>EMMA</v>
          </cell>
          <cell r="F196" t="str">
            <v>NI-2ROS-H-304-3/4X40-AC/AF-AP</v>
          </cell>
          <cell r="G196">
            <v>8000</v>
          </cell>
          <cell r="H196">
            <v>12.420264999999999</v>
          </cell>
          <cell r="I196">
            <v>14.407507399999998</v>
          </cell>
          <cell r="J196">
            <v>99362.12</v>
          </cell>
          <cell r="K196">
            <v>115260.05919999999</v>
          </cell>
          <cell r="L196" t="str">
            <v>PRESION</v>
          </cell>
        </row>
        <row r="197">
          <cell r="A197" t="str">
            <v>21EF08</v>
          </cell>
          <cell r="B197">
            <v>44277</v>
          </cell>
          <cell r="C197">
            <v>44279</v>
          </cell>
          <cell r="D197" t="str">
            <v>HAINING LEBRIA E
BUSINESS CO.</v>
          </cell>
          <cell r="E197" t="str">
            <v>EMMA</v>
          </cell>
          <cell r="F197" t="str">
            <v>NI-INT-1ROS-H-3/4</v>
          </cell>
          <cell r="G197">
            <v>6000</v>
          </cell>
          <cell r="H197">
            <v>17.337895</v>
          </cell>
          <cell r="I197">
            <v>20.111958199999997</v>
          </cell>
          <cell r="J197">
            <v>104027.37</v>
          </cell>
          <cell r="K197">
            <v>120671.74919999998</v>
          </cell>
          <cell r="L197" t="str">
            <v>GRAVEDAD</v>
          </cell>
        </row>
        <row r="198">
          <cell r="A198" t="str">
            <v>21EF08</v>
          </cell>
          <cell r="B198">
            <v>44277</v>
          </cell>
          <cell r="C198">
            <v>44279</v>
          </cell>
          <cell r="D198" t="str">
            <v>HAINING LEBRIA E
BUSINESS CO.</v>
          </cell>
          <cell r="E198" t="str">
            <v>EMMA</v>
          </cell>
          <cell r="F198" t="str">
            <v>NI-INT-1ROS-H-304-1-40MM</v>
          </cell>
          <cell r="G198">
            <v>4000</v>
          </cell>
          <cell r="H198">
            <v>12.7349025</v>
          </cell>
          <cell r="I198">
            <v>14.772486899999999</v>
          </cell>
          <cell r="J198">
            <v>50939.61</v>
          </cell>
          <cell r="K198">
            <v>59089.947599999992</v>
          </cell>
          <cell r="L198" t="str">
            <v>PRESION</v>
          </cell>
        </row>
        <row r="199">
          <cell r="A199" t="str">
            <v>21EF08</v>
          </cell>
          <cell r="B199">
            <v>44277</v>
          </cell>
          <cell r="C199">
            <v>44279</v>
          </cell>
          <cell r="D199" t="str">
            <v>HAINING LEBRIA E
BUSINESS CO.</v>
          </cell>
          <cell r="E199" t="str">
            <v>EMMA</v>
          </cell>
          <cell r="F199" t="str">
            <v>NI-INT-2ROS-H-3/4</v>
          </cell>
          <cell r="G199">
            <v>3000</v>
          </cell>
          <cell r="H199">
            <v>18.581486666666667</v>
          </cell>
          <cell r="I199">
            <v>21.554524533333332</v>
          </cell>
          <cell r="J199">
            <v>55744.46</v>
          </cell>
          <cell r="K199">
            <v>64663.573599999996</v>
          </cell>
          <cell r="L199" t="str">
            <v>GRAVEDAD</v>
          </cell>
        </row>
        <row r="200">
          <cell r="A200" t="str">
            <v>21EF08</v>
          </cell>
          <cell r="B200">
            <v>44277</v>
          </cell>
          <cell r="C200">
            <v>44279</v>
          </cell>
          <cell r="D200" t="str">
            <v>HAINING LEBRIA E
BUSINESS CO.</v>
          </cell>
          <cell r="E200" t="str">
            <v>EMMA</v>
          </cell>
          <cell r="F200" t="str">
            <v>OPR-COB-M-1/2</v>
          </cell>
          <cell r="G200">
            <v>10000</v>
          </cell>
          <cell r="H200">
            <v>6.5069589999999993</v>
          </cell>
          <cell r="I200">
            <v>7.5480724399999986</v>
          </cell>
          <cell r="J200">
            <v>65069.589999999989</v>
          </cell>
          <cell r="K200">
            <v>75480.724399999992</v>
          </cell>
          <cell r="L200" t="str">
            <v>PRESION</v>
          </cell>
        </row>
        <row r="201">
          <cell r="A201" t="str">
            <v>21EF08</v>
          </cell>
          <cell r="B201">
            <v>44277</v>
          </cell>
          <cell r="C201">
            <v>44279</v>
          </cell>
          <cell r="D201" t="str">
            <v>HAINING LEBRIA E
BUSINESS CO.</v>
          </cell>
          <cell r="E201" t="str">
            <v>EMMA</v>
          </cell>
          <cell r="F201" t="str">
            <v>PASTA-TERMICA</v>
          </cell>
          <cell r="G201">
            <v>5655</v>
          </cell>
          <cell r="H201">
            <v>11.267303271441202</v>
          </cell>
          <cell r="I201">
            <v>13.070071794871794</v>
          </cell>
          <cell r="J201">
            <v>63716.6</v>
          </cell>
          <cell r="K201">
            <v>73911.255999999994</v>
          </cell>
          <cell r="L201" t="str">
            <v>PRESION</v>
          </cell>
        </row>
        <row r="202">
          <cell r="A202" t="str">
            <v>21EF08</v>
          </cell>
          <cell r="B202">
            <v>44277</v>
          </cell>
          <cell r="C202">
            <v>44279</v>
          </cell>
          <cell r="D202" t="str">
            <v>HAINING LEBRIA E
BUSINESS CO.</v>
          </cell>
          <cell r="E202" t="str">
            <v>EMMA</v>
          </cell>
          <cell r="F202" t="str">
            <v>PEL-EMP-P-1190-AP</v>
          </cell>
          <cell r="G202">
            <v>455</v>
          </cell>
          <cell r="H202">
            <v>86.038923076923069</v>
          </cell>
          <cell r="I202">
            <v>99.80515076923075</v>
          </cell>
          <cell r="J202">
            <v>39147.71</v>
          </cell>
          <cell r="K202">
            <v>45411.343599999993</v>
          </cell>
          <cell r="L202" t="str">
            <v>PRESION</v>
          </cell>
        </row>
        <row r="203">
          <cell r="A203" t="str">
            <v>21EF08</v>
          </cell>
          <cell r="B203">
            <v>44277</v>
          </cell>
          <cell r="C203">
            <v>44279</v>
          </cell>
          <cell r="D203" t="str">
            <v>HAINING LEBRIA E
BUSINESS CO.</v>
          </cell>
          <cell r="E203" t="str">
            <v>EMMA</v>
          </cell>
          <cell r="F203" t="str">
            <v>PER-SEAL-R</v>
          </cell>
          <cell r="G203">
            <v>100</v>
          </cell>
          <cell r="H203">
            <v>35.5627</v>
          </cell>
          <cell r="I203">
            <v>41.252731999999995</v>
          </cell>
          <cell r="J203">
            <v>3556.27</v>
          </cell>
          <cell r="K203">
            <v>4125.2731999999996</v>
          </cell>
          <cell r="L203" t="str">
            <v>REFACCION</v>
          </cell>
        </row>
        <row r="204">
          <cell r="A204" t="str">
            <v>21EF08</v>
          </cell>
          <cell r="B204">
            <v>44277</v>
          </cell>
          <cell r="C204">
            <v>44279</v>
          </cell>
          <cell r="D204" t="str">
            <v>HAINING LEBRIA E
BUSINESS CO.</v>
          </cell>
          <cell r="E204" t="str">
            <v>EMMA</v>
          </cell>
          <cell r="F204" t="str">
            <v>PRO-FILM-R</v>
          </cell>
          <cell r="G204">
            <v>1</v>
          </cell>
          <cell r="H204">
            <v>5347.75</v>
          </cell>
          <cell r="I204">
            <v>6203.3899999999994</v>
          </cell>
          <cell r="J204">
            <v>5347.75</v>
          </cell>
          <cell r="K204">
            <v>6203.3899999999994</v>
          </cell>
          <cell r="L204" t="str">
            <v>REFACCION</v>
          </cell>
        </row>
        <row r="205">
          <cell r="A205" t="str">
            <v>21EF08</v>
          </cell>
          <cell r="B205">
            <v>44277</v>
          </cell>
          <cell r="C205">
            <v>44279</v>
          </cell>
          <cell r="D205" t="str">
            <v>HAINING LEBRIA E
BUSINESS CO.</v>
          </cell>
          <cell r="E205" t="str">
            <v>EMMA</v>
          </cell>
          <cell r="F205" t="str">
            <v>STEEL-RINGS-500M-R</v>
          </cell>
          <cell r="G205">
            <v>7</v>
          </cell>
          <cell r="H205">
            <v>1084.46</v>
          </cell>
          <cell r="I205">
            <v>1257.9736</v>
          </cell>
          <cell r="J205">
            <v>7591.22</v>
          </cell>
          <cell r="K205">
            <v>8805.8152000000009</v>
          </cell>
          <cell r="L205" t="str">
            <v>REFACCION</v>
          </cell>
        </row>
        <row r="206">
          <cell r="A206" t="str">
            <v>21EF08</v>
          </cell>
          <cell r="B206">
            <v>44277</v>
          </cell>
          <cell r="C206">
            <v>44279</v>
          </cell>
          <cell r="D206" t="str">
            <v>HAINING LEBRIA E
BUSINESS CO.</v>
          </cell>
          <cell r="E206" t="str">
            <v>EMMA</v>
          </cell>
          <cell r="F206" t="str">
            <v>TAC-INT-304-2B-0.41</v>
          </cell>
          <cell r="G206">
            <v>6000</v>
          </cell>
          <cell r="H206">
            <v>28.362133333333333</v>
          </cell>
          <cell r="I206">
            <v>32.900074666666661</v>
          </cell>
          <cell r="J206">
            <v>170172.79999999999</v>
          </cell>
          <cell r="K206">
            <v>197400.44799999997</v>
          </cell>
          <cell r="L206" t="str">
            <v>GRAVEDAD</v>
          </cell>
        </row>
        <row r="207">
          <cell r="A207" t="str">
            <v>21EF08</v>
          </cell>
          <cell r="B207">
            <v>44277</v>
          </cell>
          <cell r="C207">
            <v>44279</v>
          </cell>
          <cell r="D207" t="str">
            <v>HAINING LEBRIA E
BUSINESS CO.</v>
          </cell>
          <cell r="E207" t="str">
            <v>EMMA</v>
          </cell>
          <cell r="F207" t="str">
            <v>TAP-INT-304-2B-1X420-AP</v>
          </cell>
          <cell r="G207">
            <v>2729</v>
          </cell>
          <cell r="H207">
            <v>99.796588493953834</v>
          </cell>
          <cell r="I207">
            <v>115.76404265298643</v>
          </cell>
          <cell r="J207">
            <v>272344.89</v>
          </cell>
          <cell r="K207">
            <v>315920.07239999995</v>
          </cell>
          <cell r="L207" t="str">
            <v>PRESION</v>
          </cell>
        </row>
        <row r="208">
          <cell r="A208" t="str">
            <v>21EF08</v>
          </cell>
          <cell r="B208">
            <v>44277</v>
          </cell>
          <cell r="C208">
            <v>44279</v>
          </cell>
          <cell r="D208" t="str">
            <v>HAINING LEBRIA E
BUSINESS CO.</v>
          </cell>
          <cell r="E208" t="str">
            <v>EMMA</v>
          </cell>
          <cell r="F208" t="str">
            <v>UNI-EMP-LAT-500MM</v>
          </cell>
          <cell r="G208">
            <v>2000</v>
          </cell>
          <cell r="H208">
            <v>3.8961750000000004</v>
          </cell>
          <cell r="I208">
            <v>4.5195629999999998</v>
          </cell>
          <cell r="J208">
            <v>7792.35</v>
          </cell>
          <cell r="K208">
            <v>9039.1260000000002</v>
          </cell>
          <cell r="L208" t="str">
            <v>PRESION</v>
          </cell>
        </row>
        <row r="209">
          <cell r="A209" t="str">
            <v>21EF08</v>
          </cell>
          <cell r="B209">
            <v>44277</v>
          </cell>
          <cell r="C209">
            <v>44279</v>
          </cell>
          <cell r="D209" t="str">
            <v>HAINING LEBRIA E
BUSINESS CO.</v>
          </cell>
          <cell r="E209" t="str">
            <v>EMMA</v>
          </cell>
          <cell r="F209" t="str">
            <v>UNI-EMP-ORI</v>
          </cell>
          <cell r="G209">
            <v>1600</v>
          </cell>
          <cell r="H209">
            <v>2.6476812499999998</v>
          </cell>
          <cell r="I209">
            <v>3.0713102499999994</v>
          </cell>
          <cell r="J209">
            <v>4236.29</v>
          </cell>
          <cell r="K209">
            <v>4914.0963999999985</v>
          </cell>
          <cell r="L209" t="str">
            <v>GRAVEDAD</v>
          </cell>
        </row>
        <row r="210">
          <cell r="A210" t="str">
            <v>21EF08</v>
          </cell>
          <cell r="B210">
            <v>44277</v>
          </cell>
          <cell r="C210">
            <v>44279</v>
          </cell>
          <cell r="D210" t="str">
            <v>HAINING LEBRIA E
BUSINESS CO.</v>
          </cell>
          <cell r="E210" t="str">
            <v>EMMA</v>
          </cell>
          <cell r="F210" t="str">
            <v>VA-TAP-COB-1/2-AP</v>
          </cell>
          <cell r="G210">
            <v>4000</v>
          </cell>
          <cell r="H210">
            <v>7.4269049999999996</v>
          </cell>
          <cell r="I210">
            <v>8.6152097999999988</v>
          </cell>
          <cell r="J210">
            <v>29707.62</v>
          </cell>
          <cell r="K210">
            <v>34460.839199999995</v>
          </cell>
          <cell r="L210" t="str">
            <v>PRESION</v>
          </cell>
        </row>
        <row r="211">
          <cell r="A211" t="str">
            <v>21EF09</v>
          </cell>
          <cell r="B211">
            <v>44280</v>
          </cell>
          <cell r="C211">
            <v>44284</v>
          </cell>
          <cell r="D211" t="str">
            <v>HELIOS POWER LTD</v>
          </cell>
          <cell r="E211" t="str">
            <v>PHILIP</v>
          </cell>
          <cell r="F211" t="str">
            <v>ANI-ACC-PLA-58</v>
          </cell>
          <cell r="G211">
            <v>52500</v>
          </cell>
          <cell r="H211">
            <v>0.4</v>
          </cell>
          <cell r="I211">
            <v>0.46399999999999997</v>
          </cell>
          <cell r="J211">
            <v>21000</v>
          </cell>
          <cell r="K211">
            <v>24360</v>
          </cell>
          <cell r="L211" t="str">
            <v>GRAVEDAD</v>
          </cell>
        </row>
        <row r="212">
          <cell r="A212" t="str">
            <v>21EF09</v>
          </cell>
          <cell r="B212">
            <v>44280</v>
          </cell>
          <cell r="C212">
            <v>44284</v>
          </cell>
          <cell r="D212" t="str">
            <v>HELIOS POWER LTD</v>
          </cell>
          <cell r="E212" t="str">
            <v>PHILIP</v>
          </cell>
          <cell r="F212" t="str">
            <v>ANI-EXT-PLA-3/4-AZUL</v>
          </cell>
          <cell r="G212">
            <v>3500</v>
          </cell>
          <cell r="H212">
            <v>1.04</v>
          </cell>
          <cell r="I212">
            <v>1.2063999999999999</v>
          </cell>
          <cell r="J212">
            <v>3640</v>
          </cell>
          <cell r="K212">
            <v>4222.3999999999996</v>
          </cell>
          <cell r="L212" t="str">
            <v>GRAVEDAD</v>
          </cell>
        </row>
        <row r="213">
          <cell r="A213" t="str">
            <v>21EF09</v>
          </cell>
          <cell r="B213">
            <v>44280</v>
          </cell>
          <cell r="C213">
            <v>44284</v>
          </cell>
          <cell r="D213" t="str">
            <v>HELIOS POWER LTD</v>
          </cell>
          <cell r="E213" t="str">
            <v>PHILIP</v>
          </cell>
          <cell r="F213" t="str">
            <v>ANI-EXT-PLA-3/4-N</v>
          </cell>
          <cell r="G213">
            <v>3500</v>
          </cell>
          <cell r="H213">
            <v>1.04</v>
          </cell>
          <cell r="I213">
            <v>1.2063999999999999</v>
          </cell>
          <cell r="J213">
            <v>3640</v>
          </cell>
          <cell r="K213">
            <v>4222.3999999999996</v>
          </cell>
          <cell r="L213" t="str">
            <v>GRAVEDAD</v>
          </cell>
        </row>
        <row r="214">
          <cell r="A214" t="str">
            <v>21EF09</v>
          </cell>
          <cell r="B214">
            <v>44280</v>
          </cell>
          <cell r="C214">
            <v>44284</v>
          </cell>
          <cell r="D214" t="str">
            <v>HELIOS POWER LTD</v>
          </cell>
          <cell r="E214" t="str">
            <v>PHILIP</v>
          </cell>
          <cell r="F214" t="str">
            <v>ANI-EXT-PLA-3/4-R</v>
          </cell>
          <cell r="G214">
            <v>3500</v>
          </cell>
          <cell r="H214">
            <v>1.04</v>
          </cell>
          <cell r="I214">
            <v>1.2063999999999999</v>
          </cell>
          <cell r="J214">
            <v>3640</v>
          </cell>
          <cell r="K214">
            <v>4222.3999999999996</v>
          </cell>
          <cell r="L214" t="str">
            <v>GRAVEDAD</v>
          </cell>
        </row>
        <row r="215">
          <cell r="A215" t="str">
            <v>21EF09</v>
          </cell>
          <cell r="B215">
            <v>44280</v>
          </cell>
          <cell r="C215">
            <v>44284</v>
          </cell>
          <cell r="D215" t="str">
            <v>HELIOS POWER LTD</v>
          </cell>
          <cell r="E215" t="str">
            <v>PHILIP</v>
          </cell>
          <cell r="F215" t="str">
            <v>ANI-INY-SIL-66</v>
          </cell>
          <cell r="G215">
            <v>840</v>
          </cell>
          <cell r="H215">
            <v>1.47</v>
          </cell>
          <cell r="I215">
            <v>1.7051999999999998</v>
          </cell>
          <cell r="J215">
            <v>1234.8</v>
          </cell>
          <cell r="K215">
            <v>1432.3679999999999</v>
          </cell>
          <cell r="L215" t="str">
            <v>GRAVEDAD</v>
          </cell>
        </row>
        <row r="216">
          <cell r="A216" t="str">
            <v>21EF09</v>
          </cell>
          <cell r="B216">
            <v>44280</v>
          </cell>
          <cell r="C216">
            <v>44284</v>
          </cell>
          <cell r="D216" t="str">
            <v>HELIOS POWER LTD</v>
          </cell>
          <cell r="E216" t="str">
            <v>PHILIP</v>
          </cell>
          <cell r="F216" t="str">
            <v>BAR-INT-M-3/4X300</v>
          </cell>
          <cell r="G216">
            <v>3500</v>
          </cell>
          <cell r="H216">
            <v>27.19</v>
          </cell>
          <cell r="I216">
            <v>31.540399999999998</v>
          </cell>
          <cell r="J216">
            <v>95165</v>
          </cell>
          <cell r="K216">
            <v>110391.4</v>
          </cell>
          <cell r="L216" t="str">
            <v>GRAVEDAD</v>
          </cell>
        </row>
        <row r="217">
          <cell r="A217" t="str">
            <v>21EF09</v>
          </cell>
          <cell r="B217">
            <v>44280</v>
          </cell>
          <cell r="C217">
            <v>44284</v>
          </cell>
          <cell r="D217" t="str">
            <v>HELIOS POWER LTD</v>
          </cell>
          <cell r="E217" t="str">
            <v>PHILIP</v>
          </cell>
          <cell r="F217" t="str">
            <v>BOL-EMP-PE</v>
          </cell>
          <cell r="G217">
            <v>116.5</v>
          </cell>
          <cell r="H217">
            <v>39.15</v>
          </cell>
          <cell r="I217">
            <v>45.413999999999994</v>
          </cell>
          <cell r="J217">
            <v>4560.9749999999995</v>
          </cell>
          <cell r="K217">
            <v>5290.7309999999998</v>
          </cell>
          <cell r="L217" t="str">
            <v>GRAVEDAD</v>
          </cell>
        </row>
        <row r="218">
          <cell r="A218" t="str">
            <v>21EF09</v>
          </cell>
          <cell r="B218">
            <v>44280</v>
          </cell>
          <cell r="C218">
            <v>44284</v>
          </cell>
          <cell r="D218" t="str">
            <v>HELIOS POWER LTD</v>
          </cell>
          <cell r="E218" t="str">
            <v>PHILIP</v>
          </cell>
          <cell r="F218" t="str">
            <v>CIN-EMP-600</v>
          </cell>
          <cell r="G218">
            <v>21000</v>
          </cell>
          <cell r="H218">
            <v>0.15</v>
          </cell>
          <cell r="I218">
            <v>0.17399999999999999</v>
          </cell>
          <cell r="J218">
            <v>3150</v>
          </cell>
          <cell r="K218">
            <v>3653.9999999999995</v>
          </cell>
          <cell r="L218" t="str">
            <v>PRESION / GRAVEDAD</v>
          </cell>
        </row>
        <row r="219">
          <cell r="A219" t="str">
            <v>21EF09</v>
          </cell>
          <cell r="B219">
            <v>44280</v>
          </cell>
          <cell r="C219">
            <v>44284</v>
          </cell>
          <cell r="D219" t="str">
            <v>HELIOS POWER LTD</v>
          </cell>
          <cell r="E219" t="str">
            <v>PHILIP</v>
          </cell>
          <cell r="F219" t="str">
            <v>COD-INT-AC-25x200</v>
          </cell>
          <cell r="G219">
            <v>2000</v>
          </cell>
          <cell r="H219">
            <v>16.399999999999999</v>
          </cell>
          <cell r="I219">
            <v>19.023999999999997</v>
          </cell>
          <cell r="J219">
            <v>32800</v>
          </cell>
          <cell r="K219">
            <v>38047.999999999993</v>
          </cell>
          <cell r="L219" t="str">
            <v>GRAVEDAD</v>
          </cell>
        </row>
        <row r="220">
          <cell r="A220" t="str">
            <v>21EF09</v>
          </cell>
          <cell r="B220">
            <v>44280</v>
          </cell>
          <cell r="C220">
            <v>44284</v>
          </cell>
          <cell r="D220" t="str">
            <v>HELIOS POWER LTD</v>
          </cell>
          <cell r="E220" t="str">
            <v>PHILIP</v>
          </cell>
          <cell r="F220" t="str">
            <v>CON-BOL-LIEN</v>
          </cell>
          <cell r="G220">
            <v>52.1</v>
          </cell>
          <cell r="H220">
            <v>39.07</v>
          </cell>
          <cell r="I220">
            <v>45.321199999999997</v>
          </cell>
          <cell r="J220">
            <v>2035.547</v>
          </cell>
          <cell r="K220">
            <v>2361.23452</v>
          </cell>
          <cell r="L220" t="str">
            <v>GRAVEDAD</v>
          </cell>
        </row>
        <row r="221">
          <cell r="A221" t="str">
            <v>21EF09</v>
          </cell>
          <cell r="B221">
            <v>44280</v>
          </cell>
          <cell r="C221">
            <v>44284</v>
          </cell>
          <cell r="D221" t="str">
            <v>HELIOS POWER LTD</v>
          </cell>
          <cell r="E221" t="str">
            <v>PHILIP</v>
          </cell>
          <cell r="F221" t="str">
            <v>EMP-ACC-SIL-58</v>
          </cell>
          <cell r="G221">
            <v>52500</v>
          </cell>
          <cell r="H221">
            <v>1.79</v>
          </cell>
          <cell r="I221">
            <v>2.0764</v>
          </cell>
          <cell r="J221">
            <v>93975</v>
          </cell>
          <cell r="K221">
            <v>109011</v>
          </cell>
          <cell r="L221" t="str">
            <v>GRAVEDAD</v>
          </cell>
        </row>
        <row r="222">
          <cell r="A222" t="str">
            <v>21EF09</v>
          </cell>
          <cell r="B222">
            <v>44280</v>
          </cell>
          <cell r="C222">
            <v>44284</v>
          </cell>
          <cell r="D222" t="str">
            <v>HELIOS POWER LTD</v>
          </cell>
          <cell r="E222" t="str">
            <v>PHILIP</v>
          </cell>
          <cell r="F222" t="str">
            <v>PEL-EMP</v>
          </cell>
          <cell r="G222">
            <v>108</v>
          </cell>
          <cell r="H222">
            <v>74.42</v>
          </cell>
          <cell r="I222">
            <v>86.327199999999991</v>
          </cell>
          <cell r="J222">
            <v>8037.3600000000006</v>
          </cell>
          <cell r="K222">
            <v>9323.3375999999989</v>
          </cell>
          <cell r="L222" t="str">
            <v>GRAVEDAD</v>
          </cell>
        </row>
        <row r="223">
          <cell r="A223" t="str">
            <v>21EF09</v>
          </cell>
          <cell r="B223">
            <v>44280</v>
          </cell>
          <cell r="C223">
            <v>44284</v>
          </cell>
          <cell r="D223" t="str">
            <v>HELIOS POWER LTD</v>
          </cell>
          <cell r="E223" t="str">
            <v>PHILIP</v>
          </cell>
          <cell r="F223" t="str">
            <v>POL-AIS</v>
          </cell>
          <cell r="G223">
            <v>5280</v>
          </cell>
          <cell r="H223">
            <v>61.02</v>
          </cell>
          <cell r="I223">
            <v>70.783199999999994</v>
          </cell>
          <cell r="J223">
            <v>322185.60000000003</v>
          </cell>
          <cell r="K223">
            <v>373735.29599999997</v>
          </cell>
          <cell r="L223" t="str">
            <v>PRESION / GRAVEDAD</v>
          </cell>
        </row>
        <row r="224">
          <cell r="A224" t="str">
            <v>21EF09</v>
          </cell>
          <cell r="B224">
            <v>44280</v>
          </cell>
          <cell r="C224">
            <v>44284</v>
          </cell>
          <cell r="D224" t="str">
            <v>HELIOS POWER LTD</v>
          </cell>
          <cell r="E224" t="str">
            <v>PHILIP</v>
          </cell>
          <cell r="F224" t="str">
            <v>TAC-EXT-430-BA-0.31</v>
          </cell>
          <cell r="G224">
            <v>7038</v>
          </cell>
          <cell r="H224">
            <v>37.47</v>
          </cell>
          <cell r="I224">
            <v>43.465199999999996</v>
          </cell>
          <cell r="J224">
            <v>263713.86</v>
          </cell>
          <cell r="K224">
            <v>305908.07759999996</v>
          </cell>
          <cell r="L224" t="str">
            <v>GRAVEDAD</v>
          </cell>
        </row>
        <row r="225">
          <cell r="A225" t="str">
            <v>21EF09</v>
          </cell>
          <cell r="B225">
            <v>44280</v>
          </cell>
          <cell r="C225">
            <v>44284</v>
          </cell>
          <cell r="D225" t="str">
            <v>HELIOS POWER LTD</v>
          </cell>
          <cell r="E225" t="str">
            <v>PHILIP</v>
          </cell>
          <cell r="F225" t="str">
            <v>TAC-INT-304-2B-0.41</v>
          </cell>
          <cell r="G225">
            <v>6000</v>
          </cell>
          <cell r="H225">
            <v>30.51</v>
          </cell>
          <cell r="I225">
            <v>35.391599999999997</v>
          </cell>
          <cell r="J225">
            <v>183060</v>
          </cell>
          <cell r="K225">
            <v>212349.59999999998</v>
          </cell>
          <cell r="L225" t="str">
            <v>GRAVEDAD</v>
          </cell>
        </row>
        <row r="226">
          <cell r="A226" t="str">
            <v>21EF09</v>
          </cell>
          <cell r="B226">
            <v>44280</v>
          </cell>
          <cell r="C226">
            <v>44284</v>
          </cell>
          <cell r="D226" t="str">
            <v>HELIOS POWER LTD</v>
          </cell>
          <cell r="E226" t="str">
            <v>PHILIP</v>
          </cell>
          <cell r="F226" t="str">
            <v>TAP-EXT-GAL-0.40X500-AP</v>
          </cell>
          <cell r="G226">
            <v>500</v>
          </cell>
          <cell r="H226">
            <v>38.15</v>
          </cell>
          <cell r="I226">
            <v>44.253999999999998</v>
          </cell>
          <cell r="J226">
            <v>19075</v>
          </cell>
          <cell r="K226">
            <v>22127</v>
          </cell>
          <cell r="L226" t="str">
            <v>PRESION</v>
          </cell>
        </row>
        <row r="227">
          <cell r="A227" t="str">
            <v>21EF09</v>
          </cell>
          <cell r="B227">
            <v>44280</v>
          </cell>
          <cell r="C227">
            <v>44284</v>
          </cell>
          <cell r="D227" t="str">
            <v>HELIOS POWER LTD</v>
          </cell>
          <cell r="E227" t="str">
            <v>PHILIP</v>
          </cell>
          <cell r="F227" t="str">
            <v>TOR-EXT</v>
          </cell>
          <cell r="G227">
            <v>14000</v>
          </cell>
          <cell r="H227">
            <v>1.46</v>
          </cell>
          <cell r="I227">
            <v>1.6935999999999998</v>
          </cell>
          <cell r="J227">
            <v>20440</v>
          </cell>
          <cell r="K227">
            <v>23710.399999999998</v>
          </cell>
          <cell r="L227" t="str">
            <v>PRESION / GRAVEDAD</v>
          </cell>
        </row>
        <row r="228">
          <cell r="A228" t="str">
            <v>21EF10</v>
          </cell>
          <cell r="B228">
            <v>44307</v>
          </cell>
          <cell r="C228">
            <v>44308</v>
          </cell>
          <cell r="D228" t="str">
            <v>HAINING LEBRIA E
BUSINESS CO.</v>
          </cell>
          <cell r="E228" t="str">
            <v>EMMA</v>
          </cell>
          <cell r="F228" t="str">
            <v>TAC-EXT-201-BA-0.31</v>
          </cell>
          <cell r="G228">
            <v>5290</v>
          </cell>
          <cell r="H228">
            <v>38.79</v>
          </cell>
          <cell r="I228">
            <v>44.996399999999994</v>
          </cell>
          <cell r="J228">
            <v>205199.1</v>
          </cell>
          <cell r="K228">
            <v>238030.95599999998</v>
          </cell>
          <cell r="L228" t="str">
            <v>GRAVEDAD</v>
          </cell>
        </row>
        <row r="229">
          <cell r="A229" t="str">
            <v>21EF11</v>
          </cell>
          <cell r="B229">
            <v>44322</v>
          </cell>
          <cell r="C229">
            <v>44326</v>
          </cell>
          <cell r="D229" t="str">
            <v>HELIOS POWER LTD</v>
          </cell>
          <cell r="E229" t="str">
            <v>PHILIP</v>
          </cell>
          <cell r="F229" t="str">
            <v>ANI-ACC-PLA-58</v>
          </cell>
          <cell r="G229">
            <v>17120</v>
          </cell>
          <cell r="H229">
            <v>0.3733282710280374</v>
          </cell>
          <cell r="I229">
            <v>0.43306079439252337</v>
          </cell>
          <cell r="J229">
            <v>6391.38</v>
          </cell>
          <cell r="K229">
            <v>7414.0007999999998</v>
          </cell>
          <cell r="L229" t="str">
            <v>GRAVEDAD</v>
          </cell>
        </row>
        <row r="230">
          <cell r="A230" t="str">
            <v>21EF11</v>
          </cell>
          <cell r="B230">
            <v>44322</v>
          </cell>
          <cell r="C230">
            <v>44326</v>
          </cell>
          <cell r="D230" t="str">
            <v>HELIOS POWER LTD</v>
          </cell>
          <cell r="E230" t="str">
            <v>PHILIP</v>
          </cell>
          <cell r="F230" t="str">
            <v>ANI-EXT-PLA-3/4-AZUL</v>
          </cell>
          <cell r="G230">
            <v>811</v>
          </cell>
          <cell r="H230">
            <v>1.0263871763255241</v>
          </cell>
          <cell r="I230">
            <v>1.1906091245376078</v>
          </cell>
          <cell r="J230">
            <v>832.40000000000009</v>
          </cell>
          <cell r="K230">
            <v>965.58399999999995</v>
          </cell>
          <cell r="L230" t="str">
            <v>GRAVEDAD</v>
          </cell>
        </row>
        <row r="231">
          <cell r="A231" t="str">
            <v>21EF11</v>
          </cell>
          <cell r="B231">
            <v>44322</v>
          </cell>
          <cell r="C231">
            <v>44326</v>
          </cell>
          <cell r="D231" t="str">
            <v>HELIOS POWER LTD</v>
          </cell>
          <cell r="E231" t="str">
            <v>PHILIP</v>
          </cell>
          <cell r="F231" t="str">
            <v>ANI-EXT-PLA-3/4-N</v>
          </cell>
          <cell r="G231">
            <v>176</v>
          </cell>
          <cell r="H231">
            <v>1.0485795454545455</v>
          </cell>
          <cell r="I231">
            <v>1.2163522727272726</v>
          </cell>
          <cell r="J231">
            <v>184.55</v>
          </cell>
          <cell r="K231">
            <v>214.07799999999997</v>
          </cell>
          <cell r="L231" t="str">
            <v>GRAVEDAD</v>
          </cell>
        </row>
        <row r="232">
          <cell r="A232" t="str">
            <v>21EF11</v>
          </cell>
          <cell r="B232">
            <v>44322</v>
          </cell>
          <cell r="C232">
            <v>44326</v>
          </cell>
          <cell r="D232" t="str">
            <v>HELIOS POWER LTD</v>
          </cell>
          <cell r="E232" t="str">
            <v>PHILIP</v>
          </cell>
          <cell r="F232" t="str">
            <v>BOL-EMP-PE</v>
          </cell>
          <cell r="G232">
            <v>60</v>
          </cell>
          <cell r="H232">
            <v>36.031666666666666</v>
          </cell>
          <cell r="I232">
            <v>41.796733333333329</v>
          </cell>
          <cell r="J232">
            <v>2161.9</v>
          </cell>
          <cell r="K232">
            <v>2507.8039999999996</v>
          </cell>
          <cell r="L232" t="str">
            <v>GRAVEDAD</v>
          </cell>
        </row>
        <row r="233">
          <cell r="A233" t="str">
            <v>21EF11</v>
          </cell>
          <cell r="B233">
            <v>44322</v>
          </cell>
          <cell r="C233">
            <v>44326</v>
          </cell>
          <cell r="D233" t="str">
            <v>HELIOS POWER LTD</v>
          </cell>
          <cell r="E233" t="str">
            <v>PHILIP</v>
          </cell>
          <cell r="F233" t="str">
            <v>COD-BARR-ROLLO-100</v>
          </cell>
          <cell r="G233">
            <v>5</v>
          </cell>
          <cell r="H233">
            <v>86.355999999999995</v>
          </cell>
          <cell r="I233">
            <v>100.17295999999999</v>
          </cell>
          <cell r="J233">
            <v>431.78</v>
          </cell>
          <cell r="K233">
            <v>500.86479999999995</v>
          </cell>
          <cell r="L233" t="str">
            <v>GRAVEDAD</v>
          </cell>
        </row>
        <row r="234">
          <cell r="A234" t="str">
            <v>21EF11</v>
          </cell>
          <cell r="B234">
            <v>44322</v>
          </cell>
          <cell r="C234">
            <v>44326</v>
          </cell>
          <cell r="D234" t="str">
            <v>HELIOS POWER LTD</v>
          </cell>
          <cell r="E234" t="str">
            <v>PHILIP</v>
          </cell>
          <cell r="F234" t="str">
            <v>CON-ROLL-TIN</v>
          </cell>
          <cell r="G234">
            <v>4</v>
          </cell>
          <cell r="H234">
            <v>250.58750000000001</v>
          </cell>
          <cell r="I234">
            <v>290.68149999999997</v>
          </cell>
          <cell r="J234">
            <v>1002.35</v>
          </cell>
          <cell r="K234">
            <v>1162.7259999999999</v>
          </cell>
          <cell r="L234" t="str">
            <v>PRESION / GRAVEDAD</v>
          </cell>
        </row>
        <row r="235">
          <cell r="A235" t="str">
            <v>21EF11</v>
          </cell>
          <cell r="B235">
            <v>44322</v>
          </cell>
          <cell r="C235">
            <v>44326</v>
          </cell>
          <cell r="D235" t="str">
            <v>HELIOS POWER LTD</v>
          </cell>
          <cell r="E235" t="str">
            <v>PHILIP</v>
          </cell>
          <cell r="F235" t="str">
            <v>EMP-ACC-SIL-58</v>
          </cell>
          <cell r="G235">
            <v>45408</v>
          </cell>
          <cell r="H235">
            <v>1.7032694679351656</v>
          </cell>
          <cell r="I235">
            <v>1.975792582804792</v>
          </cell>
          <cell r="J235">
            <v>77342.06</v>
          </cell>
          <cell r="K235">
            <v>89716.789599999989</v>
          </cell>
          <cell r="L235" t="str">
            <v>GRAVEDAD</v>
          </cell>
        </row>
        <row r="236">
          <cell r="A236" t="str">
            <v>21EF11</v>
          </cell>
          <cell r="B236">
            <v>44322</v>
          </cell>
          <cell r="C236">
            <v>44326</v>
          </cell>
          <cell r="D236" t="str">
            <v>HELIOS POWER LTD</v>
          </cell>
          <cell r="E236" t="str">
            <v>PHILIP</v>
          </cell>
          <cell r="F236" t="str">
            <v>PEL-EMP</v>
          </cell>
          <cell r="G236">
            <v>72</v>
          </cell>
          <cell r="H236">
            <v>69.175277777777779</v>
          </cell>
          <cell r="I236">
            <v>80.243322222222218</v>
          </cell>
          <cell r="J236">
            <v>4980.62</v>
          </cell>
          <cell r="K236">
            <v>5777.5191999999997</v>
          </cell>
          <cell r="L236" t="str">
            <v>GRAVEDAD</v>
          </cell>
        </row>
        <row r="237">
          <cell r="A237" t="str">
            <v>21EF11</v>
          </cell>
          <cell r="B237">
            <v>44322</v>
          </cell>
          <cell r="C237">
            <v>44326</v>
          </cell>
          <cell r="D237" t="str">
            <v>HELIOS POWER LTD</v>
          </cell>
          <cell r="E237" t="str">
            <v>PHILIP</v>
          </cell>
          <cell r="F237" t="str">
            <v>POL-AIS</v>
          </cell>
          <cell r="G237">
            <v>7040</v>
          </cell>
          <cell r="H237">
            <v>57.081973011363637</v>
          </cell>
          <cell r="I237">
            <v>66.215088693181812</v>
          </cell>
          <cell r="J237">
            <v>401857.09</v>
          </cell>
          <cell r="K237">
            <v>466154.22439999995</v>
          </cell>
          <cell r="L237" t="str">
            <v>PRESION / GRAVEDAD</v>
          </cell>
        </row>
        <row r="238">
          <cell r="A238" t="str">
            <v>21EF11</v>
          </cell>
          <cell r="B238">
            <v>44322</v>
          </cell>
          <cell r="C238">
            <v>44326</v>
          </cell>
          <cell r="D238" t="str">
            <v>HELIOS POWER LTD</v>
          </cell>
          <cell r="E238" t="str">
            <v>PHILIP</v>
          </cell>
          <cell r="F238" t="str">
            <v>TAC-EXT-201-BA-0.31</v>
          </cell>
          <cell r="G238">
            <v>3453</v>
          </cell>
          <cell r="H238">
            <v>38.037703446278599</v>
          </cell>
          <cell r="I238">
            <v>44.12373599768317</v>
          </cell>
          <cell r="J238">
            <v>131344.19</v>
          </cell>
          <cell r="K238">
            <v>152359.2604</v>
          </cell>
          <cell r="L238" t="str">
            <v>GRAVEDAD</v>
          </cell>
        </row>
        <row r="239">
          <cell r="A239" t="str">
            <v>21EF11</v>
          </cell>
          <cell r="B239">
            <v>44322</v>
          </cell>
          <cell r="C239">
            <v>44326</v>
          </cell>
          <cell r="D239" t="str">
            <v>HELIOS POWER LTD</v>
          </cell>
          <cell r="E239" t="str">
            <v>PHILIP</v>
          </cell>
          <cell r="F239" t="str">
            <v>TAC-EXT-201-BA-0.31-ERA</v>
          </cell>
          <cell r="G239">
            <v>300</v>
          </cell>
          <cell r="H239">
            <v>38.002566666666667</v>
          </cell>
          <cell r="I239">
            <v>44.082977333333332</v>
          </cell>
          <cell r="J239">
            <v>11400.77</v>
          </cell>
          <cell r="K239">
            <v>13224.8932</v>
          </cell>
          <cell r="L239" t="str">
            <v>GRAVEDAD</v>
          </cell>
        </row>
        <row r="240">
          <cell r="A240" t="str">
            <v>21EF11</v>
          </cell>
          <cell r="B240">
            <v>44322</v>
          </cell>
          <cell r="C240">
            <v>44326</v>
          </cell>
          <cell r="D240" t="str">
            <v>HELIOS POWER LTD</v>
          </cell>
          <cell r="E240" t="str">
            <v>PHILIP</v>
          </cell>
          <cell r="F240" t="str">
            <v>TAC-INT-304-2B-0.41</v>
          </cell>
          <cell r="G240">
            <v>2500</v>
          </cell>
          <cell r="H240">
            <v>28.096364000000001</v>
          </cell>
          <cell r="I240">
            <v>32.591782240000001</v>
          </cell>
          <cell r="J240">
            <v>70240.91</v>
          </cell>
          <cell r="K240">
            <v>81479.455600000001</v>
          </cell>
          <cell r="L240" t="str">
            <v>GRAVEDAD</v>
          </cell>
        </row>
        <row r="241">
          <cell r="A241" t="str">
            <v>21EF11</v>
          </cell>
          <cell r="B241">
            <v>44322</v>
          </cell>
          <cell r="C241">
            <v>44326</v>
          </cell>
          <cell r="D241" t="str">
            <v>HELIOS POWER LTD</v>
          </cell>
          <cell r="E241" t="str">
            <v>PHILIP</v>
          </cell>
          <cell r="F241" t="str">
            <v>UNI-EMP-CEN</v>
          </cell>
          <cell r="G241">
            <v>5550</v>
          </cell>
          <cell r="H241">
            <v>1.5824036036036035</v>
          </cell>
          <cell r="I241">
            <v>1.8355881801801799</v>
          </cell>
          <cell r="J241">
            <v>8782.34</v>
          </cell>
          <cell r="K241">
            <v>10187.514399999998</v>
          </cell>
          <cell r="L241" t="str">
            <v>GRAVEDAD</v>
          </cell>
        </row>
        <row r="242">
          <cell r="A242" t="str">
            <v>21EF11</v>
          </cell>
          <cell r="B242">
            <v>44322</v>
          </cell>
          <cell r="C242">
            <v>44326</v>
          </cell>
          <cell r="D242" t="str">
            <v>HELIOS POWER LTD</v>
          </cell>
          <cell r="E242" t="str">
            <v>PHILIP</v>
          </cell>
          <cell r="F242" t="str">
            <v>UNI-EMP-ORI</v>
          </cell>
          <cell r="G242">
            <v>5360</v>
          </cell>
          <cell r="H242">
            <v>2.7509944029850746</v>
          </cell>
          <cell r="I242">
            <v>3.1911535074626864</v>
          </cell>
          <cell r="J242">
            <v>14745.33</v>
          </cell>
          <cell r="K242">
            <v>17104.5828</v>
          </cell>
          <cell r="L242" t="str">
            <v>GRAVEDAD</v>
          </cell>
        </row>
        <row r="243">
          <cell r="A243" t="str">
            <v>21EF12</v>
          </cell>
          <cell r="B243">
            <v>44322</v>
          </cell>
          <cell r="C243">
            <v>44326</v>
          </cell>
          <cell r="D243" t="str">
            <v>HAINING LEBRIA E
BUSINESS CO.</v>
          </cell>
          <cell r="E243" t="str">
            <v>EMMA</v>
          </cell>
          <cell r="F243" t="str">
            <v>ANI-ACC-PLA-58</v>
          </cell>
          <cell r="G243">
            <v>17120</v>
          </cell>
          <cell r="H243">
            <v>0.37292056074766355</v>
          </cell>
          <cell r="I243">
            <v>0.4325878504672897</v>
          </cell>
          <cell r="J243">
            <v>6384.4</v>
          </cell>
          <cell r="K243">
            <v>7405.9039999999995</v>
          </cell>
          <cell r="L243" t="str">
            <v>GRAVEDAD</v>
          </cell>
        </row>
        <row r="244">
          <cell r="A244" t="str">
            <v>21EF12</v>
          </cell>
          <cell r="B244">
            <v>44322</v>
          </cell>
          <cell r="C244">
            <v>44326</v>
          </cell>
          <cell r="D244" t="str">
            <v>HAINING LEBRIA E
BUSINESS CO.</v>
          </cell>
          <cell r="E244" t="str">
            <v>EMMA</v>
          </cell>
          <cell r="F244" t="str">
            <v>ANI-EXT-PLA-3/4-AZUL</v>
          </cell>
          <cell r="G244">
            <v>811</v>
          </cell>
          <cell r="H244">
            <v>1.0266337854500618</v>
          </cell>
          <cell r="I244">
            <v>1.1908951911220715</v>
          </cell>
          <cell r="J244">
            <v>832.60000000000014</v>
          </cell>
          <cell r="K244">
            <v>965.81600000000003</v>
          </cell>
          <cell r="L244" t="str">
            <v>GRAVEDAD</v>
          </cell>
        </row>
        <row r="245">
          <cell r="A245" t="str">
            <v>21EF12</v>
          </cell>
          <cell r="B245">
            <v>44322</v>
          </cell>
          <cell r="C245">
            <v>44326</v>
          </cell>
          <cell r="D245" t="str">
            <v>HAINING LEBRIA E
BUSINESS CO.</v>
          </cell>
          <cell r="E245" t="str">
            <v>EMMA</v>
          </cell>
          <cell r="F245" t="str">
            <v>ANI-EXT-PLA-3/4-N</v>
          </cell>
          <cell r="G245">
            <v>176</v>
          </cell>
          <cell r="H245">
            <v>0.97818181818181815</v>
          </cell>
          <cell r="I245">
            <v>1.134690909090909</v>
          </cell>
          <cell r="J245">
            <v>172.16</v>
          </cell>
          <cell r="K245">
            <v>199.70559999999998</v>
          </cell>
          <cell r="L245" t="str">
            <v>GRAVEDAD</v>
          </cell>
        </row>
        <row r="246">
          <cell r="A246" t="str">
            <v>21EF12</v>
          </cell>
          <cell r="B246">
            <v>44322</v>
          </cell>
          <cell r="C246">
            <v>44326</v>
          </cell>
          <cell r="D246" t="str">
            <v>HAINING LEBRIA E
BUSINESS CO.</v>
          </cell>
          <cell r="E246" t="str">
            <v>EMMA</v>
          </cell>
          <cell r="F246" t="str">
            <v>BAR-INT-M-3/4X200</v>
          </cell>
          <cell r="G246">
            <v>12668</v>
          </cell>
          <cell r="H246">
            <v>20.748134670034734</v>
          </cell>
          <cell r="I246">
            <v>24.067836217240288</v>
          </cell>
          <cell r="J246">
            <v>262837.37</v>
          </cell>
          <cell r="K246">
            <v>304891.34919999994</v>
          </cell>
          <cell r="L246" t="str">
            <v>GRAVEDAD</v>
          </cell>
        </row>
        <row r="247">
          <cell r="A247" t="str">
            <v>21EF12</v>
          </cell>
          <cell r="B247">
            <v>44322</v>
          </cell>
          <cell r="C247">
            <v>44326</v>
          </cell>
          <cell r="D247" t="str">
            <v>HAINING LEBRIA E
BUSINESS CO.</v>
          </cell>
          <cell r="E247" t="str">
            <v>EMMA</v>
          </cell>
          <cell r="F247" t="str">
            <v>COD-INT-AC-25x200</v>
          </cell>
          <cell r="G247">
            <v>1668</v>
          </cell>
          <cell r="H247">
            <v>17.296049160671462</v>
          </cell>
          <cell r="I247">
            <v>20.063417026378893</v>
          </cell>
          <cell r="J247">
            <v>28849.809999999998</v>
          </cell>
          <cell r="K247">
            <v>33465.779599999994</v>
          </cell>
          <cell r="L247" t="str">
            <v>GRAVEDAD</v>
          </cell>
        </row>
        <row r="248">
          <cell r="A248" t="str">
            <v>21EF12</v>
          </cell>
          <cell r="B248">
            <v>44322</v>
          </cell>
          <cell r="C248">
            <v>44326</v>
          </cell>
          <cell r="D248" t="str">
            <v>HAINING LEBRIA E
BUSINESS CO.</v>
          </cell>
          <cell r="E248" t="str">
            <v>EMMA</v>
          </cell>
          <cell r="F248" t="str">
            <v>EMP-ACC-SIL-58</v>
          </cell>
          <cell r="G248">
            <v>45408</v>
          </cell>
          <cell r="H248">
            <v>1.7033443446088796</v>
          </cell>
          <cell r="I248">
            <v>1.9758794397463002</v>
          </cell>
          <cell r="J248">
            <v>77345.460000000006</v>
          </cell>
          <cell r="K248">
            <v>89720.733600000007</v>
          </cell>
          <cell r="L248" t="str">
            <v>GRAVEDAD</v>
          </cell>
        </row>
        <row r="249">
          <cell r="A249" t="str">
            <v>21EF12</v>
          </cell>
          <cell r="B249">
            <v>44322</v>
          </cell>
          <cell r="C249">
            <v>44326</v>
          </cell>
          <cell r="D249" t="str">
            <v>HAINING LEBRIA E
BUSINESS CO.</v>
          </cell>
          <cell r="E249" t="str">
            <v>EMMA</v>
          </cell>
          <cell r="F249" t="str">
            <v>MUESTRA-PEL-EMP-P-1190</v>
          </cell>
          <cell r="G249">
            <v>35</v>
          </cell>
          <cell r="H249">
            <v>68.786285714285711</v>
          </cell>
          <cell r="I249">
            <v>79.792091428571425</v>
          </cell>
          <cell r="J249">
            <v>2407.52</v>
          </cell>
          <cell r="K249">
            <v>2792.7231999999999</v>
          </cell>
          <cell r="L249" t="str">
            <v>MUESTRA</v>
          </cell>
        </row>
        <row r="250">
          <cell r="A250" t="str">
            <v>21EF12</v>
          </cell>
          <cell r="B250">
            <v>44322</v>
          </cell>
          <cell r="C250">
            <v>44326</v>
          </cell>
          <cell r="D250" t="str">
            <v>HAINING LEBRIA E
BUSINESS CO.</v>
          </cell>
          <cell r="E250" t="str">
            <v>EMMA</v>
          </cell>
          <cell r="F250" t="str">
            <v>NI-INT-1ROS-H-3/4</v>
          </cell>
          <cell r="G250">
            <v>3443</v>
          </cell>
          <cell r="H250">
            <v>17.984112692419401</v>
          </cell>
          <cell r="I250">
            <v>20.861570723206505</v>
          </cell>
          <cell r="J250">
            <v>61919.299999999996</v>
          </cell>
          <cell r="K250">
            <v>71826.387999999992</v>
          </cell>
          <cell r="L250" t="str">
            <v>GRAVEDAD</v>
          </cell>
        </row>
        <row r="251">
          <cell r="A251" t="str">
            <v>21EF12</v>
          </cell>
          <cell r="B251">
            <v>44322</v>
          </cell>
          <cell r="C251">
            <v>44326</v>
          </cell>
          <cell r="D251" t="str">
            <v>HAINING LEBRIA E
BUSINESS CO.</v>
          </cell>
          <cell r="E251" t="str">
            <v>EMMA</v>
          </cell>
          <cell r="F251" t="str">
            <v>NI-INT-2ROS-H-3/4</v>
          </cell>
          <cell r="G251">
            <v>1577</v>
          </cell>
          <cell r="H251">
            <v>19.361046290424856</v>
          </cell>
          <cell r="I251">
            <v>22.458813696892832</v>
          </cell>
          <cell r="J251">
            <v>30532.37</v>
          </cell>
          <cell r="K251">
            <v>35417.549199999994</v>
          </cell>
          <cell r="L251" t="str">
            <v>GRAVEDAD</v>
          </cell>
        </row>
        <row r="252">
          <cell r="A252" t="str">
            <v>21EF12</v>
          </cell>
          <cell r="B252">
            <v>44322</v>
          </cell>
          <cell r="C252">
            <v>44326</v>
          </cell>
          <cell r="D252" t="str">
            <v>HAINING LEBRIA E
BUSINESS CO.</v>
          </cell>
          <cell r="E252" t="str">
            <v>EMMA</v>
          </cell>
          <cell r="F252" t="str">
            <v>POL-AIS</v>
          </cell>
          <cell r="G252">
            <v>6600</v>
          </cell>
          <cell r="H252">
            <v>57.082831818181816</v>
          </cell>
          <cell r="I252">
            <v>66.216084909090895</v>
          </cell>
          <cell r="J252">
            <v>376746.69</v>
          </cell>
          <cell r="K252">
            <v>437026.16039999994</v>
          </cell>
          <cell r="L252" t="str">
            <v>PRESION / GRAVEDAD</v>
          </cell>
        </row>
        <row r="253">
          <cell r="A253" t="str">
            <v>21EF12</v>
          </cell>
          <cell r="B253">
            <v>44322</v>
          </cell>
          <cell r="C253">
            <v>44326</v>
          </cell>
          <cell r="D253" t="str">
            <v>HAINING LEBRIA E
BUSINESS CO.</v>
          </cell>
          <cell r="E253" t="str">
            <v>EMMA</v>
          </cell>
          <cell r="F253" t="str">
            <v>TAC-EXT-201-BA-0.31</v>
          </cell>
          <cell r="G253">
            <v>7774</v>
          </cell>
          <cell r="H253">
            <v>38.038249292513505</v>
          </cell>
          <cell r="I253">
            <v>44.124369179315664</v>
          </cell>
          <cell r="J253">
            <v>295709.34999999998</v>
          </cell>
          <cell r="K253">
            <v>343022.84599999996</v>
          </cell>
          <cell r="L253" t="str">
            <v>GRAVEDAD</v>
          </cell>
        </row>
        <row r="254">
          <cell r="A254" t="str">
            <v>21EF12</v>
          </cell>
          <cell r="B254">
            <v>44322</v>
          </cell>
          <cell r="C254">
            <v>44326</v>
          </cell>
          <cell r="D254" t="str">
            <v>HAINING LEBRIA E
BUSINESS CO.</v>
          </cell>
          <cell r="E254" t="str">
            <v>EMMA</v>
          </cell>
          <cell r="F254" t="str">
            <v>TAC-INT-304-2B-0.41</v>
          </cell>
          <cell r="G254">
            <v>3500</v>
          </cell>
          <cell r="H254">
            <v>28.096514285714285</v>
          </cell>
          <cell r="I254">
            <v>32.591956571428568</v>
          </cell>
          <cell r="J254">
            <v>98337.8</v>
          </cell>
          <cell r="K254">
            <v>114071.84799999998</v>
          </cell>
          <cell r="L254" t="str">
            <v>GRAVEDAD</v>
          </cell>
        </row>
        <row r="255">
          <cell r="A255" t="str">
            <v>21EF13</v>
          </cell>
          <cell r="B255">
            <v>44329</v>
          </cell>
          <cell r="C255">
            <v>44334</v>
          </cell>
          <cell r="D255" t="str">
            <v>HAINING LEBRIA E
BUSINESS CO.</v>
          </cell>
          <cell r="E255" t="str">
            <v>EMMA</v>
          </cell>
          <cell r="F255" t="str">
            <v>POL-AIS</v>
          </cell>
          <cell r="G255">
            <v>16720</v>
          </cell>
          <cell r="H255">
            <v>57.739416866028712</v>
          </cell>
          <cell r="I255">
            <v>66.977723564593305</v>
          </cell>
          <cell r="J255">
            <v>965403.05</v>
          </cell>
          <cell r="K255">
            <v>1119867.5379999999</v>
          </cell>
          <cell r="L255" t="str">
            <v>PRESION / GRAVEDAD</v>
          </cell>
        </row>
        <row r="256">
          <cell r="A256" t="str">
            <v>21EF13</v>
          </cell>
          <cell r="B256">
            <v>44329</v>
          </cell>
          <cell r="C256">
            <v>44334</v>
          </cell>
          <cell r="D256" t="str">
            <v>HAINING LEBRIA E
BUSINESS CO.</v>
          </cell>
          <cell r="E256" t="str">
            <v>EMMA</v>
          </cell>
          <cell r="F256" t="str">
            <v>UNI-EMP-CEN</v>
          </cell>
          <cell r="G256">
            <v>9600</v>
          </cell>
          <cell r="H256">
            <v>1.4507239583333333</v>
          </cell>
          <cell r="I256">
            <v>1.6828397916666666</v>
          </cell>
          <cell r="J256">
            <v>13926.95</v>
          </cell>
          <cell r="K256">
            <v>16155.262000000001</v>
          </cell>
          <cell r="L256" t="str">
            <v>GRAVEDAD</v>
          </cell>
        </row>
        <row r="257">
          <cell r="A257" t="str">
            <v>21EF13</v>
          </cell>
          <cell r="B257">
            <v>44329</v>
          </cell>
          <cell r="C257">
            <v>44334</v>
          </cell>
          <cell r="D257" t="str">
            <v>HAINING LEBRIA E
BUSINESS CO.</v>
          </cell>
          <cell r="E257" t="str">
            <v>EMMA</v>
          </cell>
          <cell r="F257" t="str">
            <v>UNI-EMP-ORI</v>
          </cell>
          <cell r="G257">
            <v>4400</v>
          </cell>
          <cell r="H257">
            <v>2.7241568181818185</v>
          </cell>
          <cell r="I257">
            <v>3.1600219090909092</v>
          </cell>
          <cell r="J257">
            <v>11986.29</v>
          </cell>
          <cell r="K257">
            <v>13904.0964</v>
          </cell>
          <cell r="L257" t="str">
            <v>GRAVEDAD</v>
          </cell>
        </row>
        <row r="258">
          <cell r="A258" t="str">
            <v>21EF14</v>
          </cell>
          <cell r="B258">
            <v>44329</v>
          </cell>
          <cell r="C258">
            <v>44331</v>
          </cell>
          <cell r="D258" t="str">
            <v>HELIOS POWER LTD</v>
          </cell>
          <cell r="E258" t="str">
            <v>PHILIP</v>
          </cell>
          <cell r="F258" t="str">
            <v>ANI-ACC-PLA-58</v>
          </cell>
          <cell r="G258">
            <v>144800</v>
          </cell>
          <cell r="H258">
            <v>0.39825476519337016</v>
          </cell>
          <cell r="I258">
            <v>0.46197552762430938</v>
          </cell>
          <cell r="J258">
            <v>57667.29</v>
          </cell>
          <cell r="K258">
            <v>66894.056400000001</v>
          </cell>
          <cell r="L258" t="str">
            <v>GRAVEDAD</v>
          </cell>
        </row>
        <row r="259">
          <cell r="A259" t="str">
            <v>21EF14</v>
          </cell>
          <cell r="B259">
            <v>44329</v>
          </cell>
          <cell r="C259">
            <v>44331</v>
          </cell>
          <cell r="D259" t="str">
            <v>HELIOS POWER LTD</v>
          </cell>
          <cell r="E259" t="str">
            <v>PHILIP</v>
          </cell>
          <cell r="F259" t="str">
            <v>ANI-EXT-PLA-3/4-N</v>
          </cell>
          <cell r="G259">
            <v>36200</v>
          </cell>
          <cell r="H259">
            <v>1.0833875690607735</v>
          </cell>
          <cell r="I259">
            <v>1.2567295801104972</v>
          </cell>
          <cell r="J259">
            <v>39218.629999999997</v>
          </cell>
          <cell r="K259">
            <v>45493.610799999995</v>
          </cell>
          <cell r="L259" t="str">
            <v>GRAVEDAD</v>
          </cell>
        </row>
        <row r="260">
          <cell r="A260" t="str">
            <v>21EF14</v>
          </cell>
          <cell r="B260">
            <v>44329</v>
          </cell>
          <cell r="C260">
            <v>44331</v>
          </cell>
          <cell r="D260" t="str">
            <v>HELIOS POWER LTD</v>
          </cell>
          <cell r="E260" t="str">
            <v>PHILIP</v>
          </cell>
          <cell r="F260" t="str">
            <v>BAR-INT-M-3/4X300</v>
          </cell>
          <cell r="G260">
            <v>12100</v>
          </cell>
          <cell r="H260">
            <v>25.12374958677686</v>
          </cell>
          <cell r="I260">
            <v>29.143549520661157</v>
          </cell>
          <cell r="J260">
            <v>303997.37</v>
          </cell>
          <cell r="K260">
            <v>352636.94919999997</v>
          </cell>
          <cell r="L260" t="str">
            <v>GRAVEDAD</v>
          </cell>
        </row>
        <row r="261">
          <cell r="A261" t="str">
            <v>21EF14</v>
          </cell>
          <cell r="B261">
            <v>44329</v>
          </cell>
          <cell r="C261">
            <v>44331</v>
          </cell>
          <cell r="D261" t="str">
            <v>HELIOS POWER LTD</v>
          </cell>
          <cell r="E261" t="str">
            <v>PHILIP</v>
          </cell>
          <cell r="F261" t="str">
            <v>BOL-EMP-PE</v>
          </cell>
          <cell r="G261">
            <v>333.2</v>
          </cell>
          <cell r="H261">
            <v>37.946248499399765</v>
          </cell>
          <cell r="I261">
            <v>44.017648259303726</v>
          </cell>
          <cell r="J261">
            <v>12643.69</v>
          </cell>
          <cell r="K261">
            <v>14666.680400000001</v>
          </cell>
          <cell r="L261" t="str">
            <v>GRAVEDAD</v>
          </cell>
        </row>
        <row r="262">
          <cell r="A262" t="str">
            <v>21EF14</v>
          </cell>
          <cell r="B262">
            <v>44329</v>
          </cell>
          <cell r="C262">
            <v>44331</v>
          </cell>
          <cell r="D262" t="str">
            <v>HELIOS POWER LTD</v>
          </cell>
          <cell r="E262" t="str">
            <v>PHILIP</v>
          </cell>
          <cell r="F262" t="str">
            <v>COD-INT-AC-25x200</v>
          </cell>
          <cell r="G262">
            <v>4000</v>
          </cell>
          <cell r="H262">
            <v>16.211770000000001</v>
          </cell>
          <cell r="I262">
            <v>18.805653200000002</v>
          </cell>
          <cell r="J262">
            <v>64847.08</v>
          </cell>
          <cell r="K262">
            <v>75222.612800000003</v>
          </cell>
          <cell r="L262" t="str">
            <v>GRAVEDAD</v>
          </cell>
        </row>
        <row r="263">
          <cell r="A263" t="str">
            <v>21EF14</v>
          </cell>
          <cell r="B263">
            <v>44329</v>
          </cell>
          <cell r="C263">
            <v>44331</v>
          </cell>
          <cell r="D263" t="str">
            <v>HELIOS POWER LTD</v>
          </cell>
          <cell r="E263" t="str">
            <v>PHILIP</v>
          </cell>
          <cell r="F263" t="str">
            <v>NI-INT-1ROS-H-3/4</v>
          </cell>
          <cell r="G263">
            <v>1500</v>
          </cell>
          <cell r="H263">
            <v>18.416033333333331</v>
          </cell>
          <cell r="I263">
            <v>21.362598666666663</v>
          </cell>
          <cell r="J263">
            <v>27624.049999999996</v>
          </cell>
          <cell r="K263">
            <v>32043.897999999994</v>
          </cell>
          <cell r="L263" t="str">
            <v>GRAVEDAD</v>
          </cell>
        </row>
        <row r="264">
          <cell r="A264" t="str">
            <v>21EF14</v>
          </cell>
          <cell r="B264">
            <v>44329</v>
          </cell>
          <cell r="C264">
            <v>44331</v>
          </cell>
          <cell r="D264" t="str">
            <v>HELIOS POWER LTD</v>
          </cell>
          <cell r="E264" t="str">
            <v>PHILIP</v>
          </cell>
          <cell r="F264" t="str">
            <v>NI-INT-2ROS-H-3/4</v>
          </cell>
          <cell r="G264">
            <v>1500</v>
          </cell>
          <cell r="H264">
            <v>19.567686666666667</v>
          </cell>
          <cell r="I264">
            <v>22.698516533333333</v>
          </cell>
          <cell r="J264">
            <v>29351.53</v>
          </cell>
          <cell r="K264">
            <v>34047.774799999999</v>
          </cell>
          <cell r="L264" t="str">
            <v>GRAVEDAD</v>
          </cell>
        </row>
        <row r="265">
          <cell r="A265" t="str">
            <v>21EF14</v>
          </cell>
          <cell r="B265">
            <v>44329</v>
          </cell>
          <cell r="C265">
            <v>44331</v>
          </cell>
          <cell r="D265" t="str">
            <v>HELIOS POWER LTD</v>
          </cell>
          <cell r="E265" t="str">
            <v>PHILIP</v>
          </cell>
          <cell r="F265" t="str">
            <v>TAC-EXT-201-BA-0.31</v>
          </cell>
          <cell r="G265">
            <v>10028</v>
          </cell>
          <cell r="H265">
            <v>39.041926605504585</v>
          </cell>
          <cell r="I265">
            <v>45.288634862385315</v>
          </cell>
          <cell r="J265">
            <v>391512.44</v>
          </cell>
          <cell r="K265">
            <v>454154.43039999995</v>
          </cell>
          <cell r="L265" t="str">
            <v>GRAVEDAD</v>
          </cell>
        </row>
        <row r="266">
          <cell r="A266" t="str">
            <v>21EF14</v>
          </cell>
          <cell r="B266">
            <v>44329</v>
          </cell>
          <cell r="C266">
            <v>44331</v>
          </cell>
          <cell r="D266" t="str">
            <v>HELIOS POWER LTD</v>
          </cell>
          <cell r="E266" t="str">
            <v>PHILIP</v>
          </cell>
          <cell r="F266" t="str">
            <v>TAC-INT-304-2B-0.41</v>
          </cell>
          <cell r="G266">
            <v>1000</v>
          </cell>
          <cell r="H266">
            <v>29.96255</v>
          </cell>
          <cell r="I266">
            <v>34.756557999999998</v>
          </cell>
          <cell r="J266">
            <v>29962.55</v>
          </cell>
          <cell r="K266">
            <v>34756.557999999997</v>
          </cell>
          <cell r="L266" t="str">
            <v>GRAVEDAD</v>
          </cell>
        </row>
        <row r="267">
          <cell r="A267" t="str">
            <v>21EF15</v>
          </cell>
          <cell r="B267">
            <v>44330</v>
          </cell>
          <cell r="C267">
            <v>44334</v>
          </cell>
          <cell r="D267" t="str">
            <v>HAINING LEBRIA E
BUSINESS CO.</v>
          </cell>
          <cell r="E267" t="str">
            <v>EMMA</v>
          </cell>
          <cell r="F267" t="str">
            <v>ANI-INY-SIL-66</v>
          </cell>
          <cell r="G267">
            <v>3000</v>
          </cell>
          <cell r="H267">
            <v>2.0491199999999998</v>
          </cell>
          <cell r="I267">
            <v>2.3769791999999996</v>
          </cell>
          <cell r="J267">
            <v>6147.36</v>
          </cell>
          <cell r="K267">
            <v>7130.9375999999993</v>
          </cell>
          <cell r="L267" t="str">
            <v>GRAVEDAD</v>
          </cell>
        </row>
        <row r="268">
          <cell r="A268" t="str">
            <v>21EF15</v>
          </cell>
          <cell r="B268">
            <v>44330</v>
          </cell>
          <cell r="C268">
            <v>44334</v>
          </cell>
          <cell r="D268" t="str">
            <v>HAINING LEBRIA E
BUSINESS CO.</v>
          </cell>
          <cell r="E268" t="str">
            <v>EMMA</v>
          </cell>
          <cell r="F268" t="str">
            <v>BOL-EMP-PE</v>
          </cell>
          <cell r="G268">
            <v>116.4</v>
          </cell>
          <cell r="H268">
            <v>36.032817869415808</v>
          </cell>
          <cell r="I268">
            <v>41.798068728522338</v>
          </cell>
          <cell r="J268">
            <v>4194.22</v>
          </cell>
          <cell r="K268">
            <v>4865.2952000000005</v>
          </cell>
          <cell r="L268" t="str">
            <v>GRAVEDAD</v>
          </cell>
        </row>
        <row r="269">
          <cell r="A269" t="str">
            <v>21EF15</v>
          </cell>
          <cell r="B269">
            <v>44330</v>
          </cell>
          <cell r="C269">
            <v>44334</v>
          </cell>
          <cell r="D269" t="str">
            <v>HAINING LEBRIA E
BUSINESS CO.</v>
          </cell>
          <cell r="E269" t="str">
            <v>EMMA</v>
          </cell>
          <cell r="F269" t="str">
            <v>CIN-EMP</v>
          </cell>
          <cell r="G269">
            <v>600</v>
          </cell>
          <cell r="H269">
            <v>18.489483333333336</v>
          </cell>
          <cell r="I269">
            <v>21.447800666666669</v>
          </cell>
          <cell r="J269">
            <v>11093.690000000002</v>
          </cell>
          <cell r="K269">
            <v>12868.680400000001</v>
          </cell>
          <cell r="L269" t="str">
            <v>PRESION / GRAVEDAD</v>
          </cell>
        </row>
        <row r="270">
          <cell r="A270" t="str">
            <v>21EF15</v>
          </cell>
          <cell r="B270">
            <v>44330</v>
          </cell>
          <cell r="C270">
            <v>44334</v>
          </cell>
          <cell r="D270" t="str">
            <v>HAINING LEBRIA E
BUSINESS CO.</v>
          </cell>
          <cell r="E270" t="str">
            <v>EMMA</v>
          </cell>
          <cell r="F270" t="str">
            <v>CIN-EMP-600</v>
          </cell>
          <cell r="G270">
            <v>200</v>
          </cell>
          <cell r="H270">
            <v>96.810399999999987</v>
          </cell>
          <cell r="I270">
            <v>112.30006399999998</v>
          </cell>
          <cell r="J270">
            <v>19362.079999999998</v>
          </cell>
          <cell r="K270">
            <v>22460.012799999997</v>
          </cell>
          <cell r="L270" t="str">
            <v>PRESION / GRAVEDAD</v>
          </cell>
        </row>
        <row r="271">
          <cell r="A271" t="str">
            <v>21EF15</v>
          </cell>
          <cell r="B271">
            <v>44330</v>
          </cell>
          <cell r="C271">
            <v>44334</v>
          </cell>
          <cell r="D271" t="str">
            <v>HAINING LEBRIA E
BUSINESS CO.</v>
          </cell>
          <cell r="E271" t="str">
            <v>EMMA</v>
          </cell>
          <cell r="F271" t="str">
            <v>CIN-EMP-600</v>
          </cell>
          <cell r="G271">
            <v>50</v>
          </cell>
          <cell r="H271">
            <v>96.810399999999987</v>
          </cell>
          <cell r="I271">
            <v>112.30006399999998</v>
          </cell>
          <cell r="J271">
            <v>4840.5199999999995</v>
          </cell>
          <cell r="K271">
            <v>5615.0031999999992</v>
          </cell>
          <cell r="L271" t="str">
            <v>PRESION / GRAVEDAD</v>
          </cell>
        </row>
        <row r="272">
          <cell r="A272" t="str">
            <v>21EF15</v>
          </cell>
          <cell r="B272">
            <v>44330</v>
          </cell>
          <cell r="C272">
            <v>44334</v>
          </cell>
          <cell r="D272" t="str">
            <v>HAINING LEBRIA E
BUSINESS CO.</v>
          </cell>
          <cell r="E272" t="str">
            <v>EMMA</v>
          </cell>
          <cell r="F272" t="str">
            <v>EMP-ACC-SIL-58</v>
          </cell>
          <cell r="G272">
            <v>76000</v>
          </cell>
          <cell r="H272">
            <v>1.7412006578947368</v>
          </cell>
          <cell r="I272">
            <v>2.0197927631578945</v>
          </cell>
          <cell r="J272">
            <v>132331.25</v>
          </cell>
          <cell r="K272">
            <v>153504.24999999997</v>
          </cell>
          <cell r="L272" t="str">
            <v>GRAVEDAD</v>
          </cell>
        </row>
        <row r="273">
          <cell r="A273" t="str">
            <v>21EF15</v>
          </cell>
          <cell r="B273">
            <v>44330</v>
          </cell>
          <cell r="C273">
            <v>44334</v>
          </cell>
          <cell r="D273" t="str">
            <v>HAINING LEBRIA E
BUSINESS CO.</v>
          </cell>
          <cell r="E273" t="str">
            <v>EMMA</v>
          </cell>
          <cell r="F273" t="str">
            <v>NI-INT-1ROS-H-3/4</v>
          </cell>
          <cell r="G273">
            <v>14000</v>
          </cell>
          <cell r="H273">
            <v>17.237252142857141</v>
          </cell>
          <cell r="I273">
            <v>19.995212485714283</v>
          </cell>
          <cell r="J273">
            <v>241321.52999999997</v>
          </cell>
          <cell r="K273">
            <v>279932.97479999997</v>
          </cell>
          <cell r="L273" t="str">
            <v>GRAVEDAD</v>
          </cell>
        </row>
        <row r="274">
          <cell r="A274" t="str">
            <v>21EF15</v>
          </cell>
          <cell r="B274">
            <v>44330</v>
          </cell>
          <cell r="C274">
            <v>44334</v>
          </cell>
          <cell r="D274" t="str">
            <v>HAINING LEBRIA E
BUSINESS CO.</v>
          </cell>
          <cell r="E274" t="str">
            <v>EMMA</v>
          </cell>
          <cell r="F274" t="str">
            <v>NI-INT-2ROS-H-3/4</v>
          </cell>
          <cell r="G274">
            <v>7000</v>
          </cell>
          <cell r="H274">
            <v>18.587811428571428</v>
          </cell>
          <cell r="I274">
            <v>21.561861257142855</v>
          </cell>
          <cell r="J274">
            <v>130114.68</v>
          </cell>
          <cell r="K274">
            <v>150933.02879999997</v>
          </cell>
          <cell r="L274" t="str">
            <v>GRAVEDAD</v>
          </cell>
        </row>
        <row r="275">
          <cell r="A275" t="str">
            <v>21EF15</v>
          </cell>
          <cell r="B275">
            <v>44330</v>
          </cell>
          <cell r="C275">
            <v>44334</v>
          </cell>
          <cell r="D275" t="str">
            <v>HAINING LEBRIA E
BUSINESS CO.</v>
          </cell>
          <cell r="E275" t="str">
            <v>EMMA</v>
          </cell>
          <cell r="F275" t="str">
            <v>PEL-EMP</v>
          </cell>
          <cell r="G275">
            <v>70</v>
          </cell>
          <cell r="H275">
            <v>68.93657142857144</v>
          </cell>
          <cell r="I275">
            <v>79.966422857142859</v>
          </cell>
          <cell r="J275">
            <v>4825.5600000000004</v>
          </cell>
          <cell r="K275">
            <v>5597.6495999999997</v>
          </cell>
          <cell r="L275" t="str">
            <v>GRAVEDAD</v>
          </cell>
        </row>
        <row r="276">
          <cell r="A276" t="str">
            <v>21EF15</v>
          </cell>
          <cell r="B276">
            <v>44330</v>
          </cell>
          <cell r="C276">
            <v>44334</v>
          </cell>
          <cell r="D276" t="str">
            <v>HAINING LEBRIA E
BUSINESS CO.</v>
          </cell>
          <cell r="E276" t="str">
            <v>EMMA</v>
          </cell>
          <cell r="F276" t="str">
            <v>POL-AIS</v>
          </cell>
          <cell r="G276">
            <v>1760</v>
          </cell>
          <cell r="H276">
            <v>56.612676136363632</v>
          </cell>
          <cell r="I276">
            <v>65.670704318181805</v>
          </cell>
          <cell r="J276">
            <v>99638.31</v>
          </cell>
          <cell r="K276">
            <v>115580.43959999998</v>
          </cell>
          <cell r="L276" t="str">
            <v>PRESION / GRAVEDAD</v>
          </cell>
        </row>
        <row r="277">
          <cell r="A277" t="str">
            <v>21EF15</v>
          </cell>
          <cell r="B277">
            <v>44330</v>
          </cell>
          <cell r="C277">
            <v>44334</v>
          </cell>
          <cell r="D277" t="str">
            <v>HAINING LEBRIA E
BUSINESS CO.</v>
          </cell>
          <cell r="E277" t="str">
            <v>EMMA</v>
          </cell>
          <cell r="F277" t="str">
            <v>TAC-EXT-201-BA-0.31</v>
          </cell>
          <cell r="G277">
            <v>1932</v>
          </cell>
          <cell r="H277">
            <v>37.962065217391306</v>
          </cell>
          <cell r="I277">
            <v>44.035995652173909</v>
          </cell>
          <cell r="J277">
            <v>73342.710000000006</v>
          </cell>
          <cell r="K277">
            <v>85077.54359999999</v>
          </cell>
          <cell r="L277" t="str">
            <v>GRAVEDAD</v>
          </cell>
        </row>
        <row r="278">
          <cell r="A278" t="str">
            <v>21EF15</v>
          </cell>
          <cell r="B278">
            <v>44330</v>
          </cell>
          <cell r="C278">
            <v>44334</v>
          </cell>
          <cell r="D278" t="str">
            <v>HAINING LEBRIA E
BUSINESS CO.</v>
          </cell>
          <cell r="E278" t="str">
            <v>EMMA</v>
          </cell>
          <cell r="F278" t="str">
            <v>TAC-INT-304-2B-0.41</v>
          </cell>
          <cell r="G278">
            <v>12000</v>
          </cell>
          <cell r="H278">
            <v>27.607014166666666</v>
          </cell>
          <cell r="I278">
            <v>32.024136433333332</v>
          </cell>
          <cell r="J278">
            <v>331284.17</v>
          </cell>
          <cell r="K278">
            <v>384289.6372</v>
          </cell>
          <cell r="L278" t="str">
            <v>GRAVEDAD</v>
          </cell>
        </row>
        <row r="279">
          <cell r="A279" t="str">
            <v>21EF15</v>
          </cell>
          <cell r="B279">
            <v>44330</v>
          </cell>
          <cell r="C279">
            <v>44334</v>
          </cell>
          <cell r="D279" t="str">
            <v>HAINING LEBRIA E
BUSINESS CO.</v>
          </cell>
          <cell r="E279" t="str">
            <v>EMMA</v>
          </cell>
          <cell r="F279" t="str">
            <v>TOR-EXT</v>
          </cell>
          <cell r="G279">
            <v>48400</v>
          </cell>
          <cell r="H279">
            <v>1.371456611570248</v>
          </cell>
          <cell r="I279">
            <v>1.5908896694214876</v>
          </cell>
          <cell r="J279">
            <v>66378.5</v>
          </cell>
          <cell r="K279">
            <v>76999.06</v>
          </cell>
          <cell r="L279" t="str">
            <v>PRESION / GRAVEDAD</v>
          </cell>
        </row>
        <row r="280">
          <cell r="A280" t="str">
            <v>21EF15</v>
          </cell>
          <cell r="B280">
            <v>44330</v>
          </cell>
          <cell r="C280">
            <v>44334</v>
          </cell>
          <cell r="D280" t="str">
            <v>HAINING LEBRIA E
BUSINESS CO.</v>
          </cell>
          <cell r="E280" t="str">
            <v>EMMA</v>
          </cell>
          <cell r="F280" t="str">
            <v>UNI-EMP-ORI</v>
          </cell>
          <cell r="G280">
            <v>7460</v>
          </cell>
          <cell r="H280">
            <v>2.5627131367292226</v>
          </cell>
          <cell r="I280">
            <v>2.9727472386058982</v>
          </cell>
          <cell r="J280">
            <v>19117.84</v>
          </cell>
          <cell r="K280">
            <v>22176.6944</v>
          </cell>
          <cell r="L280" t="str">
            <v>GRAVEDAD</v>
          </cell>
        </row>
        <row r="281">
          <cell r="A281" t="str">
            <v>21EF16</v>
          </cell>
          <cell r="B281">
            <v>44355</v>
          </cell>
          <cell r="C281">
            <v>44363</v>
          </cell>
          <cell r="D281" t="str">
            <v>HAINING LEBRIA E
BUSINESS CO.</v>
          </cell>
          <cell r="E281" t="str">
            <v>EMMA</v>
          </cell>
          <cell r="F281" t="str">
            <v>COD-BARR-ROLLO-100</v>
          </cell>
          <cell r="G281">
            <v>30</v>
          </cell>
          <cell r="H281">
            <v>80.048333333333332</v>
          </cell>
          <cell r="I281">
            <v>92.856066666666663</v>
          </cell>
          <cell r="J281">
            <v>2401.4499999999998</v>
          </cell>
          <cell r="K281">
            <v>2785.6819999999998</v>
          </cell>
          <cell r="L281" t="str">
            <v>GRAVEDAD</v>
          </cell>
        </row>
        <row r="282">
          <cell r="A282" t="str">
            <v>21EF16</v>
          </cell>
          <cell r="B282">
            <v>44355</v>
          </cell>
          <cell r="C282">
            <v>44363</v>
          </cell>
          <cell r="D282" t="str">
            <v>HAINING LEBRIA E
BUSINESS CO.</v>
          </cell>
          <cell r="E282" t="str">
            <v>EMMA</v>
          </cell>
          <cell r="F282" t="str">
            <v>EMP-ACC-SIL-58</v>
          </cell>
          <cell r="G282">
            <v>68800</v>
          </cell>
          <cell r="H282">
            <v>1.6781918604651163</v>
          </cell>
          <cell r="I282">
            <v>1.9467025581395347</v>
          </cell>
          <cell r="J282">
            <v>115459.6</v>
          </cell>
          <cell r="K282">
            <v>133933.136</v>
          </cell>
          <cell r="L282" t="str">
            <v>GRAVEDAD</v>
          </cell>
        </row>
        <row r="283">
          <cell r="A283" t="str">
            <v>21EF16</v>
          </cell>
          <cell r="B283">
            <v>44355</v>
          </cell>
          <cell r="C283">
            <v>44363</v>
          </cell>
          <cell r="D283" t="str">
            <v>HAINING LEBRIA E
BUSINESS CO.</v>
          </cell>
          <cell r="E283" t="str">
            <v>EMMA</v>
          </cell>
          <cell r="F283" t="str">
            <v>MDI-AIS</v>
          </cell>
          <cell r="G283">
            <v>9750</v>
          </cell>
          <cell r="H283">
            <v>62.493210256410258</v>
          </cell>
          <cell r="I283">
            <v>72.492123897435889</v>
          </cell>
          <cell r="J283">
            <v>609308.80000000005</v>
          </cell>
          <cell r="K283">
            <v>706798.20799999987</v>
          </cell>
          <cell r="L283" t="str">
            <v>PRESION / GRAVEDAD</v>
          </cell>
        </row>
        <row r="284">
          <cell r="A284" t="str">
            <v>21EF16</v>
          </cell>
          <cell r="B284">
            <v>44355</v>
          </cell>
          <cell r="C284">
            <v>44363</v>
          </cell>
          <cell r="D284" t="str">
            <v>HAINING LEBRIA E
BUSINESS CO.</v>
          </cell>
          <cell r="E284" t="str">
            <v>EMMA</v>
          </cell>
          <cell r="F284" t="str">
            <v>NI-INT-1ROS-H-3/4</v>
          </cell>
          <cell r="G284">
            <v>10200</v>
          </cell>
          <cell r="H284">
            <v>16.606771568627451</v>
          </cell>
          <cell r="I284">
            <v>19.263855019607842</v>
          </cell>
          <cell r="J284">
            <v>169389.07</v>
          </cell>
          <cell r="K284">
            <v>196491.32119999998</v>
          </cell>
          <cell r="L284" t="str">
            <v>GRAVEDAD</v>
          </cell>
        </row>
        <row r="285">
          <cell r="A285" t="str">
            <v>21EF16</v>
          </cell>
          <cell r="B285">
            <v>44355</v>
          </cell>
          <cell r="C285">
            <v>44363</v>
          </cell>
          <cell r="D285" t="str">
            <v>HAINING LEBRIA E
BUSINESS CO.</v>
          </cell>
          <cell r="E285" t="str">
            <v>EMMA</v>
          </cell>
          <cell r="F285" t="str">
            <v>NI-INT-2ROS-H-3/4</v>
          </cell>
          <cell r="G285">
            <v>5100</v>
          </cell>
          <cell r="H285">
            <v>17.905529411764704</v>
          </cell>
          <cell r="I285">
            <v>20.770414117647054</v>
          </cell>
          <cell r="J285">
            <v>91318.199999999983</v>
          </cell>
          <cell r="K285">
            <v>105929.11199999998</v>
          </cell>
          <cell r="L285" t="str">
            <v>GRAVEDAD</v>
          </cell>
        </row>
        <row r="286">
          <cell r="A286" t="str">
            <v>21EF16</v>
          </cell>
          <cell r="B286">
            <v>44355</v>
          </cell>
          <cell r="C286">
            <v>44363</v>
          </cell>
          <cell r="D286" t="str">
            <v>HAINING LEBRIA E
BUSINESS CO.</v>
          </cell>
          <cell r="E286" t="str">
            <v>EMMA</v>
          </cell>
          <cell r="F286" t="str">
            <v>R-SILICON-CIRCULAR</v>
          </cell>
          <cell r="G286">
            <v>100</v>
          </cell>
          <cell r="H286">
            <v>27.525100000000002</v>
          </cell>
          <cell r="I286">
            <v>31.929116</v>
          </cell>
          <cell r="J286">
            <v>2752.51</v>
          </cell>
          <cell r="K286">
            <v>3192.9115999999999</v>
          </cell>
          <cell r="L286" t="str">
            <v>REFACCION</v>
          </cell>
        </row>
        <row r="287">
          <cell r="A287" t="str">
            <v>21EF16</v>
          </cell>
          <cell r="B287">
            <v>44355</v>
          </cell>
          <cell r="C287">
            <v>44363</v>
          </cell>
          <cell r="D287" t="str">
            <v>HAINING LEBRIA E
BUSINESS CO.</v>
          </cell>
          <cell r="E287" t="str">
            <v>EMMA</v>
          </cell>
          <cell r="F287" t="str">
            <v>TAC-EXT-201-BA-0.31</v>
          </cell>
          <cell r="G287">
            <v>700</v>
          </cell>
          <cell r="H287">
            <v>36.561971428571432</v>
          </cell>
          <cell r="I287">
            <v>42.411886857142861</v>
          </cell>
          <cell r="J287">
            <v>25593.38</v>
          </cell>
          <cell r="K287">
            <v>29688.320800000001</v>
          </cell>
          <cell r="L287" t="str">
            <v>GRAVEDAD</v>
          </cell>
        </row>
        <row r="288">
          <cell r="A288" t="str">
            <v>21EF16</v>
          </cell>
          <cell r="B288">
            <v>44355</v>
          </cell>
          <cell r="C288">
            <v>44363</v>
          </cell>
          <cell r="D288" t="str">
            <v>HAINING LEBRIA E
BUSINESS CO.</v>
          </cell>
          <cell r="E288" t="str">
            <v>EMMA</v>
          </cell>
          <cell r="F288" t="str">
            <v>TAC-EXT-201-BA-0.31-ERA</v>
          </cell>
          <cell r="G288">
            <v>300</v>
          </cell>
          <cell r="H288">
            <v>36.588966666666671</v>
          </cell>
          <cell r="I288">
            <v>42.443201333333334</v>
          </cell>
          <cell r="J288">
            <v>10976.69</v>
          </cell>
          <cell r="K288">
            <v>12732.9604</v>
          </cell>
          <cell r="L288" t="str">
            <v>GRAVEDAD</v>
          </cell>
        </row>
        <row r="289">
          <cell r="A289" t="str">
            <v>21EF16</v>
          </cell>
          <cell r="B289">
            <v>44355</v>
          </cell>
          <cell r="C289">
            <v>44363</v>
          </cell>
          <cell r="D289" t="str">
            <v>HAINING LEBRIA E
BUSINESS CO.</v>
          </cell>
          <cell r="E289" t="str">
            <v>EMMA</v>
          </cell>
          <cell r="F289" t="str">
            <v>TAC-INT-304-2B-0.41</v>
          </cell>
          <cell r="G289">
            <v>12200</v>
          </cell>
          <cell r="H289">
            <v>26.594467213114754</v>
          </cell>
          <cell r="I289">
            <v>30.849581967213112</v>
          </cell>
          <cell r="J289">
            <v>324452.5</v>
          </cell>
          <cell r="K289">
            <v>376364.89999999997</v>
          </cell>
          <cell r="L289" t="str">
            <v>GRAVEDAD</v>
          </cell>
        </row>
        <row r="290">
          <cell r="A290" t="str">
            <v>21EF16</v>
          </cell>
          <cell r="B290">
            <v>44355</v>
          </cell>
          <cell r="C290">
            <v>44363</v>
          </cell>
          <cell r="D290" t="str">
            <v>HAINING LEBRIA E
BUSINESS CO.</v>
          </cell>
          <cell r="E290" t="str">
            <v>EMMA</v>
          </cell>
          <cell r="F290" t="str">
            <v>TPE-20</v>
          </cell>
          <cell r="G290">
            <v>1</v>
          </cell>
          <cell r="H290">
            <v>3485.5</v>
          </cell>
          <cell r="I290">
            <v>4043.18</v>
          </cell>
          <cell r="J290">
            <v>3485.5</v>
          </cell>
          <cell r="K290">
            <v>4043.18</v>
          </cell>
          <cell r="L290" t="str">
            <v>MUESTRA</v>
          </cell>
        </row>
        <row r="291">
          <cell r="A291" t="str">
            <v>21EF16</v>
          </cell>
          <cell r="B291">
            <v>44355</v>
          </cell>
          <cell r="C291">
            <v>44363</v>
          </cell>
          <cell r="D291" t="str">
            <v>HAINING LEBRIA E
BUSINESS CO.</v>
          </cell>
          <cell r="E291" t="str">
            <v>EMMA</v>
          </cell>
          <cell r="F291" t="str">
            <v>TPE-26</v>
          </cell>
          <cell r="G291">
            <v>1</v>
          </cell>
          <cell r="H291">
            <v>4083.31</v>
          </cell>
          <cell r="I291">
            <v>4736.6395999999995</v>
          </cell>
          <cell r="J291">
            <v>4083.31</v>
          </cell>
          <cell r="K291">
            <v>4736.6395999999995</v>
          </cell>
          <cell r="L291" t="str">
            <v>MUESTRA</v>
          </cell>
        </row>
        <row r="292">
          <cell r="A292" t="str">
            <v>21EF16</v>
          </cell>
          <cell r="B292">
            <v>44355</v>
          </cell>
          <cell r="C292">
            <v>44363</v>
          </cell>
          <cell r="D292" t="str">
            <v>HAINING LEBRIA E
BUSINESS CO.</v>
          </cell>
          <cell r="E292" t="str">
            <v>EMMA</v>
          </cell>
          <cell r="F292" t="str">
            <v>UNI-EMP-CEN</v>
          </cell>
          <cell r="G292">
            <v>8000</v>
          </cell>
          <cell r="H292">
            <v>1.33249375</v>
          </cell>
          <cell r="I292">
            <v>1.5456927499999999</v>
          </cell>
          <cell r="J292">
            <v>10659.95</v>
          </cell>
          <cell r="K292">
            <v>12365.541999999999</v>
          </cell>
          <cell r="L292" t="str">
            <v>GRAVEDAD</v>
          </cell>
        </row>
        <row r="293">
          <cell r="A293" t="str">
            <v>21EF16</v>
          </cell>
          <cell r="B293">
            <v>44355</v>
          </cell>
          <cell r="C293">
            <v>44363</v>
          </cell>
          <cell r="D293" t="str">
            <v>HAINING LEBRIA E
BUSINESS CO.</v>
          </cell>
          <cell r="E293" t="str">
            <v>EMMA</v>
          </cell>
          <cell r="F293" t="str">
            <v>UNI-EMP-ORI</v>
          </cell>
          <cell r="G293">
            <v>3460</v>
          </cell>
          <cell r="H293">
            <v>2.4708641618497111</v>
          </cell>
          <cell r="I293">
            <v>2.8662024277456646</v>
          </cell>
          <cell r="J293">
            <v>8549.19</v>
          </cell>
          <cell r="K293">
            <v>9917.0604000000003</v>
          </cell>
          <cell r="L293" t="str">
            <v>GRAVEDAD</v>
          </cell>
        </row>
        <row r="294">
          <cell r="A294" t="str">
            <v>21EF17</v>
          </cell>
          <cell r="B294">
            <v>44342</v>
          </cell>
          <cell r="C294">
            <v>44344</v>
          </cell>
          <cell r="D294" t="str">
            <v>HELIOS POWER LTD</v>
          </cell>
          <cell r="E294" t="str">
            <v>PHILIP</v>
          </cell>
          <cell r="F294" t="str">
            <v>COD-BARR-ROLLO-100</v>
          </cell>
          <cell r="G294">
            <v>2</v>
          </cell>
          <cell r="H294">
            <v>103.875</v>
          </cell>
          <cell r="I294">
            <v>120.49499999999999</v>
          </cell>
          <cell r="J294">
            <v>207.75</v>
          </cell>
          <cell r="K294">
            <v>240.98999999999998</v>
          </cell>
          <cell r="L294" t="str">
            <v>GRAVEDAD</v>
          </cell>
        </row>
        <row r="295">
          <cell r="A295" t="str">
            <v>21EF17</v>
          </cell>
          <cell r="B295">
            <v>44342</v>
          </cell>
          <cell r="C295">
            <v>44344</v>
          </cell>
          <cell r="D295" t="str">
            <v>HELIOS POWER LTD</v>
          </cell>
          <cell r="E295" t="str">
            <v>PHILIP</v>
          </cell>
          <cell r="F295" t="str">
            <v>COD-INT-AC-25x200</v>
          </cell>
          <cell r="G295">
            <v>4000</v>
          </cell>
          <cell r="H295">
            <v>18.6937125</v>
          </cell>
          <cell r="I295">
            <v>21.684706499999997</v>
          </cell>
          <cell r="J295">
            <v>74774.850000000006</v>
          </cell>
          <cell r="K295">
            <v>86738.825999999986</v>
          </cell>
          <cell r="L295" t="str">
            <v>GRAVEDAD</v>
          </cell>
        </row>
        <row r="296">
          <cell r="A296" t="str">
            <v>21EF17</v>
          </cell>
          <cell r="B296">
            <v>44342</v>
          </cell>
          <cell r="C296">
            <v>44344</v>
          </cell>
          <cell r="D296" t="str">
            <v>HELIOS POWER LTD</v>
          </cell>
          <cell r="E296" t="str">
            <v>PHILIP</v>
          </cell>
          <cell r="F296" t="str">
            <v>NI-INT-1ROS-H-3/4</v>
          </cell>
          <cell r="G296">
            <v>1500</v>
          </cell>
          <cell r="H296">
            <v>21.236206666666668</v>
          </cell>
          <cell r="I296">
            <v>24.633999733333333</v>
          </cell>
          <cell r="J296">
            <v>31854.31</v>
          </cell>
          <cell r="K296">
            <v>36950.999600000003</v>
          </cell>
          <cell r="L296" t="str">
            <v>GRAVEDAD</v>
          </cell>
        </row>
        <row r="297">
          <cell r="A297" t="str">
            <v>21EF17</v>
          </cell>
          <cell r="B297">
            <v>44342</v>
          </cell>
          <cell r="C297">
            <v>44344</v>
          </cell>
          <cell r="D297" t="str">
            <v>HELIOS POWER LTD</v>
          </cell>
          <cell r="E297" t="str">
            <v>PHILIP</v>
          </cell>
          <cell r="F297" t="str">
            <v>NI-INT-2ROS-H-3/4</v>
          </cell>
          <cell r="G297">
            <v>1500</v>
          </cell>
          <cell r="H297">
            <v>22.560826666666664</v>
          </cell>
          <cell r="I297">
            <v>26.170558933333329</v>
          </cell>
          <cell r="J297">
            <v>33841.24</v>
          </cell>
          <cell r="K297">
            <v>39255.838399999993</v>
          </cell>
          <cell r="L297" t="str">
            <v>GRAVEDAD</v>
          </cell>
        </row>
        <row r="298">
          <cell r="A298" t="str">
            <v>21EF17</v>
          </cell>
          <cell r="B298">
            <v>44342</v>
          </cell>
          <cell r="C298">
            <v>44344</v>
          </cell>
          <cell r="D298" t="str">
            <v>HELIOS POWER LTD</v>
          </cell>
          <cell r="E298" t="str">
            <v>PHILIP</v>
          </cell>
          <cell r="F298" t="str">
            <v>TAC-EXT-201-BA-0.31</v>
          </cell>
          <cell r="G298">
            <v>10580</v>
          </cell>
          <cell r="H298">
            <v>45.020281663516073</v>
          </cell>
          <cell r="I298">
            <v>52.223526729678639</v>
          </cell>
          <cell r="J298">
            <v>476314.58000000007</v>
          </cell>
          <cell r="K298">
            <v>552524.91280000005</v>
          </cell>
          <cell r="L298" t="str">
            <v>GRAVEDAD</v>
          </cell>
        </row>
        <row r="299">
          <cell r="A299" t="str">
            <v>21EF17</v>
          </cell>
          <cell r="B299">
            <v>44342</v>
          </cell>
          <cell r="C299">
            <v>44344</v>
          </cell>
          <cell r="D299" t="str">
            <v>HELIOS POWER LTD</v>
          </cell>
          <cell r="E299" t="str">
            <v>PHILIP</v>
          </cell>
          <cell r="F299" t="str">
            <v>TAC-INT-304-2B-0.41</v>
          </cell>
          <cell r="G299">
            <v>1000</v>
          </cell>
          <cell r="H299">
            <v>34.577239999999996</v>
          </cell>
          <cell r="I299">
            <v>40.109598399999996</v>
          </cell>
          <cell r="J299">
            <v>34577.24</v>
          </cell>
          <cell r="K299">
            <v>40109.598399999995</v>
          </cell>
          <cell r="L299" t="str">
            <v>GRAVEDAD</v>
          </cell>
        </row>
        <row r="300">
          <cell r="A300" t="str">
            <v>21EF17</v>
          </cell>
          <cell r="B300">
            <v>44342</v>
          </cell>
          <cell r="C300">
            <v>44344</v>
          </cell>
          <cell r="D300" t="str">
            <v>HELIOS POWER LTD</v>
          </cell>
          <cell r="E300" t="str">
            <v>PHILIP</v>
          </cell>
          <cell r="F300" t="str">
            <v>UNI-EMP-CEN</v>
          </cell>
          <cell r="G300">
            <v>600</v>
          </cell>
          <cell r="H300">
            <v>1.9549666666666667</v>
          </cell>
          <cell r="I300">
            <v>2.2677613333333331</v>
          </cell>
          <cell r="J300">
            <v>1172.98</v>
          </cell>
          <cell r="K300">
            <v>1360.6567999999997</v>
          </cell>
          <cell r="L300" t="str">
            <v>GRAVEDAD</v>
          </cell>
        </row>
        <row r="301">
          <cell r="A301" t="str">
            <v>21EF17</v>
          </cell>
          <cell r="B301">
            <v>44342</v>
          </cell>
          <cell r="C301">
            <v>44344</v>
          </cell>
          <cell r="D301" t="str">
            <v>HELIOS POWER LTD</v>
          </cell>
          <cell r="E301" t="str">
            <v>PHILIP</v>
          </cell>
          <cell r="F301" t="str">
            <v>UNI-EMP-ORI</v>
          </cell>
          <cell r="G301">
            <v>1320</v>
          </cell>
          <cell r="H301">
            <v>3.3702803030303032</v>
          </cell>
          <cell r="I301">
            <v>3.9095251515151515</v>
          </cell>
          <cell r="J301">
            <v>4448.7700000000004</v>
          </cell>
          <cell r="K301">
            <v>5160.5731999999998</v>
          </cell>
          <cell r="L301" t="str">
            <v>GRAVEDAD</v>
          </cell>
        </row>
        <row r="302">
          <cell r="A302" t="str">
            <v>21EF18</v>
          </cell>
          <cell r="B302">
            <v>44376</v>
          </cell>
          <cell r="C302">
            <v>44383</v>
          </cell>
          <cell r="D302" t="str">
            <v>HAINING LEBRIA E
BUSINESS CO.</v>
          </cell>
          <cell r="E302" t="str">
            <v>EMMA</v>
          </cell>
          <cell r="F302" t="str">
            <v>ANI-ACC-PLA-58</v>
          </cell>
          <cell r="G302">
            <v>103400</v>
          </cell>
          <cell r="H302">
            <v>0.36527659574468085</v>
          </cell>
          <cell r="I302">
            <v>0.42372085106382978</v>
          </cell>
          <cell r="J302">
            <v>37769.599999999999</v>
          </cell>
          <cell r="K302">
            <v>43812.735999999997</v>
          </cell>
          <cell r="L302" t="str">
            <v>GRAVEDAD</v>
          </cell>
        </row>
        <row r="303">
          <cell r="A303" t="str">
            <v>21EF18</v>
          </cell>
          <cell r="B303">
            <v>44376</v>
          </cell>
          <cell r="C303">
            <v>44383</v>
          </cell>
          <cell r="D303" t="str">
            <v>HAINING LEBRIA E
BUSINESS CO.</v>
          </cell>
          <cell r="E303" t="str">
            <v>EMMA</v>
          </cell>
          <cell r="F303" t="str">
            <v>ANI-EXT-PLA-3/4-AZUL</v>
          </cell>
          <cell r="G303">
            <v>5630</v>
          </cell>
          <cell r="H303">
            <v>1.063266429840142</v>
          </cell>
          <cell r="I303">
            <v>1.2333890586145646</v>
          </cell>
          <cell r="J303">
            <v>5986.19</v>
          </cell>
          <cell r="K303">
            <v>6943.9803999999986</v>
          </cell>
          <cell r="L303" t="str">
            <v>GRAVEDAD</v>
          </cell>
        </row>
        <row r="304">
          <cell r="A304" t="str">
            <v>21EF18</v>
          </cell>
          <cell r="B304">
            <v>44376</v>
          </cell>
          <cell r="C304">
            <v>44383</v>
          </cell>
          <cell r="D304" t="str">
            <v>HAINING LEBRIA E
BUSINESS CO.</v>
          </cell>
          <cell r="E304" t="str">
            <v>EMMA</v>
          </cell>
          <cell r="F304" t="str">
            <v>ANI-EXT-PLA-3/4-N</v>
          </cell>
          <cell r="G304">
            <v>13900</v>
          </cell>
          <cell r="H304">
            <v>1.063268345323741</v>
          </cell>
          <cell r="I304">
            <v>1.2333912805755396</v>
          </cell>
          <cell r="J304">
            <v>14779.43</v>
          </cell>
          <cell r="K304">
            <v>17144.138800000001</v>
          </cell>
          <cell r="L304" t="str">
            <v>GRAVEDAD</v>
          </cell>
        </row>
        <row r="305">
          <cell r="A305" t="str">
            <v>21EF18</v>
          </cell>
          <cell r="B305">
            <v>44376</v>
          </cell>
          <cell r="C305">
            <v>44383</v>
          </cell>
          <cell r="D305" t="str">
            <v>HAINING LEBRIA E
BUSINESS CO.</v>
          </cell>
          <cell r="E305" t="str">
            <v>EMMA</v>
          </cell>
          <cell r="F305" t="str">
            <v>ANI-EXT-PLA-3/4-R</v>
          </cell>
          <cell r="G305">
            <v>13240</v>
          </cell>
          <cell r="H305">
            <v>1.0632447129909366</v>
          </cell>
          <cell r="I305">
            <v>1.2333638670694864</v>
          </cell>
          <cell r="J305">
            <v>14077.36</v>
          </cell>
          <cell r="K305">
            <v>16329.7376</v>
          </cell>
          <cell r="L305" t="str">
            <v>GRAVEDAD</v>
          </cell>
        </row>
        <row r="306">
          <cell r="A306" t="str">
            <v>21EF18</v>
          </cell>
          <cell r="B306">
            <v>44376</v>
          </cell>
          <cell r="C306">
            <v>44383</v>
          </cell>
          <cell r="D306" t="str">
            <v>HAINING LEBRIA E
BUSINESS CO.</v>
          </cell>
          <cell r="E306" t="str">
            <v>EMMA</v>
          </cell>
          <cell r="F306" t="str">
            <v>BAR-INT-M-3/4X200</v>
          </cell>
          <cell r="G306">
            <v>3930</v>
          </cell>
          <cell r="H306">
            <v>18.71466157760814</v>
          </cell>
          <cell r="I306">
            <v>21.709007430025441</v>
          </cell>
          <cell r="J306">
            <v>73548.62</v>
          </cell>
          <cell r="K306">
            <v>85316.399199999985</v>
          </cell>
          <cell r="L306" t="str">
            <v>GRAVEDAD</v>
          </cell>
        </row>
        <row r="307">
          <cell r="A307" t="str">
            <v>21EF18</v>
          </cell>
          <cell r="B307">
            <v>44376</v>
          </cell>
          <cell r="C307">
            <v>44383</v>
          </cell>
          <cell r="D307" t="str">
            <v>HAINING LEBRIA E
BUSINESS CO.</v>
          </cell>
          <cell r="E307" t="str">
            <v>EMMA</v>
          </cell>
          <cell r="F307" t="str">
            <v>BOL-EMP-PE</v>
          </cell>
          <cell r="G307">
            <v>154</v>
          </cell>
          <cell r="H307">
            <v>35.564350649350651</v>
          </cell>
          <cell r="I307">
            <v>41.254646753246753</v>
          </cell>
          <cell r="J307">
            <v>5476.91</v>
          </cell>
          <cell r="K307">
            <v>6353.2155999999995</v>
          </cell>
          <cell r="L307" t="str">
            <v>GRAVEDAD</v>
          </cell>
        </row>
        <row r="308">
          <cell r="A308" t="str">
            <v>21EF18</v>
          </cell>
          <cell r="B308">
            <v>44376</v>
          </cell>
          <cell r="C308">
            <v>44383</v>
          </cell>
          <cell r="D308" t="str">
            <v>HAINING LEBRIA E
BUSINESS CO.</v>
          </cell>
          <cell r="E308" t="str">
            <v>EMMA</v>
          </cell>
          <cell r="F308" t="str">
            <v>CIN-EMP-600</v>
          </cell>
          <cell r="G308">
            <v>60</v>
          </cell>
          <cell r="H308">
            <v>94.072833333333335</v>
          </cell>
          <cell r="I308">
            <v>109.12448666666666</v>
          </cell>
          <cell r="J308">
            <v>5644.37</v>
          </cell>
          <cell r="K308">
            <v>6547.4691999999995</v>
          </cell>
          <cell r="L308" t="str">
            <v>PRESION / GRAVEDAD</v>
          </cell>
        </row>
        <row r="309">
          <cell r="A309" t="str">
            <v>21EF18</v>
          </cell>
          <cell r="B309">
            <v>44376</v>
          </cell>
          <cell r="C309">
            <v>44383</v>
          </cell>
          <cell r="D309" t="str">
            <v>HAINING LEBRIA E
BUSINESS CO.</v>
          </cell>
          <cell r="E309" t="str">
            <v>EMMA</v>
          </cell>
          <cell r="F309" t="str">
            <v>COD-INT-AC-25x200</v>
          </cell>
          <cell r="G309">
            <v>8440</v>
          </cell>
          <cell r="H309">
            <v>15.053093601895736</v>
          </cell>
          <cell r="I309">
            <v>17.461588578199052</v>
          </cell>
          <cell r="J309">
            <v>127048.11000000002</v>
          </cell>
          <cell r="K309">
            <v>147375.8076</v>
          </cell>
          <cell r="L309" t="str">
            <v>GRAVEDAD</v>
          </cell>
        </row>
        <row r="310">
          <cell r="A310" t="str">
            <v>21EF18</v>
          </cell>
          <cell r="B310">
            <v>44376</v>
          </cell>
          <cell r="C310">
            <v>44383</v>
          </cell>
          <cell r="D310" t="str">
            <v>HAINING LEBRIA E
BUSINESS CO.</v>
          </cell>
          <cell r="E310" t="str">
            <v>EMMA</v>
          </cell>
          <cell r="F310" t="str">
            <v>EMP-ACC-SIL-58</v>
          </cell>
          <cell r="G310">
            <v>104000</v>
          </cell>
          <cell r="H310">
            <v>1.7030658653846154</v>
          </cell>
          <cell r="I310">
            <v>1.9755564038461537</v>
          </cell>
          <cell r="J310">
            <v>177118.85</v>
          </cell>
          <cell r="K310">
            <v>205457.86599999998</v>
          </cell>
          <cell r="L310" t="str">
            <v>GRAVEDAD</v>
          </cell>
        </row>
        <row r="311">
          <cell r="A311" t="str">
            <v>21EF18</v>
          </cell>
          <cell r="B311">
            <v>44376</v>
          </cell>
          <cell r="C311">
            <v>44383</v>
          </cell>
          <cell r="D311" t="str">
            <v>HAINING LEBRIA E
BUSINESS CO.</v>
          </cell>
          <cell r="E311" t="str">
            <v>EMMA</v>
          </cell>
          <cell r="F311" t="str">
            <v>MDI-AIS</v>
          </cell>
          <cell r="G311">
            <v>500</v>
          </cell>
          <cell r="H311">
            <v>65.257159999999999</v>
          </cell>
          <cell r="I311">
            <v>75.698305599999998</v>
          </cell>
          <cell r="J311">
            <v>32628.579999999998</v>
          </cell>
          <cell r="K311">
            <v>37849.152799999996</v>
          </cell>
          <cell r="L311" t="str">
            <v>PRESION / GRAVEDAD</v>
          </cell>
        </row>
        <row r="312">
          <cell r="A312" t="str">
            <v>21EF18</v>
          </cell>
          <cell r="B312">
            <v>44376</v>
          </cell>
          <cell r="C312">
            <v>44383</v>
          </cell>
          <cell r="D312" t="str">
            <v>HAINING LEBRIA E
BUSINESS CO.</v>
          </cell>
          <cell r="E312" t="str">
            <v>EMMA</v>
          </cell>
          <cell r="F312" t="str">
            <v>NI-INT-1ROS-H-3/4</v>
          </cell>
          <cell r="G312">
            <v>24160</v>
          </cell>
          <cell r="H312">
            <v>17.284286837748343</v>
          </cell>
          <cell r="I312">
            <v>20.049772731788078</v>
          </cell>
          <cell r="J312">
            <v>417588.37</v>
          </cell>
          <cell r="K312">
            <v>484402.50919999997</v>
          </cell>
          <cell r="L312" t="str">
            <v>GRAVEDAD</v>
          </cell>
        </row>
        <row r="313">
          <cell r="A313" t="str">
            <v>21EF18</v>
          </cell>
          <cell r="B313">
            <v>44376</v>
          </cell>
          <cell r="C313">
            <v>44383</v>
          </cell>
          <cell r="D313" t="str">
            <v>HAINING LEBRIA E
BUSINESS CO.</v>
          </cell>
          <cell r="E313" t="str">
            <v>EMMA</v>
          </cell>
          <cell r="F313" t="str">
            <v>NI-INT-2ROS-H-3/4</v>
          </cell>
          <cell r="G313">
            <v>9920</v>
          </cell>
          <cell r="H313">
            <v>18.615077620967742</v>
          </cell>
          <cell r="I313">
            <v>21.593490040322578</v>
          </cell>
          <cell r="J313">
            <v>184661.57</v>
          </cell>
          <cell r="K313">
            <v>214207.42119999998</v>
          </cell>
          <cell r="L313" t="str">
            <v>GRAVEDAD</v>
          </cell>
        </row>
        <row r="314">
          <cell r="A314" t="str">
            <v>21EF18</v>
          </cell>
          <cell r="B314">
            <v>44376</v>
          </cell>
          <cell r="C314">
            <v>44383</v>
          </cell>
          <cell r="D314" t="str">
            <v>HAINING LEBRIA E
BUSINESS CO.</v>
          </cell>
          <cell r="E314" t="str">
            <v>EMMA</v>
          </cell>
          <cell r="F314" t="str">
            <v>POL-AIS</v>
          </cell>
          <cell r="G314">
            <v>440</v>
          </cell>
          <cell r="H314">
            <v>54.719113636363637</v>
          </cell>
          <cell r="I314">
            <v>63.474171818181816</v>
          </cell>
          <cell r="J314">
            <v>24076.41</v>
          </cell>
          <cell r="K314">
            <v>27928.635599999998</v>
          </cell>
          <cell r="L314" t="str">
            <v>PRESION / GRAVEDAD</v>
          </cell>
        </row>
        <row r="315">
          <cell r="A315" t="str">
            <v>21EF18</v>
          </cell>
          <cell r="B315">
            <v>44376</v>
          </cell>
          <cell r="C315">
            <v>44383</v>
          </cell>
          <cell r="D315" t="str">
            <v>HAINING LEBRIA E
BUSINESS CO.</v>
          </cell>
          <cell r="E315" t="str">
            <v>EMMA</v>
          </cell>
          <cell r="F315" t="str">
            <v>TAC-EXT-201-BA-0.31-ERA</v>
          </cell>
          <cell r="G315">
            <v>5704</v>
          </cell>
          <cell r="H315">
            <v>35.566640953716693</v>
          </cell>
          <cell r="I315">
            <v>41.257303506311359</v>
          </cell>
          <cell r="J315">
            <v>202872.12000000002</v>
          </cell>
          <cell r="K315">
            <v>235331.65919999999</v>
          </cell>
          <cell r="L315" t="str">
            <v>GRAVEDAD</v>
          </cell>
        </row>
        <row r="316">
          <cell r="A316" t="str">
            <v>21EF18</v>
          </cell>
          <cell r="B316">
            <v>44376</v>
          </cell>
          <cell r="C316">
            <v>44383</v>
          </cell>
          <cell r="D316" t="str">
            <v>HAINING LEBRIA E
BUSINESS CO.</v>
          </cell>
          <cell r="E316" t="str">
            <v>EMMA</v>
          </cell>
          <cell r="F316" t="str">
            <v>TAC-EXT-201-BA-0.31-RS</v>
          </cell>
          <cell r="G316">
            <v>1176</v>
          </cell>
          <cell r="H316">
            <v>35.566641156462588</v>
          </cell>
          <cell r="I316">
            <v>41.2573037414966</v>
          </cell>
          <cell r="J316">
            <v>41826.370000000003</v>
          </cell>
          <cell r="K316">
            <v>48518.589200000002</v>
          </cell>
          <cell r="L316" t="str">
            <v>GRAVEDAD</v>
          </cell>
        </row>
        <row r="317">
          <cell r="A317" t="str">
            <v>21EF18</v>
          </cell>
          <cell r="B317">
            <v>44376</v>
          </cell>
          <cell r="C317">
            <v>44383</v>
          </cell>
          <cell r="D317" t="str">
            <v>HAINING LEBRIA E
BUSINESS CO.</v>
          </cell>
          <cell r="E317" t="str">
            <v>EMMA</v>
          </cell>
          <cell r="F317" t="str">
            <v>TAC-INT-304-2B-0.41</v>
          </cell>
          <cell r="G317">
            <v>14590</v>
          </cell>
          <cell r="H317">
            <v>28.109952707333793</v>
          </cell>
          <cell r="I317">
            <v>32.607545140507199</v>
          </cell>
          <cell r="J317">
            <v>410124.21</v>
          </cell>
          <cell r="K317">
            <v>475744.08360000001</v>
          </cell>
          <cell r="L317" t="str">
            <v>GRAVEDAD</v>
          </cell>
        </row>
        <row r="318">
          <cell r="A318" t="str">
            <v>21EF18</v>
          </cell>
          <cell r="B318">
            <v>44376</v>
          </cell>
          <cell r="C318">
            <v>44383</v>
          </cell>
          <cell r="D318" t="str">
            <v>HAINING LEBRIA E
BUSINESS CO.</v>
          </cell>
          <cell r="E318" t="str">
            <v>EMMA</v>
          </cell>
          <cell r="F318" t="str">
            <v>TOR-EXT</v>
          </cell>
          <cell r="G318">
            <v>25660</v>
          </cell>
          <cell r="H318">
            <v>1.3750268901013252</v>
          </cell>
          <cell r="I318">
            <v>1.5950311925175371</v>
          </cell>
          <cell r="J318">
            <v>35283.19</v>
          </cell>
          <cell r="K318">
            <v>40928.500400000004</v>
          </cell>
          <cell r="L318" t="str">
            <v>PRESION / GRAVEDAD</v>
          </cell>
        </row>
        <row r="319">
          <cell r="A319" t="str">
            <v>21EF19</v>
          </cell>
          <cell r="B319">
            <v>44393</v>
          </cell>
          <cell r="C319">
            <v>44396</v>
          </cell>
          <cell r="D319" t="str">
            <v>HELIOS POWER LTD</v>
          </cell>
          <cell r="E319" t="str">
            <v>PHILIP</v>
          </cell>
          <cell r="F319" t="str">
            <v>ANI-ACC-PLA-58</v>
          </cell>
          <cell r="G319">
            <v>30000</v>
          </cell>
          <cell r="H319">
            <v>0.39894266666666667</v>
          </cell>
          <cell r="I319">
            <v>0.46277349333333329</v>
          </cell>
          <cell r="J319">
            <v>11968.28</v>
          </cell>
          <cell r="K319">
            <v>13883.204799999998</v>
          </cell>
          <cell r="L319" t="str">
            <v>GRAVEDAD</v>
          </cell>
        </row>
        <row r="320">
          <cell r="A320" t="str">
            <v>21EF19</v>
          </cell>
          <cell r="B320">
            <v>44393</v>
          </cell>
          <cell r="C320">
            <v>44396</v>
          </cell>
          <cell r="D320" t="str">
            <v>HELIOS POWER LTD</v>
          </cell>
          <cell r="E320" t="str">
            <v>PHILIP</v>
          </cell>
          <cell r="F320" t="str">
            <v>ANI-EXT-PLA-3/4-AZUL</v>
          </cell>
          <cell r="G320">
            <v>7904</v>
          </cell>
          <cell r="H320">
            <v>1.0897128036437247</v>
          </cell>
          <cell r="I320">
            <v>1.2640668522267207</v>
          </cell>
          <cell r="J320">
            <v>8613.09</v>
          </cell>
          <cell r="K320">
            <v>9991.1844000000001</v>
          </cell>
          <cell r="L320" t="str">
            <v>GRAVEDAD</v>
          </cell>
        </row>
        <row r="321">
          <cell r="A321" t="str">
            <v>21EF19</v>
          </cell>
          <cell r="B321">
            <v>44393</v>
          </cell>
          <cell r="C321">
            <v>44396</v>
          </cell>
          <cell r="D321" t="str">
            <v>HELIOS POWER LTD</v>
          </cell>
          <cell r="E321" t="str">
            <v>PHILIP</v>
          </cell>
          <cell r="F321" t="str">
            <v>ANI-EXT-PLA-3/4-R</v>
          </cell>
          <cell r="G321">
            <v>5542</v>
          </cell>
          <cell r="H321">
            <v>1.08748646697943</v>
          </cell>
          <cell r="I321">
            <v>1.2614843016961386</v>
          </cell>
          <cell r="J321">
            <v>6026.8500000000013</v>
          </cell>
          <cell r="K321">
            <v>6991.1459999999997</v>
          </cell>
          <cell r="L321" t="str">
            <v>GRAVEDAD</v>
          </cell>
        </row>
        <row r="322">
          <cell r="A322" t="str">
            <v>21EF19</v>
          </cell>
          <cell r="B322">
            <v>44393</v>
          </cell>
          <cell r="C322">
            <v>44396</v>
          </cell>
          <cell r="D322" t="str">
            <v>HELIOS POWER LTD</v>
          </cell>
          <cell r="E322" t="str">
            <v>PHILIP</v>
          </cell>
          <cell r="F322" t="str">
            <v>ANI-INY-SIL-66</v>
          </cell>
          <cell r="G322">
            <v>75</v>
          </cell>
          <cell r="H322">
            <v>3.2345333333333333</v>
          </cell>
          <cell r="I322">
            <v>3.7520586666666662</v>
          </cell>
          <cell r="J322">
            <v>242.59</v>
          </cell>
          <cell r="K322">
            <v>281.40439999999995</v>
          </cell>
          <cell r="L322" t="str">
            <v>GRAVEDAD</v>
          </cell>
        </row>
        <row r="323">
          <cell r="A323" t="str">
            <v>21EF19</v>
          </cell>
          <cell r="B323">
            <v>44393</v>
          </cell>
          <cell r="C323">
            <v>44396</v>
          </cell>
          <cell r="D323" t="str">
            <v>HELIOS POWER LTD</v>
          </cell>
          <cell r="E323" t="str">
            <v>PHILIP</v>
          </cell>
          <cell r="F323" t="str">
            <v>BOL-EMP-PE</v>
          </cell>
          <cell r="G323">
            <v>263.60000000000002</v>
          </cell>
          <cell r="H323">
            <v>38.117640364188162</v>
          </cell>
          <cell r="I323">
            <v>44.216462822458261</v>
          </cell>
          <cell r="J323">
            <v>10047.81</v>
          </cell>
          <cell r="K323">
            <v>11655.459599999998</v>
          </cell>
          <cell r="L323" t="str">
            <v>GRAVEDAD</v>
          </cell>
        </row>
        <row r="324">
          <cell r="A324" t="str">
            <v>21EF19</v>
          </cell>
          <cell r="B324">
            <v>44393</v>
          </cell>
          <cell r="C324">
            <v>44396</v>
          </cell>
          <cell r="D324" t="str">
            <v>HELIOS POWER LTD</v>
          </cell>
          <cell r="E324" t="str">
            <v>PHILIP</v>
          </cell>
          <cell r="F324" t="str">
            <v>CIN-EMP-600</v>
          </cell>
          <cell r="G324">
            <v>500</v>
          </cell>
          <cell r="H324">
            <v>115.05152000000001</v>
          </cell>
          <cell r="I324">
            <v>133.4597632</v>
          </cell>
          <cell r="J324">
            <v>57525.760000000002</v>
          </cell>
          <cell r="K324">
            <v>66729.881599999993</v>
          </cell>
          <cell r="L324" t="str">
            <v>PRESION / GRAVEDAD</v>
          </cell>
        </row>
        <row r="325">
          <cell r="A325" t="str">
            <v>21EF19</v>
          </cell>
          <cell r="B325">
            <v>44393</v>
          </cell>
          <cell r="C325">
            <v>44396</v>
          </cell>
          <cell r="D325" t="str">
            <v>HELIOS POWER LTD</v>
          </cell>
          <cell r="E325" t="str">
            <v>PHILIP</v>
          </cell>
          <cell r="F325" t="str">
            <v>COD-BARR-ROLLO-100</v>
          </cell>
          <cell r="G325">
            <v>5</v>
          </cell>
          <cell r="H325">
            <v>87.236000000000004</v>
          </cell>
          <cell r="I325">
            <v>101.19376</v>
          </cell>
          <cell r="J325">
            <v>436.18</v>
          </cell>
          <cell r="K325">
            <v>505.96879999999999</v>
          </cell>
          <cell r="L325" t="str">
            <v>GRAVEDAD</v>
          </cell>
        </row>
        <row r="326">
          <cell r="A326" t="str">
            <v>21EF19</v>
          </cell>
          <cell r="B326">
            <v>44393</v>
          </cell>
          <cell r="C326">
            <v>44396</v>
          </cell>
          <cell r="D326" t="str">
            <v>HELIOS POWER LTD</v>
          </cell>
          <cell r="E326" t="str">
            <v>PHILIP</v>
          </cell>
          <cell r="F326" t="str">
            <v>COD-INT-AC-25x200</v>
          </cell>
          <cell r="G326">
            <v>3000</v>
          </cell>
          <cell r="H326">
            <v>15.5548</v>
          </cell>
          <cell r="I326">
            <v>18.043568</v>
          </cell>
          <cell r="J326">
            <v>46664.4</v>
          </cell>
          <cell r="K326">
            <v>54130.703999999998</v>
          </cell>
          <cell r="L326" t="str">
            <v>GRAVEDAD</v>
          </cell>
        </row>
        <row r="327">
          <cell r="A327" t="str">
            <v>21EF19</v>
          </cell>
          <cell r="B327">
            <v>44393</v>
          </cell>
          <cell r="C327">
            <v>44396</v>
          </cell>
          <cell r="D327" t="str">
            <v>HELIOS POWER LTD</v>
          </cell>
          <cell r="E327" t="str">
            <v>PHILIP</v>
          </cell>
          <cell r="F327" t="str">
            <v>MDI-AIS</v>
          </cell>
          <cell r="G327">
            <v>11000</v>
          </cell>
          <cell r="H327">
            <v>63.506698181818187</v>
          </cell>
          <cell r="I327">
            <v>73.667769890909099</v>
          </cell>
          <cell r="J327">
            <v>698573.68</v>
          </cell>
          <cell r="K327">
            <v>810345.46880000015</v>
          </cell>
          <cell r="L327" t="str">
            <v>PRESION / GRAVEDAD</v>
          </cell>
        </row>
        <row r="328">
          <cell r="A328" t="str">
            <v>21EF19</v>
          </cell>
          <cell r="B328">
            <v>44393</v>
          </cell>
          <cell r="C328">
            <v>44396</v>
          </cell>
          <cell r="D328" t="str">
            <v>HELIOS POWER LTD</v>
          </cell>
          <cell r="E328" t="str">
            <v>PHILIP</v>
          </cell>
          <cell r="F328" t="str">
            <v>NI-INT-1ROS-H-3/4</v>
          </cell>
          <cell r="G328">
            <v>1500</v>
          </cell>
          <cell r="H328">
            <v>18.212773333333335</v>
          </cell>
          <cell r="I328">
            <v>21.126817066666668</v>
          </cell>
          <cell r="J328">
            <v>27319.160000000003</v>
          </cell>
          <cell r="K328">
            <v>31690.225600000002</v>
          </cell>
          <cell r="L328" t="str">
            <v>GRAVEDAD</v>
          </cell>
        </row>
        <row r="329">
          <cell r="A329" t="str">
            <v>21EF19</v>
          </cell>
          <cell r="B329">
            <v>44393</v>
          </cell>
          <cell r="C329">
            <v>44396</v>
          </cell>
          <cell r="D329" t="str">
            <v>HELIOS POWER LTD</v>
          </cell>
          <cell r="E329" t="str">
            <v>PHILIP</v>
          </cell>
          <cell r="F329" t="str">
            <v>NI-INT-2ROS-H-3/4</v>
          </cell>
          <cell r="G329">
            <v>1500</v>
          </cell>
          <cell r="H329">
            <v>19.355240000000002</v>
          </cell>
          <cell r="I329">
            <v>22.452078400000001</v>
          </cell>
          <cell r="J329">
            <v>29032.860000000004</v>
          </cell>
          <cell r="K329">
            <v>33678.117600000005</v>
          </cell>
          <cell r="L329" t="str">
            <v>GRAVEDAD</v>
          </cell>
        </row>
        <row r="330">
          <cell r="A330" t="str">
            <v>21EF19</v>
          </cell>
          <cell r="B330">
            <v>44393</v>
          </cell>
          <cell r="C330">
            <v>44396</v>
          </cell>
          <cell r="D330" t="str">
            <v>HELIOS POWER LTD</v>
          </cell>
          <cell r="E330" t="str">
            <v>PHILIP</v>
          </cell>
          <cell r="F330" t="str">
            <v>POL-AIS</v>
          </cell>
          <cell r="G330">
            <v>1100</v>
          </cell>
          <cell r="H330">
            <v>57.122390909090903</v>
          </cell>
          <cell r="I330">
            <v>66.261973454545441</v>
          </cell>
          <cell r="J330">
            <v>62834.62999999999</v>
          </cell>
          <cell r="K330">
            <v>72888.170799999978</v>
          </cell>
          <cell r="L330" t="str">
            <v>PRESION / GRAVEDAD</v>
          </cell>
        </row>
        <row r="331">
          <cell r="A331" t="str">
            <v>21EF19</v>
          </cell>
          <cell r="B331">
            <v>44393</v>
          </cell>
          <cell r="C331">
            <v>44396</v>
          </cell>
          <cell r="D331" t="str">
            <v>HELIOS POWER LTD</v>
          </cell>
          <cell r="E331" t="str">
            <v>PHILIP</v>
          </cell>
          <cell r="F331" t="str">
            <v>TAC-EXT-201-BA-0.31</v>
          </cell>
          <cell r="G331">
            <v>2434</v>
          </cell>
          <cell r="H331">
            <v>38.131569433032048</v>
          </cell>
          <cell r="I331">
            <v>44.232620542317171</v>
          </cell>
          <cell r="J331">
            <v>92812.24</v>
          </cell>
          <cell r="K331">
            <v>107662.19839999999</v>
          </cell>
          <cell r="L331" t="str">
            <v>GRAVEDAD</v>
          </cell>
        </row>
        <row r="332">
          <cell r="A332" t="str">
            <v>21EF19</v>
          </cell>
          <cell r="B332">
            <v>44393</v>
          </cell>
          <cell r="C332">
            <v>44396</v>
          </cell>
          <cell r="D332" t="str">
            <v>HELIOS POWER LTD</v>
          </cell>
          <cell r="E332" t="str">
            <v>PHILIP</v>
          </cell>
          <cell r="F332" t="str">
            <v>TAC-EXT-201-BA-0.31-ERA</v>
          </cell>
          <cell r="G332">
            <v>2990</v>
          </cell>
          <cell r="H332">
            <v>38.132364548494984</v>
          </cell>
          <cell r="I332">
            <v>44.233542876254177</v>
          </cell>
          <cell r="J332">
            <v>114015.77</v>
          </cell>
          <cell r="K332">
            <v>132258.29319999999</v>
          </cell>
          <cell r="L332" t="str">
            <v>GRAVEDAD</v>
          </cell>
        </row>
        <row r="333">
          <cell r="A333" t="str">
            <v>21EF19</v>
          </cell>
          <cell r="B333">
            <v>44393</v>
          </cell>
          <cell r="C333">
            <v>44396</v>
          </cell>
          <cell r="D333" t="str">
            <v>HELIOS POWER LTD</v>
          </cell>
          <cell r="E333" t="str">
            <v>PHILIP</v>
          </cell>
          <cell r="F333" t="str">
            <v>TOR-EXT</v>
          </cell>
          <cell r="G333">
            <v>16000</v>
          </cell>
          <cell r="H333">
            <v>1.4536631250000001</v>
          </cell>
          <cell r="I333">
            <v>1.6862492249999999</v>
          </cell>
          <cell r="J333">
            <v>23258.61</v>
          </cell>
          <cell r="K333">
            <v>26979.987599999997</v>
          </cell>
          <cell r="L333" t="str">
            <v>PRESION / GRAVEDAD</v>
          </cell>
        </row>
        <row r="334">
          <cell r="A334" t="str">
            <v>21EF19</v>
          </cell>
          <cell r="B334">
            <v>44393</v>
          </cell>
          <cell r="C334">
            <v>44396</v>
          </cell>
          <cell r="D334" t="str">
            <v>HELIOS POWER LTD</v>
          </cell>
          <cell r="E334" t="str">
            <v>PHILIP</v>
          </cell>
          <cell r="F334" t="str">
            <v>UNI-EMP-CEN</v>
          </cell>
          <cell r="G334">
            <v>600</v>
          </cell>
          <cell r="H334">
            <v>1.6815666666666667</v>
          </cell>
          <cell r="I334">
            <v>1.9506173333333332</v>
          </cell>
          <cell r="J334">
            <v>1008.9399999999999</v>
          </cell>
          <cell r="K334">
            <v>1170.3704</v>
          </cell>
          <cell r="L334" t="str">
            <v>GRAVEDAD</v>
          </cell>
        </row>
        <row r="335">
          <cell r="A335" t="str">
            <v>21EF19</v>
          </cell>
          <cell r="B335">
            <v>44393</v>
          </cell>
          <cell r="C335">
            <v>44396</v>
          </cell>
          <cell r="D335" t="str">
            <v>HELIOS POWER LTD</v>
          </cell>
          <cell r="E335" t="str">
            <v>PHILIP</v>
          </cell>
          <cell r="F335" t="str">
            <v>UNI-EMP-ORI</v>
          </cell>
          <cell r="G335">
            <v>1200</v>
          </cell>
          <cell r="H335">
            <v>2.9</v>
          </cell>
          <cell r="I335">
            <v>3.3639999999999999</v>
          </cell>
          <cell r="J335">
            <v>3480</v>
          </cell>
          <cell r="K335">
            <v>4036.7999999999997</v>
          </cell>
          <cell r="L335" t="str">
            <v>GRAVEDAD</v>
          </cell>
        </row>
      </sheetData>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B3:J89" totalsRowShown="0" headerRowDxfId="200">
  <autoFilter ref="B3:J89" xr:uid="{00000000-0009-0000-0100-000002000000}"/>
  <tableColumns count="9">
    <tableColumn id="1" xr3:uid="{00000000-0010-0000-0000-000001000000}" name="Asesores"/>
    <tableColumn id="2" xr3:uid="{572058B0-5B25-4336-AB1D-4DD000688158}" name="TIPO"/>
    <tableColumn id="3" xr3:uid="{D6574636-A347-4F3C-A92D-BD08A5D5DF04}" name="Empresa Facturar"/>
    <tableColumn id="7" xr3:uid="{886A0B3D-F4B1-46CC-B941-ED4A8613AF06}" name="RFC"/>
    <tableColumn id="4" xr3:uid="{7E7B14FE-9FB8-4DF2-8CC4-0FCF5203E920}" name="BANCO"/>
    <tableColumn id="5" xr3:uid="{A79EB38D-7234-429C-9581-19A2979A0DAC}" name="CUENTA" dataDxfId="199"/>
    <tableColumn id="6" xr3:uid="{3687B0F2-EC41-4DF9-8172-C8C2990D1503}" name="CLABE" dataDxfId="198"/>
    <tableColumn id="10" xr3:uid="{4D4008EC-D9E6-4300-BBA9-052E13531232}" name="regimen"/>
    <tableColumn id="8" xr3:uid="{79684804-EFDD-4BD2-B772-9EA71013CC10}" name="E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a6" displayName="Tabla6" ref="L3:Y296" totalsRowShown="0" headerRowDxfId="197" dataDxfId="196" dataCellStyle="Millares">
  <autoFilter ref="L3:Y296" xr:uid="{00000000-0009-0000-0100-000006000000}"/>
  <tableColumns count="14">
    <tableColumn id="2" xr3:uid="{00000000-0010-0000-0400-000002000000}" name="PRODUCTO" dataDxfId="195"/>
    <tableColumn id="15" xr3:uid="{FB4B46A1-1E6A-4B0E-B1A9-23103BB660FC}" name="ENERO" dataDxfId="194" dataCellStyle="Millares"/>
    <tableColumn id="7" xr3:uid="{D75B8628-8304-40F7-9054-7541D7A14F9F}" name="FEBRERO" dataDxfId="193" dataCellStyle="Millares"/>
    <tableColumn id="1" xr3:uid="{CF84C07D-5106-4FFE-A20F-763BB992008D}" name="MARZO" dataDxfId="192" dataCellStyle="Millares"/>
    <tableColumn id="3" xr3:uid="{D86B272F-66B5-498C-ACC2-3650439C059D}" name="ABRIL" dataDxfId="191" dataCellStyle="Millares"/>
    <tableColumn id="14" xr3:uid="{540DD7FC-62A2-4D7D-92FA-8D4ACCF85BA7}" name="MAYO" dataDxfId="190" dataCellStyle="Millares"/>
    <tableColumn id="13" xr3:uid="{A1326856-37E7-4195-8F00-BF556F47E056}" name="JUNIO" dataDxfId="189" dataCellStyle="Millares"/>
    <tableColumn id="12" xr3:uid="{4783F7BB-F246-427E-8C8A-5AA766E24F9C}" name="JULIO" dataDxfId="188" dataCellStyle="Millares"/>
    <tableColumn id="11" xr3:uid="{B8689214-26D5-456B-8F87-726500ADE738}" name="AGOSTO" dataDxfId="187" dataCellStyle="Millares"/>
    <tableColumn id="10" xr3:uid="{B754EB13-C4C4-4F9A-A908-8E674CB28A7F}" name="SEPTIEMBRE" dataDxfId="186" dataCellStyle="Millares"/>
    <tableColumn id="9" xr3:uid="{834430E9-DE05-471E-B1D5-43E48F595439}" name="OCTUBRE" dataDxfId="185" dataCellStyle="Millares"/>
    <tableColumn id="8" xr3:uid="{5AA1EC1B-3355-4E26-AC12-48F8A48B4B08}" name="NOVIEMBRE" dataDxfId="184" dataCellStyle="Millares"/>
    <tableColumn id="16" xr3:uid="{19ABD89B-D6E1-4B36-928E-15C2A69DA9E0}" name="DICIEMBRE" dataDxfId="183" dataCellStyle="Millares"/>
    <tableColumn id="4" xr3:uid="{00000000-0010-0000-0400-000004000000}" name="FAMILIA" dataDxfId="18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D99299-383C-41B7-B1AD-9BA828D8F6AF}" name="Tabla10" displayName="Tabla10" ref="AA3:AA5" totalsRowShown="0" headerRowDxfId="181">
  <autoFilter ref="AA3:AA5" xr:uid="{2A1E53DD-6E8D-4300-A489-266A963C9CCD}"/>
  <tableColumns count="1">
    <tableColumn id="1" xr3:uid="{ACBA6455-29FF-4463-93AB-1FA563EA7E27}" name="Nive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3D67EE-79BB-4F24-9E91-0808610B2CF6}" name="Tabla1" displayName="Tabla1" ref="AC3:AF7" totalsRowShown="0" headerRowDxfId="180">
  <autoFilter ref="AC3:AF7" xr:uid="{53F82E90-6CC2-4EB2-A6C2-E4A493FEF6D8}"/>
  <tableColumns count="4">
    <tableColumn id="1" xr3:uid="{09A655C3-7DCD-45EB-B364-B99CEA3B3158}" name="Empresa"/>
    <tableColumn id="2" xr3:uid="{49257D9D-B0BE-4A93-A3F1-F58C193FC110}" name="Razones sociales "/>
    <tableColumn id="3" xr3:uid="{DE56D314-8A14-4657-991E-78F73B6F2A68}" name="RFC"/>
    <tableColumn id="4" xr3:uid="{684AE8FC-CA6D-4C73-938E-A7CAB6ADC490}" name="Domicilio "/>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711656-7459-4BC7-84B9-15DC0593FA71}" name="Tabla5" displayName="Tabla5" ref="A2:U4" totalsRowCount="1" headerRowDxfId="174" dataDxfId="173">
  <autoFilter ref="A2:U3" xr:uid="{F6711656-7459-4BC7-84B9-15DC0593FA71}"/>
  <tableColumns count="21">
    <tableColumn id="1" xr3:uid="{D6FC7F34-7BD7-460E-9A0D-C27B470FF8CD}" name="Fecha Cobranza" dataDxfId="172" totalsRowDxfId="171"/>
    <tableColumn id="2" xr3:uid="{2494E2FE-70F1-42B8-8EC3-407FF7823D5F}" name="Mes" dataDxfId="170" totalsRowDxfId="169"/>
    <tableColumn id="3" xr3:uid="{23D2FDC5-E0EB-4632-B713-B0276753ED6F}" name="Asesor" dataDxfId="168" totalsRowDxfId="167"/>
    <tableColumn id="6" xr3:uid="{D5B9CCB4-10AF-48E2-A11D-A728C6D3453E}" name="Cliente" dataDxfId="166" totalsRowDxfId="165"/>
    <tableColumn id="7" xr3:uid="{191B48D5-6E38-49E7-8890-E2B9B2275C1E}" name="OV" dataDxfId="164" totalsRowDxfId="163"/>
    <tableColumn id="8" xr3:uid="{C37FF30F-AD6C-4392-B8D8-2AE2C0684205}" name="Producto" dataDxfId="162" totalsRowDxfId="161"/>
    <tableColumn id="9" xr3:uid="{6DD007E6-04F7-473F-9EFA-91C27CD1CC07}" name="Cantidad" dataDxfId="160" totalsRowDxfId="159"/>
    <tableColumn id="10" xr3:uid="{F973BAAD-610E-4666-87E9-CDD5316CF765}" name="Precio Bruto" dataDxfId="158" totalsRowDxfId="157" dataCellStyle="Millares"/>
    <tableColumn id="11" xr3:uid="{707495D8-3ED5-4BC3-BE44-62770DAF57DD}" name="Precio Unitario Neto" dataDxfId="156" totalsRowDxfId="155"/>
    <tableColumn id="12" xr3:uid="{C1ABE33E-2859-493C-801E-A257473036D4}" name="Apoyo" dataDxfId="154" totalsRowDxfId="153"/>
    <tableColumn id="13" xr3:uid="{6BEF6451-DCBD-46A0-ADDA-4A93363D7A05}" name="Total" totalsRowFunction="sum" dataDxfId="152" totalsRowDxfId="151"/>
    <tableColumn id="14" xr3:uid="{1157CE91-0B40-487A-845E-1E2D6DE7383D}" name="Precio Base" dataDxfId="150" totalsRowDxfId="149"/>
    <tableColumn id="15" xr3:uid="{5396E1A4-AC4C-47E5-B5B9-EEA6AC18E9D4}" name="Utilidad x Eq." dataDxfId="148" totalsRowDxfId="147"/>
    <tableColumn id="16" xr3:uid="{73BD2EBA-CF7E-4F82-8ED4-DB62910502CF}" name="Utilidad Total" totalsRowFunction="sum" dataDxfId="146" totalsRowDxfId="145"/>
    <tableColumn id="4" xr3:uid="{88B1727C-F04C-4362-956C-03604206A74D}" name="%Utilidad / Vta" totalsRowFunction="custom" dataDxfId="144" totalsRowDxfId="143" dataCellStyle="Porcentaje">
      <totalsRowFormula>++Tabla5[[#Totals],[Utilidad Total]]/Tabla5[[#Totals],[Total]]</totalsRowFormula>
    </tableColumn>
    <tableColumn id="17" xr3:uid="{673912F9-3503-45C7-9A5C-E5CD41842B04}" name="Familia" dataDxfId="142" totalsRowDxfId="141"/>
    <tableColumn id="18" xr3:uid="{6215FFCC-451D-4989-BDE0-DDFBDE522113}" name="% Comisión Asesor" dataDxfId="140" totalsRowDxfId="139" dataCellStyle="Porcentaje"/>
    <tableColumn id="19" xr3:uid="{9F215E99-D697-4320-898F-71CEB915CD1F}" name="Comisiones Asesor" totalsRowFunction="sum" dataDxfId="138" totalsRowDxfId="137" dataCellStyle="Millares"/>
    <tableColumn id="20" xr3:uid="{F9983C00-D24B-4AD0-A791-5D1457C6F607}" name="Comisiones Coordinador" dataDxfId="136" totalsRowDxfId="135" dataCellStyle="Millares"/>
    <tableColumn id="21" xr3:uid="{05920C61-D24B-4166-9673-77DD3F7361D2}" name="Comisiones Gerente" dataDxfId="134" totalsRowDxfId="133" dataCellStyle="Millares"/>
    <tableColumn id="22" xr3:uid="{28BBFC6E-67F3-4F4A-9B8B-5C12F693266A}" name="Comisiones Director" dataDxfId="132" totalsRowDxfId="131" dataCellStyle="Millar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1E7A264-1A09-4C61-AC34-E39C9D93D40E}" name="Tabla4" displayName="Tabla4" ref="A3:V7493" totalsRowShown="0" headerRowDxfId="127" dataDxfId="126" totalsRowDxfId="125">
  <autoFilter ref="A3:V7493" xr:uid="{31E7A264-1A09-4C61-AC34-E39C9D93D40E}">
    <filterColumn colId="0">
      <filters>
        <dateGroupItem year="2025" month="12" dateTimeGrouping="month"/>
      </filters>
    </filterColumn>
  </autoFilter>
  <tableColumns count="22">
    <tableColumn id="1" xr3:uid="{CE4D75C1-0D0F-4973-BD5D-290997CA4811}" name="Fecha Cobranza" dataDxfId="124" totalsRowDxfId="123"/>
    <tableColumn id="2" xr3:uid="{5A44002C-514A-4316-AECE-532D3EE340D3}" name="Mes" dataDxfId="122" totalsRowDxfId="121">
      <calculatedColumnFormula>TEXT(A4, "mmmm")</calculatedColumnFormula>
    </tableColumn>
    <tableColumn id="3" xr3:uid="{03859E9E-A6D8-4906-987D-753B7538F2EF}" name="Asesor" dataDxfId="120" totalsRowDxfId="119"/>
    <tableColumn id="4" xr3:uid="{50CB1324-30FA-412A-8294-377F42D4E81B}" name="Nivel" dataDxfId="118" totalsRowDxfId="117"/>
    <tableColumn id="6" xr3:uid="{9EE7030E-D7F9-4E2A-BCDD-DE8D09892EF5}" name="Cliente" dataDxfId="116" totalsRowDxfId="115"/>
    <tableColumn id="7" xr3:uid="{55CEE447-9A3D-43FA-9834-1CE28D1A711C}" name="FACTURAS" dataDxfId="114" totalsRowDxfId="113"/>
    <tableColumn id="8" xr3:uid="{BDD531A0-E0AD-43F0-8C28-8F6EDE73F3F4}" name="Producto" dataDxfId="112" totalsRowDxfId="111"/>
    <tableColumn id="9" xr3:uid="{102F7DA8-252F-4143-9696-93BACF554275}" name="Cantidad" dataDxfId="110" totalsRowDxfId="109"/>
    <tableColumn id="17" xr3:uid="{5EE00C93-C3D7-4B3B-9983-5B57FACB3BBF}" name="Precio Bruto" dataDxfId="108" totalsRowDxfId="107" dataCellStyle="Millares"/>
    <tableColumn id="10" xr3:uid="{21AB7A3D-A190-4EE3-9DCF-CC106CF9A253}" name="Precio Unitario Neto" dataDxfId="106" totalsRowDxfId="105" dataCellStyle="Millares">
      <calculatedColumnFormula>++Tabla4[[#This Row],[Precio Bruto]]*1.16</calculatedColumnFormula>
    </tableColumn>
    <tableColumn id="11" xr3:uid="{A80A6A68-85E9-46CF-B23F-B266F0BF9DDB}" name="20.85%" dataDxfId="104" totalsRowDxfId="103" dataCellStyle="Millares">
      <calculatedColumnFormula>+Tabla4[[#This Row],[Precio Unitario Neto]]*Tabla4[[#Headers],[20.85%]]</calculatedColumnFormula>
    </tableColumn>
    <tableColumn id="12" xr3:uid="{C7A310B6-15B5-4405-B60E-DEE6AB512F5C}" name="Precio Descontado" dataDxfId="102" totalsRowDxfId="101" dataCellStyle="Millares">
      <calculatedColumnFormula>++Tabla4[[#This Row],[Precio Unitario Neto]]-Tabla4[[#This Row],[20.85%]]</calculatedColumnFormula>
    </tableColumn>
    <tableColumn id="13" xr3:uid="{51DF7F9F-CB70-4453-A07E-8A66AA142AC3}" name="Precio Base" dataDxfId="100" totalsRowDxfId="99" dataCellStyle="Millares">
      <calculatedColumnFormula>(INDEX(Tabla6[#All],MATCH(Tabla4[[#This Row],[Producto]],Tabla6[[#All],[PRODUCTO]],0),MATCH(Tabla4[[#This Row],[Mes]],Tabla6[#Headers],0)))*(1+Catalogos!$L$2)</calculatedColumnFormula>
    </tableColumn>
    <tableColumn id="14" xr3:uid="{80869834-AB5D-4216-86BF-BD41506F6B1F}" name="Utilidad Total" dataDxfId="98" totalsRowDxfId="97" dataCellStyle="Millares">
      <calculatedColumnFormula>+(Tabla4[[#This Row],[Precio Descontado]]-Tabla4[[#This Row],[Precio Base]])*Tabla4[[#This Row],[Cantidad]]</calculatedColumnFormula>
    </tableColumn>
    <tableColumn id="5" xr3:uid="{150810AE-FC3D-4718-ADC1-029CE8AEA938}" name="%Utilidad / Vta" dataDxfId="96" totalsRowDxfId="95" dataCellStyle="Porcentaje">
      <calculatedColumnFormula>++Tabla4[[#This Row],[Utilidad Total]]/Tabla4[[#This Row],[Total]]</calculatedColumnFormula>
    </tableColumn>
    <tableColumn id="21" xr3:uid="{6F371AE3-F3F1-4132-98B3-6C745E2224E9}" name="Total" dataDxfId="94" totalsRowDxfId="93" dataCellStyle="Millares">
      <calculatedColumnFormula>++Tabla4[[#This Row],[Precio Descontado]]*Tabla4[[#This Row],[Cantidad]]</calculatedColumnFormula>
    </tableColumn>
    <tableColumn id="22" xr3:uid="{259EF96E-2ECC-4B63-B71D-E9AC3E7FF99C}" name="Costo" dataDxfId="92" totalsRowDxfId="91" dataCellStyle="Millares">
      <calculatedColumnFormula>(INDEX(Tabla6[#All],MATCH(Tabla4[[#This Row],[Producto]],Tabla6[[#All],[PRODUCTO]],0),MATCH(Tabla4[[#This Row],[Mes]],Tabla6[#Headers],0)))</calculatedColumnFormula>
    </tableColumn>
    <tableColumn id="20" xr3:uid="{C8DAFF45-8E4C-46FD-AE27-F94FF828499C}" name="U. Bruta Uni" dataDxfId="90" totalsRowDxfId="89" dataCellStyle="Millares">
      <calculatedColumnFormula>++Tabla4[[#This Row],[Precio Unitario Neto]]-Tabla4[[#This Row],[20.85%]]-Tabla4[[#This Row],[Costo]]</calculatedColumnFormula>
    </tableColumn>
    <tableColumn id="19" xr3:uid="{74DE96C7-0397-415D-9DB1-46320AE34259}" name="U. Bruta Total" dataDxfId="88" totalsRowDxfId="87" dataCellStyle="Millares">
      <calculatedColumnFormula>++Tabla4[[#This Row],[U. Bruta Uni]]*Tabla4[[#This Row],[Cantidad]]</calculatedColumnFormula>
    </tableColumn>
    <tableColumn id="15" xr3:uid="{2B3D24E8-BBE8-474E-8B6C-C56D25751C2D}" name="Familia" dataDxfId="86" totalsRowDxfId="85" dataCellStyle="Moneda">
      <calculatedColumnFormula>VLOOKUP(Tabla4[[#This Row],[Producto]],Tabla6[#All],14,FALSE)</calculatedColumnFormula>
    </tableColumn>
    <tableColumn id="16" xr3:uid="{BB1A8B4F-DEFA-4C6C-ABAF-420033DD11CE}" name="Comisión Calculada" dataDxfId="84" totalsRowDxfId="83" dataCellStyle="Porcentaje">
      <calculatedColumnFormula>(IF(Tabla4[[#This Row],[Familia]]="termico solar",Tabla4[[#This Row],[Utilidad Total]]*6%,Tabla4[[#This Row],[Utilidad Total]]*11.5%))/Tabla4[[#This Row],[Total]]</calculatedColumnFormula>
    </tableColumn>
    <tableColumn id="18" xr3:uid="{5E0E2367-CB7B-4BA5-A7EC-0EF104B4EDB9}" name="Comisión a Pagar" dataDxfId="82" dataCellStyle="Millares">
      <calculatedColumnFormula>+Tabla4[[#This Row],[Comisión Calculada]]*Tabla4[[#This Row],[Total]]</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FCB32AC-CAAB-412E-B651-6B075C35D577}" name="Tabla110" displayName="Tabla110" ref="A7:Z160" totalsRowShown="0" headerRowDxfId="77" dataDxfId="76" totalsRowDxfId="75">
  <autoFilter ref="A7:Z160" xr:uid="{00000000-0009-0000-0100-000001000000}"/>
  <tableColumns count="26">
    <tableColumn id="18" xr3:uid="{FE2E06B6-2877-48E1-B184-68667DCD6F75}" name="Fecha Cobranza" dataDxfId="74" totalsRowDxfId="73"/>
    <tableColumn id="23" xr3:uid="{8DBDBC42-EA87-46BF-A629-AA44A0278E98}" name="Mes" dataDxfId="72" totalsRowDxfId="71">
      <calculatedColumnFormula>TEXT(A8,"mmmm")</calculatedColumnFormula>
    </tableColumn>
    <tableColumn id="1" xr3:uid="{AC744122-D75A-4E27-9992-BE40CBE0E7A6}" name="Asesor" dataDxfId="70" totalsRowDxfId="69"/>
    <tableColumn id="25" xr3:uid="{B4EFF403-519B-42CA-AC3B-0F77C856DA5B}" name="TIPO" dataDxfId="68" totalsRowDxfId="67"/>
    <tableColumn id="4" xr3:uid="{EF61F53D-20ED-4888-BCC3-EA46CC4844F8}" name="Cliente" dataDxfId="66" totalsRowDxfId="65"/>
    <tableColumn id="5" xr3:uid="{BE408878-BBEA-4152-A022-F8050A09976F}" name="OV" dataDxfId="64" totalsRowDxfId="63"/>
    <tableColumn id="6" xr3:uid="{DAF4A2CE-69BA-4264-9350-E187C63B49B6}" name="Producto" dataDxfId="62" totalsRowDxfId="61"/>
    <tableColumn id="7" xr3:uid="{1A096CB6-6636-40A0-99BB-E6DB3BE44789}" name="Cantidad" dataDxfId="60" totalsRowDxfId="59"/>
    <tableColumn id="21" xr3:uid="{1270E8B8-C5C7-440F-A6F7-5D8865F03918}" name="Precio Bruto" dataDxfId="58" totalsRowDxfId="57"/>
    <tableColumn id="8" xr3:uid="{45124AE6-1CE2-413C-94B9-3C0AF9CADD24}" name="Precio Unitario Neto" dataDxfId="56" totalsRowDxfId="55" dataCellStyle="Millares">
      <calculatedColumnFormula>+Tabla110[[#This Row],[Precio Bruto]]*1.16</calculatedColumnFormula>
    </tableColumn>
    <tableColumn id="9" xr3:uid="{1D96C82E-2A21-43F4-91ED-9B12FF7A2396}" name="Apoyo" dataDxfId="54" totalsRowDxfId="53" dataCellStyle="Millares"/>
    <tableColumn id="10" xr3:uid="{AC26726B-B8C2-4A7E-9742-E477C1E41D6E}" name="Venta Total" dataDxfId="52" dataCellStyle="Millares">
      <calculatedColumnFormula>++(Tabla110[[#This Row],[Precio Unitario Neto]]*Tabla110[[#This Row],[Cantidad]])-(Tabla110[[#This Row],[Cantidad]]*Tabla110[[#This Row],[Apoyo]])</calculatedColumnFormula>
    </tableColumn>
    <tableColumn id="11" xr3:uid="{D0A0BA41-C381-4DA2-B671-D993F6ED12E3}" name="COSTO + INDI" dataDxfId="51" totalsRowDxfId="50" dataCellStyle="Millares"/>
    <tableColumn id="14" xr3:uid="{E12CD104-E3A8-43C8-B5E7-5645E9C66D7B}" name="Utilidad Neta x Eq." dataDxfId="49" totalsRowDxfId="48" dataCellStyle="Millares">
      <calculatedColumnFormula>+IF((Tabla110[[#This Row],[Precio Unitario Neto]]-Tabla110[[#This Row],[Apoyo]]-Tabla110[[#This Row],[COSTO + INDI]])&lt;=0,0,(Tabla110[[#This Row],[Precio Unitario Neto]]-Tabla110[[#This Row],[Apoyo]]-Tabla110[[#This Row],[COSTO + INDI]]))</calculatedColumnFormula>
    </tableColumn>
    <tableColumn id="15" xr3:uid="{D87C575B-00AF-4751-A9A8-98A1EEE31956}" name="Utilidad Neta Total" dataDxfId="47" totalsRowDxfId="46" dataCellStyle="Millares">
      <calculatedColumnFormula>++Tabla110[[#This Row],[Utilidad Neta x Eq.]]*Tabla110[[#This Row],[Cantidad]]</calculatedColumnFormula>
    </tableColumn>
    <tableColumn id="24" xr3:uid="{3BE2B3B9-76B2-43E4-8B4A-6E398E07A36A}" name="%Utilidad / Vta" dataDxfId="45" totalsRowDxfId="44" dataCellStyle="Porcentaje"/>
    <tableColumn id="16" xr3:uid="{ED1AB311-BEBD-4772-9C39-B4321B9AF212}" name="FLETE" dataDxfId="43" totalsRowDxfId="42" dataCellStyle="Millares"/>
    <tableColumn id="27" xr3:uid="{9217919A-F8ED-4940-BC59-1BD5E677005F}" name="Costo unitario" dataDxfId="41" totalsRowDxfId="40" dataCellStyle="Porcentaje"/>
    <tableColumn id="3" xr3:uid="{74F1AA68-8B73-4B26-B89B-AE8D425582F0}" name="Utilidad Bruta" dataDxfId="39" totalsRowDxfId="38" dataCellStyle="Millares">
      <calculatedColumnFormula>++Tabla110[[#This Row],[Precio Unitario Neto]]-Tabla110[[#This Row],[Apoyo]]-Tabla110[[#This Row],[Costo unitario]]</calculatedColumnFormula>
    </tableColumn>
    <tableColumn id="29" xr3:uid="{E315D2AB-C635-4C6B-B9DC-169E882033B1}" name="Utilidad Bruta Total" dataDxfId="37" totalsRowDxfId="36" dataCellStyle="Millares">
      <calculatedColumnFormula>+Tabla110[[#This Row],[Utilidad Bruta]]*Tabla110[[#This Row],[Cantidad]]</calculatedColumnFormula>
    </tableColumn>
    <tableColumn id="28" xr3:uid="{46BDF2B9-1B85-470F-88A4-0126E87F87E9}" name="% utilidad bruta / precio" dataDxfId="35" totalsRowDxfId="34" dataCellStyle="Moneda">
      <calculatedColumnFormula>++Tabla110[[#This Row],[Utilidad Bruta Total]]*$V$1</calculatedColumnFormula>
    </tableColumn>
    <tableColumn id="2" xr3:uid="{8A0E3BFB-E389-4A25-99A8-1FA9940D0CBE}" name="Comision" dataDxfId="33" totalsRowDxfId="32" dataCellStyle="Millares">
      <calculatedColumnFormula>++Tabla110[[#This Row],[Utilidad Bruta Total]]*$V$1</calculatedColumnFormula>
    </tableColumn>
    <tableColumn id="12" xr3:uid="{EA69917A-C507-4D95-AF4A-A36A63D3B2CB}" name="PRECIO 4" dataDxfId="31" totalsRowDxfId="30">
      <calculatedColumnFormula>VLOOKUP(Tabla110[[#This Row],[Producto]],'NUEVAS LISTAS'!$B$3:$P$403,'Ventas '!W$6,FALSE)</calculatedColumnFormula>
    </tableColumn>
    <tableColumn id="13" xr3:uid="{E01B0BE0-E5E0-4B8B-90E3-9B281FA6BA83}" name="PRECIO 3" dataDxfId="29" totalsRowDxfId="28">
      <calculatedColumnFormula>VLOOKUP(Tabla110[[#This Row],[Producto]],'NUEVAS LISTAS'!$B$3:$P$403,'Ventas '!X$6,FALSE)</calculatedColumnFormula>
    </tableColumn>
    <tableColumn id="17" xr3:uid="{38233FAB-0DB8-4E2F-87EF-3B2CF77A6AE2}" name="PRECIO 2" dataDxfId="27" totalsRowDxfId="26">
      <calculatedColumnFormula>VLOOKUP(Tabla110[[#This Row],[Producto]],'NUEVAS LISTAS'!$B$3:$P$403,'Ventas '!Y$6,FALSE)</calculatedColumnFormula>
    </tableColumn>
    <tableColumn id="19" xr3:uid="{8420B496-16ED-4380-A959-C3F600677870}" name="PRECIO 1" dataDxfId="25" totalsRowDxfId="24">
      <calculatedColumnFormula>VLOOKUP(Tabla110[[#This Row],[Producto]],'NUEVAS LISTAS'!$B$3:$P$403,'Ventas '!Z$6,FALSE)</calculatedColumnFormula>
    </tableColumn>
  </tableColumns>
  <tableStyleInfo name="TableStyleMedium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A1:J11" totalsRowShown="0" headerRowDxfId="4">
  <autoFilter ref="A1:J11" xr:uid="{00000000-0009-0000-0100-000008000000}"/>
  <tableColumns count="10">
    <tableColumn id="1" xr3:uid="{00000000-0010-0000-0700-000001000000}" name="Fecha Comisión"/>
    <tableColumn id="2" xr3:uid="{00000000-0010-0000-0700-000002000000}" name="Cliente"/>
    <tableColumn id="3" xr3:uid="{00000000-0010-0000-0700-000003000000}" name="Ov"/>
    <tableColumn id="10" xr3:uid="{00000000-0010-0000-0700-00000A000000}" name="Monto Cobrado"/>
    <tableColumn id="4" xr3:uid="{00000000-0010-0000-0700-000004000000}" name="Fecha Entrega" dataDxfId="3"/>
    <tableColumn id="5" xr3:uid="{00000000-0010-0000-0700-000005000000}" name="Crédito"/>
    <tableColumn id="6" xr3:uid="{00000000-0010-0000-0700-000006000000}" name="Vencimiento" dataDxfId="2">
      <calculatedColumnFormula>++Tabla8[[#This Row],[Fecha Entrega]]+Tabla8[[#This Row],[Crédito]]</calculatedColumnFormula>
    </tableColumn>
    <tableColumn id="7" xr3:uid="{00000000-0010-0000-0700-000007000000}" name="Fecha Pago" dataDxfId="1"/>
    <tableColumn id="8" xr3:uid="{00000000-0010-0000-0700-000008000000}" name="Vencida" dataDxfId="0"/>
    <tableColumn id="9" xr3:uid="{00000000-0010-0000-0700-000009000000}" name="Corriente"/>
  </tableColumns>
  <tableStyleInfo name="TableStyleLight1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table" Target="../tables/table4.xml"/><Relationship Id="rId2" Type="http://schemas.openxmlformats.org/officeDocument/2006/relationships/hyperlink" Target="https://5661462.app.netsuite.com/app/common/item/item.nl?id=6284" TargetMode="External"/><Relationship Id="rId1" Type="http://schemas.openxmlformats.org/officeDocument/2006/relationships/hyperlink" Target="https://5661462.app.netsuite.com/app/common/item/item.nl?id=6563"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AF296"/>
  <sheetViews>
    <sheetView topLeftCell="J3" zoomScale="85" zoomScaleNormal="85" workbookViewId="0">
      <selection activeCell="N19" sqref="N19:W20"/>
    </sheetView>
  </sheetViews>
  <sheetFormatPr baseColWidth="10" defaultRowHeight="15" x14ac:dyDescent="0.25"/>
  <cols>
    <col min="1" max="1" width="2.42578125" customWidth="1"/>
    <col min="2" max="2" width="44" customWidth="1"/>
    <col min="3" max="3" width="13.85546875" customWidth="1"/>
    <col min="4" max="4" width="25.140625" customWidth="1"/>
    <col min="5" max="7" width="20" customWidth="1"/>
    <col min="8" max="8" width="21.7109375" style="14" bestFit="1" customWidth="1"/>
    <col min="9" max="11" width="14" customWidth="1"/>
    <col min="12" max="12" width="28.42578125" bestFit="1" customWidth="1"/>
    <col min="13" max="15" width="14.42578125" customWidth="1"/>
    <col min="16" max="16" width="13.5703125" bestFit="1" customWidth="1"/>
    <col min="17" max="24" width="13.5703125" customWidth="1"/>
    <col min="25" max="25" width="15.85546875" bestFit="1" customWidth="1"/>
    <col min="26" max="26" width="37.7109375" customWidth="1"/>
    <col min="28" max="28" width="25.140625" bestFit="1" customWidth="1"/>
    <col min="29" max="30" width="32.140625" bestFit="1" customWidth="1"/>
    <col min="32" max="32" width="83" bestFit="1" customWidth="1"/>
  </cols>
  <sheetData>
    <row r="1" spans="2:32" x14ac:dyDescent="0.25">
      <c r="L1" s="162"/>
      <c r="M1" s="162"/>
      <c r="N1" s="162"/>
      <c r="O1" s="162"/>
    </row>
    <row r="2" spans="2:32" x14ac:dyDescent="0.25">
      <c r="L2" s="243">
        <v>0.3</v>
      </c>
      <c r="M2" s="243">
        <v>0.22500000000000001</v>
      </c>
      <c r="N2" s="242"/>
      <c r="O2" s="242"/>
      <c r="W2" s="280"/>
    </row>
    <row r="3" spans="2:32" s="39" customFormat="1" ht="30.2" customHeight="1" x14ac:dyDescent="0.25">
      <c r="B3" s="39" t="s">
        <v>10</v>
      </c>
      <c r="C3" s="39" t="s">
        <v>487</v>
      </c>
      <c r="D3" s="39" t="s">
        <v>145</v>
      </c>
      <c r="E3" s="39" t="s">
        <v>130</v>
      </c>
      <c r="F3" s="39" t="s">
        <v>166</v>
      </c>
      <c r="G3" s="39" t="s">
        <v>167</v>
      </c>
      <c r="H3" s="40" t="s">
        <v>168</v>
      </c>
      <c r="I3" s="39" t="s">
        <v>567</v>
      </c>
      <c r="J3" s="39" t="s">
        <v>609</v>
      </c>
      <c r="L3" s="54" t="s">
        <v>671</v>
      </c>
      <c r="M3" s="55" t="s">
        <v>368</v>
      </c>
      <c r="N3" s="55" t="s">
        <v>367</v>
      </c>
      <c r="O3" s="55" t="s">
        <v>382</v>
      </c>
      <c r="P3" s="55" t="s">
        <v>395</v>
      </c>
      <c r="Q3" s="55" t="s">
        <v>397</v>
      </c>
      <c r="R3" s="55" t="s">
        <v>410</v>
      </c>
      <c r="S3" s="55" t="s">
        <v>416</v>
      </c>
      <c r="T3" s="55" t="s">
        <v>426</v>
      </c>
      <c r="U3" s="55" t="s">
        <v>448</v>
      </c>
      <c r="V3" s="55" t="s">
        <v>462</v>
      </c>
      <c r="W3" s="55" t="s">
        <v>466</v>
      </c>
      <c r="X3" s="55" t="s">
        <v>469</v>
      </c>
      <c r="Y3" s="57" t="s">
        <v>670</v>
      </c>
      <c r="AA3" s="39" t="s">
        <v>2</v>
      </c>
      <c r="AC3" s="39" t="s">
        <v>149</v>
      </c>
      <c r="AD3" s="39" t="s">
        <v>147</v>
      </c>
      <c r="AE3" s="39" t="s">
        <v>130</v>
      </c>
      <c r="AF3" s="39" t="s">
        <v>148</v>
      </c>
    </row>
    <row r="4" spans="2:32" x14ac:dyDescent="0.25">
      <c r="B4" t="s">
        <v>267</v>
      </c>
      <c r="C4" t="s">
        <v>485</v>
      </c>
      <c r="D4" t="s">
        <v>146</v>
      </c>
      <c r="E4" t="s">
        <v>305</v>
      </c>
      <c r="F4" t="s">
        <v>306</v>
      </c>
      <c r="G4" s="240">
        <v>323683179</v>
      </c>
      <c r="H4" s="397" t="s">
        <v>307</v>
      </c>
      <c r="I4" t="s">
        <v>569</v>
      </c>
      <c r="J4" t="s">
        <v>610</v>
      </c>
      <c r="L4" t="s">
        <v>205</v>
      </c>
      <c r="M4" s="56">
        <v>1197.2472586544534</v>
      </c>
      <c r="N4" s="56">
        <v>1200.5347665408337</v>
      </c>
      <c r="O4" s="56">
        <v>1195.1336782831918</v>
      </c>
      <c r="P4" s="56">
        <v>1193.573332130341</v>
      </c>
      <c r="Q4" s="56">
        <v>1190.7126382184763</v>
      </c>
      <c r="R4" s="56">
        <v>1147.3447012608954</v>
      </c>
      <c r="S4" s="56">
        <v>1249.2723461997793</v>
      </c>
      <c r="T4" s="56">
        <v>1249.2723461997793</v>
      </c>
      <c r="U4" s="56">
        <v>1249.2723461997793</v>
      </c>
      <c r="V4" s="56">
        <v>1247.1157980267553</v>
      </c>
      <c r="W4" s="56">
        <v>0</v>
      </c>
      <c r="X4" s="56">
        <v>0</v>
      </c>
      <c r="Y4" t="s">
        <v>114</v>
      </c>
      <c r="AA4" t="s">
        <v>3</v>
      </c>
      <c r="AC4" t="s">
        <v>122</v>
      </c>
      <c r="AD4" t="s">
        <v>150</v>
      </c>
      <c r="AE4" t="s">
        <v>153</v>
      </c>
      <c r="AF4" t="s">
        <v>578</v>
      </c>
    </row>
    <row r="5" spans="2:32" x14ac:dyDescent="0.25">
      <c r="B5" s="379" t="s">
        <v>280</v>
      </c>
      <c r="C5" t="s">
        <v>485</v>
      </c>
      <c r="D5" t="s">
        <v>146</v>
      </c>
      <c r="E5" t="s">
        <v>313</v>
      </c>
      <c r="F5" t="s">
        <v>306</v>
      </c>
      <c r="G5" s="240">
        <v>1126951290</v>
      </c>
      <c r="H5" s="397" t="s">
        <v>314</v>
      </c>
      <c r="I5" t="s">
        <v>569</v>
      </c>
      <c r="L5" t="s">
        <v>48</v>
      </c>
      <c r="M5" s="56">
        <v>1363.4696635333385</v>
      </c>
      <c r="N5" s="56">
        <v>1366.9020347258845</v>
      </c>
      <c r="O5" s="56">
        <v>1361.5033642132119</v>
      </c>
      <c r="P5" s="56">
        <v>1359.5817448650382</v>
      </c>
      <c r="Q5" s="56">
        <v>1355.8015419986209</v>
      </c>
      <c r="R5" s="56">
        <v>1310.4325065399778</v>
      </c>
      <c r="S5" s="56">
        <v>1429.1120431755219</v>
      </c>
      <c r="T5" s="56">
        <v>1429.1120431755219</v>
      </c>
      <c r="U5" s="56">
        <v>1429.1120431755219</v>
      </c>
      <c r="V5" s="56">
        <v>1426.9554950024981</v>
      </c>
      <c r="W5" s="56">
        <v>1140.2634847243335</v>
      </c>
      <c r="X5" s="56">
        <v>1140.2634847243335</v>
      </c>
      <c r="Y5" t="s">
        <v>114</v>
      </c>
      <c r="AA5" t="s">
        <v>12</v>
      </c>
      <c r="AC5" t="s">
        <v>146</v>
      </c>
      <c r="AD5" t="s">
        <v>151</v>
      </c>
      <c r="AE5" t="s">
        <v>158</v>
      </c>
      <c r="AF5" t="s">
        <v>155</v>
      </c>
    </row>
    <row r="6" spans="2:32" x14ac:dyDescent="0.25">
      <c r="B6" t="s">
        <v>163</v>
      </c>
      <c r="C6" t="s">
        <v>485</v>
      </c>
      <c r="G6" s="240"/>
      <c r="H6" s="397"/>
      <c r="L6" t="s">
        <v>50</v>
      </c>
      <c r="M6" s="56">
        <v>1521.6304561028169</v>
      </c>
      <c r="N6" s="56">
        <v>1525.2076906015288</v>
      </c>
      <c r="O6" s="56">
        <v>1519.8114378338255</v>
      </c>
      <c r="P6" s="56">
        <v>1517.5285452903286</v>
      </c>
      <c r="Q6" s="56">
        <v>1512.8288334693591</v>
      </c>
      <c r="R6" s="56">
        <v>1465.4586995096531</v>
      </c>
      <c r="S6" s="56">
        <v>1600.8901278418575</v>
      </c>
      <c r="T6" s="56">
        <v>1600.8901278418575</v>
      </c>
      <c r="U6" s="56">
        <v>1600.8901278418575</v>
      </c>
      <c r="V6" s="56">
        <v>1598.7335796688335</v>
      </c>
      <c r="W6" s="56">
        <v>1270.1112541126772</v>
      </c>
      <c r="X6" s="56">
        <v>1270.1112541126772</v>
      </c>
      <c r="Y6" t="s">
        <v>114</v>
      </c>
      <c r="AC6" t="s">
        <v>527</v>
      </c>
      <c r="AD6" t="s">
        <v>152</v>
      </c>
      <c r="AE6" t="s">
        <v>154</v>
      </c>
      <c r="AF6" t="s">
        <v>156</v>
      </c>
    </row>
    <row r="7" spans="2:32" x14ac:dyDescent="0.25">
      <c r="B7" t="s">
        <v>268</v>
      </c>
      <c r="C7" t="s">
        <v>485</v>
      </c>
      <c r="D7" t="s">
        <v>506</v>
      </c>
      <c r="E7" t="s">
        <v>308</v>
      </c>
      <c r="F7" t="s">
        <v>309</v>
      </c>
      <c r="G7" s="240" t="s">
        <v>315</v>
      </c>
      <c r="H7" s="397" t="s">
        <v>310</v>
      </c>
      <c r="I7" t="s">
        <v>569</v>
      </c>
      <c r="J7" t="s">
        <v>610</v>
      </c>
      <c r="L7" t="s">
        <v>52</v>
      </c>
      <c r="M7" s="56">
        <v>1739.8939759921313</v>
      </c>
      <c r="N7" s="56">
        <v>1743.6639112459175</v>
      </c>
      <c r="O7" s="56">
        <v>1738.1621132114408</v>
      </c>
      <c r="P7" s="56">
        <v>1735.3260614842191</v>
      </c>
      <c r="Q7" s="56">
        <v>1729.1440224026333</v>
      </c>
      <c r="R7" s="56">
        <v>1678.7622816935032</v>
      </c>
      <c r="S7" s="56">
        <v>1838.3480574164196</v>
      </c>
      <c r="T7" s="56">
        <v>1838.3480574164196</v>
      </c>
      <c r="U7" s="56">
        <v>1838.3480574164196</v>
      </c>
      <c r="V7" s="56">
        <v>1836.1915092433956</v>
      </c>
      <c r="W7" s="56">
        <v>1424.9136184338445</v>
      </c>
      <c r="X7" s="56">
        <v>1424.9136184338445</v>
      </c>
      <c r="Y7" t="s">
        <v>114</v>
      </c>
    </row>
    <row r="8" spans="2:32" x14ac:dyDescent="0.25">
      <c r="B8" t="s">
        <v>269</v>
      </c>
      <c r="C8" t="s">
        <v>485</v>
      </c>
      <c r="D8" t="s">
        <v>506</v>
      </c>
      <c r="E8" t="s">
        <v>312</v>
      </c>
      <c r="F8" t="s">
        <v>303</v>
      </c>
      <c r="G8" s="240" t="s">
        <v>507</v>
      </c>
      <c r="H8" s="397" t="s">
        <v>508</v>
      </c>
      <c r="I8" t="s">
        <v>569</v>
      </c>
      <c r="J8" t="s">
        <v>610</v>
      </c>
      <c r="L8" t="s">
        <v>54</v>
      </c>
      <c r="M8" s="56">
        <v>1995.3303420472575</v>
      </c>
      <c r="N8" s="56">
        <v>1999.3570575510262</v>
      </c>
      <c r="O8" s="56">
        <v>1994.0284547898018</v>
      </c>
      <c r="P8" s="56">
        <v>1990.665224359725</v>
      </c>
      <c r="Q8" s="56">
        <v>1983.2690256985379</v>
      </c>
      <c r="R8" s="56">
        <v>1929.8856372378145</v>
      </c>
      <c r="S8" s="56">
        <v>2116.3212914943092</v>
      </c>
      <c r="T8" s="56">
        <v>2116.3212914943092</v>
      </c>
      <c r="U8" s="56">
        <v>2116.3212914943092</v>
      </c>
      <c r="V8" s="56">
        <v>2114.1647433212856</v>
      </c>
      <c r="W8" s="56">
        <v>1630.3160978433327</v>
      </c>
      <c r="X8" s="56">
        <v>1630.3160978433327</v>
      </c>
      <c r="Y8" t="s">
        <v>114</v>
      </c>
    </row>
    <row r="9" spans="2:32" x14ac:dyDescent="0.25">
      <c r="B9" t="s">
        <v>270</v>
      </c>
      <c r="C9" t="s">
        <v>486</v>
      </c>
      <c r="G9" s="240"/>
      <c r="H9" s="397"/>
      <c r="J9" t="s">
        <v>610</v>
      </c>
      <c r="L9" t="s">
        <v>75</v>
      </c>
      <c r="M9" s="56">
        <v>2135.3820467514456</v>
      </c>
      <c r="N9" s="56">
        <v>2139.5536480735232</v>
      </c>
      <c r="O9" s="56">
        <v>2134.2272044700662</v>
      </c>
      <c r="P9" s="56">
        <v>2130.502501859829</v>
      </c>
      <c r="Q9" s="56">
        <v>2122.1868658176368</v>
      </c>
      <c r="R9" s="56">
        <v>2066.8013829560682</v>
      </c>
      <c r="S9" s="56">
        <v>2270.0226547581792</v>
      </c>
      <c r="T9" s="56">
        <v>2270.0226547581792</v>
      </c>
      <c r="U9" s="56">
        <v>2270.0226547581792</v>
      </c>
      <c r="V9" s="56">
        <v>2267.8661065851556</v>
      </c>
      <c r="W9" s="56">
        <v>0</v>
      </c>
      <c r="X9" s="56">
        <v>0</v>
      </c>
      <c r="Y9" t="s">
        <v>114</v>
      </c>
    </row>
    <row r="10" spans="2:32" x14ac:dyDescent="0.25">
      <c r="B10" s="379" t="s">
        <v>116</v>
      </c>
      <c r="C10" t="s">
        <v>485</v>
      </c>
      <c r="D10" s="380" t="s">
        <v>146</v>
      </c>
      <c r="E10" t="s">
        <v>623</v>
      </c>
      <c r="F10" t="s">
        <v>303</v>
      </c>
      <c r="G10" s="240">
        <v>1548217757</v>
      </c>
      <c r="H10" s="397" t="s">
        <v>624</v>
      </c>
      <c r="I10" t="s">
        <v>568</v>
      </c>
      <c r="L10" t="s">
        <v>56</v>
      </c>
      <c r="M10" s="56">
        <v>2473.4214012971661</v>
      </c>
      <c r="N10" s="56">
        <v>2477.8828372898615</v>
      </c>
      <c r="O10" s="56">
        <v>2472.559987957778</v>
      </c>
      <c r="P10" s="56">
        <v>2468.1117838296764</v>
      </c>
      <c r="Q10" s="56">
        <v>2456.1042991558488</v>
      </c>
      <c r="R10" s="56">
        <v>2396.7118389731963</v>
      </c>
      <c r="S10" s="56">
        <v>2472.3221382810002</v>
      </c>
      <c r="T10" s="56">
        <v>2472.3221382810002</v>
      </c>
      <c r="U10" s="56">
        <v>2472.3221382810002</v>
      </c>
      <c r="V10" s="56">
        <v>2470.1655901079762</v>
      </c>
      <c r="W10" s="56">
        <v>1895.2261618571642</v>
      </c>
      <c r="X10" s="56">
        <v>1895.2261618571642</v>
      </c>
      <c r="Y10" t="s">
        <v>114</v>
      </c>
    </row>
    <row r="11" spans="2:32" x14ac:dyDescent="0.25">
      <c r="B11" t="s">
        <v>271</v>
      </c>
      <c r="C11" t="s">
        <v>485</v>
      </c>
      <c r="G11" s="240"/>
      <c r="H11" s="397"/>
      <c r="J11" t="s">
        <v>610</v>
      </c>
      <c r="L11" t="s">
        <v>58</v>
      </c>
      <c r="M11" s="56">
        <v>2977.7475433968984</v>
      </c>
      <c r="N11" s="56">
        <v>2982.6437313955203</v>
      </c>
      <c r="O11" s="56">
        <v>2977.3262734704963</v>
      </c>
      <c r="P11" s="56">
        <v>2971.7928170655969</v>
      </c>
      <c r="Q11" s="56">
        <v>2956.4473720576507</v>
      </c>
      <c r="R11" s="56">
        <v>2891.0444458933725</v>
      </c>
      <c r="S11" s="56">
        <v>2978.4729677464425</v>
      </c>
      <c r="T11" s="56">
        <v>2978.4729677464425</v>
      </c>
      <c r="U11" s="56">
        <v>2978.4729677464425</v>
      </c>
      <c r="V11" s="56">
        <v>2976.3164195734184</v>
      </c>
      <c r="W11" s="56">
        <v>2175.5959755695585</v>
      </c>
      <c r="X11" s="56">
        <v>2175.5959755695585</v>
      </c>
      <c r="Y11" t="s">
        <v>114</v>
      </c>
    </row>
    <row r="12" spans="2:32" x14ac:dyDescent="0.25">
      <c r="B12" s="379" t="s">
        <v>272</v>
      </c>
      <c r="C12" t="s">
        <v>485</v>
      </c>
      <c r="D12" t="s">
        <v>122</v>
      </c>
      <c r="G12" s="240"/>
      <c r="H12" s="397"/>
      <c r="I12" t="s">
        <v>569</v>
      </c>
      <c r="L12" t="s">
        <v>206</v>
      </c>
      <c r="M12" s="56">
        <v>1189.0420115433421</v>
      </c>
      <c r="N12" s="56">
        <v>1192.3295194297227</v>
      </c>
      <c r="O12" s="56">
        <v>1186.9284311720805</v>
      </c>
      <c r="P12" s="56">
        <v>1185.3680850192297</v>
      </c>
      <c r="Q12" s="56">
        <v>1182.507391107365</v>
      </c>
      <c r="R12" s="56">
        <v>1139.1394541497841</v>
      </c>
      <c r="S12" s="56">
        <v>1241.0670990886681</v>
      </c>
      <c r="T12" s="56">
        <v>1241.0670990886681</v>
      </c>
      <c r="U12" s="56">
        <v>1241.0670990886681</v>
      </c>
      <c r="V12" s="56">
        <v>1238.9105509156443</v>
      </c>
      <c r="W12" s="56">
        <v>1012.5088557701126</v>
      </c>
      <c r="X12" s="56">
        <v>1012.5088557701126</v>
      </c>
      <c r="Y12" t="s">
        <v>114</v>
      </c>
    </row>
    <row r="13" spans="2:32" x14ac:dyDescent="0.25">
      <c r="B13" t="s">
        <v>273</v>
      </c>
      <c r="C13" t="s">
        <v>485</v>
      </c>
      <c r="G13" s="240"/>
      <c r="H13" s="397"/>
      <c r="L13" t="s">
        <v>49</v>
      </c>
      <c r="M13" s="56">
        <v>1344.3576469222273</v>
      </c>
      <c r="N13" s="56">
        <v>1347.7900181147736</v>
      </c>
      <c r="O13" s="56">
        <v>1342.391347602101</v>
      </c>
      <c r="P13" s="56">
        <v>1340.4697282539271</v>
      </c>
      <c r="Q13" s="56">
        <v>1336.6895253875098</v>
      </c>
      <c r="R13" s="56">
        <v>1291.3204899288667</v>
      </c>
      <c r="S13" s="56">
        <v>1410.0000265644107</v>
      </c>
      <c r="T13" s="56">
        <v>1410.0000265644107</v>
      </c>
      <c r="U13" s="56">
        <v>1410.0000265644107</v>
      </c>
      <c r="V13" s="56">
        <v>1407.843478391387</v>
      </c>
      <c r="W13" s="56">
        <v>1114.3921933732047</v>
      </c>
      <c r="X13" s="56">
        <v>1114.3921933732047</v>
      </c>
      <c r="Y13" t="s">
        <v>114</v>
      </c>
    </row>
    <row r="14" spans="2:32" x14ac:dyDescent="0.25">
      <c r="B14" t="s">
        <v>274</v>
      </c>
      <c r="C14" t="s">
        <v>485</v>
      </c>
      <c r="G14" s="240"/>
      <c r="H14" s="397"/>
      <c r="J14" t="s">
        <v>610</v>
      </c>
      <c r="L14" t="s">
        <v>51</v>
      </c>
      <c r="M14" s="56">
        <v>1500.176684593928</v>
      </c>
      <c r="N14" s="56">
        <v>1503.75391909264</v>
      </c>
      <c r="O14" s="56">
        <v>1498.3576663249364</v>
      </c>
      <c r="P14" s="56">
        <v>1496.0747737814393</v>
      </c>
      <c r="Q14" s="56">
        <v>1491.3750619604702</v>
      </c>
      <c r="R14" s="56">
        <v>1444.0049280007643</v>
      </c>
      <c r="S14" s="56">
        <v>1579.4363563329682</v>
      </c>
      <c r="T14" s="56">
        <v>1579.4363563329682</v>
      </c>
      <c r="U14" s="56">
        <v>1579.4363563329682</v>
      </c>
      <c r="V14" s="56">
        <v>1577.2798081599447</v>
      </c>
      <c r="W14" s="56">
        <v>1266.529801626185</v>
      </c>
      <c r="X14" s="56">
        <v>1266.529801626185</v>
      </c>
      <c r="Y14" t="s">
        <v>114</v>
      </c>
    </row>
    <row r="15" spans="2:32" x14ac:dyDescent="0.25">
      <c r="B15" t="s">
        <v>301</v>
      </c>
      <c r="C15" t="s">
        <v>485</v>
      </c>
      <c r="G15" s="240"/>
      <c r="H15" s="397"/>
      <c r="L15" t="s">
        <v>53</v>
      </c>
      <c r="M15" s="56">
        <v>1716.0586624876871</v>
      </c>
      <c r="N15" s="56">
        <v>1719.8285977414732</v>
      </c>
      <c r="O15" s="56">
        <v>1714.3267997069966</v>
      </c>
      <c r="P15" s="56">
        <v>1711.4907479797748</v>
      </c>
      <c r="Q15" s="56">
        <v>1705.3087088981888</v>
      </c>
      <c r="R15" s="56">
        <v>1654.9269681890589</v>
      </c>
      <c r="S15" s="56">
        <v>1814.5127439119753</v>
      </c>
      <c r="T15" s="56">
        <v>1814.5127439119753</v>
      </c>
      <c r="U15" s="56">
        <v>1814.5127439119753</v>
      </c>
      <c r="V15" s="56">
        <v>1812.3561957389513</v>
      </c>
      <c r="W15" s="56">
        <v>1424.705569626333</v>
      </c>
      <c r="X15" s="56">
        <v>1424.705569626333</v>
      </c>
      <c r="Y15" t="s">
        <v>114</v>
      </c>
    </row>
    <row r="16" spans="2:32" x14ac:dyDescent="0.25">
      <c r="B16" t="s">
        <v>275</v>
      </c>
      <c r="C16" t="s">
        <v>486</v>
      </c>
      <c r="G16" s="240"/>
      <c r="H16" s="397"/>
      <c r="J16" t="s">
        <v>610</v>
      </c>
      <c r="L16" t="s">
        <v>55</v>
      </c>
      <c r="M16" s="56">
        <v>1967.8886123228131</v>
      </c>
      <c r="N16" s="56">
        <v>1971.9153278265819</v>
      </c>
      <c r="O16" s="56">
        <v>1966.5867250653569</v>
      </c>
      <c r="P16" s="56">
        <v>1963.2234946352805</v>
      </c>
      <c r="Q16" s="56">
        <v>1955.8272959740937</v>
      </c>
      <c r="R16" s="56">
        <v>1902.44390751337</v>
      </c>
      <c r="S16" s="56">
        <v>2088.8795617698647</v>
      </c>
      <c r="T16" s="56">
        <v>2088.8795617698647</v>
      </c>
      <c r="U16" s="56">
        <v>2088.8795617698647</v>
      </c>
      <c r="V16" s="56">
        <v>2086.7230135968412</v>
      </c>
      <c r="W16" s="56">
        <v>1673.6695476853579</v>
      </c>
      <c r="X16" s="56">
        <v>1673.6695476853579</v>
      </c>
      <c r="Y16" t="s">
        <v>114</v>
      </c>
    </row>
    <row r="17" spans="2:25" x14ac:dyDescent="0.25">
      <c r="B17" t="s">
        <v>276</v>
      </c>
      <c r="C17" t="s">
        <v>485</v>
      </c>
      <c r="G17" s="240"/>
      <c r="H17" s="397"/>
      <c r="J17" t="s">
        <v>610</v>
      </c>
      <c r="L17" t="s">
        <v>76</v>
      </c>
      <c r="M17" s="56">
        <v>2121.1009838625569</v>
      </c>
      <c r="N17" s="56">
        <v>2125.2725851846344</v>
      </c>
      <c r="O17" s="56">
        <v>2119.9461415811775</v>
      </c>
      <c r="P17" s="56">
        <v>2116.2214389709402</v>
      </c>
      <c r="Q17" s="56">
        <v>2107.9058029287485</v>
      </c>
      <c r="R17" s="56">
        <v>2052.5203200671795</v>
      </c>
      <c r="S17" s="56">
        <v>2255.7415918692905</v>
      </c>
      <c r="T17" s="56">
        <v>2255.7415918692905</v>
      </c>
      <c r="U17" s="56">
        <v>2255.7415918692905</v>
      </c>
      <c r="V17" s="56">
        <v>2253.5850436962664</v>
      </c>
      <c r="W17" s="56">
        <v>1634.3153904935114</v>
      </c>
      <c r="X17" s="56">
        <v>1634.3153904935114</v>
      </c>
      <c r="Y17" t="s">
        <v>114</v>
      </c>
    </row>
    <row r="18" spans="2:25" x14ac:dyDescent="0.25">
      <c r="B18" s="379" t="s">
        <v>277</v>
      </c>
      <c r="C18" t="s">
        <v>485</v>
      </c>
      <c r="D18" t="s">
        <v>146</v>
      </c>
      <c r="E18" t="s">
        <v>302</v>
      </c>
      <c r="F18" t="s">
        <v>303</v>
      </c>
      <c r="G18" s="240">
        <v>2624011805</v>
      </c>
      <c r="H18" s="397" t="s">
        <v>304</v>
      </c>
      <c r="I18" t="s">
        <v>568</v>
      </c>
      <c r="L18" t="s">
        <v>57</v>
      </c>
      <c r="M18" s="56">
        <v>2455.301705074944</v>
      </c>
      <c r="N18" s="56">
        <v>2459.763141067639</v>
      </c>
      <c r="O18" s="56">
        <v>2454.4402917355555</v>
      </c>
      <c r="P18" s="56">
        <v>2449.9920876074539</v>
      </c>
      <c r="Q18" s="56">
        <v>2437.9846029336263</v>
      </c>
      <c r="R18" s="56">
        <v>2378.5921427509738</v>
      </c>
      <c r="S18" s="56">
        <v>2454.2024420587777</v>
      </c>
      <c r="T18" s="56">
        <v>2454.2024420587777</v>
      </c>
      <c r="U18" s="56">
        <v>2454.2024420587777</v>
      </c>
      <c r="V18" s="56">
        <v>2452.0458938857537</v>
      </c>
      <c r="W18" s="56">
        <v>1808.5985388458482</v>
      </c>
      <c r="X18" s="56">
        <v>1808.5985388458482</v>
      </c>
      <c r="Y18" t="s">
        <v>114</v>
      </c>
    </row>
    <row r="19" spans="2:25" x14ac:dyDescent="0.25">
      <c r="B19" s="379" t="s">
        <v>278</v>
      </c>
      <c r="C19" t="s">
        <v>485</v>
      </c>
      <c r="D19" t="s">
        <v>146</v>
      </c>
      <c r="E19" t="s">
        <v>311</v>
      </c>
      <c r="F19" t="s">
        <v>303</v>
      </c>
      <c r="G19" s="240">
        <v>1568754741</v>
      </c>
      <c r="H19" s="397" t="s">
        <v>632</v>
      </c>
      <c r="I19" t="s">
        <v>569</v>
      </c>
      <c r="L19" t="s">
        <v>59</v>
      </c>
      <c r="M19" s="56">
        <v>2954.0288300635652</v>
      </c>
      <c r="N19" s="56">
        <v>2958.9250180621871</v>
      </c>
      <c r="O19" s="56">
        <v>2953.6075601371631</v>
      </c>
      <c r="P19" s="56">
        <v>2948.0741037322637</v>
      </c>
      <c r="Q19" s="56">
        <v>2932.728658724317</v>
      </c>
      <c r="R19" s="56">
        <v>2867.3257325600389</v>
      </c>
      <c r="S19" s="56">
        <v>2954.7542544131093</v>
      </c>
      <c r="T19" s="56">
        <v>2954.7542544131093</v>
      </c>
      <c r="U19" s="56">
        <v>2954.7542544131093</v>
      </c>
      <c r="V19" s="56">
        <v>2952.5977062400852</v>
      </c>
      <c r="W19" s="56">
        <v>2189.088158950743</v>
      </c>
      <c r="X19" s="56">
        <v>2189.088158950743</v>
      </c>
      <c r="Y19" t="s">
        <v>114</v>
      </c>
    </row>
    <row r="20" spans="2:25" x14ac:dyDescent="0.25">
      <c r="B20" t="s">
        <v>279</v>
      </c>
      <c r="C20" t="s">
        <v>485</v>
      </c>
      <c r="G20" s="240"/>
      <c r="H20" s="397"/>
      <c r="L20" t="s">
        <v>390</v>
      </c>
      <c r="M20" s="56">
        <v>1311.7333908044636</v>
      </c>
      <c r="N20" s="56">
        <v>1314.9714771676404</v>
      </c>
      <c r="O20" s="56">
        <v>1309.3872394214861</v>
      </c>
      <c r="P20" s="56">
        <v>1307.296625724543</v>
      </c>
      <c r="Q20" s="56">
        <v>1303.3089065143229</v>
      </c>
      <c r="R20" s="56">
        <v>1264.6655700273959</v>
      </c>
      <c r="S20" s="56">
        <v>1376.6644852651568</v>
      </c>
      <c r="T20" s="56">
        <v>1376.6644852651568</v>
      </c>
      <c r="U20" s="56">
        <v>1376.6644852651568</v>
      </c>
      <c r="V20" s="56">
        <v>1374.5079370921328</v>
      </c>
      <c r="W20" s="56">
        <v>1065.1274780435162</v>
      </c>
      <c r="X20" s="56">
        <v>1065.1274780435162</v>
      </c>
      <c r="Y20" t="s">
        <v>114</v>
      </c>
    </row>
    <row r="21" spans="2:25" x14ac:dyDescent="0.25">
      <c r="B21" s="379" t="s">
        <v>281</v>
      </c>
      <c r="C21" t="s">
        <v>485</v>
      </c>
      <c r="D21" s="380" t="s">
        <v>146</v>
      </c>
      <c r="E21" t="s">
        <v>623</v>
      </c>
      <c r="F21" t="s">
        <v>303</v>
      </c>
      <c r="G21" s="240">
        <v>1548217757</v>
      </c>
      <c r="H21" s="397" t="s">
        <v>624</v>
      </c>
      <c r="I21" t="s">
        <v>568</v>
      </c>
      <c r="L21" t="s">
        <v>383</v>
      </c>
      <c r="M21" s="56">
        <v>1469.8524729206085</v>
      </c>
      <c r="N21" s="56">
        <v>1473.2467041015898</v>
      </c>
      <c r="O21" s="56">
        <v>1467.7133322877751</v>
      </c>
      <c r="P21" s="56">
        <v>1465.265654278403</v>
      </c>
      <c r="Q21" s="56">
        <v>1460.4055986428384</v>
      </c>
      <c r="R21" s="56">
        <v>1419.761163654849</v>
      </c>
      <c r="S21" s="56">
        <v>1548.9564150337142</v>
      </c>
      <c r="T21" s="56">
        <v>1548.9564150337142</v>
      </c>
      <c r="U21" s="56">
        <v>1548.9564150337142</v>
      </c>
      <c r="V21" s="56">
        <v>1546.7998668606904</v>
      </c>
      <c r="W21" s="56">
        <v>1202.0276614220879</v>
      </c>
      <c r="X21" s="56">
        <v>1202.0276614220879</v>
      </c>
      <c r="Y21" t="s">
        <v>114</v>
      </c>
    </row>
    <row r="22" spans="2:25" x14ac:dyDescent="0.25">
      <c r="B22" t="s">
        <v>282</v>
      </c>
      <c r="C22" t="s">
        <v>485</v>
      </c>
      <c r="G22" s="240"/>
      <c r="H22" s="397"/>
      <c r="J22" t="s">
        <v>610</v>
      </c>
      <c r="L22" t="s">
        <v>403</v>
      </c>
      <c r="M22" s="56">
        <v>2082.721838855904</v>
      </c>
      <c r="N22" s="56">
        <v>2086.6991553486123</v>
      </c>
      <c r="O22" s="56">
        <v>2081.187144511674</v>
      </c>
      <c r="P22" s="56">
        <v>2077.2934475526672</v>
      </c>
      <c r="Q22" s="56">
        <v>2068.7702951666729</v>
      </c>
      <c r="R22" s="56">
        <v>2020.1105112768198</v>
      </c>
      <c r="S22" s="56">
        <v>2216.6511616811476</v>
      </c>
      <c r="T22" s="56">
        <v>2216.6511616811476</v>
      </c>
      <c r="U22" s="56">
        <v>2216.6511616811476</v>
      </c>
      <c r="V22" s="56">
        <v>2214.4946135081236</v>
      </c>
      <c r="W22" s="56">
        <v>1923.1353221919919</v>
      </c>
      <c r="X22" s="56">
        <v>1923.1353221919919</v>
      </c>
      <c r="Y22" t="s">
        <v>114</v>
      </c>
    </row>
    <row r="23" spans="2:25" x14ac:dyDescent="0.25">
      <c r="B23" t="s">
        <v>283</v>
      </c>
      <c r="C23" t="s">
        <v>485</v>
      </c>
      <c r="G23" s="240"/>
      <c r="H23" s="397"/>
      <c r="J23" t="s">
        <v>610</v>
      </c>
      <c r="L23" t="s">
        <v>207</v>
      </c>
      <c r="M23" s="56">
        <v>260.41135142857144</v>
      </c>
      <c r="N23" s="56">
        <v>255.10737496601479</v>
      </c>
      <c r="O23" s="56">
        <v>243.76167735508562</v>
      </c>
      <c r="P23" s="56">
        <v>234.05855412247004</v>
      </c>
      <c r="Q23" s="56">
        <v>237.76964616328573</v>
      </c>
      <c r="R23" s="56">
        <v>230.76341755993903</v>
      </c>
      <c r="S23" s="56">
        <v>218.60967463884418</v>
      </c>
      <c r="T23" s="56">
        <v>221.50520018334606</v>
      </c>
      <c r="U23" s="56">
        <v>221.50520018334606</v>
      </c>
      <c r="V23" s="56">
        <v>221.50520018334606</v>
      </c>
      <c r="W23" s="56">
        <v>203.82806177205325</v>
      </c>
      <c r="X23" s="56">
        <v>203.82806177205325</v>
      </c>
      <c r="Y23" t="s">
        <v>114</v>
      </c>
    </row>
    <row r="24" spans="2:25" x14ac:dyDescent="0.25">
      <c r="B24" t="s">
        <v>625</v>
      </c>
      <c r="C24" t="s">
        <v>485</v>
      </c>
      <c r="G24" s="240"/>
      <c r="H24" s="397"/>
      <c r="J24" t="s">
        <v>610</v>
      </c>
      <c r="L24" t="s">
        <v>38</v>
      </c>
      <c r="M24" s="56">
        <v>266.7559540750558</v>
      </c>
      <c r="N24" s="56">
        <v>262.47837496601483</v>
      </c>
      <c r="O24" s="56">
        <v>252.48865582984402</v>
      </c>
      <c r="P24" s="56">
        <v>241.35935412247002</v>
      </c>
      <c r="Q24" s="56">
        <v>245.07044616328571</v>
      </c>
      <c r="R24" s="56">
        <v>237.88871755993898</v>
      </c>
      <c r="S24" s="56">
        <v>227.3686927095481</v>
      </c>
      <c r="T24" s="56">
        <v>227.3686927095481</v>
      </c>
      <c r="U24" s="56">
        <v>227.3686927095481</v>
      </c>
      <c r="V24" s="56">
        <v>227.3686927095481</v>
      </c>
      <c r="W24" s="56">
        <v>227.3686927095481</v>
      </c>
      <c r="X24" s="56">
        <v>227.3686927095481</v>
      </c>
      <c r="Y24" t="s">
        <v>114</v>
      </c>
    </row>
    <row r="25" spans="2:25" x14ac:dyDescent="0.25">
      <c r="B25" t="s">
        <v>285</v>
      </c>
      <c r="C25" t="s">
        <v>486</v>
      </c>
      <c r="G25" s="240"/>
      <c r="H25" s="397"/>
      <c r="L25" t="s">
        <v>39</v>
      </c>
      <c r="M25" s="56">
        <v>275.27363144702161</v>
      </c>
      <c r="N25" s="56">
        <v>273.32941087279988</v>
      </c>
      <c r="O25" s="56">
        <v>261.7955317245125</v>
      </c>
      <c r="P25" s="56">
        <v>255.14199613558824</v>
      </c>
      <c r="Q25" s="56">
        <v>254.56148616328574</v>
      </c>
      <c r="R25" s="56">
        <v>248.02416379006965</v>
      </c>
      <c r="S25" s="56">
        <v>244.34578655110556</v>
      </c>
      <c r="T25" s="56">
        <v>244.34578655110553</v>
      </c>
      <c r="U25" s="56">
        <v>244.34578655110553</v>
      </c>
      <c r="V25" s="56">
        <v>244.34578655110553</v>
      </c>
      <c r="W25" s="56">
        <v>240.53044497357374</v>
      </c>
      <c r="X25" s="56">
        <v>240.53044497357374</v>
      </c>
      <c r="Y25" t="s">
        <v>114</v>
      </c>
    </row>
    <row r="26" spans="2:25" x14ac:dyDescent="0.25">
      <c r="B26" t="s">
        <v>327</v>
      </c>
      <c r="C26" t="s">
        <v>485</v>
      </c>
      <c r="G26" s="240"/>
      <c r="H26" s="397"/>
      <c r="L26" t="s">
        <v>40</v>
      </c>
      <c r="M26" s="56">
        <v>286.1284486226441</v>
      </c>
      <c r="N26" s="56">
        <v>282.13437496601483</v>
      </c>
      <c r="O26" s="56">
        <v>271.88737997577539</v>
      </c>
      <c r="P26" s="56">
        <v>260.58479412247004</v>
      </c>
      <c r="Q26" s="56">
        <v>264.29588616328573</v>
      </c>
      <c r="R26" s="56">
        <v>256.65200755993902</v>
      </c>
      <c r="S26" s="56">
        <v>250.99031356991566</v>
      </c>
      <c r="T26" s="56">
        <v>250.99031356991566</v>
      </c>
      <c r="U26" s="56">
        <v>250.99031356991566</v>
      </c>
      <c r="V26" s="56">
        <v>250.99031356991566</v>
      </c>
      <c r="W26" s="56">
        <v>241.13614233566091</v>
      </c>
      <c r="X26" s="56">
        <v>241.13614233566091</v>
      </c>
      <c r="Y26" t="s">
        <v>114</v>
      </c>
    </row>
    <row r="27" spans="2:25" x14ac:dyDescent="0.25">
      <c r="B27" s="379" t="s">
        <v>286</v>
      </c>
      <c r="C27" t="s">
        <v>485</v>
      </c>
      <c r="D27" t="s">
        <v>122</v>
      </c>
      <c r="E27" t="s">
        <v>404</v>
      </c>
      <c r="F27" t="s">
        <v>405</v>
      </c>
      <c r="G27" s="240">
        <v>2005362</v>
      </c>
      <c r="H27" s="397" t="s">
        <v>406</v>
      </c>
      <c r="I27" t="s">
        <v>569</v>
      </c>
      <c r="L27" t="s">
        <v>41</v>
      </c>
      <c r="M27" s="56">
        <v>305.05441782451049</v>
      </c>
      <c r="N27" s="56">
        <v>301.79037496601484</v>
      </c>
      <c r="O27" s="56">
        <v>290.20577449794285</v>
      </c>
      <c r="P27" s="56">
        <v>285.28816193204983</v>
      </c>
      <c r="Q27" s="56">
        <v>283.76468616328566</v>
      </c>
      <c r="R27" s="56">
        <v>279.99773123973</v>
      </c>
      <c r="S27" s="56">
        <v>275.77962858606088</v>
      </c>
      <c r="T27" s="56">
        <v>275.77962858606088</v>
      </c>
      <c r="U27" s="56">
        <v>275.77962858606088</v>
      </c>
      <c r="V27" s="56">
        <v>275.77962858606088</v>
      </c>
      <c r="W27" s="56">
        <v>275.77962858606088</v>
      </c>
      <c r="X27" s="56">
        <v>275.77962858606088</v>
      </c>
      <c r="Y27" t="s">
        <v>114</v>
      </c>
    </row>
    <row r="28" spans="2:25" x14ac:dyDescent="0.25">
      <c r="B28" t="s">
        <v>287</v>
      </c>
      <c r="C28" t="s">
        <v>485</v>
      </c>
      <c r="G28" s="240"/>
      <c r="H28" s="397"/>
      <c r="J28" t="s">
        <v>610</v>
      </c>
      <c r="L28" t="s">
        <v>42</v>
      </c>
      <c r="M28" s="56">
        <v>344.11177206015037</v>
      </c>
      <c r="N28" s="56">
        <v>407.44137496601479</v>
      </c>
      <c r="O28" s="56">
        <v>389.04759735508571</v>
      </c>
      <c r="P28" s="56">
        <v>380.80463412247008</v>
      </c>
      <c r="Q28" s="56">
        <v>384.51572616328571</v>
      </c>
      <c r="R28" s="56">
        <v>373.98194755993899</v>
      </c>
      <c r="S28" s="56">
        <v>352.65657463884412</v>
      </c>
      <c r="T28" s="56">
        <v>362.30550285714276</v>
      </c>
      <c r="U28" s="56">
        <v>362.30550285714276</v>
      </c>
      <c r="V28" s="56">
        <v>362.30550285714276</v>
      </c>
      <c r="W28" s="56">
        <v>346.04729663697412</v>
      </c>
      <c r="X28" s="56">
        <v>346.04729663697412</v>
      </c>
      <c r="Y28" t="s">
        <v>114</v>
      </c>
    </row>
    <row r="29" spans="2:25" x14ac:dyDescent="0.25">
      <c r="B29" t="s">
        <v>203</v>
      </c>
      <c r="C29" t="s">
        <v>485</v>
      </c>
      <c r="G29" s="240"/>
      <c r="H29" s="397"/>
      <c r="J29" t="s">
        <v>610</v>
      </c>
      <c r="L29" t="s">
        <v>77</v>
      </c>
      <c r="M29" s="56">
        <v>431.98366142857145</v>
      </c>
      <c r="N29" s="56">
        <v>429.55437496601479</v>
      </c>
      <c r="O29" s="56">
        <v>419.88934247654635</v>
      </c>
      <c r="P29" s="56">
        <v>420.31200838948348</v>
      </c>
      <c r="Q29" s="56">
        <v>417.86812534838549</v>
      </c>
      <c r="R29" s="56">
        <v>417.86812534838549</v>
      </c>
      <c r="S29" s="56">
        <v>415.64833345217914</v>
      </c>
      <c r="T29" s="56">
        <v>415.64833345217914</v>
      </c>
      <c r="U29" s="56">
        <v>415.64833345217914</v>
      </c>
      <c r="V29" s="56">
        <v>415.64833345217914</v>
      </c>
      <c r="W29" s="56">
        <v>415.64833345217914</v>
      </c>
      <c r="X29" s="56">
        <v>415.64833345217914</v>
      </c>
      <c r="Y29" t="s">
        <v>114</v>
      </c>
    </row>
    <row r="30" spans="2:25" x14ac:dyDescent="0.25">
      <c r="B30" t="s">
        <v>202</v>
      </c>
      <c r="C30" t="s">
        <v>485</v>
      </c>
      <c r="G30" s="240"/>
      <c r="H30" s="397"/>
      <c r="L30" t="s">
        <v>43</v>
      </c>
      <c r="M30" s="56">
        <v>445.34100114285718</v>
      </c>
      <c r="N30" s="56">
        <v>466.40937496601475</v>
      </c>
      <c r="O30" s="56">
        <v>453.95422687232707</v>
      </c>
      <c r="P30" s="56">
        <v>441.15791412247006</v>
      </c>
      <c r="Q30" s="56">
        <v>444.86900616328569</v>
      </c>
      <c r="R30" s="56">
        <v>432.88442755993901</v>
      </c>
      <c r="S30" s="56">
        <v>422.63429875648723</v>
      </c>
      <c r="T30" s="56">
        <v>422.63429875648723</v>
      </c>
      <c r="U30" s="56">
        <v>422.63429875648723</v>
      </c>
      <c r="V30" s="56">
        <v>422.63429875648723</v>
      </c>
      <c r="W30" s="56">
        <v>422.63429875648723</v>
      </c>
      <c r="X30" s="56">
        <v>422.63429875648723</v>
      </c>
      <c r="Y30" t="s">
        <v>114</v>
      </c>
    </row>
    <row r="31" spans="2:25" x14ac:dyDescent="0.25">
      <c r="B31" t="s">
        <v>201</v>
      </c>
      <c r="C31" t="s">
        <v>485</v>
      </c>
      <c r="G31" s="240"/>
      <c r="H31" s="397"/>
      <c r="L31" t="s">
        <v>208</v>
      </c>
      <c r="M31" s="56">
        <v>51</v>
      </c>
      <c r="N31" s="56">
        <v>51</v>
      </c>
      <c r="O31" s="56">
        <v>51</v>
      </c>
      <c r="P31" s="56">
        <v>49</v>
      </c>
      <c r="Q31" s="56">
        <v>49</v>
      </c>
      <c r="R31" s="56">
        <v>49</v>
      </c>
      <c r="S31" s="56">
        <v>45.5</v>
      </c>
      <c r="T31" s="56">
        <v>46.5</v>
      </c>
      <c r="U31" s="56">
        <v>46.5</v>
      </c>
      <c r="V31" s="56">
        <v>45.4</v>
      </c>
      <c r="W31" s="56">
        <v>45.4</v>
      </c>
      <c r="X31" s="56">
        <v>45.4</v>
      </c>
      <c r="Y31" t="s">
        <v>114</v>
      </c>
    </row>
    <row r="32" spans="2:25" x14ac:dyDescent="0.25">
      <c r="B32" t="s">
        <v>288</v>
      </c>
      <c r="C32" t="s">
        <v>485</v>
      </c>
      <c r="G32" s="240"/>
      <c r="H32" s="397"/>
      <c r="J32" t="s">
        <v>610</v>
      </c>
      <c r="L32" t="s">
        <v>60</v>
      </c>
      <c r="M32" s="56">
        <v>3580.2894880136437</v>
      </c>
      <c r="N32" s="56">
        <v>3567.6791294500758</v>
      </c>
      <c r="O32" s="56">
        <v>3586.3189273159119</v>
      </c>
      <c r="P32" s="56">
        <v>3572.48806626955</v>
      </c>
      <c r="Q32" s="56">
        <v>3566.4871115587175</v>
      </c>
      <c r="R32" s="56">
        <v>3553.9846226798868</v>
      </c>
      <c r="S32" s="56">
        <v>3546.3383386851606</v>
      </c>
      <c r="T32" s="56">
        <v>3546.3383386851606</v>
      </c>
      <c r="U32" s="56">
        <v>3546.8353203264683</v>
      </c>
      <c r="V32" s="56">
        <v>3542.7701560435567</v>
      </c>
      <c r="W32" s="56">
        <v>2600.5051503855416</v>
      </c>
      <c r="X32" s="56">
        <v>2600.5051503855416</v>
      </c>
      <c r="Y32" t="s">
        <v>114</v>
      </c>
    </row>
    <row r="33" spans="2:27" x14ac:dyDescent="0.25">
      <c r="B33" t="s">
        <v>289</v>
      </c>
      <c r="C33" t="s">
        <v>485</v>
      </c>
      <c r="G33" s="240"/>
      <c r="H33" s="397"/>
      <c r="J33" t="s">
        <v>610</v>
      </c>
      <c r="L33" t="s">
        <v>61</v>
      </c>
      <c r="M33" s="56">
        <v>3669.9501917290395</v>
      </c>
      <c r="N33" s="56">
        <v>3657.3398331654712</v>
      </c>
      <c r="O33" s="56">
        <v>3675.9796310313072</v>
      </c>
      <c r="P33" s="56">
        <v>3662.1487699849458</v>
      </c>
      <c r="Q33" s="56">
        <v>3656.1478152741124</v>
      </c>
      <c r="R33" s="56">
        <v>3643.6453263952826</v>
      </c>
      <c r="S33" s="56">
        <v>3635.9990424005555</v>
      </c>
      <c r="T33" s="56">
        <v>3635.9990424005555</v>
      </c>
      <c r="U33" s="56">
        <v>3636.5954203701249</v>
      </c>
      <c r="V33" s="56">
        <v>3631.9909464803382</v>
      </c>
      <c r="W33" s="56">
        <v>2637.2251197788173</v>
      </c>
      <c r="X33" s="56">
        <v>2637.2251197788173</v>
      </c>
      <c r="Y33" t="s">
        <v>114</v>
      </c>
      <c r="AA33" s="280"/>
    </row>
    <row r="34" spans="2:27" x14ac:dyDescent="0.25">
      <c r="B34" t="s">
        <v>290</v>
      </c>
      <c r="C34" t="s">
        <v>485</v>
      </c>
      <c r="G34" s="240"/>
      <c r="H34" s="397"/>
      <c r="J34" t="s">
        <v>610</v>
      </c>
      <c r="L34" t="s">
        <v>62</v>
      </c>
      <c r="M34" s="56">
        <v>4671.9265166666664</v>
      </c>
      <c r="N34" s="56">
        <v>4478.9182222600584</v>
      </c>
      <c r="O34" s="56">
        <v>4440.0012173666664</v>
      </c>
      <c r="P34" s="56">
        <v>4310.1828384137043</v>
      </c>
      <c r="Q34" s="56">
        <v>4310.1828384137043</v>
      </c>
      <c r="R34" s="56">
        <v>4310.1828384137043</v>
      </c>
      <c r="S34" s="56">
        <v>4288.6672203162898</v>
      </c>
      <c r="T34" s="56">
        <v>4288.6672203162898</v>
      </c>
      <c r="U34" s="56">
        <v>4288.6672203162898</v>
      </c>
      <c r="V34" s="56">
        <v>4288.6672203162898</v>
      </c>
      <c r="W34" s="56">
        <v>4288.6672203162898</v>
      </c>
      <c r="X34" s="56">
        <v>4288.6672203162898</v>
      </c>
      <c r="Y34" t="s">
        <v>114</v>
      </c>
    </row>
    <row r="35" spans="2:27" x14ac:dyDescent="0.25">
      <c r="B35" t="s">
        <v>291</v>
      </c>
      <c r="C35" t="s">
        <v>485</v>
      </c>
      <c r="G35" s="240"/>
      <c r="H35" s="397"/>
      <c r="L35" t="s">
        <v>63</v>
      </c>
      <c r="M35" s="56">
        <v>5526.4756999999991</v>
      </c>
      <c r="N35" s="56">
        <v>5476.4609787120698</v>
      </c>
      <c r="O35" s="56">
        <v>5361.5851408400013</v>
      </c>
      <c r="P35" s="56">
        <v>5121.7321331096782</v>
      </c>
      <c r="Q35" s="56">
        <v>5187.5487339500005</v>
      </c>
      <c r="R35" s="56">
        <v>5187.5487339500005</v>
      </c>
      <c r="S35" s="56">
        <v>5187.5487339500005</v>
      </c>
      <c r="T35" s="56">
        <v>5187.5487339500005</v>
      </c>
      <c r="U35" s="56">
        <v>5187.5487339500005</v>
      </c>
      <c r="V35" s="56">
        <v>5187.5487339500005</v>
      </c>
      <c r="W35" s="56">
        <v>5080.6579877725671</v>
      </c>
      <c r="X35" s="56">
        <v>5080.6579877725671</v>
      </c>
      <c r="Y35" t="s">
        <v>114</v>
      </c>
    </row>
    <row r="36" spans="2:27" x14ac:dyDescent="0.25">
      <c r="B36" t="s">
        <v>292</v>
      </c>
      <c r="C36" t="s">
        <v>485</v>
      </c>
      <c r="G36" s="240"/>
      <c r="H36" s="397"/>
      <c r="L36" t="s">
        <v>78</v>
      </c>
      <c r="M36" s="56">
        <v>0</v>
      </c>
      <c r="N36" s="56">
        <v>0</v>
      </c>
      <c r="O36" s="56">
        <v>0</v>
      </c>
      <c r="P36" s="56">
        <v>0</v>
      </c>
      <c r="Q36" s="56">
        <v>0</v>
      </c>
      <c r="R36" s="56">
        <v>0</v>
      </c>
      <c r="S36" s="56">
        <v>0</v>
      </c>
      <c r="T36" s="56">
        <v>0</v>
      </c>
      <c r="U36" s="56">
        <v>0</v>
      </c>
      <c r="V36" s="56">
        <v>0</v>
      </c>
      <c r="W36" s="56">
        <v>0</v>
      </c>
      <c r="X36" s="56">
        <v>0</v>
      </c>
      <c r="Y36" t="s">
        <v>114</v>
      </c>
    </row>
    <row r="37" spans="2:27" x14ac:dyDescent="0.25">
      <c r="B37" t="s">
        <v>293</v>
      </c>
      <c r="C37" t="s">
        <v>485</v>
      </c>
      <c r="G37" s="240"/>
      <c r="H37" s="397"/>
      <c r="L37" t="s">
        <v>44</v>
      </c>
      <c r="M37" s="56">
        <v>323.85109142857141</v>
      </c>
      <c r="N37" s="56">
        <v>318.98937496601485</v>
      </c>
      <c r="O37" s="56">
        <v>305.81847735508569</v>
      </c>
      <c r="P37" s="56">
        <v>298.18226592370485</v>
      </c>
      <c r="Q37" s="56">
        <v>300.3131661632857</v>
      </c>
      <c r="R37" s="56">
        <v>296.79660726154128</v>
      </c>
      <c r="S37" s="56">
        <v>295.97136304944564</v>
      </c>
      <c r="T37" s="56">
        <v>295.97136304944564</v>
      </c>
      <c r="U37" s="56">
        <v>295.97136304944564</v>
      </c>
      <c r="V37" s="56">
        <v>295.97136304944564</v>
      </c>
      <c r="W37" s="56">
        <v>291.68510912204522</v>
      </c>
      <c r="X37" s="56">
        <v>291.68510912204522</v>
      </c>
      <c r="Y37" t="s">
        <v>114</v>
      </c>
    </row>
    <row r="38" spans="2:27" x14ac:dyDescent="0.25">
      <c r="B38" t="s">
        <v>294</v>
      </c>
      <c r="C38" t="s">
        <v>485</v>
      </c>
      <c r="G38" s="240"/>
      <c r="H38" s="397"/>
      <c r="L38" t="s">
        <v>45</v>
      </c>
      <c r="M38" s="56">
        <v>323.43094442857142</v>
      </c>
      <c r="N38" s="56">
        <v>318.98937496601485</v>
      </c>
      <c r="O38" s="56">
        <v>307.26877140913979</v>
      </c>
      <c r="P38" s="56">
        <v>300.13562401511592</v>
      </c>
      <c r="Q38" s="56">
        <v>300.3131661632857</v>
      </c>
      <c r="R38" s="56">
        <v>293.4676931578345</v>
      </c>
      <c r="S38" s="56">
        <v>288.52207564540515</v>
      </c>
      <c r="T38" s="56">
        <v>288.52207564540515</v>
      </c>
      <c r="U38" s="56">
        <v>288.52207564540515</v>
      </c>
      <c r="V38" s="56">
        <v>288.52207564540515</v>
      </c>
      <c r="W38" s="56">
        <v>282.92692622859488</v>
      </c>
      <c r="X38" s="56">
        <v>282.92692622859488</v>
      </c>
      <c r="Y38" t="s">
        <v>114</v>
      </c>
    </row>
    <row r="39" spans="2:27" x14ac:dyDescent="0.25">
      <c r="B39" t="s">
        <v>295</v>
      </c>
      <c r="C39" t="s">
        <v>485</v>
      </c>
      <c r="G39" s="240"/>
      <c r="H39" s="397"/>
      <c r="L39" t="s">
        <v>46</v>
      </c>
      <c r="M39" s="56">
        <v>466.10278164892134</v>
      </c>
      <c r="N39" s="56">
        <v>466.10278164892134</v>
      </c>
      <c r="O39" s="56">
        <v>461.7287612769033</v>
      </c>
      <c r="P39" s="56">
        <v>461.52801783453151</v>
      </c>
      <c r="Q39" s="56">
        <v>452.13936849573372</v>
      </c>
      <c r="R39" s="56">
        <v>452.13936849573372</v>
      </c>
      <c r="S39" s="56">
        <v>452.13936849573372</v>
      </c>
      <c r="T39" s="56">
        <v>452.13936849573366</v>
      </c>
      <c r="U39" s="56">
        <v>452.13936849573366</v>
      </c>
      <c r="V39" s="56">
        <v>452.13936849573366</v>
      </c>
      <c r="W39" s="56">
        <v>386.2929225417563</v>
      </c>
      <c r="X39" s="56">
        <v>386.2929225417563</v>
      </c>
      <c r="Y39" t="s">
        <v>114</v>
      </c>
    </row>
    <row r="40" spans="2:27" x14ac:dyDescent="0.25">
      <c r="B40" t="s">
        <v>296</v>
      </c>
      <c r="C40" t="s">
        <v>485</v>
      </c>
      <c r="G40" s="240"/>
      <c r="H40" s="397"/>
      <c r="J40" t="s">
        <v>610</v>
      </c>
      <c r="L40" t="s">
        <v>47</v>
      </c>
      <c r="M40" s="56">
        <v>499.78110114285715</v>
      </c>
      <c r="N40" s="56">
        <v>499.78110114285715</v>
      </c>
      <c r="O40" s="56">
        <v>496.78076755964963</v>
      </c>
      <c r="P40" s="56">
        <v>496.62932854663472</v>
      </c>
      <c r="Q40" s="56">
        <v>493.87619499697837</v>
      </c>
      <c r="R40" s="56">
        <v>493.87619499697837</v>
      </c>
      <c r="S40" s="56">
        <v>493.87619499697837</v>
      </c>
      <c r="T40" s="56">
        <v>493.87619499697843</v>
      </c>
      <c r="U40" s="56">
        <v>493.87619499697843</v>
      </c>
      <c r="V40" s="56">
        <v>493.87619499697843</v>
      </c>
      <c r="W40" s="56">
        <v>488.77952942598159</v>
      </c>
      <c r="X40" s="56">
        <v>488.77952942598159</v>
      </c>
      <c r="Y40" t="s">
        <v>114</v>
      </c>
    </row>
    <row r="41" spans="2:27" x14ac:dyDescent="0.25">
      <c r="B41" t="s">
        <v>297</v>
      </c>
      <c r="C41" t="s">
        <v>485</v>
      </c>
      <c r="G41" s="240"/>
      <c r="H41" s="397"/>
      <c r="J41" t="s">
        <v>610</v>
      </c>
      <c r="L41" t="s">
        <v>79</v>
      </c>
      <c r="M41" s="56">
        <v>0</v>
      </c>
      <c r="N41" s="56">
        <v>0</v>
      </c>
      <c r="O41" s="56">
        <v>0</v>
      </c>
      <c r="P41" s="56">
        <v>0</v>
      </c>
      <c r="Q41" s="56">
        <v>0</v>
      </c>
      <c r="R41" s="56">
        <v>0</v>
      </c>
      <c r="S41" s="56">
        <v>0</v>
      </c>
      <c r="T41" s="56">
        <v>0</v>
      </c>
      <c r="U41" s="56">
        <v>0</v>
      </c>
      <c r="V41" s="56">
        <v>0</v>
      </c>
      <c r="W41" s="56">
        <v>358.46</v>
      </c>
      <c r="X41" s="56">
        <v>358.46</v>
      </c>
      <c r="Y41" t="s">
        <v>114</v>
      </c>
    </row>
    <row r="42" spans="2:27" x14ac:dyDescent="0.25">
      <c r="B42" t="s">
        <v>298</v>
      </c>
      <c r="C42" t="s">
        <v>485</v>
      </c>
      <c r="G42" s="240"/>
      <c r="H42" s="397"/>
      <c r="J42" t="s">
        <v>610</v>
      </c>
      <c r="L42" t="s">
        <v>209</v>
      </c>
      <c r="M42" s="56">
        <v>156</v>
      </c>
      <c r="N42" s="56">
        <v>156</v>
      </c>
      <c r="O42" s="56">
        <v>156</v>
      </c>
      <c r="P42" s="56">
        <v>149</v>
      </c>
      <c r="Q42" s="56">
        <v>145</v>
      </c>
      <c r="R42" s="56">
        <v>145</v>
      </c>
      <c r="S42" s="56">
        <v>140</v>
      </c>
      <c r="T42" s="56">
        <v>136</v>
      </c>
      <c r="U42" s="56">
        <v>136</v>
      </c>
      <c r="V42" s="56">
        <v>128</v>
      </c>
      <c r="W42" s="56">
        <v>128</v>
      </c>
      <c r="X42" s="56">
        <v>128</v>
      </c>
      <c r="Y42" t="s">
        <v>114</v>
      </c>
    </row>
    <row r="43" spans="2:27" x14ac:dyDescent="0.25">
      <c r="B43" t="s">
        <v>299</v>
      </c>
      <c r="C43" t="s">
        <v>485</v>
      </c>
      <c r="G43" s="240"/>
      <c r="H43" s="397"/>
      <c r="J43" t="s">
        <v>610</v>
      </c>
      <c r="L43" t="s">
        <v>80</v>
      </c>
      <c r="M43" s="56">
        <v>0</v>
      </c>
      <c r="N43" s="56">
        <v>0</v>
      </c>
      <c r="O43" s="56">
        <v>0</v>
      </c>
      <c r="P43" s="56">
        <v>0</v>
      </c>
      <c r="Q43" s="56">
        <v>0</v>
      </c>
      <c r="R43" s="56">
        <v>0</v>
      </c>
      <c r="S43" s="56">
        <v>0</v>
      </c>
      <c r="T43" s="56">
        <v>0</v>
      </c>
      <c r="U43" s="56">
        <v>0</v>
      </c>
      <c r="V43" s="56">
        <v>0</v>
      </c>
      <c r="W43" s="56">
        <v>1970.57</v>
      </c>
      <c r="X43" s="56">
        <v>1970.57</v>
      </c>
      <c r="Y43" t="s">
        <v>114</v>
      </c>
    </row>
    <row r="44" spans="2:27" x14ac:dyDescent="0.25">
      <c r="B44" t="s">
        <v>300</v>
      </c>
      <c r="C44" t="s">
        <v>485</v>
      </c>
      <c r="G44" s="240"/>
      <c r="H44" s="397"/>
      <c r="J44" t="s">
        <v>610</v>
      </c>
      <c r="L44" t="s">
        <v>210</v>
      </c>
      <c r="M44" s="56">
        <v>1865.6586100830245</v>
      </c>
      <c r="N44" s="56">
        <v>1863.6421415068482</v>
      </c>
      <c r="O44" s="56">
        <v>1846.8953556382774</v>
      </c>
      <c r="P44" s="56">
        <v>1819.6318862528108</v>
      </c>
      <c r="Q44" s="56">
        <v>1820.4822843817617</v>
      </c>
      <c r="R44" s="56">
        <v>1770.1081188208341</v>
      </c>
      <c r="S44" s="56">
        <v>1831.8820208386235</v>
      </c>
      <c r="T44" s="56">
        <v>1842.7775463831254</v>
      </c>
      <c r="U44" s="56">
        <v>1842.7775463831254</v>
      </c>
      <c r="V44" s="56">
        <v>1831.8209982101014</v>
      </c>
      <c r="W44" s="56">
        <v>0</v>
      </c>
      <c r="X44" s="56">
        <v>0</v>
      </c>
      <c r="Y44" t="s">
        <v>114</v>
      </c>
    </row>
    <row r="45" spans="2:27" x14ac:dyDescent="0.25">
      <c r="B45" s="379" t="s">
        <v>339</v>
      </c>
      <c r="C45" t="s">
        <v>485</v>
      </c>
      <c r="D45" t="s">
        <v>122</v>
      </c>
      <c r="E45" t="s">
        <v>608</v>
      </c>
      <c r="F45" t="s">
        <v>309</v>
      </c>
      <c r="G45" s="240" t="s">
        <v>607</v>
      </c>
      <c r="H45" s="397" t="s">
        <v>606</v>
      </c>
      <c r="I45" t="s">
        <v>569</v>
      </c>
      <c r="L45" t="s">
        <v>16</v>
      </c>
      <c r="M45" s="56">
        <v>2140.2256176083943</v>
      </c>
      <c r="N45" s="56">
        <v>2139.3804096918993</v>
      </c>
      <c r="O45" s="56">
        <v>2123.9920200430561</v>
      </c>
      <c r="P45" s="56">
        <v>2090.9410989875082</v>
      </c>
      <c r="Q45" s="56">
        <v>2090.8719881619068</v>
      </c>
      <c r="R45" s="56">
        <v>2038.3212240999169</v>
      </c>
      <c r="S45" s="56">
        <v>2111.4807358850699</v>
      </c>
      <c r="T45" s="56">
        <v>2121.4807358850699</v>
      </c>
      <c r="U45" s="56">
        <v>2121.4807358850699</v>
      </c>
      <c r="V45" s="56">
        <v>2108.3241877120463</v>
      </c>
      <c r="W45" s="56">
        <v>1822.0565292045922</v>
      </c>
      <c r="X45" s="56">
        <v>1822.0565292045922</v>
      </c>
      <c r="Y45" t="s">
        <v>114</v>
      </c>
    </row>
    <row r="46" spans="2:27" x14ac:dyDescent="0.25">
      <c r="B46" t="s">
        <v>359</v>
      </c>
      <c r="C46" t="s">
        <v>485</v>
      </c>
      <c r="G46" s="240"/>
      <c r="H46" s="397"/>
      <c r="J46" t="s">
        <v>610</v>
      </c>
      <c r="L46" t="s">
        <v>17</v>
      </c>
      <c r="M46" s="56">
        <v>2408.9040875498386</v>
      </c>
      <c r="N46" s="56">
        <v>2410.5371014743287</v>
      </c>
      <c r="O46" s="56">
        <v>2393.6069695583383</v>
      </c>
      <c r="P46" s="56">
        <v>2360.6705414259168</v>
      </c>
      <c r="Q46" s="56">
        <v>2355.3903196326446</v>
      </c>
      <c r="R46" s="56">
        <v>2301.4828632997232</v>
      </c>
      <c r="S46" s="56">
        <v>2391.235914392963</v>
      </c>
      <c r="T46" s="56">
        <v>2403.235914392963</v>
      </c>
      <c r="U46" s="56">
        <v>2403.235914392963</v>
      </c>
      <c r="V46" s="56">
        <v>2387.8793662199387</v>
      </c>
      <c r="W46" s="56">
        <v>2057.1738409275226</v>
      </c>
      <c r="X46" s="56">
        <v>2057.1738409275226</v>
      </c>
      <c r="Y46" t="s">
        <v>114</v>
      </c>
    </row>
    <row r="47" spans="2:27" x14ac:dyDescent="0.25">
      <c r="B47" t="s">
        <v>351</v>
      </c>
      <c r="C47" t="s">
        <v>485</v>
      </c>
      <c r="G47" s="240"/>
      <c r="H47" s="397"/>
      <c r="J47" t="s">
        <v>610</v>
      </c>
      <c r="L47" t="s">
        <v>18</v>
      </c>
      <c r="M47" s="56">
        <v>2791.0224246147759</v>
      </c>
      <c r="N47" s="56">
        <v>2790.7982862119325</v>
      </c>
      <c r="O47" s="56">
        <v>2775.0494931872167</v>
      </c>
      <c r="P47" s="56">
        <v>2730.9108556066894</v>
      </c>
      <c r="Q47" s="56">
        <v>2728.4399085659197</v>
      </c>
      <c r="R47" s="56">
        <v>2670.4142892534428</v>
      </c>
      <c r="S47" s="56">
        <v>2771.8383709863356</v>
      </c>
      <c r="T47" s="56">
        <v>2786.8383709863356</v>
      </c>
      <c r="U47" s="56">
        <v>2786.8383709863356</v>
      </c>
      <c r="V47" s="56">
        <v>2768.1818228133116</v>
      </c>
      <c r="W47" s="56">
        <v>2329.304429770862</v>
      </c>
      <c r="X47" s="56">
        <v>2329.304429770862</v>
      </c>
      <c r="Y47" t="s">
        <v>114</v>
      </c>
    </row>
    <row r="48" spans="2:27" x14ac:dyDescent="0.25">
      <c r="B48" t="s">
        <v>386</v>
      </c>
      <c r="C48" t="s">
        <v>485</v>
      </c>
      <c r="G48" s="240"/>
      <c r="H48" s="397"/>
      <c r="J48" t="s">
        <v>610</v>
      </c>
      <c r="L48" t="s">
        <v>19</v>
      </c>
      <c r="M48" s="56">
        <v>3218.3847598717675</v>
      </c>
      <c r="N48" s="56">
        <v>3219.1474325170407</v>
      </c>
      <c r="O48" s="56">
        <v>3202.2342292877443</v>
      </c>
      <c r="P48" s="56">
        <v>3157.9533862917742</v>
      </c>
      <c r="Q48" s="56">
        <v>3149.0337118618236</v>
      </c>
      <c r="R48" s="56">
        <v>3091.8833684775441</v>
      </c>
      <c r="S48" s="56">
        <v>3211.1009200803696</v>
      </c>
      <c r="T48" s="56">
        <v>3229.1009200803696</v>
      </c>
      <c r="U48" s="56">
        <v>3229.1009200803696</v>
      </c>
      <c r="V48" s="56">
        <v>3207.1443719073463</v>
      </c>
      <c r="W48" s="56">
        <v>2729.9586625064017</v>
      </c>
      <c r="X48" s="56">
        <v>2729.9586625064017</v>
      </c>
      <c r="Y48" t="s">
        <v>114</v>
      </c>
    </row>
    <row r="49" spans="2:25" x14ac:dyDescent="0.25">
      <c r="B49" t="s">
        <v>3376</v>
      </c>
      <c r="C49" t="s">
        <v>485</v>
      </c>
      <c r="G49" s="240"/>
      <c r="H49" s="397"/>
      <c r="L49" t="s">
        <v>81</v>
      </c>
      <c r="M49" s="56">
        <v>3499.4938188115962</v>
      </c>
      <c r="N49" s="56">
        <v>3566.995023039538</v>
      </c>
      <c r="O49" s="56">
        <v>3543.2748018251514</v>
      </c>
      <c r="P49" s="56">
        <v>3491.3071359822989</v>
      </c>
      <c r="Q49" s="56">
        <v>3486.702591980923</v>
      </c>
      <c r="R49" s="56">
        <v>3420.7833305160066</v>
      </c>
      <c r="S49" s="56">
        <v>3532.6792293970229</v>
      </c>
      <c r="T49" s="56">
        <v>3562.3281576153213</v>
      </c>
      <c r="U49" s="56">
        <v>3562.3281576153213</v>
      </c>
      <c r="V49" s="56">
        <v>3538.1716094422982</v>
      </c>
      <c r="W49" s="56">
        <v>0</v>
      </c>
      <c r="X49" s="56">
        <v>0</v>
      </c>
      <c r="Y49" t="s">
        <v>114</v>
      </c>
    </row>
    <row r="50" spans="2:25" x14ac:dyDescent="0.25">
      <c r="B50" t="s">
        <v>3377</v>
      </c>
      <c r="C50" t="s">
        <v>485</v>
      </c>
      <c r="G50" s="240"/>
      <c r="H50" s="397"/>
      <c r="L50" t="s">
        <v>20</v>
      </c>
      <c r="M50" s="56">
        <v>4129.4050627257366</v>
      </c>
      <c r="N50" s="56">
        <v>4131.4372122558761</v>
      </c>
      <c r="O50" s="56">
        <v>4116.449330434325</v>
      </c>
      <c r="P50" s="56">
        <v>4064.4237922191596</v>
      </c>
      <c r="Q50" s="56">
        <v>4049.9724245042339</v>
      </c>
      <c r="R50" s="56">
        <v>3990.5799643215814</v>
      </c>
      <c r="S50" s="56">
        <v>3979.9704717331792</v>
      </c>
      <c r="T50" s="56">
        <v>4003.9704717331792</v>
      </c>
      <c r="U50" s="56">
        <v>4003.9704717331792</v>
      </c>
      <c r="V50" s="56">
        <v>3975.4139235601551</v>
      </c>
      <c r="W50" s="56">
        <v>3403.9387789918869</v>
      </c>
      <c r="X50" s="56">
        <v>3403.9387789918869</v>
      </c>
      <c r="Y50" t="s">
        <v>114</v>
      </c>
    </row>
    <row r="51" spans="2:25" x14ac:dyDescent="0.25">
      <c r="B51" t="s">
        <v>3529</v>
      </c>
      <c r="C51" t="s">
        <v>485</v>
      </c>
      <c r="G51" s="240"/>
      <c r="H51" s="397"/>
      <c r="L51" t="s">
        <v>21</v>
      </c>
      <c r="M51" s="56">
        <v>4953.0885445397562</v>
      </c>
      <c r="N51" s="56">
        <v>4979.0531063615344</v>
      </c>
      <c r="O51" s="56">
        <v>4961.2805003428239</v>
      </c>
      <c r="P51" s="56">
        <v>4882.950731188067</v>
      </c>
      <c r="Q51" s="56">
        <v>4871.3163782209358</v>
      </c>
      <c r="R51" s="56">
        <v>4793.9288734533111</v>
      </c>
      <c r="S51" s="56">
        <v>4766.1072665029296</v>
      </c>
      <c r="T51" s="56">
        <v>4796.1072665029296</v>
      </c>
      <c r="U51" s="56">
        <v>4796.1072665029296</v>
      </c>
      <c r="V51" s="56">
        <v>4760.9507183299056</v>
      </c>
      <c r="W51" s="56">
        <v>3924.739612328759</v>
      </c>
      <c r="X51" s="56">
        <v>3924.739612328759</v>
      </c>
      <c r="Y51" t="s">
        <v>114</v>
      </c>
    </row>
    <row r="52" spans="2:25" x14ac:dyDescent="0.25">
      <c r="B52" t="s">
        <v>401</v>
      </c>
      <c r="C52" t="s">
        <v>485</v>
      </c>
      <c r="G52" s="240"/>
      <c r="H52" s="397"/>
      <c r="L52" t="s">
        <v>211</v>
      </c>
      <c r="M52" s="56">
        <v>1825.6422218735008</v>
      </c>
      <c r="N52" s="56">
        <v>1828.9297297598814</v>
      </c>
      <c r="O52" s="56">
        <v>1823.5286415022392</v>
      </c>
      <c r="P52" s="56">
        <v>1805.9682953493882</v>
      </c>
      <c r="Q52" s="56">
        <v>1803.1076014375235</v>
      </c>
      <c r="R52" s="56">
        <v>1759.7396644799426</v>
      </c>
      <c r="S52" s="56">
        <v>1833.6673094188268</v>
      </c>
      <c r="T52" s="56">
        <v>1841.6673094188268</v>
      </c>
      <c r="U52" s="56">
        <v>1841.6673094188268</v>
      </c>
      <c r="V52" s="56">
        <v>1830.7107612458028</v>
      </c>
      <c r="W52" s="56">
        <v>1585.7755018484629</v>
      </c>
      <c r="X52" s="56">
        <v>1585.7755018484629</v>
      </c>
      <c r="Y52" t="s">
        <v>114</v>
      </c>
    </row>
    <row r="53" spans="2:25" x14ac:dyDescent="0.25">
      <c r="B53" t="s">
        <v>402</v>
      </c>
      <c r="C53" t="s">
        <v>485</v>
      </c>
      <c r="G53" s="240"/>
      <c r="H53" s="397"/>
      <c r="L53" t="s">
        <v>30</v>
      </c>
      <c r="M53" s="56">
        <v>2099.6495108825029</v>
      </c>
      <c r="N53" s="56">
        <v>2103.0818820750492</v>
      </c>
      <c r="O53" s="56">
        <v>2097.6832115623765</v>
      </c>
      <c r="P53" s="56">
        <v>2075.7615922142027</v>
      </c>
      <c r="Q53" s="56">
        <v>2071.9813893477854</v>
      </c>
      <c r="R53" s="56">
        <v>2026.6123538891422</v>
      </c>
      <c r="S53" s="56">
        <v>2110.2918905246861</v>
      </c>
      <c r="T53" s="56">
        <v>2120.2918905246861</v>
      </c>
      <c r="U53" s="56">
        <v>2120.2918905246861</v>
      </c>
      <c r="V53" s="56">
        <v>2107.135342351663</v>
      </c>
      <c r="W53" s="56">
        <v>1796.1852378534631</v>
      </c>
      <c r="X53" s="56">
        <v>1796.1852378534631</v>
      </c>
      <c r="Y53" t="s">
        <v>114</v>
      </c>
    </row>
    <row r="54" spans="2:25" x14ac:dyDescent="0.25">
      <c r="B54" t="s">
        <v>407</v>
      </c>
      <c r="C54" t="s">
        <v>485</v>
      </c>
      <c r="G54" s="240"/>
      <c r="H54" s="397"/>
      <c r="L54" t="s">
        <v>31</v>
      </c>
      <c r="M54" s="56">
        <v>2364.0010183068212</v>
      </c>
      <c r="N54" s="56">
        <v>2367.5782528055333</v>
      </c>
      <c r="O54" s="56">
        <v>2362.1820000378293</v>
      </c>
      <c r="P54" s="56">
        <v>2335.8991074943328</v>
      </c>
      <c r="Q54" s="56">
        <v>2331.1993956733631</v>
      </c>
      <c r="R54" s="56">
        <v>2283.8292617136576</v>
      </c>
      <c r="S54" s="56">
        <v>2377.2606900458618</v>
      </c>
      <c r="T54" s="56">
        <v>2389.2606900458618</v>
      </c>
      <c r="U54" s="56">
        <v>2389.2606900458618</v>
      </c>
      <c r="V54" s="56">
        <v>2373.9041418728375</v>
      </c>
      <c r="W54" s="56">
        <v>2053.5923884410304</v>
      </c>
      <c r="X54" s="56">
        <v>2053.5923884410304</v>
      </c>
      <c r="Y54" t="s">
        <v>114</v>
      </c>
    </row>
    <row r="55" spans="2:25" x14ac:dyDescent="0.25">
      <c r="B55" t="s">
        <v>418</v>
      </c>
      <c r="C55" t="s">
        <v>485</v>
      </c>
      <c r="G55" s="240"/>
      <c r="H55" s="397"/>
      <c r="J55" t="s">
        <v>610</v>
      </c>
      <c r="L55" t="s">
        <v>32</v>
      </c>
      <c r="M55" s="56">
        <v>2745.9279483434061</v>
      </c>
      <c r="N55" s="56">
        <v>2749.6978835971918</v>
      </c>
      <c r="O55" s="56">
        <v>2744.1960855627149</v>
      </c>
      <c r="P55" s="56">
        <v>2711.3600338354936</v>
      </c>
      <c r="Q55" s="56">
        <v>2705.177994753908</v>
      </c>
      <c r="R55" s="56">
        <v>2654.7962540447779</v>
      </c>
      <c r="S55" s="56">
        <v>2761.8820297676939</v>
      </c>
      <c r="T55" s="56">
        <v>2776.8820297676939</v>
      </c>
      <c r="U55" s="56">
        <v>2776.8820297676939</v>
      </c>
      <c r="V55" s="56">
        <v>2758.2254815946703</v>
      </c>
      <c r="W55" s="56">
        <v>2329.0963809633504</v>
      </c>
      <c r="X55" s="56">
        <v>2329.0963809633504</v>
      </c>
      <c r="Y55" t="s">
        <v>114</v>
      </c>
    </row>
    <row r="56" spans="2:25" x14ac:dyDescent="0.25">
      <c r="B56" t="s">
        <v>425</v>
      </c>
      <c r="C56" t="s">
        <v>485</v>
      </c>
      <c r="G56" s="240"/>
      <c r="H56" s="397"/>
      <c r="L56" t="s">
        <v>33</v>
      </c>
      <c r="M56" s="56">
        <v>3195.0333261602841</v>
      </c>
      <c r="N56" s="56">
        <v>3199.0600416640527</v>
      </c>
      <c r="O56" s="56">
        <v>3193.7314389028279</v>
      </c>
      <c r="P56" s="56">
        <v>3154.3682084727516</v>
      </c>
      <c r="Q56" s="56">
        <v>3146.9720098115649</v>
      </c>
      <c r="R56" s="56">
        <v>3093.5886213508411</v>
      </c>
      <c r="S56" s="56">
        <v>3217.0242756073362</v>
      </c>
      <c r="T56" s="56">
        <v>3235.0242756073362</v>
      </c>
      <c r="U56" s="56">
        <v>3235.0242756073362</v>
      </c>
      <c r="V56" s="56">
        <v>3213.067727434312</v>
      </c>
      <c r="W56" s="56">
        <v>2773.3121123484266</v>
      </c>
      <c r="X56" s="56">
        <v>2773.3121123484266</v>
      </c>
      <c r="Y56" t="s">
        <v>114</v>
      </c>
    </row>
    <row r="57" spans="2:25" x14ac:dyDescent="0.25">
      <c r="B57" t="s">
        <v>449</v>
      </c>
      <c r="C57" t="s">
        <v>485</v>
      </c>
      <c r="G57" s="240"/>
      <c r="H57" s="397"/>
      <c r="J57" t="s">
        <v>610</v>
      </c>
      <c r="L57" t="s">
        <v>34</v>
      </c>
      <c r="M57" s="56">
        <v>3456.3048763999818</v>
      </c>
      <c r="N57" s="56">
        <v>3460.4764777220594</v>
      </c>
      <c r="O57" s="56">
        <v>3455.1500341186024</v>
      </c>
      <c r="P57" s="56">
        <v>3411.4253315083652</v>
      </c>
      <c r="Q57" s="56">
        <v>3403.109695466173</v>
      </c>
      <c r="R57" s="56">
        <v>3347.7242126046044</v>
      </c>
      <c r="S57" s="56">
        <v>3480.9454844067154</v>
      </c>
      <c r="T57" s="56">
        <v>3500.9454844067154</v>
      </c>
      <c r="U57" s="56">
        <v>3500.9454844067154</v>
      </c>
      <c r="V57" s="56">
        <v>3476.7889362336919</v>
      </c>
      <c r="W57" s="56">
        <v>2889.2113906719069</v>
      </c>
      <c r="X57" s="56">
        <v>2889.2113906719069</v>
      </c>
      <c r="Y57" t="s">
        <v>114</v>
      </c>
    </row>
    <row r="58" spans="2:25" x14ac:dyDescent="0.25">
      <c r="B58" t="s">
        <v>450</v>
      </c>
      <c r="C58" t="s">
        <v>485</v>
      </c>
      <c r="G58" s="240"/>
      <c r="H58" s="397"/>
      <c r="L58" t="s">
        <v>35</v>
      </c>
      <c r="M58" s="56">
        <v>4107.1197617578764</v>
      </c>
      <c r="N58" s="56">
        <v>4111.5811977505709</v>
      </c>
      <c r="O58" s="56">
        <v>4106.2583484184888</v>
      </c>
      <c r="P58" s="56">
        <v>4053.8101442903862</v>
      </c>
      <c r="Q58" s="56">
        <v>4041.8026596165587</v>
      </c>
      <c r="R58" s="56">
        <v>3982.4101994339062</v>
      </c>
      <c r="S58" s="56">
        <v>3974.0204987417105</v>
      </c>
      <c r="T58" s="56">
        <v>3998.0204987417105</v>
      </c>
      <c r="U58" s="56">
        <v>3998.0204987417105</v>
      </c>
      <c r="V58" s="56">
        <v>3969.4639505686864</v>
      </c>
      <c r="W58" s="56">
        <v>3317.3111559805711</v>
      </c>
      <c r="X58" s="56">
        <v>3317.3111559805711</v>
      </c>
      <c r="Y58" t="s">
        <v>114</v>
      </c>
    </row>
    <row r="59" spans="2:25" x14ac:dyDescent="0.25">
      <c r="B59" t="s">
        <v>455</v>
      </c>
      <c r="C59" t="s">
        <v>485</v>
      </c>
      <c r="D59" t="s">
        <v>146</v>
      </c>
      <c r="E59" t="s">
        <v>613</v>
      </c>
      <c r="F59" t="s">
        <v>303</v>
      </c>
      <c r="G59" s="240">
        <v>1590381830</v>
      </c>
      <c r="H59" s="397" t="s">
        <v>612</v>
      </c>
      <c r="I59" t="s">
        <v>568</v>
      </c>
      <c r="L59" t="s">
        <v>36</v>
      </c>
      <c r="M59" s="56">
        <v>4965.7253907036156</v>
      </c>
      <c r="N59" s="56">
        <v>4970.6215787022375</v>
      </c>
      <c r="O59" s="56">
        <v>4965.304120777213</v>
      </c>
      <c r="P59" s="56">
        <v>4899.7706643723141</v>
      </c>
      <c r="Q59" s="56">
        <v>4884.425219364367</v>
      </c>
      <c r="R59" s="56">
        <v>4819.0222932000888</v>
      </c>
      <c r="S59" s="56">
        <v>4801.4508150531592</v>
      </c>
      <c r="T59" s="56">
        <v>4831.4508150531592</v>
      </c>
      <c r="U59" s="56">
        <v>4831.4508150531592</v>
      </c>
      <c r="V59" s="56">
        <v>4796.2942668801352</v>
      </c>
      <c r="W59" s="56">
        <v>3938.2317957099435</v>
      </c>
      <c r="X59" s="56">
        <v>3938.2317957099435</v>
      </c>
      <c r="Y59" t="s">
        <v>114</v>
      </c>
    </row>
    <row r="60" spans="2:25" x14ac:dyDescent="0.25">
      <c r="B60" t="s">
        <v>468</v>
      </c>
      <c r="C60" t="s">
        <v>485</v>
      </c>
      <c r="G60" s="240"/>
      <c r="H60" s="397"/>
      <c r="L60" t="s">
        <v>212</v>
      </c>
      <c r="M60" s="56">
        <v>0</v>
      </c>
      <c r="N60" s="56">
        <v>0</v>
      </c>
      <c r="O60" s="56">
        <v>0</v>
      </c>
      <c r="P60" s="56">
        <v>0</v>
      </c>
      <c r="Q60" s="56">
        <v>0</v>
      </c>
      <c r="R60" s="56">
        <v>0</v>
      </c>
      <c r="S60" s="56">
        <v>0</v>
      </c>
      <c r="T60" s="56">
        <v>0</v>
      </c>
      <c r="U60" s="56">
        <v>0</v>
      </c>
      <c r="V60" s="56">
        <v>0</v>
      </c>
      <c r="W60" s="56">
        <v>0</v>
      </c>
      <c r="X60" s="56">
        <v>0</v>
      </c>
      <c r="Y60" t="s">
        <v>114</v>
      </c>
    </row>
    <row r="61" spans="2:25" x14ac:dyDescent="0.25">
      <c r="B61" t="s">
        <v>479</v>
      </c>
      <c r="C61" t="s">
        <v>485</v>
      </c>
      <c r="G61" s="240"/>
      <c r="H61" s="397"/>
      <c r="L61" t="s">
        <v>213</v>
      </c>
      <c r="M61" s="56">
        <v>0</v>
      </c>
      <c r="N61" s="56">
        <v>0</v>
      </c>
      <c r="O61" s="56">
        <v>0</v>
      </c>
      <c r="P61" s="56">
        <v>0</v>
      </c>
      <c r="Q61" s="56">
        <v>0</v>
      </c>
      <c r="R61" s="56">
        <v>0</v>
      </c>
      <c r="S61" s="56">
        <v>0</v>
      </c>
      <c r="T61" s="56">
        <v>0</v>
      </c>
      <c r="U61" s="56">
        <v>0</v>
      </c>
      <c r="V61" s="56">
        <v>0</v>
      </c>
      <c r="W61" s="56">
        <v>0</v>
      </c>
      <c r="X61" s="56">
        <v>0</v>
      </c>
      <c r="Y61" t="s">
        <v>114</v>
      </c>
    </row>
    <row r="62" spans="2:25" x14ac:dyDescent="0.25">
      <c r="B62" t="s">
        <v>480</v>
      </c>
      <c r="C62" t="s">
        <v>485</v>
      </c>
      <c r="G62" s="240"/>
      <c r="H62" s="397"/>
      <c r="J62" t="s">
        <v>610</v>
      </c>
      <c r="L62" t="s">
        <v>214</v>
      </c>
      <c r="M62" s="56">
        <v>0</v>
      </c>
      <c r="N62" s="56">
        <v>0</v>
      </c>
      <c r="O62" s="56">
        <v>0</v>
      </c>
      <c r="P62" s="56">
        <v>0</v>
      </c>
      <c r="Q62" s="56">
        <v>0</v>
      </c>
      <c r="R62" s="56">
        <v>0</v>
      </c>
      <c r="S62" s="56">
        <v>0</v>
      </c>
      <c r="T62" s="56">
        <v>0</v>
      </c>
      <c r="U62" s="56">
        <v>0</v>
      </c>
      <c r="V62" s="56">
        <v>0</v>
      </c>
      <c r="W62" s="56">
        <v>0</v>
      </c>
      <c r="X62" s="56">
        <v>0</v>
      </c>
      <c r="Y62" t="s">
        <v>114</v>
      </c>
    </row>
    <row r="63" spans="2:25" x14ac:dyDescent="0.25">
      <c r="B63" t="s">
        <v>483</v>
      </c>
      <c r="C63" t="s">
        <v>485</v>
      </c>
      <c r="D63" t="s">
        <v>146</v>
      </c>
      <c r="E63" t="s">
        <v>630</v>
      </c>
      <c r="F63" t="s">
        <v>303</v>
      </c>
      <c r="G63" s="240">
        <v>2624010183</v>
      </c>
      <c r="H63" s="397" t="s">
        <v>631</v>
      </c>
      <c r="I63" t="s">
        <v>568</v>
      </c>
      <c r="L63" t="s">
        <v>215</v>
      </c>
      <c r="M63" s="56">
        <v>0</v>
      </c>
      <c r="N63" s="56">
        <v>0</v>
      </c>
      <c r="O63" s="56">
        <v>0</v>
      </c>
      <c r="P63" s="56">
        <v>0</v>
      </c>
      <c r="Q63" s="56">
        <v>0</v>
      </c>
      <c r="R63" s="56">
        <v>0</v>
      </c>
      <c r="S63" s="56">
        <v>0</v>
      </c>
      <c r="T63" s="56">
        <v>0</v>
      </c>
      <c r="U63" s="56">
        <v>0</v>
      </c>
      <c r="V63" s="56">
        <v>0</v>
      </c>
      <c r="W63" s="56">
        <v>0</v>
      </c>
      <c r="X63" s="56">
        <v>0</v>
      </c>
      <c r="Y63" t="s">
        <v>114</v>
      </c>
    </row>
    <row r="64" spans="2:25" x14ac:dyDescent="0.25">
      <c r="B64" t="s">
        <v>459</v>
      </c>
      <c r="C64" t="s">
        <v>485</v>
      </c>
      <c r="D64" t="s">
        <v>122</v>
      </c>
      <c r="E64" t="s">
        <v>605</v>
      </c>
      <c r="F64" t="s">
        <v>303</v>
      </c>
      <c r="G64" s="240">
        <v>1563045045</v>
      </c>
      <c r="H64" s="397" t="s">
        <v>614</v>
      </c>
      <c r="I64" t="s">
        <v>568</v>
      </c>
      <c r="L64" t="s">
        <v>216</v>
      </c>
      <c r="M64" s="56">
        <v>0</v>
      </c>
      <c r="N64" s="56">
        <v>0</v>
      </c>
      <c r="O64" s="56">
        <v>0</v>
      </c>
      <c r="P64" s="56">
        <v>0</v>
      </c>
      <c r="Q64" s="56">
        <v>0</v>
      </c>
      <c r="R64" s="56">
        <v>0</v>
      </c>
      <c r="S64" s="56">
        <v>0</v>
      </c>
      <c r="T64" s="56">
        <v>0</v>
      </c>
      <c r="U64" s="56">
        <v>0</v>
      </c>
      <c r="V64" s="56">
        <v>0</v>
      </c>
      <c r="W64" s="56">
        <v>0</v>
      </c>
      <c r="X64" s="56">
        <v>0</v>
      </c>
      <c r="Y64" t="s">
        <v>114</v>
      </c>
    </row>
    <row r="65" spans="2:25" x14ac:dyDescent="0.25">
      <c r="B65" t="s">
        <v>543</v>
      </c>
      <c r="C65" t="s">
        <v>485</v>
      </c>
      <c r="G65" s="240"/>
      <c r="H65" s="397"/>
      <c r="L65" t="s">
        <v>217</v>
      </c>
      <c r="M65" s="56">
        <v>0</v>
      </c>
      <c r="N65" s="56">
        <v>0</v>
      </c>
      <c r="O65" s="56">
        <v>0</v>
      </c>
      <c r="P65" s="56">
        <v>0</v>
      </c>
      <c r="Q65" s="56">
        <v>0</v>
      </c>
      <c r="R65" s="56">
        <v>0</v>
      </c>
      <c r="S65" s="56">
        <v>0</v>
      </c>
      <c r="T65" s="56">
        <v>0</v>
      </c>
      <c r="U65" s="56">
        <v>0</v>
      </c>
      <c r="V65" s="56">
        <v>0</v>
      </c>
      <c r="W65" s="56">
        <v>0</v>
      </c>
      <c r="X65" s="56">
        <v>0</v>
      </c>
      <c r="Y65" t="s">
        <v>114</v>
      </c>
    </row>
    <row r="66" spans="2:25" x14ac:dyDescent="0.25">
      <c r="B66" t="s">
        <v>497</v>
      </c>
      <c r="C66" t="s">
        <v>485</v>
      </c>
      <c r="G66" s="240"/>
      <c r="H66" s="397"/>
      <c r="L66" t="s">
        <v>218</v>
      </c>
      <c r="M66" s="56">
        <v>0</v>
      </c>
      <c r="N66" s="56">
        <v>0</v>
      </c>
      <c r="O66" s="56">
        <v>0</v>
      </c>
      <c r="P66" s="56">
        <v>0</v>
      </c>
      <c r="Q66" s="56">
        <v>0</v>
      </c>
      <c r="R66" s="56">
        <v>0</v>
      </c>
      <c r="S66" s="56">
        <v>0</v>
      </c>
      <c r="T66" s="56">
        <v>0</v>
      </c>
      <c r="U66" s="56">
        <v>0</v>
      </c>
      <c r="V66" s="56">
        <v>0</v>
      </c>
      <c r="W66" s="56">
        <v>0</v>
      </c>
      <c r="X66" s="56">
        <v>0</v>
      </c>
      <c r="Y66" t="s">
        <v>114</v>
      </c>
    </row>
    <row r="67" spans="2:25" x14ac:dyDescent="0.25">
      <c r="B67" t="s">
        <v>498</v>
      </c>
      <c r="C67" t="s">
        <v>485</v>
      </c>
      <c r="G67" s="240"/>
      <c r="H67" s="397"/>
      <c r="L67" t="s">
        <v>219</v>
      </c>
      <c r="M67" s="56">
        <v>0</v>
      </c>
      <c r="N67" s="56">
        <v>0</v>
      </c>
      <c r="O67" s="56">
        <v>0</v>
      </c>
      <c r="P67" s="56">
        <v>0</v>
      </c>
      <c r="Q67" s="56">
        <v>0</v>
      </c>
      <c r="R67" s="56">
        <v>0</v>
      </c>
      <c r="S67" s="56">
        <v>0</v>
      </c>
      <c r="T67" s="56">
        <v>0</v>
      </c>
      <c r="U67" s="56">
        <v>0</v>
      </c>
      <c r="V67" s="56">
        <v>0</v>
      </c>
      <c r="W67" s="56">
        <v>0</v>
      </c>
      <c r="X67" s="56">
        <v>0</v>
      </c>
      <c r="Y67" t="s">
        <v>114</v>
      </c>
    </row>
    <row r="68" spans="2:25" x14ac:dyDescent="0.25">
      <c r="B68" t="s">
        <v>528</v>
      </c>
      <c r="C68" t="s">
        <v>485</v>
      </c>
      <c r="G68" s="240"/>
      <c r="H68" s="397"/>
      <c r="L68" t="s">
        <v>531</v>
      </c>
      <c r="M68" s="56">
        <v>3283.38</v>
      </c>
      <c r="N68" s="56">
        <v>3283.38</v>
      </c>
      <c r="O68" s="56">
        <v>3283.38</v>
      </c>
      <c r="P68" s="56">
        <v>3283.38</v>
      </c>
      <c r="Q68" s="56">
        <v>3283.38</v>
      </c>
      <c r="R68" s="56">
        <v>3283.38</v>
      </c>
      <c r="S68" s="56">
        <v>3283.38</v>
      </c>
      <c r="T68" s="56">
        <v>3283.38</v>
      </c>
      <c r="U68" s="56">
        <v>3283.38</v>
      </c>
      <c r="V68" s="56">
        <v>3283.38</v>
      </c>
      <c r="W68" s="56">
        <v>3283.38</v>
      </c>
      <c r="X68" s="56">
        <v>3283.38</v>
      </c>
      <c r="Y68" t="s">
        <v>114</v>
      </c>
    </row>
    <row r="69" spans="2:25" x14ac:dyDescent="0.25">
      <c r="B69" s="231" t="s">
        <v>2890</v>
      </c>
      <c r="C69" t="s">
        <v>485</v>
      </c>
      <c r="G69" s="240"/>
      <c r="H69" s="397"/>
      <c r="J69" t="s">
        <v>610</v>
      </c>
      <c r="L69" t="s">
        <v>453</v>
      </c>
      <c r="M69" s="56">
        <v>1865.6586100830245</v>
      </c>
      <c r="N69" s="56">
        <v>1863.6421415068482</v>
      </c>
      <c r="O69" s="56">
        <v>1846.8953556382774</v>
      </c>
      <c r="P69" s="56">
        <v>1819.6318862528108</v>
      </c>
      <c r="Q69" s="56">
        <v>1820.4822843817617</v>
      </c>
      <c r="R69" s="56">
        <v>1770.1081188208341</v>
      </c>
      <c r="S69" s="56">
        <v>1831.8820208386235</v>
      </c>
      <c r="T69" s="56">
        <v>1842.7775463831254</v>
      </c>
      <c r="U69" s="56">
        <v>1842.7775463831254</v>
      </c>
      <c r="V69" s="56">
        <v>1831.8209982101014</v>
      </c>
      <c r="W69" s="56">
        <v>0</v>
      </c>
      <c r="X69" s="56">
        <v>0</v>
      </c>
      <c r="Y69" t="s">
        <v>114</v>
      </c>
    </row>
    <row r="70" spans="2:25" x14ac:dyDescent="0.25">
      <c r="B70" t="s">
        <v>499</v>
      </c>
      <c r="C70" t="s">
        <v>485</v>
      </c>
      <c r="G70" s="240"/>
      <c r="H70" s="397"/>
      <c r="J70" t="s">
        <v>610</v>
      </c>
      <c r="L70" t="s">
        <v>475</v>
      </c>
      <c r="M70" s="56">
        <v>2140.2256176083943</v>
      </c>
      <c r="N70" s="56">
        <v>2139.3804096918993</v>
      </c>
      <c r="O70" s="56">
        <v>2123.9920200430561</v>
      </c>
      <c r="P70" s="56">
        <v>2090.9410989875082</v>
      </c>
      <c r="Q70" s="56">
        <v>2090.8719881619068</v>
      </c>
      <c r="R70" s="56">
        <v>2038.3212240999169</v>
      </c>
      <c r="S70" s="56">
        <v>2111.4807358850699</v>
      </c>
      <c r="T70" s="56">
        <v>2121.4807358850699</v>
      </c>
      <c r="U70" s="56">
        <v>2121.4807358850699</v>
      </c>
      <c r="V70" s="56">
        <v>2108.3241877120463</v>
      </c>
      <c r="W70" s="56">
        <v>0</v>
      </c>
      <c r="X70" s="56">
        <v>0</v>
      </c>
      <c r="Y70" t="s">
        <v>114</v>
      </c>
    </row>
    <row r="71" spans="2:25" x14ac:dyDescent="0.25">
      <c r="B71" t="s">
        <v>547</v>
      </c>
      <c r="C71" t="s">
        <v>485</v>
      </c>
      <c r="D71" t="s">
        <v>122</v>
      </c>
      <c r="E71" t="s">
        <v>628</v>
      </c>
      <c r="F71" t="s">
        <v>303</v>
      </c>
      <c r="G71" s="240">
        <v>2992787601</v>
      </c>
      <c r="H71" s="397" t="s">
        <v>629</v>
      </c>
      <c r="I71" t="s">
        <v>569</v>
      </c>
      <c r="L71" t="s">
        <v>424</v>
      </c>
      <c r="M71" s="56">
        <v>2408.9040875498386</v>
      </c>
      <c r="N71" s="56">
        <v>2410.5371014743287</v>
      </c>
      <c r="O71" s="56">
        <v>2393.6069695583383</v>
      </c>
      <c r="P71" s="56">
        <v>2360.6705414259168</v>
      </c>
      <c r="Q71" s="56">
        <v>2355.3903196326446</v>
      </c>
      <c r="R71" s="56">
        <v>2301.4828632997232</v>
      </c>
      <c r="S71" s="56">
        <v>2391.235914392963</v>
      </c>
      <c r="T71" s="56">
        <v>2403.235914392963</v>
      </c>
      <c r="U71" s="56">
        <v>2403.235914392963</v>
      </c>
      <c r="V71" s="56">
        <v>2387.8793662199387</v>
      </c>
      <c r="W71" s="56">
        <v>0</v>
      </c>
      <c r="X71" s="56">
        <v>0</v>
      </c>
      <c r="Y71" t="s">
        <v>114</v>
      </c>
    </row>
    <row r="72" spans="2:25" x14ac:dyDescent="0.25">
      <c r="B72" t="s">
        <v>548</v>
      </c>
      <c r="C72" t="s">
        <v>485</v>
      </c>
      <c r="G72" s="240"/>
      <c r="H72" s="397"/>
      <c r="L72" t="s">
        <v>476</v>
      </c>
      <c r="M72" s="56">
        <v>2791.0224246147759</v>
      </c>
      <c r="N72" s="56">
        <v>2790.7982862119325</v>
      </c>
      <c r="O72" s="56">
        <v>2775.0494931872167</v>
      </c>
      <c r="P72" s="56">
        <v>2730.9108556066894</v>
      </c>
      <c r="Q72" s="56">
        <v>2728.4399085659197</v>
      </c>
      <c r="R72" s="56">
        <v>2670.4142892534428</v>
      </c>
      <c r="S72" s="56">
        <v>2771.8383709863356</v>
      </c>
      <c r="T72" s="56">
        <v>2786.8383709863356</v>
      </c>
      <c r="U72" s="56">
        <v>2786.8383709863356</v>
      </c>
      <c r="V72" s="56">
        <v>2768.1818228133116</v>
      </c>
      <c r="W72" s="56">
        <v>0</v>
      </c>
      <c r="X72" s="56">
        <v>0</v>
      </c>
      <c r="Y72" t="s">
        <v>114</v>
      </c>
    </row>
    <row r="73" spans="2:25" x14ac:dyDescent="0.25">
      <c r="B73" t="s">
        <v>535</v>
      </c>
      <c r="C73" t="s">
        <v>485</v>
      </c>
      <c r="G73" s="240"/>
      <c r="H73" s="397"/>
      <c r="L73" t="s">
        <v>419</v>
      </c>
      <c r="M73" s="56">
        <v>3499.4938188115962</v>
      </c>
      <c r="N73" s="56">
        <v>3566.995023039538</v>
      </c>
      <c r="O73" s="56">
        <v>3543.2748018251514</v>
      </c>
      <c r="P73" s="56">
        <v>3491.3071359822989</v>
      </c>
      <c r="Q73" s="56">
        <v>3486.702591980923</v>
      </c>
      <c r="R73" s="56">
        <v>3420.7833305160066</v>
      </c>
      <c r="S73" s="56">
        <v>3532.6792293970229</v>
      </c>
      <c r="T73" s="56">
        <v>3562.3281576153213</v>
      </c>
      <c r="U73" s="56">
        <v>3562.3281576153213</v>
      </c>
      <c r="V73" s="56">
        <v>3538.1716094422982</v>
      </c>
      <c r="W73" s="56">
        <v>0</v>
      </c>
      <c r="X73" s="56">
        <v>0</v>
      </c>
      <c r="Y73" t="s">
        <v>114</v>
      </c>
    </row>
    <row r="74" spans="2:25" x14ac:dyDescent="0.25">
      <c r="B74" s="388" t="s">
        <v>602</v>
      </c>
      <c r="C74" t="s">
        <v>485</v>
      </c>
      <c r="G74" s="240"/>
      <c r="H74" s="397"/>
      <c r="L74" t="s">
        <v>477</v>
      </c>
      <c r="M74" s="56">
        <v>4129.4050627257366</v>
      </c>
      <c r="N74" s="56">
        <v>4131.4372122558761</v>
      </c>
      <c r="O74" s="56">
        <v>4116.449330434325</v>
      </c>
      <c r="P74" s="56">
        <v>4064.4237922191596</v>
      </c>
      <c r="Q74" s="56">
        <v>4049.9724245042339</v>
      </c>
      <c r="R74" s="56">
        <v>3990.5799643215814</v>
      </c>
      <c r="S74" s="56">
        <v>3979.9704717331792</v>
      </c>
      <c r="T74" s="56">
        <v>4003.9704717331792</v>
      </c>
      <c r="U74" s="56">
        <v>4003.9704717331792</v>
      </c>
      <c r="V74" s="56">
        <v>3975.4139235601551</v>
      </c>
      <c r="W74" s="56">
        <v>0</v>
      </c>
      <c r="X74" s="56">
        <v>0</v>
      </c>
      <c r="Y74" t="s">
        <v>114</v>
      </c>
    </row>
    <row r="75" spans="2:25" x14ac:dyDescent="0.25">
      <c r="B75" t="s">
        <v>603</v>
      </c>
      <c r="C75" t="s">
        <v>485</v>
      </c>
      <c r="G75" s="240"/>
      <c r="H75" s="397"/>
      <c r="L75" t="s">
        <v>478</v>
      </c>
      <c r="M75" s="56">
        <v>4953.0885445397562</v>
      </c>
      <c r="N75" s="56">
        <v>4979.0531063615344</v>
      </c>
      <c r="O75" s="56">
        <v>4961.2805003428239</v>
      </c>
      <c r="P75" s="56">
        <v>4882.950731188067</v>
      </c>
      <c r="Q75" s="56">
        <v>4871.3163782209358</v>
      </c>
      <c r="R75" s="56">
        <v>4793.9288734533111</v>
      </c>
      <c r="S75" s="56">
        <v>4766.1072665029296</v>
      </c>
      <c r="T75" s="56">
        <v>4796.1072665029296</v>
      </c>
      <c r="U75" s="56">
        <v>4796.1072665029296</v>
      </c>
      <c r="V75" s="56">
        <v>4760.9507183299056</v>
      </c>
      <c r="W75" s="56">
        <v>0</v>
      </c>
      <c r="X75" s="56">
        <v>0</v>
      </c>
      <c r="Y75" t="s">
        <v>114</v>
      </c>
    </row>
    <row r="76" spans="2:25" x14ac:dyDescent="0.25">
      <c r="B76" t="s">
        <v>666</v>
      </c>
      <c r="C76" t="s">
        <v>485</v>
      </c>
      <c r="G76" s="240"/>
      <c r="H76" s="397"/>
      <c r="L76" t="s">
        <v>540</v>
      </c>
      <c r="M76" s="56">
        <v>2047.7604000591641</v>
      </c>
      <c r="N76" s="56">
        <v>2047.7604000591641</v>
      </c>
      <c r="O76" s="56">
        <v>2047.7604000591641</v>
      </c>
      <c r="P76" s="56">
        <v>2027.7604000591641</v>
      </c>
      <c r="Q76" s="56">
        <v>2027.7604000591641</v>
      </c>
      <c r="R76" s="56">
        <v>1811.6844139692503</v>
      </c>
      <c r="S76" s="56">
        <v>1727.117018148469</v>
      </c>
      <c r="T76" s="56">
        <v>1864.671066844619</v>
      </c>
      <c r="U76" s="56">
        <v>1864.671066844619</v>
      </c>
      <c r="V76" s="56">
        <v>1747.6180531618697</v>
      </c>
      <c r="W76" s="56">
        <v>1698.0730729211612</v>
      </c>
      <c r="X76" s="56">
        <v>1698.0730729211612</v>
      </c>
      <c r="Y76" t="s">
        <v>114</v>
      </c>
    </row>
    <row r="77" spans="2:25" x14ac:dyDescent="0.25">
      <c r="B77" t="s">
        <v>667</v>
      </c>
      <c r="C77" t="s">
        <v>485</v>
      </c>
      <c r="G77" s="240"/>
      <c r="H77" s="397"/>
      <c r="L77" t="s">
        <v>541</v>
      </c>
      <c r="M77" s="56">
        <v>2227.2985903220042</v>
      </c>
      <c r="N77" s="56">
        <v>2205.4828680468322</v>
      </c>
      <c r="O77" s="56">
        <v>2227.2985903220042</v>
      </c>
      <c r="P77" s="56">
        <v>2044.1931100285321</v>
      </c>
      <c r="Q77" s="56">
        <v>2070.5197503646614</v>
      </c>
      <c r="R77" s="56">
        <v>1975.5977182320903</v>
      </c>
      <c r="S77" s="56">
        <v>1880.2126124113092</v>
      </c>
      <c r="T77" s="56">
        <v>2039.3189565620041</v>
      </c>
      <c r="U77" s="56">
        <v>2039.3189565620041</v>
      </c>
      <c r="V77" s="56">
        <v>1950.0607645555497</v>
      </c>
      <c r="W77" s="56">
        <v>1922.3292330369686</v>
      </c>
      <c r="X77" s="56">
        <v>1922.3292330369686</v>
      </c>
      <c r="Y77" t="s">
        <v>114</v>
      </c>
    </row>
    <row r="78" spans="2:25" x14ac:dyDescent="0.25">
      <c r="B78" t="s">
        <v>668</v>
      </c>
      <c r="C78" t="s">
        <v>485</v>
      </c>
      <c r="G78" s="240"/>
      <c r="H78" s="397"/>
      <c r="L78" t="s">
        <v>542</v>
      </c>
      <c r="M78" s="56">
        <v>2723.6029727489949</v>
      </c>
      <c r="N78" s="56">
        <v>2723.6029727489949</v>
      </c>
      <c r="O78" s="56">
        <v>2637.9060804773671</v>
      </c>
      <c r="P78" s="56">
        <v>2693.6029727489949</v>
      </c>
      <c r="Q78" s="56">
        <v>2693.6029727489949</v>
      </c>
      <c r="R78" s="56">
        <v>2385.8650252439993</v>
      </c>
      <c r="S78" s="56">
        <v>2242.2149682835352</v>
      </c>
      <c r="T78" s="56">
        <v>2388.0813651365033</v>
      </c>
      <c r="U78" s="56">
        <v>2388.0813651365033</v>
      </c>
      <c r="V78" s="56">
        <v>2371.5813651365033</v>
      </c>
      <c r="W78" s="56">
        <v>2223.1701480986712</v>
      </c>
      <c r="X78" s="56">
        <v>2223.1701480986712</v>
      </c>
      <c r="Y78" t="s">
        <v>114</v>
      </c>
    </row>
    <row r="79" spans="2:25" x14ac:dyDescent="0.25">
      <c r="B79" t="s">
        <v>616</v>
      </c>
      <c r="C79" t="s">
        <v>485</v>
      </c>
      <c r="G79" s="240"/>
      <c r="H79" s="397"/>
      <c r="L79" t="s">
        <v>220</v>
      </c>
      <c r="M79" s="56">
        <v>0</v>
      </c>
      <c r="N79" s="56">
        <v>0</v>
      </c>
      <c r="O79" s="56">
        <v>0</v>
      </c>
      <c r="P79" s="56">
        <v>0</v>
      </c>
      <c r="Q79" s="56">
        <v>0</v>
      </c>
      <c r="R79" s="56">
        <v>0</v>
      </c>
      <c r="S79" s="56">
        <v>0</v>
      </c>
      <c r="T79" s="56">
        <v>0</v>
      </c>
      <c r="U79" s="56">
        <v>0</v>
      </c>
      <c r="V79" s="56">
        <v>0</v>
      </c>
      <c r="W79" s="56">
        <v>0</v>
      </c>
      <c r="X79" s="56">
        <v>0</v>
      </c>
      <c r="Y79" t="s">
        <v>114</v>
      </c>
    </row>
    <row r="80" spans="2:25" x14ac:dyDescent="0.25">
      <c r="B80" t="s">
        <v>558</v>
      </c>
      <c r="C80" t="s">
        <v>485</v>
      </c>
      <c r="G80" s="240"/>
      <c r="H80" s="397"/>
      <c r="L80" t="s">
        <v>221</v>
      </c>
      <c r="M80" s="56">
        <v>0</v>
      </c>
      <c r="N80" s="56">
        <v>0</v>
      </c>
      <c r="O80" s="56">
        <v>0</v>
      </c>
      <c r="P80" s="56">
        <v>0</v>
      </c>
      <c r="Q80" s="56">
        <v>0</v>
      </c>
      <c r="R80" s="56">
        <v>0</v>
      </c>
      <c r="S80" s="56">
        <v>0</v>
      </c>
      <c r="T80" s="56">
        <v>0</v>
      </c>
      <c r="U80" s="56">
        <v>0</v>
      </c>
      <c r="V80" s="56">
        <v>0</v>
      </c>
      <c r="W80" s="56">
        <v>0</v>
      </c>
      <c r="X80" s="56">
        <v>0</v>
      </c>
      <c r="Y80" t="s">
        <v>114</v>
      </c>
    </row>
    <row r="81" spans="2:25" x14ac:dyDescent="0.25">
      <c r="B81" t="s">
        <v>622</v>
      </c>
      <c r="C81" t="s">
        <v>485</v>
      </c>
      <c r="G81" s="240"/>
      <c r="H81" s="397"/>
      <c r="L81" t="s">
        <v>222</v>
      </c>
      <c r="M81" s="56">
        <v>0</v>
      </c>
      <c r="N81" s="56">
        <v>0</v>
      </c>
      <c r="O81" s="56">
        <v>0</v>
      </c>
      <c r="P81" s="56">
        <v>0</v>
      </c>
      <c r="Q81" s="56">
        <v>0</v>
      </c>
      <c r="R81" s="56">
        <v>0</v>
      </c>
      <c r="S81" s="56">
        <v>0</v>
      </c>
      <c r="T81" s="56">
        <v>0</v>
      </c>
      <c r="U81" s="56">
        <v>0</v>
      </c>
      <c r="V81" s="56">
        <v>0</v>
      </c>
      <c r="W81" s="56">
        <v>0</v>
      </c>
      <c r="X81" s="56">
        <v>0</v>
      </c>
      <c r="Y81" t="s">
        <v>114</v>
      </c>
    </row>
    <row r="82" spans="2:25" x14ac:dyDescent="0.25">
      <c r="B82" t="s">
        <v>621</v>
      </c>
      <c r="C82" t="s">
        <v>485</v>
      </c>
      <c r="G82" s="240"/>
      <c r="H82" s="397"/>
      <c r="L82" t="s">
        <v>223</v>
      </c>
      <c r="M82" s="56">
        <v>0</v>
      </c>
      <c r="N82" s="56">
        <v>0</v>
      </c>
      <c r="O82" s="56">
        <v>0</v>
      </c>
      <c r="P82" s="56">
        <v>0</v>
      </c>
      <c r="Q82" s="56">
        <v>0</v>
      </c>
      <c r="R82" s="56">
        <v>0</v>
      </c>
      <c r="S82" s="56">
        <v>0</v>
      </c>
      <c r="T82" s="56">
        <v>0</v>
      </c>
      <c r="U82" s="56">
        <v>0</v>
      </c>
      <c r="V82" s="56">
        <v>0</v>
      </c>
      <c r="W82" s="56">
        <v>0</v>
      </c>
      <c r="X82" s="56">
        <v>0</v>
      </c>
      <c r="Y82" t="s">
        <v>114</v>
      </c>
    </row>
    <row r="83" spans="2:25" x14ac:dyDescent="0.25">
      <c r="B83" t="s">
        <v>2700</v>
      </c>
      <c r="C83" t="s">
        <v>485</v>
      </c>
      <c r="G83" s="240"/>
      <c r="H83" s="397"/>
      <c r="L83" t="s">
        <v>224</v>
      </c>
      <c r="M83" s="56">
        <v>0</v>
      </c>
      <c r="N83" s="56">
        <v>0</v>
      </c>
      <c r="O83" s="56">
        <v>0</v>
      </c>
      <c r="P83" s="56">
        <v>0</v>
      </c>
      <c r="Q83" s="56">
        <v>0</v>
      </c>
      <c r="R83" s="56">
        <v>0</v>
      </c>
      <c r="S83" s="56">
        <v>0</v>
      </c>
      <c r="T83" s="56">
        <v>0</v>
      </c>
      <c r="U83" s="56">
        <v>0</v>
      </c>
      <c r="V83" s="56">
        <v>0</v>
      </c>
      <c r="W83" s="56">
        <v>0</v>
      </c>
      <c r="X83" s="56">
        <v>0</v>
      </c>
      <c r="Y83" t="s">
        <v>114</v>
      </c>
    </row>
    <row r="84" spans="2:25" x14ac:dyDescent="0.25">
      <c r="B84" t="s">
        <v>2698</v>
      </c>
      <c r="C84" t="s">
        <v>485</v>
      </c>
      <c r="G84" s="240"/>
      <c r="H84" s="397"/>
      <c r="L84" t="s">
        <v>225</v>
      </c>
      <c r="M84" s="56">
        <v>0</v>
      </c>
      <c r="N84" s="56">
        <v>0</v>
      </c>
      <c r="O84" s="56">
        <v>0</v>
      </c>
      <c r="P84" s="56">
        <v>0</v>
      </c>
      <c r="Q84" s="56">
        <v>0</v>
      </c>
      <c r="R84" s="56">
        <v>0</v>
      </c>
      <c r="S84" s="56">
        <v>0</v>
      </c>
      <c r="T84" s="56">
        <v>0</v>
      </c>
      <c r="U84" s="56">
        <v>0</v>
      </c>
      <c r="V84" s="56">
        <v>0</v>
      </c>
      <c r="W84" s="56">
        <v>0</v>
      </c>
      <c r="X84" s="56">
        <v>0</v>
      </c>
      <c r="Y84" t="s">
        <v>114</v>
      </c>
    </row>
    <row r="85" spans="2:25" x14ac:dyDescent="0.25">
      <c r="B85" t="s">
        <v>636</v>
      </c>
      <c r="C85" t="s">
        <v>485</v>
      </c>
      <c r="G85" s="240"/>
      <c r="H85" s="397"/>
      <c r="L85" t="s">
        <v>226</v>
      </c>
      <c r="M85" s="56">
        <v>0</v>
      </c>
      <c r="N85" s="56">
        <v>0</v>
      </c>
      <c r="O85" s="56">
        <v>0</v>
      </c>
      <c r="P85" s="56">
        <v>0</v>
      </c>
      <c r="Q85" s="56">
        <v>0</v>
      </c>
      <c r="R85" s="56">
        <v>0</v>
      </c>
      <c r="S85" s="56">
        <v>0</v>
      </c>
      <c r="T85" s="56">
        <v>0</v>
      </c>
      <c r="U85" s="56">
        <v>0</v>
      </c>
      <c r="V85" s="56">
        <v>0</v>
      </c>
      <c r="W85" s="56">
        <v>0</v>
      </c>
      <c r="X85" s="56">
        <v>0</v>
      </c>
      <c r="Y85" t="s">
        <v>114</v>
      </c>
    </row>
    <row r="86" spans="2:25" x14ac:dyDescent="0.25">
      <c r="B86" t="s">
        <v>637</v>
      </c>
      <c r="C86" t="s">
        <v>485</v>
      </c>
      <c r="G86" s="240"/>
      <c r="H86" s="397"/>
      <c r="L86" t="s">
        <v>82</v>
      </c>
      <c r="M86" s="56">
        <v>5464.1405794422153</v>
      </c>
      <c r="N86" s="56">
        <v>5446.6685044160913</v>
      </c>
      <c r="O86" s="56">
        <v>5452.1374046709971</v>
      </c>
      <c r="P86" s="56">
        <v>5360.6703321932555</v>
      </c>
      <c r="Q86" s="56">
        <v>5316.8002777220026</v>
      </c>
      <c r="R86" s="56">
        <v>5300.781229941429</v>
      </c>
      <c r="S86" s="56">
        <v>5242.3097017346063</v>
      </c>
      <c r="T86" s="56">
        <v>5202.3097017346063</v>
      </c>
      <c r="U86" s="56">
        <v>5202.8066833759149</v>
      </c>
      <c r="V86" s="56">
        <v>5118.7415190930024</v>
      </c>
      <c r="W86" s="56">
        <v>4303.1194054476691</v>
      </c>
      <c r="X86" s="56">
        <v>4303.1194054476691</v>
      </c>
      <c r="Y86" t="s">
        <v>114</v>
      </c>
    </row>
    <row r="87" spans="2:25" x14ac:dyDescent="0.25">
      <c r="B87" t="s">
        <v>639</v>
      </c>
      <c r="C87" t="s">
        <v>485</v>
      </c>
      <c r="G87" s="240"/>
      <c r="H87" s="397"/>
      <c r="L87" t="s">
        <v>115</v>
      </c>
      <c r="M87" s="56">
        <v>0</v>
      </c>
      <c r="N87" s="56">
        <v>0</v>
      </c>
      <c r="O87" s="56">
        <v>0</v>
      </c>
      <c r="P87" s="56">
        <v>0</v>
      </c>
      <c r="Q87" s="56">
        <v>0</v>
      </c>
      <c r="R87" s="56">
        <v>0</v>
      </c>
      <c r="S87" s="56">
        <v>0</v>
      </c>
      <c r="T87" s="56">
        <v>0</v>
      </c>
      <c r="U87" s="56">
        <v>0</v>
      </c>
      <c r="V87" s="56">
        <v>0</v>
      </c>
      <c r="W87" s="56">
        <v>0</v>
      </c>
      <c r="X87" s="56">
        <v>0</v>
      </c>
      <c r="Y87" t="s">
        <v>114</v>
      </c>
    </row>
    <row r="88" spans="2:25" x14ac:dyDescent="0.25">
      <c r="B88" t="s">
        <v>617</v>
      </c>
      <c r="C88" t="s">
        <v>485</v>
      </c>
      <c r="G88" s="240"/>
      <c r="H88" s="397"/>
      <c r="L88" t="s">
        <v>83</v>
      </c>
      <c r="M88" s="56">
        <v>5865.3811361576109</v>
      </c>
      <c r="N88" s="56">
        <v>5848.3292081314867</v>
      </c>
      <c r="O88" s="56">
        <v>5855.2484024404475</v>
      </c>
      <c r="P88" s="56">
        <v>5750.2843940000621</v>
      </c>
      <c r="Q88" s="56">
        <v>5696.460981437398</v>
      </c>
      <c r="R88" s="56">
        <v>5677.1130195531168</v>
      </c>
      <c r="S88" s="56">
        <v>5604.521118045961</v>
      </c>
      <c r="T88" s="56">
        <v>5556.521118045961</v>
      </c>
      <c r="U88" s="56">
        <v>5557.1174960155304</v>
      </c>
      <c r="V88" s="56">
        <v>5456.5130221257432</v>
      </c>
      <c r="W88" s="56">
        <v>4323.0397316140961</v>
      </c>
      <c r="X88" s="56">
        <v>4323.0397316140961</v>
      </c>
      <c r="Y88" t="s">
        <v>114</v>
      </c>
    </row>
    <row r="89" spans="2:25" x14ac:dyDescent="0.25">
      <c r="B89" t="s">
        <v>780</v>
      </c>
      <c r="C89" t="s">
        <v>485</v>
      </c>
      <c r="G89" s="240"/>
      <c r="H89" s="397"/>
      <c r="L89" t="s">
        <v>22</v>
      </c>
      <c r="M89" s="56">
        <v>8258.0292983155887</v>
      </c>
      <c r="N89" s="56">
        <v>8065.0210039089798</v>
      </c>
      <c r="O89" s="56">
        <v>8021.7299786435697</v>
      </c>
      <c r="P89" s="56">
        <v>7751.7108562482354</v>
      </c>
      <c r="Q89" s="56">
        <v>7662.3222069094381</v>
      </c>
      <c r="R89" s="56">
        <v>7662.3222069094381</v>
      </c>
      <c r="S89" s="56">
        <v>7540.8065888120236</v>
      </c>
      <c r="T89" s="56">
        <v>7460.8065888120236</v>
      </c>
      <c r="U89" s="56">
        <v>7460.8065888120236</v>
      </c>
      <c r="V89" s="56">
        <v>7300.8065888120236</v>
      </c>
      <c r="W89" s="56">
        <v>7496.8184347382103</v>
      </c>
      <c r="X89" s="56">
        <v>7496.8184347382103</v>
      </c>
      <c r="Y89" t="s">
        <v>114</v>
      </c>
    </row>
    <row r="90" spans="2:25" x14ac:dyDescent="0.25">
      <c r="L90" t="s">
        <v>84</v>
      </c>
      <c r="M90" s="56">
        <v>10082.256801142856</v>
      </c>
      <c r="N90" s="56">
        <v>10032.242079854928</v>
      </c>
      <c r="O90" s="56">
        <v>9914.3659083996499</v>
      </c>
      <c r="P90" s="56">
        <v>9492.3614616563136</v>
      </c>
      <c r="Q90" s="56">
        <v>9451.424928946979</v>
      </c>
      <c r="R90" s="56">
        <v>9451.424928946979</v>
      </c>
      <c r="S90" s="56">
        <v>9321.424928946979</v>
      </c>
      <c r="T90" s="56">
        <v>9217.424928946979</v>
      </c>
      <c r="U90" s="56">
        <v>9217.424928946979</v>
      </c>
      <c r="V90" s="56">
        <v>9009.424928946979</v>
      </c>
      <c r="W90" s="56">
        <v>9162.8950570233956</v>
      </c>
      <c r="X90" s="56">
        <v>9162.8950570233956</v>
      </c>
      <c r="Y90" t="s">
        <v>114</v>
      </c>
    </row>
    <row r="91" spans="2:25" x14ac:dyDescent="0.25">
      <c r="B91" t="s">
        <v>280</v>
      </c>
      <c r="L91" t="s">
        <v>530</v>
      </c>
      <c r="M91" s="56">
        <v>10082.256801142856</v>
      </c>
      <c r="N91" s="56">
        <v>10032.242079854928</v>
      </c>
      <c r="O91" s="56">
        <v>9755.0219577315074</v>
      </c>
      <c r="P91" s="56">
        <v>9571.5724497821448</v>
      </c>
      <c r="Q91" s="56">
        <v>9464.8193162324897</v>
      </c>
      <c r="R91" s="56">
        <v>9464.8193162324897</v>
      </c>
      <c r="S91" s="56">
        <v>9334.8193162324897</v>
      </c>
      <c r="T91" s="56">
        <v>9230.8193162324897</v>
      </c>
      <c r="U91" s="56">
        <v>9230.8193162324897</v>
      </c>
      <c r="V91" s="56">
        <v>9022.8193162324897</v>
      </c>
      <c r="W91" s="56">
        <v>9265.7148106561763</v>
      </c>
      <c r="X91" s="56">
        <v>9265.7148106561763</v>
      </c>
      <c r="Y91" t="s">
        <v>114</v>
      </c>
    </row>
    <row r="92" spans="2:25" x14ac:dyDescent="0.25">
      <c r="B92" t="s">
        <v>278</v>
      </c>
      <c r="L92" t="s">
        <v>227</v>
      </c>
      <c r="M92" s="56">
        <v>5464.1405794422153</v>
      </c>
      <c r="N92" s="56">
        <v>5446.6685044160913</v>
      </c>
      <c r="O92" s="56">
        <v>5452.1374046709971</v>
      </c>
      <c r="P92" s="56">
        <v>5360.6703321932555</v>
      </c>
      <c r="Q92" s="56">
        <v>5316.8002777220026</v>
      </c>
      <c r="R92" s="56">
        <v>5300.781229941429</v>
      </c>
      <c r="S92" s="56">
        <v>5242.3097017346063</v>
      </c>
      <c r="T92" s="56">
        <v>5202.3097017346063</v>
      </c>
      <c r="U92" s="56">
        <v>5202.8066833759149</v>
      </c>
      <c r="V92" s="56">
        <v>5118.7415190930024</v>
      </c>
      <c r="W92" s="56">
        <v>4028.5949594878953</v>
      </c>
      <c r="X92" s="56">
        <v>4028.5949594878953</v>
      </c>
      <c r="Y92" t="s">
        <v>114</v>
      </c>
    </row>
    <row r="93" spans="2:25" x14ac:dyDescent="0.25">
      <c r="B93" t="s">
        <v>277</v>
      </c>
      <c r="L93" t="s">
        <v>228</v>
      </c>
      <c r="M93" s="56">
        <v>5865.3811361576109</v>
      </c>
      <c r="N93" s="56">
        <v>5848.3292081314867</v>
      </c>
      <c r="O93" s="56">
        <v>5855.2484024404475</v>
      </c>
      <c r="P93" s="56">
        <v>5750.2843940000621</v>
      </c>
      <c r="Q93" s="56">
        <v>5696.460981437398</v>
      </c>
      <c r="R93" s="56">
        <v>5677.1130195531168</v>
      </c>
      <c r="S93" s="56">
        <v>5604.521118045961</v>
      </c>
      <c r="T93" s="56">
        <v>5556.521118045961</v>
      </c>
      <c r="U93" s="56">
        <v>5557.1174960155304</v>
      </c>
      <c r="V93" s="56">
        <v>5456.5130221257432</v>
      </c>
      <c r="W93" s="56">
        <v>4391.106280097586</v>
      </c>
      <c r="X93" s="56">
        <v>4391.106280097586</v>
      </c>
      <c r="Y93" t="s">
        <v>114</v>
      </c>
    </row>
    <row r="94" spans="2:25" x14ac:dyDescent="0.25">
      <c r="B94" t="s">
        <v>286</v>
      </c>
      <c r="L94" t="s">
        <v>23</v>
      </c>
      <c r="M94" s="56">
        <v>0</v>
      </c>
      <c r="N94" s="56">
        <v>0</v>
      </c>
      <c r="O94" s="56">
        <v>0</v>
      </c>
      <c r="P94" s="56">
        <v>0</v>
      </c>
      <c r="Q94" s="56">
        <v>0</v>
      </c>
      <c r="R94" s="56">
        <v>0</v>
      </c>
      <c r="S94" s="56">
        <v>0</v>
      </c>
      <c r="T94" s="56">
        <v>0</v>
      </c>
      <c r="U94" s="56">
        <v>0</v>
      </c>
      <c r="V94" s="56">
        <v>0</v>
      </c>
      <c r="W94" s="56">
        <v>0</v>
      </c>
      <c r="X94" s="56">
        <v>0</v>
      </c>
      <c r="Y94" t="s">
        <v>114</v>
      </c>
    </row>
    <row r="95" spans="2:25" x14ac:dyDescent="0.25">
      <c r="B95" t="s">
        <v>425</v>
      </c>
      <c r="L95" t="s">
        <v>85</v>
      </c>
      <c r="M95" s="56">
        <v>0</v>
      </c>
      <c r="N95" s="56">
        <v>0</v>
      </c>
      <c r="O95" s="56">
        <v>0</v>
      </c>
      <c r="P95" s="56">
        <v>0</v>
      </c>
      <c r="Q95" s="56">
        <v>0</v>
      </c>
      <c r="R95" s="56">
        <v>0</v>
      </c>
      <c r="S95" s="56">
        <v>0</v>
      </c>
      <c r="T95" s="56">
        <v>0</v>
      </c>
      <c r="U95" s="56">
        <v>0</v>
      </c>
      <c r="V95" s="56">
        <v>0</v>
      </c>
      <c r="W95" s="56">
        <v>0</v>
      </c>
      <c r="X95" s="56">
        <v>0</v>
      </c>
      <c r="Y95" t="s">
        <v>114</v>
      </c>
    </row>
    <row r="96" spans="2:25" x14ac:dyDescent="0.25">
      <c r="B96" t="s">
        <v>455</v>
      </c>
      <c r="L96" t="s">
        <v>200</v>
      </c>
      <c r="M96" s="56">
        <v>68.929209386233325</v>
      </c>
      <c r="N96" s="56">
        <v>61.267423927736843</v>
      </c>
      <c r="O96" s="56">
        <v>68.929209386233325</v>
      </c>
      <c r="P96" s="56">
        <v>61.432676571849449</v>
      </c>
      <c r="Q96" s="56">
        <v>61.5531938360987</v>
      </c>
      <c r="R96" s="56">
        <v>61.780546775335736</v>
      </c>
      <c r="S96" s="56">
        <v>61.5531938360987</v>
      </c>
      <c r="T96" s="56">
        <v>61.5531938360987</v>
      </c>
      <c r="U96" s="56">
        <v>61.5531938360987</v>
      </c>
      <c r="V96" s="56">
        <v>61.5531938360987</v>
      </c>
      <c r="W96" s="56">
        <v>61.850393815961567</v>
      </c>
      <c r="X96" s="56">
        <v>61.850393815961567</v>
      </c>
      <c r="Y96" t="s">
        <v>114</v>
      </c>
    </row>
    <row r="97" spans="2:25" x14ac:dyDescent="0.25">
      <c r="B97" t="s">
        <v>279</v>
      </c>
      <c r="L97" t="s">
        <v>229</v>
      </c>
      <c r="M97" s="56">
        <v>0</v>
      </c>
      <c r="N97" s="56">
        <v>0</v>
      </c>
      <c r="O97" s="56">
        <v>0</v>
      </c>
      <c r="P97" s="56">
        <v>0</v>
      </c>
      <c r="Q97" s="56">
        <v>0</v>
      </c>
      <c r="R97" s="56">
        <v>0</v>
      </c>
      <c r="S97" s="56">
        <v>0</v>
      </c>
      <c r="T97" s="56">
        <v>0</v>
      </c>
      <c r="U97" s="56">
        <v>0</v>
      </c>
      <c r="V97" s="56">
        <v>0</v>
      </c>
      <c r="W97" s="56">
        <v>0</v>
      </c>
      <c r="X97" s="56">
        <v>0</v>
      </c>
      <c r="Y97" t="s">
        <v>114</v>
      </c>
    </row>
    <row r="98" spans="2:25" x14ac:dyDescent="0.25">
      <c r="B98" t="s">
        <v>281</v>
      </c>
      <c r="L98" t="s">
        <v>86</v>
      </c>
      <c r="M98" s="56">
        <v>183.93</v>
      </c>
      <c r="N98" s="56">
        <v>183.93</v>
      </c>
      <c r="O98" s="56">
        <v>183.93</v>
      </c>
      <c r="P98" s="56">
        <v>183.93</v>
      </c>
      <c r="Q98" s="56">
        <v>183.93</v>
      </c>
      <c r="R98" s="56">
        <v>183.93</v>
      </c>
      <c r="S98" s="56">
        <v>183.93</v>
      </c>
      <c r="T98" s="56">
        <v>183.93</v>
      </c>
      <c r="U98" s="56">
        <v>183.93</v>
      </c>
      <c r="V98" s="56">
        <v>183.93</v>
      </c>
      <c r="W98" s="56">
        <v>183.93</v>
      </c>
      <c r="X98" s="56">
        <v>183.93</v>
      </c>
      <c r="Y98" t="s">
        <v>114</v>
      </c>
    </row>
    <row r="99" spans="2:25" x14ac:dyDescent="0.25">
      <c r="B99" t="s">
        <v>116</v>
      </c>
      <c r="L99" t="s">
        <v>87</v>
      </c>
      <c r="M99" s="56">
        <v>0</v>
      </c>
      <c r="N99" s="56">
        <v>0</v>
      </c>
      <c r="O99" s="56">
        <v>0</v>
      </c>
      <c r="P99" s="56">
        <v>0</v>
      </c>
      <c r="Q99" s="56">
        <v>0</v>
      </c>
      <c r="R99" s="56">
        <v>0</v>
      </c>
      <c r="S99" s="56">
        <v>0</v>
      </c>
      <c r="T99" s="56">
        <v>0</v>
      </c>
      <c r="U99" s="56">
        <v>0</v>
      </c>
      <c r="V99" s="56">
        <v>0</v>
      </c>
      <c r="W99" s="56">
        <v>0</v>
      </c>
      <c r="X99" s="56">
        <v>0</v>
      </c>
      <c r="Y99" t="s">
        <v>114</v>
      </c>
    </row>
    <row r="100" spans="2:25" x14ac:dyDescent="0.25">
      <c r="B100" t="s">
        <v>272</v>
      </c>
      <c r="L100" t="s">
        <v>230</v>
      </c>
      <c r="M100" s="56">
        <v>291.85775736526944</v>
      </c>
      <c r="N100" s="56">
        <v>291.85775736526944</v>
      </c>
      <c r="O100" s="56">
        <v>291.85775736526944</v>
      </c>
      <c r="P100" s="56">
        <v>291.85775736526944</v>
      </c>
      <c r="Q100" s="56">
        <v>291.85775736526944</v>
      </c>
      <c r="R100" s="56">
        <v>291.85775736526944</v>
      </c>
      <c r="S100" s="56">
        <v>291.85775736526944</v>
      </c>
      <c r="T100" s="56">
        <v>291.85775736526944</v>
      </c>
      <c r="U100" s="56">
        <v>291.85775736526944</v>
      </c>
      <c r="V100" s="56">
        <v>291.85775736526944</v>
      </c>
      <c r="W100" s="56">
        <v>291.85775736526944</v>
      </c>
      <c r="X100" s="56">
        <v>291.85775736526944</v>
      </c>
      <c r="Y100" t="s">
        <v>114</v>
      </c>
    </row>
    <row r="101" spans="2:25" x14ac:dyDescent="0.25">
      <c r="B101" t="s">
        <v>327</v>
      </c>
      <c r="L101" t="s">
        <v>88</v>
      </c>
      <c r="M101" s="56">
        <v>0</v>
      </c>
      <c r="N101" s="56">
        <v>0</v>
      </c>
      <c r="O101" s="56">
        <v>0</v>
      </c>
      <c r="P101" s="56">
        <v>0</v>
      </c>
      <c r="Q101" s="56">
        <v>0</v>
      </c>
      <c r="R101" s="56">
        <v>0</v>
      </c>
      <c r="S101" s="56">
        <v>0</v>
      </c>
      <c r="T101" s="56">
        <v>0</v>
      </c>
      <c r="U101" s="56">
        <v>0</v>
      </c>
      <c r="V101" s="56">
        <v>0</v>
      </c>
      <c r="W101" s="56">
        <v>0</v>
      </c>
      <c r="X101" s="56">
        <v>0</v>
      </c>
      <c r="Y101" t="s">
        <v>114</v>
      </c>
    </row>
    <row r="102" spans="2:25" x14ac:dyDescent="0.25">
      <c r="B102" t="s">
        <v>528</v>
      </c>
      <c r="L102" t="s">
        <v>89</v>
      </c>
      <c r="M102" s="56">
        <v>0</v>
      </c>
      <c r="N102" s="56">
        <v>0</v>
      </c>
      <c r="O102" s="56">
        <v>0</v>
      </c>
      <c r="P102" s="56">
        <v>0</v>
      </c>
      <c r="Q102" s="56">
        <v>0</v>
      </c>
      <c r="R102" s="56">
        <v>0</v>
      </c>
      <c r="S102" s="56">
        <v>0</v>
      </c>
      <c r="T102" s="56">
        <v>0</v>
      </c>
      <c r="U102" s="56">
        <v>0</v>
      </c>
      <c r="V102" s="56">
        <v>0</v>
      </c>
      <c r="W102" s="56">
        <v>0</v>
      </c>
      <c r="X102" s="56">
        <v>0</v>
      </c>
      <c r="Y102" t="s">
        <v>114</v>
      </c>
    </row>
    <row r="103" spans="2:25" x14ac:dyDescent="0.25">
      <c r="B103" t="s">
        <v>497</v>
      </c>
      <c r="L103" t="s">
        <v>90</v>
      </c>
      <c r="M103" s="56">
        <v>0</v>
      </c>
      <c r="N103" s="56">
        <v>0</v>
      </c>
      <c r="O103" s="56">
        <v>0</v>
      </c>
      <c r="P103" s="56">
        <v>0</v>
      </c>
      <c r="Q103" s="56">
        <v>0</v>
      </c>
      <c r="R103" s="56">
        <v>0</v>
      </c>
      <c r="S103" s="56">
        <v>0</v>
      </c>
      <c r="T103" s="56">
        <v>0</v>
      </c>
      <c r="U103" s="56">
        <v>0</v>
      </c>
      <c r="V103" s="56">
        <v>0</v>
      </c>
      <c r="W103" s="56">
        <v>0</v>
      </c>
      <c r="X103" s="56">
        <v>0</v>
      </c>
      <c r="Y103" t="s">
        <v>114</v>
      </c>
    </row>
    <row r="104" spans="2:25" x14ac:dyDescent="0.25">
      <c r="B104" t="s">
        <v>301</v>
      </c>
      <c r="L104" t="s">
        <v>91</v>
      </c>
      <c r="M104" s="56">
        <v>0</v>
      </c>
      <c r="N104" s="56">
        <v>0</v>
      </c>
      <c r="O104" s="56">
        <v>0</v>
      </c>
      <c r="P104" s="56">
        <v>0</v>
      </c>
      <c r="Q104" s="56">
        <v>0</v>
      </c>
      <c r="R104" s="56">
        <v>0</v>
      </c>
      <c r="S104" s="56">
        <v>0</v>
      </c>
      <c r="T104" s="56">
        <v>0</v>
      </c>
      <c r="U104" s="56">
        <v>0</v>
      </c>
      <c r="V104" s="56">
        <v>0</v>
      </c>
      <c r="W104" s="56">
        <v>0</v>
      </c>
      <c r="X104" s="56">
        <v>0</v>
      </c>
      <c r="Y104" t="s">
        <v>114</v>
      </c>
    </row>
    <row r="105" spans="2:25" x14ac:dyDescent="0.25">
      <c r="B105" t="s">
        <v>479</v>
      </c>
      <c r="L105" t="s">
        <v>37</v>
      </c>
      <c r="M105" s="56">
        <v>0</v>
      </c>
      <c r="N105" s="56">
        <v>0</v>
      </c>
      <c r="O105" s="56">
        <v>0</v>
      </c>
      <c r="P105" s="56">
        <v>0</v>
      </c>
      <c r="Q105" s="56">
        <v>0</v>
      </c>
      <c r="R105" s="56">
        <v>0</v>
      </c>
      <c r="S105" s="56">
        <v>0</v>
      </c>
      <c r="T105" s="56">
        <v>0</v>
      </c>
      <c r="U105" s="56">
        <v>0</v>
      </c>
      <c r="V105" s="56">
        <v>0</v>
      </c>
      <c r="W105" s="56">
        <v>0</v>
      </c>
      <c r="X105" s="56">
        <v>0</v>
      </c>
      <c r="Y105" t="s">
        <v>114</v>
      </c>
    </row>
    <row r="106" spans="2:25" x14ac:dyDescent="0.25">
      <c r="B106" t="s">
        <v>468</v>
      </c>
      <c r="L106" t="s">
        <v>92</v>
      </c>
      <c r="M106" s="56">
        <v>10</v>
      </c>
      <c r="N106" s="56">
        <v>10</v>
      </c>
      <c r="O106" s="56">
        <v>10</v>
      </c>
      <c r="P106" s="56">
        <v>10</v>
      </c>
      <c r="Q106" s="56">
        <v>10</v>
      </c>
      <c r="R106" s="56">
        <v>10</v>
      </c>
      <c r="S106" s="56">
        <v>10</v>
      </c>
      <c r="T106" s="56">
        <v>10</v>
      </c>
      <c r="U106" s="56">
        <v>10</v>
      </c>
      <c r="V106" s="56">
        <v>1.53</v>
      </c>
      <c r="W106" s="56">
        <v>10</v>
      </c>
      <c r="X106" s="56">
        <v>10</v>
      </c>
      <c r="Y106" t="s">
        <v>114</v>
      </c>
    </row>
    <row r="107" spans="2:25" x14ac:dyDescent="0.25">
      <c r="B107" t="s">
        <v>547</v>
      </c>
      <c r="L107" t="s">
        <v>93</v>
      </c>
      <c r="M107" s="56">
        <v>100</v>
      </c>
      <c r="N107" s="56">
        <v>100</v>
      </c>
      <c r="O107" s="56">
        <v>100</v>
      </c>
      <c r="P107" s="56">
        <v>100</v>
      </c>
      <c r="Q107" s="56">
        <v>100</v>
      </c>
      <c r="R107" s="56">
        <v>100</v>
      </c>
      <c r="S107" s="56">
        <v>100</v>
      </c>
      <c r="T107" s="56">
        <v>100</v>
      </c>
      <c r="U107" s="56">
        <v>100</v>
      </c>
      <c r="V107" s="56">
        <v>100</v>
      </c>
      <c r="W107" s="56">
        <v>100</v>
      </c>
      <c r="X107" s="56">
        <v>100</v>
      </c>
      <c r="Y107" t="s">
        <v>114</v>
      </c>
    </row>
    <row r="108" spans="2:25" x14ac:dyDescent="0.25">
      <c r="B108" t="s">
        <v>459</v>
      </c>
      <c r="L108" t="s">
        <v>231</v>
      </c>
      <c r="M108" s="56">
        <v>62.2643506849315</v>
      </c>
      <c r="N108" s="56">
        <v>62.2643506849315</v>
      </c>
      <c r="O108" s="56">
        <v>62.2643506849315</v>
      </c>
      <c r="P108" s="56">
        <v>62.2643506849315</v>
      </c>
      <c r="Q108" s="56">
        <v>62.2643506849315</v>
      </c>
      <c r="R108" s="56">
        <v>62.2643506849315</v>
      </c>
      <c r="S108" s="56">
        <v>62.2643506849315</v>
      </c>
      <c r="T108" s="56">
        <v>62.2643506849315</v>
      </c>
      <c r="U108" s="56">
        <v>62.2643506849315</v>
      </c>
      <c r="V108" s="56">
        <v>62.2643506849315</v>
      </c>
      <c r="W108" s="56">
        <v>62.2643506849315</v>
      </c>
      <c r="X108" s="56">
        <v>62.2643506849315</v>
      </c>
      <c r="Y108" t="s">
        <v>114</v>
      </c>
    </row>
    <row r="109" spans="2:25" x14ac:dyDescent="0.25">
      <c r="B109" t="s">
        <v>498</v>
      </c>
      <c r="L109" t="s">
        <v>232</v>
      </c>
      <c r="M109" s="56">
        <v>0</v>
      </c>
      <c r="N109" s="56">
        <v>0</v>
      </c>
      <c r="O109" s="56">
        <v>0</v>
      </c>
      <c r="P109" s="56">
        <v>0</v>
      </c>
      <c r="Q109" s="56">
        <v>0</v>
      </c>
      <c r="R109" s="56">
        <v>0</v>
      </c>
      <c r="S109" s="56">
        <v>0</v>
      </c>
      <c r="T109" s="56">
        <v>0</v>
      </c>
      <c r="U109" s="56">
        <v>0</v>
      </c>
      <c r="V109" s="56">
        <v>0</v>
      </c>
      <c r="W109" s="56">
        <v>0</v>
      </c>
      <c r="X109" s="56">
        <v>0</v>
      </c>
      <c r="Y109" t="s">
        <v>114</v>
      </c>
    </row>
    <row r="110" spans="2:25" x14ac:dyDescent="0.25">
      <c r="B110" t="s">
        <v>339</v>
      </c>
      <c r="L110" t="s">
        <v>233</v>
      </c>
      <c r="M110" s="56">
        <v>0</v>
      </c>
      <c r="N110" s="56">
        <v>0</v>
      </c>
      <c r="O110" s="56">
        <v>0</v>
      </c>
      <c r="P110" s="56">
        <v>0</v>
      </c>
      <c r="Q110" s="56">
        <v>0</v>
      </c>
      <c r="R110" s="56">
        <v>0</v>
      </c>
      <c r="S110" s="56">
        <v>0</v>
      </c>
      <c r="T110" s="56">
        <v>0</v>
      </c>
      <c r="U110" s="56">
        <v>0</v>
      </c>
      <c r="V110" s="56">
        <v>0</v>
      </c>
      <c r="W110" s="56">
        <v>0</v>
      </c>
      <c r="X110" s="56">
        <v>0</v>
      </c>
      <c r="Y110" t="s">
        <v>114</v>
      </c>
    </row>
    <row r="111" spans="2:25" x14ac:dyDescent="0.25">
      <c r="B111" t="s">
        <v>579</v>
      </c>
      <c r="E111" s="130"/>
      <c r="L111" t="s">
        <v>234</v>
      </c>
      <c r="M111" s="56">
        <v>0</v>
      </c>
      <c r="N111" s="56">
        <v>0</v>
      </c>
      <c r="O111" s="56">
        <v>0</v>
      </c>
      <c r="P111" s="56">
        <v>0</v>
      </c>
      <c r="Q111" s="56">
        <v>0</v>
      </c>
      <c r="R111" s="56">
        <v>0</v>
      </c>
      <c r="S111" s="56">
        <v>0</v>
      </c>
      <c r="T111" s="56">
        <v>0</v>
      </c>
      <c r="U111" s="56">
        <v>0</v>
      </c>
      <c r="V111" s="56">
        <v>0</v>
      </c>
      <c r="W111" s="56">
        <v>0</v>
      </c>
      <c r="X111" s="56">
        <v>0</v>
      </c>
      <c r="Y111" t="s">
        <v>114</v>
      </c>
    </row>
    <row r="112" spans="2:25" x14ac:dyDescent="0.25">
      <c r="B112" t="s">
        <v>535</v>
      </c>
      <c r="E112" s="146"/>
      <c r="L112" t="s">
        <v>235</v>
      </c>
      <c r="M112" s="56">
        <v>0</v>
      </c>
      <c r="N112" s="56">
        <v>0</v>
      </c>
      <c r="O112" s="56">
        <v>0</v>
      </c>
      <c r="P112" s="56">
        <v>0</v>
      </c>
      <c r="Q112" s="56">
        <v>0</v>
      </c>
      <c r="R112" s="56">
        <v>0</v>
      </c>
      <c r="S112" s="56">
        <v>0</v>
      </c>
      <c r="T112" s="56">
        <v>0</v>
      </c>
      <c r="U112" s="56">
        <v>0</v>
      </c>
      <c r="V112" s="56">
        <v>0</v>
      </c>
      <c r="W112" s="56">
        <v>0</v>
      </c>
      <c r="X112" s="56">
        <v>0</v>
      </c>
      <c r="Y112" t="s">
        <v>114</v>
      </c>
    </row>
    <row r="113" spans="2:25" x14ac:dyDescent="0.25">
      <c r="B113" t="s">
        <v>562</v>
      </c>
      <c r="E113" s="163"/>
      <c r="L113" t="s">
        <v>94</v>
      </c>
      <c r="M113" s="56">
        <v>0</v>
      </c>
      <c r="N113" s="56">
        <v>0</v>
      </c>
      <c r="O113" s="56">
        <v>0</v>
      </c>
      <c r="P113" s="56">
        <v>0</v>
      </c>
      <c r="Q113" s="56">
        <v>0</v>
      </c>
      <c r="R113" s="56">
        <v>0</v>
      </c>
      <c r="S113" s="56">
        <v>0</v>
      </c>
      <c r="T113" s="56">
        <v>0</v>
      </c>
      <c r="U113" s="56">
        <v>0</v>
      </c>
      <c r="V113" s="56">
        <v>0</v>
      </c>
      <c r="W113" s="56">
        <v>0</v>
      </c>
      <c r="X113" s="56">
        <v>0</v>
      </c>
      <c r="Y113" t="s">
        <v>113</v>
      </c>
    </row>
    <row r="114" spans="2:25" x14ac:dyDescent="0.25">
      <c r="B114" t="s">
        <v>580</v>
      </c>
      <c r="E114" s="70"/>
      <c r="L114" t="s">
        <v>95</v>
      </c>
      <c r="M114" s="56">
        <v>0</v>
      </c>
      <c r="N114" s="56">
        <v>0</v>
      </c>
      <c r="O114" s="56">
        <v>1582.8189702348791</v>
      </c>
      <c r="P114" s="56">
        <v>0</v>
      </c>
      <c r="Q114" s="56">
        <v>0</v>
      </c>
      <c r="R114" s="56">
        <v>0</v>
      </c>
      <c r="S114" s="56">
        <v>0</v>
      </c>
      <c r="T114" s="56">
        <v>0</v>
      </c>
      <c r="U114" s="56">
        <v>0</v>
      </c>
      <c r="V114" s="56">
        <v>0</v>
      </c>
      <c r="W114" s="56">
        <v>0</v>
      </c>
      <c r="X114" s="56">
        <v>0</v>
      </c>
      <c r="Y114" t="s">
        <v>113</v>
      </c>
    </row>
    <row r="115" spans="2:25" x14ac:dyDescent="0.25">
      <c r="B115" t="s">
        <v>511</v>
      </c>
      <c r="E115" s="163"/>
      <c r="L115" t="s">
        <v>96</v>
      </c>
      <c r="M115" s="56">
        <v>0</v>
      </c>
      <c r="N115" s="56">
        <v>0</v>
      </c>
      <c r="O115" s="56">
        <v>0</v>
      </c>
      <c r="P115" s="56">
        <v>0</v>
      </c>
      <c r="Q115" s="56">
        <v>0</v>
      </c>
      <c r="R115" s="56">
        <v>0</v>
      </c>
      <c r="S115" s="56">
        <v>0</v>
      </c>
      <c r="T115" s="56">
        <v>0</v>
      </c>
      <c r="U115" s="56">
        <v>0</v>
      </c>
      <c r="V115" s="56">
        <v>0</v>
      </c>
      <c r="W115" s="56">
        <v>0</v>
      </c>
      <c r="X115" s="56">
        <v>0</v>
      </c>
      <c r="Y115" t="s">
        <v>113</v>
      </c>
    </row>
    <row r="116" spans="2:25" x14ac:dyDescent="0.25">
      <c r="B116" t="s">
        <v>581</v>
      </c>
      <c r="E116" s="163"/>
      <c r="L116" t="s">
        <v>236</v>
      </c>
      <c r="M116" s="56">
        <v>0</v>
      </c>
      <c r="N116" s="56">
        <v>0</v>
      </c>
      <c r="O116" s="56">
        <v>0</v>
      </c>
      <c r="P116" s="56">
        <v>0</v>
      </c>
      <c r="Q116" s="56">
        <v>0</v>
      </c>
      <c r="R116" s="56">
        <v>0</v>
      </c>
      <c r="S116" s="56">
        <v>0</v>
      </c>
      <c r="T116" s="56">
        <v>0</v>
      </c>
      <c r="U116" s="56">
        <v>0</v>
      </c>
      <c r="V116" s="56">
        <v>0</v>
      </c>
      <c r="W116" s="56">
        <v>0</v>
      </c>
      <c r="X116" s="56">
        <v>0</v>
      </c>
      <c r="Y116" t="s">
        <v>113</v>
      </c>
    </row>
    <row r="117" spans="2:25" x14ac:dyDescent="0.25">
      <c r="B117" t="s">
        <v>582</v>
      </c>
      <c r="E117" s="70"/>
      <c r="L117" t="s">
        <v>237</v>
      </c>
      <c r="M117" s="56">
        <v>0</v>
      </c>
      <c r="N117" s="56">
        <v>0</v>
      </c>
      <c r="O117" s="56">
        <v>0</v>
      </c>
      <c r="P117" s="56">
        <v>0</v>
      </c>
      <c r="Q117" s="56">
        <v>0</v>
      </c>
      <c r="R117" s="56">
        <v>0</v>
      </c>
      <c r="S117" s="56">
        <v>0</v>
      </c>
      <c r="T117" s="56">
        <v>0</v>
      </c>
      <c r="U117" s="56">
        <v>0</v>
      </c>
      <c r="V117" s="56">
        <v>0</v>
      </c>
      <c r="W117" s="56">
        <v>0</v>
      </c>
      <c r="X117" s="56">
        <v>0</v>
      </c>
      <c r="Y117" t="s">
        <v>113</v>
      </c>
    </row>
    <row r="118" spans="2:25" x14ac:dyDescent="0.25">
      <c r="B118" t="s">
        <v>583</v>
      </c>
      <c r="E118" s="130"/>
      <c r="L118" t="s">
        <v>238</v>
      </c>
      <c r="M118" s="56">
        <v>2277.2446172494169</v>
      </c>
      <c r="N118" s="56">
        <v>2277.2446172494169</v>
      </c>
      <c r="O118" s="56">
        <v>2277.2446172494169</v>
      </c>
      <c r="P118" s="56">
        <v>2277.2446172494169</v>
      </c>
      <c r="Q118" s="56">
        <v>2277.2446172494169</v>
      </c>
      <c r="R118" s="56">
        <v>2277.2446172494169</v>
      </c>
      <c r="S118" s="56">
        <v>2277.2446172494169</v>
      </c>
      <c r="T118" s="56">
        <v>2277.2446172494169</v>
      </c>
      <c r="U118" s="56">
        <v>2277.2446172494169</v>
      </c>
      <c r="V118" s="56">
        <v>2277.2446172494169</v>
      </c>
      <c r="W118" s="56">
        <v>2277.2446172494169</v>
      </c>
      <c r="X118" s="56">
        <v>2277.2446172494169</v>
      </c>
      <c r="Y118" t="s">
        <v>113</v>
      </c>
    </row>
    <row r="119" spans="2:25" x14ac:dyDescent="0.25">
      <c r="B119" t="s">
        <v>584</v>
      </c>
      <c r="L119" t="s">
        <v>239</v>
      </c>
      <c r="M119" s="56">
        <v>3462.1860742718445</v>
      </c>
      <c r="N119" s="56">
        <v>3462.1860742718445</v>
      </c>
      <c r="O119" s="56">
        <v>3462.1860742718445</v>
      </c>
      <c r="P119" s="56">
        <v>3462.1860742718445</v>
      </c>
      <c r="Q119" s="56">
        <v>3462.1860742718445</v>
      </c>
      <c r="R119" s="56">
        <v>3462.1860742718445</v>
      </c>
      <c r="S119" s="56">
        <v>3462.1860742718445</v>
      </c>
      <c r="T119" s="56">
        <v>3462.1860742718445</v>
      </c>
      <c r="U119" s="56">
        <v>3462.1860742718445</v>
      </c>
      <c r="V119" s="56">
        <v>3462.1860742718445</v>
      </c>
      <c r="W119" s="56">
        <v>3462.1860742718445</v>
      </c>
      <c r="X119" s="56">
        <v>3462.1860742718445</v>
      </c>
      <c r="Y119" t="s">
        <v>113</v>
      </c>
    </row>
    <row r="120" spans="2:25" x14ac:dyDescent="0.25">
      <c r="B120" t="s">
        <v>585</v>
      </c>
      <c r="L120" t="s">
        <v>240</v>
      </c>
      <c r="M120" s="56">
        <v>0</v>
      </c>
      <c r="N120" s="56">
        <v>0</v>
      </c>
      <c r="O120" s="56">
        <v>0</v>
      </c>
      <c r="P120" s="56">
        <v>0</v>
      </c>
      <c r="Q120" s="56">
        <v>0</v>
      </c>
      <c r="R120" s="56">
        <v>0</v>
      </c>
      <c r="S120" s="56">
        <v>0</v>
      </c>
      <c r="T120" s="56">
        <v>0</v>
      </c>
      <c r="U120" s="56">
        <v>0</v>
      </c>
      <c r="V120" s="56">
        <v>0</v>
      </c>
      <c r="W120" s="56">
        <v>0</v>
      </c>
      <c r="X120" s="56">
        <v>0</v>
      </c>
      <c r="Y120" t="s">
        <v>113</v>
      </c>
    </row>
    <row r="121" spans="2:25" x14ac:dyDescent="0.25">
      <c r="B121" t="s">
        <v>586</v>
      </c>
      <c r="E121" s="163"/>
      <c r="L121" t="s">
        <v>97</v>
      </c>
      <c r="M121" s="56">
        <v>0</v>
      </c>
      <c r="N121" s="56">
        <v>0</v>
      </c>
      <c r="O121" s="56">
        <v>0</v>
      </c>
      <c r="P121" s="56">
        <v>0</v>
      </c>
      <c r="Q121" s="56">
        <v>0</v>
      </c>
      <c r="R121" s="56">
        <v>0</v>
      </c>
      <c r="S121" s="56">
        <v>0</v>
      </c>
      <c r="T121" s="56">
        <v>0</v>
      </c>
      <c r="U121" s="56">
        <v>0</v>
      </c>
      <c r="V121" s="56">
        <v>0</v>
      </c>
      <c r="W121" s="56">
        <v>0</v>
      </c>
      <c r="X121" s="56">
        <v>0</v>
      </c>
      <c r="Y121" t="s">
        <v>113</v>
      </c>
    </row>
    <row r="122" spans="2:25" x14ac:dyDescent="0.25">
      <c r="B122" t="s">
        <v>587</v>
      </c>
      <c r="L122" t="s">
        <v>241</v>
      </c>
      <c r="M122" s="56">
        <v>0</v>
      </c>
      <c r="N122" s="56">
        <v>0</v>
      </c>
      <c r="O122" s="56">
        <v>0</v>
      </c>
      <c r="P122" s="56">
        <v>0</v>
      </c>
      <c r="Q122" s="56">
        <v>0</v>
      </c>
      <c r="R122" s="56">
        <v>0</v>
      </c>
      <c r="S122" s="56">
        <v>0</v>
      </c>
      <c r="T122" s="56">
        <v>0</v>
      </c>
      <c r="U122" s="56">
        <v>0</v>
      </c>
      <c r="V122" s="56">
        <v>0</v>
      </c>
      <c r="W122" s="56">
        <v>0</v>
      </c>
      <c r="X122" s="56">
        <v>0</v>
      </c>
      <c r="Y122" t="s">
        <v>113</v>
      </c>
    </row>
    <row r="123" spans="2:25" x14ac:dyDescent="0.25">
      <c r="B123" t="s">
        <v>588</v>
      </c>
      <c r="L123" t="s">
        <v>98</v>
      </c>
      <c r="M123" s="56">
        <v>0</v>
      </c>
      <c r="N123" s="56">
        <v>0</v>
      </c>
      <c r="O123" s="56">
        <v>0</v>
      </c>
      <c r="P123" s="56">
        <v>0</v>
      </c>
      <c r="Q123" s="56">
        <v>0</v>
      </c>
      <c r="R123" s="56">
        <v>0</v>
      </c>
      <c r="S123" s="56">
        <v>0</v>
      </c>
      <c r="T123" s="56">
        <v>0</v>
      </c>
      <c r="U123" s="56">
        <v>0</v>
      </c>
      <c r="V123" s="56">
        <v>0</v>
      </c>
      <c r="W123" s="56">
        <v>0</v>
      </c>
      <c r="X123" s="56">
        <v>0</v>
      </c>
      <c r="Y123" t="s">
        <v>113</v>
      </c>
    </row>
    <row r="124" spans="2:25" x14ac:dyDescent="0.25">
      <c r="B124" t="s">
        <v>554</v>
      </c>
      <c r="L124" t="s">
        <v>99</v>
      </c>
      <c r="M124" s="56">
        <v>0</v>
      </c>
      <c r="N124" s="56">
        <v>0</v>
      </c>
      <c r="O124" s="56">
        <v>0</v>
      </c>
      <c r="P124" s="56">
        <v>0</v>
      </c>
      <c r="Q124" s="56">
        <v>0</v>
      </c>
      <c r="R124" s="56">
        <v>0</v>
      </c>
      <c r="S124" s="56">
        <v>0</v>
      </c>
      <c r="T124" s="56">
        <v>0</v>
      </c>
      <c r="U124" s="56">
        <v>0</v>
      </c>
      <c r="V124" s="56">
        <v>0</v>
      </c>
      <c r="W124" s="56">
        <v>0</v>
      </c>
      <c r="X124" s="56">
        <v>0</v>
      </c>
      <c r="Y124" t="s">
        <v>113</v>
      </c>
    </row>
    <row r="125" spans="2:25" x14ac:dyDescent="0.25">
      <c r="B125" t="s">
        <v>589</v>
      </c>
      <c r="L125" t="s">
        <v>100</v>
      </c>
      <c r="M125" s="56">
        <v>13967.424999999999</v>
      </c>
      <c r="N125" s="56">
        <v>13967.424999999999</v>
      </c>
      <c r="O125" s="56">
        <v>13967.424999999999</v>
      </c>
      <c r="P125" s="56">
        <v>13967.424999999999</v>
      </c>
      <c r="Q125" s="56">
        <v>13967.424999999999</v>
      </c>
      <c r="R125" s="56">
        <v>13967.424999999999</v>
      </c>
      <c r="S125" s="56">
        <v>13967.424999999999</v>
      </c>
      <c r="T125" s="56">
        <v>13967.424999999999</v>
      </c>
      <c r="U125" s="56">
        <v>13967.424999999999</v>
      </c>
      <c r="V125" s="56">
        <v>13967.424999999999</v>
      </c>
      <c r="W125" s="56">
        <v>13967.424999999999</v>
      </c>
      <c r="X125" s="56">
        <v>13967.424999999999</v>
      </c>
      <c r="Y125" t="s">
        <v>113</v>
      </c>
    </row>
    <row r="126" spans="2:25" x14ac:dyDescent="0.25">
      <c r="B126" t="s">
        <v>590</v>
      </c>
      <c r="L126" t="s">
        <v>101</v>
      </c>
      <c r="M126" s="56">
        <v>16471.150000000001</v>
      </c>
      <c r="N126" s="56">
        <v>16471.150000000001</v>
      </c>
      <c r="O126" s="56">
        <v>16471.150000000001</v>
      </c>
      <c r="P126" s="56">
        <v>16471.150000000001</v>
      </c>
      <c r="Q126" s="56">
        <v>16471.150000000001</v>
      </c>
      <c r="R126" s="56">
        <v>16471.150000000001</v>
      </c>
      <c r="S126" s="56">
        <v>16471.150000000001</v>
      </c>
      <c r="T126" s="56">
        <v>16471.150000000001</v>
      </c>
      <c r="U126" s="56">
        <v>16471.150000000001</v>
      </c>
      <c r="V126" s="56">
        <v>16471.150000000001</v>
      </c>
      <c r="W126" s="56">
        <v>16471.150000000001</v>
      </c>
      <c r="X126" s="56">
        <v>16471.150000000001</v>
      </c>
      <c r="Y126" t="s">
        <v>113</v>
      </c>
    </row>
    <row r="127" spans="2:25" x14ac:dyDescent="0.25">
      <c r="B127" t="s">
        <v>591</v>
      </c>
      <c r="L127" t="s">
        <v>242</v>
      </c>
      <c r="M127" s="56">
        <v>0</v>
      </c>
      <c r="N127" s="56">
        <v>0</v>
      </c>
      <c r="O127" s="56">
        <v>0</v>
      </c>
      <c r="P127" s="56">
        <v>0</v>
      </c>
      <c r="Q127" s="56">
        <v>0</v>
      </c>
      <c r="R127" s="56">
        <v>0</v>
      </c>
      <c r="S127" s="56">
        <v>0</v>
      </c>
      <c r="T127" s="56">
        <v>0</v>
      </c>
      <c r="U127" s="56">
        <v>0</v>
      </c>
      <c r="V127" s="56">
        <v>0</v>
      </c>
      <c r="W127" s="56">
        <v>0</v>
      </c>
      <c r="X127" s="56">
        <v>0</v>
      </c>
      <c r="Y127" t="s">
        <v>113</v>
      </c>
    </row>
    <row r="128" spans="2:25" x14ac:dyDescent="0.25">
      <c r="B128" t="s">
        <v>592</v>
      </c>
      <c r="L128" t="s">
        <v>243</v>
      </c>
      <c r="M128" s="56">
        <v>0</v>
      </c>
      <c r="N128" s="56">
        <v>0</v>
      </c>
      <c r="O128" s="56">
        <v>0</v>
      </c>
      <c r="P128" s="56">
        <v>0</v>
      </c>
      <c r="Q128" s="56">
        <v>0</v>
      </c>
      <c r="R128" s="56">
        <v>0</v>
      </c>
      <c r="S128" s="56">
        <v>0</v>
      </c>
      <c r="T128" s="56">
        <v>0</v>
      </c>
      <c r="U128" s="56">
        <v>0</v>
      </c>
      <c r="V128" s="56">
        <v>0</v>
      </c>
      <c r="W128" s="56">
        <v>0</v>
      </c>
      <c r="X128" s="56">
        <v>0</v>
      </c>
      <c r="Y128" t="s">
        <v>113</v>
      </c>
    </row>
    <row r="129" spans="2:25" x14ac:dyDescent="0.25">
      <c r="B129" t="s">
        <v>593</v>
      </c>
      <c r="L129" t="s">
        <v>244</v>
      </c>
      <c r="M129" s="56">
        <v>0</v>
      </c>
      <c r="N129" s="56">
        <v>0</v>
      </c>
      <c r="O129" s="56">
        <v>0</v>
      </c>
      <c r="P129" s="56">
        <v>0</v>
      </c>
      <c r="Q129" s="56">
        <v>0</v>
      </c>
      <c r="R129" s="56">
        <v>0</v>
      </c>
      <c r="S129" s="56">
        <v>0</v>
      </c>
      <c r="T129" s="56">
        <v>0</v>
      </c>
      <c r="U129" s="56">
        <v>0</v>
      </c>
      <c r="V129" s="56">
        <v>0</v>
      </c>
      <c r="W129" s="56">
        <v>0</v>
      </c>
      <c r="X129" s="56">
        <v>0</v>
      </c>
      <c r="Y129" t="s">
        <v>113</v>
      </c>
    </row>
    <row r="130" spans="2:25" x14ac:dyDescent="0.25">
      <c r="B130" t="s">
        <v>602</v>
      </c>
      <c r="L130" t="s">
        <v>245</v>
      </c>
      <c r="M130" s="56">
        <v>0</v>
      </c>
      <c r="N130" s="56">
        <v>0</v>
      </c>
      <c r="O130" s="56">
        <v>0</v>
      </c>
      <c r="P130" s="56">
        <v>0</v>
      </c>
      <c r="Q130" s="56">
        <v>0</v>
      </c>
      <c r="R130" s="56">
        <v>0</v>
      </c>
      <c r="S130" s="56">
        <v>0</v>
      </c>
      <c r="T130" s="56">
        <v>0</v>
      </c>
      <c r="U130" s="56">
        <v>0</v>
      </c>
      <c r="V130" s="56">
        <v>0</v>
      </c>
      <c r="W130" s="56">
        <v>0</v>
      </c>
      <c r="X130" s="56">
        <v>0</v>
      </c>
      <c r="Y130" t="s">
        <v>113</v>
      </c>
    </row>
    <row r="131" spans="2:25" x14ac:dyDescent="0.25">
      <c r="B131" t="s">
        <v>603</v>
      </c>
      <c r="L131" t="s">
        <v>102</v>
      </c>
      <c r="M131" s="56">
        <v>0</v>
      </c>
      <c r="N131" s="56">
        <v>0</v>
      </c>
      <c r="O131" s="56">
        <v>0</v>
      </c>
      <c r="P131" s="56">
        <v>0</v>
      </c>
      <c r="Q131" s="56">
        <v>0</v>
      </c>
      <c r="R131" s="56">
        <v>0</v>
      </c>
      <c r="S131" s="56">
        <v>0</v>
      </c>
      <c r="T131" s="56">
        <v>0</v>
      </c>
      <c r="U131" s="56">
        <v>0</v>
      </c>
      <c r="V131" s="56">
        <v>0</v>
      </c>
      <c r="W131" s="56">
        <v>0</v>
      </c>
      <c r="X131" s="56">
        <v>0</v>
      </c>
      <c r="Y131" t="s">
        <v>113</v>
      </c>
    </row>
    <row r="132" spans="2:25" x14ac:dyDescent="0.25">
      <c r="L132" t="s">
        <v>103</v>
      </c>
      <c r="M132" s="56">
        <v>0</v>
      </c>
      <c r="N132" s="56">
        <v>0</v>
      </c>
      <c r="O132" s="56">
        <v>0</v>
      </c>
      <c r="P132" s="56">
        <v>0</v>
      </c>
      <c r="Q132" s="56">
        <v>0</v>
      </c>
      <c r="R132" s="56">
        <v>0</v>
      </c>
      <c r="S132" s="56">
        <v>0</v>
      </c>
      <c r="T132" s="56">
        <v>0</v>
      </c>
      <c r="U132" s="56">
        <v>0</v>
      </c>
      <c r="V132" s="56">
        <v>0</v>
      </c>
      <c r="W132" s="56">
        <v>0</v>
      </c>
      <c r="X132" s="56">
        <v>0</v>
      </c>
      <c r="Y132" t="s">
        <v>113</v>
      </c>
    </row>
    <row r="133" spans="2:25" x14ac:dyDescent="0.25">
      <c r="L133" t="s">
        <v>104</v>
      </c>
      <c r="M133" s="56">
        <v>0</v>
      </c>
      <c r="N133" s="56">
        <v>0</v>
      </c>
      <c r="O133" s="56">
        <v>0</v>
      </c>
      <c r="P133" s="56">
        <v>0</v>
      </c>
      <c r="Q133" s="56">
        <v>0</v>
      </c>
      <c r="R133" s="56">
        <v>0</v>
      </c>
      <c r="S133" s="56">
        <v>0</v>
      </c>
      <c r="T133" s="56">
        <v>0</v>
      </c>
      <c r="U133" s="56">
        <v>0</v>
      </c>
      <c r="V133" s="56">
        <v>0</v>
      </c>
      <c r="W133" s="56">
        <v>0</v>
      </c>
      <c r="X133" s="56">
        <v>0</v>
      </c>
      <c r="Y133" t="s">
        <v>113</v>
      </c>
    </row>
    <row r="134" spans="2:25" x14ac:dyDescent="0.25">
      <c r="L134" t="s">
        <v>246</v>
      </c>
      <c r="M134" s="56">
        <v>7571.0879999999997</v>
      </c>
      <c r="N134" s="56">
        <v>7571.0879999999997</v>
      </c>
      <c r="O134" s="56">
        <v>7571.0879999999997</v>
      </c>
      <c r="P134" s="56">
        <v>7498.982399999999</v>
      </c>
      <c r="Q134" s="56">
        <v>7498.982399999999</v>
      </c>
      <c r="R134" s="56">
        <v>7318.7183999999997</v>
      </c>
      <c r="S134" s="56">
        <v>7318.7183999999997</v>
      </c>
      <c r="T134" s="56">
        <v>7318.7183999999997</v>
      </c>
      <c r="U134" s="56">
        <v>7318.7183999999997</v>
      </c>
      <c r="V134" s="56">
        <v>0</v>
      </c>
      <c r="W134" s="56">
        <v>0</v>
      </c>
      <c r="X134" s="56">
        <v>0</v>
      </c>
      <c r="Y134" t="s">
        <v>113</v>
      </c>
    </row>
    <row r="135" spans="2:25" x14ac:dyDescent="0.25">
      <c r="L135" t="s">
        <v>247</v>
      </c>
      <c r="M135" s="56">
        <v>8568.6299999999992</v>
      </c>
      <c r="N135" s="56">
        <v>8568.6299999999992</v>
      </c>
      <c r="O135" s="56">
        <v>8568.6299999999992</v>
      </c>
      <c r="P135" s="56">
        <v>8487.0239999999994</v>
      </c>
      <c r="Q135" s="56">
        <v>8487.0239999999994</v>
      </c>
      <c r="R135" s="56">
        <v>8283.009</v>
      </c>
      <c r="S135" s="56">
        <v>8283.009</v>
      </c>
      <c r="T135" s="56">
        <v>8283.009</v>
      </c>
      <c r="U135" s="56">
        <v>8283.009</v>
      </c>
      <c r="V135" s="56">
        <v>0</v>
      </c>
      <c r="W135" s="56">
        <v>0</v>
      </c>
      <c r="X135" s="56">
        <v>0</v>
      </c>
      <c r="Y135" t="s">
        <v>113</v>
      </c>
    </row>
    <row r="136" spans="2:25" x14ac:dyDescent="0.25">
      <c r="L136" t="s">
        <v>248</v>
      </c>
      <c r="M136" s="56">
        <v>9310.3919999999998</v>
      </c>
      <c r="N136" s="56">
        <v>9310.3919999999998</v>
      </c>
      <c r="O136" s="56">
        <v>9310.3919999999998</v>
      </c>
      <c r="P136" s="56">
        <v>9221.7215999999989</v>
      </c>
      <c r="Q136" s="56">
        <v>9221.7215999999989</v>
      </c>
      <c r="R136" s="56">
        <v>9000.0455999999995</v>
      </c>
      <c r="S136" s="56">
        <v>9000.0455999999995</v>
      </c>
      <c r="T136" s="56">
        <v>9000.0455999999995</v>
      </c>
      <c r="U136" s="56">
        <v>9000.0455999999995</v>
      </c>
      <c r="V136" s="56">
        <v>0</v>
      </c>
      <c r="W136" s="56">
        <v>0</v>
      </c>
      <c r="X136" s="56">
        <v>0</v>
      </c>
      <c r="Y136" t="s">
        <v>113</v>
      </c>
    </row>
    <row r="137" spans="2:25" x14ac:dyDescent="0.25">
      <c r="L137" t="s">
        <v>249</v>
      </c>
      <c r="M137" s="56">
        <v>11893.77</v>
      </c>
      <c r="N137" s="56">
        <v>11893.77</v>
      </c>
      <c r="O137" s="56">
        <v>11893.77</v>
      </c>
      <c r="P137" s="56">
        <v>11780.496000000001</v>
      </c>
      <c r="Q137" s="56">
        <v>11780.496000000001</v>
      </c>
      <c r="R137" s="56">
        <v>11497.311</v>
      </c>
      <c r="S137" s="56">
        <v>11497.311</v>
      </c>
      <c r="T137" s="56">
        <v>11497.311</v>
      </c>
      <c r="U137" s="56">
        <v>11497.311</v>
      </c>
      <c r="V137" s="56">
        <v>0</v>
      </c>
      <c r="W137" s="56">
        <v>0</v>
      </c>
      <c r="X137" s="56">
        <v>0</v>
      </c>
      <c r="Y137" t="s">
        <v>113</v>
      </c>
    </row>
    <row r="138" spans="2:25" x14ac:dyDescent="0.25">
      <c r="L138" t="s">
        <v>250</v>
      </c>
      <c r="M138" s="56">
        <v>12993.624</v>
      </c>
      <c r="N138" s="56">
        <v>12993.624</v>
      </c>
      <c r="O138" s="56">
        <v>12993.624</v>
      </c>
      <c r="P138" s="56">
        <v>12869.8752</v>
      </c>
      <c r="Q138" s="56">
        <v>12869.8752</v>
      </c>
      <c r="R138" s="56">
        <v>12560.503200000001</v>
      </c>
      <c r="S138" s="56">
        <v>12560.503200000001</v>
      </c>
      <c r="T138" s="56">
        <v>12560.503200000001</v>
      </c>
      <c r="U138" s="56">
        <v>12560.503200000001</v>
      </c>
      <c r="V138" s="56">
        <v>0</v>
      </c>
      <c r="W138" s="56">
        <v>0</v>
      </c>
      <c r="X138" s="56">
        <v>0</v>
      </c>
      <c r="Y138" t="s">
        <v>113</v>
      </c>
    </row>
    <row r="139" spans="2:25" x14ac:dyDescent="0.25">
      <c r="L139" t="s">
        <v>251</v>
      </c>
      <c r="M139" s="56">
        <v>13633.074000000001</v>
      </c>
      <c r="N139" s="56">
        <v>13633.074000000001</v>
      </c>
      <c r="O139" s="56">
        <v>13633.074000000001</v>
      </c>
      <c r="P139" s="56">
        <v>13503.235200000001</v>
      </c>
      <c r="Q139" s="56">
        <v>13503.235200000001</v>
      </c>
      <c r="R139" s="56">
        <v>13178.638200000001</v>
      </c>
      <c r="S139" s="56">
        <v>13178.638200000001</v>
      </c>
      <c r="T139" s="56">
        <v>13178.638200000001</v>
      </c>
      <c r="U139" s="56">
        <v>13178.638200000001</v>
      </c>
      <c r="V139" s="56">
        <v>0</v>
      </c>
      <c r="W139" s="56">
        <v>0</v>
      </c>
      <c r="X139" s="56">
        <v>0</v>
      </c>
      <c r="Y139" t="s">
        <v>113</v>
      </c>
    </row>
    <row r="140" spans="2:25" x14ac:dyDescent="0.25">
      <c r="L140" t="s">
        <v>252</v>
      </c>
      <c r="M140" s="56">
        <v>14144.633999999998</v>
      </c>
      <c r="N140" s="56">
        <v>14144.633999999998</v>
      </c>
      <c r="O140" s="56">
        <v>14144.633999999998</v>
      </c>
      <c r="P140" s="56">
        <v>14009.923199999997</v>
      </c>
      <c r="Q140" s="56">
        <v>14009.923199999997</v>
      </c>
      <c r="R140" s="56">
        <v>13673.146199999999</v>
      </c>
      <c r="S140" s="56">
        <v>13673.146199999999</v>
      </c>
      <c r="T140" s="56">
        <v>13673.146199999999</v>
      </c>
      <c r="U140" s="56">
        <v>13673.146199999999</v>
      </c>
      <c r="V140" s="56">
        <v>0</v>
      </c>
      <c r="W140" s="56">
        <v>0</v>
      </c>
      <c r="X140" s="56">
        <v>0</v>
      </c>
      <c r="Y140" t="s">
        <v>113</v>
      </c>
    </row>
    <row r="141" spans="2:25" x14ac:dyDescent="0.25">
      <c r="L141" t="s">
        <v>253</v>
      </c>
      <c r="M141" s="56">
        <v>14630.616</v>
      </c>
      <c r="N141" s="56">
        <v>14630.616</v>
      </c>
      <c r="O141" s="56">
        <v>14630.616</v>
      </c>
      <c r="P141" s="56">
        <v>14491.276800000001</v>
      </c>
      <c r="Q141" s="56">
        <v>14491.276800000001</v>
      </c>
      <c r="R141" s="56">
        <v>14142.928800000002</v>
      </c>
      <c r="S141" s="56">
        <v>14142.928800000002</v>
      </c>
      <c r="T141" s="56">
        <v>14142.928800000002</v>
      </c>
      <c r="U141" s="56">
        <v>14142.928800000002</v>
      </c>
      <c r="V141" s="56">
        <v>0</v>
      </c>
      <c r="W141" s="56">
        <v>0</v>
      </c>
      <c r="X141" s="56">
        <v>0</v>
      </c>
      <c r="Y141" t="s">
        <v>113</v>
      </c>
    </row>
    <row r="142" spans="2:25" x14ac:dyDescent="0.25">
      <c r="L142" t="s">
        <v>254</v>
      </c>
      <c r="M142" s="56">
        <v>1982.53</v>
      </c>
      <c r="N142" s="56">
        <v>1982.53</v>
      </c>
      <c r="O142" s="56">
        <v>1982.53</v>
      </c>
      <c r="P142" s="56">
        <v>1982.53</v>
      </c>
      <c r="Q142" s="56">
        <v>1982.53</v>
      </c>
      <c r="R142" s="56">
        <v>1982.53</v>
      </c>
      <c r="S142" s="56">
        <v>1982.53</v>
      </c>
      <c r="T142" s="56">
        <v>1982.53</v>
      </c>
      <c r="U142" s="56">
        <v>1982.53</v>
      </c>
      <c r="V142" s="56">
        <v>1982.53</v>
      </c>
      <c r="W142" s="56">
        <v>3965.06</v>
      </c>
      <c r="X142" s="56">
        <v>3965.06</v>
      </c>
      <c r="Y142" t="s">
        <v>113</v>
      </c>
    </row>
    <row r="143" spans="2:25" x14ac:dyDescent="0.25">
      <c r="L143" t="s">
        <v>255</v>
      </c>
      <c r="M143" s="56">
        <v>756.37804326222204</v>
      </c>
      <c r="N143" s="56">
        <v>777.26674834798837</v>
      </c>
      <c r="O143" s="56">
        <v>766.88547212764433</v>
      </c>
      <c r="P143" s="56">
        <v>769.40427063038464</v>
      </c>
      <c r="Q143" s="56">
        <v>769.40427063038464</v>
      </c>
      <c r="R143" s="56">
        <v>769.40427063038464</v>
      </c>
      <c r="S143" s="56">
        <v>750.95803017006574</v>
      </c>
      <c r="T143" s="56">
        <v>750.95803017006574</v>
      </c>
      <c r="U143" s="56">
        <v>750.95803017006574</v>
      </c>
      <c r="V143" s="56">
        <v>750.95803017006574</v>
      </c>
      <c r="W143" s="56">
        <v>699.98301657132401</v>
      </c>
      <c r="X143" s="56">
        <v>699.98301657132401</v>
      </c>
      <c r="Y143" t="s">
        <v>114</v>
      </c>
    </row>
    <row r="144" spans="2:25" x14ac:dyDescent="0.25">
      <c r="L144" t="s">
        <v>256</v>
      </c>
      <c r="M144" s="56">
        <v>1349.5115928261948</v>
      </c>
      <c r="N144" s="56">
        <v>1457.8411888543774</v>
      </c>
      <c r="O144" s="56">
        <v>1373.1583896630091</v>
      </c>
      <c r="P144" s="56">
        <v>1349.5115928261948</v>
      </c>
      <c r="Q144" s="56">
        <v>1349.5115928261948</v>
      </c>
      <c r="R144" s="56">
        <v>1349.5115928261948</v>
      </c>
      <c r="S144" s="56">
        <v>1349.5115928261948</v>
      </c>
      <c r="T144" s="56">
        <v>1349.5115928261948</v>
      </c>
      <c r="U144" s="56">
        <v>1349.5115928261948</v>
      </c>
      <c r="V144" s="56">
        <v>1266.3523127623112</v>
      </c>
      <c r="W144" s="56">
        <v>1250.3669158946673</v>
      </c>
      <c r="X144" s="56">
        <v>1250.3669158946673</v>
      </c>
      <c r="Y144" t="s">
        <v>114</v>
      </c>
    </row>
    <row r="145" spans="12:25" x14ac:dyDescent="0.25">
      <c r="L145" t="s">
        <v>257</v>
      </c>
      <c r="M145" s="56">
        <v>1694.3937086061865</v>
      </c>
      <c r="N145" s="56">
        <v>1694.3937086061865</v>
      </c>
      <c r="O145" s="56">
        <v>1694.3937086061865</v>
      </c>
      <c r="P145" s="56">
        <v>1694.3937086061865</v>
      </c>
      <c r="Q145" s="56">
        <v>1694.3937086061865</v>
      </c>
      <c r="R145" s="56">
        <v>1694.3937086061865</v>
      </c>
      <c r="S145" s="56">
        <v>1694.3937086061865</v>
      </c>
      <c r="T145" s="56">
        <v>1694.3937086061865</v>
      </c>
      <c r="U145" s="56">
        <v>1694.3937086061865</v>
      </c>
      <c r="V145" s="56">
        <v>1341.28</v>
      </c>
      <c r="W145" s="56">
        <v>1341.28</v>
      </c>
      <c r="X145" s="56">
        <v>1341.28</v>
      </c>
      <c r="Y145" t="s">
        <v>114</v>
      </c>
    </row>
    <row r="146" spans="12:25" x14ac:dyDescent="0.25">
      <c r="L146" t="s">
        <v>258</v>
      </c>
      <c r="M146" s="56">
        <v>1995.2280635697098</v>
      </c>
      <c r="N146" s="56">
        <v>1995.2280635697098</v>
      </c>
      <c r="O146" s="56">
        <v>1995.2280635697098</v>
      </c>
      <c r="P146" s="56">
        <v>1995.2280635697098</v>
      </c>
      <c r="Q146" s="56">
        <v>1995.2280635697098</v>
      </c>
      <c r="R146" s="56">
        <v>1995.2280635697098</v>
      </c>
      <c r="S146" s="56">
        <v>1995.2280635697098</v>
      </c>
      <c r="T146" s="56">
        <v>1995.2280635697098</v>
      </c>
      <c r="U146" s="56">
        <v>1995.2280635697098</v>
      </c>
      <c r="V146" s="56">
        <v>1902.19</v>
      </c>
      <c r="W146" s="56">
        <v>1902.19</v>
      </c>
      <c r="X146" s="56">
        <v>1902.19</v>
      </c>
      <c r="Y146" t="s">
        <v>114</v>
      </c>
    </row>
    <row r="147" spans="12:25" x14ac:dyDescent="0.25">
      <c r="L147" t="s">
        <v>421</v>
      </c>
      <c r="M147" s="56">
        <v>567.13355454545456</v>
      </c>
      <c r="N147" s="56">
        <v>567.13355454545456</v>
      </c>
      <c r="O147" s="56">
        <v>0</v>
      </c>
      <c r="P147" s="56">
        <v>0</v>
      </c>
      <c r="Q147" s="56">
        <v>0</v>
      </c>
      <c r="R147" s="56">
        <v>0</v>
      </c>
      <c r="S147" s="56">
        <v>0</v>
      </c>
      <c r="T147" s="56">
        <v>0</v>
      </c>
      <c r="U147" s="56">
        <v>0</v>
      </c>
      <c r="V147" s="56">
        <v>0</v>
      </c>
      <c r="W147" s="56">
        <v>0</v>
      </c>
      <c r="X147" s="56">
        <v>0</v>
      </c>
      <c r="Y147" t="s">
        <v>114</v>
      </c>
    </row>
    <row r="148" spans="12:25" x14ac:dyDescent="0.25">
      <c r="L148" t="s">
        <v>259</v>
      </c>
      <c r="M148" s="56">
        <v>2045.5716420924703</v>
      </c>
      <c r="N148" s="56">
        <v>2045.5716420924703</v>
      </c>
      <c r="O148" s="56">
        <v>2045.5716420924703</v>
      </c>
      <c r="P148" s="56">
        <v>2045.5716420924703</v>
      </c>
      <c r="Q148" s="56">
        <v>2045.5716420924703</v>
      </c>
      <c r="R148" s="56">
        <v>2045.5716420924703</v>
      </c>
      <c r="S148" s="56">
        <v>2045.5716420924703</v>
      </c>
      <c r="T148" s="56">
        <v>2045.5716420924703</v>
      </c>
      <c r="U148" s="56">
        <v>2045.5716420924703</v>
      </c>
      <c r="V148" s="56">
        <v>1950.96</v>
      </c>
      <c r="W148" s="56">
        <v>1950.96</v>
      </c>
      <c r="X148" s="56">
        <v>1950.96</v>
      </c>
      <c r="Y148" t="s">
        <v>114</v>
      </c>
    </row>
    <row r="149" spans="12:25" x14ac:dyDescent="0.25">
      <c r="L149" t="s">
        <v>260</v>
      </c>
      <c r="M149" s="56">
        <v>2765.1621128859911</v>
      </c>
      <c r="N149" s="56">
        <v>2765.1621128859911</v>
      </c>
      <c r="O149" s="56">
        <v>2765.1621128859911</v>
      </c>
      <c r="P149" s="56">
        <v>2765.1621128859911</v>
      </c>
      <c r="Q149" s="56">
        <v>2765.1621128859911</v>
      </c>
      <c r="R149" s="56">
        <v>2765.1621128859911</v>
      </c>
      <c r="S149" s="56">
        <v>2765.1621128859911</v>
      </c>
      <c r="T149" s="56">
        <v>2765.1621128859911</v>
      </c>
      <c r="U149" s="56">
        <v>2765.1621128859911</v>
      </c>
      <c r="V149" s="56">
        <v>2841.08</v>
      </c>
      <c r="W149" s="56">
        <v>2841.08</v>
      </c>
      <c r="X149" s="56">
        <v>2841.08</v>
      </c>
      <c r="Y149" t="s">
        <v>114</v>
      </c>
    </row>
    <row r="150" spans="12:25" x14ac:dyDescent="0.25">
      <c r="L150" t="s">
        <v>385</v>
      </c>
      <c r="M150" s="56">
        <v>2518.6393638044988</v>
      </c>
      <c r="N150" s="56">
        <v>2518.6393638044988</v>
      </c>
      <c r="O150" s="56">
        <v>2518.6393638044988</v>
      </c>
      <c r="P150" s="56">
        <v>2518.6393638044988</v>
      </c>
      <c r="Q150" s="56">
        <v>2518.6393638044988</v>
      </c>
      <c r="R150" s="56">
        <v>2518.6393638044988</v>
      </c>
      <c r="S150" s="56">
        <v>2518.6393638044988</v>
      </c>
      <c r="T150" s="56">
        <v>2518.6393638044988</v>
      </c>
      <c r="U150" s="56">
        <v>2518.6393638044988</v>
      </c>
      <c r="V150" s="56">
        <v>2487.48</v>
      </c>
      <c r="W150" s="56">
        <v>2487.48</v>
      </c>
      <c r="X150" s="56">
        <v>2487.48</v>
      </c>
      <c r="Y150" t="s">
        <v>114</v>
      </c>
    </row>
    <row r="151" spans="12:25" x14ac:dyDescent="0.25">
      <c r="L151" t="s">
        <v>28</v>
      </c>
      <c r="M151" s="56">
        <v>1469.934042295082</v>
      </c>
      <c r="N151" s="56">
        <v>1469.934042295082</v>
      </c>
      <c r="O151" s="56">
        <v>1763.92</v>
      </c>
      <c r="P151" s="56">
        <v>1763.92</v>
      </c>
      <c r="Q151" s="56">
        <v>1763.92</v>
      </c>
      <c r="R151" s="56">
        <v>1763.92</v>
      </c>
      <c r="S151" s="56">
        <v>1763.92</v>
      </c>
      <c r="T151" s="56">
        <v>1763.92</v>
      </c>
      <c r="U151" s="56">
        <v>1763.92</v>
      </c>
      <c r="V151" s="56">
        <v>1763.9208510000001</v>
      </c>
      <c r="W151" s="56">
        <v>1763.9208510000001</v>
      </c>
      <c r="X151" s="56">
        <v>1763.9208510000001</v>
      </c>
      <c r="Y151" t="s">
        <v>114</v>
      </c>
    </row>
    <row r="152" spans="12:25" x14ac:dyDescent="0.25">
      <c r="L152" t="s">
        <v>25</v>
      </c>
      <c r="M152" s="56">
        <v>2400</v>
      </c>
      <c r="N152" s="56">
        <v>2400</v>
      </c>
      <c r="O152" s="56">
        <v>2260.5569574333344</v>
      </c>
      <c r="P152" s="56">
        <v>2260.5569574333344</v>
      </c>
      <c r="Q152" s="56">
        <v>2260.5569574333344</v>
      </c>
      <c r="R152" s="56">
        <v>2260.5569574333344</v>
      </c>
      <c r="S152" s="56">
        <v>2260.5569574333344</v>
      </c>
      <c r="T152" s="56">
        <v>2260.5569574333344</v>
      </c>
      <c r="U152" s="56">
        <v>2086.5603710852943</v>
      </c>
      <c r="V152" s="56">
        <v>2315</v>
      </c>
      <c r="W152" s="56">
        <v>2712.1149763292387</v>
      </c>
      <c r="X152" s="56">
        <v>2712.1149763292387</v>
      </c>
      <c r="Y152" t="s">
        <v>114</v>
      </c>
    </row>
    <row r="153" spans="12:25" x14ac:dyDescent="0.25">
      <c r="L153" t="s">
        <v>27</v>
      </c>
      <c r="M153" s="56">
        <v>2204.0900884823636</v>
      </c>
      <c r="N153" s="56">
        <v>2204.0900884823636</v>
      </c>
      <c r="O153" s="56">
        <v>2204.0900884823636</v>
      </c>
      <c r="P153" s="56">
        <v>2204.0900884823636</v>
      </c>
      <c r="Q153" s="56">
        <v>2204.0900884823636</v>
      </c>
      <c r="R153" s="56">
        <v>2464.4141995876075</v>
      </c>
      <c r="S153" s="56">
        <v>2464.4141995876075</v>
      </c>
      <c r="T153" s="56">
        <v>2464.4141995876075</v>
      </c>
      <c r="U153" s="56">
        <v>2401.2023499999996</v>
      </c>
      <c r="V153" s="56">
        <v>2369.2925379244721</v>
      </c>
      <c r="W153" s="56">
        <v>2252.392519259191</v>
      </c>
      <c r="X153" s="56">
        <v>2252.392519259191</v>
      </c>
      <c r="Y153" t="s">
        <v>114</v>
      </c>
    </row>
    <row r="154" spans="12:25" x14ac:dyDescent="0.25">
      <c r="L154" t="s">
        <v>26</v>
      </c>
      <c r="M154" s="56">
        <v>1862.0915617168903</v>
      </c>
      <c r="N154" s="56">
        <v>1862.0915617168903</v>
      </c>
      <c r="O154" s="56">
        <v>1862.0915617168903</v>
      </c>
      <c r="P154" s="56">
        <v>1862.0915617168903</v>
      </c>
      <c r="Q154" s="56">
        <v>1862.0915617168903</v>
      </c>
      <c r="R154" s="56">
        <v>1469.5161240494554</v>
      </c>
      <c r="S154" s="56">
        <v>1469.5161240494554</v>
      </c>
      <c r="T154" s="56">
        <v>1469.5161240494554</v>
      </c>
      <c r="U154" s="56">
        <v>1469.5161240494554</v>
      </c>
      <c r="V154" s="56">
        <v>1469.5161240494554</v>
      </c>
      <c r="W154" s="56">
        <v>1469.5161240494554</v>
      </c>
      <c r="X154" s="56">
        <v>1469.5161240494554</v>
      </c>
      <c r="Y154" t="s">
        <v>114</v>
      </c>
    </row>
    <row r="155" spans="12:25" x14ac:dyDescent="0.25">
      <c r="L155" t="s">
        <v>29</v>
      </c>
      <c r="M155" s="56">
        <v>1344.6161081081079</v>
      </c>
      <c r="N155" s="56">
        <v>1344.6161081081079</v>
      </c>
      <c r="O155" s="56">
        <v>0</v>
      </c>
      <c r="P155" s="56">
        <v>0</v>
      </c>
      <c r="Q155" s="56">
        <v>0</v>
      </c>
      <c r="R155" s="56">
        <v>0</v>
      </c>
      <c r="S155" s="56">
        <v>0</v>
      </c>
      <c r="T155" s="56">
        <v>0</v>
      </c>
      <c r="U155" s="56">
        <v>0</v>
      </c>
      <c r="V155" s="56">
        <v>0</v>
      </c>
      <c r="W155" s="56">
        <v>0</v>
      </c>
      <c r="X155" s="56">
        <v>0</v>
      </c>
      <c r="Y155" t="s">
        <v>114</v>
      </c>
    </row>
    <row r="156" spans="12:25" x14ac:dyDescent="0.25">
      <c r="L156" t="s">
        <v>24</v>
      </c>
      <c r="M156" s="56">
        <v>0</v>
      </c>
      <c r="N156" s="56">
        <v>0</v>
      </c>
      <c r="O156" s="56">
        <v>0</v>
      </c>
      <c r="P156" s="56">
        <v>0</v>
      </c>
      <c r="Q156" s="56">
        <v>0</v>
      </c>
      <c r="R156" s="56">
        <v>0</v>
      </c>
      <c r="S156" s="56">
        <v>0</v>
      </c>
      <c r="T156" s="56">
        <v>0</v>
      </c>
      <c r="U156" s="56">
        <v>0</v>
      </c>
      <c r="V156" s="56">
        <v>0</v>
      </c>
      <c r="W156" s="56">
        <v>0</v>
      </c>
      <c r="X156" s="56">
        <v>0</v>
      </c>
      <c r="Y156" t="s">
        <v>114</v>
      </c>
    </row>
    <row r="157" spans="12:25" x14ac:dyDescent="0.25">
      <c r="L157" t="s">
        <v>261</v>
      </c>
      <c r="M157" s="56">
        <v>0</v>
      </c>
      <c r="N157" s="56">
        <v>0</v>
      </c>
      <c r="O157" s="56">
        <v>0</v>
      </c>
      <c r="P157" s="56">
        <v>0</v>
      </c>
      <c r="Q157" s="56">
        <v>0</v>
      </c>
      <c r="R157" s="56">
        <v>0</v>
      </c>
      <c r="S157" s="56">
        <v>0</v>
      </c>
      <c r="T157" s="56">
        <v>0</v>
      </c>
      <c r="U157" s="56">
        <v>0</v>
      </c>
      <c r="V157" s="56">
        <v>0</v>
      </c>
      <c r="W157" s="56">
        <v>0</v>
      </c>
      <c r="X157" s="56">
        <v>0</v>
      </c>
      <c r="Y157" t="s">
        <v>113</v>
      </c>
    </row>
    <row r="158" spans="12:25" x14ac:dyDescent="0.25">
      <c r="L158" t="s">
        <v>262</v>
      </c>
      <c r="M158" s="56">
        <v>1064.8800000000001</v>
      </c>
      <c r="N158" s="56">
        <v>1064.8800000000001</v>
      </c>
      <c r="O158" s="56">
        <v>1064.8800000000001</v>
      </c>
      <c r="P158" s="56">
        <v>1064.8800000000001</v>
      </c>
      <c r="Q158" s="56">
        <v>1064.8800000000001</v>
      </c>
      <c r="R158" s="56">
        <v>1064.8800000000001</v>
      </c>
      <c r="S158" s="56">
        <v>1064.8800000000001</v>
      </c>
      <c r="T158" s="56">
        <v>1064.8800000000001</v>
      </c>
      <c r="U158" s="56">
        <v>1064.8800000000001</v>
      </c>
      <c r="V158" s="56">
        <v>1064.8800000000001</v>
      </c>
      <c r="W158" s="56">
        <v>1064.8800000000001</v>
      </c>
      <c r="X158" s="56">
        <v>1064.8800000000001</v>
      </c>
      <c r="Y158" t="s">
        <v>113</v>
      </c>
    </row>
    <row r="159" spans="12:25" x14ac:dyDescent="0.25">
      <c r="L159" t="s">
        <v>263</v>
      </c>
      <c r="M159" s="56">
        <v>1538.16</v>
      </c>
      <c r="N159" s="56">
        <v>1538.16</v>
      </c>
      <c r="O159" s="56">
        <v>1538.16</v>
      </c>
      <c r="P159" s="56">
        <v>1538.16</v>
      </c>
      <c r="Q159" s="56">
        <v>1538.16</v>
      </c>
      <c r="R159" s="56">
        <v>1538.16</v>
      </c>
      <c r="S159" s="56">
        <v>1538.16</v>
      </c>
      <c r="T159" s="56">
        <v>1538.16</v>
      </c>
      <c r="U159" s="56">
        <v>1538.16</v>
      </c>
      <c r="V159" s="56">
        <v>1538.16</v>
      </c>
      <c r="W159" s="56">
        <v>1538.16</v>
      </c>
      <c r="X159" s="56">
        <v>1538.16</v>
      </c>
      <c r="Y159" t="s">
        <v>113</v>
      </c>
    </row>
    <row r="160" spans="12:25" x14ac:dyDescent="0.25">
      <c r="L160" t="s">
        <v>264</v>
      </c>
      <c r="M160" s="56">
        <v>1774.7999999999997</v>
      </c>
      <c r="N160" s="56">
        <v>1774.7999999999997</v>
      </c>
      <c r="O160" s="56">
        <v>1774.7999999999997</v>
      </c>
      <c r="P160" s="56">
        <v>1774.7999999999997</v>
      </c>
      <c r="Q160" s="56">
        <v>1774.7999999999997</v>
      </c>
      <c r="R160" s="56">
        <v>1774.7999999999997</v>
      </c>
      <c r="S160" s="56">
        <v>1774.7999999999997</v>
      </c>
      <c r="T160" s="56">
        <v>1774.7999999999997</v>
      </c>
      <c r="U160" s="56">
        <v>1774.7999999999997</v>
      </c>
      <c r="V160" s="56">
        <v>1774.7999999999997</v>
      </c>
      <c r="W160" s="56">
        <v>1774.7999999999997</v>
      </c>
      <c r="X160" s="56">
        <v>1774.7999999999997</v>
      </c>
      <c r="Y160" t="s">
        <v>113</v>
      </c>
    </row>
    <row r="161" spans="12:25" x14ac:dyDescent="0.25">
      <c r="L161" t="s">
        <v>265</v>
      </c>
      <c r="M161" s="56">
        <v>2366.4</v>
      </c>
      <c r="N161" s="56">
        <v>2366.4</v>
      </c>
      <c r="O161" s="56">
        <v>2366.4</v>
      </c>
      <c r="P161" s="56">
        <v>2366.4</v>
      </c>
      <c r="Q161" s="56">
        <v>2366.4</v>
      </c>
      <c r="R161" s="56">
        <v>2366.4</v>
      </c>
      <c r="S161" s="56">
        <v>2366.4</v>
      </c>
      <c r="T161" s="56">
        <v>2366.4</v>
      </c>
      <c r="U161" s="56">
        <v>2366.4</v>
      </c>
      <c r="V161" s="56">
        <v>2366.4</v>
      </c>
      <c r="W161" s="56">
        <v>2366.4</v>
      </c>
      <c r="X161" s="56">
        <v>2366.4</v>
      </c>
      <c r="Y161" t="s">
        <v>113</v>
      </c>
    </row>
    <row r="162" spans="12:25" x14ac:dyDescent="0.25">
      <c r="L162" t="s">
        <v>105</v>
      </c>
      <c r="M162" s="56">
        <v>4079.5221633082706</v>
      </c>
      <c r="N162" s="56">
        <v>4079.5221633082706</v>
      </c>
      <c r="O162" s="56">
        <v>0</v>
      </c>
      <c r="P162" s="56">
        <v>0</v>
      </c>
      <c r="Q162" s="56">
        <v>0</v>
      </c>
      <c r="R162" s="56">
        <v>0</v>
      </c>
      <c r="S162" s="56">
        <v>0</v>
      </c>
      <c r="T162" s="56">
        <v>0</v>
      </c>
      <c r="U162" s="56">
        <v>0</v>
      </c>
      <c r="V162" s="56">
        <v>0</v>
      </c>
      <c r="W162" s="56">
        <v>0</v>
      </c>
      <c r="X162" s="56">
        <v>0</v>
      </c>
      <c r="Y162" t="s">
        <v>114</v>
      </c>
    </row>
    <row r="163" spans="12:25" x14ac:dyDescent="0.25">
      <c r="L163" t="s">
        <v>106</v>
      </c>
      <c r="M163" s="56">
        <v>5565.5751658780264</v>
      </c>
      <c r="N163" s="56">
        <v>5565.5751658780264</v>
      </c>
      <c r="O163" s="56">
        <v>5565.5751658780264</v>
      </c>
      <c r="P163" s="56">
        <v>5565.5751658780264</v>
      </c>
      <c r="Q163" s="56">
        <v>5565.5751658780264</v>
      </c>
      <c r="R163" s="56">
        <v>5772.6619658780255</v>
      </c>
      <c r="S163" s="56">
        <v>5759.2562426076729</v>
      </c>
      <c r="T163" s="56">
        <v>5780.7067994245745</v>
      </c>
      <c r="U163" s="56">
        <v>5780.7067994245745</v>
      </c>
      <c r="V163" s="56">
        <v>5780.7067994245745</v>
      </c>
      <c r="W163" s="56">
        <v>5780.7067994245745</v>
      </c>
      <c r="X163" s="56">
        <v>5780.7067994245745</v>
      </c>
      <c r="Y163" t="s">
        <v>113</v>
      </c>
    </row>
    <row r="164" spans="12:25" x14ac:dyDescent="0.25">
      <c r="L164" t="s">
        <v>107</v>
      </c>
      <c r="M164" s="56">
        <v>9211.2421915546201</v>
      </c>
      <c r="N164" s="56">
        <v>9211.2421915546201</v>
      </c>
      <c r="O164" s="56">
        <v>9211.2421915546201</v>
      </c>
      <c r="P164" s="56">
        <v>9211.2421915546201</v>
      </c>
      <c r="Q164" s="56">
        <v>9211.2421915546201</v>
      </c>
      <c r="R164" s="56">
        <v>9437.6785783277755</v>
      </c>
      <c r="S164" s="56">
        <v>9410.8671317870721</v>
      </c>
      <c r="T164" s="56">
        <v>9444.4320674104019</v>
      </c>
      <c r="U164" s="56">
        <v>9444.4320674104019</v>
      </c>
      <c r="V164" s="56">
        <v>9444.4320674104019</v>
      </c>
      <c r="W164" s="56">
        <v>9444.4320674104019</v>
      </c>
      <c r="X164" s="56">
        <v>9444.4320674104019</v>
      </c>
      <c r="Y164" t="s">
        <v>113</v>
      </c>
    </row>
    <row r="165" spans="12:25" x14ac:dyDescent="0.25">
      <c r="L165" t="s">
        <v>108</v>
      </c>
      <c r="M165" s="56">
        <v>8479.2808680520702</v>
      </c>
      <c r="N165" s="56">
        <v>8479.2808680520702</v>
      </c>
      <c r="O165" s="56">
        <v>8479.2808680520702</v>
      </c>
      <c r="P165" s="56">
        <v>8479.2808680520702</v>
      </c>
      <c r="Q165" s="56">
        <v>8479.2808680520702</v>
      </c>
      <c r="R165" s="56">
        <v>8486.368468052071</v>
      </c>
      <c r="S165" s="56">
        <v>8472.9627447817184</v>
      </c>
      <c r="T165" s="56">
        <v>8472.9627447817184</v>
      </c>
      <c r="U165" s="56">
        <v>8472.9627447817184</v>
      </c>
      <c r="V165" s="56">
        <v>8472.9627447817184</v>
      </c>
      <c r="W165" s="56">
        <v>8472.9627447817184</v>
      </c>
      <c r="X165" s="56">
        <v>8472.9627447817184</v>
      </c>
      <c r="Y165" t="s">
        <v>113</v>
      </c>
    </row>
    <row r="166" spans="12:25" x14ac:dyDescent="0.25">
      <c r="L166" t="s">
        <v>109</v>
      </c>
      <c r="M166" s="56">
        <v>14716.857871298089</v>
      </c>
      <c r="N166" s="56">
        <v>14716.857871298089</v>
      </c>
      <c r="O166" s="56">
        <v>14716.857871298089</v>
      </c>
      <c r="P166" s="56">
        <v>14716.857871298089</v>
      </c>
      <c r="Q166" s="56">
        <v>14716.857871298089</v>
      </c>
      <c r="R166" s="56">
        <v>14723.94547129809</v>
      </c>
      <c r="S166" s="56">
        <v>14697.134024757386</v>
      </c>
      <c r="T166" s="56">
        <v>14697.134024757386</v>
      </c>
      <c r="U166" s="56">
        <v>14697.134024757386</v>
      </c>
      <c r="V166" s="56">
        <v>14697.134024757386</v>
      </c>
      <c r="W166" s="56">
        <v>14697.134024757386</v>
      </c>
      <c r="X166" s="56">
        <v>14697.134024757386</v>
      </c>
      <c r="Y166" t="s">
        <v>113</v>
      </c>
    </row>
    <row r="167" spans="12:25" x14ac:dyDescent="0.25">
      <c r="L167" t="s">
        <v>110</v>
      </c>
      <c r="M167" s="56">
        <v>0</v>
      </c>
      <c r="N167" s="56">
        <v>0</v>
      </c>
      <c r="O167" s="56">
        <v>0</v>
      </c>
      <c r="P167" s="56">
        <v>0</v>
      </c>
      <c r="Q167" s="56">
        <v>0</v>
      </c>
      <c r="R167" s="56">
        <v>0</v>
      </c>
      <c r="S167" s="56">
        <v>0</v>
      </c>
      <c r="T167" s="56">
        <v>0</v>
      </c>
      <c r="U167" s="56">
        <v>0</v>
      </c>
      <c r="V167" s="56">
        <v>0</v>
      </c>
      <c r="W167" s="56">
        <v>0</v>
      </c>
      <c r="X167" s="56">
        <v>0</v>
      </c>
      <c r="Y167" t="s">
        <v>113</v>
      </c>
    </row>
    <row r="168" spans="12:25" x14ac:dyDescent="0.25">
      <c r="L168" t="s">
        <v>348</v>
      </c>
      <c r="M168" s="56">
        <v>0</v>
      </c>
      <c r="N168" s="56">
        <v>0</v>
      </c>
      <c r="O168" s="56">
        <v>0</v>
      </c>
      <c r="P168" s="56">
        <v>0</v>
      </c>
      <c r="Q168" s="56">
        <v>0</v>
      </c>
      <c r="R168" s="56">
        <v>0</v>
      </c>
      <c r="S168" s="56">
        <v>0</v>
      </c>
      <c r="T168" s="56">
        <v>0</v>
      </c>
      <c r="U168" s="56">
        <v>0</v>
      </c>
      <c r="V168" s="56">
        <v>0</v>
      </c>
      <c r="W168" s="56">
        <v>0</v>
      </c>
      <c r="X168" s="56">
        <v>0</v>
      </c>
      <c r="Y168" t="s">
        <v>114</v>
      </c>
    </row>
    <row r="169" spans="12:25" x14ac:dyDescent="0.25">
      <c r="L169" t="s">
        <v>389</v>
      </c>
      <c r="M169" s="56">
        <v>1777.002144</v>
      </c>
      <c r="N169" s="56">
        <v>1777.002144</v>
      </c>
      <c r="O169" s="56">
        <v>1777.002144</v>
      </c>
      <c r="P169" s="56">
        <v>1777.002144</v>
      </c>
      <c r="Q169" s="56">
        <v>1777.002144</v>
      </c>
      <c r="R169" s="56">
        <v>1777.002144</v>
      </c>
      <c r="S169" s="56">
        <v>1777.002144</v>
      </c>
      <c r="T169" s="56">
        <v>1777.002144</v>
      </c>
      <c r="U169" s="56">
        <v>1777.002144</v>
      </c>
      <c r="V169" s="56">
        <v>1777.002144</v>
      </c>
      <c r="W169" s="56">
        <v>1777.002144</v>
      </c>
      <c r="X169" s="56">
        <v>1777.002144</v>
      </c>
      <c r="Y169" t="s">
        <v>114</v>
      </c>
    </row>
    <row r="170" spans="12:25" x14ac:dyDescent="0.25">
      <c r="L170" t="s">
        <v>337</v>
      </c>
      <c r="M170" s="56">
        <v>0</v>
      </c>
      <c r="N170" s="56">
        <v>0</v>
      </c>
      <c r="O170" s="56">
        <v>0</v>
      </c>
      <c r="P170" s="56">
        <v>0</v>
      </c>
      <c r="Q170" s="56">
        <v>0</v>
      </c>
      <c r="R170" s="56">
        <v>0</v>
      </c>
      <c r="S170" s="56">
        <v>0</v>
      </c>
      <c r="T170" s="56">
        <v>0</v>
      </c>
      <c r="U170" s="56">
        <v>0</v>
      </c>
      <c r="V170" s="56">
        <v>0</v>
      </c>
      <c r="W170" s="56">
        <v>0</v>
      </c>
      <c r="X170" s="56">
        <v>0</v>
      </c>
      <c r="Y170" t="s">
        <v>113</v>
      </c>
    </row>
    <row r="171" spans="12:25" x14ac:dyDescent="0.25">
      <c r="L171" t="s">
        <v>349</v>
      </c>
      <c r="M171" s="56">
        <v>0</v>
      </c>
      <c r="N171" s="56">
        <v>0</v>
      </c>
      <c r="O171" s="56">
        <v>0</v>
      </c>
      <c r="P171" s="56">
        <v>0</v>
      </c>
      <c r="Q171" s="56">
        <v>0</v>
      </c>
      <c r="R171" s="56">
        <v>0</v>
      </c>
      <c r="S171" s="56">
        <v>0</v>
      </c>
      <c r="T171" s="56">
        <v>0</v>
      </c>
      <c r="U171" s="56">
        <v>0</v>
      </c>
      <c r="V171" s="56">
        <v>0</v>
      </c>
      <c r="W171" s="56">
        <v>0</v>
      </c>
      <c r="X171" s="56">
        <v>0</v>
      </c>
      <c r="Y171" t="s">
        <v>11</v>
      </c>
    </row>
    <row r="172" spans="12:25" x14ac:dyDescent="0.25">
      <c r="L172" t="s">
        <v>350</v>
      </c>
      <c r="M172" s="56">
        <v>0</v>
      </c>
      <c r="N172" s="56">
        <v>0</v>
      </c>
      <c r="O172" s="56">
        <v>0</v>
      </c>
      <c r="P172" s="56">
        <v>0</v>
      </c>
      <c r="Q172" s="56">
        <v>0</v>
      </c>
      <c r="R172" s="56">
        <v>0</v>
      </c>
      <c r="S172" s="56">
        <v>0</v>
      </c>
      <c r="T172" s="56">
        <v>0</v>
      </c>
      <c r="U172" s="56">
        <v>0</v>
      </c>
      <c r="V172" s="56">
        <v>0</v>
      </c>
      <c r="W172" s="56">
        <v>0</v>
      </c>
      <c r="X172" s="56">
        <v>0</v>
      </c>
      <c r="Y172" t="s">
        <v>11</v>
      </c>
    </row>
    <row r="173" spans="12:25" x14ac:dyDescent="0.25">
      <c r="L173" t="s">
        <v>361</v>
      </c>
      <c r="M173" s="56">
        <v>0</v>
      </c>
      <c r="N173" s="56">
        <v>0</v>
      </c>
      <c r="O173" s="56">
        <v>0</v>
      </c>
      <c r="P173" s="56">
        <v>0</v>
      </c>
      <c r="Q173" s="56">
        <v>0</v>
      </c>
      <c r="R173" s="56">
        <v>0</v>
      </c>
      <c r="S173" s="56">
        <v>0</v>
      </c>
      <c r="T173" s="56">
        <v>0</v>
      </c>
      <c r="U173" s="56">
        <v>0</v>
      </c>
      <c r="V173" s="56">
        <v>0</v>
      </c>
      <c r="W173" s="56">
        <v>0</v>
      </c>
      <c r="X173" s="56">
        <v>0</v>
      </c>
      <c r="Y173" t="s">
        <v>11</v>
      </c>
    </row>
    <row r="174" spans="12:25" x14ac:dyDescent="0.25">
      <c r="L174" t="s">
        <v>362</v>
      </c>
      <c r="M174" s="56">
        <v>0</v>
      </c>
      <c r="N174" s="56">
        <v>0</v>
      </c>
      <c r="O174" s="56">
        <v>0</v>
      </c>
      <c r="P174" s="56">
        <v>0</v>
      </c>
      <c r="Q174" s="56">
        <v>0</v>
      </c>
      <c r="R174" s="56">
        <v>0</v>
      </c>
      <c r="S174" s="56">
        <v>0</v>
      </c>
      <c r="T174" s="56">
        <v>0</v>
      </c>
      <c r="U174" s="56">
        <v>0</v>
      </c>
      <c r="V174" s="56">
        <v>0</v>
      </c>
      <c r="W174" s="56">
        <v>0</v>
      </c>
      <c r="X174" s="56">
        <v>0</v>
      </c>
      <c r="Y174" t="s">
        <v>11</v>
      </c>
    </row>
    <row r="175" spans="12:25" x14ac:dyDescent="0.25">
      <c r="L175" t="s">
        <v>363</v>
      </c>
      <c r="M175" s="56">
        <v>0</v>
      </c>
      <c r="N175" s="56">
        <v>0</v>
      </c>
      <c r="O175" s="56">
        <v>0</v>
      </c>
      <c r="P175" s="56">
        <v>0</v>
      </c>
      <c r="Q175" s="56">
        <v>0</v>
      </c>
      <c r="R175" s="56">
        <v>0</v>
      </c>
      <c r="S175" s="56">
        <v>0</v>
      </c>
      <c r="T175" s="56">
        <v>0</v>
      </c>
      <c r="U175" s="56">
        <v>0</v>
      </c>
      <c r="V175" s="56">
        <v>0</v>
      </c>
      <c r="W175" s="56">
        <v>0</v>
      </c>
      <c r="X175" s="56">
        <v>0</v>
      </c>
      <c r="Y175" t="s">
        <v>11</v>
      </c>
    </row>
    <row r="176" spans="12:25" x14ac:dyDescent="0.25">
      <c r="L176" t="s">
        <v>364</v>
      </c>
      <c r="M176" s="56">
        <v>0</v>
      </c>
      <c r="N176" s="56">
        <v>0</v>
      </c>
      <c r="O176" s="56">
        <v>0</v>
      </c>
      <c r="P176" s="56">
        <v>0</v>
      </c>
      <c r="Q176" s="56">
        <v>0</v>
      </c>
      <c r="R176" s="56">
        <v>0</v>
      </c>
      <c r="S176" s="56">
        <v>0</v>
      </c>
      <c r="T176" s="56">
        <v>0</v>
      </c>
      <c r="U176" s="56">
        <v>0</v>
      </c>
      <c r="V176" s="56">
        <v>0</v>
      </c>
      <c r="W176" s="56">
        <v>0</v>
      </c>
      <c r="X176" s="56">
        <v>0</v>
      </c>
      <c r="Y176" t="s">
        <v>11</v>
      </c>
    </row>
    <row r="177" spans="12:25" x14ac:dyDescent="0.25">
      <c r="L177" t="s">
        <v>365</v>
      </c>
      <c r="M177" s="56">
        <v>0</v>
      </c>
      <c r="N177" s="56">
        <v>0</v>
      </c>
      <c r="O177" s="56">
        <v>0</v>
      </c>
      <c r="P177" s="56">
        <v>0</v>
      </c>
      <c r="Q177" s="56">
        <v>0</v>
      </c>
      <c r="R177" s="56">
        <v>0</v>
      </c>
      <c r="S177" s="56">
        <v>0</v>
      </c>
      <c r="T177" s="56">
        <v>0</v>
      </c>
      <c r="U177" s="56">
        <v>0</v>
      </c>
      <c r="V177" s="56">
        <v>0</v>
      </c>
      <c r="W177" s="56">
        <v>0</v>
      </c>
      <c r="X177" s="56">
        <v>0</v>
      </c>
      <c r="Y177" t="s">
        <v>11</v>
      </c>
    </row>
    <row r="178" spans="12:25" x14ac:dyDescent="0.25">
      <c r="L178" t="s">
        <v>384</v>
      </c>
      <c r="M178" s="56">
        <v>0</v>
      </c>
      <c r="N178" s="56">
        <v>0</v>
      </c>
      <c r="O178" s="56">
        <v>0</v>
      </c>
      <c r="P178" s="56">
        <v>0</v>
      </c>
      <c r="Q178" s="56">
        <v>0</v>
      </c>
      <c r="R178" s="56">
        <v>0</v>
      </c>
      <c r="S178" s="56">
        <v>0</v>
      </c>
      <c r="T178" s="56">
        <v>0</v>
      </c>
      <c r="U178" s="56">
        <v>0</v>
      </c>
      <c r="V178" s="56">
        <v>0</v>
      </c>
      <c r="W178" s="56">
        <v>0</v>
      </c>
      <c r="X178" s="56">
        <v>0</v>
      </c>
      <c r="Y178" t="s">
        <v>11</v>
      </c>
    </row>
    <row r="179" spans="12:25" x14ac:dyDescent="0.25">
      <c r="L179" t="s">
        <v>338</v>
      </c>
      <c r="M179" s="56">
        <v>0</v>
      </c>
      <c r="N179" s="56">
        <v>0</v>
      </c>
      <c r="O179" s="56">
        <v>0</v>
      </c>
      <c r="P179" s="56">
        <v>0</v>
      </c>
      <c r="Q179" s="56">
        <v>0</v>
      </c>
      <c r="R179" s="56">
        <v>0</v>
      </c>
      <c r="S179" s="56">
        <v>0</v>
      </c>
      <c r="T179" s="56">
        <v>0</v>
      </c>
      <c r="U179" s="56">
        <v>0</v>
      </c>
      <c r="V179" s="56">
        <v>0</v>
      </c>
      <c r="W179" s="56">
        <v>0</v>
      </c>
      <c r="X179" s="56">
        <v>0</v>
      </c>
      <c r="Y179" t="s">
        <v>114</v>
      </c>
    </row>
    <row r="180" spans="12:25" x14ac:dyDescent="0.25">
      <c r="L180" t="s">
        <v>388</v>
      </c>
      <c r="M180" s="56">
        <v>0</v>
      </c>
      <c r="N180" s="56">
        <v>0</v>
      </c>
      <c r="O180" s="56">
        <v>0</v>
      </c>
      <c r="P180" s="56">
        <v>0</v>
      </c>
      <c r="Q180" s="56">
        <v>0</v>
      </c>
      <c r="R180" s="56">
        <v>0</v>
      </c>
      <c r="S180" s="56">
        <v>0</v>
      </c>
      <c r="T180" s="56">
        <v>0</v>
      </c>
      <c r="U180" s="56">
        <v>0</v>
      </c>
      <c r="V180" s="56">
        <v>0</v>
      </c>
      <c r="W180" s="56">
        <v>0</v>
      </c>
      <c r="X180" s="56">
        <v>0</v>
      </c>
      <c r="Y180" t="s">
        <v>114</v>
      </c>
    </row>
    <row r="181" spans="12:25" x14ac:dyDescent="0.25">
      <c r="L181" t="s">
        <v>335</v>
      </c>
      <c r="M181" s="56">
        <v>948.27789000000007</v>
      </c>
      <c r="N181" s="56">
        <v>948.27789000000007</v>
      </c>
      <c r="O181" s="56">
        <v>948.27789000000007</v>
      </c>
      <c r="P181" s="56">
        <v>948.27789000000007</v>
      </c>
      <c r="Q181" s="56">
        <v>948.27789000000007</v>
      </c>
      <c r="R181" s="56">
        <v>948.27789000000007</v>
      </c>
      <c r="S181" s="56">
        <v>948.27789000000007</v>
      </c>
      <c r="T181" s="56">
        <v>948.27789000000007</v>
      </c>
      <c r="U181" s="56">
        <v>948.27789000000007</v>
      </c>
      <c r="V181" s="56">
        <v>948.27789000000007</v>
      </c>
      <c r="W181" s="56">
        <v>948.27789000000007</v>
      </c>
      <c r="X181" s="56">
        <v>948.27789000000007</v>
      </c>
      <c r="Y181" t="s">
        <v>114</v>
      </c>
    </row>
    <row r="182" spans="12:25" x14ac:dyDescent="0.25">
      <c r="L182" t="s">
        <v>336</v>
      </c>
      <c r="M182" s="56">
        <v>1218</v>
      </c>
      <c r="N182" s="56">
        <v>1218</v>
      </c>
      <c r="O182" s="56">
        <v>1218</v>
      </c>
      <c r="P182" s="56">
        <v>1218</v>
      </c>
      <c r="Q182" s="56">
        <v>1218</v>
      </c>
      <c r="R182" s="56">
        <v>1218</v>
      </c>
      <c r="S182" s="56">
        <v>1218</v>
      </c>
      <c r="T182" s="56">
        <v>1218</v>
      </c>
      <c r="U182" s="56">
        <v>1218</v>
      </c>
      <c r="V182" s="56">
        <v>1218</v>
      </c>
      <c r="W182" s="56">
        <v>1218</v>
      </c>
      <c r="X182" s="56">
        <v>1218</v>
      </c>
      <c r="Y182" t="s">
        <v>114</v>
      </c>
    </row>
    <row r="183" spans="12:25" x14ac:dyDescent="0.25">
      <c r="L183" t="s">
        <v>460</v>
      </c>
      <c r="M183" s="56">
        <v>1793.0880029575858</v>
      </c>
      <c r="N183" s="56">
        <v>1796.1846444645391</v>
      </c>
      <c r="O183" s="56">
        <v>1790.6507989689533</v>
      </c>
      <c r="P183" s="56">
        <v>1772.9018460046461</v>
      </c>
      <c r="Q183" s="56">
        <v>1769.7581406523698</v>
      </c>
      <c r="R183" s="56">
        <v>1733.5828332779683</v>
      </c>
      <c r="S183" s="56">
        <v>1801.4682948103571</v>
      </c>
      <c r="T183" s="56">
        <v>1809.4682948103571</v>
      </c>
      <c r="U183" s="56">
        <v>1809.4682948103571</v>
      </c>
      <c r="V183" s="56">
        <v>1798.5577566611146</v>
      </c>
      <c r="W183" s="56">
        <v>1507.971733073347</v>
      </c>
      <c r="X183" s="56">
        <v>1507.971733073347</v>
      </c>
      <c r="Y183" t="s">
        <v>114</v>
      </c>
    </row>
    <row r="184" spans="12:25" x14ac:dyDescent="0.25">
      <c r="L184" t="s">
        <v>369</v>
      </c>
      <c r="M184" s="56">
        <v>2065.6480710006163</v>
      </c>
      <c r="N184" s="56">
        <v>2068.8884144700278</v>
      </c>
      <c r="O184" s="56">
        <v>2063.3377095274491</v>
      </c>
      <c r="P184" s="56">
        <v>2041.2368428871625</v>
      </c>
      <c r="Q184" s="56">
        <v>2037.2124299203072</v>
      </c>
      <c r="R184" s="56">
        <v>1998.7916464622128</v>
      </c>
      <c r="S184" s="56">
        <v>2076.1666894464506</v>
      </c>
      <c r="T184" s="56">
        <v>2086.1666894464506</v>
      </c>
      <c r="U184" s="56">
        <v>2086.1666894464506</v>
      </c>
      <c r="V184" s="56">
        <v>2073.032567292134</v>
      </c>
      <c r="W184" s="56">
        <v>1746.9205225237747</v>
      </c>
      <c r="X184" s="56">
        <v>1746.9205225237747</v>
      </c>
      <c r="Y184" t="s">
        <v>114</v>
      </c>
    </row>
    <row r="185" spans="12:25" x14ac:dyDescent="0.25">
      <c r="L185" t="s">
        <v>370</v>
      </c>
      <c r="M185" s="56">
        <v>2331.531429482613</v>
      </c>
      <c r="N185" s="56">
        <v>2334.925660663594</v>
      </c>
      <c r="O185" s="56">
        <v>2329.3922888497796</v>
      </c>
      <c r="P185" s="56">
        <v>2302.9446108404072</v>
      </c>
      <c r="Q185" s="56">
        <v>2298.0845552048427</v>
      </c>
      <c r="R185" s="56">
        <v>2257.4401202168533</v>
      </c>
      <c r="S185" s="56">
        <v>2344.6353715957184</v>
      </c>
      <c r="T185" s="56">
        <v>2356.6353715957184</v>
      </c>
      <c r="U185" s="56">
        <v>2356.6353715957184</v>
      </c>
      <c r="V185" s="56">
        <v>2341.2788234226946</v>
      </c>
      <c r="W185" s="56">
        <v>1989.0902482369336</v>
      </c>
      <c r="X185" s="56">
        <v>1989.0902482369336</v>
      </c>
      <c r="Y185" t="s">
        <v>114</v>
      </c>
    </row>
    <row r="186" spans="12:25" x14ac:dyDescent="0.25">
      <c r="L186" t="s">
        <v>371</v>
      </c>
      <c r="M186" s="56">
        <v>2708.4416132453589</v>
      </c>
      <c r="N186" s="56">
        <v>2712.0168584216062</v>
      </c>
      <c r="O186" s="56">
        <v>2706.2813770572852</v>
      </c>
      <c r="P186" s="56">
        <v>2673.2969833316356</v>
      </c>
      <c r="Q186" s="56">
        <v>2666.9907149602031</v>
      </c>
      <c r="R186" s="56">
        <v>2623.0532458700127</v>
      </c>
      <c r="S186" s="56">
        <v>2722.9392650613472</v>
      </c>
      <c r="T186" s="56">
        <v>2737.9392650613472</v>
      </c>
      <c r="U186" s="56">
        <v>2737.9392650613472</v>
      </c>
      <c r="V186" s="56">
        <v>2719.2518054204393</v>
      </c>
      <c r="W186" s="56">
        <v>2285.1790851936321</v>
      </c>
      <c r="X186" s="56">
        <v>2285.1790851936321</v>
      </c>
      <c r="Y186" t="s">
        <v>114</v>
      </c>
    </row>
    <row r="187" spans="12:25" x14ac:dyDescent="0.25">
      <c r="L187" t="s">
        <v>372</v>
      </c>
      <c r="M187" s="56">
        <v>3155.0137731691034</v>
      </c>
      <c r="N187" s="56">
        <v>3158.843897542064</v>
      </c>
      <c r="O187" s="56">
        <v>3153.2390488956435</v>
      </c>
      <c r="P187" s="56">
        <v>3113.7390476834648</v>
      </c>
      <c r="Q187" s="56">
        <v>3106.2583357990256</v>
      </c>
      <c r="R187" s="56">
        <v>3058.9361310760278</v>
      </c>
      <c r="S187" s="56">
        <v>3174.6588757564946</v>
      </c>
      <c r="T187" s="56">
        <v>3192.6588757564946</v>
      </c>
      <c r="U187" s="56">
        <v>3192.6588757564946</v>
      </c>
      <c r="V187" s="56">
        <v>3170.6351634953139</v>
      </c>
      <c r="W187" s="56">
        <v>2685.6686161694442</v>
      </c>
      <c r="X187" s="56">
        <v>2685.6686161694442</v>
      </c>
      <c r="Y187" t="s">
        <v>114</v>
      </c>
    </row>
    <row r="188" spans="12:25" x14ac:dyDescent="0.25">
      <c r="L188" t="s">
        <v>373</v>
      </c>
      <c r="M188" s="56">
        <v>3414.4973760016669</v>
      </c>
      <c r="N188" s="56">
        <v>3418.4713299169243</v>
      </c>
      <c r="O188" s="56">
        <v>3412.8187295259645</v>
      </c>
      <c r="P188" s="56">
        <v>3368.9709024285235</v>
      </c>
      <c r="Q188" s="56">
        <v>3360.618019562989</v>
      </c>
      <c r="R188" s="56">
        <v>3311.12029523311</v>
      </c>
      <c r="S188" s="56">
        <v>3436.1377569931606</v>
      </c>
      <c r="T188" s="56">
        <v>3456.1377569931606</v>
      </c>
      <c r="U188" s="56">
        <v>3456.1377569931606</v>
      </c>
      <c r="V188" s="56">
        <v>3431.8942200963634</v>
      </c>
      <c r="W188" s="56">
        <v>3178.031322370387</v>
      </c>
      <c r="X188" s="56">
        <v>3178.031322370387</v>
      </c>
      <c r="Y188" t="s">
        <v>114</v>
      </c>
    </row>
    <row r="189" spans="12:25" x14ac:dyDescent="0.25">
      <c r="L189" t="s">
        <v>374</v>
      </c>
      <c r="M189" s="56">
        <v>4060.3600823319307</v>
      </c>
      <c r="N189" s="56">
        <v>4064.6215253854025</v>
      </c>
      <c r="O189" s="56">
        <v>4058.9400967601932</v>
      </c>
      <c r="P189" s="56">
        <v>4006.386671453412</v>
      </c>
      <c r="Q189" s="56">
        <v>3994.6030163646083</v>
      </c>
      <c r="R189" s="56">
        <v>3940.5949061160863</v>
      </c>
      <c r="S189" s="56">
        <v>3939.636348414203</v>
      </c>
      <c r="T189" s="56">
        <v>3963.636348414203</v>
      </c>
      <c r="U189" s="56">
        <v>3963.636348414203</v>
      </c>
      <c r="V189" s="56">
        <v>3934.9448406487236</v>
      </c>
      <c r="W189" s="56">
        <v>3471.9191895569811</v>
      </c>
      <c r="X189" s="56">
        <v>3471.9191895569811</v>
      </c>
      <c r="Y189" t="s">
        <v>114</v>
      </c>
    </row>
    <row r="190" spans="12:25" x14ac:dyDescent="0.25">
      <c r="L190" t="s">
        <v>375</v>
      </c>
      <c r="M190" s="56">
        <v>4911.7175522029456</v>
      </c>
      <c r="N190" s="56">
        <v>4916.4102399434996</v>
      </c>
      <c r="O190" s="56">
        <v>4910.6823787044577</v>
      </c>
      <c r="P190" s="56">
        <v>4845.0710016360454</v>
      </c>
      <c r="Q190" s="56">
        <v>4830.1219042433459</v>
      </c>
      <c r="R190" s="56">
        <v>4769.3556136491134</v>
      </c>
      <c r="S190" s="56">
        <v>4762.3207224189136</v>
      </c>
      <c r="T190" s="56">
        <v>4792.3207224189136</v>
      </c>
      <c r="U190" s="56">
        <v>4792.3207224189136</v>
      </c>
      <c r="V190" s="56">
        <v>4756.9576509082417</v>
      </c>
      <c r="W190" s="56">
        <v>4126.8940767846179</v>
      </c>
      <c r="X190" s="56">
        <v>4126.8940767846179</v>
      </c>
      <c r="Y190" t="s">
        <v>114</v>
      </c>
    </row>
    <row r="191" spans="12:25" x14ac:dyDescent="0.25">
      <c r="L191" t="s">
        <v>387</v>
      </c>
      <c r="M191" s="56">
        <v>139.96306273421786</v>
      </c>
      <c r="N191" s="56">
        <v>139.96306273421786</v>
      </c>
      <c r="O191" s="56">
        <v>139.96306273421786</v>
      </c>
      <c r="P191" s="56">
        <v>139.96306273421786</v>
      </c>
      <c r="Q191" s="56">
        <v>139.96306273421786</v>
      </c>
      <c r="R191" s="56">
        <v>139.96306273421786</v>
      </c>
      <c r="S191" s="56">
        <v>139.96306273421786</v>
      </c>
      <c r="T191" s="56">
        <v>139.96306273421786</v>
      </c>
      <c r="U191" s="56">
        <v>139.96306273421786</v>
      </c>
      <c r="V191" s="56">
        <v>139.96306273421786</v>
      </c>
      <c r="W191" s="56">
        <v>139.96306273421786</v>
      </c>
      <c r="X191" s="56">
        <v>139.96306273421786</v>
      </c>
      <c r="Y191" t="s">
        <v>114</v>
      </c>
    </row>
    <row r="192" spans="12:25" x14ac:dyDescent="0.25">
      <c r="L192" t="s">
        <v>380</v>
      </c>
      <c r="M192" s="56">
        <v>1.3321126418522058</v>
      </c>
      <c r="N192" s="56">
        <v>1.3232228112272608</v>
      </c>
      <c r="O192" s="56">
        <v>1.2939479018532432</v>
      </c>
      <c r="P192" s="56">
        <v>1.2717187118973494</v>
      </c>
      <c r="Q192" s="56">
        <v>1.2794687697338336</v>
      </c>
      <c r="R192" s="56">
        <v>1.1856532685539096</v>
      </c>
      <c r="S192" s="56">
        <v>1.1856532685539096</v>
      </c>
      <c r="T192" s="56">
        <v>1.1856532685539096</v>
      </c>
      <c r="U192" s="56">
        <v>1.1856532685539096</v>
      </c>
      <c r="V192" s="56">
        <v>1.1856532685539096</v>
      </c>
      <c r="W192" s="56">
        <v>1.2972646775821701</v>
      </c>
      <c r="X192" s="56">
        <v>1.2972646775821701</v>
      </c>
      <c r="Y192" t="s">
        <v>114</v>
      </c>
    </row>
    <row r="193" spans="12:25" x14ac:dyDescent="0.25">
      <c r="L193" t="s">
        <v>379</v>
      </c>
      <c r="M193" s="56">
        <v>1137.8117520000003</v>
      </c>
      <c r="N193" s="56">
        <v>1137.8117520000003</v>
      </c>
      <c r="O193" s="56">
        <v>1126.9754496</v>
      </c>
      <c r="P193" s="56">
        <v>1126.9754496</v>
      </c>
      <c r="Q193" s="56">
        <v>1126.9754496</v>
      </c>
      <c r="R193" s="56">
        <v>1099.8846936000002</v>
      </c>
      <c r="S193" s="56">
        <v>1029.4487280000001</v>
      </c>
      <c r="T193" s="56">
        <v>1029.4487280000001</v>
      </c>
      <c r="U193" s="56">
        <v>1029.4487280000001</v>
      </c>
      <c r="V193" s="56">
        <v>1015.90335</v>
      </c>
      <c r="W193" s="56">
        <v>1015.90335</v>
      </c>
      <c r="X193" s="56">
        <v>1015.90335</v>
      </c>
      <c r="Y193" t="s">
        <v>114</v>
      </c>
    </row>
    <row r="194" spans="12:25" x14ac:dyDescent="0.25">
      <c r="L194" t="s">
        <v>381</v>
      </c>
      <c r="M194" s="56">
        <v>0</v>
      </c>
      <c r="N194" s="56">
        <v>0</v>
      </c>
      <c r="O194" s="56">
        <v>0</v>
      </c>
      <c r="P194" s="56">
        <v>0</v>
      </c>
      <c r="Q194" s="56">
        <v>0</v>
      </c>
      <c r="R194" s="56">
        <v>0</v>
      </c>
      <c r="S194" s="56">
        <v>0</v>
      </c>
      <c r="T194" s="56">
        <v>0</v>
      </c>
      <c r="U194" s="56">
        <v>0</v>
      </c>
      <c r="V194" s="56">
        <v>0</v>
      </c>
      <c r="W194" s="56">
        <v>0</v>
      </c>
      <c r="X194" s="56">
        <v>0</v>
      </c>
      <c r="Y194" t="s">
        <v>114</v>
      </c>
    </row>
    <row r="195" spans="12:25" x14ac:dyDescent="0.25">
      <c r="L195" t="s">
        <v>398</v>
      </c>
      <c r="M195" s="56">
        <v>1792.8131760000001</v>
      </c>
      <c r="N195" s="56">
        <v>1792.8131760000001</v>
      </c>
      <c r="O195" s="56">
        <v>1775.7387648000001</v>
      </c>
      <c r="P195" s="56">
        <v>1775.7387648000001</v>
      </c>
      <c r="Q195" s="56">
        <v>1775.7387648000001</v>
      </c>
      <c r="R195" s="56">
        <v>1733.0527368</v>
      </c>
      <c r="S195" s="56">
        <v>1622.069064</v>
      </c>
      <c r="T195" s="56">
        <v>1622.069064</v>
      </c>
      <c r="U195" s="56">
        <v>1622.069064</v>
      </c>
      <c r="V195" s="56">
        <v>1600.72605</v>
      </c>
      <c r="W195" s="56">
        <v>1600.72605</v>
      </c>
      <c r="X195" s="56">
        <v>1600.72605</v>
      </c>
      <c r="Y195" t="s">
        <v>114</v>
      </c>
    </row>
    <row r="196" spans="12:25" x14ac:dyDescent="0.25">
      <c r="L196" t="s">
        <v>400</v>
      </c>
      <c r="M196" s="56">
        <v>14.309585342105265</v>
      </c>
      <c r="N196" s="56">
        <v>14.718584695719938</v>
      </c>
      <c r="O196" s="56">
        <v>14.718584695719938</v>
      </c>
      <c r="P196" s="56">
        <v>14.718584695719938</v>
      </c>
      <c r="Q196" s="56">
        <v>14.718584695719938</v>
      </c>
      <c r="R196" s="56">
        <v>14.718584695719938</v>
      </c>
      <c r="S196" s="56">
        <v>14.718584695719938</v>
      </c>
      <c r="T196" s="56">
        <v>14.718584695719938</v>
      </c>
      <c r="U196" s="56">
        <v>14.718584695719938</v>
      </c>
      <c r="V196" s="56">
        <v>14.894921970976041</v>
      </c>
      <c r="W196" s="56">
        <v>15.894203999999998</v>
      </c>
      <c r="X196" s="56">
        <v>15.894203999999998</v>
      </c>
      <c r="Y196" t="s">
        <v>114</v>
      </c>
    </row>
    <row r="197" spans="12:25" x14ac:dyDescent="0.25">
      <c r="L197" t="s">
        <v>393</v>
      </c>
      <c r="M197" s="56">
        <v>3.3669164042663287</v>
      </c>
      <c r="N197" s="56">
        <v>3.3669164042663287</v>
      </c>
      <c r="O197" s="56">
        <v>3.3669164042663287</v>
      </c>
      <c r="P197" s="56">
        <v>3.3669164042663287</v>
      </c>
      <c r="Q197" s="56">
        <v>3.3669164042663287</v>
      </c>
      <c r="R197" s="56">
        <v>3.3669164042663287</v>
      </c>
      <c r="S197" s="56">
        <v>3.3669164042663287</v>
      </c>
      <c r="T197" s="56">
        <v>3.3669164042663287</v>
      </c>
      <c r="U197" s="56">
        <v>3.3669164042663287</v>
      </c>
      <c r="V197" s="56">
        <v>2.7363271960312043</v>
      </c>
      <c r="W197" s="56">
        <v>2.95</v>
      </c>
      <c r="X197" s="56">
        <v>2.95</v>
      </c>
      <c r="Y197" t="s">
        <v>114</v>
      </c>
    </row>
    <row r="198" spans="12:25" x14ac:dyDescent="0.25">
      <c r="L198" t="s">
        <v>394</v>
      </c>
      <c r="M198" s="56">
        <v>35.292382902469491</v>
      </c>
      <c r="N198" s="56">
        <v>36.64809958036097</v>
      </c>
      <c r="O198" s="56">
        <v>35.292382902469491</v>
      </c>
      <c r="P198" s="56">
        <v>36.680964787427513</v>
      </c>
      <c r="Q198" s="56">
        <v>36.759599818778852</v>
      </c>
      <c r="R198" s="56">
        <v>36.759599818778852</v>
      </c>
      <c r="S198" s="56">
        <v>33.740556338293345</v>
      </c>
      <c r="T198" s="56">
        <v>33.740556338293345</v>
      </c>
      <c r="U198" s="56">
        <v>33.740556338293345</v>
      </c>
      <c r="V198" s="56">
        <v>31.799662982571956</v>
      </c>
      <c r="W198" s="56">
        <v>35.372540215058308</v>
      </c>
      <c r="X198" s="56">
        <v>35.372540215058308</v>
      </c>
      <c r="Y198" t="s">
        <v>114</v>
      </c>
    </row>
    <row r="199" spans="12:25" x14ac:dyDescent="0.25">
      <c r="L199" t="s">
        <v>391</v>
      </c>
      <c r="M199" s="56">
        <v>0</v>
      </c>
      <c r="N199" s="56">
        <v>0</v>
      </c>
      <c r="O199" s="56">
        <v>0</v>
      </c>
      <c r="P199" s="56">
        <v>0</v>
      </c>
      <c r="Q199" s="56">
        <v>0</v>
      </c>
      <c r="R199" s="56">
        <v>0</v>
      </c>
      <c r="S199" s="56">
        <v>0</v>
      </c>
      <c r="T199" s="56">
        <v>0</v>
      </c>
      <c r="U199" s="56">
        <v>0</v>
      </c>
      <c r="V199" s="56">
        <v>0</v>
      </c>
      <c r="W199" s="56">
        <v>0</v>
      </c>
      <c r="X199" s="56">
        <v>0</v>
      </c>
      <c r="Y199" t="s">
        <v>114</v>
      </c>
    </row>
    <row r="200" spans="12:25" x14ac:dyDescent="0.25">
      <c r="L200" t="s">
        <v>408</v>
      </c>
      <c r="M200" s="56">
        <v>0.5896615897690487</v>
      </c>
      <c r="N200" s="56">
        <v>0.5896615897690487</v>
      </c>
      <c r="O200" s="56">
        <v>0.5896615897690487</v>
      </c>
      <c r="P200" s="56">
        <v>0.5896615897690487</v>
      </c>
      <c r="Q200" s="56">
        <v>0.5896615897690487</v>
      </c>
      <c r="R200" s="56">
        <v>0.58966158976904859</v>
      </c>
      <c r="S200" s="56">
        <v>0.58966158976904859</v>
      </c>
      <c r="T200" s="56">
        <v>0.58966158976904859</v>
      </c>
      <c r="U200" s="56">
        <v>0.58966158976904859</v>
      </c>
      <c r="V200" s="56">
        <v>0.58966158976904859</v>
      </c>
      <c r="W200" s="56">
        <v>0.58966158976904859</v>
      </c>
      <c r="X200" s="56">
        <v>0.58966158976904859</v>
      </c>
      <c r="Y200" t="s">
        <v>114</v>
      </c>
    </row>
    <row r="201" spans="12:25" x14ac:dyDescent="0.25">
      <c r="L201" t="s">
        <v>411</v>
      </c>
      <c r="M201" s="56">
        <v>869.42255832830972</v>
      </c>
      <c r="N201" s="56">
        <v>869.42255832830972</v>
      </c>
      <c r="O201" s="56">
        <v>869.42255832830972</v>
      </c>
      <c r="P201" s="56">
        <v>897.63666638049472</v>
      </c>
      <c r="Q201" s="56">
        <v>897.63666638049472</v>
      </c>
      <c r="R201" s="56">
        <v>897.63666638049472</v>
      </c>
      <c r="S201" s="56">
        <v>771.5992479446827</v>
      </c>
      <c r="T201" s="56">
        <v>771.5992479446827</v>
      </c>
      <c r="U201" s="56">
        <v>771.5992479446827</v>
      </c>
      <c r="V201" s="56">
        <v>771.5992479446827</v>
      </c>
      <c r="W201" s="56">
        <v>771.5992479446827</v>
      </c>
      <c r="X201" s="56">
        <v>771.5992479446827</v>
      </c>
      <c r="Y201" t="s">
        <v>114</v>
      </c>
    </row>
    <row r="202" spans="12:25" x14ac:dyDescent="0.25">
      <c r="L202" t="s">
        <v>413</v>
      </c>
      <c r="M202" s="56">
        <v>1476.503707833574</v>
      </c>
      <c r="N202" s="56">
        <v>1484.3652562565424</v>
      </c>
      <c r="O202" s="56">
        <v>1486.9481504098644</v>
      </c>
      <c r="P202" s="56">
        <v>1476.2665876416693</v>
      </c>
      <c r="Q202" s="56">
        <v>1423.9216103286485</v>
      </c>
      <c r="R202" s="56">
        <v>1423.9216103286485</v>
      </c>
      <c r="S202" s="56">
        <v>1410.929145940082</v>
      </c>
      <c r="T202" s="56">
        <v>1410.929145940082</v>
      </c>
      <c r="U202" s="56">
        <v>1410.929145940082</v>
      </c>
      <c r="V202" s="56">
        <v>1410.929145940082</v>
      </c>
      <c r="W202" s="56">
        <v>1410.929145940082</v>
      </c>
      <c r="X202" s="56">
        <v>1410.929145940082</v>
      </c>
      <c r="Y202" t="s">
        <v>114</v>
      </c>
    </row>
    <row r="203" spans="12:25" x14ac:dyDescent="0.25">
      <c r="L203" t="s">
        <v>412</v>
      </c>
      <c r="M203" s="56">
        <v>1583.0556031980195</v>
      </c>
      <c r="N203" s="56">
        <v>1773.1298646456723</v>
      </c>
      <c r="O203" s="56">
        <v>1779.6989958976628</v>
      </c>
      <c r="P203" s="56">
        <v>1761.8260905896973</v>
      </c>
      <c r="Q203" s="56">
        <v>1705.481997188152</v>
      </c>
      <c r="R203" s="56">
        <v>1674.6622668743244</v>
      </c>
      <c r="S203" s="56">
        <v>1575.5649144024551</v>
      </c>
      <c r="T203" s="56">
        <v>1575.5649144024551</v>
      </c>
      <c r="U203" s="56">
        <v>1575.5649144024551</v>
      </c>
      <c r="V203" s="56">
        <v>1434.1166887922991</v>
      </c>
      <c r="W203" s="56">
        <v>1402.8876856066834</v>
      </c>
      <c r="X203" s="56">
        <v>1402.8876856066834</v>
      </c>
      <c r="Y203" t="s">
        <v>114</v>
      </c>
    </row>
    <row r="204" spans="12:25" x14ac:dyDescent="0.25">
      <c r="L204" t="s">
        <v>414</v>
      </c>
      <c r="M204" s="56">
        <v>1575.9</v>
      </c>
      <c r="N204" s="56">
        <v>1575.9</v>
      </c>
      <c r="O204" s="56">
        <v>1575.9</v>
      </c>
      <c r="P204" s="56">
        <v>1575.9</v>
      </c>
      <c r="Q204" s="56">
        <v>1575.9</v>
      </c>
      <c r="R204" s="56">
        <v>1575.9</v>
      </c>
      <c r="S204" s="56">
        <v>1575.9</v>
      </c>
      <c r="T204" s="56">
        <v>1575.9</v>
      </c>
      <c r="U204" s="56">
        <v>1575.9</v>
      </c>
      <c r="V204" s="56">
        <v>1575.9</v>
      </c>
      <c r="W204" s="56">
        <v>1575.9</v>
      </c>
      <c r="X204" s="56">
        <v>1575.9</v>
      </c>
      <c r="Y204" t="s">
        <v>114</v>
      </c>
    </row>
    <row r="205" spans="12:25" x14ac:dyDescent="0.25">
      <c r="L205" t="s">
        <v>456</v>
      </c>
      <c r="M205" s="56">
        <v>0</v>
      </c>
      <c r="N205" s="56">
        <v>0</v>
      </c>
      <c r="O205" s="56">
        <v>0</v>
      </c>
      <c r="P205" s="56">
        <v>0</v>
      </c>
      <c r="Q205" s="56">
        <v>0</v>
      </c>
      <c r="R205" s="56">
        <v>0</v>
      </c>
      <c r="S205" s="56">
        <v>0</v>
      </c>
      <c r="T205" s="56">
        <v>0</v>
      </c>
      <c r="U205" s="56">
        <v>0</v>
      </c>
      <c r="V205" s="56">
        <v>0</v>
      </c>
      <c r="W205" s="56">
        <v>0</v>
      </c>
      <c r="X205" s="56">
        <v>0</v>
      </c>
      <c r="Y205" t="s">
        <v>461</v>
      </c>
    </row>
    <row r="206" spans="12:25" x14ac:dyDescent="0.25">
      <c r="L206" t="s">
        <v>457</v>
      </c>
      <c r="M206" s="56">
        <v>0</v>
      </c>
      <c r="N206" s="56">
        <v>0</v>
      </c>
      <c r="O206" s="56">
        <v>0</v>
      </c>
      <c r="P206" s="56">
        <v>0</v>
      </c>
      <c r="Q206" s="56">
        <v>0</v>
      </c>
      <c r="R206" s="56">
        <v>0</v>
      </c>
      <c r="S206" s="56">
        <v>0</v>
      </c>
      <c r="T206" s="56">
        <v>0</v>
      </c>
      <c r="U206" s="56">
        <v>0</v>
      </c>
      <c r="V206" s="56">
        <v>0</v>
      </c>
      <c r="W206" s="56">
        <v>0</v>
      </c>
      <c r="X206" s="56">
        <v>0</v>
      </c>
      <c r="Y206" t="s">
        <v>461</v>
      </c>
    </row>
    <row r="207" spans="12:25" x14ac:dyDescent="0.25">
      <c r="L207" t="s">
        <v>458</v>
      </c>
      <c r="M207" s="56">
        <v>0</v>
      </c>
      <c r="N207" s="56">
        <v>0</v>
      </c>
      <c r="O207" s="56">
        <v>0</v>
      </c>
      <c r="P207" s="56">
        <v>0</v>
      </c>
      <c r="Q207" s="56">
        <v>0</v>
      </c>
      <c r="R207" s="56">
        <v>0</v>
      </c>
      <c r="S207" s="56">
        <v>0</v>
      </c>
      <c r="T207" s="56">
        <v>0</v>
      </c>
      <c r="U207" s="56">
        <v>0</v>
      </c>
      <c r="V207" s="56">
        <v>0</v>
      </c>
      <c r="W207" s="56">
        <v>0</v>
      </c>
      <c r="X207" s="56">
        <v>0</v>
      </c>
      <c r="Y207" t="s">
        <v>461</v>
      </c>
    </row>
    <row r="208" spans="12:25" x14ac:dyDescent="0.25">
      <c r="L208" t="s">
        <v>415</v>
      </c>
      <c r="M208" s="56">
        <v>0</v>
      </c>
      <c r="N208" s="56">
        <v>0</v>
      </c>
      <c r="O208" s="56">
        <v>0</v>
      </c>
      <c r="P208" s="56">
        <v>0</v>
      </c>
      <c r="Q208" s="56">
        <v>0</v>
      </c>
      <c r="R208" s="56">
        <v>0</v>
      </c>
      <c r="S208" s="56">
        <v>0</v>
      </c>
      <c r="T208" s="56">
        <v>0</v>
      </c>
      <c r="U208" s="56">
        <v>0</v>
      </c>
      <c r="V208" s="56">
        <v>0</v>
      </c>
      <c r="W208" s="56">
        <v>0</v>
      </c>
      <c r="X208" s="56">
        <v>0</v>
      </c>
      <c r="Y208" t="s">
        <v>114</v>
      </c>
    </row>
    <row r="209" spans="12:25" x14ac:dyDescent="0.25">
      <c r="L209" t="s">
        <v>420</v>
      </c>
      <c r="M209" s="56">
        <v>0</v>
      </c>
      <c r="N209" s="56">
        <v>0</v>
      </c>
      <c r="O209" s="56">
        <v>0</v>
      </c>
      <c r="P209" s="56">
        <v>0</v>
      </c>
      <c r="Q209" s="56">
        <v>0</v>
      </c>
      <c r="R209" s="56">
        <v>0</v>
      </c>
      <c r="S209" s="56">
        <v>0</v>
      </c>
      <c r="T209" s="56">
        <v>0</v>
      </c>
      <c r="U209" s="56">
        <v>0</v>
      </c>
      <c r="V209" s="56">
        <v>0</v>
      </c>
      <c r="W209" s="56">
        <v>0</v>
      </c>
      <c r="X209" s="56">
        <v>0</v>
      </c>
      <c r="Y209" t="s">
        <v>114</v>
      </c>
    </row>
    <row r="210" spans="12:25" x14ac:dyDescent="0.25">
      <c r="L210" t="s">
        <v>417</v>
      </c>
      <c r="M210" s="56">
        <v>0</v>
      </c>
      <c r="N210" s="56">
        <v>0</v>
      </c>
      <c r="O210" s="56">
        <v>0</v>
      </c>
      <c r="P210" s="56">
        <v>0</v>
      </c>
      <c r="Q210" s="56">
        <v>0</v>
      </c>
      <c r="R210" s="56">
        <v>0</v>
      </c>
      <c r="S210" s="56">
        <v>0</v>
      </c>
      <c r="T210" s="56">
        <v>0</v>
      </c>
      <c r="U210" s="56">
        <v>0</v>
      </c>
      <c r="V210" s="56">
        <v>0</v>
      </c>
      <c r="W210" s="56">
        <v>0</v>
      </c>
      <c r="X210" s="56">
        <v>0</v>
      </c>
      <c r="Y210" t="s">
        <v>113</v>
      </c>
    </row>
    <row r="211" spans="12:25" x14ac:dyDescent="0.25">
      <c r="L211" t="s">
        <v>409</v>
      </c>
      <c r="M211" s="56">
        <v>0</v>
      </c>
      <c r="N211" s="56">
        <v>0</v>
      </c>
      <c r="O211" s="56">
        <v>0</v>
      </c>
      <c r="P211" s="56">
        <v>0</v>
      </c>
      <c r="Q211" s="56">
        <v>0</v>
      </c>
      <c r="R211" s="56">
        <v>0</v>
      </c>
      <c r="S211" s="56">
        <v>0</v>
      </c>
      <c r="T211" s="56">
        <v>0</v>
      </c>
      <c r="U211" s="56">
        <v>0</v>
      </c>
      <c r="V211" s="56">
        <v>0</v>
      </c>
      <c r="W211" s="56">
        <v>0</v>
      </c>
      <c r="X211" s="56">
        <v>0</v>
      </c>
      <c r="Y211" t="s">
        <v>114</v>
      </c>
    </row>
    <row r="212" spans="12:25" x14ac:dyDescent="0.25">
      <c r="L212" t="s">
        <v>463</v>
      </c>
      <c r="M212" s="56">
        <v>7.7904370069210511</v>
      </c>
      <c r="N212" s="56">
        <v>7.7904370069210511</v>
      </c>
      <c r="O212" s="56">
        <v>7.7904370069210511</v>
      </c>
      <c r="P212" s="56">
        <v>7.7904370069210511</v>
      </c>
      <c r="Q212" s="56">
        <v>7.7904370069210511</v>
      </c>
      <c r="R212" s="56">
        <v>7.7904370069210511</v>
      </c>
      <c r="S212" s="56">
        <v>7.7904370069210511</v>
      </c>
      <c r="T212" s="56">
        <v>7.7904370069210511</v>
      </c>
      <c r="U212" s="56">
        <v>7.7904370069210511</v>
      </c>
      <c r="V212" s="56">
        <v>8.4646471960312031</v>
      </c>
      <c r="W212" s="56">
        <v>8.4635629201995961</v>
      </c>
      <c r="X212" s="56">
        <v>8.4635629201995961</v>
      </c>
      <c r="Y212" t="s">
        <v>114</v>
      </c>
    </row>
    <row r="213" spans="12:25" x14ac:dyDescent="0.25">
      <c r="L213" t="s">
        <v>672</v>
      </c>
      <c r="M213" s="56">
        <v>2469.1536566259715</v>
      </c>
      <c r="N213" s="56">
        <v>2469.1536566259715</v>
      </c>
      <c r="O213" s="56">
        <v>2199.549066632932</v>
      </c>
      <c r="P213" s="56">
        <v>0</v>
      </c>
      <c r="Q213" s="56">
        <v>0</v>
      </c>
      <c r="R213" s="56">
        <v>0</v>
      </c>
      <c r="S213" s="56">
        <v>0</v>
      </c>
      <c r="T213" s="56">
        <v>0</v>
      </c>
      <c r="U213" s="56">
        <v>0</v>
      </c>
      <c r="V213" s="56">
        <v>0</v>
      </c>
      <c r="W213" s="56">
        <v>0</v>
      </c>
      <c r="X213" s="56">
        <v>0</v>
      </c>
      <c r="Y213" t="s">
        <v>114</v>
      </c>
    </row>
    <row r="214" spans="12:25" x14ac:dyDescent="0.25">
      <c r="L214" t="s">
        <v>464</v>
      </c>
      <c r="M214" s="56">
        <v>3736.4426845932721</v>
      </c>
      <c r="N214" s="56">
        <v>3740.7396869692434</v>
      </c>
      <c r="O214" s="56">
        <v>0</v>
      </c>
      <c r="P214" s="56">
        <v>0</v>
      </c>
      <c r="Q214" s="56">
        <v>0</v>
      </c>
      <c r="R214" s="56">
        <v>0</v>
      </c>
      <c r="S214" s="56">
        <v>0</v>
      </c>
      <c r="T214" s="56">
        <v>0</v>
      </c>
      <c r="U214" s="56">
        <v>0</v>
      </c>
      <c r="V214" s="56">
        <v>0</v>
      </c>
      <c r="W214" s="56">
        <v>0</v>
      </c>
      <c r="X214" s="56">
        <v>0</v>
      </c>
      <c r="Y214" t="s">
        <v>114</v>
      </c>
    </row>
    <row r="215" spans="12:25" x14ac:dyDescent="0.25">
      <c r="L215" t="s">
        <v>465</v>
      </c>
      <c r="M215" s="56">
        <v>1</v>
      </c>
      <c r="N215" s="56">
        <v>1</v>
      </c>
      <c r="O215" s="56">
        <v>1</v>
      </c>
      <c r="P215" s="56">
        <v>1</v>
      </c>
      <c r="Q215" s="56">
        <v>1</v>
      </c>
      <c r="R215" s="56">
        <v>1</v>
      </c>
      <c r="S215" s="56">
        <v>1</v>
      </c>
      <c r="T215" s="56">
        <v>1</v>
      </c>
      <c r="U215" s="56">
        <v>1</v>
      </c>
      <c r="V215" s="56">
        <v>0.71368969603120447</v>
      </c>
      <c r="W215" s="56">
        <v>0.71368969603120447</v>
      </c>
      <c r="X215" s="56">
        <v>0.71368969603120447</v>
      </c>
      <c r="Y215" t="s">
        <v>114</v>
      </c>
    </row>
    <row r="216" spans="12:25" x14ac:dyDescent="0.25">
      <c r="L216" t="s">
        <v>467</v>
      </c>
      <c r="M216" s="56">
        <v>242.40573632300681</v>
      </c>
      <c r="N216" s="56">
        <v>237.67281565072824</v>
      </c>
      <c r="O216" s="56">
        <v>249.98123710281402</v>
      </c>
      <c r="P216" s="56">
        <v>246.84004342876827</v>
      </c>
      <c r="Q216" s="56">
        <v>254.80133943583877</v>
      </c>
      <c r="R216" s="56">
        <v>254.80133943583877</v>
      </c>
      <c r="S216" s="56">
        <v>254.80133943583877</v>
      </c>
      <c r="T216" s="56">
        <v>254.80133943583877</v>
      </c>
      <c r="U216" s="56">
        <v>254.80133943583877</v>
      </c>
      <c r="V216" s="56">
        <v>0</v>
      </c>
      <c r="W216" s="56">
        <v>252.00559595362233</v>
      </c>
      <c r="X216" s="56">
        <v>252.00559595362233</v>
      </c>
      <c r="Y216" t="s">
        <v>114</v>
      </c>
    </row>
    <row r="217" spans="12:25" x14ac:dyDescent="0.25">
      <c r="L217" t="s">
        <v>474</v>
      </c>
      <c r="M217" s="56">
        <v>728.97300000000007</v>
      </c>
      <c r="N217" s="56">
        <v>728.97300000000007</v>
      </c>
      <c r="O217" s="56">
        <v>728.97300000000007</v>
      </c>
      <c r="P217" s="56">
        <v>728.97300000000007</v>
      </c>
      <c r="Q217" s="56">
        <v>728.97300000000007</v>
      </c>
      <c r="R217" s="56">
        <v>728.97300000000007</v>
      </c>
      <c r="S217" s="56">
        <v>728.97300000000007</v>
      </c>
      <c r="T217" s="56">
        <v>728.97300000000007</v>
      </c>
      <c r="U217" s="56">
        <v>728.97300000000007</v>
      </c>
      <c r="V217" s="56">
        <v>728.97300000000007</v>
      </c>
      <c r="W217" s="56">
        <v>728.97300000000007</v>
      </c>
      <c r="X217" s="56">
        <v>728.97300000000007</v>
      </c>
      <c r="Y217" t="s">
        <v>114</v>
      </c>
    </row>
    <row r="218" spans="12:25" x14ac:dyDescent="0.25">
      <c r="L218" t="s">
        <v>481</v>
      </c>
      <c r="M218" s="56">
        <v>0</v>
      </c>
      <c r="N218" s="56">
        <v>0</v>
      </c>
      <c r="O218" s="56">
        <v>0</v>
      </c>
      <c r="P218" s="56">
        <v>0</v>
      </c>
      <c r="Q218" s="56">
        <v>0</v>
      </c>
      <c r="R218" s="56">
        <v>0</v>
      </c>
      <c r="S218" s="56">
        <v>0</v>
      </c>
      <c r="T218" s="56">
        <v>0</v>
      </c>
      <c r="U218" s="56">
        <v>0</v>
      </c>
      <c r="V218" s="56">
        <v>0</v>
      </c>
      <c r="W218" s="56">
        <v>0</v>
      </c>
      <c r="X218" s="56">
        <v>0</v>
      </c>
      <c r="Y218" t="s">
        <v>114</v>
      </c>
    </row>
    <row r="219" spans="12:25" x14ac:dyDescent="0.25">
      <c r="L219" t="s">
        <v>482</v>
      </c>
      <c r="M219" s="56">
        <v>0</v>
      </c>
      <c r="N219" s="56">
        <v>0</v>
      </c>
      <c r="O219" s="56">
        <v>0</v>
      </c>
      <c r="P219" s="56">
        <v>0</v>
      </c>
      <c r="Q219" s="56">
        <v>0</v>
      </c>
      <c r="R219" s="56">
        <v>0</v>
      </c>
      <c r="S219" s="56">
        <v>0</v>
      </c>
      <c r="T219" s="56">
        <v>0</v>
      </c>
      <c r="U219" s="56">
        <v>0</v>
      </c>
      <c r="V219" s="56">
        <v>0</v>
      </c>
      <c r="W219" s="56">
        <v>0</v>
      </c>
      <c r="X219" s="56">
        <v>0</v>
      </c>
      <c r="Y219" t="s">
        <v>114</v>
      </c>
    </row>
    <row r="220" spans="12:25" x14ac:dyDescent="0.25">
      <c r="L220" t="s">
        <v>509</v>
      </c>
      <c r="M220" s="56">
        <v>3669.9501917290395</v>
      </c>
      <c r="N220" s="56">
        <v>3657.3398331654712</v>
      </c>
      <c r="O220" s="56">
        <v>3675.9796310313072</v>
      </c>
      <c r="P220" s="56">
        <v>3662.1487699849458</v>
      </c>
      <c r="Q220" s="56">
        <v>3656.1478152741124</v>
      </c>
      <c r="R220" s="56">
        <v>3643.6453263952826</v>
      </c>
      <c r="S220" s="56">
        <v>3635.9990424005555</v>
      </c>
      <c r="T220" s="56">
        <v>3635.9990424005555</v>
      </c>
      <c r="U220" s="56">
        <v>3636.5954203701249</v>
      </c>
      <c r="V220" s="56">
        <v>3631.9909464803382</v>
      </c>
      <c r="W220" s="56">
        <v>2705.2916682623077</v>
      </c>
      <c r="X220" s="56">
        <v>2705.2916682623077</v>
      </c>
      <c r="Y220" t="s">
        <v>114</v>
      </c>
    </row>
    <row r="221" spans="12:25" x14ac:dyDescent="0.25">
      <c r="L221" t="s">
        <v>510</v>
      </c>
      <c r="M221" s="56">
        <v>2536.8694926072249</v>
      </c>
      <c r="N221" s="56">
        <v>2540.4714072753472</v>
      </c>
      <c r="O221" s="56">
        <v>0</v>
      </c>
      <c r="P221" s="56">
        <v>0</v>
      </c>
      <c r="Q221" s="56">
        <v>0</v>
      </c>
      <c r="R221" s="56">
        <v>0</v>
      </c>
      <c r="S221" s="56">
        <v>0</v>
      </c>
      <c r="T221" s="56">
        <v>0</v>
      </c>
      <c r="U221" s="56">
        <v>0</v>
      </c>
      <c r="V221" s="56">
        <v>0</v>
      </c>
      <c r="W221" s="56">
        <v>0</v>
      </c>
      <c r="X221" s="56">
        <v>0</v>
      </c>
      <c r="Y221" t="s">
        <v>114</v>
      </c>
    </row>
    <row r="222" spans="12:25" x14ac:dyDescent="0.25">
      <c r="L222" t="s">
        <v>514</v>
      </c>
      <c r="M222" s="56">
        <v>0</v>
      </c>
      <c r="N222" s="56">
        <v>0</v>
      </c>
      <c r="O222" s="56">
        <v>0</v>
      </c>
      <c r="P222" s="56">
        <v>0</v>
      </c>
      <c r="Q222" s="56">
        <v>0</v>
      </c>
      <c r="R222" s="56">
        <v>0</v>
      </c>
      <c r="S222" s="56">
        <v>0</v>
      </c>
      <c r="T222" s="56">
        <v>0</v>
      </c>
      <c r="U222" s="56">
        <v>0</v>
      </c>
      <c r="V222" s="56">
        <v>0</v>
      </c>
      <c r="W222" s="56">
        <v>0</v>
      </c>
      <c r="X222" s="56">
        <v>0</v>
      </c>
      <c r="Y222" t="s">
        <v>114</v>
      </c>
    </row>
    <row r="223" spans="12:25" x14ac:dyDescent="0.25">
      <c r="L223" t="s">
        <v>512</v>
      </c>
      <c r="M223" s="56">
        <v>1158.5268304711499</v>
      </c>
      <c r="N223" s="56">
        <v>1365.4390673378721</v>
      </c>
      <c r="O223" s="56">
        <v>1158.5268304711499</v>
      </c>
      <c r="P223" s="56">
        <v>1158.5268304711499</v>
      </c>
      <c r="Q223" s="56">
        <v>1158.5268304711499</v>
      </c>
      <c r="R223" s="56">
        <v>1323.2444828674163</v>
      </c>
      <c r="S223" s="56">
        <v>1242.718206515065</v>
      </c>
      <c r="T223" s="56">
        <v>1242.718206515065</v>
      </c>
      <c r="U223" s="56">
        <v>1242.718206515065</v>
      </c>
      <c r="V223" s="56">
        <v>1230.042400986785</v>
      </c>
      <c r="W223" s="56">
        <v>1230.042400986785</v>
      </c>
      <c r="X223" s="56">
        <v>1230.042400986785</v>
      </c>
      <c r="Y223" t="s">
        <v>461</v>
      </c>
    </row>
    <row r="224" spans="12:25" x14ac:dyDescent="0.25">
      <c r="L224" t="s">
        <v>513</v>
      </c>
      <c r="M224" s="56">
        <v>4540.8683045672115</v>
      </c>
      <c r="N224" s="56">
        <v>4545.6143312915156</v>
      </c>
      <c r="O224" s="56">
        <v>0</v>
      </c>
      <c r="P224" s="56">
        <v>0</v>
      </c>
      <c r="Q224" s="56">
        <v>0</v>
      </c>
      <c r="R224" s="56">
        <v>0</v>
      </c>
      <c r="S224" s="56">
        <v>0</v>
      </c>
      <c r="T224" s="56">
        <v>0</v>
      </c>
      <c r="U224" s="56">
        <v>0</v>
      </c>
      <c r="V224" s="56">
        <v>0</v>
      </c>
      <c r="W224" s="56">
        <v>0</v>
      </c>
      <c r="X224" s="56">
        <v>0</v>
      </c>
      <c r="Y224" t="s">
        <v>114</v>
      </c>
    </row>
    <row r="225" spans="12:25" x14ac:dyDescent="0.25">
      <c r="L225" t="s">
        <v>534</v>
      </c>
      <c r="M225" s="56">
        <v>0</v>
      </c>
      <c r="N225" s="56">
        <v>0</v>
      </c>
      <c r="O225" s="56">
        <v>0</v>
      </c>
      <c r="P225" s="56">
        <v>0</v>
      </c>
      <c r="Q225" s="56">
        <v>0</v>
      </c>
      <c r="R225" s="56">
        <v>0</v>
      </c>
      <c r="S225" s="56">
        <v>0</v>
      </c>
      <c r="T225" s="56">
        <v>0</v>
      </c>
      <c r="U225" s="56">
        <v>0</v>
      </c>
      <c r="V225" s="56">
        <v>0</v>
      </c>
      <c r="W225" s="56">
        <v>0</v>
      </c>
      <c r="X225" s="56">
        <v>0</v>
      </c>
      <c r="Y225" t="s">
        <v>114</v>
      </c>
    </row>
    <row r="226" spans="12:25" x14ac:dyDescent="0.25">
      <c r="L226" t="s">
        <v>520</v>
      </c>
      <c r="M226" s="56">
        <v>2219.3895867565307</v>
      </c>
      <c r="N226" s="56">
        <v>2222.8015975987619</v>
      </c>
      <c r="O226" s="56">
        <v>0</v>
      </c>
      <c r="P226" s="56">
        <v>0</v>
      </c>
      <c r="Q226" s="56">
        <v>0</v>
      </c>
      <c r="R226" s="56">
        <v>0</v>
      </c>
      <c r="S226" s="56">
        <v>0</v>
      </c>
      <c r="T226" s="56">
        <v>0</v>
      </c>
      <c r="U226" s="56">
        <v>0</v>
      </c>
      <c r="V226" s="56">
        <v>0</v>
      </c>
      <c r="W226" s="56">
        <v>0</v>
      </c>
      <c r="X226" s="56">
        <v>0</v>
      </c>
      <c r="Y226" t="s">
        <v>114</v>
      </c>
    </row>
    <row r="227" spans="12:25" x14ac:dyDescent="0.25">
      <c r="L227" t="s">
        <v>537</v>
      </c>
      <c r="M227" s="56">
        <v>3191.3346959999999</v>
      </c>
      <c r="N227" s="56">
        <v>3191.3346959999999</v>
      </c>
      <c r="O227" s="56">
        <v>3191.3346959999999</v>
      </c>
      <c r="P227" s="56">
        <v>3191.3346959999999</v>
      </c>
      <c r="Q227" s="56">
        <v>3191.3346959999999</v>
      </c>
      <c r="R227" s="56">
        <v>3191.3346959999999</v>
      </c>
      <c r="S227" s="56">
        <v>3191.3346959999999</v>
      </c>
      <c r="T227" s="56">
        <v>3191.3346959999999</v>
      </c>
      <c r="U227" s="56">
        <v>3191.3346959999999</v>
      </c>
      <c r="V227" s="56">
        <v>3191.3346959999999</v>
      </c>
      <c r="W227" s="56">
        <v>3191.3346959999999</v>
      </c>
      <c r="X227" s="56">
        <v>3191.3346959999999</v>
      </c>
      <c r="Y227" t="s">
        <v>114</v>
      </c>
    </row>
    <row r="228" spans="12:25" x14ac:dyDescent="0.25">
      <c r="L228" t="s">
        <v>536</v>
      </c>
      <c r="M228" s="56">
        <v>1862.0915617168903</v>
      </c>
      <c r="N228" s="56">
        <v>1862.0915617168903</v>
      </c>
      <c r="O228" s="56">
        <v>1862.0915617168903</v>
      </c>
      <c r="P228" s="56">
        <v>1862.0915617168903</v>
      </c>
      <c r="Q228" s="56">
        <v>1862.0915617168903</v>
      </c>
      <c r="R228" s="56">
        <v>1605.5780395876072</v>
      </c>
      <c r="S228" s="56">
        <v>1527.1159448116309</v>
      </c>
      <c r="T228" s="56">
        <v>1527.1159448116309</v>
      </c>
      <c r="U228" s="56">
        <v>1527.1159448116309</v>
      </c>
      <c r="V228" s="56">
        <v>1409.1840110592152</v>
      </c>
      <c r="W228" s="56">
        <v>1409.1840110592152</v>
      </c>
      <c r="X228" s="56">
        <v>1409.1840110592152</v>
      </c>
      <c r="Y228" t="s">
        <v>461</v>
      </c>
    </row>
    <row r="229" spans="12:25" x14ac:dyDescent="0.25">
      <c r="L229" t="s">
        <v>529</v>
      </c>
      <c r="M229" s="56">
        <v>2952.333664114487</v>
      </c>
      <c r="N229" s="56">
        <v>2956.1904579793222</v>
      </c>
      <c r="O229" s="56">
        <v>0</v>
      </c>
      <c r="P229" s="56">
        <v>0</v>
      </c>
      <c r="Q229" s="56">
        <v>0</v>
      </c>
      <c r="R229" s="56">
        <v>0</v>
      </c>
      <c r="S229" s="56">
        <v>0</v>
      </c>
      <c r="T229" s="56">
        <v>0</v>
      </c>
      <c r="U229" s="56">
        <v>0</v>
      </c>
      <c r="V229" s="56">
        <v>0</v>
      </c>
      <c r="W229" s="56">
        <v>0</v>
      </c>
      <c r="X229" s="56">
        <v>0</v>
      </c>
      <c r="Y229" t="s">
        <v>114</v>
      </c>
    </row>
    <row r="230" spans="12:25" x14ac:dyDescent="0.25">
      <c r="L230" t="s">
        <v>545</v>
      </c>
      <c r="M230" s="56">
        <v>99.030286632792155</v>
      </c>
      <c r="N230" s="56">
        <v>99.508608867921112</v>
      </c>
      <c r="O230" s="56">
        <v>101.10378417612846</v>
      </c>
      <c r="P230" s="56">
        <v>103.66617574190681</v>
      </c>
      <c r="Q230" s="56">
        <v>106.09571146796603</v>
      </c>
      <c r="R230" s="56">
        <v>106.09571146796603</v>
      </c>
      <c r="S230" s="56">
        <v>106.09571146796603</v>
      </c>
      <c r="T230" s="56">
        <v>106.09571146796603</v>
      </c>
      <c r="U230" s="56">
        <v>106.09571146796603</v>
      </c>
      <c r="V230" s="56">
        <v>106.09571146796601</v>
      </c>
      <c r="W230" s="56">
        <v>106.09571146796601</v>
      </c>
      <c r="X230" s="56">
        <v>106.09571146796601</v>
      </c>
      <c r="Y230" t="s">
        <v>114</v>
      </c>
    </row>
    <row r="231" spans="12:25" x14ac:dyDescent="0.25">
      <c r="L231" t="s">
        <v>544</v>
      </c>
      <c r="M231" s="56">
        <v>0</v>
      </c>
      <c r="N231" s="56">
        <v>0</v>
      </c>
      <c r="O231" s="56">
        <v>0</v>
      </c>
      <c r="P231" s="56">
        <v>0</v>
      </c>
      <c r="Q231" s="56">
        <v>0</v>
      </c>
      <c r="R231" s="56">
        <v>0</v>
      </c>
      <c r="S231" s="56">
        <v>0</v>
      </c>
      <c r="T231" s="56">
        <v>0</v>
      </c>
      <c r="U231" s="56">
        <v>0</v>
      </c>
      <c r="V231" s="56">
        <v>0</v>
      </c>
      <c r="W231" s="56">
        <v>0</v>
      </c>
      <c r="X231" s="56">
        <v>0</v>
      </c>
      <c r="Y231" t="s">
        <v>114</v>
      </c>
    </row>
    <row r="232" spans="12:25" x14ac:dyDescent="0.25">
      <c r="L232" t="s">
        <v>549</v>
      </c>
      <c r="M232" s="56">
        <v>0</v>
      </c>
      <c r="N232" s="56">
        <v>0</v>
      </c>
      <c r="O232" s="56">
        <v>0</v>
      </c>
      <c r="P232" s="56">
        <v>0</v>
      </c>
      <c r="Q232" s="56">
        <v>0</v>
      </c>
      <c r="R232" s="56">
        <v>0</v>
      </c>
      <c r="S232" s="56">
        <v>0</v>
      </c>
      <c r="T232" s="56">
        <v>0</v>
      </c>
      <c r="U232" s="56">
        <v>0</v>
      </c>
      <c r="V232" s="56">
        <v>0</v>
      </c>
      <c r="W232" s="56">
        <v>0</v>
      </c>
      <c r="X232" s="56">
        <v>0</v>
      </c>
      <c r="Y232" t="s">
        <v>114</v>
      </c>
    </row>
    <row r="233" spans="12:25" x14ac:dyDescent="0.25">
      <c r="L233" t="s">
        <v>553</v>
      </c>
      <c r="M233" s="56">
        <v>0</v>
      </c>
      <c r="N233" s="56">
        <v>0</v>
      </c>
      <c r="O233" s="56">
        <v>0</v>
      </c>
      <c r="P233" s="56">
        <v>0</v>
      </c>
      <c r="Q233" s="56">
        <v>0</v>
      </c>
      <c r="R233" s="56">
        <v>0</v>
      </c>
      <c r="S233" s="56">
        <v>0</v>
      </c>
      <c r="T233" s="56">
        <v>0</v>
      </c>
      <c r="U233" s="56">
        <v>0</v>
      </c>
      <c r="V233" s="56">
        <v>0</v>
      </c>
      <c r="W233" s="56">
        <v>0</v>
      </c>
      <c r="X233" s="56">
        <v>0</v>
      </c>
      <c r="Y233" t="s">
        <v>114</v>
      </c>
    </row>
    <row r="234" spans="12:25" x14ac:dyDescent="0.25">
      <c r="L234" t="s">
        <v>551</v>
      </c>
      <c r="M234" s="56">
        <v>0</v>
      </c>
      <c r="N234" s="56">
        <v>0</v>
      </c>
      <c r="O234" s="56">
        <v>0</v>
      </c>
      <c r="P234" s="56">
        <v>0</v>
      </c>
      <c r="Q234" s="56">
        <v>0</v>
      </c>
      <c r="R234" s="56">
        <v>0</v>
      </c>
      <c r="S234" s="56">
        <v>0</v>
      </c>
      <c r="T234" s="56">
        <v>0</v>
      </c>
      <c r="U234" s="56">
        <v>0</v>
      </c>
      <c r="V234" s="56">
        <v>0</v>
      </c>
      <c r="W234" s="56">
        <v>0</v>
      </c>
      <c r="X234" s="56">
        <v>0</v>
      </c>
      <c r="Y234" t="s">
        <v>114</v>
      </c>
    </row>
    <row r="235" spans="12:25" x14ac:dyDescent="0.25">
      <c r="L235" t="s">
        <v>552</v>
      </c>
      <c r="M235" s="56">
        <v>0</v>
      </c>
      <c r="N235" s="56">
        <v>0</v>
      </c>
      <c r="O235" s="56">
        <v>0</v>
      </c>
      <c r="P235" s="56">
        <v>0</v>
      </c>
      <c r="Q235" s="56">
        <v>0</v>
      </c>
      <c r="R235" s="56">
        <v>0</v>
      </c>
      <c r="S235" s="56">
        <v>0</v>
      </c>
      <c r="T235" s="56">
        <v>0</v>
      </c>
      <c r="U235" s="56">
        <v>0</v>
      </c>
      <c r="V235" s="56">
        <v>0</v>
      </c>
      <c r="W235" s="56">
        <v>0</v>
      </c>
      <c r="X235" s="56">
        <v>0</v>
      </c>
      <c r="Y235" t="s">
        <v>114</v>
      </c>
    </row>
    <row r="236" spans="12:25" x14ac:dyDescent="0.25">
      <c r="L236" t="s">
        <v>557</v>
      </c>
      <c r="M236" s="56">
        <v>0</v>
      </c>
      <c r="N236" s="56">
        <v>0</v>
      </c>
      <c r="O236" s="56">
        <v>0</v>
      </c>
      <c r="P236" s="56">
        <v>0</v>
      </c>
      <c r="Q236" s="56">
        <v>0</v>
      </c>
      <c r="R236" s="56">
        <v>0</v>
      </c>
      <c r="S236" s="56">
        <v>0</v>
      </c>
      <c r="T236" s="56">
        <v>0</v>
      </c>
      <c r="U236" s="56">
        <v>0</v>
      </c>
      <c r="V236" s="56">
        <v>0</v>
      </c>
      <c r="W236" s="56">
        <v>0</v>
      </c>
      <c r="X236" s="56">
        <v>0</v>
      </c>
      <c r="Y236" t="s">
        <v>114</v>
      </c>
    </row>
    <row r="237" spans="12:25" x14ac:dyDescent="0.25">
      <c r="L237" t="s">
        <v>556</v>
      </c>
      <c r="M237" s="56">
        <v>0</v>
      </c>
      <c r="N237" s="56">
        <v>0</v>
      </c>
      <c r="O237" s="56">
        <v>0</v>
      </c>
      <c r="P237" s="56">
        <v>0</v>
      </c>
      <c r="Q237" s="56">
        <v>0</v>
      </c>
      <c r="R237" s="56">
        <v>0</v>
      </c>
      <c r="S237" s="56">
        <v>0</v>
      </c>
      <c r="T237" s="56">
        <v>0</v>
      </c>
      <c r="U237" s="56">
        <v>0</v>
      </c>
      <c r="V237" s="56">
        <v>0</v>
      </c>
      <c r="W237" s="56">
        <v>0</v>
      </c>
      <c r="X237" s="56">
        <v>0</v>
      </c>
      <c r="Y237" t="s">
        <v>114</v>
      </c>
    </row>
    <row r="238" spans="12:25" x14ac:dyDescent="0.25">
      <c r="L238" t="s">
        <v>555</v>
      </c>
      <c r="M238" s="56">
        <v>143.37544969021465</v>
      </c>
      <c r="N238" s="56">
        <v>138.16420678280713</v>
      </c>
      <c r="O238" s="56">
        <v>148.87745292668555</v>
      </c>
      <c r="P238" s="56">
        <v>143.17386768686146</v>
      </c>
      <c r="Q238" s="56">
        <v>148.70562796787274</v>
      </c>
      <c r="R238" s="56">
        <v>148.70562796787274</v>
      </c>
      <c r="S238" s="56">
        <v>148.70562796787274</v>
      </c>
      <c r="T238" s="56">
        <v>148.70562796787274</v>
      </c>
      <c r="U238" s="56">
        <v>148.70562796787274</v>
      </c>
      <c r="V238" s="56">
        <v>148.70562796787274</v>
      </c>
      <c r="W238" s="56">
        <v>145.90988448565633</v>
      </c>
      <c r="X238" s="56">
        <v>145.90988448565633</v>
      </c>
      <c r="Y238" t="s">
        <v>114</v>
      </c>
    </row>
    <row r="239" spans="12:25" x14ac:dyDescent="0.25">
      <c r="L239" t="s">
        <v>559</v>
      </c>
      <c r="M239" s="56">
        <v>13025.596499999998</v>
      </c>
      <c r="N239" s="56">
        <v>13025.596499999998</v>
      </c>
      <c r="O239" s="56">
        <v>13025.596499999998</v>
      </c>
      <c r="P239" s="56">
        <v>12901.5432</v>
      </c>
      <c r="Q239" s="56">
        <v>12901.5432</v>
      </c>
      <c r="R239" s="56">
        <v>12591.409949999997</v>
      </c>
      <c r="S239" s="56">
        <v>12591.409949999997</v>
      </c>
      <c r="T239" s="56">
        <v>12591.409949999997</v>
      </c>
      <c r="U239" s="56">
        <v>12591.409949999997</v>
      </c>
      <c r="V239" s="56">
        <v>0</v>
      </c>
      <c r="W239" s="56">
        <v>0</v>
      </c>
      <c r="X239" s="56">
        <v>0</v>
      </c>
      <c r="Y239" t="s">
        <v>113</v>
      </c>
    </row>
    <row r="240" spans="12:25" x14ac:dyDescent="0.25">
      <c r="L240" t="s">
        <v>560</v>
      </c>
      <c r="M240" s="56">
        <v>0</v>
      </c>
      <c r="N240" s="56">
        <v>0</v>
      </c>
      <c r="O240" s="56">
        <v>0</v>
      </c>
      <c r="P240" s="56">
        <v>0</v>
      </c>
      <c r="Q240" s="56">
        <v>0</v>
      </c>
      <c r="R240" s="56">
        <v>0</v>
      </c>
      <c r="S240" s="56">
        <v>0</v>
      </c>
      <c r="T240" s="56">
        <v>0</v>
      </c>
      <c r="U240" s="56">
        <v>0</v>
      </c>
      <c r="V240" s="56">
        <v>0</v>
      </c>
      <c r="W240" s="56">
        <v>0</v>
      </c>
      <c r="X240" s="56">
        <v>0</v>
      </c>
      <c r="Y240" t="s">
        <v>114</v>
      </c>
    </row>
    <row r="241" spans="12:25" x14ac:dyDescent="0.25">
      <c r="L241" t="s">
        <v>561</v>
      </c>
      <c r="M241" s="56">
        <v>0</v>
      </c>
      <c r="N241" s="56">
        <v>0</v>
      </c>
      <c r="O241" s="56">
        <v>0</v>
      </c>
      <c r="P241" s="56">
        <v>0</v>
      </c>
      <c r="Q241" s="56">
        <v>0</v>
      </c>
      <c r="R241" s="56">
        <v>0</v>
      </c>
      <c r="S241" s="56">
        <v>0</v>
      </c>
      <c r="T241" s="56">
        <v>0</v>
      </c>
      <c r="U241" s="56">
        <v>0</v>
      </c>
      <c r="V241" s="56">
        <v>0</v>
      </c>
      <c r="W241" s="56">
        <v>0</v>
      </c>
      <c r="X241" s="56">
        <v>0</v>
      </c>
      <c r="Y241" t="s">
        <v>114</v>
      </c>
    </row>
    <row r="242" spans="12:25" x14ac:dyDescent="0.25">
      <c r="L242" t="s">
        <v>570</v>
      </c>
      <c r="M242" s="56">
        <v>764.32814223557261</v>
      </c>
      <c r="N242" s="56">
        <v>748.32198683623506</v>
      </c>
      <c r="O242" s="56">
        <v>725.54064032385202</v>
      </c>
      <c r="P242" s="56">
        <v>713.47583122302046</v>
      </c>
      <c r="Q242" s="56">
        <v>691.76779503336741</v>
      </c>
      <c r="R242" s="56">
        <v>689.1061423692779</v>
      </c>
      <c r="S242" s="56">
        <v>677.13944599349827</v>
      </c>
      <c r="T242" s="56">
        <v>703.80559452380942</v>
      </c>
      <c r="U242" s="56">
        <v>703.80559452380942</v>
      </c>
      <c r="V242" s="56">
        <v>666.63231928430253</v>
      </c>
      <c r="W242" s="56">
        <v>664.4187707296918</v>
      </c>
      <c r="X242" s="56">
        <v>664.4187707296918</v>
      </c>
      <c r="Y242" t="s">
        <v>114</v>
      </c>
    </row>
    <row r="243" spans="12:25" x14ac:dyDescent="0.25">
      <c r="L243" t="s">
        <v>571</v>
      </c>
      <c r="M243" s="56">
        <v>544.13931526923068</v>
      </c>
      <c r="N243" s="56">
        <v>532.88443502340158</v>
      </c>
      <c r="O243" s="56">
        <v>510.83143171027859</v>
      </c>
      <c r="P243" s="56">
        <v>472.97145683956944</v>
      </c>
      <c r="Q243" s="56">
        <v>482.40520748119252</v>
      </c>
      <c r="R243" s="56">
        <v>465.17085915857416</v>
      </c>
      <c r="S243" s="56">
        <v>448.92156911187664</v>
      </c>
      <c r="T243" s="56">
        <v>500.02288230769233</v>
      </c>
      <c r="U243" s="56">
        <v>500.02288230769233</v>
      </c>
      <c r="V243" s="56">
        <v>500.02288230769233</v>
      </c>
      <c r="W243" s="56">
        <v>500.02288230769233</v>
      </c>
      <c r="X243" s="56">
        <v>500.02288230769233</v>
      </c>
      <c r="Y243" t="s">
        <v>114</v>
      </c>
    </row>
    <row r="244" spans="12:25" x14ac:dyDescent="0.25">
      <c r="L244" t="s">
        <v>572</v>
      </c>
      <c r="M244" s="56">
        <v>632.67439469622423</v>
      </c>
      <c r="N244" s="56">
        <v>618.78939151058773</v>
      </c>
      <c r="O244" s="56">
        <v>593.01260618224956</v>
      </c>
      <c r="P244" s="56">
        <v>562.60945175133133</v>
      </c>
      <c r="Q244" s="56">
        <v>561.60115257676637</v>
      </c>
      <c r="R244" s="56">
        <v>548.63666395150312</v>
      </c>
      <c r="S244" s="56">
        <v>543.26249144206781</v>
      </c>
      <c r="T244" s="56">
        <v>567.67020766244718</v>
      </c>
      <c r="U244" s="56">
        <v>567.67020766244718</v>
      </c>
      <c r="V244" s="56">
        <v>567.67020766244718</v>
      </c>
      <c r="W244" s="56">
        <v>567.67020766244718</v>
      </c>
      <c r="X244" s="56">
        <v>567.67020766244718</v>
      </c>
      <c r="Y244" t="s">
        <v>114</v>
      </c>
    </row>
    <row r="245" spans="12:25" x14ac:dyDescent="0.25">
      <c r="L245" t="s">
        <v>574</v>
      </c>
      <c r="M245" s="56">
        <v>463.07675810450252</v>
      </c>
      <c r="N245" s="56">
        <v>451.64036149283777</v>
      </c>
      <c r="O245" s="56">
        <v>430.85610951176625</v>
      </c>
      <c r="P245" s="56">
        <v>394.96837488091387</v>
      </c>
      <c r="Q245" s="56">
        <v>404.37074642953144</v>
      </c>
      <c r="R245" s="56">
        <v>389.64077954000481</v>
      </c>
      <c r="S245" s="56">
        <v>372.03359441356736</v>
      </c>
      <c r="T245" s="56">
        <v>422.7101861428572</v>
      </c>
      <c r="U245" s="56">
        <v>422.7101861428572</v>
      </c>
      <c r="V245" s="56">
        <v>422.7101861428572</v>
      </c>
      <c r="W245" s="56">
        <v>422.7101861428572</v>
      </c>
      <c r="X245" s="56">
        <v>422.7101861428572</v>
      </c>
      <c r="Y245" t="s">
        <v>114</v>
      </c>
    </row>
    <row r="246" spans="12:25" x14ac:dyDescent="0.25">
      <c r="L246" t="s">
        <v>575</v>
      </c>
      <c r="M246" s="56">
        <v>8258.0292983155887</v>
      </c>
      <c r="N246" s="56">
        <v>8065.0210039089798</v>
      </c>
      <c r="O246" s="56">
        <v>8032.1062277956662</v>
      </c>
      <c r="P246" s="56">
        <v>7850.8593945460234</v>
      </c>
      <c r="Q246" s="56">
        <v>7761.4707452072253</v>
      </c>
      <c r="R246" s="56">
        <v>7761.4707452072253</v>
      </c>
      <c r="S246" s="56">
        <v>7661.4707452072253</v>
      </c>
      <c r="T246" s="56">
        <v>7581.4707452072253</v>
      </c>
      <c r="U246" s="56">
        <v>7581.4707452072253</v>
      </c>
      <c r="V246" s="56">
        <v>7421.4707452072253</v>
      </c>
      <c r="W246" s="56">
        <v>7582.0556599942647</v>
      </c>
      <c r="X246" s="56">
        <v>7582.0556599942647</v>
      </c>
      <c r="Y246" t="s">
        <v>114</v>
      </c>
    </row>
    <row r="247" spans="12:25" x14ac:dyDescent="0.25">
      <c r="L247" t="s">
        <v>576</v>
      </c>
      <c r="M247" s="56">
        <v>0</v>
      </c>
      <c r="N247" s="56">
        <v>0</v>
      </c>
      <c r="O247" s="56">
        <v>0</v>
      </c>
      <c r="P247" s="56">
        <v>0</v>
      </c>
      <c r="Q247" s="56">
        <v>0</v>
      </c>
      <c r="R247" s="56">
        <v>0</v>
      </c>
      <c r="S247" s="56">
        <v>0</v>
      </c>
      <c r="T247" s="56">
        <v>0</v>
      </c>
      <c r="U247" s="56">
        <v>0</v>
      </c>
      <c r="V247" s="56">
        <v>0</v>
      </c>
      <c r="W247" s="56">
        <v>0</v>
      </c>
      <c r="X247" s="56">
        <v>0</v>
      </c>
      <c r="Y247" t="s">
        <v>114</v>
      </c>
    </row>
    <row r="248" spans="12:25" x14ac:dyDescent="0.25">
      <c r="L248" t="s">
        <v>577</v>
      </c>
      <c r="M248" s="56">
        <v>3342.54</v>
      </c>
      <c r="N248" s="56">
        <v>3342.54</v>
      </c>
      <c r="O248" s="56">
        <v>3342.54</v>
      </c>
      <c r="P248" s="56">
        <v>3342.54</v>
      </c>
      <c r="Q248" s="56">
        <v>3342.54</v>
      </c>
      <c r="R248" s="56">
        <v>3342.54</v>
      </c>
      <c r="S248" s="56">
        <v>3342.54</v>
      </c>
      <c r="T248" s="56">
        <v>3342.54</v>
      </c>
      <c r="U248" s="56">
        <v>3342.54</v>
      </c>
      <c r="V248" s="56">
        <v>3342.54</v>
      </c>
      <c r="W248" s="56">
        <v>3342.54</v>
      </c>
      <c r="X248" s="56">
        <v>3342.54</v>
      </c>
      <c r="Y248" t="s">
        <v>114</v>
      </c>
    </row>
    <row r="249" spans="12:25" x14ac:dyDescent="0.25">
      <c r="L249" t="s">
        <v>595</v>
      </c>
      <c r="M249" s="56">
        <v>0</v>
      </c>
      <c r="N249" s="56">
        <v>0</v>
      </c>
      <c r="O249" s="56">
        <v>0</v>
      </c>
      <c r="P249" s="56">
        <v>0</v>
      </c>
      <c r="Q249" s="56">
        <v>0</v>
      </c>
      <c r="R249" s="56">
        <v>0</v>
      </c>
      <c r="S249" s="56">
        <v>0</v>
      </c>
      <c r="T249" s="56">
        <v>0</v>
      </c>
      <c r="U249" s="56">
        <v>0</v>
      </c>
      <c r="V249" s="56">
        <v>0</v>
      </c>
      <c r="W249" s="56">
        <v>0</v>
      </c>
      <c r="X249" s="56">
        <v>0</v>
      </c>
      <c r="Y249" t="s">
        <v>114</v>
      </c>
    </row>
    <row r="250" spans="12:25" x14ac:dyDescent="0.25">
      <c r="L250" t="s">
        <v>596</v>
      </c>
      <c r="M250" s="56">
        <v>0</v>
      </c>
      <c r="N250" s="56">
        <v>0</v>
      </c>
      <c r="O250" s="56">
        <v>0</v>
      </c>
      <c r="P250" s="56">
        <v>0</v>
      </c>
      <c r="Q250" s="56">
        <v>0</v>
      </c>
      <c r="R250" s="56">
        <v>0</v>
      </c>
      <c r="S250" s="56">
        <v>0</v>
      </c>
      <c r="T250" s="56">
        <v>0</v>
      </c>
      <c r="U250" s="56">
        <v>0</v>
      </c>
      <c r="V250" s="56">
        <v>0</v>
      </c>
      <c r="W250" s="56">
        <v>0</v>
      </c>
      <c r="X250" s="56">
        <v>0</v>
      </c>
      <c r="Y250" t="s">
        <v>114</v>
      </c>
    </row>
    <row r="251" spans="12:25" x14ac:dyDescent="0.25">
      <c r="L251" t="s">
        <v>597</v>
      </c>
      <c r="M251" s="56">
        <v>0</v>
      </c>
      <c r="N251" s="56">
        <v>0</v>
      </c>
      <c r="O251" s="56">
        <v>0</v>
      </c>
      <c r="P251" s="56">
        <v>0</v>
      </c>
      <c r="Q251" s="56">
        <v>0</v>
      </c>
      <c r="R251" s="56">
        <v>0</v>
      </c>
      <c r="S251" s="56">
        <v>0</v>
      </c>
      <c r="T251" s="56">
        <v>0</v>
      </c>
      <c r="U251" s="56">
        <v>0</v>
      </c>
      <c r="V251" s="56">
        <v>0</v>
      </c>
      <c r="W251" s="56">
        <v>0</v>
      </c>
      <c r="X251" s="56">
        <v>0</v>
      </c>
      <c r="Y251" t="s">
        <v>114</v>
      </c>
    </row>
    <row r="252" spans="12:25" x14ac:dyDescent="0.25">
      <c r="L252" t="s">
        <v>598</v>
      </c>
      <c r="M252" s="56">
        <v>0</v>
      </c>
      <c r="N252" s="56">
        <v>0</v>
      </c>
      <c r="O252" s="56">
        <v>0</v>
      </c>
      <c r="P252" s="56">
        <v>0</v>
      </c>
      <c r="Q252" s="56">
        <v>0</v>
      </c>
      <c r="R252" s="56">
        <v>0</v>
      </c>
      <c r="S252" s="56">
        <v>0</v>
      </c>
      <c r="T252" s="56">
        <v>0</v>
      </c>
      <c r="U252" s="56">
        <v>0</v>
      </c>
      <c r="V252" s="56">
        <v>0</v>
      </c>
      <c r="W252" s="56">
        <v>0</v>
      </c>
      <c r="X252" s="56">
        <v>0</v>
      </c>
      <c r="Y252" t="s">
        <v>114</v>
      </c>
    </row>
    <row r="253" spans="12:25" x14ac:dyDescent="0.25">
      <c r="L253" t="s">
        <v>599</v>
      </c>
      <c r="M253" s="56">
        <v>0</v>
      </c>
      <c r="N253" s="56">
        <v>0</v>
      </c>
      <c r="O253" s="56">
        <v>0</v>
      </c>
      <c r="P253" s="56">
        <v>0</v>
      </c>
      <c r="Q253" s="56">
        <v>0</v>
      </c>
      <c r="R253" s="56">
        <v>0</v>
      </c>
      <c r="S253" s="56">
        <v>0</v>
      </c>
      <c r="T253" s="56">
        <v>0</v>
      </c>
      <c r="U253" s="56">
        <v>0</v>
      </c>
      <c r="V253" s="56">
        <v>0</v>
      </c>
      <c r="W253" s="56">
        <v>0</v>
      </c>
      <c r="X253" s="56">
        <v>0</v>
      </c>
      <c r="Y253" t="s">
        <v>114</v>
      </c>
    </row>
    <row r="254" spans="12:25" x14ac:dyDescent="0.25">
      <c r="L254" t="s">
        <v>600</v>
      </c>
      <c r="M254" s="56">
        <v>1703.82366</v>
      </c>
      <c r="N254" s="56">
        <v>1703.82366</v>
      </c>
      <c r="O254" s="56">
        <v>1703.82366</v>
      </c>
      <c r="P254" s="56">
        <v>1703.82366</v>
      </c>
      <c r="Q254" s="56">
        <v>1703.82366</v>
      </c>
      <c r="R254" s="56">
        <v>1703.82366</v>
      </c>
      <c r="S254" s="56">
        <v>1703.82366</v>
      </c>
      <c r="T254" s="56">
        <v>1703.82366</v>
      </c>
      <c r="U254" s="56">
        <v>1703.82366</v>
      </c>
      <c r="V254" s="56">
        <v>1703.82366</v>
      </c>
      <c r="W254" s="56">
        <v>1703.82366</v>
      </c>
      <c r="X254" s="56">
        <v>1703.82366</v>
      </c>
      <c r="Y254" t="s">
        <v>114</v>
      </c>
    </row>
    <row r="255" spans="12:25" x14ac:dyDescent="0.25">
      <c r="L255" t="s">
        <v>601</v>
      </c>
      <c r="M255" s="56">
        <v>0</v>
      </c>
      <c r="N255" s="56">
        <v>0</v>
      </c>
      <c r="O255" s="56">
        <v>0</v>
      </c>
      <c r="P255" s="56">
        <v>0</v>
      </c>
      <c r="Q255" s="56">
        <v>0</v>
      </c>
      <c r="R255" s="56">
        <v>0</v>
      </c>
      <c r="S255" s="56">
        <v>0</v>
      </c>
      <c r="T255" s="56">
        <v>0</v>
      </c>
      <c r="U255" s="56">
        <v>0</v>
      </c>
      <c r="V255" s="56">
        <v>0</v>
      </c>
      <c r="W255" s="56">
        <v>0</v>
      </c>
      <c r="X255" s="56">
        <v>0</v>
      </c>
      <c r="Y255" t="s">
        <v>114</v>
      </c>
    </row>
    <row r="256" spans="12:25" x14ac:dyDescent="0.25">
      <c r="L256" t="s">
        <v>611</v>
      </c>
      <c r="M256" s="56">
        <v>1680.9855174810343</v>
      </c>
      <c r="N256" s="56">
        <v>1684.5611679054512</v>
      </c>
      <c r="O256" s="56">
        <v>1678.8738026374929</v>
      </c>
      <c r="P256" s="56">
        <v>1675.8687565615016</v>
      </c>
      <c r="Q256" s="56">
        <v>1669.479201136113</v>
      </c>
      <c r="R256" s="56">
        <v>1625.8231593986991</v>
      </c>
      <c r="S256" s="56">
        <v>1778.7283137238323</v>
      </c>
      <c r="T256" s="56">
        <v>1778.7283137238323</v>
      </c>
      <c r="U256" s="56">
        <v>1778.7283137238323</v>
      </c>
      <c r="V256" s="56">
        <v>1776.5717655508083</v>
      </c>
      <c r="W256" s="56">
        <v>1380.7882738566145</v>
      </c>
      <c r="X256" s="56">
        <v>1380.7882738566145</v>
      </c>
      <c r="Y256" t="s">
        <v>114</v>
      </c>
    </row>
    <row r="257" spans="12:25" x14ac:dyDescent="0.25">
      <c r="L257" t="s">
        <v>615</v>
      </c>
      <c r="M257" s="56">
        <v>1157.3973109811338</v>
      </c>
      <c r="N257" s="56">
        <v>1160.4905340381454</v>
      </c>
      <c r="O257" s="56">
        <v>1154.9038785470218</v>
      </c>
      <c r="P257" s="56">
        <v>1153.1745380454011</v>
      </c>
      <c r="Q257" s="56">
        <v>1150.1063277897335</v>
      </c>
      <c r="R257" s="56">
        <v>1113.4640898038692</v>
      </c>
      <c r="S257" s="56">
        <v>1208.7111133449696</v>
      </c>
      <c r="T257" s="56">
        <v>1208.7111133449696</v>
      </c>
      <c r="U257" s="56">
        <v>1208.7111133449696</v>
      </c>
      <c r="V257" s="56">
        <v>1206.5545651719458</v>
      </c>
      <c r="W257" s="56">
        <v>934.70508699499658</v>
      </c>
      <c r="X257" s="56">
        <v>934.70508699499658</v>
      </c>
      <c r="Y257" t="s">
        <v>114</v>
      </c>
    </row>
    <row r="258" spans="12:25" x14ac:dyDescent="0.25">
      <c r="L258" t="s">
        <v>619</v>
      </c>
      <c r="M258" s="56">
        <v>0</v>
      </c>
      <c r="N258" s="56">
        <v>0</v>
      </c>
      <c r="O258" s="56">
        <v>0</v>
      </c>
      <c r="P258" s="56">
        <v>0</v>
      </c>
      <c r="Q258" s="56">
        <v>0</v>
      </c>
      <c r="R258" s="56">
        <v>0</v>
      </c>
      <c r="S258" s="56">
        <v>0</v>
      </c>
      <c r="T258" s="56">
        <v>0</v>
      </c>
      <c r="U258" s="56">
        <v>0</v>
      </c>
      <c r="V258" s="56">
        <v>0</v>
      </c>
      <c r="W258" s="56">
        <v>0</v>
      </c>
      <c r="X258" s="56">
        <v>0</v>
      </c>
      <c r="Y258" t="s">
        <v>114</v>
      </c>
    </row>
    <row r="259" spans="12:25" x14ac:dyDescent="0.25">
      <c r="L259" t="s">
        <v>620</v>
      </c>
      <c r="M259" s="56">
        <v>0</v>
      </c>
      <c r="N259" s="56">
        <v>0</v>
      </c>
      <c r="O259" s="56">
        <v>0</v>
      </c>
      <c r="P259" s="56">
        <v>0</v>
      </c>
      <c r="Q259" s="56">
        <v>0</v>
      </c>
      <c r="R259" s="56">
        <v>0</v>
      </c>
      <c r="S259" s="56">
        <v>0</v>
      </c>
      <c r="T259" s="56">
        <v>0</v>
      </c>
      <c r="U259" s="56">
        <v>0</v>
      </c>
      <c r="V259" s="56">
        <v>0</v>
      </c>
      <c r="W259" s="56">
        <v>0</v>
      </c>
      <c r="X259" s="56">
        <v>0</v>
      </c>
      <c r="Y259" t="s">
        <v>114</v>
      </c>
    </row>
    <row r="260" spans="12:25" x14ac:dyDescent="0.25">
      <c r="L260" t="s">
        <v>633</v>
      </c>
      <c r="M260" s="405">
        <v>0</v>
      </c>
      <c r="N260" s="405">
        <v>0</v>
      </c>
      <c r="O260" s="405">
        <v>0</v>
      </c>
      <c r="P260" s="405">
        <v>0</v>
      </c>
      <c r="Q260" s="405">
        <v>0</v>
      </c>
      <c r="R260" s="405">
        <v>0</v>
      </c>
      <c r="S260" s="405">
        <v>0</v>
      </c>
      <c r="T260" s="405">
        <v>0</v>
      </c>
      <c r="U260" s="405">
        <v>0</v>
      </c>
      <c r="V260" s="405">
        <v>0</v>
      </c>
      <c r="W260" s="405">
        <v>0</v>
      </c>
      <c r="X260" s="405">
        <v>0</v>
      </c>
      <c r="Y260" t="s">
        <v>114</v>
      </c>
    </row>
    <row r="261" spans="12:25" x14ac:dyDescent="0.25">
      <c r="L261" t="s">
        <v>638</v>
      </c>
      <c r="M261" s="405">
        <v>0</v>
      </c>
      <c r="N261" s="405">
        <v>0</v>
      </c>
      <c r="O261" s="405">
        <v>0</v>
      </c>
      <c r="P261" s="405">
        <v>0</v>
      </c>
      <c r="Q261" s="405">
        <v>0</v>
      </c>
      <c r="R261" s="405">
        <v>0</v>
      </c>
      <c r="S261" s="405">
        <v>0</v>
      </c>
      <c r="T261" s="405">
        <v>0</v>
      </c>
      <c r="U261" s="405">
        <v>0</v>
      </c>
      <c r="V261" s="405">
        <v>0</v>
      </c>
      <c r="W261" s="405">
        <v>0</v>
      </c>
      <c r="X261" s="405">
        <v>0</v>
      </c>
      <c r="Y261" t="s">
        <v>114</v>
      </c>
    </row>
    <row r="262" spans="12:25" x14ac:dyDescent="0.25">
      <c r="L262" t="s">
        <v>641</v>
      </c>
      <c r="M262" s="405">
        <v>1226.0483156756754</v>
      </c>
      <c r="N262" s="405">
        <v>1643.5693734658782</v>
      </c>
      <c r="O262" s="405">
        <v>1215.7075278173654</v>
      </c>
      <c r="P262" s="405">
        <v>1215.7075278173654</v>
      </c>
      <c r="Q262" s="405">
        <v>1265.7075278173654</v>
      </c>
      <c r="R262" s="405">
        <v>1315.7075278173654</v>
      </c>
      <c r="S262" s="405">
        <v>1365.7075278173654</v>
      </c>
      <c r="T262" s="405">
        <v>1415.7075278173654</v>
      </c>
      <c r="U262" s="405">
        <v>1465.7075278173654</v>
      </c>
      <c r="V262" s="405">
        <v>1515.7075278173654</v>
      </c>
      <c r="W262" s="405">
        <v>1565.7075278173654</v>
      </c>
      <c r="X262" s="405">
        <v>1565.7075278173654</v>
      </c>
      <c r="Y262" t="s">
        <v>114</v>
      </c>
    </row>
    <row r="263" spans="12:25" x14ac:dyDescent="0.25">
      <c r="L263" t="s">
        <v>642</v>
      </c>
      <c r="M263" s="405">
        <v>2905.2786406124683</v>
      </c>
      <c r="N263" s="405">
        <v>2909.9805437817213</v>
      </c>
      <c r="O263" s="405">
        <v>2904.4775186232155</v>
      </c>
      <c r="P263" s="405">
        <v>2898.7750678695465</v>
      </c>
      <c r="Q263" s="405">
        <v>2883.2221065177973</v>
      </c>
      <c r="R263" s="405">
        <v>2824.5448793252358</v>
      </c>
      <c r="S263" s="405">
        <v>2905.2927797805219</v>
      </c>
      <c r="T263" s="405">
        <v>2905.2927797805219</v>
      </c>
      <c r="U263" s="405">
        <v>2905.2927797805219</v>
      </c>
      <c r="V263" s="405">
        <v>2903.1362316074978</v>
      </c>
      <c r="W263" s="405">
        <v>2377.7504400254174</v>
      </c>
      <c r="X263" s="405">
        <v>2377.7504400254174</v>
      </c>
      <c r="Y263" t="s">
        <v>114</v>
      </c>
    </row>
    <row r="264" spans="12:25" x14ac:dyDescent="0.25">
      <c r="L264" t="s">
        <v>643</v>
      </c>
      <c r="M264" s="405">
        <v>1724.9776532782651</v>
      </c>
      <c r="N264" s="405">
        <v>1724.9776532782651</v>
      </c>
      <c r="O264" s="405">
        <v>1724.9776532782651</v>
      </c>
      <c r="P264" s="405">
        <v>1708.9776532782651</v>
      </c>
      <c r="Q264" s="405">
        <v>1708.9776532782651</v>
      </c>
      <c r="R264" s="405">
        <v>1544.2684971872945</v>
      </c>
      <c r="S264" s="405">
        <v>1471.860542251985</v>
      </c>
      <c r="T264" s="405">
        <v>1575.0519892406292</v>
      </c>
      <c r="U264" s="405">
        <v>1586.700362080036</v>
      </c>
      <c r="V264" s="405">
        <v>1577.9003620800358</v>
      </c>
      <c r="W264" s="405">
        <v>1502.6600994367661</v>
      </c>
      <c r="X264" s="405">
        <v>1502.6600994367661</v>
      </c>
      <c r="Y264" t="s">
        <v>114</v>
      </c>
    </row>
    <row r="265" spans="12:25" x14ac:dyDescent="0.25">
      <c r="L265" t="s">
        <v>644</v>
      </c>
      <c r="M265" s="405">
        <v>3305.7487555167127</v>
      </c>
      <c r="N265" s="405">
        <v>3305.7487555167127</v>
      </c>
      <c r="O265" s="405">
        <v>3305.7487555167127</v>
      </c>
      <c r="P265" s="405">
        <v>2839.6476220575687</v>
      </c>
      <c r="Q265" s="405">
        <v>2875.7686459542983</v>
      </c>
      <c r="R265" s="405">
        <v>2754.2162986892818</v>
      </c>
      <c r="S265" s="405">
        <v>2691.2162986892818</v>
      </c>
      <c r="T265" s="405">
        <v>2709.2162986892818</v>
      </c>
      <c r="U265" s="405">
        <v>2709.2162986892818</v>
      </c>
      <c r="V265" s="405">
        <v>2689.4162986892816</v>
      </c>
      <c r="W265" s="405">
        <v>1941.4201201867686</v>
      </c>
      <c r="X265" s="405">
        <v>1941.4201201867686</v>
      </c>
      <c r="Y265" t="s">
        <v>114</v>
      </c>
    </row>
    <row r="266" spans="12:25" x14ac:dyDescent="0.25">
      <c r="L266" t="s">
        <v>645</v>
      </c>
      <c r="M266" s="405">
        <v>3201.4192872750309</v>
      </c>
      <c r="N266" s="405">
        <v>3363.3942529882888</v>
      </c>
      <c r="O266" s="405">
        <v>3363.3942529882888</v>
      </c>
      <c r="P266" s="405">
        <v>3085.1968535374126</v>
      </c>
      <c r="Q266" s="405">
        <v>3125.8243849203282</v>
      </c>
      <c r="R266" s="405">
        <v>2998.9731741989053</v>
      </c>
      <c r="S266" s="405">
        <v>2928.9731741989053</v>
      </c>
      <c r="T266" s="405">
        <v>2948.9731741989053</v>
      </c>
      <c r="U266" s="405">
        <v>2948.9731741989053</v>
      </c>
      <c r="V266" s="405">
        <v>2926.9731741989053</v>
      </c>
      <c r="W266" s="405">
        <v>2752.6518027775364</v>
      </c>
      <c r="X266" s="405">
        <v>2752.6518027775364</v>
      </c>
      <c r="Y266" t="s">
        <v>114</v>
      </c>
    </row>
    <row r="267" spans="12:25" x14ac:dyDescent="0.25">
      <c r="L267" t="s">
        <v>646</v>
      </c>
      <c r="M267" s="405">
        <v>4089.0654147273772</v>
      </c>
      <c r="N267" s="405">
        <v>4089.0654147273772</v>
      </c>
      <c r="O267" s="405">
        <v>4089.0654147273772</v>
      </c>
      <c r="P267" s="405">
        <v>3777.9239578433098</v>
      </c>
      <c r="Q267" s="405">
        <v>3832.7711252102454</v>
      </c>
      <c r="R267" s="405">
        <v>3700.1746463733898</v>
      </c>
      <c r="S267" s="405">
        <v>3616.1746463733898</v>
      </c>
      <c r="T267" s="405">
        <v>3640.1746463733898</v>
      </c>
      <c r="U267" s="405">
        <v>3640.1746463733898</v>
      </c>
      <c r="V267" s="405">
        <v>3613.7746463733902</v>
      </c>
      <c r="W267" s="405">
        <v>3366.5394590605483</v>
      </c>
      <c r="X267" s="405">
        <v>3366.5394590605483</v>
      </c>
      <c r="Y267" t="s">
        <v>114</v>
      </c>
    </row>
    <row r="268" spans="12:25" x14ac:dyDescent="0.25">
      <c r="L268" t="s">
        <v>647</v>
      </c>
      <c r="M268" s="405">
        <v>4858.0519002656656</v>
      </c>
      <c r="N268" s="405">
        <v>4858.0519002656656</v>
      </c>
      <c r="O268" s="405">
        <v>4858.0519002656656</v>
      </c>
      <c r="P268" s="405">
        <v>4625.3130675064094</v>
      </c>
      <c r="Q268" s="405">
        <v>4687.9955444971929</v>
      </c>
      <c r="R268" s="405">
        <v>4470.5932642354937</v>
      </c>
      <c r="S268" s="405">
        <v>4365.5932642354937</v>
      </c>
      <c r="T268" s="405">
        <v>4395.5932642354937</v>
      </c>
      <c r="U268" s="405">
        <v>4395.5932642354937</v>
      </c>
      <c r="V268" s="405">
        <v>4362.5932642354937</v>
      </c>
      <c r="W268" s="405">
        <v>3816.5972707359851</v>
      </c>
      <c r="X268" s="405">
        <v>3816.5972707359851</v>
      </c>
      <c r="Y268" t="s">
        <v>114</v>
      </c>
    </row>
    <row r="269" spans="12:25" x14ac:dyDescent="0.25">
      <c r="L269" t="s">
        <v>648</v>
      </c>
      <c r="M269" s="405">
        <v>1930.9665562050493</v>
      </c>
      <c r="N269" s="405">
        <v>1934.7989868794489</v>
      </c>
      <c r="O269" s="405">
        <v>1929.2848168847424</v>
      </c>
      <c r="P269" s="405">
        <v>1925.7525921058962</v>
      </c>
      <c r="Q269" s="405">
        <v>1918.1488771009067</v>
      </c>
      <c r="R269" s="405">
        <v>1871.4911876118995</v>
      </c>
      <c r="S269" s="405">
        <v>2051.2462204706108</v>
      </c>
      <c r="T269" s="405">
        <v>2051.2462204706108</v>
      </c>
      <c r="U269" s="405">
        <v>2051.2462204706108</v>
      </c>
      <c r="V269" s="405">
        <v>2049.0896722975867</v>
      </c>
      <c r="W269" s="405">
        <v>1586.0260515063758</v>
      </c>
      <c r="X269" s="405">
        <v>1586.0260515063758</v>
      </c>
      <c r="Y269" t="s">
        <v>114</v>
      </c>
    </row>
    <row r="270" spans="12:25" x14ac:dyDescent="0.25">
      <c r="L270" t="s">
        <v>649</v>
      </c>
      <c r="M270" s="405">
        <v>2412.6982267349576</v>
      </c>
      <c r="N270" s="405">
        <v>2416.9653778982843</v>
      </c>
      <c r="O270" s="405">
        <v>2411.4569613327189</v>
      </c>
      <c r="P270" s="405">
        <v>2406.8397628558478</v>
      </c>
      <c r="Q270" s="405">
        <v>2394.6247618382176</v>
      </c>
      <c r="R270" s="405">
        <v>2341.9580006272813</v>
      </c>
      <c r="S270" s="405">
        <v>2410.8876785373018</v>
      </c>
      <c r="T270" s="405">
        <v>2410.8876785373018</v>
      </c>
      <c r="U270" s="405">
        <v>2410.8876785373018</v>
      </c>
      <c r="V270" s="405">
        <v>2408.7311303642778</v>
      </c>
      <c r="W270" s="405">
        <v>1963.2065724222582</v>
      </c>
      <c r="X270" s="405">
        <v>1963.2065724222582</v>
      </c>
      <c r="Y270" t="s">
        <v>114</v>
      </c>
    </row>
    <row r="271" spans="12:25" x14ac:dyDescent="0.25">
      <c r="L271" t="s">
        <v>650</v>
      </c>
      <c r="M271" s="405">
        <v>3580.2894880136437</v>
      </c>
      <c r="N271" s="405">
        <v>3567.6791294500758</v>
      </c>
      <c r="O271" s="405">
        <v>3586.3189273159119</v>
      </c>
      <c r="P271" s="405">
        <v>3572.48806626955</v>
      </c>
      <c r="Q271" s="405">
        <v>3566.4871115587175</v>
      </c>
      <c r="R271" s="405">
        <v>3553.9846226798868</v>
      </c>
      <c r="S271" s="405">
        <v>3546.3383386851606</v>
      </c>
      <c r="T271" s="405">
        <v>3546.3383386851606</v>
      </c>
      <c r="U271" s="405">
        <v>3546.8353203264683</v>
      </c>
      <c r="V271" s="405">
        <v>3542.7701560435567</v>
      </c>
      <c r="W271" s="405">
        <v>2325.9807044257682</v>
      </c>
      <c r="X271" s="405">
        <v>2325.9807044257682</v>
      </c>
      <c r="Y271" t="s">
        <v>114</v>
      </c>
    </row>
    <row r="272" spans="12:25" x14ac:dyDescent="0.25">
      <c r="L272" t="s">
        <v>651</v>
      </c>
      <c r="M272" s="405">
        <v>1089.1979676592175</v>
      </c>
      <c r="N272" s="405">
        <v>1089.1979676592175</v>
      </c>
      <c r="O272" s="405">
        <v>1089.1979676592175</v>
      </c>
      <c r="P272" s="405">
        <v>1089.1979676592175</v>
      </c>
      <c r="Q272" s="405">
        <v>1089.1979676592175</v>
      </c>
      <c r="R272" s="405">
        <v>924.488811568247</v>
      </c>
      <c r="S272" s="405">
        <v>880.0808566329373</v>
      </c>
      <c r="T272" s="405">
        <v>975.27230362158161</v>
      </c>
      <c r="U272" s="405">
        <v>986.92067646098837</v>
      </c>
      <c r="V272" s="405">
        <v>986.92067646098837</v>
      </c>
      <c r="W272" s="405">
        <v>929.39345335841563</v>
      </c>
      <c r="X272" s="405">
        <v>929.39345335841563</v>
      </c>
      <c r="Y272" t="s">
        <v>114</v>
      </c>
    </row>
    <row r="273" spans="12:25" x14ac:dyDescent="0.25">
      <c r="L273" t="s">
        <v>652</v>
      </c>
      <c r="M273" s="405">
        <v>1294.3797377599999</v>
      </c>
      <c r="N273" s="405">
        <v>1294.3797377599999</v>
      </c>
      <c r="O273" s="405">
        <v>1294.3797377599999</v>
      </c>
      <c r="P273" s="405">
        <v>1294.3797377599999</v>
      </c>
      <c r="Q273" s="405">
        <v>1294.3797377599999</v>
      </c>
      <c r="R273" s="405">
        <v>1078.3037516700861</v>
      </c>
      <c r="S273" s="405">
        <v>1028.7363558493048</v>
      </c>
      <c r="T273" s="405">
        <v>1156.2904045454547</v>
      </c>
      <c r="U273" s="405">
        <v>1156.2904045454547</v>
      </c>
      <c r="V273" s="405">
        <v>1050.2373908627053</v>
      </c>
      <c r="W273" s="405">
        <v>1024.8397051826885</v>
      </c>
      <c r="X273" s="405">
        <v>1024.8397051826885</v>
      </c>
      <c r="Y273" t="s">
        <v>114</v>
      </c>
    </row>
    <row r="274" spans="12:25" x14ac:dyDescent="0.25">
      <c r="L274" t="s">
        <v>653</v>
      </c>
      <c r="M274" s="405">
        <v>1365.6196337599999</v>
      </c>
      <c r="N274" s="405">
        <v>1343.8039114848279</v>
      </c>
      <c r="O274" s="405">
        <v>1365.6196337599999</v>
      </c>
      <c r="P274" s="405">
        <v>1206.5141534665279</v>
      </c>
      <c r="Q274" s="405">
        <v>1232.8407938026569</v>
      </c>
      <c r="R274" s="405">
        <v>1137.918761670086</v>
      </c>
      <c r="S274" s="405">
        <v>1084.533655849305</v>
      </c>
      <c r="T274" s="405">
        <v>1231.6399999999999</v>
      </c>
      <c r="U274" s="405">
        <v>1231.6399999999999</v>
      </c>
      <c r="V274" s="405">
        <v>1155.5818079935455</v>
      </c>
      <c r="W274" s="405">
        <v>1152.0020305274418</v>
      </c>
      <c r="X274" s="405">
        <v>1152.0020305274418</v>
      </c>
      <c r="Y274" t="s">
        <v>114</v>
      </c>
    </row>
    <row r="275" spans="12:25" x14ac:dyDescent="0.25">
      <c r="L275" t="s">
        <v>654</v>
      </c>
      <c r="M275" s="405">
        <v>1696.1172182437208</v>
      </c>
      <c r="N275" s="405">
        <v>1696.1172182437208</v>
      </c>
      <c r="O275" s="405">
        <v>1610.4203259720928</v>
      </c>
      <c r="P275" s="405">
        <v>1696.1172182437208</v>
      </c>
      <c r="Q275" s="405">
        <v>1696.1172182437208</v>
      </c>
      <c r="R275" s="405">
        <v>1388.3792707387252</v>
      </c>
      <c r="S275" s="405">
        <v>1297.2292137782613</v>
      </c>
      <c r="T275" s="405">
        <v>1428.0956106312294</v>
      </c>
      <c r="U275" s="405">
        <v>1428.0956106312294</v>
      </c>
      <c r="V275" s="405">
        <v>1428.0956106312294</v>
      </c>
      <c r="W275" s="405">
        <v>1322.6385383026879</v>
      </c>
      <c r="X275" s="405">
        <v>1322.6385383026879</v>
      </c>
      <c r="Y275" t="s">
        <v>114</v>
      </c>
    </row>
    <row r="276" spans="12:25" x14ac:dyDescent="0.25">
      <c r="L276" t="s">
        <v>655</v>
      </c>
      <c r="M276" s="405">
        <v>2081.3482146516853</v>
      </c>
      <c r="N276" s="405">
        <v>2081.3482146516853</v>
      </c>
      <c r="O276" s="405">
        <v>2081.3482146516853</v>
      </c>
      <c r="P276" s="405">
        <v>1651.2470811925418</v>
      </c>
      <c r="Q276" s="405">
        <v>1687.368105089271</v>
      </c>
      <c r="R276" s="405">
        <v>1565.8157578242547</v>
      </c>
      <c r="S276" s="405">
        <v>1565.8157578242547</v>
      </c>
      <c r="T276" s="405">
        <v>1565.8157578242547</v>
      </c>
      <c r="U276" s="405">
        <v>1565.8157578242547</v>
      </c>
      <c r="V276" s="405">
        <v>1565.8157578242547</v>
      </c>
      <c r="W276" s="405">
        <v>1211.2161398299972</v>
      </c>
      <c r="X276" s="405">
        <v>1211.2161398299972</v>
      </c>
      <c r="Y276" t="s">
        <v>114</v>
      </c>
    </row>
    <row r="277" spans="12:25" x14ac:dyDescent="0.25">
      <c r="L277" t="s">
        <v>656</v>
      </c>
      <c r="M277" s="405">
        <v>1867.6435010264947</v>
      </c>
      <c r="N277" s="405">
        <v>2029.6184667397529</v>
      </c>
      <c r="O277" s="405">
        <v>2029.6184667397529</v>
      </c>
      <c r="P277" s="405">
        <v>1791.4210672888764</v>
      </c>
      <c r="Q277" s="405">
        <v>1832.0485986717918</v>
      </c>
      <c r="R277" s="405">
        <v>1705.1973879503689</v>
      </c>
      <c r="S277" s="405">
        <v>1705.1973879503689</v>
      </c>
      <c r="T277" s="405">
        <v>1705.1973879503689</v>
      </c>
      <c r="U277" s="405">
        <v>1705.1973879503689</v>
      </c>
      <c r="V277" s="405">
        <v>1705.1973879503689</v>
      </c>
      <c r="W277" s="405">
        <v>1497.7558025991409</v>
      </c>
      <c r="X277" s="405">
        <v>1497.7558025991409</v>
      </c>
      <c r="Y277" t="s">
        <v>114</v>
      </c>
    </row>
    <row r="278" spans="12:25" x14ac:dyDescent="0.25">
      <c r="L278" t="s">
        <v>657</v>
      </c>
      <c r="M278" s="405">
        <v>2439.0593276666664</v>
      </c>
      <c r="N278" s="405">
        <v>2439.0593276666664</v>
      </c>
      <c r="O278" s="405">
        <v>2439.0593276666664</v>
      </c>
      <c r="P278" s="405">
        <v>2175.9178707825995</v>
      </c>
      <c r="Q278" s="405">
        <v>2230.765038149535</v>
      </c>
      <c r="R278" s="405">
        <v>2098.1685593126795</v>
      </c>
      <c r="S278" s="405">
        <v>2098.1685593126795</v>
      </c>
      <c r="T278" s="405">
        <v>2098.1685593126795</v>
      </c>
      <c r="U278" s="405">
        <v>2098.1685593126795</v>
      </c>
      <c r="V278" s="405">
        <v>2098.1685593126795</v>
      </c>
      <c r="W278" s="405">
        <v>1857.8268419258259</v>
      </c>
      <c r="X278" s="405">
        <v>1857.8268419258259</v>
      </c>
      <c r="Y278" t="s">
        <v>114</v>
      </c>
    </row>
    <row r="279" spans="12:25" x14ac:dyDescent="0.25">
      <c r="L279" t="s">
        <v>658</v>
      </c>
      <c r="M279" s="405">
        <v>2848.7272109589489</v>
      </c>
      <c r="N279" s="405">
        <v>2848.7272109589489</v>
      </c>
      <c r="O279" s="405">
        <v>2848.7272109589489</v>
      </c>
      <c r="P279" s="405">
        <v>2675.9883781996923</v>
      </c>
      <c r="Q279" s="405">
        <v>2738.6708551904758</v>
      </c>
      <c r="R279" s="405">
        <v>2521.2685749287766</v>
      </c>
      <c r="S279" s="405">
        <v>2521.2685749287766</v>
      </c>
      <c r="T279" s="405">
        <v>2521.2685749287766</v>
      </c>
      <c r="U279" s="405">
        <v>2521.2685749287766</v>
      </c>
      <c r="V279" s="405">
        <v>2521.2685749287766</v>
      </c>
      <c r="W279" s="405">
        <v>2067.4536339767847</v>
      </c>
      <c r="X279" s="405">
        <v>2067.4536339767847</v>
      </c>
      <c r="Y279" t="s">
        <v>114</v>
      </c>
    </row>
    <row r="280" spans="12:25" x14ac:dyDescent="0.25">
      <c r="L280" t="s">
        <v>659</v>
      </c>
      <c r="M280" s="405">
        <v>2156.9271376117531</v>
      </c>
      <c r="N280" s="405">
        <v>2156.9271376117531</v>
      </c>
      <c r="O280" s="405">
        <v>2156.9271376117531</v>
      </c>
      <c r="P280" s="405">
        <v>2156.9271376117531</v>
      </c>
      <c r="Q280" s="405">
        <v>2156.9271376117531</v>
      </c>
      <c r="R280" s="405">
        <v>2156.9271376117531</v>
      </c>
      <c r="S280" s="405">
        <v>2156.9271376117531</v>
      </c>
      <c r="T280" s="405">
        <v>2156.9271376117531</v>
      </c>
      <c r="U280" s="405">
        <v>2156.9271376117531</v>
      </c>
      <c r="V280" s="405">
        <v>2156.9299999999998</v>
      </c>
      <c r="W280" s="405">
        <v>2156.9299999999998</v>
      </c>
      <c r="X280" s="405">
        <v>2156.9299999999998</v>
      </c>
      <c r="Y280" t="s">
        <v>114</v>
      </c>
    </row>
    <row r="281" spans="12:25" x14ac:dyDescent="0.25">
      <c r="L281" t="s">
        <v>660</v>
      </c>
      <c r="M281" s="405">
        <v>1592.1035675885571</v>
      </c>
      <c r="N281" s="405">
        <v>1592.1035675885571</v>
      </c>
      <c r="O281" s="405">
        <v>1592.1035675885571</v>
      </c>
      <c r="P281" s="405">
        <v>1592.1035675885571</v>
      </c>
      <c r="Q281" s="405">
        <v>1592.1035675885571</v>
      </c>
      <c r="R281" s="405">
        <v>1592.1035675885571</v>
      </c>
      <c r="S281" s="405">
        <v>1592.1035675885571</v>
      </c>
      <c r="T281" s="405">
        <v>1592.1035675885571</v>
      </c>
      <c r="U281" s="405">
        <v>1592.1035675885571</v>
      </c>
      <c r="V281" s="405">
        <v>1707.09</v>
      </c>
      <c r="W281" s="405">
        <v>1707.09</v>
      </c>
      <c r="X281" s="405">
        <v>1707.09</v>
      </c>
      <c r="Y281" t="s">
        <v>114</v>
      </c>
    </row>
    <row r="282" spans="12:25" x14ac:dyDescent="0.25">
      <c r="L282" t="s">
        <v>661</v>
      </c>
      <c r="M282" s="405">
        <v>1543.2541938687589</v>
      </c>
      <c r="N282" s="405">
        <v>1543.2541938687589</v>
      </c>
      <c r="O282" s="405">
        <v>1543.2541938687589</v>
      </c>
      <c r="P282" s="405">
        <v>1543.2541938687589</v>
      </c>
      <c r="Q282" s="405">
        <v>1543.2541938687589</v>
      </c>
      <c r="R282" s="405">
        <v>1543.2541938687589</v>
      </c>
      <c r="S282" s="405">
        <v>1543.2541938687589</v>
      </c>
      <c r="T282" s="405">
        <v>1543.2541938687589</v>
      </c>
      <c r="U282" s="405">
        <v>1543.2541938687589</v>
      </c>
      <c r="V282" s="405">
        <v>1543.2541399999998</v>
      </c>
      <c r="W282" s="405">
        <v>1543.2541399999998</v>
      </c>
      <c r="X282" s="405">
        <v>1543.2541399999998</v>
      </c>
      <c r="Y282" t="s">
        <v>114</v>
      </c>
    </row>
    <row r="283" spans="12:25" x14ac:dyDescent="0.25">
      <c r="L283" t="s">
        <v>662</v>
      </c>
      <c r="M283" s="405">
        <v>1696.304196566487</v>
      </c>
      <c r="N283" s="405">
        <v>1696.304196566487</v>
      </c>
      <c r="O283" s="405">
        <v>1696.304196566487</v>
      </c>
      <c r="P283" s="405">
        <v>1696.304196566487</v>
      </c>
      <c r="Q283" s="405">
        <v>1696.304196566487</v>
      </c>
      <c r="R283" s="405">
        <v>1696.304196566487</v>
      </c>
      <c r="S283" s="405">
        <v>1696.304196566487</v>
      </c>
      <c r="T283" s="405">
        <v>1696.304196566487</v>
      </c>
      <c r="U283" s="405">
        <v>1696.304196566487</v>
      </c>
      <c r="V283" s="405">
        <v>1696.3041920000001</v>
      </c>
      <c r="W283" s="405">
        <v>1696.3041920000001</v>
      </c>
      <c r="X283" s="405">
        <v>1696.3041920000001</v>
      </c>
      <c r="Y283" t="s">
        <v>114</v>
      </c>
    </row>
    <row r="284" spans="12:25" x14ac:dyDescent="0.25">
      <c r="L284" t="s">
        <v>663</v>
      </c>
      <c r="M284" s="405">
        <v>1295.5292647058823</v>
      </c>
      <c r="N284" s="405">
        <v>1295.5292647058823</v>
      </c>
      <c r="O284" s="405">
        <v>0</v>
      </c>
      <c r="P284" s="405">
        <v>0</v>
      </c>
      <c r="Q284" s="405">
        <v>0</v>
      </c>
      <c r="R284" s="405">
        <v>0</v>
      </c>
      <c r="S284" s="405">
        <v>0</v>
      </c>
      <c r="T284" s="405">
        <v>0</v>
      </c>
      <c r="U284" s="405">
        <v>0</v>
      </c>
      <c r="V284" s="405">
        <v>0</v>
      </c>
      <c r="W284" s="405">
        <v>0</v>
      </c>
      <c r="X284" s="405">
        <v>0</v>
      </c>
      <c r="Y284" t="s">
        <v>114</v>
      </c>
    </row>
    <row r="285" spans="12:25" x14ac:dyDescent="0.25">
      <c r="L285" t="s">
        <v>665</v>
      </c>
      <c r="M285" s="405">
        <v>0</v>
      </c>
      <c r="N285" s="405">
        <v>0</v>
      </c>
      <c r="O285" s="405">
        <v>1221.8196187680931</v>
      </c>
      <c r="P285" s="405">
        <v>1211.2515355741414</v>
      </c>
      <c r="Q285" s="405">
        <v>1261.2515355741414</v>
      </c>
      <c r="R285" s="405">
        <v>1311.2515355741414</v>
      </c>
      <c r="S285" s="405">
        <v>1361.2515355741414</v>
      </c>
      <c r="T285" s="405">
        <v>1411.2515355741414</v>
      </c>
      <c r="U285" s="405">
        <v>1461.2515355741414</v>
      </c>
      <c r="V285" s="405">
        <v>1511.2515355741414</v>
      </c>
      <c r="W285" s="405">
        <v>1561.2515355741414</v>
      </c>
      <c r="X285" s="405">
        <v>1561.2515355741414</v>
      </c>
      <c r="Y285" t="s">
        <v>113</v>
      </c>
    </row>
    <row r="286" spans="12:25" x14ac:dyDescent="0.25">
      <c r="L286" t="s">
        <v>664</v>
      </c>
      <c r="M286" s="405">
        <v>0</v>
      </c>
      <c r="N286" s="405">
        <v>0</v>
      </c>
      <c r="O286" s="405">
        <v>0</v>
      </c>
      <c r="P286" s="405">
        <v>0</v>
      </c>
      <c r="Q286" s="405">
        <v>0</v>
      </c>
      <c r="R286" s="405">
        <v>0</v>
      </c>
      <c r="S286" s="405">
        <v>0</v>
      </c>
      <c r="T286" s="405">
        <v>0</v>
      </c>
      <c r="U286" s="405">
        <v>0</v>
      </c>
      <c r="V286" s="405">
        <v>0</v>
      </c>
      <c r="W286" s="405">
        <v>0</v>
      </c>
      <c r="X286" s="405">
        <v>0</v>
      </c>
      <c r="Y286" t="s">
        <v>113</v>
      </c>
    </row>
    <row r="287" spans="12:25" x14ac:dyDescent="0.25">
      <c r="L287" t="s">
        <v>669</v>
      </c>
      <c r="M287" s="405">
        <v>1578.4183799999998</v>
      </c>
      <c r="N287" s="405">
        <v>1578.4183799999998</v>
      </c>
      <c r="O287" s="405">
        <v>1563.385824</v>
      </c>
      <c r="P287" s="405">
        <v>1563.385824</v>
      </c>
      <c r="Q287" s="405">
        <v>1563.385824</v>
      </c>
      <c r="R287" s="405">
        <v>1525.8044339999997</v>
      </c>
      <c r="S287" s="405">
        <v>1428.0928199999998</v>
      </c>
      <c r="T287" s="405">
        <v>1428.0928199999998</v>
      </c>
      <c r="U287" s="405">
        <v>1428.0928199999998</v>
      </c>
      <c r="V287" s="405">
        <v>1409.3021249999999</v>
      </c>
      <c r="W287" s="405">
        <v>1409.3021249999999</v>
      </c>
      <c r="X287" s="405">
        <v>1409.3021249999999</v>
      </c>
      <c r="Y287" t="s">
        <v>461</v>
      </c>
    </row>
    <row r="288" spans="12:25" x14ac:dyDescent="0.25">
      <c r="L288" t="s">
        <v>3638</v>
      </c>
      <c r="M288" s="405"/>
      <c r="N288" s="405"/>
      <c r="O288" s="405"/>
      <c r="P288" s="405"/>
      <c r="Q288" s="405"/>
      <c r="R288" s="405"/>
      <c r="S288" s="405"/>
      <c r="T288" s="405"/>
      <c r="U288" s="405"/>
      <c r="V288" s="405"/>
      <c r="W288" s="405">
        <v>18.05</v>
      </c>
      <c r="X288" s="405">
        <v>18.05</v>
      </c>
      <c r="Y288" t="s">
        <v>113</v>
      </c>
    </row>
    <row r="289" spans="12:25" x14ac:dyDescent="0.25">
      <c r="L289" t="s">
        <v>3639</v>
      </c>
      <c r="M289" s="405"/>
      <c r="N289" s="405"/>
      <c r="O289" s="405"/>
      <c r="P289" s="405"/>
      <c r="Q289" s="405"/>
      <c r="R289" s="405"/>
      <c r="S289" s="405"/>
      <c r="T289" s="405"/>
      <c r="U289" s="405"/>
      <c r="V289" s="405"/>
      <c r="W289" s="405">
        <v>377.83</v>
      </c>
      <c r="X289" s="405">
        <v>377.83</v>
      </c>
      <c r="Y289" t="s">
        <v>113</v>
      </c>
    </row>
    <row r="290" spans="12:25" x14ac:dyDescent="0.25">
      <c r="L290" t="s">
        <v>3640</v>
      </c>
      <c r="M290" s="405"/>
      <c r="N290" s="405"/>
      <c r="O290" s="405"/>
      <c r="P290" s="405"/>
      <c r="Q290" s="405"/>
      <c r="R290" s="405"/>
      <c r="S290" s="405"/>
      <c r="T290" s="405"/>
      <c r="U290" s="405"/>
      <c r="V290" s="405"/>
      <c r="W290" s="405">
        <v>8.39</v>
      </c>
      <c r="X290" s="405">
        <v>8.39</v>
      </c>
      <c r="Y290" t="s">
        <v>113</v>
      </c>
    </row>
    <row r="291" spans="12:25" x14ac:dyDescent="0.25">
      <c r="L291" t="s">
        <v>3643</v>
      </c>
      <c r="M291" s="405"/>
      <c r="N291" s="405"/>
      <c r="O291" s="405"/>
      <c r="P291" s="405"/>
      <c r="Q291" s="405"/>
      <c r="R291" s="405"/>
      <c r="S291" s="405"/>
      <c r="T291" s="405"/>
      <c r="U291" s="405"/>
      <c r="V291" s="405"/>
      <c r="W291" s="405">
        <v>55.351350726696687</v>
      </c>
      <c r="X291" s="405">
        <v>55.351350726696687</v>
      </c>
      <c r="Y291" t="s">
        <v>113</v>
      </c>
    </row>
    <row r="292" spans="12:25" x14ac:dyDescent="0.25">
      <c r="L292" t="s">
        <v>3644</v>
      </c>
      <c r="M292" s="405"/>
      <c r="N292" s="405"/>
      <c r="O292" s="405"/>
      <c r="P292" s="405"/>
      <c r="Q292" s="405"/>
      <c r="R292" s="405"/>
      <c r="S292" s="405"/>
      <c r="T292" s="405"/>
      <c r="U292" s="405"/>
      <c r="V292" s="405"/>
      <c r="W292" s="405">
        <v>10.232081544086199</v>
      </c>
      <c r="X292" s="405">
        <v>10.232081544086199</v>
      </c>
      <c r="Y292" t="s">
        <v>113</v>
      </c>
    </row>
    <row r="293" spans="12:25" x14ac:dyDescent="0.25">
      <c r="L293" t="s">
        <v>3645</v>
      </c>
      <c r="M293" s="405"/>
      <c r="N293" s="405"/>
      <c r="O293" s="405"/>
      <c r="P293" s="405"/>
      <c r="Q293" s="405"/>
      <c r="R293" s="405"/>
      <c r="S293" s="405"/>
      <c r="T293" s="405"/>
      <c r="U293" s="405"/>
      <c r="V293" s="405"/>
      <c r="W293" s="405">
        <v>15.673197588831083</v>
      </c>
      <c r="X293" s="405">
        <v>15.673197588831083</v>
      </c>
      <c r="Y293" t="s">
        <v>113</v>
      </c>
    </row>
    <row r="294" spans="12:25" x14ac:dyDescent="0.25">
      <c r="L294" t="s">
        <v>3646</v>
      </c>
      <c r="M294" s="405"/>
      <c r="N294" s="405"/>
      <c r="O294" s="405"/>
      <c r="P294" s="405"/>
      <c r="Q294" s="405"/>
      <c r="R294" s="405"/>
      <c r="S294" s="405"/>
      <c r="T294" s="405"/>
      <c r="U294" s="405"/>
      <c r="V294" s="405"/>
      <c r="W294" s="405">
        <v>851</v>
      </c>
      <c r="X294" s="405">
        <v>851</v>
      </c>
      <c r="Y294" t="s">
        <v>113</v>
      </c>
    </row>
    <row r="295" spans="12:25" x14ac:dyDescent="0.25">
      <c r="L295" t="s">
        <v>3647</v>
      </c>
      <c r="M295" s="405"/>
      <c r="N295" s="405"/>
      <c r="O295" s="405"/>
      <c r="P295" s="405"/>
      <c r="Q295" s="405"/>
      <c r="R295" s="405"/>
      <c r="S295" s="405"/>
      <c r="T295" s="405"/>
      <c r="U295" s="405"/>
      <c r="V295" s="405"/>
      <c r="W295" s="405">
        <v>1079.4314162162163</v>
      </c>
      <c r="X295" s="405">
        <v>1079.4314162162163</v>
      </c>
      <c r="Y295" t="s">
        <v>113</v>
      </c>
    </row>
    <row r="296" spans="12:25" x14ac:dyDescent="0.25">
      <c r="L296" t="s">
        <v>3637</v>
      </c>
      <c r="M296" s="405"/>
      <c r="N296" s="405"/>
      <c r="O296" s="405"/>
      <c r="P296" s="405"/>
      <c r="Q296" s="405"/>
      <c r="R296" s="405"/>
      <c r="S296" s="405"/>
      <c r="T296" s="405"/>
      <c r="U296" s="405"/>
      <c r="V296" s="405"/>
      <c r="W296" s="405">
        <v>113.24015663277451</v>
      </c>
      <c r="X296" s="405">
        <v>113.24015663277451</v>
      </c>
    </row>
  </sheetData>
  <phoneticPr fontId="10" type="noConversion"/>
  <conditionalFormatting sqref="L168:L169">
    <cfRule type="duplicateValues" dxfId="217" priority="24"/>
  </conditionalFormatting>
  <conditionalFormatting sqref="L76:L78">
    <cfRule type="duplicateValues" dxfId="216" priority="23"/>
  </conditionalFormatting>
  <conditionalFormatting sqref="L230">
    <cfRule type="duplicateValues" dxfId="215" priority="22"/>
  </conditionalFormatting>
  <conditionalFormatting sqref="L231">
    <cfRule type="duplicateValues" dxfId="214" priority="21"/>
  </conditionalFormatting>
  <conditionalFormatting sqref="L232">
    <cfRule type="duplicateValues" dxfId="213" priority="19"/>
  </conditionalFormatting>
  <conditionalFormatting sqref="L234:L235">
    <cfRule type="duplicateValues" dxfId="212" priority="15"/>
  </conditionalFormatting>
  <conditionalFormatting sqref="L200">
    <cfRule type="duplicateValues" dxfId="211" priority="14"/>
  </conditionalFormatting>
  <conditionalFormatting sqref="L236">
    <cfRule type="duplicateValues" dxfId="210" priority="13"/>
  </conditionalFormatting>
  <conditionalFormatting sqref="L237">
    <cfRule type="duplicateValues" dxfId="209" priority="12"/>
  </conditionalFormatting>
  <conditionalFormatting sqref="L238">
    <cfRule type="duplicateValues" dxfId="208" priority="11"/>
  </conditionalFormatting>
  <conditionalFormatting sqref="L239">
    <cfRule type="duplicateValues" dxfId="207" priority="10"/>
  </conditionalFormatting>
  <conditionalFormatting sqref="L240">
    <cfRule type="duplicateValues" dxfId="206" priority="5"/>
  </conditionalFormatting>
  <conditionalFormatting sqref="L241">
    <cfRule type="duplicateValues" dxfId="205" priority="4"/>
  </conditionalFormatting>
  <conditionalFormatting sqref="L4:L296">
    <cfRule type="duplicateValues" dxfId="204" priority="4504"/>
  </conditionalFormatting>
  <conditionalFormatting sqref="J274:J294 L292:L1048576 L1:L284">
    <cfRule type="duplicateValues" dxfId="203" priority="3"/>
  </conditionalFormatting>
  <conditionalFormatting sqref="B69">
    <cfRule type="duplicateValues" dxfId="202" priority="1"/>
  </conditionalFormatting>
  <conditionalFormatting sqref="B69">
    <cfRule type="duplicateValues" dxfId="201" priority="2"/>
  </conditionalFormatting>
  <dataValidations disablePrompts="1" count="1">
    <dataValidation type="list" allowBlank="1" showInputMessage="1" showErrorMessage="1" sqref="B64" xr:uid="{A42587D9-F71F-4963-8A05-3611AD725422}">
      <formula1>$B$4:$B$56</formula1>
    </dataValidation>
  </dataValidations>
  <hyperlinks>
    <hyperlink ref="L222" r:id="rId1" display="https://5661462.app.netsuite.com/app/common/item/item.nl?id=6563" xr:uid="{2CA0CDCE-859A-4D08-9D9F-442C263B04B9}"/>
    <hyperlink ref="L241" r:id="rId2" display="https://5661462.app.netsuite.com/app/common/item/item.nl?id=6284" xr:uid="{A4CB7EC3-5396-4AB2-A637-51A4E1AFA221}"/>
  </hyperlinks>
  <pageMargins left="0.7" right="0.7" top="0.75" bottom="0.75" header="0.3" footer="0.3"/>
  <pageSetup orientation="portrait" r:id="rId3"/>
  <tableParts count="4">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057E0-7D14-4F28-B8DB-6215CFDF28AC}">
  <sheetPr codeName="Hoja8"/>
  <dimension ref="A1:W220"/>
  <sheetViews>
    <sheetView zoomScaleNormal="100" workbookViewId="0">
      <selection activeCell="B35" sqref="B35"/>
    </sheetView>
  </sheetViews>
  <sheetFormatPr baseColWidth="10" defaultRowHeight="15" x14ac:dyDescent="0.25"/>
  <cols>
    <col min="1" max="1" width="16.85546875" style="113" customWidth="1"/>
    <col min="3" max="3" width="26.42578125" customWidth="1"/>
    <col min="4" max="4" width="22" customWidth="1"/>
    <col min="5" max="5" width="12.7109375" bestFit="1" customWidth="1"/>
    <col min="8" max="8" width="14.85546875" customWidth="1"/>
    <col min="9" max="9" width="22.140625" customWidth="1"/>
    <col min="11" max="11" width="14.140625" bestFit="1" customWidth="1"/>
    <col min="12" max="12" width="21.5703125" customWidth="1"/>
    <col min="13" max="13" width="15.7109375" customWidth="1"/>
    <col min="14" max="14" width="16" customWidth="1"/>
    <col min="15" max="15" width="16" style="122" customWidth="1"/>
    <col min="16" max="16" width="14.140625" style="121" bestFit="1" customWidth="1"/>
    <col min="17" max="17" width="11.7109375" style="122" customWidth="1"/>
    <col min="18" max="18" width="11.7109375" customWidth="1"/>
    <col min="19" max="21" width="11.7109375" hidden="1" customWidth="1"/>
    <col min="23" max="23" width="11.42578125" style="167"/>
  </cols>
  <sheetData>
    <row r="1" spans="1:23" s="104" customFormat="1" x14ac:dyDescent="0.25">
      <c r="A1" s="110"/>
      <c r="D1" s="105"/>
      <c r="E1" s="106"/>
      <c r="F1" s="105"/>
      <c r="H1" s="107"/>
      <c r="I1" s="107"/>
      <c r="J1" s="107"/>
      <c r="K1" s="107"/>
      <c r="L1" s="107"/>
      <c r="M1" s="107"/>
      <c r="N1" s="107"/>
      <c r="O1" s="129"/>
      <c r="P1" s="118"/>
      <c r="Q1" s="108"/>
      <c r="R1" s="107"/>
      <c r="S1" s="109">
        <v>0.35</v>
      </c>
      <c r="T1" s="109">
        <v>0.15</v>
      </c>
      <c r="U1" s="109">
        <v>0.1</v>
      </c>
      <c r="W1" s="107"/>
    </row>
    <row r="2" spans="1:23" s="41" customFormat="1" ht="48.2" customHeight="1" x14ac:dyDescent="0.25">
      <c r="A2" s="111" t="s">
        <v>266</v>
      </c>
      <c r="B2" s="41" t="s">
        <v>204</v>
      </c>
      <c r="C2" s="41" t="s">
        <v>3</v>
      </c>
      <c r="D2" s="98" t="s">
        <v>9</v>
      </c>
      <c r="E2" s="41" t="s">
        <v>1</v>
      </c>
      <c r="F2" s="98" t="s">
        <v>4</v>
      </c>
      <c r="G2" s="41" t="s">
        <v>5</v>
      </c>
      <c r="H2" s="42" t="s">
        <v>119</v>
      </c>
      <c r="I2" s="43" t="s">
        <v>15</v>
      </c>
      <c r="J2" s="42" t="s">
        <v>7</v>
      </c>
      <c r="K2" s="43" t="s">
        <v>6</v>
      </c>
      <c r="L2" s="43" t="s">
        <v>111</v>
      </c>
      <c r="M2" s="43" t="s">
        <v>342</v>
      </c>
      <c r="N2" s="43" t="s">
        <v>343</v>
      </c>
      <c r="O2" s="44" t="s">
        <v>354</v>
      </c>
      <c r="P2" s="119" t="s">
        <v>112</v>
      </c>
      <c r="Q2" s="44" t="s">
        <v>316</v>
      </c>
      <c r="R2" s="43" t="s">
        <v>317</v>
      </c>
      <c r="S2" s="43" t="s">
        <v>318</v>
      </c>
      <c r="T2" s="43" t="s">
        <v>319</v>
      </c>
      <c r="U2" s="43" t="s">
        <v>320</v>
      </c>
      <c r="W2" s="212"/>
    </row>
    <row r="3" spans="1:23" x14ac:dyDescent="0.25">
      <c r="A3" s="338">
        <v>45056</v>
      </c>
      <c r="B3" s="95"/>
      <c r="C3" s="95"/>
      <c r="D3" s="99"/>
      <c r="E3" s="95"/>
      <c r="F3" s="114"/>
      <c r="G3" s="96"/>
      <c r="H3" s="49"/>
      <c r="I3" s="96"/>
      <c r="J3" s="124"/>
      <c r="K3" s="124"/>
      <c r="L3" s="124"/>
      <c r="M3" s="124"/>
      <c r="N3" s="127"/>
      <c r="O3" s="125"/>
      <c r="P3" s="126"/>
      <c r="Q3" s="97"/>
      <c r="R3" s="96"/>
      <c r="S3" s="96"/>
      <c r="T3" s="116"/>
      <c r="U3" s="116"/>
    </row>
    <row r="4" spans="1:23" x14ac:dyDescent="0.25">
      <c r="A4" s="112"/>
      <c r="B4" s="13"/>
      <c r="C4" s="13"/>
      <c r="D4" s="99"/>
      <c r="E4" s="13"/>
      <c r="F4" s="115"/>
      <c r="G4" s="13"/>
      <c r="H4" s="117"/>
      <c r="I4" s="117"/>
      <c r="J4" s="117"/>
      <c r="K4" s="117">
        <f>SUBTOTAL(109,Tabla5[Total])</f>
        <v>0</v>
      </c>
      <c r="L4" s="117"/>
      <c r="M4" s="117"/>
      <c r="N4" s="117">
        <f>SUBTOTAL(109,Tabla5[Utilidad Total])</f>
        <v>0</v>
      </c>
      <c r="O4" s="359" t="e">
        <f>++Tabla5[[#Totals],[Utilidad Total]]/Tabla5[[#Totals],[Total]]</f>
        <v>#DIV/0!</v>
      </c>
      <c r="P4" s="120"/>
      <c r="Q4" s="128"/>
      <c r="R4" s="117">
        <f>SUBTOTAL(109,Tabla5[Comisiones Asesor])</f>
        <v>0</v>
      </c>
      <c r="S4" s="117"/>
      <c r="T4" s="117"/>
      <c r="U4" s="117"/>
    </row>
    <row r="6" spans="1:23" x14ac:dyDescent="0.25">
      <c r="K6" s="132"/>
    </row>
    <row r="14" spans="1:23" x14ac:dyDescent="0.25">
      <c r="M14" s="236"/>
    </row>
    <row r="15" spans="1:23" x14ac:dyDescent="0.25">
      <c r="M15" s="236"/>
    </row>
    <row r="16" spans="1:23" x14ac:dyDescent="0.25">
      <c r="M16" s="236"/>
    </row>
    <row r="17" spans="13:13" x14ac:dyDescent="0.25">
      <c r="M17" s="236"/>
    </row>
    <row r="18" spans="13:13" x14ac:dyDescent="0.25">
      <c r="M18" s="360"/>
    </row>
    <row r="19" spans="13:13" x14ac:dyDescent="0.25">
      <c r="M19" s="236"/>
    </row>
    <row r="20" spans="13:13" x14ac:dyDescent="0.25">
      <c r="M20" s="236"/>
    </row>
    <row r="110" spans="23:23" x14ac:dyDescent="0.25">
      <c r="W110" s="167" t="e">
        <f>+Tabla5[[#This Row],[Precio Unitario Neto]]*Tabla5[[#This Row],[Cantidad]]</f>
        <v>#VALUE!</v>
      </c>
    </row>
    <row r="111" spans="23:23" x14ac:dyDescent="0.25">
      <c r="W111" s="167" t="e">
        <f>+Tabla5[[#This Row],[Precio Unitario Neto]]*Tabla5[[#This Row],[Cantidad]]</f>
        <v>#VALUE!</v>
      </c>
    </row>
    <row r="112" spans="23:23" x14ac:dyDescent="0.25">
      <c r="W112" s="167" t="e">
        <f>+Tabla5[[#This Row],[Precio Unitario Neto]]*Tabla5[[#This Row],[Cantidad]]</f>
        <v>#VALUE!</v>
      </c>
    </row>
    <row r="113" spans="23:23" x14ac:dyDescent="0.25">
      <c r="W113" s="167" t="e">
        <f>+Tabla5[[#This Row],[Precio Unitario Neto]]*Tabla5[[#This Row],[Cantidad]]</f>
        <v>#VALUE!</v>
      </c>
    </row>
    <row r="114" spans="23:23" x14ac:dyDescent="0.25">
      <c r="W114" s="167" t="e">
        <f>+Tabla5[[#This Row],[Precio Unitario Neto]]*Tabla5[[#This Row],[Cantidad]]</f>
        <v>#VALUE!</v>
      </c>
    </row>
    <row r="115" spans="23:23" x14ac:dyDescent="0.25">
      <c r="W115" s="167" t="e">
        <f>+Tabla5[[#This Row],[Precio Unitario Neto]]*Tabla5[[#This Row],[Cantidad]]</f>
        <v>#VALUE!</v>
      </c>
    </row>
    <row r="116" spans="23:23" x14ac:dyDescent="0.25">
      <c r="W116" s="167" t="e">
        <f>+Tabla5[[#This Row],[Precio Unitario Neto]]*Tabla5[[#This Row],[Cantidad]]</f>
        <v>#VALUE!</v>
      </c>
    </row>
    <row r="117" spans="23:23" x14ac:dyDescent="0.25">
      <c r="W117" s="167" t="e">
        <f>+Tabla5[[#This Row],[Precio Unitario Neto]]*Tabla5[[#This Row],[Cantidad]]</f>
        <v>#VALUE!</v>
      </c>
    </row>
    <row r="118" spans="23:23" x14ac:dyDescent="0.25">
      <c r="W118" s="167" t="e">
        <f>+Tabla5[[#This Row],[Precio Unitario Neto]]*Tabla5[[#This Row],[Cantidad]]</f>
        <v>#VALUE!</v>
      </c>
    </row>
    <row r="119" spans="23:23" x14ac:dyDescent="0.25">
      <c r="W119" s="167" t="e">
        <f>+Tabla5[[#This Row],[Precio Unitario Neto]]*Tabla5[[#This Row],[Cantidad]]</f>
        <v>#VALUE!</v>
      </c>
    </row>
    <row r="120" spans="23:23" x14ac:dyDescent="0.25">
      <c r="W120" s="167" t="e">
        <f>+Tabla5[[#This Row],[Precio Unitario Neto]]*Tabla5[[#This Row],[Cantidad]]</f>
        <v>#VALUE!</v>
      </c>
    </row>
    <row r="121" spans="23:23" x14ac:dyDescent="0.25">
      <c r="W121" s="167" t="e">
        <f>+Tabla5[[#This Row],[Precio Unitario Neto]]*Tabla5[[#This Row],[Cantidad]]</f>
        <v>#VALUE!</v>
      </c>
    </row>
    <row r="122" spans="23:23" x14ac:dyDescent="0.25">
      <c r="W122" s="167" t="e">
        <f>+Tabla5[[#This Row],[Precio Unitario Neto]]*Tabla5[[#This Row],[Cantidad]]</f>
        <v>#VALUE!</v>
      </c>
    </row>
    <row r="123" spans="23:23" x14ac:dyDescent="0.25">
      <c r="W123" s="167" t="e">
        <f>+Tabla5[[#This Row],[Precio Unitario Neto]]*Tabla5[[#This Row],[Cantidad]]</f>
        <v>#VALUE!</v>
      </c>
    </row>
    <row r="124" spans="23:23" x14ac:dyDescent="0.25">
      <c r="W124" s="167" t="e">
        <f>+Tabla5[[#This Row],[Precio Unitario Neto]]*Tabla5[[#This Row],[Cantidad]]</f>
        <v>#VALUE!</v>
      </c>
    </row>
    <row r="125" spans="23:23" x14ac:dyDescent="0.25">
      <c r="W125" s="167" t="e">
        <f>+Tabla5[[#This Row],[Precio Unitario Neto]]*Tabla5[[#This Row],[Cantidad]]</f>
        <v>#VALUE!</v>
      </c>
    </row>
    <row r="126" spans="23:23" x14ac:dyDescent="0.25">
      <c r="W126" s="167" t="e">
        <f>+Tabla5[[#This Row],[Precio Unitario Neto]]*Tabla5[[#This Row],[Cantidad]]</f>
        <v>#VALUE!</v>
      </c>
    </row>
    <row r="127" spans="23:23" x14ac:dyDescent="0.25">
      <c r="W127" s="167" t="e">
        <f>+Tabla5[[#This Row],[Precio Unitario Neto]]*Tabla5[[#This Row],[Cantidad]]</f>
        <v>#VALUE!</v>
      </c>
    </row>
    <row r="128" spans="23:23" x14ac:dyDescent="0.25">
      <c r="W128" s="167" t="e">
        <f>+Tabla5[[#This Row],[Precio Unitario Neto]]*Tabla5[[#This Row],[Cantidad]]</f>
        <v>#VALUE!</v>
      </c>
    </row>
    <row r="129" spans="23:23" x14ac:dyDescent="0.25">
      <c r="W129" s="167" t="e">
        <f>+Tabla5[[#This Row],[Precio Unitario Neto]]*Tabla5[[#This Row],[Cantidad]]</f>
        <v>#VALUE!</v>
      </c>
    </row>
    <row r="130" spans="23:23" x14ac:dyDescent="0.25">
      <c r="W130" s="167" t="e">
        <f>+Tabla5[[#This Row],[Precio Unitario Neto]]*Tabla5[[#This Row],[Cantidad]]</f>
        <v>#VALUE!</v>
      </c>
    </row>
    <row r="131" spans="23:23" x14ac:dyDescent="0.25">
      <c r="W131" s="167" t="e">
        <f>+Tabla5[[#This Row],[Precio Unitario Neto]]*Tabla5[[#This Row],[Cantidad]]</f>
        <v>#VALUE!</v>
      </c>
    </row>
    <row r="132" spans="23:23" x14ac:dyDescent="0.25">
      <c r="W132" s="167" t="e">
        <f>+Tabla5[[#This Row],[Precio Unitario Neto]]*Tabla5[[#This Row],[Cantidad]]</f>
        <v>#VALUE!</v>
      </c>
    </row>
    <row r="133" spans="23:23" x14ac:dyDescent="0.25">
      <c r="W133" s="167" t="e">
        <f>+Tabla5[[#This Row],[Precio Unitario Neto]]*Tabla5[[#This Row],[Cantidad]]</f>
        <v>#VALUE!</v>
      </c>
    </row>
    <row r="134" spans="23:23" x14ac:dyDescent="0.25">
      <c r="W134" s="167" t="e">
        <f>+Tabla5[[#This Row],[Precio Unitario Neto]]*Tabla5[[#This Row],[Cantidad]]</f>
        <v>#VALUE!</v>
      </c>
    </row>
    <row r="135" spans="23:23" x14ac:dyDescent="0.25">
      <c r="W135" s="167" t="e">
        <f>+Tabla5[[#This Row],[Precio Unitario Neto]]*Tabla5[[#This Row],[Cantidad]]</f>
        <v>#VALUE!</v>
      </c>
    </row>
    <row r="136" spans="23:23" x14ac:dyDescent="0.25">
      <c r="W136" s="167" t="e">
        <f>+Tabla5[[#This Row],[Precio Unitario Neto]]*Tabla5[[#This Row],[Cantidad]]</f>
        <v>#VALUE!</v>
      </c>
    </row>
    <row r="137" spans="23:23" x14ac:dyDescent="0.25">
      <c r="W137" s="167" t="e">
        <f>+Tabla5[[#This Row],[Precio Unitario Neto]]*Tabla5[[#This Row],[Cantidad]]</f>
        <v>#VALUE!</v>
      </c>
    </row>
    <row r="138" spans="23:23" x14ac:dyDescent="0.25">
      <c r="W138" s="167" t="e">
        <f>+Tabla5[[#This Row],[Precio Unitario Neto]]*Tabla5[[#This Row],[Cantidad]]</f>
        <v>#VALUE!</v>
      </c>
    </row>
    <row r="139" spans="23:23" x14ac:dyDescent="0.25">
      <c r="W139" s="167" t="e">
        <f>+Tabla5[[#This Row],[Precio Unitario Neto]]*Tabla5[[#This Row],[Cantidad]]</f>
        <v>#VALUE!</v>
      </c>
    </row>
    <row r="140" spans="23:23" x14ac:dyDescent="0.25">
      <c r="W140" s="167" t="e">
        <f>+Tabla5[[#This Row],[Precio Unitario Neto]]*Tabla5[[#This Row],[Cantidad]]</f>
        <v>#VALUE!</v>
      </c>
    </row>
    <row r="141" spans="23:23" x14ac:dyDescent="0.25">
      <c r="W141" s="167" t="e">
        <f>+Tabla5[[#This Row],[Precio Unitario Neto]]*Tabla5[[#This Row],[Cantidad]]</f>
        <v>#VALUE!</v>
      </c>
    </row>
    <row r="142" spans="23:23" x14ac:dyDescent="0.25">
      <c r="W142" s="167" t="e">
        <f>+Tabla5[[#This Row],[Precio Unitario Neto]]*Tabla5[[#This Row],[Cantidad]]</f>
        <v>#VALUE!</v>
      </c>
    </row>
    <row r="143" spans="23:23" x14ac:dyDescent="0.25">
      <c r="W143" s="167" t="e">
        <f>+Tabla5[[#This Row],[Precio Unitario Neto]]*Tabla5[[#This Row],[Cantidad]]</f>
        <v>#VALUE!</v>
      </c>
    </row>
    <row r="218" spans="23:23" x14ac:dyDescent="0.25">
      <c r="W218" s="167" t="e">
        <f>SUM(W110:W143)</f>
        <v>#VALUE!</v>
      </c>
    </row>
    <row r="220" spans="23:23" x14ac:dyDescent="0.25">
      <c r="W220" s="167">
        <v>924328.53</v>
      </c>
    </row>
  </sheetData>
  <conditionalFormatting sqref="K3:L3">
    <cfRule type="cellIs" dxfId="179" priority="3" operator="lessThan">
      <formula>0</formula>
    </cfRule>
  </conditionalFormatting>
  <conditionalFormatting sqref="N3:O3">
    <cfRule type="cellIs" dxfId="178" priority="2" operator="lessThan">
      <formula>0.0026</formula>
    </cfRule>
  </conditionalFormatting>
  <conditionalFormatting sqref="M2:N2">
    <cfRule type="cellIs" dxfId="177" priority="5" operator="lessThan">
      <formula>0</formula>
    </cfRule>
  </conditionalFormatting>
  <conditionalFormatting sqref="Q2">
    <cfRule type="cellIs" dxfId="176" priority="4" operator="lessThan">
      <formula>0.0026</formula>
    </cfRule>
  </conditionalFormatting>
  <conditionalFormatting sqref="O2">
    <cfRule type="cellIs" dxfId="175" priority="1" operator="lessThan">
      <formula>0</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E5D0942-3B80-4313-B074-FF33436799F4}">
          <x14:formula1>
            <xm:f>Catalogos!$B$4:$B$55</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FC49E-0B02-4635-A234-D388C0DAA8B6}">
  <sheetPr codeName="Hoja2">
    <tabColor rgb="FFF63C2E"/>
    <pageSetUpPr fitToPage="1"/>
  </sheetPr>
  <dimension ref="A1:X7493"/>
  <sheetViews>
    <sheetView zoomScale="80" zoomScaleNormal="80" workbookViewId="0">
      <pane ySplit="3" topLeftCell="A7233" activePane="bottomLeft" state="frozen"/>
      <selection activeCell="Q287" sqref="Q287"/>
      <selection pane="bottomLeft" activeCell="B7264" sqref="B7264"/>
    </sheetView>
  </sheetViews>
  <sheetFormatPr baseColWidth="10" defaultColWidth="11.42578125" defaultRowHeight="15" x14ac:dyDescent="0.25"/>
  <cols>
    <col min="1" max="1" width="15" style="100" bestFit="1" customWidth="1"/>
    <col min="2" max="2" width="12.42578125" style="46" bestFit="1" customWidth="1"/>
    <col min="3" max="3" width="27" style="46" bestFit="1" customWidth="1"/>
    <col min="4" max="4" width="2.140625" style="46" hidden="1" customWidth="1"/>
    <col min="5" max="5" width="2.42578125" style="46" hidden="1" customWidth="1"/>
    <col min="6" max="6" width="12.42578125" style="366" bestFit="1" customWidth="1"/>
    <col min="7" max="7" width="21.140625" style="46" bestFit="1" customWidth="1"/>
    <col min="8" max="8" width="9.7109375" style="46" customWidth="1"/>
    <col min="9" max="9" width="16.140625" style="312" bestFit="1" customWidth="1"/>
    <col min="10" max="10" width="15.5703125" style="281" customWidth="1"/>
    <col min="11" max="11" width="10.140625" style="281" bestFit="1" customWidth="1"/>
    <col min="12" max="12" width="15.85546875" style="282" customWidth="1"/>
    <col min="13" max="13" width="13.42578125" style="282" customWidth="1"/>
    <col min="14" max="14" width="19.5703125" style="283" bestFit="1" customWidth="1"/>
    <col min="15" max="15" width="16.140625" style="284" customWidth="1"/>
    <col min="16" max="16" width="19.5703125" style="282" bestFit="1" customWidth="1"/>
    <col min="17" max="19" width="19.5703125" style="282" customWidth="1"/>
    <col min="20" max="20" width="15.85546875" style="46" bestFit="1" customWidth="1"/>
    <col min="21" max="21" width="15.28515625" style="284" bestFit="1" customWidth="1"/>
    <col min="22" max="22" width="20" style="282" customWidth="1"/>
    <col min="23" max="23" width="11.42578125" style="46" customWidth="1"/>
    <col min="24" max="24" width="25.85546875" style="46" bestFit="1" customWidth="1"/>
    <col min="25" max="25" width="12.140625" style="46" bestFit="1" customWidth="1"/>
    <col min="26" max="16384" width="11.42578125" style="46"/>
  </cols>
  <sheetData>
    <row r="1" spans="1:24" x14ac:dyDescent="0.25">
      <c r="V1" s="282" t="e">
        <f>++V2/2</f>
        <v>#N/A</v>
      </c>
    </row>
    <row r="2" spans="1:24" ht="18.75" x14ac:dyDescent="0.3">
      <c r="K2" s="401">
        <v>0.20849999999999999</v>
      </c>
      <c r="N2" s="291" t="e">
        <f>SUBTOTAL(9,Tabla4[[#All],[Utilidad Total]])</f>
        <v>#N/A</v>
      </c>
      <c r="P2" s="291">
        <f>SUBTOTAL(9,Tabla4[[#All],[Total]])</f>
        <v>2776693.1674413974</v>
      </c>
      <c r="Q2" s="291"/>
      <c r="R2" s="291"/>
      <c r="S2" s="291" t="e">
        <f>SUBTOTAL(9,Tabla4[[#Headers],[#Data],[U. Bruta Total]])</f>
        <v>#N/A</v>
      </c>
      <c r="V2" s="367" t="e">
        <f>SUBTOTAL(9,Tabla4[[#All],[Comisión a Pagar]])</f>
        <v>#N/A</v>
      </c>
      <c r="X2" s="248"/>
    </row>
    <row r="3" spans="1:24" s="45" customFormat="1" ht="31.5" customHeight="1" x14ac:dyDescent="0.25">
      <c r="A3" s="45" t="s">
        <v>266</v>
      </c>
      <c r="B3" s="368" t="s">
        <v>204</v>
      </c>
      <c r="C3" s="41" t="s">
        <v>3</v>
      </c>
      <c r="D3" s="41" t="s">
        <v>2</v>
      </c>
      <c r="E3" s="41" t="s">
        <v>9</v>
      </c>
      <c r="F3" s="366" t="s">
        <v>573</v>
      </c>
      <c r="G3" s="45" t="s">
        <v>4</v>
      </c>
      <c r="H3" s="45" t="s">
        <v>5</v>
      </c>
      <c r="I3" s="285" t="s">
        <v>119</v>
      </c>
      <c r="J3" s="286" t="s">
        <v>15</v>
      </c>
      <c r="K3" s="287" t="s">
        <v>525</v>
      </c>
      <c r="L3" s="288" t="s">
        <v>118</v>
      </c>
      <c r="M3" s="288" t="s">
        <v>111</v>
      </c>
      <c r="N3" s="289" t="s">
        <v>343</v>
      </c>
      <c r="O3" s="290" t="s">
        <v>354</v>
      </c>
      <c r="P3" s="288" t="s">
        <v>6</v>
      </c>
      <c r="Q3" s="288" t="s">
        <v>522</v>
      </c>
      <c r="R3" s="288" t="s">
        <v>524</v>
      </c>
      <c r="S3" s="288" t="s">
        <v>523</v>
      </c>
      <c r="T3" s="368" t="s">
        <v>112</v>
      </c>
      <c r="U3" s="290" t="s">
        <v>14</v>
      </c>
      <c r="V3" s="288" t="s">
        <v>8</v>
      </c>
    </row>
    <row r="4" spans="1:24" hidden="1" x14ac:dyDescent="0.25">
      <c r="A4" s="100">
        <v>45672</v>
      </c>
      <c r="B4" t="str">
        <f t="shared" ref="B4:B35" si="0">TEXT(A4, "mmmm")</f>
        <v>January</v>
      </c>
      <c r="C4" s="46" t="s">
        <v>280</v>
      </c>
      <c r="F4" s="366" t="s">
        <v>673</v>
      </c>
      <c r="G4" s="46" t="s">
        <v>19</v>
      </c>
      <c r="H4" s="46">
        <v>2</v>
      </c>
      <c r="I4" s="51">
        <v>6412.03</v>
      </c>
      <c r="J4" s="281">
        <f>++Tabla4[[#This Row],[Precio Bruto]]*1.16</f>
        <v>7437.9547999999995</v>
      </c>
      <c r="K4" s="281">
        <f>+Tabla4[[#This Row],[Precio Unitario Neto]]*Tabla4[[#Headers],[20.85%]]</f>
        <v>1550.8135757999999</v>
      </c>
      <c r="L4" s="282">
        <f>++Tabla4[[#This Row],[Precio Unitario Neto]]-Tabla4[[#This Row],[20.85%]]</f>
        <v>5887.1412241999997</v>
      </c>
      <c r="M4" s="282" t="e">
        <f>(INDEX(Tabla6[#All],MATCH(Tabla4[[#This Row],[Producto]],Tabla6[[#All],[PRODUCTO]],0),MATCH(Tabla4[[#This Row],[Mes]],Tabla6[#Headers],0)))*(1+Catalogos!$L$2)</f>
        <v>#N/A</v>
      </c>
      <c r="N4" s="283" t="e">
        <f>+(Tabla4[[#This Row],[Precio Descontado]]-Tabla4[[#This Row],[Precio Base]])*Tabla4[[#This Row],[Cantidad]]</f>
        <v>#N/A</v>
      </c>
      <c r="O4" s="284" t="e">
        <f>++Tabla4[[#This Row],[Utilidad Total]]/Tabla4[[#This Row],[Total]]</f>
        <v>#N/A</v>
      </c>
      <c r="P4" s="282">
        <f>++Tabla4[[#This Row],[Precio Descontado]]*Tabla4[[#This Row],[Cantidad]]</f>
        <v>11774.282448399999</v>
      </c>
      <c r="Q4" s="282" t="e">
        <f>(INDEX(Tabla6[#All],MATCH(Tabla4[[#This Row],[Producto]],Tabla6[[#All],[PRODUCTO]],0),MATCH(Tabla4[[#This Row],[Mes]],Tabla6[#Headers],0)))</f>
        <v>#N/A</v>
      </c>
      <c r="R4" s="282" t="e">
        <f>++Tabla4[[#This Row],[Precio Unitario Neto]]-Tabla4[[#This Row],[20.85%]]-Tabla4[[#This Row],[Costo]]</f>
        <v>#N/A</v>
      </c>
      <c r="S4" s="282" t="e">
        <f>++Tabla4[[#This Row],[U. Bruta Uni]]*Tabla4[[#This Row],[Cantidad]]</f>
        <v>#N/A</v>
      </c>
      <c r="T4" s="369" t="str">
        <f>VLOOKUP(Tabla4[[#This Row],[Producto]],Tabla6[#All],14,FALSE)</f>
        <v>Termico Solar</v>
      </c>
      <c r="U4" s="284" t="e">
        <f>(IF(Tabla4[[#This Row],[Familia]]="termico solar",Tabla4[[#This Row],[Utilidad Total]]*6%,Tabla4[[#This Row],[Utilidad Total]]*11.5%))/Tabla4[[#This Row],[Total]]</f>
        <v>#N/A</v>
      </c>
      <c r="V4" s="282" t="e">
        <f>+Tabla4[[#This Row],[Comisión Calculada]]*Tabla4[[#This Row],[Total]]</f>
        <v>#N/A</v>
      </c>
    </row>
    <row r="5" spans="1:24" hidden="1" x14ac:dyDescent="0.25">
      <c r="A5" s="100">
        <v>45672</v>
      </c>
      <c r="B5" t="str">
        <f t="shared" si="0"/>
        <v>January</v>
      </c>
      <c r="C5" s="46" t="s">
        <v>280</v>
      </c>
      <c r="F5" s="366" t="s">
        <v>673</v>
      </c>
      <c r="G5" s="46" t="s">
        <v>20</v>
      </c>
      <c r="H5" s="46">
        <v>2</v>
      </c>
      <c r="I5" s="51">
        <v>7751.98</v>
      </c>
      <c r="J5" s="281">
        <f>++Tabla4[[#This Row],[Precio Bruto]]*1.16</f>
        <v>8992.2967999999983</v>
      </c>
      <c r="K5" s="281">
        <f>+Tabla4[[#This Row],[Precio Unitario Neto]]*Tabla4[[#Headers],[20.85%]]</f>
        <v>1874.8938827999996</v>
      </c>
      <c r="L5" s="282">
        <f>++Tabla4[[#This Row],[Precio Unitario Neto]]-Tabla4[[#This Row],[20.85%]]</f>
        <v>7117.4029171999991</v>
      </c>
      <c r="M5" s="282" t="e">
        <f>(INDEX(Tabla6[#All],MATCH(Tabla4[[#This Row],[Producto]],Tabla6[[#All],[PRODUCTO]],0),MATCH(Tabla4[[#This Row],[Mes]],Tabla6[#Headers],0)))*(1+Catalogos!$L$2)</f>
        <v>#N/A</v>
      </c>
      <c r="N5" s="283" t="e">
        <f>+(Tabla4[[#This Row],[Precio Descontado]]-Tabla4[[#This Row],[Precio Base]])*Tabla4[[#This Row],[Cantidad]]</f>
        <v>#N/A</v>
      </c>
      <c r="O5" s="284" t="e">
        <f>++Tabla4[[#This Row],[Utilidad Total]]/Tabla4[[#This Row],[Total]]</f>
        <v>#N/A</v>
      </c>
      <c r="P5" s="282">
        <f>++Tabla4[[#This Row],[Precio Descontado]]*Tabla4[[#This Row],[Cantidad]]</f>
        <v>14234.805834399998</v>
      </c>
      <c r="Q5" s="282" t="e">
        <f>(INDEX(Tabla6[#All],MATCH(Tabla4[[#This Row],[Producto]],Tabla6[[#All],[PRODUCTO]],0),MATCH(Tabla4[[#This Row],[Mes]],Tabla6[#Headers],0)))</f>
        <v>#N/A</v>
      </c>
      <c r="R5" s="282" t="e">
        <f>++Tabla4[[#This Row],[Precio Unitario Neto]]-Tabla4[[#This Row],[20.85%]]-Tabla4[[#This Row],[Costo]]</f>
        <v>#N/A</v>
      </c>
      <c r="S5" s="282" t="e">
        <f>++Tabla4[[#This Row],[U. Bruta Uni]]*Tabla4[[#This Row],[Cantidad]]</f>
        <v>#N/A</v>
      </c>
      <c r="T5" s="369" t="str">
        <f>VLOOKUP(Tabla4[[#This Row],[Producto]],Tabla6[#All],14,FALSE)</f>
        <v>Termico Solar</v>
      </c>
      <c r="U5" s="284" t="e">
        <f>(IF(Tabla4[[#This Row],[Familia]]="termico solar",Tabla4[[#This Row],[Utilidad Total]]*6%,Tabla4[[#This Row],[Utilidad Total]]*11.5%))/Tabla4[[#This Row],[Total]]</f>
        <v>#N/A</v>
      </c>
      <c r="V5" s="282" t="e">
        <f>+Tabla4[[#This Row],[Comisión Calculada]]*Tabla4[[#This Row],[Total]]</f>
        <v>#N/A</v>
      </c>
    </row>
    <row r="6" spans="1:24" hidden="1" x14ac:dyDescent="0.25">
      <c r="A6" s="100">
        <v>45672</v>
      </c>
      <c r="B6" t="str">
        <f t="shared" si="0"/>
        <v>January</v>
      </c>
      <c r="C6" s="46" t="s">
        <v>280</v>
      </c>
      <c r="F6" s="366" t="s">
        <v>673</v>
      </c>
      <c r="G6" s="46" t="s">
        <v>21</v>
      </c>
      <c r="H6" s="46">
        <v>2</v>
      </c>
      <c r="I6" s="51">
        <v>9282.19</v>
      </c>
      <c r="J6" s="281">
        <f>++Tabla4[[#This Row],[Precio Bruto]]*1.16</f>
        <v>10767.340399999999</v>
      </c>
      <c r="K6" s="281">
        <f>+Tabla4[[#This Row],[Precio Unitario Neto]]*Tabla4[[#Headers],[20.85%]]</f>
        <v>2244.9904733999997</v>
      </c>
      <c r="L6" s="282">
        <f>++Tabla4[[#This Row],[Precio Unitario Neto]]-Tabla4[[#This Row],[20.85%]]</f>
        <v>8522.3499265999999</v>
      </c>
      <c r="M6" s="282" t="e">
        <f>(INDEX(Tabla6[#All],MATCH(Tabla4[[#This Row],[Producto]],Tabla6[[#All],[PRODUCTO]],0),MATCH(Tabla4[[#This Row],[Mes]],Tabla6[#Headers],0)))*(1+Catalogos!$L$2)</f>
        <v>#N/A</v>
      </c>
      <c r="N6" s="283" t="e">
        <f>+(Tabla4[[#This Row],[Precio Descontado]]-Tabla4[[#This Row],[Precio Base]])*Tabla4[[#This Row],[Cantidad]]</f>
        <v>#N/A</v>
      </c>
      <c r="O6" s="284" t="e">
        <f>++Tabla4[[#This Row],[Utilidad Total]]/Tabla4[[#This Row],[Total]]</f>
        <v>#N/A</v>
      </c>
      <c r="P6" s="282">
        <f>++Tabla4[[#This Row],[Precio Descontado]]*Tabla4[[#This Row],[Cantidad]]</f>
        <v>17044.6998532</v>
      </c>
      <c r="Q6" s="282" t="e">
        <f>(INDEX(Tabla6[#All],MATCH(Tabla4[[#This Row],[Producto]],Tabla6[[#All],[PRODUCTO]],0),MATCH(Tabla4[[#This Row],[Mes]],Tabla6[#Headers],0)))</f>
        <v>#N/A</v>
      </c>
      <c r="R6" s="282" t="e">
        <f>++Tabla4[[#This Row],[Precio Unitario Neto]]-Tabla4[[#This Row],[20.85%]]-Tabla4[[#This Row],[Costo]]</f>
        <v>#N/A</v>
      </c>
      <c r="S6" s="282" t="e">
        <f>++Tabla4[[#This Row],[U. Bruta Uni]]*Tabla4[[#This Row],[Cantidad]]</f>
        <v>#N/A</v>
      </c>
      <c r="T6" s="369" t="str">
        <f>VLOOKUP(Tabla4[[#This Row],[Producto]],Tabla6[#All],14,FALSE)</f>
        <v>Termico Solar</v>
      </c>
      <c r="U6" s="284" t="e">
        <f>(IF(Tabla4[[#This Row],[Familia]]="termico solar",Tabla4[[#This Row],[Utilidad Total]]*6%,Tabla4[[#This Row],[Utilidad Total]]*11.5%))/Tabla4[[#This Row],[Total]]</f>
        <v>#N/A</v>
      </c>
      <c r="V6" s="282" t="e">
        <f>+Tabla4[[#This Row],[Comisión Calculada]]*Tabla4[[#This Row],[Total]]</f>
        <v>#N/A</v>
      </c>
    </row>
    <row r="7" spans="1:24" hidden="1" x14ac:dyDescent="0.25">
      <c r="A7" s="100">
        <v>45672</v>
      </c>
      <c r="B7" t="str">
        <f t="shared" si="0"/>
        <v>January</v>
      </c>
      <c r="C7" s="46" t="s">
        <v>280</v>
      </c>
      <c r="F7" s="366" t="s">
        <v>673</v>
      </c>
      <c r="G7" s="46" t="s">
        <v>22</v>
      </c>
      <c r="H7" s="46">
        <v>6</v>
      </c>
      <c r="I7" s="51">
        <v>13355.75</v>
      </c>
      <c r="J7" s="281">
        <f>++Tabla4[[#This Row],[Precio Bruto]]*1.16</f>
        <v>15492.669999999998</v>
      </c>
      <c r="K7" s="281">
        <f>+Tabla4[[#This Row],[Precio Unitario Neto]]*Tabla4[[#Headers],[20.85%]]</f>
        <v>3230.2216949999993</v>
      </c>
      <c r="L7" s="282">
        <f>++Tabla4[[#This Row],[Precio Unitario Neto]]-Tabla4[[#This Row],[20.85%]]</f>
        <v>12262.448304999998</v>
      </c>
      <c r="M7" s="282" t="e">
        <f>(INDEX(Tabla6[#All],MATCH(Tabla4[[#This Row],[Producto]],Tabla6[[#All],[PRODUCTO]],0),MATCH(Tabla4[[#This Row],[Mes]],Tabla6[#Headers],0)))*(1+Catalogos!$L$2)</f>
        <v>#N/A</v>
      </c>
      <c r="N7" s="283" t="e">
        <f>+(Tabla4[[#This Row],[Precio Descontado]]-Tabla4[[#This Row],[Precio Base]])*Tabla4[[#This Row],[Cantidad]]</f>
        <v>#N/A</v>
      </c>
      <c r="O7" s="284" t="e">
        <f>++Tabla4[[#This Row],[Utilidad Total]]/Tabla4[[#This Row],[Total]]</f>
        <v>#N/A</v>
      </c>
      <c r="P7" s="282">
        <f>++Tabla4[[#This Row],[Precio Descontado]]*Tabla4[[#This Row],[Cantidad]]</f>
        <v>73574.689829999988</v>
      </c>
      <c r="Q7" s="282" t="e">
        <f>(INDEX(Tabla6[#All],MATCH(Tabla4[[#This Row],[Producto]],Tabla6[[#All],[PRODUCTO]],0),MATCH(Tabla4[[#This Row],[Mes]],Tabla6[#Headers],0)))</f>
        <v>#N/A</v>
      </c>
      <c r="R7" s="282" t="e">
        <f>++Tabla4[[#This Row],[Precio Unitario Neto]]-Tabla4[[#This Row],[20.85%]]-Tabla4[[#This Row],[Costo]]</f>
        <v>#N/A</v>
      </c>
      <c r="S7" s="282" t="e">
        <f>++Tabla4[[#This Row],[U. Bruta Uni]]*Tabla4[[#This Row],[Cantidad]]</f>
        <v>#N/A</v>
      </c>
      <c r="T7" s="369" t="str">
        <f>VLOOKUP(Tabla4[[#This Row],[Producto]],Tabla6[#All],14,FALSE)</f>
        <v>Termico Solar</v>
      </c>
      <c r="U7" s="284" t="e">
        <f>(IF(Tabla4[[#This Row],[Familia]]="termico solar",Tabla4[[#This Row],[Utilidad Total]]*6%,Tabla4[[#This Row],[Utilidad Total]]*11.5%))/Tabla4[[#This Row],[Total]]</f>
        <v>#N/A</v>
      </c>
      <c r="V7" s="282" t="e">
        <f>+Tabla4[[#This Row],[Comisión Calculada]]*Tabla4[[#This Row],[Total]]</f>
        <v>#N/A</v>
      </c>
    </row>
    <row r="8" spans="1:24" hidden="1" x14ac:dyDescent="0.25">
      <c r="A8" s="100">
        <v>45672</v>
      </c>
      <c r="B8" t="str">
        <f t="shared" si="0"/>
        <v>January</v>
      </c>
      <c r="C8" s="46" t="s">
        <v>280</v>
      </c>
      <c r="F8" s="366" t="s">
        <v>673</v>
      </c>
      <c r="G8" s="46" t="s">
        <v>84</v>
      </c>
      <c r="H8" s="46">
        <v>3</v>
      </c>
      <c r="I8" s="51">
        <v>16601.829999999998</v>
      </c>
      <c r="J8" s="281">
        <f>++Tabla4[[#This Row],[Precio Bruto]]*1.16</f>
        <v>19258.122799999997</v>
      </c>
      <c r="K8" s="281">
        <f>+Tabla4[[#This Row],[Precio Unitario Neto]]*Tabla4[[#Headers],[20.85%]]</f>
        <v>4015.3186037999994</v>
      </c>
      <c r="L8" s="282">
        <f>++Tabla4[[#This Row],[Precio Unitario Neto]]-Tabla4[[#This Row],[20.85%]]</f>
        <v>15242.804196199999</v>
      </c>
      <c r="M8" s="282" t="e">
        <f>(INDEX(Tabla6[#All],MATCH(Tabla4[[#This Row],[Producto]],Tabla6[[#All],[PRODUCTO]],0),MATCH(Tabla4[[#This Row],[Mes]],Tabla6[#Headers],0)))*(1+Catalogos!$L$2)</f>
        <v>#N/A</v>
      </c>
      <c r="N8" s="283" t="e">
        <f>+(Tabla4[[#This Row],[Precio Descontado]]-Tabla4[[#This Row],[Precio Base]])*Tabla4[[#This Row],[Cantidad]]</f>
        <v>#N/A</v>
      </c>
      <c r="O8" s="284" t="e">
        <f>++Tabla4[[#This Row],[Utilidad Total]]/Tabla4[[#This Row],[Total]]</f>
        <v>#N/A</v>
      </c>
      <c r="P8" s="282">
        <f>++Tabla4[[#This Row],[Precio Descontado]]*Tabla4[[#This Row],[Cantidad]]</f>
        <v>45728.412588599997</v>
      </c>
      <c r="Q8" s="282" t="e">
        <f>(INDEX(Tabla6[#All],MATCH(Tabla4[[#This Row],[Producto]],Tabla6[[#All],[PRODUCTO]],0),MATCH(Tabla4[[#This Row],[Mes]],Tabla6[#Headers],0)))</f>
        <v>#N/A</v>
      </c>
      <c r="R8" s="282" t="e">
        <f>++Tabla4[[#This Row],[Precio Unitario Neto]]-Tabla4[[#This Row],[20.85%]]-Tabla4[[#This Row],[Costo]]</f>
        <v>#N/A</v>
      </c>
      <c r="S8" s="282" t="e">
        <f>++Tabla4[[#This Row],[U. Bruta Uni]]*Tabla4[[#This Row],[Cantidad]]</f>
        <v>#N/A</v>
      </c>
      <c r="T8" s="369" t="str">
        <f>VLOOKUP(Tabla4[[#This Row],[Producto]],Tabla6[#All],14,FALSE)</f>
        <v>Termico Solar</v>
      </c>
      <c r="U8" s="284" t="e">
        <f>(IF(Tabla4[[#This Row],[Familia]]="termico solar",Tabla4[[#This Row],[Utilidad Total]]*6%,Tabla4[[#This Row],[Utilidad Total]]*11.5%))/Tabla4[[#This Row],[Total]]</f>
        <v>#N/A</v>
      </c>
      <c r="V8" s="282" t="e">
        <f>+Tabla4[[#This Row],[Comisión Calculada]]*Tabla4[[#This Row],[Total]]</f>
        <v>#N/A</v>
      </c>
    </row>
    <row r="9" spans="1:24" hidden="1" x14ac:dyDescent="0.25">
      <c r="A9" s="100">
        <v>45672</v>
      </c>
      <c r="B9" t="str">
        <f t="shared" si="0"/>
        <v>January</v>
      </c>
      <c r="C9" s="46" t="s">
        <v>280</v>
      </c>
      <c r="F9" s="366" t="s">
        <v>674</v>
      </c>
      <c r="G9" s="46" t="s">
        <v>19</v>
      </c>
      <c r="H9" s="46">
        <v>7</v>
      </c>
      <c r="I9" s="51">
        <v>6412.03</v>
      </c>
      <c r="J9" s="281">
        <f>++Tabla4[[#This Row],[Precio Bruto]]*1.16</f>
        <v>7437.9547999999995</v>
      </c>
      <c r="K9" s="281">
        <f>+Tabla4[[#This Row],[Precio Unitario Neto]]*Tabla4[[#Headers],[20.85%]]</f>
        <v>1550.8135757999999</v>
      </c>
      <c r="L9" s="282">
        <f>++Tabla4[[#This Row],[Precio Unitario Neto]]-Tabla4[[#This Row],[20.85%]]</f>
        <v>5887.1412241999997</v>
      </c>
      <c r="M9" s="282" t="e">
        <f>(INDEX(Tabla6[#All],MATCH(Tabla4[[#This Row],[Producto]],Tabla6[[#All],[PRODUCTO]],0),MATCH(Tabla4[[#This Row],[Mes]],Tabla6[#Headers],0)))*(1+Catalogos!$L$2)</f>
        <v>#N/A</v>
      </c>
      <c r="N9" s="283" t="e">
        <f>+(Tabla4[[#This Row],[Precio Descontado]]-Tabla4[[#This Row],[Precio Base]])*Tabla4[[#This Row],[Cantidad]]</f>
        <v>#N/A</v>
      </c>
      <c r="O9" s="284" t="e">
        <f>++Tabla4[[#This Row],[Utilidad Total]]/Tabla4[[#This Row],[Total]]</f>
        <v>#N/A</v>
      </c>
      <c r="P9" s="282">
        <f>++Tabla4[[#This Row],[Precio Descontado]]*Tabla4[[#This Row],[Cantidad]]</f>
        <v>41209.988569399997</v>
      </c>
      <c r="Q9" s="282" t="e">
        <f>(INDEX(Tabla6[#All],MATCH(Tabla4[[#This Row],[Producto]],Tabla6[[#All],[PRODUCTO]],0),MATCH(Tabla4[[#This Row],[Mes]],Tabla6[#Headers],0)))</f>
        <v>#N/A</v>
      </c>
      <c r="R9" s="282" t="e">
        <f>++Tabla4[[#This Row],[Precio Unitario Neto]]-Tabla4[[#This Row],[20.85%]]-Tabla4[[#This Row],[Costo]]</f>
        <v>#N/A</v>
      </c>
      <c r="S9" s="282" t="e">
        <f>++Tabla4[[#This Row],[U. Bruta Uni]]*Tabla4[[#This Row],[Cantidad]]</f>
        <v>#N/A</v>
      </c>
      <c r="T9" s="369" t="str">
        <f>VLOOKUP(Tabla4[[#This Row],[Producto]],Tabla6[#All],14,FALSE)</f>
        <v>Termico Solar</v>
      </c>
      <c r="U9" s="284" t="e">
        <f>(IF(Tabla4[[#This Row],[Familia]]="termico solar",Tabla4[[#This Row],[Utilidad Total]]*6%,Tabla4[[#This Row],[Utilidad Total]]*11.5%))/Tabla4[[#This Row],[Total]]</f>
        <v>#N/A</v>
      </c>
      <c r="V9" s="282" t="e">
        <f>+Tabla4[[#This Row],[Comisión Calculada]]*Tabla4[[#This Row],[Total]]</f>
        <v>#N/A</v>
      </c>
    </row>
    <row r="10" spans="1:24" hidden="1" x14ac:dyDescent="0.25">
      <c r="A10" s="100">
        <v>45672</v>
      </c>
      <c r="B10" t="str">
        <f t="shared" si="0"/>
        <v>January</v>
      </c>
      <c r="C10" s="46" t="s">
        <v>280</v>
      </c>
      <c r="F10" s="366" t="s">
        <v>674</v>
      </c>
      <c r="G10" s="46" t="s">
        <v>20</v>
      </c>
      <c r="H10" s="46">
        <v>1</v>
      </c>
      <c r="I10" s="51">
        <v>7751.98</v>
      </c>
      <c r="J10" s="281">
        <f>++Tabla4[[#This Row],[Precio Bruto]]*1.16</f>
        <v>8992.2967999999983</v>
      </c>
      <c r="K10" s="281">
        <f>+Tabla4[[#This Row],[Precio Unitario Neto]]*Tabla4[[#Headers],[20.85%]]</f>
        <v>1874.8938827999996</v>
      </c>
      <c r="L10" s="282">
        <f>++Tabla4[[#This Row],[Precio Unitario Neto]]-Tabla4[[#This Row],[20.85%]]</f>
        <v>7117.4029171999991</v>
      </c>
      <c r="M10" s="282" t="e">
        <f>(INDEX(Tabla6[#All],MATCH(Tabla4[[#This Row],[Producto]],Tabla6[[#All],[PRODUCTO]],0),MATCH(Tabla4[[#This Row],[Mes]],Tabla6[#Headers],0)))*(1+Catalogos!$L$2)</f>
        <v>#N/A</v>
      </c>
      <c r="N10" s="283" t="e">
        <f>+(Tabla4[[#This Row],[Precio Descontado]]-Tabla4[[#This Row],[Precio Base]])*Tabla4[[#This Row],[Cantidad]]</f>
        <v>#N/A</v>
      </c>
      <c r="O10" s="284" t="e">
        <f>++Tabla4[[#This Row],[Utilidad Total]]/Tabla4[[#This Row],[Total]]</f>
        <v>#N/A</v>
      </c>
      <c r="P10" s="282">
        <f>++Tabla4[[#This Row],[Precio Descontado]]*Tabla4[[#This Row],[Cantidad]]</f>
        <v>7117.4029171999991</v>
      </c>
      <c r="Q10" s="282" t="e">
        <f>(INDEX(Tabla6[#All],MATCH(Tabla4[[#This Row],[Producto]],Tabla6[[#All],[PRODUCTO]],0),MATCH(Tabla4[[#This Row],[Mes]],Tabla6[#Headers],0)))</f>
        <v>#N/A</v>
      </c>
      <c r="R10" s="282" t="e">
        <f>++Tabla4[[#This Row],[Precio Unitario Neto]]-Tabla4[[#This Row],[20.85%]]-Tabla4[[#This Row],[Costo]]</f>
        <v>#N/A</v>
      </c>
      <c r="S10" s="282" t="e">
        <f>++Tabla4[[#This Row],[U. Bruta Uni]]*Tabla4[[#This Row],[Cantidad]]</f>
        <v>#N/A</v>
      </c>
      <c r="T10" s="369" t="str">
        <f>VLOOKUP(Tabla4[[#This Row],[Producto]],Tabla6[#All],14,FALSE)</f>
        <v>Termico Solar</v>
      </c>
      <c r="U10" s="284" t="e">
        <f>(IF(Tabla4[[#This Row],[Familia]]="termico solar",Tabla4[[#This Row],[Utilidad Total]]*6%,Tabla4[[#This Row],[Utilidad Total]]*11.5%))/Tabla4[[#This Row],[Total]]</f>
        <v>#N/A</v>
      </c>
      <c r="V10" s="282" t="e">
        <f>+Tabla4[[#This Row],[Comisión Calculada]]*Tabla4[[#This Row],[Total]]</f>
        <v>#N/A</v>
      </c>
    </row>
    <row r="11" spans="1:24" hidden="1" x14ac:dyDescent="0.25">
      <c r="A11" s="100">
        <v>45672</v>
      </c>
      <c r="B11" t="str">
        <f t="shared" si="0"/>
        <v>January</v>
      </c>
      <c r="C11" s="46" t="s">
        <v>280</v>
      </c>
      <c r="F11" s="366" t="s">
        <v>674</v>
      </c>
      <c r="G11" s="46" t="s">
        <v>21</v>
      </c>
      <c r="H11" s="46">
        <v>6</v>
      </c>
      <c r="I11" s="51">
        <v>9282.19</v>
      </c>
      <c r="J11" s="281">
        <f>++Tabla4[[#This Row],[Precio Bruto]]*1.16</f>
        <v>10767.340399999999</v>
      </c>
      <c r="K11" s="281">
        <f>+Tabla4[[#This Row],[Precio Unitario Neto]]*Tabla4[[#Headers],[20.85%]]</f>
        <v>2244.9904733999997</v>
      </c>
      <c r="L11" s="282">
        <f>++Tabla4[[#This Row],[Precio Unitario Neto]]-Tabla4[[#This Row],[20.85%]]</f>
        <v>8522.3499265999999</v>
      </c>
      <c r="M11" s="282" t="e">
        <f>(INDEX(Tabla6[#All],MATCH(Tabla4[[#This Row],[Producto]],Tabla6[[#All],[PRODUCTO]],0),MATCH(Tabla4[[#This Row],[Mes]],Tabla6[#Headers],0)))*(1+Catalogos!$L$2)</f>
        <v>#N/A</v>
      </c>
      <c r="N11" s="283" t="e">
        <f>+(Tabla4[[#This Row],[Precio Descontado]]-Tabla4[[#This Row],[Precio Base]])*Tabla4[[#This Row],[Cantidad]]</f>
        <v>#N/A</v>
      </c>
      <c r="O11" s="284" t="e">
        <f>++Tabla4[[#This Row],[Utilidad Total]]/Tabla4[[#This Row],[Total]]</f>
        <v>#N/A</v>
      </c>
      <c r="P11" s="282">
        <f>++Tabla4[[#This Row],[Precio Descontado]]*Tabla4[[#This Row],[Cantidad]]</f>
        <v>51134.099559599999</v>
      </c>
      <c r="Q11" s="282" t="e">
        <f>(INDEX(Tabla6[#All],MATCH(Tabla4[[#This Row],[Producto]],Tabla6[[#All],[PRODUCTO]],0),MATCH(Tabla4[[#This Row],[Mes]],Tabla6[#Headers],0)))</f>
        <v>#N/A</v>
      </c>
      <c r="R11" s="282" t="e">
        <f>++Tabla4[[#This Row],[Precio Unitario Neto]]-Tabla4[[#This Row],[20.85%]]-Tabla4[[#This Row],[Costo]]</f>
        <v>#N/A</v>
      </c>
      <c r="S11" s="282" t="e">
        <f>++Tabla4[[#This Row],[U. Bruta Uni]]*Tabla4[[#This Row],[Cantidad]]</f>
        <v>#N/A</v>
      </c>
      <c r="T11" s="369" t="str">
        <f>VLOOKUP(Tabla4[[#This Row],[Producto]],Tabla6[#All],14,FALSE)</f>
        <v>Termico Solar</v>
      </c>
      <c r="U11" s="284" t="e">
        <f>(IF(Tabla4[[#This Row],[Familia]]="termico solar",Tabla4[[#This Row],[Utilidad Total]]*6%,Tabla4[[#This Row],[Utilidad Total]]*11.5%))/Tabla4[[#This Row],[Total]]</f>
        <v>#N/A</v>
      </c>
      <c r="V11" s="282" t="e">
        <f>+Tabla4[[#This Row],[Comisión Calculada]]*Tabla4[[#This Row],[Total]]</f>
        <v>#N/A</v>
      </c>
    </row>
    <row r="12" spans="1:24" hidden="1" x14ac:dyDescent="0.25">
      <c r="A12" s="100">
        <v>45672</v>
      </c>
      <c r="B12" t="str">
        <f t="shared" si="0"/>
        <v>January</v>
      </c>
      <c r="C12" s="46" t="s">
        <v>280</v>
      </c>
      <c r="F12" s="366" t="s">
        <v>674</v>
      </c>
      <c r="G12" s="46" t="s">
        <v>22</v>
      </c>
      <c r="H12" s="46">
        <v>7</v>
      </c>
      <c r="I12" s="51">
        <v>13355.75</v>
      </c>
      <c r="J12" s="281">
        <f>++Tabla4[[#This Row],[Precio Bruto]]*1.16</f>
        <v>15492.669999999998</v>
      </c>
      <c r="K12" s="281">
        <f>+Tabla4[[#This Row],[Precio Unitario Neto]]*Tabla4[[#Headers],[20.85%]]</f>
        <v>3230.2216949999993</v>
      </c>
      <c r="L12" s="282">
        <f>++Tabla4[[#This Row],[Precio Unitario Neto]]-Tabla4[[#This Row],[20.85%]]</f>
        <v>12262.448304999998</v>
      </c>
      <c r="M12" s="282" t="e">
        <f>(INDEX(Tabla6[#All],MATCH(Tabla4[[#This Row],[Producto]],Tabla6[[#All],[PRODUCTO]],0),MATCH(Tabla4[[#This Row],[Mes]],Tabla6[#Headers],0)))*(1+Catalogos!$L$2)</f>
        <v>#N/A</v>
      </c>
      <c r="N12" s="283" t="e">
        <f>+(Tabla4[[#This Row],[Precio Descontado]]-Tabla4[[#This Row],[Precio Base]])*Tabla4[[#This Row],[Cantidad]]</f>
        <v>#N/A</v>
      </c>
      <c r="O12" s="284" t="e">
        <f>++Tabla4[[#This Row],[Utilidad Total]]/Tabla4[[#This Row],[Total]]</f>
        <v>#N/A</v>
      </c>
      <c r="P12" s="282">
        <f>++Tabla4[[#This Row],[Precio Descontado]]*Tabla4[[#This Row],[Cantidad]]</f>
        <v>85837.138134999987</v>
      </c>
      <c r="Q12" s="282" t="e">
        <f>(INDEX(Tabla6[#All],MATCH(Tabla4[[#This Row],[Producto]],Tabla6[[#All],[PRODUCTO]],0),MATCH(Tabla4[[#This Row],[Mes]],Tabla6[#Headers],0)))</f>
        <v>#N/A</v>
      </c>
      <c r="R12" s="282" t="e">
        <f>++Tabla4[[#This Row],[Precio Unitario Neto]]-Tabla4[[#This Row],[20.85%]]-Tabla4[[#This Row],[Costo]]</f>
        <v>#N/A</v>
      </c>
      <c r="S12" s="282" t="e">
        <f>++Tabla4[[#This Row],[U. Bruta Uni]]*Tabla4[[#This Row],[Cantidad]]</f>
        <v>#N/A</v>
      </c>
      <c r="T12" s="369" t="str">
        <f>VLOOKUP(Tabla4[[#This Row],[Producto]],Tabla6[#All],14,FALSE)</f>
        <v>Termico Solar</v>
      </c>
      <c r="U12" s="284" t="e">
        <f>(IF(Tabla4[[#This Row],[Familia]]="termico solar",Tabla4[[#This Row],[Utilidad Total]]*6%,Tabla4[[#This Row],[Utilidad Total]]*11.5%))/Tabla4[[#This Row],[Total]]</f>
        <v>#N/A</v>
      </c>
      <c r="V12" s="282" t="e">
        <f>+Tabla4[[#This Row],[Comisión Calculada]]*Tabla4[[#This Row],[Total]]</f>
        <v>#N/A</v>
      </c>
    </row>
    <row r="13" spans="1:24" hidden="1" x14ac:dyDescent="0.25">
      <c r="A13" s="100">
        <v>45672</v>
      </c>
      <c r="B13" t="str">
        <f t="shared" si="0"/>
        <v>January</v>
      </c>
      <c r="C13" s="46" t="s">
        <v>280</v>
      </c>
      <c r="F13" s="366" t="s">
        <v>674</v>
      </c>
      <c r="G13" s="46" t="s">
        <v>84</v>
      </c>
      <c r="H13" s="46">
        <v>2</v>
      </c>
      <c r="I13" s="51">
        <v>16601.830000000002</v>
      </c>
      <c r="J13" s="281">
        <f>++Tabla4[[#This Row],[Precio Bruto]]*1.16</f>
        <v>19258.122800000001</v>
      </c>
      <c r="K13" s="281">
        <f>+Tabla4[[#This Row],[Precio Unitario Neto]]*Tabla4[[#Headers],[20.85%]]</f>
        <v>4015.3186037999999</v>
      </c>
      <c r="L13" s="282">
        <f>++Tabla4[[#This Row],[Precio Unitario Neto]]-Tabla4[[#This Row],[20.85%]]</f>
        <v>15242.804196200001</v>
      </c>
      <c r="M13" s="282" t="e">
        <f>(INDEX(Tabla6[#All],MATCH(Tabla4[[#This Row],[Producto]],Tabla6[[#All],[PRODUCTO]],0),MATCH(Tabla4[[#This Row],[Mes]],Tabla6[#Headers],0)))*(1+Catalogos!$L$2)</f>
        <v>#N/A</v>
      </c>
      <c r="N13" s="283" t="e">
        <f>+(Tabla4[[#This Row],[Precio Descontado]]-Tabla4[[#This Row],[Precio Base]])*Tabla4[[#This Row],[Cantidad]]</f>
        <v>#N/A</v>
      </c>
      <c r="O13" s="284" t="e">
        <f>++Tabla4[[#This Row],[Utilidad Total]]/Tabla4[[#This Row],[Total]]</f>
        <v>#N/A</v>
      </c>
      <c r="P13" s="282">
        <f>++Tabla4[[#This Row],[Precio Descontado]]*Tabla4[[#This Row],[Cantidad]]</f>
        <v>30485.608392400001</v>
      </c>
      <c r="Q13" s="282" t="e">
        <f>(INDEX(Tabla6[#All],MATCH(Tabla4[[#This Row],[Producto]],Tabla6[[#All],[PRODUCTO]],0),MATCH(Tabla4[[#This Row],[Mes]],Tabla6[#Headers],0)))</f>
        <v>#N/A</v>
      </c>
      <c r="R13" s="282" t="e">
        <f>++Tabla4[[#This Row],[Precio Unitario Neto]]-Tabla4[[#This Row],[20.85%]]-Tabla4[[#This Row],[Costo]]</f>
        <v>#N/A</v>
      </c>
      <c r="S13" s="282" t="e">
        <f>++Tabla4[[#This Row],[U. Bruta Uni]]*Tabla4[[#This Row],[Cantidad]]</f>
        <v>#N/A</v>
      </c>
      <c r="T13" s="369" t="str">
        <f>VLOOKUP(Tabla4[[#This Row],[Producto]],Tabla6[#All],14,FALSE)</f>
        <v>Termico Solar</v>
      </c>
      <c r="U13" s="284" t="e">
        <f>(IF(Tabla4[[#This Row],[Familia]]="termico solar",Tabla4[[#This Row],[Utilidad Total]]*6%,Tabla4[[#This Row],[Utilidad Total]]*11.5%))/Tabla4[[#This Row],[Total]]</f>
        <v>#N/A</v>
      </c>
      <c r="V13" s="282" t="e">
        <f>+Tabla4[[#This Row],[Comisión Calculada]]*Tabla4[[#This Row],[Total]]</f>
        <v>#N/A</v>
      </c>
    </row>
    <row r="14" spans="1:24" hidden="1" x14ac:dyDescent="0.25">
      <c r="A14" s="100">
        <v>45672</v>
      </c>
      <c r="B14" t="str">
        <f t="shared" si="0"/>
        <v>January</v>
      </c>
      <c r="C14" s="46" t="s">
        <v>280</v>
      </c>
      <c r="F14" s="366" t="s">
        <v>675</v>
      </c>
      <c r="G14" s="46" t="s">
        <v>566</v>
      </c>
      <c r="H14" s="46">
        <v>3</v>
      </c>
      <c r="I14" s="51">
        <v>2109.4500000000003</v>
      </c>
      <c r="J14" s="281">
        <f>++Tabla4[[#This Row],[Precio Bruto]]*1.16</f>
        <v>2446.962</v>
      </c>
      <c r="K14" s="281">
        <f>+Tabla4[[#This Row],[Precio Unitario Neto]]*Tabla4[[#Headers],[20.85%]]</f>
        <v>510.191577</v>
      </c>
      <c r="L14" s="282">
        <f>++Tabla4[[#This Row],[Precio Unitario Neto]]-Tabla4[[#This Row],[20.85%]]</f>
        <v>1936.7704229999999</v>
      </c>
      <c r="M14" s="282" t="e">
        <f>(INDEX(Tabla6[#All],MATCH(Tabla4[[#This Row],[Producto]],Tabla6[[#All],[PRODUCTO]],0),MATCH(Tabla4[[#This Row],[Mes]],Tabla6[#Headers],0)))*(1+Catalogos!$L$2)</f>
        <v>#N/A</v>
      </c>
      <c r="N14" s="283" t="e">
        <f>+(Tabla4[[#This Row],[Precio Descontado]]-Tabla4[[#This Row],[Precio Base]])*Tabla4[[#This Row],[Cantidad]]</f>
        <v>#N/A</v>
      </c>
      <c r="O14" s="284" t="e">
        <f>++Tabla4[[#This Row],[Utilidad Total]]/Tabla4[[#This Row],[Total]]</f>
        <v>#N/A</v>
      </c>
      <c r="P14" s="282">
        <f>++Tabla4[[#This Row],[Precio Descontado]]*Tabla4[[#This Row],[Cantidad]]</f>
        <v>5810.3112689999998</v>
      </c>
      <c r="Q14" s="282" t="e">
        <f>(INDEX(Tabla6[#All],MATCH(Tabla4[[#This Row],[Producto]],Tabla6[[#All],[PRODUCTO]],0),MATCH(Tabla4[[#This Row],[Mes]],Tabla6[#Headers],0)))</f>
        <v>#N/A</v>
      </c>
      <c r="R14" s="282" t="e">
        <f>++Tabla4[[#This Row],[Precio Unitario Neto]]-Tabla4[[#This Row],[20.85%]]-Tabla4[[#This Row],[Costo]]</f>
        <v>#N/A</v>
      </c>
      <c r="S14" s="282" t="e">
        <f>++Tabla4[[#This Row],[U. Bruta Uni]]*Tabla4[[#This Row],[Cantidad]]</f>
        <v>#N/A</v>
      </c>
      <c r="T14" s="369" t="str">
        <f>VLOOKUP(Tabla4[[#This Row],[Producto]],Tabla6[#All],14,FALSE)</f>
        <v>Termico Solar</v>
      </c>
      <c r="U14" s="284" t="e">
        <f>(IF(Tabla4[[#This Row],[Familia]]="termico solar",Tabla4[[#This Row],[Utilidad Total]]*6%,Tabla4[[#This Row],[Utilidad Total]]*11.5%))/Tabla4[[#This Row],[Total]]</f>
        <v>#N/A</v>
      </c>
      <c r="V14" s="282" t="e">
        <f>+Tabla4[[#This Row],[Comisión Calculada]]*Tabla4[[#This Row],[Total]]</f>
        <v>#N/A</v>
      </c>
    </row>
    <row r="15" spans="1:24" hidden="1" x14ac:dyDescent="0.25">
      <c r="A15" s="100">
        <v>45672</v>
      </c>
      <c r="B15" t="str">
        <f t="shared" si="0"/>
        <v>January</v>
      </c>
      <c r="C15" s="46" t="s">
        <v>280</v>
      </c>
      <c r="F15" s="366" t="s">
        <v>676</v>
      </c>
      <c r="G15" s="46" t="s">
        <v>17</v>
      </c>
      <c r="H15" s="46">
        <v>4</v>
      </c>
      <c r="I15" s="51">
        <v>4622.28</v>
      </c>
      <c r="J15" s="281">
        <f>++Tabla4[[#This Row],[Precio Bruto]]*1.16</f>
        <v>5361.8447999999989</v>
      </c>
      <c r="K15" s="281">
        <f>+Tabla4[[#This Row],[Precio Unitario Neto]]*Tabla4[[#Headers],[20.85%]]</f>
        <v>1117.9446407999997</v>
      </c>
      <c r="L15" s="282">
        <f>++Tabla4[[#This Row],[Precio Unitario Neto]]-Tabla4[[#This Row],[20.85%]]</f>
        <v>4243.9001591999995</v>
      </c>
      <c r="M15" s="282" t="e">
        <f>(INDEX(Tabla6[#All],MATCH(Tabla4[[#This Row],[Producto]],Tabla6[[#All],[PRODUCTO]],0),MATCH(Tabla4[[#This Row],[Mes]],Tabla6[#Headers],0)))*(1+Catalogos!$L$2)</f>
        <v>#N/A</v>
      </c>
      <c r="N15" s="283" t="e">
        <f>+(Tabla4[[#This Row],[Precio Descontado]]-Tabla4[[#This Row],[Precio Base]])*Tabla4[[#This Row],[Cantidad]]</f>
        <v>#N/A</v>
      </c>
      <c r="O15" s="284" t="e">
        <f>++Tabla4[[#This Row],[Utilidad Total]]/Tabla4[[#This Row],[Total]]</f>
        <v>#N/A</v>
      </c>
      <c r="P15" s="282">
        <f>++Tabla4[[#This Row],[Precio Descontado]]*Tabla4[[#This Row],[Cantidad]]</f>
        <v>16975.600636799998</v>
      </c>
      <c r="Q15" s="282" t="e">
        <f>(INDEX(Tabla6[#All],MATCH(Tabla4[[#This Row],[Producto]],Tabla6[[#All],[PRODUCTO]],0),MATCH(Tabla4[[#This Row],[Mes]],Tabla6[#Headers],0)))</f>
        <v>#N/A</v>
      </c>
      <c r="R15" s="282" t="e">
        <f>++Tabla4[[#This Row],[Precio Unitario Neto]]-Tabla4[[#This Row],[20.85%]]-Tabla4[[#This Row],[Costo]]</f>
        <v>#N/A</v>
      </c>
      <c r="S15" s="282" t="e">
        <f>++Tabla4[[#This Row],[U. Bruta Uni]]*Tabla4[[#This Row],[Cantidad]]</f>
        <v>#N/A</v>
      </c>
      <c r="T15" s="369" t="str">
        <f>VLOOKUP(Tabla4[[#This Row],[Producto]],Tabla6[#All],14,FALSE)</f>
        <v>Termico Solar</v>
      </c>
      <c r="U15" s="284" t="e">
        <f>(IF(Tabla4[[#This Row],[Familia]]="termico solar",Tabla4[[#This Row],[Utilidad Total]]*6%,Tabla4[[#This Row],[Utilidad Total]]*11.5%))/Tabla4[[#This Row],[Total]]</f>
        <v>#N/A</v>
      </c>
      <c r="V15" s="282" t="e">
        <f>+Tabla4[[#This Row],[Comisión Calculada]]*Tabla4[[#This Row],[Total]]</f>
        <v>#N/A</v>
      </c>
    </row>
    <row r="16" spans="1:24" hidden="1" x14ac:dyDescent="0.25">
      <c r="A16" s="100">
        <v>45672</v>
      </c>
      <c r="B16" t="str">
        <f t="shared" si="0"/>
        <v>January</v>
      </c>
      <c r="C16" s="46" t="s">
        <v>280</v>
      </c>
      <c r="F16" s="366" t="s">
        <v>677</v>
      </c>
      <c r="G16" s="46" t="s">
        <v>17</v>
      </c>
      <c r="H16" s="46">
        <v>3</v>
      </c>
      <c r="I16" s="51">
        <v>4622.28</v>
      </c>
      <c r="J16" s="281">
        <f>++Tabla4[[#This Row],[Precio Bruto]]*1.16</f>
        <v>5361.8447999999989</v>
      </c>
      <c r="K16" s="281">
        <f>+Tabla4[[#This Row],[Precio Unitario Neto]]*Tabla4[[#Headers],[20.85%]]</f>
        <v>1117.9446407999997</v>
      </c>
      <c r="L16" s="282">
        <f>++Tabla4[[#This Row],[Precio Unitario Neto]]-Tabla4[[#This Row],[20.85%]]</f>
        <v>4243.9001591999995</v>
      </c>
      <c r="M16" s="282" t="e">
        <f>(INDEX(Tabla6[#All],MATCH(Tabla4[[#This Row],[Producto]],Tabla6[[#All],[PRODUCTO]],0),MATCH(Tabla4[[#This Row],[Mes]],Tabla6[#Headers],0)))*(1+Catalogos!$L$2)</f>
        <v>#N/A</v>
      </c>
      <c r="N16" s="283" t="e">
        <f>+(Tabla4[[#This Row],[Precio Descontado]]-Tabla4[[#This Row],[Precio Base]])*Tabla4[[#This Row],[Cantidad]]</f>
        <v>#N/A</v>
      </c>
      <c r="O16" s="284" t="e">
        <f>++Tabla4[[#This Row],[Utilidad Total]]/Tabla4[[#This Row],[Total]]</f>
        <v>#N/A</v>
      </c>
      <c r="P16" s="282">
        <f>++Tabla4[[#This Row],[Precio Descontado]]*Tabla4[[#This Row],[Cantidad]]</f>
        <v>12731.700477599999</v>
      </c>
      <c r="Q16" s="282" t="e">
        <f>(INDEX(Tabla6[#All],MATCH(Tabla4[[#This Row],[Producto]],Tabla6[[#All],[PRODUCTO]],0),MATCH(Tabla4[[#This Row],[Mes]],Tabla6[#Headers],0)))</f>
        <v>#N/A</v>
      </c>
      <c r="R16" s="282" t="e">
        <f>++Tabla4[[#This Row],[Precio Unitario Neto]]-Tabla4[[#This Row],[20.85%]]-Tabla4[[#This Row],[Costo]]</f>
        <v>#N/A</v>
      </c>
      <c r="S16" s="282" t="e">
        <f>++Tabla4[[#This Row],[U. Bruta Uni]]*Tabla4[[#This Row],[Cantidad]]</f>
        <v>#N/A</v>
      </c>
      <c r="T16" s="369" t="str">
        <f>VLOOKUP(Tabla4[[#This Row],[Producto]],Tabla6[#All],14,FALSE)</f>
        <v>Termico Solar</v>
      </c>
      <c r="U16" s="284" t="e">
        <f>(IF(Tabla4[[#This Row],[Familia]]="termico solar",Tabla4[[#This Row],[Utilidad Total]]*6%,Tabla4[[#This Row],[Utilidad Total]]*11.5%))/Tabla4[[#This Row],[Total]]</f>
        <v>#N/A</v>
      </c>
      <c r="V16" s="282" t="e">
        <f>+Tabla4[[#This Row],[Comisión Calculada]]*Tabla4[[#This Row],[Total]]</f>
        <v>#N/A</v>
      </c>
    </row>
    <row r="17" spans="1:22" hidden="1" x14ac:dyDescent="0.25">
      <c r="A17" s="100">
        <v>45672</v>
      </c>
      <c r="B17" t="str">
        <f t="shared" si="0"/>
        <v>January</v>
      </c>
      <c r="C17" s="46" t="s">
        <v>280</v>
      </c>
      <c r="F17" s="366" t="s">
        <v>678</v>
      </c>
      <c r="G17" s="46" t="s">
        <v>83</v>
      </c>
      <c r="H17" s="46">
        <v>1</v>
      </c>
      <c r="I17" s="51">
        <v>8858.76</v>
      </c>
      <c r="J17" s="281">
        <f>++Tabla4[[#This Row],[Precio Bruto]]*1.16</f>
        <v>10276.161599999999</v>
      </c>
      <c r="K17" s="281">
        <f>+Tabla4[[#This Row],[Precio Unitario Neto]]*Tabla4[[#Headers],[20.85%]]</f>
        <v>2142.5796935999997</v>
      </c>
      <c r="L17" s="282">
        <f>++Tabla4[[#This Row],[Precio Unitario Neto]]-Tabla4[[#This Row],[20.85%]]</f>
        <v>8133.5819063999998</v>
      </c>
      <c r="M17" s="282" t="e">
        <f>(INDEX(Tabla6[#All],MATCH(Tabla4[[#This Row],[Producto]],Tabla6[[#All],[PRODUCTO]],0),MATCH(Tabla4[[#This Row],[Mes]],Tabla6[#Headers],0)))*(1+Catalogos!$L$2)</f>
        <v>#N/A</v>
      </c>
      <c r="N17" s="283" t="e">
        <f>+(Tabla4[[#This Row],[Precio Descontado]]-Tabla4[[#This Row],[Precio Base]])*Tabla4[[#This Row],[Cantidad]]</f>
        <v>#N/A</v>
      </c>
      <c r="O17" s="284" t="e">
        <f>++Tabla4[[#This Row],[Utilidad Total]]/Tabla4[[#This Row],[Total]]</f>
        <v>#N/A</v>
      </c>
      <c r="P17" s="282">
        <f>++Tabla4[[#This Row],[Precio Descontado]]*Tabla4[[#This Row],[Cantidad]]</f>
        <v>8133.5819063999998</v>
      </c>
      <c r="Q17" s="282" t="e">
        <f>(INDEX(Tabla6[#All],MATCH(Tabla4[[#This Row],[Producto]],Tabla6[[#All],[PRODUCTO]],0),MATCH(Tabla4[[#This Row],[Mes]],Tabla6[#Headers],0)))</f>
        <v>#N/A</v>
      </c>
      <c r="R17" s="282" t="e">
        <f>++Tabla4[[#This Row],[Precio Unitario Neto]]-Tabla4[[#This Row],[20.85%]]-Tabla4[[#This Row],[Costo]]</f>
        <v>#N/A</v>
      </c>
      <c r="S17" s="282" t="e">
        <f>++Tabla4[[#This Row],[U. Bruta Uni]]*Tabla4[[#This Row],[Cantidad]]</f>
        <v>#N/A</v>
      </c>
      <c r="T17" s="369" t="str">
        <f>VLOOKUP(Tabla4[[#This Row],[Producto]],Tabla6[#All],14,FALSE)</f>
        <v>Termico Solar</v>
      </c>
      <c r="U17" s="284" t="e">
        <f>(IF(Tabla4[[#This Row],[Familia]]="termico solar",Tabla4[[#This Row],[Utilidad Total]]*6%,Tabla4[[#This Row],[Utilidad Total]]*11.5%))/Tabla4[[#This Row],[Total]]</f>
        <v>#N/A</v>
      </c>
      <c r="V17" s="282" t="e">
        <f>+Tabla4[[#This Row],[Comisión Calculada]]*Tabla4[[#This Row],[Total]]</f>
        <v>#N/A</v>
      </c>
    </row>
    <row r="18" spans="1:22" hidden="1" x14ac:dyDescent="0.25">
      <c r="A18" s="100">
        <v>45672</v>
      </c>
      <c r="B18" t="str">
        <f t="shared" si="0"/>
        <v>January</v>
      </c>
      <c r="C18" s="46" t="s">
        <v>280</v>
      </c>
      <c r="F18" s="366" t="s">
        <v>679</v>
      </c>
      <c r="G18" s="46" t="s">
        <v>19</v>
      </c>
      <c r="H18" s="46">
        <v>4</v>
      </c>
      <c r="I18" s="51">
        <v>6412.03</v>
      </c>
      <c r="J18" s="281">
        <f>++Tabla4[[#This Row],[Precio Bruto]]*1.16</f>
        <v>7437.9547999999995</v>
      </c>
      <c r="K18" s="281">
        <f>+Tabla4[[#This Row],[Precio Unitario Neto]]*Tabla4[[#Headers],[20.85%]]</f>
        <v>1550.8135757999999</v>
      </c>
      <c r="L18" s="282">
        <f>++Tabla4[[#This Row],[Precio Unitario Neto]]-Tabla4[[#This Row],[20.85%]]</f>
        <v>5887.1412241999997</v>
      </c>
      <c r="M18" s="282" t="e">
        <f>(INDEX(Tabla6[#All],MATCH(Tabla4[[#This Row],[Producto]],Tabla6[[#All],[PRODUCTO]],0),MATCH(Tabla4[[#This Row],[Mes]],Tabla6[#Headers],0)))*(1+Catalogos!$L$2)</f>
        <v>#N/A</v>
      </c>
      <c r="N18" s="283" t="e">
        <f>+(Tabla4[[#This Row],[Precio Descontado]]-Tabla4[[#This Row],[Precio Base]])*Tabla4[[#This Row],[Cantidad]]</f>
        <v>#N/A</v>
      </c>
      <c r="O18" s="284" t="e">
        <f>++Tabla4[[#This Row],[Utilidad Total]]/Tabla4[[#This Row],[Total]]</f>
        <v>#N/A</v>
      </c>
      <c r="P18" s="282">
        <f>++Tabla4[[#This Row],[Precio Descontado]]*Tabla4[[#This Row],[Cantidad]]</f>
        <v>23548.564896799999</v>
      </c>
      <c r="Q18" s="282" t="e">
        <f>(INDEX(Tabla6[#All],MATCH(Tabla4[[#This Row],[Producto]],Tabla6[[#All],[PRODUCTO]],0),MATCH(Tabla4[[#This Row],[Mes]],Tabla6[#Headers],0)))</f>
        <v>#N/A</v>
      </c>
      <c r="R18" s="282" t="e">
        <f>++Tabla4[[#This Row],[Precio Unitario Neto]]-Tabla4[[#This Row],[20.85%]]-Tabla4[[#This Row],[Costo]]</f>
        <v>#N/A</v>
      </c>
      <c r="S18" s="282" t="e">
        <f>++Tabla4[[#This Row],[U. Bruta Uni]]*Tabla4[[#This Row],[Cantidad]]</f>
        <v>#N/A</v>
      </c>
      <c r="T18" s="369" t="str">
        <f>VLOOKUP(Tabla4[[#This Row],[Producto]],Tabla6[#All],14,FALSE)</f>
        <v>Termico Solar</v>
      </c>
      <c r="U18" s="284" t="e">
        <f>(IF(Tabla4[[#This Row],[Familia]]="termico solar",Tabla4[[#This Row],[Utilidad Total]]*6%,Tabla4[[#This Row],[Utilidad Total]]*11.5%))/Tabla4[[#This Row],[Total]]</f>
        <v>#N/A</v>
      </c>
      <c r="V18" s="282" t="e">
        <f>+Tabla4[[#This Row],[Comisión Calculada]]*Tabla4[[#This Row],[Total]]</f>
        <v>#N/A</v>
      </c>
    </row>
    <row r="19" spans="1:22" hidden="1" x14ac:dyDescent="0.25">
      <c r="A19" s="100">
        <v>45672</v>
      </c>
      <c r="B19" t="str">
        <f t="shared" si="0"/>
        <v>January</v>
      </c>
      <c r="C19" s="46" t="s">
        <v>280</v>
      </c>
      <c r="F19" s="366" t="s">
        <v>679</v>
      </c>
      <c r="G19" s="46" t="s">
        <v>20</v>
      </c>
      <c r="H19" s="46">
        <v>2</v>
      </c>
      <c r="I19" s="51">
        <v>7751.98</v>
      </c>
      <c r="J19" s="281">
        <f>++Tabla4[[#This Row],[Precio Bruto]]*1.16</f>
        <v>8992.2967999999983</v>
      </c>
      <c r="K19" s="281">
        <f>+Tabla4[[#This Row],[Precio Unitario Neto]]*Tabla4[[#Headers],[20.85%]]</f>
        <v>1874.8938827999996</v>
      </c>
      <c r="L19" s="282">
        <f>++Tabla4[[#This Row],[Precio Unitario Neto]]-Tabla4[[#This Row],[20.85%]]</f>
        <v>7117.4029171999991</v>
      </c>
      <c r="M19" s="282" t="e">
        <f>(INDEX(Tabla6[#All],MATCH(Tabla4[[#This Row],[Producto]],Tabla6[[#All],[PRODUCTO]],0),MATCH(Tabla4[[#This Row],[Mes]],Tabla6[#Headers],0)))*(1+Catalogos!$L$2)</f>
        <v>#N/A</v>
      </c>
      <c r="N19" s="283" t="e">
        <f>+(Tabla4[[#This Row],[Precio Descontado]]-Tabla4[[#This Row],[Precio Base]])*Tabla4[[#This Row],[Cantidad]]</f>
        <v>#N/A</v>
      </c>
      <c r="O19" s="284" t="e">
        <f>++Tabla4[[#This Row],[Utilidad Total]]/Tabla4[[#This Row],[Total]]</f>
        <v>#N/A</v>
      </c>
      <c r="P19" s="282">
        <f>++Tabla4[[#This Row],[Precio Descontado]]*Tabla4[[#This Row],[Cantidad]]</f>
        <v>14234.805834399998</v>
      </c>
      <c r="Q19" s="282" t="e">
        <f>(INDEX(Tabla6[#All],MATCH(Tabla4[[#This Row],[Producto]],Tabla6[[#All],[PRODUCTO]],0),MATCH(Tabla4[[#This Row],[Mes]],Tabla6[#Headers],0)))</f>
        <v>#N/A</v>
      </c>
      <c r="R19" s="282" t="e">
        <f>++Tabla4[[#This Row],[Precio Unitario Neto]]-Tabla4[[#This Row],[20.85%]]-Tabla4[[#This Row],[Costo]]</f>
        <v>#N/A</v>
      </c>
      <c r="S19" s="282" t="e">
        <f>++Tabla4[[#This Row],[U. Bruta Uni]]*Tabla4[[#This Row],[Cantidad]]</f>
        <v>#N/A</v>
      </c>
      <c r="T19" s="369" t="str">
        <f>VLOOKUP(Tabla4[[#This Row],[Producto]],Tabla6[#All],14,FALSE)</f>
        <v>Termico Solar</v>
      </c>
      <c r="U19" s="284" t="e">
        <f>(IF(Tabla4[[#This Row],[Familia]]="termico solar",Tabla4[[#This Row],[Utilidad Total]]*6%,Tabla4[[#This Row],[Utilidad Total]]*11.5%))/Tabla4[[#This Row],[Total]]</f>
        <v>#N/A</v>
      </c>
      <c r="V19" s="282" t="e">
        <f>+Tabla4[[#This Row],[Comisión Calculada]]*Tabla4[[#This Row],[Total]]</f>
        <v>#N/A</v>
      </c>
    </row>
    <row r="20" spans="1:22" hidden="1" x14ac:dyDescent="0.25">
      <c r="A20" s="100">
        <v>45672</v>
      </c>
      <c r="B20" t="str">
        <f t="shared" si="0"/>
        <v>January</v>
      </c>
      <c r="C20" s="46" t="s">
        <v>280</v>
      </c>
      <c r="F20" s="366" t="s">
        <v>679</v>
      </c>
      <c r="G20" s="46" t="s">
        <v>21</v>
      </c>
      <c r="H20" s="46">
        <v>5</v>
      </c>
      <c r="I20" s="51">
        <v>9282.1899999999987</v>
      </c>
      <c r="J20" s="281">
        <f>++Tabla4[[#This Row],[Precio Bruto]]*1.16</f>
        <v>10767.340399999997</v>
      </c>
      <c r="K20" s="281">
        <f>+Tabla4[[#This Row],[Precio Unitario Neto]]*Tabla4[[#Headers],[20.85%]]</f>
        <v>2244.9904733999992</v>
      </c>
      <c r="L20" s="282">
        <f>++Tabla4[[#This Row],[Precio Unitario Neto]]-Tabla4[[#This Row],[20.85%]]</f>
        <v>8522.3499265999981</v>
      </c>
      <c r="M20" s="282" t="e">
        <f>(INDEX(Tabla6[#All],MATCH(Tabla4[[#This Row],[Producto]],Tabla6[[#All],[PRODUCTO]],0),MATCH(Tabla4[[#This Row],[Mes]],Tabla6[#Headers],0)))*(1+Catalogos!$L$2)</f>
        <v>#N/A</v>
      </c>
      <c r="N20" s="283" t="e">
        <f>+(Tabla4[[#This Row],[Precio Descontado]]-Tabla4[[#This Row],[Precio Base]])*Tabla4[[#This Row],[Cantidad]]</f>
        <v>#N/A</v>
      </c>
      <c r="O20" s="284" t="e">
        <f>++Tabla4[[#This Row],[Utilidad Total]]/Tabla4[[#This Row],[Total]]</f>
        <v>#N/A</v>
      </c>
      <c r="P20" s="282">
        <f>++Tabla4[[#This Row],[Precio Descontado]]*Tabla4[[#This Row],[Cantidad]]</f>
        <v>42611.749632999992</v>
      </c>
      <c r="Q20" s="282" t="e">
        <f>(INDEX(Tabla6[#All],MATCH(Tabla4[[#This Row],[Producto]],Tabla6[[#All],[PRODUCTO]],0),MATCH(Tabla4[[#This Row],[Mes]],Tabla6[#Headers],0)))</f>
        <v>#N/A</v>
      </c>
      <c r="R20" s="282" t="e">
        <f>++Tabla4[[#This Row],[Precio Unitario Neto]]-Tabla4[[#This Row],[20.85%]]-Tabla4[[#This Row],[Costo]]</f>
        <v>#N/A</v>
      </c>
      <c r="S20" s="282" t="e">
        <f>++Tabla4[[#This Row],[U. Bruta Uni]]*Tabla4[[#This Row],[Cantidad]]</f>
        <v>#N/A</v>
      </c>
      <c r="T20" s="369" t="str">
        <f>VLOOKUP(Tabla4[[#This Row],[Producto]],Tabla6[#All],14,FALSE)</f>
        <v>Termico Solar</v>
      </c>
      <c r="U20" s="284" t="e">
        <f>(IF(Tabla4[[#This Row],[Familia]]="termico solar",Tabla4[[#This Row],[Utilidad Total]]*6%,Tabla4[[#This Row],[Utilidad Total]]*11.5%))/Tabla4[[#This Row],[Total]]</f>
        <v>#N/A</v>
      </c>
      <c r="V20" s="282" t="e">
        <f>+Tabla4[[#This Row],[Comisión Calculada]]*Tabla4[[#This Row],[Total]]</f>
        <v>#N/A</v>
      </c>
    </row>
    <row r="21" spans="1:22" hidden="1" x14ac:dyDescent="0.25">
      <c r="A21" s="100">
        <v>45672</v>
      </c>
      <c r="B21" t="str">
        <f t="shared" si="0"/>
        <v>January</v>
      </c>
      <c r="C21" s="46" t="s">
        <v>280</v>
      </c>
      <c r="F21" s="366" t="s">
        <v>679</v>
      </c>
      <c r="G21" s="46" t="s">
        <v>22</v>
      </c>
      <c r="H21" s="46">
        <v>8</v>
      </c>
      <c r="I21" s="51">
        <v>13355.75</v>
      </c>
      <c r="J21" s="281">
        <f>++Tabla4[[#This Row],[Precio Bruto]]*1.16</f>
        <v>15492.669999999998</v>
      </c>
      <c r="K21" s="281">
        <f>+Tabla4[[#This Row],[Precio Unitario Neto]]*Tabla4[[#Headers],[20.85%]]</f>
        <v>3230.2216949999993</v>
      </c>
      <c r="L21" s="282">
        <f>++Tabla4[[#This Row],[Precio Unitario Neto]]-Tabla4[[#This Row],[20.85%]]</f>
        <v>12262.448304999998</v>
      </c>
      <c r="M21" s="282" t="e">
        <f>(INDEX(Tabla6[#All],MATCH(Tabla4[[#This Row],[Producto]],Tabla6[[#All],[PRODUCTO]],0),MATCH(Tabla4[[#This Row],[Mes]],Tabla6[#Headers],0)))*(1+Catalogos!$L$2)</f>
        <v>#N/A</v>
      </c>
      <c r="N21" s="283" t="e">
        <f>+(Tabla4[[#This Row],[Precio Descontado]]-Tabla4[[#This Row],[Precio Base]])*Tabla4[[#This Row],[Cantidad]]</f>
        <v>#N/A</v>
      </c>
      <c r="O21" s="284" t="e">
        <f>++Tabla4[[#This Row],[Utilidad Total]]/Tabla4[[#This Row],[Total]]</f>
        <v>#N/A</v>
      </c>
      <c r="P21" s="282">
        <f>++Tabla4[[#This Row],[Precio Descontado]]*Tabla4[[#This Row],[Cantidad]]</f>
        <v>98099.586439999985</v>
      </c>
      <c r="Q21" s="282" t="e">
        <f>(INDEX(Tabla6[#All],MATCH(Tabla4[[#This Row],[Producto]],Tabla6[[#All],[PRODUCTO]],0),MATCH(Tabla4[[#This Row],[Mes]],Tabla6[#Headers],0)))</f>
        <v>#N/A</v>
      </c>
      <c r="R21" s="282" t="e">
        <f>++Tabla4[[#This Row],[Precio Unitario Neto]]-Tabla4[[#This Row],[20.85%]]-Tabla4[[#This Row],[Costo]]</f>
        <v>#N/A</v>
      </c>
      <c r="S21" s="282" t="e">
        <f>++Tabla4[[#This Row],[U. Bruta Uni]]*Tabla4[[#This Row],[Cantidad]]</f>
        <v>#N/A</v>
      </c>
      <c r="T21" s="369" t="str">
        <f>VLOOKUP(Tabla4[[#This Row],[Producto]],Tabla6[#All],14,FALSE)</f>
        <v>Termico Solar</v>
      </c>
      <c r="U21" s="284" t="e">
        <f>(IF(Tabla4[[#This Row],[Familia]]="termico solar",Tabla4[[#This Row],[Utilidad Total]]*6%,Tabla4[[#This Row],[Utilidad Total]]*11.5%))/Tabla4[[#This Row],[Total]]</f>
        <v>#N/A</v>
      </c>
      <c r="V21" s="282" t="e">
        <f>+Tabla4[[#This Row],[Comisión Calculada]]*Tabla4[[#This Row],[Total]]</f>
        <v>#N/A</v>
      </c>
    </row>
    <row r="22" spans="1:22" hidden="1" x14ac:dyDescent="0.25">
      <c r="A22" s="100">
        <v>45672</v>
      </c>
      <c r="B22" t="str">
        <f t="shared" si="0"/>
        <v>January</v>
      </c>
      <c r="C22" s="46" t="s">
        <v>280</v>
      </c>
      <c r="F22" s="366" t="s">
        <v>679</v>
      </c>
      <c r="G22" s="46" t="s">
        <v>84</v>
      </c>
      <c r="H22" s="46">
        <v>8</v>
      </c>
      <c r="I22" s="51">
        <v>16601.830000000002</v>
      </c>
      <c r="J22" s="281">
        <f>++Tabla4[[#This Row],[Precio Bruto]]*1.16</f>
        <v>19258.122800000001</v>
      </c>
      <c r="K22" s="281">
        <f>+Tabla4[[#This Row],[Precio Unitario Neto]]*Tabla4[[#Headers],[20.85%]]</f>
        <v>4015.3186037999999</v>
      </c>
      <c r="L22" s="282">
        <f>++Tabla4[[#This Row],[Precio Unitario Neto]]-Tabla4[[#This Row],[20.85%]]</f>
        <v>15242.804196200001</v>
      </c>
      <c r="M22" s="282" t="e">
        <f>(INDEX(Tabla6[#All],MATCH(Tabla4[[#This Row],[Producto]],Tabla6[[#All],[PRODUCTO]],0),MATCH(Tabla4[[#This Row],[Mes]],Tabla6[#Headers],0)))*(1+Catalogos!$L$2)</f>
        <v>#N/A</v>
      </c>
      <c r="N22" s="283" t="e">
        <f>+(Tabla4[[#This Row],[Precio Descontado]]-Tabla4[[#This Row],[Precio Base]])*Tabla4[[#This Row],[Cantidad]]</f>
        <v>#N/A</v>
      </c>
      <c r="O22" s="284" t="e">
        <f>++Tabla4[[#This Row],[Utilidad Total]]/Tabla4[[#This Row],[Total]]</f>
        <v>#N/A</v>
      </c>
      <c r="P22" s="282">
        <f>++Tabla4[[#This Row],[Precio Descontado]]*Tabla4[[#This Row],[Cantidad]]</f>
        <v>121942.43356960001</v>
      </c>
      <c r="Q22" s="282" t="e">
        <f>(INDEX(Tabla6[#All],MATCH(Tabla4[[#This Row],[Producto]],Tabla6[[#All],[PRODUCTO]],0),MATCH(Tabla4[[#This Row],[Mes]],Tabla6[#Headers],0)))</f>
        <v>#N/A</v>
      </c>
      <c r="R22" s="282" t="e">
        <f>++Tabla4[[#This Row],[Precio Unitario Neto]]-Tabla4[[#This Row],[20.85%]]-Tabla4[[#This Row],[Costo]]</f>
        <v>#N/A</v>
      </c>
      <c r="S22" s="282" t="e">
        <f>++Tabla4[[#This Row],[U. Bruta Uni]]*Tabla4[[#This Row],[Cantidad]]</f>
        <v>#N/A</v>
      </c>
      <c r="T22" s="369" t="str">
        <f>VLOOKUP(Tabla4[[#This Row],[Producto]],Tabla6[#All],14,FALSE)</f>
        <v>Termico Solar</v>
      </c>
      <c r="U22" s="284" t="e">
        <f>(IF(Tabla4[[#This Row],[Familia]]="termico solar",Tabla4[[#This Row],[Utilidad Total]]*6%,Tabla4[[#This Row],[Utilidad Total]]*11.5%))/Tabla4[[#This Row],[Total]]</f>
        <v>#N/A</v>
      </c>
      <c r="V22" s="282" t="e">
        <f>+Tabla4[[#This Row],[Comisión Calculada]]*Tabla4[[#This Row],[Total]]</f>
        <v>#N/A</v>
      </c>
    </row>
    <row r="23" spans="1:22" hidden="1" x14ac:dyDescent="0.25">
      <c r="A23" s="100">
        <v>45672</v>
      </c>
      <c r="B23" t="str">
        <f t="shared" si="0"/>
        <v>January</v>
      </c>
      <c r="C23" s="46" t="s">
        <v>280</v>
      </c>
      <c r="F23" s="366" t="s">
        <v>680</v>
      </c>
      <c r="G23" s="46" t="s">
        <v>566</v>
      </c>
      <c r="H23" s="46">
        <v>1</v>
      </c>
      <c r="I23" s="51">
        <v>2109.4499999999998</v>
      </c>
      <c r="J23" s="281">
        <f>++Tabla4[[#This Row],[Precio Bruto]]*1.16</f>
        <v>2446.9619999999995</v>
      </c>
      <c r="K23" s="281">
        <f>+Tabla4[[#This Row],[Precio Unitario Neto]]*Tabla4[[#Headers],[20.85%]]</f>
        <v>510.19157699999988</v>
      </c>
      <c r="L23" s="282">
        <f>++Tabla4[[#This Row],[Precio Unitario Neto]]-Tabla4[[#This Row],[20.85%]]</f>
        <v>1936.7704229999997</v>
      </c>
      <c r="M23" s="282" t="e">
        <f>(INDEX(Tabla6[#All],MATCH(Tabla4[[#This Row],[Producto]],Tabla6[[#All],[PRODUCTO]],0),MATCH(Tabla4[[#This Row],[Mes]],Tabla6[#Headers],0)))*(1+Catalogos!$L$2)</f>
        <v>#N/A</v>
      </c>
      <c r="N23" s="283" t="e">
        <f>+(Tabla4[[#This Row],[Precio Descontado]]-Tabla4[[#This Row],[Precio Base]])*Tabla4[[#This Row],[Cantidad]]</f>
        <v>#N/A</v>
      </c>
      <c r="O23" s="284" t="e">
        <f>++Tabla4[[#This Row],[Utilidad Total]]/Tabla4[[#This Row],[Total]]</f>
        <v>#N/A</v>
      </c>
      <c r="P23" s="282">
        <f>++Tabla4[[#This Row],[Precio Descontado]]*Tabla4[[#This Row],[Cantidad]]</f>
        <v>1936.7704229999997</v>
      </c>
      <c r="Q23" s="282" t="e">
        <f>(INDEX(Tabla6[#All],MATCH(Tabla4[[#This Row],[Producto]],Tabla6[[#All],[PRODUCTO]],0),MATCH(Tabla4[[#This Row],[Mes]],Tabla6[#Headers],0)))</f>
        <v>#N/A</v>
      </c>
      <c r="R23" s="282" t="e">
        <f>++Tabla4[[#This Row],[Precio Unitario Neto]]-Tabla4[[#This Row],[20.85%]]-Tabla4[[#This Row],[Costo]]</f>
        <v>#N/A</v>
      </c>
      <c r="S23" s="282" t="e">
        <f>++Tabla4[[#This Row],[U. Bruta Uni]]*Tabla4[[#This Row],[Cantidad]]</f>
        <v>#N/A</v>
      </c>
      <c r="T23" s="369" t="str">
        <f>VLOOKUP(Tabla4[[#This Row],[Producto]],Tabla6[#All],14,FALSE)</f>
        <v>Termico Solar</v>
      </c>
      <c r="U23" s="284" t="e">
        <f>(IF(Tabla4[[#This Row],[Familia]]="termico solar",Tabla4[[#This Row],[Utilidad Total]]*6%,Tabla4[[#This Row],[Utilidad Total]]*11.5%))/Tabla4[[#This Row],[Total]]</f>
        <v>#N/A</v>
      </c>
      <c r="V23" s="282" t="e">
        <f>+Tabla4[[#This Row],[Comisión Calculada]]*Tabla4[[#This Row],[Total]]</f>
        <v>#N/A</v>
      </c>
    </row>
    <row r="24" spans="1:22" hidden="1" x14ac:dyDescent="0.25">
      <c r="A24" s="100">
        <v>45672</v>
      </c>
      <c r="B24" t="str">
        <f t="shared" si="0"/>
        <v>January</v>
      </c>
      <c r="C24" s="46" t="s">
        <v>280</v>
      </c>
      <c r="F24" s="366" t="s">
        <v>681</v>
      </c>
      <c r="G24" s="46" t="s">
        <v>83</v>
      </c>
      <c r="H24" s="46">
        <v>3</v>
      </c>
      <c r="I24" s="51">
        <v>8858.76</v>
      </c>
      <c r="J24" s="281">
        <f>++Tabla4[[#This Row],[Precio Bruto]]*1.16</f>
        <v>10276.161599999999</v>
      </c>
      <c r="K24" s="281">
        <f>+Tabla4[[#This Row],[Precio Unitario Neto]]*Tabla4[[#Headers],[20.85%]]</f>
        <v>2142.5796935999997</v>
      </c>
      <c r="L24" s="282">
        <f>++Tabla4[[#This Row],[Precio Unitario Neto]]-Tabla4[[#This Row],[20.85%]]</f>
        <v>8133.5819063999998</v>
      </c>
      <c r="M24" s="282" t="e">
        <f>(INDEX(Tabla6[#All],MATCH(Tabla4[[#This Row],[Producto]],Tabla6[[#All],[PRODUCTO]],0),MATCH(Tabla4[[#This Row],[Mes]],Tabla6[#Headers],0)))*(1+Catalogos!$L$2)</f>
        <v>#N/A</v>
      </c>
      <c r="N24" s="283" t="e">
        <f>+(Tabla4[[#This Row],[Precio Descontado]]-Tabla4[[#This Row],[Precio Base]])*Tabla4[[#This Row],[Cantidad]]</f>
        <v>#N/A</v>
      </c>
      <c r="O24" s="284" t="e">
        <f>++Tabla4[[#This Row],[Utilidad Total]]/Tabla4[[#This Row],[Total]]</f>
        <v>#N/A</v>
      </c>
      <c r="P24" s="282">
        <f>++Tabla4[[#This Row],[Precio Descontado]]*Tabla4[[#This Row],[Cantidad]]</f>
        <v>24400.7457192</v>
      </c>
      <c r="Q24" s="282" t="e">
        <f>(INDEX(Tabla6[#All],MATCH(Tabla4[[#This Row],[Producto]],Tabla6[[#All],[PRODUCTO]],0),MATCH(Tabla4[[#This Row],[Mes]],Tabla6[#Headers],0)))</f>
        <v>#N/A</v>
      </c>
      <c r="R24" s="282" t="e">
        <f>++Tabla4[[#This Row],[Precio Unitario Neto]]-Tabla4[[#This Row],[20.85%]]-Tabla4[[#This Row],[Costo]]</f>
        <v>#N/A</v>
      </c>
      <c r="S24" s="282" t="e">
        <f>++Tabla4[[#This Row],[U. Bruta Uni]]*Tabla4[[#This Row],[Cantidad]]</f>
        <v>#N/A</v>
      </c>
      <c r="T24" s="369" t="str">
        <f>VLOOKUP(Tabla4[[#This Row],[Producto]],Tabla6[#All],14,FALSE)</f>
        <v>Termico Solar</v>
      </c>
      <c r="U24" s="284" t="e">
        <f>(IF(Tabla4[[#This Row],[Familia]]="termico solar",Tabla4[[#This Row],[Utilidad Total]]*6%,Tabla4[[#This Row],[Utilidad Total]]*11.5%))/Tabla4[[#This Row],[Total]]</f>
        <v>#N/A</v>
      </c>
      <c r="V24" s="282" t="e">
        <f>+Tabla4[[#This Row],[Comisión Calculada]]*Tabla4[[#This Row],[Total]]</f>
        <v>#N/A</v>
      </c>
    </row>
    <row r="25" spans="1:22" hidden="1" x14ac:dyDescent="0.25">
      <c r="A25" s="100">
        <v>45672</v>
      </c>
      <c r="B25" t="str">
        <f t="shared" si="0"/>
        <v>January</v>
      </c>
      <c r="C25" s="46" t="s">
        <v>280</v>
      </c>
      <c r="F25" s="366" t="s">
        <v>681</v>
      </c>
      <c r="G25" s="46" t="s">
        <v>17</v>
      </c>
      <c r="H25" s="46">
        <v>2</v>
      </c>
      <c r="I25" s="51">
        <v>4622.28</v>
      </c>
      <c r="J25" s="281">
        <f>++Tabla4[[#This Row],[Precio Bruto]]*1.16</f>
        <v>5361.8447999999989</v>
      </c>
      <c r="K25" s="281">
        <f>+Tabla4[[#This Row],[Precio Unitario Neto]]*Tabla4[[#Headers],[20.85%]]</f>
        <v>1117.9446407999997</v>
      </c>
      <c r="L25" s="282">
        <f>++Tabla4[[#This Row],[Precio Unitario Neto]]-Tabla4[[#This Row],[20.85%]]</f>
        <v>4243.9001591999995</v>
      </c>
      <c r="M25" s="282" t="e">
        <f>(INDEX(Tabla6[#All],MATCH(Tabla4[[#This Row],[Producto]],Tabla6[[#All],[PRODUCTO]],0),MATCH(Tabla4[[#This Row],[Mes]],Tabla6[#Headers],0)))*(1+Catalogos!$L$2)</f>
        <v>#N/A</v>
      </c>
      <c r="N25" s="283" t="e">
        <f>+(Tabla4[[#This Row],[Precio Descontado]]-Tabla4[[#This Row],[Precio Base]])*Tabla4[[#This Row],[Cantidad]]</f>
        <v>#N/A</v>
      </c>
      <c r="O25" s="284" t="e">
        <f>++Tabla4[[#This Row],[Utilidad Total]]/Tabla4[[#This Row],[Total]]</f>
        <v>#N/A</v>
      </c>
      <c r="P25" s="282">
        <f>++Tabla4[[#This Row],[Precio Descontado]]*Tabla4[[#This Row],[Cantidad]]</f>
        <v>8487.800318399999</v>
      </c>
      <c r="Q25" s="282" t="e">
        <f>(INDEX(Tabla6[#All],MATCH(Tabla4[[#This Row],[Producto]],Tabla6[[#All],[PRODUCTO]],0),MATCH(Tabla4[[#This Row],[Mes]],Tabla6[#Headers],0)))</f>
        <v>#N/A</v>
      </c>
      <c r="R25" s="282" t="e">
        <f>++Tabla4[[#This Row],[Precio Unitario Neto]]-Tabla4[[#This Row],[20.85%]]-Tabla4[[#This Row],[Costo]]</f>
        <v>#N/A</v>
      </c>
      <c r="S25" s="282" t="e">
        <f>++Tabla4[[#This Row],[U. Bruta Uni]]*Tabla4[[#This Row],[Cantidad]]</f>
        <v>#N/A</v>
      </c>
      <c r="T25" s="369" t="str">
        <f>VLOOKUP(Tabla4[[#This Row],[Producto]],Tabla6[#All],14,FALSE)</f>
        <v>Termico Solar</v>
      </c>
      <c r="U25" s="284" t="e">
        <f>(IF(Tabla4[[#This Row],[Familia]]="termico solar",Tabla4[[#This Row],[Utilidad Total]]*6%,Tabla4[[#This Row],[Utilidad Total]]*11.5%))/Tabla4[[#This Row],[Total]]</f>
        <v>#N/A</v>
      </c>
      <c r="V25" s="282" t="e">
        <f>+Tabla4[[#This Row],[Comisión Calculada]]*Tabla4[[#This Row],[Total]]</f>
        <v>#N/A</v>
      </c>
    </row>
    <row r="26" spans="1:22" hidden="1" x14ac:dyDescent="0.25">
      <c r="A26" s="100">
        <v>45672</v>
      </c>
      <c r="B26" t="str">
        <f t="shared" si="0"/>
        <v>January</v>
      </c>
      <c r="C26" s="46" t="s">
        <v>280</v>
      </c>
      <c r="F26" s="366" t="s">
        <v>682</v>
      </c>
      <c r="G26" s="46" t="s">
        <v>16</v>
      </c>
      <c r="H26" s="46">
        <v>2</v>
      </c>
      <c r="I26" s="51">
        <v>4103.8500000000004</v>
      </c>
      <c r="J26" s="281">
        <f>++Tabla4[[#This Row],[Precio Bruto]]*1.16</f>
        <v>4760.4660000000003</v>
      </c>
      <c r="K26" s="281">
        <f>+Tabla4[[#This Row],[Precio Unitario Neto]]*Tabla4[[#Headers],[20.85%]]</f>
        <v>992.55716100000006</v>
      </c>
      <c r="L26" s="282">
        <f>++Tabla4[[#This Row],[Precio Unitario Neto]]-Tabla4[[#This Row],[20.85%]]</f>
        <v>3767.9088390000002</v>
      </c>
      <c r="M26" s="282" t="e">
        <f>(INDEX(Tabla6[#All],MATCH(Tabla4[[#This Row],[Producto]],Tabla6[[#All],[PRODUCTO]],0),MATCH(Tabla4[[#This Row],[Mes]],Tabla6[#Headers],0)))*(1+Catalogos!$L$2)</f>
        <v>#N/A</v>
      </c>
      <c r="N26" s="283" t="e">
        <f>+(Tabla4[[#This Row],[Precio Descontado]]-Tabla4[[#This Row],[Precio Base]])*Tabla4[[#This Row],[Cantidad]]</f>
        <v>#N/A</v>
      </c>
      <c r="O26" s="284" t="e">
        <f>++Tabla4[[#This Row],[Utilidad Total]]/Tabla4[[#This Row],[Total]]</f>
        <v>#N/A</v>
      </c>
      <c r="P26" s="282">
        <f>++Tabla4[[#This Row],[Precio Descontado]]*Tabla4[[#This Row],[Cantidad]]</f>
        <v>7535.8176780000003</v>
      </c>
      <c r="Q26" s="282" t="e">
        <f>(INDEX(Tabla6[#All],MATCH(Tabla4[[#This Row],[Producto]],Tabla6[[#All],[PRODUCTO]],0),MATCH(Tabla4[[#This Row],[Mes]],Tabla6[#Headers],0)))</f>
        <v>#N/A</v>
      </c>
      <c r="R26" s="282" t="e">
        <f>++Tabla4[[#This Row],[Precio Unitario Neto]]-Tabla4[[#This Row],[20.85%]]-Tabla4[[#This Row],[Costo]]</f>
        <v>#N/A</v>
      </c>
      <c r="S26" s="282" t="e">
        <f>++Tabla4[[#This Row],[U. Bruta Uni]]*Tabla4[[#This Row],[Cantidad]]</f>
        <v>#N/A</v>
      </c>
      <c r="T26" s="369" t="str">
        <f>VLOOKUP(Tabla4[[#This Row],[Producto]],Tabla6[#All],14,FALSE)</f>
        <v>Termico Solar</v>
      </c>
      <c r="U26" s="284" t="e">
        <f>(IF(Tabla4[[#This Row],[Familia]]="termico solar",Tabla4[[#This Row],[Utilidad Total]]*6%,Tabla4[[#This Row],[Utilidad Total]]*11.5%))/Tabla4[[#This Row],[Total]]</f>
        <v>#N/A</v>
      </c>
      <c r="V26" s="282" t="e">
        <f>+Tabla4[[#This Row],[Comisión Calculada]]*Tabla4[[#This Row],[Total]]</f>
        <v>#N/A</v>
      </c>
    </row>
    <row r="27" spans="1:22" hidden="1" x14ac:dyDescent="0.25">
      <c r="A27" s="100">
        <v>45672</v>
      </c>
      <c r="B27" t="str">
        <f t="shared" si="0"/>
        <v>January</v>
      </c>
      <c r="C27" s="46" t="s">
        <v>280</v>
      </c>
      <c r="F27" s="366" t="s">
        <v>683</v>
      </c>
      <c r="G27" s="46" t="s">
        <v>208</v>
      </c>
      <c r="H27" s="46">
        <v>1</v>
      </c>
      <c r="I27" s="51">
        <v>189.75</v>
      </c>
      <c r="J27" s="281">
        <f>++Tabla4[[#This Row],[Precio Bruto]]*1.16</f>
        <v>220.10999999999999</v>
      </c>
      <c r="K27" s="281">
        <f>+Tabla4[[#This Row],[Precio Unitario Neto]]*Tabla4[[#Headers],[20.85%]]</f>
        <v>45.892934999999994</v>
      </c>
      <c r="L27" s="282">
        <f>++Tabla4[[#This Row],[Precio Unitario Neto]]-Tabla4[[#This Row],[20.85%]]</f>
        <v>174.21706499999999</v>
      </c>
      <c r="M27" s="282" t="e">
        <f>(INDEX(Tabla6[#All],MATCH(Tabla4[[#This Row],[Producto]],Tabla6[[#All],[PRODUCTO]],0),MATCH(Tabla4[[#This Row],[Mes]],Tabla6[#Headers],0)))*(1+Catalogos!$L$2)</f>
        <v>#N/A</v>
      </c>
      <c r="N27" s="283" t="e">
        <f>+(Tabla4[[#This Row],[Precio Descontado]]-Tabla4[[#This Row],[Precio Base]])*Tabla4[[#This Row],[Cantidad]]</f>
        <v>#N/A</v>
      </c>
      <c r="O27" s="284" t="e">
        <f>++Tabla4[[#This Row],[Utilidad Total]]/Tabla4[[#This Row],[Total]]</f>
        <v>#N/A</v>
      </c>
      <c r="P27" s="282">
        <f>++Tabla4[[#This Row],[Precio Descontado]]*Tabla4[[#This Row],[Cantidad]]</f>
        <v>174.21706499999999</v>
      </c>
      <c r="Q27" s="282" t="e">
        <f>(INDEX(Tabla6[#All],MATCH(Tabla4[[#This Row],[Producto]],Tabla6[[#All],[PRODUCTO]],0),MATCH(Tabla4[[#This Row],[Mes]],Tabla6[#Headers],0)))</f>
        <v>#N/A</v>
      </c>
      <c r="R27" s="282" t="e">
        <f>++Tabla4[[#This Row],[Precio Unitario Neto]]-Tabla4[[#This Row],[20.85%]]-Tabla4[[#This Row],[Costo]]</f>
        <v>#N/A</v>
      </c>
      <c r="S27" s="282" t="e">
        <f>++Tabla4[[#This Row],[U. Bruta Uni]]*Tabla4[[#This Row],[Cantidad]]</f>
        <v>#N/A</v>
      </c>
      <c r="T27" s="369" t="str">
        <f>VLOOKUP(Tabla4[[#This Row],[Producto]],Tabla6[#All],14,FALSE)</f>
        <v>Termico Solar</v>
      </c>
      <c r="U27" s="284" t="e">
        <f>(IF(Tabla4[[#This Row],[Familia]]="termico solar",Tabla4[[#This Row],[Utilidad Total]]*6%,Tabla4[[#This Row],[Utilidad Total]]*11.5%))/Tabla4[[#This Row],[Total]]</f>
        <v>#N/A</v>
      </c>
      <c r="V27" s="282" t="e">
        <f>+Tabla4[[#This Row],[Comisión Calculada]]*Tabla4[[#This Row],[Total]]</f>
        <v>#N/A</v>
      </c>
    </row>
    <row r="28" spans="1:22" hidden="1" x14ac:dyDescent="0.25">
      <c r="A28" s="100">
        <v>45672</v>
      </c>
      <c r="B28" t="str">
        <f t="shared" si="0"/>
        <v>January</v>
      </c>
      <c r="C28" s="46" t="s">
        <v>280</v>
      </c>
      <c r="F28" s="366" t="s">
        <v>683</v>
      </c>
      <c r="G28" s="46" t="s">
        <v>209</v>
      </c>
      <c r="H28" s="46">
        <v>1</v>
      </c>
      <c r="I28" s="51">
        <v>347.48</v>
      </c>
      <c r="J28" s="281">
        <f>++Tabla4[[#This Row],[Precio Bruto]]*1.16</f>
        <v>403.07679999999999</v>
      </c>
      <c r="K28" s="281">
        <f>+Tabla4[[#This Row],[Precio Unitario Neto]]*Tabla4[[#Headers],[20.85%]]</f>
        <v>84.041512799999992</v>
      </c>
      <c r="L28" s="282">
        <f>++Tabla4[[#This Row],[Precio Unitario Neto]]-Tabla4[[#This Row],[20.85%]]</f>
        <v>319.03528719999997</v>
      </c>
      <c r="M28" s="282" t="e">
        <f>(INDEX(Tabla6[#All],MATCH(Tabla4[[#This Row],[Producto]],Tabla6[[#All],[PRODUCTO]],0),MATCH(Tabla4[[#This Row],[Mes]],Tabla6[#Headers],0)))*(1+Catalogos!$L$2)</f>
        <v>#N/A</v>
      </c>
      <c r="N28" s="283" t="e">
        <f>+(Tabla4[[#This Row],[Precio Descontado]]-Tabla4[[#This Row],[Precio Base]])*Tabla4[[#This Row],[Cantidad]]</f>
        <v>#N/A</v>
      </c>
      <c r="O28" s="284" t="e">
        <f>++Tabla4[[#This Row],[Utilidad Total]]/Tabla4[[#This Row],[Total]]</f>
        <v>#N/A</v>
      </c>
      <c r="P28" s="282">
        <f>++Tabla4[[#This Row],[Precio Descontado]]*Tabla4[[#This Row],[Cantidad]]</f>
        <v>319.03528719999997</v>
      </c>
      <c r="Q28" s="282" t="e">
        <f>(INDEX(Tabla6[#All],MATCH(Tabla4[[#This Row],[Producto]],Tabla6[[#All],[PRODUCTO]],0),MATCH(Tabla4[[#This Row],[Mes]],Tabla6[#Headers],0)))</f>
        <v>#N/A</v>
      </c>
      <c r="R28" s="282" t="e">
        <f>++Tabla4[[#This Row],[Precio Unitario Neto]]-Tabla4[[#This Row],[20.85%]]-Tabla4[[#This Row],[Costo]]</f>
        <v>#N/A</v>
      </c>
      <c r="S28" s="282" t="e">
        <f>++Tabla4[[#This Row],[U. Bruta Uni]]*Tabla4[[#This Row],[Cantidad]]</f>
        <v>#N/A</v>
      </c>
      <c r="T28" s="369" t="str">
        <f>VLOOKUP(Tabla4[[#This Row],[Producto]],Tabla6[#All],14,FALSE)</f>
        <v>Termico Solar</v>
      </c>
      <c r="U28" s="284" t="e">
        <f>(IF(Tabla4[[#This Row],[Familia]]="termico solar",Tabla4[[#This Row],[Utilidad Total]]*6%,Tabla4[[#This Row],[Utilidad Total]]*11.5%))/Tabla4[[#This Row],[Total]]</f>
        <v>#N/A</v>
      </c>
      <c r="V28" s="282" t="e">
        <f>+Tabla4[[#This Row],[Comisión Calculada]]*Tabla4[[#This Row],[Total]]</f>
        <v>#N/A</v>
      </c>
    </row>
    <row r="29" spans="1:22" hidden="1" x14ac:dyDescent="0.25">
      <c r="A29" s="100">
        <v>45672</v>
      </c>
      <c r="B29" t="str">
        <f t="shared" si="0"/>
        <v>January</v>
      </c>
      <c r="C29" s="46" t="s">
        <v>280</v>
      </c>
      <c r="F29" s="366" t="s">
        <v>684</v>
      </c>
      <c r="G29" s="46" t="s">
        <v>19</v>
      </c>
      <c r="H29" s="46">
        <v>1</v>
      </c>
      <c r="I29" s="51">
        <v>6412.03</v>
      </c>
      <c r="J29" s="281">
        <f>++Tabla4[[#This Row],[Precio Bruto]]*1.16</f>
        <v>7437.9547999999995</v>
      </c>
      <c r="K29" s="281">
        <f>+Tabla4[[#This Row],[Precio Unitario Neto]]*Tabla4[[#Headers],[20.85%]]</f>
        <v>1550.8135757999999</v>
      </c>
      <c r="L29" s="282">
        <f>++Tabla4[[#This Row],[Precio Unitario Neto]]-Tabla4[[#This Row],[20.85%]]</f>
        <v>5887.1412241999997</v>
      </c>
      <c r="M29" s="282" t="e">
        <f>(INDEX(Tabla6[#All],MATCH(Tabla4[[#This Row],[Producto]],Tabla6[[#All],[PRODUCTO]],0),MATCH(Tabla4[[#This Row],[Mes]],Tabla6[#Headers],0)))*(1+Catalogos!$L$2)</f>
        <v>#N/A</v>
      </c>
      <c r="N29" s="283" t="e">
        <f>+(Tabla4[[#This Row],[Precio Descontado]]-Tabla4[[#This Row],[Precio Base]])*Tabla4[[#This Row],[Cantidad]]</f>
        <v>#N/A</v>
      </c>
      <c r="O29" s="284" t="e">
        <f>++Tabla4[[#This Row],[Utilidad Total]]/Tabla4[[#This Row],[Total]]</f>
        <v>#N/A</v>
      </c>
      <c r="P29" s="282">
        <f>++Tabla4[[#This Row],[Precio Descontado]]*Tabla4[[#This Row],[Cantidad]]</f>
        <v>5887.1412241999997</v>
      </c>
      <c r="Q29" s="282" t="e">
        <f>(INDEX(Tabla6[#All],MATCH(Tabla4[[#This Row],[Producto]],Tabla6[[#All],[PRODUCTO]],0),MATCH(Tabla4[[#This Row],[Mes]],Tabla6[#Headers],0)))</f>
        <v>#N/A</v>
      </c>
      <c r="R29" s="282" t="e">
        <f>++Tabla4[[#This Row],[Precio Unitario Neto]]-Tabla4[[#This Row],[20.85%]]-Tabla4[[#This Row],[Costo]]</f>
        <v>#N/A</v>
      </c>
      <c r="S29" s="282" t="e">
        <f>++Tabla4[[#This Row],[U. Bruta Uni]]*Tabla4[[#This Row],[Cantidad]]</f>
        <v>#N/A</v>
      </c>
      <c r="T29" s="369" t="str">
        <f>VLOOKUP(Tabla4[[#This Row],[Producto]],Tabla6[#All],14,FALSE)</f>
        <v>Termico Solar</v>
      </c>
      <c r="U29" s="284" t="e">
        <f>(IF(Tabla4[[#This Row],[Familia]]="termico solar",Tabla4[[#This Row],[Utilidad Total]]*6%,Tabla4[[#This Row],[Utilidad Total]]*11.5%))/Tabla4[[#This Row],[Total]]</f>
        <v>#N/A</v>
      </c>
      <c r="V29" s="282" t="e">
        <f>+Tabla4[[#This Row],[Comisión Calculada]]*Tabla4[[#This Row],[Total]]</f>
        <v>#N/A</v>
      </c>
    </row>
    <row r="30" spans="1:22" hidden="1" x14ac:dyDescent="0.25">
      <c r="A30" s="100">
        <v>45672</v>
      </c>
      <c r="B30" t="str">
        <f t="shared" si="0"/>
        <v>January</v>
      </c>
      <c r="C30" s="46" t="s">
        <v>280</v>
      </c>
      <c r="F30" s="366" t="s">
        <v>684</v>
      </c>
      <c r="G30" s="46" t="s">
        <v>208</v>
      </c>
      <c r="H30" s="46">
        <v>1</v>
      </c>
      <c r="I30" s="51">
        <v>189.75</v>
      </c>
      <c r="J30" s="281">
        <f>++Tabla4[[#This Row],[Precio Bruto]]*1.16</f>
        <v>220.10999999999999</v>
      </c>
      <c r="K30" s="281">
        <f>+Tabla4[[#This Row],[Precio Unitario Neto]]*Tabla4[[#Headers],[20.85%]]</f>
        <v>45.892934999999994</v>
      </c>
      <c r="L30" s="282">
        <f>++Tabla4[[#This Row],[Precio Unitario Neto]]-Tabla4[[#This Row],[20.85%]]</f>
        <v>174.21706499999999</v>
      </c>
      <c r="M30" s="282" t="e">
        <f>(INDEX(Tabla6[#All],MATCH(Tabla4[[#This Row],[Producto]],Tabla6[[#All],[PRODUCTO]],0),MATCH(Tabla4[[#This Row],[Mes]],Tabla6[#Headers],0)))*(1+Catalogos!$L$2)</f>
        <v>#N/A</v>
      </c>
      <c r="N30" s="283" t="e">
        <f>+(Tabla4[[#This Row],[Precio Descontado]]-Tabla4[[#This Row],[Precio Base]])*Tabla4[[#This Row],[Cantidad]]</f>
        <v>#N/A</v>
      </c>
      <c r="O30" s="284" t="e">
        <f>++Tabla4[[#This Row],[Utilidad Total]]/Tabla4[[#This Row],[Total]]</f>
        <v>#N/A</v>
      </c>
      <c r="P30" s="282">
        <f>++Tabla4[[#This Row],[Precio Descontado]]*Tabla4[[#This Row],[Cantidad]]</f>
        <v>174.21706499999999</v>
      </c>
      <c r="Q30" s="282" t="e">
        <f>(INDEX(Tabla6[#All],MATCH(Tabla4[[#This Row],[Producto]],Tabla6[[#All],[PRODUCTO]],0),MATCH(Tabla4[[#This Row],[Mes]],Tabla6[#Headers],0)))</f>
        <v>#N/A</v>
      </c>
      <c r="R30" s="282" t="e">
        <f>++Tabla4[[#This Row],[Precio Unitario Neto]]-Tabla4[[#This Row],[20.85%]]-Tabla4[[#This Row],[Costo]]</f>
        <v>#N/A</v>
      </c>
      <c r="S30" s="282" t="e">
        <f>++Tabla4[[#This Row],[U. Bruta Uni]]*Tabla4[[#This Row],[Cantidad]]</f>
        <v>#N/A</v>
      </c>
      <c r="T30" s="369" t="str">
        <f>VLOOKUP(Tabla4[[#This Row],[Producto]],Tabla6[#All],14,FALSE)</f>
        <v>Termico Solar</v>
      </c>
      <c r="U30" s="284" t="e">
        <f>(IF(Tabla4[[#This Row],[Familia]]="termico solar",Tabla4[[#This Row],[Utilidad Total]]*6%,Tabla4[[#This Row],[Utilidad Total]]*11.5%))/Tabla4[[#This Row],[Total]]</f>
        <v>#N/A</v>
      </c>
      <c r="V30" s="282" t="e">
        <f>+Tabla4[[#This Row],[Comisión Calculada]]*Tabla4[[#This Row],[Total]]</f>
        <v>#N/A</v>
      </c>
    </row>
    <row r="31" spans="1:22" hidden="1" x14ac:dyDescent="0.25">
      <c r="A31" s="100">
        <v>45672</v>
      </c>
      <c r="B31" t="str">
        <f t="shared" si="0"/>
        <v>January</v>
      </c>
      <c r="C31" s="46" t="s">
        <v>280</v>
      </c>
      <c r="F31" s="366" t="s">
        <v>684</v>
      </c>
      <c r="G31" s="46" t="s">
        <v>209</v>
      </c>
      <c r="H31" s="46">
        <v>1</v>
      </c>
      <c r="I31" s="51">
        <v>347.48</v>
      </c>
      <c r="J31" s="281">
        <f>++Tabla4[[#This Row],[Precio Bruto]]*1.16</f>
        <v>403.07679999999999</v>
      </c>
      <c r="K31" s="281">
        <f>+Tabla4[[#This Row],[Precio Unitario Neto]]*Tabla4[[#Headers],[20.85%]]</f>
        <v>84.041512799999992</v>
      </c>
      <c r="L31" s="282">
        <f>++Tabla4[[#This Row],[Precio Unitario Neto]]-Tabla4[[#This Row],[20.85%]]</f>
        <v>319.03528719999997</v>
      </c>
      <c r="M31" s="282" t="e">
        <f>(INDEX(Tabla6[#All],MATCH(Tabla4[[#This Row],[Producto]],Tabla6[[#All],[PRODUCTO]],0),MATCH(Tabla4[[#This Row],[Mes]],Tabla6[#Headers],0)))*(1+Catalogos!$L$2)</f>
        <v>#N/A</v>
      </c>
      <c r="N31" s="283" t="e">
        <f>+(Tabla4[[#This Row],[Precio Descontado]]-Tabla4[[#This Row],[Precio Base]])*Tabla4[[#This Row],[Cantidad]]</f>
        <v>#N/A</v>
      </c>
      <c r="O31" s="284" t="e">
        <f>++Tabla4[[#This Row],[Utilidad Total]]/Tabla4[[#This Row],[Total]]</f>
        <v>#N/A</v>
      </c>
      <c r="P31" s="282">
        <f>++Tabla4[[#This Row],[Precio Descontado]]*Tabla4[[#This Row],[Cantidad]]</f>
        <v>319.03528719999997</v>
      </c>
      <c r="Q31" s="282" t="e">
        <f>(INDEX(Tabla6[#All],MATCH(Tabla4[[#This Row],[Producto]],Tabla6[[#All],[PRODUCTO]],0),MATCH(Tabla4[[#This Row],[Mes]],Tabla6[#Headers],0)))</f>
        <v>#N/A</v>
      </c>
      <c r="R31" s="282" t="e">
        <f>++Tabla4[[#This Row],[Precio Unitario Neto]]-Tabla4[[#This Row],[20.85%]]-Tabla4[[#This Row],[Costo]]</f>
        <v>#N/A</v>
      </c>
      <c r="S31" s="282" t="e">
        <f>++Tabla4[[#This Row],[U. Bruta Uni]]*Tabla4[[#This Row],[Cantidad]]</f>
        <v>#N/A</v>
      </c>
      <c r="T31" s="369" t="str">
        <f>VLOOKUP(Tabla4[[#This Row],[Producto]],Tabla6[#All],14,FALSE)</f>
        <v>Termico Solar</v>
      </c>
      <c r="U31" s="284" t="e">
        <f>(IF(Tabla4[[#This Row],[Familia]]="termico solar",Tabla4[[#This Row],[Utilidad Total]]*6%,Tabla4[[#This Row],[Utilidad Total]]*11.5%))/Tabla4[[#This Row],[Total]]</f>
        <v>#N/A</v>
      </c>
      <c r="V31" s="282" t="e">
        <f>+Tabla4[[#This Row],[Comisión Calculada]]*Tabla4[[#This Row],[Total]]</f>
        <v>#N/A</v>
      </c>
    </row>
    <row r="32" spans="1:22" hidden="1" x14ac:dyDescent="0.25">
      <c r="A32" s="100">
        <v>45672</v>
      </c>
      <c r="B32" t="str">
        <f t="shared" si="0"/>
        <v>January</v>
      </c>
      <c r="C32" s="46" t="s">
        <v>280</v>
      </c>
      <c r="F32" s="366" t="s">
        <v>685</v>
      </c>
      <c r="G32" s="46" t="s">
        <v>17</v>
      </c>
      <c r="H32" s="46">
        <v>1</v>
      </c>
      <c r="I32" s="51">
        <v>4622.28</v>
      </c>
      <c r="J32" s="281">
        <f>++Tabla4[[#This Row],[Precio Bruto]]*1.16</f>
        <v>5361.8447999999989</v>
      </c>
      <c r="K32" s="281">
        <f>+Tabla4[[#This Row],[Precio Unitario Neto]]*Tabla4[[#Headers],[20.85%]]</f>
        <v>1117.9446407999997</v>
      </c>
      <c r="L32" s="282">
        <f>++Tabla4[[#This Row],[Precio Unitario Neto]]-Tabla4[[#This Row],[20.85%]]</f>
        <v>4243.9001591999995</v>
      </c>
      <c r="M32" s="282" t="e">
        <f>(INDEX(Tabla6[#All],MATCH(Tabla4[[#This Row],[Producto]],Tabla6[[#All],[PRODUCTO]],0),MATCH(Tabla4[[#This Row],[Mes]],Tabla6[#Headers],0)))*(1+Catalogos!$L$2)</f>
        <v>#N/A</v>
      </c>
      <c r="N32" s="283" t="e">
        <f>+(Tabla4[[#This Row],[Precio Descontado]]-Tabla4[[#This Row],[Precio Base]])*Tabla4[[#This Row],[Cantidad]]</f>
        <v>#N/A</v>
      </c>
      <c r="O32" s="284" t="e">
        <f>++Tabla4[[#This Row],[Utilidad Total]]/Tabla4[[#This Row],[Total]]</f>
        <v>#N/A</v>
      </c>
      <c r="P32" s="282">
        <f>++Tabla4[[#This Row],[Precio Descontado]]*Tabla4[[#This Row],[Cantidad]]</f>
        <v>4243.9001591999995</v>
      </c>
      <c r="Q32" s="282" t="e">
        <f>(INDEX(Tabla6[#All],MATCH(Tabla4[[#This Row],[Producto]],Tabla6[[#All],[PRODUCTO]],0),MATCH(Tabla4[[#This Row],[Mes]],Tabla6[#Headers],0)))</f>
        <v>#N/A</v>
      </c>
      <c r="R32" s="282" t="e">
        <f>++Tabla4[[#This Row],[Precio Unitario Neto]]-Tabla4[[#This Row],[20.85%]]-Tabla4[[#This Row],[Costo]]</f>
        <v>#N/A</v>
      </c>
      <c r="S32" s="282" t="e">
        <f>++Tabla4[[#This Row],[U. Bruta Uni]]*Tabla4[[#This Row],[Cantidad]]</f>
        <v>#N/A</v>
      </c>
      <c r="T32" s="369" t="str">
        <f>VLOOKUP(Tabla4[[#This Row],[Producto]],Tabla6[#All],14,FALSE)</f>
        <v>Termico Solar</v>
      </c>
      <c r="U32" s="284" t="e">
        <f>(IF(Tabla4[[#This Row],[Familia]]="termico solar",Tabla4[[#This Row],[Utilidad Total]]*6%,Tabla4[[#This Row],[Utilidad Total]]*11.5%))/Tabla4[[#This Row],[Total]]</f>
        <v>#N/A</v>
      </c>
      <c r="V32" s="282" t="e">
        <f>+Tabla4[[#This Row],[Comisión Calculada]]*Tabla4[[#This Row],[Total]]</f>
        <v>#N/A</v>
      </c>
    </row>
    <row r="33" spans="1:22" hidden="1" x14ac:dyDescent="0.25">
      <c r="A33" s="100">
        <v>45672</v>
      </c>
      <c r="B33" t="str">
        <f t="shared" si="0"/>
        <v>January</v>
      </c>
      <c r="C33" s="46" t="s">
        <v>280</v>
      </c>
      <c r="F33" s="366" t="s">
        <v>685</v>
      </c>
      <c r="G33" s="46" t="s">
        <v>16</v>
      </c>
      <c r="H33" s="46">
        <v>2</v>
      </c>
      <c r="I33" s="51">
        <v>4103.8500000000004</v>
      </c>
      <c r="J33" s="281">
        <f>++Tabla4[[#This Row],[Precio Bruto]]*1.16</f>
        <v>4760.4660000000003</v>
      </c>
      <c r="K33" s="281">
        <f>+Tabla4[[#This Row],[Precio Unitario Neto]]*Tabla4[[#Headers],[20.85%]]</f>
        <v>992.55716100000006</v>
      </c>
      <c r="L33" s="282">
        <f>++Tabla4[[#This Row],[Precio Unitario Neto]]-Tabla4[[#This Row],[20.85%]]</f>
        <v>3767.9088390000002</v>
      </c>
      <c r="M33" s="282" t="e">
        <f>(INDEX(Tabla6[#All],MATCH(Tabla4[[#This Row],[Producto]],Tabla6[[#All],[PRODUCTO]],0),MATCH(Tabla4[[#This Row],[Mes]],Tabla6[#Headers],0)))*(1+Catalogos!$L$2)</f>
        <v>#N/A</v>
      </c>
      <c r="N33" s="283" t="e">
        <f>+(Tabla4[[#This Row],[Precio Descontado]]-Tabla4[[#This Row],[Precio Base]])*Tabla4[[#This Row],[Cantidad]]</f>
        <v>#N/A</v>
      </c>
      <c r="O33" s="284" t="e">
        <f>++Tabla4[[#This Row],[Utilidad Total]]/Tabla4[[#This Row],[Total]]</f>
        <v>#N/A</v>
      </c>
      <c r="P33" s="282">
        <f>++Tabla4[[#This Row],[Precio Descontado]]*Tabla4[[#This Row],[Cantidad]]</f>
        <v>7535.8176780000003</v>
      </c>
      <c r="Q33" s="282" t="e">
        <f>(INDEX(Tabla6[#All],MATCH(Tabla4[[#This Row],[Producto]],Tabla6[[#All],[PRODUCTO]],0),MATCH(Tabla4[[#This Row],[Mes]],Tabla6[#Headers],0)))</f>
        <v>#N/A</v>
      </c>
      <c r="R33" s="282" t="e">
        <f>++Tabla4[[#This Row],[Precio Unitario Neto]]-Tabla4[[#This Row],[20.85%]]-Tabla4[[#This Row],[Costo]]</f>
        <v>#N/A</v>
      </c>
      <c r="S33" s="282" t="e">
        <f>++Tabla4[[#This Row],[U. Bruta Uni]]*Tabla4[[#This Row],[Cantidad]]</f>
        <v>#N/A</v>
      </c>
      <c r="T33" s="369" t="str">
        <f>VLOOKUP(Tabla4[[#This Row],[Producto]],Tabla6[#All],14,FALSE)</f>
        <v>Termico Solar</v>
      </c>
      <c r="U33" s="284" t="e">
        <f>(IF(Tabla4[[#This Row],[Familia]]="termico solar",Tabla4[[#This Row],[Utilidad Total]]*6%,Tabla4[[#This Row],[Utilidad Total]]*11.5%))/Tabla4[[#This Row],[Total]]</f>
        <v>#N/A</v>
      </c>
      <c r="V33" s="282" t="e">
        <f>+Tabla4[[#This Row],[Comisión Calculada]]*Tabla4[[#This Row],[Total]]</f>
        <v>#N/A</v>
      </c>
    </row>
    <row r="34" spans="1:22" hidden="1" x14ac:dyDescent="0.25">
      <c r="A34" s="100">
        <v>45672</v>
      </c>
      <c r="B34" t="str">
        <f t="shared" si="0"/>
        <v>January</v>
      </c>
      <c r="C34" s="46" t="s">
        <v>280</v>
      </c>
      <c r="F34" s="366" t="s">
        <v>686</v>
      </c>
      <c r="G34" s="46" t="s">
        <v>83</v>
      </c>
      <c r="H34" s="46">
        <v>1</v>
      </c>
      <c r="I34" s="51">
        <v>8858.76</v>
      </c>
      <c r="J34" s="281">
        <f>++Tabla4[[#This Row],[Precio Bruto]]*1.16</f>
        <v>10276.161599999999</v>
      </c>
      <c r="K34" s="281">
        <f>+Tabla4[[#This Row],[Precio Unitario Neto]]*Tabla4[[#Headers],[20.85%]]</f>
        <v>2142.5796935999997</v>
      </c>
      <c r="L34" s="282">
        <f>++Tabla4[[#This Row],[Precio Unitario Neto]]-Tabla4[[#This Row],[20.85%]]</f>
        <v>8133.5819063999998</v>
      </c>
      <c r="M34" s="282" t="e">
        <f>(INDEX(Tabla6[#All],MATCH(Tabla4[[#This Row],[Producto]],Tabla6[[#All],[PRODUCTO]],0),MATCH(Tabla4[[#This Row],[Mes]],Tabla6[#Headers],0)))*(1+Catalogos!$L$2)</f>
        <v>#N/A</v>
      </c>
      <c r="N34" s="283" t="e">
        <f>+(Tabla4[[#This Row],[Precio Descontado]]-Tabla4[[#This Row],[Precio Base]])*Tabla4[[#This Row],[Cantidad]]</f>
        <v>#N/A</v>
      </c>
      <c r="O34" s="284" t="e">
        <f>++Tabla4[[#This Row],[Utilidad Total]]/Tabla4[[#This Row],[Total]]</f>
        <v>#N/A</v>
      </c>
      <c r="P34" s="282">
        <f>++Tabla4[[#This Row],[Precio Descontado]]*Tabla4[[#This Row],[Cantidad]]</f>
        <v>8133.5819063999998</v>
      </c>
      <c r="Q34" s="282" t="e">
        <f>(INDEX(Tabla6[#All],MATCH(Tabla4[[#This Row],[Producto]],Tabla6[[#All],[PRODUCTO]],0),MATCH(Tabla4[[#This Row],[Mes]],Tabla6[#Headers],0)))</f>
        <v>#N/A</v>
      </c>
      <c r="R34" s="282" t="e">
        <f>++Tabla4[[#This Row],[Precio Unitario Neto]]-Tabla4[[#This Row],[20.85%]]-Tabla4[[#This Row],[Costo]]</f>
        <v>#N/A</v>
      </c>
      <c r="S34" s="282" t="e">
        <f>++Tabla4[[#This Row],[U. Bruta Uni]]*Tabla4[[#This Row],[Cantidad]]</f>
        <v>#N/A</v>
      </c>
      <c r="T34" s="369" t="str">
        <f>VLOOKUP(Tabla4[[#This Row],[Producto]],Tabla6[#All],14,FALSE)</f>
        <v>Termico Solar</v>
      </c>
      <c r="U34" s="284" t="e">
        <f>(IF(Tabla4[[#This Row],[Familia]]="termico solar",Tabla4[[#This Row],[Utilidad Total]]*6%,Tabla4[[#This Row],[Utilidad Total]]*11.5%))/Tabla4[[#This Row],[Total]]</f>
        <v>#N/A</v>
      </c>
      <c r="V34" s="282" t="e">
        <f>+Tabla4[[#This Row],[Comisión Calculada]]*Tabla4[[#This Row],[Total]]</f>
        <v>#N/A</v>
      </c>
    </row>
    <row r="35" spans="1:22" hidden="1" x14ac:dyDescent="0.25">
      <c r="A35" s="100">
        <v>45672</v>
      </c>
      <c r="B35" t="str">
        <f t="shared" si="0"/>
        <v>January</v>
      </c>
      <c r="C35" s="46" t="s">
        <v>280</v>
      </c>
      <c r="F35" s="366" t="s">
        <v>686</v>
      </c>
      <c r="G35" s="46" t="s">
        <v>17</v>
      </c>
      <c r="H35" s="46">
        <v>3</v>
      </c>
      <c r="I35" s="51">
        <v>4622.28</v>
      </c>
      <c r="J35" s="281">
        <f>++Tabla4[[#This Row],[Precio Bruto]]*1.16</f>
        <v>5361.8447999999989</v>
      </c>
      <c r="K35" s="281">
        <f>+Tabla4[[#This Row],[Precio Unitario Neto]]*Tabla4[[#Headers],[20.85%]]</f>
        <v>1117.9446407999997</v>
      </c>
      <c r="L35" s="282">
        <f>++Tabla4[[#This Row],[Precio Unitario Neto]]-Tabla4[[#This Row],[20.85%]]</f>
        <v>4243.9001591999995</v>
      </c>
      <c r="M35" s="282" t="e">
        <f>(INDEX(Tabla6[#All],MATCH(Tabla4[[#This Row],[Producto]],Tabla6[[#All],[PRODUCTO]],0),MATCH(Tabla4[[#This Row],[Mes]],Tabla6[#Headers],0)))*(1+Catalogos!$L$2)</f>
        <v>#N/A</v>
      </c>
      <c r="N35" s="283" t="e">
        <f>+(Tabla4[[#This Row],[Precio Descontado]]-Tabla4[[#This Row],[Precio Base]])*Tabla4[[#This Row],[Cantidad]]</f>
        <v>#N/A</v>
      </c>
      <c r="O35" s="284" t="e">
        <f>++Tabla4[[#This Row],[Utilidad Total]]/Tabla4[[#This Row],[Total]]</f>
        <v>#N/A</v>
      </c>
      <c r="P35" s="282">
        <f>++Tabla4[[#This Row],[Precio Descontado]]*Tabla4[[#This Row],[Cantidad]]</f>
        <v>12731.700477599999</v>
      </c>
      <c r="Q35" s="282" t="e">
        <f>(INDEX(Tabla6[#All],MATCH(Tabla4[[#This Row],[Producto]],Tabla6[[#All],[PRODUCTO]],0),MATCH(Tabla4[[#This Row],[Mes]],Tabla6[#Headers],0)))</f>
        <v>#N/A</v>
      </c>
      <c r="R35" s="282" t="e">
        <f>++Tabla4[[#This Row],[Precio Unitario Neto]]-Tabla4[[#This Row],[20.85%]]-Tabla4[[#This Row],[Costo]]</f>
        <v>#N/A</v>
      </c>
      <c r="S35" s="282" t="e">
        <f>++Tabla4[[#This Row],[U. Bruta Uni]]*Tabla4[[#This Row],[Cantidad]]</f>
        <v>#N/A</v>
      </c>
      <c r="T35" s="369" t="str">
        <f>VLOOKUP(Tabla4[[#This Row],[Producto]],Tabla6[#All],14,FALSE)</f>
        <v>Termico Solar</v>
      </c>
      <c r="U35" s="284" t="e">
        <f>(IF(Tabla4[[#This Row],[Familia]]="termico solar",Tabla4[[#This Row],[Utilidad Total]]*6%,Tabla4[[#This Row],[Utilidad Total]]*11.5%))/Tabla4[[#This Row],[Total]]</f>
        <v>#N/A</v>
      </c>
      <c r="V35" s="282" t="e">
        <f>+Tabla4[[#This Row],[Comisión Calculada]]*Tabla4[[#This Row],[Total]]</f>
        <v>#N/A</v>
      </c>
    </row>
    <row r="36" spans="1:22" hidden="1" x14ac:dyDescent="0.25">
      <c r="A36" s="100">
        <v>45672</v>
      </c>
      <c r="B36" t="str">
        <f t="shared" ref="B36:B66" si="1">TEXT(A36, "mmmm")</f>
        <v>January</v>
      </c>
      <c r="C36" s="46" t="s">
        <v>280</v>
      </c>
      <c r="F36" s="366" t="s">
        <v>686</v>
      </c>
      <c r="G36" s="46" t="s">
        <v>16</v>
      </c>
      <c r="H36" s="46">
        <v>2</v>
      </c>
      <c r="I36" s="51">
        <v>4103.8500000000004</v>
      </c>
      <c r="J36" s="281">
        <f>++Tabla4[[#This Row],[Precio Bruto]]*1.16</f>
        <v>4760.4660000000003</v>
      </c>
      <c r="K36" s="281">
        <f>+Tabla4[[#This Row],[Precio Unitario Neto]]*Tabla4[[#Headers],[20.85%]]</f>
        <v>992.55716100000006</v>
      </c>
      <c r="L36" s="282">
        <f>++Tabla4[[#This Row],[Precio Unitario Neto]]-Tabla4[[#This Row],[20.85%]]</f>
        <v>3767.9088390000002</v>
      </c>
      <c r="M36" s="282" t="e">
        <f>(INDEX(Tabla6[#All],MATCH(Tabla4[[#This Row],[Producto]],Tabla6[[#All],[PRODUCTO]],0),MATCH(Tabla4[[#This Row],[Mes]],Tabla6[#Headers],0)))*(1+Catalogos!$L$2)</f>
        <v>#N/A</v>
      </c>
      <c r="N36" s="283" t="e">
        <f>+(Tabla4[[#This Row],[Precio Descontado]]-Tabla4[[#This Row],[Precio Base]])*Tabla4[[#This Row],[Cantidad]]</f>
        <v>#N/A</v>
      </c>
      <c r="O36" s="284" t="e">
        <f>++Tabla4[[#This Row],[Utilidad Total]]/Tabla4[[#This Row],[Total]]</f>
        <v>#N/A</v>
      </c>
      <c r="P36" s="282">
        <f>++Tabla4[[#This Row],[Precio Descontado]]*Tabla4[[#This Row],[Cantidad]]</f>
        <v>7535.8176780000003</v>
      </c>
      <c r="Q36" s="282" t="e">
        <f>(INDEX(Tabla6[#All],MATCH(Tabla4[[#This Row],[Producto]],Tabla6[[#All],[PRODUCTO]],0),MATCH(Tabla4[[#This Row],[Mes]],Tabla6[#Headers],0)))</f>
        <v>#N/A</v>
      </c>
      <c r="R36" s="282" t="e">
        <f>++Tabla4[[#This Row],[Precio Unitario Neto]]-Tabla4[[#This Row],[20.85%]]-Tabla4[[#This Row],[Costo]]</f>
        <v>#N/A</v>
      </c>
      <c r="S36" s="282" t="e">
        <f>++Tabla4[[#This Row],[U. Bruta Uni]]*Tabla4[[#This Row],[Cantidad]]</f>
        <v>#N/A</v>
      </c>
      <c r="T36" s="369" t="str">
        <f>VLOOKUP(Tabla4[[#This Row],[Producto]],Tabla6[#All],14,FALSE)</f>
        <v>Termico Solar</v>
      </c>
      <c r="U36" s="284" t="e">
        <f>(IF(Tabla4[[#This Row],[Familia]]="termico solar",Tabla4[[#This Row],[Utilidad Total]]*6%,Tabla4[[#This Row],[Utilidad Total]]*11.5%))/Tabla4[[#This Row],[Total]]</f>
        <v>#N/A</v>
      </c>
      <c r="V36" s="282" t="e">
        <f>+Tabla4[[#This Row],[Comisión Calculada]]*Tabla4[[#This Row],[Total]]</f>
        <v>#N/A</v>
      </c>
    </row>
    <row r="37" spans="1:22" hidden="1" x14ac:dyDescent="0.25">
      <c r="A37" s="100">
        <v>45672</v>
      </c>
      <c r="B37" t="str">
        <f t="shared" si="1"/>
        <v>January</v>
      </c>
      <c r="C37" s="46" t="s">
        <v>280</v>
      </c>
      <c r="F37" s="366" t="s">
        <v>687</v>
      </c>
      <c r="G37" s="46" t="s">
        <v>18</v>
      </c>
      <c r="H37" s="46">
        <v>1</v>
      </c>
      <c r="I37" s="51">
        <v>5367.65</v>
      </c>
      <c r="J37" s="281">
        <f>++Tabla4[[#This Row],[Precio Bruto]]*1.16</f>
        <v>6226.4739999999993</v>
      </c>
      <c r="K37" s="281">
        <f>+Tabla4[[#This Row],[Precio Unitario Neto]]*Tabla4[[#Headers],[20.85%]]</f>
        <v>1298.2198289999999</v>
      </c>
      <c r="L37" s="282">
        <f>++Tabla4[[#This Row],[Precio Unitario Neto]]-Tabla4[[#This Row],[20.85%]]</f>
        <v>4928.2541709999996</v>
      </c>
      <c r="M37" s="282" t="e">
        <f>(INDEX(Tabla6[#All],MATCH(Tabla4[[#This Row],[Producto]],Tabla6[[#All],[PRODUCTO]],0),MATCH(Tabla4[[#This Row],[Mes]],Tabla6[#Headers],0)))*(1+Catalogos!$L$2)</f>
        <v>#N/A</v>
      </c>
      <c r="N37" s="283" t="e">
        <f>+(Tabla4[[#This Row],[Precio Descontado]]-Tabla4[[#This Row],[Precio Base]])*Tabla4[[#This Row],[Cantidad]]</f>
        <v>#N/A</v>
      </c>
      <c r="O37" s="284" t="e">
        <f>++Tabla4[[#This Row],[Utilidad Total]]/Tabla4[[#This Row],[Total]]</f>
        <v>#N/A</v>
      </c>
      <c r="P37" s="282">
        <f>++Tabla4[[#This Row],[Precio Descontado]]*Tabla4[[#This Row],[Cantidad]]</f>
        <v>4928.2541709999996</v>
      </c>
      <c r="Q37" s="282" t="e">
        <f>(INDEX(Tabla6[#All],MATCH(Tabla4[[#This Row],[Producto]],Tabla6[[#All],[PRODUCTO]],0),MATCH(Tabla4[[#This Row],[Mes]],Tabla6[#Headers],0)))</f>
        <v>#N/A</v>
      </c>
      <c r="R37" s="282" t="e">
        <f>++Tabla4[[#This Row],[Precio Unitario Neto]]-Tabla4[[#This Row],[20.85%]]-Tabla4[[#This Row],[Costo]]</f>
        <v>#N/A</v>
      </c>
      <c r="S37" s="282" t="e">
        <f>++Tabla4[[#This Row],[U. Bruta Uni]]*Tabla4[[#This Row],[Cantidad]]</f>
        <v>#N/A</v>
      </c>
      <c r="T37" s="369" t="str">
        <f>VLOOKUP(Tabla4[[#This Row],[Producto]],Tabla6[#All],14,FALSE)</f>
        <v>Termico Solar</v>
      </c>
      <c r="U37" s="284" t="e">
        <f>(IF(Tabla4[[#This Row],[Familia]]="termico solar",Tabla4[[#This Row],[Utilidad Total]]*6%,Tabla4[[#This Row],[Utilidad Total]]*11.5%))/Tabla4[[#This Row],[Total]]</f>
        <v>#N/A</v>
      </c>
      <c r="V37" s="282" t="e">
        <f>+Tabla4[[#This Row],[Comisión Calculada]]*Tabla4[[#This Row],[Total]]</f>
        <v>#N/A</v>
      </c>
    </row>
    <row r="38" spans="1:22" hidden="1" x14ac:dyDescent="0.25">
      <c r="A38" s="100">
        <v>45672</v>
      </c>
      <c r="B38" t="str">
        <f t="shared" si="1"/>
        <v>January</v>
      </c>
      <c r="C38" s="46" t="s">
        <v>280</v>
      </c>
      <c r="F38" s="366" t="s">
        <v>688</v>
      </c>
      <c r="G38" s="46" t="s">
        <v>83</v>
      </c>
      <c r="H38" s="46">
        <v>1</v>
      </c>
      <c r="I38" s="51">
        <v>8858.76</v>
      </c>
      <c r="J38" s="281">
        <f>++Tabla4[[#This Row],[Precio Bruto]]*1.16</f>
        <v>10276.161599999999</v>
      </c>
      <c r="K38" s="281">
        <f>+Tabla4[[#This Row],[Precio Unitario Neto]]*Tabla4[[#Headers],[20.85%]]</f>
        <v>2142.5796935999997</v>
      </c>
      <c r="L38" s="282">
        <f>++Tabla4[[#This Row],[Precio Unitario Neto]]-Tabla4[[#This Row],[20.85%]]</f>
        <v>8133.5819063999998</v>
      </c>
      <c r="M38" s="282" t="e">
        <f>(INDEX(Tabla6[#All],MATCH(Tabla4[[#This Row],[Producto]],Tabla6[[#All],[PRODUCTO]],0),MATCH(Tabla4[[#This Row],[Mes]],Tabla6[#Headers],0)))*(1+Catalogos!$L$2)</f>
        <v>#N/A</v>
      </c>
      <c r="N38" s="283" t="e">
        <f>+(Tabla4[[#This Row],[Precio Descontado]]-Tabla4[[#This Row],[Precio Base]])*Tabla4[[#This Row],[Cantidad]]</f>
        <v>#N/A</v>
      </c>
      <c r="O38" s="284" t="e">
        <f>++Tabla4[[#This Row],[Utilidad Total]]/Tabla4[[#This Row],[Total]]</f>
        <v>#N/A</v>
      </c>
      <c r="P38" s="282">
        <f>++Tabla4[[#This Row],[Precio Descontado]]*Tabla4[[#This Row],[Cantidad]]</f>
        <v>8133.5819063999998</v>
      </c>
      <c r="Q38" s="282" t="e">
        <f>(INDEX(Tabla6[#All],MATCH(Tabla4[[#This Row],[Producto]],Tabla6[[#All],[PRODUCTO]],0),MATCH(Tabla4[[#This Row],[Mes]],Tabla6[#Headers],0)))</f>
        <v>#N/A</v>
      </c>
      <c r="R38" s="282" t="e">
        <f>++Tabla4[[#This Row],[Precio Unitario Neto]]-Tabla4[[#This Row],[20.85%]]-Tabla4[[#This Row],[Costo]]</f>
        <v>#N/A</v>
      </c>
      <c r="S38" s="282" t="e">
        <f>++Tabla4[[#This Row],[U. Bruta Uni]]*Tabla4[[#This Row],[Cantidad]]</f>
        <v>#N/A</v>
      </c>
      <c r="T38" s="369" t="str">
        <f>VLOOKUP(Tabla4[[#This Row],[Producto]],Tabla6[#All],14,FALSE)</f>
        <v>Termico Solar</v>
      </c>
      <c r="U38" s="284" t="e">
        <f>(IF(Tabla4[[#This Row],[Familia]]="termico solar",Tabla4[[#This Row],[Utilidad Total]]*6%,Tabla4[[#This Row],[Utilidad Total]]*11.5%))/Tabla4[[#This Row],[Total]]</f>
        <v>#N/A</v>
      </c>
      <c r="V38" s="282" t="e">
        <f>+Tabla4[[#This Row],[Comisión Calculada]]*Tabla4[[#This Row],[Total]]</f>
        <v>#N/A</v>
      </c>
    </row>
    <row r="39" spans="1:22" hidden="1" x14ac:dyDescent="0.25">
      <c r="A39" s="100">
        <v>45672</v>
      </c>
      <c r="B39" t="str">
        <f t="shared" si="1"/>
        <v>January</v>
      </c>
      <c r="C39" s="46" t="s">
        <v>280</v>
      </c>
      <c r="F39" s="366" t="s">
        <v>688</v>
      </c>
      <c r="G39" s="46" t="s">
        <v>16</v>
      </c>
      <c r="H39" s="46">
        <v>2</v>
      </c>
      <c r="I39" s="51">
        <v>4103.8500000000004</v>
      </c>
      <c r="J39" s="281">
        <f>++Tabla4[[#This Row],[Precio Bruto]]*1.16</f>
        <v>4760.4660000000003</v>
      </c>
      <c r="K39" s="281">
        <f>+Tabla4[[#This Row],[Precio Unitario Neto]]*Tabla4[[#Headers],[20.85%]]</f>
        <v>992.55716100000006</v>
      </c>
      <c r="L39" s="282">
        <f>++Tabla4[[#This Row],[Precio Unitario Neto]]-Tabla4[[#This Row],[20.85%]]</f>
        <v>3767.9088390000002</v>
      </c>
      <c r="M39" s="282" t="e">
        <f>(INDEX(Tabla6[#All],MATCH(Tabla4[[#This Row],[Producto]],Tabla6[[#All],[PRODUCTO]],0),MATCH(Tabla4[[#This Row],[Mes]],Tabla6[#Headers],0)))*(1+Catalogos!$L$2)</f>
        <v>#N/A</v>
      </c>
      <c r="N39" s="283" t="e">
        <f>+(Tabla4[[#This Row],[Precio Descontado]]-Tabla4[[#This Row],[Precio Base]])*Tabla4[[#This Row],[Cantidad]]</f>
        <v>#N/A</v>
      </c>
      <c r="O39" s="284" t="e">
        <f>++Tabla4[[#This Row],[Utilidad Total]]/Tabla4[[#This Row],[Total]]</f>
        <v>#N/A</v>
      </c>
      <c r="P39" s="282">
        <f>++Tabla4[[#This Row],[Precio Descontado]]*Tabla4[[#This Row],[Cantidad]]</f>
        <v>7535.8176780000003</v>
      </c>
      <c r="Q39" s="282" t="e">
        <f>(INDEX(Tabla6[#All],MATCH(Tabla4[[#This Row],[Producto]],Tabla6[[#All],[PRODUCTO]],0),MATCH(Tabla4[[#This Row],[Mes]],Tabla6[#Headers],0)))</f>
        <v>#N/A</v>
      </c>
      <c r="R39" s="282" t="e">
        <f>++Tabla4[[#This Row],[Precio Unitario Neto]]-Tabla4[[#This Row],[20.85%]]-Tabla4[[#This Row],[Costo]]</f>
        <v>#N/A</v>
      </c>
      <c r="S39" s="282" t="e">
        <f>++Tabla4[[#This Row],[U. Bruta Uni]]*Tabla4[[#This Row],[Cantidad]]</f>
        <v>#N/A</v>
      </c>
      <c r="T39" s="369" t="str">
        <f>VLOOKUP(Tabla4[[#This Row],[Producto]],Tabla6[#All],14,FALSE)</f>
        <v>Termico Solar</v>
      </c>
      <c r="U39" s="284" t="e">
        <f>(IF(Tabla4[[#This Row],[Familia]]="termico solar",Tabla4[[#This Row],[Utilidad Total]]*6%,Tabla4[[#This Row],[Utilidad Total]]*11.5%))/Tabla4[[#This Row],[Total]]</f>
        <v>#N/A</v>
      </c>
      <c r="V39" s="282" t="e">
        <f>+Tabla4[[#This Row],[Comisión Calculada]]*Tabla4[[#This Row],[Total]]</f>
        <v>#N/A</v>
      </c>
    </row>
    <row r="40" spans="1:22" hidden="1" x14ac:dyDescent="0.25">
      <c r="A40" s="100">
        <v>45672</v>
      </c>
      <c r="B40" t="str">
        <f t="shared" si="1"/>
        <v>January</v>
      </c>
      <c r="C40" s="46" t="s">
        <v>280</v>
      </c>
      <c r="F40" s="366" t="s">
        <v>689</v>
      </c>
      <c r="G40" s="46" t="s">
        <v>18</v>
      </c>
      <c r="H40" s="46">
        <v>1</v>
      </c>
      <c r="I40" s="51">
        <v>5367.65</v>
      </c>
      <c r="J40" s="281">
        <f>++Tabla4[[#This Row],[Precio Bruto]]*1.16</f>
        <v>6226.4739999999993</v>
      </c>
      <c r="K40" s="281">
        <f>+Tabla4[[#This Row],[Precio Unitario Neto]]*Tabla4[[#Headers],[20.85%]]</f>
        <v>1298.2198289999999</v>
      </c>
      <c r="L40" s="282">
        <f>++Tabla4[[#This Row],[Precio Unitario Neto]]-Tabla4[[#This Row],[20.85%]]</f>
        <v>4928.2541709999996</v>
      </c>
      <c r="M40" s="282" t="e">
        <f>(INDEX(Tabla6[#All],MATCH(Tabla4[[#This Row],[Producto]],Tabla6[[#All],[PRODUCTO]],0),MATCH(Tabla4[[#This Row],[Mes]],Tabla6[#Headers],0)))*(1+Catalogos!$L$2)</f>
        <v>#N/A</v>
      </c>
      <c r="N40" s="283" t="e">
        <f>+(Tabla4[[#This Row],[Precio Descontado]]-Tabla4[[#This Row],[Precio Base]])*Tabla4[[#This Row],[Cantidad]]</f>
        <v>#N/A</v>
      </c>
      <c r="O40" s="284" t="e">
        <f>++Tabla4[[#This Row],[Utilidad Total]]/Tabla4[[#This Row],[Total]]</f>
        <v>#N/A</v>
      </c>
      <c r="P40" s="282">
        <f>++Tabla4[[#This Row],[Precio Descontado]]*Tabla4[[#This Row],[Cantidad]]</f>
        <v>4928.2541709999996</v>
      </c>
      <c r="Q40" s="282" t="e">
        <f>(INDEX(Tabla6[#All],MATCH(Tabla4[[#This Row],[Producto]],Tabla6[[#All],[PRODUCTO]],0),MATCH(Tabla4[[#This Row],[Mes]],Tabla6[#Headers],0)))</f>
        <v>#N/A</v>
      </c>
      <c r="R40" s="282" t="e">
        <f>++Tabla4[[#This Row],[Precio Unitario Neto]]-Tabla4[[#This Row],[20.85%]]-Tabla4[[#This Row],[Costo]]</f>
        <v>#N/A</v>
      </c>
      <c r="S40" s="282" t="e">
        <f>++Tabla4[[#This Row],[U. Bruta Uni]]*Tabla4[[#This Row],[Cantidad]]</f>
        <v>#N/A</v>
      </c>
      <c r="T40" s="369" t="str">
        <f>VLOOKUP(Tabla4[[#This Row],[Producto]],Tabla6[#All],14,FALSE)</f>
        <v>Termico Solar</v>
      </c>
      <c r="U40" s="284" t="e">
        <f>(IF(Tabla4[[#This Row],[Familia]]="termico solar",Tabla4[[#This Row],[Utilidad Total]]*6%,Tabla4[[#This Row],[Utilidad Total]]*11.5%))/Tabla4[[#This Row],[Total]]</f>
        <v>#N/A</v>
      </c>
      <c r="V40" s="282" t="e">
        <f>+Tabla4[[#This Row],[Comisión Calculada]]*Tabla4[[#This Row],[Total]]</f>
        <v>#N/A</v>
      </c>
    </row>
    <row r="41" spans="1:22" hidden="1" x14ac:dyDescent="0.25">
      <c r="A41" s="100">
        <v>45672</v>
      </c>
      <c r="B41" t="str">
        <f t="shared" si="1"/>
        <v>January</v>
      </c>
      <c r="C41" s="46" t="s">
        <v>280</v>
      </c>
      <c r="F41" s="366" t="s">
        <v>690</v>
      </c>
      <c r="G41" s="46" t="s">
        <v>83</v>
      </c>
      <c r="H41" s="46">
        <v>1</v>
      </c>
      <c r="I41" s="51">
        <v>8858.76</v>
      </c>
      <c r="J41" s="281">
        <f>++Tabla4[[#This Row],[Precio Bruto]]*1.16</f>
        <v>10276.161599999999</v>
      </c>
      <c r="K41" s="281">
        <f>+Tabla4[[#This Row],[Precio Unitario Neto]]*Tabla4[[#Headers],[20.85%]]</f>
        <v>2142.5796935999997</v>
      </c>
      <c r="L41" s="282">
        <f>++Tabla4[[#This Row],[Precio Unitario Neto]]-Tabla4[[#This Row],[20.85%]]</f>
        <v>8133.5819063999998</v>
      </c>
      <c r="M41" s="282" t="e">
        <f>(INDEX(Tabla6[#All],MATCH(Tabla4[[#This Row],[Producto]],Tabla6[[#All],[PRODUCTO]],0),MATCH(Tabla4[[#This Row],[Mes]],Tabla6[#Headers],0)))*(1+Catalogos!$L$2)</f>
        <v>#N/A</v>
      </c>
      <c r="N41" s="283" t="e">
        <f>+(Tabla4[[#This Row],[Precio Descontado]]-Tabla4[[#This Row],[Precio Base]])*Tabla4[[#This Row],[Cantidad]]</f>
        <v>#N/A</v>
      </c>
      <c r="O41" s="284" t="e">
        <f>++Tabla4[[#This Row],[Utilidad Total]]/Tabla4[[#This Row],[Total]]</f>
        <v>#N/A</v>
      </c>
      <c r="P41" s="282">
        <f>++Tabla4[[#This Row],[Precio Descontado]]*Tabla4[[#This Row],[Cantidad]]</f>
        <v>8133.5819063999998</v>
      </c>
      <c r="Q41" s="282" t="e">
        <f>(INDEX(Tabla6[#All],MATCH(Tabla4[[#This Row],[Producto]],Tabla6[[#All],[PRODUCTO]],0),MATCH(Tabla4[[#This Row],[Mes]],Tabla6[#Headers],0)))</f>
        <v>#N/A</v>
      </c>
      <c r="R41" s="282" t="e">
        <f>++Tabla4[[#This Row],[Precio Unitario Neto]]-Tabla4[[#This Row],[20.85%]]-Tabla4[[#This Row],[Costo]]</f>
        <v>#N/A</v>
      </c>
      <c r="S41" s="282" t="e">
        <f>++Tabla4[[#This Row],[U. Bruta Uni]]*Tabla4[[#This Row],[Cantidad]]</f>
        <v>#N/A</v>
      </c>
      <c r="T41" s="369" t="str">
        <f>VLOOKUP(Tabla4[[#This Row],[Producto]],Tabla6[#All],14,FALSE)</f>
        <v>Termico Solar</v>
      </c>
      <c r="U41" s="284" t="e">
        <f>(IF(Tabla4[[#This Row],[Familia]]="termico solar",Tabla4[[#This Row],[Utilidad Total]]*6%,Tabla4[[#This Row],[Utilidad Total]]*11.5%))/Tabla4[[#This Row],[Total]]</f>
        <v>#N/A</v>
      </c>
      <c r="V41" s="282" t="e">
        <f>+Tabla4[[#This Row],[Comisión Calculada]]*Tabla4[[#This Row],[Total]]</f>
        <v>#N/A</v>
      </c>
    </row>
    <row r="42" spans="1:22" hidden="1" x14ac:dyDescent="0.25">
      <c r="A42" s="100">
        <v>45672</v>
      </c>
      <c r="B42" t="str">
        <f t="shared" si="1"/>
        <v>January</v>
      </c>
      <c r="C42" s="46" t="s">
        <v>280</v>
      </c>
      <c r="F42" s="366" t="s">
        <v>690</v>
      </c>
      <c r="G42" s="46" t="s">
        <v>17</v>
      </c>
      <c r="H42" s="46">
        <v>1</v>
      </c>
      <c r="I42" s="51">
        <v>4622.28</v>
      </c>
      <c r="J42" s="281">
        <f>++Tabla4[[#This Row],[Precio Bruto]]*1.16</f>
        <v>5361.8447999999989</v>
      </c>
      <c r="K42" s="281">
        <f>+Tabla4[[#This Row],[Precio Unitario Neto]]*Tabla4[[#Headers],[20.85%]]</f>
        <v>1117.9446407999997</v>
      </c>
      <c r="L42" s="282">
        <f>++Tabla4[[#This Row],[Precio Unitario Neto]]-Tabla4[[#This Row],[20.85%]]</f>
        <v>4243.9001591999995</v>
      </c>
      <c r="M42" s="282" t="e">
        <f>(INDEX(Tabla6[#All],MATCH(Tabla4[[#This Row],[Producto]],Tabla6[[#All],[PRODUCTO]],0),MATCH(Tabla4[[#This Row],[Mes]],Tabla6[#Headers],0)))*(1+Catalogos!$L$2)</f>
        <v>#N/A</v>
      </c>
      <c r="N42" s="283" t="e">
        <f>+(Tabla4[[#This Row],[Precio Descontado]]-Tabla4[[#This Row],[Precio Base]])*Tabla4[[#This Row],[Cantidad]]</f>
        <v>#N/A</v>
      </c>
      <c r="O42" s="284" t="e">
        <f>++Tabla4[[#This Row],[Utilidad Total]]/Tabla4[[#This Row],[Total]]</f>
        <v>#N/A</v>
      </c>
      <c r="P42" s="282">
        <f>++Tabla4[[#This Row],[Precio Descontado]]*Tabla4[[#This Row],[Cantidad]]</f>
        <v>4243.9001591999995</v>
      </c>
      <c r="Q42" s="282" t="e">
        <f>(INDEX(Tabla6[#All],MATCH(Tabla4[[#This Row],[Producto]],Tabla6[[#All],[PRODUCTO]],0),MATCH(Tabla4[[#This Row],[Mes]],Tabla6[#Headers],0)))</f>
        <v>#N/A</v>
      </c>
      <c r="R42" s="282" t="e">
        <f>++Tabla4[[#This Row],[Precio Unitario Neto]]-Tabla4[[#This Row],[20.85%]]-Tabla4[[#This Row],[Costo]]</f>
        <v>#N/A</v>
      </c>
      <c r="S42" s="282" t="e">
        <f>++Tabla4[[#This Row],[U. Bruta Uni]]*Tabla4[[#This Row],[Cantidad]]</f>
        <v>#N/A</v>
      </c>
      <c r="T42" s="369" t="str">
        <f>VLOOKUP(Tabla4[[#This Row],[Producto]],Tabla6[#All],14,FALSE)</f>
        <v>Termico Solar</v>
      </c>
      <c r="U42" s="284" t="e">
        <f>(IF(Tabla4[[#This Row],[Familia]]="termico solar",Tabla4[[#This Row],[Utilidad Total]]*6%,Tabla4[[#This Row],[Utilidad Total]]*11.5%))/Tabla4[[#This Row],[Total]]</f>
        <v>#N/A</v>
      </c>
      <c r="V42" s="282" t="e">
        <f>+Tabla4[[#This Row],[Comisión Calculada]]*Tabla4[[#This Row],[Total]]</f>
        <v>#N/A</v>
      </c>
    </row>
    <row r="43" spans="1:22" hidden="1" x14ac:dyDescent="0.25">
      <c r="A43" s="100">
        <v>45672</v>
      </c>
      <c r="B43" t="str">
        <f t="shared" si="1"/>
        <v>January</v>
      </c>
      <c r="C43" s="46" t="s">
        <v>280</v>
      </c>
      <c r="F43" s="366" t="s">
        <v>690</v>
      </c>
      <c r="G43" s="46" t="s">
        <v>16</v>
      </c>
      <c r="H43" s="46">
        <v>2</v>
      </c>
      <c r="I43" s="51">
        <v>4103.8500000000004</v>
      </c>
      <c r="J43" s="281">
        <f>++Tabla4[[#This Row],[Precio Bruto]]*1.16</f>
        <v>4760.4660000000003</v>
      </c>
      <c r="K43" s="281">
        <f>+Tabla4[[#This Row],[Precio Unitario Neto]]*Tabla4[[#Headers],[20.85%]]</f>
        <v>992.55716100000006</v>
      </c>
      <c r="L43" s="282">
        <f>++Tabla4[[#This Row],[Precio Unitario Neto]]-Tabla4[[#This Row],[20.85%]]</f>
        <v>3767.9088390000002</v>
      </c>
      <c r="M43" s="282" t="e">
        <f>(INDEX(Tabla6[#All],MATCH(Tabla4[[#This Row],[Producto]],Tabla6[[#All],[PRODUCTO]],0),MATCH(Tabla4[[#This Row],[Mes]],Tabla6[#Headers],0)))*(1+Catalogos!$L$2)</f>
        <v>#N/A</v>
      </c>
      <c r="N43" s="283" t="e">
        <f>+(Tabla4[[#This Row],[Precio Descontado]]-Tabla4[[#This Row],[Precio Base]])*Tabla4[[#This Row],[Cantidad]]</f>
        <v>#N/A</v>
      </c>
      <c r="O43" s="284" t="e">
        <f>++Tabla4[[#This Row],[Utilidad Total]]/Tabla4[[#This Row],[Total]]</f>
        <v>#N/A</v>
      </c>
      <c r="P43" s="282">
        <f>++Tabla4[[#This Row],[Precio Descontado]]*Tabla4[[#This Row],[Cantidad]]</f>
        <v>7535.8176780000003</v>
      </c>
      <c r="Q43" s="282" t="e">
        <f>(INDEX(Tabla6[#All],MATCH(Tabla4[[#This Row],[Producto]],Tabla6[[#All],[PRODUCTO]],0),MATCH(Tabla4[[#This Row],[Mes]],Tabla6[#Headers],0)))</f>
        <v>#N/A</v>
      </c>
      <c r="R43" s="282" t="e">
        <f>++Tabla4[[#This Row],[Precio Unitario Neto]]-Tabla4[[#This Row],[20.85%]]-Tabla4[[#This Row],[Costo]]</f>
        <v>#N/A</v>
      </c>
      <c r="S43" s="282" t="e">
        <f>++Tabla4[[#This Row],[U. Bruta Uni]]*Tabla4[[#This Row],[Cantidad]]</f>
        <v>#N/A</v>
      </c>
      <c r="T43" s="369" t="str">
        <f>VLOOKUP(Tabla4[[#This Row],[Producto]],Tabla6[#All],14,FALSE)</f>
        <v>Termico Solar</v>
      </c>
      <c r="U43" s="284" t="e">
        <f>(IF(Tabla4[[#This Row],[Familia]]="termico solar",Tabla4[[#This Row],[Utilidad Total]]*6%,Tabla4[[#This Row],[Utilidad Total]]*11.5%))/Tabla4[[#This Row],[Total]]</f>
        <v>#N/A</v>
      </c>
      <c r="V43" s="282" t="e">
        <f>+Tabla4[[#This Row],[Comisión Calculada]]*Tabla4[[#This Row],[Total]]</f>
        <v>#N/A</v>
      </c>
    </row>
    <row r="44" spans="1:22" hidden="1" x14ac:dyDescent="0.25">
      <c r="A44" s="100">
        <v>45672</v>
      </c>
      <c r="B44" t="str">
        <f t="shared" si="1"/>
        <v>January</v>
      </c>
      <c r="C44" s="46" t="s">
        <v>280</v>
      </c>
      <c r="F44" s="366" t="s">
        <v>691</v>
      </c>
      <c r="G44" s="46" t="s">
        <v>18</v>
      </c>
      <c r="H44" s="46">
        <v>2</v>
      </c>
      <c r="I44" s="51">
        <v>5367.65</v>
      </c>
      <c r="J44" s="281">
        <f>++Tabla4[[#This Row],[Precio Bruto]]*1.16</f>
        <v>6226.4739999999993</v>
      </c>
      <c r="K44" s="281">
        <f>+Tabla4[[#This Row],[Precio Unitario Neto]]*Tabla4[[#Headers],[20.85%]]</f>
        <v>1298.2198289999999</v>
      </c>
      <c r="L44" s="282">
        <f>++Tabla4[[#This Row],[Precio Unitario Neto]]-Tabla4[[#This Row],[20.85%]]</f>
        <v>4928.2541709999996</v>
      </c>
      <c r="M44" s="282" t="e">
        <f>(INDEX(Tabla6[#All],MATCH(Tabla4[[#This Row],[Producto]],Tabla6[[#All],[PRODUCTO]],0),MATCH(Tabla4[[#This Row],[Mes]],Tabla6[#Headers],0)))*(1+Catalogos!$L$2)</f>
        <v>#N/A</v>
      </c>
      <c r="N44" s="283" t="e">
        <f>+(Tabla4[[#This Row],[Precio Descontado]]-Tabla4[[#This Row],[Precio Base]])*Tabla4[[#This Row],[Cantidad]]</f>
        <v>#N/A</v>
      </c>
      <c r="O44" s="284" t="e">
        <f>++Tabla4[[#This Row],[Utilidad Total]]/Tabla4[[#This Row],[Total]]</f>
        <v>#N/A</v>
      </c>
      <c r="P44" s="282">
        <f>++Tabla4[[#This Row],[Precio Descontado]]*Tabla4[[#This Row],[Cantidad]]</f>
        <v>9856.5083419999992</v>
      </c>
      <c r="Q44" s="282" t="e">
        <f>(INDEX(Tabla6[#All],MATCH(Tabla4[[#This Row],[Producto]],Tabla6[[#All],[PRODUCTO]],0),MATCH(Tabla4[[#This Row],[Mes]],Tabla6[#Headers],0)))</f>
        <v>#N/A</v>
      </c>
      <c r="R44" s="282" t="e">
        <f>++Tabla4[[#This Row],[Precio Unitario Neto]]-Tabla4[[#This Row],[20.85%]]-Tabla4[[#This Row],[Costo]]</f>
        <v>#N/A</v>
      </c>
      <c r="S44" s="282" t="e">
        <f>++Tabla4[[#This Row],[U. Bruta Uni]]*Tabla4[[#This Row],[Cantidad]]</f>
        <v>#N/A</v>
      </c>
      <c r="T44" s="369" t="str">
        <f>VLOOKUP(Tabla4[[#This Row],[Producto]],Tabla6[#All],14,FALSE)</f>
        <v>Termico Solar</v>
      </c>
      <c r="U44" s="284" t="e">
        <f>(IF(Tabla4[[#This Row],[Familia]]="termico solar",Tabla4[[#This Row],[Utilidad Total]]*6%,Tabla4[[#This Row],[Utilidad Total]]*11.5%))/Tabla4[[#This Row],[Total]]</f>
        <v>#N/A</v>
      </c>
      <c r="V44" s="282" t="e">
        <f>+Tabla4[[#This Row],[Comisión Calculada]]*Tabla4[[#This Row],[Total]]</f>
        <v>#N/A</v>
      </c>
    </row>
    <row r="45" spans="1:22" hidden="1" x14ac:dyDescent="0.25">
      <c r="A45" s="100">
        <v>45672</v>
      </c>
      <c r="B45" t="str">
        <f t="shared" si="1"/>
        <v>January</v>
      </c>
      <c r="C45" s="46" t="s">
        <v>280</v>
      </c>
      <c r="F45" s="366" t="s">
        <v>691</v>
      </c>
      <c r="G45" s="46" t="s">
        <v>16</v>
      </c>
      <c r="H45" s="46">
        <v>2</v>
      </c>
      <c r="I45" s="51">
        <v>4103.8500000000004</v>
      </c>
      <c r="J45" s="281">
        <f>++Tabla4[[#This Row],[Precio Bruto]]*1.16</f>
        <v>4760.4660000000003</v>
      </c>
      <c r="K45" s="281">
        <f>+Tabla4[[#This Row],[Precio Unitario Neto]]*Tabla4[[#Headers],[20.85%]]</f>
        <v>992.55716100000006</v>
      </c>
      <c r="L45" s="282">
        <f>++Tabla4[[#This Row],[Precio Unitario Neto]]-Tabla4[[#This Row],[20.85%]]</f>
        <v>3767.9088390000002</v>
      </c>
      <c r="M45" s="282" t="e">
        <f>(INDEX(Tabla6[#All],MATCH(Tabla4[[#This Row],[Producto]],Tabla6[[#All],[PRODUCTO]],0),MATCH(Tabla4[[#This Row],[Mes]],Tabla6[#Headers],0)))*(1+Catalogos!$L$2)</f>
        <v>#N/A</v>
      </c>
      <c r="N45" s="283" t="e">
        <f>+(Tabla4[[#This Row],[Precio Descontado]]-Tabla4[[#This Row],[Precio Base]])*Tabla4[[#This Row],[Cantidad]]</f>
        <v>#N/A</v>
      </c>
      <c r="O45" s="284" t="e">
        <f>++Tabla4[[#This Row],[Utilidad Total]]/Tabla4[[#This Row],[Total]]</f>
        <v>#N/A</v>
      </c>
      <c r="P45" s="282">
        <f>++Tabla4[[#This Row],[Precio Descontado]]*Tabla4[[#This Row],[Cantidad]]</f>
        <v>7535.8176780000003</v>
      </c>
      <c r="Q45" s="282" t="e">
        <f>(INDEX(Tabla6[#All],MATCH(Tabla4[[#This Row],[Producto]],Tabla6[[#All],[PRODUCTO]],0),MATCH(Tabla4[[#This Row],[Mes]],Tabla6[#Headers],0)))</f>
        <v>#N/A</v>
      </c>
      <c r="R45" s="282" t="e">
        <f>++Tabla4[[#This Row],[Precio Unitario Neto]]-Tabla4[[#This Row],[20.85%]]-Tabla4[[#This Row],[Costo]]</f>
        <v>#N/A</v>
      </c>
      <c r="S45" s="282" t="e">
        <f>++Tabla4[[#This Row],[U. Bruta Uni]]*Tabla4[[#This Row],[Cantidad]]</f>
        <v>#N/A</v>
      </c>
      <c r="T45" s="369" t="str">
        <f>VLOOKUP(Tabla4[[#This Row],[Producto]],Tabla6[#All],14,FALSE)</f>
        <v>Termico Solar</v>
      </c>
      <c r="U45" s="284" t="e">
        <f>(IF(Tabla4[[#This Row],[Familia]]="termico solar",Tabla4[[#This Row],[Utilidad Total]]*6%,Tabla4[[#This Row],[Utilidad Total]]*11.5%))/Tabla4[[#This Row],[Total]]</f>
        <v>#N/A</v>
      </c>
      <c r="V45" s="282" t="e">
        <f>+Tabla4[[#This Row],[Comisión Calculada]]*Tabla4[[#This Row],[Total]]</f>
        <v>#N/A</v>
      </c>
    </row>
    <row r="46" spans="1:22" hidden="1" x14ac:dyDescent="0.25">
      <c r="A46" s="100">
        <v>45672</v>
      </c>
      <c r="B46" t="str">
        <f t="shared" si="1"/>
        <v>January</v>
      </c>
      <c r="C46" s="46" t="s">
        <v>280</v>
      </c>
      <c r="F46" s="366" t="s">
        <v>692</v>
      </c>
      <c r="G46" s="46" t="s">
        <v>208</v>
      </c>
      <c r="H46" s="46">
        <v>6</v>
      </c>
      <c r="I46" s="51">
        <v>189.75</v>
      </c>
      <c r="J46" s="281">
        <f>++Tabla4[[#This Row],[Precio Bruto]]*1.16</f>
        <v>220.10999999999999</v>
      </c>
      <c r="K46" s="281">
        <f>+Tabla4[[#This Row],[Precio Unitario Neto]]*Tabla4[[#Headers],[20.85%]]</f>
        <v>45.892934999999994</v>
      </c>
      <c r="L46" s="282">
        <f>++Tabla4[[#This Row],[Precio Unitario Neto]]-Tabla4[[#This Row],[20.85%]]</f>
        <v>174.21706499999999</v>
      </c>
      <c r="M46" s="282" t="e">
        <f>(INDEX(Tabla6[#All],MATCH(Tabla4[[#This Row],[Producto]],Tabla6[[#All],[PRODUCTO]],0),MATCH(Tabla4[[#This Row],[Mes]],Tabla6[#Headers],0)))*(1+Catalogos!$L$2)</f>
        <v>#N/A</v>
      </c>
      <c r="N46" s="283" t="e">
        <f>+(Tabla4[[#This Row],[Precio Descontado]]-Tabla4[[#This Row],[Precio Base]])*Tabla4[[#This Row],[Cantidad]]</f>
        <v>#N/A</v>
      </c>
      <c r="O46" s="284" t="e">
        <f>++Tabla4[[#This Row],[Utilidad Total]]/Tabla4[[#This Row],[Total]]</f>
        <v>#N/A</v>
      </c>
      <c r="P46" s="282">
        <f>++Tabla4[[#This Row],[Precio Descontado]]*Tabla4[[#This Row],[Cantidad]]</f>
        <v>1045.3023899999998</v>
      </c>
      <c r="Q46" s="282" t="e">
        <f>(INDEX(Tabla6[#All],MATCH(Tabla4[[#This Row],[Producto]],Tabla6[[#All],[PRODUCTO]],0),MATCH(Tabla4[[#This Row],[Mes]],Tabla6[#Headers],0)))</f>
        <v>#N/A</v>
      </c>
      <c r="R46" s="282" t="e">
        <f>++Tabla4[[#This Row],[Precio Unitario Neto]]-Tabla4[[#This Row],[20.85%]]-Tabla4[[#This Row],[Costo]]</f>
        <v>#N/A</v>
      </c>
      <c r="S46" s="282" t="e">
        <f>++Tabla4[[#This Row],[U. Bruta Uni]]*Tabla4[[#This Row],[Cantidad]]</f>
        <v>#N/A</v>
      </c>
      <c r="T46" s="369" t="str">
        <f>VLOOKUP(Tabla4[[#This Row],[Producto]],Tabla6[#All],14,FALSE)</f>
        <v>Termico Solar</v>
      </c>
      <c r="U46" s="284" t="e">
        <f>(IF(Tabla4[[#This Row],[Familia]]="termico solar",Tabla4[[#This Row],[Utilidad Total]]*6%,Tabla4[[#This Row],[Utilidad Total]]*11.5%))/Tabla4[[#This Row],[Total]]</f>
        <v>#N/A</v>
      </c>
      <c r="V46" s="282" t="e">
        <f>+Tabla4[[#This Row],[Comisión Calculada]]*Tabla4[[#This Row],[Total]]</f>
        <v>#N/A</v>
      </c>
    </row>
    <row r="47" spans="1:22" hidden="1" x14ac:dyDescent="0.25">
      <c r="A47" s="100">
        <v>45672</v>
      </c>
      <c r="B47" t="str">
        <f t="shared" si="1"/>
        <v>January</v>
      </c>
      <c r="C47" s="46" t="s">
        <v>280</v>
      </c>
      <c r="F47" s="366" t="s">
        <v>693</v>
      </c>
      <c r="G47" s="46" t="s">
        <v>208</v>
      </c>
      <c r="H47" s="46">
        <v>1</v>
      </c>
      <c r="I47" s="51">
        <v>189.75</v>
      </c>
      <c r="J47" s="281">
        <f>++Tabla4[[#This Row],[Precio Bruto]]*1.16</f>
        <v>220.10999999999999</v>
      </c>
      <c r="K47" s="281">
        <f>+Tabla4[[#This Row],[Precio Unitario Neto]]*Tabla4[[#Headers],[20.85%]]</f>
        <v>45.892934999999994</v>
      </c>
      <c r="L47" s="282">
        <f>++Tabla4[[#This Row],[Precio Unitario Neto]]-Tabla4[[#This Row],[20.85%]]</f>
        <v>174.21706499999999</v>
      </c>
      <c r="M47" s="282" t="e">
        <f>(INDEX(Tabla6[#All],MATCH(Tabla4[[#This Row],[Producto]],Tabla6[[#All],[PRODUCTO]],0),MATCH(Tabla4[[#This Row],[Mes]],Tabla6[#Headers],0)))*(1+Catalogos!$L$2)</f>
        <v>#N/A</v>
      </c>
      <c r="N47" s="283" t="e">
        <f>+(Tabla4[[#This Row],[Precio Descontado]]-Tabla4[[#This Row],[Precio Base]])*Tabla4[[#This Row],[Cantidad]]</f>
        <v>#N/A</v>
      </c>
      <c r="O47" s="284" t="e">
        <f>++Tabla4[[#This Row],[Utilidad Total]]/Tabla4[[#This Row],[Total]]</f>
        <v>#N/A</v>
      </c>
      <c r="P47" s="282">
        <f>++Tabla4[[#This Row],[Precio Descontado]]*Tabla4[[#This Row],[Cantidad]]</f>
        <v>174.21706499999999</v>
      </c>
      <c r="Q47" s="282" t="e">
        <f>(INDEX(Tabla6[#All],MATCH(Tabla4[[#This Row],[Producto]],Tabla6[[#All],[PRODUCTO]],0),MATCH(Tabla4[[#This Row],[Mes]],Tabla6[#Headers],0)))</f>
        <v>#N/A</v>
      </c>
      <c r="R47" s="282" t="e">
        <f>++Tabla4[[#This Row],[Precio Unitario Neto]]-Tabla4[[#This Row],[20.85%]]-Tabla4[[#This Row],[Costo]]</f>
        <v>#N/A</v>
      </c>
      <c r="S47" s="282" t="e">
        <f>++Tabla4[[#This Row],[U. Bruta Uni]]*Tabla4[[#This Row],[Cantidad]]</f>
        <v>#N/A</v>
      </c>
      <c r="T47" s="369" t="str">
        <f>VLOOKUP(Tabla4[[#This Row],[Producto]],Tabla6[#All],14,FALSE)</f>
        <v>Termico Solar</v>
      </c>
      <c r="U47" s="284" t="e">
        <f>(IF(Tabla4[[#This Row],[Familia]]="termico solar",Tabla4[[#This Row],[Utilidad Total]]*6%,Tabla4[[#This Row],[Utilidad Total]]*11.5%))/Tabla4[[#This Row],[Total]]</f>
        <v>#N/A</v>
      </c>
      <c r="V47" s="282" t="e">
        <f>+Tabla4[[#This Row],[Comisión Calculada]]*Tabla4[[#This Row],[Total]]</f>
        <v>#N/A</v>
      </c>
    </row>
    <row r="48" spans="1:22" hidden="1" x14ac:dyDescent="0.25">
      <c r="A48" s="100">
        <v>45672</v>
      </c>
      <c r="B48" t="str">
        <f t="shared" si="1"/>
        <v>January</v>
      </c>
      <c r="C48" s="46" t="s">
        <v>280</v>
      </c>
      <c r="F48" s="366" t="s">
        <v>693</v>
      </c>
      <c r="G48" s="46" t="s">
        <v>209</v>
      </c>
      <c r="H48" s="46">
        <v>1</v>
      </c>
      <c r="I48" s="51">
        <v>347.48</v>
      </c>
      <c r="J48" s="281">
        <f>++Tabla4[[#This Row],[Precio Bruto]]*1.16</f>
        <v>403.07679999999999</v>
      </c>
      <c r="K48" s="281">
        <f>+Tabla4[[#This Row],[Precio Unitario Neto]]*Tabla4[[#Headers],[20.85%]]</f>
        <v>84.041512799999992</v>
      </c>
      <c r="L48" s="282">
        <f>++Tabla4[[#This Row],[Precio Unitario Neto]]-Tabla4[[#This Row],[20.85%]]</f>
        <v>319.03528719999997</v>
      </c>
      <c r="M48" s="282" t="e">
        <f>(INDEX(Tabla6[#All],MATCH(Tabla4[[#This Row],[Producto]],Tabla6[[#All],[PRODUCTO]],0),MATCH(Tabla4[[#This Row],[Mes]],Tabla6[#Headers],0)))*(1+Catalogos!$L$2)</f>
        <v>#N/A</v>
      </c>
      <c r="N48" s="283" t="e">
        <f>+(Tabla4[[#This Row],[Precio Descontado]]-Tabla4[[#This Row],[Precio Base]])*Tabla4[[#This Row],[Cantidad]]</f>
        <v>#N/A</v>
      </c>
      <c r="O48" s="284" t="e">
        <f>++Tabla4[[#This Row],[Utilidad Total]]/Tabla4[[#This Row],[Total]]</f>
        <v>#N/A</v>
      </c>
      <c r="P48" s="282">
        <f>++Tabla4[[#This Row],[Precio Descontado]]*Tabla4[[#This Row],[Cantidad]]</f>
        <v>319.03528719999997</v>
      </c>
      <c r="Q48" s="282" t="e">
        <f>(INDEX(Tabla6[#All],MATCH(Tabla4[[#This Row],[Producto]],Tabla6[[#All],[PRODUCTO]],0),MATCH(Tabla4[[#This Row],[Mes]],Tabla6[#Headers],0)))</f>
        <v>#N/A</v>
      </c>
      <c r="R48" s="282" t="e">
        <f>++Tabla4[[#This Row],[Precio Unitario Neto]]-Tabla4[[#This Row],[20.85%]]-Tabla4[[#This Row],[Costo]]</f>
        <v>#N/A</v>
      </c>
      <c r="S48" s="282" t="e">
        <f>++Tabla4[[#This Row],[U. Bruta Uni]]*Tabla4[[#This Row],[Cantidad]]</f>
        <v>#N/A</v>
      </c>
      <c r="T48" s="369" t="str">
        <f>VLOOKUP(Tabla4[[#This Row],[Producto]],Tabla6[#All],14,FALSE)</f>
        <v>Termico Solar</v>
      </c>
      <c r="U48" s="284" t="e">
        <f>(IF(Tabla4[[#This Row],[Familia]]="termico solar",Tabla4[[#This Row],[Utilidad Total]]*6%,Tabla4[[#This Row],[Utilidad Total]]*11.5%))/Tabla4[[#This Row],[Total]]</f>
        <v>#N/A</v>
      </c>
      <c r="V48" s="282" t="e">
        <f>+Tabla4[[#This Row],[Comisión Calculada]]*Tabla4[[#This Row],[Total]]</f>
        <v>#N/A</v>
      </c>
    </row>
    <row r="49" spans="1:22" hidden="1" x14ac:dyDescent="0.25">
      <c r="A49" s="100">
        <v>45672</v>
      </c>
      <c r="B49" t="str">
        <f t="shared" si="1"/>
        <v>January</v>
      </c>
      <c r="C49" s="46" t="s">
        <v>280</v>
      </c>
      <c r="F49" s="366" t="s">
        <v>694</v>
      </c>
      <c r="G49" s="46" t="s">
        <v>17</v>
      </c>
      <c r="H49" s="46">
        <v>1</v>
      </c>
      <c r="I49" s="51">
        <v>4622.28</v>
      </c>
      <c r="J49" s="281">
        <f>++Tabla4[[#This Row],[Precio Bruto]]*1.16</f>
        <v>5361.8447999999989</v>
      </c>
      <c r="K49" s="281">
        <f>+Tabla4[[#This Row],[Precio Unitario Neto]]*Tabla4[[#Headers],[20.85%]]</f>
        <v>1117.9446407999997</v>
      </c>
      <c r="L49" s="282">
        <f>++Tabla4[[#This Row],[Precio Unitario Neto]]-Tabla4[[#This Row],[20.85%]]</f>
        <v>4243.9001591999995</v>
      </c>
      <c r="M49" s="282" t="e">
        <f>(INDEX(Tabla6[#All],MATCH(Tabla4[[#This Row],[Producto]],Tabla6[[#All],[PRODUCTO]],0),MATCH(Tabla4[[#This Row],[Mes]],Tabla6[#Headers],0)))*(1+Catalogos!$L$2)</f>
        <v>#N/A</v>
      </c>
      <c r="N49" s="283" t="e">
        <f>+(Tabla4[[#This Row],[Precio Descontado]]-Tabla4[[#This Row],[Precio Base]])*Tabla4[[#This Row],[Cantidad]]</f>
        <v>#N/A</v>
      </c>
      <c r="O49" s="284" t="e">
        <f>++Tabla4[[#This Row],[Utilidad Total]]/Tabla4[[#This Row],[Total]]</f>
        <v>#N/A</v>
      </c>
      <c r="P49" s="282">
        <f>++Tabla4[[#This Row],[Precio Descontado]]*Tabla4[[#This Row],[Cantidad]]</f>
        <v>4243.9001591999995</v>
      </c>
      <c r="Q49" s="282" t="e">
        <f>(INDEX(Tabla6[#All],MATCH(Tabla4[[#This Row],[Producto]],Tabla6[[#All],[PRODUCTO]],0),MATCH(Tabla4[[#This Row],[Mes]],Tabla6[#Headers],0)))</f>
        <v>#N/A</v>
      </c>
      <c r="R49" s="282" t="e">
        <f>++Tabla4[[#This Row],[Precio Unitario Neto]]-Tabla4[[#This Row],[20.85%]]-Tabla4[[#This Row],[Costo]]</f>
        <v>#N/A</v>
      </c>
      <c r="S49" s="282" t="e">
        <f>++Tabla4[[#This Row],[U. Bruta Uni]]*Tabla4[[#This Row],[Cantidad]]</f>
        <v>#N/A</v>
      </c>
      <c r="T49" s="369" t="str">
        <f>VLOOKUP(Tabla4[[#This Row],[Producto]],Tabla6[#All],14,FALSE)</f>
        <v>Termico Solar</v>
      </c>
      <c r="U49" s="284" t="e">
        <f>(IF(Tabla4[[#This Row],[Familia]]="termico solar",Tabla4[[#This Row],[Utilidad Total]]*6%,Tabla4[[#This Row],[Utilidad Total]]*11.5%))/Tabla4[[#This Row],[Total]]</f>
        <v>#N/A</v>
      </c>
      <c r="V49" s="282" t="e">
        <f>+Tabla4[[#This Row],[Comisión Calculada]]*Tabla4[[#This Row],[Total]]</f>
        <v>#N/A</v>
      </c>
    </row>
    <row r="50" spans="1:22" hidden="1" x14ac:dyDescent="0.25">
      <c r="A50" s="100">
        <v>45672</v>
      </c>
      <c r="B50" t="str">
        <f t="shared" si="1"/>
        <v>January</v>
      </c>
      <c r="C50" s="46" t="s">
        <v>280</v>
      </c>
      <c r="F50" s="366" t="s">
        <v>694</v>
      </c>
      <c r="G50" s="46" t="s">
        <v>19</v>
      </c>
      <c r="H50" s="46">
        <v>2</v>
      </c>
      <c r="I50" s="51">
        <v>6412.03</v>
      </c>
      <c r="J50" s="281">
        <f>++Tabla4[[#This Row],[Precio Bruto]]*1.16</f>
        <v>7437.9547999999995</v>
      </c>
      <c r="K50" s="281">
        <f>+Tabla4[[#This Row],[Precio Unitario Neto]]*Tabla4[[#Headers],[20.85%]]</f>
        <v>1550.8135757999999</v>
      </c>
      <c r="L50" s="282">
        <f>++Tabla4[[#This Row],[Precio Unitario Neto]]-Tabla4[[#This Row],[20.85%]]</f>
        <v>5887.1412241999997</v>
      </c>
      <c r="M50" s="282" t="e">
        <f>(INDEX(Tabla6[#All],MATCH(Tabla4[[#This Row],[Producto]],Tabla6[[#All],[PRODUCTO]],0),MATCH(Tabla4[[#This Row],[Mes]],Tabla6[#Headers],0)))*(1+Catalogos!$L$2)</f>
        <v>#N/A</v>
      </c>
      <c r="N50" s="283" t="e">
        <f>+(Tabla4[[#This Row],[Precio Descontado]]-Tabla4[[#This Row],[Precio Base]])*Tabla4[[#This Row],[Cantidad]]</f>
        <v>#N/A</v>
      </c>
      <c r="O50" s="284" t="e">
        <f>++Tabla4[[#This Row],[Utilidad Total]]/Tabla4[[#This Row],[Total]]</f>
        <v>#N/A</v>
      </c>
      <c r="P50" s="282">
        <f>++Tabla4[[#This Row],[Precio Descontado]]*Tabla4[[#This Row],[Cantidad]]</f>
        <v>11774.282448399999</v>
      </c>
      <c r="Q50" s="282" t="e">
        <f>(INDEX(Tabla6[#All],MATCH(Tabla4[[#This Row],[Producto]],Tabla6[[#All],[PRODUCTO]],0),MATCH(Tabla4[[#This Row],[Mes]],Tabla6[#Headers],0)))</f>
        <v>#N/A</v>
      </c>
      <c r="R50" s="282" t="e">
        <f>++Tabla4[[#This Row],[Precio Unitario Neto]]-Tabla4[[#This Row],[20.85%]]-Tabla4[[#This Row],[Costo]]</f>
        <v>#N/A</v>
      </c>
      <c r="S50" s="282" t="e">
        <f>++Tabla4[[#This Row],[U. Bruta Uni]]*Tabla4[[#This Row],[Cantidad]]</f>
        <v>#N/A</v>
      </c>
      <c r="T50" s="369" t="str">
        <f>VLOOKUP(Tabla4[[#This Row],[Producto]],Tabla6[#All],14,FALSE)</f>
        <v>Termico Solar</v>
      </c>
      <c r="U50" s="284" t="e">
        <f>(IF(Tabla4[[#This Row],[Familia]]="termico solar",Tabla4[[#This Row],[Utilidad Total]]*6%,Tabla4[[#This Row],[Utilidad Total]]*11.5%))/Tabla4[[#This Row],[Total]]</f>
        <v>#N/A</v>
      </c>
      <c r="V50" s="282" t="e">
        <f>+Tabla4[[#This Row],[Comisión Calculada]]*Tabla4[[#This Row],[Total]]</f>
        <v>#N/A</v>
      </c>
    </row>
    <row r="51" spans="1:22" hidden="1" x14ac:dyDescent="0.25">
      <c r="A51" s="100">
        <v>45672</v>
      </c>
      <c r="B51" t="str">
        <f t="shared" si="1"/>
        <v>January</v>
      </c>
      <c r="C51" s="46" t="s">
        <v>280</v>
      </c>
      <c r="F51" s="366" t="s">
        <v>694</v>
      </c>
      <c r="G51" s="46" t="s">
        <v>208</v>
      </c>
      <c r="H51" s="46">
        <v>1</v>
      </c>
      <c r="I51" s="51">
        <v>189.75</v>
      </c>
      <c r="J51" s="281">
        <f>++Tabla4[[#This Row],[Precio Bruto]]*1.16</f>
        <v>220.10999999999999</v>
      </c>
      <c r="K51" s="281">
        <f>+Tabla4[[#This Row],[Precio Unitario Neto]]*Tabla4[[#Headers],[20.85%]]</f>
        <v>45.892934999999994</v>
      </c>
      <c r="L51" s="282">
        <f>++Tabla4[[#This Row],[Precio Unitario Neto]]-Tabla4[[#This Row],[20.85%]]</f>
        <v>174.21706499999999</v>
      </c>
      <c r="M51" s="282" t="e">
        <f>(INDEX(Tabla6[#All],MATCH(Tabla4[[#This Row],[Producto]],Tabla6[[#All],[PRODUCTO]],0),MATCH(Tabla4[[#This Row],[Mes]],Tabla6[#Headers],0)))*(1+Catalogos!$L$2)</f>
        <v>#N/A</v>
      </c>
      <c r="N51" s="283" t="e">
        <f>+(Tabla4[[#This Row],[Precio Descontado]]-Tabla4[[#This Row],[Precio Base]])*Tabla4[[#This Row],[Cantidad]]</f>
        <v>#N/A</v>
      </c>
      <c r="O51" s="284" t="e">
        <f>++Tabla4[[#This Row],[Utilidad Total]]/Tabla4[[#This Row],[Total]]</f>
        <v>#N/A</v>
      </c>
      <c r="P51" s="282">
        <f>++Tabla4[[#This Row],[Precio Descontado]]*Tabla4[[#This Row],[Cantidad]]</f>
        <v>174.21706499999999</v>
      </c>
      <c r="Q51" s="282" t="e">
        <f>(INDEX(Tabla6[#All],MATCH(Tabla4[[#This Row],[Producto]],Tabla6[[#All],[PRODUCTO]],0),MATCH(Tabla4[[#This Row],[Mes]],Tabla6[#Headers],0)))</f>
        <v>#N/A</v>
      </c>
      <c r="R51" s="282" t="e">
        <f>++Tabla4[[#This Row],[Precio Unitario Neto]]-Tabla4[[#This Row],[20.85%]]-Tabla4[[#This Row],[Costo]]</f>
        <v>#N/A</v>
      </c>
      <c r="S51" s="282" t="e">
        <f>++Tabla4[[#This Row],[U. Bruta Uni]]*Tabla4[[#This Row],[Cantidad]]</f>
        <v>#N/A</v>
      </c>
      <c r="T51" s="369" t="str">
        <f>VLOOKUP(Tabla4[[#This Row],[Producto]],Tabla6[#All],14,FALSE)</f>
        <v>Termico Solar</v>
      </c>
      <c r="U51" s="284" t="e">
        <f>(IF(Tabla4[[#This Row],[Familia]]="termico solar",Tabla4[[#This Row],[Utilidad Total]]*6%,Tabla4[[#This Row],[Utilidad Total]]*11.5%))/Tabla4[[#This Row],[Total]]</f>
        <v>#N/A</v>
      </c>
      <c r="V51" s="282" t="e">
        <f>+Tabla4[[#This Row],[Comisión Calculada]]*Tabla4[[#This Row],[Total]]</f>
        <v>#N/A</v>
      </c>
    </row>
    <row r="52" spans="1:22" hidden="1" x14ac:dyDescent="0.25">
      <c r="A52" s="100">
        <v>45672</v>
      </c>
      <c r="B52" t="str">
        <f t="shared" si="1"/>
        <v>January</v>
      </c>
      <c r="C52" s="46" t="s">
        <v>280</v>
      </c>
      <c r="F52" s="366" t="s">
        <v>694</v>
      </c>
      <c r="G52" s="46" t="s">
        <v>209</v>
      </c>
      <c r="H52" s="46">
        <v>1</v>
      </c>
      <c r="I52" s="51">
        <v>347.48</v>
      </c>
      <c r="J52" s="281">
        <f>++Tabla4[[#This Row],[Precio Bruto]]*1.16</f>
        <v>403.07679999999999</v>
      </c>
      <c r="K52" s="281">
        <f>+Tabla4[[#This Row],[Precio Unitario Neto]]*Tabla4[[#Headers],[20.85%]]</f>
        <v>84.041512799999992</v>
      </c>
      <c r="L52" s="282">
        <f>++Tabla4[[#This Row],[Precio Unitario Neto]]-Tabla4[[#This Row],[20.85%]]</f>
        <v>319.03528719999997</v>
      </c>
      <c r="M52" s="282" t="e">
        <f>(INDEX(Tabla6[#All],MATCH(Tabla4[[#This Row],[Producto]],Tabla6[[#All],[PRODUCTO]],0),MATCH(Tabla4[[#This Row],[Mes]],Tabla6[#Headers],0)))*(1+Catalogos!$L$2)</f>
        <v>#N/A</v>
      </c>
      <c r="N52" s="283" t="e">
        <f>+(Tabla4[[#This Row],[Precio Descontado]]-Tabla4[[#This Row],[Precio Base]])*Tabla4[[#This Row],[Cantidad]]</f>
        <v>#N/A</v>
      </c>
      <c r="O52" s="284" t="e">
        <f>++Tabla4[[#This Row],[Utilidad Total]]/Tabla4[[#This Row],[Total]]</f>
        <v>#N/A</v>
      </c>
      <c r="P52" s="282">
        <f>++Tabla4[[#This Row],[Precio Descontado]]*Tabla4[[#This Row],[Cantidad]]</f>
        <v>319.03528719999997</v>
      </c>
      <c r="Q52" s="282" t="e">
        <f>(INDEX(Tabla6[#All],MATCH(Tabla4[[#This Row],[Producto]],Tabla6[[#All],[PRODUCTO]],0),MATCH(Tabla4[[#This Row],[Mes]],Tabla6[#Headers],0)))</f>
        <v>#N/A</v>
      </c>
      <c r="R52" s="282" t="e">
        <f>++Tabla4[[#This Row],[Precio Unitario Neto]]-Tabla4[[#This Row],[20.85%]]-Tabla4[[#This Row],[Costo]]</f>
        <v>#N/A</v>
      </c>
      <c r="S52" s="282" t="e">
        <f>++Tabla4[[#This Row],[U. Bruta Uni]]*Tabla4[[#This Row],[Cantidad]]</f>
        <v>#N/A</v>
      </c>
      <c r="T52" s="369" t="str">
        <f>VLOOKUP(Tabla4[[#This Row],[Producto]],Tabla6[#All],14,FALSE)</f>
        <v>Termico Solar</v>
      </c>
      <c r="U52" s="284" t="e">
        <f>(IF(Tabla4[[#This Row],[Familia]]="termico solar",Tabla4[[#This Row],[Utilidad Total]]*6%,Tabla4[[#This Row],[Utilidad Total]]*11.5%))/Tabla4[[#This Row],[Total]]</f>
        <v>#N/A</v>
      </c>
      <c r="V52" s="282" t="e">
        <f>+Tabla4[[#This Row],[Comisión Calculada]]*Tabla4[[#This Row],[Total]]</f>
        <v>#N/A</v>
      </c>
    </row>
    <row r="53" spans="1:22" hidden="1" x14ac:dyDescent="0.25">
      <c r="A53" s="100">
        <v>45672</v>
      </c>
      <c r="B53" t="str">
        <f t="shared" si="1"/>
        <v>January</v>
      </c>
      <c r="C53" s="46" t="s">
        <v>280</v>
      </c>
      <c r="F53" s="366" t="s">
        <v>695</v>
      </c>
      <c r="G53" s="46" t="s">
        <v>566</v>
      </c>
      <c r="H53" s="46">
        <v>1</v>
      </c>
      <c r="I53" s="51">
        <v>2109.4499999999998</v>
      </c>
      <c r="J53" s="281">
        <f>++Tabla4[[#This Row],[Precio Bruto]]*1.16</f>
        <v>2446.9619999999995</v>
      </c>
      <c r="K53" s="281">
        <f>+Tabla4[[#This Row],[Precio Unitario Neto]]*Tabla4[[#Headers],[20.85%]]</f>
        <v>510.19157699999988</v>
      </c>
      <c r="L53" s="282">
        <f>++Tabla4[[#This Row],[Precio Unitario Neto]]-Tabla4[[#This Row],[20.85%]]</f>
        <v>1936.7704229999997</v>
      </c>
      <c r="M53" s="282" t="e">
        <f>(INDEX(Tabla6[#All],MATCH(Tabla4[[#This Row],[Producto]],Tabla6[[#All],[PRODUCTO]],0),MATCH(Tabla4[[#This Row],[Mes]],Tabla6[#Headers],0)))*(1+Catalogos!$L$2)</f>
        <v>#N/A</v>
      </c>
      <c r="N53" s="283" t="e">
        <f>+(Tabla4[[#This Row],[Precio Descontado]]-Tabla4[[#This Row],[Precio Base]])*Tabla4[[#This Row],[Cantidad]]</f>
        <v>#N/A</v>
      </c>
      <c r="O53" s="284" t="e">
        <f>++Tabla4[[#This Row],[Utilidad Total]]/Tabla4[[#This Row],[Total]]</f>
        <v>#N/A</v>
      </c>
      <c r="P53" s="282">
        <f>++Tabla4[[#This Row],[Precio Descontado]]*Tabla4[[#This Row],[Cantidad]]</f>
        <v>1936.7704229999997</v>
      </c>
      <c r="Q53" s="282" t="e">
        <f>(INDEX(Tabla6[#All],MATCH(Tabla4[[#This Row],[Producto]],Tabla6[[#All],[PRODUCTO]],0),MATCH(Tabla4[[#This Row],[Mes]],Tabla6[#Headers],0)))</f>
        <v>#N/A</v>
      </c>
      <c r="R53" s="282" t="e">
        <f>++Tabla4[[#This Row],[Precio Unitario Neto]]-Tabla4[[#This Row],[20.85%]]-Tabla4[[#This Row],[Costo]]</f>
        <v>#N/A</v>
      </c>
      <c r="S53" s="282" t="e">
        <f>++Tabla4[[#This Row],[U. Bruta Uni]]*Tabla4[[#This Row],[Cantidad]]</f>
        <v>#N/A</v>
      </c>
      <c r="T53" s="369" t="str">
        <f>VLOOKUP(Tabla4[[#This Row],[Producto]],Tabla6[#All],14,FALSE)</f>
        <v>Termico Solar</v>
      </c>
      <c r="U53" s="284" t="e">
        <f>(IF(Tabla4[[#This Row],[Familia]]="termico solar",Tabla4[[#This Row],[Utilidad Total]]*6%,Tabla4[[#This Row],[Utilidad Total]]*11.5%))/Tabla4[[#This Row],[Total]]</f>
        <v>#N/A</v>
      </c>
      <c r="V53" s="282" t="e">
        <f>+Tabla4[[#This Row],[Comisión Calculada]]*Tabla4[[#This Row],[Total]]</f>
        <v>#N/A</v>
      </c>
    </row>
    <row r="54" spans="1:22" hidden="1" x14ac:dyDescent="0.25">
      <c r="A54" s="100">
        <v>45672</v>
      </c>
      <c r="B54" t="str">
        <f t="shared" si="1"/>
        <v>January</v>
      </c>
      <c r="C54" s="46" t="s">
        <v>280</v>
      </c>
      <c r="F54" s="366" t="s">
        <v>695</v>
      </c>
      <c r="G54" s="46" t="s">
        <v>16</v>
      </c>
      <c r="H54" s="46">
        <v>2</v>
      </c>
      <c r="I54" s="51">
        <v>4103.8500000000004</v>
      </c>
      <c r="J54" s="281">
        <f>++Tabla4[[#This Row],[Precio Bruto]]*1.16</f>
        <v>4760.4660000000003</v>
      </c>
      <c r="K54" s="281">
        <f>+Tabla4[[#This Row],[Precio Unitario Neto]]*Tabla4[[#Headers],[20.85%]]</f>
        <v>992.55716100000006</v>
      </c>
      <c r="L54" s="282">
        <f>++Tabla4[[#This Row],[Precio Unitario Neto]]-Tabla4[[#This Row],[20.85%]]</f>
        <v>3767.9088390000002</v>
      </c>
      <c r="M54" s="282" t="e">
        <f>(INDEX(Tabla6[#All],MATCH(Tabla4[[#This Row],[Producto]],Tabla6[[#All],[PRODUCTO]],0),MATCH(Tabla4[[#This Row],[Mes]],Tabla6[#Headers],0)))*(1+Catalogos!$L$2)</f>
        <v>#N/A</v>
      </c>
      <c r="N54" s="283" t="e">
        <f>+(Tabla4[[#This Row],[Precio Descontado]]-Tabla4[[#This Row],[Precio Base]])*Tabla4[[#This Row],[Cantidad]]</f>
        <v>#N/A</v>
      </c>
      <c r="O54" s="284" t="e">
        <f>++Tabla4[[#This Row],[Utilidad Total]]/Tabla4[[#This Row],[Total]]</f>
        <v>#N/A</v>
      </c>
      <c r="P54" s="282">
        <f>++Tabla4[[#This Row],[Precio Descontado]]*Tabla4[[#This Row],[Cantidad]]</f>
        <v>7535.8176780000003</v>
      </c>
      <c r="Q54" s="282" t="e">
        <f>(INDEX(Tabla6[#All],MATCH(Tabla4[[#This Row],[Producto]],Tabla6[[#All],[PRODUCTO]],0),MATCH(Tabla4[[#This Row],[Mes]],Tabla6[#Headers],0)))</f>
        <v>#N/A</v>
      </c>
      <c r="R54" s="282" t="e">
        <f>++Tabla4[[#This Row],[Precio Unitario Neto]]-Tabla4[[#This Row],[20.85%]]-Tabla4[[#This Row],[Costo]]</f>
        <v>#N/A</v>
      </c>
      <c r="S54" s="282" t="e">
        <f>++Tabla4[[#This Row],[U. Bruta Uni]]*Tabla4[[#This Row],[Cantidad]]</f>
        <v>#N/A</v>
      </c>
      <c r="T54" s="369" t="str">
        <f>VLOOKUP(Tabla4[[#This Row],[Producto]],Tabla6[#All],14,FALSE)</f>
        <v>Termico Solar</v>
      </c>
      <c r="U54" s="284" t="e">
        <f>(IF(Tabla4[[#This Row],[Familia]]="termico solar",Tabla4[[#This Row],[Utilidad Total]]*6%,Tabla4[[#This Row],[Utilidad Total]]*11.5%))/Tabla4[[#This Row],[Total]]</f>
        <v>#N/A</v>
      </c>
      <c r="V54" s="282" t="e">
        <f>+Tabla4[[#This Row],[Comisión Calculada]]*Tabla4[[#This Row],[Total]]</f>
        <v>#N/A</v>
      </c>
    </row>
    <row r="55" spans="1:22" hidden="1" x14ac:dyDescent="0.25">
      <c r="A55" s="100">
        <v>45672</v>
      </c>
      <c r="B55" t="str">
        <f t="shared" si="1"/>
        <v>January</v>
      </c>
      <c r="C55" s="46" t="s">
        <v>280</v>
      </c>
      <c r="F55" s="366" t="s">
        <v>696</v>
      </c>
      <c r="G55" s="46" t="s">
        <v>208</v>
      </c>
      <c r="H55" s="46">
        <v>3</v>
      </c>
      <c r="I55" s="51">
        <v>189.75</v>
      </c>
      <c r="J55" s="281">
        <f>++Tabla4[[#This Row],[Precio Bruto]]*1.16</f>
        <v>220.10999999999999</v>
      </c>
      <c r="K55" s="281">
        <f>+Tabla4[[#This Row],[Precio Unitario Neto]]*Tabla4[[#Headers],[20.85%]]</f>
        <v>45.892934999999994</v>
      </c>
      <c r="L55" s="282">
        <f>++Tabla4[[#This Row],[Precio Unitario Neto]]-Tabla4[[#This Row],[20.85%]]</f>
        <v>174.21706499999999</v>
      </c>
      <c r="M55" s="282" t="e">
        <f>(INDEX(Tabla6[#All],MATCH(Tabla4[[#This Row],[Producto]],Tabla6[[#All],[PRODUCTO]],0),MATCH(Tabla4[[#This Row],[Mes]],Tabla6[#Headers],0)))*(1+Catalogos!$L$2)</f>
        <v>#N/A</v>
      </c>
      <c r="N55" s="283" t="e">
        <f>+(Tabla4[[#This Row],[Precio Descontado]]-Tabla4[[#This Row],[Precio Base]])*Tabla4[[#This Row],[Cantidad]]</f>
        <v>#N/A</v>
      </c>
      <c r="O55" s="284" t="e">
        <f>++Tabla4[[#This Row],[Utilidad Total]]/Tabla4[[#This Row],[Total]]</f>
        <v>#N/A</v>
      </c>
      <c r="P55" s="282">
        <f>++Tabla4[[#This Row],[Precio Descontado]]*Tabla4[[#This Row],[Cantidad]]</f>
        <v>522.65119499999992</v>
      </c>
      <c r="Q55" s="282" t="e">
        <f>(INDEX(Tabla6[#All],MATCH(Tabla4[[#This Row],[Producto]],Tabla6[[#All],[PRODUCTO]],0),MATCH(Tabla4[[#This Row],[Mes]],Tabla6[#Headers],0)))</f>
        <v>#N/A</v>
      </c>
      <c r="R55" s="282" t="e">
        <f>++Tabla4[[#This Row],[Precio Unitario Neto]]-Tabla4[[#This Row],[20.85%]]-Tabla4[[#This Row],[Costo]]</f>
        <v>#N/A</v>
      </c>
      <c r="S55" s="282" t="e">
        <f>++Tabla4[[#This Row],[U. Bruta Uni]]*Tabla4[[#This Row],[Cantidad]]</f>
        <v>#N/A</v>
      </c>
      <c r="T55" s="369" t="str">
        <f>VLOOKUP(Tabla4[[#This Row],[Producto]],Tabla6[#All],14,FALSE)</f>
        <v>Termico Solar</v>
      </c>
      <c r="U55" s="284" t="e">
        <f>(IF(Tabla4[[#This Row],[Familia]]="termico solar",Tabla4[[#This Row],[Utilidad Total]]*6%,Tabla4[[#This Row],[Utilidad Total]]*11.5%))/Tabla4[[#This Row],[Total]]</f>
        <v>#N/A</v>
      </c>
      <c r="V55" s="282" t="e">
        <f>+Tabla4[[#This Row],[Comisión Calculada]]*Tabla4[[#This Row],[Total]]</f>
        <v>#N/A</v>
      </c>
    </row>
    <row r="56" spans="1:22" hidden="1" x14ac:dyDescent="0.25">
      <c r="A56" s="100">
        <v>45672</v>
      </c>
      <c r="B56" t="str">
        <f t="shared" si="1"/>
        <v>January</v>
      </c>
      <c r="C56" s="46" t="s">
        <v>280</v>
      </c>
      <c r="F56" s="366" t="s">
        <v>696</v>
      </c>
      <c r="G56" s="46" t="s">
        <v>209</v>
      </c>
      <c r="H56" s="46">
        <v>3</v>
      </c>
      <c r="I56" s="51">
        <v>347.48</v>
      </c>
      <c r="J56" s="281">
        <f>++Tabla4[[#This Row],[Precio Bruto]]*1.16</f>
        <v>403.07679999999999</v>
      </c>
      <c r="K56" s="281">
        <f>+Tabla4[[#This Row],[Precio Unitario Neto]]*Tabla4[[#Headers],[20.85%]]</f>
        <v>84.041512799999992</v>
      </c>
      <c r="L56" s="282">
        <f>++Tabla4[[#This Row],[Precio Unitario Neto]]-Tabla4[[#This Row],[20.85%]]</f>
        <v>319.03528719999997</v>
      </c>
      <c r="M56" s="282" t="e">
        <f>(INDEX(Tabla6[#All],MATCH(Tabla4[[#This Row],[Producto]],Tabla6[[#All],[PRODUCTO]],0),MATCH(Tabla4[[#This Row],[Mes]],Tabla6[#Headers],0)))*(1+Catalogos!$L$2)</f>
        <v>#N/A</v>
      </c>
      <c r="N56" s="283" t="e">
        <f>+(Tabla4[[#This Row],[Precio Descontado]]-Tabla4[[#This Row],[Precio Base]])*Tabla4[[#This Row],[Cantidad]]</f>
        <v>#N/A</v>
      </c>
      <c r="O56" s="284" t="e">
        <f>++Tabla4[[#This Row],[Utilidad Total]]/Tabla4[[#This Row],[Total]]</f>
        <v>#N/A</v>
      </c>
      <c r="P56" s="282">
        <f>++Tabla4[[#This Row],[Precio Descontado]]*Tabla4[[#This Row],[Cantidad]]</f>
        <v>957.10586159999991</v>
      </c>
      <c r="Q56" s="282" t="e">
        <f>(INDEX(Tabla6[#All],MATCH(Tabla4[[#This Row],[Producto]],Tabla6[[#All],[PRODUCTO]],0),MATCH(Tabla4[[#This Row],[Mes]],Tabla6[#Headers],0)))</f>
        <v>#N/A</v>
      </c>
      <c r="R56" s="282" t="e">
        <f>++Tabla4[[#This Row],[Precio Unitario Neto]]-Tabla4[[#This Row],[20.85%]]-Tabla4[[#This Row],[Costo]]</f>
        <v>#N/A</v>
      </c>
      <c r="S56" s="282" t="e">
        <f>++Tabla4[[#This Row],[U. Bruta Uni]]*Tabla4[[#This Row],[Cantidad]]</f>
        <v>#N/A</v>
      </c>
      <c r="T56" s="369" t="str">
        <f>VLOOKUP(Tabla4[[#This Row],[Producto]],Tabla6[#All],14,FALSE)</f>
        <v>Termico Solar</v>
      </c>
      <c r="U56" s="284" t="e">
        <f>(IF(Tabla4[[#This Row],[Familia]]="termico solar",Tabla4[[#This Row],[Utilidad Total]]*6%,Tabla4[[#This Row],[Utilidad Total]]*11.5%))/Tabla4[[#This Row],[Total]]</f>
        <v>#N/A</v>
      </c>
      <c r="V56" s="282" t="e">
        <f>+Tabla4[[#This Row],[Comisión Calculada]]*Tabla4[[#This Row],[Total]]</f>
        <v>#N/A</v>
      </c>
    </row>
    <row r="57" spans="1:22" hidden="1" x14ac:dyDescent="0.25">
      <c r="A57" s="100">
        <v>45672</v>
      </c>
      <c r="B57" t="str">
        <f t="shared" si="1"/>
        <v>January</v>
      </c>
      <c r="C57" s="46" t="s">
        <v>280</v>
      </c>
      <c r="F57" s="366" t="s">
        <v>697</v>
      </c>
      <c r="G57" s="46" t="s">
        <v>83</v>
      </c>
      <c r="H57" s="46">
        <v>1</v>
      </c>
      <c r="I57" s="51">
        <v>8858.76</v>
      </c>
      <c r="J57" s="281">
        <f>++Tabla4[[#This Row],[Precio Bruto]]*1.16</f>
        <v>10276.161599999999</v>
      </c>
      <c r="K57" s="281">
        <f>+Tabla4[[#This Row],[Precio Unitario Neto]]*Tabla4[[#Headers],[20.85%]]</f>
        <v>2142.5796935999997</v>
      </c>
      <c r="L57" s="282">
        <f>++Tabla4[[#This Row],[Precio Unitario Neto]]-Tabla4[[#This Row],[20.85%]]</f>
        <v>8133.5819063999998</v>
      </c>
      <c r="M57" s="282" t="e">
        <f>(INDEX(Tabla6[#All],MATCH(Tabla4[[#This Row],[Producto]],Tabla6[[#All],[PRODUCTO]],0),MATCH(Tabla4[[#This Row],[Mes]],Tabla6[#Headers],0)))*(1+Catalogos!$L$2)</f>
        <v>#N/A</v>
      </c>
      <c r="N57" s="283" t="e">
        <f>+(Tabla4[[#This Row],[Precio Descontado]]-Tabla4[[#This Row],[Precio Base]])*Tabla4[[#This Row],[Cantidad]]</f>
        <v>#N/A</v>
      </c>
      <c r="O57" s="284" t="e">
        <f>++Tabla4[[#This Row],[Utilidad Total]]/Tabla4[[#This Row],[Total]]</f>
        <v>#N/A</v>
      </c>
      <c r="P57" s="282">
        <f>++Tabla4[[#This Row],[Precio Descontado]]*Tabla4[[#This Row],[Cantidad]]</f>
        <v>8133.5819063999998</v>
      </c>
      <c r="Q57" s="282" t="e">
        <f>(INDEX(Tabla6[#All],MATCH(Tabla4[[#This Row],[Producto]],Tabla6[[#All],[PRODUCTO]],0),MATCH(Tabla4[[#This Row],[Mes]],Tabla6[#Headers],0)))</f>
        <v>#N/A</v>
      </c>
      <c r="R57" s="282" t="e">
        <f>++Tabla4[[#This Row],[Precio Unitario Neto]]-Tabla4[[#This Row],[20.85%]]-Tabla4[[#This Row],[Costo]]</f>
        <v>#N/A</v>
      </c>
      <c r="S57" s="282" t="e">
        <f>++Tabla4[[#This Row],[U. Bruta Uni]]*Tabla4[[#This Row],[Cantidad]]</f>
        <v>#N/A</v>
      </c>
      <c r="T57" s="369" t="str">
        <f>VLOOKUP(Tabla4[[#This Row],[Producto]],Tabla6[#All],14,FALSE)</f>
        <v>Termico Solar</v>
      </c>
      <c r="U57" s="284" t="e">
        <f>(IF(Tabla4[[#This Row],[Familia]]="termico solar",Tabla4[[#This Row],[Utilidad Total]]*6%,Tabla4[[#This Row],[Utilidad Total]]*11.5%))/Tabla4[[#This Row],[Total]]</f>
        <v>#N/A</v>
      </c>
      <c r="V57" s="282" t="e">
        <f>+Tabla4[[#This Row],[Comisión Calculada]]*Tabla4[[#This Row],[Total]]</f>
        <v>#N/A</v>
      </c>
    </row>
    <row r="58" spans="1:22" hidden="1" x14ac:dyDescent="0.25">
      <c r="A58" s="100">
        <v>45672</v>
      </c>
      <c r="B58" t="str">
        <f t="shared" si="1"/>
        <v>January</v>
      </c>
      <c r="C58" s="46" t="s">
        <v>280</v>
      </c>
      <c r="F58" s="366" t="s">
        <v>697</v>
      </c>
      <c r="G58" s="46" t="s">
        <v>17</v>
      </c>
      <c r="H58" s="46">
        <v>1</v>
      </c>
      <c r="I58" s="51">
        <v>4622.28</v>
      </c>
      <c r="J58" s="281">
        <f>++Tabla4[[#This Row],[Precio Bruto]]*1.16</f>
        <v>5361.8447999999989</v>
      </c>
      <c r="K58" s="281">
        <f>+Tabla4[[#This Row],[Precio Unitario Neto]]*Tabla4[[#Headers],[20.85%]]</f>
        <v>1117.9446407999997</v>
      </c>
      <c r="L58" s="282">
        <f>++Tabla4[[#This Row],[Precio Unitario Neto]]-Tabla4[[#This Row],[20.85%]]</f>
        <v>4243.9001591999995</v>
      </c>
      <c r="M58" s="282" t="e">
        <f>(INDEX(Tabla6[#All],MATCH(Tabla4[[#This Row],[Producto]],Tabla6[[#All],[PRODUCTO]],0),MATCH(Tabla4[[#This Row],[Mes]],Tabla6[#Headers],0)))*(1+Catalogos!$L$2)</f>
        <v>#N/A</v>
      </c>
      <c r="N58" s="283" t="e">
        <f>+(Tabla4[[#This Row],[Precio Descontado]]-Tabla4[[#This Row],[Precio Base]])*Tabla4[[#This Row],[Cantidad]]</f>
        <v>#N/A</v>
      </c>
      <c r="O58" s="284" t="e">
        <f>++Tabla4[[#This Row],[Utilidad Total]]/Tabla4[[#This Row],[Total]]</f>
        <v>#N/A</v>
      </c>
      <c r="P58" s="282">
        <f>++Tabla4[[#This Row],[Precio Descontado]]*Tabla4[[#This Row],[Cantidad]]</f>
        <v>4243.9001591999995</v>
      </c>
      <c r="Q58" s="282" t="e">
        <f>(INDEX(Tabla6[#All],MATCH(Tabla4[[#This Row],[Producto]],Tabla6[[#All],[PRODUCTO]],0),MATCH(Tabla4[[#This Row],[Mes]],Tabla6[#Headers],0)))</f>
        <v>#N/A</v>
      </c>
      <c r="R58" s="282" t="e">
        <f>++Tabla4[[#This Row],[Precio Unitario Neto]]-Tabla4[[#This Row],[20.85%]]-Tabla4[[#This Row],[Costo]]</f>
        <v>#N/A</v>
      </c>
      <c r="S58" s="282" t="e">
        <f>++Tabla4[[#This Row],[U. Bruta Uni]]*Tabla4[[#This Row],[Cantidad]]</f>
        <v>#N/A</v>
      </c>
      <c r="T58" s="369" t="str">
        <f>VLOOKUP(Tabla4[[#This Row],[Producto]],Tabla6[#All],14,FALSE)</f>
        <v>Termico Solar</v>
      </c>
      <c r="U58" s="284" t="e">
        <f>(IF(Tabla4[[#This Row],[Familia]]="termico solar",Tabla4[[#This Row],[Utilidad Total]]*6%,Tabla4[[#This Row],[Utilidad Total]]*11.5%))/Tabla4[[#This Row],[Total]]</f>
        <v>#N/A</v>
      </c>
      <c r="V58" s="282" t="e">
        <f>+Tabla4[[#This Row],[Comisión Calculada]]*Tabla4[[#This Row],[Total]]</f>
        <v>#N/A</v>
      </c>
    </row>
    <row r="59" spans="1:22" hidden="1" x14ac:dyDescent="0.25">
      <c r="A59" s="100">
        <v>45672</v>
      </c>
      <c r="B59" t="str">
        <f t="shared" si="1"/>
        <v>January</v>
      </c>
      <c r="C59" s="46" t="s">
        <v>280</v>
      </c>
      <c r="F59" s="366" t="s">
        <v>697</v>
      </c>
      <c r="G59" s="46" t="s">
        <v>18</v>
      </c>
      <c r="H59" s="46">
        <v>2</v>
      </c>
      <c r="I59" s="51">
        <v>5367.65</v>
      </c>
      <c r="J59" s="281">
        <f>++Tabla4[[#This Row],[Precio Bruto]]*1.16</f>
        <v>6226.4739999999993</v>
      </c>
      <c r="K59" s="281">
        <f>+Tabla4[[#This Row],[Precio Unitario Neto]]*Tabla4[[#Headers],[20.85%]]</f>
        <v>1298.2198289999999</v>
      </c>
      <c r="L59" s="282">
        <f>++Tabla4[[#This Row],[Precio Unitario Neto]]-Tabla4[[#This Row],[20.85%]]</f>
        <v>4928.2541709999996</v>
      </c>
      <c r="M59" s="282" t="e">
        <f>(INDEX(Tabla6[#All],MATCH(Tabla4[[#This Row],[Producto]],Tabla6[[#All],[PRODUCTO]],0),MATCH(Tabla4[[#This Row],[Mes]],Tabla6[#Headers],0)))*(1+Catalogos!$L$2)</f>
        <v>#N/A</v>
      </c>
      <c r="N59" s="283" t="e">
        <f>+(Tabla4[[#This Row],[Precio Descontado]]-Tabla4[[#This Row],[Precio Base]])*Tabla4[[#This Row],[Cantidad]]</f>
        <v>#N/A</v>
      </c>
      <c r="O59" s="284" t="e">
        <f>++Tabla4[[#This Row],[Utilidad Total]]/Tabla4[[#This Row],[Total]]</f>
        <v>#N/A</v>
      </c>
      <c r="P59" s="282">
        <f>++Tabla4[[#This Row],[Precio Descontado]]*Tabla4[[#This Row],[Cantidad]]</f>
        <v>9856.5083419999992</v>
      </c>
      <c r="Q59" s="282" t="e">
        <f>(INDEX(Tabla6[#All],MATCH(Tabla4[[#This Row],[Producto]],Tabla6[[#All],[PRODUCTO]],0),MATCH(Tabla4[[#This Row],[Mes]],Tabla6[#Headers],0)))</f>
        <v>#N/A</v>
      </c>
      <c r="R59" s="282" t="e">
        <f>++Tabla4[[#This Row],[Precio Unitario Neto]]-Tabla4[[#This Row],[20.85%]]-Tabla4[[#This Row],[Costo]]</f>
        <v>#N/A</v>
      </c>
      <c r="S59" s="282" t="e">
        <f>++Tabla4[[#This Row],[U. Bruta Uni]]*Tabla4[[#This Row],[Cantidad]]</f>
        <v>#N/A</v>
      </c>
      <c r="T59" s="369" t="str">
        <f>VLOOKUP(Tabla4[[#This Row],[Producto]],Tabla6[#All],14,FALSE)</f>
        <v>Termico Solar</v>
      </c>
      <c r="U59" s="284" t="e">
        <f>(IF(Tabla4[[#This Row],[Familia]]="termico solar",Tabla4[[#This Row],[Utilidad Total]]*6%,Tabla4[[#This Row],[Utilidad Total]]*11.5%))/Tabla4[[#This Row],[Total]]</f>
        <v>#N/A</v>
      </c>
      <c r="V59" s="282" t="e">
        <f>+Tabla4[[#This Row],[Comisión Calculada]]*Tabla4[[#This Row],[Total]]</f>
        <v>#N/A</v>
      </c>
    </row>
    <row r="60" spans="1:22" hidden="1" x14ac:dyDescent="0.25">
      <c r="A60" s="100">
        <v>45672</v>
      </c>
      <c r="B60" t="str">
        <f t="shared" si="1"/>
        <v>January</v>
      </c>
      <c r="C60" s="46" t="s">
        <v>280</v>
      </c>
      <c r="F60" s="366" t="s">
        <v>697</v>
      </c>
      <c r="G60" s="46" t="s">
        <v>16</v>
      </c>
      <c r="H60" s="46">
        <v>2</v>
      </c>
      <c r="I60" s="51">
        <v>4103.8500000000004</v>
      </c>
      <c r="J60" s="281">
        <f>++Tabla4[[#This Row],[Precio Bruto]]*1.16</f>
        <v>4760.4660000000003</v>
      </c>
      <c r="K60" s="281">
        <f>+Tabla4[[#This Row],[Precio Unitario Neto]]*Tabla4[[#Headers],[20.85%]]</f>
        <v>992.55716100000006</v>
      </c>
      <c r="L60" s="282">
        <f>++Tabla4[[#This Row],[Precio Unitario Neto]]-Tabla4[[#This Row],[20.85%]]</f>
        <v>3767.9088390000002</v>
      </c>
      <c r="M60" s="282" t="e">
        <f>(INDEX(Tabla6[#All],MATCH(Tabla4[[#This Row],[Producto]],Tabla6[[#All],[PRODUCTO]],0),MATCH(Tabla4[[#This Row],[Mes]],Tabla6[#Headers],0)))*(1+Catalogos!$L$2)</f>
        <v>#N/A</v>
      </c>
      <c r="N60" s="283" t="e">
        <f>+(Tabla4[[#This Row],[Precio Descontado]]-Tabla4[[#This Row],[Precio Base]])*Tabla4[[#This Row],[Cantidad]]</f>
        <v>#N/A</v>
      </c>
      <c r="O60" s="284" t="e">
        <f>++Tabla4[[#This Row],[Utilidad Total]]/Tabla4[[#This Row],[Total]]</f>
        <v>#N/A</v>
      </c>
      <c r="P60" s="282">
        <f>++Tabla4[[#This Row],[Precio Descontado]]*Tabla4[[#This Row],[Cantidad]]</f>
        <v>7535.8176780000003</v>
      </c>
      <c r="Q60" s="282" t="e">
        <f>(INDEX(Tabla6[#All],MATCH(Tabla4[[#This Row],[Producto]],Tabla6[[#All],[PRODUCTO]],0),MATCH(Tabla4[[#This Row],[Mes]],Tabla6[#Headers],0)))</f>
        <v>#N/A</v>
      </c>
      <c r="R60" s="282" t="e">
        <f>++Tabla4[[#This Row],[Precio Unitario Neto]]-Tabla4[[#This Row],[20.85%]]-Tabla4[[#This Row],[Costo]]</f>
        <v>#N/A</v>
      </c>
      <c r="S60" s="282" t="e">
        <f>++Tabla4[[#This Row],[U. Bruta Uni]]*Tabla4[[#This Row],[Cantidad]]</f>
        <v>#N/A</v>
      </c>
      <c r="T60" s="369" t="str">
        <f>VLOOKUP(Tabla4[[#This Row],[Producto]],Tabla6[#All],14,FALSE)</f>
        <v>Termico Solar</v>
      </c>
      <c r="U60" s="284" t="e">
        <f>(IF(Tabla4[[#This Row],[Familia]]="termico solar",Tabla4[[#This Row],[Utilidad Total]]*6%,Tabla4[[#This Row],[Utilidad Total]]*11.5%))/Tabla4[[#This Row],[Total]]</f>
        <v>#N/A</v>
      </c>
      <c r="V60" s="282" t="e">
        <f>+Tabla4[[#This Row],[Comisión Calculada]]*Tabla4[[#This Row],[Total]]</f>
        <v>#N/A</v>
      </c>
    </row>
    <row r="61" spans="1:22" hidden="1" x14ac:dyDescent="0.25">
      <c r="A61" s="100">
        <v>45672</v>
      </c>
      <c r="B61" t="str">
        <f t="shared" si="1"/>
        <v>January</v>
      </c>
      <c r="C61" s="46" t="s">
        <v>280</v>
      </c>
      <c r="F61" s="366" t="s">
        <v>698</v>
      </c>
      <c r="G61" s="46" t="s">
        <v>19</v>
      </c>
      <c r="H61" s="46">
        <v>3</v>
      </c>
      <c r="I61" s="51">
        <v>6412.03</v>
      </c>
      <c r="J61" s="281">
        <f>++Tabla4[[#This Row],[Precio Bruto]]*1.16</f>
        <v>7437.9547999999995</v>
      </c>
      <c r="K61" s="281">
        <f>+Tabla4[[#This Row],[Precio Unitario Neto]]*Tabla4[[#Headers],[20.85%]]</f>
        <v>1550.8135757999999</v>
      </c>
      <c r="L61" s="282">
        <f>++Tabla4[[#This Row],[Precio Unitario Neto]]-Tabla4[[#This Row],[20.85%]]</f>
        <v>5887.1412241999997</v>
      </c>
      <c r="M61" s="282" t="e">
        <f>(INDEX(Tabla6[#All],MATCH(Tabla4[[#This Row],[Producto]],Tabla6[[#All],[PRODUCTO]],0),MATCH(Tabla4[[#This Row],[Mes]],Tabla6[#Headers],0)))*(1+Catalogos!$L$2)</f>
        <v>#N/A</v>
      </c>
      <c r="N61" s="283" t="e">
        <f>+(Tabla4[[#This Row],[Precio Descontado]]-Tabla4[[#This Row],[Precio Base]])*Tabla4[[#This Row],[Cantidad]]</f>
        <v>#N/A</v>
      </c>
      <c r="O61" s="284" t="e">
        <f>++Tabla4[[#This Row],[Utilidad Total]]/Tabla4[[#This Row],[Total]]</f>
        <v>#N/A</v>
      </c>
      <c r="P61" s="282">
        <f>++Tabla4[[#This Row],[Precio Descontado]]*Tabla4[[#This Row],[Cantidad]]</f>
        <v>17661.423672599998</v>
      </c>
      <c r="Q61" s="282" t="e">
        <f>(INDEX(Tabla6[#All],MATCH(Tabla4[[#This Row],[Producto]],Tabla6[[#All],[PRODUCTO]],0),MATCH(Tabla4[[#This Row],[Mes]],Tabla6[#Headers],0)))</f>
        <v>#N/A</v>
      </c>
      <c r="R61" s="282" t="e">
        <f>++Tabla4[[#This Row],[Precio Unitario Neto]]-Tabla4[[#This Row],[20.85%]]-Tabla4[[#This Row],[Costo]]</f>
        <v>#N/A</v>
      </c>
      <c r="S61" s="282" t="e">
        <f>++Tabla4[[#This Row],[U. Bruta Uni]]*Tabla4[[#This Row],[Cantidad]]</f>
        <v>#N/A</v>
      </c>
      <c r="T61" s="369" t="str">
        <f>VLOOKUP(Tabla4[[#This Row],[Producto]],Tabla6[#All],14,FALSE)</f>
        <v>Termico Solar</v>
      </c>
      <c r="U61" s="284" t="e">
        <f>(IF(Tabla4[[#This Row],[Familia]]="termico solar",Tabla4[[#This Row],[Utilidad Total]]*6%,Tabla4[[#This Row],[Utilidad Total]]*11.5%))/Tabla4[[#This Row],[Total]]</f>
        <v>#N/A</v>
      </c>
      <c r="V61" s="282" t="e">
        <f>+Tabla4[[#This Row],[Comisión Calculada]]*Tabla4[[#This Row],[Total]]</f>
        <v>#N/A</v>
      </c>
    </row>
    <row r="62" spans="1:22" hidden="1" x14ac:dyDescent="0.25">
      <c r="A62" s="100">
        <v>45672</v>
      </c>
      <c r="B62" t="str">
        <f t="shared" si="1"/>
        <v>January</v>
      </c>
      <c r="C62" s="46" t="s">
        <v>280</v>
      </c>
      <c r="F62" s="366" t="s">
        <v>699</v>
      </c>
      <c r="G62" s="46" t="s">
        <v>566</v>
      </c>
      <c r="H62" s="46">
        <v>1</v>
      </c>
      <c r="I62" s="51">
        <v>2109.4499999999998</v>
      </c>
      <c r="J62" s="281">
        <f>++Tabla4[[#This Row],[Precio Bruto]]*1.16</f>
        <v>2446.9619999999995</v>
      </c>
      <c r="K62" s="281">
        <f>+Tabla4[[#This Row],[Precio Unitario Neto]]*Tabla4[[#Headers],[20.85%]]</f>
        <v>510.19157699999988</v>
      </c>
      <c r="L62" s="282">
        <f>++Tabla4[[#This Row],[Precio Unitario Neto]]-Tabla4[[#This Row],[20.85%]]</f>
        <v>1936.7704229999997</v>
      </c>
      <c r="M62" s="282" t="e">
        <f>(INDEX(Tabla6[#All],MATCH(Tabla4[[#This Row],[Producto]],Tabla6[[#All],[PRODUCTO]],0),MATCH(Tabla4[[#This Row],[Mes]],Tabla6[#Headers],0)))*(1+Catalogos!$L$2)</f>
        <v>#N/A</v>
      </c>
      <c r="N62" s="283" t="e">
        <f>+(Tabla4[[#This Row],[Precio Descontado]]-Tabla4[[#This Row],[Precio Base]])*Tabla4[[#This Row],[Cantidad]]</f>
        <v>#N/A</v>
      </c>
      <c r="O62" s="284" t="e">
        <f>++Tabla4[[#This Row],[Utilidad Total]]/Tabla4[[#This Row],[Total]]</f>
        <v>#N/A</v>
      </c>
      <c r="P62" s="282">
        <f>++Tabla4[[#This Row],[Precio Descontado]]*Tabla4[[#This Row],[Cantidad]]</f>
        <v>1936.7704229999997</v>
      </c>
      <c r="Q62" s="282" t="e">
        <f>(INDEX(Tabla6[#All],MATCH(Tabla4[[#This Row],[Producto]],Tabla6[[#All],[PRODUCTO]],0),MATCH(Tabla4[[#This Row],[Mes]],Tabla6[#Headers],0)))</f>
        <v>#N/A</v>
      </c>
      <c r="R62" s="282" t="e">
        <f>++Tabla4[[#This Row],[Precio Unitario Neto]]-Tabla4[[#This Row],[20.85%]]-Tabla4[[#This Row],[Costo]]</f>
        <v>#N/A</v>
      </c>
      <c r="S62" s="282" t="e">
        <f>++Tabla4[[#This Row],[U. Bruta Uni]]*Tabla4[[#This Row],[Cantidad]]</f>
        <v>#N/A</v>
      </c>
      <c r="T62" s="369" t="str">
        <f>VLOOKUP(Tabla4[[#This Row],[Producto]],Tabla6[#All],14,FALSE)</f>
        <v>Termico Solar</v>
      </c>
      <c r="U62" s="284" t="e">
        <f>(IF(Tabla4[[#This Row],[Familia]]="termico solar",Tabla4[[#This Row],[Utilidad Total]]*6%,Tabla4[[#This Row],[Utilidad Total]]*11.5%))/Tabla4[[#This Row],[Total]]</f>
        <v>#N/A</v>
      </c>
      <c r="V62" s="282" t="e">
        <f>+Tabla4[[#This Row],[Comisión Calculada]]*Tabla4[[#This Row],[Total]]</f>
        <v>#N/A</v>
      </c>
    </row>
    <row r="63" spans="1:22" hidden="1" x14ac:dyDescent="0.25">
      <c r="A63" s="100">
        <v>45672</v>
      </c>
      <c r="B63" t="str">
        <f t="shared" si="1"/>
        <v>January</v>
      </c>
      <c r="C63" s="46" t="s">
        <v>280</v>
      </c>
      <c r="F63" s="366" t="s">
        <v>700</v>
      </c>
      <c r="G63" s="46" t="s">
        <v>18</v>
      </c>
      <c r="H63" s="46">
        <v>1</v>
      </c>
      <c r="I63" s="51">
        <v>5367.65</v>
      </c>
      <c r="J63" s="281">
        <f>++Tabla4[[#This Row],[Precio Bruto]]*1.16</f>
        <v>6226.4739999999993</v>
      </c>
      <c r="K63" s="281">
        <f>+Tabla4[[#This Row],[Precio Unitario Neto]]*Tabla4[[#Headers],[20.85%]]</f>
        <v>1298.2198289999999</v>
      </c>
      <c r="L63" s="282">
        <f>++Tabla4[[#This Row],[Precio Unitario Neto]]-Tabla4[[#This Row],[20.85%]]</f>
        <v>4928.2541709999996</v>
      </c>
      <c r="M63" s="282" t="e">
        <f>(INDEX(Tabla6[#All],MATCH(Tabla4[[#This Row],[Producto]],Tabla6[[#All],[PRODUCTO]],0),MATCH(Tabla4[[#This Row],[Mes]],Tabla6[#Headers],0)))*(1+Catalogos!$L$2)</f>
        <v>#N/A</v>
      </c>
      <c r="N63" s="283" t="e">
        <f>+(Tabla4[[#This Row],[Precio Descontado]]-Tabla4[[#This Row],[Precio Base]])*Tabla4[[#This Row],[Cantidad]]</f>
        <v>#N/A</v>
      </c>
      <c r="O63" s="284" t="e">
        <f>++Tabla4[[#This Row],[Utilidad Total]]/Tabla4[[#This Row],[Total]]</f>
        <v>#N/A</v>
      </c>
      <c r="P63" s="282">
        <f>++Tabla4[[#This Row],[Precio Descontado]]*Tabla4[[#This Row],[Cantidad]]</f>
        <v>4928.2541709999996</v>
      </c>
      <c r="Q63" s="282" t="e">
        <f>(INDEX(Tabla6[#All],MATCH(Tabla4[[#This Row],[Producto]],Tabla6[[#All],[PRODUCTO]],0),MATCH(Tabla4[[#This Row],[Mes]],Tabla6[#Headers],0)))</f>
        <v>#N/A</v>
      </c>
      <c r="R63" s="282" t="e">
        <f>++Tabla4[[#This Row],[Precio Unitario Neto]]-Tabla4[[#This Row],[20.85%]]-Tabla4[[#This Row],[Costo]]</f>
        <v>#N/A</v>
      </c>
      <c r="S63" s="282" t="e">
        <f>++Tabla4[[#This Row],[U. Bruta Uni]]*Tabla4[[#This Row],[Cantidad]]</f>
        <v>#N/A</v>
      </c>
      <c r="T63" s="369" t="str">
        <f>VLOOKUP(Tabla4[[#This Row],[Producto]],Tabla6[#All],14,FALSE)</f>
        <v>Termico Solar</v>
      </c>
      <c r="U63" s="284" t="e">
        <f>(IF(Tabla4[[#This Row],[Familia]]="termico solar",Tabla4[[#This Row],[Utilidad Total]]*6%,Tabla4[[#This Row],[Utilidad Total]]*11.5%))/Tabla4[[#This Row],[Total]]</f>
        <v>#N/A</v>
      </c>
      <c r="V63" s="282" t="e">
        <f>+Tabla4[[#This Row],[Comisión Calculada]]*Tabla4[[#This Row],[Total]]</f>
        <v>#N/A</v>
      </c>
    </row>
    <row r="64" spans="1:22" hidden="1" x14ac:dyDescent="0.25">
      <c r="A64" s="100">
        <v>45672</v>
      </c>
      <c r="B64" t="str">
        <f t="shared" si="1"/>
        <v>January</v>
      </c>
      <c r="C64" s="46" t="s">
        <v>280</v>
      </c>
      <c r="F64" s="366" t="s">
        <v>701</v>
      </c>
      <c r="G64" s="46" t="s">
        <v>83</v>
      </c>
      <c r="H64" s="46">
        <v>1</v>
      </c>
      <c r="I64" s="51">
        <v>8858.76</v>
      </c>
      <c r="J64" s="281">
        <f>++Tabla4[[#This Row],[Precio Bruto]]*1.16</f>
        <v>10276.161599999999</v>
      </c>
      <c r="K64" s="281">
        <f>+Tabla4[[#This Row],[Precio Unitario Neto]]*Tabla4[[#Headers],[20.85%]]</f>
        <v>2142.5796935999997</v>
      </c>
      <c r="L64" s="282">
        <f>++Tabla4[[#This Row],[Precio Unitario Neto]]-Tabla4[[#This Row],[20.85%]]</f>
        <v>8133.5819063999998</v>
      </c>
      <c r="M64" s="282" t="e">
        <f>(INDEX(Tabla6[#All],MATCH(Tabla4[[#This Row],[Producto]],Tabla6[[#All],[PRODUCTO]],0),MATCH(Tabla4[[#This Row],[Mes]],Tabla6[#Headers],0)))*(1+Catalogos!$L$2)</f>
        <v>#N/A</v>
      </c>
      <c r="N64" s="283" t="e">
        <f>+(Tabla4[[#This Row],[Precio Descontado]]-Tabla4[[#This Row],[Precio Base]])*Tabla4[[#This Row],[Cantidad]]</f>
        <v>#N/A</v>
      </c>
      <c r="O64" s="284" t="e">
        <f>++Tabla4[[#This Row],[Utilidad Total]]/Tabla4[[#This Row],[Total]]</f>
        <v>#N/A</v>
      </c>
      <c r="P64" s="282">
        <f>++Tabla4[[#This Row],[Precio Descontado]]*Tabla4[[#This Row],[Cantidad]]</f>
        <v>8133.5819063999998</v>
      </c>
      <c r="Q64" s="282" t="e">
        <f>(INDEX(Tabla6[#All],MATCH(Tabla4[[#This Row],[Producto]],Tabla6[[#All],[PRODUCTO]],0),MATCH(Tabla4[[#This Row],[Mes]],Tabla6[#Headers],0)))</f>
        <v>#N/A</v>
      </c>
      <c r="R64" s="282" t="e">
        <f>++Tabla4[[#This Row],[Precio Unitario Neto]]-Tabla4[[#This Row],[20.85%]]-Tabla4[[#This Row],[Costo]]</f>
        <v>#N/A</v>
      </c>
      <c r="S64" s="282" t="e">
        <f>++Tabla4[[#This Row],[U. Bruta Uni]]*Tabla4[[#This Row],[Cantidad]]</f>
        <v>#N/A</v>
      </c>
      <c r="T64" s="369" t="str">
        <f>VLOOKUP(Tabla4[[#This Row],[Producto]],Tabla6[#All],14,FALSE)</f>
        <v>Termico Solar</v>
      </c>
      <c r="U64" s="284" t="e">
        <f>(IF(Tabla4[[#This Row],[Familia]]="termico solar",Tabla4[[#This Row],[Utilidad Total]]*6%,Tabla4[[#This Row],[Utilidad Total]]*11.5%))/Tabla4[[#This Row],[Total]]</f>
        <v>#N/A</v>
      </c>
      <c r="V64" s="282" t="e">
        <f>+Tabla4[[#This Row],[Comisión Calculada]]*Tabla4[[#This Row],[Total]]</f>
        <v>#N/A</v>
      </c>
    </row>
    <row r="65" spans="1:22" hidden="1" x14ac:dyDescent="0.25">
      <c r="A65" s="100">
        <v>45672</v>
      </c>
      <c r="B65" t="str">
        <f t="shared" si="1"/>
        <v>January</v>
      </c>
      <c r="C65" s="46" t="s">
        <v>280</v>
      </c>
      <c r="F65" s="366" t="s">
        <v>701</v>
      </c>
      <c r="G65" s="46" t="s">
        <v>394</v>
      </c>
      <c r="H65" s="46">
        <v>9</v>
      </c>
      <c r="I65" s="51">
        <v>108.1</v>
      </c>
      <c r="J65" s="281">
        <f>++Tabla4[[#This Row],[Precio Bruto]]*1.16</f>
        <v>125.39599999999999</v>
      </c>
      <c r="K65" s="281">
        <f>+Tabla4[[#This Row],[Precio Unitario Neto]]*Tabla4[[#Headers],[20.85%]]</f>
        <v>26.145065999999996</v>
      </c>
      <c r="L65" s="282">
        <f>++Tabla4[[#This Row],[Precio Unitario Neto]]-Tabla4[[#This Row],[20.85%]]</f>
        <v>99.250933999999987</v>
      </c>
      <c r="M65" s="282" t="e">
        <f>(INDEX(Tabla6[#All],MATCH(Tabla4[[#This Row],[Producto]],Tabla6[[#All],[PRODUCTO]],0),MATCH(Tabla4[[#This Row],[Mes]],Tabla6[#Headers],0)))*(1+Catalogos!$L$2)</f>
        <v>#N/A</v>
      </c>
      <c r="N65" s="283" t="e">
        <f>+(Tabla4[[#This Row],[Precio Descontado]]-Tabla4[[#This Row],[Precio Base]])*Tabla4[[#This Row],[Cantidad]]</f>
        <v>#N/A</v>
      </c>
      <c r="O65" s="284" t="e">
        <f>++Tabla4[[#This Row],[Utilidad Total]]/Tabla4[[#This Row],[Total]]</f>
        <v>#N/A</v>
      </c>
      <c r="P65" s="282">
        <f>++Tabla4[[#This Row],[Precio Descontado]]*Tabla4[[#This Row],[Cantidad]]</f>
        <v>893.25840599999992</v>
      </c>
      <c r="Q65" s="282" t="e">
        <f>(INDEX(Tabla6[#All],MATCH(Tabla4[[#This Row],[Producto]],Tabla6[[#All],[PRODUCTO]],0),MATCH(Tabla4[[#This Row],[Mes]],Tabla6[#Headers],0)))</f>
        <v>#N/A</v>
      </c>
      <c r="R65" s="282" t="e">
        <f>++Tabla4[[#This Row],[Precio Unitario Neto]]-Tabla4[[#This Row],[20.85%]]-Tabla4[[#This Row],[Costo]]</f>
        <v>#N/A</v>
      </c>
      <c r="S65" s="282" t="e">
        <f>++Tabla4[[#This Row],[U. Bruta Uni]]*Tabla4[[#This Row],[Cantidad]]</f>
        <v>#N/A</v>
      </c>
      <c r="T65" s="369" t="str">
        <f>VLOOKUP(Tabla4[[#This Row],[Producto]],Tabla6[#All],14,FALSE)</f>
        <v>Termico Solar</v>
      </c>
      <c r="U65" s="284" t="e">
        <f>(IF(Tabla4[[#This Row],[Familia]]="termico solar",Tabla4[[#This Row],[Utilidad Total]]*6%,Tabla4[[#This Row],[Utilidad Total]]*11.5%))/Tabla4[[#This Row],[Total]]</f>
        <v>#N/A</v>
      </c>
      <c r="V65" s="282" t="e">
        <f>+Tabla4[[#This Row],[Comisión Calculada]]*Tabla4[[#This Row],[Total]]</f>
        <v>#N/A</v>
      </c>
    </row>
    <row r="66" spans="1:22" hidden="1" x14ac:dyDescent="0.25">
      <c r="A66" s="100">
        <v>45672</v>
      </c>
      <c r="B66" t="str">
        <f t="shared" si="1"/>
        <v>January</v>
      </c>
      <c r="C66" s="46" t="s">
        <v>280</v>
      </c>
      <c r="F66" s="366" t="s">
        <v>701</v>
      </c>
      <c r="G66" s="46" t="s">
        <v>16</v>
      </c>
      <c r="H66" s="46">
        <v>2</v>
      </c>
      <c r="I66" s="51">
        <v>4103.8500000000004</v>
      </c>
      <c r="J66" s="281">
        <f>++Tabla4[[#This Row],[Precio Bruto]]*1.16</f>
        <v>4760.4660000000003</v>
      </c>
      <c r="K66" s="281">
        <f>+Tabla4[[#This Row],[Precio Unitario Neto]]*Tabla4[[#Headers],[20.85%]]</f>
        <v>992.55716100000006</v>
      </c>
      <c r="L66" s="282">
        <f>++Tabla4[[#This Row],[Precio Unitario Neto]]-Tabla4[[#This Row],[20.85%]]</f>
        <v>3767.9088390000002</v>
      </c>
      <c r="M66" s="282" t="e">
        <f>(INDEX(Tabla6[#All],MATCH(Tabla4[[#This Row],[Producto]],Tabla6[[#All],[PRODUCTO]],0),MATCH(Tabla4[[#This Row],[Mes]],Tabla6[#Headers],0)))*(1+Catalogos!$L$2)</f>
        <v>#N/A</v>
      </c>
      <c r="N66" s="283" t="e">
        <f>+(Tabla4[[#This Row],[Precio Descontado]]-Tabla4[[#This Row],[Precio Base]])*Tabla4[[#This Row],[Cantidad]]</f>
        <v>#N/A</v>
      </c>
      <c r="O66" s="284" t="e">
        <f>++Tabla4[[#This Row],[Utilidad Total]]/Tabla4[[#This Row],[Total]]</f>
        <v>#N/A</v>
      </c>
      <c r="P66" s="282">
        <f>++Tabla4[[#This Row],[Precio Descontado]]*Tabla4[[#This Row],[Cantidad]]</f>
        <v>7535.8176780000003</v>
      </c>
      <c r="Q66" s="282" t="e">
        <f>(INDEX(Tabla6[#All],MATCH(Tabla4[[#This Row],[Producto]],Tabla6[[#All],[PRODUCTO]],0),MATCH(Tabla4[[#This Row],[Mes]],Tabla6[#Headers],0)))</f>
        <v>#N/A</v>
      </c>
      <c r="R66" s="282" t="e">
        <f>++Tabla4[[#This Row],[Precio Unitario Neto]]-Tabla4[[#This Row],[20.85%]]-Tabla4[[#This Row],[Costo]]</f>
        <v>#N/A</v>
      </c>
      <c r="S66" s="282" t="e">
        <f>++Tabla4[[#This Row],[U. Bruta Uni]]*Tabla4[[#This Row],[Cantidad]]</f>
        <v>#N/A</v>
      </c>
      <c r="T66" s="369" t="str">
        <f>VLOOKUP(Tabla4[[#This Row],[Producto]],Tabla6[#All],14,FALSE)</f>
        <v>Termico Solar</v>
      </c>
      <c r="U66" s="284" t="e">
        <f>(IF(Tabla4[[#This Row],[Familia]]="termico solar",Tabla4[[#This Row],[Utilidad Total]]*6%,Tabla4[[#This Row],[Utilidad Total]]*11.5%))/Tabla4[[#This Row],[Total]]</f>
        <v>#N/A</v>
      </c>
      <c r="V66" s="282" t="e">
        <f>+Tabla4[[#This Row],[Comisión Calculada]]*Tabla4[[#This Row],[Total]]</f>
        <v>#N/A</v>
      </c>
    </row>
    <row r="67" spans="1:22" hidden="1" x14ac:dyDescent="0.25">
      <c r="A67" s="100">
        <v>45672</v>
      </c>
      <c r="B67" t="str">
        <f t="shared" ref="B67:B72" si="2">TEXT(A67, "mmmm")</f>
        <v>January</v>
      </c>
      <c r="C67" s="46" t="s">
        <v>280</v>
      </c>
      <c r="F67" s="366" t="s">
        <v>702</v>
      </c>
      <c r="G67" s="46" t="s">
        <v>16</v>
      </c>
      <c r="H67" s="46">
        <v>2</v>
      </c>
      <c r="I67" s="51">
        <v>4103.8500000000004</v>
      </c>
      <c r="J67" s="281">
        <f>++Tabla4[[#This Row],[Precio Bruto]]*1.16</f>
        <v>4760.4660000000003</v>
      </c>
      <c r="K67" s="281">
        <f>+Tabla4[[#This Row],[Precio Unitario Neto]]*Tabla4[[#Headers],[20.85%]]</f>
        <v>992.55716100000006</v>
      </c>
      <c r="L67" s="282">
        <f>++Tabla4[[#This Row],[Precio Unitario Neto]]-Tabla4[[#This Row],[20.85%]]</f>
        <v>3767.9088390000002</v>
      </c>
      <c r="M67" s="282" t="e">
        <f>(INDEX(Tabla6[#All],MATCH(Tabla4[[#This Row],[Producto]],Tabla6[[#All],[PRODUCTO]],0),MATCH(Tabla4[[#This Row],[Mes]],Tabla6[#Headers],0)))*(1+Catalogos!$L$2)</f>
        <v>#N/A</v>
      </c>
      <c r="N67" s="283" t="e">
        <f>+(Tabla4[[#This Row],[Precio Descontado]]-Tabla4[[#This Row],[Precio Base]])*Tabla4[[#This Row],[Cantidad]]</f>
        <v>#N/A</v>
      </c>
      <c r="O67" s="284" t="e">
        <f>++Tabla4[[#This Row],[Utilidad Total]]/Tabla4[[#This Row],[Total]]</f>
        <v>#N/A</v>
      </c>
      <c r="P67" s="282">
        <f>++Tabla4[[#This Row],[Precio Descontado]]*Tabla4[[#This Row],[Cantidad]]</f>
        <v>7535.8176780000003</v>
      </c>
      <c r="Q67" s="282" t="e">
        <f>(INDEX(Tabla6[#All],MATCH(Tabla4[[#This Row],[Producto]],Tabla6[[#All],[PRODUCTO]],0),MATCH(Tabla4[[#This Row],[Mes]],Tabla6[#Headers],0)))</f>
        <v>#N/A</v>
      </c>
      <c r="R67" s="282" t="e">
        <f>++Tabla4[[#This Row],[Precio Unitario Neto]]-Tabla4[[#This Row],[20.85%]]-Tabla4[[#This Row],[Costo]]</f>
        <v>#N/A</v>
      </c>
      <c r="S67" s="282" t="e">
        <f>++Tabla4[[#This Row],[U. Bruta Uni]]*Tabla4[[#This Row],[Cantidad]]</f>
        <v>#N/A</v>
      </c>
      <c r="T67" s="369" t="str">
        <f>VLOOKUP(Tabla4[[#This Row],[Producto]],Tabla6[#All],14,FALSE)</f>
        <v>Termico Solar</v>
      </c>
      <c r="U67" s="284" t="e">
        <f>(IF(Tabla4[[#This Row],[Familia]]="termico solar",Tabla4[[#This Row],[Utilidad Total]]*6%,Tabla4[[#This Row],[Utilidad Total]]*11.5%))/Tabla4[[#This Row],[Total]]</f>
        <v>#N/A</v>
      </c>
      <c r="V67" s="282" t="e">
        <f>+Tabla4[[#This Row],[Comisión Calculada]]*Tabla4[[#This Row],[Total]]</f>
        <v>#N/A</v>
      </c>
    </row>
    <row r="68" spans="1:22" hidden="1" x14ac:dyDescent="0.25">
      <c r="A68" s="100">
        <v>45672</v>
      </c>
      <c r="B68" t="str">
        <f t="shared" si="2"/>
        <v>January</v>
      </c>
      <c r="C68" s="46" t="s">
        <v>280</v>
      </c>
      <c r="F68" s="366" t="s">
        <v>703</v>
      </c>
      <c r="G68" s="46" t="s">
        <v>17</v>
      </c>
      <c r="H68" s="46">
        <v>1</v>
      </c>
      <c r="I68" s="51">
        <v>4622.28</v>
      </c>
      <c r="J68" s="281">
        <f>++Tabla4[[#This Row],[Precio Bruto]]*1.16</f>
        <v>5361.8447999999989</v>
      </c>
      <c r="K68" s="281">
        <f>+Tabla4[[#This Row],[Precio Unitario Neto]]*Tabla4[[#Headers],[20.85%]]</f>
        <v>1117.9446407999997</v>
      </c>
      <c r="L68" s="282">
        <f>++Tabla4[[#This Row],[Precio Unitario Neto]]-Tabla4[[#This Row],[20.85%]]</f>
        <v>4243.9001591999995</v>
      </c>
      <c r="M68" s="282" t="e">
        <f>(INDEX(Tabla6[#All],MATCH(Tabla4[[#This Row],[Producto]],Tabla6[[#All],[PRODUCTO]],0),MATCH(Tabla4[[#This Row],[Mes]],Tabla6[#Headers],0)))*(1+Catalogos!$L$2)</f>
        <v>#N/A</v>
      </c>
      <c r="N68" s="283" t="e">
        <f>+(Tabla4[[#This Row],[Precio Descontado]]-Tabla4[[#This Row],[Precio Base]])*Tabla4[[#This Row],[Cantidad]]</f>
        <v>#N/A</v>
      </c>
      <c r="O68" s="284" t="e">
        <f>++Tabla4[[#This Row],[Utilidad Total]]/Tabla4[[#This Row],[Total]]</f>
        <v>#N/A</v>
      </c>
      <c r="P68" s="282">
        <f>++Tabla4[[#This Row],[Precio Descontado]]*Tabla4[[#This Row],[Cantidad]]</f>
        <v>4243.9001591999995</v>
      </c>
      <c r="Q68" s="282" t="e">
        <f>(INDEX(Tabla6[#All],MATCH(Tabla4[[#This Row],[Producto]],Tabla6[[#All],[PRODUCTO]],0),MATCH(Tabla4[[#This Row],[Mes]],Tabla6[#Headers],0)))</f>
        <v>#N/A</v>
      </c>
      <c r="R68" s="282" t="e">
        <f>++Tabla4[[#This Row],[Precio Unitario Neto]]-Tabla4[[#This Row],[20.85%]]-Tabla4[[#This Row],[Costo]]</f>
        <v>#N/A</v>
      </c>
      <c r="S68" s="282" t="e">
        <f>++Tabla4[[#This Row],[U. Bruta Uni]]*Tabla4[[#This Row],[Cantidad]]</f>
        <v>#N/A</v>
      </c>
      <c r="T68" s="369" t="str">
        <f>VLOOKUP(Tabla4[[#This Row],[Producto]],Tabla6[#All],14,FALSE)</f>
        <v>Termico Solar</v>
      </c>
      <c r="U68" s="284" t="e">
        <f>(IF(Tabla4[[#This Row],[Familia]]="termico solar",Tabla4[[#This Row],[Utilidad Total]]*6%,Tabla4[[#This Row],[Utilidad Total]]*11.5%))/Tabla4[[#This Row],[Total]]</f>
        <v>#N/A</v>
      </c>
      <c r="V68" s="282" t="e">
        <f>+Tabla4[[#This Row],[Comisión Calculada]]*Tabla4[[#This Row],[Total]]</f>
        <v>#N/A</v>
      </c>
    </row>
    <row r="69" spans="1:22" hidden="1" x14ac:dyDescent="0.25">
      <c r="A69" s="100">
        <v>45672</v>
      </c>
      <c r="B69" t="str">
        <f t="shared" si="2"/>
        <v>January</v>
      </c>
      <c r="C69" s="46" t="s">
        <v>280</v>
      </c>
      <c r="F69" s="366" t="s">
        <v>704</v>
      </c>
      <c r="G69" s="46" t="s">
        <v>83</v>
      </c>
      <c r="H69" s="46">
        <v>2</v>
      </c>
      <c r="I69" s="51">
        <v>8858.76</v>
      </c>
      <c r="J69" s="281">
        <f>++Tabla4[[#This Row],[Precio Bruto]]*1.16</f>
        <v>10276.161599999999</v>
      </c>
      <c r="K69" s="281">
        <f>+Tabla4[[#This Row],[Precio Unitario Neto]]*Tabla4[[#Headers],[20.85%]]</f>
        <v>2142.5796935999997</v>
      </c>
      <c r="L69" s="282">
        <f>++Tabla4[[#This Row],[Precio Unitario Neto]]-Tabla4[[#This Row],[20.85%]]</f>
        <v>8133.5819063999998</v>
      </c>
      <c r="M69" s="282" t="e">
        <f>(INDEX(Tabla6[#All],MATCH(Tabla4[[#This Row],[Producto]],Tabla6[[#All],[PRODUCTO]],0),MATCH(Tabla4[[#This Row],[Mes]],Tabla6[#Headers],0)))*(1+Catalogos!$L$2)</f>
        <v>#N/A</v>
      </c>
      <c r="N69" s="283" t="e">
        <f>+(Tabla4[[#This Row],[Precio Descontado]]-Tabla4[[#This Row],[Precio Base]])*Tabla4[[#This Row],[Cantidad]]</f>
        <v>#N/A</v>
      </c>
      <c r="O69" s="284" t="e">
        <f>++Tabla4[[#This Row],[Utilidad Total]]/Tabla4[[#This Row],[Total]]</f>
        <v>#N/A</v>
      </c>
      <c r="P69" s="282">
        <f>++Tabla4[[#This Row],[Precio Descontado]]*Tabla4[[#This Row],[Cantidad]]</f>
        <v>16267.1638128</v>
      </c>
      <c r="Q69" s="282" t="e">
        <f>(INDEX(Tabla6[#All],MATCH(Tabla4[[#This Row],[Producto]],Tabla6[[#All],[PRODUCTO]],0),MATCH(Tabla4[[#This Row],[Mes]],Tabla6[#Headers],0)))</f>
        <v>#N/A</v>
      </c>
      <c r="R69" s="282" t="e">
        <f>++Tabla4[[#This Row],[Precio Unitario Neto]]-Tabla4[[#This Row],[20.85%]]-Tabla4[[#This Row],[Costo]]</f>
        <v>#N/A</v>
      </c>
      <c r="S69" s="282" t="e">
        <f>++Tabla4[[#This Row],[U. Bruta Uni]]*Tabla4[[#This Row],[Cantidad]]</f>
        <v>#N/A</v>
      </c>
      <c r="T69" s="369" t="str">
        <f>VLOOKUP(Tabla4[[#This Row],[Producto]],Tabla6[#All],14,FALSE)</f>
        <v>Termico Solar</v>
      </c>
      <c r="U69" s="284" t="e">
        <f>(IF(Tabla4[[#This Row],[Familia]]="termico solar",Tabla4[[#This Row],[Utilidad Total]]*6%,Tabla4[[#This Row],[Utilidad Total]]*11.5%))/Tabla4[[#This Row],[Total]]</f>
        <v>#N/A</v>
      </c>
      <c r="V69" s="282" t="e">
        <f>+Tabla4[[#This Row],[Comisión Calculada]]*Tabla4[[#This Row],[Total]]</f>
        <v>#N/A</v>
      </c>
    </row>
    <row r="70" spans="1:22" hidden="1" x14ac:dyDescent="0.25">
      <c r="A70" s="100">
        <v>45672</v>
      </c>
      <c r="B70" t="str">
        <f t="shared" si="2"/>
        <v>January</v>
      </c>
      <c r="C70" s="46" t="s">
        <v>280</v>
      </c>
      <c r="F70" s="366" t="s">
        <v>705</v>
      </c>
      <c r="G70" s="46" t="s">
        <v>566</v>
      </c>
      <c r="H70" s="46">
        <v>1</v>
      </c>
      <c r="I70" s="51">
        <v>2109.4499999999998</v>
      </c>
      <c r="J70" s="281">
        <f>++Tabla4[[#This Row],[Precio Bruto]]*1.16</f>
        <v>2446.9619999999995</v>
      </c>
      <c r="K70" s="281">
        <f>+Tabla4[[#This Row],[Precio Unitario Neto]]*Tabla4[[#Headers],[20.85%]]</f>
        <v>510.19157699999988</v>
      </c>
      <c r="L70" s="282">
        <f>++Tabla4[[#This Row],[Precio Unitario Neto]]-Tabla4[[#This Row],[20.85%]]</f>
        <v>1936.7704229999997</v>
      </c>
      <c r="M70" s="282" t="e">
        <f>(INDEX(Tabla6[#All],MATCH(Tabla4[[#This Row],[Producto]],Tabla6[[#All],[PRODUCTO]],0),MATCH(Tabla4[[#This Row],[Mes]],Tabla6[#Headers],0)))*(1+Catalogos!$L$2)</f>
        <v>#N/A</v>
      </c>
      <c r="N70" s="283" t="e">
        <f>+(Tabla4[[#This Row],[Precio Descontado]]-Tabla4[[#This Row],[Precio Base]])*Tabla4[[#This Row],[Cantidad]]</f>
        <v>#N/A</v>
      </c>
      <c r="O70" s="284" t="e">
        <f>++Tabla4[[#This Row],[Utilidad Total]]/Tabla4[[#This Row],[Total]]</f>
        <v>#N/A</v>
      </c>
      <c r="P70" s="282">
        <f>++Tabla4[[#This Row],[Precio Descontado]]*Tabla4[[#This Row],[Cantidad]]</f>
        <v>1936.7704229999997</v>
      </c>
      <c r="Q70" s="282" t="e">
        <f>(INDEX(Tabla6[#All],MATCH(Tabla4[[#This Row],[Producto]],Tabla6[[#All],[PRODUCTO]],0),MATCH(Tabla4[[#This Row],[Mes]],Tabla6[#Headers],0)))</f>
        <v>#N/A</v>
      </c>
      <c r="R70" s="282" t="e">
        <f>++Tabla4[[#This Row],[Precio Unitario Neto]]-Tabla4[[#This Row],[20.85%]]-Tabla4[[#This Row],[Costo]]</f>
        <v>#N/A</v>
      </c>
      <c r="S70" s="282" t="e">
        <f>++Tabla4[[#This Row],[U. Bruta Uni]]*Tabla4[[#This Row],[Cantidad]]</f>
        <v>#N/A</v>
      </c>
      <c r="T70" s="369" t="str">
        <f>VLOOKUP(Tabla4[[#This Row],[Producto]],Tabla6[#All],14,FALSE)</f>
        <v>Termico Solar</v>
      </c>
      <c r="U70" s="284" t="e">
        <f>(IF(Tabla4[[#This Row],[Familia]]="termico solar",Tabla4[[#This Row],[Utilidad Total]]*6%,Tabla4[[#This Row],[Utilidad Total]]*11.5%))/Tabla4[[#This Row],[Total]]</f>
        <v>#N/A</v>
      </c>
      <c r="V70" s="282" t="e">
        <f>+Tabla4[[#This Row],[Comisión Calculada]]*Tabla4[[#This Row],[Total]]</f>
        <v>#N/A</v>
      </c>
    </row>
    <row r="71" spans="1:22" hidden="1" x14ac:dyDescent="0.25">
      <c r="A71" s="100">
        <v>45672</v>
      </c>
      <c r="B71" t="str">
        <f t="shared" si="2"/>
        <v>January</v>
      </c>
      <c r="C71" s="46" t="s">
        <v>280</v>
      </c>
      <c r="F71" s="366" t="s">
        <v>706</v>
      </c>
      <c r="G71" s="46" t="s">
        <v>566</v>
      </c>
      <c r="H71" s="46">
        <v>2</v>
      </c>
      <c r="I71" s="51">
        <v>2109.4499999999998</v>
      </c>
      <c r="J71" s="281">
        <f>++Tabla4[[#This Row],[Precio Bruto]]*1.16</f>
        <v>2446.9619999999995</v>
      </c>
      <c r="K71" s="281">
        <f>+Tabla4[[#This Row],[Precio Unitario Neto]]*Tabla4[[#Headers],[20.85%]]</f>
        <v>510.19157699999988</v>
      </c>
      <c r="L71" s="282">
        <f>++Tabla4[[#This Row],[Precio Unitario Neto]]-Tabla4[[#This Row],[20.85%]]</f>
        <v>1936.7704229999997</v>
      </c>
      <c r="M71" s="282" t="e">
        <f>(INDEX(Tabla6[#All],MATCH(Tabla4[[#This Row],[Producto]],Tabla6[[#All],[PRODUCTO]],0),MATCH(Tabla4[[#This Row],[Mes]],Tabla6[#Headers],0)))*(1+Catalogos!$L$2)</f>
        <v>#N/A</v>
      </c>
      <c r="N71" s="283" t="e">
        <f>+(Tabla4[[#This Row],[Precio Descontado]]-Tabla4[[#This Row],[Precio Base]])*Tabla4[[#This Row],[Cantidad]]</f>
        <v>#N/A</v>
      </c>
      <c r="O71" s="284" t="e">
        <f>++Tabla4[[#This Row],[Utilidad Total]]/Tabla4[[#This Row],[Total]]</f>
        <v>#N/A</v>
      </c>
      <c r="P71" s="282">
        <f>++Tabla4[[#This Row],[Precio Descontado]]*Tabla4[[#This Row],[Cantidad]]</f>
        <v>3873.5408459999994</v>
      </c>
      <c r="Q71" s="282" t="e">
        <f>(INDEX(Tabla6[#All],MATCH(Tabla4[[#This Row],[Producto]],Tabla6[[#All],[PRODUCTO]],0),MATCH(Tabla4[[#This Row],[Mes]],Tabla6[#Headers],0)))</f>
        <v>#N/A</v>
      </c>
      <c r="R71" s="282" t="e">
        <f>++Tabla4[[#This Row],[Precio Unitario Neto]]-Tabla4[[#This Row],[20.85%]]-Tabla4[[#This Row],[Costo]]</f>
        <v>#N/A</v>
      </c>
      <c r="S71" s="282" t="e">
        <f>++Tabla4[[#This Row],[U. Bruta Uni]]*Tabla4[[#This Row],[Cantidad]]</f>
        <v>#N/A</v>
      </c>
      <c r="T71" s="369" t="str">
        <f>VLOOKUP(Tabla4[[#This Row],[Producto]],Tabla6[#All],14,FALSE)</f>
        <v>Termico Solar</v>
      </c>
      <c r="U71" s="284" t="e">
        <f>(IF(Tabla4[[#This Row],[Familia]]="termico solar",Tabla4[[#This Row],[Utilidad Total]]*6%,Tabla4[[#This Row],[Utilidad Total]]*11.5%))/Tabla4[[#This Row],[Total]]</f>
        <v>#N/A</v>
      </c>
      <c r="V71" s="282" t="e">
        <f>+Tabla4[[#This Row],[Comisión Calculada]]*Tabla4[[#This Row],[Total]]</f>
        <v>#N/A</v>
      </c>
    </row>
    <row r="72" spans="1:22" hidden="1" x14ac:dyDescent="0.25">
      <c r="A72" s="100">
        <v>45672</v>
      </c>
      <c r="B72" t="str">
        <f t="shared" si="2"/>
        <v>January</v>
      </c>
      <c r="C72" s="46" t="s">
        <v>280</v>
      </c>
      <c r="F72" s="366" t="s">
        <v>707</v>
      </c>
      <c r="G72" s="46" t="s">
        <v>566</v>
      </c>
      <c r="H72" s="46">
        <v>1</v>
      </c>
      <c r="I72" s="51">
        <v>2109.4499999999998</v>
      </c>
      <c r="J72" s="281">
        <f>++Tabla4[[#This Row],[Precio Bruto]]*1.16</f>
        <v>2446.9619999999995</v>
      </c>
      <c r="K72" s="281">
        <f>+Tabla4[[#This Row],[Precio Unitario Neto]]*Tabla4[[#Headers],[20.85%]]</f>
        <v>510.19157699999988</v>
      </c>
      <c r="L72" s="282">
        <f>++Tabla4[[#This Row],[Precio Unitario Neto]]-Tabla4[[#This Row],[20.85%]]</f>
        <v>1936.7704229999997</v>
      </c>
      <c r="M72" s="282" t="e">
        <f>(INDEX(Tabla6[#All],MATCH(Tabla4[[#This Row],[Producto]],Tabla6[[#All],[PRODUCTO]],0),MATCH(Tabla4[[#This Row],[Mes]],Tabla6[#Headers],0)))*(1+Catalogos!$L$2)</f>
        <v>#N/A</v>
      </c>
      <c r="N72" s="283" t="e">
        <f>+(Tabla4[[#This Row],[Precio Descontado]]-Tabla4[[#This Row],[Precio Base]])*Tabla4[[#This Row],[Cantidad]]</f>
        <v>#N/A</v>
      </c>
      <c r="O72" s="284" t="e">
        <f>++Tabla4[[#This Row],[Utilidad Total]]/Tabla4[[#This Row],[Total]]</f>
        <v>#N/A</v>
      </c>
      <c r="P72" s="282">
        <f>++Tabla4[[#This Row],[Precio Descontado]]*Tabla4[[#This Row],[Cantidad]]</f>
        <v>1936.7704229999997</v>
      </c>
      <c r="Q72" s="282" t="e">
        <f>(INDEX(Tabla6[#All],MATCH(Tabla4[[#This Row],[Producto]],Tabla6[[#All],[PRODUCTO]],0),MATCH(Tabla4[[#This Row],[Mes]],Tabla6[#Headers],0)))</f>
        <v>#N/A</v>
      </c>
      <c r="R72" s="282" t="e">
        <f>++Tabla4[[#This Row],[Precio Unitario Neto]]-Tabla4[[#This Row],[20.85%]]-Tabla4[[#This Row],[Costo]]</f>
        <v>#N/A</v>
      </c>
      <c r="S72" s="282" t="e">
        <f>++Tabla4[[#This Row],[U. Bruta Uni]]*Tabla4[[#This Row],[Cantidad]]</f>
        <v>#N/A</v>
      </c>
      <c r="T72" s="369" t="str">
        <f>VLOOKUP(Tabla4[[#This Row],[Producto]],Tabla6[#All],14,FALSE)</f>
        <v>Termico Solar</v>
      </c>
      <c r="U72" s="284" t="e">
        <f>(IF(Tabla4[[#This Row],[Familia]]="termico solar",Tabla4[[#This Row],[Utilidad Total]]*6%,Tabla4[[#This Row],[Utilidad Total]]*11.5%))/Tabla4[[#This Row],[Total]]</f>
        <v>#N/A</v>
      </c>
      <c r="V72" s="282" t="e">
        <f>+Tabla4[[#This Row],[Comisión Calculada]]*Tabla4[[#This Row],[Total]]</f>
        <v>#N/A</v>
      </c>
    </row>
    <row r="73" spans="1:22" hidden="1" x14ac:dyDescent="0.25">
      <c r="A73" s="100">
        <v>45672</v>
      </c>
      <c r="B73" t="str">
        <f t="shared" ref="B73:B92" si="3">TEXT(A73, "mmmm")</f>
        <v>January</v>
      </c>
      <c r="C73" s="46" t="s">
        <v>280</v>
      </c>
      <c r="F73" s="366" t="s">
        <v>708</v>
      </c>
      <c r="G73" s="46" t="s">
        <v>17</v>
      </c>
      <c r="H73" s="46">
        <v>3</v>
      </c>
      <c r="I73" s="51">
        <v>4622.28</v>
      </c>
      <c r="J73" s="281">
        <f>++Tabla4[[#This Row],[Precio Bruto]]*1.16</f>
        <v>5361.8447999999989</v>
      </c>
      <c r="K73" s="281">
        <f>+Tabla4[[#This Row],[Precio Unitario Neto]]*Tabla4[[#Headers],[20.85%]]</f>
        <v>1117.9446407999997</v>
      </c>
      <c r="L73" s="282">
        <f>++Tabla4[[#This Row],[Precio Unitario Neto]]-Tabla4[[#This Row],[20.85%]]</f>
        <v>4243.9001591999995</v>
      </c>
      <c r="M73" s="282" t="e">
        <f>(INDEX(Tabla6[#All],MATCH(Tabla4[[#This Row],[Producto]],Tabla6[[#All],[PRODUCTO]],0),MATCH(Tabla4[[#This Row],[Mes]],Tabla6[#Headers],0)))*(1+Catalogos!$L$2)</f>
        <v>#N/A</v>
      </c>
      <c r="N73" s="283" t="e">
        <f>+(Tabla4[[#This Row],[Precio Descontado]]-Tabla4[[#This Row],[Precio Base]])*Tabla4[[#This Row],[Cantidad]]</f>
        <v>#N/A</v>
      </c>
      <c r="O73" s="284" t="e">
        <f>++Tabla4[[#This Row],[Utilidad Total]]/Tabla4[[#This Row],[Total]]</f>
        <v>#N/A</v>
      </c>
      <c r="P73" s="282">
        <f>++Tabla4[[#This Row],[Precio Descontado]]*Tabla4[[#This Row],[Cantidad]]</f>
        <v>12731.700477599999</v>
      </c>
      <c r="Q73" s="282" t="e">
        <f>(INDEX(Tabla6[#All],MATCH(Tabla4[[#This Row],[Producto]],Tabla6[[#All],[PRODUCTO]],0),MATCH(Tabla4[[#This Row],[Mes]],Tabla6[#Headers],0)))</f>
        <v>#N/A</v>
      </c>
      <c r="R73" s="282" t="e">
        <f>++Tabla4[[#This Row],[Precio Unitario Neto]]-Tabla4[[#This Row],[20.85%]]-Tabla4[[#This Row],[Costo]]</f>
        <v>#N/A</v>
      </c>
      <c r="S73" s="282" t="e">
        <f>++Tabla4[[#This Row],[U. Bruta Uni]]*Tabla4[[#This Row],[Cantidad]]</f>
        <v>#N/A</v>
      </c>
      <c r="T73" s="369" t="str">
        <f>VLOOKUP(Tabla4[[#This Row],[Producto]],Tabla6[#All],14,FALSE)</f>
        <v>Termico Solar</v>
      </c>
      <c r="U73" s="284" t="e">
        <f>(IF(Tabla4[[#This Row],[Familia]]="termico solar",Tabla4[[#This Row],[Utilidad Total]]*6%,Tabla4[[#This Row],[Utilidad Total]]*11.5%))/Tabla4[[#This Row],[Total]]</f>
        <v>#N/A</v>
      </c>
      <c r="V73" s="282" t="e">
        <f>+Tabla4[[#This Row],[Comisión Calculada]]*Tabla4[[#This Row],[Total]]</f>
        <v>#N/A</v>
      </c>
    </row>
    <row r="74" spans="1:22" hidden="1" x14ac:dyDescent="0.25">
      <c r="A74" s="100">
        <v>45672</v>
      </c>
      <c r="B74" t="str">
        <f t="shared" si="3"/>
        <v>January</v>
      </c>
      <c r="C74" s="46" t="s">
        <v>280</v>
      </c>
      <c r="F74" s="366" t="s">
        <v>708</v>
      </c>
      <c r="G74" s="46" t="s">
        <v>208</v>
      </c>
      <c r="H74" s="46">
        <v>2</v>
      </c>
      <c r="I74" s="51">
        <v>189.75</v>
      </c>
      <c r="J74" s="281">
        <f>++Tabla4[[#This Row],[Precio Bruto]]*1.16</f>
        <v>220.10999999999999</v>
      </c>
      <c r="K74" s="281">
        <f>+Tabla4[[#This Row],[Precio Unitario Neto]]*Tabla4[[#Headers],[20.85%]]</f>
        <v>45.892934999999994</v>
      </c>
      <c r="L74" s="282">
        <f>++Tabla4[[#This Row],[Precio Unitario Neto]]-Tabla4[[#This Row],[20.85%]]</f>
        <v>174.21706499999999</v>
      </c>
      <c r="M74" s="282" t="e">
        <f>(INDEX(Tabla6[#All],MATCH(Tabla4[[#This Row],[Producto]],Tabla6[[#All],[PRODUCTO]],0),MATCH(Tabla4[[#This Row],[Mes]],Tabla6[#Headers],0)))*(1+Catalogos!$L$2)</f>
        <v>#N/A</v>
      </c>
      <c r="N74" s="283" t="e">
        <f>+(Tabla4[[#This Row],[Precio Descontado]]-Tabla4[[#This Row],[Precio Base]])*Tabla4[[#This Row],[Cantidad]]</f>
        <v>#N/A</v>
      </c>
      <c r="O74" s="284" t="e">
        <f>++Tabla4[[#This Row],[Utilidad Total]]/Tabla4[[#This Row],[Total]]</f>
        <v>#N/A</v>
      </c>
      <c r="P74" s="282">
        <f>++Tabla4[[#This Row],[Precio Descontado]]*Tabla4[[#This Row],[Cantidad]]</f>
        <v>348.43412999999998</v>
      </c>
      <c r="Q74" s="282" t="e">
        <f>(INDEX(Tabla6[#All],MATCH(Tabla4[[#This Row],[Producto]],Tabla6[[#All],[PRODUCTO]],0),MATCH(Tabla4[[#This Row],[Mes]],Tabla6[#Headers],0)))</f>
        <v>#N/A</v>
      </c>
      <c r="R74" s="282" t="e">
        <f>++Tabla4[[#This Row],[Precio Unitario Neto]]-Tabla4[[#This Row],[20.85%]]-Tabla4[[#This Row],[Costo]]</f>
        <v>#N/A</v>
      </c>
      <c r="S74" s="282" t="e">
        <f>++Tabla4[[#This Row],[U. Bruta Uni]]*Tabla4[[#This Row],[Cantidad]]</f>
        <v>#N/A</v>
      </c>
      <c r="T74" s="369" t="str">
        <f>VLOOKUP(Tabla4[[#This Row],[Producto]],Tabla6[#All],14,FALSE)</f>
        <v>Termico Solar</v>
      </c>
      <c r="U74" s="284" t="e">
        <f>(IF(Tabla4[[#This Row],[Familia]]="termico solar",Tabla4[[#This Row],[Utilidad Total]]*6%,Tabla4[[#This Row],[Utilidad Total]]*11.5%))/Tabla4[[#This Row],[Total]]</f>
        <v>#N/A</v>
      </c>
      <c r="V74" s="282" t="e">
        <f>+Tabla4[[#This Row],[Comisión Calculada]]*Tabla4[[#This Row],[Total]]</f>
        <v>#N/A</v>
      </c>
    </row>
    <row r="75" spans="1:22" hidden="1" x14ac:dyDescent="0.25">
      <c r="A75" s="100">
        <v>45672</v>
      </c>
      <c r="B75" t="str">
        <f t="shared" si="3"/>
        <v>January</v>
      </c>
      <c r="C75" s="46" t="s">
        <v>280</v>
      </c>
      <c r="F75" s="366" t="s">
        <v>708</v>
      </c>
      <c r="G75" s="46" t="s">
        <v>209</v>
      </c>
      <c r="H75" s="46">
        <v>1</v>
      </c>
      <c r="I75" s="51">
        <v>347.48</v>
      </c>
      <c r="J75" s="281">
        <f>++Tabla4[[#This Row],[Precio Bruto]]*1.16</f>
        <v>403.07679999999999</v>
      </c>
      <c r="K75" s="281">
        <f>+Tabla4[[#This Row],[Precio Unitario Neto]]*Tabla4[[#Headers],[20.85%]]</f>
        <v>84.041512799999992</v>
      </c>
      <c r="L75" s="282">
        <f>++Tabla4[[#This Row],[Precio Unitario Neto]]-Tabla4[[#This Row],[20.85%]]</f>
        <v>319.03528719999997</v>
      </c>
      <c r="M75" s="282" t="e">
        <f>(INDEX(Tabla6[#All],MATCH(Tabla4[[#This Row],[Producto]],Tabla6[[#All],[PRODUCTO]],0),MATCH(Tabla4[[#This Row],[Mes]],Tabla6[#Headers],0)))*(1+Catalogos!$L$2)</f>
        <v>#N/A</v>
      </c>
      <c r="N75" s="283" t="e">
        <f>+(Tabla4[[#This Row],[Precio Descontado]]-Tabla4[[#This Row],[Precio Base]])*Tabla4[[#This Row],[Cantidad]]</f>
        <v>#N/A</v>
      </c>
      <c r="O75" s="284" t="e">
        <f>++Tabla4[[#This Row],[Utilidad Total]]/Tabla4[[#This Row],[Total]]</f>
        <v>#N/A</v>
      </c>
      <c r="P75" s="282">
        <f>++Tabla4[[#This Row],[Precio Descontado]]*Tabla4[[#This Row],[Cantidad]]</f>
        <v>319.03528719999997</v>
      </c>
      <c r="Q75" s="282" t="e">
        <f>(INDEX(Tabla6[#All],MATCH(Tabla4[[#This Row],[Producto]],Tabla6[[#All],[PRODUCTO]],0),MATCH(Tabla4[[#This Row],[Mes]],Tabla6[#Headers],0)))</f>
        <v>#N/A</v>
      </c>
      <c r="R75" s="282" t="e">
        <f>++Tabla4[[#This Row],[Precio Unitario Neto]]-Tabla4[[#This Row],[20.85%]]-Tabla4[[#This Row],[Costo]]</f>
        <v>#N/A</v>
      </c>
      <c r="S75" s="282" t="e">
        <f>++Tabla4[[#This Row],[U. Bruta Uni]]*Tabla4[[#This Row],[Cantidad]]</f>
        <v>#N/A</v>
      </c>
      <c r="T75" s="369" t="str">
        <f>VLOOKUP(Tabla4[[#This Row],[Producto]],Tabla6[#All],14,FALSE)</f>
        <v>Termico Solar</v>
      </c>
      <c r="U75" s="284" t="e">
        <f>(IF(Tabla4[[#This Row],[Familia]]="termico solar",Tabla4[[#This Row],[Utilidad Total]]*6%,Tabla4[[#This Row],[Utilidad Total]]*11.5%))/Tabla4[[#This Row],[Total]]</f>
        <v>#N/A</v>
      </c>
      <c r="V75" s="282" t="e">
        <f>+Tabla4[[#This Row],[Comisión Calculada]]*Tabla4[[#This Row],[Total]]</f>
        <v>#N/A</v>
      </c>
    </row>
    <row r="76" spans="1:22" hidden="1" x14ac:dyDescent="0.25">
      <c r="A76" s="100">
        <v>45672</v>
      </c>
      <c r="B76" t="str">
        <f t="shared" si="3"/>
        <v>January</v>
      </c>
      <c r="C76" s="46" t="s">
        <v>280</v>
      </c>
      <c r="F76" s="366" t="s">
        <v>709</v>
      </c>
      <c r="G76" s="46" t="s">
        <v>16</v>
      </c>
      <c r="H76" s="46">
        <v>4</v>
      </c>
      <c r="I76" s="51">
        <v>4103.8500000000004</v>
      </c>
      <c r="J76" s="281">
        <f>++Tabla4[[#This Row],[Precio Bruto]]*1.16</f>
        <v>4760.4660000000003</v>
      </c>
      <c r="K76" s="281">
        <f>+Tabla4[[#This Row],[Precio Unitario Neto]]*Tabla4[[#Headers],[20.85%]]</f>
        <v>992.55716100000006</v>
      </c>
      <c r="L76" s="282">
        <f>++Tabla4[[#This Row],[Precio Unitario Neto]]-Tabla4[[#This Row],[20.85%]]</f>
        <v>3767.9088390000002</v>
      </c>
      <c r="M76" s="282" t="e">
        <f>(INDEX(Tabla6[#All],MATCH(Tabla4[[#This Row],[Producto]],Tabla6[[#All],[PRODUCTO]],0),MATCH(Tabla4[[#This Row],[Mes]],Tabla6[#Headers],0)))*(1+Catalogos!$L$2)</f>
        <v>#N/A</v>
      </c>
      <c r="N76" s="283" t="e">
        <f>+(Tabla4[[#This Row],[Precio Descontado]]-Tabla4[[#This Row],[Precio Base]])*Tabla4[[#This Row],[Cantidad]]</f>
        <v>#N/A</v>
      </c>
      <c r="O76" s="284" t="e">
        <f>++Tabla4[[#This Row],[Utilidad Total]]/Tabla4[[#This Row],[Total]]</f>
        <v>#N/A</v>
      </c>
      <c r="P76" s="282">
        <f>++Tabla4[[#This Row],[Precio Descontado]]*Tabla4[[#This Row],[Cantidad]]</f>
        <v>15071.635356000001</v>
      </c>
      <c r="Q76" s="282" t="e">
        <f>(INDEX(Tabla6[#All],MATCH(Tabla4[[#This Row],[Producto]],Tabla6[[#All],[PRODUCTO]],0),MATCH(Tabla4[[#This Row],[Mes]],Tabla6[#Headers],0)))</f>
        <v>#N/A</v>
      </c>
      <c r="R76" s="282" t="e">
        <f>++Tabla4[[#This Row],[Precio Unitario Neto]]-Tabla4[[#This Row],[20.85%]]-Tabla4[[#This Row],[Costo]]</f>
        <v>#N/A</v>
      </c>
      <c r="S76" s="282" t="e">
        <f>++Tabla4[[#This Row],[U. Bruta Uni]]*Tabla4[[#This Row],[Cantidad]]</f>
        <v>#N/A</v>
      </c>
      <c r="T76" s="369" t="str">
        <f>VLOOKUP(Tabla4[[#This Row],[Producto]],Tabla6[#All],14,FALSE)</f>
        <v>Termico Solar</v>
      </c>
      <c r="U76" s="284" t="e">
        <f>(IF(Tabla4[[#This Row],[Familia]]="termico solar",Tabla4[[#This Row],[Utilidad Total]]*6%,Tabla4[[#This Row],[Utilidad Total]]*11.5%))/Tabla4[[#This Row],[Total]]</f>
        <v>#N/A</v>
      </c>
      <c r="V76" s="282" t="e">
        <f>+Tabla4[[#This Row],[Comisión Calculada]]*Tabla4[[#This Row],[Total]]</f>
        <v>#N/A</v>
      </c>
    </row>
    <row r="77" spans="1:22" hidden="1" x14ac:dyDescent="0.25">
      <c r="A77" s="100">
        <v>45672</v>
      </c>
      <c r="B77" t="str">
        <f t="shared" si="3"/>
        <v>January</v>
      </c>
      <c r="C77" s="46" t="s">
        <v>280</v>
      </c>
      <c r="F77" s="366" t="s">
        <v>710</v>
      </c>
      <c r="G77" s="46" t="s">
        <v>19</v>
      </c>
      <c r="H77" s="46">
        <v>2</v>
      </c>
      <c r="I77" s="51">
        <v>6412.03</v>
      </c>
      <c r="J77" s="281">
        <f>++Tabla4[[#This Row],[Precio Bruto]]*1.16</f>
        <v>7437.9547999999995</v>
      </c>
      <c r="K77" s="281">
        <f>+Tabla4[[#This Row],[Precio Unitario Neto]]*Tabla4[[#Headers],[20.85%]]</f>
        <v>1550.8135757999999</v>
      </c>
      <c r="L77" s="282">
        <f>++Tabla4[[#This Row],[Precio Unitario Neto]]-Tabla4[[#This Row],[20.85%]]</f>
        <v>5887.1412241999997</v>
      </c>
      <c r="M77" s="282" t="e">
        <f>(INDEX(Tabla6[#All],MATCH(Tabla4[[#This Row],[Producto]],Tabla6[[#All],[PRODUCTO]],0),MATCH(Tabla4[[#This Row],[Mes]],Tabla6[#Headers],0)))*(1+Catalogos!$L$2)</f>
        <v>#N/A</v>
      </c>
      <c r="N77" s="283" t="e">
        <f>+(Tabla4[[#This Row],[Precio Descontado]]-Tabla4[[#This Row],[Precio Base]])*Tabla4[[#This Row],[Cantidad]]</f>
        <v>#N/A</v>
      </c>
      <c r="O77" s="284" t="e">
        <f>++Tabla4[[#This Row],[Utilidad Total]]/Tabla4[[#This Row],[Total]]</f>
        <v>#N/A</v>
      </c>
      <c r="P77" s="282">
        <f>++Tabla4[[#This Row],[Precio Descontado]]*Tabla4[[#This Row],[Cantidad]]</f>
        <v>11774.282448399999</v>
      </c>
      <c r="Q77" s="282" t="e">
        <f>(INDEX(Tabla6[#All],MATCH(Tabla4[[#This Row],[Producto]],Tabla6[[#All],[PRODUCTO]],0),MATCH(Tabla4[[#This Row],[Mes]],Tabla6[#Headers],0)))</f>
        <v>#N/A</v>
      </c>
      <c r="R77" s="282" t="e">
        <f>++Tabla4[[#This Row],[Precio Unitario Neto]]-Tabla4[[#This Row],[20.85%]]-Tabla4[[#This Row],[Costo]]</f>
        <v>#N/A</v>
      </c>
      <c r="S77" s="282" t="e">
        <f>++Tabla4[[#This Row],[U. Bruta Uni]]*Tabla4[[#This Row],[Cantidad]]</f>
        <v>#N/A</v>
      </c>
      <c r="T77" s="369" t="str">
        <f>VLOOKUP(Tabla4[[#This Row],[Producto]],Tabla6[#All],14,FALSE)</f>
        <v>Termico Solar</v>
      </c>
      <c r="U77" s="284" t="e">
        <f>(IF(Tabla4[[#This Row],[Familia]]="termico solar",Tabla4[[#This Row],[Utilidad Total]]*6%,Tabla4[[#This Row],[Utilidad Total]]*11.5%))/Tabla4[[#This Row],[Total]]</f>
        <v>#N/A</v>
      </c>
      <c r="V77" s="282" t="e">
        <f>+Tabla4[[#This Row],[Comisión Calculada]]*Tabla4[[#This Row],[Total]]</f>
        <v>#N/A</v>
      </c>
    </row>
    <row r="78" spans="1:22" hidden="1" x14ac:dyDescent="0.25">
      <c r="A78" s="100">
        <v>45672</v>
      </c>
      <c r="B78" t="str">
        <f t="shared" si="3"/>
        <v>January</v>
      </c>
      <c r="C78" s="46" t="s">
        <v>280</v>
      </c>
      <c r="F78" s="366" t="s">
        <v>711</v>
      </c>
      <c r="G78" s="46" t="s">
        <v>16</v>
      </c>
      <c r="H78" s="46">
        <v>2</v>
      </c>
      <c r="I78" s="51">
        <v>4103.8500000000004</v>
      </c>
      <c r="J78" s="281">
        <f>++Tabla4[[#This Row],[Precio Bruto]]*1.16</f>
        <v>4760.4660000000003</v>
      </c>
      <c r="K78" s="281">
        <f>+Tabla4[[#This Row],[Precio Unitario Neto]]*Tabla4[[#Headers],[20.85%]]</f>
        <v>992.55716100000006</v>
      </c>
      <c r="L78" s="282">
        <f>++Tabla4[[#This Row],[Precio Unitario Neto]]-Tabla4[[#This Row],[20.85%]]</f>
        <v>3767.9088390000002</v>
      </c>
      <c r="M78" s="282" t="e">
        <f>(INDEX(Tabla6[#All],MATCH(Tabla4[[#This Row],[Producto]],Tabla6[[#All],[PRODUCTO]],0),MATCH(Tabla4[[#This Row],[Mes]],Tabla6[#Headers],0)))*(1+Catalogos!$L$2)</f>
        <v>#N/A</v>
      </c>
      <c r="N78" s="283" t="e">
        <f>+(Tabla4[[#This Row],[Precio Descontado]]-Tabla4[[#This Row],[Precio Base]])*Tabla4[[#This Row],[Cantidad]]</f>
        <v>#N/A</v>
      </c>
      <c r="O78" s="284" t="e">
        <f>++Tabla4[[#This Row],[Utilidad Total]]/Tabla4[[#This Row],[Total]]</f>
        <v>#N/A</v>
      </c>
      <c r="P78" s="282">
        <f>++Tabla4[[#This Row],[Precio Descontado]]*Tabla4[[#This Row],[Cantidad]]</f>
        <v>7535.8176780000003</v>
      </c>
      <c r="Q78" s="282" t="e">
        <f>(INDEX(Tabla6[#All],MATCH(Tabla4[[#This Row],[Producto]],Tabla6[[#All],[PRODUCTO]],0),MATCH(Tabla4[[#This Row],[Mes]],Tabla6[#Headers],0)))</f>
        <v>#N/A</v>
      </c>
      <c r="R78" s="282" t="e">
        <f>++Tabla4[[#This Row],[Precio Unitario Neto]]-Tabla4[[#This Row],[20.85%]]-Tabla4[[#This Row],[Costo]]</f>
        <v>#N/A</v>
      </c>
      <c r="S78" s="282" t="e">
        <f>++Tabla4[[#This Row],[U. Bruta Uni]]*Tabla4[[#This Row],[Cantidad]]</f>
        <v>#N/A</v>
      </c>
      <c r="T78" s="369" t="str">
        <f>VLOOKUP(Tabla4[[#This Row],[Producto]],Tabla6[#All],14,FALSE)</f>
        <v>Termico Solar</v>
      </c>
      <c r="U78" s="284" t="e">
        <f>(IF(Tabla4[[#This Row],[Familia]]="termico solar",Tabla4[[#This Row],[Utilidad Total]]*6%,Tabla4[[#This Row],[Utilidad Total]]*11.5%))/Tabla4[[#This Row],[Total]]</f>
        <v>#N/A</v>
      </c>
      <c r="V78" s="282" t="e">
        <f>+Tabla4[[#This Row],[Comisión Calculada]]*Tabla4[[#This Row],[Total]]</f>
        <v>#N/A</v>
      </c>
    </row>
    <row r="79" spans="1:22" hidden="1" x14ac:dyDescent="0.25">
      <c r="A79" s="100">
        <v>45672</v>
      </c>
      <c r="B79" t="str">
        <f t="shared" si="3"/>
        <v>January</v>
      </c>
      <c r="C79" s="46" t="s">
        <v>280</v>
      </c>
      <c r="F79" s="366" t="s">
        <v>712</v>
      </c>
      <c r="G79" s="46" t="s">
        <v>83</v>
      </c>
      <c r="H79" s="46">
        <v>2</v>
      </c>
      <c r="I79" s="51">
        <v>8858.76</v>
      </c>
      <c r="J79" s="281">
        <f>++Tabla4[[#This Row],[Precio Bruto]]*1.16</f>
        <v>10276.161599999999</v>
      </c>
      <c r="K79" s="281">
        <f>+Tabla4[[#This Row],[Precio Unitario Neto]]*Tabla4[[#Headers],[20.85%]]</f>
        <v>2142.5796935999997</v>
      </c>
      <c r="L79" s="282">
        <f>++Tabla4[[#This Row],[Precio Unitario Neto]]-Tabla4[[#This Row],[20.85%]]</f>
        <v>8133.5819063999998</v>
      </c>
      <c r="M79" s="282" t="e">
        <f>(INDEX(Tabla6[#All],MATCH(Tabla4[[#This Row],[Producto]],Tabla6[[#All],[PRODUCTO]],0),MATCH(Tabla4[[#This Row],[Mes]],Tabla6[#Headers],0)))*(1+Catalogos!$L$2)</f>
        <v>#N/A</v>
      </c>
      <c r="N79" s="283" t="e">
        <f>+(Tabla4[[#This Row],[Precio Descontado]]-Tabla4[[#This Row],[Precio Base]])*Tabla4[[#This Row],[Cantidad]]</f>
        <v>#N/A</v>
      </c>
      <c r="O79" s="284" t="e">
        <f>++Tabla4[[#This Row],[Utilidad Total]]/Tabla4[[#This Row],[Total]]</f>
        <v>#N/A</v>
      </c>
      <c r="P79" s="282">
        <f>++Tabla4[[#This Row],[Precio Descontado]]*Tabla4[[#This Row],[Cantidad]]</f>
        <v>16267.1638128</v>
      </c>
      <c r="Q79" s="282" t="e">
        <f>(INDEX(Tabla6[#All],MATCH(Tabla4[[#This Row],[Producto]],Tabla6[[#All],[PRODUCTO]],0),MATCH(Tabla4[[#This Row],[Mes]],Tabla6[#Headers],0)))</f>
        <v>#N/A</v>
      </c>
      <c r="R79" s="282" t="e">
        <f>++Tabla4[[#This Row],[Precio Unitario Neto]]-Tabla4[[#This Row],[20.85%]]-Tabla4[[#This Row],[Costo]]</f>
        <v>#N/A</v>
      </c>
      <c r="S79" s="282" t="e">
        <f>++Tabla4[[#This Row],[U. Bruta Uni]]*Tabla4[[#This Row],[Cantidad]]</f>
        <v>#N/A</v>
      </c>
      <c r="T79" s="369" t="str">
        <f>VLOOKUP(Tabla4[[#This Row],[Producto]],Tabla6[#All],14,FALSE)</f>
        <v>Termico Solar</v>
      </c>
      <c r="U79" s="284" t="e">
        <f>(IF(Tabla4[[#This Row],[Familia]]="termico solar",Tabla4[[#This Row],[Utilidad Total]]*6%,Tabla4[[#This Row],[Utilidad Total]]*11.5%))/Tabla4[[#This Row],[Total]]</f>
        <v>#N/A</v>
      </c>
      <c r="V79" s="282" t="e">
        <f>+Tabla4[[#This Row],[Comisión Calculada]]*Tabla4[[#This Row],[Total]]</f>
        <v>#N/A</v>
      </c>
    </row>
    <row r="80" spans="1:22" hidden="1" x14ac:dyDescent="0.25">
      <c r="A80" s="100">
        <v>45672</v>
      </c>
      <c r="B80" t="str">
        <f t="shared" si="3"/>
        <v>January</v>
      </c>
      <c r="C80" s="46" t="s">
        <v>280</v>
      </c>
      <c r="F80" s="366" t="s">
        <v>712</v>
      </c>
      <c r="G80" s="46" t="s">
        <v>16</v>
      </c>
      <c r="H80" s="46">
        <v>2</v>
      </c>
      <c r="I80" s="51">
        <v>4103.8500000000004</v>
      </c>
      <c r="J80" s="281">
        <f>++Tabla4[[#This Row],[Precio Bruto]]*1.16</f>
        <v>4760.4660000000003</v>
      </c>
      <c r="K80" s="281">
        <f>+Tabla4[[#This Row],[Precio Unitario Neto]]*Tabla4[[#Headers],[20.85%]]</f>
        <v>992.55716100000006</v>
      </c>
      <c r="L80" s="282">
        <f>++Tabla4[[#This Row],[Precio Unitario Neto]]-Tabla4[[#This Row],[20.85%]]</f>
        <v>3767.9088390000002</v>
      </c>
      <c r="M80" s="282" t="e">
        <f>(INDEX(Tabla6[#All],MATCH(Tabla4[[#This Row],[Producto]],Tabla6[[#All],[PRODUCTO]],0),MATCH(Tabla4[[#This Row],[Mes]],Tabla6[#Headers],0)))*(1+Catalogos!$L$2)</f>
        <v>#N/A</v>
      </c>
      <c r="N80" s="283" t="e">
        <f>+(Tabla4[[#This Row],[Precio Descontado]]-Tabla4[[#This Row],[Precio Base]])*Tabla4[[#This Row],[Cantidad]]</f>
        <v>#N/A</v>
      </c>
      <c r="O80" s="284" t="e">
        <f>++Tabla4[[#This Row],[Utilidad Total]]/Tabla4[[#This Row],[Total]]</f>
        <v>#N/A</v>
      </c>
      <c r="P80" s="282">
        <f>++Tabla4[[#This Row],[Precio Descontado]]*Tabla4[[#This Row],[Cantidad]]</f>
        <v>7535.8176780000003</v>
      </c>
      <c r="Q80" s="282" t="e">
        <f>(INDEX(Tabla6[#All],MATCH(Tabla4[[#This Row],[Producto]],Tabla6[[#All],[PRODUCTO]],0),MATCH(Tabla4[[#This Row],[Mes]],Tabla6[#Headers],0)))</f>
        <v>#N/A</v>
      </c>
      <c r="R80" s="282" t="e">
        <f>++Tabla4[[#This Row],[Precio Unitario Neto]]-Tabla4[[#This Row],[20.85%]]-Tabla4[[#This Row],[Costo]]</f>
        <v>#N/A</v>
      </c>
      <c r="S80" s="282" t="e">
        <f>++Tabla4[[#This Row],[U. Bruta Uni]]*Tabla4[[#This Row],[Cantidad]]</f>
        <v>#N/A</v>
      </c>
      <c r="T80" s="369" t="str">
        <f>VLOOKUP(Tabla4[[#This Row],[Producto]],Tabla6[#All],14,FALSE)</f>
        <v>Termico Solar</v>
      </c>
      <c r="U80" s="284" t="e">
        <f>(IF(Tabla4[[#This Row],[Familia]]="termico solar",Tabla4[[#This Row],[Utilidad Total]]*6%,Tabla4[[#This Row],[Utilidad Total]]*11.5%))/Tabla4[[#This Row],[Total]]</f>
        <v>#N/A</v>
      </c>
      <c r="V80" s="282" t="e">
        <f>+Tabla4[[#This Row],[Comisión Calculada]]*Tabla4[[#This Row],[Total]]</f>
        <v>#N/A</v>
      </c>
    </row>
    <row r="81" spans="1:22" hidden="1" x14ac:dyDescent="0.25">
      <c r="A81" s="100">
        <v>45672</v>
      </c>
      <c r="B81" t="str">
        <f t="shared" si="3"/>
        <v>January</v>
      </c>
      <c r="C81" s="46" t="s">
        <v>280</v>
      </c>
      <c r="F81" s="366" t="s">
        <v>713</v>
      </c>
      <c r="G81" s="46" t="s">
        <v>566</v>
      </c>
      <c r="H81" s="46">
        <v>1</v>
      </c>
      <c r="I81" s="51">
        <v>2109.4499999999998</v>
      </c>
      <c r="J81" s="281">
        <f>++Tabla4[[#This Row],[Precio Bruto]]*1.16</f>
        <v>2446.9619999999995</v>
      </c>
      <c r="K81" s="281">
        <f>+Tabla4[[#This Row],[Precio Unitario Neto]]*Tabla4[[#Headers],[20.85%]]</f>
        <v>510.19157699999988</v>
      </c>
      <c r="L81" s="282">
        <f>++Tabla4[[#This Row],[Precio Unitario Neto]]-Tabla4[[#This Row],[20.85%]]</f>
        <v>1936.7704229999997</v>
      </c>
      <c r="M81" s="282" t="e">
        <f>(INDEX(Tabla6[#All],MATCH(Tabla4[[#This Row],[Producto]],Tabla6[[#All],[PRODUCTO]],0),MATCH(Tabla4[[#This Row],[Mes]],Tabla6[#Headers],0)))*(1+Catalogos!$L$2)</f>
        <v>#N/A</v>
      </c>
      <c r="N81" s="283" t="e">
        <f>+(Tabla4[[#This Row],[Precio Descontado]]-Tabla4[[#This Row],[Precio Base]])*Tabla4[[#This Row],[Cantidad]]</f>
        <v>#N/A</v>
      </c>
      <c r="O81" s="284" t="e">
        <f>++Tabla4[[#This Row],[Utilidad Total]]/Tabla4[[#This Row],[Total]]</f>
        <v>#N/A</v>
      </c>
      <c r="P81" s="282">
        <f>++Tabla4[[#This Row],[Precio Descontado]]*Tabla4[[#This Row],[Cantidad]]</f>
        <v>1936.7704229999997</v>
      </c>
      <c r="Q81" s="282" t="e">
        <f>(INDEX(Tabla6[#All],MATCH(Tabla4[[#This Row],[Producto]],Tabla6[[#All],[PRODUCTO]],0),MATCH(Tabla4[[#This Row],[Mes]],Tabla6[#Headers],0)))</f>
        <v>#N/A</v>
      </c>
      <c r="R81" s="282" t="e">
        <f>++Tabla4[[#This Row],[Precio Unitario Neto]]-Tabla4[[#This Row],[20.85%]]-Tabla4[[#This Row],[Costo]]</f>
        <v>#N/A</v>
      </c>
      <c r="S81" s="282" t="e">
        <f>++Tabla4[[#This Row],[U. Bruta Uni]]*Tabla4[[#This Row],[Cantidad]]</f>
        <v>#N/A</v>
      </c>
      <c r="T81" s="369" t="str">
        <f>VLOOKUP(Tabla4[[#This Row],[Producto]],Tabla6[#All],14,FALSE)</f>
        <v>Termico Solar</v>
      </c>
      <c r="U81" s="284" t="e">
        <f>(IF(Tabla4[[#This Row],[Familia]]="termico solar",Tabla4[[#This Row],[Utilidad Total]]*6%,Tabla4[[#This Row],[Utilidad Total]]*11.5%))/Tabla4[[#This Row],[Total]]</f>
        <v>#N/A</v>
      </c>
      <c r="V81" s="282" t="e">
        <f>+Tabla4[[#This Row],[Comisión Calculada]]*Tabla4[[#This Row],[Total]]</f>
        <v>#N/A</v>
      </c>
    </row>
    <row r="82" spans="1:22" hidden="1" x14ac:dyDescent="0.25">
      <c r="A82" s="100">
        <v>45672</v>
      </c>
      <c r="B82" t="str">
        <f t="shared" si="3"/>
        <v>January</v>
      </c>
      <c r="C82" s="46" t="s">
        <v>280</v>
      </c>
      <c r="F82" s="366" t="s">
        <v>714</v>
      </c>
      <c r="G82" s="46" t="s">
        <v>17</v>
      </c>
      <c r="H82" s="46">
        <v>3</v>
      </c>
      <c r="I82" s="51">
        <v>4622.28</v>
      </c>
      <c r="J82" s="281">
        <f>++Tabla4[[#This Row],[Precio Bruto]]*1.16</f>
        <v>5361.8447999999989</v>
      </c>
      <c r="K82" s="281">
        <f>+Tabla4[[#This Row],[Precio Unitario Neto]]*Tabla4[[#Headers],[20.85%]]</f>
        <v>1117.9446407999997</v>
      </c>
      <c r="L82" s="282">
        <f>++Tabla4[[#This Row],[Precio Unitario Neto]]-Tabla4[[#This Row],[20.85%]]</f>
        <v>4243.9001591999995</v>
      </c>
      <c r="M82" s="282" t="e">
        <f>(INDEX(Tabla6[#All],MATCH(Tabla4[[#This Row],[Producto]],Tabla6[[#All],[PRODUCTO]],0),MATCH(Tabla4[[#This Row],[Mes]],Tabla6[#Headers],0)))*(1+Catalogos!$L$2)</f>
        <v>#N/A</v>
      </c>
      <c r="N82" s="283" t="e">
        <f>+(Tabla4[[#This Row],[Precio Descontado]]-Tabla4[[#This Row],[Precio Base]])*Tabla4[[#This Row],[Cantidad]]</f>
        <v>#N/A</v>
      </c>
      <c r="O82" s="284" t="e">
        <f>++Tabla4[[#This Row],[Utilidad Total]]/Tabla4[[#This Row],[Total]]</f>
        <v>#N/A</v>
      </c>
      <c r="P82" s="282">
        <f>++Tabla4[[#This Row],[Precio Descontado]]*Tabla4[[#This Row],[Cantidad]]</f>
        <v>12731.700477599999</v>
      </c>
      <c r="Q82" s="282" t="e">
        <f>(INDEX(Tabla6[#All],MATCH(Tabla4[[#This Row],[Producto]],Tabla6[[#All],[PRODUCTO]],0),MATCH(Tabla4[[#This Row],[Mes]],Tabla6[#Headers],0)))</f>
        <v>#N/A</v>
      </c>
      <c r="R82" s="282" t="e">
        <f>++Tabla4[[#This Row],[Precio Unitario Neto]]-Tabla4[[#This Row],[20.85%]]-Tabla4[[#This Row],[Costo]]</f>
        <v>#N/A</v>
      </c>
      <c r="S82" s="282" t="e">
        <f>++Tabla4[[#This Row],[U. Bruta Uni]]*Tabla4[[#This Row],[Cantidad]]</f>
        <v>#N/A</v>
      </c>
      <c r="T82" s="369" t="str">
        <f>VLOOKUP(Tabla4[[#This Row],[Producto]],Tabla6[#All],14,FALSE)</f>
        <v>Termico Solar</v>
      </c>
      <c r="U82" s="284" t="e">
        <f>(IF(Tabla4[[#This Row],[Familia]]="termico solar",Tabla4[[#This Row],[Utilidad Total]]*6%,Tabla4[[#This Row],[Utilidad Total]]*11.5%))/Tabla4[[#This Row],[Total]]</f>
        <v>#N/A</v>
      </c>
      <c r="V82" s="282" t="e">
        <f>+Tabla4[[#This Row],[Comisión Calculada]]*Tabla4[[#This Row],[Total]]</f>
        <v>#N/A</v>
      </c>
    </row>
    <row r="83" spans="1:22" hidden="1" x14ac:dyDescent="0.25">
      <c r="A83" s="100">
        <v>45672</v>
      </c>
      <c r="B83" t="str">
        <f t="shared" si="3"/>
        <v>January</v>
      </c>
      <c r="C83" s="46" t="s">
        <v>280</v>
      </c>
      <c r="F83" s="366" t="s">
        <v>714</v>
      </c>
      <c r="G83" s="46" t="s">
        <v>16</v>
      </c>
      <c r="H83" s="46">
        <v>2</v>
      </c>
      <c r="I83" s="51">
        <v>4103.8500000000004</v>
      </c>
      <c r="J83" s="281">
        <f>++Tabla4[[#This Row],[Precio Bruto]]*1.16</f>
        <v>4760.4660000000003</v>
      </c>
      <c r="K83" s="281">
        <f>+Tabla4[[#This Row],[Precio Unitario Neto]]*Tabla4[[#Headers],[20.85%]]</f>
        <v>992.55716100000006</v>
      </c>
      <c r="L83" s="282">
        <f>++Tabla4[[#This Row],[Precio Unitario Neto]]-Tabla4[[#This Row],[20.85%]]</f>
        <v>3767.9088390000002</v>
      </c>
      <c r="M83" s="282" t="e">
        <f>(INDEX(Tabla6[#All],MATCH(Tabla4[[#This Row],[Producto]],Tabla6[[#All],[PRODUCTO]],0),MATCH(Tabla4[[#This Row],[Mes]],Tabla6[#Headers],0)))*(1+Catalogos!$L$2)</f>
        <v>#N/A</v>
      </c>
      <c r="N83" s="283" t="e">
        <f>+(Tabla4[[#This Row],[Precio Descontado]]-Tabla4[[#This Row],[Precio Base]])*Tabla4[[#This Row],[Cantidad]]</f>
        <v>#N/A</v>
      </c>
      <c r="O83" s="284" t="e">
        <f>++Tabla4[[#This Row],[Utilidad Total]]/Tabla4[[#This Row],[Total]]</f>
        <v>#N/A</v>
      </c>
      <c r="P83" s="282">
        <f>++Tabla4[[#This Row],[Precio Descontado]]*Tabla4[[#This Row],[Cantidad]]</f>
        <v>7535.8176780000003</v>
      </c>
      <c r="Q83" s="282" t="e">
        <f>(INDEX(Tabla6[#All],MATCH(Tabla4[[#This Row],[Producto]],Tabla6[[#All],[PRODUCTO]],0),MATCH(Tabla4[[#This Row],[Mes]],Tabla6[#Headers],0)))</f>
        <v>#N/A</v>
      </c>
      <c r="R83" s="282" t="e">
        <f>++Tabla4[[#This Row],[Precio Unitario Neto]]-Tabla4[[#This Row],[20.85%]]-Tabla4[[#This Row],[Costo]]</f>
        <v>#N/A</v>
      </c>
      <c r="S83" s="282" t="e">
        <f>++Tabla4[[#This Row],[U. Bruta Uni]]*Tabla4[[#This Row],[Cantidad]]</f>
        <v>#N/A</v>
      </c>
      <c r="T83" s="369" t="str">
        <f>VLOOKUP(Tabla4[[#This Row],[Producto]],Tabla6[#All],14,FALSE)</f>
        <v>Termico Solar</v>
      </c>
      <c r="U83" s="284" t="e">
        <f>(IF(Tabla4[[#This Row],[Familia]]="termico solar",Tabla4[[#This Row],[Utilidad Total]]*6%,Tabla4[[#This Row],[Utilidad Total]]*11.5%))/Tabla4[[#This Row],[Total]]</f>
        <v>#N/A</v>
      </c>
      <c r="V83" s="282" t="e">
        <f>+Tabla4[[#This Row],[Comisión Calculada]]*Tabla4[[#This Row],[Total]]</f>
        <v>#N/A</v>
      </c>
    </row>
    <row r="84" spans="1:22" hidden="1" x14ac:dyDescent="0.25">
      <c r="A84" s="100">
        <v>45672</v>
      </c>
      <c r="B84" t="str">
        <f t="shared" si="3"/>
        <v>January</v>
      </c>
      <c r="C84" s="46" t="s">
        <v>280</v>
      </c>
      <c r="F84" s="366" t="s">
        <v>715</v>
      </c>
      <c r="G84" s="46" t="s">
        <v>83</v>
      </c>
      <c r="H84" s="46">
        <v>1</v>
      </c>
      <c r="I84" s="51">
        <v>8858.76</v>
      </c>
      <c r="J84" s="281">
        <f>++Tabla4[[#This Row],[Precio Bruto]]*1.16</f>
        <v>10276.161599999999</v>
      </c>
      <c r="K84" s="281">
        <f>+Tabla4[[#This Row],[Precio Unitario Neto]]*Tabla4[[#Headers],[20.85%]]</f>
        <v>2142.5796935999997</v>
      </c>
      <c r="L84" s="282">
        <f>++Tabla4[[#This Row],[Precio Unitario Neto]]-Tabla4[[#This Row],[20.85%]]</f>
        <v>8133.5819063999998</v>
      </c>
      <c r="M84" s="282" t="e">
        <f>(INDEX(Tabla6[#All],MATCH(Tabla4[[#This Row],[Producto]],Tabla6[[#All],[PRODUCTO]],0),MATCH(Tabla4[[#This Row],[Mes]],Tabla6[#Headers],0)))*(1+Catalogos!$L$2)</f>
        <v>#N/A</v>
      </c>
      <c r="N84" s="283" t="e">
        <f>+(Tabla4[[#This Row],[Precio Descontado]]-Tabla4[[#This Row],[Precio Base]])*Tabla4[[#This Row],[Cantidad]]</f>
        <v>#N/A</v>
      </c>
      <c r="O84" s="284" t="e">
        <f>++Tabla4[[#This Row],[Utilidad Total]]/Tabla4[[#This Row],[Total]]</f>
        <v>#N/A</v>
      </c>
      <c r="P84" s="282">
        <f>++Tabla4[[#This Row],[Precio Descontado]]*Tabla4[[#This Row],[Cantidad]]</f>
        <v>8133.5819063999998</v>
      </c>
      <c r="Q84" s="282" t="e">
        <f>(INDEX(Tabla6[#All],MATCH(Tabla4[[#This Row],[Producto]],Tabla6[[#All],[PRODUCTO]],0),MATCH(Tabla4[[#This Row],[Mes]],Tabla6[#Headers],0)))</f>
        <v>#N/A</v>
      </c>
      <c r="R84" s="282" t="e">
        <f>++Tabla4[[#This Row],[Precio Unitario Neto]]-Tabla4[[#This Row],[20.85%]]-Tabla4[[#This Row],[Costo]]</f>
        <v>#N/A</v>
      </c>
      <c r="S84" s="282" t="e">
        <f>++Tabla4[[#This Row],[U. Bruta Uni]]*Tabla4[[#This Row],[Cantidad]]</f>
        <v>#N/A</v>
      </c>
      <c r="T84" s="369" t="str">
        <f>VLOOKUP(Tabla4[[#This Row],[Producto]],Tabla6[#All],14,FALSE)</f>
        <v>Termico Solar</v>
      </c>
      <c r="U84" s="284" t="e">
        <f>(IF(Tabla4[[#This Row],[Familia]]="termico solar",Tabla4[[#This Row],[Utilidad Total]]*6%,Tabla4[[#This Row],[Utilidad Total]]*11.5%))/Tabla4[[#This Row],[Total]]</f>
        <v>#N/A</v>
      </c>
      <c r="V84" s="282" t="e">
        <f>+Tabla4[[#This Row],[Comisión Calculada]]*Tabla4[[#This Row],[Total]]</f>
        <v>#N/A</v>
      </c>
    </row>
    <row r="85" spans="1:22" hidden="1" x14ac:dyDescent="0.25">
      <c r="A85" s="100">
        <v>45672</v>
      </c>
      <c r="B85" t="str">
        <f t="shared" si="3"/>
        <v>January</v>
      </c>
      <c r="C85" s="46" t="s">
        <v>280</v>
      </c>
      <c r="F85" s="366" t="s">
        <v>715</v>
      </c>
      <c r="G85" s="46" t="s">
        <v>19</v>
      </c>
      <c r="H85" s="46">
        <v>1</v>
      </c>
      <c r="I85" s="51">
        <v>6412.03</v>
      </c>
      <c r="J85" s="281">
        <f>++Tabla4[[#This Row],[Precio Bruto]]*1.16</f>
        <v>7437.9547999999995</v>
      </c>
      <c r="K85" s="281">
        <f>+Tabla4[[#This Row],[Precio Unitario Neto]]*Tabla4[[#Headers],[20.85%]]</f>
        <v>1550.8135757999999</v>
      </c>
      <c r="L85" s="282">
        <f>++Tabla4[[#This Row],[Precio Unitario Neto]]-Tabla4[[#This Row],[20.85%]]</f>
        <v>5887.1412241999997</v>
      </c>
      <c r="M85" s="282" t="e">
        <f>(INDEX(Tabla6[#All],MATCH(Tabla4[[#This Row],[Producto]],Tabla6[[#All],[PRODUCTO]],0),MATCH(Tabla4[[#This Row],[Mes]],Tabla6[#Headers],0)))*(1+Catalogos!$L$2)</f>
        <v>#N/A</v>
      </c>
      <c r="N85" s="283" t="e">
        <f>+(Tabla4[[#This Row],[Precio Descontado]]-Tabla4[[#This Row],[Precio Base]])*Tabla4[[#This Row],[Cantidad]]</f>
        <v>#N/A</v>
      </c>
      <c r="O85" s="284" t="e">
        <f>++Tabla4[[#This Row],[Utilidad Total]]/Tabla4[[#This Row],[Total]]</f>
        <v>#N/A</v>
      </c>
      <c r="P85" s="282">
        <f>++Tabla4[[#This Row],[Precio Descontado]]*Tabla4[[#This Row],[Cantidad]]</f>
        <v>5887.1412241999997</v>
      </c>
      <c r="Q85" s="282" t="e">
        <f>(INDEX(Tabla6[#All],MATCH(Tabla4[[#This Row],[Producto]],Tabla6[[#All],[PRODUCTO]],0),MATCH(Tabla4[[#This Row],[Mes]],Tabla6[#Headers],0)))</f>
        <v>#N/A</v>
      </c>
      <c r="R85" s="282" t="e">
        <f>++Tabla4[[#This Row],[Precio Unitario Neto]]-Tabla4[[#This Row],[20.85%]]-Tabla4[[#This Row],[Costo]]</f>
        <v>#N/A</v>
      </c>
      <c r="S85" s="282" t="e">
        <f>++Tabla4[[#This Row],[U. Bruta Uni]]*Tabla4[[#This Row],[Cantidad]]</f>
        <v>#N/A</v>
      </c>
      <c r="T85" s="369" t="str">
        <f>VLOOKUP(Tabla4[[#This Row],[Producto]],Tabla6[#All],14,FALSE)</f>
        <v>Termico Solar</v>
      </c>
      <c r="U85" s="284" t="e">
        <f>(IF(Tabla4[[#This Row],[Familia]]="termico solar",Tabla4[[#This Row],[Utilidad Total]]*6%,Tabla4[[#This Row],[Utilidad Total]]*11.5%))/Tabla4[[#This Row],[Total]]</f>
        <v>#N/A</v>
      </c>
      <c r="V85" s="282" t="e">
        <f>+Tabla4[[#This Row],[Comisión Calculada]]*Tabla4[[#This Row],[Total]]</f>
        <v>#N/A</v>
      </c>
    </row>
    <row r="86" spans="1:22" hidden="1" x14ac:dyDescent="0.25">
      <c r="A86" s="100">
        <v>45672</v>
      </c>
      <c r="B86" t="str">
        <f t="shared" si="3"/>
        <v>January</v>
      </c>
      <c r="C86" s="46" t="s">
        <v>280</v>
      </c>
      <c r="F86" s="366" t="s">
        <v>715</v>
      </c>
      <c r="G86" s="46" t="s">
        <v>16</v>
      </c>
      <c r="H86" s="46">
        <v>2</v>
      </c>
      <c r="I86" s="51">
        <v>4103.8500000000004</v>
      </c>
      <c r="J86" s="281">
        <f>++Tabla4[[#This Row],[Precio Bruto]]*1.16</f>
        <v>4760.4660000000003</v>
      </c>
      <c r="K86" s="281">
        <f>+Tabla4[[#This Row],[Precio Unitario Neto]]*Tabla4[[#Headers],[20.85%]]</f>
        <v>992.55716100000006</v>
      </c>
      <c r="L86" s="282">
        <f>++Tabla4[[#This Row],[Precio Unitario Neto]]-Tabla4[[#This Row],[20.85%]]</f>
        <v>3767.9088390000002</v>
      </c>
      <c r="M86" s="282" t="e">
        <f>(INDEX(Tabla6[#All],MATCH(Tabla4[[#This Row],[Producto]],Tabla6[[#All],[PRODUCTO]],0),MATCH(Tabla4[[#This Row],[Mes]],Tabla6[#Headers],0)))*(1+Catalogos!$L$2)</f>
        <v>#N/A</v>
      </c>
      <c r="N86" s="283" t="e">
        <f>+(Tabla4[[#This Row],[Precio Descontado]]-Tabla4[[#This Row],[Precio Base]])*Tabla4[[#This Row],[Cantidad]]</f>
        <v>#N/A</v>
      </c>
      <c r="O86" s="284" t="e">
        <f>++Tabla4[[#This Row],[Utilidad Total]]/Tabla4[[#This Row],[Total]]</f>
        <v>#N/A</v>
      </c>
      <c r="P86" s="282">
        <f>++Tabla4[[#This Row],[Precio Descontado]]*Tabla4[[#This Row],[Cantidad]]</f>
        <v>7535.8176780000003</v>
      </c>
      <c r="Q86" s="282" t="e">
        <f>(INDEX(Tabla6[#All],MATCH(Tabla4[[#This Row],[Producto]],Tabla6[[#All],[PRODUCTO]],0),MATCH(Tabla4[[#This Row],[Mes]],Tabla6[#Headers],0)))</f>
        <v>#N/A</v>
      </c>
      <c r="R86" s="282" t="e">
        <f>++Tabla4[[#This Row],[Precio Unitario Neto]]-Tabla4[[#This Row],[20.85%]]-Tabla4[[#This Row],[Costo]]</f>
        <v>#N/A</v>
      </c>
      <c r="S86" s="282" t="e">
        <f>++Tabla4[[#This Row],[U. Bruta Uni]]*Tabla4[[#This Row],[Cantidad]]</f>
        <v>#N/A</v>
      </c>
      <c r="T86" s="369" t="str">
        <f>VLOOKUP(Tabla4[[#This Row],[Producto]],Tabla6[#All],14,FALSE)</f>
        <v>Termico Solar</v>
      </c>
      <c r="U86" s="284" t="e">
        <f>(IF(Tabla4[[#This Row],[Familia]]="termico solar",Tabla4[[#This Row],[Utilidad Total]]*6%,Tabla4[[#This Row],[Utilidad Total]]*11.5%))/Tabla4[[#This Row],[Total]]</f>
        <v>#N/A</v>
      </c>
      <c r="V86" s="282" t="e">
        <f>+Tabla4[[#This Row],[Comisión Calculada]]*Tabla4[[#This Row],[Total]]</f>
        <v>#N/A</v>
      </c>
    </row>
    <row r="87" spans="1:22" hidden="1" x14ac:dyDescent="0.25">
      <c r="A87" s="100">
        <v>45672</v>
      </c>
      <c r="B87" t="str">
        <f t="shared" si="3"/>
        <v>January</v>
      </c>
      <c r="C87" s="46" t="s">
        <v>280</v>
      </c>
      <c r="F87" s="366" t="s">
        <v>716</v>
      </c>
      <c r="G87" s="46" t="s">
        <v>83</v>
      </c>
      <c r="H87" s="46">
        <v>1</v>
      </c>
      <c r="I87" s="51">
        <v>8858.76</v>
      </c>
      <c r="J87" s="281">
        <f>++Tabla4[[#This Row],[Precio Bruto]]*1.16</f>
        <v>10276.161599999999</v>
      </c>
      <c r="K87" s="281">
        <f>+Tabla4[[#This Row],[Precio Unitario Neto]]*Tabla4[[#Headers],[20.85%]]</f>
        <v>2142.5796935999997</v>
      </c>
      <c r="L87" s="282">
        <f>++Tabla4[[#This Row],[Precio Unitario Neto]]-Tabla4[[#This Row],[20.85%]]</f>
        <v>8133.5819063999998</v>
      </c>
      <c r="M87" s="282" t="e">
        <f>(INDEX(Tabla6[#All],MATCH(Tabla4[[#This Row],[Producto]],Tabla6[[#All],[PRODUCTO]],0),MATCH(Tabla4[[#This Row],[Mes]],Tabla6[#Headers],0)))*(1+Catalogos!$L$2)</f>
        <v>#N/A</v>
      </c>
      <c r="N87" s="283" t="e">
        <f>+(Tabla4[[#This Row],[Precio Descontado]]-Tabla4[[#This Row],[Precio Base]])*Tabla4[[#This Row],[Cantidad]]</f>
        <v>#N/A</v>
      </c>
      <c r="O87" s="284" t="e">
        <f>++Tabla4[[#This Row],[Utilidad Total]]/Tabla4[[#This Row],[Total]]</f>
        <v>#N/A</v>
      </c>
      <c r="P87" s="282">
        <f>++Tabla4[[#This Row],[Precio Descontado]]*Tabla4[[#This Row],[Cantidad]]</f>
        <v>8133.5819063999998</v>
      </c>
      <c r="Q87" s="282" t="e">
        <f>(INDEX(Tabla6[#All],MATCH(Tabla4[[#This Row],[Producto]],Tabla6[[#All],[PRODUCTO]],0),MATCH(Tabla4[[#This Row],[Mes]],Tabla6[#Headers],0)))</f>
        <v>#N/A</v>
      </c>
      <c r="R87" s="282" t="e">
        <f>++Tabla4[[#This Row],[Precio Unitario Neto]]-Tabla4[[#This Row],[20.85%]]-Tabla4[[#This Row],[Costo]]</f>
        <v>#N/A</v>
      </c>
      <c r="S87" s="282" t="e">
        <f>++Tabla4[[#This Row],[U. Bruta Uni]]*Tabla4[[#This Row],[Cantidad]]</f>
        <v>#N/A</v>
      </c>
      <c r="T87" s="369" t="str">
        <f>VLOOKUP(Tabla4[[#This Row],[Producto]],Tabla6[#All],14,FALSE)</f>
        <v>Termico Solar</v>
      </c>
      <c r="U87" s="284" t="e">
        <f>(IF(Tabla4[[#This Row],[Familia]]="termico solar",Tabla4[[#This Row],[Utilidad Total]]*6%,Tabla4[[#This Row],[Utilidad Total]]*11.5%))/Tabla4[[#This Row],[Total]]</f>
        <v>#N/A</v>
      </c>
      <c r="V87" s="282" t="e">
        <f>+Tabla4[[#This Row],[Comisión Calculada]]*Tabla4[[#This Row],[Total]]</f>
        <v>#N/A</v>
      </c>
    </row>
    <row r="88" spans="1:22" hidden="1" x14ac:dyDescent="0.25">
      <c r="A88" s="100">
        <v>45672</v>
      </c>
      <c r="B88" t="str">
        <f t="shared" si="3"/>
        <v>January</v>
      </c>
      <c r="C88" s="46" t="s">
        <v>280</v>
      </c>
      <c r="F88" s="366" t="s">
        <v>716</v>
      </c>
      <c r="G88" s="46" t="s">
        <v>19</v>
      </c>
      <c r="H88" s="46">
        <v>3</v>
      </c>
      <c r="I88" s="51">
        <v>6412.03</v>
      </c>
      <c r="J88" s="281">
        <f>++Tabla4[[#This Row],[Precio Bruto]]*1.16</f>
        <v>7437.9547999999995</v>
      </c>
      <c r="K88" s="281">
        <f>+Tabla4[[#This Row],[Precio Unitario Neto]]*Tabla4[[#Headers],[20.85%]]</f>
        <v>1550.8135757999999</v>
      </c>
      <c r="L88" s="282">
        <f>++Tabla4[[#This Row],[Precio Unitario Neto]]-Tabla4[[#This Row],[20.85%]]</f>
        <v>5887.1412241999997</v>
      </c>
      <c r="M88" s="282" t="e">
        <f>(INDEX(Tabla6[#All],MATCH(Tabla4[[#This Row],[Producto]],Tabla6[[#All],[PRODUCTO]],0),MATCH(Tabla4[[#This Row],[Mes]],Tabla6[#Headers],0)))*(1+Catalogos!$L$2)</f>
        <v>#N/A</v>
      </c>
      <c r="N88" s="283" t="e">
        <f>+(Tabla4[[#This Row],[Precio Descontado]]-Tabla4[[#This Row],[Precio Base]])*Tabla4[[#This Row],[Cantidad]]</f>
        <v>#N/A</v>
      </c>
      <c r="O88" s="284" t="e">
        <f>++Tabla4[[#This Row],[Utilidad Total]]/Tabla4[[#This Row],[Total]]</f>
        <v>#N/A</v>
      </c>
      <c r="P88" s="282">
        <f>++Tabla4[[#This Row],[Precio Descontado]]*Tabla4[[#This Row],[Cantidad]]</f>
        <v>17661.423672599998</v>
      </c>
      <c r="Q88" s="282" t="e">
        <f>(INDEX(Tabla6[#All],MATCH(Tabla4[[#This Row],[Producto]],Tabla6[[#All],[PRODUCTO]],0),MATCH(Tabla4[[#This Row],[Mes]],Tabla6[#Headers],0)))</f>
        <v>#N/A</v>
      </c>
      <c r="R88" s="282" t="e">
        <f>++Tabla4[[#This Row],[Precio Unitario Neto]]-Tabla4[[#This Row],[20.85%]]-Tabla4[[#This Row],[Costo]]</f>
        <v>#N/A</v>
      </c>
      <c r="S88" s="282" t="e">
        <f>++Tabla4[[#This Row],[U. Bruta Uni]]*Tabla4[[#This Row],[Cantidad]]</f>
        <v>#N/A</v>
      </c>
      <c r="T88" s="369" t="str">
        <f>VLOOKUP(Tabla4[[#This Row],[Producto]],Tabla6[#All],14,FALSE)</f>
        <v>Termico Solar</v>
      </c>
      <c r="U88" s="284" t="e">
        <f>(IF(Tabla4[[#This Row],[Familia]]="termico solar",Tabla4[[#This Row],[Utilidad Total]]*6%,Tabla4[[#This Row],[Utilidad Total]]*11.5%))/Tabla4[[#This Row],[Total]]</f>
        <v>#N/A</v>
      </c>
      <c r="V88" s="282" t="e">
        <f>+Tabla4[[#This Row],[Comisión Calculada]]*Tabla4[[#This Row],[Total]]</f>
        <v>#N/A</v>
      </c>
    </row>
    <row r="89" spans="1:22" hidden="1" x14ac:dyDescent="0.25">
      <c r="A89" s="100">
        <v>45672</v>
      </c>
      <c r="B89" t="str">
        <f t="shared" si="3"/>
        <v>January</v>
      </c>
      <c r="C89" s="46" t="s">
        <v>280</v>
      </c>
      <c r="F89" s="366" t="s">
        <v>716</v>
      </c>
      <c r="G89" s="46" t="s">
        <v>566</v>
      </c>
      <c r="H89" s="46">
        <v>1</v>
      </c>
      <c r="I89" s="51">
        <v>2109.4499999999998</v>
      </c>
      <c r="J89" s="281">
        <f>++Tabla4[[#This Row],[Precio Bruto]]*1.16</f>
        <v>2446.9619999999995</v>
      </c>
      <c r="K89" s="281">
        <f>+Tabla4[[#This Row],[Precio Unitario Neto]]*Tabla4[[#Headers],[20.85%]]</f>
        <v>510.19157699999988</v>
      </c>
      <c r="L89" s="282">
        <f>++Tabla4[[#This Row],[Precio Unitario Neto]]-Tabla4[[#This Row],[20.85%]]</f>
        <v>1936.7704229999997</v>
      </c>
      <c r="M89" s="282" t="e">
        <f>(INDEX(Tabla6[#All],MATCH(Tabla4[[#This Row],[Producto]],Tabla6[[#All],[PRODUCTO]],0),MATCH(Tabla4[[#This Row],[Mes]],Tabla6[#Headers],0)))*(1+Catalogos!$L$2)</f>
        <v>#N/A</v>
      </c>
      <c r="N89" s="283" t="e">
        <f>+(Tabla4[[#This Row],[Precio Descontado]]-Tabla4[[#This Row],[Precio Base]])*Tabla4[[#This Row],[Cantidad]]</f>
        <v>#N/A</v>
      </c>
      <c r="O89" s="284" t="e">
        <f>++Tabla4[[#This Row],[Utilidad Total]]/Tabla4[[#This Row],[Total]]</f>
        <v>#N/A</v>
      </c>
      <c r="P89" s="282">
        <f>++Tabla4[[#This Row],[Precio Descontado]]*Tabla4[[#This Row],[Cantidad]]</f>
        <v>1936.7704229999997</v>
      </c>
      <c r="Q89" s="282" t="e">
        <f>(INDEX(Tabla6[#All],MATCH(Tabla4[[#This Row],[Producto]],Tabla6[[#All],[PRODUCTO]],0),MATCH(Tabla4[[#This Row],[Mes]],Tabla6[#Headers],0)))</f>
        <v>#N/A</v>
      </c>
      <c r="R89" s="282" t="e">
        <f>++Tabla4[[#This Row],[Precio Unitario Neto]]-Tabla4[[#This Row],[20.85%]]-Tabla4[[#This Row],[Costo]]</f>
        <v>#N/A</v>
      </c>
      <c r="S89" s="282" t="e">
        <f>++Tabla4[[#This Row],[U. Bruta Uni]]*Tabla4[[#This Row],[Cantidad]]</f>
        <v>#N/A</v>
      </c>
      <c r="T89" s="369" t="str">
        <f>VLOOKUP(Tabla4[[#This Row],[Producto]],Tabla6[#All],14,FALSE)</f>
        <v>Termico Solar</v>
      </c>
      <c r="U89" s="284" t="e">
        <f>(IF(Tabla4[[#This Row],[Familia]]="termico solar",Tabla4[[#This Row],[Utilidad Total]]*6%,Tabla4[[#This Row],[Utilidad Total]]*11.5%))/Tabla4[[#This Row],[Total]]</f>
        <v>#N/A</v>
      </c>
      <c r="V89" s="282" t="e">
        <f>+Tabla4[[#This Row],[Comisión Calculada]]*Tabla4[[#This Row],[Total]]</f>
        <v>#N/A</v>
      </c>
    </row>
    <row r="90" spans="1:22" hidden="1" x14ac:dyDescent="0.25">
      <c r="A90" s="100">
        <v>45672</v>
      </c>
      <c r="B90" t="str">
        <f t="shared" si="3"/>
        <v>January</v>
      </c>
      <c r="C90" s="46" t="s">
        <v>280</v>
      </c>
      <c r="F90" s="366" t="s">
        <v>717</v>
      </c>
      <c r="G90" s="46" t="s">
        <v>17</v>
      </c>
      <c r="H90" s="46">
        <v>1</v>
      </c>
      <c r="I90" s="51">
        <v>4622.28</v>
      </c>
      <c r="J90" s="281">
        <f>++Tabla4[[#This Row],[Precio Bruto]]*1.16</f>
        <v>5361.8447999999989</v>
      </c>
      <c r="K90" s="281">
        <f>+Tabla4[[#This Row],[Precio Unitario Neto]]*Tabla4[[#Headers],[20.85%]]</f>
        <v>1117.9446407999997</v>
      </c>
      <c r="L90" s="282">
        <f>++Tabla4[[#This Row],[Precio Unitario Neto]]-Tabla4[[#This Row],[20.85%]]</f>
        <v>4243.9001591999995</v>
      </c>
      <c r="M90" s="282" t="e">
        <f>(INDEX(Tabla6[#All],MATCH(Tabla4[[#This Row],[Producto]],Tabla6[[#All],[PRODUCTO]],0),MATCH(Tabla4[[#This Row],[Mes]],Tabla6[#Headers],0)))*(1+Catalogos!$L$2)</f>
        <v>#N/A</v>
      </c>
      <c r="N90" s="283" t="e">
        <f>+(Tabla4[[#This Row],[Precio Descontado]]-Tabla4[[#This Row],[Precio Base]])*Tabla4[[#This Row],[Cantidad]]</f>
        <v>#N/A</v>
      </c>
      <c r="O90" s="284" t="e">
        <f>++Tabla4[[#This Row],[Utilidad Total]]/Tabla4[[#This Row],[Total]]</f>
        <v>#N/A</v>
      </c>
      <c r="P90" s="282">
        <f>++Tabla4[[#This Row],[Precio Descontado]]*Tabla4[[#This Row],[Cantidad]]</f>
        <v>4243.9001591999995</v>
      </c>
      <c r="Q90" s="282" t="e">
        <f>(INDEX(Tabla6[#All],MATCH(Tabla4[[#This Row],[Producto]],Tabla6[[#All],[PRODUCTO]],0),MATCH(Tabla4[[#This Row],[Mes]],Tabla6[#Headers],0)))</f>
        <v>#N/A</v>
      </c>
      <c r="R90" s="282" t="e">
        <f>++Tabla4[[#This Row],[Precio Unitario Neto]]-Tabla4[[#This Row],[20.85%]]-Tabla4[[#This Row],[Costo]]</f>
        <v>#N/A</v>
      </c>
      <c r="S90" s="282" t="e">
        <f>++Tabla4[[#This Row],[U. Bruta Uni]]*Tabla4[[#This Row],[Cantidad]]</f>
        <v>#N/A</v>
      </c>
      <c r="T90" s="369" t="str">
        <f>VLOOKUP(Tabla4[[#This Row],[Producto]],Tabla6[#All],14,FALSE)</f>
        <v>Termico Solar</v>
      </c>
      <c r="U90" s="284" t="e">
        <f>(IF(Tabla4[[#This Row],[Familia]]="termico solar",Tabla4[[#This Row],[Utilidad Total]]*6%,Tabla4[[#This Row],[Utilidad Total]]*11.5%))/Tabla4[[#This Row],[Total]]</f>
        <v>#N/A</v>
      </c>
      <c r="V90" s="282" t="e">
        <f>+Tabla4[[#This Row],[Comisión Calculada]]*Tabla4[[#This Row],[Total]]</f>
        <v>#N/A</v>
      </c>
    </row>
    <row r="91" spans="1:22" hidden="1" x14ac:dyDescent="0.25">
      <c r="A91" s="100">
        <v>45672</v>
      </c>
      <c r="B91" t="str">
        <f t="shared" si="3"/>
        <v>January</v>
      </c>
      <c r="C91" s="46" t="s">
        <v>280</v>
      </c>
      <c r="F91" s="366" t="s">
        <v>717</v>
      </c>
      <c r="G91" s="46" t="s">
        <v>18</v>
      </c>
      <c r="H91" s="46">
        <v>2</v>
      </c>
      <c r="I91" s="51">
        <v>5367.65</v>
      </c>
      <c r="J91" s="281">
        <f>++Tabla4[[#This Row],[Precio Bruto]]*1.16</f>
        <v>6226.4739999999993</v>
      </c>
      <c r="K91" s="281">
        <f>+Tabla4[[#This Row],[Precio Unitario Neto]]*Tabla4[[#Headers],[20.85%]]</f>
        <v>1298.2198289999999</v>
      </c>
      <c r="L91" s="282">
        <f>++Tabla4[[#This Row],[Precio Unitario Neto]]-Tabla4[[#This Row],[20.85%]]</f>
        <v>4928.2541709999996</v>
      </c>
      <c r="M91" s="282" t="e">
        <f>(INDEX(Tabla6[#All],MATCH(Tabla4[[#This Row],[Producto]],Tabla6[[#All],[PRODUCTO]],0),MATCH(Tabla4[[#This Row],[Mes]],Tabla6[#Headers],0)))*(1+Catalogos!$L$2)</f>
        <v>#N/A</v>
      </c>
      <c r="N91" s="283" t="e">
        <f>+(Tabla4[[#This Row],[Precio Descontado]]-Tabla4[[#This Row],[Precio Base]])*Tabla4[[#This Row],[Cantidad]]</f>
        <v>#N/A</v>
      </c>
      <c r="O91" s="284" t="e">
        <f>++Tabla4[[#This Row],[Utilidad Total]]/Tabla4[[#This Row],[Total]]</f>
        <v>#N/A</v>
      </c>
      <c r="P91" s="282">
        <f>++Tabla4[[#This Row],[Precio Descontado]]*Tabla4[[#This Row],[Cantidad]]</f>
        <v>9856.5083419999992</v>
      </c>
      <c r="Q91" s="282" t="e">
        <f>(INDEX(Tabla6[#All],MATCH(Tabla4[[#This Row],[Producto]],Tabla6[[#All],[PRODUCTO]],0),MATCH(Tabla4[[#This Row],[Mes]],Tabla6[#Headers],0)))</f>
        <v>#N/A</v>
      </c>
      <c r="R91" s="282" t="e">
        <f>++Tabla4[[#This Row],[Precio Unitario Neto]]-Tabla4[[#This Row],[20.85%]]-Tabla4[[#This Row],[Costo]]</f>
        <v>#N/A</v>
      </c>
      <c r="S91" s="282" t="e">
        <f>++Tabla4[[#This Row],[U. Bruta Uni]]*Tabla4[[#This Row],[Cantidad]]</f>
        <v>#N/A</v>
      </c>
      <c r="T91" s="369" t="str">
        <f>VLOOKUP(Tabla4[[#This Row],[Producto]],Tabla6[#All],14,FALSE)</f>
        <v>Termico Solar</v>
      </c>
      <c r="U91" s="284" t="e">
        <f>(IF(Tabla4[[#This Row],[Familia]]="termico solar",Tabla4[[#This Row],[Utilidad Total]]*6%,Tabla4[[#This Row],[Utilidad Total]]*11.5%))/Tabla4[[#This Row],[Total]]</f>
        <v>#N/A</v>
      </c>
      <c r="V91" s="282" t="e">
        <f>+Tabla4[[#This Row],[Comisión Calculada]]*Tabla4[[#This Row],[Total]]</f>
        <v>#N/A</v>
      </c>
    </row>
    <row r="92" spans="1:22" hidden="1" x14ac:dyDescent="0.25">
      <c r="A92" s="100">
        <v>45672</v>
      </c>
      <c r="B92" t="str">
        <f t="shared" si="3"/>
        <v>January</v>
      </c>
      <c r="C92" s="46" t="s">
        <v>280</v>
      </c>
      <c r="F92" s="366" t="s">
        <v>718</v>
      </c>
      <c r="G92" s="46" t="s">
        <v>83</v>
      </c>
      <c r="H92" s="46">
        <v>7</v>
      </c>
      <c r="I92" s="51">
        <v>8858.76</v>
      </c>
      <c r="J92" s="281">
        <f>++Tabla4[[#This Row],[Precio Bruto]]*1.16</f>
        <v>10276.161599999999</v>
      </c>
      <c r="K92" s="281">
        <f>+Tabla4[[#This Row],[Precio Unitario Neto]]*Tabla4[[#Headers],[20.85%]]</f>
        <v>2142.5796935999997</v>
      </c>
      <c r="L92" s="282">
        <f>++Tabla4[[#This Row],[Precio Unitario Neto]]-Tabla4[[#This Row],[20.85%]]</f>
        <v>8133.5819063999998</v>
      </c>
      <c r="M92" s="282" t="e">
        <f>(INDEX(Tabla6[#All],MATCH(Tabla4[[#This Row],[Producto]],Tabla6[[#All],[PRODUCTO]],0),MATCH(Tabla4[[#This Row],[Mes]],Tabla6[#Headers],0)))*(1+Catalogos!$L$2)</f>
        <v>#N/A</v>
      </c>
      <c r="N92" s="283" t="e">
        <f>+(Tabla4[[#This Row],[Precio Descontado]]-Tabla4[[#This Row],[Precio Base]])*Tabla4[[#This Row],[Cantidad]]</f>
        <v>#N/A</v>
      </c>
      <c r="O92" s="284" t="e">
        <f>++Tabla4[[#This Row],[Utilidad Total]]/Tabla4[[#This Row],[Total]]</f>
        <v>#N/A</v>
      </c>
      <c r="P92" s="282">
        <f>++Tabla4[[#This Row],[Precio Descontado]]*Tabla4[[#This Row],[Cantidad]]</f>
        <v>56935.073344799996</v>
      </c>
      <c r="Q92" s="282" t="e">
        <f>(INDEX(Tabla6[#All],MATCH(Tabla4[[#This Row],[Producto]],Tabla6[[#All],[PRODUCTO]],0),MATCH(Tabla4[[#This Row],[Mes]],Tabla6[#Headers],0)))</f>
        <v>#N/A</v>
      </c>
      <c r="R92" s="282" t="e">
        <f>++Tabla4[[#This Row],[Precio Unitario Neto]]-Tabla4[[#This Row],[20.85%]]-Tabla4[[#This Row],[Costo]]</f>
        <v>#N/A</v>
      </c>
      <c r="S92" s="282" t="e">
        <f>++Tabla4[[#This Row],[U. Bruta Uni]]*Tabla4[[#This Row],[Cantidad]]</f>
        <v>#N/A</v>
      </c>
      <c r="T92" s="369" t="str">
        <f>VLOOKUP(Tabla4[[#This Row],[Producto]],Tabla6[#All],14,FALSE)</f>
        <v>Termico Solar</v>
      </c>
      <c r="U92" s="284" t="e">
        <f>(IF(Tabla4[[#This Row],[Familia]]="termico solar",Tabla4[[#This Row],[Utilidad Total]]*6%,Tabla4[[#This Row],[Utilidad Total]]*11.5%))/Tabla4[[#This Row],[Total]]</f>
        <v>#N/A</v>
      </c>
      <c r="V92" s="282" t="e">
        <f>+Tabla4[[#This Row],[Comisión Calculada]]*Tabla4[[#This Row],[Total]]</f>
        <v>#N/A</v>
      </c>
    </row>
    <row r="93" spans="1:22" hidden="1" x14ac:dyDescent="0.25">
      <c r="A93" s="100">
        <v>45672</v>
      </c>
      <c r="B93" t="str">
        <f t="shared" ref="B93:B98" si="4">TEXT(A93, "mmmm")</f>
        <v>January</v>
      </c>
      <c r="C93" s="46" t="s">
        <v>280</v>
      </c>
      <c r="F93" s="366" t="s">
        <v>719</v>
      </c>
      <c r="G93" s="46" t="s">
        <v>394</v>
      </c>
      <c r="H93" s="46">
        <v>48</v>
      </c>
      <c r="I93" s="51">
        <v>224.29</v>
      </c>
      <c r="J93" s="281">
        <f>++Tabla4[[#This Row],[Precio Bruto]]*1.16</f>
        <v>260.1764</v>
      </c>
      <c r="K93" s="281">
        <f>+Tabla4[[#This Row],[Precio Unitario Neto]]*Tabla4[[#Headers],[20.85%]]</f>
        <v>54.246779400000001</v>
      </c>
      <c r="L93" s="282">
        <f>++Tabla4[[#This Row],[Precio Unitario Neto]]-Tabla4[[#This Row],[20.85%]]</f>
        <v>205.92962059999999</v>
      </c>
      <c r="M93" s="282" t="e">
        <f>(INDEX(Tabla6[#All],MATCH(Tabla4[[#This Row],[Producto]],Tabla6[[#All],[PRODUCTO]],0),MATCH(Tabla4[[#This Row],[Mes]],Tabla6[#Headers],0)))*(1+Catalogos!$L$2)</f>
        <v>#N/A</v>
      </c>
      <c r="N93" s="283" t="e">
        <f>+(Tabla4[[#This Row],[Precio Descontado]]-Tabla4[[#This Row],[Precio Base]])*Tabla4[[#This Row],[Cantidad]]</f>
        <v>#N/A</v>
      </c>
      <c r="O93" s="284" t="e">
        <f>++Tabla4[[#This Row],[Utilidad Total]]/Tabla4[[#This Row],[Total]]</f>
        <v>#N/A</v>
      </c>
      <c r="P93" s="282">
        <f>++Tabla4[[#This Row],[Precio Descontado]]*Tabla4[[#This Row],[Cantidad]]</f>
        <v>9884.6217887999992</v>
      </c>
      <c r="Q93" s="282" t="e">
        <f>(INDEX(Tabla6[#All],MATCH(Tabla4[[#This Row],[Producto]],Tabla6[[#All],[PRODUCTO]],0),MATCH(Tabla4[[#This Row],[Mes]],Tabla6[#Headers],0)))</f>
        <v>#N/A</v>
      </c>
      <c r="R93" s="282" t="e">
        <f>++Tabla4[[#This Row],[Precio Unitario Neto]]-Tabla4[[#This Row],[20.85%]]-Tabla4[[#This Row],[Costo]]</f>
        <v>#N/A</v>
      </c>
      <c r="S93" s="282" t="e">
        <f>++Tabla4[[#This Row],[U. Bruta Uni]]*Tabla4[[#This Row],[Cantidad]]</f>
        <v>#N/A</v>
      </c>
      <c r="T93" s="369" t="str">
        <f>VLOOKUP(Tabla4[[#This Row],[Producto]],Tabla6[#All],14,FALSE)</f>
        <v>Termico Solar</v>
      </c>
      <c r="U93" s="284" t="e">
        <f>(IF(Tabla4[[#This Row],[Familia]]="termico solar",Tabla4[[#This Row],[Utilidad Total]]*6%,Tabla4[[#This Row],[Utilidad Total]]*11.5%))/Tabla4[[#This Row],[Total]]</f>
        <v>#N/A</v>
      </c>
      <c r="V93" s="282" t="e">
        <f>+Tabla4[[#This Row],[Comisión Calculada]]*Tabla4[[#This Row],[Total]]</f>
        <v>#N/A</v>
      </c>
    </row>
    <row r="94" spans="1:22" hidden="1" x14ac:dyDescent="0.25">
      <c r="A94" s="100">
        <v>45672</v>
      </c>
      <c r="B94" t="str">
        <f t="shared" si="4"/>
        <v>January</v>
      </c>
      <c r="C94" s="46" t="s">
        <v>280</v>
      </c>
      <c r="F94" s="366" t="s">
        <v>719</v>
      </c>
      <c r="G94" s="46" t="s">
        <v>200</v>
      </c>
      <c r="H94" s="46">
        <v>36</v>
      </c>
      <c r="I94" s="51">
        <v>393.22</v>
      </c>
      <c r="J94" s="281">
        <f>++Tabla4[[#This Row],[Precio Bruto]]*1.16</f>
        <v>456.1352</v>
      </c>
      <c r="K94" s="281">
        <f>+Tabla4[[#This Row],[Precio Unitario Neto]]*Tabla4[[#Headers],[20.85%]]</f>
        <v>95.104189199999993</v>
      </c>
      <c r="L94" s="282">
        <f>++Tabla4[[#This Row],[Precio Unitario Neto]]-Tabla4[[#This Row],[20.85%]]</f>
        <v>361.03101079999999</v>
      </c>
      <c r="M94" s="282" t="e">
        <f>(INDEX(Tabla6[#All],MATCH(Tabla4[[#This Row],[Producto]],Tabla6[[#All],[PRODUCTO]],0),MATCH(Tabla4[[#This Row],[Mes]],Tabla6[#Headers],0)))*(1+Catalogos!$L$2)</f>
        <v>#N/A</v>
      </c>
      <c r="N94" s="283" t="e">
        <f>+(Tabla4[[#This Row],[Precio Descontado]]-Tabla4[[#This Row],[Precio Base]])*Tabla4[[#This Row],[Cantidad]]</f>
        <v>#N/A</v>
      </c>
      <c r="O94" s="284" t="e">
        <f>++Tabla4[[#This Row],[Utilidad Total]]/Tabla4[[#This Row],[Total]]</f>
        <v>#N/A</v>
      </c>
      <c r="P94" s="282">
        <f>++Tabla4[[#This Row],[Precio Descontado]]*Tabla4[[#This Row],[Cantidad]]</f>
        <v>12997.116388799999</v>
      </c>
      <c r="Q94" s="282" t="e">
        <f>(INDEX(Tabla6[#All],MATCH(Tabla4[[#This Row],[Producto]],Tabla6[[#All],[PRODUCTO]],0),MATCH(Tabla4[[#This Row],[Mes]],Tabla6[#Headers],0)))</f>
        <v>#N/A</v>
      </c>
      <c r="R94" s="282" t="e">
        <f>++Tabla4[[#This Row],[Precio Unitario Neto]]-Tabla4[[#This Row],[20.85%]]-Tabla4[[#This Row],[Costo]]</f>
        <v>#N/A</v>
      </c>
      <c r="S94" s="282" t="e">
        <f>++Tabla4[[#This Row],[U. Bruta Uni]]*Tabla4[[#This Row],[Cantidad]]</f>
        <v>#N/A</v>
      </c>
      <c r="T94" s="369" t="str">
        <f>VLOOKUP(Tabla4[[#This Row],[Producto]],Tabla6[#All],14,FALSE)</f>
        <v>Termico Solar</v>
      </c>
      <c r="U94" s="284" t="e">
        <f>(IF(Tabla4[[#This Row],[Familia]]="termico solar",Tabla4[[#This Row],[Utilidad Total]]*6%,Tabla4[[#This Row],[Utilidad Total]]*11.5%))/Tabla4[[#This Row],[Total]]</f>
        <v>#N/A</v>
      </c>
      <c r="V94" s="282" t="e">
        <f>+Tabla4[[#This Row],[Comisión Calculada]]*Tabla4[[#This Row],[Total]]</f>
        <v>#N/A</v>
      </c>
    </row>
    <row r="95" spans="1:22" hidden="1" x14ac:dyDescent="0.25">
      <c r="A95" s="100">
        <v>45672</v>
      </c>
      <c r="B95" t="str">
        <f t="shared" si="4"/>
        <v>January</v>
      </c>
      <c r="C95" s="46" t="s">
        <v>280</v>
      </c>
      <c r="F95" s="366" t="s">
        <v>719</v>
      </c>
      <c r="G95" s="46" t="s">
        <v>555</v>
      </c>
      <c r="H95" s="46">
        <v>24</v>
      </c>
      <c r="I95" s="51">
        <v>389.47</v>
      </c>
      <c r="J95" s="281">
        <f>++Tabla4[[#This Row],[Precio Bruto]]*1.16</f>
        <v>451.78519999999997</v>
      </c>
      <c r="K95" s="281">
        <f>+Tabla4[[#This Row],[Precio Unitario Neto]]*Tabla4[[#Headers],[20.85%]]</f>
        <v>94.197214199999991</v>
      </c>
      <c r="L95" s="282">
        <f>++Tabla4[[#This Row],[Precio Unitario Neto]]-Tabla4[[#This Row],[20.85%]]</f>
        <v>357.58798579999996</v>
      </c>
      <c r="M95" s="282" t="e">
        <f>(INDEX(Tabla6[#All],MATCH(Tabla4[[#This Row],[Producto]],Tabla6[[#All],[PRODUCTO]],0),MATCH(Tabla4[[#This Row],[Mes]],Tabla6[#Headers],0)))*(1+Catalogos!$L$2)</f>
        <v>#N/A</v>
      </c>
      <c r="N95" s="283" t="e">
        <f>+(Tabla4[[#This Row],[Precio Descontado]]-Tabla4[[#This Row],[Precio Base]])*Tabla4[[#This Row],[Cantidad]]</f>
        <v>#N/A</v>
      </c>
      <c r="O95" s="284" t="e">
        <f>++Tabla4[[#This Row],[Utilidad Total]]/Tabla4[[#This Row],[Total]]</f>
        <v>#N/A</v>
      </c>
      <c r="P95" s="282">
        <f>++Tabla4[[#This Row],[Precio Descontado]]*Tabla4[[#This Row],[Cantidad]]</f>
        <v>8582.1116591999998</v>
      </c>
      <c r="Q95" s="282" t="e">
        <f>(INDEX(Tabla6[#All],MATCH(Tabla4[[#This Row],[Producto]],Tabla6[[#All],[PRODUCTO]],0),MATCH(Tabla4[[#This Row],[Mes]],Tabla6[#Headers],0)))</f>
        <v>#N/A</v>
      </c>
      <c r="R95" s="282" t="e">
        <f>++Tabla4[[#This Row],[Precio Unitario Neto]]-Tabla4[[#This Row],[20.85%]]-Tabla4[[#This Row],[Costo]]</f>
        <v>#N/A</v>
      </c>
      <c r="S95" s="282" t="e">
        <f>++Tabla4[[#This Row],[U. Bruta Uni]]*Tabla4[[#This Row],[Cantidad]]</f>
        <v>#N/A</v>
      </c>
      <c r="T95" s="369" t="str">
        <f>VLOOKUP(Tabla4[[#This Row],[Producto]],Tabla6[#All],14,FALSE)</f>
        <v>Termico Solar</v>
      </c>
      <c r="U95" s="284" t="e">
        <f>(IF(Tabla4[[#This Row],[Familia]]="termico solar",Tabla4[[#This Row],[Utilidad Total]]*6%,Tabla4[[#This Row],[Utilidad Total]]*11.5%))/Tabla4[[#This Row],[Total]]</f>
        <v>#N/A</v>
      </c>
      <c r="V95" s="282" t="e">
        <f>+Tabla4[[#This Row],[Comisión Calculada]]*Tabla4[[#This Row],[Total]]</f>
        <v>#N/A</v>
      </c>
    </row>
    <row r="96" spans="1:22" hidden="1" x14ac:dyDescent="0.25">
      <c r="A96" s="100">
        <v>45672</v>
      </c>
      <c r="B96" t="str">
        <f t="shared" si="4"/>
        <v>January</v>
      </c>
      <c r="C96" s="46" t="s">
        <v>280</v>
      </c>
      <c r="F96" s="366" t="s">
        <v>719</v>
      </c>
      <c r="G96" s="46" t="s">
        <v>545</v>
      </c>
      <c r="H96" s="46">
        <v>72</v>
      </c>
      <c r="I96" s="51">
        <v>304.32</v>
      </c>
      <c r="J96" s="281">
        <f>++Tabla4[[#This Row],[Precio Bruto]]*1.16</f>
        <v>353.01119999999997</v>
      </c>
      <c r="K96" s="281">
        <f>+Tabla4[[#This Row],[Precio Unitario Neto]]*Tabla4[[#Headers],[20.85%]]</f>
        <v>73.602835199999987</v>
      </c>
      <c r="L96" s="282">
        <f>++Tabla4[[#This Row],[Precio Unitario Neto]]-Tabla4[[#This Row],[20.85%]]</f>
        <v>279.40836479999996</v>
      </c>
      <c r="M96" s="282" t="e">
        <f>(INDEX(Tabla6[#All],MATCH(Tabla4[[#This Row],[Producto]],Tabla6[[#All],[PRODUCTO]],0),MATCH(Tabla4[[#This Row],[Mes]],Tabla6[#Headers],0)))*(1+Catalogos!$L$2)</f>
        <v>#N/A</v>
      </c>
      <c r="N96" s="283" t="e">
        <f>+(Tabla4[[#This Row],[Precio Descontado]]-Tabla4[[#This Row],[Precio Base]])*Tabla4[[#This Row],[Cantidad]]</f>
        <v>#N/A</v>
      </c>
      <c r="O96" s="284" t="e">
        <f>++Tabla4[[#This Row],[Utilidad Total]]/Tabla4[[#This Row],[Total]]</f>
        <v>#N/A</v>
      </c>
      <c r="P96" s="282">
        <f>++Tabla4[[#This Row],[Precio Descontado]]*Tabla4[[#This Row],[Cantidad]]</f>
        <v>20117.402265599998</v>
      </c>
      <c r="Q96" s="282" t="e">
        <f>(INDEX(Tabla6[#All],MATCH(Tabla4[[#This Row],[Producto]],Tabla6[[#All],[PRODUCTO]],0),MATCH(Tabla4[[#This Row],[Mes]],Tabla6[#Headers],0)))</f>
        <v>#N/A</v>
      </c>
      <c r="R96" s="282" t="e">
        <f>++Tabla4[[#This Row],[Precio Unitario Neto]]-Tabla4[[#This Row],[20.85%]]-Tabla4[[#This Row],[Costo]]</f>
        <v>#N/A</v>
      </c>
      <c r="S96" s="282" t="e">
        <f>++Tabla4[[#This Row],[U. Bruta Uni]]*Tabla4[[#This Row],[Cantidad]]</f>
        <v>#N/A</v>
      </c>
      <c r="T96" s="369" t="str">
        <f>VLOOKUP(Tabla4[[#This Row],[Producto]],Tabla6[#All],14,FALSE)</f>
        <v>Termico Solar</v>
      </c>
      <c r="U96" s="284" t="e">
        <f>(IF(Tabla4[[#This Row],[Familia]]="termico solar",Tabla4[[#This Row],[Utilidad Total]]*6%,Tabla4[[#This Row],[Utilidad Total]]*11.5%))/Tabla4[[#This Row],[Total]]</f>
        <v>#N/A</v>
      </c>
      <c r="V96" s="282" t="e">
        <f>+Tabla4[[#This Row],[Comisión Calculada]]*Tabla4[[#This Row],[Total]]</f>
        <v>#N/A</v>
      </c>
    </row>
    <row r="97" spans="1:22" hidden="1" x14ac:dyDescent="0.25">
      <c r="A97" s="100">
        <v>45672</v>
      </c>
      <c r="B97" t="str">
        <f t="shared" si="4"/>
        <v>January</v>
      </c>
      <c r="C97" s="46" t="s">
        <v>280</v>
      </c>
      <c r="F97" s="366" t="s">
        <v>719</v>
      </c>
      <c r="G97" s="46" t="s">
        <v>208</v>
      </c>
      <c r="H97" s="46">
        <v>3</v>
      </c>
      <c r="I97" s="51">
        <v>189.75</v>
      </c>
      <c r="J97" s="281">
        <f>++Tabla4[[#This Row],[Precio Bruto]]*1.16</f>
        <v>220.10999999999999</v>
      </c>
      <c r="K97" s="281">
        <f>+Tabla4[[#This Row],[Precio Unitario Neto]]*Tabla4[[#Headers],[20.85%]]</f>
        <v>45.892934999999994</v>
      </c>
      <c r="L97" s="282">
        <f>++Tabla4[[#This Row],[Precio Unitario Neto]]-Tabla4[[#This Row],[20.85%]]</f>
        <v>174.21706499999999</v>
      </c>
      <c r="M97" s="282" t="e">
        <f>(INDEX(Tabla6[#All],MATCH(Tabla4[[#This Row],[Producto]],Tabla6[[#All],[PRODUCTO]],0),MATCH(Tabla4[[#This Row],[Mes]],Tabla6[#Headers],0)))*(1+Catalogos!$L$2)</f>
        <v>#N/A</v>
      </c>
      <c r="N97" s="283" t="e">
        <f>+(Tabla4[[#This Row],[Precio Descontado]]-Tabla4[[#This Row],[Precio Base]])*Tabla4[[#This Row],[Cantidad]]</f>
        <v>#N/A</v>
      </c>
      <c r="O97" s="284" t="e">
        <f>++Tabla4[[#This Row],[Utilidad Total]]/Tabla4[[#This Row],[Total]]</f>
        <v>#N/A</v>
      </c>
      <c r="P97" s="282">
        <f>++Tabla4[[#This Row],[Precio Descontado]]*Tabla4[[#This Row],[Cantidad]]</f>
        <v>522.65119499999992</v>
      </c>
      <c r="Q97" s="282" t="e">
        <f>(INDEX(Tabla6[#All],MATCH(Tabla4[[#This Row],[Producto]],Tabla6[[#All],[PRODUCTO]],0),MATCH(Tabla4[[#This Row],[Mes]],Tabla6[#Headers],0)))</f>
        <v>#N/A</v>
      </c>
      <c r="R97" s="282" t="e">
        <f>++Tabla4[[#This Row],[Precio Unitario Neto]]-Tabla4[[#This Row],[20.85%]]-Tabla4[[#This Row],[Costo]]</f>
        <v>#N/A</v>
      </c>
      <c r="S97" s="282" t="e">
        <f>++Tabla4[[#This Row],[U. Bruta Uni]]*Tabla4[[#This Row],[Cantidad]]</f>
        <v>#N/A</v>
      </c>
      <c r="T97" s="369" t="str">
        <f>VLOOKUP(Tabla4[[#This Row],[Producto]],Tabla6[#All],14,FALSE)</f>
        <v>Termico Solar</v>
      </c>
      <c r="U97" s="284" t="e">
        <f>(IF(Tabla4[[#This Row],[Familia]]="termico solar",Tabla4[[#This Row],[Utilidad Total]]*6%,Tabla4[[#This Row],[Utilidad Total]]*11.5%))/Tabla4[[#This Row],[Total]]</f>
        <v>#N/A</v>
      </c>
      <c r="V97" s="282" t="e">
        <f>+Tabla4[[#This Row],[Comisión Calculada]]*Tabla4[[#This Row],[Total]]</f>
        <v>#N/A</v>
      </c>
    </row>
    <row r="98" spans="1:22" hidden="1" x14ac:dyDescent="0.25">
      <c r="A98" s="100">
        <v>45672</v>
      </c>
      <c r="B98" t="str">
        <f t="shared" si="4"/>
        <v>January</v>
      </c>
      <c r="C98" s="46" t="s">
        <v>280</v>
      </c>
      <c r="F98" s="366" t="s">
        <v>719</v>
      </c>
      <c r="G98" s="46" t="s">
        <v>209</v>
      </c>
      <c r="H98" s="46">
        <v>3</v>
      </c>
      <c r="I98" s="51">
        <v>347.48</v>
      </c>
      <c r="J98" s="281">
        <f>++Tabla4[[#This Row],[Precio Bruto]]*1.16</f>
        <v>403.07679999999999</v>
      </c>
      <c r="K98" s="281">
        <f>+Tabla4[[#This Row],[Precio Unitario Neto]]*Tabla4[[#Headers],[20.85%]]</f>
        <v>84.041512799999992</v>
      </c>
      <c r="L98" s="282">
        <f>++Tabla4[[#This Row],[Precio Unitario Neto]]-Tabla4[[#This Row],[20.85%]]</f>
        <v>319.03528719999997</v>
      </c>
      <c r="M98" s="282" t="e">
        <f>(INDEX(Tabla6[#All],MATCH(Tabla4[[#This Row],[Producto]],Tabla6[[#All],[PRODUCTO]],0),MATCH(Tabla4[[#This Row],[Mes]],Tabla6[#Headers],0)))*(1+Catalogos!$L$2)</f>
        <v>#N/A</v>
      </c>
      <c r="N98" s="283" t="e">
        <f>+(Tabla4[[#This Row],[Precio Descontado]]-Tabla4[[#This Row],[Precio Base]])*Tabla4[[#This Row],[Cantidad]]</f>
        <v>#N/A</v>
      </c>
      <c r="O98" s="284" t="e">
        <f>++Tabla4[[#This Row],[Utilidad Total]]/Tabla4[[#This Row],[Total]]</f>
        <v>#N/A</v>
      </c>
      <c r="P98" s="282">
        <f>++Tabla4[[#This Row],[Precio Descontado]]*Tabla4[[#This Row],[Cantidad]]</f>
        <v>957.10586159999991</v>
      </c>
      <c r="Q98" s="282" t="e">
        <f>(INDEX(Tabla6[#All],MATCH(Tabla4[[#This Row],[Producto]],Tabla6[[#All],[PRODUCTO]],0),MATCH(Tabla4[[#This Row],[Mes]],Tabla6[#Headers],0)))</f>
        <v>#N/A</v>
      </c>
      <c r="R98" s="282" t="e">
        <f>++Tabla4[[#This Row],[Precio Unitario Neto]]-Tabla4[[#This Row],[20.85%]]-Tabla4[[#This Row],[Costo]]</f>
        <v>#N/A</v>
      </c>
      <c r="S98" s="282" t="e">
        <f>++Tabla4[[#This Row],[U. Bruta Uni]]*Tabla4[[#This Row],[Cantidad]]</f>
        <v>#N/A</v>
      </c>
      <c r="T98" s="369" t="str">
        <f>VLOOKUP(Tabla4[[#This Row],[Producto]],Tabla6[#All],14,FALSE)</f>
        <v>Termico Solar</v>
      </c>
      <c r="U98" s="284" t="e">
        <f>(IF(Tabla4[[#This Row],[Familia]]="termico solar",Tabla4[[#This Row],[Utilidad Total]]*6%,Tabla4[[#This Row],[Utilidad Total]]*11.5%))/Tabla4[[#This Row],[Total]]</f>
        <v>#N/A</v>
      </c>
      <c r="V98" s="282" t="e">
        <f>+Tabla4[[#This Row],[Comisión Calculada]]*Tabla4[[#This Row],[Total]]</f>
        <v>#N/A</v>
      </c>
    </row>
    <row r="99" spans="1:22" hidden="1" x14ac:dyDescent="0.25">
      <c r="A99" s="100">
        <v>45672</v>
      </c>
      <c r="B99" t="str">
        <f t="shared" ref="B99:B104" si="5">TEXT(A99, "mmmm")</f>
        <v>January</v>
      </c>
      <c r="C99" s="46" t="s">
        <v>280</v>
      </c>
      <c r="F99" s="366" t="s">
        <v>720</v>
      </c>
      <c r="G99" s="46" t="s">
        <v>394</v>
      </c>
      <c r="H99" s="46">
        <v>48</v>
      </c>
      <c r="I99" s="51">
        <v>224.29</v>
      </c>
      <c r="J99" s="281">
        <f>++Tabla4[[#This Row],[Precio Bruto]]*1.16</f>
        <v>260.1764</v>
      </c>
      <c r="K99" s="281">
        <f>+Tabla4[[#This Row],[Precio Unitario Neto]]*Tabla4[[#Headers],[20.85%]]</f>
        <v>54.246779400000001</v>
      </c>
      <c r="L99" s="282">
        <f>++Tabla4[[#This Row],[Precio Unitario Neto]]-Tabla4[[#This Row],[20.85%]]</f>
        <v>205.92962059999999</v>
      </c>
      <c r="M99" s="282" t="e">
        <f>(INDEX(Tabla6[#All],MATCH(Tabla4[[#This Row],[Producto]],Tabla6[[#All],[PRODUCTO]],0),MATCH(Tabla4[[#This Row],[Mes]],Tabla6[#Headers],0)))*(1+Catalogos!$L$2)</f>
        <v>#N/A</v>
      </c>
      <c r="N99" s="283" t="e">
        <f>+(Tabla4[[#This Row],[Precio Descontado]]-Tabla4[[#This Row],[Precio Base]])*Tabla4[[#This Row],[Cantidad]]</f>
        <v>#N/A</v>
      </c>
      <c r="O99" s="284" t="e">
        <f>++Tabla4[[#This Row],[Utilidad Total]]/Tabla4[[#This Row],[Total]]</f>
        <v>#N/A</v>
      </c>
      <c r="P99" s="282">
        <f>++Tabla4[[#This Row],[Precio Descontado]]*Tabla4[[#This Row],[Cantidad]]</f>
        <v>9884.6217887999992</v>
      </c>
      <c r="Q99" s="282" t="e">
        <f>(INDEX(Tabla6[#All],MATCH(Tabla4[[#This Row],[Producto]],Tabla6[[#All],[PRODUCTO]],0),MATCH(Tabla4[[#This Row],[Mes]],Tabla6[#Headers],0)))</f>
        <v>#N/A</v>
      </c>
      <c r="R99" s="282" t="e">
        <f>++Tabla4[[#This Row],[Precio Unitario Neto]]-Tabla4[[#This Row],[20.85%]]-Tabla4[[#This Row],[Costo]]</f>
        <v>#N/A</v>
      </c>
      <c r="S99" s="282" t="e">
        <f>++Tabla4[[#This Row],[U. Bruta Uni]]*Tabla4[[#This Row],[Cantidad]]</f>
        <v>#N/A</v>
      </c>
      <c r="T99" s="369" t="str">
        <f>VLOOKUP(Tabla4[[#This Row],[Producto]],Tabla6[#All],14,FALSE)</f>
        <v>Termico Solar</v>
      </c>
      <c r="U99" s="284" t="e">
        <f>(IF(Tabla4[[#This Row],[Familia]]="termico solar",Tabla4[[#This Row],[Utilidad Total]]*6%,Tabla4[[#This Row],[Utilidad Total]]*11.5%))/Tabla4[[#This Row],[Total]]</f>
        <v>#N/A</v>
      </c>
      <c r="V99" s="282" t="e">
        <f>+Tabla4[[#This Row],[Comisión Calculada]]*Tabla4[[#This Row],[Total]]</f>
        <v>#N/A</v>
      </c>
    </row>
    <row r="100" spans="1:22" hidden="1" x14ac:dyDescent="0.25">
      <c r="A100" s="100">
        <v>45672</v>
      </c>
      <c r="B100" t="str">
        <f t="shared" si="5"/>
        <v>January</v>
      </c>
      <c r="C100" s="46" t="s">
        <v>280</v>
      </c>
      <c r="F100" s="366" t="s">
        <v>720</v>
      </c>
      <c r="G100" s="46" t="s">
        <v>200</v>
      </c>
      <c r="H100" s="46">
        <v>36</v>
      </c>
      <c r="I100" s="51">
        <v>393.22</v>
      </c>
      <c r="J100" s="281">
        <f>++Tabla4[[#This Row],[Precio Bruto]]*1.16</f>
        <v>456.1352</v>
      </c>
      <c r="K100" s="281">
        <f>+Tabla4[[#This Row],[Precio Unitario Neto]]*Tabla4[[#Headers],[20.85%]]</f>
        <v>95.104189199999993</v>
      </c>
      <c r="L100" s="282">
        <f>++Tabla4[[#This Row],[Precio Unitario Neto]]-Tabla4[[#This Row],[20.85%]]</f>
        <v>361.03101079999999</v>
      </c>
      <c r="M100" s="282" t="e">
        <f>(INDEX(Tabla6[#All],MATCH(Tabla4[[#This Row],[Producto]],Tabla6[[#All],[PRODUCTO]],0),MATCH(Tabla4[[#This Row],[Mes]],Tabla6[#Headers],0)))*(1+Catalogos!$L$2)</f>
        <v>#N/A</v>
      </c>
      <c r="N100" s="283" t="e">
        <f>+(Tabla4[[#This Row],[Precio Descontado]]-Tabla4[[#This Row],[Precio Base]])*Tabla4[[#This Row],[Cantidad]]</f>
        <v>#N/A</v>
      </c>
      <c r="O100" s="284" t="e">
        <f>++Tabla4[[#This Row],[Utilidad Total]]/Tabla4[[#This Row],[Total]]</f>
        <v>#N/A</v>
      </c>
      <c r="P100" s="282">
        <f>++Tabla4[[#This Row],[Precio Descontado]]*Tabla4[[#This Row],[Cantidad]]</f>
        <v>12997.116388799999</v>
      </c>
      <c r="Q100" s="282" t="e">
        <f>(INDEX(Tabla6[#All],MATCH(Tabla4[[#This Row],[Producto]],Tabla6[[#All],[PRODUCTO]],0),MATCH(Tabla4[[#This Row],[Mes]],Tabla6[#Headers],0)))</f>
        <v>#N/A</v>
      </c>
      <c r="R100" s="282" t="e">
        <f>++Tabla4[[#This Row],[Precio Unitario Neto]]-Tabla4[[#This Row],[20.85%]]-Tabla4[[#This Row],[Costo]]</f>
        <v>#N/A</v>
      </c>
      <c r="S100" s="282" t="e">
        <f>++Tabla4[[#This Row],[U. Bruta Uni]]*Tabla4[[#This Row],[Cantidad]]</f>
        <v>#N/A</v>
      </c>
      <c r="T100" s="369" t="str">
        <f>VLOOKUP(Tabla4[[#This Row],[Producto]],Tabla6[#All],14,FALSE)</f>
        <v>Termico Solar</v>
      </c>
      <c r="U100" s="284" t="e">
        <f>(IF(Tabla4[[#This Row],[Familia]]="termico solar",Tabla4[[#This Row],[Utilidad Total]]*6%,Tabla4[[#This Row],[Utilidad Total]]*11.5%))/Tabla4[[#This Row],[Total]]</f>
        <v>#N/A</v>
      </c>
      <c r="V100" s="282" t="e">
        <f>+Tabla4[[#This Row],[Comisión Calculada]]*Tabla4[[#This Row],[Total]]</f>
        <v>#N/A</v>
      </c>
    </row>
    <row r="101" spans="1:22" hidden="1" x14ac:dyDescent="0.25">
      <c r="A101" s="100">
        <v>45672</v>
      </c>
      <c r="B101" t="str">
        <f t="shared" si="5"/>
        <v>January</v>
      </c>
      <c r="C101" s="46" t="s">
        <v>280</v>
      </c>
      <c r="F101" s="366" t="s">
        <v>720</v>
      </c>
      <c r="G101" s="46" t="s">
        <v>555</v>
      </c>
      <c r="H101" s="46">
        <v>24</v>
      </c>
      <c r="I101" s="51">
        <v>389.47</v>
      </c>
      <c r="J101" s="281">
        <f>++Tabla4[[#This Row],[Precio Bruto]]*1.16</f>
        <v>451.78519999999997</v>
      </c>
      <c r="K101" s="281">
        <f>+Tabla4[[#This Row],[Precio Unitario Neto]]*Tabla4[[#Headers],[20.85%]]</f>
        <v>94.197214199999991</v>
      </c>
      <c r="L101" s="282">
        <f>++Tabla4[[#This Row],[Precio Unitario Neto]]-Tabla4[[#This Row],[20.85%]]</f>
        <v>357.58798579999996</v>
      </c>
      <c r="M101" s="282" t="e">
        <f>(INDEX(Tabla6[#All],MATCH(Tabla4[[#This Row],[Producto]],Tabla6[[#All],[PRODUCTO]],0),MATCH(Tabla4[[#This Row],[Mes]],Tabla6[#Headers],0)))*(1+Catalogos!$L$2)</f>
        <v>#N/A</v>
      </c>
      <c r="N101" s="283" t="e">
        <f>+(Tabla4[[#This Row],[Precio Descontado]]-Tabla4[[#This Row],[Precio Base]])*Tabla4[[#This Row],[Cantidad]]</f>
        <v>#N/A</v>
      </c>
      <c r="O101" s="284" t="e">
        <f>++Tabla4[[#This Row],[Utilidad Total]]/Tabla4[[#This Row],[Total]]</f>
        <v>#N/A</v>
      </c>
      <c r="P101" s="282">
        <f>++Tabla4[[#This Row],[Precio Descontado]]*Tabla4[[#This Row],[Cantidad]]</f>
        <v>8582.1116591999998</v>
      </c>
      <c r="Q101" s="282" t="e">
        <f>(INDEX(Tabla6[#All],MATCH(Tabla4[[#This Row],[Producto]],Tabla6[[#All],[PRODUCTO]],0),MATCH(Tabla4[[#This Row],[Mes]],Tabla6[#Headers],0)))</f>
        <v>#N/A</v>
      </c>
      <c r="R101" s="282" t="e">
        <f>++Tabla4[[#This Row],[Precio Unitario Neto]]-Tabla4[[#This Row],[20.85%]]-Tabla4[[#This Row],[Costo]]</f>
        <v>#N/A</v>
      </c>
      <c r="S101" s="282" t="e">
        <f>++Tabla4[[#This Row],[U. Bruta Uni]]*Tabla4[[#This Row],[Cantidad]]</f>
        <v>#N/A</v>
      </c>
      <c r="T101" s="369" t="str">
        <f>VLOOKUP(Tabla4[[#This Row],[Producto]],Tabla6[#All],14,FALSE)</f>
        <v>Termico Solar</v>
      </c>
      <c r="U101" s="284" t="e">
        <f>(IF(Tabla4[[#This Row],[Familia]]="termico solar",Tabla4[[#This Row],[Utilidad Total]]*6%,Tabla4[[#This Row],[Utilidad Total]]*11.5%))/Tabla4[[#This Row],[Total]]</f>
        <v>#N/A</v>
      </c>
      <c r="V101" s="282" t="e">
        <f>+Tabla4[[#This Row],[Comisión Calculada]]*Tabla4[[#This Row],[Total]]</f>
        <v>#N/A</v>
      </c>
    </row>
    <row r="102" spans="1:22" hidden="1" x14ac:dyDescent="0.25">
      <c r="A102" s="100">
        <v>45672</v>
      </c>
      <c r="B102" t="str">
        <f t="shared" si="5"/>
        <v>January</v>
      </c>
      <c r="C102" s="46" t="s">
        <v>280</v>
      </c>
      <c r="F102" s="366" t="s">
        <v>720</v>
      </c>
      <c r="G102" s="46" t="s">
        <v>545</v>
      </c>
      <c r="H102" s="46">
        <v>72</v>
      </c>
      <c r="I102" s="51">
        <v>304.32</v>
      </c>
      <c r="J102" s="281">
        <f>++Tabla4[[#This Row],[Precio Bruto]]*1.16</f>
        <v>353.01119999999997</v>
      </c>
      <c r="K102" s="281">
        <f>+Tabla4[[#This Row],[Precio Unitario Neto]]*Tabla4[[#Headers],[20.85%]]</f>
        <v>73.602835199999987</v>
      </c>
      <c r="L102" s="282">
        <f>++Tabla4[[#This Row],[Precio Unitario Neto]]-Tabla4[[#This Row],[20.85%]]</f>
        <v>279.40836479999996</v>
      </c>
      <c r="M102" s="282" t="e">
        <f>(INDEX(Tabla6[#All],MATCH(Tabla4[[#This Row],[Producto]],Tabla6[[#All],[PRODUCTO]],0),MATCH(Tabla4[[#This Row],[Mes]],Tabla6[#Headers],0)))*(1+Catalogos!$L$2)</f>
        <v>#N/A</v>
      </c>
      <c r="N102" s="283" t="e">
        <f>+(Tabla4[[#This Row],[Precio Descontado]]-Tabla4[[#This Row],[Precio Base]])*Tabla4[[#This Row],[Cantidad]]</f>
        <v>#N/A</v>
      </c>
      <c r="O102" s="284" t="e">
        <f>++Tabla4[[#This Row],[Utilidad Total]]/Tabla4[[#This Row],[Total]]</f>
        <v>#N/A</v>
      </c>
      <c r="P102" s="282">
        <f>++Tabla4[[#This Row],[Precio Descontado]]*Tabla4[[#This Row],[Cantidad]]</f>
        <v>20117.402265599998</v>
      </c>
      <c r="Q102" s="282" t="e">
        <f>(INDEX(Tabla6[#All],MATCH(Tabla4[[#This Row],[Producto]],Tabla6[[#All],[PRODUCTO]],0),MATCH(Tabla4[[#This Row],[Mes]],Tabla6[#Headers],0)))</f>
        <v>#N/A</v>
      </c>
      <c r="R102" s="282" t="e">
        <f>++Tabla4[[#This Row],[Precio Unitario Neto]]-Tabla4[[#This Row],[20.85%]]-Tabla4[[#This Row],[Costo]]</f>
        <v>#N/A</v>
      </c>
      <c r="S102" s="282" t="e">
        <f>++Tabla4[[#This Row],[U. Bruta Uni]]*Tabla4[[#This Row],[Cantidad]]</f>
        <v>#N/A</v>
      </c>
      <c r="T102" s="369" t="str">
        <f>VLOOKUP(Tabla4[[#This Row],[Producto]],Tabla6[#All],14,FALSE)</f>
        <v>Termico Solar</v>
      </c>
      <c r="U102" s="284" t="e">
        <f>(IF(Tabla4[[#This Row],[Familia]]="termico solar",Tabla4[[#This Row],[Utilidad Total]]*6%,Tabla4[[#This Row],[Utilidad Total]]*11.5%))/Tabla4[[#This Row],[Total]]</f>
        <v>#N/A</v>
      </c>
      <c r="V102" s="282" t="e">
        <f>+Tabla4[[#This Row],[Comisión Calculada]]*Tabla4[[#This Row],[Total]]</f>
        <v>#N/A</v>
      </c>
    </row>
    <row r="103" spans="1:22" hidden="1" x14ac:dyDescent="0.25">
      <c r="A103" s="100">
        <v>45672</v>
      </c>
      <c r="B103" t="str">
        <f t="shared" si="5"/>
        <v>January</v>
      </c>
      <c r="C103" s="46" t="s">
        <v>280</v>
      </c>
      <c r="F103" s="366" t="s">
        <v>720</v>
      </c>
      <c r="G103" s="46" t="s">
        <v>208</v>
      </c>
      <c r="H103" s="46">
        <v>3</v>
      </c>
      <c r="I103" s="51">
        <v>189.75</v>
      </c>
      <c r="J103" s="281">
        <f>++Tabla4[[#This Row],[Precio Bruto]]*1.16</f>
        <v>220.10999999999999</v>
      </c>
      <c r="K103" s="281">
        <f>+Tabla4[[#This Row],[Precio Unitario Neto]]*Tabla4[[#Headers],[20.85%]]</f>
        <v>45.892934999999994</v>
      </c>
      <c r="L103" s="282">
        <f>++Tabla4[[#This Row],[Precio Unitario Neto]]-Tabla4[[#This Row],[20.85%]]</f>
        <v>174.21706499999999</v>
      </c>
      <c r="M103" s="282" t="e">
        <f>(INDEX(Tabla6[#All],MATCH(Tabla4[[#This Row],[Producto]],Tabla6[[#All],[PRODUCTO]],0),MATCH(Tabla4[[#This Row],[Mes]],Tabla6[#Headers],0)))*(1+Catalogos!$L$2)</f>
        <v>#N/A</v>
      </c>
      <c r="N103" s="283" t="e">
        <f>+(Tabla4[[#This Row],[Precio Descontado]]-Tabla4[[#This Row],[Precio Base]])*Tabla4[[#This Row],[Cantidad]]</f>
        <v>#N/A</v>
      </c>
      <c r="O103" s="284" t="e">
        <f>++Tabla4[[#This Row],[Utilidad Total]]/Tabla4[[#This Row],[Total]]</f>
        <v>#N/A</v>
      </c>
      <c r="P103" s="282">
        <f>++Tabla4[[#This Row],[Precio Descontado]]*Tabla4[[#This Row],[Cantidad]]</f>
        <v>522.65119499999992</v>
      </c>
      <c r="Q103" s="282" t="e">
        <f>(INDEX(Tabla6[#All],MATCH(Tabla4[[#This Row],[Producto]],Tabla6[[#All],[PRODUCTO]],0),MATCH(Tabla4[[#This Row],[Mes]],Tabla6[#Headers],0)))</f>
        <v>#N/A</v>
      </c>
      <c r="R103" s="282" t="e">
        <f>++Tabla4[[#This Row],[Precio Unitario Neto]]-Tabla4[[#This Row],[20.85%]]-Tabla4[[#This Row],[Costo]]</f>
        <v>#N/A</v>
      </c>
      <c r="S103" s="282" t="e">
        <f>++Tabla4[[#This Row],[U. Bruta Uni]]*Tabla4[[#This Row],[Cantidad]]</f>
        <v>#N/A</v>
      </c>
      <c r="T103" s="369" t="str">
        <f>VLOOKUP(Tabla4[[#This Row],[Producto]],Tabla6[#All],14,FALSE)</f>
        <v>Termico Solar</v>
      </c>
      <c r="U103" s="284" t="e">
        <f>(IF(Tabla4[[#This Row],[Familia]]="termico solar",Tabla4[[#This Row],[Utilidad Total]]*6%,Tabla4[[#This Row],[Utilidad Total]]*11.5%))/Tabla4[[#This Row],[Total]]</f>
        <v>#N/A</v>
      </c>
      <c r="V103" s="282" t="e">
        <f>+Tabla4[[#This Row],[Comisión Calculada]]*Tabla4[[#This Row],[Total]]</f>
        <v>#N/A</v>
      </c>
    </row>
    <row r="104" spans="1:22" hidden="1" x14ac:dyDescent="0.25">
      <c r="A104" s="100">
        <v>45672</v>
      </c>
      <c r="B104" t="str">
        <f t="shared" si="5"/>
        <v>January</v>
      </c>
      <c r="C104" s="46" t="s">
        <v>280</v>
      </c>
      <c r="F104" s="366" t="s">
        <v>720</v>
      </c>
      <c r="G104" s="46" t="s">
        <v>209</v>
      </c>
      <c r="H104" s="46">
        <v>3</v>
      </c>
      <c r="I104" s="51">
        <v>347.48</v>
      </c>
      <c r="J104" s="281">
        <f>++Tabla4[[#This Row],[Precio Bruto]]*1.16</f>
        <v>403.07679999999999</v>
      </c>
      <c r="K104" s="281">
        <f>+Tabla4[[#This Row],[Precio Unitario Neto]]*Tabla4[[#Headers],[20.85%]]</f>
        <v>84.041512799999992</v>
      </c>
      <c r="L104" s="282">
        <f>++Tabla4[[#This Row],[Precio Unitario Neto]]-Tabla4[[#This Row],[20.85%]]</f>
        <v>319.03528719999997</v>
      </c>
      <c r="M104" s="282" t="e">
        <f>(INDEX(Tabla6[#All],MATCH(Tabla4[[#This Row],[Producto]],Tabla6[[#All],[PRODUCTO]],0),MATCH(Tabla4[[#This Row],[Mes]],Tabla6[#Headers],0)))*(1+Catalogos!$L$2)</f>
        <v>#N/A</v>
      </c>
      <c r="N104" s="283" t="e">
        <f>+(Tabla4[[#This Row],[Precio Descontado]]-Tabla4[[#This Row],[Precio Base]])*Tabla4[[#This Row],[Cantidad]]</f>
        <v>#N/A</v>
      </c>
      <c r="O104" s="284" t="e">
        <f>++Tabla4[[#This Row],[Utilidad Total]]/Tabla4[[#This Row],[Total]]</f>
        <v>#N/A</v>
      </c>
      <c r="P104" s="282">
        <f>++Tabla4[[#This Row],[Precio Descontado]]*Tabla4[[#This Row],[Cantidad]]</f>
        <v>957.10586159999991</v>
      </c>
      <c r="Q104" s="282" t="e">
        <f>(INDEX(Tabla6[#All],MATCH(Tabla4[[#This Row],[Producto]],Tabla6[[#All],[PRODUCTO]],0),MATCH(Tabla4[[#This Row],[Mes]],Tabla6[#Headers],0)))</f>
        <v>#N/A</v>
      </c>
      <c r="R104" s="282" t="e">
        <f>++Tabla4[[#This Row],[Precio Unitario Neto]]-Tabla4[[#This Row],[20.85%]]-Tabla4[[#This Row],[Costo]]</f>
        <v>#N/A</v>
      </c>
      <c r="S104" s="282" t="e">
        <f>++Tabla4[[#This Row],[U. Bruta Uni]]*Tabla4[[#This Row],[Cantidad]]</f>
        <v>#N/A</v>
      </c>
      <c r="T104" s="369" t="str">
        <f>VLOOKUP(Tabla4[[#This Row],[Producto]],Tabla6[#All],14,FALSE)</f>
        <v>Termico Solar</v>
      </c>
      <c r="U104" s="284" t="e">
        <f>(IF(Tabla4[[#This Row],[Familia]]="termico solar",Tabla4[[#This Row],[Utilidad Total]]*6%,Tabla4[[#This Row],[Utilidad Total]]*11.5%))/Tabla4[[#This Row],[Total]]</f>
        <v>#N/A</v>
      </c>
      <c r="V104" s="282" t="e">
        <f>+Tabla4[[#This Row],[Comisión Calculada]]*Tabla4[[#This Row],[Total]]</f>
        <v>#N/A</v>
      </c>
    </row>
    <row r="105" spans="1:22" hidden="1" x14ac:dyDescent="0.25">
      <c r="A105" s="100">
        <v>45672</v>
      </c>
      <c r="B105" t="str">
        <f t="shared" ref="B105:B110" si="6">TEXT(A105, "mmmm")</f>
        <v>January</v>
      </c>
      <c r="C105" s="46" t="s">
        <v>280</v>
      </c>
      <c r="F105" s="366" t="s">
        <v>721</v>
      </c>
      <c r="G105" s="46" t="s">
        <v>394</v>
      </c>
      <c r="H105" s="46">
        <v>48</v>
      </c>
      <c r="I105" s="51">
        <v>224.29</v>
      </c>
      <c r="J105" s="281">
        <f>++Tabla4[[#This Row],[Precio Bruto]]*1.16</f>
        <v>260.1764</v>
      </c>
      <c r="K105" s="281">
        <f>+Tabla4[[#This Row],[Precio Unitario Neto]]*Tabla4[[#Headers],[20.85%]]</f>
        <v>54.246779400000001</v>
      </c>
      <c r="L105" s="282">
        <f>++Tabla4[[#This Row],[Precio Unitario Neto]]-Tabla4[[#This Row],[20.85%]]</f>
        <v>205.92962059999999</v>
      </c>
      <c r="M105" s="282" t="e">
        <f>(INDEX(Tabla6[#All],MATCH(Tabla4[[#This Row],[Producto]],Tabla6[[#All],[PRODUCTO]],0),MATCH(Tabla4[[#This Row],[Mes]],Tabla6[#Headers],0)))*(1+Catalogos!$L$2)</f>
        <v>#N/A</v>
      </c>
      <c r="N105" s="283" t="e">
        <f>+(Tabla4[[#This Row],[Precio Descontado]]-Tabla4[[#This Row],[Precio Base]])*Tabla4[[#This Row],[Cantidad]]</f>
        <v>#N/A</v>
      </c>
      <c r="O105" s="284" t="e">
        <f>++Tabla4[[#This Row],[Utilidad Total]]/Tabla4[[#This Row],[Total]]</f>
        <v>#N/A</v>
      </c>
      <c r="P105" s="282">
        <f>++Tabla4[[#This Row],[Precio Descontado]]*Tabla4[[#This Row],[Cantidad]]</f>
        <v>9884.6217887999992</v>
      </c>
      <c r="Q105" s="282" t="e">
        <f>(INDEX(Tabla6[#All],MATCH(Tabla4[[#This Row],[Producto]],Tabla6[[#All],[PRODUCTO]],0),MATCH(Tabla4[[#This Row],[Mes]],Tabla6[#Headers],0)))</f>
        <v>#N/A</v>
      </c>
      <c r="R105" s="282" t="e">
        <f>++Tabla4[[#This Row],[Precio Unitario Neto]]-Tabla4[[#This Row],[20.85%]]-Tabla4[[#This Row],[Costo]]</f>
        <v>#N/A</v>
      </c>
      <c r="S105" s="282" t="e">
        <f>++Tabla4[[#This Row],[U. Bruta Uni]]*Tabla4[[#This Row],[Cantidad]]</f>
        <v>#N/A</v>
      </c>
      <c r="T105" s="369" t="str">
        <f>VLOOKUP(Tabla4[[#This Row],[Producto]],Tabla6[#All],14,FALSE)</f>
        <v>Termico Solar</v>
      </c>
      <c r="U105" s="284" t="e">
        <f>(IF(Tabla4[[#This Row],[Familia]]="termico solar",Tabla4[[#This Row],[Utilidad Total]]*6%,Tabla4[[#This Row],[Utilidad Total]]*11.5%))/Tabla4[[#This Row],[Total]]</f>
        <v>#N/A</v>
      </c>
      <c r="V105" s="282" t="e">
        <f>+Tabla4[[#This Row],[Comisión Calculada]]*Tabla4[[#This Row],[Total]]</f>
        <v>#N/A</v>
      </c>
    </row>
    <row r="106" spans="1:22" hidden="1" x14ac:dyDescent="0.25">
      <c r="A106" s="100">
        <v>45672</v>
      </c>
      <c r="B106" t="str">
        <f t="shared" si="6"/>
        <v>January</v>
      </c>
      <c r="C106" s="46" t="s">
        <v>280</v>
      </c>
      <c r="F106" s="366" t="s">
        <v>721</v>
      </c>
      <c r="G106" s="46" t="s">
        <v>200</v>
      </c>
      <c r="H106" s="46">
        <v>36</v>
      </c>
      <c r="I106" s="51">
        <v>393.22</v>
      </c>
      <c r="J106" s="281">
        <f>++Tabla4[[#This Row],[Precio Bruto]]*1.16</f>
        <v>456.1352</v>
      </c>
      <c r="K106" s="281">
        <f>+Tabla4[[#This Row],[Precio Unitario Neto]]*Tabla4[[#Headers],[20.85%]]</f>
        <v>95.104189199999993</v>
      </c>
      <c r="L106" s="282">
        <f>++Tabla4[[#This Row],[Precio Unitario Neto]]-Tabla4[[#This Row],[20.85%]]</f>
        <v>361.03101079999999</v>
      </c>
      <c r="M106" s="282" t="e">
        <f>(INDEX(Tabla6[#All],MATCH(Tabla4[[#This Row],[Producto]],Tabla6[[#All],[PRODUCTO]],0),MATCH(Tabla4[[#This Row],[Mes]],Tabla6[#Headers],0)))*(1+Catalogos!$L$2)</f>
        <v>#N/A</v>
      </c>
      <c r="N106" s="283" t="e">
        <f>+(Tabla4[[#This Row],[Precio Descontado]]-Tabla4[[#This Row],[Precio Base]])*Tabla4[[#This Row],[Cantidad]]</f>
        <v>#N/A</v>
      </c>
      <c r="O106" s="284" t="e">
        <f>++Tabla4[[#This Row],[Utilidad Total]]/Tabla4[[#This Row],[Total]]</f>
        <v>#N/A</v>
      </c>
      <c r="P106" s="282">
        <f>++Tabla4[[#This Row],[Precio Descontado]]*Tabla4[[#This Row],[Cantidad]]</f>
        <v>12997.116388799999</v>
      </c>
      <c r="Q106" s="282" t="e">
        <f>(INDEX(Tabla6[#All],MATCH(Tabla4[[#This Row],[Producto]],Tabla6[[#All],[PRODUCTO]],0),MATCH(Tabla4[[#This Row],[Mes]],Tabla6[#Headers],0)))</f>
        <v>#N/A</v>
      </c>
      <c r="R106" s="282" t="e">
        <f>++Tabla4[[#This Row],[Precio Unitario Neto]]-Tabla4[[#This Row],[20.85%]]-Tabla4[[#This Row],[Costo]]</f>
        <v>#N/A</v>
      </c>
      <c r="S106" s="282" t="e">
        <f>++Tabla4[[#This Row],[U. Bruta Uni]]*Tabla4[[#This Row],[Cantidad]]</f>
        <v>#N/A</v>
      </c>
      <c r="T106" s="369" t="str">
        <f>VLOOKUP(Tabla4[[#This Row],[Producto]],Tabla6[#All],14,FALSE)</f>
        <v>Termico Solar</v>
      </c>
      <c r="U106" s="284" t="e">
        <f>(IF(Tabla4[[#This Row],[Familia]]="termico solar",Tabla4[[#This Row],[Utilidad Total]]*6%,Tabla4[[#This Row],[Utilidad Total]]*11.5%))/Tabla4[[#This Row],[Total]]</f>
        <v>#N/A</v>
      </c>
      <c r="V106" s="282" t="e">
        <f>+Tabla4[[#This Row],[Comisión Calculada]]*Tabla4[[#This Row],[Total]]</f>
        <v>#N/A</v>
      </c>
    </row>
    <row r="107" spans="1:22" hidden="1" x14ac:dyDescent="0.25">
      <c r="A107" s="100">
        <v>45672</v>
      </c>
      <c r="B107" t="str">
        <f t="shared" si="6"/>
        <v>January</v>
      </c>
      <c r="C107" s="46" t="s">
        <v>280</v>
      </c>
      <c r="F107" s="366" t="s">
        <v>721</v>
      </c>
      <c r="G107" s="46" t="s">
        <v>555</v>
      </c>
      <c r="H107" s="46">
        <v>24</v>
      </c>
      <c r="I107" s="51">
        <v>389.47</v>
      </c>
      <c r="J107" s="281">
        <f>++Tabla4[[#This Row],[Precio Bruto]]*1.16</f>
        <v>451.78519999999997</v>
      </c>
      <c r="K107" s="281">
        <f>+Tabla4[[#This Row],[Precio Unitario Neto]]*Tabla4[[#Headers],[20.85%]]</f>
        <v>94.197214199999991</v>
      </c>
      <c r="L107" s="282">
        <f>++Tabla4[[#This Row],[Precio Unitario Neto]]-Tabla4[[#This Row],[20.85%]]</f>
        <v>357.58798579999996</v>
      </c>
      <c r="M107" s="282" t="e">
        <f>(INDEX(Tabla6[#All],MATCH(Tabla4[[#This Row],[Producto]],Tabla6[[#All],[PRODUCTO]],0),MATCH(Tabla4[[#This Row],[Mes]],Tabla6[#Headers],0)))*(1+Catalogos!$L$2)</f>
        <v>#N/A</v>
      </c>
      <c r="N107" s="283" t="e">
        <f>+(Tabla4[[#This Row],[Precio Descontado]]-Tabla4[[#This Row],[Precio Base]])*Tabla4[[#This Row],[Cantidad]]</f>
        <v>#N/A</v>
      </c>
      <c r="O107" s="284" t="e">
        <f>++Tabla4[[#This Row],[Utilidad Total]]/Tabla4[[#This Row],[Total]]</f>
        <v>#N/A</v>
      </c>
      <c r="P107" s="282">
        <f>++Tabla4[[#This Row],[Precio Descontado]]*Tabla4[[#This Row],[Cantidad]]</f>
        <v>8582.1116591999998</v>
      </c>
      <c r="Q107" s="282" t="e">
        <f>(INDEX(Tabla6[#All],MATCH(Tabla4[[#This Row],[Producto]],Tabla6[[#All],[PRODUCTO]],0),MATCH(Tabla4[[#This Row],[Mes]],Tabla6[#Headers],0)))</f>
        <v>#N/A</v>
      </c>
      <c r="R107" s="282" t="e">
        <f>++Tabla4[[#This Row],[Precio Unitario Neto]]-Tabla4[[#This Row],[20.85%]]-Tabla4[[#This Row],[Costo]]</f>
        <v>#N/A</v>
      </c>
      <c r="S107" s="282" t="e">
        <f>++Tabla4[[#This Row],[U. Bruta Uni]]*Tabla4[[#This Row],[Cantidad]]</f>
        <v>#N/A</v>
      </c>
      <c r="T107" s="369" t="str">
        <f>VLOOKUP(Tabla4[[#This Row],[Producto]],Tabla6[#All],14,FALSE)</f>
        <v>Termico Solar</v>
      </c>
      <c r="U107" s="284" t="e">
        <f>(IF(Tabla4[[#This Row],[Familia]]="termico solar",Tabla4[[#This Row],[Utilidad Total]]*6%,Tabla4[[#This Row],[Utilidad Total]]*11.5%))/Tabla4[[#This Row],[Total]]</f>
        <v>#N/A</v>
      </c>
      <c r="V107" s="282" t="e">
        <f>+Tabla4[[#This Row],[Comisión Calculada]]*Tabla4[[#This Row],[Total]]</f>
        <v>#N/A</v>
      </c>
    </row>
    <row r="108" spans="1:22" hidden="1" x14ac:dyDescent="0.25">
      <c r="A108" s="100">
        <v>45672</v>
      </c>
      <c r="B108" t="str">
        <f t="shared" si="6"/>
        <v>January</v>
      </c>
      <c r="C108" s="46" t="s">
        <v>280</v>
      </c>
      <c r="F108" s="366" t="s">
        <v>721</v>
      </c>
      <c r="G108" s="46" t="s">
        <v>545</v>
      </c>
      <c r="H108" s="46">
        <v>72</v>
      </c>
      <c r="I108" s="51">
        <v>304.32</v>
      </c>
      <c r="J108" s="281">
        <f>++Tabla4[[#This Row],[Precio Bruto]]*1.16</f>
        <v>353.01119999999997</v>
      </c>
      <c r="K108" s="281">
        <f>+Tabla4[[#This Row],[Precio Unitario Neto]]*Tabla4[[#Headers],[20.85%]]</f>
        <v>73.602835199999987</v>
      </c>
      <c r="L108" s="282">
        <f>++Tabla4[[#This Row],[Precio Unitario Neto]]-Tabla4[[#This Row],[20.85%]]</f>
        <v>279.40836479999996</v>
      </c>
      <c r="M108" s="282" t="e">
        <f>(INDEX(Tabla6[#All],MATCH(Tabla4[[#This Row],[Producto]],Tabla6[[#All],[PRODUCTO]],0),MATCH(Tabla4[[#This Row],[Mes]],Tabla6[#Headers],0)))*(1+Catalogos!$L$2)</f>
        <v>#N/A</v>
      </c>
      <c r="N108" s="283" t="e">
        <f>+(Tabla4[[#This Row],[Precio Descontado]]-Tabla4[[#This Row],[Precio Base]])*Tabla4[[#This Row],[Cantidad]]</f>
        <v>#N/A</v>
      </c>
      <c r="O108" s="284" t="e">
        <f>++Tabla4[[#This Row],[Utilidad Total]]/Tabla4[[#This Row],[Total]]</f>
        <v>#N/A</v>
      </c>
      <c r="P108" s="282">
        <f>++Tabla4[[#This Row],[Precio Descontado]]*Tabla4[[#This Row],[Cantidad]]</f>
        <v>20117.402265599998</v>
      </c>
      <c r="Q108" s="282" t="e">
        <f>(INDEX(Tabla6[#All],MATCH(Tabla4[[#This Row],[Producto]],Tabla6[[#All],[PRODUCTO]],0),MATCH(Tabla4[[#This Row],[Mes]],Tabla6[#Headers],0)))</f>
        <v>#N/A</v>
      </c>
      <c r="R108" s="282" t="e">
        <f>++Tabla4[[#This Row],[Precio Unitario Neto]]-Tabla4[[#This Row],[20.85%]]-Tabla4[[#This Row],[Costo]]</f>
        <v>#N/A</v>
      </c>
      <c r="S108" s="282" t="e">
        <f>++Tabla4[[#This Row],[U. Bruta Uni]]*Tabla4[[#This Row],[Cantidad]]</f>
        <v>#N/A</v>
      </c>
      <c r="T108" s="369" t="str">
        <f>VLOOKUP(Tabla4[[#This Row],[Producto]],Tabla6[#All],14,FALSE)</f>
        <v>Termico Solar</v>
      </c>
      <c r="U108" s="284" t="e">
        <f>(IF(Tabla4[[#This Row],[Familia]]="termico solar",Tabla4[[#This Row],[Utilidad Total]]*6%,Tabla4[[#This Row],[Utilidad Total]]*11.5%))/Tabla4[[#This Row],[Total]]</f>
        <v>#N/A</v>
      </c>
      <c r="V108" s="282" t="e">
        <f>+Tabla4[[#This Row],[Comisión Calculada]]*Tabla4[[#This Row],[Total]]</f>
        <v>#N/A</v>
      </c>
    </row>
    <row r="109" spans="1:22" hidden="1" x14ac:dyDescent="0.25">
      <c r="A109" s="100">
        <v>45672</v>
      </c>
      <c r="B109" t="str">
        <f t="shared" si="6"/>
        <v>January</v>
      </c>
      <c r="C109" s="46" t="s">
        <v>280</v>
      </c>
      <c r="F109" s="366" t="s">
        <v>721</v>
      </c>
      <c r="G109" s="46" t="s">
        <v>208</v>
      </c>
      <c r="H109" s="46">
        <v>3</v>
      </c>
      <c r="I109" s="51">
        <v>189.75</v>
      </c>
      <c r="J109" s="281">
        <f>++Tabla4[[#This Row],[Precio Bruto]]*1.16</f>
        <v>220.10999999999999</v>
      </c>
      <c r="K109" s="281">
        <f>+Tabla4[[#This Row],[Precio Unitario Neto]]*Tabla4[[#Headers],[20.85%]]</f>
        <v>45.892934999999994</v>
      </c>
      <c r="L109" s="282">
        <f>++Tabla4[[#This Row],[Precio Unitario Neto]]-Tabla4[[#This Row],[20.85%]]</f>
        <v>174.21706499999999</v>
      </c>
      <c r="M109" s="282" t="e">
        <f>(INDEX(Tabla6[#All],MATCH(Tabla4[[#This Row],[Producto]],Tabla6[[#All],[PRODUCTO]],0),MATCH(Tabla4[[#This Row],[Mes]],Tabla6[#Headers],0)))*(1+Catalogos!$L$2)</f>
        <v>#N/A</v>
      </c>
      <c r="N109" s="283" t="e">
        <f>+(Tabla4[[#This Row],[Precio Descontado]]-Tabla4[[#This Row],[Precio Base]])*Tabla4[[#This Row],[Cantidad]]</f>
        <v>#N/A</v>
      </c>
      <c r="O109" s="284" t="e">
        <f>++Tabla4[[#This Row],[Utilidad Total]]/Tabla4[[#This Row],[Total]]</f>
        <v>#N/A</v>
      </c>
      <c r="P109" s="282">
        <f>++Tabla4[[#This Row],[Precio Descontado]]*Tabla4[[#This Row],[Cantidad]]</f>
        <v>522.65119499999992</v>
      </c>
      <c r="Q109" s="282" t="e">
        <f>(INDEX(Tabla6[#All],MATCH(Tabla4[[#This Row],[Producto]],Tabla6[[#All],[PRODUCTO]],0),MATCH(Tabla4[[#This Row],[Mes]],Tabla6[#Headers],0)))</f>
        <v>#N/A</v>
      </c>
      <c r="R109" s="282" t="e">
        <f>++Tabla4[[#This Row],[Precio Unitario Neto]]-Tabla4[[#This Row],[20.85%]]-Tabla4[[#This Row],[Costo]]</f>
        <v>#N/A</v>
      </c>
      <c r="S109" s="282" t="e">
        <f>++Tabla4[[#This Row],[U. Bruta Uni]]*Tabla4[[#This Row],[Cantidad]]</f>
        <v>#N/A</v>
      </c>
      <c r="T109" s="369" t="str">
        <f>VLOOKUP(Tabla4[[#This Row],[Producto]],Tabla6[#All],14,FALSE)</f>
        <v>Termico Solar</v>
      </c>
      <c r="U109" s="284" t="e">
        <f>(IF(Tabla4[[#This Row],[Familia]]="termico solar",Tabla4[[#This Row],[Utilidad Total]]*6%,Tabla4[[#This Row],[Utilidad Total]]*11.5%))/Tabla4[[#This Row],[Total]]</f>
        <v>#N/A</v>
      </c>
      <c r="V109" s="282" t="e">
        <f>+Tabla4[[#This Row],[Comisión Calculada]]*Tabla4[[#This Row],[Total]]</f>
        <v>#N/A</v>
      </c>
    </row>
    <row r="110" spans="1:22" hidden="1" x14ac:dyDescent="0.25">
      <c r="A110" s="100">
        <v>45672</v>
      </c>
      <c r="B110" t="str">
        <f t="shared" si="6"/>
        <v>January</v>
      </c>
      <c r="C110" s="46" t="s">
        <v>280</v>
      </c>
      <c r="F110" s="366" t="s">
        <v>721</v>
      </c>
      <c r="G110" s="46" t="s">
        <v>209</v>
      </c>
      <c r="H110" s="46">
        <v>3</v>
      </c>
      <c r="I110" s="51">
        <v>347.48</v>
      </c>
      <c r="J110" s="281">
        <f>++Tabla4[[#This Row],[Precio Bruto]]*1.16</f>
        <v>403.07679999999999</v>
      </c>
      <c r="K110" s="281">
        <f>+Tabla4[[#This Row],[Precio Unitario Neto]]*Tabla4[[#Headers],[20.85%]]</f>
        <v>84.041512799999992</v>
      </c>
      <c r="L110" s="282">
        <f>++Tabla4[[#This Row],[Precio Unitario Neto]]-Tabla4[[#This Row],[20.85%]]</f>
        <v>319.03528719999997</v>
      </c>
      <c r="M110" s="282" t="e">
        <f>(INDEX(Tabla6[#All],MATCH(Tabla4[[#This Row],[Producto]],Tabla6[[#All],[PRODUCTO]],0),MATCH(Tabla4[[#This Row],[Mes]],Tabla6[#Headers],0)))*(1+Catalogos!$L$2)</f>
        <v>#N/A</v>
      </c>
      <c r="N110" s="283" t="e">
        <f>+(Tabla4[[#This Row],[Precio Descontado]]-Tabla4[[#This Row],[Precio Base]])*Tabla4[[#This Row],[Cantidad]]</f>
        <v>#N/A</v>
      </c>
      <c r="O110" s="284" t="e">
        <f>++Tabla4[[#This Row],[Utilidad Total]]/Tabla4[[#This Row],[Total]]</f>
        <v>#N/A</v>
      </c>
      <c r="P110" s="282">
        <f>++Tabla4[[#This Row],[Precio Descontado]]*Tabla4[[#This Row],[Cantidad]]</f>
        <v>957.10586159999991</v>
      </c>
      <c r="Q110" s="282" t="e">
        <f>(INDEX(Tabla6[#All],MATCH(Tabla4[[#This Row],[Producto]],Tabla6[[#All],[PRODUCTO]],0),MATCH(Tabla4[[#This Row],[Mes]],Tabla6[#Headers],0)))</f>
        <v>#N/A</v>
      </c>
      <c r="R110" s="282" t="e">
        <f>++Tabla4[[#This Row],[Precio Unitario Neto]]-Tabla4[[#This Row],[20.85%]]-Tabla4[[#This Row],[Costo]]</f>
        <v>#N/A</v>
      </c>
      <c r="S110" s="282" t="e">
        <f>++Tabla4[[#This Row],[U. Bruta Uni]]*Tabla4[[#This Row],[Cantidad]]</f>
        <v>#N/A</v>
      </c>
      <c r="T110" s="369" t="str">
        <f>VLOOKUP(Tabla4[[#This Row],[Producto]],Tabla6[#All],14,FALSE)</f>
        <v>Termico Solar</v>
      </c>
      <c r="U110" s="284" t="e">
        <f>(IF(Tabla4[[#This Row],[Familia]]="termico solar",Tabla4[[#This Row],[Utilidad Total]]*6%,Tabla4[[#This Row],[Utilidad Total]]*11.5%))/Tabla4[[#This Row],[Total]]</f>
        <v>#N/A</v>
      </c>
      <c r="V110" s="282" t="e">
        <f>+Tabla4[[#This Row],[Comisión Calculada]]*Tabla4[[#This Row],[Total]]</f>
        <v>#N/A</v>
      </c>
    </row>
    <row r="111" spans="1:22" hidden="1" x14ac:dyDescent="0.25">
      <c r="A111" s="100">
        <v>45672</v>
      </c>
      <c r="B111" t="str">
        <f t="shared" ref="B111:B116" si="7">TEXT(A111, "mmmm")</f>
        <v>January</v>
      </c>
      <c r="C111" s="46" t="s">
        <v>280</v>
      </c>
      <c r="F111" s="366" t="s">
        <v>722</v>
      </c>
      <c r="G111" s="46" t="s">
        <v>394</v>
      </c>
      <c r="H111" s="46">
        <v>48</v>
      </c>
      <c r="I111" s="51">
        <v>224.29</v>
      </c>
      <c r="J111" s="281">
        <f>++Tabla4[[#This Row],[Precio Bruto]]*1.16</f>
        <v>260.1764</v>
      </c>
      <c r="K111" s="281">
        <f>+Tabla4[[#This Row],[Precio Unitario Neto]]*Tabla4[[#Headers],[20.85%]]</f>
        <v>54.246779400000001</v>
      </c>
      <c r="L111" s="282">
        <f>++Tabla4[[#This Row],[Precio Unitario Neto]]-Tabla4[[#This Row],[20.85%]]</f>
        <v>205.92962059999999</v>
      </c>
      <c r="M111" s="282" t="e">
        <f>(INDEX(Tabla6[#All],MATCH(Tabla4[[#This Row],[Producto]],Tabla6[[#All],[PRODUCTO]],0),MATCH(Tabla4[[#This Row],[Mes]],Tabla6[#Headers],0)))*(1+Catalogos!$L$2)</f>
        <v>#N/A</v>
      </c>
      <c r="N111" s="283" t="e">
        <f>+(Tabla4[[#This Row],[Precio Descontado]]-Tabla4[[#This Row],[Precio Base]])*Tabla4[[#This Row],[Cantidad]]</f>
        <v>#N/A</v>
      </c>
      <c r="O111" s="284" t="e">
        <f>++Tabla4[[#This Row],[Utilidad Total]]/Tabla4[[#This Row],[Total]]</f>
        <v>#N/A</v>
      </c>
      <c r="P111" s="282">
        <f>++Tabla4[[#This Row],[Precio Descontado]]*Tabla4[[#This Row],[Cantidad]]</f>
        <v>9884.6217887999992</v>
      </c>
      <c r="Q111" s="282" t="e">
        <f>(INDEX(Tabla6[#All],MATCH(Tabla4[[#This Row],[Producto]],Tabla6[[#All],[PRODUCTO]],0),MATCH(Tabla4[[#This Row],[Mes]],Tabla6[#Headers],0)))</f>
        <v>#N/A</v>
      </c>
      <c r="R111" s="282" t="e">
        <f>++Tabla4[[#This Row],[Precio Unitario Neto]]-Tabla4[[#This Row],[20.85%]]-Tabla4[[#This Row],[Costo]]</f>
        <v>#N/A</v>
      </c>
      <c r="S111" s="282" t="e">
        <f>++Tabla4[[#This Row],[U. Bruta Uni]]*Tabla4[[#This Row],[Cantidad]]</f>
        <v>#N/A</v>
      </c>
      <c r="T111" s="369" t="str">
        <f>VLOOKUP(Tabla4[[#This Row],[Producto]],Tabla6[#All],14,FALSE)</f>
        <v>Termico Solar</v>
      </c>
      <c r="U111" s="284" t="e">
        <f>(IF(Tabla4[[#This Row],[Familia]]="termico solar",Tabla4[[#This Row],[Utilidad Total]]*6%,Tabla4[[#This Row],[Utilidad Total]]*11.5%))/Tabla4[[#This Row],[Total]]</f>
        <v>#N/A</v>
      </c>
      <c r="V111" s="282" t="e">
        <f>+Tabla4[[#This Row],[Comisión Calculada]]*Tabla4[[#This Row],[Total]]</f>
        <v>#N/A</v>
      </c>
    </row>
    <row r="112" spans="1:22" hidden="1" x14ac:dyDescent="0.25">
      <c r="A112" s="100">
        <v>45672</v>
      </c>
      <c r="B112" t="str">
        <f t="shared" si="7"/>
        <v>January</v>
      </c>
      <c r="C112" s="46" t="s">
        <v>280</v>
      </c>
      <c r="F112" s="366" t="s">
        <v>722</v>
      </c>
      <c r="G112" s="46" t="s">
        <v>200</v>
      </c>
      <c r="H112" s="46">
        <v>36</v>
      </c>
      <c r="I112" s="51">
        <v>393.22</v>
      </c>
      <c r="J112" s="281">
        <f>++Tabla4[[#This Row],[Precio Bruto]]*1.16</f>
        <v>456.1352</v>
      </c>
      <c r="K112" s="281">
        <f>+Tabla4[[#This Row],[Precio Unitario Neto]]*Tabla4[[#Headers],[20.85%]]</f>
        <v>95.104189199999993</v>
      </c>
      <c r="L112" s="282">
        <f>++Tabla4[[#This Row],[Precio Unitario Neto]]-Tabla4[[#This Row],[20.85%]]</f>
        <v>361.03101079999999</v>
      </c>
      <c r="M112" s="282" t="e">
        <f>(INDEX(Tabla6[#All],MATCH(Tabla4[[#This Row],[Producto]],Tabla6[[#All],[PRODUCTO]],0),MATCH(Tabla4[[#This Row],[Mes]],Tabla6[#Headers],0)))*(1+Catalogos!$L$2)</f>
        <v>#N/A</v>
      </c>
      <c r="N112" s="283" t="e">
        <f>+(Tabla4[[#This Row],[Precio Descontado]]-Tabla4[[#This Row],[Precio Base]])*Tabla4[[#This Row],[Cantidad]]</f>
        <v>#N/A</v>
      </c>
      <c r="O112" s="284" t="e">
        <f>++Tabla4[[#This Row],[Utilidad Total]]/Tabla4[[#This Row],[Total]]</f>
        <v>#N/A</v>
      </c>
      <c r="P112" s="282">
        <f>++Tabla4[[#This Row],[Precio Descontado]]*Tabla4[[#This Row],[Cantidad]]</f>
        <v>12997.116388799999</v>
      </c>
      <c r="Q112" s="282" t="e">
        <f>(INDEX(Tabla6[#All],MATCH(Tabla4[[#This Row],[Producto]],Tabla6[[#All],[PRODUCTO]],0),MATCH(Tabla4[[#This Row],[Mes]],Tabla6[#Headers],0)))</f>
        <v>#N/A</v>
      </c>
      <c r="R112" s="282" t="e">
        <f>++Tabla4[[#This Row],[Precio Unitario Neto]]-Tabla4[[#This Row],[20.85%]]-Tabla4[[#This Row],[Costo]]</f>
        <v>#N/A</v>
      </c>
      <c r="S112" s="282" t="e">
        <f>++Tabla4[[#This Row],[U. Bruta Uni]]*Tabla4[[#This Row],[Cantidad]]</f>
        <v>#N/A</v>
      </c>
      <c r="T112" s="369" t="str">
        <f>VLOOKUP(Tabla4[[#This Row],[Producto]],Tabla6[#All],14,FALSE)</f>
        <v>Termico Solar</v>
      </c>
      <c r="U112" s="284" t="e">
        <f>(IF(Tabla4[[#This Row],[Familia]]="termico solar",Tabla4[[#This Row],[Utilidad Total]]*6%,Tabla4[[#This Row],[Utilidad Total]]*11.5%))/Tabla4[[#This Row],[Total]]</f>
        <v>#N/A</v>
      </c>
      <c r="V112" s="282" t="e">
        <f>+Tabla4[[#This Row],[Comisión Calculada]]*Tabla4[[#This Row],[Total]]</f>
        <v>#N/A</v>
      </c>
    </row>
    <row r="113" spans="1:22" hidden="1" x14ac:dyDescent="0.25">
      <c r="A113" s="100">
        <v>45672</v>
      </c>
      <c r="B113" t="str">
        <f t="shared" si="7"/>
        <v>January</v>
      </c>
      <c r="C113" s="46" t="s">
        <v>280</v>
      </c>
      <c r="F113" s="366" t="s">
        <v>722</v>
      </c>
      <c r="G113" s="46" t="s">
        <v>555</v>
      </c>
      <c r="H113" s="46">
        <v>24</v>
      </c>
      <c r="I113" s="51">
        <v>389.47</v>
      </c>
      <c r="J113" s="281">
        <f>++Tabla4[[#This Row],[Precio Bruto]]*1.16</f>
        <v>451.78519999999997</v>
      </c>
      <c r="K113" s="281">
        <f>+Tabla4[[#This Row],[Precio Unitario Neto]]*Tabla4[[#Headers],[20.85%]]</f>
        <v>94.197214199999991</v>
      </c>
      <c r="L113" s="282">
        <f>++Tabla4[[#This Row],[Precio Unitario Neto]]-Tabla4[[#This Row],[20.85%]]</f>
        <v>357.58798579999996</v>
      </c>
      <c r="M113" s="282" t="e">
        <f>(INDEX(Tabla6[#All],MATCH(Tabla4[[#This Row],[Producto]],Tabla6[[#All],[PRODUCTO]],0),MATCH(Tabla4[[#This Row],[Mes]],Tabla6[#Headers],0)))*(1+Catalogos!$L$2)</f>
        <v>#N/A</v>
      </c>
      <c r="N113" s="283" t="e">
        <f>+(Tabla4[[#This Row],[Precio Descontado]]-Tabla4[[#This Row],[Precio Base]])*Tabla4[[#This Row],[Cantidad]]</f>
        <v>#N/A</v>
      </c>
      <c r="O113" s="284" t="e">
        <f>++Tabla4[[#This Row],[Utilidad Total]]/Tabla4[[#This Row],[Total]]</f>
        <v>#N/A</v>
      </c>
      <c r="P113" s="282">
        <f>++Tabla4[[#This Row],[Precio Descontado]]*Tabla4[[#This Row],[Cantidad]]</f>
        <v>8582.1116591999998</v>
      </c>
      <c r="Q113" s="282" t="e">
        <f>(INDEX(Tabla6[#All],MATCH(Tabla4[[#This Row],[Producto]],Tabla6[[#All],[PRODUCTO]],0),MATCH(Tabla4[[#This Row],[Mes]],Tabla6[#Headers],0)))</f>
        <v>#N/A</v>
      </c>
      <c r="R113" s="282" t="e">
        <f>++Tabla4[[#This Row],[Precio Unitario Neto]]-Tabla4[[#This Row],[20.85%]]-Tabla4[[#This Row],[Costo]]</f>
        <v>#N/A</v>
      </c>
      <c r="S113" s="282" t="e">
        <f>++Tabla4[[#This Row],[U. Bruta Uni]]*Tabla4[[#This Row],[Cantidad]]</f>
        <v>#N/A</v>
      </c>
      <c r="T113" s="369" t="str">
        <f>VLOOKUP(Tabla4[[#This Row],[Producto]],Tabla6[#All],14,FALSE)</f>
        <v>Termico Solar</v>
      </c>
      <c r="U113" s="284" t="e">
        <f>(IF(Tabla4[[#This Row],[Familia]]="termico solar",Tabla4[[#This Row],[Utilidad Total]]*6%,Tabla4[[#This Row],[Utilidad Total]]*11.5%))/Tabla4[[#This Row],[Total]]</f>
        <v>#N/A</v>
      </c>
      <c r="V113" s="282" t="e">
        <f>+Tabla4[[#This Row],[Comisión Calculada]]*Tabla4[[#This Row],[Total]]</f>
        <v>#N/A</v>
      </c>
    </row>
    <row r="114" spans="1:22" hidden="1" x14ac:dyDescent="0.25">
      <c r="A114" s="100">
        <v>45672</v>
      </c>
      <c r="B114" t="str">
        <f t="shared" si="7"/>
        <v>January</v>
      </c>
      <c r="C114" s="46" t="s">
        <v>280</v>
      </c>
      <c r="F114" s="366" t="s">
        <v>722</v>
      </c>
      <c r="G114" s="46" t="s">
        <v>545</v>
      </c>
      <c r="H114" s="46">
        <v>72</v>
      </c>
      <c r="I114" s="51">
        <v>304.32</v>
      </c>
      <c r="J114" s="281">
        <f>++Tabla4[[#This Row],[Precio Bruto]]*1.16</f>
        <v>353.01119999999997</v>
      </c>
      <c r="K114" s="281">
        <f>+Tabla4[[#This Row],[Precio Unitario Neto]]*Tabla4[[#Headers],[20.85%]]</f>
        <v>73.602835199999987</v>
      </c>
      <c r="L114" s="282">
        <f>++Tabla4[[#This Row],[Precio Unitario Neto]]-Tabla4[[#This Row],[20.85%]]</f>
        <v>279.40836479999996</v>
      </c>
      <c r="M114" s="282" t="e">
        <f>(INDEX(Tabla6[#All],MATCH(Tabla4[[#This Row],[Producto]],Tabla6[[#All],[PRODUCTO]],0),MATCH(Tabla4[[#This Row],[Mes]],Tabla6[#Headers],0)))*(1+Catalogos!$L$2)</f>
        <v>#N/A</v>
      </c>
      <c r="N114" s="283" t="e">
        <f>+(Tabla4[[#This Row],[Precio Descontado]]-Tabla4[[#This Row],[Precio Base]])*Tabla4[[#This Row],[Cantidad]]</f>
        <v>#N/A</v>
      </c>
      <c r="O114" s="284" t="e">
        <f>++Tabla4[[#This Row],[Utilidad Total]]/Tabla4[[#This Row],[Total]]</f>
        <v>#N/A</v>
      </c>
      <c r="P114" s="282">
        <f>++Tabla4[[#This Row],[Precio Descontado]]*Tabla4[[#This Row],[Cantidad]]</f>
        <v>20117.402265599998</v>
      </c>
      <c r="Q114" s="282" t="e">
        <f>(INDEX(Tabla6[#All],MATCH(Tabla4[[#This Row],[Producto]],Tabla6[[#All],[PRODUCTO]],0),MATCH(Tabla4[[#This Row],[Mes]],Tabla6[#Headers],0)))</f>
        <v>#N/A</v>
      </c>
      <c r="R114" s="282" t="e">
        <f>++Tabla4[[#This Row],[Precio Unitario Neto]]-Tabla4[[#This Row],[20.85%]]-Tabla4[[#This Row],[Costo]]</f>
        <v>#N/A</v>
      </c>
      <c r="S114" s="282" t="e">
        <f>++Tabla4[[#This Row],[U. Bruta Uni]]*Tabla4[[#This Row],[Cantidad]]</f>
        <v>#N/A</v>
      </c>
      <c r="T114" s="369" t="str">
        <f>VLOOKUP(Tabla4[[#This Row],[Producto]],Tabla6[#All],14,FALSE)</f>
        <v>Termico Solar</v>
      </c>
      <c r="U114" s="284" t="e">
        <f>(IF(Tabla4[[#This Row],[Familia]]="termico solar",Tabla4[[#This Row],[Utilidad Total]]*6%,Tabla4[[#This Row],[Utilidad Total]]*11.5%))/Tabla4[[#This Row],[Total]]</f>
        <v>#N/A</v>
      </c>
      <c r="V114" s="282" t="e">
        <f>+Tabla4[[#This Row],[Comisión Calculada]]*Tabla4[[#This Row],[Total]]</f>
        <v>#N/A</v>
      </c>
    </row>
    <row r="115" spans="1:22" hidden="1" x14ac:dyDescent="0.25">
      <c r="A115" s="100">
        <v>45672</v>
      </c>
      <c r="B115" t="str">
        <f t="shared" si="7"/>
        <v>January</v>
      </c>
      <c r="C115" s="46" t="s">
        <v>280</v>
      </c>
      <c r="F115" s="366" t="s">
        <v>722</v>
      </c>
      <c r="G115" s="46" t="s">
        <v>208</v>
      </c>
      <c r="H115" s="46">
        <v>3</v>
      </c>
      <c r="I115" s="51">
        <v>189.75</v>
      </c>
      <c r="J115" s="281">
        <f>++Tabla4[[#This Row],[Precio Bruto]]*1.16</f>
        <v>220.10999999999999</v>
      </c>
      <c r="K115" s="281">
        <f>+Tabla4[[#This Row],[Precio Unitario Neto]]*Tabla4[[#Headers],[20.85%]]</f>
        <v>45.892934999999994</v>
      </c>
      <c r="L115" s="282">
        <f>++Tabla4[[#This Row],[Precio Unitario Neto]]-Tabla4[[#This Row],[20.85%]]</f>
        <v>174.21706499999999</v>
      </c>
      <c r="M115" s="282" t="e">
        <f>(INDEX(Tabla6[#All],MATCH(Tabla4[[#This Row],[Producto]],Tabla6[[#All],[PRODUCTO]],0),MATCH(Tabla4[[#This Row],[Mes]],Tabla6[#Headers],0)))*(1+Catalogos!$L$2)</f>
        <v>#N/A</v>
      </c>
      <c r="N115" s="283" t="e">
        <f>+(Tabla4[[#This Row],[Precio Descontado]]-Tabla4[[#This Row],[Precio Base]])*Tabla4[[#This Row],[Cantidad]]</f>
        <v>#N/A</v>
      </c>
      <c r="O115" s="284" t="e">
        <f>++Tabla4[[#This Row],[Utilidad Total]]/Tabla4[[#This Row],[Total]]</f>
        <v>#N/A</v>
      </c>
      <c r="P115" s="282">
        <f>++Tabla4[[#This Row],[Precio Descontado]]*Tabla4[[#This Row],[Cantidad]]</f>
        <v>522.65119499999992</v>
      </c>
      <c r="Q115" s="282" t="e">
        <f>(INDEX(Tabla6[#All],MATCH(Tabla4[[#This Row],[Producto]],Tabla6[[#All],[PRODUCTO]],0),MATCH(Tabla4[[#This Row],[Mes]],Tabla6[#Headers],0)))</f>
        <v>#N/A</v>
      </c>
      <c r="R115" s="282" t="e">
        <f>++Tabla4[[#This Row],[Precio Unitario Neto]]-Tabla4[[#This Row],[20.85%]]-Tabla4[[#This Row],[Costo]]</f>
        <v>#N/A</v>
      </c>
      <c r="S115" s="282" t="e">
        <f>++Tabla4[[#This Row],[U. Bruta Uni]]*Tabla4[[#This Row],[Cantidad]]</f>
        <v>#N/A</v>
      </c>
      <c r="T115" s="369" t="str">
        <f>VLOOKUP(Tabla4[[#This Row],[Producto]],Tabla6[#All],14,FALSE)</f>
        <v>Termico Solar</v>
      </c>
      <c r="U115" s="284" t="e">
        <f>(IF(Tabla4[[#This Row],[Familia]]="termico solar",Tabla4[[#This Row],[Utilidad Total]]*6%,Tabla4[[#This Row],[Utilidad Total]]*11.5%))/Tabla4[[#This Row],[Total]]</f>
        <v>#N/A</v>
      </c>
      <c r="V115" s="282" t="e">
        <f>+Tabla4[[#This Row],[Comisión Calculada]]*Tabla4[[#This Row],[Total]]</f>
        <v>#N/A</v>
      </c>
    </row>
    <row r="116" spans="1:22" hidden="1" x14ac:dyDescent="0.25">
      <c r="A116" s="100">
        <v>45672</v>
      </c>
      <c r="B116" t="str">
        <f t="shared" si="7"/>
        <v>January</v>
      </c>
      <c r="C116" s="46" t="s">
        <v>280</v>
      </c>
      <c r="F116" s="366" t="s">
        <v>722</v>
      </c>
      <c r="G116" s="46" t="s">
        <v>209</v>
      </c>
      <c r="H116" s="46">
        <v>3</v>
      </c>
      <c r="I116" s="51">
        <v>347.48</v>
      </c>
      <c r="J116" s="281">
        <f>++Tabla4[[#This Row],[Precio Bruto]]*1.16</f>
        <v>403.07679999999999</v>
      </c>
      <c r="K116" s="281">
        <f>+Tabla4[[#This Row],[Precio Unitario Neto]]*Tabla4[[#Headers],[20.85%]]</f>
        <v>84.041512799999992</v>
      </c>
      <c r="L116" s="282">
        <f>++Tabla4[[#This Row],[Precio Unitario Neto]]-Tabla4[[#This Row],[20.85%]]</f>
        <v>319.03528719999997</v>
      </c>
      <c r="M116" s="282" t="e">
        <f>(INDEX(Tabla6[#All],MATCH(Tabla4[[#This Row],[Producto]],Tabla6[[#All],[PRODUCTO]],0),MATCH(Tabla4[[#This Row],[Mes]],Tabla6[#Headers],0)))*(1+Catalogos!$L$2)</f>
        <v>#N/A</v>
      </c>
      <c r="N116" s="283" t="e">
        <f>+(Tabla4[[#This Row],[Precio Descontado]]-Tabla4[[#This Row],[Precio Base]])*Tabla4[[#This Row],[Cantidad]]</f>
        <v>#N/A</v>
      </c>
      <c r="O116" s="284" t="e">
        <f>++Tabla4[[#This Row],[Utilidad Total]]/Tabla4[[#This Row],[Total]]</f>
        <v>#N/A</v>
      </c>
      <c r="P116" s="282">
        <f>++Tabla4[[#This Row],[Precio Descontado]]*Tabla4[[#This Row],[Cantidad]]</f>
        <v>957.10586159999991</v>
      </c>
      <c r="Q116" s="282" t="e">
        <f>(INDEX(Tabla6[#All],MATCH(Tabla4[[#This Row],[Producto]],Tabla6[[#All],[PRODUCTO]],0),MATCH(Tabla4[[#This Row],[Mes]],Tabla6[#Headers],0)))</f>
        <v>#N/A</v>
      </c>
      <c r="R116" s="282" t="e">
        <f>++Tabla4[[#This Row],[Precio Unitario Neto]]-Tabla4[[#This Row],[20.85%]]-Tabla4[[#This Row],[Costo]]</f>
        <v>#N/A</v>
      </c>
      <c r="S116" s="282" t="e">
        <f>++Tabla4[[#This Row],[U. Bruta Uni]]*Tabla4[[#This Row],[Cantidad]]</f>
        <v>#N/A</v>
      </c>
      <c r="T116" s="369" t="str">
        <f>VLOOKUP(Tabla4[[#This Row],[Producto]],Tabla6[#All],14,FALSE)</f>
        <v>Termico Solar</v>
      </c>
      <c r="U116" s="284" t="e">
        <f>(IF(Tabla4[[#This Row],[Familia]]="termico solar",Tabla4[[#This Row],[Utilidad Total]]*6%,Tabla4[[#This Row],[Utilidad Total]]*11.5%))/Tabla4[[#This Row],[Total]]</f>
        <v>#N/A</v>
      </c>
      <c r="V116" s="282" t="e">
        <f>+Tabla4[[#This Row],[Comisión Calculada]]*Tabla4[[#This Row],[Total]]</f>
        <v>#N/A</v>
      </c>
    </row>
    <row r="117" spans="1:22" hidden="1" x14ac:dyDescent="0.25">
      <c r="A117" s="100">
        <v>45672</v>
      </c>
      <c r="B117" t="str">
        <f>TEXT(A117, "mmmm")</f>
        <v>January</v>
      </c>
      <c r="C117" s="46" t="s">
        <v>280</v>
      </c>
      <c r="F117" s="366" t="s">
        <v>723</v>
      </c>
      <c r="G117" s="46" t="s">
        <v>17</v>
      </c>
      <c r="H117" s="46">
        <v>2</v>
      </c>
      <c r="I117" s="51">
        <v>4622.28</v>
      </c>
      <c r="J117" s="281">
        <f>++Tabla4[[#This Row],[Precio Bruto]]*1.16</f>
        <v>5361.8447999999989</v>
      </c>
      <c r="K117" s="281">
        <f>+Tabla4[[#This Row],[Precio Unitario Neto]]*Tabla4[[#Headers],[20.85%]]</f>
        <v>1117.9446407999997</v>
      </c>
      <c r="L117" s="282">
        <f>++Tabla4[[#This Row],[Precio Unitario Neto]]-Tabla4[[#This Row],[20.85%]]</f>
        <v>4243.9001591999995</v>
      </c>
      <c r="M117" s="282" t="e">
        <f>(INDEX(Tabla6[#All],MATCH(Tabla4[[#This Row],[Producto]],Tabla6[[#All],[PRODUCTO]],0),MATCH(Tabla4[[#This Row],[Mes]],Tabla6[#Headers],0)))*(1+Catalogos!$L$2)</f>
        <v>#N/A</v>
      </c>
      <c r="N117" s="283" t="e">
        <f>+(Tabla4[[#This Row],[Precio Descontado]]-Tabla4[[#This Row],[Precio Base]])*Tabla4[[#This Row],[Cantidad]]</f>
        <v>#N/A</v>
      </c>
      <c r="O117" s="284" t="e">
        <f>++Tabla4[[#This Row],[Utilidad Total]]/Tabla4[[#This Row],[Total]]</f>
        <v>#N/A</v>
      </c>
      <c r="P117" s="282">
        <f>++Tabla4[[#This Row],[Precio Descontado]]*Tabla4[[#This Row],[Cantidad]]</f>
        <v>8487.800318399999</v>
      </c>
      <c r="Q117" s="282" t="e">
        <f>(INDEX(Tabla6[#All],MATCH(Tabla4[[#This Row],[Producto]],Tabla6[[#All],[PRODUCTO]],0),MATCH(Tabla4[[#This Row],[Mes]],Tabla6[#Headers],0)))</f>
        <v>#N/A</v>
      </c>
      <c r="R117" s="282" t="e">
        <f>++Tabla4[[#This Row],[Precio Unitario Neto]]-Tabla4[[#This Row],[20.85%]]-Tabla4[[#This Row],[Costo]]</f>
        <v>#N/A</v>
      </c>
      <c r="S117" s="282" t="e">
        <f>++Tabla4[[#This Row],[U. Bruta Uni]]*Tabla4[[#This Row],[Cantidad]]</f>
        <v>#N/A</v>
      </c>
      <c r="T117" s="369" t="str">
        <f>VLOOKUP(Tabla4[[#This Row],[Producto]],Tabla6[#All],14,FALSE)</f>
        <v>Termico Solar</v>
      </c>
      <c r="U117" s="284" t="e">
        <f>(IF(Tabla4[[#This Row],[Familia]]="termico solar",Tabla4[[#This Row],[Utilidad Total]]*6%,Tabla4[[#This Row],[Utilidad Total]]*11.5%))/Tabla4[[#This Row],[Total]]</f>
        <v>#N/A</v>
      </c>
      <c r="V117" s="282" t="e">
        <f>+Tabla4[[#This Row],[Comisión Calculada]]*Tabla4[[#This Row],[Total]]</f>
        <v>#N/A</v>
      </c>
    </row>
    <row r="118" spans="1:22" hidden="1" x14ac:dyDescent="0.25">
      <c r="A118" s="100">
        <v>45672</v>
      </c>
      <c r="B118" t="str">
        <f t="shared" ref="B118:B123" si="8">TEXT(A118, "mmmm")</f>
        <v>January</v>
      </c>
      <c r="C118" s="46" t="s">
        <v>280</v>
      </c>
      <c r="F118" s="366" t="s">
        <v>724</v>
      </c>
      <c r="G118" s="46" t="s">
        <v>19</v>
      </c>
      <c r="H118" s="46">
        <v>3</v>
      </c>
      <c r="I118" s="51">
        <v>6412.03</v>
      </c>
      <c r="J118" s="281">
        <f>++Tabla4[[#This Row],[Precio Bruto]]*1.16</f>
        <v>7437.9547999999995</v>
      </c>
      <c r="K118" s="281">
        <f>+Tabla4[[#This Row],[Precio Unitario Neto]]*Tabla4[[#Headers],[20.85%]]</f>
        <v>1550.8135757999999</v>
      </c>
      <c r="L118" s="282">
        <f>++Tabla4[[#This Row],[Precio Unitario Neto]]-Tabla4[[#This Row],[20.85%]]</f>
        <v>5887.1412241999997</v>
      </c>
      <c r="M118" s="282" t="e">
        <f>(INDEX(Tabla6[#All],MATCH(Tabla4[[#This Row],[Producto]],Tabla6[[#All],[PRODUCTO]],0),MATCH(Tabla4[[#This Row],[Mes]],Tabla6[#Headers],0)))*(1+Catalogos!$L$2)</f>
        <v>#N/A</v>
      </c>
      <c r="N118" s="283" t="e">
        <f>+(Tabla4[[#This Row],[Precio Descontado]]-Tabla4[[#This Row],[Precio Base]])*Tabla4[[#This Row],[Cantidad]]</f>
        <v>#N/A</v>
      </c>
      <c r="O118" s="284" t="e">
        <f>++Tabla4[[#This Row],[Utilidad Total]]/Tabla4[[#This Row],[Total]]</f>
        <v>#N/A</v>
      </c>
      <c r="P118" s="282">
        <f>++Tabla4[[#This Row],[Precio Descontado]]*Tabla4[[#This Row],[Cantidad]]</f>
        <v>17661.423672599998</v>
      </c>
      <c r="Q118" s="282" t="e">
        <f>(INDEX(Tabla6[#All],MATCH(Tabla4[[#This Row],[Producto]],Tabla6[[#All],[PRODUCTO]],0),MATCH(Tabla4[[#This Row],[Mes]],Tabla6[#Headers],0)))</f>
        <v>#N/A</v>
      </c>
      <c r="R118" s="282" t="e">
        <f>++Tabla4[[#This Row],[Precio Unitario Neto]]-Tabla4[[#This Row],[20.85%]]-Tabla4[[#This Row],[Costo]]</f>
        <v>#N/A</v>
      </c>
      <c r="S118" s="282" t="e">
        <f>++Tabla4[[#This Row],[U. Bruta Uni]]*Tabla4[[#This Row],[Cantidad]]</f>
        <v>#N/A</v>
      </c>
      <c r="T118" s="369" t="str">
        <f>VLOOKUP(Tabla4[[#This Row],[Producto]],Tabla6[#All],14,FALSE)</f>
        <v>Termico Solar</v>
      </c>
      <c r="U118" s="284" t="e">
        <f>(IF(Tabla4[[#This Row],[Familia]]="termico solar",Tabla4[[#This Row],[Utilidad Total]]*6%,Tabla4[[#This Row],[Utilidad Total]]*11.5%))/Tabla4[[#This Row],[Total]]</f>
        <v>#N/A</v>
      </c>
      <c r="V118" s="282" t="e">
        <f>+Tabla4[[#This Row],[Comisión Calculada]]*Tabla4[[#This Row],[Total]]</f>
        <v>#N/A</v>
      </c>
    </row>
    <row r="119" spans="1:22" hidden="1" x14ac:dyDescent="0.25">
      <c r="A119" s="100">
        <v>45672</v>
      </c>
      <c r="B119" t="str">
        <f t="shared" si="8"/>
        <v>January</v>
      </c>
      <c r="C119" s="46" t="s">
        <v>280</v>
      </c>
      <c r="F119" s="366" t="s">
        <v>724</v>
      </c>
      <c r="G119" s="46" t="s">
        <v>20</v>
      </c>
      <c r="H119" s="46">
        <v>3</v>
      </c>
      <c r="I119" s="51">
        <v>7751.98</v>
      </c>
      <c r="J119" s="281">
        <f>++Tabla4[[#This Row],[Precio Bruto]]*1.16</f>
        <v>8992.2967999999983</v>
      </c>
      <c r="K119" s="281">
        <f>+Tabla4[[#This Row],[Precio Unitario Neto]]*Tabla4[[#Headers],[20.85%]]</f>
        <v>1874.8938827999996</v>
      </c>
      <c r="L119" s="282">
        <f>++Tabla4[[#This Row],[Precio Unitario Neto]]-Tabla4[[#This Row],[20.85%]]</f>
        <v>7117.4029171999991</v>
      </c>
      <c r="M119" s="282" t="e">
        <f>(INDEX(Tabla6[#All],MATCH(Tabla4[[#This Row],[Producto]],Tabla6[[#All],[PRODUCTO]],0),MATCH(Tabla4[[#This Row],[Mes]],Tabla6[#Headers],0)))*(1+Catalogos!$L$2)</f>
        <v>#N/A</v>
      </c>
      <c r="N119" s="283" t="e">
        <f>+(Tabla4[[#This Row],[Precio Descontado]]-Tabla4[[#This Row],[Precio Base]])*Tabla4[[#This Row],[Cantidad]]</f>
        <v>#N/A</v>
      </c>
      <c r="O119" s="284" t="e">
        <f>++Tabla4[[#This Row],[Utilidad Total]]/Tabla4[[#This Row],[Total]]</f>
        <v>#N/A</v>
      </c>
      <c r="P119" s="282">
        <f>++Tabla4[[#This Row],[Precio Descontado]]*Tabla4[[#This Row],[Cantidad]]</f>
        <v>21352.208751599996</v>
      </c>
      <c r="Q119" s="282" t="e">
        <f>(INDEX(Tabla6[#All],MATCH(Tabla4[[#This Row],[Producto]],Tabla6[[#All],[PRODUCTO]],0),MATCH(Tabla4[[#This Row],[Mes]],Tabla6[#Headers],0)))</f>
        <v>#N/A</v>
      </c>
      <c r="R119" s="282" t="e">
        <f>++Tabla4[[#This Row],[Precio Unitario Neto]]-Tabla4[[#This Row],[20.85%]]-Tabla4[[#This Row],[Costo]]</f>
        <v>#N/A</v>
      </c>
      <c r="S119" s="282" t="e">
        <f>++Tabla4[[#This Row],[U. Bruta Uni]]*Tabla4[[#This Row],[Cantidad]]</f>
        <v>#N/A</v>
      </c>
      <c r="T119" s="369" t="str">
        <f>VLOOKUP(Tabla4[[#This Row],[Producto]],Tabla6[#All],14,FALSE)</f>
        <v>Termico Solar</v>
      </c>
      <c r="U119" s="284" t="e">
        <f>(IF(Tabla4[[#This Row],[Familia]]="termico solar",Tabla4[[#This Row],[Utilidad Total]]*6%,Tabla4[[#This Row],[Utilidad Total]]*11.5%))/Tabla4[[#This Row],[Total]]</f>
        <v>#N/A</v>
      </c>
      <c r="V119" s="282" t="e">
        <f>+Tabla4[[#This Row],[Comisión Calculada]]*Tabla4[[#This Row],[Total]]</f>
        <v>#N/A</v>
      </c>
    </row>
    <row r="120" spans="1:22" hidden="1" x14ac:dyDescent="0.25">
      <c r="A120" s="100">
        <v>45672</v>
      </c>
      <c r="B120" t="str">
        <f t="shared" si="8"/>
        <v>January</v>
      </c>
      <c r="C120" s="46" t="s">
        <v>280</v>
      </c>
      <c r="F120" s="366" t="s">
        <v>724</v>
      </c>
      <c r="G120" s="46" t="s">
        <v>21</v>
      </c>
      <c r="H120" s="46">
        <v>8</v>
      </c>
      <c r="I120" s="51">
        <v>9282.19</v>
      </c>
      <c r="J120" s="281">
        <f>++Tabla4[[#This Row],[Precio Bruto]]*1.16</f>
        <v>10767.340399999999</v>
      </c>
      <c r="K120" s="281">
        <f>+Tabla4[[#This Row],[Precio Unitario Neto]]*Tabla4[[#Headers],[20.85%]]</f>
        <v>2244.9904733999997</v>
      </c>
      <c r="L120" s="282">
        <f>++Tabla4[[#This Row],[Precio Unitario Neto]]-Tabla4[[#This Row],[20.85%]]</f>
        <v>8522.3499265999999</v>
      </c>
      <c r="M120" s="282" t="e">
        <f>(INDEX(Tabla6[#All],MATCH(Tabla4[[#This Row],[Producto]],Tabla6[[#All],[PRODUCTO]],0),MATCH(Tabla4[[#This Row],[Mes]],Tabla6[#Headers],0)))*(1+Catalogos!$L$2)</f>
        <v>#N/A</v>
      </c>
      <c r="N120" s="283" t="e">
        <f>+(Tabla4[[#This Row],[Precio Descontado]]-Tabla4[[#This Row],[Precio Base]])*Tabla4[[#This Row],[Cantidad]]</f>
        <v>#N/A</v>
      </c>
      <c r="O120" s="284" t="e">
        <f>++Tabla4[[#This Row],[Utilidad Total]]/Tabla4[[#This Row],[Total]]</f>
        <v>#N/A</v>
      </c>
      <c r="P120" s="282">
        <f>++Tabla4[[#This Row],[Precio Descontado]]*Tabla4[[#This Row],[Cantidad]]</f>
        <v>68178.799412799999</v>
      </c>
      <c r="Q120" s="282" t="e">
        <f>(INDEX(Tabla6[#All],MATCH(Tabla4[[#This Row],[Producto]],Tabla6[[#All],[PRODUCTO]],0),MATCH(Tabla4[[#This Row],[Mes]],Tabla6[#Headers],0)))</f>
        <v>#N/A</v>
      </c>
      <c r="R120" s="282" t="e">
        <f>++Tabla4[[#This Row],[Precio Unitario Neto]]-Tabla4[[#This Row],[20.85%]]-Tabla4[[#This Row],[Costo]]</f>
        <v>#N/A</v>
      </c>
      <c r="S120" s="282" t="e">
        <f>++Tabla4[[#This Row],[U. Bruta Uni]]*Tabla4[[#This Row],[Cantidad]]</f>
        <v>#N/A</v>
      </c>
      <c r="T120" s="369" t="str">
        <f>VLOOKUP(Tabla4[[#This Row],[Producto]],Tabla6[#All],14,FALSE)</f>
        <v>Termico Solar</v>
      </c>
      <c r="U120" s="284" t="e">
        <f>(IF(Tabla4[[#This Row],[Familia]]="termico solar",Tabla4[[#This Row],[Utilidad Total]]*6%,Tabla4[[#This Row],[Utilidad Total]]*11.5%))/Tabla4[[#This Row],[Total]]</f>
        <v>#N/A</v>
      </c>
      <c r="V120" s="282" t="e">
        <f>+Tabla4[[#This Row],[Comisión Calculada]]*Tabla4[[#This Row],[Total]]</f>
        <v>#N/A</v>
      </c>
    </row>
    <row r="121" spans="1:22" hidden="1" x14ac:dyDescent="0.25">
      <c r="A121" s="100">
        <v>45672</v>
      </c>
      <c r="B121" t="str">
        <f t="shared" si="8"/>
        <v>January</v>
      </c>
      <c r="C121" s="46" t="s">
        <v>280</v>
      </c>
      <c r="F121" s="366" t="s">
        <v>724</v>
      </c>
      <c r="G121" s="46" t="s">
        <v>22</v>
      </c>
      <c r="H121" s="46">
        <v>11</v>
      </c>
      <c r="I121" s="51">
        <v>13355.75</v>
      </c>
      <c r="J121" s="281">
        <f>++Tabla4[[#This Row],[Precio Bruto]]*1.16</f>
        <v>15492.669999999998</v>
      </c>
      <c r="K121" s="281">
        <f>+Tabla4[[#This Row],[Precio Unitario Neto]]*Tabla4[[#Headers],[20.85%]]</f>
        <v>3230.2216949999993</v>
      </c>
      <c r="L121" s="282">
        <f>++Tabla4[[#This Row],[Precio Unitario Neto]]-Tabla4[[#This Row],[20.85%]]</f>
        <v>12262.448304999998</v>
      </c>
      <c r="M121" s="282" t="e">
        <f>(INDEX(Tabla6[#All],MATCH(Tabla4[[#This Row],[Producto]],Tabla6[[#All],[PRODUCTO]],0),MATCH(Tabla4[[#This Row],[Mes]],Tabla6[#Headers],0)))*(1+Catalogos!$L$2)</f>
        <v>#N/A</v>
      </c>
      <c r="N121" s="283" t="e">
        <f>+(Tabla4[[#This Row],[Precio Descontado]]-Tabla4[[#This Row],[Precio Base]])*Tabla4[[#This Row],[Cantidad]]</f>
        <v>#N/A</v>
      </c>
      <c r="O121" s="284" t="e">
        <f>++Tabla4[[#This Row],[Utilidad Total]]/Tabla4[[#This Row],[Total]]</f>
        <v>#N/A</v>
      </c>
      <c r="P121" s="282">
        <f>++Tabla4[[#This Row],[Precio Descontado]]*Tabla4[[#This Row],[Cantidad]]</f>
        <v>134886.93135499998</v>
      </c>
      <c r="Q121" s="282" t="e">
        <f>(INDEX(Tabla6[#All],MATCH(Tabla4[[#This Row],[Producto]],Tabla6[[#All],[PRODUCTO]],0),MATCH(Tabla4[[#This Row],[Mes]],Tabla6[#Headers],0)))</f>
        <v>#N/A</v>
      </c>
      <c r="R121" s="282" t="e">
        <f>++Tabla4[[#This Row],[Precio Unitario Neto]]-Tabla4[[#This Row],[20.85%]]-Tabla4[[#This Row],[Costo]]</f>
        <v>#N/A</v>
      </c>
      <c r="S121" s="282" t="e">
        <f>++Tabla4[[#This Row],[U. Bruta Uni]]*Tabla4[[#This Row],[Cantidad]]</f>
        <v>#N/A</v>
      </c>
      <c r="T121" s="369" t="str">
        <f>VLOOKUP(Tabla4[[#This Row],[Producto]],Tabla6[#All],14,FALSE)</f>
        <v>Termico Solar</v>
      </c>
      <c r="U121" s="284" t="e">
        <f>(IF(Tabla4[[#This Row],[Familia]]="termico solar",Tabla4[[#This Row],[Utilidad Total]]*6%,Tabla4[[#This Row],[Utilidad Total]]*11.5%))/Tabla4[[#This Row],[Total]]</f>
        <v>#N/A</v>
      </c>
      <c r="V121" s="282" t="e">
        <f>+Tabla4[[#This Row],[Comisión Calculada]]*Tabla4[[#This Row],[Total]]</f>
        <v>#N/A</v>
      </c>
    </row>
    <row r="122" spans="1:22" hidden="1" x14ac:dyDescent="0.25">
      <c r="A122" s="100">
        <v>45672</v>
      </c>
      <c r="B122" t="str">
        <f t="shared" si="8"/>
        <v>January</v>
      </c>
      <c r="C122" s="46" t="s">
        <v>280</v>
      </c>
      <c r="F122" s="366" t="s">
        <v>724</v>
      </c>
      <c r="G122" s="46" t="s">
        <v>84</v>
      </c>
      <c r="H122" s="46">
        <v>4</v>
      </c>
      <c r="I122" s="51">
        <v>16601.830000000002</v>
      </c>
      <c r="J122" s="281">
        <f>++Tabla4[[#This Row],[Precio Bruto]]*1.16</f>
        <v>19258.122800000001</v>
      </c>
      <c r="K122" s="281">
        <f>+Tabla4[[#This Row],[Precio Unitario Neto]]*Tabla4[[#Headers],[20.85%]]</f>
        <v>4015.3186037999999</v>
      </c>
      <c r="L122" s="282">
        <f>++Tabla4[[#This Row],[Precio Unitario Neto]]-Tabla4[[#This Row],[20.85%]]</f>
        <v>15242.804196200001</v>
      </c>
      <c r="M122" s="282" t="e">
        <f>(INDEX(Tabla6[#All],MATCH(Tabla4[[#This Row],[Producto]],Tabla6[[#All],[PRODUCTO]],0),MATCH(Tabla4[[#This Row],[Mes]],Tabla6[#Headers],0)))*(1+Catalogos!$L$2)</f>
        <v>#N/A</v>
      </c>
      <c r="N122" s="283" t="e">
        <f>+(Tabla4[[#This Row],[Precio Descontado]]-Tabla4[[#This Row],[Precio Base]])*Tabla4[[#This Row],[Cantidad]]</f>
        <v>#N/A</v>
      </c>
      <c r="O122" s="284" t="e">
        <f>++Tabla4[[#This Row],[Utilidad Total]]/Tabla4[[#This Row],[Total]]</f>
        <v>#N/A</v>
      </c>
      <c r="P122" s="282">
        <f>++Tabla4[[#This Row],[Precio Descontado]]*Tabla4[[#This Row],[Cantidad]]</f>
        <v>60971.216784800003</v>
      </c>
      <c r="Q122" s="282" t="e">
        <f>(INDEX(Tabla6[#All],MATCH(Tabla4[[#This Row],[Producto]],Tabla6[[#All],[PRODUCTO]],0),MATCH(Tabla4[[#This Row],[Mes]],Tabla6[#Headers],0)))</f>
        <v>#N/A</v>
      </c>
      <c r="R122" s="282" t="e">
        <f>++Tabla4[[#This Row],[Precio Unitario Neto]]-Tabla4[[#This Row],[20.85%]]-Tabla4[[#This Row],[Costo]]</f>
        <v>#N/A</v>
      </c>
      <c r="S122" s="282" t="e">
        <f>++Tabla4[[#This Row],[U. Bruta Uni]]*Tabla4[[#This Row],[Cantidad]]</f>
        <v>#N/A</v>
      </c>
      <c r="T122" s="369" t="str">
        <f>VLOOKUP(Tabla4[[#This Row],[Producto]],Tabla6[#All],14,FALSE)</f>
        <v>Termico Solar</v>
      </c>
      <c r="U122" s="284" t="e">
        <f>(IF(Tabla4[[#This Row],[Familia]]="termico solar",Tabla4[[#This Row],[Utilidad Total]]*6%,Tabla4[[#This Row],[Utilidad Total]]*11.5%))/Tabla4[[#This Row],[Total]]</f>
        <v>#N/A</v>
      </c>
      <c r="V122" s="282" t="e">
        <f>+Tabla4[[#This Row],[Comisión Calculada]]*Tabla4[[#This Row],[Total]]</f>
        <v>#N/A</v>
      </c>
    </row>
    <row r="123" spans="1:22" hidden="1" x14ac:dyDescent="0.25">
      <c r="A123" s="100">
        <v>45672</v>
      </c>
      <c r="B123" t="str">
        <f t="shared" si="8"/>
        <v>January</v>
      </c>
      <c r="C123" s="46" t="s">
        <v>280</v>
      </c>
      <c r="F123" s="366" t="s">
        <v>724</v>
      </c>
      <c r="G123" s="46" t="s">
        <v>208</v>
      </c>
      <c r="H123" s="46">
        <v>3</v>
      </c>
      <c r="I123" s="51">
        <v>189.75</v>
      </c>
      <c r="J123" s="281">
        <f>++Tabla4[[#This Row],[Precio Bruto]]*1.16</f>
        <v>220.10999999999999</v>
      </c>
      <c r="K123" s="281">
        <f>+Tabla4[[#This Row],[Precio Unitario Neto]]*Tabla4[[#Headers],[20.85%]]</f>
        <v>45.892934999999994</v>
      </c>
      <c r="L123" s="282">
        <f>++Tabla4[[#This Row],[Precio Unitario Neto]]-Tabla4[[#This Row],[20.85%]]</f>
        <v>174.21706499999999</v>
      </c>
      <c r="M123" s="282" t="e">
        <f>(INDEX(Tabla6[#All],MATCH(Tabla4[[#This Row],[Producto]],Tabla6[[#All],[PRODUCTO]],0),MATCH(Tabla4[[#This Row],[Mes]],Tabla6[#Headers],0)))*(1+Catalogos!$L$2)</f>
        <v>#N/A</v>
      </c>
      <c r="N123" s="283" t="e">
        <f>+(Tabla4[[#This Row],[Precio Descontado]]-Tabla4[[#This Row],[Precio Base]])*Tabla4[[#This Row],[Cantidad]]</f>
        <v>#N/A</v>
      </c>
      <c r="O123" s="284" t="e">
        <f>++Tabla4[[#This Row],[Utilidad Total]]/Tabla4[[#This Row],[Total]]</f>
        <v>#N/A</v>
      </c>
      <c r="P123" s="282">
        <f>++Tabla4[[#This Row],[Precio Descontado]]*Tabla4[[#This Row],[Cantidad]]</f>
        <v>522.65119499999992</v>
      </c>
      <c r="Q123" s="282" t="e">
        <f>(INDEX(Tabla6[#All],MATCH(Tabla4[[#This Row],[Producto]],Tabla6[[#All],[PRODUCTO]],0),MATCH(Tabla4[[#This Row],[Mes]],Tabla6[#Headers],0)))</f>
        <v>#N/A</v>
      </c>
      <c r="R123" s="282" t="e">
        <f>++Tabla4[[#This Row],[Precio Unitario Neto]]-Tabla4[[#This Row],[20.85%]]-Tabla4[[#This Row],[Costo]]</f>
        <v>#N/A</v>
      </c>
      <c r="S123" s="282" t="e">
        <f>++Tabla4[[#This Row],[U. Bruta Uni]]*Tabla4[[#This Row],[Cantidad]]</f>
        <v>#N/A</v>
      </c>
      <c r="T123" s="369" t="str">
        <f>VLOOKUP(Tabla4[[#This Row],[Producto]],Tabla6[#All],14,FALSE)</f>
        <v>Termico Solar</v>
      </c>
      <c r="U123" s="284" t="e">
        <f>(IF(Tabla4[[#This Row],[Familia]]="termico solar",Tabla4[[#This Row],[Utilidad Total]]*6%,Tabla4[[#This Row],[Utilidad Total]]*11.5%))/Tabla4[[#This Row],[Total]]</f>
        <v>#N/A</v>
      </c>
      <c r="V123" s="282" t="e">
        <f>+Tabla4[[#This Row],[Comisión Calculada]]*Tabla4[[#This Row],[Total]]</f>
        <v>#N/A</v>
      </c>
    </row>
    <row r="124" spans="1:22" hidden="1" x14ac:dyDescent="0.25">
      <c r="A124" s="100">
        <v>45672</v>
      </c>
      <c r="B124" t="str">
        <f t="shared" ref="B124:B187" si="9">TEXT(A124, "mmmm")</f>
        <v>January</v>
      </c>
      <c r="C124" s="46" t="s">
        <v>280</v>
      </c>
      <c r="F124" s="366" t="s">
        <v>725</v>
      </c>
      <c r="G124" s="46" t="s">
        <v>83</v>
      </c>
      <c r="H124" s="46">
        <v>1</v>
      </c>
      <c r="I124" s="51">
        <v>8858.76</v>
      </c>
      <c r="J124" s="281">
        <f>++Tabla4[[#This Row],[Precio Bruto]]*1.16</f>
        <v>10276.161599999999</v>
      </c>
      <c r="K124" s="281">
        <f>+Tabla4[[#This Row],[Precio Unitario Neto]]*Tabla4[[#Headers],[20.85%]]</f>
        <v>2142.5796935999997</v>
      </c>
      <c r="L124" s="282">
        <f>++Tabla4[[#This Row],[Precio Unitario Neto]]-Tabla4[[#This Row],[20.85%]]</f>
        <v>8133.5819063999998</v>
      </c>
      <c r="M124" s="282" t="e">
        <f>(INDEX(Tabla6[#All],MATCH(Tabla4[[#This Row],[Producto]],Tabla6[[#All],[PRODUCTO]],0),MATCH(Tabla4[[#This Row],[Mes]],Tabla6[#Headers],0)))*(1+Catalogos!$L$2)</f>
        <v>#N/A</v>
      </c>
      <c r="N124" s="283" t="e">
        <f>+(Tabla4[[#This Row],[Precio Descontado]]-Tabla4[[#This Row],[Precio Base]])*Tabla4[[#This Row],[Cantidad]]</f>
        <v>#N/A</v>
      </c>
      <c r="O124" s="284" t="e">
        <f>++Tabla4[[#This Row],[Utilidad Total]]/Tabla4[[#This Row],[Total]]</f>
        <v>#N/A</v>
      </c>
      <c r="P124" s="282">
        <f>++Tabla4[[#This Row],[Precio Descontado]]*Tabla4[[#This Row],[Cantidad]]</f>
        <v>8133.5819063999998</v>
      </c>
      <c r="Q124" s="282" t="e">
        <f>(INDEX(Tabla6[#All],MATCH(Tabla4[[#This Row],[Producto]],Tabla6[[#All],[PRODUCTO]],0),MATCH(Tabla4[[#This Row],[Mes]],Tabla6[#Headers],0)))</f>
        <v>#N/A</v>
      </c>
      <c r="R124" s="282" t="e">
        <f>++Tabla4[[#This Row],[Precio Unitario Neto]]-Tabla4[[#This Row],[20.85%]]-Tabla4[[#This Row],[Costo]]</f>
        <v>#N/A</v>
      </c>
      <c r="S124" s="282" t="e">
        <f>++Tabla4[[#This Row],[U. Bruta Uni]]*Tabla4[[#This Row],[Cantidad]]</f>
        <v>#N/A</v>
      </c>
      <c r="T124" s="369" t="str">
        <f>VLOOKUP(Tabla4[[#This Row],[Producto]],Tabla6[#All],14,FALSE)</f>
        <v>Termico Solar</v>
      </c>
      <c r="U124" s="284" t="e">
        <f>(IF(Tabla4[[#This Row],[Familia]]="termico solar",Tabla4[[#This Row],[Utilidad Total]]*6%,Tabla4[[#This Row],[Utilidad Total]]*11.5%))/Tabla4[[#This Row],[Total]]</f>
        <v>#N/A</v>
      </c>
      <c r="V124" s="282" t="e">
        <f>+Tabla4[[#This Row],[Comisión Calculada]]*Tabla4[[#This Row],[Total]]</f>
        <v>#N/A</v>
      </c>
    </row>
    <row r="125" spans="1:22" hidden="1" x14ac:dyDescent="0.25">
      <c r="A125" s="100">
        <v>45672</v>
      </c>
      <c r="B125" t="str">
        <f t="shared" si="9"/>
        <v>January</v>
      </c>
      <c r="C125" s="46" t="s">
        <v>280</v>
      </c>
      <c r="F125" s="366" t="s">
        <v>725</v>
      </c>
      <c r="G125" s="46" t="s">
        <v>17</v>
      </c>
      <c r="H125" s="46">
        <v>1</v>
      </c>
      <c r="I125" s="51">
        <v>4622.28</v>
      </c>
      <c r="J125" s="281">
        <f>++Tabla4[[#This Row],[Precio Bruto]]*1.16</f>
        <v>5361.8447999999989</v>
      </c>
      <c r="K125" s="281">
        <f>+Tabla4[[#This Row],[Precio Unitario Neto]]*Tabla4[[#Headers],[20.85%]]</f>
        <v>1117.9446407999997</v>
      </c>
      <c r="L125" s="282">
        <f>++Tabla4[[#This Row],[Precio Unitario Neto]]-Tabla4[[#This Row],[20.85%]]</f>
        <v>4243.9001591999995</v>
      </c>
      <c r="M125" s="282" t="e">
        <f>(INDEX(Tabla6[#All],MATCH(Tabla4[[#This Row],[Producto]],Tabla6[[#All],[PRODUCTO]],0),MATCH(Tabla4[[#This Row],[Mes]],Tabla6[#Headers],0)))*(1+Catalogos!$L$2)</f>
        <v>#N/A</v>
      </c>
      <c r="N125" s="283" t="e">
        <f>+(Tabla4[[#This Row],[Precio Descontado]]-Tabla4[[#This Row],[Precio Base]])*Tabla4[[#This Row],[Cantidad]]</f>
        <v>#N/A</v>
      </c>
      <c r="O125" s="284" t="e">
        <f>++Tabla4[[#This Row],[Utilidad Total]]/Tabla4[[#This Row],[Total]]</f>
        <v>#N/A</v>
      </c>
      <c r="P125" s="282">
        <f>++Tabla4[[#This Row],[Precio Descontado]]*Tabla4[[#This Row],[Cantidad]]</f>
        <v>4243.9001591999995</v>
      </c>
      <c r="Q125" s="282" t="e">
        <f>(INDEX(Tabla6[#All],MATCH(Tabla4[[#This Row],[Producto]],Tabla6[[#All],[PRODUCTO]],0),MATCH(Tabla4[[#This Row],[Mes]],Tabla6[#Headers],0)))</f>
        <v>#N/A</v>
      </c>
      <c r="R125" s="282" t="e">
        <f>++Tabla4[[#This Row],[Precio Unitario Neto]]-Tabla4[[#This Row],[20.85%]]-Tabla4[[#This Row],[Costo]]</f>
        <v>#N/A</v>
      </c>
      <c r="S125" s="282" t="e">
        <f>++Tabla4[[#This Row],[U. Bruta Uni]]*Tabla4[[#This Row],[Cantidad]]</f>
        <v>#N/A</v>
      </c>
      <c r="T125" s="369" t="str">
        <f>VLOOKUP(Tabla4[[#This Row],[Producto]],Tabla6[#All],14,FALSE)</f>
        <v>Termico Solar</v>
      </c>
      <c r="U125" s="284" t="e">
        <f>(IF(Tabla4[[#This Row],[Familia]]="termico solar",Tabla4[[#This Row],[Utilidad Total]]*6%,Tabla4[[#This Row],[Utilidad Total]]*11.5%))/Tabla4[[#This Row],[Total]]</f>
        <v>#N/A</v>
      </c>
      <c r="V125" s="282" t="e">
        <f>+Tabla4[[#This Row],[Comisión Calculada]]*Tabla4[[#This Row],[Total]]</f>
        <v>#N/A</v>
      </c>
    </row>
    <row r="126" spans="1:22" hidden="1" x14ac:dyDescent="0.25">
      <c r="A126" s="100">
        <v>45672</v>
      </c>
      <c r="B126" t="str">
        <f t="shared" si="9"/>
        <v>January</v>
      </c>
      <c r="C126" s="46" t="s">
        <v>280</v>
      </c>
      <c r="F126" s="366" t="s">
        <v>725</v>
      </c>
      <c r="G126" s="46" t="s">
        <v>566</v>
      </c>
      <c r="H126" s="46">
        <v>1</v>
      </c>
      <c r="I126" s="51">
        <v>2109.4499999999998</v>
      </c>
      <c r="J126" s="281">
        <f>++Tabla4[[#This Row],[Precio Bruto]]*1.16</f>
        <v>2446.9619999999995</v>
      </c>
      <c r="K126" s="281">
        <f>+Tabla4[[#This Row],[Precio Unitario Neto]]*Tabla4[[#Headers],[20.85%]]</f>
        <v>510.19157699999988</v>
      </c>
      <c r="L126" s="282">
        <f>++Tabla4[[#This Row],[Precio Unitario Neto]]-Tabla4[[#This Row],[20.85%]]</f>
        <v>1936.7704229999997</v>
      </c>
      <c r="M126" s="282" t="e">
        <f>(INDEX(Tabla6[#All],MATCH(Tabla4[[#This Row],[Producto]],Tabla6[[#All],[PRODUCTO]],0),MATCH(Tabla4[[#This Row],[Mes]],Tabla6[#Headers],0)))*(1+Catalogos!$L$2)</f>
        <v>#N/A</v>
      </c>
      <c r="N126" s="283" t="e">
        <f>+(Tabla4[[#This Row],[Precio Descontado]]-Tabla4[[#This Row],[Precio Base]])*Tabla4[[#This Row],[Cantidad]]</f>
        <v>#N/A</v>
      </c>
      <c r="O126" s="284" t="e">
        <f>++Tabla4[[#This Row],[Utilidad Total]]/Tabla4[[#This Row],[Total]]</f>
        <v>#N/A</v>
      </c>
      <c r="P126" s="282">
        <f>++Tabla4[[#This Row],[Precio Descontado]]*Tabla4[[#This Row],[Cantidad]]</f>
        <v>1936.7704229999997</v>
      </c>
      <c r="Q126" s="282" t="e">
        <f>(INDEX(Tabla6[#All],MATCH(Tabla4[[#This Row],[Producto]],Tabla6[[#All],[PRODUCTO]],0),MATCH(Tabla4[[#This Row],[Mes]],Tabla6[#Headers],0)))</f>
        <v>#N/A</v>
      </c>
      <c r="R126" s="282" t="e">
        <f>++Tabla4[[#This Row],[Precio Unitario Neto]]-Tabla4[[#This Row],[20.85%]]-Tabla4[[#This Row],[Costo]]</f>
        <v>#N/A</v>
      </c>
      <c r="S126" s="282" t="e">
        <f>++Tabla4[[#This Row],[U. Bruta Uni]]*Tabla4[[#This Row],[Cantidad]]</f>
        <v>#N/A</v>
      </c>
      <c r="T126" s="369" t="str">
        <f>VLOOKUP(Tabla4[[#This Row],[Producto]],Tabla6[#All],14,FALSE)</f>
        <v>Termico Solar</v>
      </c>
      <c r="U126" s="284" t="e">
        <f>(IF(Tabla4[[#This Row],[Familia]]="termico solar",Tabla4[[#This Row],[Utilidad Total]]*6%,Tabla4[[#This Row],[Utilidad Total]]*11.5%))/Tabla4[[#This Row],[Total]]</f>
        <v>#N/A</v>
      </c>
      <c r="V126" s="282" t="e">
        <f>+Tabla4[[#This Row],[Comisión Calculada]]*Tabla4[[#This Row],[Total]]</f>
        <v>#N/A</v>
      </c>
    </row>
    <row r="127" spans="1:22" hidden="1" x14ac:dyDescent="0.25">
      <c r="A127" s="100">
        <v>45672</v>
      </c>
      <c r="B127" t="str">
        <f t="shared" si="9"/>
        <v>January</v>
      </c>
      <c r="C127" s="46" t="s">
        <v>280</v>
      </c>
      <c r="F127" s="366" t="s">
        <v>726</v>
      </c>
      <c r="G127" s="46" t="s">
        <v>83</v>
      </c>
      <c r="H127" s="46">
        <v>1</v>
      </c>
      <c r="I127" s="51">
        <v>8858.76</v>
      </c>
      <c r="J127" s="281">
        <f>++Tabla4[[#This Row],[Precio Bruto]]*1.16</f>
        <v>10276.161599999999</v>
      </c>
      <c r="K127" s="281">
        <f>+Tabla4[[#This Row],[Precio Unitario Neto]]*Tabla4[[#Headers],[20.85%]]</f>
        <v>2142.5796935999997</v>
      </c>
      <c r="L127" s="282">
        <f>++Tabla4[[#This Row],[Precio Unitario Neto]]-Tabla4[[#This Row],[20.85%]]</f>
        <v>8133.5819063999998</v>
      </c>
      <c r="M127" s="282" t="e">
        <f>(INDEX(Tabla6[#All],MATCH(Tabla4[[#This Row],[Producto]],Tabla6[[#All],[PRODUCTO]],0),MATCH(Tabla4[[#This Row],[Mes]],Tabla6[#Headers],0)))*(1+Catalogos!$L$2)</f>
        <v>#N/A</v>
      </c>
      <c r="N127" s="283" t="e">
        <f>+(Tabla4[[#This Row],[Precio Descontado]]-Tabla4[[#This Row],[Precio Base]])*Tabla4[[#This Row],[Cantidad]]</f>
        <v>#N/A</v>
      </c>
      <c r="O127" s="284" t="e">
        <f>++Tabla4[[#This Row],[Utilidad Total]]/Tabla4[[#This Row],[Total]]</f>
        <v>#N/A</v>
      </c>
      <c r="P127" s="282">
        <f>++Tabla4[[#This Row],[Precio Descontado]]*Tabla4[[#This Row],[Cantidad]]</f>
        <v>8133.5819063999998</v>
      </c>
      <c r="Q127" s="282" t="e">
        <f>(INDEX(Tabla6[#All],MATCH(Tabla4[[#This Row],[Producto]],Tabla6[[#All],[PRODUCTO]],0),MATCH(Tabla4[[#This Row],[Mes]],Tabla6[#Headers],0)))</f>
        <v>#N/A</v>
      </c>
      <c r="R127" s="282" t="e">
        <f>++Tabla4[[#This Row],[Precio Unitario Neto]]-Tabla4[[#This Row],[20.85%]]-Tabla4[[#This Row],[Costo]]</f>
        <v>#N/A</v>
      </c>
      <c r="S127" s="282" t="e">
        <f>++Tabla4[[#This Row],[U. Bruta Uni]]*Tabla4[[#This Row],[Cantidad]]</f>
        <v>#N/A</v>
      </c>
      <c r="T127" s="369" t="str">
        <f>VLOOKUP(Tabla4[[#This Row],[Producto]],Tabla6[#All],14,FALSE)</f>
        <v>Termico Solar</v>
      </c>
      <c r="U127" s="284" t="e">
        <f>(IF(Tabla4[[#This Row],[Familia]]="termico solar",Tabla4[[#This Row],[Utilidad Total]]*6%,Tabla4[[#This Row],[Utilidad Total]]*11.5%))/Tabla4[[#This Row],[Total]]</f>
        <v>#N/A</v>
      </c>
      <c r="V127" s="282" t="e">
        <f>+Tabla4[[#This Row],[Comisión Calculada]]*Tabla4[[#This Row],[Total]]</f>
        <v>#N/A</v>
      </c>
    </row>
    <row r="128" spans="1:22" hidden="1" x14ac:dyDescent="0.25">
      <c r="A128" s="100">
        <v>45672</v>
      </c>
      <c r="B128" t="str">
        <f t="shared" si="9"/>
        <v>January</v>
      </c>
      <c r="C128" s="46" t="s">
        <v>280</v>
      </c>
      <c r="F128" s="366" t="s">
        <v>727</v>
      </c>
      <c r="G128" s="46" t="s">
        <v>82</v>
      </c>
      <c r="H128" s="46">
        <v>26</v>
      </c>
      <c r="I128" s="51">
        <v>7690</v>
      </c>
      <c r="J128" s="281">
        <f>++Tabla4[[#This Row],[Precio Bruto]]*1.16</f>
        <v>8920.4</v>
      </c>
      <c r="K128" s="281">
        <f>+Tabla4[[#This Row],[Precio Unitario Neto]]*Tabla4[[#Headers],[20.85%]]</f>
        <v>1859.9033999999999</v>
      </c>
      <c r="L128" s="282">
        <f>++Tabla4[[#This Row],[Precio Unitario Neto]]-Tabla4[[#This Row],[20.85%]]</f>
        <v>7060.4965999999995</v>
      </c>
      <c r="M128" s="282" t="e">
        <f>(INDEX(Tabla6[#All],MATCH(Tabla4[[#This Row],[Producto]],Tabla6[[#All],[PRODUCTO]],0),MATCH(Tabla4[[#This Row],[Mes]],Tabla6[#Headers],0)))*(1+Catalogos!$L$2)</f>
        <v>#N/A</v>
      </c>
      <c r="N128" s="283" t="e">
        <f>+(Tabla4[[#This Row],[Precio Descontado]]-Tabla4[[#This Row],[Precio Base]])*Tabla4[[#This Row],[Cantidad]]</f>
        <v>#N/A</v>
      </c>
      <c r="O128" s="284" t="e">
        <f>++Tabla4[[#This Row],[Utilidad Total]]/Tabla4[[#This Row],[Total]]</f>
        <v>#N/A</v>
      </c>
      <c r="P128" s="282">
        <f>++Tabla4[[#This Row],[Precio Descontado]]*Tabla4[[#This Row],[Cantidad]]</f>
        <v>183572.91159999999</v>
      </c>
      <c r="Q128" s="282" t="e">
        <f>(INDEX(Tabla6[#All],MATCH(Tabla4[[#This Row],[Producto]],Tabla6[[#All],[PRODUCTO]],0),MATCH(Tabla4[[#This Row],[Mes]],Tabla6[#Headers],0)))</f>
        <v>#N/A</v>
      </c>
      <c r="R128" s="282" t="e">
        <f>++Tabla4[[#This Row],[Precio Unitario Neto]]-Tabla4[[#This Row],[20.85%]]-Tabla4[[#This Row],[Costo]]</f>
        <v>#N/A</v>
      </c>
      <c r="S128" s="282" t="e">
        <f>++Tabla4[[#This Row],[U. Bruta Uni]]*Tabla4[[#This Row],[Cantidad]]</f>
        <v>#N/A</v>
      </c>
      <c r="T128" s="369" t="str">
        <f>VLOOKUP(Tabla4[[#This Row],[Producto]],Tabla6[#All],14,FALSE)</f>
        <v>Termico Solar</v>
      </c>
      <c r="U128" s="284" t="e">
        <f>(IF(Tabla4[[#This Row],[Familia]]="termico solar",Tabla4[[#This Row],[Utilidad Total]]*6%,Tabla4[[#This Row],[Utilidad Total]]*11.5%))/Tabla4[[#This Row],[Total]]</f>
        <v>#N/A</v>
      </c>
      <c r="V128" s="282" t="e">
        <f>+Tabla4[[#This Row],[Comisión Calculada]]*Tabla4[[#This Row],[Total]]</f>
        <v>#N/A</v>
      </c>
    </row>
    <row r="129" spans="1:22" hidden="1" x14ac:dyDescent="0.25">
      <c r="A129" s="100">
        <v>45672</v>
      </c>
      <c r="B129" t="str">
        <f t="shared" si="9"/>
        <v>January</v>
      </c>
      <c r="C129" s="46" t="s">
        <v>280</v>
      </c>
      <c r="F129" s="366" t="s">
        <v>727</v>
      </c>
      <c r="G129" s="46" t="s">
        <v>255</v>
      </c>
      <c r="H129" s="46">
        <v>26</v>
      </c>
      <c r="I129" s="51">
        <v>1200</v>
      </c>
      <c r="J129" s="281">
        <f>++Tabla4[[#This Row],[Precio Bruto]]*1.16</f>
        <v>1392</v>
      </c>
      <c r="K129" s="281">
        <f>+Tabla4[[#This Row],[Precio Unitario Neto]]*Tabla4[[#Headers],[20.85%]]</f>
        <v>290.23199999999997</v>
      </c>
      <c r="L129" s="282">
        <f>++Tabla4[[#This Row],[Precio Unitario Neto]]-Tabla4[[#This Row],[20.85%]]</f>
        <v>1101.768</v>
      </c>
      <c r="M129" s="282" t="e">
        <f>(INDEX(Tabla6[#All],MATCH(Tabla4[[#This Row],[Producto]],Tabla6[[#All],[PRODUCTO]],0),MATCH(Tabla4[[#This Row],[Mes]],Tabla6[#Headers],0)))*(1+Catalogos!$L$2)</f>
        <v>#N/A</v>
      </c>
      <c r="N129" s="283" t="e">
        <f>+(Tabla4[[#This Row],[Precio Descontado]]-Tabla4[[#This Row],[Precio Base]])*Tabla4[[#This Row],[Cantidad]]</f>
        <v>#N/A</v>
      </c>
      <c r="O129" s="284" t="e">
        <f>++Tabla4[[#This Row],[Utilidad Total]]/Tabla4[[#This Row],[Total]]</f>
        <v>#N/A</v>
      </c>
      <c r="P129" s="282">
        <f>++Tabla4[[#This Row],[Precio Descontado]]*Tabla4[[#This Row],[Cantidad]]</f>
        <v>28645.968000000001</v>
      </c>
      <c r="Q129" s="282" t="e">
        <f>(INDEX(Tabla6[#All],MATCH(Tabla4[[#This Row],[Producto]],Tabla6[[#All],[PRODUCTO]],0),MATCH(Tabla4[[#This Row],[Mes]],Tabla6[#Headers],0)))</f>
        <v>#N/A</v>
      </c>
      <c r="R129" s="282" t="e">
        <f>++Tabla4[[#This Row],[Precio Unitario Neto]]-Tabla4[[#This Row],[20.85%]]-Tabla4[[#This Row],[Costo]]</f>
        <v>#N/A</v>
      </c>
      <c r="S129" s="282" t="e">
        <f>++Tabla4[[#This Row],[U. Bruta Uni]]*Tabla4[[#This Row],[Cantidad]]</f>
        <v>#N/A</v>
      </c>
      <c r="T129" s="369" t="str">
        <f>VLOOKUP(Tabla4[[#This Row],[Producto]],Tabla6[#All],14,FALSE)</f>
        <v>Termico Solar</v>
      </c>
      <c r="U129" s="284" t="e">
        <f>(IF(Tabla4[[#This Row],[Familia]]="termico solar",Tabla4[[#This Row],[Utilidad Total]]*6%,Tabla4[[#This Row],[Utilidad Total]]*11.5%))/Tabla4[[#This Row],[Total]]</f>
        <v>#N/A</v>
      </c>
      <c r="V129" s="282" t="e">
        <f>+Tabla4[[#This Row],[Comisión Calculada]]*Tabla4[[#This Row],[Total]]</f>
        <v>#N/A</v>
      </c>
    </row>
    <row r="130" spans="1:22" hidden="1" x14ac:dyDescent="0.25">
      <c r="A130" s="100">
        <v>45672</v>
      </c>
      <c r="B130" t="str">
        <f t="shared" si="9"/>
        <v>January</v>
      </c>
      <c r="C130" s="46" t="s">
        <v>280</v>
      </c>
      <c r="F130" s="366" t="s">
        <v>728</v>
      </c>
      <c r="G130" s="46" t="s">
        <v>17</v>
      </c>
      <c r="H130" s="46">
        <v>3</v>
      </c>
      <c r="I130" s="51">
        <v>4622.28</v>
      </c>
      <c r="J130" s="281">
        <f>++Tabla4[[#This Row],[Precio Bruto]]*1.16</f>
        <v>5361.8447999999989</v>
      </c>
      <c r="K130" s="281">
        <f>+Tabla4[[#This Row],[Precio Unitario Neto]]*Tabla4[[#Headers],[20.85%]]</f>
        <v>1117.9446407999997</v>
      </c>
      <c r="L130" s="282">
        <f>++Tabla4[[#This Row],[Precio Unitario Neto]]-Tabla4[[#This Row],[20.85%]]</f>
        <v>4243.9001591999995</v>
      </c>
      <c r="M130" s="282" t="e">
        <f>(INDEX(Tabla6[#All],MATCH(Tabla4[[#This Row],[Producto]],Tabla6[[#All],[PRODUCTO]],0),MATCH(Tabla4[[#This Row],[Mes]],Tabla6[#Headers],0)))*(1+Catalogos!$L$2)</f>
        <v>#N/A</v>
      </c>
      <c r="N130" s="283" t="e">
        <f>+(Tabla4[[#This Row],[Precio Descontado]]-Tabla4[[#This Row],[Precio Base]])*Tabla4[[#This Row],[Cantidad]]</f>
        <v>#N/A</v>
      </c>
      <c r="O130" s="284" t="e">
        <f>++Tabla4[[#This Row],[Utilidad Total]]/Tabla4[[#This Row],[Total]]</f>
        <v>#N/A</v>
      </c>
      <c r="P130" s="282">
        <f>++Tabla4[[#This Row],[Precio Descontado]]*Tabla4[[#This Row],[Cantidad]]</f>
        <v>12731.700477599999</v>
      </c>
      <c r="Q130" s="282" t="e">
        <f>(INDEX(Tabla6[#All],MATCH(Tabla4[[#This Row],[Producto]],Tabla6[[#All],[PRODUCTO]],0),MATCH(Tabla4[[#This Row],[Mes]],Tabla6[#Headers],0)))</f>
        <v>#N/A</v>
      </c>
      <c r="R130" s="282" t="e">
        <f>++Tabla4[[#This Row],[Precio Unitario Neto]]-Tabla4[[#This Row],[20.85%]]-Tabla4[[#This Row],[Costo]]</f>
        <v>#N/A</v>
      </c>
      <c r="S130" s="282" t="e">
        <f>++Tabla4[[#This Row],[U. Bruta Uni]]*Tabla4[[#This Row],[Cantidad]]</f>
        <v>#N/A</v>
      </c>
      <c r="T130" s="369" t="str">
        <f>VLOOKUP(Tabla4[[#This Row],[Producto]],Tabla6[#All],14,FALSE)</f>
        <v>Termico Solar</v>
      </c>
      <c r="U130" s="284" t="e">
        <f>(IF(Tabla4[[#This Row],[Familia]]="termico solar",Tabla4[[#This Row],[Utilidad Total]]*6%,Tabla4[[#This Row],[Utilidad Total]]*11.5%))/Tabla4[[#This Row],[Total]]</f>
        <v>#N/A</v>
      </c>
      <c r="V130" s="282" t="e">
        <f>+Tabla4[[#This Row],[Comisión Calculada]]*Tabla4[[#This Row],[Total]]</f>
        <v>#N/A</v>
      </c>
    </row>
    <row r="131" spans="1:22" hidden="1" x14ac:dyDescent="0.25">
      <c r="A131" s="100">
        <v>45672</v>
      </c>
      <c r="B131" t="str">
        <f t="shared" si="9"/>
        <v>January</v>
      </c>
      <c r="C131" s="46" t="s">
        <v>280</v>
      </c>
      <c r="F131" s="366" t="s">
        <v>729</v>
      </c>
      <c r="G131" s="46" t="s">
        <v>83</v>
      </c>
      <c r="H131" s="46">
        <v>6</v>
      </c>
      <c r="I131" s="51">
        <v>8858.76</v>
      </c>
      <c r="J131" s="281">
        <f>++Tabla4[[#This Row],[Precio Bruto]]*1.16</f>
        <v>10276.161599999999</v>
      </c>
      <c r="K131" s="281">
        <f>+Tabla4[[#This Row],[Precio Unitario Neto]]*Tabla4[[#Headers],[20.85%]]</f>
        <v>2142.5796935999997</v>
      </c>
      <c r="L131" s="282">
        <f>++Tabla4[[#This Row],[Precio Unitario Neto]]-Tabla4[[#This Row],[20.85%]]</f>
        <v>8133.5819063999998</v>
      </c>
      <c r="M131" s="282" t="e">
        <f>(INDEX(Tabla6[#All],MATCH(Tabla4[[#This Row],[Producto]],Tabla6[[#All],[PRODUCTO]],0),MATCH(Tabla4[[#This Row],[Mes]],Tabla6[#Headers],0)))*(1+Catalogos!$L$2)</f>
        <v>#N/A</v>
      </c>
      <c r="N131" s="283" t="e">
        <f>+(Tabla4[[#This Row],[Precio Descontado]]-Tabla4[[#This Row],[Precio Base]])*Tabla4[[#This Row],[Cantidad]]</f>
        <v>#N/A</v>
      </c>
      <c r="O131" s="284" t="e">
        <f>++Tabla4[[#This Row],[Utilidad Total]]/Tabla4[[#This Row],[Total]]</f>
        <v>#N/A</v>
      </c>
      <c r="P131" s="282">
        <f>++Tabla4[[#This Row],[Precio Descontado]]*Tabla4[[#This Row],[Cantidad]]</f>
        <v>48801.4914384</v>
      </c>
      <c r="Q131" s="282" t="e">
        <f>(INDEX(Tabla6[#All],MATCH(Tabla4[[#This Row],[Producto]],Tabla6[[#All],[PRODUCTO]],0),MATCH(Tabla4[[#This Row],[Mes]],Tabla6[#Headers],0)))</f>
        <v>#N/A</v>
      </c>
      <c r="R131" s="282" t="e">
        <f>++Tabla4[[#This Row],[Precio Unitario Neto]]-Tabla4[[#This Row],[20.85%]]-Tabla4[[#This Row],[Costo]]</f>
        <v>#N/A</v>
      </c>
      <c r="S131" s="282" t="e">
        <f>++Tabla4[[#This Row],[U. Bruta Uni]]*Tabla4[[#This Row],[Cantidad]]</f>
        <v>#N/A</v>
      </c>
      <c r="T131" s="369" t="str">
        <f>VLOOKUP(Tabla4[[#This Row],[Producto]],Tabla6[#All],14,FALSE)</f>
        <v>Termico Solar</v>
      </c>
      <c r="U131" s="284" t="e">
        <f>(IF(Tabla4[[#This Row],[Familia]]="termico solar",Tabla4[[#This Row],[Utilidad Total]]*6%,Tabla4[[#This Row],[Utilidad Total]]*11.5%))/Tabla4[[#This Row],[Total]]</f>
        <v>#N/A</v>
      </c>
      <c r="V131" s="282" t="e">
        <f>+Tabla4[[#This Row],[Comisión Calculada]]*Tabla4[[#This Row],[Total]]</f>
        <v>#N/A</v>
      </c>
    </row>
    <row r="132" spans="1:22" hidden="1" x14ac:dyDescent="0.25">
      <c r="A132" s="100">
        <v>45672</v>
      </c>
      <c r="B132" t="str">
        <f t="shared" si="9"/>
        <v>January</v>
      </c>
      <c r="C132" s="46" t="s">
        <v>280</v>
      </c>
      <c r="F132" s="366" t="s">
        <v>730</v>
      </c>
      <c r="G132" s="46" t="s">
        <v>83</v>
      </c>
      <c r="H132" s="46">
        <v>5</v>
      </c>
      <c r="I132" s="51">
        <v>8858.76</v>
      </c>
      <c r="J132" s="281">
        <f>++Tabla4[[#This Row],[Precio Bruto]]*1.16</f>
        <v>10276.161599999999</v>
      </c>
      <c r="K132" s="281">
        <f>+Tabla4[[#This Row],[Precio Unitario Neto]]*Tabla4[[#Headers],[20.85%]]</f>
        <v>2142.5796935999997</v>
      </c>
      <c r="L132" s="282">
        <f>++Tabla4[[#This Row],[Precio Unitario Neto]]-Tabla4[[#This Row],[20.85%]]</f>
        <v>8133.5819063999998</v>
      </c>
      <c r="M132" s="282" t="e">
        <f>(INDEX(Tabla6[#All],MATCH(Tabla4[[#This Row],[Producto]],Tabla6[[#All],[PRODUCTO]],0),MATCH(Tabla4[[#This Row],[Mes]],Tabla6[#Headers],0)))*(1+Catalogos!$L$2)</f>
        <v>#N/A</v>
      </c>
      <c r="N132" s="283" t="e">
        <f>+(Tabla4[[#This Row],[Precio Descontado]]-Tabla4[[#This Row],[Precio Base]])*Tabla4[[#This Row],[Cantidad]]</f>
        <v>#N/A</v>
      </c>
      <c r="O132" s="284" t="e">
        <f>++Tabla4[[#This Row],[Utilidad Total]]/Tabla4[[#This Row],[Total]]</f>
        <v>#N/A</v>
      </c>
      <c r="P132" s="282">
        <f>++Tabla4[[#This Row],[Precio Descontado]]*Tabla4[[#This Row],[Cantidad]]</f>
        <v>40667.909531999998</v>
      </c>
      <c r="Q132" s="282" t="e">
        <f>(INDEX(Tabla6[#All],MATCH(Tabla4[[#This Row],[Producto]],Tabla6[[#All],[PRODUCTO]],0),MATCH(Tabla4[[#This Row],[Mes]],Tabla6[#Headers],0)))</f>
        <v>#N/A</v>
      </c>
      <c r="R132" s="282" t="e">
        <f>++Tabla4[[#This Row],[Precio Unitario Neto]]-Tabla4[[#This Row],[20.85%]]-Tabla4[[#This Row],[Costo]]</f>
        <v>#N/A</v>
      </c>
      <c r="S132" s="282" t="e">
        <f>++Tabla4[[#This Row],[U. Bruta Uni]]*Tabla4[[#This Row],[Cantidad]]</f>
        <v>#N/A</v>
      </c>
      <c r="T132" s="369" t="str">
        <f>VLOOKUP(Tabla4[[#This Row],[Producto]],Tabla6[#All],14,FALSE)</f>
        <v>Termico Solar</v>
      </c>
      <c r="U132" s="284" t="e">
        <f>(IF(Tabla4[[#This Row],[Familia]]="termico solar",Tabla4[[#This Row],[Utilidad Total]]*6%,Tabla4[[#This Row],[Utilidad Total]]*11.5%))/Tabla4[[#This Row],[Total]]</f>
        <v>#N/A</v>
      </c>
      <c r="V132" s="282" t="e">
        <f>+Tabla4[[#This Row],[Comisión Calculada]]*Tabla4[[#This Row],[Total]]</f>
        <v>#N/A</v>
      </c>
    </row>
    <row r="133" spans="1:22" hidden="1" x14ac:dyDescent="0.25">
      <c r="A133" s="100">
        <v>45672</v>
      </c>
      <c r="B133" t="str">
        <f t="shared" si="9"/>
        <v>January</v>
      </c>
      <c r="C133" s="46" t="s">
        <v>280</v>
      </c>
      <c r="F133" s="366" t="s">
        <v>730</v>
      </c>
      <c r="G133" s="46" t="s">
        <v>17</v>
      </c>
      <c r="H133" s="46">
        <v>3</v>
      </c>
      <c r="I133" s="51">
        <v>4622.28</v>
      </c>
      <c r="J133" s="281">
        <f>++Tabla4[[#This Row],[Precio Bruto]]*1.16</f>
        <v>5361.8447999999989</v>
      </c>
      <c r="K133" s="281">
        <f>+Tabla4[[#This Row],[Precio Unitario Neto]]*Tabla4[[#Headers],[20.85%]]</f>
        <v>1117.9446407999997</v>
      </c>
      <c r="L133" s="282">
        <f>++Tabla4[[#This Row],[Precio Unitario Neto]]-Tabla4[[#This Row],[20.85%]]</f>
        <v>4243.9001591999995</v>
      </c>
      <c r="M133" s="282" t="e">
        <f>(INDEX(Tabla6[#All],MATCH(Tabla4[[#This Row],[Producto]],Tabla6[[#All],[PRODUCTO]],0),MATCH(Tabla4[[#This Row],[Mes]],Tabla6[#Headers],0)))*(1+Catalogos!$L$2)</f>
        <v>#N/A</v>
      </c>
      <c r="N133" s="283" t="e">
        <f>+(Tabla4[[#This Row],[Precio Descontado]]-Tabla4[[#This Row],[Precio Base]])*Tabla4[[#This Row],[Cantidad]]</f>
        <v>#N/A</v>
      </c>
      <c r="O133" s="284" t="e">
        <f>++Tabla4[[#This Row],[Utilidad Total]]/Tabla4[[#This Row],[Total]]</f>
        <v>#N/A</v>
      </c>
      <c r="P133" s="282">
        <f>++Tabla4[[#This Row],[Precio Descontado]]*Tabla4[[#This Row],[Cantidad]]</f>
        <v>12731.700477599999</v>
      </c>
      <c r="Q133" s="282" t="e">
        <f>(INDEX(Tabla6[#All],MATCH(Tabla4[[#This Row],[Producto]],Tabla6[[#All],[PRODUCTO]],0),MATCH(Tabla4[[#This Row],[Mes]],Tabla6[#Headers],0)))</f>
        <v>#N/A</v>
      </c>
      <c r="R133" s="282" t="e">
        <f>++Tabla4[[#This Row],[Precio Unitario Neto]]-Tabla4[[#This Row],[20.85%]]-Tabla4[[#This Row],[Costo]]</f>
        <v>#N/A</v>
      </c>
      <c r="S133" s="282" t="e">
        <f>++Tabla4[[#This Row],[U. Bruta Uni]]*Tabla4[[#This Row],[Cantidad]]</f>
        <v>#N/A</v>
      </c>
      <c r="T133" s="369" t="str">
        <f>VLOOKUP(Tabla4[[#This Row],[Producto]],Tabla6[#All],14,FALSE)</f>
        <v>Termico Solar</v>
      </c>
      <c r="U133" s="284" t="e">
        <f>(IF(Tabla4[[#This Row],[Familia]]="termico solar",Tabla4[[#This Row],[Utilidad Total]]*6%,Tabla4[[#This Row],[Utilidad Total]]*11.5%))/Tabla4[[#This Row],[Total]]</f>
        <v>#N/A</v>
      </c>
      <c r="V133" s="282" t="e">
        <f>+Tabla4[[#This Row],[Comisión Calculada]]*Tabla4[[#This Row],[Total]]</f>
        <v>#N/A</v>
      </c>
    </row>
    <row r="134" spans="1:22" hidden="1" x14ac:dyDescent="0.25">
      <c r="A134" s="100">
        <v>45672</v>
      </c>
      <c r="B134" t="str">
        <f t="shared" si="9"/>
        <v>January</v>
      </c>
      <c r="C134" s="46" t="s">
        <v>280</v>
      </c>
      <c r="F134" s="366" t="s">
        <v>730</v>
      </c>
      <c r="G134" s="46" t="s">
        <v>18</v>
      </c>
      <c r="H134" s="46">
        <v>3</v>
      </c>
      <c r="I134" s="51">
        <v>5367.6500000000005</v>
      </c>
      <c r="J134" s="281">
        <f>++Tabla4[[#This Row],[Precio Bruto]]*1.16</f>
        <v>6226.4740000000002</v>
      </c>
      <c r="K134" s="281">
        <f>+Tabla4[[#This Row],[Precio Unitario Neto]]*Tabla4[[#Headers],[20.85%]]</f>
        <v>1298.2198289999999</v>
      </c>
      <c r="L134" s="282">
        <f>++Tabla4[[#This Row],[Precio Unitario Neto]]-Tabla4[[#This Row],[20.85%]]</f>
        <v>4928.2541710000005</v>
      </c>
      <c r="M134" s="282" t="e">
        <f>(INDEX(Tabla6[#All],MATCH(Tabla4[[#This Row],[Producto]],Tabla6[[#All],[PRODUCTO]],0),MATCH(Tabla4[[#This Row],[Mes]],Tabla6[#Headers],0)))*(1+Catalogos!$L$2)</f>
        <v>#N/A</v>
      </c>
      <c r="N134" s="283" t="e">
        <f>+(Tabla4[[#This Row],[Precio Descontado]]-Tabla4[[#This Row],[Precio Base]])*Tabla4[[#This Row],[Cantidad]]</f>
        <v>#N/A</v>
      </c>
      <c r="O134" s="284" t="e">
        <f>++Tabla4[[#This Row],[Utilidad Total]]/Tabla4[[#This Row],[Total]]</f>
        <v>#N/A</v>
      </c>
      <c r="P134" s="282">
        <f>++Tabla4[[#This Row],[Precio Descontado]]*Tabla4[[#This Row],[Cantidad]]</f>
        <v>14784.762513000001</v>
      </c>
      <c r="Q134" s="282" t="e">
        <f>(INDEX(Tabla6[#All],MATCH(Tabla4[[#This Row],[Producto]],Tabla6[[#All],[PRODUCTO]],0),MATCH(Tabla4[[#This Row],[Mes]],Tabla6[#Headers],0)))</f>
        <v>#N/A</v>
      </c>
      <c r="R134" s="282" t="e">
        <f>++Tabla4[[#This Row],[Precio Unitario Neto]]-Tabla4[[#This Row],[20.85%]]-Tabla4[[#This Row],[Costo]]</f>
        <v>#N/A</v>
      </c>
      <c r="S134" s="282" t="e">
        <f>++Tabla4[[#This Row],[U. Bruta Uni]]*Tabla4[[#This Row],[Cantidad]]</f>
        <v>#N/A</v>
      </c>
      <c r="T134" s="369" t="str">
        <f>VLOOKUP(Tabla4[[#This Row],[Producto]],Tabla6[#All],14,FALSE)</f>
        <v>Termico Solar</v>
      </c>
      <c r="U134" s="284" t="e">
        <f>(IF(Tabla4[[#This Row],[Familia]]="termico solar",Tabla4[[#This Row],[Utilidad Total]]*6%,Tabla4[[#This Row],[Utilidad Total]]*11.5%))/Tabla4[[#This Row],[Total]]</f>
        <v>#N/A</v>
      </c>
      <c r="V134" s="282" t="e">
        <f>+Tabla4[[#This Row],[Comisión Calculada]]*Tabla4[[#This Row],[Total]]</f>
        <v>#N/A</v>
      </c>
    </row>
    <row r="135" spans="1:22" hidden="1" x14ac:dyDescent="0.25">
      <c r="A135" s="100">
        <v>45672</v>
      </c>
      <c r="B135" t="str">
        <f t="shared" si="9"/>
        <v>January</v>
      </c>
      <c r="C135" s="46" t="s">
        <v>280</v>
      </c>
      <c r="F135" s="366" t="s">
        <v>731</v>
      </c>
      <c r="G135" s="46" t="s">
        <v>17</v>
      </c>
      <c r="H135" s="46">
        <v>1</v>
      </c>
      <c r="I135" s="51">
        <v>4622.28</v>
      </c>
      <c r="J135" s="281">
        <f>++Tabla4[[#This Row],[Precio Bruto]]*1.16</f>
        <v>5361.8447999999989</v>
      </c>
      <c r="K135" s="281">
        <f>+Tabla4[[#This Row],[Precio Unitario Neto]]*Tabla4[[#Headers],[20.85%]]</f>
        <v>1117.9446407999997</v>
      </c>
      <c r="L135" s="282">
        <f>++Tabla4[[#This Row],[Precio Unitario Neto]]-Tabla4[[#This Row],[20.85%]]</f>
        <v>4243.9001591999995</v>
      </c>
      <c r="M135" s="282" t="e">
        <f>(INDEX(Tabla6[#All],MATCH(Tabla4[[#This Row],[Producto]],Tabla6[[#All],[PRODUCTO]],0),MATCH(Tabla4[[#This Row],[Mes]],Tabla6[#Headers],0)))*(1+Catalogos!$L$2)</f>
        <v>#N/A</v>
      </c>
      <c r="N135" s="283" t="e">
        <f>+(Tabla4[[#This Row],[Precio Descontado]]-Tabla4[[#This Row],[Precio Base]])*Tabla4[[#This Row],[Cantidad]]</f>
        <v>#N/A</v>
      </c>
      <c r="O135" s="284" t="e">
        <f>++Tabla4[[#This Row],[Utilidad Total]]/Tabla4[[#This Row],[Total]]</f>
        <v>#N/A</v>
      </c>
      <c r="P135" s="282">
        <f>++Tabla4[[#This Row],[Precio Descontado]]*Tabla4[[#This Row],[Cantidad]]</f>
        <v>4243.9001591999995</v>
      </c>
      <c r="Q135" s="282" t="e">
        <f>(INDEX(Tabla6[#All],MATCH(Tabla4[[#This Row],[Producto]],Tabla6[[#All],[PRODUCTO]],0),MATCH(Tabla4[[#This Row],[Mes]],Tabla6[#Headers],0)))</f>
        <v>#N/A</v>
      </c>
      <c r="R135" s="282" t="e">
        <f>++Tabla4[[#This Row],[Precio Unitario Neto]]-Tabla4[[#This Row],[20.85%]]-Tabla4[[#This Row],[Costo]]</f>
        <v>#N/A</v>
      </c>
      <c r="S135" s="282" t="e">
        <f>++Tabla4[[#This Row],[U. Bruta Uni]]*Tabla4[[#This Row],[Cantidad]]</f>
        <v>#N/A</v>
      </c>
      <c r="T135" s="369" t="str">
        <f>VLOOKUP(Tabla4[[#This Row],[Producto]],Tabla6[#All],14,FALSE)</f>
        <v>Termico Solar</v>
      </c>
      <c r="U135" s="284" t="e">
        <f>(IF(Tabla4[[#This Row],[Familia]]="termico solar",Tabla4[[#This Row],[Utilidad Total]]*6%,Tabla4[[#This Row],[Utilidad Total]]*11.5%))/Tabla4[[#This Row],[Total]]</f>
        <v>#N/A</v>
      </c>
      <c r="V135" s="282" t="e">
        <f>+Tabla4[[#This Row],[Comisión Calculada]]*Tabla4[[#This Row],[Total]]</f>
        <v>#N/A</v>
      </c>
    </row>
    <row r="136" spans="1:22" hidden="1" x14ac:dyDescent="0.25">
      <c r="A136" s="100">
        <v>45672</v>
      </c>
      <c r="B136" t="str">
        <f t="shared" si="9"/>
        <v>January</v>
      </c>
      <c r="C136" s="46" t="s">
        <v>280</v>
      </c>
      <c r="F136" s="366" t="s">
        <v>731</v>
      </c>
      <c r="G136" s="46" t="s">
        <v>16</v>
      </c>
      <c r="H136" s="46">
        <v>2</v>
      </c>
      <c r="I136" s="51">
        <v>4103.8500000000004</v>
      </c>
      <c r="J136" s="281">
        <f>++Tabla4[[#This Row],[Precio Bruto]]*1.16</f>
        <v>4760.4660000000003</v>
      </c>
      <c r="K136" s="281">
        <f>+Tabla4[[#This Row],[Precio Unitario Neto]]*Tabla4[[#Headers],[20.85%]]</f>
        <v>992.55716100000006</v>
      </c>
      <c r="L136" s="282">
        <f>++Tabla4[[#This Row],[Precio Unitario Neto]]-Tabla4[[#This Row],[20.85%]]</f>
        <v>3767.9088390000002</v>
      </c>
      <c r="M136" s="282" t="e">
        <f>(INDEX(Tabla6[#All],MATCH(Tabla4[[#This Row],[Producto]],Tabla6[[#All],[PRODUCTO]],0),MATCH(Tabla4[[#This Row],[Mes]],Tabla6[#Headers],0)))*(1+Catalogos!$L$2)</f>
        <v>#N/A</v>
      </c>
      <c r="N136" s="283" t="e">
        <f>+(Tabla4[[#This Row],[Precio Descontado]]-Tabla4[[#This Row],[Precio Base]])*Tabla4[[#This Row],[Cantidad]]</f>
        <v>#N/A</v>
      </c>
      <c r="O136" s="284" t="e">
        <f>++Tabla4[[#This Row],[Utilidad Total]]/Tabla4[[#This Row],[Total]]</f>
        <v>#N/A</v>
      </c>
      <c r="P136" s="282">
        <f>++Tabla4[[#This Row],[Precio Descontado]]*Tabla4[[#This Row],[Cantidad]]</f>
        <v>7535.8176780000003</v>
      </c>
      <c r="Q136" s="282" t="e">
        <f>(INDEX(Tabla6[#All],MATCH(Tabla4[[#This Row],[Producto]],Tabla6[[#All],[PRODUCTO]],0),MATCH(Tabla4[[#This Row],[Mes]],Tabla6[#Headers],0)))</f>
        <v>#N/A</v>
      </c>
      <c r="R136" s="282" t="e">
        <f>++Tabla4[[#This Row],[Precio Unitario Neto]]-Tabla4[[#This Row],[20.85%]]-Tabla4[[#This Row],[Costo]]</f>
        <v>#N/A</v>
      </c>
      <c r="S136" s="282" t="e">
        <f>++Tabla4[[#This Row],[U. Bruta Uni]]*Tabla4[[#This Row],[Cantidad]]</f>
        <v>#N/A</v>
      </c>
      <c r="T136" s="369" t="str">
        <f>VLOOKUP(Tabla4[[#This Row],[Producto]],Tabla6[#All],14,FALSE)</f>
        <v>Termico Solar</v>
      </c>
      <c r="U136" s="284" t="e">
        <f>(IF(Tabla4[[#This Row],[Familia]]="termico solar",Tabla4[[#This Row],[Utilidad Total]]*6%,Tabla4[[#This Row],[Utilidad Total]]*11.5%))/Tabla4[[#This Row],[Total]]</f>
        <v>#N/A</v>
      </c>
      <c r="V136" s="282" t="e">
        <f>+Tabla4[[#This Row],[Comisión Calculada]]*Tabla4[[#This Row],[Total]]</f>
        <v>#N/A</v>
      </c>
    </row>
    <row r="137" spans="1:22" hidden="1" x14ac:dyDescent="0.25">
      <c r="A137" s="100">
        <v>45672</v>
      </c>
      <c r="B137" t="str">
        <f t="shared" si="9"/>
        <v>January</v>
      </c>
      <c r="C137" s="46" t="s">
        <v>280</v>
      </c>
      <c r="F137" s="366" t="s">
        <v>732</v>
      </c>
      <c r="G137" s="46" t="s">
        <v>566</v>
      </c>
      <c r="H137" s="46">
        <v>1</v>
      </c>
      <c r="I137" s="51">
        <v>2109.4499999999998</v>
      </c>
      <c r="J137" s="281">
        <f>++Tabla4[[#This Row],[Precio Bruto]]*1.16</f>
        <v>2446.9619999999995</v>
      </c>
      <c r="K137" s="281">
        <f>+Tabla4[[#This Row],[Precio Unitario Neto]]*Tabla4[[#Headers],[20.85%]]</f>
        <v>510.19157699999988</v>
      </c>
      <c r="L137" s="282">
        <f>++Tabla4[[#This Row],[Precio Unitario Neto]]-Tabla4[[#This Row],[20.85%]]</f>
        <v>1936.7704229999997</v>
      </c>
      <c r="M137" s="282" t="e">
        <f>(INDEX(Tabla6[#All],MATCH(Tabla4[[#This Row],[Producto]],Tabla6[[#All],[PRODUCTO]],0),MATCH(Tabla4[[#This Row],[Mes]],Tabla6[#Headers],0)))*(1+Catalogos!$L$2)</f>
        <v>#N/A</v>
      </c>
      <c r="N137" s="283" t="e">
        <f>+(Tabla4[[#This Row],[Precio Descontado]]-Tabla4[[#This Row],[Precio Base]])*Tabla4[[#This Row],[Cantidad]]</f>
        <v>#N/A</v>
      </c>
      <c r="O137" s="284" t="e">
        <f>++Tabla4[[#This Row],[Utilidad Total]]/Tabla4[[#This Row],[Total]]</f>
        <v>#N/A</v>
      </c>
      <c r="P137" s="282">
        <f>++Tabla4[[#This Row],[Precio Descontado]]*Tabla4[[#This Row],[Cantidad]]</f>
        <v>1936.7704229999997</v>
      </c>
      <c r="Q137" s="282" t="e">
        <f>(INDEX(Tabla6[#All],MATCH(Tabla4[[#This Row],[Producto]],Tabla6[[#All],[PRODUCTO]],0),MATCH(Tabla4[[#This Row],[Mes]],Tabla6[#Headers],0)))</f>
        <v>#N/A</v>
      </c>
      <c r="R137" s="282" t="e">
        <f>++Tabla4[[#This Row],[Precio Unitario Neto]]-Tabla4[[#This Row],[20.85%]]-Tabla4[[#This Row],[Costo]]</f>
        <v>#N/A</v>
      </c>
      <c r="S137" s="282" t="e">
        <f>++Tabla4[[#This Row],[U. Bruta Uni]]*Tabla4[[#This Row],[Cantidad]]</f>
        <v>#N/A</v>
      </c>
      <c r="T137" s="369" t="str">
        <f>VLOOKUP(Tabla4[[#This Row],[Producto]],Tabla6[#All],14,FALSE)</f>
        <v>Termico Solar</v>
      </c>
      <c r="U137" s="284" t="e">
        <f>(IF(Tabla4[[#This Row],[Familia]]="termico solar",Tabla4[[#This Row],[Utilidad Total]]*6%,Tabla4[[#This Row],[Utilidad Total]]*11.5%))/Tabla4[[#This Row],[Total]]</f>
        <v>#N/A</v>
      </c>
      <c r="V137" s="282" t="e">
        <f>+Tabla4[[#This Row],[Comisión Calculada]]*Tabla4[[#This Row],[Total]]</f>
        <v>#N/A</v>
      </c>
    </row>
    <row r="138" spans="1:22" hidden="1" x14ac:dyDescent="0.25">
      <c r="A138" s="100">
        <v>45672</v>
      </c>
      <c r="B138" t="str">
        <f t="shared" si="9"/>
        <v>January</v>
      </c>
      <c r="C138" s="46" t="s">
        <v>280</v>
      </c>
      <c r="F138" s="366" t="s">
        <v>732</v>
      </c>
      <c r="G138" s="46" t="s">
        <v>16</v>
      </c>
      <c r="H138" s="46">
        <v>8</v>
      </c>
      <c r="I138" s="51">
        <v>4103.8500000000004</v>
      </c>
      <c r="J138" s="281">
        <f>++Tabla4[[#This Row],[Precio Bruto]]*1.16</f>
        <v>4760.4660000000003</v>
      </c>
      <c r="K138" s="281">
        <f>+Tabla4[[#This Row],[Precio Unitario Neto]]*Tabla4[[#Headers],[20.85%]]</f>
        <v>992.55716100000006</v>
      </c>
      <c r="L138" s="282">
        <f>++Tabla4[[#This Row],[Precio Unitario Neto]]-Tabla4[[#This Row],[20.85%]]</f>
        <v>3767.9088390000002</v>
      </c>
      <c r="M138" s="282" t="e">
        <f>(INDEX(Tabla6[#All],MATCH(Tabla4[[#This Row],[Producto]],Tabla6[[#All],[PRODUCTO]],0),MATCH(Tabla4[[#This Row],[Mes]],Tabla6[#Headers],0)))*(1+Catalogos!$L$2)</f>
        <v>#N/A</v>
      </c>
      <c r="N138" s="283" t="e">
        <f>+(Tabla4[[#This Row],[Precio Descontado]]-Tabla4[[#This Row],[Precio Base]])*Tabla4[[#This Row],[Cantidad]]</f>
        <v>#N/A</v>
      </c>
      <c r="O138" s="284" t="e">
        <f>++Tabla4[[#This Row],[Utilidad Total]]/Tabla4[[#This Row],[Total]]</f>
        <v>#N/A</v>
      </c>
      <c r="P138" s="282">
        <f>++Tabla4[[#This Row],[Precio Descontado]]*Tabla4[[#This Row],[Cantidad]]</f>
        <v>30143.270712000001</v>
      </c>
      <c r="Q138" s="282" t="e">
        <f>(INDEX(Tabla6[#All],MATCH(Tabla4[[#This Row],[Producto]],Tabla6[[#All],[PRODUCTO]],0),MATCH(Tabla4[[#This Row],[Mes]],Tabla6[#Headers],0)))</f>
        <v>#N/A</v>
      </c>
      <c r="R138" s="282" t="e">
        <f>++Tabla4[[#This Row],[Precio Unitario Neto]]-Tabla4[[#This Row],[20.85%]]-Tabla4[[#This Row],[Costo]]</f>
        <v>#N/A</v>
      </c>
      <c r="S138" s="282" t="e">
        <f>++Tabla4[[#This Row],[U. Bruta Uni]]*Tabla4[[#This Row],[Cantidad]]</f>
        <v>#N/A</v>
      </c>
      <c r="T138" s="369" t="str">
        <f>VLOOKUP(Tabla4[[#This Row],[Producto]],Tabla6[#All],14,FALSE)</f>
        <v>Termico Solar</v>
      </c>
      <c r="U138" s="284" t="e">
        <f>(IF(Tabla4[[#This Row],[Familia]]="termico solar",Tabla4[[#This Row],[Utilidad Total]]*6%,Tabla4[[#This Row],[Utilidad Total]]*11.5%))/Tabla4[[#This Row],[Total]]</f>
        <v>#N/A</v>
      </c>
      <c r="V138" s="282" t="e">
        <f>+Tabla4[[#This Row],[Comisión Calculada]]*Tabla4[[#This Row],[Total]]</f>
        <v>#N/A</v>
      </c>
    </row>
    <row r="139" spans="1:22" hidden="1" x14ac:dyDescent="0.25">
      <c r="A139" s="100">
        <v>45672</v>
      </c>
      <c r="B139" t="str">
        <f t="shared" si="9"/>
        <v>January</v>
      </c>
      <c r="C139" s="46" t="s">
        <v>280</v>
      </c>
      <c r="F139" s="366" t="s">
        <v>733</v>
      </c>
      <c r="G139" s="46" t="s">
        <v>17</v>
      </c>
      <c r="H139" s="46">
        <v>4</v>
      </c>
      <c r="I139" s="51">
        <v>4622.28</v>
      </c>
      <c r="J139" s="281">
        <f>++Tabla4[[#This Row],[Precio Bruto]]*1.16</f>
        <v>5361.8447999999989</v>
      </c>
      <c r="K139" s="281">
        <f>+Tabla4[[#This Row],[Precio Unitario Neto]]*Tabla4[[#Headers],[20.85%]]</f>
        <v>1117.9446407999997</v>
      </c>
      <c r="L139" s="282">
        <f>++Tabla4[[#This Row],[Precio Unitario Neto]]-Tabla4[[#This Row],[20.85%]]</f>
        <v>4243.9001591999995</v>
      </c>
      <c r="M139" s="282" t="e">
        <f>(INDEX(Tabla6[#All],MATCH(Tabla4[[#This Row],[Producto]],Tabla6[[#All],[PRODUCTO]],0),MATCH(Tabla4[[#This Row],[Mes]],Tabla6[#Headers],0)))*(1+Catalogos!$L$2)</f>
        <v>#N/A</v>
      </c>
      <c r="N139" s="283" t="e">
        <f>+(Tabla4[[#This Row],[Precio Descontado]]-Tabla4[[#This Row],[Precio Base]])*Tabla4[[#This Row],[Cantidad]]</f>
        <v>#N/A</v>
      </c>
      <c r="O139" s="284" t="e">
        <f>++Tabla4[[#This Row],[Utilidad Total]]/Tabla4[[#This Row],[Total]]</f>
        <v>#N/A</v>
      </c>
      <c r="P139" s="282">
        <f>++Tabla4[[#This Row],[Precio Descontado]]*Tabla4[[#This Row],[Cantidad]]</f>
        <v>16975.600636799998</v>
      </c>
      <c r="Q139" s="282" t="e">
        <f>(INDEX(Tabla6[#All],MATCH(Tabla4[[#This Row],[Producto]],Tabla6[[#All],[PRODUCTO]],0),MATCH(Tabla4[[#This Row],[Mes]],Tabla6[#Headers],0)))</f>
        <v>#N/A</v>
      </c>
      <c r="R139" s="282" t="e">
        <f>++Tabla4[[#This Row],[Precio Unitario Neto]]-Tabla4[[#This Row],[20.85%]]-Tabla4[[#This Row],[Costo]]</f>
        <v>#N/A</v>
      </c>
      <c r="S139" s="282" t="e">
        <f>++Tabla4[[#This Row],[U. Bruta Uni]]*Tabla4[[#This Row],[Cantidad]]</f>
        <v>#N/A</v>
      </c>
      <c r="T139" s="369" t="str">
        <f>VLOOKUP(Tabla4[[#This Row],[Producto]],Tabla6[#All],14,FALSE)</f>
        <v>Termico Solar</v>
      </c>
      <c r="U139" s="284" t="e">
        <f>(IF(Tabla4[[#This Row],[Familia]]="termico solar",Tabla4[[#This Row],[Utilidad Total]]*6%,Tabla4[[#This Row],[Utilidad Total]]*11.5%))/Tabla4[[#This Row],[Total]]</f>
        <v>#N/A</v>
      </c>
      <c r="V139" s="282" t="e">
        <f>+Tabla4[[#This Row],[Comisión Calculada]]*Tabla4[[#This Row],[Total]]</f>
        <v>#N/A</v>
      </c>
    </row>
    <row r="140" spans="1:22" hidden="1" x14ac:dyDescent="0.25">
      <c r="A140" s="100">
        <v>45672</v>
      </c>
      <c r="B140" t="str">
        <f t="shared" si="9"/>
        <v>January</v>
      </c>
      <c r="C140" s="46" t="s">
        <v>280</v>
      </c>
      <c r="F140" s="366" t="s">
        <v>733</v>
      </c>
      <c r="G140" s="46" t="s">
        <v>18</v>
      </c>
      <c r="H140" s="46">
        <v>3</v>
      </c>
      <c r="I140" s="51">
        <v>5367.6500000000005</v>
      </c>
      <c r="J140" s="281">
        <f>++Tabla4[[#This Row],[Precio Bruto]]*1.16</f>
        <v>6226.4740000000002</v>
      </c>
      <c r="K140" s="281">
        <f>+Tabla4[[#This Row],[Precio Unitario Neto]]*Tabla4[[#Headers],[20.85%]]</f>
        <v>1298.2198289999999</v>
      </c>
      <c r="L140" s="282">
        <f>++Tabla4[[#This Row],[Precio Unitario Neto]]-Tabla4[[#This Row],[20.85%]]</f>
        <v>4928.2541710000005</v>
      </c>
      <c r="M140" s="282" t="e">
        <f>(INDEX(Tabla6[#All],MATCH(Tabla4[[#This Row],[Producto]],Tabla6[[#All],[PRODUCTO]],0),MATCH(Tabla4[[#This Row],[Mes]],Tabla6[#Headers],0)))*(1+Catalogos!$L$2)</f>
        <v>#N/A</v>
      </c>
      <c r="N140" s="283" t="e">
        <f>+(Tabla4[[#This Row],[Precio Descontado]]-Tabla4[[#This Row],[Precio Base]])*Tabla4[[#This Row],[Cantidad]]</f>
        <v>#N/A</v>
      </c>
      <c r="O140" s="284" t="e">
        <f>++Tabla4[[#This Row],[Utilidad Total]]/Tabla4[[#This Row],[Total]]</f>
        <v>#N/A</v>
      </c>
      <c r="P140" s="282">
        <f>++Tabla4[[#This Row],[Precio Descontado]]*Tabla4[[#This Row],[Cantidad]]</f>
        <v>14784.762513000001</v>
      </c>
      <c r="Q140" s="282" t="e">
        <f>(INDEX(Tabla6[#All],MATCH(Tabla4[[#This Row],[Producto]],Tabla6[[#All],[PRODUCTO]],0),MATCH(Tabla4[[#This Row],[Mes]],Tabla6[#Headers],0)))</f>
        <v>#N/A</v>
      </c>
      <c r="R140" s="282" t="e">
        <f>++Tabla4[[#This Row],[Precio Unitario Neto]]-Tabla4[[#This Row],[20.85%]]-Tabla4[[#This Row],[Costo]]</f>
        <v>#N/A</v>
      </c>
      <c r="S140" s="282" t="e">
        <f>++Tabla4[[#This Row],[U. Bruta Uni]]*Tabla4[[#This Row],[Cantidad]]</f>
        <v>#N/A</v>
      </c>
      <c r="T140" s="369" t="str">
        <f>VLOOKUP(Tabla4[[#This Row],[Producto]],Tabla6[#All],14,FALSE)</f>
        <v>Termico Solar</v>
      </c>
      <c r="U140" s="284" t="e">
        <f>(IF(Tabla4[[#This Row],[Familia]]="termico solar",Tabla4[[#This Row],[Utilidad Total]]*6%,Tabla4[[#This Row],[Utilidad Total]]*11.5%))/Tabla4[[#This Row],[Total]]</f>
        <v>#N/A</v>
      </c>
      <c r="V140" s="282" t="e">
        <f>+Tabla4[[#This Row],[Comisión Calculada]]*Tabla4[[#This Row],[Total]]</f>
        <v>#N/A</v>
      </c>
    </row>
    <row r="141" spans="1:22" hidden="1" x14ac:dyDescent="0.25">
      <c r="A141" s="100">
        <v>45672</v>
      </c>
      <c r="B141" t="str">
        <f t="shared" si="9"/>
        <v>January</v>
      </c>
      <c r="C141" s="46" t="s">
        <v>280</v>
      </c>
      <c r="F141" s="366" t="s">
        <v>733</v>
      </c>
      <c r="G141" s="46" t="s">
        <v>566</v>
      </c>
      <c r="H141" s="46">
        <v>1</v>
      </c>
      <c r="I141" s="51">
        <v>2109.4499999999998</v>
      </c>
      <c r="J141" s="281">
        <f>++Tabla4[[#This Row],[Precio Bruto]]*1.16</f>
        <v>2446.9619999999995</v>
      </c>
      <c r="K141" s="281">
        <f>+Tabla4[[#This Row],[Precio Unitario Neto]]*Tabla4[[#Headers],[20.85%]]</f>
        <v>510.19157699999988</v>
      </c>
      <c r="L141" s="282">
        <f>++Tabla4[[#This Row],[Precio Unitario Neto]]-Tabla4[[#This Row],[20.85%]]</f>
        <v>1936.7704229999997</v>
      </c>
      <c r="M141" s="282" t="e">
        <f>(INDEX(Tabla6[#All],MATCH(Tabla4[[#This Row],[Producto]],Tabla6[[#All],[PRODUCTO]],0),MATCH(Tabla4[[#This Row],[Mes]],Tabla6[#Headers],0)))*(1+Catalogos!$L$2)</f>
        <v>#N/A</v>
      </c>
      <c r="N141" s="283" t="e">
        <f>+(Tabla4[[#This Row],[Precio Descontado]]-Tabla4[[#This Row],[Precio Base]])*Tabla4[[#This Row],[Cantidad]]</f>
        <v>#N/A</v>
      </c>
      <c r="O141" s="284" t="e">
        <f>++Tabla4[[#This Row],[Utilidad Total]]/Tabla4[[#This Row],[Total]]</f>
        <v>#N/A</v>
      </c>
      <c r="P141" s="282">
        <f>++Tabla4[[#This Row],[Precio Descontado]]*Tabla4[[#This Row],[Cantidad]]</f>
        <v>1936.7704229999997</v>
      </c>
      <c r="Q141" s="282" t="e">
        <f>(INDEX(Tabla6[#All],MATCH(Tabla4[[#This Row],[Producto]],Tabla6[[#All],[PRODUCTO]],0),MATCH(Tabla4[[#This Row],[Mes]],Tabla6[#Headers],0)))</f>
        <v>#N/A</v>
      </c>
      <c r="R141" s="282" t="e">
        <f>++Tabla4[[#This Row],[Precio Unitario Neto]]-Tabla4[[#This Row],[20.85%]]-Tabla4[[#This Row],[Costo]]</f>
        <v>#N/A</v>
      </c>
      <c r="S141" s="282" t="e">
        <f>++Tabla4[[#This Row],[U. Bruta Uni]]*Tabla4[[#This Row],[Cantidad]]</f>
        <v>#N/A</v>
      </c>
      <c r="T141" s="369" t="str">
        <f>VLOOKUP(Tabla4[[#This Row],[Producto]],Tabla6[#All],14,FALSE)</f>
        <v>Termico Solar</v>
      </c>
      <c r="U141" s="284" t="e">
        <f>(IF(Tabla4[[#This Row],[Familia]]="termico solar",Tabla4[[#This Row],[Utilidad Total]]*6%,Tabla4[[#This Row],[Utilidad Total]]*11.5%))/Tabla4[[#This Row],[Total]]</f>
        <v>#N/A</v>
      </c>
      <c r="V141" s="282" t="e">
        <f>+Tabla4[[#This Row],[Comisión Calculada]]*Tabla4[[#This Row],[Total]]</f>
        <v>#N/A</v>
      </c>
    </row>
    <row r="142" spans="1:22" hidden="1" x14ac:dyDescent="0.25">
      <c r="A142" s="100">
        <v>45672</v>
      </c>
      <c r="B142" t="str">
        <f t="shared" si="9"/>
        <v>January</v>
      </c>
      <c r="C142" s="46" t="s">
        <v>280</v>
      </c>
      <c r="F142" s="366" t="s">
        <v>734</v>
      </c>
      <c r="G142" s="46" t="s">
        <v>83</v>
      </c>
      <c r="H142" s="46">
        <v>3</v>
      </c>
      <c r="I142" s="51">
        <v>8858.76</v>
      </c>
      <c r="J142" s="281">
        <f>++Tabla4[[#This Row],[Precio Bruto]]*1.16</f>
        <v>10276.161599999999</v>
      </c>
      <c r="K142" s="281">
        <f>+Tabla4[[#This Row],[Precio Unitario Neto]]*Tabla4[[#Headers],[20.85%]]</f>
        <v>2142.5796935999997</v>
      </c>
      <c r="L142" s="282">
        <f>++Tabla4[[#This Row],[Precio Unitario Neto]]-Tabla4[[#This Row],[20.85%]]</f>
        <v>8133.5819063999998</v>
      </c>
      <c r="M142" s="282" t="e">
        <f>(INDEX(Tabla6[#All],MATCH(Tabla4[[#This Row],[Producto]],Tabla6[[#All],[PRODUCTO]],0),MATCH(Tabla4[[#This Row],[Mes]],Tabla6[#Headers],0)))*(1+Catalogos!$L$2)</f>
        <v>#N/A</v>
      </c>
      <c r="N142" s="283" t="e">
        <f>+(Tabla4[[#This Row],[Precio Descontado]]-Tabla4[[#This Row],[Precio Base]])*Tabla4[[#This Row],[Cantidad]]</f>
        <v>#N/A</v>
      </c>
      <c r="O142" s="284" t="e">
        <f>++Tabla4[[#This Row],[Utilidad Total]]/Tabla4[[#This Row],[Total]]</f>
        <v>#N/A</v>
      </c>
      <c r="P142" s="282">
        <f>++Tabla4[[#This Row],[Precio Descontado]]*Tabla4[[#This Row],[Cantidad]]</f>
        <v>24400.7457192</v>
      </c>
      <c r="Q142" s="282" t="e">
        <f>(INDEX(Tabla6[#All],MATCH(Tabla4[[#This Row],[Producto]],Tabla6[[#All],[PRODUCTO]],0),MATCH(Tabla4[[#This Row],[Mes]],Tabla6[#Headers],0)))</f>
        <v>#N/A</v>
      </c>
      <c r="R142" s="282" t="e">
        <f>++Tabla4[[#This Row],[Precio Unitario Neto]]-Tabla4[[#This Row],[20.85%]]-Tabla4[[#This Row],[Costo]]</f>
        <v>#N/A</v>
      </c>
      <c r="S142" s="282" t="e">
        <f>++Tabla4[[#This Row],[U. Bruta Uni]]*Tabla4[[#This Row],[Cantidad]]</f>
        <v>#N/A</v>
      </c>
      <c r="T142" s="369" t="str">
        <f>VLOOKUP(Tabla4[[#This Row],[Producto]],Tabla6[#All],14,FALSE)</f>
        <v>Termico Solar</v>
      </c>
      <c r="U142" s="284" t="e">
        <f>(IF(Tabla4[[#This Row],[Familia]]="termico solar",Tabla4[[#This Row],[Utilidad Total]]*6%,Tabla4[[#This Row],[Utilidad Total]]*11.5%))/Tabla4[[#This Row],[Total]]</f>
        <v>#N/A</v>
      </c>
      <c r="V142" s="282" t="e">
        <f>+Tabla4[[#This Row],[Comisión Calculada]]*Tabla4[[#This Row],[Total]]</f>
        <v>#N/A</v>
      </c>
    </row>
    <row r="143" spans="1:22" hidden="1" x14ac:dyDescent="0.25">
      <c r="A143" s="100">
        <v>45672</v>
      </c>
      <c r="B143" t="str">
        <f t="shared" si="9"/>
        <v>January</v>
      </c>
      <c r="C143" s="46" t="s">
        <v>280</v>
      </c>
      <c r="F143" s="366" t="s">
        <v>734</v>
      </c>
      <c r="G143" s="46" t="s">
        <v>17</v>
      </c>
      <c r="H143" s="46">
        <v>3</v>
      </c>
      <c r="I143" s="51">
        <v>4622.28</v>
      </c>
      <c r="J143" s="281">
        <f>++Tabla4[[#This Row],[Precio Bruto]]*1.16</f>
        <v>5361.8447999999989</v>
      </c>
      <c r="K143" s="281">
        <f>+Tabla4[[#This Row],[Precio Unitario Neto]]*Tabla4[[#Headers],[20.85%]]</f>
        <v>1117.9446407999997</v>
      </c>
      <c r="L143" s="282">
        <f>++Tabla4[[#This Row],[Precio Unitario Neto]]-Tabla4[[#This Row],[20.85%]]</f>
        <v>4243.9001591999995</v>
      </c>
      <c r="M143" s="282" t="e">
        <f>(INDEX(Tabla6[#All],MATCH(Tabla4[[#This Row],[Producto]],Tabla6[[#All],[PRODUCTO]],0),MATCH(Tabla4[[#This Row],[Mes]],Tabla6[#Headers],0)))*(1+Catalogos!$L$2)</f>
        <v>#N/A</v>
      </c>
      <c r="N143" s="283" t="e">
        <f>+(Tabla4[[#This Row],[Precio Descontado]]-Tabla4[[#This Row],[Precio Base]])*Tabla4[[#This Row],[Cantidad]]</f>
        <v>#N/A</v>
      </c>
      <c r="O143" s="284" t="e">
        <f>++Tabla4[[#This Row],[Utilidad Total]]/Tabla4[[#This Row],[Total]]</f>
        <v>#N/A</v>
      </c>
      <c r="P143" s="282">
        <f>++Tabla4[[#This Row],[Precio Descontado]]*Tabla4[[#This Row],[Cantidad]]</f>
        <v>12731.700477599999</v>
      </c>
      <c r="Q143" s="282" t="e">
        <f>(INDEX(Tabla6[#All],MATCH(Tabla4[[#This Row],[Producto]],Tabla6[[#All],[PRODUCTO]],0),MATCH(Tabla4[[#This Row],[Mes]],Tabla6[#Headers],0)))</f>
        <v>#N/A</v>
      </c>
      <c r="R143" s="282" t="e">
        <f>++Tabla4[[#This Row],[Precio Unitario Neto]]-Tabla4[[#This Row],[20.85%]]-Tabla4[[#This Row],[Costo]]</f>
        <v>#N/A</v>
      </c>
      <c r="S143" s="282" t="e">
        <f>++Tabla4[[#This Row],[U. Bruta Uni]]*Tabla4[[#This Row],[Cantidad]]</f>
        <v>#N/A</v>
      </c>
      <c r="T143" s="369" t="str">
        <f>VLOOKUP(Tabla4[[#This Row],[Producto]],Tabla6[#All],14,FALSE)</f>
        <v>Termico Solar</v>
      </c>
      <c r="U143" s="284" t="e">
        <f>(IF(Tabla4[[#This Row],[Familia]]="termico solar",Tabla4[[#This Row],[Utilidad Total]]*6%,Tabla4[[#This Row],[Utilidad Total]]*11.5%))/Tabla4[[#This Row],[Total]]</f>
        <v>#N/A</v>
      </c>
      <c r="V143" s="282" t="e">
        <f>+Tabla4[[#This Row],[Comisión Calculada]]*Tabla4[[#This Row],[Total]]</f>
        <v>#N/A</v>
      </c>
    </row>
    <row r="144" spans="1:22" hidden="1" x14ac:dyDescent="0.25">
      <c r="A144" s="100">
        <v>45672</v>
      </c>
      <c r="B144" t="str">
        <f t="shared" si="9"/>
        <v>January</v>
      </c>
      <c r="C144" s="46" t="s">
        <v>280</v>
      </c>
      <c r="F144" s="366" t="s">
        <v>734</v>
      </c>
      <c r="G144" s="46" t="s">
        <v>566</v>
      </c>
      <c r="H144" s="46">
        <v>2</v>
      </c>
      <c r="I144" s="51">
        <v>2109.4499999999998</v>
      </c>
      <c r="J144" s="281">
        <f>++Tabla4[[#This Row],[Precio Bruto]]*1.16</f>
        <v>2446.9619999999995</v>
      </c>
      <c r="K144" s="281">
        <f>+Tabla4[[#This Row],[Precio Unitario Neto]]*Tabla4[[#Headers],[20.85%]]</f>
        <v>510.19157699999988</v>
      </c>
      <c r="L144" s="282">
        <f>++Tabla4[[#This Row],[Precio Unitario Neto]]-Tabla4[[#This Row],[20.85%]]</f>
        <v>1936.7704229999997</v>
      </c>
      <c r="M144" s="282" t="e">
        <f>(INDEX(Tabla6[#All],MATCH(Tabla4[[#This Row],[Producto]],Tabla6[[#All],[PRODUCTO]],0),MATCH(Tabla4[[#This Row],[Mes]],Tabla6[#Headers],0)))*(1+Catalogos!$L$2)</f>
        <v>#N/A</v>
      </c>
      <c r="N144" s="283" t="e">
        <f>+(Tabla4[[#This Row],[Precio Descontado]]-Tabla4[[#This Row],[Precio Base]])*Tabla4[[#This Row],[Cantidad]]</f>
        <v>#N/A</v>
      </c>
      <c r="O144" s="284" t="e">
        <f>++Tabla4[[#This Row],[Utilidad Total]]/Tabla4[[#This Row],[Total]]</f>
        <v>#N/A</v>
      </c>
      <c r="P144" s="282">
        <f>++Tabla4[[#This Row],[Precio Descontado]]*Tabla4[[#This Row],[Cantidad]]</f>
        <v>3873.5408459999994</v>
      </c>
      <c r="Q144" s="282" t="e">
        <f>(INDEX(Tabla6[#All],MATCH(Tabla4[[#This Row],[Producto]],Tabla6[[#All],[PRODUCTO]],0),MATCH(Tabla4[[#This Row],[Mes]],Tabla6[#Headers],0)))</f>
        <v>#N/A</v>
      </c>
      <c r="R144" s="282" t="e">
        <f>++Tabla4[[#This Row],[Precio Unitario Neto]]-Tabla4[[#This Row],[20.85%]]-Tabla4[[#This Row],[Costo]]</f>
        <v>#N/A</v>
      </c>
      <c r="S144" s="282" t="e">
        <f>++Tabla4[[#This Row],[U. Bruta Uni]]*Tabla4[[#This Row],[Cantidad]]</f>
        <v>#N/A</v>
      </c>
      <c r="T144" s="369" t="str">
        <f>VLOOKUP(Tabla4[[#This Row],[Producto]],Tabla6[#All],14,FALSE)</f>
        <v>Termico Solar</v>
      </c>
      <c r="U144" s="284" t="e">
        <f>(IF(Tabla4[[#This Row],[Familia]]="termico solar",Tabla4[[#This Row],[Utilidad Total]]*6%,Tabla4[[#This Row],[Utilidad Total]]*11.5%))/Tabla4[[#This Row],[Total]]</f>
        <v>#N/A</v>
      </c>
      <c r="V144" s="282" t="e">
        <f>+Tabla4[[#This Row],[Comisión Calculada]]*Tabla4[[#This Row],[Total]]</f>
        <v>#N/A</v>
      </c>
    </row>
    <row r="145" spans="1:22" hidden="1" x14ac:dyDescent="0.25">
      <c r="A145" s="100">
        <v>45672</v>
      </c>
      <c r="B145" t="str">
        <f t="shared" si="9"/>
        <v>January</v>
      </c>
      <c r="C145" s="46" t="s">
        <v>280</v>
      </c>
      <c r="F145" s="366" t="s">
        <v>735</v>
      </c>
      <c r="G145" s="46" t="s">
        <v>20</v>
      </c>
      <c r="H145" s="46">
        <v>2</v>
      </c>
      <c r="I145" s="51">
        <v>7751.98</v>
      </c>
      <c r="J145" s="281">
        <f>++Tabla4[[#This Row],[Precio Bruto]]*1.16</f>
        <v>8992.2967999999983</v>
      </c>
      <c r="K145" s="281">
        <f>+Tabla4[[#This Row],[Precio Unitario Neto]]*Tabla4[[#Headers],[20.85%]]</f>
        <v>1874.8938827999996</v>
      </c>
      <c r="L145" s="282">
        <f>++Tabla4[[#This Row],[Precio Unitario Neto]]-Tabla4[[#This Row],[20.85%]]</f>
        <v>7117.4029171999991</v>
      </c>
      <c r="M145" s="282" t="e">
        <f>(INDEX(Tabla6[#All],MATCH(Tabla4[[#This Row],[Producto]],Tabla6[[#All],[PRODUCTO]],0),MATCH(Tabla4[[#This Row],[Mes]],Tabla6[#Headers],0)))*(1+Catalogos!$L$2)</f>
        <v>#N/A</v>
      </c>
      <c r="N145" s="283" t="e">
        <f>+(Tabla4[[#This Row],[Precio Descontado]]-Tabla4[[#This Row],[Precio Base]])*Tabla4[[#This Row],[Cantidad]]</f>
        <v>#N/A</v>
      </c>
      <c r="O145" s="284" t="e">
        <f>++Tabla4[[#This Row],[Utilidad Total]]/Tabla4[[#This Row],[Total]]</f>
        <v>#N/A</v>
      </c>
      <c r="P145" s="282">
        <f>++Tabla4[[#This Row],[Precio Descontado]]*Tabla4[[#This Row],[Cantidad]]</f>
        <v>14234.805834399998</v>
      </c>
      <c r="Q145" s="282" t="e">
        <f>(INDEX(Tabla6[#All],MATCH(Tabla4[[#This Row],[Producto]],Tabla6[[#All],[PRODUCTO]],0),MATCH(Tabla4[[#This Row],[Mes]],Tabla6[#Headers],0)))</f>
        <v>#N/A</v>
      </c>
      <c r="R145" s="282" t="e">
        <f>++Tabla4[[#This Row],[Precio Unitario Neto]]-Tabla4[[#This Row],[20.85%]]-Tabla4[[#This Row],[Costo]]</f>
        <v>#N/A</v>
      </c>
      <c r="S145" s="282" t="e">
        <f>++Tabla4[[#This Row],[U. Bruta Uni]]*Tabla4[[#This Row],[Cantidad]]</f>
        <v>#N/A</v>
      </c>
      <c r="T145" s="369" t="str">
        <f>VLOOKUP(Tabla4[[#This Row],[Producto]],Tabla6[#All],14,FALSE)</f>
        <v>Termico Solar</v>
      </c>
      <c r="U145" s="284" t="e">
        <f>(IF(Tabla4[[#This Row],[Familia]]="termico solar",Tabla4[[#This Row],[Utilidad Total]]*6%,Tabla4[[#This Row],[Utilidad Total]]*11.5%))/Tabla4[[#This Row],[Total]]</f>
        <v>#N/A</v>
      </c>
      <c r="V145" s="282" t="e">
        <f>+Tabla4[[#This Row],[Comisión Calculada]]*Tabla4[[#This Row],[Total]]</f>
        <v>#N/A</v>
      </c>
    </row>
    <row r="146" spans="1:22" hidden="1" x14ac:dyDescent="0.25">
      <c r="A146" s="100">
        <v>45672</v>
      </c>
      <c r="B146" t="str">
        <f t="shared" si="9"/>
        <v>January</v>
      </c>
      <c r="C146" s="46" t="s">
        <v>280</v>
      </c>
      <c r="F146" s="366" t="s">
        <v>736</v>
      </c>
      <c r="G146" s="46" t="s">
        <v>83</v>
      </c>
      <c r="H146" s="46">
        <v>3</v>
      </c>
      <c r="I146" s="51">
        <v>8858.76</v>
      </c>
      <c r="J146" s="281">
        <f>++Tabla4[[#This Row],[Precio Bruto]]*1.16</f>
        <v>10276.161599999999</v>
      </c>
      <c r="K146" s="281">
        <f>+Tabla4[[#This Row],[Precio Unitario Neto]]*Tabla4[[#Headers],[20.85%]]</f>
        <v>2142.5796935999997</v>
      </c>
      <c r="L146" s="282">
        <f>++Tabla4[[#This Row],[Precio Unitario Neto]]-Tabla4[[#This Row],[20.85%]]</f>
        <v>8133.5819063999998</v>
      </c>
      <c r="M146" s="282" t="e">
        <f>(INDEX(Tabla6[#All],MATCH(Tabla4[[#This Row],[Producto]],Tabla6[[#All],[PRODUCTO]],0),MATCH(Tabla4[[#This Row],[Mes]],Tabla6[#Headers],0)))*(1+Catalogos!$L$2)</f>
        <v>#N/A</v>
      </c>
      <c r="N146" s="283" t="e">
        <f>+(Tabla4[[#This Row],[Precio Descontado]]-Tabla4[[#This Row],[Precio Base]])*Tabla4[[#This Row],[Cantidad]]</f>
        <v>#N/A</v>
      </c>
      <c r="O146" s="284" t="e">
        <f>++Tabla4[[#This Row],[Utilidad Total]]/Tabla4[[#This Row],[Total]]</f>
        <v>#N/A</v>
      </c>
      <c r="P146" s="282">
        <f>++Tabla4[[#This Row],[Precio Descontado]]*Tabla4[[#This Row],[Cantidad]]</f>
        <v>24400.7457192</v>
      </c>
      <c r="Q146" s="282" t="e">
        <f>(INDEX(Tabla6[#All],MATCH(Tabla4[[#This Row],[Producto]],Tabla6[[#All],[PRODUCTO]],0),MATCH(Tabla4[[#This Row],[Mes]],Tabla6[#Headers],0)))</f>
        <v>#N/A</v>
      </c>
      <c r="R146" s="282" t="e">
        <f>++Tabla4[[#This Row],[Precio Unitario Neto]]-Tabla4[[#This Row],[20.85%]]-Tabla4[[#This Row],[Costo]]</f>
        <v>#N/A</v>
      </c>
      <c r="S146" s="282" t="e">
        <f>++Tabla4[[#This Row],[U. Bruta Uni]]*Tabla4[[#This Row],[Cantidad]]</f>
        <v>#N/A</v>
      </c>
      <c r="T146" s="369" t="str">
        <f>VLOOKUP(Tabla4[[#This Row],[Producto]],Tabla6[#All],14,FALSE)</f>
        <v>Termico Solar</v>
      </c>
      <c r="U146" s="284" t="e">
        <f>(IF(Tabla4[[#This Row],[Familia]]="termico solar",Tabla4[[#This Row],[Utilidad Total]]*6%,Tabla4[[#This Row],[Utilidad Total]]*11.5%))/Tabla4[[#This Row],[Total]]</f>
        <v>#N/A</v>
      </c>
      <c r="V146" s="282" t="e">
        <f>+Tabla4[[#This Row],[Comisión Calculada]]*Tabla4[[#This Row],[Total]]</f>
        <v>#N/A</v>
      </c>
    </row>
    <row r="147" spans="1:22" hidden="1" x14ac:dyDescent="0.25">
      <c r="A147" s="100">
        <v>45672</v>
      </c>
      <c r="B147" t="str">
        <f t="shared" si="9"/>
        <v>January</v>
      </c>
      <c r="C147" s="46" t="s">
        <v>280</v>
      </c>
      <c r="F147" s="366" t="s">
        <v>737</v>
      </c>
      <c r="G147" s="46" t="s">
        <v>16</v>
      </c>
      <c r="H147" s="46">
        <v>2</v>
      </c>
      <c r="I147" s="51">
        <v>4103.8500000000004</v>
      </c>
      <c r="J147" s="281">
        <f>++Tabla4[[#This Row],[Precio Bruto]]*1.16</f>
        <v>4760.4660000000003</v>
      </c>
      <c r="K147" s="281">
        <f>+Tabla4[[#This Row],[Precio Unitario Neto]]*Tabla4[[#Headers],[20.85%]]</f>
        <v>992.55716100000006</v>
      </c>
      <c r="L147" s="282">
        <f>++Tabla4[[#This Row],[Precio Unitario Neto]]-Tabla4[[#This Row],[20.85%]]</f>
        <v>3767.9088390000002</v>
      </c>
      <c r="M147" s="282" t="e">
        <f>(INDEX(Tabla6[#All],MATCH(Tabla4[[#This Row],[Producto]],Tabla6[[#All],[PRODUCTO]],0),MATCH(Tabla4[[#This Row],[Mes]],Tabla6[#Headers],0)))*(1+Catalogos!$L$2)</f>
        <v>#N/A</v>
      </c>
      <c r="N147" s="283" t="e">
        <f>+(Tabla4[[#This Row],[Precio Descontado]]-Tabla4[[#This Row],[Precio Base]])*Tabla4[[#This Row],[Cantidad]]</f>
        <v>#N/A</v>
      </c>
      <c r="O147" s="284" t="e">
        <f>++Tabla4[[#This Row],[Utilidad Total]]/Tabla4[[#This Row],[Total]]</f>
        <v>#N/A</v>
      </c>
      <c r="P147" s="282">
        <f>++Tabla4[[#This Row],[Precio Descontado]]*Tabla4[[#This Row],[Cantidad]]</f>
        <v>7535.8176780000003</v>
      </c>
      <c r="Q147" s="282" t="e">
        <f>(INDEX(Tabla6[#All],MATCH(Tabla4[[#This Row],[Producto]],Tabla6[[#All],[PRODUCTO]],0),MATCH(Tabla4[[#This Row],[Mes]],Tabla6[#Headers],0)))</f>
        <v>#N/A</v>
      </c>
      <c r="R147" s="282" t="e">
        <f>++Tabla4[[#This Row],[Precio Unitario Neto]]-Tabla4[[#This Row],[20.85%]]-Tabla4[[#This Row],[Costo]]</f>
        <v>#N/A</v>
      </c>
      <c r="S147" s="282" t="e">
        <f>++Tabla4[[#This Row],[U. Bruta Uni]]*Tabla4[[#This Row],[Cantidad]]</f>
        <v>#N/A</v>
      </c>
      <c r="T147" s="369" t="str">
        <f>VLOOKUP(Tabla4[[#This Row],[Producto]],Tabla6[#All],14,FALSE)</f>
        <v>Termico Solar</v>
      </c>
      <c r="U147" s="284" t="e">
        <f>(IF(Tabla4[[#This Row],[Familia]]="termico solar",Tabla4[[#This Row],[Utilidad Total]]*6%,Tabla4[[#This Row],[Utilidad Total]]*11.5%))/Tabla4[[#This Row],[Total]]</f>
        <v>#N/A</v>
      </c>
      <c r="V147" s="282" t="e">
        <f>+Tabla4[[#This Row],[Comisión Calculada]]*Tabla4[[#This Row],[Total]]</f>
        <v>#N/A</v>
      </c>
    </row>
    <row r="148" spans="1:22" hidden="1" x14ac:dyDescent="0.25">
      <c r="A148" s="100">
        <v>45672</v>
      </c>
      <c r="B148" t="str">
        <f t="shared" si="9"/>
        <v>January</v>
      </c>
      <c r="C148" s="46" t="s">
        <v>280</v>
      </c>
      <c r="F148" s="366" t="s">
        <v>738</v>
      </c>
      <c r="G148" s="46" t="s">
        <v>83</v>
      </c>
      <c r="H148" s="46">
        <v>2</v>
      </c>
      <c r="I148" s="51">
        <v>8858.76</v>
      </c>
      <c r="J148" s="281">
        <f>++Tabla4[[#This Row],[Precio Bruto]]*1.16</f>
        <v>10276.161599999999</v>
      </c>
      <c r="K148" s="281">
        <f>+Tabla4[[#This Row],[Precio Unitario Neto]]*Tabla4[[#Headers],[20.85%]]</f>
        <v>2142.5796935999997</v>
      </c>
      <c r="L148" s="282">
        <f>++Tabla4[[#This Row],[Precio Unitario Neto]]-Tabla4[[#This Row],[20.85%]]</f>
        <v>8133.5819063999998</v>
      </c>
      <c r="M148" s="282" t="e">
        <f>(INDEX(Tabla6[#All],MATCH(Tabla4[[#This Row],[Producto]],Tabla6[[#All],[PRODUCTO]],0),MATCH(Tabla4[[#This Row],[Mes]],Tabla6[#Headers],0)))*(1+Catalogos!$L$2)</f>
        <v>#N/A</v>
      </c>
      <c r="N148" s="283" t="e">
        <f>+(Tabla4[[#This Row],[Precio Descontado]]-Tabla4[[#This Row],[Precio Base]])*Tabla4[[#This Row],[Cantidad]]</f>
        <v>#N/A</v>
      </c>
      <c r="O148" s="284" t="e">
        <f>++Tabla4[[#This Row],[Utilidad Total]]/Tabla4[[#This Row],[Total]]</f>
        <v>#N/A</v>
      </c>
      <c r="P148" s="282">
        <f>++Tabla4[[#This Row],[Precio Descontado]]*Tabla4[[#This Row],[Cantidad]]</f>
        <v>16267.1638128</v>
      </c>
      <c r="Q148" s="282" t="e">
        <f>(INDEX(Tabla6[#All],MATCH(Tabla4[[#This Row],[Producto]],Tabla6[[#All],[PRODUCTO]],0),MATCH(Tabla4[[#This Row],[Mes]],Tabla6[#Headers],0)))</f>
        <v>#N/A</v>
      </c>
      <c r="R148" s="282" t="e">
        <f>++Tabla4[[#This Row],[Precio Unitario Neto]]-Tabla4[[#This Row],[20.85%]]-Tabla4[[#This Row],[Costo]]</f>
        <v>#N/A</v>
      </c>
      <c r="S148" s="282" t="e">
        <f>++Tabla4[[#This Row],[U. Bruta Uni]]*Tabla4[[#This Row],[Cantidad]]</f>
        <v>#N/A</v>
      </c>
      <c r="T148" s="369" t="str">
        <f>VLOOKUP(Tabla4[[#This Row],[Producto]],Tabla6[#All],14,FALSE)</f>
        <v>Termico Solar</v>
      </c>
      <c r="U148" s="284" t="e">
        <f>(IF(Tabla4[[#This Row],[Familia]]="termico solar",Tabla4[[#This Row],[Utilidad Total]]*6%,Tabla4[[#This Row],[Utilidad Total]]*11.5%))/Tabla4[[#This Row],[Total]]</f>
        <v>#N/A</v>
      </c>
      <c r="V148" s="282" t="e">
        <f>+Tabla4[[#This Row],[Comisión Calculada]]*Tabla4[[#This Row],[Total]]</f>
        <v>#N/A</v>
      </c>
    </row>
    <row r="149" spans="1:22" hidden="1" x14ac:dyDescent="0.25">
      <c r="A149" s="100">
        <v>45672</v>
      </c>
      <c r="B149" t="str">
        <f t="shared" si="9"/>
        <v>January</v>
      </c>
      <c r="C149" s="46" t="s">
        <v>280</v>
      </c>
      <c r="F149" s="366" t="s">
        <v>739</v>
      </c>
      <c r="G149" s="46" t="s">
        <v>566</v>
      </c>
      <c r="H149" s="46">
        <v>1</v>
      </c>
      <c r="I149" s="51">
        <v>2109.4499999999998</v>
      </c>
      <c r="J149" s="281">
        <f>++Tabla4[[#This Row],[Precio Bruto]]*1.16</f>
        <v>2446.9619999999995</v>
      </c>
      <c r="K149" s="281">
        <f>+Tabla4[[#This Row],[Precio Unitario Neto]]*Tabla4[[#Headers],[20.85%]]</f>
        <v>510.19157699999988</v>
      </c>
      <c r="L149" s="282">
        <f>++Tabla4[[#This Row],[Precio Unitario Neto]]-Tabla4[[#This Row],[20.85%]]</f>
        <v>1936.7704229999997</v>
      </c>
      <c r="M149" s="282" t="e">
        <f>(INDEX(Tabla6[#All],MATCH(Tabla4[[#This Row],[Producto]],Tabla6[[#All],[PRODUCTO]],0),MATCH(Tabla4[[#This Row],[Mes]],Tabla6[#Headers],0)))*(1+Catalogos!$L$2)</f>
        <v>#N/A</v>
      </c>
      <c r="N149" s="283" t="e">
        <f>+(Tabla4[[#This Row],[Precio Descontado]]-Tabla4[[#This Row],[Precio Base]])*Tabla4[[#This Row],[Cantidad]]</f>
        <v>#N/A</v>
      </c>
      <c r="O149" s="284" t="e">
        <f>++Tabla4[[#This Row],[Utilidad Total]]/Tabla4[[#This Row],[Total]]</f>
        <v>#N/A</v>
      </c>
      <c r="P149" s="282">
        <f>++Tabla4[[#This Row],[Precio Descontado]]*Tabla4[[#This Row],[Cantidad]]</f>
        <v>1936.7704229999997</v>
      </c>
      <c r="Q149" s="282" t="e">
        <f>(INDEX(Tabla6[#All],MATCH(Tabla4[[#This Row],[Producto]],Tabla6[[#All],[PRODUCTO]],0),MATCH(Tabla4[[#This Row],[Mes]],Tabla6[#Headers],0)))</f>
        <v>#N/A</v>
      </c>
      <c r="R149" s="282" t="e">
        <f>++Tabla4[[#This Row],[Precio Unitario Neto]]-Tabla4[[#This Row],[20.85%]]-Tabla4[[#This Row],[Costo]]</f>
        <v>#N/A</v>
      </c>
      <c r="S149" s="282" t="e">
        <f>++Tabla4[[#This Row],[U. Bruta Uni]]*Tabla4[[#This Row],[Cantidad]]</f>
        <v>#N/A</v>
      </c>
      <c r="T149" s="369" t="str">
        <f>VLOOKUP(Tabla4[[#This Row],[Producto]],Tabla6[#All],14,FALSE)</f>
        <v>Termico Solar</v>
      </c>
      <c r="U149" s="284" t="e">
        <f>(IF(Tabla4[[#This Row],[Familia]]="termico solar",Tabla4[[#This Row],[Utilidad Total]]*6%,Tabla4[[#This Row],[Utilidad Total]]*11.5%))/Tabla4[[#This Row],[Total]]</f>
        <v>#N/A</v>
      </c>
      <c r="V149" s="282" t="e">
        <f>+Tabla4[[#This Row],[Comisión Calculada]]*Tabla4[[#This Row],[Total]]</f>
        <v>#N/A</v>
      </c>
    </row>
    <row r="150" spans="1:22" hidden="1" x14ac:dyDescent="0.25">
      <c r="A150" s="100">
        <v>45672</v>
      </c>
      <c r="B150" t="str">
        <f t="shared" si="9"/>
        <v>January</v>
      </c>
      <c r="C150" s="46" t="s">
        <v>280</v>
      </c>
      <c r="F150" s="366" t="s">
        <v>739</v>
      </c>
      <c r="G150" s="46" t="s">
        <v>16</v>
      </c>
      <c r="H150" s="46">
        <v>1</v>
      </c>
      <c r="I150" s="51">
        <v>4103.8500000000004</v>
      </c>
      <c r="J150" s="281">
        <f>++Tabla4[[#This Row],[Precio Bruto]]*1.16</f>
        <v>4760.4660000000003</v>
      </c>
      <c r="K150" s="281">
        <f>+Tabla4[[#This Row],[Precio Unitario Neto]]*Tabla4[[#Headers],[20.85%]]</f>
        <v>992.55716100000006</v>
      </c>
      <c r="L150" s="282">
        <f>++Tabla4[[#This Row],[Precio Unitario Neto]]-Tabla4[[#This Row],[20.85%]]</f>
        <v>3767.9088390000002</v>
      </c>
      <c r="M150" s="282" t="e">
        <f>(INDEX(Tabla6[#All],MATCH(Tabla4[[#This Row],[Producto]],Tabla6[[#All],[PRODUCTO]],0),MATCH(Tabla4[[#This Row],[Mes]],Tabla6[#Headers],0)))*(1+Catalogos!$L$2)</f>
        <v>#N/A</v>
      </c>
      <c r="N150" s="283" t="e">
        <f>+(Tabla4[[#This Row],[Precio Descontado]]-Tabla4[[#This Row],[Precio Base]])*Tabla4[[#This Row],[Cantidad]]</f>
        <v>#N/A</v>
      </c>
      <c r="O150" s="284" t="e">
        <f>++Tabla4[[#This Row],[Utilidad Total]]/Tabla4[[#This Row],[Total]]</f>
        <v>#N/A</v>
      </c>
      <c r="P150" s="282">
        <f>++Tabla4[[#This Row],[Precio Descontado]]*Tabla4[[#This Row],[Cantidad]]</f>
        <v>3767.9088390000002</v>
      </c>
      <c r="Q150" s="282" t="e">
        <f>(INDEX(Tabla6[#All],MATCH(Tabla4[[#This Row],[Producto]],Tabla6[[#All],[PRODUCTO]],0),MATCH(Tabla4[[#This Row],[Mes]],Tabla6[#Headers],0)))</f>
        <v>#N/A</v>
      </c>
      <c r="R150" s="282" t="e">
        <f>++Tabla4[[#This Row],[Precio Unitario Neto]]-Tabla4[[#This Row],[20.85%]]-Tabla4[[#This Row],[Costo]]</f>
        <v>#N/A</v>
      </c>
      <c r="S150" s="282" t="e">
        <f>++Tabla4[[#This Row],[U. Bruta Uni]]*Tabla4[[#This Row],[Cantidad]]</f>
        <v>#N/A</v>
      </c>
      <c r="T150" s="369" t="str">
        <f>VLOOKUP(Tabla4[[#This Row],[Producto]],Tabla6[#All],14,FALSE)</f>
        <v>Termico Solar</v>
      </c>
      <c r="U150" s="284" t="e">
        <f>(IF(Tabla4[[#This Row],[Familia]]="termico solar",Tabla4[[#This Row],[Utilidad Total]]*6%,Tabla4[[#This Row],[Utilidad Total]]*11.5%))/Tabla4[[#This Row],[Total]]</f>
        <v>#N/A</v>
      </c>
      <c r="V150" s="282" t="e">
        <f>+Tabla4[[#This Row],[Comisión Calculada]]*Tabla4[[#This Row],[Total]]</f>
        <v>#N/A</v>
      </c>
    </row>
    <row r="151" spans="1:22" hidden="1" x14ac:dyDescent="0.25">
      <c r="A151" s="100">
        <v>45672</v>
      </c>
      <c r="B151" t="str">
        <f t="shared" si="9"/>
        <v>January</v>
      </c>
      <c r="C151" s="46" t="s">
        <v>280</v>
      </c>
      <c r="F151" s="366" t="s">
        <v>740</v>
      </c>
      <c r="G151" s="46" t="s">
        <v>566</v>
      </c>
      <c r="H151" s="46">
        <v>1</v>
      </c>
      <c r="I151" s="51">
        <v>2109.4499999999998</v>
      </c>
      <c r="J151" s="281">
        <f>++Tabla4[[#This Row],[Precio Bruto]]*1.16</f>
        <v>2446.9619999999995</v>
      </c>
      <c r="K151" s="281">
        <f>+Tabla4[[#This Row],[Precio Unitario Neto]]*Tabla4[[#Headers],[20.85%]]</f>
        <v>510.19157699999988</v>
      </c>
      <c r="L151" s="282">
        <f>++Tabla4[[#This Row],[Precio Unitario Neto]]-Tabla4[[#This Row],[20.85%]]</f>
        <v>1936.7704229999997</v>
      </c>
      <c r="M151" s="282" t="e">
        <f>(INDEX(Tabla6[#All],MATCH(Tabla4[[#This Row],[Producto]],Tabla6[[#All],[PRODUCTO]],0),MATCH(Tabla4[[#This Row],[Mes]],Tabla6[#Headers],0)))*(1+Catalogos!$L$2)</f>
        <v>#N/A</v>
      </c>
      <c r="N151" s="283" t="e">
        <f>+(Tabla4[[#This Row],[Precio Descontado]]-Tabla4[[#This Row],[Precio Base]])*Tabla4[[#This Row],[Cantidad]]</f>
        <v>#N/A</v>
      </c>
      <c r="O151" s="284" t="e">
        <f>++Tabla4[[#This Row],[Utilidad Total]]/Tabla4[[#This Row],[Total]]</f>
        <v>#N/A</v>
      </c>
      <c r="P151" s="282">
        <f>++Tabla4[[#This Row],[Precio Descontado]]*Tabla4[[#This Row],[Cantidad]]</f>
        <v>1936.7704229999997</v>
      </c>
      <c r="Q151" s="282" t="e">
        <f>(INDEX(Tabla6[#All],MATCH(Tabla4[[#This Row],[Producto]],Tabla6[[#All],[PRODUCTO]],0),MATCH(Tabla4[[#This Row],[Mes]],Tabla6[#Headers],0)))</f>
        <v>#N/A</v>
      </c>
      <c r="R151" s="282" t="e">
        <f>++Tabla4[[#This Row],[Precio Unitario Neto]]-Tabla4[[#This Row],[20.85%]]-Tabla4[[#This Row],[Costo]]</f>
        <v>#N/A</v>
      </c>
      <c r="S151" s="282" t="e">
        <f>++Tabla4[[#This Row],[U. Bruta Uni]]*Tabla4[[#This Row],[Cantidad]]</f>
        <v>#N/A</v>
      </c>
      <c r="T151" s="369" t="str">
        <f>VLOOKUP(Tabla4[[#This Row],[Producto]],Tabla6[#All],14,FALSE)</f>
        <v>Termico Solar</v>
      </c>
      <c r="U151" s="284" t="e">
        <f>(IF(Tabla4[[#This Row],[Familia]]="termico solar",Tabla4[[#This Row],[Utilidad Total]]*6%,Tabla4[[#This Row],[Utilidad Total]]*11.5%))/Tabla4[[#This Row],[Total]]</f>
        <v>#N/A</v>
      </c>
      <c r="V151" s="282" t="e">
        <f>+Tabla4[[#This Row],[Comisión Calculada]]*Tabla4[[#This Row],[Total]]</f>
        <v>#N/A</v>
      </c>
    </row>
    <row r="152" spans="1:22" hidden="1" x14ac:dyDescent="0.25">
      <c r="A152" s="100">
        <v>45672</v>
      </c>
      <c r="B152" t="str">
        <f t="shared" si="9"/>
        <v>January</v>
      </c>
      <c r="C152" s="46" t="s">
        <v>280</v>
      </c>
      <c r="F152" s="366" t="s">
        <v>741</v>
      </c>
      <c r="G152" s="46" t="s">
        <v>83</v>
      </c>
      <c r="H152" s="46">
        <v>1</v>
      </c>
      <c r="I152" s="51">
        <v>8858.76</v>
      </c>
      <c r="J152" s="281">
        <f>++Tabla4[[#This Row],[Precio Bruto]]*1.16</f>
        <v>10276.161599999999</v>
      </c>
      <c r="K152" s="281">
        <f>+Tabla4[[#This Row],[Precio Unitario Neto]]*Tabla4[[#Headers],[20.85%]]</f>
        <v>2142.5796935999997</v>
      </c>
      <c r="L152" s="282">
        <f>++Tabla4[[#This Row],[Precio Unitario Neto]]-Tabla4[[#This Row],[20.85%]]</f>
        <v>8133.5819063999998</v>
      </c>
      <c r="M152" s="282" t="e">
        <f>(INDEX(Tabla6[#All],MATCH(Tabla4[[#This Row],[Producto]],Tabla6[[#All],[PRODUCTO]],0),MATCH(Tabla4[[#This Row],[Mes]],Tabla6[#Headers],0)))*(1+Catalogos!$L$2)</f>
        <v>#N/A</v>
      </c>
      <c r="N152" s="283" t="e">
        <f>+(Tabla4[[#This Row],[Precio Descontado]]-Tabla4[[#This Row],[Precio Base]])*Tabla4[[#This Row],[Cantidad]]</f>
        <v>#N/A</v>
      </c>
      <c r="O152" s="284" t="e">
        <f>++Tabla4[[#This Row],[Utilidad Total]]/Tabla4[[#This Row],[Total]]</f>
        <v>#N/A</v>
      </c>
      <c r="P152" s="282">
        <f>++Tabla4[[#This Row],[Precio Descontado]]*Tabla4[[#This Row],[Cantidad]]</f>
        <v>8133.5819063999998</v>
      </c>
      <c r="Q152" s="282" t="e">
        <f>(INDEX(Tabla6[#All],MATCH(Tabla4[[#This Row],[Producto]],Tabla6[[#All],[PRODUCTO]],0),MATCH(Tabla4[[#This Row],[Mes]],Tabla6[#Headers],0)))</f>
        <v>#N/A</v>
      </c>
      <c r="R152" s="282" t="e">
        <f>++Tabla4[[#This Row],[Precio Unitario Neto]]-Tabla4[[#This Row],[20.85%]]-Tabla4[[#This Row],[Costo]]</f>
        <v>#N/A</v>
      </c>
      <c r="S152" s="282" t="e">
        <f>++Tabla4[[#This Row],[U. Bruta Uni]]*Tabla4[[#This Row],[Cantidad]]</f>
        <v>#N/A</v>
      </c>
      <c r="T152" s="369" t="str">
        <f>VLOOKUP(Tabla4[[#This Row],[Producto]],Tabla6[#All],14,FALSE)</f>
        <v>Termico Solar</v>
      </c>
      <c r="U152" s="284" t="e">
        <f>(IF(Tabla4[[#This Row],[Familia]]="termico solar",Tabla4[[#This Row],[Utilidad Total]]*6%,Tabla4[[#This Row],[Utilidad Total]]*11.5%))/Tabla4[[#This Row],[Total]]</f>
        <v>#N/A</v>
      </c>
      <c r="V152" s="282" t="e">
        <f>+Tabla4[[#This Row],[Comisión Calculada]]*Tabla4[[#This Row],[Total]]</f>
        <v>#N/A</v>
      </c>
    </row>
    <row r="153" spans="1:22" hidden="1" x14ac:dyDescent="0.25">
      <c r="A153" s="100">
        <v>45672</v>
      </c>
      <c r="B153" t="str">
        <f t="shared" si="9"/>
        <v>January</v>
      </c>
      <c r="C153" s="46" t="s">
        <v>280</v>
      </c>
      <c r="F153" s="366" t="s">
        <v>742</v>
      </c>
      <c r="G153" s="46" t="s">
        <v>18</v>
      </c>
      <c r="H153" s="46">
        <v>1</v>
      </c>
      <c r="I153" s="51">
        <v>5367.65</v>
      </c>
      <c r="J153" s="281">
        <f>++Tabla4[[#This Row],[Precio Bruto]]*1.16</f>
        <v>6226.4739999999993</v>
      </c>
      <c r="K153" s="281">
        <f>+Tabla4[[#This Row],[Precio Unitario Neto]]*Tabla4[[#Headers],[20.85%]]</f>
        <v>1298.2198289999999</v>
      </c>
      <c r="L153" s="282">
        <f>++Tabla4[[#This Row],[Precio Unitario Neto]]-Tabla4[[#This Row],[20.85%]]</f>
        <v>4928.2541709999996</v>
      </c>
      <c r="M153" s="282" t="e">
        <f>(INDEX(Tabla6[#All],MATCH(Tabla4[[#This Row],[Producto]],Tabla6[[#All],[PRODUCTO]],0),MATCH(Tabla4[[#This Row],[Mes]],Tabla6[#Headers],0)))*(1+Catalogos!$L$2)</f>
        <v>#N/A</v>
      </c>
      <c r="N153" s="283" t="e">
        <f>+(Tabla4[[#This Row],[Precio Descontado]]-Tabla4[[#This Row],[Precio Base]])*Tabla4[[#This Row],[Cantidad]]</f>
        <v>#N/A</v>
      </c>
      <c r="O153" s="284" t="e">
        <f>++Tabla4[[#This Row],[Utilidad Total]]/Tabla4[[#This Row],[Total]]</f>
        <v>#N/A</v>
      </c>
      <c r="P153" s="282">
        <f>++Tabla4[[#This Row],[Precio Descontado]]*Tabla4[[#This Row],[Cantidad]]</f>
        <v>4928.2541709999996</v>
      </c>
      <c r="Q153" s="282" t="e">
        <f>(INDEX(Tabla6[#All],MATCH(Tabla4[[#This Row],[Producto]],Tabla6[[#All],[PRODUCTO]],0),MATCH(Tabla4[[#This Row],[Mes]],Tabla6[#Headers],0)))</f>
        <v>#N/A</v>
      </c>
      <c r="R153" s="282" t="e">
        <f>++Tabla4[[#This Row],[Precio Unitario Neto]]-Tabla4[[#This Row],[20.85%]]-Tabla4[[#This Row],[Costo]]</f>
        <v>#N/A</v>
      </c>
      <c r="S153" s="282" t="e">
        <f>++Tabla4[[#This Row],[U. Bruta Uni]]*Tabla4[[#This Row],[Cantidad]]</f>
        <v>#N/A</v>
      </c>
      <c r="T153" s="369" t="str">
        <f>VLOOKUP(Tabla4[[#This Row],[Producto]],Tabla6[#All],14,FALSE)</f>
        <v>Termico Solar</v>
      </c>
      <c r="U153" s="284" t="e">
        <f>(IF(Tabla4[[#This Row],[Familia]]="termico solar",Tabla4[[#This Row],[Utilidad Total]]*6%,Tabla4[[#This Row],[Utilidad Total]]*11.5%))/Tabla4[[#This Row],[Total]]</f>
        <v>#N/A</v>
      </c>
      <c r="V153" s="282" t="e">
        <f>+Tabla4[[#This Row],[Comisión Calculada]]*Tabla4[[#This Row],[Total]]</f>
        <v>#N/A</v>
      </c>
    </row>
    <row r="154" spans="1:22" hidden="1" x14ac:dyDescent="0.25">
      <c r="A154" s="100">
        <v>45672</v>
      </c>
      <c r="B154" t="str">
        <f t="shared" si="9"/>
        <v>January</v>
      </c>
      <c r="C154" s="46" t="s">
        <v>280</v>
      </c>
      <c r="F154" s="366" t="s">
        <v>742</v>
      </c>
      <c r="G154" s="46" t="s">
        <v>16</v>
      </c>
      <c r="H154" s="46">
        <v>1</v>
      </c>
      <c r="I154" s="51">
        <v>4103.8500000000004</v>
      </c>
      <c r="J154" s="281">
        <f>++Tabla4[[#This Row],[Precio Bruto]]*1.16</f>
        <v>4760.4660000000003</v>
      </c>
      <c r="K154" s="281">
        <f>+Tabla4[[#This Row],[Precio Unitario Neto]]*Tabla4[[#Headers],[20.85%]]</f>
        <v>992.55716100000006</v>
      </c>
      <c r="L154" s="282">
        <f>++Tabla4[[#This Row],[Precio Unitario Neto]]-Tabla4[[#This Row],[20.85%]]</f>
        <v>3767.9088390000002</v>
      </c>
      <c r="M154" s="282" t="e">
        <f>(INDEX(Tabla6[#All],MATCH(Tabla4[[#This Row],[Producto]],Tabla6[[#All],[PRODUCTO]],0),MATCH(Tabla4[[#This Row],[Mes]],Tabla6[#Headers],0)))*(1+Catalogos!$L$2)</f>
        <v>#N/A</v>
      </c>
      <c r="N154" s="283" t="e">
        <f>+(Tabla4[[#This Row],[Precio Descontado]]-Tabla4[[#This Row],[Precio Base]])*Tabla4[[#This Row],[Cantidad]]</f>
        <v>#N/A</v>
      </c>
      <c r="O154" s="284" t="e">
        <f>++Tabla4[[#This Row],[Utilidad Total]]/Tabla4[[#This Row],[Total]]</f>
        <v>#N/A</v>
      </c>
      <c r="P154" s="282">
        <f>++Tabla4[[#This Row],[Precio Descontado]]*Tabla4[[#This Row],[Cantidad]]</f>
        <v>3767.9088390000002</v>
      </c>
      <c r="Q154" s="282" t="e">
        <f>(INDEX(Tabla6[#All],MATCH(Tabla4[[#This Row],[Producto]],Tabla6[[#All],[PRODUCTO]],0),MATCH(Tabla4[[#This Row],[Mes]],Tabla6[#Headers],0)))</f>
        <v>#N/A</v>
      </c>
      <c r="R154" s="282" t="e">
        <f>++Tabla4[[#This Row],[Precio Unitario Neto]]-Tabla4[[#This Row],[20.85%]]-Tabla4[[#This Row],[Costo]]</f>
        <v>#N/A</v>
      </c>
      <c r="S154" s="282" t="e">
        <f>++Tabla4[[#This Row],[U. Bruta Uni]]*Tabla4[[#This Row],[Cantidad]]</f>
        <v>#N/A</v>
      </c>
      <c r="T154" s="369" t="str">
        <f>VLOOKUP(Tabla4[[#This Row],[Producto]],Tabla6[#All],14,FALSE)</f>
        <v>Termico Solar</v>
      </c>
      <c r="U154" s="284" t="e">
        <f>(IF(Tabla4[[#This Row],[Familia]]="termico solar",Tabla4[[#This Row],[Utilidad Total]]*6%,Tabla4[[#This Row],[Utilidad Total]]*11.5%))/Tabla4[[#This Row],[Total]]</f>
        <v>#N/A</v>
      </c>
      <c r="V154" s="282" t="e">
        <f>+Tabla4[[#This Row],[Comisión Calculada]]*Tabla4[[#This Row],[Total]]</f>
        <v>#N/A</v>
      </c>
    </row>
    <row r="155" spans="1:22" hidden="1" x14ac:dyDescent="0.25">
      <c r="A155" s="100">
        <v>45672</v>
      </c>
      <c r="B155" t="str">
        <f t="shared" si="9"/>
        <v>January</v>
      </c>
      <c r="C155" s="46" t="s">
        <v>280</v>
      </c>
      <c r="F155" s="366" t="s">
        <v>743</v>
      </c>
      <c r="G155" s="46" t="s">
        <v>17</v>
      </c>
      <c r="H155" s="46">
        <v>1</v>
      </c>
      <c r="I155" s="51">
        <v>4622.28</v>
      </c>
      <c r="J155" s="281">
        <f>++Tabla4[[#This Row],[Precio Bruto]]*1.16</f>
        <v>5361.8447999999989</v>
      </c>
      <c r="K155" s="281">
        <f>+Tabla4[[#This Row],[Precio Unitario Neto]]*Tabla4[[#Headers],[20.85%]]</f>
        <v>1117.9446407999997</v>
      </c>
      <c r="L155" s="282">
        <f>++Tabla4[[#This Row],[Precio Unitario Neto]]-Tabla4[[#This Row],[20.85%]]</f>
        <v>4243.9001591999995</v>
      </c>
      <c r="M155" s="282" t="e">
        <f>(INDEX(Tabla6[#All],MATCH(Tabla4[[#This Row],[Producto]],Tabla6[[#All],[PRODUCTO]],0),MATCH(Tabla4[[#This Row],[Mes]],Tabla6[#Headers],0)))*(1+Catalogos!$L$2)</f>
        <v>#N/A</v>
      </c>
      <c r="N155" s="283" t="e">
        <f>+(Tabla4[[#This Row],[Precio Descontado]]-Tabla4[[#This Row],[Precio Base]])*Tabla4[[#This Row],[Cantidad]]</f>
        <v>#N/A</v>
      </c>
      <c r="O155" s="284" t="e">
        <f>++Tabla4[[#This Row],[Utilidad Total]]/Tabla4[[#This Row],[Total]]</f>
        <v>#N/A</v>
      </c>
      <c r="P155" s="282">
        <f>++Tabla4[[#This Row],[Precio Descontado]]*Tabla4[[#This Row],[Cantidad]]</f>
        <v>4243.9001591999995</v>
      </c>
      <c r="Q155" s="282" t="e">
        <f>(INDEX(Tabla6[#All],MATCH(Tabla4[[#This Row],[Producto]],Tabla6[[#All],[PRODUCTO]],0),MATCH(Tabla4[[#This Row],[Mes]],Tabla6[#Headers],0)))</f>
        <v>#N/A</v>
      </c>
      <c r="R155" s="282" t="e">
        <f>++Tabla4[[#This Row],[Precio Unitario Neto]]-Tabla4[[#This Row],[20.85%]]-Tabla4[[#This Row],[Costo]]</f>
        <v>#N/A</v>
      </c>
      <c r="S155" s="282" t="e">
        <f>++Tabla4[[#This Row],[U. Bruta Uni]]*Tabla4[[#This Row],[Cantidad]]</f>
        <v>#N/A</v>
      </c>
      <c r="T155" s="369" t="str">
        <f>VLOOKUP(Tabla4[[#This Row],[Producto]],Tabla6[#All],14,FALSE)</f>
        <v>Termico Solar</v>
      </c>
      <c r="U155" s="284" t="e">
        <f>(IF(Tabla4[[#This Row],[Familia]]="termico solar",Tabla4[[#This Row],[Utilidad Total]]*6%,Tabla4[[#This Row],[Utilidad Total]]*11.5%))/Tabla4[[#This Row],[Total]]</f>
        <v>#N/A</v>
      </c>
      <c r="V155" s="282" t="e">
        <f>+Tabla4[[#This Row],[Comisión Calculada]]*Tabla4[[#This Row],[Total]]</f>
        <v>#N/A</v>
      </c>
    </row>
    <row r="156" spans="1:22" hidden="1" x14ac:dyDescent="0.25">
      <c r="A156" s="100">
        <v>45672</v>
      </c>
      <c r="B156" t="str">
        <f t="shared" si="9"/>
        <v>January</v>
      </c>
      <c r="C156" s="46" t="s">
        <v>280</v>
      </c>
      <c r="F156" s="366" t="s">
        <v>744</v>
      </c>
      <c r="G156" s="46" t="s">
        <v>566</v>
      </c>
      <c r="H156" s="46">
        <v>1</v>
      </c>
      <c r="I156" s="51">
        <v>2109.4499999999998</v>
      </c>
      <c r="J156" s="281">
        <f>++Tabla4[[#This Row],[Precio Bruto]]*1.16</f>
        <v>2446.9619999999995</v>
      </c>
      <c r="K156" s="281">
        <f>+Tabla4[[#This Row],[Precio Unitario Neto]]*Tabla4[[#Headers],[20.85%]]</f>
        <v>510.19157699999988</v>
      </c>
      <c r="L156" s="282">
        <f>++Tabla4[[#This Row],[Precio Unitario Neto]]-Tabla4[[#This Row],[20.85%]]</f>
        <v>1936.7704229999997</v>
      </c>
      <c r="M156" s="282" t="e">
        <f>(INDEX(Tabla6[#All],MATCH(Tabla4[[#This Row],[Producto]],Tabla6[[#All],[PRODUCTO]],0),MATCH(Tabla4[[#This Row],[Mes]],Tabla6[#Headers],0)))*(1+Catalogos!$L$2)</f>
        <v>#N/A</v>
      </c>
      <c r="N156" s="283" t="e">
        <f>+(Tabla4[[#This Row],[Precio Descontado]]-Tabla4[[#This Row],[Precio Base]])*Tabla4[[#This Row],[Cantidad]]</f>
        <v>#N/A</v>
      </c>
      <c r="O156" s="284" t="e">
        <f>++Tabla4[[#This Row],[Utilidad Total]]/Tabla4[[#This Row],[Total]]</f>
        <v>#N/A</v>
      </c>
      <c r="P156" s="282">
        <f>++Tabla4[[#This Row],[Precio Descontado]]*Tabla4[[#This Row],[Cantidad]]</f>
        <v>1936.7704229999997</v>
      </c>
      <c r="Q156" s="282" t="e">
        <f>(INDEX(Tabla6[#All],MATCH(Tabla4[[#This Row],[Producto]],Tabla6[[#All],[PRODUCTO]],0),MATCH(Tabla4[[#This Row],[Mes]],Tabla6[#Headers],0)))</f>
        <v>#N/A</v>
      </c>
      <c r="R156" s="282" t="e">
        <f>++Tabla4[[#This Row],[Precio Unitario Neto]]-Tabla4[[#This Row],[20.85%]]-Tabla4[[#This Row],[Costo]]</f>
        <v>#N/A</v>
      </c>
      <c r="S156" s="282" t="e">
        <f>++Tabla4[[#This Row],[U. Bruta Uni]]*Tabla4[[#This Row],[Cantidad]]</f>
        <v>#N/A</v>
      </c>
      <c r="T156" s="369" t="str">
        <f>VLOOKUP(Tabla4[[#This Row],[Producto]],Tabla6[#All],14,FALSE)</f>
        <v>Termico Solar</v>
      </c>
      <c r="U156" s="284" t="e">
        <f>(IF(Tabla4[[#This Row],[Familia]]="termico solar",Tabla4[[#This Row],[Utilidad Total]]*6%,Tabla4[[#This Row],[Utilidad Total]]*11.5%))/Tabla4[[#This Row],[Total]]</f>
        <v>#N/A</v>
      </c>
      <c r="V156" s="282" t="e">
        <f>+Tabla4[[#This Row],[Comisión Calculada]]*Tabla4[[#This Row],[Total]]</f>
        <v>#N/A</v>
      </c>
    </row>
    <row r="157" spans="1:22" hidden="1" x14ac:dyDescent="0.25">
      <c r="A157" s="100">
        <v>45672</v>
      </c>
      <c r="B157" t="str">
        <f t="shared" si="9"/>
        <v>January</v>
      </c>
      <c r="C157" s="46" t="s">
        <v>280</v>
      </c>
      <c r="F157" s="366" t="s">
        <v>745</v>
      </c>
      <c r="G157" s="46" t="s">
        <v>83</v>
      </c>
      <c r="H157" s="46">
        <v>1</v>
      </c>
      <c r="I157" s="51">
        <v>8858.76</v>
      </c>
      <c r="J157" s="281">
        <f>++Tabla4[[#This Row],[Precio Bruto]]*1.16</f>
        <v>10276.161599999999</v>
      </c>
      <c r="K157" s="281">
        <f>+Tabla4[[#This Row],[Precio Unitario Neto]]*Tabla4[[#Headers],[20.85%]]</f>
        <v>2142.5796935999997</v>
      </c>
      <c r="L157" s="282">
        <f>++Tabla4[[#This Row],[Precio Unitario Neto]]-Tabla4[[#This Row],[20.85%]]</f>
        <v>8133.5819063999998</v>
      </c>
      <c r="M157" s="282" t="e">
        <f>(INDEX(Tabla6[#All],MATCH(Tabla4[[#This Row],[Producto]],Tabla6[[#All],[PRODUCTO]],0),MATCH(Tabla4[[#This Row],[Mes]],Tabla6[#Headers],0)))*(1+Catalogos!$L$2)</f>
        <v>#N/A</v>
      </c>
      <c r="N157" s="283" t="e">
        <f>+(Tabla4[[#This Row],[Precio Descontado]]-Tabla4[[#This Row],[Precio Base]])*Tabla4[[#This Row],[Cantidad]]</f>
        <v>#N/A</v>
      </c>
      <c r="O157" s="284" t="e">
        <f>++Tabla4[[#This Row],[Utilidad Total]]/Tabla4[[#This Row],[Total]]</f>
        <v>#N/A</v>
      </c>
      <c r="P157" s="282">
        <f>++Tabla4[[#This Row],[Precio Descontado]]*Tabla4[[#This Row],[Cantidad]]</f>
        <v>8133.5819063999998</v>
      </c>
      <c r="Q157" s="282" t="e">
        <f>(INDEX(Tabla6[#All],MATCH(Tabla4[[#This Row],[Producto]],Tabla6[[#All],[PRODUCTO]],0),MATCH(Tabla4[[#This Row],[Mes]],Tabla6[#Headers],0)))</f>
        <v>#N/A</v>
      </c>
      <c r="R157" s="282" t="e">
        <f>++Tabla4[[#This Row],[Precio Unitario Neto]]-Tabla4[[#This Row],[20.85%]]-Tabla4[[#This Row],[Costo]]</f>
        <v>#N/A</v>
      </c>
      <c r="S157" s="282" t="e">
        <f>++Tabla4[[#This Row],[U. Bruta Uni]]*Tabla4[[#This Row],[Cantidad]]</f>
        <v>#N/A</v>
      </c>
      <c r="T157" s="369" t="str">
        <f>VLOOKUP(Tabla4[[#This Row],[Producto]],Tabla6[#All],14,FALSE)</f>
        <v>Termico Solar</v>
      </c>
      <c r="U157" s="284" t="e">
        <f>(IF(Tabla4[[#This Row],[Familia]]="termico solar",Tabla4[[#This Row],[Utilidad Total]]*6%,Tabla4[[#This Row],[Utilidad Total]]*11.5%))/Tabla4[[#This Row],[Total]]</f>
        <v>#N/A</v>
      </c>
      <c r="V157" s="282" t="e">
        <f>+Tabla4[[#This Row],[Comisión Calculada]]*Tabla4[[#This Row],[Total]]</f>
        <v>#N/A</v>
      </c>
    </row>
    <row r="158" spans="1:22" hidden="1" x14ac:dyDescent="0.25">
      <c r="A158" s="100">
        <v>45672</v>
      </c>
      <c r="B158" t="str">
        <f t="shared" si="9"/>
        <v>January</v>
      </c>
      <c r="C158" s="46" t="s">
        <v>280</v>
      </c>
      <c r="F158" s="366" t="s">
        <v>746</v>
      </c>
      <c r="G158" s="46" t="s">
        <v>16</v>
      </c>
      <c r="H158" s="46">
        <v>1</v>
      </c>
      <c r="I158" s="51">
        <v>4103.8500000000004</v>
      </c>
      <c r="J158" s="281">
        <f>++Tabla4[[#This Row],[Precio Bruto]]*1.16</f>
        <v>4760.4660000000003</v>
      </c>
      <c r="K158" s="281">
        <f>+Tabla4[[#This Row],[Precio Unitario Neto]]*Tabla4[[#Headers],[20.85%]]</f>
        <v>992.55716100000006</v>
      </c>
      <c r="L158" s="282">
        <f>++Tabla4[[#This Row],[Precio Unitario Neto]]-Tabla4[[#This Row],[20.85%]]</f>
        <v>3767.9088390000002</v>
      </c>
      <c r="M158" s="282" t="e">
        <f>(INDEX(Tabla6[#All],MATCH(Tabla4[[#This Row],[Producto]],Tabla6[[#All],[PRODUCTO]],0),MATCH(Tabla4[[#This Row],[Mes]],Tabla6[#Headers],0)))*(1+Catalogos!$L$2)</f>
        <v>#N/A</v>
      </c>
      <c r="N158" s="283" t="e">
        <f>+(Tabla4[[#This Row],[Precio Descontado]]-Tabla4[[#This Row],[Precio Base]])*Tabla4[[#This Row],[Cantidad]]</f>
        <v>#N/A</v>
      </c>
      <c r="O158" s="284" t="e">
        <f>++Tabla4[[#This Row],[Utilidad Total]]/Tabla4[[#This Row],[Total]]</f>
        <v>#N/A</v>
      </c>
      <c r="P158" s="282">
        <f>++Tabla4[[#This Row],[Precio Descontado]]*Tabla4[[#This Row],[Cantidad]]</f>
        <v>3767.9088390000002</v>
      </c>
      <c r="Q158" s="282" t="e">
        <f>(INDEX(Tabla6[#All],MATCH(Tabla4[[#This Row],[Producto]],Tabla6[[#All],[PRODUCTO]],0),MATCH(Tabla4[[#This Row],[Mes]],Tabla6[#Headers],0)))</f>
        <v>#N/A</v>
      </c>
      <c r="R158" s="282" t="e">
        <f>++Tabla4[[#This Row],[Precio Unitario Neto]]-Tabla4[[#This Row],[20.85%]]-Tabla4[[#This Row],[Costo]]</f>
        <v>#N/A</v>
      </c>
      <c r="S158" s="282" t="e">
        <f>++Tabla4[[#This Row],[U. Bruta Uni]]*Tabla4[[#This Row],[Cantidad]]</f>
        <v>#N/A</v>
      </c>
      <c r="T158" s="369" t="str">
        <f>VLOOKUP(Tabla4[[#This Row],[Producto]],Tabla6[#All],14,FALSE)</f>
        <v>Termico Solar</v>
      </c>
      <c r="U158" s="284" t="e">
        <f>(IF(Tabla4[[#This Row],[Familia]]="termico solar",Tabla4[[#This Row],[Utilidad Total]]*6%,Tabla4[[#This Row],[Utilidad Total]]*11.5%))/Tabla4[[#This Row],[Total]]</f>
        <v>#N/A</v>
      </c>
      <c r="V158" s="282" t="e">
        <f>+Tabla4[[#This Row],[Comisión Calculada]]*Tabla4[[#This Row],[Total]]</f>
        <v>#N/A</v>
      </c>
    </row>
    <row r="159" spans="1:22" hidden="1" x14ac:dyDescent="0.25">
      <c r="A159" s="100">
        <v>45672</v>
      </c>
      <c r="B159" t="str">
        <f t="shared" si="9"/>
        <v>January</v>
      </c>
      <c r="C159" s="46" t="s">
        <v>280</v>
      </c>
      <c r="F159" s="366" t="s">
        <v>747</v>
      </c>
      <c r="G159" s="46" t="s">
        <v>17</v>
      </c>
      <c r="H159" s="46">
        <v>1</v>
      </c>
      <c r="I159" s="51">
        <v>4622.28</v>
      </c>
      <c r="J159" s="281">
        <f>++Tabla4[[#This Row],[Precio Bruto]]*1.16</f>
        <v>5361.8447999999989</v>
      </c>
      <c r="K159" s="281">
        <f>+Tabla4[[#This Row],[Precio Unitario Neto]]*Tabla4[[#Headers],[20.85%]]</f>
        <v>1117.9446407999997</v>
      </c>
      <c r="L159" s="282">
        <f>++Tabla4[[#This Row],[Precio Unitario Neto]]-Tabla4[[#This Row],[20.85%]]</f>
        <v>4243.9001591999995</v>
      </c>
      <c r="M159" s="282" t="e">
        <f>(INDEX(Tabla6[#All],MATCH(Tabla4[[#This Row],[Producto]],Tabla6[[#All],[PRODUCTO]],0),MATCH(Tabla4[[#This Row],[Mes]],Tabla6[#Headers],0)))*(1+Catalogos!$L$2)</f>
        <v>#N/A</v>
      </c>
      <c r="N159" s="283" t="e">
        <f>+(Tabla4[[#This Row],[Precio Descontado]]-Tabla4[[#This Row],[Precio Base]])*Tabla4[[#This Row],[Cantidad]]</f>
        <v>#N/A</v>
      </c>
      <c r="O159" s="284" t="e">
        <f>++Tabla4[[#This Row],[Utilidad Total]]/Tabla4[[#This Row],[Total]]</f>
        <v>#N/A</v>
      </c>
      <c r="P159" s="282">
        <f>++Tabla4[[#This Row],[Precio Descontado]]*Tabla4[[#This Row],[Cantidad]]</f>
        <v>4243.9001591999995</v>
      </c>
      <c r="Q159" s="282" t="e">
        <f>(INDEX(Tabla6[#All],MATCH(Tabla4[[#This Row],[Producto]],Tabla6[[#All],[PRODUCTO]],0),MATCH(Tabla4[[#This Row],[Mes]],Tabla6[#Headers],0)))</f>
        <v>#N/A</v>
      </c>
      <c r="R159" s="282" t="e">
        <f>++Tabla4[[#This Row],[Precio Unitario Neto]]-Tabla4[[#This Row],[20.85%]]-Tabla4[[#This Row],[Costo]]</f>
        <v>#N/A</v>
      </c>
      <c r="S159" s="282" t="e">
        <f>++Tabla4[[#This Row],[U. Bruta Uni]]*Tabla4[[#This Row],[Cantidad]]</f>
        <v>#N/A</v>
      </c>
      <c r="T159" s="369" t="str">
        <f>VLOOKUP(Tabla4[[#This Row],[Producto]],Tabla6[#All],14,FALSE)</f>
        <v>Termico Solar</v>
      </c>
      <c r="U159" s="284" t="e">
        <f>(IF(Tabla4[[#This Row],[Familia]]="termico solar",Tabla4[[#This Row],[Utilidad Total]]*6%,Tabla4[[#This Row],[Utilidad Total]]*11.5%))/Tabla4[[#This Row],[Total]]</f>
        <v>#N/A</v>
      </c>
      <c r="V159" s="282" t="e">
        <f>+Tabla4[[#This Row],[Comisión Calculada]]*Tabla4[[#This Row],[Total]]</f>
        <v>#N/A</v>
      </c>
    </row>
    <row r="160" spans="1:22" hidden="1" x14ac:dyDescent="0.25">
      <c r="A160" s="100">
        <v>45672</v>
      </c>
      <c r="B160" t="str">
        <f t="shared" si="9"/>
        <v>January</v>
      </c>
      <c r="C160" s="46" t="s">
        <v>280</v>
      </c>
      <c r="F160" s="366" t="s">
        <v>747</v>
      </c>
      <c r="G160" s="46" t="s">
        <v>18</v>
      </c>
      <c r="H160" s="46">
        <v>3</v>
      </c>
      <c r="I160" s="51">
        <v>5367.6500000000005</v>
      </c>
      <c r="J160" s="281">
        <f>++Tabla4[[#This Row],[Precio Bruto]]*1.16</f>
        <v>6226.4740000000002</v>
      </c>
      <c r="K160" s="281">
        <f>+Tabla4[[#This Row],[Precio Unitario Neto]]*Tabla4[[#Headers],[20.85%]]</f>
        <v>1298.2198289999999</v>
      </c>
      <c r="L160" s="282">
        <f>++Tabla4[[#This Row],[Precio Unitario Neto]]-Tabla4[[#This Row],[20.85%]]</f>
        <v>4928.2541710000005</v>
      </c>
      <c r="M160" s="282" t="e">
        <f>(INDEX(Tabla6[#All],MATCH(Tabla4[[#This Row],[Producto]],Tabla6[[#All],[PRODUCTO]],0),MATCH(Tabla4[[#This Row],[Mes]],Tabla6[#Headers],0)))*(1+Catalogos!$L$2)</f>
        <v>#N/A</v>
      </c>
      <c r="N160" s="283" t="e">
        <f>+(Tabla4[[#This Row],[Precio Descontado]]-Tabla4[[#This Row],[Precio Base]])*Tabla4[[#This Row],[Cantidad]]</f>
        <v>#N/A</v>
      </c>
      <c r="O160" s="284" t="e">
        <f>++Tabla4[[#This Row],[Utilidad Total]]/Tabla4[[#This Row],[Total]]</f>
        <v>#N/A</v>
      </c>
      <c r="P160" s="282">
        <f>++Tabla4[[#This Row],[Precio Descontado]]*Tabla4[[#This Row],[Cantidad]]</f>
        <v>14784.762513000001</v>
      </c>
      <c r="Q160" s="282" t="e">
        <f>(INDEX(Tabla6[#All],MATCH(Tabla4[[#This Row],[Producto]],Tabla6[[#All],[PRODUCTO]],0),MATCH(Tabla4[[#This Row],[Mes]],Tabla6[#Headers],0)))</f>
        <v>#N/A</v>
      </c>
      <c r="R160" s="282" t="e">
        <f>++Tabla4[[#This Row],[Precio Unitario Neto]]-Tabla4[[#This Row],[20.85%]]-Tabla4[[#This Row],[Costo]]</f>
        <v>#N/A</v>
      </c>
      <c r="S160" s="282" t="e">
        <f>++Tabla4[[#This Row],[U. Bruta Uni]]*Tabla4[[#This Row],[Cantidad]]</f>
        <v>#N/A</v>
      </c>
      <c r="T160" s="369" t="str">
        <f>VLOOKUP(Tabla4[[#This Row],[Producto]],Tabla6[#All],14,FALSE)</f>
        <v>Termico Solar</v>
      </c>
      <c r="U160" s="284" t="e">
        <f>(IF(Tabla4[[#This Row],[Familia]]="termico solar",Tabla4[[#This Row],[Utilidad Total]]*6%,Tabla4[[#This Row],[Utilidad Total]]*11.5%))/Tabla4[[#This Row],[Total]]</f>
        <v>#N/A</v>
      </c>
      <c r="V160" s="282" t="e">
        <f>+Tabla4[[#This Row],[Comisión Calculada]]*Tabla4[[#This Row],[Total]]</f>
        <v>#N/A</v>
      </c>
    </row>
    <row r="161" spans="1:22" hidden="1" x14ac:dyDescent="0.25">
      <c r="A161" s="100">
        <v>45672</v>
      </c>
      <c r="B161" t="str">
        <f t="shared" si="9"/>
        <v>January</v>
      </c>
      <c r="C161" s="46" t="s">
        <v>280</v>
      </c>
      <c r="F161" s="366" t="s">
        <v>748</v>
      </c>
      <c r="G161" s="46" t="s">
        <v>20</v>
      </c>
      <c r="H161" s="46">
        <v>1</v>
      </c>
      <c r="I161" s="51">
        <v>7751.98</v>
      </c>
      <c r="J161" s="281">
        <f>++Tabla4[[#This Row],[Precio Bruto]]*1.16</f>
        <v>8992.2967999999983</v>
      </c>
      <c r="K161" s="281">
        <f>+Tabla4[[#This Row],[Precio Unitario Neto]]*Tabla4[[#Headers],[20.85%]]</f>
        <v>1874.8938827999996</v>
      </c>
      <c r="L161" s="282">
        <f>++Tabla4[[#This Row],[Precio Unitario Neto]]-Tabla4[[#This Row],[20.85%]]</f>
        <v>7117.4029171999991</v>
      </c>
      <c r="M161" s="282" t="e">
        <f>(INDEX(Tabla6[#All],MATCH(Tabla4[[#This Row],[Producto]],Tabla6[[#All],[PRODUCTO]],0),MATCH(Tabla4[[#This Row],[Mes]],Tabla6[#Headers],0)))*(1+Catalogos!$L$2)</f>
        <v>#N/A</v>
      </c>
      <c r="N161" s="283" t="e">
        <f>+(Tabla4[[#This Row],[Precio Descontado]]-Tabla4[[#This Row],[Precio Base]])*Tabla4[[#This Row],[Cantidad]]</f>
        <v>#N/A</v>
      </c>
      <c r="O161" s="284" t="e">
        <f>++Tabla4[[#This Row],[Utilidad Total]]/Tabla4[[#This Row],[Total]]</f>
        <v>#N/A</v>
      </c>
      <c r="P161" s="282">
        <f>++Tabla4[[#This Row],[Precio Descontado]]*Tabla4[[#This Row],[Cantidad]]</f>
        <v>7117.4029171999991</v>
      </c>
      <c r="Q161" s="282" t="e">
        <f>(INDEX(Tabla6[#All],MATCH(Tabla4[[#This Row],[Producto]],Tabla6[[#All],[PRODUCTO]],0),MATCH(Tabla4[[#This Row],[Mes]],Tabla6[#Headers],0)))</f>
        <v>#N/A</v>
      </c>
      <c r="R161" s="282" t="e">
        <f>++Tabla4[[#This Row],[Precio Unitario Neto]]-Tabla4[[#This Row],[20.85%]]-Tabla4[[#This Row],[Costo]]</f>
        <v>#N/A</v>
      </c>
      <c r="S161" s="282" t="e">
        <f>++Tabla4[[#This Row],[U. Bruta Uni]]*Tabla4[[#This Row],[Cantidad]]</f>
        <v>#N/A</v>
      </c>
      <c r="T161" s="369" t="str">
        <f>VLOOKUP(Tabla4[[#This Row],[Producto]],Tabla6[#All],14,FALSE)</f>
        <v>Termico Solar</v>
      </c>
      <c r="U161" s="284" t="e">
        <f>(IF(Tabla4[[#This Row],[Familia]]="termico solar",Tabla4[[#This Row],[Utilidad Total]]*6%,Tabla4[[#This Row],[Utilidad Total]]*11.5%))/Tabla4[[#This Row],[Total]]</f>
        <v>#N/A</v>
      </c>
      <c r="V161" s="282" t="e">
        <f>+Tabla4[[#This Row],[Comisión Calculada]]*Tabla4[[#This Row],[Total]]</f>
        <v>#N/A</v>
      </c>
    </row>
    <row r="162" spans="1:22" hidden="1" x14ac:dyDescent="0.25">
      <c r="A162" s="100">
        <v>45672</v>
      </c>
      <c r="B162" t="str">
        <f t="shared" si="9"/>
        <v>January</v>
      </c>
      <c r="C162" s="46" t="s">
        <v>280</v>
      </c>
      <c r="F162" s="366" t="s">
        <v>748</v>
      </c>
      <c r="G162" s="46" t="s">
        <v>566</v>
      </c>
      <c r="H162" s="46">
        <v>1</v>
      </c>
      <c r="I162" s="51">
        <v>2109.4499999999998</v>
      </c>
      <c r="J162" s="281">
        <f>++Tabla4[[#This Row],[Precio Bruto]]*1.16</f>
        <v>2446.9619999999995</v>
      </c>
      <c r="K162" s="281">
        <f>+Tabla4[[#This Row],[Precio Unitario Neto]]*Tabla4[[#Headers],[20.85%]]</f>
        <v>510.19157699999988</v>
      </c>
      <c r="L162" s="282">
        <f>++Tabla4[[#This Row],[Precio Unitario Neto]]-Tabla4[[#This Row],[20.85%]]</f>
        <v>1936.7704229999997</v>
      </c>
      <c r="M162" s="282" t="e">
        <f>(INDEX(Tabla6[#All],MATCH(Tabla4[[#This Row],[Producto]],Tabla6[[#All],[PRODUCTO]],0),MATCH(Tabla4[[#This Row],[Mes]],Tabla6[#Headers],0)))*(1+Catalogos!$L$2)</f>
        <v>#N/A</v>
      </c>
      <c r="N162" s="283" t="e">
        <f>+(Tabla4[[#This Row],[Precio Descontado]]-Tabla4[[#This Row],[Precio Base]])*Tabla4[[#This Row],[Cantidad]]</f>
        <v>#N/A</v>
      </c>
      <c r="O162" s="284" t="e">
        <f>++Tabla4[[#This Row],[Utilidad Total]]/Tabla4[[#This Row],[Total]]</f>
        <v>#N/A</v>
      </c>
      <c r="P162" s="282">
        <f>++Tabla4[[#This Row],[Precio Descontado]]*Tabla4[[#This Row],[Cantidad]]</f>
        <v>1936.7704229999997</v>
      </c>
      <c r="Q162" s="282" t="e">
        <f>(INDEX(Tabla6[#All],MATCH(Tabla4[[#This Row],[Producto]],Tabla6[[#All],[PRODUCTO]],0),MATCH(Tabla4[[#This Row],[Mes]],Tabla6[#Headers],0)))</f>
        <v>#N/A</v>
      </c>
      <c r="R162" s="282" t="e">
        <f>++Tabla4[[#This Row],[Precio Unitario Neto]]-Tabla4[[#This Row],[20.85%]]-Tabla4[[#This Row],[Costo]]</f>
        <v>#N/A</v>
      </c>
      <c r="S162" s="282" t="e">
        <f>++Tabla4[[#This Row],[U. Bruta Uni]]*Tabla4[[#This Row],[Cantidad]]</f>
        <v>#N/A</v>
      </c>
      <c r="T162" s="369" t="str">
        <f>VLOOKUP(Tabla4[[#This Row],[Producto]],Tabla6[#All],14,FALSE)</f>
        <v>Termico Solar</v>
      </c>
      <c r="U162" s="284" t="e">
        <f>(IF(Tabla4[[#This Row],[Familia]]="termico solar",Tabla4[[#This Row],[Utilidad Total]]*6%,Tabla4[[#This Row],[Utilidad Total]]*11.5%))/Tabla4[[#This Row],[Total]]</f>
        <v>#N/A</v>
      </c>
      <c r="V162" s="282" t="e">
        <f>+Tabla4[[#This Row],[Comisión Calculada]]*Tabla4[[#This Row],[Total]]</f>
        <v>#N/A</v>
      </c>
    </row>
    <row r="163" spans="1:22" hidden="1" x14ac:dyDescent="0.25">
      <c r="A163" s="100">
        <v>45672</v>
      </c>
      <c r="B163" t="str">
        <f t="shared" si="9"/>
        <v>January</v>
      </c>
      <c r="C163" s="46" t="s">
        <v>280</v>
      </c>
      <c r="F163" s="366" t="s">
        <v>749</v>
      </c>
      <c r="G163" s="46" t="s">
        <v>83</v>
      </c>
      <c r="H163" s="46">
        <v>1</v>
      </c>
      <c r="I163" s="51">
        <v>8858.76</v>
      </c>
      <c r="J163" s="281">
        <f>++Tabla4[[#This Row],[Precio Bruto]]*1.16</f>
        <v>10276.161599999999</v>
      </c>
      <c r="K163" s="281">
        <f>+Tabla4[[#This Row],[Precio Unitario Neto]]*Tabla4[[#Headers],[20.85%]]</f>
        <v>2142.5796935999997</v>
      </c>
      <c r="L163" s="282">
        <f>++Tabla4[[#This Row],[Precio Unitario Neto]]-Tabla4[[#This Row],[20.85%]]</f>
        <v>8133.5819063999998</v>
      </c>
      <c r="M163" s="282" t="e">
        <f>(INDEX(Tabla6[#All],MATCH(Tabla4[[#This Row],[Producto]],Tabla6[[#All],[PRODUCTO]],0),MATCH(Tabla4[[#This Row],[Mes]],Tabla6[#Headers],0)))*(1+Catalogos!$L$2)</f>
        <v>#N/A</v>
      </c>
      <c r="N163" s="283" t="e">
        <f>+(Tabla4[[#This Row],[Precio Descontado]]-Tabla4[[#This Row],[Precio Base]])*Tabla4[[#This Row],[Cantidad]]</f>
        <v>#N/A</v>
      </c>
      <c r="O163" s="284" t="e">
        <f>++Tabla4[[#This Row],[Utilidad Total]]/Tabla4[[#This Row],[Total]]</f>
        <v>#N/A</v>
      </c>
      <c r="P163" s="282">
        <f>++Tabla4[[#This Row],[Precio Descontado]]*Tabla4[[#This Row],[Cantidad]]</f>
        <v>8133.5819063999998</v>
      </c>
      <c r="Q163" s="282" t="e">
        <f>(INDEX(Tabla6[#All],MATCH(Tabla4[[#This Row],[Producto]],Tabla6[[#All],[PRODUCTO]],0),MATCH(Tabla4[[#This Row],[Mes]],Tabla6[#Headers],0)))</f>
        <v>#N/A</v>
      </c>
      <c r="R163" s="282" t="e">
        <f>++Tabla4[[#This Row],[Precio Unitario Neto]]-Tabla4[[#This Row],[20.85%]]-Tabla4[[#This Row],[Costo]]</f>
        <v>#N/A</v>
      </c>
      <c r="S163" s="282" t="e">
        <f>++Tabla4[[#This Row],[U. Bruta Uni]]*Tabla4[[#This Row],[Cantidad]]</f>
        <v>#N/A</v>
      </c>
      <c r="T163" s="369" t="str">
        <f>VLOOKUP(Tabla4[[#This Row],[Producto]],Tabla6[#All],14,FALSE)</f>
        <v>Termico Solar</v>
      </c>
      <c r="U163" s="284" t="e">
        <f>(IF(Tabla4[[#This Row],[Familia]]="termico solar",Tabla4[[#This Row],[Utilidad Total]]*6%,Tabla4[[#This Row],[Utilidad Total]]*11.5%))/Tabla4[[#This Row],[Total]]</f>
        <v>#N/A</v>
      </c>
      <c r="V163" s="282" t="e">
        <f>+Tabla4[[#This Row],[Comisión Calculada]]*Tabla4[[#This Row],[Total]]</f>
        <v>#N/A</v>
      </c>
    </row>
    <row r="164" spans="1:22" hidden="1" x14ac:dyDescent="0.25">
      <c r="A164" s="100">
        <v>45672</v>
      </c>
      <c r="B164" t="str">
        <f t="shared" si="9"/>
        <v>January</v>
      </c>
      <c r="C164" s="46" t="s">
        <v>280</v>
      </c>
      <c r="F164" s="366" t="s">
        <v>750</v>
      </c>
      <c r="G164" s="46" t="s">
        <v>16</v>
      </c>
      <c r="H164" s="46">
        <v>1</v>
      </c>
      <c r="I164" s="51">
        <v>4103.8500000000004</v>
      </c>
      <c r="J164" s="281">
        <f>++Tabla4[[#This Row],[Precio Bruto]]*1.16</f>
        <v>4760.4660000000003</v>
      </c>
      <c r="K164" s="281">
        <f>+Tabla4[[#This Row],[Precio Unitario Neto]]*Tabla4[[#Headers],[20.85%]]</f>
        <v>992.55716100000006</v>
      </c>
      <c r="L164" s="282">
        <f>++Tabla4[[#This Row],[Precio Unitario Neto]]-Tabla4[[#This Row],[20.85%]]</f>
        <v>3767.9088390000002</v>
      </c>
      <c r="M164" s="282" t="e">
        <f>(INDEX(Tabla6[#All],MATCH(Tabla4[[#This Row],[Producto]],Tabla6[[#All],[PRODUCTO]],0),MATCH(Tabla4[[#This Row],[Mes]],Tabla6[#Headers],0)))*(1+Catalogos!$L$2)</f>
        <v>#N/A</v>
      </c>
      <c r="N164" s="283" t="e">
        <f>+(Tabla4[[#This Row],[Precio Descontado]]-Tabla4[[#This Row],[Precio Base]])*Tabla4[[#This Row],[Cantidad]]</f>
        <v>#N/A</v>
      </c>
      <c r="O164" s="284" t="e">
        <f>++Tabla4[[#This Row],[Utilidad Total]]/Tabla4[[#This Row],[Total]]</f>
        <v>#N/A</v>
      </c>
      <c r="P164" s="282">
        <f>++Tabla4[[#This Row],[Precio Descontado]]*Tabla4[[#This Row],[Cantidad]]</f>
        <v>3767.9088390000002</v>
      </c>
      <c r="Q164" s="282" t="e">
        <f>(INDEX(Tabla6[#All],MATCH(Tabla4[[#This Row],[Producto]],Tabla6[[#All],[PRODUCTO]],0),MATCH(Tabla4[[#This Row],[Mes]],Tabla6[#Headers],0)))</f>
        <v>#N/A</v>
      </c>
      <c r="R164" s="282" t="e">
        <f>++Tabla4[[#This Row],[Precio Unitario Neto]]-Tabla4[[#This Row],[20.85%]]-Tabla4[[#This Row],[Costo]]</f>
        <v>#N/A</v>
      </c>
      <c r="S164" s="282" t="e">
        <f>++Tabla4[[#This Row],[U. Bruta Uni]]*Tabla4[[#This Row],[Cantidad]]</f>
        <v>#N/A</v>
      </c>
      <c r="T164" s="369" t="str">
        <f>VLOOKUP(Tabla4[[#This Row],[Producto]],Tabla6[#All],14,FALSE)</f>
        <v>Termico Solar</v>
      </c>
      <c r="U164" s="284" t="e">
        <f>(IF(Tabla4[[#This Row],[Familia]]="termico solar",Tabla4[[#This Row],[Utilidad Total]]*6%,Tabla4[[#This Row],[Utilidad Total]]*11.5%))/Tabla4[[#This Row],[Total]]</f>
        <v>#N/A</v>
      </c>
      <c r="V164" s="282" t="e">
        <f>+Tabla4[[#This Row],[Comisión Calculada]]*Tabla4[[#This Row],[Total]]</f>
        <v>#N/A</v>
      </c>
    </row>
    <row r="165" spans="1:22" hidden="1" x14ac:dyDescent="0.25">
      <c r="A165" s="100">
        <v>45672</v>
      </c>
      <c r="B165" t="str">
        <f t="shared" si="9"/>
        <v>January</v>
      </c>
      <c r="C165" s="46" t="s">
        <v>280</v>
      </c>
      <c r="F165" s="366" t="s">
        <v>751</v>
      </c>
      <c r="G165" s="46" t="s">
        <v>83</v>
      </c>
      <c r="H165" s="46">
        <v>2</v>
      </c>
      <c r="I165" s="51">
        <v>8858.76</v>
      </c>
      <c r="J165" s="281">
        <f>++Tabla4[[#This Row],[Precio Bruto]]*1.16</f>
        <v>10276.161599999999</v>
      </c>
      <c r="K165" s="281">
        <f>+Tabla4[[#This Row],[Precio Unitario Neto]]*Tabla4[[#Headers],[20.85%]]</f>
        <v>2142.5796935999997</v>
      </c>
      <c r="L165" s="282">
        <f>++Tabla4[[#This Row],[Precio Unitario Neto]]-Tabla4[[#This Row],[20.85%]]</f>
        <v>8133.5819063999998</v>
      </c>
      <c r="M165" s="282" t="e">
        <f>(INDEX(Tabla6[#All],MATCH(Tabla4[[#This Row],[Producto]],Tabla6[[#All],[PRODUCTO]],0),MATCH(Tabla4[[#This Row],[Mes]],Tabla6[#Headers],0)))*(1+Catalogos!$L$2)</f>
        <v>#N/A</v>
      </c>
      <c r="N165" s="283" t="e">
        <f>+(Tabla4[[#This Row],[Precio Descontado]]-Tabla4[[#This Row],[Precio Base]])*Tabla4[[#This Row],[Cantidad]]</f>
        <v>#N/A</v>
      </c>
      <c r="O165" s="284" t="e">
        <f>++Tabla4[[#This Row],[Utilidad Total]]/Tabla4[[#This Row],[Total]]</f>
        <v>#N/A</v>
      </c>
      <c r="P165" s="282">
        <f>++Tabla4[[#This Row],[Precio Descontado]]*Tabla4[[#This Row],[Cantidad]]</f>
        <v>16267.1638128</v>
      </c>
      <c r="Q165" s="282" t="e">
        <f>(INDEX(Tabla6[#All],MATCH(Tabla4[[#This Row],[Producto]],Tabla6[[#All],[PRODUCTO]],0),MATCH(Tabla4[[#This Row],[Mes]],Tabla6[#Headers],0)))</f>
        <v>#N/A</v>
      </c>
      <c r="R165" s="282" t="e">
        <f>++Tabla4[[#This Row],[Precio Unitario Neto]]-Tabla4[[#This Row],[20.85%]]-Tabla4[[#This Row],[Costo]]</f>
        <v>#N/A</v>
      </c>
      <c r="S165" s="282" t="e">
        <f>++Tabla4[[#This Row],[U. Bruta Uni]]*Tabla4[[#This Row],[Cantidad]]</f>
        <v>#N/A</v>
      </c>
      <c r="T165" s="369" t="str">
        <f>VLOOKUP(Tabla4[[#This Row],[Producto]],Tabla6[#All],14,FALSE)</f>
        <v>Termico Solar</v>
      </c>
      <c r="U165" s="284" t="e">
        <f>(IF(Tabla4[[#This Row],[Familia]]="termico solar",Tabla4[[#This Row],[Utilidad Total]]*6%,Tabla4[[#This Row],[Utilidad Total]]*11.5%))/Tabla4[[#This Row],[Total]]</f>
        <v>#N/A</v>
      </c>
      <c r="V165" s="282" t="e">
        <f>+Tabla4[[#This Row],[Comisión Calculada]]*Tabla4[[#This Row],[Total]]</f>
        <v>#N/A</v>
      </c>
    </row>
    <row r="166" spans="1:22" hidden="1" x14ac:dyDescent="0.25">
      <c r="A166" s="100">
        <v>45672</v>
      </c>
      <c r="B166" t="str">
        <f t="shared" si="9"/>
        <v>January</v>
      </c>
      <c r="C166" s="46" t="s">
        <v>280</v>
      </c>
      <c r="F166" s="366" t="s">
        <v>751</v>
      </c>
      <c r="G166" s="46" t="s">
        <v>566</v>
      </c>
      <c r="H166" s="46">
        <v>1</v>
      </c>
      <c r="I166" s="51">
        <v>2109.4499999999998</v>
      </c>
      <c r="J166" s="281">
        <f>++Tabla4[[#This Row],[Precio Bruto]]*1.16</f>
        <v>2446.9619999999995</v>
      </c>
      <c r="K166" s="281">
        <f>+Tabla4[[#This Row],[Precio Unitario Neto]]*Tabla4[[#Headers],[20.85%]]</f>
        <v>510.19157699999988</v>
      </c>
      <c r="L166" s="282">
        <f>++Tabla4[[#This Row],[Precio Unitario Neto]]-Tabla4[[#This Row],[20.85%]]</f>
        <v>1936.7704229999997</v>
      </c>
      <c r="M166" s="282" t="e">
        <f>(INDEX(Tabla6[#All],MATCH(Tabla4[[#This Row],[Producto]],Tabla6[[#All],[PRODUCTO]],0),MATCH(Tabla4[[#This Row],[Mes]],Tabla6[#Headers],0)))*(1+Catalogos!$L$2)</f>
        <v>#N/A</v>
      </c>
      <c r="N166" s="283" t="e">
        <f>+(Tabla4[[#This Row],[Precio Descontado]]-Tabla4[[#This Row],[Precio Base]])*Tabla4[[#This Row],[Cantidad]]</f>
        <v>#N/A</v>
      </c>
      <c r="O166" s="284" t="e">
        <f>++Tabla4[[#This Row],[Utilidad Total]]/Tabla4[[#This Row],[Total]]</f>
        <v>#N/A</v>
      </c>
      <c r="P166" s="282">
        <f>++Tabla4[[#This Row],[Precio Descontado]]*Tabla4[[#This Row],[Cantidad]]</f>
        <v>1936.7704229999997</v>
      </c>
      <c r="Q166" s="282" t="e">
        <f>(INDEX(Tabla6[#All],MATCH(Tabla4[[#This Row],[Producto]],Tabla6[[#All],[PRODUCTO]],0),MATCH(Tabla4[[#This Row],[Mes]],Tabla6[#Headers],0)))</f>
        <v>#N/A</v>
      </c>
      <c r="R166" s="282" t="e">
        <f>++Tabla4[[#This Row],[Precio Unitario Neto]]-Tabla4[[#This Row],[20.85%]]-Tabla4[[#This Row],[Costo]]</f>
        <v>#N/A</v>
      </c>
      <c r="S166" s="282" t="e">
        <f>++Tabla4[[#This Row],[U. Bruta Uni]]*Tabla4[[#This Row],[Cantidad]]</f>
        <v>#N/A</v>
      </c>
      <c r="T166" s="369" t="str">
        <f>VLOOKUP(Tabla4[[#This Row],[Producto]],Tabla6[#All],14,FALSE)</f>
        <v>Termico Solar</v>
      </c>
      <c r="U166" s="284" t="e">
        <f>(IF(Tabla4[[#This Row],[Familia]]="termico solar",Tabla4[[#This Row],[Utilidad Total]]*6%,Tabla4[[#This Row],[Utilidad Total]]*11.5%))/Tabla4[[#This Row],[Total]]</f>
        <v>#N/A</v>
      </c>
      <c r="V166" s="282" t="e">
        <f>+Tabla4[[#This Row],[Comisión Calculada]]*Tabla4[[#This Row],[Total]]</f>
        <v>#N/A</v>
      </c>
    </row>
    <row r="167" spans="1:22" hidden="1" x14ac:dyDescent="0.25">
      <c r="A167" s="100">
        <v>45672</v>
      </c>
      <c r="B167" t="str">
        <f t="shared" si="9"/>
        <v>January</v>
      </c>
      <c r="C167" s="46" t="s">
        <v>280</v>
      </c>
      <c r="F167" s="366" t="s">
        <v>752</v>
      </c>
      <c r="G167" s="46" t="s">
        <v>83</v>
      </c>
      <c r="H167" s="46">
        <v>1</v>
      </c>
      <c r="I167" s="51">
        <v>8858.76</v>
      </c>
      <c r="J167" s="281">
        <f>++Tabla4[[#This Row],[Precio Bruto]]*1.16</f>
        <v>10276.161599999999</v>
      </c>
      <c r="K167" s="281">
        <f>+Tabla4[[#This Row],[Precio Unitario Neto]]*Tabla4[[#Headers],[20.85%]]</f>
        <v>2142.5796935999997</v>
      </c>
      <c r="L167" s="282">
        <f>++Tabla4[[#This Row],[Precio Unitario Neto]]-Tabla4[[#This Row],[20.85%]]</f>
        <v>8133.5819063999998</v>
      </c>
      <c r="M167" s="282" t="e">
        <f>(INDEX(Tabla6[#All],MATCH(Tabla4[[#This Row],[Producto]],Tabla6[[#All],[PRODUCTO]],0),MATCH(Tabla4[[#This Row],[Mes]],Tabla6[#Headers],0)))*(1+Catalogos!$L$2)</f>
        <v>#N/A</v>
      </c>
      <c r="N167" s="283" t="e">
        <f>+(Tabla4[[#This Row],[Precio Descontado]]-Tabla4[[#This Row],[Precio Base]])*Tabla4[[#This Row],[Cantidad]]</f>
        <v>#N/A</v>
      </c>
      <c r="O167" s="284" t="e">
        <f>++Tabla4[[#This Row],[Utilidad Total]]/Tabla4[[#This Row],[Total]]</f>
        <v>#N/A</v>
      </c>
      <c r="P167" s="282">
        <f>++Tabla4[[#This Row],[Precio Descontado]]*Tabla4[[#This Row],[Cantidad]]</f>
        <v>8133.5819063999998</v>
      </c>
      <c r="Q167" s="282" t="e">
        <f>(INDEX(Tabla6[#All],MATCH(Tabla4[[#This Row],[Producto]],Tabla6[[#All],[PRODUCTO]],0),MATCH(Tabla4[[#This Row],[Mes]],Tabla6[#Headers],0)))</f>
        <v>#N/A</v>
      </c>
      <c r="R167" s="282" t="e">
        <f>++Tabla4[[#This Row],[Precio Unitario Neto]]-Tabla4[[#This Row],[20.85%]]-Tabla4[[#This Row],[Costo]]</f>
        <v>#N/A</v>
      </c>
      <c r="S167" s="282" t="e">
        <f>++Tabla4[[#This Row],[U. Bruta Uni]]*Tabla4[[#This Row],[Cantidad]]</f>
        <v>#N/A</v>
      </c>
      <c r="T167" s="369" t="str">
        <f>VLOOKUP(Tabla4[[#This Row],[Producto]],Tabla6[#All],14,FALSE)</f>
        <v>Termico Solar</v>
      </c>
      <c r="U167" s="284" t="e">
        <f>(IF(Tabla4[[#This Row],[Familia]]="termico solar",Tabla4[[#This Row],[Utilidad Total]]*6%,Tabla4[[#This Row],[Utilidad Total]]*11.5%))/Tabla4[[#This Row],[Total]]</f>
        <v>#N/A</v>
      </c>
      <c r="V167" s="282" t="e">
        <f>+Tabla4[[#This Row],[Comisión Calculada]]*Tabla4[[#This Row],[Total]]</f>
        <v>#N/A</v>
      </c>
    </row>
    <row r="168" spans="1:22" hidden="1" x14ac:dyDescent="0.25">
      <c r="A168" s="100">
        <v>45672</v>
      </c>
      <c r="B168" t="str">
        <f t="shared" si="9"/>
        <v>January</v>
      </c>
      <c r="C168" s="46" t="s">
        <v>280</v>
      </c>
      <c r="F168" s="366" t="s">
        <v>752</v>
      </c>
      <c r="G168" s="46" t="s">
        <v>18</v>
      </c>
      <c r="H168" s="46">
        <v>2</v>
      </c>
      <c r="I168" s="51">
        <v>5367.65</v>
      </c>
      <c r="J168" s="281">
        <f>++Tabla4[[#This Row],[Precio Bruto]]*1.16</f>
        <v>6226.4739999999993</v>
      </c>
      <c r="K168" s="281">
        <f>+Tabla4[[#This Row],[Precio Unitario Neto]]*Tabla4[[#Headers],[20.85%]]</f>
        <v>1298.2198289999999</v>
      </c>
      <c r="L168" s="282">
        <f>++Tabla4[[#This Row],[Precio Unitario Neto]]-Tabla4[[#This Row],[20.85%]]</f>
        <v>4928.2541709999996</v>
      </c>
      <c r="M168" s="282" t="e">
        <f>(INDEX(Tabla6[#All],MATCH(Tabla4[[#This Row],[Producto]],Tabla6[[#All],[PRODUCTO]],0),MATCH(Tabla4[[#This Row],[Mes]],Tabla6[#Headers],0)))*(1+Catalogos!$L$2)</f>
        <v>#N/A</v>
      </c>
      <c r="N168" s="283" t="e">
        <f>+(Tabla4[[#This Row],[Precio Descontado]]-Tabla4[[#This Row],[Precio Base]])*Tabla4[[#This Row],[Cantidad]]</f>
        <v>#N/A</v>
      </c>
      <c r="O168" s="284" t="e">
        <f>++Tabla4[[#This Row],[Utilidad Total]]/Tabla4[[#This Row],[Total]]</f>
        <v>#N/A</v>
      </c>
      <c r="P168" s="282">
        <f>++Tabla4[[#This Row],[Precio Descontado]]*Tabla4[[#This Row],[Cantidad]]</f>
        <v>9856.5083419999992</v>
      </c>
      <c r="Q168" s="282" t="e">
        <f>(INDEX(Tabla6[#All],MATCH(Tabla4[[#This Row],[Producto]],Tabla6[[#All],[PRODUCTO]],0),MATCH(Tabla4[[#This Row],[Mes]],Tabla6[#Headers],0)))</f>
        <v>#N/A</v>
      </c>
      <c r="R168" s="282" t="e">
        <f>++Tabla4[[#This Row],[Precio Unitario Neto]]-Tabla4[[#This Row],[20.85%]]-Tabla4[[#This Row],[Costo]]</f>
        <v>#N/A</v>
      </c>
      <c r="S168" s="282" t="e">
        <f>++Tabla4[[#This Row],[U. Bruta Uni]]*Tabla4[[#This Row],[Cantidad]]</f>
        <v>#N/A</v>
      </c>
      <c r="T168" s="369" t="str">
        <f>VLOOKUP(Tabla4[[#This Row],[Producto]],Tabla6[#All],14,FALSE)</f>
        <v>Termico Solar</v>
      </c>
      <c r="U168" s="284" t="e">
        <f>(IF(Tabla4[[#This Row],[Familia]]="termico solar",Tabla4[[#This Row],[Utilidad Total]]*6%,Tabla4[[#This Row],[Utilidad Total]]*11.5%))/Tabla4[[#This Row],[Total]]</f>
        <v>#N/A</v>
      </c>
      <c r="V168" s="282" t="e">
        <f>+Tabla4[[#This Row],[Comisión Calculada]]*Tabla4[[#This Row],[Total]]</f>
        <v>#N/A</v>
      </c>
    </row>
    <row r="169" spans="1:22" hidden="1" x14ac:dyDescent="0.25">
      <c r="A169" s="100">
        <v>45672</v>
      </c>
      <c r="B169" t="str">
        <f t="shared" si="9"/>
        <v>January</v>
      </c>
      <c r="C169" s="46" t="s">
        <v>280</v>
      </c>
      <c r="F169" s="366" t="s">
        <v>753</v>
      </c>
      <c r="G169" s="46" t="s">
        <v>83</v>
      </c>
      <c r="H169" s="46">
        <v>3</v>
      </c>
      <c r="I169" s="51">
        <v>8858.76</v>
      </c>
      <c r="J169" s="281">
        <f>++Tabla4[[#This Row],[Precio Bruto]]*1.16</f>
        <v>10276.161599999999</v>
      </c>
      <c r="K169" s="281">
        <f>+Tabla4[[#This Row],[Precio Unitario Neto]]*Tabla4[[#Headers],[20.85%]]</f>
        <v>2142.5796935999997</v>
      </c>
      <c r="L169" s="282">
        <f>++Tabla4[[#This Row],[Precio Unitario Neto]]-Tabla4[[#This Row],[20.85%]]</f>
        <v>8133.5819063999998</v>
      </c>
      <c r="M169" s="282" t="e">
        <f>(INDEX(Tabla6[#All],MATCH(Tabla4[[#This Row],[Producto]],Tabla6[[#All],[PRODUCTO]],0),MATCH(Tabla4[[#This Row],[Mes]],Tabla6[#Headers],0)))*(1+Catalogos!$L$2)</f>
        <v>#N/A</v>
      </c>
      <c r="N169" s="283" t="e">
        <f>+(Tabla4[[#This Row],[Precio Descontado]]-Tabla4[[#This Row],[Precio Base]])*Tabla4[[#This Row],[Cantidad]]</f>
        <v>#N/A</v>
      </c>
      <c r="O169" s="284" t="e">
        <f>++Tabla4[[#This Row],[Utilidad Total]]/Tabla4[[#This Row],[Total]]</f>
        <v>#N/A</v>
      </c>
      <c r="P169" s="282">
        <f>++Tabla4[[#This Row],[Precio Descontado]]*Tabla4[[#This Row],[Cantidad]]</f>
        <v>24400.7457192</v>
      </c>
      <c r="Q169" s="282" t="e">
        <f>(INDEX(Tabla6[#All],MATCH(Tabla4[[#This Row],[Producto]],Tabla6[[#All],[PRODUCTO]],0),MATCH(Tabla4[[#This Row],[Mes]],Tabla6[#Headers],0)))</f>
        <v>#N/A</v>
      </c>
      <c r="R169" s="282" t="e">
        <f>++Tabla4[[#This Row],[Precio Unitario Neto]]-Tabla4[[#This Row],[20.85%]]-Tabla4[[#This Row],[Costo]]</f>
        <v>#N/A</v>
      </c>
      <c r="S169" s="282" t="e">
        <f>++Tabla4[[#This Row],[U. Bruta Uni]]*Tabla4[[#This Row],[Cantidad]]</f>
        <v>#N/A</v>
      </c>
      <c r="T169" s="369" t="str">
        <f>VLOOKUP(Tabla4[[#This Row],[Producto]],Tabla6[#All],14,FALSE)</f>
        <v>Termico Solar</v>
      </c>
      <c r="U169" s="284" t="e">
        <f>(IF(Tabla4[[#This Row],[Familia]]="termico solar",Tabla4[[#This Row],[Utilidad Total]]*6%,Tabla4[[#This Row],[Utilidad Total]]*11.5%))/Tabla4[[#This Row],[Total]]</f>
        <v>#N/A</v>
      </c>
      <c r="V169" s="282" t="e">
        <f>+Tabla4[[#This Row],[Comisión Calculada]]*Tabla4[[#This Row],[Total]]</f>
        <v>#N/A</v>
      </c>
    </row>
    <row r="170" spans="1:22" hidden="1" x14ac:dyDescent="0.25">
      <c r="A170" s="100">
        <v>45672</v>
      </c>
      <c r="B170" t="str">
        <f t="shared" si="9"/>
        <v>January</v>
      </c>
      <c r="C170" s="46" t="s">
        <v>280</v>
      </c>
      <c r="F170" s="366" t="s">
        <v>753</v>
      </c>
      <c r="G170" s="46" t="s">
        <v>17</v>
      </c>
      <c r="H170" s="46">
        <v>4</v>
      </c>
      <c r="I170" s="51">
        <v>4622.28</v>
      </c>
      <c r="J170" s="281">
        <f>++Tabla4[[#This Row],[Precio Bruto]]*1.16</f>
        <v>5361.8447999999989</v>
      </c>
      <c r="K170" s="281">
        <f>+Tabla4[[#This Row],[Precio Unitario Neto]]*Tabla4[[#Headers],[20.85%]]</f>
        <v>1117.9446407999997</v>
      </c>
      <c r="L170" s="282">
        <f>++Tabla4[[#This Row],[Precio Unitario Neto]]-Tabla4[[#This Row],[20.85%]]</f>
        <v>4243.9001591999995</v>
      </c>
      <c r="M170" s="282" t="e">
        <f>(INDEX(Tabla6[#All],MATCH(Tabla4[[#This Row],[Producto]],Tabla6[[#All],[PRODUCTO]],0),MATCH(Tabla4[[#This Row],[Mes]],Tabla6[#Headers],0)))*(1+Catalogos!$L$2)</f>
        <v>#N/A</v>
      </c>
      <c r="N170" s="283" t="e">
        <f>+(Tabla4[[#This Row],[Precio Descontado]]-Tabla4[[#This Row],[Precio Base]])*Tabla4[[#This Row],[Cantidad]]</f>
        <v>#N/A</v>
      </c>
      <c r="O170" s="284" t="e">
        <f>++Tabla4[[#This Row],[Utilidad Total]]/Tabla4[[#This Row],[Total]]</f>
        <v>#N/A</v>
      </c>
      <c r="P170" s="282">
        <f>++Tabla4[[#This Row],[Precio Descontado]]*Tabla4[[#This Row],[Cantidad]]</f>
        <v>16975.600636799998</v>
      </c>
      <c r="Q170" s="282" t="e">
        <f>(INDEX(Tabla6[#All],MATCH(Tabla4[[#This Row],[Producto]],Tabla6[[#All],[PRODUCTO]],0),MATCH(Tabla4[[#This Row],[Mes]],Tabla6[#Headers],0)))</f>
        <v>#N/A</v>
      </c>
      <c r="R170" s="282" t="e">
        <f>++Tabla4[[#This Row],[Precio Unitario Neto]]-Tabla4[[#This Row],[20.85%]]-Tabla4[[#This Row],[Costo]]</f>
        <v>#N/A</v>
      </c>
      <c r="S170" s="282" t="e">
        <f>++Tabla4[[#This Row],[U. Bruta Uni]]*Tabla4[[#This Row],[Cantidad]]</f>
        <v>#N/A</v>
      </c>
      <c r="T170" s="369" t="str">
        <f>VLOOKUP(Tabla4[[#This Row],[Producto]],Tabla6[#All],14,FALSE)</f>
        <v>Termico Solar</v>
      </c>
      <c r="U170" s="284" t="e">
        <f>(IF(Tabla4[[#This Row],[Familia]]="termico solar",Tabla4[[#This Row],[Utilidad Total]]*6%,Tabla4[[#This Row],[Utilidad Total]]*11.5%))/Tabla4[[#This Row],[Total]]</f>
        <v>#N/A</v>
      </c>
      <c r="V170" s="282" t="e">
        <f>+Tabla4[[#This Row],[Comisión Calculada]]*Tabla4[[#This Row],[Total]]</f>
        <v>#N/A</v>
      </c>
    </row>
    <row r="171" spans="1:22" hidden="1" x14ac:dyDescent="0.25">
      <c r="A171" s="100">
        <v>45672</v>
      </c>
      <c r="B171" t="str">
        <f t="shared" si="9"/>
        <v>January</v>
      </c>
      <c r="C171" s="46" t="s">
        <v>280</v>
      </c>
      <c r="F171" s="366" t="s">
        <v>753</v>
      </c>
      <c r="G171" s="46" t="s">
        <v>16</v>
      </c>
      <c r="H171" s="46">
        <v>2</v>
      </c>
      <c r="I171" s="51">
        <v>4103.8500000000004</v>
      </c>
      <c r="J171" s="281">
        <f>++Tabla4[[#This Row],[Precio Bruto]]*1.16</f>
        <v>4760.4660000000003</v>
      </c>
      <c r="K171" s="281">
        <f>+Tabla4[[#This Row],[Precio Unitario Neto]]*Tabla4[[#Headers],[20.85%]]</f>
        <v>992.55716100000006</v>
      </c>
      <c r="L171" s="282">
        <f>++Tabla4[[#This Row],[Precio Unitario Neto]]-Tabla4[[#This Row],[20.85%]]</f>
        <v>3767.9088390000002</v>
      </c>
      <c r="M171" s="282" t="e">
        <f>(INDEX(Tabla6[#All],MATCH(Tabla4[[#This Row],[Producto]],Tabla6[[#All],[PRODUCTO]],0),MATCH(Tabla4[[#This Row],[Mes]],Tabla6[#Headers],0)))*(1+Catalogos!$L$2)</f>
        <v>#N/A</v>
      </c>
      <c r="N171" s="283" t="e">
        <f>+(Tabla4[[#This Row],[Precio Descontado]]-Tabla4[[#This Row],[Precio Base]])*Tabla4[[#This Row],[Cantidad]]</f>
        <v>#N/A</v>
      </c>
      <c r="O171" s="284" t="e">
        <f>++Tabla4[[#This Row],[Utilidad Total]]/Tabla4[[#This Row],[Total]]</f>
        <v>#N/A</v>
      </c>
      <c r="P171" s="282">
        <f>++Tabla4[[#This Row],[Precio Descontado]]*Tabla4[[#This Row],[Cantidad]]</f>
        <v>7535.8176780000003</v>
      </c>
      <c r="Q171" s="282" t="e">
        <f>(INDEX(Tabla6[#All],MATCH(Tabla4[[#This Row],[Producto]],Tabla6[[#All],[PRODUCTO]],0),MATCH(Tabla4[[#This Row],[Mes]],Tabla6[#Headers],0)))</f>
        <v>#N/A</v>
      </c>
      <c r="R171" s="282" t="e">
        <f>++Tabla4[[#This Row],[Precio Unitario Neto]]-Tabla4[[#This Row],[20.85%]]-Tabla4[[#This Row],[Costo]]</f>
        <v>#N/A</v>
      </c>
      <c r="S171" s="282" t="e">
        <f>++Tabla4[[#This Row],[U. Bruta Uni]]*Tabla4[[#This Row],[Cantidad]]</f>
        <v>#N/A</v>
      </c>
      <c r="T171" s="369" t="str">
        <f>VLOOKUP(Tabla4[[#This Row],[Producto]],Tabla6[#All],14,FALSE)</f>
        <v>Termico Solar</v>
      </c>
      <c r="U171" s="284" t="e">
        <f>(IF(Tabla4[[#This Row],[Familia]]="termico solar",Tabla4[[#This Row],[Utilidad Total]]*6%,Tabla4[[#This Row],[Utilidad Total]]*11.5%))/Tabla4[[#This Row],[Total]]</f>
        <v>#N/A</v>
      </c>
      <c r="V171" s="282" t="e">
        <f>+Tabla4[[#This Row],[Comisión Calculada]]*Tabla4[[#This Row],[Total]]</f>
        <v>#N/A</v>
      </c>
    </row>
    <row r="172" spans="1:22" hidden="1" x14ac:dyDescent="0.25">
      <c r="A172" s="100">
        <v>45672</v>
      </c>
      <c r="B172" t="str">
        <f t="shared" si="9"/>
        <v>January</v>
      </c>
      <c r="C172" s="46" t="s">
        <v>280</v>
      </c>
      <c r="F172" s="366" t="s">
        <v>754</v>
      </c>
      <c r="G172" s="46" t="s">
        <v>18</v>
      </c>
      <c r="H172" s="46">
        <v>4</v>
      </c>
      <c r="I172" s="51">
        <v>5367.65</v>
      </c>
      <c r="J172" s="281">
        <f>++Tabla4[[#This Row],[Precio Bruto]]*1.16</f>
        <v>6226.4739999999993</v>
      </c>
      <c r="K172" s="281">
        <f>+Tabla4[[#This Row],[Precio Unitario Neto]]*Tabla4[[#Headers],[20.85%]]</f>
        <v>1298.2198289999999</v>
      </c>
      <c r="L172" s="282">
        <f>++Tabla4[[#This Row],[Precio Unitario Neto]]-Tabla4[[#This Row],[20.85%]]</f>
        <v>4928.2541709999996</v>
      </c>
      <c r="M172" s="282" t="e">
        <f>(INDEX(Tabla6[#All],MATCH(Tabla4[[#This Row],[Producto]],Tabla6[[#All],[PRODUCTO]],0),MATCH(Tabla4[[#This Row],[Mes]],Tabla6[#Headers],0)))*(1+Catalogos!$L$2)</f>
        <v>#N/A</v>
      </c>
      <c r="N172" s="283" t="e">
        <f>+(Tabla4[[#This Row],[Precio Descontado]]-Tabla4[[#This Row],[Precio Base]])*Tabla4[[#This Row],[Cantidad]]</f>
        <v>#N/A</v>
      </c>
      <c r="O172" s="284" t="e">
        <f>++Tabla4[[#This Row],[Utilidad Total]]/Tabla4[[#This Row],[Total]]</f>
        <v>#N/A</v>
      </c>
      <c r="P172" s="282">
        <f>++Tabla4[[#This Row],[Precio Descontado]]*Tabla4[[#This Row],[Cantidad]]</f>
        <v>19713.016683999998</v>
      </c>
      <c r="Q172" s="282" t="e">
        <f>(INDEX(Tabla6[#All],MATCH(Tabla4[[#This Row],[Producto]],Tabla6[[#All],[PRODUCTO]],0),MATCH(Tabla4[[#This Row],[Mes]],Tabla6[#Headers],0)))</f>
        <v>#N/A</v>
      </c>
      <c r="R172" s="282" t="e">
        <f>++Tabla4[[#This Row],[Precio Unitario Neto]]-Tabla4[[#This Row],[20.85%]]-Tabla4[[#This Row],[Costo]]</f>
        <v>#N/A</v>
      </c>
      <c r="S172" s="282" t="e">
        <f>++Tabla4[[#This Row],[U. Bruta Uni]]*Tabla4[[#This Row],[Cantidad]]</f>
        <v>#N/A</v>
      </c>
      <c r="T172" s="369" t="str">
        <f>VLOOKUP(Tabla4[[#This Row],[Producto]],Tabla6[#All],14,FALSE)</f>
        <v>Termico Solar</v>
      </c>
      <c r="U172" s="284" t="e">
        <f>(IF(Tabla4[[#This Row],[Familia]]="termico solar",Tabla4[[#This Row],[Utilidad Total]]*6%,Tabla4[[#This Row],[Utilidad Total]]*11.5%))/Tabla4[[#This Row],[Total]]</f>
        <v>#N/A</v>
      </c>
      <c r="V172" s="282" t="e">
        <f>+Tabla4[[#This Row],[Comisión Calculada]]*Tabla4[[#This Row],[Total]]</f>
        <v>#N/A</v>
      </c>
    </row>
    <row r="173" spans="1:22" hidden="1" x14ac:dyDescent="0.25">
      <c r="A173" s="100">
        <v>45672</v>
      </c>
      <c r="B173" t="str">
        <f t="shared" si="9"/>
        <v>January</v>
      </c>
      <c r="C173" s="46" t="s">
        <v>280</v>
      </c>
      <c r="F173" s="366" t="s">
        <v>754</v>
      </c>
      <c r="G173" s="46" t="s">
        <v>412</v>
      </c>
      <c r="H173" s="46">
        <v>1</v>
      </c>
      <c r="I173" s="51">
        <v>3240.84</v>
      </c>
      <c r="J173" s="281">
        <f>++Tabla4[[#This Row],[Precio Bruto]]*1.16</f>
        <v>3759.3743999999997</v>
      </c>
      <c r="K173" s="281">
        <f>+Tabla4[[#This Row],[Precio Unitario Neto]]*Tabla4[[#Headers],[20.85%]]</f>
        <v>783.82956239999987</v>
      </c>
      <c r="L173" s="282">
        <f>++Tabla4[[#This Row],[Precio Unitario Neto]]-Tabla4[[#This Row],[20.85%]]</f>
        <v>2975.5448375999999</v>
      </c>
      <c r="M173" s="282" t="e">
        <f>(INDEX(Tabla6[#All],MATCH(Tabla4[[#This Row],[Producto]],Tabla6[[#All],[PRODUCTO]],0),MATCH(Tabla4[[#This Row],[Mes]],Tabla6[#Headers],0)))*(1+Catalogos!$L$2)</f>
        <v>#N/A</v>
      </c>
      <c r="N173" s="283" t="e">
        <f>+(Tabla4[[#This Row],[Precio Descontado]]-Tabla4[[#This Row],[Precio Base]])*Tabla4[[#This Row],[Cantidad]]</f>
        <v>#N/A</v>
      </c>
      <c r="O173" s="284" t="e">
        <f>++Tabla4[[#This Row],[Utilidad Total]]/Tabla4[[#This Row],[Total]]</f>
        <v>#N/A</v>
      </c>
      <c r="P173" s="282">
        <f>++Tabla4[[#This Row],[Precio Descontado]]*Tabla4[[#This Row],[Cantidad]]</f>
        <v>2975.5448375999999</v>
      </c>
      <c r="Q173" s="282" t="e">
        <f>(INDEX(Tabla6[#All],MATCH(Tabla4[[#This Row],[Producto]],Tabla6[[#All],[PRODUCTO]],0),MATCH(Tabla4[[#This Row],[Mes]],Tabla6[#Headers],0)))</f>
        <v>#N/A</v>
      </c>
      <c r="R173" s="282" t="e">
        <f>++Tabla4[[#This Row],[Precio Unitario Neto]]-Tabla4[[#This Row],[20.85%]]-Tabla4[[#This Row],[Costo]]</f>
        <v>#N/A</v>
      </c>
      <c r="S173" s="282" t="e">
        <f>++Tabla4[[#This Row],[U. Bruta Uni]]*Tabla4[[#This Row],[Cantidad]]</f>
        <v>#N/A</v>
      </c>
      <c r="T173" s="369" t="str">
        <f>VLOOKUP(Tabla4[[#This Row],[Producto]],Tabla6[#All],14,FALSE)</f>
        <v>Termico Solar</v>
      </c>
      <c r="U173" s="284" t="e">
        <f>(IF(Tabla4[[#This Row],[Familia]]="termico solar",Tabla4[[#This Row],[Utilidad Total]]*6%,Tabla4[[#This Row],[Utilidad Total]]*11.5%))/Tabla4[[#This Row],[Total]]</f>
        <v>#N/A</v>
      </c>
      <c r="V173" s="282" t="e">
        <f>+Tabla4[[#This Row],[Comisión Calculada]]*Tabla4[[#This Row],[Total]]</f>
        <v>#N/A</v>
      </c>
    </row>
    <row r="174" spans="1:22" hidden="1" x14ac:dyDescent="0.25">
      <c r="A174" s="100">
        <v>45672</v>
      </c>
      <c r="B174" t="str">
        <f t="shared" si="9"/>
        <v>January</v>
      </c>
      <c r="C174" s="46" t="s">
        <v>280</v>
      </c>
      <c r="F174" s="366" t="s">
        <v>755</v>
      </c>
      <c r="G174" s="46" t="s">
        <v>18</v>
      </c>
      <c r="H174" s="46">
        <v>3</v>
      </c>
      <c r="I174" s="51">
        <v>5367.6500000000005</v>
      </c>
      <c r="J174" s="281">
        <f>++Tabla4[[#This Row],[Precio Bruto]]*1.16</f>
        <v>6226.4740000000002</v>
      </c>
      <c r="K174" s="281">
        <f>+Tabla4[[#This Row],[Precio Unitario Neto]]*Tabla4[[#Headers],[20.85%]]</f>
        <v>1298.2198289999999</v>
      </c>
      <c r="L174" s="282">
        <f>++Tabla4[[#This Row],[Precio Unitario Neto]]-Tabla4[[#This Row],[20.85%]]</f>
        <v>4928.2541710000005</v>
      </c>
      <c r="M174" s="282" t="e">
        <f>(INDEX(Tabla6[#All],MATCH(Tabla4[[#This Row],[Producto]],Tabla6[[#All],[PRODUCTO]],0),MATCH(Tabla4[[#This Row],[Mes]],Tabla6[#Headers],0)))*(1+Catalogos!$L$2)</f>
        <v>#N/A</v>
      </c>
      <c r="N174" s="283" t="e">
        <f>+(Tabla4[[#This Row],[Precio Descontado]]-Tabla4[[#This Row],[Precio Base]])*Tabla4[[#This Row],[Cantidad]]</f>
        <v>#N/A</v>
      </c>
      <c r="O174" s="284" t="e">
        <f>++Tabla4[[#This Row],[Utilidad Total]]/Tabla4[[#This Row],[Total]]</f>
        <v>#N/A</v>
      </c>
      <c r="P174" s="282">
        <f>++Tabla4[[#This Row],[Precio Descontado]]*Tabla4[[#This Row],[Cantidad]]</f>
        <v>14784.762513000001</v>
      </c>
      <c r="Q174" s="282" t="e">
        <f>(INDEX(Tabla6[#All],MATCH(Tabla4[[#This Row],[Producto]],Tabla6[[#All],[PRODUCTO]],0),MATCH(Tabla4[[#This Row],[Mes]],Tabla6[#Headers],0)))</f>
        <v>#N/A</v>
      </c>
      <c r="R174" s="282" t="e">
        <f>++Tabla4[[#This Row],[Precio Unitario Neto]]-Tabla4[[#This Row],[20.85%]]-Tabla4[[#This Row],[Costo]]</f>
        <v>#N/A</v>
      </c>
      <c r="S174" s="282" t="e">
        <f>++Tabla4[[#This Row],[U. Bruta Uni]]*Tabla4[[#This Row],[Cantidad]]</f>
        <v>#N/A</v>
      </c>
      <c r="T174" s="369" t="str">
        <f>VLOOKUP(Tabla4[[#This Row],[Producto]],Tabla6[#All],14,FALSE)</f>
        <v>Termico Solar</v>
      </c>
      <c r="U174" s="284" t="e">
        <f>(IF(Tabla4[[#This Row],[Familia]]="termico solar",Tabla4[[#This Row],[Utilidad Total]]*6%,Tabla4[[#This Row],[Utilidad Total]]*11.5%))/Tabla4[[#This Row],[Total]]</f>
        <v>#N/A</v>
      </c>
      <c r="V174" s="282" t="e">
        <f>+Tabla4[[#This Row],[Comisión Calculada]]*Tabla4[[#This Row],[Total]]</f>
        <v>#N/A</v>
      </c>
    </row>
    <row r="175" spans="1:22" hidden="1" x14ac:dyDescent="0.25">
      <c r="A175" s="100">
        <v>45672</v>
      </c>
      <c r="B175" t="str">
        <f t="shared" si="9"/>
        <v>January</v>
      </c>
      <c r="C175" s="46" t="s">
        <v>280</v>
      </c>
      <c r="F175" s="366" t="s">
        <v>756</v>
      </c>
      <c r="G175" s="46" t="s">
        <v>83</v>
      </c>
      <c r="H175" s="46">
        <v>1</v>
      </c>
      <c r="I175" s="51">
        <v>8858.76</v>
      </c>
      <c r="J175" s="281">
        <f>++Tabla4[[#This Row],[Precio Bruto]]*1.16</f>
        <v>10276.161599999999</v>
      </c>
      <c r="K175" s="281">
        <f>+Tabla4[[#This Row],[Precio Unitario Neto]]*Tabla4[[#Headers],[20.85%]]</f>
        <v>2142.5796935999997</v>
      </c>
      <c r="L175" s="282">
        <f>++Tabla4[[#This Row],[Precio Unitario Neto]]-Tabla4[[#This Row],[20.85%]]</f>
        <v>8133.5819063999998</v>
      </c>
      <c r="M175" s="282" t="e">
        <f>(INDEX(Tabla6[#All],MATCH(Tabla4[[#This Row],[Producto]],Tabla6[[#All],[PRODUCTO]],0),MATCH(Tabla4[[#This Row],[Mes]],Tabla6[#Headers],0)))*(1+Catalogos!$L$2)</f>
        <v>#N/A</v>
      </c>
      <c r="N175" s="283" t="e">
        <f>+(Tabla4[[#This Row],[Precio Descontado]]-Tabla4[[#This Row],[Precio Base]])*Tabla4[[#This Row],[Cantidad]]</f>
        <v>#N/A</v>
      </c>
      <c r="O175" s="284" t="e">
        <f>++Tabla4[[#This Row],[Utilidad Total]]/Tabla4[[#This Row],[Total]]</f>
        <v>#N/A</v>
      </c>
      <c r="P175" s="282">
        <f>++Tabla4[[#This Row],[Precio Descontado]]*Tabla4[[#This Row],[Cantidad]]</f>
        <v>8133.5819063999998</v>
      </c>
      <c r="Q175" s="282" t="e">
        <f>(INDEX(Tabla6[#All],MATCH(Tabla4[[#This Row],[Producto]],Tabla6[[#All],[PRODUCTO]],0),MATCH(Tabla4[[#This Row],[Mes]],Tabla6[#Headers],0)))</f>
        <v>#N/A</v>
      </c>
      <c r="R175" s="282" t="e">
        <f>++Tabla4[[#This Row],[Precio Unitario Neto]]-Tabla4[[#This Row],[20.85%]]-Tabla4[[#This Row],[Costo]]</f>
        <v>#N/A</v>
      </c>
      <c r="S175" s="282" t="e">
        <f>++Tabla4[[#This Row],[U. Bruta Uni]]*Tabla4[[#This Row],[Cantidad]]</f>
        <v>#N/A</v>
      </c>
      <c r="T175" s="369" t="str">
        <f>VLOOKUP(Tabla4[[#This Row],[Producto]],Tabla6[#All],14,FALSE)</f>
        <v>Termico Solar</v>
      </c>
      <c r="U175" s="284" t="e">
        <f>(IF(Tabla4[[#This Row],[Familia]]="termico solar",Tabla4[[#This Row],[Utilidad Total]]*6%,Tabla4[[#This Row],[Utilidad Total]]*11.5%))/Tabla4[[#This Row],[Total]]</f>
        <v>#N/A</v>
      </c>
      <c r="V175" s="282" t="e">
        <f>+Tabla4[[#This Row],[Comisión Calculada]]*Tabla4[[#This Row],[Total]]</f>
        <v>#N/A</v>
      </c>
    </row>
    <row r="176" spans="1:22" hidden="1" x14ac:dyDescent="0.25">
      <c r="A176" s="100">
        <v>45672</v>
      </c>
      <c r="B176" t="str">
        <f t="shared" si="9"/>
        <v>January</v>
      </c>
      <c r="C176" s="46" t="s">
        <v>280</v>
      </c>
      <c r="F176" s="366" t="s">
        <v>756</v>
      </c>
      <c r="G176" s="46" t="s">
        <v>17</v>
      </c>
      <c r="H176" s="46">
        <v>2</v>
      </c>
      <c r="I176" s="51">
        <v>4622.28</v>
      </c>
      <c r="J176" s="281">
        <f>++Tabla4[[#This Row],[Precio Bruto]]*1.16</f>
        <v>5361.8447999999989</v>
      </c>
      <c r="K176" s="281">
        <f>+Tabla4[[#This Row],[Precio Unitario Neto]]*Tabla4[[#Headers],[20.85%]]</f>
        <v>1117.9446407999997</v>
      </c>
      <c r="L176" s="282">
        <f>++Tabla4[[#This Row],[Precio Unitario Neto]]-Tabla4[[#This Row],[20.85%]]</f>
        <v>4243.9001591999995</v>
      </c>
      <c r="M176" s="282" t="e">
        <f>(INDEX(Tabla6[#All],MATCH(Tabla4[[#This Row],[Producto]],Tabla6[[#All],[PRODUCTO]],0),MATCH(Tabla4[[#This Row],[Mes]],Tabla6[#Headers],0)))*(1+Catalogos!$L$2)</f>
        <v>#N/A</v>
      </c>
      <c r="N176" s="283" t="e">
        <f>+(Tabla4[[#This Row],[Precio Descontado]]-Tabla4[[#This Row],[Precio Base]])*Tabla4[[#This Row],[Cantidad]]</f>
        <v>#N/A</v>
      </c>
      <c r="O176" s="284" t="e">
        <f>++Tabla4[[#This Row],[Utilidad Total]]/Tabla4[[#This Row],[Total]]</f>
        <v>#N/A</v>
      </c>
      <c r="P176" s="282">
        <f>++Tabla4[[#This Row],[Precio Descontado]]*Tabla4[[#This Row],[Cantidad]]</f>
        <v>8487.800318399999</v>
      </c>
      <c r="Q176" s="282" t="e">
        <f>(INDEX(Tabla6[#All],MATCH(Tabla4[[#This Row],[Producto]],Tabla6[[#All],[PRODUCTO]],0),MATCH(Tabla4[[#This Row],[Mes]],Tabla6[#Headers],0)))</f>
        <v>#N/A</v>
      </c>
      <c r="R176" s="282" t="e">
        <f>++Tabla4[[#This Row],[Precio Unitario Neto]]-Tabla4[[#This Row],[20.85%]]-Tabla4[[#This Row],[Costo]]</f>
        <v>#N/A</v>
      </c>
      <c r="S176" s="282" t="e">
        <f>++Tabla4[[#This Row],[U. Bruta Uni]]*Tabla4[[#This Row],[Cantidad]]</f>
        <v>#N/A</v>
      </c>
      <c r="T176" s="369" t="str">
        <f>VLOOKUP(Tabla4[[#This Row],[Producto]],Tabla6[#All],14,FALSE)</f>
        <v>Termico Solar</v>
      </c>
      <c r="U176" s="284" t="e">
        <f>(IF(Tabla4[[#This Row],[Familia]]="termico solar",Tabla4[[#This Row],[Utilidad Total]]*6%,Tabla4[[#This Row],[Utilidad Total]]*11.5%))/Tabla4[[#This Row],[Total]]</f>
        <v>#N/A</v>
      </c>
      <c r="V176" s="282" t="e">
        <f>+Tabla4[[#This Row],[Comisión Calculada]]*Tabla4[[#This Row],[Total]]</f>
        <v>#N/A</v>
      </c>
    </row>
    <row r="177" spans="1:22" hidden="1" x14ac:dyDescent="0.25">
      <c r="A177" s="100">
        <v>45672</v>
      </c>
      <c r="B177" t="str">
        <f t="shared" si="9"/>
        <v>January</v>
      </c>
      <c r="C177" s="46" t="s">
        <v>280</v>
      </c>
      <c r="F177" s="366" t="s">
        <v>756</v>
      </c>
      <c r="G177" s="46" t="s">
        <v>16</v>
      </c>
      <c r="H177" s="46">
        <v>1</v>
      </c>
      <c r="I177" s="51">
        <v>4103.8500000000004</v>
      </c>
      <c r="J177" s="281">
        <f>++Tabla4[[#This Row],[Precio Bruto]]*1.16</f>
        <v>4760.4660000000003</v>
      </c>
      <c r="K177" s="281">
        <f>+Tabla4[[#This Row],[Precio Unitario Neto]]*Tabla4[[#Headers],[20.85%]]</f>
        <v>992.55716100000006</v>
      </c>
      <c r="L177" s="282">
        <f>++Tabla4[[#This Row],[Precio Unitario Neto]]-Tabla4[[#This Row],[20.85%]]</f>
        <v>3767.9088390000002</v>
      </c>
      <c r="M177" s="282" t="e">
        <f>(INDEX(Tabla6[#All],MATCH(Tabla4[[#This Row],[Producto]],Tabla6[[#All],[PRODUCTO]],0),MATCH(Tabla4[[#This Row],[Mes]],Tabla6[#Headers],0)))*(1+Catalogos!$L$2)</f>
        <v>#N/A</v>
      </c>
      <c r="N177" s="283" t="e">
        <f>+(Tabla4[[#This Row],[Precio Descontado]]-Tabla4[[#This Row],[Precio Base]])*Tabla4[[#This Row],[Cantidad]]</f>
        <v>#N/A</v>
      </c>
      <c r="O177" s="284" t="e">
        <f>++Tabla4[[#This Row],[Utilidad Total]]/Tabla4[[#This Row],[Total]]</f>
        <v>#N/A</v>
      </c>
      <c r="P177" s="282">
        <f>++Tabla4[[#This Row],[Precio Descontado]]*Tabla4[[#This Row],[Cantidad]]</f>
        <v>3767.9088390000002</v>
      </c>
      <c r="Q177" s="282" t="e">
        <f>(INDEX(Tabla6[#All],MATCH(Tabla4[[#This Row],[Producto]],Tabla6[[#All],[PRODUCTO]],0),MATCH(Tabla4[[#This Row],[Mes]],Tabla6[#Headers],0)))</f>
        <v>#N/A</v>
      </c>
      <c r="R177" s="282" t="e">
        <f>++Tabla4[[#This Row],[Precio Unitario Neto]]-Tabla4[[#This Row],[20.85%]]-Tabla4[[#This Row],[Costo]]</f>
        <v>#N/A</v>
      </c>
      <c r="S177" s="282" t="e">
        <f>++Tabla4[[#This Row],[U. Bruta Uni]]*Tabla4[[#This Row],[Cantidad]]</f>
        <v>#N/A</v>
      </c>
      <c r="T177" s="369" t="str">
        <f>VLOOKUP(Tabla4[[#This Row],[Producto]],Tabla6[#All],14,FALSE)</f>
        <v>Termico Solar</v>
      </c>
      <c r="U177" s="284" t="e">
        <f>(IF(Tabla4[[#This Row],[Familia]]="termico solar",Tabla4[[#This Row],[Utilidad Total]]*6%,Tabla4[[#This Row],[Utilidad Total]]*11.5%))/Tabla4[[#This Row],[Total]]</f>
        <v>#N/A</v>
      </c>
      <c r="V177" s="282" t="e">
        <f>+Tabla4[[#This Row],[Comisión Calculada]]*Tabla4[[#This Row],[Total]]</f>
        <v>#N/A</v>
      </c>
    </row>
    <row r="178" spans="1:22" hidden="1" x14ac:dyDescent="0.25">
      <c r="A178" s="100">
        <v>45672</v>
      </c>
      <c r="B178" t="str">
        <f t="shared" si="9"/>
        <v>January</v>
      </c>
      <c r="C178" s="46" t="s">
        <v>280</v>
      </c>
      <c r="F178" s="366" t="s">
        <v>757</v>
      </c>
      <c r="G178" s="46" t="s">
        <v>17</v>
      </c>
      <c r="H178" s="46">
        <v>3</v>
      </c>
      <c r="I178" s="51">
        <v>4622.28</v>
      </c>
      <c r="J178" s="281">
        <f>++Tabla4[[#This Row],[Precio Bruto]]*1.16</f>
        <v>5361.8447999999989</v>
      </c>
      <c r="K178" s="281">
        <f>+Tabla4[[#This Row],[Precio Unitario Neto]]*Tabla4[[#Headers],[20.85%]]</f>
        <v>1117.9446407999997</v>
      </c>
      <c r="L178" s="282">
        <f>++Tabla4[[#This Row],[Precio Unitario Neto]]-Tabla4[[#This Row],[20.85%]]</f>
        <v>4243.9001591999995</v>
      </c>
      <c r="M178" s="282" t="e">
        <f>(INDEX(Tabla6[#All],MATCH(Tabla4[[#This Row],[Producto]],Tabla6[[#All],[PRODUCTO]],0),MATCH(Tabla4[[#This Row],[Mes]],Tabla6[#Headers],0)))*(1+Catalogos!$L$2)</f>
        <v>#N/A</v>
      </c>
      <c r="N178" s="283" t="e">
        <f>+(Tabla4[[#This Row],[Precio Descontado]]-Tabla4[[#This Row],[Precio Base]])*Tabla4[[#This Row],[Cantidad]]</f>
        <v>#N/A</v>
      </c>
      <c r="O178" s="284" t="e">
        <f>++Tabla4[[#This Row],[Utilidad Total]]/Tabla4[[#This Row],[Total]]</f>
        <v>#N/A</v>
      </c>
      <c r="P178" s="282">
        <f>++Tabla4[[#This Row],[Precio Descontado]]*Tabla4[[#This Row],[Cantidad]]</f>
        <v>12731.700477599999</v>
      </c>
      <c r="Q178" s="282" t="e">
        <f>(INDEX(Tabla6[#All],MATCH(Tabla4[[#This Row],[Producto]],Tabla6[[#All],[PRODUCTO]],0),MATCH(Tabla4[[#This Row],[Mes]],Tabla6[#Headers],0)))</f>
        <v>#N/A</v>
      </c>
      <c r="R178" s="282" t="e">
        <f>++Tabla4[[#This Row],[Precio Unitario Neto]]-Tabla4[[#This Row],[20.85%]]-Tabla4[[#This Row],[Costo]]</f>
        <v>#N/A</v>
      </c>
      <c r="S178" s="282" t="e">
        <f>++Tabla4[[#This Row],[U. Bruta Uni]]*Tabla4[[#This Row],[Cantidad]]</f>
        <v>#N/A</v>
      </c>
      <c r="T178" s="369" t="str">
        <f>VLOOKUP(Tabla4[[#This Row],[Producto]],Tabla6[#All],14,FALSE)</f>
        <v>Termico Solar</v>
      </c>
      <c r="U178" s="284" t="e">
        <f>(IF(Tabla4[[#This Row],[Familia]]="termico solar",Tabla4[[#This Row],[Utilidad Total]]*6%,Tabla4[[#This Row],[Utilidad Total]]*11.5%))/Tabla4[[#This Row],[Total]]</f>
        <v>#N/A</v>
      </c>
      <c r="V178" s="282" t="e">
        <f>+Tabla4[[#This Row],[Comisión Calculada]]*Tabla4[[#This Row],[Total]]</f>
        <v>#N/A</v>
      </c>
    </row>
    <row r="179" spans="1:22" hidden="1" x14ac:dyDescent="0.25">
      <c r="A179" s="100">
        <v>45672</v>
      </c>
      <c r="B179" t="str">
        <f t="shared" si="9"/>
        <v>January</v>
      </c>
      <c r="C179" s="46" t="s">
        <v>280</v>
      </c>
      <c r="F179" s="366" t="s">
        <v>757</v>
      </c>
      <c r="G179" s="46" t="s">
        <v>16</v>
      </c>
      <c r="H179" s="46">
        <v>2</v>
      </c>
      <c r="I179" s="51">
        <v>4103.8500000000004</v>
      </c>
      <c r="J179" s="281">
        <f>++Tabla4[[#This Row],[Precio Bruto]]*1.16</f>
        <v>4760.4660000000003</v>
      </c>
      <c r="K179" s="281">
        <f>+Tabla4[[#This Row],[Precio Unitario Neto]]*Tabla4[[#Headers],[20.85%]]</f>
        <v>992.55716100000006</v>
      </c>
      <c r="L179" s="282">
        <f>++Tabla4[[#This Row],[Precio Unitario Neto]]-Tabla4[[#This Row],[20.85%]]</f>
        <v>3767.9088390000002</v>
      </c>
      <c r="M179" s="282" t="e">
        <f>(INDEX(Tabla6[#All],MATCH(Tabla4[[#This Row],[Producto]],Tabla6[[#All],[PRODUCTO]],0),MATCH(Tabla4[[#This Row],[Mes]],Tabla6[#Headers],0)))*(1+Catalogos!$L$2)</f>
        <v>#N/A</v>
      </c>
      <c r="N179" s="283" t="e">
        <f>+(Tabla4[[#This Row],[Precio Descontado]]-Tabla4[[#This Row],[Precio Base]])*Tabla4[[#This Row],[Cantidad]]</f>
        <v>#N/A</v>
      </c>
      <c r="O179" s="284" t="e">
        <f>++Tabla4[[#This Row],[Utilidad Total]]/Tabla4[[#This Row],[Total]]</f>
        <v>#N/A</v>
      </c>
      <c r="P179" s="282">
        <f>++Tabla4[[#This Row],[Precio Descontado]]*Tabla4[[#This Row],[Cantidad]]</f>
        <v>7535.8176780000003</v>
      </c>
      <c r="Q179" s="282" t="e">
        <f>(INDEX(Tabla6[#All],MATCH(Tabla4[[#This Row],[Producto]],Tabla6[[#All],[PRODUCTO]],0),MATCH(Tabla4[[#This Row],[Mes]],Tabla6[#Headers],0)))</f>
        <v>#N/A</v>
      </c>
      <c r="R179" s="282" t="e">
        <f>++Tabla4[[#This Row],[Precio Unitario Neto]]-Tabla4[[#This Row],[20.85%]]-Tabla4[[#This Row],[Costo]]</f>
        <v>#N/A</v>
      </c>
      <c r="S179" s="282" t="e">
        <f>++Tabla4[[#This Row],[U. Bruta Uni]]*Tabla4[[#This Row],[Cantidad]]</f>
        <v>#N/A</v>
      </c>
      <c r="T179" s="369" t="str">
        <f>VLOOKUP(Tabla4[[#This Row],[Producto]],Tabla6[#All],14,FALSE)</f>
        <v>Termico Solar</v>
      </c>
      <c r="U179" s="284" t="e">
        <f>(IF(Tabla4[[#This Row],[Familia]]="termico solar",Tabla4[[#This Row],[Utilidad Total]]*6%,Tabla4[[#This Row],[Utilidad Total]]*11.5%))/Tabla4[[#This Row],[Total]]</f>
        <v>#N/A</v>
      </c>
      <c r="V179" s="282" t="e">
        <f>+Tabla4[[#This Row],[Comisión Calculada]]*Tabla4[[#This Row],[Total]]</f>
        <v>#N/A</v>
      </c>
    </row>
    <row r="180" spans="1:22" hidden="1" x14ac:dyDescent="0.25">
      <c r="A180" s="100">
        <v>45672</v>
      </c>
      <c r="B180" t="str">
        <f t="shared" si="9"/>
        <v>January</v>
      </c>
      <c r="C180" s="46" t="s">
        <v>280</v>
      </c>
      <c r="F180" s="366" t="s">
        <v>758</v>
      </c>
      <c r="G180" s="46" t="s">
        <v>17</v>
      </c>
      <c r="H180" s="46">
        <v>4</v>
      </c>
      <c r="I180" s="51">
        <v>4622.28</v>
      </c>
      <c r="J180" s="281">
        <f>++Tabla4[[#This Row],[Precio Bruto]]*1.16</f>
        <v>5361.8447999999989</v>
      </c>
      <c r="K180" s="281">
        <f>+Tabla4[[#This Row],[Precio Unitario Neto]]*Tabla4[[#Headers],[20.85%]]</f>
        <v>1117.9446407999997</v>
      </c>
      <c r="L180" s="282">
        <f>++Tabla4[[#This Row],[Precio Unitario Neto]]-Tabla4[[#This Row],[20.85%]]</f>
        <v>4243.9001591999995</v>
      </c>
      <c r="M180" s="282" t="e">
        <f>(INDEX(Tabla6[#All],MATCH(Tabla4[[#This Row],[Producto]],Tabla6[[#All],[PRODUCTO]],0),MATCH(Tabla4[[#This Row],[Mes]],Tabla6[#Headers],0)))*(1+Catalogos!$L$2)</f>
        <v>#N/A</v>
      </c>
      <c r="N180" s="283" t="e">
        <f>+(Tabla4[[#This Row],[Precio Descontado]]-Tabla4[[#This Row],[Precio Base]])*Tabla4[[#This Row],[Cantidad]]</f>
        <v>#N/A</v>
      </c>
      <c r="O180" s="284" t="e">
        <f>++Tabla4[[#This Row],[Utilidad Total]]/Tabla4[[#This Row],[Total]]</f>
        <v>#N/A</v>
      </c>
      <c r="P180" s="282">
        <f>++Tabla4[[#This Row],[Precio Descontado]]*Tabla4[[#This Row],[Cantidad]]</f>
        <v>16975.600636799998</v>
      </c>
      <c r="Q180" s="282" t="e">
        <f>(INDEX(Tabla6[#All],MATCH(Tabla4[[#This Row],[Producto]],Tabla6[[#All],[PRODUCTO]],0),MATCH(Tabla4[[#This Row],[Mes]],Tabla6[#Headers],0)))</f>
        <v>#N/A</v>
      </c>
      <c r="R180" s="282" t="e">
        <f>++Tabla4[[#This Row],[Precio Unitario Neto]]-Tabla4[[#This Row],[20.85%]]-Tabla4[[#This Row],[Costo]]</f>
        <v>#N/A</v>
      </c>
      <c r="S180" s="282" t="e">
        <f>++Tabla4[[#This Row],[U. Bruta Uni]]*Tabla4[[#This Row],[Cantidad]]</f>
        <v>#N/A</v>
      </c>
      <c r="T180" s="369" t="str">
        <f>VLOOKUP(Tabla4[[#This Row],[Producto]],Tabla6[#All],14,FALSE)</f>
        <v>Termico Solar</v>
      </c>
      <c r="U180" s="284" t="e">
        <f>(IF(Tabla4[[#This Row],[Familia]]="termico solar",Tabla4[[#This Row],[Utilidad Total]]*6%,Tabla4[[#This Row],[Utilidad Total]]*11.5%))/Tabla4[[#This Row],[Total]]</f>
        <v>#N/A</v>
      </c>
      <c r="V180" s="282" t="e">
        <f>+Tabla4[[#This Row],[Comisión Calculada]]*Tabla4[[#This Row],[Total]]</f>
        <v>#N/A</v>
      </c>
    </row>
    <row r="181" spans="1:22" hidden="1" x14ac:dyDescent="0.25">
      <c r="A181" s="100">
        <v>45672</v>
      </c>
      <c r="B181" t="str">
        <f t="shared" si="9"/>
        <v>January</v>
      </c>
      <c r="C181" s="46" t="s">
        <v>280</v>
      </c>
      <c r="F181" s="366" t="s">
        <v>758</v>
      </c>
      <c r="G181" s="46" t="s">
        <v>18</v>
      </c>
      <c r="H181" s="46">
        <v>2</v>
      </c>
      <c r="I181" s="51">
        <v>5367.65</v>
      </c>
      <c r="J181" s="281">
        <f>++Tabla4[[#This Row],[Precio Bruto]]*1.16</f>
        <v>6226.4739999999993</v>
      </c>
      <c r="K181" s="281">
        <f>+Tabla4[[#This Row],[Precio Unitario Neto]]*Tabla4[[#Headers],[20.85%]]</f>
        <v>1298.2198289999999</v>
      </c>
      <c r="L181" s="282">
        <f>++Tabla4[[#This Row],[Precio Unitario Neto]]-Tabla4[[#This Row],[20.85%]]</f>
        <v>4928.2541709999996</v>
      </c>
      <c r="M181" s="282" t="e">
        <f>(INDEX(Tabla6[#All],MATCH(Tabla4[[#This Row],[Producto]],Tabla6[[#All],[PRODUCTO]],0),MATCH(Tabla4[[#This Row],[Mes]],Tabla6[#Headers],0)))*(1+Catalogos!$L$2)</f>
        <v>#N/A</v>
      </c>
      <c r="N181" s="283" t="e">
        <f>+(Tabla4[[#This Row],[Precio Descontado]]-Tabla4[[#This Row],[Precio Base]])*Tabla4[[#This Row],[Cantidad]]</f>
        <v>#N/A</v>
      </c>
      <c r="O181" s="284" t="e">
        <f>++Tabla4[[#This Row],[Utilidad Total]]/Tabla4[[#This Row],[Total]]</f>
        <v>#N/A</v>
      </c>
      <c r="P181" s="282">
        <f>++Tabla4[[#This Row],[Precio Descontado]]*Tabla4[[#This Row],[Cantidad]]</f>
        <v>9856.5083419999992</v>
      </c>
      <c r="Q181" s="282" t="e">
        <f>(INDEX(Tabla6[#All],MATCH(Tabla4[[#This Row],[Producto]],Tabla6[[#All],[PRODUCTO]],0),MATCH(Tabla4[[#This Row],[Mes]],Tabla6[#Headers],0)))</f>
        <v>#N/A</v>
      </c>
      <c r="R181" s="282" t="e">
        <f>++Tabla4[[#This Row],[Precio Unitario Neto]]-Tabla4[[#This Row],[20.85%]]-Tabla4[[#This Row],[Costo]]</f>
        <v>#N/A</v>
      </c>
      <c r="S181" s="282" t="e">
        <f>++Tabla4[[#This Row],[U. Bruta Uni]]*Tabla4[[#This Row],[Cantidad]]</f>
        <v>#N/A</v>
      </c>
      <c r="T181" s="369" t="str">
        <f>VLOOKUP(Tabla4[[#This Row],[Producto]],Tabla6[#All],14,FALSE)</f>
        <v>Termico Solar</v>
      </c>
      <c r="U181" s="284" t="e">
        <f>(IF(Tabla4[[#This Row],[Familia]]="termico solar",Tabla4[[#This Row],[Utilidad Total]]*6%,Tabla4[[#This Row],[Utilidad Total]]*11.5%))/Tabla4[[#This Row],[Total]]</f>
        <v>#N/A</v>
      </c>
      <c r="V181" s="282" t="e">
        <f>+Tabla4[[#This Row],[Comisión Calculada]]*Tabla4[[#This Row],[Total]]</f>
        <v>#N/A</v>
      </c>
    </row>
    <row r="182" spans="1:22" hidden="1" x14ac:dyDescent="0.25">
      <c r="A182" s="100">
        <v>45672</v>
      </c>
      <c r="B182" t="str">
        <f t="shared" si="9"/>
        <v>January</v>
      </c>
      <c r="C182" s="46" t="s">
        <v>280</v>
      </c>
      <c r="F182" s="366" t="s">
        <v>759</v>
      </c>
      <c r="G182" s="46" t="s">
        <v>83</v>
      </c>
      <c r="H182" s="46">
        <v>2</v>
      </c>
      <c r="I182" s="51">
        <v>8858.76</v>
      </c>
      <c r="J182" s="281">
        <f>++Tabla4[[#This Row],[Precio Bruto]]*1.16</f>
        <v>10276.161599999999</v>
      </c>
      <c r="K182" s="281">
        <f>+Tabla4[[#This Row],[Precio Unitario Neto]]*Tabla4[[#Headers],[20.85%]]</f>
        <v>2142.5796935999997</v>
      </c>
      <c r="L182" s="282">
        <f>++Tabla4[[#This Row],[Precio Unitario Neto]]-Tabla4[[#This Row],[20.85%]]</f>
        <v>8133.5819063999998</v>
      </c>
      <c r="M182" s="282" t="e">
        <f>(INDEX(Tabla6[#All],MATCH(Tabla4[[#This Row],[Producto]],Tabla6[[#All],[PRODUCTO]],0),MATCH(Tabla4[[#This Row],[Mes]],Tabla6[#Headers],0)))*(1+Catalogos!$L$2)</f>
        <v>#N/A</v>
      </c>
      <c r="N182" s="283" t="e">
        <f>+(Tabla4[[#This Row],[Precio Descontado]]-Tabla4[[#This Row],[Precio Base]])*Tabla4[[#This Row],[Cantidad]]</f>
        <v>#N/A</v>
      </c>
      <c r="O182" s="284" t="e">
        <f>++Tabla4[[#This Row],[Utilidad Total]]/Tabla4[[#This Row],[Total]]</f>
        <v>#N/A</v>
      </c>
      <c r="P182" s="282">
        <f>++Tabla4[[#This Row],[Precio Descontado]]*Tabla4[[#This Row],[Cantidad]]</f>
        <v>16267.1638128</v>
      </c>
      <c r="Q182" s="282" t="e">
        <f>(INDEX(Tabla6[#All],MATCH(Tabla4[[#This Row],[Producto]],Tabla6[[#All],[PRODUCTO]],0),MATCH(Tabla4[[#This Row],[Mes]],Tabla6[#Headers],0)))</f>
        <v>#N/A</v>
      </c>
      <c r="R182" s="282" t="e">
        <f>++Tabla4[[#This Row],[Precio Unitario Neto]]-Tabla4[[#This Row],[20.85%]]-Tabla4[[#This Row],[Costo]]</f>
        <v>#N/A</v>
      </c>
      <c r="S182" s="282" t="e">
        <f>++Tabla4[[#This Row],[U. Bruta Uni]]*Tabla4[[#This Row],[Cantidad]]</f>
        <v>#N/A</v>
      </c>
      <c r="T182" s="369" t="str">
        <f>VLOOKUP(Tabla4[[#This Row],[Producto]],Tabla6[#All],14,FALSE)</f>
        <v>Termico Solar</v>
      </c>
      <c r="U182" s="284" t="e">
        <f>(IF(Tabla4[[#This Row],[Familia]]="termico solar",Tabla4[[#This Row],[Utilidad Total]]*6%,Tabla4[[#This Row],[Utilidad Total]]*11.5%))/Tabla4[[#This Row],[Total]]</f>
        <v>#N/A</v>
      </c>
      <c r="V182" s="282" t="e">
        <f>+Tabla4[[#This Row],[Comisión Calculada]]*Tabla4[[#This Row],[Total]]</f>
        <v>#N/A</v>
      </c>
    </row>
    <row r="183" spans="1:22" hidden="1" x14ac:dyDescent="0.25">
      <c r="A183" s="100">
        <v>45672</v>
      </c>
      <c r="B183" t="str">
        <f t="shared" si="9"/>
        <v>January</v>
      </c>
      <c r="C183" s="46" t="s">
        <v>280</v>
      </c>
      <c r="F183" s="366" t="s">
        <v>759</v>
      </c>
      <c r="G183" s="46" t="s">
        <v>17</v>
      </c>
      <c r="H183" s="46">
        <v>3</v>
      </c>
      <c r="I183" s="51">
        <v>4622.28</v>
      </c>
      <c r="J183" s="281">
        <f>++Tabla4[[#This Row],[Precio Bruto]]*1.16</f>
        <v>5361.8447999999989</v>
      </c>
      <c r="K183" s="281">
        <f>+Tabla4[[#This Row],[Precio Unitario Neto]]*Tabla4[[#Headers],[20.85%]]</f>
        <v>1117.9446407999997</v>
      </c>
      <c r="L183" s="282">
        <f>++Tabla4[[#This Row],[Precio Unitario Neto]]-Tabla4[[#This Row],[20.85%]]</f>
        <v>4243.9001591999995</v>
      </c>
      <c r="M183" s="282" t="e">
        <f>(INDEX(Tabla6[#All],MATCH(Tabla4[[#This Row],[Producto]],Tabla6[[#All],[PRODUCTO]],0),MATCH(Tabla4[[#This Row],[Mes]],Tabla6[#Headers],0)))*(1+Catalogos!$L$2)</f>
        <v>#N/A</v>
      </c>
      <c r="N183" s="283" t="e">
        <f>+(Tabla4[[#This Row],[Precio Descontado]]-Tabla4[[#This Row],[Precio Base]])*Tabla4[[#This Row],[Cantidad]]</f>
        <v>#N/A</v>
      </c>
      <c r="O183" s="284" t="e">
        <f>++Tabla4[[#This Row],[Utilidad Total]]/Tabla4[[#This Row],[Total]]</f>
        <v>#N/A</v>
      </c>
      <c r="P183" s="282">
        <f>++Tabla4[[#This Row],[Precio Descontado]]*Tabla4[[#This Row],[Cantidad]]</f>
        <v>12731.700477599999</v>
      </c>
      <c r="Q183" s="282" t="e">
        <f>(INDEX(Tabla6[#All],MATCH(Tabla4[[#This Row],[Producto]],Tabla6[[#All],[PRODUCTO]],0),MATCH(Tabla4[[#This Row],[Mes]],Tabla6[#Headers],0)))</f>
        <v>#N/A</v>
      </c>
      <c r="R183" s="282" t="e">
        <f>++Tabla4[[#This Row],[Precio Unitario Neto]]-Tabla4[[#This Row],[20.85%]]-Tabla4[[#This Row],[Costo]]</f>
        <v>#N/A</v>
      </c>
      <c r="S183" s="282" t="e">
        <f>++Tabla4[[#This Row],[U. Bruta Uni]]*Tabla4[[#This Row],[Cantidad]]</f>
        <v>#N/A</v>
      </c>
      <c r="T183" s="369" t="str">
        <f>VLOOKUP(Tabla4[[#This Row],[Producto]],Tabla6[#All],14,FALSE)</f>
        <v>Termico Solar</v>
      </c>
      <c r="U183" s="284" t="e">
        <f>(IF(Tabla4[[#This Row],[Familia]]="termico solar",Tabla4[[#This Row],[Utilidad Total]]*6%,Tabla4[[#This Row],[Utilidad Total]]*11.5%))/Tabla4[[#This Row],[Total]]</f>
        <v>#N/A</v>
      </c>
      <c r="V183" s="282" t="e">
        <f>+Tabla4[[#This Row],[Comisión Calculada]]*Tabla4[[#This Row],[Total]]</f>
        <v>#N/A</v>
      </c>
    </row>
    <row r="184" spans="1:22" hidden="1" x14ac:dyDescent="0.25">
      <c r="A184" s="100">
        <v>45672</v>
      </c>
      <c r="B184" t="str">
        <f t="shared" si="9"/>
        <v>January</v>
      </c>
      <c r="C184" s="46" t="s">
        <v>280</v>
      </c>
      <c r="F184" s="366" t="s">
        <v>759</v>
      </c>
      <c r="G184" s="46" t="s">
        <v>16</v>
      </c>
      <c r="H184" s="46">
        <v>2</v>
      </c>
      <c r="I184" s="51">
        <v>4103.8500000000004</v>
      </c>
      <c r="J184" s="281">
        <f>++Tabla4[[#This Row],[Precio Bruto]]*1.16</f>
        <v>4760.4660000000003</v>
      </c>
      <c r="K184" s="281">
        <f>+Tabla4[[#This Row],[Precio Unitario Neto]]*Tabla4[[#Headers],[20.85%]]</f>
        <v>992.55716100000006</v>
      </c>
      <c r="L184" s="282">
        <f>++Tabla4[[#This Row],[Precio Unitario Neto]]-Tabla4[[#This Row],[20.85%]]</f>
        <v>3767.9088390000002</v>
      </c>
      <c r="M184" s="282" t="e">
        <f>(INDEX(Tabla6[#All],MATCH(Tabla4[[#This Row],[Producto]],Tabla6[[#All],[PRODUCTO]],0),MATCH(Tabla4[[#This Row],[Mes]],Tabla6[#Headers],0)))*(1+Catalogos!$L$2)</f>
        <v>#N/A</v>
      </c>
      <c r="N184" s="283" t="e">
        <f>+(Tabla4[[#This Row],[Precio Descontado]]-Tabla4[[#This Row],[Precio Base]])*Tabla4[[#This Row],[Cantidad]]</f>
        <v>#N/A</v>
      </c>
      <c r="O184" s="284" t="e">
        <f>++Tabla4[[#This Row],[Utilidad Total]]/Tabla4[[#This Row],[Total]]</f>
        <v>#N/A</v>
      </c>
      <c r="P184" s="282">
        <f>++Tabla4[[#This Row],[Precio Descontado]]*Tabla4[[#This Row],[Cantidad]]</f>
        <v>7535.8176780000003</v>
      </c>
      <c r="Q184" s="282" t="e">
        <f>(INDEX(Tabla6[#All],MATCH(Tabla4[[#This Row],[Producto]],Tabla6[[#All],[PRODUCTO]],0),MATCH(Tabla4[[#This Row],[Mes]],Tabla6[#Headers],0)))</f>
        <v>#N/A</v>
      </c>
      <c r="R184" s="282" t="e">
        <f>++Tabla4[[#This Row],[Precio Unitario Neto]]-Tabla4[[#This Row],[20.85%]]-Tabla4[[#This Row],[Costo]]</f>
        <v>#N/A</v>
      </c>
      <c r="S184" s="282" t="e">
        <f>++Tabla4[[#This Row],[U. Bruta Uni]]*Tabla4[[#This Row],[Cantidad]]</f>
        <v>#N/A</v>
      </c>
      <c r="T184" s="369" t="str">
        <f>VLOOKUP(Tabla4[[#This Row],[Producto]],Tabla6[#All],14,FALSE)</f>
        <v>Termico Solar</v>
      </c>
      <c r="U184" s="284" t="e">
        <f>(IF(Tabla4[[#This Row],[Familia]]="termico solar",Tabla4[[#This Row],[Utilidad Total]]*6%,Tabla4[[#This Row],[Utilidad Total]]*11.5%))/Tabla4[[#This Row],[Total]]</f>
        <v>#N/A</v>
      </c>
      <c r="V184" s="282" t="e">
        <f>+Tabla4[[#This Row],[Comisión Calculada]]*Tabla4[[#This Row],[Total]]</f>
        <v>#N/A</v>
      </c>
    </row>
    <row r="185" spans="1:22" hidden="1" x14ac:dyDescent="0.25">
      <c r="A185" s="100">
        <v>45672</v>
      </c>
      <c r="B185" t="str">
        <f t="shared" si="9"/>
        <v>January</v>
      </c>
      <c r="C185" s="46" t="s">
        <v>280</v>
      </c>
      <c r="F185" s="366" t="s">
        <v>760</v>
      </c>
      <c r="G185" s="46" t="s">
        <v>18</v>
      </c>
      <c r="H185" s="46">
        <v>4</v>
      </c>
      <c r="I185" s="51">
        <v>5367.65</v>
      </c>
      <c r="J185" s="281">
        <f>++Tabla4[[#This Row],[Precio Bruto]]*1.16</f>
        <v>6226.4739999999993</v>
      </c>
      <c r="K185" s="281">
        <f>+Tabla4[[#This Row],[Precio Unitario Neto]]*Tabla4[[#Headers],[20.85%]]</f>
        <v>1298.2198289999999</v>
      </c>
      <c r="L185" s="282">
        <f>++Tabla4[[#This Row],[Precio Unitario Neto]]-Tabla4[[#This Row],[20.85%]]</f>
        <v>4928.2541709999996</v>
      </c>
      <c r="M185" s="282" t="e">
        <f>(INDEX(Tabla6[#All],MATCH(Tabla4[[#This Row],[Producto]],Tabla6[[#All],[PRODUCTO]],0),MATCH(Tabla4[[#This Row],[Mes]],Tabla6[#Headers],0)))*(1+Catalogos!$L$2)</f>
        <v>#N/A</v>
      </c>
      <c r="N185" s="283" t="e">
        <f>+(Tabla4[[#This Row],[Precio Descontado]]-Tabla4[[#This Row],[Precio Base]])*Tabla4[[#This Row],[Cantidad]]</f>
        <v>#N/A</v>
      </c>
      <c r="O185" s="284" t="e">
        <f>++Tabla4[[#This Row],[Utilidad Total]]/Tabla4[[#This Row],[Total]]</f>
        <v>#N/A</v>
      </c>
      <c r="P185" s="282">
        <f>++Tabla4[[#This Row],[Precio Descontado]]*Tabla4[[#This Row],[Cantidad]]</f>
        <v>19713.016683999998</v>
      </c>
      <c r="Q185" s="282" t="e">
        <f>(INDEX(Tabla6[#All],MATCH(Tabla4[[#This Row],[Producto]],Tabla6[[#All],[PRODUCTO]],0),MATCH(Tabla4[[#This Row],[Mes]],Tabla6[#Headers],0)))</f>
        <v>#N/A</v>
      </c>
      <c r="R185" s="282" t="e">
        <f>++Tabla4[[#This Row],[Precio Unitario Neto]]-Tabla4[[#This Row],[20.85%]]-Tabla4[[#This Row],[Costo]]</f>
        <v>#N/A</v>
      </c>
      <c r="S185" s="282" t="e">
        <f>++Tabla4[[#This Row],[U. Bruta Uni]]*Tabla4[[#This Row],[Cantidad]]</f>
        <v>#N/A</v>
      </c>
      <c r="T185" s="369" t="str">
        <f>VLOOKUP(Tabla4[[#This Row],[Producto]],Tabla6[#All],14,FALSE)</f>
        <v>Termico Solar</v>
      </c>
      <c r="U185" s="284" t="e">
        <f>(IF(Tabla4[[#This Row],[Familia]]="termico solar",Tabla4[[#This Row],[Utilidad Total]]*6%,Tabla4[[#This Row],[Utilidad Total]]*11.5%))/Tabla4[[#This Row],[Total]]</f>
        <v>#N/A</v>
      </c>
      <c r="V185" s="282" t="e">
        <f>+Tabla4[[#This Row],[Comisión Calculada]]*Tabla4[[#This Row],[Total]]</f>
        <v>#N/A</v>
      </c>
    </row>
    <row r="186" spans="1:22" hidden="1" x14ac:dyDescent="0.25">
      <c r="A186" s="100">
        <v>45672</v>
      </c>
      <c r="B186" t="str">
        <f t="shared" si="9"/>
        <v>January</v>
      </c>
      <c r="C186" s="46" t="s">
        <v>280</v>
      </c>
      <c r="F186" s="366" t="s">
        <v>761</v>
      </c>
      <c r="G186" s="46" t="s">
        <v>412</v>
      </c>
      <c r="H186" s="46">
        <v>1</v>
      </c>
      <c r="I186" s="51">
        <v>3240.84</v>
      </c>
      <c r="J186" s="281">
        <f>++Tabla4[[#This Row],[Precio Bruto]]*1.16</f>
        <v>3759.3743999999997</v>
      </c>
      <c r="K186" s="281">
        <f>+Tabla4[[#This Row],[Precio Unitario Neto]]*Tabla4[[#Headers],[20.85%]]</f>
        <v>783.82956239999987</v>
      </c>
      <c r="L186" s="282">
        <f>++Tabla4[[#This Row],[Precio Unitario Neto]]-Tabla4[[#This Row],[20.85%]]</f>
        <v>2975.5448375999999</v>
      </c>
      <c r="M186" s="282" t="e">
        <f>(INDEX(Tabla6[#All],MATCH(Tabla4[[#This Row],[Producto]],Tabla6[[#All],[PRODUCTO]],0),MATCH(Tabla4[[#This Row],[Mes]],Tabla6[#Headers],0)))*(1+Catalogos!$L$2)</f>
        <v>#N/A</v>
      </c>
      <c r="N186" s="283" t="e">
        <f>+(Tabla4[[#This Row],[Precio Descontado]]-Tabla4[[#This Row],[Precio Base]])*Tabla4[[#This Row],[Cantidad]]</f>
        <v>#N/A</v>
      </c>
      <c r="O186" s="284" t="e">
        <f>++Tabla4[[#This Row],[Utilidad Total]]/Tabla4[[#This Row],[Total]]</f>
        <v>#N/A</v>
      </c>
      <c r="P186" s="282">
        <f>++Tabla4[[#This Row],[Precio Descontado]]*Tabla4[[#This Row],[Cantidad]]</f>
        <v>2975.5448375999999</v>
      </c>
      <c r="Q186" s="282" t="e">
        <f>(INDEX(Tabla6[#All],MATCH(Tabla4[[#This Row],[Producto]],Tabla6[[#All],[PRODUCTO]],0),MATCH(Tabla4[[#This Row],[Mes]],Tabla6[#Headers],0)))</f>
        <v>#N/A</v>
      </c>
      <c r="R186" s="282" t="e">
        <f>++Tabla4[[#This Row],[Precio Unitario Neto]]-Tabla4[[#This Row],[20.85%]]-Tabla4[[#This Row],[Costo]]</f>
        <v>#N/A</v>
      </c>
      <c r="S186" s="282" t="e">
        <f>++Tabla4[[#This Row],[U. Bruta Uni]]*Tabla4[[#This Row],[Cantidad]]</f>
        <v>#N/A</v>
      </c>
      <c r="T186" s="369" t="str">
        <f>VLOOKUP(Tabla4[[#This Row],[Producto]],Tabla6[#All],14,FALSE)</f>
        <v>Termico Solar</v>
      </c>
      <c r="U186" s="284" t="e">
        <f>(IF(Tabla4[[#This Row],[Familia]]="termico solar",Tabla4[[#This Row],[Utilidad Total]]*6%,Tabla4[[#This Row],[Utilidad Total]]*11.5%))/Tabla4[[#This Row],[Total]]</f>
        <v>#N/A</v>
      </c>
      <c r="V186" s="282" t="e">
        <f>+Tabla4[[#This Row],[Comisión Calculada]]*Tabla4[[#This Row],[Total]]</f>
        <v>#N/A</v>
      </c>
    </row>
    <row r="187" spans="1:22" hidden="1" x14ac:dyDescent="0.25">
      <c r="A187" s="100">
        <v>45672</v>
      </c>
      <c r="B187" t="str">
        <f t="shared" si="9"/>
        <v>January</v>
      </c>
      <c r="C187" s="46" t="s">
        <v>280</v>
      </c>
      <c r="F187" s="366" t="s">
        <v>762</v>
      </c>
      <c r="G187" s="46" t="s">
        <v>22</v>
      </c>
      <c r="H187" s="46">
        <v>1</v>
      </c>
      <c r="I187" s="51">
        <v>13355.75</v>
      </c>
      <c r="J187" s="281">
        <f>++Tabla4[[#This Row],[Precio Bruto]]*1.16</f>
        <v>15492.669999999998</v>
      </c>
      <c r="K187" s="281">
        <f>+Tabla4[[#This Row],[Precio Unitario Neto]]*Tabla4[[#Headers],[20.85%]]</f>
        <v>3230.2216949999993</v>
      </c>
      <c r="L187" s="282">
        <f>++Tabla4[[#This Row],[Precio Unitario Neto]]-Tabla4[[#This Row],[20.85%]]</f>
        <v>12262.448304999998</v>
      </c>
      <c r="M187" s="282" t="e">
        <f>(INDEX(Tabla6[#All],MATCH(Tabla4[[#This Row],[Producto]],Tabla6[[#All],[PRODUCTO]],0),MATCH(Tabla4[[#This Row],[Mes]],Tabla6[#Headers],0)))*(1+Catalogos!$L$2)</f>
        <v>#N/A</v>
      </c>
      <c r="N187" s="283" t="e">
        <f>+(Tabla4[[#This Row],[Precio Descontado]]-Tabla4[[#This Row],[Precio Base]])*Tabla4[[#This Row],[Cantidad]]</f>
        <v>#N/A</v>
      </c>
      <c r="O187" s="284" t="e">
        <f>++Tabla4[[#This Row],[Utilidad Total]]/Tabla4[[#This Row],[Total]]</f>
        <v>#N/A</v>
      </c>
      <c r="P187" s="282">
        <f>++Tabla4[[#This Row],[Precio Descontado]]*Tabla4[[#This Row],[Cantidad]]</f>
        <v>12262.448304999998</v>
      </c>
      <c r="Q187" s="282" t="e">
        <f>(INDEX(Tabla6[#All],MATCH(Tabla4[[#This Row],[Producto]],Tabla6[[#All],[PRODUCTO]],0),MATCH(Tabla4[[#This Row],[Mes]],Tabla6[#Headers],0)))</f>
        <v>#N/A</v>
      </c>
      <c r="R187" s="282" t="e">
        <f>++Tabla4[[#This Row],[Precio Unitario Neto]]-Tabla4[[#This Row],[20.85%]]-Tabla4[[#This Row],[Costo]]</f>
        <v>#N/A</v>
      </c>
      <c r="S187" s="282" t="e">
        <f>++Tabla4[[#This Row],[U. Bruta Uni]]*Tabla4[[#This Row],[Cantidad]]</f>
        <v>#N/A</v>
      </c>
      <c r="T187" s="369" t="str">
        <f>VLOOKUP(Tabla4[[#This Row],[Producto]],Tabla6[#All],14,FALSE)</f>
        <v>Termico Solar</v>
      </c>
      <c r="U187" s="284" t="e">
        <f>(IF(Tabla4[[#This Row],[Familia]]="termico solar",Tabla4[[#This Row],[Utilidad Total]]*6%,Tabla4[[#This Row],[Utilidad Total]]*11.5%))/Tabla4[[#This Row],[Total]]</f>
        <v>#N/A</v>
      </c>
      <c r="V187" s="282" t="e">
        <f>+Tabla4[[#This Row],[Comisión Calculada]]*Tabla4[[#This Row],[Total]]</f>
        <v>#N/A</v>
      </c>
    </row>
    <row r="188" spans="1:22" hidden="1" x14ac:dyDescent="0.25">
      <c r="A188" s="100">
        <v>45672</v>
      </c>
      <c r="B188" t="str">
        <f t="shared" ref="B188:B251" si="10">TEXT(A188, "mmmm")</f>
        <v>January</v>
      </c>
      <c r="C188" s="46" t="s">
        <v>280</v>
      </c>
      <c r="F188" s="366" t="s">
        <v>763</v>
      </c>
      <c r="G188" s="46" t="s">
        <v>17</v>
      </c>
      <c r="H188" s="46">
        <v>2</v>
      </c>
      <c r="I188" s="51">
        <v>4622.28</v>
      </c>
      <c r="J188" s="281">
        <f>++Tabla4[[#This Row],[Precio Bruto]]*1.16</f>
        <v>5361.8447999999989</v>
      </c>
      <c r="K188" s="281">
        <f>+Tabla4[[#This Row],[Precio Unitario Neto]]*Tabla4[[#Headers],[20.85%]]</f>
        <v>1117.9446407999997</v>
      </c>
      <c r="L188" s="282">
        <f>++Tabla4[[#This Row],[Precio Unitario Neto]]-Tabla4[[#This Row],[20.85%]]</f>
        <v>4243.9001591999995</v>
      </c>
      <c r="M188" s="282" t="e">
        <f>(INDEX(Tabla6[#All],MATCH(Tabla4[[#This Row],[Producto]],Tabla6[[#All],[PRODUCTO]],0),MATCH(Tabla4[[#This Row],[Mes]],Tabla6[#Headers],0)))*(1+Catalogos!$L$2)</f>
        <v>#N/A</v>
      </c>
      <c r="N188" s="283" t="e">
        <f>+(Tabla4[[#This Row],[Precio Descontado]]-Tabla4[[#This Row],[Precio Base]])*Tabla4[[#This Row],[Cantidad]]</f>
        <v>#N/A</v>
      </c>
      <c r="O188" s="284" t="e">
        <f>++Tabla4[[#This Row],[Utilidad Total]]/Tabla4[[#This Row],[Total]]</f>
        <v>#N/A</v>
      </c>
      <c r="P188" s="282">
        <f>++Tabla4[[#This Row],[Precio Descontado]]*Tabla4[[#This Row],[Cantidad]]</f>
        <v>8487.800318399999</v>
      </c>
      <c r="Q188" s="282" t="e">
        <f>(INDEX(Tabla6[#All],MATCH(Tabla4[[#This Row],[Producto]],Tabla6[[#All],[PRODUCTO]],0),MATCH(Tabla4[[#This Row],[Mes]],Tabla6[#Headers],0)))</f>
        <v>#N/A</v>
      </c>
      <c r="R188" s="282" t="e">
        <f>++Tabla4[[#This Row],[Precio Unitario Neto]]-Tabla4[[#This Row],[20.85%]]-Tabla4[[#This Row],[Costo]]</f>
        <v>#N/A</v>
      </c>
      <c r="S188" s="282" t="e">
        <f>++Tabla4[[#This Row],[U. Bruta Uni]]*Tabla4[[#This Row],[Cantidad]]</f>
        <v>#N/A</v>
      </c>
      <c r="T188" s="369" t="str">
        <f>VLOOKUP(Tabla4[[#This Row],[Producto]],Tabla6[#All],14,FALSE)</f>
        <v>Termico Solar</v>
      </c>
      <c r="U188" s="284" t="e">
        <f>(IF(Tabla4[[#This Row],[Familia]]="termico solar",Tabla4[[#This Row],[Utilidad Total]]*6%,Tabla4[[#This Row],[Utilidad Total]]*11.5%))/Tabla4[[#This Row],[Total]]</f>
        <v>#N/A</v>
      </c>
      <c r="V188" s="282" t="e">
        <f>+Tabla4[[#This Row],[Comisión Calculada]]*Tabla4[[#This Row],[Total]]</f>
        <v>#N/A</v>
      </c>
    </row>
    <row r="189" spans="1:22" hidden="1" x14ac:dyDescent="0.25">
      <c r="A189" s="100">
        <v>45672</v>
      </c>
      <c r="B189" t="str">
        <f t="shared" si="10"/>
        <v>January</v>
      </c>
      <c r="C189" s="46" t="s">
        <v>280</v>
      </c>
      <c r="F189" s="366" t="s">
        <v>764</v>
      </c>
      <c r="G189" s="46" t="s">
        <v>17</v>
      </c>
      <c r="H189" s="46">
        <v>7</v>
      </c>
      <c r="I189" s="51">
        <v>4622.28</v>
      </c>
      <c r="J189" s="281">
        <f>++Tabla4[[#This Row],[Precio Bruto]]*1.16</f>
        <v>5361.8447999999989</v>
      </c>
      <c r="K189" s="281">
        <f>+Tabla4[[#This Row],[Precio Unitario Neto]]*Tabla4[[#Headers],[20.85%]]</f>
        <v>1117.9446407999997</v>
      </c>
      <c r="L189" s="282">
        <f>++Tabla4[[#This Row],[Precio Unitario Neto]]-Tabla4[[#This Row],[20.85%]]</f>
        <v>4243.9001591999995</v>
      </c>
      <c r="M189" s="282" t="e">
        <f>(INDEX(Tabla6[#All],MATCH(Tabla4[[#This Row],[Producto]],Tabla6[[#All],[PRODUCTO]],0),MATCH(Tabla4[[#This Row],[Mes]],Tabla6[#Headers],0)))*(1+Catalogos!$L$2)</f>
        <v>#N/A</v>
      </c>
      <c r="N189" s="283" t="e">
        <f>+(Tabla4[[#This Row],[Precio Descontado]]-Tabla4[[#This Row],[Precio Base]])*Tabla4[[#This Row],[Cantidad]]</f>
        <v>#N/A</v>
      </c>
      <c r="O189" s="284" t="e">
        <f>++Tabla4[[#This Row],[Utilidad Total]]/Tabla4[[#This Row],[Total]]</f>
        <v>#N/A</v>
      </c>
      <c r="P189" s="282">
        <f>++Tabla4[[#This Row],[Precio Descontado]]*Tabla4[[#This Row],[Cantidad]]</f>
        <v>29707.301114399997</v>
      </c>
      <c r="Q189" s="282" t="e">
        <f>(INDEX(Tabla6[#All],MATCH(Tabla4[[#This Row],[Producto]],Tabla6[[#All],[PRODUCTO]],0),MATCH(Tabla4[[#This Row],[Mes]],Tabla6[#Headers],0)))</f>
        <v>#N/A</v>
      </c>
      <c r="R189" s="282" t="e">
        <f>++Tabla4[[#This Row],[Precio Unitario Neto]]-Tabla4[[#This Row],[20.85%]]-Tabla4[[#This Row],[Costo]]</f>
        <v>#N/A</v>
      </c>
      <c r="S189" s="282" t="e">
        <f>++Tabla4[[#This Row],[U. Bruta Uni]]*Tabla4[[#This Row],[Cantidad]]</f>
        <v>#N/A</v>
      </c>
      <c r="T189" s="369" t="str">
        <f>VLOOKUP(Tabla4[[#This Row],[Producto]],Tabla6[#All],14,FALSE)</f>
        <v>Termico Solar</v>
      </c>
      <c r="U189" s="284" t="e">
        <f>(IF(Tabla4[[#This Row],[Familia]]="termico solar",Tabla4[[#This Row],[Utilidad Total]]*6%,Tabla4[[#This Row],[Utilidad Total]]*11.5%))/Tabla4[[#This Row],[Total]]</f>
        <v>#N/A</v>
      </c>
      <c r="V189" s="282" t="e">
        <f>+Tabla4[[#This Row],[Comisión Calculada]]*Tabla4[[#This Row],[Total]]</f>
        <v>#N/A</v>
      </c>
    </row>
    <row r="190" spans="1:22" hidden="1" x14ac:dyDescent="0.25">
      <c r="A190" s="100">
        <v>45672</v>
      </c>
      <c r="B190" t="str">
        <f t="shared" si="10"/>
        <v>January</v>
      </c>
      <c r="C190" s="46" t="s">
        <v>280</v>
      </c>
      <c r="F190" s="366" t="s">
        <v>764</v>
      </c>
      <c r="G190" s="46" t="s">
        <v>18</v>
      </c>
      <c r="H190" s="46">
        <v>4</v>
      </c>
      <c r="I190" s="51">
        <v>5367.65</v>
      </c>
      <c r="J190" s="281">
        <f>++Tabla4[[#This Row],[Precio Bruto]]*1.16</f>
        <v>6226.4739999999993</v>
      </c>
      <c r="K190" s="281">
        <f>+Tabla4[[#This Row],[Precio Unitario Neto]]*Tabla4[[#Headers],[20.85%]]</f>
        <v>1298.2198289999999</v>
      </c>
      <c r="L190" s="282">
        <f>++Tabla4[[#This Row],[Precio Unitario Neto]]-Tabla4[[#This Row],[20.85%]]</f>
        <v>4928.2541709999996</v>
      </c>
      <c r="M190" s="282" t="e">
        <f>(INDEX(Tabla6[#All],MATCH(Tabla4[[#This Row],[Producto]],Tabla6[[#All],[PRODUCTO]],0),MATCH(Tabla4[[#This Row],[Mes]],Tabla6[#Headers],0)))*(1+Catalogos!$L$2)</f>
        <v>#N/A</v>
      </c>
      <c r="N190" s="283" t="e">
        <f>+(Tabla4[[#This Row],[Precio Descontado]]-Tabla4[[#This Row],[Precio Base]])*Tabla4[[#This Row],[Cantidad]]</f>
        <v>#N/A</v>
      </c>
      <c r="O190" s="284" t="e">
        <f>++Tabla4[[#This Row],[Utilidad Total]]/Tabla4[[#This Row],[Total]]</f>
        <v>#N/A</v>
      </c>
      <c r="P190" s="282">
        <f>++Tabla4[[#This Row],[Precio Descontado]]*Tabla4[[#This Row],[Cantidad]]</f>
        <v>19713.016683999998</v>
      </c>
      <c r="Q190" s="282" t="e">
        <f>(INDEX(Tabla6[#All],MATCH(Tabla4[[#This Row],[Producto]],Tabla6[[#All],[PRODUCTO]],0),MATCH(Tabla4[[#This Row],[Mes]],Tabla6[#Headers],0)))</f>
        <v>#N/A</v>
      </c>
      <c r="R190" s="282" t="e">
        <f>++Tabla4[[#This Row],[Precio Unitario Neto]]-Tabla4[[#This Row],[20.85%]]-Tabla4[[#This Row],[Costo]]</f>
        <v>#N/A</v>
      </c>
      <c r="S190" s="282" t="e">
        <f>++Tabla4[[#This Row],[U. Bruta Uni]]*Tabla4[[#This Row],[Cantidad]]</f>
        <v>#N/A</v>
      </c>
      <c r="T190" s="369" t="str">
        <f>VLOOKUP(Tabla4[[#This Row],[Producto]],Tabla6[#All],14,FALSE)</f>
        <v>Termico Solar</v>
      </c>
      <c r="U190" s="284" t="e">
        <f>(IF(Tabla4[[#This Row],[Familia]]="termico solar",Tabla4[[#This Row],[Utilidad Total]]*6%,Tabla4[[#This Row],[Utilidad Total]]*11.5%))/Tabla4[[#This Row],[Total]]</f>
        <v>#N/A</v>
      </c>
      <c r="V190" s="282" t="e">
        <f>+Tabla4[[#This Row],[Comisión Calculada]]*Tabla4[[#This Row],[Total]]</f>
        <v>#N/A</v>
      </c>
    </row>
    <row r="191" spans="1:22" hidden="1" x14ac:dyDescent="0.25">
      <c r="A191" s="100">
        <v>45672</v>
      </c>
      <c r="B191" t="str">
        <f t="shared" si="10"/>
        <v>January</v>
      </c>
      <c r="C191" s="46" t="s">
        <v>280</v>
      </c>
      <c r="F191" s="366" t="s">
        <v>764</v>
      </c>
      <c r="G191" s="46" t="s">
        <v>566</v>
      </c>
      <c r="H191" s="46">
        <v>1</v>
      </c>
      <c r="I191" s="51">
        <v>2109.4499999999998</v>
      </c>
      <c r="J191" s="281">
        <f>++Tabla4[[#This Row],[Precio Bruto]]*1.16</f>
        <v>2446.9619999999995</v>
      </c>
      <c r="K191" s="281">
        <f>+Tabla4[[#This Row],[Precio Unitario Neto]]*Tabla4[[#Headers],[20.85%]]</f>
        <v>510.19157699999988</v>
      </c>
      <c r="L191" s="282">
        <f>++Tabla4[[#This Row],[Precio Unitario Neto]]-Tabla4[[#This Row],[20.85%]]</f>
        <v>1936.7704229999997</v>
      </c>
      <c r="M191" s="282" t="e">
        <f>(INDEX(Tabla6[#All],MATCH(Tabla4[[#This Row],[Producto]],Tabla6[[#All],[PRODUCTO]],0),MATCH(Tabla4[[#This Row],[Mes]],Tabla6[#Headers],0)))*(1+Catalogos!$L$2)</f>
        <v>#N/A</v>
      </c>
      <c r="N191" s="283" t="e">
        <f>+(Tabla4[[#This Row],[Precio Descontado]]-Tabla4[[#This Row],[Precio Base]])*Tabla4[[#This Row],[Cantidad]]</f>
        <v>#N/A</v>
      </c>
      <c r="O191" s="284" t="e">
        <f>++Tabla4[[#This Row],[Utilidad Total]]/Tabla4[[#This Row],[Total]]</f>
        <v>#N/A</v>
      </c>
      <c r="P191" s="282">
        <f>++Tabla4[[#This Row],[Precio Descontado]]*Tabla4[[#This Row],[Cantidad]]</f>
        <v>1936.7704229999997</v>
      </c>
      <c r="Q191" s="282" t="e">
        <f>(INDEX(Tabla6[#All],MATCH(Tabla4[[#This Row],[Producto]],Tabla6[[#All],[PRODUCTO]],0),MATCH(Tabla4[[#This Row],[Mes]],Tabla6[#Headers],0)))</f>
        <v>#N/A</v>
      </c>
      <c r="R191" s="282" t="e">
        <f>++Tabla4[[#This Row],[Precio Unitario Neto]]-Tabla4[[#This Row],[20.85%]]-Tabla4[[#This Row],[Costo]]</f>
        <v>#N/A</v>
      </c>
      <c r="S191" s="282" t="e">
        <f>++Tabla4[[#This Row],[U. Bruta Uni]]*Tabla4[[#This Row],[Cantidad]]</f>
        <v>#N/A</v>
      </c>
      <c r="T191" s="369" t="str">
        <f>VLOOKUP(Tabla4[[#This Row],[Producto]],Tabla6[#All],14,FALSE)</f>
        <v>Termico Solar</v>
      </c>
      <c r="U191" s="284" t="e">
        <f>(IF(Tabla4[[#This Row],[Familia]]="termico solar",Tabla4[[#This Row],[Utilidad Total]]*6%,Tabla4[[#This Row],[Utilidad Total]]*11.5%))/Tabla4[[#This Row],[Total]]</f>
        <v>#N/A</v>
      </c>
      <c r="V191" s="282" t="e">
        <f>+Tabla4[[#This Row],[Comisión Calculada]]*Tabla4[[#This Row],[Total]]</f>
        <v>#N/A</v>
      </c>
    </row>
    <row r="192" spans="1:22" hidden="1" x14ac:dyDescent="0.25">
      <c r="A192" s="100">
        <v>45672</v>
      </c>
      <c r="B192" t="str">
        <f t="shared" si="10"/>
        <v>January</v>
      </c>
      <c r="C192" s="46" t="s">
        <v>280</v>
      </c>
      <c r="F192" s="366" t="s">
        <v>765</v>
      </c>
      <c r="G192" s="46" t="s">
        <v>83</v>
      </c>
      <c r="H192" s="46">
        <v>3</v>
      </c>
      <c r="I192" s="51">
        <v>8858.76</v>
      </c>
      <c r="J192" s="281">
        <f>++Tabla4[[#This Row],[Precio Bruto]]*1.16</f>
        <v>10276.161599999999</v>
      </c>
      <c r="K192" s="281">
        <f>+Tabla4[[#This Row],[Precio Unitario Neto]]*Tabla4[[#Headers],[20.85%]]</f>
        <v>2142.5796935999997</v>
      </c>
      <c r="L192" s="282">
        <f>++Tabla4[[#This Row],[Precio Unitario Neto]]-Tabla4[[#This Row],[20.85%]]</f>
        <v>8133.5819063999998</v>
      </c>
      <c r="M192" s="282" t="e">
        <f>(INDEX(Tabla6[#All],MATCH(Tabla4[[#This Row],[Producto]],Tabla6[[#All],[PRODUCTO]],0),MATCH(Tabla4[[#This Row],[Mes]],Tabla6[#Headers],0)))*(1+Catalogos!$L$2)</f>
        <v>#N/A</v>
      </c>
      <c r="N192" s="283" t="e">
        <f>+(Tabla4[[#This Row],[Precio Descontado]]-Tabla4[[#This Row],[Precio Base]])*Tabla4[[#This Row],[Cantidad]]</f>
        <v>#N/A</v>
      </c>
      <c r="O192" s="284" t="e">
        <f>++Tabla4[[#This Row],[Utilidad Total]]/Tabla4[[#This Row],[Total]]</f>
        <v>#N/A</v>
      </c>
      <c r="P192" s="282">
        <f>++Tabla4[[#This Row],[Precio Descontado]]*Tabla4[[#This Row],[Cantidad]]</f>
        <v>24400.7457192</v>
      </c>
      <c r="Q192" s="282" t="e">
        <f>(INDEX(Tabla6[#All],MATCH(Tabla4[[#This Row],[Producto]],Tabla6[[#All],[PRODUCTO]],0),MATCH(Tabla4[[#This Row],[Mes]],Tabla6[#Headers],0)))</f>
        <v>#N/A</v>
      </c>
      <c r="R192" s="282" t="e">
        <f>++Tabla4[[#This Row],[Precio Unitario Neto]]-Tabla4[[#This Row],[20.85%]]-Tabla4[[#This Row],[Costo]]</f>
        <v>#N/A</v>
      </c>
      <c r="S192" s="282" t="e">
        <f>++Tabla4[[#This Row],[U. Bruta Uni]]*Tabla4[[#This Row],[Cantidad]]</f>
        <v>#N/A</v>
      </c>
      <c r="T192" s="369" t="str">
        <f>VLOOKUP(Tabla4[[#This Row],[Producto]],Tabla6[#All],14,FALSE)</f>
        <v>Termico Solar</v>
      </c>
      <c r="U192" s="284" t="e">
        <f>(IF(Tabla4[[#This Row],[Familia]]="termico solar",Tabla4[[#This Row],[Utilidad Total]]*6%,Tabla4[[#This Row],[Utilidad Total]]*11.5%))/Tabla4[[#This Row],[Total]]</f>
        <v>#N/A</v>
      </c>
      <c r="V192" s="282" t="e">
        <f>+Tabla4[[#This Row],[Comisión Calculada]]*Tabla4[[#This Row],[Total]]</f>
        <v>#N/A</v>
      </c>
    </row>
    <row r="193" spans="1:22" hidden="1" x14ac:dyDescent="0.25">
      <c r="A193" s="100">
        <v>45672</v>
      </c>
      <c r="B193" t="str">
        <f t="shared" si="10"/>
        <v>January</v>
      </c>
      <c r="C193" s="46" t="s">
        <v>280</v>
      </c>
      <c r="F193" s="366" t="s">
        <v>765</v>
      </c>
      <c r="G193" s="46" t="s">
        <v>17</v>
      </c>
      <c r="H193" s="46">
        <v>2</v>
      </c>
      <c r="I193" s="51">
        <v>4622.28</v>
      </c>
      <c r="J193" s="281">
        <f>++Tabla4[[#This Row],[Precio Bruto]]*1.16</f>
        <v>5361.8447999999989</v>
      </c>
      <c r="K193" s="281">
        <f>+Tabla4[[#This Row],[Precio Unitario Neto]]*Tabla4[[#Headers],[20.85%]]</f>
        <v>1117.9446407999997</v>
      </c>
      <c r="L193" s="282">
        <f>++Tabla4[[#This Row],[Precio Unitario Neto]]-Tabla4[[#This Row],[20.85%]]</f>
        <v>4243.9001591999995</v>
      </c>
      <c r="M193" s="282" t="e">
        <f>(INDEX(Tabla6[#All],MATCH(Tabla4[[#This Row],[Producto]],Tabla6[[#All],[PRODUCTO]],0),MATCH(Tabla4[[#This Row],[Mes]],Tabla6[#Headers],0)))*(1+Catalogos!$L$2)</f>
        <v>#N/A</v>
      </c>
      <c r="N193" s="283" t="e">
        <f>+(Tabla4[[#This Row],[Precio Descontado]]-Tabla4[[#This Row],[Precio Base]])*Tabla4[[#This Row],[Cantidad]]</f>
        <v>#N/A</v>
      </c>
      <c r="O193" s="284" t="e">
        <f>++Tabla4[[#This Row],[Utilidad Total]]/Tabla4[[#This Row],[Total]]</f>
        <v>#N/A</v>
      </c>
      <c r="P193" s="282">
        <f>++Tabla4[[#This Row],[Precio Descontado]]*Tabla4[[#This Row],[Cantidad]]</f>
        <v>8487.800318399999</v>
      </c>
      <c r="Q193" s="282" t="e">
        <f>(INDEX(Tabla6[#All],MATCH(Tabla4[[#This Row],[Producto]],Tabla6[[#All],[PRODUCTO]],0),MATCH(Tabla4[[#This Row],[Mes]],Tabla6[#Headers],0)))</f>
        <v>#N/A</v>
      </c>
      <c r="R193" s="282" t="e">
        <f>++Tabla4[[#This Row],[Precio Unitario Neto]]-Tabla4[[#This Row],[20.85%]]-Tabla4[[#This Row],[Costo]]</f>
        <v>#N/A</v>
      </c>
      <c r="S193" s="282" t="e">
        <f>++Tabla4[[#This Row],[U. Bruta Uni]]*Tabla4[[#This Row],[Cantidad]]</f>
        <v>#N/A</v>
      </c>
      <c r="T193" s="369" t="str">
        <f>VLOOKUP(Tabla4[[#This Row],[Producto]],Tabla6[#All],14,FALSE)</f>
        <v>Termico Solar</v>
      </c>
      <c r="U193" s="284" t="e">
        <f>(IF(Tabla4[[#This Row],[Familia]]="termico solar",Tabla4[[#This Row],[Utilidad Total]]*6%,Tabla4[[#This Row],[Utilidad Total]]*11.5%))/Tabla4[[#This Row],[Total]]</f>
        <v>#N/A</v>
      </c>
      <c r="V193" s="282" t="e">
        <f>+Tabla4[[#This Row],[Comisión Calculada]]*Tabla4[[#This Row],[Total]]</f>
        <v>#N/A</v>
      </c>
    </row>
    <row r="194" spans="1:22" hidden="1" x14ac:dyDescent="0.25">
      <c r="A194" s="100">
        <v>45672</v>
      </c>
      <c r="B194" t="str">
        <f t="shared" si="10"/>
        <v>January</v>
      </c>
      <c r="C194" s="46" t="s">
        <v>280</v>
      </c>
      <c r="F194" s="366" t="s">
        <v>765</v>
      </c>
      <c r="G194" s="46" t="s">
        <v>16</v>
      </c>
      <c r="H194" s="46">
        <v>2</v>
      </c>
      <c r="I194" s="51">
        <v>4103.8500000000004</v>
      </c>
      <c r="J194" s="281">
        <f>++Tabla4[[#This Row],[Precio Bruto]]*1.16</f>
        <v>4760.4660000000003</v>
      </c>
      <c r="K194" s="281">
        <f>+Tabla4[[#This Row],[Precio Unitario Neto]]*Tabla4[[#Headers],[20.85%]]</f>
        <v>992.55716100000006</v>
      </c>
      <c r="L194" s="282">
        <f>++Tabla4[[#This Row],[Precio Unitario Neto]]-Tabla4[[#This Row],[20.85%]]</f>
        <v>3767.9088390000002</v>
      </c>
      <c r="M194" s="282" t="e">
        <f>(INDEX(Tabla6[#All],MATCH(Tabla4[[#This Row],[Producto]],Tabla6[[#All],[PRODUCTO]],0),MATCH(Tabla4[[#This Row],[Mes]],Tabla6[#Headers],0)))*(1+Catalogos!$L$2)</f>
        <v>#N/A</v>
      </c>
      <c r="N194" s="283" t="e">
        <f>+(Tabla4[[#This Row],[Precio Descontado]]-Tabla4[[#This Row],[Precio Base]])*Tabla4[[#This Row],[Cantidad]]</f>
        <v>#N/A</v>
      </c>
      <c r="O194" s="284" t="e">
        <f>++Tabla4[[#This Row],[Utilidad Total]]/Tabla4[[#This Row],[Total]]</f>
        <v>#N/A</v>
      </c>
      <c r="P194" s="282">
        <f>++Tabla4[[#This Row],[Precio Descontado]]*Tabla4[[#This Row],[Cantidad]]</f>
        <v>7535.8176780000003</v>
      </c>
      <c r="Q194" s="282" t="e">
        <f>(INDEX(Tabla6[#All],MATCH(Tabla4[[#This Row],[Producto]],Tabla6[[#All],[PRODUCTO]],0),MATCH(Tabla4[[#This Row],[Mes]],Tabla6[#Headers],0)))</f>
        <v>#N/A</v>
      </c>
      <c r="R194" s="282" t="e">
        <f>++Tabla4[[#This Row],[Precio Unitario Neto]]-Tabla4[[#This Row],[20.85%]]-Tabla4[[#This Row],[Costo]]</f>
        <v>#N/A</v>
      </c>
      <c r="S194" s="282" t="e">
        <f>++Tabla4[[#This Row],[U. Bruta Uni]]*Tabla4[[#This Row],[Cantidad]]</f>
        <v>#N/A</v>
      </c>
      <c r="T194" s="369" t="str">
        <f>VLOOKUP(Tabla4[[#This Row],[Producto]],Tabla6[#All],14,FALSE)</f>
        <v>Termico Solar</v>
      </c>
      <c r="U194" s="284" t="e">
        <f>(IF(Tabla4[[#This Row],[Familia]]="termico solar",Tabla4[[#This Row],[Utilidad Total]]*6%,Tabla4[[#This Row],[Utilidad Total]]*11.5%))/Tabla4[[#This Row],[Total]]</f>
        <v>#N/A</v>
      </c>
      <c r="V194" s="282" t="e">
        <f>+Tabla4[[#This Row],[Comisión Calculada]]*Tabla4[[#This Row],[Total]]</f>
        <v>#N/A</v>
      </c>
    </row>
    <row r="195" spans="1:22" hidden="1" x14ac:dyDescent="0.25">
      <c r="A195" s="100">
        <v>45672</v>
      </c>
      <c r="B195" t="str">
        <f t="shared" si="10"/>
        <v>January</v>
      </c>
      <c r="C195" s="46" t="s">
        <v>280</v>
      </c>
      <c r="F195" s="366" t="s">
        <v>766</v>
      </c>
      <c r="G195" s="46" t="s">
        <v>83</v>
      </c>
      <c r="H195" s="46">
        <v>4</v>
      </c>
      <c r="I195" s="51">
        <v>8858.76</v>
      </c>
      <c r="J195" s="281">
        <f>++Tabla4[[#This Row],[Precio Bruto]]*1.16</f>
        <v>10276.161599999999</v>
      </c>
      <c r="K195" s="281">
        <f>+Tabla4[[#This Row],[Precio Unitario Neto]]*Tabla4[[#Headers],[20.85%]]</f>
        <v>2142.5796935999997</v>
      </c>
      <c r="L195" s="282">
        <f>++Tabla4[[#This Row],[Precio Unitario Neto]]-Tabla4[[#This Row],[20.85%]]</f>
        <v>8133.5819063999998</v>
      </c>
      <c r="M195" s="282" t="e">
        <f>(INDEX(Tabla6[#All],MATCH(Tabla4[[#This Row],[Producto]],Tabla6[[#All],[PRODUCTO]],0),MATCH(Tabla4[[#This Row],[Mes]],Tabla6[#Headers],0)))*(1+Catalogos!$L$2)</f>
        <v>#N/A</v>
      </c>
      <c r="N195" s="283" t="e">
        <f>+(Tabla4[[#This Row],[Precio Descontado]]-Tabla4[[#This Row],[Precio Base]])*Tabla4[[#This Row],[Cantidad]]</f>
        <v>#N/A</v>
      </c>
      <c r="O195" s="284" t="e">
        <f>++Tabla4[[#This Row],[Utilidad Total]]/Tabla4[[#This Row],[Total]]</f>
        <v>#N/A</v>
      </c>
      <c r="P195" s="282">
        <f>++Tabla4[[#This Row],[Precio Descontado]]*Tabla4[[#This Row],[Cantidad]]</f>
        <v>32534.327625599999</v>
      </c>
      <c r="Q195" s="282" t="e">
        <f>(INDEX(Tabla6[#All],MATCH(Tabla4[[#This Row],[Producto]],Tabla6[[#All],[PRODUCTO]],0),MATCH(Tabla4[[#This Row],[Mes]],Tabla6[#Headers],0)))</f>
        <v>#N/A</v>
      </c>
      <c r="R195" s="282" t="e">
        <f>++Tabla4[[#This Row],[Precio Unitario Neto]]-Tabla4[[#This Row],[20.85%]]-Tabla4[[#This Row],[Costo]]</f>
        <v>#N/A</v>
      </c>
      <c r="S195" s="282" t="e">
        <f>++Tabla4[[#This Row],[U. Bruta Uni]]*Tabla4[[#This Row],[Cantidad]]</f>
        <v>#N/A</v>
      </c>
      <c r="T195" s="369" t="str">
        <f>VLOOKUP(Tabla4[[#This Row],[Producto]],Tabla6[#All],14,FALSE)</f>
        <v>Termico Solar</v>
      </c>
      <c r="U195" s="284" t="e">
        <f>(IF(Tabla4[[#This Row],[Familia]]="termico solar",Tabla4[[#This Row],[Utilidad Total]]*6%,Tabla4[[#This Row],[Utilidad Total]]*11.5%))/Tabla4[[#This Row],[Total]]</f>
        <v>#N/A</v>
      </c>
      <c r="V195" s="282" t="e">
        <f>+Tabla4[[#This Row],[Comisión Calculada]]*Tabla4[[#This Row],[Total]]</f>
        <v>#N/A</v>
      </c>
    </row>
    <row r="196" spans="1:22" hidden="1" x14ac:dyDescent="0.25">
      <c r="A196" s="100">
        <v>45672</v>
      </c>
      <c r="B196" t="str">
        <f t="shared" si="10"/>
        <v>January</v>
      </c>
      <c r="C196" s="46" t="s">
        <v>280</v>
      </c>
      <c r="F196" s="366" t="s">
        <v>766</v>
      </c>
      <c r="G196" s="46" t="s">
        <v>16</v>
      </c>
      <c r="H196" s="46">
        <v>2</v>
      </c>
      <c r="I196" s="51">
        <v>4103.8500000000004</v>
      </c>
      <c r="J196" s="281">
        <f>++Tabla4[[#This Row],[Precio Bruto]]*1.16</f>
        <v>4760.4660000000003</v>
      </c>
      <c r="K196" s="281">
        <f>+Tabla4[[#This Row],[Precio Unitario Neto]]*Tabla4[[#Headers],[20.85%]]</f>
        <v>992.55716100000006</v>
      </c>
      <c r="L196" s="282">
        <f>++Tabla4[[#This Row],[Precio Unitario Neto]]-Tabla4[[#This Row],[20.85%]]</f>
        <v>3767.9088390000002</v>
      </c>
      <c r="M196" s="282" t="e">
        <f>(INDEX(Tabla6[#All],MATCH(Tabla4[[#This Row],[Producto]],Tabla6[[#All],[PRODUCTO]],0),MATCH(Tabla4[[#This Row],[Mes]],Tabla6[#Headers],0)))*(1+Catalogos!$L$2)</f>
        <v>#N/A</v>
      </c>
      <c r="N196" s="283" t="e">
        <f>+(Tabla4[[#This Row],[Precio Descontado]]-Tabla4[[#This Row],[Precio Base]])*Tabla4[[#This Row],[Cantidad]]</f>
        <v>#N/A</v>
      </c>
      <c r="O196" s="284" t="e">
        <f>++Tabla4[[#This Row],[Utilidad Total]]/Tabla4[[#This Row],[Total]]</f>
        <v>#N/A</v>
      </c>
      <c r="P196" s="282">
        <f>++Tabla4[[#This Row],[Precio Descontado]]*Tabla4[[#This Row],[Cantidad]]</f>
        <v>7535.8176780000003</v>
      </c>
      <c r="Q196" s="282" t="e">
        <f>(INDEX(Tabla6[#All],MATCH(Tabla4[[#This Row],[Producto]],Tabla6[[#All],[PRODUCTO]],0),MATCH(Tabla4[[#This Row],[Mes]],Tabla6[#Headers],0)))</f>
        <v>#N/A</v>
      </c>
      <c r="R196" s="282" t="e">
        <f>++Tabla4[[#This Row],[Precio Unitario Neto]]-Tabla4[[#This Row],[20.85%]]-Tabla4[[#This Row],[Costo]]</f>
        <v>#N/A</v>
      </c>
      <c r="S196" s="282" t="e">
        <f>++Tabla4[[#This Row],[U. Bruta Uni]]*Tabla4[[#This Row],[Cantidad]]</f>
        <v>#N/A</v>
      </c>
      <c r="T196" s="369" t="str">
        <f>VLOOKUP(Tabla4[[#This Row],[Producto]],Tabla6[#All],14,FALSE)</f>
        <v>Termico Solar</v>
      </c>
      <c r="U196" s="284" t="e">
        <f>(IF(Tabla4[[#This Row],[Familia]]="termico solar",Tabla4[[#This Row],[Utilidad Total]]*6%,Tabla4[[#This Row],[Utilidad Total]]*11.5%))/Tabla4[[#This Row],[Total]]</f>
        <v>#N/A</v>
      </c>
      <c r="V196" s="282" t="e">
        <f>+Tabla4[[#This Row],[Comisión Calculada]]*Tabla4[[#This Row],[Total]]</f>
        <v>#N/A</v>
      </c>
    </row>
    <row r="197" spans="1:22" hidden="1" x14ac:dyDescent="0.25">
      <c r="A197" s="100">
        <v>45672</v>
      </c>
      <c r="B197" t="str">
        <f t="shared" si="10"/>
        <v>January</v>
      </c>
      <c r="C197" s="46" t="s">
        <v>280</v>
      </c>
      <c r="F197" s="366" t="s">
        <v>767</v>
      </c>
      <c r="G197" s="46" t="s">
        <v>16</v>
      </c>
      <c r="H197" s="46">
        <v>2</v>
      </c>
      <c r="I197" s="51">
        <v>4103.8500000000004</v>
      </c>
      <c r="J197" s="281">
        <f>++Tabla4[[#This Row],[Precio Bruto]]*1.16</f>
        <v>4760.4660000000003</v>
      </c>
      <c r="K197" s="281">
        <f>+Tabla4[[#This Row],[Precio Unitario Neto]]*Tabla4[[#Headers],[20.85%]]</f>
        <v>992.55716100000006</v>
      </c>
      <c r="L197" s="282">
        <f>++Tabla4[[#This Row],[Precio Unitario Neto]]-Tabla4[[#This Row],[20.85%]]</f>
        <v>3767.9088390000002</v>
      </c>
      <c r="M197" s="282" t="e">
        <f>(INDEX(Tabla6[#All],MATCH(Tabla4[[#This Row],[Producto]],Tabla6[[#All],[PRODUCTO]],0),MATCH(Tabla4[[#This Row],[Mes]],Tabla6[#Headers],0)))*(1+Catalogos!$L$2)</f>
        <v>#N/A</v>
      </c>
      <c r="N197" s="283" t="e">
        <f>+(Tabla4[[#This Row],[Precio Descontado]]-Tabla4[[#This Row],[Precio Base]])*Tabla4[[#This Row],[Cantidad]]</f>
        <v>#N/A</v>
      </c>
      <c r="O197" s="284" t="e">
        <f>++Tabla4[[#This Row],[Utilidad Total]]/Tabla4[[#This Row],[Total]]</f>
        <v>#N/A</v>
      </c>
      <c r="P197" s="282">
        <f>++Tabla4[[#This Row],[Precio Descontado]]*Tabla4[[#This Row],[Cantidad]]</f>
        <v>7535.8176780000003</v>
      </c>
      <c r="Q197" s="282" t="e">
        <f>(INDEX(Tabla6[#All],MATCH(Tabla4[[#This Row],[Producto]],Tabla6[[#All],[PRODUCTO]],0),MATCH(Tabla4[[#This Row],[Mes]],Tabla6[#Headers],0)))</f>
        <v>#N/A</v>
      </c>
      <c r="R197" s="282" t="e">
        <f>++Tabla4[[#This Row],[Precio Unitario Neto]]-Tabla4[[#This Row],[20.85%]]-Tabla4[[#This Row],[Costo]]</f>
        <v>#N/A</v>
      </c>
      <c r="S197" s="282" t="e">
        <f>++Tabla4[[#This Row],[U. Bruta Uni]]*Tabla4[[#This Row],[Cantidad]]</f>
        <v>#N/A</v>
      </c>
      <c r="T197" s="369" t="str">
        <f>VLOOKUP(Tabla4[[#This Row],[Producto]],Tabla6[#All],14,FALSE)</f>
        <v>Termico Solar</v>
      </c>
      <c r="U197" s="284" t="e">
        <f>(IF(Tabla4[[#This Row],[Familia]]="termico solar",Tabla4[[#This Row],[Utilidad Total]]*6%,Tabla4[[#This Row],[Utilidad Total]]*11.5%))/Tabla4[[#This Row],[Total]]</f>
        <v>#N/A</v>
      </c>
      <c r="V197" s="282" t="e">
        <f>+Tabla4[[#This Row],[Comisión Calculada]]*Tabla4[[#This Row],[Total]]</f>
        <v>#N/A</v>
      </c>
    </row>
    <row r="198" spans="1:22" hidden="1" x14ac:dyDescent="0.25">
      <c r="A198" s="100">
        <v>45672</v>
      </c>
      <c r="B198" t="str">
        <f t="shared" si="10"/>
        <v>January</v>
      </c>
      <c r="C198" s="46" t="s">
        <v>280</v>
      </c>
      <c r="F198" s="366" t="s">
        <v>768</v>
      </c>
      <c r="G198" s="46" t="s">
        <v>18</v>
      </c>
      <c r="H198" s="46">
        <v>1</v>
      </c>
      <c r="I198" s="51">
        <v>5367.65</v>
      </c>
      <c r="J198" s="281">
        <f>++Tabla4[[#This Row],[Precio Bruto]]*1.16</f>
        <v>6226.4739999999993</v>
      </c>
      <c r="K198" s="281">
        <f>+Tabla4[[#This Row],[Precio Unitario Neto]]*Tabla4[[#Headers],[20.85%]]</f>
        <v>1298.2198289999999</v>
      </c>
      <c r="L198" s="282">
        <f>++Tabla4[[#This Row],[Precio Unitario Neto]]-Tabla4[[#This Row],[20.85%]]</f>
        <v>4928.2541709999996</v>
      </c>
      <c r="M198" s="282" t="e">
        <f>(INDEX(Tabla6[#All],MATCH(Tabla4[[#This Row],[Producto]],Tabla6[[#All],[PRODUCTO]],0),MATCH(Tabla4[[#This Row],[Mes]],Tabla6[#Headers],0)))*(1+Catalogos!$L$2)</f>
        <v>#N/A</v>
      </c>
      <c r="N198" s="283" t="e">
        <f>+(Tabla4[[#This Row],[Precio Descontado]]-Tabla4[[#This Row],[Precio Base]])*Tabla4[[#This Row],[Cantidad]]</f>
        <v>#N/A</v>
      </c>
      <c r="O198" s="284" t="e">
        <f>++Tabla4[[#This Row],[Utilidad Total]]/Tabla4[[#This Row],[Total]]</f>
        <v>#N/A</v>
      </c>
      <c r="P198" s="282">
        <f>++Tabla4[[#This Row],[Precio Descontado]]*Tabla4[[#This Row],[Cantidad]]</f>
        <v>4928.2541709999996</v>
      </c>
      <c r="Q198" s="282" t="e">
        <f>(INDEX(Tabla6[#All],MATCH(Tabla4[[#This Row],[Producto]],Tabla6[[#All],[PRODUCTO]],0),MATCH(Tabla4[[#This Row],[Mes]],Tabla6[#Headers],0)))</f>
        <v>#N/A</v>
      </c>
      <c r="R198" s="282" t="e">
        <f>++Tabla4[[#This Row],[Precio Unitario Neto]]-Tabla4[[#This Row],[20.85%]]-Tabla4[[#This Row],[Costo]]</f>
        <v>#N/A</v>
      </c>
      <c r="S198" s="282" t="e">
        <f>++Tabla4[[#This Row],[U. Bruta Uni]]*Tabla4[[#This Row],[Cantidad]]</f>
        <v>#N/A</v>
      </c>
      <c r="T198" s="369" t="str">
        <f>VLOOKUP(Tabla4[[#This Row],[Producto]],Tabla6[#All],14,FALSE)</f>
        <v>Termico Solar</v>
      </c>
      <c r="U198" s="284" t="e">
        <f>(IF(Tabla4[[#This Row],[Familia]]="termico solar",Tabla4[[#This Row],[Utilidad Total]]*6%,Tabla4[[#This Row],[Utilidad Total]]*11.5%))/Tabla4[[#This Row],[Total]]</f>
        <v>#N/A</v>
      </c>
      <c r="V198" s="282" t="e">
        <f>+Tabla4[[#This Row],[Comisión Calculada]]*Tabla4[[#This Row],[Total]]</f>
        <v>#N/A</v>
      </c>
    </row>
    <row r="199" spans="1:22" hidden="1" x14ac:dyDescent="0.25">
      <c r="A199" s="100">
        <v>45672</v>
      </c>
      <c r="B199" t="str">
        <f t="shared" si="10"/>
        <v>January</v>
      </c>
      <c r="C199" s="46" t="s">
        <v>280</v>
      </c>
      <c r="F199" s="366" t="s">
        <v>768</v>
      </c>
      <c r="G199" s="46" t="s">
        <v>566</v>
      </c>
      <c r="H199" s="46">
        <v>3</v>
      </c>
      <c r="I199" s="51">
        <v>2109.4500000000003</v>
      </c>
      <c r="J199" s="281">
        <f>++Tabla4[[#This Row],[Precio Bruto]]*1.16</f>
        <v>2446.962</v>
      </c>
      <c r="K199" s="281">
        <f>+Tabla4[[#This Row],[Precio Unitario Neto]]*Tabla4[[#Headers],[20.85%]]</f>
        <v>510.191577</v>
      </c>
      <c r="L199" s="282">
        <f>++Tabla4[[#This Row],[Precio Unitario Neto]]-Tabla4[[#This Row],[20.85%]]</f>
        <v>1936.7704229999999</v>
      </c>
      <c r="M199" s="282" t="e">
        <f>(INDEX(Tabla6[#All],MATCH(Tabla4[[#This Row],[Producto]],Tabla6[[#All],[PRODUCTO]],0),MATCH(Tabla4[[#This Row],[Mes]],Tabla6[#Headers],0)))*(1+Catalogos!$L$2)</f>
        <v>#N/A</v>
      </c>
      <c r="N199" s="283" t="e">
        <f>+(Tabla4[[#This Row],[Precio Descontado]]-Tabla4[[#This Row],[Precio Base]])*Tabla4[[#This Row],[Cantidad]]</f>
        <v>#N/A</v>
      </c>
      <c r="O199" s="284" t="e">
        <f>++Tabla4[[#This Row],[Utilidad Total]]/Tabla4[[#This Row],[Total]]</f>
        <v>#N/A</v>
      </c>
      <c r="P199" s="282">
        <f>++Tabla4[[#This Row],[Precio Descontado]]*Tabla4[[#This Row],[Cantidad]]</f>
        <v>5810.3112689999998</v>
      </c>
      <c r="Q199" s="282" t="e">
        <f>(INDEX(Tabla6[#All],MATCH(Tabla4[[#This Row],[Producto]],Tabla6[[#All],[PRODUCTO]],0),MATCH(Tabla4[[#This Row],[Mes]],Tabla6[#Headers],0)))</f>
        <v>#N/A</v>
      </c>
      <c r="R199" s="282" t="e">
        <f>++Tabla4[[#This Row],[Precio Unitario Neto]]-Tabla4[[#This Row],[20.85%]]-Tabla4[[#This Row],[Costo]]</f>
        <v>#N/A</v>
      </c>
      <c r="S199" s="282" t="e">
        <f>++Tabla4[[#This Row],[U. Bruta Uni]]*Tabla4[[#This Row],[Cantidad]]</f>
        <v>#N/A</v>
      </c>
      <c r="T199" s="369" t="str">
        <f>VLOOKUP(Tabla4[[#This Row],[Producto]],Tabla6[#All],14,FALSE)</f>
        <v>Termico Solar</v>
      </c>
      <c r="U199" s="284" t="e">
        <f>(IF(Tabla4[[#This Row],[Familia]]="termico solar",Tabla4[[#This Row],[Utilidad Total]]*6%,Tabla4[[#This Row],[Utilidad Total]]*11.5%))/Tabla4[[#This Row],[Total]]</f>
        <v>#N/A</v>
      </c>
      <c r="V199" s="282" t="e">
        <f>+Tabla4[[#This Row],[Comisión Calculada]]*Tabla4[[#This Row],[Total]]</f>
        <v>#N/A</v>
      </c>
    </row>
    <row r="200" spans="1:22" hidden="1" x14ac:dyDescent="0.25">
      <c r="A200" s="100">
        <v>45672</v>
      </c>
      <c r="B200" t="str">
        <f t="shared" si="10"/>
        <v>January</v>
      </c>
      <c r="C200" s="46" t="s">
        <v>280</v>
      </c>
      <c r="F200" s="366" t="s">
        <v>768</v>
      </c>
      <c r="G200" s="46" t="s">
        <v>208</v>
      </c>
      <c r="H200" s="46">
        <v>2</v>
      </c>
      <c r="I200" s="51">
        <v>189.75</v>
      </c>
      <c r="J200" s="281">
        <f>++Tabla4[[#This Row],[Precio Bruto]]*1.16</f>
        <v>220.10999999999999</v>
      </c>
      <c r="K200" s="281">
        <f>+Tabla4[[#This Row],[Precio Unitario Neto]]*Tabla4[[#Headers],[20.85%]]</f>
        <v>45.892934999999994</v>
      </c>
      <c r="L200" s="282">
        <f>++Tabla4[[#This Row],[Precio Unitario Neto]]-Tabla4[[#This Row],[20.85%]]</f>
        <v>174.21706499999999</v>
      </c>
      <c r="M200" s="282" t="e">
        <f>(INDEX(Tabla6[#All],MATCH(Tabla4[[#This Row],[Producto]],Tabla6[[#All],[PRODUCTO]],0),MATCH(Tabla4[[#This Row],[Mes]],Tabla6[#Headers],0)))*(1+Catalogos!$L$2)</f>
        <v>#N/A</v>
      </c>
      <c r="N200" s="283" t="e">
        <f>+(Tabla4[[#This Row],[Precio Descontado]]-Tabla4[[#This Row],[Precio Base]])*Tabla4[[#This Row],[Cantidad]]</f>
        <v>#N/A</v>
      </c>
      <c r="O200" s="284" t="e">
        <f>++Tabla4[[#This Row],[Utilidad Total]]/Tabla4[[#This Row],[Total]]</f>
        <v>#N/A</v>
      </c>
      <c r="P200" s="282">
        <f>++Tabla4[[#This Row],[Precio Descontado]]*Tabla4[[#This Row],[Cantidad]]</f>
        <v>348.43412999999998</v>
      </c>
      <c r="Q200" s="282" t="e">
        <f>(INDEX(Tabla6[#All],MATCH(Tabla4[[#This Row],[Producto]],Tabla6[[#All],[PRODUCTO]],0),MATCH(Tabla4[[#This Row],[Mes]],Tabla6[#Headers],0)))</f>
        <v>#N/A</v>
      </c>
      <c r="R200" s="282" t="e">
        <f>++Tabla4[[#This Row],[Precio Unitario Neto]]-Tabla4[[#This Row],[20.85%]]-Tabla4[[#This Row],[Costo]]</f>
        <v>#N/A</v>
      </c>
      <c r="S200" s="282" t="e">
        <f>++Tabla4[[#This Row],[U. Bruta Uni]]*Tabla4[[#This Row],[Cantidad]]</f>
        <v>#N/A</v>
      </c>
      <c r="T200" s="369" t="str">
        <f>VLOOKUP(Tabla4[[#This Row],[Producto]],Tabla6[#All],14,FALSE)</f>
        <v>Termico Solar</v>
      </c>
      <c r="U200" s="284" t="e">
        <f>(IF(Tabla4[[#This Row],[Familia]]="termico solar",Tabla4[[#This Row],[Utilidad Total]]*6%,Tabla4[[#This Row],[Utilidad Total]]*11.5%))/Tabla4[[#This Row],[Total]]</f>
        <v>#N/A</v>
      </c>
      <c r="V200" s="282" t="e">
        <f>+Tabla4[[#This Row],[Comisión Calculada]]*Tabla4[[#This Row],[Total]]</f>
        <v>#N/A</v>
      </c>
    </row>
    <row r="201" spans="1:22" hidden="1" x14ac:dyDescent="0.25">
      <c r="A201" s="100">
        <v>45672</v>
      </c>
      <c r="B201" t="str">
        <f t="shared" si="10"/>
        <v>January</v>
      </c>
      <c r="C201" s="46" t="s">
        <v>280</v>
      </c>
      <c r="F201" s="366" t="s">
        <v>769</v>
      </c>
      <c r="G201" s="46" t="s">
        <v>19</v>
      </c>
      <c r="H201" s="46">
        <v>1</v>
      </c>
      <c r="I201" s="51">
        <v>6412.03</v>
      </c>
      <c r="J201" s="281">
        <f>++Tabla4[[#This Row],[Precio Bruto]]*1.16</f>
        <v>7437.9547999999995</v>
      </c>
      <c r="K201" s="281">
        <f>+Tabla4[[#This Row],[Precio Unitario Neto]]*Tabla4[[#Headers],[20.85%]]</f>
        <v>1550.8135757999999</v>
      </c>
      <c r="L201" s="282">
        <f>++Tabla4[[#This Row],[Precio Unitario Neto]]-Tabla4[[#This Row],[20.85%]]</f>
        <v>5887.1412241999997</v>
      </c>
      <c r="M201" s="282" t="e">
        <f>(INDEX(Tabla6[#All],MATCH(Tabla4[[#This Row],[Producto]],Tabla6[[#All],[PRODUCTO]],0),MATCH(Tabla4[[#This Row],[Mes]],Tabla6[#Headers],0)))*(1+Catalogos!$L$2)</f>
        <v>#N/A</v>
      </c>
      <c r="N201" s="283" t="e">
        <f>+(Tabla4[[#This Row],[Precio Descontado]]-Tabla4[[#This Row],[Precio Base]])*Tabla4[[#This Row],[Cantidad]]</f>
        <v>#N/A</v>
      </c>
      <c r="O201" s="284" t="e">
        <f>++Tabla4[[#This Row],[Utilidad Total]]/Tabla4[[#This Row],[Total]]</f>
        <v>#N/A</v>
      </c>
      <c r="P201" s="282">
        <f>++Tabla4[[#This Row],[Precio Descontado]]*Tabla4[[#This Row],[Cantidad]]</f>
        <v>5887.1412241999997</v>
      </c>
      <c r="Q201" s="282" t="e">
        <f>(INDEX(Tabla6[#All],MATCH(Tabla4[[#This Row],[Producto]],Tabla6[[#All],[PRODUCTO]],0),MATCH(Tabla4[[#This Row],[Mes]],Tabla6[#Headers],0)))</f>
        <v>#N/A</v>
      </c>
      <c r="R201" s="282" t="e">
        <f>++Tabla4[[#This Row],[Precio Unitario Neto]]-Tabla4[[#This Row],[20.85%]]-Tabla4[[#This Row],[Costo]]</f>
        <v>#N/A</v>
      </c>
      <c r="S201" s="282" t="e">
        <f>++Tabla4[[#This Row],[U. Bruta Uni]]*Tabla4[[#This Row],[Cantidad]]</f>
        <v>#N/A</v>
      </c>
      <c r="T201" s="369" t="str">
        <f>VLOOKUP(Tabla4[[#This Row],[Producto]],Tabla6[#All],14,FALSE)</f>
        <v>Termico Solar</v>
      </c>
      <c r="U201" s="284" t="e">
        <f>(IF(Tabla4[[#This Row],[Familia]]="termico solar",Tabla4[[#This Row],[Utilidad Total]]*6%,Tabla4[[#This Row],[Utilidad Total]]*11.5%))/Tabla4[[#This Row],[Total]]</f>
        <v>#N/A</v>
      </c>
      <c r="V201" s="282" t="e">
        <f>+Tabla4[[#This Row],[Comisión Calculada]]*Tabla4[[#This Row],[Total]]</f>
        <v>#N/A</v>
      </c>
    </row>
    <row r="202" spans="1:22" hidden="1" x14ac:dyDescent="0.25">
      <c r="A202" s="100">
        <v>45672</v>
      </c>
      <c r="B202" t="str">
        <f t="shared" si="10"/>
        <v>January</v>
      </c>
      <c r="C202" s="46" t="s">
        <v>280</v>
      </c>
      <c r="F202" s="366" t="s">
        <v>770</v>
      </c>
      <c r="G202" s="46" t="s">
        <v>566</v>
      </c>
      <c r="H202" s="46">
        <v>1</v>
      </c>
      <c r="I202" s="51">
        <v>2109.4499999999998</v>
      </c>
      <c r="J202" s="281">
        <f>++Tabla4[[#This Row],[Precio Bruto]]*1.16</f>
        <v>2446.9619999999995</v>
      </c>
      <c r="K202" s="281">
        <f>+Tabla4[[#This Row],[Precio Unitario Neto]]*Tabla4[[#Headers],[20.85%]]</f>
        <v>510.19157699999988</v>
      </c>
      <c r="L202" s="282">
        <f>++Tabla4[[#This Row],[Precio Unitario Neto]]-Tabla4[[#This Row],[20.85%]]</f>
        <v>1936.7704229999997</v>
      </c>
      <c r="M202" s="282" t="e">
        <f>(INDEX(Tabla6[#All],MATCH(Tabla4[[#This Row],[Producto]],Tabla6[[#All],[PRODUCTO]],0),MATCH(Tabla4[[#This Row],[Mes]],Tabla6[#Headers],0)))*(1+Catalogos!$L$2)</f>
        <v>#N/A</v>
      </c>
      <c r="N202" s="283" t="e">
        <f>+(Tabla4[[#This Row],[Precio Descontado]]-Tabla4[[#This Row],[Precio Base]])*Tabla4[[#This Row],[Cantidad]]</f>
        <v>#N/A</v>
      </c>
      <c r="O202" s="284" t="e">
        <f>++Tabla4[[#This Row],[Utilidad Total]]/Tabla4[[#This Row],[Total]]</f>
        <v>#N/A</v>
      </c>
      <c r="P202" s="282">
        <f>++Tabla4[[#This Row],[Precio Descontado]]*Tabla4[[#This Row],[Cantidad]]</f>
        <v>1936.7704229999997</v>
      </c>
      <c r="Q202" s="282" t="e">
        <f>(INDEX(Tabla6[#All],MATCH(Tabla4[[#This Row],[Producto]],Tabla6[[#All],[PRODUCTO]],0),MATCH(Tabla4[[#This Row],[Mes]],Tabla6[#Headers],0)))</f>
        <v>#N/A</v>
      </c>
      <c r="R202" s="282" t="e">
        <f>++Tabla4[[#This Row],[Precio Unitario Neto]]-Tabla4[[#This Row],[20.85%]]-Tabla4[[#This Row],[Costo]]</f>
        <v>#N/A</v>
      </c>
      <c r="S202" s="282" t="e">
        <f>++Tabla4[[#This Row],[U. Bruta Uni]]*Tabla4[[#This Row],[Cantidad]]</f>
        <v>#N/A</v>
      </c>
      <c r="T202" s="369" t="str">
        <f>VLOOKUP(Tabla4[[#This Row],[Producto]],Tabla6[#All],14,FALSE)</f>
        <v>Termico Solar</v>
      </c>
      <c r="U202" s="284" t="e">
        <f>(IF(Tabla4[[#This Row],[Familia]]="termico solar",Tabla4[[#This Row],[Utilidad Total]]*6%,Tabla4[[#This Row],[Utilidad Total]]*11.5%))/Tabla4[[#This Row],[Total]]</f>
        <v>#N/A</v>
      </c>
      <c r="V202" s="282" t="e">
        <f>+Tabla4[[#This Row],[Comisión Calculada]]*Tabla4[[#This Row],[Total]]</f>
        <v>#N/A</v>
      </c>
    </row>
    <row r="203" spans="1:22" hidden="1" x14ac:dyDescent="0.25">
      <c r="A203" s="100">
        <v>45672</v>
      </c>
      <c r="B203" t="str">
        <f t="shared" si="10"/>
        <v>January</v>
      </c>
      <c r="C203" s="46" t="s">
        <v>280</v>
      </c>
      <c r="F203" s="366" t="s">
        <v>771</v>
      </c>
      <c r="G203" s="46" t="s">
        <v>17</v>
      </c>
      <c r="H203" s="46">
        <v>2</v>
      </c>
      <c r="I203" s="51">
        <v>4622.28</v>
      </c>
      <c r="J203" s="281">
        <f>++Tabla4[[#This Row],[Precio Bruto]]*1.16</f>
        <v>5361.8447999999989</v>
      </c>
      <c r="K203" s="281">
        <f>+Tabla4[[#This Row],[Precio Unitario Neto]]*Tabla4[[#Headers],[20.85%]]</f>
        <v>1117.9446407999997</v>
      </c>
      <c r="L203" s="282">
        <f>++Tabla4[[#This Row],[Precio Unitario Neto]]-Tabla4[[#This Row],[20.85%]]</f>
        <v>4243.9001591999995</v>
      </c>
      <c r="M203" s="282" t="e">
        <f>(INDEX(Tabla6[#All],MATCH(Tabla4[[#This Row],[Producto]],Tabla6[[#All],[PRODUCTO]],0),MATCH(Tabla4[[#This Row],[Mes]],Tabla6[#Headers],0)))*(1+Catalogos!$L$2)</f>
        <v>#N/A</v>
      </c>
      <c r="N203" s="283" t="e">
        <f>+(Tabla4[[#This Row],[Precio Descontado]]-Tabla4[[#This Row],[Precio Base]])*Tabla4[[#This Row],[Cantidad]]</f>
        <v>#N/A</v>
      </c>
      <c r="O203" s="284" t="e">
        <f>++Tabla4[[#This Row],[Utilidad Total]]/Tabla4[[#This Row],[Total]]</f>
        <v>#N/A</v>
      </c>
      <c r="P203" s="282">
        <f>++Tabla4[[#This Row],[Precio Descontado]]*Tabla4[[#This Row],[Cantidad]]</f>
        <v>8487.800318399999</v>
      </c>
      <c r="Q203" s="282" t="e">
        <f>(INDEX(Tabla6[#All],MATCH(Tabla4[[#This Row],[Producto]],Tabla6[[#All],[PRODUCTO]],0),MATCH(Tabla4[[#This Row],[Mes]],Tabla6[#Headers],0)))</f>
        <v>#N/A</v>
      </c>
      <c r="R203" s="282" t="e">
        <f>++Tabla4[[#This Row],[Precio Unitario Neto]]-Tabla4[[#This Row],[20.85%]]-Tabla4[[#This Row],[Costo]]</f>
        <v>#N/A</v>
      </c>
      <c r="S203" s="282" t="e">
        <f>++Tabla4[[#This Row],[U. Bruta Uni]]*Tabla4[[#This Row],[Cantidad]]</f>
        <v>#N/A</v>
      </c>
      <c r="T203" s="369" t="str">
        <f>VLOOKUP(Tabla4[[#This Row],[Producto]],Tabla6[#All],14,FALSE)</f>
        <v>Termico Solar</v>
      </c>
      <c r="U203" s="284" t="e">
        <f>(IF(Tabla4[[#This Row],[Familia]]="termico solar",Tabla4[[#This Row],[Utilidad Total]]*6%,Tabla4[[#This Row],[Utilidad Total]]*11.5%))/Tabla4[[#This Row],[Total]]</f>
        <v>#N/A</v>
      </c>
      <c r="V203" s="282" t="e">
        <f>+Tabla4[[#This Row],[Comisión Calculada]]*Tabla4[[#This Row],[Total]]</f>
        <v>#N/A</v>
      </c>
    </row>
    <row r="204" spans="1:22" hidden="1" x14ac:dyDescent="0.25">
      <c r="A204" s="100">
        <v>45672</v>
      </c>
      <c r="B204" t="str">
        <f t="shared" si="10"/>
        <v>January</v>
      </c>
      <c r="C204" s="46" t="s">
        <v>280</v>
      </c>
      <c r="F204" s="366" t="s">
        <v>772</v>
      </c>
      <c r="G204" s="46" t="s">
        <v>19</v>
      </c>
      <c r="H204" s="46">
        <v>1</v>
      </c>
      <c r="I204" s="51">
        <v>6412.03</v>
      </c>
      <c r="J204" s="281">
        <f>++Tabla4[[#This Row],[Precio Bruto]]*1.16</f>
        <v>7437.9547999999995</v>
      </c>
      <c r="K204" s="281">
        <f>+Tabla4[[#This Row],[Precio Unitario Neto]]*Tabla4[[#Headers],[20.85%]]</f>
        <v>1550.8135757999999</v>
      </c>
      <c r="L204" s="282">
        <f>++Tabla4[[#This Row],[Precio Unitario Neto]]-Tabla4[[#This Row],[20.85%]]</f>
        <v>5887.1412241999997</v>
      </c>
      <c r="M204" s="282" t="e">
        <f>(INDEX(Tabla6[#All],MATCH(Tabla4[[#This Row],[Producto]],Tabla6[[#All],[PRODUCTO]],0),MATCH(Tabla4[[#This Row],[Mes]],Tabla6[#Headers],0)))*(1+Catalogos!$L$2)</f>
        <v>#N/A</v>
      </c>
      <c r="N204" s="283" t="e">
        <f>+(Tabla4[[#This Row],[Precio Descontado]]-Tabla4[[#This Row],[Precio Base]])*Tabla4[[#This Row],[Cantidad]]</f>
        <v>#N/A</v>
      </c>
      <c r="O204" s="284" t="e">
        <f>++Tabla4[[#This Row],[Utilidad Total]]/Tabla4[[#This Row],[Total]]</f>
        <v>#N/A</v>
      </c>
      <c r="P204" s="282">
        <f>++Tabla4[[#This Row],[Precio Descontado]]*Tabla4[[#This Row],[Cantidad]]</f>
        <v>5887.1412241999997</v>
      </c>
      <c r="Q204" s="282" t="e">
        <f>(INDEX(Tabla6[#All],MATCH(Tabla4[[#This Row],[Producto]],Tabla6[[#All],[PRODUCTO]],0),MATCH(Tabla4[[#This Row],[Mes]],Tabla6[#Headers],0)))</f>
        <v>#N/A</v>
      </c>
      <c r="R204" s="282" t="e">
        <f>++Tabla4[[#This Row],[Precio Unitario Neto]]-Tabla4[[#This Row],[20.85%]]-Tabla4[[#This Row],[Costo]]</f>
        <v>#N/A</v>
      </c>
      <c r="S204" s="282" t="e">
        <f>++Tabla4[[#This Row],[U. Bruta Uni]]*Tabla4[[#This Row],[Cantidad]]</f>
        <v>#N/A</v>
      </c>
      <c r="T204" s="369" t="str">
        <f>VLOOKUP(Tabla4[[#This Row],[Producto]],Tabla6[#All],14,FALSE)</f>
        <v>Termico Solar</v>
      </c>
      <c r="U204" s="284" t="e">
        <f>(IF(Tabla4[[#This Row],[Familia]]="termico solar",Tabla4[[#This Row],[Utilidad Total]]*6%,Tabla4[[#This Row],[Utilidad Total]]*11.5%))/Tabla4[[#This Row],[Total]]</f>
        <v>#N/A</v>
      </c>
      <c r="V204" s="282" t="e">
        <f>+Tabla4[[#This Row],[Comisión Calculada]]*Tabla4[[#This Row],[Total]]</f>
        <v>#N/A</v>
      </c>
    </row>
    <row r="205" spans="1:22" hidden="1" x14ac:dyDescent="0.25">
      <c r="A205" s="100">
        <v>45672</v>
      </c>
      <c r="B205" t="str">
        <f t="shared" si="10"/>
        <v>January</v>
      </c>
      <c r="C205" s="46" t="s">
        <v>280</v>
      </c>
      <c r="F205" s="366" t="s">
        <v>773</v>
      </c>
      <c r="G205" s="46" t="s">
        <v>83</v>
      </c>
      <c r="H205" s="46">
        <v>1</v>
      </c>
      <c r="I205" s="51">
        <v>8858.76</v>
      </c>
      <c r="J205" s="281">
        <f>++Tabla4[[#This Row],[Precio Bruto]]*1.16</f>
        <v>10276.161599999999</v>
      </c>
      <c r="K205" s="281">
        <f>+Tabla4[[#This Row],[Precio Unitario Neto]]*Tabla4[[#Headers],[20.85%]]</f>
        <v>2142.5796935999997</v>
      </c>
      <c r="L205" s="282">
        <f>++Tabla4[[#This Row],[Precio Unitario Neto]]-Tabla4[[#This Row],[20.85%]]</f>
        <v>8133.5819063999998</v>
      </c>
      <c r="M205" s="282" t="e">
        <f>(INDEX(Tabla6[#All],MATCH(Tabla4[[#This Row],[Producto]],Tabla6[[#All],[PRODUCTO]],0),MATCH(Tabla4[[#This Row],[Mes]],Tabla6[#Headers],0)))*(1+Catalogos!$L$2)</f>
        <v>#N/A</v>
      </c>
      <c r="N205" s="283" t="e">
        <f>+(Tabla4[[#This Row],[Precio Descontado]]-Tabla4[[#This Row],[Precio Base]])*Tabla4[[#This Row],[Cantidad]]</f>
        <v>#N/A</v>
      </c>
      <c r="O205" s="284" t="e">
        <f>++Tabla4[[#This Row],[Utilidad Total]]/Tabla4[[#This Row],[Total]]</f>
        <v>#N/A</v>
      </c>
      <c r="P205" s="282">
        <f>++Tabla4[[#This Row],[Precio Descontado]]*Tabla4[[#This Row],[Cantidad]]</f>
        <v>8133.5819063999998</v>
      </c>
      <c r="Q205" s="282" t="e">
        <f>(INDEX(Tabla6[#All],MATCH(Tabla4[[#This Row],[Producto]],Tabla6[[#All],[PRODUCTO]],0),MATCH(Tabla4[[#This Row],[Mes]],Tabla6[#Headers],0)))</f>
        <v>#N/A</v>
      </c>
      <c r="R205" s="282" t="e">
        <f>++Tabla4[[#This Row],[Precio Unitario Neto]]-Tabla4[[#This Row],[20.85%]]-Tabla4[[#This Row],[Costo]]</f>
        <v>#N/A</v>
      </c>
      <c r="S205" s="282" t="e">
        <f>++Tabla4[[#This Row],[U. Bruta Uni]]*Tabla4[[#This Row],[Cantidad]]</f>
        <v>#N/A</v>
      </c>
      <c r="T205" s="369" t="str">
        <f>VLOOKUP(Tabla4[[#This Row],[Producto]],Tabla6[#All],14,FALSE)</f>
        <v>Termico Solar</v>
      </c>
      <c r="U205" s="284" t="e">
        <f>(IF(Tabla4[[#This Row],[Familia]]="termico solar",Tabla4[[#This Row],[Utilidad Total]]*6%,Tabla4[[#This Row],[Utilidad Total]]*11.5%))/Tabla4[[#This Row],[Total]]</f>
        <v>#N/A</v>
      </c>
      <c r="V205" s="282" t="e">
        <f>+Tabla4[[#This Row],[Comisión Calculada]]*Tabla4[[#This Row],[Total]]</f>
        <v>#N/A</v>
      </c>
    </row>
    <row r="206" spans="1:22" hidden="1" x14ac:dyDescent="0.25">
      <c r="A206" s="100">
        <v>45672</v>
      </c>
      <c r="B206" t="str">
        <f t="shared" si="10"/>
        <v>January</v>
      </c>
      <c r="C206" s="46" t="s">
        <v>280</v>
      </c>
      <c r="F206" s="366" t="s">
        <v>773</v>
      </c>
      <c r="G206" s="46" t="s">
        <v>566</v>
      </c>
      <c r="H206" s="46">
        <v>1</v>
      </c>
      <c r="I206" s="51">
        <v>2109.4499999999998</v>
      </c>
      <c r="J206" s="281">
        <f>++Tabla4[[#This Row],[Precio Bruto]]*1.16</f>
        <v>2446.9619999999995</v>
      </c>
      <c r="K206" s="281">
        <f>+Tabla4[[#This Row],[Precio Unitario Neto]]*Tabla4[[#Headers],[20.85%]]</f>
        <v>510.19157699999988</v>
      </c>
      <c r="L206" s="282">
        <f>++Tabla4[[#This Row],[Precio Unitario Neto]]-Tabla4[[#This Row],[20.85%]]</f>
        <v>1936.7704229999997</v>
      </c>
      <c r="M206" s="282" t="e">
        <f>(INDEX(Tabla6[#All],MATCH(Tabla4[[#This Row],[Producto]],Tabla6[[#All],[PRODUCTO]],0),MATCH(Tabla4[[#This Row],[Mes]],Tabla6[#Headers],0)))*(1+Catalogos!$L$2)</f>
        <v>#N/A</v>
      </c>
      <c r="N206" s="283" t="e">
        <f>+(Tabla4[[#This Row],[Precio Descontado]]-Tabla4[[#This Row],[Precio Base]])*Tabla4[[#This Row],[Cantidad]]</f>
        <v>#N/A</v>
      </c>
      <c r="O206" s="284" t="e">
        <f>++Tabla4[[#This Row],[Utilidad Total]]/Tabla4[[#This Row],[Total]]</f>
        <v>#N/A</v>
      </c>
      <c r="P206" s="282">
        <f>++Tabla4[[#This Row],[Precio Descontado]]*Tabla4[[#This Row],[Cantidad]]</f>
        <v>1936.7704229999997</v>
      </c>
      <c r="Q206" s="282" t="e">
        <f>(INDEX(Tabla6[#All],MATCH(Tabla4[[#This Row],[Producto]],Tabla6[[#All],[PRODUCTO]],0),MATCH(Tabla4[[#This Row],[Mes]],Tabla6[#Headers],0)))</f>
        <v>#N/A</v>
      </c>
      <c r="R206" s="282" t="e">
        <f>++Tabla4[[#This Row],[Precio Unitario Neto]]-Tabla4[[#This Row],[20.85%]]-Tabla4[[#This Row],[Costo]]</f>
        <v>#N/A</v>
      </c>
      <c r="S206" s="282" t="e">
        <f>++Tabla4[[#This Row],[U. Bruta Uni]]*Tabla4[[#This Row],[Cantidad]]</f>
        <v>#N/A</v>
      </c>
      <c r="T206" s="369" t="str">
        <f>VLOOKUP(Tabla4[[#This Row],[Producto]],Tabla6[#All],14,FALSE)</f>
        <v>Termico Solar</v>
      </c>
      <c r="U206" s="284" t="e">
        <f>(IF(Tabla4[[#This Row],[Familia]]="termico solar",Tabla4[[#This Row],[Utilidad Total]]*6%,Tabla4[[#This Row],[Utilidad Total]]*11.5%))/Tabla4[[#This Row],[Total]]</f>
        <v>#N/A</v>
      </c>
      <c r="V206" s="282" t="e">
        <f>+Tabla4[[#This Row],[Comisión Calculada]]*Tabla4[[#This Row],[Total]]</f>
        <v>#N/A</v>
      </c>
    </row>
    <row r="207" spans="1:22" hidden="1" x14ac:dyDescent="0.25">
      <c r="A207" s="100">
        <v>45672</v>
      </c>
      <c r="B207" t="str">
        <f t="shared" si="10"/>
        <v>January</v>
      </c>
      <c r="C207" s="46" t="s">
        <v>280</v>
      </c>
      <c r="F207" s="366" t="s">
        <v>774</v>
      </c>
      <c r="G207" s="46" t="s">
        <v>21</v>
      </c>
      <c r="H207" s="46">
        <v>1</v>
      </c>
      <c r="I207" s="51">
        <v>9282.19</v>
      </c>
      <c r="J207" s="281">
        <f>++Tabla4[[#This Row],[Precio Bruto]]*1.16</f>
        <v>10767.340399999999</v>
      </c>
      <c r="K207" s="281">
        <f>+Tabla4[[#This Row],[Precio Unitario Neto]]*Tabla4[[#Headers],[20.85%]]</f>
        <v>2244.9904733999997</v>
      </c>
      <c r="L207" s="282">
        <f>++Tabla4[[#This Row],[Precio Unitario Neto]]-Tabla4[[#This Row],[20.85%]]</f>
        <v>8522.3499265999999</v>
      </c>
      <c r="M207" s="282" t="e">
        <f>(INDEX(Tabla6[#All],MATCH(Tabla4[[#This Row],[Producto]],Tabla6[[#All],[PRODUCTO]],0),MATCH(Tabla4[[#This Row],[Mes]],Tabla6[#Headers],0)))*(1+Catalogos!$L$2)</f>
        <v>#N/A</v>
      </c>
      <c r="N207" s="283" t="e">
        <f>+(Tabla4[[#This Row],[Precio Descontado]]-Tabla4[[#This Row],[Precio Base]])*Tabla4[[#This Row],[Cantidad]]</f>
        <v>#N/A</v>
      </c>
      <c r="O207" s="284" t="e">
        <f>++Tabla4[[#This Row],[Utilidad Total]]/Tabla4[[#This Row],[Total]]</f>
        <v>#N/A</v>
      </c>
      <c r="P207" s="282">
        <f>++Tabla4[[#This Row],[Precio Descontado]]*Tabla4[[#This Row],[Cantidad]]</f>
        <v>8522.3499265999999</v>
      </c>
      <c r="Q207" s="282" t="e">
        <f>(INDEX(Tabla6[#All],MATCH(Tabla4[[#This Row],[Producto]],Tabla6[[#All],[PRODUCTO]],0),MATCH(Tabla4[[#This Row],[Mes]],Tabla6[#Headers],0)))</f>
        <v>#N/A</v>
      </c>
      <c r="R207" s="282" t="e">
        <f>++Tabla4[[#This Row],[Precio Unitario Neto]]-Tabla4[[#This Row],[20.85%]]-Tabla4[[#This Row],[Costo]]</f>
        <v>#N/A</v>
      </c>
      <c r="S207" s="282" t="e">
        <f>++Tabla4[[#This Row],[U. Bruta Uni]]*Tabla4[[#This Row],[Cantidad]]</f>
        <v>#N/A</v>
      </c>
      <c r="T207" s="369" t="str">
        <f>VLOOKUP(Tabla4[[#This Row],[Producto]],Tabla6[#All],14,FALSE)</f>
        <v>Termico Solar</v>
      </c>
      <c r="U207" s="284" t="e">
        <f>(IF(Tabla4[[#This Row],[Familia]]="termico solar",Tabla4[[#This Row],[Utilidad Total]]*6%,Tabla4[[#This Row],[Utilidad Total]]*11.5%))/Tabla4[[#This Row],[Total]]</f>
        <v>#N/A</v>
      </c>
      <c r="V207" s="282" t="e">
        <f>+Tabla4[[#This Row],[Comisión Calculada]]*Tabla4[[#This Row],[Total]]</f>
        <v>#N/A</v>
      </c>
    </row>
    <row r="208" spans="1:22" hidden="1" x14ac:dyDescent="0.25">
      <c r="A208" s="100">
        <v>45672</v>
      </c>
      <c r="B208" t="str">
        <f t="shared" si="10"/>
        <v>January</v>
      </c>
      <c r="C208" s="46" t="s">
        <v>280</v>
      </c>
      <c r="F208" s="366" t="s">
        <v>775</v>
      </c>
      <c r="G208" s="46" t="s">
        <v>83</v>
      </c>
      <c r="H208" s="46">
        <v>1</v>
      </c>
      <c r="I208" s="51">
        <v>8858.76</v>
      </c>
      <c r="J208" s="281">
        <f>++Tabla4[[#This Row],[Precio Bruto]]*1.16</f>
        <v>10276.161599999999</v>
      </c>
      <c r="K208" s="281">
        <f>+Tabla4[[#This Row],[Precio Unitario Neto]]*Tabla4[[#Headers],[20.85%]]</f>
        <v>2142.5796935999997</v>
      </c>
      <c r="L208" s="282">
        <f>++Tabla4[[#This Row],[Precio Unitario Neto]]-Tabla4[[#This Row],[20.85%]]</f>
        <v>8133.5819063999998</v>
      </c>
      <c r="M208" s="282" t="e">
        <f>(INDEX(Tabla6[#All],MATCH(Tabla4[[#This Row],[Producto]],Tabla6[[#All],[PRODUCTO]],0),MATCH(Tabla4[[#This Row],[Mes]],Tabla6[#Headers],0)))*(1+Catalogos!$L$2)</f>
        <v>#N/A</v>
      </c>
      <c r="N208" s="283" t="e">
        <f>+(Tabla4[[#This Row],[Precio Descontado]]-Tabla4[[#This Row],[Precio Base]])*Tabla4[[#This Row],[Cantidad]]</f>
        <v>#N/A</v>
      </c>
      <c r="O208" s="284" t="e">
        <f>++Tabla4[[#This Row],[Utilidad Total]]/Tabla4[[#This Row],[Total]]</f>
        <v>#N/A</v>
      </c>
      <c r="P208" s="282">
        <f>++Tabla4[[#This Row],[Precio Descontado]]*Tabla4[[#This Row],[Cantidad]]</f>
        <v>8133.5819063999998</v>
      </c>
      <c r="Q208" s="282" t="e">
        <f>(INDEX(Tabla6[#All],MATCH(Tabla4[[#This Row],[Producto]],Tabla6[[#All],[PRODUCTO]],0),MATCH(Tabla4[[#This Row],[Mes]],Tabla6[#Headers],0)))</f>
        <v>#N/A</v>
      </c>
      <c r="R208" s="282" t="e">
        <f>++Tabla4[[#This Row],[Precio Unitario Neto]]-Tabla4[[#This Row],[20.85%]]-Tabla4[[#This Row],[Costo]]</f>
        <v>#N/A</v>
      </c>
      <c r="S208" s="282" t="e">
        <f>++Tabla4[[#This Row],[U. Bruta Uni]]*Tabla4[[#This Row],[Cantidad]]</f>
        <v>#N/A</v>
      </c>
      <c r="T208" s="369" t="str">
        <f>VLOOKUP(Tabla4[[#This Row],[Producto]],Tabla6[#All],14,FALSE)</f>
        <v>Termico Solar</v>
      </c>
      <c r="U208" s="284" t="e">
        <f>(IF(Tabla4[[#This Row],[Familia]]="termico solar",Tabla4[[#This Row],[Utilidad Total]]*6%,Tabla4[[#This Row],[Utilidad Total]]*11.5%))/Tabla4[[#This Row],[Total]]</f>
        <v>#N/A</v>
      </c>
      <c r="V208" s="282" t="e">
        <f>+Tabla4[[#This Row],[Comisión Calculada]]*Tabla4[[#This Row],[Total]]</f>
        <v>#N/A</v>
      </c>
    </row>
    <row r="209" spans="1:22" hidden="1" x14ac:dyDescent="0.25">
      <c r="A209" s="100">
        <v>45672</v>
      </c>
      <c r="B209" t="str">
        <f t="shared" si="10"/>
        <v>January</v>
      </c>
      <c r="C209" s="46" t="s">
        <v>280</v>
      </c>
      <c r="F209" s="366" t="s">
        <v>775</v>
      </c>
      <c r="G209" s="46" t="s">
        <v>566</v>
      </c>
      <c r="H209" s="46">
        <v>1</v>
      </c>
      <c r="I209" s="51">
        <v>2109.4499999999998</v>
      </c>
      <c r="J209" s="281">
        <f>++Tabla4[[#This Row],[Precio Bruto]]*1.16</f>
        <v>2446.9619999999995</v>
      </c>
      <c r="K209" s="281">
        <f>+Tabla4[[#This Row],[Precio Unitario Neto]]*Tabla4[[#Headers],[20.85%]]</f>
        <v>510.19157699999988</v>
      </c>
      <c r="L209" s="282">
        <f>++Tabla4[[#This Row],[Precio Unitario Neto]]-Tabla4[[#This Row],[20.85%]]</f>
        <v>1936.7704229999997</v>
      </c>
      <c r="M209" s="282" t="e">
        <f>(INDEX(Tabla6[#All],MATCH(Tabla4[[#This Row],[Producto]],Tabla6[[#All],[PRODUCTO]],0),MATCH(Tabla4[[#This Row],[Mes]],Tabla6[#Headers],0)))*(1+Catalogos!$L$2)</f>
        <v>#N/A</v>
      </c>
      <c r="N209" s="283" t="e">
        <f>+(Tabla4[[#This Row],[Precio Descontado]]-Tabla4[[#This Row],[Precio Base]])*Tabla4[[#This Row],[Cantidad]]</f>
        <v>#N/A</v>
      </c>
      <c r="O209" s="284" t="e">
        <f>++Tabla4[[#This Row],[Utilidad Total]]/Tabla4[[#This Row],[Total]]</f>
        <v>#N/A</v>
      </c>
      <c r="P209" s="282">
        <f>++Tabla4[[#This Row],[Precio Descontado]]*Tabla4[[#This Row],[Cantidad]]</f>
        <v>1936.7704229999997</v>
      </c>
      <c r="Q209" s="282" t="e">
        <f>(INDEX(Tabla6[#All],MATCH(Tabla4[[#This Row],[Producto]],Tabla6[[#All],[PRODUCTO]],0),MATCH(Tabla4[[#This Row],[Mes]],Tabla6[#Headers],0)))</f>
        <v>#N/A</v>
      </c>
      <c r="R209" s="282" t="e">
        <f>++Tabla4[[#This Row],[Precio Unitario Neto]]-Tabla4[[#This Row],[20.85%]]-Tabla4[[#This Row],[Costo]]</f>
        <v>#N/A</v>
      </c>
      <c r="S209" s="282" t="e">
        <f>++Tabla4[[#This Row],[U. Bruta Uni]]*Tabla4[[#This Row],[Cantidad]]</f>
        <v>#N/A</v>
      </c>
      <c r="T209" s="369" t="str">
        <f>VLOOKUP(Tabla4[[#This Row],[Producto]],Tabla6[#All],14,FALSE)</f>
        <v>Termico Solar</v>
      </c>
      <c r="U209" s="284" t="e">
        <f>(IF(Tabla4[[#This Row],[Familia]]="termico solar",Tabla4[[#This Row],[Utilidad Total]]*6%,Tabla4[[#This Row],[Utilidad Total]]*11.5%))/Tabla4[[#This Row],[Total]]</f>
        <v>#N/A</v>
      </c>
      <c r="V209" s="282" t="e">
        <f>+Tabla4[[#This Row],[Comisión Calculada]]*Tabla4[[#This Row],[Total]]</f>
        <v>#N/A</v>
      </c>
    </row>
    <row r="210" spans="1:22" hidden="1" x14ac:dyDescent="0.25">
      <c r="A210" s="100">
        <v>45672</v>
      </c>
      <c r="B210" t="str">
        <f t="shared" si="10"/>
        <v>January</v>
      </c>
      <c r="C210" s="46" t="s">
        <v>280</v>
      </c>
      <c r="F210" s="366" t="s">
        <v>775</v>
      </c>
      <c r="G210" s="46" t="s">
        <v>16</v>
      </c>
      <c r="H210" s="46">
        <v>2</v>
      </c>
      <c r="I210" s="51">
        <v>4103.8500000000004</v>
      </c>
      <c r="J210" s="281">
        <f>++Tabla4[[#This Row],[Precio Bruto]]*1.16</f>
        <v>4760.4660000000003</v>
      </c>
      <c r="K210" s="281">
        <f>+Tabla4[[#This Row],[Precio Unitario Neto]]*Tabla4[[#Headers],[20.85%]]</f>
        <v>992.55716100000006</v>
      </c>
      <c r="L210" s="282">
        <f>++Tabla4[[#This Row],[Precio Unitario Neto]]-Tabla4[[#This Row],[20.85%]]</f>
        <v>3767.9088390000002</v>
      </c>
      <c r="M210" s="282" t="e">
        <f>(INDEX(Tabla6[#All],MATCH(Tabla4[[#This Row],[Producto]],Tabla6[[#All],[PRODUCTO]],0),MATCH(Tabla4[[#This Row],[Mes]],Tabla6[#Headers],0)))*(1+Catalogos!$L$2)</f>
        <v>#N/A</v>
      </c>
      <c r="N210" s="283" t="e">
        <f>+(Tabla4[[#This Row],[Precio Descontado]]-Tabla4[[#This Row],[Precio Base]])*Tabla4[[#This Row],[Cantidad]]</f>
        <v>#N/A</v>
      </c>
      <c r="O210" s="284" t="e">
        <f>++Tabla4[[#This Row],[Utilidad Total]]/Tabla4[[#This Row],[Total]]</f>
        <v>#N/A</v>
      </c>
      <c r="P210" s="282">
        <f>++Tabla4[[#This Row],[Precio Descontado]]*Tabla4[[#This Row],[Cantidad]]</f>
        <v>7535.8176780000003</v>
      </c>
      <c r="Q210" s="282" t="e">
        <f>(INDEX(Tabla6[#All],MATCH(Tabla4[[#This Row],[Producto]],Tabla6[[#All],[PRODUCTO]],0),MATCH(Tabla4[[#This Row],[Mes]],Tabla6[#Headers],0)))</f>
        <v>#N/A</v>
      </c>
      <c r="R210" s="282" t="e">
        <f>++Tabla4[[#This Row],[Precio Unitario Neto]]-Tabla4[[#This Row],[20.85%]]-Tabla4[[#This Row],[Costo]]</f>
        <v>#N/A</v>
      </c>
      <c r="S210" s="282" t="e">
        <f>++Tabla4[[#This Row],[U. Bruta Uni]]*Tabla4[[#This Row],[Cantidad]]</f>
        <v>#N/A</v>
      </c>
      <c r="T210" s="369" t="str">
        <f>VLOOKUP(Tabla4[[#This Row],[Producto]],Tabla6[#All],14,FALSE)</f>
        <v>Termico Solar</v>
      </c>
      <c r="U210" s="284" t="e">
        <f>(IF(Tabla4[[#This Row],[Familia]]="termico solar",Tabla4[[#This Row],[Utilidad Total]]*6%,Tabla4[[#This Row],[Utilidad Total]]*11.5%))/Tabla4[[#This Row],[Total]]</f>
        <v>#N/A</v>
      </c>
      <c r="V210" s="282" t="e">
        <f>+Tabla4[[#This Row],[Comisión Calculada]]*Tabla4[[#This Row],[Total]]</f>
        <v>#N/A</v>
      </c>
    </row>
    <row r="211" spans="1:22" hidden="1" x14ac:dyDescent="0.25">
      <c r="A211" s="100">
        <v>45672</v>
      </c>
      <c r="B211" t="str">
        <f t="shared" si="10"/>
        <v>January</v>
      </c>
      <c r="C211" s="46" t="s">
        <v>280</v>
      </c>
      <c r="F211" s="366" t="s">
        <v>776</v>
      </c>
      <c r="G211" s="46" t="s">
        <v>83</v>
      </c>
      <c r="H211" s="46">
        <v>5</v>
      </c>
      <c r="I211" s="51">
        <v>8858.76</v>
      </c>
      <c r="J211" s="281">
        <f>++Tabla4[[#This Row],[Precio Bruto]]*1.16</f>
        <v>10276.161599999999</v>
      </c>
      <c r="K211" s="281">
        <f>+Tabla4[[#This Row],[Precio Unitario Neto]]*Tabla4[[#Headers],[20.85%]]</f>
        <v>2142.5796935999997</v>
      </c>
      <c r="L211" s="282">
        <f>++Tabla4[[#This Row],[Precio Unitario Neto]]-Tabla4[[#This Row],[20.85%]]</f>
        <v>8133.5819063999998</v>
      </c>
      <c r="M211" s="282" t="e">
        <f>(INDEX(Tabla6[#All],MATCH(Tabla4[[#This Row],[Producto]],Tabla6[[#All],[PRODUCTO]],0),MATCH(Tabla4[[#This Row],[Mes]],Tabla6[#Headers],0)))*(1+Catalogos!$L$2)</f>
        <v>#N/A</v>
      </c>
      <c r="N211" s="283" t="e">
        <f>+(Tabla4[[#This Row],[Precio Descontado]]-Tabla4[[#This Row],[Precio Base]])*Tabla4[[#This Row],[Cantidad]]</f>
        <v>#N/A</v>
      </c>
      <c r="O211" s="284" t="e">
        <f>++Tabla4[[#This Row],[Utilidad Total]]/Tabla4[[#This Row],[Total]]</f>
        <v>#N/A</v>
      </c>
      <c r="P211" s="282">
        <f>++Tabla4[[#This Row],[Precio Descontado]]*Tabla4[[#This Row],[Cantidad]]</f>
        <v>40667.909531999998</v>
      </c>
      <c r="Q211" s="282" t="e">
        <f>(INDEX(Tabla6[#All],MATCH(Tabla4[[#This Row],[Producto]],Tabla6[[#All],[PRODUCTO]],0),MATCH(Tabla4[[#This Row],[Mes]],Tabla6[#Headers],0)))</f>
        <v>#N/A</v>
      </c>
      <c r="R211" s="282" t="e">
        <f>++Tabla4[[#This Row],[Precio Unitario Neto]]-Tabla4[[#This Row],[20.85%]]-Tabla4[[#This Row],[Costo]]</f>
        <v>#N/A</v>
      </c>
      <c r="S211" s="282" t="e">
        <f>++Tabla4[[#This Row],[U. Bruta Uni]]*Tabla4[[#This Row],[Cantidad]]</f>
        <v>#N/A</v>
      </c>
      <c r="T211" s="369" t="str">
        <f>VLOOKUP(Tabla4[[#This Row],[Producto]],Tabla6[#All],14,FALSE)</f>
        <v>Termico Solar</v>
      </c>
      <c r="U211" s="284" t="e">
        <f>(IF(Tabla4[[#This Row],[Familia]]="termico solar",Tabla4[[#This Row],[Utilidad Total]]*6%,Tabla4[[#This Row],[Utilidad Total]]*11.5%))/Tabla4[[#This Row],[Total]]</f>
        <v>#N/A</v>
      </c>
      <c r="V211" s="282" t="e">
        <f>+Tabla4[[#This Row],[Comisión Calculada]]*Tabla4[[#This Row],[Total]]</f>
        <v>#N/A</v>
      </c>
    </row>
    <row r="212" spans="1:22" hidden="1" x14ac:dyDescent="0.25">
      <c r="A212" s="100">
        <v>45672</v>
      </c>
      <c r="B212" t="str">
        <f t="shared" si="10"/>
        <v>January</v>
      </c>
      <c r="C212" s="46" t="s">
        <v>280</v>
      </c>
      <c r="F212" s="366" t="s">
        <v>776</v>
      </c>
      <c r="G212" s="46" t="s">
        <v>17</v>
      </c>
      <c r="H212" s="46">
        <v>4</v>
      </c>
      <c r="I212" s="51">
        <v>4622.28</v>
      </c>
      <c r="J212" s="281">
        <f>++Tabla4[[#This Row],[Precio Bruto]]*1.16</f>
        <v>5361.8447999999989</v>
      </c>
      <c r="K212" s="281">
        <f>+Tabla4[[#This Row],[Precio Unitario Neto]]*Tabla4[[#Headers],[20.85%]]</f>
        <v>1117.9446407999997</v>
      </c>
      <c r="L212" s="282">
        <f>++Tabla4[[#This Row],[Precio Unitario Neto]]-Tabla4[[#This Row],[20.85%]]</f>
        <v>4243.9001591999995</v>
      </c>
      <c r="M212" s="282" t="e">
        <f>(INDEX(Tabla6[#All],MATCH(Tabla4[[#This Row],[Producto]],Tabla6[[#All],[PRODUCTO]],0),MATCH(Tabla4[[#This Row],[Mes]],Tabla6[#Headers],0)))*(1+Catalogos!$L$2)</f>
        <v>#N/A</v>
      </c>
      <c r="N212" s="283" t="e">
        <f>+(Tabla4[[#This Row],[Precio Descontado]]-Tabla4[[#This Row],[Precio Base]])*Tabla4[[#This Row],[Cantidad]]</f>
        <v>#N/A</v>
      </c>
      <c r="O212" s="284" t="e">
        <f>++Tabla4[[#This Row],[Utilidad Total]]/Tabla4[[#This Row],[Total]]</f>
        <v>#N/A</v>
      </c>
      <c r="P212" s="282">
        <f>++Tabla4[[#This Row],[Precio Descontado]]*Tabla4[[#This Row],[Cantidad]]</f>
        <v>16975.600636799998</v>
      </c>
      <c r="Q212" s="282" t="e">
        <f>(INDEX(Tabla6[#All],MATCH(Tabla4[[#This Row],[Producto]],Tabla6[[#All],[PRODUCTO]],0),MATCH(Tabla4[[#This Row],[Mes]],Tabla6[#Headers],0)))</f>
        <v>#N/A</v>
      </c>
      <c r="R212" s="282" t="e">
        <f>++Tabla4[[#This Row],[Precio Unitario Neto]]-Tabla4[[#This Row],[20.85%]]-Tabla4[[#This Row],[Costo]]</f>
        <v>#N/A</v>
      </c>
      <c r="S212" s="282" t="e">
        <f>++Tabla4[[#This Row],[U. Bruta Uni]]*Tabla4[[#This Row],[Cantidad]]</f>
        <v>#N/A</v>
      </c>
      <c r="T212" s="369" t="str">
        <f>VLOOKUP(Tabla4[[#This Row],[Producto]],Tabla6[#All],14,FALSE)</f>
        <v>Termico Solar</v>
      </c>
      <c r="U212" s="284" t="e">
        <f>(IF(Tabla4[[#This Row],[Familia]]="termico solar",Tabla4[[#This Row],[Utilidad Total]]*6%,Tabla4[[#This Row],[Utilidad Total]]*11.5%))/Tabla4[[#This Row],[Total]]</f>
        <v>#N/A</v>
      </c>
      <c r="V212" s="282" t="e">
        <f>+Tabla4[[#This Row],[Comisión Calculada]]*Tabla4[[#This Row],[Total]]</f>
        <v>#N/A</v>
      </c>
    </row>
    <row r="213" spans="1:22" hidden="1" x14ac:dyDescent="0.25">
      <c r="A213" s="100">
        <v>45672</v>
      </c>
      <c r="B213" t="str">
        <f t="shared" si="10"/>
        <v>January</v>
      </c>
      <c r="C213" s="46" t="s">
        <v>280</v>
      </c>
      <c r="F213" s="366" t="s">
        <v>776</v>
      </c>
      <c r="G213" s="46" t="s">
        <v>566</v>
      </c>
      <c r="H213" s="46">
        <v>1</v>
      </c>
      <c r="I213" s="51">
        <v>2109.4499999999998</v>
      </c>
      <c r="J213" s="281">
        <f>++Tabla4[[#This Row],[Precio Bruto]]*1.16</f>
        <v>2446.9619999999995</v>
      </c>
      <c r="K213" s="281">
        <f>+Tabla4[[#This Row],[Precio Unitario Neto]]*Tabla4[[#Headers],[20.85%]]</f>
        <v>510.19157699999988</v>
      </c>
      <c r="L213" s="282">
        <f>++Tabla4[[#This Row],[Precio Unitario Neto]]-Tabla4[[#This Row],[20.85%]]</f>
        <v>1936.7704229999997</v>
      </c>
      <c r="M213" s="282" t="e">
        <f>(INDEX(Tabla6[#All],MATCH(Tabla4[[#This Row],[Producto]],Tabla6[[#All],[PRODUCTO]],0),MATCH(Tabla4[[#This Row],[Mes]],Tabla6[#Headers],0)))*(1+Catalogos!$L$2)</f>
        <v>#N/A</v>
      </c>
      <c r="N213" s="283" t="e">
        <f>+(Tabla4[[#This Row],[Precio Descontado]]-Tabla4[[#This Row],[Precio Base]])*Tabla4[[#This Row],[Cantidad]]</f>
        <v>#N/A</v>
      </c>
      <c r="O213" s="284" t="e">
        <f>++Tabla4[[#This Row],[Utilidad Total]]/Tabla4[[#This Row],[Total]]</f>
        <v>#N/A</v>
      </c>
      <c r="P213" s="282">
        <f>++Tabla4[[#This Row],[Precio Descontado]]*Tabla4[[#This Row],[Cantidad]]</f>
        <v>1936.7704229999997</v>
      </c>
      <c r="Q213" s="282" t="e">
        <f>(INDEX(Tabla6[#All],MATCH(Tabla4[[#This Row],[Producto]],Tabla6[[#All],[PRODUCTO]],0),MATCH(Tabla4[[#This Row],[Mes]],Tabla6[#Headers],0)))</f>
        <v>#N/A</v>
      </c>
      <c r="R213" s="282" t="e">
        <f>++Tabla4[[#This Row],[Precio Unitario Neto]]-Tabla4[[#This Row],[20.85%]]-Tabla4[[#This Row],[Costo]]</f>
        <v>#N/A</v>
      </c>
      <c r="S213" s="282" t="e">
        <f>++Tabla4[[#This Row],[U. Bruta Uni]]*Tabla4[[#This Row],[Cantidad]]</f>
        <v>#N/A</v>
      </c>
      <c r="T213" s="369" t="str">
        <f>VLOOKUP(Tabla4[[#This Row],[Producto]],Tabla6[#All],14,FALSE)</f>
        <v>Termico Solar</v>
      </c>
      <c r="U213" s="284" t="e">
        <f>(IF(Tabla4[[#This Row],[Familia]]="termico solar",Tabla4[[#This Row],[Utilidad Total]]*6%,Tabla4[[#This Row],[Utilidad Total]]*11.5%))/Tabla4[[#This Row],[Total]]</f>
        <v>#N/A</v>
      </c>
      <c r="V213" s="282" t="e">
        <f>+Tabla4[[#This Row],[Comisión Calculada]]*Tabla4[[#This Row],[Total]]</f>
        <v>#N/A</v>
      </c>
    </row>
    <row r="214" spans="1:22" hidden="1" x14ac:dyDescent="0.25">
      <c r="A214" s="100">
        <v>45672</v>
      </c>
      <c r="B214" t="str">
        <f t="shared" si="10"/>
        <v>January</v>
      </c>
      <c r="C214" s="46" t="s">
        <v>280</v>
      </c>
      <c r="F214" s="366" t="s">
        <v>777</v>
      </c>
      <c r="G214" s="46" t="s">
        <v>566</v>
      </c>
      <c r="H214" s="46">
        <v>1</v>
      </c>
      <c r="I214" s="51">
        <v>2109.4499999999998</v>
      </c>
      <c r="J214" s="281">
        <f>++Tabla4[[#This Row],[Precio Bruto]]*1.16</f>
        <v>2446.9619999999995</v>
      </c>
      <c r="K214" s="281">
        <f>+Tabla4[[#This Row],[Precio Unitario Neto]]*Tabla4[[#Headers],[20.85%]]</f>
        <v>510.19157699999988</v>
      </c>
      <c r="L214" s="282">
        <f>++Tabla4[[#This Row],[Precio Unitario Neto]]-Tabla4[[#This Row],[20.85%]]</f>
        <v>1936.7704229999997</v>
      </c>
      <c r="M214" s="282" t="e">
        <f>(INDEX(Tabla6[#All],MATCH(Tabla4[[#This Row],[Producto]],Tabla6[[#All],[PRODUCTO]],0),MATCH(Tabla4[[#This Row],[Mes]],Tabla6[#Headers],0)))*(1+Catalogos!$L$2)</f>
        <v>#N/A</v>
      </c>
      <c r="N214" s="283" t="e">
        <f>+(Tabla4[[#This Row],[Precio Descontado]]-Tabla4[[#This Row],[Precio Base]])*Tabla4[[#This Row],[Cantidad]]</f>
        <v>#N/A</v>
      </c>
      <c r="O214" s="284" t="e">
        <f>++Tabla4[[#This Row],[Utilidad Total]]/Tabla4[[#This Row],[Total]]</f>
        <v>#N/A</v>
      </c>
      <c r="P214" s="282">
        <f>++Tabla4[[#This Row],[Precio Descontado]]*Tabla4[[#This Row],[Cantidad]]</f>
        <v>1936.7704229999997</v>
      </c>
      <c r="Q214" s="282" t="e">
        <f>(INDEX(Tabla6[#All],MATCH(Tabla4[[#This Row],[Producto]],Tabla6[[#All],[PRODUCTO]],0),MATCH(Tabla4[[#This Row],[Mes]],Tabla6[#Headers],0)))</f>
        <v>#N/A</v>
      </c>
      <c r="R214" s="282" t="e">
        <f>++Tabla4[[#This Row],[Precio Unitario Neto]]-Tabla4[[#This Row],[20.85%]]-Tabla4[[#This Row],[Costo]]</f>
        <v>#N/A</v>
      </c>
      <c r="S214" s="282" t="e">
        <f>++Tabla4[[#This Row],[U. Bruta Uni]]*Tabla4[[#This Row],[Cantidad]]</f>
        <v>#N/A</v>
      </c>
      <c r="T214" s="369" t="str">
        <f>VLOOKUP(Tabla4[[#This Row],[Producto]],Tabla6[#All],14,FALSE)</f>
        <v>Termico Solar</v>
      </c>
      <c r="U214" s="284" t="e">
        <f>(IF(Tabla4[[#This Row],[Familia]]="termico solar",Tabla4[[#This Row],[Utilidad Total]]*6%,Tabla4[[#This Row],[Utilidad Total]]*11.5%))/Tabla4[[#This Row],[Total]]</f>
        <v>#N/A</v>
      </c>
      <c r="V214" s="282" t="e">
        <f>+Tabla4[[#This Row],[Comisión Calculada]]*Tabla4[[#This Row],[Total]]</f>
        <v>#N/A</v>
      </c>
    </row>
    <row r="215" spans="1:22" hidden="1" x14ac:dyDescent="0.25">
      <c r="A215" s="100">
        <v>45672</v>
      </c>
      <c r="B215" t="str">
        <f t="shared" si="10"/>
        <v>January</v>
      </c>
      <c r="C215" s="46" t="s">
        <v>280</v>
      </c>
      <c r="F215" s="366" t="s">
        <v>777</v>
      </c>
      <c r="G215" s="46" t="s">
        <v>16</v>
      </c>
      <c r="H215" s="46">
        <v>2</v>
      </c>
      <c r="I215" s="51">
        <v>4103.8500000000004</v>
      </c>
      <c r="J215" s="281">
        <f>++Tabla4[[#This Row],[Precio Bruto]]*1.16</f>
        <v>4760.4660000000003</v>
      </c>
      <c r="K215" s="281">
        <f>+Tabla4[[#This Row],[Precio Unitario Neto]]*Tabla4[[#Headers],[20.85%]]</f>
        <v>992.55716100000006</v>
      </c>
      <c r="L215" s="282">
        <f>++Tabla4[[#This Row],[Precio Unitario Neto]]-Tabla4[[#This Row],[20.85%]]</f>
        <v>3767.9088390000002</v>
      </c>
      <c r="M215" s="282" t="e">
        <f>(INDEX(Tabla6[#All],MATCH(Tabla4[[#This Row],[Producto]],Tabla6[[#All],[PRODUCTO]],0),MATCH(Tabla4[[#This Row],[Mes]],Tabla6[#Headers],0)))*(1+Catalogos!$L$2)</f>
        <v>#N/A</v>
      </c>
      <c r="N215" s="283" t="e">
        <f>+(Tabla4[[#This Row],[Precio Descontado]]-Tabla4[[#This Row],[Precio Base]])*Tabla4[[#This Row],[Cantidad]]</f>
        <v>#N/A</v>
      </c>
      <c r="O215" s="284" t="e">
        <f>++Tabla4[[#This Row],[Utilidad Total]]/Tabla4[[#This Row],[Total]]</f>
        <v>#N/A</v>
      </c>
      <c r="P215" s="282">
        <f>++Tabla4[[#This Row],[Precio Descontado]]*Tabla4[[#This Row],[Cantidad]]</f>
        <v>7535.8176780000003</v>
      </c>
      <c r="Q215" s="282" t="e">
        <f>(INDEX(Tabla6[#All],MATCH(Tabla4[[#This Row],[Producto]],Tabla6[[#All],[PRODUCTO]],0),MATCH(Tabla4[[#This Row],[Mes]],Tabla6[#Headers],0)))</f>
        <v>#N/A</v>
      </c>
      <c r="R215" s="282" t="e">
        <f>++Tabla4[[#This Row],[Precio Unitario Neto]]-Tabla4[[#This Row],[20.85%]]-Tabla4[[#This Row],[Costo]]</f>
        <v>#N/A</v>
      </c>
      <c r="S215" s="282" t="e">
        <f>++Tabla4[[#This Row],[U. Bruta Uni]]*Tabla4[[#This Row],[Cantidad]]</f>
        <v>#N/A</v>
      </c>
      <c r="T215" s="369" t="str">
        <f>VLOOKUP(Tabla4[[#This Row],[Producto]],Tabla6[#All],14,FALSE)</f>
        <v>Termico Solar</v>
      </c>
      <c r="U215" s="284" t="e">
        <f>(IF(Tabla4[[#This Row],[Familia]]="termico solar",Tabla4[[#This Row],[Utilidad Total]]*6%,Tabla4[[#This Row],[Utilidad Total]]*11.5%))/Tabla4[[#This Row],[Total]]</f>
        <v>#N/A</v>
      </c>
      <c r="V215" s="282" t="e">
        <f>+Tabla4[[#This Row],[Comisión Calculada]]*Tabla4[[#This Row],[Total]]</f>
        <v>#N/A</v>
      </c>
    </row>
    <row r="216" spans="1:22" hidden="1" x14ac:dyDescent="0.25">
      <c r="A216" s="100">
        <v>45672</v>
      </c>
      <c r="B216" t="str">
        <f t="shared" si="10"/>
        <v>January</v>
      </c>
      <c r="C216" s="46" t="s">
        <v>280</v>
      </c>
      <c r="F216" s="366" t="s">
        <v>778</v>
      </c>
      <c r="G216" s="46" t="s">
        <v>566</v>
      </c>
      <c r="H216" s="46">
        <v>1</v>
      </c>
      <c r="I216" s="51">
        <v>2109.4499999999998</v>
      </c>
      <c r="J216" s="281">
        <f>++Tabla4[[#This Row],[Precio Bruto]]*1.16</f>
        <v>2446.9619999999995</v>
      </c>
      <c r="K216" s="281">
        <f>+Tabla4[[#This Row],[Precio Unitario Neto]]*Tabla4[[#Headers],[20.85%]]</f>
        <v>510.19157699999988</v>
      </c>
      <c r="L216" s="282">
        <f>++Tabla4[[#This Row],[Precio Unitario Neto]]-Tabla4[[#This Row],[20.85%]]</f>
        <v>1936.7704229999997</v>
      </c>
      <c r="M216" s="282" t="e">
        <f>(INDEX(Tabla6[#All],MATCH(Tabla4[[#This Row],[Producto]],Tabla6[[#All],[PRODUCTO]],0),MATCH(Tabla4[[#This Row],[Mes]],Tabla6[#Headers],0)))*(1+Catalogos!$L$2)</f>
        <v>#N/A</v>
      </c>
      <c r="N216" s="283" t="e">
        <f>+(Tabla4[[#This Row],[Precio Descontado]]-Tabla4[[#This Row],[Precio Base]])*Tabla4[[#This Row],[Cantidad]]</f>
        <v>#N/A</v>
      </c>
      <c r="O216" s="284" t="e">
        <f>++Tabla4[[#This Row],[Utilidad Total]]/Tabla4[[#This Row],[Total]]</f>
        <v>#N/A</v>
      </c>
      <c r="P216" s="282">
        <f>++Tabla4[[#This Row],[Precio Descontado]]*Tabla4[[#This Row],[Cantidad]]</f>
        <v>1936.7704229999997</v>
      </c>
      <c r="Q216" s="282" t="e">
        <f>(INDEX(Tabla6[#All],MATCH(Tabla4[[#This Row],[Producto]],Tabla6[[#All],[PRODUCTO]],0),MATCH(Tabla4[[#This Row],[Mes]],Tabla6[#Headers],0)))</f>
        <v>#N/A</v>
      </c>
      <c r="R216" s="282" t="e">
        <f>++Tabla4[[#This Row],[Precio Unitario Neto]]-Tabla4[[#This Row],[20.85%]]-Tabla4[[#This Row],[Costo]]</f>
        <v>#N/A</v>
      </c>
      <c r="S216" s="282" t="e">
        <f>++Tabla4[[#This Row],[U. Bruta Uni]]*Tabla4[[#This Row],[Cantidad]]</f>
        <v>#N/A</v>
      </c>
      <c r="T216" s="369" t="str">
        <f>VLOOKUP(Tabla4[[#This Row],[Producto]],Tabla6[#All],14,FALSE)</f>
        <v>Termico Solar</v>
      </c>
      <c r="U216" s="284" t="e">
        <f>(IF(Tabla4[[#This Row],[Familia]]="termico solar",Tabla4[[#This Row],[Utilidad Total]]*6%,Tabla4[[#This Row],[Utilidad Total]]*11.5%))/Tabla4[[#This Row],[Total]]</f>
        <v>#N/A</v>
      </c>
      <c r="V216" s="282" t="e">
        <f>+Tabla4[[#This Row],[Comisión Calculada]]*Tabla4[[#This Row],[Total]]</f>
        <v>#N/A</v>
      </c>
    </row>
    <row r="217" spans="1:22" hidden="1" x14ac:dyDescent="0.25">
      <c r="A217" s="100">
        <v>45672</v>
      </c>
      <c r="B217" t="str">
        <f t="shared" si="10"/>
        <v>January</v>
      </c>
      <c r="C217" s="46" t="s">
        <v>280</v>
      </c>
      <c r="F217" s="366" t="s">
        <v>779</v>
      </c>
      <c r="G217" s="46" t="s">
        <v>21</v>
      </c>
      <c r="H217" s="46">
        <v>1</v>
      </c>
      <c r="I217" s="51">
        <v>9282.19</v>
      </c>
      <c r="J217" s="281">
        <f>++Tabla4[[#This Row],[Precio Bruto]]*1.16</f>
        <v>10767.340399999999</v>
      </c>
      <c r="K217" s="281">
        <f>+Tabla4[[#This Row],[Precio Unitario Neto]]*Tabla4[[#Headers],[20.85%]]</f>
        <v>2244.9904733999997</v>
      </c>
      <c r="L217" s="282">
        <f>++Tabla4[[#This Row],[Precio Unitario Neto]]-Tabla4[[#This Row],[20.85%]]</f>
        <v>8522.3499265999999</v>
      </c>
      <c r="M217" s="282" t="e">
        <f>(INDEX(Tabla6[#All],MATCH(Tabla4[[#This Row],[Producto]],Tabla6[[#All],[PRODUCTO]],0),MATCH(Tabla4[[#This Row],[Mes]],Tabla6[#Headers],0)))*(1+Catalogos!$L$2)</f>
        <v>#N/A</v>
      </c>
      <c r="N217" s="283" t="e">
        <f>+(Tabla4[[#This Row],[Precio Descontado]]-Tabla4[[#This Row],[Precio Base]])*Tabla4[[#This Row],[Cantidad]]</f>
        <v>#N/A</v>
      </c>
      <c r="O217" s="284" t="e">
        <f>++Tabla4[[#This Row],[Utilidad Total]]/Tabla4[[#This Row],[Total]]</f>
        <v>#N/A</v>
      </c>
      <c r="P217" s="282">
        <f>++Tabla4[[#This Row],[Precio Descontado]]*Tabla4[[#This Row],[Cantidad]]</f>
        <v>8522.3499265999999</v>
      </c>
      <c r="Q217" s="282" t="e">
        <f>(INDEX(Tabla6[#All],MATCH(Tabla4[[#This Row],[Producto]],Tabla6[[#All],[PRODUCTO]],0),MATCH(Tabla4[[#This Row],[Mes]],Tabla6[#Headers],0)))</f>
        <v>#N/A</v>
      </c>
      <c r="R217" s="282" t="e">
        <f>++Tabla4[[#This Row],[Precio Unitario Neto]]-Tabla4[[#This Row],[20.85%]]-Tabla4[[#This Row],[Costo]]</f>
        <v>#N/A</v>
      </c>
      <c r="S217" s="282" t="e">
        <f>++Tabla4[[#This Row],[U. Bruta Uni]]*Tabla4[[#This Row],[Cantidad]]</f>
        <v>#N/A</v>
      </c>
      <c r="T217" s="369" t="str">
        <f>VLOOKUP(Tabla4[[#This Row],[Producto]],Tabla6[#All],14,FALSE)</f>
        <v>Termico Solar</v>
      </c>
      <c r="U217" s="284" t="e">
        <f>(IF(Tabla4[[#This Row],[Familia]]="termico solar",Tabla4[[#This Row],[Utilidad Total]]*6%,Tabla4[[#This Row],[Utilidad Total]]*11.5%))/Tabla4[[#This Row],[Total]]</f>
        <v>#N/A</v>
      </c>
      <c r="V217" s="282" t="e">
        <f>+Tabla4[[#This Row],[Comisión Calculada]]*Tabla4[[#This Row],[Total]]</f>
        <v>#N/A</v>
      </c>
    </row>
    <row r="218" spans="1:22" hidden="1" x14ac:dyDescent="0.25">
      <c r="A218" s="100">
        <v>45688</v>
      </c>
      <c r="B218" t="str">
        <f t="shared" si="10"/>
        <v>January</v>
      </c>
      <c r="C218" s="46" t="s">
        <v>280</v>
      </c>
      <c r="F218" s="366" t="s">
        <v>783</v>
      </c>
      <c r="G218" s="46" t="s">
        <v>19</v>
      </c>
      <c r="H218" s="46">
        <v>2</v>
      </c>
      <c r="I218" s="51">
        <v>6412.03</v>
      </c>
      <c r="J218" s="281">
        <f>++Tabla4[[#This Row],[Precio Bruto]]*1.16</f>
        <v>7437.9547999999995</v>
      </c>
      <c r="K218" s="281">
        <f>+Tabla4[[#This Row],[Precio Unitario Neto]]*Tabla4[[#Headers],[20.85%]]</f>
        <v>1550.8135757999999</v>
      </c>
      <c r="L218" s="282">
        <f>++Tabla4[[#This Row],[Precio Unitario Neto]]-Tabla4[[#This Row],[20.85%]]</f>
        <v>5887.1412241999997</v>
      </c>
      <c r="M218" s="282" t="e">
        <f>(INDEX(Tabla6[#All],MATCH(Tabla4[[#This Row],[Producto]],Tabla6[[#All],[PRODUCTO]],0),MATCH(Tabla4[[#This Row],[Mes]],Tabla6[#Headers],0)))*(1+Catalogos!$L$2)</f>
        <v>#N/A</v>
      </c>
      <c r="N218" s="283" t="e">
        <f>+(Tabla4[[#This Row],[Precio Descontado]]-Tabla4[[#This Row],[Precio Base]])*Tabla4[[#This Row],[Cantidad]]</f>
        <v>#N/A</v>
      </c>
      <c r="O218" s="284" t="e">
        <f>++Tabla4[[#This Row],[Utilidad Total]]/Tabla4[[#This Row],[Total]]</f>
        <v>#N/A</v>
      </c>
      <c r="P218" s="282">
        <f>++Tabla4[[#This Row],[Precio Descontado]]*Tabla4[[#This Row],[Cantidad]]</f>
        <v>11774.282448399999</v>
      </c>
      <c r="Q218" s="282" t="e">
        <f>(INDEX(Tabla6[#All],MATCH(Tabla4[[#This Row],[Producto]],Tabla6[[#All],[PRODUCTO]],0),MATCH(Tabla4[[#This Row],[Mes]],Tabla6[#Headers],0)))</f>
        <v>#N/A</v>
      </c>
      <c r="R218" s="282" t="e">
        <f>++Tabla4[[#This Row],[Precio Unitario Neto]]-Tabla4[[#This Row],[20.85%]]-Tabla4[[#This Row],[Costo]]</f>
        <v>#N/A</v>
      </c>
      <c r="S218" s="282" t="e">
        <f>++Tabla4[[#This Row],[U. Bruta Uni]]*Tabla4[[#This Row],[Cantidad]]</f>
        <v>#N/A</v>
      </c>
      <c r="T218" s="369" t="str">
        <f>VLOOKUP(Tabla4[[#This Row],[Producto]],Tabla6[#All],14,FALSE)</f>
        <v>Termico Solar</v>
      </c>
      <c r="U218" s="284" t="e">
        <f>(IF(Tabla4[[#This Row],[Familia]]="termico solar",Tabla4[[#This Row],[Utilidad Total]]*6%,Tabla4[[#This Row],[Utilidad Total]]*11.5%))/Tabla4[[#This Row],[Total]]</f>
        <v>#N/A</v>
      </c>
      <c r="V218" s="282" t="e">
        <f>+Tabla4[[#This Row],[Comisión Calculada]]*Tabla4[[#This Row],[Total]]</f>
        <v>#N/A</v>
      </c>
    </row>
    <row r="219" spans="1:22" hidden="1" x14ac:dyDescent="0.25">
      <c r="A219" s="100">
        <v>45688</v>
      </c>
      <c r="B219" t="str">
        <f t="shared" si="10"/>
        <v>January</v>
      </c>
      <c r="C219" s="46" t="s">
        <v>280</v>
      </c>
      <c r="F219" s="366" t="s">
        <v>784</v>
      </c>
      <c r="G219" s="46" t="s">
        <v>17</v>
      </c>
      <c r="H219" s="46">
        <v>3</v>
      </c>
      <c r="I219" s="51">
        <v>4622.28</v>
      </c>
      <c r="J219" s="281">
        <f>++Tabla4[[#This Row],[Precio Bruto]]*1.16</f>
        <v>5361.8447999999989</v>
      </c>
      <c r="K219" s="281">
        <f>+Tabla4[[#This Row],[Precio Unitario Neto]]*Tabla4[[#Headers],[20.85%]]</f>
        <v>1117.9446407999997</v>
      </c>
      <c r="L219" s="282">
        <f>++Tabla4[[#This Row],[Precio Unitario Neto]]-Tabla4[[#This Row],[20.85%]]</f>
        <v>4243.9001591999995</v>
      </c>
      <c r="M219" s="282" t="e">
        <f>(INDEX(Tabla6[#All],MATCH(Tabla4[[#This Row],[Producto]],Tabla6[[#All],[PRODUCTO]],0),MATCH(Tabla4[[#This Row],[Mes]],Tabla6[#Headers],0)))*(1+Catalogos!$L$2)</f>
        <v>#N/A</v>
      </c>
      <c r="N219" s="283" t="e">
        <f>+(Tabla4[[#This Row],[Precio Descontado]]-Tabla4[[#This Row],[Precio Base]])*Tabla4[[#This Row],[Cantidad]]</f>
        <v>#N/A</v>
      </c>
      <c r="O219" s="284" t="e">
        <f>++Tabla4[[#This Row],[Utilidad Total]]/Tabla4[[#This Row],[Total]]</f>
        <v>#N/A</v>
      </c>
      <c r="P219" s="282">
        <f>++Tabla4[[#This Row],[Precio Descontado]]*Tabla4[[#This Row],[Cantidad]]</f>
        <v>12731.700477599999</v>
      </c>
      <c r="Q219" s="282" t="e">
        <f>(INDEX(Tabla6[#All],MATCH(Tabla4[[#This Row],[Producto]],Tabla6[[#All],[PRODUCTO]],0),MATCH(Tabla4[[#This Row],[Mes]],Tabla6[#Headers],0)))</f>
        <v>#N/A</v>
      </c>
      <c r="R219" s="282" t="e">
        <f>++Tabla4[[#This Row],[Precio Unitario Neto]]-Tabla4[[#This Row],[20.85%]]-Tabla4[[#This Row],[Costo]]</f>
        <v>#N/A</v>
      </c>
      <c r="S219" s="282" t="e">
        <f>++Tabla4[[#This Row],[U. Bruta Uni]]*Tabla4[[#This Row],[Cantidad]]</f>
        <v>#N/A</v>
      </c>
      <c r="T219" s="369" t="str">
        <f>VLOOKUP(Tabla4[[#This Row],[Producto]],Tabla6[#All],14,FALSE)</f>
        <v>Termico Solar</v>
      </c>
      <c r="U219" s="284" t="e">
        <f>(IF(Tabla4[[#This Row],[Familia]]="termico solar",Tabla4[[#This Row],[Utilidad Total]]*6%,Tabla4[[#This Row],[Utilidad Total]]*11.5%))/Tabla4[[#This Row],[Total]]</f>
        <v>#N/A</v>
      </c>
      <c r="V219" s="282" t="e">
        <f>+Tabla4[[#This Row],[Comisión Calculada]]*Tabla4[[#This Row],[Total]]</f>
        <v>#N/A</v>
      </c>
    </row>
    <row r="220" spans="1:22" hidden="1" x14ac:dyDescent="0.25">
      <c r="A220" s="100">
        <v>45688</v>
      </c>
      <c r="B220" t="str">
        <f t="shared" si="10"/>
        <v>January</v>
      </c>
      <c r="C220" s="46" t="s">
        <v>280</v>
      </c>
      <c r="F220" s="366" t="s">
        <v>784</v>
      </c>
      <c r="G220" s="46" t="s">
        <v>19</v>
      </c>
      <c r="H220" s="46">
        <v>1</v>
      </c>
      <c r="I220" s="51">
        <v>6412.03</v>
      </c>
      <c r="J220" s="281">
        <f>++Tabla4[[#This Row],[Precio Bruto]]*1.16</f>
        <v>7437.9547999999995</v>
      </c>
      <c r="K220" s="281">
        <f>+Tabla4[[#This Row],[Precio Unitario Neto]]*Tabla4[[#Headers],[20.85%]]</f>
        <v>1550.8135757999999</v>
      </c>
      <c r="L220" s="282">
        <f>++Tabla4[[#This Row],[Precio Unitario Neto]]-Tabla4[[#This Row],[20.85%]]</f>
        <v>5887.1412241999997</v>
      </c>
      <c r="M220" s="282" t="e">
        <f>(INDEX(Tabla6[#All],MATCH(Tabla4[[#This Row],[Producto]],Tabla6[[#All],[PRODUCTO]],0),MATCH(Tabla4[[#This Row],[Mes]],Tabla6[#Headers],0)))*(1+Catalogos!$L$2)</f>
        <v>#N/A</v>
      </c>
      <c r="N220" s="283" t="e">
        <f>+(Tabla4[[#This Row],[Precio Descontado]]-Tabla4[[#This Row],[Precio Base]])*Tabla4[[#This Row],[Cantidad]]</f>
        <v>#N/A</v>
      </c>
      <c r="O220" s="284" t="e">
        <f>++Tabla4[[#This Row],[Utilidad Total]]/Tabla4[[#This Row],[Total]]</f>
        <v>#N/A</v>
      </c>
      <c r="P220" s="282">
        <f>++Tabla4[[#This Row],[Precio Descontado]]*Tabla4[[#This Row],[Cantidad]]</f>
        <v>5887.1412241999997</v>
      </c>
      <c r="Q220" s="282" t="e">
        <f>(INDEX(Tabla6[#All],MATCH(Tabla4[[#This Row],[Producto]],Tabla6[[#All],[PRODUCTO]],0),MATCH(Tabla4[[#This Row],[Mes]],Tabla6[#Headers],0)))</f>
        <v>#N/A</v>
      </c>
      <c r="R220" s="282" t="e">
        <f>++Tabla4[[#This Row],[Precio Unitario Neto]]-Tabla4[[#This Row],[20.85%]]-Tabla4[[#This Row],[Costo]]</f>
        <v>#N/A</v>
      </c>
      <c r="S220" s="282" t="e">
        <f>++Tabla4[[#This Row],[U. Bruta Uni]]*Tabla4[[#This Row],[Cantidad]]</f>
        <v>#N/A</v>
      </c>
      <c r="T220" s="369" t="str">
        <f>VLOOKUP(Tabla4[[#This Row],[Producto]],Tabla6[#All],14,FALSE)</f>
        <v>Termico Solar</v>
      </c>
      <c r="U220" s="284" t="e">
        <f>(IF(Tabla4[[#This Row],[Familia]]="termico solar",Tabla4[[#This Row],[Utilidad Total]]*6%,Tabla4[[#This Row],[Utilidad Total]]*11.5%))/Tabla4[[#This Row],[Total]]</f>
        <v>#N/A</v>
      </c>
      <c r="V220" s="282" t="e">
        <f>+Tabla4[[#This Row],[Comisión Calculada]]*Tabla4[[#This Row],[Total]]</f>
        <v>#N/A</v>
      </c>
    </row>
    <row r="221" spans="1:22" hidden="1" x14ac:dyDescent="0.25">
      <c r="A221" s="100">
        <v>45688</v>
      </c>
      <c r="B221" t="str">
        <f t="shared" si="10"/>
        <v>January</v>
      </c>
      <c r="C221" s="46" t="s">
        <v>280</v>
      </c>
      <c r="F221" s="366" t="s">
        <v>785</v>
      </c>
      <c r="G221" s="46" t="s">
        <v>83</v>
      </c>
      <c r="H221" s="46">
        <v>1</v>
      </c>
      <c r="I221" s="51">
        <v>8858.76</v>
      </c>
      <c r="J221" s="281">
        <f>++Tabla4[[#This Row],[Precio Bruto]]*1.16</f>
        <v>10276.161599999999</v>
      </c>
      <c r="K221" s="281">
        <f>+Tabla4[[#This Row],[Precio Unitario Neto]]*Tabla4[[#Headers],[20.85%]]</f>
        <v>2142.5796935999997</v>
      </c>
      <c r="L221" s="282">
        <f>++Tabla4[[#This Row],[Precio Unitario Neto]]-Tabla4[[#This Row],[20.85%]]</f>
        <v>8133.5819063999998</v>
      </c>
      <c r="M221" s="282" t="e">
        <f>(INDEX(Tabla6[#All],MATCH(Tabla4[[#This Row],[Producto]],Tabla6[[#All],[PRODUCTO]],0),MATCH(Tabla4[[#This Row],[Mes]],Tabla6[#Headers],0)))*(1+Catalogos!$L$2)</f>
        <v>#N/A</v>
      </c>
      <c r="N221" s="283" t="e">
        <f>+(Tabla4[[#This Row],[Precio Descontado]]-Tabla4[[#This Row],[Precio Base]])*Tabla4[[#This Row],[Cantidad]]</f>
        <v>#N/A</v>
      </c>
      <c r="O221" s="284" t="e">
        <f>++Tabla4[[#This Row],[Utilidad Total]]/Tabla4[[#This Row],[Total]]</f>
        <v>#N/A</v>
      </c>
      <c r="P221" s="282">
        <f>++Tabla4[[#This Row],[Precio Descontado]]*Tabla4[[#This Row],[Cantidad]]</f>
        <v>8133.5819063999998</v>
      </c>
      <c r="Q221" s="282" t="e">
        <f>(INDEX(Tabla6[#All],MATCH(Tabla4[[#This Row],[Producto]],Tabla6[[#All],[PRODUCTO]],0),MATCH(Tabla4[[#This Row],[Mes]],Tabla6[#Headers],0)))</f>
        <v>#N/A</v>
      </c>
      <c r="R221" s="282" t="e">
        <f>++Tabla4[[#This Row],[Precio Unitario Neto]]-Tabla4[[#This Row],[20.85%]]-Tabla4[[#This Row],[Costo]]</f>
        <v>#N/A</v>
      </c>
      <c r="S221" s="282" t="e">
        <f>++Tabla4[[#This Row],[U. Bruta Uni]]*Tabla4[[#This Row],[Cantidad]]</f>
        <v>#N/A</v>
      </c>
      <c r="T221" s="369" t="str">
        <f>VLOOKUP(Tabla4[[#This Row],[Producto]],Tabla6[#All],14,FALSE)</f>
        <v>Termico Solar</v>
      </c>
      <c r="U221" s="284" t="e">
        <f>(IF(Tabla4[[#This Row],[Familia]]="termico solar",Tabla4[[#This Row],[Utilidad Total]]*6%,Tabla4[[#This Row],[Utilidad Total]]*11.5%))/Tabla4[[#This Row],[Total]]</f>
        <v>#N/A</v>
      </c>
      <c r="V221" s="282" t="e">
        <f>+Tabla4[[#This Row],[Comisión Calculada]]*Tabla4[[#This Row],[Total]]</f>
        <v>#N/A</v>
      </c>
    </row>
    <row r="222" spans="1:22" hidden="1" x14ac:dyDescent="0.25">
      <c r="A222" s="100">
        <v>45688</v>
      </c>
      <c r="B222" t="str">
        <f t="shared" si="10"/>
        <v>January</v>
      </c>
      <c r="C222" s="46" t="s">
        <v>280</v>
      </c>
      <c r="F222" s="366" t="s">
        <v>785</v>
      </c>
      <c r="G222" s="46" t="s">
        <v>17</v>
      </c>
      <c r="H222" s="46">
        <v>2</v>
      </c>
      <c r="I222" s="51">
        <v>4622.28</v>
      </c>
      <c r="J222" s="281">
        <f>++Tabla4[[#This Row],[Precio Bruto]]*1.16</f>
        <v>5361.8447999999989</v>
      </c>
      <c r="K222" s="281">
        <f>+Tabla4[[#This Row],[Precio Unitario Neto]]*Tabla4[[#Headers],[20.85%]]</f>
        <v>1117.9446407999997</v>
      </c>
      <c r="L222" s="282">
        <f>++Tabla4[[#This Row],[Precio Unitario Neto]]-Tabla4[[#This Row],[20.85%]]</f>
        <v>4243.9001591999995</v>
      </c>
      <c r="M222" s="282" t="e">
        <f>(INDEX(Tabla6[#All],MATCH(Tabla4[[#This Row],[Producto]],Tabla6[[#All],[PRODUCTO]],0),MATCH(Tabla4[[#This Row],[Mes]],Tabla6[#Headers],0)))*(1+Catalogos!$L$2)</f>
        <v>#N/A</v>
      </c>
      <c r="N222" s="283" t="e">
        <f>+(Tabla4[[#This Row],[Precio Descontado]]-Tabla4[[#This Row],[Precio Base]])*Tabla4[[#This Row],[Cantidad]]</f>
        <v>#N/A</v>
      </c>
      <c r="O222" s="284" t="e">
        <f>++Tabla4[[#This Row],[Utilidad Total]]/Tabla4[[#This Row],[Total]]</f>
        <v>#N/A</v>
      </c>
      <c r="P222" s="282">
        <f>++Tabla4[[#This Row],[Precio Descontado]]*Tabla4[[#This Row],[Cantidad]]</f>
        <v>8487.800318399999</v>
      </c>
      <c r="Q222" s="282" t="e">
        <f>(INDEX(Tabla6[#All],MATCH(Tabla4[[#This Row],[Producto]],Tabla6[[#All],[PRODUCTO]],0),MATCH(Tabla4[[#This Row],[Mes]],Tabla6[#Headers],0)))</f>
        <v>#N/A</v>
      </c>
      <c r="R222" s="282" t="e">
        <f>++Tabla4[[#This Row],[Precio Unitario Neto]]-Tabla4[[#This Row],[20.85%]]-Tabla4[[#This Row],[Costo]]</f>
        <v>#N/A</v>
      </c>
      <c r="S222" s="282" t="e">
        <f>++Tabla4[[#This Row],[U. Bruta Uni]]*Tabla4[[#This Row],[Cantidad]]</f>
        <v>#N/A</v>
      </c>
      <c r="T222" s="369" t="str">
        <f>VLOOKUP(Tabla4[[#This Row],[Producto]],Tabla6[#All],14,FALSE)</f>
        <v>Termico Solar</v>
      </c>
      <c r="U222" s="284" t="e">
        <f>(IF(Tabla4[[#This Row],[Familia]]="termico solar",Tabla4[[#This Row],[Utilidad Total]]*6%,Tabla4[[#This Row],[Utilidad Total]]*11.5%))/Tabla4[[#This Row],[Total]]</f>
        <v>#N/A</v>
      </c>
      <c r="V222" s="282" t="e">
        <f>+Tabla4[[#This Row],[Comisión Calculada]]*Tabla4[[#This Row],[Total]]</f>
        <v>#N/A</v>
      </c>
    </row>
    <row r="223" spans="1:22" hidden="1" x14ac:dyDescent="0.25">
      <c r="A223" s="100">
        <v>45688</v>
      </c>
      <c r="B223" t="str">
        <f t="shared" si="10"/>
        <v>January</v>
      </c>
      <c r="C223" s="46" t="s">
        <v>280</v>
      </c>
      <c r="F223" s="366" t="s">
        <v>785</v>
      </c>
      <c r="G223" s="46" t="s">
        <v>18</v>
      </c>
      <c r="H223" s="46">
        <v>2</v>
      </c>
      <c r="I223" s="51">
        <v>5367.65</v>
      </c>
      <c r="J223" s="281">
        <f>++Tabla4[[#This Row],[Precio Bruto]]*1.16</f>
        <v>6226.4739999999993</v>
      </c>
      <c r="K223" s="281">
        <f>+Tabla4[[#This Row],[Precio Unitario Neto]]*Tabla4[[#Headers],[20.85%]]</f>
        <v>1298.2198289999999</v>
      </c>
      <c r="L223" s="282">
        <f>++Tabla4[[#This Row],[Precio Unitario Neto]]-Tabla4[[#This Row],[20.85%]]</f>
        <v>4928.2541709999996</v>
      </c>
      <c r="M223" s="282" t="e">
        <f>(INDEX(Tabla6[#All],MATCH(Tabla4[[#This Row],[Producto]],Tabla6[[#All],[PRODUCTO]],0),MATCH(Tabla4[[#This Row],[Mes]],Tabla6[#Headers],0)))*(1+Catalogos!$L$2)</f>
        <v>#N/A</v>
      </c>
      <c r="N223" s="283" t="e">
        <f>+(Tabla4[[#This Row],[Precio Descontado]]-Tabla4[[#This Row],[Precio Base]])*Tabla4[[#This Row],[Cantidad]]</f>
        <v>#N/A</v>
      </c>
      <c r="O223" s="284" t="e">
        <f>++Tabla4[[#This Row],[Utilidad Total]]/Tabla4[[#This Row],[Total]]</f>
        <v>#N/A</v>
      </c>
      <c r="P223" s="282">
        <f>++Tabla4[[#This Row],[Precio Descontado]]*Tabla4[[#This Row],[Cantidad]]</f>
        <v>9856.5083419999992</v>
      </c>
      <c r="Q223" s="282" t="e">
        <f>(INDEX(Tabla6[#All],MATCH(Tabla4[[#This Row],[Producto]],Tabla6[[#All],[PRODUCTO]],0),MATCH(Tabla4[[#This Row],[Mes]],Tabla6[#Headers],0)))</f>
        <v>#N/A</v>
      </c>
      <c r="R223" s="282" t="e">
        <f>++Tabla4[[#This Row],[Precio Unitario Neto]]-Tabla4[[#This Row],[20.85%]]-Tabla4[[#This Row],[Costo]]</f>
        <v>#N/A</v>
      </c>
      <c r="S223" s="282" t="e">
        <f>++Tabla4[[#This Row],[U. Bruta Uni]]*Tabla4[[#This Row],[Cantidad]]</f>
        <v>#N/A</v>
      </c>
      <c r="T223" s="369" t="str">
        <f>VLOOKUP(Tabla4[[#This Row],[Producto]],Tabla6[#All],14,FALSE)</f>
        <v>Termico Solar</v>
      </c>
      <c r="U223" s="284" t="e">
        <f>(IF(Tabla4[[#This Row],[Familia]]="termico solar",Tabla4[[#This Row],[Utilidad Total]]*6%,Tabla4[[#This Row],[Utilidad Total]]*11.5%))/Tabla4[[#This Row],[Total]]</f>
        <v>#N/A</v>
      </c>
      <c r="V223" s="282" t="e">
        <f>+Tabla4[[#This Row],[Comisión Calculada]]*Tabla4[[#This Row],[Total]]</f>
        <v>#N/A</v>
      </c>
    </row>
    <row r="224" spans="1:22" hidden="1" x14ac:dyDescent="0.25">
      <c r="A224" s="100">
        <v>45688</v>
      </c>
      <c r="B224" t="str">
        <f t="shared" si="10"/>
        <v>January</v>
      </c>
      <c r="C224" s="46" t="s">
        <v>280</v>
      </c>
      <c r="F224" s="366" t="s">
        <v>786</v>
      </c>
      <c r="G224" s="46" t="s">
        <v>19</v>
      </c>
      <c r="H224" s="46">
        <v>1</v>
      </c>
      <c r="I224" s="51">
        <v>6412.03</v>
      </c>
      <c r="J224" s="281">
        <f>++Tabla4[[#This Row],[Precio Bruto]]*1.16</f>
        <v>7437.9547999999995</v>
      </c>
      <c r="K224" s="281">
        <f>+Tabla4[[#This Row],[Precio Unitario Neto]]*Tabla4[[#Headers],[20.85%]]</f>
        <v>1550.8135757999999</v>
      </c>
      <c r="L224" s="282">
        <f>++Tabla4[[#This Row],[Precio Unitario Neto]]-Tabla4[[#This Row],[20.85%]]</f>
        <v>5887.1412241999997</v>
      </c>
      <c r="M224" s="282" t="e">
        <f>(INDEX(Tabla6[#All],MATCH(Tabla4[[#This Row],[Producto]],Tabla6[[#All],[PRODUCTO]],0),MATCH(Tabla4[[#This Row],[Mes]],Tabla6[#Headers],0)))*(1+Catalogos!$L$2)</f>
        <v>#N/A</v>
      </c>
      <c r="N224" s="283" t="e">
        <f>+(Tabla4[[#This Row],[Precio Descontado]]-Tabla4[[#This Row],[Precio Base]])*Tabla4[[#This Row],[Cantidad]]</f>
        <v>#N/A</v>
      </c>
      <c r="O224" s="284" t="e">
        <f>++Tabla4[[#This Row],[Utilidad Total]]/Tabla4[[#This Row],[Total]]</f>
        <v>#N/A</v>
      </c>
      <c r="P224" s="282">
        <f>++Tabla4[[#This Row],[Precio Descontado]]*Tabla4[[#This Row],[Cantidad]]</f>
        <v>5887.1412241999997</v>
      </c>
      <c r="Q224" s="282" t="e">
        <f>(INDEX(Tabla6[#All],MATCH(Tabla4[[#This Row],[Producto]],Tabla6[[#All],[PRODUCTO]],0),MATCH(Tabla4[[#This Row],[Mes]],Tabla6[#Headers],0)))</f>
        <v>#N/A</v>
      </c>
      <c r="R224" s="282" t="e">
        <f>++Tabla4[[#This Row],[Precio Unitario Neto]]-Tabla4[[#This Row],[20.85%]]-Tabla4[[#This Row],[Costo]]</f>
        <v>#N/A</v>
      </c>
      <c r="S224" s="282" t="e">
        <f>++Tabla4[[#This Row],[U. Bruta Uni]]*Tabla4[[#This Row],[Cantidad]]</f>
        <v>#N/A</v>
      </c>
      <c r="T224" s="369" t="str">
        <f>VLOOKUP(Tabla4[[#This Row],[Producto]],Tabla6[#All],14,FALSE)</f>
        <v>Termico Solar</v>
      </c>
      <c r="U224" s="284" t="e">
        <f>(IF(Tabla4[[#This Row],[Familia]]="termico solar",Tabla4[[#This Row],[Utilidad Total]]*6%,Tabla4[[#This Row],[Utilidad Total]]*11.5%))/Tabla4[[#This Row],[Total]]</f>
        <v>#N/A</v>
      </c>
      <c r="V224" s="282" t="e">
        <f>+Tabla4[[#This Row],[Comisión Calculada]]*Tabla4[[#This Row],[Total]]</f>
        <v>#N/A</v>
      </c>
    </row>
    <row r="225" spans="1:22" hidden="1" x14ac:dyDescent="0.25">
      <c r="A225" s="100">
        <v>45688</v>
      </c>
      <c r="B225" t="str">
        <f t="shared" si="10"/>
        <v>January</v>
      </c>
      <c r="C225" s="46" t="s">
        <v>280</v>
      </c>
      <c r="F225" s="366" t="s">
        <v>787</v>
      </c>
      <c r="G225" s="46" t="s">
        <v>16</v>
      </c>
      <c r="H225" s="46">
        <v>1</v>
      </c>
      <c r="I225" s="51">
        <v>4103.8500000000004</v>
      </c>
      <c r="J225" s="281">
        <f>++Tabla4[[#This Row],[Precio Bruto]]*1.16</f>
        <v>4760.4660000000003</v>
      </c>
      <c r="K225" s="281">
        <f>+Tabla4[[#This Row],[Precio Unitario Neto]]*Tabla4[[#Headers],[20.85%]]</f>
        <v>992.55716100000006</v>
      </c>
      <c r="L225" s="282">
        <f>++Tabla4[[#This Row],[Precio Unitario Neto]]-Tabla4[[#This Row],[20.85%]]</f>
        <v>3767.9088390000002</v>
      </c>
      <c r="M225" s="282" t="e">
        <f>(INDEX(Tabla6[#All],MATCH(Tabla4[[#This Row],[Producto]],Tabla6[[#All],[PRODUCTO]],0),MATCH(Tabla4[[#This Row],[Mes]],Tabla6[#Headers],0)))*(1+Catalogos!$L$2)</f>
        <v>#N/A</v>
      </c>
      <c r="N225" s="283" t="e">
        <f>+(Tabla4[[#This Row],[Precio Descontado]]-Tabla4[[#This Row],[Precio Base]])*Tabla4[[#This Row],[Cantidad]]</f>
        <v>#N/A</v>
      </c>
      <c r="O225" s="284" t="e">
        <f>++Tabla4[[#This Row],[Utilidad Total]]/Tabla4[[#This Row],[Total]]</f>
        <v>#N/A</v>
      </c>
      <c r="P225" s="282">
        <f>++Tabla4[[#This Row],[Precio Descontado]]*Tabla4[[#This Row],[Cantidad]]</f>
        <v>3767.9088390000002</v>
      </c>
      <c r="Q225" s="282" t="e">
        <f>(INDEX(Tabla6[#All],MATCH(Tabla4[[#This Row],[Producto]],Tabla6[[#All],[PRODUCTO]],0),MATCH(Tabla4[[#This Row],[Mes]],Tabla6[#Headers],0)))</f>
        <v>#N/A</v>
      </c>
      <c r="R225" s="282" t="e">
        <f>++Tabla4[[#This Row],[Precio Unitario Neto]]-Tabla4[[#This Row],[20.85%]]-Tabla4[[#This Row],[Costo]]</f>
        <v>#N/A</v>
      </c>
      <c r="S225" s="282" t="e">
        <f>++Tabla4[[#This Row],[U. Bruta Uni]]*Tabla4[[#This Row],[Cantidad]]</f>
        <v>#N/A</v>
      </c>
      <c r="T225" s="369" t="str">
        <f>VLOOKUP(Tabla4[[#This Row],[Producto]],Tabla6[#All],14,FALSE)</f>
        <v>Termico Solar</v>
      </c>
      <c r="U225" s="284" t="e">
        <f>(IF(Tabla4[[#This Row],[Familia]]="termico solar",Tabla4[[#This Row],[Utilidad Total]]*6%,Tabla4[[#This Row],[Utilidad Total]]*11.5%))/Tabla4[[#This Row],[Total]]</f>
        <v>#N/A</v>
      </c>
      <c r="V225" s="282" t="e">
        <f>+Tabla4[[#This Row],[Comisión Calculada]]*Tabla4[[#This Row],[Total]]</f>
        <v>#N/A</v>
      </c>
    </row>
    <row r="226" spans="1:22" hidden="1" x14ac:dyDescent="0.25">
      <c r="A226" s="100">
        <v>45688</v>
      </c>
      <c r="B226" t="str">
        <f t="shared" si="10"/>
        <v>January</v>
      </c>
      <c r="C226" s="46" t="s">
        <v>280</v>
      </c>
      <c r="F226" s="366" t="s">
        <v>788</v>
      </c>
      <c r="G226" s="46" t="s">
        <v>18</v>
      </c>
      <c r="H226" s="46">
        <v>1</v>
      </c>
      <c r="I226" s="51">
        <v>5367.65</v>
      </c>
      <c r="J226" s="281">
        <f>++Tabla4[[#This Row],[Precio Bruto]]*1.16</f>
        <v>6226.4739999999993</v>
      </c>
      <c r="K226" s="281">
        <f>+Tabla4[[#This Row],[Precio Unitario Neto]]*Tabla4[[#Headers],[20.85%]]</f>
        <v>1298.2198289999999</v>
      </c>
      <c r="L226" s="282">
        <f>++Tabla4[[#This Row],[Precio Unitario Neto]]-Tabla4[[#This Row],[20.85%]]</f>
        <v>4928.2541709999996</v>
      </c>
      <c r="M226" s="282" t="e">
        <f>(INDEX(Tabla6[#All],MATCH(Tabla4[[#This Row],[Producto]],Tabla6[[#All],[PRODUCTO]],0),MATCH(Tabla4[[#This Row],[Mes]],Tabla6[#Headers],0)))*(1+Catalogos!$L$2)</f>
        <v>#N/A</v>
      </c>
      <c r="N226" s="283" t="e">
        <f>+(Tabla4[[#This Row],[Precio Descontado]]-Tabla4[[#This Row],[Precio Base]])*Tabla4[[#This Row],[Cantidad]]</f>
        <v>#N/A</v>
      </c>
      <c r="O226" s="284" t="e">
        <f>++Tabla4[[#This Row],[Utilidad Total]]/Tabla4[[#This Row],[Total]]</f>
        <v>#N/A</v>
      </c>
      <c r="P226" s="282">
        <f>++Tabla4[[#This Row],[Precio Descontado]]*Tabla4[[#This Row],[Cantidad]]</f>
        <v>4928.2541709999996</v>
      </c>
      <c r="Q226" s="282" t="e">
        <f>(INDEX(Tabla6[#All],MATCH(Tabla4[[#This Row],[Producto]],Tabla6[[#All],[PRODUCTO]],0),MATCH(Tabla4[[#This Row],[Mes]],Tabla6[#Headers],0)))</f>
        <v>#N/A</v>
      </c>
      <c r="R226" s="282" t="e">
        <f>++Tabla4[[#This Row],[Precio Unitario Neto]]-Tabla4[[#This Row],[20.85%]]-Tabla4[[#This Row],[Costo]]</f>
        <v>#N/A</v>
      </c>
      <c r="S226" s="282" t="e">
        <f>++Tabla4[[#This Row],[U. Bruta Uni]]*Tabla4[[#This Row],[Cantidad]]</f>
        <v>#N/A</v>
      </c>
      <c r="T226" s="369" t="str">
        <f>VLOOKUP(Tabla4[[#This Row],[Producto]],Tabla6[#All],14,FALSE)</f>
        <v>Termico Solar</v>
      </c>
      <c r="U226" s="284" t="e">
        <f>(IF(Tabla4[[#This Row],[Familia]]="termico solar",Tabla4[[#This Row],[Utilidad Total]]*6%,Tabla4[[#This Row],[Utilidad Total]]*11.5%))/Tabla4[[#This Row],[Total]]</f>
        <v>#N/A</v>
      </c>
      <c r="V226" s="282" t="e">
        <f>+Tabla4[[#This Row],[Comisión Calculada]]*Tabla4[[#This Row],[Total]]</f>
        <v>#N/A</v>
      </c>
    </row>
    <row r="227" spans="1:22" hidden="1" x14ac:dyDescent="0.25">
      <c r="A227" s="100">
        <v>45688</v>
      </c>
      <c r="B227" t="str">
        <f t="shared" si="10"/>
        <v>January</v>
      </c>
      <c r="C227" s="46" t="s">
        <v>280</v>
      </c>
      <c r="F227" s="366" t="s">
        <v>788</v>
      </c>
      <c r="G227" s="46" t="s">
        <v>566</v>
      </c>
      <c r="H227" s="46">
        <v>2</v>
      </c>
      <c r="I227" s="51">
        <v>2109.4499999999998</v>
      </c>
      <c r="J227" s="281">
        <f>++Tabla4[[#This Row],[Precio Bruto]]*1.16</f>
        <v>2446.9619999999995</v>
      </c>
      <c r="K227" s="281">
        <f>+Tabla4[[#This Row],[Precio Unitario Neto]]*Tabla4[[#Headers],[20.85%]]</f>
        <v>510.19157699999988</v>
      </c>
      <c r="L227" s="282">
        <f>++Tabla4[[#This Row],[Precio Unitario Neto]]-Tabla4[[#This Row],[20.85%]]</f>
        <v>1936.7704229999997</v>
      </c>
      <c r="M227" s="282" t="e">
        <f>(INDEX(Tabla6[#All],MATCH(Tabla4[[#This Row],[Producto]],Tabla6[[#All],[PRODUCTO]],0),MATCH(Tabla4[[#This Row],[Mes]],Tabla6[#Headers],0)))*(1+Catalogos!$L$2)</f>
        <v>#N/A</v>
      </c>
      <c r="N227" s="283" t="e">
        <f>+(Tabla4[[#This Row],[Precio Descontado]]-Tabla4[[#This Row],[Precio Base]])*Tabla4[[#This Row],[Cantidad]]</f>
        <v>#N/A</v>
      </c>
      <c r="O227" s="284" t="e">
        <f>++Tabla4[[#This Row],[Utilidad Total]]/Tabla4[[#This Row],[Total]]</f>
        <v>#N/A</v>
      </c>
      <c r="P227" s="282">
        <f>++Tabla4[[#This Row],[Precio Descontado]]*Tabla4[[#This Row],[Cantidad]]</f>
        <v>3873.5408459999994</v>
      </c>
      <c r="Q227" s="282" t="e">
        <f>(INDEX(Tabla6[#All],MATCH(Tabla4[[#This Row],[Producto]],Tabla6[[#All],[PRODUCTO]],0),MATCH(Tabla4[[#This Row],[Mes]],Tabla6[#Headers],0)))</f>
        <v>#N/A</v>
      </c>
      <c r="R227" s="282" t="e">
        <f>++Tabla4[[#This Row],[Precio Unitario Neto]]-Tabla4[[#This Row],[20.85%]]-Tabla4[[#This Row],[Costo]]</f>
        <v>#N/A</v>
      </c>
      <c r="S227" s="282" t="e">
        <f>++Tabla4[[#This Row],[U. Bruta Uni]]*Tabla4[[#This Row],[Cantidad]]</f>
        <v>#N/A</v>
      </c>
      <c r="T227" s="369" t="str">
        <f>VLOOKUP(Tabla4[[#This Row],[Producto]],Tabla6[#All],14,FALSE)</f>
        <v>Termico Solar</v>
      </c>
      <c r="U227" s="284" t="e">
        <f>(IF(Tabla4[[#This Row],[Familia]]="termico solar",Tabla4[[#This Row],[Utilidad Total]]*6%,Tabla4[[#This Row],[Utilidad Total]]*11.5%))/Tabla4[[#This Row],[Total]]</f>
        <v>#N/A</v>
      </c>
      <c r="V227" s="282" t="e">
        <f>+Tabla4[[#This Row],[Comisión Calculada]]*Tabla4[[#This Row],[Total]]</f>
        <v>#N/A</v>
      </c>
    </row>
    <row r="228" spans="1:22" hidden="1" x14ac:dyDescent="0.25">
      <c r="A228" s="100">
        <v>45688</v>
      </c>
      <c r="B228" t="str">
        <f t="shared" si="10"/>
        <v>January</v>
      </c>
      <c r="C228" s="46" t="s">
        <v>280</v>
      </c>
      <c r="F228" s="366" t="s">
        <v>788</v>
      </c>
      <c r="G228" s="46" t="s">
        <v>16</v>
      </c>
      <c r="H228" s="46">
        <v>4</v>
      </c>
      <c r="I228" s="51">
        <v>4103.8500000000004</v>
      </c>
      <c r="J228" s="281">
        <f>++Tabla4[[#This Row],[Precio Bruto]]*1.16</f>
        <v>4760.4660000000003</v>
      </c>
      <c r="K228" s="281">
        <f>+Tabla4[[#This Row],[Precio Unitario Neto]]*Tabla4[[#Headers],[20.85%]]</f>
        <v>992.55716100000006</v>
      </c>
      <c r="L228" s="282">
        <f>++Tabla4[[#This Row],[Precio Unitario Neto]]-Tabla4[[#This Row],[20.85%]]</f>
        <v>3767.9088390000002</v>
      </c>
      <c r="M228" s="282" t="e">
        <f>(INDEX(Tabla6[#All],MATCH(Tabla4[[#This Row],[Producto]],Tabla6[[#All],[PRODUCTO]],0),MATCH(Tabla4[[#This Row],[Mes]],Tabla6[#Headers],0)))*(1+Catalogos!$L$2)</f>
        <v>#N/A</v>
      </c>
      <c r="N228" s="283" t="e">
        <f>+(Tabla4[[#This Row],[Precio Descontado]]-Tabla4[[#This Row],[Precio Base]])*Tabla4[[#This Row],[Cantidad]]</f>
        <v>#N/A</v>
      </c>
      <c r="O228" s="284" t="e">
        <f>++Tabla4[[#This Row],[Utilidad Total]]/Tabla4[[#This Row],[Total]]</f>
        <v>#N/A</v>
      </c>
      <c r="P228" s="282">
        <f>++Tabla4[[#This Row],[Precio Descontado]]*Tabla4[[#This Row],[Cantidad]]</f>
        <v>15071.635356000001</v>
      </c>
      <c r="Q228" s="282" t="e">
        <f>(INDEX(Tabla6[#All],MATCH(Tabla4[[#This Row],[Producto]],Tabla6[[#All],[PRODUCTO]],0),MATCH(Tabla4[[#This Row],[Mes]],Tabla6[#Headers],0)))</f>
        <v>#N/A</v>
      </c>
      <c r="R228" s="282" t="e">
        <f>++Tabla4[[#This Row],[Precio Unitario Neto]]-Tabla4[[#This Row],[20.85%]]-Tabla4[[#This Row],[Costo]]</f>
        <v>#N/A</v>
      </c>
      <c r="S228" s="282" t="e">
        <f>++Tabla4[[#This Row],[U. Bruta Uni]]*Tabla4[[#This Row],[Cantidad]]</f>
        <v>#N/A</v>
      </c>
      <c r="T228" s="369" t="str">
        <f>VLOOKUP(Tabla4[[#This Row],[Producto]],Tabla6[#All],14,FALSE)</f>
        <v>Termico Solar</v>
      </c>
      <c r="U228" s="284" t="e">
        <f>(IF(Tabla4[[#This Row],[Familia]]="termico solar",Tabla4[[#This Row],[Utilidad Total]]*6%,Tabla4[[#This Row],[Utilidad Total]]*11.5%))/Tabla4[[#This Row],[Total]]</f>
        <v>#N/A</v>
      </c>
      <c r="V228" s="282" t="e">
        <f>+Tabla4[[#This Row],[Comisión Calculada]]*Tabla4[[#This Row],[Total]]</f>
        <v>#N/A</v>
      </c>
    </row>
    <row r="229" spans="1:22" hidden="1" x14ac:dyDescent="0.25">
      <c r="A229" s="100">
        <v>45688</v>
      </c>
      <c r="B229" t="str">
        <f t="shared" si="10"/>
        <v>January</v>
      </c>
      <c r="C229" s="46" t="s">
        <v>280</v>
      </c>
      <c r="F229" s="366" t="s">
        <v>789</v>
      </c>
      <c r="G229" s="46" t="s">
        <v>83</v>
      </c>
      <c r="H229" s="46">
        <v>1</v>
      </c>
      <c r="I229" s="51">
        <v>8858.76</v>
      </c>
      <c r="J229" s="281">
        <f>++Tabla4[[#This Row],[Precio Bruto]]*1.16</f>
        <v>10276.161599999999</v>
      </c>
      <c r="K229" s="281">
        <f>+Tabla4[[#This Row],[Precio Unitario Neto]]*Tabla4[[#Headers],[20.85%]]</f>
        <v>2142.5796935999997</v>
      </c>
      <c r="L229" s="282">
        <f>++Tabla4[[#This Row],[Precio Unitario Neto]]-Tabla4[[#This Row],[20.85%]]</f>
        <v>8133.5819063999998</v>
      </c>
      <c r="M229" s="282" t="e">
        <f>(INDEX(Tabla6[#All],MATCH(Tabla4[[#This Row],[Producto]],Tabla6[[#All],[PRODUCTO]],0),MATCH(Tabla4[[#This Row],[Mes]],Tabla6[#Headers],0)))*(1+Catalogos!$L$2)</f>
        <v>#N/A</v>
      </c>
      <c r="N229" s="283" t="e">
        <f>+(Tabla4[[#This Row],[Precio Descontado]]-Tabla4[[#This Row],[Precio Base]])*Tabla4[[#This Row],[Cantidad]]</f>
        <v>#N/A</v>
      </c>
      <c r="O229" s="284" t="e">
        <f>++Tabla4[[#This Row],[Utilidad Total]]/Tabla4[[#This Row],[Total]]</f>
        <v>#N/A</v>
      </c>
      <c r="P229" s="282">
        <f>++Tabla4[[#This Row],[Precio Descontado]]*Tabla4[[#This Row],[Cantidad]]</f>
        <v>8133.5819063999998</v>
      </c>
      <c r="Q229" s="282" t="e">
        <f>(INDEX(Tabla6[#All],MATCH(Tabla4[[#This Row],[Producto]],Tabla6[[#All],[PRODUCTO]],0),MATCH(Tabla4[[#This Row],[Mes]],Tabla6[#Headers],0)))</f>
        <v>#N/A</v>
      </c>
      <c r="R229" s="282" t="e">
        <f>++Tabla4[[#This Row],[Precio Unitario Neto]]-Tabla4[[#This Row],[20.85%]]-Tabla4[[#This Row],[Costo]]</f>
        <v>#N/A</v>
      </c>
      <c r="S229" s="282" t="e">
        <f>++Tabla4[[#This Row],[U. Bruta Uni]]*Tabla4[[#This Row],[Cantidad]]</f>
        <v>#N/A</v>
      </c>
      <c r="T229" s="369" t="str">
        <f>VLOOKUP(Tabla4[[#This Row],[Producto]],Tabla6[#All],14,FALSE)</f>
        <v>Termico Solar</v>
      </c>
      <c r="U229" s="284" t="e">
        <f>(IF(Tabla4[[#This Row],[Familia]]="termico solar",Tabla4[[#This Row],[Utilidad Total]]*6%,Tabla4[[#This Row],[Utilidad Total]]*11.5%))/Tabla4[[#This Row],[Total]]</f>
        <v>#N/A</v>
      </c>
      <c r="V229" s="282" t="e">
        <f>+Tabla4[[#This Row],[Comisión Calculada]]*Tabla4[[#This Row],[Total]]</f>
        <v>#N/A</v>
      </c>
    </row>
    <row r="230" spans="1:22" hidden="1" x14ac:dyDescent="0.25">
      <c r="A230" s="100">
        <v>45688</v>
      </c>
      <c r="B230" t="str">
        <f t="shared" si="10"/>
        <v>January</v>
      </c>
      <c r="C230" s="46" t="s">
        <v>280</v>
      </c>
      <c r="F230" s="366" t="s">
        <v>789</v>
      </c>
      <c r="G230" s="46" t="s">
        <v>17</v>
      </c>
      <c r="H230" s="46">
        <v>7</v>
      </c>
      <c r="I230" s="51">
        <v>4622.28</v>
      </c>
      <c r="J230" s="281">
        <f>++Tabla4[[#This Row],[Precio Bruto]]*1.16</f>
        <v>5361.8447999999989</v>
      </c>
      <c r="K230" s="281">
        <f>+Tabla4[[#This Row],[Precio Unitario Neto]]*Tabla4[[#Headers],[20.85%]]</f>
        <v>1117.9446407999997</v>
      </c>
      <c r="L230" s="282">
        <f>++Tabla4[[#This Row],[Precio Unitario Neto]]-Tabla4[[#This Row],[20.85%]]</f>
        <v>4243.9001591999995</v>
      </c>
      <c r="M230" s="282" t="e">
        <f>(INDEX(Tabla6[#All],MATCH(Tabla4[[#This Row],[Producto]],Tabla6[[#All],[PRODUCTO]],0),MATCH(Tabla4[[#This Row],[Mes]],Tabla6[#Headers],0)))*(1+Catalogos!$L$2)</f>
        <v>#N/A</v>
      </c>
      <c r="N230" s="283" t="e">
        <f>+(Tabla4[[#This Row],[Precio Descontado]]-Tabla4[[#This Row],[Precio Base]])*Tabla4[[#This Row],[Cantidad]]</f>
        <v>#N/A</v>
      </c>
      <c r="O230" s="284" t="e">
        <f>++Tabla4[[#This Row],[Utilidad Total]]/Tabla4[[#This Row],[Total]]</f>
        <v>#N/A</v>
      </c>
      <c r="P230" s="282">
        <f>++Tabla4[[#This Row],[Precio Descontado]]*Tabla4[[#This Row],[Cantidad]]</f>
        <v>29707.301114399997</v>
      </c>
      <c r="Q230" s="282" t="e">
        <f>(INDEX(Tabla6[#All],MATCH(Tabla4[[#This Row],[Producto]],Tabla6[[#All],[PRODUCTO]],0),MATCH(Tabla4[[#This Row],[Mes]],Tabla6[#Headers],0)))</f>
        <v>#N/A</v>
      </c>
      <c r="R230" s="282" t="e">
        <f>++Tabla4[[#This Row],[Precio Unitario Neto]]-Tabla4[[#This Row],[20.85%]]-Tabla4[[#This Row],[Costo]]</f>
        <v>#N/A</v>
      </c>
      <c r="S230" s="282" t="e">
        <f>++Tabla4[[#This Row],[U. Bruta Uni]]*Tabla4[[#This Row],[Cantidad]]</f>
        <v>#N/A</v>
      </c>
      <c r="T230" s="369" t="str">
        <f>VLOOKUP(Tabla4[[#This Row],[Producto]],Tabla6[#All],14,FALSE)</f>
        <v>Termico Solar</v>
      </c>
      <c r="U230" s="284" t="e">
        <f>(IF(Tabla4[[#This Row],[Familia]]="termico solar",Tabla4[[#This Row],[Utilidad Total]]*6%,Tabla4[[#This Row],[Utilidad Total]]*11.5%))/Tabla4[[#This Row],[Total]]</f>
        <v>#N/A</v>
      </c>
      <c r="V230" s="282" t="e">
        <f>+Tabla4[[#This Row],[Comisión Calculada]]*Tabla4[[#This Row],[Total]]</f>
        <v>#N/A</v>
      </c>
    </row>
    <row r="231" spans="1:22" hidden="1" x14ac:dyDescent="0.25">
      <c r="A231" s="100">
        <v>45688</v>
      </c>
      <c r="B231" t="str">
        <f t="shared" si="10"/>
        <v>January</v>
      </c>
      <c r="C231" s="46" t="s">
        <v>280</v>
      </c>
      <c r="F231" s="366" t="s">
        <v>789</v>
      </c>
      <c r="G231" s="46" t="s">
        <v>16</v>
      </c>
      <c r="H231" s="46">
        <v>4</v>
      </c>
      <c r="I231" s="51">
        <v>4103.8500000000004</v>
      </c>
      <c r="J231" s="281">
        <f>++Tabla4[[#This Row],[Precio Bruto]]*1.16</f>
        <v>4760.4660000000003</v>
      </c>
      <c r="K231" s="281">
        <f>+Tabla4[[#This Row],[Precio Unitario Neto]]*Tabla4[[#Headers],[20.85%]]</f>
        <v>992.55716100000006</v>
      </c>
      <c r="L231" s="282">
        <f>++Tabla4[[#This Row],[Precio Unitario Neto]]-Tabla4[[#This Row],[20.85%]]</f>
        <v>3767.9088390000002</v>
      </c>
      <c r="M231" s="282" t="e">
        <f>(INDEX(Tabla6[#All],MATCH(Tabla4[[#This Row],[Producto]],Tabla6[[#All],[PRODUCTO]],0),MATCH(Tabla4[[#This Row],[Mes]],Tabla6[#Headers],0)))*(1+Catalogos!$L$2)</f>
        <v>#N/A</v>
      </c>
      <c r="N231" s="283" t="e">
        <f>+(Tabla4[[#This Row],[Precio Descontado]]-Tabla4[[#This Row],[Precio Base]])*Tabla4[[#This Row],[Cantidad]]</f>
        <v>#N/A</v>
      </c>
      <c r="O231" s="284" t="e">
        <f>++Tabla4[[#This Row],[Utilidad Total]]/Tabla4[[#This Row],[Total]]</f>
        <v>#N/A</v>
      </c>
      <c r="P231" s="282">
        <f>++Tabla4[[#This Row],[Precio Descontado]]*Tabla4[[#This Row],[Cantidad]]</f>
        <v>15071.635356000001</v>
      </c>
      <c r="Q231" s="282" t="e">
        <f>(INDEX(Tabla6[#All],MATCH(Tabla4[[#This Row],[Producto]],Tabla6[[#All],[PRODUCTO]],0),MATCH(Tabla4[[#This Row],[Mes]],Tabla6[#Headers],0)))</f>
        <v>#N/A</v>
      </c>
      <c r="R231" s="282" t="e">
        <f>++Tabla4[[#This Row],[Precio Unitario Neto]]-Tabla4[[#This Row],[20.85%]]-Tabla4[[#This Row],[Costo]]</f>
        <v>#N/A</v>
      </c>
      <c r="S231" s="282" t="e">
        <f>++Tabla4[[#This Row],[U. Bruta Uni]]*Tabla4[[#This Row],[Cantidad]]</f>
        <v>#N/A</v>
      </c>
      <c r="T231" s="369" t="str">
        <f>VLOOKUP(Tabla4[[#This Row],[Producto]],Tabla6[#All],14,FALSE)</f>
        <v>Termico Solar</v>
      </c>
      <c r="U231" s="284" t="e">
        <f>(IF(Tabla4[[#This Row],[Familia]]="termico solar",Tabla4[[#This Row],[Utilidad Total]]*6%,Tabla4[[#This Row],[Utilidad Total]]*11.5%))/Tabla4[[#This Row],[Total]]</f>
        <v>#N/A</v>
      </c>
      <c r="V231" s="282" t="e">
        <f>+Tabla4[[#This Row],[Comisión Calculada]]*Tabla4[[#This Row],[Total]]</f>
        <v>#N/A</v>
      </c>
    </row>
    <row r="232" spans="1:22" hidden="1" x14ac:dyDescent="0.25">
      <c r="A232" s="100">
        <v>45688</v>
      </c>
      <c r="B232" t="str">
        <f t="shared" si="10"/>
        <v>January</v>
      </c>
      <c r="C232" s="46" t="s">
        <v>280</v>
      </c>
      <c r="F232" s="366" t="s">
        <v>790</v>
      </c>
      <c r="G232" s="46" t="s">
        <v>83</v>
      </c>
      <c r="H232" s="46">
        <v>2</v>
      </c>
      <c r="I232" s="51">
        <v>8858.76</v>
      </c>
      <c r="J232" s="281">
        <f>++Tabla4[[#This Row],[Precio Bruto]]*1.16</f>
        <v>10276.161599999999</v>
      </c>
      <c r="K232" s="281">
        <f>+Tabla4[[#This Row],[Precio Unitario Neto]]*Tabla4[[#Headers],[20.85%]]</f>
        <v>2142.5796935999997</v>
      </c>
      <c r="L232" s="282">
        <f>++Tabla4[[#This Row],[Precio Unitario Neto]]-Tabla4[[#This Row],[20.85%]]</f>
        <v>8133.5819063999998</v>
      </c>
      <c r="M232" s="282" t="e">
        <f>(INDEX(Tabla6[#All],MATCH(Tabla4[[#This Row],[Producto]],Tabla6[[#All],[PRODUCTO]],0),MATCH(Tabla4[[#This Row],[Mes]],Tabla6[#Headers],0)))*(1+Catalogos!$L$2)</f>
        <v>#N/A</v>
      </c>
      <c r="N232" s="283" t="e">
        <f>+(Tabla4[[#This Row],[Precio Descontado]]-Tabla4[[#This Row],[Precio Base]])*Tabla4[[#This Row],[Cantidad]]</f>
        <v>#N/A</v>
      </c>
      <c r="O232" s="284" t="e">
        <f>++Tabla4[[#This Row],[Utilidad Total]]/Tabla4[[#This Row],[Total]]</f>
        <v>#N/A</v>
      </c>
      <c r="P232" s="282">
        <f>++Tabla4[[#This Row],[Precio Descontado]]*Tabla4[[#This Row],[Cantidad]]</f>
        <v>16267.1638128</v>
      </c>
      <c r="Q232" s="282" t="e">
        <f>(INDEX(Tabla6[#All],MATCH(Tabla4[[#This Row],[Producto]],Tabla6[[#All],[PRODUCTO]],0),MATCH(Tabla4[[#This Row],[Mes]],Tabla6[#Headers],0)))</f>
        <v>#N/A</v>
      </c>
      <c r="R232" s="282" t="e">
        <f>++Tabla4[[#This Row],[Precio Unitario Neto]]-Tabla4[[#This Row],[20.85%]]-Tabla4[[#This Row],[Costo]]</f>
        <v>#N/A</v>
      </c>
      <c r="S232" s="282" t="e">
        <f>++Tabla4[[#This Row],[U. Bruta Uni]]*Tabla4[[#This Row],[Cantidad]]</f>
        <v>#N/A</v>
      </c>
      <c r="T232" s="369" t="str">
        <f>VLOOKUP(Tabla4[[#This Row],[Producto]],Tabla6[#All],14,FALSE)</f>
        <v>Termico Solar</v>
      </c>
      <c r="U232" s="284" t="e">
        <f>(IF(Tabla4[[#This Row],[Familia]]="termico solar",Tabla4[[#This Row],[Utilidad Total]]*6%,Tabla4[[#This Row],[Utilidad Total]]*11.5%))/Tabla4[[#This Row],[Total]]</f>
        <v>#N/A</v>
      </c>
      <c r="V232" s="282" t="e">
        <f>+Tabla4[[#This Row],[Comisión Calculada]]*Tabla4[[#This Row],[Total]]</f>
        <v>#N/A</v>
      </c>
    </row>
    <row r="233" spans="1:22" hidden="1" x14ac:dyDescent="0.25">
      <c r="A233" s="100">
        <v>45688</v>
      </c>
      <c r="B233" t="str">
        <f t="shared" si="10"/>
        <v>January</v>
      </c>
      <c r="C233" s="46" t="s">
        <v>280</v>
      </c>
      <c r="F233" s="366" t="s">
        <v>790</v>
      </c>
      <c r="G233" s="46" t="s">
        <v>18</v>
      </c>
      <c r="H233" s="46">
        <v>1</v>
      </c>
      <c r="I233" s="51">
        <v>5367.65</v>
      </c>
      <c r="J233" s="281">
        <f>++Tabla4[[#This Row],[Precio Bruto]]*1.16</f>
        <v>6226.4739999999993</v>
      </c>
      <c r="K233" s="281">
        <f>+Tabla4[[#This Row],[Precio Unitario Neto]]*Tabla4[[#Headers],[20.85%]]</f>
        <v>1298.2198289999999</v>
      </c>
      <c r="L233" s="282">
        <f>++Tabla4[[#This Row],[Precio Unitario Neto]]-Tabla4[[#This Row],[20.85%]]</f>
        <v>4928.2541709999996</v>
      </c>
      <c r="M233" s="282" t="e">
        <f>(INDEX(Tabla6[#All],MATCH(Tabla4[[#This Row],[Producto]],Tabla6[[#All],[PRODUCTO]],0),MATCH(Tabla4[[#This Row],[Mes]],Tabla6[#Headers],0)))*(1+Catalogos!$L$2)</f>
        <v>#N/A</v>
      </c>
      <c r="N233" s="283" t="e">
        <f>+(Tabla4[[#This Row],[Precio Descontado]]-Tabla4[[#This Row],[Precio Base]])*Tabla4[[#This Row],[Cantidad]]</f>
        <v>#N/A</v>
      </c>
      <c r="O233" s="284" t="e">
        <f>++Tabla4[[#This Row],[Utilidad Total]]/Tabla4[[#This Row],[Total]]</f>
        <v>#N/A</v>
      </c>
      <c r="P233" s="282">
        <f>++Tabla4[[#This Row],[Precio Descontado]]*Tabla4[[#This Row],[Cantidad]]</f>
        <v>4928.2541709999996</v>
      </c>
      <c r="Q233" s="282" t="e">
        <f>(INDEX(Tabla6[#All],MATCH(Tabla4[[#This Row],[Producto]],Tabla6[[#All],[PRODUCTO]],0),MATCH(Tabla4[[#This Row],[Mes]],Tabla6[#Headers],0)))</f>
        <v>#N/A</v>
      </c>
      <c r="R233" s="282" t="e">
        <f>++Tabla4[[#This Row],[Precio Unitario Neto]]-Tabla4[[#This Row],[20.85%]]-Tabla4[[#This Row],[Costo]]</f>
        <v>#N/A</v>
      </c>
      <c r="S233" s="282" t="e">
        <f>++Tabla4[[#This Row],[U. Bruta Uni]]*Tabla4[[#This Row],[Cantidad]]</f>
        <v>#N/A</v>
      </c>
      <c r="T233" s="369" t="str">
        <f>VLOOKUP(Tabla4[[#This Row],[Producto]],Tabla6[#All],14,FALSE)</f>
        <v>Termico Solar</v>
      </c>
      <c r="U233" s="284" t="e">
        <f>(IF(Tabla4[[#This Row],[Familia]]="termico solar",Tabla4[[#This Row],[Utilidad Total]]*6%,Tabla4[[#This Row],[Utilidad Total]]*11.5%))/Tabla4[[#This Row],[Total]]</f>
        <v>#N/A</v>
      </c>
      <c r="V233" s="282" t="e">
        <f>+Tabla4[[#This Row],[Comisión Calculada]]*Tabla4[[#This Row],[Total]]</f>
        <v>#N/A</v>
      </c>
    </row>
    <row r="234" spans="1:22" hidden="1" x14ac:dyDescent="0.25">
      <c r="A234" s="100">
        <v>45688</v>
      </c>
      <c r="B234" t="str">
        <f t="shared" si="10"/>
        <v>January</v>
      </c>
      <c r="C234" s="46" t="s">
        <v>280</v>
      </c>
      <c r="F234" s="366" t="s">
        <v>791</v>
      </c>
      <c r="G234" s="46" t="s">
        <v>17</v>
      </c>
      <c r="H234" s="46">
        <v>1</v>
      </c>
      <c r="I234" s="51">
        <v>4622.28</v>
      </c>
      <c r="J234" s="281">
        <f>++Tabla4[[#This Row],[Precio Bruto]]*1.16</f>
        <v>5361.8447999999989</v>
      </c>
      <c r="K234" s="281">
        <f>+Tabla4[[#This Row],[Precio Unitario Neto]]*Tabla4[[#Headers],[20.85%]]</f>
        <v>1117.9446407999997</v>
      </c>
      <c r="L234" s="282">
        <f>++Tabla4[[#This Row],[Precio Unitario Neto]]-Tabla4[[#This Row],[20.85%]]</f>
        <v>4243.9001591999995</v>
      </c>
      <c r="M234" s="282" t="e">
        <f>(INDEX(Tabla6[#All],MATCH(Tabla4[[#This Row],[Producto]],Tabla6[[#All],[PRODUCTO]],0),MATCH(Tabla4[[#This Row],[Mes]],Tabla6[#Headers],0)))*(1+Catalogos!$L$2)</f>
        <v>#N/A</v>
      </c>
      <c r="N234" s="283" t="e">
        <f>+(Tabla4[[#This Row],[Precio Descontado]]-Tabla4[[#This Row],[Precio Base]])*Tabla4[[#This Row],[Cantidad]]</f>
        <v>#N/A</v>
      </c>
      <c r="O234" s="284" t="e">
        <f>++Tabla4[[#This Row],[Utilidad Total]]/Tabla4[[#This Row],[Total]]</f>
        <v>#N/A</v>
      </c>
      <c r="P234" s="282">
        <f>++Tabla4[[#This Row],[Precio Descontado]]*Tabla4[[#This Row],[Cantidad]]</f>
        <v>4243.9001591999995</v>
      </c>
      <c r="Q234" s="282" t="e">
        <f>(INDEX(Tabla6[#All],MATCH(Tabla4[[#This Row],[Producto]],Tabla6[[#All],[PRODUCTO]],0),MATCH(Tabla4[[#This Row],[Mes]],Tabla6[#Headers],0)))</f>
        <v>#N/A</v>
      </c>
      <c r="R234" s="282" t="e">
        <f>++Tabla4[[#This Row],[Precio Unitario Neto]]-Tabla4[[#This Row],[20.85%]]-Tabla4[[#This Row],[Costo]]</f>
        <v>#N/A</v>
      </c>
      <c r="S234" s="282" t="e">
        <f>++Tabla4[[#This Row],[U. Bruta Uni]]*Tabla4[[#This Row],[Cantidad]]</f>
        <v>#N/A</v>
      </c>
      <c r="T234" s="369" t="str">
        <f>VLOOKUP(Tabla4[[#This Row],[Producto]],Tabla6[#All],14,FALSE)</f>
        <v>Termico Solar</v>
      </c>
      <c r="U234" s="284" t="e">
        <f>(IF(Tabla4[[#This Row],[Familia]]="termico solar",Tabla4[[#This Row],[Utilidad Total]]*6%,Tabla4[[#This Row],[Utilidad Total]]*11.5%))/Tabla4[[#This Row],[Total]]</f>
        <v>#N/A</v>
      </c>
      <c r="V234" s="282" t="e">
        <f>+Tabla4[[#This Row],[Comisión Calculada]]*Tabla4[[#This Row],[Total]]</f>
        <v>#N/A</v>
      </c>
    </row>
    <row r="235" spans="1:22" hidden="1" x14ac:dyDescent="0.25">
      <c r="A235" s="100">
        <v>45688</v>
      </c>
      <c r="B235" t="str">
        <f t="shared" si="10"/>
        <v>January</v>
      </c>
      <c r="C235" s="46" t="s">
        <v>280</v>
      </c>
      <c r="F235" s="366" t="s">
        <v>791</v>
      </c>
      <c r="G235" s="46" t="s">
        <v>16</v>
      </c>
      <c r="H235" s="46">
        <v>2</v>
      </c>
      <c r="I235" s="51">
        <v>4103.8500000000004</v>
      </c>
      <c r="J235" s="281">
        <f>++Tabla4[[#This Row],[Precio Bruto]]*1.16</f>
        <v>4760.4660000000003</v>
      </c>
      <c r="K235" s="281">
        <f>+Tabla4[[#This Row],[Precio Unitario Neto]]*Tabla4[[#Headers],[20.85%]]</f>
        <v>992.55716100000006</v>
      </c>
      <c r="L235" s="282">
        <f>++Tabla4[[#This Row],[Precio Unitario Neto]]-Tabla4[[#This Row],[20.85%]]</f>
        <v>3767.9088390000002</v>
      </c>
      <c r="M235" s="282" t="e">
        <f>(INDEX(Tabla6[#All],MATCH(Tabla4[[#This Row],[Producto]],Tabla6[[#All],[PRODUCTO]],0),MATCH(Tabla4[[#This Row],[Mes]],Tabla6[#Headers],0)))*(1+Catalogos!$L$2)</f>
        <v>#N/A</v>
      </c>
      <c r="N235" s="283" t="e">
        <f>+(Tabla4[[#This Row],[Precio Descontado]]-Tabla4[[#This Row],[Precio Base]])*Tabla4[[#This Row],[Cantidad]]</f>
        <v>#N/A</v>
      </c>
      <c r="O235" s="284" t="e">
        <f>++Tabla4[[#This Row],[Utilidad Total]]/Tabla4[[#This Row],[Total]]</f>
        <v>#N/A</v>
      </c>
      <c r="P235" s="282">
        <f>++Tabla4[[#This Row],[Precio Descontado]]*Tabla4[[#This Row],[Cantidad]]</f>
        <v>7535.8176780000003</v>
      </c>
      <c r="Q235" s="282" t="e">
        <f>(INDEX(Tabla6[#All],MATCH(Tabla4[[#This Row],[Producto]],Tabla6[[#All],[PRODUCTO]],0),MATCH(Tabla4[[#This Row],[Mes]],Tabla6[#Headers],0)))</f>
        <v>#N/A</v>
      </c>
      <c r="R235" s="282" t="e">
        <f>++Tabla4[[#This Row],[Precio Unitario Neto]]-Tabla4[[#This Row],[20.85%]]-Tabla4[[#This Row],[Costo]]</f>
        <v>#N/A</v>
      </c>
      <c r="S235" s="282" t="e">
        <f>++Tabla4[[#This Row],[U. Bruta Uni]]*Tabla4[[#This Row],[Cantidad]]</f>
        <v>#N/A</v>
      </c>
      <c r="T235" s="369" t="str">
        <f>VLOOKUP(Tabla4[[#This Row],[Producto]],Tabla6[#All],14,FALSE)</f>
        <v>Termico Solar</v>
      </c>
      <c r="U235" s="284" t="e">
        <f>(IF(Tabla4[[#This Row],[Familia]]="termico solar",Tabla4[[#This Row],[Utilidad Total]]*6%,Tabla4[[#This Row],[Utilidad Total]]*11.5%))/Tabla4[[#This Row],[Total]]</f>
        <v>#N/A</v>
      </c>
      <c r="V235" s="282" t="e">
        <f>+Tabla4[[#This Row],[Comisión Calculada]]*Tabla4[[#This Row],[Total]]</f>
        <v>#N/A</v>
      </c>
    </row>
    <row r="236" spans="1:22" hidden="1" x14ac:dyDescent="0.25">
      <c r="A236" s="100">
        <v>45688</v>
      </c>
      <c r="B236" t="str">
        <f t="shared" si="10"/>
        <v>January</v>
      </c>
      <c r="C236" s="46" t="s">
        <v>280</v>
      </c>
      <c r="F236" s="366" t="s">
        <v>792</v>
      </c>
      <c r="G236" s="46" t="s">
        <v>566</v>
      </c>
      <c r="H236" s="46">
        <v>2</v>
      </c>
      <c r="I236" s="51">
        <v>2109.4499999999998</v>
      </c>
      <c r="J236" s="281">
        <f>++Tabla4[[#This Row],[Precio Bruto]]*1.16</f>
        <v>2446.9619999999995</v>
      </c>
      <c r="K236" s="281">
        <f>+Tabla4[[#This Row],[Precio Unitario Neto]]*Tabla4[[#Headers],[20.85%]]</f>
        <v>510.19157699999988</v>
      </c>
      <c r="L236" s="282">
        <f>++Tabla4[[#This Row],[Precio Unitario Neto]]-Tabla4[[#This Row],[20.85%]]</f>
        <v>1936.7704229999997</v>
      </c>
      <c r="M236" s="282" t="e">
        <f>(INDEX(Tabla6[#All],MATCH(Tabla4[[#This Row],[Producto]],Tabla6[[#All],[PRODUCTO]],0),MATCH(Tabla4[[#This Row],[Mes]],Tabla6[#Headers],0)))*(1+Catalogos!$L$2)</f>
        <v>#N/A</v>
      </c>
      <c r="N236" s="283" t="e">
        <f>+(Tabla4[[#This Row],[Precio Descontado]]-Tabla4[[#This Row],[Precio Base]])*Tabla4[[#This Row],[Cantidad]]</f>
        <v>#N/A</v>
      </c>
      <c r="O236" s="284" t="e">
        <f>++Tabla4[[#This Row],[Utilidad Total]]/Tabla4[[#This Row],[Total]]</f>
        <v>#N/A</v>
      </c>
      <c r="P236" s="282">
        <f>++Tabla4[[#This Row],[Precio Descontado]]*Tabla4[[#This Row],[Cantidad]]</f>
        <v>3873.5408459999994</v>
      </c>
      <c r="Q236" s="282" t="e">
        <f>(INDEX(Tabla6[#All],MATCH(Tabla4[[#This Row],[Producto]],Tabla6[[#All],[PRODUCTO]],0),MATCH(Tabla4[[#This Row],[Mes]],Tabla6[#Headers],0)))</f>
        <v>#N/A</v>
      </c>
      <c r="R236" s="282" t="e">
        <f>++Tabla4[[#This Row],[Precio Unitario Neto]]-Tabla4[[#This Row],[20.85%]]-Tabla4[[#This Row],[Costo]]</f>
        <v>#N/A</v>
      </c>
      <c r="S236" s="282" t="e">
        <f>++Tabla4[[#This Row],[U. Bruta Uni]]*Tabla4[[#This Row],[Cantidad]]</f>
        <v>#N/A</v>
      </c>
      <c r="T236" s="369" t="str">
        <f>VLOOKUP(Tabla4[[#This Row],[Producto]],Tabla6[#All],14,FALSE)</f>
        <v>Termico Solar</v>
      </c>
      <c r="U236" s="284" t="e">
        <f>(IF(Tabla4[[#This Row],[Familia]]="termico solar",Tabla4[[#This Row],[Utilidad Total]]*6%,Tabla4[[#This Row],[Utilidad Total]]*11.5%))/Tabla4[[#This Row],[Total]]</f>
        <v>#N/A</v>
      </c>
      <c r="V236" s="282" t="e">
        <f>+Tabla4[[#This Row],[Comisión Calculada]]*Tabla4[[#This Row],[Total]]</f>
        <v>#N/A</v>
      </c>
    </row>
    <row r="237" spans="1:22" hidden="1" x14ac:dyDescent="0.25">
      <c r="A237" s="100">
        <v>45688</v>
      </c>
      <c r="B237" t="str">
        <f t="shared" si="10"/>
        <v>January</v>
      </c>
      <c r="C237" s="46" t="s">
        <v>280</v>
      </c>
      <c r="F237" s="366" t="s">
        <v>793</v>
      </c>
      <c r="G237" s="46" t="s">
        <v>17</v>
      </c>
      <c r="H237" s="46">
        <v>5</v>
      </c>
      <c r="I237" s="51">
        <v>4622.2800000000007</v>
      </c>
      <c r="J237" s="281">
        <f>++Tabla4[[#This Row],[Precio Bruto]]*1.16</f>
        <v>5361.8448000000008</v>
      </c>
      <c r="K237" s="281">
        <f>+Tabla4[[#This Row],[Precio Unitario Neto]]*Tabla4[[#Headers],[20.85%]]</f>
        <v>1117.9446408000001</v>
      </c>
      <c r="L237" s="282">
        <f>++Tabla4[[#This Row],[Precio Unitario Neto]]-Tabla4[[#This Row],[20.85%]]</f>
        <v>4243.9001592000004</v>
      </c>
      <c r="M237" s="282" t="e">
        <f>(INDEX(Tabla6[#All],MATCH(Tabla4[[#This Row],[Producto]],Tabla6[[#All],[PRODUCTO]],0),MATCH(Tabla4[[#This Row],[Mes]],Tabla6[#Headers],0)))*(1+Catalogos!$L$2)</f>
        <v>#N/A</v>
      </c>
      <c r="N237" s="283" t="e">
        <f>+(Tabla4[[#This Row],[Precio Descontado]]-Tabla4[[#This Row],[Precio Base]])*Tabla4[[#This Row],[Cantidad]]</f>
        <v>#N/A</v>
      </c>
      <c r="O237" s="284" t="e">
        <f>++Tabla4[[#This Row],[Utilidad Total]]/Tabla4[[#This Row],[Total]]</f>
        <v>#N/A</v>
      </c>
      <c r="P237" s="282">
        <f>++Tabla4[[#This Row],[Precio Descontado]]*Tabla4[[#This Row],[Cantidad]]</f>
        <v>21219.500796</v>
      </c>
      <c r="Q237" s="282" t="e">
        <f>(INDEX(Tabla6[#All],MATCH(Tabla4[[#This Row],[Producto]],Tabla6[[#All],[PRODUCTO]],0),MATCH(Tabla4[[#This Row],[Mes]],Tabla6[#Headers],0)))</f>
        <v>#N/A</v>
      </c>
      <c r="R237" s="282" t="e">
        <f>++Tabla4[[#This Row],[Precio Unitario Neto]]-Tabla4[[#This Row],[20.85%]]-Tabla4[[#This Row],[Costo]]</f>
        <v>#N/A</v>
      </c>
      <c r="S237" s="282" t="e">
        <f>++Tabla4[[#This Row],[U. Bruta Uni]]*Tabla4[[#This Row],[Cantidad]]</f>
        <v>#N/A</v>
      </c>
      <c r="T237" s="369" t="str">
        <f>VLOOKUP(Tabla4[[#This Row],[Producto]],Tabla6[#All],14,FALSE)</f>
        <v>Termico Solar</v>
      </c>
      <c r="U237" s="284" t="e">
        <f>(IF(Tabla4[[#This Row],[Familia]]="termico solar",Tabla4[[#This Row],[Utilidad Total]]*6%,Tabla4[[#This Row],[Utilidad Total]]*11.5%))/Tabla4[[#This Row],[Total]]</f>
        <v>#N/A</v>
      </c>
      <c r="V237" s="282" t="e">
        <f>+Tabla4[[#This Row],[Comisión Calculada]]*Tabla4[[#This Row],[Total]]</f>
        <v>#N/A</v>
      </c>
    </row>
    <row r="238" spans="1:22" hidden="1" x14ac:dyDescent="0.25">
      <c r="A238" s="100">
        <v>45688</v>
      </c>
      <c r="B238" t="str">
        <f t="shared" si="10"/>
        <v>January</v>
      </c>
      <c r="C238" s="46" t="s">
        <v>280</v>
      </c>
      <c r="F238" s="366" t="s">
        <v>794</v>
      </c>
      <c r="G238" s="46" t="s">
        <v>83</v>
      </c>
      <c r="H238" s="46">
        <v>2</v>
      </c>
      <c r="I238" s="51">
        <v>8858.76</v>
      </c>
      <c r="J238" s="281">
        <f>++Tabla4[[#This Row],[Precio Bruto]]*1.16</f>
        <v>10276.161599999999</v>
      </c>
      <c r="K238" s="281">
        <f>+Tabla4[[#This Row],[Precio Unitario Neto]]*Tabla4[[#Headers],[20.85%]]</f>
        <v>2142.5796935999997</v>
      </c>
      <c r="L238" s="282">
        <f>++Tabla4[[#This Row],[Precio Unitario Neto]]-Tabla4[[#This Row],[20.85%]]</f>
        <v>8133.5819063999998</v>
      </c>
      <c r="M238" s="282" t="e">
        <f>(INDEX(Tabla6[#All],MATCH(Tabla4[[#This Row],[Producto]],Tabla6[[#All],[PRODUCTO]],0),MATCH(Tabla4[[#This Row],[Mes]],Tabla6[#Headers],0)))*(1+Catalogos!$L$2)</f>
        <v>#N/A</v>
      </c>
      <c r="N238" s="283" t="e">
        <f>+(Tabla4[[#This Row],[Precio Descontado]]-Tabla4[[#This Row],[Precio Base]])*Tabla4[[#This Row],[Cantidad]]</f>
        <v>#N/A</v>
      </c>
      <c r="O238" s="284" t="e">
        <f>++Tabla4[[#This Row],[Utilidad Total]]/Tabla4[[#This Row],[Total]]</f>
        <v>#N/A</v>
      </c>
      <c r="P238" s="282">
        <f>++Tabla4[[#This Row],[Precio Descontado]]*Tabla4[[#This Row],[Cantidad]]</f>
        <v>16267.1638128</v>
      </c>
      <c r="Q238" s="282" t="e">
        <f>(INDEX(Tabla6[#All],MATCH(Tabla4[[#This Row],[Producto]],Tabla6[[#All],[PRODUCTO]],0),MATCH(Tabla4[[#This Row],[Mes]],Tabla6[#Headers],0)))</f>
        <v>#N/A</v>
      </c>
      <c r="R238" s="282" t="e">
        <f>++Tabla4[[#This Row],[Precio Unitario Neto]]-Tabla4[[#This Row],[20.85%]]-Tabla4[[#This Row],[Costo]]</f>
        <v>#N/A</v>
      </c>
      <c r="S238" s="282" t="e">
        <f>++Tabla4[[#This Row],[U. Bruta Uni]]*Tabla4[[#This Row],[Cantidad]]</f>
        <v>#N/A</v>
      </c>
      <c r="T238" s="369" t="str">
        <f>VLOOKUP(Tabla4[[#This Row],[Producto]],Tabla6[#All],14,FALSE)</f>
        <v>Termico Solar</v>
      </c>
      <c r="U238" s="284" t="e">
        <f>(IF(Tabla4[[#This Row],[Familia]]="termico solar",Tabla4[[#This Row],[Utilidad Total]]*6%,Tabla4[[#This Row],[Utilidad Total]]*11.5%))/Tabla4[[#This Row],[Total]]</f>
        <v>#N/A</v>
      </c>
      <c r="V238" s="282" t="e">
        <f>+Tabla4[[#This Row],[Comisión Calculada]]*Tabla4[[#This Row],[Total]]</f>
        <v>#N/A</v>
      </c>
    </row>
    <row r="239" spans="1:22" hidden="1" x14ac:dyDescent="0.25">
      <c r="A239" s="100">
        <v>45688</v>
      </c>
      <c r="B239" t="str">
        <f t="shared" si="10"/>
        <v>January</v>
      </c>
      <c r="C239" s="46" t="s">
        <v>280</v>
      </c>
      <c r="F239" s="366" t="s">
        <v>794</v>
      </c>
      <c r="G239" s="46" t="s">
        <v>566</v>
      </c>
      <c r="H239" s="46">
        <v>1</v>
      </c>
      <c r="I239" s="51">
        <v>2109.4499999999998</v>
      </c>
      <c r="J239" s="281">
        <f>++Tabla4[[#This Row],[Precio Bruto]]*1.16</f>
        <v>2446.9619999999995</v>
      </c>
      <c r="K239" s="281">
        <f>+Tabla4[[#This Row],[Precio Unitario Neto]]*Tabla4[[#Headers],[20.85%]]</f>
        <v>510.19157699999988</v>
      </c>
      <c r="L239" s="282">
        <f>++Tabla4[[#This Row],[Precio Unitario Neto]]-Tabla4[[#This Row],[20.85%]]</f>
        <v>1936.7704229999997</v>
      </c>
      <c r="M239" s="282" t="e">
        <f>(INDEX(Tabla6[#All],MATCH(Tabla4[[#This Row],[Producto]],Tabla6[[#All],[PRODUCTO]],0),MATCH(Tabla4[[#This Row],[Mes]],Tabla6[#Headers],0)))*(1+Catalogos!$L$2)</f>
        <v>#N/A</v>
      </c>
      <c r="N239" s="283" t="e">
        <f>+(Tabla4[[#This Row],[Precio Descontado]]-Tabla4[[#This Row],[Precio Base]])*Tabla4[[#This Row],[Cantidad]]</f>
        <v>#N/A</v>
      </c>
      <c r="O239" s="284" t="e">
        <f>++Tabla4[[#This Row],[Utilidad Total]]/Tabla4[[#This Row],[Total]]</f>
        <v>#N/A</v>
      </c>
      <c r="P239" s="282">
        <f>++Tabla4[[#This Row],[Precio Descontado]]*Tabla4[[#This Row],[Cantidad]]</f>
        <v>1936.7704229999997</v>
      </c>
      <c r="Q239" s="282" t="e">
        <f>(INDEX(Tabla6[#All],MATCH(Tabla4[[#This Row],[Producto]],Tabla6[[#All],[PRODUCTO]],0),MATCH(Tabla4[[#This Row],[Mes]],Tabla6[#Headers],0)))</f>
        <v>#N/A</v>
      </c>
      <c r="R239" s="282" t="e">
        <f>++Tabla4[[#This Row],[Precio Unitario Neto]]-Tabla4[[#This Row],[20.85%]]-Tabla4[[#This Row],[Costo]]</f>
        <v>#N/A</v>
      </c>
      <c r="S239" s="282" t="e">
        <f>++Tabla4[[#This Row],[U. Bruta Uni]]*Tabla4[[#This Row],[Cantidad]]</f>
        <v>#N/A</v>
      </c>
      <c r="T239" s="369" t="str">
        <f>VLOOKUP(Tabla4[[#This Row],[Producto]],Tabla6[#All],14,FALSE)</f>
        <v>Termico Solar</v>
      </c>
      <c r="U239" s="284" t="e">
        <f>(IF(Tabla4[[#This Row],[Familia]]="termico solar",Tabla4[[#This Row],[Utilidad Total]]*6%,Tabla4[[#This Row],[Utilidad Total]]*11.5%))/Tabla4[[#This Row],[Total]]</f>
        <v>#N/A</v>
      </c>
      <c r="V239" s="282" t="e">
        <f>+Tabla4[[#This Row],[Comisión Calculada]]*Tabla4[[#This Row],[Total]]</f>
        <v>#N/A</v>
      </c>
    </row>
    <row r="240" spans="1:22" hidden="1" x14ac:dyDescent="0.25">
      <c r="A240" s="100">
        <v>45688</v>
      </c>
      <c r="B240" t="str">
        <f t="shared" si="10"/>
        <v>January</v>
      </c>
      <c r="C240" s="46" t="s">
        <v>280</v>
      </c>
      <c r="F240" s="366" t="s">
        <v>795</v>
      </c>
      <c r="G240" s="46" t="s">
        <v>17</v>
      </c>
      <c r="H240" s="46">
        <v>4</v>
      </c>
      <c r="I240" s="51">
        <v>4622.28</v>
      </c>
      <c r="J240" s="281">
        <f>++Tabla4[[#This Row],[Precio Bruto]]*1.16</f>
        <v>5361.8447999999989</v>
      </c>
      <c r="K240" s="281">
        <f>+Tabla4[[#This Row],[Precio Unitario Neto]]*Tabla4[[#Headers],[20.85%]]</f>
        <v>1117.9446407999997</v>
      </c>
      <c r="L240" s="282">
        <f>++Tabla4[[#This Row],[Precio Unitario Neto]]-Tabla4[[#This Row],[20.85%]]</f>
        <v>4243.9001591999995</v>
      </c>
      <c r="M240" s="282" t="e">
        <f>(INDEX(Tabla6[#All],MATCH(Tabla4[[#This Row],[Producto]],Tabla6[[#All],[PRODUCTO]],0),MATCH(Tabla4[[#This Row],[Mes]],Tabla6[#Headers],0)))*(1+Catalogos!$L$2)</f>
        <v>#N/A</v>
      </c>
      <c r="N240" s="283" t="e">
        <f>+(Tabla4[[#This Row],[Precio Descontado]]-Tabla4[[#This Row],[Precio Base]])*Tabla4[[#This Row],[Cantidad]]</f>
        <v>#N/A</v>
      </c>
      <c r="O240" s="284" t="e">
        <f>++Tabla4[[#This Row],[Utilidad Total]]/Tabla4[[#This Row],[Total]]</f>
        <v>#N/A</v>
      </c>
      <c r="P240" s="282">
        <f>++Tabla4[[#This Row],[Precio Descontado]]*Tabla4[[#This Row],[Cantidad]]</f>
        <v>16975.600636799998</v>
      </c>
      <c r="Q240" s="282" t="e">
        <f>(INDEX(Tabla6[#All],MATCH(Tabla4[[#This Row],[Producto]],Tabla6[[#All],[PRODUCTO]],0),MATCH(Tabla4[[#This Row],[Mes]],Tabla6[#Headers],0)))</f>
        <v>#N/A</v>
      </c>
      <c r="R240" s="282" t="e">
        <f>++Tabla4[[#This Row],[Precio Unitario Neto]]-Tabla4[[#This Row],[20.85%]]-Tabla4[[#This Row],[Costo]]</f>
        <v>#N/A</v>
      </c>
      <c r="S240" s="282" t="e">
        <f>++Tabla4[[#This Row],[U. Bruta Uni]]*Tabla4[[#This Row],[Cantidad]]</f>
        <v>#N/A</v>
      </c>
      <c r="T240" s="369" t="str">
        <f>VLOOKUP(Tabla4[[#This Row],[Producto]],Tabla6[#All],14,FALSE)</f>
        <v>Termico Solar</v>
      </c>
      <c r="U240" s="284" t="e">
        <f>(IF(Tabla4[[#This Row],[Familia]]="termico solar",Tabla4[[#This Row],[Utilidad Total]]*6%,Tabla4[[#This Row],[Utilidad Total]]*11.5%))/Tabla4[[#This Row],[Total]]</f>
        <v>#N/A</v>
      </c>
      <c r="V240" s="282" t="e">
        <f>+Tabla4[[#This Row],[Comisión Calculada]]*Tabla4[[#This Row],[Total]]</f>
        <v>#N/A</v>
      </c>
    </row>
    <row r="241" spans="1:22" hidden="1" x14ac:dyDescent="0.25">
      <c r="A241" s="100">
        <v>45688</v>
      </c>
      <c r="B241" t="str">
        <f t="shared" si="10"/>
        <v>January</v>
      </c>
      <c r="C241" s="46" t="s">
        <v>280</v>
      </c>
      <c r="F241" s="366" t="s">
        <v>795</v>
      </c>
      <c r="G241" s="46" t="s">
        <v>208</v>
      </c>
      <c r="H241" s="46">
        <v>3</v>
      </c>
      <c r="I241" s="51">
        <v>189.75</v>
      </c>
      <c r="J241" s="281">
        <f>++Tabla4[[#This Row],[Precio Bruto]]*1.16</f>
        <v>220.10999999999999</v>
      </c>
      <c r="K241" s="281">
        <f>+Tabla4[[#This Row],[Precio Unitario Neto]]*Tabla4[[#Headers],[20.85%]]</f>
        <v>45.892934999999994</v>
      </c>
      <c r="L241" s="282">
        <f>++Tabla4[[#This Row],[Precio Unitario Neto]]-Tabla4[[#This Row],[20.85%]]</f>
        <v>174.21706499999999</v>
      </c>
      <c r="M241" s="282" t="e">
        <f>(INDEX(Tabla6[#All],MATCH(Tabla4[[#This Row],[Producto]],Tabla6[[#All],[PRODUCTO]],0),MATCH(Tabla4[[#This Row],[Mes]],Tabla6[#Headers],0)))*(1+Catalogos!$L$2)</f>
        <v>#N/A</v>
      </c>
      <c r="N241" s="283" t="e">
        <f>+(Tabla4[[#This Row],[Precio Descontado]]-Tabla4[[#This Row],[Precio Base]])*Tabla4[[#This Row],[Cantidad]]</f>
        <v>#N/A</v>
      </c>
      <c r="O241" s="284" t="e">
        <f>++Tabla4[[#This Row],[Utilidad Total]]/Tabla4[[#This Row],[Total]]</f>
        <v>#N/A</v>
      </c>
      <c r="P241" s="282">
        <f>++Tabla4[[#This Row],[Precio Descontado]]*Tabla4[[#This Row],[Cantidad]]</f>
        <v>522.65119499999992</v>
      </c>
      <c r="Q241" s="282" t="e">
        <f>(INDEX(Tabla6[#All],MATCH(Tabla4[[#This Row],[Producto]],Tabla6[[#All],[PRODUCTO]],0),MATCH(Tabla4[[#This Row],[Mes]],Tabla6[#Headers],0)))</f>
        <v>#N/A</v>
      </c>
      <c r="R241" s="282" t="e">
        <f>++Tabla4[[#This Row],[Precio Unitario Neto]]-Tabla4[[#This Row],[20.85%]]-Tabla4[[#This Row],[Costo]]</f>
        <v>#N/A</v>
      </c>
      <c r="S241" s="282" t="e">
        <f>++Tabla4[[#This Row],[U. Bruta Uni]]*Tabla4[[#This Row],[Cantidad]]</f>
        <v>#N/A</v>
      </c>
      <c r="T241" s="369" t="str">
        <f>VLOOKUP(Tabla4[[#This Row],[Producto]],Tabla6[#All],14,FALSE)</f>
        <v>Termico Solar</v>
      </c>
      <c r="U241" s="284" t="e">
        <f>(IF(Tabla4[[#This Row],[Familia]]="termico solar",Tabla4[[#This Row],[Utilidad Total]]*6%,Tabla4[[#This Row],[Utilidad Total]]*11.5%))/Tabla4[[#This Row],[Total]]</f>
        <v>#N/A</v>
      </c>
      <c r="V241" s="282" t="e">
        <f>+Tabla4[[#This Row],[Comisión Calculada]]*Tabla4[[#This Row],[Total]]</f>
        <v>#N/A</v>
      </c>
    </row>
    <row r="242" spans="1:22" hidden="1" x14ac:dyDescent="0.25">
      <c r="A242" s="100">
        <v>45688</v>
      </c>
      <c r="B242" t="str">
        <f t="shared" si="10"/>
        <v>January</v>
      </c>
      <c r="C242" s="46" t="s">
        <v>280</v>
      </c>
      <c r="F242" s="366" t="s">
        <v>796</v>
      </c>
      <c r="G242" s="46" t="s">
        <v>18</v>
      </c>
      <c r="H242" s="46">
        <v>2</v>
      </c>
      <c r="I242" s="51">
        <v>5367.65</v>
      </c>
      <c r="J242" s="281">
        <f>++Tabla4[[#This Row],[Precio Bruto]]*1.16</f>
        <v>6226.4739999999993</v>
      </c>
      <c r="K242" s="281">
        <f>+Tabla4[[#This Row],[Precio Unitario Neto]]*Tabla4[[#Headers],[20.85%]]</f>
        <v>1298.2198289999999</v>
      </c>
      <c r="L242" s="282">
        <f>++Tabla4[[#This Row],[Precio Unitario Neto]]-Tabla4[[#This Row],[20.85%]]</f>
        <v>4928.2541709999996</v>
      </c>
      <c r="M242" s="282" t="e">
        <f>(INDEX(Tabla6[#All],MATCH(Tabla4[[#This Row],[Producto]],Tabla6[[#All],[PRODUCTO]],0),MATCH(Tabla4[[#This Row],[Mes]],Tabla6[#Headers],0)))*(1+Catalogos!$L$2)</f>
        <v>#N/A</v>
      </c>
      <c r="N242" s="283" t="e">
        <f>+(Tabla4[[#This Row],[Precio Descontado]]-Tabla4[[#This Row],[Precio Base]])*Tabla4[[#This Row],[Cantidad]]</f>
        <v>#N/A</v>
      </c>
      <c r="O242" s="284" t="e">
        <f>++Tabla4[[#This Row],[Utilidad Total]]/Tabla4[[#This Row],[Total]]</f>
        <v>#N/A</v>
      </c>
      <c r="P242" s="282">
        <f>++Tabla4[[#This Row],[Precio Descontado]]*Tabla4[[#This Row],[Cantidad]]</f>
        <v>9856.5083419999992</v>
      </c>
      <c r="Q242" s="282" t="e">
        <f>(INDEX(Tabla6[#All],MATCH(Tabla4[[#This Row],[Producto]],Tabla6[[#All],[PRODUCTO]],0),MATCH(Tabla4[[#This Row],[Mes]],Tabla6[#Headers],0)))</f>
        <v>#N/A</v>
      </c>
      <c r="R242" s="282" t="e">
        <f>++Tabla4[[#This Row],[Precio Unitario Neto]]-Tabla4[[#This Row],[20.85%]]-Tabla4[[#This Row],[Costo]]</f>
        <v>#N/A</v>
      </c>
      <c r="S242" s="282" t="e">
        <f>++Tabla4[[#This Row],[U. Bruta Uni]]*Tabla4[[#This Row],[Cantidad]]</f>
        <v>#N/A</v>
      </c>
      <c r="T242" s="369" t="str">
        <f>VLOOKUP(Tabla4[[#This Row],[Producto]],Tabla6[#All],14,FALSE)</f>
        <v>Termico Solar</v>
      </c>
      <c r="U242" s="284" t="e">
        <f>(IF(Tabla4[[#This Row],[Familia]]="termico solar",Tabla4[[#This Row],[Utilidad Total]]*6%,Tabla4[[#This Row],[Utilidad Total]]*11.5%))/Tabla4[[#This Row],[Total]]</f>
        <v>#N/A</v>
      </c>
      <c r="V242" s="282" t="e">
        <f>+Tabla4[[#This Row],[Comisión Calculada]]*Tabla4[[#This Row],[Total]]</f>
        <v>#N/A</v>
      </c>
    </row>
    <row r="243" spans="1:22" hidden="1" x14ac:dyDescent="0.25">
      <c r="A243" s="100">
        <v>45688</v>
      </c>
      <c r="B243" t="str">
        <f t="shared" si="10"/>
        <v>January</v>
      </c>
      <c r="C243" s="46" t="s">
        <v>280</v>
      </c>
      <c r="F243" s="366" t="s">
        <v>797</v>
      </c>
      <c r="G243" s="46" t="s">
        <v>16</v>
      </c>
      <c r="H243" s="46">
        <v>4</v>
      </c>
      <c r="I243" s="51">
        <v>4103.8500000000004</v>
      </c>
      <c r="J243" s="281">
        <f>++Tabla4[[#This Row],[Precio Bruto]]*1.16</f>
        <v>4760.4660000000003</v>
      </c>
      <c r="K243" s="281">
        <f>+Tabla4[[#This Row],[Precio Unitario Neto]]*Tabla4[[#Headers],[20.85%]]</f>
        <v>992.55716100000006</v>
      </c>
      <c r="L243" s="282">
        <f>++Tabla4[[#This Row],[Precio Unitario Neto]]-Tabla4[[#This Row],[20.85%]]</f>
        <v>3767.9088390000002</v>
      </c>
      <c r="M243" s="282" t="e">
        <f>(INDEX(Tabla6[#All],MATCH(Tabla4[[#This Row],[Producto]],Tabla6[[#All],[PRODUCTO]],0),MATCH(Tabla4[[#This Row],[Mes]],Tabla6[#Headers],0)))*(1+Catalogos!$L$2)</f>
        <v>#N/A</v>
      </c>
      <c r="N243" s="283" t="e">
        <f>+(Tabla4[[#This Row],[Precio Descontado]]-Tabla4[[#This Row],[Precio Base]])*Tabla4[[#This Row],[Cantidad]]</f>
        <v>#N/A</v>
      </c>
      <c r="O243" s="284" t="e">
        <f>++Tabla4[[#This Row],[Utilidad Total]]/Tabla4[[#This Row],[Total]]</f>
        <v>#N/A</v>
      </c>
      <c r="P243" s="282">
        <f>++Tabla4[[#This Row],[Precio Descontado]]*Tabla4[[#This Row],[Cantidad]]</f>
        <v>15071.635356000001</v>
      </c>
      <c r="Q243" s="282" t="e">
        <f>(INDEX(Tabla6[#All],MATCH(Tabla4[[#This Row],[Producto]],Tabla6[[#All],[PRODUCTO]],0),MATCH(Tabla4[[#This Row],[Mes]],Tabla6[#Headers],0)))</f>
        <v>#N/A</v>
      </c>
      <c r="R243" s="282" t="e">
        <f>++Tabla4[[#This Row],[Precio Unitario Neto]]-Tabla4[[#This Row],[20.85%]]-Tabla4[[#This Row],[Costo]]</f>
        <v>#N/A</v>
      </c>
      <c r="S243" s="282" t="e">
        <f>++Tabla4[[#This Row],[U. Bruta Uni]]*Tabla4[[#This Row],[Cantidad]]</f>
        <v>#N/A</v>
      </c>
      <c r="T243" s="369" t="str">
        <f>VLOOKUP(Tabla4[[#This Row],[Producto]],Tabla6[#All],14,FALSE)</f>
        <v>Termico Solar</v>
      </c>
      <c r="U243" s="284" t="e">
        <f>(IF(Tabla4[[#This Row],[Familia]]="termico solar",Tabla4[[#This Row],[Utilidad Total]]*6%,Tabla4[[#This Row],[Utilidad Total]]*11.5%))/Tabla4[[#This Row],[Total]]</f>
        <v>#N/A</v>
      </c>
      <c r="V243" s="282" t="e">
        <f>+Tabla4[[#This Row],[Comisión Calculada]]*Tabla4[[#This Row],[Total]]</f>
        <v>#N/A</v>
      </c>
    </row>
    <row r="244" spans="1:22" hidden="1" x14ac:dyDescent="0.25">
      <c r="A244" s="100">
        <v>45688</v>
      </c>
      <c r="B244" t="str">
        <f t="shared" si="10"/>
        <v>January</v>
      </c>
      <c r="C244" s="46" t="s">
        <v>280</v>
      </c>
      <c r="F244" s="366" t="s">
        <v>798</v>
      </c>
      <c r="G244" s="46" t="s">
        <v>17</v>
      </c>
      <c r="H244" s="46">
        <v>2</v>
      </c>
      <c r="I244" s="51">
        <v>4622.28</v>
      </c>
      <c r="J244" s="281">
        <f>++Tabla4[[#This Row],[Precio Bruto]]*1.16</f>
        <v>5361.8447999999989</v>
      </c>
      <c r="K244" s="281">
        <f>+Tabla4[[#This Row],[Precio Unitario Neto]]*Tabla4[[#Headers],[20.85%]]</f>
        <v>1117.9446407999997</v>
      </c>
      <c r="L244" s="282">
        <f>++Tabla4[[#This Row],[Precio Unitario Neto]]-Tabla4[[#This Row],[20.85%]]</f>
        <v>4243.9001591999995</v>
      </c>
      <c r="M244" s="282" t="e">
        <f>(INDEX(Tabla6[#All],MATCH(Tabla4[[#This Row],[Producto]],Tabla6[[#All],[PRODUCTO]],0),MATCH(Tabla4[[#This Row],[Mes]],Tabla6[#Headers],0)))*(1+Catalogos!$L$2)</f>
        <v>#N/A</v>
      </c>
      <c r="N244" s="283" t="e">
        <f>+(Tabla4[[#This Row],[Precio Descontado]]-Tabla4[[#This Row],[Precio Base]])*Tabla4[[#This Row],[Cantidad]]</f>
        <v>#N/A</v>
      </c>
      <c r="O244" s="284" t="e">
        <f>++Tabla4[[#This Row],[Utilidad Total]]/Tabla4[[#This Row],[Total]]</f>
        <v>#N/A</v>
      </c>
      <c r="P244" s="282">
        <f>++Tabla4[[#This Row],[Precio Descontado]]*Tabla4[[#This Row],[Cantidad]]</f>
        <v>8487.800318399999</v>
      </c>
      <c r="Q244" s="282" t="e">
        <f>(INDEX(Tabla6[#All],MATCH(Tabla4[[#This Row],[Producto]],Tabla6[[#All],[PRODUCTO]],0),MATCH(Tabla4[[#This Row],[Mes]],Tabla6[#Headers],0)))</f>
        <v>#N/A</v>
      </c>
      <c r="R244" s="282" t="e">
        <f>++Tabla4[[#This Row],[Precio Unitario Neto]]-Tabla4[[#This Row],[20.85%]]-Tabla4[[#This Row],[Costo]]</f>
        <v>#N/A</v>
      </c>
      <c r="S244" s="282" t="e">
        <f>++Tabla4[[#This Row],[U. Bruta Uni]]*Tabla4[[#This Row],[Cantidad]]</f>
        <v>#N/A</v>
      </c>
      <c r="T244" s="369" t="str">
        <f>VLOOKUP(Tabla4[[#This Row],[Producto]],Tabla6[#All],14,FALSE)</f>
        <v>Termico Solar</v>
      </c>
      <c r="U244" s="284" t="e">
        <f>(IF(Tabla4[[#This Row],[Familia]]="termico solar",Tabla4[[#This Row],[Utilidad Total]]*6%,Tabla4[[#This Row],[Utilidad Total]]*11.5%))/Tabla4[[#This Row],[Total]]</f>
        <v>#N/A</v>
      </c>
      <c r="V244" s="282" t="e">
        <f>+Tabla4[[#This Row],[Comisión Calculada]]*Tabla4[[#This Row],[Total]]</f>
        <v>#N/A</v>
      </c>
    </row>
    <row r="245" spans="1:22" hidden="1" x14ac:dyDescent="0.25">
      <c r="A245" s="100">
        <v>45688</v>
      </c>
      <c r="B245" t="str">
        <f t="shared" si="10"/>
        <v>January</v>
      </c>
      <c r="C245" s="46" t="s">
        <v>280</v>
      </c>
      <c r="F245" s="366" t="s">
        <v>798</v>
      </c>
      <c r="G245" s="46" t="s">
        <v>18</v>
      </c>
      <c r="H245" s="46">
        <v>2</v>
      </c>
      <c r="I245" s="51">
        <v>5367.65</v>
      </c>
      <c r="J245" s="281">
        <f>++Tabla4[[#This Row],[Precio Bruto]]*1.16</f>
        <v>6226.4739999999993</v>
      </c>
      <c r="K245" s="281">
        <f>+Tabla4[[#This Row],[Precio Unitario Neto]]*Tabla4[[#Headers],[20.85%]]</f>
        <v>1298.2198289999999</v>
      </c>
      <c r="L245" s="282">
        <f>++Tabla4[[#This Row],[Precio Unitario Neto]]-Tabla4[[#This Row],[20.85%]]</f>
        <v>4928.2541709999996</v>
      </c>
      <c r="M245" s="282" t="e">
        <f>(INDEX(Tabla6[#All],MATCH(Tabla4[[#This Row],[Producto]],Tabla6[[#All],[PRODUCTO]],0),MATCH(Tabla4[[#This Row],[Mes]],Tabla6[#Headers],0)))*(1+Catalogos!$L$2)</f>
        <v>#N/A</v>
      </c>
      <c r="N245" s="283" t="e">
        <f>+(Tabla4[[#This Row],[Precio Descontado]]-Tabla4[[#This Row],[Precio Base]])*Tabla4[[#This Row],[Cantidad]]</f>
        <v>#N/A</v>
      </c>
      <c r="O245" s="284" t="e">
        <f>++Tabla4[[#This Row],[Utilidad Total]]/Tabla4[[#This Row],[Total]]</f>
        <v>#N/A</v>
      </c>
      <c r="P245" s="282">
        <f>++Tabla4[[#This Row],[Precio Descontado]]*Tabla4[[#This Row],[Cantidad]]</f>
        <v>9856.5083419999992</v>
      </c>
      <c r="Q245" s="282" t="e">
        <f>(INDEX(Tabla6[#All],MATCH(Tabla4[[#This Row],[Producto]],Tabla6[[#All],[PRODUCTO]],0),MATCH(Tabla4[[#This Row],[Mes]],Tabla6[#Headers],0)))</f>
        <v>#N/A</v>
      </c>
      <c r="R245" s="282" t="e">
        <f>++Tabla4[[#This Row],[Precio Unitario Neto]]-Tabla4[[#This Row],[20.85%]]-Tabla4[[#This Row],[Costo]]</f>
        <v>#N/A</v>
      </c>
      <c r="S245" s="282" t="e">
        <f>++Tabla4[[#This Row],[U. Bruta Uni]]*Tabla4[[#This Row],[Cantidad]]</f>
        <v>#N/A</v>
      </c>
      <c r="T245" s="369" t="str">
        <f>VLOOKUP(Tabla4[[#This Row],[Producto]],Tabla6[#All],14,FALSE)</f>
        <v>Termico Solar</v>
      </c>
      <c r="U245" s="284" t="e">
        <f>(IF(Tabla4[[#This Row],[Familia]]="termico solar",Tabla4[[#This Row],[Utilidad Total]]*6%,Tabla4[[#This Row],[Utilidad Total]]*11.5%))/Tabla4[[#This Row],[Total]]</f>
        <v>#N/A</v>
      </c>
      <c r="V245" s="282" t="e">
        <f>+Tabla4[[#This Row],[Comisión Calculada]]*Tabla4[[#This Row],[Total]]</f>
        <v>#N/A</v>
      </c>
    </row>
    <row r="246" spans="1:22" hidden="1" x14ac:dyDescent="0.25">
      <c r="A246" s="100">
        <v>45688</v>
      </c>
      <c r="B246" t="str">
        <f t="shared" si="10"/>
        <v>January</v>
      </c>
      <c r="C246" s="46" t="s">
        <v>280</v>
      </c>
      <c r="F246" s="366" t="s">
        <v>799</v>
      </c>
      <c r="G246" s="46" t="s">
        <v>566</v>
      </c>
      <c r="H246" s="46">
        <v>1</v>
      </c>
      <c r="I246" s="51">
        <v>2109.4499999999998</v>
      </c>
      <c r="J246" s="281">
        <f>++Tabla4[[#This Row],[Precio Bruto]]*1.16</f>
        <v>2446.9619999999995</v>
      </c>
      <c r="K246" s="281">
        <f>+Tabla4[[#This Row],[Precio Unitario Neto]]*Tabla4[[#Headers],[20.85%]]</f>
        <v>510.19157699999988</v>
      </c>
      <c r="L246" s="282">
        <f>++Tabla4[[#This Row],[Precio Unitario Neto]]-Tabla4[[#This Row],[20.85%]]</f>
        <v>1936.7704229999997</v>
      </c>
      <c r="M246" s="282" t="e">
        <f>(INDEX(Tabla6[#All],MATCH(Tabla4[[#This Row],[Producto]],Tabla6[[#All],[PRODUCTO]],0),MATCH(Tabla4[[#This Row],[Mes]],Tabla6[#Headers],0)))*(1+Catalogos!$L$2)</f>
        <v>#N/A</v>
      </c>
      <c r="N246" s="283" t="e">
        <f>+(Tabla4[[#This Row],[Precio Descontado]]-Tabla4[[#This Row],[Precio Base]])*Tabla4[[#This Row],[Cantidad]]</f>
        <v>#N/A</v>
      </c>
      <c r="O246" s="284" t="e">
        <f>++Tabla4[[#This Row],[Utilidad Total]]/Tabla4[[#This Row],[Total]]</f>
        <v>#N/A</v>
      </c>
      <c r="P246" s="282">
        <f>++Tabla4[[#This Row],[Precio Descontado]]*Tabla4[[#This Row],[Cantidad]]</f>
        <v>1936.7704229999997</v>
      </c>
      <c r="Q246" s="282" t="e">
        <f>(INDEX(Tabla6[#All],MATCH(Tabla4[[#This Row],[Producto]],Tabla6[[#All],[PRODUCTO]],0),MATCH(Tabla4[[#This Row],[Mes]],Tabla6[#Headers],0)))</f>
        <v>#N/A</v>
      </c>
      <c r="R246" s="282" t="e">
        <f>++Tabla4[[#This Row],[Precio Unitario Neto]]-Tabla4[[#This Row],[20.85%]]-Tabla4[[#This Row],[Costo]]</f>
        <v>#N/A</v>
      </c>
      <c r="S246" s="282" t="e">
        <f>++Tabla4[[#This Row],[U. Bruta Uni]]*Tabla4[[#This Row],[Cantidad]]</f>
        <v>#N/A</v>
      </c>
      <c r="T246" s="369" t="str">
        <f>VLOOKUP(Tabla4[[#This Row],[Producto]],Tabla6[#All],14,FALSE)</f>
        <v>Termico Solar</v>
      </c>
      <c r="U246" s="284" t="e">
        <f>(IF(Tabla4[[#This Row],[Familia]]="termico solar",Tabla4[[#This Row],[Utilidad Total]]*6%,Tabla4[[#This Row],[Utilidad Total]]*11.5%))/Tabla4[[#This Row],[Total]]</f>
        <v>#N/A</v>
      </c>
      <c r="V246" s="282" t="e">
        <f>+Tabla4[[#This Row],[Comisión Calculada]]*Tabla4[[#This Row],[Total]]</f>
        <v>#N/A</v>
      </c>
    </row>
    <row r="247" spans="1:22" hidden="1" x14ac:dyDescent="0.25">
      <c r="A247" s="100">
        <v>45688</v>
      </c>
      <c r="B247" t="str">
        <f t="shared" si="10"/>
        <v>January</v>
      </c>
      <c r="C247" s="46" t="s">
        <v>280</v>
      </c>
      <c r="F247" s="366" t="s">
        <v>800</v>
      </c>
      <c r="G247" s="46" t="s">
        <v>17</v>
      </c>
      <c r="H247" s="46">
        <v>3</v>
      </c>
      <c r="I247" s="51">
        <v>4622.28</v>
      </c>
      <c r="J247" s="281">
        <f>++Tabla4[[#This Row],[Precio Bruto]]*1.16</f>
        <v>5361.8447999999989</v>
      </c>
      <c r="K247" s="281">
        <f>+Tabla4[[#This Row],[Precio Unitario Neto]]*Tabla4[[#Headers],[20.85%]]</f>
        <v>1117.9446407999997</v>
      </c>
      <c r="L247" s="282">
        <f>++Tabla4[[#This Row],[Precio Unitario Neto]]-Tabla4[[#This Row],[20.85%]]</f>
        <v>4243.9001591999995</v>
      </c>
      <c r="M247" s="282" t="e">
        <f>(INDEX(Tabla6[#All],MATCH(Tabla4[[#This Row],[Producto]],Tabla6[[#All],[PRODUCTO]],0),MATCH(Tabla4[[#This Row],[Mes]],Tabla6[#Headers],0)))*(1+Catalogos!$L$2)</f>
        <v>#N/A</v>
      </c>
      <c r="N247" s="283" t="e">
        <f>+(Tabla4[[#This Row],[Precio Descontado]]-Tabla4[[#This Row],[Precio Base]])*Tabla4[[#This Row],[Cantidad]]</f>
        <v>#N/A</v>
      </c>
      <c r="O247" s="284" t="e">
        <f>++Tabla4[[#This Row],[Utilidad Total]]/Tabla4[[#This Row],[Total]]</f>
        <v>#N/A</v>
      </c>
      <c r="P247" s="282">
        <f>++Tabla4[[#This Row],[Precio Descontado]]*Tabla4[[#This Row],[Cantidad]]</f>
        <v>12731.700477599999</v>
      </c>
      <c r="Q247" s="282" t="e">
        <f>(INDEX(Tabla6[#All],MATCH(Tabla4[[#This Row],[Producto]],Tabla6[[#All],[PRODUCTO]],0),MATCH(Tabla4[[#This Row],[Mes]],Tabla6[#Headers],0)))</f>
        <v>#N/A</v>
      </c>
      <c r="R247" s="282" t="e">
        <f>++Tabla4[[#This Row],[Precio Unitario Neto]]-Tabla4[[#This Row],[20.85%]]-Tabla4[[#This Row],[Costo]]</f>
        <v>#N/A</v>
      </c>
      <c r="S247" s="282" t="e">
        <f>++Tabla4[[#This Row],[U. Bruta Uni]]*Tabla4[[#This Row],[Cantidad]]</f>
        <v>#N/A</v>
      </c>
      <c r="T247" s="369" t="str">
        <f>VLOOKUP(Tabla4[[#This Row],[Producto]],Tabla6[#All],14,FALSE)</f>
        <v>Termico Solar</v>
      </c>
      <c r="U247" s="284" t="e">
        <f>(IF(Tabla4[[#This Row],[Familia]]="termico solar",Tabla4[[#This Row],[Utilidad Total]]*6%,Tabla4[[#This Row],[Utilidad Total]]*11.5%))/Tabla4[[#This Row],[Total]]</f>
        <v>#N/A</v>
      </c>
      <c r="V247" s="282" t="e">
        <f>+Tabla4[[#This Row],[Comisión Calculada]]*Tabla4[[#This Row],[Total]]</f>
        <v>#N/A</v>
      </c>
    </row>
    <row r="248" spans="1:22" hidden="1" x14ac:dyDescent="0.25">
      <c r="A248" s="100">
        <v>45688</v>
      </c>
      <c r="B248" t="str">
        <f t="shared" si="10"/>
        <v>January</v>
      </c>
      <c r="C248" s="46" t="s">
        <v>280</v>
      </c>
      <c r="F248" s="366" t="s">
        <v>800</v>
      </c>
      <c r="G248" s="46" t="s">
        <v>394</v>
      </c>
      <c r="H248" s="46">
        <v>9</v>
      </c>
      <c r="I248" s="51">
        <v>108.1</v>
      </c>
      <c r="J248" s="281">
        <f>++Tabla4[[#This Row],[Precio Bruto]]*1.16</f>
        <v>125.39599999999999</v>
      </c>
      <c r="K248" s="281">
        <f>+Tabla4[[#This Row],[Precio Unitario Neto]]*Tabla4[[#Headers],[20.85%]]</f>
        <v>26.145065999999996</v>
      </c>
      <c r="L248" s="282">
        <f>++Tabla4[[#This Row],[Precio Unitario Neto]]-Tabla4[[#This Row],[20.85%]]</f>
        <v>99.250933999999987</v>
      </c>
      <c r="M248" s="282" t="e">
        <f>(INDEX(Tabla6[#All],MATCH(Tabla4[[#This Row],[Producto]],Tabla6[[#All],[PRODUCTO]],0),MATCH(Tabla4[[#This Row],[Mes]],Tabla6[#Headers],0)))*(1+Catalogos!$L$2)</f>
        <v>#N/A</v>
      </c>
      <c r="N248" s="283" t="e">
        <f>+(Tabla4[[#This Row],[Precio Descontado]]-Tabla4[[#This Row],[Precio Base]])*Tabla4[[#This Row],[Cantidad]]</f>
        <v>#N/A</v>
      </c>
      <c r="O248" s="284" t="e">
        <f>++Tabla4[[#This Row],[Utilidad Total]]/Tabla4[[#This Row],[Total]]</f>
        <v>#N/A</v>
      </c>
      <c r="P248" s="282">
        <f>++Tabla4[[#This Row],[Precio Descontado]]*Tabla4[[#This Row],[Cantidad]]</f>
        <v>893.25840599999992</v>
      </c>
      <c r="Q248" s="282" t="e">
        <f>(INDEX(Tabla6[#All],MATCH(Tabla4[[#This Row],[Producto]],Tabla6[[#All],[PRODUCTO]],0),MATCH(Tabla4[[#This Row],[Mes]],Tabla6[#Headers],0)))</f>
        <v>#N/A</v>
      </c>
      <c r="R248" s="282" t="e">
        <f>++Tabla4[[#This Row],[Precio Unitario Neto]]-Tabla4[[#This Row],[20.85%]]-Tabla4[[#This Row],[Costo]]</f>
        <v>#N/A</v>
      </c>
      <c r="S248" s="282" t="e">
        <f>++Tabla4[[#This Row],[U. Bruta Uni]]*Tabla4[[#This Row],[Cantidad]]</f>
        <v>#N/A</v>
      </c>
      <c r="T248" s="369" t="str">
        <f>VLOOKUP(Tabla4[[#This Row],[Producto]],Tabla6[#All],14,FALSE)</f>
        <v>Termico Solar</v>
      </c>
      <c r="U248" s="284" t="e">
        <f>(IF(Tabla4[[#This Row],[Familia]]="termico solar",Tabla4[[#This Row],[Utilidad Total]]*6%,Tabla4[[#This Row],[Utilidad Total]]*11.5%))/Tabla4[[#This Row],[Total]]</f>
        <v>#N/A</v>
      </c>
      <c r="V248" s="282" t="e">
        <f>+Tabla4[[#This Row],[Comisión Calculada]]*Tabla4[[#This Row],[Total]]</f>
        <v>#N/A</v>
      </c>
    </row>
    <row r="249" spans="1:22" hidden="1" x14ac:dyDescent="0.25">
      <c r="A249" s="100">
        <v>45688</v>
      </c>
      <c r="B249" t="str">
        <f t="shared" si="10"/>
        <v>January</v>
      </c>
      <c r="C249" s="46" t="s">
        <v>280</v>
      </c>
      <c r="F249" s="366" t="s">
        <v>801</v>
      </c>
      <c r="G249" s="46" t="s">
        <v>566</v>
      </c>
      <c r="H249" s="46">
        <v>1</v>
      </c>
      <c r="I249" s="51">
        <v>2109.4499999999998</v>
      </c>
      <c r="J249" s="281">
        <f>++Tabla4[[#This Row],[Precio Bruto]]*1.16</f>
        <v>2446.9619999999995</v>
      </c>
      <c r="K249" s="281">
        <f>+Tabla4[[#This Row],[Precio Unitario Neto]]*Tabla4[[#Headers],[20.85%]]</f>
        <v>510.19157699999988</v>
      </c>
      <c r="L249" s="282">
        <f>++Tabla4[[#This Row],[Precio Unitario Neto]]-Tabla4[[#This Row],[20.85%]]</f>
        <v>1936.7704229999997</v>
      </c>
      <c r="M249" s="282" t="e">
        <f>(INDEX(Tabla6[#All],MATCH(Tabla4[[#This Row],[Producto]],Tabla6[[#All],[PRODUCTO]],0),MATCH(Tabla4[[#This Row],[Mes]],Tabla6[#Headers],0)))*(1+Catalogos!$L$2)</f>
        <v>#N/A</v>
      </c>
      <c r="N249" s="283" t="e">
        <f>+(Tabla4[[#This Row],[Precio Descontado]]-Tabla4[[#This Row],[Precio Base]])*Tabla4[[#This Row],[Cantidad]]</f>
        <v>#N/A</v>
      </c>
      <c r="O249" s="284" t="e">
        <f>++Tabla4[[#This Row],[Utilidad Total]]/Tabla4[[#This Row],[Total]]</f>
        <v>#N/A</v>
      </c>
      <c r="P249" s="282">
        <f>++Tabla4[[#This Row],[Precio Descontado]]*Tabla4[[#This Row],[Cantidad]]</f>
        <v>1936.7704229999997</v>
      </c>
      <c r="Q249" s="282" t="e">
        <f>(INDEX(Tabla6[#All],MATCH(Tabla4[[#This Row],[Producto]],Tabla6[[#All],[PRODUCTO]],0),MATCH(Tabla4[[#This Row],[Mes]],Tabla6[#Headers],0)))</f>
        <v>#N/A</v>
      </c>
      <c r="R249" s="282" t="e">
        <f>++Tabla4[[#This Row],[Precio Unitario Neto]]-Tabla4[[#This Row],[20.85%]]-Tabla4[[#This Row],[Costo]]</f>
        <v>#N/A</v>
      </c>
      <c r="S249" s="282" t="e">
        <f>++Tabla4[[#This Row],[U. Bruta Uni]]*Tabla4[[#This Row],[Cantidad]]</f>
        <v>#N/A</v>
      </c>
      <c r="T249" s="369" t="str">
        <f>VLOOKUP(Tabla4[[#This Row],[Producto]],Tabla6[#All],14,FALSE)</f>
        <v>Termico Solar</v>
      </c>
      <c r="U249" s="284" t="e">
        <f>(IF(Tabla4[[#This Row],[Familia]]="termico solar",Tabla4[[#This Row],[Utilidad Total]]*6%,Tabla4[[#This Row],[Utilidad Total]]*11.5%))/Tabla4[[#This Row],[Total]]</f>
        <v>#N/A</v>
      </c>
      <c r="V249" s="282" t="e">
        <f>+Tabla4[[#This Row],[Comisión Calculada]]*Tabla4[[#This Row],[Total]]</f>
        <v>#N/A</v>
      </c>
    </row>
    <row r="250" spans="1:22" hidden="1" x14ac:dyDescent="0.25">
      <c r="A250" s="100">
        <v>45688</v>
      </c>
      <c r="B250" t="str">
        <f t="shared" si="10"/>
        <v>January</v>
      </c>
      <c r="C250" s="46" t="s">
        <v>280</v>
      </c>
      <c r="F250" s="366" t="s">
        <v>802</v>
      </c>
      <c r="G250" s="46" t="s">
        <v>18</v>
      </c>
      <c r="H250" s="46">
        <v>4</v>
      </c>
      <c r="I250" s="51">
        <v>5367.65</v>
      </c>
      <c r="J250" s="281">
        <f>++Tabla4[[#This Row],[Precio Bruto]]*1.16</f>
        <v>6226.4739999999993</v>
      </c>
      <c r="K250" s="281">
        <f>+Tabla4[[#This Row],[Precio Unitario Neto]]*Tabla4[[#Headers],[20.85%]]</f>
        <v>1298.2198289999999</v>
      </c>
      <c r="L250" s="282">
        <f>++Tabla4[[#This Row],[Precio Unitario Neto]]-Tabla4[[#This Row],[20.85%]]</f>
        <v>4928.2541709999996</v>
      </c>
      <c r="M250" s="282" t="e">
        <f>(INDEX(Tabla6[#All],MATCH(Tabla4[[#This Row],[Producto]],Tabla6[[#All],[PRODUCTO]],0),MATCH(Tabla4[[#This Row],[Mes]],Tabla6[#Headers],0)))*(1+Catalogos!$L$2)</f>
        <v>#N/A</v>
      </c>
      <c r="N250" s="283" t="e">
        <f>+(Tabla4[[#This Row],[Precio Descontado]]-Tabla4[[#This Row],[Precio Base]])*Tabla4[[#This Row],[Cantidad]]</f>
        <v>#N/A</v>
      </c>
      <c r="O250" s="284" t="e">
        <f>++Tabla4[[#This Row],[Utilidad Total]]/Tabla4[[#This Row],[Total]]</f>
        <v>#N/A</v>
      </c>
      <c r="P250" s="282">
        <f>++Tabla4[[#This Row],[Precio Descontado]]*Tabla4[[#This Row],[Cantidad]]</f>
        <v>19713.016683999998</v>
      </c>
      <c r="Q250" s="282" t="e">
        <f>(INDEX(Tabla6[#All],MATCH(Tabla4[[#This Row],[Producto]],Tabla6[[#All],[PRODUCTO]],0),MATCH(Tabla4[[#This Row],[Mes]],Tabla6[#Headers],0)))</f>
        <v>#N/A</v>
      </c>
      <c r="R250" s="282" t="e">
        <f>++Tabla4[[#This Row],[Precio Unitario Neto]]-Tabla4[[#This Row],[20.85%]]-Tabla4[[#This Row],[Costo]]</f>
        <v>#N/A</v>
      </c>
      <c r="S250" s="282" t="e">
        <f>++Tabla4[[#This Row],[U. Bruta Uni]]*Tabla4[[#This Row],[Cantidad]]</f>
        <v>#N/A</v>
      </c>
      <c r="T250" s="369" t="str">
        <f>VLOOKUP(Tabla4[[#This Row],[Producto]],Tabla6[#All],14,FALSE)</f>
        <v>Termico Solar</v>
      </c>
      <c r="U250" s="284" t="e">
        <f>(IF(Tabla4[[#This Row],[Familia]]="termico solar",Tabla4[[#This Row],[Utilidad Total]]*6%,Tabla4[[#This Row],[Utilidad Total]]*11.5%))/Tabla4[[#This Row],[Total]]</f>
        <v>#N/A</v>
      </c>
      <c r="V250" s="282" t="e">
        <f>+Tabla4[[#This Row],[Comisión Calculada]]*Tabla4[[#This Row],[Total]]</f>
        <v>#N/A</v>
      </c>
    </row>
    <row r="251" spans="1:22" hidden="1" x14ac:dyDescent="0.25">
      <c r="A251" s="100">
        <v>45688</v>
      </c>
      <c r="B251" t="str">
        <f t="shared" si="10"/>
        <v>January</v>
      </c>
      <c r="C251" s="46" t="s">
        <v>280</v>
      </c>
      <c r="F251" s="366" t="s">
        <v>803</v>
      </c>
      <c r="G251" s="46" t="s">
        <v>83</v>
      </c>
      <c r="H251" s="46">
        <v>3</v>
      </c>
      <c r="I251" s="51">
        <v>8858.76</v>
      </c>
      <c r="J251" s="281">
        <f>++Tabla4[[#This Row],[Precio Bruto]]*1.16</f>
        <v>10276.161599999999</v>
      </c>
      <c r="K251" s="281">
        <f>+Tabla4[[#This Row],[Precio Unitario Neto]]*Tabla4[[#Headers],[20.85%]]</f>
        <v>2142.5796935999997</v>
      </c>
      <c r="L251" s="282">
        <f>++Tabla4[[#This Row],[Precio Unitario Neto]]-Tabla4[[#This Row],[20.85%]]</f>
        <v>8133.5819063999998</v>
      </c>
      <c r="M251" s="282" t="e">
        <f>(INDEX(Tabla6[#All],MATCH(Tabla4[[#This Row],[Producto]],Tabla6[[#All],[PRODUCTO]],0),MATCH(Tabla4[[#This Row],[Mes]],Tabla6[#Headers],0)))*(1+Catalogos!$L$2)</f>
        <v>#N/A</v>
      </c>
      <c r="N251" s="283" t="e">
        <f>+(Tabla4[[#This Row],[Precio Descontado]]-Tabla4[[#This Row],[Precio Base]])*Tabla4[[#This Row],[Cantidad]]</f>
        <v>#N/A</v>
      </c>
      <c r="O251" s="284" t="e">
        <f>++Tabla4[[#This Row],[Utilidad Total]]/Tabla4[[#This Row],[Total]]</f>
        <v>#N/A</v>
      </c>
      <c r="P251" s="282">
        <f>++Tabla4[[#This Row],[Precio Descontado]]*Tabla4[[#This Row],[Cantidad]]</f>
        <v>24400.7457192</v>
      </c>
      <c r="Q251" s="282" t="e">
        <f>(INDEX(Tabla6[#All],MATCH(Tabla4[[#This Row],[Producto]],Tabla6[[#All],[PRODUCTO]],0),MATCH(Tabla4[[#This Row],[Mes]],Tabla6[#Headers],0)))</f>
        <v>#N/A</v>
      </c>
      <c r="R251" s="282" t="e">
        <f>++Tabla4[[#This Row],[Precio Unitario Neto]]-Tabla4[[#This Row],[20.85%]]-Tabla4[[#This Row],[Costo]]</f>
        <v>#N/A</v>
      </c>
      <c r="S251" s="282" t="e">
        <f>++Tabla4[[#This Row],[U. Bruta Uni]]*Tabla4[[#This Row],[Cantidad]]</f>
        <v>#N/A</v>
      </c>
      <c r="T251" s="369" t="str">
        <f>VLOOKUP(Tabla4[[#This Row],[Producto]],Tabla6[#All],14,FALSE)</f>
        <v>Termico Solar</v>
      </c>
      <c r="U251" s="284" t="e">
        <f>(IF(Tabla4[[#This Row],[Familia]]="termico solar",Tabla4[[#This Row],[Utilidad Total]]*6%,Tabla4[[#This Row],[Utilidad Total]]*11.5%))/Tabla4[[#This Row],[Total]]</f>
        <v>#N/A</v>
      </c>
      <c r="V251" s="282" t="e">
        <f>+Tabla4[[#This Row],[Comisión Calculada]]*Tabla4[[#This Row],[Total]]</f>
        <v>#N/A</v>
      </c>
    </row>
    <row r="252" spans="1:22" hidden="1" x14ac:dyDescent="0.25">
      <c r="A252" s="100">
        <v>45688</v>
      </c>
      <c r="B252" t="str">
        <f t="shared" ref="B252:B315" si="11">TEXT(A252, "mmmm")</f>
        <v>January</v>
      </c>
      <c r="C252" s="46" t="s">
        <v>280</v>
      </c>
      <c r="F252" s="366" t="s">
        <v>803</v>
      </c>
      <c r="G252" s="46" t="s">
        <v>566</v>
      </c>
      <c r="H252" s="46">
        <v>1</v>
      </c>
      <c r="I252" s="51">
        <v>2109.4499999999998</v>
      </c>
      <c r="J252" s="281">
        <f>++Tabla4[[#This Row],[Precio Bruto]]*1.16</f>
        <v>2446.9619999999995</v>
      </c>
      <c r="K252" s="281">
        <f>+Tabla4[[#This Row],[Precio Unitario Neto]]*Tabla4[[#Headers],[20.85%]]</f>
        <v>510.19157699999988</v>
      </c>
      <c r="L252" s="282">
        <f>++Tabla4[[#This Row],[Precio Unitario Neto]]-Tabla4[[#This Row],[20.85%]]</f>
        <v>1936.7704229999997</v>
      </c>
      <c r="M252" s="282" t="e">
        <f>(INDEX(Tabla6[#All],MATCH(Tabla4[[#This Row],[Producto]],Tabla6[[#All],[PRODUCTO]],0),MATCH(Tabla4[[#This Row],[Mes]],Tabla6[#Headers],0)))*(1+Catalogos!$L$2)</f>
        <v>#N/A</v>
      </c>
      <c r="N252" s="283" t="e">
        <f>+(Tabla4[[#This Row],[Precio Descontado]]-Tabla4[[#This Row],[Precio Base]])*Tabla4[[#This Row],[Cantidad]]</f>
        <v>#N/A</v>
      </c>
      <c r="O252" s="284" t="e">
        <f>++Tabla4[[#This Row],[Utilidad Total]]/Tabla4[[#This Row],[Total]]</f>
        <v>#N/A</v>
      </c>
      <c r="P252" s="282">
        <f>++Tabla4[[#This Row],[Precio Descontado]]*Tabla4[[#This Row],[Cantidad]]</f>
        <v>1936.7704229999997</v>
      </c>
      <c r="Q252" s="282" t="e">
        <f>(INDEX(Tabla6[#All],MATCH(Tabla4[[#This Row],[Producto]],Tabla6[[#All],[PRODUCTO]],0),MATCH(Tabla4[[#This Row],[Mes]],Tabla6[#Headers],0)))</f>
        <v>#N/A</v>
      </c>
      <c r="R252" s="282" t="e">
        <f>++Tabla4[[#This Row],[Precio Unitario Neto]]-Tabla4[[#This Row],[20.85%]]-Tabla4[[#This Row],[Costo]]</f>
        <v>#N/A</v>
      </c>
      <c r="S252" s="282" t="e">
        <f>++Tabla4[[#This Row],[U. Bruta Uni]]*Tabla4[[#This Row],[Cantidad]]</f>
        <v>#N/A</v>
      </c>
      <c r="T252" s="369" t="str">
        <f>VLOOKUP(Tabla4[[#This Row],[Producto]],Tabla6[#All],14,FALSE)</f>
        <v>Termico Solar</v>
      </c>
      <c r="U252" s="284" t="e">
        <f>(IF(Tabla4[[#This Row],[Familia]]="termico solar",Tabla4[[#This Row],[Utilidad Total]]*6%,Tabla4[[#This Row],[Utilidad Total]]*11.5%))/Tabla4[[#This Row],[Total]]</f>
        <v>#N/A</v>
      </c>
      <c r="V252" s="282" t="e">
        <f>+Tabla4[[#This Row],[Comisión Calculada]]*Tabla4[[#This Row],[Total]]</f>
        <v>#N/A</v>
      </c>
    </row>
    <row r="253" spans="1:22" hidden="1" x14ac:dyDescent="0.25">
      <c r="A253" s="100">
        <v>45688</v>
      </c>
      <c r="B253" t="str">
        <f t="shared" si="11"/>
        <v>January</v>
      </c>
      <c r="C253" s="46" t="s">
        <v>280</v>
      </c>
      <c r="F253" s="366" t="s">
        <v>803</v>
      </c>
      <c r="G253" s="46" t="s">
        <v>16</v>
      </c>
      <c r="H253" s="46">
        <v>2</v>
      </c>
      <c r="I253" s="51">
        <v>4103.8500000000004</v>
      </c>
      <c r="J253" s="281">
        <f>++Tabla4[[#This Row],[Precio Bruto]]*1.16</f>
        <v>4760.4660000000003</v>
      </c>
      <c r="K253" s="281">
        <f>+Tabla4[[#This Row],[Precio Unitario Neto]]*Tabla4[[#Headers],[20.85%]]</f>
        <v>992.55716100000006</v>
      </c>
      <c r="L253" s="282">
        <f>++Tabla4[[#This Row],[Precio Unitario Neto]]-Tabla4[[#This Row],[20.85%]]</f>
        <v>3767.9088390000002</v>
      </c>
      <c r="M253" s="282" t="e">
        <f>(INDEX(Tabla6[#All],MATCH(Tabla4[[#This Row],[Producto]],Tabla6[[#All],[PRODUCTO]],0),MATCH(Tabla4[[#This Row],[Mes]],Tabla6[#Headers],0)))*(1+Catalogos!$L$2)</f>
        <v>#N/A</v>
      </c>
      <c r="N253" s="283" t="e">
        <f>+(Tabla4[[#This Row],[Precio Descontado]]-Tabla4[[#This Row],[Precio Base]])*Tabla4[[#This Row],[Cantidad]]</f>
        <v>#N/A</v>
      </c>
      <c r="O253" s="284" t="e">
        <f>++Tabla4[[#This Row],[Utilidad Total]]/Tabla4[[#This Row],[Total]]</f>
        <v>#N/A</v>
      </c>
      <c r="P253" s="282">
        <f>++Tabla4[[#This Row],[Precio Descontado]]*Tabla4[[#This Row],[Cantidad]]</f>
        <v>7535.8176780000003</v>
      </c>
      <c r="Q253" s="282" t="e">
        <f>(INDEX(Tabla6[#All],MATCH(Tabla4[[#This Row],[Producto]],Tabla6[[#All],[PRODUCTO]],0),MATCH(Tabla4[[#This Row],[Mes]],Tabla6[#Headers],0)))</f>
        <v>#N/A</v>
      </c>
      <c r="R253" s="282" t="e">
        <f>++Tabla4[[#This Row],[Precio Unitario Neto]]-Tabla4[[#This Row],[20.85%]]-Tabla4[[#This Row],[Costo]]</f>
        <v>#N/A</v>
      </c>
      <c r="S253" s="282" t="e">
        <f>++Tabla4[[#This Row],[U. Bruta Uni]]*Tabla4[[#This Row],[Cantidad]]</f>
        <v>#N/A</v>
      </c>
      <c r="T253" s="369" t="str">
        <f>VLOOKUP(Tabla4[[#This Row],[Producto]],Tabla6[#All],14,FALSE)</f>
        <v>Termico Solar</v>
      </c>
      <c r="U253" s="284" t="e">
        <f>(IF(Tabla4[[#This Row],[Familia]]="termico solar",Tabla4[[#This Row],[Utilidad Total]]*6%,Tabla4[[#This Row],[Utilidad Total]]*11.5%))/Tabla4[[#This Row],[Total]]</f>
        <v>#N/A</v>
      </c>
      <c r="V253" s="282" t="e">
        <f>+Tabla4[[#This Row],[Comisión Calculada]]*Tabla4[[#This Row],[Total]]</f>
        <v>#N/A</v>
      </c>
    </row>
    <row r="254" spans="1:22" hidden="1" x14ac:dyDescent="0.25">
      <c r="A254" s="100">
        <v>45688</v>
      </c>
      <c r="B254" t="str">
        <f t="shared" si="11"/>
        <v>January</v>
      </c>
      <c r="C254" s="46" t="s">
        <v>280</v>
      </c>
      <c r="F254" s="366" t="s">
        <v>804</v>
      </c>
      <c r="G254" s="46" t="s">
        <v>83</v>
      </c>
      <c r="H254" s="46">
        <v>2</v>
      </c>
      <c r="I254" s="51">
        <v>8858.76</v>
      </c>
      <c r="J254" s="281">
        <f>++Tabla4[[#This Row],[Precio Bruto]]*1.16</f>
        <v>10276.161599999999</v>
      </c>
      <c r="K254" s="281">
        <f>+Tabla4[[#This Row],[Precio Unitario Neto]]*Tabla4[[#Headers],[20.85%]]</f>
        <v>2142.5796935999997</v>
      </c>
      <c r="L254" s="282">
        <f>++Tabla4[[#This Row],[Precio Unitario Neto]]-Tabla4[[#This Row],[20.85%]]</f>
        <v>8133.5819063999998</v>
      </c>
      <c r="M254" s="282" t="e">
        <f>(INDEX(Tabla6[#All],MATCH(Tabla4[[#This Row],[Producto]],Tabla6[[#All],[PRODUCTO]],0),MATCH(Tabla4[[#This Row],[Mes]],Tabla6[#Headers],0)))*(1+Catalogos!$L$2)</f>
        <v>#N/A</v>
      </c>
      <c r="N254" s="283" t="e">
        <f>+(Tabla4[[#This Row],[Precio Descontado]]-Tabla4[[#This Row],[Precio Base]])*Tabla4[[#This Row],[Cantidad]]</f>
        <v>#N/A</v>
      </c>
      <c r="O254" s="284" t="e">
        <f>++Tabla4[[#This Row],[Utilidad Total]]/Tabla4[[#This Row],[Total]]</f>
        <v>#N/A</v>
      </c>
      <c r="P254" s="282">
        <f>++Tabla4[[#This Row],[Precio Descontado]]*Tabla4[[#This Row],[Cantidad]]</f>
        <v>16267.1638128</v>
      </c>
      <c r="Q254" s="282" t="e">
        <f>(INDEX(Tabla6[#All],MATCH(Tabla4[[#This Row],[Producto]],Tabla6[[#All],[PRODUCTO]],0),MATCH(Tabla4[[#This Row],[Mes]],Tabla6[#Headers],0)))</f>
        <v>#N/A</v>
      </c>
      <c r="R254" s="282" t="e">
        <f>++Tabla4[[#This Row],[Precio Unitario Neto]]-Tabla4[[#This Row],[20.85%]]-Tabla4[[#This Row],[Costo]]</f>
        <v>#N/A</v>
      </c>
      <c r="S254" s="282" t="e">
        <f>++Tabla4[[#This Row],[U. Bruta Uni]]*Tabla4[[#This Row],[Cantidad]]</f>
        <v>#N/A</v>
      </c>
      <c r="T254" s="369" t="str">
        <f>VLOOKUP(Tabla4[[#This Row],[Producto]],Tabla6[#All],14,FALSE)</f>
        <v>Termico Solar</v>
      </c>
      <c r="U254" s="284" t="e">
        <f>(IF(Tabla4[[#This Row],[Familia]]="termico solar",Tabla4[[#This Row],[Utilidad Total]]*6%,Tabla4[[#This Row],[Utilidad Total]]*11.5%))/Tabla4[[#This Row],[Total]]</f>
        <v>#N/A</v>
      </c>
      <c r="V254" s="282" t="e">
        <f>+Tabla4[[#This Row],[Comisión Calculada]]*Tabla4[[#This Row],[Total]]</f>
        <v>#N/A</v>
      </c>
    </row>
    <row r="255" spans="1:22" hidden="1" x14ac:dyDescent="0.25">
      <c r="A255" s="100">
        <v>45688</v>
      </c>
      <c r="B255" t="str">
        <f t="shared" si="11"/>
        <v>January</v>
      </c>
      <c r="C255" s="46" t="s">
        <v>280</v>
      </c>
      <c r="F255" s="366" t="s">
        <v>804</v>
      </c>
      <c r="G255" s="46" t="s">
        <v>18</v>
      </c>
      <c r="H255" s="46">
        <v>3</v>
      </c>
      <c r="I255" s="51">
        <v>5367.6500000000005</v>
      </c>
      <c r="J255" s="281">
        <f>++Tabla4[[#This Row],[Precio Bruto]]*1.16</f>
        <v>6226.4740000000002</v>
      </c>
      <c r="K255" s="281">
        <f>+Tabla4[[#This Row],[Precio Unitario Neto]]*Tabla4[[#Headers],[20.85%]]</f>
        <v>1298.2198289999999</v>
      </c>
      <c r="L255" s="282">
        <f>++Tabla4[[#This Row],[Precio Unitario Neto]]-Tabla4[[#This Row],[20.85%]]</f>
        <v>4928.2541710000005</v>
      </c>
      <c r="M255" s="282" t="e">
        <f>(INDEX(Tabla6[#All],MATCH(Tabla4[[#This Row],[Producto]],Tabla6[[#All],[PRODUCTO]],0),MATCH(Tabla4[[#This Row],[Mes]],Tabla6[#Headers],0)))*(1+Catalogos!$L$2)</f>
        <v>#N/A</v>
      </c>
      <c r="N255" s="283" t="e">
        <f>+(Tabla4[[#This Row],[Precio Descontado]]-Tabla4[[#This Row],[Precio Base]])*Tabla4[[#This Row],[Cantidad]]</f>
        <v>#N/A</v>
      </c>
      <c r="O255" s="284" t="e">
        <f>++Tabla4[[#This Row],[Utilidad Total]]/Tabla4[[#This Row],[Total]]</f>
        <v>#N/A</v>
      </c>
      <c r="P255" s="282">
        <f>++Tabla4[[#This Row],[Precio Descontado]]*Tabla4[[#This Row],[Cantidad]]</f>
        <v>14784.762513000001</v>
      </c>
      <c r="Q255" s="282" t="e">
        <f>(INDEX(Tabla6[#All],MATCH(Tabla4[[#This Row],[Producto]],Tabla6[[#All],[PRODUCTO]],0),MATCH(Tabla4[[#This Row],[Mes]],Tabla6[#Headers],0)))</f>
        <v>#N/A</v>
      </c>
      <c r="R255" s="282" t="e">
        <f>++Tabla4[[#This Row],[Precio Unitario Neto]]-Tabla4[[#This Row],[20.85%]]-Tabla4[[#This Row],[Costo]]</f>
        <v>#N/A</v>
      </c>
      <c r="S255" s="282" t="e">
        <f>++Tabla4[[#This Row],[U. Bruta Uni]]*Tabla4[[#This Row],[Cantidad]]</f>
        <v>#N/A</v>
      </c>
      <c r="T255" s="369" t="str">
        <f>VLOOKUP(Tabla4[[#This Row],[Producto]],Tabla6[#All],14,FALSE)</f>
        <v>Termico Solar</v>
      </c>
      <c r="U255" s="284" t="e">
        <f>(IF(Tabla4[[#This Row],[Familia]]="termico solar",Tabla4[[#This Row],[Utilidad Total]]*6%,Tabla4[[#This Row],[Utilidad Total]]*11.5%))/Tabla4[[#This Row],[Total]]</f>
        <v>#N/A</v>
      </c>
      <c r="V255" s="282" t="e">
        <f>+Tabla4[[#This Row],[Comisión Calculada]]*Tabla4[[#This Row],[Total]]</f>
        <v>#N/A</v>
      </c>
    </row>
    <row r="256" spans="1:22" hidden="1" x14ac:dyDescent="0.25">
      <c r="A256" s="100">
        <v>45688</v>
      </c>
      <c r="B256" t="str">
        <f t="shared" si="11"/>
        <v>January</v>
      </c>
      <c r="C256" s="46" t="s">
        <v>280</v>
      </c>
      <c r="F256" s="366" t="s">
        <v>804</v>
      </c>
      <c r="G256" s="46" t="s">
        <v>412</v>
      </c>
      <c r="H256" s="46">
        <v>1</v>
      </c>
      <c r="I256" s="51">
        <v>3240.84</v>
      </c>
      <c r="J256" s="281">
        <f>++Tabla4[[#This Row],[Precio Bruto]]*1.16</f>
        <v>3759.3743999999997</v>
      </c>
      <c r="K256" s="281">
        <f>+Tabla4[[#This Row],[Precio Unitario Neto]]*Tabla4[[#Headers],[20.85%]]</f>
        <v>783.82956239999987</v>
      </c>
      <c r="L256" s="282">
        <f>++Tabla4[[#This Row],[Precio Unitario Neto]]-Tabla4[[#This Row],[20.85%]]</f>
        <v>2975.5448375999999</v>
      </c>
      <c r="M256" s="282" t="e">
        <f>(INDEX(Tabla6[#All],MATCH(Tabla4[[#This Row],[Producto]],Tabla6[[#All],[PRODUCTO]],0),MATCH(Tabla4[[#This Row],[Mes]],Tabla6[#Headers],0)))*(1+Catalogos!$L$2)</f>
        <v>#N/A</v>
      </c>
      <c r="N256" s="283" t="e">
        <f>+(Tabla4[[#This Row],[Precio Descontado]]-Tabla4[[#This Row],[Precio Base]])*Tabla4[[#This Row],[Cantidad]]</f>
        <v>#N/A</v>
      </c>
      <c r="O256" s="284" t="e">
        <f>++Tabla4[[#This Row],[Utilidad Total]]/Tabla4[[#This Row],[Total]]</f>
        <v>#N/A</v>
      </c>
      <c r="P256" s="282">
        <f>++Tabla4[[#This Row],[Precio Descontado]]*Tabla4[[#This Row],[Cantidad]]</f>
        <v>2975.5448375999999</v>
      </c>
      <c r="Q256" s="282" t="e">
        <f>(INDEX(Tabla6[#All],MATCH(Tabla4[[#This Row],[Producto]],Tabla6[[#All],[PRODUCTO]],0),MATCH(Tabla4[[#This Row],[Mes]],Tabla6[#Headers],0)))</f>
        <v>#N/A</v>
      </c>
      <c r="R256" s="282" t="e">
        <f>++Tabla4[[#This Row],[Precio Unitario Neto]]-Tabla4[[#This Row],[20.85%]]-Tabla4[[#This Row],[Costo]]</f>
        <v>#N/A</v>
      </c>
      <c r="S256" s="282" t="e">
        <f>++Tabla4[[#This Row],[U. Bruta Uni]]*Tabla4[[#This Row],[Cantidad]]</f>
        <v>#N/A</v>
      </c>
      <c r="T256" s="369" t="str">
        <f>VLOOKUP(Tabla4[[#This Row],[Producto]],Tabla6[#All],14,FALSE)</f>
        <v>Termico Solar</v>
      </c>
      <c r="U256" s="284" t="e">
        <f>(IF(Tabla4[[#This Row],[Familia]]="termico solar",Tabla4[[#This Row],[Utilidad Total]]*6%,Tabla4[[#This Row],[Utilidad Total]]*11.5%))/Tabla4[[#This Row],[Total]]</f>
        <v>#N/A</v>
      </c>
      <c r="V256" s="282" t="e">
        <f>+Tabla4[[#This Row],[Comisión Calculada]]*Tabla4[[#This Row],[Total]]</f>
        <v>#N/A</v>
      </c>
    </row>
    <row r="257" spans="1:22" hidden="1" x14ac:dyDescent="0.25">
      <c r="A257" s="100">
        <v>45688</v>
      </c>
      <c r="B257" t="str">
        <f t="shared" si="11"/>
        <v>January</v>
      </c>
      <c r="C257" s="46" t="s">
        <v>280</v>
      </c>
      <c r="F257" s="366" t="s">
        <v>804</v>
      </c>
      <c r="G257" s="46" t="s">
        <v>16</v>
      </c>
      <c r="H257" s="46">
        <v>4</v>
      </c>
      <c r="I257" s="51">
        <v>4103.8500000000004</v>
      </c>
      <c r="J257" s="281">
        <f>++Tabla4[[#This Row],[Precio Bruto]]*1.16</f>
        <v>4760.4660000000003</v>
      </c>
      <c r="K257" s="281">
        <f>+Tabla4[[#This Row],[Precio Unitario Neto]]*Tabla4[[#Headers],[20.85%]]</f>
        <v>992.55716100000006</v>
      </c>
      <c r="L257" s="282">
        <f>++Tabla4[[#This Row],[Precio Unitario Neto]]-Tabla4[[#This Row],[20.85%]]</f>
        <v>3767.9088390000002</v>
      </c>
      <c r="M257" s="282" t="e">
        <f>(INDEX(Tabla6[#All],MATCH(Tabla4[[#This Row],[Producto]],Tabla6[[#All],[PRODUCTO]],0),MATCH(Tabla4[[#This Row],[Mes]],Tabla6[#Headers],0)))*(1+Catalogos!$L$2)</f>
        <v>#N/A</v>
      </c>
      <c r="N257" s="283" t="e">
        <f>+(Tabla4[[#This Row],[Precio Descontado]]-Tabla4[[#This Row],[Precio Base]])*Tabla4[[#This Row],[Cantidad]]</f>
        <v>#N/A</v>
      </c>
      <c r="O257" s="284" t="e">
        <f>++Tabla4[[#This Row],[Utilidad Total]]/Tabla4[[#This Row],[Total]]</f>
        <v>#N/A</v>
      </c>
      <c r="P257" s="282">
        <f>++Tabla4[[#This Row],[Precio Descontado]]*Tabla4[[#This Row],[Cantidad]]</f>
        <v>15071.635356000001</v>
      </c>
      <c r="Q257" s="282" t="e">
        <f>(INDEX(Tabla6[#All],MATCH(Tabla4[[#This Row],[Producto]],Tabla6[[#All],[PRODUCTO]],0),MATCH(Tabla4[[#This Row],[Mes]],Tabla6[#Headers],0)))</f>
        <v>#N/A</v>
      </c>
      <c r="R257" s="282" t="e">
        <f>++Tabla4[[#This Row],[Precio Unitario Neto]]-Tabla4[[#This Row],[20.85%]]-Tabla4[[#This Row],[Costo]]</f>
        <v>#N/A</v>
      </c>
      <c r="S257" s="282" t="e">
        <f>++Tabla4[[#This Row],[U. Bruta Uni]]*Tabla4[[#This Row],[Cantidad]]</f>
        <v>#N/A</v>
      </c>
      <c r="T257" s="369" t="str">
        <f>VLOOKUP(Tabla4[[#This Row],[Producto]],Tabla6[#All],14,FALSE)</f>
        <v>Termico Solar</v>
      </c>
      <c r="U257" s="284" t="e">
        <f>(IF(Tabla4[[#This Row],[Familia]]="termico solar",Tabla4[[#This Row],[Utilidad Total]]*6%,Tabla4[[#This Row],[Utilidad Total]]*11.5%))/Tabla4[[#This Row],[Total]]</f>
        <v>#N/A</v>
      </c>
      <c r="V257" s="282" t="e">
        <f>+Tabla4[[#This Row],[Comisión Calculada]]*Tabla4[[#This Row],[Total]]</f>
        <v>#N/A</v>
      </c>
    </row>
    <row r="258" spans="1:22" hidden="1" x14ac:dyDescent="0.25">
      <c r="A258" s="100">
        <v>45688</v>
      </c>
      <c r="B258" t="str">
        <f t="shared" si="11"/>
        <v>January</v>
      </c>
      <c r="C258" s="46" t="s">
        <v>280</v>
      </c>
      <c r="F258" s="366" t="s">
        <v>805</v>
      </c>
      <c r="G258" s="46" t="s">
        <v>83</v>
      </c>
      <c r="H258" s="46">
        <v>2</v>
      </c>
      <c r="I258" s="51">
        <v>8858.76</v>
      </c>
      <c r="J258" s="281">
        <f>++Tabla4[[#This Row],[Precio Bruto]]*1.16</f>
        <v>10276.161599999999</v>
      </c>
      <c r="K258" s="281">
        <f>+Tabla4[[#This Row],[Precio Unitario Neto]]*Tabla4[[#Headers],[20.85%]]</f>
        <v>2142.5796935999997</v>
      </c>
      <c r="L258" s="282">
        <f>++Tabla4[[#This Row],[Precio Unitario Neto]]-Tabla4[[#This Row],[20.85%]]</f>
        <v>8133.5819063999998</v>
      </c>
      <c r="M258" s="282" t="e">
        <f>(INDEX(Tabla6[#All],MATCH(Tabla4[[#This Row],[Producto]],Tabla6[[#All],[PRODUCTO]],0),MATCH(Tabla4[[#This Row],[Mes]],Tabla6[#Headers],0)))*(1+Catalogos!$L$2)</f>
        <v>#N/A</v>
      </c>
      <c r="N258" s="283" t="e">
        <f>+(Tabla4[[#This Row],[Precio Descontado]]-Tabla4[[#This Row],[Precio Base]])*Tabla4[[#This Row],[Cantidad]]</f>
        <v>#N/A</v>
      </c>
      <c r="O258" s="284" t="e">
        <f>++Tabla4[[#This Row],[Utilidad Total]]/Tabla4[[#This Row],[Total]]</f>
        <v>#N/A</v>
      </c>
      <c r="P258" s="282">
        <f>++Tabla4[[#This Row],[Precio Descontado]]*Tabla4[[#This Row],[Cantidad]]</f>
        <v>16267.1638128</v>
      </c>
      <c r="Q258" s="282" t="e">
        <f>(INDEX(Tabla6[#All],MATCH(Tabla4[[#This Row],[Producto]],Tabla6[[#All],[PRODUCTO]],0),MATCH(Tabla4[[#This Row],[Mes]],Tabla6[#Headers],0)))</f>
        <v>#N/A</v>
      </c>
      <c r="R258" s="282" t="e">
        <f>++Tabla4[[#This Row],[Precio Unitario Neto]]-Tabla4[[#This Row],[20.85%]]-Tabla4[[#This Row],[Costo]]</f>
        <v>#N/A</v>
      </c>
      <c r="S258" s="282" t="e">
        <f>++Tabla4[[#This Row],[U. Bruta Uni]]*Tabla4[[#This Row],[Cantidad]]</f>
        <v>#N/A</v>
      </c>
      <c r="T258" s="369" t="str">
        <f>VLOOKUP(Tabla4[[#This Row],[Producto]],Tabla6[#All],14,FALSE)</f>
        <v>Termico Solar</v>
      </c>
      <c r="U258" s="284" t="e">
        <f>(IF(Tabla4[[#This Row],[Familia]]="termico solar",Tabla4[[#This Row],[Utilidad Total]]*6%,Tabla4[[#This Row],[Utilidad Total]]*11.5%))/Tabla4[[#This Row],[Total]]</f>
        <v>#N/A</v>
      </c>
      <c r="V258" s="282" t="e">
        <f>+Tabla4[[#This Row],[Comisión Calculada]]*Tabla4[[#This Row],[Total]]</f>
        <v>#N/A</v>
      </c>
    </row>
    <row r="259" spans="1:22" hidden="1" x14ac:dyDescent="0.25">
      <c r="A259" s="100">
        <v>45688</v>
      </c>
      <c r="B259" t="str">
        <f t="shared" si="11"/>
        <v>January</v>
      </c>
      <c r="C259" s="46" t="s">
        <v>280</v>
      </c>
      <c r="F259" s="366" t="s">
        <v>805</v>
      </c>
      <c r="G259" s="46" t="s">
        <v>18</v>
      </c>
      <c r="H259" s="46">
        <v>4</v>
      </c>
      <c r="I259" s="51">
        <v>5367.65</v>
      </c>
      <c r="J259" s="281">
        <f>++Tabla4[[#This Row],[Precio Bruto]]*1.16</f>
        <v>6226.4739999999993</v>
      </c>
      <c r="K259" s="281">
        <f>+Tabla4[[#This Row],[Precio Unitario Neto]]*Tabla4[[#Headers],[20.85%]]</f>
        <v>1298.2198289999999</v>
      </c>
      <c r="L259" s="282">
        <f>++Tabla4[[#This Row],[Precio Unitario Neto]]-Tabla4[[#This Row],[20.85%]]</f>
        <v>4928.2541709999996</v>
      </c>
      <c r="M259" s="282" t="e">
        <f>(INDEX(Tabla6[#All],MATCH(Tabla4[[#This Row],[Producto]],Tabla6[[#All],[PRODUCTO]],0),MATCH(Tabla4[[#This Row],[Mes]],Tabla6[#Headers],0)))*(1+Catalogos!$L$2)</f>
        <v>#N/A</v>
      </c>
      <c r="N259" s="283" t="e">
        <f>+(Tabla4[[#This Row],[Precio Descontado]]-Tabla4[[#This Row],[Precio Base]])*Tabla4[[#This Row],[Cantidad]]</f>
        <v>#N/A</v>
      </c>
      <c r="O259" s="284" t="e">
        <f>++Tabla4[[#This Row],[Utilidad Total]]/Tabla4[[#This Row],[Total]]</f>
        <v>#N/A</v>
      </c>
      <c r="P259" s="282">
        <f>++Tabla4[[#This Row],[Precio Descontado]]*Tabla4[[#This Row],[Cantidad]]</f>
        <v>19713.016683999998</v>
      </c>
      <c r="Q259" s="282" t="e">
        <f>(INDEX(Tabla6[#All],MATCH(Tabla4[[#This Row],[Producto]],Tabla6[[#All],[PRODUCTO]],0),MATCH(Tabla4[[#This Row],[Mes]],Tabla6[#Headers],0)))</f>
        <v>#N/A</v>
      </c>
      <c r="R259" s="282" t="e">
        <f>++Tabla4[[#This Row],[Precio Unitario Neto]]-Tabla4[[#This Row],[20.85%]]-Tabla4[[#This Row],[Costo]]</f>
        <v>#N/A</v>
      </c>
      <c r="S259" s="282" t="e">
        <f>++Tabla4[[#This Row],[U. Bruta Uni]]*Tabla4[[#This Row],[Cantidad]]</f>
        <v>#N/A</v>
      </c>
      <c r="T259" s="369" t="str">
        <f>VLOOKUP(Tabla4[[#This Row],[Producto]],Tabla6[#All],14,FALSE)</f>
        <v>Termico Solar</v>
      </c>
      <c r="U259" s="284" t="e">
        <f>(IF(Tabla4[[#This Row],[Familia]]="termico solar",Tabla4[[#This Row],[Utilidad Total]]*6%,Tabla4[[#This Row],[Utilidad Total]]*11.5%))/Tabla4[[#This Row],[Total]]</f>
        <v>#N/A</v>
      </c>
      <c r="V259" s="282" t="e">
        <f>+Tabla4[[#This Row],[Comisión Calculada]]*Tabla4[[#This Row],[Total]]</f>
        <v>#N/A</v>
      </c>
    </row>
    <row r="260" spans="1:22" hidden="1" x14ac:dyDescent="0.25">
      <c r="A260" s="100">
        <v>45688</v>
      </c>
      <c r="B260" t="str">
        <f t="shared" si="11"/>
        <v>January</v>
      </c>
      <c r="C260" s="46" t="s">
        <v>280</v>
      </c>
      <c r="F260" s="366" t="s">
        <v>806</v>
      </c>
      <c r="G260" s="46" t="s">
        <v>18</v>
      </c>
      <c r="H260" s="46">
        <v>4</v>
      </c>
      <c r="I260" s="51">
        <v>5367.65</v>
      </c>
      <c r="J260" s="281">
        <f>++Tabla4[[#This Row],[Precio Bruto]]*1.16</f>
        <v>6226.4739999999993</v>
      </c>
      <c r="K260" s="281">
        <f>+Tabla4[[#This Row],[Precio Unitario Neto]]*Tabla4[[#Headers],[20.85%]]</f>
        <v>1298.2198289999999</v>
      </c>
      <c r="L260" s="282">
        <f>++Tabla4[[#This Row],[Precio Unitario Neto]]-Tabla4[[#This Row],[20.85%]]</f>
        <v>4928.2541709999996</v>
      </c>
      <c r="M260" s="282" t="e">
        <f>(INDEX(Tabla6[#All],MATCH(Tabla4[[#This Row],[Producto]],Tabla6[[#All],[PRODUCTO]],0),MATCH(Tabla4[[#This Row],[Mes]],Tabla6[#Headers],0)))*(1+Catalogos!$L$2)</f>
        <v>#N/A</v>
      </c>
      <c r="N260" s="283" t="e">
        <f>+(Tabla4[[#This Row],[Precio Descontado]]-Tabla4[[#This Row],[Precio Base]])*Tabla4[[#This Row],[Cantidad]]</f>
        <v>#N/A</v>
      </c>
      <c r="O260" s="284" t="e">
        <f>++Tabla4[[#This Row],[Utilidad Total]]/Tabla4[[#This Row],[Total]]</f>
        <v>#N/A</v>
      </c>
      <c r="P260" s="282">
        <f>++Tabla4[[#This Row],[Precio Descontado]]*Tabla4[[#This Row],[Cantidad]]</f>
        <v>19713.016683999998</v>
      </c>
      <c r="Q260" s="282" t="e">
        <f>(INDEX(Tabla6[#All],MATCH(Tabla4[[#This Row],[Producto]],Tabla6[[#All],[PRODUCTO]],0),MATCH(Tabla4[[#This Row],[Mes]],Tabla6[#Headers],0)))</f>
        <v>#N/A</v>
      </c>
      <c r="R260" s="282" t="e">
        <f>++Tabla4[[#This Row],[Precio Unitario Neto]]-Tabla4[[#This Row],[20.85%]]-Tabla4[[#This Row],[Costo]]</f>
        <v>#N/A</v>
      </c>
      <c r="S260" s="282" t="e">
        <f>++Tabla4[[#This Row],[U. Bruta Uni]]*Tabla4[[#This Row],[Cantidad]]</f>
        <v>#N/A</v>
      </c>
      <c r="T260" s="369" t="str">
        <f>VLOOKUP(Tabla4[[#This Row],[Producto]],Tabla6[#All],14,FALSE)</f>
        <v>Termico Solar</v>
      </c>
      <c r="U260" s="284" t="e">
        <f>(IF(Tabla4[[#This Row],[Familia]]="termico solar",Tabla4[[#This Row],[Utilidad Total]]*6%,Tabla4[[#This Row],[Utilidad Total]]*11.5%))/Tabla4[[#This Row],[Total]]</f>
        <v>#N/A</v>
      </c>
      <c r="V260" s="282" t="e">
        <f>+Tabla4[[#This Row],[Comisión Calculada]]*Tabla4[[#This Row],[Total]]</f>
        <v>#N/A</v>
      </c>
    </row>
    <row r="261" spans="1:22" hidden="1" x14ac:dyDescent="0.25">
      <c r="A261" s="100">
        <v>45688</v>
      </c>
      <c r="B261" t="str">
        <f t="shared" si="11"/>
        <v>January</v>
      </c>
      <c r="C261" s="46" t="s">
        <v>280</v>
      </c>
      <c r="F261" s="366" t="s">
        <v>806</v>
      </c>
      <c r="G261" s="46" t="s">
        <v>566</v>
      </c>
      <c r="H261" s="46">
        <v>1</v>
      </c>
      <c r="I261" s="51">
        <v>2109.4499999999998</v>
      </c>
      <c r="J261" s="281">
        <f>++Tabla4[[#This Row],[Precio Bruto]]*1.16</f>
        <v>2446.9619999999995</v>
      </c>
      <c r="K261" s="281">
        <f>+Tabla4[[#This Row],[Precio Unitario Neto]]*Tabla4[[#Headers],[20.85%]]</f>
        <v>510.19157699999988</v>
      </c>
      <c r="L261" s="282">
        <f>++Tabla4[[#This Row],[Precio Unitario Neto]]-Tabla4[[#This Row],[20.85%]]</f>
        <v>1936.7704229999997</v>
      </c>
      <c r="M261" s="282" t="e">
        <f>(INDEX(Tabla6[#All],MATCH(Tabla4[[#This Row],[Producto]],Tabla6[[#All],[PRODUCTO]],0),MATCH(Tabla4[[#This Row],[Mes]],Tabla6[#Headers],0)))*(1+Catalogos!$L$2)</f>
        <v>#N/A</v>
      </c>
      <c r="N261" s="283" t="e">
        <f>+(Tabla4[[#This Row],[Precio Descontado]]-Tabla4[[#This Row],[Precio Base]])*Tabla4[[#This Row],[Cantidad]]</f>
        <v>#N/A</v>
      </c>
      <c r="O261" s="284" t="e">
        <f>++Tabla4[[#This Row],[Utilidad Total]]/Tabla4[[#This Row],[Total]]</f>
        <v>#N/A</v>
      </c>
      <c r="P261" s="282">
        <f>++Tabla4[[#This Row],[Precio Descontado]]*Tabla4[[#This Row],[Cantidad]]</f>
        <v>1936.7704229999997</v>
      </c>
      <c r="Q261" s="282" t="e">
        <f>(INDEX(Tabla6[#All],MATCH(Tabla4[[#This Row],[Producto]],Tabla6[[#All],[PRODUCTO]],0),MATCH(Tabla4[[#This Row],[Mes]],Tabla6[#Headers],0)))</f>
        <v>#N/A</v>
      </c>
      <c r="R261" s="282" t="e">
        <f>++Tabla4[[#This Row],[Precio Unitario Neto]]-Tabla4[[#This Row],[20.85%]]-Tabla4[[#This Row],[Costo]]</f>
        <v>#N/A</v>
      </c>
      <c r="S261" s="282" t="e">
        <f>++Tabla4[[#This Row],[U. Bruta Uni]]*Tabla4[[#This Row],[Cantidad]]</f>
        <v>#N/A</v>
      </c>
      <c r="T261" s="369" t="str">
        <f>VLOOKUP(Tabla4[[#This Row],[Producto]],Tabla6[#All],14,FALSE)</f>
        <v>Termico Solar</v>
      </c>
      <c r="U261" s="284" t="e">
        <f>(IF(Tabla4[[#This Row],[Familia]]="termico solar",Tabla4[[#This Row],[Utilidad Total]]*6%,Tabla4[[#This Row],[Utilidad Total]]*11.5%))/Tabla4[[#This Row],[Total]]</f>
        <v>#N/A</v>
      </c>
      <c r="V261" s="282" t="e">
        <f>+Tabla4[[#This Row],[Comisión Calculada]]*Tabla4[[#This Row],[Total]]</f>
        <v>#N/A</v>
      </c>
    </row>
    <row r="262" spans="1:22" hidden="1" x14ac:dyDescent="0.25">
      <c r="A262" s="100">
        <v>45688</v>
      </c>
      <c r="B262" t="str">
        <f t="shared" si="11"/>
        <v>January</v>
      </c>
      <c r="C262" s="46" t="s">
        <v>280</v>
      </c>
      <c r="F262" s="366" t="s">
        <v>807</v>
      </c>
      <c r="G262" s="46" t="s">
        <v>16</v>
      </c>
      <c r="H262" s="46">
        <v>2</v>
      </c>
      <c r="I262" s="51">
        <v>4103.8500000000004</v>
      </c>
      <c r="J262" s="281">
        <f>++Tabla4[[#This Row],[Precio Bruto]]*1.16</f>
        <v>4760.4660000000003</v>
      </c>
      <c r="K262" s="281">
        <f>+Tabla4[[#This Row],[Precio Unitario Neto]]*Tabla4[[#Headers],[20.85%]]</f>
        <v>992.55716100000006</v>
      </c>
      <c r="L262" s="282">
        <f>++Tabla4[[#This Row],[Precio Unitario Neto]]-Tabla4[[#This Row],[20.85%]]</f>
        <v>3767.9088390000002</v>
      </c>
      <c r="M262" s="282" t="e">
        <f>(INDEX(Tabla6[#All],MATCH(Tabla4[[#This Row],[Producto]],Tabla6[[#All],[PRODUCTO]],0),MATCH(Tabla4[[#This Row],[Mes]],Tabla6[#Headers],0)))*(1+Catalogos!$L$2)</f>
        <v>#N/A</v>
      </c>
      <c r="N262" s="283" t="e">
        <f>+(Tabla4[[#This Row],[Precio Descontado]]-Tabla4[[#This Row],[Precio Base]])*Tabla4[[#This Row],[Cantidad]]</f>
        <v>#N/A</v>
      </c>
      <c r="O262" s="284" t="e">
        <f>++Tabla4[[#This Row],[Utilidad Total]]/Tabla4[[#This Row],[Total]]</f>
        <v>#N/A</v>
      </c>
      <c r="P262" s="282">
        <f>++Tabla4[[#This Row],[Precio Descontado]]*Tabla4[[#This Row],[Cantidad]]</f>
        <v>7535.8176780000003</v>
      </c>
      <c r="Q262" s="282" t="e">
        <f>(INDEX(Tabla6[#All],MATCH(Tabla4[[#This Row],[Producto]],Tabla6[[#All],[PRODUCTO]],0),MATCH(Tabla4[[#This Row],[Mes]],Tabla6[#Headers],0)))</f>
        <v>#N/A</v>
      </c>
      <c r="R262" s="282" t="e">
        <f>++Tabla4[[#This Row],[Precio Unitario Neto]]-Tabla4[[#This Row],[20.85%]]-Tabla4[[#This Row],[Costo]]</f>
        <v>#N/A</v>
      </c>
      <c r="S262" s="282" t="e">
        <f>++Tabla4[[#This Row],[U. Bruta Uni]]*Tabla4[[#This Row],[Cantidad]]</f>
        <v>#N/A</v>
      </c>
      <c r="T262" s="369" t="str">
        <f>VLOOKUP(Tabla4[[#This Row],[Producto]],Tabla6[#All],14,FALSE)</f>
        <v>Termico Solar</v>
      </c>
      <c r="U262" s="284" t="e">
        <f>(IF(Tabla4[[#This Row],[Familia]]="termico solar",Tabla4[[#This Row],[Utilidad Total]]*6%,Tabla4[[#This Row],[Utilidad Total]]*11.5%))/Tabla4[[#This Row],[Total]]</f>
        <v>#N/A</v>
      </c>
      <c r="V262" s="282" t="e">
        <f>+Tabla4[[#This Row],[Comisión Calculada]]*Tabla4[[#This Row],[Total]]</f>
        <v>#N/A</v>
      </c>
    </row>
    <row r="263" spans="1:22" hidden="1" x14ac:dyDescent="0.25">
      <c r="A263" s="100">
        <v>45688</v>
      </c>
      <c r="B263" t="str">
        <f t="shared" si="11"/>
        <v>January</v>
      </c>
      <c r="C263" s="46" t="s">
        <v>280</v>
      </c>
      <c r="F263" s="366" t="s">
        <v>808</v>
      </c>
      <c r="G263" s="46" t="s">
        <v>83</v>
      </c>
      <c r="H263" s="46">
        <v>3</v>
      </c>
      <c r="I263" s="51">
        <v>8858.76</v>
      </c>
      <c r="J263" s="281">
        <f>++Tabla4[[#This Row],[Precio Bruto]]*1.16</f>
        <v>10276.161599999999</v>
      </c>
      <c r="K263" s="281">
        <f>+Tabla4[[#This Row],[Precio Unitario Neto]]*Tabla4[[#Headers],[20.85%]]</f>
        <v>2142.5796935999997</v>
      </c>
      <c r="L263" s="282">
        <f>++Tabla4[[#This Row],[Precio Unitario Neto]]-Tabla4[[#This Row],[20.85%]]</f>
        <v>8133.5819063999998</v>
      </c>
      <c r="M263" s="282" t="e">
        <f>(INDEX(Tabla6[#All],MATCH(Tabla4[[#This Row],[Producto]],Tabla6[[#All],[PRODUCTO]],0),MATCH(Tabla4[[#This Row],[Mes]],Tabla6[#Headers],0)))*(1+Catalogos!$L$2)</f>
        <v>#N/A</v>
      </c>
      <c r="N263" s="283" t="e">
        <f>+(Tabla4[[#This Row],[Precio Descontado]]-Tabla4[[#This Row],[Precio Base]])*Tabla4[[#This Row],[Cantidad]]</f>
        <v>#N/A</v>
      </c>
      <c r="O263" s="284" t="e">
        <f>++Tabla4[[#This Row],[Utilidad Total]]/Tabla4[[#This Row],[Total]]</f>
        <v>#N/A</v>
      </c>
      <c r="P263" s="282">
        <f>++Tabla4[[#This Row],[Precio Descontado]]*Tabla4[[#This Row],[Cantidad]]</f>
        <v>24400.7457192</v>
      </c>
      <c r="Q263" s="282" t="e">
        <f>(INDEX(Tabla6[#All],MATCH(Tabla4[[#This Row],[Producto]],Tabla6[[#All],[PRODUCTO]],0),MATCH(Tabla4[[#This Row],[Mes]],Tabla6[#Headers],0)))</f>
        <v>#N/A</v>
      </c>
      <c r="R263" s="282" t="e">
        <f>++Tabla4[[#This Row],[Precio Unitario Neto]]-Tabla4[[#This Row],[20.85%]]-Tabla4[[#This Row],[Costo]]</f>
        <v>#N/A</v>
      </c>
      <c r="S263" s="282" t="e">
        <f>++Tabla4[[#This Row],[U. Bruta Uni]]*Tabla4[[#This Row],[Cantidad]]</f>
        <v>#N/A</v>
      </c>
      <c r="T263" s="369" t="str">
        <f>VLOOKUP(Tabla4[[#This Row],[Producto]],Tabla6[#All],14,FALSE)</f>
        <v>Termico Solar</v>
      </c>
      <c r="U263" s="284" t="e">
        <f>(IF(Tabla4[[#This Row],[Familia]]="termico solar",Tabla4[[#This Row],[Utilidad Total]]*6%,Tabla4[[#This Row],[Utilidad Total]]*11.5%))/Tabla4[[#This Row],[Total]]</f>
        <v>#N/A</v>
      </c>
      <c r="V263" s="282" t="e">
        <f>+Tabla4[[#This Row],[Comisión Calculada]]*Tabla4[[#This Row],[Total]]</f>
        <v>#N/A</v>
      </c>
    </row>
    <row r="264" spans="1:22" hidden="1" x14ac:dyDescent="0.25">
      <c r="A264" s="100">
        <v>45688</v>
      </c>
      <c r="B264" t="str">
        <f t="shared" si="11"/>
        <v>January</v>
      </c>
      <c r="C264" s="46" t="s">
        <v>280</v>
      </c>
      <c r="F264" s="366" t="s">
        <v>808</v>
      </c>
      <c r="G264" s="46" t="s">
        <v>18</v>
      </c>
      <c r="H264" s="46">
        <v>5</v>
      </c>
      <c r="I264" s="51">
        <v>5367.65</v>
      </c>
      <c r="J264" s="281">
        <f>++Tabla4[[#This Row],[Precio Bruto]]*1.16</f>
        <v>6226.4739999999993</v>
      </c>
      <c r="K264" s="281">
        <f>+Tabla4[[#This Row],[Precio Unitario Neto]]*Tabla4[[#Headers],[20.85%]]</f>
        <v>1298.2198289999999</v>
      </c>
      <c r="L264" s="282">
        <f>++Tabla4[[#This Row],[Precio Unitario Neto]]-Tabla4[[#This Row],[20.85%]]</f>
        <v>4928.2541709999996</v>
      </c>
      <c r="M264" s="282" t="e">
        <f>(INDEX(Tabla6[#All],MATCH(Tabla4[[#This Row],[Producto]],Tabla6[[#All],[PRODUCTO]],0),MATCH(Tabla4[[#This Row],[Mes]],Tabla6[#Headers],0)))*(1+Catalogos!$L$2)</f>
        <v>#N/A</v>
      </c>
      <c r="N264" s="283" t="e">
        <f>+(Tabla4[[#This Row],[Precio Descontado]]-Tabla4[[#This Row],[Precio Base]])*Tabla4[[#This Row],[Cantidad]]</f>
        <v>#N/A</v>
      </c>
      <c r="O264" s="284" t="e">
        <f>++Tabla4[[#This Row],[Utilidad Total]]/Tabla4[[#This Row],[Total]]</f>
        <v>#N/A</v>
      </c>
      <c r="P264" s="282">
        <f>++Tabla4[[#This Row],[Precio Descontado]]*Tabla4[[#This Row],[Cantidad]]</f>
        <v>24641.270854999999</v>
      </c>
      <c r="Q264" s="282" t="e">
        <f>(INDEX(Tabla6[#All],MATCH(Tabla4[[#This Row],[Producto]],Tabla6[[#All],[PRODUCTO]],0),MATCH(Tabla4[[#This Row],[Mes]],Tabla6[#Headers],0)))</f>
        <v>#N/A</v>
      </c>
      <c r="R264" s="282" t="e">
        <f>++Tabla4[[#This Row],[Precio Unitario Neto]]-Tabla4[[#This Row],[20.85%]]-Tabla4[[#This Row],[Costo]]</f>
        <v>#N/A</v>
      </c>
      <c r="S264" s="282" t="e">
        <f>++Tabla4[[#This Row],[U. Bruta Uni]]*Tabla4[[#This Row],[Cantidad]]</f>
        <v>#N/A</v>
      </c>
      <c r="T264" s="369" t="str">
        <f>VLOOKUP(Tabla4[[#This Row],[Producto]],Tabla6[#All],14,FALSE)</f>
        <v>Termico Solar</v>
      </c>
      <c r="U264" s="284" t="e">
        <f>(IF(Tabla4[[#This Row],[Familia]]="termico solar",Tabla4[[#This Row],[Utilidad Total]]*6%,Tabla4[[#This Row],[Utilidad Total]]*11.5%))/Tabla4[[#This Row],[Total]]</f>
        <v>#N/A</v>
      </c>
      <c r="V264" s="282" t="e">
        <f>+Tabla4[[#This Row],[Comisión Calculada]]*Tabla4[[#This Row],[Total]]</f>
        <v>#N/A</v>
      </c>
    </row>
    <row r="265" spans="1:22" hidden="1" x14ac:dyDescent="0.25">
      <c r="A265" s="100">
        <v>45688</v>
      </c>
      <c r="B265" t="str">
        <f t="shared" si="11"/>
        <v>January</v>
      </c>
      <c r="C265" s="46" t="s">
        <v>280</v>
      </c>
      <c r="F265" s="366" t="s">
        <v>808</v>
      </c>
      <c r="G265" s="46" t="s">
        <v>566</v>
      </c>
      <c r="H265" s="46">
        <v>1</v>
      </c>
      <c r="I265" s="51">
        <v>2109.4499999999998</v>
      </c>
      <c r="J265" s="281">
        <f>++Tabla4[[#This Row],[Precio Bruto]]*1.16</f>
        <v>2446.9619999999995</v>
      </c>
      <c r="K265" s="281">
        <f>+Tabla4[[#This Row],[Precio Unitario Neto]]*Tabla4[[#Headers],[20.85%]]</f>
        <v>510.19157699999988</v>
      </c>
      <c r="L265" s="282">
        <f>++Tabla4[[#This Row],[Precio Unitario Neto]]-Tabla4[[#This Row],[20.85%]]</f>
        <v>1936.7704229999997</v>
      </c>
      <c r="M265" s="282" t="e">
        <f>(INDEX(Tabla6[#All],MATCH(Tabla4[[#This Row],[Producto]],Tabla6[[#All],[PRODUCTO]],0),MATCH(Tabla4[[#This Row],[Mes]],Tabla6[#Headers],0)))*(1+Catalogos!$L$2)</f>
        <v>#N/A</v>
      </c>
      <c r="N265" s="283" t="e">
        <f>+(Tabla4[[#This Row],[Precio Descontado]]-Tabla4[[#This Row],[Precio Base]])*Tabla4[[#This Row],[Cantidad]]</f>
        <v>#N/A</v>
      </c>
      <c r="O265" s="284" t="e">
        <f>++Tabla4[[#This Row],[Utilidad Total]]/Tabla4[[#This Row],[Total]]</f>
        <v>#N/A</v>
      </c>
      <c r="P265" s="282">
        <f>++Tabla4[[#This Row],[Precio Descontado]]*Tabla4[[#This Row],[Cantidad]]</f>
        <v>1936.7704229999997</v>
      </c>
      <c r="Q265" s="282" t="e">
        <f>(INDEX(Tabla6[#All],MATCH(Tabla4[[#This Row],[Producto]],Tabla6[[#All],[PRODUCTO]],0),MATCH(Tabla4[[#This Row],[Mes]],Tabla6[#Headers],0)))</f>
        <v>#N/A</v>
      </c>
      <c r="R265" s="282" t="e">
        <f>++Tabla4[[#This Row],[Precio Unitario Neto]]-Tabla4[[#This Row],[20.85%]]-Tabla4[[#This Row],[Costo]]</f>
        <v>#N/A</v>
      </c>
      <c r="S265" s="282" t="e">
        <f>++Tabla4[[#This Row],[U. Bruta Uni]]*Tabla4[[#This Row],[Cantidad]]</f>
        <v>#N/A</v>
      </c>
      <c r="T265" s="369" t="str">
        <f>VLOOKUP(Tabla4[[#This Row],[Producto]],Tabla6[#All],14,FALSE)</f>
        <v>Termico Solar</v>
      </c>
      <c r="U265" s="284" t="e">
        <f>(IF(Tabla4[[#This Row],[Familia]]="termico solar",Tabla4[[#This Row],[Utilidad Total]]*6%,Tabla4[[#This Row],[Utilidad Total]]*11.5%))/Tabla4[[#This Row],[Total]]</f>
        <v>#N/A</v>
      </c>
      <c r="V265" s="282" t="e">
        <f>+Tabla4[[#This Row],[Comisión Calculada]]*Tabla4[[#This Row],[Total]]</f>
        <v>#N/A</v>
      </c>
    </row>
    <row r="266" spans="1:22" hidden="1" x14ac:dyDescent="0.25">
      <c r="A266" s="100">
        <v>45688</v>
      </c>
      <c r="B266" t="str">
        <f t="shared" si="11"/>
        <v>January</v>
      </c>
      <c r="C266" s="46" t="s">
        <v>280</v>
      </c>
      <c r="F266" s="366" t="s">
        <v>809</v>
      </c>
      <c r="G266" s="46" t="s">
        <v>16</v>
      </c>
      <c r="H266" s="46">
        <v>4</v>
      </c>
      <c r="I266" s="51">
        <v>4103.8500000000004</v>
      </c>
      <c r="J266" s="281">
        <f>++Tabla4[[#This Row],[Precio Bruto]]*1.16</f>
        <v>4760.4660000000003</v>
      </c>
      <c r="K266" s="281">
        <f>+Tabla4[[#This Row],[Precio Unitario Neto]]*Tabla4[[#Headers],[20.85%]]</f>
        <v>992.55716100000006</v>
      </c>
      <c r="L266" s="282">
        <f>++Tabla4[[#This Row],[Precio Unitario Neto]]-Tabla4[[#This Row],[20.85%]]</f>
        <v>3767.9088390000002</v>
      </c>
      <c r="M266" s="282" t="e">
        <f>(INDEX(Tabla6[#All],MATCH(Tabla4[[#This Row],[Producto]],Tabla6[[#All],[PRODUCTO]],0),MATCH(Tabla4[[#This Row],[Mes]],Tabla6[#Headers],0)))*(1+Catalogos!$L$2)</f>
        <v>#N/A</v>
      </c>
      <c r="N266" s="283" t="e">
        <f>+(Tabla4[[#This Row],[Precio Descontado]]-Tabla4[[#This Row],[Precio Base]])*Tabla4[[#This Row],[Cantidad]]</f>
        <v>#N/A</v>
      </c>
      <c r="O266" s="284" t="e">
        <f>++Tabla4[[#This Row],[Utilidad Total]]/Tabla4[[#This Row],[Total]]</f>
        <v>#N/A</v>
      </c>
      <c r="P266" s="282">
        <f>++Tabla4[[#This Row],[Precio Descontado]]*Tabla4[[#This Row],[Cantidad]]</f>
        <v>15071.635356000001</v>
      </c>
      <c r="Q266" s="282" t="e">
        <f>(INDEX(Tabla6[#All],MATCH(Tabla4[[#This Row],[Producto]],Tabla6[[#All],[PRODUCTO]],0),MATCH(Tabla4[[#This Row],[Mes]],Tabla6[#Headers],0)))</f>
        <v>#N/A</v>
      </c>
      <c r="R266" s="282" t="e">
        <f>++Tabla4[[#This Row],[Precio Unitario Neto]]-Tabla4[[#This Row],[20.85%]]-Tabla4[[#This Row],[Costo]]</f>
        <v>#N/A</v>
      </c>
      <c r="S266" s="282" t="e">
        <f>++Tabla4[[#This Row],[U. Bruta Uni]]*Tabla4[[#This Row],[Cantidad]]</f>
        <v>#N/A</v>
      </c>
      <c r="T266" s="369" t="str">
        <f>VLOOKUP(Tabla4[[#This Row],[Producto]],Tabla6[#All],14,FALSE)</f>
        <v>Termico Solar</v>
      </c>
      <c r="U266" s="284" t="e">
        <f>(IF(Tabla4[[#This Row],[Familia]]="termico solar",Tabla4[[#This Row],[Utilidad Total]]*6%,Tabla4[[#This Row],[Utilidad Total]]*11.5%))/Tabla4[[#This Row],[Total]]</f>
        <v>#N/A</v>
      </c>
      <c r="V266" s="282" t="e">
        <f>+Tabla4[[#This Row],[Comisión Calculada]]*Tabla4[[#This Row],[Total]]</f>
        <v>#N/A</v>
      </c>
    </row>
    <row r="267" spans="1:22" hidden="1" x14ac:dyDescent="0.25">
      <c r="A267" s="100">
        <v>45688</v>
      </c>
      <c r="B267" t="str">
        <f t="shared" si="11"/>
        <v>January</v>
      </c>
      <c r="C267" s="46" t="s">
        <v>280</v>
      </c>
      <c r="F267" s="366" t="s">
        <v>810</v>
      </c>
      <c r="G267" s="46" t="s">
        <v>83</v>
      </c>
      <c r="H267" s="46">
        <v>1</v>
      </c>
      <c r="I267" s="51">
        <v>8858.76</v>
      </c>
      <c r="J267" s="281">
        <f>++Tabla4[[#This Row],[Precio Bruto]]*1.16</f>
        <v>10276.161599999999</v>
      </c>
      <c r="K267" s="281">
        <f>+Tabla4[[#This Row],[Precio Unitario Neto]]*Tabla4[[#Headers],[20.85%]]</f>
        <v>2142.5796935999997</v>
      </c>
      <c r="L267" s="282">
        <f>++Tabla4[[#This Row],[Precio Unitario Neto]]-Tabla4[[#This Row],[20.85%]]</f>
        <v>8133.5819063999998</v>
      </c>
      <c r="M267" s="282" t="e">
        <f>(INDEX(Tabla6[#All],MATCH(Tabla4[[#This Row],[Producto]],Tabla6[[#All],[PRODUCTO]],0),MATCH(Tabla4[[#This Row],[Mes]],Tabla6[#Headers],0)))*(1+Catalogos!$L$2)</f>
        <v>#N/A</v>
      </c>
      <c r="N267" s="283" t="e">
        <f>+(Tabla4[[#This Row],[Precio Descontado]]-Tabla4[[#This Row],[Precio Base]])*Tabla4[[#This Row],[Cantidad]]</f>
        <v>#N/A</v>
      </c>
      <c r="O267" s="284" t="e">
        <f>++Tabla4[[#This Row],[Utilidad Total]]/Tabla4[[#This Row],[Total]]</f>
        <v>#N/A</v>
      </c>
      <c r="P267" s="282">
        <f>++Tabla4[[#This Row],[Precio Descontado]]*Tabla4[[#This Row],[Cantidad]]</f>
        <v>8133.5819063999998</v>
      </c>
      <c r="Q267" s="282" t="e">
        <f>(INDEX(Tabla6[#All],MATCH(Tabla4[[#This Row],[Producto]],Tabla6[[#All],[PRODUCTO]],0),MATCH(Tabla4[[#This Row],[Mes]],Tabla6[#Headers],0)))</f>
        <v>#N/A</v>
      </c>
      <c r="R267" s="282" t="e">
        <f>++Tabla4[[#This Row],[Precio Unitario Neto]]-Tabla4[[#This Row],[20.85%]]-Tabla4[[#This Row],[Costo]]</f>
        <v>#N/A</v>
      </c>
      <c r="S267" s="282" t="e">
        <f>++Tabla4[[#This Row],[U. Bruta Uni]]*Tabla4[[#This Row],[Cantidad]]</f>
        <v>#N/A</v>
      </c>
      <c r="T267" s="369" t="str">
        <f>VLOOKUP(Tabla4[[#This Row],[Producto]],Tabla6[#All],14,FALSE)</f>
        <v>Termico Solar</v>
      </c>
      <c r="U267" s="284" t="e">
        <f>(IF(Tabla4[[#This Row],[Familia]]="termico solar",Tabla4[[#This Row],[Utilidad Total]]*6%,Tabla4[[#This Row],[Utilidad Total]]*11.5%))/Tabla4[[#This Row],[Total]]</f>
        <v>#N/A</v>
      </c>
      <c r="V267" s="282" t="e">
        <f>+Tabla4[[#This Row],[Comisión Calculada]]*Tabla4[[#This Row],[Total]]</f>
        <v>#N/A</v>
      </c>
    </row>
    <row r="268" spans="1:22" hidden="1" x14ac:dyDescent="0.25">
      <c r="A268" s="100">
        <v>45688</v>
      </c>
      <c r="B268" t="str">
        <f t="shared" si="11"/>
        <v>January</v>
      </c>
      <c r="C268" s="46" t="s">
        <v>280</v>
      </c>
      <c r="F268" s="366" t="s">
        <v>810</v>
      </c>
      <c r="G268" s="46" t="s">
        <v>17</v>
      </c>
      <c r="H268" s="46">
        <v>3</v>
      </c>
      <c r="I268" s="51">
        <v>4622.28</v>
      </c>
      <c r="J268" s="281">
        <f>++Tabla4[[#This Row],[Precio Bruto]]*1.16</f>
        <v>5361.8447999999989</v>
      </c>
      <c r="K268" s="281">
        <f>+Tabla4[[#This Row],[Precio Unitario Neto]]*Tabla4[[#Headers],[20.85%]]</f>
        <v>1117.9446407999997</v>
      </c>
      <c r="L268" s="282">
        <f>++Tabla4[[#This Row],[Precio Unitario Neto]]-Tabla4[[#This Row],[20.85%]]</f>
        <v>4243.9001591999995</v>
      </c>
      <c r="M268" s="282" t="e">
        <f>(INDEX(Tabla6[#All],MATCH(Tabla4[[#This Row],[Producto]],Tabla6[[#All],[PRODUCTO]],0),MATCH(Tabla4[[#This Row],[Mes]],Tabla6[#Headers],0)))*(1+Catalogos!$L$2)</f>
        <v>#N/A</v>
      </c>
      <c r="N268" s="283" t="e">
        <f>+(Tabla4[[#This Row],[Precio Descontado]]-Tabla4[[#This Row],[Precio Base]])*Tabla4[[#This Row],[Cantidad]]</f>
        <v>#N/A</v>
      </c>
      <c r="O268" s="284" t="e">
        <f>++Tabla4[[#This Row],[Utilidad Total]]/Tabla4[[#This Row],[Total]]</f>
        <v>#N/A</v>
      </c>
      <c r="P268" s="282">
        <f>++Tabla4[[#This Row],[Precio Descontado]]*Tabla4[[#This Row],[Cantidad]]</f>
        <v>12731.700477599999</v>
      </c>
      <c r="Q268" s="282" t="e">
        <f>(INDEX(Tabla6[#All],MATCH(Tabla4[[#This Row],[Producto]],Tabla6[[#All],[PRODUCTO]],0),MATCH(Tabla4[[#This Row],[Mes]],Tabla6[#Headers],0)))</f>
        <v>#N/A</v>
      </c>
      <c r="R268" s="282" t="e">
        <f>++Tabla4[[#This Row],[Precio Unitario Neto]]-Tabla4[[#This Row],[20.85%]]-Tabla4[[#This Row],[Costo]]</f>
        <v>#N/A</v>
      </c>
      <c r="S268" s="282" t="e">
        <f>++Tabla4[[#This Row],[U. Bruta Uni]]*Tabla4[[#This Row],[Cantidad]]</f>
        <v>#N/A</v>
      </c>
      <c r="T268" s="369" t="str">
        <f>VLOOKUP(Tabla4[[#This Row],[Producto]],Tabla6[#All],14,FALSE)</f>
        <v>Termico Solar</v>
      </c>
      <c r="U268" s="284" t="e">
        <f>(IF(Tabla4[[#This Row],[Familia]]="termico solar",Tabla4[[#This Row],[Utilidad Total]]*6%,Tabla4[[#This Row],[Utilidad Total]]*11.5%))/Tabla4[[#This Row],[Total]]</f>
        <v>#N/A</v>
      </c>
      <c r="V268" s="282" t="e">
        <f>+Tabla4[[#This Row],[Comisión Calculada]]*Tabla4[[#This Row],[Total]]</f>
        <v>#N/A</v>
      </c>
    </row>
    <row r="269" spans="1:22" hidden="1" x14ac:dyDescent="0.25">
      <c r="A269" s="100">
        <v>45688</v>
      </c>
      <c r="B269" t="str">
        <f t="shared" si="11"/>
        <v>January</v>
      </c>
      <c r="C269" s="46" t="s">
        <v>280</v>
      </c>
      <c r="F269" s="366" t="s">
        <v>810</v>
      </c>
      <c r="G269" s="46" t="s">
        <v>208</v>
      </c>
      <c r="H269" s="46">
        <v>3</v>
      </c>
      <c r="I269" s="51">
        <v>189.75</v>
      </c>
      <c r="J269" s="281">
        <f>++Tabla4[[#This Row],[Precio Bruto]]*1.16</f>
        <v>220.10999999999999</v>
      </c>
      <c r="K269" s="281">
        <f>+Tabla4[[#This Row],[Precio Unitario Neto]]*Tabla4[[#Headers],[20.85%]]</f>
        <v>45.892934999999994</v>
      </c>
      <c r="L269" s="282">
        <f>++Tabla4[[#This Row],[Precio Unitario Neto]]-Tabla4[[#This Row],[20.85%]]</f>
        <v>174.21706499999999</v>
      </c>
      <c r="M269" s="282" t="e">
        <f>(INDEX(Tabla6[#All],MATCH(Tabla4[[#This Row],[Producto]],Tabla6[[#All],[PRODUCTO]],0),MATCH(Tabla4[[#This Row],[Mes]],Tabla6[#Headers],0)))*(1+Catalogos!$L$2)</f>
        <v>#N/A</v>
      </c>
      <c r="N269" s="283" t="e">
        <f>+(Tabla4[[#This Row],[Precio Descontado]]-Tabla4[[#This Row],[Precio Base]])*Tabla4[[#This Row],[Cantidad]]</f>
        <v>#N/A</v>
      </c>
      <c r="O269" s="284" t="e">
        <f>++Tabla4[[#This Row],[Utilidad Total]]/Tabla4[[#This Row],[Total]]</f>
        <v>#N/A</v>
      </c>
      <c r="P269" s="282">
        <f>++Tabla4[[#This Row],[Precio Descontado]]*Tabla4[[#This Row],[Cantidad]]</f>
        <v>522.65119499999992</v>
      </c>
      <c r="Q269" s="282" t="e">
        <f>(INDEX(Tabla6[#All],MATCH(Tabla4[[#This Row],[Producto]],Tabla6[[#All],[PRODUCTO]],0),MATCH(Tabla4[[#This Row],[Mes]],Tabla6[#Headers],0)))</f>
        <v>#N/A</v>
      </c>
      <c r="R269" s="282" t="e">
        <f>++Tabla4[[#This Row],[Precio Unitario Neto]]-Tabla4[[#This Row],[20.85%]]-Tabla4[[#This Row],[Costo]]</f>
        <v>#N/A</v>
      </c>
      <c r="S269" s="282" t="e">
        <f>++Tabla4[[#This Row],[U. Bruta Uni]]*Tabla4[[#This Row],[Cantidad]]</f>
        <v>#N/A</v>
      </c>
      <c r="T269" s="369" t="str">
        <f>VLOOKUP(Tabla4[[#This Row],[Producto]],Tabla6[#All],14,FALSE)</f>
        <v>Termico Solar</v>
      </c>
      <c r="U269" s="284" t="e">
        <f>(IF(Tabla4[[#This Row],[Familia]]="termico solar",Tabla4[[#This Row],[Utilidad Total]]*6%,Tabla4[[#This Row],[Utilidad Total]]*11.5%))/Tabla4[[#This Row],[Total]]</f>
        <v>#N/A</v>
      </c>
      <c r="V269" s="282" t="e">
        <f>+Tabla4[[#This Row],[Comisión Calculada]]*Tabla4[[#This Row],[Total]]</f>
        <v>#N/A</v>
      </c>
    </row>
    <row r="270" spans="1:22" hidden="1" x14ac:dyDescent="0.25">
      <c r="A270" s="100">
        <v>45688</v>
      </c>
      <c r="B270" t="str">
        <f t="shared" si="11"/>
        <v>January</v>
      </c>
      <c r="C270" s="46" t="s">
        <v>280</v>
      </c>
      <c r="F270" s="366" t="s">
        <v>811</v>
      </c>
      <c r="G270" s="46" t="s">
        <v>17</v>
      </c>
      <c r="H270" s="46">
        <v>1</v>
      </c>
      <c r="I270" s="51">
        <v>4622.28</v>
      </c>
      <c r="J270" s="281">
        <f>++Tabla4[[#This Row],[Precio Bruto]]*1.16</f>
        <v>5361.8447999999989</v>
      </c>
      <c r="K270" s="281">
        <f>+Tabla4[[#This Row],[Precio Unitario Neto]]*Tabla4[[#Headers],[20.85%]]</f>
        <v>1117.9446407999997</v>
      </c>
      <c r="L270" s="282">
        <f>++Tabla4[[#This Row],[Precio Unitario Neto]]-Tabla4[[#This Row],[20.85%]]</f>
        <v>4243.9001591999995</v>
      </c>
      <c r="M270" s="282" t="e">
        <f>(INDEX(Tabla6[#All],MATCH(Tabla4[[#This Row],[Producto]],Tabla6[[#All],[PRODUCTO]],0),MATCH(Tabla4[[#This Row],[Mes]],Tabla6[#Headers],0)))*(1+Catalogos!$L$2)</f>
        <v>#N/A</v>
      </c>
      <c r="N270" s="283" t="e">
        <f>+(Tabla4[[#This Row],[Precio Descontado]]-Tabla4[[#This Row],[Precio Base]])*Tabla4[[#This Row],[Cantidad]]</f>
        <v>#N/A</v>
      </c>
      <c r="O270" s="284" t="e">
        <f>++Tabla4[[#This Row],[Utilidad Total]]/Tabla4[[#This Row],[Total]]</f>
        <v>#N/A</v>
      </c>
      <c r="P270" s="282">
        <f>++Tabla4[[#This Row],[Precio Descontado]]*Tabla4[[#This Row],[Cantidad]]</f>
        <v>4243.9001591999995</v>
      </c>
      <c r="Q270" s="282" t="e">
        <f>(INDEX(Tabla6[#All],MATCH(Tabla4[[#This Row],[Producto]],Tabla6[[#All],[PRODUCTO]],0),MATCH(Tabla4[[#This Row],[Mes]],Tabla6[#Headers],0)))</f>
        <v>#N/A</v>
      </c>
      <c r="R270" s="282" t="e">
        <f>++Tabla4[[#This Row],[Precio Unitario Neto]]-Tabla4[[#This Row],[20.85%]]-Tabla4[[#This Row],[Costo]]</f>
        <v>#N/A</v>
      </c>
      <c r="S270" s="282" t="e">
        <f>++Tabla4[[#This Row],[U. Bruta Uni]]*Tabla4[[#This Row],[Cantidad]]</f>
        <v>#N/A</v>
      </c>
      <c r="T270" s="369" t="str">
        <f>VLOOKUP(Tabla4[[#This Row],[Producto]],Tabla6[#All],14,FALSE)</f>
        <v>Termico Solar</v>
      </c>
      <c r="U270" s="284" t="e">
        <f>(IF(Tabla4[[#This Row],[Familia]]="termico solar",Tabla4[[#This Row],[Utilidad Total]]*6%,Tabla4[[#This Row],[Utilidad Total]]*11.5%))/Tabla4[[#This Row],[Total]]</f>
        <v>#N/A</v>
      </c>
      <c r="V270" s="282" t="e">
        <f>+Tabla4[[#This Row],[Comisión Calculada]]*Tabla4[[#This Row],[Total]]</f>
        <v>#N/A</v>
      </c>
    </row>
    <row r="271" spans="1:22" hidden="1" x14ac:dyDescent="0.25">
      <c r="A271" s="100">
        <v>45688</v>
      </c>
      <c r="B271" t="str">
        <f t="shared" si="11"/>
        <v>January</v>
      </c>
      <c r="C271" s="46" t="s">
        <v>280</v>
      </c>
      <c r="F271" s="366" t="s">
        <v>811</v>
      </c>
      <c r="G271" s="46" t="s">
        <v>18</v>
      </c>
      <c r="H271" s="46">
        <v>2</v>
      </c>
      <c r="I271" s="51">
        <v>5367.65</v>
      </c>
      <c r="J271" s="281">
        <f>++Tabla4[[#This Row],[Precio Bruto]]*1.16</f>
        <v>6226.4739999999993</v>
      </c>
      <c r="K271" s="281">
        <f>+Tabla4[[#This Row],[Precio Unitario Neto]]*Tabla4[[#Headers],[20.85%]]</f>
        <v>1298.2198289999999</v>
      </c>
      <c r="L271" s="282">
        <f>++Tabla4[[#This Row],[Precio Unitario Neto]]-Tabla4[[#This Row],[20.85%]]</f>
        <v>4928.2541709999996</v>
      </c>
      <c r="M271" s="282" t="e">
        <f>(INDEX(Tabla6[#All],MATCH(Tabla4[[#This Row],[Producto]],Tabla6[[#All],[PRODUCTO]],0),MATCH(Tabla4[[#This Row],[Mes]],Tabla6[#Headers],0)))*(1+Catalogos!$L$2)</f>
        <v>#N/A</v>
      </c>
      <c r="N271" s="283" t="e">
        <f>+(Tabla4[[#This Row],[Precio Descontado]]-Tabla4[[#This Row],[Precio Base]])*Tabla4[[#This Row],[Cantidad]]</f>
        <v>#N/A</v>
      </c>
      <c r="O271" s="284" t="e">
        <f>++Tabla4[[#This Row],[Utilidad Total]]/Tabla4[[#This Row],[Total]]</f>
        <v>#N/A</v>
      </c>
      <c r="P271" s="282">
        <f>++Tabla4[[#This Row],[Precio Descontado]]*Tabla4[[#This Row],[Cantidad]]</f>
        <v>9856.5083419999992</v>
      </c>
      <c r="Q271" s="282" t="e">
        <f>(INDEX(Tabla6[#All],MATCH(Tabla4[[#This Row],[Producto]],Tabla6[[#All],[PRODUCTO]],0),MATCH(Tabla4[[#This Row],[Mes]],Tabla6[#Headers],0)))</f>
        <v>#N/A</v>
      </c>
      <c r="R271" s="282" t="e">
        <f>++Tabla4[[#This Row],[Precio Unitario Neto]]-Tabla4[[#This Row],[20.85%]]-Tabla4[[#This Row],[Costo]]</f>
        <v>#N/A</v>
      </c>
      <c r="S271" s="282" t="e">
        <f>++Tabla4[[#This Row],[U. Bruta Uni]]*Tabla4[[#This Row],[Cantidad]]</f>
        <v>#N/A</v>
      </c>
      <c r="T271" s="369" t="str">
        <f>VLOOKUP(Tabla4[[#This Row],[Producto]],Tabla6[#All],14,FALSE)</f>
        <v>Termico Solar</v>
      </c>
      <c r="U271" s="284" t="e">
        <f>(IF(Tabla4[[#This Row],[Familia]]="termico solar",Tabla4[[#This Row],[Utilidad Total]]*6%,Tabla4[[#This Row],[Utilidad Total]]*11.5%))/Tabla4[[#This Row],[Total]]</f>
        <v>#N/A</v>
      </c>
      <c r="V271" s="282" t="e">
        <f>+Tabla4[[#This Row],[Comisión Calculada]]*Tabla4[[#This Row],[Total]]</f>
        <v>#N/A</v>
      </c>
    </row>
    <row r="272" spans="1:22" hidden="1" x14ac:dyDescent="0.25">
      <c r="A272" s="100">
        <v>45688</v>
      </c>
      <c r="B272" t="str">
        <f t="shared" si="11"/>
        <v>January</v>
      </c>
      <c r="C272" s="46" t="s">
        <v>280</v>
      </c>
      <c r="F272" s="366" t="s">
        <v>811</v>
      </c>
      <c r="G272" s="46" t="s">
        <v>16</v>
      </c>
      <c r="H272" s="46">
        <v>2</v>
      </c>
      <c r="I272" s="51">
        <v>4103.8500000000004</v>
      </c>
      <c r="J272" s="281">
        <f>++Tabla4[[#This Row],[Precio Bruto]]*1.16</f>
        <v>4760.4660000000003</v>
      </c>
      <c r="K272" s="281">
        <f>+Tabla4[[#This Row],[Precio Unitario Neto]]*Tabla4[[#Headers],[20.85%]]</f>
        <v>992.55716100000006</v>
      </c>
      <c r="L272" s="282">
        <f>++Tabla4[[#This Row],[Precio Unitario Neto]]-Tabla4[[#This Row],[20.85%]]</f>
        <v>3767.9088390000002</v>
      </c>
      <c r="M272" s="282" t="e">
        <f>(INDEX(Tabla6[#All],MATCH(Tabla4[[#This Row],[Producto]],Tabla6[[#All],[PRODUCTO]],0),MATCH(Tabla4[[#This Row],[Mes]],Tabla6[#Headers],0)))*(1+Catalogos!$L$2)</f>
        <v>#N/A</v>
      </c>
      <c r="N272" s="283" t="e">
        <f>+(Tabla4[[#This Row],[Precio Descontado]]-Tabla4[[#This Row],[Precio Base]])*Tabla4[[#This Row],[Cantidad]]</f>
        <v>#N/A</v>
      </c>
      <c r="O272" s="284" t="e">
        <f>++Tabla4[[#This Row],[Utilidad Total]]/Tabla4[[#This Row],[Total]]</f>
        <v>#N/A</v>
      </c>
      <c r="P272" s="282">
        <f>++Tabla4[[#This Row],[Precio Descontado]]*Tabla4[[#This Row],[Cantidad]]</f>
        <v>7535.8176780000003</v>
      </c>
      <c r="Q272" s="282" t="e">
        <f>(INDEX(Tabla6[#All],MATCH(Tabla4[[#This Row],[Producto]],Tabla6[[#All],[PRODUCTO]],0),MATCH(Tabla4[[#This Row],[Mes]],Tabla6[#Headers],0)))</f>
        <v>#N/A</v>
      </c>
      <c r="R272" s="282" t="e">
        <f>++Tabla4[[#This Row],[Precio Unitario Neto]]-Tabla4[[#This Row],[20.85%]]-Tabla4[[#This Row],[Costo]]</f>
        <v>#N/A</v>
      </c>
      <c r="S272" s="282" t="e">
        <f>++Tabla4[[#This Row],[U. Bruta Uni]]*Tabla4[[#This Row],[Cantidad]]</f>
        <v>#N/A</v>
      </c>
      <c r="T272" s="369" t="str">
        <f>VLOOKUP(Tabla4[[#This Row],[Producto]],Tabla6[#All],14,FALSE)</f>
        <v>Termico Solar</v>
      </c>
      <c r="U272" s="284" t="e">
        <f>(IF(Tabla4[[#This Row],[Familia]]="termico solar",Tabla4[[#This Row],[Utilidad Total]]*6%,Tabla4[[#This Row],[Utilidad Total]]*11.5%))/Tabla4[[#This Row],[Total]]</f>
        <v>#N/A</v>
      </c>
      <c r="V272" s="282" t="e">
        <f>+Tabla4[[#This Row],[Comisión Calculada]]*Tabla4[[#This Row],[Total]]</f>
        <v>#N/A</v>
      </c>
    </row>
    <row r="273" spans="1:22" hidden="1" x14ac:dyDescent="0.25">
      <c r="A273" s="100">
        <v>45688</v>
      </c>
      <c r="B273" t="str">
        <f t="shared" si="11"/>
        <v>January</v>
      </c>
      <c r="C273" s="46" t="s">
        <v>280</v>
      </c>
      <c r="F273" s="366" t="s">
        <v>812</v>
      </c>
      <c r="G273" s="46" t="s">
        <v>17</v>
      </c>
      <c r="H273" s="46">
        <v>4</v>
      </c>
      <c r="I273" s="51">
        <v>4622.28</v>
      </c>
      <c r="J273" s="281">
        <f>++Tabla4[[#This Row],[Precio Bruto]]*1.16</f>
        <v>5361.8447999999989</v>
      </c>
      <c r="K273" s="281">
        <f>+Tabla4[[#This Row],[Precio Unitario Neto]]*Tabla4[[#Headers],[20.85%]]</f>
        <v>1117.9446407999997</v>
      </c>
      <c r="L273" s="282">
        <f>++Tabla4[[#This Row],[Precio Unitario Neto]]-Tabla4[[#This Row],[20.85%]]</f>
        <v>4243.9001591999995</v>
      </c>
      <c r="M273" s="282" t="e">
        <f>(INDEX(Tabla6[#All],MATCH(Tabla4[[#This Row],[Producto]],Tabla6[[#All],[PRODUCTO]],0),MATCH(Tabla4[[#This Row],[Mes]],Tabla6[#Headers],0)))*(1+Catalogos!$L$2)</f>
        <v>#N/A</v>
      </c>
      <c r="N273" s="283" t="e">
        <f>+(Tabla4[[#This Row],[Precio Descontado]]-Tabla4[[#This Row],[Precio Base]])*Tabla4[[#This Row],[Cantidad]]</f>
        <v>#N/A</v>
      </c>
      <c r="O273" s="284" t="e">
        <f>++Tabla4[[#This Row],[Utilidad Total]]/Tabla4[[#This Row],[Total]]</f>
        <v>#N/A</v>
      </c>
      <c r="P273" s="282">
        <f>++Tabla4[[#This Row],[Precio Descontado]]*Tabla4[[#This Row],[Cantidad]]</f>
        <v>16975.600636799998</v>
      </c>
      <c r="Q273" s="282" t="e">
        <f>(INDEX(Tabla6[#All],MATCH(Tabla4[[#This Row],[Producto]],Tabla6[[#All],[PRODUCTO]],0),MATCH(Tabla4[[#This Row],[Mes]],Tabla6[#Headers],0)))</f>
        <v>#N/A</v>
      </c>
      <c r="R273" s="282" t="e">
        <f>++Tabla4[[#This Row],[Precio Unitario Neto]]-Tabla4[[#This Row],[20.85%]]-Tabla4[[#This Row],[Costo]]</f>
        <v>#N/A</v>
      </c>
      <c r="S273" s="282" t="e">
        <f>++Tabla4[[#This Row],[U. Bruta Uni]]*Tabla4[[#This Row],[Cantidad]]</f>
        <v>#N/A</v>
      </c>
      <c r="T273" s="369" t="str">
        <f>VLOOKUP(Tabla4[[#This Row],[Producto]],Tabla6[#All],14,FALSE)</f>
        <v>Termico Solar</v>
      </c>
      <c r="U273" s="284" t="e">
        <f>(IF(Tabla4[[#This Row],[Familia]]="termico solar",Tabla4[[#This Row],[Utilidad Total]]*6%,Tabla4[[#This Row],[Utilidad Total]]*11.5%))/Tabla4[[#This Row],[Total]]</f>
        <v>#N/A</v>
      </c>
      <c r="V273" s="282" t="e">
        <f>+Tabla4[[#This Row],[Comisión Calculada]]*Tabla4[[#This Row],[Total]]</f>
        <v>#N/A</v>
      </c>
    </row>
    <row r="274" spans="1:22" hidden="1" x14ac:dyDescent="0.25">
      <c r="A274" s="100">
        <v>45688</v>
      </c>
      <c r="B274" t="str">
        <f t="shared" si="11"/>
        <v>January</v>
      </c>
      <c r="C274" s="46" t="s">
        <v>280</v>
      </c>
      <c r="F274" s="366" t="s">
        <v>812</v>
      </c>
      <c r="G274" s="46" t="s">
        <v>18</v>
      </c>
      <c r="H274" s="46">
        <v>3</v>
      </c>
      <c r="I274" s="51">
        <v>5367.6500000000005</v>
      </c>
      <c r="J274" s="281">
        <f>++Tabla4[[#This Row],[Precio Bruto]]*1.16</f>
        <v>6226.4740000000002</v>
      </c>
      <c r="K274" s="281">
        <f>+Tabla4[[#This Row],[Precio Unitario Neto]]*Tabla4[[#Headers],[20.85%]]</f>
        <v>1298.2198289999999</v>
      </c>
      <c r="L274" s="282">
        <f>++Tabla4[[#This Row],[Precio Unitario Neto]]-Tabla4[[#This Row],[20.85%]]</f>
        <v>4928.2541710000005</v>
      </c>
      <c r="M274" s="282" t="e">
        <f>(INDEX(Tabla6[#All],MATCH(Tabla4[[#This Row],[Producto]],Tabla6[[#All],[PRODUCTO]],0),MATCH(Tabla4[[#This Row],[Mes]],Tabla6[#Headers],0)))*(1+Catalogos!$L$2)</f>
        <v>#N/A</v>
      </c>
      <c r="N274" s="283" t="e">
        <f>+(Tabla4[[#This Row],[Precio Descontado]]-Tabla4[[#This Row],[Precio Base]])*Tabla4[[#This Row],[Cantidad]]</f>
        <v>#N/A</v>
      </c>
      <c r="O274" s="284" t="e">
        <f>++Tabla4[[#This Row],[Utilidad Total]]/Tabla4[[#This Row],[Total]]</f>
        <v>#N/A</v>
      </c>
      <c r="P274" s="282">
        <f>++Tabla4[[#This Row],[Precio Descontado]]*Tabla4[[#This Row],[Cantidad]]</f>
        <v>14784.762513000001</v>
      </c>
      <c r="Q274" s="282" t="e">
        <f>(INDEX(Tabla6[#All],MATCH(Tabla4[[#This Row],[Producto]],Tabla6[[#All],[PRODUCTO]],0),MATCH(Tabla4[[#This Row],[Mes]],Tabla6[#Headers],0)))</f>
        <v>#N/A</v>
      </c>
      <c r="R274" s="282" t="e">
        <f>++Tabla4[[#This Row],[Precio Unitario Neto]]-Tabla4[[#This Row],[20.85%]]-Tabla4[[#This Row],[Costo]]</f>
        <v>#N/A</v>
      </c>
      <c r="S274" s="282" t="e">
        <f>++Tabla4[[#This Row],[U. Bruta Uni]]*Tabla4[[#This Row],[Cantidad]]</f>
        <v>#N/A</v>
      </c>
      <c r="T274" s="369" t="str">
        <f>VLOOKUP(Tabla4[[#This Row],[Producto]],Tabla6[#All],14,FALSE)</f>
        <v>Termico Solar</v>
      </c>
      <c r="U274" s="284" t="e">
        <f>(IF(Tabla4[[#This Row],[Familia]]="termico solar",Tabla4[[#This Row],[Utilidad Total]]*6%,Tabla4[[#This Row],[Utilidad Total]]*11.5%))/Tabla4[[#This Row],[Total]]</f>
        <v>#N/A</v>
      </c>
      <c r="V274" s="282" t="e">
        <f>+Tabla4[[#This Row],[Comisión Calculada]]*Tabla4[[#This Row],[Total]]</f>
        <v>#N/A</v>
      </c>
    </row>
    <row r="275" spans="1:22" hidden="1" x14ac:dyDescent="0.25">
      <c r="A275" s="100">
        <v>45688</v>
      </c>
      <c r="B275" t="str">
        <f t="shared" si="11"/>
        <v>January</v>
      </c>
      <c r="C275" s="46" t="s">
        <v>280</v>
      </c>
      <c r="F275" s="366" t="s">
        <v>812</v>
      </c>
      <c r="G275" s="46" t="s">
        <v>566</v>
      </c>
      <c r="H275" s="46">
        <v>3</v>
      </c>
      <c r="I275" s="51">
        <v>2109.4500000000003</v>
      </c>
      <c r="J275" s="281">
        <f>++Tabla4[[#This Row],[Precio Bruto]]*1.16</f>
        <v>2446.962</v>
      </c>
      <c r="K275" s="281">
        <f>+Tabla4[[#This Row],[Precio Unitario Neto]]*Tabla4[[#Headers],[20.85%]]</f>
        <v>510.191577</v>
      </c>
      <c r="L275" s="282">
        <f>++Tabla4[[#This Row],[Precio Unitario Neto]]-Tabla4[[#This Row],[20.85%]]</f>
        <v>1936.7704229999999</v>
      </c>
      <c r="M275" s="282" t="e">
        <f>(INDEX(Tabla6[#All],MATCH(Tabla4[[#This Row],[Producto]],Tabla6[[#All],[PRODUCTO]],0),MATCH(Tabla4[[#This Row],[Mes]],Tabla6[#Headers],0)))*(1+Catalogos!$L$2)</f>
        <v>#N/A</v>
      </c>
      <c r="N275" s="283" t="e">
        <f>+(Tabla4[[#This Row],[Precio Descontado]]-Tabla4[[#This Row],[Precio Base]])*Tabla4[[#This Row],[Cantidad]]</f>
        <v>#N/A</v>
      </c>
      <c r="O275" s="284" t="e">
        <f>++Tabla4[[#This Row],[Utilidad Total]]/Tabla4[[#This Row],[Total]]</f>
        <v>#N/A</v>
      </c>
      <c r="P275" s="282">
        <f>++Tabla4[[#This Row],[Precio Descontado]]*Tabla4[[#This Row],[Cantidad]]</f>
        <v>5810.3112689999998</v>
      </c>
      <c r="Q275" s="282" t="e">
        <f>(INDEX(Tabla6[#All],MATCH(Tabla4[[#This Row],[Producto]],Tabla6[[#All],[PRODUCTO]],0),MATCH(Tabla4[[#This Row],[Mes]],Tabla6[#Headers],0)))</f>
        <v>#N/A</v>
      </c>
      <c r="R275" s="282" t="e">
        <f>++Tabla4[[#This Row],[Precio Unitario Neto]]-Tabla4[[#This Row],[20.85%]]-Tabla4[[#This Row],[Costo]]</f>
        <v>#N/A</v>
      </c>
      <c r="S275" s="282" t="e">
        <f>++Tabla4[[#This Row],[U. Bruta Uni]]*Tabla4[[#This Row],[Cantidad]]</f>
        <v>#N/A</v>
      </c>
      <c r="T275" s="369" t="str">
        <f>VLOOKUP(Tabla4[[#This Row],[Producto]],Tabla6[#All],14,FALSE)</f>
        <v>Termico Solar</v>
      </c>
      <c r="U275" s="284" t="e">
        <f>(IF(Tabla4[[#This Row],[Familia]]="termico solar",Tabla4[[#This Row],[Utilidad Total]]*6%,Tabla4[[#This Row],[Utilidad Total]]*11.5%))/Tabla4[[#This Row],[Total]]</f>
        <v>#N/A</v>
      </c>
      <c r="V275" s="282" t="e">
        <f>+Tabla4[[#This Row],[Comisión Calculada]]*Tabla4[[#This Row],[Total]]</f>
        <v>#N/A</v>
      </c>
    </row>
    <row r="276" spans="1:22" hidden="1" x14ac:dyDescent="0.25">
      <c r="A276" s="100">
        <v>45688</v>
      </c>
      <c r="B276" t="str">
        <f t="shared" si="11"/>
        <v>January</v>
      </c>
      <c r="C276" s="46" t="s">
        <v>280</v>
      </c>
      <c r="F276" s="366" t="s">
        <v>813</v>
      </c>
      <c r="G276" s="46" t="s">
        <v>17</v>
      </c>
      <c r="H276" s="46">
        <v>3</v>
      </c>
      <c r="I276" s="51">
        <v>4622.28</v>
      </c>
      <c r="J276" s="281">
        <f>++Tabla4[[#This Row],[Precio Bruto]]*1.16</f>
        <v>5361.8447999999989</v>
      </c>
      <c r="K276" s="281">
        <f>+Tabla4[[#This Row],[Precio Unitario Neto]]*Tabla4[[#Headers],[20.85%]]</f>
        <v>1117.9446407999997</v>
      </c>
      <c r="L276" s="282">
        <f>++Tabla4[[#This Row],[Precio Unitario Neto]]-Tabla4[[#This Row],[20.85%]]</f>
        <v>4243.9001591999995</v>
      </c>
      <c r="M276" s="282" t="e">
        <f>(INDEX(Tabla6[#All],MATCH(Tabla4[[#This Row],[Producto]],Tabla6[[#All],[PRODUCTO]],0),MATCH(Tabla4[[#This Row],[Mes]],Tabla6[#Headers],0)))*(1+Catalogos!$L$2)</f>
        <v>#N/A</v>
      </c>
      <c r="N276" s="283" t="e">
        <f>+(Tabla4[[#This Row],[Precio Descontado]]-Tabla4[[#This Row],[Precio Base]])*Tabla4[[#This Row],[Cantidad]]</f>
        <v>#N/A</v>
      </c>
      <c r="O276" s="284" t="e">
        <f>++Tabla4[[#This Row],[Utilidad Total]]/Tabla4[[#This Row],[Total]]</f>
        <v>#N/A</v>
      </c>
      <c r="P276" s="282">
        <f>++Tabla4[[#This Row],[Precio Descontado]]*Tabla4[[#This Row],[Cantidad]]</f>
        <v>12731.700477599999</v>
      </c>
      <c r="Q276" s="282" t="e">
        <f>(INDEX(Tabla6[#All],MATCH(Tabla4[[#This Row],[Producto]],Tabla6[[#All],[PRODUCTO]],0),MATCH(Tabla4[[#This Row],[Mes]],Tabla6[#Headers],0)))</f>
        <v>#N/A</v>
      </c>
      <c r="R276" s="282" t="e">
        <f>++Tabla4[[#This Row],[Precio Unitario Neto]]-Tabla4[[#This Row],[20.85%]]-Tabla4[[#This Row],[Costo]]</f>
        <v>#N/A</v>
      </c>
      <c r="S276" s="282" t="e">
        <f>++Tabla4[[#This Row],[U. Bruta Uni]]*Tabla4[[#This Row],[Cantidad]]</f>
        <v>#N/A</v>
      </c>
      <c r="T276" s="369" t="str">
        <f>VLOOKUP(Tabla4[[#This Row],[Producto]],Tabla6[#All],14,FALSE)</f>
        <v>Termico Solar</v>
      </c>
      <c r="U276" s="284" t="e">
        <f>(IF(Tabla4[[#This Row],[Familia]]="termico solar",Tabla4[[#This Row],[Utilidad Total]]*6%,Tabla4[[#This Row],[Utilidad Total]]*11.5%))/Tabla4[[#This Row],[Total]]</f>
        <v>#N/A</v>
      </c>
      <c r="V276" s="282" t="e">
        <f>+Tabla4[[#This Row],[Comisión Calculada]]*Tabla4[[#This Row],[Total]]</f>
        <v>#N/A</v>
      </c>
    </row>
    <row r="277" spans="1:22" hidden="1" x14ac:dyDescent="0.25">
      <c r="A277" s="100">
        <v>45688</v>
      </c>
      <c r="B277" t="str">
        <f t="shared" si="11"/>
        <v>January</v>
      </c>
      <c r="C277" s="46" t="s">
        <v>280</v>
      </c>
      <c r="F277" s="366" t="s">
        <v>813</v>
      </c>
      <c r="G277" s="46" t="s">
        <v>18</v>
      </c>
      <c r="H277" s="46">
        <v>1</v>
      </c>
      <c r="I277" s="51">
        <v>5367.65</v>
      </c>
      <c r="J277" s="281">
        <f>++Tabla4[[#This Row],[Precio Bruto]]*1.16</f>
        <v>6226.4739999999993</v>
      </c>
      <c r="K277" s="281">
        <f>+Tabla4[[#This Row],[Precio Unitario Neto]]*Tabla4[[#Headers],[20.85%]]</f>
        <v>1298.2198289999999</v>
      </c>
      <c r="L277" s="282">
        <f>++Tabla4[[#This Row],[Precio Unitario Neto]]-Tabla4[[#This Row],[20.85%]]</f>
        <v>4928.2541709999996</v>
      </c>
      <c r="M277" s="282" t="e">
        <f>(INDEX(Tabla6[#All],MATCH(Tabla4[[#This Row],[Producto]],Tabla6[[#All],[PRODUCTO]],0),MATCH(Tabla4[[#This Row],[Mes]],Tabla6[#Headers],0)))*(1+Catalogos!$L$2)</f>
        <v>#N/A</v>
      </c>
      <c r="N277" s="283" t="e">
        <f>+(Tabla4[[#This Row],[Precio Descontado]]-Tabla4[[#This Row],[Precio Base]])*Tabla4[[#This Row],[Cantidad]]</f>
        <v>#N/A</v>
      </c>
      <c r="O277" s="284" t="e">
        <f>++Tabla4[[#This Row],[Utilidad Total]]/Tabla4[[#This Row],[Total]]</f>
        <v>#N/A</v>
      </c>
      <c r="P277" s="282">
        <f>++Tabla4[[#This Row],[Precio Descontado]]*Tabla4[[#This Row],[Cantidad]]</f>
        <v>4928.2541709999996</v>
      </c>
      <c r="Q277" s="282" t="e">
        <f>(INDEX(Tabla6[#All],MATCH(Tabla4[[#This Row],[Producto]],Tabla6[[#All],[PRODUCTO]],0),MATCH(Tabla4[[#This Row],[Mes]],Tabla6[#Headers],0)))</f>
        <v>#N/A</v>
      </c>
      <c r="R277" s="282" t="e">
        <f>++Tabla4[[#This Row],[Precio Unitario Neto]]-Tabla4[[#This Row],[20.85%]]-Tabla4[[#This Row],[Costo]]</f>
        <v>#N/A</v>
      </c>
      <c r="S277" s="282" t="e">
        <f>++Tabla4[[#This Row],[U. Bruta Uni]]*Tabla4[[#This Row],[Cantidad]]</f>
        <v>#N/A</v>
      </c>
      <c r="T277" s="369" t="str">
        <f>VLOOKUP(Tabla4[[#This Row],[Producto]],Tabla6[#All],14,FALSE)</f>
        <v>Termico Solar</v>
      </c>
      <c r="U277" s="284" t="e">
        <f>(IF(Tabla4[[#This Row],[Familia]]="termico solar",Tabla4[[#This Row],[Utilidad Total]]*6%,Tabla4[[#This Row],[Utilidad Total]]*11.5%))/Tabla4[[#This Row],[Total]]</f>
        <v>#N/A</v>
      </c>
      <c r="V277" s="282" t="e">
        <f>+Tabla4[[#This Row],[Comisión Calculada]]*Tabla4[[#This Row],[Total]]</f>
        <v>#N/A</v>
      </c>
    </row>
    <row r="278" spans="1:22" hidden="1" x14ac:dyDescent="0.25">
      <c r="A278" s="100">
        <v>45688</v>
      </c>
      <c r="B278" t="str">
        <f t="shared" si="11"/>
        <v>January</v>
      </c>
      <c r="C278" s="46" t="s">
        <v>280</v>
      </c>
      <c r="F278" s="366" t="s">
        <v>814</v>
      </c>
      <c r="G278" s="46" t="s">
        <v>83</v>
      </c>
      <c r="H278" s="46">
        <v>1</v>
      </c>
      <c r="I278" s="51">
        <v>8858.76</v>
      </c>
      <c r="J278" s="281">
        <f>++Tabla4[[#This Row],[Precio Bruto]]*1.16</f>
        <v>10276.161599999999</v>
      </c>
      <c r="K278" s="281">
        <f>+Tabla4[[#This Row],[Precio Unitario Neto]]*Tabla4[[#Headers],[20.85%]]</f>
        <v>2142.5796935999997</v>
      </c>
      <c r="L278" s="282">
        <f>++Tabla4[[#This Row],[Precio Unitario Neto]]-Tabla4[[#This Row],[20.85%]]</f>
        <v>8133.5819063999998</v>
      </c>
      <c r="M278" s="282" t="e">
        <f>(INDEX(Tabla6[#All],MATCH(Tabla4[[#This Row],[Producto]],Tabla6[[#All],[PRODUCTO]],0),MATCH(Tabla4[[#This Row],[Mes]],Tabla6[#Headers],0)))*(1+Catalogos!$L$2)</f>
        <v>#N/A</v>
      </c>
      <c r="N278" s="283" t="e">
        <f>+(Tabla4[[#This Row],[Precio Descontado]]-Tabla4[[#This Row],[Precio Base]])*Tabla4[[#This Row],[Cantidad]]</f>
        <v>#N/A</v>
      </c>
      <c r="O278" s="284" t="e">
        <f>++Tabla4[[#This Row],[Utilidad Total]]/Tabla4[[#This Row],[Total]]</f>
        <v>#N/A</v>
      </c>
      <c r="P278" s="282">
        <f>++Tabla4[[#This Row],[Precio Descontado]]*Tabla4[[#This Row],[Cantidad]]</f>
        <v>8133.5819063999998</v>
      </c>
      <c r="Q278" s="282" t="e">
        <f>(INDEX(Tabla6[#All],MATCH(Tabla4[[#This Row],[Producto]],Tabla6[[#All],[PRODUCTO]],0),MATCH(Tabla4[[#This Row],[Mes]],Tabla6[#Headers],0)))</f>
        <v>#N/A</v>
      </c>
      <c r="R278" s="282" t="e">
        <f>++Tabla4[[#This Row],[Precio Unitario Neto]]-Tabla4[[#This Row],[20.85%]]-Tabla4[[#This Row],[Costo]]</f>
        <v>#N/A</v>
      </c>
      <c r="S278" s="282" t="e">
        <f>++Tabla4[[#This Row],[U. Bruta Uni]]*Tabla4[[#This Row],[Cantidad]]</f>
        <v>#N/A</v>
      </c>
      <c r="T278" s="369" t="str">
        <f>VLOOKUP(Tabla4[[#This Row],[Producto]],Tabla6[#All],14,FALSE)</f>
        <v>Termico Solar</v>
      </c>
      <c r="U278" s="284" t="e">
        <f>(IF(Tabla4[[#This Row],[Familia]]="termico solar",Tabla4[[#This Row],[Utilidad Total]]*6%,Tabla4[[#This Row],[Utilidad Total]]*11.5%))/Tabla4[[#This Row],[Total]]</f>
        <v>#N/A</v>
      </c>
      <c r="V278" s="282" t="e">
        <f>+Tabla4[[#This Row],[Comisión Calculada]]*Tabla4[[#This Row],[Total]]</f>
        <v>#N/A</v>
      </c>
    </row>
    <row r="279" spans="1:22" hidden="1" x14ac:dyDescent="0.25">
      <c r="A279" s="100">
        <v>45688</v>
      </c>
      <c r="B279" t="str">
        <f t="shared" si="11"/>
        <v>January</v>
      </c>
      <c r="C279" s="46" t="s">
        <v>280</v>
      </c>
      <c r="F279" s="366" t="s">
        <v>815</v>
      </c>
      <c r="G279" s="46" t="s">
        <v>83</v>
      </c>
      <c r="H279" s="46">
        <v>1</v>
      </c>
      <c r="I279" s="51">
        <v>8858.76</v>
      </c>
      <c r="J279" s="281">
        <f>++Tabla4[[#This Row],[Precio Bruto]]*1.16</f>
        <v>10276.161599999999</v>
      </c>
      <c r="K279" s="281">
        <f>+Tabla4[[#This Row],[Precio Unitario Neto]]*Tabla4[[#Headers],[20.85%]]</f>
        <v>2142.5796935999997</v>
      </c>
      <c r="L279" s="282">
        <f>++Tabla4[[#This Row],[Precio Unitario Neto]]-Tabla4[[#This Row],[20.85%]]</f>
        <v>8133.5819063999998</v>
      </c>
      <c r="M279" s="282" t="e">
        <f>(INDEX(Tabla6[#All],MATCH(Tabla4[[#This Row],[Producto]],Tabla6[[#All],[PRODUCTO]],0),MATCH(Tabla4[[#This Row],[Mes]],Tabla6[#Headers],0)))*(1+Catalogos!$L$2)</f>
        <v>#N/A</v>
      </c>
      <c r="N279" s="283" t="e">
        <f>+(Tabla4[[#This Row],[Precio Descontado]]-Tabla4[[#This Row],[Precio Base]])*Tabla4[[#This Row],[Cantidad]]</f>
        <v>#N/A</v>
      </c>
      <c r="O279" s="284" t="e">
        <f>++Tabla4[[#This Row],[Utilidad Total]]/Tabla4[[#This Row],[Total]]</f>
        <v>#N/A</v>
      </c>
      <c r="P279" s="282">
        <f>++Tabla4[[#This Row],[Precio Descontado]]*Tabla4[[#This Row],[Cantidad]]</f>
        <v>8133.5819063999998</v>
      </c>
      <c r="Q279" s="282" t="e">
        <f>(INDEX(Tabla6[#All],MATCH(Tabla4[[#This Row],[Producto]],Tabla6[[#All],[PRODUCTO]],0),MATCH(Tabla4[[#This Row],[Mes]],Tabla6[#Headers],0)))</f>
        <v>#N/A</v>
      </c>
      <c r="R279" s="282" t="e">
        <f>++Tabla4[[#This Row],[Precio Unitario Neto]]-Tabla4[[#This Row],[20.85%]]-Tabla4[[#This Row],[Costo]]</f>
        <v>#N/A</v>
      </c>
      <c r="S279" s="282" t="e">
        <f>++Tabla4[[#This Row],[U. Bruta Uni]]*Tabla4[[#This Row],[Cantidad]]</f>
        <v>#N/A</v>
      </c>
      <c r="T279" s="369" t="str">
        <f>VLOOKUP(Tabla4[[#This Row],[Producto]],Tabla6[#All],14,FALSE)</f>
        <v>Termico Solar</v>
      </c>
      <c r="U279" s="284" t="e">
        <f>(IF(Tabla4[[#This Row],[Familia]]="termico solar",Tabla4[[#This Row],[Utilidad Total]]*6%,Tabla4[[#This Row],[Utilidad Total]]*11.5%))/Tabla4[[#This Row],[Total]]</f>
        <v>#N/A</v>
      </c>
      <c r="V279" s="282" t="e">
        <f>+Tabla4[[#This Row],[Comisión Calculada]]*Tabla4[[#This Row],[Total]]</f>
        <v>#N/A</v>
      </c>
    </row>
    <row r="280" spans="1:22" hidden="1" x14ac:dyDescent="0.25">
      <c r="A280" s="100">
        <v>45688</v>
      </c>
      <c r="B280" t="str">
        <f t="shared" si="11"/>
        <v>January</v>
      </c>
      <c r="C280" s="46" t="s">
        <v>280</v>
      </c>
      <c r="F280" s="366" t="s">
        <v>815</v>
      </c>
      <c r="G280" s="46" t="s">
        <v>17</v>
      </c>
      <c r="H280" s="46">
        <v>1</v>
      </c>
      <c r="I280" s="51">
        <v>4622.28</v>
      </c>
      <c r="J280" s="281">
        <f>++Tabla4[[#This Row],[Precio Bruto]]*1.16</f>
        <v>5361.8447999999989</v>
      </c>
      <c r="K280" s="281">
        <f>+Tabla4[[#This Row],[Precio Unitario Neto]]*Tabla4[[#Headers],[20.85%]]</f>
        <v>1117.9446407999997</v>
      </c>
      <c r="L280" s="282">
        <f>++Tabla4[[#This Row],[Precio Unitario Neto]]-Tabla4[[#This Row],[20.85%]]</f>
        <v>4243.9001591999995</v>
      </c>
      <c r="M280" s="282" t="e">
        <f>(INDEX(Tabla6[#All],MATCH(Tabla4[[#This Row],[Producto]],Tabla6[[#All],[PRODUCTO]],0),MATCH(Tabla4[[#This Row],[Mes]],Tabla6[#Headers],0)))*(1+Catalogos!$L$2)</f>
        <v>#N/A</v>
      </c>
      <c r="N280" s="283" t="e">
        <f>+(Tabla4[[#This Row],[Precio Descontado]]-Tabla4[[#This Row],[Precio Base]])*Tabla4[[#This Row],[Cantidad]]</f>
        <v>#N/A</v>
      </c>
      <c r="O280" s="284" t="e">
        <f>++Tabla4[[#This Row],[Utilidad Total]]/Tabla4[[#This Row],[Total]]</f>
        <v>#N/A</v>
      </c>
      <c r="P280" s="282">
        <f>++Tabla4[[#This Row],[Precio Descontado]]*Tabla4[[#This Row],[Cantidad]]</f>
        <v>4243.9001591999995</v>
      </c>
      <c r="Q280" s="282" t="e">
        <f>(INDEX(Tabla6[#All],MATCH(Tabla4[[#This Row],[Producto]],Tabla6[[#All],[PRODUCTO]],0),MATCH(Tabla4[[#This Row],[Mes]],Tabla6[#Headers],0)))</f>
        <v>#N/A</v>
      </c>
      <c r="R280" s="282" t="e">
        <f>++Tabla4[[#This Row],[Precio Unitario Neto]]-Tabla4[[#This Row],[20.85%]]-Tabla4[[#This Row],[Costo]]</f>
        <v>#N/A</v>
      </c>
      <c r="S280" s="282" t="e">
        <f>++Tabla4[[#This Row],[U. Bruta Uni]]*Tabla4[[#This Row],[Cantidad]]</f>
        <v>#N/A</v>
      </c>
      <c r="T280" s="369" t="str">
        <f>VLOOKUP(Tabla4[[#This Row],[Producto]],Tabla6[#All],14,FALSE)</f>
        <v>Termico Solar</v>
      </c>
      <c r="U280" s="284" t="e">
        <f>(IF(Tabla4[[#This Row],[Familia]]="termico solar",Tabla4[[#This Row],[Utilidad Total]]*6%,Tabla4[[#This Row],[Utilidad Total]]*11.5%))/Tabla4[[#This Row],[Total]]</f>
        <v>#N/A</v>
      </c>
      <c r="V280" s="282" t="e">
        <f>+Tabla4[[#This Row],[Comisión Calculada]]*Tabla4[[#This Row],[Total]]</f>
        <v>#N/A</v>
      </c>
    </row>
    <row r="281" spans="1:22" hidden="1" x14ac:dyDescent="0.25">
      <c r="A281" s="100">
        <v>45688</v>
      </c>
      <c r="B281" t="str">
        <f t="shared" si="11"/>
        <v>January</v>
      </c>
      <c r="C281" s="46" t="s">
        <v>280</v>
      </c>
      <c r="F281" s="366" t="s">
        <v>815</v>
      </c>
      <c r="G281" s="46" t="s">
        <v>18</v>
      </c>
      <c r="H281" s="46">
        <v>3</v>
      </c>
      <c r="I281" s="51">
        <v>5367.6500000000005</v>
      </c>
      <c r="J281" s="281">
        <f>++Tabla4[[#This Row],[Precio Bruto]]*1.16</f>
        <v>6226.4740000000002</v>
      </c>
      <c r="K281" s="281">
        <f>+Tabla4[[#This Row],[Precio Unitario Neto]]*Tabla4[[#Headers],[20.85%]]</f>
        <v>1298.2198289999999</v>
      </c>
      <c r="L281" s="282">
        <f>++Tabla4[[#This Row],[Precio Unitario Neto]]-Tabla4[[#This Row],[20.85%]]</f>
        <v>4928.2541710000005</v>
      </c>
      <c r="M281" s="282" t="e">
        <f>(INDEX(Tabla6[#All],MATCH(Tabla4[[#This Row],[Producto]],Tabla6[[#All],[PRODUCTO]],0),MATCH(Tabla4[[#This Row],[Mes]],Tabla6[#Headers],0)))*(1+Catalogos!$L$2)</f>
        <v>#N/A</v>
      </c>
      <c r="N281" s="283" t="e">
        <f>+(Tabla4[[#This Row],[Precio Descontado]]-Tabla4[[#This Row],[Precio Base]])*Tabla4[[#This Row],[Cantidad]]</f>
        <v>#N/A</v>
      </c>
      <c r="O281" s="284" t="e">
        <f>++Tabla4[[#This Row],[Utilidad Total]]/Tabla4[[#This Row],[Total]]</f>
        <v>#N/A</v>
      </c>
      <c r="P281" s="282">
        <f>++Tabla4[[#This Row],[Precio Descontado]]*Tabla4[[#This Row],[Cantidad]]</f>
        <v>14784.762513000001</v>
      </c>
      <c r="Q281" s="282" t="e">
        <f>(INDEX(Tabla6[#All],MATCH(Tabla4[[#This Row],[Producto]],Tabla6[[#All],[PRODUCTO]],0),MATCH(Tabla4[[#This Row],[Mes]],Tabla6[#Headers],0)))</f>
        <v>#N/A</v>
      </c>
      <c r="R281" s="282" t="e">
        <f>++Tabla4[[#This Row],[Precio Unitario Neto]]-Tabla4[[#This Row],[20.85%]]-Tabla4[[#This Row],[Costo]]</f>
        <v>#N/A</v>
      </c>
      <c r="S281" s="282" t="e">
        <f>++Tabla4[[#This Row],[U. Bruta Uni]]*Tabla4[[#This Row],[Cantidad]]</f>
        <v>#N/A</v>
      </c>
      <c r="T281" s="369" t="str">
        <f>VLOOKUP(Tabla4[[#This Row],[Producto]],Tabla6[#All],14,FALSE)</f>
        <v>Termico Solar</v>
      </c>
      <c r="U281" s="284" t="e">
        <f>(IF(Tabla4[[#This Row],[Familia]]="termico solar",Tabla4[[#This Row],[Utilidad Total]]*6%,Tabla4[[#This Row],[Utilidad Total]]*11.5%))/Tabla4[[#This Row],[Total]]</f>
        <v>#N/A</v>
      </c>
      <c r="V281" s="282" t="e">
        <f>+Tabla4[[#This Row],[Comisión Calculada]]*Tabla4[[#This Row],[Total]]</f>
        <v>#N/A</v>
      </c>
    </row>
    <row r="282" spans="1:22" hidden="1" x14ac:dyDescent="0.25">
      <c r="A282" s="100">
        <v>45688</v>
      </c>
      <c r="B282" t="str">
        <f t="shared" si="11"/>
        <v>January</v>
      </c>
      <c r="C282" s="46" t="s">
        <v>280</v>
      </c>
      <c r="F282" s="366" t="s">
        <v>815</v>
      </c>
      <c r="G282" s="46" t="s">
        <v>566</v>
      </c>
      <c r="H282" s="46">
        <v>1</v>
      </c>
      <c r="I282" s="51">
        <v>2109.4499999999998</v>
      </c>
      <c r="J282" s="281">
        <f>++Tabla4[[#This Row],[Precio Bruto]]*1.16</f>
        <v>2446.9619999999995</v>
      </c>
      <c r="K282" s="281">
        <f>+Tabla4[[#This Row],[Precio Unitario Neto]]*Tabla4[[#Headers],[20.85%]]</f>
        <v>510.19157699999988</v>
      </c>
      <c r="L282" s="282">
        <f>++Tabla4[[#This Row],[Precio Unitario Neto]]-Tabla4[[#This Row],[20.85%]]</f>
        <v>1936.7704229999997</v>
      </c>
      <c r="M282" s="282" t="e">
        <f>(INDEX(Tabla6[#All],MATCH(Tabla4[[#This Row],[Producto]],Tabla6[[#All],[PRODUCTO]],0),MATCH(Tabla4[[#This Row],[Mes]],Tabla6[#Headers],0)))*(1+Catalogos!$L$2)</f>
        <v>#N/A</v>
      </c>
      <c r="N282" s="283" t="e">
        <f>+(Tabla4[[#This Row],[Precio Descontado]]-Tabla4[[#This Row],[Precio Base]])*Tabla4[[#This Row],[Cantidad]]</f>
        <v>#N/A</v>
      </c>
      <c r="O282" s="284" t="e">
        <f>++Tabla4[[#This Row],[Utilidad Total]]/Tabla4[[#This Row],[Total]]</f>
        <v>#N/A</v>
      </c>
      <c r="P282" s="282">
        <f>++Tabla4[[#This Row],[Precio Descontado]]*Tabla4[[#This Row],[Cantidad]]</f>
        <v>1936.7704229999997</v>
      </c>
      <c r="Q282" s="282" t="e">
        <f>(INDEX(Tabla6[#All],MATCH(Tabla4[[#This Row],[Producto]],Tabla6[[#All],[PRODUCTO]],0),MATCH(Tabla4[[#This Row],[Mes]],Tabla6[#Headers],0)))</f>
        <v>#N/A</v>
      </c>
      <c r="R282" s="282" t="e">
        <f>++Tabla4[[#This Row],[Precio Unitario Neto]]-Tabla4[[#This Row],[20.85%]]-Tabla4[[#This Row],[Costo]]</f>
        <v>#N/A</v>
      </c>
      <c r="S282" s="282" t="e">
        <f>++Tabla4[[#This Row],[U. Bruta Uni]]*Tabla4[[#This Row],[Cantidad]]</f>
        <v>#N/A</v>
      </c>
      <c r="T282" s="369" t="str">
        <f>VLOOKUP(Tabla4[[#This Row],[Producto]],Tabla6[#All],14,FALSE)</f>
        <v>Termico Solar</v>
      </c>
      <c r="U282" s="284" t="e">
        <f>(IF(Tabla4[[#This Row],[Familia]]="termico solar",Tabla4[[#This Row],[Utilidad Total]]*6%,Tabla4[[#This Row],[Utilidad Total]]*11.5%))/Tabla4[[#This Row],[Total]]</f>
        <v>#N/A</v>
      </c>
      <c r="V282" s="282" t="e">
        <f>+Tabla4[[#This Row],[Comisión Calculada]]*Tabla4[[#This Row],[Total]]</f>
        <v>#N/A</v>
      </c>
    </row>
    <row r="283" spans="1:22" hidden="1" x14ac:dyDescent="0.25">
      <c r="A283" s="100">
        <v>45688</v>
      </c>
      <c r="B283" t="str">
        <f t="shared" si="11"/>
        <v>January</v>
      </c>
      <c r="C283" s="46" t="s">
        <v>280</v>
      </c>
      <c r="F283" s="366" t="s">
        <v>815</v>
      </c>
      <c r="G283" s="46" t="s">
        <v>394</v>
      </c>
      <c r="H283" s="46">
        <v>16</v>
      </c>
      <c r="I283" s="51">
        <v>224.29</v>
      </c>
      <c r="J283" s="281">
        <f>++Tabla4[[#This Row],[Precio Bruto]]*1.16</f>
        <v>260.1764</v>
      </c>
      <c r="K283" s="281">
        <f>+Tabla4[[#This Row],[Precio Unitario Neto]]*Tabla4[[#Headers],[20.85%]]</f>
        <v>54.246779400000001</v>
      </c>
      <c r="L283" s="282">
        <f>++Tabla4[[#This Row],[Precio Unitario Neto]]-Tabla4[[#This Row],[20.85%]]</f>
        <v>205.92962059999999</v>
      </c>
      <c r="M283" s="282" t="e">
        <f>(INDEX(Tabla6[#All],MATCH(Tabla4[[#This Row],[Producto]],Tabla6[[#All],[PRODUCTO]],0),MATCH(Tabla4[[#This Row],[Mes]],Tabla6[#Headers],0)))*(1+Catalogos!$L$2)</f>
        <v>#N/A</v>
      </c>
      <c r="N283" s="283" t="e">
        <f>+(Tabla4[[#This Row],[Precio Descontado]]-Tabla4[[#This Row],[Precio Base]])*Tabla4[[#This Row],[Cantidad]]</f>
        <v>#N/A</v>
      </c>
      <c r="O283" s="284" t="e">
        <f>++Tabla4[[#This Row],[Utilidad Total]]/Tabla4[[#This Row],[Total]]</f>
        <v>#N/A</v>
      </c>
      <c r="P283" s="282">
        <f>++Tabla4[[#This Row],[Precio Descontado]]*Tabla4[[#This Row],[Cantidad]]</f>
        <v>3294.8739295999999</v>
      </c>
      <c r="Q283" s="282" t="e">
        <f>(INDEX(Tabla6[#All],MATCH(Tabla4[[#This Row],[Producto]],Tabla6[[#All],[PRODUCTO]],0),MATCH(Tabla4[[#This Row],[Mes]],Tabla6[#Headers],0)))</f>
        <v>#N/A</v>
      </c>
      <c r="R283" s="282" t="e">
        <f>++Tabla4[[#This Row],[Precio Unitario Neto]]-Tabla4[[#This Row],[20.85%]]-Tabla4[[#This Row],[Costo]]</f>
        <v>#N/A</v>
      </c>
      <c r="S283" s="282" t="e">
        <f>++Tabla4[[#This Row],[U. Bruta Uni]]*Tabla4[[#This Row],[Cantidad]]</f>
        <v>#N/A</v>
      </c>
      <c r="T283" s="369" t="str">
        <f>VLOOKUP(Tabla4[[#This Row],[Producto]],Tabla6[#All],14,FALSE)</f>
        <v>Termico Solar</v>
      </c>
      <c r="U283" s="284" t="e">
        <f>(IF(Tabla4[[#This Row],[Familia]]="termico solar",Tabla4[[#This Row],[Utilidad Total]]*6%,Tabla4[[#This Row],[Utilidad Total]]*11.5%))/Tabla4[[#This Row],[Total]]</f>
        <v>#N/A</v>
      </c>
      <c r="V283" s="282" t="e">
        <f>+Tabla4[[#This Row],[Comisión Calculada]]*Tabla4[[#This Row],[Total]]</f>
        <v>#N/A</v>
      </c>
    </row>
    <row r="284" spans="1:22" hidden="1" x14ac:dyDescent="0.25">
      <c r="A284" s="100">
        <v>45688</v>
      </c>
      <c r="B284" t="str">
        <f t="shared" si="11"/>
        <v>January</v>
      </c>
      <c r="C284" s="46" t="s">
        <v>280</v>
      </c>
      <c r="F284" s="366" t="s">
        <v>816</v>
      </c>
      <c r="G284" s="46" t="s">
        <v>18</v>
      </c>
      <c r="H284" s="46">
        <v>1</v>
      </c>
      <c r="I284" s="51">
        <v>5367.65</v>
      </c>
      <c r="J284" s="281">
        <f>++Tabla4[[#This Row],[Precio Bruto]]*1.16</f>
        <v>6226.4739999999993</v>
      </c>
      <c r="K284" s="281">
        <f>+Tabla4[[#This Row],[Precio Unitario Neto]]*Tabla4[[#Headers],[20.85%]]</f>
        <v>1298.2198289999999</v>
      </c>
      <c r="L284" s="282">
        <f>++Tabla4[[#This Row],[Precio Unitario Neto]]-Tabla4[[#This Row],[20.85%]]</f>
        <v>4928.2541709999996</v>
      </c>
      <c r="M284" s="282" t="e">
        <f>(INDEX(Tabla6[#All],MATCH(Tabla4[[#This Row],[Producto]],Tabla6[[#All],[PRODUCTO]],0),MATCH(Tabla4[[#This Row],[Mes]],Tabla6[#Headers],0)))*(1+Catalogos!$L$2)</f>
        <v>#N/A</v>
      </c>
      <c r="N284" s="283" t="e">
        <f>+(Tabla4[[#This Row],[Precio Descontado]]-Tabla4[[#This Row],[Precio Base]])*Tabla4[[#This Row],[Cantidad]]</f>
        <v>#N/A</v>
      </c>
      <c r="O284" s="284" t="e">
        <f>++Tabla4[[#This Row],[Utilidad Total]]/Tabla4[[#This Row],[Total]]</f>
        <v>#N/A</v>
      </c>
      <c r="P284" s="282">
        <f>++Tabla4[[#This Row],[Precio Descontado]]*Tabla4[[#This Row],[Cantidad]]</f>
        <v>4928.2541709999996</v>
      </c>
      <c r="Q284" s="282" t="e">
        <f>(INDEX(Tabla6[#All],MATCH(Tabla4[[#This Row],[Producto]],Tabla6[[#All],[PRODUCTO]],0),MATCH(Tabla4[[#This Row],[Mes]],Tabla6[#Headers],0)))</f>
        <v>#N/A</v>
      </c>
      <c r="R284" s="282" t="e">
        <f>++Tabla4[[#This Row],[Precio Unitario Neto]]-Tabla4[[#This Row],[20.85%]]-Tabla4[[#This Row],[Costo]]</f>
        <v>#N/A</v>
      </c>
      <c r="S284" s="282" t="e">
        <f>++Tabla4[[#This Row],[U. Bruta Uni]]*Tabla4[[#This Row],[Cantidad]]</f>
        <v>#N/A</v>
      </c>
      <c r="T284" s="369" t="str">
        <f>VLOOKUP(Tabla4[[#This Row],[Producto]],Tabla6[#All],14,FALSE)</f>
        <v>Termico Solar</v>
      </c>
      <c r="U284" s="284" t="e">
        <f>(IF(Tabla4[[#This Row],[Familia]]="termico solar",Tabla4[[#This Row],[Utilidad Total]]*6%,Tabla4[[#This Row],[Utilidad Total]]*11.5%))/Tabla4[[#This Row],[Total]]</f>
        <v>#N/A</v>
      </c>
      <c r="V284" s="282" t="e">
        <f>+Tabla4[[#This Row],[Comisión Calculada]]*Tabla4[[#This Row],[Total]]</f>
        <v>#N/A</v>
      </c>
    </row>
    <row r="285" spans="1:22" hidden="1" x14ac:dyDescent="0.25">
      <c r="A285" s="100">
        <v>45688</v>
      </c>
      <c r="B285" t="str">
        <f t="shared" si="11"/>
        <v>January</v>
      </c>
      <c r="C285" s="46" t="s">
        <v>280</v>
      </c>
      <c r="F285" s="366" t="s">
        <v>817</v>
      </c>
      <c r="G285" s="46" t="s">
        <v>17</v>
      </c>
      <c r="H285" s="46">
        <v>3</v>
      </c>
      <c r="I285" s="51">
        <v>4622.28</v>
      </c>
      <c r="J285" s="281">
        <f>++Tabla4[[#This Row],[Precio Bruto]]*1.16</f>
        <v>5361.8447999999989</v>
      </c>
      <c r="K285" s="281">
        <f>+Tabla4[[#This Row],[Precio Unitario Neto]]*Tabla4[[#Headers],[20.85%]]</f>
        <v>1117.9446407999997</v>
      </c>
      <c r="L285" s="282">
        <f>++Tabla4[[#This Row],[Precio Unitario Neto]]-Tabla4[[#This Row],[20.85%]]</f>
        <v>4243.9001591999995</v>
      </c>
      <c r="M285" s="282" t="e">
        <f>(INDEX(Tabla6[#All],MATCH(Tabla4[[#This Row],[Producto]],Tabla6[[#All],[PRODUCTO]],0),MATCH(Tabla4[[#This Row],[Mes]],Tabla6[#Headers],0)))*(1+Catalogos!$L$2)</f>
        <v>#N/A</v>
      </c>
      <c r="N285" s="283" t="e">
        <f>+(Tabla4[[#This Row],[Precio Descontado]]-Tabla4[[#This Row],[Precio Base]])*Tabla4[[#This Row],[Cantidad]]</f>
        <v>#N/A</v>
      </c>
      <c r="O285" s="284" t="e">
        <f>++Tabla4[[#This Row],[Utilidad Total]]/Tabla4[[#This Row],[Total]]</f>
        <v>#N/A</v>
      </c>
      <c r="P285" s="282">
        <f>++Tabla4[[#This Row],[Precio Descontado]]*Tabla4[[#This Row],[Cantidad]]</f>
        <v>12731.700477599999</v>
      </c>
      <c r="Q285" s="282" t="e">
        <f>(INDEX(Tabla6[#All],MATCH(Tabla4[[#This Row],[Producto]],Tabla6[[#All],[PRODUCTO]],0),MATCH(Tabla4[[#This Row],[Mes]],Tabla6[#Headers],0)))</f>
        <v>#N/A</v>
      </c>
      <c r="R285" s="282" t="e">
        <f>++Tabla4[[#This Row],[Precio Unitario Neto]]-Tabla4[[#This Row],[20.85%]]-Tabla4[[#This Row],[Costo]]</f>
        <v>#N/A</v>
      </c>
      <c r="S285" s="282" t="e">
        <f>++Tabla4[[#This Row],[U. Bruta Uni]]*Tabla4[[#This Row],[Cantidad]]</f>
        <v>#N/A</v>
      </c>
      <c r="T285" s="369" t="str">
        <f>VLOOKUP(Tabla4[[#This Row],[Producto]],Tabla6[#All],14,FALSE)</f>
        <v>Termico Solar</v>
      </c>
      <c r="U285" s="284" t="e">
        <f>(IF(Tabla4[[#This Row],[Familia]]="termico solar",Tabla4[[#This Row],[Utilidad Total]]*6%,Tabla4[[#This Row],[Utilidad Total]]*11.5%))/Tabla4[[#This Row],[Total]]</f>
        <v>#N/A</v>
      </c>
      <c r="V285" s="282" t="e">
        <f>+Tabla4[[#This Row],[Comisión Calculada]]*Tabla4[[#This Row],[Total]]</f>
        <v>#N/A</v>
      </c>
    </row>
    <row r="286" spans="1:22" hidden="1" x14ac:dyDescent="0.25">
      <c r="A286" s="100">
        <v>45688</v>
      </c>
      <c r="B286" t="str">
        <f t="shared" si="11"/>
        <v>January</v>
      </c>
      <c r="C286" s="46" t="s">
        <v>280</v>
      </c>
      <c r="F286" s="366" t="s">
        <v>817</v>
      </c>
      <c r="G286" s="46" t="s">
        <v>18</v>
      </c>
      <c r="H286" s="46">
        <v>1</v>
      </c>
      <c r="I286" s="51">
        <v>5367.65</v>
      </c>
      <c r="J286" s="281">
        <f>++Tabla4[[#This Row],[Precio Bruto]]*1.16</f>
        <v>6226.4739999999993</v>
      </c>
      <c r="K286" s="281">
        <f>+Tabla4[[#This Row],[Precio Unitario Neto]]*Tabla4[[#Headers],[20.85%]]</f>
        <v>1298.2198289999999</v>
      </c>
      <c r="L286" s="282">
        <f>++Tabla4[[#This Row],[Precio Unitario Neto]]-Tabla4[[#This Row],[20.85%]]</f>
        <v>4928.2541709999996</v>
      </c>
      <c r="M286" s="282" t="e">
        <f>(INDEX(Tabla6[#All],MATCH(Tabla4[[#This Row],[Producto]],Tabla6[[#All],[PRODUCTO]],0),MATCH(Tabla4[[#This Row],[Mes]],Tabla6[#Headers],0)))*(1+Catalogos!$L$2)</f>
        <v>#N/A</v>
      </c>
      <c r="N286" s="283" t="e">
        <f>+(Tabla4[[#This Row],[Precio Descontado]]-Tabla4[[#This Row],[Precio Base]])*Tabla4[[#This Row],[Cantidad]]</f>
        <v>#N/A</v>
      </c>
      <c r="O286" s="284" t="e">
        <f>++Tabla4[[#This Row],[Utilidad Total]]/Tabla4[[#This Row],[Total]]</f>
        <v>#N/A</v>
      </c>
      <c r="P286" s="282">
        <f>++Tabla4[[#This Row],[Precio Descontado]]*Tabla4[[#This Row],[Cantidad]]</f>
        <v>4928.2541709999996</v>
      </c>
      <c r="Q286" s="282" t="e">
        <f>(INDEX(Tabla6[#All],MATCH(Tabla4[[#This Row],[Producto]],Tabla6[[#All],[PRODUCTO]],0),MATCH(Tabla4[[#This Row],[Mes]],Tabla6[#Headers],0)))</f>
        <v>#N/A</v>
      </c>
      <c r="R286" s="282" t="e">
        <f>++Tabla4[[#This Row],[Precio Unitario Neto]]-Tabla4[[#This Row],[20.85%]]-Tabla4[[#This Row],[Costo]]</f>
        <v>#N/A</v>
      </c>
      <c r="S286" s="282" t="e">
        <f>++Tabla4[[#This Row],[U. Bruta Uni]]*Tabla4[[#This Row],[Cantidad]]</f>
        <v>#N/A</v>
      </c>
      <c r="T286" s="369" t="str">
        <f>VLOOKUP(Tabla4[[#This Row],[Producto]],Tabla6[#All],14,FALSE)</f>
        <v>Termico Solar</v>
      </c>
      <c r="U286" s="284" t="e">
        <f>(IF(Tabla4[[#This Row],[Familia]]="termico solar",Tabla4[[#This Row],[Utilidad Total]]*6%,Tabla4[[#This Row],[Utilidad Total]]*11.5%))/Tabla4[[#This Row],[Total]]</f>
        <v>#N/A</v>
      </c>
      <c r="V286" s="282" t="e">
        <f>+Tabla4[[#This Row],[Comisión Calculada]]*Tabla4[[#This Row],[Total]]</f>
        <v>#N/A</v>
      </c>
    </row>
    <row r="287" spans="1:22" hidden="1" x14ac:dyDescent="0.25">
      <c r="A287" s="100">
        <v>45688</v>
      </c>
      <c r="B287" t="str">
        <f t="shared" si="11"/>
        <v>January</v>
      </c>
      <c r="C287" s="46" t="s">
        <v>280</v>
      </c>
      <c r="F287" s="366" t="s">
        <v>818</v>
      </c>
      <c r="G287" s="46" t="s">
        <v>83</v>
      </c>
      <c r="H287" s="46">
        <v>1</v>
      </c>
      <c r="I287" s="51">
        <v>8858.76</v>
      </c>
      <c r="J287" s="281">
        <f>++Tabla4[[#This Row],[Precio Bruto]]*1.16</f>
        <v>10276.161599999999</v>
      </c>
      <c r="K287" s="281">
        <f>+Tabla4[[#This Row],[Precio Unitario Neto]]*Tabla4[[#Headers],[20.85%]]</f>
        <v>2142.5796935999997</v>
      </c>
      <c r="L287" s="282">
        <f>++Tabla4[[#This Row],[Precio Unitario Neto]]-Tabla4[[#This Row],[20.85%]]</f>
        <v>8133.5819063999998</v>
      </c>
      <c r="M287" s="282" t="e">
        <f>(INDEX(Tabla6[#All],MATCH(Tabla4[[#This Row],[Producto]],Tabla6[[#All],[PRODUCTO]],0),MATCH(Tabla4[[#This Row],[Mes]],Tabla6[#Headers],0)))*(1+Catalogos!$L$2)</f>
        <v>#N/A</v>
      </c>
      <c r="N287" s="283" t="e">
        <f>+(Tabla4[[#This Row],[Precio Descontado]]-Tabla4[[#This Row],[Precio Base]])*Tabla4[[#This Row],[Cantidad]]</f>
        <v>#N/A</v>
      </c>
      <c r="O287" s="284" t="e">
        <f>++Tabla4[[#This Row],[Utilidad Total]]/Tabla4[[#This Row],[Total]]</f>
        <v>#N/A</v>
      </c>
      <c r="P287" s="282">
        <f>++Tabla4[[#This Row],[Precio Descontado]]*Tabla4[[#This Row],[Cantidad]]</f>
        <v>8133.5819063999998</v>
      </c>
      <c r="Q287" s="282" t="e">
        <f>(INDEX(Tabla6[#All],MATCH(Tabla4[[#This Row],[Producto]],Tabla6[[#All],[PRODUCTO]],0),MATCH(Tabla4[[#This Row],[Mes]],Tabla6[#Headers],0)))</f>
        <v>#N/A</v>
      </c>
      <c r="R287" s="282" t="e">
        <f>++Tabla4[[#This Row],[Precio Unitario Neto]]-Tabla4[[#This Row],[20.85%]]-Tabla4[[#This Row],[Costo]]</f>
        <v>#N/A</v>
      </c>
      <c r="S287" s="282" t="e">
        <f>++Tabla4[[#This Row],[U. Bruta Uni]]*Tabla4[[#This Row],[Cantidad]]</f>
        <v>#N/A</v>
      </c>
      <c r="T287" s="369" t="str">
        <f>VLOOKUP(Tabla4[[#This Row],[Producto]],Tabla6[#All],14,FALSE)</f>
        <v>Termico Solar</v>
      </c>
      <c r="U287" s="284" t="e">
        <f>(IF(Tabla4[[#This Row],[Familia]]="termico solar",Tabla4[[#This Row],[Utilidad Total]]*6%,Tabla4[[#This Row],[Utilidad Total]]*11.5%))/Tabla4[[#This Row],[Total]]</f>
        <v>#N/A</v>
      </c>
      <c r="V287" s="282" t="e">
        <f>+Tabla4[[#This Row],[Comisión Calculada]]*Tabla4[[#This Row],[Total]]</f>
        <v>#N/A</v>
      </c>
    </row>
    <row r="288" spans="1:22" hidden="1" x14ac:dyDescent="0.25">
      <c r="A288" s="100">
        <v>45688</v>
      </c>
      <c r="B288" t="str">
        <f t="shared" si="11"/>
        <v>January</v>
      </c>
      <c r="C288" s="46" t="s">
        <v>280</v>
      </c>
      <c r="F288" s="366" t="s">
        <v>819</v>
      </c>
      <c r="G288" s="46" t="s">
        <v>83</v>
      </c>
      <c r="H288" s="46">
        <v>1</v>
      </c>
      <c r="I288" s="51">
        <v>8858.76</v>
      </c>
      <c r="J288" s="281">
        <f>++Tabla4[[#This Row],[Precio Bruto]]*1.16</f>
        <v>10276.161599999999</v>
      </c>
      <c r="K288" s="281">
        <f>+Tabla4[[#This Row],[Precio Unitario Neto]]*Tabla4[[#Headers],[20.85%]]</f>
        <v>2142.5796935999997</v>
      </c>
      <c r="L288" s="282">
        <f>++Tabla4[[#This Row],[Precio Unitario Neto]]-Tabla4[[#This Row],[20.85%]]</f>
        <v>8133.5819063999998</v>
      </c>
      <c r="M288" s="282" t="e">
        <f>(INDEX(Tabla6[#All],MATCH(Tabla4[[#This Row],[Producto]],Tabla6[[#All],[PRODUCTO]],0),MATCH(Tabla4[[#This Row],[Mes]],Tabla6[#Headers],0)))*(1+Catalogos!$L$2)</f>
        <v>#N/A</v>
      </c>
      <c r="N288" s="283" t="e">
        <f>+(Tabla4[[#This Row],[Precio Descontado]]-Tabla4[[#This Row],[Precio Base]])*Tabla4[[#This Row],[Cantidad]]</f>
        <v>#N/A</v>
      </c>
      <c r="O288" s="284" t="e">
        <f>++Tabla4[[#This Row],[Utilidad Total]]/Tabla4[[#This Row],[Total]]</f>
        <v>#N/A</v>
      </c>
      <c r="P288" s="282">
        <f>++Tabla4[[#This Row],[Precio Descontado]]*Tabla4[[#This Row],[Cantidad]]</f>
        <v>8133.5819063999998</v>
      </c>
      <c r="Q288" s="282" t="e">
        <f>(INDEX(Tabla6[#All],MATCH(Tabla4[[#This Row],[Producto]],Tabla6[[#All],[PRODUCTO]],0),MATCH(Tabla4[[#This Row],[Mes]],Tabla6[#Headers],0)))</f>
        <v>#N/A</v>
      </c>
      <c r="R288" s="282" t="e">
        <f>++Tabla4[[#This Row],[Precio Unitario Neto]]-Tabla4[[#This Row],[20.85%]]-Tabla4[[#This Row],[Costo]]</f>
        <v>#N/A</v>
      </c>
      <c r="S288" s="282" t="e">
        <f>++Tabla4[[#This Row],[U. Bruta Uni]]*Tabla4[[#This Row],[Cantidad]]</f>
        <v>#N/A</v>
      </c>
      <c r="T288" s="369" t="str">
        <f>VLOOKUP(Tabla4[[#This Row],[Producto]],Tabla6[#All],14,FALSE)</f>
        <v>Termico Solar</v>
      </c>
      <c r="U288" s="284" t="e">
        <f>(IF(Tabla4[[#This Row],[Familia]]="termico solar",Tabla4[[#This Row],[Utilidad Total]]*6%,Tabla4[[#This Row],[Utilidad Total]]*11.5%))/Tabla4[[#This Row],[Total]]</f>
        <v>#N/A</v>
      </c>
      <c r="V288" s="282" t="e">
        <f>+Tabla4[[#This Row],[Comisión Calculada]]*Tabla4[[#This Row],[Total]]</f>
        <v>#N/A</v>
      </c>
    </row>
    <row r="289" spans="1:22" hidden="1" x14ac:dyDescent="0.25">
      <c r="A289" s="100">
        <v>45688</v>
      </c>
      <c r="B289" t="str">
        <f t="shared" si="11"/>
        <v>January</v>
      </c>
      <c r="C289" s="46" t="s">
        <v>280</v>
      </c>
      <c r="F289" s="366" t="s">
        <v>819</v>
      </c>
      <c r="G289" s="46" t="s">
        <v>17</v>
      </c>
      <c r="H289" s="46">
        <v>2</v>
      </c>
      <c r="I289" s="51">
        <v>4622.28</v>
      </c>
      <c r="J289" s="281">
        <f>++Tabla4[[#This Row],[Precio Bruto]]*1.16</f>
        <v>5361.8447999999989</v>
      </c>
      <c r="K289" s="281">
        <f>+Tabla4[[#This Row],[Precio Unitario Neto]]*Tabla4[[#Headers],[20.85%]]</f>
        <v>1117.9446407999997</v>
      </c>
      <c r="L289" s="282">
        <f>++Tabla4[[#This Row],[Precio Unitario Neto]]-Tabla4[[#This Row],[20.85%]]</f>
        <v>4243.9001591999995</v>
      </c>
      <c r="M289" s="282" t="e">
        <f>(INDEX(Tabla6[#All],MATCH(Tabla4[[#This Row],[Producto]],Tabla6[[#All],[PRODUCTO]],0),MATCH(Tabla4[[#This Row],[Mes]],Tabla6[#Headers],0)))*(1+Catalogos!$L$2)</f>
        <v>#N/A</v>
      </c>
      <c r="N289" s="283" t="e">
        <f>+(Tabla4[[#This Row],[Precio Descontado]]-Tabla4[[#This Row],[Precio Base]])*Tabla4[[#This Row],[Cantidad]]</f>
        <v>#N/A</v>
      </c>
      <c r="O289" s="284" t="e">
        <f>++Tabla4[[#This Row],[Utilidad Total]]/Tabla4[[#This Row],[Total]]</f>
        <v>#N/A</v>
      </c>
      <c r="P289" s="282">
        <f>++Tabla4[[#This Row],[Precio Descontado]]*Tabla4[[#This Row],[Cantidad]]</f>
        <v>8487.800318399999</v>
      </c>
      <c r="Q289" s="282" t="e">
        <f>(INDEX(Tabla6[#All],MATCH(Tabla4[[#This Row],[Producto]],Tabla6[[#All],[PRODUCTO]],0),MATCH(Tabla4[[#This Row],[Mes]],Tabla6[#Headers],0)))</f>
        <v>#N/A</v>
      </c>
      <c r="R289" s="282" t="e">
        <f>++Tabla4[[#This Row],[Precio Unitario Neto]]-Tabla4[[#This Row],[20.85%]]-Tabla4[[#This Row],[Costo]]</f>
        <v>#N/A</v>
      </c>
      <c r="S289" s="282" t="e">
        <f>++Tabla4[[#This Row],[U. Bruta Uni]]*Tabla4[[#This Row],[Cantidad]]</f>
        <v>#N/A</v>
      </c>
      <c r="T289" s="369" t="str">
        <f>VLOOKUP(Tabla4[[#This Row],[Producto]],Tabla6[#All],14,FALSE)</f>
        <v>Termico Solar</v>
      </c>
      <c r="U289" s="284" t="e">
        <f>(IF(Tabla4[[#This Row],[Familia]]="termico solar",Tabla4[[#This Row],[Utilidad Total]]*6%,Tabla4[[#This Row],[Utilidad Total]]*11.5%))/Tabla4[[#This Row],[Total]]</f>
        <v>#N/A</v>
      </c>
      <c r="V289" s="282" t="e">
        <f>+Tabla4[[#This Row],[Comisión Calculada]]*Tabla4[[#This Row],[Total]]</f>
        <v>#N/A</v>
      </c>
    </row>
    <row r="290" spans="1:22" hidden="1" x14ac:dyDescent="0.25">
      <c r="A290" s="100">
        <v>45688</v>
      </c>
      <c r="B290" t="str">
        <f t="shared" si="11"/>
        <v>January</v>
      </c>
      <c r="C290" s="46" t="s">
        <v>280</v>
      </c>
      <c r="F290" s="366" t="s">
        <v>820</v>
      </c>
      <c r="G290" s="46" t="s">
        <v>18</v>
      </c>
      <c r="H290" s="46">
        <v>2</v>
      </c>
      <c r="I290" s="51">
        <v>5367.65</v>
      </c>
      <c r="J290" s="281">
        <f>++Tabla4[[#This Row],[Precio Bruto]]*1.16</f>
        <v>6226.4739999999993</v>
      </c>
      <c r="K290" s="281">
        <f>+Tabla4[[#This Row],[Precio Unitario Neto]]*Tabla4[[#Headers],[20.85%]]</f>
        <v>1298.2198289999999</v>
      </c>
      <c r="L290" s="282">
        <f>++Tabla4[[#This Row],[Precio Unitario Neto]]-Tabla4[[#This Row],[20.85%]]</f>
        <v>4928.2541709999996</v>
      </c>
      <c r="M290" s="282" t="e">
        <f>(INDEX(Tabla6[#All],MATCH(Tabla4[[#This Row],[Producto]],Tabla6[[#All],[PRODUCTO]],0),MATCH(Tabla4[[#This Row],[Mes]],Tabla6[#Headers],0)))*(1+Catalogos!$L$2)</f>
        <v>#N/A</v>
      </c>
      <c r="N290" s="283" t="e">
        <f>+(Tabla4[[#This Row],[Precio Descontado]]-Tabla4[[#This Row],[Precio Base]])*Tabla4[[#This Row],[Cantidad]]</f>
        <v>#N/A</v>
      </c>
      <c r="O290" s="284" t="e">
        <f>++Tabla4[[#This Row],[Utilidad Total]]/Tabla4[[#This Row],[Total]]</f>
        <v>#N/A</v>
      </c>
      <c r="P290" s="282">
        <f>++Tabla4[[#This Row],[Precio Descontado]]*Tabla4[[#This Row],[Cantidad]]</f>
        <v>9856.5083419999992</v>
      </c>
      <c r="Q290" s="282" t="e">
        <f>(INDEX(Tabla6[#All],MATCH(Tabla4[[#This Row],[Producto]],Tabla6[[#All],[PRODUCTO]],0),MATCH(Tabla4[[#This Row],[Mes]],Tabla6[#Headers],0)))</f>
        <v>#N/A</v>
      </c>
      <c r="R290" s="282" t="e">
        <f>++Tabla4[[#This Row],[Precio Unitario Neto]]-Tabla4[[#This Row],[20.85%]]-Tabla4[[#This Row],[Costo]]</f>
        <v>#N/A</v>
      </c>
      <c r="S290" s="282" t="e">
        <f>++Tabla4[[#This Row],[U. Bruta Uni]]*Tabla4[[#This Row],[Cantidad]]</f>
        <v>#N/A</v>
      </c>
      <c r="T290" s="369" t="str">
        <f>VLOOKUP(Tabla4[[#This Row],[Producto]],Tabla6[#All],14,FALSE)</f>
        <v>Termico Solar</v>
      </c>
      <c r="U290" s="284" t="e">
        <f>(IF(Tabla4[[#This Row],[Familia]]="termico solar",Tabla4[[#This Row],[Utilidad Total]]*6%,Tabla4[[#This Row],[Utilidad Total]]*11.5%))/Tabla4[[#This Row],[Total]]</f>
        <v>#N/A</v>
      </c>
      <c r="V290" s="282" t="e">
        <f>+Tabla4[[#This Row],[Comisión Calculada]]*Tabla4[[#This Row],[Total]]</f>
        <v>#N/A</v>
      </c>
    </row>
    <row r="291" spans="1:22" hidden="1" x14ac:dyDescent="0.25">
      <c r="A291" s="100">
        <v>45688</v>
      </c>
      <c r="B291" t="str">
        <f t="shared" si="11"/>
        <v>January</v>
      </c>
      <c r="C291" s="46" t="s">
        <v>280</v>
      </c>
      <c r="F291" s="366" t="s">
        <v>821</v>
      </c>
      <c r="G291" s="46" t="s">
        <v>17</v>
      </c>
      <c r="H291" s="46">
        <v>5</v>
      </c>
      <c r="I291" s="51">
        <v>4622.2800000000007</v>
      </c>
      <c r="J291" s="281">
        <f>++Tabla4[[#This Row],[Precio Bruto]]*1.16</f>
        <v>5361.8448000000008</v>
      </c>
      <c r="K291" s="281">
        <f>+Tabla4[[#This Row],[Precio Unitario Neto]]*Tabla4[[#Headers],[20.85%]]</f>
        <v>1117.9446408000001</v>
      </c>
      <c r="L291" s="282">
        <f>++Tabla4[[#This Row],[Precio Unitario Neto]]-Tabla4[[#This Row],[20.85%]]</f>
        <v>4243.9001592000004</v>
      </c>
      <c r="M291" s="282" t="e">
        <f>(INDEX(Tabla6[#All],MATCH(Tabla4[[#This Row],[Producto]],Tabla6[[#All],[PRODUCTO]],0),MATCH(Tabla4[[#This Row],[Mes]],Tabla6[#Headers],0)))*(1+Catalogos!$L$2)</f>
        <v>#N/A</v>
      </c>
      <c r="N291" s="283" t="e">
        <f>+(Tabla4[[#This Row],[Precio Descontado]]-Tabla4[[#This Row],[Precio Base]])*Tabla4[[#This Row],[Cantidad]]</f>
        <v>#N/A</v>
      </c>
      <c r="O291" s="284" t="e">
        <f>++Tabla4[[#This Row],[Utilidad Total]]/Tabla4[[#This Row],[Total]]</f>
        <v>#N/A</v>
      </c>
      <c r="P291" s="282">
        <f>++Tabla4[[#This Row],[Precio Descontado]]*Tabla4[[#This Row],[Cantidad]]</f>
        <v>21219.500796</v>
      </c>
      <c r="Q291" s="282" t="e">
        <f>(INDEX(Tabla6[#All],MATCH(Tabla4[[#This Row],[Producto]],Tabla6[[#All],[PRODUCTO]],0),MATCH(Tabla4[[#This Row],[Mes]],Tabla6[#Headers],0)))</f>
        <v>#N/A</v>
      </c>
      <c r="R291" s="282" t="e">
        <f>++Tabla4[[#This Row],[Precio Unitario Neto]]-Tabla4[[#This Row],[20.85%]]-Tabla4[[#This Row],[Costo]]</f>
        <v>#N/A</v>
      </c>
      <c r="S291" s="282" t="e">
        <f>++Tabla4[[#This Row],[U. Bruta Uni]]*Tabla4[[#This Row],[Cantidad]]</f>
        <v>#N/A</v>
      </c>
      <c r="T291" s="369" t="str">
        <f>VLOOKUP(Tabla4[[#This Row],[Producto]],Tabla6[#All],14,FALSE)</f>
        <v>Termico Solar</v>
      </c>
      <c r="U291" s="284" t="e">
        <f>(IF(Tabla4[[#This Row],[Familia]]="termico solar",Tabla4[[#This Row],[Utilidad Total]]*6%,Tabla4[[#This Row],[Utilidad Total]]*11.5%))/Tabla4[[#This Row],[Total]]</f>
        <v>#N/A</v>
      </c>
      <c r="V291" s="282" t="e">
        <f>+Tabla4[[#This Row],[Comisión Calculada]]*Tabla4[[#This Row],[Total]]</f>
        <v>#N/A</v>
      </c>
    </row>
    <row r="292" spans="1:22" hidden="1" x14ac:dyDescent="0.25">
      <c r="A292" s="100">
        <v>45688</v>
      </c>
      <c r="B292" t="str">
        <f t="shared" si="11"/>
        <v>January</v>
      </c>
      <c r="C292" s="46" t="s">
        <v>280</v>
      </c>
      <c r="F292" s="366" t="s">
        <v>822</v>
      </c>
      <c r="G292" s="46" t="s">
        <v>83</v>
      </c>
      <c r="H292" s="46">
        <v>3</v>
      </c>
      <c r="I292" s="51">
        <v>8858.76</v>
      </c>
      <c r="J292" s="281">
        <f>++Tabla4[[#This Row],[Precio Bruto]]*1.16</f>
        <v>10276.161599999999</v>
      </c>
      <c r="K292" s="281">
        <f>+Tabla4[[#This Row],[Precio Unitario Neto]]*Tabla4[[#Headers],[20.85%]]</f>
        <v>2142.5796935999997</v>
      </c>
      <c r="L292" s="282">
        <f>++Tabla4[[#This Row],[Precio Unitario Neto]]-Tabla4[[#This Row],[20.85%]]</f>
        <v>8133.5819063999998</v>
      </c>
      <c r="M292" s="282" t="e">
        <f>(INDEX(Tabla6[#All],MATCH(Tabla4[[#This Row],[Producto]],Tabla6[[#All],[PRODUCTO]],0),MATCH(Tabla4[[#This Row],[Mes]],Tabla6[#Headers],0)))*(1+Catalogos!$L$2)</f>
        <v>#N/A</v>
      </c>
      <c r="N292" s="283" t="e">
        <f>+(Tabla4[[#This Row],[Precio Descontado]]-Tabla4[[#This Row],[Precio Base]])*Tabla4[[#This Row],[Cantidad]]</f>
        <v>#N/A</v>
      </c>
      <c r="O292" s="284" t="e">
        <f>++Tabla4[[#This Row],[Utilidad Total]]/Tabla4[[#This Row],[Total]]</f>
        <v>#N/A</v>
      </c>
      <c r="P292" s="282">
        <f>++Tabla4[[#This Row],[Precio Descontado]]*Tabla4[[#This Row],[Cantidad]]</f>
        <v>24400.7457192</v>
      </c>
      <c r="Q292" s="282" t="e">
        <f>(INDEX(Tabla6[#All],MATCH(Tabla4[[#This Row],[Producto]],Tabla6[[#All],[PRODUCTO]],0),MATCH(Tabla4[[#This Row],[Mes]],Tabla6[#Headers],0)))</f>
        <v>#N/A</v>
      </c>
      <c r="R292" s="282" t="e">
        <f>++Tabla4[[#This Row],[Precio Unitario Neto]]-Tabla4[[#This Row],[20.85%]]-Tabla4[[#This Row],[Costo]]</f>
        <v>#N/A</v>
      </c>
      <c r="S292" s="282" t="e">
        <f>++Tabla4[[#This Row],[U. Bruta Uni]]*Tabla4[[#This Row],[Cantidad]]</f>
        <v>#N/A</v>
      </c>
      <c r="T292" s="369" t="str">
        <f>VLOOKUP(Tabla4[[#This Row],[Producto]],Tabla6[#All],14,FALSE)</f>
        <v>Termico Solar</v>
      </c>
      <c r="U292" s="284" t="e">
        <f>(IF(Tabla4[[#This Row],[Familia]]="termico solar",Tabla4[[#This Row],[Utilidad Total]]*6%,Tabla4[[#This Row],[Utilidad Total]]*11.5%))/Tabla4[[#This Row],[Total]]</f>
        <v>#N/A</v>
      </c>
      <c r="V292" s="282" t="e">
        <f>+Tabla4[[#This Row],[Comisión Calculada]]*Tabla4[[#This Row],[Total]]</f>
        <v>#N/A</v>
      </c>
    </row>
    <row r="293" spans="1:22" hidden="1" x14ac:dyDescent="0.25">
      <c r="A293" s="100">
        <v>45688</v>
      </c>
      <c r="B293" t="str">
        <f t="shared" si="11"/>
        <v>January</v>
      </c>
      <c r="C293" s="46" t="s">
        <v>280</v>
      </c>
      <c r="F293" s="366" t="s">
        <v>822</v>
      </c>
      <c r="G293" s="46" t="s">
        <v>17</v>
      </c>
      <c r="H293" s="46">
        <v>2</v>
      </c>
      <c r="I293" s="51">
        <v>4622.28</v>
      </c>
      <c r="J293" s="281">
        <f>++Tabla4[[#This Row],[Precio Bruto]]*1.16</f>
        <v>5361.8447999999989</v>
      </c>
      <c r="K293" s="281">
        <f>+Tabla4[[#This Row],[Precio Unitario Neto]]*Tabla4[[#Headers],[20.85%]]</f>
        <v>1117.9446407999997</v>
      </c>
      <c r="L293" s="282">
        <f>++Tabla4[[#This Row],[Precio Unitario Neto]]-Tabla4[[#This Row],[20.85%]]</f>
        <v>4243.9001591999995</v>
      </c>
      <c r="M293" s="282" t="e">
        <f>(INDEX(Tabla6[#All],MATCH(Tabla4[[#This Row],[Producto]],Tabla6[[#All],[PRODUCTO]],0),MATCH(Tabla4[[#This Row],[Mes]],Tabla6[#Headers],0)))*(1+Catalogos!$L$2)</f>
        <v>#N/A</v>
      </c>
      <c r="N293" s="283" t="e">
        <f>+(Tabla4[[#This Row],[Precio Descontado]]-Tabla4[[#This Row],[Precio Base]])*Tabla4[[#This Row],[Cantidad]]</f>
        <v>#N/A</v>
      </c>
      <c r="O293" s="284" t="e">
        <f>++Tabla4[[#This Row],[Utilidad Total]]/Tabla4[[#This Row],[Total]]</f>
        <v>#N/A</v>
      </c>
      <c r="P293" s="282">
        <f>++Tabla4[[#This Row],[Precio Descontado]]*Tabla4[[#This Row],[Cantidad]]</f>
        <v>8487.800318399999</v>
      </c>
      <c r="Q293" s="282" t="e">
        <f>(INDEX(Tabla6[#All],MATCH(Tabla4[[#This Row],[Producto]],Tabla6[[#All],[PRODUCTO]],0),MATCH(Tabla4[[#This Row],[Mes]],Tabla6[#Headers],0)))</f>
        <v>#N/A</v>
      </c>
      <c r="R293" s="282" t="e">
        <f>++Tabla4[[#This Row],[Precio Unitario Neto]]-Tabla4[[#This Row],[20.85%]]-Tabla4[[#This Row],[Costo]]</f>
        <v>#N/A</v>
      </c>
      <c r="S293" s="282" t="e">
        <f>++Tabla4[[#This Row],[U. Bruta Uni]]*Tabla4[[#This Row],[Cantidad]]</f>
        <v>#N/A</v>
      </c>
      <c r="T293" s="369" t="str">
        <f>VLOOKUP(Tabla4[[#This Row],[Producto]],Tabla6[#All],14,FALSE)</f>
        <v>Termico Solar</v>
      </c>
      <c r="U293" s="284" t="e">
        <f>(IF(Tabla4[[#This Row],[Familia]]="termico solar",Tabla4[[#This Row],[Utilidad Total]]*6%,Tabla4[[#This Row],[Utilidad Total]]*11.5%))/Tabla4[[#This Row],[Total]]</f>
        <v>#N/A</v>
      </c>
      <c r="V293" s="282" t="e">
        <f>+Tabla4[[#This Row],[Comisión Calculada]]*Tabla4[[#This Row],[Total]]</f>
        <v>#N/A</v>
      </c>
    </row>
    <row r="294" spans="1:22" hidden="1" x14ac:dyDescent="0.25">
      <c r="A294" s="100">
        <v>45688</v>
      </c>
      <c r="B294" t="str">
        <f t="shared" si="11"/>
        <v>January</v>
      </c>
      <c r="C294" s="46" t="s">
        <v>280</v>
      </c>
      <c r="F294" s="366" t="s">
        <v>822</v>
      </c>
      <c r="G294" s="46" t="s">
        <v>566</v>
      </c>
      <c r="H294" s="46">
        <v>1</v>
      </c>
      <c r="I294" s="51">
        <v>2109.4499999999998</v>
      </c>
      <c r="J294" s="281">
        <f>++Tabla4[[#This Row],[Precio Bruto]]*1.16</f>
        <v>2446.9619999999995</v>
      </c>
      <c r="K294" s="281">
        <f>+Tabla4[[#This Row],[Precio Unitario Neto]]*Tabla4[[#Headers],[20.85%]]</f>
        <v>510.19157699999988</v>
      </c>
      <c r="L294" s="282">
        <f>++Tabla4[[#This Row],[Precio Unitario Neto]]-Tabla4[[#This Row],[20.85%]]</f>
        <v>1936.7704229999997</v>
      </c>
      <c r="M294" s="282" t="e">
        <f>(INDEX(Tabla6[#All],MATCH(Tabla4[[#This Row],[Producto]],Tabla6[[#All],[PRODUCTO]],0),MATCH(Tabla4[[#This Row],[Mes]],Tabla6[#Headers],0)))*(1+Catalogos!$L$2)</f>
        <v>#N/A</v>
      </c>
      <c r="N294" s="283" t="e">
        <f>+(Tabla4[[#This Row],[Precio Descontado]]-Tabla4[[#This Row],[Precio Base]])*Tabla4[[#This Row],[Cantidad]]</f>
        <v>#N/A</v>
      </c>
      <c r="O294" s="284" t="e">
        <f>++Tabla4[[#This Row],[Utilidad Total]]/Tabla4[[#This Row],[Total]]</f>
        <v>#N/A</v>
      </c>
      <c r="P294" s="282">
        <f>++Tabla4[[#This Row],[Precio Descontado]]*Tabla4[[#This Row],[Cantidad]]</f>
        <v>1936.7704229999997</v>
      </c>
      <c r="Q294" s="282" t="e">
        <f>(INDEX(Tabla6[#All],MATCH(Tabla4[[#This Row],[Producto]],Tabla6[[#All],[PRODUCTO]],0),MATCH(Tabla4[[#This Row],[Mes]],Tabla6[#Headers],0)))</f>
        <v>#N/A</v>
      </c>
      <c r="R294" s="282" t="e">
        <f>++Tabla4[[#This Row],[Precio Unitario Neto]]-Tabla4[[#This Row],[20.85%]]-Tabla4[[#This Row],[Costo]]</f>
        <v>#N/A</v>
      </c>
      <c r="S294" s="282" t="e">
        <f>++Tabla4[[#This Row],[U. Bruta Uni]]*Tabla4[[#This Row],[Cantidad]]</f>
        <v>#N/A</v>
      </c>
      <c r="T294" s="369" t="str">
        <f>VLOOKUP(Tabla4[[#This Row],[Producto]],Tabla6[#All],14,FALSE)</f>
        <v>Termico Solar</v>
      </c>
      <c r="U294" s="284" t="e">
        <f>(IF(Tabla4[[#This Row],[Familia]]="termico solar",Tabla4[[#This Row],[Utilidad Total]]*6%,Tabla4[[#This Row],[Utilidad Total]]*11.5%))/Tabla4[[#This Row],[Total]]</f>
        <v>#N/A</v>
      </c>
      <c r="V294" s="282" t="e">
        <f>+Tabla4[[#This Row],[Comisión Calculada]]*Tabla4[[#This Row],[Total]]</f>
        <v>#N/A</v>
      </c>
    </row>
    <row r="295" spans="1:22" hidden="1" x14ac:dyDescent="0.25">
      <c r="A295" s="100">
        <v>45688</v>
      </c>
      <c r="B295" t="str">
        <f t="shared" si="11"/>
        <v>January</v>
      </c>
      <c r="C295" s="46" t="s">
        <v>280</v>
      </c>
      <c r="F295" s="366" t="s">
        <v>822</v>
      </c>
      <c r="G295" s="46" t="s">
        <v>394</v>
      </c>
      <c r="H295" s="46">
        <v>9</v>
      </c>
      <c r="I295" s="51">
        <v>108.1</v>
      </c>
      <c r="J295" s="281">
        <f>++Tabla4[[#This Row],[Precio Bruto]]*1.16</f>
        <v>125.39599999999999</v>
      </c>
      <c r="K295" s="281">
        <f>+Tabla4[[#This Row],[Precio Unitario Neto]]*Tabla4[[#Headers],[20.85%]]</f>
        <v>26.145065999999996</v>
      </c>
      <c r="L295" s="282">
        <f>++Tabla4[[#This Row],[Precio Unitario Neto]]-Tabla4[[#This Row],[20.85%]]</f>
        <v>99.250933999999987</v>
      </c>
      <c r="M295" s="282" t="e">
        <f>(INDEX(Tabla6[#All],MATCH(Tabla4[[#This Row],[Producto]],Tabla6[[#All],[PRODUCTO]],0),MATCH(Tabla4[[#This Row],[Mes]],Tabla6[#Headers],0)))*(1+Catalogos!$L$2)</f>
        <v>#N/A</v>
      </c>
      <c r="N295" s="283" t="e">
        <f>+(Tabla4[[#This Row],[Precio Descontado]]-Tabla4[[#This Row],[Precio Base]])*Tabla4[[#This Row],[Cantidad]]</f>
        <v>#N/A</v>
      </c>
      <c r="O295" s="284" t="e">
        <f>++Tabla4[[#This Row],[Utilidad Total]]/Tabla4[[#This Row],[Total]]</f>
        <v>#N/A</v>
      </c>
      <c r="P295" s="282">
        <f>++Tabla4[[#This Row],[Precio Descontado]]*Tabla4[[#This Row],[Cantidad]]</f>
        <v>893.25840599999992</v>
      </c>
      <c r="Q295" s="282" t="e">
        <f>(INDEX(Tabla6[#All],MATCH(Tabla4[[#This Row],[Producto]],Tabla6[[#All],[PRODUCTO]],0),MATCH(Tabla4[[#This Row],[Mes]],Tabla6[#Headers],0)))</f>
        <v>#N/A</v>
      </c>
      <c r="R295" s="282" t="e">
        <f>++Tabla4[[#This Row],[Precio Unitario Neto]]-Tabla4[[#This Row],[20.85%]]-Tabla4[[#This Row],[Costo]]</f>
        <v>#N/A</v>
      </c>
      <c r="S295" s="282" t="e">
        <f>++Tabla4[[#This Row],[U. Bruta Uni]]*Tabla4[[#This Row],[Cantidad]]</f>
        <v>#N/A</v>
      </c>
      <c r="T295" s="369" t="str">
        <f>VLOOKUP(Tabla4[[#This Row],[Producto]],Tabla6[#All],14,FALSE)</f>
        <v>Termico Solar</v>
      </c>
      <c r="U295" s="284" t="e">
        <f>(IF(Tabla4[[#This Row],[Familia]]="termico solar",Tabla4[[#This Row],[Utilidad Total]]*6%,Tabla4[[#This Row],[Utilidad Total]]*11.5%))/Tabla4[[#This Row],[Total]]</f>
        <v>#N/A</v>
      </c>
      <c r="V295" s="282" t="e">
        <f>+Tabla4[[#This Row],[Comisión Calculada]]*Tabla4[[#This Row],[Total]]</f>
        <v>#N/A</v>
      </c>
    </row>
    <row r="296" spans="1:22" hidden="1" x14ac:dyDescent="0.25">
      <c r="A296" s="100">
        <v>45688</v>
      </c>
      <c r="B296" t="str">
        <f t="shared" si="11"/>
        <v>January</v>
      </c>
      <c r="C296" s="46" t="s">
        <v>280</v>
      </c>
      <c r="F296" s="366" t="s">
        <v>822</v>
      </c>
      <c r="G296" s="46" t="s">
        <v>16</v>
      </c>
      <c r="H296" s="46">
        <v>2</v>
      </c>
      <c r="I296" s="51">
        <v>4103.8500000000004</v>
      </c>
      <c r="J296" s="281">
        <f>++Tabla4[[#This Row],[Precio Bruto]]*1.16</f>
        <v>4760.4660000000003</v>
      </c>
      <c r="K296" s="281">
        <f>+Tabla4[[#This Row],[Precio Unitario Neto]]*Tabla4[[#Headers],[20.85%]]</f>
        <v>992.55716100000006</v>
      </c>
      <c r="L296" s="282">
        <f>++Tabla4[[#This Row],[Precio Unitario Neto]]-Tabla4[[#This Row],[20.85%]]</f>
        <v>3767.9088390000002</v>
      </c>
      <c r="M296" s="282" t="e">
        <f>(INDEX(Tabla6[#All],MATCH(Tabla4[[#This Row],[Producto]],Tabla6[[#All],[PRODUCTO]],0),MATCH(Tabla4[[#This Row],[Mes]],Tabla6[#Headers],0)))*(1+Catalogos!$L$2)</f>
        <v>#N/A</v>
      </c>
      <c r="N296" s="283" t="e">
        <f>+(Tabla4[[#This Row],[Precio Descontado]]-Tabla4[[#This Row],[Precio Base]])*Tabla4[[#This Row],[Cantidad]]</f>
        <v>#N/A</v>
      </c>
      <c r="O296" s="284" t="e">
        <f>++Tabla4[[#This Row],[Utilidad Total]]/Tabla4[[#This Row],[Total]]</f>
        <v>#N/A</v>
      </c>
      <c r="P296" s="282">
        <f>++Tabla4[[#This Row],[Precio Descontado]]*Tabla4[[#This Row],[Cantidad]]</f>
        <v>7535.8176780000003</v>
      </c>
      <c r="Q296" s="282" t="e">
        <f>(INDEX(Tabla6[#All],MATCH(Tabla4[[#This Row],[Producto]],Tabla6[[#All],[PRODUCTO]],0),MATCH(Tabla4[[#This Row],[Mes]],Tabla6[#Headers],0)))</f>
        <v>#N/A</v>
      </c>
      <c r="R296" s="282" t="e">
        <f>++Tabla4[[#This Row],[Precio Unitario Neto]]-Tabla4[[#This Row],[20.85%]]-Tabla4[[#This Row],[Costo]]</f>
        <v>#N/A</v>
      </c>
      <c r="S296" s="282" t="e">
        <f>++Tabla4[[#This Row],[U. Bruta Uni]]*Tabla4[[#This Row],[Cantidad]]</f>
        <v>#N/A</v>
      </c>
      <c r="T296" s="369" t="str">
        <f>VLOOKUP(Tabla4[[#This Row],[Producto]],Tabla6[#All],14,FALSE)</f>
        <v>Termico Solar</v>
      </c>
      <c r="U296" s="284" t="e">
        <f>(IF(Tabla4[[#This Row],[Familia]]="termico solar",Tabla4[[#This Row],[Utilidad Total]]*6%,Tabla4[[#This Row],[Utilidad Total]]*11.5%))/Tabla4[[#This Row],[Total]]</f>
        <v>#N/A</v>
      </c>
      <c r="V296" s="282" t="e">
        <f>+Tabla4[[#This Row],[Comisión Calculada]]*Tabla4[[#This Row],[Total]]</f>
        <v>#N/A</v>
      </c>
    </row>
    <row r="297" spans="1:22" hidden="1" x14ac:dyDescent="0.25">
      <c r="A297" s="100">
        <v>45688</v>
      </c>
      <c r="B297" t="str">
        <f t="shared" si="11"/>
        <v>January</v>
      </c>
      <c r="C297" s="46" t="s">
        <v>280</v>
      </c>
      <c r="F297" s="366" t="s">
        <v>823</v>
      </c>
      <c r="G297" s="46" t="s">
        <v>17</v>
      </c>
      <c r="H297" s="46">
        <v>1</v>
      </c>
      <c r="I297" s="51">
        <v>4622.28</v>
      </c>
      <c r="J297" s="281">
        <f>++Tabla4[[#This Row],[Precio Bruto]]*1.16</f>
        <v>5361.8447999999989</v>
      </c>
      <c r="K297" s="281">
        <f>+Tabla4[[#This Row],[Precio Unitario Neto]]*Tabla4[[#Headers],[20.85%]]</f>
        <v>1117.9446407999997</v>
      </c>
      <c r="L297" s="282">
        <f>++Tabla4[[#This Row],[Precio Unitario Neto]]-Tabla4[[#This Row],[20.85%]]</f>
        <v>4243.9001591999995</v>
      </c>
      <c r="M297" s="282" t="e">
        <f>(INDEX(Tabla6[#All],MATCH(Tabla4[[#This Row],[Producto]],Tabla6[[#All],[PRODUCTO]],0),MATCH(Tabla4[[#This Row],[Mes]],Tabla6[#Headers],0)))*(1+Catalogos!$L$2)</f>
        <v>#N/A</v>
      </c>
      <c r="N297" s="283" t="e">
        <f>+(Tabla4[[#This Row],[Precio Descontado]]-Tabla4[[#This Row],[Precio Base]])*Tabla4[[#This Row],[Cantidad]]</f>
        <v>#N/A</v>
      </c>
      <c r="O297" s="284" t="e">
        <f>++Tabla4[[#This Row],[Utilidad Total]]/Tabla4[[#This Row],[Total]]</f>
        <v>#N/A</v>
      </c>
      <c r="P297" s="282">
        <f>++Tabla4[[#This Row],[Precio Descontado]]*Tabla4[[#This Row],[Cantidad]]</f>
        <v>4243.9001591999995</v>
      </c>
      <c r="Q297" s="282" t="e">
        <f>(INDEX(Tabla6[#All],MATCH(Tabla4[[#This Row],[Producto]],Tabla6[[#All],[PRODUCTO]],0),MATCH(Tabla4[[#This Row],[Mes]],Tabla6[#Headers],0)))</f>
        <v>#N/A</v>
      </c>
      <c r="R297" s="282" t="e">
        <f>++Tabla4[[#This Row],[Precio Unitario Neto]]-Tabla4[[#This Row],[20.85%]]-Tabla4[[#This Row],[Costo]]</f>
        <v>#N/A</v>
      </c>
      <c r="S297" s="282" t="e">
        <f>++Tabla4[[#This Row],[U. Bruta Uni]]*Tabla4[[#This Row],[Cantidad]]</f>
        <v>#N/A</v>
      </c>
      <c r="T297" s="369" t="str">
        <f>VLOOKUP(Tabla4[[#This Row],[Producto]],Tabla6[#All],14,FALSE)</f>
        <v>Termico Solar</v>
      </c>
      <c r="U297" s="284" t="e">
        <f>(IF(Tabla4[[#This Row],[Familia]]="termico solar",Tabla4[[#This Row],[Utilidad Total]]*6%,Tabla4[[#This Row],[Utilidad Total]]*11.5%))/Tabla4[[#This Row],[Total]]</f>
        <v>#N/A</v>
      </c>
      <c r="V297" s="282" t="e">
        <f>+Tabla4[[#This Row],[Comisión Calculada]]*Tabla4[[#This Row],[Total]]</f>
        <v>#N/A</v>
      </c>
    </row>
    <row r="298" spans="1:22" hidden="1" x14ac:dyDescent="0.25">
      <c r="A298" s="100">
        <v>45688</v>
      </c>
      <c r="B298" t="str">
        <f t="shared" si="11"/>
        <v>January</v>
      </c>
      <c r="C298" s="46" t="s">
        <v>280</v>
      </c>
      <c r="F298" s="366" t="s">
        <v>823</v>
      </c>
      <c r="G298" s="46" t="s">
        <v>16</v>
      </c>
      <c r="H298" s="46">
        <v>2</v>
      </c>
      <c r="I298" s="51">
        <v>4103.8500000000004</v>
      </c>
      <c r="J298" s="281">
        <f>++Tabla4[[#This Row],[Precio Bruto]]*1.16</f>
        <v>4760.4660000000003</v>
      </c>
      <c r="K298" s="281">
        <f>+Tabla4[[#This Row],[Precio Unitario Neto]]*Tabla4[[#Headers],[20.85%]]</f>
        <v>992.55716100000006</v>
      </c>
      <c r="L298" s="282">
        <f>++Tabla4[[#This Row],[Precio Unitario Neto]]-Tabla4[[#This Row],[20.85%]]</f>
        <v>3767.9088390000002</v>
      </c>
      <c r="M298" s="282" t="e">
        <f>(INDEX(Tabla6[#All],MATCH(Tabla4[[#This Row],[Producto]],Tabla6[[#All],[PRODUCTO]],0),MATCH(Tabla4[[#This Row],[Mes]],Tabla6[#Headers],0)))*(1+Catalogos!$L$2)</f>
        <v>#N/A</v>
      </c>
      <c r="N298" s="283" t="e">
        <f>+(Tabla4[[#This Row],[Precio Descontado]]-Tabla4[[#This Row],[Precio Base]])*Tabla4[[#This Row],[Cantidad]]</f>
        <v>#N/A</v>
      </c>
      <c r="O298" s="284" t="e">
        <f>++Tabla4[[#This Row],[Utilidad Total]]/Tabla4[[#This Row],[Total]]</f>
        <v>#N/A</v>
      </c>
      <c r="P298" s="282">
        <f>++Tabla4[[#This Row],[Precio Descontado]]*Tabla4[[#This Row],[Cantidad]]</f>
        <v>7535.8176780000003</v>
      </c>
      <c r="Q298" s="282" t="e">
        <f>(INDEX(Tabla6[#All],MATCH(Tabla4[[#This Row],[Producto]],Tabla6[[#All],[PRODUCTO]],0),MATCH(Tabla4[[#This Row],[Mes]],Tabla6[#Headers],0)))</f>
        <v>#N/A</v>
      </c>
      <c r="R298" s="282" t="e">
        <f>++Tabla4[[#This Row],[Precio Unitario Neto]]-Tabla4[[#This Row],[20.85%]]-Tabla4[[#This Row],[Costo]]</f>
        <v>#N/A</v>
      </c>
      <c r="S298" s="282" t="e">
        <f>++Tabla4[[#This Row],[U. Bruta Uni]]*Tabla4[[#This Row],[Cantidad]]</f>
        <v>#N/A</v>
      </c>
      <c r="T298" s="369" t="str">
        <f>VLOOKUP(Tabla4[[#This Row],[Producto]],Tabla6[#All],14,FALSE)</f>
        <v>Termico Solar</v>
      </c>
      <c r="U298" s="284" t="e">
        <f>(IF(Tabla4[[#This Row],[Familia]]="termico solar",Tabla4[[#This Row],[Utilidad Total]]*6%,Tabla4[[#This Row],[Utilidad Total]]*11.5%))/Tabla4[[#This Row],[Total]]</f>
        <v>#N/A</v>
      </c>
      <c r="V298" s="282" t="e">
        <f>+Tabla4[[#This Row],[Comisión Calculada]]*Tabla4[[#This Row],[Total]]</f>
        <v>#N/A</v>
      </c>
    </row>
    <row r="299" spans="1:22" hidden="1" x14ac:dyDescent="0.25">
      <c r="A299" s="100">
        <v>45688</v>
      </c>
      <c r="B299" t="str">
        <f t="shared" si="11"/>
        <v>January</v>
      </c>
      <c r="C299" s="46" t="s">
        <v>280</v>
      </c>
      <c r="F299" s="366" t="s">
        <v>824</v>
      </c>
      <c r="G299" s="46" t="s">
        <v>566</v>
      </c>
      <c r="H299" s="46">
        <v>1</v>
      </c>
      <c r="I299" s="51">
        <v>2109.4499999999998</v>
      </c>
      <c r="J299" s="281">
        <f>++Tabla4[[#This Row],[Precio Bruto]]*1.16</f>
        <v>2446.9619999999995</v>
      </c>
      <c r="K299" s="281">
        <f>+Tabla4[[#This Row],[Precio Unitario Neto]]*Tabla4[[#Headers],[20.85%]]</f>
        <v>510.19157699999988</v>
      </c>
      <c r="L299" s="282">
        <f>++Tabla4[[#This Row],[Precio Unitario Neto]]-Tabla4[[#This Row],[20.85%]]</f>
        <v>1936.7704229999997</v>
      </c>
      <c r="M299" s="282" t="e">
        <f>(INDEX(Tabla6[#All],MATCH(Tabla4[[#This Row],[Producto]],Tabla6[[#All],[PRODUCTO]],0),MATCH(Tabla4[[#This Row],[Mes]],Tabla6[#Headers],0)))*(1+Catalogos!$L$2)</f>
        <v>#N/A</v>
      </c>
      <c r="N299" s="283" t="e">
        <f>+(Tabla4[[#This Row],[Precio Descontado]]-Tabla4[[#This Row],[Precio Base]])*Tabla4[[#This Row],[Cantidad]]</f>
        <v>#N/A</v>
      </c>
      <c r="O299" s="284" t="e">
        <f>++Tabla4[[#This Row],[Utilidad Total]]/Tabla4[[#This Row],[Total]]</f>
        <v>#N/A</v>
      </c>
      <c r="P299" s="282">
        <f>++Tabla4[[#This Row],[Precio Descontado]]*Tabla4[[#This Row],[Cantidad]]</f>
        <v>1936.7704229999997</v>
      </c>
      <c r="Q299" s="282" t="e">
        <f>(INDEX(Tabla6[#All],MATCH(Tabla4[[#This Row],[Producto]],Tabla6[[#All],[PRODUCTO]],0),MATCH(Tabla4[[#This Row],[Mes]],Tabla6[#Headers],0)))</f>
        <v>#N/A</v>
      </c>
      <c r="R299" s="282" t="e">
        <f>++Tabla4[[#This Row],[Precio Unitario Neto]]-Tabla4[[#This Row],[20.85%]]-Tabla4[[#This Row],[Costo]]</f>
        <v>#N/A</v>
      </c>
      <c r="S299" s="282" t="e">
        <f>++Tabla4[[#This Row],[U. Bruta Uni]]*Tabla4[[#This Row],[Cantidad]]</f>
        <v>#N/A</v>
      </c>
      <c r="T299" s="369" t="str">
        <f>VLOOKUP(Tabla4[[#This Row],[Producto]],Tabla6[#All],14,FALSE)</f>
        <v>Termico Solar</v>
      </c>
      <c r="U299" s="284" t="e">
        <f>(IF(Tabla4[[#This Row],[Familia]]="termico solar",Tabla4[[#This Row],[Utilidad Total]]*6%,Tabla4[[#This Row],[Utilidad Total]]*11.5%))/Tabla4[[#This Row],[Total]]</f>
        <v>#N/A</v>
      </c>
      <c r="V299" s="282" t="e">
        <f>+Tabla4[[#This Row],[Comisión Calculada]]*Tabla4[[#This Row],[Total]]</f>
        <v>#N/A</v>
      </c>
    </row>
    <row r="300" spans="1:22" hidden="1" x14ac:dyDescent="0.25">
      <c r="A300" s="100">
        <v>45688</v>
      </c>
      <c r="B300" t="str">
        <f t="shared" si="11"/>
        <v>January</v>
      </c>
      <c r="C300" s="46" t="s">
        <v>280</v>
      </c>
      <c r="F300" s="366" t="s">
        <v>825</v>
      </c>
      <c r="G300" s="46" t="s">
        <v>20</v>
      </c>
      <c r="H300" s="46">
        <v>1</v>
      </c>
      <c r="I300" s="51">
        <v>7751.98</v>
      </c>
      <c r="J300" s="281">
        <f>++Tabla4[[#This Row],[Precio Bruto]]*1.16</f>
        <v>8992.2967999999983</v>
      </c>
      <c r="K300" s="281">
        <f>+Tabla4[[#This Row],[Precio Unitario Neto]]*Tabla4[[#Headers],[20.85%]]</f>
        <v>1874.8938827999996</v>
      </c>
      <c r="L300" s="282">
        <f>++Tabla4[[#This Row],[Precio Unitario Neto]]-Tabla4[[#This Row],[20.85%]]</f>
        <v>7117.4029171999991</v>
      </c>
      <c r="M300" s="282" t="e">
        <f>(INDEX(Tabla6[#All],MATCH(Tabla4[[#This Row],[Producto]],Tabla6[[#All],[PRODUCTO]],0),MATCH(Tabla4[[#This Row],[Mes]],Tabla6[#Headers],0)))*(1+Catalogos!$L$2)</f>
        <v>#N/A</v>
      </c>
      <c r="N300" s="283" t="e">
        <f>+(Tabla4[[#This Row],[Precio Descontado]]-Tabla4[[#This Row],[Precio Base]])*Tabla4[[#This Row],[Cantidad]]</f>
        <v>#N/A</v>
      </c>
      <c r="O300" s="284" t="e">
        <f>++Tabla4[[#This Row],[Utilidad Total]]/Tabla4[[#This Row],[Total]]</f>
        <v>#N/A</v>
      </c>
      <c r="P300" s="282">
        <f>++Tabla4[[#This Row],[Precio Descontado]]*Tabla4[[#This Row],[Cantidad]]</f>
        <v>7117.4029171999991</v>
      </c>
      <c r="Q300" s="282" t="e">
        <f>(INDEX(Tabla6[#All],MATCH(Tabla4[[#This Row],[Producto]],Tabla6[[#All],[PRODUCTO]],0),MATCH(Tabla4[[#This Row],[Mes]],Tabla6[#Headers],0)))</f>
        <v>#N/A</v>
      </c>
      <c r="R300" s="282" t="e">
        <f>++Tabla4[[#This Row],[Precio Unitario Neto]]-Tabla4[[#This Row],[20.85%]]-Tabla4[[#This Row],[Costo]]</f>
        <v>#N/A</v>
      </c>
      <c r="S300" s="282" t="e">
        <f>++Tabla4[[#This Row],[U. Bruta Uni]]*Tabla4[[#This Row],[Cantidad]]</f>
        <v>#N/A</v>
      </c>
      <c r="T300" s="369" t="str">
        <f>VLOOKUP(Tabla4[[#This Row],[Producto]],Tabla6[#All],14,FALSE)</f>
        <v>Termico Solar</v>
      </c>
      <c r="U300" s="284" t="e">
        <f>(IF(Tabla4[[#This Row],[Familia]]="termico solar",Tabla4[[#This Row],[Utilidad Total]]*6%,Tabla4[[#This Row],[Utilidad Total]]*11.5%))/Tabla4[[#This Row],[Total]]</f>
        <v>#N/A</v>
      </c>
      <c r="V300" s="282" t="e">
        <f>+Tabla4[[#This Row],[Comisión Calculada]]*Tabla4[[#This Row],[Total]]</f>
        <v>#N/A</v>
      </c>
    </row>
    <row r="301" spans="1:22" hidden="1" x14ac:dyDescent="0.25">
      <c r="A301" s="100">
        <v>45688</v>
      </c>
      <c r="B301" t="str">
        <f t="shared" si="11"/>
        <v>January</v>
      </c>
      <c r="C301" s="46" t="s">
        <v>280</v>
      </c>
      <c r="F301" s="366" t="s">
        <v>826</v>
      </c>
      <c r="G301" s="46" t="s">
        <v>17</v>
      </c>
      <c r="H301" s="46">
        <v>2</v>
      </c>
      <c r="I301" s="51">
        <v>4622.28</v>
      </c>
      <c r="J301" s="281">
        <f>++Tabla4[[#This Row],[Precio Bruto]]*1.16</f>
        <v>5361.8447999999989</v>
      </c>
      <c r="K301" s="281">
        <f>+Tabla4[[#This Row],[Precio Unitario Neto]]*Tabla4[[#Headers],[20.85%]]</f>
        <v>1117.9446407999997</v>
      </c>
      <c r="L301" s="282">
        <f>++Tabla4[[#This Row],[Precio Unitario Neto]]-Tabla4[[#This Row],[20.85%]]</f>
        <v>4243.9001591999995</v>
      </c>
      <c r="M301" s="282" t="e">
        <f>(INDEX(Tabla6[#All],MATCH(Tabla4[[#This Row],[Producto]],Tabla6[[#All],[PRODUCTO]],0),MATCH(Tabla4[[#This Row],[Mes]],Tabla6[#Headers],0)))*(1+Catalogos!$L$2)</f>
        <v>#N/A</v>
      </c>
      <c r="N301" s="283" t="e">
        <f>+(Tabla4[[#This Row],[Precio Descontado]]-Tabla4[[#This Row],[Precio Base]])*Tabla4[[#This Row],[Cantidad]]</f>
        <v>#N/A</v>
      </c>
      <c r="O301" s="284" t="e">
        <f>++Tabla4[[#This Row],[Utilidad Total]]/Tabla4[[#This Row],[Total]]</f>
        <v>#N/A</v>
      </c>
      <c r="P301" s="282">
        <f>++Tabla4[[#This Row],[Precio Descontado]]*Tabla4[[#This Row],[Cantidad]]</f>
        <v>8487.800318399999</v>
      </c>
      <c r="Q301" s="282" t="e">
        <f>(INDEX(Tabla6[#All],MATCH(Tabla4[[#This Row],[Producto]],Tabla6[[#All],[PRODUCTO]],0),MATCH(Tabla4[[#This Row],[Mes]],Tabla6[#Headers],0)))</f>
        <v>#N/A</v>
      </c>
      <c r="R301" s="282" t="e">
        <f>++Tabla4[[#This Row],[Precio Unitario Neto]]-Tabla4[[#This Row],[20.85%]]-Tabla4[[#This Row],[Costo]]</f>
        <v>#N/A</v>
      </c>
      <c r="S301" s="282" t="e">
        <f>++Tabla4[[#This Row],[U. Bruta Uni]]*Tabla4[[#This Row],[Cantidad]]</f>
        <v>#N/A</v>
      </c>
      <c r="T301" s="369" t="str">
        <f>VLOOKUP(Tabla4[[#This Row],[Producto]],Tabla6[#All],14,FALSE)</f>
        <v>Termico Solar</v>
      </c>
      <c r="U301" s="284" t="e">
        <f>(IF(Tabla4[[#This Row],[Familia]]="termico solar",Tabla4[[#This Row],[Utilidad Total]]*6%,Tabla4[[#This Row],[Utilidad Total]]*11.5%))/Tabla4[[#This Row],[Total]]</f>
        <v>#N/A</v>
      </c>
      <c r="V301" s="282" t="e">
        <f>+Tabla4[[#This Row],[Comisión Calculada]]*Tabla4[[#This Row],[Total]]</f>
        <v>#N/A</v>
      </c>
    </row>
    <row r="302" spans="1:22" hidden="1" x14ac:dyDescent="0.25">
      <c r="A302" s="100">
        <v>45688</v>
      </c>
      <c r="B302" t="str">
        <f t="shared" si="11"/>
        <v>January</v>
      </c>
      <c r="C302" s="46" t="s">
        <v>280</v>
      </c>
      <c r="F302" s="366" t="s">
        <v>826</v>
      </c>
      <c r="G302" s="46" t="s">
        <v>566</v>
      </c>
      <c r="H302" s="46">
        <v>1</v>
      </c>
      <c r="I302" s="51">
        <v>2109.4499999999998</v>
      </c>
      <c r="J302" s="281">
        <f>++Tabla4[[#This Row],[Precio Bruto]]*1.16</f>
        <v>2446.9619999999995</v>
      </c>
      <c r="K302" s="281">
        <f>+Tabla4[[#This Row],[Precio Unitario Neto]]*Tabla4[[#Headers],[20.85%]]</f>
        <v>510.19157699999988</v>
      </c>
      <c r="L302" s="282">
        <f>++Tabla4[[#This Row],[Precio Unitario Neto]]-Tabla4[[#This Row],[20.85%]]</f>
        <v>1936.7704229999997</v>
      </c>
      <c r="M302" s="282" t="e">
        <f>(INDEX(Tabla6[#All],MATCH(Tabla4[[#This Row],[Producto]],Tabla6[[#All],[PRODUCTO]],0),MATCH(Tabla4[[#This Row],[Mes]],Tabla6[#Headers],0)))*(1+Catalogos!$L$2)</f>
        <v>#N/A</v>
      </c>
      <c r="N302" s="283" t="e">
        <f>+(Tabla4[[#This Row],[Precio Descontado]]-Tabla4[[#This Row],[Precio Base]])*Tabla4[[#This Row],[Cantidad]]</f>
        <v>#N/A</v>
      </c>
      <c r="O302" s="284" t="e">
        <f>++Tabla4[[#This Row],[Utilidad Total]]/Tabla4[[#This Row],[Total]]</f>
        <v>#N/A</v>
      </c>
      <c r="P302" s="282">
        <f>++Tabla4[[#This Row],[Precio Descontado]]*Tabla4[[#This Row],[Cantidad]]</f>
        <v>1936.7704229999997</v>
      </c>
      <c r="Q302" s="282" t="e">
        <f>(INDEX(Tabla6[#All],MATCH(Tabla4[[#This Row],[Producto]],Tabla6[[#All],[PRODUCTO]],0),MATCH(Tabla4[[#This Row],[Mes]],Tabla6[#Headers],0)))</f>
        <v>#N/A</v>
      </c>
      <c r="R302" s="282" t="e">
        <f>++Tabla4[[#This Row],[Precio Unitario Neto]]-Tabla4[[#This Row],[20.85%]]-Tabla4[[#This Row],[Costo]]</f>
        <v>#N/A</v>
      </c>
      <c r="S302" s="282" t="e">
        <f>++Tabla4[[#This Row],[U. Bruta Uni]]*Tabla4[[#This Row],[Cantidad]]</f>
        <v>#N/A</v>
      </c>
      <c r="T302" s="369" t="str">
        <f>VLOOKUP(Tabla4[[#This Row],[Producto]],Tabla6[#All],14,FALSE)</f>
        <v>Termico Solar</v>
      </c>
      <c r="U302" s="284" t="e">
        <f>(IF(Tabla4[[#This Row],[Familia]]="termico solar",Tabla4[[#This Row],[Utilidad Total]]*6%,Tabla4[[#This Row],[Utilidad Total]]*11.5%))/Tabla4[[#This Row],[Total]]</f>
        <v>#N/A</v>
      </c>
      <c r="V302" s="282" t="e">
        <f>+Tabla4[[#This Row],[Comisión Calculada]]*Tabla4[[#This Row],[Total]]</f>
        <v>#N/A</v>
      </c>
    </row>
    <row r="303" spans="1:22" hidden="1" x14ac:dyDescent="0.25">
      <c r="A303" s="100">
        <v>45688</v>
      </c>
      <c r="B303" t="str">
        <f t="shared" si="11"/>
        <v>January</v>
      </c>
      <c r="C303" s="46" t="s">
        <v>280</v>
      </c>
      <c r="F303" s="366" t="s">
        <v>826</v>
      </c>
      <c r="G303" s="46" t="s">
        <v>394</v>
      </c>
      <c r="H303" s="46">
        <v>16</v>
      </c>
      <c r="I303" s="51">
        <v>224.29</v>
      </c>
      <c r="J303" s="281">
        <f>++Tabla4[[#This Row],[Precio Bruto]]*1.16</f>
        <v>260.1764</v>
      </c>
      <c r="K303" s="281">
        <f>+Tabla4[[#This Row],[Precio Unitario Neto]]*Tabla4[[#Headers],[20.85%]]</f>
        <v>54.246779400000001</v>
      </c>
      <c r="L303" s="282">
        <f>++Tabla4[[#This Row],[Precio Unitario Neto]]-Tabla4[[#This Row],[20.85%]]</f>
        <v>205.92962059999999</v>
      </c>
      <c r="M303" s="282" t="e">
        <f>(INDEX(Tabla6[#All],MATCH(Tabla4[[#This Row],[Producto]],Tabla6[[#All],[PRODUCTO]],0),MATCH(Tabla4[[#This Row],[Mes]],Tabla6[#Headers],0)))*(1+Catalogos!$L$2)</f>
        <v>#N/A</v>
      </c>
      <c r="N303" s="283" t="e">
        <f>+(Tabla4[[#This Row],[Precio Descontado]]-Tabla4[[#This Row],[Precio Base]])*Tabla4[[#This Row],[Cantidad]]</f>
        <v>#N/A</v>
      </c>
      <c r="O303" s="284" t="e">
        <f>++Tabla4[[#This Row],[Utilidad Total]]/Tabla4[[#This Row],[Total]]</f>
        <v>#N/A</v>
      </c>
      <c r="P303" s="282">
        <f>++Tabla4[[#This Row],[Precio Descontado]]*Tabla4[[#This Row],[Cantidad]]</f>
        <v>3294.8739295999999</v>
      </c>
      <c r="Q303" s="282" t="e">
        <f>(INDEX(Tabla6[#All],MATCH(Tabla4[[#This Row],[Producto]],Tabla6[[#All],[PRODUCTO]],0),MATCH(Tabla4[[#This Row],[Mes]],Tabla6[#Headers],0)))</f>
        <v>#N/A</v>
      </c>
      <c r="R303" s="282" t="e">
        <f>++Tabla4[[#This Row],[Precio Unitario Neto]]-Tabla4[[#This Row],[20.85%]]-Tabla4[[#This Row],[Costo]]</f>
        <v>#N/A</v>
      </c>
      <c r="S303" s="282" t="e">
        <f>++Tabla4[[#This Row],[U. Bruta Uni]]*Tabla4[[#This Row],[Cantidad]]</f>
        <v>#N/A</v>
      </c>
      <c r="T303" s="369" t="str">
        <f>VLOOKUP(Tabla4[[#This Row],[Producto]],Tabla6[#All],14,FALSE)</f>
        <v>Termico Solar</v>
      </c>
      <c r="U303" s="284" t="e">
        <f>(IF(Tabla4[[#This Row],[Familia]]="termico solar",Tabla4[[#This Row],[Utilidad Total]]*6%,Tabla4[[#This Row],[Utilidad Total]]*11.5%))/Tabla4[[#This Row],[Total]]</f>
        <v>#N/A</v>
      </c>
      <c r="V303" s="282" t="e">
        <f>+Tabla4[[#This Row],[Comisión Calculada]]*Tabla4[[#This Row],[Total]]</f>
        <v>#N/A</v>
      </c>
    </row>
    <row r="304" spans="1:22" hidden="1" x14ac:dyDescent="0.25">
      <c r="A304" s="100">
        <v>45688</v>
      </c>
      <c r="B304" t="str">
        <f t="shared" si="11"/>
        <v>January</v>
      </c>
      <c r="C304" s="46" t="s">
        <v>280</v>
      </c>
      <c r="F304" s="366" t="s">
        <v>826</v>
      </c>
      <c r="G304" s="46" t="s">
        <v>208</v>
      </c>
      <c r="H304" s="46">
        <v>3</v>
      </c>
      <c r="I304" s="51">
        <v>189.75</v>
      </c>
      <c r="J304" s="281">
        <f>++Tabla4[[#This Row],[Precio Bruto]]*1.16</f>
        <v>220.10999999999999</v>
      </c>
      <c r="K304" s="281">
        <f>+Tabla4[[#This Row],[Precio Unitario Neto]]*Tabla4[[#Headers],[20.85%]]</f>
        <v>45.892934999999994</v>
      </c>
      <c r="L304" s="282">
        <f>++Tabla4[[#This Row],[Precio Unitario Neto]]-Tabla4[[#This Row],[20.85%]]</f>
        <v>174.21706499999999</v>
      </c>
      <c r="M304" s="282" t="e">
        <f>(INDEX(Tabla6[#All],MATCH(Tabla4[[#This Row],[Producto]],Tabla6[[#All],[PRODUCTO]],0),MATCH(Tabla4[[#This Row],[Mes]],Tabla6[#Headers],0)))*(1+Catalogos!$L$2)</f>
        <v>#N/A</v>
      </c>
      <c r="N304" s="283" t="e">
        <f>+(Tabla4[[#This Row],[Precio Descontado]]-Tabla4[[#This Row],[Precio Base]])*Tabla4[[#This Row],[Cantidad]]</f>
        <v>#N/A</v>
      </c>
      <c r="O304" s="284" t="e">
        <f>++Tabla4[[#This Row],[Utilidad Total]]/Tabla4[[#This Row],[Total]]</f>
        <v>#N/A</v>
      </c>
      <c r="P304" s="282">
        <f>++Tabla4[[#This Row],[Precio Descontado]]*Tabla4[[#This Row],[Cantidad]]</f>
        <v>522.65119499999992</v>
      </c>
      <c r="Q304" s="282" t="e">
        <f>(INDEX(Tabla6[#All],MATCH(Tabla4[[#This Row],[Producto]],Tabla6[[#All],[PRODUCTO]],0),MATCH(Tabla4[[#This Row],[Mes]],Tabla6[#Headers],0)))</f>
        <v>#N/A</v>
      </c>
      <c r="R304" s="282" t="e">
        <f>++Tabla4[[#This Row],[Precio Unitario Neto]]-Tabla4[[#This Row],[20.85%]]-Tabla4[[#This Row],[Costo]]</f>
        <v>#N/A</v>
      </c>
      <c r="S304" s="282" t="e">
        <f>++Tabla4[[#This Row],[U. Bruta Uni]]*Tabla4[[#This Row],[Cantidad]]</f>
        <v>#N/A</v>
      </c>
      <c r="T304" s="369" t="str">
        <f>VLOOKUP(Tabla4[[#This Row],[Producto]],Tabla6[#All],14,FALSE)</f>
        <v>Termico Solar</v>
      </c>
      <c r="U304" s="284" t="e">
        <f>(IF(Tabla4[[#This Row],[Familia]]="termico solar",Tabla4[[#This Row],[Utilidad Total]]*6%,Tabla4[[#This Row],[Utilidad Total]]*11.5%))/Tabla4[[#This Row],[Total]]</f>
        <v>#N/A</v>
      </c>
      <c r="V304" s="282" t="e">
        <f>+Tabla4[[#This Row],[Comisión Calculada]]*Tabla4[[#This Row],[Total]]</f>
        <v>#N/A</v>
      </c>
    </row>
    <row r="305" spans="1:22" hidden="1" x14ac:dyDescent="0.25">
      <c r="A305" s="100">
        <v>45688</v>
      </c>
      <c r="B305" t="str">
        <f t="shared" si="11"/>
        <v>January</v>
      </c>
      <c r="C305" s="46" t="s">
        <v>280</v>
      </c>
      <c r="F305" s="366" t="s">
        <v>826</v>
      </c>
      <c r="G305" s="46" t="s">
        <v>209</v>
      </c>
      <c r="H305" s="46">
        <v>1</v>
      </c>
      <c r="I305" s="51">
        <v>347.48</v>
      </c>
      <c r="J305" s="281">
        <f>++Tabla4[[#This Row],[Precio Bruto]]*1.16</f>
        <v>403.07679999999999</v>
      </c>
      <c r="K305" s="281">
        <f>+Tabla4[[#This Row],[Precio Unitario Neto]]*Tabla4[[#Headers],[20.85%]]</f>
        <v>84.041512799999992</v>
      </c>
      <c r="L305" s="282">
        <f>++Tabla4[[#This Row],[Precio Unitario Neto]]-Tabla4[[#This Row],[20.85%]]</f>
        <v>319.03528719999997</v>
      </c>
      <c r="M305" s="282" t="e">
        <f>(INDEX(Tabla6[#All],MATCH(Tabla4[[#This Row],[Producto]],Tabla6[[#All],[PRODUCTO]],0),MATCH(Tabla4[[#This Row],[Mes]],Tabla6[#Headers],0)))*(1+Catalogos!$L$2)</f>
        <v>#N/A</v>
      </c>
      <c r="N305" s="283" t="e">
        <f>+(Tabla4[[#This Row],[Precio Descontado]]-Tabla4[[#This Row],[Precio Base]])*Tabla4[[#This Row],[Cantidad]]</f>
        <v>#N/A</v>
      </c>
      <c r="O305" s="284" t="e">
        <f>++Tabla4[[#This Row],[Utilidad Total]]/Tabla4[[#This Row],[Total]]</f>
        <v>#N/A</v>
      </c>
      <c r="P305" s="282">
        <f>++Tabla4[[#This Row],[Precio Descontado]]*Tabla4[[#This Row],[Cantidad]]</f>
        <v>319.03528719999997</v>
      </c>
      <c r="Q305" s="282" t="e">
        <f>(INDEX(Tabla6[#All],MATCH(Tabla4[[#This Row],[Producto]],Tabla6[[#All],[PRODUCTO]],0),MATCH(Tabla4[[#This Row],[Mes]],Tabla6[#Headers],0)))</f>
        <v>#N/A</v>
      </c>
      <c r="R305" s="282" t="e">
        <f>++Tabla4[[#This Row],[Precio Unitario Neto]]-Tabla4[[#This Row],[20.85%]]-Tabla4[[#This Row],[Costo]]</f>
        <v>#N/A</v>
      </c>
      <c r="S305" s="282" t="e">
        <f>++Tabla4[[#This Row],[U. Bruta Uni]]*Tabla4[[#This Row],[Cantidad]]</f>
        <v>#N/A</v>
      </c>
      <c r="T305" s="369" t="str">
        <f>VLOOKUP(Tabla4[[#This Row],[Producto]],Tabla6[#All],14,FALSE)</f>
        <v>Termico Solar</v>
      </c>
      <c r="U305" s="284" t="e">
        <f>(IF(Tabla4[[#This Row],[Familia]]="termico solar",Tabla4[[#This Row],[Utilidad Total]]*6%,Tabla4[[#This Row],[Utilidad Total]]*11.5%))/Tabla4[[#This Row],[Total]]</f>
        <v>#N/A</v>
      </c>
      <c r="V305" s="282" t="e">
        <f>+Tabla4[[#This Row],[Comisión Calculada]]*Tabla4[[#This Row],[Total]]</f>
        <v>#N/A</v>
      </c>
    </row>
    <row r="306" spans="1:22" hidden="1" x14ac:dyDescent="0.25">
      <c r="A306" s="100">
        <v>45688</v>
      </c>
      <c r="B306" t="str">
        <f t="shared" si="11"/>
        <v>January</v>
      </c>
      <c r="C306" s="46" t="s">
        <v>280</v>
      </c>
      <c r="F306" s="366" t="s">
        <v>827</v>
      </c>
      <c r="G306" s="46" t="s">
        <v>17</v>
      </c>
      <c r="H306" s="46">
        <v>2</v>
      </c>
      <c r="I306" s="51">
        <v>4622.28</v>
      </c>
      <c r="J306" s="281">
        <f>++Tabla4[[#This Row],[Precio Bruto]]*1.16</f>
        <v>5361.8447999999989</v>
      </c>
      <c r="K306" s="281">
        <f>+Tabla4[[#This Row],[Precio Unitario Neto]]*Tabla4[[#Headers],[20.85%]]</f>
        <v>1117.9446407999997</v>
      </c>
      <c r="L306" s="282">
        <f>++Tabla4[[#This Row],[Precio Unitario Neto]]-Tabla4[[#This Row],[20.85%]]</f>
        <v>4243.9001591999995</v>
      </c>
      <c r="M306" s="282" t="e">
        <f>(INDEX(Tabla6[#All],MATCH(Tabla4[[#This Row],[Producto]],Tabla6[[#All],[PRODUCTO]],0),MATCH(Tabla4[[#This Row],[Mes]],Tabla6[#Headers],0)))*(1+Catalogos!$L$2)</f>
        <v>#N/A</v>
      </c>
      <c r="N306" s="283" t="e">
        <f>+(Tabla4[[#This Row],[Precio Descontado]]-Tabla4[[#This Row],[Precio Base]])*Tabla4[[#This Row],[Cantidad]]</f>
        <v>#N/A</v>
      </c>
      <c r="O306" s="284" t="e">
        <f>++Tabla4[[#This Row],[Utilidad Total]]/Tabla4[[#This Row],[Total]]</f>
        <v>#N/A</v>
      </c>
      <c r="P306" s="282">
        <f>++Tabla4[[#This Row],[Precio Descontado]]*Tabla4[[#This Row],[Cantidad]]</f>
        <v>8487.800318399999</v>
      </c>
      <c r="Q306" s="282" t="e">
        <f>(INDEX(Tabla6[#All],MATCH(Tabla4[[#This Row],[Producto]],Tabla6[[#All],[PRODUCTO]],0),MATCH(Tabla4[[#This Row],[Mes]],Tabla6[#Headers],0)))</f>
        <v>#N/A</v>
      </c>
      <c r="R306" s="282" t="e">
        <f>++Tabla4[[#This Row],[Precio Unitario Neto]]-Tabla4[[#This Row],[20.85%]]-Tabla4[[#This Row],[Costo]]</f>
        <v>#N/A</v>
      </c>
      <c r="S306" s="282" t="e">
        <f>++Tabla4[[#This Row],[U. Bruta Uni]]*Tabla4[[#This Row],[Cantidad]]</f>
        <v>#N/A</v>
      </c>
      <c r="T306" s="369" t="str">
        <f>VLOOKUP(Tabla4[[#This Row],[Producto]],Tabla6[#All],14,FALSE)</f>
        <v>Termico Solar</v>
      </c>
      <c r="U306" s="284" t="e">
        <f>(IF(Tabla4[[#This Row],[Familia]]="termico solar",Tabla4[[#This Row],[Utilidad Total]]*6%,Tabla4[[#This Row],[Utilidad Total]]*11.5%))/Tabla4[[#This Row],[Total]]</f>
        <v>#N/A</v>
      </c>
      <c r="V306" s="282" t="e">
        <f>+Tabla4[[#This Row],[Comisión Calculada]]*Tabla4[[#This Row],[Total]]</f>
        <v>#N/A</v>
      </c>
    </row>
    <row r="307" spans="1:22" hidden="1" x14ac:dyDescent="0.25">
      <c r="A307" s="100">
        <v>45688</v>
      </c>
      <c r="B307" t="str">
        <f t="shared" si="11"/>
        <v>January</v>
      </c>
      <c r="C307" s="46" t="s">
        <v>280</v>
      </c>
      <c r="F307" s="366" t="s">
        <v>827</v>
      </c>
      <c r="G307" s="46" t="s">
        <v>19</v>
      </c>
      <c r="H307" s="46">
        <v>5</v>
      </c>
      <c r="I307" s="51">
        <v>6412.0300000000007</v>
      </c>
      <c r="J307" s="281">
        <f>++Tabla4[[#This Row],[Precio Bruto]]*1.16</f>
        <v>7437.9548000000004</v>
      </c>
      <c r="K307" s="281">
        <f>+Tabla4[[#This Row],[Precio Unitario Neto]]*Tabla4[[#Headers],[20.85%]]</f>
        <v>1550.8135758000001</v>
      </c>
      <c r="L307" s="282">
        <f>++Tabla4[[#This Row],[Precio Unitario Neto]]-Tabla4[[#This Row],[20.85%]]</f>
        <v>5887.1412242000006</v>
      </c>
      <c r="M307" s="282" t="e">
        <f>(INDEX(Tabla6[#All],MATCH(Tabla4[[#This Row],[Producto]],Tabla6[[#All],[PRODUCTO]],0),MATCH(Tabla4[[#This Row],[Mes]],Tabla6[#Headers],0)))*(1+Catalogos!$L$2)</f>
        <v>#N/A</v>
      </c>
      <c r="N307" s="283" t="e">
        <f>+(Tabla4[[#This Row],[Precio Descontado]]-Tabla4[[#This Row],[Precio Base]])*Tabla4[[#This Row],[Cantidad]]</f>
        <v>#N/A</v>
      </c>
      <c r="O307" s="284" t="e">
        <f>++Tabla4[[#This Row],[Utilidad Total]]/Tabla4[[#This Row],[Total]]</f>
        <v>#N/A</v>
      </c>
      <c r="P307" s="282">
        <f>++Tabla4[[#This Row],[Precio Descontado]]*Tabla4[[#This Row],[Cantidad]]</f>
        <v>29435.706121000003</v>
      </c>
      <c r="Q307" s="282" t="e">
        <f>(INDEX(Tabla6[#All],MATCH(Tabla4[[#This Row],[Producto]],Tabla6[[#All],[PRODUCTO]],0),MATCH(Tabla4[[#This Row],[Mes]],Tabla6[#Headers],0)))</f>
        <v>#N/A</v>
      </c>
      <c r="R307" s="282" t="e">
        <f>++Tabla4[[#This Row],[Precio Unitario Neto]]-Tabla4[[#This Row],[20.85%]]-Tabla4[[#This Row],[Costo]]</f>
        <v>#N/A</v>
      </c>
      <c r="S307" s="282" t="e">
        <f>++Tabla4[[#This Row],[U. Bruta Uni]]*Tabla4[[#This Row],[Cantidad]]</f>
        <v>#N/A</v>
      </c>
      <c r="T307" s="369" t="str">
        <f>VLOOKUP(Tabla4[[#This Row],[Producto]],Tabla6[#All],14,FALSE)</f>
        <v>Termico Solar</v>
      </c>
      <c r="U307" s="284" t="e">
        <f>(IF(Tabla4[[#This Row],[Familia]]="termico solar",Tabla4[[#This Row],[Utilidad Total]]*6%,Tabla4[[#This Row],[Utilidad Total]]*11.5%))/Tabla4[[#This Row],[Total]]</f>
        <v>#N/A</v>
      </c>
      <c r="V307" s="282" t="e">
        <f>+Tabla4[[#This Row],[Comisión Calculada]]*Tabla4[[#This Row],[Total]]</f>
        <v>#N/A</v>
      </c>
    </row>
    <row r="308" spans="1:22" hidden="1" x14ac:dyDescent="0.25">
      <c r="A308" s="100">
        <v>45688</v>
      </c>
      <c r="B308" t="str">
        <f t="shared" si="11"/>
        <v>January</v>
      </c>
      <c r="C308" s="46" t="s">
        <v>280</v>
      </c>
      <c r="F308" s="366" t="s">
        <v>827</v>
      </c>
      <c r="G308" s="46" t="s">
        <v>566</v>
      </c>
      <c r="H308" s="46">
        <v>1</v>
      </c>
      <c r="I308" s="51">
        <v>2109.4499999999998</v>
      </c>
      <c r="J308" s="281">
        <f>++Tabla4[[#This Row],[Precio Bruto]]*1.16</f>
        <v>2446.9619999999995</v>
      </c>
      <c r="K308" s="281">
        <f>+Tabla4[[#This Row],[Precio Unitario Neto]]*Tabla4[[#Headers],[20.85%]]</f>
        <v>510.19157699999988</v>
      </c>
      <c r="L308" s="282">
        <f>++Tabla4[[#This Row],[Precio Unitario Neto]]-Tabla4[[#This Row],[20.85%]]</f>
        <v>1936.7704229999997</v>
      </c>
      <c r="M308" s="282" t="e">
        <f>(INDEX(Tabla6[#All],MATCH(Tabla4[[#This Row],[Producto]],Tabla6[[#All],[PRODUCTO]],0),MATCH(Tabla4[[#This Row],[Mes]],Tabla6[#Headers],0)))*(1+Catalogos!$L$2)</f>
        <v>#N/A</v>
      </c>
      <c r="N308" s="283" t="e">
        <f>+(Tabla4[[#This Row],[Precio Descontado]]-Tabla4[[#This Row],[Precio Base]])*Tabla4[[#This Row],[Cantidad]]</f>
        <v>#N/A</v>
      </c>
      <c r="O308" s="284" t="e">
        <f>++Tabla4[[#This Row],[Utilidad Total]]/Tabla4[[#This Row],[Total]]</f>
        <v>#N/A</v>
      </c>
      <c r="P308" s="282">
        <f>++Tabla4[[#This Row],[Precio Descontado]]*Tabla4[[#This Row],[Cantidad]]</f>
        <v>1936.7704229999997</v>
      </c>
      <c r="Q308" s="282" t="e">
        <f>(INDEX(Tabla6[#All],MATCH(Tabla4[[#This Row],[Producto]],Tabla6[[#All],[PRODUCTO]],0),MATCH(Tabla4[[#This Row],[Mes]],Tabla6[#Headers],0)))</f>
        <v>#N/A</v>
      </c>
      <c r="R308" s="282" t="e">
        <f>++Tabla4[[#This Row],[Precio Unitario Neto]]-Tabla4[[#This Row],[20.85%]]-Tabla4[[#This Row],[Costo]]</f>
        <v>#N/A</v>
      </c>
      <c r="S308" s="282" t="e">
        <f>++Tabla4[[#This Row],[U. Bruta Uni]]*Tabla4[[#This Row],[Cantidad]]</f>
        <v>#N/A</v>
      </c>
      <c r="T308" s="369" t="str">
        <f>VLOOKUP(Tabla4[[#This Row],[Producto]],Tabla6[#All],14,FALSE)</f>
        <v>Termico Solar</v>
      </c>
      <c r="U308" s="284" t="e">
        <f>(IF(Tabla4[[#This Row],[Familia]]="termico solar",Tabla4[[#This Row],[Utilidad Total]]*6%,Tabla4[[#This Row],[Utilidad Total]]*11.5%))/Tabla4[[#This Row],[Total]]</f>
        <v>#N/A</v>
      </c>
      <c r="V308" s="282" t="e">
        <f>+Tabla4[[#This Row],[Comisión Calculada]]*Tabla4[[#This Row],[Total]]</f>
        <v>#N/A</v>
      </c>
    </row>
    <row r="309" spans="1:22" hidden="1" x14ac:dyDescent="0.25">
      <c r="A309" s="100">
        <v>45688</v>
      </c>
      <c r="B309" t="str">
        <f t="shared" si="11"/>
        <v>January</v>
      </c>
      <c r="C309" s="46" t="s">
        <v>280</v>
      </c>
      <c r="F309" s="366" t="s">
        <v>827</v>
      </c>
      <c r="G309" s="46" t="s">
        <v>208</v>
      </c>
      <c r="H309" s="46">
        <v>4</v>
      </c>
      <c r="I309" s="51">
        <v>189.75</v>
      </c>
      <c r="J309" s="281">
        <f>++Tabla4[[#This Row],[Precio Bruto]]*1.16</f>
        <v>220.10999999999999</v>
      </c>
      <c r="K309" s="281">
        <f>+Tabla4[[#This Row],[Precio Unitario Neto]]*Tabla4[[#Headers],[20.85%]]</f>
        <v>45.892934999999994</v>
      </c>
      <c r="L309" s="282">
        <f>++Tabla4[[#This Row],[Precio Unitario Neto]]-Tabla4[[#This Row],[20.85%]]</f>
        <v>174.21706499999999</v>
      </c>
      <c r="M309" s="282" t="e">
        <f>(INDEX(Tabla6[#All],MATCH(Tabla4[[#This Row],[Producto]],Tabla6[[#All],[PRODUCTO]],0),MATCH(Tabla4[[#This Row],[Mes]],Tabla6[#Headers],0)))*(1+Catalogos!$L$2)</f>
        <v>#N/A</v>
      </c>
      <c r="N309" s="283" t="e">
        <f>+(Tabla4[[#This Row],[Precio Descontado]]-Tabla4[[#This Row],[Precio Base]])*Tabla4[[#This Row],[Cantidad]]</f>
        <v>#N/A</v>
      </c>
      <c r="O309" s="284" t="e">
        <f>++Tabla4[[#This Row],[Utilidad Total]]/Tabla4[[#This Row],[Total]]</f>
        <v>#N/A</v>
      </c>
      <c r="P309" s="282">
        <f>++Tabla4[[#This Row],[Precio Descontado]]*Tabla4[[#This Row],[Cantidad]]</f>
        <v>696.86825999999996</v>
      </c>
      <c r="Q309" s="282" t="e">
        <f>(INDEX(Tabla6[#All],MATCH(Tabla4[[#This Row],[Producto]],Tabla6[[#All],[PRODUCTO]],0),MATCH(Tabla4[[#This Row],[Mes]],Tabla6[#Headers],0)))</f>
        <v>#N/A</v>
      </c>
      <c r="R309" s="282" t="e">
        <f>++Tabla4[[#This Row],[Precio Unitario Neto]]-Tabla4[[#This Row],[20.85%]]-Tabla4[[#This Row],[Costo]]</f>
        <v>#N/A</v>
      </c>
      <c r="S309" s="282" t="e">
        <f>++Tabla4[[#This Row],[U. Bruta Uni]]*Tabla4[[#This Row],[Cantidad]]</f>
        <v>#N/A</v>
      </c>
      <c r="T309" s="369" t="str">
        <f>VLOOKUP(Tabla4[[#This Row],[Producto]],Tabla6[#All],14,FALSE)</f>
        <v>Termico Solar</v>
      </c>
      <c r="U309" s="284" t="e">
        <f>(IF(Tabla4[[#This Row],[Familia]]="termico solar",Tabla4[[#This Row],[Utilidad Total]]*6%,Tabla4[[#This Row],[Utilidad Total]]*11.5%))/Tabla4[[#This Row],[Total]]</f>
        <v>#N/A</v>
      </c>
      <c r="V309" s="282" t="e">
        <f>+Tabla4[[#This Row],[Comisión Calculada]]*Tabla4[[#This Row],[Total]]</f>
        <v>#N/A</v>
      </c>
    </row>
    <row r="310" spans="1:22" hidden="1" x14ac:dyDescent="0.25">
      <c r="A310" s="100">
        <v>45688</v>
      </c>
      <c r="B310" t="str">
        <f t="shared" si="11"/>
        <v>January</v>
      </c>
      <c r="C310" s="46" t="s">
        <v>280</v>
      </c>
      <c r="F310" s="366" t="s">
        <v>828</v>
      </c>
      <c r="G310" s="46" t="s">
        <v>18</v>
      </c>
      <c r="H310" s="46">
        <v>2</v>
      </c>
      <c r="I310" s="51">
        <v>5367.65</v>
      </c>
      <c r="J310" s="281">
        <f>++Tabla4[[#This Row],[Precio Bruto]]*1.16</f>
        <v>6226.4739999999993</v>
      </c>
      <c r="K310" s="281">
        <f>+Tabla4[[#This Row],[Precio Unitario Neto]]*Tabla4[[#Headers],[20.85%]]</f>
        <v>1298.2198289999999</v>
      </c>
      <c r="L310" s="282">
        <f>++Tabla4[[#This Row],[Precio Unitario Neto]]-Tabla4[[#This Row],[20.85%]]</f>
        <v>4928.2541709999996</v>
      </c>
      <c r="M310" s="282" t="e">
        <f>(INDEX(Tabla6[#All],MATCH(Tabla4[[#This Row],[Producto]],Tabla6[[#All],[PRODUCTO]],0),MATCH(Tabla4[[#This Row],[Mes]],Tabla6[#Headers],0)))*(1+Catalogos!$L$2)</f>
        <v>#N/A</v>
      </c>
      <c r="N310" s="283" t="e">
        <f>+(Tabla4[[#This Row],[Precio Descontado]]-Tabla4[[#This Row],[Precio Base]])*Tabla4[[#This Row],[Cantidad]]</f>
        <v>#N/A</v>
      </c>
      <c r="O310" s="284" t="e">
        <f>++Tabla4[[#This Row],[Utilidad Total]]/Tabla4[[#This Row],[Total]]</f>
        <v>#N/A</v>
      </c>
      <c r="P310" s="282">
        <f>++Tabla4[[#This Row],[Precio Descontado]]*Tabla4[[#This Row],[Cantidad]]</f>
        <v>9856.5083419999992</v>
      </c>
      <c r="Q310" s="282" t="e">
        <f>(INDEX(Tabla6[#All],MATCH(Tabla4[[#This Row],[Producto]],Tabla6[[#All],[PRODUCTO]],0),MATCH(Tabla4[[#This Row],[Mes]],Tabla6[#Headers],0)))</f>
        <v>#N/A</v>
      </c>
      <c r="R310" s="282" t="e">
        <f>++Tabla4[[#This Row],[Precio Unitario Neto]]-Tabla4[[#This Row],[20.85%]]-Tabla4[[#This Row],[Costo]]</f>
        <v>#N/A</v>
      </c>
      <c r="S310" s="282" t="e">
        <f>++Tabla4[[#This Row],[U. Bruta Uni]]*Tabla4[[#This Row],[Cantidad]]</f>
        <v>#N/A</v>
      </c>
      <c r="T310" s="369" t="str">
        <f>VLOOKUP(Tabla4[[#This Row],[Producto]],Tabla6[#All],14,FALSE)</f>
        <v>Termico Solar</v>
      </c>
      <c r="U310" s="284" t="e">
        <f>(IF(Tabla4[[#This Row],[Familia]]="termico solar",Tabla4[[#This Row],[Utilidad Total]]*6%,Tabla4[[#This Row],[Utilidad Total]]*11.5%))/Tabla4[[#This Row],[Total]]</f>
        <v>#N/A</v>
      </c>
      <c r="V310" s="282" t="e">
        <f>+Tabla4[[#This Row],[Comisión Calculada]]*Tabla4[[#This Row],[Total]]</f>
        <v>#N/A</v>
      </c>
    </row>
    <row r="311" spans="1:22" hidden="1" x14ac:dyDescent="0.25">
      <c r="A311" s="100">
        <v>45688</v>
      </c>
      <c r="B311" t="str">
        <f t="shared" si="11"/>
        <v>January</v>
      </c>
      <c r="C311" s="46" t="s">
        <v>280</v>
      </c>
      <c r="F311" s="366" t="s">
        <v>828</v>
      </c>
      <c r="G311" s="46" t="s">
        <v>20</v>
      </c>
      <c r="H311" s="46">
        <v>2</v>
      </c>
      <c r="I311" s="51">
        <v>7751.98</v>
      </c>
      <c r="J311" s="281">
        <f>++Tabla4[[#This Row],[Precio Bruto]]*1.16</f>
        <v>8992.2967999999983</v>
      </c>
      <c r="K311" s="281">
        <f>+Tabla4[[#This Row],[Precio Unitario Neto]]*Tabla4[[#Headers],[20.85%]]</f>
        <v>1874.8938827999996</v>
      </c>
      <c r="L311" s="282">
        <f>++Tabla4[[#This Row],[Precio Unitario Neto]]-Tabla4[[#This Row],[20.85%]]</f>
        <v>7117.4029171999991</v>
      </c>
      <c r="M311" s="282" t="e">
        <f>(INDEX(Tabla6[#All],MATCH(Tabla4[[#This Row],[Producto]],Tabla6[[#All],[PRODUCTO]],0),MATCH(Tabla4[[#This Row],[Mes]],Tabla6[#Headers],0)))*(1+Catalogos!$L$2)</f>
        <v>#N/A</v>
      </c>
      <c r="N311" s="283" t="e">
        <f>+(Tabla4[[#This Row],[Precio Descontado]]-Tabla4[[#This Row],[Precio Base]])*Tabla4[[#This Row],[Cantidad]]</f>
        <v>#N/A</v>
      </c>
      <c r="O311" s="284" t="e">
        <f>++Tabla4[[#This Row],[Utilidad Total]]/Tabla4[[#This Row],[Total]]</f>
        <v>#N/A</v>
      </c>
      <c r="P311" s="282">
        <f>++Tabla4[[#This Row],[Precio Descontado]]*Tabla4[[#This Row],[Cantidad]]</f>
        <v>14234.805834399998</v>
      </c>
      <c r="Q311" s="282" t="e">
        <f>(INDEX(Tabla6[#All],MATCH(Tabla4[[#This Row],[Producto]],Tabla6[[#All],[PRODUCTO]],0),MATCH(Tabla4[[#This Row],[Mes]],Tabla6[#Headers],0)))</f>
        <v>#N/A</v>
      </c>
      <c r="R311" s="282" t="e">
        <f>++Tabla4[[#This Row],[Precio Unitario Neto]]-Tabla4[[#This Row],[20.85%]]-Tabla4[[#This Row],[Costo]]</f>
        <v>#N/A</v>
      </c>
      <c r="S311" s="282" t="e">
        <f>++Tabla4[[#This Row],[U. Bruta Uni]]*Tabla4[[#This Row],[Cantidad]]</f>
        <v>#N/A</v>
      </c>
      <c r="T311" s="369" t="str">
        <f>VLOOKUP(Tabla4[[#This Row],[Producto]],Tabla6[#All],14,FALSE)</f>
        <v>Termico Solar</v>
      </c>
      <c r="U311" s="284" t="e">
        <f>(IF(Tabla4[[#This Row],[Familia]]="termico solar",Tabla4[[#This Row],[Utilidad Total]]*6%,Tabla4[[#This Row],[Utilidad Total]]*11.5%))/Tabla4[[#This Row],[Total]]</f>
        <v>#N/A</v>
      </c>
      <c r="V311" s="282" t="e">
        <f>+Tabla4[[#This Row],[Comisión Calculada]]*Tabla4[[#This Row],[Total]]</f>
        <v>#N/A</v>
      </c>
    </row>
    <row r="312" spans="1:22" hidden="1" x14ac:dyDescent="0.25">
      <c r="A312" s="100">
        <v>45688</v>
      </c>
      <c r="B312" t="str">
        <f t="shared" si="11"/>
        <v>January</v>
      </c>
      <c r="C312" s="46" t="s">
        <v>280</v>
      </c>
      <c r="F312" s="366" t="s">
        <v>829</v>
      </c>
      <c r="G312" s="46" t="s">
        <v>18</v>
      </c>
      <c r="H312" s="46">
        <v>2</v>
      </c>
      <c r="I312" s="51">
        <v>5367.65</v>
      </c>
      <c r="J312" s="281">
        <f>++Tabla4[[#This Row],[Precio Bruto]]*1.16</f>
        <v>6226.4739999999993</v>
      </c>
      <c r="K312" s="281">
        <f>+Tabla4[[#This Row],[Precio Unitario Neto]]*Tabla4[[#Headers],[20.85%]]</f>
        <v>1298.2198289999999</v>
      </c>
      <c r="L312" s="282">
        <f>++Tabla4[[#This Row],[Precio Unitario Neto]]-Tabla4[[#This Row],[20.85%]]</f>
        <v>4928.2541709999996</v>
      </c>
      <c r="M312" s="282" t="e">
        <f>(INDEX(Tabla6[#All],MATCH(Tabla4[[#This Row],[Producto]],Tabla6[[#All],[PRODUCTO]],0),MATCH(Tabla4[[#This Row],[Mes]],Tabla6[#Headers],0)))*(1+Catalogos!$L$2)</f>
        <v>#N/A</v>
      </c>
      <c r="N312" s="283" t="e">
        <f>+(Tabla4[[#This Row],[Precio Descontado]]-Tabla4[[#This Row],[Precio Base]])*Tabla4[[#This Row],[Cantidad]]</f>
        <v>#N/A</v>
      </c>
      <c r="O312" s="284" t="e">
        <f>++Tabla4[[#This Row],[Utilidad Total]]/Tabla4[[#This Row],[Total]]</f>
        <v>#N/A</v>
      </c>
      <c r="P312" s="282">
        <f>++Tabla4[[#This Row],[Precio Descontado]]*Tabla4[[#This Row],[Cantidad]]</f>
        <v>9856.5083419999992</v>
      </c>
      <c r="Q312" s="282" t="e">
        <f>(INDEX(Tabla6[#All],MATCH(Tabla4[[#This Row],[Producto]],Tabla6[[#All],[PRODUCTO]],0),MATCH(Tabla4[[#This Row],[Mes]],Tabla6[#Headers],0)))</f>
        <v>#N/A</v>
      </c>
      <c r="R312" s="282" t="e">
        <f>++Tabla4[[#This Row],[Precio Unitario Neto]]-Tabla4[[#This Row],[20.85%]]-Tabla4[[#This Row],[Costo]]</f>
        <v>#N/A</v>
      </c>
      <c r="S312" s="282" t="e">
        <f>++Tabla4[[#This Row],[U. Bruta Uni]]*Tabla4[[#This Row],[Cantidad]]</f>
        <v>#N/A</v>
      </c>
      <c r="T312" s="369" t="str">
        <f>VLOOKUP(Tabla4[[#This Row],[Producto]],Tabla6[#All],14,FALSE)</f>
        <v>Termico Solar</v>
      </c>
      <c r="U312" s="284" t="e">
        <f>(IF(Tabla4[[#This Row],[Familia]]="termico solar",Tabla4[[#This Row],[Utilidad Total]]*6%,Tabla4[[#This Row],[Utilidad Total]]*11.5%))/Tabla4[[#This Row],[Total]]</f>
        <v>#N/A</v>
      </c>
      <c r="V312" s="282" t="e">
        <f>+Tabla4[[#This Row],[Comisión Calculada]]*Tabla4[[#This Row],[Total]]</f>
        <v>#N/A</v>
      </c>
    </row>
    <row r="313" spans="1:22" hidden="1" x14ac:dyDescent="0.25">
      <c r="A313" s="100">
        <v>45688</v>
      </c>
      <c r="B313" t="str">
        <f t="shared" si="11"/>
        <v>January</v>
      </c>
      <c r="C313" s="46" t="s">
        <v>280</v>
      </c>
      <c r="F313" s="366" t="s">
        <v>829</v>
      </c>
      <c r="G313" s="46" t="s">
        <v>566</v>
      </c>
      <c r="H313" s="46">
        <v>1</v>
      </c>
      <c r="I313" s="51">
        <v>2109.4499999999998</v>
      </c>
      <c r="J313" s="281">
        <f>++Tabla4[[#This Row],[Precio Bruto]]*1.16</f>
        <v>2446.9619999999995</v>
      </c>
      <c r="K313" s="281">
        <f>+Tabla4[[#This Row],[Precio Unitario Neto]]*Tabla4[[#Headers],[20.85%]]</f>
        <v>510.19157699999988</v>
      </c>
      <c r="L313" s="282">
        <f>++Tabla4[[#This Row],[Precio Unitario Neto]]-Tabla4[[#This Row],[20.85%]]</f>
        <v>1936.7704229999997</v>
      </c>
      <c r="M313" s="282" t="e">
        <f>(INDEX(Tabla6[#All],MATCH(Tabla4[[#This Row],[Producto]],Tabla6[[#All],[PRODUCTO]],0),MATCH(Tabla4[[#This Row],[Mes]],Tabla6[#Headers],0)))*(1+Catalogos!$L$2)</f>
        <v>#N/A</v>
      </c>
      <c r="N313" s="283" t="e">
        <f>+(Tabla4[[#This Row],[Precio Descontado]]-Tabla4[[#This Row],[Precio Base]])*Tabla4[[#This Row],[Cantidad]]</f>
        <v>#N/A</v>
      </c>
      <c r="O313" s="284" t="e">
        <f>++Tabla4[[#This Row],[Utilidad Total]]/Tabla4[[#This Row],[Total]]</f>
        <v>#N/A</v>
      </c>
      <c r="P313" s="282">
        <f>++Tabla4[[#This Row],[Precio Descontado]]*Tabla4[[#This Row],[Cantidad]]</f>
        <v>1936.7704229999997</v>
      </c>
      <c r="Q313" s="282" t="e">
        <f>(INDEX(Tabla6[#All],MATCH(Tabla4[[#This Row],[Producto]],Tabla6[[#All],[PRODUCTO]],0),MATCH(Tabla4[[#This Row],[Mes]],Tabla6[#Headers],0)))</f>
        <v>#N/A</v>
      </c>
      <c r="R313" s="282" t="e">
        <f>++Tabla4[[#This Row],[Precio Unitario Neto]]-Tabla4[[#This Row],[20.85%]]-Tabla4[[#This Row],[Costo]]</f>
        <v>#N/A</v>
      </c>
      <c r="S313" s="282" t="e">
        <f>++Tabla4[[#This Row],[U. Bruta Uni]]*Tabla4[[#This Row],[Cantidad]]</f>
        <v>#N/A</v>
      </c>
      <c r="T313" s="369" t="str">
        <f>VLOOKUP(Tabla4[[#This Row],[Producto]],Tabla6[#All],14,FALSE)</f>
        <v>Termico Solar</v>
      </c>
      <c r="U313" s="284" t="e">
        <f>(IF(Tabla4[[#This Row],[Familia]]="termico solar",Tabla4[[#This Row],[Utilidad Total]]*6%,Tabla4[[#This Row],[Utilidad Total]]*11.5%))/Tabla4[[#This Row],[Total]]</f>
        <v>#N/A</v>
      </c>
      <c r="V313" s="282" t="e">
        <f>+Tabla4[[#This Row],[Comisión Calculada]]*Tabla4[[#This Row],[Total]]</f>
        <v>#N/A</v>
      </c>
    </row>
    <row r="314" spans="1:22" hidden="1" x14ac:dyDescent="0.25">
      <c r="A314" s="100">
        <v>45688</v>
      </c>
      <c r="B314" t="str">
        <f t="shared" si="11"/>
        <v>January</v>
      </c>
      <c r="C314" s="46" t="s">
        <v>280</v>
      </c>
      <c r="F314" s="366" t="s">
        <v>830</v>
      </c>
      <c r="G314" s="46" t="s">
        <v>18</v>
      </c>
      <c r="H314" s="46">
        <v>4</v>
      </c>
      <c r="I314" s="51">
        <v>5367.65</v>
      </c>
      <c r="J314" s="281">
        <f>++Tabla4[[#This Row],[Precio Bruto]]*1.16</f>
        <v>6226.4739999999993</v>
      </c>
      <c r="K314" s="281">
        <f>+Tabla4[[#This Row],[Precio Unitario Neto]]*Tabla4[[#Headers],[20.85%]]</f>
        <v>1298.2198289999999</v>
      </c>
      <c r="L314" s="282">
        <f>++Tabla4[[#This Row],[Precio Unitario Neto]]-Tabla4[[#This Row],[20.85%]]</f>
        <v>4928.2541709999996</v>
      </c>
      <c r="M314" s="282" t="e">
        <f>(INDEX(Tabla6[#All],MATCH(Tabla4[[#This Row],[Producto]],Tabla6[[#All],[PRODUCTO]],0),MATCH(Tabla4[[#This Row],[Mes]],Tabla6[#Headers],0)))*(1+Catalogos!$L$2)</f>
        <v>#N/A</v>
      </c>
      <c r="N314" s="283" t="e">
        <f>+(Tabla4[[#This Row],[Precio Descontado]]-Tabla4[[#This Row],[Precio Base]])*Tabla4[[#This Row],[Cantidad]]</f>
        <v>#N/A</v>
      </c>
      <c r="O314" s="284" t="e">
        <f>++Tabla4[[#This Row],[Utilidad Total]]/Tabla4[[#This Row],[Total]]</f>
        <v>#N/A</v>
      </c>
      <c r="P314" s="282">
        <f>++Tabla4[[#This Row],[Precio Descontado]]*Tabla4[[#This Row],[Cantidad]]</f>
        <v>19713.016683999998</v>
      </c>
      <c r="Q314" s="282" t="e">
        <f>(INDEX(Tabla6[#All],MATCH(Tabla4[[#This Row],[Producto]],Tabla6[[#All],[PRODUCTO]],0),MATCH(Tabla4[[#This Row],[Mes]],Tabla6[#Headers],0)))</f>
        <v>#N/A</v>
      </c>
      <c r="R314" s="282" t="e">
        <f>++Tabla4[[#This Row],[Precio Unitario Neto]]-Tabla4[[#This Row],[20.85%]]-Tabla4[[#This Row],[Costo]]</f>
        <v>#N/A</v>
      </c>
      <c r="S314" s="282" t="e">
        <f>++Tabla4[[#This Row],[U. Bruta Uni]]*Tabla4[[#This Row],[Cantidad]]</f>
        <v>#N/A</v>
      </c>
      <c r="T314" s="369" t="str">
        <f>VLOOKUP(Tabla4[[#This Row],[Producto]],Tabla6[#All],14,FALSE)</f>
        <v>Termico Solar</v>
      </c>
      <c r="U314" s="284" t="e">
        <f>(IF(Tabla4[[#This Row],[Familia]]="termico solar",Tabla4[[#This Row],[Utilidad Total]]*6%,Tabla4[[#This Row],[Utilidad Total]]*11.5%))/Tabla4[[#This Row],[Total]]</f>
        <v>#N/A</v>
      </c>
      <c r="V314" s="282" t="e">
        <f>+Tabla4[[#This Row],[Comisión Calculada]]*Tabla4[[#This Row],[Total]]</f>
        <v>#N/A</v>
      </c>
    </row>
    <row r="315" spans="1:22" hidden="1" x14ac:dyDescent="0.25">
      <c r="A315" s="100">
        <v>45688</v>
      </c>
      <c r="B315" t="str">
        <f t="shared" si="11"/>
        <v>January</v>
      </c>
      <c r="C315" s="46" t="s">
        <v>280</v>
      </c>
      <c r="F315" s="366" t="s">
        <v>830</v>
      </c>
      <c r="G315" s="46" t="s">
        <v>16</v>
      </c>
      <c r="H315" s="46">
        <v>4</v>
      </c>
      <c r="I315" s="51">
        <v>4103.8500000000004</v>
      </c>
      <c r="J315" s="281">
        <f>++Tabla4[[#This Row],[Precio Bruto]]*1.16</f>
        <v>4760.4660000000003</v>
      </c>
      <c r="K315" s="281">
        <f>+Tabla4[[#This Row],[Precio Unitario Neto]]*Tabla4[[#Headers],[20.85%]]</f>
        <v>992.55716100000006</v>
      </c>
      <c r="L315" s="282">
        <f>++Tabla4[[#This Row],[Precio Unitario Neto]]-Tabla4[[#This Row],[20.85%]]</f>
        <v>3767.9088390000002</v>
      </c>
      <c r="M315" s="282" t="e">
        <f>(INDEX(Tabla6[#All],MATCH(Tabla4[[#This Row],[Producto]],Tabla6[[#All],[PRODUCTO]],0),MATCH(Tabla4[[#This Row],[Mes]],Tabla6[#Headers],0)))*(1+Catalogos!$L$2)</f>
        <v>#N/A</v>
      </c>
      <c r="N315" s="283" t="e">
        <f>+(Tabla4[[#This Row],[Precio Descontado]]-Tabla4[[#This Row],[Precio Base]])*Tabla4[[#This Row],[Cantidad]]</f>
        <v>#N/A</v>
      </c>
      <c r="O315" s="284" t="e">
        <f>++Tabla4[[#This Row],[Utilidad Total]]/Tabla4[[#This Row],[Total]]</f>
        <v>#N/A</v>
      </c>
      <c r="P315" s="282">
        <f>++Tabla4[[#This Row],[Precio Descontado]]*Tabla4[[#This Row],[Cantidad]]</f>
        <v>15071.635356000001</v>
      </c>
      <c r="Q315" s="282" t="e">
        <f>(INDEX(Tabla6[#All],MATCH(Tabla4[[#This Row],[Producto]],Tabla6[[#All],[PRODUCTO]],0),MATCH(Tabla4[[#This Row],[Mes]],Tabla6[#Headers],0)))</f>
        <v>#N/A</v>
      </c>
      <c r="R315" s="282" t="e">
        <f>++Tabla4[[#This Row],[Precio Unitario Neto]]-Tabla4[[#This Row],[20.85%]]-Tabla4[[#This Row],[Costo]]</f>
        <v>#N/A</v>
      </c>
      <c r="S315" s="282" t="e">
        <f>++Tabla4[[#This Row],[U. Bruta Uni]]*Tabla4[[#This Row],[Cantidad]]</f>
        <v>#N/A</v>
      </c>
      <c r="T315" s="369" t="str">
        <f>VLOOKUP(Tabla4[[#This Row],[Producto]],Tabla6[#All],14,FALSE)</f>
        <v>Termico Solar</v>
      </c>
      <c r="U315" s="284" t="e">
        <f>(IF(Tabla4[[#This Row],[Familia]]="termico solar",Tabla4[[#This Row],[Utilidad Total]]*6%,Tabla4[[#This Row],[Utilidad Total]]*11.5%))/Tabla4[[#This Row],[Total]]</f>
        <v>#N/A</v>
      </c>
      <c r="V315" s="282" t="e">
        <f>+Tabla4[[#This Row],[Comisión Calculada]]*Tabla4[[#This Row],[Total]]</f>
        <v>#N/A</v>
      </c>
    </row>
    <row r="316" spans="1:22" hidden="1" x14ac:dyDescent="0.25">
      <c r="A316" s="100">
        <v>45688</v>
      </c>
      <c r="B316" t="str">
        <f t="shared" ref="B316:B369" si="12">TEXT(A316, "mmmm")</f>
        <v>January</v>
      </c>
      <c r="C316" s="46" t="s">
        <v>280</v>
      </c>
      <c r="F316" s="366" t="s">
        <v>831</v>
      </c>
      <c r="G316" s="46" t="s">
        <v>18</v>
      </c>
      <c r="H316" s="46">
        <v>2</v>
      </c>
      <c r="I316" s="51">
        <v>5367.65</v>
      </c>
      <c r="J316" s="281">
        <f>++Tabla4[[#This Row],[Precio Bruto]]*1.16</f>
        <v>6226.4739999999993</v>
      </c>
      <c r="K316" s="281">
        <f>+Tabla4[[#This Row],[Precio Unitario Neto]]*Tabla4[[#Headers],[20.85%]]</f>
        <v>1298.2198289999999</v>
      </c>
      <c r="L316" s="282">
        <f>++Tabla4[[#This Row],[Precio Unitario Neto]]-Tabla4[[#This Row],[20.85%]]</f>
        <v>4928.2541709999996</v>
      </c>
      <c r="M316" s="282" t="e">
        <f>(INDEX(Tabla6[#All],MATCH(Tabla4[[#This Row],[Producto]],Tabla6[[#All],[PRODUCTO]],0),MATCH(Tabla4[[#This Row],[Mes]],Tabla6[#Headers],0)))*(1+Catalogos!$L$2)</f>
        <v>#N/A</v>
      </c>
      <c r="N316" s="283" t="e">
        <f>+(Tabla4[[#This Row],[Precio Descontado]]-Tabla4[[#This Row],[Precio Base]])*Tabla4[[#This Row],[Cantidad]]</f>
        <v>#N/A</v>
      </c>
      <c r="O316" s="284" t="e">
        <f>++Tabla4[[#This Row],[Utilidad Total]]/Tabla4[[#This Row],[Total]]</f>
        <v>#N/A</v>
      </c>
      <c r="P316" s="282">
        <f>++Tabla4[[#This Row],[Precio Descontado]]*Tabla4[[#This Row],[Cantidad]]</f>
        <v>9856.5083419999992</v>
      </c>
      <c r="Q316" s="282" t="e">
        <f>(INDEX(Tabla6[#All],MATCH(Tabla4[[#This Row],[Producto]],Tabla6[[#All],[PRODUCTO]],0),MATCH(Tabla4[[#This Row],[Mes]],Tabla6[#Headers],0)))</f>
        <v>#N/A</v>
      </c>
      <c r="R316" s="282" t="e">
        <f>++Tabla4[[#This Row],[Precio Unitario Neto]]-Tabla4[[#This Row],[20.85%]]-Tabla4[[#This Row],[Costo]]</f>
        <v>#N/A</v>
      </c>
      <c r="S316" s="282" t="e">
        <f>++Tabla4[[#This Row],[U. Bruta Uni]]*Tabla4[[#This Row],[Cantidad]]</f>
        <v>#N/A</v>
      </c>
      <c r="T316" s="369" t="str">
        <f>VLOOKUP(Tabla4[[#This Row],[Producto]],Tabla6[#All],14,FALSE)</f>
        <v>Termico Solar</v>
      </c>
      <c r="U316" s="284" t="e">
        <f>(IF(Tabla4[[#This Row],[Familia]]="termico solar",Tabla4[[#This Row],[Utilidad Total]]*6%,Tabla4[[#This Row],[Utilidad Total]]*11.5%))/Tabla4[[#This Row],[Total]]</f>
        <v>#N/A</v>
      </c>
      <c r="V316" s="282" t="e">
        <f>+Tabla4[[#This Row],[Comisión Calculada]]*Tabla4[[#This Row],[Total]]</f>
        <v>#N/A</v>
      </c>
    </row>
    <row r="317" spans="1:22" hidden="1" x14ac:dyDescent="0.25">
      <c r="A317" s="100">
        <v>45688</v>
      </c>
      <c r="B317" t="str">
        <f t="shared" si="12"/>
        <v>January</v>
      </c>
      <c r="C317" s="46" t="s">
        <v>280</v>
      </c>
      <c r="F317" s="366" t="s">
        <v>832</v>
      </c>
      <c r="G317" s="46" t="s">
        <v>17</v>
      </c>
      <c r="H317" s="46">
        <v>2</v>
      </c>
      <c r="I317" s="51">
        <v>4622.28</v>
      </c>
      <c r="J317" s="281">
        <f>++Tabla4[[#This Row],[Precio Bruto]]*1.16</f>
        <v>5361.8447999999989</v>
      </c>
      <c r="K317" s="281">
        <f>+Tabla4[[#This Row],[Precio Unitario Neto]]*Tabla4[[#Headers],[20.85%]]</f>
        <v>1117.9446407999997</v>
      </c>
      <c r="L317" s="282">
        <f>++Tabla4[[#This Row],[Precio Unitario Neto]]-Tabla4[[#This Row],[20.85%]]</f>
        <v>4243.9001591999995</v>
      </c>
      <c r="M317" s="282" t="e">
        <f>(INDEX(Tabla6[#All],MATCH(Tabla4[[#This Row],[Producto]],Tabla6[[#All],[PRODUCTO]],0),MATCH(Tabla4[[#This Row],[Mes]],Tabla6[#Headers],0)))*(1+Catalogos!$L$2)</f>
        <v>#N/A</v>
      </c>
      <c r="N317" s="283" t="e">
        <f>+(Tabla4[[#This Row],[Precio Descontado]]-Tabla4[[#This Row],[Precio Base]])*Tabla4[[#This Row],[Cantidad]]</f>
        <v>#N/A</v>
      </c>
      <c r="O317" s="284" t="e">
        <f>++Tabla4[[#This Row],[Utilidad Total]]/Tabla4[[#This Row],[Total]]</f>
        <v>#N/A</v>
      </c>
      <c r="P317" s="282">
        <f>++Tabla4[[#This Row],[Precio Descontado]]*Tabla4[[#This Row],[Cantidad]]</f>
        <v>8487.800318399999</v>
      </c>
      <c r="Q317" s="282" t="e">
        <f>(INDEX(Tabla6[#All],MATCH(Tabla4[[#This Row],[Producto]],Tabla6[[#All],[PRODUCTO]],0),MATCH(Tabla4[[#This Row],[Mes]],Tabla6[#Headers],0)))</f>
        <v>#N/A</v>
      </c>
      <c r="R317" s="282" t="e">
        <f>++Tabla4[[#This Row],[Precio Unitario Neto]]-Tabla4[[#This Row],[20.85%]]-Tabla4[[#This Row],[Costo]]</f>
        <v>#N/A</v>
      </c>
      <c r="S317" s="282" t="e">
        <f>++Tabla4[[#This Row],[U. Bruta Uni]]*Tabla4[[#This Row],[Cantidad]]</f>
        <v>#N/A</v>
      </c>
      <c r="T317" s="369" t="str">
        <f>VLOOKUP(Tabla4[[#This Row],[Producto]],Tabla6[#All],14,FALSE)</f>
        <v>Termico Solar</v>
      </c>
      <c r="U317" s="284" t="e">
        <f>(IF(Tabla4[[#This Row],[Familia]]="termico solar",Tabla4[[#This Row],[Utilidad Total]]*6%,Tabla4[[#This Row],[Utilidad Total]]*11.5%))/Tabla4[[#This Row],[Total]]</f>
        <v>#N/A</v>
      </c>
      <c r="V317" s="282" t="e">
        <f>+Tabla4[[#This Row],[Comisión Calculada]]*Tabla4[[#This Row],[Total]]</f>
        <v>#N/A</v>
      </c>
    </row>
    <row r="318" spans="1:22" hidden="1" x14ac:dyDescent="0.25">
      <c r="A318" s="100">
        <v>45688</v>
      </c>
      <c r="B318" t="str">
        <f t="shared" si="12"/>
        <v>January</v>
      </c>
      <c r="C318" s="46" t="s">
        <v>280</v>
      </c>
      <c r="F318" s="366" t="s">
        <v>832</v>
      </c>
      <c r="G318" s="46" t="s">
        <v>19</v>
      </c>
      <c r="H318" s="46">
        <v>4</v>
      </c>
      <c r="I318" s="51">
        <v>6412.03</v>
      </c>
      <c r="J318" s="281">
        <f>++Tabla4[[#This Row],[Precio Bruto]]*1.16</f>
        <v>7437.9547999999995</v>
      </c>
      <c r="K318" s="281">
        <f>+Tabla4[[#This Row],[Precio Unitario Neto]]*Tabla4[[#Headers],[20.85%]]</f>
        <v>1550.8135757999999</v>
      </c>
      <c r="L318" s="282">
        <f>++Tabla4[[#This Row],[Precio Unitario Neto]]-Tabla4[[#This Row],[20.85%]]</f>
        <v>5887.1412241999997</v>
      </c>
      <c r="M318" s="282" t="e">
        <f>(INDEX(Tabla6[#All],MATCH(Tabla4[[#This Row],[Producto]],Tabla6[[#All],[PRODUCTO]],0),MATCH(Tabla4[[#This Row],[Mes]],Tabla6[#Headers],0)))*(1+Catalogos!$L$2)</f>
        <v>#N/A</v>
      </c>
      <c r="N318" s="283" t="e">
        <f>+(Tabla4[[#This Row],[Precio Descontado]]-Tabla4[[#This Row],[Precio Base]])*Tabla4[[#This Row],[Cantidad]]</f>
        <v>#N/A</v>
      </c>
      <c r="O318" s="284" t="e">
        <f>++Tabla4[[#This Row],[Utilidad Total]]/Tabla4[[#This Row],[Total]]</f>
        <v>#N/A</v>
      </c>
      <c r="P318" s="282">
        <f>++Tabla4[[#This Row],[Precio Descontado]]*Tabla4[[#This Row],[Cantidad]]</f>
        <v>23548.564896799999</v>
      </c>
      <c r="Q318" s="282" t="e">
        <f>(INDEX(Tabla6[#All],MATCH(Tabla4[[#This Row],[Producto]],Tabla6[[#All],[PRODUCTO]],0),MATCH(Tabla4[[#This Row],[Mes]],Tabla6[#Headers],0)))</f>
        <v>#N/A</v>
      </c>
      <c r="R318" s="282" t="e">
        <f>++Tabla4[[#This Row],[Precio Unitario Neto]]-Tabla4[[#This Row],[20.85%]]-Tabla4[[#This Row],[Costo]]</f>
        <v>#N/A</v>
      </c>
      <c r="S318" s="282" t="e">
        <f>++Tabla4[[#This Row],[U. Bruta Uni]]*Tabla4[[#This Row],[Cantidad]]</f>
        <v>#N/A</v>
      </c>
      <c r="T318" s="369" t="str">
        <f>VLOOKUP(Tabla4[[#This Row],[Producto]],Tabla6[#All],14,FALSE)</f>
        <v>Termico Solar</v>
      </c>
      <c r="U318" s="284" t="e">
        <f>(IF(Tabla4[[#This Row],[Familia]]="termico solar",Tabla4[[#This Row],[Utilidad Total]]*6%,Tabla4[[#This Row],[Utilidad Total]]*11.5%))/Tabla4[[#This Row],[Total]]</f>
        <v>#N/A</v>
      </c>
      <c r="V318" s="282" t="e">
        <f>+Tabla4[[#This Row],[Comisión Calculada]]*Tabla4[[#This Row],[Total]]</f>
        <v>#N/A</v>
      </c>
    </row>
    <row r="319" spans="1:22" hidden="1" x14ac:dyDescent="0.25">
      <c r="A319" s="100">
        <v>45688</v>
      </c>
      <c r="B319" t="str">
        <f t="shared" si="12"/>
        <v>January</v>
      </c>
      <c r="C319" s="46" t="s">
        <v>280</v>
      </c>
      <c r="F319" s="366" t="s">
        <v>832</v>
      </c>
      <c r="G319" s="46" t="s">
        <v>208</v>
      </c>
      <c r="H319" s="46">
        <v>3</v>
      </c>
      <c r="I319" s="51">
        <v>189.75</v>
      </c>
      <c r="J319" s="281">
        <f>++Tabla4[[#This Row],[Precio Bruto]]*1.16</f>
        <v>220.10999999999999</v>
      </c>
      <c r="K319" s="281">
        <f>+Tabla4[[#This Row],[Precio Unitario Neto]]*Tabla4[[#Headers],[20.85%]]</f>
        <v>45.892934999999994</v>
      </c>
      <c r="L319" s="282">
        <f>++Tabla4[[#This Row],[Precio Unitario Neto]]-Tabla4[[#This Row],[20.85%]]</f>
        <v>174.21706499999999</v>
      </c>
      <c r="M319" s="282" t="e">
        <f>(INDEX(Tabla6[#All],MATCH(Tabla4[[#This Row],[Producto]],Tabla6[[#All],[PRODUCTO]],0),MATCH(Tabla4[[#This Row],[Mes]],Tabla6[#Headers],0)))*(1+Catalogos!$L$2)</f>
        <v>#N/A</v>
      </c>
      <c r="N319" s="283" t="e">
        <f>+(Tabla4[[#This Row],[Precio Descontado]]-Tabla4[[#This Row],[Precio Base]])*Tabla4[[#This Row],[Cantidad]]</f>
        <v>#N/A</v>
      </c>
      <c r="O319" s="284" t="e">
        <f>++Tabla4[[#This Row],[Utilidad Total]]/Tabla4[[#This Row],[Total]]</f>
        <v>#N/A</v>
      </c>
      <c r="P319" s="282">
        <f>++Tabla4[[#This Row],[Precio Descontado]]*Tabla4[[#This Row],[Cantidad]]</f>
        <v>522.65119499999992</v>
      </c>
      <c r="Q319" s="282" t="e">
        <f>(INDEX(Tabla6[#All],MATCH(Tabla4[[#This Row],[Producto]],Tabla6[[#All],[PRODUCTO]],0),MATCH(Tabla4[[#This Row],[Mes]],Tabla6[#Headers],0)))</f>
        <v>#N/A</v>
      </c>
      <c r="R319" s="282" t="e">
        <f>++Tabla4[[#This Row],[Precio Unitario Neto]]-Tabla4[[#This Row],[20.85%]]-Tabla4[[#This Row],[Costo]]</f>
        <v>#N/A</v>
      </c>
      <c r="S319" s="282" t="e">
        <f>++Tabla4[[#This Row],[U. Bruta Uni]]*Tabla4[[#This Row],[Cantidad]]</f>
        <v>#N/A</v>
      </c>
      <c r="T319" s="369" t="str">
        <f>VLOOKUP(Tabla4[[#This Row],[Producto]],Tabla6[#All],14,FALSE)</f>
        <v>Termico Solar</v>
      </c>
      <c r="U319" s="284" t="e">
        <f>(IF(Tabla4[[#This Row],[Familia]]="termico solar",Tabla4[[#This Row],[Utilidad Total]]*6%,Tabla4[[#This Row],[Utilidad Total]]*11.5%))/Tabla4[[#This Row],[Total]]</f>
        <v>#N/A</v>
      </c>
      <c r="V319" s="282" t="e">
        <f>+Tabla4[[#This Row],[Comisión Calculada]]*Tabla4[[#This Row],[Total]]</f>
        <v>#N/A</v>
      </c>
    </row>
    <row r="320" spans="1:22" hidden="1" x14ac:dyDescent="0.25">
      <c r="A320" s="100">
        <v>45688</v>
      </c>
      <c r="B320" t="str">
        <f t="shared" si="12"/>
        <v>January</v>
      </c>
      <c r="C320" s="46" t="s">
        <v>280</v>
      </c>
      <c r="F320" s="366" t="s">
        <v>832</v>
      </c>
      <c r="G320" s="46" t="s">
        <v>209</v>
      </c>
      <c r="H320" s="46">
        <v>2</v>
      </c>
      <c r="I320" s="51">
        <v>347.48</v>
      </c>
      <c r="J320" s="281">
        <f>++Tabla4[[#This Row],[Precio Bruto]]*1.16</f>
        <v>403.07679999999999</v>
      </c>
      <c r="K320" s="281">
        <f>+Tabla4[[#This Row],[Precio Unitario Neto]]*Tabla4[[#Headers],[20.85%]]</f>
        <v>84.041512799999992</v>
      </c>
      <c r="L320" s="282">
        <f>++Tabla4[[#This Row],[Precio Unitario Neto]]-Tabla4[[#This Row],[20.85%]]</f>
        <v>319.03528719999997</v>
      </c>
      <c r="M320" s="282" t="e">
        <f>(INDEX(Tabla6[#All],MATCH(Tabla4[[#This Row],[Producto]],Tabla6[[#All],[PRODUCTO]],0),MATCH(Tabla4[[#This Row],[Mes]],Tabla6[#Headers],0)))*(1+Catalogos!$L$2)</f>
        <v>#N/A</v>
      </c>
      <c r="N320" s="283" t="e">
        <f>+(Tabla4[[#This Row],[Precio Descontado]]-Tabla4[[#This Row],[Precio Base]])*Tabla4[[#This Row],[Cantidad]]</f>
        <v>#N/A</v>
      </c>
      <c r="O320" s="284" t="e">
        <f>++Tabla4[[#This Row],[Utilidad Total]]/Tabla4[[#This Row],[Total]]</f>
        <v>#N/A</v>
      </c>
      <c r="P320" s="282">
        <f>++Tabla4[[#This Row],[Precio Descontado]]*Tabla4[[#This Row],[Cantidad]]</f>
        <v>638.07057439999994</v>
      </c>
      <c r="Q320" s="282" t="e">
        <f>(INDEX(Tabla6[#All],MATCH(Tabla4[[#This Row],[Producto]],Tabla6[[#All],[PRODUCTO]],0),MATCH(Tabla4[[#This Row],[Mes]],Tabla6[#Headers],0)))</f>
        <v>#N/A</v>
      </c>
      <c r="R320" s="282" t="e">
        <f>++Tabla4[[#This Row],[Precio Unitario Neto]]-Tabla4[[#This Row],[20.85%]]-Tabla4[[#This Row],[Costo]]</f>
        <v>#N/A</v>
      </c>
      <c r="S320" s="282" t="e">
        <f>++Tabla4[[#This Row],[U. Bruta Uni]]*Tabla4[[#This Row],[Cantidad]]</f>
        <v>#N/A</v>
      </c>
      <c r="T320" s="369" t="str">
        <f>VLOOKUP(Tabla4[[#This Row],[Producto]],Tabla6[#All],14,FALSE)</f>
        <v>Termico Solar</v>
      </c>
      <c r="U320" s="284" t="e">
        <f>(IF(Tabla4[[#This Row],[Familia]]="termico solar",Tabla4[[#This Row],[Utilidad Total]]*6%,Tabla4[[#This Row],[Utilidad Total]]*11.5%))/Tabla4[[#This Row],[Total]]</f>
        <v>#N/A</v>
      </c>
      <c r="V320" s="282" t="e">
        <f>+Tabla4[[#This Row],[Comisión Calculada]]*Tabla4[[#This Row],[Total]]</f>
        <v>#N/A</v>
      </c>
    </row>
    <row r="321" spans="1:22" hidden="1" x14ac:dyDescent="0.25">
      <c r="A321" s="100">
        <v>45688</v>
      </c>
      <c r="B321" t="str">
        <f t="shared" si="12"/>
        <v>January</v>
      </c>
      <c r="C321" s="46" t="s">
        <v>280</v>
      </c>
      <c r="F321" s="366" t="s">
        <v>833</v>
      </c>
      <c r="G321" s="46" t="s">
        <v>18</v>
      </c>
      <c r="H321" s="46">
        <v>1</v>
      </c>
      <c r="I321" s="51">
        <v>5367.65</v>
      </c>
      <c r="J321" s="281">
        <f>++Tabla4[[#This Row],[Precio Bruto]]*1.16</f>
        <v>6226.4739999999993</v>
      </c>
      <c r="K321" s="281">
        <f>+Tabla4[[#This Row],[Precio Unitario Neto]]*Tabla4[[#Headers],[20.85%]]</f>
        <v>1298.2198289999999</v>
      </c>
      <c r="L321" s="282">
        <f>++Tabla4[[#This Row],[Precio Unitario Neto]]-Tabla4[[#This Row],[20.85%]]</f>
        <v>4928.2541709999996</v>
      </c>
      <c r="M321" s="282" t="e">
        <f>(INDEX(Tabla6[#All],MATCH(Tabla4[[#This Row],[Producto]],Tabla6[[#All],[PRODUCTO]],0),MATCH(Tabla4[[#This Row],[Mes]],Tabla6[#Headers],0)))*(1+Catalogos!$L$2)</f>
        <v>#N/A</v>
      </c>
      <c r="N321" s="283" t="e">
        <f>+(Tabla4[[#This Row],[Precio Descontado]]-Tabla4[[#This Row],[Precio Base]])*Tabla4[[#This Row],[Cantidad]]</f>
        <v>#N/A</v>
      </c>
      <c r="O321" s="284" t="e">
        <f>++Tabla4[[#This Row],[Utilidad Total]]/Tabla4[[#This Row],[Total]]</f>
        <v>#N/A</v>
      </c>
      <c r="P321" s="282">
        <f>++Tabla4[[#This Row],[Precio Descontado]]*Tabla4[[#This Row],[Cantidad]]</f>
        <v>4928.2541709999996</v>
      </c>
      <c r="Q321" s="282" t="e">
        <f>(INDEX(Tabla6[#All],MATCH(Tabla4[[#This Row],[Producto]],Tabla6[[#All],[PRODUCTO]],0),MATCH(Tabla4[[#This Row],[Mes]],Tabla6[#Headers],0)))</f>
        <v>#N/A</v>
      </c>
      <c r="R321" s="282" t="e">
        <f>++Tabla4[[#This Row],[Precio Unitario Neto]]-Tabla4[[#This Row],[20.85%]]-Tabla4[[#This Row],[Costo]]</f>
        <v>#N/A</v>
      </c>
      <c r="S321" s="282" t="e">
        <f>++Tabla4[[#This Row],[U. Bruta Uni]]*Tabla4[[#This Row],[Cantidad]]</f>
        <v>#N/A</v>
      </c>
      <c r="T321" s="369" t="str">
        <f>VLOOKUP(Tabla4[[#This Row],[Producto]],Tabla6[#All],14,FALSE)</f>
        <v>Termico Solar</v>
      </c>
      <c r="U321" s="284" t="e">
        <f>(IF(Tabla4[[#This Row],[Familia]]="termico solar",Tabla4[[#This Row],[Utilidad Total]]*6%,Tabla4[[#This Row],[Utilidad Total]]*11.5%))/Tabla4[[#This Row],[Total]]</f>
        <v>#N/A</v>
      </c>
      <c r="V321" s="282" t="e">
        <f>+Tabla4[[#This Row],[Comisión Calculada]]*Tabla4[[#This Row],[Total]]</f>
        <v>#N/A</v>
      </c>
    </row>
    <row r="322" spans="1:22" hidden="1" x14ac:dyDescent="0.25">
      <c r="A322" s="100">
        <v>45688</v>
      </c>
      <c r="B322" t="str">
        <f t="shared" si="12"/>
        <v>January</v>
      </c>
      <c r="C322" s="46" t="s">
        <v>280</v>
      </c>
      <c r="F322" s="366" t="s">
        <v>833</v>
      </c>
      <c r="G322" s="46" t="s">
        <v>566</v>
      </c>
      <c r="H322" s="46">
        <v>1</v>
      </c>
      <c r="I322" s="51">
        <v>2109.4499999999998</v>
      </c>
      <c r="J322" s="281">
        <f>++Tabla4[[#This Row],[Precio Bruto]]*1.16</f>
        <v>2446.9619999999995</v>
      </c>
      <c r="K322" s="281">
        <f>+Tabla4[[#This Row],[Precio Unitario Neto]]*Tabla4[[#Headers],[20.85%]]</f>
        <v>510.19157699999988</v>
      </c>
      <c r="L322" s="282">
        <f>++Tabla4[[#This Row],[Precio Unitario Neto]]-Tabla4[[#This Row],[20.85%]]</f>
        <v>1936.7704229999997</v>
      </c>
      <c r="M322" s="282" t="e">
        <f>(INDEX(Tabla6[#All],MATCH(Tabla4[[#This Row],[Producto]],Tabla6[[#All],[PRODUCTO]],0),MATCH(Tabla4[[#This Row],[Mes]],Tabla6[#Headers],0)))*(1+Catalogos!$L$2)</f>
        <v>#N/A</v>
      </c>
      <c r="N322" s="283" t="e">
        <f>+(Tabla4[[#This Row],[Precio Descontado]]-Tabla4[[#This Row],[Precio Base]])*Tabla4[[#This Row],[Cantidad]]</f>
        <v>#N/A</v>
      </c>
      <c r="O322" s="284" t="e">
        <f>++Tabla4[[#This Row],[Utilidad Total]]/Tabla4[[#This Row],[Total]]</f>
        <v>#N/A</v>
      </c>
      <c r="P322" s="282">
        <f>++Tabla4[[#This Row],[Precio Descontado]]*Tabla4[[#This Row],[Cantidad]]</f>
        <v>1936.7704229999997</v>
      </c>
      <c r="Q322" s="282" t="e">
        <f>(INDEX(Tabla6[#All],MATCH(Tabla4[[#This Row],[Producto]],Tabla6[[#All],[PRODUCTO]],0),MATCH(Tabla4[[#This Row],[Mes]],Tabla6[#Headers],0)))</f>
        <v>#N/A</v>
      </c>
      <c r="R322" s="282" t="e">
        <f>++Tabla4[[#This Row],[Precio Unitario Neto]]-Tabla4[[#This Row],[20.85%]]-Tabla4[[#This Row],[Costo]]</f>
        <v>#N/A</v>
      </c>
      <c r="S322" s="282" t="e">
        <f>++Tabla4[[#This Row],[U. Bruta Uni]]*Tabla4[[#This Row],[Cantidad]]</f>
        <v>#N/A</v>
      </c>
      <c r="T322" s="369" t="str">
        <f>VLOOKUP(Tabla4[[#This Row],[Producto]],Tabla6[#All],14,FALSE)</f>
        <v>Termico Solar</v>
      </c>
      <c r="U322" s="284" t="e">
        <f>(IF(Tabla4[[#This Row],[Familia]]="termico solar",Tabla4[[#This Row],[Utilidad Total]]*6%,Tabla4[[#This Row],[Utilidad Total]]*11.5%))/Tabla4[[#This Row],[Total]]</f>
        <v>#N/A</v>
      </c>
      <c r="V322" s="282" t="e">
        <f>+Tabla4[[#This Row],[Comisión Calculada]]*Tabla4[[#This Row],[Total]]</f>
        <v>#N/A</v>
      </c>
    </row>
    <row r="323" spans="1:22" hidden="1" x14ac:dyDescent="0.25">
      <c r="A323" s="100">
        <v>45688</v>
      </c>
      <c r="B323" t="str">
        <f t="shared" si="12"/>
        <v>January</v>
      </c>
      <c r="C323" s="46" t="s">
        <v>280</v>
      </c>
      <c r="F323" s="366" t="s">
        <v>834</v>
      </c>
      <c r="G323" s="46" t="s">
        <v>566</v>
      </c>
      <c r="H323" s="46">
        <v>3</v>
      </c>
      <c r="I323" s="51">
        <v>2109.4500000000003</v>
      </c>
      <c r="J323" s="281">
        <f>++Tabla4[[#This Row],[Precio Bruto]]*1.16</f>
        <v>2446.962</v>
      </c>
      <c r="K323" s="281">
        <f>+Tabla4[[#This Row],[Precio Unitario Neto]]*Tabla4[[#Headers],[20.85%]]</f>
        <v>510.191577</v>
      </c>
      <c r="L323" s="282">
        <f>++Tabla4[[#This Row],[Precio Unitario Neto]]-Tabla4[[#This Row],[20.85%]]</f>
        <v>1936.7704229999999</v>
      </c>
      <c r="M323" s="282" t="e">
        <f>(INDEX(Tabla6[#All],MATCH(Tabla4[[#This Row],[Producto]],Tabla6[[#All],[PRODUCTO]],0),MATCH(Tabla4[[#This Row],[Mes]],Tabla6[#Headers],0)))*(1+Catalogos!$L$2)</f>
        <v>#N/A</v>
      </c>
      <c r="N323" s="283" t="e">
        <f>+(Tabla4[[#This Row],[Precio Descontado]]-Tabla4[[#This Row],[Precio Base]])*Tabla4[[#This Row],[Cantidad]]</f>
        <v>#N/A</v>
      </c>
      <c r="O323" s="284" t="e">
        <f>++Tabla4[[#This Row],[Utilidad Total]]/Tabla4[[#This Row],[Total]]</f>
        <v>#N/A</v>
      </c>
      <c r="P323" s="282">
        <f>++Tabla4[[#This Row],[Precio Descontado]]*Tabla4[[#This Row],[Cantidad]]</f>
        <v>5810.3112689999998</v>
      </c>
      <c r="Q323" s="282" t="e">
        <f>(INDEX(Tabla6[#All],MATCH(Tabla4[[#This Row],[Producto]],Tabla6[[#All],[PRODUCTO]],0),MATCH(Tabla4[[#This Row],[Mes]],Tabla6[#Headers],0)))</f>
        <v>#N/A</v>
      </c>
      <c r="R323" s="282" t="e">
        <f>++Tabla4[[#This Row],[Precio Unitario Neto]]-Tabla4[[#This Row],[20.85%]]-Tabla4[[#This Row],[Costo]]</f>
        <v>#N/A</v>
      </c>
      <c r="S323" s="282" t="e">
        <f>++Tabla4[[#This Row],[U. Bruta Uni]]*Tabla4[[#This Row],[Cantidad]]</f>
        <v>#N/A</v>
      </c>
      <c r="T323" s="369" t="str">
        <f>VLOOKUP(Tabla4[[#This Row],[Producto]],Tabla6[#All],14,FALSE)</f>
        <v>Termico Solar</v>
      </c>
      <c r="U323" s="284" t="e">
        <f>(IF(Tabla4[[#This Row],[Familia]]="termico solar",Tabla4[[#This Row],[Utilidad Total]]*6%,Tabla4[[#This Row],[Utilidad Total]]*11.5%))/Tabla4[[#This Row],[Total]]</f>
        <v>#N/A</v>
      </c>
      <c r="V323" s="282" t="e">
        <f>+Tabla4[[#This Row],[Comisión Calculada]]*Tabla4[[#This Row],[Total]]</f>
        <v>#N/A</v>
      </c>
    </row>
    <row r="324" spans="1:22" hidden="1" x14ac:dyDescent="0.25">
      <c r="A324" s="100">
        <v>45688</v>
      </c>
      <c r="B324" t="str">
        <f t="shared" si="12"/>
        <v>January</v>
      </c>
      <c r="C324" s="46" t="s">
        <v>280</v>
      </c>
      <c r="F324" s="366" t="s">
        <v>835</v>
      </c>
      <c r="G324" s="46" t="s">
        <v>83</v>
      </c>
      <c r="H324" s="46">
        <v>1</v>
      </c>
      <c r="I324" s="51">
        <v>8858.76</v>
      </c>
      <c r="J324" s="281">
        <f>++Tabla4[[#This Row],[Precio Bruto]]*1.16</f>
        <v>10276.161599999999</v>
      </c>
      <c r="K324" s="281">
        <f>+Tabla4[[#This Row],[Precio Unitario Neto]]*Tabla4[[#Headers],[20.85%]]</f>
        <v>2142.5796935999997</v>
      </c>
      <c r="L324" s="282">
        <f>++Tabla4[[#This Row],[Precio Unitario Neto]]-Tabla4[[#This Row],[20.85%]]</f>
        <v>8133.5819063999998</v>
      </c>
      <c r="M324" s="282" t="e">
        <f>(INDEX(Tabla6[#All],MATCH(Tabla4[[#This Row],[Producto]],Tabla6[[#All],[PRODUCTO]],0),MATCH(Tabla4[[#This Row],[Mes]],Tabla6[#Headers],0)))*(1+Catalogos!$L$2)</f>
        <v>#N/A</v>
      </c>
      <c r="N324" s="283" t="e">
        <f>+(Tabla4[[#This Row],[Precio Descontado]]-Tabla4[[#This Row],[Precio Base]])*Tabla4[[#This Row],[Cantidad]]</f>
        <v>#N/A</v>
      </c>
      <c r="O324" s="284" t="e">
        <f>++Tabla4[[#This Row],[Utilidad Total]]/Tabla4[[#This Row],[Total]]</f>
        <v>#N/A</v>
      </c>
      <c r="P324" s="282">
        <f>++Tabla4[[#This Row],[Precio Descontado]]*Tabla4[[#This Row],[Cantidad]]</f>
        <v>8133.5819063999998</v>
      </c>
      <c r="Q324" s="282" t="e">
        <f>(INDEX(Tabla6[#All],MATCH(Tabla4[[#This Row],[Producto]],Tabla6[[#All],[PRODUCTO]],0),MATCH(Tabla4[[#This Row],[Mes]],Tabla6[#Headers],0)))</f>
        <v>#N/A</v>
      </c>
      <c r="R324" s="282" t="e">
        <f>++Tabla4[[#This Row],[Precio Unitario Neto]]-Tabla4[[#This Row],[20.85%]]-Tabla4[[#This Row],[Costo]]</f>
        <v>#N/A</v>
      </c>
      <c r="S324" s="282" t="e">
        <f>++Tabla4[[#This Row],[U. Bruta Uni]]*Tabla4[[#This Row],[Cantidad]]</f>
        <v>#N/A</v>
      </c>
      <c r="T324" s="369" t="str">
        <f>VLOOKUP(Tabla4[[#This Row],[Producto]],Tabla6[#All],14,FALSE)</f>
        <v>Termico Solar</v>
      </c>
      <c r="U324" s="284" t="e">
        <f>(IF(Tabla4[[#This Row],[Familia]]="termico solar",Tabla4[[#This Row],[Utilidad Total]]*6%,Tabla4[[#This Row],[Utilidad Total]]*11.5%))/Tabla4[[#This Row],[Total]]</f>
        <v>#N/A</v>
      </c>
      <c r="V324" s="282" t="e">
        <f>+Tabla4[[#This Row],[Comisión Calculada]]*Tabla4[[#This Row],[Total]]</f>
        <v>#N/A</v>
      </c>
    </row>
    <row r="325" spans="1:22" hidden="1" x14ac:dyDescent="0.25">
      <c r="A325" s="100">
        <v>45688</v>
      </c>
      <c r="B325" t="str">
        <f t="shared" si="12"/>
        <v>January</v>
      </c>
      <c r="C325" s="46" t="s">
        <v>280</v>
      </c>
      <c r="F325" s="366" t="s">
        <v>835</v>
      </c>
      <c r="G325" s="46" t="s">
        <v>566</v>
      </c>
      <c r="H325" s="46">
        <v>2</v>
      </c>
      <c r="I325" s="51">
        <v>2109.4499999999998</v>
      </c>
      <c r="J325" s="281">
        <f>++Tabla4[[#This Row],[Precio Bruto]]*1.16</f>
        <v>2446.9619999999995</v>
      </c>
      <c r="K325" s="281">
        <f>+Tabla4[[#This Row],[Precio Unitario Neto]]*Tabla4[[#Headers],[20.85%]]</f>
        <v>510.19157699999988</v>
      </c>
      <c r="L325" s="282">
        <f>++Tabla4[[#This Row],[Precio Unitario Neto]]-Tabla4[[#This Row],[20.85%]]</f>
        <v>1936.7704229999997</v>
      </c>
      <c r="M325" s="282" t="e">
        <f>(INDEX(Tabla6[#All],MATCH(Tabla4[[#This Row],[Producto]],Tabla6[[#All],[PRODUCTO]],0),MATCH(Tabla4[[#This Row],[Mes]],Tabla6[#Headers],0)))*(1+Catalogos!$L$2)</f>
        <v>#N/A</v>
      </c>
      <c r="N325" s="283" t="e">
        <f>+(Tabla4[[#This Row],[Precio Descontado]]-Tabla4[[#This Row],[Precio Base]])*Tabla4[[#This Row],[Cantidad]]</f>
        <v>#N/A</v>
      </c>
      <c r="O325" s="284" t="e">
        <f>++Tabla4[[#This Row],[Utilidad Total]]/Tabla4[[#This Row],[Total]]</f>
        <v>#N/A</v>
      </c>
      <c r="P325" s="282">
        <f>++Tabla4[[#This Row],[Precio Descontado]]*Tabla4[[#This Row],[Cantidad]]</f>
        <v>3873.5408459999994</v>
      </c>
      <c r="Q325" s="282" t="e">
        <f>(INDEX(Tabla6[#All],MATCH(Tabla4[[#This Row],[Producto]],Tabla6[[#All],[PRODUCTO]],0),MATCH(Tabla4[[#This Row],[Mes]],Tabla6[#Headers],0)))</f>
        <v>#N/A</v>
      </c>
      <c r="R325" s="282" t="e">
        <f>++Tabla4[[#This Row],[Precio Unitario Neto]]-Tabla4[[#This Row],[20.85%]]-Tabla4[[#This Row],[Costo]]</f>
        <v>#N/A</v>
      </c>
      <c r="S325" s="282" t="e">
        <f>++Tabla4[[#This Row],[U. Bruta Uni]]*Tabla4[[#This Row],[Cantidad]]</f>
        <v>#N/A</v>
      </c>
      <c r="T325" s="369" t="str">
        <f>VLOOKUP(Tabla4[[#This Row],[Producto]],Tabla6[#All],14,FALSE)</f>
        <v>Termico Solar</v>
      </c>
      <c r="U325" s="284" t="e">
        <f>(IF(Tabla4[[#This Row],[Familia]]="termico solar",Tabla4[[#This Row],[Utilidad Total]]*6%,Tabla4[[#This Row],[Utilidad Total]]*11.5%))/Tabla4[[#This Row],[Total]]</f>
        <v>#N/A</v>
      </c>
      <c r="V325" s="282" t="e">
        <f>+Tabla4[[#This Row],[Comisión Calculada]]*Tabla4[[#This Row],[Total]]</f>
        <v>#N/A</v>
      </c>
    </row>
    <row r="326" spans="1:22" hidden="1" x14ac:dyDescent="0.25">
      <c r="A326" s="100">
        <v>45688</v>
      </c>
      <c r="B326" t="str">
        <f t="shared" si="12"/>
        <v>January</v>
      </c>
      <c r="C326" s="46" t="s">
        <v>280</v>
      </c>
      <c r="F326" s="366" t="s">
        <v>835</v>
      </c>
      <c r="G326" s="46" t="s">
        <v>16</v>
      </c>
      <c r="H326" s="46">
        <v>2</v>
      </c>
      <c r="I326" s="51">
        <v>4103.8500000000004</v>
      </c>
      <c r="J326" s="281">
        <f>++Tabla4[[#This Row],[Precio Bruto]]*1.16</f>
        <v>4760.4660000000003</v>
      </c>
      <c r="K326" s="281">
        <f>+Tabla4[[#This Row],[Precio Unitario Neto]]*Tabla4[[#Headers],[20.85%]]</f>
        <v>992.55716100000006</v>
      </c>
      <c r="L326" s="282">
        <f>++Tabla4[[#This Row],[Precio Unitario Neto]]-Tabla4[[#This Row],[20.85%]]</f>
        <v>3767.9088390000002</v>
      </c>
      <c r="M326" s="282" t="e">
        <f>(INDEX(Tabla6[#All],MATCH(Tabla4[[#This Row],[Producto]],Tabla6[[#All],[PRODUCTO]],0),MATCH(Tabla4[[#This Row],[Mes]],Tabla6[#Headers],0)))*(1+Catalogos!$L$2)</f>
        <v>#N/A</v>
      </c>
      <c r="N326" s="283" t="e">
        <f>+(Tabla4[[#This Row],[Precio Descontado]]-Tabla4[[#This Row],[Precio Base]])*Tabla4[[#This Row],[Cantidad]]</f>
        <v>#N/A</v>
      </c>
      <c r="O326" s="284" t="e">
        <f>++Tabla4[[#This Row],[Utilidad Total]]/Tabla4[[#This Row],[Total]]</f>
        <v>#N/A</v>
      </c>
      <c r="P326" s="282">
        <f>++Tabla4[[#This Row],[Precio Descontado]]*Tabla4[[#This Row],[Cantidad]]</f>
        <v>7535.8176780000003</v>
      </c>
      <c r="Q326" s="282" t="e">
        <f>(INDEX(Tabla6[#All],MATCH(Tabla4[[#This Row],[Producto]],Tabla6[[#All],[PRODUCTO]],0),MATCH(Tabla4[[#This Row],[Mes]],Tabla6[#Headers],0)))</f>
        <v>#N/A</v>
      </c>
      <c r="R326" s="282" t="e">
        <f>++Tabla4[[#This Row],[Precio Unitario Neto]]-Tabla4[[#This Row],[20.85%]]-Tabla4[[#This Row],[Costo]]</f>
        <v>#N/A</v>
      </c>
      <c r="S326" s="282" t="e">
        <f>++Tabla4[[#This Row],[U. Bruta Uni]]*Tabla4[[#This Row],[Cantidad]]</f>
        <v>#N/A</v>
      </c>
      <c r="T326" s="369" t="str">
        <f>VLOOKUP(Tabla4[[#This Row],[Producto]],Tabla6[#All],14,FALSE)</f>
        <v>Termico Solar</v>
      </c>
      <c r="U326" s="284" t="e">
        <f>(IF(Tabla4[[#This Row],[Familia]]="termico solar",Tabla4[[#This Row],[Utilidad Total]]*6%,Tabla4[[#This Row],[Utilidad Total]]*11.5%))/Tabla4[[#This Row],[Total]]</f>
        <v>#N/A</v>
      </c>
      <c r="V326" s="282" t="e">
        <f>+Tabla4[[#This Row],[Comisión Calculada]]*Tabla4[[#This Row],[Total]]</f>
        <v>#N/A</v>
      </c>
    </row>
    <row r="327" spans="1:22" hidden="1" x14ac:dyDescent="0.25">
      <c r="A327" s="100">
        <v>45688</v>
      </c>
      <c r="B327" t="str">
        <f t="shared" si="12"/>
        <v>January</v>
      </c>
      <c r="C327" s="46" t="s">
        <v>280</v>
      </c>
      <c r="F327" s="366" t="s">
        <v>835</v>
      </c>
      <c r="G327" s="46" t="s">
        <v>394</v>
      </c>
      <c r="H327" s="46">
        <v>16</v>
      </c>
      <c r="I327" s="51">
        <v>224.29</v>
      </c>
      <c r="J327" s="281">
        <f>++Tabla4[[#This Row],[Precio Bruto]]*1.16</f>
        <v>260.1764</v>
      </c>
      <c r="K327" s="281">
        <f>+Tabla4[[#This Row],[Precio Unitario Neto]]*Tabla4[[#Headers],[20.85%]]</f>
        <v>54.246779400000001</v>
      </c>
      <c r="L327" s="282">
        <f>++Tabla4[[#This Row],[Precio Unitario Neto]]-Tabla4[[#This Row],[20.85%]]</f>
        <v>205.92962059999999</v>
      </c>
      <c r="M327" s="282" t="e">
        <f>(INDEX(Tabla6[#All],MATCH(Tabla4[[#This Row],[Producto]],Tabla6[[#All],[PRODUCTO]],0),MATCH(Tabla4[[#This Row],[Mes]],Tabla6[#Headers],0)))*(1+Catalogos!$L$2)</f>
        <v>#N/A</v>
      </c>
      <c r="N327" s="283" t="e">
        <f>+(Tabla4[[#This Row],[Precio Descontado]]-Tabla4[[#This Row],[Precio Base]])*Tabla4[[#This Row],[Cantidad]]</f>
        <v>#N/A</v>
      </c>
      <c r="O327" s="284" t="e">
        <f>++Tabla4[[#This Row],[Utilidad Total]]/Tabla4[[#This Row],[Total]]</f>
        <v>#N/A</v>
      </c>
      <c r="P327" s="282">
        <f>++Tabla4[[#This Row],[Precio Descontado]]*Tabla4[[#This Row],[Cantidad]]</f>
        <v>3294.8739295999999</v>
      </c>
      <c r="Q327" s="282" t="e">
        <f>(INDEX(Tabla6[#All],MATCH(Tabla4[[#This Row],[Producto]],Tabla6[[#All],[PRODUCTO]],0),MATCH(Tabla4[[#This Row],[Mes]],Tabla6[#Headers],0)))</f>
        <v>#N/A</v>
      </c>
      <c r="R327" s="282" t="e">
        <f>++Tabla4[[#This Row],[Precio Unitario Neto]]-Tabla4[[#This Row],[20.85%]]-Tabla4[[#This Row],[Costo]]</f>
        <v>#N/A</v>
      </c>
      <c r="S327" s="282" t="e">
        <f>++Tabla4[[#This Row],[U. Bruta Uni]]*Tabla4[[#This Row],[Cantidad]]</f>
        <v>#N/A</v>
      </c>
      <c r="T327" s="369" t="str">
        <f>VLOOKUP(Tabla4[[#This Row],[Producto]],Tabla6[#All],14,FALSE)</f>
        <v>Termico Solar</v>
      </c>
      <c r="U327" s="284" t="e">
        <f>(IF(Tabla4[[#This Row],[Familia]]="termico solar",Tabla4[[#This Row],[Utilidad Total]]*6%,Tabla4[[#This Row],[Utilidad Total]]*11.5%))/Tabla4[[#This Row],[Total]]</f>
        <v>#N/A</v>
      </c>
      <c r="V327" s="282" t="e">
        <f>+Tabla4[[#This Row],[Comisión Calculada]]*Tabla4[[#This Row],[Total]]</f>
        <v>#N/A</v>
      </c>
    </row>
    <row r="328" spans="1:22" hidden="1" x14ac:dyDescent="0.25">
      <c r="A328" s="100">
        <v>45688</v>
      </c>
      <c r="B328" t="str">
        <f t="shared" si="12"/>
        <v>January</v>
      </c>
      <c r="C328" s="46" t="s">
        <v>280</v>
      </c>
      <c r="F328" s="366" t="s">
        <v>836</v>
      </c>
      <c r="G328" s="46" t="s">
        <v>83</v>
      </c>
      <c r="H328" s="46">
        <v>1</v>
      </c>
      <c r="I328" s="51">
        <v>8858.76</v>
      </c>
      <c r="J328" s="281">
        <f>++Tabla4[[#This Row],[Precio Bruto]]*1.16</f>
        <v>10276.161599999999</v>
      </c>
      <c r="K328" s="281">
        <f>+Tabla4[[#This Row],[Precio Unitario Neto]]*Tabla4[[#Headers],[20.85%]]</f>
        <v>2142.5796935999997</v>
      </c>
      <c r="L328" s="282">
        <f>++Tabla4[[#This Row],[Precio Unitario Neto]]-Tabla4[[#This Row],[20.85%]]</f>
        <v>8133.5819063999998</v>
      </c>
      <c r="M328" s="282" t="e">
        <f>(INDEX(Tabla6[#All],MATCH(Tabla4[[#This Row],[Producto]],Tabla6[[#All],[PRODUCTO]],0),MATCH(Tabla4[[#This Row],[Mes]],Tabla6[#Headers],0)))*(1+Catalogos!$L$2)</f>
        <v>#N/A</v>
      </c>
      <c r="N328" s="283" t="e">
        <f>+(Tabla4[[#This Row],[Precio Descontado]]-Tabla4[[#This Row],[Precio Base]])*Tabla4[[#This Row],[Cantidad]]</f>
        <v>#N/A</v>
      </c>
      <c r="O328" s="284" t="e">
        <f>++Tabla4[[#This Row],[Utilidad Total]]/Tabla4[[#This Row],[Total]]</f>
        <v>#N/A</v>
      </c>
      <c r="P328" s="282">
        <f>++Tabla4[[#This Row],[Precio Descontado]]*Tabla4[[#This Row],[Cantidad]]</f>
        <v>8133.5819063999998</v>
      </c>
      <c r="Q328" s="282" t="e">
        <f>(INDEX(Tabla6[#All],MATCH(Tabla4[[#This Row],[Producto]],Tabla6[[#All],[PRODUCTO]],0),MATCH(Tabla4[[#This Row],[Mes]],Tabla6[#Headers],0)))</f>
        <v>#N/A</v>
      </c>
      <c r="R328" s="282" t="e">
        <f>++Tabla4[[#This Row],[Precio Unitario Neto]]-Tabla4[[#This Row],[20.85%]]-Tabla4[[#This Row],[Costo]]</f>
        <v>#N/A</v>
      </c>
      <c r="S328" s="282" t="e">
        <f>++Tabla4[[#This Row],[U. Bruta Uni]]*Tabla4[[#This Row],[Cantidad]]</f>
        <v>#N/A</v>
      </c>
      <c r="T328" s="369" t="str">
        <f>VLOOKUP(Tabla4[[#This Row],[Producto]],Tabla6[#All],14,FALSE)</f>
        <v>Termico Solar</v>
      </c>
      <c r="U328" s="284" t="e">
        <f>(IF(Tabla4[[#This Row],[Familia]]="termico solar",Tabla4[[#This Row],[Utilidad Total]]*6%,Tabla4[[#This Row],[Utilidad Total]]*11.5%))/Tabla4[[#This Row],[Total]]</f>
        <v>#N/A</v>
      </c>
      <c r="V328" s="282" t="e">
        <f>+Tabla4[[#This Row],[Comisión Calculada]]*Tabla4[[#This Row],[Total]]</f>
        <v>#N/A</v>
      </c>
    </row>
    <row r="329" spans="1:22" hidden="1" x14ac:dyDescent="0.25">
      <c r="A329" s="100">
        <v>45688</v>
      </c>
      <c r="B329" t="str">
        <f t="shared" si="12"/>
        <v>January</v>
      </c>
      <c r="C329" s="46" t="s">
        <v>280</v>
      </c>
      <c r="F329" s="366" t="s">
        <v>836</v>
      </c>
      <c r="G329" s="46" t="s">
        <v>17</v>
      </c>
      <c r="H329" s="46">
        <v>1</v>
      </c>
      <c r="I329" s="51">
        <v>4622.28</v>
      </c>
      <c r="J329" s="281">
        <f>++Tabla4[[#This Row],[Precio Bruto]]*1.16</f>
        <v>5361.8447999999989</v>
      </c>
      <c r="K329" s="281">
        <f>+Tabla4[[#This Row],[Precio Unitario Neto]]*Tabla4[[#Headers],[20.85%]]</f>
        <v>1117.9446407999997</v>
      </c>
      <c r="L329" s="282">
        <f>++Tabla4[[#This Row],[Precio Unitario Neto]]-Tabla4[[#This Row],[20.85%]]</f>
        <v>4243.9001591999995</v>
      </c>
      <c r="M329" s="282" t="e">
        <f>(INDEX(Tabla6[#All],MATCH(Tabla4[[#This Row],[Producto]],Tabla6[[#All],[PRODUCTO]],0),MATCH(Tabla4[[#This Row],[Mes]],Tabla6[#Headers],0)))*(1+Catalogos!$L$2)</f>
        <v>#N/A</v>
      </c>
      <c r="N329" s="283" t="e">
        <f>+(Tabla4[[#This Row],[Precio Descontado]]-Tabla4[[#This Row],[Precio Base]])*Tabla4[[#This Row],[Cantidad]]</f>
        <v>#N/A</v>
      </c>
      <c r="O329" s="284" t="e">
        <f>++Tabla4[[#This Row],[Utilidad Total]]/Tabla4[[#This Row],[Total]]</f>
        <v>#N/A</v>
      </c>
      <c r="P329" s="282">
        <f>++Tabla4[[#This Row],[Precio Descontado]]*Tabla4[[#This Row],[Cantidad]]</f>
        <v>4243.9001591999995</v>
      </c>
      <c r="Q329" s="282" t="e">
        <f>(INDEX(Tabla6[#All],MATCH(Tabla4[[#This Row],[Producto]],Tabla6[[#All],[PRODUCTO]],0),MATCH(Tabla4[[#This Row],[Mes]],Tabla6[#Headers],0)))</f>
        <v>#N/A</v>
      </c>
      <c r="R329" s="282" t="e">
        <f>++Tabla4[[#This Row],[Precio Unitario Neto]]-Tabla4[[#This Row],[20.85%]]-Tabla4[[#This Row],[Costo]]</f>
        <v>#N/A</v>
      </c>
      <c r="S329" s="282" t="e">
        <f>++Tabla4[[#This Row],[U. Bruta Uni]]*Tabla4[[#This Row],[Cantidad]]</f>
        <v>#N/A</v>
      </c>
      <c r="T329" s="369" t="str">
        <f>VLOOKUP(Tabla4[[#This Row],[Producto]],Tabla6[#All],14,FALSE)</f>
        <v>Termico Solar</v>
      </c>
      <c r="U329" s="284" t="e">
        <f>(IF(Tabla4[[#This Row],[Familia]]="termico solar",Tabla4[[#This Row],[Utilidad Total]]*6%,Tabla4[[#This Row],[Utilidad Total]]*11.5%))/Tabla4[[#This Row],[Total]]</f>
        <v>#N/A</v>
      </c>
      <c r="V329" s="282" t="e">
        <f>+Tabla4[[#This Row],[Comisión Calculada]]*Tabla4[[#This Row],[Total]]</f>
        <v>#N/A</v>
      </c>
    </row>
    <row r="330" spans="1:22" hidden="1" x14ac:dyDescent="0.25">
      <c r="A330" s="100">
        <v>45688</v>
      </c>
      <c r="B330" t="str">
        <f t="shared" si="12"/>
        <v>January</v>
      </c>
      <c r="C330" s="46" t="s">
        <v>280</v>
      </c>
      <c r="F330" s="366" t="s">
        <v>837</v>
      </c>
      <c r="G330" s="46" t="s">
        <v>18</v>
      </c>
      <c r="H330" s="46">
        <v>1</v>
      </c>
      <c r="I330" s="51">
        <v>5367.65</v>
      </c>
      <c r="J330" s="281">
        <f>++Tabla4[[#This Row],[Precio Bruto]]*1.16</f>
        <v>6226.4739999999993</v>
      </c>
      <c r="K330" s="281">
        <f>+Tabla4[[#This Row],[Precio Unitario Neto]]*Tabla4[[#Headers],[20.85%]]</f>
        <v>1298.2198289999999</v>
      </c>
      <c r="L330" s="282">
        <f>++Tabla4[[#This Row],[Precio Unitario Neto]]-Tabla4[[#This Row],[20.85%]]</f>
        <v>4928.2541709999996</v>
      </c>
      <c r="M330" s="282" t="e">
        <f>(INDEX(Tabla6[#All],MATCH(Tabla4[[#This Row],[Producto]],Tabla6[[#All],[PRODUCTO]],0),MATCH(Tabla4[[#This Row],[Mes]],Tabla6[#Headers],0)))*(1+Catalogos!$L$2)</f>
        <v>#N/A</v>
      </c>
      <c r="N330" s="283" t="e">
        <f>+(Tabla4[[#This Row],[Precio Descontado]]-Tabla4[[#This Row],[Precio Base]])*Tabla4[[#This Row],[Cantidad]]</f>
        <v>#N/A</v>
      </c>
      <c r="O330" s="284" t="e">
        <f>++Tabla4[[#This Row],[Utilidad Total]]/Tabla4[[#This Row],[Total]]</f>
        <v>#N/A</v>
      </c>
      <c r="P330" s="282">
        <f>++Tabla4[[#This Row],[Precio Descontado]]*Tabla4[[#This Row],[Cantidad]]</f>
        <v>4928.2541709999996</v>
      </c>
      <c r="Q330" s="282" t="e">
        <f>(INDEX(Tabla6[#All],MATCH(Tabla4[[#This Row],[Producto]],Tabla6[[#All],[PRODUCTO]],0),MATCH(Tabla4[[#This Row],[Mes]],Tabla6[#Headers],0)))</f>
        <v>#N/A</v>
      </c>
      <c r="R330" s="282" t="e">
        <f>++Tabla4[[#This Row],[Precio Unitario Neto]]-Tabla4[[#This Row],[20.85%]]-Tabla4[[#This Row],[Costo]]</f>
        <v>#N/A</v>
      </c>
      <c r="S330" s="282" t="e">
        <f>++Tabla4[[#This Row],[U. Bruta Uni]]*Tabla4[[#This Row],[Cantidad]]</f>
        <v>#N/A</v>
      </c>
      <c r="T330" s="369" t="str">
        <f>VLOOKUP(Tabla4[[#This Row],[Producto]],Tabla6[#All],14,FALSE)</f>
        <v>Termico Solar</v>
      </c>
      <c r="U330" s="284" t="e">
        <f>(IF(Tabla4[[#This Row],[Familia]]="termico solar",Tabla4[[#This Row],[Utilidad Total]]*6%,Tabla4[[#This Row],[Utilidad Total]]*11.5%))/Tabla4[[#This Row],[Total]]</f>
        <v>#N/A</v>
      </c>
      <c r="V330" s="282" t="e">
        <f>+Tabla4[[#This Row],[Comisión Calculada]]*Tabla4[[#This Row],[Total]]</f>
        <v>#N/A</v>
      </c>
    </row>
    <row r="331" spans="1:22" hidden="1" x14ac:dyDescent="0.25">
      <c r="A331" s="100">
        <v>45688</v>
      </c>
      <c r="B331" t="str">
        <f t="shared" si="12"/>
        <v>January</v>
      </c>
      <c r="C331" s="46" t="s">
        <v>280</v>
      </c>
      <c r="F331" s="366" t="s">
        <v>837</v>
      </c>
      <c r="G331" s="46" t="s">
        <v>394</v>
      </c>
      <c r="H331" s="46">
        <v>9</v>
      </c>
      <c r="I331" s="51">
        <v>108.1</v>
      </c>
      <c r="J331" s="281">
        <f>++Tabla4[[#This Row],[Precio Bruto]]*1.16</f>
        <v>125.39599999999999</v>
      </c>
      <c r="K331" s="281">
        <f>+Tabla4[[#This Row],[Precio Unitario Neto]]*Tabla4[[#Headers],[20.85%]]</f>
        <v>26.145065999999996</v>
      </c>
      <c r="L331" s="282">
        <f>++Tabla4[[#This Row],[Precio Unitario Neto]]-Tabla4[[#This Row],[20.85%]]</f>
        <v>99.250933999999987</v>
      </c>
      <c r="M331" s="282" t="e">
        <f>(INDEX(Tabla6[#All],MATCH(Tabla4[[#This Row],[Producto]],Tabla6[[#All],[PRODUCTO]],0),MATCH(Tabla4[[#This Row],[Mes]],Tabla6[#Headers],0)))*(1+Catalogos!$L$2)</f>
        <v>#N/A</v>
      </c>
      <c r="N331" s="283" t="e">
        <f>+(Tabla4[[#This Row],[Precio Descontado]]-Tabla4[[#This Row],[Precio Base]])*Tabla4[[#This Row],[Cantidad]]</f>
        <v>#N/A</v>
      </c>
      <c r="O331" s="284" t="e">
        <f>++Tabla4[[#This Row],[Utilidad Total]]/Tabla4[[#This Row],[Total]]</f>
        <v>#N/A</v>
      </c>
      <c r="P331" s="282">
        <f>++Tabla4[[#This Row],[Precio Descontado]]*Tabla4[[#This Row],[Cantidad]]</f>
        <v>893.25840599999992</v>
      </c>
      <c r="Q331" s="282" t="e">
        <f>(INDEX(Tabla6[#All],MATCH(Tabla4[[#This Row],[Producto]],Tabla6[[#All],[PRODUCTO]],0),MATCH(Tabla4[[#This Row],[Mes]],Tabla6[#Headers],0)))</f>
        <v>#N/A</v>
      </c>
      <c r="R331" s="282" t="e">
        <f>++Tabla4[[#This Row],[Precio Unitario Neto]]-Tabla4[[#This Row],[20.85%]]-Tabla4[[#This Row],[Costo]]</f>
        <v>#N/A</v>
      </c>
      <c r="S331" s="282" t="e">
        <f>++Tabla4[[#This Row],[U. Bruta Uni]]*Tabla4[[#This Row],[Cantidad]]</f>
        <v>#N/A</v>
      </c>
      <c r="T331" s="369" t="str">
        <f>VLOOKUP(Tabla4[[#This Row],[Producto]],Tabla6[#All],14,FALSE)</f>
        <v>Termico Solar</v>
      </c>
      <c r="U331" s="284" t="e">
        <f>(IF(Tabla4[[#This Row],[Familia]]="termico solar",Tabla4[[#This Row],[Utilidad Total]]*6%,Tabla4[[#This Row],[Utilidad Total]]*11.5%))/Tabla4[[#This Row],[Total]]</f>
        <v>#N/A</v>
      </c>
      <c r="V331" s="282" t="e">
        <f>+Tabla4[[#This Row],[Comisión Calculada]]*Tabla4[[#This Row],[Total]]</f>
        <v>#N/A</v>
      </c>
    </row>
    <row r="332" spans="1:22" hidden="1" x14ac:dyDescent="0.25">
      <c r="A332" s="100">
        <v>45688</v>
      </c>
      <c r="B332" t="str">
        <f t="shared" si="12"/>
        <v>January</v>
      </c>
      <c r="C332" s="46" t="s">
        <v>280</v>
      </c>
      <c r="F332" s="366" t="s">
        <v>838</v>
      </c>
      <c r="G332" s="46" t="s">
        <v>83</v>
      </c>
      <c r="H332" s="46">
        <v>2</v>
      </c>
      <c r="I332" s="51">
        <v>8858.76</v>
      </c>
      <c r="J332" s="281">
        <f>++Tabla4[[#This Row],[Precio Bruto]]*1.16</f>
        <v>10276.161599999999</v>
      </c>
      <c r="K332" s="281">
        <f>+Tabla4[[#This Row],[Precio Unitario Neto]]*Tabla4[[#Headers],[20.85%]]</f>
        <v>2142.5796935999997</v>
      </c>
      <c r="L332" s="282">
        <f>++Tabla4[[#This Row],[Precio Unitario Neto]]-Tabla4[[#This Row],[20.85%]]</f>
        <v>8133.5819063999998</v>
      </c>
      <c r="M332" s="282" t="e">
        <f>(INDEX(Tabla6[#All],MATCH(Tabla4[[#This Row],[Producto]],Tabla6[[#All],[PRODUCTO]],0),MATCH(Tabla4[[#This Row],[Mes]],Tabla6[#Headers],0)))*(1+Catalogos!$L$2)</f>
        <v>#N/A</v>
      </c>
      <c r="N332" s="283" t="e">
        <f>+(Tabla4[[#This Row],[Precio Descontado]]-Tabla4[[#This Row],[Precio Base]])*Tabla4[[#This Row],[Cantidad]]</f>
        <v>#N/A</v>
      </c>
      <c r="O332" s="284" t="e">
        <f>++Tabla4[[#This Row],[Utilidad Total]]/Tabla4[[#This Row],[Total]]</f>
        <v>#N/A</v>
      </c>
      <c r="P332" s="282">
        <f>++Tabla4[[#This Row],[Precio Descontado]]*Tabla4[[#This Row],[Cantidad]]</f>
        <v>16267.1638128</v>
      </c>
      <c r="Q332" s="282" t="e">
        <f>(INDEX(Tabla6[#All],MATCH(Tabla4[[#This Row],[Producto]],Tabla6[[#All],[PRODUCTO]],0),MATCH(Tabla4[[#This Row],[Mes]],Tabla6[#Headers],0)))</f>
        <v>#N/A</v>
      </c>
      <c r="R332" s="282" t="e">
        <f>++Tabla4[[#This Row],[Precio Unitario Neto]]-Tabla4[[#This Row],[20.85%]]-Tabla4[[#This Row],[Costo]]</f>
        <v>#N/A</v>
      </c>
      <c r="S332" s="282" t="e">
        <f>++Tabla4[[#This Row],[U. Bruta Uni]]*Tabla4[[#This Row],[Cantidad]]</f>
        <v>#N/A</v>
      </c>
      <c r="T332" s="369" t="str">
        <f>VLOOKUP(Tabla4[[#This Row],[Producto]],Tabla6[#All],14,FALSE)</f>
        <v>Termico Solar</v>
      </c>
      <c r="U332" s="284" t="e">
        <f>(IF(Tabla4[[#This Row],[Familia]]="termico solar",Tabla4[[#This Row],[Utilidad Total]]*6%,Tabla4[[#This Row],[Utilidad Total]]*11.5%))/Tabla4[[#This Row],[Total]]</f>
        <v>#N/A</v>
      </c>
      <c r="V332" s="282" t="e">
        <f>+Tabla4[[#This Row],[Comisión Calculada]]*Tabla4[[#This Row],[Total]]</f>
        <v>#N/A</v>
      </c>
    </row>
    <row r="333" spans="1:22" hidden="1" x14ac:dyDescent="0.25">
      <c r="A333" s="100">
        <v>45688</v>
      </c>
      <c r="B333" t="str">
        <f t="shared" si="12"/>
        <v>January</v>
      </c>
      <c r="C333" s="46" t="s">
        <v>280</v>
      </c>
      <c r="F333" s="366" t="s">
        <v>838</v>
      </c>
      <c r="G333" s="46" t="s">
        <v>566</v>
      </c>
      <c r="H333" s="46">
        <v>1</v>
      </c>
      <c r="I333" s="51">
        <v>2109.4499999999998</v>
      </c>
      <c r="J333" s="281">
        <f>++Tabla4[[#This Row],[Precio Bruto]]*1.16</f>
        <v>2446.9619999999995</v>
      </c>
      <c r="K333" s="281">
        <f>+Tabla4[[#This Row],[Precio Unitario Neto]]*Tabla4[[#Headers],[20.85%]]</f>
        <v>510.19157699999988</v>
      </c>
      <c r="L333" s="282">
        <f>++Tabla4[[#This Row],[Precio Unitario Neto]]-Tabla4[[#This Row],[20.85%]]</f>
        <v>1936.7704229999997</v>
      </c>
      <c r="M333" s="282" t="e">
        <f>(INDEX(Tabla6[#All],MATCH(Tabla4[[#This Row],[Producto]],Tabla6[[#All],[PRODUCTO]],0),MATCH(Tabla4[[#This Row],[Mes]],Tabla6[#Headers],0)))*(1+Catalogos!$L$2)</f>
        <v>#N/A</v>
      </c>
      <c r="N333" s="283" t="e">
        <f>+(Tabla4[[#This Row],[Precio Descontado]]-Tabla4[[#This Row],[Precio Base]])*Tabla4[[#This Row],[Cantidad]]</f>
        <v>#N/A</v>
      </c>
      <c r="O333" s="284" t="e">
        <f>++Tabla4[[#This Row],[Utilidad Total]]/Tabla4[[#This Row],[Total]]</f>
        <v>#N/A</v>
      </c>
      <c r="P333" s="282">
        <f>++Tabla4[[#This Row],[Precio Descontado]]*Tabla4[[#This Row],[Cantidad]]</f>
        <v>1936.7704229999997</v>
      </c>
      <c r="Q333" s="282" t="e">
        <f>(INDEX(Tabla6[#All],MATCH(Tabla4[[#This Row],[Producto]],Tabla6[[#All],[PRODUCTO]],0),MATCH(Tabla4[[#This Row],[Mes]],Tabla6[#Headers],0)))</f>
        <v>#N/A</v>
      </c>
      <c r="R333" s="282" t="e">
        <f>++Tabla4[[#This Row],[Precio Unitario Neto]]-Tabla4[[#This Row],[20.85%]]-Tabla4[[#This Row],[Costo]]</f>
        <v>#N/A</v>
      </c>
      <c r="S333" s="282" t="e">
        <f>++Tabla4[[#This Row],[U. Bruta Uni]]*Tabla4[[#This Row],[Cantidad]]</f>
        <v>#N/A</v>
      </c>
      <c r="T333" s="369" t="str">
        <f>VLOOKUP(Tabla4[[#This Row],[Producto]],Tabla6[#All],14,FALSE)</f>
        <v>Termico Solar</v>
      </c>
      <c r="U333" s="284" t="e">
        <f>(IF(Tabla4[[#This Row],[Familia]]="termico solar",Tabla4[[#This Row],[Utilidad Total]]*6%,Tabla4[[#This Row],[Utilidad Total]]*11.5%))/Tabla4[[#This Row],[Total]]</f>
        <v>#N/A</v>
      </c>
      <c r="V333" s="282" t="e">
        <f>+Tabla4[[#This Row],[Comisión Calculada]]*Tabla4[[#This Row],[Total]]</f>
        <v>#N/A</v>
      </c>
    </row>
    <row r="334" spans="1:22" hidden="1" x14ac:dyDescent="0.25">
      <c r="A334" s="100">
        <v>45688</v>
      </c>
      <c r="B334" t="str">
        <f t="shared" si="12"/>
        <v>January</v>
      </c>
      <c r="C334" s="46" t="s">
        <v>280</v>
      </c>
      <c r="F334" s="366" t="s">
        <v>839</v>
      </c>
      <c r="G334" s="46" t="s">
        <v>83</v>
      </c>
      <c r="H334" s="46">
        <v>2</v>
      </c>
      <c r="I334" s="51">
        <v>8858.76</v>
      </c>
      <c r="J334" s="281">
        <f>++Tabla4[[#This Row],[Precio Bruto]]*1.16</f>
        <v>10276.161599999999</v>
      </c>
      <c r="K334" s="281">
        <f>+Tabla4[[#This Row],[Precio Unitario Neto]]*Tabla4[[#Headers],[20.85%]]</f>
        <v>2142.5796935999997</v>
      </c>
      <c r="L334" s="282">
        <f>++Tabla4[[#This Row],[Precio Unitario Neto]]-Tabla4[[#This Row],[20.85%]]</f>
        <v>8133.5819063999998</v>
      </c>
      <c r="M334" s="282" t="e">
        <f>(INDEX(Tabla6[#All],MATCH(Tabla4[[#This Row],[Producto]],Tabla6[[#All],[PRODUCTO]],0),MATCH(Tabla4[[#This Row],[Mes]],Tabla6[#Headers],0)))*(1+Catalogos!$L$2)</f>
        <v>#N/A</v>
      </c>
      <c r="N334" s="283" t="e">
        <f>+(Tabla4[[#This Row],[Precio Descontado]]-Tabla4[[#This Row],[Precio Base]])*Tabla4[[#This Row],[Cantidad]]</f>
        <v>#N/A</v>
      </c>
      <c r="O334" s="284" t="e">
        <f>++Tabla4[[#This Row],[Utilidad Total]]/Tabla4[[#This Row],[Total]]</f>
        <v>#N/A</v>
      </c>
      <c r="P334" s="282">
        <f>++Tabla4[[#This Row],[Precio Descontado]]*Tabla4[[#This Row],[Cantidad]]</f>
        <v>16267.1638128</v>
      </c>
      <c r="Q334" s="282" t="e">
        <f>(INDEX(Tabla6[#All],MATCH(Tabla4[[#This Row],[Producto]],Tabla6[[#All],[PRODUCTO]],0),MATCH(Tabla4[[#This Row],[Mes]],Tabla6[#Headers],0)))</f>
        <v>#N/A</v>
      </c>
      <c r="R334" s="282" t="e">
        <f>++Tabla4[[#This Row],[Precio Unitario Neto]]-Tabla4[[#This Row],[20.85%]]-Tabla4[[#This Row],[Costo]]</f>
        <v>#N/A</v>
      </c>
      <c r="S334" s="282" t="e">
        <f>++Tabla4[[#This Row],[U. Bruta Uni]]*Tabla4[[#This Row],[Cantidad]]</f>
        <v>#N/A</v>
      </c>
      <c r="T334" s="369" t="str">
        <f>VLOOKUP(Tabla4[[#This Row],[Producto]],Tabla6[#All],14,FALSE)</f>
        <v>Termico Solar</v>
      </c>
      <c r="U334" s="284" t="e">
        <f>(IF(Tabla4[[#This Row],[Familia]]="termico solar",Tabla4[[#This Row],[Utilidad Total]]*6%,Tabla4[[#This Row],[Utilidad Total]]*11.5%))/Tabla4[[#This Row],[Total]]</f>
        <v>#N/A</v>
      </c>
      <c r="V334" s="282" t="e">
        <f>+Tabla4[[#This Row],[Comisión Calculada]]*Tabla4[[#This Row],[Total]]</f>
        <v>#N/A</v>
      </c>
    </row>
    <row r="335" spans="1:22" hidden="1" x14ac:dyDescent="0.25">
      <c r="A335" s="100">
        <v>45688</v>
      </c>
      <c r="B335" t="str">
        <f t="shared" si="12"/>
        <v>January</v>
      </c>
      <c r="C335" s="46" t="s">
        <v>280</v>
      </c>
      <c r="F335" s="366" t="s">
        <v>839</v>
      </c>
      <c r="G335" s="46" t="s">
        <v>17</v>
      </c>
      <c r="H335" s="46">
        <v>4</v>
      </c>
      <c r="I335" s="51">
        <v>4622.28</v>
      </c>
      <c r="J335" s="281">
        <f>++Tabla4[[#This Row],[Precio Bruto]]*1.16</f>
        <v>5361.8447999999989</v>
      </c>
      <c r="K335" s="281">
        <f>+Tabla4[[#This Row],[Precio Unitario Neto]]*Tabla4[[#Headers],[20.85%]]</f>
        <v>1117.9446407999997</v>
      </c>
      <c r="L335" s="282">
        <f>++Tabla4[[#This Row],[Precio Unitario Neto]]-Tabla4[[#This Row],[20.85%]]</f>
        <v>4243.9001591999995</v>
      </c>
      <c r="M335" s="282" t="e">
        <f>(INDEX(Tabla6[#All],MATCH(Tabla4[[#This Row],[Producto]],Tabla6[[#All],[PRODUCTO]],0),MATCH(Tabla4[[#This Row],[Mes]],Tabla6[#Headers],0)))*(1+Catalogos!$L$2)</f>
        <v>#N/A</v>
      </c>
      <c r="N335" s="283" t="e">
        <f>+(Tabla4[[#This Row],[Precio Descontado]]-Tabla4[[#This Row],[Precio Base]])*Tabla4[[#This Row],[Cantidad]]</f>
        <v>#N/A</v>
      </c>
      <c r="O335" s="284" t="e">
        <f>++Tabla4[[#This Row],[Utilidad Total]]/Tabla4[[#This Row],[Total]]</f>
        <v>#N/A</v>
      </c>
      <c r="P335" s="282">
        <f>++Tabla4[[#This Row],[Precio Descontado]]*Tabla4[[#This Row],[Cantidad]]</f>
        <v>16975.600636799998</v>
      </c>
      <c r="Q335" s="282" t="e">
        <f>(INDEX(Tabla6[#All],MATCH(Tabla4[[#This Row],[Producto]],Tabla6[[#All],[PRODUCTO]],0),MATCH(Tabla4[[#This Row],[Mes]],Tabla6[#Headers],0)))</f>
        <v>#N/A</v>
      </c>
      <c r="R335" s="282" t="e">
        <f>++Tabla4[[#This Row],[Precio Unitario Neto]]-Tabla4[[#This Row],[20.85%]]-Tabla4[[#This Row],[Costo]]</f>
        <v>#N/A</v>
      </c>
      <c r="S335" s="282" t="e">
        <f>++Tabla4[[#This Row],[U. Bruta Uni]]*Tabla4[[#This Row],[Cantidad]]</f>
        <v>#N/A</v>
      </c>
      <c r="T335" s="369" t="str">
        <f>VLOOKUP(Tabla4[[#This Row],[Producto]],Tabla6[#All],14,FALSE)</f>
        <v>Termico Solar</v>
      </c>
      <c r="U335" s="284" t="e">
        <f>(IF(Tabla4[[#This Row],[Familia]]="termico solar",Tabla4[[#This Row],[Utilidad Total]]*6%,Tabla4[[#This Row],[Utilidad Total]]*11.5%))/Tabla4[[#This Row],[Total]]</f>
        <v>#N/A</v>
      </c>
      <c r="V335" s="282" t="e">
        <f>+Tabla4[[#This Row],[Comisión Calculada]]*Tabla4[[#This Row],[Total]]</f>
        <v>#N/A</v>
      </c>
    </row>
    <row r="336" spans="1:22" hidden="1" x14ac:dyDescent="0.25">
      <c r="A336" s="100">
        <v>45688</v>
      </c>
      <c r="B336" t="str">
        <f t="shared" si="12"/>
        <v>January</v>
      </c>
      <c r="C336" s="46" t="s">
        <v>280</v>
      </c>
      <c r="F336" s="366" t="s">
        <v>839</v>
      </c>
      <c r="G336" s="46" t="s">
        <v>566</v>
      </c>
      <c r="H336" s="46">
        <v>1</v>
      </c>
      <c r="I336" s="51">
        <v>2109.4499999999998</v>
      </c>
      <c r="J336" s="281">
        <f>++Tabla4[[#This Row],[Precio Bruto]]*1.16</f>
        <v>2446.9619999999995</v>
      </c>
      <c r="K336" s="281">
        <f>+Tabla4[[#This Row],[Precio Unitario Neto]]*Tabla4[[#Headers],[20.85%]]</f>
        <v>510.19157699999988</v>
      </c>
      <c r="L336" s="282">
        <f>++Tabla4[[#This Row],[Precio Unitario Neto]]-Tabla4[[#This Row],[20.85%]]</f>
        <v>1936.7704229999997</v>
      </c>
      <c r="M336" s="282" t="e">
        <f>(INDEX(Tabla6[#All],MATCH(Tabla4[[#This Row],[Producto]],Tabla6[[#All],[PRODUCTO]],0),MATCH(Tabla4[[#This Row],[Mes]],Tabla6[#Headers],0)))*(1+Catalogos!$L$2)</f>
        <v>#N/A</v>
      </c>
      <c r="N336" s="283" t="e">
        <f>+(Tabla4[[#This Row],[Precio Descontado]]-Tabla4[[#This Row],[Precio Base]])*Tabla4[[#This Row],[Cantidad]]</f>
        <v>#N/A</v>
      </c>
      <c r="O336" s="284" t="e">
        <f>++Tabla4[[#This Row],[Utilidad Total]]/Tabla4[[#This Row],[Total]]</f>
        <v>#N/A</v>
      </c>
      <c r="P336" s="282">
        <f>++Tabla4[[#This Row],[Precio Descontado]]*Tabla4[[#This Row],[Cantidad]]</f>
        <v>1936.7704229999997</v>
      </c>
      <c r="Q336" s="282" t="e">
        <f>(INDEX(Tabla6[#All],MATCH(Tabla4[[#This Row],[Producto]],Tabla6[[#All],[PRODUCTO]],0),MATCH(Tabla4[[#This Row],[Mes]],Tabla6[#Headers],0)))</f>
        <v>#N/A</v>
      </c>
      <c r="R336" s="282" t="e">
        <f>++Tabla4[[#This Row],[Precio Unitario Neto]]-Tabla4[[#This Row],[20.85%]]-Tabla4[[#This Row],[Costo]]</f>
        <v>#N/A</v>
      </c>
      <c r="S336" s="282" t="e">
        <f>++Tabla4[[#This Row],[U. Bruta Uni]]*Tabla4[[#This Row],[Cantidad]]</f>
        <v>#N/A</v>
      </c>
      <c r="T336" s="369" t="str">
        <f>VLOOKUP(Tabla4[[#This Row],[Producto]],Tabla6[#All],14,FALSE)</f>
        <v>Termico Solar</v>
      </c>
      <c r="U336" s="284" t="e">
        <f>(IF(Tabla4[[#This Row],[Familia]]="termico solar",Tabla4[[#This Row],[Utilidad Total]]*6%,Tabla4[[#This Row],[Utilidad Total]]*11.5%))/Tabla4[[#This Row],[Total]]</f>
        <v>#N/A</v>
      </c>
      <c r="V336" s="282" t="e">
        <f>+Tabla4[[#This Row],[Comisión Calculada]]*Tabla4[[#This Row],[Total]]</f>
        <v>#N/A</v>
      </c>
    </row>
    <row r="337" spans="1:22" hidden="1" x14ac:dyDescent="0.25">
      <c r="A337" s="100">
        <v>45688</v>
      </c>
      <c r="B337" t="str">
        <f t="shared" si="12"/>
        <v>January</v>
      </c>
      <c r="C337" s="46" t="s">
        <v>280</v>
      </c>
      <c r="F337" s="366" t="s">
        <v>840</v>
      </c>
      <c r="G337" s="46" t="s">
        <v>19</v>
      </c>
      <c r="H337" s="46">
        <v>3</v>
      </c>
      <c r="I337" s="51">
        <v>6412.03</v>
      </c>
      <c r="J337" s="281">
        <f>++Tabla4[[#This Row],[Precio Bruto]]*1.16</f>
        <v>7437.9547999999995</v>
      </c>
      <c r="K337" s="281">
        <f>+Tabla4[[#This Row],[Precio Unitario Neto]]*Tabla4[[#Headers],[20.85%]]</f>
        <v>1550.8135757999999</v>
      </c>
      <c r="L337" s="282">
        <f>++Tabla4[[#This Row],[Precio Unitario Neto]]-Tabla4[[#This Row],[20.85%]]</f>
        <v>5887.1412241999997</v>
      </c>
      <c r="M337" s="282" t="e">
        <f>(INDEX(Tabla6[#All],MATCH(Tabla4[[#This Row],[Producto]],Tabla6[[#All],[PRODUCTO]],0),MATCH(Tabla4[[#This Row],[Mes]],Tabla6[#Headers],0)))*(1+Catalogos!$L$2)</f>
        <v>#N/A</v>
      </c>
      <c r="N337" s="283" t="e">
        <f>+(Tabla4[[#This Row],[Precio Descontado]]-Tabla4[[#This Row],[Precio Base]])*Tabla4[[#This Row],[Cantidad]]</f>
        <v>#N/A</v>
      </c>
      <c r="O337" s="284" t="e">
        <f>++Tabla4[[#This Row],[Utilidad Total]]/Tabla4[[#This Row],[Total]]</f>
        <v>#N/A</v>
      </c>
      <c r="P337" s="282">
        <f>++Tabla4[[#This Row],[Precio Descontado]]*Tabla4[[#This Row],[Cantidad]]</f>
        <v>17661.423672599998</v>
      </c>
      <c r="Q337" s="282" t="e">
        <f>(INDEX(Tabla6[#All],MATCH(Tabla4[[#This Row],[Producto]],Tabla6[[#All],[PRODUCTO]],0),MATCH(Tabla4[[#This Row],[Mes]],Tabla6[#Headers],0)))</f>
        <v>#N/A</v>
      </c>
      <c r="R337" s="282" t="e">
        <f>++Tabla4[[#This Row],[Precio Unitario Neto]]-Tabla4[[#This Row],[20.85%]]-Tabla4[[#This Row],[Costo]]</f>
        <v>#N/A</v>
      </c>
      <c r="S337" s="282" t="e">
        <f>++Tabla4[[#This Row],[U. Bruta Uni]]*Tabla4[[#This Row],[Cantidad]]</f>
        <v>#N/A</v>
      </c>
      <c r="T337" s="369" t="str">
        <f>VLOOKUP(Tabla4[[#This Row],[Producto]],Tabla6[#All],14,FALSE)</f>
        <v>Termico Solar</v>
      </c>
      <c r="U337" s="284" t="e">
        <f>(IF(Tabla4[[#This Row],[Familia]]="termico solar",Tabla4[[#This Row],[Utilidad Total]]*6%,Tabla4[[#This Row],[Utilidad Total]]*11.5%))/Tabla4[[#This Row],[Total]]</f>
        <v>#N/A</v>
      </c>
      <c r="V337" s="282" t="e">
        <f>+Tabla4[[#This Row],[Comisión Calculada]]*Tabla4[[#This Row],[Total]]</f>
        <v>#N/A</v>
      </c>
    </row>
    <row r="338" spans="1:22" hidden="1" x14ac:dyDescent="0.25">
      <c r="A338" s="100">
        <v>45688</v>
      </c>
      <c r="B338" t="str">
        <f t="shared" si="12"/>
        <v>January</v>
      </c>
      <c r="C338" s="46" t="s">
        <v>280</v>
      </c>
      <c r="F338" s="366" t="s">
        <v>840</v>
      </c>
      <c r="G338" s="46" t="s">
        <v>566</v>
      </c>
      <c r="H338" s="46">
        <v>1</v>
      </c>
      <c r="I338" s="51">
        <v>2109.4499999999998</v>
      </c>
      <c r="J338" s="281">
        <f>++Tabla4[[#This Row],[Precio Bruto]]*1.16</f>
        <v>2446.9619999999995</v>
      </c>
      <c r="K338" s="281">
        <f>+Tabla4[[#This Row],[Precio Unitario Neto]]*Tabla4[[#Headers],[20.85%]]</f>
        <v>510.19157699999988</v>
      </c>
      <c r="L338" s="282">
        <f>++Tabla4[[#This Row],[Precio Unitario Neto]]-Tabla4[[#This Row],[20.85%]]</f>
        <v>1936.7704229999997</v>
      </c>
      <c r="M338" s="282" t="e">
        <f>(INDEX(Tabla6[#All],MATCH(Tabla4[[#This Row],[Producto]],Tabla6[[#All],[PRODUCTO]],0),MATCH(Tabla4[[#This Row],[Mes]],Tabla6[#Headers],0)))*(1+Catalogos!$L$2)</f>
        <v>#N/A</v>
      </c>
      <c r="N338" s="283" t="e">
        <f>+(Tabla4[[#This Row],[Precio Descontado]]-Tabla4[[#This Row],[Precio Base]])*Tabla4[[#This Row],[Cantidad]]</f>
        <v>#N/A</v>
      </c>
      <c r="O338" s="284" t="e">
        <f>++Tabla4[[#This Row],[Utilidad Total]]/Tabla4[[#This Row],[Total]]</f>
        <v>#N/A</v>
      </c>
      <c r="P338" s="282">
        <f>++Tabla4[[#This Row],[Precio Descontado]]*Tabla4[[#This Row],[Cantidad]]</f>
        <v>1936.7704229999997</v>
      </c>
      <c r="Q338" s="282" t="e">
        <f>(INDEX(Tabla6[#All],MATCH(Tabla4[[#This Row],[Producto]],Tabla6[[#All],[PRODUCTO]],0),MATCH(Tabla4[[#This Row],[Mes]],Tabla6[#Headers],0)))</f>
        <v>#N/A</v>
      </c>
      <c r="R338" s="282" t="e">
        <f>++Tabla4[[#This Row],[Precio Unitario Neto]]-Tabla4[[#This Row],[20.85%]]-Tabla4[[#This Row],[Costo]]</f>
        <v>#N/A</v>
      </c>
      <c r="S338" s="282" t="e">
        <f>++Tabla4[[#This Row],[U. Bruta Uni]]*Tabla4[[#This Row],[Cantidad]]</f>
        <v>#N/A</v>
      </c>
      <c r="T338" s="369" t="str">
        <f>VLOOKUP(Tabla4[[#This Row],[Producto]],Tabla6[#All],14,FALSE)</f>
        <v>Termico Solar</v>
      </c>
      <c r="U338" s="284" t="e">
        <f>(IF(Tabla4[[#This Row],[Familia]]="termico solar",Tabla4[[#This Row],[Utilidad Total]]*6%,Tabla4[[#This Row],[Utilidad Total]]*11.5%))/Tabla4[[#This Row],[Total]]</f>
        <v>#N/A</v>
      </c>
      <c r="V338" s="282" t="e">
        <f>+Tabla4[[#This Row],[Comisión Calculada]]*Tabla4[[#This Row],[Total]]</f>
        <v>#N/A</v>
      </c>
    </row>
    <row r="339" spans="1:22" hidden="1" x14ac:dyDescent="0.25">
      <c r="A339" s="100">
        <v>45688</v>
      </c>
      <c r="B339" t="str">
        <f t="shared" si="12"/>
        <v>January</v>
      </c>
      <c r="C339" s="46" t="s">
        <v>280</v>
      </c>
      <c r="F339" s="366" t="s">
        <v>841</v>
      </c>
      <c r="G339" s="46" t="s">
        <v>16</v>
      </c>
      <c r="H339" s="46">
        <v>1</v>
      </c>
      <c r="I339" s="51">
        <v>4103.8500000000004</v>
      </c>
      <c r="J339" s="281">
        <f>++Tabla4[[#This Row],[Precio Bruto]]*1.16</f>
        <v>4760.4660000000003</v>
      </c>
      <c r="K339" s="281">
        <f>+Tabla4[[#This Row],[Precio Unitario Neto]]*Tabla4[[#Headers],[20.85%]]</f>
        <v>992.55716100000006</v>
      </c>
      <c r="L339" s="282">
        <f>++Tabla4[[#This Row],[Precio Unitario Neto]]-Tabla4[[#This Row],[20.85%]]</f>
        <v>3767.9088390000002</v>
      </c>
      <c r="M339" s="282" t="e">
        <f>(INDEX(Tabla6[#All],MATCH(Tabla4[[#This Row],[Producto]],Tabla6[[#All],[PRODUCTO]],0),MATCH(Tabla4[[#This Row],[Mes]],Tabla6[#Headers],0)))*(1+Catalogos!$L$2)</f>
        <v>#N/A</v>
      </c>
      <c r="N339" s="283" t="e">
        <f>+(Tabla4[[#This Row],[Precio Descontado]]-Tabla4[[#This Row],[Precio Base]])*Tabla4[[#This Row],[Cantidad]]</f>
        <v>#N/A</v>
      </c>
      <c r="O339" s="284" t="e">
        <f>++Tabla4[[#This Row],[Utilidad Total]]/Tabla4[[#This Row],[Total]]</f>
        <v>#N/A</v>
      </c>
      <c r="P339" s="282">
        <f>++Tabla4[[#This Row],[Precio Descontado]]*Tabla4[[#This Row],[Cantidad]]</f>
        <v>3767.9088390000002</v>
      </c>
      <c r="Q339" s="282" t="e">
        <f>(INDEX(Tabla6[#All],MATCH(Tabla4[[#This Row],[Producto]],Tabla6[[#All],[PRODUCTO]],0),MATCH(Tabla4[[#This Row],[Mes]],Tabla6[#Headers],0)))</f>
        <v>#N/A</v>
      </c>
      <c r="R339" s="282" t="e">
        <f>++Tabla4[[#This Row],[Precio Unitario Neto]]-Tabla4[[#This Row],[20.85%]]-Tabla4[[#This Row],[Costo]]</f>
        <v>#N/A</v>
      </c>
      <c r="S339" s="282" t="e">
        <f>++Tabla4[[#This Row],[U. Bruta Uni]]*Tabla4[[#This Row],[Cantidad]]</f>
        <v>#N/A</v>
      </c>
      <c r="T339" s="369" t="str">
        <f>VLOOKUP(Tabla4[[#This Row],[Producto]],Tabla6[#All],14,FALSE)</f>
        <v>Termico Solar</v>
      </c>
      <c r="U339" s="284" t="e">
        <f>(IF(Tabla4[[#This Row],[Familia]]="termico solar",Tabla4[[#This Row],[Utilidad Total]]*6%,Tabla4[[#This Row],[Utilidad Total]]*11.5%))/Tabla4[[#This Row],[Total]]</f>
        <v>#N/A</v>
      </c>
      <c r="V339" s="282" t="e">
        <f>+Tabla4[[#This Row],[Comisión Calculada]]*Tabla4[[#This Row],[Total]]</f>
        <v>#N/A</v>
      </c>
    </row>
    <row r="340" spans="1:22" hidden="1" x14ac:dyDescent="0.25">
      <c r="A340" s="100">
        <v>45688</v>
      </c>
      <c r="B340" t="str">
        <f t="shared" si="12"/>
        <v>January</v>
      </c>
      <c r="C340" s="46" t="s">
        <v>280</v>
      </c>
      <c r="F340" s="366" t="s">
        <v>842</v>
      </c>
      <c r="G340" s="46" t="s">
        <v>83</v>
      </c>
      <c r="H340" s="46">
        <v>1</v>
      </c>
      <c r="I340" s="51">
        <v>8858.76</v>
      </c>
      <c r="J340" s="281">
        <f>++Tabla4[[#This Row],[Precio Bruto]]*1.16</f>
        <v>10276.161599999999</v>
      </c>
      <c r="K340" s="281">
        <f>+Tabla4[[#This Row],[Precio Unitario Neto]]*Tabla4[[#Headers],[20.85%]]</f>
        <v>2142.5796935999997</v>
      </c>
      <c r="L340" s="282">
        <f>++Tabla4[[#This Row],[Precio Unitario Neto]]-Tabla4[[#This Row],[20.85%]]</f>
        <v>8133.5819063999998</v>
      </c>
      <c r="M340" s="282" t="e">
        <f>(INDEX(Tabla6[#All],MATCH(Tabla4[[#This Row],[Producto]],Tabla6[[#All],[PRODUCTO]],0),MATCH(Tabla4[[#This Row],[Mes]],Tabla6[#Headers],0)))*(1+Catalogos!$L$2)</f>
        <v>#N/A</v>
      </c>
      <c r="N340" s="283" t="e">
        <f>+(Tabla4[[#This Row],[Precio Descontado]]-Tabla4[[#This Row],[Precio Base]])*Tabla4[[#This Row],[Cantidad]]</f>
        <v>#N/A</v>
      </c>
      <c r="O340" s="284" t="e">
        <f>++Tabla4[[#This Row],[Utilidad Total]]/Tabla4[[#This Row],[Total]]</f>
        <v>#N/A</v>
      </c>
      <c r="P340" s="282">
        <f>++Tabla4[[#This Row],[Precio Descontado]]*Tabla4[[#This Row],[Cantidad]]</f>
        <v>8133.5819063999998</v>
      </c>
      <c r="Q340" s="282" t="e">
        <f>(INDEX(Tabla6[#All],MATCH(Tabla4[[#This Row],[Producto]],Tabla6[[#All],[PRODUCTO]],0),MATCH(Tabla4[[#This Row],[Mes]],Tabla6[#Headers],0)))</f>
        <v>#N/A</v>
      </c>
      <c r="R340" s="282" t="e">
        <f>++Tabla4[[#This Row],[Precio Unitario Neto]]-Tabla4[[#This Row],[20.85%]]-Tabla4[[#This Row],[Costo]]</f>
        <v>#N/A</v>
      </c>
      <c r="S340" s="282" t="e">
        <f>++Tabla4[[#This Row],[U. Bruta Uni]]*Tabla4[[#This Row],[Cantidad]]</f>
        <v>#N/A</v>
      </c>
      <c r="T340" s="369" t="str">
        <f>VLOOKUP(Tabla4[[#This Row],[Producto]],Tabla6[#All],14,FALSE)</f>
        <v>Termico Solar</v>
      </c>
      <c r="U340" s="284" t="e">
        <f>(IF(Tabla4[[#This Row],[Familia]]="termico solar",Tabla4[[#This Row],[Utilidad Total]]*6%,Tabla4[[#This Row],[Utilidad Total]]*11.5%))/Tabla4[[#This Row],[Total]]</f>
        <v>#N/A</v>
      </c>
      <c r="V340" s="282" t="e">
        <f>+Tabla4[[#This Row],[Comisión Calculada]]*Tabla4[[#This Row],[Total]]</f>
        <v>#N/A</v>
      </c>
    </row>
    <row r="341" spans="1:22" hidden="1" x14ac:dyDescent="0.25">
      <c r="A341" s="100">
        <v>45688</v>
      </c>
      <c r="B341" t="str">
        <f t="shared" si="12"/>
        <v>January</v>
      </c>
      <c r="C341" s="46" t="s">
        <v>280</v>
      </c>
      <c r="F341" s="366" t="s">
        <v>842</v>
      </c>
      <c r="G341" s="46" t="s">
        <v>17</v>
      </c>
      <c r="H341" s="46">
        <v>1</v>
      </c>
      <c r="I341" s="51">
        <v>4622.28</v>
      </c>
      <c r="J341" s="281">
        <f>++Tabla4[[#This Row],[Precio Bruto]]*1.16</f>
        <v>5361.8447999999989</v>
      </c>
      <c r="K341" s="281">
        <f>+Tabla4[[#This Row],[Precio Unitario Neto]]*Tabla4[[#Headers],[20.85%]]</f>
        <v>1117.9446407999997</v>
      </c>
      <c r="L341" s="282">
        <f>++Tabla4[[#This Row],[Precio Unitario Neto]]-Tabla4[[#This Row],[20.85%]]</f>
        <v>4243.9001591999995</v>
      </c>
      <c r="M341" s="282" t="e">
        <f>(INDEX(Tabla6[#All],MATCH(Tabla4[[#This Row],[Producto]],Tabla6[[#All],[PRODUCTO]],0),MATCH(Tabla4[[#This Row],[Mes]],Tabla6[#Headers],0)))*(1+Catalogos!$L$2)</f>
        <v>#N/A</v>
      </c>
      <c r="N341" s="283" t="e">
        <f>+(Tabla4[[#This Row],[Precio Descontado]]-Tabla4[[#This Row],[Precio Base]])*Tabla4[[#This Row],[Cantidad]]</f>
        <v>#N/A</v>
      </c>
      <c r="O341" s="284" t="e">
        <f>++Tabla4[[#This Row],[Utilidad Total]]/Tabla4[[#This Row],[Total]]</f>
        <v>#N/A</v>
      </c>
      <c r="P341" s="282">
        <f>++Tabla4[[#This Row],[Precio Descontado]]*Tabla4[[#This Row],[Cantidad]]</f>
        <v>4243.9001591999995</v>
      </c>
      <c r="Q341" s="282" t="e">
        <f>(INDEX(Tabla6[#All],MATCH(Tabla4[[#This Row],[Producto]],Tabla6[[#All],[PRODUCTO]],0),MATCH(Tabla4[[#This Row],[Mes]],Tabla6[#Headers],0)))</f>
        <v>#N/A</v>
      </c>
      <c r="R341" s="282" t="e">
        <f>++Tabla4[[#This Row],[Precio Unitario Neto]]-Tabla4[[#This Row],[20.85%]]-Tabla4[[#This Row],[Costo]]</f>
        <v>#N/A</v>
      </c>
      <c r="S341" s="282" t="e">
        <f>++Tabla4[[#This Row],[U. Bruta Uni]]*Tabla4[[#This Row],[Cantidad]]</f>
        <v>#N/A</v>
      </c>
      <c r="T341" s="369" t="str">
        <f>VLOOKUP(Tabla4[[#This Row],[Producto]],Tabla6[#All],14,FALSE)</f>
        <v>Termico Solar</v>
      </c>
      <c r="U341" s="284" t="e">
        <f>(IF(Tabla4[[#This Row],[Familia]]="termico solar",Tabla4[[#This Row],[Utilidad Total]]*6%,Tabla4[[#This Row],[Utilidad Total]]*11.5%))/Tabla4[[#This Row],[Total]]</f>
        <v>#N/A</v>
      </c>
      <c r="V341" s="282" t="e">
        <f>+Tabla4[[#This Row],[Comisión Calculada]]*Tabla4[[#This Row],[Total]]</f>
        <v>#N/A</v>
      </c>
    </row>
    <row r="342" spans="1:22" hidden="1" x14ac:dyDescent="0.25">
      <c r="A342" s="100">
        <v>45688</v>
      </c>
      <c r="B342" t="str">
        <f t="shared" si="12"/>
        <v>January</v>
      </c>
      <c r="C342" s="46" t="s">
        <v>280</v>
      </c>
      <c r="F342" s="366" t="s">
        <v>843</v>
      </c>
      <c r="G342" s="46" t="s">
        <v>17</v>
      </c>
      <c r="H342" s="46">
        <v>4</v>
      </c>
      <c r="I342" s="51">
        <v>4622.28</v>
      </c>
      <c r="J342" s="281">
        <f>++Tabla4[[#This Row],[Precio Bruto]]*1.16</f>
        <v>5361.8447999999989</v>
      </c>
      <c r="K342" s="281">
        <f>+Tabla4[[#This Row],[Precio Unitario Neto]]*Tabla4[[#Headers],[20.85%]]</f>
        <v>1117.9446407999997</v>
      </c>
      <c r="L342" s="282">
        <f>++Tabla4[[#This Row],[Precio Unitario Neto]]-Tabla4[[#This Row],[20.85%]]</f>
        <v>4243.9001591999995</v>
      </c>
      <c r="M342" s="282" t="e">
        <f>(INDEX(Tabla6[#All],MATCH(Tabla4[[#This Row],[Producto]],Tabla6[[#All],[PRODUCTO]],0),MATCH(Tabla4[[#This Row],[Mes]],Tabla6[#Headers],0)))*(1+Catalogos!$L$2)</f>
        <v>#N/A</v>
      </c>
      <c r="N342" s="283" t="e">
        <f>+(Tabla4[[#This Row],[Precio Descontado]]-Tabla4[[#This Row],[Precio Base]])*Tabla4[[#This Row],[Cantidad]]</f>
        <v>#N/A</v>
      </c>
      <c r="O342" s="284" t="e">
        <f>++Tabla4[[#This Row],[Utilidad Total]]/Tabla4[[#This Row],[Total]]</f>
        <v>#N/A</v>
      </c>
      <c r="P342" s="282">
        <f>++Tabla4[[#This Row],[Precio Descontado]]*Tabla4[[#This Row],[Cantidad]]</f>
        <v>16975.600636799998</v>
      </c>
      <c r="Q342" s="282" t="e">
        <f>(INDEX(Tabla6[#All],MATCH(Tabla4[[#This Row],[Producto]],Tabla6[[#All],[PRODUCTO]],0),MATCH(Tabla4[[#This Row],[Mes]],Tabla6[#Headers],0)))</f>
        <v>#N/A</v>
      </c>
      <c r="R342" s="282" t="e">
        <f>++Tabla4[[#This Row],[Precio Unitario Neto]]-Tabla4[[#This Row],[20.85%]]-Tabla4[[#This Row],[Costo]]</f>
        <v>#N/A</v>
      </c>
      <c r="S342" s="282" t="e">
        <f>++Tabla4[[#This Row],[U. Bruta Uni]]*Tabla4[[#This Row],[Cantidad]]</f>
        <v>#N/A</v>
      </c>
      <c r="T342" s="369" t="str">
        <f>VLOOKUP(Tabla4[[#This Row],[Producto]],Tabla6[#All],14,FALSE)</f>
        <v>Termico Solar</v>
      </c>
      <c r="U342" s="284" t="e">
        <f>(IF(Tabla4[[#This Row],[Familia]]="termico solar",Tabla4[[#This Row],[Utilidad Total]]*6%,Tabla4[[#This Row],[Utilidad Total]]*11.5%))/Tabla4[[#This Row],[Total]]</f>
        <v>#N/A</v>
      </c>
      <c r="V342" s="282" t="e">
        <f>+Tabla4[[#This Row],[Comisión Calculada]]*Tabla4[[#This Row],[Total]]</f>
        <v>#N/A</v>
      </c>
    </row>
    <row r="343" spans="1:22" hidden="1" x14ac:dyDescent="0.25">
      <c r="A343" s="100">
        <v>45688</v>
      </c>
      <c r="B343" t="str">
        <f t="shared" si="12"/>
        <v>January</v>
      </c>
      <c r="C343" s="46" t="s">
        <v>280</v>
      </c>
      <c r="F343" s="366" t="s">
        <v>843</v>
      </c>
      <c r="G343" s="46" t="s">
        <v>566</v>
      </c>
      <c r="H343" s="46">
        <v>1</v>
      </c>
      <c r="I343" s="51">
        <v>2109.4499999999998</v>
      </c>
      <c r="J343" s="281">
        <f>++Tabla4[[#This Row],[Precio Bruto]]*1.16</f>
        <v>2446.9619999999995</v>
      </c>
      <c r="K343" s="281">
        <f>+Tabla4[[#This Row],[Precio Unitario Neto]]*Tabla4[[#Headers],[20.85%]]</f>
        <v>510.19157699999988</v>
      </c>
      <c r="L343" s="282">
        <f>++Tabla4[[#This Row],[Precio Unitario Neto]]-Tabla4[[#This Row],[20.85%]]</f>
        <v>1936.7704229999997</v>
      </c>
      <c r="M343" s="282" t="e">
        <f>(INDEX(Tabla6[#All],MATCH(Tabla4[[#This Row],[Producto]],Tabla6[[#All],[PRODUCTO]],0),MATCH(Tabla4[[#This Row],[Mes]],Tabla6[#Headers],0)))*(1+Catalogos!$L$2)</f>
        <v>#N/A</v>
      </c>
      <c r="N343" s="283" t="e">
        <f>+(Tabla4[[#This Row],[Precio Descontado]]-Tabla4[[#This Row],[Precio Base]])*Tabla4[[#This Row],[Cantidad]]</f>
        <v>#N/A</v>
      </c>
      <c r="O343" s="284" t="e">
        <f>++Tabla4[[#This Row],[Utilidad Total]]/Tabla4[[#This Row],[Total]]</f>
        <v>#N/A</v>
      </c>
      <c r="P343" s="282">
        <f>++Tabla4[[#This Row],[Precio Descontado]]*Tabla4[[#This Row],[Cantidad]]</f>
        <v>1936.7704229999997</v>
      </c>
      <c r="Q343" s="282" t="e">
        <f>(INDEX(Tabla6[#All],MATCH(Tabla4[[#This Row],[Producto]],Tabla6[[#All],[PRODUCTO]],0),MATCH(Tabla4[[#This Row],[Mes]],Tabla6[#Headers],0)))</f>
        <v>#N/A</v>
      </c>
      <c r="R343" s="282" t="e">
        <f>++Tabla4[[#This Row],[Precio Unitario Neto]]-Tabla4[[#This Row],[20.85%]]-Tabla4[[#This Row],[Costo]]</f>
        <v>#N/A</v>
      </c>
      <c r="S343" s="282" t="e">
        <f>++Tabla4[[#This Row],[U. Bruta Uni]]*Tabla4[[#This Row],[Cantidad]]</f>
        <v>#N/A</v>
      </c>
      <c r="T343" s="369" t="str">
        <f>VLOOKUP(Tabla4[[#This Row],[Producto]],Tabla6[#All],14,FALSE)</f>
        <v>Termico Solar</v>
      </c>
      <c r="U343" s="284" t="e">
        <f>(IF(Tabla4[[#This Row],[Familia]]="termico solar",Tabla4[[#This Row],[Utilidad Total]]*6%,Tabla4[[#This Row],[Utilidad Total]]*11.5%))/Tabla4[[#This Row],[Total]]</f>
        <v>#N/A</v>
      </c>
      <c r="V343" s="282" t="e">
        <f>+Tabla4[[#This Row],[Comisión Calculada]]*Tabla4[[#This Row],[Total]]</f>
        <v>#N/A</v>
      </c>
    </row>
    <row r="344" spans="1:22" hidden="1" x14ac:dyDescent="0.25">
      <c r="A344" s="100">
        <v>45688</v>
      </c>
      <c r="B344" t="str">
        <f t="shared" si="12"/>
        <v>January</v>
      </c>
      <c r="C344" s="46" t="s">
        <v>280</v>
      </c>
      <c r="F344" s="366" t="s">
        <v>844</v>
      </c>
      <c r="G344" s="46" t="s">
        <v>83</v>
      </c>
      <c r="H344" s="46">
        <v>1</v>
      </c>
      <c r="I344" s="51">
        <v>8858.76</v>
      </c>
      <c r="J344" s="281">
        <f>++Tabla4[[#This Row],[Precio Bruto]]*1.16</f>
        <v>10276.161599999999</v>
      </c>
      <c r="K344" s="281">
        <f>+Tabla4[[#This Row],[Precio Unitario Neto]]*Tabla4[[#Headers],[20.85%]]</f>
        <v>2142.5796935999997</v>
      </c>
      <c r="L344" s="282">
        <f>++Tabla4[[#This Row],[Precio Unitario Neto]]-Tabla4[[#This Row],[20.85%]]</f>
        <v>8133.5819063999998</v>
      </c>
      <c r="M344" s="282" t="e">
        <f>(INDEX(Tabla6[#All],MATCH(Tabla4[[#This Row],[Producto]],Tabla6[[#All],[PRODUCTO]],0),MATCH(Tabla4[[#This Row],[Mes]],Tabla6[#Headers],0)))*(1+Catalogos!$L$2)</f>
        <v>#N/A</v>
      </c>
      <c r="N344" s="283" t="e">
        <f>+(Tabla4[[#This Row],[Precio Descontado]]-Tabla4[[#This Row],[Precio Base]])*Tabla4[[#This Row],[Cantidad]]</f>
        <v>#N/A</v>
      </c>
      <c r="O344" s="284" t="e">
        <f>++Tabla4[[#This Row],[Utilidad Total]]/Tabla4[[#This Row],[Total]]</f>
        <v>#N/A</v>
      </c>
      <c r="P344" s="282">
        <f>++Tabla4[[#This Row],[Precio Descontado]]*Tabla4[[#This Row],[Cantidad]]</f>
        <v>8133.5819063999998</v>
      </c>
      <c r="Q344" s="282" t="e">
        <f>(INDEX(Tabla6[#All],MATCH(Tabla4[[#This Row],[Producto]],Tabla6[[#All],[PRODUCTO]],0),MATCH(Tabla4[[#This Row],[Mes]],Tabla6[#Headers],0)))</f>
        <v>#N/A</v>
      </c>
      <c r="R344" s="282" t="e">
        <f>++Tabla4[[#This Row],[Precio Unitario Neto]]-Tabla4[[#This Row],[20.85%]]-Tabla4[[#This Row],[Costo]]</f>
        <v>#N/A</v>
      </c>
      <c r="S344" s="282" t="e">
        <f>++Tabla4[[#This Row],[U. Bruta Uni]]*Tabla4[[#This Row],[Cantidad]]</f>
        <v>#N/A</v>
      </c>
      <c r="T344" s="369" t="str">
        <f>VLOOKUP(Tabla4[[#This Row],[Producto]],Tabla6[#All],14,FALSE)</f>
        <v>Termico Solar</v>
      </c>
      <c r="U344" s="284" t="e">
        <f>(IF(Tabla4[[#This Row],[Familia]]="termico solar",Tabla4[[#This Row],[Utilidad Total]]*6%,Tabla4[[#This Row],[Utilidad Total]]*11.5%))/Tabla4[[#This Row],[Total]]</f>
        <v>#N/A</v>
      </c>
      <c r="V344" s="282" t="e">
        <f>+Tabla4[[#This Row],[Comisión Calculada]]*Tabla4[[#This Row],[Total]]</f>
        <v>#N/A</v>
      </c>
    </row>
    <row r="345" spans="1:22" hidden="1" x14ac:dyDescent="0.25">
      <c r="A345" s="100">
        <v>45688</v>
      </c>
      <c r="B345" t="str">
        <f t="shared" si="12"/>
        <v>January</v>
      </c>
      <c r="C345" s="46" t="s">
        <v>280</v>
      </c>
      <c r="F345" s="366" t="s">
        <v>844</v>
      </c>
      <c r="G345" s="46" t="s">
        <v>18</v>
      </c>
      <c r="H345" s="46">
        <v>1</v>
      </c>
      <c r="I345" s="51">
        <v>5367.65</v>
      </c>
      <c r="J345" s="281">
        <f>++Tabla4[[#This Row],[Precio Bruto]]*1.16</f>
        <v>6226.4739999999993</v>
      </c>
      <c r="K345" s="281">
        <f>+Tabla4[[#This Row],[Precio Unitario Neto]]*Tabla4[[#Headers],[20.85%]]</f>
        <v>1298.2198289999999</v>
      </c>
      <c r="L345" s="282">
        <f>++Tabla4[[#This Row],[Precio Unitario Neto]]-Tabla4[[#This Row],[20.85%]]</f>
        <v>4928.2541709999996</v>
      </c>
      <c r="M345" s="282" t="e">
        <f>(INDEX(Tabla6[#All],MATCH(Tabla4[[#This Row],[Producto]],Tabla6[[#All],[PRODUCTO]],0),MATCH(Tabla4[[#This Row],[Mes]],Tabla6[#Headers],0)))*(1+Catalogos!$L$2)</f>
        <v>#N/A</v>
      </c>
      <c r="N345" s="283" t="e">
        <f>+(Tabla4[[#This Row],[Precio Descontado]]-Tabla4[[#This Row],[Precio Base]])*Tabla4[[#This Row],[Cantidad]]</f>
        <v>#N/A</v>
      </c>
      <c r="O345" s="284" t="e">
        <f>++Tabla4[[#This Row],[Utilidad Total]]/Tabla4[[#This Row],[Total]]</f>
        <v>#N/A</v>
      </c>
      <c r="P345" s="282">
        <f>++Tabla4[[#This Row],[Precio Descontado]]*Tabla4[[#This Row],[Cantidad]]</f>
        <v>4928.2541709999996</v>
      </c>
      <c r="Q345" s="282" t="e">
        <f>(INDEX(Tabla6[#All],MATCH(Tabla4[[#This Row],[Producto]],Tabla6[[#All],[PRODUCTO]],0),MATCH(Tabla4[[#This Row],[Mes]],Tabla6[#Headers],0)))</f>
        <v>#N/A</v>
      </c>
      <c r="R345" s="282" t="e">
        <f>++Tabla4[[#This Row],[Precio Unitario Neto]]-Tabla4[[#This Row],[20.85%]]-Tabla4[[#This Row],[Costo]]</f>
        <v>#N/A</v>
      </c>
      <c r="S345" s="282" t="e">
        <f>++Tabla4[[#This Row],[U. Bruta Uni]]*Tabla4[[#This Row],[Cantidad]]</f>
        <v>#N/A</v>
      </c>
      <c r="T345" s="369" t="str">
        <f>VLOOKUP(Tabla4[[#This Row],[Producto]],Tabla6[#All],14,FALSE)</f>
        <v>Termico Solar</v>
      </c>
      <c r="U345" s="284" t="e">
        <f>(IF(Tabla4[[#This Row],[Familia]]="termico solar",Tabla4[[#This Row],[Utilidad Total]]*6%,Tabla4[[#This Row],[Utilidad Total]]*11.5%))/Tabla4[[#This Row],[Total]]</f>
        <v>#N/A</v>
      </c>
      <c r="V345" s="282" t="e">
        <f>+Tabla4[[#This Row],[Comisión Calculada]]*Tabla4[[#This Row],[Total]]</f>
        <v>#N/A</v>
      </c>
    </row>
    <row r="346" spans="1:22" hidden="1" x14ac:dyDescent="0.25">
      <c r="A346" s="100">
        <v>45688</v>
      </c>
      <c r="B346" t="str">
        <f t="shared" si="12"/>
        <v>January</v>
      </c>
      <c r="C346" s="46" t="s">
        <v>280</v>
      </c>
      <c r="F346" s="366" t="s">
        <v>845</v>
      </c>
      <c r="G346" s="46" t="s">
        <v>83</v>
      </c>
      <c r="H346" s="46">
        <v>1</v>
      </c>
      <c r="I346" s="51">
        <v>8858.76</v>
      </c>
      <c r="J346" s="281">
        <f>++Tabla4[[#This Row],[Precio Bruto]]*1.16</f>
        <v>10276.161599999999</v>
      </c>
      <c r="K346" s="281">
        <f>+Tabla4[[#This Row],[Precio Unitario Neto]]*Tabla4[[#Headers],[20.85%]]</f>
        <v>2142.5796935999997</v>
      </c>
      <c r="L346" s="282">
        <f>++Tabla4[[#This Row],[Precio Unitario Neto]]-Tabla4[[#This Row],[20.85%]]</f>
        <v>8133.5819063999998</v>
      </c>
      <c r="M346" s="282" t="e">
        <f>(INDEX(Tabla6[#All],MATCH(Tabla4[[#This Row],[Producto]],Tabla6[[#All],[PRODUCTO]],0),MATCH(Tabla4[[#This Row],[Mes]],Tabla6[#Headers],0)))*(1+Catalogos!$L$2)</f>
        <v>#N/A</v>
      </c>
      <c r="N346" s="283" t="e">
        <f>+(Tabla4[[#This Row],[Precio Descontado]]-Tabla4[[#This Row],[Precio Base]])*Tabla4[[#This Row],[Cantidad]]</f>
        <v>#N/A</v>
      </c>
      <c r="O346" s="284" t="e">
        <f>++Tabla4[[#This Row],[Utilidad Total]]/Tabla4[[#This Row],[Total]]</f>
        <v>#N/A</v>
      </c>
      <c r="P346" s="282">
        <f>++Tabla4[[#This Row],[Precio Descontado]]*Tabla4[[#This Row],[Cantidad]]</f>
        <v>8133.5819063999998</v>
      </c>
      <c r="Q346" s="282" t="e">
        <f>(INDEX(Tabla6[#All],MATCH(Tabla4[[#This Row],[Producto]],Tabla6[[#All],[PRODUCTO]],0),MATCH(Tabla4[[#This Row],[Mes]],Tabla6[#Headers],0)))</f>
        <v>#N/A</v>
      </c>
      <c r="R346" s="282" t="e">
        <f>++Tabla4[[#This Row],[Precio Unitario Neto]]-Tabla4[[#This Row],[20.85%]]-Tabla4[[#This Row],[Costo]]</f>
        <v>#N/A</v>
      </c>
      <c r="S346" s="282" t="e">
        <f>++Tabla4[[#This Row],[U. Bruta Uni]]*Tabla4[[#This Row],[Cantidad]]</f>
        <v>#N/A</v>
      </c>
      <c r="T346" s="369" t="str">
        <f>VLOOKUP(Tabla4[[#This Row],[Producto]],Tabla6[#All],14,FALSE)</f>
        <v>Termico Solar</v>
      </c>
      <c r="U346" s="284" t="e">
        <f>(IF(Tabla4[[#This Row],[Familia]]="termico solar",Tabla4[[#This Row],[Utilidad Total]]*6%,Tabla4[[#This Row],[Utilidad Total]]*11.5%))/Tabla4[[#This Row],[Total]]</f>
        <v>#N/A</v>
      </c>
      <c r="V346" s="282" t="e">
        <f>+Tabla4[[#This Row],[Comisión Calculada]]*Tabla4[[#This Row],[Total]]</f>
        <v>#N/A</v>
      </c>
    </row>
    <row r="347" spans="1:22" hidden="1" x14ac:dyDescent="0.25">
      <c r="A347" s="100">
        <v>45688</v>
      </c>
      <c r="B347" t="str">
        <f t="shared" si="12"/>
        <v>January</v>
      </c>
      <c r="C347" s="46" t="s">
        <v>280</v>
      </c>
      <c r="F347" s="366" t="s">
        <v>845</v>
      </c>
      <c r="G347" s="46" t="s">
        <v>17</v>
      </c>
      <c r="H347" s="46">
        <v>3</v>
      </c>
      <c r="I347" s="51">
        <v>4622.28</v>
      </c>
      <c r="J347" s="281">
        <f>++Tabla4[[#This Row],[Precio Bruto]]*1.16</f>
        <v>5361.8447999999989</v>
      </c>
      <c r="K347" s="281">
        <f>+Tabla4[[#This Row],[Precio Unitario Neto]]*Tabla4[[#Headers],[20.85%]]</f>
        <v>1117.9446407999997</v>
      </c>
      <c r="L347" s="282">
        <f>++Tabla4[[#This Row],[Precio Unitario Neto]]-Tabla4[[#This Row],[20.85%]]</f>
        <v>4243.9001591999995</v>
      </c>
      <c r="M347" s="282" t="e">
        <f>(INDEX(Tabla6[#All],MATCH(Tabla4[[#This Row],[Producto]],Tabla6[[#All],[PRODUCTO]],0),MATCH(Tabla4[[#This Row],[Mes]],Tabla6[#Headers],0)))*(1+Catalogos!$L$2)</f>
        <v>#N/A</v>
      </c>
      <c r="N347" s="283" t="e">
        <f>+(Tabla4[[#This Row],[Precio Descontado]]-Tabla4[[#This Row],[Precio Base]])*Tabla4[[#This Row],[Cantidad]]</f>
        <v>#N/A</v>
      </c>
      <c r="O347" s="284" t="e">
        <f>++Tabla4[[#This Row],[Utilidad Total]]/Tabla4[[#This Row],[Total]]</f>
        <v>#N/A</v>
      </c>
      <c r="P347" s="282">
        <f>++Tabla4[[#This Row],[Precio Descontado]]*Tabla4[[#This Row],[Cantidad]]</f>
        <v>12731.700477599999</v>
      </c>
      <c r="Q347" s="282" t="e">
        <f>(INDEX(Tabla6[#All],MATCH(Tabla4[[#This Row],[Producto]],Tabla6[[#All],[PRODUCTO]],0),MATCH(Tabla4[[#This Row],[Mes]],Tabla6[#Headers],0)))</f>
        <v>#N/A</v>
      </c>
      <c r="R347" s="282" t="e">
        <f>++Tabla4[[#This Row],[Precio Unitario Neto]]-Tabla4[[#This Row],[20.85%]]-Tabla4[[#This Row],[Costo]]</f>
        <v>#N/A</v>
      </c>
      <c r="S347" s="282" t="e">
        <f>++Tabla4[[#This Row],[U. Bruta Uni]]*Tabla4[[#This Row],[Cantidad]]</f>
        <v>#N/A</v>
      </c>
      <c r="T347" s="369" t="str">
        <f>VLOOKUP(Tabla4[[#This Row],[Producto]],Tabla6[#All],14,FALSE)</f>
        <v>Termico Solar</v>
      </c>
      <c r="U347" s="284" t="e">
        <f>(IF(Tabla4[[#This Row],[Familia]]="termico solar",Tabla4[[#This Row],[Utilidad Total]]*6%,Tabla4[[#This Row],[Utilidad Total]]*11.5%))/Tabla4[[#This Row],[Total]]</f>
        <v>#N/A</v>
      </c>
      <c r="V347" s="282" t="e">
        <f>+Tabla4[[#This Row],[Comisión Calculada]]*Tabla4[[#This Row],[Total]]</f>
        <v>#N/A</v>
      </c>
    </row>
    <row r="348" spans="1:22" ht="14.25" hidden="1" customHeight="1" x14ac:dyDescent="0.25">
      <c r="A348" s="100">
        <v>45688</v>
      </c>
      <c r="B348" t="str">
        <f t="shared" si="12"/>
        <v>January</v>
      </c>
      <c r="C348" s="46" t="s">
        <v>280</v>
      </c>
      <c r="F348" s="366" t="s">
        <v>845</v>
      </c>
      <c r="G348" s="46" t="s">
        <v>566</v>
      </c>
      <c r="H348" s="46">
        <v>1</v>
      </c>
      <c r="I348" s="51">
        <v>2109.4499999999998</v>
      </c>
      <c r="J348" s="281">
        <f>++Tabla4[[#This Row],[Precio Bruto]]*1.16</f>
        <v>2446.9619999999995</v>
      </c>
      <c r="K348" s="281">
        <f>+Tabla4[[#This Row],[Precio Unitario Neto]]*Tabla4[[#Headers],[20.85%]]</f>
        <v>510.19157699999988</v>
      </c>
      <c r="L348" s="282">
        <f>++Tabla4[[#This Row],[Precio Unitario Neto]]-Tabla4[[#This Row],[20.85%]]</f>
        <v>1936.7704229999997</v>
      </c>
      <c r="M348" s="282" t="e">
        <f>(INDEX(Tabla6[#All],MATCH(Tabla4[[#This Row],[Producto]],Tabla6[[#All],[PRODUCTO]],0),MATCH(Tabla4[[#This Row],[Mes]],Tabla6[#Headers],0)))*(1+Catalogos!$L$2)</f>
        <v>#N/A</v>
      </c>
      <c r="N348" s="283" t="e">
        <f>+(Tabla4[[#This Row],[Precio Descontado]]-Tabla4[[#This Row],[Precio Base]])*Tabla4[[#This Row],[Cantidad]]</f>
        <v>#N/A</v>
      </c>
      <c r="O348" s="284" t="e">
        <f>++Tabla4[[#This Row],[Utilidad Total]]/Tabla4[[#This Row],[Total]]</f>
        <v>#N/A</v>
      </c>
      <c r="P348" s="282">
        <f>++Tabla4[[#This Row],[Precio Descontado]]*Tabla4[[#This Row],[Cantidad]]</f>
        <v>1936.7704229999997</v>
      </c>
      <c r="Q348" s="282" t="e">
        <f>(INDEX(Tabla6[#All],MATCH(Tabla4[[#This Row],[Producto]],Tabla6[[#All],[PRODUCTO]],0),MATCH(Tabla4[[#This Row],[Mes]],Tabla6[#Headers],0)))</f>
        <v>#N/A</v>
      </c>
      <c r="R348" s="282" t="e">
        <f>++Tabla4[[#This Row],[Precio Unitario Neto]]-Tabla4[[#This Row],[20.85%]]-Tabla4[[#This Row],[Costo]]</f>
        <v>#N/A</v>
      </c>
      <c r="S348" s="282" t="e">
        <f>++Tabla4[[#This Row],[U. Bruta Uni]]*Tabla4[[#This Row],[Cantidad]]</f>
        <v>#N/A</v>
      </c>
      <c r="T348" s="369" t="str">
        <f>VLOOKUP(Tabla4[[#This Row],[Producto]],Tabla6[#All],14,FALSE)</f>
        <v>Termico Solar</v>
      </c>
      <c r="U348" s="284" t="e">
        <f>(IF(Tabla4[[#This Row],[Familia]]="termico solar",Tabla4[[#This Row],[Utilidad Total]]*6%,Tabla4[[#This Row],[Utilidad Total]]*11.5%))/Tabla4[[#This Row],[Total]]</f>
        <v>#N/A</v>
      </c>
      <c r="V348" s="282" t="e">
        <f>+Tabla4[[#This Row],[Comisión Calculada]]*Tabla4[[#This Row],[Total]]</f>
        <v>#N/A</v>
      </c>
    </row>
    <row r="349" spans="1:22" ht="14.25" hidden="1" customHeight="1" x14ac:dyDescent="0.25">
      <c r="A349" s="100">
        <v>45688</v>
      </c>
      <c r="B349" t="str">
        <f t="shared" si="12"/>
        <v>January</v>
      </c>
      <c r="C349" s="46" t="s">
        <v>280</v>
      </c>
      <c r="F349" s="366" t="s">
        <v>845</v>
      </c>
      <c r="G349" s="46" t="s">
        <v>412</v>
      </c>
      <c r="H349" s="46">
        <v>1</v>
      </c>
      <c r="I349" s="51">
        <v>3240.84</v>
      </c>
      <c r="J349" s="281">
        <f>++Tabla4[[#This Row],[Precio Bruto]]*1.16</f>
        <v>3759.3743999999997</v>
      </c>
      <c r="K349" s="281">
        <f>+Tabla4[[#This Row],[Precio Unitario Neto]]*Tabla4[[#Headers],[20.85%]]</f>
        <v>783.82956239999987</v>
      </c>
      <c r="L349" s="282">
        <f>++Tabla4[[#This Row],[Precio Unitario Neto]]-Tabla4[[#This Row],[20.85%]]</f>
        <v>2975.5448375999999</v>
      </c>
      <c r="M349" s="282" t="e">
        <f>(INDEX(Tabla6[#All],MATCH(Tabla4[[#This Row],[Producto]],Tabla6[[#All],[PRODUCTO]],0),MATCH(Tabla4[[#This Row],[Mes]],Tabla6[#Headers],0)))*(1+Catalogos!$L$2)</f>
        <v>#N/A</v>
      </c>
      <c r="N349" s="283" t="e">
        <f>+(Tabla4[[#This Row],[Precio Descontado]]-Tabla4[[#This Row],[Precio Base]])*Tabla4[[#This Row],[Cantidad]]</f>
        <v>#N/A</v>
      </c>
      <c r="O349" s="284" t="e">
        <f>++Tabla4[[#This Row],[Utilidad Total]]/Tabla4[[#This Row],[Total]]</f>
        <v>#N/A</v>
      </c>
      <c r="P349" s="282">
        <f>++Tabla4[[#This Row],[Precio Descontado]]*Tabla4[[#This Row],[Cantidad]]</f>
        <v>2975.5448375999999</v>
      </c>
      <c r="Q349" s="282" t="e">
        <f>(INDEX(Tabla6[#All],MATCH(Tabla4[[#This Row],[Producto]],Tabla6[[#All],[PRODUCTO]],0),MATCH(Tabla4[[#This Row],[Mes]],Tabla6[#Headers],0)))</f>
        <v>#N/A</v>
      </c>
      <c r="R349" s="282" t="e">
        <f>++Tabla4[[#This Row],[Precio Unitario Neto]]-Tabla4[[#This Row],[20.85%]]-Tabla4[[#This Row],[Costo]]</f>
        <v>#N/A</v>
      </c>
      <c r="S349" s="282" t="e">
        <f>++Tabla4[[#This Row],[U. Bruta Uni]]*Tabla4[[#This Row],[Cantidad]]</f>
        <v>#N/A</v>
      </c>
      <c r="T349" s="369" t="str">
        <f>VLOOKUP(Tabla4[[#This Row],[Producto]],Tabla6[#All],14,FALSE)</f>
        <v>Termico Solar</v>
      </c>
      <c r="U349" s="284" t="e">
        <f>(IF(Tabla4[[#This Row],[Familia]]="termico solar",Tabla4[[#This Row],[Utilidad Total]]*6%,Tabla4[[#This Row],[Utilidad Total]]*11.5%))/Tabla4[[#This Row],[Total]]</f>
        <v>#N/A</v>
      </c>
      <c r="V349" s="282" t="e">
        <f>+Tabla4[[#This Row],[Comisión Calculada]]*Tabla4[[#This Row],[Total]]</f>
        <v>#N/A</v>
      </c>
    </row>
    <row r="350" spans="1:22" ht="14.25" hidden="1" customHeight="1" x14ac:dyDescent="0.25">
      <c r="A350" s="100">
        <v>45688</v>
      </c>
      <c r="B350" t="str">
        <f t="shared" si="12"/>
        <v>January</v>
      </c>
      <c r="C350" s="46" t="s">
        <v>280</v>
      </c>
      <c r="F350" s="366" t="s">
        <v>846</v>
      </c>
      <c r="G350" s="46" t="s">
        <v>83</v>
      </c>
      <c r="H350" s="46">
        <v>1</v>
      </c>
      <c r="I350" s="51">
        <v>8858.76</v>
      </c>
      <c r="J350" s="281">
        <f>++Tabla4[[#This Row],[Precio Bruto]]*1.16</f>
        <v>10276.161599999999</v>
      </c>
      <c r="K350" s="281">
        <f>+Tabla4[[#This Row],[Precio Unitario Neto]]*Tabla4[[#Headers],[20.85%]]</f>
        <v>2142.5796935999997</v>
      </c>
      <c r="L350" s="282">
        <f>++Tabla4[[#This Row],[Precio Unitario Neto]]-Tabla4[[#This Row],[20.85%]]</f>
        <v>8133.5819063999998</v>
      </c>
      <c r="M350" s="282" t="e">
        <f>(INDEX(Tabla6[#All],MATCH(Tabla4[[#This Row],[Producto]],Tabla6[[#All],[PRODUCTO]],0),MATCH(Tabla4[[#This Row],[Mes]],Tabla6[#Headers],0)))*(1+Catalogos!$L$2)</f>
        <v>#N/A</v>
      </c>
      <c r="N350" s="283" t="e">
        <f>+(Tabla4[[#This Row],[Precio Descontado]]-Tabla4[[#This Row],[Precio Base]])*Tabla4[[#This Row],[Cantidad]]</f>
        <v>#N/A</v>
      </c>
      <c r="O350" s="284" t="e">
        <f>++Tabla4[[#This Row],[Utilidad Total]]/Tabla4[[#This Row],[Total]]</f>
        <v>#N/A</v>
      </c>
      <c r="P350" s="282">
        <f>++Tabla4[[#This Row],[Precio Descontado]]*Tabla4[[#This Row],[Cantidad]]</f>
        <v>8133.5819063999998</v>
      </c>
      <c r="Q350" s="282" t="e">
        <f>(INDEX(Tabla6[#All],MATCH(Tabla4[[#This Row],[Producto]],Tabla6[[#All],[PRODUCTO]],0),MATCH(Tabla4[[#This Row],[Mes]],Tabla6[#Headers],0)))</f>
        <v>#N/A</v>
      </c>
      <c r="R350" s="282" t="e">
        <f>++Tabla4[[#This Row],[Precio Unitario Neto]]-Tabla4[[#This Row],[20.85%]]-Tabla4[[#This Row],[Costo]]</f>
        <v>#N/A</v>
      </c>
      <c r="S350" s="282" t="e">
        <f>++Tabla4[[#This Row],[U. Bruta Uni]]*Tabla4[[#This Row],[Cantidad]]</f>
        <v>#N/A</v>
      </c>
      <c r="T350" s="369" t="str">
        <f>VLOOKUP(Tabla4[[#This Row],[Producto]],Tabla6[#All],14,FALSE)</f>
        <v>Termico Solar</v>
      </c>
      <c r="U350" s="284" t="e">
        <f>(IF(Tabla4[[#This Row],[Familia]]="termico solar",Tabla4[[#This Row],[Utilidad Total]]*6%,Tabla4[[#This Row],[Utilidad Total]]*11.5%))/Tabla4[[#This Row],[Total]]</f>
        <v>#N/A</v>
      </c>
      <c r="V350" s="282" t="e">
        <f>+Tabla4[[#This Row],[Comisión Calculada]]*Tabla4[[#This Row],[Total]]</f>
        <v>#N/A</v>
      </c>
    </row>
    <row r="351" spans="1:22" hidden="1" x14ac:dyDescent="0.25">
      <c r="A351" s="100">
        <v>45688</v>
      </c>
      <c r="B351" t="str">
        <f t="shared" si="12"/>
        <v>January</v>
      </c>
      <c r="C351" s="46" t="s">
        <v>280</v>
      </c>
      <c r="F351" s="366" t="s">
        <v>846</v>
      </c>
      <c r="G351" s="46" t="s">
        <v>17</v>
      </c>
      <c r="H351" s="46">
        <v>8</v>
      </c>
      <c r="I351" s="51">
        <v>4622.28</v>
      </c>
      <c r="J351" s="281">
        <f>++Tabla4[[#This Row],[Precio Bruto]]*1.16</f>
        <v>5361.8447999999989</v>
      </c>
      <c r="K351" s="281">
        <f>+Tabla4[[#This Row],[Precio Unitario Neto]]*Tabla4[[#Headers],[20.85%]]</f>
        <v>1117.9446407999997</v>
      </c>
      <c r="L351" s="282">
        <f>++Tabla4[[#This Row],[Precio Unitario Neto]]-Tabla4[[#This Row],[20.85%]]</f>
        <v>4243.9001591999995</v>
      </c>
      <c r="M351" s="282" t="e">
        <f>(INDEX(Tabla6[#All],MATCH(Tabla4[[#This Row],[Producto]],Tabla6[[#All],[PRODUCTO]],0),MATCH(Tabla4[[#This Row],[Mes]],Tabla6[#Headers],0)))*(1+Catalogos!$L$2)</f>
        <v>#N/A</v>
      </c>
      <c r="N351" s="283" t="e">
        <f>+(Tabla4[[#This Row],[Precio Descontado]]-Tabla4[[#This Row],[Precio Base]])*Tabla4[[#This Row],[Cantidad]]</f>
        <v>#N/A</v>
      </c>
      <c r="O351" s="284" t="e">
        <f>++Tabla4[[#This Row],[Utilidad Total]]/Tabla4[[#This Row],[Total]]</f>
        <v>#N/A</v>
      </c>
      <c r="P351" s="282">
        <f>++Tabla4[[#This Row],[Precio Descontado]]*Tabla4[[#This Row],[Cantidad]]</f>
        <v>33951.201273599996</v>
      </c>
      <c r="Q351" s="282" t="e">
        <f>(INDEX(Tabla6[#All],MATCH(Tabla4[[#This Row],[Producto]],Tabla6[[#All],[PRODUCTO]],0),MATCH(Tabla4[[#This Row],[Mes]],Tabla6[#Headers],0)))</f>
        <v>#N/A</v>
      </c>
      <c r="R351" s="282" t="e">
        <f>++Tabla4[[#This Row],[Precio Unitario Neto]]-Tabla4[[#This Row],[20.85%]]-Tabla4[[#This Row],[Costo]]</f>
        <v>#N/A</v>
      </c>
      <c r="S351" s="282" t="e">
        <f>++Tabla4[[#This Row],[U. Bruta Uni]]*Tabla4[[#This Row],[Cantidad]]</f>
        <v>#N/A</v>
      </c>
      <c r="T351" s="369" t="str">
        <f>VLOOKUP(Tabla4[[#This Row],[Producto]],Tabla6[#All],14,FALSE)</f>
        <v>Termico Solar</v>
      </c>
      <c r="U351" s="284" t="e">
        <f>(IF(Tabla4[[#This Row],[Familia]]="termico solar",Tabla4[[#This Row],[Utilidad Total]]*6%,Tabla4[[#This Row],[Utilidad Total]]*11.5%))/Tabla4[[#This Row],[Total]]</f>
        <v>#N/A</v>
      </c>
      <c r="V351" s="282" t="e">
        <f>+Tabla4[[#This Row],[Comisión Calculada]]*Tabla4[[#This Row],[Total]]</f>
        <v>#N/A</v>
      </c>
    </row>
    <row r="352" spans="1:22" hidden="1" x14ac:dyDescent="0.25">
      <c r="A352" s="100">
        <v>45688</v>
      </c>
      <c r="B352" t="str">
        <f t="shared" si="12"/>
        <v>January</v>
      </c>
      <c r="C352" s="46" t="s">
        <v>280</v>
      </c>
      <c r="F352" s="366" t="s">
        <v>846</v>
      </c>
      <c r="G352" s="46" t="s">
        <v>16</v>
      </c>
      <c r="H352" s="46">
        <v>2</v>
      </c>
      <c r="I352" s="51">
        <v>4103.8500000000004</v>
      </c>
      <c r="J352" s="281">
        <f>++Tabla4[[#This Row],[Precio Bruto]]*1.16</f>
        <v>4760.4660000000003</v>
      </c>
      <c r="K352" s="281">
        <f>+Tabla4[[#This Row],[Precio Unitario Neto]]*Tabla4[[#Headers],[20.85%]]</f>
        <v>992.55716100000006</v>
      </c>
      <c r="L352" s="282">
        <f>++Tabla4[[#This Row],[Precio Unitario Neto]]-Tabla4[[#This Row],[20.85%]]</f>
        <v>3767.9088390000002</v>
      </c>
      <c r="M352" s="282" t="e">
        <f>(INDEX(Tabla6[#All],MATCH(Tabla4[[#This Row],[Producto]],Tabla6[[#All],[PRODUCTO]],0),MATCH(Tabla4[[#This Row],[Mes]],Tabla6[#Headers],0)))*(1+Catalogos!$L$2)</f>
        <v>#N/A</v>
      </c>
      <c r="N352" s="283" t="e">
        <f>+(Tabla4[[#This Row],[Precio Descontado]]-Tabla4[[#This Row],[Precio Base]])*Tabla4[[#This Row],[Cantidad]]</f>
        <v>#N/A</v>
      </c>
      <c r="O352" s="284" t="e">
        <f>++Tabla4[[#This Row],[Utilidad Total]]/Tabla4[[#This Row],[Total]]</f>
        <v>#N/A</v>
      </c>
      <c r="P352" s="282">
        <f>++Tabla4[[#This Row],[Precio Descontado]]*Tabla4[[#This Row],[Cantidad]]</f>
        <v>7535.8176780000003</v>
      </c>
      <c r="Q352" s="282" t="e">
        <f>(INDEX(Tabla6[#All],MATCH(Tabla4[[#This Row],[Producto]],Tabla6[[#All],[PRODUCTO]],0),MATCH(Tabla4[[#This Row],[Mes]],Tabla6[#Headers],0)))</f>
        <v>#N/A</v>
      </c>
      <c r="R352" s="282" t="e">
        <f>++Tabla4[[#This Row],[Precio Unitario Neto]]-Tabla4[[#This Row],[20.85%]]-Tabla4[[#This Row],[Costo]]</f>
        <v>#N/A</v>
      </c>
      <c r="S352" s="282" t="e">
        <f>++Tabla4[[#This Row],[U. Bruta Uni]]*Tabla4[[#This Row],[Cantidad]]</f>
        <v>#N/A</v>
      </c>
      <c r="T352" s="369" t="str">
        <f>VLOOKUP(Tabla4[[#This Row],[Producto]],Tabla6[#All],14,FALSE)</f>
        <v>Termico Solar</v>
      </c>
      <c r="U352" s="284" t="e">
        <f>(IF(Tabla4[[#This Row],[Familia]]="termico solar",Tabla4[[#This Row],[Utilidad Total]]*6%,Tabla4[[#This Row],[Utilidad Total]]*11.5%))/Tabla4[[#This Row],[Total]]</f>
        <v>#N/A</v>
      </c>
      <c r="V352" s="282" t="e">
        <f>+Tabla4[[#This Row],[Comisión Calculada]]*Tabla4[[#This Row],[Total]]</f>
        <v>#N/A</v>
      </c>
    </row>
    <row r="353" spans="1:22" hidden="1" x14ac:dyDescent="0.25">
      <c r="A353" s="100">
        <v>45688</v>
      </c>
      <c r="B353" t="str">
        <f t="shared" si="12"/>
        <v>January</v>
      </c>
      <c r="C353" s="46" t="s">
        <v>280</v>
      </c>
      <c r="F353" s="366" t="s">
        <v>847</v>
      </c>
      <c r="G353" s="46" t="s">
        <v>83</v>
      </c>
      <c r="H353" s="46">
        <v>1</v>
      </c>
      <c r="I353" s="51">
        <v>8858.76</v>
      </c>
      <c r="J353" s="281">
        <f>++Tabla4[[#This Row],[Precio Bruto]]*1.16</f>
        <v>10276.161599999999</v>
      </c>
      <c r="K353" s="281">
        <f>+Tabla4[[#This Row],[Precio Unitario Neto]]*Tabla4[[#Headers],[20.85%]]</f>
        <v>2142.5796935999997</v>
      </c>
      <c r="L353" s="282">
        <f>++Tabla4[[#This Row],[Precio Unitario Neto]]-Tabla4[[#This Row],[20.85%]]</f>
        <v>8133.5819063999998</v>
      </c>
      <c r="M353" s="282" t="e">
        <f>(INDEX(Tabla6[#All],MATCH(Tabla4[[#This Row],[Producto]],Tabla6[[#All],[PRODUCTO]],0),MATCH(Tabla4[[#This Row],[Mes]],Tabla6[#Headers],0)))*(1+Catalogos!$L$2)</f>
        <v>#N/A</v>
      </c>
      <c r="N353" s="283" t="e">
        <f>+(Tabla4[[#This Row],[Precio Descontado]]-Tabla4[[#This Row],[Precio Base]])*Tabla4[[#This Row],[Cantidad]]</f>
        <v>#N/A</v>
      </c>
      <c r="O353" s="284" t="e">
        <f>++Tabla4[[#This Row],[Utilidad Total]]/Tabla4[[#This Row],[Total]]</f>
        <v>#N/A</v>
      </c>
      <c r="P353" s="282">
        <f>++Tabla4[[#This Row],[Precio Descontado]]*Tabla4[[#This Row],[Cantidad]]</f>
        <v>8133.5819063999998</v>
      </c>
      <c r="Q353" s="282" t="e">
        <f>(INDEX(Tabla6[#All],MATCH(Tabla4[[#This Row],[Producto]],Tabla6[[#All],[PRODUCTO]],0),MATCH(Tabla4[[#This Row],[Mes]],Tabla6[#Headers],0)))</f>
        <v>#N/A</v>
      </c>
      <c r="R353" s="282" t="e">
        <f>++Tabla4[[#This Row],[Precio Unitario Neto]]-Tabla4[[#This Row],[20.85%]]-Tabla4[[#This Row],[Costo]]</f>
        <v>#N/A</v>
      </c>
      <c r="S353" s="282" t="e">
        <f>++Tabla4[[#This Row],[U. Bruta Uni]]*Tabla4[[#This Row],[Cantidad]]</f>
        <v>#N/A</v>
      </c>
      <c r="T353" s="369" t="str">
        <f>VLOOKUP(Tabla4[[#This Row],[Producto]],Tabla6[#All],14,FALSE)</f>
        <v>Termico Solar</v>
      </c>
      <c r="U353" s="284" t="e">
        <f>(IF(Tabla4[[#This Row],[Familia]]="termico solar",Tabla4[[#This Row],[Utilidad Total]]*6%,Tabla4[[#This Row],[Utilidad Total]]*11.5%))/Tabla4[[#This Row],[Total]]</f>
        <v>#N/A</v>
      </c>
      <c r="V353" s="282" t="e">
        <f>+Tabla4[[#This Row],[Comisión Calculada]]*Tabla4[[#This Row],[Total]]</f>
        <v>#N/A</v>
      </c>
    </row>
    <row r="354" spans="1:22" hidden="1" x14ac:dyDescent="0.25">
      <c r="A354" s="100">
        <v>45688</v>
      </c>
      <c r="B354" t="str">
        <f t="shared" si="12"/>
        <v>January</v>
      </c>
      <c r="C354" s="46" t="s">
        <v>280</v>
      </c>
      <c r="F354" s="366" t="s">
        <v>847</v>
      </c>
      <c r="G354" s="46" t="s">
        <v>17</v>
      </c>
      <c r="H354" s="46">
        <v>3</v>
      </c>
      <c r="I354" s="51">
        <v>4622.28</v>
      </c>
      <c r="J354" s="281">
        <f>++Tabla4[[#This Row],[Precio Bruto]]*1.16</f>
        <v>5361.8447999999989</v>
      </c>
      <c r="K354" s="281">
        <f>+Tabla4[[#This Row],[Precio Unitario Neto]]*Tabla4[[#Headers],[20.85%]]</f>
        <v>1117.9446407999997</v>
      </c>
      <c r="L354" s="282">
        <f>++Tabla4[[#This Row],[Precio Unitario Neto]]-Tabla4[[#This Row],[20.85%]]</f>
        <v>4243.9001591999995</v>
      </c>
      <c r="M354" s="282" t="e">
        <f>(INDEX(Tabla6[#All],MATCH(Tabla4[[#This Row],[Producto]],Tabla6[[#All],[PRODUCTO]],0),MATCH(Tabla4[[#This Row],[Mes]],Tabla6[#Headers],0)))*(1+Catalogos!$L$2)</f>
        <v>#N/A</v>
      </c>
      <c r="N354" s="283" t="e">
        <f>+(Tabla4[[#This Row],[Precio Descontado]]-Tabla4[[#This Row],[Precio Base]])*Tabla4[[#This Row],[Cantidad]]</f>
        <v>#N/A</v>
      </c>
      <c r="O354" s="284" t="e">
        <f>++Tabla4[[#This Row],[Utilidad Total]]/Tabla4[[#This Row],[Total]]</f>
        <v>#N/A</v>
      </c>
      <c r="P354" s="282">
        <f>++Tabla4[[#This Row],[Precio Descontado]]*Tabla4[[#This Row],[Cantidad]]</f>
        <v>12731.700477599999</v>
      </c>
      <c r="Q354" s="282" t="e">
        <f>(INDEX(Tabla6[#All],MATCH(Tabla4[[#This Row],[Producto]],Tabla6[[#All],[PRODUCTO]],0),MATCH(Tabla4[[#This Row],[Mes]],Tabla6[#Headers],0)))</f>
        <v>#N/A</v>
      </c>
      <c r="R354" s="282" t="e">
        <f>++Tabla4[[#This Row],[Precio Unitario Neto]]-Tabla4[[#This Row],[20.85%]]-Tabla4[[#This Row],[Costo]]</f>
        <v>#N/A</v>
      </c>
      <c r="S354" s="282" t="e">
        <f>++Tabla4[[#This Row],[U. Bruta Uni]]*Tabla4[[#This Row],[Cantidad]]</f>
        <v>#N/A</v>
      </c>
      <c r="T354" s="369" t="str">
        <f>VLOOKUP(Tabla4[[#This Row],[Producto]],Tabla6[#All],14,FALSE)</f>
        <v>Termico Solar</v>
      </c>
      <c r="U354" s="284" t="e">
        <f>(IF(Tabla4[[#This Row],[Familia]]="termico solar",Tabla4[[#This Row],[Utilidad Total]]*6%,Tabla4[[#This Row],[Utilidad Total]]*11.5%))/Tabla4[[#This Row],[Total]]</f>
        <v>#N/A</v>
      </c>
      <c r="V354" s="282" t="e">
        <f>+Tabla4[[#This Row],[Comisión Calculada]]*Tabla4[[#This Row],[Total]]</f>
        <v>#N/A</v>
      </c>
    </row>
    <row r="355" spans="1:22" hidden="1" x14ac:dyDescent="0.25">
      <c r="A355" s="100">
        <v>45688</v>
      </c>
      <c r="B355" t="str">
        <f t="shared" si="12"/>
        <v>January</v>
      </c>
      <c r="C355" s="46" t="s">
        <v>280</v>
      </c>
      <c r="F355" s="366" t="s">
        <v>847</v>
      </c>
      <c r="G355" s="46" t="s">
        <v>16</v>
      </c>
      <c r="H355" s="46">
        <v>2</v>
      </c>
      <c r="I355" s="51">
        <v>4103.8500000000004</v>
      </c>
      <c r="J355" s="281">
        <f>++Tabla4[[#This Row],[Precio Bruto]]*1.16</f>
        <v>4760.4660000000003</v>
      </c>
      <c r="K355" s="281">
        <f>+Tabla4[[#This Row],[Precio Unitario Neto]]*Tabla4[[#Headers],[20.85%]]</f>
        <v>992.55716100000006</v>
      </c>
      <c r="L355" s="282">
        <f>++Tabla4[[#This Row],[Precio Unitario Neto]]-Tabla4[[#This Row],[20.85%]]</f>
        <v>3767.9088390000002</v>
      </c>
      <c r="M355" s="282" t="e">
        <f>(INDEX(Tabla6[#All],MATCH(Tabla4[[#This Row],[Producto]],Tabla6[[#All],[PRODUCTO]],0),MATCH(Tabla4[[#This Row],[Mes]],Tabla6[#Headers],0)))*(1+Catalogos!$L$2)</f>
        <v>#N/A</v>
      </c>
      <c r="N355" s="283" t="e">
        <f>+(Tabla4[[#This Row],[Precio Descontado]]-Tabla4[[#This Row],[Precio Base]])*Tabla4[[#This Row],[Cantidad]]</f>
        <v>#N/A</v>
      </c>
      <c r="O355" s="284" t="e">
        <f>++Tabla4[[#This Row],[Utilidad Total]]/Tabla4[[#This Row],[Total]]</f>
        <v>#N/A</v>
      </c>
      <c r="P355" s="282">
        <f>++Tabla4[[#This Row],[Precio Descontado]]*Tabla4[[#This Row],[Cantidad]]</f>
        <v>7535.8176780000003</v>
      </c>
      <c r="Q355" s="282" t="e">
        <f>(INDEX(Tabla6[#All],MATCH(Tabla4[[#This Row],[Producto]],Tabla6[[#All],[PRODUCTO]],0),MATCH(Tabla4[[#This Row],[Mes]],Tabla6[#Headers],0)))</f>
        <v>#N/A</v>
      </c>
      <c r="R355" s="282" t="e">
        <f>++Tabla4[[#This Row],[Precio Unitario Neto]]-Tabla4[[#This Row],[20.85%]]-Tabla4[[#This Row],[Costo]]</f>
        <v>#N/A</v>
      </c>
      <c r="S355" s="282" t="e">
        <f>++Tabla4[[#This Row],[U. Bruta Uni]]*Tabla4[[#This Row],[Cantidad]]</f>
        <v>#N/A</v>
      </c>
      <c r="T355" s="369" t="str">
        <f>VLOOKUP(Tabla4[[#This Row],[Producto]],Tabla6[#All],14,FALSE)</f>
        <v>Termico Solar</v>
      </c>
      <c r="U355" s="284" t="e">
        <f>(IF(Tabla4[[#This Row],[Familia]]="termico solar",Tabla4[[#This Row],[Utilidad Total]]*6%,Tabla4[[#This Row],[Utilidad Total]]*11.5%))/Tabla4[[#This Row],[Total]]</f>
        <v>#N/A</v>
      </c>
      <c r="V355" s="282" t="e">
        <f>+Tabla4[[#This Row],[Comisión Calculada]]*Tabla4[[#This Row],[Total]]</f>
        <v>#N/A</v>
      </c>
    </row>
    <row r="356" spans="1:22" hidden="1" x14ac:dyDescent="0.25">
      <c r="A356" s="100">
        <v>45688</v>
      </c>
      <c r="B356" t="str">
        <f t="shared" si="12"/>
        <v>January</v>
      </c>
      <c r="C356" s="46" t="s">
        <v>280</v>
      </c>
      <c r="F356" s="366" t="s">
        <v>848</v>
      </c>
      <c r="G356" s="46" t="s">
        <v>17</v>
      </c>
      <c r="H356" s="46">
        <v>1</v>
      </c>
      <c r="I356" s="51">
        <v>4622.28</v>
      </c>
      <c r="J356" s="281">
        <f>++Tabla4[[#This Row],[Precio Bruto]]*1.16</f>
        <v>5361.8447999999989</v>
      </c>
      <c r="K356" s="281">
        <f>+Tabla4[[#This Row],[Precio Unitario Neto]]*Tabla4[[#Headers],[20.85%]]</f>
        <v>1117.9446407999997</v>
      </c>
      <c r="L356" s="282">
        <f>++Tabla4[[#This Row],[Precio Unitario Neto]]-Tabla4[[#This Row],[20.85%]]</f>
        <v>4243.9001591999995</v>
      </c>
      <c r="M356" s="282" t="e">
        <f>(INDEX(Tabla6[#All],MATCH(Tabla4[[#This Row],[Producto]],Tabla6[[#All],[PRODUCTO]],0),MATCH(Tabla4[[#This Row],[Mes]],Tabla6[#Headers],0)))*(1+Catalogos!$L$2)</f>
        <v>#N/A</v>
      </c>
      <c r="N356" s="283" t="e">
        <f>+(Tabla4[[#This Row],[Precio Descontado]]-Tabla4[[#This Row],[Precio Base]])*Tabla4[[#This Row],[Cantidad]]</f>
        <v>#N/A</v>
      </c>
      <c r="O356" s="284" t="e">
        <f>++Tabla4[[#This Row],[Utilidad Total]]/Tabla4[[#This Row],[Total]]</f>
        <v>#N/A</v>
      </c>
      <c r="P356" s="282">
        <f>++Tabla4[[#This Row],[Precio Descontado]]*Tabla4[[#This Row],[Cantidad]]</f>
        <v>4243.9001591999995</v>
      </c>
      <c r="Q356" s="282" t="e">
        <f>(INDEX(Tabla6[#All],MATCH(Tabla4[[#This Row],[Producto]],Tabla6[[#All],[PRODUCTO]],0),MATCH(Tabla4[[#This Row],[Mes]],Tabla6[#Headers],0)))</f>
        <v>#N/A</v>
      </c>
      <c r="R356" s="282" t="e">
        <f>++Tabla4[[#This Row],[Precio Unitario Neto]]-Tabla4[[#This Row],[20.85%]]-Tabla4[[#This Row],[Costo]]</f>
        <v>#N/A</v>
      </c>
      <c r="S356" s="282" t="e">
        <f>++Tabla4[[#This Row],[U. Bruta Uni]]*Tabla4[[#This Row],[Cantidad]]</f>
        <v>#N/A</v>
      </c>
      <c r="T356" s="369" t="str">
        <f>VLOOKUP(Tabla4[[#This Row],[Producto]],Tabla6[#All],14,FALSE)</f>
        <v>Termico Solar</v>
      </c>
      <c r="U356" s="284" t="e">
        <f>(IF(Tabla4[[#This Row],[Familia]]="termico solar",Tabla4[[#This Row],[Utilidad Total]]*6%,Tabla4[[#This Row],[Utilidad Total]]*11.5%))/Tabla4[[#This Row],[Total]]</f>
        <v>#N/A</v>
      </c>
      <c r="V356" s="282" t="e">
        <f>+Tabla4[[#This Row],[Comisión Calculada]]*Tabla4[[#This Row],[Total]]</f>
        <v>#N/A</v>
      </c>
    </row>
    <row r="357" spans="1:22" hidden="1" x14ac:dyDescent="0.25">
      <c r="A357" s="100">
        <v>45688</v>
      </c>
      <c r="B357" t="str">
        <f t="shared" si="12"/>
        <v>January</v>
      </c>
      <c r="C357" s="46" t="s">
        <v>280</v>
      </c>
      <c r="F357" s="366" t="s">
        <v>848</v>
      </c>
      <c r="G357" s="46" t="s">
        <v>566</v>
      </c>
      <c r="H357" s="46">
        <v>1</v>
      </c>
      <c r="I357" s="51">
        <v>2109.4499999999998</v>
      </c>
      <c r="J357" s="281">
        <f>++Tabla4[[#This Row],[Precio Bruto]]*1.16</f>
        <v>2446.9619999999995</v>
      </c>
      <c r="K357" s="281">
        <f>+Tabla4[[#This Row],[Precio Unitario Neto]]*Tabla4[[#Headers],[20.85%]]</f>
        <v>510.19157699999988</v>
      </c>
      <c r="L357" s="282">
        <f>++Tabla4[[#This Row],[Precio Unitario Neto]]-Tabla4[[#This Row],[20.85%]]</f>
        <v>1936.7704229999997</v>
      </c>
      <c r="M357" s="282" t="e">
        <f>(INDEX(Tabla6[#All],MATCH(Tabla4[[#This Row],[Producto]],Tabla6[[#All],[PRODUCTO]],0),MATCH(Tabla4[[#This Row],[Mes]],Tabla6[#Headers],0)))*(1+Catalogos!$L$2)</f>
        <v>#N/A</v>
      </c>
      <c r="N357" s="283" t="e">
        <f>+(Tabla4[[#This Row],[Precio Descontado]]-Tabla4[[#This Row],[Precio Base]])*Tabla4[[#This Row],[Cantidad]]</f>
        <v>#N/A</v>
      </c>
      <c r="O357" s="284" t="e">
        <f>++Tabla4[[#This Row],[Utilidad Total]]/Tabla4[[#This Row],[Total]]</f>
        <v>#N/A</v>
      </c>
      <c r="P357" s="282">
        <f>++Tabla4[[#This Row],[Precio Descontado]]*Tabla4[[#This Row],[Cantidad]]</f>
        <v>1936.7704229999997</v>
      </c>
      <c r="Q357" s="282" t="e">
        <f>(INDEX(Tabla6[#All],MATCH(Tabla4[[#This Row],[Producto]],Tabla6[[#All],[PRODUCTO]],0),MATCH(Tabla4[[#This Row],[Mes]],Tabla6[#Headers],0)))</f>
        <v>#N/A</v>
      </c>
      <c r="R357" s="282" t="e">
        <f>++Tabla4[[#This Row],[Precio Unitario Neto]]-Tabla4[[#This Row],[20.85%]]-Tabla4[[#This Row],[Costo]]</f>
        <v>#N/A</v>
      </c>
      <c r="S357" s="282" t="e">
        <f>++Tabla4[[#This Row],[U. Bruta Uni]]*Tabla4[[#This Row],[Cantidad]]</f>
        <v>#N/A</v>
      </c>
      <c r="T357" s="369" t="str">
        <f>VLOOKUP(Tabla4[[#This Row],[Producto]],Tabla6[#All],14,FALSE)</f>
        <v>Termico Solar</v>
      </c>
      <c r="U357" s="284" t="e">
        <f>(IF(Tabla4[[#This Row],[Familia]]="termico solar",Tabla4[[#This Row],[Utilidad Total]]*6%,Tabla4[[#This Row],[Utilidad Total]]*11.5%))/Tabla4[[#This Row],[Total]]</f>
        <v>#N/A</v>
      </c>
      <c r="V357" s="282" t="e">
        <f>+Tabla4[[#This Row],[Comisión Calculada]]*Tabla4[[#This Row],[Total]]</f>
        <v>#N/A</v>
      </c>
    </row>
    <row r="358" spans="1:22" hidden="1" x14ac:dyDescent="0.25">
      <c r="A358" s="100">
        <v>45688</v>
      </c>
      <c r="B358" t="str">
        <f t="shared" si="12"/>
        <v>January</v>
      </c>
      <c r="C358" s="46" t="s">
        <v>280</v>
      </c>
      <c r="F358" s="366" t="s">
        <v>849</v>
      </c>
      <c r="G358" s="46" t="s">
        <v>83</v>
      </c>
      <c r="H358" s="46">
        <v>1</v>
      </c>
      <c r="I358" s="51">
        <v>8858.76</v>
      </c>
      <c r="J358" s="281">
        <f>++Tabla4[[#This Row],[Precio Bruto]]*1.16</f>
        <v>10276.161599999999</v>
      </c>
      <c r="K358" s="281">
        <f>+Tabla4[[#This Row],[Precio Unitario Neto]]*Tabla4[[#Headers],[20.85%]]</f>
        <v>2142.5796935999997</v>
      </c>
      <c r="L358" s="282">
        <f>++Tabla4[[#This Row],[Precio Unitario Neto]]-Tabla4[[#This Row],[20.85%]]</f>
        <v>8133.5819063999998</v>
      </c>
      <c r="M358" s="282" t="e">
        <f>(INDEX(Tabla6[#All],MATCH(Tabla4[[#This Row],[Producto]],Tabla6[[#All],[PRODUCTO]],0),MATCH(Tabla4[[#This Row],[Mes]],Tabla6[#Headers],0)))*(1+Catalogos!$L$2)</f>
        <v>#N/A</v>
      </c>
      <c r="N358" s="283" t="e">
        <f>+(Tabla4[[#This Row],[Precio Descontado]]-Tabla4[[#This Row],[Precio Base]])*Tabla4[[#This Row],[Cantidad]]</f>
        <v>#N/A</v>
      </c>
      <c r="O358" s="284" t="e">
        <f>++Tabla4[[#This Row],[Utilidad Total]]/Tabla4[[#This Row],[Total]]</f>
        <v>#N/A</v>
      </c>
      <c r="P358" s="282">
        <f>++Tabla4[[#This Row],[Precio Descontado]]*Tabla4[[#This Row],[Cantidad]]</f>
        <v>8133.5819063999998</v>
      </c>
      <c r="Q358" s="282" t="e">
        <f>(INDEX(Tabla6[#All],MATCH(Tabla4[[#This Row],[Producto]],Tabla6[[#All],[PRODUCTO]],0),MATCH(Tabla4[[#This Row],[Mes]],Tabla6[#Headers],0)))</f>
        <v>#N/A</v>
      </c>
      <c r="R358" s="282" t="e">
        <f>++Tabla4[[#This Row],[Precio Unitario Neto]]-Tabla4[[#This Row],[20.85%]]-Tabla4[[#This Row],[Costo]]</f>
        <v>#N/A</v>
      </c>
      <c r="S358" s="282" t="e">
        <f>++Tabla4[[#This Row],[U. Bruta Uni]]*Tabla4[[#This Row],[Cantidad]]</f>
        <v>#N/A</v>
      </c>
      <c r="T358" s="369" t="str">
        <f>VLOOKUP(Tabla4[[#This Row],[Producto]],Tabla6[#All],14,FALSE)</f>
        <v>Termico Solar</v>
      </c>
      <c r="U358" s="284" t="e">
        <f>(IF(Tabla4[[#This Row],[Familia]]="termico solar",Tabla4[[#This Row],[Utilidad Total]]*6%,Tabla4[[#This Row],[Utilidad Total]]*11.5%))/Tabla4[[#This Row],[Total]]</f>
        <v>#N/A</v>
      </c>
      <c r="V358" s="282" t="e">
        <f>+Tabla4[[#This Row],[Comisión Calculada]]*Tabla4[[#This Row],[Total]]</f>
        <v>#N/A</v>
      </c>
    </row>
    <row r="359" spans="1:22" hidden="1" x14ac:dyDescent="0.25">
      <c r="A359" s="100">
        <v>45688</v>
      </c>
      <c r="B359" t="str">
        <f t="shared" si="12"/>
        <v>January</v>
      </c>
      <c r="C359" s="46" t="s">
        <v>280</v>
      </c>
      <c r="F359" s="366" t="s">
        <v>850</v>
      </c>
      <c r="G359" s="46" t="s">
        <v>18</v>
      </c>
      <c r="H359" s="46">
        <v>3</v>
      </c>
      <c r="I359" s="51">
        <v>5367.6500000000005</v>
      </c>
      <c r="J359" s="281">
        <f>++Tabla4[[#This Row],[Precio Bruto]]*1.16</f>
        <v>6226.4740000000002</v>
      </c>
      <c r="K359" s="281">
        <f>+Tabla4[[#This Row],[Precio Unitario Neto]]*Tabla4[[#Headers],[20.85%]]</f>
        <v>1298.2198289999999</v>
      </c>
      <c r="L359" s="282">
        <f>++Tabla4[[#This Row],[Precio Unitario Neto]]-Tabla4[[#This Row],[20.85%]]</f>
        <v>4928.2541710000005</v>
      </c>
      <c r="M359" s="282" t="e">
        <f>(INDEX(Tabla6[#All],MATCH(Tabla4[[#This Row],[Producto]],Tabla6[[#All],[PRODUCTO]],0),MATCH(Tabla4[[#This Row],[Mes]],Tabla6[#Headers],0)))*(1+Catalogos!$L$2)</f>
        <v>#N/A</v>
      </c>
      <c r="N359" s="283" t="e">
        <f>+(Tabla4[[#This Row],[Precio Descontado]]-Tabla4[[#This Row],[Precio Base]])*Tabla4[[#This Row],[Cantidad]]</f>
        <v>#N/A</v>
      </c>
      <c r="O359" s="284" t="e">
        <f>++Tabla4[[#This Row],[Utilidad Total]]/Tabla4[[#This Row],[Total]]</f>
        <v>#N/A</v>
      </c>
      <c r="P359" s="282">
        <f>++Tabla4[[#This Row],[Precio Descontado]]*Tabla4[[#This Row],[Cantidad]]</f>
        <v>14784.762513000001</v>
      </c>
      <c r="Q359" s="282" t="e">
        <f>(INDEX(Tabla6[#All],MATCH(Tabla4[[#This Row],[Producto]],Tabla6[[#All],[PRODUCTO]],0),MATCH(Tabla4[[#This Row],[Mes]],Tabla6[#Headers],0)))</f>
        <v>#N/A</v>
      </c>
      <c r="R359" s="282" t="e">
        <f>++Tabla4[[#This Row],[Precio Unitario Neto]]-Tabla4[[#This Row],[20.85%]]-Tabla4[[#This Row],[Costo]]</f>
        <v>#N/A</v>
      </c>
      <c r="S359" s="282" t="e">
        <f>++Tabla4[[#This Row],[U. Bruta Uni]]*Tabla4[[#This Row],[Cantidad]]</f>
        <v>#N/A</v>
      </c>
      <c r="T359" s="369" t="str">
        <f>VLOOKUP(Tabla4[[#This Row],[Producto]],Tabla6[#All],14,FALSE)</f>
        <v>Termico Solar</v>
      </c>
      <c r="U359" s="284" t="e">
        <f>(IF(Tabla4[[#This Row],[Familia]]="termico solar",Tabla4[[#This Row],[Utilidad Total]]*6%,Tabla4[[#This Row],[Utilidad Total]]*11.5%))/Tabla4[[#This Row],[Total]]</f>
        <v>#N/A</v>
      </c>
      <c r="V359" s="282" t="e">
        <f>+Tabla4[[#This Row],[Comisión Calculada]]*Tabla4[[#This Row],[Total]]</f>
        <v>#N/A</v>
      </c>
    </row>
    <row r="360" spans="1:22" hidden="1" x14ac:dyDescent="0.25">
      <c r="A360" s="100">
        <v>45688</v>
      </c>
      <c r="B360" t="str">
        <f t="shared" si="12"/>
        <v>January</v>
      </c>
      <c r="C360" s="46" t="s">
        <v>280</v>
      </c>
      <c r="F360" s="366" t="s">
        <v>850</v>
      </c>
      <c r="G360" s="46" t="s">
        <v>16</v>
      </c>
      <c r="H360" s="46">
        <v>1</v>
      </c>
      <c r="I360" s="51">
        <v>4103.8500000000004</v>
      </c>
      <c r="J360" s="281">
        <f>++Tabla4[[#This Row],[Precio Bruto]]*1.16</f>
        <v>4760.4660000000003</v>
      </c>
      <c r="K360" s="281">
        <f>+Tabla4[[#This Row],[Precio Unitario Neto]]*Tabla4[[#Headers],[20.85%]]</f>
        <v>992.55716100000006</v>
      </c>
      <c r="L360" s="282">
        <f>++Tabla4[[#This Row],[Precio Unitario Neto]]-Tabla4[[#This Row],[20.85%]]</f>
        <v>3767.9088390000002</v>
      </c>
      <c r="M360" s="282" t="e">
        <f>(INDEX(Tabla6[#All],MATCH(Tabla4[[#This Row],[Producto]],Tabla6[[#All],[PRODUCTO]],0),MATCH(Tabla4[[#This Row],[Mes]],Tabla6[#Headers],0)))*(1+Catalogos!$L$2)</f>
        <v>#N/A</v>
      </c>
      <c r="N360" s="283" t="e">
        <f>+(Tabla4[[#This Row],[Precio Descontado]]-Tabla4[[#This Row],[Precio Base]])*Tabla4[[#This Row],[Cantidad]]</f>
        <v>#N/A</v>
      </c>
      <c r="O360" s="284" t="e">
        <f>++Tabla4[[#This Row],[Utilidad Total]]/Tabla4[[#This Row],[Total]]</f>
        <v>#N/A</v>
      </c>
      <c r="P360" s="282">
        <f>++Tabla4[[#This Row],[Precio Descontado]]*Tabla4[[#This Row],[Cantidad]]</f>
        <v>3767.9088390000002</v>
      </c>
      <c r="Q360" s="282" t="e">
        <f>(INDEX(Tabla6[#All],MATCH(Tabla4[[#This Row],[Producto]],Tabla6[[#All],[PRODUCTO]],0),MATCH(Tabla4[[#This Row],[Mes]],Tabla6[#Headers],0)))</f>
        <v>#N/A</v>
      </c>
      <c r="R360" s="282" t="e">
        <f>++Tabla4[[#This Row],[Precio Unitario Neto]]-Tabla4[[#This Row],[20.85%]]-Tabla4[[#This Row],[Costo]]</f>
        <v>#N/A</v>
      </c>
      <c r="S360" s="282" t="e">
        <f>++Tabla4[[#This Row],[U. Bruta Uni]]*Tabla4[[#This Row],[Cantidad]]</f>
        <v>#N/A</v>
      </c>
      <c r="T360" s="369" t="str">
        <f>VLOOKUP(Tabla4[[#This Row],[Producto]],Tabla6[#All],14,FALSE)</f>
        <v>Termico Solar</v>
      </c>
      <c r="U360" s="284" t="e">
        <f>(IF(Tabla4[[#This Row],[Familia]]="termico solar",Tabla4[[#This Row],[Utilidad Total]]*6%,Tabla4[[#This Row],[Utilidad Total]]*11.5%))/Tabla4[[#This Row],[Total]]</f>
        <v>#N/A</v>
      </c>
      <c r="V360" s="282" t="e">
        <f>+Tabla4[[#This Row],[Comisión Calculada]]*Tabla4[[#This Row],[Total]]</f>
        <v>#N/A</v>
      </c>
    </row>
    <row r="361" spans="1:22" hidden="1" x14ac:dyDescent="0.25">
      <c r="A361" s="100">
        <v>45688</v>
      </c>
      <c r="B361" t="str">
        <f t="shared" si="12"/>
        <v>January</v>
      </c>
      <c r="C361" s="46" t="s">
        <v>280</v>
      </c>
      <c r="F361" s="366" t="s">
        <v>851</v>
      </c>
      <c r="G361" s="46" t="s">
        <v>83</v>
      </c>
      <c r="H361" s="46">
        <v>1</v>
      </c>
      <c r="I361" s="51">
        <v>8858.76</v>
      </c>
      <c r="J361" s="281">
        <f>++Tabla4[[#This Row],[Precio Bruto]]*1.16</f>
        <v>10276.161599999999</v>
      </c>
      <c r="K361" s="281">
        <f>+Tabla4[[#This Row],[Precio Unitario Neto]]*Tabla4[[#Headers],[20.85%]]</f>
        <v>2142.5796935999997</v>
      </c>
      <c r="L361" s="282">
        <f>++Tabla4[[#This Row],[Precio Unitario Neto]]-Tabla4[[#This Row],[20.85%]]</f>
        <v>8133.5819063999998</v>
      </c>
      <c r="M361" s="282" t="e">
        <f>(INDEX(Tabla6[#All],MATCH(Tabla4[[#This Row],[Producto]],Tabla6[[#All],[PRODUCTO]],0),MATCH(Tabla4[[#This Row],[Mes]],Tabla6[#Headers],0)))*(1+Catalogos!$L$2)</f>
        <v>#N/A</v>
      </c>
      <c r="N361" s="283" t="e">
        <f>+(Tabla4[[#This Row],[Precio Descontado]]-Tabla4[[#This Row],[Precio Base]])*Tabla4[[#This Row],[Cantidad]]</f>
        <v>#N/A</v>
      </c>
      <c r="O361" s="284" t="e">
        <f>++Tabla4[[#This Row],[Utilidad Total]]/Tabla4[[#This Row],[Total]]</f>
        <v>#N/A</v>
      </c>
      <c r="P361" s="282">
        <f>++Tabla4[[#This Row],[Precio Descontado]]*Tabla4[[#This Row],[Cantidad]]</f>
        <v>8133.5819063999998</v>
      </c>
      <c r="Q361" s="282" t="e">
        <f>(INDEX(Tabla6[#All],MATCH(Tabla4[[#This Row],[Producto]],Tabla6[[#All],[PRODUCTO]],0),MATCH(Tabla4[[#This Row],[Mes]],Tabla6[#Headers],0)))</f>
        <v>#N/A</v>
      </c>
      <c r="R361" s="282" t="e">
        <f>++Tabla4[[#This Row],[Precio Unitario Neto]]-Tabla4[[#This Row],[20.85%]]-Tabla4[[#This Row],[Costo]]</f>
        <v>#N/A</v>
      </c>
      <c r="S361" s="282" t="e">
        <f>++Tabla4[[#This Row],[U. Bruta Uni]]*Tabla4[[#This Row],[Cantidad]]</f>
        <v>#N/A</v>
      </c>
      <c r="T361" s="369" t="str">
        <f>VLOOKUP(Tabla4[[#This Row],[Producto]],Tabla6[#All],14,FALSE)</f>
        <v>Termico Solar</v>
      </c>
      <c r="U361" s="284" t="e">
        <f>(IF(Tabla4[[#This Row],[Familia]]="termico solar",Tabla4[[#This Row],[Utilidad Total]]*6%,Tabla4[[#This Row],[Utilidad Total]]*11.5%))/Tabla4[[#This Row],[Total]]</f>
        <v>#N/A</v>
      </c>
      <c r="V361" s="282" t="e">
        <f>+Tabla4[[#This Row],[Comisión Calculada]]*Tabla4[[#This Row],[Total]]</f>
        <v>#N/A</v>
      </c>
    </row>
    <row r="362" spans="1:22" hidden="1" x14ac:dyDescent="0.25">
      <c r="A362" s="100">
        <v>45688</v>
      </c>
      <c r="B362" t="str">
        <f t="shared" si="12"/>
        <v>January</v>
      </c>
      <c r="C362" s="46" t="s">
        <v>280</v>
      </c>
      <c r="F362" s="366" t="s">
        <v>851</v>
      </c>
      <c r="G362" s="46" t="s">
        <v>18</v>
      </c>
      <c r="H362" s="46">
        <v>2</v>
      </c>
      <c r="I362" s="51">
        <v>5367.65</v>
      </c>
      <c r="J362" s="281">
        <f>++Tabla4[[#This Row],[Precio Bruto]]*1.16</f>
        <v>6226.4739999999993</v>
      </c>
      <c r="K362" s="281">
        <f>+Tabla4[[#This Row],[Precio Unitario Neto]]*Tabla4[[#Headers],[20.85%]]</f>
        <v>1298.2198289999999</v>
      </c>
      <c r="L362" s="282">
        <f>++Tabla4[[#This Row],[Precio Unitario Neto]]-Tabla4[[#This Row],[20.85%]]</f>
        <v>4928.2541709999996</v>
      </c>
      <c r="M362" s="282" t="e">
        <f>(INDEX(Tabla6[#All],MATCH(Tabla4[[#This Row],[Producto]],Tabla6[[#All],[PRODUCTO]],0),MATCH(Tabla4[[#This Row],[Mes]],Tabla6[#Headers],0)))*(1+Catalogos!$L$2)</f>
        <v>#N/A</v>
      </c>
      <c r="N362" s="283" t="e">
        <f>+(Tabla4[[#This Row],[Precio Descontado]]-Tabla4[[#This Row],[Precio Base]])*Tabla4[[#This Row],[Cantidad]]</f>
        <v>#N/A</v>
      </c>
      <c r="O362" s="284" t="e">
        <f>++Tabla4[[#This Row],[Utilidad Total]]/Tabla4[[#This Row],[Total]]</f>
        <v>#N/A</v>
      </c>
      <c r="P362" s="282">
        <f>++Tabla4[[#This Row],[Precio Descontado]]*Tabla4[[#This Row],[Cantidad]]</f>
        <v>9856.5083419999992</v>
      </c>
      <c r="Q362" s="282" t="e">
        <f>(INDEX(Tabla6[#All],MATCH(Tabla4[[#This Row],[Producto]],Tabla6[[#All],[PRODUCTO]],0),MATCH(Tabla4[[#This Row],[Mes]],Tabla6[#Headers],0)))</f>
        <v>#N/A</v>
      </c>
      <c r="R362" s="282" t="e">
        <f>++Tabla4[[#This Row],[Precio Unitario Neto]]-Tabla4[[#This Row],[20.85%]]-Tabla4[[#This Row],[Costo]]</f>
        <v>#N/A</v>
      </c>
      <c r="S362" s="282" t="e">
        <f>++Tabla4[[#This Row],[U. Bruta Uni]]*Tabla4[[#This Row],[Cantidad]]</f>
        <v>#N/A</v>
      </c>
      <c r="T362" s="369" t="str">
        <f>VLOOKUP(Tabla4[[#This Row],[Producto]],Tabla6[#All],14,FALSE)</f>
        <v>Termico Solar</v>
      </c>
      <c r="U362" s="284" t="e">
        <f>(IF(Tabla4[[#This Row],[Familia]]="termico solar",Tabla4[[#This Row],[Utilidad Total]]*6%,Tabla4[[#This Row],[Utilidad Total]]*11.5%))/Tabla4[[#This Row],[Total]]</f>
        <v>#N/A</v>
      </c>
      <c r="V362" s="282" t="e">
        <f>+Tabla4[[#This Row],[Comisión Calculada]]*Tabla4[[#This Row],[Total]]</f>
        <v>#N/A</v>
      </c>
    </row>
    <row r="363" spans="1:22" hidden="1" x14ac:dyDescent="0.25">
      <c r="A363" s="100">
        <v>45688</v>
      </c>
      <c r="B363" t="str">
        <f t="shared" si="12"/>
        <v>January</v>
      </c>
      <c r="C363" s="46" t="s">
        <v>280</v>
      </c>
      <c r="F363" s="366" t="s">
        <v>851</v>
      </c>
      <c r="G363" s="46" t="s">
        <v>566</v>
      </c>
      <c r="H363" s="46">
        <v>1</v>
      </c>
      <c r="I363" s="51">
        <v>2109.4499999999998</v>
      </c>
      <c r="J363" s="281">
        <f>++Tabla4[[#This Row],[Precio Bruto]]*1.16</f>
        <v>2446.9619999999995</v>
      </c>
      <c r="K363" s="281">
        <f>+Tabla4[[#This Row],[Precio Unitario Neto]]*Tabla4[[#Headers],[20.85%]]</f>
        <v>510.19157699999988</v>
      </c>
      <c r="L363" s="282">
        <f>++Tabla4[[#This Row],[Precio Unitario Neto]]-Tabla4[[#This Row],[20.85%]]</f>
        <v>1936.7704229999997</v>
      </c>
      <c r="M363" s="282" t="e">
        <f>(INDEX(Tabla6[#All],MATCH(Tabla4[[#This Row],[Producto]],Tabla6[[#All],[PRODUCTO]],0),MATCH(Tabla4[[#This Row],[Mes]],Tabla6[#Headers],0)))*(1+Catalogos!$L$2)</f>
        <v>#N/A</v>
      </c>
      <c r="N363" s="283" t="e">
        <f>+(Tabla4[[#This Row],[Precio Descontado]]-Tabla4[[#This Row],[Precio Base]])*Tabla4[[#This Row],[Cantidad]]</f>
        <v>#N/A</v>
      </c>
      <c r="O363" s="284" t="e">
        <f>++Tabla4[[#This Row],[Utilidad Total]]/Tabla4[[#This Row],[Total]]</f>
        <v>#N/A</v>
      </c>
      <c r="P363" s="282">
        <f>++Tabla4[[#This Row],[Precio Descontado]]*Tabla4[[#This Row],[Cantidad]]</f>
        <v>1936.7704229999997</v>
      </c>
      <c r="Q363" s="282" t="e">
        <f>(INDEX(Tabla6[#All],MATCH(Tabla4[[#This Row],[Producto]],Tabla6[[#All],[PRODUCTO]],0),MATCH(Tabla4[[#This Row],[Mes]],Tabla6[#Headers],0)))</f>
        <v>#N/A</v>
      </c>
      <c r="R363" s="282" t="e">
        <f>++Tabla4[[#This Row],[Precio Unitario Neto]]-Tabla4[[#This Row],[20.85%]]-Tabla4[[#This Row],[Costo]]</f>
        <v>#N/A</v>
      </c>
      <c r="S363" s="282" t="e">
        <f>++Tabla4[[#This Row],[U. Bruta Uni]]*Tabla4[[#This Row],[Cantidad]]</f>
        <v>#N/A</v>
      </c>
      <c r="T363" s="369" t="str">
        <f>VLOOKUP(Tabla4[[#This Row],[Producto]],Tabla6[#All],14,FALSE)</f>
        <v>Termico Solar</v>
      </c>
      <c r="U363" s="284" t="e">
        <f>(IF(Tabla4[[#This Row],[Familia]]="termico solar",Tabla4[[#This Row],[Utilidad Total]]*6%,Tabla4[[#This Row],[Utilidad Total]]*11.5%))/Tabla4[[#This Row],[Total]]</f>
        <v>#N/A</v>
      </c>
      <c r="V363" s="282" t="e">
        <f>+Tabla4[[#This Row],[Comisión Calculada]]*Tabla4[[#This Row],[Total]]</f>
        <v>#N/A</v>
      </c>
    </row>
    <row r="364" spans="1:22" hidden="1" x14ac:dyDescent="0.25">
      <c r="A364" s="100">
        <v>45688</v>
      </c>
      <c r="B364" t="str">
        <f t="shared" si="12"/>
        <v>January</v>
      </c>
      <c r="C364" s="46" t="s">
        <v>280</v>
      </c>
      <c r="F364" s="366" t="s">
        <v>852</v>
      </c>
      <c r="G364" s="46" t="s">
        <v>83</v>
      </c>
      <c r="H364" s="46">
        <v>1</v>
      </c>
      <c r="I364" s="51">
        <v>8858.76</v>
      </c>
      <c r="J364" s="281">
        <f>++Tabla4[[#This Row],[Precio Bruto]]*1.16</f>
        <v>10276.161599999999</v>
      </c>
      <c r="K364" s="281">
        <f>+Tabla4[[#This Row],[Precio Unitario Neto]]*Tabla4[[#Headers],[20.85%]]</f>
        <v>2142.5796935999997</v>
      </c>
      <c r="L364" s="282">
        <f>++Tabla4[[#This Row],[Precio Unitario Neto]]-Tabla4[[#This Row],[20.85%]]</f>
        <v>8133.5819063999998</v>
      </c>
      <c r="M364" s="282" t="e">
        <f>(INDEX(Tabla6[#All],MATCH(Tabla4[[#This Row],[Producto]],Tabla6[[#All],[PRODUCTO]],0),MATCH(Tabla4[[#This Row],[Mes]],Tabla6[#Headers],0)))*(1+Catalogos!$L$2)</f>
        <v>#N/A</v>
      </c>
      <c r="N364" s="283" t="e">
        <f>+(Tabla4[[#This Row],[Precio Descontado]]-Tabla4[[#This Row],[Precio Base]])*Tabla4[[#This Row],[Cantidad]]</f>
        <v>#N/A</v>
      </c>
      <c r="O364" s="284" t="e">
        <f>++Tabla4[[#This Row],[Utilidad Total]]/Tabla4[[#This Row],[Total]]</f>
        <v>#N/A</v>
      </c>
      <c r="P364" s="282">
        <f>++Tabla4[[#This Row],[Precio Descontado]]*Tabla4[[#This Row],[Cantidad]]</f>
        <v>8133.5819063999998</v>
      </c>
      <c r="Q364" s="282" t="e">
        <f>(INDEX(Tabla6[#All],MATCH(Tabla4[[#This Row],[Producto]],Tabla6[[#All],[PRODUCTO]],0),MATCH(Tabla4[[#This Row],[Mes]],Tabla6[#Headers],0)))</f>
        <v>#N/A</v>
      </c>
      <c r="R364" s="282" t="e">
        <f>++Tabla4[[#This Row],[Precio Unitario Neto]]-Tabla4[[#This Row],[20.85%]]-Tabla4[[#This Row],[Costo]]</f>
        <v>#N/A</v>
      </c>
      <c r="S364" s="282" t="e">
        <f>++Tabla4[[#This Row],[U. Bruta Uni]]*Tabla4[[#This Row],[Cantidad]]</f>
        <v>#N/A</v>
      </c>
      <c r="T364" s="369" t="str">
        <f>VLOOKUP(Tabla4[[#This Row],[Producto]],Tabla6[#All],14,FALSE)</f>
        <v>Termico Solar</v>
      </c>
      <c r="U364" s="284" t="e">
        <f>(IF(Tabla4[[#This Row],[Familia]]="termico solar",Tabla4[[#This Row],[Utilidad Total]]*6%,Tabla4[[#This Row],[Utilidad Total]]*11.5%))/Tabla4[[#This Row],[Total]]</f>
        <v>#N/A</v>
      </c>
      <c r="V364" s="282" t="e">
        <f>+Tabla4[[#This Row],[Comisión Calculada]]*Tabla4[[#This Row],[Total]]</f>
        <v>#N/A</v>
      </c>
    </row>
    <row r="365" spans="1:22" hidden="1" x14ac:dyDescent="0.25">
      <c r="A365" s="100">
        <v>45688</v>
      </c>
      <c r="B365" t="str">
        <f t="shared" si="12"/>
        <v>January</v>
      </c>
      <c r="C365" s="46" t="s">
        <v>280</v>
      </c>
      <c r="F365" s="366" t="s">
        <v>852</v>
      </c>
      <c r="G365" s="46" t="s">
        <v>17</v>
      </c>
      <c r="H365" s="46">
        <v>2</v>
      </c>
      <c r="I365" s="51">
        <v>4622.28</v>
      </c>
      <c r="J365" s="281">
        <f>++Tabla4[[#This Row],[Precio Bruto]]*1.16</f>
        <v>5361.8447999999989</v>
      </c>
      <c r="K365" s="281">
        <f>+Tabla4[[#This Row],[Precio Unitario Neto]]*Tabla4[[#Headers],[20.85%]]</f>
        <v>1117.9446407999997</v>
      </c>
      <c r="L365" s="282">
        <f>++Tabla4[[#This Row],[Precio Unitario Neto]]-Tabla4[[#This Row],[20.85%]]</f>
        <v>4243.9001591999995</v>
      </c>
      <c r="M365" s="282" t="e">
        <f>(INDEX(Tabla6[#All],MATCH(Tabla4[[#This Row],[Producto]],Tabla6[[#All],[PRODUCTO]],0),MATCH(Tabla4[[#This Row],[Mes]],Tabla6[#Headers],0)))*(1+Catalogos!$L$2)</f>
        <v>#N/A</v>
      </c>
      <c r="N365" s="283" t="e">
        <f>+(Tabla4[[#This Row],[Precio Descontado]]-Tabla4[[#This Row],[Precio Base]])*Tabla4[[#This Row],[Cantidad]]</f>
        <v>#N/A</v>
      </c>
      <c r="O365" s="284" t="e">
        <f>++Tabla4[[#This Row],[Utilidad Total]]/Tabla4[[#This Row],[Total]]</f>
        <v>#N/A</v>
      </c>
      <c r="P365" s="282">
        <f>++Tabla4[[#This Row],[Precio Descontado]]*Tabla4[[#This Row],[Cantidad]]</f>
        <v>8487.800318399999</v>
      </c>
      <c r="Q365" s="282" t="e">
        <f>(INDEX(Tabla6[#All],MATCH(Tabla4[[#This Row],[Producto]],Tabla6[[#All],[PRODUCTO]],0),MATCH(Tabla4[[#This Row],[Mes]],Tabla6[#Headers],0)))</f>
        <v>#N/A</v>
      </c>
      <c r="R365" s="282" t="e">
        <f>++Tabla4[[#This Row],[Precio Unitario Neto]]-Tabla4[[#This Row],[20.85%]]-Tabla4[[#This Row],[Costo]]</f>
        <v>#N/A</v>
      </c>
      <c r="S365" s="282" t="e">
        <f>++Tabla4[[#This Row],[U. Bruta Uni]]*Tabla4[[#This Row],[Cantidad]]</f>
        <v>#N/A</v>
      </c>
      <c r="T365" s="369" t="str">
        <f>VLOOKUP(Tabla4[[#This Row],[Producto]],Tabla6[#All],14,FALSE)</f>
        <v>Termico Solar</v>
      </c>
      <c r="U365" s="284" t="e">
        <f>(IF(Tabla4[[#This Row],[Familia]]="termico solar",Tabla4[[#This Row],[Utilidad Total]]*6%,Tabla4[[#This Row],[Utilidad Total]]*11.5%))/Tabla4[[#This Row],[Total]]</f>
        <v>#N/A</v>
      </c>
      <c r="V365" s="282" t="e">
        <f>+Tabla4[[#This Row],[Comisión Calculada]]*Tabla4[[#This Row],[Total]]</f>
        <v>#N/A</v>
      </c>
    </row>
    <row r="366" spans="1:22" hidden="1" x14ac:dyDescent="0.25">
      <c r="A366" s="100">
        <v>45688</v>
      </c>
      <c r="B366" t="str">
        <f t="shared" si="12"/>
        <v>January</v>
      </c>
      <c r="C366" s="46" t="s">
        <v>280</v>
      </c>
      <c r="F366" s="366" t="s">
        <v>853</v>
      </c>
      <c r="G366" s="46" t="s">
        <v>83</v>
      </c>
      <c r="H366" s="46">
        <v>1</v>
      </c>
      <c r="I366" s="51">
        <v>8858.76</v>
      </c>
      <c r="J366" s="281">
        <f>++Tabla4[[#This Row],[Precio Bruto]]*1.16</f>
        <v>10276.161599999999</v>
      </c>
      <c r="K366" s="281">
        <f>+Tabla4[[#This Row],[Precio Unitario Neto]]*Tabla4[[#Headers],[20.85%]]</f>
        <v>2142.5796935999997</v>
      </c>
      <c r="L366" s="282">
        <f>++Tabla4[[#This Row],[Precio Unitario Neto]]-Tabla4[[#This Row],[20.85%]]</f>
        <v>8133.5819063999998</v>
      </c>
      <c r="M366" s="282" t="e">
        <f>(INDEX(Tabla6[#All],MATCH(Tabla4[[#This Row],[Producto]],Tabla6[[#All],[PRODUCTO]],0),MATCH(Tabla4[[#This Row],[Mes]],Tabla6[#Headers],0)))*(1+Catalogos!$L$2)</f>
        <v>#N/A</v>
      </c>
      <c r="N366" s="283" t="e">
        <f>+(Tabla4[[#This Row],[Precio Descontado]]-Tabla4[[#This Row],[Precio Base]])*Tabla4[[#This Row],[Cantidad]]</f>
        <v>#N/A</v>
      </c>
      <c r="O366" s="284" t="e">
        <f>++Tabla4[[#This Row],[Utilidad Total]]/Tabla4[[#This Row],[Total]]</f>
        <v>#N/A</v>
      </c>
      <c r="P366" s="282">
        <f>++Tabla4[[#This Row],[Precio Descontado]]*Tabla4[[#This Row],[Cantidad]]</f>
        <v>8133.5819063999998</v>
      </c>
      <c r="Q366" s="282" t="e">
        <f>(INDEX(Tabla6[#All],MATCH(Tabla4[[#This Row],[Producto]],Tabla6[[#All],[PRODUCTO]],0),MATCH(Tabla4[[#This Row],[Mes]],Tabla6[#Headers],0)))</f>
        <v>#N/A</v>
      </c>
      <c r="R366" s="282" t="e">
        <f>++Tabla4[[#This Row],[Precio Unitario Neto]]-Tabla4[[#This Row],[20.85%]]-Tabla4[[#This Row],[Costo]]</f>
        <v>#N/A</v>
      </c>
      <c r="S366" s="282" t="e">
        <f>++Tabla4[[#This Row],[U. Bruta Uni]]*Tabla4[[#This Row],[Cantidad]]</f>
        <v>#N/A</v>
      </c>
      <c r="T366" s="369" t="str">
        <f>VLOOKUP(Tabla4[[#This Row],[Producto]],Tabla6[#All],14,FALSE)</f>
        <v>Termico Solar</v>
      </c>
      <c r="U366" s="284" t="e">
        <f>(IF(Tabla4[[#This Row],[Familia]]="termico solar",Tabla4[[#This Row],[Utilidad Total]]*6%,Tabla4[[#This Row],[Utilidad Total]]*11.5%))/Tabla4[[#This Row],[Total]]</f>
        <v>#N/A</v>
      </c>
      <c r="V366" s="282" t="e">
        <f>+Tabla4[[#This Row],[Comisión Calculada]]*Tabla4[[#This Row],[Total]]</f>
        <v>#N/A</v>
      </c>
    </row>
    <row r="367" spans="1:22" hidden="1" x14ac:dyDescent="0.25">
      <c r="A367" s="100">
        <v>45688</v>
      </c>
      <c r="B367" t="str">
        <f t="shared" si="12"/>
        <v>January</v>
      </c>
      <c r="C367" s="46" t="s">
        <v>280</v>
      </c>
      <c r="F367" s="366" t="s">
        <v>853</v>
      </c>
      <c r="G367" s="46" t="s">
        <v>16</v>
      </c>
      <c r="H367" s="46">
        <v>1</v>
      </c>
      <c r="I367" s="51">
        <v>4103.8500000000004</v>
      </c>
      <c r="J367" s="281">
        <f>++Tabla4[[#This Row],[Precio Bruto]]*1.16</f>
        <v>4760.4660000000003</v>
      </c>
      <c r="K367" s="281">
        <f>+Tabla4[[#This Row],[Precio Unitario Neto]]*Tabla4[[#Headers],[20.85%]]</f>
        <v>992.55716100000006</v>
      </c>
      <c r="L367" s="282">
        <f>++Tabla4[[#This Row],[Precio Unitario Neto]]-Tabla4[[#This Row],[20.85%]]</f>
        <v>3767.9088390000002</v>
      </c>
      <c r="M367" s="282" t="e">
        <f>(INDEX(Tabla6[#All],MATCH(Tabla4[[#This Row],[Producto]],Tabla6[[#All],[PRODUCTO]],0),MATCH(Tabla4[[#This Row],[Mes]],Tabla6[#Headers],0)))*(1+Catalogos!$L$2)</f>
        <v>#N/A</v>
      </c>
      <c r="N367" s="283" t="e">
        <f>+(Tabla4[[#This Row],[Precio Descontado]]-Tabla4[[#This Row],[Precio Base]])*Tabla4[[#This Row],[Cantidad]]</f>
        <v>#N/A</v>
      </c>
      <c r="O367" s="284" t="e">
        <f>++Tabla4[[#This Row],[Utilidad Total]]/Tabla4[[#This Row],[Total]]</f>
        <v>#N/A</v>
      </c>
      <c r="P367" s="282">
        <f>++Tabla4[[#This Row],[Precio Descontado]]*Tabla4[[#This Row],[Cantidad]]</f>
        <v>3767.9088390000002</v>
      </c>
      <c r="Q367" s="282" t="e">
        <f>(INDEX(Tabla6[#All],MATCH(Tabla4[[#This Row],[Producto]],Tabla6[[#All],[PRODUCTO]],0),MATCH(Tabla4[[#This Row],[Mes]],Tabla6[#Headers],0)))</f>
        <v>#N/A</v>
      </c>
      <c r="R367" s="282" t="e">
        <f>++Tabla4[[#This Row],[Precio Unitario Neto]]-Tabla4[[#This Row],[20.85%]]-Tabla4[[#This Row],[Costo]]</f>
        <v>#N/A</v>
      </c>
      <c r="S367" s="282" t="e">
        <f>++Tabla4[[#This Row],[U. Bruta Uni]]*Tabla4[[#This Row],[Cantidad]]</f>
        <v>#N/A</v>
      </c>
      <c r="T367" s="369" t="str">
        <f>VLOOKUP(Tabla4[[#This Row],[Producto]],Tabla6[#All],14,FALSE)</f>
        <v>Termico Solar</v>
      </c>
      <c r="U367" s="284" t="e">
        <f>(IF(Tabla4[[#This Row],[Familia]]="termico solar",Tabla4[[#This Row],[Utilidad Total]]*6%,Tabla4[[#This Row],[Utilidad Total]]*11.5%))/Tabla4[[#This Row],[Total]]</f>
        <v>#N/A</v>
      </c>
      <c r="V367" s="282" t="e">
        <f>+Tabla4[[#This Row],[Comisión Calculada]]*Tabla4[[#This Row],[Total]]</f>
        <v>#N/A</v>
      </c>
    </row>
    <row r="368" spans="1:22" hidden="1" x14ac:dyDescent="0.25">
      <c r="A368" s="100">
        <v>45688</v>
      </c>
      <c r="B368" t="str">
        <f t="shared" si="12"/>
        <v>January</v>
      </c>
      <c r="C368" s="46" t="s">
        <v>280</v>
      </c>
      <c r="F368" s="366" t="s">
        <v>854</v>
      </c>
      <c r="G368" s="46" t="s">
        <v>18</v>
      </c>
      <c r="H368" s="46">
        <v>1</v>
      </c>
      <c r="I368" s="51">
        <v>5367.65</v>
      </c>
      <c r="J368" s="281">
        <f>++Tabla4[[#This Row],[Precio Bruto]]*1.16</f>
        <v>6226.4739999999993</v>
      </c>
      <c r="K368" s="281">
        <f>+Tabla4[[#This Row],[Precio Unitario Neto]]*Tabla4[[#Headers],[20.85%]]</f>
        <v>1298.2198289999999</v>
      </c>
      <c r="L368" s="282">
        <f>++Tabla4[[#This Row],[Precio Unitario Neto]]-Tabla4[[#This Row],[20.85%]]</f>
        <v>4928.2541709999996</v>
      </c>
      <c r="M368" s="282" t="e">
        <f>(INDEX(Tabla6[#All],MATCH(Tabla4[[#This Row],[Producto]],Tabla6[[#All],[PRODUCTO]],0),MATCH(Tabla4[[#This Row],[Mes]],Tabla6[#Headers],0)))*(1+Catalogos!$L$2)</f>
        <v>#N/A</v>
      </c>
      <c r="N368" s="283" t="e">
        <f>+(Tabla4[[#This Row],[Precio Descontado]]-Tabla4[[#This Row],[Precio Base]])*Tabla4[[#This Row],[Cantidad]]</f>
        <v>#N/A</v>
      </c>
      <c r="O368" s="284" t="e">
        <f>++Tabla4[[#This Row],[Utilidad Total]]/Tabla4[[#This Row],[Total]]</f>
        <v>#N/A</v>
      </c>
      <c r="P368" s="282">
        <f>++Tabla4[[#This Row],[Precio Descontado]]*Tabla4[[#This Row],[Cantidad]]</f>
        <v>4928.2541709999996</v>
      </c>
      <c r="Q368" s="282" t="e">
        <f>(INDEX(Tabla6[#All],MATCH(Tabla4[[#This Row],[Producto]],Tabla6[[#All],[PRODUCTO]],0),MATCH(Tabla4[[#This Row],[Mes]],Tabla6[#Headers],0)))</f>
        <v>#N/A</v>
      </c>
      <c r="R368" s="282" t="e">
        <f>++Tabla4[[#This Row],[Precio Unitario Neto]]-Tabla4[[#This Row],[20.85%]]-Tabla4[[#This Row],[Costo]]</f>
        <v>#N/A</v>
      </c>
      <c r="S368" s="282" t="e">
        <f>++Tabla4[[#This Row],[U. Bruta Uni]]*Tabla4[[#This Row],[Cantidad]]</f>
        <v>#N/A</v>
      </c>
      <c r="T368" s="369" t="str">
        <f>VLOOKUP(Tabla4[[#This Row],[Producto]],Tabla6[#All],14,FALSE)</f>
        <v>Termico Solar</v>
      </c>
      <c r="U368" s="284" t="e">
        <f>(IF(Tabla4[[#This Row],[Familia]]="termico solar",Tabla4[[#This Row],[Utilidad Total]]*6%,Tabla4[[#This Row],[Utilidad Total]]*11.5%))/Tabla4[[#This Row],[Total]]</f>
        <v>#N/A</v>
      </c>
      <c r="V368" s="282" t="e">
        <f>+Tabla4[[#This Row],[Comisión Calculada]]*Tabla4[[#This Row],[Total]]</f>
        <v>#N/A</v>
      </c>
    </row>
    <row r="369" spans="1:22" hidden="1" x14ac:dyDescent="0.25">
      <c r="A369" s="100">
        <v>45688</v>
      </c>
      <c r="B369" t="str">
        <f t="shared" si="12"/>
        <v>January</v>
      </c>
      <c r="C369" s="46" t="s">
        <v>280</v>
      </c>
      <c r="F369" s="366" t="s">
        <v>854</v>
      </c>
      <c r="G369" s="46" t="s">
        <v>566</v>
      </c>
      <c r="H369" s="46">
        <v>1</v>
      </c>
      <c r="I369" s="51">
        <v>2109.4499999999998</v>
      </c>
      <c r="J369" s="281">
        <f>++Tabla4[[#This Row],[Precio Bruto]]*1.16</f>
        <v>2446.9619999999995</v>
      </c>
      <c r="K369" s="281">
        <f>+Tabla4[[#This Row],[Precio Unitario Neto]]*Tabla4[[#Headers],[20.85%]]</f>
        <v>510.19157699999988</v>
      </c>
      <c r="L369" s="282">
        <f>++Tabla4[[#This Row],[Precio Unitario Neto]]-Tabla4[[#This Row],[20.85%]]</f>
        <v>1936.7704229999997</v>
      </c>
      <c r="M369" s="282" t="e">
        <f>(INDEX(Tabla6[#All],MATCH(Tabla4[[#This Row],[Producto]],Tabla6[[#All],[PRODUCTO]],0),MATCH(Tabla4[[#This Row],[Mes]],Tabla6[#Headers],0)))*(1+Catalogos!$L$2)</f>
        <v>#N/A</v>
      </c>
      <c r="N369" s="283" t="e">
        <f>+(Tabla4[[#This Row],[Precio Descontado]]-Tabla4[[#This Row],[Precio Base]])*Tabla4[[#This Row],[Cantidad]]</f>
        <v>#N/A</v>
      </c>
      <c r="O369" s="284" t="e">
        <f>++Tabla4[[#This Row],[Utilidad Total]]/Tabla4[[#This Row],[Total]]</f>
        <v>#N/A</v>
      </c>
      <c r="P369" s="282">
        <f>++Tabla4[[#This Row],[Precio Descontado]]*Tabla4[[#This Row],[Cantidad]]</f>
        <v>1936.7704229999997</v>
      </c>
      <c r="Q369" s="282" t="e">
        <f>(INDEX(Tabla6[#All],MATCH(Tabla4[[#This Row],[Producto]],Tabla6[[#All],[PRODUCTO]],0),MATCH(Tabla4[[#This Row],[Mes]],Tabla6[#Headers],0)))</f>
        <v>#N/A</v>
      </c>
      <c r="R369" s="282" t="e">
        <f>++Tabla4[[#This Row],[Precio Unitario Neto]]-Tabla4[[#This Row],[20.85%]]-Tabla4[[#This Row],[Costo]]</f>
        <v>#N/A</v>
      </c>
      <c r="S369" s="282" t="e">
        <f>++Tabla4[[#This Row],[U. Bruta Uni]]*Tabla4[[#This Row],[Cantidad]]</f>
        <v>#N/A</v>
      </c>
      <c r="T369" s="369" t="str">
        <f>VLOOKUP(Tabla4[[#This Row],[Producto]],Tabla6[#All],14,FALSE)</f>
        <v>Termico Solar</v>
      </c>
      <c r="U369" s="284" t="e">
        <f>(IF(Tabla4[[#This Row],[Familia]]="termico solar",Tabla4[[#This Row],[Utilidad Total]]*6%,Tabla4[[#This Row],[Utilidad Total]]*11.5%))/Tabla4[[#This Row],[Total]]</f>
        <v>#N/A</v>
      </c>
      <c r="V369" s="282" t="e">
        <f>+Tabla4[[#This Row],[Comisión Calculada]]*Tabla4[[#This Row],[Total]]</f>
        <v>#N/A</v>
      </c>
    </row>
    <row r="370" spans="1:22" hidden="1" x14ac:dyDescent="0.25">
      <c r="A370" s="100">
        <v>45688</v>
      </c>
      <c r="B370" t="str">
        <f t="shared" ref="B370:B375" si="13">TEXT(A370, "mmmm")</f>
        <v>January</v>
      </c>
      <c r="C370" s="46" t="s">
        <v>280</v>
      </c>
      <c r="F370" s="366" t="s">
        <v>855</v>
      </c>
      <c r="G370" s="46" t="s">
        <v>17</v>
      </c>
      <c r="H370" s="46">
        <v>3</v>
      </c>
      <c r="I370" s="51">
        <v>4622.28</v>
      </c>
      <c r="J370" s="281">
        <f>++Tabla4[[#This Row],[Precio Bruto]]*1.16</f>
        <v>5361.8447999999989</v>
      </c>
      <c r="K370" s="281">
        <f>+Tabla4[[#This Row],[Precio Unitario Neto]]*Tabla4[[#Headers],[20.85%]]</f>
        <v>1117.9446407999997</v>
      </c>
      <c r="L370" s="282">
        <f>++Tabla4[[#This Row],[Precio Unitario Neto]]-Tabla4[[#This Row],[20.85%]]</f>
        <v>4243.9001591999995</v>
      </c>
      <c r="M370" s="282" t="e">
        <f>(INDEX(Tabla6[#All],MATCH(Tabla4[[#This Row],[Producto]],Tabla6[[#All],[PRODUCTO]],0),MATCH(Tabla4[[#This Row],[Mes]],Tabla6[#Headers],0)))*(1+Catalogos!$L$2)</f>
        <v>#N/A</v>
      </c>
      <c r="N370" s="283" t="e">
        <f>+(Tabla4[[#This Row],[Precio Descontado]]-Tabla4[[#This Row],[Precio Base]])*Tabla4[[#This Row],[Cantidad]]</f>
        <v>#N/A</v>
      </c>
      <c r="O370" s="284" t="e">
        <f>++Tabla4[[#This Row],[Utilidad Total]]/Tabla4[[#This Row],[Total]]</f>
        <v>#N/A</v>
      </c>
      <c r="P370" s="282">
        <f>++Tabla4[[#This Row],[Precio Descontado]]*Tabla4[[#This Row],[Cantidad]]</f>
        <v>12731.700477599999</v>
      </c>
      <c r="Q370" s="282" t="e">
        <f>(INDEX(Tabla6[#All],MATCH(Tabla4[[#This Row],[Producto]],Tabla6[[#All],[PRODUCTO]],0),MATCH(Tabla4[[#This Row],[Mes]],Tabla6[#Headers],0)))</f>
        <v>#N/A</v>
      </c>
      <c r="R370" s="282" t="e">
        <f>++Tabla4[[#This Row],[Precio Unitario Neto]]-Tabla4[[#This Row],[20.85%]]-Tabla4[[#This Row],[Costo]]</f>
        <v>#N/A</v>
      </c>
      <c r="S370" s="282" t="e">
        <f>++Tabla4[[#This Row],[U. Bruta Uni]]*Tabla4[[#This Row],[Cantidad]]</f>
        <v>#N/A</v>
      </c>
      <c r="T370" s="369" t="str">
        <f>VLOOKUP(Tabla4[[#This Row],[Producto]],Tabla6[#All],14,FALSE)</f>
        <v>Termico Solar</v>
      </c>
      <c r="U370" s="284" t="e">
        <f>(IF(Tabla4[[#This Row],[Familia]]="termico solar",Tabla4[[#This Row],[Utilidad Total]]*6%,Tabla4[[#This Row],[Utilidad Total]]*11.5%))/Tabla4[[#This Row],[Total]]</f>
        <v>#N/A</v>
      </c>
      <c r="V370" s="282" t="e">
        <f>+Tabla4[[#This Row],[Comisión Calculada]]*Tabla4[[#This Row],[Total]]</f>
        <v>#N/A</v>
      </c>
    </row>
    <row r="371" spans="1:22" hidden="1" x14ac:dyDescent="0.25">
      <c r="A371" s="100">
        <v>45688</v>
      </c>
      <c r="B371" t="str">
        <f t="shared" si="13"/>
        <v>January</v>
      </c>
      <c r="C371" s="46" t="s">
        <v>280</v>
      </c>
      <c r="F371" s="366" t="s">
        <v>856</v>
      </c>
      <c r="G371" s="46" t="s">
        <v>566</v>
      </c>
      <c r="H371" s="46">
        <v>1</v>
      </c>
      <c r="I371" s="51">
        <v>2109.4499999999998</v>
      </c>
      <c r="J371" s="281">
        <f>++Tabla4[[#This Row],[Precio Bruto]]*1.16</f>
        <v>2446.9619999999995</v>
      </c>
      <c r="K371" s="281">
        <f>+Tabla4[[#This Row],[Precio Unitario Neto]]*Tabla4[[#Headers],[20.85%]]</f>
        <v>510.19157699999988</v>
      </c>
      <c r="L371" s="282">
        <f>++Tabla4[[#This Row],[Precio Unitario Neto]]-Tabla4[[#This Row],[20.85%]]</f>
        <v>1936.7704229999997</v>
      </c>
      <c r="M371" s="282" t="e">
        <f>(INDEX(Tabla6[#All],MATCH(Tabla4[[#This Row],[Producto]],Tabla6[[#All],[PRODUCTO]],0),MATCH(Tabla4[[#This Row],[Mes]],Tabla6[#Headers],0)))*(1+Catalogos!$L$2)</f>
        <v>#N/A</v>
      </c>
      <c r="N371" s="283" t="e">
        <f>+(Tabla4[[#This Row],[Precio Descontado]]-Tabla4[[#This Row],[Precio Base]])*Tabla4[[#This Row],[Cantidad]]</f>
        <v>#N/A</v>
      </c>
      <c r="O371" s="284" t="e">
        <f>++Tabla4[[#This Row],[Utilidad Total]]/Tabla4[[#This Row],[Total]]</f>
        <v>#N/A</v>
      </c>
      <c r="P371" s="282">
        <f>++Tabla4[[#This Row],[Precio Descontado]]*Tabla4[[#This Row],[Cantidad]]</f>
        <v>1936.7704229999997</v>
      </c>
      <c r="Q371" s="282" t="e">
        <f>(INDEX(Tabla6[#All],MATCH(Tabla4[[#This Row],[Producto]],Tabla6[[#All],[PRODUCTO]],0),MATCH(Tabla4[[#This Row],[Mes]],Tabla6[#Headers],0)))</f>
        <v>#N/A</v>
      </c>
      <c r="R371" s="282" t="e">
        <f>++Tabla4[[#This Row],[Precio Unitario Neto]]-Tabla4[[#This Row],[20.85%]]-Tabla4[[#This Row],[Costo]]</f>
        <v>#N/A</v>
      </c>
      <c r="S371" s="282" t="e">
        <f>++Tabla4[[#This Row],[U. Bruta Uni]]*Tabla4[[#This Row],[Cantidad]]</f>
        <v>#N/A</v>
      </c>
      <c r="T371" s="369" t="str">
        <f>VLOOKUP(Tabla4[[#This Row],[Producto]],Tabla6[#All],14,FALSE)</f>
        <v>Termico Solar</v>
      </c>
      <c r="U371" s="284" t="e">
        <f>(IF(Tabla4[[#This Row],[Familia]]="termico solar",Tabla4[[#This Row],[Utilidad Total]]*6%,Tabla4[[#This Row],[Utilidad Total]]*11.5%))/Tabla4[[#This Row],[Total]]</f>
        <v>#N/A</v>
      </c>
      <c r="V371" s="282" t="e">
        <f>+Tabla4[[#This Row],[Comisión Calculada]]*Tabla4[[#This Row],[Total]]</f>
        <v>#N/A</v>
      </c>
    </row>
    <row r="372" spans="1:22" hidden="1" x14ac:dyDescent="0.25">
      <c r="A372" s="100">
        <v>45688</v>
      </c>
      <c r="B372" t="str">
        <f t="shared" si="13"/>
        <v>January</v>
      </c>
      <c r="C372" s="46" t="s">
        <v>280</v>
      </c>
      <c r="F372" s="366" t="s">
        <v>857</v>
      </c>
      <c r="G372" s="46" t="s">
        <v>412</v>
      </c>
      <c r="H372" s="46">
        <v>1</v>
      </c>
      <c r="I372" s="51">
        <v>3240.84</v>
      </c>
      <c r="J372" s="281">
        <f>++Tabla4[[#This Row],[Precio Bruto]]*1.16</f>
        <v>3759.3743999999997</v>
      </c>
      <c r="K372" s="281">
        <f>+Tabla4[[#This Row],[Precio Unitario Neto]]*Tabla4[[#Headers],[20.85%]]</f>
        <v>783.82956239999987</v>
      </c>
      <c r="L372" s="282">
        <f>++Tabla4[[#This Row],[Precio Unitario Neto]]-Tabla4[[#This Row],[20.85%]]</f>
        <v>2975.5448375999999</v>
      </c>
      <c r="M372" s="282" t="e">
        <f>(INDEX(Tabla6[#All],MATCH(Tabla4[[#This Row],[Producto]],Tabla6[[#All],[PRODUCTO]],0),MATCH(Tabla4[[#This Row],[Mes]],Tabla6[#Headers],0)))*(1+Catalogos!$L$2)</f>
        <v>#N/A</v>
      </c>
      <c r="N372" s="283" t="e">
        <f>+(Tabla4[[#This Row],[Precio Descontado]]-Tabla4[[#This Row],[Precio Base]])*Tabla4[[#This Row],[Cantidad]]</f>
        <v>#N/A</v>
      </c>
      <c r="O372" s="284" t="e">
        <f>++Tabla4[[#This Row],[Utilidad Total]]/Tabla4[[#This Row],[Total]]</f>
        <v>#N/A</v>
      </c>
      <c r="P372" s="282">
        <f>++Tabla4[[#This Row],[Precio Descontado]]*Tabla4[[#This Row],[Cantidad]]</f>
        <v>2975.5448375999999</v>
      </c>
      <c r="Q372" s="282" t="e">
        <f>(INDEX(Tabla6[#All],MATCH(Tabla4[[#This Row],[Producto]],Tabla6[[#All],[PRODUCTO]],0),MATCH(Tabla4[[#This Row],[Mes]],Tabla6[#Headers],0)))</f>
        <v>#N/A</v>
      </c>
      <c r="R372" s="282" t="e">
        <f>++Tabla4[[#This Row],[Precio Unitario Neto]]-Tabla4[[#This Row],[20.85%]]-Tabla4[[#This Row],[Costo]]</f>
        <v>#N/A</v>
      </c>
      <c r="S372" s="282" t="e">
        <f>++Tabla4[[#This Row],[U. Bruta Uni]]*Tabla4[[#This Row],[Cantidad]]</f>
        <v>#N/A</v>
      </c>
      <c r="T372" s="369" t="str">
        <f>VLOOKUP(Tabla4[[#This Row],[Producto]],Tabla6[#All],14,FALSE)</f>
        <v>Termico Solar</v>
      </c>
      <c r="U372" s="284" t="e">
        <f>(IF(Tabla4[[#This Row],[Familia]]="termico solar",Tabla4[[#This Row],[Utilidad Total]]*6%,Tabla4[[#This Row],[Utilidad Total]]*11.5%))/Tabla4[[#This Row],[Total]]</f>
        <v>#N/A</v>
      </c>
      <c r="V372" s="282" t="e">
        <f>+Tabla4[[#This Row],[Comisión Calculada]]*Tabla4[[#This Row],[Total]]</f>
        <v>#N/A</v>
      </c>
    </row>
    <row r="373" spans="1:22" hidden="1" x14ac:dyDescent="0.25">
      <c r="A373" s="100">
        <v>45688</v>
      </c>
      <c r="B373" t="str">
        <f t="shared" si="13"/>
        <v>January</v>
      </c>
      <c r="C373" s="46" t="s">
        <v>280</v>
      </c>
      <c r="F373" s="366" t="s">
        <v>858</v>
      </c>
      <c r="G373" s="46" t="s">
        <v>16</v>
      </c>
      <c r="H373" s="46">
        <v>1</v>
      </c>
      <c r="I373" s="51">
        <v>4103.8500000000004</v>
      </c>
      <c r="J373" s="281">
        <f>++Tabla4[[#This Row],[Precio Bruto]]*1.16</f>
        <v>4760.4660000000003</v>
      </c>
      <c r="K373" s="281">
        <f>+Tabla4[[#This Row],[Precio Unitario Neto]]*Tabla4[[#Headers],[20.85%]]</f>
        <v>992.55716100000006</v>
      </c>
      <c r="L373" s="282">
        <f>++Tabla4[[#This Row],[Precio Unitario Neto]]-Tabla4[[#This Row],[20.85%]]</f>
        <v>3767.9088390000002</v>
      </c>
      <c r="M373" s="282" t="e">
        <f>(INDEX(Tabla6[#All],MATCH(Tabla4[[#This Row],[Producto]],Tabla6[[#All],[PRODUCTO]],0),MATCH(Tabla4[[#This Row],[Mes]],Tabla6[#Headers],0)))*(1+Catalogos!$L$2)</f>
        <v>#N/A</v>
      </c>
      <c r="N373" s="283" t="e">
        <f>+(Tabla4[[#This Row],[Precio Descontado]]-Tabla4[[#This Row],[Precio Base]])*Tabla4[[#This Row],[Cantidad]]</f>
        <v>#N/A</v>
      </c>
      <c r="O373" s="284" t="e">
        <f>++Tabla4[[#This Row],[Utilidad Total]]/Tabla4[[#This Row],[Total]]</f>
        <v>#N/A</v>
      </c>
      <c r="P373" s="282">
        <f>++Tabla4[[#This Row],[Precio Descontado]]*Tabla4[[#This Row],[Cantidad]]</f>
        <v>3767.9088390000002</v>
      </c>
      <c r="Q373" s="282" t="e">
        <f>(INDEX(Tabla6[#All],MATCH(Tabla4[[#This Row],[Producto]],Tabla6[[#All],[PRODUCTO]],0),MATCH(Tabla4[[#This Row],[Mes]],Tabla6[#Headers],0)))</f>
        <v>#N/A</v>
      </c>
      <c r="R373" s="282" t="e">
        <f>++Tabla4[[#This Row],[Precio Unitario Neto]]-Tabla4[[#This Row],[20.85%]]-Tabla4[[#This Row],[Costo]]</f>
        <v>#N/A</v>
      </c>
      <c r="S373" s="282" t="e">
        <f>++Tabla4[[#This Row],[U. Bruta Uni]]*Tabla4[[#This Row],[Cantidad]]</f>
        <v>#N/A</v>
      </c>
      <c r="T373" s="369" t="str">
        <f>VLOOKUP(Tabla4[[#This Row],[Producto]],Tabla6[#All],14,FALSE)</f>
        <v>Termico Solar</v>
      </c>
      <c r="U373" s="284" t="e">
        <f>(IF(Tabla4[[#This Row],[Familia]]="termico solar",Tabla4[[#This Row],[Utilidad Total]]*6%,Tabla4[[#This Row],[Utilidad Total]]*11.5%))/Tabla4[[#This Row],[Total]]</f>
        <v>#N/A</v>
      </c>
      <c r="V373" s="282" t="e">
        <f>+Tabla4[[#This Row],[Comisión Calculada]]*Tabla4[[#This Row],[Total]]</f>
        <v>#N/A</v>
      </c>
    </row>
    <row r="374" spans="1:22" hidden="1" x14ac:dyDescent="0.25">
      <c r="A374" s="100">
        <v>45688</v>
      </c>
      <c r="B374" t="str">
        <f t="shared" si="13"/>
        <v>January</v>
      </c>
      <c r="C374" s="46" t="s">
        <v>280</v>
      </c>
      <c r="F374" s="366" t="s">
        <v>859</v>
      </c>
      <c r="G374" s="46" t="s">
        <v>18</v>
      </c>
      <c r="H374" s="46">
        <v>1</v>
      </c>
      <c r="I374" s="51">
        <v>5367.65</v>
      </c>
      <c r="J374" s="281">
        <f>++Tabla4[[#This Row],[Precio Bruto]]*1.16</f>
        <v>6226.4739999999993</v>
      </c>
      <c r="K374" s="281">
        <f>+Tabla4[[#This Row],[Precio Unitario Neto]]*Tabla4[[#Headers],[20.85%]]</f>
        <v>1298.2198289999999</v>
      </c>
      <c r="L374" s="282">
        <f>++Tabla4[[#This Row],[Precio Unitario Neto]]-Tabla4[[#This Row],[20.85%]]</f>
        <v>4928.2541709999996</v>
      </c>
      <c r="M374" s="282" t="e">
        <f>(INDEX(Tabla6[#All],MATCH(Tabla4[[#This Row],[Producto]],Tabla6[[#All],[PRODUCTO]],0),MATCH(Tabla4[[#This Row],[Mes]],Tabla6[#Headers],0)))*(1+Catalogos!$L$2)</f>
        <v>#N/A</v>
      </c>
      <c r="N374" s="283" t="e">
        <f>+(Tabla4[[#This Row],[Precio Descontado]]-Tabla4[[#This Row],[Precio Base]])*Tabla4[[#This Row],[Cantidad]]</f>
        <v>#N/A</v>
      </c>
      <c r="O374" s="284" t="e">
        <f>++Tabla4[[#This Row],[Utilidad Total]]/Tabla4[[#This Row],[Total]]</f>
        <v>#N/A</v>
      </c>
      <c r="P374" s="282">
        <f>++Tabla4[[#This Row],[Precio Descontado]]*Tabla4[[#This Row],[Cantidad]]</f>
        <v>4928.2541709999996</v>
      </c>
      <c r="Q374" s="282" t="e">
        <f>(INDEX(Tabla6[#All],MATCH(Tabla4[[#This Row],[Producto]],Tabla6[[#All],[PRODUCTO]],0),MATCH(Tabla4[[#This Row],[Mes]],Tabla6[#Headers],0)))</f>
        <v>#N/A</v>
      </c>
      <c r="R374" s="282" t="e">
        <f>++Tabla4[[#This Row],[Precio Unitario Neto]]-Tabla4[[#This Row],[20.85%]]-Tabla4[[#This Row],[Costo]]</f>
        <v>#N/A</v>
      </c>
      <c r="S374" s="282" t="e">
        <f>++Tabla4[[#This Row],[U. Bruta Uni]]*Tabla4[[#This Row],[Cantidad]]</f>
        <v>#N/A</v>
      </c>
      <c r="T374" s="369" t="str">
        <f>VLOOKUP(Tabla4[[#This Row],[Producto]],Tabla6[#All],14,FALSE)</f>
        <v>Termico Solar</v>
      </c>
      <c r="U374" s="284" t="e">
        <f>(IF(Tabla4[[#This Row],[Familia]]="termico solar",Tabla4[[#This Row],[Utilidad Total]]*6%,Tabla4[[#This Row],[Utilidad Total]]*11.5%))/Tabla4[[#This Row],[Total]]</f>
        <v>#N/A</v>
      </c>
      <c r="V374" s="282" t="e">
        <f>+Tabla4[[#This Row],[Comisión Calculada]]*Tabla4[[#This Row],[Total]]</f>
        <v>#N/A</v>
      </c>
    </row>
    <row r="375" spans="1:22" hidden="1" x14ac:dyDescent="0.25">
      <c r="A375" s="100">
        <v>45688</v>
      </c>
      <c r="B375" t="str">
        <f t="shared" si="13"/>
        <v>January</v>
      </c>
      <c r="C375" s="46" t="s">
        <v>280</v>
      </c>
      <c r="F375" s="366" t="s">
        <v>860</v>
      </c>
      <c r="G375" s="46" t="s">
        <v>16</v>
      </c>
      <c r="H375" s="46">
        <v>2</v>
      </c>
      <c r="I375" s="51">
        <v>4103.8500000000004</v>
      </c>
      <c r="J375" s="281">
        <f>++Tabla4[[#This Row],[Precio Bruto]]*1.16</f>
        <v>4760.4660000000003</v>
      </c>
      <c r="K375" s="281">
        <f>+Tabla4[[#This Row],[Precio Unitario Neto]]*Tabla4[[#Headers],[20.85%]]</f>
        <v>992.55716100000006</v>
      </c>
      <c r="L375" s="282">
        <f>++Tabla4[[#This Row],[Precio Unitario Neto]]-Tabla4[[#This Row],[20.85%]]</f>
        <v>3767.9088390000002</v>
      </c>
      <c r="M375" s="282" t="e">
        <f>(INDEX(Tabla6[#All],MATCH(Tabla4[[#This Row],[Producto]],Tabla6[[#All],[PRODUCTO]],0),MATCH(Tabla4[[#This Row],[Mes]],Tabla6[#Headers],0)))*(1+Catalogos!$L$2)</f>
        <v>#N/A</v>
      </c>
      <c r="N375" s="283" t="e">
        <f>+(Tabla4[[#This Row],[Precio Descontado]]-Tabla4[[#This Row],[Precio Base]])*Tabla4[[#This Row],[Cantidad]]</f>
        <v>#N/A</v>
      </c>
      <c r="O375" s="284" t="e">
        <f>++Tabla4[[#This Row],[Utilidad Total]]/Tabla4[[#This Row],[Total]]</f>
        <v>#N/A</v>
      </c>
      <c r="P375" s="282">
        <f>++Tabla4[[#This Row],[Precio Descontado]]*Tabla4[[#This Row],[Cantidad]]</f>
        <v>7535.8176780000003</v>
      </c>
      <c r="Q375" s="282" t="e">
        <f>(INDEX(Tabla6[#All],MATCH(Tabla4[[#This Row],[Producto]],Tabla6[[#All],[PRODUCTO]],0),MATCH(Tabla4[[#This Row],[Mes]],Tabla6[#Headers],0)))</f>
        <v>#N/A</v>
      </c>
      <c r="R375" s="282" t="e">
        <f>++Tabla4[[#This Row],[Precio Unitario Neto]]-Tabla4[[#This Row],[20.85%]]-Tabla4[[#This Row],[Costo]]</f>
        <v>#N/A</v>
      </c>
      <c r="S375" s="282" t="e">
        <f>++Tabla4[[#This Row],[U. Bruta Uni]]*Tabla4[[#This Row],[Cantidad]]</f>
        <v>#N/A</v>
      </c>
      <c r="T375" s="369" t="str">
        <f>VLOOKUP(Tabla4[[#This Row],[Producto]],Tabla6[#All],14,FALSE)</f>
        <v>Termico Solar</v>
      </c>
      <c r="U375" s="284" t="e">
        <f>(IF(Tabla4[[#This Row],[Familia]]="termico solar",Tabla4[[#This Row],[Utilidad Total]]*6%,Tabla4[[#This Row],[Utilidad Total]]*11.5%))/Tabla4[[#This Row],[Total]]</f>
        <v>#N/A</v>
      </c>
      <c r="V375" s="282" t="e">
        <f>+Tabla4[[#This Row],[Comisión Calculada]]*Tabla4[[#This Row],[Total]]</f>
        <v>#N/A</v>
      </c>
    </row>
    <row r="376" spans="1:22" hidden="1" x14ac:dyDescent="0.25">
      <c r="A376" s="100">
        <v>45688</v>
      </c>
      <c r="B376" t="str">
        <f t="shared" ref="B376:B407" si="14">TEXT(A376, "mmmm")</f>
        <v>January</v>
      </c>
      <c r="C376" s="46" t="s">
        <v>280</v>
      </c>
      <c r="F376" s="366" t="s">
        <v>861</v>
      </c>
      <c r="G376" s="46" t="s">
        <v>83</v>
      </c>
      <c r="H376" s="46">
        <v>2</v>
      </c>
      <c r="I376" s="51">
        <v>8858.76</v>
      </c>
      <c r="J376" s="281">
        <f>++Tabla4[[#This Row],[Precio Bruto]]*1.16</f>
        <v>10276.161599999999</v>
      </c>
      <c r="K376" s="281">
        <f>+Tabla4[[#This Row],[Precio Unitario Neto]]*Tabla4[[#Headers],[20.85%]]</f>
        <v>2142.5796935999997</v>
      </c>
      <c r="L376" s="282">
        <f>++Tabla4[[#This Row],[Precio Unitario Neto]]-Tabla4[[#This Row],[20.85%]]</f>
        <v>8133.5819063999998</v>
      </c>
      <c r="M376" s="282" t="e">
        <f>(INDEX(Tabla6[#All],MATCH(Tabla4[[#This Row],[Producto]],Tabla6[[#All],[PRODUCTO]],0),MATCH(Tabla4[[#This Row],[Mes]],Tabla6[#Headers],0)))*(1+Catalogos!$L$2)</f>
        <v>#N/A</v>
      </c>
      <c r="N376" s="283" t="e">
        <f>+(Tabla4[[#This Row],[Precio Descontado]]-Tabla4[[#This Row],[Precio Base]])*Tabla4[[#This Row],[Cantidad]]</f>
        <v>#N/A</v>
      </c>
      <c r="O376" s="284" t="e">
        <f>++Tabla4[[#This Row],[Utilidad Total]]/Tabla4[[#This Row],[Total]]</f>
        <v>#N/A</v>
      </c>
      <c r="P376" s="282">
        <f>++Tabla4[[#This Row],[Precio Descontado]]*Tabla4[[#This Row],[Cantidad]]</f>
        <v>16267.1638128</v>
      </c>
      <c r="Q376" s="282" t="e">
        <f>(INDEX(Tabla6[#All],MATCH(Tabla4[[#This Row],[Producto]],Tabla6[[#All],[PRODUCTO]],0),MATCH(Tabla4[[#This Row],[Mes]],Tabla6[#Headers],0)))</f>
        <v>#N/A</v>
      </c>
      <c r="R376" s="282" t="e">
        <f>++Tabla4[[#This Row],[Precio Unitario Neto]]-Tabla4[[#This Row],[20.85%]]-Tabla4[[#This Row],[Costo]]</f>
        <v>#N/A</v>
      </c>
      <c r="S376" s="282" t="e">
        <f>++Tabla4[[#This Row],[U. Bruta Uni]]*Tabla4[[#This Row],[Cantidad]]</f>
        <v>#N/A</v>
      </c>
      <c r="T376" s="369" t="str">
        <f>VLOOKUP(Tabla4[[#This Row],[Producto]],Tabla6[#All],14,FALSE)</f>
        <v>Termico Solar</v>
      </c>
      <c r="U376" s="284" t="e">
        <f>(IF(Tabla4[[#This Row],[Familia]]="termico solar",Tabla4[[#This Row],[Utilidad Total]]*6%,Tabla4[[#This Row],[Utilidad Total]]*11.5%))/Tabla4[[#This Row],[Total]]</f>
        <v>#N/A</v>
      </c>
      <c r="V376" s="282" t="e">
        <f>+Tabla4[[#This Row],[Comisión Calculada]]*Tabla4[[#This Row],[Total]]</f>
        <v>#N/A</v>
      </c>
    </row>
    <row r="377" spans="1:22" hidden="1" x14ac:dyDescent="0.25">
      <c r="A377" s="100">
        <v>45688</v>
      </c>
      <c r="B377" t="str">
        <f t="shared" si="14"/>
        <v>January</v>
      </c>
      <c r="C377" s="46" t="s">
        <v>280</v>
      </c>
      <c r="F377" s="366" t="s">
        <v>861</v>
      </c>
      <c r="G377" s="46" t="s">
        <v>17</v>
      </c>
      <c r="H377" s="46">
        <v>2</v>
      </c>
      <c r="I377" s="51">
        <v>4622.28</v>
      </c>
      <c r="J377" s="281">
        <f>++Tabla4[[#This Row],[Precio Bruto]]*1.16</f>
        <v>5361.8447999999989</v>
      </c>
      <c r="K377" s="281">
        <f>+Tabla4[[#This Row],[Precio Unitario Neto]]*Tabla4[[#Headers],[20.85%]]</f>
        <v>1117.9446407999997</v>
      </c>
      <c r="L377" s="282">
        <f>++Tabla4[[#This Row],[Precio Unitario Neto]]-Tabla4[[#This Row],[20.85%]]</f>
        <v>4243.9001591999995</v>
      </c>
      <c r="M377" s="282" t="e">
        <f>(INDEX(Tabla6[#All],MATCH(Tabla4[[#This Row],[Producto]],Tabla6[[#All],[PRODUCTO]],0),MATCH(Tabla4[[#This Row],[Mes]],Tabla6[#Headers],0)))*(1+Catalogos!$L$2)</f>
        <v>#N/A</v>
      </c>
      <c r="N377" s="283" t="e">
        <f>+(Tabla4[[#This Row],[Precio Descontado]]-Tabla4[[#This Row],[Precio Base]])*Tabla4[[#This Row],[Cantidad]]</f>
        <v>#N/A</v>
      </c>
      <c r="O377" s="284" t="e">
        <f>++Tabla4[[#This Row],[Utilidad Total]]/Tabla4[[#This Row],[Total]]</f>
        <v>#N/A</v>
      </c>
      <c r="P377" s="282">
        <f>++Tabla4[[#This Row],[Precio Descontado]]*Tabla4[[#This Row],[Cantidad]]</f>
        <v>8487.800318399999</v>
      </c>
      <c r="Q377" s="282" t="e">
        <f>(INDEX(Tabla6[#All],MATCH(Tabla4[[#This Row],[Producto]],Tabla6[[#All],[PRODUCTO]],0),MATCH(Tabla4[[#This Row],[Mes]],Tabla6[#Headers],0)))</f>
        <v>#N/A</v>
      </c>
      <c r="R377" s="282" t="e">
        <f>++Tabla4[[#This Row],[Precio Unitario Neto]]-Tabla4[[#This Row],[20.85%]]-Tabla4[[#This Row],[Costo]]</f>
        <v>#N/A</v>
      </c>
      <c r="S377" s="282" t="e">
        <f>++Tabla4[[#This Row],[U. Bruta Uni]]*Tabla4[[#This Row],[Cantidad]]</f>
        <v>#N/A</v>
      </c>
      <c r="T377" s="369" t="str">
        <f>VLOOKUP(Tabla4[[#This Row],[Producto]],Tabla6[#All],14,FALSE)</f>
        <v>Termico Solar</v>
      </c>
      <c r="U377" s="284" t="e">
        <f>(IF(Tabla4[[#This Row],[Familia]]="termico solar",Tabla4[[#This Row],[Utilidad Total]]*6%,Tabla4[[#This Row],[Utilidad Total]]*11.5%))/Tabla4[[#This Row],[Total]]</f>
        <v>#N/A</v>
      </c>
      <c r="V377" s="282" t="e">
        <f>+Tabla4[[#This Row],[Comisión Calculada]]*Tabla4[[#This Row],[Total]]</f>
        <v>#N/A</v>
      </c>
    </row>
    <row r="378" spans="1:22" hidden="1" x14ac:dyDescent="0.25">
      <c r="A378" s="100">
        <v>45688</v>
      </c>
      <c r="B378" t="str">
        <f t="shared" si="14"/>
        <v>January</v>
      </c>
      <c r="C378" s="46" t="s">
        <v>280</v>
      </c>
      <c r="F378" s="366" t="s">
        <v>862</v>
      </c>
      <c r="G378" s="46" t="s">
        <v>83</v>
      </c>
      <c r="H378" s="46">
        <v>3</v>
      </c>
      <c r="I378" s="51">
        <v>8858.76</v>
      </c>
      <c r="J378" s="281">
        <f>++Tabla4[[#This Row],[Precio Bruto]]*1.16</f>
        <v>10276.161599999999</v>
      </c>
      <c r="K378" s="281">
        <f>+Tabla4[[#This Row],[Precio Unitario Neto]]*Tabla4[[#Headers],[20.85%]]</f>
        <v>2142.5796935999997</v>
      </c>
      <c r="L378" s="282">
        <f>++Tabla4[[#This Row],[Precio Unitario Neto]]-Tabla4[[#This Row],[20.85%]]</f>
        <v>8133.5819063999998</v>
      </c>
      <c r="M378" s="282" t="e">
        <f>(INDEX(Tabla6[#All],MATCH(Tabla4[[#This Row],[Producto]],Tabla6[[#All],[PRODUCTO]],0),MATCH(Tabla4[[#This Row],[Mes]],Tabla6[#Headers],0)))*(1+Catalogos!$L$2)</f>
        <v>#N/A</v>
      </c>
      <c r="N378" s="283" t="e">
        <f>+(Tabla4[[#This Row],[Precio Descontado]]-Tabla4[[#This Row],[Precio Base]])*Tabla4[[#This Row],[Cantidad]]</f>
        <v>#N/A</v>
      </c>
      <c r="O378" s="284" t="e">
        <f>++Tabla4[[#This Row],[Utilidad Total]]/Tabla4[[#This Row],[Total]]</f>
        <v>#N/A</v>
      </c>
      <c r="P378" s="282">
        <f>++Tabla4[[#This Row],[Precio Descontado]]*Tabla4[[#This Row],[Cantidad]]</f>
        <v>24400.7457192</v>
      </c>
      <c r="Q378" s="282" t="e">
        <f>(INDEX(Tabla6[#All],MATCH(Tabla4[[#This Row],[Producto]],Tabla6[[#All],[PRODUCTO]],0),MATCH(Tabla4[[#This Row],[Mes]],Tabla6[#Headers],0)))</f>
        <v>#N/A</v>
      </c>
      <c r="R378" s="282" t="e">
        <f>++Tabla4[[#This Row],[Precio Unitario Neto]]-Tabla4[[#This Row],[20.85%]]-Tabla4[[#This Row],[Costo]]</f>
        <v>#N/A</v>
      </c>
      <c r="S378" s="282" t="e">
        <f>++Tabla4[[#This Row],[U. Bruta Uni]]*Tabla4[[#This Row],[Cantidad]]</f>
        <v>#N/A</v>
      </c>
      <c r="T378" s="369" t="str">
        <f>VLOOKUP(Tabla4[[#This Row],[Producto]],Tabla6[#All],14,FALSE)</f>
        <v>Termico Solar</v>
      </c>
      <c r="U378" s="284" t="e">
        <f>(IF(Tabla4[[#This Row],[Familia]]="termico solar",Tabla4[[#This Row],[Utilidad Total]]*6%,Tabla4[[#This Row],[Utilidad Total]]*11.5%))/Tabla4[[#This Row],[Total]]</f>
        <v>#N/A</v>
      </c>
      <c r="V378" s="282" t="e">
        <f>+Tabla4[[#This Row],[Comisión Calculada]]*Tabla4[[#This Row],[Total]]</f>
        <v>#N/A</v>
      </c>
    </row>
    <row r="379" spans="1:22" hidden="1" x14ac:dyDescent="0.25">
      <c r="A379" s="100">
        <v>45688</v>
      </c>
      <c r="B379" t="str">
        <f t="shared" si="14"/>
        <v>January</v>
      </c>
      <c r="C379" s="46" t="s">
        <v>280</v>
      </c>
      <c r="F379" s="366" t="s">
        <v>862</v>
      </c>
      <c r="G379" s="46" t="s">
        <v>394</v>
      </c>
      <c r="H379" s="46">
        <v>16</v>
      </c>
      <c r="I379" s="51">
        <v>224.29</v>
      </c>
      <c r="J379" s="281">
        <f>++Tabla4[[#This Row],[Precio Bruto]]*1.16</f>
        <v>260.1764</v>
      </c>
      <c r="K379" s="281">
        <f>+Tabla4[[#This Row],[Precio Unitario Neto]]*Tabla4[[#Headers],[20.85%]]</f>
        <v>54.246779400000001</v>
      </c>
      <c r="L379" s="282">
        <f>++Tabla4[[#This Row],[Precio Unitario Neto]]-Tabla4[[#This Row],[20.85%]]</f>
        <v>205.92962059999999</v>
      </c>
      <c r="M379" s="282" t="e">
        <f>(INDEX(Tabla6[#All],MATCH(Tabla4[[#This Row],[Producto]],Tabla6[[#All],[PRODUCTO]],0),MATCH(Tabla4[[#This Row],[Mes]],Tabla6[#Headers],0)))*(1+Catalogos!$L$2)</f>
        <v>#N/A</v>
      </c>
      <c r="N379" s="283" t="e">
        <f>+(Tabla4[[#This Row],[Precio Descontado]]-Tabla4[[#This Row],[Precio Base]])*Tabla4[[#This Row],[Cantidad]]</f>
        <v>#N/A</v>
      </c>
      <c r="O379" s="284" t="e">
        <f>++Tabla4[[#This Row],[Utilidad Total]]/Tabla4[[#This Row],[Total]]</f>
        <v>#N/A</v>
      </c>
      <c r="P379" s="282">
        <f>++Tabla4[[#This Row],[Precio Descontado]]*Tabla4[[#This Row],[Cantidad]]</f>
        <v>3294.8739295999999</v>
      </c>
      <c r="Q379" s="282" t="e">
        <f>(INDEX(Tabla6[#All],MATCH(Tabla4[[#This Row],[Producto]],Tabla6[[#All],[PRODUCTO]],0),MATCH(Tabla4[[#This Row],[Mes]],Tabla6[#Headers],0)))</f>
        <v>#N/A</v>
      </c>
      <c r="R379" s="282" t="e">
        <f>++Tabla4[[#This Row],[Precio Unitario Neto]]-Tabla4[[#This Row],[20.85%]]-Tabla4[[#This Row],[Costo]]</f>
        <v>#N/A</v>
      </c>
      <c r="S379" s="282" t="e">
        <f>++Tabla4[[#This Row],[U. Bruta Uni]]*Tabla4[[#This Row],[Cantidad]]</f>
        <v>#N/A</v>
      </c>
      <c r="T379" s="369" t="str">
        <f>VLOOKUP(Tabla4[[#This Row],[Producto]],Tabla6[#All],14,FALSE)</f>
        <v>Termico Solar</v>
      </c>
      <c r="U379" s="284" t="e">
        <f>(IF(Tabla4[[#This Row],[Familia]]="termico solar",Tabla4[[#This Row],[Utilidad Total]]*6%,Tabla4[[#This Row],[Utilidad Total]]*11.5%))/Tabla4[[#This Row],[Total]]</f>
        <v>#N/A</v>
      </c>
      <c r="V379" s="282" t="e">
        <f>+Tabla4[[#This Row],[Comisión Calculada]]*Tabla4[[#This Row],[Total]]</f>
        <v>#N/A</v>
      </c>
    </row>
    <row r="380" spans="1:22" hidden="1" x14ac:dyDescent="0.25">
      <c r="A380" s="100">
        <v>45688</v>
      </c>
      <c r="B380" t="str">
        <f t="shared" si="14"/>
        <v>January</v>
      </c>
      <c r="C380" s="46" t="s">
        <v>280</v>
      </c>
      <c r="F380" s="366" t="s">
        <v>863</v>
      </c>
      <c r="G380" s="46" t="s">
        <v>83</v>
      </c>
      <c r="H380" s="46">
        <v>1</v>
      </c>
      <c r="I380" s="51">
        <v>8858.76</v>
      </c>
      <c r="J380" s="281">
        <f>++Tabla4[[#This Row],[Precio Bruto]]*1.16</f>
        <v>10276.161599999999</v>
      </c>
      <c r="K380" s="281">
        <f>+Tabla4[[#This Row],[Precio Unitario Neto]]*Tabla4[[#Headers],[20.85%]]</f>
        <v>2142.5796935999997</v>
      </c>
      <c r="L380" s="282">
        <f>++Tabla4[[#This Row],[Precio Unitario Neto]]-Tabla4[[#This Row],[20.85%]]</f>
        <v>8133.5819063999998</v>
      </c>
      <c r="M380" s="282" t="e">
        <f>(INDEX(Tabla6[#All],MATCH(Tabla4[[#This Row],[Producto]],Tabla6[[#All],[PRODUCTO]],0),MATCH(Tabla4[[#This Row],[Mes]],Tabla6[#Headers],0)))*(1+Catalogos!$L$2)</f>
        <v>#N/A</v>
      </c>
      <c r="N380" s="283" t="e">
        <f>+(Tabla4[[#This Row],[Precio Descontado]]-Tabla4[[#This Row],[Precio Base]])*Tabla4[[#This Row],[Cantidad]]</f>
        <v>#N/A</v>
      </c>
      <c r="O380" s="284" t="e">
        <f>++Tabla4[[#This Row],[Utilidad Total]]/Tabla4[[#This Row],[Total]]</f>
        <v>#N/A</v>
      </c>
      <c r="P380" s="282">
        <f>++Tabla4[[#This Row],[Precio Descontado]]*Tabla4[[#This Row],[Cantidad]]</f>
        <v>8133.5819063999998</v>
      </c>
      <c r="Q380" s="282" t="e">
        <f>(INDEX(Tabla6[#All],MATCH(Tabla4[[#This Row],[Producto]],Tabla6[[#All],[PRODUCTO]],0),MATCH(Tabla4[[#This Row],[Mes]],Tabla6[#Headers],0)))</f>
        <v>#N/A</v>
      </c>
      <c r="R380" s="282" t="e">
        <f>++Tabla4[[#This Row],[Precio Unitario Neto]]-Tabla4[[#This Row],[20.85%]]-Tabla4[[#This Row],[Costo]]</f>
        <v>#N/A</v>
      </c>
      <c r="S380" s="282" t="e">
        <f>++Tabla4[[#This Row],[U. Bruta Uni]]*Tabla4[[#This Row],[Cantidad]]</f>
        <v>#N/A</v>
      </c>
      <c r="T380" s="369" t="str">
        <f>VLOOKUP(Tabla4[[#This Row],[Producto]],Tabla6[#All],14,FALSE)</f>
        <v>Termico Solar</v>
      </c>
      <c r="U380" s="284" t="e">
        <f>(IF(Tabla4[[#This Row],[Familia]]="termico solar",Tabla4[[#This Row],[Utilidad Total]]*6%,Tabla4[[#This Row],[Utilidad Total]]*11.5%))/Tabla4[[#This Row],[Total]]</f>
        <v>#N/A</v>
      </c>
      <c r="V380" s="282" t="e">
        <f>+Tabla4[[#This Row],[Comisión Calculada]]*Tabla4[[#This Row],[Total]]</f>
        <v>#N/A</v>
      </c>
    </row>
    <row r="381" spans="1:22" hidden="1" x14ac:dyDescent="0.25">
      <c r="A381" s="100">
        <v>45688</v>
      </c>
      <c r="B381" t="str">
        <f t="shared" si="14"/>
        <v>January</v>
      </c>
      <c r="C381" s="46" t="s">
        <v>280</v>
      </c>
      <c r="F381" s="366" t="s">
        <v>863</v>
      </c>
      <c r="G381" s="46" t="s">
        <v>566</v>
      </c>
      <c r="H381" s="46">
        <v>1</v>
      </c>
      <c r="I381" s="51">
        <v>2109.4499999999998</v>
      </c>
      <c r="J381" s="281">
        <f>++Tabla4[[#This Row],[Precio Bruto]]*1.16</f>
        <v>2446.9619999999995</v>
      </c>
      <c r="K381" s="281">
        <f>+Tabla4[[#This Row],[Precio Unitario Neto]]*Tabla4[[#Headers],[20.85%]]</f>
        <v>510.19157699999988</v>
      </c>
      <c r="L381" s="282">
        <f>++Tabla4[[#This Row],[Precio Unitario Neto]]-Tabla4[[#This Row],[20.85%]]</f>
        <v>1936.7704229999997</v>
      </c>
      <c r="M381" s="282" t="e">
        <f>(INDEX(Tabla6[#All],MATCH(Tabla4[[#This Row],[Producto]],Tabla6[[#All],[PRODUCTO]],0),MATCH(Tabla4[[#This Row],[Mes]],Tabla6[#Headers],0)))*(1+Catalogos!$L$2)</f>
        <v>#N/A</v>
      </c>
      <c r="N381" s="283" t="e">
        <f>+(Tabla4[[#This Row],[Precio Descontado]]-Tabla4[[#This Row],[Precio Base]])*Tabla4[[#This Row],[Cantidad]]</f>
        <v>#N/A</v>
      </c>
      <c r="O381" s="284" t="e">
        <f>++Tabla4[[#This Row],[Utilidad Total]]/Tabla4[[#This Row],[Total]]</f>
        <v>#N/A</v>
      </c>
      <c r="P381" s="282">
        <f>++Tabla4[[#This Row],[Precio Descontado]]*Tabla4[[#This Row],[Cantidad]]</f>
        <v>1936.7704229999997</v>
      </c>
      <c r="Q381" s="282" t="e">
        <f>(INDEX(Tabla6[#All],MATCH(Tabla4[[#This Row],[Producto]],Tabla6[[#All],[PRODUCTO]],0),MATCH(Tabla4[[#This Row],[Mes]],Tabla6[#Headers],0)))</f>
        <v>#N/A</v>
      </c>
      <c r="R381" s="282" t="e">
        <f>++Tabla4[[#This Row],[Precio Unitario Neto]]-Tabla4[[#This Row],[20.85%]]-Tabla4[[#This Row],[Costo]]</f>
        <v>#N/A</v>
      </c>
      <c r="S381" s="282" t="e">
        <f>++Tabla4[[#This Row],[U. Bruta Uni]]*Tabla4[[#This Row],[Cantidad]]</f>
        <v>#N/A</v>
      </c>
      <c r="T381" s="369" t="str">
        <f>VLOOKUP(Tabla4[[#This Row],[Producto]],Tabla6[#All],14,FALSE)</f>
        <v>Termico Solar</v>
      </c>
      <c r="U381" s="284" t="e">
        <f>(IF(Tabla4[[#This Row],[Familia]]="termico solar",Tabla4[[#This Row],[Utilidad Total]]*6%,Tabla4[[#This Row],[Utilidad Total]]*11.5%))/Tabla4[[#This Row],[Total]]</f>
        <v>#N/A</v>
      </c>
      <c r="V381" s="282" t="e">
        <f>+Tabla4[[#This Row],[Comisión Calculada]]*Tabla4[[#This Row],[Total]]</f>
        <v>#N/A</v>
      </c>
    </row>
    <row r="382" spans="1:22" hidden="1" x14ac:dyDescent="0.25">
      <c r="A382" s="100">
        <v>45688</v>
      </c>
      <c r="B382" t="str">
        <f t="shared" si="14"/>
        <v>January</v>
      </c>
      <c r="C382" s="46" t="s">
        <v>280</v>
      </c>
      <c r="F382" s="366" t="s">
        <v>863</v>
      </c>
      <c r="G382" s="46" t="s">
        <v>16</v>
      </c>
      <c r="H382" s="46">
        <v>4</v>
      </c>
      <c r="I382" s="51">
        <v>4103.8500000000004</v>
      </c>
      <c r="J382" s="281">
        <f>++Tabla4[[#This Row],[Precio Bruto]]*1.16</f>
        <v>4760.4660000000003</v>
      </c>
      <c r="K382" s="281">
        <f>+Tabla4[[#This Row],[Precio Unitario Neto]]*Tabla4[[#Headers],[20.85%]]</f>
        <v>992.55716100000006</v>
      </c>
      <c r="L382" s="282">
        <f>++Tabla4[[#This Row],[Precio Unitario Neto]]-Tabla4[[#This Row],[20.85%]]</f>
        <v>3767.9088390000002</v>
      </c>
      <c r="M382" s="282" t="e">
        <f>(INDEX(Tabla6[#All],MATCH(Tabla4[[#This Row],[Producto]],Tabla6[[#All],[PRODUCTO]],0),MATCH(Tabla4[[#This Row],[Mes]],Tabla6[#Headers],0)))*(1+Catalogos!$L$2)</f>
        <v>#N/A</v>
      </c>
      <c r="N382" s="283" t="e">
        <f>+(Tabla4[[#This Row],[Precio Descontado]]-Tabla4[[#This Row],[Precio Base]])*Tabla4[[#This Row],[Cantidad]]</f>
        <v>#N/A</v>
      </c>
      <c r="O382" s="284" t="e">
        <f>++Tabla4[[#This Row],[Utilidad Total]]/Tabla4[[#This Row],[Total]]</f>
        <v>#N/A</v>
      </c>
      <c r="P382" s="282">
        <f>++Tabla4[[#This Row],[Precio Descontado]]*Tabla4[[#This Row],[Cantidad]]</f>
        <v>15071.635356000001</v>
      </c>
      <c r="Q382" s="282" t="e">
        <f>(INDEX(Tabla6[#All],MATCH(Tabla4[[#This Row],[Producto]],Tabla6[[#All],[PRODUCTO]],0),MATCH(Tabla4[[#This Row],[Mes]],Tabla6[#Headers],0)))</f>
        <v>#N/A</v>
      </c>
      <c r="R382" s="282" t="e">
        <f>++Tabla4[[#This Row],[Precio Unitario Neto]]-Tabla4[[#This Row],[20.85%]]-Tabla4[[#This Row],[Costo]]</f>
        <v>#N/A</v>
      </c>
      <c r="S382" s="282" t="e">
        <f>++Tabla4[[#This Row],[U. Bruta Uni]]*Tabla4[[#This Row],[Cantidad]]</f>
        <v>#N/A</v>
      </c>
      <c r="T382" s="369" t="str">
        <f>VLOOKUP(Tabla4[[#This Row],[Producto]],Tabla6[#All],14,FALSE)</f>
        <v>Termico Solar</v>
      </c>
      <c r="U382" s="284" t="e">
        <f>(IF(Tabla4[[#This Row],[Familia]]="termico solar",Tabla4[[#This Row],[Utilidad Total]]*6%,Tabla4[[#This Row],[Utilidad Total]]*11.5%))/Tabla4[[#This Row],[Total]]</f>
        <v>#N/A</v>
      </c>
      <c r="V382" s="282" t="e">
        <f>+Tabla4[[#This Row],[Comisión Calculada]]*Tabla4[[#This Row],[Total]]</f>
        <v>#N/A</v>
      </c>
    </row>
    <row r="383" spans="1:22" hidden="1" x14ac:dyDescent="0.25">
      <c r="A383" s="100">
        <v>45688</v>
      </c>
      <c r="B383" t="str">
        <f t="shared" si="14"/>
        <v>January</v>
      </c>
      <c r="C383" s="46" t="s">
        <v>280</v>
      </c>
      <c r="F383" s="366" t="s">
        <v>864</v>
      </c>
      <c r="G383" s="46" t="s">
        <v>83</v>
      </c>
      <c r="H383" s="46">
        <v>2</v>
      </c>
      <c r="I383" s="51">
        <v>8858.76</v>
      </c>
      <c r="J383" s="281">
        <f>++Tabla4[[#This Row],[Precio Bruto]]*1.16</f>
        <v>10276.161599999999</v>
      </c>
      <c r="K383" s="281">
        <f>+Tabla4[[#This Row],[Precio Unitario Neto]]*Tabla4[[#Headers],[20.85%]]</f>
        <v>2142.5796935999997</v>
      </c>
      <c r="L383" s="282">
        <f>++Tabla4[[#This Row],[Precio Unitario Neto]]-Tabla4[[#This Row],[20.85%]]</f>
        <v>8133.5819063999998</v>
      </c>
      <c r="M383" s="282" t="e">
        <f>(INDEX(Tabla6[#All],MATCH(Tabla4[[#This Row],[Producto]],Tabla6[[#All],[PRODUCTO]],0),MATCH(Tabla4[[#This Row],[Mes]],Tabla6[#Headers],0)))*(1+Catalogos!$L$2)</f>
        <v>#N/A</v>
      </c>
      <c r="N383" s="283" t="e">
        <f>+(Tabla4[[#This Row],[Precio Descontado]]-Tabla4[[#This Row],[Precio Base]])*Tabla4[[#This Row],[Cantidad]]</f>
        <v>#N/A</v>
      </c>
      <c r="O383" s="284" t="e">
        <f>++Tabla4[[#This Row],[Utilidad Total]]/Tabla4[[#This Row],[Total]]</f>
        <v>#N/A</v>
      </c>
      <c r="P383" s="282">
        <f>++Tabla4[[#This Row],[Precio Descontado]]*Tabla4[[#This Row],[Cantidad]]</f>
        <v>16267.1638128</v>
      </c>
      <c r="Q383" s="282" t="e">
        <f>(INDEX(Tabla6[#All],MATCH(Tabla4[[#This Row],[Producto]],Tabla6[[#All],[PRODUCTO]],0),MATCH(Tabla4[[#This Row],[Mes]],Tabla6[#Headers],0)))</f>
        <v>#N/A</v>
      </c>
      <c r="R383" s="282" t="e">
        <f>++Tabla4[[#This Row],[Precio Unitario Neto]]-Tabla4[[#This Row],[20.85%]]-Tabla4[[#This Row],[Costo]]</f>
        <v>#N/A</v>
      </c>
      <c r="S383" s="282" t="e">
        <f>++Tabla4[[#This Row],[U. Bruta Uni]]*Tabla4[[#This Row],[Cantidad]]</f>
        <v>#N/A</v>
      </c>
      <c r="T383" s="369" t="str">
        <f>VLOOKUP(Tabla4[[#This Row],[Producto]],Tabla6[#All],14,FALSE)</f>
        <v>Termico Solar</v>
      </c>
      <c r="U383" s="284" t="e">
        <f>(IF(Tabla4[[#This Row],[Familia]]="termico solar",Tabla4[[#This Row],[Utilidad Total]]*6%,Tabla4[[#This Row],[Utilidad Total]]*11.5%))/Tabla4[[#This Row],[Total]]</f>
        <v>#N/A</v>
      </c>
      <c r="V383" s="282" t="e">
        <f>+Tabla4[[#This Row],[Comisión Calculada]]*Tabla4[[#This Row],[Total]]</f>
        <v>#N/A</v>
      </c>
    </row>
    <row r="384" spans="1:22" hidden="1" x14ac:dyDescent="0.25">
      <c r="A384" s="100">
        <v>45688</v>
      </c>
      <c r="B384" t="str">
        <f t="shared" si="14"/>
        <v>January</v>
      </c>
      <c r="C384" s="46" t="s">
        <v>280</v>
      </c>
      <c r="F384" s="366" t="s">
        <v>864</v>
      </c>
      <c r="G384" s="46" t="s">
        <v>566</v>
      </c>
      <c r="H384" s="46">
        <v>1</v>
      </c>
      <c r="I384" s="51">
        <v>2109.4499999999998</v>
      </c>
      <c r="J384" s="281">
        <f>++Tabla4[[#This Row],[Precio Bruto]]*1.16</f>
        <v>2446.9619999999995</v>
      </c>
      <c r="K384" s="281">
        <f>+Tabla4[[#This Row],[Precio Unitario Neto]]*Tabla4[[#Headers],[20.85%]]</f>
        <v>510.19157699999988</v>
      </c>
      <c r="L384" s="282">
        <f>++Tabla4[[#This Row],[Precio Unitario Neto]]-Tabla4[[#This Row],[20.85%]]</f>
        <v>1936.7704229999997</v>
      </c>
      <c r="M384" s="282" t="e">
        <f>(INDEX(Tabla6[#All],MATCH(Tabla4[[#This Row],[Producto]],Tabla6[[#All],[PRODUCTO]],0),MATCH(Tabla4[[#This Row],[Mes]],Tabla6[#Headers],0)))*(1+Catalogos!$L$2)</f>
        <v>#N/A</v>
      </c>
      <c r="N384" s="283" t="e">
        <f>+(Tabla4[[#This Row],[Precio Descontado]]-Tabla4[[#This Row],[Precio Base]])*Tabla4[[#This Row],[Cantidad]]</f>
        <v>#N/A</v>
      </c>
      <c r="O384" s="284" t="e">
        <f>++Tabla4[[#This Row],[Utilidad Total]]/Tabla4[[#This Row],[Total]]</f>
        <v>#N/A</v>
      </c>
      <c r="P384" s="282">
        <f>++Tabla4[[#This Row],[Precio Descontado]]*Tabla4[[#This Row],[Cantidad]]</f>
        <v>1936.7704229999997</v>
      </c>
      <c r="Q384" s="282" t="e">
        <f>(INDEX(Tabla6[#All],MATCH(Tabla4[[#This Row],[Producto]],Tabla6[[#All],[PRODUCTO]],0),MATCH(Tabla4[[#This Row],[Mes]],Tabla6[#Headers],0)))</f>
        <v>#N/A</v>
      </c>
      <c r="R384" s="282" t="e">
        <f>++Tabla4[[#This Row],[Precio Unitario Neto]]-Tabla4[[#This Row],[20.85%]]-Tabla4[[#This Row],[Costo]]</f>
        <v>#N/A</v>
      </c>
      <c r="S384" s="282" t="e">
        <f>++Tabla4[[#This Row],[U. Bruta Uni]]*Tabla4[[#This Row],[Cantidad]]</f>
        <v>#N/A</v>
      </c>
      <c r="T384" s="369" t="str">
        <f>VLOOKUP(Tabla4[[#This Row],[Producto]],Tabla6[#All],14,FALSE)</f>
        <v>Termico Solar</v>
      </c>
      <c r="U384" s="284" t="e">
        <f>(IF(Tabla4[[#This Row],[Familia]]="termico solar",Tabla4[[#This Row],[Utilidad Total]]*6%,Tabla4[[#This Row],[Utilidad Total]]*11.5%))/Tabla4[[#This Row],[Total]]</f>
        <v>#N/A</v>
      </c>
      <c r="V384" s="282" t="e">
        <f>+Tabla4[[#This Row],[Comisión Calculada]]*Tabla4[[#This Row],[Total]]</f>
        <v>#N/A</v>
      </c>
    </row>
    <row r="385" spans="1:22" hidden="1" x14ac:dyDescent="0.25">
      <c r="A385" s="100">
        <v>45688</v>
      </c>
      <c r="B385" t="str">
        <f t="shared" si="14"/>
        <v>January</v>
      </c>
      <c r="C385" s="46" t="s">
        <v>280</v>
      </c>
      <c r="F385" s="366" t="s">
        <v>864</v>
      </c>
      <c r="G385" s="46" t="s">
        <v>412</v>
      </c>
      <c r="H385" s="46">
        <v>1</v>
      </c>
      <c r="I385" s="51">
        <v>3240.84</v>
      </c>
      <c r="J385" s="281">
        <f>++Tabla4[[#This Row],[Precio Bruto]]*1.16</f>
        <v>3759.3743999999997</v>
      </c>
      <c r="K385" s="281">
        <f>+Tabla4[[#This Row],[Precio Unitario Neto]]*Tabla4[[#Headers],[20.85%]]</f>
        <v>783.82956239999987</v>
      </c>
      <c r="L385" s="282">
        <f>++Tabla4[[#This Row],[Precio Unitario Neto]]-Tabla4[[#This Row],[20.85%]]</f>
        <v>2975.5448375999999</v>
      </c>
      <c r="M385" s="282" t="e">
        <f>(INDEX(Tabla6[#All],MATCH(Tabla4[[#This Row],[Producto]],Tabla6[[#All],[PRODUCTO]],0),MATCH(Tabla4[[#This Row],[Mes]],Tabla6[#Headers],0)))*(1+Catalogos!$L$2)</f>
        <v>#N/A</v>
      </c>
      <c r="N385" s="283" t="e">
        <f>+(Tabla4[[#This Row],[Precio Descontado]]-Tabla4[[#This Row],[Precio Base]])*Tabla4[[#This Row],[Cantidad]]</f>
        <v>#N/A</v>
      </c>
      <c r="O385" s="284" t="e">
        <f>++Tabla4[[#This Row],[Utilidad Total]]/Tabla4[[#This Row],[Total]]</f>
        <v>#N/A</v>
      </c>
      <c r="P385" s="282">
        <f>++Tabla4[[#This Row],[Precio Descontado]]*Tabla4[[#This Row],[Cantidad]]</f>
        <v>2975.5448375999999</v>
      </c>
      <c r="Q385" s="282" t="e">
        <f>(INDEX(Tabla6[#All],MATCH(Tabla4[[#This Row],[Producto]],Tabla6[[#All],[PRODUCTO]],0),MATCH(Tabla4[[#This Row],[Mes]],Tabla6[#Headers],0)))</f>
        <v>#N/A</v>
      </c>
      <c r="R385" s="282" t="e">
        <f>++Tabla4[[#This Row],[Precio Unitario Neto]]-Tabla4[[#This Row],[20.85%]]-Tabla4[[#This Row],[Costo]]</f>
        <v>#N/A</v>
      </c>
      <c r="S385" s="282" t="e">
        <f>++Tabla4[[#This Row],[U. Bruta Uni]]*Tabla4[[#This Row],[Cantidad]]</f>
        <v>#N/A</v>
      </c>
      <c r="T385" s="369" t="str">
        <f>VLOOKUP(Tabla4[[#This Row],[Producto]],Tabla6[#All],14,FALSE)</f>
        <v>Termico Solar</v>
      </c>
      <c r="U385" s="284" t="e">
        <f>(IF(Tabla4[[#This Row],[Familia]]="termico solar",Tabla4[[#This Row],[Utilidad Total]]*6%,Tabla4[[#This Row],[Utilidad Total]]*11.5%))/Tabla4[[#This Row],[Total]]</f>
        <v>#N/A</v>
      </c>
      <c r="V385" s="282" t="e">
        <f>+Tabla4[[#This Row],[Comisión Calculada]]*Tabla4[[#This Row],[Total]]</f>
        <v>#N/A</v>
      </c>
    </row>
    <row r="386" spans="1:22" hidden="1" x14ac:dyDescent="0.25">
      <c r="A386" s="100">
        <v>45688</v>
      </c>
      <c r="B386" t="str">
        <f t="shared" si="14"/>
        <v>January</v>
      </c>
      <c r="C386" s="46" t="s">
        <v>280</v>
      </c>
      <c r="F386" s="366" t="s">
        <v>864</v>
      </c>
      <c r="G386" s="46" t="s">
        <v>394</v>
      </c>
      <c r="H386" s="46">
        <v>9</v>
      </c>
      <c r="I386" s="51">
        <v>108.1</v>
      </c>
      <c r="J386" s="281">
        <f>++Tabla4[[#This Row],[Precio Bruto]]*1.16</f>
        <v>125.39599999999999</v>
      </c>
      <c r="K386" s="281">
        <f>+Tabla4[[#This Row],[Precio Unitario Neto]]*Tabla4[[#Headers],[20.85%]]</f>
        <v>26.145065999999996</v>
      </c>
      <c r="L386" s="282">
        <f>++Tabla4[[#This Row],[Precio Unitario Neto]]-Tabla4[[#This Row],[20.85%]]</f>
        <v>99.250933999999987</v>
      </c>
      <c r="M386" s="282" t="e">
        <f>(INDEX(Tabla6[#All],MATCH(Tabla4[[#This Row],[Producto]],Tabla6[[#All],[PRODUCTO]],0),MATCH(Tabla4[[#This Row],[Mes]],Tabla6[#Headers],0)))*(1+Catalogos!$L$2)</f>
        <v>#N/A</v>
      </c>
      <c r="N386" s="283" t="e">
        <f>+(Tabla4[[#This Row],[Precio Descontado]]-Tabla4[[#This Row],[Precio Base]])*Tabla4[[#This Row],[Cantidad]]</f>
        <v>#N/A</v>
      </c>
      <c r="O386" s="284" t="e">
        <f>++Tabla4[[#This Row],[Utilidad Total]]/Tabla4[[#This Row],[Total]]</f>
        <v>#N/A</v>
      </c>
      <c r="P386" s="282">
        <f>++Tabla4[[#This Row],[Precio Descontado]]*Tabla4[[#This Row],[Cantidad]]</f>
        <v>893.25840599999992</v>
      </c>
      <c r="Q386" s="282" t="e">
        <f>(INDEX(Tabla6[#All],MATCH(Tabla4[[#This Row],[Producto]],Tabla6[[#All],[PRODUCTO]],0),MATCH(Tabla4[[#This Row],[Mes]],Tabla6[#Headers],0)))</f>
        <v>#N/A</v>
      </c>
      <c r="R386" s="282" t="e">
        <f>++Tabla4[[#This Row],[Precio Unitario Neto]]-Tabla4[[#This Row],[20.85%]]-Tabla4[[#This Row],[Costo]]</f>
        <v>#N/A</v>
      </c>
      <c r="S386" s="282" t="e">
        <f>++Tabla4[[#This Row],[U. Bruta Uni]]*Tabla4[[#This Row],[Cantidad]]</f>
        <v>#N/A</v>
      </c>
      <c r="T386" s="369" t="str">
        <f>VLOOKUP(Tabla4[[#This Row],[Producto]],Tabla6[#All],14,FALSE)</f>
        <v>Termico Solar</v>
      </c>
      <c r="U386" s="284" t="e">
        <f>(IF(Tabla4[[#This Row],[Familia]]="termico solar",Tabla4[[#This Row],[Utilidad Total]]*6%,Tabla4[[#This Row],[Utilidad Total]]*11.5%))/Tabla4[[#This Row],[Total]]</f>
        <v>#N/A</v>
      </c>
      <c r="V386" s="282" t="e">
        <f>+Tabla4[[#This Row],[Comisión Calculada]]*Tabla4[[#This Row],[Total]]</f>
        <v>#N/A</v>
      </c>
    </row>
    <row r="387" spans="1:22" hidden="1" x14ac:dyDescent="0.25">
      <c r="A387" s="100">
        <v>45688</v>
      </c>
      <c r="B387" t="str">
        <f t="shared" si="14"/>
        <v>January</v>
      </c>
      <c r="C387" s="46" t="s">
        <v>280</v>
      </c>
      <c r="F387" s="366" t="s">
        <v>864</v>
      </c>
      <c r="G387" s="46" t="s">
        <v>16</v>
      </c>
      <c r="H387" s="46">
        <v>2</v>
      </c>
      <c r="I387" s="51">
        <v>4103.8500000000004</v>
      </c>
      <c r="J387" s="281">
        <f>++Tabla4[[#This Row],[Precio Bruto]]*1.16</f>
        <v>4760.4660000000003</v>
      </c>
      <c r="K387" s="281">
        <f>+Tabla4[[#This Row],[Precio Unitario Neto]]*Tabla4[[#Headers],[20.85%]]</f>
        <v>992.55716100000006</v>
      </c>
      <c r="L387" s="282">
        <f>++Tabla4[[#This Row],[Precio Unitario Neto]]-Tabla4[[#This Row],[20.85%]]</f>
        <v>3767.9088390000002</v>
      </c>
      <c r="M387" s="282" t="e">
        <f>(INDEX(Tabla6[#All],MATCH(Tabla4[[#This Row],[Producto]],Tabla6[[#All],[PRODUCTO]],0),MATCH(Tabla4[[#This Row],[Mes]],Tabla6[#Headers],0)))*(1+Catalogos!$L$2)</f>
        <v>#N/A</v>
      </c>
      <c r="N387" s="283" t="e">
        <f>+(Tabla4[[#This Row],[Precio Descontado]]-Tabla4[[#This Row],[Precio Base]])*Tabla4[[#This Row],[Cantidad]]</f>
        <v>#N/A</v>
      </c>
      <c r="O387" s="284" t="e">
        <f>++Tabla4[[#This Row],[Utilidad Total]]/Tabla4[[#This Row],[Total]]</f>
        <v>#N/A</v>
      </c>
      <c r="P387" s="282">
        <f>++Tabla4[[#This Row],[Precio Descontado]]*Tabla4[[#This Row],[Cantidad]]</f>
        <v>7535.8176780000003</v>
      </c>
      <c r="Q387" s="282" t="e">
        <f>(INDEX(Tabla6[#All],MATCH(Tabla4[[#This Row],[Producto]],Tabla6[[#All],[PRODUCTO]],0),MATCH(Tabla4[[#This Row],[Mes]],Tabla6[#Headers],0)))</f>
        <v>#N/A</v>
      </c>
      <c r="R387" s="282" t="e">
        <f>++Tabla4[[#This Row],[Precio Unitario Neto]]-Tabla4[[#This Row],[20.85%]]-Tabla4[[#This Row],[Costo]]</f>
        <v>#N/A</v>
      </c>
      <c r="S387" s="282" t="e">
        <f>++Tabla4[[#This Row],[U. Bruta Uni]]*Tabla4[[#This Row],[Cantidad]]</f>
        <v>#N/A</v>
      </c>
      <c r="T387" s="369" t="str">
        <f>VLOOKUP(Tabla4[[#This Row],[Producto]],Tabla6[#All],14,FALSE)</f>
        <v>Termico Solar</v>
      </c>
      <c r="U387" s="284" t="e">
        <f>(IF(Tabla4[[#This Row],[Familia]]="termico solar",Tabla4[[#This Row],[Utilidad Total]]*6%,Tabla4[[#This Row],[Utilidad Total]]*11.5%))/Tabla4[[#This Row],[Total]]</f>
        <v>#N/A</v>
      </c>
      <c r="V387" s="282" t="e">
        <f>+Tabla4[[#This Row],[Comisión Calculada]]*Tabla4[[#This Row],[Total]]</f>
        <v>#N/A</v>
      </c>
    </row>
    <row r="388" spans="1:22" hidden="1" x14ac:dyDescent="0.25">
      <c r="A388" s="100">
        <v>45688</v>
      </c>
      <c r="B388" t="str">
        <f t="shared" si="14"/>
        <v>January</v>
      </c>
      <c r="C388" s="46" t="s">
        <v>280</v>
      </c>
      <c r="F388" s="366" t="s">
        <v>865</v>
      </c>
      <c r="G388" s="46" t="s">
        <v>83</v>
      </c>
      <c r="H388" s="46">
        <v>3</v>
      </c>
      <c r="I388" s="51">
        <v>8858.76</v>
      </c>
      <c r="J388" s="281">
        <f>++Tabla4[[#This Row],[Precio Bruto]]*1.16</f>
        <v>10276.161599999999</v>
      </c>
      <c r="K388" s="281">
        <f>+Tabla4[[#This Row],[Precio Unitario Neto]]*Tabla4[[#Headers],[20.85%]]</f>
        <v>2142.5796935999997</v>
      </c>
      <c r="L388" s="282">
        <f>++Tabla4[[#This Row],[Precio Unitario Neto]]-Tabla4[[#This Row],[20.85%]]</f>
        <v>8133.5819063999998</v>
      </c>
      <c r="M388" s="282" t="e">
        <f>(INDEX(Tabla6[#All],MATCH(Tabla4[[#This Row],[Producto]],Tabla6[[#All],[PRODUCTO]],0),MATCH(Tabla4[[#This Row],[Mes]],Tabla6[#Headers],0)))*(1+Catalogos!$L$2)</f>
        <v>#N/A</v>
      </c>
      <c r="N388" s="283" t="e">
        <f>+(Tabla4[[#This Row],[Precio Descontado]]-Tabla4[[#This Row],[Precio Base]])*Tabla4[[#This Row],[Cantidad]]</f>
        <v>#N/A</v>
      </c>
      <c r="O388" s="284" t="e">
        <f>++Tabla4[[#This Row],[Utilidad Total]]/Tabla4[[#This Row],[Total]]</f>
        <v>#N/A</v>
      </c>
      <c r="P388" s="282">
        <f>++Tabla4[[#This Row],[Precio Descontado]]*Tabla4[[#This Row],[Cantidad]]</f>
        <v>24400.7457192</v>
      </c>
      <c r="Q388" s="282" t="e">
        <f>(INDEX(Tabla6[#All],MATCH(Tabla4[[#This Row],[Producto]],Tabla6[[#All],[PRODUCTO]],0),MATCH(Tabla4[[#This Row],[Mes]],Tabla6[#Headers],0)))</f>
        <v>#N/A</v>
      </c>
      <c r="R388" s="282" t="e">
        <f>++Tabla4[[#This Row],[Precio Unitario Neto]]-Tabla4[[#This Row],[20.85%]]-Tabla4[[#This Row],[Costo]]</f>
        <v>#N/A</v>
      </c>
      <c r="S388" s="282" t="e">
        <f>++Tabla4[[#This Row],[U. Bruta Uni]]*Tabla4[[#This Row],[Cantidad]]</f>
        <v>#N/A</v>
      </c>
      <c r="T388" s="369" t="str">
        <f>VLOOKUP(Tabla4[[#This Row],[Producto]],Tabla6[#All],14,FALSE)</f>
        <v>Termico Solar</v>
      </c>
      <c r="U388" s="284" t="e">
        <f>(IF(Tabla4[[#This Row],[Familia]]="termico solar",Tabla4[[#This Row],[Utilidad Total]]*6%,Tabla4[[#This Row],[Utilidad Total]]*11.5%))/Tabla4[[#This Row],[Total]]</f>
        <v>#N/A</v>
      </c>
      <c r="V388" s="282" t="e">
        <f>+Tabla4[[#This Row],[Comisión Calculada]]*Tabla4[[#This Row],[Total]]</f>
        <v>#N/A</v>
      </c>
    </row>
    <row r="389" spans="1:22" hidden="1" x14ac:dyDescent="0.25">
      <c r="A389" s="100">
        <v>45688</v>
      </c>
      <c r="B389" t="str">
        <f t="shared" si="14"/>
        <v>January</v>
      </c>
      <c r="C389" s="46" t="s">
        <v>280</v>
      </c>
      <c r="F389" s="366" t="s">
        <v>865</v>
      </c>
      <c r="G389" s="46" t="s">
        <v>17</v>
      </c>
      <c r="H389" s="46">
        <v>6</v>
      </c>
      <c r="I389" s="51">
        <v>4622.28</v>
      </c>
      <c r="J389" s="281">
        <f>++Tabla4[[#This Row],[Precio Bruto]]*1.16</f>
        <v>5361.8447999999989</v>
      </c>
      <c r="K389" s="281">
        <f>+Tabla4[[#This Row],[Precio Unitario Neto]]*Tabla4[[#Headers],[20.85%]]</f>
        <v>1117.9446407999997</v>
      </c>
      <c r="L389" s="282">
        <f>++Tabla4[[#This Row],[Precio Unitario Neto]]-Tabla4[[#This Row],[20.85%]]</f>
        <v>4243.9001591999995</v>
      </c>
      <c r="M389" s="282" t="e">
        <f>(INDEX(Tabla6[#All],MATCH(Tabla4[[#This Row],[Producto]],Tabla6[[#All],[PRODUCTO]],0),MATCH(Tabla4[[#This Row],[Mes]],Tabla6[#Headers],0)))*(1+Catalogos!$L$2)</f>
        <v>#N/A</v>
      </c>
      <c r="N389" s="283" t="e">
        <f>+(Tabla4[[#This Row],[Precio Descontado]]-Tabla4[[#This Row],[Precio Base]])*Tabla4[[#This Row],[Cantidad]]</f>
        <v>#N/A</v>
      </c>
      <c r="O389" s="284" t="e">
        <f>++Tabla4[[#This Row],[Utilidad Total]]/Tabla4[[#This Row],[Total]]</f>
        <v>#N/A</v>
      </c>
      <c r="P389" s="282">
        <f>++Tabla4[[#This Row],[Precio Descontado]]*Tabla4[[#This Row],[Cantidad]]</f>
        <v>25463.400955199999</v>
      </c>
      <c r="Q389" s="282" t="e">
        <f>(INDEX(Tabla6[#All],MATCH(Tabla4[[#This Row],[Producto]],Tabla6[[#All],[PRODUCTO]],0),MATCH(Tabla4[[#This Row],[Mes]],Tabla6[#Headers],0)))</f>
        <v>#N/A</v>
      </c>
      <c r="R389" s="282" t="e">
        <f>++Tabla4[[#This Row],[Precio Unitario Neto]]-Tabla4[[#This Row],[20.85%]]-Tabla4[[#This Row],[Costo]]</f>
        <v>#N/A</v>
      </c>
      <c r="S389" s="282" t="e">
        <f>++Tabla4[[#This Row],[U. Bruta Uni]]*Tabla4[[#This Row],[Cantidad]]</f>
        <v>#N/A</v>
      </c>
      <c r="T389" s="369" t="str">
        <f>VLOOKUP(Tabla4[[#This Row],[Producto]],Tabla6[#All],14,FALSE)</f>
        <v>Termico Solar</v>
      </c>
      <c r="U389" s="284" t="e">
        <f>(IF(Tabla4[[#This Row],[Familia]]="termico solar",Tabla4[[#This Row],[Utilidad Total]]*6%,Tabla4[[#This Row],[Utilidad Total]]*11.5%))/Tabla4[[#This Row],[Total]]</f>
        <v>#N/A</v>
      </c>
      <c r="V389" s="282" t="e">
        <f>+Tabla4[[#This Row],[Comisión Calculada]]*Tabla4[[#This Row],[Total]]</f>
        <v>#N/A</v>
      </c>
    </row>
    <row r="390" spans="1:22" hidden="1" x14ac:dyDescent="0.25">
      <c r="A390" s="100">
        <v>45688</v>
      </c>
      <c r="B390" t="str">
        <f t="shared" si="14"/>
        <v>January</v>
      </c>
      <c r="C390" s="46" t="s">
        <v>280</v>
      </c>
      <c r="F390" s="366" t="s">
        <v>865</v>
      </c>
      <c r="G390" s="46" t="s">
        <v>19</v>
      </c>
      <c r="H390" s="46">
        <v>1</v>
      </c>
      <c r="I390" s="51">
        <v>6412.03</v>
      </c>
      <c r="J390" s="281">
        <f>++Tabla4[[#This Row],[Precio Bruto]]*1.16</f>
        <v>7437.9547999999995</v>
      </c>
      <c r="K390" s="281">
        <f>+Tabla4[[#This Row],[Precio Unitario Neto]]*Tabla4[[#Headers],[20.85%]]</f>
        <v>1550.8135757999999</v>
      </c>
      <c r="L390" s="282">
        <f>++Tabla4[[#This Row],[Precio Unitario Neto]]-Tabla4[[#This Row],[20.85%]]</f>
        <v>5887.1412241999997</v>
      </c>
      <c r="M390" s="282" t="e">
        <f>(INDEX(Tabla6[#All],MATCH(Tabla4[[#This Row],[Producto]],Tabla6[[#All],[PRODUCTO]],0),MATCH(Tabla4[[#This Row],[Mes]],Tabla6[#Headers],0)))*(1+Catalogos!$L$2)</f>
        <v>#N/A</v>
      </c>
      <c r="N390" s="283" t="e">
        <f>+(Tabla4[[#This Row],[Precio Descontado]]-Tabla4[[#This Row],[Precio Base]])*Tabla4[[#This Row],[Cantidad]]</f>
        <v>#N/A</v>
      </c>
      <c r="O390" s="284" t="e">
        <f>++Tabla4[[#This Row],[Utilidad Total]]/Tabla4[[#This Row],[Total]]</f>
        <v>#N/A</v>
      </c>
      <c r="P390" s="282">
        <f>++Tabla4[[#This Row],[Precio Descontado]]*Tabla4[[#This Row],[Cantidad]]</f>
        <v>5887.1412241999997</v>
      </c>
      <c r="Q390" s="282" t="e">
        <f>(INDEX(Tabla6[#All],MATCH(Tabla4[[#This Row],[Producto]],Tabla6[[#All],[PRODUCTO]],0),MATCH(Tabla4[[#This Row],[Mes]],Tabla6[#Headers],0)))</f>
        <v>#N/A</v>
      </c>
      <c r="R390" s="282" t="e">
        <f>++Tabla4[[#This Row],[Precio Unitario Neto]]-Tabla4[[#This Row],[20.85%]]-Tabla4[[#This Row],[Costo]]</f>
        <v>#N/A</v>
      </c>
      <c r="S390" s="282" t="e">
        <f>++Tabla4[[#This Row],[U. Bruta Uni]]*Tabla4[[#This Row],[Cantidad]]</f>
        <v>#N/A</v>
      </c>
      <c r="T390" s="369" t="str">
        <f>VLOOKUP(Tabla4[[#This Row],[Producto]],Tabla6[#All],14,FALSE)</f>
        <v>Termico Solar</v>
      </c>
      <c r="U390" s="284" t="e">
        <f>(IF(Tabla4[[#This Row],[Familia]]="termico solar",Tabla4[[#This Row],[Utilidad Total]]*6%,Tabla4[[#This Row],[Utilidad Total]]*11.5%))/Tabla4[[#This Row],[Total]]</f>
        <v>#N/A</v>
      </c>
      <c r="V390" s="282" t="e">
        <f>+Tabla4[[#This Row],[Comisión Calculada]]*Tabla4[[#This Row],[Total]]</f>
        <v>#N/A</v>
      </c>
    </row>
    <row r="391" spans="1:22" hidden="1" x14ac:dyDescent="0.25">
      <c r="A391" s="100">
        <v>45688</v>
      </c>
      <c r="B391" t="str">
        <f t="shared" si="14"/>
        <v>January</v>
      </c>
      <c r="C391" s="46" t="s">
        <v>280</v>
      </c>
      <c r="F391" s="366" t="s">
        <v>866</v>
      </c>
      <c r="G391" s="46" t="s">
        <v>18</v>
      </c>
      <c r="H391" s="46">
        <v>1</v>
      </c>
      <c r="I391" s="51">
        <v>5367.65</v>
      </c>
      <c r="J391" s="281">
        <f>++Tabla4[[#This Row],[Precio Bruto]]*1.16</f>
        <v>6226.4739999999993</v>
      </c>
      <c r="K391" s="281">
        <f>+Tabla4[[#This Row],[Precio Unitario Neto]]*Tabla4[[#Headers],[20.85%]]</f>
        <v>1298.2198289999999</v>
      </c>
      <c r="L391" s="282">
        <f>++Tabla4[[#This Row],[Precio Unitario Neto]]-Tabla4[[#This Row],[20.85%]]</f>
        <v>4928.2541709999996</v>
      </c>
      <c r="M391" s="282" t="e">
        <f>(INDEX(Tabla6[#All],MATCH(Tabla4[[#This Row],[Producto]],Tabla6[[#All],[PRODUCTO]],0),MATCH(Tabla4[[#This Row],[Mes]],Tabla6[#Headers],0)))*(1+Catalogos!$L$2)</f>
        <v>#N/A</v>
      </c>
      <c r="N391" s="283" t="e">
        <f>+(Tabla4[[#This Row],[Precio Descontado]]-Tabla4[[#This Row],[Precio Base]])*Tabla4[[#This Row],[Cantidad]]</f>
        <v>#N/A</v>
      </c>
      <c r="O391" s="284" t="e">
        <f>++Tabla4[[#This Row],[Utilidad Total]]/Tabla4[[#This Row],[Total]]</f>
        <v>#N/A</v>
      </c>
      <c r="P391" s="282">
        <f>++Tabla4[[#This Row],[Precio Descontado]]*Tabla4[[#This Row],[Cantidad]]</f>
        <v>4928.2541709999996</v>
      </c>
      <c r="Q391" s="282" t="e">
        <f>(INDEX(Tabla6[#All],MATCH(Tabla4[[#This Row],[Producto]],Tabla6[[#All],[PRODUCTO]],0),MATCH(Tabla4[[#This Row],[Mes]],Tabla6[#Headers],0)))</f>
        <v>#N/A</v>
      </c>
      <c r="R391" s="282" t="e">
        <f>++Tabla4[[#This Row],[Precio Unitario Neto]]-Tabla4[[#This Row],[20.85%]]-Tabla4[[#This Row],[Costo]]</f>
        <v>#N/A</v>
      </c>
      <c r="S391" s="282" t="e">
        <f>++Tabla4[[#This Row],[U. Bruta Uni]]*Tabla4[[#This Row],[Cantidad]]</f>
        <v>#N/A</v>
      </c>
      <c r="T391" s="369" t="str">
        <f>VLOOKUP(Tabla4[[#This Row],[Producto]],Tabla6[#All],14,FALSE)</f>
        <v>Termico Solar</v>
      </c>
      <c r="U391" s="284" t="e">
        <f>(IF(Tabla4[[#This Row],[Familia]]="termico solar",Tabla4[[#This Row],[Utilidad Total]]*6%,Tabla4[[#This Row],[Utilidad Total]]*11.5%))/Tabla4[[#This Row],[Total]]</f>
        <v>#N/A</v>
      </c>
      <c r="V391" s="282" t="e">
        <f>+Tabla4[[#This Row],[Comisión Calculada]]*Tabla4[[#This Row],[Total]]</f>
        <v>#N/A</v>
      </c>
    </row>
    <row r="392" spans="1:22" hidden="1" x14ac:dyDescent="0.25">
      <c r="A392" s="100">
        <v>45688</v>
      </c>
      <c r="B392" t="str">
        <f t="shared" si="14"/>
        <v>January</v>
      </c>
      <c r="C392" s="46" t="s">
        <v>280</v>
      </c>
      <c r="F392" s="366" t="s">
        <v>867</v>
      </c>
      <c r="G392" s="46" t="s">
        <v>17</v>
      </c>
      <c r="H392" s="46">
        <v>4</v>
      </c>
      <c r="I392" s="51">
        <v>4622.28</v>
      </c>
      <c r="J392" s="281">
        <f>++Tabla4[[#This Row],[Precio Bruto]]*1.16</f>
        <v>5361.8447999999989</v>
      </c>
      <c r="K392" s="281">
        <f>+Tabla4[[#This Row],[Precio Unitario Neto]]*Tabla4[[#Headers],[20.85%]]</f>
        <v>1117.9446407999997</v>
      </c>
      <c r="L392" s="282">
        <f>++Tabla4[[#This Row],[Precio Unitario Neto]]-Tabla4[[#This Row],[20.85%]]</f>
        <v>4243.9001591999995</v>
      </c>
      <c r="M392" s="282" t="e">
        <f>(INDEX(Tabla6[#All],MATCH(Tabla4[[#This Row],[Producto]],Tabla6[[#All],[PRODUCTO]],0),MATCH(Tabla4[[#This Row],[Mes]],Tabla6[#Headers],0)))*(1+Catalogos!$L$2)</f>
        <v>#N/A</v>
      </c>
      <c r="N392" s="283" t="e">
        <f>+(Tabla4[[#This Row],[Precio Descontado]]-Tabla4[[#This Row],[Precio Base]])*Tabla4[[#This Row],[Cantidad]]</f>
        <v>#N/A</v>
      </c>
      <c r="O392" s="284" t="e">
        <f>++Tabla4[[#This Row],[Utilidad Total]]/Tabla4[[#This Row],[Total]]</f>
        <v>#N/A</v>
      </c>
      <c r="P392" s="282">
        <f>++Tabla4[[#This Row],[Precio Descontado]]*Tabla4[[#This Row],[Cantidad]]</f>
        <v>16975.600636799998</v>
      </c>
      <c r="Q392" s="282" t="e">
        <f>(INDEX(Tabla6[#All],MATCH(Tabla4[[#This Row],[Producto]],Tabla6[[#All],[PRODUCTO]],0),MATCH(Tabla4[[#This Row],[Mes]],Tabla6[#Headers],0)))</f>
        <v>#N/A</v>
      </c>
      <c r="R392" s="282" t="e">
        <f>++Tabla4[[#This Row],[Precio Unitario Neto]]-Tabla4[[#This Row],[20.85%]]-Tabla4[[#This Row],[Costo]]</f>
        <v>#N/A</v>
      </c>
      <c r="S392" s="282" t="e">
        <f>++Tabla4[[#This Row],[U. Bruta Uni]]*Tabla4[[#This Row],[Cantidad]]</f>
        <v>#N/A</v>
      </c>
      <c r="T392" s="369" t="str">
        <f>VLOOKUP(Tabla4[[#This Row],[Producto]],Tabla6[#All],14,FALSE)</f>
        <v>Termico Solar</v>
      </c>
      <c r="U392" s="284" t="e">
        <f>(IF(Tabla4[[#This Row],[Familia]]="termico solar",Tabla4[[#This Row],[Utilidad Total]]*6%,Tabla4[[#This Row],[Utilidad Total]]*11.5%))/Tabla4[[#This Row],[Total]]</f>
        <v>#N/A</v>
      </c>
      <c r="V392" s="282" t="e">
        <f>+Tabla4[[#This Row],[Comisión Calculada]]*Tabla4[[#This Row],[Total]]</f>
        <v>#N/A</v>
      </c>
    </row>
    <row r="393" spans="1:22" hidden="1" x14ac:dyDescent="0.25">
      <c r="A393" s="100">
        <v>45688</v>
      </c>
      <c r="B393" t="str">
        <f t="shared" si="14"/>
        <v>January</v>
      </c>
      <c r="C393" s="46" t="s">
        <v>280</v>
      </c>
      <c r="F393" s="366" t="s">
        <v>867</v>
      </c>
      <c r="G393" s="46" t="s">
        <v>18</v>
      </c>
      <c r="H393" s="46">
        <v>5</v>
      </c>
      <c r="I393" s="51">
        <v>5367.65</v>
      </c>
      <c r="J393" s="281">
        <f>++Tabla4[[#This Row],[Precio Bruto]]*1.16</f>
        <v>6226.4739999999993</v>
      </c>
      <c r="K393" s="281">
        <f>+Tabla4[[#This Row],[Precio Unitario Neto]]*Tabla4[[#Headers],[20.85%]]</f>
        <v>1298.2198289999999</v>
      </c>
      <c r="L393" s="282">
        <f>++Tabla4[[#This Row],[Precio Unitario Neto]]-Tabla4[[#This Row],[20.85%]]</f>
        <v>4928.2541709999996</v>
      </c>
      <c r="M393" s="282" t="e">
        <f>(INDEX(Tabla6[#All],MATCH(Tabla4[[#This Row],[Producto]],Tabla6[[#All],[PRODUCTO]],0),MATCH(Tabla4[[#This Row],[Mes]],Tabla6[#Headers],0)))*(1+Catalogos!$L$2)</f>
        <v>#N/A</v>
      </c>
      <c r="N393" s="283" t="e">
        <f>+(Tabla4[[#This Row],[Precio Descontado]]-Tabla4[[#This Row],[Precio Base]])*Tabla4[[#This Row],[Cantidad]]</f>
        <v>#N/A</v>
      </c>
      <c r="O393" s="284" t="e">
        <f>++Tabla4[[#This Row],[Utilidad Total]]/Tabla4[[#This Row],[Total]]</f>
        <v>#N/A</v>
      </c>
      <c r="P393" s="282">
        <f>++Tabla4[[#This Row],[Precio Descontado]]*Tabla4[[#This Row],[Cantidad]]</f>
        <v>24641.270854999999</v>
      </c>
      <c r="Q393" s="282" t="e">
        <f>(INDEX(Tabla6[#All],MATCH(Tabla4[[#This Row],[Producto]],Tabla6[[#All],[PRODUCTO]],0),MATCH(Tabla4[[#This Row],[Mes]],Tabla6[#Headers],0)))</f>
        <v>#N/A</v>
      </c>
      <c r="R393" s="282" t="e">
        <f>++Tabla4[[#This Row],[Precio Unitario Neto]]-Tabla4[[#This Row],[20.85%]]-Tabla4[[#This Row],[Costo]]</f>
        <v>#N/A</v>
      </c>
      <c r="S393" s="282" t="e">
        <f>++Tabla4[[#This Row],[U. Bruta Uni]]*Tabla4[[#This Row],[Cantidad]]</f>
        <v>#N/A</v>
      </c>
      <c r="T393" s="369" t="str">
        <f>VLOOKUP(Tabla4[[#This Row],[Producto]],Tabla6[#All],14,FALSE)</f>
        <v>Termico Solar</v>
      </c>
      <c r="U393" s="284" t="e">
        <f>(IF(Tabla4[[#This Row],[Familia]]="termico solar",Tabla4[[#This Row],[Utilidad Total]]*6%,Tabla4[[#This Row],[Utilidad Total]]*11.5%))/Tabla4[[#This Row],[Total]]</f>
        <v>#N/A</v>
      </c>
      <c r="V393" s="282" t="e">
        <f>+Tabla4[[#This Row],[Comisión Calculada]]*Tabla4[[#This Row],[Total]]</f>
        <v>#N/A</v>
      </c>
    </row>
    <row r="394" spans="1:22" hidden="1" x14ac:dyDescent="0.25">
      <c r="A394" s="100">
        <v>45688</v>
      </c>
      <c r="B394" t="str">
        <f t="shared" si="14"/>
        <v>January</v>
      </c>
      <c r="C394" s="46" t="s">
        <v>280</v>
      </c>
      <c r="F394" s="366" t="s">
        <v>867</v>
      </c>
      <c r="G394" s="46" t="s">
        <v>16</v>
      </c>
      <c r="H394" s="46">
        <v>4</v>
      </c>
      <c r="I394" s="51">
        <v>4103.8500000000004</v>
      </c>
      <c r="J394" s="281">
        <f>++Tabla4[[#This Row],[Precio Bruto]]*1.16</f>
        <v>4760.4660000000003</v>
      </c>
      <c r="K394" s="281">
        <f>+Tabla4[[#This Row],[Precio Unitario Neto]]*Tabla4[[#Headers],[20.85%]]</f>
        <v>992.55716100000006</v>
      </c>
      <c r="L394" s="282">
        <f>++Tabla4[[#This Row],[Precio Unitario Neto]]-Tabla4[[#This Row],[20.85%]]</f>
        <v>3767.9088390000002</v>
      </c>
      <c r="M394" s="282" t="e">
        <f>(INDEX(Tabla6[#All],MATCH(Tabla4[[#This Row],[Producto]],Tabla6[[#All],[PRODUCTO]],0),MATCH(Tabla4[[#This Row],[Mes]],Tabla6[#Headers],0)))*(1+Catalogos!$L$2)</f>
        <v>#N/A</v>
      </c>
      <c r="N394" s="283" t="e">
        <f>+(Tabla4[[#This Row],[Precio Descontado]]-Tabla4[[#This Row],[Precio Base]])*Tabla4[[#This Row],[Cantidad]]</f>
        <v>#N/A</v>
      </c>
      <c r="O394" s="284" t="e">
        <f>++Tabla4[[#This Row],[Utilidad Total]]/Tabla4[[#This Row],[Total]]</f>
        <v>#N/A</v>
      </c>
      <c r="P394" s="282">
        <f>++Tabla4[[#This Row],[Precio Descontado]]*Tabla4[[#This Row],[Cantidad]]</f>
        <v>15071.635356000001</v>
      </c>
      <c r="Q394" s="282" t="e">
        <f>(INDEX(Tabla6[#All],MATCH(Tabla4[[#This Row],[Producto]],Tabla6[[#All],[PRODUCTO]],0),MATCH(Tabla4[[#This Row],[Mes]],Tabla6[#Headers],0)))</f>
        <v>#N/A</v>
      </c>
      <c r="R394" s="282" t="e">
        <f>++Tabla4[[#This Row],[Precio Unitario Neto]]-Tabla4[[#This Row],[20.85%]]-Tabla4[[#This Row],[Costo]]</f>
        <v>#N/A</v>
      </c>
      <c r="S394" s="282" t="e">
        <f>++Tabla4[[#This Row],[U. Bruta Uni]]*Tabla4[[#This Row],[Cantidad]]</f>
        <v>#N/A</v>
      </c>
      <c r="T394" s="369" t="str">
        <f>VLOOKUP(Tabla4[[#This Row],[Producto]],Tabla6[#All],14,FALSE)</f>
        <v>Termico Solar</v>
      </c>
      <c r="U394" s="284" t="e">
        <f>(IF(Tabla4[[#This Row],[Familia]]="termico solar",Tabla4[[#This Row],[Utilidad Total]]*6%,Tabla4[[#This Row],[Utilidad Total]]*11.5%))/Tabla4[[#This Row],[Total]]</f>
        <v>#N/A</v>
      </c>
      <c r="V394" s="282" t="e">
        <f>+Tabla4[[#This Row],[Comisión Calculada]]*Tabla4[[#This Row],[Total]]</f>
        <v>#N/A</v>
      </c>
    </row>
    <row r="395" spans="1:22" hidden="1" x14ac:dyDescent="0.25">
      <c r="A395" s="100">
        <v>45688</v>
      </c>
      <c r="B395" t="str">
        <f t="shared" si="14"/>
        <v>January</v>
      </c>
      <c r="C395" s="46" t="s">
        <v>280</v>
      </c>
      <c r="F395" s="366" t="s">
        <v>868</v>
      </c>
      <c r="G395" s="46" t="s">
        <v>566</v>
      </c>
      <c r="H395" s="46">
        <v>1</v>
      </c>
      <c r="I395" s="51">
        <v>2109.4499999999998</v>
      </c>
      <c r="J395" s="281">
        <f>++Tabla4[[#This Row],[Precio Bruto]]*1.16</f>
        <v>2446.9619999999995</v>
      </c>
      <c r="K395" s="281">
        <f>+Tabla4[[#This Row],[Precio Unitario Neto]]*Tabla4[[#Headers],[20.85%]]</f>
        <v>510.19157699999988</v>
      </c>
      <c r="L395" s="282">
        <f>++Tabla4[[#This Row],[Precio Unitario Neto]]-Tabla4[[#This Row],[20.85%]]</f>
        <v>1936.7704229999997</v>
      </c>
      <c r="M395" s="282" t="e">
        <f>(INDEX(Tabla6[#All],MATCH(Tabla4[[#This Row],[Producto]],Tabla6[[#All],[PRODUCTO]],0),MATCH(Tabla4[[#This Row],[Mes]],Tabla6[#Headers],0)))*(1+Catalogos!$L$2)</f>
        <v>#N/A</v>
      </c>
      <c r="N395" s="283" t="e">
        <f>+(Tabla4[[#This Row],[Precio Descontado]]-Tabla4[[#This Row],[Precio Base]])*Tabla4[[#This Row],[Cantidad]]</f>
        <v>#N/A</v>
      </c>
      <c r="O395" s="284" t="e">
        <f>++Tabla4[[#This Row],[Utilidad Total]]/Tabla4[[#This Row],[Total]]</f>
        <v>#N/A</v>
      </c>
      <c r="P395" s="282">
        <f>++Tabla4[[#This Row],[Precio Descontado]]*Tabla4[[#This Row],[Cantidad]]</f>
        <v>1936.7704229999997</v>
      </c>
      <c r="Q395" s="282" t="e">
        <f>(INDEX(Tabla6[#All],MATCH(Tabla4[[#This Row],[Producto]],Tabla6[[#All],[PRODUCTO]],0),MATCH(Tabla4[[#This Row],[Mes]],Tabla6[#Headers],0)))</f>
        <v>#N/A</v>
      </c>
      <c r="R395" s="282" t="e">
        <f>++Tabla4[[#This Row],[Precio Unitario Neto]]-Tabla4[[#This Row],[20.85%]]-Tabla4[[#This Row],[Costo]]</f>
        <v>#N/A</v>
      </c>
      <c r="S395" s="282" t="e">
        <f>++Tabla4[[#This Row],[U. Bruta Uni]]*Tabla4[[#This Row],[Cantidad]]</f>
        <v>#N/A</v>
      </c>
      <c r="T395" s="369" t="str">
        <f>VLOOKUP(Tabla4[[#This Row],[Producto]],Tabla6[#All],14,FALSE)</f>
        <v>Termico Solar</v>
      </c>
      <c r="U395" s="284" t="e">
        <f>(IF(Tabla4[[#This Row],[Familia]]="termico solar",Tabla4[[#This Row],[Utilidad Total]]*6%,Tabla4[[#This Row],[Utilidad Total]]*11.5%))/Tabla4[[#This Row],[Total]]</f>
        <v>#N/A</v>
      </c>
      <c r="V395" s="282" t="e">
        <f>+Tabla4[[#This Row],[Comisión Calculada]]*Tabla4[[#This Row],[Total]]</f>
        <v>#N/A</v>
      </c>
    </row>
    <row r="396" spans="1:22" hidden="1" x14ac:dyDescent="0.25">
      <c r="A396" s="100">
        <v>45688</v>
      </c>
      <c r="B396" t="str">
        <f t="shared" si="14"/>
        <v>January</v>
      </c>
      <c r="C396" s="46" t="s">
        <v>280</v>
      </c>
      <c r="F396" s="366" t="s">
        <v>869</v>
      </c>
      <c r="G396" s="46" t="s">
        <v>83</v>
      </c>
      <c r="H396" s="46">
        <v>1</v>
      </c>
      <c r="I396" s="51">
        <v>8858.76</v>
      </c>
      <c r="J396" s="281">
        <f>++Tabla4[[#This Row],[Precio Bruto]]*1.16</f>
        <v>10276.161599999999</v>
      </c>
      <c r="K396" s="281">
        <f>+Tabla4[[#This Row],[Precio Unitario Neto]]*Tabla4[[#Headers],[20.85%]]</f>
        <v>2142.5796935999997</v>
      </c>
      <c r="L396" s="282">
        <f>++Tabla4[[#This Row],[Precio Unitario Neto]]-Tabla4[[#This Row],[20.85%]]</f>
        <v>8133.5819063999998</v>
      </c>
      <c r="M396" s="282" t="e">
        <f>(INDEX(Tabla6[#All],MATCH(Tabla4[[#This Row],[Producto]],Tabla6[[#All],[PRODUCTO]],0),MATCH(Tabla4[[#This Row],[Mes]],Tabla6[#Headers],0)))*(1+Catalogos!$L$2)</f>
        <v>#N/A</v>
      </c>
      <c r="N396" s="283" t="e">
        <f>+(Tabla4[[#This Row],[Precio Descontado]]-Tabla4[[#This Row],[Precio Base]])*Tabla4[[#This Row],[Cantidad]]</f>
        <v>#N/A</v>
      </c>
      <c r="O396" s="284" t="e">
        <f>++Tabla4[[#This Row],[Utilidad Total]]/Tabla4[[#This Row],[Total]]</f>
        <v>#N/A</v>
      </c>
      <c r="P396" s="282">
        <f>++Tabla4[[#This Row],[Precio Descontado]]*Tabla4[[#This Row],[Cantidad]]</f>
        <v>8133.5819063999998</v>
      </c>
      <c r="Q396" s="282" t="e">
        <f>(INDEX(Tabla6[#All],MATCH(Tabla4[[#This Row],[Producto]],Tabla6[[#All],[PRODUCTO]],0),MATCH(Tabla4[[#This Row],[Mes]],Tabla6[#Headers],0)))</f>
        <v>#N/A</v>
      </c>
      <c r="R396" s="282" t="e">
        <f>++Tabla4[[#This Row],[Precio Unitario Neto]]-Tabla4[[#This Row],[20.85%]]-Tabla4[[#This Row],[Costo]]</f>
        <v>#N/A</v>
      </c>
      <c r="S396" s="282" t="e">
        <f>++Tabla4[[#This Row],[U. Bruta Uni]]*Tabla4[[#This Row],[Cantidad]]</f>
        <v>#N/A</v>
      </c>
      <c r="T396" s="369" t="str">
        <f>VLOOKUP(Tabla4[[#This Row],[Producto]],Tabla6[#All],14,FALSE)</f>
        <v>Termico Solar</v>
      </c>
      <c r="U396" s="284" t="e">
        <f>(IF(Tabla4[[#This Row],[Familia]]="termico solar",Tabla4[[#This Row],[Utilidad Total]]*6%,Tabla4[[#This Row],[Utilidad Total]]*11.5%))/Tabla4[[#This Row],[Total]]</f>
        <v>#N/A</v>
      </c>
      <c r="V396" s="282" t="e">
        <f>+Tabla4[[#This Row],[Comisión Calculada]]*Tabla4[[#This Row],[Total]]</f>
        <v>#N/A</v>
      </c>
    </row>
    <row r="397" spans="1:22" hidden="1" x14ac:dyDescent="0.25">
      <c r="A397" s="100">
        <v>45688</v>
      </c>
      <c r="B397" t="str">
        <f t="shared" si="14"/>
        <v>January</v>
      </c>
      <c r="C397" s="46" t="s">
        <v>280</v>
      </c>
      <c r="F397" s="366" t="s">
        <v>869</v>
      </c>
      <c r="G397" s="46" t="s">
        <v>566</v>
      </c>
      <c r="H397" s="46">
        <v>1</v>
      </c>
      <c r="I397" s="51">
        <v>2109.4499999999998</v>
      </c>
      <c r="J397" s="281">
        <f>++Tabla4[[#This Row],[Precio Bruto]]*1.16</f>
        <v>2446.9619999999995</v>
      </c>
      <c r="K397" s="281">
        <f>+Tabla4[[#This Row],[Precio Unitario Neto]]*Tabla4[[#Headers],[20.85%]]</f>
        <v>510.19157699999988</v>
      </c>
      <c r="L397" s="282">
        <f>++Tabla4[[#This Row],[Precio Unitario Neto]]-Tabla4[[#This Row],[20.85%]]</f>
        <v>1936.7704229999997</v>
      </c>
      <c r="M397" s="282" t="e">
        <f>(INDEX(Tabla6[#All],MATCH(Tabla4[[#This Row],[Producto]],Tabla6[[#All],[PRODUCTO]],0),MATCH(Tabla4[[#This Row],[Mes]],Tabla6[#Headers],0)))*(1+Catalogos!$L$2)</f>
        <v>#N/A</v>
      </c>
      <c r="N397" s="283" t="e">
        <f>+(Tabla4[[#This Row],[Precio Descontado]]-Tabla4[[#This Row],[Precio Base]])*Tabla4[[#This Row],[Cantidad]]</f>
        <v>#N/A</v>
      </c>
      <c r="O397" s="284" t="e">
        <f>++Tabla4[[#This Row],[Utilidad Total]]/Tabla4[[#This Row],[Total]]</f>
        <v>#N/A</v>
      </c>
      <c r="P397" s="282">
        <f>++Tabla4[[#This Row],[Precio Descontado]]*Tabla4[[#This Row],[Cantidad]]</f>
        <v>1936.7704229999997</v>
      </c>
      <c r="Q397" s="282" t="e">
        <f>(INDEX(Tabla6[#All],MATCH(Tabla4[[#This Row],[Producto]],Tabla6[[#All],[PRODUCTO]],0),MATCH(Tabla4[[#This Row],[Mes]],Tabla6[#Headers],0)))</f>
        <v>#N/A</v>
      </c>
      <c r="R397" s="282" t="e">
        <f>++Tabla4[[#This Row],[Precio Unitario Neto]]-Tabla4[[#This Row],[20.85%]]-Tabla4[[#This Row],[Costo]]</f>
        <v>#N/A</v>
      </c>
      <c r="S397" s="282" t="e">
        <f>++Tabla4[[#This Row],[U. Bruta Uni]]*Tabla4[[#This Row],[Cantidad]]</f>
        <v>#N/A</v>
      </c>
      <c r="T397" s="369" t="str">
        <f>VLOOKUP(Tabla4[[#This Row],[Producto]],Tabla6[#All],14,FALSE)</f>
        <v>Termico Solar</v>
      </c>
      <c r="U397" s="284" t="e">
        <f>(IF(Tabla4[[#This Row],[Familia]]="termico solar",Tabla4[[#This Row],[Utilidad Total]]*6%,Tabla4[[#This Row],[Utilidad Total]]*11.5%))/Tabla4[[#This Row],[Total]]</f>
        <v>#N/A</v>
      </c>
      <c r="V397" s="282" t="e">
        <f>+Tabla4[[#This Row],[Comisión Calculada]]*Tabla4[[#This Row],[Total]]</f>
        <v>#N/A</v>
      </c>
    </row>
    <row r="398" spans="1:22" hidden="1" x14ac:dyDescent="0.25">
      <c r="A398" s="100">
        <v>45688</v>
      </c>
      <c r="B398" t="str">
        <f t="shared" si="14"/>
        <v>January</v>
      </c>
      <c r="C398" s="46" t="s">
        <v>280</v>
      </c>
      <c r="F398" s="366" t="s">
        <v>870</v>
      </c>
      <c r="G398" s="46" t="s">
        <v>394</v>
      </c>
      <c r="H398" s="46">
        <v>9</v>
      </c>
      <c r="I398" s="51">
        <v>108.1</v>
      </c>
      <c r="J398" s="281">
        <f>++Tabla4[[#This Row],[Precio Bruto]]*1.16</f>
        <v>125.39599999999999</v>
      </c>
      <c r="K398" s="281">
        <f>+Tabla4[[#This Row],[Precio Unitario Neto]]*Tabla4[[#Headers],[20.85%]]</f>
        <v>26.145065999999996</v>
      </c>
      <c r="L398" s="282">
        <f>++Tabla4[[#This Row],[Precio Unitario Neto]]-Tabla4[[#This Row],[20.85%]]</f>
        <v>99.250933999999987</v>
      </c>
      <c r="M398" s="282" t="e">
        <f>(INDEX(Tabla6[#All],MATCH(Tabla4[[#This Row],[Producto]],Tabla6[[#All],[PRODUCTO]],0),MATCH(Tabla4[[#This Row],[Mes]],Tabla6[#Headers],0)))*(1+Catalogos!$L$2)</f>
        <v>#N/A</v>
      </c>
      <c r="N398" s="283" t="e">
        <f>+(Tabla4[[#This Row],[Precio Descontado]]-Tabla4[[#This Row],[Precio Base]])*Tabla4[[#This Row],[Cantidad]]</f>
        <v>#N/A</v>
      </c>
      <c r="O398" s="284" t="e">
        <f>++Tabla4[[#This Row],[Utilidad Total]]/Tabla4[[#This Row],[Total]]</f>
        <v>#N/A</v>
      </c>
      <c r="P398" s="282">
        <f>++Tabla4[[#This Row],[Precio Descontado]]*Tabla4[[#This Row],[Cantidad]]</f>
        <v>893.25840599999992</v>
      </c>
      <c r="Q398" s="282" t="e">
        <f>(INDEX(Tabla6[#All],MATCH(Tabla4[[#This Row],[Producto]],Tabla6[[#All],[PRODUCTO]],0),MATCH(Tabla4[[#This Row],[Mes]],Tabla6[#Headers],0)))</f>
        <v>#N/A</v>
      </c>
      <c r="R398" s="282" t="e">
        <f>++Tabla4[[#This Row],[Precio Unitario Neto]]-Tabla4[[#This Row],[20.85%]]-Tabla4[[#This Row],[Costo]]</f>
        <v>#N/A</v>
      </c>
      <c r="S398" s="282" t="e">
        <f>++Tabla4[[#This Row],[U. Bruta Uni]]*Tabla4[[#This Row],[Cantidad]]</f>
        <v>#N/A</v>
      </c>
      <c r="T398" s="369" t="str">
        <f>VLOOKUP(Tabla4[[#This Row],[Producto]],Tabla6[#All],14,FALSE)</f>
        <v>Termico Solar</v>
      </c>
      <c r="U398" s="284" t="e">
        <f>(IF(Tabla4[[#This Row],[Familia]]="termico solar",Tabla4[[#This Row],[Utilidad Total]]*6%,Tabla4[[#This Row],[Utilidad Total]]*11.5%))/Tabla4[[#This Row],[Total]]</f>
        <v>#N/A</v>
      </c>
      <c r="V398" s="282" t="e">
        <f>+Tabla4[[#This Row],[Comisión Calculada]]*Tabla4[[#This Row],[Total]]</f>
        <v>#N/A</v>
      </c>
    </row>
    <row r="399" spans="1:22" hidden="1" x14ac:dyDescent="0.25">
      <c r="A399" s="100">
        <v>45688</v>
      </c>
      <c r="B399" t="str">
        <f t="shared" si="14"/>
        <v>January</v>
      </c>
      <c r="C399" s="46" t="s">
        <v>280</v>
      </c>
      <c r="F399" s="366" t="s">
        <v>871</v>
      </c>
      <c r="G399" s="46" t="s">
        <v>83</v>
      </c>
      <c r="H399" s="46">
        <v>1</v>
      </c>
      <c r="I399" s="51">
        <v>8858.76</v>
      </c>
      <c r="J399" s="281">
        <f>++Tabla4[[#This Row],[Precio Bruto]]*1.16</f>
        <v>10276.161599999999</v>
      </c>
      <c r="K399" s="281">
        <f>+Tabla4[[#This Row],[Precio Unitario Neto]]*Tabla4[[#Headers],[20.85%]]</f>
        <v>2142.5796935999997</v>
      </c>
      <c r="L399" s="282">
        <f>++Tabla4[[#This Row],[Precio Unitario Neto]]-Tabla4[[#This Row],[20.85%]]</f>
        <v>8133.5819063999998</v>
      </c>
      <c r="M399" s="282" t="e">
        <f>(INDEX(Tabla6[#All],MATCH(Tabla4[[#This Row],[Producto]],Tabla6[[#All],[PRODUCTO]],0),MATCH(Tabla4[[#This Row],[Mes]],Tabla6[#Headers],0)))*(1+Catalogos!$L$2)</f>
        <v>#N/A</v>
      </c>
      <c r="N399" s="283" t="e">
        <f>+(Tabla4[[#This Row],[Precio Descontado]]-Tabla4[[#This Row],[Precio Base]])*Tabla4[[#This Row],[Cantidad]]</f>
        <v>#N/A</v>
      </c>
      <c r="O399" s="284" t="e">
        <f>++Tabla4[[#This Row],[Utilidad Total]]/Tabla4[[#This Row],[Total]]</f>
        <v>#N/A</v>
      </c>
      <c r="P399" s="282">
        <f>++Tabla4[[#This Row],[Precio Descontado]]*Tabla4[[#This Row],[Cantidad]]</f>
        <v>8133.5819063999998</v>
      </c>
      <c r="Q399" s="282" t="e">
        <f>(INDEX(Tabla6[#All],MATCH(Tabla4[[#This Row],[Producto]],Tabla6[[#All],[PRODUCTO]],0),MATCH(Tabla4[[#This Row],[Mes]],Tabla6[#Headers],0)))</f>
        <v>#N/A</v>
      </c>
      <c r="R399" s="282" t="e">
        <f>++Tabla4[[#This Row],[Precio Unitario Neto]]-Tabla4[[#This Row],[20.85%]]-Tabla4[[#This Row],[Costo]]</f>
        <v>#N/A</v>
      </c>
      <c r="S399" s="282" t="e">
        <f>++Tabla4[[#This Row],[U. Bruta Uni]]*Tabla4[[#This Row],[Cantidad]]</f>
        <v>#N/A</v>
      </c>
      <c r="T399" s="369" t="str">
        <f>VLOOKUP(Tabla4[[#This Row],[Producto]],Tabla6[#All],14,FALSE)</f>
        <v>Termico Solar</v>
      </c>
      <c r="U399" s="284" t="e">
        <f>(IF(Tabla4[[#This Row],[Familia]]="termico solar",Tabla4[[#This Row],[Utilidad Total]]*6%,Tabla4[[#This Row],[Utilidad Total]]*11.5%))/Tabla4[[#This Row],[Total]]</f>
        <v>#N/A</v>
      </c>
      <c r="V399" s="282" t="e">
        <f>+Tabla4[[#This Row],[Comisión Calculada]]*Tabla4[[#This Row],[Total]]</f>
        <v>#N/A</v>
      </c>
    </row>
    <row r="400" spans="1:22" hidden="1" x14ac:dyDescent="0.25">
      <c r="A400" s="100">
        <v>45688</v>
      </c>
      <c r="B400" t="str">
        <f t="shared" si="14"/>
        <v>January</v>
      </c>
      <c r="C400" s="46" t="s">
        <v>280</v>
      </c>
      <c r="F400" s="366" t="s">
        <v>871</v>
      </c>
      <c r="G400" s="46" t="s">
        <v>18</v>
      </c>
      <c r="H400" s="46">
        <v>2</v>
      </c>
      <c r="I400" s="51">
        <v>5367.65</v>
      </c>
      <c r="J400" s="281">
        <f>++Tabla4[[#This Row],[Precio Bruto]]*1.16</f>
        <v>6226.4739999999993</v>
      </c>
      <c r="K400" s="281">
        <f>+Tabla4[[#This Row],[Precio Unitario Neto]]*Tabla4[[#Headers],[20.85%]]</f>
        <v>1298.2198289999999</v>
      </c>
      <c r="L400" s="282">
        <f>++Tabla4[[#This Row],[Precio Unitario Neto]]-Tabla4[[#This Row],[20.85%]]</f>
        <v>4928.2541709999996</v>
      </c>
      <c r="M400" s="282" t="e">
        <f>(INDEX(Tabla6[#All],MATCH(Tabla4[[#This Row],[Producto]],Tabla6[[#All],[PRODUCTO]],0),MATCH(Tabla4[[#This Row],[Mes]],Tabla6[#Headers],0)))*(1+Catalogos!$L$2)</f>
        <v>#N/A</v>
      </c>
      <c r="N400" s="283" t="e">
        <f>+(Tabla4[[#This Row],[Precio Descontado]]-Tabla4[[#This Row],[Precio Base]])*Tabla4[[#This Row],[Cantidad]]</f>
        <v>#N/A</v>
      </c>
      <c r="O400" s="284" t="e">
        <f>++Tabla4[[#This Row],[Utilidad Total]]/Tabla4[[#This Row],[Total]]</f>
        <v>#N/A</v>
      </c>
      <c r="P400" s="282">
        <f>++Tabla4[[#This Row],[Precio Descontado]]*Tabla4[[#This Row],[Cantidad]]</f>
        <v>9856.5083419999992</v>
      </c>
      <c r="Q400" s="282" t="e">
        <f>(INDEX(Tabla6[#All],MATCH(Tabla4[[#This Row],[Producto]],Tabla6[[#All],[PRODUCTO]],0),MATCH(Tabla4[[#This Row],[Mes]],Tabla6[#Headers],0)))</f>
        <v>#N/A</v>
      </c>
      <c r="R400" s="282" t="e">
        <f>++Tabla4[[#This Row],[Precio Unitario Neto]]-Tabla4[[#This Row],[20.85%]]-Tabla4[[#This Row],[Costo]]</f>
        <v>#N/A</v>
      </c>
      <c r="S400" s="282" t="e">
        <f>++Tabla4[[#This Row],[U. Bruta Uni]]*Tabla4[[#This Row],[Cantidad]]</f>
        <v>#N/A</v>
      </c>
      <c r="T400" s="369" t="str">
        <f>VLOOKUP(Tabla4[[#This Row],[Producto]],Tabla6[#All],14,FALSE)</f>
        <v>Termico Solar</v>
      </c>
      <c r="U400" s="284" t="e">
        <f>(IF(Tabla4[[#This Row],[Familia]]="termico solar",Tabla4[[#This Row],[Utilidad Total]]*6%,Tabla4[[#This Row],[Utilidad Total]]*11.5%))/Tabla4[[#This Row],[Total]]</f>
        <v>#N/A</v>
      </c>
      <c r="V400" s="282" t="e">
        <f>+Tabla4[[#This Row],[Comisión Calculada]]*Tabla4[[#This Row],[Total]]</f>
        <v>#N/A</v>
      </c>
    </row>
    <row r="401" spans="1:22" hidden="1" x14ac:dyDescent="0.25">
      <c r="A401" s="100">
        <v>45688</v>
      </c>
      <c r="B401" t="str">
        <f t="shared" si="14"/>
        <v>January</v>
      </c>
      <c r="C401" s="46" t="s">
        <v>280</v>
      </c>
      <c r="F401" s="366" t="s">
        <v>872</v>
      </c>
      <c r="G401" s="46" t="s">
        <v>83</v>
      </c>
      <c r="H401" s="46">
        <v>1</v>
      </c>
      <c r="I401" s="51">
        <v>8858.76</v>
      </c>
      <c r="J401" s="281">
        <f>++Tabla4[[#This Row],[Precio Bruto]]*1.16</f>
        <v>10276.161599999999</v>
      </c>
      <c r="K401" s="281">
        <f>+Tabla4[[#This Row],[Precio Unitario Neto]]*Tabla4[[#Headers],[20.85%]]</f>
        <v>2142.5796935999997</v>
      </c>
      <c r="L401" s="282">
        <f>++Tabla4[[#This Row],[Precio Unitario Neto]]-Tabla4[[#This Row],[20.85%]]</f>
        <v>8133.5819063999998</v>
      </c>
      <c r="M401" s="282" t="e">
        <f>(INDEX(Tabla6[#All],MATCH(Tabla4[[#This Row],[Producto]],Tabla6[[#All],[PRODUCTO]],0),MATCH(Tabla4[[#This Row],[Mes]],Tabla6[#Headers],0)))*(1+Catalogos!$L$2)</f>
        <v>#N/A</v>
      </c>
      <c r="N401" s="283" t="e">
        <f>+(Tabla4[[#This Row],[Precio Descontado]]-Tabla4[[#This Row],[Precio Base]])*Tabla4[[#This Row],[Cantidad]]</f>
        <v>#N/A</v>
      </c>
      <c r="O401" s="284" t="e">
        <f>++Tabla4[[#This Row],[Utilidad Total]]/Tabla4[[#This Row],[Total]]</f>
        <v>#N/A</v>
      </c>
      <c r="P401" s="282">
        <f>++Tabla4[[#This Row],[Precio Descontado]]*Tabla4[[#This Row],[Cantidad]]</f>
        <v>8133.5819063999998</v>
      </c>
      <c r="Q401" s="282" t="e">
        <f>(INDEX(Tabla6[#All],MATCH(Tabla4[[#This Row],[Producto]],Tabla6[[#All],[PRODUCTO]],0),MATCH(Tabla4[[#This Row],[Mes]],Tabla6[#Headers],0)))</f>
        <v>#N/A</v>
      </c>
      <c r="R401" s="282" t="e">
        <f>++Tabla4[[#This Row],[Precio Unitario Neto]]-Tabla4[[#This Row],[20.85%]]-Tabla4[[#This Row],[Costo]]</f>
        <v>#N/A</v>
      </c>
      <c r="S401" s="282" t="e">
        <f>++Tabla4[[#This Row],[U. Bruta Uni]]*Tabla4[[#This Row],[Cantidad]]</f>
        <v>#N/A</v>
      </c>
      <c r="T401" s="369" t="str">
        <f>VLOOKUP(Tabla4[[#This Row],[Producto]],Tabla6[#All],14,FALSE)</f>
        <v>Termico Solar</v>
      </c>
      <c r="U401" s="284" t="e">
        <f>(IF(Tabla4[[#This Row],[Familia]]="termico solar",Tabla4[[#This Row],[Utilidad Total]]*6%,Tabla4[[#This Row],[Utilidad Total]]*11.5%))/Tabla4[[#This Row],[Total]]</f>
        <v>#N/A</v>
      </c>
      <c r="V401" s="282" t="e">
        <f>+Tabla4[[#This Row],[Comisión Calculada]]*Tabla4[[#This Row],[Total]]</f>
        <v>#N/A</v>
      </c>
    </row>
    <row r="402" spans="1:22" hidden="1" x14ac:dyDescent="0.25">
      <c r="A402" s="100">
        <v>45688</v>
      </c>
      <c r="B402" t="str">
        <f t="shared" si="14"/>
        <v>January</v>
      </c>
      <c r="C402" s="46" t="s">
        <v>280</v>
      </c>
      <c r="F402" s="366" t="s">
        <v>872</v>
      </c>
      <c r="G402" s="46" t="s">
        <v>17</v>
      </c>
      <c r="H402" s="46">
        <v>6</v>
      </c>
      <c r="I402" s="51">
        <v>4622.28</v>
      </c>
      <c r="J402" s="281">
        <f>++Tabla4[[#This Row],[Precio Bruto]]*1.16</f>
        <v>5361.8447999999989</v>
      </c>
      <c r="K402" s="281">
        <f>+Tabla4[[#This Row],[Precio Unitario Neto]]*Tabla4[[#Headers],[20.85%]]</f>
        <v>1117.9446407999997</v>
      </c>
      <c r="L402" s="282">
        <f>++Tabla4[[#This Row],[Precio Unitario Neto]]-Tabla4[[#This Row],[20.85%]]</f>
        <v>4243.9001591999995</v>
      </c>
      <c r="M402" s="282" t="e">
        <f>(INDEX(Tabla6[#All],MATCH(Tabla4[[#This Row],[Producto]],Tabla6[[#All],[PRODUCTO]],0),MATCH(Tabla4[[#This Row],[Mes]],Tabla6[#Headers],0)))*(1+Catalogos!$L$2)</f>
        <v>#N/A</v>
      </c>
      <c r="N402" s="283" t="e">
        <f>+(Tabla4[[#This Row],[Precio Descontado]]-Tabla4[[#This Row],[Precio Base]])*Tabla4[[#This Row],[Cantidad]]</f>
        <v>#N/A</v>
      </c>
      <c r="O402" s="284" t="e">
        <f>++Tabla4[[#This Row],[Utilidad Total]]/Tabla4[[#This Row],[Total]]</f>
        <v>#N/A</v>
      </c>
      <c r="P402" s="282">
        <f>++Tabla4[[#This Row],[Precio Descontado]]*Tabla4[[#This Row],[Cantidad]]</f>
        <v>25463.400955199999</v>
      </c>
      <c r="Q402" s="282" t="e">
        <f>(INDEX(Tabla6[#All],MATCH(Tabla4[[#This Row],[Producto]],Tabla6[[#All],[PRODUCTO]],0),MATCH(Tabla4[[#This Row],[Mes]],Tabla6[#Headers],0)))</f>
        <v>#N/A</v>
      </c>
      <c r="R402" s="282" t="e">
        <f>++Tabla4[[#This Row],[Precio Unitario Neto]]-Tabla4[[#This Row],[20.85%]]-Tabla4[[#This Row],[Costo]]</f>
        <v>#N/A</v>
      </c>
      <c r="S402" s="282" t="e">
        <f>++Tabla4[[#This Row],[U. Bruta Uni]]*Tabla4[[#This Row],[Cantidad]]</f>
        <v>#N/A</v>
      </c>
      <c r="T402" s="369" t="str">
        <f>VLOOKUP(Tabla4[[#This Row],[Producto]],Tabla6[#All],14,FALSE)</f>
        <v>Termico Solar</v>
      </c>
      <c r="U402" s="284" t="e">
        <f>(IF(Tabla4[[#This Row],[Familia]]="termico solar",Tabla4[[#This Row],[Utilidad Total]]*6%,Tabla4[[#This Row],[Utilidad Total]]*11.5%))/Tabla4[[#This Row],[Total]]</f>
        <v>#N/A</v>
      </c>
      <c r="V402" s="282" t="e">
        <f>+Tabla4[[#This Row],[Comisión Calculada]]*Tabla4[[#This Row],[Total]]</f>
        <v>#N/A</v>
      </c>
    </row>
    <row r="403" spans="1:22" hidden="1" x14ac:dyDescent="0.25">
      <c r="A403" s="100">
        <v>45688</v>
      </c>
      <c r="B403" t="str">
        <f t="shared" si="14"/>
        <v>January</v>
      </c>
      <c r="C403" s="46" t="s">
        <v>280</v>
      </c>
      <c r="F403" s="366" t="s">
        <v>872</v>
      </c>
      <c r="G403" s="46" t="s">
        <v>18</v>
      </c>
      <c r="H403" s="46">
        <v>4</v>
      </c>
      <c r="I403" s="51">
        <v>5367.65</v>
      </c>
      <c r="J403" s="281">
        <f>++Tabla4[[#This Row],[Precio Bruto]]*1.16</f>
        <v>6226.4739999999993</v>
      </c>
      <c r="K403" s="281">
        <f>+Tabla4[[#This Row],[Precio Unitario Neto]]*Tabla4[[#Headers],[20.85%]]</f>
        <v>1298.2198289999999</v>
      </c>
      <c r="L403" s="282">
        <f>++Tabla4[[#This Row],[Precio Unitario Neto]]-Tabla4[[#This Row],[20.85%]]</f>
        <v>4928.2541709999996</v>
      </c>
      <c r="M403" s="282" t="e">
        <f>(INDEX(Tabla6[#All],MATCH(Tabla4[[#This Row],[Producto]],Tabla6[[#All],[PRODUCTO]],0),MATCH(Tabla4[[#This Row],[Mes]],Tabla6[#Headers],0)))*(1+Catalogos!$L$2)</f>
        <v>#N/A</v>
      </c>
      <c r="N403" s="283" t="e">
        <f>+(Tabla4[[#This Row],[Precio Descontado]]-Tabla4[[#This Row],[Precio Base]])*Tabla4[[#This Row],[Cantidad]]</f>
        <v>#N/A</v>
      </c>
      <c r="O403" s="284" t="e">
        <f>++Tabla4[[#This Row],[Utilidad Total]]/Tabla4[[#This Row],[Total]]</f>
        <v>#N/A</v>
      </c>
      <c r="P403" s="282">
        <f>++Tabla4[[#This Row],[Precio Descontado]]*Tabla4[[#This Row],[Cantidad]]</f>
        <v>19713.016683999998</v>
      </c>
      <c r="Q403" s="282" t="e">
        <f>(INDEX(Tabla6[#All],MATCH(Tabla4[[#This Row],[Producto]],Tabla6[[#All],[PRODUCTO]],0),MATCH(Tabla4[[#This Row],[Mes]],Tabla6[#Headers],0)))</f>
        <v>#N/A</v>
      </c>
      <c r="R403" s="282" t="e">
        <f>++Tabla4[[#This Row],[Precio Unitario Neto]]-Tabla4[[#This Row],[20.85%]]-Tabla4[[#This Row],[Costo]]</f>
        <v>#N/A</v>
      </c>
      <c r="S403" s="282" t="e">
        <f>++Tabla4[[#This Row],[U. Bruta Uni]]*Tabla4[[#This Row],[Cantidad]]</f>
        <v>#N/A</v>
      </c>
      <c r="T403" s="369" t="str">
        <f>VLOOKUP(Tabla4[[#This Row],[Producto]],Tabla6[#All],14,FALSE)</f>
        <v>Termico Solar</v>
      </c>
      <c r="U403" s="284" t="e">
        <f>(IF(Tabla4[[#This Row],[Familia]]="termico solar",Tabla4[[#This Row],[Utilidad Total]]*6%,Tabla4[[#This Row],[Utilidad Total]]*11.5%))/Tabla4[[#This Row],[Total]]</f>
        <v>#N/A</v>
      </c>
      <c r="V403" s="282" t="e">
        <f>+Tabla4[[#This Row],[Comisión Calculada]]*Tabla4[[#This Row],[Total]]</f>
        <v>#N/A</v>
      </c>
    </row>
    <row r="404" spans="1:22" hidden="1" x14ac:dyDescent="0.25">
      <c r="A404" s="100">
        <v>45688</v>
      </c>
      <c r="B404" t="str">
        <f t="shared" si="14"/>
        <v>January</v>
      </c>
      <c r="C404" s="46" t="s">
        <v>280</v>
      </c>
      <c r="F404" s="366" t="s">
        <v>872</v>
      </c>
      <c r="G404" s="46" t="s">
        <v>566</v>
      </c>
      <c r="H404" s="46">
        <v>1</v>
      </c>
      <c r="I404" s="51">
        <v>2109.4499999999998</v>
      </c>
      <c r="J404" s="281">
        <f>++Tabla4[[#This Row],[Precio Bruto]]*1.16</f>
        <v>2446.9619999999995</v>
      </c>
      <c r="K404" s="281">
        <f>+Tabla4[[#This Row],[Precio Unitario Neto]]*Tabla4[[#Headers],[20.85%]]</f>
        <v>510.19157699999988</v>
      </c>
      <c r="L404" s="282">
        <f>++Tabla4[[#This Row],[Precio Unitario Neto]]-Tabla4[[#This Row],[20.85%]]</f>
        <v>1936.7704229999997</v>
      </c>
      <c r="M404" s="282" t="e">
        <f>(INDEX(Tabla6[#All],MATCH(Tabla4[[#This Row],[Producto]],Tabla6[[#All],[PRODUCTO]],0),MATCH(Tabla4[[#This Row],[Mes]],Tabla6[#Headers],0)))*(1+Catalogos!$L$2)</f>
        <v>#N/A</v>
      </c>
      <c r="N404" s="283" t="e">
        <f>+(Tabla4[[#This Row],[Precio Descontado]]-Tabla4[[#This Row],[Precio Base]])*Tabla4[[#This Row],[Cantidad]]</f>
        <v>#N/A</v>
      </c>
      <c r="O404" s="284" t="e">
        <f>++Tabla4[[#This Row],[Utilidad Total]]/Tabla4[[#This Row],[Total]]</f>
        <v>#N/A</v>
      </c>
      <c r="P404" s="282">
        <f>++Tabla4[[#This Row],[Precio Descontado]]*Tabla4[[#This Row],[Cantidad]]</f>
        <v>1936.7704229999997</v>
      </c>
      <c r="Q404" s="282" t="e">
        <f>(INDEX(Tabla6[#All],MATCH(Tabla4[[#This Row],[Producto]],Tabla6[[#All],[PRODUCTO]],0),MATCH(Tabla4[[#This Row],[Mes]],Tabla6[#Headers],0)))</f>
        <v>#N/A</v>
      </c>
      <c r="R404" s="282" t="e">
        <f>++Tabla4[[#This Row],[Precio Unitario Neto]]-Tabla4[[#This Row],[20.85%]]-Tabla4[[#This Row],[Costo]]</f>
        <v>#N/A</v>
      </c>
      <c r="S404" s="282" t="e">
        <f>++Tabla4[[#This Row],[U. Bruta Uni]]*Tabla4[[#This Row],[Cantidad]]</f>
        <v>#N/A</v>
      </c>
      <c r="T404" s="369" t="str">
        <f>VLOOKUP(Tabla4[[#This Row],[Producto]],Tabla6[#All],14,FALSE)</f>
        <v>Termico Solar</v>
      </c>
      <c r="U404" s="284" t="e">
        <f>(IF(Tabla4[[#This Row],[Familia]]="termico solar",Tabla4[[#This Row],[Utilidad Total]]*6%,Tabla4[[#This Row],[Utilidad Total]]*11.5%))/Tabla4[[#This Row],[Total]]</f>
        <v>#N/A</v>
      </c>
      <c r="V404" s="282" t="e">
        <f>+Tabla4[[#This Row],[Comisión Calculada]]*Tabla4[[#This Row],[Total]]</f>
        <v>#N/A</v>
      </c>
    </row>
    <row r="405" spans="1:22" hidden="1" x14ac:dyDescent="0.25">
      <c r="A405" s="100">
        <v>45688</v>
      </c>
      <c r="B405" t="str">
        <f t="shared" si="14"/>
        <v>January</v>
      </c>
      <c r="C405" s="46" t="s">
        <v>280</v>
      </c>
      <c r="F405" s="366" t="s">
        <v>873</v>
      </c>
      <c r="G405" s="46" t="s">
        <v>83</v>
      </c>
      <c r="H405" s="46">
        <v>1</v>
      </c>
      <c r="I405" s="51">
        <v>8858.76</v>
      </c>
      <c r="J405" s="281">
        <f>++Tabla4[[#This Row],[Precio Bruto]]*1.16</f>
        <v>10276.161599999999</v>
      </c>
      <c r="K405" s="281">
        <f>+Tabla4[[#This Row],[Precio Unitario Neto]]*Tabla4[[#Headers],[20.85%]]</f>
        <v>2142.5796935999997</v>
      </c>
      <c r="L405" s="282">
        <f>++Tabla4[[#This Row],[Precio Unitario Neto]]-Tabla4[[#This Row],[20.85%]]</f>
        <v>8133.5819063999998</v>
      </c>
      <c r="M405" s="282" t="e">
        <f>(INDEX(Tabla6[#All],MATCH(Tabla4[[#This Row],[Producto]],Tabla6[[#All],[PRODUCTO]],0),MATCH(Tabla4[[#This Row],[Mes]],Tabla6[#Headers],0)))*(1+Catalogos!$L$2)</f>
        <v>#N/A</v>
      </c>
      <c r="N405" s="283" t="e">
        <f>+(Tabla4[[#This Row],[Precio Descontado]]-Tabla4[[#This Row],[Precio Base]])*Tabla4[[#This Row],[Cantidad]]</f>
        <v>#N/A</v>
      </c>
      <c r="O405" s="284" t="e">
        <f>++Tabla4[[#This Row],[Utilidad Total]]/Tabla4[[#This Row],[Total]]</f>
        <v>#N/A</v>
      </c>
      <c r="P405" s="282">
        <f>++Tabla4[[#This Row],[Precio Descontado]]*Tabla4[[#This Row],[Cantidad]]</f>
        <v>8133.5819063999998</v>
      </c>
      <c r="Q405" s="282" t="e">
        <f>(INDEX(Tabla6[#All],MATCH(Tabla4[[#This Row],[Producto]],Tabla6[[#All],[PRODUCTO]],0),MATCH(Tabla4[[#This Row],[Mes]],Tabla6[#Headers],0)))</f>
        <v>#N/A</v>
      </c>
      <c r="R405" s="282" t="e">
        <f>++Tabla4[[#This Row],[Precio Unitario Neto]]-Tabla4[[#This Row],[20.85%]]-Tabla4[[#This Row],[Costo]]</f>
        <v>#N/A</v>
      </c>
      <c r="S405" s="282" t="e">
        <f>++Tabla4[[#This Row],[U. Bruta Uni]]*Tabla4[[#This Row],[Cantidad]]</f>
        <v>#N/A</v>
      </c>
      <c r="T405" s="369" t="str">
        <f>VLOOKUP(Tabla4[[#This Row],[Producto]],Tabla6[#All],14,FALSE)</f>
        <v>Termico Solar</v>
      </c>
      <c r="U405" s="284" t="e">
        <f>(IF(Tabla4[[#This Row],[Familia]]="termico solar",Tabla4[[#This Row],[Utilidad Total]]*6%,Tabla4[[#This Row],[Utilidad Total]]*11.5%))/Tabla4[[#This Row],[Total]]</f>
        <v>#N/A</v>
      </c>
      <c r="V405" s="282" t="e">
        <f>+Tabla4[[#This Row],[Comisión Calculada]]*Tabla4[[#This Row],[Total]]</f>
        <v>#N/A</v>
      </c>
    </row>
    <row r="406" spans="1:22" hidden="1" x14ac:dyDescent="0.25">
      <c r="A406" s="100">
        <v>45688</v>
      </c>
      <c r="B406" t="str">
        <f t="shared" si="14"/>
        <v>January</v>
      </c>
      <c r="C406" s="46" t="s">
        <v>280</v>
      </c>
      <c r="F406" s="366" t="s">
        <v>874</v>
      </c>
      <c r="G406" s="46" t="s">
        <v>17</v>
      </c>
      <c r="H406" s="46">
        <v>11</v>
      </c>
      <c r="I406" s="51">
        <v>4622.28</v>
      </c>
      <c r="J406" s="281">
        <f>++Tabla4[[#This Row],[Precio Bruto]]*1.16</f>
        <v>5361.8447999999989</v>
      </c>
      <c r="K406" s="281">
        <f>+Tabla4[[#This Row],[Precio Unitario Neto]]*Tabla4[[#Headers],[20.85%]]</f>
        <v>1117.9446407999997</v>
      </c>
      <c r="L406" s="282">
        <f>++Tabla4[[#This Row],[Precio Unitario Neto]]-Tabla4[[#This Row],[20.85%]]</f>
        <v>4243.9001591999995</v>
      </c>
      <c r="M406" s="282" t="e">
        <f>(INDEX(Tabla6[#All],MATCH(Tabla4[[#This Row],[Producto]],Tabla6[[#All],[PRODUCTO]],0),MATCH(Tabla4[[#This Row],[Mes]],Tabla6[#Headers],0)))*(1+Catalogos!$L$2)</f>
        <v>#N/A</v>
      </c>
      <c r="N406" s="283" t="e">
        <f>+(Tabla4[[#This Row],[Precio Descontado]]-Tabla4[[#This Row],[Precio Base]])*Tabla4[[#This Row],[Cantidad]]</f>
        <v>#N/A</v>
      </c>
      <c r="O406" s="284" t="e">
        <f>++Tabla4[[#This Row],[Utilidad Total]]/Tabla4[[#This Row],[Total]]</f>
        <v>#N/A</v>
      </c>
      <c r="P406" s="282">
        <f>++Tabla4[[#This Row],[Precio Descontado]]*Tabla4[[#This Row],[Cantidad]]</f>
        <v>46682.901751199992</v>
      </c>
      <c r="Q406" s="282" t="e">
        <f>(INDEX(Tabla6[#All],MATCH(Tabla4[[#This Row],[Producto]],Tabla6[[#All],[PRODUCTO]],0),MATCH(Tabla4[[#This Row],[Mes]],Tabla6[#Headers],0)))</f>
        <v>#N/A</v>
      </c>
      <c r="R406" s="282" t="e">
        <f>++Tabla4[[#This Row],[Precio Unitario Neto]]-Tabla4[[#This Row],[20.85%]]-Tabla4[[#This Row],[Costo]]</f>
        <v>#N/A</v>
      </c>
      <c r="S406" s="282" t="e">
        <f>++Tabla4[[#This Row],[U. Bruta Uni]]*Tabla4[[#This Row],[Cantidad]]</f>
        <v>#N/A</v>
      </c>
      <c r="T406" s="369" t="str">
        <f>VLOOKUP(Tabla4[[#This Row],[Producto]],Tabla6[#All],14,FALSE)</f>
        <v>Termico Solar</v>
      </c>
      <c r="U406" s="284" t="e">
        <f>(IF(Tabla4[[#This Row],[Familia]]="termico solar",Tabla4[[#This Row],[Utilidad Total]]*6%,Tabla4[[#This Row],[Utilidad Total]]*11.5%))/Tabla4[[#This Row],[Total]]</f>
        <v>#N/A</v>
      </c>
      <c r="V406" s="282" t="e">
        <f>+Tabla4[[#This Row],[Comisión Calculada]]*Tabla4[[#This Row],[Total]]</f>
        <v>#N/A</v>
      </c>
    </row>
    <row r="407" spans="1:22" hidden="1" x14ac:dyDescent="0.25">
      <c r="A407" s="100">
        <v>45688</v>
      </c>
      <c r="B407" t="str">
        <f t="shared" si="14"/>
        <v>January</v>
      </c>
      <c r="C407" s="46" t="s">
        <v>280</v>
      </c>
      <c r="F407" s="366" t="s">
        <v>874</v>
      </c>
      <c r="G407" s="46" t="s">
        <v>18</v>
      </c>
      <c r="H407" s="46">
        <v>4</v>
      </c>
      <c r="I407" s="51">
        <v>5367.65</v>
      </c>
      <c r="J407" s="281">
        <f>++Tabla4[[#This Row],[Precio Bruto]]*1.16</f>
        <v>6226.4739999999993</v>
      </c>
      <c r="K407" s="281">
        <f>+Tabla4[[#This Row],[Precio Unitario Neto]]*Tabla4[[#Headers],[20.85%]]</f>
        <v>1298.2198289999999</v>
      </c>
      <c r="L407" s="282">
        <f>++Tabla4[[#This Row],[Precio Unitario Neto]]-Tabla4[[#This Row],[20.85%]]</f>
        <v>4928.2541709999996</v>
      </c>
      <c r="M407" s="282" t="e">
        <f>(INDEX(Tabla6[#All],MATCH(Tabla4[[#This Row],[Producto]],Tabla6[[#All],[PRODUCTO]],0),MATCH(Tabla4[[#This Row],[Mes]],Tabla6[#Headers],0)))*(1+Catalogos!$L$2)</f>
        <v>#N/A</v>
      </c>
      <c r="N407" s="283" t="e">
        <f>+(Tabla4[[#This Row],[Precio Descontado]]-Tabla4[[#This Row],[Precio Base]])*Tabla4[[#This Row],[Cantidad]]</f>
        <v>#N/A</v>
      </c>
      <c r="O407" s="284" t="e">
        <f>++Tabla4[[#This Row],[Utilidad Total]]/Tabla4[[#This Row],[Total]]</f>
        <v>#N/A</v>
      </c>
      <c r="P407" s="282">
        <f>++Tabla4[[#This Row],[Precio Descontado]]*Tabla4[[#This Row],[Cantidad]]</f>
        <v>19713.016683999998</v>
      </c>
      <c r="Q407" s="282" t="e">
        <f>(INDEX(Tabla6[#All],MATCH(Tabla4[[#This Row],[Producto]],Tabla6[[#All],[PRODUCTO]],0),MATCH(Tabla4[[#This Row],[Mes]],Tabla6[#Headers],0)))</f>
        <v>#N/A</v>
      </c>
      <c r="R407" s="282" t="e">
        <f>++Tabla4[[#This Row],[Precio Unitario Neto]]-Tabla4[[#This Row],[20.85%]]-Tabla4[[#This Row],[Costo]]</f>
        <v>#N/A</v>
      </c>
      <c r="S407" s="282" t="e">
        <f>++Tabla4[[#This Row],[U. Bruta Uni]]*Tabla4[[#This Row],[Cantidad]]</f>
        <v>#N/A</v>
      </c>
      <c r="T407" s="369" t="str">
        <f>VLOOKUP(Tabla4[[#This Row],[Producto]],Tabla6[#All],14,FALSE)</f>
        <v>Termico Solar</v>
      </c>
      <c r="U407" s="284" t="e">
        <f>(IF(Tabla4[[#This Row],[Familia]]="termico solar",Tabla4[[#This Row],[Utilidad Total]]*6%,Tabla4[[#This Row],[Utilidad Total]]*11.5%))/Tabla4[[#This Row],[Total]]</f>
        <v>#N/A</v>
      </c>
      <c r="V407" s="282" t="e">
        <f>+Tabla4[[#This Row],[Comisión Calculada]]*Tabla4[[#This Row],[Total]]</f>
        <v>#N/A</v>
      </c>
    </row>
    <row r="408" spans="1:22" hidden="1" x14ac:dyDescent="0.25">
      <c r="A408" s="100">
        <v>45688</v>
      </c>
      <c r="B408" t="str">
        <f t="shared" ref="B408:B439" si="15">TEXT(A408, "mmmm")</f>
        <v>January</v>
      </c>
      <c r="C408" s="46" t="s">
        <v>280</v>
      </c>
      <c r="F408" s="366" t="s">
        <v>874</v>
      </c>
      <c r="G408" s="46" t="s">
        <v>566</v>
      </c>
      <c r="H408" s="46">
        <v>1</v>
      </c>
      <c r="I408" s="51">
        <v>2109.4499999999998</v>
      </c>
      <c r="J408" s="281">
        <f>++Tabla4[[#This Row],[Precio Bruto]]*1.16</f>
        <v>2446.9619999999995</v>
      </c>
      <c r="K408" s="281">
        <f>+Tabla4[[#This Row],[Precio Unitario Neto]]*Tabla4[[#Headers],[20.85%]]</f>
        <v>510.19157699999988</v>
      </c>
      <c r="L408" s="282">
        <f>++Tabla4[[#This Row],[Precio Unitario Neto]]-Tabla4[[#This Row],[20.85%]]</f>
        <v>1936.7704229999997</v>
      </c>
      <c r="M408" s="282" t="e">
        <f>(INDEX(Tabla6[#All],MATCH(Tabla4[[#This Row],[Producto]],Tabla6[[#All],[PRODUCTO]],0),MATCH(Tabla4[[#This Row],[Mes]],Tabla6[#Headers],0)))*(1+Catalogos!$L$2)</f>
        <v>#N/A</v>
      </c>
      <c r="N408" s="283" t="e">
        <f>+(Tabla4[[#This Row],[Precio Descontado]]-Tabla4[[#This Row],[Precio Base]])*Tabla4[[#This Row],[Cantidad]]</f>
        <v>#N/A</v>
      </c>
      <c r="O408" s="284" t="e">
        <f>++Tabla4[[#This Row],[Utilidad Total]]/Tabla4[[#This Row],[Total]]</f>
        <v>#N/A</v>
      </c>
      <c r="P408" s="282">
        <f>++Tabla4[[#This Row],[Precio Descontado]]*Tabla4[[#This Row],[Cantidad]]</f>
        <v>1936.7704229999997</v>
      </c>
      <c r="Q408" s="282" t="e">
        <f>(INDEX(Tabla6[#All],MATCH(Tabla4[[#This Row],[Producto]],Tabla6[[#All],[PRODUCTO]],0),MATCH(Tabla4[[#This Row],[Mes]],Tabla6[#Headers],0)))</f>
        <v>#N/A</v>
      </c>
      <c r="R408" s="282" t="e">
        <f>++Tabla4[[#This Row],[Precio Unitario Neto]]-Tabla4[[#This Row],[20.85%]]-Tabla4[[#This Row],[Costo]]</f>
        <v>#N/A</v>
      </c>
      <c r="S408" s="282" t="e">
        <f>++Tabla4[[#This Row],[U. Bruta Uni]]*Tabla4[[#This Row],[Cantidad]]</f>
        <v>#N/A</v>
      </c>
      <c r="T408" s="369" t="str">
        <f>VLOOKUP(Tabla4[[#This Row],[Producto]],Tabla6[#All],14,FALSE)</f>
        <v>Termico Solar</v>
      </c>
      <c r="U408" s="284" t="e">
        <f>(IF(Tabla4[[#This Row],[Familia]]="termico solar",Tabla4[[#This Row],[Utilidad Total]]*6%,Tabla4[[#This Row],[Utilidad Total]]*11.5%))/Tabla4[[#This Row],[Total]]</f>
        <v>#N/A</v>
      </c>
      <c r="V408" s="282" t="e">
        <f>+Tabla4[[#This Row],[Comisión Calculada]]*Tabla4[[#This Row],[Total]]</f>
        <v>#N/A</v>
      </c>
    </row>
    <row r="409" spans="1:22" hidden="1" x14ac:dyDescent="0.25">
      <c r="A409" s="100">
        <v>45688</v>
      </c>
      <c r="B409" t="str">
        <f t="shared" si="15"/>
        <v>January</v>
      </c>
      <c r="C409" s="46" t="s">
        <v>280</v>
      </c>
      <c r="F409" s="366" t="s">
        <v>874</v>
      </c>
      <c r="G409" s="46" t="s">
        <v>394</v>
      </c>
      <c r="H409" s="46">
        <v>9</v>
      </c>
      <c r="I409" s="51">
        <v>108.1</v>
      </c>
      <c r="J409" s="281">
        <f>++Tabla4[[#This Row],[Precio Bruto]]*1.16</f>
        <v>125.39599999999999</v>
      </c>
      <c r="K409" s="281">
        <f>+Tabla4[[#This Row],[Precio Unitario Neto]]*Tabla4[[#Headers],[20.85%]]</f>
        <v>26.145065999999996</v>
      </c>
      <c r="L409" s="282">
        <f>++Tabla4[[#This Row],[Precio Unitario Neto]]-Tabla4[[#This Row],[20.85%]]</f>
        <v>99.250933999999987</v>
      </c>
      <c r="M409" s="282" t="e">
        <f>(INDEX(Tabla6[#All],MATCH(Tabla4[[#This Row],[Producto]],Tabla6[[#All],[PRODUCTO]],0),MATCH(Tabla4[[#This Row],[Mes]],Tabla6[#Headers],0)))*(1+Catalogos!$L$2)</f>
        <v>#N/A</v>
      </c>
      <c r="N409" s="283" t="e">
        <f>+(Tabla4[[#This Row],[Precio Descontado]]-Tabla4[[#This Row],[Precio Base]])*Tabla4[[#This Row],[Cantidad]]</f>
        <v>#N/A</v>
      </c>
      <c r="O409" s="284" t="e">
        <f>++Tabla4[[#This Row],[Utilidad Total]]/Tabla4[[#This Row],[Total]]</f>
        <v>#N/A</v>
      </c>
      <c r="P409" s="282">
        <f>++Tabla4[[#This Row],[Precio Descontado]]*Tabla4[[#This Row],[Cantidad]]</f>
        <v>893.25840599999992</v>
      </c>
      <c r="Q409" s="282" t="e">
        <f>(INDEX(Tabla6[#All],MATCH(Tabla4[[#This Row],[Producto]],Tabla6[[#All],[PRODUCTO]],0),MATCH(Tabla4[[#This Row],[Mes]],Tabla6[#Headers],0)))</f>
        <v>#N/A</v>
      </c>
      <c r="R409" s="282" t="e">
        <f>++Tabla4[[#This Row],[Precio Unitario Neto]]-Tabla4[[#This Row],[20.85%]]-Tabla4[[#This Row],[Costo]]</f>
        <v>#N/A</v>
      </c>
      <c r="S409" s="282" t="e">
        <f>++Tabla4[[#This Row],[U. Bruta Uni]]*Tabla4[[#This Row],[Cantidad]]</f>
        <v>#N/A</v>
      </c>
      <c r="T409" s="369" t="str">
        <f>VLOOKUP(Tabla4[[#This Row],[Producto]],Tabla6[#All],14,FALSE)</f>
        <v>Termico Solar</v>
      </c>
      <c r="U409" s="284" t="e">
        <f>(IF(Tabla4[[#This Row],[Familia]]="termico solar",Tabla4[[#This Row],[Utilidad Total]]*6%,Tabla4[[#This Row],[Utilidad Total]]*11.5%))/Tabla4[[#This Row],[Total]]</f>
        <v>#N/A</v>
      </c>
      <c r="V409" s="282" t="e">
        <f>+Tabla4[[#This Row],[Comisión Calculada]]*Tabla4[[#This Row],[Total]]</f>
        <v>#N/A</v>
      </c>
    </row>
    <row r="410" spans="1:22" hidden="1" x14ac:dyDescent="0.25">
      <c r="A410" s="100">
        <v>45688</v>
      </c>
      <c r="B410" t="str">
        <f t="shared" si="15"/>
        <v>January</v>
      </c>
      <c r="C410" s="46" t="s">
        <v>280</v>
      </c>
      <c r="F410" s="366" t="s">
        <v>874</v>
      </c>
      <c r="G410" s="46" t="s">
        <v>16</v>
      </c>
      <c r="H410" s="46">
        <v>2</v>
      </c>
      <c r="I410" s="51">
        <v>4103.8500000000004</v>
      </c>
      <c r="J410" s="281">
        <f>++Tabla4[[#This Row],[Precio Bruto]]*1.16</f>
        <v>4760.4660000000003</v>
      </c>
      <c r="K410" s="281">
        <f>+Tabla4[[#This Row],[Precio Unitario Neto]]*Tabla4[[#Headers],[20.85%]]</f>
        <v>992.55716100000006</v>
      </c>
      <c r="L410" s="282">
        <f>++Tabla4[[#This Row],[Precio Unitario Neto]]-Tabla4[[#This Row],[20.85%]]</f>
        <v>3767.9088390000002</v>
      </c>
      <c r="M410" s="282" t="e">
        <f>(INDEX(Tabla6[#All],MATCH(Tabla4[[#This Row],[Producto]],Tabla6[[#All],[PRODUCTO]],0),MATCH(Tabla4[[#This Row],[Mes]],Tabla6[#Headers],0)))*(1+Catalogos!$L$2)</f>
        <v>#N/A</v>
      </c>
      <c r="N410" s="283" t="e">
        <f>+(Tabla4[[#This Row],[Precio Descontado]]-Tabla4[[#This Row],[Precio Base]])*Tabla4[[#This Row],[Cantidad]]</f>
        <v>#N/A</v>
      </c>
      <c r="O410" s="284" t="e">
        <f>++Tabla4[[#This Row],[Utilidad Total]]/Tabla4[[#This Row],[Total]]</f>
        <v>#N/A</v>
      </c>
      <c r="P410" s="282">
        <f>++Tabla4[[#This Row],[Precio Descontado]]*Tabla4[[#This Row],[Cantidad]]</f>
        <v>7535.8176780000003</v>
      </c>
      <c r="Q410" s="282" t="e">
        <f>(INDEX(Tabla6[#All],MATCH(Tabla4[[#This Row],[Producto]],Tabla6[[#All],[PRODUCTO]],0),MATCH(Tabla4[[#This Row],[Mes]],Tabla6[#Headers],0)))</f>
        <v>#N/A</v>
      </c>
      <c r="R410" s="282" t="e">
        <f>++Tabla4[[#This Row],[Precio Unitario Neto]]-Tabla4[[#This Row],[20.85%]]-Tabla4[[#This Row],[Costo]]</f>
        <v>#N/A</v>
      </c>
      <c r="S410" s="282" t="e">
        <f>++Tabla4[[#This Row],[U. Bruta Uni]]*Tabla4[[#This Row],[Cantidad]]</f>
        <v>#N/A</v>
      </c>
      <c r="T410" s="369" t="str">
        <f>VLOOKUP(Tabla4[[#This Row],[Producto]],Tabla6[#All],14,FALSE)</f>
        <v>Termico Solar</v>
      </c>
      <c r="U410" s="284" t="e">
        <f>(IF(Tabla4[[#This Row],[Familia]]="termico solar",Tabla4[[#This Row],[Utilidad Total]]*6%,Tabla4[[#This Row],[Utilidad Total]]*11.5%))/Tabla4[[#This Row],[Total]]</f>
        <v>#N/A</v>
      </c>
      <c r="V410" s="282" t="e">
        <f>+Tabla4[[#This Row],[Comisión Calculada]]*Tabla4[[#This Row],[Total]]</f>
        <v>#N/A</v>
      </c>
    </row>
    <row r="411" spans="1:22" hidden="1" x14ac:dyDescent="0.25">
      <c r="A411" s="100">
        <v>45688</v>
      </c>
      <c r="B411" t="str">
        <f t="shared" si="15"/>
        <v>January</v>
      </c>
      <c r="C411" s="46" t="s">
        <v>280</v>
      </c>
      <c r="F411" s="366" t="s">
        <v>875</v>
      </c>
      <c r="G411" s="46" t="s">
        <v>16</v>
      </c>
      <c r="H411" s="46">
        <v>1</v>
      </c>
      <c r="I411" s="51">
        <v>4103.8500000000004</v>
      </c>
      <c r="J411" s="281">
        <f>++Tabla4[[#This Row],[Precio Bruto]]*1.16</f>
        <v>4760.4660000000003</v>
      </c>
      <c r="K411" s="281">
        <f>+Tabla4[[#This Row],[Precio Unitario Neto]]*Tabla4[[#Headers],[20.85%]]</f>
        <v>992.55716100000006</v>
      </c>
      <c r="L411" s="282">
        <f>++Tabla4[[#This Row],[Precio Unitario Neto]]-Tabla4[[#This Row],[20.85%]]</f>
        <v>3767.9088390000002</v>
      </c>
      <c r="M411" s="282" t="e">
        <f>(INDEX(Tabla6[#All],MATCH(Tabla4[[#This Row],[Producto]],Tabla6[[#All],[PRODUCTO]],0),MATCH(Tabla4[[#This Row],[Mes]],Tabla6[#Headers],0)))*(1+Catalogos!$L$2)</f>
        <v>#N/A</v>
      </c>
      <c r="N411" s="283" t="e">
        <f>+(Tabla4[[#This Row],[Precio Descontado]]-Tabla4[[#This Row],[Precio Base]])*Tabla4[[#This Row],[Cantidad]]</f>
        <v>#N/A</v>
      </c>
      <c r="O411" s="284" t="e">
        <f>++Tabla4[[#This Row],[Utilidad Total]]/Tabla4[[#This Row],[Total]]</f>
        <v>#N/A</v>
      </c>
      <c r="P411" s="282">
        <f>++Tabla4[[#This Row],[Precio Descontado]]*Tabla4[[#This Row],[Cantidad]]</f>
        <v>3767.9088390000002</v>
      </c>
      <c r="Q411" s="282" t="e">
        <f>(INDEX(Tabla6[#All],MATCH(Tabla4[[#This Row],[Producto]],Tabla6[[#All],[PRODUCTO]],0),MATCH(Tabla4[[#This Row],[Mes]],Tabla6[#Headers],0)))</f>
        <v>#N/A</v>
      </c>
      <c r="R411" s="282" t="e">
        <f>++Tabla4[[#This Row],[Precio Unitario Neto]]-Tabla4[[#This Row],[20.85%]]-Tabla4[[#This Row],[Costo]]</f>
        <v>#N/A</v>
      </c>
      <c r="S411" s="282" t="e">
        <f>++Tabla4[[#This Row],[U. Bruta Uni]]*Tabla4[[#This Row],[Cantidad]]</f>
        <v>#N/A</v>
      </c>
      <c r="T411" s="369" t="str">
        <f>VLOOKUP(Tabla4[[#This Row],[Producto]],Tabla6[#All],14,FALSE)</f>
        <v>Termico Solar</v>
      </c>
      <c r="U411" s="284" t="e">
        <f>(IF(Tabla4[[#This Row],[Familia]]="termico solar",Tabla4[[#This Row],[Utilidad Total]]*6%,Tabla4[[#This Row],[Utilidad Total]]*11.5%))/Tabla4[[#This Row],[Total]]</f>
        <v>#N/A</v>
      </c>
      <c r="V411" s="282" t="e">
        <f>+Tabla4[[#This Row],[Comisión Calculada]]*Tabla4[[#This Row],[Total]]</f>
        <v>#N/A</v>
      </c>
    </row>
    <row r="412" spans="1:22" hidden="1" x14ac:dyDescent="0.25">
      <c r="A412" s="100">
        <v>45688</v>
      </c>
      <c r="B412" t="str">
        <f t="shared" si="15"/>
        <v>January</v>
      </c>
      <c r="C412" s="46" t="s">
        <v>280</v>
      </c>
      <c r="F412" s="366" t="s">
        <v>876</v>
      </c>
      <c r="G412" s="46" t="s">
        <v>17</v>
      </c>
      <c r="H412" s="46">
        <v>3</v>
      </c>
      <c r="I412" s="51">
        <v>4622.28</v>
      </c>
      <c r="J412" s="281">
        <f>++Tabla4[[#This Row],[Precio Bruto]]*1.16</f>
        <v>5361.8447999999989</v>
      </c>
      <c r="K412" s="281">
        <f>+Tabla4[[#This Row],[Precio Unitario Neto]]*Tabla4[[#Headers],[20.85%]]</f>
        <v>1117.9446407999997</v>
      </c>
      <c r="L412" s="282">
        <f>++Tabla4[[#This Row],[Precio Unitario Neto]]-Tabla4[[#This Row],[20.85%]]</f>
        <v>4243.9001591999995</v>
      </c>
      <c r="M412" s="282" t="e">
        <f>(INDEX(Tabla6[#All],MATCH(Tabla4[[#This Row],[Producto]],Tabla6[[#All],[PRODUCTO]],0),MATCH(Tabla4[[#This Row],[Mes]],Tabla6[#Headers],0)))*(1+Catalogos!$L$2)</f>
        <v>#N/A</v>
      </c>
      <c r="N412" s="283" t="e">
        <f>+(Tabla4[[#This Row],[Precio Descontado]]-Tabla4[[#This Row],[Precio Base]])*Tabla4[[#This Row],[Cantidad]]</f>
        <v>#N/A</v>
      </c>
      <c r="O412" s="284" t="e">
        <f>++Tabla4[[#This Row],[Utilidad Total]]/Tabla4[[#This Row],[Total]]</f>
        <v>#N/A</v>
      </c>
      <c r="P412" s="282">
        <f>++Tabla4[[#This Row],[Precio Descontado]]*Tabla4[[#This Row],[Cantidad]]</f>
        <v>12731.700477599999</v>
      </c>
      <c r="Q412" s="282" t="e">
        <f>(INDEX(Tabla6[#All],MATCH(Tabla4[[#This Row],[Producto]],Tabla6[[#All],[PRODUCTO]],0),MATCH(Tabla4[[#This Row],[Mes]],Tabla6[#Headers],0)))</f>
        <v>#N/A</v>
      </c>
      <c r="R412" s="282" t="e">
        <f>++Tabla4[[#This Row],[Precio Unitario Neto]]-Tabla4[[#This Row],[20.85%]]-Tabla4[[#This Row],[Costo]]</f>
        <v>#N/A</v>
      </c>
      <c r="S412" s="282" t="e">
        <f>++Tabla4[[#This Row],[U. Bruta Uni]]*Tabla4[[#This Row],[Cantidad]]</f>
        <v>#N/A</v>
      </c>
      <c r="T412" s="369" t="str">
        <f>VLOOKUP(Tabla4[[#This Row],[Producto]],Tabla6[#All],14,FALSE)</f>
        <v>Termico Solar</v>
      </c>
      <c r="U412" s="284" t="e">
        <f>(IF(Tabla4[[#This Row],[Familia]]="termico solar",Tabla4[[#This Row],[Utilidad Total]]*6%,Tabla4[[#This Row],[Utilidad Total]]*11.5%))/Tabla4[[#This Row],[Total]]</f>
        <v>#N/A</v>
      </c>
      <c r="V412" s="282" t="e">
        <f>+Tabla4[[#This Row],[Comisión Calculada]]*Tabla4[[#This Row],[Total]]</f>
        <v>#N/A</v>
      </c>
    </row>
    <row r="413" spans="1:22" hidden="1" x14ac:dyDescent="0.25">
      <c r="A413" s="100">
        <v>45688</v>
      </c>
      <c r="B413" t="str">
        <f t="shared" si="15"/>
        <v>January</v>
      </c>
      <c r="C413" s="46" t="s">
        <v>280</v>
      </c>
      <c r="F413" s="366" t="s">
        <v>876</v>
      </c>
      <c r="G413" s="46" t="s">
        <v>18</v>
      </c>
      <c r="H413" s="46">
        <v>1</v>
      </c>
      <c r="I413" s="51">
        <v>5367.65</v>
      </c>
      <c r="J413" s="281">
        <f>++Tabla4[[#This Row],[Precio Bruto]]*1.16</f>
        <v>6226.4739999999993</v>
      </c>
      <c r="K413" s="281">
        <f>+Tabla4[[#This Row],[Precio Unitario Neto]]*Tabla4[[#Headers],[20.85%]]</f>
        <v>1298.2198289999999</v>
      </c>
      <c r="L413" s="282">
        <f>++Tabla4[[#This Row],[Precio Unitario Neto]]-Tabla4[[#This Row],[20.85%]]</f>
        <v>4928.2541709999996</v>
      </c>
      <c r="M413" s="282" t="e">
        <f>(INDEX(Tabla6[#All],MATCH(Tabla4[[#This Row],[Producto]],Tabla6[[#All],[PRODUCTO]],0),MATCH(Tabla4[[#This Row],[Mes]],Tabla6[#Headers],0)))*(1+Catalogos!$L$2)</f>
        <v>#N/A</v>
      </c>
      <c r="N413" s="283" t="e">
        <f>+(Tabla4[[#This Row],[Precio Descontado]]-Tabla4[[#This Row],[Precio Base]])*Tabla4[[#This Row],[Cantidad]]</f>
        <v>#N/A</v>
      </c>
      <c r="O413" s="284" t="e">
        <f>++Tabla4[[#This Row],[Utilidad Total]]/Tabla4[[#This Row],[Total]]</f>
        <v>#N/A</v>
      </c>
      <c r="P413" s="282">
        <f>++Tabla4[[#This Row],[Precio Descontado]]*Tabla4[[#This Row],[Cantidad]]</f>
        <v>4928.2541709999996</v>
      </c>
      <c r="Q413" s="282" t="e">
        <f>(INDEX(Tabla6[#All],MATCH(Tabla4[[#This Row],[Producto]],Tabla6[[#All],[PRODUCTO]],0),MATCH(Tabla4[[#This Row],[Mes]],Tabla6[#Headers],0)))</f>
        <v>#N/A</v>
      </c>
      <c r="R413" s="282" t="e">
        <f>++Tabla4[[#This Row],[Precio Unitario Neto]]-Tabla4[[#This Row],[20.85%]]-Tabla4[[#This Row],[Costo]]</f>
        <v>#N/A</v>
      </c>
      <c r="S413" s="282" t="e">
        <f>++Tabla4[[#This Row],[U. Bruta Uni]]*Tabla4[[#This Row],[Cantidad]]</f>
        <v>#N/A</v>
      </c>
      <c r="T413" s="369" t="str">
        <f>VLOOKUP(Tabla4[[#This Row],[Producto]],Tabla6[#All],14,FALSE)</f>
        <v>Termico Solar</v>
      </c>
      <c r="U413" s="284" t="e">
        <f>(IF(Tabla4[[#This Row],[Familia]]="termico solar",Tabla4[[#This Row],[Utilidad Total]]*6%,Tabla4[[#This Row],[Utilidad Total]]*11.5%))/Tabla4[[#This Row],[Total]]</f>
        <v>#N/A</v>
      </c>
      <c r="V413" s="282" t="e">
        <f>+Tabla4[[#This Row],[Comisión Calculada]]*Tabla4[[#This Row],[Total]]</f>
        <v>#N/A</v>
      </c>
    </row>
    <row r="414" spans="1:22" hidden="1" x14ac:dyDescent="0.25">
      <c r="A414" s="100">
        <v>45688</v>
      </c>
      <c r="B414" t="str">
        <f t="shared" si="15"/>
        <v>January</v>
      </c>
      <c r="C414" s="46" t="s">
        <v>280</v>
      </c>
      <c r="F414" s="366" t="s">
        <v>876</v>
      </c>
      <c r="G414" s="46" t="s">
        <v>566</v>
      </c>
      <c r="H414" s="46">
        <v>1</v>
      </c>
      <c r="I414" s="51">
        <v>2109.4499999999998</v>
      </c>
      <c r="J414" s="281">
        <f>++Tabla4[[#This Row],[Precio Bruto]]*1.16</f>
        <v>2446.9619999999995</v>
      </c>
      <c r="K414" s="281">
        <f>+Tabla4[[#This Row],[Precio Unitario Neto]]*Tabla4[[#Headers],[20.85%]]</f>
        <v>510.19157699999988</v>
      </c>
      <c r="L414" s="282">
        <f>++Tabla4[[#This Row],[Precio Unitario Neto]]-Tabla4[[#This Row],[20.85%]]</f>
        <v>1936.7704229999997</v>
      </c>
      <c r="M414" s="282" t="e">
        <f>(INDEX(Tabla6[#All],MATCH(Tabla4[[#This Row],[Producto]],Tabla6[[#All],[PRODUCTO]],0),MATCH(Tabla4[[#This Row],[Mes]],Tabla6[#Headers],0)))*(1+Catalogos!$L$2)</f>
        <v>#N/A</v>
      </c>
      <c r="N414" s="283" t="e">
        <f>+(Tabla4[[#This Row],[Precio Descontado]]-Tabla4[[#This Row],[Precio Base]])*Tabla4[[#This Row],[Cantidad]]</f>
        <v>#N/A</v>
      </c>
      <c r="O414" s="284" t="e">
        <f>++Tabla4[[#This Row],[Utilidad Total]]/Tabla4[[#This Row],[Total]]</f>
        <v>#N/A</v>
      </c>
      <c r="P414" s="282">
        <f>++Tabla4[[#This Row],[Precio Descontado]]*Tabla4[[#This Row],[Cantidad]]</f>
        <v>1936.7704229999997</v>
      </c>
      <c r="Q414" s="282" t="e">
        <f>(INDEX(Tabla6[#All],MATCH(Tabla4[[#This Row],[Producto]],Tabla6[[#All],[PRODUCTO]],0),MATCH(Tabla4[[#This Row],[Mes]],Tabla6[#Headers],0)))</f>
        <v>#N/A</v>
      </c>
      <c r="R414" s="282" t="e">
        <f>++Tabla4[[#This Row],[Precio Unitario Neto]]-Tabla4[[#This Row],[20.85%]]-Tabla4[[#This Row],[Costo]]</f>
        <v>#N/A</v>
      </c>
      <c r="S414" s="282" t="e">
        <f>++Tabla4[[#This Row],[U. Bruta Uni]]*Tabla4[[#This Row],[Cantidad]]</f>
        <v>#N/A</v>
      </c>
      <c r="T414" s="369" t="str">
        <f>VLOOKUP(Tabla4[[#This Row],[Producto]],Tabla6[#All],14,FALSE)</f>
        <v>Termico Solar</v>
      </c>
      <c r="U414" s="284" t="e">
        <f>(IF(Tabla4[[#This Row],[Familia]]="termico solar",Tabla4[[#This Row],[Utilidad Total]]*6%,Tabla4[[#This Row],[Utilidad Total]]*11.5%))/Tabla4[[#This Row],[Total]]</f>
        <v>#N/A</v>
      </c>
      <c r="V414" s="282" t="e">
        <f>+Tabla4[[#This Row],[Comisión Calculada]]*Tabla4[[#This Row],[Total]]</f>
        <v>#N/A</v>
      </c>
    </row>
    <row r="415" spans="1:22" hidden="1" x14ac:dyDescent="0.25">
      <c r="A415" s="100">
        <v>45688</v>
      </c>
      <c r="B415" t="str">
        <f t="shared" si="15"/>
        <v>January</v>
      </c>
      <c r="C415" s="46" t="s">
        <v>280</v>
      </c>
      <c r="F415" s="366" t="s">
        <v>877</v>
      </c>
      <c r="G415" s="46" t="s">
        <v>18</v>
      </c>
      <c r="H415" s="46">
        <v>1</v>
      </c>
      <c r="I415" s="51">
        <v>5367.65</v>
      </c>
      <c r="J415" s="281">
        <f>++Tabla4[[#This Row],[Precio Bruto]]*1.16</f>
        <v>6226.4739999999993</v>
      </c>
      <c r="K415" s="281">
        <f>+Tabla4[[#This Row],[Precio Unitario Neto]]*Tabla4[[#Headers],[20.85%]]</f>
        <v>1298.2198289999999</v>
      </c>
      <c r="L415" s="282">
        <f>++Tabla4[[#This Row],[Precio Unitario Neto]]-Tabla4[[#This Row],[20.85%]]</f>
        <v>4928.2541709999996</v>
      </c>
      <c r="M415" s="282" t="e">
        <f>(INDEX(Tabla6[#All],MATCH(Tabla4[[#This Row],[Producto]],Tabla6[[#All],[PRODUCTO]],0),MATCH(Tabla4[[#This Row],[Mes]],Tabla6[#Headers],0)))*(1+Catalogos!$L$2)</f>
        <v>#N/A</v>
      </c>
      <c r="N415" s="283" t="e">
        <f>+(Tabla4[[#This Row],[Precio Descontado]]-Tabla4[[#This Row],[Precio Base]])*Tabla4[[#This Row],[Cantidad]]</f>
        <v>#N/A</v>
      </c>
      <c r="O415" s="284" t="e">
        <f>++Tabla4[[#This Row],[Utilidad Total]]/Tabla4[[#This Row],[Total]]</f>
        <v>#N/A</v>
      </c>
      <c r="P415" s="282">
        <f>++Tabla4[[#This Row],[Precio Descontado]]*Tabla4[[#This Row],[Cantidad]]</f>
        <v>4928.2541709999996</v>
      </c>
      <c r="Q415" s="282" t="e">
        <f>(INDEX(Tabla6[#All],MATCH(Tabla4[[#This Row],[Producto]],Tabla6[[#All],[PRODUCTO]],0),MATCH(Tabla4[[#This Row],[Mes]],Tabla6[#Headers],0)))</f>
        <v>#N/A</v>
      </c>
      <c r="R415" s="282" t="e">
        <f>++Tabla4[[#This Row],[Precio Unitario Neto]]-Tabla4[[#This Row],[20.85%]]-Tabla4[[#This Row],[Costo]]</f>
        <v>#N/A</v>
      </c>
      <c r="S415" s="282" t="e">
        <f>++Tabla4[[#This Row],[U. Bruta Uni]]*Tabla4[[#This Row],[Cantidad]]</f>
        <v>#N/A</v>
      </c>
      <c r="T415" s="369" t="str">
        <f>VLOOKUP(Tabla4[[#This Row],[Producto]],Tabla6[#All],14,FALSE)</f>
        <v>Termico Solar</v>
      </c>
      <c r="U415" s="284" t="e">
        <f>(IF(Tabla4[[#This Row],[Familia]]="termico solar",Tabla4[[#This Row],[Utilidad Total]]*6%,Tabla4[[#This Row],[Utilidad Total]]*11.5%))/Tabla4[[#This Row],[Total]]</f>
        <v>#N/A</v>
      </c>
      <c r="V415" s="282" t="e">
        <f>+Tabla4[[#This Row],[Comisión Calculada]]*Tabla4[[#This Row],[Total]]</f>
        <v>#N/A</v>
      </c>
    </row>
    <row r="416" spans="1:22" hidden="1" x14ac:dyDescent="0.25">
      <c r="A416" s="100">
        <v>45688</v>
      </c>
      <c r="B416" t="str">
        <f t="shared" si="15"/>
        <v>January</v>
      </c>
      <c r="C416" s="46" t="s">
        <v>280</v>
      </c>
      <c r="F416" s="366" t="s">
        <v>878</v>
      </c>
      <c r="G416" s="46" t="s">
        <v>83</v>
      </c>
      <c r="H416" s="46">
        <v>2</v>
      </c>
      <c r="I416" s="51">
        <v>8858.76</v>
      </c>
      <c r="J416" s="281">
        <f>++Tabla4[[#This Row],[Precio Bruto]]*1.16</f>
        <v>10276.161599999999</v>
      </c>
      <c r="K416" s="281">
        <f>+Tabla4[[#This Row],[Precio Unitario Neto]]*Tabla4[[#Headers],[20.85%]]</f>
        <v>2142.5796935999997</v>
      </c>
      <c r="L416" s="282">
        <f>++Tabla4[[#This Row],[Precio Unitario Neto]]-Tabla4[[#This Row],[20.85%]]</f>
        <v>8133.5819063999998</v>
      </c>
      <c r="M416" s="282" t="e">
        <f>(INDEX(Tabla6[#All],MATCH(Tabla4[[#This Row],[Producto]],Tabla6[[#All],[PRODUCTO]],0),MATCH(Tabla4[[#This Row],[Mes]],Tabla6[#Headers],0)))*(1+Catalogos!$L$2)</f>
        <v>#N/A</v>
      </c>
      <c r="N416" s="283" t="e">
        <f>+(Tabla4[[#This Row],[Precio Descontado]]-Tabla4[[#This Row],[Precio Base]])*Tabla4[[#This Row],[Cantidad]]</f>
        <v>#N/A</v>
      </c>
      <c r="O416" s="284" t="e">
        <f>++Tabla4[[#This Row],[Utilidad Total]]/Tabla4[[#This Row],[Total]]</f>
        <v>#N/A</v>
      </c>
      <c r="P416" s="282">
        <f>++Tabla4[[#This Row],[Precio Descontado]]*Tabla4[[#This Row],[Cantidad]]</f>
        <v>16267.1638128</v>
      </c>
      <c r="Q416" s="282" t="e">
        <f>(INDEX(Tabla6[#All],MATCH(Tabla4[[#This Row],[Producto]],Tabla6[[#All],[PRODUCTO]],0),MATCH(Tabla4[[#This Row],[Mes]],Tabla6[#Headers],0)))</f>
        <v>#N/A</v>
      </c>
      <c r="R416" s="282" t="e">
        <f>++Tabla4[[#This Row],[Precio Unitario Neto]]-Tabla4[[#This Row],[20.85%]]-Tabla4[[#This Row],[Costo]]</f>
        <v>#N/A</v>
      </c>
      <c r="S416" s="282" t="e">
        <f>++Tabla4[[#This Row],[U. Bruta Uni]]*Tabla4[[#This Row],[Cantidad]]</f>
        <v>#N/A</v>
      </c>
      <c r="T416" s="369" t="str">
        <f>VLOOKUP(Tabla4[[#This Row],[Producto]],Tabla6[#All],14,FALSE)</f>
        <v>Termico Solar</v>
      </c>
      <c r="U416" s="284" t="e">
        <f>(IF(Tabla4[[#This Row],[Familia]]="termico solar",Tabla4[[#This Row],[Utilidad Total]]*6%,Tabla4[[#This Row],[Utilidad Total]]*11.5%))/Tabla4[[#This Row],[Total]]</f>
        <v>#N/A</v>
      </c>
      <c r="V416" s="282" t="e">
        <f>+Tabla4[[#This Row],[Comisión Calculada]]*Tabla4[[#This Row],[Total]]</f>
        <v>#N/A</v>
      </c>
    </row>
    <row r="417" spans="1:22" hidden="1" x14ac:dyDescent="0.25">
      <c r="A417" s="100">
        <v>45688</v>
      </c>
      <c r="B417" t="str">
        <f t="shared" si="15"/>
        <v>January</v>
      </c>
      <c r="C417" s="46" t="s">
        <v>280</v>
      </c>
      <c r="F417" s="366" t="s">
        <v>878</v>
      </c>
      <c r="G417" s="46" t="s">
        <v>17</v>
      </c>
      <c r="H417" s="46">
        <v>4</v>
      </c>
      <c r="I417" s="51">
        <v>4622.28</v>
      </c>
      <c r="J417" s="281">
        <f>++Tabla4[[#This Row],[Precio Bruto]]*1.16</f>
        <v>5361.8447999999989</v>
      </c>
      <c r="K417" s="281">
        <f>+Tabla4[[#This Row],[Precio Unitario Neto]]*Tabla4[[#Headers],[20.85%]]</f>
        <v>1117.9446407999997</v>
      </c>
      <c r="L417" s="282">
        <f>++Tabla4[[#This Row],[Precio Unitario Neto]]-Tabla4[[#This Row],[20.85%]]</f>
        <v>4243.9001591999995</v>
      </c>
      <c r="M417" s="282" t="e">
        <f>(INDEX(Tabla6[#All],MATCH(Tabla4[[#This Row],[Producto]],Tabla6[[#All],[PRODUCTO]],0),MATCH(Tabla4[[#This Row],[Mes]],Tabla6[#Headers],0)))*(1+Catalogos!$L$2)</f>
        <v>#N/A</v>
      </c>
      <c r="N417" s="283" t="e">
        <f>+(Tabla4[[#This Row],[Precio Descontado]]-Tabla4[[#This Row],[Precio Base]])*Tabla4[[#This Row],[Cantidad]]</f>
        <v>#N/A</v>
      </c>
      <c r="O417" s="284" t="e">
        <f>++Tabla4[[#This Row],[Utilidad Total]]/Tabla4[[#This Row],[Total]]</f>
        <v>#N/A</v>
      </c>
      <c r="P417" s="282">
        <f>++Tabla4[[#This Row],[Precio Descontado]]*Tabla4[[#This Row],[Cantidad]]</f>
        <v>16975.600636799998</v>
      </c>
      <c r="Q417" s="282" t="e">
        <f>(INDEX(Tabla6[#All],MATCH(Tabla4[[#This Row],[Producto]],Tabla6[[#All],[PRODUCTO]],0),MATCH(Tabla4[[#This Row],[Mes]],Tabla6[#Headers],0)))</f>
        <v>#N/A</v>
      </c>
      <c r="R417" s="282" t="e">
        <f>++Tabla4[[#This Row],[Precio Unitario Neto]]-Tabla4[[#This Row],[20.85%]]-Tabla4[[#This Row],[Costo]]</f>
        <v>#N/A</v>
      </c>
      <c r="S417" s="282" t="e">
        <f>++Tabla4[[#This Row],[U. Bruta Uni]]*Tabla4[[#This Row],[Cantidad]]</f>
        <v>#N/A</v>
      </c>
      <c r="T417" s="369" t="str">
        <f>VLOOKUP(Tabla4[[#This Row],[Producto]],Tabla6[#All],14,FALSE)</f>
        <v>Termico Solar</v>
      </c>
      <c r="U417" s="284" t="e">
        <f>(IF(Tabla4[[#This Row],[Familia]]="termico solar",Tabla4[[#This Row],[Utilidad Total]]*6%,Tabla4[[#This Row],[Utilidad Total]]*11.5%))/Tabla4[[#This Row],[Total]]</f>
        <v>#N/A</v>
      </c>
      <c r="V417" s="282" t="e">
        <f>+Tabla4[[#This Row],[Comisión Calculada]]*Tabla4[[#This Row],[Total]]</f>
        <v>#N/A</v>
      </c>
    </row>
    <row r="418" spans="1:22" hidden="1" x14ac:dyDescent="0.25">
      <c r="A418" s="100">
        <v>45688</v>
      </c>
      <c r="B418" t="str">
        <f t="shared" si="15"/>
        <v>January</v>
      </c>
      <c r="C418" s="46" t="s">
        <v>280</v>
      </c>
      <c r="F418" s="366" t="s">
        <v>878</v>
      </c>
      <c r="G418" s="46" t="s">
        <v>566</v>
      </c>
      <c r="H418" s="46">
        <v>1</v>
      </c>
      <c r="I418" s="51">
        <v>2109.4499999999998</v>
      </c>
      <c r="J418" s="281">
        <f>++Tabla4[[#This Row],[Precio Bruto]]*1.16</f>
        <v>2446.9619999999995</v>
      </c>
      <c r="K418" s="281">
        <f>+Tabla4[[#This Row],[Precio Unitario Neto]]*Tabla4[[#Headers],[20.85%]]</f>
        <v>510.19157699999988</v>
      </c>
      <c r="L418" s="282">
        <f>++Tabla4[[#This Row],[Precio Unitario Neto]]-Tabla4[[#This Row],[20.85%]]</f>
        <v>1936.7704229999997</v>
      </c>
      <c r="M418" s="282" t="e">
        <f>(INDEX(Tabla6[#All],MATCH(Tabla4[[#This Row],[Producto]],Tabla6[[#All],[PRODUCTO]],0),MATCH(Tabla4[[#This Row],[Mes]],Tabla6[#Headers],0)))*(1+Catalogos!$L$2)</f>
        <v>#N/A</v>
      </c>
      <c r="N418" s="283" t="e">
        <f>+(Tabla4[[#This Row],[Precio Descontado]]-Tabla4[[#This Row],[Precio Base]])*Tabla4[[#This Row],[Cantidad]]</f>
        <v>#N/A</v>
      </c>
      <c r="O418" s="284" t="e">
        <f>++Tabla4[[#This Row],[Utilidad Total]]/Tabla4[[#This Row],[Total]]</f>
        <v>#N/A</v>
      </c>
      <c r="P418" s="282">
        <f>++Tabla4[[#This Row],[Precio Descontado]]*Tabla4[[#This Row],[Cantidad]]</f>
        <v>1936.7704229999997</v>
      </c>
      <c r="Q418" s="282" t="e">
        <f>(INDEX(Tabla6[#All],MATCH(Tabla4[[#This Row],[Producto]],Tabla6[[#All],[PRODUCTO]],0),MATCH(Tabla4[[#This Row],[Mes]],Tabla6[#Headers],0)))</f>
        <v>#N/A</v>
      </c>
      <c r="R418" s="282" t="e">
        <f>++Tabla4[[#This Row],[Precio Unitario Neto]]-Tabla4[[#This Row],[20.85%]]-Tabla4[[#This Row],[Costo]]</f>
        <v>#N/A</v>
      </c>
      <c r="S418" s="282" t="e">
        <f>++Tabla4[[#This Row],[U. Bruta Uni]]*Tabla4[[#This Row],[Cantidad]]</f>
        <v>#N/A</v>
      </c>
      <c r="T418" s="369" t="str">
        <f>VLOOKUP(Tabla4[[#This Row],[Producto]],Tabla6[#All],14,FALSE)</f>
        <v>Termico Solar</v>
      </c>
      <c r="U418" s="284" t="e">
        <f>(IF(Tabla4[[#This Row],[Familia]]="termico solar",Tabla4[[#This Row],[Utilidad Total]]*6%,Tabla4[[#This Row],[Utilidad Total]]*11.5%))/Tabla4[[#This Row],[Total]]</f>
        <v>#N/A</v>
      </c>
      <c r="V418" s="282" t="e">
        <f>+Tabla4[[#This Row],[Comisión Calculada]]*Tabla4[[#This Row],[Total]]</f>
        <v>#N/A</v>
      </c>
    </row>
    <row r="419" spans="1:22" hidden="1" x14ac:dyDescent="0.25">
      <c r="A419" s="100">
        <v>45688</v>
      </c>
      <c r="B419" t="str">
        <f t="shared" si="15"/>
        <v>January</v>
      </c>
      <c r="C419" s="46" t="s">
        <v>280</v>
      </c>
      <c r="F419" s="366" t="s">
        <v>879</v>
      </c>
      <c r="G419" s="46" t="s">
        <v>17</v>
      </c>
      <c r="H419" s="46">
        <v>2</v>
      </c>
      <c r="I419" s="51">
        <v>4622.28</v>
      </c>
      <c r="J419" s="281">
        <f>++Tabla4[[#This Row],[Precio Bruto]]*1.16</f>
        <v>5361.8447999999989</v>
      </c>
      <c r="K419" s="281">
        <f>+Tabla4[[#This Row],[Precio Unitario Neto]]*Tabla4[[#Headers],[20.85%]]</f>
        <v>1117.9446407999997</v>
      </c>
      <c r="L419" s="282">
        <f>++Tabla4[[#This Row],[Precio Unitario Neto]]-Tabla4[[#This Row],[20.85%]]</f>
        <v>4243.9001591999995</v>
      </c>
      <c r="M419" s="282" t="e">
        <f>(INDEX(Tabla6[#All],MATCH(Tabla4[[#This Row],[Producto]],Tabla6[[#All],[PRODUCTO]],0),MATCH(Tabla4[[#This Row],[Mes]],Tabla6[#Headers],0)))*(1+Catalogos!$L$2)</f>
        <v>#N/A</v>
      </c>
      <c r="N419" s="283" t="e">
        <f>+(Tabla4[[#This Row],[Precio Descontado]]-Tabla4[[#This Row],[Precio Base]])*Tabla4[[#This Row],[Cantidad]]</f>
        <v>#N/A</v>
      </c>
      <c r="O419" s="284" t="e">
        <f>++Tabla4[[#This Row],[Utilidad Total]]/Tabla4[[#This Row],[Total]]</f>
        <v>#N/A</v>
      </c>
      <c r="P419" s="282">
        <f>++Tabla4[[#This Row],[Precio Descontado]]*Tabla4[[#This Row],[Cantidad]]</f>
        <v>8487.800318399999</v>
      </c>
      <c r="Q419" s="282" t="e">
        <f>(INDEX(Tabla6[#All],MATCH(Tabla4[[#This Row],[Producto]],Tabla6[[#All],[PRODUCTO]],0),MATCH(Tabla4[[#This Row],[Mes]],Tabla6[#Headers],0)))</f>
        <v>#N/A</v>
      </c>
      <c r="R419" s="282" t="e">
        <f>++Tabla4[[#This Row],[Precio Unitario Neto]]-Tabla4[[#This Row],[20.85%]]-Tabla4[[#This Row],[Costo]]</f>
        <v>#N/A</v>
      </c>
      <c r="S419" s="282" t="e">
        <f>++Tabla4[[#This Row],[U. Bruta Uni]]*Tabla4[[#This Row],[Cantidad]]</f>
        <v>#N/A</v>
      </c>
      <c r="T419" s="369" t="str">
        <f>VLOOKUP(Tabla4[[#This Row],[Producto]],Tabla6[#All],14,FALSE)</f>
        <v>Termico Solar</v>
      </c>
      <c r="U419" s="284" t="e">
        <f>(IF(Tabla4[[#This Row],[Familia]]="termico solar",Tabla4[[#This Row],[Utilidad Total]]*6%,Tabla4[[#This Row],[Utilidad Total]]*11.5%))/Tabla4[[#This Row],[Total]]</f>
        <v>#N/A</v>
      </c>
      <c r="V419" s="282" t="e">
        <f>+Tabla4[[#This Row],[Comisión Calculada]]*Tabla4[[#This Row],[Total]]</f>
        <v>#N/A</v>
      </c>
    </row>
    <row r="420" spans="1:22" hidden="1" x14ac:dyDescent="0.25">
      <c r="A420" s="100">
        <v>45688</v>
      </c>
      <c r="B420" t="str">
        <f t="shared" si="15"/>
        <v>January</v>
      </c>
      <c r="C420" s="46" t="s">
        <v>280</v>
      </c>
      <c r="F420" s="366" t="s">
        <v>879</v>
      </c>
      <c r="G420" s="46" t="s">
        <v>566</v>
      </c>
      <c r="H420" s="46">
        <v>1</v>
      </c>
      <c r="I420" s="51">
        <v>2109.4499999999998</v>
      </c>
      <c r="J420" s="281">
        <f>++Tabla4[[#This Row],[Precio Bruto]]*1.16</f>
        <v>2446.9619999999995</v>
      </c>
      <c r="K420" s="281">
        <f>+Tabla4[[#This Row],[Precio Unitario Neto]]*Tabla4[[#Headers],[20.85%]]</f>
        <v>510.19157699999988</v>
      </c>
      <c r="L420" s="282">
        <f>++Tabla4[[#This Row],[Precio Unitario Neto]]-Tabla4[[#This Row],[20.85%]]</f>
        <v>1936.7704229999997</v>
      </c>
      <c r="M420" s="282" t="e">
        <f>(INDEX(Tabla6[#All],MATCH(Tabla4[[#This Row],[Producto]],Tabla6[[#All],[PRODUCTO]],0),MATCH(Tabla4[[#This Row],[Mes]],Tabla6[#Headers],0)))*(1+Catalogos!$L$2)</f>
        <v>#N/A</v>
      </c>
      <c r="N420" s="283" t="e">
        <f>+(Tabla4[[#This Row],[Precio Descontado]]-Tabla4[[#This Row],[Precio Base]])*Tabla4[[#This Row],[Cantidad]]</f>
        <v>#N/A</v>
      </c>
      <c r="O420" s="284" t="e">
        <f>++Tabla4[[#This Row],[Utilidad Total]]/Tabla4[[#This Row],[Total]]</f>
        <v>#N/A</v>
      </c>
      <c r="P420" s="282">
        <f>++Tabla4[[#This Row],[Precio Descontado]]*Tabla4[[#This Row],[Cantidad]]</f>
        <v>1936.7704229999997</v>
      </c>
      <c r="Q420" s="282" t="e">
        <f>(INDEX(Tabla6[#All],MATCH(Tabla4[[#This Row],[Producto]],Tabla6[[#All],[PRODUCTO]],0),MATCH(Tabla4[[#This Row],[Mes]],Tabla6[#Headers],0)))</f>
        <v>#N/A</v>
      </c>
      <c r="R420" s="282" t="e">
        <f>++Tabla4[[#This Row],[Precio Unitario Neto]]-Tabla4[[#This Row],[20.85%]]-Tabla4[[#This Row],[Costo]]</f>
        <v>#N/A</v>
      </c>
      <c r="S420" s="282" t="e">
        <f>++Tabla4[[#This Row],[U. Bruta Uni]]*Tabla4[[#This Row],[Cantidad]]</f>
        <v>#N/A</v>
      </c>
      <c r="T420" s="369" t="str">
        <f>VLOOKUP(Tabla4[[#This Row],[Producto]],Tabla6[#All],14,FALSE)</f>
        <v>Termico Solar</v>
      </c>
      <c r="U420" s="284" t="e">
        <f>(IF(Tabla4[[#This Row],[Familia]]="termico solar",Tabla4[[#This Row],[Utilidad Total]]*6%,Tabla4[[#This Row],[Utilidad Total]]*11.5%))/Tabla4[[#This Row],[Total]]</f>
        <v>#N/A</v>
      </c>
      <c r="V420" s="282" t="e">
        <f>+Tabla4[[#This Row],[Comisión Calculada]]*Tabla4[[#This Row],[Total]]</f>
        <v>#N/A</v>
      </c>
    </row>
    <row r="421" spans="1:22" hidden="1" x14ac:dyDescent="0.25">
      <c r="A421" s="100">
        <v>45688</v>
      </c>
      <c r="B421" t="str">
        <f t="shared" si="15"/>
        <v>January</v>
      </c>
      <c r="C421" s="46" t="s">
        <v>280</v>
      </c>
      <c r="F421" s="366" t="s">
        <v>880</v>
      </c>
      <c r="G421" s="46" t="s">
        <v>18</v>
      </c>
      <c r="H421" s="46">
        <v>3</v>
      </c>
      <c r="I421" s="51">
        <v>5367.6500000000005</v>
      </c>
      <c r="J421" s="281">
        <f>++Tabla4[[#This Row],[Precio Bruto]]*1.16</f>
        <v>6226.4740000000002</v>
      </c>
      <c r="K421" s="281">
        <f>+Tabla4[[#This Row],[Precio Unitario Neto]]*Tabla4[[#Headers],[20.85%]]</f>
        <v>1298.2198289999999</v>
      </c>
      <c r="L421" s="282">
        <f>++Tabla4[[#This Row],[Precio Unitario Neto]]-Tabla4[[#This Row],[20.85%]]</f>
        <v>4928.2541710000005</v>
      </c>
      <c r="M421" s="282" t="e">
        <f>(INDEX(Tabla6[#All],MATCH(Tabla4[[#This Row],[Producto]],Tabla6[[#All],[PRODUCTO]],0),MATCH(Tabla4[[#This Row],[Mes]],Tabla6[#Headers],0)))*(1+Catalogos!$L$2)</f>
        <v>#N/A</v>
      </c>
      <c r="N421" s="283" t="e">
        <f>+(Tabla4[[#This Row],[Precio Descontado]]-Tabla4[[#This Row],[Precio Base]])*Tabla4[[#This Row],[Cantidad]]</f>
        <v>#N/A</v>
      </c>
      <c r="O421" s="284" t="e">
        <f>++Tabla4[[#This Row],[Utilidad Total]]/Tabla4[[#This Row],[Total]]</f>
        <v>#N/A</v>
      </c>
      <c r="P421" s="282">
        <f>++Tabla4[[#This Row],[Precio Descontado]]*Tabla4[[#This Row],[Cantidad]]</f>
        <v>14784.762513000001</v>
      </c>
      <c r="Q421" s="282" t="e">
        <f>(INDEX(Tabla6[#All],MATCH(Tabla4[[#This Row],[Producto]],Tabla6[[#All],[PRODUCTO]],0),MATCH(Tabla4[[#This Row],[Mes]],Tabla6[#Headers],0)))</f>
        <v>#N/A</v>
      </c>
      <c r="R421" s="282" t="e">
        <f>++Tabla4[[#This Row],[Precio Unitario Neto]]-Tabla4[[#This Row],[20.85%]]-Tabla4[[#This Row],[Costo]]</f>
        <v>#N/A</v>
      </c>
      <c r="S421" s="282" t="e">
        <f>++Tabla4[[#This Row],[U. Bruta Uni]]*Tabla4[[#This Row],[Cantidad]]</f>
        <v>#N/A</v>
      </c>
      <c r="T421" s="369" t="str">
        <f>VLOOKUP(Tabla4[[#This Row],[Producto]],Tabla6[#All],14,FALSE)</f>
        <v>Termico Solar</v>
      </c>
      <c r="U421" s="284" t="e">
        <f>(IF(Tabla4[[#This Row],[Familia]]="termico solar",Tabla4[[#This Row],[Utilidad Total]]*6%,Tabla4[[#This Row],[Utilidad Total]]*11.5%))/Tabla4[[#This Row],[Total]]</f>
        <v>#N/A</v>
      </c>
      <c r="V421" s="282" t="e">
        <f>+Tabla4[[#This Row],[Comisión Calculada]]*Tabla4[[#This Row],[Total]]</f>
        <v>#N/A</v>
      </c>
    </row>
    <row r="422" spans="1:22" hidden="1" x14ac:dyDescent="0.25">
      <c r="A422" s="100">
        <v>45688</v>
      </c>
      <c r="B422" t="str">
        <f t="shared" si="15"/>
        <v>January</v>
      </c>
      <c r="C422" s="46" t="s">
        <v>280</v>
      </c>
      <c r="F422" s="366" t="s">
        <v>880</v>
      </c>
      <c r="G422" s="46" t="s">
        <v>566</v>
      </c>
      <c r="H422" s="46">
        <v>1</v>
      </c>
      <c r="I422" s="51">
        <v>2109.4499999999998</v>
      </c>
      <c r="J422" s="281">
        <f>++Tabla4[[#This Row],[Precio Bruto]]*1.16</f>
        <v>2446.9619999999995</v>
      </c>
      <c r="K422" s="281">
        <f>+Tabla4[[#This Row],[Precio Unitario Neto]]*Tabla4[[#Headers],[20.85%]]</f>
        <v>510.19157699999988</v>
      </c>
      <c r="L422" s="282">
        <f>++Tabla4[[#This Row],[Precio Unitario Neto]]-Tabla4[[#This Row],[20.85%]]</f>
        <v>1936.7704229999997</v>
      </c>
      <c r="M422" s="282" t="e">
        <f>(INDEX(Tabla6[#All],MATCH(Tabla4[[#This Row],[Producto]],Tabla6[[#All],[PRODUCTO]],0),MATCH(Tabla4[[#This Row],[Mes]],Tabla6[#Headers],0)))*(1+Catalogos!$L$2)</f>
        <v>#N/A</v>
      </c>
      <c r="N422" s="283" t="e">
        <f>+(Tabla4[[#This Row],[Precio Descontado]]-Tabla4[[#This Row],[Precio Base]])*Tabla4[[#This Row],[Cantidad]]</f>
        <v>#N/A</v>
      </c>
      <c r="O422" s="284" t="e">
        <f>++Tabla4[[#This Row],[Utilidad Total]]/Tabla4[[#This Row],[Total]]</f>
        <v>#N/A</v>
      </c>
      <c r="P422" s="282">
        <f>++Tabla4[[#This Row],[Precio Descontado]]*Tabla4[[#This Row],[Cantidad]]</f>
        <v>1936.7704229999997</v>
      </c>
      <c r="Q422" s="282" t="e">
        <f>(INDEX(Tabla6[#All],MATCH(Tabla4[[#This Row],[Producto]],Tabla6[[#All],[PRODUCTO]],0),MATCH(Tabla4[[#This Row],[Mes]],Tabla6[#Headers],0)))</f>
        <v>#N/A</v>
      </c>
      <c r="R422" s="282" t="e">
        <f>++Tabla4[[#This Row],[Precio Unitario Neto]]-Tabla4[[#This Row],[20.85%]]-Tabla4[[#This Row],[Costo]]</f>
        <v>#N/A</v>
      </c>
      <c r="S422" s="282" t="e">
        <f>++Tabla4[[#This Row],[U. Bruta Uni]]*Tabla4[[#This Row],[Cantidad]]</f>
        <v>#N/A</v>
      </c>
      <c r="T422" s="369" t="str">
        <f>VLOOKUP(Tabla4[[#This Row],[Producto]],Tabla6[#All],14,FALSE)</f>
        <v>Termico Solar</v>
      </c>
      <c r="U422" s="284" t="e">
        <f>(IF(Tabla4[[#This Row],[Familia]]="termico solar",Tabla4[[#This Row],[Utilidad Total]]*6%,Tabla4[[#This Row],[Utilidad Total]]*11.5%))/Tabla4[[#This Row],[Total]]</f>
        <v>#N/A</v>
      </c>
      <c r="V422" s="282" t="e">
        <f>+Tabla4[[#This Row],[Comisión Calculada]]*Tabla4[[#This Row],[Total]]</f>
        <v>#N/A</v>
      </c>
    </row>
    <row r="423" spans="1:22" hidden="1" x14ac:dyDescent="0.25">
      <c r="A423" s="100">
        <v>45688</v>
      </c>
      <c r="B423" t="str">
        <f t="shared" si="15"/>
        <v>January</v>
      </c>
      <c r="C423" s="46" t="s">
        <v>280</v>
      </c>
      <c r="F423" s="366" t="s">
        <v>881</v>
      </c>
      <c r="G423" s="46" t="s">
        <v>83</v>
      </c>
      <c r="H423" s="46">
        <v>2</v>
      </c>
      <c r="I423" s="51">
        <v>8858.76</v>
      </c>
      <c r="J423" s="281">
        <f>++Tabla4[[#This Row],[Precio Bruto]]*1.16</f>
        <v>10276.161599999999</v>
      </c>
      <c r="K423" s="281">
        <f>+Tabla4[[#This Row],[Precio Unitario Neto]]*Tabla4[[#Headers],[20.85%]]</f>
        <v>2142.5796935999997</v>
      </c>
      <c r="L423" s="282">
        <f>++Tabla4[[#This Row],[Precio Unitario Neto]]-Tabla4[[#This Row],[20.85%]]</f>
        <v>8133.5819063999998</v>
      </c>
      <c r="M423" s="282" t="e">
        <f>(INDEX(Tabla6[#All],MATCH(Tabla4[[#This Row],[Producto]],Tabla6[[#All],[PRODUCTO]],0),MATCH(Tabla4[[#This Row],[Mes]],Tabla6[#Headers],0)))*(1+Catalogos!$L$2)</f>
        <v>#N/A</v>
      </c>
      <c r="N423" s="283" t="e">
        <f>+(Tabla4[[#This Row],[Precio Descontado]]-Tabla4[[#This Row],[Precio Base]])*Tabla4[[#This Row],[Cantidad]]</f>
        <v>#N/A</v>
      </c>
      <c r="O423" s="284" t="e">
        <f>++Tabla4[[#This Row],[Utilidad Total]]/Tabla4[[#This Row],[Total]]</f>
        <v>#N/A</v>
      </c>
      <c r="P423" s="282">
        <f>++Tabla4[[#This Row],[Precio Descontado]]*Tabla4[[#This Row],[Cantidad]]</f>
        <v>16267.1638128</v>
      </c>
      <c r="Q423" s="282" t="e">
        <f>(INDEX(Tabla6[#All],MATCH(Tabla4[[#This Row],[Producto]],Tabla6[[#All],[PRODUCTO]],0),MATCH(Tabla4[[#This Row],[Mes]],Tabla6[#Headers],0)))</f>
        <v>#N/A</v>
      </c>
      <c r="R423" s="282" t="e">
        <f>++Tabla4[[#This Row],[Precio Unitario Neto]]-Tabla4[[#This Row],[20.85%]]-Tabla4[[#This Row],[Costo]]</f>
        <v>#N/A</v>
      </c>
      <c r="S423" s="282" t="e">
        <f>++Tabla4[[#This Row],[U. Bruta Uni]]*Tabla4[[#This Row],[Cantidad]]</f>
        <v>#N/A</v>
      </c>
      <c r="T423" s="369" t="str">
        <f>VLOOKUP(Tabla4[[#This Row],[Producto]],Tabla6[#All],14,FALSE)</f>
        <v>Termico Solar</v>
      </c>
      <c r="U423" s="284" t="e">
        <f>(IF(Tabla4[[#This Row],[Familia]]="termico solar",Tabla4[[#This Row],[Utilidad Total]]*6%,Tabla4[[#This Row],[Utilidad Total]]*11.5%))/Tabla4[[#This Row],[Total]]</f>
        <v>#N/A</v>
      </c>
      <c r="V423" s="282" t="e">
        <f>+Tabla4[[#This Row],[Comisión Calculada]]*Tabla4[[#This Row],[Total]]</f>
        <v>#N/A</v>
      </c>
    </row>
    <row r="424" spans="1:22" hidden="1" x14ac:dyDescent="0.25">
      <c r="A424" s="100">
        <v>45688</v>
      </c>
      <c r="B424" t="str">
        <f t="shared" si="15"/>
        <v>January</v>
      </c>
      <c r="C424" s="46" t="s">
        <v>280</v>
      </c>
      <c r="F424" s="366" t="s">
        <v>882</v>
      </c>
      <c r="G424" s="46" t="s">
        <v>83</v>
      </c>
      <c r="H424" s="46">
        <v>1</v>
      </c>
      <c r="I424" s="51">
        <v>8858.76</v>
      </c>
      <c r="J424" s="281">
        <f>++Tabla4[[#This Row],[Precio Bruto]]*1.16</f>
        <v>10276.161599999999</v>
      </c>
      <c r="K424" s="281">
        <f>+Tabla4[[#This Row],[Precio Unitario Neto]]*Tabla4[[#Headers],[20.85%]]</f>
        <v>2142.5796935999997</v>
      </c>
      <c r="L424" s="282">
        <f>++Tabla4[[#This Row],[Precio Unitario Neto]]-Tabla4[[#This Row],[20.85%]]</f>
        <v>8133.5819063999998</v>
      </c>
      <c r="M424" s="282" t="e">
        <f>(INDEX(Tabla6[#All],MATCH(Tabla4[[#This Row],[Producto]],Tabla6[[#All],[PRODUCTO]],0),MATCH(Tabla4[[#This Row],[Mes]],Tabla6[#Headers],0)))*(1+Catalogos!$L$2)</f>
        <v>#N/A</v>
      </c>
      <c r="N424" s="283" t="e">
        <f>+(Tabla4[[#This Row],[Precio Descontado]]-Tabla4[[#This Row],[Precio Base]])*Tabla4[[#This Row],[Cantidad]]</f>
        <v>#N/A</v>
      </c>
      <c r="O424" s="284" t="e">
        <f>++Tabla4[[#This Row],[Utilidad Total]]/Tabla4[[#This Row],[Total]]</f>
        <v>#N/A</v>
      </c>
      <c r="P424" s="282">
        <f>++Tabla4[[#This Row],[Precio Descontado]]*Tabla4[[#This Row],[Cantidad]]</f>
        <v>8133.5819063999998</v>
      </c>
      <c r="Q424" s="282" t="e">
        <f>(INDEX(Tabla6[#All],MATCH(Tabla4[[#This Row],[Producto]],Tabla6[[#All],[PRODUCTO]],0),MATCH(Tabla4[[#This Row],[Mes]],Tabla6[#Headers],0)))</f>
        <v>#N/A</v>
      </c>
      <c r="R424" s="282" t="e">
        <f>++Tabla4[[#This Row],[Precio Unitario Neto]]-Tabla4[[#This Row],[20.85%]]-Tabla4[[#This Row],[Costo]]</f>
        <v>#N/A</v>
      </c>
      <c r="S424" s="282" t="e">
        <f>++Tabla4[[#This Row],[U. Bruta Uni]]*Tabla4[[#This Row],[Cantidad]]</f>
        <v>#N/A</v>
      </c>
      <c r="T424" s="369" t="str">
        <f>VLOOKUP(Tabla4[[#This Row],[Producto]],Tabla6[#All],14,FALSE)</f>
        <v>Termico Solar</v>
      </c>
      <c r="U424" s="284" t="e">
        <f>(IF(Tabla4[[#This Row],[Familia]]="termico solar",Tabla4[[#This Row],[Utilidad Total]]*6%,Tabla4[[#This Row],[Utilidad Total]]*11.5%))/Tabla4[[#This Row],[Total]]</f>
        <v>#N/A</v>
      </c>
      <c r="V424" s="282" t="e">
        <f>+Tabla4[[#This Row],[Comisión Calculada]]*Tabla4[[#This Row],[Total]]</f>
        <v>#N/A</v>
      </c>
    </row>
    <row r="425" spans="1:22" hidden="1" x14ac:dyDescent="0.25">
      <c r="A425" s="100">
        <v>45688</v>
      </c>
      <c r="B425" t="str">
        <f t="shared" si="15"/>
        <v>January</v>
      </c>
      <c r="C425" s="46" t="s">
        <v>280</v>
      </c>
      <c r="F425" s="366" t="s">
        <v>882</v>
      </c>
      <c r="G425" s="46" t="s">
        <v>566</v>
      </c>
      <c r="H425" s="46">
        <v>1</v>
      </c>
      <c r="I425" s="51">
        <v>2109.4499999999998</v>
      </c>
      <c r="J425" s="281">
        <f>++Tabla4[[#This Row],[Precio Bruto]]*1.16</f>
        <v>2446.9619999999995</v>
      </c>
      <c r="K425" s="281">
        <f>+Tabla4[[#This Row],[Precio Unitario Neto]]*Tabla4[[#Headers],[20.85%]]</f>
        <v>510.19157699999988</v>
      </c>
      <c r="L425" s="282">
        <f>++Tabla4[[#This Row],[Precio Unitario Neto]]-Tabla4[[#This Row],[20.85%]]</f>
        <v>1936.7704229999997</v>
      </c>
      <c r="M425" s="282" t="e">
        <f>(INDEX(Tabla6[#All],MATCH(Tabla4[[#This Row],[Producto]],Tabla6[[#All],[PRODUCTO]],0),MATCH(Tabla4[[#This Row],[Mes]],Tabla6[#Headers],0)))*(1+Catalogos!$L$2)</f>
        <v>#N/A</v>
      </c>
      <c r="N425" s="283" t="e">
        <f>+(Tabla4[[#This Row],[Precio Descontado]]-Tabla4[[#This Row],[Precio Base]])*Tabla4[[#This Row],[Cantidad]]</f>
        <v>#N/A</v>
      </c>
      <c r="O425" s="284" t="e">
        <f>++Tabla4[[#This Row],[Utilidad Total]]/Tabla4[[#This Row],[Total]]</f>
        <v>#N/A</v>
      </c>
      <c r="P425" s="282">
        <f>++Tabla4[[#This Row],[Precio Descontado]]*Tabla4[[#This Row],[Cantidad]]</f>
        <v>1936.7704229999997</v>
      </c>
      <c r="Q425" s="282" t="e">
        <f>(INDEX(Tabla6[#All],MATCH(Tabla4[[#This Row],[Producto]],Tabla6[[#All],[PRODUCTO]],0),MATCH(Tabla4[[#This Row],[Mes]],Tabla6[#Headers],0)))</f>
        <v>#N/A</v>
      </c>
      <c r="R425" s="282" t="e">
        <f>++Tabla4[[#This Row],[Precio Unitario Neto]]-Tabla4[[#This Row],[20.85%]]-Tabla4[[#This Row],[Costo]]</f>
        <v>#N/A</v>
      </c>
      <c r="S425" s="282" t="e">
        <f>++Tabla4[[#This Row],[U. Bruta Uni]]*Tabla4[[#This Row],[Cantidad]]</f>
        <v>#N/A</v>
      </c>
      <c r="T425" s="369" t="str">
        <f>VLOOKUP(Tabla4[[#This Row],[Producto]],Tabla6[#All],14,FALSE)</f>
        <v>Termico Solar</v>
      </c>
      <c r="U425" s="284" t="e">
        <f>(IF(Tabla4[[#This Row],[Familia]]="termico solar",Tabla4[[#This Row],[Utilidad Total]]*6%,Tabla4[[#This Row],[Utilidad Total]]*11.5%))/Tabla4[[#This Row],[Total]]</f>
        <v>#N/A</v>
      </c>
      <c r="V425" s="282" t="e">
        <f>+Tabla4[[#This Row],[Comisión Calculada]]*Tabla4[[#This Row],[Total]]</f>
        <v>#N/A</v>
      </c>
    </row>
    <row r="426" spans="1:22" ht="15.75" hidden="1" customHeight="1" x14ac:dyDescent="0.25">
      <c r="A426" s="100">
        <v>45688</v>
      </c>
      <c r="B426" t="str">
        <f t="shared" si="15"/>
        <v>January</v>
      </c>
      <c r="C426" s="46" t="s">
        <v>280</v>
      </c>
      <c r="F426" s="366" t="s">
        <v>882</v>
      </c>
      <c r="G426" s="46" t="s">
        <v>16</v>
      </c>
      <c r="H426" s="46">
        <v>2</v>
      </c>
      <c r="I426" s="51">
        <v>4103.8500000000004</v>
      </c>
      <c r="J426" s="281">
        <f>++Tabla4[[#This Row],[Precio Bruto]]*1.16</f>
        <v>4760.4660000000003</v>
      </c>
      <c r="K426" s="281">
        <f>+Tabla4[[#This Row],[Precio Unitario Neto]]*Tabla4[[#Headers],[20.85%]]</f>
        <v>992.55716100000006</v>
      </c>
      <c r="L426" s="282">
        <f>++Tabla4[[#This Row],[Precio Unitario Neto]]-Tabla4[[#This Row],[20.85%]]</f>
        <v>3767.9088390000002</v>
      </c>
      <c r="M426" s="282" t="e">
        <f>(INDEX(Tabla6[#All],MATCH(Tabla4[[#This Row],[Producto]],Tabla6[[#All],[PRODUCTO]],0),MATCH(Tabla4[[#This Row],[Mes]],Tabla6[#Headers],0)))*(1+Catalogos!$L$2)</f>
        <v>#N/A</v>
      </c>
      <c r="N426" s="283" t="e">
        <f>+(Tabla4[[#This Row],[Precio Descontado]]-Tabla4[[#This Row],[Precio Base]])*Tabla4[[#This Row],[Cantidad]]</f>
        <v>#N/A</v>
      </c>
      <c r="O426" s="284" t="e">
        <f>++Tabla4[[#This Row],[Utilidad Total]]/Tabla4[[#This Row],[Total]]</f>
        <v>#N/A</v>
      </c>
      <c r="P426" s="282">
        <f>++Tabla4[[#This Row],[Precio Descontado]]*Tabla4[[#This Row],[Cantidad]]</f>
        <v>7535.8176780000003</v>
      </c>
      <c r="Q426" s="282" t="e">
        <f>(INDEX(Tabla6[#All],MATCH(Tabla4[[#This Row],[Producto]],Tabla6[[#All],[PRODUCTO]],0),MATCH(Tabla4[[#This Row],[Mes]],Tabla6[#Headers],0)))</f>
        <v>#N/A</v>
      </c>
      <c r="R426" s="282" t="e">
        <f>++Tabla4[[#This Row],[Precio Unitario Neto]]-Tabla4[[#This Row],[20.85%]]-Tabla4[[#This Row],[Costo]]</f>
        <v>#N/A</v>
      </c>
      <c r="S426" s="282" t="e">
        <f>++Tabla4[[#This Row],[U. Bruta Uni]]*Tabla4[[#This Row],[Cantidad]]</f>
        <v>#N/A</v>
      </c>
      <c r="T426" s="369" t="str">
        <f>VLOOKUP(Tabla4[[#This Row],[Producto]],Tabla6[#All],14,FALSE)</f>
        <v>Termico Solar</v>
      </c>
      <c r="U426" s="284" t="e">
        <f>(IF(Tabla4[[#This Row],[Familia]]="termico solar",Tabla4[[#This Row],[Utilidad Total]]*6%,Tabla4[[#This Row],[Utilidad Total]]*11.5%))/Tabla4[[#This Row],[Total]]</f>
        <v>#N/A</v>
      </c>
      <c r="V426" s="282" t="e">
        <f>+Tabla4[[#This Row],[Comisión Calculada]]*Tabla4[[#This Row],[Total]]</f>
        <v>#N/A</v>
      </c>
    </row>
    <row r="427" spans="1:22" hidden="1" x14ac:dyDescent="0.25">
      <c r="A427" s="100">
        <v>45688</v>
      </c>
      <c r="B427" t="str">
        <f t="shared" si="15"/>
        <v>January</v>
      </c>
      <c r="C427" s="46" t="s">
        <v>280</v>
      </c>
      <c r="F427" s="366" t="s">
        <v>883</v>
      </c>
      <c r="G427" s="46" t="s">
        <v>18</v>
      </c>
      <c r="H427" s="46">
        <v>1</v>
      </c>
      <c r="I427" s="51">
        <v>5367.65</v>
      </c>
      <c r="J427" s="281">
        <f>++Tabla4[[#This Row],[Precio Bruto]]*1.16</f>
        <v>6226.4739999999993</v>
      </c>
      <c r="K427" s="281">
        <f>+Tabla4[[#This Row],[Precio Unitario Neto]]*Tabla4[[#Headers],[20.85%]]</f>
        <v>1298.2198289999999</v>
      </c>
      <c r="L427" s="282">
        <f>++Tabla4[[#This Row],[Precio Unitario Neto]]-Tabla4[[#This Row],[20.85%]]</f>
        <v>4928.2541709999996</v>
      </c>
      <c r="M427" s="282" t="e">
        <f>(INDEX(Tabla6[#All],MATCH(Tabla4[[#This Row],[Producto]],Tabla6[[#All],[PRODUCTO]],0),MATCH(Tabla4[[#This Row],[Mes]],Tabla6[#Headers],0)))*(1+Catalogos!$L$2)</f>
        <v>#N/A</v>
      </c>
      <c r="N427" s="283" t="e">
        <f>+(Tabla4[[#This Row],[Precio Descontado]]-Tabla4[[#This Row],[Precio Base]])*Tabla4[[#This Row],[Cantidad]]</f>
        <v>#N/A</v>
      </c>
      <c r="O427" s="284" t="e">
        <f>++Tabla4[[#This Row],[Utilidad Total]]/Tabla4[[#This Row],[Total]]</f>
        <v>#N/A</v>
      </c>
      <c r="P427" s="282">
        <f>++Tabla4[[#This Row],[Precio Descontado]]*Tabla4[[#This Row],[Cantidad]]</f>
        <v>4928.2541709999996</v>
      </c>
      <c r="Q427" s="282" t="e">
        <f>(INDEX(Tabla6[#All],MATCH(Tabla4[[#This Row],[Producto]],Tabla6[[#All],[PRODUCTO]],0),MATCH(Tabla4[[#This Row],[Mes]],Tabla6[#Headers],0)))</f>
        <v>#N/A</v>
      </c>
      <c r="R427" s="282" t="e">
        <f>++Tabla4[[#This Row],[Precio Unitario Neto]]-Tabla4[[#This Row],[20.85%]]-Tabla4[[#This Row],[Costo]]</f>
        <v>#N/A</v>
      </c>
      <c r="S427" s="282" t="e">
        <f>++Tabla4[[#This Row],[U. Bruta Uni]]*Tabla4[[#This Row],[Cantidad]]</f>
        <v>#N/A</v>
      </c>
      <c r="T427" s="369" t="str">
        <f>VLOOKUP(Tabla4[[#This Row],[Producto]],Tabla6[#All],14,FALSE)</f>
        <v>Termico Solar</v>
      </c>
      <c r="U427" s="284" t="e">
        <f>(IF(Tabla4[[#This Row],[Familia]]="termico solar",Tabla4[[#This Row],[Utilidad Total]]*6%,Tabla4[[#This Row],[Utilidad Total]]*11.5%))/Tabla4[[#This Row],[Total]]</f>
        <v>#N/A</v>
      </c>
      <c r="V427" s="282" t="e">
        <f>+Tabla4[[#This Row],[Comisión Calculada]]*Tabla4[[#This Row],[Total]]</f>
        <v>#N/A</v>
      </c>
    </row>
    <row r="428" spans="1:22" hidden="1" x14ac:dyDescent="0.25">
      <c r="A428" s="100">
        <v>45688</v>
      </c>
      <c r="B428" t="str">
        <f t="shared" si="15"/>
        <v>January</v>
      </c>
      <c r="C428" s="46" t="s">
        <v>280</v>
      </c>
      <c r="F428" s="366" t="s">
        <v>883</v>
      </c>
      <c r="G428" s="46" t="s">
        <v>566</v>
      </c>
      <c r="H428" s="46">
        <v>1</v>
      </c>
      <c r="I428" s="51">
        <v>2109.4499999999998</v>
      </c>
      <c r="J428" s="281">
        <f>++Tabla4[[#This Row],[Precio Bruto]]*1.16</f>
        <v>2446.9619999999995</v>
      </c>
      <c r="K428" s="281">
        <f>+Tabla4[[#This Row],[Precio Unitario Neto]]*Tabla4[[#Headers],[20.85%]]</f>
        <v>510.19157699999988</v>
      </c>
      <c r="L428" s="282">
        <f>++Tabla4[[#This Row],[Precio Unitario Neto]]-Tabla4[[#This Row],[20.85%]]</f>
        <v>1936.7704229999997</v>
      </c>
      <c r="M428" s="282" t="e">
        <f>(INDEX(Tabla6[#All],MATCH(Tabla4[[#This Row],[Producto]],Tabla6[[#All],[PRODUCTO]],0),MATCH(Tabla4[[#This Row],[Mes]],Tabla6[#Headers],0)))*(1+Catalogos!$L$2)</f>
        <v>#N/A</v>
      </c>
      <c r="N428" s="283" t="e">
        <f>+(Tabla4[[#This Row],[Precio Descontado]]-Tabla4[[#This Row],[Precio Base]])*Tabla4[[#This Row],[Cantidad]]</f>
        <v>#N/A</v>
      </c>
      <c r="O428" s="284" t="e">
        <f>++Tabla4[[#This Row],[Utilidad Total]]/Tabla4[[#This Row],[Total]]</f>
        <v>#N/A</v>
      </c>
      <c r="P428" s="282">
        <f>++Tabla4[[#This Row],[Precio Descontado]]*Tabla4[[#This Row],[Cantidad]]</f>
        <v>1936.7704229999997</v>
      </c>
      <c r="Q428" s="282" t="e">
        <f>(INDEX(Tabla6[#All],MATCH(Tabla4[[#This Row],[Producto]],Tabla6[[#All],[PRODUCTO]],0),MATCH(Tabla4[[#This Row],[Mes]],Tabla6[#Headers],0)))</f>
        <v>#N/A</v>
      </c>
      <c r="R428" s="282" t="e">
        <f>++Tabla4[[#This Row],[Precio Unitario Neto]]-Tabla4[[#This Row],[20.85%]]-Tabla4[[#This Row],[Costo]]</f>
        <v>#N/A</v>
      </c>
      <c r="S428" s="282" t="e">
        <f>++Tabla4[[#This Row],[U. Bruta Uni]]*Tabla4[[#This Row],[Cantidad]]</f>
        <v>#N/A</v>
      </c>
      <c r="T428" s="369" t="str">
        <f>VLOOKUP(Tabla4[[#This Row],[Producto]],Tabla6[#All],14,FALSE)</f>
        <v>Termico Solar</v>
      </c>
      <c r="U428" s="284" t="e">
        <f>(IF(Tabla4[[#This Row],[Familia]]="termico solar",Tabla4[[#This Row],[Utilidad Total]]*6%,Tabla4[[#This Row],[Utilidad Total]]*11.5%))/Tabla4[[#This Row],[Total]]</f>
        <v>#N/A</v>
      </c>
      <c r="V428" s="282" t="e">
        <f>+Tabla4[[#This Row],[Comisión Calculada]]*Tabla4[[#This Row],[Total]]</f>
        <v>#N/A</v>
      </c>
    </row>
    <row r="429" spans="1:22" hidden="1" x14ac:dyDescent="0.25">
      <c r="A429" s="100">
        <v>45688</v>
      </c>
      <c r="B429" t="str">
        <f t="shared" si="15"/>
        <v>January</v>
      </c>
      <c r="C429" s="46" t="s">
        <v>280</v>
      </c>
      <c r="F429" s="366" t="s">
        <v>884</v>
      </c>
      <c r="G429" s="46" t="s">
        <v>83</v>
      </c>
      <c r="H429" s="46">
        <v>3</v>
      </c>
      <c r="I429" s="51">
        <v>8858.76</v>
      </c>
      <c r="J429" s="281">
        <f>++Tabla4[[#This Row],[Precio Bruto]]*1.16</f>
        <v>10276.161599999999</v>
      </c>
      <c r="K429" s="281">
        <f>+Tabla4[[#This Row],[Precio Unitario Neto]]*Tabla4[[#Headers],[20.85%]]</f>
        <v>2142.5796935999997</v>
      </c>
      <c r="L429" s="282">
        <f>++Tabla4[[#This Row],[Precio Unitario Neto]]-Tabla4[[#This Row],[20.85%]]</f>
        <v>8133.5819063999998</v>
      </c>
      <c r="M429" s="282" t="e">
        <f>(INDEX(Tabla6[#All],MATCH(Tabla4[[#This Row],[Producto]],Tabla6[[#All],[PRODUCTO]],0),MATCH(Tabla4[[#This Row],[Mes]],Tabla6[#Headers],0)))*(1+Catalogos!$L$2)</f>
        <v>#N/A</v>
      </c>
      <c r="N429" s="283" t="e">
        <f>+(Tabla4[[#This Row],[Precio Descontado]]-Tabla4[[#This Row],[Precio Base]])*Tabla4[[#This Row],[Cantidad]]</f>
        <v>#N/A</v>
      </c>
      <c r="O429" s="284" t="e">
        <f>++Tabla4[[#This Row],[Utilidad Total]]/Tabla4[[#This Row],[Total]]</f>
        <v>#N/A</v>
      </c>
      <c r="P429" s="282">
        <f>++Tabla4[[#This Row],[Precio Descontado]]*Tabla4[[#This Row],[Cantidad]]</f>
        <v>24400.7457192</v>
      </c>
      <c r="Q429" s="282" t="e">
        <f>(INDEX(Tabla6[#All],MATCH(Tabla4[[#This Row],[Producto]],Tabla6[[#All],[PRODUCTO]],0),MATCH(Tabla4[[#This Row],[Mes]],Tabla6[#Headers],0)))</f>
        <v>#N/A</v>
      </c>
      <c r="R429" s="282" t="e">
        <f>++Tabla4[[#This Row],[Precio Unitario Neto]]-Tabla4[[#This Row],[20.85%]]-Tabla4[[#This Row],[Costo]]</f>
        <v>#N/A</v>
      </c>
      <c r="S429" s="282" t="e">
        <f>++Tabla4[[#This Row],[U. Bruta Uni]]*Tabla4[[#This Row],[Cantidad]]</f>
        <v>#N/A</v>
      </c>
      <c r="T429" s="369" t="str">
        <f>VLOOKUP(Tabla4[[#This Row],[Producto]],Tabla6[#All],14,FALSE)</f>
        <v>Termico Solar</v>
      </c>
      <c r="U429" s="284" t="e">
        <f>(IF(Tabla4[[#This Row],[Familia]]="termico solar",Tabla4[[#This Row],[Utilidad Total]]*6%,Tabla4[[#This Row],[Utilidad Total]]*11.5%))/Tabla4[[#This Row],[Total]]</f>
        <v>#N/A</v>
      </c>
      <c r="V429" s="282" t="e">
        <f>+Tabla4[[#This Row],[Comisión Calculada]]*Tabla4[[#This Row],[Total]]</f>
        <v>#N/A</v>
      </c>
    </row>
    <row r="430" spans="1:22" hidden="1" x14ac:dyDescent="0.25">
      <c r="A430" s="100">
        <v>45688</v>
      </c>
      <c r="B430" t="str">
        <f t="shared" si="15"/>
        <v>January</v>
      </c>
      <c r="C430" s="46" t="s">
        <v>280</v>
      </c>
      <c r="F430" s="366" t="s">
        <v>885</v>
      </c>
      <c r="G430" s="46" t="s">
        <v>83</v>
      </c>
      <c r="H430" s="46">
        <v>2</v>
      </c>
      <c r="I430" s="51">
        <v>8858.76</v>
      </c>
      <c r="J430" s="281">
        <f>++Tabla4[[#This Row],[Precio Bruto]]*1.16</f>
        <v>10276.161599999999</v>
      </c>
      <c r="K430" s="281">
        <f>+Tabla4[[#This Row],[Precio Unitario Neto]]*Tabla4[[#Headers],[20.85%]]</f>
        <v>2142.5796935999997</v>
      </c>
      <c r="L430" s="282">
        <f>++Tabla4[[#This Row],[Precio Unitario Neto]]-Tabla4[[#This Row],[20.85%]]</f>
        <v>8133.5819063999998</v>
      </c>
      <c r="M430" s="282" t="e">
        <f>(INDEX(Tabla6[#All],MATCH(Tabla4[[#This Row],[Producto]],Tabla6[[#All],[PRODUCTO]],0),MATCH(Tabla4[[#This Row],[Mes]],Tabla6[#Headers],0)))*(1+Catalogos!$L$2)</f>
        <v>#N/A</v>
      </c>
      <c r="N430" s="283" t="e">
        <f>+(Tabla4[[#This Row],[Precio Descontado]]-Tabla4[[#This Row],[Precio Base]])*Tabla4[[#This Row],[Cantidad]]</f>
        <v>#N/A</v>
      </c>
      <c r="O430" s="284" t="e">
        <f>++Tabla4[[#This Row],[Utilidad Total]]/Tabla4[[#This Row],[Total]]</f>
        <v>#N/A</v>
      </c>
      <c r="P430" s="282">
        <f>++Tabla4[[#This Row],[Precio Descontado]]*Tabla4[[#This Row],[Cantidad]]</f>
        <v>16267.1638128</v>
      </c>
      <c r="Q430" s="282" t="e">
        <f>(INDEX(Tabla6[#All],MATCH(Tabla4[[#This Row],[Producto]],Tabla6[[#All],[PRODUCTO]],0),MATCH(Tabla4[[#This Row],[Mes]],Tabla6[#Headers],0)))</f>
        <v>#N/A</v>
      </c>
      <c r="R430" s="282" t="e">
        <f>++Tabla4[[#This Row],[Precio Unitario Neto]]-Tabla4[[#This Row],[20.85%]]-Tabla4[[#This Row],[Costo]]</f>
        <v>#N/A</v>
      </c>
      <c r="S430" s="282" t="e">
        <f>++Tabla4[[#This Row],[U. Bruta Uni]]*Tabla4[[#This Row],[Cantidad]]</f>
        <v>#N/A</v>
      </c>
      <c r="T430" s="369" t="str">
        <f>VLOOKUP(Tabla4[[#This Row],[Producto]],Tabla6[#All],14,FALSE)</f>
        <v>Termico Solar</v>
      </c>
      <c r="U430" s="284" t="e">
        <f>(IF(Tabla4[[#This Row],[Familia]]="termico solar",Tabla4[[#This Row],[Utilidad Total]]*6%,Tabla4[[#This Row],[Utilidad Total]]*11.5%))/Tabla4[[#This Row],[Total]]</f>
        <v>#N/A</v>
      </c>
      <c r="V430" s="282" t="e">
        <f>+Tabla4[[#This Row],[Comisión Calculada]]*Tabla4[[#This Row],[Total]]</f>
        <v>#N/A</v>
      </c>
    </row>
    <row r="431" spans="1:22" hidden="1" x14ac:dyDescent="0.25">
      <c r="A431" s="100">
        <v>45688</v>
      </c>
      <c r="B431" t="str">
        <f t="shared" si="15"/>
        <v>January</v>
      </c>
      <c r="C431" s="46" t="s">
        <v>280</v>
      </c>
      <c r="F431" s="366" t="s">
        <v>886</v>
      </c>
      <c r="G431" s="46" t="s">
        <v>83</v>
      </c>
      <c r="H431" s="46">
        <v>2</v>
      </c>
      <c r="I431" s="51">
        <v>8858.76</v>
      </c>
      <c r="J431" s="281">
        <f>++Tabla4[[#This Row],[Precio Bruto]]*1.16</f>
        <v>10276.161599999999</v>
      </c>
      <c r="K431" s="281">
        <f>+Tabla4[[#This Row],[Precio Unitario Neto]]*Tabla4[[#Headers],[20.85%]]</f>
        <v>2142.5796935999997</v>
      </c>
      <c r="L431" s="282">
        <f>++Tabla4[[#This Row],[Precio Unitario Neto]]-Tabla4[[#This Row],[20.85%]]</f>
        <v>8133.5819063999998</v>
      </c>
      <c r="M431" s="282" t="e">
        <f>(INDEX(Tabla6[#All],MATCH(Tabla4[[#This Row],[Producto]],Tabla6[[#All],[PRODUCTO]],0),MATCH(Tabla4[[#This Row],[Mes]],Tabla6[#Headers],0)))*(1+Catalogos!$L$2)</f>
        <v>#N/A</v>
      </c>
      <c r="N431" s="283" t="e">
        <f>+(Tabla4[[#This Row],[Precio Descontado]]-Tabla4[[#This Row],[Precio Base]])*Tabla4[[#This Row],[Cantidad]]</f>
        <v>#N/A</v>
      </c>
      <c r="O431" s="284" t="e">
        <f>++Tabla4[[#This Row],[Utilidad Total]]/Tabla4[[#This Row],[Total]]</f>
        <v>#N/A</v>
      </c>
      <c r="P431" s="282">
        <f>++Tabla4[[#This Row],[Precio Descontado]]*Tabla4[[#This Row],[Cantidad]]</f>
        <v>16267.1638128</v>
      </c>
      <c r="Q431" s="282" t="e">
        <f>(INDEX(Tabla6[#All],MATCH(Tabla4[[#This Row],[Producto]],Tabla6[[#All],[PRODUCTO]],0),MATCH(Tabla4[[#This Row],[Mes]],Tabla6[#Headers],0)))</f>
        <v>#N/A</v>
      </c>
      <c r="R431" s="282" t="e">
        <f>++Tabla4[[#This Row],[Precio Unitario Neto]]-Tabla4[[#This Row],[20.85%]]-Tabla4[[#This Row],[Costo]]</f>
        <v>#N/A</v>
      </c>
      <c r="S431" s="282" t="e">
        <f>++Tabla4[[#This Row],[U. Bruta Uni]]*Tabla4[[#This Row],[Cantidad]]</f>
        <v>#N/A</v>
      </c>
      <c r="T431" s="369" t="str">
        <f>VLOOKUP(Tabla4[[#This Row],[Producto]],Tabla6[#All],14,FALSE)</f>
        <v>Termico Solar</v>
      </c>
      <c r="U431" s="284" t="e">
        <f>(IF(Tabla4[[#This Row],[Familia]]="termico solar",Tabla4[[#This Row],[Utilidad Total]]*6%,Tabla4[[#This Row],[Utilidad Total]]*11.5%))/Tabla4[[#This Row],[Total]]</f>
        <v>#N/A</v>
      </c>
      <c r="V431" s="282" t="e">
        <f>+Tabla4[[#This Row],[Comisión Calculada]]*Tabla4[[#This Row],[Total]]</f>
        <v>#N/A</v>
      </c>
    </row>
    <row r="432" spans="1:22" hidden="1" x14ac:dyDescent="0.25">
      <c r="A432" s="100">
        <v>45688</v>
      </c>
      <c r="B432" t="str">
        <f t="shared" si="15"/>
        <v>January</v>
      </c>
      <c r="C432" s="46" t="s">
        <v>280</v>
      </c>
      <c r="F432" s="366" t="s">
        <v>887</v>
      </c>
      <c r="G432" s="46" t="s">
        <v>566</v>
      </c>
      <c r="H432" s="46">
        <v>2</v>
      </c>
      <c r="I432" s="51">
        <v>2109.4499999999998</v>
      </c>
      <c r="J432" s="281">
        <f>++Tabla4[[#This Row],[Precio Bruto]]*1.16</f>
        <v>2446.9619999999995</v>
      </c>
      <c r="K432" s="281">
        <f>+Tabla4[[#This Row],[Precio Unitario Neto]]*Tabla4[[#Headers],[20.85%]]</f>
        <v>510.19157699999988</v>
      </c>
      <c r="L432" s="282">
        <f>++Tabla4[[#This Row],[Precio Unitario Neto]]-Tabla4[[#This Row],[20.85%]]</f>
        <v>1936.7704229999997</v>
      </c>
      <c r="M432" s="282" t="e">
        <f>(INDEX(Tabla6[#All],MATCH(Tabla4[[#This Row],[Producto]],Tabla6[[#All],[PRODUCTO]],0),MATCH(Tabla4[[#This Row],[Mes]],Tabla6[#Headers],0)))*(1+Catalogos!$L$2)</f>
        <v>#N/A</v>
      </c>
      <c r="N432" s="283" t="e">
        <f>+(Tabla4[[#This Row],[Precio Descontado]]-Tabla4[[#This Row],[Precio Base]])*Tabla4[[#This Row],[Cantidad]]</f>
        <v>#N/A</v>
      </c>
      <c r="O432" s="284" t="e">
        <f>++Tabla4[[#This Row],[Utilidad Total]]/Tabla4[[#This Row],[Total]]</f>
        <v>#N/A</v>
      </c>
      <c r="P432" s="282">
        <f>++Tabla4[[#This Row],[Precio Descontado]]*Tabla4[[#This Row],[Cantidad]]</f>
        <v>3873.5408459999994</v>
      </c>
      <c r="Q432" s="282" t="e">
        <f>(INDEX(Tabla6[#All],MATCH(Tabla4[[#This Row],[Producto]],Tabla6[[#All],[PRODUCTO]],0),MATCH(Tabla4[[#This Row],[Mes]],Tabla6[#Headers],0)))</f>
        <v>#N/A</v>
      </c>
      <c r="R432" s="282" t="e">
        <f>++Tabla4[[#This Row],[Precio Unitario Neto]]-Tabla4[[#This Row],[20.85%]]-Tabla4[[#This Row],[Costo]]</f>
        <v>#N/A</v>
      </c>
      <c r="S432" s="282" t="e">
        <f>++Tabla4[[#This Row],[U. Bruta Uni]]*Tabla4[[#This Row],[Cantidad]]</f>
        <v>#N/A</v>
      </c>
      <c r="T432" s="369" t="str">
        <f>VLOOKUP(Tabla4[[#This Row],[Producto]],Tabla6[#All],14,FALSE)</f>
        <v>Termico Solar</v>
      </c>
      <c r="U432" s="284" t="e">
        <f>(IF(Tabla4[[#This Row],[Familia]]="termico solar",Tabla4[[#This Row],[Utilidad Total]]*6%,Tabla4[[#This Row],[Utilidad Total]]*11.5%))/Tabla4[[#This Row],[Total]]</f>
        <v>#N/A</v>
      </c>
      <c r="V432" s="282" t="e">
        <f>+Tabla4[[#This Row],[Comisión Calculada]]*Tabla4[[#This Row],[Total]]</f>
        <v>#N/A</v>
      </c>
    </row>
    <row r="433" spans="1:22" hidden="1" x14ac:dyDescent="0.25">
      <c r="A433" s="100">
        <v>45688</v>
      </c>
      <c r="B433" t="str">
        <f t="shared" si="15"/>
        <v>January</v>
      </c>
      <c r="C433" s="46" t="s">
        <v>280</v>
      </c>
      <c r="F433" s="366" t="s">
        <v>888</v>
      </c>
      <c r="G433" s="46" t="s">
        <v>17</v>
      </c>
      <c r="H433" s="46">
        <v>2</v>
      </c>
      <c r="I433" s="51">
        <v>4622.28</v>
      </c>
      <c r="J433" s="281">
        <f>++Tabla4[[#This Row],[Precio Bruto]]*1.16</f>
        <v>5361.8447999999989</v>
      </c>
      <c r="K433" s="281">
        <f>+Tabla4[[#This Row],[Precio Unitario Neto]]*Tabla4[[#Headers],[20.85%]]</f>
        <v>1117.9446407999997</v>
      </c>
      <c r="L433" s="282">
        <f>++Tabla4[[#This Row],[Precio Unitario Neto]]-Tabla4[[#This Row],[20.85%]]</f>
        <v>4243.9001591999995</v>
      </c>
      <c r="M433" s="282" t="e">
        <f>(INDEX(Tabla6[#All],MATCH(Tabla4[[#This Row],[Producto]],Tabla6[[#All],[PRODUCTO]],0),MATCH(Tabla4[[#This Row],[Mes]],Tabla6[#Headers],0)))*(1+Catalogos!$L$2)</f>
        <v>#N/A</v>
      </c>
      <c r="N433" s="283" t="e">
        <f>+(Tabla4[[#This Row],[Precio Descontado]]-Tabla4[[#This Row],[Precio Base]])*Tabla4[[#This Row],[Cantidad]]</f>
        <v>#N/A</v>
      </c>
      <c r="O433" s="284" t="e">
        <f>++Tabla4[[#This Row],[Utilidad Total]]/Tabla4[[#This Row],[Total]]</f>
        <v>#N/A</v>
      </c>
      <c r="P433" s="282">
        <f>++Tabla4[[#This Row],[Precio Descontado]]*Tabla4[[#This Row],[Cantidad]]</f>
        <v>8487.800318399999</v>
      </c>
      <c r="Q433" s="282" t="e">
        <f>(INDEX(Tabla6[#All],MATCH(Tabla4[[#This Row],[Producto]],Tabla6[[#All],[PRODUCTO]],0),MATCH(Tabla4[[#This Row],[Mes]],Tabla6[#Headers],0)))</f>
        <v>#N/A</v>
      </c>
      <c r="R433" s="282" t="e">
        <f>++Tabla4[[#This Row],[Precio Unitario Neto]]-Tabla4[[#This Row],[20.85%]]-Tabla4[[#This Row],[Costo]]</f>
        <v>#N/A</v>
      </c>
      <c r="S433" s="282" t="e">
        <f>++Tabla4[[#This Row],[U. Bruta Uni]]*Tabla4[[#This Row],[Cantidad]]</f>
        <v>#N/A</v>
      </c>
      <c r="T433" s="369" t="str">
        <f>VLOOKUP(Tabla4[[#This Row],[Producto]],Tabla6[#All],14,FALSE)</f>
        <v>Termico Solar</v>
      </c>
      <c r="U433" s="284" t="e">
        <f>(IF(Tabla4[[#This Row],[Familia]]="termico solar",Tabla4[[#This Row],[Utilidad Total]]*6%,Tabla4[[#This Row],[Utilidad Total]]*11.5%))/Tabla4[[#This Row],[Total]]</f>
        <v>#N/A</v>
      </c>
      <c r="V433" s="282" t="e">
        <f>+Tabla4[[#This Row],[Comisión Calculada]]*Tabla4[[#This Row],[Total]]</f>
        <v>#N/A</v>
      </c>
    </row>
    <row r="434" spans="1:22" hidden="1" x14ac:dyDescent="0.25">
      <c r="A434" s="100">
        <v>45688</v>
      </c>
      <c r="B434" t="str">
        <f t="shared" si="15"/>
        <v>January</v>
      </c>
      <c r="C434" s="46" t="s">
        <v>280</v>
      </c>
      <c r="F434" s="366" t="s">
        <v>888</v>
      </c>
      <c r="G434" s="46" t="s">
        <v>18</v>
      </c>
      <c r="H434" s="46">
        <v>1</v>
      </c>
      <c r="I434" s="51">
        <v>5367.65</v>
      </c>
      <c r="J434" s="281">
        <f>++Tabla4[[#This Row],[Precio Bruto]]*1.16</f>
        <v>6226.4739999999993</v>
      </c>
      <c r="K434" s="281">
        <f>+Tabla4[[#This Row],[Precio Unitario Neto]]*Tabla4[[#Headers],[20.85%]]</f>
        <v>1298.2198289999999</v>
      </c>
      <c r="L434" s="282">
        <f>++Tabla4[[#This Row],[Precio Unitario Neto]]-Tabla4[[#This Row],[20.85%]]</f>
        <v>4928.2541709999996</v>
      </c>
      <c r="M434" s="282" t="e">
        <f>(INDEX(Tabla6[#All],MATCH(Tabla4[[#This Row],[Producto]],Tabla6[[#All],[PRODUCTO]],0),MATCH(Tabla4[[#This Row],[Mes]],Tabla6[#Headers],0)))*(1+Catalogos!$L$2)</f>
        <v>#N/A</v>
      </c>
      <c r="N434" s="283" t="e">
        <f>+(Tabla4[[#This Row],[Precio Descontado]]-Tabla4[[#This Row],[Precio Base]])*Tabla4[[#This Row],[Cantidad]]</f>
        <v>#N/A</v>
      </c>
      <c r="O434" s="284" t="e">
        <f>++Tabla4[[#This Row],[Utilidad Total]]/Tabla4[[#This Row],[Total]]</f>
        <v>#N/A</v>
      </c>
      <c r="P434" s="282">
        <f>++Tabla4[[#This Row],[Precio Descontado]]*Tabla4[[#This Row],[Cantidad]]</f>
        <v>4928.2541709999996</v>
      </c>
      <c r="Q434" s="282" t="e">
        <f>(INDEX(Tabla6[#All],MATCH(Tabla4[[#This Row],[Producto]],Tabla6[[#All],[PRODUCTO]],0),MATCH(Tabla4[[#This Row],[Mes]],Tabla6[#Headers],0)))</f>
        <v>#N/A</v>
      </c>
      <c r="R434" s="282" t="e">
        <f>++Tabla4[[#This Row],[Precio Unitario Neto]]-Tabla4[[#This Row],[20.85%]]-Tabla4[[#This Row],[Costo]]</f>
        <v>#N/A</v>
      </c>
      <c r="S434" s="282" t="e">
        <f>++Tabla4[[#This Row],[U. Bruta Uni]]*Tabla4[[#This Row],[Cantidad]]</f>
        <v>#N/A</v>
      </c>
      <c r="T434" s="369" t="str">
        <f>VLOOKUP(Tabla4[[#This Row],[Producto]],Tabla6[#All],14,FALSE)</f>
        <v>Termico Solar</v>
      </c>
      <c r="U434" s="284" t="e">
        <f>(IF(Tabla4[[#This Row],[Familia]]="termico solar",Tabla4[[#This Row],[Utilidad Total]]*6%,Tabla4[[#This Row],[Utilidad Total]]*11.5%))/Tabla4[[#This Row],[Total]]</f>
        <v>#N/A</v>
      </c>
      <c r="V434" s="282" t="e">
        <f>+Tabla4[[#This Row],[Comisión Calculada]]*Tabla4[[#This Row],[Total]]</f>
        <v>#N/A</v>
      </c>
    </row>
    <row r="435" spans="1:22" hidden="1" x14ac:dyDescent="0.25">
      <c r="A435" s="100">
        <v>45688</v>
      </c>
      <c r="B435" t="str">
        <f t="shared" si="15"/>
        <v>January</v>
      </c>
      <c r="C435" s="46" t="s">
        <v>280</v>
      </c>
      <c r="F435" s="366" t="s">
        <v>888</v>
      </c>
      <c r="G435" s="46" t="s">
        <v>566</v>
      </c>
      <c r="H435" s="46">
        <v>2</v>
      </c>
      <c r="I435" s="51">
        <v>2109.4499999999998</v>
      </c>
      <c r="J435" s="281">
        <f>++Tabla4[[#This Row],[Precio Bruto]]*1.16</f>
        <v>2446.9619999999995</v>
      </c>
      <c r="K435" s="281">
        <f>+Tabla4[[#This Row],[Precio Unitario Neto]]*Tabla4[[#Headers],[20.85%]]</f>
        <v>510.19157699999988</v>
      </c>
      <c r="L435" s="282">
        <f>++Tabla4[[#This Row],[Precio Unitario Neto]]-Tabla4[[#This Row],[20.85%]]</f>
        <v>1936.7704229999997</v>
      </c>
      <c r="M435" s="282" t="e">
        <f>(INDEX(Tabla6[#All],MATCH(Tabla4[[#This Row],[Producto]],Tabla6[[#All],[PRODUCTO]],0),MATCH(Tabla4[[#This Row],[Mes]],Tabla6[#Headers],0)))*(1+Catalogos!$L$2)</f>
        <v>#N/A</v>
      </c>
      <c r="N435" s="283" t="e">
        <f>+(Tabla4[[#This Row],[Precio Descontado]]-Tabla4[[#This Row],[Precio Base]])*Tabla4[[#This Row],[Cantidad]]</f>
        <v>#N/A</v>
      </c>
      <c r="O435" s="284" t="e">
        <f>++Tabla4[[#This Row],[Utilidad Total]]/Tabla4[[#This Row],[Total]]</f>
        <v>#N/A</v>
      </c>
      <c r="P435" s="282">
        <f>++Tabla4[[#This Row],[Precio Descontado]]*Tabla4[[#This Row],[Cantidad]]</f>
        <v>3873.5408459999994</v>
      </c>
      <c r="Q435" s="282" t="e">
        <f>(INDEX(Tabla6[#All],MATCH(Tabla4[[#This Row],[Producto]],Tabla6[[#All],[PRODUCTO]],0),MATCH(Tabla4[[#This Row],[Mes]],Tabla6[#Headers],0)))</f>
        <v>#N/A</v>
      </c>
      <c r="R435" s="282" t="e">
        <f>++Tabla4[[#This Row],[Precio Unitario Neto]]-Tabla4[[#This Row],[20.85%]]-Tabla4[[#This Row],[Costo]]</f>
        <v>#N/A</v>
      </c>
      <c r="S435" s="282" t="e">
        <f>++Tabla4[[#This Row],[U. Bruta Uni]]*Tabla4[[#This Row],[Cantidad]]</f>
        <v>#N/A</v>
      </c>
      <c r="T435" s="369" t="str">
        <f>VLOOKUP(Tabla4[[#This Row],[Producto]],Tabla6[#All],14,FALSE)</f>
        <v>Termico Solar</v>
      </c>
      <c r="U435" s="284" t="e">
        <f>(IF(Tabla4[[#This Row],[Familia]]="termico solar",Tabla4[[#This Row],[Utilidad Total]]*6%,Tabla4[[#This Row],[Utilidad Total]]*11.5%))/Tabla4[[#This Row],[Total]]</f>
        <v>#N/A</v>
      </c>
      <c r="V435" s="282" t="e">
        <f>+Tabla4[[#This Row],[Comisión Calculada]]*Tabla4[[#This Row],[Total]]</f>
        <v>#N/A</v>
      </c>
    </row>
    <row r="436" spans="1:22" hidden="1" x14ac:dyDescent="0.25">
      <c r="A436" s="100">
        <v>45688</v>
      </c>
      <c r="B436" t="str">
        <f t="shared" si="15"/>
        <v>January</v>
      </c>
      <c r="C436" s="46" t="s">
        <v>280</v>
      </c>
      <c r="F436" s="366" t="s">
        <v>889</v>
      </c>
      <c r="G436" s="46" t="s">
        <v>83</v>
      </c>
      <c r="H436" s="46">
        <v>1</v>
      </c>
      <c r="I436" s="51">
        <v>8858.76</v>
      </c>
      <c r="J436" s="281">
        <f>++Tabla4[[#This Row],[Precio Bruto]]*1.16</f>
        <v>10276.161599999999</v>
      </c>
      <c r="K436" s="281">
        <f>+Tabla4[[#This Row],[Precio Unitario Neto]]*Tabla4[[#Headers],[20.85%]]</f>
        <v>2142.5796935999997</v>
      </c>
      <c r="L436" s="282">
        <f>++Tabla4[[#This Row],[Precio Unitario Neto]]-Tabla4[[#This Row],[20.85%]]</f>
        <v>8133.5819063999998</v>
      </c>
      <c r="M436" s="282" t="e">
        <f>(INDEX(Tabla6[#All],MATCH(Tabla4[[#This Row],[Producto]],Tabla6[[#All],[PRODUCTO]],0),MATCH(Tabla4[[#This Row],[Mes]],Tabla6[#Headers],0)))*(1+Catalogos!$L$2)</f>
        <v>#N/A</v>
      </c>
      <c r="N436" s="283" t="e">
        <f>+(Tabla4[[#This Row],[Precio Descontado]]-Tabla4[[#This Row],[Precio Base]])*Tabla4[[#This Row],[Cantidad]]</f>
        <v>#N/A</v>
      </c>
      <c r="O436" s="284" t="e">
        <f>++Tabla4[[#This Row],[Utilidad Total]]/Tabla4[[#This Row],[Total]]</f>
        <v>#N/A</v>
      </c>
      <c r="P436" s="282">
        <f>++Tabla4[[#This Row],[Precio Descontado]]*Tabla4[[#This Row],[Cantidad]]</f>
        <v>8133.5819063999998</v>
      </c>
      <c r="Q436" s="282" t="e">
        <f>(INDEX(Tabla6[#All],MATCH(Tabla4[[#This Row],[Producto]],Tabla6[[#All],[PRODUCTO]],0),MATCH(Tabla4[[#This Row],[Mes]],Tabla6[#Headers],0)))</f>
        <v>#N/A</v>
      </c>
      <c r="R436" s="282" t="e">
        <f>++Tabla4[[#This Row],[Precio Unitario Neto]]-Tabla4[[#This Row],[20.85%]]-Tabla4[[#This Row],[Costo]]</f>
        <v>#N/A</v>
      </c>
      <c r="S436" s="282" t="e">
        <f>++Tabla4[[#This Row],[U. Bruta Uni]]*Tabla4[[#This Row],[Cantidad]]</f>
        <v>#N/A</v>
      </c>
      <c r="T436" s="369" t="str">
        <f>VLOOKUP(Tabla4[[#This Row],[Producto]],Tabla6[#All],14,FALSE)</f>
        <v>Termico Solar</v>
      </c>
      <c r="U436" s="284" t="e">
        <f>(IF(Tabla4[[#This Row],[Familia]]="termico solar",Tabla4[[#This Row],[Utilidad Total]]*6%,Tabla4[[#This Row],[Utilidad Total]]*11.5%))/Tabla4[[#This Row],[Total]]</f>
        <v>#N/A</v>
      </c>
      <c r="V436" s="282" t="e">
        <f>+Tabla4[[#This Row],[Comisión Calculada]]*Tabla4[[#This Row],[Total]]</f>
        <v>#N/A</v>
      </c>
    </row>
    <row r="437" spans="1:22" hidden="1" x14ac:dyDescent="0.25">
      <c r="A437" s="100">
        <v>45688</v>
      </c>
      <c r="B437" t="str">
        <f t="shared" si="15"/>
        <v>January</v>
      </c>
      <c r="C437" s="46" t="s">
        <v>280</v>
      </c>
      <c r="F437" s="366" t="s">
        <v>890</v>
      </c>
      <c r="G437" s="46" t="s">
        <v>83</v>
      </c>
      <c r="H437" s="46">
        <v>4</v>
      </c>
      <c r="I437" s="51">
        <v>8858.76</v>
      </c>
      <c r="J437" s="281">
        <f>++Tabla4[[#This Row],[Precio Bruto]]*1.16</f>
        <v>10276.161599999999</v>
      </c>
      <c r="K437" s="281">
        <f>+Tabla4[[#This Row],[Precio Unitario Neto]]*Tabla4[[#Headers],[20.85%]]</f>
        <v>2142.5796935999997</v>
      </c>
      <c r="L437" s="282">
        <f>++Tabla4[[#This Row],[Precio Unitario Neto]]-Tabla4[[#This Row],[20.85%]]</f>
        <v>8133.5819063999998</v>
      </c>
      <c r="M437" s="282" t="e">
        <f>(INDEX(Tabla6[#All],MATCH(Tabla4[[#This Row],[Producto]],Tabla6[[#All],[PRODUCTO]],0),MATCH(Tabla4[[#This Row],[Mes]],Tabla6[#Headers],0)))*(1+Catalogos!$L$2)</f>
        <v>#N/A</v>
      </c>
      <c r="N437" s="283" t="e">
        <f>+(Tabla4[[#This Row],[Precio Descontado]]-Tabla4[[#This Row],[Precio Base]])*Tabla4[[#This Row],[Cantidad]]</f>
        <v>#N/A</v>
      </c>
      <c r="O437" s="284" t="e">
        <f>++Tabla4[[#This Row],[Utilidad Total]]/Tabla4[[#This Row],[Total]]</f>
        <v>#N/A</v>
      </c>
      <c r="P437" s="282">
        <f>++Tabla4[[#This Row],[Precio Descontado]]*Tabla4[[#This Row],[Cantidad]]</f>
        <v>32534.327625599999</v>
      </c>
      <c r="Q437" s="282" t="e">
        <f>(INDEX(Tabla6[#All],MATCH(Tabla4[[#This Row],[Producto]],Tabla6[[#All],[PRODUCTO]],0),MATCH(Tabla4[[#This Row],[Mes]],Tabla6[#Headers],0)))</f>
        <v>#N/A</v>
      </c>
      <c r="R437" s="282" t="e">
        <f>++Tabla4[[#This Row],[Precio Unitario Neto]]-Tabla4[[#This Row],[20.85%]]-Tabla4[[#This Row],[Costo]]</f>
        <v>#N/A</v>
      </c>
      <c r="S437" s="282" t="e">
        <f>++Tabla4[[#This Row],[U. Bruta Uni]]*Tabla4[[#This Row],[Cantidad]]</f>
        <v>#N/A</v>
      </c>
      <c r="T437" s="369" t="str">
        <f>VLOOKUP(Tabla4[[#This Row],[Producto]],Tabla6[#All],14,FALSE)</f>
        <v>Termico Solar</v>
      </c>
      <c r="U437" s="284" t="e">
        <f>(IF(Tabla4[[#This Row],[Familia]]="termico solar",Tabla4[[#This Row],[Utilidad Total]]*6%,Tabla4[[#This Row],[Utilidad Total]]*11.5%))/Tabla4[[#This Row],[Total]]</f>
        <v>#N/A</v>
      </c>
      <c r="V437" s="282" t="e">
        <f>+Tabla4[[#This Row],[Comisión Calculada]]*Tabla4[[#This Row],[Total]]</f>
        <v>#N/A</v>
      </c>
    </row>
    <row r="438" spans="1:22" hidden="1" x14ac:dyDescent="0.25">
      <c r="A438" s="100">
        <v>45688</v>
      </c>
      <c r="B438" t="str">
        <f t="shared" si="15"/>
        <v>January</v>
      </c>
      <c r="C438" s="46" t="s">
        <v>280</v>
      </c>
      <c r="F438" s="366" t="s">
        <v>890</v>
      </c>
      <c r="G438" s="46" t="s">
        <v>17</v>
      </c>
      <c r="H438" s="46">
        <v>3</v>
      </c>
      <c r="I438" s="51">
        <v>4622.28</v>
      </c>
      <c r="J438" s="281">
        <f>++Tabla4[[#This Row],[Precio Bruto]]*1.16</f>
        <v>5361.8447999999989</v>
      </c>
      <c r="K438" s="281">
        <f>+Tabla4[[#This Row],[Precio Unitario Neto]]*Tabla4[[#Headers],[20.85%]]</f>
        <v>1117.9446407999997</v>
      </c>
      <c r="L438" s="282">
        <f>++Tabla4[[#This Row],[Precio Unitario Neto]]-Tabla4[[#This Row],[20.85%]]</f>
        <v>4243.9001591999995</v>
      </c>
      <c r="M438" s="282" t="e">
        <f>(INDEX(Tabla6[#All],MATCH(Tabla4[[#This Row],[Producto]],Tabla6[[#All],[PRODUCTO]],0),MATCH(Tabla4[[#This Row],[Mes]],Tabla6[#Headers],0)))*(1+Catalogos!$L$2)</f>
        <v>#N/A</v>
      </c>
      <c r="N438" s="283" t="e">
        <f>+(Tabla4[[#This Row],[Precio Descontado]]-Tabla4[[#This Row],[Precio Base]])*Tabla4[[#This Row],[Cantidad]]</f>
        <v>#N/A</v>
      </c>
      <c r="O438" s="284" t="e">
        <f>++Tabla4[[#This Row],[Utilidad Total]]/Tabla4[[#This Row],[Total]]</f>
        <v>#N/A</v>
      </c>
      <c r="P438" s="282">
        <f>++Tabla4[[#This Row],[Precio Descontado]]*Tabla4[[#This Row],[Cantidad]]</f>
        <v>12731.700477599999</v>
      </c>
      <c r="Q438" s="282" t="e">
        <f>(INDEX(Tabla6[#All],MATCH(Tabla4[[#This Row],[Producto]],Tabla6[[#All],[PRODUCTO]],0),MATCH(Tabla4[[#This Row],[Mes]],Tabla6[#Headers],0)))</f>
        <v>#N/A</v>
      </c>
      <c r="R438" s="282" t="e">
        <f>++Tabla4[[#This Row],[Precio Unitario Neto]]-Tabla4[[#This Row],[20.85%]]-Tabla4[[#This Row],[Costo]]</f>
        <v>#N/A</v>
      </c>
      <c r="S438" s="282" t="e">
        <f>++Tabla4[[#This Row],[U. Bruta Uni]]*Tabla4[[#This Row],[Cantidad]]</f>
        <v>#N/A</v>
      </c>
      <c r="T438" s="369" t="str">
        <f>VLOOKUP(Tabla4[[#This Row],[Producto]],Tabla6[#All],14,FALSE)</f>
        <v>Termico Solar</v>
      </c>
      <c r="U438" s="284" t="e">
        <f>(IF(Tabla4[[#This Row],[Familia]]="termico solar",Tabla4[[#This Row],[Utilidad Total]]*6%,Tabla4[[#This Row],[Utilidad Total]]*11.5%))/Tabla4[[#This Row],[Total]]</f>
        <v>#N/A</v>
      </c>
      <c r="V438" s="282" t="e">
        <f>+Tabla4[[#This Row],[Comisión Calculada]]*Tabla4[[#This Row],[Total]]</f>
        <v>#N/A</v>
      </c>
    </row>
    <row r="439" spans="1:22" hidden="1" x14ac:dyDescent="0.25">
      <c r="A439" s="100">
        <v>45688</v>
      </c>
      <c r="B439" t="str">
        <f t="shared" si="15"/>
        <v>January</v>
      </c>
      <c r="C439" s="46" t="s">
        <v>280</v>
      </c>
      <c r="F439" s="366" t="s">
        <v>891</v>
      </c>
      <c r="G439" s="46" t="s">
        <v>83</v>
      </c>
      <c r="H439" s="46">
        <v>2</v>
      </c>
      <c r="I439" s="51">
        <v>8858.76</v>
      </c>
      <c r="J439" s="281">
        <f>++Tabla4[[#This Row],[Precio Bruto]]*1.16</f>
        <v>10276.161599999999</v>
      </c>
      <c r="K439" s="281">
        <f>+Tabla4[[#This Row],[Precio Unitario Neto]]*Tabla4[[#Headers],[20.85%]]</f>
        <v>2142.5796935999997</v>
      </c>
      <c r="L439" s="282">
        <f>++Tabla4[[#This Row],[Precio Unitario Neto]]-Tabla4[[#This Row],[20.85%]]</f>
        <v>8133.5819063999998</v>
      </c>
      <c r="M439" s="282" t="e">
        <f>(INDEX(Tabla6[#All],MATCH(Tabla4[[#This Row],[Producto]],Tabla6[[#All],[PRODUCTO]],0),MATCH(Tabla4[[#This Row],[Mes]],Tabla6[#Headers],0)))*(1+Catalogos!$L$2)</f>
        <v>#N/A</v>
      </c>
      <c r="N439" s="283" t="e">
        <f>+(Tabla4[[#This Row],[Precio Descontado]]-Tabla4[[#This Row],[Precio Base]])*Tabla4[[#This Row],[Cantidad]]</f>
        <v>#N/A</v>
      </c>
      <c r="O439" s="284" t="e">
        <f>++Tabla4[[#This Row],[Utilidad Total]]/Tabla4[[#This Row],[Total]]</f>
        <v>#N/A</v>
      </c>
      <c r="P439" s="282">
        <f>++Tabla4[[#This Row],[Precio Descontado]]*Tabla4[[#This Row],[Cantidad]]</f>
        <v>16267.1638128</v>
      </c>
      <c r="Q439" s="282" t="e">
        <f>(INDEX(Tabla6[#All],MATCH(Tabla4[[#This Row],[Producto]],Tabla6[[#All],[PRODUCTO]],0),MATCH(Tabla4[[#This Row],[Mes]],Tabla6[#Headers],0)))</f>
        <v>#N/A</v>
      </c>
      <c r="R439" s="282" t="e">
        <f>++Tabla4[[#This Row],[Precio Unitario Neto]]-Tabla4[[#This Row],[20.85%]]-Tabla4[[#This Row],[Costo]]</f>
        <v>#N/A</v>
      </c>
      <c r="S439" s="282" t="e">
        <f>++Tabla4[[#This Row],[U. Bruta Uni]]*Tabla4[[#This Row],[Cantidad]]</f>
        <v>#N/A</v>
      </c>
      <c r="T439" s="369" t="str">
        <f>VLOOKUP(Tabla4[[#This Row],[Producto]],Tabla6[#All],14,FALSE)</f>
        <v>Termico Solar</v>
      </c>
      <c r="U439" s="284" t="e">
        <f>(IF(Tabla4[[#This Row],[Familia]]="termico solar",Tabla4[[#This Row],[Utilidad Total]]*6%,Tabla4[[#This Row],[Utilidad Total]]*11.5%))/Tabla4[[#This Row],[Total]]</f>
        <v>#N/A</v>
      </c>
      <c r="V439" s="282" t="e">
        <f>+Tabla4[[#This Row],[Comisión Calculada]]*Tabla4[[#This Row],[Total]]</f>
        <v>#N/A</v>
      </c>
    </row>
    <row r="440" spans="1:22" hidden="1" x14ac:dyDescent="0.25">
      <c r="A440" s="100">
        <v>45688</v>
      </c>
      <c r="B440" t="str">
        <f t="shared" ref="B440:B441" si="16">TEXT(A440, "mmmm")</f>
        <v>January</v>
      </c>
      <c r="C440" s="46" t="s">
        <v>280</v>
      </c>
      <c r="F440" s="366" t="s">
        <v>891</v>
      </c>
      <c r="G440" s="46" t="s">
        <v>18</v>
      </c>
      <c r="H440" s="46">
        <v>2</v>
      </c>
      <c r="I440" s="51">
        <v>5367.65</v>
      </c>
      <c r="J440" s="281">
        <f>++Tabla4[[#This Row],[Precio Bruto]]*1.16</f>
        <v>6226.4739999999993</v>
      </c>
      <c r="K440" s="281">
        <f>+Tabla4[[#This Row],[Precio Unitario Neto]]*Tabla4[[#Headers],[20.85%]]</f>
        <v>1298.2198289999999</v>
      </c>
      <c r="L440" s="282">
        <f>++Tabla4[[#This Row],[Precio Unitario Neto]]-Tabla4[[#This Row],[20.85%]]</f>
        <v>4928.2541709999996</v>
      </c>
      <c r="M440" s="282" t="e">
        <f>(INDEX(Tabla6[#All],MATCH(Tabla4[[#This Row],[Producto]],Tabla6[[#All],[PRODUCTO]],0),MATCH(Tabla4[[#This Row],[Mes]],Tabla6[#Headers],0)))*(1+Catalogos!$L$2)</f>
        <v>#N/A</v>
      </c>
      <c r="N440" s="283" t="e">
        <f>+(Tabla4[[#This Row],[Precio Descontado]]-Tabla4[[#This Row],[Precio Base]])*Tabla4[[#This Row],[Cantidad]]</f>
        <v>#N/A</v>
      </c>
      <c r="O440" s="284" t="e">
        <f>++Tabla4[[#This Row],[Utilidad Total]]/Tabla4[[#This Row],[Total]]</f>
        <v>#N/A</v>
      </c>
      <c r="P440" s="282">
        <f>++Tabla4[[#This Row],[Precio Descontado]]*Tabla4[[#This Row],[Cantidad]]</f>
        <v>9856.5083419999992</v>
      </c>
      <c r="Q440" s="282" t="e">
        <f>(INDEX(Tabla6[#All],MATCH(Tabla4[[#This Row],[Producto]],Tabla6[[#All],[PRODUCTO]],0),MATCH(Tabla4[[#This Row],[Mes]],Tabla6[#Headers],0)))</f>
        <v>#N/A</v>
      </c>
      <c r="R440" s="282" t="e">
        <f>++Tabla4[[#This Row],[Precio Unitario Neto]]-Tabla4[[#This Row],[20.85%]]-Tabla4[[#This Row],[Costo]]</f>
        <v>#N/A</v>
      </c>
      <c r="S440" s="282" t="e">
        <f>++Tabla4[[#This Row],[U. Bruta Uni]]*Tabla4[[#This Row],[Cantidad]]</f>
        <v>#N/A</v>
      </c>
      <c r="T440" s="369" t="str">
        <f>VLOOKUP(Tabla4[[#This Row],[Producto]],Tabla6[#All],14,FALSE)</f>
        <v>Termico Solar</v>
      </c>
      <c r="U440" s="284" t="e">
        <f>(IF(Tabla4[[#This Row],[Familia]]="termico solar",Tabla4[[#This Row],[Utilidad Total]]*6%,Tabla4[[#This Row],[Utilidad Total]]*11.5%))/Tabla4[[#This Row],[Total]]</f>
        <v>#N/A</v>
      </c>
      <c r="V440" s="282" t="e">
        <f>+Tabla4[[#This Row],[Comisión Calculada]]*Tabla4[[#This Row],[Total]]</f>
        <v>#N/A</v>
      </c>
    </row>
    <row r="441" spans="1:22" hidden="1" x14ac:dyDescent="0.25">
      <c r="A441" s="100">
        <v>45688</v>
      </c>
      <c r="B441" t="str">
        <f t="shared" si="16"/>
        <v>January</v>
      </c>
      <c r="C441" s="46" t="s">
        <v>280</v>
      </c>
      <c r="F441" s="366" t="s">
        <v>891</v>
      </c>
      <c r="G441" s="46" t="s">
        <v>566</v>
      </c>
      <c r="H441" s="46">
        <v>1</v>
      </c>
      <c r="I441" s="51">
        <v>2109.4499999999998</v>
      </c>
      <c r="J441" s="281">
        <f>++Tabla4[[#This Row],[Precio Bruto]]*1.16</f>
        <v>2446.9619999999995</v>
      </c>
      <c r="K441" s="281">
        <f>+Tabla4[[#This Row],[Precio Unitario Neto]]*Tabla4[[#Headers],[20.85%]]</f>
        <v>510.19157699999988</v>
      </c>
      <c r="L441" s="282">
        <f>++Tabla4[[#This Row],[Precio Unitario Neto]]-Tabla4[[#This Row],[20.85%]]</f>
        <v>1936.7704229999997</v>
      </c>
      <c r="M441" s="282" t="e">
        <f>(INDEX(Tabla6[#All],MATCH(Tabla4[[#This Row],[Producto]],Tabla6[[#All],[PRODUCTO]],0),MATCH(Tabla4[[#This Row],[Mes]],Tabla6[#Headers],0)))*(1+Catalogos!$L$2)</f>
        <v>#N/A</v>
      </c>
      <c r="N441" s="283" t="e">
        <f>+(Tabla4[[#This Row],[Precio Descontado]]-Tabla4[[#This Row],[Precio Base]])*Tabla4[[#This Row],[Cantidad]]</f>
        <v>#N/A</v>
      </c>
      <c r="O441" s="284" t="e">
        <f>++Tabla4[[#This Row],[Utilidad Total]]/Tabla4[[#This Row],[Total]]</f>
        <v>#N/A</v>
      </c>
      <c r="P441" s="282">
        <f>++Tabla4[[#This Row],[Precio Descontado]]*Tabla4[[#This Row],[Cantidad]]</f>
        <v>1936.7704229999997</v>
      </c>
      <c r="Q441" s="282" t="e">
        <f>(INDEX(Tabla6[#All],MATCH(Tabla4[[#This Row],[Producto]],Tabla6[[#All],[PRODUCTO]],0),MATCH(Tabla4[[#This Row],[Mes]],Tabla6[#Headers],0)))</f>
        <v>#N/A</v>
      </c>
      <c r="R441" s="282" t="e">
        <f>++Tabla4[[#This Row],[Precio Unitario Neto]]-Tabla4[[#This Row],[20.85%]]-Tabla4[[#This Row],[Costo]]</f>
        <v>#N/A</v>
      </c>
      <c r="S441" s="282" t="e">
        <f>++Tabla4[[#This Row],[U. Bruta Uni]]*Tabla4[[#This Row],[Cantidad]]</f>
        <v>#N/A</v>
      </c>
      <c r="T441" s="369" t="str">
        <f>VLOOKUP(Tabla4[[#This Row],[Producto]],Tabla6[#All],14,FALSE)</f>
        <v>Termico Solar</v>
      </c>
      <c r="U441" s="284" t="e">
        <f>(IF(Tabla4[[#This Row],[Familia]]="termico solar",Tabla4[[#This Row],[Utilidad Total]]*6%,Tabla4[[#This Row],[Utilidad Total]]*11.5%))/Tabla4[[#This Row],[Total]]</f>
        <v>#N/A</v>
      </c>
      <c r="V441" s="282" t="e">
        <f>+Tabla4[[#This Row],[Comisión Calculada]]*Tabla4[[#This Row],[Total]]</f>
        <v>#N/A</v>
      </c>
    </row>
    <row r="442" spans="1:22" hidden="1" x14ac:dyDescent="0.25">
      <c r="A442" s="100">
        <v>45703</v>
      </c>
      <c r="B442" t="str">
        <f t="shared" ref="B442:B447" si="17">TEXT(A442, "mmmm")</f>
        <v>February</v>
      </c>
      <c r="C442" s="46" t="s">
        <v>280</v>
      </c>
      <c r="F442" s="366" t="s">
        <v>902</v>
      </c>
      <c r="G442" s="46" t="s">
        <v>83</v>
      </c>
      <c r="H442" s="46">
        <v>2</v>
      </c>
      <c r="I442" s="51">
        <v>8858.76</v>
      </c>
      <c r="J442" s="281">
        <f>++Tabla4[[#This Row],[Precio Bruto]]*1.16</f>
        <v>10276.161599999999</v>
      </c>
      <c r="K442" s="281">
        <f>+Tabla4[[#This Row],[Precio Unitario Neto]]*Tabla4[[#Headers],[20.85%]]</f>
        <v>2142.5796935999997</v>
      </c>
      <c r="L442" s="282">
        <f>++Tabla4[[#This Row],[Precio Unitario Neto]]-Tabla4[[#This Row],[20.85%]]</f>
        <v>8133.5819063999998</v>
      </c>
      <c r="M442" s="282" t="e">
        <f>(INDEX(Tabla6[#All],MATCH(Tabla4[[#This Row],[Producto]],Tabla6[[#All],[PRODUCTO]],0),MATCH(Tabla4[[#This Row],[Mes]],Tabla6[#Headers],0)))*(1+Catalogos!$L$2)</f>
        <v>#N/A</v>
      </c>
      <c r="N442" s="283" t="e">
        <f>+(Tabla4[[#This Row],[Precio Descontado]]-Tabla4[[#This Row],[Precio Base]])*Tabla4[[#This Row],[Cantidad]]</f>
        <v>#N/A</v>
      </c>
      <c r="O442" s="284" t="e">
        <f>++Tabla4[[#This Row],[Utilidad Total]]/Tabla4[[#This Row],[Total]]</f>
        <v>#N/A</v>
      </c>
      <c r="P442" s="282">
        <f>++Tabla4[[#This Row],[Precio Descontado]]*Tabla4[[#This Row],[Cantidad]]</f>
        <v>16267.1638128</v>
      </c>
      <c r="Q442" s="282" t="e">
        <f>(INDEX(Tabla6[#All],MATCH(Tabla4[[#This Row],[Producto]],Tabla6[[#All],[PRODUCTO]],0),MATCH(Tabla4[[#This Row],[Mes]],Tabla6[#Headers],0)))</f>
        <v>#N/A</v>
      </c>
      <c r="R442" s="282" t="e">
        <f>++Tabla4[[#This Row],[Precio Unitario Neto]]-Tabla4[[#This Row],[20.85%]]-Tabla4[[#This Row],[Costo]]</f>
        <v>#N/A</v>
      </c>
      <c r="S442" s="282" t="e">
        <f>++Tabla4[[#This Row],[U. Bruta Uni]]*Tabla4[[#This Row],[Cantidad]]</f>
        <v>#N/A</v>
      </c>
      <c r="T442" s="369" t="str">
        <f>VLOOKUP(Tabla4[[#This Row],[Producto]],Tabla6[#All],14,FALSE)</f>
        <v>Termico Solar</v>
      </c>
      <c r="U442" s="284" t="e">
        <f>(IF(Tabla4[[#This Row],[Familia]]="termico solar",Tabla4[[#This Row],[Utilidad Total]]*6%,Tabla4[[#This Row],[Utilidad Total]]*11.5%))/Tabla4[[#This Row],[Total]]</f>
        <v>#N/A</v>
      </c>
      <c r="V442" s="282" t="e">
        <f>+Tabla4[[#This Row],[Comisión Calculada]]*Tabla4[[#This Row],[Total]]</f>
        <v>#N/A</v>
      </c>
    </row>
    <row r="443" spans="1:22" hidden="1" x14ac:dyDescent="0.25">
      <c r="A443" s="100">
        <v>45703</v>
      </c>
      <c r="B443" t="str">
        <f t="shared" si="17"/>
        <v>February</v>
      </c>
      <c r="C443" s="46" t="s">
        <v>280</v>
      </c>
      <c r="F443" s="366" t="s">
        <v>902</v>
      </c>
      <c r="G443" s="46" t="s">
        <v>19</v>
      </c>
      <c r="H443" s="46">
        <v>4</v>
      </c>
      <c r="I443" s="51">
        <v>6412.03</v>
      </c>
      <c r="J443" s="281">
        <f>++Tabla4[[#This Row],[Precio Bruto]]*1.16</f>
        <v>7437.9547999999995</v>
      </c>
      <c r="K443" s="281">
        <f>+Tabla4[[#This Row],[Precio Unitario Neto]]*Tabla4[[#Headers],[20.85%]]</f>
        <v>1550.8135757999999</v>
      </c>
      <c r="L443" s="282">
        <f>++Tabla4[[#This Row],[Precio Unitario Neto]]-Tabla4[[#This Row],[20.85%]]</f>
        <v>5887.1412241999997</v>
      </c>
      <c r="M443" s="282" t="e">
        <f>(INDEX(Tabla6[#All],MATCH(Tabla4[[#This Row],[Producto]],Tabla6[[#All],[PRODUCTO]],0),MATCH(Tabla4[[#This Row],[Mes]],Tabla6[#Headers],0)))*(1+Catalogos!$L$2)</f>
        <v>#N/A</v>
      </c>
      <c r="N443" s="283" t="e">
        <f>+(Tabla4[[#This Row],[Precio Descontado]]-Tabla4[[#This Row],[Precio Base]])*Tabla4[[#This Row],[Cantidad]]</f>
        <v>#N/A</v>
      </c>
      <c r="O443" s="284" t="e">
        <f>++Tabla4[[#This Row],[Utilidad Total]]/Tabla4[[#This Row],[Total]]</f>
        <v>#N/A</v>
      </c>
      <c r="P443" s="282">
        <f>++Tabla4[[#This Row],[Precio Descontado]]*Tabla4[[#This Row],[Cantidad]]</f>
        <v>23548.564896799999</v>
      </c>
      <c r="Q443" s="282" t="e">
        <f>(INDEX(Tabla6[#All],MATCH(Tabla4[[#This Row],[Producto]],Tabla6[[#All],[PRODUCTO]],0),MATCH(Tabla4[[#This Row],[Mes]],Tabla6[#Headers],0)))</f>
        <v>#N/A</v>
      </c>
      <c r="R443" s="282" t="e">
        <f>++Tabla4[[#This Row],[Precio Unitario Neto]]-Tabla4[[#This Row],[20.85%]]-Tabla4[[#This Row],[Costo]]</f>
        <v>#N/A</v>
      </c>
      <c r="S443" s="282" t="e">
        <f>++Tabla4[[#This Row],[U. Bruta Uni]]*Tabla4[[#This Row],[Cantidad]]</f>
        <v>#N/A</v>
      </c>
      <c r="T443" s="369" t="str">
        <f>VLOOKUP(Tabla4[[#This Row],[Producto]],Tabla6[#All],14,FALSE)</f>
        <v>Termico Solar</v>
      </c>
      <c r="U443" s="284" t="e">
        <f>(IF(Tabla4[[#This Row],[Familia]]="termico solar",Tabla4[[#This Row],[Utilidad Total]]*6%,Tabla4[[#This Row],[Utilidad Total]]*11.5%))/Tabla4[[#This Row],[Total]]</f>
        <v>#N/A</v>
      </c>
      <c r="V443" s="282" t="e">
        <f>+Tabla4[[#This Row],[Comisión Calculada]]*Tabla4[[#This Row],[Total]]</f>
        <v>#N/A</v>
      </c>
    </row>
    <row r="444" spans="1:22" hidden="1" x14ac:dyDescent="0.25">
      <c r="A444" s="100">
        <v>45703</v>
      </c>
      <c r="B444" t="str">
        <f t="shared" si="17"/>
        <v>February</v>
      </c>
      <c r="C444" s="46" t="s">
        <v>280</v>
      </c>
      <c r="F444" s="366" t="s">
        <v>902</v>
      </c>
      <c r="G444" s="46" t="s">
        <v>20</v>
      </c>
      <c r="H444" s="46">
        <v>2</v>
      </c>
      <c r="I444" s="51">
        <v>7751.98</v>
      </c>
      <c r="J444" s="281">
        <f>++Tabla4[[#This Row],[Precio Bruto]]*1.16</f>
        <v>8992.2967999999983</v>
      </c>
      <c r="K444" s="281">
        <f>+Tabla4[[#This Row],[Precio Unitario Neto]]*Tabla4[[#Headers],[20.85%]]</f>
        <v>1874.8938827999996</v>
      </c>
      <c r="L444" s="282">
        <f>++Tabla4[[#This Row],[Precio Unitario Neto]]-Tabla4[[#This Row],[20.85%]]</f>
        <v>7117.4029171999991</v>
      </c>
      <c r="M444" s="282" t="e">
        <f>(INDEX(Tabla6[#All],MATCH(Tabla4[[#This Row],[Producto]],Tabla6[[#All],[PRODUCTO]],0),MATCH(Tabla4[[#This Row],[Mes]],Tabla6[#Headers],0)))*(1+Catalogos!$L$2)</f>
        <v>#N/A</v>
      </c>
      <c r="N444" s="283" t="e">
        <f>+(Tabla4[[#This Row],[Precio Descontado]]-Tabla4[[#This Row],[Precio Base]])*Tabla4[[#This Row],[Cantidad]]</f>
        <v>#N/A</v>
      </c>
      <c r="O444" s="284" t="e">
        <f>++Tabla4[[#This Row],[Utilidad Total]]/Tabla4[[#This Row],[Total]]</f>
        <v>#N/A</v>
      </c>
      <c r="P444" s="282">
        <f>++Tabla4[[#This Row],[Precio Descontado]]*Tabla4[[#This Row],[Cantidad]]</f>
        <v>14234.805834399998</v>
      </c>
      <c r="Q444" s="282" t="e">
        <f>(INDEX(Tabla6[#All],MATCH(Tabla4[[#This Row],[Producto]],Tabla6[[#All],[PRODUCTO]],0),MATCH(Tabla4[[#This Row],[Mes]],Tabla6[#Headers],0)))</f>
        <v>#N/A</v>
      </c>
      <c r="R444" s="282" t="e">
        <f>++Tabla4[[#This Row],[Precio Unitario Neto]]-Tabla4[[#This Row],[20.85%]]-Tabla4[[#This Row],[Costo]]</f>
        <v>#N/A</v>
      </c>
      <c r="S444" s="282" t="e">
        <f>++Tabla4[[#This Row],[U. Bruta Uni]]*Tabla4[[#This Row],[Cantidad]]</f>
        <v>#N/A</v>
      </c>
      <c r="T444" s="369" t="str">
        <f>VLOOKUP(Tabla4[[#This Row],[Producto]],Tabla6[#All],14,FALSE)</f>
        <v>Termico Solar</v>
      </c>
      <c r="U444" s="284" t="e">
        <f>(IF(Tabla4[[#This Row],[Familia]]="termico solar",Tabla4[[#This Row],[Utilidad Total]]*6%,Tabla4[[#This Row],[Utilidad Total]]*11.5%))/Tabla4[[#This Row],[Total]]</f>
        <v>#N/A</v>
      </c>
      <c r="V444" s="282" t="e">
        <f>+Tabla4[[#This Row],[Comisión Calculada]]*Tabla4[[#This Row],[Total]]</f>
        <v>#N/A</v>
      </c>
    </row>
    <row r="445" spans="1:22" hidden="1" x14ac:dyDescent="0.25">
      <c r="A445" s="100">
        <v>45703</v>
      </c>
      <c r="B445" t="str">
        <f t="shared" si="17"/>
        <v>February</v>
      </c>
      <c r="C445" s="46" t="s">
        <v>280</v>
      </c>
      <c r="F445" s="366" t="s">
        <v>902</v>
      </c>
      <c r="G445" s="46" t="s">
        <v>21</v>
      </c>
      <c r="H445" s="46">
        <v>6</v>
      </c>
      <c r="I445" s="51">
        <v>9282.19</v>
      </c>
      <c r="J445" s="281">
        <f>++Tabla4[[#This Row],[Precio Bruto]]*1.16</f>
        <v>10767.340399999999</v>
      </c>
      <c r="K445" s="281">
        <f>+Tabla4[[#This Row],[Precio Unitario Neto]]*Tabla4[[#Headers],[20.85%]]</f>
        <v>2244.9904733999997</v>
      </c>
      <c r="L445" s="282">
        <f>++Tabla4[[#This Row],[Precio Unitario Neto]]-Tabla4[[#This Row],[20.85%]]</f>
        <v>8522.3499265999999</v>
      </c>
      <c r="M445" s="282" t="e">
        <f>(INDEX(Tabla6[#All],MATCH(Tabla4[[#This Row],[Producto]],Tabla6[[#All],[PRODUCTO]],0),MATCH(Tabla4[[#This Row],[Mes]],Tabla6[#Headers],0)))*(1+Catalogos!$L$2)</f>
        <v>#N/A</v>
      </c>
      <c r="N445" s="283" t="e">
        <f>+(Tabla4[[#This Row],[Precio Descontado]]-Tabla4[[#This Row],[Precio Base]])*Tabla4[[#This Row],[Cantidad]]</f>
        <v>#N/A</v>
      </c>
      <c r="O445" s="284" t="e">
        <f>++Tabla4[[#This Row],[Utilidad Total]]/Tabla4[[#This Row],[Total]]</f>
        <v>#N/A</v>
      </c>
      <c r="P445" s="282">
        <f>++Tabla4[[#This Row],[Precio Descontado]]*Tabla4[[#This Row],[Cantidad]]</f>
        <v>51134.099559599999</v>
      </c>
      <c r="Q445" s="282" t="e">
        <f>(INDEX(Tabla6[#All],MATCH(Tabla4[[#This Row],[Producto]],Tabla6[[#All],[PRODUCTO]],0),MATCH(Tabla4[[#This Row],[Mes]],Tabla6[#Headers],0)))</f>
        <v>#N/A</v>
      </c>
      <c r="R445" s="282" t="e">
        <f>++Tabla4[[#This Row],[Precio Unitario Neto]]-Tabla4[[#This Row],[20.85%]]-Tabla4[[#This Row],[Costo]]</f>
        <v>#N/A</v>
      </c>
      <c r="S445" s="282" t="e">
        <f>++Tabla4[[#This Row],[U. Bruta Uni]]*Tabla4[[#This Row],[Cantidad]]</f>
        <v>#N/A</v>
      </c>
      <c r="T445" s="369" t="str">
        <f>VLOOKUP(Tabla4[[#This Row],[Producto]],Tabla6[#All],14,FALSE)</f>
        <v>Termico Solar</v>
      </c>
      <c r="U445" s="284" t="e">
        <f>(IF(Tabla4[[#This Row],[Familia]]="termico solar",Tabla4[[#This Row],[Utilidad Total]]*6%,Tabla4[[#This Row],[Utilidad Total]]*11.5%))/Tabla4[[#This Row],[Total]]</f>
        <v>#N/A</v>
      </c>
      <c r="V445" s="282" t="e">
        <f>+Tabla4[[#This Row],[Comisión Calculada]]*Tabla4[[#This Row],[Total]]</f>
        <v>#N/A</v>
      </c>
    </row>
    <row r="446" spans="1:22" hidden="1" x14ac:dyDescent="0.25">
      <c r="A446" s="100">
        <v>45703</v>
      </c>
      <c r="B446" t="str">
        <f t="shared" si="17"/>
        <v>February</v>
      </c>
      <c r="C446" s="46" t="s">
        <v>280</v>
      </c>
      <c r="F446" s="366" t="s">
        <v>902</v>
      </c>
      <c r="G446" s="46" t="s">
        <v>22</v>
      </c>
      <c r="H446" s="46">
        <v>7</v>
      </c>
      <c r="I446" s="51">
        <v>13355.75</v>
      </c>
      <c r="J446" s="281">
        <f>++Tabla4[[#This Row],[Precio Bruto]]*1.16</f>
        <v>15492.669999999998</v>
      </c>
      <c r="K446" s="281">
        <f>+Tabla4[[#This Row],[Precio Unitario Neto]]*Tabla4[[#Headers],[20.85%]]</f>
        <v>3230.2216949999993</v>
      </c>
      <c r="L446" s="282">
        <f>++Tabla4[[#This Row],[Precio Unitario Neto]]-Tabla4[[#This Row],[20.85%]]</f>
        <v>12262.448304999998</v>
      </c>
      <c r="M446" s="282" t="e">
        <f>(INDEX(Tabla6[#All],MATCH(Tabla4[[#This Row],[Producto]],Tabla6[[#All],[PRODUCTO]],0),MATCH(Tabla4[[#This Row],[Mes]],Tabla6[#Headers],0)))*(1+Catalogos!$L$2)</f>
        <v>#N/A</v>
      </c>
      <c r="N446" s="283" t="e">
        <f>+(Tabla4[[#This Row],[Precio Descontado]]-Tabla4[[#This Row],[Precio Base]])*Tabla4[[#This Row],[Cantidad]]</f>
        <v>#N/A</v>
      </c>
      <c r="O446" s="284" t="e">
        <f>++Tabla4[[#This Row],[Utilidad Total]]/Tabla4[[#This Row],[Total]]</f>
        <v>#N/A</v>
      </c>
      <c r="P446" s="282">
        <f>++Tabla4[[#This Row],[Precio Descontado]]*Tabla4[[#This Row],[Cantidad]]</f>
        <v>85837.138134999987</v>
      </c>
      <c r="Q446" s="282" t="e">
        <f>(INDEX(Tabla6[#All],MATCH(Tabla4[[#This Row],[Producto]],Tabla6[[#All],[PRODUCTO]],0),MATCH(Tabla4[[#This Row],[Mes]],Tabla6[#Headers],0)))</f>
        <v>#N/A</v>
      </c>
      <c r="R446" s="282" t="e">
        <f>++Tabla4[[#This Row],[Precio Unitario Neto]]-Tabla4[[#This Row],[20.85%]]-Tabla4[[#This Row],[Costo]]</f>
        <v>#N/A</v>
      </c>
      <c r="S446" s="282" t="e">
        <f>++Tabla4[[#This Row],[U. Bruta Uni]]*Tabla4[[#This Row],[Cantidad]]</f>
        <v>#N/A</v>
      </c>
      <c r="T446" s="369" t="str">
        <f>VLOOKUP(Tabla4[[#This Row],[Producto]],Tabla6[#All],14,FALSE)</f>
        <v>Termico Solar</v>
      </c>
      <c r="U446" s="284" t="e">
        <f>(IF(Tabla4[[#This Row],[Familia]]="termico solar",Tabla4[[#This Row],[Utilidad Total]]*6%,Tabla4[[#This Row],[Utilidad Total]]*11.5%))/Tabla4[[#This Row],[Total]]</f>
        <v>#N/A</v>
      </c>
      <c r="V446" s="282" t="e">
        <f>+Tabla4[[#This Row],[Comisión Calculada]]*Tabla4[[#This Row],[Total]]</f>
        <v>#N/A</v>
      </c>
    </row>
    <row r="447" spans="1:22" hidden="1" x14ac:dyDescent="0.25">
      <c r="A447" s="100">
        <v>45703</v>
      </c>
      <c r="B447" t="str">
        <f t="shared" si="17"/>
        <v>February</v>
      </c>
      <c r="C447" s="46" t="s">
        <v>280</v>
      </c>
      <c r="F447" s="366" t="s">
        <v>902</v>
      </c>
      <c r="G447" s="46" t="s">
        <v>84</v>
      </c>
      <c r="H447" s="46">
        <v>6</v>
      </c>
      <c r="I447" s="51">
        <v>16601.829999999998</v>
      </c>
      <c r="J447" s="281">
        <f>++Tabla4[[#This Row],[Precio Bruto]]*1.16</f>
        <v>19258.122799999997</v>
      </c>
      <c r="K447" s="281">
        <f>+Tabla4[[#This Row],[Precio Unitario Neto]]*Tabla4[[#Headers],[20.85%]]</f>
        <v>4015.3186037999994</v>
      </c>
      <c r="L447" s="282">
        <f>++Tabla4[[#This Row],[Precio Unitario Neto]]-Tabla4[[#This Row],[20.85%]]</f>
        <v>15242.804196199999</v>
      </c>
      <c r="M447" s="282" t="e">
        <f>(INDEX(Tabla6[#All],MATCH(Tabla4[[#This Row],[Producto]],Tabla6[[#All],[PRODUCTO]],0),MATCH(Tabla4[[#This Row],[Mes]],Tabla6[#Headers],0)))*(1+Catalogos!$L$2)</f>
        <v>#N/A</v>
      </c>
      <c r="N447" s="283" t="e">
        <f>+(Tabla4[[#This Row],[Precio Descontado]]-Tabla4[[#This Row],[Precio Base]])*Tabla4[[#This Row],[Cantidad]]</f>
        <v>#N/A</v>
      </c>
      <c r="O447" s="284" t="e">
        <f>++Tabla4[[#This Row],[Utilidad Total]]/Tabla4[[#This Row],[Total]]</f>
        <v>#N/A</v>
      </c>
      <c r="P447" s="282">
        <f>++Tabla4[[#This Row],[Precio Descontado]]*Tabla4[[#This Row],[Cantidad]]</f>
        <v>91456.825177199993</v>
      </c>
      <c r="Q447" s="282" t="e">
        <f>(INDEX(Tabla6[#All],MATCH(Tabla4[[#This Row],[Producto]],Tabla6[[#All],[PRODUCTO]],0),MATCH(Tabla4[[#This Row],[Mes]],Tabla6[#Headers],0)))</f>
        <v>#N/A</v>
      </c>
      <c r="R447" s="282" t="e">
        <f>++Tabla4[[#This Row],[Precio Unitario Neto]]-Tabla4[[#This Row],[20.85%]]-Tabla4[[#This Row],[Costo]]</f>
        <v>#N/A</v>
      </c>
      <c r="S447" s="282" t="e">
        <f>++Tabla4[[#This Row],[U. Bruta Uni]]*Tabla4[[#This Row],[Cantidad]]</f>
        <v>#N/A</v>
      </c>
      <c r="T447" s="369" t="str">
        <f>VLOOKUP(Tabla4[[#This Row],[Producto]],Tabla6[#All],14,FALSE)</f>
        <v>Termico Solar</v>
      </c>
      <c r="U447" s="284" t="e">
        <f>(IF(Tabla4[[#This Row],[Familia]]="termico solar",Tabla4[[#This Row],[Utilidad Total]]*6%,Tabla4[[#This Row],[Utilidad Total]]*11.5%))/Tabla4[[#This Row],[Total]]</f>
        <v>#N/A</v>
      </c>
      <c r="V447" s="282" t="e">
        <f>+Tabla4[[#This Row],[Comisión Calculada]]*Tabla4[[#This Row],[Total]]</f>
        <v>#N/A</v>
      </c>
    </row>
    <row r="448" spans="1:22" ht="17.25" hidden="1" customHeight="1" x14ac:dyDescent="0.25">
      <c r="A448" s="100">
        <v>45703</v>
      </c>
      <c r="B448" t="str">
        <f t="shared" ref="B448:B511" si="18">TEXT(A448, "mmmm")</f>
        <v>February</v>
      </c>
      <c r="C448" s="46" t="s">
        <v>280</v>
      </c>
      <c r="F448" s="366" t="s">
        <v>903</v>
      </c>
      <c r="G448" s="46" t="s">
        <v>21</v>
      </c>
      <c r="H448" s="46">
        <v>8</v>
      </c>
      <c r="I448" s="51">
        <v>9282.19</v>
      </c>
      <c r="J448" s="281">
        <f>++Tabla4[[#This Row],[Precio Bruto]]*1.16</f>
        <v>10767.340399999999</v>
      </c>
      <c r="K448" s="281">
        <f>+Tabla4[[#This Row],[Precio Unitario Neto]]*Tabla4[[#Headers],[20.85%]]</f>
        <v>2244.9904733999997</v>
      </c>
      <c r="L448" s="282">
        <f>++Tabla4[[#This Row],[Precio Unitario Neto]]-Tabla4[[#This Row],[20.85%]]</f>
        <v>8522.3499265999999</v>
      </c>
      <c r="M448" s="282" t="e">
        <f>(INDEX(Tabla6[#All],MATCH(Tabla4[[#This Row],[Producto]],Tabla6[[#All],[PRODUCTO]],0),MATCH(Tabla4[[#This Row],[Mes]],Tabla6[#Headers],0)))*(1+Catalogos!$L$2)</f>
        <v>#N/A</v>
      </c>
      <c r="N448" s="283" t="e">
        <f>+(Tabla4[[#This Row],[Precio Descontado]]-Tabla4[[#This Row],[Precio Base]])*Tabla4[[#This Row],[Cantidad]]</f>
        <v>#N/A</v>
      </c>
      <c r="O448" s="284" t="e">
        <f>++Tabla4[[#This Row],[Utilidad Total]]/Tabla4[[#This Row],[Total]]</f>
        <v>#N/A</v>
      </c>
      <c r="P448" s="282">
        <f>++Tabla4[[#This Row],[Precio Descontado]]*Tabla4[[#This Row],[Cantidad]]</f>
        <v>68178.799412799999</v>
      </c>
      <c r="Q448" s="282" t="e">
        <f>(INDEX(Tabla6[#All],MATCH(Tabla4[[#This Row],[Producto]],Tabla6[[#All],[PRODUCTO]],0),MATCH(Tabla4[[#This Row],[Mes]],Tabla6[#Headers],0)))</f>
        <v>#N/A</v>
      </c>
      <c r="R448" s="282" t="e">
        <f>++Tabla4[[#This Row],[Precio Unitario Neto]]-Tabla4[[#This Row],[20.85%]]-Tabla4[[#This Row],[Costo]]</f>
        <v>#N/A</v>
      </c>
      <c r="S448" s="282" t="e">
        <f>++Tabla4[[#This Row],[U. Bruta Uni]]*Tabla4[[#This Row],[Cantidad]]</f>
        <v>#N/A</v>
      </c>
      <c r="T448" s="369" t="str">
        <f>VLOOKUP(Tabla4[[#This Row],[Producto]],Tabla6[#All],14,FALSE)</f>
        <v>Termico Solar</v>
      </c>
      <c r="U448" s="284" t="e">
        <f>(IF(Tabla4[[#This Row],[Familia]]="termico solar",Tabla4[[#This Row],[Utilidad Total]]*6%,Tabla4[[#This Row],[Utilidad Total]]*11.5%))/Tabla4[[#This Row],[Total]]</f>
        <v>#N/A</v>
      </c>
      <c r="V448" s="282" t="e">
        <f>+Tabla4[[#This Row],[Comisión Calculada]]*Tabla4[[#This Row],[Total]]</f>
        <v>#N/A</v>
      </c>
    </row>
    <row r="449" spans="1:22" ht="17.25" hidden="1" customHeight="1" x14ac:dyDescent="0.25">
      <c r="A449" s="100">
        <v>45703</v>
      </c>
      <c r="B449" t="str">
        <f t="shared" si="18"/>
        <v>February</v>
      </c>
      <c r="C449" s="46" t="s">
        <v>280</v>
      </c>
      <c r="F449" s="366" t="s">
        <v>903</v>
      </c>
      <c r="G449" s="46" t="s">
        <v>22</v>
      </c>
      <c r="H449" s="46">
        <v>4</v>
      </c>
      <c r="I449" s="51">
        <v>13355.75</v>
      </c>
      <c r="J449" s="281">
        <f>++Tabla4[[#This Row],[Precio Bruto]]*1.16</f>
        <v>15492.669999999998</v>
      </c>
      <c r="K449" s="281">
        <f>+Tabla4[[#This Row],[Precio Unitario Neto]]*Tabla4[[#Headers],[20.85%]]</f>
        <v>3230.2216949999993</v>
      </c>
      <c r="L449" s="282">
        <f>++Tabla4[[#This Row],[Precio Unitario Neto]]-Tabla4[[#This Row],[20.85%]]</f>
        <v>12262.448304999998</v>
      </c>
      <c r="M449" s="282" t="e">
        <f>(INDEX(Tabla6[#All],MATCH(Tabla4[[#This Row],[Producto]],Tabla6[[#All],[PRODUCTO]],0),MATCH(Tabla4[[#This Row],[Mes]],Tabla6[#Headers],0)))*(1+Catalogos!$L$2)</f>
        <v>#N/A</v>
      </c>
      <c r="N449" s="283" t="e">
        <f>+(Tabla4[[#This Row],[Precio Descontado]]-Tabla4[[#This Row],[Precio Base]])*Tabla4[[#This Row],[Cantidad]]</f>
        <v>#N/A</v>
      </c>
      <c r="O449" s="284" t="e">
        <f>++Tabla4[[#This Row],[Utilidad Total]]/Tabla4[[#This Row],[Total]]</f>
        <v>#N/A</v>
      </c>
      <c r="P449" s="282">
        <f>++Tabla4[[#This Row],[Precio Descontado]]*Tabla4[[#This Row],[Cantidad]]</f>
        <v>49049.793219999992</v>
      </c>
      <c r="Q449" s="282" t="e">
        <f>(INDEX(Tabla6[#All],MATCH(Tabla4[[#This Row],[Producto]],Tabla6[[#All],[PRODUCTO]],0),MATCH(Tabla4[[#This Row],[Mes]],Tabla6[#Headers],0)))</f>
        <v>#N/A</v>
      </c>
      <c r="R449" s="282" t="e">
        <f>++Tabla4[[#This Row],[Precio Unitario Neto]]-Tabla4[[#This Row],[20.85%]]-Tabla4[[#This Row],[Costo]]</f>
        <v>#N/A</v>
      </c>
      <c r="S449" s="282" t="e">
        <f>++Tabla4[[#This Row],[U. Bruta Uni]]*Tabla4[[#This Row],[Cantidad]]</f>
        <v>#N/A</v>
      </c>
      <c r="T449" s="369" t="str">
        <f>VLOOKUP(Tabla4[[#This Row],[Producto]],Tabla6[#All],14,FALSE)</f>
        <v>Termico Solar</v>
      </c>
      <c r="U449" s="284" t="e">
        <f>(IF(Tabla4[[#This Row],[Familia]]="termico solar",Tabla4[[#This Row],[Utilidad Total]]*6%,Tabla4[[#This Row],[Utilidad Total]]*11.5%))/Tabla4[[#This Row],[Total]]</f>
        <v>#N/A</v>
      </c>
      <c r="V449" s="282" t="e">
        <f>+Tabla4[[#This Row],[Comisión Calculada]]*Tabla4[[#This Row],[Total]]</f>
        <v>#N/A</v>
      </c>
    </row>
    <row r="450" spans="1:22" ht="17.25" hidden="1" customHeight="1" x14ac:dyDescent="0.25">
      <c r="A450" s="100">
        <v>45703</v>
      </c>
      <c r="B450" t="str">
        <f t="shared" si="18"/>
        <v>February</v>
      </c>
      <c r="C450" s="46" t="s">
        <v>280</v>
      </c>
      <c r="F450" s="366" t="s">
        <v>904</v>
      </c>
      <c r="G450" s="46" t="s">
        <v>83</v>
      </c>
      <c r="H450" s="46">
        <v>3</v>
      </c>
      <c r="I450" s="51">
        <v>8858.76</v>
      </c>
      <c r="J450" s="281">
        <f>++Tabla4[[#This Row],[Precio Bruto]]*1.16</f>
        <v>10276.161599999999</v>
      </c>
      <c r="K450" s="281">
        <f>+Tabla4[[#This Row],[Precio Unitario Neto]]*Tabla4[[#Headers],[20.85%]]</f>
        <v>2142.5796935999997</v>
      </c>
      <c r="L450" s="282">
        <f>++Tabla4[[#This Row],[Precio Unitario Neto]]-Tabla4[[#This Row],[20.85%]]</f>
        <v>8133.5819063999998</v>
      </c>
      <c r="M450" s="282" t="e">
        <f>(INDEX(Tabla6[#All],MATCH(Tabla4[[#This Row],[Producto]],Tabla6[[#All],[PRODUCTO]],0),MATCH(Tabla4[[#This Row],[Mes]],Tabla6[#Headers],0)))*(1+Catalogos!$L$2)</f>
        <v>#N/A</v>
      </c>
      <c r="N450" s="283" t="e">
        <f>+(Tabla4[[#This Row],[Precio Descontado]]-Tabla4[[#This Row],[Precio Base]])*Tabla4[[#This Row],[Cantidad]]</f>
        <v>#N/A</v>
      </c>
      <c r="O450" s="284" t="e">
        <f>++Tabla4[[#This Row],[Utilidad Total]]/Tabla4[[#This Row],[Total]]</f>
        <v>#N/A</v>
      </c>
      <c r="P450" s="282">
        <f>++Tabla4[[#This Row],[Precio Descontado]]*Tabla4[[#This Row],[Cantidad]]</f>
        <v>24400.7457192</v>
      </c>
      <c r="Q450" s="282" t="e">
        <f>(INDEX(Tabla6[#All],MATCH(Tabla4[[#This Row],[Producto]],Tabla6[[#All],[PRODUCTO]],0),MATCH(Tabla4[[#This Row],[Mes]],Tabla6[#Headers],0)))</f>
        <v>#N/A</v>
      </c>
      <c r="R450" s="282" t="e">
        <f>++Tabla4[[#This Row],[Precio Unitario Neto]]-Tabla4[[#This Row],[20.85%]]-Tabla4[[#This Row],[Costo]]</f>
        <v>#N/A</v>
      </c>
      <c r="S450" s="282" t="e">
        <f>++Tabla4[[#This Row],[U. Bruta Uni]]*Tabla4[[#This Row],[Cantidad]]</f>
        <v>#N/A</v>
      </c>
      <c r="T450" s="369" t="str">
        <f>VLOOKUP(Tabla4[[#This Row],[Producto]],Tabla6[#All],14,FALSE)</f>
        <v>Termico Solar</v>
      </c>
      <c r="U450" s="284" t="e">
        <f>(IF(Tabla4[[#This Row],[Familia]]="termico solar",Tabla4[[#This Row],[Utilidad Total]]*6%,Tabla4[[#This Row],[Utilidad Total]]*11.5%))/Tabla4[[#This Row],[Total]]</f>
        <v>#N/A</v>
      </c>
      <c r="V450" s="282" t="e">
        <f>+Tabla4[[#This Row],[Comisión Calculada]]*Tabla4[[#This Row],[Total]]</f>
        <v>#N/A</v>
      </c>
    </row>
    <row r="451" spans="1:22" ht="17.25" hidden="1" customHeight="1" x14ac:dyDescent="0.25">
      <c r="A451" s="100">
        <v>45703</v>
      </c>
      <c r="B451" t="str">
        <f t="shared" si="18"/>
        <v>February</v>
      </c>
      <c r="C451" s="46" t="s">
        <v>280</v>
      </c>
      <c r="F451" s="366" t="s">
        <v>904</v>
      </c>
      <c r="G451" s="46" t="s">
        <v>17</v>
      </c>
      <c r="H451" s="46">
        <v>1</v>
      </c>
      <c r="I451" s="51">
        <v>4622.28</v>
      </c>
      <c r="J451" s="281">
        <f>++Tabla4[[#This Row],[Precio Bruto]]*1.16</f>
        <v>5361.8447999999989</v>
      </c>
      <c r="K451" s="281">
        <f>+Tabla4[[#This Row],[Precio Unitario Neto]]*Tabla4[[#Headers],[20.85%]]</f>
        <v>1117.9446407999997</v>
      </c>
      <c r="L451" s="282">
        <f>++Tabla4[[#This Row],[Precio Unitario Neto]]-Tabla4[[#This Row],[20.85%]]</f>
        <v>4243.9001591999995</v>
      </c>
      <c r="M451" s="282" t="e">
        <f>(INDEX(Tabla6[#All],MATCH(Tabla4[[#This Row],[Producto]],Tabla6[[#All],[PRODUCTO]],0),MATCH(Tabla4[[#This Row],[Mes]],Tabla6[#Headers],0)))*(1+Catalogos!$L$2)</f>
        <v>#N/A</v>
      </c>
      <c r="N451" s="283" t="e">
        <f>+(Tabla4[[#This Row],[Precio Descontado]]-Tabla4[[#This Row],[Precio Base]])*Tabla4[[#This Row],[Cantidad]]</f>
        <v>#N/A</v>
      </c>
      <c r="O451" s="284" t="e">
        <f>++Tabla4[[#This Row],[Utilidad Total]]/Tabla4[[#This Row],[Total]]</f>
        <v>#N/A</v>
      </c>
      <c r="P451" s="282">
        <f>++Tabla4[[#This Row],[Precio Descontado]]*Tabla4[[#This Row],[Cantidad]]</f>
        <v>4243.9001591999995</v>
      </c>
      <c r="Q451" s="282" t="e">
        <f>(INDEX(Tabla6[#All],MATCH(Tabla4[[#This Row],[Producto]],Tabla6[[#All],[PRODUCTO]],0),MATCH(Tabla4[[#This Row],[Mes]],Tabla6[#Headers],0)))</f>
        <v>#N/A</v>
      </c>
      <c r="R451" s="282" t="e">
        <f>++Tabla4[[#This Row],[Precio Unitario Neto]]-Tabla4[[#This Row],[20.85%]]-Tabla4[[#This Row],[Costo]]</f>
        <v>#N/A</v>
      </c>
      <c r="S451" s="282" t="e">
        <f>++Tabla4[[#This Row],[U. Bruta Uni]]*Tabla4[[#This Row],[Cantidad]]</f>
        <v>#N/A</v>
      </c>
      <c r="T451" s="369" t="str">
        <f>VLOOKUP(Tabla4[[#This Row],[Producto]],Tabla6[#All],14,FALSE)</f>
        <v>Termico Solar</v>
      </c>
      <c r="U451" s="284" t="e">
        <f>(IF(Tabla4[[#This Row],[Familia]]="termico solar",Tabla4[[#This Row],[Utilidad Total]]*6%,Tabla4[[#This Row],[Utilidad Total]]*11.5%))/Tabla4[[#This Row],[Total]]</f>
        <v>#N/A</v>
      </c>
      <c r="V451" s="282" t="e">
        <f>+Tabla4[[#This Row],[Comisión Calculada]]*Tabla4[[#This Row],[Total]]</f>
        <v>#N/A</v>
      </c>
    </row>
    <row r="452" spans="1:22" hidden="1" x14ac:dyDescent="0.25">
      <c r="A452" s="100">
        <v>45703</v>
      </c>
      <c r="B452" t="str">
        <f t="shared" si="18"/>
        <v>February</v>
      </c>
      <c r="C452" s="46" t="s">
        <v>280</v>
      </c>
      <c r="F452" s="366" t="s">
        <v>905</v>
      </c>
      <c r="G452" s="46" t="s">
        <v>83</v>
      </c>
      <c r="H452" s="46">
        <v>1</v>
      </c>
      <c r="I452" s="51">
        <v>8858.76</v>
      </c>
      <c r="J452" s="281">
        <f>++Tabla4[[#This Row],[Precio Bruto]]*1.16</f>
        <v>10276.161599999999</v>
      </c>
      <c r="K452" s="281">
        <f>+Tabla4[[#This Row],[Precio Unitario Neto]]*Tabla4[[#Headers],[20.85%]]</f>
        <v>2142.5796935999997</v>
      </c>
      <c r="L452" s="282">
        <f>++Tabla4[[#This Row],[Precio Unitario Neto]]-Tabla4[[#This Row],[20.85%]]</f>
        <v>8133.5819063999998</v>
      </c>
      <c r="M452" s="282" t="e">
        <f>(INDEX(Tabla6[#All],MATCH(Tabla4[[#This Row],[Producto]],Tabla6[[#All],[PRODUCTO]],0),MATCH(Tabla4[[#This Row],[Mes]],Tabla6[#Headers],0)))*(1+Catalogos!$L$2)</f>
        <v>#N/A</v>
      </c>
      <c r="N452" s="283" t="e">
        <f>+(Tabla4[[#This Row],[Precio Descontado]]-Tabla4[[#This Row],[Precio Base]])*Tabla4[[#This Row],[Cantidad]]</f>
        <v>#N/A</v>
      </c>
      <c r="O452" s="284" t="e">
        <f>++Tabla4[[#This Row],[Utilidad Total]]/Tabla4[[#This Row],[Total]]</f>
        <v>#N/A</v>
      </c>
      <c r="P452" s="282">
        <f>++Tabla4[[#This Row],[Precio Descontado]]*Tabla4[[#This Row],[Cantidad]]</f>
        <v>8133.5819063999998</v>
      </c>
      <c r="Q452" s="282" t="e">
        <f>(INDEX(Tabla6[#All],MATCH(Tabla4[[#This Row],[Producto]],Tabla6[[#All],[PRODUCTO]],0),MATCH(Tabla4[[#This Row],[Mes]],Tabla6[#Headers],0)))</f>
        <v>#N/A</v>
      </c>
      <c r="R452" s="282" t="e">
        <f>++Tabla4[[#This Row],[Precio Unitario Neto]]-Tabla4[[#This Row],[20.85%]]-Tabla4[[#This Row],[Costo]]</f>
        <v>#N/A</v>
      </c>
      <c r="S452" s="282" t="e">
        <f>++Tabla4[[#This Row],[U. Bruta Uni]]*Tabla4[[#This Row],[Cantidad]]</f>
        <v>#N/A</v>
      </c>
      <c r="T452" s="369" t="str">
        <f>VLOOKUP(Tabla4[[#This Row],[Producto]],Tabla6[#All],14,FALSE)</f>
        <v>Termico Solar</v>
      </c>
      <c r="U452" s="284" t="e">
        <f>(IF(Tabla4[[#This Row],[Familia]]="termico solar",Tabla4[[#This Row],[Utilidad Total]]*6%,Tabla4[[#This Row],[Utilidad Total]]*11.5%))/Tabla4[[#This Row],[Total]]</f>
        <v>#N/A</v>
      </c>
      <c r="V452" s="282" t="e">
        <f>+Tabla4[[#This Row],[Comisión Calculada]]*Tabla4[[#This Row],[Total]]</f>
        <v>#N/A</v>
      </c>
    </row>
    <row r="453" spans="1:22" hidden="1" x14ac:dyDescent="0.25">
      <c r="A453" s="100">
        <v>45703</v>
      </c>
      <c r="B453" t="str">
        <f t="shared" si="18"/>
        <v>February</v>
      </c>
      <c r="C453" s="46" t="s">
        <v>280</v>
      </c>
      <c r="F453" s="366" t="s">
        <v>906</v>
      </c>
      <c r="G453" s="46" t="s">
        <v>83</v>
      </c>
      <c r="H453" s="46">
        <v>1</v>
      </c>
      <c r="I453" s="51">
        <v>8858.76</v>
      </c>
      <c r="J453" s="281">
        <f>++Tabla4[[#This Row],[Precio Bruto]]*1.16</f>
        <v>10276.161599999999</v>
      </c>
      <c r="K453" s="281">
        <f>+Tabla4[[#This Row],[Precio Unitario Neto]]*Tabla4[[#Headers],[20.85%]]</f>
        <v>2142.5796935999997</v>
      </c>
      <c r="L453" s="282">
        <f>++Tabla4[[#This Row],[Precio Unitario Neto]]-Tabla4[[#This Row],[20.85%]]</f>
        <v>8133.5819063999998</v>
      </c>
      <c r="M453" s="282" t="e">
        <f>(INDEX(Tabla6[#All],MATCH(Tabla4[[#This Row],[Producto]],Tabla6[[#All],[PRODUCTO]],0),MATCH(Tabla4[[#This Row],[Mes]],Tabla6[#Headers],0)))*(1+Catalogos!$L$2)</f>
        <v>#N/A</v>
      </c>
      <c r="N453" s="283" t="e">
        <f>+(Tabla4[[#This Row],[Precio Descontado]]-Tabla4[[#This Row],[Precio Base]])*Tabla4[[#This Row],[Cantidad]]</f>
        <v>#N/A</v>
      </c>
      <c r="O453" s="284" t="e">
        <f>++Tabla4[[#This Row],[Utilidad Total]]/Tabla4[[#This Row],[Total]]</f>
        <v>#N/A</v>
      </c>
      <c r="P453" s="282">
        <f>++Tabla4[[#This Row],[Precio Descontado]]*Tabla4[[#This Row],[Cantidad]]</f>
        <v>8133.5819063999998</v>
      </c>
      <c r="Q453" s="282" t="e">
        <f>(INDEX(Tabla6[#All],MATCH(Tabla4[[#This Row],[Producto]],Tabla6[[#All],[PRODUCTO]],0),MATCH(Tabla4[[#This Row],[Mes]],Tabla6[#Headers],0)))</f>
        <v>#N/A</v>
      </c>
      <c r="R453" s="282" t="e">
        <f>++Tabla4[[#This Row],[Precio Unitario Neto]]-Tabla4[[#This Row],[20.85%]]-Tabla4[[#This Row],[Costo]]</f>
        <v>#N/A</v>
      </c>
      <c r="S453" s="282" t="e">
        <f>++Tabla4[[#This Row],[U. Bruta Uni]]*Tabla4[[#This Row],[Cantidad]]</f>
        <v>#N/A</v>
      </c>
      <c r="T453" s="369" t="str">
        <f>VLOOKUP(Tabla4[[#This Row],[Producto]],Tabla6[#All],14,FALSE)</f>
        <v>Termico Solar</v>
      </c>
      <c r="U453" s="284" t="e">
        <f>(IF(Tabla4[[#This Row],[Familia]]="termico solar",Tabla4[[#This Row],[Utilidad Total]]*6%,Tabla4[[#This Row],[Utilidad Total]]*11.5%))/Tabla4[[#This Row],[Total]]</f>
        <v>#N/A</v>
      </c>
      <c r="V453" s="282" t="e">
        <f>+Tabla4[[#This Row],[Comisión Calculada]]*Tabla4[[#This Row],[Total]]</f>
        <v>#N/A</v>
      </c>
    </row>
    <row r="454" spans="1:22" hidden="1" x14ac:dyDescent="0.25">
      <c r="A454" s="100">
        <v>45703</v>
      </c>
      <c r="B454" t="str">
        <f t="shared" si="18"/>
        <v>February</v>
      </c>
      <c r="C454" s="46" t="s">
        <v>280</v>
      </c>
      <c r="F454" s="366" t="s">
        <v>907</v>
      </c>
      <c r="G454" s="46" t="s">
        <v>83</v>
      </c>
      <c r="H454" s="46">
        <v>2</v>
      </c>
      <c r="I454" s="51">
        <v>8858.76</v>
      </c>
      <c r="J454" s="281">
        <f>++Tabla4[[#This Row],[Precio Bruto]]*1.16</f>
        <v>10276.161599999999</v>
      </c>
      <c r="K454" s="281">
        <f>+Tabla4[[#This Row],[Precio Unitario Neto]]*Tabla4[[#Headers],[20.85%]]</f>
        <v>2142.5796935999997</v>
      </c>
      <c r="L454" s="282">
        <f>++Tabla4[[#This Row],[Precio Unitario Neto]]-Tabla4[[#This Row],[20.85%]]</f>
        <v>8133.5819063999998</v>
      </c>
      <c r="M454" s="282" t="e">
        <f>(INDEX(Tabla6[#All],MATCH(Tabla4[[#This Row],[Producto]],Tabla6[[#All],[PRODUCTO]],0),MATCH(Tabla4[[#This Row],[Mes]],Tabla6[#Headers],0)))*(1+Catalogos!$L$2)</f>
        <v>#N/A</v>
      </c>
      <c r="N454" s="283" t="e">
        <f>+(Tabla4[[#This Row],[Precio Descontado]]-Tabla4[[#This Row],[Precio Base]])*Tabla4[[#This Row],[Cantidad]]</f>
        <v>#N/A</v>
      </c>
      <c r="O454" s="284" t="e">
        <f>++Tabla4[[#This Row],[Utilidad Total]]/Tabla4[[#This Row],[Total]]</f>
        <v>#N/A</v>
      </c>
      <c r="P454" s="282">
        <f>++Tabla4[[#This Row],[Precio Descontado]]*Tabla4[[#This Row],[Cantidad]]</f>
        <v>16267.1638128</v>
      </c>
      <c r="Q454" s="282" t="e">
        <f>(INDEX(Tabla6[#All],MATCH(Tabla4[[#This Row],[Producto]],Tabla6[[#All],[PRODUCTO]],0),MATCH(Tabla4[[#This Row],[Mes]],Tabla6[#Headers],0)))</f>
        <v>#N/A</v>
      </c>
      <c r="R454" s="282" t="e">
        <f>++Tabla4[[#This Row],[Precio Unitario Neto]]-Tabla4[[#This Row],[20.85%]]-Tabla4[[#This Row],[Costo]]</f>
        <v>#N/A</v>
      </c>
      <c r="S454" s="282" t="e">
        <f>++Tabla4[[#This Row],[U. Bruta Uni]]*Tabla4[[#This Row],[Cantidad]]</f>
        <v>#N/A</v>
      </c>
      <c r="T454" s="369" t="str">
        <f>VLOOKUP(Tabla4[[#This Row],[Producto]],Tabla6[#All],14,FALSE)</f>
        <v>Termico Solar</v>
      </c>
      <c r="U454" s="284" t="e">
        <f>(IF(Tabla4[[#This Row],[Familia]]="termico solar",Tabla4[[#This Row],[Utilidad Total]]*6%,Tabla4[[#This Row],[Utilidad Total]]*11.5%))/Tabla4[[#This Row],[Total]]</f>
        <v>#N/A</v>
      </c>
      <c r="V454" s="282" t="e">
        <f>+Tabla4[[#This Row],[Comisión Calculada]]*Tabla4[[#This Row],[Total]]</f>
        <v>#N/A</v>
      </c>
    </row>
    <row r="455" spans="1:22" hidden="1" x14ac:dyDescent="0.25">
      <c r="A455" s="100">
        <v>45703</v>
      </c>
      <c r="B455" t="str">
        <f t="shared" si="18"/>
        <v>February</v>
      </c>
      <c r="C455" s="46" t="s">
        <v>280</v>
      </c>
      <c r="F455" s="366" t="s">
        <v>907</v>
      </c>
      <c r="G455" s="46" t="s">
        <v>17</v>
      </c>
      <c r="H455" s="46">
        <v>2</v>
      </c>
      <c r="I455" s="51">
        <v>4622.28</v>
      </c>
      <c r="J455" s="281">
        <f>++Tabla4[[#This Row],[Precio Bruto]]*1.16</f>
        <v>5361.8447999999989</v>
      </c>
      <c r="K455" s="281">
        <f>+Tabla4[[#This Row],[Precio Unitario Neto]]*Tabla4[[#Headers],[20.85%]]</f>
        <v>1117.9446407999997</v>
      </c>
      <c r="L455" s="282">
        <f>++Tabla4[[#This Row],[Precio Unitario Neto]]-Tabla4[[#This Row],[20.85%]]</f>
        <v>4243.9001591999995</v>
      </c>
      <c r="M455" s="282" t="e">
        <f>(INDEX(Tabla6[#All],MATCH(Tabla4[[#This Row],[Producto]],Tabla6[[#All],[PRODUCTO]],0),MATCH(Tabla4[[#This Row],[Mes]],Tabla6[#Headers],0)))*(1+Catalogos!$L$2)</f>
        <v>#N/A</v>
      </c>
      <c r="N455" s="283" t="e">
        <f>+(Tabla4[[#This Row],[Precio Descontado]]-Tabla4[[#This Row],[Precio Base]])*Tabla4[[#This Row],[Cantidad]]</f>
        <v>#N/A</v>
      </c>
      <c r="O455" s="284" t="e">
        <f>++Tabla4[[#This Row],[Utilidad Total]]/Tabla4[[#This Row],[Total]]</f>
        <v>#N/A</v>
      </c>
      <c r="P455" s="282">
        <f>++Tabla4[[#This Row],[Precio Descontado]]*Tabla4[[#This Row],[Cantidad]]</f>
        <v>8487.800318399999</v>
      </c>
      <c r="Q455" s="282" t="e">
        <f>(INDEX(Tabla6[#All],MATCH(Tabla4[[#This Row],[Producto]],Tabla6[[#All],[PRODUCTO]],0),MATCH(Tabla4[[#This Row],[Mes]],Tabla6[#Headers],0)))</f>
        <v>#N/A</v>
      </c>
      <c r="R455" s="282" t="e">
        <f>++Tabla4[[#This Row],[Precio Unitario Neto]]-Tabla4[[#This Row],[20.85%]]-Tabla4[[#This Row],[Costo]]</f>
        <v>#N/A</v>
      </c>
      <c r="S455" s="282" t="e">
        <f>++Tabla4[[#This Row],[U. Bruta Uni]]*Tabla4[[#This Row],[Cantidad]]</f>
        <v>#N/A</v>
      </c>
      <c r="T455" s="369" t="str">
        <f>VLOOKUP(Tabla4[[#This Row],[Producto]],Tabla6[#All],14,FALSE)</f>
        <v>Termico Solar</v>
      </c>
      <c r="U455" s="284" t="e">
        <f>(IF(Tabla4[[#This Row],[Familia]]="termico solar",Tabla4[[#This Row],[Utilidad Total]]*6%,Tabla4[[#This Row],[Utilidad Total]]*11.5%))/Tabla4[[#This Row],[Total]]</f>
        <v>#N/A</v>
      </c>
      <c r="V455" s="282" t="e">
        <f>+Tabla4[[#This Row],[Comisión Calculada]]*Tabla4[[#This Row],[Total]]</f>
        <v>#N/A</v>
      </c>
    </row>
    <row r="456" spans="1:22" ht="14.25" hidden="1" customHeight="1" x14ac:dyDescent="0.25">
      <c r="A456" s="100">
        <v>45703</v>
      </c>
      <c r="B456" t="str">
        <f t="shared" si="18"/>
        <v>February</v>
      </c>
      <c r="C456" s="46" t="s">
        <v>280</v>
      </c>
      <c r="F456" s="366" t="s">
        <v>907</v>
      </c>
      <c r="G456" s="46" t="s">
        <v>18</v>
      </c>
      <c r="H456" s="46">
        <v>2</v>
      </c>
      <c r="I456" s="51">
        <v>5367.65</v>
      </c>
      <c r="J456" s="281">
        <f>++Tabla4[[#This Row],[Precio Bruto]]*1.16</f>
        <v>6226.4739999999993</v>
      </c>
      <c r="K456" s="281">
        <f>+Tabla4[[#This Row],[Precio Unitario Neto]]*Tabla4[[#Headers],[20.85%]]</f>
        <v>1298.2198289999999</v>
      </c>
      <c r="L456" s="282">
        <f>++Tabla4[[#This Row],[Precio Unitario Neto]]-Tabla4[[#This Row],[20.85%]]</f>
        <v>4928.2541709999996</v>
      </c>
      <c r="M456" s="282" t="e">
        <f>(INDEX(Tabla6[#All],MATCH(Tabla4[[#This Row],[Producto]],Tabla6[[#All],[PRODUCTO]],0),MATCH(Tabla4[[#This Row],[Mes]],Tabla6[#Headers],0)))*(1+Catalogos!$L$2)</f>
        <v>#N/A</v>
      </c>
      <c r="N456" s="283" t="e">
        <f>+(Tabla4[[#This Row],[Precio Descontado]]-Tabla4[[#This Row],[Precio Base]])*Tabla4[[#This Row],[Cantidad]]</f>
        <v>#N/A</v>
      </c>
      <c r="O456" s="284" t="e">
        <f>++Tabla4[[#This Row],[Utilidad Total]]/Tabla4[[#This Row],[Total]]</f>
        <v>#N/A</v>
      </c>
      <c r="P456" s="282">
        <f>++Tabla4[[#This Row],[Precio Descontado]]*Tabla4[[#This Row],[Cantidad]]</f>
        <v>9856.5083419999992</v>
      </c>
      <c r="Q456" s="282" t="e">
        <f>(INDEX(Tabla6[#All],MATCH(Tabla4[[#This Row],[Producto]],Tabla6[[#All],[PRODUCTO]],0),MATCH(Tabla4[[#This Row],[Mes]],Tabla6[#Headers],0)))</f>
        <v>#N/A</v>
      </c>
      <c r="R456" s="282" t="e">
        <f>++Tabla4[[#This Row],[Precio Unitario Neto]]-Tabla4[[#This Row],[20.85%]]-Tabla4[[#This Row],[Costo]]</f>
        <v>#N/A</v>
      </c>
      <c r="S456" s="282" t="e">
        <f>++Tabla4[[#This Row],[U. Bruta Uni]]*Tabla4[[#This Row],[Cantidad]]</f>
        <v>#N/A</v>
      </c>
      <c r="T456" s="369" t="str">
        <f>VLOOKUP(Tabla4[[#This Row],[Producto]],Tabla6[#All],14,FALSE)</f>
        <v>Termico Solar</v>
      </c>
      <c r="U456" s="284" t="e">
        <f>(IF(Tabla4[[#This Row],[Familia]]="termico solar",Tabla4[[#This Row],[Utilidad Total]]*6%,Tabla4[[#This Row],[Utilidad Total]]*11.5%))/Tabla4[[#This Row],[Total]]</f>
        <v>#N/A</v>
      </c>
      <c r="V456" s="282" t="e">
        <f>+Tabla4[[#This Row],[Comisión Calculada]]*Tabla4[[#This Row],[Total]]</f>
        <v>#N/A</v>
      </c>
    </row>
    <row r="457" spans="1:22" hidden="1" x14ac:dyDescent="0.25">
      <c r="A457" s="100">
        <v>45703</v>
      </c>
      <c r="B457" t="str">
        <f t="shared" si="18"/>
        <v>February</v>
      </c>
      <c r="C457" s="46" t="s">
        <v>280</v>
      </c>
      <c r="F457" s="366" t="s">
        <v>907</v>
      </c>
      <c r="G457" s="46" t="s">
        <v>566</v>
      </c>
      <c r="H457" s="46">
        <v>1</v>
      </c>
      <c r="I457" s="51">
        <v>2109.4499999999998</v>
      </c>
      <c r="J457" s="281">
        <f>++Tabla4[[#This Row],[Precio Bruto]]*1.16</f>
        <v>2446.9619999999995</v>
      </c>
      <c r="K457" s="281">
        <f>+Tabla4[[#This Row],[Precio Unitario Neto]]*Tabla4[[#Headers],[20.85%]]</f>
        <v>510.19157699999988</v>
      </c>
      <c r="L457" s="282">
        <f>++Tabla4[[#This Row],[Precio Unitario Neto]]-Tabla4[[#This Row],[20.85%]]</f>
        <v>1936.7704229999997</v>
      </c>
      <c r="M457" s="282" t="e">
        <f>(INDEX(Tabla6[#All],MATCH(Tabla4[[#This Row],[Producto]],Tabla6[[#All],[PRODUCTO]],0),MATCH(Tabla4[[#This Row],[Mes]],Tabla6[#Headers],0)))*(1+Catalogos!$L$2)</f>
        <v>#N/A</v>
      </c>
      <c r="N457" s="283" t="e">
        <f>+(Tabla4[[#This Row],[Precio Descontado]]-Tabla4[[#This Row],[Precio Base]])*Tabla4[[#This Row],[Cantidad]]</f>
        <v>#N/A</v>
      </c>
      <c r="O457" s="284" t="e">
        <f>++Tabla4[[#This Row],[Utilidad Total]]/Tabla4[[#This Row],[Total]]</f>
        <v>#N/A</v>
      </c>
      <c r="P457" s="282">
        <f>++Tabla4[[#This Row],[Precio Descontado]]*Tabla4[[#This Row],[Cantidad]]</f>
        <v>1936.7704229999997</v>
      </c>
      <c r="Q457" s="282" t="e">
        <f>(INDEX(Tabla6[#All],MATCH(Tabla4[[#This Row],[Producto]],Tabla6[[#All],[PRODUCTO]],0),MATCH(Tabla4[[#This Row],[Mes]],Tabla6[#Headers],0)))</f>
        <v>#N/A</v>
      </c>
      <c r="R457" s="282" t="e">
        <f>++Tabla4[[#This Row],[Precio Unitario Neto]]-Tabla4[[#This Row],[20.85%]]-Tabla4[[#This Row],[Costo]]</f>
        <v>#N/A</v>
      </c>
      <c r="S457" s="282" t="e">
        <f>++Tabla4[[#This Row],[U. Bruta Uni]]*Tabla4[[#This Row],[Cantidad]]</f>
        <v>#N/A</v>
      </c>
      <c r="T457" s="369" t="str">
        <f>VLOOKUP(Tabla4[[#This Row],[Producto]],Tabla6[#All],14,FALSE)</f>
        <v>Termico Solar</v>
      </c>
      <c r="U457" s="284" t="e">
        <f>(IF(Tabla4[[#This Row],[Familia]]="termico solar",Tabla4[[#This Row],[Utilidad Total]]*6%,Tabla4[[#This Row],[Utilidad Total]]*11.5%))/Tabla4[[#This Row],[Total]]</f>
        <v>#N/A</v>
      </c>
      <c r="V457" s="282" t="e">
        <f>+Tabla4[[#This Row],[Comisión Calculada]]*Tabla4[[#This Row],[Total]]</f>
        <v>#N/A</v>
      </c>
    </row>
    <row r="458" spans="1:22" hidden="1" x14ac:dyDescent="0.25">
      <c r="A458" s="100">
        <v>45703</v>
      </c>
      <c r="B458" t="str">
        <f t="shared" si="18"/>
        <v>February</v>
      </c>
      <c r="C458" s="46" t="s">
        <v>280</v>
      </c>
      <c r="F458" s="366" t="s">
        <v>908</v>
      </c>
      <c r="G458" s="46" t="s">
        <v>83</v>
      </c>
      <c r="H458" s="46">
        <v>1</v>
      </c>
      <c r="I458" s="51">
        <v>8858.76</v>
      </c>
      <c r="J458" s="281">
        <f>++Tabla4[[#This Row],[Precio Bruto]]*1.16</f>
        <v>10276.161599999999</v>
      </c>
      <c r="K458" s="281">
        <f>+Tabla4[[#This Row],[Precio Unitario Neto]]*Tabla4[[#Headers],[20.85%]]</f>
        <v>2142.5796935999997</v>
      </c>
      <c r="L458" s="282">
        <f>++Tabla4[[#This Row],[Precio Unitario Neto]]-Tabla4[[#This Row],[20.85%]]</f>
        <v>8133.5819063999998</v>
      </c>
      <c r="M458" s="282" t="e">
        <f>(INDEX(Tabla6[#All],MATCH(Tabla4[[#This Row],[Producto]],Tabla6[[#All],[PRODUCTO]],0),MATCH(Tabla4[[#This Row],[Mes]],Tabla6[#Headers],0)))*(1+Catalogos!$L$2)</f>
        <v>#N/A</v>
      </c>
      <c r="N458" s="283" t="e">
        <f>+(Tabla4[[#This Row],[Precio Descontado]]-Tabla4[[#This Row],[Precio Base]])*Tabla4[[#This Row],[Cantidad]]</f>
        <v>#N/A</v>
      </c>
      <c r="O458" s="284" t="e">
        <f>++Tabla4[[#This Row],[Utilidad Total]]/Tabla4[[#This Row],[Total]]</f>
        <v>#N/A</v>
      </c>
      <c r="P458" s="282">
        <f>++Tabla4[[#This Row],[Precio Descontado]]*Tabla4[[#This Row],[Cantidad]]</f>
        <v>8133.5819063999998</v>
      </c>
      <c r="Q458" s="282" t="e">
        <f>(INDEX(Tabla6[#All],MATCH(Tabla4[[#This Row],[Producto]],Tabla6[[#All],[PRODUCTO]],0),MATCH(Tabla4[[#This Row],[Mes]],Tabla6[#Headers],0)))</f>
        <v>#N/A</v>
      </c>
      <c r="R458" s="282" t="e">
        <f>++Tabla4[[#This Row],[Precio Unitario Neto]]-Tabla4[[#This Row],[20.85%]]-Tabla4[[#This Row],[Costo]]</f>
        <v>#N/A</v>
      </c>
      <c r="S458" s="282" t="e">
        <f>++Tabla4[[#This Row],[U. Bruta Uni]]*Tabla4[[#This Row],[Cantidad]]</f>
        <v>#N/A</v>
      </c>
      <c r="T458" s="369" t="str">
        <f>VLOOKUP(Tabla4[[#This Row],[Producto]],Tabla6[#All],14,FALSE)</f>
        <v>Termico Solar</v>
      </c>
      <c r="U458" s="284" t="e">
        <f>(IF(Tabla4[[#This Row],[Familia]]="termico solar",Tabla4[[#This Row],[Utilidad Total]]*6%,Tabla4[[#This Row],[Utilidad Total]]*11.5%))/Tabla4[[#This Row],[Total]]</f>
        <v>#N/A</v>
      </c>
      <c r="V458" s="282" t="e">
        <f>+Tabla4[[#This Row],[Comisión Calculada]]*Tabla4[[#This Row],[Total]]</f>
        <v>#N/A</v>
      </c>
    </row>
    <row r="459" spans="1:22" hidden="1" x14ac:dyDescent="0.25">
      <c r="A459" s="100">
        <v>45703</v>
      </c>
      <c r="B459" t="str">
        <f t="shared" si="18"/>
        <v>February</v>
      </c>
      <c r="C459" s="46" t="s">
        <v>280</v>
      </c>
      <c r="F459" s="366" t="s">
        <v>908</v>
      </c>
      <c r="G459" s="46" t="s">
        <v>17</v>
      </c>
      <c r="H459" s="46">
        <v>2</v>
      </c>
      <c r="I459" s="51">
        <v>4622.28</v>
      </c>
      <c r="J459" s="281">
        <f>++Tabla4[[#This Row],[Precio Bruto]]*1.16</f>
        <v>5361.8447999999989</v>
      </c>
      <c r="K459" s="281">
        <f>+Tabla4[[#This Row],[Precio Unitario Neto]]*Tabla4[[#Headers],[20.85%]]</f>
        <v>1117.9446407999997</v>
      </c>
      <c r="L459" s="282">
        <f>++Tabla4[[#This Row],[Precio Unitario Neto]]-Tabla4[[#This Row],[20.85%]]</f>
        <v>4243.9001591999995</v>
      </c>
      <c r="M459" s="282" t="e">
        <f>(INDEX(Tabla6[#All],MATCH(Tabla4[[#This Row],[Producto]],Tabla6[[#All],[PRODUCTO]],0),MATCH(Tabla4[[#This Row],[Mes]],Tabla6[#Headers],0)))*(1+Catalogos!$L$2)</f>
        <v>#N/A</v>
      </c>
      <c r="N459" s="283" t="e">
        <f>+(Tabla4[[#This Row],[Precio Descontado]]-Tabla4[[#This Row],[Precio Base]])*Tabla4[[#This Row],[Cantidad]]</f>
        <v>#N/A</v>
      </c>
      <c r="O459" s="284" t="e">
        <f>++Tabla4[[#This Row],[Utilidad Total]]/Tabla4[[#This Row],[Total]]</f>
        <v>#N/A</v>
      </c>
      <c r="P459" s="282">
        <f>++Tabla4[[#This Row],[Precio Descontado]]*Tabla4[[#This Row],[Cantidad]]</f>
        <v>8487.800318399999</v>
      </c>
      <c r="Q459" s="282" t="e">
        <f>(INDEX(Tabla6[#All],MATCH(Tabla4[[#This Row],[Producto]],Tabla6[[#All],[PRODUCTO]],0),MATCH(Tabla4[[#This Row],[Mes]],Tabla6[#Headers],0)))</f>
        <v>#N/A</v>
      </c>
      <c r="R459" s="282" t="e">
        <f>++Tabla4[[#This Row],[Precio Unitario Neto]]-Tabla4[[#This Row],[20.85%]]-Tabla4[[#This Row],[Costo]]</f>
        <v>#N/A</v>
      </c>
      <c r="S459" s="282" t="e">
        <f>++Tabla4[[#This Row],[U. Bruta Uni]]*Tabla4[[#This Row],[Cantidad]]</f>
        <v>#N/A</v>
      </c>
      <c r="T459" s="369" t="str">
        <f>VLOOKUP(Tabla4[[#This Row],[Producto]],Tabla6[#All],14,FALSE)</f>
        <v>Termico Solar</v>
      </c>
      <c r="U459" s="284" t="e">
        <f>(IF(Tabla4[[#This Row],[Familia]]="termico solar",Tabla4[[#This Row],[Utilidad Total]]*6%,Tabla4[[#This Row],[Utilidad Total]]*11.5%))/Tabla4[[#This Row],[Total]]</f>
        <v>#N/A</v>
      </c>
      <c r="V459" s="282" t="e">
        <f>+Tabla4[[#This Row],[Comisión Calculada]]*Tabla4[[#This Row],[Total]]</f>
        <v>#N/A</v>
      </c>
    </row>
    <row r="460" spans="1:22" hidden="1" x14ac:dyDescent="0.25">
      <c r="A460" s="100">
        <v>45703</v>
      </c>
      <c r="B460" t="str">
        <f t="shared" si="18"/>
        <v>February</v>
      </c>
      <c r="C460" s="46" t="s">
        <v>280</v>
      </c>
      <c r="F460" s="366" t="s">
        <v>908</v>
      </c>
      <c r="G460" s="46" t="s">
        <v>18</v>
      </c>
      <c r="H460" s="46">
        <v>2</v>
      </c>
      <c r="I460" s="51">
        <v>5367.65</v>
      </c>
      <c r="J460" s="281">
        <f>++Tabla4[[#This Row],[Precio Bruto]]*1.16</f>
        <v>6226.4739999999993</v>
      </c>
      <c r="K460" s="281">
        <f>+Tabla4[[#This Row],[Precio Unitario Neto]]*Tabla4[[#Headers],[20.85%]]</f>
        <v>1298.2198289999999</v>
      </c>
      <c r="L460" s="282">
        <f>++Tabla4[[#This Row],[Precio Unitario Neto]]-Tabla4[[#This Row],[20.85%]]</f>
        <v>4928.2541709999996</v>
      </c>
      <c r="M460" s="282" t="e">
        <f>(INDEX(Tabla6[#All],MATCH(Tabla4[[#This Row],[Producto]],Tabla6[[#All],[PRODUCTO]],0),MATCH(Tabla4[[#This Row],[Mes]],Tabla6[#Headers],0)))*(1+Catalogos!$L$2)</f>
        <v>#N/A</v>
      </c>
      <c r="N460" s="283" t="e">
        <f>+(Tabla4[[#This Row],[Precio Descontado]]-Tabla4[[#This Row],[Precio Base]])*Tabla4[[#This Row],[Cantidad]]</f>
        <v>#N/A</v>
      </c>
      <c r="O460" s="284" t="e">
        <f>++Tabla4[[#This Row],[Utilidad Total]]/Tabla4[[#This Row],[Total]]</f>
        <v>#N/A</v>
      </c>
      <c r="P460" s="282">
        <f>++Tabla4[[#This Row],[Precio Descontado]]*Tabla4[[#This Row],[Cantidad]]</f>
        <v>9856.5083419999992</v>
      </c>
      <c r="Q460" s="282" t="e">
        <f>(INDEX(Tabla6[#All],MATCH(Tabla4[[#This Row],[Producto]],Tabla6[[#All],[PRODUCTO]],0),MATCH(Tabla4[[#This Row],[Mes]],Tabla6[#Headers],0)))</f>
        <v>#N/A</v>
      </c>
      <c r="R460" s="282" t="e">
        <f>++Tabla4[[#This Row],[Precio Unitario Neto]]-Tabla4[[#This Row],[20.85%]]-Tabla4[[#This Row],[Costo]]</f>
        <v>#N/A</v>
      </c>
      <c r="S460" s="282" t="e">
        <f>++Tabla4[[#This Row],[U. Bruta Uni]]*Tabla4[[#This Row],[Cantidad]]</f>
        <v>#N/A</v>
      </c>
      <c r="T460" s="369" t="str">
        <f>VLOOKUP(Tabla4[[#This Row],[Producto]],Tabla6[#All],14,FALSE)</f>
        <v>Termico Solar</v>
      </c>
      <c r="U460" s="284" t="e">
        <f>(IF(Tabla4[[#This Row],[Familia]]="termico solar",Tabla4[[#This Row],[Utilidad Total]]*6%,Tabla4[[#This Row],[Utilidad Total]]*11.5%))/Tabla4[[#This Row],[Total]]</f>
        <v>#N/A</v>
      </c>
      <c r="V460" s="282" t="e">
        <f>+Tabla4[[#This Row],[Comisión Calculada]]*Tabla4[[#This Row],[Total]]</f>
        <v>#N/A</v>
      </c>
    </row>
    <row r="461" spans="1:22" hidden="1" x14ac:dyDescent="0.25">
      <c r="A461" s="100">
        <v>45703</v>
      </c>
      <c r="B461" t="str">
        <f t="shared" si="18"/>
        <v>February</v>
      </c>
      <c r="C461" s="46" t="s">
        <v>280</v>
      </c>
      <c r="F461" s="366" t="s">
        <v>908</v>
      </c>
      <c r="G461" s="46" t="s">
        <v>566</v>
      </c>
      <c r="H461" s="46">
        <v>1</v>
      </c>
      <c r="I461" s="51">
        <v>2109.4499999999998</v>
      </c>
      <c r="J461" s="281">
        <f>++Tabla4[[#This Row],[Precio Bruto]]*1.16</f>
        <v>2446.9619999999995</v>
      </c>
      <c r="K461" s="281">
        <f>+Tabla4[[#This Row],[Precio Unitario Neto]]*Tabla4[[#Headers],[20.85%]]</f>
        <v>510.19157699999988</v>
      </c>
      <c r="L461" s="282">
        <f>++Tabla4[[#This Row],[Precio Unitario Neto]]-Tabla4[[#This Row],[20.85%]]</f>
        <v>1936.7704229999997</v>
      </c>
      <c r="M461" s="282" t="e">
        <f>(INDEX(Tabla6[#All],MATCH(Tabla4[[#This Row],[Producto]],Tabla6[[#All],[PRODUCTO]],0),MATCH(Tabla4[[#This Row],[Mes]],Tabla6[#Headers],0)))*(1+Catalogos!$L$2)</f>
        <v>#N/A</v>
      </c>
      <c r="N461" s="283" t="e">
        <f>+(Tabla4[[#This Row],[Precio Descontado]]-Tabla4[[#This Row],[Precio Base]])*Tabla4[[#This Row],[Cantidad]]</f>
        <v>#N/A</v>
      </c>
      <c r="O461" s="284" t="e">
        <f>++Tabla4[[#This Row],[Utilidad Total]]/Tabla4[[#This Row],[Total]]</f>
        <v>#N/A</v>
      </c>
      <c r="P461" s="282">
        <f>++Tabla4[[#This Row],[Precio Descontado]]*Tabla4[[#This Row],[Cantidad]]</f>
        <v>1936.7704229999997</v>
      </c>
      <c r="Q461" s="282" t="e">
        <f>(INDEX(Tabla6[#All],MATCH(Tabla4[[#This Row],[Producto]],Tabla6[[#All],[PRODUCTO]],0),MATCH(Tabla4[[#This Row],[Mes]],Tabla6[#Headers],0)))</f>
        <v>#N/A</v>
      </c>
      <c r="R461" s="282" t="e">
        <f>++Tabla4[[#This Row],[Precio Unitario Neto]]-Tabla4[[#This Row],[20.85%]]-Tabla4[[#This Row],[Costo]]</f>
        <v>#N/A</v>
      </c>
      <c r="S461" s="282" t="e">
        <f>++Tabla4[[#This Row],[U. Bruta Uni]]*Tabla4[[#This Row],[Cantidad]]</f>
        <v>#N/A</v>
      </c>
      <c r="T461" s="369" t="str">
        <f>VLOOKUP(Tabla4[[#This Row],[Producto]],Tabla6[#All],14,FALSE)</f>
        <v>Termico Solar</v>
      </c>
      <c r="U461" s="284" t="e">
        <f>(IF(Tabla4[[#This Row],[Familia]]="termico solar",Tabla4[[#This Row],[Utilidad Total]]*6%,Tabla4[[#This Row],[Utilidad Total]]*11.5%))/Tabla4[[#This Row],[Total]]</f>
        <v>#N/A</v>
      </c>
      <c r="V461" s="282" t="e">
        <f>+Tabla4[[#This Row],[Comisión Calculada]]*Tabla4[[#This Row],[Total]]</f>
        <v>#N/A</v>
      </c>
    </row>
    <row r="462" spans="1:22" hidden="1" x14ac:dyDescent="0.25">
      <c r="A462" s="100">
        <v>45703</v>
      </c>
      <c r="B462" t="str">
        <f t="shared" si="18"/>
        <v>February</v>
      </c>
      <c r="C462" s="46" t="s">
        <v>280</v>
      </c>
      <c r="F462" s="366" t="s">
        <v>909</v>
      </c>
      <c r="G462" s="46" t="s">
        <v>83</v>
      </c>
      <c r="H462" s="46">
        <v>10</v>
      </c>
      <c r="I462" s="51">
        <v>8858.76</v>
      </c>
      <c r="J462" s="281">
        <f>++Tabla4[[#This Row],[Precio Bruto]]*1.16</f>
        <v>10276.161599999999</v>
      </c>
      <c r="K462" s="281">
        <f>+Tabla4[[#This Row],[Precio Unitario Neto]]*Tabla4[[#Headers],[20.85%]]</f>
        <v>2142.5796935999997</v>
      </c>
      <c r="L462" s="282">
        <f>++Tabla4[[#This Row],[Precio Unitario Neto]]-Tabla4[[#This Row],[20.85%]]</f>
        <v>8133.5819063999998</v>
      </c>
      <c r="M462" s="282" t="e">
        <f>(INDEX(Tabla6[#All],MATCH(Tabla4[[#This Row],[Producto]],Tabla6[[#All],[PRODUCTO]],0),MATCH(Tabla4[[#This Row],[Mes]],Tabla6[#Headers],0)))*(1+Catalogos!$L$2)</f>
        <v>#N/A</v>
      </c>
      <c r="N462" s="283" t="e">
        <f>+(Tabla4[[#This Row],[Precio Descontado]]-Tabla4[[#This Row],[Precio Base]])*Tabla4[[#This Row],[Cantidad]]</f>
        <v>#N/A</v>
      </c>
      <c r="O462" s="284" t="e">
        <f>++Tabla4[[#This Row],[Utilidad Total]]/Tabla4[[#This Row],[Total]]</f>
        <v>#N/A</v>
      </c>
      <c r="P462" s="282">
        <f>++Tabla4[[#This Row],[Precio Descontado]]*Tabla4[[#This Row],[Cantidad]]</f>
        <v>81335.819063999996</v>
      </c>
      <c r="Q462" s="282" t="e">
        <f>(INDEX(Tabla6[#All],MATCH(Tabla4[[#This Row],[Producto]],Tabla6[[#All],[PRODUCTO]],0),MATCH(Tabla4[[#This Row],[Mes]],Tabla6[#Headers],0)))</f>
        <v>#N/A</v>
      </c>
      <c r="R462" s="282" t="e">
        <f>++Tabla4[[#This Row],[Precio Unitario Neto]]-Tabla4[[#This Row],[20.85%]]-Tabla4[[#This Row],[Costo]]</f>
        <v>#N/A</v>
      </c>
      <c r="S462" s="282" t="e">
        <f>++Tabla4[[#This Row],[U. Bruta Uni]]*Tabla4[[#This Row],[Cantidad]]</f>
        <v>#N/A</v>
      </c>
      <c r="T462" s="369" t="str">
        <f>VLOOKUP(Tabla4[[#This Row],[Producto]],Tabla6[#All],14,FALSE)</f>
        <v>Termico Solar</v>
      </c>
      <c r="U462" s="284" t="e">
        <f>(IF(Tabla4[[#This Row],[Familia]]="termico solar",Tabla4[[#This Row],[Utilidad Total]]*6%,Tabla4[[#This Row],[Utilidad Total]]*11.5%))/Tabla4[[#This Row],[Total]]</f>
        <v>#N/A</v>
      </c>
      <c r="V462" s="282" t="e">
        <f>+Tabla4[[#This Row],[Comisión Calculada]]*Tabla4[[#This Row],[Total]]</f>
        <v>#N/A</v>
      </c>
    </row>
    <row r="463" spans="1:22" hidden="1" x14ac:dyDescent="0.25">
      <c r="A463" s="100">
        <v>45703</v>
      </c>
      <c r="B463" t="str">
        <f t="shared" si="18"/>
        <v>February</v>
      </c>
      <c r="C463" s="46" t="s">
        <v>280</v>
      </c>
      <c r="F463" s="366" t="s">
        <v>909</v>
      </c>
      <c r="G463" s="46" t="s">
        <v>17</v>
      </c>
      <c r="H463" s="46">
        <v>50</v>
      </c>
      <c r="I463" s="51">
        <v>4622.28</v>
      </c>
      <c r="J463" s="281">
        <f>++Tabla4[[#This Row],[Precio Bruto]]*1.16</f>
        <v>5361.8447999999989</v>
      </c>
      <c r="K463" s="281">
        <f>+Tabla4[[#This Row],[Precio Unitario Neto]]*Tabla4[[#Headers],[20.85%]]</f>
        <v>1117.9446407999997</v>
      </c>
      <c r="L463" s="282">
        <f>++Tabla4[[#This Row],[Precio Unitario Neto]]-Tabla4[[#This Row],[20.85%]]</f>
        <v>4243.9001591999995</v>
      </c>
      <c r="M463" s="282" t="e">
        <f>(INDEX(Tabla6[#All],MATCH(Tabla4[[#This Row],[Producto]],Tabla6[[#All],[PRODUCTO]],0),MATCH(Tabla4[[#This Row],[Mes]],Tabla6[#Headers],0)))*(1+Catalogos!$L$2)</f>
        <v>#N/A</v>
      </c>
      <c r="N463" s="283" t="e">
        <f>+(Tabla4[[#This Row],[Precio Descontado]]-Tabla4[[#This Row],[Precio Base]])*Tabla4[[#This Row],[Cantidad]]</f>
        <v>#N/A</v>
      </c>
      <c r="O463" s="284" t="e">
        <f>++Tabla4[[#This Row],[Utilidad Total]]/Tabla4[[#This Row],[Total]]</f>
        <v>#N/A</v>
      </c>
      <c r="P463" s="282">
        <f>++Tabla4[[#This Row],[Precio Descontado]]*Tabla4[[#This Row],[Cantidad]]</f>
        <v>212195.00795999999</v>
      </c>
      <c r="Q463" s="282" t="e">
        <f>(INDEX(Tabla6[#All],MATCH(Tabla4[[#This Row],[Producto]],Tabla6[[#All],[PRODUCTO]],0),MATCH(Tabla4[[#This Row],[Mes]],Tabla6[#Headers],0)))</f>
        <v>#N/A</v>
      </c>
      <c r="R463" s="282" t="e">
        <f>++Tabla4[[#This Row],[Precio Unitario Neto]]-Tabla4[[#This Row],[20.85%]]-Tabla4[[#This Row],[Costo]]</f>
        <v>#N/A</v>
      </c>
      <c r="S463" s="282" t="e">
        <f>++Tabla4[[#This Row],[U. Bruta Uni]]*Tabla4[[#This Row],[Cantidad]]</f>
        <v>#N/A</v>
      </c>
      <c r="T463" s="369" t="str">
        <f>VLOOKUP(Tabla4[[#This Row],[Producto]],Tabla6[#All],14,FALSE)</f>
        <v>Termico Solar</v>
      </c>
      <c r="U463" s="284" t="e">
        <f>(IF(Tabla4[[#This Row],[Familia]]="termico solar",Tabla4[[#This Row],[Utilidad Total]]*6%,Tabla4[[#This Row],[Utilidad Total]]*11.5%))/Tabla4[[#This Row],[Total]]</f>
        <v>#N/A</v>
      </c>
      <c r="V463" s="282" t="e">
        <f>+Tabla4[[#This Row],[Comisión Calculada]]*Tabla4[[#This Row],[Total]]</f>
        <v>#N/A</v>
      </c>
    </row>
    <row r="464" spans="1:22" hidden="1" x14ac:dyDescent="0.25">
      <c r="A464" s="100">
        <v>45703</v>
      </c>
      <c r="B464" t="str">
        <f t="shared" si="18"/>
        <v>February</v>
      </c>
      <c r="C464" s="46" t="s">
        <v>280</v>
      </c>
      <c r="F464" s="366" t="s">
        <v>909</v>
      </c>
      <c r="G464" s="46" t="s">
        <v>18</v>
      </c>
      <c r="H464" s="46">
        <v>33</v>
      </c>
      <c r="I464" s="51">
        <v>5367.6500000000005</v>
      </c>
      <c r="J464" s="281">
        <f>++Tabla4[[#This Row],[Precio Bruto]]*1.16</f>
        <v>6226.4740000000002</v>
      </c>
      <c r="K464" s="281">
        <f>+Tabla4[[#This Row],[Precio Unitario Neto]]*Tabla4[[#Headers],[20.85%]]</f>
        <v>1298.2198289999999</v>
      </c>
      <c r="L464" s="282">
        <f>++Tabla4[[#This Row],[Precio Unitario Neto]]-Tabla4[[#This Row],[20.85%]]</f>
        <v>4928.2541710000005</v>
      </c>
      <c r="M464" s="282" t="e">
        <f>(INDEX(Tabla6[#All],MATCH(Tabla4[[#This Row],[Producto]],Tabla6[[#All],[PRODUCTO]],0),MATCH(Tabla4[[#This Row],[Mes]],Tabla6[#Headers],0)))*(1+Catalogos!$L$2)</f>
        <v>#N/A</v>
      </c>
      <c r="N464" s="283" t="e">
        <f>+(Tabla4[[#This Row],[Precio Descontado]]-Tabla4[[#This Row],[Precio Base]])*Tabla4[[#This Row],[Cantidad]]</f>
        <v>#N/A</v>
      </c>
      <c r="O464" s="284" t="e">
        <f>++Tabla4[[#This Row],[Utilidad Total]]/Tabla4[[#This Row],[Total]]</f>
        <v>#N/A</v>
      </c>
      <c r="P464" s="282">
        <f>++Tabla4[[#This Row],[Precio Descontado]]*Tabla4[[#This Row],[Cantidad]]</f>
        <v>162632.38764300002</v>
      </c>
      <c r="Q464" s="282" t="e">
        <f>(INDEX(Tabla6[#All],MATCH(Tabla4[[#This Row],[Producto]],Tabla6[[#All],[PRODUCTO]],0),MATCH(Tabla4[[#This Row],[Mes]],Tabla6[#Headers],0)))</f>
        <v>#N/A</v>
      </c>
      <c r="R464" s="282" t="e">
        <f>++Tabla4[[#This Row],[Precio Unitario Neto]]-Tabla4[[#This Row],[20.85%]]-Tabla4[[#This Row],[Costo]]</f>
        <v>#N/A</v>
      </c>
      <c r="S464" s="282" t="e">
        <f>++Tabla4[[#This Row],[U. Bruta Uni]]*Tabla4[[#This Row],[Cantidad]]</f>
        <v>#N/A</v>
      </c>
      <c r="T464" s="369" t="str">
        <f>VLOOKUP(Tabla4[[#This Row],[Producto]],Tabla6[#All],14,FALSE)</f>
        <v>Termico Solar</v>
      </c>
      <c r="U464" s="284" t="e">
        <f>(IF(Tabla4[[#This Row],[Familia]]="termico solar",Tabla4[[#This Row],[Utilidad Total]]*6%,Tabla4[[#This Row],[Utilidad Total]]*11.5%))/Tabla4[[#This Row],[Total]]</f>
        <v>#N/A</v>
      </c>
      <c r="V464" s="282" t="e">
        <f>+Tabla4[[#This Row],[Comisión Calculada]]*Tabla4[[#This Row],[Total]]</f>
        <v>#N/A</v>
      </c>
    </row>
    <row r="465" spans="1:22" hidden="1" x14ac:dyDescent="0.25">
      <c r="A465" s="100">
        <v>45703</v>
      </c>
      <c r="B465" t="str">
        <f t="shared" si="18"/>
        <v>February</v>
      </c>
      <c r="C465" s="46" t="s">
        <v>280</v>
      </c>
      <c r="F465" s="366" t="s">
        <v>909</v>
      </c>
      <c r="G465" s="46" t="s">
        <v>16</v>
      </c>
      <c r="H465" s="46">
        <v>30</v>
      </c>
      <c r="I465" s="51">
        <v>4103.8500000000004</v>
      </c>
      <c r="J465" s="281">
        <f>++Tabla4[[#This Row],[Precio Bruto]]*1.16</f>
        <v>4760.4660000000003</v>
      </c>
      <c r="K465" s="281">
        <f>+Tabla4[[#This Row],[Precio Unitario Neto]]*Tabla4[[#Headers],[20.85%]]</f>
        <v>992.55716100000006</v>
      </c>
      <c r="L465" s="282">
        <f>++Tabla4[[#This Row],[Precio Unitario Neto]]-Tabla4[[#This Row],[20.85%]]</f>
        <v>3767.9088390000002</v>
      </c>
      <c r="M465" s="282" t="e">
        <f>(INDEX(Tabla6[#All],MATCH(Tabla4[[#This Row],[Producto]],Tabla6[[#All],[PRODUCTO]],0),MATCH(Tabla4[[#This Row],[Mes]],Tabla6[#Headers],0)))*(1+Catalogos!$L$2)</f>
        <v>#N/A</v>
      </c>
      <c r="N465" s="283" t="e">
        <f>+(Tabla4[[#This Row],[Precio Descontado]]-Tabla4[[#This Row],[Precio Base]])*Tabla4[[#This Row],[Cantidad]]</f>
        <v>#N/A</v>
      </c>
      <c r="O465" s="284" t="e">
        <f>++Tabla4[[#This Row],[Utilidad Total]]/Tabla4[[#This Row],[Total]]</f>
        <v>#N/A</v>
      </c>
      <c r="P465" s="282">
        <f>++Tabla4[[#This Row],[Precio Descontado]]*Tabla4[[#This Row],[Cantidad]]</f>
        <v>113037.26517</v>
      </c>
      <c r="Q465" s="282" t="e">
        <f>(INDEX(Tabla6[#All],MATCH(Tabla4[[#This Row],[Producto]],Tabla6[[#All],[PRODUCTO]],0),MATCH(Tabla4[[#This Row],[Mes]],Tabla6[#Headers],0)))</f>
        <v>#N/A</v>
      </c>
      <c r="R465" s="282" t="e">
        <f>++Tabla4[[#This Row],[Precio Unitario Neto]]-Tabla4[[#This Row],[20.85%]]-Tabla4[[#This Row],[Costo]]</f>
        <v>#N/A</v>
      </c>
      <c r="S465" s="282" t="e">
        <f>++Tabla4[[#This Row],[U. Bruta Uni]]*Tabla4[[#This Row],[Cantidad]]</f>
        <v>#N/A</v>
      </c>
      <c r="T465" s="369" t="str">
        <f>VLOOKUP(Tabla4[[#This Row],[Producto]],Tabla6[#All],14,FALSE)</f>
        <v>Termico Solar</v>
      </c>
      <c r="U465" s="284" t="e">
        <f>(IF(Tabla4[[#This Row],[Familia]]="termico solar",Tabla4[[#This Row],[Utilidad Total]]*6%,Tabla4[[#This Row],[Utilidad Total]]*11.5%))/Tabla4[[#This Row],[Total]]</f>
        <v>#N/A</v>
      </c>
      <c r="V465" s="282" t="e">
        <f>+Tabla4[[#This Row],[Comisión Calculada]]*Tabla4[[#This Row],[Total]]</f>
        <v>#N/A</v>
      </c>
    </row>
    <row r="466" spans="1:22" hidden="1" x14ac:dyDescent="0.25">
      <c r="A466" s="100">
        <v>45703</v>
      </c>
      <c r="B466" t="str">
        <f t="shared" si="18"/>
        <v>February</v>
      </c>
      <c r="C466" s="46" t="s">
        <v>280</v>
      </c>
      <c r="F466" s="366" t="s">
        <v>910</v>
      </c>
      <c r="G466" s="46" t="s">
        <v>19</v>
      </c>
      <c r="H466" s="46">
        <v>2</v>
      </c>
      <c r="I466" s="51">
        <v>6412.03</v>
      </c>
      <c r="J466" s="281">
        <f>++Tabla4[[#This Row],[Precio Bruto]]*1.16</f>
        <v>7437.9547999999995</v>
      </c>
      <c r="K466" s="281">
        <f>+Tabla4[[#This Row],[Precio Unitario Neto]]*Tabla4[[#Headers],[20.85%]]</f>
        <v>1550.8135757999999</v>
      </c>
      <c r="L466" s="282">
        <f>++Tabla4[[#This Row],[Precio Unitario Neto]]-Tabla4[[#This Row],[20.85%]]</f>
        <v>5887.1412241999997</v>
      </c>
      <c r="M466" s="282" t="e">
        <f>(INDEX(Tabla6[#All],MATCH(Tabla4[[#This Row],[Producto]],Tabla6[[#All],[PRODUCTO]],0),MATCH(Tabla4[[#This Row],[Mes]],Tabla6[#Headers],0)))*(1+Catalogos!$L$2)</f>
        <v>#N/A</v>
      </c>
      <c r="N466" s="283" t="e">
        <f>+(Tabla4[[#This Row],[Precio Descontado]]-Tabla4[[#This Row],[Precio Base]])*Tabla4[[#This Row],[Cantidad]]</f>
        <v>#N/A</v>
      </c>
      <c r="O466" s="284" t="e">
        <f>++Tabla4[[#This Row],[Utilidad Total]]/Tabla4[[#This Row],[Total]]</f>
        <v>#N/A</v>
      </c>
      <c r="P466" s="282">
        <f>++Tabla4[[#This Row],[Precio Descontado]]*Tabla4[[#This Row],[Cantidad]]</f>
        <v>11774.282448399999</v>
      </c>
      <c r="Q466" s="282" t="e">
        <f>(INDEX(Tabla6[#All],MATCH(Tabla4[[#This Row],[Producto]],Tabla6[[#All],[PRODUCTO]],0),MATCH(Tabla4[[#This Row],[Mes]],Tabla6[#Headers],0)))</f>
        <v>#N/A</v>
      </c>
      <c r="R466" s="282" t="e">
        <f>++Tabla4[[#This Row],[Precio Unitario Neto]]-Tabla4[[#This Row],[20.85%]]-Tabla4[[#This Row],[Costo]]</f>
        <v>#N/A</v>
      </c>
      <c r="S466" s="282" t="e">
        <f>++Tabla4[[#This Row],[U. Bruta Uni]]*Tabla4[[#This Row],[Cantidad]]</f>
        <v>#N/A</v>
      </c>
      <c r="T466" s="369" t="str">
        <f>VLOOKUP(Tabla4[[#This Row],[Producto]],Tabla6[#All],14,FALSE)</f>
        <v>Termico Solar</v>
      </c>
      <c r="U466" s="284" t="e">
        <f>(IF(Tabla4[[#This Row],[Familia]]="termico solar",Tabla4[[#This Row],[Utilidad Total]]*6%,Tabla4[[#This Row],[Utilidad Total]]*11.5%))/Tabla4[[#This Row],[Total]]</f>
        <v>#N/A</v>
      </c>
      <c r="V466" s="282" t="e">
        <f>+Tabla4[[#This Row],[Comisión Calculada]]*Tabla4[[#This Row],[Total]]</f>
        <v>#N/A</v>
      </c>
    </row>
    <row r="467" spans="1:22" hidden="1" x14ac:dyDescent="0.25">
      <c r="A467" s="100">
        <v>45703</v>
      </c>
      <c r="B467" t="str">
        <f t="shared" si="18"/>
        <v>February</v>
      </c>
      <c r="C467" s="46" t="s">
        <v>280</v>
      </c>
      <c r="F467" s="366" t="s">
        <v>910</v>
      </c>
      <c r="G467" s="46" t="s">
        <v>566</v>
      </c>
      <c r="H467" s="46">
        <v>2</v>
      </c>
      <c r="I467" s="51">
        <v>2109.4499999999998</v>
      </c>
      <c r="J467" s="281">
        <f>++Tabla4[[#This Row],[Precio Bruto]]*1.16</f>
        <v>2446.9619999999995</v>
      </c>
      <c r="K467" s="281">
        <f>+Tabla4[[#This Row],[Precio Unitario Neto]]*Tabla4[[#Headers],[20.85%]]</f>
        <v>510.19157699999988</v>
      </c>
      <c r="L467" s="282">
        <f>++Tabla4[[#This Row],[Precio Unitario Neto]]-Tabla4[[#This Row],[20.85%]]</f>
        <v>1936.7704229999997</v>
      </c>
      <c r="M467" s="282" t="e">
        <f>(INDEX(Tabla6[#All],MATCH(Tabla4[[#This Row],[Producto]],Tabla6[[#All],[PRODUCTO]],0),MATCH(Tabla4[[#This Row],[Mes]],Tabla6[#Headers],0)))*(1+Catalogos!$L$2)</f>
        <v>#N/A</v>
      </c>
      <c r="N467" s="283" t="e">
        <f>+(Tabla4[[#This Row],[Precio Descontado]]-Tabla4[[#This Row],[Precio Base]])*Tabla4[[#This Row],[Cantidad]]</f>
        <v>#N/A</v>
      </c>
      <c r="O467" s="284" t="e">
        <f>++Tabla4[[#This Row],[Utilidad Total]]/Tabla4[[#This Row],[Total]]</f>
        <v>#N/A</v>
      </c>
      <c r="P467" s="282">
        <f>++Tabla4[[#This Row],[Precio Descontado]]*Tabla4[[#This Row],[Cantidad]]</f>
        <v>3873.5408459999994</v>
      </c>
      <c r="Q467" s="282" t="e">
        <f>(INDEX(Tabla6[#All],MATCH(Tabla4[[#This Row],[Producto]],Tabla6[[#All],[PRODUCTO]],0),MATCH(Tabla4[[#This Row],[Mes]],Tabla6[#Headers],0)))</f>
        <v>#N/A</v>
      </c>
      <c r="R467" s="282" t="e">
        <f>++Tabla4[[#This Row],[Precio Unitario Neto]]-Tabla4[[#This Row],[20.85%]]-Tabla4[[#This Row],[Costo]]</f>
        <v>#N/A</v>
      </c>
      <c r="S467" s="282" t="e">
        <f>++Tabla4[[#This Row],[U. Bruta Uni]]*Tabla4[[#This Row],[Cantidad]]</f>
        <v>#N/A</v>
      </c>
      <c r="T467" s="369" t="str">
        <f>VLOOKUP(Tabla4[[#This Row],[Producto]],Tabla6[#All],14,FALSE)</f>
        <v>Termico Solar</v>
      </c>
      <c r="U467" s="284" t="e">
        <f>(IF(Tabla4[[#This Row],[Familia]]="termico solar",Tabla4[[#This Row],[Utilidad Total]]*6%,Tabla4[[#This Row],[Utilidad Total]]*11.5%))/Tabla4[[#This Row],[Total]]</f>
        <v>#N/A</v>
      </c>
      <c r="V467" s="282" t="e">
        <f>+Tabla4[[#This Row],[Comisión Calculada]]*Tabla4[[#This Row],[Total]]</f>
        <v>#N/A</v>
      </c>
    </row>
    <row r="468" spans="1:22" hidden="1" x14ac:dyDescent="0.25">
      <c r="A468" s="100">
        <v>45703</v>
      </c>
      <c r="B468" t="str">
        <f t="shared" si="18"/>
        <v>February</v>
      </c>
      <c r="C468" s="46" t="s">
        <v>280</v>
      </c>
      <c r="F468" s="366" t="s">
        <v>911</v>
      </c>
      <c r="G468" s="46" t="s">
        <v>17</v>
      </c>
      <c r="H468" s="46">
        <v>2</v>
      </c>
      <c r="I468" s="51">
        <v>4622.28</v>
      </c>
      <c r="J468" s="281">
        <f>++Tabla4[[#This Row],[Precio Bruto]]*1.16</f>
        <v>5361.8447999999989</v>
      </c>
      <c r="K468" s="281">
        <f>+Tabla4[[#This Row],[Precio Unitario Neto]]*Tabla4[[#Headers],[20.85%]]</f>
        <v>1117.9446407999997</v>
      </c>
      <c r="L468" s="282">
        <f>++Tabla4[[#This Row],[Precio Unitario Neto]]-Tabla4[[#This Row],[20.85%]]</f>
        <v>4243.9001591999995</v>
      </c>
      <c r="M468" s="282" t="e">
        <f>(INDEX(Tabla6[#All],MATCH(Tabla4[[#This Row],[Producto]],Tabla6[[#All],[PRODUCTO]],0),MATCH(Tabla4[[#This Row],[Mes]],Tabla6[#Headers],0)))*(1+Catalogos!$L$2)</f>
        <v>#N/A</v>
      </c>
      <c r="N468" s="283" t="e">
        <f>+(Tabla4[[#This Row],[Precio Descontado]]-Tabla4[[#This Row],[Precio Base]])*Tabla4[[#This Row],[Cantidad]]</f>
        <v>#N/A</v>
      </c>
      <c r="O468" s="284" t="e">
        <f>++Tabla4[[#This Row],[Utilidad Total]]/Tabla4[[#This Row],[Total]]</f>
        <v>#N/A</v>
      </c>
      <c r="P468" s="282">
        <f>++Tabla4[[#This Row],[Precio Descontado]]*Tabla4[[#This Row],[Cantidad]]</f>
        <v>8487.800318399999</v>
      </c>
      <c r="Q468" s="282" t="e">
        <f>(INDEX(Tabla6[#All],MATCH(Tabla4[[#This Row],[Producto]],Tabla6[[#All],[PRODUCTO]],0),MATCH(Tabla4[[#This Row],[Mes]],Tabla6[#Headers],0)))</f>
        <v>#N/A</v>
      </c>
      <c r="R468" s="282" t="e">
        <f>++Tabla4[[#This Row],[Precio Unitario Neto]]-Tabla4[[#This Row],[20.85%]]-Tabla4[[#This Row],[Costo]]</f>
        <v>#N/A</v>
      </c>
      <c r="S468" s="282" t="e">
        <f>++Tabla4[[#This Row],[U. Bruta Uni]]*Tabla4[[#This Row],[Cantidad]]</f>
        <v>#N/A</v>
      </c>
      <c r="T468" s="369" t="str">
        <f>VLOOKUP(Tabla4[[#This Row],[Producto]],Tabla6[#All],14,FALSE)</f>
        <v>Termico Solar</v>
      </c>
      <c r="U468" s="284" t="e">
        <f>(IF(Tabla4[[#This Row],[Familia]]="termico solar",Tabla4[[#This Row],[Utilidad Total]]*6%,Tabla4[[#This Row],[Utilidad Total]]*11.5%))/Tabla4[[#This Row],[Total]]</f>
        <v>#N/A</v>
      </c>
      <c r="V468" s="282" t="e">
        <f>+Tabla4[[#This Row],[Comisión Calculada]]*Tabla4[[#This Row],[Total]]</f>
        <v>#N/A</v>
      </c>
    </row>
    <row r="469" spans="1:22" hidden="1" x14ac:dyDescent="0.25">
      <c r="A469" s="100">
        <v>45703</v>
      </c>
      <c r="B469" t="str">
        <f t="shared" si="18"/>
        <v>February</v>
      </c>
      <c r="C469" s="46" t="s">
        <v>280</v>
      </c>
      <c r="F469" s="366" t="s">
        <v>911</v>
      </c>
      <c r="G469" s="46" t="s">
        <v>394</v>
      </c>
      <c r="H469" s="46">
        <v>9</v>
      </c>
      <c r="I469" s="51">
        <v>108.1</v>
      </c>
      <c r="J469" s="281">
        <f>++Tabla4[[#This Row],[Precio Bruto]]*1.16</f>
        <v>125.39599999999999</v>
      </c>
      <c r="K469" s="281">
        <f>+Tabla4[[#This Row],[Precio Unitario Neto]]*Tabla4[[#Headers],[20.85%]]</f>
        <v>26.145065999999996</v>
      </c>
      <c r="L469" s="282">
        <f>++Tabla4[[#This Row],[Precio Unitario Neto]]-Tabla4[[#This Row],[20.85%]]</f>
        <v>99.250933999999987</v>
      </c>
      <c r="M469" s="282" t="e">
        <f>(INDEX(Tabla6[#All],MATCH(Tabla4[[#This Row],[Producto]],Tabla6[[#All],[PRODUCTO]],0),MATCH(Tabla4[[#This Row],[Mes]],Tabla6[#Headers],0)))*(1+Catalogos!$L$2)</f>
        <v>#N/A</v>
      </c>
      <c r="N469" s="283" t="e">
        <f>+(Tabla4[[#This Row],[Precio Descontado]]-Tabla4[[#This Row],[Precio Base]])*Tabla4[[#This Row],[Cantidad]]</f>
        <v>#N/A</v>
      </c>
      <c r="O469" s="284" t="e">
        <f>++Tabla4[[#This Row],[Utilidad Total]]/Tabla4[[#This Row],[Total]]</f>
        <v>#N/A</v>
      </c>
      <c r="P469" s="282">
        <f>++Tabla4[[#This Row],[Precio Descontado]]*Tabla4[[#This Row],[Cantidad]]</f>
        <v>893.25840599999992</v>
      </c>
      <c r="Q469" s="282" t="e">
        <f>(INDEX(Tabla6[#All],MATCH(Tabla4[[#This Row],[Producto]],Tabla6[[#All],[PRODUCTO]],0),MATCH(Tabla4[[#This Row],[Mes]],Tabla6[#Headers],0)))</f>
        <v>#N/A</v>
      </c>
      <c r="R469" s="282" t="e">
        <f>++Tabla4[[#This Row],[Precio Unitario Neto]]-Tabla4[[#This Row],[20.85%]]-Tabla4[[#This Row],[Costo]]</f>
        <v>#N/A</v>
      </c>
      <c r="S469" s="282" t="e">
        <f>++Tabla4[[#This Row],[U. Bruta Uni]]*Tabla4[[#This Row],[Cantidad]]</f>
        <v>#N/A</v>
      </c>
      <c r="T469" s="369" t="str">
        <f>VLOOKUP(Tabla4[[#This Row],[Producto]],Tabla6[#All],14,FALSE)</f>
        <v>Termico Solar</v>
      </c>
      <c r="U469" s="284" t="e">
        <f>(IF(Tabla4[[#This Row],[Familia]]="termico solar",Tabla4[[#This Row],[Utilidad Total]]*6%,Tabla4[[#This Row],[Utilidad Total]]*11.5%))/Tabla4[[#This Row],[Total]]</f>
        <v>#N/A</v>
      </c>
      <c r="V469" s="282" t="e">
        <f>+Tabla4[[#This Row],[Comisión Calculada]]*Tabla4[[#This Row],[Total]]</f>
        <v>#N/A</v>
      </c>
    </row>
    <row r="470" spans="1:22" hidden="1" x14ac:dyDescent="0.25">
      <c r="A470" s="100">
        <v>45703</v>
      </c>
      <c r="B470" t="str">
        <f t="shared" si="18"/>
        <v>February</v>
      </c>
      <c r="C470" s="46" t="s">
        <v>280</v>
      </c>
      <c r="F470" s="366" t="s">
        <v>911</v>
      </c>
      <c r="G470" s="46" t="s">
        <v>394</v>
      </c>
      <c r="H470" s="46">
        <v>16</v>
      </c>
      <c r="I470" s="51">
        <v>224.29</v>
      </c>
      <c r="J470" s="281">
        <f>++Tabla4[[#This Row],[Precio Bruto]]*1.16</f>
        <v>260.1764</v>
      </c>
      <c r="K470" s="281">
        <f>+Tabla4[[#This Row],[Precio Unitario Neto]]*Tabla4[[#Headers],[20.85%]]</f>
        <v>54.246779400000001</v>
      </c>
      <c r="L470" s="282">
        <f>++Tabla4[[#This Row],[Precio Unitario Neto]]-Tabla4[[#This Row],[20.85%]]</f>
        <v>205.92962059999999</v>
      </c>
      <c r="M470" s="282" t="e">
        <f>(INDEX(Tabla6[#All],MATCH(Tabla4[[#This Row],[Producto]],Tabla6[[#All],[PRODUCTO]],0),MATCH(Tabla4[[#This Row],[Mes]],Tabla6[#Headers],0)))*(1+Catalogos!$L$2)</f>
        <v>#N/A</v>
      </c>
      <c r="N470" s="283" t="e">
        <f>+(Tabla4[[#This Row],[Precio Descontado]]-Tabla4[[#This Row],[Precio Base]])*Tabla4[[#This Row],[Cantidad]]</f>
        <v>#N/A</v>
      </c>
      <c r="O470" s="284" t="e">
        <f>++Tabla4[[#This Row],[Utilidad Total]]/Tabla4[[#This Row],[Total]]</f>
        <v>#N/A</v>
      </c>
      <c r="P470" s="282">
        <f>++Tabla4[[#This Row],[Precio Descontado]]*Tabla4[[#This Row],[Cantidad]]</f>
        <v>3294.8739295999999</v>
      </c>
      <c r="Q470" s="282" t="e">
        <f>(INDEX(Tabla6[#All],MATCH(Tabla4[[#This Row],[Producto]],Tabla6[[#All],[PRODUCTO]],0),MATCH(Tabla4[[#This Row],[Mes]],Tabla6[#Headers],0)))</f>
        <v>#N/A</v>
      </c>
      <c r="R470" s="282" t="e">
        <f>++Tabla4[[#This Row],[Precio Unitario Neto]]-Tabla4[[#This Row],[20.85%]]-Tabla4[[#This Row],[Costo]]</f>
        <v>#N/A</v>
      </c>
      <c r="S470" s="282" t="e">
        <f>++Tabla4[[#This Row],[U. Bruta Uni]]*Tabla4[[#This Row],[Cantidad]]</f>
        <v>#N/A</v>
      </c>
      <c r="T470" s="369" t="str">
        <f>VLOOKUP(Tabla4[[#This Row],[Producto]],Tabla6[#All],14,FALSE)</f>
        <v>Termico Solar</v>
      </c>
      <c r="U470" s="284" t="e">
        <f>(IF(Tabla4[[#This Row],[Familia]]="termico solar",Tabla4[[#This Row],[Utilidad Total]]*6%,Tabla4[[#This Row],[Utilidad Total]]*11.5%))/Tabla4[[#This Row],[Total]]</f>
        <v>#N/A</v>
      </c>
      <c r="V470" s="282" t="e">
        <f>+Tabla4[[#This Row],[Comisión Calculada]]*Tabla4[[#This Row],[Total]]</f>
        <v>#N/A</v>
      </c>
    </row>
    <row r="471" spans="1:22" hidden="1" x14ac:dyDescent="0.25">
      <c r="A471" s="100">
        <v>45703</v>
      </c>
      <c r="B471" t="str">
        <f t="shared" si="18"/>
        <v>February</v>
      </c>
      <c r="C471" s="46" t="s">
        <v>280</v>
      </c>
      <c r="F471" s="366" t="s">
        <v>912</v>
      </c>
      <c r="G471" s="46" t="s">
        <v>83</v>
      </c>
      <c r="H471" s="46">
        <v>3</v>
      </c>
      <c r="I471" s="51">
        <v>8858.76</v>
      </c>
      <c r="J471" s="281">
        <f>++Tabla4[[#This Row],[Precio Bruto]]*1.16</f>
        <v>10276.161599999999</v>
      </c>
      <c r="K471" s="281">
        <f>+Tabla4[[#This Row],[Precio Unitario Neto]]*Tabla4[[#Headers],[20.85%]]</f>
        <v>2142.5796935999997</v>
      </c>
      <c r="L471" s="282">
        <f>++Tabla4[[#This Row],[Precio Unitario Neto]]-Tabla4[[#This Row],[20.85%]]</f>
        <v>8133.5819063999998</v>
      </c>
      <c r="M471" s="282" t="e">
        <f>(INDEX(Tabla6[#All],MATCH(Tabla4[[#This Row],[Producto]],Tabla6[[#All],[PRODUCTO]],0),MATCH(Tabla4[[#This Row],[Mes]],Tabla6[#Headers],0)))*(1+Catalogos!$L$2)</f>
        <v>#N/A</v>
      </c>
      <c r="N471" s="283" t="e">
        <f>+(Tabla4[[#This Row],[Precio Descontado]]-Tabla4[[#This Row],[Precio Base]])*Tabla4[[#This Row],[Cantidad]]</f>
        <v>#N/A</v>
      </c>
      <c r="O471" s="284" t="e">
        <f>++Tabla4[[#This Row],[Utilidad Total]]/Tabla4[[#This Row],[Total]]</f>
        <v>#N/A</v>
      </c>
      <c r="P471" s="282">
        <f>++Tabla4[[#This Row],[Precio Descontado]]*Tabla4[[#This Row],[Cantidad]]</f>
        <v>24400.7457192</v>
      </c>
      <c r="Q471" s="282" t="e">
        <f>(INDEX(Tabla6[#All],MATCH(Tabla4[[#This Row],[Producto]],Tabla6[[#All],[PRODUCTO]],0),MATCH(Tabla4[[#This Row],[Mes]],Tabla6[#Headers],0)))</f>
        <v>#N/A</v>
      </c>
      <c r="R471" s="282" t="e">
        <f>++Tabla4[[#This Row],[Precio Unitario Neto]]-Tabla4[[#This Row],[20.85%]]-Tabla4[[#This Row],[Costo]]</f>
        <v>#N/A</v>
      </c>
      <c r="S471" s="282" t="e">
        <f>++Tabla4[[#This Row],[U. Bruta Uni]]*Tabla4[[#This Row],[Cantidad]]</f>
        <v>#N/A</v>
      </c>
      <c r="T471" s="369" t="str">
        <f>VLOOKUP(Tabla4[[#This Row],[Producto]],Tabla6[#All],14,FALSE)</f>
        <v>Termico Solar</v>
      </c>
      <c r="U471" s="284" t="e">
        <f>(IF(Tabla4[[#This Row],[Familia]]="termico solar",Tabla4[[#This Row],[Utilidad Total]]*6%,Tabla4[[#This Row],[Utilidad Total]]*11.5%))/Tabla4[[#This Row],[Total]]</f>
        <v>#N/A</v>
      </c>
      <c r="V471" s="282" t="e">
        <f>+Tabla4[[#This Row],[Comisión Calculada]]*Tabla4[[#This Row],[Total]]</f>
        <v>#N/A</v>
      </c>
    </row>
    <row r="472" spans="1:22" hidden="1" x14ac:dyDescent="0.25">
      <c r="A472" s="100">
        <v>45703</v>
      </c>
      <c r="B472" t="str">
        <f t="shared" si="18"/>
        <v>February</v>
      </c>
      <c r="C472" s="46" t="s">
        <v>280</v>
      </c>
      <c r="F472" s="366" t="s">
        <v>912</v>
      </c>
      <c r="G472" s="46" t="s">
        <v>19</v>
      </c>
      <c r="H472" s="46">
        <v>1</v>
      </c>
      <c r="I472" s="51">
        <v>6412.03</v>
      </c>
      <c r="J472" s="281">
        <f>++Tabla4[[#This Row],[Precio Bruto]]*1.16</f>
        <v>7437.9547999999995</v>
      </c>
      <c r="K472" s="281">
        <f>+Tabla4[[#This Row],[Precio Unitario Neto]]*Tabla4[[#Headers],[20.85%]]</f>
        <v>1550.8135757999999</v>
      </c>
      <c r="L472" s="282">
        <f>++Tabla4[[#This Row],[Precio Unitario Neto]]-Tabla4[[#This Row],[20.85%]]</f>
        <v>5887.1412241999997</v>
      </c>
      <c r="M472" s="282" t="e">
        <f>(INDEX(Tabla6[#All],MATCH(Tabla4[[#This Row],[Producto]],Tabla6[[#All],[PRODUCTO]],0),MATCH(Tabla4[[#This Row],[Mes]],Tabla6[#Headers],0)))*(1+Catalogos!$L$2)</f>
        <v>#N/A</v>
      </c>
      <c r="N472" s="283" t="e">
        <f>+(Tabla4[[#This Row],[Precio Descontado]]-Tabla4[[#This Row],[Precio Base]])*Tabla4[[#This Row],[Cantidad]]</f>
        <v>#N/A</v>
      </c>
      <c r="O472" s="284" t="e">
        <f>++Tabla4[[#This Row],[Utilidad Total]]/Tabla4[[#This Row],[Total]]</f>
        <v>#N/A</v>
      </c>
      <c r="P472" s="282">
        <f>++Tabla4[[#This Row],[Precio Descontado]]*Tabla4[[#This Row],[Cantidad]]</f>
        <v>5887.1412241999997</v>
      </c>
      <c r="Q472" s="282" t="e">
        <f>(INDEX(Tabla6[#All],MATCH(Tabla4[[#This Row],[Producto]],Tabla6[[#All],[PRODUCTO]],0),MATCH(Tabla4[[#This Row],[Mes]],Tabla6[#Headers],0)))</f>
        <v>#N/A</v>
      </c>
      <c r="R472" s="282" t="e">
        <f>++Tabla4[[#This Row],[Precio Unitario Neto]]-Tabla4[[#This Row],[20.85%]]-Tabla4[[#This Row],[Costo]]</f>
        <v>#N/A</v>
      </c>
      <c r="S472" s="282" t="e">
        <f>++Tabla4[[#This Row],[U. Bruta Uni]]*Tabla4[[#This Row],[Cantidad]]</f>
        <v>#N/A</v>
      </c>
      <c r="T472" s="369" t="str">
        <f>VLOOKUP(Tabla4[[#This Row],[Producto]],Tabla6[#All],14,FALSE)</f>
        <v>Termico Solar</v>
      </c>
      <c r="U472" s="284" t="e">
        <f>(IF(Tabla4[[#This Row],[Familia]]="termico solar",Tabla4[[#This Row],[Utilidad Total]]*6%,Tabla4[[#This Row],[Utilidad Total]]*11.5%))/Tabla4[[#This Row],[Total]]</f>
        <v>#N/A</v>
      </c>
      <c r="V472" s="282" t="e">
        <f>+Tabla4[[#This Row],[Comisión Calculada]]*Tabla4[[#This Row],[Total]]</f>
        <v>#N/A</v>
      </c>
    </row>
    <row r="473" spans="1:22" hidden="1" x14ac:dyDescent="0.25">
      <c r="A473" s="100">
        <v>45703</v>
      </c>
      <c r="B473" t="str">
        <f t="shared" si="18"/>
        <v>February</v>
      </c>
      <c r="C473" s="46" t="s">
        <v>280</v>
      </c>
      <c r="F473" s="366" t="s">
        <v>913</v>
      </c>
      <c r="G473" s="46" t="s">
        <v>83</v>
      </c>
      <c r="H473" s="46">
        <v>1</v>
      </c>
      <c r="I473" s="51">
        <v>8858.76</v>
      </c>
      <c r="J473" s="281">
        <f>++Tabla4[[#This Row],[Precio Bruto]]*1.16</f>
        <v>10276.161599999999</v>
      </c>
      <c r="K473" s="281">
        <f>+Tabla4[[#This Row],[Precio Unitario Neto]]*Tabla4[[#Headers],[20.85%]]</f>
        <v>2142.5796935999997</v>
      </c>
      <c r="L473" s="282">
        <f>++Tabla4[[#This Row],[Precio Unitario Neto]]-Tabla4[[#This Row],[20.85%]]</f>
        <v>8133.5819063999998</v>
      </c>
      <c r="M473" s="282" t="e">
        <f>(INDEX(Tabla6[#All],MATCH(Tabla4[[#This Row],[Producto]],Tabla6[[#All],[PRODUCTO]],0),MATCH(Tabla4[[#This Row],[Mes]],Tabla6[#Headers],0)))*(1+Catalogos!$L$2)</f>
        <v>#N/A</v>
      </c>
      <c r="N473" s="283" t="e">
        <f>+(Tabla4[[#This Row],[Precio Descontado]]-Tabla4[[#This Row],[Precio Base]])*Tabla4[[#This Row],[Cantidad]]</f>
        <v>#N/A</v>
      </c>
      <c r="O473" s="284" t="e">
        <f>++Tabla4[[#This Row],[Utilidad Total]]/Tabla4[[#This Row],[Total]]</f>
        <v>#N/A</v>
      </c>
      <c r="P473" s="282">
        <f>++Tabla4[[#This Row],[Precio Descontado]]*Tabla4[[#This Row],[Cantidad]]</f>
        <v>8133.5819063999998</v>
      </c>
      <c r="Q473" s="282" t="e">
        <f>(INDEX(Tabla6[#All],MATCH(Tabla4[[#This Row],[Producto]],Tabla6[[#All],[PRODUCTO]],0),MATCH(Tabla4[[#This Row],[Mes]],Tabla6[#Headers],0)))</f>
        <v>#N/A</v>
      </c>
      <c r="R473" s="282" t="e">
        <f>++Tabla4[[#This Row],[Precio Unitario Neto]]-Tabla4[[#This Row],[20.85%]]-Tabla4[[#This Row],[Costo]]</f>
        <v>#N/A</v>
      </c>
      <c r="S473" s="282" t="e">
        <f>++Tabla4[[#This Row],[U. Bruta Uni]]*Tabla4[[#This Row],[Cantidad]]</f>
        <v>#N/A</v>
      </c>
      <c r="T473" s="369" t="str">
        <f>VLOOKUP(Tabla4[[#This Row],[Producto]],Tabla6[#All],14,FALSE)</f>
        <v>Termico Solar</v>
      </c>
      <c r="U473" s="284" t="e">
        <f>(IF(Tabla4[[#This Row],[Familia]]="termico solar",Tabla4[[#This Row],[Utilidad Total]]*6%,Tabla4[[#This Row],[Utilidad Total]]*11.5%))/Tabla4[[#This Row],[Total]]</f>
        <v>#N/A</v>
      </c>
      <c r="V473" s="282" t="e">
        <f>+Tabla4[[#This Row],[Comisión Calculada]]*Tabla4[[#This Row],[Total]]</f>
        <v>#N/A</v>
      </c>
    </row>
    <row r="474" spans="1:22" hidden="1" x14ac:dyDescent="0.25">
      <c r="A474" s="100">
        <v>45703</v>
      </c>
      <c r="B474" t="str">
        <f t="shared" si="18"/>
        <v>February</v>
      </c>
      <c r="C474" s="46" t="s">
        <v>280</v>
      </c>
      <c r="F474" s="366" t="s">
        <v>913</v>
      </c>
      <c r="G474" s="46" t="s">
        <v>17</v>
      </c>
      <c r="H474" s="46">
        <v>2</v>
      </c>
      <c r="I474" s="51">
        <v>4622.28</v>
      </c>
      <c r="J474" s="281">
        <f>++Tabla4[[#This Row],[Precio Bruto]]*1.16</f>
        <v>5361.8447999999989</v>
      </c>
      <c r="K474" s="281">
        <f>+Tabla4[[#This Row],[Precio Unitario Neto]]*Tabla4[[#Headers],[20.85%]]</f>
        <v>1117.9446407999997</v>
      </c>
      <c r="L474" s="282">
        <f>++Tabla4[[#This Row],[Precio Unitario Neto]]-Tabla4[[#This Row],[20.85%]]</f>
        <v>4243.9001591999995</v>
      </c>
      <c r="M474" s="282" t="e">
        <f>(INDEX(Tabla6[#All],MATCH(Tabla4[[#This Row],[Producto]],Tabla6[[#All],[PRODUCTO]],0),MATCH(Tabla4[[#This Row],[Mes]],Tabla6[#Headers],0)))*(1+Catalogos!$L$2)</f>
        <v>#N/A</v>
      </c>
      <c r="N474" s="283" t="e">
        <f>+(Tabla4[[#This Row],[Precio Descontado]]-Tabla4[[#This Row],[Precio Base]])*Tabla4[[#This Row],[Cantidad]]</f>
        <v>#N/A</v>
      </c>
      <c r="O474" s="284" t="e">
        <f>++Tabla4[[#This Row],[Utilidad Total]]/Tabla4[[#This Row],[Total]]</f>
        <v>#N/A</v>
      </c>
      <c r="P474" s="282">
        <f>++Tabla4[[#This Row],[Precio Descontado]]*Tabla4[[#This Row],[Cantidad]]</f>
        <v>8487.800318399999</v>
      </c>
      <c r="Q474" s="282" t="e">
        <f>(INDEX(Tabla6[#All],MATCH(Tabla4[[#This Row],[Producto]],Tabla6[[#All],[PRODUCTO]],0),MATCH(Tabla4[[#This Row],[Mes]],Tabla6[#Headers],0)))</f>
        <v>#N/A</v>
      </c>
      <c r="R474" s="282" t="e">
        <f>++Tabla4[[#This Row],[Precio Unitario Neto]]-Tabla4[[#This Row],[20.85%]]-Tabla4[[#This Row],[Costo]]</f>
        <v>#N/A</v>
      </c>
      <c r="S474" s="282" t="e">
        <f>++Tabla4[[#This Row],[U. Bruta Uni]]*Tabla4[[#This Row],[Cantidad]]</f>
        <v>#N/A</v>
      </c>
      <c r="T474" s="369" t="str">
        <f>VLOOKUP(Tabla4[[#This Row],[Producto]],Tabla6[#All],14,FALSE)</f>
        <v>Termico Solar</v>
      </c>
      <c r="U474" s="284" t="e">
        <f>(IF(Tabla4[[#This Row],[Familia]]="termico solar",Tabla4[[#This Row],[Utilidad Total]]*6%,Tabla4[[#This Row],[Utilidad Total]]*11.5%))/Tabla4[[#This Row],[Total]]</f>
        <v>#N/A</v>
      </c>
      <c r="V474" s="282" t="e">
        <f>+Tabla4[[#This Row],[Comisión Calculada]]*Tabla4[[#This Row],[Total]]</f>
        <v>#N/A</v>
      </c>
    </row>
    <row r="475" spans="1:22" hidden="1" x14ac:dyDescent="0.25">
      <c r="A475" s="100">
        <v>45703</v>
      </c>
      <c r="B475" t="str">
        <f t="shared" si="18"/>
        <v>February</v>
      </c>
      <c r="C475" s="46" t="s">
        <v>280</v>
      </c>
      <c r="F475" s="366" t="s">
        <v>913</v>
      </c>
      <c r="G475" s="46" t="s">
        <v>18</v>
      </c>
      <c r="H475" s="46">
        <v>1</v>
      </c>
      <c r="I475" s="51">
        <v>5367.65</v>
      </c>
      <c r="J475" s="281">
        <f>++Tabla4[[#This Row],[Precio Bruto]]*1.16</f>
        <v>6226.4739999999993</v>
      </c>
      <c r="K475" s="281">
        <f>+Tabla4[[#This Row],[Precio Unitario Neto]]*Tabla4[[#Headers],[20.85%]]</f>
        <v>1298.2198289999999</v>
      </c>
      <c r="L475" s="282">
        <f>++Tabla4[[#This Row],[Precio Unitario Neto]]-Tabla4[[#This Row],[20.85%]]</f>
        <v>4928.2541709999996</v>
      </c>
      <c r="M475" s="282" t="e">
        <f>(INDEX(Tabla6[#All],MATCH(Tabla4[[#This Row],[Producto]],Tabla6[[#All],[PRODUCTO]],0),MATCH(Tabla4[[#This Row],[Mes]],Tabla6[#Headers],0)))*(1+Catalogos!$L$2)</f>
        <v>#N/A</v>
      </c>
      <c r="N475" s="283" t="e">
        <f>+(Tabla4[[#This Row],[Precio Descontado]]-Tabla4[[#This Row],[Precio Base]])*Tabla4[[#This Row],[Cantidad]]</f>
        <v>#N/A</v>
      </c>
      <c r="O475" s="284" t="e">
        <f>++Tabla4[[#This Row],[Utilidad Total]]/Tabla4[[#This Row],[Total]]</f>
        <v>#N/A</v>
      </c>
      <c r="P475" s="282">
        <f>++Tabla4[[#This Row],[Precio Descontado]]*Tabla4[[#This Row],[Cantidad]]</f>
        <v>4928.2541709999996</v>
      </c>
      <c r="Q475" s="282" t="e">
        <f>(INDEX(Tabla6[#All],MATCH(Tabla4[[#This Row],[Producto]],Tabla6[[#All],[PRODUCTO]],0),MATCH(Tabla4[[#This Row],[Mes]],Tabla6[#Headers],0)))</f>
        <v>#N/A</v>
      </c>
      <c r="R475" s="282" t="e">
        <f>++Tabla4[[#This Row],[Precio Unitario Neto]]-Tabla4[[#This Row],[20.85%]]-Tabla4[[#This Row],[Costo]]</f>
        <v>#N/A</v>
      </c>
      <c r="S475" s="282" t="e">
        <f>++Tabla4[[#This Row],[U. Bruta Uni]]*Tabla4[[#This Row],[Cantidad]]</f>
        <v>#N/A</v>
      </c>
      <c r="T475" s="369" t="str">
        <f>VLOOKUP(Tabla4[[#This Row],[Producto]],Tabla6[#All],14,FALSE)</f>
        <v>Termico Solar</v>
      </c>
      <c r="U475" s="284" t="e">
        <f>(IF(Tabla4[[#This Row],[Familia]]="termico solar",Tabla4[[#This Row],[Utilidad Total]]*6%,Tabla4[[#This Row],[Utilidad Total]]*11.5%))/Tabla4[[#This Row],[Total]]</f>
        <v>#N/A</v>
      </c>
      <c r="V475" s="282" t="e">
        <f>+Tabla4[[#This Row],[Comisión Calculada]]*Tabla4[[#This Row],[Total]]</f>
        <v>#N/A</v>
      </c>
    </row>
    <row r="476" spans="1:22" hidden="1" x14ac:dyDescent="0.25">
      <c r="A476" s="100">
        <v>45703</v>
      </c>
      <c r="B476" t="str">
        <f t="shared" si="18"/>
        <v>February</v>
      </c>
      <c r="C476" s="46" t="s">
        <v>280</v>
      </c>
      <c r="F476" s="366" t="s">
        <v>913</v>
      </c>
      <c r="G476" s="46" t="s">
        <v>566</v>
      </c>
      <c r="H476" s="46">
        <v>1</v>
      </c>
      <c r="I476" s="51">
        <v>2109.4499999999998</v>
      </c>
      <c r="J476" s="281">
        <f>++Tabla4[[#This Row],[Precio Bruto]]*1.16</f>
        <v>2446.9619999999995</v>
      </c>
      <c r="K476" s="281">
        <f>+Tabla4[[#This Row],[Precio Unitario Neto]]*Tabla4[[#Headers],[20.85%]]</f>
        <v>510.19157699999988</v>
      </c>
      <c r="L476" s="282">
        <f>++Tabla4[[#This Row],[Precio Unitario Neto]]-Tabla4[[#This Row],[20.85%]]</f>
        <v>1936.7704229999997</v>
      </c>
      <c r="M476" s="282" t="e">
        <f>(INDEX(Tabla6[#All],MATCH(Tabla4[[#This Row],[Producto]],Tabla6[[#All],[PRODUCTO]],0),MATCH(Tabla4[[#This Row],[Mes]],Tabla6[#Headers],0)))*(1+Catalogos!$L$2)</f>
        <v>#N/A</v>
      </c>
      <c r="N476" s="283" t="e">
        <f>+(Tabla4[[#This Row],[Precio Descontado]]-Tabla4[[#This Row],[Precio Base]])*Tabla4[[#This Row],[Cantidad]]</f>
        <v>#N/A</v>
      </c>
      <c r="O476" s="284" t="e">
        <f>++Tabla4[[#This Row],[Utilidad Total]]/Tabla4[[#This Row],[Total]]</f>
        <v>#N/A</v>
      </c>
      <c r="P476" s="282">
        <f>++Tabla4[[#This Row],[Precio Descontado]]*Tabla4[[#This Row],[Cantidad]]</f>
        <v>1936.7704229999997</v>
      </c>
      <c r="Q476" s="282" t="e">
        <f>(INDEX(Tabla6[#All],MATCH(Tabla4[[#This Row],[Producto]],Tabla6[[#All],[PRODUCTO]],0),MATCH(Tabla4[[#This Row],[Mes]],Tabla6[#Headers],0)))</f>
        <v>#N/A</v>
      </c>
      <c r="R476" s="282" t="e">
        <f>++Tabla4[[#This Row],[Precio Unitario Neto]]-Tabla4[[#This Row],[20.85%]]-Tabla4[[#This Row],[Costo]]</f>
        <v>#N/A</v>
      </c>
      <c r="S476" s="282" t="e">
        <f>++Tabla4[[#This Row],[U. Bruta Uni]]*Tabla4[[#This Row],[Cantidad]]</f>
        <v>#N/A</v>
      </c>
      <c r="T476" s="369" t="str">
        <f>VLOOKUP(Tabla4[[#This Row],[Producto]],Tabla6[#All],14,FALSE)</f>
        <v>Termico Solar</v>
      </c>
      <c r="U476" s="284" t="e">
        <f>(IF(Tabla4[[#This Row],[Familia]]="termico solar",Tabla4[[#This Row],[Utilidad Total]]*6%,Tabla4[[#This Row],[Utilidad Total]]*11.5%))/Tabla4[[#This Row],[Total]]</f>
        <v>#N/A</v>
      </c>
      <c r="V476" s="282" t="e">
        <f>+Tabla4[[#This Row],[Comisión Calculada]]*Tabla4[[#This Row],[Total]]</f>
        <v>#N/A</v>
      </c>
    </row>
    <row r="477" spans="1:22" hidden="1" x14ac:dyDescent="0.25">
      <c r="A477" s="100">
        <v>45703</v>
      </c>
      <c r="B477" t="str">
        <f t="shared" si="18"/>
        <v>February</v>
      </c>
      <c r="C477" s="46" t="s">
        <v>280</v>
      </c>
      <c r="F477" s="366" t="s">
        <v>914</v>
      </c>
      <c r="G477" s="46" t="s">
        <v>17</v>
      </c>
      <c r="H477" s="46">
        <v>5</v>
      </c>
      <c r="I477" s="51">
        <v>4622.2800000000007</v>
      </c>
      <c r="J477" s="281">
        <f>++Tabla4[[#This Row],[Precio Bruto]]*1.16</f>
        <v>5361.8448000000008</v>
      </c>
      <c r="K477" s="281">
        <f>+Tabla4[[#This Row],[Precio Unitario Neto]]*Tabla4[[#Headers],[20.85%]]</f>
        <v>1117.9446408000001</v>
      </c>
      <c r="L477" s="282">
        <f>++Tabla4[[#This Row],[Precio Unitario Neto]]-Tabla4[[#This Row],[20.85%]]</f>
        <v>4243.9001592000004</v>
      </c>
      <c r="M477" s="282" t="e">
        <f>(INDEX(Tabla6[#All],MATCH(Tabla4[[#This Row],[Producto]],Tabla6[[#All],[PRODUCTO]],0),MATCH(Tabla4[[#This Row],[Mes]],Tabla6[#Headers],0)))*(1+Catalogos!$L$2)</f>
        <v>#N/A</v>
      </c>
      <c r="N477" s="283" t="e">
        <f>+(Tabla4[[#This Row],[Precio Descontado]]-Tabla4[[#This Row],[Precio Base]])*Tabla4[[#This Row],[Cantidad]]</f>
        <v>#N/A</v>
      </c>
      <c r="O477" s="284" t="e">
        <f>++Tabla4[[#This Row],[Utilidad Total]]/Tabla4[[#This Row],[Total]]</f>
        <v>#N/A</v>
      </c>
      <c r="P477" s="282">
        <f>++Tabla4[[#This Row],[Precio Descontado]]*Tabla4[[#This Row],[Cantidad]]</f>
        <v>21219.500796</v>
      </c>
      <c r="Q477" s="282" t="e">
        <f>(INDEX(Tabla6[#All],MATCH(Tabla4[[#This Row],[Producto]],Tabla6[[#All],[PRODUCTO]],0),MATCH(Tabla4[[#This Row],[Mes]],Tabla6[#Headers],0)))</f>
        <v>#N/A</v>
      </c>
      <c r="R477" s="282" t="e">
        <f>++Tabla4[[#This Row],[Precio Unitario Neto]]-Tabla4[[#This Row],[20.85%]]-Tabla4[[#This Row],[Costo]]</f>
        <v>#N/A</v>
      </c>
      <c r="S477" s="282" t="e">
        <f>++Tabla4[[#This Row],[U. Bruta Uni]]*Tabla4[[#This Row],[Cantidad]]</f>
        <v>#N/A</v>
      </c>
      <c r="T477" s="369" t="str">
        <f>VLOOKUP(Tabla4[[#This Row],[Producto]],Tabla6[#All],14,FALSE)</f>
        <v>Termico Solar</v>
      </c>
      <c r="U477" s="284" t="e">
        <f>(IF(Tabla4[[#This Row],[Familia]]="termico solar",Tabla4[[#This Row],[Utilidad Total]]*6%,Tabla4[[#This Row],[Utilidad Total]]*11.5%))/Tabla4[[#This Row],[Total]]</f>
        <v>#N/A</v>
      </c>
      <c r="V477" s="282" t="e">
        <f>+Tabla4[[#This Row],[Comisión Calculada]]*Tabla4[[#This Row],[Total]]</f>
        <v>#N/A</v>
      </c>
    </row>
    <row r="478" spans="1:22" hidden="1" x14ac:dyDescent="0.25">
      <c r="A478" s="100">
        <v>45703</v>
      </c>
      <c r="B478" t="str">
        <f t="shared" si="18"/>
        <v>February</v>
      </c>
      <c r="C478" s="46" t="s">
        <v>280</v>
      </c>
      <c r="F478" s="366" t="s">
        <v>914</v>
      </c>
      <c r="G478" s="46" t="s">
        <v>18</v>
      </c>
      <c r="H478" s="46">
        <v>2</v>
      </c>
      <c r="I478" s="51">
        <v>5367.65</v>
      </c>
      <c r="J478" s="281">
        <f>++Tabla4[[#This Row],[Precio Bruto]]*1.16</f>
        <v>6226.4739999999993</v>
      </c>
      <c r="K478" s="281">
        <f>+Tabla4[[#This Row],[Precio Unitario Neto]]*Tabla4[[#Headers],[20.85%]]</f>
        <v>1298.2198289999999</v>
      </c>
      <c r="L478" s="282">
        <f>++Tabla4[[#This Row],[Precio Unitario Neto]]-Tabla4[[#This Row],[20.85%]]</f>
        <v>4928.2541709999996</v>
      </c>
      <c r="M478" s="282" t="e">
        <f>(INDEX(Tabla6[#All],MATCH(Tabla4[[#This Row],[Producto]],Tabla6[[#All],[PRODUCTO]],0),MATCH(Tabla4[[#This Row],[Mes]],Tabla6[#Headers],0)))*(1+Catalogos!$L$2)</f>
        <v>#N/A</v>
      </c>
      <c r="N478" s="283" t="e">
        <f>+(Tabla4[[#This Row],[Precio Descontado]]-Tabla4[[#This Row],[Precio Base]])*Tabla4[[#This Row],[Cantidad]]</f>
        <v>#N/A</v>
      </c>
      <c r="O478" s="284" t="e">
        <f>++Tabla4[[#This Row],[Utilidad Total]]/Tabla4[[#This Row],[Total]]</f>
        <v>#N/A</v>
      </c>
      <c r="P478" s="282">
        <f>++Tabla4[[#This Row],[Precio Descontado]]*Tabla4[[#This Row],[Cantidad]]</f>
        <v>9856.5083419999992</v>
      </c>
      <c r="Q478" s="282" t="e">
        <f>(INDEX(Tabla6[#All],MATCH(Tabla4[[#This Row],[Producto]],Tabla6[[#All],[PRODUCTO]],0),MATCH(Tabla4[[#This Row],[Mes]],Tabla6[#Headers],0)))</f>
        <v>#N/A</v>
      </c>
      <c r="R478" s="282" t="e">
        <f>++Tabla4[[#This Row],[Precio Unitario Neto]]-Tabla4[[#This Row],[20.85%]]-Tabla4[[#This Row],[Costo]]</f>
        <v>#N/A</v>
      </c>
      <c r="S478" s="282" t="e">
        <f>++Tabla4[[#This Row],[U. Bruta Uni]]*Tabla4[[#This Row],[Cantidad]]</f>
        <v>#N/A</v>
      </c>
      <c r="T478" s="369" t="str">
        <f>VLOOKUP(Tabla4[[#This Row],[Producto]],Tabla6[#All],14,FALSE)</f>
        <v>Termico Solar</v>
      </c>
      <c r="U478" s="284" t="e">
        <f>(IF(Tabla4[[#This Row],[Familia]]="termico solar",Tabla4[[#This Row],[Utilidad Total]]*6%,Tabla4[[#This Row],[Utilidad Total]]*11.5%))/Tabla4[[#This Row],[Total]]</f>
        <v>#N/A</v>
      </c>
      <c r="V478" s="282" t="e">
        <f>+Tabla4[[#This Row],[Comisión Calculada]]*Tabla4[[#This Row],[Total]]</f>
        <v>#N/A</v>
      </c>
    </row>
    <row r="479" spans="1:22" hidden="1" x14ac:dyDescent="0.25">
      <c r="A479" s="100">
        <v>45703</v>
      </c>
      <c r="B479" t="str">
        <f t="shared" si="18"/>
        <v>February</v>
      </c>
      <c r="C479" s="46" t="s">
        <v>280</v>
      </c>
      <c r="F479" s="366" t="s">
        <v>915</v>
      </c>
      <c r="G479" s="46" t="s">
        <v>83</v>
      </c>
      <c r="H479" s="46">
        <v>1</v>
      </c>
      <c r="I479" s="51">
        <v>8858.76</v>
      </c>
      <c r="J479" s="281">
        <f>++Tabla4[[#This Row],[Precio Bruto]]*1.16</f>
        <v>10276.161599999999</v>
      </c>
      <c r="K479" s="281">
        <f>+Tabla4[[#This Row],[Precio Unitario Neto]]*Tabla4[[#Headers],[20.85%]]</f>
        <v>2142.5796935999997</v>
      </c>
      <c r="L479" s="282">
        <f>++Tabla4[[#This Row],[Precio Unitario Neto]]-Tabla4[[#This Row],[20.85%]]</f>
        <v>8133.5819063999998</v>
      </c>
      <c r="M479" s="282" t="e">
        <f>(INDEX(Tabla6[#All],MATCH(Tabla4[[#This Row],[Producto]],Tabla6[[#All],[PRODUCTO]],0),MATCH(Tabla4[[#This Row],[Mes]],Tabla6[#Headers],0)))*(1+Catalogos!$L$2)</f>
        <v>#N/A</v>
      </c>
      <c r="N479" s="283" t="e">
        <f>+(Tabla4[[#This Row],[Precio Descontado]]-Tabla4[[#This Row],[Precio Base]])*Tabla4[[#This Row],[Cantidad]]</f>
        <v>#N/A</v>
      </c>
      <c r="O479" s="284" t="e">
        <f>++Tabla4[[#This Row],[Utilidad Total]]/Tabla4[[#This Row],[Total]]</f>
        <v>#N/A</v>
      </c>
      <c r="P479" s="282">
        <f>++Tabla4[[#This Row],[Precio Descontado]]*Tabla4[[#This Row],[Cantidad]]</f>
        <v>8133.5819063999998</v>
      </c>
      <c r="Q479" s="282" t="e">
        <f>(INDEX(Tabla6[#All],MATCH(Tabla4[[#This Row],[Producto]],Tabla6[[#All],[PRODUCTO]],0),MATCH(Tabla4[[#This Row],[Mes]],Tabla6[#Headers],0)))</f>
        <v>#N/A</v>
      </c>
      <c r="R479" s="282" t="e">
        <f>++Tabla4[[#This Row],[Precio Unitario Neto]]-Tabla4[[#This Row],[20.85%]]-Tabla4[[#This Row],[Costo]]</f>
        <v>#N/A</v>
      </c>
      <c r="S479" s="282" t="e">
        <f>++Tabla4[[#This Row],[U. Bruta Uni]]*Tabla4[[#This Row],[Cantidad]]</f>
        <v>#N/A</v>
      </c>
      <c r="T479" s="369" t="str">
        <f>VLOOKUP(Tabla4[[#This Row],[Producto]],Tabla6[#All],14,FALSE)</f>
        <v>Termico Solar</v>
      </c>
      <c r="U479" s="284" t="e">
        <f>(IF(Tabla4[[#This Row],[Familia]]="termico solar",Tabla4[[#This Row],[Utilidad Total]]*6%,Tabla4[[#This Row],[Utilidad Total]]*11.5%))/Tabla4[[#This Row],[Total]]</f>
        <v>#N/A</v>
      </c>
      <c r="V479" s="282" t="e">
        <f>+Tabla4[[#This Row],[Comisión Calculada]]*Tabla4[[#This Row],[Total]]</f>
        <v>#N/A</v>
      </c>
    </row>
    <row r="480" spans="1:22" hidden="1" x14ac:dyDescent="0.25">
      <c r="A480" s="100">
        <v>45703</v>
      </c>
      <c r="B480" t="str">
        <f t="shared" si="18"/>
        <v>February</v>
      </c>
      <c r="C480" s="46" t="s">
        <v>280</v>
      </c>
      <c r="F480" s="366" t="s">
        <v>915</v>
      </c>
      <c r="G480" s="46" t="s">
        <v>17</v>
      </c>
      <c r="H480" s="46">
        <v>1</v>
      </c>
      <c r="I480" s="51">
        <v>4622.28</v>
      </c>
      <c r="J480" s="281">
        <f>++Tabla4[[#This Row],[Precio Bruto]]*1.16</f>
        <v>5361.8447999999989</v>
      </c>
      <c r="K480" s="281">
        <f>+Tabla4[[#This Row],[Precio Unitario Neto]]*Tabla4[[#Headers],[20.85%]]</f>
        <v>1117.9446407999997</v>
      </c>
      <c r="L480" s="282">
        <f>++Tabla4[[#This Row],[Precio Unitario Neto]]-Tabla4[[#This Row],[20.85%]]</f>
        <v>4243.9001591999995</v>
      </c>
      <c r="M480" s="282" t="e">
        <f>(INDEX(Tabla6[#All],MATCH(Tabla4[[#This Row],[Producto]],Tabla6[[#All],[PRODUCTO]],0),MATCH(Tabla4[[#This Row],[Mes]],Tabla6[#Headers],0)))*(1+Catalogos!$L$2)</f>
        <v>#N/A</v>
      </c>
      <c r="N480" s="283" t="e">
        <f>+(Tabla4[[#This Row],[Precio Descontado]]-Tabla4[[#This Row],[Precio Base]])*Tabla4[[#This Row],[Cantidad]]</f>
        <v>#N/A</v>
      </c>
      <c r="O480" s="284" t="e">
        <f>++Tabla4[[#This Row],[Utilidad Total]]/Tabla4[[#This Row],[Total]]</f>
        <v>#N/A</v>
      </c>
      <c r="P480" s="282">
        <f>++Tabla4[[#This Row],[Precio Descontado]]*Tabla4[[#This Row],[Cantidad]]</f>
        <v>4243.9001591999995</v>
      </c>
      <c r="Q480" s="282" t="e">
        <f>(INDEX(Tabla6[#All],MATCH(Tabla4[[#This Row],[Producto]],Tabla6[[#All],[PRODUCTO]],0),MATCH(Tabla4[[#This Row],[Mes]],Tabla6[#Headers],0)))</f>
        <v>#N/A</v>
      </c>
      <c r="R480" s="282" t="e">
        <f>++Tabla4[[#This Row],[Precio Unitario Neto]]-Tabla4[[#This Row],[20.85%]]-Tabla4[[#This Row],[Costo]]</f>
        <v>#N/A</v>
      </c>
      <c r="S480" s="282" t="e">
        <f>++Tabla4[[#This Row],[U. Bruta Uni]]*Tabla4[[#This Row],[Cantidad]]</f>
        <v>#N/A</v>
      </c>
      <c r="T480" s="369" t="str">
        <f>VLOOKUP(Tabla4[[#This Row],[Producto]],Tabla6[#All],14,FALSE)</f>
        <v>Termico Solar</v>
      </c>
      <c r="U480" s="284" t="e">
        <f>(IF(Tabla4[[#This Row],[Familia]]="termico solar",Tabla4[[#This Row],[Utilidad Total]]*6%,Tabla4[[#This Row],[Utilidad Total]]*11.5%))/Tabla4[[#This Row],[Total]]</f>
        <v>#N/A</v>
      </c>
      <c r="V480" s="282" t="e">
        <f>+Tabla4[[#This Row],[Comisión Calculada]]*Tabla4[[#This Row],[Total]]</f>
        <v>#N/A</v>
      </c>
    </row>
    <row r="481" spans="1:22" hidden="1" x14ac:dyDescent="0.25">
      <c r="A481" s="100">
        <v>45703</v>
      </c>
      <c r="B481" t="str">
        <f t="shared" si="18"/>
        <v>February</v>
      </c>
      <c r="C481" s="46" t="s">
        <v>280</v>
      </c>
      <c r="F481" s="366" t="s">
        <v>916</v>
      </c>
      <c r="G481" s="46" t="s">
        <v>83</v>
      </c>
      <c r="H481" s="46">
        <v>1</v>
      </c>
      <c r="I481" s="51">
        <v>8858.76</v>
      </c>
      <c r="J481" s="281">
        <f>++Tabla4[[#This Row],[Precio Bruto]]*1.16</f>
        <v>10276.161599999999</v>
      </c>
      <c r="K481" s="281">
        <f>+Tabla4[[#This Row],[Precio Unitario Neto]]*Tabla4[[#Headers],[20.85%]]</f>
        <v>2142.5796935999997</v>
      </c>
      <c r="L481" s="282">
        <f>++Tabla4[[#This Row],[Precio Unitario Neto]]-Tabla4[[#This Row],[20.85%]]</f>
        <v>8133.5819063999998</v>
      </c>
      <c r="M481" s="282" t="e">
        <f>(INDEX(Tabla6[#All],MATCH(Tabla4[[#This Row],[Producto]],Tabla6[[#All],[PRODUCTO]],0),MATCH(Tabla4[[#This Row],[Mes]],Tabla6[#Headers],0)))*(1+Catalogos!$L$2)</f>
        <v>#N/A</v>
      </c>
      <c r="N481" s="283" t="e">
        <f>+(Tabla4[[#This Row],[Precio Descontado]]-Tabla4[[#This Row],[Precio Base]])*Tabla4[[#This Row],[Cantidad]]</f>
        <v>#N/A</v>
      </c>
      <c r="O481" s="284" t="e">
        <f>++Tabla4[[#This Row],[Utilidad Total]]/Tabla4[[#This Row],[Total]]</f>
        <v>#N/A</v>
      </c>
      <c r="P481" s="282">
        <f>++Tabla4[[#This Row],[Precio Descontado]]*Tabla4[[#This Row],[Cantidad]]</f>
        <v>8133.5819063999998</v>
      </c>
      <c r="Q481" s="282" t="e">
        <f>(INDEX(Tabla6[#All],MATCH(Tabla4[[#This Row],[Producto]],Tabla6[[#All],[PRODUCTO]],0),MATCH(Tabla4[[#This Row],[Mes]],Tabla6[#Headers],0)))</f>
        <v>#N/A</v>
      </c>
      <c r="R481" s="282" t="e">
        <f>++Tabla4[[#This Row],[Precio Unitario Neto]]-Tabla4[[#This Row],[20.85%]]-Tabla4[[#This Row],[Costo]]</f>
        <v>#N/A</v>
      </c>
      <c r="S481" s="282" t="e">
        <f>++Tabla4[[#This Row],[U. Bruta Uni]]*Tabla4[[#This Row],[Cantidad]]</f>
        <v>#N/A</v>
      </c>
      <c r="T481" s="369" t="str">
        <f>VLOOKUP(Tabla4[[#This Row],[Producto]],Tabla6[#All],14,FALSE)</f>
        <v>Termico Solar</v>
      </c>
      <c r="U481" s="284" t="e">
        <f>(IF(Tabla4[[#This Row],[Familia]]="termico solar",Tabla4[[#This Row],[Utilidad Total]]*6%,Tabla4[[#This Row],[Utilidad Total]]*11.5%))/Tabla4[[#This Row],[Total]]</f>
        <v>#N/A</v>
      </c>
      <c r="V481" s="282" t="e">
        <f>+Tabla4[[#This Row],[Comisión Calculada]]*Tabla4[[#This Row],[Total]]</f>
        <v>#N/A</v>
      </c>
    </row>
    <row r="482" spans="1:22" hidden="1" x14ac:dyDescent="0.25">
      <c r="A482" s="100">
        <v>45703</v>
      </c>
      <c r="B482" t="str">
        <f t="shared" si="18"/>
        <v>February</v>
      </c>
      <c r="C482" s="46" t="s">
        <v>280</v>
      </c>
      <c r="F482" s="366" t="s">
        <v>916</v>
      </c>
      <c r="G482" s="46" t="s">
        <v>566</v>
      </c>
      <c r="H482" s="46">
        <v>1</v>
      </c>
      <c r="I482" s="51">
        <v>2109.4499999999998</v>
      </c>
      <c r="J482" s="281">
        <f>++Tabla4[[#This Row],[Precio Bruto]]*1.16</f>
        <v>2446.9619999999995</v>
      </c>
      <c r="K482" s="281">
        <f>+Tabla4[[#This Row],[Precio Unitario Neto]]*Tabla4[[#Headers],[20.85%]]</f>
        <v>510.19157699999988</v>
      </c>
      <c r="L482" s="282">
        <f>++Tabla4[[#This Row],[Precio Unitario Neto]]-Tabla4[[#This Row],[20.85%]]</f>
        <v>1936.7704229999997</v>
      </c>
      <c r="M482" s="282" t="e">
        <f>(INDEX(Tabla6[#All],MATCH(Tabla4[[#This Row],[Producto]],Tabla6[[#All],[PRODUCTO]],0),MATCH(Tabla4[[#This Row],[Mes]],Tabla6[#Headers],0)))*(1+Catalogos!$L$2)</f>
        <v>#N/A</v>
      </c>
      <c r="N482" s="283" t="e">
        <f>+(Tabla4[[#This Row],[Precio Descontado]]-Tabla4[[#This Row],[Precio Base]])*Tabla4[[#This Row],[Cantidad]]</f>
        <v>#N/A</v>
      </c>
      <c r="O482" s="284" t="e">
        <f>++Tabla4[[#This Row],[Utilidad Total]]/Tabla4[[#This Row],[Total]]</f>
        <v>#N/A</v>
      </c>
      <c r="P482" s="282">
        <f>++Tabla4[[#This Row],[Precio Descontado]]*Tabla4[[#This Row],[Cantidad]]</f>
        <v>1936.7704229999997</v>
      </c>
      <c r="Q482" s="282" t="e">
        <f>(INDEX(Tabla6[#All],MATCH(Tabla4[[#This Row],[Producto]],Tabla6[[#All],[PRODUCTO]],0),MATCH(Tabla4[[#This Row],[Mes]],Tabla6[#Headers],0)))</f>
        <v>#N/A</v>
      </c>
      <c r="R482" s="282" t="e">
        <f>++Tabla4[[#This Row],[Precio Unitario Neto]]-Tabla4[[#This Row],[20.85%]]-Tabla4[[#This Row],[Costo]]</f>
        <v>#N/A</v>
      </c>
      <c r="S482" s="282" t="e">
        <f>++Tabla4[[#This Row],[U. Bruta Uni]]*Tabla4[[#This Row],[Cantidad]]</f>
        <v>#N/A</v>
      </c>
      <c r="T482" s="369" t="str">
        <f>VLOOKUP(Tabla4[[#This Row],[Producto]],Tabla6[#All],14,FALSE)</f>
        <v>Termico Solar</v>
      </c>
      <c r="U482" s="284" t="e">
        <f>(IF(Tabla4[[#This Row],[Familia]]="termico solar",Tabla4[[#This Row],[Utilidad Total]]*6%,Tabla4[[#This Row],[Utilidad Total]]*11.5%))/Tabla4[[#This Row],[Total]]</f>
        <v>#N/A</v>
      </c>
      <c r="V482" s="282" t="e">
        <f>+Tabla4[[#This Row],[Comisión Calculada]]*Tabla4[[#This Row],[Total]]</f>
        <v>#N/A</v>
      </c>
    </row>
    <row r="483" spans="1:22" hidden="1" x14ac:dyDescent="0.25">
      <c r="A483" s="100">
        <v>45703</v>
      </c>
      <c r="B483" t="str">
        <f t="shared" si="18"/>
        <v>February</v>
      </c>
      <c r="C483" s="46" t="s">
        <v>280</v>
      </c>
      <c r="F483" s="366" t="s">
        <v>917</v>
      </c>
      <c r="G483" s="46" t="s">
        <v>83</v>
      </c>
      <c r="H483" s="46">
        <v>4</v>
      </c>
      <c r="I483" s="51">
        <v>8858.76</v>
      </c>
      <c r="J483" s="281">
        <f>++Tabla4[[#This Row],[Precio Bruto]]*1.16</f>
        <v>10276.161599999999</v>
      </c>
      <c r="K483" s="281">
        <f>+Tabla4[[#This Row],[Precio Unitario Neto]]*Tabla4[[#Headers],[20.85%]]</f>
        <v>2142.5796935999997</v>
      </c>
      <c r="L483" s="282">
        <f>++Tabla4[[#This Row],[Precio Unitario Neto]]-Tabla4[[#This Row],[20.85%]]</f>
        <v>8133.5819063999998</v>
      </c>
      <c r="M483" s="282" t="e">
        <f>(INDEX(Tabla6[#All],MATCH(Tabla4[[#This Row],[Producto]],Tabla6[[#All],[PRODUCTO]],0),MATCH(Tabla4[[#This Row],[Mes]],Tabla6[#Headers],0)))*(1+Catalogos!$L$2)</f>
        <v>#N/A</v>
      </c>
      <c r="N483" s="283" t="e">
        <f>+(Tabla4[[#This Row],[Precio Descontado]]-Tabla4[[#This Row],[Precio Base]])*Tabla4[[#This Row],[Cantidad]]</f>
        <v>#N/A</v>
      </c>
      <c r="O483" s="284" t="e">
        <f>++Tabla4[[#This Row],[Utilidad Total]]/Tabla4[[#This Row],[Total]]</f>
        <v>#N/A</v>
      </c>
      <c r="P483" s="282">
        <f>++Tabla4[[#This Row],[Precio Descontado]]*Tabla4[[#This Row],[Cantidad]]</f>
        <v>32534.327625599999</v>
      </c>
      <c r="Q483" s="282" t="e">
        <f>(INDEX(Tabla6[#All],MATCH(Tabla4[[#This Row],[Producto]],Tabla6[[#All],[PRODUCTO]],0),MATCH(Tabla4[[#This Row],[Mes]],Tabla6[#Headers],0)))</f>
        <v>#N/A</v>
      </c>
      <c r="R483" s="282" t="e">
        <f>++Tabla4[[#This Row],[Precio Unitario Neto]]-Tabla4[[#This Row],[20.85%]]-Tabla4[[#This Row],[Costo]]</f>
        <v>#N/A</v>
      </c>
      <c r="S483" s="282" t="e">
        <f>++Tabla4[[#This Row],[U. Bruta Uni]]*Tabla4[[#This Row],[Cantidad]]</f>
        <v>#N/A</v>
      </c>
      <c r="T483" s="369" t="str">
        <f>VLOOKUP(Tabla4[[#This Row],[Producto]],Tabla6[#All],14,FALSE)</f>
        <v>Termico Solar</v>
      </c>
      <c r="U483" s="284" t="e">
        <f>(IF(Tabla4[[#This Row],[Familia]]="termico solar",Tabla4[[#This Row],[Utilidad Total]]*6%,Tabla4[[#This Row],[Utilidad Total]]*11.5%))/Tabla4[[#This Row],[Total]]</f>
        <v>#N/A</v>
      </c>
      <c r="V483" s="282" t="e">
        <f>+Tabla4[[#This Row],[Comisión Calculada]]*Tabla4[[#This Row],[Total]]</f>
        <v>#N/A</v>
      </c>
    </row>
    <row r="484" spans="1:22" hidden="1" x14ac:dyDescent="0.25">
      <c r="A484" s="100">
        <v>45703</v>
      </c>
      <c r="B484" t="str">
        <f t="shared" si="18"/>
        <v>February</v>
      </c>
      <c r="C484" s="46" t="s">
        <v>280</v>
      </c>
      <c r="F484" s="366" t="s">
        <v>917</v>
      </c>
      <c r="G484" s="46" t="s">
        <v>16</v>
      </c>
      <c r="H484" s="46">
        <v>8</v>
      </c>
      <c r="I484" s="51">
        <v>4103.8500000000004</v>
      </c>
      <c r="J484" s="281">
        <f>++Tabla4[[#This Row],[Precio Bruto]]*1.16</f>
        <v>4760.4660000000003</v>
      </c>
      <c r="K484" s="281">
        <f>+Tabla4[[#This Row],[Precio Unitario Neto]]*Tabla4[[#Headers],[20.85%]]</f>
        <v>992.55716100000006</v>
      </c>
      <c r="L484" s="282">
        <f>++Tabla4[[#This Row],[Precio Unitario Neto]]-Tabla4[[#This Row],[20.85%]]</f>
        <v>3767.9088390000002</v>
      </c>
      <c r="M484" s="282" t="e">
        <f>(INDEX(Tabla6[#All],MATCH(Tabla4[[#This Row],[Producto]],Tabla6[[#All],[PRODUCTO]],0),MATCH(Tabla4[[#This Row],[Mes]],Tabla6[#Headers],0)))*(1+Catalogos!$L$2)</f>
        <v>#N/A</v>
      </c>
      <c r="N484" s="283" t="e">
        <f>+(Tabla4[[#This Row],[Precio Descontado]]-Tabla4[[#This Row],[Precio Base]])*Tabla4[[#This Row],[Cantidad]]</f>
        <v>#N/A</v>
      </c>
      <c r="O484" s="284" t="e">
        <f>++Tabla4[[#This Row],[Utilidad Total]]/Tabla4[[#This Row],[Total]]</f>
        <v>#N/A</v>
      </c>
      <c r="P484" s="282">
        <f>++Tabla4[[#This Row],[Precio Descontado]]*Tabla4[[#This Row],[Cantidad]]</f>
        <v>30143.270712000001</v>
      </c>
      <c r="Q484" s="282" t="e">
        <f>(INDEX(Tabla6[#All],MATCH(Tabla4[[#This Row],[Producto]],Tabla6[[#All],[PRODUCTO]],0),MATCH(Tabla4[[#This Row],[Mes]],Tabla6[#Headers],0)))</f>
        <v>#N/A</v>
      </c>
      <c r="R484" s="282" t="e">
        <f>++Tabla4[[#This Row],[Precio Unitario Neto]]-Tabla4[[#This Row],[20.85%]]-Tabla4[[#This Row],[Costo]]</f>
        <v>#N/A</v>
      </c>
      <c r="S484" s="282" t="e">
        <f>++Tabla4[[#This Row],[U. Bruta Uni]]*Tabla4[[#This Row],[Cantidad]]</f>
        <v>#N/A</v>
      </c>
      <c r="T484" s="369" t="str">
        <f>VLOOKUP(Tabla4[[#This Row],[Producto]],Tabla6[#All],14,FALSE)</f>
        <v>Termico Solar</v>
      </c>
      <c r="U484" s="284" t="e">
        <f>(IF(Tabla4[[#This Row],[Familia]]="termico solar",Tabla4[[#This Row],[Utilidad Total]]*6%,Tabla4[[#This Row],[Utilidad Total]]*11.5%))/Tabla4[[#This Row],[Total]]</f>
        <v>#N/A</v>
      </c>
      <c r="V484" s="282" t="e">
        <f>+Tabla4[[#This Row],[Comisión Calculada]]*Tabla4[[#This Row],[Total]]</f>
        <v>#N/A</v>
      </c>
    </row>
    <row r="485" spans="1:22" hidden="1" x14ac:dyDescent="0.25">
      <c r="A485" s="100">
        <v>45703</v>
      </c>
      <c r="B485" t="str">
        <f t="shared" si="18"/>
        <v>February</v>
      </c>
      <c r="C485" s="46" t="s">
        <v>280</v>
      </c>
      <c r="F485" s="366" t="s">
        <v>918</v>
      </c>
      <c r="G485" s="46" t="s">
        <v>83</v>
      </c>
      <c r="H485" s="46">
        <v>2</v>
      </c>
      <c r="I485" s="51">
        <v>8858.76</v>
      </c>
      <c r="J485" s="281">
        <f>++Tabla4[[#This Row],[Precio Bruto]]*1.16</f>
        <v>10276.161599999999</v>
      </c>
      <c r="K485" s="281">
        <f>+Tabla4[[#This Row],[Precio Unitario Neto]]*Tabla4[[#Headers],[20.85%]]</f>
        <v>2142.5796935999997</v>
      </c>
      <c r="L485" s="282">
        <f>++Tabla4[[#This Row],[Precio Unitario Neto]]-Tabla4[[#This Row],[20.85%]]</f>
        <v>8133.5819063999998</v>
      </c>
      <c r="M485" s="282" t="e">
        <f>(INDEX(Tabla6[#All],MATCH(Tabla4[[#This Row],[Producto]],Tabla6[[#All],[PRODUCTO]],0),MATCH(Tabla4[[#This Row],[Mes]],Tabla6[#Headers],0)))*(1+Catalogos!$L$2)</f>
        <v>#N/A</v>
      </c>
      <c r="N485" s="283" t="e">
        <f>+(Tabla4[[#This Row],[Precio Descontado]]-Tabla4[[#This Row],[Precio Base]])*Tabla4[[#This Row],[Cantidad]]</f>
        <v>#N/A</v>
      </c>
      <c r="O485" s="284" t="e">
        <f>++Tabla4[[#This Row],[Utilidad Total]]/Tabla4[[#This Row],[Total]]</f>
        <v>#N/A</v>
      </c>
      <c r="P485" s="282">
        <f>++Tabla4[[#This Row],[Precio Descontado]]*Tabla4[[#This Row],[Cantidad]]</f>
        <v>16267.1638128</v>
      </c>
      <c r="Q485" s="282" t="e">
        <f>(INDEX(Tabla6[#All],MATCH(Tabla4[[#This Row],[Producto]],Tabla6[[#All],[PRODUCTO]],0),MATCH(Tabla4[[#This Row],[Mes]],Tabla6[#Headers],0)))</f>
        <v>#N/A</v>
      </c>
      <c r="R485" s="282" t="e">
        <f>++Tabla4[[#This Row],[Precio Unitario Neto]]-Tabla4[[#This Row],[20.85%]]-Tabla4[[#This Row],[Costo]]</f>
        <v>#N/A</v>
      </c>
      <c r="S485" s="282" t="e">
        <f>++Tabla4[[#This Row],[U. Bruta Uni]]*Tabla4[[#This Row],[Cantidad]]</f>
        <v>#N/A</v>
      </c>
      <c r="T485" s="369" t="str">
        <f>VLOOKUP(Tabla4[[#This Row],[Producto]],Tabla6[#All],14,FALSE)</f>
        <v>Termico Solar</v>
      </c>
      <c r="U485" s="284" t="e">
        <f>(IF(Tabla4[[#This Row],[Familia]]="termico solar",Tabla4[[#This Row],[Utilidad Total]]*6%,Tabla4[[#This Row],[Utilidad Total]]*11.5%))/Tabla4[[#This Row],[Total]]</f>
        <v>#N/A</v>
      </c>
      <c r="V485" s="282" t="e">
        <f>+Tabla4[[#This Row],[Comisión Calculada]]*Tabla4[[#This Row],[Total]]</f>
        <v>#N/A</v>
      </c>
    </row>
    <row r="486" spans="1:22" hidden="1" x14ac:dyDescent="0.25">
      <c r="A486" s="100">
        <v>45703</v>
      </c>
      <c r="B486" t="str">
        <f t="shared" si="18"/>
        <v>February</v>
      </c>
      <c r="C486" s="46" t="s">
        <v>280</v>
      </c>
      <c r="F486" s="366" t="s">
        <v>918</v>
      </c>
      <c r="G486" s="46" t="s">
        <v>16</v>
      </c>
      <c r="H486" s="46">
        <v>2</v>
      </c>
      <c r="I486" s="51">
        <v>4103.8500000000004</v>
      </c>
      <c r="J486" s="281">
        <f>++Tabla4[[#This Row],[Precio Bruto]]*1.16</f>
        <v>4760.4660000000003</v>
      </c>
      <c r="K486" s="281">
        <f>+Tabla4[[#This Row],[Precio Unitario Neto]]*Tabla4[[#Headers],[20.85%]]</f>
        <v>992.55716100000006</v>
      </c>
      <c r="L486" s="282">
        <f>++Tabla4[[#This Row],[Precio Unitario Neto]]-Tabla4[[#This Row],[20.85%]]</f>
        <v>3767.9088390000002</v>
      </c>
      <c r="M486" s="282" t="e">
        <f>(INDEX(Tabla6[#All],MATCH(Tabla4[[#This Row],[Producto]],Tabla6[[#All],[PRODUCTO]],0),MATCH(Tabla4[[#This Row],[Mes]],Tabla6[#Headers],0)))*(1+Catalogos!$L$2)</f>
        <v>#N/A</v>
      </c>
      <c r="N486" s="283" t="e">
        <f>+(Tabla4[[#This Row],[Precio Descontado]]-Tabla4[[#This Row],[Precio Base]])*Tabla4[[#This Row],[Cantidad]]</f>
        <v>#N/A</v>
      </c>
      <c r="O486" s="284" t="e">
        <f>++Tabla4[[#This Row],[Utilidad Total]]/Tabla4[[#This Row],[Total]]</f>
        <v>#N/A</v>
      </c>
      <c r="P486" s="282">
        <f>++Tabla4[[#This Row],[Precio Descontado]]*Tabla4[[#This Row],[Cantidad]]</f>
        <v>7535.8176780000003</v>
      </c>
      <c r="Q486" s="282" t="e">
        <f>(INDEX(Tabla6[#All],MATCH(Tabla4[[#This Row],[Producto]],Tabla6[[#All],[PRODUCTO]],0),MATCH(Tabla4[[#This Row],[Mes]],Tabla6[#Headers],0)))</f>
        <v>#N/A</v>
      </c>
      <c r="R486" s="282" t="e">
        <f>++Tabla4[[#This Row],[Precio Unitario Neto]]-Tabla4[[#This Row],[20.85%]]-Tabla4[[#This Row],[Costo]]</f>
        <v>#N/A</v>
      </c>
      <c r="S486" s="282" t="e">
        <f>++Tabla4[[#This Row],[U. Bruta Uni]]*Tabla4[[#This Row],[Cantidad]]</f>
        <v>#N/A</v>
      </c>
      <c r="T486" s="369" t="str">
        <f>VLOOKUP(Tabla4[[#This Row],[Producto]],Tabla6[#All],14,FALSE)</f>
        <v>Termico Solar</v>
      </c>
      <c r="U486" s="284" t="e">
        <f>(IF(Tabla4[[#This Row],[Familia]]="termico solar",Tabla4[[#This Row],[Utilidad Total]]*6%,Tabla4[[#This Row],[Utilidad Total]]*11.5%))/Tabla4[[#This Row],[Total]]</f>
        <v>#N/A</v>
      </c>
      <c r="V486" s="282" t="e">
        <f>+Tabla4[[#This Row],[Comisión Calculada]]*Tabla4[[#This Row],[Total]]</f>
        <v>#N/A</v>
      </c>
    </row>
    <row r="487" spans="1:22" hidden="1" x14ac:dyDescent="0.25">
      <c r="A487" s="100">
        <v>45703</v>
      </c>
      <c r="B487" t="str">
        <f t="shared" si="18"/>
        <v>February</v>
      </c>
      <c r="C487" s="46" t="s">
        <v>280</v>
      </c>
      <c r="F487" s="366" t="s">
        <v>919</v>
      </c>
      <c r="G487" s="46" t="s">
        <v>17</v>
      </c>
      <c r="H487" s="46">
        <v>1</v>
      </c>
      <c r="I487" s="51">
        <v>4622.28</v>
      </c>
      <c r="J487" s="281">
        <f>++Tabla4[[#This Row],[Precio Bruto]]*1.16</f>
        <v>5361.8447999999989</v>
      </c>
      <c r="K487" s="281">
        <f>+Tabla4[[#This Row],[Precio Unitario Neto]]*Tabla4[[#Headers],[20.85%]]</f>
        <v>1117.9446407999997</v>
      </c>
      <c r="L487" s="282">
        <f>++Tabla4[[#This Row],[Precio Unitario Neto]]-Tabla4[[#This Row],[20.85%]]</f>
        <v>4243.9001591999995</v>
      </c>
      <c r="M487" s="282" t="e">
        <f>(INDEX(Tabla6[#All],MATCH(Tabla4[[#This Row],[Producto]],Tabla6[[#All],[PRODUCTO]],0),MATCH(Tabla4[[#This Row],[Mes]],Tabla6[#Headers],0)))*(1+Catalogos!$L$2)</f>
        <v>#N/A</v>
      </c>
      <c r="N487" s="283" t="e">
        <f>+(Tabla4[[#This Row],[Precio Descontado]]-Tabla4[[#This Row],[Precio Base]])*Tabla4[[#This Row],[Cantidad]]</f>
        <v>#N/A</v>
      </c>
      <c r="O487" s="284" t="e">
        <f>++Tabla4[[#This Row],[Utilidad Total]]/Tabla4[[#This Row],[Total]]</f>
        <v>#N/A</v>
      </c>
      <c r="P487" s="282">
        <f>++Tabla4[[#This Row],[Precio Descontado]]*Tabla4[[#This Row],[Cantidad]]</f>
        <v>4243.9001591999995</v>
      </c>
      <c r="Q487" s="282" t="e">
        <f>(INDEX(Tabla6[#All],MATCH(Tabla4[[#This Row],[Producto]],Tabla6[[#All],[PRODUCTO]],0),MATCH(Tabla4[[#This Row],[Mes]],Tabla6[#Headers],0)))</f>
        <v>#N/A</v>
      </c>
      <c r="R487" s="282" t="e">
        <f>++Tabla4[[#This Row],[Precio Unitario Neto]]-Tabla4[[#This Row],[20.85%]]-Tabla4[[#This Row],[Costo]]</f>
        <v>#N/A</v>
      </c>
      <c r="S487" s="282" t="e">
        <f>++Tabla4[[#This Row],[U. Bruta Uni]]*Tabla4[[#This Row],[Cantidad]]</f>
        <v>#N/A</v>
      </c>
      <c r="T487" s="369" t="str">
        <f>VLOOKUP(Tabla4[[#This Row],[Producto]],Tabla6[#All],14,FALSE)</f>
        <v>Termico Solar</v>
      </c>
      <c r="U487" s="284" t="e">
        <f>(IF(Tabla4[[#This Row],[Familia]]="termico solar",Tabla4[[#This Row],[Utilidad Total]]*6%,Tabla4[[#This Row],[Utilidad Total]]*11.5%))/Tabla4[[#This Row],[Total]]</f>
        <v>#N/A</v>
      </c>
      <c r="V487" s="282" t="e">
        <f>+Tabla4[[#This Row],[Comisión Calculada]]*Tabla4[[#This Row],[Total]]</f>
        <v>#N/A</v>
      </c>
    </row>
    <row r="488" spans="1:22" hidden="1" x14ac:dyDescent="0.25">
      <c r="A488" s="100">
        <v>45703</v>
      </c>
      <c r="B488" t="str">
        <f t="shared" si="18"/>
        <v>February</v>
      </c>
      <c r="C488" s="46" t="s">
        <v>280</v>
      </c>
      <c r="F488" s="366" t="s">
        <v>920</v>
      </c>
      <c r="G488" s="46" t="s">
        <v>17</v>
      </c>
      <c r="H488" s="46">
        <v>6</v>
      </c>
      <c r="I488" s="51">
        <v>4622.28</v>
      </c>
      <c r="J488" s="281">
        <f>++Tabla4[[#This Row],[Precio Bruto]]*1.16</f>
        <v>5361.8447999999989</v>
      </c>
      <c r="K488" s="281">
        <f>+Tabla4[[#This Row],[Precio Unitario Neto]]*Tabla4[[#Headers],[20.85%]]</f>
        <v>1117.9446407999997</v>
      </c>
      <c r="L488" s="282">
        <f>++Tabla4[[#This Row],[Precio Unitario Neto]]-Tabla4[[#This Row],[20.85%]]</f>
        <v>4243.9001591999995</v>
      </c>
      <c r="M488" s="282" t="e">
        <f>(INDEX(Tabla6[#All],MATCH(Tabla4[[#This Row],[Producto]],Tabla6[[#All],[PRODUCTO]],0),MATCH(Tabla4[[#This Row],[Mes]],Tabla6[#Headers],0)))*(1+Catalogos!$L$2)</f>
        <v>#N/A</v>
      </c>
      <c r="N488" s="283" t="e">
        <f>+(Tabla4[[#This Row],[Precio Descontado]]-Tabla4[[#This Row],[Precio Base]])*Tabla4[[#This Row],[Cantidad]]</f>
        <v>#N/A</v>
      </c>
      <c r="O488" s="284" t="e">
        <f>++Tabla4[[#This Row],[Utilidad Total]]/Tabla4[[#This Row],[Total]]</f>
        <v>#N/A</v>
      </c>
      <c r="P488" s="282">
        <f>++Tabla4[[#This Row],[Precio Descontado]]*Tabla4[[#This Row],[Cantidad]]</f>
        <v>25463.400955199999</v>
      </c>
      <c r="Q488" s="282" t="e">
        <f>(INDEX(Tabla6[#All],MATCH(Tabla4[[#This Row],[Producto]],Tabla6[[#All],[PRODUCTO]],0),MATCH(Tabla4[[#This Row],[Mes]],Tabla6[#Headers],0)))</f>
        <v>#N/A</v>
      </c>
      <c r="R488" s="282" t="e">
        <f>++Tabla4[[#This Row],[Precio Unitario Neto]]-Tabla4[[#This Row],[20.85%]]-Tabla4[[#This Row],[Costo]]</f>
        <v>#N/A</v>
      </c>
      <c r="S488" s="282" t="e">
        <f>++Tabla4[[#This Row],[U. Bruta Uni]]*Tabla4[[#This Row],[Cantidad]]</f>
        <v>#N/A</v>
      </c>
      <c r="T488" s="369" t="str">
        <f>VLOOKUP(Tabla4[[#This Row],[Producto]],Tabla6[#All],14,FALSE)</f>
        <v>Termico Solar</v>
      </c>
      <c r="U488" s="284" t="e">
        <f>(IF(Tabla4[[#This Row],[Familia]]="termico solar",Tabla4[[#This Row],[Utilidad Total]]*6%,Tabla4[[#This Row],[Utilidad Total]]*11.5%))/Tabla4[[#This Row],[Total]]</f>
        <v>#N/A</v>
      </c>
      <c r="V488" s="282" t="e">
        <f>+Tabla4[[#This Row],[Comisión Calculada]]*Tabla4[[#This Row],[Total]]</f>
        <v>#N/A</v>
      </c>
    </row>
    <row r="489" spans="1:22" hidden="1" x14ac:dyDescent="0.25">
      <c r="A489" s="100">
        <v>45703</v>
      </c>
      <c r="B489" t="str">
        <f t="shared" si="18"/>
        <v>February</v>
      </c>
      <c r="C489" s="46" t="s">
        <v>280</v>
      </c>
      <c r="F489" s="366" t="s">
        <v>921</v>
      </c>
      <c r="G489" s="46" t="s">
        <v>83</v>
      </c>
      <c r="H489" s="46">
        <v>2</v>
      </c>
      <c r="I489" s="51">
        <v>8858.76</v>
      </c>
      <c r="J489" s="281">
        <f>++Tabla4[[#This Row],[Precio Bruto]]*1.16</f>
        <v>10276.161599999999</v>
      </c>
      <c r="K489" s="281">
        <f>+Tabla4[[#This Row],[Precio Unitario Neto]]*Tabla4[[#Headers],[20.85%]]</f>
        <v>2142.5796935999997</v>
      </c>
      <c r="L489" s="282">
        <f>++Tabla4[[#This Row],[Precio Unitario Neto]]-Tabla4[[#This Row],[20.85%]]</f>
        <v>8133.5819063999998</v>
      </c>
      <c r="M489" s="282" t="e">
        <f>(INDEX(Tabla6[#All],MATCH(Tabla4[[#This Row],[Producto]],Tabla6[[#All],[PRODUCTO]],0),MATCH(Tabla4[[#This Row],[Mes]],Tabla6[#Headers],0)))*(1+Catalogos!$L$2)</f>
        <v>#N/A</v>
      </c>
      <c r="N489" s="283" t="e">
        <f>+(Tabla4[[#This Row],[Precio Descontado]]-Tabla4[[#This Row],[Precio Base]])*Tabla4[[#This Row],[Cantidad]]</f>
        <v>#N/A</v>
      </c>
      <c r="O489" s="284" t="e">
        <f>++Tabla4[[#This Row],[Utilidad Total]]/Tabla4[[#This Row],[Total]]</f>
        <v>#N/A</v>
      </c>
      <c r="P489" s="282">
        <f>++Tabla4[[#This Row],[Precio Descontado]]*Tabla4[[#This Row],[Cantidad]]</f>
        <v>16267.1638128</v>
      </c>
      <c r="Q489" s="282" t="e">
        <f>(INDEX(Tabla6[#All],MATCH(Tabla4[[#This Row],[Producto]],Tabla6[[#All],[PRODUCTO]],0),MATCH(Tabla4[[#This Row],[Mes]],Tabla6[#Headers],0)))</f>
        <v>#N/A</v>
      </c>
      <c r="R489" s="282" t="e">
        <f>++Tabla4[[#This Row],[Precio Unitario Neto]]-Tabla4[[#This Row],[20.85%]]-Tabla4[[#This Row],[Costo]]</f>
        <v>#N/A</v>
      </c>
      <c r="S489" s="282" t="e">
        <f>++Tabla4[[#This Row],[U. Bruta Uni]]*Tabla4[[#This Row],[Cantidad]]</f>
        <v>#N/A</v>
      </c>
      <c r="T489" s="369" t="str">
        <f>VLOOKUP(Tabla4[[#This Row],[Producto]],Tabla6[#All],14,FALSE)</f>
        <v>Termico Solar</v>
      </c>
      <c r="U489" s="284" t="e">
        <f>(IF(Tabla4[[#This Row],[Familia]]="termico solar",Tabla4[[#This Row],[Utilidad Total]]*6%,Tabla4[[#This Row],[Utilidad Total]]*11.5%))/Tabla4[[#This Row],[Total]]</f>
        <v>#N/A</v>
      </c>
      <c r="V489" s="282" t="e">
        <f>+Tabla4[[#This Row],[Comisión Calculada]]*Tabla4[[#This Row],[Total]]</f>
        <v>#N/A</v>
      </c>
    </row>
    <row r="490" spans="1:22" hidden="1" x14ac:dyDescent="0.25">
      <c r="A490" s="100">
        <v>45703</v>
      </c>
      <c r="B490" t="str">
        <f t="shared" si="18"/>
        <v>February</v>
      </c>
      <c r="C490" s="46" t="s">
        <v>280</v>
      </c>
      <c r="F490" s="366" t="s">
        <v>921</v>
      </c>
      <c r="G490" s="46" t="s">
        <v>17</v>
      </c>
      <c r="H490" s="46">
        <v>1</v>
      </c>
      <c r="I490" s="51">
        <v>4622.28</v>
      </c>
      <c r="J490" s="281">
        <f>++Tabla4[[#This Row],[Precio Bruto]]*1.16</f>
        <v>5361.8447999999989</v>
      </c>
      <c r="K490" s="281">
        <f>+Tabla4[[#This Row],[Precio Unitario Neto]]*Tabla4[[#Headers],[20.85%]]</f>
        <v>1117.9446407999997</v>
      </c>
      <c r="L490" s="282">
        <f>++Tabla4[[#This Row],[Precio Unitario Neto]]-Tabla4[[#This Row],[20.85%]]</f>
        <v>4243.9001591999995</v>
      </c>
      <c r="M490" s="282" t="e">
        <f>(INDEX(Tabla6[#All],MATCH(Tabla4[[#This Row],[Producto]],Tabla6[[#All],[PRODUCTO]],0),MATCH(Tabla4[[#This Row],[Mes]],Tabla6[#Headers],0)))*(1+Catalogos!$L$2)</f>
        <v>#N/A</v>
      </c>
      <c r="N490" s="283" t="e">
        <f>+(Tabla4[[#This Row],[Precio Descontado]]-Tabla4[[#This Row],[Precio Base]])*Tabla4[[#This Row],[Cantidad]]</f>
        <v>#N/A</v>
      </c>
      <c r="O490" s="284" t="e">
        <f>++Tabla4[[#This Row],[Utilidad Total]]/Tabla4[[#This Row],[Total]]</f>
        <v>#N/A</v>
      </c>
      <c r="P490" s="282">
        <f>++Tabla4[[#This Row],[Precio Descontado]]*Tabla4[[#This Row],[Cantidad]]</f>
        <v>4243.9001591999995</v>
      </c>
      <c r="Q490" s="282" t="e">
        <f>(INDEX(Tabla6[#All],MATCH(Tabla4[[#This Row],[Producto]],Tabla6[[#All],[PRODUCTO]],0),MATCH(Tabla4[[#This Row],[Mes]],Tabla6[#Headers],0)))</f>
        <v>#N/A</v>
      </c>
      <c r="R490" s="282" t="e">
        <f>++Tabla4[[#This Row],[Precio Unitario Neto]]-Tabla4[[#This Row],[20.85%]]-Tabla4[[#This Row],[Costo]]</f>
        <v>#N/A</v>
      </c>
      <c r="S490" s="282" t="e">
        <f>++Tabla4[[#This Row],[U. Bruta Uni]]*Tabla4[[#This Row],[Cantidad]]</f>
        <v>#N/A</v>
      </c>
      <c r="T490" s="369" t="str">
        <f>VLOOKUP(Tabla4[[#This Row],[Producto]],Tabla6[#All],14,FALSE)</f>
        <v>Termico Solar</v>
      </c>
      <c r="U490" s="284" t="e">
        <f>(IF(Tabla4[[#This Row],[Familia]]="termico solar",Tabla4[[#This Row],[Utilidad Total]]*6%,Tabla4[[#This Row],[Utilidad Total]]*11.5%))/Tabla4[[#This Row],[Total]]</f>
        <v>#N/A</v>
      </c>
      <c r="V490" s="282" t="e">
        <f>+Tabla4[[#This Row],[Comisión Calculada]]*Tabla4[[#This Row],[Total]]</f>
        <v>#N/A</v>
      </c>
    </row>
    <row r="491" spans="1:22" hidden="1" x14ac:dyDescent="0.25">
      <c r="A491" s="100">
        <v>45703</v>
      </c>
      <c r="B491" t="str">
        <f t="shared" si="18"/>
        <v>February</v>
      </c>
      <c r="C491" s="46" t="s">
        <v>280</v>
      </c>
      <c r="F491" s="366" t="s">
        <v>921</v>
      </c>
      <c r="G491" s="46" t="s">
        <v>16</v>
      </c>
      <c r="H491" s="46">
        <v>3</v>
      </c>
      <c r="I491" s="51">
        <v>4103.8499999999995</v>
      </c>
      <c r="J491" s="281">
        <f>++Tabla4[[#This Row],[Precio Bruto]]*1.16</f>
        <v>4760.4659999999994</v>
      </c>
      <c r="K491" s="281">
        <f>+Tabla4[[#This Row],[Precio Unitario Neto]]*Tabla4[[#Headers],[20.85%]]</f>
        <v>992.55716099999984</v>
      </c>
      <c r="L491" s="282">
        <f>++Tabla4[[#This Row],[Precio Unitario Neto]]-Tabla4[[#This Row],[20.85%]]</f>
        <v>3767.9088389999997</v>
      </c>
      <c r="M491" s="282" t="e">
        <f>(INDEX(Tabla6[#All],MATCH(Tabla4[[#This Row],[Producto]],Tabla6[[#All],[PRODUCTO]],0),MATCH(Tabla4[[#This Row],[Mes]],Tabla6[#Headers],0)))*(1+Catalogos!$L$2)</f>
        <v>#N/A</v>
      </c>
      <c r="N491" s="283" t="e">
        <f>+(Tabla4[[#This Row],[Precio Descontado]]-Tabla4[[#This Row],[Precio Base]])*Tabla4[[#This Row],[Cantidad]]</f>
        <v>#N/A</v>
      </c>
      <c r="O491" s="284" t="e">
        <f>++Tabla4[[#This Row],[Utilidad Total]]/Tabla4[[#This Row],[Total]]</f>
        <v>#N/A</v>
      </c>
      <c r="P491" s="282">
        <f>++Tabla4[[#This Row],[Precio Descontado]]*Tabla4[[#This Row],[Cantidad]]</f>
        <v>11303.726516999999</v>
      </c>
      <c r="Q491" s="282" t="e">
        <f>(INDEX(Tabla6[#All],MATCH(Tabla4[[#This Row],[Producto]],Tabla6[[#All],[PRODUCTO]],0),MATCH(Tabla4[[#This Row],[Mes]],Tabla6[#Headers],0)))</f>
        <v>#N/A</v>
      </c>
      <c r="R491" s="282" t="e">
        <f>++Tabla4[[#This Row],[Precio Unitario Neto]]-Tabla4[[#This Row],[20.85%]]-Tabla4[[#This Row],[Costo]]</f>
        <v>#N/A</v>
      </c>
      <c r="S491" s="282" t="e">
        <f>++Tabla4[[#This Row],[U. Bruta Uni]]*Tabla4[[#This Row],[Cantidad]]</f>
        <v>#N/A</v>
      </c>
      <c r="T491" s="369" t="str">
        <f>VLOOKUP(Tabla4[[#This Row],[Producto]],Tabla6[#All],14,FALSE)</f>
        <v>Termico Solar</v>
      </c>
      <c r="U491" s="284" t="e">
        <f>(IF(Tabla4[[#This Row],[Familia]]="termico solar",Tabla4[[#This Row],[Utilidad Total]]*6%,Tabla4[[#This Row],[Utilidad Total]]*11.5%))/Tabla4[[#This Row],[Total]]</f>
        <v>#N/A</v>
      </c>
      <c r="V491" s="282" t="e">
        <f>+Tabla4[[#This Row],[Comisión Calculada]]*Tabla4[[#This Row],[Total]]</f>
        <v>#N/A</v>
      </c>
    </row>
    <row r="492" spans="1:22" hidden="1" x14ac:dyDescent="0.25">
      <c r="A492" s="100">
        <v>45703</v>
      </c>
      <c r="B492" t="str">
        <f t="shared" si="18"/>
        <v>February</v>
      </c>
      <c r="C492" s="46" t="s">
        <v>280</v>
      </c>
      <c r="F492" s="366" t="s">
        <v>922</v>
      </c>
      <c r="G492" s="46" t="s">
        <v>16</v>
      </c>
      <c r="H492" s="46">
        <v>1</v>
      </c>
      <c r="I492" s="51">
        <v>4103.8500000000004</v>
      </c>
      <c r="J492" s="281">
        <f>++Tabla4[[#This Row],[Precio Bruto]]*1.16</f>
        <v>4760.4660000000003</v>
      </c>
      <c r="K492" s="281">
        <f>+Tabla4[[#This Row],[Precio Unitario Neto]]*Tabla4[[#Headers],[20.85%]]</f>
        <v>992.55716100000006</v>
      </c>
      <c r="L492" s="282">
        <f>++Tabla4[[#This Row],[Precio Unitario Neto]]-Tabla4[[#This Row],[20.85%]]</f>
        <v>3767.9088390000002</v>
      </c>
      <c r="M492" s="282" t="e">
        <f>(INDEX(Tabla6[#All],MATCH(Tabla4[[#This Row],[Producto]],Tabla6[[#All],[PRODUCTO]],0),MATCH(Tabla4[[#This Row],[Mes]],Tabla6[#Headers],0)))*(1+Catalogos!$L$2)</f>
        <v>#N/A</v>
      </c>
      <c r="N492" s="283" t="e">
        <f>+(Tabla4[[#This Row],[Precio Descontado]]-Tabla4[[#This Row],[Precio Base]])*Tabla4[[#This Row],[Cantidad]]</f>
        <v>#N/A</v>
      </c>
      <c r="O492" s="284" t="e">
        <f>++Tabla4[[#This Row],[Utilidad Total]]/Tabla4[[#This Row],[Total]]</f>
        <v>#N/A</v>
      </c>
      <c r="P492" s="282">
        <f>++Tabla4[[#This Row],[Precio Descontado]]*Tabla4[[#This Row],[Cantidad]]</f>
        <v>3767.9088390000002</v>
      </c>
      <c r="Q492" s="282" t="e">
        <f>(INDEX(Tabla6[#All],MATCH(Tabla4[[#This Row],[Producto]],Tabla6[[#All],[PRODUCTO]],0),MATCH(Tabla4[[#This Row],[Mes]],Tabla6[#Headers],0)))</f>
        <v>#N/A</v>
      </c>
      <c r="R492" s="282" t="e">
        <f>++Tabla4[[#This Row],[Precio Unitario Neto]]-Tabla4[[#This Row],[20.85%]]-Tabla4[[#This Row],[Costo]]</f>
        <v>#N/A</v>
      </c>
      <c r="S492" s="282" t="e">
        <f>++Tabla4[[#This Row],[U. Bruta Uni]]*Tabla4[[#This Row],[Cantidad]]</f>
        <v>#N/A</v>
      </c>
      <c r="T492" s="369" t="str">
        <f>VLOOKUP(Tabla4[[#This Row],[Producto]],Tabla6[#All],14,FALSE)</f>
        <v>Termico Solar</v>
      </c>
      <c r="U492" s="284" t="e">
        <f>(IF(Tabla4[[#This Row],[Familia]]="termico solar",Tabla4[[#This Row],[Utilidad Total]]*6%,Tabla4[[#This Row],[Utilidad Total]]*11.5%))/Tabla4[[#This Row],[Total]]</f>
        <v>#N/A</v>
      </c>
      <c r="V492" s="282" t="e">
        <f>+Tabla4[[#This Row],[Comisión Calculada]]*Tabla4[[#This Row],[Total]]</f>
        <v>#N/A</v>
      </c>
    </row>
    <row r="493" spans="1:22" hidden="1" x14ac:dyDescent="0.25">
      <c r="A493" s="100">
        <v>45703</v>
      </c>
      <c r="B493" t="str">
        <f t="shared" si="18"/>
        <v>February</v>
      </c>
      <c r="C493" s="46" t="s">
        <v>280</v>
      </c>
      <c r="F493" s="366" t="s">
        <v>923</v>
      </c>
      <c r="G493" s="46" t="s">
        <v>17</v>
      </c>
      <c r="H493" s="46">
        <v>4</v>
      </c>
      <c r="I493" s="51">
        <v>4622.28</v>
      </c>
      <c r="J493" s="281">
        <f>++Tabla4[[#This Row],[Precio Bruto]]*1.16</f>
        <v>5361.8447999999989</v>
      </c>
      <c r="K493" s="281">
        <f>+Tabla4[[#This Row],[Precio Unitario Neto]]*Tabla4[[#Headers],[20.85%]]</f>
        <v>1117.9446407999997</v>
      </c>
      <c r="L493" s="282">
        <f>++Tabla4[[#This Row],[Precio Unitario Neto]]-Tabla4[[#This Row],[20.85%]]</f>
        <v>4243.9001591999995</v>
      </c>
      <c r="M493" s="282" t="e">
        <f>(INDEX(Tabla6[#All],MATCH(Tabla4[[#This Row],[Producto]],Tabla6[[#All],[PRODUCTO]],0),MATCH(Tabla4[[#This Row],[Mes]],Tabla6[#Headers],0)))*(1+Catalogos!$L$2)</f>
        <v>#N/A</v>
      </c>
      <c r="N493" s="283" t="e">
        <f>+(Tabla4[[#This Row],[Precio Descontado]]-Tabla4[[#This Row],[Precio Base]])*Tabla4[[#This Row],[Cantidad]]</f>
        <v>#N/A</v>
      </c>
      <c r="O493" s="284" t="e">
        <f>++Tabla4[[#This Row],[Utilidad Total]]/Tabla4[[#This Row],[Total]]</f>
        <v>#N/A</v>
      </c>
      <c r="P493" s="282">
        <f>++Tabla4[[#This Row],[Precio Descontado]]*Tabla4[[#This Row],[Cantidad]]</f>
        <v>16975.600636799998</v>
      </c>
      <c r="Q493" s="282" t="e">
        <f>(INDEX(Tabla6[#All],MATCH(Tabla4[[#This Row],[Producto]],Tabla6[[#All],[PRODUCTO]],0),MATCH(Tabla4[[#This Row],[Mes]],Tabla6[#Headers],0)))</f>
        <v>#N/A</v>
      </c>
      <c r="R493" s="282" t="e">
        <f>++Tabla4[[#This Row],[Precio Unitario Neto]]-Tabla4[[#This Row],[20.85%]]-Tabla4[[#This Row],[Costo]]</f>
        <v>#N/A</v>
      </c>
      <c r="S493" s="282" t="e">
        <f>++Tabla4[[#This Row],[U. Bruta Uni]]*Tabla4[[#This Row],[Cantidad]]</f>
        <v>#N/A</v>
      </c>
      <c r="T493" s="369" t="str">
        <f>VLOOKUP(Tabla4[[#This Row],[Producto]],Tabla6[#All],14,FALSE)</f>
        <v>Termico Solar</v>
      </c>
      <c r="U493" s="284" t="e">
        <f>(IF(Tabla4[[#This Row],[Familia]]="termico solar",Tabla4[[#This Row],[Utilidad Total]]*6%,Tabla4[[#This Row],[Utilidad Total]]*11.5%))/Tabla4[[#This Row],[Total]]</f>
        <v>#N/A</v>
      </c>
      <c r="V493" s="282" t="e">
        <f>+Tabla4[[#This Row],[Comisión Calculada]]*Tabla4[[#This Row],[Total]]</f>
        <v>#N/A</v>
      </c>
    </row>
    <row r="494" spans="1:22" hidden="1" x14ac:dyDescent="0.25">
      <c r="A494" s="100">
        <v>45703</v>
      </c>
      <c r="B494" t="str">
        <f t="shared" si="18"/>
        <v>February</v>
      </c>
      <c r="C494" s="46" t="s">
        <v>280</v>
      </c>
      <c r="F494" s="366" t="s">
        <v>924</v>
      </c>
      <c r="G494" s="46" t="s">
        <v>83</v>
      </c>
      <c r="H494" s="46">
        <v>2</v>
      </c>
      <c r="I494" s="51">
        <v>8858.76</v>
      </c>
      <c r="J494" s="281">
        <f>++Tabla4[[#This Row],[Precio Bruto]]*1.16</f>
        <v>10276.161599999999</v>
      </c>
      <c r="K494" s="281">
        <f>+Tabla4[[#This Row],[Precio Unitario Neto]]*Tabla4[[#Headers],[20.85%]]</f>
        <v>2142.5796935999997</v>
      </c>
      <c r="L494" s="282">
        <f>++Tabla4[[#This Row],[Precio Unitario Neto]]-Tabla4[[#This Row],[20.85%]]</f>
        <v>8133.5819063999998</v>
      </c>
      <c r="M494" s="282" t="e">
        <f>(INDEX(Tabla6[#All],MATCH(Tabla4[[#This Row],[Producto]],Tabla6[[#All],[PRODUCTO]],0),MATCH(Tabla4[[#This Row],[Mes]],Tabla6[#Headers],0)))*(1+Catalogos!$L$2)</f>
        <v>#N/A</v>
      </c>
      <c r="N494" s="283" t="e">
        <f>+(Tabla4[[#This Row],[Precio Descontado]]-Tabla4[[#This Row],[Precio Base]])*Tabla4[[#This Row],[Cantidad]]</f>
        <v>#N/A</v>
      </c>
      <c r="O494" s="284" t="e">
        <f>++Tabla4[[#This Row],[Utilidad Total]]/Tabla4[[#This Row],[Total]]</f>
        <v>#N/A</v>
      </c>
      <c r="P494" s="282">
        <f>++Tabla4[[#This Row],[Precio Descontado]]*Tabla4[[#This Row],[Cantidad]]</f>
        <v>16267.1638128</v>
      </c>
      <c r="Q494" s="282" t="e">
        <f>(INDEX(Tabla6[#All],MATCH(Tabla4[[#This Row],[Producto]],Tabla6[[#All],[PRODUCTO]],0),MATCH(Tabla4[[#This Row],[Mes]],Tabla6[#Headers],0)))</f>
        <v>#N/A</v>
      </c>
      <c r="R494" s="282" t="e">
        <f>++Tabla4[[#This Row],[Precio Unitario Neto]]-Tabla4[[#This Row],[20.85%]]-Tabla4[[#This Row],[Costo]]</f>
        <v>#N/A</v>
      </c>
      <c r="S494" s="282" t="e">
        <f>++Tabla4[[#This Row],[U. Bruta Uni]]*Tabla4[[#This Row],[Cantidad]]</f>
        <v>#N/A</v>
      </c>
      <c r="T494" s="369" t="str">
        <f>VLOOKUP(Tabla4[[#This Row],[Producto]],Tabla6[#All],14,FALSE)</f>
        <v>Termico Solar</v>
      </c>
      <c r="U494" s="284" t="e">
        <f>(IF(Tabla4[[#This Row],[Familia]]="termico solar",Tabla4[[#This Row],[Utilidad Total]]*6%,Tabla4[[#This Row],[Utilidad Total]]*11.5%))/Tabla4[[#This Row],[Total]]</f>
        <v>#N/A</v>
      </c>
      <c r="V494" s="282" t="e">
        <f>+Tabla4[[#This Row],[Comisión Calculada]]*Tabla4[[#This Row],[Total]]</f>
        <v>#N/A</v>
      </c>
    </row>
    <row r="495" spans="1:22" hidden="1" x14ac:dyDescent="0.25">
      <c r="A495" s="100">
        <v>45703</v>
      </c>
      <c r="B495" t="str">
        <f t="shared" si="18"/>
        <v>February</v>
      </c>
      <c r="C495" s="46" t="s">
        <v>280</v>
      </c>
      <c r="F495" s="366" t="s">
        <v>924</v>
      </c>
      <c r="G495" s="46" t="s">
        <v>17</v>
      </c>
      <c r="H495" s="46">
        <v>2</v>
      </c>
      <c r="I495" s="51">
        <v>4622.28</v>
      </c>
      <c r="J495" s="281">
        <f>++Tabla4[[#This Row],[Precio Bruto]]*1.16</f>
        <v>5361.8447999999989</v>
      </c>
      <c r="K495" s="281">
        <f>+Tabla4[[#This Row],[Precio Unitario Neto]]*Tabla4[[#Headers],[20.85%]]</f>
        <v>1117.9446407999997</v>
      </c>
      <c r="L495" s="282">
        <f>++Tabla4[[#This Row],[Precio Unitario Neto]]-Tabla4[[#This Row],[20.85%]]</f>
        <v>4243.9001591999995</v>
      </c>
      <c r="M495" s="282" t="e">
        <f>(INDEX(Tabla6[#All],MATCH(Tabla4[[#This Row],[Producto]],Tabla6[[#All],[PRODUCTO]],0),MATCH(Tabla4[[#This Row],[Mes]],Tabla6[#Headers],0)))*(1+Catalogos!$L$2)</f>
        <v>#N/A</v>
      </c>
      <c r="N495" s="283" t="e">
        <f>+(Tabla4[[#This Row],[Precio Descontado]]-Tabla4[[#This Row],[Precio Base]])*Tabla4[[#This Row],[Cantidad]]</f>
        <v>#N/A</v>
      </c>
      <c r="O495" s="284" t="e">
        <f>++Tabla4[[#This Row],[Utilidad Total]]/Tabla4[[#This Row],[Total]]</f>
        <v>#N/A</v>
      </c>
      <c r="P495" s="282">
        <f>++Tabla4[[#This Row],[Precio Descontado]]*Tabla4[[#This Row],[Cantidad]]</f>
        <v>8487.800318399999</v>
      </c>
      <c r="Q495" s="282" t="e">
        <f>(INDEX(Tabla6[#All],MATCH(Tabla4[[#This Row],[Producto]],Tabla6[[#All],[PRODUCTO]],0),MATCH(Tabla4[[#This Row],[Mes]],Tabla6[#Headers],0)))</f>
        <v>#N/A</v>
      </c>
      <c r="R495" s="282" t="e">
        <f>++Tabla4[[#This Row],[Precio Unitario Neto]]-Tabla4[[#This Row],[20.85%]]-Tabla4[[#This Row],[Costo]]</f>
        <v>#N/A</v>
      </c>
      <c r="S495" s="282" t="e">
        <f>++Tabla4[[#This Row],[U. Bruta Uni]]*Tabla4[[#This Row],[Cantidad]]</f>
        <v>#N/A</v>
      </c>
      <c r="T495" s="369" t="str">
        <f>VLOOKUP(Tabla4[[#This Row],[Producto]],Tabla6[#All],14,FALSE)</f>
        <v>Termico Solar</v>
      </c>
      <c r="U495" s="284" t="e">
        <f>(IF(Tabla4[[#This Row],[Familia]]="termico solar",Tabla4[[#This Row],[Utilidad Total]]*6%,Tabla4[[#This Row],[Utilidad Total]]*11.5%))/Tabla4[[#This Row],[Total]]</f>
        <v>#N/A</v>
      </c>
      <c r="V495" s="282" t="e">
        <f>+Tabla4[[#This Row],[Comisión Calculada]]*Tabla4[[#This Row],[Total]]</f>
        <v>#N/A</v>
      </c>
    </row>
    <row r="496" spans="1:22" hidden="1" x14ac:dyDescent="0.25">
      <c r="A496" s="100">
        <v>45703</v>
      </c>
      <c r="B496" t="str">
        <f t="shared" si="18"/>
        <v>February</v>
      </c>
      <c r="C496" s="46" t="s">
        <v>280</v>
      </c>
      <c r="F496" s="366" t="s">
        <v>924</v>
      </c>
      <c r="G496" s="46" t="s">
        <v>18</v>
      </c>
      <c r="H496" s="46">
        <v>2</v>
      </c>
      <c r="I496" s="51">
        <v>5367.65</v>
      </c>
      <c r="J496" s="281">
        <f>++Tabla4[[#This Row],[Precio Bruto]]*1.16</f>
        <v>6226.4739999999993</v>
      </c>
      <c r="K496" s="281">
        <f>+Tabla4[[#This Row],[Precio Unitario Neto]]*Tabla4[[#Headers],[20.85%]]</f>
        <v>1298.2198289999999</v>
      </c>
      <c r="L496" s="282">
        <f>++Tabla4[[#This Row],[Precio Unitario Neto]]-Tabla4[[#This Row],[20.85%]]</f>
        <v>4928.2541709999996</v>
      </c>
      <c r="M496" s="282" t="e">
        <f>(INDEX(Tabla6[#All],MATCH(Tabla4[[#This Row],[Producto]],Tabla6[[#All],[PRODUCTO]],0),MATCH(Tabla4[[#This Row],[Mes]],Tabla6[#Headers],0)))*(1+Catalogos!$L$2)</f>
        <v>#N/A</v>
      </c>
      <c r="N496" s="283" t="e">
        <f>+(Tabla4[[#This Row],[Precio Descontado]]-Tabla4[[#This Row],[Precio Base]])*Tabla4[[#This Row],[Cantidad]]</f>
        <v>#N/A</v>
      </c>
      <c r="O496" s="284" t="e">
        <f>++Tabla4[[#This Row],[Utilidad Total]]/Tabla4[[#This Row],[Total]]</f>
        <v>#N/A</v>
      </c>
      <c r="P496" s="282">
        <f>++Tabla4[[#This Row],[Precio Descontado]]*Tabla4[[#This Row],[Cantidad]]</f>
        <v>9856.5083419999992</v>
      </c>
      <c r="Q496" s="282" t="e">
        <f>(INDEX(Tabla6[#All],MATCH(Tabla4[[#This Row],[Producto]],Tabla6[[#All],[PRODUCTO]],0),MATCH(Tabla4[[#This Row],[Mes]],Tabla6[#Headers],0)))</f>
        <v>#N/A</v>
      </c>
      <c r="R496" s="282" t="e">
        <f>++Tabla4[[#This Row],[Precio Unitario Neto]]-Tabla4[[#This Row],[20.85%]]-Tabla4[[#This Row],[Costo]]</f>
        <v>#N/A</v>
      </c>
      <c r="S496" s="282" t="e">
        <f>++Tabla4[[#This Row],[U. Bruta Uni]]*Tabla4[[#This Row],[Cantidad]]</f>
        <v>#N/A</v>
      </c>
      <c r="T496" s="369" t="str">
        <f>VLOOKUP(Tabla4[[#This Row],[Producto]],Tabla6[#All],14,FALSE)</f>
        <v>Termico Solar</v>
      </c>
      <c r="U496" s="284" t="e">
        <f>(IF(Tabla4[[#This Row],[Familia]]="termico solar",Tabla4[[#This Row],[Utilidad Total]]*6%,Tabla4[[#This Row],[Utilidad Total]]*11.5%))/Tabla4[[#This Row],[Total]]</f>
        <v>#N/A</v>
      </c>
      <c r="V496" s="282" t="e">
        <f>+Tabla4[[#This Row],[Comisión Calculada]]*Tabla4[[#This Row],[Total]]</f>
        <v>#N/A</v>
      </c>
    </row>
    <row r="497" spans="1:22" hidden="1" x14ac:dyDescent="0.25">
      <c r="A497" s="100">
        <v>45703</v>
      </c>
      <c r="B497" t="str">
        <f t="shared" si="18"/>
        <v>February</v>
      </c>
      <c r="C497" s="46" t="s">
        <v>280</v>
      </c>
      <c r="F497" s="366" t="s">
        <v>924</v>
      </c>
      <c r="G497" s="46" t="s">
        <v>566</v>
      </c>
      <c r="H497" s="46">
        <v>1</v>
      </c>
      <c r="I497" s="51">
        <v>2109.4499999999998</v>
      </c>
      <c r="J497" s="281">
        <f>++Tabla4[[#This Row],[Precio Bruto]]*1.16</f>
        <v>2446.9619999999995</v>
      </c>
      <c r="K497" s="281">
        <f>+Tabla4[[#This Row],[Precio Unitario Neto]]*Tabla4[[#Headers],[20.85%]]</f>
        <v>510.19157699999988</v>
      </c>
      <c r="L497" s="282">
        <f>++Tabla4[[#This Row],[Precio Unitario Neto]]-Tabla4[[#This Row],[20.85%]]</f>
        <v>1936.7704229999997</v>
      </c>
      <c r="M497" s="282" t="e">
        <f>(INDEX(Tabla6[#All],MATCH(Tabla4[[#This Row],[Producto]],Tabla6[[#All],[PRODUCTO]],0),MATCH(Tabla4[[#This Row],[Mes]],Tabla6[#Headers],0)))*(1+Catalogos!$L$2)</f>
        <v>#N/A</v>
      </c>
      <c r="N497" s="283" t="e">
        <f>+(Tabla4[[#This Row],[Precio Descontado]]-Tabla4[[#This Row],[Precio Base]])*Tabla4[[#This Row],[Cantidad]]</f>
        <v>#N/A</v>
      </c>
      <c r="O497" s="284" t="e">
        <f>++Tabla4[[#This Row],[Utilidad Total]]/Tabla4[[#This Row],[Total]]</f>
        <v>#N/A</v>
      </c>
      <c r="P497" s="282">
        <f>++Tabla4[[#This Row],[Precio Descontado]]*Tabla4[[#This Row],[Cantidad]]</f>
        <v>1936.7704229999997</v>
      </c>
      <c r="Q497" s="282" t="e">
        <f>(INDEX(Tabla6[#All],MATCH(Tabla4[[#This Row],[Producto]],Tabla6[[#All],[PRODUCTO]],0),MATCH(Tabla4[[#This Row],[Mes]],Tabla6[#Headers],0)))</f>
        <v>#N/A</v>
      </c>
      <c r="R497" s="282" t="e">
        <f>++Tabla4[[#This Row],[Precio Unitario Neto]]-Tabla4[[#This Row],[20.85%]]-Tabla4[[#This Row],[Costo]]</f>
        <v>#N/A</v>
      </c>
      <c r="S497" s="282" t="e">
        <f>++Tabla4[[#This Row],[U. Bruta Uni]]*Tabla4[[#This Row],[Cantidad]]</f>
        <v>#N/A</v>
      </c>
      <c r="T497" s="369" t="str">
        <f>VLOOKUP(Tabla4[[#This Row],[Producto]],Tabla6[#All],14,FALSE)</f>
        <v>Termico Solar</v>
      </c>
      <c r="U497" s="284" t="e">
        <f>(IF(Tabla4[[#This Row],[Familia]]="termico solar",Tabla4[[#This Row],[Utilidad Total]]*6%,Tabla4[[#This Row],[Utilidad Total]]*11.5%))/Tabla4[[#This Row],[Total]]</f>
        <v>#N/A</v>
      </c>
      <c r="V497" s="282" t="e">
        <f>+Tabla4[[#This Row],[Comisión Calculada]]*Tabla4[[#This Row],[Total]]</f>
        <v>#N/A</v>
      </c>
    </row>
    <row r="498" spans="1:22" hidden="1" x14ac:dyDescent="0.25">
      <c r="A498" s="100">
        <v>45703</v>
      </c>
      <c r="B498" t="str">
        <f t="shared" si="18"/>
        <v>February</v>
      </c>
      <c r="C498" s="46" t="s">
        <v>280</v>
      </c>
      <c r="F498" s="366" t="s">
        <v>925</v>
      </c>
      <c r="G498" s="46" t="s">
        <v>83</v>
      </c>
      <c r="H498" s="46">
        <v>1</v>
      </c>
      <c r="I498" s="51">
        <v>8858.76</v>
      </c>
      <c r="J498" s="281">
        <f>++Tabla4[[#This Row],[Precio Bruto]]*1.16</f>
        <v>10276.161599999999</v>
      </c>
      <c r="K498" s="281">
        <f>+Tabla4[[#This Row],[Precio Unitario Neto]]*Tabla4[[#Headers],[20.85%]]</f>
        <v>2142.5796935999997</v>
      </c>
      <c r="L498" s="282">
        <f>++Tabla4[[#This Row],[Precio Unitario Neto]]-Tabla4[[#This Row],[20.85%]]</f>
        <v>8133.5819063999998</v>
      </c>
      <c r="M498" s="282" t="e">
        <f>(INDEX(Tabla6[#All],MATCH(Tabla4[[#This Row],[Producto]],Tabla6[[#All],[PRODUCTO]],0),MATCH(Tabla4[[#This Row],[Mes]],Tabla6[#Headers],0)))*(1+Catalogos!$L$2)</f>
        <v>#N/A</v>
      </c>
      <c r="N498" s="283" t="e">
        <f>+(Tabla4[[#This Row],[Precio Descontado]]-Tabla4[[#This Row],[Precio Base]])*Tabla4[[#This Row],[Cantidad]]</f>
        <v>#N/A</v>
      </c>
      <c r="O498" s="284" t="e">
        <f>++Tabla4[[#This Row],[Utilidad Total]]/Tabla4[[#This Row],[Total]]</f>
        <v>#N/A</v>
      </c>
      <c r="P498" s="282">
        <f>++Tabla4[[#This Row],[Precio Descontado]]*Tabla4[[#This Row],[Cantidad]]</f>
        <v>8133.5819063999998</v>
      </c>
      <c r="Q498" s="282" t="e">
        <f>(INDEX(Tabla6[#All],MATCH(Tabla4[[#This Row],[Producto]],Tabla6[[#All],[PRODUCTO]],0),MATCH(Tabla4[[#This Row],[Mes]],Tabla6[#Headers],0)))</f>
        <v>#N/A</v>
      </c>
      <c r="R498" s="282" t="e">
        <f>++Tabla4[[#This Row],[Precio Unitario Neto]]-Tabla4[[#This Row],[20.85%]]-Tabla4[[#This Row],[Costo]]</f>
        <v>#N/A</v>
      </c>
      <c r="S498" s="282" t="e">
        <f>++Tabla4[[#This Row],[U. Bruta Uni]]*Tabla4[[#This Row],[Cantidad]]</f>
        <v>#N/A</v>
      </c>
      <c r="T498" s="369" t="str">
        <f>VLOOKUP(Tabla4[[#This Row],[Producto]],Tabla6[#All],14,FALSE)</f>
        <v>Termico Solar</v>
      </c>
      <c r="U498" s="284" t="e">
        <f>(IF(Tabla4[[#This Row],[Familia]]="termico solar",Tabla4[[#This Row],[Utilidad Total]]*6%,Tabla4[[#This Row],[Utilidad Total]]*11.5%))/Tabla4[[#This Row],[Total]]</f>
        <v>#N/A</v>
      </c>
      <c r="V498" s="282" t="e">
        <f>+Tabla4[[#This Row],[Comisión Calculada]]*Tabla4[[#This Row],[Total]]</f>
        <v>#N/A</v>
      </c>
    </row>
    <row r="499" spans="1:22" hidden="1" x14ac:dyDescent="0.25">
      <c r="A499" s="100">
        <v>45703</v>
      </c>
      <c r="B499" t="str">
        <f t="shared" si="18"/>
        <v>February</v>
      </c>
      <c r="C499" s="46" t="s">
        <v>280</v>
      </c>
      <c r="F499" s="366" t="s">
        <v>926</v>
      </c>
      <c r="G499" s="46" t="s">
        <v>83</v>
      </c>
      <c r="H499" s="46">
        <v>1</v>
      </c>
      <c r="I499" s="51">
        <v>8858.76</v>
      </c>
      <c r="J499" s="281">
        <f>++Tabla4[[#This Row],[Precio Bruto]]*1.16</f>
        <v>10276.161599999999</v>
      </c>
      <c r="K499" s="281">
        <f>+Tabla4[[#This Row],[Precio Unitario Neto]]*Tabla4[[#Headers],[20.85%]]</f>
        <v>2142.5796935999997</v>
      </c>
      <c r="L499" s="282">
        <f>++Tabla4[[#This Row],[Precio Unitario Neto]]-Tabla4[[#This Row],[20.85%]]</f>
        <v>8133.5819063999998</v>
      </c>
      <c r="M499" s="282" t="e">
        <f>(INDEX(Tabla6[#All],MATCH(Tabla4[[#This Row],[Producto]],Tabla6[[#All],[PRODUCTO]],0),MATCH(Tabla4[[#This Row],[Mes]],Tabla6[#Headers],0)))*(1+Catalogos!$L$2)</f>
        <v>#N/A</v>
      </c>
      <c r="N499" s="283" t="e">
        <f>+(Tabla4[[#This Row],[Precio Descontado]]-Tabla4[[#This Row],[Precio Base]])*Tabla4[[#This Row],[Cantidad]]</f>
        <v>#N/A</v>
      </c>
      <c r="O499" s="284" t="e">
        <f>++Tabla4[[#This Row],[Utilidad Total]]/Tabla4[[#This Row],[Total]]</f>
        <v>#N/A</v>
      </c>
      <c r="P499" s="282">
        <f>++Tabla4[[#This Row],[Precio Descontado]]*Tabla4[[#This Row],[Cantidad]]</f>
        <v>8133.5819063999998</v>
      </c>
      <c r="Q499" s="282" t="e">
        <f>(INDEX(Tabla6[#All],MATCH(Tabla4[[#This Row],[Producto]],Tabla6[[#All],[PRODUCTO]],0),MATCH(Tabla4[[#This Row],[Mes]],Tabla6[#Headers],0)))</f>
        <v>#N/A</v>
      </c>
      <c r="R499" s="282" t="e">
        <f>++Tabla4[[#This Row],[Precio Unitario Neto]]-Tabla4[[#This Row],[20.85%]]-Tabla4[[#This Row],[Costo]]</f>
        <v>#N/A</v>
      </c>
      <c r="S499" s="282" t="e">
        <f>++Tabla4[[#This Row],[U. Bruta Uni]]*Tabla4[[#This Row],[Cantidad]]</f>
        <v>#N/A</v>
      </c>
      <c r="T499" s="369" t="str">
        <f>VLOOKUP(Tabla4[[#This Row],[Producto]],Tabla6[#All],14,FALSE)</f>
        <v>Termico Solar</v>
      </c>
      <c r="U499" s="284" t="e">
        <f>(IF(Tabla4[[#This Row],[Familia]]="termico solar",Tabla4[[#This Row],[Utilidad Total]]*6%,Tabla4[[#This Row],[Utilidad Total]]*11.5%))/Tabla4[[#This Row],[Total]]</f>
        <v>#N/A</v>
      </c>
      <c r="V499" s="282" t="e">
        <f>+Tabla4[[#This Row],[Comisión Calculada]]*Tabla4[[#This Row],[Total]]</f>
        <v>#N/A</v>
      </c>
    </row>
    <row r="500" spans="1:22" hidden="1" x14ac:dyDescent="0.25">
      <c r="A500" s="100">
        <v>45703</v>
      </c>
      <c r="B500" t="str">
        <f t="shared" si="18"/>
        <v>February</v>
      </c>
      <c r="C500" s="46" t="s">
        <v>280</v>
      </c>
      <c r="F500" s="366" t="s">
        <v>926</v>
      </c>
      <c r="G500" s="46" t="s">
        <v>17</v>
      </c>
      <c r="H500" s="46">
        <v>1</v>
      </c>
      <c r="I500" s="51">
        <v>4622.28</v>
      </c>
      <c r="J500" s="281">
        <f>++Tabla4[[#This Row],[Precio Bruto]]*1.16</f>
        <v>5361.8447999999989</v>
      </c>
      <c r="K500" s="281">
        <f>+Tabla4[[#This Row],[Precio Unitario Neto]]*Tabla4[[#Headers],[20.85%]]</f>
        <v>1117.9446407999997</v>
      </c>
      <c r="L500" s="282">
        <f>++Tabla4[[#This Row],[Precio Unitario Neto]]-Tabla4[[#This Row],[20.85%]]</f>
        <v>4243.9001591999995</v>
      </c>
      <c r="M500" s="282" t="e">
        <f>(INDEX(Tabla6[#All],MATCH(Tabla4[[#This Row],[Producto]],Tabla6[[#All],[PRODUCTO]],0),MATCH(Tabla4[[#This Row],[Mes]],Tabla6[#Headers],0)))*(1+Catalogos!$L$2)</f>
        <v>#N/A</v>
      </c>
      <c r="N500" s="283" t="e">
        <f>+(Tabla4[[#This Row],[Precio Descontado]]-Tabla4[[#This Row],[Precio Base]])*Tabla4[[#This Row],[Cantidad]]</f>
        <v>#N/A</v>
      </c>
      <c r="O500" s="284" t="e">
        <f>++Tabla4[[#This Row],[Utilidad Total]]/Tabla4[[#This Row],[Total]]</f>
        <v>#N/A</v>
      </c>
      <c r="P500" s="282">
        <f>++Tabla4[[#This Row],[Precio Descontado]]*Tabla4[[#This Row],[Cantidad]]</f>
        <v>4243.9001591999995</v>
      </c>
      <c r="Q500" s="282" t="e">
        <f>(INDEX(Tabla6[#All],MATCH(Tabla4[[#This Row],[Producto]],Tabla6[[#All],[PRODUCTO]],0),MATCH(Tabla4[[#This Row],[Mes]],Tabla6[#Headers],0)))</f>
        <v>#N/A</v>
      </c>
      <c r="R500" s="282" t="e">
        <f>++Tabla4[[#This Row],[Precio Unitario Neto]]-Tabla4[[#This Row],[20.85%]]-Tabla4[[#This Row],[Costo]]</f>
        <v>#N/A</v>
      </c>
      <c r="S500" s="282" t="e">
        <f>++Tabla4[[#This Row],[U. Bruta Uni]]*Tabla4[[#This Row],[Cantidad]]</f>
        <v>#N/A</v>
      </c>
      <c r="T500" s="369" t="str">
        <f>VLOOKUP(Tabla4[[#This Row],[Producto]],Tabla6[#All],14,FALSE)</f>
        <v>Termico Solar</v>
      </c>
      <c r="U500" s="284" t="e">
        <f>(IF(Tabla4[[#This Row],[Familia]]="termico solar",Tabla4[[#This Row],[Utilidad Total]]*6%,Tabla4[[#This Row],[Utilidad Total]]*11.5%))/Tabla4[[#This Row],[Total]]</f>
        <v>#N/A</v>
      </c>
      <c r="V500" s="282" t="e">
        <f>+Tabla4[[#This Row],[Comisión Calculada]]*Tabla4[[#This Row],[Total]]</f>
        <v>#N/A</v>
      </c>
    </row>
    <row r="501" spans="1:22" hidden="1" x14ac:dyDescent="0.25">
      <c r="A501" s="100">
        <v>45703</v>
      </c>
      <c r="B501" t="str">
        <f t="shared" si="18"/>
        <v>February</v>
      </c>
      <c r="C501" s="46" t="s">
        <v>280</v>
      </c>
      <c r="F501" s="366" t="s">
        <v>926</v>
      </c>
      <c r="G501" s="46" t="s">
        <v>18</v>
      </c>
      <c r="H501" s="46">
        <v>4</v>
      </c>
      <c r="I501" s="51">
        <v>5367.65</v>
      </c>
      <c r="J501" s="281">
        <f>++Tabla4[[#This Row],[Precio Bruto]]*1.16</f>
        <v>6226.4739999999993</v>
      </c>
      <c r="K501" s="281">
        <f>+Tabla4[[#This Row],[Precio Unitario Neto]]*Tabla4[[#Headers],[20.85%]]</f>
        <v>1298.2198289999999</v>
      </c>
      <c r="L501" s="282">
        <f>++Tabla4[[#This Row],[Precio Unitario Neto]]-Tabla4[[#This Row],[20.85%]]</f>
        <v>4928.2541709999996</v>
      </c>
      <c r="M501" s="282" t="e">
        <f>(INDEX(Tabla6[#All],MATCH(Tabla4[[#This Row],[Producto]],Tabla6[[#All],[PRODUCTO]],0),MATCH(Tabla4[[#This Row],[Mes]],Tabla6[#Headers],0)))*(1+Catalogos!$L$2)</f>
        <v>#N/A</v>
      </c>
      <c r="N501" s="283" t="e">
        <f>+(Tabla4[[#This Row],[Precio Descontado]]-Tabla4[[#This Row],[Precio Base]])*Tabla4[[#This Row],[Cantidad]]</f>
        <v>#N/A</v>
      </c>
      <c r="O501" s="284" t="e">
        <f>++Tabla4[[#This Row],[Utilidad Total]]/Tabla4[[#This Row],[Total]]</f>
        <v>#N/A</v>
      </c>
      <c r="P501" s="282">
        <f>++Tabla4[[#This Row],[Precio Descontado]]*Tabla4[[#This Row],[Cantidad]]</f>
        <v>19713.016683999998</v>
      </c>
      <c r="Q501" s="282" t="e">
        <f>(INDEX(Tabla6[#All],MATCH(Tabla4[[#This Row],[Producto]],Tabla6[[#All],[PRODUCTO]],0),MATCH(Tabla4[[#This Row],[Mes]],Tabla6[#Headers],0)))</f>
        <v>#N/A</v>
      </c>
      <c r="R501" s="282" t="e">
        <f>++Tabla4[[#This Row],[Precio Unitario Neto]]-Tabla4[[#This Row],[20.85%]]-Tabla4[[#This Row],[Costo]]</f>
        <v>#N/A</v>
      </c>
      <c r="S501" s="282" t="e">
        <f>++Tabla4[[#This Row],[U. Bruta Uni]]*Tabla4[[#This Row],[Cantidad]]</f>
        <v>#N/A</v>
      </c>
      <c r="T501" s="369" t="str">
        <f>VLOOKUP(Tabla4[[#This Row],[Producto]],Tabla6[#All],14,FALSE)</f>
        <v>Termico Solar</v>
      </c>
      <c r="U501" s="284" t="e">
        <f>(IF(Tabla4[[#This Row],[Familia]]="termico solar",Tabla4[[#This Row],[Utilidad Total]]*6%,Tabla4[[#This Row],[Utilidad Total]]*11.5%))/Tabla4[[#This Row],[Total]]</f>
        <v>#N/A</v>
      </c>
      <c r="V501" s="282" t="e">
        <f>+Tabla4[[#This Row],[Comisión Calculada]]*Tabla4[[#This Row],[Total]]</f>
        <v>#N/A</v>
      </c>
    </row>
    <row r="502" spans="1:22" hidden="1" x14ac:dyDescent="0.25">
      <c r="A502" s="100">
        <v>45703</v>
      </c>
      <c r="B502" t="str">
        <f t="shared" si="18"/>
        <v>February</v>
      </c>
      <c r="C502" s="46" t="s">
        <v>280</v>
      </c>
      <c r="F502" s="366" t="s">
        <v>926</v>
      </c>
      <c r="G502" s="46" t="s">
        <v>16</v>
      </c>
      <c r="H502" s="46">
        <v>4</v>
      </c>
      <c r="I502" s="51">
        <v>4103.8500000000004</v>
      </c>
      <c r="J502" s="281">
        <f>++Tabla4[[#This Row],[Precio Bruto]]*1.16</f>
        <v>4760.4660000000003</v>
      </c>
      <c r="K502" s="281">
        <f>+Tabla4[[#This Row],[Precio Unitario Neto]]*Tabla4[[#Headers],[20.85%]]</f>
        <v>992.55716100000006</v>
      </c>
      <c r="L502" s="282">
        <f>++Tabla4[[#This Row],[Precio Unitario Neto]]-Tabla4[[#This Row],[20.85%]]</f>
        <v>3767.9088390000002</v>
      </c>
      <c r="M502" s="282" t="e">
        <f>(INDEX(Tabla6[#All],MATCH(Tabla4[[#This Row],[Producto]],Tabla6[[#All],[PRODUCTO]],0),MATCH(Tabla4[[#This Row],[Mes]],Tabla6[#Headers],0)))*(1+Catalogos!$L$2)</f>
        <v>#N/A</v>
      </c>
      <c r="N502" s="283" t="e">
        <f>+(Tabla4[[#This Row],[Precio Descontado]]-Tabla4[[#This Row],[Precio Base]])*Tabla4[[#This Row],[Cantidad]]</f>
        <v>#N/A</v>
      </c>
      <c r="O502" s="284" t="e">
        <f>++Tabla4[[#This Row],[Utilidad Total]]/Tabla4[[#This Row],[Total]]</f>
        <v>#N/A</v>
      </c>
      <c r="P502" s="282">
        <f>++Tabla4[[#This Row],[Precio Descontado]]*Tabla4[[#This Row],[Cantidad]]</f>
        <v>15071.635356000001</v>
      </c>
      <c r="Q502" s="282" t="e">
        <f>(INDEX(Tabla6[#All],MATCH(Tabla4[[#This Row],[Producto]],Tabla6[[#All],[PRODUCTO]],0),MATCH(Tabla4[[#This Row],[Mes]],Tabla6[#Headers],0)))</f>
        <v>#N/A</v>
      </c>
      <c r="R502" s="282" t="e">
        <f>++Tabla4[[#This Row],[Precio Unitario Neto]]-Tabla4[[#This Row],[20.85%]]-Tabla4[[#This Row],[Costo]]</f>
        <v>#N/A</v>
      </c>
      <c r="S502" s="282" t="e">
        <f>++Tabla4[[#This Row],[U. Bruta Uni]]*Tabla4[[#This Row],[Cantidad]]</f>
        <v>#N/A</v>
      </c>
      <c r="T502" s="369" t="str">
        <f>VLOOKUP(Tabla4[[#This Row],[Producto]],Tabla6[#All],14,FALSE)</f>
        <v>Termico Solar</v>
      </c>
      <c r="U502" s="284" t="e">
        <f>(IF(Tabla4[[#This Row],[Familia]]="termico solar",Tabla4[[#This Row],[Utilidad Total]]*6%,Tabla4[[#This Row],[Utilidad Total]]*11.5%))/Tabla4[[#This Row],[Total]]</f>
        <v>#N/A</v>
      </c>
      <c r="V502" s="282" t="e">
        <f>+Tabla4[[#This Row],[Comisión Calculada]]*Tabla4[[#This Row],[Total]]</f>
        <v>#N/A</v>
      </c>
    </row>
    <row r="503" spans="1:22" hidden="1" x14ac:dyDescent="0.25">
      <c r="A503" s="100">
        <v>45703</v>
      </c>
      <c r="B503" t="str">
        <f t="shared" si="18"/>
        <v>February</v>
      </c>
      <c r="C503" s="46" t="s">
        <v>280</v>
      </c>
      <c r="F503" s="366" t="s">
        <v>927</v>
      </c>
      <c r="G503" s="46" t="s">
        <v>83</v>
      </c>
      <c r="H503" s="46">
        <v>7</v>
      </c>
      <c r="I503" s="51">
        <v>8858.76</v>
      </c>
      <c r="J503" s="281">
        <f>++Tabla4[[#This Row],[Precio Bruto]]*1.16</f>
        <v>10276.161599999999</v>
      </c>
      <c r="K503" s="281">
        <f>+Tabla4[[#This Row],[Precio Unitario Neto]]*Tabla4[[#Headers],[20.85%]]</f>
        <v>2142.5796935999997</v>
      </c>
      <c r="L503" s="282">
        <f>++Tabla4[[#This Row],[Precio Unitario Neto]]-Tabla4[[#This Row],[20.85%]]</f>
        <v>8133.5819063999998</v>
      </c>
      <c r="M503" s="282" t="e">
        <f>(INDEX(Tabla6[#All],MATCH(Tabla4[[#This Row],[Producto]],Tabla6[[#All],[PRODUCTO]],0),MATCH(Tabla4[[#This Row],[Mes]],Tabla6[#Headers],0)))*(1+Catalogos!$L$2)</f>
        <v>#N/A</v>
      </c>
      <c r="N503" s="283" t="e">
        <f>+(Tabla4[[#This Row],[Precio Descontado]]-Tabla4[[#This Row],[Precio Base]])*Tabla4[[#This Row],[Cantidad]]</f>
        <v>#N/A</v>
      </c>
      <c r="O503" s="284" t="e">
        <f>++Tabla4[[#This Row],[Utilidad Total]]/Tabla4[[#This Row],[Total]]</f>
        <v>#N/A</v>
      </c>
      <c r="P503" s="282">
        <f>++Tabla4[[#This Row],[Precio Descontado]]*Tabla4[[#This Row],[Cantidad]]</f>
        <v>56935.073344799996</v>
      </c>
      <c r="Q503" s="282" t="e">
        <f>(INDEX(Tabla6[#All],MATCH(Tabla4[[#This Row],[Producto]],Tabla6[[#All],[PRODUCTO]],0),MATCH(Tabla4[[#This Row],[Mes]],Tabla6[#Headers],0)))</f>
        <v>#N/A</v>
      </c>
      <c r="R503" s="282" t="e">
        <f>++Tabla4[[#This Row],[Precio Unitario Neto]]-Tabla4[[#This Row],[20.85%]]-Tabla4[[#This Row],[Costo]]</f>
        <v>#N/A</v>
      </c>
      <c r="S503" s="282" t="e">
        <f>++Tabla4[[#This Row],[U. Bruta Uni]]*Tabla4[[#This Row],[Cantidad]]</f>
        <v>#N/A</v>
      </c>
      <c r="T503" s="369" t="str">
        <f>VLOOKUP(Tabla4[[#This Row],[Producto]],Tabla6[#All],14,FALSE)</f>
        <v>Termico Solar</v>
      </c>
      <c r="U503" s="284" t="e">
        <f>(IF(Tabla4[[#This Row],[Familia]]="termico solar",Tabla4[[#This Row],[Utilidad Total]]*6%,Tabla4[[#This Row],[Utilidad Total]]*11.5%))/Tabla4[[#This Row],[Total]]</f>
        <v>#N/A</v>
      </c>
      <c r="V503" s="282" t="e">
        <f>+Tabla4[[#This Row],[Comisión Calculada]]*Tabla4[[#This Row],[Total]]</f>
        <v>#N/A</v>
      </c>
    </row>
    <row r="504" spans="1:22" hidden="1" x14ac:dyDescent="0.25">
      <c r="A504" s="100">
        <v>45703</v>
      </c>
      <c r="B504" t="str">
        <f t="shared" si="18"/>
        <v>February</v>
      </c>
      <c r="C504" s="46" t="s">
        <v>280</v>
      </c>
      <c r="F504" s="366" t="s">
        <v>927</v>
      </c>
      <c r="G504" s="46" t="s">
        <v>17</v>
      </c>
      <c r="H504" s="46">
        <v>1</v>
      </c>
      <c r="I504" s="51">
        <v>4622.28</v>
      </c>
      <c r="J504" s="281">
        <f>++Tabla4[[#This Row],[Precio Bruto]]*1.16</f>
        <v>5361.8447999999989</v>
      </c>
      <c r="K504" s="281">
        <f>+Tabla4[[#This Row],[Precio Unitario Neto]]*Tabla4[[#Headers],[20.85%]]</f>
        <v>1117.9446407999997</v>
      </c>
      <c r="L504" s="282">
        <f>++Tabla4[[#This Row],[Precio Unitario Neto]]-Tabla4[[#This Row],[20.85%]]</f>
        <v>4243.9001591999995</v>
      </c>
      <c r="M504" s="282" t="e">
        <f>(INDEX(Tabla6[#All],MATCH(Tabla4[[#This Row],[Producto]],Tabla6[[#All],[PRODUCTO]],0),MATCH(Tabla4[[#This Row],[Mes]],Tabla6[#Headers],0)))*(1+Catalogos!$L$2)</f>
        <v>#N/A</v>
      </c>
      <c r="N504" s="283" t="e">
        <f>+(Tabla4[[#This Row],[Precio Descontado]]-Tabla4[[#This Row],[Precio Base]])*Tabla4[[#This Row],[Cantidad]]</f>
        <v>#N/A</v>
      </c>
      <c r="O504" s="284" t="e">
        <f>++Tabla4[[#This Row],[Utilidad Total]]/Tabla4[[#This Row],[Total]]</f>
        <v>#N/A</v>
      </c>
      <c r="P504" s="282">
        <f>++Tabla4[[#This Row],[Precio Descontado]]*Tabla4[[#This Row],[Cantidad]]</f>
        <v>4243.9001591999995</v>
      </c>
      <c r="Q504" s="282" t="e">
        <f>(INDEX(Tabla6[#All],MATCH(Tabla4[[#This Row],[Producto]],Tabla6[[#All],[PRODUCTO]],0),MATCH(Tabla4[[#This Row],[Mes]],Tabla6[#Headers],0)))</f>
        <v>#N/A</v>
      </c>
      <c r="R504" s="282" t="e">
        <f>++Tabla4[[#This Row],[Precio Unitario Neto]]-Tabla4[[#This Row],[20.85%]]-Tabla4[[#This Row],[Costo]]</f>
        <v>#N/A</v>
      </c>
      <c r="S504" s="282" t="e">
        <f>++Tabla4[[#This Row],[U. Bruta Uni]]*Tabla4[[#This Row],[Cantidad]]</f>
        <v>#N/A</v>
      </c>
      <c r="T504" s="369" t="str">
        <f>VLOOKUP(Tabla4[[#This Row],[Producto]],Tabla6[#All],14,FALSE)</f>
        <v>Termico Solar</v>
      </c>
      <c r="U504" s="284" t="e">
        <f>(IF(Tabla4[[#This Row],[Familia]]="termico solar",Tabla4[[#This Row],[Utilidad Total]]*6%,Tabla4[[#This Row],[Utilidad Total]]*11.5%))/Tabla4[[#This Row],[Total]]</f>
        <v>#N/A</v>
      </c>
      <c r="V504" s="282" t="e">
        <f>+Tabla4[[#This Row],[Comisión Calculada]]*Tabla4[[#This Row],[Total]]</f>
        <v>#N/A</v>
      </c>
    </row>
    <row r="505" spans="1:22" hidden="1" x14ac:dyDescent="0.25">
      <c r="A505" s="100">
        <v>45703</v>
      </c>
      <c r="B505" t="str">
        <f t="shared" si="18"/>
        <v>February</v>
      </c>
      <c r="C505" s="46" t="s">
        <v>280</v>
      </c>
      <c r="F505" s="366" t="s">
        <v>927</v>
      </c>
      <c r="G505" s="46" t="s">
        <v>16</v>
      </c>
      <c r="H505" s="46">
        <v>2</v>
      </c>
      <c r="I505" s="51">
        <v>4103.8500000000004</v>
      </c>
      <c r="J505" s="281">
        <f>++Tabla4[[#This Row],[Precio Bruto]]*1.16</f>
        <v>4760.4660000000003</v>
      </c>
      <c r="K505" s="281">
        <f>+Tabla4[[#This Row],[Precio Unitario Neto]]*Tabla4[[#Headers],[20.85%]]</f>
        <v>992.55716100000006</v>
      </c>
      <c r="L505" s="282">
        <f>++Tabla4[[#This Row],[Precio Unitario Neto]]-Tabla4[[#This Row],[20.85%]]</f>
        <v>3767.9088390000002</v>
      </c>
      <c r="M505" s="282" t="e">
        <f>(INDEX(Tabla6[#All],MATCH(Tabla4[[#This Row],[Producto]],Tabla6[[#All],[PRODUCTO]],0),MATCH(Tabla4[[#This Row],[Mes]],Tabla6[#Headers],0)))*(1+Catalogos!$L$2)</f>
        <v>#N/A</v>
      </c>
      <c r="N505" s="283" t="e">
        <f>+(Tabla4[[#This Row],[Precio Descontado]]-Tabla4[[#This Row],[Precio Base]])*Tabla4[[#This Row],[Cantidad]]</f>
        <v>#N/A</v>
      </c>
      <c r="O505" s="284" t="e">
        <f>++Tabla4[[#This Row],[Utilidad Total]]/Tabla4[[#This Row],[Total]]</f>
        <v>#N/A</v>
      </c>
      <c r="P505" s="282">
        <f>++Tabla4[[#This Row],[Precio Descontado]]*Tabla4[[#This Row],[Cantidad]]</f>
        <v>7535.8176780000003</v>
      </c>
      <c r="Q505" s="282" t="e">
        <f>(INDEX(Tabla6[#All],MATCH(Tabla4[[#This Row],[Producto]],Tabla6[[#All],[PRODUCTO]],0),MATCH(Tabla4[[#This Row],[Mes]],Tabla6[#Headers],0)))</f>
        <v>#N/A</v>
      </c>
      <c r="R505" s="282" t="e">
        <f>++Tabla4[[#This Row],[Precio Unitario Neto]]-Tabla4[[#This Row],[20.85%]]-Tabla4[[#This Row],[Costo]]</f>
        <v>#N/A</v>
      </c>
      <c r="S505" s="282" t="e">
        <f>++Tabla4[[#This Row],[U. Bruta Uni]]*Tabla4[[#This Row],[Cantidad]]</f>
        <v>#N/A</v>
      </c>
      <c r="T505" s="369" t="str">
        <f>VLOOKUP(Tabla4[[#This Row],[Producto]],Tabla6[#All],14,FALSE)</f>
        <v>Termico Solar</v>
      </c>
      <c r="U505" s="284" t="e">
        <f>(IF(Tabla4[[#This Row],[Familia]]="termico solar",Tabla4[[#This Row],[Utilidad Total]]*6%,Tabla4[[#This Row],[Utilidad Total]]*11.5%))/Tabla4[[#This Row],[Total]]</f>
        <v>#N/A</v>
      </c>
      <c r="V505" s="282" t="e">
        <f>+Tabla4[[#This Row],[Comisión Calculada]]*Tabla4[[#This Row],[Total]]</f>
        <v>#N/A</v>
      </c>
    </row>
    <row r="506" spans="1:22" hidden="1" x14ac:dyDescent="0.25">
      <c r="A506" s="100">
        <v>45703</v>
      </c>
      <c r="B506" t="str">
        <f t="shared" si="18"/>
        <v>February</v>
      </c>
      <c r="C506" s="46" t="s">
        <v>280</v>
      </c>
      <c r="F506" s="366" t="s">
        <v>928</v>
      </c>
      <c r="G506" s="46" t="s">
        <v>17</v>
      </c>
      <c r="H506" s="46">
        <v>9</v>
      </c>
      <c r="I506" s="51">
        <v>4622.28</v>
      </c>
      <c r="J506" s="281">
        <f>++Tabla4[[#This Row],[Precio Bruto]]*1.16</f>
        <v>5361.8447999999989</v>
      </c>
      <c r="K506" s="281">
        <f>+Tabla4[[#This Row],[Precio Unitario Neto]]*Tabla4[[#Headers],[20.85%]]</f>
        <v>1117.9446407999997</v>
      </c>
      <c r="L506" s="282">
        <f>++Tabla4[[#This Row],[Precio Unitario Neto]]-Tabla4[[#This Row],[20.85%]]</f>
        <v>4243.9001591999995</v>
      </c>
      <c r="M506" s="282" t="e">
        <f>(INDEX(Tabla6[#All],MATCH(Tabla4[[#This Row],[Producto]],Tabla6[[#All],[PRODUCTO]],0),MATCH(Tabla4[[#This Row],[Mes]],Tabla6[#Headers],0)))*(1+Catalogos!$L$2)</f>
        <v>#N/A</v>
      </c>
      <c r="N506" s="283" t="e">
        <f>+(Tabla4[[#This Row],[Precio Descontado]]-Tabla4[[#This Row],[Precio Base]])*Tabla4[[#This Row],[Cantidad]]</f>
        <v>#N/A</v>
      </c>
      <c r="O506" s="284" t="e">
        <f>++Tabla4[[#This Row],[Utilidad Total]]/Tabla4[[#This Row],[Total]]</f>
        <v>#N/A</v>
      </c>
      <c r="P506" s="282">
        <f>++Tabla4[[#This Row],[Precio Descontado]]*Tabla4[[#This Row],[Cantidad]]</f>
        <v>38195.101432799995</v>
      </c>
      <c r="Q506" s="282" t="e">
        <f>(INDEX(Tabla6[#All],MATCH(Tabla4[[#This Row],[Producto]],Tabla6[[#All],[PRODUCTO]],0),MATCH(Tabla4[[#This Row],[Mes]],Tabla6[#Headers],0)))</f>
        <v>#N/A</v>
      </c>
      <c r="R506" s="282" t="e">
        <f>++Tabla4[[#This Row],[Precio Unitario Neto]]-Tabla4[[#This Row],[20.85%]]-Tabla4[[#This Row],[Costo]]</f>
        <v>#N/A</v>
      </c>
      <c r="S506" s="282" t="e">
        <f>++Tabla4[[#This Row],[U. Bruta Uni]]*Tabla4[[#This Row],[Cantidad]]</f>
        <v>#N/A</v>
      </c>
      <c r="T506" s="369" t="str">
        <f>VLOOKUP(Tabla4[[#This Row],[Producto]],Tabla6[#All],14,FALSE)</f>
        <v>Termico Solar</v>
      </c>
      <c r="U506" s="284" t="e">
        <f>(IF(Tabla4[[#This Row],[Familia]]="termico solar",Tabla4[[#This Row],[Utilidad Total]]*6%,Tabla4[[#This Row],[Utilidad Total]]*11.5%))/Tabla4[[#This Row],[Total]]</f>
        <v>#N/A</v>
      </c>
      <c r="V506" s="282" t="e">
        <f>+Tabla4[[#This Row],[Comisión Calculada]]*Tabla4[[#This Row],[Total]]</f>
        <v>#N/A</v>
      </c>
    </row>
    <row r="507" spans="1:22" hidden="1" x14ac:dyDescent="0.25">
      <c r="A507" s="100">
        <v>45703</v>
      </c>
      <c r="B507" t="str">
        <f t="shared" si="18"/>
        <v>February</v>
      </c>
      <c r="C507" s="46" t="s">
        <v>280</v>
      </c>
      <c r="F507" s="366" t="s">
        <v>928</v>
      </c>
      <c r="G507" s="46" t="s">
        <v>18</v>
      </c>
      <c r="H507" s="46">
        <v>17</v>
      </c>
      <c r="I507" s="51">
        <v>5367.6500000000005</v>
      </c>
      <c r="J507" s="281">
        <f>++Tabla4[[#This Row],[Precio Bruto]]*1.16</f>
        <v>6226.4740000000002</v>
      </c>
      <c r="K507" s="281">
        <f>+Tabla4[[#This Row],[Precio Unitario Neto]]*Tabla4[[#Headers],[20.85%]]</f>
        <v>1298.2198289999999</v>
      </c>
      <c r="L507" s="282">
        <f>++Tabla4[[#This Row],[Precio Unitario Neto]]-Tabla4[[#This Row],[20.85%]]</f>
        <v>4928.2541710000005</v>
      </c>
      <c r="M507" s="282" t="e">
        <f>(INDEX(Tabla6[#All],MATCH(Tabla4[[#This Row],[Producto]],Tabla6[[#All],[PRODUCTO]],0),MATCH(Tabla4[[#This Row],[Mes]],Tabla6[#Headers],0)))*(1+Catalogos!$L$2)</f>
        <v>#N/A</v>
      </c>
      <c r="N507" s="283" t="e">
        <f>+(Tabla4[[#This Row],[Precio Descontado]]-Tabla4[[#This Row],[Precio Base]])*Tabla4[[#This Row],[Cantidad]]</f>
        <v>#N/A</v>
      </c>
      <c r="O507" s="284" t="e">
        <f>++Tabla4[[#This Row],[Utilidad Total]]/Tabla4[[#This Row],[Total]]</f>
        <v>#N/A</v>
      </c>
      <c r="P507" s="282">
        <f>++Tabla4[[#This Row],[Precio Descontado]]*Tabla4[[#This Row],[Cantidad]]</f>
        <v>83780.320907000016</v>
      </c>
      <c r="Q507" s="282" t="e">
        <f>(INDEX(Tabla6[#All],MATCH(Tabla4[[#This Row],[Producto]],Tabla6[[#All],[PRODUCTO]],0),MATCH(Tabla4[[#This Row],[Mes]],Tabla6[#Headers],0)))</f>
        <v>#N/A</v>
      </c>
      <c r="R507" s="282" t="e">
        <f>++Tabla4[[#This Row],[Precio Unitario Neto]]-Tabla4[[#This Row],[20.85%]]-Tabla4[[#This Row],[Costo]]</f>
        <v>#N/A</v>
      </c>
      <c r="S507" s="282" t="e">
        <f>++Tabla4[[#This Row],[U. Bruta Uni]]*Tabla4[[#This Row],[Cantidad]]</f>
        <v>#N/A</v>
      </c>
      <c r="T507" s="369" t="str">
        <f>VLOOKUP(Tabla4[[#This Row],[Producto]],Tabla6[#All],14,FALSE)</f>
        <v>Termico Solar</v>
      </c>
      <c r="U507" s="284" t="e">
        <f>(IF(Tabla4[[#This Row],[Familia]]="termico solar",Tabla4[[#This Row],[Utilidad Total]]*6%,Tabla4[[#This Row],[Utilidad Total]]*11.5%))/Tabla4[[#This Row],[Total]]</f>
        <v>#N/A</v>
      </c>
      <c r="V507" s="282" t="e">
        <f>+Tabla4[[#This Row],[Comisión Calculada]]*Tabla4[[#This Row],[Total]]</f>
        <v>#N/A</v>
      </c>
    </row>
    <row r="508" spans="1:22" hidden="1" x14ac:dyDescent="0.25">
      <c r="A508" s="100">
        <v>45703</v>
      </c>
      <c r="B508" t="str">
        <f t="shared" si="18"/>
        <v>February</v>
      </c>
      <c r="C508" s="46" t="s">
        <v>280</v>
      </c>
      <c r="F508" s="366" t="s">
        <v>928</v>
      </c>
      <c r="G508" s="46" t="s">
        <v>16</v>
      </c>
      <c r="H508" s="46">
        <v>5</v>
      </c>
      <c r="I508" s="51">
        <v>4103.8500000000004</v>
      </c>
      <c r="J508" s="281">
        <f>++Tabla4[[#This Row],[Precio Bruto]]*1.16</f>
        <v>4760.4660000000003</v>
      </c>
      <c r="K508" s="281">
        <f>+Tabla4[[#This Row],[Precio Unitario Neto]]*Tabla4[[#Headers],[20.85%]]</f>
        <v>992.55716100000006</v>
      </c>
      <c r="L508" s="282">
        <f>++Tabla4[[#This Row],[Precio Unitario Neto]]-Tabla4[[#This Row],[20.85%]]</f>
        <v>3767.9088390000002</v>
      </c>
      <c r="M508" s="282" t="e">
        <f>(INDEX(Tabla6[#All],MATCH(Tabla4[[#This Row],[Producto]],Tabla6[[#All],[PRODUCTO]],0),MATCH(Tabla4[[#This Row],[Mes]],Tabla6[#Headers],0)))*(1+Catalogos!$L$2)</f>
        <v>#N/A</v>
      </c>
      <c r="N508" s="283" t="e">
        <f>+(Tabla4[[#This Row],[Precio Descontado]]-Tabla4[[#This Row],[Precio Base]])*Tabla4[[#This Row],[Cantidad]]</f>
        <v>#N/A</v>
      </c>
      <c r="O508" s="284" t="e">
        <f>++Tabla4[[#This Row],[Utilidad Total]]/Tabla4[[#This Row],[Total]]</f>
        <v>#N/A</v>
      </c>
      <c r="P508" s="282">
        <f>++Tabla4[[#This Row],[Precio Descontado]]*Tabla4[[#This Row],[Cantidad]]</f>
        <v>18839.544195000002</v>
      </c>
      <c r="Q508" s="282" t="e">
        <f>(INDEX(Tabla6[#All],MATCH(Tabla4[[#This Row],[Producto]],Tabla6[[#All],[PRODUCTO]],0),MATCH(Tabla4[[#This Row],[Mes]],Tabla6[#Headers],0)))</f>
        <v>#N/A</v>
      </c>
      <c r="R508" s="282" t="e">
        <f>++Tabla4[[#This Row],[Precio Unitario Neto]]-Tabla4[[#This Row],[20.85%]]-Tabla4[[#This Row],[Costo]]</f>
        <v>#N/A</v>
      </c>
      <c r="S508" s="282" t="e">
        <f>++Tabla4[[#This Row],[U. Bruta Uni]]*Tabla4[[#This Row],[Cantidad]]</f>
        <v>#N/A</v>
      </c>
      <c r="T508" s="369" t="str">
        <f>VLOOKUP(Tabla4[[#This Row],[Producto]],Tabla6[#All],14,FALSE)</f>
        <v>Termico Solar</v>
      </c>
      <c r="U508" s="284" t="e">
        <f>(IF(Tabla4[[#This Row],[Familia]]="termico solar",Tabla4[[#This Row],[Utilidad Total]]*6%,Tabla4[[#This Row],[Utilidad Total]]*11.5%))/Tabla4[[#This Row],[Total]]</f>
        <v>#N/A</v>
      </c>
      <c r="V508" s="282" t="e">
        <f>+Tabla4[[#This Row],[Comisión Calculada]]*Tabla4[[#This Row],[Total]]</f>
        <v>#N/A</v>
      </c>
    </row>
    <row r="509" spans="1:22" hidden="1" x14ac:dyDescent="0.25">
      <c r="A509" s="100">
        <v>45703</v>
      </c>
      <c r="B509" t="str">
        <f t="shared" si="18"/>
        <v>February</v>
      </c>
      <c r="C509" s="46" t="s">
        <v>280</v>
      </c>
      <c r="F509" s="366" t="s">
        <v>929</v>
      </c>
      <c r="G509" s="46" t="s">
        <v>83</v>
      </c>
      <c r="H509" s="46">
        <v>1</v>
      </c>
      <c r="I509" s="51">
        <v>8858.76</v>
      </c>
      <c r="J509" s="281">
        <f>++Tabla4[[#This Row],[Precio Bruto]]*1.16</f>
        <v>10276.161599999999</v>
      </c>
      <c r="K509" s="281">
        <f>+Tabla4[[#This Row],[Precio Unitario Neto]]*Tabla4[[#Headers],[20.85%]]</f>
        <v>2142.5796935999997</v>
      </c>
      <c r="L509" s="282">
        <f>++Tabla4[[#This Row],[Precio Unitario Neto]]-Tabla4[[#This Row],[20.85%]]</f>
        <v>8133.5819063999998</v>
      </c>
      <c r="M509" s="282" t="e">
        <f>(INDEX(Tabla6[#All],MATCH(Tabla4[[#This Row],[Producto]],Tabla6[[#All],[PRODUCTO]],0),MATCH(Tabla4[[#This Row],[Mes]],Tabla6[#Headers],0)))*(1+Catalogos!$L$2)</f>
        <v>#N/A</v>
      </c>
      <c r="N509" s="283" t="e">
        <f>+(Tabla4[[#This Row],[Precio Descontado]]-Tabla4[[#This Row],[Precio Base]])*Tabla4[[#This Row],[Cantidad]]</f>
        <v>#N/A</v>
      </c>
      <c r="O509" s="284" t="e">
        <f>++Tabla4[[#This Row],[Utilidad Total]]/Tabla4[[#This Row],[Total]]</f>
        <v>#N/A</v>
      </c>
      <c r="P509" s="282">
        <f>++Tabla4[[#This Row],[Precio Descontado]]*Tabla4[[#This Row],[Cantidad]]</f>
        <v>8133.5819063999998</v>
      </c>
      <c r="Q509" s="282" t="e">
        <f>(INDEX(Tabla6[#All],MATCH(Tabla4[[#This Row],[Producto]],Tabla6[[#All],[PRODUCTO]],0),MATCH(Tabla4[[#This Row],[Mes]],Tabla6[#Headers],0)))</f>
        <v>#N/A</v>
      </c>
      <c r="R509" s="282" t="e">
        <f>++Tabla4[[#This Row],[Precio Unitario Neto]]-Tabla4[[#This Row],[20.85%]]-Tabla4[[#This Row],[Costo]]</f>
        <v>#N/A</v>
      </c>
      <c r="S509" s="282" t="e">
        <f>++Tabla4[[#This Row],[U. Bruta Uni]]*Tabla4[[#This Row],[Cantidad]]</f>
        <v>#N/A</v>
      </c>
      <c r="T509" s="369" t="str">
        <f>VLOOKUP(Tabla4[[#This Row],[Producto]],Tabla6[#All],14,FALSE)</f>
        <v>Termico Solar</v>
      </c>
      <c r="U509" s="284" t="e">
        <f>(IF(Tabla4[[#This Row],[Familia]]="termico solar",Tabla4[[#This Row],[Utilidad Total]]*6%,Tabla4[[#This Row],[Utilidad Total]]*11.5%))/Tabla4[[#This Row],[Total]]</f>
        <v>#N/A</v>
      </c>
      <c r="V509" s="282" t="e">
        <f>+Tabla4[[#This Row],[Comisión Calculada]]*Tabla4[[#This Row],[Total]]</f>
        <v>#N/A</v>
      </c>
    </row>
    <row r="510" spans="1:22" hidden="1" x14ac:dyDescent="0.25">
      <c r="A510" s="100">
        <v>45703</v>
      </c>
      <c r="B510" t="str">
        <f t="shared" si="18"/>
        <v>February</v>
      </c>
      <c r="C510" s="46" t="s">
        <v>280</v>
      </c>
      <c r="F510" s="366" t="s">
        <v>929</v>
      </c>
      <c r="G510" s="46" t="s">
        <v>17</v>
      </c>
      <c r="H510" s="46">
        <v>7</v>
      </c>
      <c r="I510" s="51">
        <v>4622.28</v>
      </c>
      <c r="J510" s="281">
        <f>++Tabla4[[#This Row],[Precio Bruto]]*1.16</f>
        <v>5361.8447999999989</v>
      </c>
      <c r="K510" s="281">
        <f>+Tabla4[[#This Row],[Precio Unitario Neto]]*Tabla4[[#Headers],[20.85%]]</f>
        <v>1117.9446407999997</v>
      </c>
      <c r="L510" s="282">
        <f>++Tabla4[[#This Row],[Precio Unitario Neto]]-Tabla4[[#This Row],[20.85%]]</f>
        <v>4243.9001591999995</v>
      </c>
      <c r="M510" s="282" t="e">
        <f>(INDEX(Tabla6[#All],MATCH(Tabla4[[#This Row],[Producto]],Tabla6[[#All],[PRODUCTO]],0),MATCH(Tabla4[[#This Row],[Mes]],Tabla6[#Headers],0)))*(1+Catalogos!$L$2)</f>
        <v>#N/A</v>
      </c>
      <c r="N510" s="283" t="e">
        <f>+(Tabla4[[#This Row],[Precio Descontado]]-Tabla4[[#This Row],[Precio Base]])*Tabla4[[#This Row],[Cantidad]]</f>
        <v>#N/A</v>
      </c>
      <c r="O510" s="284" t="e">
        <f>++Tabla4[[#This Row],[Utilidad Total]]/Tabla4[[#This Row],[Total]]</f>
        <v>#N/A</v>
      </c>
      <c r="P510" s="282">
        <f>++Tabla4[[#This Row],[Precio Descontado]]*Tabla4[[#This Row],[Cantidad]]</f>
        <v>29707.301114399997</v>
      </c>
      <c r="Q510" s="282" t="e">
        <f>(INDEX(Tabla6[#All],MATCH(Tabla4[[#This Row],[Producto]],Tabla6[[#All],[PRODUCTO]],0),MATCH(Tabla4[[#This Row],[Mes]],Tabla6[#Headers],0)))</f>
        <v>#N/A</v>
      </c>
      <c r="R510" s="282" t="e">
        <f>++Tabla4[[#This Row],[Precio Unitario Neto]]-Tabla4[[#This Row],[20.85%]]-Tabla4[[#This Row],[Costo]]</f>
        <v>#N/A</v>
      </c>
      <c r="S510" s="282" t="e">
        <f>++Tabla4[[#This Row],[U. Bruta Uni]]*Tabla4[[#This Row],[Cantidad]]</f>
        <v>#N/A</v>
      </c>
      <c r="T510" s="369" t="str">
        <f>VLOOKUP(Tabla4[[#This Row],[Producto]],Tabla6[#All],14,FALSE)</f>
        <v>Termico Solar</v>
      </c>
      <c r="U510" s="284" t="e">
        <f>(IF(Tabla4[[#This Row],[Familia]]="termico solar",Tabla4[[#This Row],[Utilidad Total]]*6%,Tabla4[[#This Row],[Utilidad Total]]*11.5%))/Tabla4[[#This Row],[Total]]</f>
        <v>#N/A</v>
      </c>
      <c r="V510" s="282" t="e">
        <f>+Tabla4[[#This Row],[Comisión Calculada]]*Tabla4[[#This Row],[Total]]</f>
        <v>#N/A</v>
      </c>
    </row>
    <row r="511" spans="1:22" hidden="1" x14ac:dyDescent="0.25">
      <c r="A511" s="100">
        <v>45703</v>
      </c>
      <c r="B511" t="str">
        <f t="shared" si="18"/>
        <v>February</v>
      </c>
      <c r="C511" s="46" t="s">
        <v>280</v>
      </c>
      <c r="F511" s="366" t="s">
        <v>930</v>
      </c>
      <c r="G511" s="46" t="s">
        <v>17</v>
      </c>
      <c r="H511" s="46">
        <v>2</v>
      </c>
      <c r="I511" s="51">
        <v>4622.28</v>
      </c>
      <c r="J511" s="281">
        <f>++Tabla4[[#This Row],[Precio Bruto]]*1.16</f>
        <v>5361.8447999999989</v>
      </c>
      <c r="K511" s="281">
        <f>+Tabla4[[#This Row],[Precio Unitario Neto]]*Tabla4[[#Headers],[20.85%]]</f>
        <v>1117.9446407999997</v>
      </c>
      <c r="L511" s="282">
        <f>++Tabla4[[#This Row],[Precio Unitario Neto]]-Tabla4[[#This Row],[20.85%]]</f>
        <v>4243.9001591999995</v>
      </c>
      <c r="M511" s="282" t="e">
        <f>(INDEX(Tabla6[#All],MATCH(Tabla4[[#This Row],[Producto]],Tabla6[[#All],[PRODUCTO]],0),MATCH(Tabla4[[#This Row],[Mes]],Tabla6[#Headers],0)))*(1+Catalogos!$L$2)</f>
        <v>#N/A</v>
      </c>
      <c r="N511" s="283" t="e">
        <f>+(Tabla4[[#This Row],[Precio Descontado]]-Tabla4[[#This Row],[Precio Base]])*Tabla4[[#This Row],[Cantidad]]</f>
        <v>#N/A</v>
      </c>
      <c r="O511" s="284" t="e">
        <f>++Tabla4[[#This Row],[Utilidad Total]]/Tabla4[[#This Row],[Total]]</f>
        <v>#N/A</v>
      </c>
      <c r="P511" s="282">
        <f>++Tabla4[[#This Row],[Precio Descontado]]*Tabla4[[#This Row],[Cantidad]]</f>
        <v>8487.800318399999</v>
      </c>
      <c r="Q511" s="282" t="e">
        <f>(INDEX(Tabla6[#All],MATCH(Tabla4[[#This Row],[Producto]],Tabla6[[#All],[PRODUCTO]],0),MATCH(Tabla4[[#This Row],[Mes]],Tabla6[#Headers],0)))</f>
        <v>#N/A</v>
      </c>
      <c r="R511" s="282" t="e">
        <f>++Tabla4[[#This Row],[Precio Unitario Neto]]-Tabla4[[#This Row],[20.85%]]-Tabla4[[#This Row],[Costo]]</f>
        <v>#N/A</v>
      </c>
      <c r="S511" s="282" t="e">
        <f>++Tabla4[[#This Row],[U. Bruta Uni]]*Tabla4[[#This Row],[Cantidad]]</f>
        <v>#N/A</v>
      </c>
      <c r="T511" s="369" t="str">
        <f>VLOOKUP(Tabla4[[#This Row],[Producto]],Tabla6[#All],14,FALSE)</f>
        <v>Termico Solar</v>
      </c>
      <c r="U511" s="284" t="e">
        <f>(IF(Tabla4[[#This Row],[Familia]]="termico solar",Tabla4[[#This Row],[Utilidad Total]]*6%,Tabla4[[#This Row],[Utilidad Total]]*11.5%))/Tabla4[[#This Row],[Total]]</f>
        <v>#N/A</v>
      </c>
      <c r="V511" s="282" t="e">
        <f>+Tabla4[[#This Row],[Comisión Calculada]]*Tabla4[[#This Row],[Total]]</f>
        <v>#N/A</v>
      </c>
    </row>
    <row r="512" spans="1:22" hidden="1" x14ac:dyDescent="0.25">
      <c r="A512" s="100">
        <v>45703</v>
      </c>
      <c r="B512" t="str">
        <f t="shared" ref="B512:B575" si="19">TEXT(A512, "mmmm")</f>
        <v>February</v>
      </c>
      <c r="C512" s="46" t="s">
        <v>280</v>
      </c>
      <c r="F512" s="366" t="s">
        <v>931</v>
      </c>
      <c r="G512" s="46" t="s">
        <v>83</v>
      </c>
      <c r="H512" s="46">
        <v>3</v>
      </c>
      <c r="I512" s="51">
        <v>8858.76</v>
      </c>
      <c r="J512" s="281">
        <f>++Tabla4[[#This Row],[Precio Bruto]]*1.16</f>
        <v>10276.161599999999</v>
      </c>
      <c r="K512" s="281">
        <f>+Tabla4[[#This Row],[Precio Unitario Neto]]*Tabla4[[#Headers],[20.85%]]</f>
        <v>2142.5796935999997</v>
      </c>
      <c r="L512" s="282">
        <f>++Tabla4[[#This Row],[Precio Unitario Neto]]-Tabla4[[#This Row],[20.85%]]</f>
        <v>8133.5819063999998</v>
      </c>
      <c r="M512" s="282" t="e">
        <f>(INDEX(Tabla6[#All],MATCH(Tabla4[[#This Row],[Producto]],Tabla6[[#All],[PRODUCTO]],0),MATCH(Tabla4[[#This Row],[Mes]],Tabla6[#Headers],0)))*(1+Catalogos!$L$2)</f>
        <v>#N/A</v>
      </c>
      <c r="N512" s="283" t="e">
        <f>+(Tabla4[[#This Row],[Precio Descontado]]-Tabla4[[#This Row],[Precio Base]])*Tabla4[[#This Row],[Cantidad]]</f>
        <v>#N/A</v>
      </c>
      <c r="O512" s="284" t="e">
        <f>++Tabla4[[#This Row],[Utilidad Total]]/Tabla4[[#This Row],[Total]]</f>
        <v>#N/A</v>
      </c>
      <c r="P512" s="282">
        <f>++Tabla4[[#This Row],[Precio Descontado]]*Tabla4[[#This Row],[Cantidad]]</f>
        <v>24400.7457192</v>
      </c>
      <c r="Q512" s="282" t="e">
        <f>(INDEX(Tabla6[#All],MATCH(Tabla4[[#This Row],[Producto]],Tabla6[[#All],[PRODUCTO]],0),MATCH(Tabla4[[#This Row],[Mes]],Tabla6[#Headers],0)))</f>
        <v>#N/A</v>
      </c>
      <c r="R512" s="282" t="e">
        <f>++Tabla4[[#This Row],[Precio Unitario Neto]]-Tabla4[[#This Row],[20.85%]]-Tabla4[[#This Row],[Costo]]</f>
        <v>#N/A</v>
      </c>
      <c r="S512" s="282" t="e">
        <f>++Tabla4[[#This Row],[U. Bruta Uni]]*Tabla4[[#This Row],[Cantidad]]</f>
        <v>#N/A</v>
      </c>
      <c r="T512" s="369" t="str">
        <f>VLOOKUP(Tabla4[[#This Row],[Producto]],Tabla6[#All],14,FALSE)</f>
        <v>Termico Solar</v>
      </c>
      <c r="U512" s="284" t="e">
        <f>(IF(Tabla4[[#This Row],[Familia]]="termico solar",Tabla4[[#This Row],[Utilidad Total]]*6%,Tabla4[[#This Row],[Utilidad Total]]*11.5%))/Tabla4[[#This Row],[Total]]</f>
        <v>#N/A</v>
      </c>
      <c r="V512" s="282" t="e">
        <f>+Tabla4[[#This Row],[Comisión Calculada]]*Tabla4[[#This Row],[Total]]</f>
        <v>#N/A</v>
      </c>
    </row>
    <row r="513" spans="1:22" ht="12.75" hidden="1" customHeight="1" x14ac:dyDescent="0.25">
      <c r="A513" s="100">
        <v>45703</v>
      </c>
      <c r="B513" t="str">
        <f t="shared" si="19"/>
        <v>February</v>
      </c>
      <c r="C513" s="46" t="s">
        <v>280</v>
      </c>
      <c r="F513" s="366" t="s">
        <v>931</v>
      </c>
      <c r="G513" s="46" t="s">
        <v>17</v>
      </c>
      <c r="H513" s="46">
        <v>4</v>
      </c>
      <c r="I513" s="51">
        <v>4622.28</v>
      </c>
      <c r="J513" s="281">
        <f>++Tabla4[[#This Row],[Precio Bruto]]*1.16</f>
        <v>5361.8447999999989</v>
      </c>
      <c r="K513" s="281">
        <f>+Tabla4[[#This Row],[Precio Unitario Neto]]*Tabla4[[#Headers],[20.85%]]</f>
        <v>1117.9446407999997</v>
      </c>
      <c r="L513" s="282">
        <f>++Tabla4[[#This Row],[Precio Unitario Neto]]-Tabla4[[#This Row],[20.85%]]</f>
        <v>4243.9001591999995</v>
      </c>
      <c r="M513" s="282" t="e">
        <f>(INDEX(Tabla6[#All],MATCH(Tabla4[[#This Row],[Producto]],Tabla6[[#All],[PRODUCTO]],0),MATCH(Tabla4[[#This Row],[Mes]],Tabla6[#Headers],0)))*(1+Catalogos!$L$2)</f>
        <v>#N/A</v>
      </c>
      <c r="N513" s="283" t="e">
        <f>+(Tabla4[[#This Row],[Precio Descontado]]-Tabla4[[#This Row],[Precio Base]])*Tabla4[[#This Row],[Cantidad]]</f>
        <v>#N/A</v>
      </c>
      <c r="O513" s="284" t="e">
        <f>++Tabla4[[#This Row],[Utilidad Total]]/Tabla4[[#This Row],[Total]]</f>
        <v>#N/A</v>
      </c>
      <c r="P513" s="282">
        <f>++Tabla4[[#This Row],[Precio Descontado]]*Tabla4[[#This Row],[Cantidad]]</f>
        <v>16975.600636799998</v>
      </c>
      <c r="Q513" s="282" t="e">
        <f>(INDEX(Tabla6[#All],MATCH(Tabla4[[#This Row],[Producto]],Tabla6[[#All],[PRODUCTO]],0),MATCH(Tabla4[[#This Row],[Mes]],Tabla6[#Headers],0)))</f>
        <v>#N/A</v>
      </c>
      <c r="R513" s="282" t="e">
        <f>++Tabla4[[#This Row],[Precio Unitario Neto]]-Tabla4[[#This Row],[20.85%]]-Tabla4[[#This Row],[Costo]]</f>
        <v>#N/A</v>
      </c>
      <c r="S513" s="282" t="e">
        <f>++Tabla4[[#This Row],[U. Bruta Uni]]*Tabla4[[#This Row],[Cantidad]]</f>
        <v>#N/A</v>
      </c>
      <c r="T513" s="369" t="str">
        <f>VLOOKUP(Tabla4[[#This Row],[Producto]],Tabla6[#All],14,FALSE)</f>
        <v>Termico Solar</v>
      </c>
      <c r="U513" s="284" t="e">
        <f>(IF(Tabla4[[#This Row],[Familia]]="termico solar",Tabla4[[#This Row],[Utilidad Total]]*6%,Tabla4[[#This Row],[Utilidad Total]]*11.5%))/Tabla4[[#This Row],[Total]]</f>
        <v>#N/A</v>
      </c>
      <c r="V513" s="282" t="e">
        <f>+Tabla4[[#This Row],[Comisión Calculada]]*Tabla4[[#This Row],[Total]]</f>
        <v>#N/A</v>
      </c>
    </row>
    <row r="514" spans="1:22" ht="12.75" hidden="1" customHeight="1" x14ac:dyDescent="0.25">
      <c r="A514" s="100">
        <v>45703</v>
      </c>
      <c r="B514" t="str">
        <f t="shared" si="19"/>
        <v>February</v>
      </c>
      <c r="C514" s="46" t="s">
        <v>280</v>
      </c>
      <c r="F514" s="366" t="s">
        <v>931</v>
      </c>
      <c r="G514" s="46" t="s">
        <v>18</v>
      </c>
      <c r="H514" s="46">
        <v>3</v>
      </c>
      <c r="I514" s="51">
        <v>5367.6500000000005</v>
      </c>
      <c r="J514" s="281">
        <f>++Tabla4[[#This Row],[Precio Bruto]]*1.16</f>
        <v>6226.4740000000002</v>
      </c>
      <c r="K514" s="281">
        <f>+Tabla4[[#This Row],[Precio Unitario Neto]]*Tabla4[[#Headers],[20.85%]]</f>
        <v>1298.2198289999999</v>
      </c>
      <c r="L514" s="282">
        <f>++Tabla4[[#This Row],[Precio Unitario Neto]]-Tabla4[[#This Row],[20.85%]]</f>
        <v>4928.2541710000005</v>
      </c>
      <c r="M514" s="282" t="e">
        <f>(INDEX(Tabla6[#All],MATCH(Tabla4[[#This Row],[Producto]],Tabla6[[#All],[PRODUCTO]],0),MATCH(Tabla4[[#This Row],[Mes]],Tabla6[#Headers],0)))*(1+Catalogos!$L$2)</f>
        <v>#N/A</v>
      </c>
      <c r="N514" s="283" t="e">
        <f>+(Tabla4[[#This Row],[Precio Descontado]]-Tabla4[[#This Row],[Precio Base]])*Tabla4[[#This Row],[Cantidad]]</f>
        <v>#N/A</v>
      </c>
      <c r="O514" s="284" t="e">
        <f>++Tabla4[[#This Row],[Utilidad Total]]/Tabla4[[#This Row],[Total]]</f>
        <v>#N/A</v>
      </c>
      <c r="P514" s="282">
        <f>++Tabla4[[#This Row],[Precio Descontado]]*Tabla4[[#This Row],[Cantidad]]</f>
        <v>14784.762513000001</v>
      </c>
      <c r="Q514" s="282" t="e">
        <f>(INDEX(Tabla6[#All],MATCH(Tabla4[[#This Row],[Producto]],Tabla6[[#All],[PRODUCTO]],0),MATCH(Tabla4[[#This Row],[Mes]],Tabla6[#Headers],0)))</f>
        <v>#N/A</v>
      </c>
      <c r="R514" s="282" t="e">
        <f>++Tabla4[[#This Row],[Precio Unitario Neto]]-Tabla4[[#This Row],[20.85%]]-Tabla4[[#This Row],[Costo]]</f>
        <v>#N/A</v>
      </c>
      <c r="S514" s="282" t="e">
        <f>++Tabla4[[#This Row],[U. Bruta Uni]]*Tabla4[[#This Row],[Cantidad]]</f>
        <v>#N/A</v>
      </c>
      <c r="T514" s="369" t="str">
        <f>VLOOKUP(Tabla4[[#This Row],[Producto]],Tabla6[#All],14,FALSE)</f>
        <v>Termico Solar</v>
      </c>
      <c r="U514" s="284" t="e">
        <f>(IF(Tabla4[[#This Row],[Familia]]="termico solar",Tabla4[[#This Row],[Utilidad Total]]*6%,Tabla4[[#This Row],[Utilidad Total]]*11.5%))/Tabla4[[#This Row],[Total]]</f>
        <v>#N/A</v>
      </c>
      <c r="V514" s="282" t="e">
        <f>+Tabla4[[#This Row],[Comisión Calculada]]*Tabla4[[#This Row],[Total]]</f>
        <v>#N/A</v>
      </c>
    </row>
    <row r="515" spans="1:22" hidden="1" x14ac:dyDescent="0.25">
      <c r="A515" s="100">
        <v>45703</v>
      </c>
      <c r="B515" t="str">
        <f t="shared" si="19"/>
        <v>February</v>
      </c>
      <c r="C515" s="46" t="s">
        <v>280</v>
      </c>
      <c r="F515" s="366" t="s">
        <v>931</v>
      </c>
      <c r="G515" s="46" t="s">
        <v>566</v>
      </c>
      <c r="H515" s="46">
        <v>1</v>
      </c>
      <c r="I515" s="51">
        <v>2109.4499999999998</v>
      </c>
      <c r="J515" s="281">
        <f>++Tabla4[[#This Row],[Precio Bruto]]*1.16</f>
        <v>2446.9619999999995</v>
      </c>
      <c r="K515" s="281">
        <f>+Tabla4[[#This Row],[Precio Unitario Neto]]*Tabla4[[#Headers],[20.85%]]</f>
        <v>510.19157699999988</v>
      </c>
      <c r="L515" s="282">
        <f>++Tabla4[[#This Row],[Precio Unitario Neto]]-Tabla4[[#This Row],[20.85%]]</f>
        <v>1936.7704229999997</v>
      </c>
      <c r="M515" s="282" t="e">
        <f>(INDEX(Tabla6[#All],MATCH(Tabla4[[#This Row],[Producto]],Tabla6[[#All],[PRODUCTO]],0),MATCH(Tabla4[[#This Row],[Mes]],Tabla6[#Headers],0)))*(1+Catalogos!$L$2)</f>
        <v>#N/A</v>
      </c>
      <c r="N515" s="283" t="e">
        <f>+(Tabla4[[#This Row],[Precio Descontado]]-Tabla4[[#This Row],[Precio Base]])*Tabla4[[#This Row],[Cantidad]]</f>
        <v>#N/A</v>
      </c>
      <c r="O515" s="284" t="e">
        <f>++Tabla4[[#This Row],[Utilidad Total]]/Tabla4[[#This Row],[Total]]</f>
        <v>#N/A</v>
      </c>
      <c r="P515" s="282">
        <f>++Tabla4[[#This Row],[Precio Descontado]]*Tabla4[[#This Row],[Cantidad]]</f>
        <v>1936.7704229999997</v>
      </c>
      <c r="Q515" s="282" t="e">
        <f>(INDEX(Tabla6[#All],MATCH(Tabla4[[#This Row],[Producto]],Tabla6[[#All],[PRODUCTO]],0),MATCH(Tabla4[[#This Row],[Mes]],Tabla6[#Headers],0)))</f>
        <v>#N/A</v>
      </c>
      <c r="R515" s="282" t="e">
        <f>++Tabla4[[#This Row],[Precio Unitario Neto]]-Tabla4[[#This Row],[20.85%]]-Tabla4[[#This Row],[Costo]]</f>
        <v>#N/A</v>
      </c>
      <c r="S515" s="282" t="e">
        <f>++Tabla4[[#This Row],[U. Bruta Uni]]*Tabla4[[#This Row],[Cantidad]]</f>
        <v>#N/A</v>
      </c>
      <c r="T515" s="369" t="str">
        <f>VLOOKUP(Tabla4[[#This Row],[Producto]],Tabla6[#All],14,FALSE)</f>
        <v>Termico Solar</v>
      </c>
      <c r="U515" s="284" t="e">
        <f>(IF(Tabla4[[#This Row],[Familia]]="termico solar",Tabla4[[#This Row],[Utilidad Total]]*6%,Tabla4[[#This Row],[Utilidad Total]]*11.5%))/Tabla4[[#This Row],[Total]]</f>
        <v>#N/A</v>
      </c>
      <c r="V515" s="282" t="e">
        <f>+Tabla4[[#This Row],[Comisión Calculada]]*Tabla4[[#This Row],[Total]]</f>
        <v>#N/A</v>
      </c>
    </row>
    <row r="516" spans="1:22" hidden="1" x14ac:dyDescent="0.25">
      <c r="A516" s="100">
        <v>45703</v>
      </c>
      <c r="B516" t="str">
        <f t="shared" si="19"/>
        <v>February</v>
      </c>
      <c r="C516" s="46" t="s">
        <v>280</v>
      </c>
      <c r="F516" s="366" t="s">
        <v>931</v>
      </c>
      <c r="G516" s="46" t="s">
        <v>16</v>
      </c>
      <c r="H516" s="46">
        <v>2</v>
      </c>
      <c r="I516" s="51">
        <v>4103.8500000000004</v>
      </c>
      <c r="J516" s="281">
        <f>++Tabla4[[#This Row],[Precio Bruto]]*1.16</f>
        <v>4760.4660000000003</v>
      </c>
      <c r="K516" s="281">
        <f>+Tabla4[[#This Row],[Precio Unitario Neto]]*Tabla4[[#Headers],[20.85%]]</f>
        <v>992.55716100000006</v>
      </c>
      <c r="L516" s="282">
        <f>++Tabla4[[#This Row],[Precio Unitario Neto]]-Tabla4[[#This Row],[20.85%]]</f>
        <v>3767.9088390000002</v>
      </c>
      <c r="M516" s="282" t="e">
        <f>(INDEX(Tabla6[#All],MATCH(Tabla4[[#This Row],[Producto]],Tabla6[[#All],[PRODUCTO]],0),MATCH(Tabla4[[#This Row],[Mes]],Tabla6[#Headers],0)))*(1+Catalogos!$L$2)</f>
        <v>#N/A</v>
      </c>
      <c r="N516" s="283" t="e">
        <f>+(Tabla4[[#This Row],[Precio Descontado]]-Tabla4[[#This Row],[Precio Base]])*Tabla4[[#This Row],[Cantidad]]</f>
        <v>#N/A</v>
      </c>
      <c r="O516" s="284" t="e">
        <f>++Tabla4[[#This Row],[Utilidad Total]]/Tabla4[[#This Row],[Total]]</f>
        <v>#N/A</v>
      </c>
      <c r="P516" s="282">
        <f>++Tabla4[[#This Row],[Precio Descontado]]*Tabla4[[#This Row],[Cantidad]]</f>
        <v>7535.8176780000003</v>
      </c>
      <c r="Q516" s="282" t="e">
        <f>(INDEX(Tabla6[#All],MATCH(Tabla4[[#This Row],[Producto]],Tabla6[[#All],[PRODUCTO]],0),MATCH(Tabla4[[#This Row],[Mes]],Tabla6[#Headers],0)))</f>
        <v>#N/A</v>
      </c>
      <c r="R516" s="282" t="e">
        <f>++Tabla4[[#This Row],[Precio Unitario Neto]]-Tabla4[[#This Row],[20.85%]]-Tabla4[[#This Row],[Costo]]</f>
        <v>#N/A</v>
      </c>
      <c r="S516" s="282" t="e">
        <f>++Tabla4[[#This Row],[U. Bruta Uni]]*Tabla4[[#This Row],[Cantidad]]</f>
        <v>#N/A</v>
      </c>
      <c r="T516" s="369" t="str">
        <f>VLOOKUP(Tabla4[[#This Row],[Producto]],Tabla6[#All],14,FALSE)</f>
        <v>Termico Solar</v>
      </c>
      <c r="U516" s="284" t="e">
        <f>(IF(Tabla4[[#This Row],[Familia]]="termico solar",Tabla4[[#This Row],[Utilidad Total]]*6%,Tabla4[[#This Row],[Utilidad Total]]*11.5%))/Tabla4[[#This Row],[Total]]</f>
        <v>#N/A</v>
      </c>
      <c r="V516" s="282" t="e">
        <f>+Tabla4[[#This Row],[Comisión Calculada]]*Tabla4[[#This Row],[Total]]</f>
        <v>#N/A</v>
      </c>
    </row>
    <row r="517" spans="1:22" hidden="1" x14ac:dyDescent="0.25">
      <c r="A517" s="100">
        <v>45703</v>
      </c>
      <c r="B517" t="str">
        <f t="shared" si="19"/>
        <v>February</v>
      </c>
      <c r="C517" s="46" t="s">
        <v>280</v>
      </c>
      <c r="F517" s="366" t="s">
        <v>932</v>
      </c>
      <c r="G517" s="46" t="s">
        <v>18</v>
      </c>
      <c r="H517" s="46">
        <v>4</v>
      </c>
      <c r="I517" s="51">
        <v>5367.65</v>
      </c>
      <c r="J517" s="281">
        <f>++Tabla4[[#This Row],[Precio Bruto]]*1.16</f>
        <v>6226.4739999999993</v>
      </c>
      <c r="K517" s="281">
        <f>+Tabla4[[#This Row],[Precio Unitario Neto]]*Tabla4[[#Headers],[20.85%]]</f>
        <v>1298.2198289999999</v>
      </c>
      <c r="L517" s="282">
        <f>++Tabla4[[#This Row],[Precio Unitario Neto]]-Tabla4[[#This Row],[20.85%]]</f>
        <v>4928.2541709999996</v>
      </c>
      <c r="M517" s="282" t="e">
        <f>(INDEX(Tabla6[#All],MATCH(Tabla4[[#This Row],[Producto]],Tabla6[[#All],[PRODUCTO]],0),MATCH(Tabla4[[#This Row],[Mes]],Tabla6[#Headers],0)))*(1+Catalogos!$L$2)</f>
        <v>#N/A</v>
      </c>
      <c r="N517" s="283" t="e">
        <f>+(Tabla4[[#This Row],[Precio Descontado]]-Tabla4[[#This Row],[Precio Base]])*Tabla4[[#This Row],[Cantidad]]</f>
        <v>#N/A</v>
      </c>
      <c r="O517" s="284" t="e">
        <f>++Tabla4[[#This Row],[Utilidad Total]]/Tabla4[[#This Row],[Total]]</f>
        <v>#N/A</v>
      </c>
      <c r="P517" s="282">
        <f>++Tabla4[[#This Row],[Precio Descontado]]*Tabla4[[#This Row],[Cantidad]]</f>
        <v>19713.016683999998</v>
      </c>
      <c r="Q517" s="282" t="e">
        <f>(INDEX(Tabla6[#All],MATCH(Tabla4[[#This Row],[Producto]],Tabla6[[#All],[PRODUCTO]],0),MATCH(Tabla4[[#This Row],[Mes]],Tabla6[#Headers],0)))</f>
        <v>#N/A</v>
      </c>
      <c r="R517" s="282" t="e">
        <f>++Tabla4[[#This Row],[Precio Unitario Neto]]-Tabla4[[#This Row],[20.85%]]-Tabla4[[#This Row],[Costo]]</f>
        <v>#N/A</v>
      </c>
      <c r="S517" s="282" t="e">
        <f>++Tabla4[[#This Row],[U. Bruta Uni]]*Tabla4[[#This Row],[Cantidad]]</f>
        <v>#N/A</v>
      </c>
      <c r="T517" s="369" t="str">
        <f>VLOOKUP(Tabla4[[#This Row],[Producto]],Tabla6[#All],14,FALSE)</f>
        <v>Termico Solar</v>
      </c>
      <c r="U517" s="284" t="e">
        <f>(IF(Tabla4[[#This Row],[Familia]]="termico solar",Tabla4[[#This Row],[Utilidad Total]]*6%,Tabla4[[#This Row],[Utilidad Total]]*11.5%))/Tabla4[[#This Row],[Total]]</f>
        <v>#N/A</v>
      </c>
      <c r="V517" s="282" t="e">
        <f>+Tabla4[[#This Row],[Comisión Calculada]]*Tabla4[[#This Row],[Total]]</f>
        <v>#N/A</v>
      </c>
    </row>
    <row r="518" spans="1:22" hidden="1" x14ac:dyDescent="0.25">
      <c r="A518" s="100">
        <v>45703</v>
      </c>
      <c r="B518" t="str">
        <f t="shared" si="19"/>
        <v>February</v>
      </c>
      <c r="C518" s="46" t="s">
        <v>280</v>
      </c>
      <c r="F518" s="366" t="s">
        <v>933</v>
      </c>
      <c r="G518" s="46" t="s">
        <v>18</v>
      </c>
      <c r="H518" s="46">
        <v>1</v>
      </c>
      <c r="I518" s="51">
        <v>5367.65</v>
      </c>
      <c r="J518" s="281">
        <f>++Tabla4[[#This Row],[Precio Bruto]]*1.16</f>
        <v>6226.4739999999993</v>
      </c>
      <c r="K518" s="281">
        <f>+Tabla4[[#This Row],[Precio Unitario Neto]]*Tabla4[[#Headers],[20.85%]]</f>
        <v>1298.2198289999999</v>
      </c>
      <c r="L518" s="282">
        <f>++Tabla4[[#This Row],[Precio Unitario Neto]]-Tabla4[[#This Row],[20.85%]]</f>
        <v>4928.2541709999996</v>
      </c>
      <c r="M518" s="282" t="e">
        <f>(INDEX(Tabla6[#All],MATCH(Tabla4[[#This Row],[Producto]],Tabla6[[#All],[PRODUCTO]],0),MATCH(Tabla4[[#This Row],[Mes]],Tabla6[#Headers],0)))*(1+Catalogos!$L$2)</f>
        <v>#N/A</v>
      </c>
      <c r="N518" s="283" t="e">
        <f>+(Tabla4[[#This Row],[Precio Descontado]]-Tabla4[[#This Row],[Precio Base]])*Tabla4[[#This Row],[Cantidad]]</f>
        <v>#N/A</v>
      </c>
      <c r="O518" s="284" t="e">
        <f>++Tabla4[[#This Row],[Utilidad Total]]/Tabla4[[#This Row],[Total]]</f>
        <v>#N/A</v>
      </c>
      <c r="P518" s="282">
        <f>++Tabla4[[#This Row],[Precio Descontado]]*Tabla4[[#This Row],[Cantidad]]</f>
        <v>4928.2541709999996</v>
      </c>
      <c r="Q518" s="282" t="e">
        <f>(INDEX(Tabla6[#All],MATCH(Tabla4[[#This Row],[Producto]],Tabla6[[#All],[PRODUCTO]],0),MATCH(Tabla4[[#This Row],[Mes]],Tabla6[#Headers],0)))</f>
        <v>#N/A</v>
      </c>
      <c r="R518" s="282" t="e">
        <f>++Tabla4[[#This Row],[Precio Unitario Neto]]-Tabla4[[#This Row],[20.85%]]-Tabla4[[#This Row],[Costo]]</f>
        <v>#N/A</v>
      </c>
      <c r="S518" s="282" t="e">
        <f>++Tabla4[[#This Row],[U. Bruta Uni]]*Tabla4[[#This Row],[Cantidad]]</f>
        <v>#N/A</v>
      </c>
      <c r="T518" s="369" t="str">
        <f>VLOOKUP(Tabla4[[#This Row],[Producto]],Tabla6[#All],14,FALSE)</f>
        <v>Termico Solar</v>
      </c>
      <c r="U518" s="284" t="e">
        <f>(IF(Tabla4[[#This Row],[Familia]]="termico solar",Tabla4[[#This Row],[Utilidad Total]]*6%,Tabla4[[#This Row],[Utilidad Total]]*11.5%))/Tabla4[[#This Row],[Total]]</f>
        <v>#N/A</v>
      </c>
      <c r="V518" s="282" t="e">
        <f>+Tabla4[[#This Row],[Comisión Calculada]]*Tabla4[[#This Row],[Total]]</f>
        <v>#N/A</v>
      </c>
    </row>
    <row r="519" spans="1:22" hidden="1" x14ac:dyDescent="0.25">
      <c r="A519" s="100">
        <v>45703</v>
      </c>
      <c r="B519" t="str">
        <f t="shared" si="19"/>
        <v>February</v>
      </c>
      <c r="C519" s="46" t="s">
        <v>280</v>
      </c>
      <c r="F519" s="366" t="s">
        <v>934</v>
      </c>
      <c r="G519" s="46" t="s">
        <v>17</v>
      </c>
      <c r="H519" s="46">
        <v>1</v>
      </c>
      <c r="I519" s="51">
        <v>4622.28</v>
      </c>
      <c r="J519" s="281">
        <f>++Tabla4[[#This Row],[Precio Bruto]]*1.16</f>
        <v>5361.8447999999989</v>
      </c>
      <c r="K519" s="281">
        <f>+Tabla4[[#This Row],[Precio Unitario Neto]]*Tabla4[[#Headers],[20.85%]]</f>
        <v>1117.9446407999997</v>
      </c>
      <c r="L519" s="282">
        <f>++Tabla4[[#This Row],[Precio Unitario Neto]]-Tabla4[[#This Row],[20.85%]]</f>
        <v>4243.9001591999995</v>
      </c>
      <c r="M519" s="282" t="e">
        <f>(INDEX(Tabla6[#All],MATCH(Tabla4[[#This Row],[Producto]],Tabla6[[#All],[PRODUCTO]],0),MATCH(Tabla4[[#This Row],[Mes]],Tabla6[#Headers],0)))*(1+Catalogos!$L$2)</f>
        <v>#N/A</v>
      </c>
      <c r="N519" s="283" t="e">
        <f>+(Tabla4[[#This Row],[Precio Descontado]]-Tabla4[[#This Row],[Precio Base]])*Tabla4[[#This Row],[Cantidad]]</f>
        <v>#N/A</v>
      </c>
      <c r="O519" s="284" t="e">
        <f>++Tabla4[[#This Row],[Utilidad Total]]/Tabla4[[#This Row],[Total]]</f>
        <v>#N/A</v>
      </c>
      <c r="P519" s="282">
        <f>++Tabla4[[#This Row],[Precio Descontado]]*Tabla4[[#This Row],[Cantidad]]</f>
        <v>4243.9001591999995</v>
      </c>
      <c r="Q519" s="282" t="e">
        <f>(INDEX(Tabla6[#All],MATCH(Tabla4[[#This Row],[Producto]],Tabla6[[#All],[PRODUCTO]],0),MATCH(Tabla4[[#This Row],[Mes]],Tabla6[#Headers],0)))</f>
        <v>#N/A</v>
      </c>
      <c r="R519" s="282" t="e">
        <f>++Tabla4[[#This Row],[Precio Unitario Neto]]-Tabla4[[#This Row],[20.85%]]-Tabla4[[#This Row],[Costo]]</f>
        <v>#N/A</v>
      </c>
      <c r="S519" s="282" t="e">
        <f>++Tabla4[[#This Row],[U. Bruta Uni]]*Tabla4[[#This Row],[Cantidad]]</f>
        <v>#N/A</v>
      </c>
      <c r="T519" s="369" t="str">
        <f>VLOOKUP(Tabla4[[#This Row],[Producto]],Tabla6[#All],14,FALSE)</f>
        <v>Termico Solar</v>
      </c>
      <c r="U519" s="284" t="e">
        <f>(IF(Tabla4[[#This Row],[Familia]]="termico solar",Tabla4[[#This Row],[Utilidad Total]]*6%,Tabla4[[#This Row],[Utilidad Total]]*11.5%))/Tabla4[[#This Row],[Total]]</f>
        <v>#N/A</v>
      </c>
      <c r="V519" s="282" t="e">
        <f>+Tabla4[[#This Row],[Comisión Calculada]]*Tabla4[[#This Row],[Total]]</f>
        <v>#N/A</v>
      </c>
    </row>
    <row r="520" spans="1:22" hidden="1" x14ac:dyDescent="0.25">
      <c r="A520" s="100">
        <v>45703</v>
      </c>
      <c r="B520" t="str">
        <f t="shared" si="19"/>
        <v>February</v>
      </c>
      <c r="C520" s="46" t="s">
        <v>280</v>
      </c>
      <c r="F520" s="366" t="s">
        <v>934</v>
      </c>
      <c r="G520" s="46" t="s">
        <v>394</v>
      </c>
      <c r="H520" s="46">
        <v>32</v>
      </c>
      <c r="I520" s="51">
        <v>224.29</v>
      </c>
      <c r="J520" s="281">
        <f>++Tabla4[[#This Row],[Precio Bruto]]*1.16</f>
        <v>260.1764</v>
      </c>
      <c r="K520" s="281">
        <f>+Tabla4[[#This Row],[Precio Unitario Neto]]*Tabla4[[#Headers],[20.85%]]</f>
        <v>54.246779400000001</v>
      </c>
      <c r="L520" s="282">
        <f>++Tabla4[[#This Row],[Precio Unitario Neto]]-Tabla4[[#This Row],[20.85%]]</f>
        <v>205.92962059999999</v>
      </c>
      <c r="M520" s="282" t="e">
        <f>(INDEX(Tabla6[#All],MATCH(Tabla4[[#This Row],[Producto]],Tabla6[[#All],[PRODUCTO]],0),MATCH(Tabla4[[#This Row],[Mes]],Tabla6[#Headers],0)))*(1+Catalogos!$L$2)</f>
        <v>#N/A</v>
      </c>
      <c r="N520" s="283" t="e">
        <f>+(Tabla4[[#This Row],[Precio Descontado]]-Tabla4[[#This Row],[Precio Base]])*Tabla4[[#This Row],[Cantidad]]</f>
        <v>#N/A</v>
      </c>
      <c r="O520" s="284" t="e">
        <f>++Tabla4[[#This Row],[Utilidad Total]]/Tabla4[[#This Row],[Total]]</f>
        <v>#N/A</v>
      </c>
      <c r="P520" s="282">
        <f>++Tabla4[[#This Row],[Precio Descontado]]*Tabla4[[#This Row],[Cantidad]]</f>
        <v>6589.7478591999998</v>
      </c>
      <c r="Q520" s="282" t="e">
        <f>(INDEX(Tabla6[#All],MATCH(Tabla4[[#This Row],[Producto]],Tabla6[[#All],[PRODUCTO]],0),MATCH(Tabla4[[#This Row],[Mes]],Tabla6[#Headers],0)))</f>
        <v>#N/A</v>
      </c>
      <c r="R520" s="282" t="e">
        <f>++Tabla4[[#This Row],[Precio Unitario Neto]]-Tabla4[[#This Row],[20.85%]]-Tabla4[[#This Row],[Costo]]</f>
        <v>#N/A</v>
      </c>
      <c r="S520" s="282" t="e">
        <f>++Tabla4[[#This Row],[U. Bruta Uni]]*Tabla4[[#This Row],[Cantidad]]</f>
        <v>#N/A</v>
      </c>
      <c r="T520" s="369" t="str">
        <f>VLOOKUP(Tabla4[[#This Row],[Producto]],Tabla6[#All],14,FALSE)</f>
        <v>Termico Solar</v>
      </c>
      <c r="U520" s="284" t="e">
        <f>(IF(Tabla4[[#This Row],[Familia]]="termico solar",Tabla4[[#This Row],[Utilidad Total]]*6%,Tabla4[[#This Row],[Utilidad Total]]*11.5%))/Tabla4[[#This Row],[Total]]</f>
        <v>#N/A</v>
      </c>
      <c r="V520" s="282" t="e">
        <f>+Tabla4[[#This Row],[Comisión Calculada]]*Tabla4[[#This Row],[Total]]</f>
        <v>#N/A</v>
      </c>
    </row>
    <row r="521" spans="1:22" hidden="1" x14ac:dyDescent="0.25">
      <c r="A521" s="100">
        <v>45703</v>
      </c>
      <c r="B521" t="str">
        <f t="shared" si="19"/>
        <v>February</v>
      </c>
      <c r="C521" s="46" t="s">
        <v>280</v>
      </c>
      <c r="F521" s="366" t="s">
        <v>934</v>
      </c>
      <c r="G521" s="46" t="s">
        <v>200</v>
      </c>
      <c r="H521" s="46">
        <v>12</v>
      </c>
      <c r="I521" s="51">
        <v>393.22</v>
      </c>
      <c r="J521" s="281">
        <f>++Tabla4[[#This Row],[Precio Bruto]]*1.16</f>
        <v>456.1352</v>
      </c>
      <c r="K521" s="281">
        <f>+Tabla4[[#This Row],[Precio Unitario Neto]]*Tabla4[[#Headers],[20.85%]]</f>
        <v>95.104189199999993</v>
      </c>
      <c r="L521" s="282">
        <f>++Tabla4[[#This Row],[Precio Unitario Neto]]-Tabla4[[#This Row],[20.85%]]</f>
        <v>361.03101079999999</v>
      </c>
      <c r="M521" s="282" t="e">
        <f>(INDEX(Tabla6[#All],MATCH(Tabla4[[#This Row],[Producto]],Tabla6[[#All],[PRODUCTO]],0),MATCH(Tabla4[[#This Row],[Mes]],Tabla6[#Headers],0)))*(1+Catalogos!$L$2)</f>
        <v>#N/A</v>
      </c>
      <c r="N521" s="283" t="e">
        <f>+(Tabla4[[#This Row],[Precio Descontado]]-Tabla4[[#This Row],[Precio Base]])*Tabla4[[#This Row],[Cantidad]]</f>
        <v>#N/A</v>
      </c>
      <c r="O521" s="284" t="e">
        <f>++Tabla4[[#This Row],[Utilidad Total]]/Tabla4[[#This Row],[Total]]</f>
        <v>#N/A</v>
      </c>
      <c r="P521" s="282">
        <f>++Tabla4[[#This Row],[Precio Descontado]]*Tabla4[[#This Row],[Cantidad]]</f>
        <v>4332.3721296000003</v>
      </c>
      <c r="Q521" s="282" t="e">
        <f>(INDEX(Tabla6[#All],MATCH(Tabla4[[#This Row],[Producto]],Tabla6[[#All],[PRODUCTO]],0),MATCH(Tabla4[[#This Row],[Mes]],Tabla6[#Headers],0)))</f>
        <v>#N/A</v>
      </c>
      <c r="R521" s="282" t="e">
        <f>++Tabla4[[#This Row],[Precio Unitario Neto]]-Tabla4[[#This Row],[20.85%]]-Tabla4[[#This Row],[Costo]]</f>
        <v>#N/A</v>
      </c>
      <c r="S521" s="282" t="e">
        <f>++Tabla4[[#This Row],[U. Bruta Uni]]*Tabla4[[#This Row],[Cantidad]]</f>
        <v>#N/A</v>
      </c>
      <c r="T521" s="369" t="str">
        <f>VLOOKUP(Tabla4[[#This Row],[Producto]],Tabla6[#All],14,FALSE)</f>
        <v>Termico Solar</v>
      </c>
      <c r="U521" s="284" t="e">
        <f>(IF(Tabla4[[#This Row],[Familia]]="termico solar",Tabla4[[#This Row],[Utilidad Total]]*6%,Tabla4[[#This Row],[Utilidad Total]]*11.5%))/Tabla4[[#This Row],[Total]]</f>
        <v>#N/A</v>
      </c>
      <c r="V521" s="282" t="e">
        <f>+Tabla4[[#This Row],[Comisión Calculada]]*Tabla4[[#This Row],[Total]]</f>
        <v>#N/A</v>
      </c>
    </row>
    <row r="522" spans="1:22" hidden="1" x14ac:dyDescent="0.25">
      <c r="A522" s="100">
        <v>45703</v>
      </c>
      <c r="B522" t="str">
        <f t="shared" si="19"/>
        <v>February</v>
      </c>
      <c r="C522" s="46" t="s">
        <v>280</v>
      </c>
      <c r="F522" s="366" t="s">
        <v>934</v>
      </c>
      <c r="G522" s="46" t="s">
        <v>545</v>
      </c>
      <c r="H522" s="46">
        <v>24</v>
      </c>
      <c r="I522" s="51">
        <v>304.32</v>
      </c>
      <c r="J522" s="281">
        <f>++Tabla4[[#This Row],[Precio Bruto]]*1.16</f>
        <v>353.01119999999997</v>
      </c>
      <c r="K522" s="281">
        <f>+Tabla4[[#This Row],[Precio Unitario Neto]]*Tabla4[[#Headers],[20.85%]]</f>
        <v>73.602835199999987</v>
      </c>
      <c r="L522" s="282">
        <f>++Tabla4[[#This Row],[Precio Unitario Neto]]-Tabla4[[#This Row],[20.85%]]</f>
        <v>279.40836479999996</v>
      </c>
      <c r="M522" s="282" t="e">
        <f>(INDEX(Tabla6[#All],MATCH(Tabla4[[#This Row],[Producto]],Tabla6[[#All],[PRODUCTO]],0),MATCH(Tabla4[[#This Row],[Mes]],Tabla6[#Headers],0)))*(1+Catalogos!$L$2)</f>
        <v>#N/A</v>
      </c>
      <c r="N522" s="283" t="e">
        <f>+(Tabla4[[#This Row],[Precio Descontado]]-Tabla4[[#This Row],[Precio Base]])*Tabla4[[#This Row],[Cantidad]]</f>
        <v>#N/A</v>
      </c>
      <c r="O522" s="284" t="e">
        <f>++Tabla4[[#This Row],[Utilidad Total]]/Tabla4[[#This Row],[Total]]</f>
        <v>#N/A</v>
      </c>
      <c r="P522" s="282">
        <f>++Tabla4[[#This Row],[Precio Descontado]]*Tabla4[[#This Row],[Cantidad]]</f>
        <v>6705.800755199999</v>
      </c>
      <c r="Q522" s="282" t="e">
        <f>(INDEX(Tabla6[#All],MATCH(Tabla4[[#This Row],[Producto]],Tabla6[[#All],[PRODUCTO]],0),MATCH(Tabla4[[#This Row],[Mes]],Tabla6[#Headers],0)))</f>
        <v>#N/A</v>
      </c>
      <c r="R522" s="282" t="e">
        <f>++Tabla4[[#This Row],[Precio Unitario Neto]]-Tabla4[[#This Row],[20.85%]]-Tabla4[[#This Row],[Costo]]</f>
        <v>#N/A</v>
      </c>
      <c r="S522" s="282" t="e">
        <f>++Tabla4[[#This Row],[U. Bruta Uni]]*Tabla4[[#This Row],[Cantidad]]</f>
        <v>#N/A</v>
      </c>
      <c r="T522" s="369" t="str">
        <f>VLOOKUP(Tabla4[[#This Row],[Producto]],Tabla6[#All],14,FALSE)</f>
        <v>Termico Solar</v>
      </c>
      <c r="U522" s="284" t="e">
        <f>(IF(Tabla4[[#This Row],[Familia]]="termico solar",Tabla4[[#This Row],[Utilidad Total]]*6%,Tabla4[[#This Row],[Utilidad Total]]*11.5%))/Tabla4[[#This Row],[Total]]</f>
        <v>#N/A</v>
      </c>
      <c r="V522" s="282" t="e">
        <f>+Tabla4[[#This Row],[Comisión Calculada]]*Tabla4[[#This Row],[Total]]</f>
        <v>#N/A</v>
      </c>
    </row>
    <row r="523" spans="1:22" hidden="1" x14ac:dyDescent="0.25">
      <c r="A523" s="100">
        <v>45703</v>
      </c>
      <c r="B523" t="str">
        <f t="shared" si="19"/>
        <v>February</v>
      </c>
      <c r="C523" s="46" t="s">
        <v>280</v>
      </c>
      <c r="F523" s="366" t="s">
        <v>935</v>
      </c>
      <c r="G523" s="46" t="s">
        <v>83</v>
      </c>
      <c r="H523" s="46">
        <v>3</v>
      </c>
      <c r="I523" s="51">
        <v>8858.76</v>
      </c>
      <c r="J523" s="281">
        <f>++Tabla4[[#This Row],[Precio Bruto]]*1.16</f>
        <v>10276.161599999999</v>
      </c>
      <c r="K523" s="281">
        <f>+Tabla4[[#This Row],[Precio Unitario Neto]]*Tabla4[[#Headers],[20.85%]]</f>
        <v>2142.5796935999997</v>
      </c>
      <c r="L523" s="282">
        <f>++Tabla4[[#This Row],[Precio Unitario Neto]]-Tabla4[[#This Row],[20.85%]]</f>
        <v>8133.5819063999998</v>
      </c>
      <c r="M523" s="282" t="e">
        <f>(INDEX(Tabla6[#All],MATCH(Tabla4[[#This Row],[Producto]],Tabla6[[#All],[PRODUCTO]],0),MATCH(Tabla4[[#This Row],[Mes]],Tabla6[#Headers],0)))*(1+Catalogos!$L$2)</f>
        <v>#N/A</v>
      </c>
      <c r="N523" s="283" t="e">
        <f>+(Tabla4[[#This Row],[Precio Descontado]]-Tabla4[[#This Row],[Precio Base]])*Tabla4[[#This Row],[Cantidad]]</f>
        <v>#N/A</v>
      </c>
      <c r="O523" s="284" t="e">
        <f>++Tabla4[[#This Row],[Utilidad Total]]/Tabla4[[#This Row],[Total]]</f>
        <v>#N/A</v>
      </c>
      <c r="P523" s="282">
        <f>++Tabla4[[#This Row],[Precio Descontado]]*Tabla4[[#This Row],[Cantidad]]</f>
        <v>24400.7457192</v>
      </c>
      <c r="Q523" s="282" t="e">
        <f>(INDEX(Tabla6[#All],MATCH(Tabla4[[#This Row],[Producto]],Tabla6[[#All],[PRODUCTO]],0),MATCH(Tabla4[[#This Row],[Mes]],Tabla6[#Headers],0)))</f>
        <v>#N/A</v>
      </c>
      <c r="R523" s="282" t="e">
        <f>++Tabla4[[#This Row],[Precio Unitario Neto]]-Tabla4[[#This Row],[20.85%]]-Tabla4[[#This Row],[Costo]]</f>
        <v>#N/A</v>
      </c>
      <c r="S523" s="282" t="e">
        <f>++Tabla4[[#This Row],[U. Bruta Uni]]*Tabla4[[#This Row],[Cantidad]]</f>
        <v>#N/A</v>
      </c>
      <c r="T523" s="369" t="str">
        <f>VLOOKUP(Tabla4[[#This Row],[Producto]],Tabla6[#All],14,FALSE)</f>
        <v>Termico Solar</v>
      </c>
      <c r="U523" s="284" t="e">
        <f>(IF(Tabla4[[#This Row],[Familia]]="termico solar",Tabla4[[#This Row],[Utilidad Total]]*6%,Tabla4[[#This Row],[Utilidad Total]]*11.5%))/Tabla4[[#This Row],[Total]]</f>
        <v>#N/A</v>
      </c>
      <c r="V523" s="282" t="e">
        <f>+Tabla4[[#This Row],[Comisión Calculada]]*Tabla4[[#This Row],[Total]]</f>
        <v>#N/A</v>
      </c>
    </row>
    <row r="524" spans="1:22" hidden="1" x14ac:dyDescent="0.25">
      <c r="A524" s="100">
        <v>45703</v>
      </c>
      <c r="B524" t="str">
        <f t="shared" si="19"/>
        <v>February</v>
      </c>
      <c r="C524" s="46" t="s">
        <v>280</v>
      </c>
      <c r="F524" s="366" t="s">
        <v>935</v>
      </c>
      <c r="G524" s="46" t="s">
        <v>18</v>
      </c>
      <c r="H524" s="46">
        <v>1</v>
      </c>
      <c r="I524" s="51">
        <v>5367.65</v>
      </c>
      <c r="J524" s="281">
        <f>++Tabla4[[#This Row],[Precio Bruto]]*1.16</f>
        <v>6226.4739999999993</v>
      </c>
      <c r="K524" s="281">
        <f>+Tabla4[[#This Row],[Precio Unitario Neto]]*Tabla4[[#Headers],[20.85%]]</f>
        <v>1298.2198289999999</v>
      </c>
      <c r="L524" s="282">
        <f>++Tabla4[[#This Row],[Precio Unitario Neto]]-Tabla4[[#This Row],[20.85%]]</f>
        <v>4928.2541709999996</v>
      </c>
      <c r="M524" s="282" t="e">
        <f>(INDEX(Tabla6[#All],MATCH(Tabla4[[#This Row],[Producto]],Tabla6[[#All],[PRODUCTO]],0),MATCH(Tabla4[[#This Row],[Mes]],Tabla6[#Headers],0)))*(1+Catalogos!$L$2)</f>
        <v>#N/A</v>
      </c>
      <c r="N524" s="283" t="e">
        <f>+(Tabla4[[#This Row],[Precio Descontado]]-Tabla4[[#This Row],[Precio Base]])*Tabla4[[#This Row],[Cantidad]]</f>
        <v>#N/A</v>
      </c>
      <c r="O524" s="284" t="e">
        <f>++Tabla4[[#This Row],[Utilidad Total]]/Tabla4[[#This Row],[Total]]</f>
        <v>#N/A</v>
      </c>
      <c r="P524" s="282">
        <f>++Tabla4[[#This Row],[Precio Descontado]]*Tabla4[[#This Row],[Cantidad]]</f>
        <v>4928.2541709999996</v>
      </c>
      <c r="Q524" s="282" t="e">
        <f>(INDEX(Tabla6[#All],MATCH(Tabla4[[#This Row],[Producto]],Tabla6[[#All],[PRODUCTO]],0),MATCH(Tabla4[[#This Row],[Mes]],Tabla6[#Headers],0)))</f>
        <v>#N/A</v>
      </c>
      <c r="R524" s="282" t="e">
        <f>++Tabla4[[#This Row],[Precio Unitario Neto]]-Tabla4[[#This Row],[20.85%]]-Tabla4[[#This Row],[Costo]]</f>
        <v>#N/A</v>
      </c>
      <c r="S524" s="282" t="e">
        <f>++Tabla4[[#This Row],[U. Bruta Uni]]*Tabla4[[#This Row],[Cantidad]]</f>
        <v>#N/A</v>
      </c>
      <c r="T524" s="369" t="str">
        <f>VLOOKUP(Tabla4[[#This Row],[Producto]],Tabla6[#All],14,FALSE)</f>
        <v>Termico Solar</v>
      </c>
      <c r="U524" s="284" t="e">
        <f>(IF(Tabla4[[#This Row],[Familia]]="termico solar",Tabla4[[#This Row],[Utilidad Total]]*6%,Tabla4[[#This Row],[Utilidad Total]]*11.5%))/Tabla4[[#This Row],[Total]]</f>
        <v>#N/A</v>
      </c>
      <c r="V524" s="282" t="e">
        <f>+Tabla4[[#This Row],[Comisión Calculada]]*Tabla4[[#This Row],[Total]]</f>
        <v>#N/A</v>
      </c>
    </row>
    <row r="525" spans="1:22" hidden="1" x14ac:dyDescent="0.25">
      <c r="A525" s="100">
        <v>45703</v>
      </c>
      <c r="B525" t="str">
        <f t="shared" si="19"/>
        <v>February</v>
      </c>
      <c r="C525" s="46" t="s">
        <v>280</v>
      </c>
      <c r="F525" s="366" t="s">
        <v>936</v>
      </c>
      <c r="G525" s="46" t="s">
        <v>83</v>
      </c>
      <c r="H525" s="46">
        <v>2</v>
      </c>
      <c r="I525" s="51">
        <v>8858.76</v>
      </c>
      <c r="J525" s="281">
        <f>++Tabla4[[#This Row],[Precio Bruto]]*1.16</f>
        <v>10276.161599999999</v>
      </c>
      <c r="K525" s="281">
        <f>+Tabla4[[#This Row],[Precio Unitario Neto]]*Tabla4[[#Headers],[20.85%]]</f>
        <v>2142.5796935999997</v>
      </c>
      <c r="L525" s="282">
        <f>++Tabla4[[#This Row],[Precio Unitario Neto]]-Tabla4[[#This Row],[20.85%]]</f>
        <v>8133.5819063999998</v>
      </c>
      <c r="M525" s="282" t="e">
        <f>(INDEX(Tabla6[#All],MATCH(Tabla4[[#This Row],[Producto]],Tabla6[[#All],[PRODUCTO]],0),MATCH(Tabla4[[#This Row],[Mes]],Tabla6[#Headers],0)))*(1+Catalogos!$L$2)</f>
        <v>#N/A</v>
      </c>
      <c r="N525" s="283" t="e">
        <f>+(Tabla4[[#This Row],[Precio Descontado]]-Tabla4[[#This Row],[Precio Base]])*Tabla4[[#This Row],[Cantidad]]</f>
        <v>#N/A</v>
      </c>
      <c r="O525" s="284" t="e">
        <f>++Tabla4[[#This Row],[Utilidad Total]]/Tabla4[[#This Row],[Total]]</f>
        <v>#N/A</v>
      </c>
      <c r="P525" s="282">
        <f>++Tabla4[[#This Row],[Precio Descontado]]*Tabla4[[#This Row],[Cantidad]]</f>
        <v>16267.1638128</v>
      </c>
      <c r="Q525" s="282" t="e">
        <f>(INDEX(Tabla6[#All],MATCH(Tabla4[[#This Row],[Producto]],Tabla6[[#All],[PRODUCTO]],0),MATCH(Tabla4[[#This Row],[Mes]],Tabla6[#Headers],0)))</f>
        <v>#N/A</v>
      </c>
      <c r="R525" s="282" t="e">
        <f>++Tabla4[[#This Row],[Precio Unitario Neto]]-Tabla4[[#This Row],[20.85%]]-Tabla4[[#This Row],[Costo]]</f>
        <v>#N/A</v>
      </c>
      <c r="S525" s="282" t="e">
        <f>++Tabla4[[#This Row],[U. Bruta Uni]]*Tabla4[[#This Row],[Cantidad]]</f>
        <v>#N/A</v>
      </c>
      <c r="T525" s="369" t="str">
        <f>VLOOKUP(Tabla4[[#This Row],[Producto]],Tabla6[#All],14,FALSE)</f>
        <v>Termico Solar</v>
      </c>
      <c r="U525" s="284" t="e">
        <f>(IF(Tabla4[[#This Row],[Familia]]="termico solar",Tabla4[[#This Row],[Utilidad Total]]*6%,Tabla4[[#This Row],[Utilidad Total]]*11.5%))/Tabla4[[#This Row],[Total]]</f>
        <v>#N/A</v>
      </c>
      <c r="V525" s="282" t="e">
        <f>+Tabla4[[#This Row],[Comisión Calculada]]*Tabla4[[#This Row],[Total]]</f>
        <v>#N/A</v>
      </c>
    </row>
    <row r="526" spans="1:22" hidden="1" x14ac:dyDescent="0.25">
      <c r="A526" s="100">
        <v>45703</v>
      </c>
      <c r="B526" t="str">
        <f t="shared" si="19"/>
        <v>February</v>
      </c>
      <c r="C526" s="46" t="s">
        <v>280</v>
      </c>
      <c r="F526" s="366" t="s">
        <v>936</v>
      </c>
      <c r="G526" s="46" t="s">
        <v>17</v>
      </c>
      <c r="H526" s="46">
        <v>1</v>
      </c>
      <c r="I526" s="51">
        <v>4622.28</v>
      </c>
      <c r="J526" s="281">
        <f>++Tabla4[[#This Row],[Precio Bruto]]*1.16</f>
        <v>5361.8447999999989</v>
      </c>
      <c r="K526" s="281">
        <f>+Tabla4[[#This Row],[Precio Unitario Neto]]*Tabla4[[#Headers],[20.85%]]</f>
        <v>1117.9446407999997</v>
      </c>
      <c r="L526" s="282">
        <f>++Tabla4[[#This Row],[Precio Unitario Neto]]-Tabla4[[#This Row],[20.85%]]</f>
        <v>4243.9001591999995</v>
      </c>
      <c r="M526" s="282" t="e">
        <f>(INDEX(Tabla6[#All],MATCH(Tabla4[[#This Row],[Producto]],Tabla6[[#All],[PRODUCTO]],0),MATCH(Tabla4[[#This Row],[Mes]],Tabla6[#Headers],0)))*(1+Catalogos!$L$2)</f>
        <v>#N/A</v>
      </c>
      <c r="N526" s="283" t="e">
        <f>+(Tabla4[[#This Row],[Precio Descontado]]-Tabla4[[#This Row],[Precio Base]])*Tabla4[[#This Row],[Cantidad]]</f>
        <v>#N/A</v>
      </c>
      <c r="O526" s="284" t="e">
        <f>++Tabla4[[#This Row],[Utilidad Total]]/Tabla4[[#This Row],[Total]]</f>
        <v>#N/A</v>
      </c>
      <c r="P526" s="282">
        <f>++Tabla4[[#This Row],[Precio Descontado]]*Tabla4[[#This Row],[Cantidad]]</f>
        <v>4243.9001591999995</v>
      </c>
      <c r="Q526" s="282" t="e">
        <f>(INDEX(Tabla6[#All],MATCH(Tabla4[[#This Row],[Producto]],Tabla6[[#All],[PRODUCTO]],0),MATCH(Tabla4[[#This Row],[Mes]],Tabla6[#Headers],0)))</f>
        <v>#N/A</v>
      </c>
      <c r="R526" s="282" t="e">
        <f>++Tabla4[[#This Row],[Precio Unitario Neto]]-Tabla4[[#This Row],[20.85%]]-Tabla4[[#This Row],[Costo]]</f>
        <v>#N/A</v>
      </c>
      <c r="S526" s="282" t="e">
        <f>++Tabla4[[#This Row],[U. Bruta Uni]]*Tabla4[[#This Row],[Cantidad]]</f>
        <v>#N/A</v>
      </c>
      <c r="T526" s="369" t="str">
        <f>VLOOKUP(Tabla4[[#This Row],[Producto]],Tabla6[#All],14,FALSE)</f>
        <v>Termico Solar</v>
      </c>
      <c r="U526" s="284" t="e">
        <f>(IF(Tabla4[[#This Row],[Familia]]="termico solar",Tabla4[[#This Row],[Utilidad Total]]*6%,Tabla4[[#This Row],[Utilidad Total]]*11.5%))/Tabla4[[#This Row],[Total]]</f>
        <v>#N/A</v>
      </c>
      <c r="V526" s="282" t="e">
        <f>+Tabla4[[#This Row],[Comisión Calculada]]*Tabla4[[#This Row],[Total]]</f>
        <v>#N/A</v>
      </c>
    </row>
    <row r="527" spans="1:22" hidden="1" x14ac:dyDescent="0.25">
      <c r="A527" s="100">
        <v>45703</v>
      </c>
      <c r="B527" t="str">
        <f t="shared" si="19"/>
        <v>February</v>
      </c>
      <c r="C527" s="46" t="s">
        <v>280</v>
      </c>
      <c r="F527" s="366" t="s">
        <v>936</v>
      </c>
      <c r="G527" s="46" t="s">
        <v>412</v>
      </c>
      <c r="H527" s="46">
        <v>1</v>
      </c>
      <c r="I527" s="51">
        <v>3240.84</v>
      </c>
      <c r="J527" s="281">
        <f>++Tabla4[[#This Row],[Precio Bruto]]*1.16</f>
        <v>3759.3743999999997</v>
      </c>
      <c r="K527" s="281">
        <f>+Tabla4[[#This Row],[Precio Unitario Neto]]*Tabla4[[#Headers],[20.85%]]</f>
        <v>783.82956239999987</v>
      </c>
      <c r="L527" s="282">
        <f>++Tabla4[[#This Row],[Precio Unitario Neto]]-Tabla4[[#This Row],[20.85%]]</f>
        <v>2975.5448375999999</v>
      </c>
      <c r="M527" s="282" t="e">
        <f>(INDEX(Tabla6[#All],MATCH(Tabla4[[#This Row],[Producto]],Tabla6[[#All],[PRODUCTO]],0),MATCH(Tabla4[[#This Row],[Mes]],Tabla6[#Headers],0)))*(1+Catalogos!$L$2)</f>
        <v>#N/A</v>
      </c>
      <c r="N527" s="283" t="e">
        <f>+(Tabla4[[#This Row],[Precio Descontado]]-Tabla4[[#This Row],[Precio Base]])*Tabla4[[#This Row],[Cantidad]]</f>
        <v>#N/A</v>
      </c>
      <c r="O527" s="284" t="e">
        <f>++Tabla4[[#This Row],[Utilidad Total]]/Tabla4[[#This Row],[Total]]</f>
        <v>#N/A</v>
      </c>
      <c r="P527" s="282">
        <f>++Tabla4[[#This Row],[Precio Descontado]]*Tabla4[[#This Row],[Cantidad]]</f>
        <v>2975.5448375999999</v>
      </c>
      <c r="Q527" s="282" t="e">
        <f>(INDEX(Tabla6[#All],MATCH(Tabla4[[#This Row],[Producto]],Tabla6[[#All],[PRODUCTO]],0),MATCH(Tabla4[[#This Row],[Mes]],Tabla6[#Headers],0)))</f>
        <v>#N/A</v>
      </c>
      <c r="R527" s="282" t="e">
        <f>++Tabla4[[#This Row],[Precio Unitario Neto]]-Tabla4[[#This Row],[20.85%]]-Tabla4[[#This Row],[Costo]]</f>
        <v>#N/A</v>
      </c>
      <c r="S527" s="282" t="e">
        <f>++Tabla4[[#This Row],[U. Bruta Uni]]*Tabla4[[#This Row],[Cantidad]]</f>
        <v>#N/A</v>
      </c>
      <c r="T527" s="369" t="str">
        <f>VLOOKUP(Tabla4[[#This Row],[Producto]],Tabla6[#All],14,FALSE)</f>
        <v>Termico Solar</v>
      </c>
      <c r="U527" s="284" t="e">
        <f>(IF(Tabla4[[#This Row],[Familia]]="termico solar",Tabla4[[#This Row],[Utilidad Total]]*6%,Tabla4[[#This Row],[Utilidad Total]]*11.5%))/Tabla4[[#This Row],[Total]]</f>
        <v>#N/A</v>
      </c>
      <c r="V527" s="282" t="e">
        <f>+Tabla4[[#This Row],[Comisión Calculada]]*Tabla4[[#This Row],[Total]]</f>
        <v>#N/A</v>
      </c>
    </row>
    <row r="528" spans="1:22" hidden="1" x14ac:dyDescent="0.25">
      <c r="A528" s="100">
        <v>45703</v>
      </c>
      <c r="B528" t="str">
        <f t="shared" si="19"/>
        <v>February</v>
      </c>
      <c r="C528" s="46" t="s">
        <v>280</v>
      </c>
      <c r="F528" s="366" t="s">
        <v>937</v>
      </c>
      <c r="G528" s="46" t="s">
        <v>83</v>
      </c>
      <c r="H528" s="46">
        <v>4</v>
      </c>
      <c r="I528" s="51">
        <v>8858.76</v>
      </c>
      <c r="J528" s="281">
        <f>++Tabla4[[#This Row],[Precio Bruto]]*1.16</f>
        <v>10276.161599999999</v>
      </c>
      <c r="K528" s="281">
        <f>+Tabla4[[#This Row],[Precio Unitario Neto]]*Tabla4[[#Headers],[20.85%]]</f>
        <v>2142.5796935999997</v>
      </c>
      <c r="L528" s="282">
        <f>++Tabla4[[#This Row],[Precio Unitario Neto]]-Tabla4[[#This Row],[20.85%]]</f>
        <v>8133.5819063999998</v>
      </c>
      <c r="M528" s="282" t="e">
        <f>(INDEX(Tabla6[#All],MATCH(Tabla4[[#This Row],[Producto]],Tabla6[[#All],[PRODUCTO]],0),MATCH(Tabla4[[#This Row],[Mes]],Tabla6[#Headers],0)))*(1+Catalogos!$L$2)</f>
        <v>#N/A</v>
      </c>
      <c r="N528" s="283" t="e">
        <f>+(Tabla4[[#This Row],[Precio Descontado]]-Tabla4[[#This Row],[Precio Base]])*Tabla4[[#This Row],[Cantidad]]</f>
        <v>#N/A</v>
      </c>
      <c r="O528" s="284" t="e">
        <f>++Tabla4[[#This Row],[Utilidad Total]]/Tabla4[[#This Row],[Total]]</f>
        <v>#N/A</v>
      </c>
      <c r="P528" s="282">
        <f>++Tabla4[[#This Row],[Precio Descontado]]*Tabla4[[#This Row],[Cantidad]]</f>
        <v>32534.327625599999</v>
      </c>
      <c r="Q528" s="282" t="e">
        <f>(INDEX(Tabla6[#All],MATCH(Tabla4[[#This Row],[Producto]],Tabla6[[#All],[PRODUCTO]],0),MATCH(Tabla4[[#This Row],[Mes]],Tabla6[#Headers],0)))</f>
        <v>#N/A</v>
      </c>
      <c r="R528" s="282" t="e">
        <f>++Tabla4[[#This Row],[Precio Unitario Neto]]-Tabla4[[#This Row],[20.85%]]-Tabla4[[#This Row],[Costo]]</f>
        <v>#N/A</v>
      </c>
      <c r="S528" s="282" t="e">
        <f>++Tabla4[[#This Row],[U. Bruta Uni]]*Tabla4[[#This Row],[Cantidad]]</f>
        <v>#N/A</v>
      </c>
      <c r="T528" s="369" t="str">
        <f>VLOOKUP(Tabla4[[#This Row],[Producto]],Tabla6[#All],14,FALSE)</f>
        <v>Termico Solar</v>
      </c>
      <c r="U528" s="284" t="e">
        <f>(IF(Tabla4[[#This Row],[Familia]]="termico solar",Tabla4[[#This Row],[Utilidad Total]]*6%,Tabla4[[#This Row],[Utilidad Total]]*11.5%))/Tabla4[[#This Row],[Total]]</f>
        <v>#N/A</v>
      </c>
      <c r="V528" s="282" t="e">
        <f>+Tabla4[[#This Row],[Comisión Calculada]]*Tabla4[[#This Row],[Total]]</f>
        <v>#N/A</v>
      </c>
    </row>
    <row r="529" spans="1:22" hidden="1" x14ac:dyDescent="0.25">
      <c r="A529" s="100">
        <v>45703</v>
      </c>
      <c r="B529" t="str">
        <f t="shared" si="19"/>
        <v>February</v>
      </c>
      <c r="C529" s="46" t="s">
        <v>280</v>
      </c>
      <c r="F529" s="366" t="s">
        <v>937</v>
      </c>
      <c r="G529" s="46" t="s">
        <v>17</v>
      </c>
      <c r="H529" s="46">
        <v>4</v>
      </c>
      <c r="I529" s="51">
        <v>4622.28</v>
      </c>
      <c r="J529" s="281">
        <f>++Tabla4[[#This Row],[Precio Bruto]]*1.16</f>
        <v>5361.8447999999989</v>
      </c>
      <c r="K529" s="281">
        <f>+Tabla4[[#This Row],[Precio Unitario Neto]]*Tabla4[[#Headers],[20.85%]]</f>
        <v>1117.9446407999997</v>
      </c>
      <c r="L529" s="282">
        <f>++Tabla4[[#This Row],[Precio Unitario Neto]]-Tabla4[[#This Row],[20.85%]]</f>
        <v>4243.9001591999995</v>
      </c>
      <c r="M529" s="282" t="e">
        <f>(INDEX(Tabla6[#All],MATCH(Tabla4[[#This Row],[Producto]],Tabla6[[#All],[PRODUCTO]],0),MATCH(Tabla4[[#This Row],[Mes]],Tabla6[#Headers],0)))*(1+Catalogos!$L$2)</f>
        <v>#N/A</v>
      </c>
      <c r="N529" s="283" t="e">
        <f>+(Tabla4[[#This Row],[Precio Descontado]]-Tabla4[[#This Row],[Precio Base]])*Tabla4[[#This Row],[Cantidad]]</f>
        <v>#N/A</v>
      </c>
      <c r="O529" s="284" t="e">
        <f>++Tabla4[[#This Row],[Utilidad Total]]/Tabla4[[#This Row],[Total]]</f>
        <v>#N/A</v>
      </c>
      <c r="P529" s="282">
        <f>++Tabla4[[#This Row],[Precio Descontado]]*Tabla4[[#This Row],[Cantidad]]</f>
        <v>16975.600636799998</v>
      </c>
      <c r="Q529" s="282" t="e">
        <f>(INDEX(Tabla6[#All],MATCH(Tabla4[[#This Row],[Producto]],Tabla6[[#All],[PRODUCTO]],0),MATCH(Tabla4[[#This Row],[Mes]],Tabla6[#Headers],0)))</f>
        <v>#N/A</v>
      </c>
      <c r="R529" s="282" t="e">
        <f>++Tabla4[[#This Row],[Precio Unitario Neto]]-Tabla4[[#This Row],[20.85%]]-Tabla4[[#This Row],[Costo]]</f>
        <v>#N/A</v>
      </c>
      <c r="S529" s="282" t="e">
        <f>++Tabla4[[#This Row],[U. Bruta Uni]]*Tabla4[[#This Row],[Cantidad]]</f>
        <v>#N/A</v>
      </c>
      <c r="T529" s="369" t="str">
        <f>VLOOKUP(Tabla4[[#This Row],[Producto]],Tabla6[#All],14,FALSE)</f>
        <v>Termico Solar</v>
      </c>
      <c r="U529" s="284" t="e">
        <f>(IF(Tabla4[[#This Row],[Familia]]="termico solar",Tabla4[[#This Row],[Utilidad Total]]*6%,Tabla4[[#This Row],[Utilidad Total]]*11.5%))/Tabla4[[#This Row],[Total]]</f>
        <v>#N/A</v>
      </c>
      <c r="V529" s="282" t="e">
        <f>+Tabla4[[#This Row],[Comisión Calculada]]*Tabla4[[#This Row],[Total]]</f>
        <v>#N/A</v>
      </c>
    </row>
    <row r="530" spans="1:22" hidden="1" x14ac:dyDescent="0.25">
      <c r="A530" s="100">
        <v>45703</v>
      </c>
      <c r="B530" t="str">
        <f t="shared" si="19"/>
        <v>February</v>
      </c>
      <c r="C530" s="46" t="s">
        <v>280</v>
      </c>
      <c r="F530" s="366" t="s">
        <v>937</v>
      </c>
      <c r="G530" s="46" t="s">
        <v>18</v>
      </c>
      <c r="H530" s="46">
        <v>1</v>
      </c>
      <c r="I530" s="51">
        <v>5367.65</v>
      </c>
      <c r="J530" s="281">
        <f>++Tabla4[[#This Row],[Precio Bruto]]*1.16</f>
        <v>6226.4739999999993</v>
      </c>
      <c r="K530" s="281">
        <f>+Tabla4[[#This Row],[Precio Unitario Neto]]*Tabla4[[#Headers],[20.85%]]</f>
        <v>1298.2198289999999</v>
      </c>
      <c r="L530" s="282">
        <f>++Tabla4[[#This Row],[Precio Unitario Neto]]-Tabla4[[#This Row],[20.85%]]</f>
        <v>4928.2541709999996</v>
      </c>
      <c r="M530" s="282" t="e">
        <f>(INDEX(Tabla6[#All],MATCH(Tabla4[[#This Row],[Producto]],Tabla6[[#All],[PRODUCTO]],0),MATCH(Tabla4[[#This Row],[Mes]],Tabla6[#Headers],0)))*(1+Catalogos!$L$2)</f>
        <v>#N/A</v>
      </c>
      <c r="N530" s="283" t="e">
        <f>+(Tabla4[[#This Row],[Precio Descontado]]-Tabla4[[#This Row],[Precio Base]])*Tabla4[[#This Row],[Cantidad]]</f>
        <v>#N/A</v>
      </c>
      <c r="O530" s="284" t="e">
        <f>++Tabla4[[#This Row],[Utilidad Total]]/Tabla4[[#This Row],[Total]]</f>
        <v>#N/A</v>
      </c>
      <c r="P530" s="282">
        <f>++Tabla4[[#This Row],[Precio Descontado]]*Tabla4[[#This Row],[Cantidad]]</f>
        <v>4928.2541709999996</v>
      </c>
      <c r="Q530" s="282" t="e">
        <f>(INDEX(Tabla6[#All],MATCH(Tabla4[[#This Row],[Producto]],Tabla6[[#All],[PRODUCTO]],0),MATCH(Tabla4[[#This Row],[Mes]],Tabla6[#Headers],0)))</f>
        <v>#N/A</v>
      </c>
      <c r="R530" s="282" t="e">
        <f>++Tabla4[[#This Row],[Precio Unitario Neto]]-Tabla4[[#This Row],[20.85%]]-Tabla4[[#This Row],[Costo]]</f>
        <v>#N/A</v>
      </c>
      <c r="S530" s="282" t="e">
        <f>++Tabla4[[#This Row],[U. Bruta Uni]]*Tabla4[[#This Row],[Cantidad]]</f>
        <v>#N/A</v>
      </c>
      <c r="T530" s="369" t="str">
        <f>VLOOKUP(Tabla4[[#This Row],[Producto]],Tabla6[#All],14,FALSE)</f>
        <v>Termico Solar</v>
      </c>
      <c r="U530" s="284" t="e">
        <f>(IF(Tabla4[[#This Row],[Familia]]="termico solar",Tabla4[[#This Row],[Utilidad Total]]*6%,Tabla4[[#This Row],[Utilidad Total]]*11.5%))/Tabla4[[#This Row],[Total]]</f>
        <v>#N/A</v>
      </c>
      <c r="V530" s="282" t="e">
        <f>+Tabla4[[#This Row],[Comisión Calculada]]*Tabla4[[#This Row],[Total]]</f>
        <v>#N/A</v>
      </c>
    </row>
    <row r="531" spans="1:22" hidden="1" x14ac:dyDescent="0.25">
      <c r="A531" s="100">
        <v>45703</v>
      </c>
      <c r="B531" t="str">
        <f t="shared" si="19"/>
        <v>February</v>
      </c>
      <c r="C531" s="46" t="s">
        <v>280</v>
      </c>
      <c r="F531" s="366" t="s">
        <v>937</v>
      </c>
      <c r="G531" s="46" t="s">
        <v>394</v>
      </c>
      <c r="H531" s="46">
        <v>9</v>
      </c>
      <c r="I531" s="51">
        <v>108.1</v>
      </c>
      <c r="J531" s="281">
        <f>++Tabla4[[#This Row],[Precio Bruto]]*1.16</f>
        <v>125.39599999999999</v>
      </c>
      <c r="K531" s="281">
        <f>+Tabla4[[#This Row],[Precio Unitario Neto]]*Tabla4[[#Headers],[20.85%]]</f>
        <v>26.145065999999996</v>
      </c>
      <c r="L531" s="282">
        <f>++Tabla4[[#This Row],[Precio Unitario Neto]]-Tabla4[[#This Row],[20.85%]]</f>
        <v>99.250933999999987</v>
      </c>
      <c r="M531" s="282" t="e">
        <f>(INDEX(Tabla6[#All],MATCH(Tabla4[[#This Row],[Producto]],Tabla6[[#All],[PRODUCTO]],0),MATCH(Tabla4[[#This Row],[Mes]],Tabla6[#Headers],0)))*(1+Catalogos!$L$2)</f>
        <v>#N/A</v>
      </c>
      <c r="N531" s="283" t="e">
        <f>+(Tabla4[[#This Row],[Precio Descontado]]-Tabla4[[#This Row],[Precio Base]])*Tabla4[[#This Row],[Cantidad]]</f>
        <v>#N/A</v>
      </c>
      <c r="O531" s="284" t="e">
        <f>++Tabla4[[#This Row],[Utilidad Total]]/Tabla4[[#This Row],[Total]]</f>
        <v>#N/A</v>
      </c>
      <c r="P531" s="282">
        <f>++Tabla4[[#This Row],[Precio Descontado]]*Tabla4[[#This Row],[Cantidad]]</f>
        <v>893.25840599999992</v>
      </c>
      <c r="Q531" s="282" t="e">
        <f>(INDEX(Tabla6[#All],MATCH(Tabla4[[#This Row],[Producto]],Tabla6[[#All],[PRODUCTO]],0),MATCH(Tabla4[[#This Row],[Mes]],Tabla6[#Headers],0)))</f>
        <v>#N/A</v>
      </c>
      <c r="R531" s="282" t="e">
        <f>++Tabla4[[#This Row],[Precio Unitario Neto]]-Tabla4[[#This Row],[20.85%]]-Tabla4[[#This Row],[Costo]]</f>
        <v>#N/A</v>
      </c>
      <c r="S531" s="282" t="e">
        <f>++Tabla4[[#This Row],[U. Bruta Uni]]*Tabla4[[#This Row],[Cantidad]]</f>
        <v>#N/A</v>
      </c>
      <c r="T531" s="369" t="str">
        <f>VLOOKUP(Tabla4[[#This Row],[Producto]],Tabla6[#All],14,FALSE)</f>
        <v>Termico Solar</v>
      </c>
      <c r="U531" s="284" t="e">
        <f>(IF(Tabla4[[#This Row],[Familia]]="termico solar",Tabla4[[#This Row],[Utilidad Total]]*6%,Tabla4[[#This Row],[Utilidad Total]]*11.5%))/Tabla4[[#This Row],[Total]]</f>
        <v>#N/A</v>
      </c>
      <c r="V531" s="282" t="e">
        <f>+Tabla4[[#This Row],[Comisión Calculada]]*Tabla4[[#This Row],[Total]]</f>
        <v>#N/A</v>
      </c>
    </row>
    <row r="532" spans="1:22" hidden="1" x14ac:dyDescent="0.25">
      <c r="A532" s="100">
        <v>45703</v>
      </c>
      <c r="B532" t="str">
        <f t="shared" si="19"/>
        <v>February</v>
      </c>
      <c r="C532" s="46" t="s">
        <v>280</v>
      </c>
      <c r="F532" s="366" t="s">
        <v>938</v>
      </c>
      <c r="G532" s="46" t="s">
        <v>83</v>
      </c>
      <c r="H532" s="46">
        <v>2</v>
      </c>
      <c r="I532" s="51">
        <v>8858.76</v>
      </c>
      <c r="J532" s="281">
        <f>++Tabla4[[#This Row],[Precio Bruto]]*1.16</f>
        <v>10276.161599999999</v>
      </c>
      <c r="K532" s="281">
        <f>+Tabla4[[#This Row],[Precio Unitario Neto]]*Tabla4[[#Headers],[20.85%]]</f>
        <v>2142.5796935999997</v>
      </c>
      <c r="L532" s="282">
        <f>++Tabla4[[#This Row],[Precio Unitario Neto]]-Tabla4[[#This Row],[20.85%]]</f>
        <v>8133.5819063999998</v>
      </c>
      <c r="M532" s="282" t="e">
        <f>(INDEX(Tabla6[#All],MATCH(Tabla4[[#This Row],[Producto]],Tabla6[[#All],[PRODUCTO]],0),MATCH(Tabla4[[#This Row],[Mes]],Tabla6[#Headers],0)))*(1+Catalogos!$L$2)</f>
        <v>#N/A</v>
      </c>
      <c r="N532" s="283" t="e">
        <f>+(Tabla4[[#This Row],[Precio Descontado]]-Tabla4[[#This Row],[Precio Base]])*Tabla4[[#This Row],[Cantidad]]</f>
        <v>#N/A</v>
      </c>
      <c r="O532" s="284" t="e">
        <f>++Tabla4[[#This Row],[Utilidad Total]]/Tabla4[[#This Row],[Total]]</f>
        <v>#N/A</v>
      </c>
      <c r="P532" s="282">
        <f>++Tabla4[[#This Row],[Precio Descontado]]*Tabla4[[#This Row],[Cantidad]]</f>
        <v>16267.1638128</v>
      </c>
      <c r="Q532" s="282" t="e">
        <f>(INDEX(Tabla6[#All],MATCH(Tabla4[[#This Row],[Producto]],Tabla6[[#All],[PRODUCTO]],0),MATCH(Tabla4[[#This Row],[Mes]],Tabla6[#Headers],0)))</f>
        <v>#N/A</v>
      </c>
      <c r="R532" s="282" t="e">
        <f>++Tabla4[[#This Row],[Precio Unitario Neto]]-Tabla4[[#This Row],[20.85%]]-Tabla4[[#This Row],[Costo]]</f>
        <v>#N/A</v>
      </c>
      <c r="S532" s="282" t="e">
        <f>++Tabla4[[#This Row],[U. Bruta Uni]]*Tabla4[[#This Row],[Cantidad]]</f>
        <v>#N/A</v>
      </c>
      <c r="T532" s="369" t="str">
        <f>VLOOKUP(Tabla4[[#This Row],[Producto]],Tabla6[#All],14,FALSE)</f>
        <v>Termico Solar</v>
      </c>
      <c r="U532" s="284" t="e">
        <f>(IF(Tabla4[[#This Row],[Familia]]="termico solar",Tabla4[[#This Row],[Utilidad Total]]*6%,Tabla4[[#This Row],[Utilidad Total]]*11.5%))/Tabla4[[#This Row],[Total]]</f>
        <v>#N/A</v>
      </c>
      <c r="V532" s="282" t="e">
        <f>+Tabla4[[#This Row],[Comisión Calculada]]*Tabla4[[#This Row],[Total]]</f>
        <v>#N/A</v>
      </c>
    </row>
    <row r="533" spans="1:22" hidden="1" x14ac:dyDescent="0.25">
      <c r="A533" s="100">
        <v>45703</v>
      </c>
      <c r="B533" t="str">
        <f t="shared" si="19"/>
        <v>February</v>
      </c>
      <c r="C533" s="46" t="s">
        <v>280</v>
      </c>
      <c r="F533" s="366" t="s">
        <v>938</v>
      </c>
      <c r="G533" s="46" t="s">
        <v>18</v>
      </c>
      <c r="H533" s="46">
        <v>1</v>
      </c>
      <c r="I533" s="51">
        <v>5367.65</v>
      </c>
      <c r="J533" s="281">
        <f>++Tabla4[[#This Row],[Precio Bruto]]*1.16</f>
        <v>6226.4739999999993</v>
      </c>
      <c r="K533" s="281">
        <f>+Tabla4[[#This Row],[Precio Unitario Neto]]*Tabla4[[#Headers],[20.85%]]</f>
        <v>1298.2198289999999</v>
      </c>
      <c r="L533" s="282">
        <f>++Tabla4[[#This Row],[Precio Unitario Neto]]-Tabla4[[#This Row],[20.85%]]</f>
        <v>4928.2541709999996</v>
      </c>
      <c r="M533" s="282" t="e">
        <f>(INDEX(Tabla6[#All],MATCH(Tabla4[[#This Row],[Producto]],Tabla6[[#All],[PRODUCTO]],0),MATCH(Tabla4[[#This Row],[Mes]],Tabla6[#Headers],0)))*(1+Catalogos!$L$2)</f>
        <v>#N/A</v>
      </c>
      <c r="N533" s="283" t="e">
        <f>+(Tabla4[[#This Row],[Precio Descontado]]-Tabla4[[#This Row],[Precio Base]])*Tabla4[[#This Row],[Cantidad]]</f>
        <v>#N/A</v>
      </c>
      <c r="O533" s="284" t="e">
        <f>++Tabla4[[#This Row],[Utilidad Total]]/Tabla4[[#This Row],[Total]]</f>
        <v>#N/A</v>
      </c>
      <c r="P533" s="282">
        <f>++Tabla4[[#This Row],[Precio Descontado]]*Tabla4[[#This Row],[Cantidad]]</f>
        <v>4928.2541709999996</v>
      </c>
      <c r="Q533" s="282" t="e">
        <f>(INDEX(Tabla6[#All],MATCH(Tabla4[[#This Row],[Producto]],Tabla6[[#All],[PRODUCTO]],0),MATCH(Tabla4[[#This Row],[Mes]],Tabla6[#Headers],0)))</f>
        <v>#N/A</v>
      </c>
      <c r="R533" s="282" t="e">
        <f>++Tabla4[[#This Row],[Precio Unitario Neto]]-Tabla4[[#This Row],[20.85%]]-Tabla4[[#This Row],[Costo]]</f>
        <v>#N/A</v>
      </c>
      <c r="S533" s="282" t="e">
        <f>++Tabla4[[#This Row],[U. Bruta Uni]]*Tabla4[[#This Row],[Cantidad]]</f>
        <v>#N/A</v>
      </c>
      <c r="T533" s="369" t="str">
        <f>VLOOKUP(Tabla4[[#This Row],[Producto]],Tabla6[#All],14,FALSE)</f>
        <v>Termico Solar</v>
      </c>
      <c r="U533" s="284" t="e">
        <f>(IF(Tabla4[[#This Row],[Familia]]="termico solar",Tabla4[[#This Row],[Utilidad Total]]*6%,Tabla4[[#This Row],[Utilidad Total]]*11.5%))/Tabla4[[#This Row],[Total]]</f>
        <v>#N/A</v>
      </c>
      <c r="V533" s="282" t="e">
        <f>+Tabla4[[#This Row],[Comisión Calculada]]*Tabla4[[#This Row],[Total]]</f>
        <v>#N/A</v>
      </c>
    </row>
    <row r="534" spans="1:22" hidden="1" x14ac:dyDescent="0.25">
      <c r="A534" s="100">
        <v>45703</v>
      </c>
      <c r="B534" t="str">
        <f t="shared" si="19"/>
        <v>February</v>
      </c>
      <c r="C534" s="46" t="s">
        <v>280</v>
      </c>
      <c r="F534" s="366" t="s">
        <v>938</v>
      </c>
      <c r="G534" s="46" t="s">
        <v>566</v>
      </c>
      <c r="H534" s="46">
        <v>1</v>
      </c>
      <c r="I534" s="51">
        <v>2109.4499999999998</v>
      </c>
      <c r="J534" s="281">
        <f>++Tabla4[[#This Row],[Precio Bruto]]*1.16</f>
        <v>2446.9619999999995</v>
      </c>
      <c r="K534" s="281">
        <f>+Tabla4[[#This Row],[Precio Unitario Neto]]*Tabla4[[#Headers],[20.85%]]</f>
        <v>510.19157699999988</v>
      </c>
      <c r="L534" s="282">
        <f>++Tabla4[[#This Row],[Precio Unitario Neto]]-Tabla4[[#This Row],[20.85%]]</f>
        <v>1936.7704229999997</v>
      </c>
      <c r="M534" s="282" t="e">
        <f>(INDEX(Tabla6[#All],MATCH(Tabla4[[#This Row],[Producto]],Tabla6[[#All],[PRODUCTO]],0),MATCH(Tabla4[[#This Row],[Mes]],Tabla6[#Headers],0)))*(1+Catalogos!$L$2)</f>
        <v>#N/A</v>
      </c>
      <c r="N534" s="283" t="e">
        <f>+(Tabla4[[#This Row],[Precio Descontado]]-Tabla4[[#This Row],[Precio Base]])*Tabla4[[#This Row],[Cantidad]]</f>
        <v>#N/A</v>
      </c>
      <c r="O534" s="284" t="e">
        <f>++Tabla4[[#This Row],[Utilidad Total]]/Tabla4[[#This Row],[Total]]</f>
        <v>#N/A</v>
      </c>
      <c r="P534" s="282">
        <f>++Tabla4[[#This Row],[Precio Descontado]]*Tabla4[[#This Row],[Cantidad]]</f>
        <v>1936.7704229999997</v>
      </c>
      <c r="Q534" s="282" t="e">
        <f>(INDEX(Tabla6[#All],MATCH(Tabla4[[#This Row],[Producto]],Tabla6[[#All],[PRODUCTO]],0),MATCH(Tabla4[[#This Row],[Mes]],Tabla6[#Headers],0)))</f>
        <v>#N/A</v>
      </c>
      <c r="R534" s="282" t="e">
        <f>++Tabla4[[#This Row],[Precio Unitario Neto]]-Tabla4[[#This Row],[20.85%]]-Tabla4[[#This Row],[Costo]]</f>
        <v>#N/A</v>
      </c>
      <c r="S534" s="282" t="e">
        <f>++Tabla4[[#This Row],[U. Bruta Uni]]*Tabla4[[#This Row],[Cantidad]]</f>
        <v>#N/A</v>
      </c>
      <c r="T534" s="369" t="str">
        <f>VLOOKUP(Tabla4[[#This Row],[Producto]],Tabla6[#All],14,FALSE)</f>
        <v>Termico Solar</v>
      </c>
      <c r="U534" s="284" t="e">
        <f>(IF(Tabla4[[#This Row],[Familia]]="termico solar",Tabla4[[#This Row],[Utilidad Total]]*6%,Tabla4[[#This Row],[Utilidad Total]]*11.5%))/Tabla4[[#This Row],[Total]]</f>
        <v>#N/A</v>
      </c>
      <c r="V534" s="282" t="e">
        <f>+Tabla4[[#This Row],[Comisión Calculada]]*Tabla4[[#This Row],[Total]]</f>
        <v>#N/A</v>
      </c>
    </row>
    <row r="535" spans="1:22" hidden="1" x14ac:dyDescent="0.25">
      <c r="A535" s="100">
        <v>45703</v>
      </c>
      <c r="B535" t="str">
        <f t="shared" si="19"/>
        <v>February</v>
      </c>
      <c r="C535" s="46" t="s">
        <v>280</v>
      </c>
      <c r="F535" s="366" t="s">
        <v>939</v>
      </c>
      <c r="G535" s="46" t="s">
        <v>83</v>
      </c>
      <c r="H535" s="46">
        <v>4</v>
      </c>
      <c r="I535" s="51">
        <v>8858.76</v>
      </c>
      <c r="J535" s="281">
        <f>++Tabla4[[#This Row],[Precio Bruto]]*1.16</f>
        <v>10276.161599999999</v>
      </c>
      <c r="K535" s="281">
        <f>+Tabla4[[#This Row],[Precio Unitario Neto]]*Tabla4[[#Headers],[20.85%]]</f>
        <v>2142.5796935999997</v>
      </c>
      <c r="L535" s="282">
        <f>++Tabla4[[#This Row],[Precio Unitario Neto]]-Tabla4[[#This Row],[20.85%]]</f>
        <v>8133.5819063999998</v>
      </c>
      <c r="M535" s="282" t="e">
        <f>(INDEX(Tabla6[#All],MATCH(Tabla4[[#This Row],[Producto]],Tabla6[[#All],[PRODUCTO]],0),MATCH(Tabla4[[#This Row],[Mes]],Tabla6[#Headers],0)))*(1+Catalogos!$L$2)</f>
        <v>#N/A</v>
      </c>
      <c r="N535" s="283" t="e">
        <f>+(Tabla4[[#This Row],[Precio Descontado]]-Tabla4[[#This Row],[Precio Base]])*Tabla4[[#This Row],[Cantidad]]</f>
        <v>#N/A</v>
      </c>
      <c r="O535" s="284" t="e">
        <f>++Tabla4[[#This Row],[Utilidad Total]]/Tabla4[[#This Row],[Total]]</f>
        <v>#N/A</v>
      </c>
      <c r="P535" s="282">
        <f>++Tabla4[[#This Row],[Precio Descontado]]*Tabla4[[#This Row],[Cantidad]]</f>
        <v>32534.327625599999</v>
      </c>
      <c r="Q535" s="282" t="e">
        <f>(INDEX(Tabla6[#All],MATCH(Tabla4[[#This Row],[Producto]],Tabla6[[#All],[PRODUCTO]],0),MATCH(Tabla4[[#This Row],[Mes]],Tabla6[#Headers],0)))</f>
        <v>#N/A</v>
      </c>
      <c r="R535" s="282" t="e">
        <f>++Tabla4[[#This Row],[Precio Unitario Neto]]-Tabla4[[#This Row],[20.85%]]-Tabla4[[#This Row],[Costo]]</f>
        <v>#N/A</v>
      </c>
      <c r="S535" s="282" t="e">
        <f>++Tabla4[[#This Row],[U. Bruta Uni]]*Tabla4[[#This Row],[Cantidad]]</f>
        <v>#N/A</v>
      </c>
      <c r="T535" s="369" t="str">
        <f>VLOOKUP(Tabla4[[#This Row],[Producto]],Tabla6[#All],14,FALSE)</f>
        <v>Termico Solar</v>
      </c>
      <c r="U535" s="284" t="e">
        <f>(IF(Tabla4[[#This Row],[Familia]]="termico solar",Tabla4[[#This Row],[Utilidad Total]]*6%,Tabla4[[#This Row],[Utilidad Total]]*11.5%))/Tabla4[[#This Row],[Total]]</f>
        <v>#N/A</v>
      </c>
      <c r="V535" s="282" t="e">
        <f>+Tabla4[[#This Row],[Comisión Calculada]]*Tabla4[[#This Row],[Total]]</f>
        <v>#N/A</v>
      </c>
    </row>
    <row r="536" spans="1:22" hidden="1" x14ac:dyDescent="0.25">
      <c r="A536" s="100">
        <v>45703</v>
      </c>
      <c r="B536" t="str">
        <f t="shared" si="19"/>
        <v>February</v>
      </c>
      <c r="C536" s="46" t="s">
        <v>280</v>
      </c>
      <c r="F536" s="366" t="s">
        <v>939</v>
      </c>
      <c r="G536" s="46" t="s">
        <v>17</v>
      </c>
      <c r="H536" s="46">
        <v>5</v>
      </c>
      <c r="I536" s="51">
        <v>4622.2800000000007</v>
      </c>
      <c r="J536" s="281">
        <f>++Tabla4[[#This Row],[Precio Bruto]]*1.16</f>
        <v>5361.8448000000008</v>
      </c>
      <c r="K536" s="281">
        <f>+Tabla4[[#This Row],[Precio Unitario Neto]]*Tabla4[[#Headers],[20.85%]]</f>
        <v>1117.9446408000001</v>
      </c>
      <c r="L536" s="282">
        <f>++Tabla4[[#This Row],[Precio Unitario Neto]]-Tabla4[[#This Row],[20.85%]]</f>
        <v>4243.9001592000004</v>
      </c>
      <c r="M536" s="282" t="e">
        <f>(INDEX(Tabla6[#All],MATCH(Tabla4[[#This Row],[Producto]],Tabla6[[#All],[PRODUCTO]],0),MATCH(Tabla4[[#This Row],[Mes]],Tabla6[#Headers],0)))*(1+Catalogos!$L$2)</f>
        <v>#N/A</v>
      </c>
      <c r="N536" s="283" t="e">
        <f>+(Tabla4[[#This Row],[Precio Descontado]]-Tabla4[[#This Row],[Precio Base]])*Tabla4[[#This Row],[Cantidad]]</f>
        <v>#N/A</v>
      </c>
      <c r="O536" s="284" t="e">
        <f>++Tabla4[[#This Row],[Utilidad Total]]/Tabla4[[#This Row],[Total]]</f>
        <v>#N/A</v>
      </c>
      <c r="P536" s="282">
        <f>++Tabla4[[#This Row],[Precio Descontado]]*Tabla4[[#This Row],[Cantidad]]</f>
        <v>21219.500796</v>
      </c>
      <c r="Q536" s="282" t="e">
        <f>(INDEX(Tabla6[#All],MATCH(Tabla4[[#This Row],[Producto]],Tabla6[[#All],[PRODUCTO]],0),MATCH(Tabla4[[#This Row],[Mes]],Tabla6[#Headers],0)))</f>
        <v>#N/A</v>
      </c>
      <c r="R536" s="282" t="e">
        <f>++Tabla4[[#This Row],[Precio Unitario Neto]]-Tabla4[[#This Row],[20.85%]]-Tabla4[[#This Row],[Costo]]</f>
        <v>#N/A</v>
      </c>
      <c r="S536" s="282" t="e">
        <f>++Tabla4[[#This Row],[U. Bruta Uni]]*Tabla4[[#This Row],[Cantidad]]</f>
        <v>#N/A</v>
      </c>
      <c r="T536" s="369" t="str">
        <f>VLOOKUP(Tabla4[[#This Row],[Producto]],Tabla6[#All],14,FALSE)</f>
        <v>Termico Solar</v>
      </c>
      <c r="U536" s="284" t="e">
        <f>(IF(Tabla4[[#This Row],[Familia]]="termico solar",Tabla4[[#This Row],[Utilidad Total]]*6%,Tabla4[[#This Row],[Utilidad Total]]*11.5%))/Tabla4[[#This Row],[Total]]</f>
        <v>#N/A</v>
      </c>
      <c r="V536" s="282" t="e">
        <f>+Tabla4[[#This Row],[Comisión Calculada]]*Tabla4[[#This Row],[Total]]</f>
        <v>#N/A</v>
      </c>
    </row>
    <row r="537" spans="1:22" hidden="1" x14ac:dyDescent="0.25">
      <c r="A537" s="100">
        <v>45703</v>
      </c>
      <c r="B537" t="str">
        <f t="shared" si="19"/>
        <v>February</v>
      </c>
      <c r="C537" s="46" t="s">
        <v>280</v>
      </c>
      <c r="F537" s="366" t="s">
        <v>940</v>
      </c>
      <c r="G537" s="46" t="s">
        <v>83</v>
      </c>
      <c r="H537" s="46">
        <v>4</v>
      </c>
      <c r="I537" s="51">
        <v>8858.76</v>
      </c>
      <c r="J537" s="281">
        <f>++Tabla4[[#This Row],[Precio Bruto]]*1.16</f>
        <v>10276.161599999999</v>
      </c>
      <c r="K537" s="281">
        <f>+Tabla4[[#This Row],[Precio Unitario Neto]]*Tabla4[[#Headers],[20.85%]]</f>
        <v>2142.5796935999997</v>
      </c>
      <c r="L537" s="282">
        <f>++Tabla4[[#This Row],[Precio Unitario Neto]]-Tabla4[[#This Row],[20.85%]]</f>
        <v>8133.5819063999998</v>
      </c>
      <c r="M537" s="282" t="e">
        <f>(INDEX(Tabla6[#All],MATCH(Tabla4[[#This Row],[Producto]],Tabla6[[#All],[PRODUCTO]],0),MATCH(Tabla4[[#This Row],[Mes]],Tabla6[#Headers],0)))*(1+Catalogos!$L$2)</f>
        <v>#N/A</v>
      </c>
      <c r="N537" s="283" t="e">
        <f>+(Tabla4[[#This Row],[Precio Descontado]]-Tabla4[[#This Row],[Precio Base]])*Tabla4[[#This Row],[Cantidad]]</f>
        <v>#N/A</v>
      </c>
      <c r="O537" s="284" t="e">
        <f>++Tabla4[[#This Row],[Utilidad Total]]/Tabla4[[#This Row],[Total]]</f>
        <v>#N/A</v>
      </c>
      <c r="P537" s="282">
        <f>++Tabla4[[#This Row],[Precio Descontado]]*Tabla4[[#This Row],[Cantidad]]</f>
        <v>32534.327625599999</v>
      </c>
      <c r="Q537" s="282" t="e">
        <f>(INDEX(Tabla6[#All],MATCH(Tabla4[[#This Row],[Producto]],Tabla6[[#All],[PRODUCTO]],0),MATCH(Tabla4[[#This Row],[Mes]],Tabla6[#Headers],0)))</f>
        <v>#N/A</v>
      </c>
      <c r="R537" s="282" t="e">
        <f>++Tabla4[[#This Row],[Precio Unitario Neto]]-Tabla4[[#This Row],[20.85%]]-Tabla4[[#This Row],[Costo]]</f>
        <v>#N/A</v>
      </c>
      <c r="S537" s="282" t="e">
        <f>++Tabla4[[#This Row],[U. Bruta Uni]]*Tabla4[[#This Row],[Cantidad]]</f>
        <v>#N/A</v>
      </c>
      <c r="T537" s="369" t="str">
        <f>VLOOKUP(Tabla4[[#This Row],[Producto]],Tabla6[#All],14,FALSE)</f>
        <v>Termico Solar</v>
      </c>
      <c r="U537" s="284" t="e">
        <f>(IF(Tabla4[[#This Row],[Familia]]="termico solar",Tabla4[[#This Row],[Utilidad Total]]*6%,Tabla4[[#This Row],[Utilidad Total]]*11.5%))/Tabla4[[#This Row],[Total]]</f>
        <v>#N/A</v>
      </c>
      <c r="V537" s="282" t="e">
        <f>+Tabla4[[#This Row],[Comisión Calculada]]*Tabla4[[#This Row],[Total]]</f>
        <v>#N/A</v>
      </c>
    </row>
    <row r="538" spans="1:22" hidden="1" x14ac:dyDescent="0.25">
      <c r="A538" s="100">
        <v>45703</v>
      </c>
      <c r="B538" t="str">
        <f t="shared" si="19"/>
        <v>February</v>
      </c>
      <c r="C538" s="46" t="s">
        <v>280</v>
      </c>
      <c r="F538" s="366" t="s">
        <v>940</v>
      </c>
      <c r="G538" s="46" t="s">
        <v>17</v>
      </c>
      <c r="H538" s="46">
        <v>3</v>
      </c>
      <c r="I538" s="51">
        <v>4622.28</v>
      </c>
      <c r="J538" s="281">
        <f>++Tabla4[[#This Row],[Precio Bruto]]*1.16</f>
        <v>5361.8447999999989</v>
      </c>
      <c r="K538" s="281">
        <f>+Tabla4[[#This Row],[Precio Unitario Neto]]*Tabla4[[#Headers],[20.85%]]</f>
        <v>1117.9446407999997</v>
      </c>
      <c r="L538" s="282">
        <f>++Tabla4[[#This Row],[Precio Unitario Neto]]-Tabla4[[#This Row],[20.85%]]</f>
        <v>4243.9001591999995</v>
      </c>
      <c r="M538" s="282" t="e">
        <f>(INDEX(Tabla6[#All],MATCH(Tabla4[[#This Row],[Producto]],Tabla6[[#All],[PRODUCTO]],0),MATCH(Tabla4[[#This Row],[Mes]],Tabla6[#Headers],0)))*(1+Catalogos!$L$2)</f>
        <v>#N/A</v>
      </c>
      <c r="N538" s="283" t="e">
        <f>+(Tabla4[[#This Row],[Precio Descontado]]-Tabla4[[#This Row],[Precio Base]])*Tabla4[[#This Row],[Cantidad]]</f>
        <v>#N/A</v>
      </c>
      <c r="O538" s="284" t="e">
        <f>++Tabla4[[#This Row],[Utilidad Total]]/Tabla4[[#This Row],[Total]]</f>
        <v>#N/A</v>
      </c>
      <c r="P538" s="282">
        <f>++Tabla4[[#This Row],[Precio Descontado]]*Tabla4[[#This Row],[Cantidad]]</f>
        <v>12731.700477599999</v>
      </c>
      <c r="Q538" s="282" t="e">
        <f>(INDEX(Tabla6[#All],MATCH(Tabla4[[#This Row],[Producto]],Tabla6[[#All],[PRODUCTO]],0),MATCH(Tabla4[[#This Row],[Mes]],Tabla6[#Headers],0)))</f>
        <v>#N/A</v>
      </c>
      <c r="R538" s="282" t="e">
        <f>++Tabla4[[#This Row],[Precio Unitario Neto]]-Tabla4[[#This Row],[20.85%]]-Tabla4[[#This Row],[Costo]]</f>
        <v>#N/A</v>
      </c>
      <c r="S538" s="282" t="e">
        <f>++Tabla4[[#This Row],[U. Bruta Uni]]*Tabla4[[#This Row],[Cantidad]]</f>
        <v>#N/A</v>
      </c>
      <c r="T538" s="369" t="str">
        <f>VLOOKUP(Tabla4[[#This Row],[Producto]],Tabla6[#All],14,FALSE)</f>
        <v>Termico Solar</v>
      </c>
      <c r="U538" s="284" t="e">
        <f>(IF(Tabla4[[#This Row],[Familia]]="termico solar",Tabla4[[#This Row],[Utilidad Total]]*6%,Tabla4[[#This Row],[Utilidad Total]]*11.5%))/Tabla4[[#This Row],[Total]]</f>
        <v>#N/A</v>
      </c>
      <c r="V538" s="282" t="e">
        <f>+Tabla4[[#This Row],[Comisión Calculada]]*Tabla4[[#This Row],[Total]]</f>
        <v>#N/A</v>
      </c>
    </row>
    <row r="539" spans="1:22" hidden="1" x14ac:dyDescent="0.25">
      <c r="A539" s="100">
        <v>45703</v>
      </c>
      <c r="B539" t="str">
        <f t="shared" si="19"/>
        <v>February</v>
      </c>
      <c r="C539" s="46" t="s">
        <v>280</v>
      </c>
      <c r="F539" s="366" t="s">
        <v>940</v>
      </c>
      <c r="G539" s="46" t="s">
        <v>566</v>
      </c>
      <c r="H539" s="46">
        <v>1</v>
      </c>
      <c r="I539" s="51">
        <v>2109.4499999999998</v>
      </c>
      <c r="J539" s="281">
        <f>++Tabla4[[#This Row],[Precio Bruto]]*1.16</f>
        <v>2446.9619999999995</v>
      </c>
      <c r="K539" s="281">
        <f>+Tabla4[[#This Row],[Precio Unitario Neto]]*Tabla4[[#Headers],[20.85%]]</f>
        <v>510.19157699999988</v>
      </c>
      <c r="L539" s="282">
        <f>++Tabla4[[#This Row],[Precio Unitario Neto]]-Tabla4[[#This Row],[20.85%]]</f>
        <v>1936.7704229999997</v>
      </c>
      <c r="M539" s="282" t="e">
        <f>(INDEX(Tabla6[#All],MATCH(Tabla4[[#This Row],[Producto]],Tabla6[[#All],[PRODUCTO]],0),MATCH(Tabla4[[#This Row],[Mes]],Tabla6[#Headers],0)))*(1+Catalogos!$L$2)</f>
        <v>#N/A</v>
      </c>
      <c r="N539" s="283" t="e">
        <f>+(Tabla4[[#This Row],[Precio Descontado]]-Tabla4[[#This Row],[Precio Base]])*Tabla4[[#This Row],[Cantidad]]</f>
        <v>#N/A</v>
      </c>
      <c r="O539" s="284" t="e">
        <f>++Tabla4[[#This Row],[Utilidad Total]]/Tabla4[[#This Row],[Total]]</f>
        <v>#N/A</v>
      </c>
      <c r="P539" s="282">
        <f>++Tabla4[[#This Row],[Precio Descontado]]*Tabla4[[#This Row],[Cantidad]]</f>
        <v>1936.7704229999997</v>
      </c>
      <c r="Q539" s="282" t="e">
        <f>(INDEX(Tabla6[#All],MATCH(Tabla4[[#This Row],[Producto]],Tabla6[[#All],[PRODUCTO]],0),MATCH(Tabla4[[#This Row],[Mes]],Tabla6[#Headers],0)))</f>
        <v>#N/A</v>
      </c>
      <c r="R539" s="282" t="e">
        <f>++Tabla4[[#This Row],[Precio Unitario Neto]]-Tabla4[[#This Row],[20.85%]]-Tabla4[[#This Row],[Costo]]</f>
        <v>#N/A</v>
      </c>
      <c r="S539" s="282" t="e">
        <f>++Tabla4[[#This Row],[U. Bruta Uni]]*Tabla4[[#This Row],[Cantidad]]</f>
        <v>#N/A</v>
      </c>
      <c r="T539" s="369" t="str">
        <f>VLOOKUP(Tabla4[[#This Row],[Producto]],Tabla6[#All],14,FALSE)</f>
        <v>Termico Solar</v>
      </c>
      <c r="U539" s="284" t="e">
        <f>(IF(Tabla4[[#This Row],[Familia]]="termico solar",Tabla4[[#This Row],[Utilidad Total]]*6%,Tabla4[[#This Row],[Utilidad Total]]*11.5%))/Tabla4[[#This Row],[Total]]</f>
        <v>#N/A</v>
      </c>
      <c r="V539" s="282" t="e">
        <f>+Tabla4[[#This Row],[Comisión Calculada]]*Tabla4[[#This Row],[Total]]</f>
        <v>#N/A</v>
      </c>
    </row>
    <row r="540" spans="1:22" hidden="1" x14ac:dyDescent="0.25">
      <c r="A540" s="100">
        <v>45703</v>
      </c>
      <c r="B540" t="str">
        <f t="shared" si="19"/>
        <v>February</v>
      </c>
      <c r="C540" s="46" t="s">
        <v>280</v>
      </c>
      <c r="F540" s="366" t="s">
        <v>941</v>
      </c>
      <c r="G540" s="46" t="s">
        <v>83</v>
      </c>
      <c r="H540" s="46">
        <v>1</v>
      </c>
      <c r="I540" s="51">
        <v>8858.76</v>
      </c>
      <c r="J540" s="281">
        <f>++Tabla4[[#This Row],[Precio Bruto]]*1.16</f>
        <v>10276.161599999999</v>
      </c>
      <c r="K540" s="281">
        <f>+Tabla4[[#This Row],[Precio Unitario Neto]]*Tabla4[[#Headers],[20.85%]]</f>
        <v>2142.5796935999997</v>
      </c>
      <c r="L540" s="282">
        <f>++Tabla4[[#This Row],[Precio Unitario Neto]]-Tabla4[[#This Row],[20.85%]]</f>
        <v>8133.5819063999998</v>
      </c>
      <c r="M540" s="282" t="e">
        <f>(INDEX(Tabla6[#All],MATCH(Tabla4[[#This Row],[Producto]],Tabla6[[#All],[PRODUCTO]],0),MATCH(Tabla4[[#This Row],[Mes]],Tabla6[#Headers],0)))*(1+Catalogos!$L$2)</f>
        <v>#N/A</v>
      </c>
      <c r="N540" s="283" t="e">
        <f>+(Tabla4[[#This Row],[Precio Descontado]]-Tabla4[[#This Row],[Precio Base]])*Tabla4[[#This Row],[Cantidad]]</f>
        <v>#N/A</v>
      </c>
      <c r="O540" s="284" t="e">
        <f>++Tabla4[[#This Row],[Utilidad Total]]/Tabla4[[#This Row],[Total]]</f>
        <v>#N/A</v>
      </c>
      <c r="P540" s="282">
        <f>++Tabla4[[#This Row],[Precio Descontado]]*Tabla4[[#This Row],[Cantidad]]</f>
        <v>8133.5819063999998</v>
      </c>
      <c r="Q540" s="282" t="e">
        <f>(INDEX(Tabla6[#All],MATCH(Tabla4[[#This Row],[Producto]],Tabla6[[#All],[PRODUCTO]],0),MATCH(Tabla4[[#This Row],[Mes]],Tabla6[#Headers],0)))</f>
        <v>#N/A</v>
      </c>
      <c r="R540" s="282" t="e">
        <f>++Tabla4[[#This Row],[Precio Unitario Neto]]-Tabla4[[#This Row],[20.85%]]-Tabla4[[#This Row],[Costo]]</f>
        <v>#N/A</v>
      </c>
      <c r="S540" s="282" t="e">
        <f>++Tabla4[[#This Row],[U. Bruta Uni]]*Tabla4[[#This Row],[Cantidad]]</f>
        <v>#N/A</v>
      </c>
      <c r="T540" s="369" t="str">
        <f>VLOOKUP(Tabla4[[#This Row],[Producto]],Tabla6[#All],14,FALSE)</f>
        <v>Termico Solar</v>
      </c>
      <c r="U540" s="284" t="e">
        <f>(IF(Tabla4[[#This Row],[Familia]]="termico solar",Tabla4[[#This Row],[Utilidad Total]]*6%,Tabla4[[#This Row],[Utilidad Total]]*11.5%))/Tabla4[[#This Row],[Total]]</f>
        <v>#N/A</v>
      </c>
      <c r="V540" s="282" t="e">
        <f>+Tabla4[[#This Row],[Comisión Calculada]]*Tabla4[[#This Row],[Total]]</f>
        <v>#N/A</v>
      </c>
    </row>
    <row r="541" spans="1:22" hidden="1" x14ac:dyDescent="0.25">
      <c r="A541" s="100">
        <v>45703</v>
      </c>
      <c r="B541" t="str">
        <f t="shared" si="19"/>
        <v>February</v>
      </c>
      <c r="C541" s="46" t="s">
        <v>280</v>
      </c>
      <c r="F541" s="366" t="s">
        <v>941</v>
      </c>
      <c r="G541" s="46" t="s">
        <v>17</v>
      </c>
      <c r="H541" s="46">
        <v>3</v>
      </c>
      <c r="I541" s="51">
        <v>4622.28</v>
      </c>
      <c r="J541" s="281">
        <f>++Tabla4[[#This Row],[Precio Bruto]]*1.16</f>
        <v>5361.8447999999989</v>
      </c>
      <c r="K541" s="281">
        <f>+Tabla4[[#This Row],[Precio Unitario Neto]]*Tabla4[[#Headers],[20.85%]]</f>
        <v>1117.9446407999997</v>
      </c>
      <c r="L541" s="282">
        <f>++Tabla4[[#This Row],[Precio Unitario Neto]]-Tabla4[[#This Row],[20.85%]]</f>
        <v>4243.9001591999995</v>
      </c>
      <c r="M541" s="282" t="e">
        <f>(INDEX(Tabla6[#All],MATCH(Tabla4[[#This Row],[Producto]],Tabla6[[#All],[PRODUCTO]],0),MATCH(Tabla4[[#This Row],[Mes]],Tabla6[#Headers],0)))*(1+Catalogos!$L$2)</f>
        <v>#N/A</v>
      </c>
      <c r="N541" s="283" t="e">
        <f>+(Tabla4[[#This Row],[Precio Descontado]]-Tabla4[[#This Row],[Precio Base]])*Tabla4[[#This Row],[Cantidad]]</f>
        <v>#N/A</v>
      </c>
      <c r="O541" s="284" t="e">
        <f>++Tabla4[[#This Row],[Utilidad Total]]/Tabla4[[#This Row],[Total]]</f>
        <v>#N/A</v>
      </c>
      <c r="P541" s="282">
        <f>++Tabla4[[#This Row],[Precio Descontado]]*Tabla4[[#This Row],[Cantidad]]</f>
        <v>12731.700477599999</v>
      </c>
      <c r="Q541" s="282" t="e">
        <f>(INDEX(Tabla6[#All],MATCH(Tabla4[[#This Row],[Producto]],Tabla6[[#All],[PRODUCTO]],0),MATCH(Tabla4[[#This Row],[Mes]],Tabla6[#Headers],0)))</f>
        <v>#N/A</v>
      </c>
      <c r="R541" s="282" t="e">
        <f>++Tabla4[[#This Row],[Precio Unitario Neto]]-Tabla4[[#This Row],[20.85%]]-Tabla4[[#This Row],[Costo]]</f>
        <v>#N/A</v>
      </c>
      <c r="S541" s="282" t="e">
        <f>++Tabla4[[#This Row],[U. Bruta Uni]]*Tabla4[[#This Row],[Cantidad]]</f>
        <v>#N/A</v>
      </c>
      <c r="T541" s="369" t="str">
        <f>VLOOKUP(Tabla4[[#This Row],[Producto]],Tabla6[#All],14,FALSE)</f>
        <v>Termico Solar</v>
      </c>
      <c r="U541" s="284" t="e">
        <f>(IF(Tabla4[[#This Row],[Familia]]="termico solar",Tabla4[[#This Row],[Utilidad Total]]*6%,Tabla4[[#This Row],[Utilidad Total]]*11.5%))/Tabla4[[#This Row],[Total]]</f>
        <v>#N/A</v>
      </c>
      <c r="V541" s="282" t="e">
        <f>+Tabla4[[#This Row],[Comisión Calculada]]*Tabla4[[#This Row],[Total]]</f>
        <v>#N/A</v>
      </c>
    </row>
    <row r="542" spans="1:22" hidden="1" x14ac:dyDescent="0.25">
      <c r="A542" s="100">
        <v>45703</v>
      </c>
      <c r="B542" t="str">
        <f t="shared" si="19"/>
        <v>February</v>
      </c>
      <c r="C542" s="46" t="s">
        <v>280</v>
      </c>
      <c r="F542" s="366" t="s">
        <v>941</v>
      </c>
      <c r="G542" s="46" t="s">
        <v>566</v>
      </c>
      <c r="H542" s="46">
        <v>1</v>
      </c>
      <c r="I542" s="51">
        <v>2109.4499999999998</v>
      </c>
      <c r="J542" s="281">
        <f>++Tabla4[[#This Row],[Precio Bruto]]*1.16</f>
        <v>2446.9619999999995</v>
      </c>
      <c r="K542" s="281">
        <f>+Tabla4[[#This Row],[Precio Unitario Neto]]*Tabla4[[#Headers],[20.85%]]</f>
        <v>510.19157699999988</v>
      </c>
      <c r="L542" s="282">
        <f>++Tabla4[[#This Row],[Precio Unitario Neto]]-Tabla4[[#This Row],[20.85%]]</f>
        <v>1936.7704229999997</v>
      </c>
      <c r="M542" s="282" t="e">
        <f>(INDEX(Tabla6[#All],MATCH(Tabla4[[#This Row],[Producto]],Tabla6[[#All],[PRODUCTO]],0),MATCH(Tabla4[[#This Row],[Mes]],Tabla6[#Headers],0)))*(1+Catalogos!$L$2)</f>
        <v>#N/A</v>
      </c>
      <c r="N542" s="283" t="e">
        <f>+(Tabla4[[#This Row],[Precio Descontado]]-Tabla4[[#This Row],[Precio Base]])*Tabla4[[#This Row],[Cantidad]]</f>
        <v>#N/A</v>
      </c>
      <c r="O542" s="284" t="e">
        <f>++Tabla4[[#This Row],[Utilidad Total]]/Tabla4[[#This Row],[Total]]</f>
        <v>#N/A</v>
      </c>
      <c r="P542" s="282">
        <f>++Tabla4[[#This Row],[Precio Descontado]]*Tabla4[[#This Row],[Cantidad]]</f>
        <v>1936.7704229999997</v>
      </c>
      <c r="Q542" s="282" t="e">
        <f>(INDEX(Tabla6[#All],MATCH(Tabla4[[#This Row],[Producto]],Tabla6[[#All],[PRODUCTO]],0),MATCH(Tabla4[[#This Row],[Mes]],Tabla6[#Headers],0)))</f>
        <v>#N/A</v>
      </c>
      <c r="R542" s="282" t="e">
        <f>++Tabla4[[#This Row],[Precio Unitario Neto]]-Tabla4[[#This Row],[20.85%]]-Tabla4[[#This Row],[Costo]]</f>
        <v>#N/A</v>
      </c>
      <c r="S542" s="282" t="e">
        <f>++Tabla4[[#This Row],[U. Bruta Uni]]*Tabla4[[#This Row],[Cantidad]]</f>
        <v>#N/A</v>
      </c>
      <c r="T542" s="369" t="str">
        <f>VLOOKUP(Tabla4[[#This Row],[Producto]],Tabla6[#All],14,FALSE)</f>
        <v>Termico Solar</v>
      </c>
      <c r="U542" s="284" t="e">
        <f>(IF(Tabla4[[#This Row],[Familia]]="termico solar",Tabla4[[#This Row],[Utilidad Total]]*6%,Tabla4[[#This Row],[Utilidad Total]]*11.5%))/Tabla4[[#This Row],[Total]]</f>
        <v>#N/A</v>
      </c>
      <c r="V542" s="282" t="e">
        <f>+Tabla4[[#This Row],[Comisión Calculada]]*Tabla4[[#This Row],[Total]]</f>
        <v>#N/A</v>
      </c>
    </row>
    <row r="543" spans="1:22" hidden="1" x14ac:dyDescent="0.25">
      <c r="A543" s="100">
        <v>45703</v>
      </c>
      <c r="B543" t="str">
        <f t="shared" si="19"/>
        <v>February</v>
      </c>
      <c r="C543" s="46" t="s">
        <v>280</v>
      </c>
      <c r="F543" s="366" t="s">
        <v>941</v>
      </c>
      <c r="G543" s="46" t="s">
        <v>16</v>
      </c>
      <c r="H543" s="46">
        <v>1</v>
      </c>
      <c r="I543" s="51">
        <v>4103.8500000000004</v>
      </c>
      <c r="J543" s="281">
        <f>++Tabla4[[#This Row],[Precio Bruto]]*1.16</f>
        <v>4760.4660000000003</v>
      </c>
      <c r="K543" s="281">
        <f>+Tabla4[[#This Row],[Precio Unitario Neto]]*Tabla4[[#Headers],[20.85%]]</f>
        <v>992.55716100000006</v>
      </c>
      <c r="L543" s="282">
        <f>++Tabla4[[#This Row],[Precio Unitario Neto]]-Tabla4[[#This Row],[20.85%]]</f>
        <v>3767.9088390000002</v>
      </c>
      <c r="M543" s="282" t="e">
        <f>(INDEX(Tabla6[#All],MATCH(Tabla4[[#This Row],[Producto]],Tabla6[[#All],[PRODUCTO]],0),MATCH(Tabla4[[#This Row],[Mes]],Tabla6[#Headers],0)))*(1+Catalogos!$L$2)</f>
        <v>#N/A</v>
      </c>
      <c r="N543" s="283" t="e">
        <f>+(Tabla4[[#This Row],[Precio Descontado]]-Tabla4[[#This Row],[Precio Base]])*Tabla4[[#This Row],[Cantidad]]</f>
        <v>#N/A</v>
      </c>
      <c r="O543" s="284" t="e">
        <f>++Tabla4[[#This Row],[Utilidad Total]]/Tabla4[[#This Row],[Total]]</f>
        <v>#N/A</v>
      </c>
      <c r="P543" s="282">
        <f>++Tabla4[[#This Row],[Precio Descontado]]*Tabla4[[#This Row],[Cantidad]]</f>
        <v>3767.9088390000002</v>
      </c>
      <c r="Q543" s="282" t="e">
        <f>(INDEX(Tabla6[#All],MATCH(Tabla4[[#This Row],[Producto]],Tabla6[[#All],[PRODUCTO]],0),MATCH(Tabla4[[#This Row],[Mes]],Tabla6[#Headers],0)))</f>
        <v>#N/A</v>
      </c>
      <c r="R543" s="282" t="e">
        <f>++Tabla4[[#This Row],[Precio Unitario Neto]]-Tabla4[[#This Row],[20.85%]]-Tabla4[[#This Row],[Costo]]</f>
        <v>#N/A</v>
      </c>
      <c r="S543" s="282" t="e">
        <f>++Tabla4[[#This Row],[U. Bruta Uni]]*Tabla4[[#This Row],[Cantidad]]</f>
        <v>#N/A</v>
      </c>
      <c r="T543" s="369" t="str">
        <f>VLOOKUP(Tabla4[[#This Row],[Producto]],Tabla6[#All],14,FALSE)</f>
        <v>Termico Solar</v>
      </c>
      <c r="U543" s="284" t="e">
        <f>(IF(Tabla4[[#This Row],[Familia]]="termico solar",Tabla4[[#This Row],[Utilidad Total]]*6%,Tabla4[[#This Row],[Utilidad Total]]*11.5%))/Tabla4[[#This Row],[Total]]</f>
        <v>#N/A</v>
      </c>
      <c r="V543" s="282" t="e">
        <f>+Tabla4[[#This Row],[Comisión Calculada]]*Tabla4[[#This Row],[Total]]</f>
        <v>#N/A</v>
      </c>
    </row>
    <row r="544" spans="1:22" hidden="1" x14ac:dyDescent="0.25">
      <c r="A544" s="100">
        <v>45703</v>
      </c>
      <c r="B544" t="str">
        <f t="shared" si="19"/>
        <v>February</v>
      </c>
      <c r="C544" s="46" t="s">
        <v>280</v>
      </c>
      <c r="F544" s="366" t="s">
        <v>942</v>
      </c>
      <c r="G544" s="46" t="s">
        <v>83</v>
      </c>
      <c r="H544" s="46">
        <v>5</v>
      </c>
      <c r="I544" s="51">
        <v>8858.76</v>
      </c>
      <c r="J544" s="281">
        <f>++Tabla4[[#This Row],[Precio Bruto]]*1.16</f>
        <v>10276.161599999999</v>
      </c>
      <c r="K544" s="281">
        <f>+Tabla4[[#This Row],[Precio Unitario Neto]]*Tabla4[[#Headers],[20.85%]]</f>
        <v>2142.5796935999997</v>
      </c>
      <c r="L544" s="282">
        <f>++Tabla4[[#This Row],[Precio Unitario Neto]]-Tabla4[[#This Row],[20.85%]]</f>
        <v>8133.5819063999998</v>
      </c>
      <c r="M544" s="282" t="e">
        <f>(INDEX(Tabla6[#All],MATCH(Tabla4[[#This Row],[Producto]],Tabla6[[#All],[PRODUCTO]],0),MATCH(Tabla4[[#This Row],[Mes]],Tabla6[#Headers],0)))*(1+Catalogos!$L$2)</f>
        <v>#N/A</v>
      </c>
      <c r="N544" s="283" t="e">
        <f>+(Tabla4[[#This Row],[Precio Descontado]]-Tabla4[[#This Row],[Precio Base]])*Tabla4[[#This Row],[Cantidad]]</f>
        <v>#N/A</v>
      </c>
      <c r="O544" s="284" t="e">
        <f>++Tabla4[[#This Row],[Utilidad Total]]/Tabla4[[#This Row],[Total]]</f>
        <v>#N/A</v>
      </c>
      <c r="P544" s="282">
        <f>++Tabla4[[#This Row],[Precio Descontado]]*Tabla4[[#This Row],[Cantidad]]</f>
        <v>40667.909531999998</v>
      </c>
      <c r="Q544" s="282" t="e">
        <f>(INDEX(Tabla6[#All],MATCH(Tabla4[[#This Row],[Producto]],Tabla6[[#All],[PRODUCTO]],0),MATCH(Tabla4[[#This Row],[Mes]],Tabla6[#Headers],0)))</f>
        <v>#N/A</v>
      </c>
      <c r="R544" s="282" t="e">
        <f>++Tabla4[[#This Row],[Precio Unitario Neto]]-Tabla4[[#This Row],[20.85%]]-Tabla4[[#This Row],[Costo]]</f>
        <v>#N/A</v>
      </c>
      <c r="S544" s="282" t="e">
        <f>++Tabla4[[#This Row],[U. Bruta Uni]]*Tabla4[[#This Row],[Cantidad]]</f>
        <v>#N/A</v>
      </c>
      <c r="T544" s="369" t="str">
        <f>VLOOKUP(Tabla4[[#This Row],[Producto]],Tabla6[#All],14,FALSE)</f>
        <v>Termico Solar</v>
      </c>
      <c r="U544" s="284" t="e">
        <f>(IF(Tabla4[[#This Row],[Familia]]="termico solar",Tabla4[[#This Row],[Utilidad Total]]*6%,Tabla4[[#This Row],[Utilidad Total]]*11.5%))/Tabla4[[#This Row],[Total]]</f>
        <v>#N/A</v>
      </c>
      <c r="V544" s="282" t="e">
        <f>+Tabla4[[#This Row],[Comisión Calculada]]*Tabla4[[#This Row],[Total]]</f>
        <v>#N/A</v>
      </c>
    </row>
    <row r="545" spans="1:22" hidden="1" x14ac:dyDescent="0.25">
      <c r="A545" s="100">
        <v>45703</v>
      </c>
      <c r="B545" t="str">
        <f t="shared" si="19"/>
        <v>February</v>
      </c>
      <c r="C545" s="46" t="s">
        <v>280</v>
      </c>
      <c r="F545" s="366" t="s">
        <v>942</v>
      </c>
      <c r="G545" s="46" t="s">
        <v>17</v>
      </c>
      <c r="H545" s="46">
        <v>1</v>
      </c>
      <c r="I545" s="51">
        <v>4622.28</v>
      </c>
      <c r="J545" s="281">
        <f>++Tabla4[[#This Row],[Precio Bruto]]*1.16</f>
        <v>5361.8447999999989</v>
      </c>
      <c r="K545" s="281">
        <f>+Tabla4[[#This Row],[Precio Unitario Neto]]*Tabla4[[#Headers],[20.85%]]</f>
        <v>1117.9446407999997</v>
      </c>
      <c r="L545" s="282">
        <f>++Tabla4[[#This Row],[Precio Unitario Neto]]-Tabla4[[#This Row],[20.85%]]</f>
        <v>4243.9001591999995</v>
      </c>
      <c r="M545" s="282" t="e">
        <f>(INDEX(Tabla6[#All],MATCH(Tabla4[[#This Row],[Producto]],Tabla6[[#All],[PRODUCTO]],0),MATCH(Tabla4[[#This Row],[Mes]],Tabla6[#Headers],0)))*(1+Catalogos!$L$2)</f>
        <v>#N/A</v>
      </c>
      <c r="N545" s="283" t="e">
        <f>+(Tabla4[[#This Row],[Precio Descontado]]-Tabla4[[#This Row],[Precio Base]])*Tabla4[[#This Row],[Cantidad]]</f>
        <v>#N/A</v>
      </c>
      <c r="O545" s="284" t="e">
        <f>++Tabla4[[#This Row],[Utilidad Total]]/Tabla4[[#This Row],[Total]]</f>
        <v>#N/A</v>
      </c>
      <c r="P545" s="282">
        <f>++Tabla4[[#This Row],[Precio Descontado]]*Tabla4[[#This Row],[Cantidad]]</f>
        <v>4243.9001591999995</v>
      </c>
      <c r="Q545" s="282" t="e">
        <f>(INDEX(Tabla6[#All],MATCH(Tabla4[[#This Row],[Producto]],Tabla6[[#All],[PRODUCTO]],0),MATCH(Tabla4[[#This Row],[Mes]],Tabla6[#Headers],0)))</f>
        <v>#N/A</v>
      </c>
      <c r="R545" s="282" t="e">
        <f>++Tabla4[[#This Row],[Precio Unitario Neto]]-Tabla4[[#This Row],[20.85%]]-Tabla4[[#This Row],[Costo]]</f>
        <v>#N/A</v>
      </c>
      <c r="S545" s="282" t="e">
        <f>++Tabla4[[#This Row],[U. Bruta Uni]]*Tabla4[[#This Row],[Cantidad]]</f>
        <v>#N/A</v>
      </c>
      <c r="T545" s="369" t="str">
        <f>VLOOKUP(Tabla4[[#This Row],[Producto]],Tabla6[#All],14,FALSE)</f>
        <v>Termico Solar</v>
      </c>
      <c r="U545" s="284" t="e">
        <f>(IF(Tabla4[[#This Row],[Familia]]="termico solar",Tabla4[[#This Row],[Utilidad Total]]*6%,Tabla4[[#This Row],[Utilidad Total]]*11.5%))/Tabla4[[#This Row],[Total]]</f>
        <v>#N/A</v>
      </c>
      <c r="V545" s="282" t="e">
        <f>+Tabla4[[#This Row],[Comisión Calculada]]*Tabla4[[#This Row],[Total]]</f>
        <v>#N/A</v>
      </c>
    </row>
    <row r="546" spans="1:22" hidden="1" x14ac:dyDescent="0.25">
      <c r="A546" s="100">
        <v>45703</v>
      </c>
      <c r="B546" t="str">
        <f t="shared" si="19"/>
        <v>February</v>
      </c>
      <c r="C546" s="46" t="s">
        <v>280</v>
      </c>
      <c r="F546" s="366" t="s">
        <v>942</v>
      </c>
      <c r="G546" s="46" t="s">
        <v>16</v>
      </c>
      <c r="H546" s="46">
        <v>1</v>
      </c>
      <c r="I546" s="51">
        <v>4103.8500000000004</v>
      </c>
      <c r="J546" s="281">
        <f>++Tabla4[[#This Row],[Precio Bruto]]*1.16</f>
        <v>4760.4660000000003</v>
      </c>
      <c r="K546" s="281">
        <f>+Tabla4[[#This Row],[Precio Unitario Neto]]*Tabla4[[#Headers],[20.85%]]</f>
        <v>992.55716100000006</v>
      </c>
      <c r="L546" s="282">
        <f>++Tabla4[[#This Row],[Precio Unitario Neto]]-Tabla4[[#This Row],[20.85%]]</f>
        <v>3767.9088390000002</v>
      </c>
      <c r="M546" s="282" t="e">
        <f>(INDEX(Tabla6[#All],MATCH(Tabla4[[#This Row],[Producto]],Tabla6[[#All],[PRODUCTO]],0),MATCH(Tabla4[[#This Row],[Mes]],Tabla6[#Headers],0)))*(1+Catalogos!$L$2)</f>
        <v>#N/A</v>
      </c>
      <c r="N546" s="283" t="e">
        <f>+(Tabla4[[#This Row],[Precio Descontado]]-Tabla4[[#This Row],[Precio Base]])*Tabla4[[#This Row],[Cantidad]]</f>
        <v>#N/A</v>
      </c>
      <c r="O546" s="284" t="e">
        <f>++Tabla4[[#This Row],[Utilidad Total]]/Tabla4[[#This Row],[Total]]</f>
        <v>#N/A</v>
      </c>
      <c r="P546" s="282">
        <f>++Tabla4[[#This Row],[Precio Descontado]]*Tabla4[[#This Row],[Cantidad]]</f>
        <v>3767.9088390000002</v>
      </c>
      <c r="Q546" s="282" t="e">
        <f>(INDEX(Tabla6[#All],MATCH(Tabla4[[#This Row],[Producto]],Tabla6[[#All],[PRODUCTO]],0),MATCH(Tabla4[[#This Row],[Mes]],Tabla6[#Headers],0)))</f>
        <v>#N/A</v>
      </c>
      <c r="R546" s="282" t="e">
        <f>++Tabla4[[#This Row],[Precio Unitario Neto]]-Tabla4[[#This Row],[20.85%]]-Tabla4[[#This Row],[Costo]]</f>
        <v>#N/A</v>
      </c>
      <c r="S546" s="282" t="e">
        <f>++Tabla4[[#This Row],[U. Bruta Uni]]*Tabla4[[#This Row],[Cantidad]]</f>
        <v>#N/A</v>
      </c>
      <c r="T546" s="369" t="str">
        <f>VLOOKUP(Tabla4[[#This Row],[Producto]],Tabla6[#All],14,FALSE)</f>
        <v>Termico Solar</v>
      </c>
      <c r="U546" s="284" t="e">
        <f>(IF(Tabla4[[#This Row],[Familia]]="termico solar",Tabla4[[#This Row],[Utilidad Total]]*6%,Tabla4[[#This Row],[Utilidad Total]]*11.5%))/Tabla4[[#This Row],[Total]]</f>
        <v>#N/A</v>
      </c>
      <c r="V546" s="282" t="e">
        <f>+Tabla4[[#This Row],[Comisión Calculada]]*Tabla4[[#This Row],[Total]]</f>
        <v>#N/A</v>
      </c>
    </row>
    <row r="547" spans="1:22" hidden="1" x14ac:dyDescent="0.25">
      <c r="A547" s="100">
        <v>45703</v>
      </c>
      <c r="B547" t="str">
        <f t="shared" si="19"/>
        <v>February</v>
      </c>
      <c r="C547" s="46" t="s">
        <v>280</v>
      </c>
      <c r="F547" s="366" t="s">
        <v>943</v>
      </c>
      <c r="G547" s="46" t="s">
        <v>566</v>
      </c>
      <c r="H547" s="46">
        <v>2</v>
      </c>
      <c r="I547" s="51">
        <v>2109.4499999999998</v>
      </c>
      <c r="J547" s="281">
        <f>++Tabla4[[#This Row],[Precio Bruto]]*1.16</f>
        <v>2446.9619999999995</v>
      </c>
      <c r="K547" s="281">
        <f>+Tabla4[[#This Row],[Precio Unitario Neto]]*Tabla4[[#Headers],[20.85%]]</f>
        <v>510.19157699999988</v>
      </c>
      <c r="L547" s="282">
        <f>++Tabla4[[#This Row],[Precio Unitario Neto]]-Tabla4[[#This Row],[20.85%]]</f>
        <v>1936.7704229999997</v>
      </c>
      <c r="M547" s="282" t="e">
        <f>(INDEX(Tabla6[#All],MATCH(Tabla4[[#This Row],[Producto]],Tabla6[[#All],[PRODUCTO]],0),MATCH(Tabla4[[#This Row],[Mes]],Tabla6[#Headers],0)))*(1+Catalogos!$L$2)</f>
        <v>#N/A</v>
      </c>
      <c r="N547" s="283" t="e">
        <f>+(Tabla4[[#This Row],[Precio Descontado]]-Tabla4[[#This Row],[Precio Base]])*Tabla4[[#This Row],[Cantidad]]</f>
        <v>#N/A</v>
      </c>
      <c r="O547" s="284" t="e">
        <f>++Tabla4[[#This Row],[Utilidad Total]]/Tabla4[[#This Row],[Total]]</f>
        <v>#N/A</v>
      </c>
      <c r="P547" s="282">
        <f>++Tabla4[[#This Row],[Precio Descontado]]*Tabla4[[#This Row],[Cantidad]]</f>
        <v>3873.5408459999994</v>
      </c>
      <c r="Q547" s="282" t="e">
        <f>(INDEX(Tabla6[#All],MATCH(Tabla4[[#This Row],[Producto]],Tabla6[[#All],[PRODUCTO]],0),MATCH(Tabla4[[#This Row],[Mes]],Tabla6[#Headers],0)))</f>
        <v>#N/A</v>
      </c>
      <c r="R547" s="282" t="e">
        <f>++Tabla4[[#This Row],[Precio Unitario Neto]]-Tabla4[[#This Row],[20.85%]]-Tabla4[[#This Row],[Costo]]</f>
        <v>#N/A</v>
      </c>
      <c r="S547" s="282" t="e">
        <f>++Tabla4[[#This Row],[U. Bruta Uni]]*Tabla4[[#This Row],[Cantidad]]</f>
        <v>#N/A</v>
      </c>
      <c r="T547" s="369" t="str">
        <f>VLOOKUP(Tabla4[[#This Row],[Producto]],Tabla6[#All],14,FALSE)</f>
        <v>Termico Solar</v>
      </c>
      <c r="U547" s="284" t="e">
        <f>(IF(Tabla4[[#This Row],[Familia]]="termico solar",Tabla4[[#This Row],[Utilidad Total]]*6%,Tabla4[[#This Row],[Utilidad Total]]*11.5%))/Tabla4[[#This Row],[Total]]</f>
        <v>#N/A</v>
      </c>
      <c r="V547" s="282" t="e">
        <f>+Tabla4[[#This Row],[Comisión Calculada]]*Tabla4[[#This Row],[Total]]</f>
        <v>#N/A</v>
      </c>
    </row>
    <row r="548" spans="1:22" hidden="1" x14ac:dyDescent="0.25">
      <c r="A548" s="100">
        <v>45703</v>
      </c>
      <c r="B548" t="str">
        <f t="shared" si="19"/>
        <v>February</v>
      </c>
      <c r="C548" s="46" t="s">
        <v>280</v>
      </c>
      <c r="F548" s="366" t="s">
        <v>943</v>
      </c>
      <c r="G548" s="46" t="s">
        <v>16</v>
      </c>
      <c r="H548" s="46">
        <v>2</v>
      </c>
      <c r="I548" s="51">
        <v>4103.8500000000004</v>
      </c>
      <c r="J548" s="281">
        <f>++Tabla4[[#This Row],[Precio Bruto]]*1.16</f>
        <v>4760.4660000000003</v>
      </c>
      <c r="K548" s="281">
        <f>+Tabla4[[#This Row],[Precio Unitario Neto]]*Tabla4[[#Headers],[20.85%]]</f>
        <v>992.55716100000006</v>
      </c>
      <c r="L548" s="282">
        <f>++Tabla4[[#This Row],[Precio Unitario Neto]]-Tabla4[[#This Row],[20.85%]]</f>
        <v>3767.9088390000002</v>
      </c>
      <c r="M548" s="282" t="e">
        <f>(INDEX(Tabla6[#All],MATCH(Tabla4[[#This Row],[Producto]],Tabla6[[#All],[PRODUCTO]],0),MATCH(Tabla4[[#This Row],[Mes]],Tabla6[#Headers],0)))*(1+Catalogos!$L$2)</f>
        <v>#N/A</v>
      </c>
      <c r="N548" s="283" t="e">
        <f>+(Tabla4[[#This Row],[Precio Descontado]]-Tabla4[[#This Row],[Precio Base]])*Tabla4[[#This Row],[Cantidad]]</f>
        <v>#N/A</v>
      </c>
      <c r="O548" s="284" t="e">
        <f>++Tabla4[[#This Row],[Utilidad Total]]/Tabla4[[#This Row],[Total]]</f>
        <v>#N/A</v>
      </c>
      <c r="P548" s="282">
        <f>++Tabla4[[#This Row],[Precio Descontado]]*Tabla4[[#This Row],[Cantidad]]</f>
        <v>7535.8176780000003</v>
      </c>
      <c r="Q548" s="282" t="e">
        <f>(INDEX(Tabla6[#All],MATCH(Tabla4[[#This Row],[Producto]],Tabla6[[#All],[PRODUCTO]],0),MATCH(Tabla4[[#This Row],[Mes]],Tabla6[#Headers],0)))</f>
        <v>#N/A</v>
      </c>
      <c r="R548" s="282" t="e">
        <f>++Tabla4[[#This Row],[Precio Unitario Neto]]-Tabla4[[#This Row],[20.85%]]-Tabla4[[#This Row],[Costo]]</f>
        <v>#N/A</v>
      </c>
      <c r="S548" s="282" t="e">
        <f>++Tabla4[[#This Row],[U. Bruta Uni]]*Tabla4[[#This Row],[Cantidad]]</f>
        <v>#N/A</v>
      </c>
      <c r="T548" s="369" t="str">
        <f>VLOOKUP(Tabla4[[#This Row],[Producto]],Tabla6[#All],14,FALSE)</f>
        <v>Termico Solar</v>
      </c>
      <c r="U548" s="284" t="e">
        <f>(IF(Tabla4[[#This Row],[Familia]]="termico solar",Tabla4[[#This Row],[Utilidad Total]]*6%,Tabla4[[#This Row],[Utilidad Total]]*11.5%))/Tabla4[[#This Row],[Total]]</f>
        <v>#N/A</v>
      </c>
      <c r="V548" s="282" t="e">
        <f>+Tabla4[[#This Row],[Comisión Calculada]]*Tabla4[[#This Row],[Total]]</f>
        <v>#N/A</v>
      </c>
    </row>
    <row r="549" spans="1:22" hidden="1" x14ac:dyDescent="0.25">
      <c r="A549" s="100">
        <v>45703</v>
      </c>
      <c r="B549" t="str">
        <f t="shared" si="19"/>
        <v>February</v>
      </c>
      <c r="C549" s="46" t="s">
        <v>280</v>
      </c>
      <c r="F549" s="366" t="s">
        <v>944</v>
      </c>
      <c r="G549" s="46" t="s">
        <v>566</v>
      </c>
      <c r="H549" s="46">
        <v>1</v>
      </c>
      <c r="I549" s="51">
        <v>2109.4499999999998</v>
      </c>
      <c r="J549" s="281">
        <f>++Tabla4[[#This Row],[Precio Bruto]]*1.16</f>
        <v>2446.9619999999995</v>
      </c>
      <c r="K549" s="281">
        <f>+Tabla4[[#This Row],[Precio Unitario Neto]]*Tabla4[[#Headers],[20.85%]]</f>
        <v>510.19157699999988</v>
      </c>
      <c r="L549" s="282">
        <f>++Tabla4[[#This Row],[Precio Unitario Neto]]-Tabla4[[#This Row],[20.85%]]</f>
        <v>1936.7704229999997</v>
      </c>
      <c r="M549" s="282" t="e">
        <f>(INDEX(Tabla6[#All],MATCH(Tabla4[[#This Row],[Producto]],Tabla6[[#All],[PRODUCTO]],0),MATCH(Tabla4[[#This Row],[Mes]],Tabla6[#Headers],0)))*(1+Catalogos!$L$2)</f>
        <v>#N/A</v>
      </c>
      <c r="N549" s="283" t="e">
        <f>+(Tabla4[[#This Row],[Precio Descontado]]-Tabla4[[#This Row],[Precio Base]])*Tabla4[[#This Row],[Cantidad]]</f>
        <v>#N/A</v>
      </c>
      <c r="O549" s="284" t="e">
        <f>++Tabla4[[#This Row],[Utilidad Total]]/Tabla4[[#This Row],[Total]]</f>
        <v>#N/A</v>
      </c>
      <c r="P549" s="282">
        <f>++Tabla4[[#This Row],[Precio Descontado]]*Tabla4[[#This Row],[Cantidad]]</f>
        <v>1936.7704229999997</v>
      </c>
      <c r="Q549" s="282" t="e">
        <f>(INDEX(Tabla6[#All],MATCH(Tabla4[[#This Row],[Producto]],Tabla6[[#All],[PRODUCTO]],0),MATCH(Tabla4[[#This Row],[Mes]],Tabla6[#Headers],0)))</f>
        <v>#N/A</v>
      </c>
      <c r="R549" s="282" t="e">
        <f>++Tabla4[[#This Row],[Precio Unitario Neto]]-Tabla4[[#This Row],[20.85%]]-Tabla4[[#This Row],[Costo]]</f>
        <v>#N/A</v>
      </c>
      <c r="S549" s="282" t="e">
        <f>++Tabla4[[#This Row],[U. Bruta Uni]]*Tabla4[[#This Row],[Cantidad]]</f>
        <v>#N/A</v>
      </c>
      <c r="T549" s="369" t="str">
        <f>VLOOKUP(Tabla4[[#This Row],[Producto]],Tabla6[#All],14,FALSE)</f>
        <v>Termico Solar</v>
      </c>
      <c r="U549" s="284" t="e">
        <f>(IF(Tabla4[[#This Row],[Familia]]="termico solar",Tabla4[[#This Row],[Utilidad Total]]*6%,Tabla4[[#This Row],[Utilidad Total]]*11.5%))/Tabla4[[#This Row],[Total]]</f>
        <v>#N/A</v>
      </c>
      <c r="V549" s="282" t="e">
        <f>+Tabla4[[#This Row],[Comisión Calculada]]*Tabla4[[#This Row],[Total]]</f>
        <v>#N/A</v>
      </c>
    </row>
    <row r="550" spans="1:22" hidden="1" x14ac:dyDescent="0.25">
      <c r="A550" s="100">
        <v>45703</v>
      </c>
      <c r="B550" t="str">
        <f t="shared" si="19"/>
        <v>February</v>
      </c>
      <c r="C550" s="46" t="s">
        <v>280</v>
      </c>
      <c r="F550" s="366" t="s">
        <v>945</v>
      </c>
      <c r="G550" s="46" t="s">
        <v>17</v>
      </c>
      <c r="H550" s="46">
        <v>1</v>
      </c>
      <c r="I550" s="51">
        <v>4622.28</v>
      </c>
      <c r="J550" s="281">
        <f>++Tabla4[[#This Row],[Precio Bruto]]*1.16</f>
        <v>5361.8447999999989</v>
      </c>
      <c r="K550" s="281">
        <f>+Tabla4[[#This Row],[Precio Unitario Neto]]*Tabla4[[#Headers],[20.85%]]</f>
        <v>1117.9446407999997</v>
      </c>
      <c r="L550" s="282">
        <f>++Tabla4[[#This Row],[Precio Unitario Neto]]-Tabla4[[#This Row],[20.85%]]</f>
        <v>4243.9001591999995</v>
      </c>
      <c r="M550" s="282" t="e">
        <f>(INDEX(Tabla6[#All],MATCH(Tabla4[[#This Row],[Producto]],Tabla6[[#All],[PRODUCTO]],0),MATCH(Tabla4[[#This Row],[Mes]],Tabla6[#Headers],0)))*(1+Catalogos!$L$2)</f>
        <v>#N/A</v>
      </c>
      <c r="N550" s="283" t="e">
        <f>+(Tabla4[[#This Row],[Precio Descontado]]-Tabla4[[#This Row],[Precio Base]])*Tabla4[[#This Row],[Cantidad]]</f>
        <v>#N/A</v>
      </c>
      <c r="O550" s="284" t="e">
        <f>++Tabla4[[#This Row],[Utilidad Total]]/Tabla4[[#This Row],[Total]]</f>
        <v>#N/A</v>
      </c>
      <c r="P550" s="282">
        <f>++Tabla4[[#This Row],[Precio Descontado]]*Tabla4[[#This Row],[Cantidad]]</f>
        <v>4243.9001591999995</v>
      </c>
      <c r="Q550" s="282" t="e">
        <f>(INDEX(Tabla6[#All],MATCH(Tabla4[[#This Row],[Producto]],Tabla6[[#All],[PRODUCTO]],0),MATCH(Tabla4[[#This Row],[Mes]],Tabla6[#Headers],0)))</f>
        <v>#N/A</v>
      </c>
      <c r="R550" s="282" t="e">
        <f>++Tabla4[[#This Row],[Precio Unitario Neto]]-Tabla4[[#This Row],[20.85%]]-Tabla4[[#This Row],[Costo]]</f>
        <v>#N/A</v>
      </c>
      <c r="S550" s="282" t="e">
        <f>++Tabla4[[#This Row],[U. Bruta Uni]]*Tabla4[[#This Row],[Cantidad]]</f>
        <v>#N/A</v>
      </c>
      <c r="T550" s="369" t="str">
        <f>VLOOKUP(Tabla4[[#This Row],[Producto]],Tabla6[#All],14,FALSE)</f>
        <v>Termico Solar</v>
      </c>
      <c r="U550" s="284" t="e">
        <f>(IF(Tabla4[[#This Row],[Familia]]="termico solar",Tabla4[[#This Row],[Utilidad Total]]*6%,Tabla4[[#This Row],[Utilidad Total]]*11.5%))/Tabla4[[#This Row],[Total]]</f>
        <v>#N/A</v>
      </c>
      <c r="V550" s="282" t="e">
        <f>+Tabla4[[#This Row],[Comisión Calculada]]*Tabla4[[#This Row],[Total]]</f>
        <v>#N/A</v>
      </c>
    </row>
    <row r="551" spans="1:22" hidden="1" x14ac:dyDescent="0.25">
      <c r="A551" s="100">
        <v>45703</v>
      </c>
      <c r="B551" t="str">
        <f t="shared" si="19"/>
        <v>February</v>
      </c>
      <c r="C551" s="46" t="s">
        <v>280</v>
      </c>
      <c r="F551" s="366" t="s">
        <v>945</v>
      </c>
      <c r="G551" s="46" t="s">
        <v>18</v>
      </c>
      <c r="H551" s="46">
        <v>3</v>
      </c>
      <c r="I551" s="51">
        <v>5367.6500000000005</v>
      </c>
      <c r="J551" s="281">
        <f>++Tabla4[[#This Row],[Precio Bruto]]*1.16</f>
        <v>6226.4740000000002</v>
      </c>
      <c r="K551" s="281">
        <f>+Tabla4[[#This Row],[Precio Unitario Neto]]*Tabla4[[#Headers],[20.85%]]</f>
        <v>1298.2198289999999</v>
      </c>
      <c r="L551" s="282">
        <f>++Tabla4[[#This Row],[Precio Unitario Neto]]-Tabla4[[#This Row],[20.85%]]</f>
        <v>4928.2541710000005</v>
      </c>
      <c r="M551" s="282" t="e">
        <f>(INDEX(Tabla6[#All],MATCH(Tabla4[[#This Row],[Producto]],Tabla6[[#All],[PRODUCTO]],0),MATCH(Tabla4[[#This Row],[Mes]],Tabla6[#Headers],0)))*(1+Catalogos!$L$2)</f>
        <v>#N/A</v>
      </c>
      <c r="N551" s="283" t="e">
        <f>+(Tabla4[[#This Row],[Precio Descontado]]-Tabla4[[#This Row],[Precio Base]])*Tabla4[[#This Row],[Cantidad]]</f>
        <v>#N/A</v>
      </c>
      <c r="O551" s="284" t="e">
        <f>++Tabla4[[#This Row],[Utilidad Total]]/Tabla4[[#This Row],[Total]]</f>
        <v>#N/A</v>
      </c>
      <c r="P551" s="282">
        <f>++Tabla4[[#This Row],[Precio Descontado]]*Tabla4[[#This Row],[Cantidad]]</f>
        <v>14784.762513000001</v>
      </c>
      <c r="Q551" s="282" t="e">
        <f>(INDEX(Tabla6[#All],MATCH(Tabla4[[#This Row],[Producto]],Tabla6[[#All],[PRODUCTO]],0),MATCH(Tabla4[[#This Row],[Mes]],Tabla6[#Headers],0)))</f>
        <v>#N/A</v>
      </c>
      <c r="R551" s="282" t="e">
        <f>++Tabla4[[#This Row],[Precio Unitario Neto]]-Tabla4[[#This Row],[20.85%]]-Tabla4[[#This Row],[Costo]]</f>
        <v>#N/A</v>
      </c>
      <c r="S551" s="282" t="e">
        <f>++Tabla4[[#This Row],[U. Bruta Uni]]*Tabla4[[#This Row],[Cantidad]]</f>
        <v>#N/A</v>
      </c>
      <c r="T551" s="369" t="str">
        <f>VLOOKUP(Tabla4[[#This Row],[Producto]],Tabla6[#All],14,FALSE)</f>
        <v>Termico Solar</v>
      </c>
      <c r="U551" s="284" t="e">
        <f>(IF(Tabla4[[#This Row],[Familia]]="termico solar",Tabla4[[#This Row],[Utilidad Total]]*6%,Tabla4[[#This Row],[Utilidad Total]]*11.5%))/Tabla4[[#This Row],[Total]]</f>
        <v>#N/A</v>
      </c>
      <c r="V551" s="282" t="e">
        <f>+Tabla4[[#This Row],[Comisión Calculada]]*Tabla4[[#This Row],[Total]]</f>
        <v>#N/A</v>
      </c>
    </row>
    <row r="552" spans="1:22" hidden="1" x14ac:dyDescent="0.25">
      <c r="A552" s="100">
        <v>45703</v>
      </c>
      <c r="B552" t="str">
        <f t="shared" si="19"/>
        <v>February</v>
      </c>
      <c r="C552" s="46" t="s">
        <v>280</v>
      </c>
      <c r="F552" s="366" t="s">
        <v>946</v>
      </c>
      <c r="G552" s="46" t="s">
        <v>16</v>
      </c>
      <c r="H552" s="46">
        <v>1</v>
      </c>
      <c r="I552" s="51">
        <v>4103.8500000000004</v>
      </c>
      <c r="J552" s="281">
        <f>++Tabla4[[#This Row],[Precio Bruto]]*1.16</f>
        <v>4760.4660000000003</v>
      </c>
      <c r="K552" s="281">
        <f>+Tabla4[[#This Row],[Precio Unitario Neto]]*Tabla4[[#Headers],[20.85%]]</f>
        <v>992.55716100000006</v>
      </c>
      <c r="L552" s="282">
        <f>++Tabla4[[#This Row],[Precio Unitario Neto]]-Tabla4[[#This Row],[20.85%]]</f>
        <v>3767.9088390000002</v>
      </c>
      <c r="M552" s="282" t="e">
        <f>(INDEX(Tabla6[#All],MATCH(Tabla4[[#This Row],[Producto]],Tabla6[[#All],[PRODUCTO]],0),MATCH(Tabla4[[#This Row],[Mes]],Tabla6[#Headers],0)))*(1+Catalogos!$L$2)</f>
        <v>#N/A</v>
      </c>
      <c r="N552" s="283" t="e">
        <f>+(Tabla4[[#This Row],[Precio Descontado]]-Tabla4[[#This Row],[Precio Base]])*Tabla4[[#This Row],[Cantidad]]</f>
        <v>#N/A</v>
      </c>
      <c r="O552" s="284" t="e">
        <f>++Tabla4[[#This Row],[Utilidad Total]]/Tabla4[[#This Row],[Total]]</f>
        <v>#N/A</v>
      </c>
      <c r="P552" s="282">
        <f>++Tabla4[[#This Row],[Precio Descontado]]*Tabla4[[#This Row],[Cantidad]]</f>
        <v>3767.9088390000002</v>
      </c>
      <c r="Q552" s="282" t="e">
        <f>(INDEX(Tabla6[#All],MATCH(Tabla4[[#This Row],[Producto]],Tabla6[[#All],[PRODUCTO]],0),MATCH(Tabla4[[#This Row],[Mes]],Tabla6[#Headers],0)))</f>
        <v>#N/A</v>
      </c>
      <c r="R552" s="282" t="e">
        <f>++Tabla4[[#This Row],[Precio Unitario Neto]]-Tabla4[[#This Row],[20.85%]]-Tabla4[[#This Row],[Costo]]</f>
        <v>#N/A</v>
      </c>
      <c r="S552" s="282" t="e">
        <f>++Tabla4[[#This Row],[U. Bruta Uni]]*Tabla4[[#This Row],[Cantidad]]</f>
        <v>#N/A</v>
      </c>
      <c r="T552" s="369" t="str">
        <f>VLOOKUP(Tabla4[[#This Row],[Producto]],Tabla6[#All],14,FALSE)</f>
        <v>Termico Solar</v>
      </c>
      <c r="U552" s="284" t="e">
        <f>(IF(Tabla4[[#This Row],[Familia]]="termico solar",Tabla4[[#This Row],[Utilidad Total]]*6%,Tabla4[[#This Row],[Utilidad Total]]*11.5%))/Tabla4[[#This Row],[Total]]</f>
        <v>#N/A</v>
      </c>
      <c r="V552" s="282" t="e">
        <f>+Tabla4[[#This Row],[Comisión Calculada]]*Tabla4[[#This Row],[Total]]</f>
        <v>#N/A</v>
      </c>
    </row>
    <row r="553" spans="1:22" hidden="1" x14ac:dyDescent="0.25">
      <c r="A553" s="100">
        <v>45703</v>
      </c>
      <c r="B553" t="str">
        <f t="shared" si="19"/>
        <v>February</v>
      </c>
      <c r="C553" s="46" t="s">
        <v>280</v>
      </c>
      <c r="F553" s="366" t="s">
        <v>947</v>
      </c>
      <c r="G553" s="46" t="s">
        <v>17</v>
      </c>
      <c r="H553" s="46">
        <v>2</v>
      </c>
      <c r="I553" s="51">
        <v>4622.28</v>
      </c>
      <c r="J553" s="281">
        <f>++Tabla4[[#This Row],[Precio Bruto]]*1.16</f>
        <v>5361.8447999999989</v>
      </c>
      <c r="K553" s="281">
        <f>+Tabla4[[#This Row],[Precio Unitario Neto]]*Tabla4[[#Headers],[20.85%]]</f>
        <v>1117.9446407999997</v>
      </c>
      <c r="L553" s="282">
        <f>++Tabla4[[#This Row],[Precio Unitario Neto]]-Tabla4[[#This Row],[20.85%]]</f>
        <v>4243.9001591999995</v>
      </c>
      <c r="M553" s="282" t="e">
        <f>(INDEX(Tabla6[#All],MATCH(Tabla4[[#This Row],[Producto]],Tabla6[[#All],[PRODUCTO]],0),MATCH(Tabla4[[#This Row],[Mes]],Tabla6[#Headers],0)))*(1+Catalogos!$L$2)</f>
        <v>#N/A</v>
      </c>
      <c r="N553" s="283" t="e">
        <f>+(Tabla4[[#This Row],[Precio Descontado]]-Tabla4[[#This Row],[Precio Base]])*Tabla4[[#This Row],[Cantidad]]</f>
        <v>#N/A</v>
      </c>
      <c r="O553" s="284" t="e">
        <f>++Tabla4[[#This Row],[Utilidad Total]]/Tabla4[[#This Row],[Total]]</f>
        <v>#N/A</v>
      </c>
      <c r="P553" s="282">
        <f>++Tabla4[[#This Row],[Precio Descontado]]*Tabla4[[#This Row],[Cantidad]]</f>
        <v>8487.800318399999</v>
      </c>
      <c r="Q553" s="282" t="e">
        <f>(INDEX(Tabla6[#All],MATCH(Tabla4[[#This Row],[Producto]],Tabla6[[#All],[PRODUCTO]],0),MATCH(Tabla4[[#This Row],[Mes]],Tabla6[#Headers],0)))</f>
        <v>#N/A</v>
      </c>
      <c r="R553" s="282" t="e">
        <f>++Tabla4[[#This Row],[Precio Unitario Neto]]-Tabla4[[#This Row],[20.85%]]-Tabla4[[#This Row],[Costo]]</f>
        <v>#N/A</v>
      </c>
      <c r="S553" s="282" t="e">
        <f>++Tabla4[[#This Row],[U. Bruta Uni]]*Tabla4[[#This Row],[Cantidad]]</f>
        <v>#N/A</v>
      </c>
      <c r="T553" s="369" t="str">
        <f>VLOOKUP(Tabla4[[#This Row],[Producto]],Tabla6[#All],14,FALSE)</f>
        <v>Termico Solar</v>
      </c>
      <c r="U553" s="284" t="e">
        <f>(IF(Tabla4[[#This Row],[Familia]]="termico solar",Tabla4[[#This Row],[Utilidad Total]]*6%,Tabla4[[#This Row],[Utilidad Total]]*11.5%))/Tabla4[[#This Row],[Total]]</f>
        <v>#N/A</v>
      </c>
      <c r="V553" s="282" t="e">
        <f>+Tabla4[[#This Row],[Comisión Calculada]]*Tabla4[[#This Row],[Total]]</f>
        <v>#N/A</v>
      </c>
    </row>
    <row r="554" spans="1:22" hidden="1" x14ac:dyDescent="0.25">
      <c r="A554" s="100">
        <v>45703</v>
      </c>
      <c r="B554" t="str">
        <f t="shared" si="19"/>
        <v>February</v>
      </c>
      <c r="C554" s="46" t="s">
        <v>280</v>
      </c>
      <c r="F554" s="366" t="s">
        <v>947</v>
      </c>
      <c r="G554" s="46" t="s">
        <v>18</v>
      </c>
      <c r="H554" s="46">
        <v>3</v>
      </c>
      <c r="I554" s="51">
        <v>5367.6500000000005</v>
      </c>
      <c r="J554" s="281">
        <f>++Tabla4[[#This Row],[Precio Bruto]]*1.16</f>
        <v>6226.4740000000002</v>
      </c>
      <c r="K554" s="281">
        <f>+Tabla4[[#This Row],[Precio Unitario Neto]]*Tabla4[[#Headers],[20.85%]]</f>
        <v>1298.2198289999999</v>
      </c>
      <c r="L554" s="282">
        <f>++Tabla4[[#This Row],[Precio Unitario Neto]]-Tabla4[[#This Row],[20.85%]]</f>
        <v>4928.2541710000005</v>
      </c>
      <c r="M554" s="282" t="e">
        <f>(INDEX(Tabla6[#All],MATCH(Tabla4[[#This Row],[Producto]],Tabla6[[#All],[PRODUCTO]],0),MATCH(Tabla4[[#This Row],[Mes]],Tabla6[#Headers],0)))*(1+Catalogos!$L$2)</f>
        <v>#N/A</v>
      </c>
      <c r="N554" s="283" t="e">
        <f>+(Tabla4[[#This Row],[Precio Descontado]]-Tabla4[[#This Row],[Precio Base]])*Tabla4[[#This Row],[Cantidad]]</f>
        <v>#N/A</v>
      </c>
      <c r="O554" s="284" t="e">
        <f>++Tabla4[[#This Row],[Utilidad Total]]/Tabla4[[#This Row],[Total]]</f>
        <v>#N/A</v>
      </c>
      <c r="P554" s="282">
        <f>++Tabla4[[#This Row],[Precio Descontado]]*Tabla4[[#This Row],[Cantidad]]</f>
        <v>14784.762513000001</v>
      </c>
      <c r="Q554" s="282" t="e">
        <f>(INDEX(Tabla6[#All],MATCH(Tabla4[[#This Row],[Producto]],Tabla6[[#All],[PRODUCTO]],0),MATCH(Tabla4[[#This Row],[Mes]],Tabla6[#Headers],0)))</f>
        <v>#N/A</v>
      </c>
      <c r="R554" s="282" t="e">
        <f>++Tabla4[[#This Row],[Precio Unitario Neto]]-Tabla4[[#This Row],[20.85%]]-Tabla4[[#This Row],[Costo]]</f>
        <v>#N/A</v>
      </c>
      <c r="S554" s="282" t="e">
        <f>++Tabla4[[#This Row],[U. Bruta Uni]]*Tabla4[[#This Row],[Cantidad]]</f>
        <v>#N/A</v>
      </c>
      <c r="T554" s="369" t="str">
        <f>VLOOKUP(Tabla4[[#This Row],[Producto]],Tabla6[#All],14,FALSE)</f>
        <v>Termico Solar</v>
      </c>
      <c r="U554" s="284" t="e">
        <f>(IF(Tabla4[[#This Row],[Familia]]="termico solar",Tabla4[[#This Row],[Utilidad Total]]*6%,Tabla4[[#This Row],[Utilidad Total]]*11.5%))/Tabla4[[#This Row],[Total]]</f>
        <v>#N/A</v>
      </c>
      <c r="V554" s="282" t="e">
        <f>+Tabla4[[#This Row],[Comisión Calculada]]*Tabla4[[#This Row],[Total]]</f>
        <v>#N/A</v>
      </c>
    </row>
    <row r="555" spans="1:22" hidden="1" x14ac:dyDescent="0.25">
      <c r="A555" s="100">
        <v>45703</v>
      </c>
      <c r="B555" t="str">
        <f t="shared" si="19"/>
        <v>February</v>
      </c>
      <c r="C555" s="46" t="s">
        <v>280</v>
      </c>
      <c r="F555" s="366" t="s">
        <v>947</v>
      </c>
      <c r="G555" s="46" t="s">
        <v>16</v>
      </c>
      <c r="H555" s="46">
        <v>4</v>
      </c>
      <c r="I555" s="51">
        <v>4103.8500000000004</v>
      </c>
      <c r="J555" s="281">
        <f>++Tabla4[[#This Row],[Precio Bruto]]*1.16</f>
        <v>4760.4660000000003</v>
      </c>
      <c r="K555" s="281">
        <f>+Tabla4[[#This Row],[Precio Unitario Neto]]*Tabla4[[#Headers],[20.85%]]</f>
        <v>992.55716100000006</v>
      </c>
      <c r="L555" s="282">
        <f>++Tabla4[[#This Row],[Precio Unitario Neto]]-Tabla4[[#This Row],[20.85%]]</f>
        <v>3767.9088390000002</v>
      </c>
      <c r="M555" s="282" t="e">
        <f>(INDEX(Tabla6[#All],MATCH(Tabla4[[#This Row],[Producto]],Tabla6[[#All],[PRODUCTO]],0),MATCH(Tabla4[[#This Row],[Mes]],Tabla6[#Headers],0)))*(1+Catalogos!$L$2)</f>
        <v>#N/A</v>
      </c>
      <c r="N555" s="283" t="e">
        <f>+(Tabla4[[#This Row],[Precio Descontado]]-Tabla4[[#This Row],[Precio Base]])*Tabla4[[#This Row],[Cantidad]]</f>
        <v>#N/A</v>
      </c>
      <c r="O555" s="284" t="e">
        <f>++Tabla4[[#This Row],[Utilidad Total]]/Tabla4[[#This Row],[Total]]</f>
        <v>#N/A</v>
      </c>
      <c r="P555" s="282">
        <f>++Tabla4[[#This Row],[Precio Descontado]]*Tabla4[[#This Row],[Cantidad]]</f>
        <v>15071.635356000001</v>
      </c>
      <c r="Q555" s="282" t="e">
        <f>(INDEX(Tabla6[#All],MATCH(Tabla4[[#This Row],[Producto]],Tabla6[[#All],[PRODUCTO]],0),MATCH(Tabla4[[#This Row],[Mes]],Tabla6[#Headers],0)))</f>
        <v>#N/A</v>
      </c>
      <c r="R555" s="282" t="e">
        <f>++Tabla4[[#This Row],[Precio Unitario Neto]]-Tabla4[[#This Row],[20.85%]]-Tabla4[[#This Row],[Costo]]</f>
        <v>#N/A</v>
      </c>
      <c r="S555" s="282" t="e">
        <f>++Tabla4[[#This Row],[U. Bruta Uni]]*Tabla4[[#This Row],[Cantidad]]</f>
        <v>#N/A</v>
      </c>
      <c r="T555" s="369" t="str">
        <f>VLOOKUP(Tabla4[[#This Row],[Producto]],Tabla6[#All],14,FALSE)</f>
        <v>Termico Solar</v>
      </c>
      <c r="U555" s="284" t="e">
        <f>(IF(Tabla4[[#This Row],[Familia]]="termico solar",Tabla4[[#This Row],[Utilidad Total]]*6%,Tabla4[[#This Row],[Utilidad Total]]*11.5%))/Tabla4[[#This Row],[Total]]</f>
        <v>#N/A</v>
      </c>
      <c r="V555" s="282" t="e">
        <f>+Tabla4[[#This Row],[Comisión Calculada]]*Tabla4[[#This Row],[Total]]</f>
        <v>#N/A</v>
      </c>
    </row>
    <row r="556" spans="1:22" hidden="1" x14ac:dyDescent="0.25">
      <c r="A556" s="100">
        <v>45703</v>
      </c>
      <c r="B556" t="str">
        <f t="shared" si="19"/>
        <v>February</v>
      </c>
      <c r="C556" s="46" t="s">
        <v>280</v>
      </c>
      <c r="F556" s="366" t="s">
        <v>948</v>
      </c>
      <c r="G556" s="46" t="s">
        <v>83</v>
      </c>
      <c r="H556" s="46">
        <v>2</v>
      </c>
      <c r="I556" s="51">
        <v>8858.76</v>
      </c>
      <c r="J556" s="281">
        <f>++Tabla4[[#This Row],[Precio Bruto]]*1.16</f>
        <v>10276.161599999999</v>
      </c>
      <c r="K556" s="281">
        <f>+Tabla4[[#This Row],[Precio Unitario Neto]]*Tabla4[[#Headers],[20.85%]]</f>
        <v>2142.5796935999997</v>
      </c>
      <c r="L556" s="282">
        <f>++Tabla4[[#This Row],[Precio Unitario Neto]]-Tabla4[[#This Row],[20.85%]]</f>
        <v>8133.5819063999998</v>
      </c>
      <c r="M556" s="282" t="e">
        <f>(INDEX(Tabla6[#All],MATCH(Tabla4[[#This Row],[Producto]],Tabla6[[#All],[PRODUCTO]],0),MATCH(Tabla4[[#This Row],[Mes]],Tabla6[#Headers],0)))*(1+Catalogos!$L$2)</f>
        <v>#N/A</v>
      </c>
      <c r="N556" s="283" t="e">
        <f>+(Tabla4[[#This Row],[Precio Descontado]]-Tabla4[[#This Row],[Precio Base]])*Tabla4[[#This Row],[Cantidad]]</f>
        <v>#N/A</v>
      </c>
      <c r="O556" s="284" t="e">
        <f>++Tabla4[[#This Row],[Utilidad Total]]/Tabla4[[#This Row],[Total]]</f>
        <v>#N/A</v>
      </c>
      <c r="P556" s="282">
        <f>++Tabla4[[#This Row],[Precio Descontado]]*Tabla4[[#This Row],[Cantidad]]</f>
        <v>16267.1638128</v>
      </c>
      <c r="Q556" s="282" t="e">
        <f>(INDEX(Tabla6[#All],MATCH(Tabla4[[#This Row],[Producto]],Tabla6[[#All],[PRODUCTO]],0),MATCH(Tabla4[[#This Row],[Mes]],Tabla6[#Headers],0)))</f>
        <v>#N/A</v>
      </c>
      <c r="R556" s="282" t="e">
        <f>++Tabla4[[#This Row],[Precio Unitario Neto]]-Tabla4[[#This Row],[20.85%]]-Tabla4[[#This Row],[Costo]]</f>
        <v>#N/A</v>
      </c>
      <c r="S556" s="282" t="e">
        <f>++Tabla4[[#This Row],[U. Bruta Uni]]*Tabla4[[#This Row],[Cantidad]]</f>
        <v>#N/A</v>
      </c>
      <c r="T556" s="369" t="str">
        <f>VLOOKUP(Tabla4[[#This Row],[Producto]],Tabla6[#All],14,FALSE)</f>
        <v>Termico Solar</v>
      </c>
      <c r="U556" s="284" t="e">
        <f>(IF(Tabla4[[#This Row],[Familia]]="termico solar",Tabla4[[#This Row],[Utilidad Total]]*6%,Tabla4[[#This Row],[Utilidad Total]]*11.5%))/Tabla4[[#This Row],[Total]]</f>
        <v>#N/A</v>
      </c>
      <c r="V556" s="282" t="e">
        <f>+Tabla4[[#This Row],[Comisión Calculada]]*Tabla4[[#This Row],[Total]]</f>
        <v>#N/A</v>
      </c>
    </row>
    <row r="557" spans="1:22" hidden="1" x14ac:dyDescent="0.25">
      <c r="A557" s="100">
        <v>45703</v>
      </c>
      <c r="B557" t="str">
        <f t="shared" si="19"/>
        <v>February</v>
      </c>
      <c r="C557" s="46" t="s">
        <v>280</v>
      </c>
      <c r="F557" s="366" t="s">
        <v>948</v>
      </c>
      <c r="G557" s="46" t="s">
        <v>17</v>
      </c>
      <c r="H557" s="46">
        <v>5</v>
      </c>
      <c r="I557" s="51">
        <v>4622.2800000000007</v>
      </c>
      <c r="J557" s="281">
        <f>++Tabla4[[#This Row],[Precio Bruto]]*1.16</f>
        <v>5361.8448000000008</v>
      </c>
      <c r="K557" s="281">
        <f>+Tabla4[[#This Row],[Precio Unitario Neto]]*Tabla4[[#Headers],[20.85%]]</f>
        <v>1117.9446408000001</v>
      </c>
      <c r="L557" s="282">
        <f>++Tabla4[[#This Row],[Precio Unitario Neto]]-Tabla4[[#This Row],[20.85%]]</f>
        <v>4243.9001592000004</v>
      </c>
      <c r="M557" s="282" t="e">
        <f>(INDEX(Tabla6[#All],MATCH(Tabla4[[#This Row],[Producto]],Tabla6[[#All],[PRODUCTO]],0),MATCH(Tabla4[[#This Row],[Mes]],Tabla6[#Headers],0)))*(1+Catalogos!$L$2)</f>
        <v>#N/A</v>
      </c>
      <c r="N557" s="283" t="e">
        <f>+(Tabla4[[#This Row],[Precio Descontado]]-Tabla4[[#This Row],[Precio Base]])*Tabla4[[#This Row],[Cantidad]]</f>
        <v>#N/A</v>
      </c>
      <c r="O557" s="284" t="e">
        <f>++Tabla4[[#This Row],[Utilidad Total]]/Tabla4[[#This Row],[Total]]</f>
        <v>#N/A</v>
      </c>
      <c r="P557" s="282">
        <f>++Tabla4[[#This Row],[Precio Descontado]]*Tabla4[[#This Row],[Cantidad]]</f>
        <v>21219.500796</v>
      </c>
      <c r="Q557" s="282" t="e">
        <f>(INDEX(Tabla6[#All],MATCH(Tabla4[[#This Row],[Producto]],Tabla6[[#All],[PRODUCTO]],0),MATCH(Tabla4[[#This Row],[Mes]],Tabla6[#Headers],0)))</f>
        <v>#N/A</v>
      </c>
      <c r="R557" s="282" t="e">
        <f>++Tabla4[[#This Row],[Precio Unitario Neto]]-Tabla4[[#This Row],[20.85%]]-Tabla4[[#This Row],[Costo]]</f>
        <v>#N/A</v>
      </c>
      <c r="S557" s="282" t="e">
        <f>++Tabla4[[#This Row],[U. Bruta Uni]]*Tabla4[[#This Row],[Cantidad]]</f>
        <v>#N/A</v>
      </c>
      <c r="T557" s="369" t="str">
        <f>VLOOKUP(Tabla4[[#This Row],[Producto]],Tabla6[#All],14,FALSE)</f>
        <v>Termico Solar</v>
      </c>
      <c r="U557" s="284" t="e">
        <f>(IF(Tabla4[[#This Row],[Familia]]="termico solar",Tabla4[[#This Row],[Utilidad Total]]*6%,Tabla4[[#This Row],[Utilidad Total]]*11.5%))/Tabla4[[#This Row],[Total]]</f>
        <v>#N/A</v>
      </c>
      <c r="V557" s="282" t="e">
        <f>+Tabla4[[#This Row],[Comisión Calculada]]*Tabla4[[#This Row],[Total]]</f>
        <v>#N/A</v>
      </c>
    </row>
    <row r="558" spans="1:22" hidden="1" x14ac:dyDescent="0.25">
      <c r="A558" s="100">
        <v>45703</v>
      </c>
      <c r="B558" t="str">
        <f t="shared" si="19"/>
        <v>February</v>
      </c>
      <c r="C558" s="46" t="s">
        <v>280</v>
      </c>
      <c r="F558" s="366" t="s">
        <v>948</v>
      </c>
      <c r="G558" s="46" t="s">
        <v>18</v>
      </c>
      <c r="H558" s="46">
        <v>2</v>
      </c>
      <c r="I558" s="51">
        <v>5367.65</v>
      </c>
      <c r="J558" s="281">
        <f>++Tabla4[[#This Row],[Precio Bruto]]*1.16</f>
        <v>6226.4739999999993</v>
      </c>
      <c r="K558" s="281">
        <f>+Tabla4[[#This Row],[Precio Unitario Neto]]*Tabla4[[#Headers],[20.85%]]</f>
        <v>1298.2198289999999</v>
      </c>
      <c r="L558" s="282">
        <f>++Tabla4[[#This Row],[Precio Unitario Neto]]-Tabla4[[#This Row],[20.85%]]</f>
        <v>4928.2541709999996</v>
      </c>
      <c r="M558" s="282" t="e">
        <f>(INDEX(Tabla6[#All],MATCH(Tabla4[[#This Row],[Producto]],Tabla6[[#All],[PRODUCTO]],0),MATCH(Tabla4[[#This Row],[Mes]],Tabla6[#Headers],0)))*(1+Catalogos!$L$2)</f>
        <v>#N/A</v>
      </c>
      <c r="N558" s="283" t="e">
        <f>+(Tabla4[[#This Row],[Precio Descontado]]-Tabla4[[#This Row],[Precio Base]])*Tabla4[[#This Row],[Cantidad]]</f>
        <v>#N/A</v>
      </c>
      <c r="O558" s="284" t="e">
        <f>++Tabla4[[#This Row],[Utilidad Total]]/Tabla4[[#This Row],[Total]]</f>
        <v>#N/A</v>
      </c>
      <c r="P558" s="282">
        <f>++Tabla4[[#This Row],[Precio Descontado]]*Tabla4[[#This Row],[Cantidad]]</f>
        <v>9856.5083419999992</v>
      </c>
      <c r="Q558" s="282" t="e">
        <f>(INDEX(Tabla6[#All],MATCH(Tabla4[[#This Row],[Producto]],Tabla6[[#All],[PRODUCTO]],0),MATCH(Tabla4[[#This Row],[Mes]],Tabla6[#Headers],0)))</f>
        <v>#N/A</v>
      </c>
      <c r="R558" s="282" t="e">
        <f>++Tabla4[[#This Row],[Precio Unitario Neto]]-Tabla4[[#This Row],[20.85%]]-Tabla4[[#This Row],[Costo]]</f>
        <v>#N/A</v>
      </c>
      <c r="S558" s="282" t="e">
        <f>++Tabla4[[#This Row],[U. Bruta Uni]]*Tabla4[[#This Row],[Cantidad]]</f>
        <v>#N/A</v>
      </c>
      <c r="T558" s="369" t="str">
        <f>VLOOKUP(Tabla4[[#This Row],[Producto]],Tabla6[#All],14,FALSE)</f>
        <v>Termico Solar</v>
      </c>
      <c r="U558" s="284" t="e">
        <f>(IF(Tabla4[[#This Row],[Familia]]="termico solar",Tabla4[[#This Row],[Utilidad Total]]*6%,Tabla4[[#This Row],[Utilidad Total]]*11.5%))/Tabla4[[#This Row],[Total]]</f>
        <v>#N/A</v>
      </c>
      <c r="V558" s="282" t="e">
        <f>+Tabla4[[#This Row],[Comisión Calculada]]*Tabla4[[#This Row],[Total]]</f>
        <v>#N/A</v>
      </c>
    </row>
    <row r="559" spans="1:22" hidden="1" x14ac:dyDescent="0.25">
      <c r="A559" s="100">
        <v>45703</v>
      </c>
      <c r="B559" t="str">
        <f t="shared" si="19"/>
        <v>February</v>
      </c>
      <c r="C559" s="46" t="s">
        <v>280</v>
      </c>
      <c r="F559" s="366" t="s">
        <v>949</v>
      </c>
      <c r="G559" s="46" t="s">
        <v>83</v>
      </c>
      <c r="H559" s="46">
        <v>3</v>
      </c>
      <c r="I559" s="51">
        <v>8858.76</v>
      </c>
      <c r="J559" s="281">
        <f>++Tabla4[[#This Row],[Precio Bruto]]*1.16</f>
        <v>10276.161599999999</v>
      </c>
      <c r="K559" s="281">
        <f>+Tabla4[[#This Row],[Precio Unitario Neto]]*Tabla4[[#Headers],[20.85%]]</f>
        <v>2142.5796935999997</v>
      </c>
      <c r="L559" s="282">
        <f>++Tabla4[[#This Row],[Precio Unitario Neto]]-Tabla4[[#This Row],[20.85%]]</f>
        <v>8133.5819063999998</v>
      </c>
      <c r="M559" s="282" t="e">
        <f>(INDEX(Tabla6[#All],MATCH(Tabla4[[#This Row],[Producto]],Tabla6[[#All],[PRODUCTO]],0),MATCH(Tabla4[[#This Row],[Mes]],Tabla6[#Headers],0)))*(1+Catalogos!$L$2)</f>
        <v>#N/A</v>
      </c>
      <c r="N559" s="283" t="e">
        <f>+(Tabla4[[#This Row],[Precio Descontado]]-Tabla4[[#This Row],[Precio Base]])*Tabla4[[#This Row],[Cantidad]]</f>
        <v>#N/A</v>
      </c>
      <c r="O559" s="284" t="e">
        <f>++Tabla4[[#This Row],[Utilidad Total]]/Tabla4[[#This Row],[Total]]</f>
        <v>#N/A</v>
      </c>
      <c r="P559" s="282">
        <f>++Tabla4[[#This Row],[Precio Descontado]]*Tabla4[[#This Row],[Cantidad]]</f>
        <v>24400.7457192</v>
      </c>
      <c r="Q559" s="282" t="e">
        <f>(INDEX(Tabla6[#All],MATCH(Tabla4[[#This Row],[Producto]],Tabla6[[#All],[PRODUCTO]],0),MATCH(Tabla4[[#This Row],[Mes]],Tabla6[#Headers],0)))</f>
        <v>#N/A</v>
      </c>
      <c r="R559" s="282" t="e">
        <f>++Tabla4[[#This Row],[Precio Unitario Neto]]-Tabla4[[#This Row],[20.85%]]-Tabla4[[#This Row],[Costo]]</f>
        <v>#N/A</v>
      </c>
      <c r="S559" s="282" t="e">
        <f>++Tabla4[[#This Row],[U. Bruta Uni]]*Tabla4[[#This Row],[Cantidad]]</f>
        <v>#N/A</v>
      </c>
      <c r="T559" s="369" t="str">
        <f>VLOOKUP(Tabla4[[#This Row],[Producto]],Tabla6[#All],14,FALSE)</f>
        <v>Termico Solar</v>
      </c>
      <c r="U559" s="284" t="e">
        <f>(IF(Tabla4[[#This Row],[Familia]]="termico solar",Tabla4[[#This Row],[Utilidad Total]]*6%,Tabla4[[#This Row],[Utilidad Total]]*11.5%))/Tabla4[[#This Row],[Total]]</f>
        <v>#N/A</v>
      </c>
      <c r="V559" s="282" t="e">
        <f>+Tabla4[[#This Row],[Comisión Calculada]]*Tabla4[[#This Row],[Total]]</f>
        <v>#N/A</v>
      </c>
    </row>
    <row r="560" spans="1:22" hidden="1" x14ac:dyDescent="0.25">
      <c r="A560" s="100">
        <v>45703</v>
      </c>
      <c r="B560" t="str">
        <f t="shared" si="19"/>
        <v>February</v>
      </c>
      <c r="C560" s="46" t="s">
        <v>280</v>
      </c>
      <c r="F560" s="366" t="s">
        <v>950</v>
      </c>
      <c r="G560" s="46" t="s">
        <v>83</v>
      </c>
      <c r="H560" s="46">
        <v>1</v>
      </c>
      <c r="I560" s="51">
        <v>8858.76</v>
      </c>
      <c r="J560" s="281">
        <f>++Tabla4[[#This Row],[Precio Bruto]]*1.16</f>
        <v>10276.161599999999</v>
      </c>
      <c r="K560" s="281">
        <f>+Tabla4[[#This Row],[Precio Unitario Neto]]*Tabla4[[#Headers],[20.85%]]</f>
        <v>2142.5796935999997</v>
      </c>
      <c r="L560" s="282">
        <f>++Tabla4[[#This Row],[Precio Unitario Neto]]-Tabla4[[#This Row],[20.85%]]</f>
        <v>8133.5819063999998</v>
      </c>
      <c r="M560" s="282" t="e">
        <f>(INDEX(Tabla6[#All],MATCH(Tabla4[[#This Row],[Producto]],Tabla6[[#All],[PRODUCTO]],0),MATCH(Tabla4[[#This Row],[Mes]],Tabla6[#Headers],0)))*(1+Catalogos!$L$2)</f>
        <v>#N/A</v>
      </c>
      <c r="N560" s="283" t="e">
        <f>+(Tabla4[[#This Row],[Precio Descontado]]-Tabla4[[#This Row],[Precio Base]])*Tabla4[[#This Row],[Cantidad]]</f>
        <v>#N/A</v>
      </c>
      <c r="O560" s="284" t="e">
        <f>++Tabla4[[#This Row],[Utilidad Total]]/Tabla4[[#This Row],[Total]]</f>
        <v>#N/A</v>
      </c>
      <c r="P560" s="282">
        <f>++Tabla4[[#This Row],[Precio Descontado]]*Tabla4[[#This Row],[Cantidad]]</f>
        <v>8133.5819063999998</v>
      </c>
      <c r="Q560" s="282" t="e">
        <f>(INDEX(Tabla6[#All],MATCH(Tabla4[[#This Row],[Producto]],Tabla6[[#All],[PRODUCTO]],0),MATCH(Tabla4[[#This Row],[Mes]],Tabla6[#Headers],0)))</f>
        <v>#N/A</v>
      </c>
      <c r="R560" s="282" t="e">
        <f>++Tabla4[[#This Row],[Precio Unitario Neto]]-Tabla4[[#This Row],[20.85%]]-Tabla4[[#This Row],[Costo]]</f>
        <v>#N/A</v>
      </c>
      <c r="S560" s="282" t="e">
        <f>++Tabla4[[#This Row],[U. Bruta Uni]]*Tabla4[[#This Row],[Cantidad]]</f>
        <v>#N/A</v>
      </c>
      <c r="T560" s="369" t="str">
        <f>VLOOKUP(Tabla4[[#This Row],[Producto]],Tabla6[#All],14,FALSE)</f>
        <v>Termico Solar</v>
      </c>
      <c r="U560" s="284" t="e">
        <f>(IF(Tabla4[[#This Row],[Familia]]="termico solar",Tabla4[[#This Row],[Utilidad Total]]*6%,Tabla4[[#This Row],[Utilidad Total]]*11.5%))/Tabla4[[#This Row],[Total]]</f>
        <v>#N/A</v>
      </c>
      <c r="V560" s="282" t="e">
        <f>+Tabla4[[#This Row],[Comisión Calculada]]*Tabla4[[#This Row],[Total]]</f>
        <v>#N/A</v>
      </c>
    </row>
    <row r="561" spans="1:22" hidden="1" x14ac:dyDescent="0.25">
      <c r="A561" s="100">
        <v>45703</v>
      </c>
      <c r="B561" t="str">
        <f t="shared" si="19"/>
        <v>February</v>
      </c>
      <c r="C561" s="46" t="s">
        <v>280</v>
      </c>
      <c r="F561" s="366" t="s">
        <v>950</v>
      </c>
      <c r="G561" s="46" t="s">
        <v>17</v>
      </c>
      <c r="H561" s="46">
        <v>5</v>
      </c>
      <c r="I561" s="51">
        <v>4622.2800000000007</v>
      </c>
      <c r="J561" s="281">
        <f>++Tabla4[[#This Row],[Precio Bruto]]*1.16</f>
        <v>5361.8448000000008</v>
      </c>
      <c r="K561" s="281">
        <f>+Tabla4[[#This Row],[Precio Unitario Neto]]*Tabla4[[#Headers],[20.85%]]</f>
        <v>1117.9446408000001</v>
      </c>
      <c r="L561" s="282">
        <f>++Tabla4[[#This Row],[Precio Unitario Neto]]-Tabla4[[#This Row],[20.85%]]</f>
        <v>4243.9001592000004</v>
      </c>
      <c r="M561" s="282" t="e">
        <f>(INDEX(Tabla6[#All],MATCH(Tabla4[[#This Row],[Producto]],Tabla6[[#All],[PRODUCTO]],0),MATCH(Tabla4[[#This Row],[Mes]],Tabla6[#Headers],0)))*(1+Catalogos!$L$2)</f>
        <v>#N/A</v>
      </c>
      <c r="N561" s="283" t="e">
        <f>+(Tabla4[[#This Row],[Precio Descontado]]-Tabla4[[#This Row],[Precio Base]])*Tabla4[[#This Row],[Cantidad]]</f>
        <v>#N/A</v>
      </c>
      <c r="O561" s="284" t="e">
        <f>++Tabla4[[#This Row],[Utilidad Total]]/Tabla4[[#This Row],[Total]]</f>
        <v>#N/A</v>
      </c>
      <c r="P561" s="282">
        <f>++Tabla4[[#This Row],[Precio Descontado]]*Tabla4[[#This Row],[Cantidad]]</f>
        <v>21219.500796</v>
      </c>
      <c r="Q561" s="282" t="e">
        <f>(INDEX(Tabla6[#All],MATCH(Tabla4[[#This Row],[Producto]],Tabla6[[#All],[PRODUCTO]],0),MATCH(Tabla4[[#This Row],[Mes]],Tabla6[#Headers],0)))</f>
        <v>#N/A</v>
      </c>
      <c r="R561" s="282" t="e">
        <f>++Tabla4[[#This Row],[Precio Unitario Neto]]-Tabla4[[#This Row],[20.85%]]-Tabla4[[#This Row],[Costo]]</f>
        <v>#N/A</v>
      </c>
      <c r="S561" s="282" t="e">
        <f>++Tabla4[[#This Row],[U. Bruta Uni]]*Tabla4[[#This Row],[Cantidad]]</f>
        <v>#N/A</v>
      </c>
      <c r="T561" s="369" t="str">
        <f>VLOOKUP(Tabla4[[#This Row],[Producto]],Tabla6[#All],14,FALSE)</f>
        <v>Termico Solar</v>
      </c>
      <c r="U561" s="284" t="e">
        <f>(IF(Tabla4[[#This Row],[Familia]]="termico solar",Tabla4[[#This Row],[Utilidad Total]]*6%,Tabla4[[#This Row],[Utilidad Total]]*11.5%))/Tabla4[[#This Row],[Total]]</f>
        <v>#N/A</v>
      </c>
      <c r="V561" s="282" t="e">
        <f>+Tabla4[[#This Row],[Comisión Calculada]]*Tabla4[[#This Row],[Total]]</f>
        <v>#N/A</v>
      </c>
    </row>
    <row r="562" spans="1:22" hidden="1" x14ac:dyDescent="0.25">
      <c r="A562" s="100">
        <v>45703</v>
      </c>
      <c r="B562" t="str">
        <f t="shared" si="19"/>
        <v>February</v>
      </c>
      <c r="C562" s="46" t="s">
        <v>280</v>
      </c>
      <c r="F562" s="366" t="s">
        <v>950</v>
      </c>
      <c r="G562" s="46" t="s">
        <v>18</v>
      </c>
      <c r="H562" s="46">
        <v>1</v>
      </c>
      <c r="I562" s="51">
        <v>5367.65</v>
      </c>
      <c r="J562" s="281">
        <f>++Tabla4[[#This Row],[Precio Bruto]]*1.16</f>
        <v>6226.4739999999993</v>
      </c>
      <c r="K562" s="281">
        <f>+Tabla4[[#This Row],[Precio Unitario Neto]]*Tabla4[[#Headers],[20.85%]]</f>
        <v>1298.2198289999999</v>
      </c>
      <c r="L562" s="282">
        <f>++Tabla4[[#This Row],[Precio Unitario Neto]]-Tabla4[[#This Row],[20.85%]]</f>
        <v>4928.2541709999996</v>
      </c>
      <c r="M562" s="282" t="e">
        <f>(INDEX(Tabla6[#All],MATCH(Tabla4[[#This Row],[Producto]],Tabla6[[#All],[PRODUCTO]],0),MATCH(Tabla4[[#This Row],[Mes]],Tabla6[#Headers],0)))*(1+Catalogos!$L$2)</f>
        <v>#N/A</v>
      </c>
      <c r="N562" s="283" t="e">
        <f>+(Tabla4[[#This Row],[Precio Descontado]]-Tabla4[[#This Row],[Precio Base]])*Tabla4[[#This Row],[Cantidad]]</f>
        <v>#N/A</v>
      </c>
      <c r="O562" s="284" t="e">
        <f>++Tabla4[[#This Row],[Utilidad Total]]/Tabla4[[#This Row],[Total]]</f>
        <v>#N/A</v>
      </c>
      <c r="P562" s="282">
        <f>++Tabla4[[#This Row],[Precio Descontado]]*Tabla4[[#This Row],[Cantidad]]</f>
        <v>4928.2541709999996</v>
      </c>
      <c r="Q562" s="282" t="e">
        <f>(INDEX(Tabla6[#All],MATCH(Tabla4[[#This Row],[Producto]],Tabla6[[#All],[PRODUCTO]],0),MATCH(Tabla4[[#This Row],[Mes]],Tabla6[#Headers],0)))</f>
        <v>#N/A</v>
      </c>
      <c r="R562" s="282" t="e">
        <f>++Tabla4[[#This Row],[Precio Unitario Neto]]-Tabla4[[#This Row],[20.85%]]-Tabla4[[#This Row],[Costo]]</f>
        <v>#N/A</v>
      </c>
      <c r="S562" s="282" t="e">
        <f>++Tabla4[[#This Row],[U. Bruta Uni]]*Tabla4[[#This Row],[Cantidad]]</f>
        <v>#N/A</v>
      </c>
      <c r="T562" s="369" t="str">
        <f>VLOOKUP(Tabla4[[#This Row],[Producto]],Tabla6[#All],14,FALSE)</f>
        <v>Termico Solar</v>
      </c>
      <c r="U562" s="284" t="e">
        <f>(IF(Tabla4[[#This Row],[Familia]]="termico solar",Tabla4[[#This Row],[Utilidad Total]]*6%,Tabla4[[#This Row],[Utilidad Total]]*11.5%))/Tabla4[[#This Row],[Total]]</f>
        <v>#N/A</v>
      </c>
      <c r="V562" s="282" t="e">
        <f>+Tabla4[[#This Row],[Comisión Calculada]]*Tabla4[[#This Row],[Total]]</f>
        <v>#N/A</v>
      </c>
    </row>
    <row r="563" spans="1:22" hidden="1" x14ac:dyDescent="0.25">
      <c r="A563" s="100">
        <v>45703</v>
      </c>
      <c r="B563" t="str">
        <f t="shared" si="19"/>
        <v>February</v>
      </c>
      <c r="C563" s="46" t="s">
        <v>280</v>
      </c>
      <c r="F563" s="366" t="s">
        <v>950</v>
      </c>
      <c r="G563" s="46" t="s">
        <v>16</v>
      </c>
      <c r="H563" s="46">
        <v>2</v>
      </c>
      <c r="I563" s="51">
        <v>4103.8500000000004</v>
      </c>
      <c r="J563" s="281">
        <f>++Tabla4[[#This Row],[Precio Bruto]]*1.16</f>
        <v>4760.4660000000003</v>
      </c>
      <c r="K563" s="281">
        <f>+Tabla4[[#This Row],[Precio Unitario Neto]]*Tabla4[[#Headers],[20.85%]]</f>
        <v>992.55716100000006</v>
      </c>
      <c r="L563" s="282">
        <f>++Tabla4[[#This Row],[Precio Unitario Neto]]-Tabla4[[#This Row],[20.85%]]</f>
        <v>3767.9088390000002</v>
      </c>
      <c r="M563" s="282" t="e">
        <f>(INDEX(Tabla6[#All],MATCH(Tabla4[[#This Row],[Producto]],Tabla6[[#All],[PRODUCTO]],0),MATCH(Tabla4[[#This Row],[Mes]],Tabla6[#Headers],0)))*(1+Catalogos!$L$2)</f>
        <v>#N/A</v>
      </c>
      <c r="N563" s="283" t="e">
        <f>+(Tabla4[[#This Row],[Precio Descontado]]-Tabla4[[#This Row],[Precio Base]])*Tabla4[[#This Row],[Cantidad]]</f>
        <v>#N/A</v>
      </c>
      <c r="O563" s="284" t="e">
        <f>++Tabla4[[#This Row],[Utilidad Total]]/Tabla4[[#This Row],[Total]]</f>
        <v>#N/A</v>
      </c>
      <c r="P563" s="282">
        <f>++Tabla4[[#This Row],[Precio Descontado]]*Tabla4[[#This Row],[Cantidad]]</f>
        <v>7535.8176780000003</v>
      </c>
      <c r="Q563" s="282" t="e">
        <f>(INDEX(Tabla6[#All],MATCH(Tabla4[[#This Row],[Producto]],Tabla6[[#All],[PRODUCTO]],0),MATCH(Tabla4[[#This Row],[Mes]],Tabla6[#Headers],0)))</f>
        <v>#N/A</v>
      </c>
      <c r="R563" s="282" t="e">
        <f>++Tabla4[[#This Row],[Precio Unitario Neto]]-Tabla4[[#This Row],[20.85%]]-Tabla4[[#This Row],[Costo]]</f>
        <v>#N/A</v>
      </c>
      <c r="S563" s="282" t="e">
        <f>++Tabla4[[#This Row],[U. Bruta Uni]]*Tabla4[[#This Row],[Cantidad]]</f>
        <v>#N/A</v>
      </c>
      <c r="T563" s="369" t="str">
        <f>VLOOKUP(Tabla4[[#This Row],[Producto]],Tabla6[#All],14,FALSE)</f>
        <v>Termico Solar</v>
      </c>
      <c r="U563" s="284" t="e">
        <f>(IF(Tabla4[[#This Row],[Familia]]="termico solar",Tabla4[[#This Row],[Utilidad Total]]*6%,Tabla4[[#This Row],[Utilidad Total]]*11.5%))/Tabla4[[#This Row],[Total]]</f>
        <v>#N/A</v>
      </c>
      <c r="V563" s="282" t="e">
        <f>+Tabla4[[#This Row],[Comisión Calculada]]*Tabla4[[#This Row],[Total]]</f>
        <v>#N/A</v>
      </c>
    </row>
    <row r="564" spans="1:22" hidden="1" x14ac:dyDescent="0.25">
      <c r="A564" s="100">
        <v>45703</v>
      </c>
      <c r="B564" t="str">
        <f t="shared" si="19"/>
        <v>February</v>
      </c>
      <c r="C564" s="46" t="s">
        <v>280</v>
      </c>
      <c r="F564" s="366" t="s">
        <v>951</v>
      </c>
      <c r="G564" s="46" t="s">
        <v>17</v>
      </c>
      <c r="H564" s="46">
        <v>3</v>
      </c>
      <c r="I564" s="51">
        <v>4622.28</v>
      </c>
      <c r="J564" s="281">
        <f>++Tabla4[[#This Row],[Precio Bruto]]*1.16</f>
        <v>5361.8447999999989</v>
      </c>
      <c r="K564" s="281">
        <f>+Tabla4[[#This Row],[Precio Unitario Neto]]*Tabla4[[#Headers],[20.85%]]</f>
        <v>1117.9446407999997</v>
      </c>
      <c r="L564" s="282">
        <f>++Tabla4[[#This Row],[Precio Unitario Neto]]-Tabla4[[#This Row],[20.85%]]</f>
        <v>4243.9001591999995</v>
      </c>
      <c r="M564" s="282" t="e">
        <f>(INDEX(Tabla6[#All],MATCH(Tabla4[[#This Row],[Producto]],Tabla6[[#All],[PRODUCTO]],0),MATCH(Tabla4[[#This Row],[Mes]],Tabla6[#Headers],0)))*(1+Catalogos!$L$2)</f>
        <v>#N/A</v>
      </c>
      <c r="N564" s="283" t="e">
        <f>+(Tabla4[[#This Row],[Precio Descontado]]-Tabla4[[#This Row],[Precio Base]])*Tabla4[[#This Row],[Cantidad]]</f>
        <v>#N/A</v>
      </c>
      <c r="O564" s="284" t="e">
        <f>++Tabla4[[#This Row],[Utilidad Total]]/Tabla4[[#This Row],[Total]]</f>
        <v>#N/A</v>
      </c>
      <c r="P564" s="282">
        <f>++Tabla4[[#This Row],[Precio Descontado]]*Tabla4[[#This Row],[Cantidad]]</f>
        <v>12731.700477599999</v>
      </c>
      <c r="Q564" s="282" t="e">
        <f>(INDEX(Tabla6[#All],MATCH(Tabla4[[#This Row],[Producto]],Tabla6[[#All],[PRODUCTO]],0),MATCH(Tabla4[[#This Row],[Mes]],Tabla6[#Headers],0)))</f>
        <v>#N/A</v>
      </c>
      <c r="R564" s="282" t="e">
        <f>++Tabla4[[#This Row],[Precio Unitario Neto]]-Tabla4[[#This Row],[20.85%]]-Tabla4[[#This Row],[Costo]]</f>
        <v>#N/A</v>
      </c>
      <c r="S564" s="282" t="e">
        <f>++Tabla4[[#This Row],[U. Bruta Uni]]*Tabla4[[#This Row],[Cantidad]]</f>
        <v>#N/A</v>
      </c>
      <c r="T564" s="369" t="str">
        <f>VLOOKUP(Tabla4[[#This Row],[Producto]],Tabla6[#All],14,FALSE)</f>
        <v>Termico Solar</v>
      </c>
      <c r="U564" s="284" t="e">
        <f>(IF(Tabla4[[#This Row],[Familia]]="termico solar",Tabla4[[#This Row],[Utilidad Total]]*6%,Tabla4[[#This Row],[Utilidad Total]]*11.5%))/Tabla4[[#This Row],[Total]]</f>
        <v>#N/A</v>
      </c>
      <c r="V564" s="282" t="e">
        <f>+Tabla4[[#This Row],[Comisión Calculada]]*Tabla4[[#This Row],[Total]]</f>
        <v>#N/A</v>
      </c>
    </row>
    <row r="565" spans="1:22" hidden="1" x14ac:dyDescent="0.25">
      <c r="A565" s="100">
        <v>45703</v>
      </c>
      <c r="B565" t="str">
        <f t="shared" si="19"/>
        <v>February</v>
      </c>
      <c r="C565" s="46" t="s">
        <v>280</v>
      </c>
      <c r="F565" s="366" t="s">
        <v>951</v>
      </c>
      <c r="G565" s="46" t="s">
        <v>18</v>
      </c>
      <c r="H565" s="46">
        <v>2</v>
      </c>
      <c r="I565" s="51">
        <v>5367.65</v>
      </c>
      <c r="J565" s="281">
        <f>++Tabla4[[#This Row],[Precio Bruto]]*1.16</f>
        <v>6226.4739999999993</v>
      </c>
      <c r="K565" s="281">
        <f>+Tabla4[[#This Row],[Precio Unitario Neto]]*Tabla4[[#Headers],[20.85%]]</f>
        <v>1298.2198289999999</v>
      </c>
      <c r="L565" s="282">
        <f>++Tabla4[[#This Row],[Precio Unitario Neto]]-Tabla4[[#This Row],[20.85%]]</f>
        <v>4928.2541709999996</v>
      </c>
      <c r="M565" s="282" t="e">
        <f>(INDEX(Tabla6[#All],MATCH(Tabla4[[#This Row],[Producto]],Tabla6[[#All],[PRODUCTO]],0),MATCH(Tabla4[[#This Row],[Mes]],Tabla6[#Headers],0)))*(1+Catalogos!$L$2)</f>
        <v>#N/A</v>
      </c>
      <c r="N565" s="283" t="e">
        <f>+(Tabla4[[#This Row],[Precio Descontado]]-Tabla4[[#This Row],[Precio Base]])*Tabla4[[#This Row],[Cantidad]]</f>
        <v>#N/A</v>
      </c>
      <c r="O565" s="284" t="e">
        <f>++Tabla4[[#This Row],[Utilidad Total]]/Tabla4[[#This Row],[Total]]</f>
        <v>#N/A</v>
      </c>
      <c r="P565" s="282">
        <f>++Tabla4[[#This Row],[Precio Descontado]]*Tabla4[[#This Row],[Cantidad]]</f>
        <v>9856.5083419999992</v>
      </c>
      <c r="Q565" s="282" t="e">
        <f>(INDEX(Tabla6[#All],MATCH(Tabla4[[#This Row],[Producto]],Tabla6[[#All],[PRODUCTO]],0),MATCH(Tabla4[[#This Row],[Mes]],Tabla6[#Headers],0)))</f>
        <v>#N/A</v>
      </c>
      <c r="R565" s="282" t="e">
        <f>++Tabla4[[#This Row],[Precio Unitario Neto]]-Tabla4[[#This Row],[20.85%]]-Tabla4[[#This Row],[Costo]]</f>
        <v>#N/A</v>
      </c>
      <c r="S565" s="282" t="e">
        <f>++Tabla4[[#This Row],[U. Bruta Uni]]*Tabla4[[#This Row],[Cantidad]]</f>
        <v>#N/A</v>
      </c>
      <c r="T565" s="369" t="str">
        <f>VLOOKUP(Tabla4[[#This Row],[Producto]],Tabla6[#All],14,FALSE)</f>
        <v>Termico Solar</v>
      </c>
      <c r="U565" s="284" t="e">
        <f>(IF(Tabla4[[#This Row],[Familia]]="termico solar",Tabla4[[#This Row],[Utilidad Total]]*6%,Tabla4[[#This Row],[Utilidad Total]]*11.5%))/Tabla4[[#This Row],[Total]]</f>
        <v>#N/A</v>
      </c>
      <c r="V565" s="282" t="e">
        <f>+Tabla4[[#This Row],[Comisión Calculada]]*Tabla4[[#This Row],[Total]]</f>
        <v>#N/A</v>
      </c>
    </row>
    <row r="566" spans="1:22" hidden="1" x14ac:dyDescent="0.25">
      <c r="A566" s="100">
        <v>45703</v>
      </c>
      <c r="B566" t="str">
        <f t="shared" si="19"/>
        <v>February</v>
      </c>
      <c r="C566" s="46" t="s">
        <v>280</v>
      </c>
      <c r="F566" s="366" t="s">
        <v>952</v>
      </c>
      <c r="G566" s="46" t="s">
        <v>83</v>
      </c>
      <c r="H566" s="46">
        <v>3</v>
      </c>
      <c r="I566" s="51">
        <v>8858.76</v>
      </c>
      <c r="J566" s="281">
        <f>++Tabla4[[#This Row],[Precio Bruto]]*1.16</f>
        <v>10276.161599999999</v>
      </c>
      <c r="K566" s="281">
        <f>+Tabla4[[#This Row],[Precio Unitario Neto]]*Tabla4[[#Headers],[20.85%]]</f>
        <v>2142.5796935999997</v>
      </c>
      <c r="L566" s="282">
        <f>++Tabla4[[#This Row],[Precio Unitario Neto]]-Tabla4[[#This Row],[20.85%]]</f>
        <v>8133.5819063999998</v>
      </c>
      <c r="M566" s="282" t="e">
        <f>(INDEX(Tabla6[#All],MATCH(Tabla4[[#This Row],[Producto]],Tabla6[[#All],[PRODUCTO]],0),MATCH(Tabla4[[#This Row],[Mes]],Tabla6[#Headers],0)))*(1+Catalogos!$L$2)</f>
        <v>#N/A</v>
      </c>
      <c r="N566" s="283" t="e">
        <f>+(Tabla4[[#This Row],[Precio Descontado]]-Tabla4[[#This Row],[Precio Base]])*Tabla4[[#This Row],[Cantidad]]</f>
        <v>#N/A</v>
      </c>
      <c r="O566" s="284" t="e">
        <f>++Tabla4[[#This Row],[Utilidad Total]]/Tabla4[[#This Row],[Total]]</f>
        <v>#N/A</v>
      </c>
      <c r="P566" s="282">
        <f>++Tabla4[[#This Row],[Precio Descontado]]*Tabla4[[#This Row],[Cantidad]]</f>
        <v>24400.7457192</v>
      </c>
      <c r="Q566" s="282" t="e">
        <f>(INDEX(Tabla6[#All],MATCH(Tabla4[[#This Row],[Producto]],Tabla6[[#All],[PRODUCTO]],0),MATCH(Tabla4[[#This Row],[Mes]],Tabla6[#Headers],0)))</f>
        <v>#N/A</v>
      </c>
      <c r="R566" s="282" t="e">
        <f>++Tabla4[[#This Row],[Precio Unitario Neto]]-Tabla4[[#This Row],[20.85%]]-Tabla4[[#This Row],[Costo]]</f>
        <v>#N/A</v>
      </c>
      <c r="S566" s="282" t="e">
        <f>++Tabla4[[#This Row],[U. Bruta Uni]]*Tabla4[[#This Row],[Cantidad]]</f>
        <v>#N/A</v>
      </c>
      <c r="T566" s="369" t="str">
        <f>VLOOKUP(Tabla4[[#This Row],[Producto]],Tabla6[#All],14,FALSE)</f>
        <v>Termico Solar</v>
      </c>
      <c r="U566" s="284" t="e">
        <f>(IF(Tabla4[[#This Row],[Familia]]="termico solar",Tabla4[[#This Row],[Utilidad Total]]*6%,Tabla4[[#This Row],[Utilidad Total]]*11.5%))/Tabla4[[#This Row],[Total]]</f>
        <v>#N/A</v>
      </c>
      <c r="V566" s="282" t="e">
        <f>+Tabla4[[#This Row],[Comisión Calculada]]*Tabla4[[#This Row],[Total]]</f>
        <v>#N/A</v>
      </c>
    </row>
    <row r="567" spans="1:22" hidden="1" x14ac:dyDescent="0.25">
      <c r="A567" s="100">
        <v>45703</v>
      </c>
      <c r="B567" t="str">
        <f t="shared" si="19"/>
        <v>February</v>
      </c>
      <c r="C567" s="46" t="s">
        <v>280</v>
      </c>
      <c r="F567" s="366" t="s">
        <v>952</v>
      </c>
      <c r="G567" s="46" t="s">
        <v>17</v>
      </c>
      <c r="H567" s="46">
        <v>7</v>
      </c>
      <c r="I567" s="51">
        <v>4622.28</v>
      </c>
      <c r="J567" s="281">
        <f>++Tabla4[[#This Row],[Precio Bruto]]*1.16</f>
        <v>5361.8447999999989</v>
      </c>
      <c r="K567" s="281">
        <f>+Tabla4[[#This Row],[Precio Unitario Neto]]*Tabla4[[#Headers],[20.85%]]</f>
        <v>1117.9446407999997</v>
      </c>
      <c r="L567" s="282">
        <f>++Tabla4[[#This Row],[Precio Unitario Neto]]-Tabla4[[#This Row],[20.85%]]</f>
        <v>4243.9001591999995</v>
      </c>
      <c r="M567" s="282" t="e">
        <f>(INDEX(Tabla6[#All],MATCH(Tabla4[[#This Row],[Producto]],Tabla6[[#All],[PRODUCTO]],0),MATCH(Tabla4[[#This Row],[Mes]],Tabla6[#Headers],0)))*(1+Catalogos!$L$2)</f>
        <v>#N/A</v>
      </c>
      <c r="N567" s="283" t="e">
        <f>+(Tabla4[[#This Row],[Precio Descontado]]-Tabla4[[#This Row],[Precio Base]])*Tabla4[[#This Row],[Cantidad]]</f>
        <v>#N/A</v>
      </c>
      <c r="O567" s="284" t="e">
        <f>++Tabla4[[#This Row],[Utilidad Total]]/Tabla4[[#This Row],[Total]]</f>
        <v>#N/A</v>
      </c>
      <c r="P567" s="282">
        <f>++Tabla4[[#This Row],[Precio Descontado]]*Tabla4[[#This Row],[Cantidad]]</f>
        <v>29707.301114399997</v>
      </c>
      <c r="Q567" s="282" t="e">
        <f>(INDEX(Tabla6[#All],MATCH(Tabla4[[#This Row],[Producto]],Tabla6[[#All],[PRODUCTO]],0),MATCH(Tabla4[[#This Row],[Mes]],Tabla6[#Headers],0)))</f>
        <v>#N/A</v>
      </c>
      <c r="R567" s="282" t="e">
        <f>++Tabla4[[#This Row],[Precio Unitario Neto]]-Tabla4[[#This Row],[20.85%]]-Tabla4[[#This Row],[Costo]]</f>
        <v>#N/A</v>
      </c>
      <c r="S567" s="282" t="e">
        <f>++Tabla4[[#This Row],[U. Bruta Uni]]*Tabla4[[#This Row],[Cantidad]]</f>
        <v>#N/A</v>
      </c>
      <c r="T567" s="369" t="str">
        <f>VLOOKUP(Tabla4[[#This Row],[Producto]],Tabla6[#All],14,FALSE)</f>
        <v>Termico Solar</v>
      </c>
      <c r="U567" s="284" t="e">
        <f>(IF(Tabla4[[#This Row],[Familia]]="termico solar",Tabla4[[#This Row],[Utilidad Total]]*6%,Tabla4[[#This Row],[Utilidad Total]]*11.5%))/Tabla4[[#This Row],[Total]]</f>
        <v>#N/A</v>
      </c>
      <c r="V567" s="282" t="e">
        <f>+Tabla4[[#This Row],[Comisión Calculada]]*Tabla4[[#This Row],[Total]]</f>
        <v>#N/A</v>
      </c>
    </row>
    <row r="568" spans="1:22" hidden="1" x14ac:dyDescent="0.25">
      <c r="A568" s="100">
        <v>45703</v>
      </c>
      <c r="B568" t="str">
        <f t="shared" si="19"/>
        <v>February</v>
      </c>
      <c r="C568" s="46" t="s">
        <v>280</v>
      </c>
      <c r="F568" s="366" t="s">
        <v>952</v>
      </c>
      <c r="G568" s="46" t="s">
        <v>18</v>
      </c>
      <c r="H568" s="46">
        <v>5</v>
      </c>
      <c r="I568" s="51">
        <v>5367.65</v>
      </c>
      <c r="J568" s="281">
        <f>++Tabla4[[#This Row],[Precio Bruto]]*1.16</f>
        <v>6226.4739999999993</v>
      </c>
      <c r="K568" s="281">
        <f>+Tabla4[[#This Row],[Precio Unitario Neto]]*Tabla4[[#Headers],[20.85%]]</f>
        <v>1298.2198289999999</v>
      </c>
      <c r="L568" s="282">
        <f>++Tabla4[[#This Row],[Precio Unitario Neto]]-Tabla4[[#This Row],[20.85%]]</f>
        <v>4928.2541709999996</v>
      </c>
      <c r="M568" s="282" t="e">
        <f>(INDEX(Tabla6[#All],MATCH(Tabla4[[#This Row],[Producto]],Tabla6[[#All],[PRODUCTO]],0),MATCH(Tabla4[[#This Row],[Mes]],Tabla6[#Headers],0)))*(1+Catalogos!$L$2)</f>
        <v>#N/A</v>
      </c>
      <c r="N568" s="283" t="e">
        <f>+(Tabla4[[#This Row],[Precio Descontado]]-Tabla4[[#This Row],[Precio Base]])*Tabla4[[#This Row],[Cantidad]]</f>
        <v>#N/A</v>
      </c>
      <c r="O568" s="284" t="e">
        <f>++Tabla4[[#This Row],[Utilidad Total]]/Tabla4[[#This Row],[Total]]</f>
        <v>#N/A</v>
      </c>
      <c r="P568" s="282">
        <f>++Tabla4[[#This Row],[Precio Descontado]]*Tabla4[[#This Row],[Cantidad]]</f>
        <v>24641.270854999999</v>
      </c>
      <c r="Q568" s="282" t="e">
        <f>(INDEX(Tabla6[#All],MATCH(Tabla4[[#This Row],[Producto]],Tabla6[[#All],[PRODUCTO]],0),MATCH(Tabla4[[#This Row],[Mes]],Tabla6[#Headers],0)))</f>
        <v>#N/A</v>
      </c>
      <c r="R568" s="282" t="e">
        <f>++Tabla4[[#This Row],[Precio Unitario Neto]]-Tabla4[[#This Row],[20.85%]]-Tabla4[[#This Row],[Costo]]</f>
        <v>#N/A</v>
      </c>
      <c r="S568" s="282" t="e">
        <f>++Tabla4[[#This Row],[U. Bruta Uni]]*Tabla4[[#This Row],[Cantidad]]</f>
        <v>#N/A</v>
      </c>
      <c r="T568" s="369" t="str">
        <f>VLOOKUP(Tabla4[[#This Row],[Producto]],Tabla6[#All],14,FALSE)</f>
        <v>Termico Solar</v>
      </c>
      <c r="U568" s="284" t="e">
        <f>(IF(Tabla4[[#This Row],[Familia]]="termico solar",Tabla4[[#This Row],[Utilidad Total]]*6%,Tabla4[[#This Row],[Utilidad Total]]*11.5%))/Tabla4[[#This Row],[Total]]</f>
        <v>#N/A</v>
      </c>
      <c r="V568" s="282" t="e">
        <f>+Tabla4[[#This Row],[Comisión Calculada]]*Tabla4[[#This Row],[Total]]</f>
        <v>#N/A</v>
      </c>
    </row>
    <row r="569" spans="1:22" hidden="1" x14ac:dyDescent="0.25">
      <c r="A569" s="100">
        <v>45703</v>
      </c>
      <c r="B569" t="str">
        <f t="shared" si="19"/>
        <v>February</v>
      </c>
      <c r="C569" s="46" t="s">
        <v>280</v>
      </c>
      <c r="F569" s="366" t="s">
        <v>952</v>
      </c>
      <c r="G569" s="46" t="s">
        <v>566</v>
      </c>
      <c r="H569" s="46">
        <v>1</v>
      </c>
      <c r="I569" s="51">
        <v>2109.4499999999998</v>
      </c>
      <c r="J569" s="281">
        <f>++Tabla4[[#This Row],[Precio Bruto]]*1.16</f>
        <v>2446.9619999999995</v>
      </c>
      <c r="K569" s="281">
        <f>+Tabla4[[#This Row],[Precio Unitario Neto]]*Tabla4[[#Headers],[20.85%]]</f>
        <v>510.19157699999988</v>
      </c>
      <c r="L569" s="282">
        <f>++Tabla4[[#This Row],[Precio Unitario Neto]]-Tabla4[[#This Row],[20.85%]]</f>
        <v>1936.7704229999997</v>
      </c>
      <c r="M569" s="282" t="e">
        <f>(INDEX(Tabla6[#All],MATCH(Tabla4[[#This Row],[Producto]],Tabla6[[#All],[PRODUCTO]],0),MATCH(Tabla4[[#This Row],[Mes]],Tabla6[#Headers],0)))*(1+Catalogos!$L$2)</f>
        <v>#N/A</v>
      </c>
      <c r="N569" s="283" t="e">
        <f>+(Tabla4[[#This Row],[Precio Descontado]]-Tabla4[[#This Row],[Precio Base]])*Tabla4[[#This Row],[Cantidad]]</f>
        <v>#N/A</v>
      </c>
      <c r="O569" s="284" t="e">
        <f>++Tabla4[[#This Row],[Utilidad Total]]/Tabla4[[#This Row],[Total]]</f>
        <v>#N/A</v>
      </c>
      <c r="P569" s="282">
        <f>++Tabla4[[#This Row],[Precio Descontado]]*Tabla4[[#This Row],[Cantidad]]</f>
        <v>1936.7704229999997</v>
      </c>
      <c r="Q569" s="282" t="e">
        <f>(INDEX(Tabla6[#All],MATCH(Tabla4[[#This Row],[Producto]],Tabla6[[#All],[PRODUCTO]],0),MATCH(Tabla4[[#This Row],[Mes]],Tabla6[#Headers],0)))</f>
        <v>#N/A</v>
      </c>
      <c r="R569" s="282" t="e">
        <f>++Tabla4[[#This Row],[Precio Unitario Neto]]-Tabla4[[#This Row],[20.85%]]-Tabla4[[#This Row],[Costo]]</f>
        <v>#N/A</v>
      </c>
      <c r="S569" s="282" t="e">
        <f>++Tabla4[[#This Row],[U. Bruta Uni]]*Tabla4[[#This Row],[Cantidad]]</f>
        <v>#N/A</v>
      </c>
      <c r="T569" s="369" t="str">
        <f>VLOOKUP(Tabla4[[#This Row],[Producto]],Tabla6[#All],14,FALSE)</f>
        <v>Termico Solar</v>
      </c>
      <c r="U569" s="284" t="e">
        <f>(IF(Tabla4[[#This Row],[Familia]]="termico solar",Tabla4[[#This Row],[Utilidad Total]]*6%,Tabla4[[#This Row],[Utilidad Total]]*11.5%))/Tabla4[[#This Row],[Total]]</f>
        <v>#N/A</v>
      </c>
      <c r="V569" s="282" t="e">
        <f>+Tabla4[[#This Row],[Comisión Calculada]]*Tabla4[[#This Row],[Total]]</f>
        <v>#N/A</v>
      </c>
    </row>
    <row r="570" spans="1:22" hidden="1" x14ac:dyDescent="0.25">
      <c r="A570" s="100">
        <v>45703</v>
      </c>
      <c r="B570" t="str">
        <f t="shared" si="19"/>
        <v>February</v>
      </c>
      <c r="C570" s="46" t="s">
        <v>280</v>
      </c>
      <c r="F570" s="366" t="s">
        <v>952</v>
      </c>
      <c r="G570" s="46" t="s">
        <v>16</v>
      </c>
      <c r="H570" s="46">
        <v>2</v>
      </c>
      <c r="I570" s="51">
        <v>4103.8500000000004</v>
      </c>
      <c r="J570" s="281">
        <f>++Tabla4[[#This Row],[Precio Bruto]]*1.16</f>
        <v>4760.4660000000003</v>
      </c>
      <c r="K570" s="281">
        <f>+Tabla4[[#This Row],[Precio Unitario Neto]]*Tabla4[[#Headers],[20.85%]]</f>
        <v>992.55716100000006</v>
      </c>
      <c r="L570" s="282">
        <f>++Tabla4[[#This Row],[Precio Unitario Neto]]-Tabla4[[#This Row],[20.85%]]</f>
        <v>3767.9088390000002</v>
      </c>
      <c r="M570" s="282" t="e">
        <f>(INDEX(Tabla6[#All],MATCH(Tabla4[[#This Row],[Producto]],Tabla6[[#All],[PRODUCTO]],0),MATCH(Tabla4[[#This Row],[Mes]],Tabla6[#Headers],0)))*(1+Catalogos!$L$2)</f>
        <v>#N/A</v>
      </c>
      <c r="N570" s="283" t="e">
        <f>+(Tabla4[[#This Row],[Precio Descontado]]-Tabla4[[#This Row],[Precio Base]])*Tabla4[[#This Row],[Cantidad]]</f>
        <v>#N/A</v>
      </c>
      <c r="O570" s="284" t="e">
        <f>++Tabla4[[#This Row],[Utilidad Total]]/Tabla4[[#This Row],[Total]]</f>
        <v>#N/A</v>
      </c>
      <c r="P570" s="282">
        <f>++Tabla4[[#This Row],[Precio Descontado]]*Tabla4[[#This Row],[Cantidad]]</f>
        <v>7535.8176780000003</v>
      </c>
      <c r="Q570" s="282" t="e">
        <f>(INDEX(Tabla6[#All],MATCH(Tabla4[[#This Row],[Producto]],Tabla6[[#All],[PRODUCTO]],0),MATCH(Tabla4[[#This Row],[Mes]],Tabla6[#Headers],0)))</f>
        <v>#N/A</v>
      </c>
      <c r="R570" s="282" t="e">
        <f>++Tabla4[[#This Row],[Precio Unitario Neto]]-Tabla4[[#This Row],[20.85%]]-Tabla4[[#This Row],[Costo]]</f>
        <v>#N/A</v>
      </c>
      <c r="S570" s="282" t="e">
        <f>++Tabla4[[#This Row],[U. Bruta Uni]]*Tabla4[[#This Row],[Cantidad]]</f>
        <v>#N/A</v>
      </c>
      <c r="T570" s="369" t="str">
        <f>VLOOKUP(Tabla4[[#This Row],[Producto]],Tabla6[#All],14,FALSE)</f>
        <v>Termico Solar</v>
      </c>
      <c r="U570" s="284" t="e">
        <f>(IF(Tabla4[[#This Row],[Familia]]="termico solar",Tabla4[[#This Row],[Utilidad Total]]*6%,Tabla4[[#This Row],[Utilidad Total]]*11.5%))/Tabla4[[#This Row],[Total]]</f>
        <v>#N/A</v>
      </c>
      <c r="V570" s="282" t="e">
        <f>+Tabla4[[#This Row],[Comisión Calculada]]*Tabla4[[#This Row],[Total]]</f>
        <v>#N/A</v>
      </c>
    </row>
    <row r="571" spans="1:22" hidden="1" x14ac:dyDescent="0.25">
      <c r="A571" s="100">
        <v>45703</v>
      </c>
      <c r="B571" t="str">
        <f t="shared" si="19"/>
        <v>February</v>
      </c>
      <c r="C571" s="46" t="s">
        <v>280</v>
      </c>
      <c r="F571" s="366" t="s">
        <v>953</v>
      </c>
      <c r="G571" s="46" t="s">
        <v>17</v>
      </c>
      <c r="H571" s="46">
        <v>4</v>
      </c>
      <c r="I571" s="51">
        <v>4622.28</v>
      </c>
      <c r="J571" s="281">
        <f>++Tabla4[[#This Row],[Precio Bruto]]*1.16</f>
        <v>5361.8447999999989</v>
      </c>
      <c r="K571" s="281">
        <f>+Tabla4[[#This Row],[Precio Unitario Neto]]*Tabla4[[#Headers],[20.85%]]</f>
        <v>1117.9446407999997</v>
      </c>
      <c r="L571" s="282">
        <f>++Tabla4[[#This Row],[Precio Unitario Neto]]-Tabla4[[#This Row],[20.85%]]</f>
        <v>4243.9001591999995</v>
      </c>
      <c r="M571" s="282" t="e">
        <f>(INDEX(Tabla6[#All],MATCH(Tabla4[[#This Row],[Producto]],Tabla6[[#All],[PRODUCTO]],0),MATCH(Tabla4[[#This Row],[Mes]],Tabla6[#Headers],0)))*(1+Catalogos!$L$2)</f>
        <v>#N/A</v>
      </c>
      <c r="N571" s="283" t="e">
        <f>+(Tabla4[[#This Row],[Precio Descontado]]-Tabla4[[#This Row],[Precio Base]])*Tabla4[[#This Row],[Cantidad]]</f>
        <v>#N/A</v>
      </c>
      <c r="O571" s="284" t="e">
        <f>++Tabla4[[#This Row],[Utilidad Total]]/Tabla4[[#This Row],[Total]]</f>
        <v>#N/A</v>
      </c>
      <c r="P571" s="282">
        <f>++Tabla4[[#This Row],[Precio Descontado]]*Tabla4[[#This Row],[Cantidad]]</f>
        <v>16975.600636799998</v>
      </c>
      <c r="Q571" s="282" t="e">
        <f>(INDEX(Tabla6[#All],MATCH(Tabla4[[#This Row],[Producto]],Tabla6[[#All],[PRODUCTO]],0),MATCH(Tabla4[[#This Row],[Mes]],Tabla6[#Headers],0)))</f>
        <v>#N/A</v>
      </c>
      <c r="R571" s="282" t="e">
        <f>++Tabla4[[#This Row],[Precio Unitario Neto]]-Tabla4[[#This Row],[20.85%]]-Tabla4[[#This Row],[Costo]]</f>
        <v>#N/A</v>
      </c>
      <c r="S571" s="282" t="e">
        <f>++Tabla4[[#This Row],[U. Bruta Uni]]*Tabla4[[#This Row],[Cantidad]]</f>
        <v>#N/A</v>
      </c>
      <c r="T571" s="369" t="str">
        <f>VLOOKUP(Tabla4[[#This Row],[Producto]],Tabla6[#All],14,FALSE)</f>
        <v>Termico Solar</v>
      </c>
      <c r="U571" s="284" t="e">
        <f>(IF(Tabla4[[#This Row],[Familia]]="termico solar",Tabla4[[#This Row],[Utilidad Total]]*6%,Tabla4[[#This Row],[Utilidad Total]]*11.5%))/Tabla4[[#This Row],[Total]]</f>
        <v>#N/A</v>
      </c>
      <c r="V571" s="282" t="e">
        <f>+Tabla4[[#This Row],[Comisión Calculada]]*Tabla4[[#This Row],[Total]]</f>
        <v>#N/A</v>
      </c>
    </row>
    <row r="572" spans="1:22" hidden="1" x14ac:dyDescent="0.25">
      <c r="A572" s="100">
        <v>45703</v>
      </c>
      <c r="B572" t="str">
        <f t="shared" si="19"/>
        <v>February</v>
      </c>
      <c r="C572" s="46" t="s">
        <v>280</v>
      </c>
      <c r="F572" s="366" t="s">
        <v>953</v>
      </c>
      <c r="G572" s="46" t="s">
        <v>18</v>
      </c>
      <c r="H572" s="46">
        <v>3</v>
      </c>
      <c r="I572" s="51">
        <v>5367.6500000000005</v>
      </c>
      <c r="J572" s="281">
        <f>++Tabla4[[#This Row],[Precio Bruto]]*1.16</f>
        <v>6226.4740000000002</v>
      </c>
      <c r="K572" s="281">
        <f>+Tabla4[[#This Row],[Precio Unitario Neto]]*Tabla4[[#Headers],[20.85%]]</f>
        <v>1298.2198289999999</v>
      </c>
      <c r="L572" s="282">
        <f>++Tabla4[[#This Row],[Precio Unitario Neto]]-Tabla4[[#This Row],[20.85%]]</f>
        <v>4928.2541710000005</v>
      </c>
      <c r="M572" s="282" t="e">
        <f>(INDEX(Tabla6[#All],MATCH(Tabla4[[#This Row],[Producto]],Tabla6[[#All],[PRODUCTO]],0),MATCH(Tabla4[[#This Row],[Mes]],Tabla6[#Headers],0)))*(1+Catalogos!$L$2)</f>
        <v>#N/A</v>
      </c>
      <c r="N572" s="283" t="e">
        <f>+(Tabla4[[#This Row],[Precio Descontado]]-Tabla4[[#This Row],[Precio Base]])*Tabla4[[#This Row],[Cantidad]]</f>
        <v>#N/A</v>
      </c>
      <c r="O572" s="284" t="e">
        <f>++Tabla4[[#This Row],[Utilidad Total]]/Tabla4[[#This Row],[Total]]</f>
        <v>#N/A</v>
      </c>
      <c r="P572" s="282">
        <f>++Tabla4[[#This Row],[Precio Descontado]]*Tabla4[[#This Row],[Cantidad]]</f>
        <v>14784.762513000001</v>
      </c>
      <c r="Q572" s="282" t="e">
        <f>(INDEX(Tabla6[#All],MATCH(Tabla4[[#This Row],[Producto]],Tabla6[[#All],[PRODUCTO]],0),MATCH(Tabla4[[#This Row],[Mes]],Tabla6[#Headers],0)))</f>
        <v>#N/A</v>
      </c>
      <c r="R572" s="282" t="e">
        <f>++Tabla4[[#This Row],[Precio Unitario Neto]]-Tabla4[[#This Row],[20.85%]]-Tabla4[[#This Row],[Costo]]</f>
        <v>#N/A</v>
      </c>
      <c r="S572" s="282" t="e">
        <f>++Tabla4[[#This Row],[U. Bruta Uni]]*Tabla4[[#This Row],[Cantidad]]</f>
        <v>#N/A</v>
      </c>
      <c r="T572" s="369" t="str">
        <f>VLOOKUP(Tabla4[[#This Row],[Producto]],Tabla6[#All],14,FALSE)</f>
        <v>Termico Solar</v>
      </c>
      <c r="U572" s="284" t="e">
        <f>(IF(Tabla4[[#This Row],[Familia]]="termico solar",Tabla4[[#This Row],[Utilidad Total]]*6%,Tabla4[[#This Row],[Utilidad Total]]*11.5%))/Tabla4[[#This Row],[Total]]</f>
        <v>#N/A</v>
      </c>
      <c r="V572" s="282" t="e">
        <f>+Tabla4[[#This Row],[Comisión Calculada]]*Tabla4[[#This Row],[Total]]</f>
        <v>#N/A</v>
      </c>
    </row>
    <row r="573" spans="1:22" hidden="1" x14ac:dyDescent="0.25">
      <c r="A573" s="100">
        <v>45703</v>
      </c>
      <c r="B573" t="str">
        <f t="shared" si="19"/>
        <v>February</v>
      </c>
      <c r="C573" s="46" t="s">
        <v>280</v>
      </c>
      <c r="F573" s="366" t="s">
        <v>953</v>
      </c>
      <c r="G573" s="46" t="s">
        <v>19</v>
      </c>
      <c r="H573" s="46">
        <v>1</v>
      </c>
      <c r="I573" s="51">
        <v>6412.03</v>
      </c>
      <c r="J573" s="281">
        <f>++Tabla4[[#This Row],[Precio Bruto]]*1.16</f>
        <v>7437.9547999999995</v>
      </c>
      <c r="K573" s="281">
        <f>+Tabla4[[#This Row],[Precio Unitario Neto]]*Tabla4[[#Headers],[20.85%]]</f>
        <v>1550.8135757999999</v>
      </c>
      <c r="L573" s="282">
        <f>++Tabla4[[#This Row],[Precio Unitario Neto]]-Tabla4[[#This Row],[20.85%]]</f>
        <v>5887.1412241999997</v>
      </c>
      <c r="M573" s="282" t="e">
        <f>(INDEX(Tabla6[#All],MATCH(Tabla4[[#This Row],[Producto]],Tabla6[[#All],[PRODUCTO]],0),MATCH(Tabla4[[#This Row],[Mes]],Tabla6[#Headers],0)))*(1+Catalogos!$L$2)</f>
        <v>#N/A</v>
      </c>
      <c r="N573" s="283" t="e">
        <f>+(Tabla4[[#This Row],[Precio Descontado]]-Tabla4[[#This Row],[Precio Base]])*Tabla4[[#This Row],[Cantidad]]</f>
        <v>#N/A</v>
      </c>
      <c r="O573" s="284" t="e">
        <f>++Tabla4[[#This Row],[Utilidad Total]]/Tabla4[[#This Row],[Total]]</f>
        <v>#N/A</v>
      </c>
      <c r="P573" s="282">
        <f>++Tabla4[[#This Row],[Precio Descontado]]*Tabla4[[#This Row],[Cantidad]]</f>
        <v>5887.1412241999997</v>
      </c>
      <c r="Q573" s="282" t="e">
        <f>(INDEX(Tabla6[#All],MATCH(Tabla4[[#This Row],[Producto]],Tabla6[[#All],[PRODUCTO]],0),MATCH(Tabla4[[#This Row],[Mes]],Tabla6[#Headers],0)))</f>
        <v>#N/A</v>
      </c>
      <c r="R573" s="282" t="e">
        <f>++Tabla4[[#This Row],[Precio Unitario Neto]]-Tabla4[[#This Row],[20.85%]]-Tabla4[[#This Row],[Costo]]</f>
        <v>#N/A</v>
      </c>
      <c r="S573" s="282" t="e">
        <f>++Tabla4[[#This Row],[U. Bruta Uni]]*Tabla4[[#This Row],[Cantidad]]</f>
        <v>#N/A</v>
      </c>
      <c r="T573" s="369" t="str">
        <f>VLOOKUP(Tabla4[[#This Row],[Producto]],Tabla6[#All],14,FALSE)</f>
        <v>Termico Solar</v>
      </c>
      <c r="U573" s="284" t="e">
        <f>(IF(Tabla4[[#This Row],[Familia]]="termico solar",Tabla4[[#This Row],[Utilidad Total]]*6%,Tabla4[[#This Row],[Utilidad Total]]*11.5%))/Tabla4[[#This Row],[Total]]</f>
        <v>#N/A</v>
      </c>
      <c r="V573" s="282" t="e">
        <f>+Tabla4[[#This Row],[Comisión Calculada]]*Tabla4[[#This Row],[Total]]</f>
        <v>#N/A</v>
      </c>
    </row>
    <row r="574" spans="1:22" hidden="1" x14ac:dyDescent="0.25">
      <c r="A574" s="100">
        <v>45703</v>
      </c>
      <c r="B574" t="str">
        <f t="shared" si="19"/>
        <v>February</v>
      </c>
      <c r="C574" s="46" t="s">
        <v>280</v>
      </c>
      <c r="F574" s="366" t="s">
        <v>953</v>
      </c>
      <c r="G574" s="46" t="s">
        <v>566</v>
      </c>
      <c r="H574" s="46">
        <v>1</v>
      </c>
      <c r="I574" s="51">
        <v>2109.4499999999998</v>
      </c>
      <c r="J574" s="281">
        <f>++Tabla4[[#This Row],[Precio Bruto]]*1.16</f>
        <v>2446.9619999999995</v>
      </c>
      <c r="K574" s="281">
        <f>+Tabla4[[#This Row],[Precio Unitario Neto]]*Tabla4[[#Headers],[20.85%]]</f>
        <v>510.19157699999988</v>
      </c>
      <c r="L574" s="282">
        <f>++Tabla4[[#This Row],[Precio Unitario Neto]]-Tabla4[[#This Row],[20.85%]]</f>
        <v>1936.7704229999997</v>
      </c>
      <c r="M574" s="282" t="e">
        <f>(INDEX(Tabla6[#All],MATCH(Tabla4[[#This Row],[Producto]],Tabla6[[#All],[PRODUCTO]],0),MATCH(Tabla4[[#This Row],[Mes]],Tabla6[#Headers],0)))*(1+Catalogos!$L$2)</f>
        <v>#N/A</v>
      </c>
      <c r="N574" s="283" t="e">
        <f>+(Tabla4[[#This Row],[Precio Descontado]]-Tabla4[[#This Row],[Precio Base]])*Tabla4[[#This Row],[Cantidad]]</f>
        <v>#N/A</v>
      </c>
      <c r="O574" s="284" t="e">
        <f>++Tabla4[[#This Row],[Utilidad Total]]/Tabla4[[#This Row],[Total]]</f>
        <v>#N/A</v>
      </c>
      <c r="P574" s="282">
        <f>++Tabla4[[#This Row],[Precio Descontado]]*Tabla4[[#This Row],[Cantidad]]</f>
        <v>1936.7704229999997</v>
      </c>
      <c r="Q574" s="282" t="e">
        <f>(INDEX(Tabla6[#All],MATCH(Tabla4[[#This Row],[Producto]],Tabla6[[#All],[PRODUCTO]],0),MATCH(Tabla4[[#This Row],[Mes]],Tabla6[#Headers],0)))</f>
        <v>#N/A</v>
      </c>
      <c r="R574" s="282" t="e">
        <f>++Tabla4[[#This Row],[Precio Unitario Neto]]-Tabla4[[#This Row],[20.85%]]-Tabla4[[#This Row],[Costo]]</f>
        <v>#N/A</v>
      </c>
      <c r="S574" s="282" t="e">
        <f>++Tabla4[[#This Row],[U. Bruta Uni]]*Tabla4[[#This Row],[Cantidad]]</f>
        <v>#N/A</v>
      </c>
      <c r="T574" s="369" t="str">
        <f>VLOOKUP(Tabla4[[#This Row],[Producto]],Tabla6[#All],14,FALSE)</f>
        <v>Termico Solar</v>
      </c>
      <c r="U574" s="284" t="e">
        <f>(IF(Tabla4[[#This Row],[Familia]]="termico solar",Tabla4[[#This Row],[Utilidad Total]]*6%,Tabla4[[#This Row],[Utilidad Total]]*11.5%))/Tabla4[[#This Row],[Total]]</f>
        <v>#N/A</v>
      </c>
      <c r="V574" s="282" t="e">
        <f>+Tabla4[[#This Row],[Comisión Calculada]]*Tabla4[[#This Row],[Total]]</f>
        <v>#N/A</v>
      </c>
    </row>
    <row r="575" spans="1:22" hidden="1" x14ac:dyDescent="0.25">
      <c r="A575" s="100">
        <v>45703</v>
      </c>
      <c r="B575" t="str">
        <f t="shared" si="19"/>
        <v>February</v>
      </c>
      <c r="C575" s="46" t="s">
        <v>280</v>
      </c>
      <c r="F575" s="366" t="s">
        <v>954</v>
      </c>
      <c r="G575" s="46" t="s">
        <v>18</v>
      </c>
      <c r="H575" s="46">
        <v>2</v>
      </c>
      <c r="I575" s="51">
        <v>5367.65</v>
      </c>
      <c r="J575" s="281">
        <f>++Tabla4[[#This Row],[Precio Bruto]]*1.16</f>
        <v>6226.4739999999993</v>
      </c>
      <c r="K575" s="281">
        <f>+Tabla4[[#This Row],[Precio Unitario Neto]]*Tabla4[[#Headers],[20.85%]]</f>
        <v>1298.2198289999999</v>
      </c>
      <c r="L575" s="282">
        <f>++Tabla4[[#This Row],[Precio Unitario Neto]]-Tabla4[[#This Row],[20.85%]]</f>
        <v>4928.2541709999996</v>
      </c>
      <c r="M575" s="282" t="e">
        <f>(INDEX(Tabla6[#All],MATCH(Tabla4[[#This Row],[Producto]],Tabla6[[#All],[PRODUCTO]],0),MATCH(Tabla4[[#This Row],[Mes]],Tabla6[#Headers],0)))*(1+Catalogos!$L$2)</f>
        <v>#N/A</v>
      </c>
      <c r="N575" s="283" t="e">
        <f>+(Tabla4[[#This Row],[Precio Descontado]]-Tabla4[[#This Row],[Precio Base]])*Tabla4[[#This Row],[Cantidad]]</f>
        <v>#N/A</v>
      </c>
      <c r="O575" s="284" t="e">
        <f>++Tabla4[[#This Row],[Utilidad Total]]/Tabla4[[#This Row],[Total]]</f>
        <v>#N/A</v>
      </c>
      <c r="P575" s="282">
        <f>++Tabla4[[#This Row],[Precio Descontado]]*Tabla4[[#This Row],[Cantidad]]</f>
        <v>9856.5083419999992</v>
      </c>
      <c r="Q575" s="282" t="e">
        <f>(INDEX(Tabla6[#All],MATCH(Tabla4[[#This Row],[Producto]],Tabla6[[#All],[PRODUCTO]],0),MATCH(Tabla4[[#This Row],[Mes]],Tabla6[#Headers],0)))</f>
        <v>#N/A</v>
      </c>
      <c r="R575" s="282" t="e">
        <f>++Tabla4[[#This Row],[Precio Unitario Neto]]-Tabla4[[#This Row],[20.85%]]-Tabla4[[#This Row],[Costo]]</f>
        <v>#N/A</v>
      </c>
      <c r="S575" s="282" t="e">
        <f>++Tabla4[[#This Row],[U. Bruta Uni]]*Tabla4[[#This Row],[Cantidad]]</f>
        <v>#N/A</v>
      </c>
      <c r="T575" s="369" t="str">
        <f>VLOOKUP(Tabla4[[#This Row],[Producto]],Tabla6[#All],14,FALSE)</f>
        <v>Termico Solar</v>
      </c>
      <c r="U575" s="284" t="e">
        <f>(IF(Tabla4[[#This Row],[Familia]]="termico solar",Tabla4[[#This Row],[Utilidad Total]]*6%,Tabla4[[#This Row],[Utilidad Total]]*11.5%))/Tabla4[[#This Row],[Total]]</f>
        <v>#N/A</v>
      </c>
      <c r="V575" s="282" t="e">
        <f>+Tabla4[[#This Row],[Comisión Calculada]]*Tabla4[[#This Row],[Total]]</f>
        <v>#N/A</v>
      </c>
    </row>
    <row r="576" spans="1:22" hidden="1" x14ac:dyDescent="0.25">
      <c r="A576" s="100">
        <v>45703</v>
      </c>
      <c r="B576" t="str">
        <f t="shared" ref="B576:B639" si="20">TEXT(A576, "mmmm")</f>
        <v>February</v>
      </c>
      <c r="C576" s="46" t="s">
        <v>280</v>
      </c>
      <c r="F576" s="366" t="s">
        <v>955</v>
      </c>
      <c r="G576" s="46" t="s">
        <v>83</v>
      </c>
      <c r="H576" s="46">
        <v>1</v>
      </c>
      <c r="I576" s="51">
        <v>8858.76</v>
      </c>
      <c r="J576" s="281">
        <f>++Tabla4[[#This Row],[Precio Bruto]]*1.16</f>
        <v>10276.161599999999</v>
      </c>
      <c r="K576" s="281">
        <f>+Tabla4[[#This Row],[Precio Unitario Neto]]*Tabla4[[#Headers],[20.85%]]</f>
        <v>2142.5796935999997</v>
      </c>
      <c r="L576" s="282">
        <f>++Tabla4[[#This Row],[Precio Unitario Neto]]-Tabla4[[#This Row],[20.85%]]</f>
        <v>8133.5819063999998</v>
      </c>
      <c r="M576" s="282" t="e">
        <f>(INDEX(Tabla6[#All],MATCH(Tabla4[[#This Row],[Producto]],Tabla6[[#All],[PRODUCTO]],0),MATCH(Tabla4[[#This Row],[Mes]],Tabla6[#Headers],0)))*(1+Catalogos!$L$2)</f>
        <v>#N/A</v>
      </c>
      <c r="N576" s="283" t="e">
        <f>+(Tabla4[[#This Row],[Precio Descontado]]-Tabla4[[#This Row],[Precio Base]])*Tabla4[[#This Row],[Cantidad]]</f>
        <v>#N/A</v>
      </c>
      <c r="O576" s="284" t="e">
        <f>++Tabla4[[#This Row],[Utilidad Total]]/Tabla4[[#This Row],[Total]]</f>
        <v>#N/A</v>
      </c>
      <c r="P576" s="282">
        <f>++Tabla4[[#This Row],[Precio Descontado]]*Tabla4[[#This Row],[Cantidad]]</f>
        <v>8133.5819063999998</v>
      </c>
      <c r="Q576" s="282" t="e">
        <f>(INDEX(Tabla6[#All],MATCH(Tabla4[[#This Row],[Producto]],Tabla6[[#All],[PRODUCTO]],0),MATCH(Tabla4[[#This Row],[Mes]],Tabla6[#Headers],0)))</f>
        <v>#N/A</v>
      </c>
      <c r="R576" s="282" t="e">
        <f>++Tabla4[[#This Row],[Precio Unitario Neto]]-Tabla4[[#This Row],[20.85%]]-Tabla4[[#This Row],[Costo]]</f>
        <v>#N/A</v>
      </c>
      <c r="S576" s="282" t="e">
        <f>++Tabla4[[#This Row],[U. Bruta Uni]]*Tabla4[[#This Row],[Cantidad]]</f>
        <v>#N/A</v>
      </c>
      <c r="T576" s="369" t="str">
        <f>VLOOKUP(Tabla4[[#This Row],[Producto]],Tabla6[#All],14,FALSE)</f>
        <v>Termico Solar</v>
      </c>
      <c r="U576" s="284" t="e">
        <f>(IF(Tabla4[[#This Row],[Familia]]="termico solar",Tabla4[[#This Row],[Utilidad Total]]*6%,Tabla4[[#This Row],[Utilidad Total]]*11.5%))/Tabla4[[#This Row],[Total]]</f>
        <v>#N/A</v>
      </c>
      <c r="V576" s="282" t="e">
        <f>+Tabla4[[#This Row],[Comisión Calculada]]*Tabla4[[#This Row],[Total]]</f>
        <v>#N/A</v>
      </c>
    </row>
    <row r="577" spans="1:22" hidden="1" x14ac:dyDescent="0.25">
      <c r="A577" s="100">
        <v>45703</v>
      </c>
      <c r="B577" t="str">
        <f t="shared" si="20"/>
        <v>February</v>
      </c>
      <c r="C577" s="46" t="s">
        <v>280</v>
      </c>
      <c r="F577" s="366" t="s">
        <v>955</v>
      </c>
      <c r="G577" s="46" t="s">
        <v>17</v>
      </c>
      <c r="H577" s="46">
        <v>4</v>
      </c>
      <c r="I577" s="51">
        <v>4622.28</v>
      </c>
      <c r="J577" s="281">
        <f>++Tabla4[[#This Row],[Precio Bruto]]*1.16</f>
        <v>5361.8447999999989</v>
      </c>
      <c r="K577" s="281">
        <f>+Tabla4[[#This Row],[Precio Unitario Neto]]*Tabla4[[#Headers],[20.85%]]</f>
        <v>1117.9446407999997</v>
      </c>
      <c r="L577" s="282">
        <f>++Tabla4[[#This Row],[Precio Unitario Neto]]-Tabla4[[#This Row],[20.85%]]</f>
        <v>4243.9001591999995</v>
      </c>
      <c r="M577" s="282" t="e">
        <f>(INDEX(Tabla6[#All],MATCH(Tabla4[[#This Row],[Producto]],Tabla6[[#All],[PRODUCTO]],0),MATCH(Tabla4[[#This Row],[Mes]],Tabla6[#Headers],0)))*(1+Catalogos!$L$2)</f>
        <v>#N/A</v>
      </c>
      <c r="N577" s="283" t="e">
        <f>+(Tabla4[[#This Row],[Precio Descontado]]-Tabla4[[#This Row],[Precio Base]])*Tabla4[[#This Row],[Cantidad]]</f>
        <v>#N/A</v>
      </c>
      <c r="O577" s="284" t="e">
        <f>++Tabla4[[#This Row],[Utilidad Total]]/Tabla4[[#This Row],[Total]]</f>
        <v>#N/A</v>
      </c>
      <c r="P577" s="282">
        <f>++Tabla4[[#This Row],[Precio Descontado]]*Tabla4[[#This Row],[Cantidad]]</f>
        <v>16975.600636799998</v>
      </c>
      <c r="Q577" s="282" t="e">
        <f>(INDEX(Tabla6[#All],MATCH(Tabla4[[#This Row],[Producto]],Tabla6[[#All],[PRODUCTO]],0),MATCH(Tabla4[[#This Row],[Mes]],Tabla6[#Headers],0)))</f>
        <v>#N/A</v>
      </c>
      <c r="R577" s="282" t="e">
        <f>++Tabla4[[#This Row],[Precio Unitario Neto]]-Tabla4[[#This Row],[20.85%]]-Tabla4[[#This Row],[Costo]]</f>
        <v>#N/A</v>
      </c>
      <c r="S577" s="282" t="e">
        <f>++Tabla4[[#This Row],[U. Bruta Uni]]*Tabla4[[#This Row],[Cantidad]]</f>
        <v>#N/A</v>
      </c>
      <c r="T577" s="369" t="str">
        <f>VLOOKUP(Tabla4[[#This Row],[Producto]],Tabla6[#All],14,FALSE)</f>
        <v>Termico Solar</v>
      </c>
      <c r="U577" s="284" t="e">
        <f>(IF(Tabla4[[#This Row],[Familia]]="termico solar",Tabla4[[#This Row],[Utilidad Total]]*6%,Tabla4[[#This Row],[Utilidad Total]]*11.5%))/Tabla4[[#This Row],[Total]]</f>
        <v>#N/A</v>
      </c>
      <c r="V577" s="282" t="e">
        <f>+Tabla4[[#This Row],[Comisión Calculada]]*Tabla4[[#This Row],[Total]]</f>
        <v>#N/A</v>
      </c>
    </row>
    <row r="578" spans="1:22" hidden="1" x14ac:dyDescent="0.25">
      <c r="A578" s="100">
        <v>45703</v>
      </c>
      <c r="B578" t="str">
        <f t="shared" si="20"/>
        <v>February</v>
      </c>
      <c r="C578" s="46" t="s">
        <v>280</v>
      </c>
      <c r="F578" s="366" t="s">
        <v>955</v>
      </c>
      <c r="G578" s="46" t="s">
        <v>16</v>
      </c>
      <c r="H578" s="46">
        <v>2</v>
      </c>
      <c r="I578" s="51">
        <v>4103.8500000000004</v>
      </c>
      <c r="J578" s="281">
        <f>++Tabla4[[#This Row],[Precio Bruto]]*1.16</f>
        <v>4760.4660000000003</v>
      </c>
      <c r="K578" s="281">
        <f>+Tabla4[[#This Row],[Precio Unitario Neto]]*Tabla4[[#Headers],[20.85%]]</f>
        <v>992.55716100000006</v>
      </c>
      <c r="L578" s="282">
        <f>++Tabla4[[#This Row],[Precio Unitario Neto]]-Tabla4[[#This Row],[20.85%]]</f>
        <v>3767.9088390000002</v>
      </c>
      <c r="M578" s="282" t="e">
        <f>(INDEX(Tabla6[#All],MATCH(Tabla4[[#This Row],[Producto]],Tabla6[[#All],[PRODUCTO]],0),MATCH(Tabla4[[#This Row],[Mes]],Tabla6[#Headers],0)))*(1+Catalogos!$L$2)</f>
        <v>#N/A</v>
      </c>
      <c r="N578" s="283" t="e">
        <f>+(Tabla4[[#This Row],[Precio Descontado]]-Tabla4[[#This Row],[Precio Base]])*Tabla4[[#This Row],[Cantidad]]</f>
        <v>#N/A</v>
      </c>
      <c r="O578" s="284" t="e">
        <f>++Tabla4[[#This Row],[Utilidad Total]]/Tabla4[[#This Row],[Total]]</f>
        <v>#N/A</v>
      </c>
      <c r="P578" s="282">
        <f>++Tabla4[[#This Row],[Precio Descontado]]*Tabla4[[#This Row],[Cantidad]]</f>
        <v>7535.8176780000003</v>
      </c>
      <c r="Q578" s="282" t="e">
        <f>(INDEX(Tabla6[#All],MATCH(Tabla4[[#This Row],[Producto]],Tabla6[[#All],[PRODUCTO]],0),MATCH(Tabla4[[#This Row],[Mes]],Tabla6[#Headers],0)))</f>
        <v>#N/A</v>
      </c>
      <c r="R578" s="282" t="e">
        <f>++Tabla4[[#This Row],[Precio Unitario Neto]]-Tabla4[[#This Row],[20.85%]]-Tabla4[[#This Row],[Costo]]</f>
        <v>#N/A</v>
      </c>
      <c r="S578" s="282" t="e">
        <f>++Tabla4[[#This Row],[U. Bruta Uni]]*Tabla4[[#This Row],[Cantidad]]</f>
        <v>#N/A</v>
      </c>
      <c r="T578" s="369" t="str">
        <f>VLOOKUP(Tabla4[[#This Row],[Producto]],Tabla6[#All],14,FALSE)</f>
        <v>Termico Solar</v>
      </c>
      <c r="U578" s="284" t="e">
        <f>(IF(Tabla4[[#This Row],[Familia]]="termico solar",Tabla4[[#This Row],[Utilidad Total]]*6%,Tabla4[[#This Row],[Utilidad Total]]*11.5%))/Tabla4[[#This Row],[Total]]</f>
        <v>#N/A</v>
      </c>
      <c r="V578" s="282" t="e">
        <f>+Tabla4[[#This Row],[Comisión Calculada]]*Tabla4[[#This Row],[Total]]</f>
        <v>#N/A</v>
      </c>
    </row>
    <row r="579" spans="1:22" hidden="1" x14ac:dyDescent="0.25">
      <c r="A579" s="100">
        <v>45703</v>
      </c>
      <c r="B579" t="str">
        <f t="shared" si="20"/>
        <v>February</v>
      </c>
      <c r="C579" s="46" t="s">
        <v>280</v>
      </c>
      <c r="F579" s="366" t="s">
        <v>956</v>
      </c>
      <c r="G579" s="46" t="s">
        <v>17</v>
      </c>
      <c r="H579" s="46">
        <v>3</v>
      </c>
      <c r="I579" s="51">
        <v>4622.28</v>
      </c>
      <c r="J579" s="281">
        <f>++Tabla4[[#This Row],[Precio Bruto]]*1.16</f>
        <v>5361.8447999999989</v>
      </c>
      <c r="K579" s="281">
        <f>+Tabla4[[#This Row],[Precio Unitario Neto]]*Tabla4[[#Headers],[20.85%]]</f>
        <v>1117.9446407999997</v>
      </c>
      <c r="L579" s="282">
        <f>++Tabla4[[#This Row],[Precio Unitario Neto]]-Tabla4[[#This Row],[20.85%]]</f>
        <v>4243.9001591999995</v>
      </c>
      <c r="M579" s="282" t="e">
        <f>(INDEX(Tabla6[#All],MATCH(Tabla4[[#This Row],[Producto]],Tabla6[[#All],[PRODUCTO]],0),MATCH(Tabla4[[#This Row],[Mes]],Tabla6[#Headers],0)))*(1+Catalogos!$L$2)</f>
        <v>#N/A</v>
      </c>
      <c r="N579" s="283" t="e">
        <f>+(Tabla4[[#This Row],[Precio Descontado]]-Tabla4[[#This Row],[Precio Base]])*Tabla4[[#This Row],[Cantidad]]</f>
        <v>#N/A</v>
      </c>
      <c r="O579" s="284" t="e">
        <f>++Tabla4[[#This Row],[Utilidad Total]]/Tabla4[[#This Row],[Total]]</f>
        <v>#N/A</v>
      </c>
      <c r="P579" s="282">
        <f>++Tabla4[[#This Row],[Precio Descontado]]*Tabla4[[#This Row],[Cantidad]]</f>
        <v>12731.700477599999</v>
      </c>
      <c r="Q579" s="282" t="e">
        <f>(INDEX(Tabla6[#All],MATCH(Tabla4[[#This Row],[Producto]],Tabla6[[#All],[PRODUCTO]],0),MATCH(Tabla4[[#This Row],[Mes]],Tabla6[#Headers],0)))</f>
        <v>#N/A</v>
      </c>
      <c r="R579" s="282" t="e">
        <f>++Tabla4[[#This Row],[Precio Unitario Neto]]-Tabla4[[#This Row],[20.85%]]-Tabla4[[#This Row],[Costo]]</f>
        <v>#N/A</v>
      </c>
      <c r="S579" s="282" t="e">
        <f>++Tabla4[[#This Row],[U. Bruta Uni]]*Tabla4[[#This Row],[Cantidad]]</f>
        <v>#N/A</v>
      </c>
      <c r="T579" s="369" t="str">
        <f>VLOOKUP(Tabla4[[#This Row],[Producto]],Tabla6[#All],14,FALSE)</f>
        <v>Termico Solar</v>
      </c>
      <c r="U579" s="284" t="e">
        <f>(IF(Tabla4[[#This Row],[Familia]]="termico solar",Tabla4[[#This Row],[Utilidad Total]]*6%,Tabla4[[#This Row],[Utilidad Total]]*11.5%))/Tabla4[[#This Row],[Total]]</f>
        <v>#N/A</v>
      </c>
      <c r="V579" s="282" t="e">
        <f>+Tabla4[[#This Row],[Comisión Calculada]]*Tabla4[[#This Row],[Total]]</f>
        <v>#N/A</v>
      </c>
    </row>
    <row r="580" spans="1:22" hidden="1" x14ac:dyDescent="0.25">
      <c r="A580" s="100">
        <v>45703</v>
      </c>
      <c r="B580" t="str">
        <f t="shared" si="20"/>
        <v>February</v>
      </c>
      <c r="C580" s="46" t="s">
        <v>280</v>
      </c>
      <c r="F580" s="366" t="s">
        <v>956</v>
      </c>
      <c r="G580" s="46" t="s">
        <v>16</v>
      </c>
      <c r="H580" s="46">
        <v>2</v>
      </c>
      <c r="I580" s="51">
        <v>4103.8500000000004</v>
      </c>
      <c r="J580" s="281">
        <f>++Tabla4[[#This Row],[Precio Bruto]]*1.16</f>
        <v>4760.4660000000003</v>
      </c>
      <c r="K580" s="281">
        <f>+Tabla4[[#This Row],[Precio Unitario Neto]]*Tabla4[[#Headers],[20.85%]]</f>
        <v>992.55716100000006</v>
      </c>
      <c r="L580" s="282">
        <f>++Tabla4[[#This Row],[Precio Unitario Neto]]-Tabla4[[#This Row],[20.85%]]</f>
        <v>3767.9088390000002</v>
      </c>
      <c r="M580" s="282" t="e">
        <f>(INDEX(Tabla6[#All],MATCH(Tabla4[[#This Row],[Producto]],Tabla6[[#All],[PRODUCTO]],0),MATCH(Tabla4[[#This Row],[Mes]],Tabla6[#Headers],0)))*(1+Catalogos!$L$2)</f>
        <v>#N/A</v>
      </c>
      <c r="N580" s="283" t="e">
        <f>+(Tabla4[[#This Row],[Precio Descontado]]-Tabla4[[#This Row],[Precio Base]])*Tabla4[[#This Row],[Cantidad]]</f>
        <v>#N/A</v>
      </c>
      <c r="O580" s="284" t="e">
        <f>++Tabla4[[#This Row],[Utilidad Total]]/Tabla4[[#This Row],[Total]]</f>
        <v>#N/A</v>
      </c>
      <c r="P580" s="282">
        <f>++Tabla4[[#This Row],[Precio Descontado]]*Tabla4[[#This Row],[Cantidad]]</f>
        <v>7535.8176780000003</v>
      </c>
      <c r="Q580" s="282" t="e">
        <f>(INDEX(Tabla6[#All],MATCH(Tabla4[[#This Row],[Producto]],Tabla6[[#All],[PRODUCTO]],0),MATCH(Tabla4[[#This Row],[Mes]],Tabla6[#Headers],0)))</f>
        <v>#N/A</v>
      </c>
      <c r="R580" s="282" t="e">
        <f>++Tabla4[[#This Row],[Precio Unitario Neto]]-Tabla4[[#This Row],[20.85%]]-Tabla4[[#This Row],[Costo]]</f>
        <v>#N/A</v>
      </c>
      <c r="S580" s="282" t="e">
        <f>++Tabla4[[#This Row],[U. Bruta Uni]]*Tabla4[[#This Row],[Cantidad]]</f>
        <v>#N/A</v>
      </c>
      <c r="T580" s="369" t="str">
        <f>VLOOKUP(Tabla4[[#This Row],[Producto]],Tabla6[#All],14,FALSE)</f>
        <v>Termico Solar</v>
      </c>
      <c r="U580" s="284" t="e">
        <f>(IF(Tabla4[[#This Row],[Familia]]="termico solar",Tabla4[[#This Row],[Utilidad Total]]*6%,Tabla4[[#This Row],[Utilidad Total]]*11.5%))/Tabla4[[#This Row],[Total]]</f>
        <v>#N/A</v>
      </c>
      <c r="V580" s="282" t="e">
        <f>+Tabla4[[#This Row],[Comisión Calculada]]*Tabla4[[#This Row],[Total]]</f>
        <v>#N/A</v>
      </c>
    </row>
    <row r="581" spans="1:22" hidden="1" x14ac:dyDescent="0.25">
      <c r="A581" s="100">
        <v>45703</v>
      </c>
      <c r="B581" t="str">
        <f t="shared" si="20"/>
        <v>February</v>
      </c>
      <c r="C581" s="46" t="s">
        <v>280</v>
      </c>
      <c r="F581" s="366" t="s">
        <v>957</v>
      </c>
      <c r="G581" s="46" t="s">
        <v>83</v>
      </c>
      <c r="H581" s="46">
        <v>1</v>
      </c>
      <c r="I581" s="51">
        <v>8858.76</v>
      </c>
      <c r="J581" s="281">
        <f>++Tabla4[[#This Row],[Precio Bruto]]*1.16</f>
        <v>10276.161599999999</v>
      </c>
      <c r="K581" s="281">
        <f>+Tabla4[[#This Row],[Precio Unitario Neto]]*Tabla4[[#Headers],[20.85%]]</f>
        <v>2142.5796935999997</v>
      </c>
      <c r="L581" s="282">
        <f>++Tabla4[[#This Row],[Precio Unitario Neto]]-Tabla4[[#This Row],[20.85%]]</f>
        <v>8133.5819063999998</v>
      </c>
      <c r="M581" s="282" t="e">
        <f>(INDEX(Tabla6[#All],MATCH(Tabla4[[#This Row],[Producto]],Tabla6[[#All],[PRODUCTO]],0),MATCH(Tabla4[[#This Row],[Mes]],Tabla6[#Headers],0)))*(1+Catalogos!$L$2)</f>
        <v>#N/A</v>
      </c>
      <c r="N581" s="283" t="e">
        <f>+(Tabla4[[#This Row],[Precio Descontado]]-Tabla4[[#This Row],[Precio Base]])*Tabla4[[#This Row],[Cantidad]]</f>
        <v>#N/A</v>
      </c>
      <c r="O581" s="284" t="e">
        <f>++Tabla4[[#This Row],[Utilidad Total]]/Tabla4[[#This Row],[Total]]</f>
        <v>#N/A</v>
      </c>
      <c r="P581" s="282">
        <f>++Tabla4[[#This Row],[Precio Descontado]]*Tabla4[[#This Row],[Cantidad]]</f>
        <v>8133.5819063999998</v>
      </c>
      <c r="Q581" s="282" t="e">
        <f>(INDEX(Tabla6[#All],MATCH(Tabla4[[#This Row],[Producto]],Tabla6[[#All],[PRODUCTO]],0),MATCH(Tabla4[[#This Row],[Mes]],Tabla6[#Headers],0)))</f>
        <v>#N/A</v>
      </c>
      <c r="R581" s="282" t="e">
        <f>++Tabla4[[#This Row],[Precio Unitario Neto]]-Tabla4[[#This Row],[20.85%]]-Tabla4[[#This Row],[Costo]]</f>
        <v>#N/A</v>
      </c>
      <c r="S581" s="282" t="e">
        <f>++Tabla4[[#This Row],[U. Bruta Uni]]*Tabla4[[#This Row],[Cantidad]]</f>
        <v>#N/A</v>
      </c>
      <c r="T581" s="369" t="str">
        <f>VLOOKUP(Tabla4[[#This Row],[Producto]],Tabla6[#All],14,FALSE)</f>
        <v>Termico Solar</v>
      </c>
      <c r="U581" s="284" t="e">
        <f>(IF(Tabla4[[#This Row],[Familia]]="termico solar",Tabla4[[#This Row],[Utilidad Total]]*6%,Tabla4[[#This Row],[Utilidad Total]]*11.5%))/Tabla4[[#This Row],[Total]]</f>
        <v>#N/A</v>
      </c>
      <c r="V581" s="282" t="e">
        <f>+Tabla4[[#This Row],[Comisión Calculada]]*Tabla4[[#This Row],[Total]]</f>
        <v>#N/A</v>
      </c>
    </row>
    <row r="582" spans="1:22" hidden="1" x14ac:dyDescent="0.25">
      <c r="A582" s="100">
        <v>45703</v>
      </c>
      <c r="B582" t="str">
        <f t="shared" si="20"/>
        <v>February</v>
      </c>
      <c r="C582" s="46" t="s">
        <v>280</v>
      </c>
      <c r="F582" s="366" t="s">
        <v>957</v>
      </c>
      <c r="G582" s="46" t="s">
        <v>17</v>
      </c>
      <c r="H582" s="46">
        <v>2</v>
      </c>
      <c r="I582" s="51">
        <v>4622.28</v>
      </c>
      <c r="J582" s="281">
        <f>++Tabla4[[#This Row],[Precio Bruto]]*1.16</f>
        <v>5361.8447999999989</v>
      </c>
      <c r="K582" s="281">
        <f>+Tabla4[[#This Row],[Precio Unitario Neto]]*Tabla4[[#Headers],[20.85%]]</f>
        <v>1117.9446407999997</v>
      </c>
      <c r="L582" s="282">
        <f>++Tabla4[[#This Row],[Precio Unitario Neto]]-Tabla4[[#This Row],[20.85%]]</f>
        <v>4243.9001591999995</v>
      </c>
      <c r="M582" s="282" t="e">
        <f>(INDEX(Tabla6[#All],MATCH(Tabla4[[#This Row],[Producto]],Tabla6[[#All],[PRODUCTO]],0),MATCH(Tabla4[[#This Row],[Mes]],Tabla6[#Headers],0)))*(1+Catalogos!$L$2)</f>
        <v>#N/A</v>
      </c>
      <c r="N582" s="283" t="e">
        <f>+(Tabla4[[#This Row],[Precio Descontado]]-Tabla4[[#This Row],[Precio Base]])*Tabla4[[#This Row],[Cantidad]]</f>
        <v>#N/A</v>
      </c>
      <c r="O582" s="284" t="e">
        <f>++Tabla4[[#This Row],[Utilidad Total]]/Tabla4[[#This Row],[Total]]</f>
        <v>#N/A</v>
      </c>
      <c r="P582" s="282">
        <f>++Tabla4[[#This Row],[Precio Descontado]]*Tabla4[[#This Row],[Cantidad]]</f>
        <v>8487.800318399999</v>
      </c>
      <c r="Q582" s="282" t="e">
        <f>(INDEX(Tabla6[#All],MATCH(Tabla4[[#This Row],[Producto]],Tabla6[[#All],[PRODUCTO]],0),MATCH(Tabla4[[#This Row],[Mes]],Tabla6[#Headers],0)))</f>
        <v>#N/A</v>
      </c>
      <c r="R582" s="282" t="e">
        <f>++Tabla4[[#This Row],[Precio Unitario Neto]]-Tabla4[[#This Row],[20.85%]]-Tabla4[[#This Row],[Costo]]</f>
        <v>#N/A</v>
      </c>
      <c r="S582" s="282" t="e">
        <f>++Tabla4[[#This Row],[U. Bruta Uni]]*Tabla4[[#This Row],[Cantidad]]</f>
        <v>#N/A</v>
      </c>
      <c r="T582" s="369" t="str">
        <f>VLOOKUP(Tabla4[[#This Row],[Producto]],Tabla6[#All],14,FALSE)</f>
        <v>Termico Solar</v>
      </c>
      <c r="U582" s="284" t="e">
        <f>(IF(Tabla4[[#This Row],[Familia]]="termico solar",Tabla4[[#This Row],[Utilidad Total]]*6%,Tabla4[[#This Row],[Utilidad Total]]*11.5%))/Tabla4[[#This Row],[Total]]</f>
        <v>#N/A</v>
      </c>
      <c r="V582" s="282" t="e">
        <f>+Tabla4[[#This Row],[Comisión Calculada]]*Tabla4[[#This Row],[Total]]</f>
        <v>#N/A</v>
      </c>
    </row>
    <row r="583" spans="1:22" hidden="1" x14ac:dyDescent="0.25">
      <c r="A583" s="100">
        <v>45703</v>
      </c>
      <c r="B583" t="str">
        <f t="shared" si="20"/>
        <v>February</v>
      </c>
      <c r="C583" s="46" t="s">
        <v>280</v>
      </c>
      <c r="F583" s="366" t="s">
        <v>957</v>
      </c>
      <c r="G583" s="46" t="s">
        <v>18</v>
      </c>
      <c r="H583" s="46">
        <v>2</v>
      </c>
      <c r="I583" s="51">
        <v>5367.65</v>
      </c>
      <c r="J583" s="281">
        <f>++Tabla4[[#This Row],[Precio Bruto]]*1.16</f>
        <v>6226.4739999999993</v>
      </c>
      <c r="K583" s="281">
        <f>+Tabla4[[#This Row],[Precio Unitario Neto]]*Tabla4[[#Headers],[20.85%]]</f>
        <v>1298.2198289999999</v>
      </c>
      <c r="L583" s="282">
        <f>++Tabla4[[#This Row],[Precio Unitario Neto]]-Tabla4[[#This Row],[20.85%]]</f>
        <v>4928.2541709999996</v>
      </c>
      <c r="M583" s="282" t="e">
        <f>(INDEX(Tabla6[#All],MATCH(Tabla4[[#This Row],[Producto]],Tabla6[[#All],[PRODUCTO]],0),MATCH(Tabla4[[#This Row],[Mes]],Tabla6[#Headers],0)))*(1+Catalogos!$L$2)</f>
        <v>#N/A</v>
      </c>
      <c r="N583" s="283" t="e">
        <f>+(Tabla4[[#This Row],[Precio Descontado]]-Tabla4[[#This Row],[Precio Base]])*Tabla4[[#This Row],[Cantidad]]</f>
        <v>#N/A</v>
      </c>
      <c r="O583" s="284" t="e">
        <f>++Tabla4[[#This Row],[Utilidad Total]]/Tabla4[[#This Row],[Total]]</f>
        <v>#N/A</v>
      </c>
      <c r="P583" s="282">
        <f>++Tabla4[[#This Row],[Precio Descontado]]*Tabla4[[#This Row],[Cantidad]]</f>
        <v>9856.5083419999992</v>
      </c>
      <c r="Q583" s="282" t="e">
        <f>(INDEX(Tabla6[#All],MATCH(Tabla4[[#This Row],[Producto]],Tabla6[[#All],[PRODUCTO]],0),MATCH(Tabla4[[#This Row],[Mes]],Tabla6[#Headers],0)))</f>
        <v>#N/A</v>
      </c>
      <c r="R583" s="282" t="e">
        <f>++Tabla4[[#This Row],[Precio Unitario Neto]]-Tabla4[[#This Row],[20.85%]]-Tabla4[[#This Row],[Costo]]</f>
        <v>#N/A</v>
      </c>
      <c r="S583" s="282" t="e">
        <f>++Tabla4[[#This Row],[U. Bruta Uni]]*Tabla4[[#This Row],[Cantidad]]</f>
        <v>#N/A</v>
      </c>
      <c r="T583" s="369" t="str">
        <f>VLOOKUP(Tabla4[[#This Row],[Producto]],Tabla6[#All],14,FALSE)</f>
        <v>Termico Solar</v>
      </c>
      <c r="U583" s="284" t="e">
        <f>(IF(Tabla4[[#This Row],[Familia]]="termico solar",Tabla4[[#This Row],[Utilidad Total]]*6%,Tabla4[[#This Row],[Utilidad Total]]*11.5%))/Tabla4[[#This Row],[Total]]</f>
        <v>#N/A</v>
      </c>
      <c r="V583" s="282" t="e">
        <f>+Tabla4[[#This Row],[Comisión Calculada]]*Tabla4[[#This Row],[Total]]</f>
        <v>#N/A</v>
      </c>
    </row>
    <row r="584" spans="1:22" hidden="1" x14ac:dyDescent="0.25">
      <c r="A584" s="100">
        <v>45703</v>
      </c>
      <c r="B584" t="str">
        <f t="shared" si="20"/>
        <v>February</v>
      </c>
      <c r="C584" s="46" t="s">
        <v>280</v>
      </c>
      <c r="F584" s="366" t="s">
        <v>957</v>
      </c>
      <c r="G584" s="46" t="s">
        <v>16</v>
      </c>
      <c r="H584" s="46">
        <v>4</v>
      </c>
      <c r="I584" s="51">
        <v>4103.8500000000004</v>
      </c>
      <c r="J584" s="281">
        <f>++Tabla4[[#This Row],[Precio Bruto]]*1.16</f>
        <v>4760.4660000000003</v>
      </c>
      <c r="K584" s="281">
        <f>+Tabla4[[#This Row],[Precio Unitario Neto]]*Tabla4[[#Headers],[20.85%]]</f>
        <v>992.55716100000006</v>
      </c>
      <c r="L584" s="282">
        <f>++Tabla4[[#This Row],[Precio Unitario Neto]]-Tabla4[[#This Row],[20.85%]]</f>
        <v>3767.9088390000002</v>
      </c>
      <c r="M584" s="282" t="e">
        <f>(INDEX(Tabla6[#All],MATCH(Tabla4[[#This Row],[Producto]],Tabla6[[#All],[PRODUCTO]],0),MATCH(Tabla4[[#This Row],[Mes]],Tabla6[#Headers],0)))*(1+Catalogos!$L$2)</f>
        <v>#N/A</v>
      </c>
      <c r="N584" s="283" t="e">
        <f>+(Tabla4[[#This Row],[Precio Descontado]]-Tabla4[[#This Row],[Precio Base]])*Tabla4[[#This Row],[Cantidad]]</f>
        <v>#N/A</v>
      </c>
      <c r="O584" s="284" t="e">
        <f>++Tabla4[[#This Row],[Utilidad Total]]/Tabla4[[#This Row],[Total]]</f>
        <v>#N/A</v>
      </c>
      <c r="P584" s="282">
        <f>++Tabla4[[#This Row],[Precio Descontado]]*Tabla4[[#This Row],[Cantidad]]</f>
        <v>15071.635356000001</v>
      </c>
      <c r="Q584" s="282" t="e">
        <f>(INDEX(Tabla6[#All],MATCH(Tabla4[[#This Row],[Producto]],Tabla6[[#All],[PRODUCTO]],0),MATCH(Tabla4[[#This Row],[Mes]],Tabla6[#Headers],0)))</f>
        <v>#N/A</v>
      </c>
      <c r="R584" s="282" t="e">
        <f>++Tabla4[[#This Row],[Precio Unitario Neto]]-Tabla4[[#This Row],[20.85%]]-Tabla4[[#This Row],[Costo]]</f>
        <v>#N/A</v>
      </c>
      <c r="S584" s="282" t="e">
        <f>++Tabla4[[#This Row],[U. Bruta Uni]]*Tabla4[[#This Row],[Cantidad]]</f>
        <v>#N/A</v>
      </c>
      <c r="T584" s="369" t="str">
        <f>VLOOKUP(Tabla4[[#This Row],[Producto]],Tabla6[#All],14,FALSE)</f>
        <v>Termico Solar</v>
      </c>
      <c r="U584" s="284" t="e">
        <f>(IF(Tabla4[[#This Row],[Familia]]="termico solar",Tabla4[[#This Row],[Utilidad Total]]*6%,Tabla4[[#This Row],[Utilidad Total]]*11.5%))/Tabla4[[#This Row],[Total]]</f>
        <v>#N/A</v>
      </c>
      <c r="V584" s="282" t="e">
        <f>+Tabla4[[#This Row],[Comisión Calculada]]*Tabla4[[#This Row],[Total]]</f>
        <v>#N/A</v>
      </c>
    </row>
    <row r="585" spans="1:22" hidden="1" x14ac:dyDescent="0.25">
      <c r="A585" s="100">
        <v>45703</v>
      </c>
      <c r="B585" t="str">
        <f t="shared" si="20"/>
        <v>February</v>
      </c>
      <c r="C585" s="46" t="s">
        <v>280</v>
      </c>
      <c r="F585" s="366" t="s">
        <v>958</v>
      </c>
      <c r="G585" s="46" t="s">
        <v>17</v>
      </c>
      <c r="H585" s="46">
        <v>3</v>
      </c>
      <c r="I585" s="51">
        <v>4622.28</v>
      </c>
      <c r="J585" s="281">
        <f>++Tabla4[[#This Row],[Precio Bruto]]*1.16</f>
        <v>5361.8447999999989</v>
      </c>
      <c r="K585" s="281">
        <f>+Tabla4[[#This Row],[Precio Unitario Neto]]*Tabla4[[#Headers],[20.85%]]</f>
        <v>1117.9446407999997</v>
      </c>
      <c r="L585" s="282">
        <f>++Tabla4[[#This Row],[Precio Unitario Neto]]-Tabla4[[#This Row],[20.85%]]</f>
        <v>4243.9001591999995</v>
      </c>
      <c r="M585" s="282" t="e">
        <f>(INDEX(Tabla6[#All],MATCH(Tabla4[[#This Row],[Producto]],Tabla6[[#All],[PRODUCTO]],0),MATCH(Tabla4[[#This Row],[Mes]],Tabla6[#Headers],0)))*(1+Catalogos!$L$2)</f>
        <v>#N/A</v>
      </c>
      <c r="N585" s="283" t="e">
        <f>+(Tabla4[[#This Row],[Precio Descontado]]-Tabla4[[#This Row],[Precio Base]])*Tabla4[[#This Row],[Cantidad]]</f>
        <v>#N/A</v>
      </c>
      <c r="O585" s="284" t="e">
        <f>++Tabla4[[#This Row],[Utilidad Total]]/Tabla4[[#This Row],[Total]]</f>
        <v>#N/A</v>
      </c>
      <c r="P585" s="282">
        <f>++Tabla4[[#This Row],[Precio Descontado]]*Tabla4[[#This Row],[Cantidad]]</f>
        <v>12731.700477599999</v>
      </c>
      <c r="Q585" s="282" t="e">
        <f>(INDEX(Tabla6[#All],MATCH(Tabla4[[#This Row],[Producto]],Tabla6[[#All],[PRODUCTO]],0),MATCH(Tabla4[[#This Row],[Mes]],Tabla6[#Headers],0)))</f>
        <v>#N/A</v>
      </c>
      <c r="R585" s="282" t="e">
        <f>++Tabla4[[#This Row],[Precio Unitario Neto]]-Tabla4[[#This Row],[20.85%]]-Tabla4[[#This Row],[Costo]]</f>
        <v>#N/A</v>
      </c>
      <c r="S585" s="282" t="e">
        <f>++Tabla4[[#This Row],[U. Bruta Uni]]*Tabla4[[#This Row],[Cantidad]]</f>
        <v>#N/A</v>
      </c>
      <c r="T585" s="369" t="str">
        <f>VLOOKUP(Tabla4[[#This Row],[Producto]],Tabla6[#All],14,FALSE)</f>
        <v>Termico Solar</v>
      </c>
      <c r="U585" s="284" t="e">
        <f>(IF(Tabla4[[#This Row],[Familia]]="termico solar",Tabla4[[#This Row],[Utilidad Total]]*6%,Tabla4[[#This Row],[Utilidad Total]]*11.5%))/Tabla4[[#This Row],[Total]]</f>
        <v>#N/A</v>
      </c>
      <c r="V585" s="282" t="e">
        <f>+Tabla4[[#This Row],[Comisión Calculada]]*Tabla4[[#This Row],[Total]]</f>
        <v>#N/A</v>
      </c>
    </row>
    <row r="586" spans="1:22" hidden="1" x14ac:dyDescent="0.25">
      <c r="A586" s="100">
        <v>45703</v>
      </c>
      <c r="B586" t="str">
        <f t="shared" si="20"/>
        <v>February</v>
      </c>
      <c r="C586" s="46" t="s">
        <v>280</v>
      </c>
      <c r="F586" s="366" t="s">
        <v>958</v>
      </c>
      <c r="G586" s="46" t="s">
        <v>18</v>
      </c>
      <c r="H586" s="46">
        <v>3</v>
      </c>
      <c r="I586" s="51">
        <v>5367.6500000000005</v>
      </c>
      <c r="J586" s="281">
        <f>++Tabla4[[#This Row],[Precio Bruto]]*1.16</f>
        <v>6226.4740000000002</v>
      </c>
      <c r="K586" s="281">
        <f>+Tabla4[[#This Row],[Precio Unitario Neto]]*Tabla4[[#Headers],[20.85%]]</f>
        <v>1298.2198289999999</v>
      </c>
      <c r="L586" s="282">
        <f>++Tabla4[[#This Row],[Precio Unitario Neto]]-Tabla4[[#This Row],[20.85%]]</f>
        <v>4928.2541710000005</v>
      </c>
      <c r="M586" s="282" t="e">
        <f>(INDEX(Tabla6[#All],MATCH(Tabla4[[#This Row],[Producto]],Tabla6[[#All],[PRODUCTO]],0),MATCH(Tabla4[[#This Row],[Mes]],Tabla6[#Headers],0)))*(1+Catalogos!$L$2)</f>
        <v>#N/A</v>
      </c>
      <c r="N586" s="283" t="e">
        <f>+(Tabla4[[#This Row],[Precio Descontado]]-Tabla4[[#This Row],[Precio Base]])*Tabla4[[#This Row],[Cantidad]]</f>
        <v>#N/A</v>
      </c>
      <c r="O586" s="284" t="e">
        <f>++Tabla4[[#This Row],[Utilidad Total]]/Tabla4[[#This Row],[Total]]</f>
        <v>#N/A</v>
      </c>
      <c r="P586" s="282">
        <f>++Tabla4[[#This Row],[Precio Descontado]]*Tabla4[[#This Row],[Cantidad]]</f>
        <v>14784.762513000001</v>
      </c>
      <c r="Q586" s="282" t="e">
        <f>(INDEX(Tabla6[#All],MATCH(Tabla4[[#This Row],[Producto]],Tabla6[[#All],[PRODUCTO]],0),MATCH(Tabla4[[#This Row],[Mes]],Tabla6[#Headers],0)))</f>
        <v>#N/A</v>
      </c>
      <c r="R586" s="282" t="e">
        <f>++Tabla4[[#This Row],[Precio Unitario Neto]]-Tabla4[[#This Row],[20.85%]]-Tabla4[[#This Row],[Costo]]</f>
        <v>#N/A</v>
      </c>
      <c r="S586" s="282" t="e">
        <f>++Tabla4[[#This Row],[U. Bruta Uni]]*Tabla4[[#This Row],[Cantidad]]</f>
        <v>#N/A</v>
      </c>
      <c r="T586" s="369" t="str">
        <f>VLOOKUP(Tabla4[[#This Row],[Producto]],Tabla6[#All],14,FALSE)</f>
        <v>Termico Solar</v>
      </c>
      <c r="U586" s="284" t="e">
        <f>(IF(Tabla4[[#This Row],[Familia]]="termico solar",Tabla4[[#This Row],[Utilidad Total]]*6%,Tabla4[[#This Row],[Utilidad Total]]*11.5%))/Tabla4[[#This Row],[Total]]</f>
        <v>#N/A</v>
      </c>
      <c r="V586" s="282" t="e">
        <f>+Tabla4[[#This Row],[Comisión Calculada]]*Tabla4[[#This Row],[Total]]</f>
        <v>#N/A</v>
      </c>
    </row>
    <row r="587" spans="1:22" hidden="1" x14ac:dyDescent="0.25">
      <c r="A587" s="100">
        <v>45703</v>
      </c>
      <c r="B587" t="str">
        <f t="shared" si="20"/>
        <v>February</v>
      </c>
      <c r="C587" s="46" t="s">
        <v>280</v>
      </c>
      <c r="F587" s="366" t="s">
        <v>958</v>
      </c>
      <c r="G587" s="46" t="s">
        <v>19</v>
      </c>
      <c r="H587" s="46">
        <v>1</v>
      </c>
      <c r="I587" s="51">
        <v>6412.03</v>
      </c>
      <c r="J587" s="281">
        <f>++Tabla4[[#This Row],[Precio Bruto]]*1.16</f>
        <v>7437.9547999999995</v>
      </c>
      <c r="K587" s="281">
        <f>+Tabla4[[#This Row],[Precio Unitario Neto]]*Tabla4[[#Headers],[20.85%]]</f>
        <v>1550.8135757999999</v>
      </c>
      <c r="L587" s="282">
        <f>++Tabla4[[#This Row],[Precio Unitario Neto]]-Tabla4[[#This Row],[20.85%]]</f>
        <v>5887.1412241999997</v>
      </c>
      <c r="M587" s="282" t="e">
        <f>(INDEX(Tabla6[#All],MATCH(Tabla4[[#This Row],[Producto]],Tabla6[[#All],[PRODUCTO]],0),MATCH(Tabla4[[#This Row],[Mes]],Tabla6[#Headers],0)))*(1+Catalogos!$L$2)</f>
        <v>#N/A</v>
      </c>
      <c r="N587" s="283" t="e">
        <f>+(Tabla4[[#This Row],[Precio Descontado]]-Tabla4[[#This Row],[Precio Base]])*Tabla4[[#This Row],[Cantidad]]</f>
        <v>#N/A</v>
      </c>
      <c r="O587" s="284" t="e">
        <f>++Tabla4[[#This Row],[Utilidad Total]]/Tabla4[[#This Row],[Total]]</f>
        <v>#N/A</v>
      </c>
      <c r="P587" s="282">
        <f>++Tabla4[[#This Row],[Precio Descontado]]*Tabla4[[#This Row],[Cantidad]]</f>
        <v>5887.1412241999997</v>
      </c>
      <c r="Q587" s="282" t="e">
        <f>(INDEX(Tabla6[#All],MATCH(Tabla4[[#This Row],[Producto]],Tabla6[[#All],[PRODUCTO]],0),MATCH(Tabla4[[#This Row],[Mes]],Tabla6[#Headers],0)))</f>
        <v>#N/A</v>
      </c>
      <c r="R587" s="282" t="e">
        <f>++Tabla4[[#This Row],[Precio Unitario Neto]]-Tabla4[[#This Row],[20.85%]]-Tabla4[[#This Row],[Costo]]</f>
        <v>#N/A</v>
      </c>
      <c r="S587" s="282" t="e">
        <f>++Tabla4[[#This Row],[U. Bruta Uni]]*Tabla4[[#This Row],[Cantidad]]</f>
        <v>#N/A</v>
      </c>
      <c r="T587" s="369" t="str">
        <f>VLOOKUP(Tabla4[[#This Row],[Producto]],Tabla6[#All],14,FALSE)</f>
        <v>Termico Solar</v>
      </c>
      <c r="U587" s="284" t="e">
        <f>(IF(Tabla4[[#This Row],[Familia]]="termico solar",Tabla4[[#This Row],[Utilidad Total]]*6%,Tabla4[[#This Row],[Utilidad Total]]*11.5%))/Tabla4[[#This Row],[Total]]</f>
        <v>#N/A</v>
      </c>
      <c r="V587" s="282" t="e">
        <f>+Tabla4[[#This Row],[Comisión Calculada]]*Tabla4[[#This Row],[Total]]</f>
        <v>#N/A</v>
      </c>
    </row>
    <row r="588" spans="1:22" hidden="1" x14ac:dyDescent="0.25">
      <c r="A588" s="100">
        <v>45703</v>
      </c>
      <c r="B588" t="str">
        <f t="shared" si="20"/>
        <v>February</v>
      </c>
      <c r="C588" s="46" t="s">
        <v>280</v>
      </c>
      <c r="F588" s="366" t="s">
        <v>958</v>
      </c>
      <c r="G588" s="46" t="s">
        <v>566</v>
      </c>
      <c r="H588" s="46">
        <v>1</v>
      </c>
      <c r="I588" s="51">
        <v>2109.4499999999998</v>
      </c>
      <c r="J588" s="281">
        <f>++Tabla4[[#This Row],[Precio Bruto]]*1.16</f>
        <v>2446.9619999999995</v>
      </c>
      <c r="K588" s="281">
        <f>+Tabla4[[#This Row],[Precio Unitario Neto]]*Tabla4[[#Headers],[20.85%]]</f>
        <v>510.19157699999988</v>
      </c>
      <c r="L588" s="282">
        <f>++Tabla4[[#This Row],[Precio Unitario Neto]]-Tabla4[[#This Row],[20.85%]]</f>
        <v>1936.7704229999997</v>
      </c>
      <c r="M588" s="282" t="e">
        <f>(INDEX(Tabla6[#All],MATCH(Tabla4[[#This Row],[Producto]],Tabla6[[#All],[PRODUCTO]],0),MATCH(Tabla4[[#This Row],[Mes]],Tabla6[#Headers],0)))*(1+Catalogos!$L$2)</f>
        <v>#N/A</v>
      </c>
      <c r="N588" s="283" t="e">
        <f>+(Tabla4[[#This Row],[Precio Descontado]]-Tabla4[[#This Row],[Precio Base]])*Tabla4[[#This Row],[Cantidad]]</f>
        <v>#N/A</v>
      </c>
      <c r="O588" s="284" t="e">
        <f>++Tabla4[[#This Row],[Utilidad Total]]/Tabla4[[#This Row],[Total]]</f>
        <v>#N/A</v>
      </c>
      <c r="P588" s="282">
        <f>++Tabla4[[#This Row],[Precio Descontado]]*Tabla4[[#This Row],[Cantidad]]</f>
        <v>1936.7704229999997</v>
      </c>
      <c r="Q588" s="282" t="e">
        <f>(INDEX(Tabla6[#All],MATCH(Tabla4[[#This Row],[Producto]],Tabla6[[#All],[PRODUCTO]],0),MATCH(Tabla4[[#This Row],[Mes]],Tabla6[#Headers],0)))</f>
        <v>#N/A</v>
      </c>
      <c r="R588" s="282" t="e">
        <f>++Tabla4[[#This Row],[Precio Unitario Neto]]-Tabla4[[#This Row],[20.85%]]-Tabla4[[#This Row],[Costo]]</f>
        <v>#N/A</v>
      </c>
      <c r="S588" s="282" t="e">
        <f>++Tabla4[[#This Row],[U. Bruta Uni]]*Tabla4[[#This Row],[Cantidad]]</f>
        <v>#N/A</v>
      </c>
      <c r="T588" s="369" t="str">
        <f>VLOOKUP(Tabla4[[#This Row],[Producto]],Tabla6[#All],14,FALSE)</f>
        <v>Termico Solar</v>
      </c>
      <c r="U588" s="284" t="e">
        <f>(IF(Tabla4[[#This Row],[Familia]]="termico solar",Tabla4[[#This Row],[Utilidad Total]]*6%,Tabla4[[#This Row],[Utilidad Total]]*11.5%))/Tabla4[[#This Row],[Total]]</f>
        <v>#N/A</v>
      </c>
      <c r="V588" s="282" t="e">
        <f>+Tabla4[[#This Row],[Comisión Calculada]]*Tabla4[[#This Row],[Total]]</f>
        <v>#N/A</v>
      </c>
    </row>
    <row r="589" spans="1:22" hidden="1" x14ac:dyDescent="0.25">
      <c r="A589" s="100">
        <v>45703</v>
      </c>
      <c r="B589" t="str">
        <f t="shared" si="20"/>
        <v>February</v>
      </c>
      <c r="C589" s="46" t="s">
        <v>280</v>
      </c>
      <c r="F589" s="366" t="s">
        <v>959</v>
      </c>
      <c r="G589" s="46" t="s">
        <v>83</v>
      </c>
      <c r="H589" s="46">
        <v>1</v>
      </c>
      <c r="I589" s="51">
        <v>8858.76</v>
      </c>
      <c r="J589" s="281">
        <f>++Tabla4[[#This Row],[Precio Bruto]]*1.16</f>
        <v>10276.161599999999</v>
      </c>
      <c r="K589" s="281">
        <f>+Tabla4[[#This Row],[Precio Unitario Neto]]*Tabla4[[#Headers],[20.85%]]</f>
        <v>2142.5796935999997</v>
      </c>
      <c r="L589" s="282">
        <f>++Tabla4[[#This Row],[Precio Unitario Neto]]-Tabla4[[#This Row],[20.85%]]</f>
        <v>8133.5819063999998</v>
      </c>
      <c r="M589" s="282" t="e">
        <f>(INDEX(Tabla6[#All],MATCH(Tabla4[[#This Row],[Producto]],Tabla6[[#All],[PRODUCTO]],0),MATCH(Tabla4[[#This Row],[Mes]],Tabla6[#Headers],0)))*(1+Catalogos!$L$2)</f>
        <v>#N/A</v>
      </c>
      <c r="N589" s="283" t="e">
        <f>+(Tabla4[[#This Row],[Precio Descontado]]-Tabla4[[#This Row],[Precio Base]])*Tabla4[[#This Row],[Cantidad]]</f>
        <v>#N/A</v>
      </c>
      <c r="O589" s="284" t="e">
        <f>++Tabla4[[#This Row],[Utilidad Total]]/Tabla4[[#This Row],[Total]]</f>
        <v>#N/A</v>
      </c>
      <c r="P589" s="282">
        <f>++Tabla4[[#This Row],[Precio Descontado]]*Tabla4[[#This Row],[Cantidad]]</f>
        <v>8133.5819063999998</v>
      </c>
      <c r="Q589" s="282" t="e">
        <f>(INDEX(Tabla6[#All],MATCH(Tabla4[[#This Row],[Producto]],Tabla6[[#All],[PRODUCTO]],0),MATCH(Tabla4[[#This Row],[Mes]],Tabla6[#Headers],0)))</f>
        <v>#N/A</v>
      </c>
      <c r="R589" s="282" t="e">
        <f>++Tabla4[[#This Row],[Precio Unitario Neto]]-Tabla4[[#This Row],[20.85%]]-Tabla4[[#This Row],[Costo]]</f>
        <v>#N/A</v>
      </c>
      <c r="S589" s="282" t="e">
        <f>++Tabla4[[#This Row],[U. Bruta Uni]]*Tabla4[[#This Row],[Cantidad]]</f>
        <v>#N/A</v>
      </c>
      <c r="T589" s="369" t="str">
        <f>VLOOKUP(Tabla4[[#This Row],[Producto]],Tabla6[#All],14,FALSE)</f>
        <v>Termico Solar</v>
      </c>
      <c r="U589" s="284" t="e">
        <f>(IF(Tabla4[[#This Row],[Familia]]="termico solar",Tabla4[[#This Row],[Utilidad Total]]*6%,Tabla4[[#This Row],[Utilidad Total]]*11.5%))/Tabla4[[#This Row],[Total]]</f>
        <v>#N/A</v>
      </c>
      <c r="V589" s="282" t="e">
        <f>+Tabla4[[#This Row],[Comisión Calculada]]*Tabla4[[#This Row],[Total]]</f>
        <v>#N/A</v>
      </c>
    </row>
    <row r="590" spans="1:22" hidden="1" x14ac:dyDescent="0.25">
      <c r="A590" s="100">
        <v>45703</v>
      </c>
      <c r="B590" t="str">
        <f t="shared" si="20"/>
        <v>February</v>
      </c>
      <c r="C590" s="46" t="s">
        <v>280</v>
      </c>
      <c r="F590" s="366" t="s">
        <v>959</v>
      </c>
      <c r="G590" s="46" t="s">
        <v>18</v>
      </c>
      <c r="H590" s="46">
        <v>1</v>
      </c>
      <c r="I590" s="51">
        <v>5367.65</v>
      </c>
      <c r="J590" s="281">
        <f>++Tabla4[[#This Row],[Precio Bruto]]*1.16</f>
        <v>6226.4739999999993</v>
      </c>
      <c r="K590" s="281">
        <f>+Tabla4[[#This Row],[Precio Unitario Neto]]*Tabla4[[#Headers],[20.85%]]</f>
        <v>1298.2198289999999</v>
      </c>
      <c r="L590" s="282">
        <f>++Tabla4[[#This Row],[Precio Unitario Neto]]-Tabla4[[#This Row],[20.85%]]</f>
        <v>4928.2541709999996</v>
      </c>
      <c r="M590" s="282" t="e">
        <f>(INDEX(Tabla6[#All],MATCH(Tabla4[[#This Row],[Producto]],Tabla6[[#All],[PRODUCTO]],0),MATCH(Tabla4[[#This Row],[Mes]],Tabla6[#Headers],0)))*(1+Catalogos!$L$2)</f>
        <v>#N/A</v>
      </c>
      <c r="N590" s="283" t="e">
        <f>+(Tabla4[[#This Row],[Precio Descontado]]-Tabla4[[#This Row],[Precio Base]])*Tabla4[[#This Row],[Cantidad]]</f>
        <v>#N/A</v>
      </c>
      <c r="O590" s="284" t="e">
        <f>++Tabla4[[#This Row],[Utilidad Total]]/Tabla4[[#This Row],[Total]]</f>
        <v>#N/A</v>
      </c>
      <c r="P590" s="282">
        <f>++Tabla4[[#This Row],[Precio Descontado]]*Tabla4[[#This Row],[Cantidad]]</f>
        <v>4928.2541709999996</v>
      </c>
      <c r="Q590" s="282" t="e">
        <f>(INDEX(Tabla6[#All],MATCH(Tabla4[[#This Row],[Producto]],Tabla6[[#All],[PRODUCTO]],0),MATCH(Tabla4[[#This Row],[Mes]],Tabla6[#Headers],0)))</f>
        <v>#N/A</v>
      </c>
      <c r="R590" s="282" t="e">
        <f>++Tabla4[[#This Row],[Precio Unitario Neto]]-Tabla4[[#This Row],[20.85%]]-Tabla4[[#This Row],[Costo]]</f>
        <v>#N/A</v>
      </c>
      <c r="S590" s="282" t="e">
        <f>++Tabla4[[#This Row],[U. Bruta Uni]]*Tabla4[[#This Row],[Cantidad]]</f>
        <v>#N/A</v>
      </c>
      <c r="T590" s="369" t="str">
        <f>VLOOKUP(Tabla4[[#This Row],[Producto]],Tabla6[#All],14,FALSE)</f>
        <v>Termico Solar</v>
      </c>
      <c r="U590" s="284" t="e">
        <f>(IF(Tabla4[[#This Row],[Familia]]="termico solar",Tabla4[[#This Row],[Utilidad Total]]*6%,Tabla4[[#This Row],[Utilidad Total]]*11.5%))/Tabla4[[#This Row],[Total]]</f>
        <v>#N/A</v>
      </c>
      <c r="V590" s="282" t="e">
        <f>+Tabla4[[#This Row],[Comisión Calculada]]*Tabla4[[#This Row],[Total]]</f>
        <v>#N/A</v>
      </c>
    </row>
    <row r="591" spans="1:22" hidden="1" x14ac:dyDescent="0.25">
      <c r="A591" s="100">
        <v>45703</v>
      </c>
      <c r="B591" t="str">
        <f t="shared" si="20"/>
        <v>February</v>
      </c>
      <c r="C591" s="46" t="s">
        <v>280</v>
      </c>
      <c r="F591" s="366" t="s">
        <v>960</v>
      </c>
      <c r="G591" s="46" t="s">
        <v>17</v>
      </c>
      <c r="H591" s="46">
        <v>4</v>
      </c>
      <c r="I591" s="51">
        <v>4622.28</v>
      </c>
      <c r="J591" s="281">
        <f>++Tabla4[[#This Row],[Precio Bruto]]*1.16</f>
        <v>5361.8447999999989</v>
      </c>
      <c r="K591" s="281">
        <f>+Tabla4[[#This Row],[Precio Unitario Neto]]*Tabla4[[#Headers],[20.85%]]</f>
        <v>1117.9446407999997</v>
      </c>
      <c r="L591" s="282">
        <f>++Tabla4[[#This Row],[Precio Unitario Neto]]-Tabla4[[#This Row],[20.85%]]</f>
        <v>4243.9001591999995</v>
      </c>
      <c r="M591" s="282" t="e">
        <f>(INDEX(Tabla6[#All],MATCH(Tabla4[[#This Row],[Producto]],Tabla6[[#All],[PRODUCTO]],0),MATCH(Tabla4[[#This Row],[Mes]],Tabla6[#Headers],0)))*(1+Catalogos!$L$2)</f>
        <v>#N/A</v>
      </c>
      <c r="N591" s="283" t="e">
        <f>+(Tabla4[[#This Row],[Precio Descontado]]-Tabla4[[#This Row],[Precio Base]])*Tabla4[[#This Row],[Cantidad]]</f>
        <v>#N/A</v>
      </c>
      <c r="O591" s="284" t="e">
        <f>++Tabla4[[#This Row],[Utilidad Total]]/Tabla4[[#This Row],[Total]]</f>
        <v>#N/A</v>
      </c>
      <c r="P591" s="282">
        <f>++Tabla4[[#This Row],[Precio Descontado]]*Tabla4[[#This Row],[Cantidad]]</f>
        <v>16975.600636799998</v>
      </c>
      <c r="Q591" s="282" t="e">
        <f>(INDEX(Tabla6[#All],MATCH(Tabla4[[#This Row],[Producto]],Tabla6[[#All],[PRODUCTO]],0),MATCH(Tabla4[[#This Row],[Mes]],Tabla6[#Headers],0)))</f>
        <v>#N/A</v>
      </c>
      <c r="R591" s="282" t="e">
        <f>++Tabla4[[#This Row],[Precio Unitario Neto]]-Tabla4[[#This Row],[20.85%]]-Tabla4[[#This Row],[Costo]]</f>
        <v>#N/A</v>
      </c>
      <c r="S591" s="282" t="e">
        <f>++Tabla4[[#This Row],[U. Bruta Uni]]*Tabla4[[#This Row],[Cantidad]]</f>
        <v>#N/A</v>
      </c>
      <c r="T591" s="369" t="str">
        <f>VLOOKUP(Tabla4[[#This Row],[Producto]],Tabla6[#All],14,FALSE)</f>
        <v>Termico Solar</v>
      </c>
      <c r="U591" s="284" t="e">
        <f>(IF(Tabla4[[#This Row],[Familia]]="termico solar",Tabla4[[#This Row],[Utilidad Total]]*6%,Tabla4[[#This Row],[Utilidad Total]]*11.5%))/Tabla4[[#This Row],[Total]]</f>
        <v>#N/A</v>
      </c>
      <c r="V591" s="282" t="e">
        <f>+Tabla4[[#This Row],[Comisión Calculada]]*Tabla4[[#This Row],[Total]]</f>
        <v>#N/A</v>
      </c>
    </row>
    <row r="592" spans="1:22" hidden="1" x14ac:dyDescent="0.25">
      <c r="A592" s="100">
        <v>45703</v>
      </c>
      <c r="B592" t="str">
        <f t="shared" si="20"/>
        <v>February</v>
      </c>
      <c r="C592" s="46" t="s">
        <v>280</v>
      </c>
      <c r="F592" s="366" t="s">
        <v>960</v>
      </c>
      <c r="G592" s="46" t="s">
        <v>16</v>
      </c>
      <c r="H592" s="46">
        <v>2</v>
      </c>
      <c r="I592" s="51">
        <v>4103.8500000000004</v>
      </c>
      <c r="J592" s="281">
        <f>++Tabla4[[#This Row],[Precio Bruto]]*1.16</f>
        <v>4760.4660000000003</v>
      </c>
      <c r="K592" s="281">
        <f>+Tabla4[[#This Row],[Precio Unitario Neto]]*Tabla4[[#Headers],[20.85%]]</f>
        <v>992.55716100000006</v>
      </c>
      <c r="L592" s="282">
        <f>++Tabla4[[#This Row],[Precio Unitario Neto]]-Tabla4[[#This Row],[20.85%]]</f>
        <v>3767.9088390000002</v>
      </c>
      <c r="M592" s="282" t="e">
        <f>(INDEX(Tabla6[#All],MATCH(Tabla4[[#This Row],[Producto]],Tabla6[[#All],[PRODUCTO]],0),MATCH(Tabla4[[#This Row],[Mes]],Tabla6[#Headers],0)))*(1+Catalogos!$L$2)</f>
        <v>#N/A</v>
      </c>
      <c r="N592" s="283" t="e">
        <f>+(Tabla4[[#This Row],[Precio Descontado]]-Tabla4[[#This Row],[Precio Base]])*Tabla4[[#This Row],[Cantidad]]</f>
        <v>#N/A</v>
      </c>
      <c r="O592" s="284" t="e">
        <f>++Tabla4[[#This Row],[Utilidad Total]]/Tabla4[[#This Row],[Total]]</f>
        <v>#N/A</v>
      </c>
      <c r="P592" s="282">
        <f>++Tabla4[[#This Row],[Precio Descontado]]*Tabla4[[#This Row],[Cantidad]]</f>
        <v>7535.8176780000003</v>
      </c>
      <c r="Q592" s="282" t="e">
        <f>(INDEX(Tabla6[#All],MATCH(Tabla4[[#This Row],[Producto]],Tabla6[[#All],[PRODUCTO]],0),MATCH(Tabla4[[#This Row],[Mes]],Tabla6[#Headers],0)))</f>
        <v>#N/A</v>
      </c>
      <c r="R592" s="282" t="e">
        <f>++Tabla4[[#This Row],[Precio Unitario Neto]]-Tabla4[[#This Row],[20.85%]]-Tabla4[[#This Row],[Costo]]</f>
        <v>#N/A</v>
      </c>
      <c r="S592" s="282" t="e">
        <f>++Tabla4[[#This Row],[U. Bruta Uni]]*Tabla4[[#This Row],[Cantidad]]</f>
        <v>#N/A</v>
      </c>
      <c r="T592" s="369" t="str">
        <f>VLOOKUP(Tabla4[[#This Row],[Producto]],Tabla6[#All],14,FALSE)</f>
        <v>Termico Solar</v>
      </c>
      <c r="U592" s="284" t="e">
        <f>(IF(Tabla4[[#This Row],[Familia]]="termico solar",Tabla4[[#This Row],[Utilidad Total]]*6%,Tabla4[[#This Row],[Utilidad Total]]*11.5%))/Tabla4[[#This Row],[Total]]</f>
        <v>#N/A</v>
      </c>
      <c r="V592" s="282" t="e">
        <f>+Tabla4[[#This Row],[Comisión Calculada]]*Tabla4[[#This Row],[Total]]</f>
        <v>#N/A</v>
      </c>
    </row>
    <row r="593" spans="1:22" hidden="1" x14ac:dyDescent="0.25">
      <c r="A593" s="100">
        <v>45716</v>
      </c>
      <c r="B593" t="str">
        <f t="shared" si="20"/>
        <v>February</v>
      </c>
      <c r="C593" s="46" t="s">
        <v>280</v>
      </c>
      <c r="F593" s="366" t="s">
        <v>962</v>
      </c>
      <c r="G593" s="46" t="s">
        <v>17</v>
      </c>
      <c r="H593" s="46">
        <v>4</v>
      </c>
      <c r="I593" s="51">
        <v>4622.28</v>
      </c>
      <c r="J593" s="281">
        <f>++Tabla4[[#This Row],[Precio Bruto]]*1.16</f>
        <v>5361.8447999999989</v>
      </c>
      <c r="K593" s="281">
        <f>+Tabla4[[#This Row],[Precio Unitario Neto]]*Tabla4[[#Headers],[20.85%]]</f>
        <v>1117.9446407999997</v>
      </c>
      <c r="L593" s="282">
        <f>++Tabla4[[#This Row],[Precio Unitario Neto]]-Tabla4[[#This Row],[20.85%]]</f>
        <v>4243.9001591999995</v>
      </c>
      <c r="M593" s="282" t="e">
        <f>(INDEX(Tabla6[#All],MATCH(Tabla4[[#This Row],[Producto]],Tabla6[[#All],[PRODUCTO]],0),MATCH(Tabla4[[#This Row],[Mes]],Tabla6[#Headers],0)))*(1+Catalogos!$L$2)</f>
        <v>#N/A</v>
      </c>
      <c r="N593" s="283" t="e">
        <f>+(Tabla4[[#This Row],[Precio Descontado]]-Tabla4[[#This Row],[Precio Base]])*Tabla4[[#This Row],[Cantidad]]</f>
        <v>#N/A</v>
      </c>
      <c r="O593" s="284" t="e">
        <f>++Tabla4[[#This Row],[Utilidad Total]]/Tabla4[[#This Row],[Total]]</f>
        <v>#N/A</v>
      </c>
      <c r="P593" s="282">
        <f>++Tabla4[[#This Row],[Precio Descontado]]*Tabla4[[#This Row],[Cantidad]]</f>
        <v>16975.600636799998</v>
      </c>
      <c r="Q593" s="282" t="e">
        <f>(INDEX(Tabla6[#All],MATCH(Tabla4[[#This Row],[Producto]],Tabla6[[#All],[PRODUCTO]],0),MATCH(Tabla4[[#This Row],[Mes]],Tabla6[#Headers],0)))</f>
        <v>#N/A</v>
      </c>
      <c r="R593" s="282" t="e">
        <f>++Tabla4[[#This Row],[Precio Unitario Neto]]-Tabla4[[#This Row],[20.85%]]-Tabla4[[#This Row],[Costo]]</f>
        <v>#N/A</v>
      </c>
      <c r="S593" s="282" t="e">
        <f>++Tabla4[[#This Row],[U. Bruta Uni]]*Tabla4[[#This Row],[Cantidad]]</f>
        <v>#N/A</v>
      </c>
      <c r="T593" s="369" t="str">
        <f>VLOOKUP(Tabla4[[#This Row],[Producto]],Tabla6[#All],14,FALSE)</f>
        <v>Termico Solar</v>
      </c>
      <c r="U593" s="284" t="e">
        <f>(IF(Tabla4[[#This Row],[Familia]]="termico solar",Tabla4[[#This Row],[Utilidad Total]]*6%,Tabla4[[#This Row],[Utilidad Total]]*11.5%))/Tabla4[[#This Row],[Total]]</f>
        <v>#N/A</v>
      </c>
      <c r="V593" s="282" t="e">
        <f>+Tabla4[[#This Row],[Comisión Calculada]]*Tabla4[[#This Row],[Total]]</f>
        <v>#N/A</v>
      </c>
    </row>
    <row r="594" spans="1:22" hidden="1" x14ac:dyDescent="0.25">
      <c r="A594" s="100">
        <v>45716</v>
      </c>
      <c r="B594" t="str">
        <f t="shared" si="20"/>
        <v>February</v>
      </c>
      <c r="C594" s="46" t="s">
        <v>280</v>
      </c>
      <c r="F594" s="366" t="s">
        <v>962</v>
      </c>
      <c r="G594" s="46" t="s">
        <v>18</v>
      </c>
      <c r="H594" s="46">
        <v>1</v>
      </c>
      <c r="I594" s="51">
        <v>5367.65</v>
      </c>
      <c r="J594" s="281">
        <f>++Tabla4[[#This Row],[Precio Bruto]]*1.16</f>
        <v>6226.4739999999993</v>
      </c>
      <c r="K594" s="281">
        <f>+Tabla4[[#This Row],[Precio Unitario Neto]]*Tabla4[[#Headers],[20.85%]]</f>
        <v>1298.2198289999999</v>
      </c>
      <c r="L594" s="282">
        <f>++Tabla4[[#This Row],[Precio Unitario Neto]]-Tabla4[[#This Row],[20.85%]]</f>
        <v>4928.2541709999996</v>
      </c>
      <c r="M594" s="282" t="e">
        <f>(INDEX(Tabla6[#All],MATCH(Tabla4[[#This Row],[Producto]],Tabla6[[#All],[PRODUCTO]],0),MATCH(Tabla4[[#This Row],[Mes]],Tabla6[#Headers],0)))*(1+Catalogos!$L$2)</f>
        <v>#N/A</v>
      </c>
      <c r="N594" s="283" t="e">
        <f>+(Tabla4[[#This Row],[Precio Descontado]]-Tabla4[[#This Row],[Precio Base]])*Tabla4[[#This Row],[Cantidad]]</f>
        <v>#N/A</v>
      </c>
      <c r="O594" s="284" t="e">
        <f>++Tabla4[[#This Row],[Utilidad Total]]/Tabla4[[#This Row],[Total]]</f>
        <v>#N/A</v>
      </c>
      <c r="P594" s="282">
        <f>++Tabla4[[#This Row],[Precio Descontado]]*Tabla4[[#This Row],[Cantidad]]</f>
        <v>4928.2541709999996</v>
      </c>
      <c r="Q594" s="282" t="e">
        <f>(INDEX(Tabla6[#All],MATCH(Tabla4[[#This Row],[Producto]],Tabla6[[#All],[PRODUCTO]],0),MATCH(Tabla4[[#This Row],[Mes]],Tabla6[#Headers],0)))</f>
        <v>#N/A</v>
      </c>
      <c r="R594" s="282" t="e">
        <f>++Tabla4[[#This Row],[Precio Unitario Neto]]-Tabla4[[#This Row],[20.85%]]-Tabla4[[#This Row],[Costo]]</f>
        <v>#N/A</v>
      </c>
      <c r="S594" s="282" t="e">
        <f>++Tabla4[[#This Row],[U. Bruta Uni]]*Tabla4[[#This Row],[Cantidad]]</f>
        <v>#N/A</v>
      </c>
      <c r="T594" s="369" t="str">
        <f>VLOOKUP(Tabla4[[#This Row],[Producto]],Tabla6[#All],14,FALSE)</f>
        <v>Termico Solar</v>
      </c>
      <c r="U594" s="284" t="e">
        <f>(IF(Tabla4[[#This Row],[Familia]]="termico solar",Tabla4[[#This Row],[Utilidad Total]]*6%,Tabla4[[#This Row],[Utilidad Total]]*11.5%))/Tabla4[[#This Row],[Total]]</f>
        <v>#N/A</v>
      </c>
      <c r="V594" s="282" t="e">
        <f>+Tabla4[[#This Row],[Comisión Calculada]]*Tabla4[[#This Row],[Total]]</f>
        <v>#N/A</v>
      </c>
    </row>
    <row r="595" spans="1:22" hidden="1" x14ac:dyDescent="0.25">
      <c r="A595" s="100">
        <v>45716</v>
      </c>
      <c r="B595" t="str">
        <f t="shared" si="20"/>
        <v>February</v>
      </c>
      <c r="C595" s="46" t="s">
        <v>280</v>
      </c>
      <c r="F595" s="366" t="s">
        <v>962</v>
      </c>
      <c r="G595" s="46" t="s">
        <v>566</v>
      </c>
      <c r="H595" s="46">
        <v>2</v>
      </c>
      <c r="I595" s="51">
        <v>2109.4499999999998</v>
      </c>
      <c r="J595" s="281">
        <f>++Tabla4[[#This Row],[Precio Bruto]]*1.16</f>
        <v>2446.9619999999995</v>
      </c>
      <c r="K595" s="281">
        <f>+Tabla4[[#This Row],[Precio Unitario Neto]]*Tabla4[[#Headers],[20.85%]]</f>
        <v>510.19157699999988</v>
      </c>
      <c r="L595" s="282">
        <f>++Tabla4[[#This Row],[Precio Unitario Neto]]-Tabla4[[#This Row],[20.85%]]</f>
        <v>1936.7704229999997</v>
      </c>
      <c r="M595" s="282" t="e">
        <f>(INDEX(Tabla6[#All],MATCH(Tabla4[[#This Row],[Producto]],Tabla6[[#All],[PRODUCTO]],0),MATCH(Tabla4[[#This Row],[Mes]],Tabla6[#Headers],0)))*(1+Catalogos!$L$2)</f>
        <v>#N/A</v>
      </c>
      <c r="N595" s="283" t="e">
        <f>+(Tabla4[[#This Row],[Precio Descontado]]-Tabla4[[#This Row],[Precio Base]])*Tabla4[[#This Row],[Cantidad]]</f>
        <v>#N/A</v>
      </c>
      <c r="O595" s="284" t="e">
        <f>++Tabla4[[#This Row],[Utilidad Total]]/Tabla4[[#This Row],[Total]]</f>
        <v>#N/A</v>
      </c>
      <c r="P595" s="282">
        <f>++Tabla4[[#This Row],[Precio Descontado]]*Tabla4[[#This Row],[Cantidad]]</f>
        <v>3873.5408459999994</v>
      </c>
      <c r="Q595" s="282" t="e">
        <f>(INDEX(Tabla6[#All],MATCH(Tabla4[[#This Row],[Producto]],Tabla6[[#All],[PRODUCTO]],0),MATCH(Tabla4[[#This Row],[Mes]],Tabla6[#Headers],0)))</f>
        <v>#N/A</v>
      </c>
      <c r="R595" s="282" t="e">
        <f>++Tabla4[[#This Row],[Precio Unitario Neto]]-Tabla4[[#This Row],[20.85%]]-Tabla4[[#This Row],[Costo]]</f>
        <v>#N/A</v>
      </c>
      <c r="S595" s="282" t="e">
        <f>++Tabla4[[#This Row],[U. Bruta Uni]]*Tabla4[[#This Row],[Cantidad]]</f>
        <v>#N/A</v>
      </c>
      <c r="T595" s="369" t="str">
        <f>VLOOKUP(Tabla4[[#This Row],[Producto]],Tabla6[#All],14,FALSE)</f>
        <v>Termico Solar</v>
      </c>
      <c r="U595" s="284" t="e">
        <f>(IF(Tabla4[[#This Row],[Familia]]="termico solar",Tabla4[[#This Row],[Utilidad Total]]*6%,Tabla4[[#This Row],[Utilidad Total]]*11.5%))/Tabla4[[#This Row],[Total]]</f>
        <v>#N/A</v>
      </c>
      <c r="V595" s="282" t="e">
        <f>+Tabla4[[#This Row],[Comisión Calculada]]*Tabla4[[#This Row],[Total]]</f>
        <v>#N/A</v>
      </c>
    </row>
    <row r="596" spans="1:22" hidden="1" x14ac:dyDescent="0.25">
      <c r="A596" s="100">
        <v>45716</v>
      </c>
      <c r="B596" t="str">
        <f t="shared" si="20"/>
        <v>February</v>
      </c>
      <c r="C596" s="46" t="s">
        <v>280</v>
      </c>
      <c r="F596" s="366" t="s">
        <v>962</v>
      </c>
      <c r="G596" s="46" t="s">
        <v>16</v>
      </c>
      <c r="H596" s="46">
        <v>2</v>
      </c>
      <c r="I596" s="51">
        <v>4103.8500000000004</v>
      </c>
      <c r="J596" s="281">
        <f>++Tabla4[[#This Row],[Precio Bruto]]*1.16</f>
        <v>4760.4660000000003</v>
      </c>
      <c r="K596" s="281">
        <f>+Tabla4[[#This Row],[Precio Unitario Neto]]*Tabla4[[#Headers],[20.85%]]</f>
        <v>992.55716100000006</v>
      </c>
      <c r="L596" s="282">
        <f>++Tabla4[[#This Row],[Precio Unitario Neto]]-Tabla4[[#This Row],[20.85%]]</f>
        <v>3767.9088390000002</v>
      </c>
      <c r="M596" s="282" t="e">
        <f>(INDEX(Tabla6[#All],MATCH(Tabla4[[#This Row],[Producto]],Tabla6[[#All],[PRODUCTO]],0),MATCH(Tabla4[[#This Row],[Mes]],Tabla6[#Headers],0)))*(1+Catalogos!$L$2)</f>
        <v>#N/A</v>
      </c>
      <c r="N596" s="283" t="e">
        <f>+(Tabla4[[#This Row],[Precio Descontado]]-Tabla4[[#This Row],[Precio Base]])*Tabla4[[#This Row],[Cantidad]]</f>
        <v>#N/A</v>
      </c>
      <c r="O596" s="284" t="e">
        <f>++Tabla4[[#This Row],[Utilidad Total]]/Tabla4[[#This Row],[Total]]</f>
        <v>#N/A</v>
      </c>
      <c r="P596" s="282">
        <f>++Tabla4[[#This Row],[Precio Descontado]]*Tabla4[[#This Row],[Cantidad]]</f>
        <v>7535.8176780000003</v>
      </c>
      <c r="Q596" s="282" t="e">
        <f>(INDEX(Tabla6[#All],MATCH(Tabla4[[#This Row],[Producto]],Tabla6[[#All],[PRODUCTO]],0),MATCH(Tabla4[[#This Row],[Mes]],Tabla6[#Headers],0)))</f>
        <v>#N/A</v>
      </c>
      <c r="R596" s="282" t="e">
        <f>++Tabla4[[#This Row],[Precio Unitario Neto]]-Tabla4[[#This Row],[20.85%]]-Tabla4[[#This Row],[Costo]]</f>
        <v>#N/A</v>
      </c>
      <c r="S596" s="282" t="e">
        <f>++Tabla4[[#This Row],[U. Bruta Uni]]*Tabla4[[#This Row],[Cantidad]]</f>
        <v>#N/A</v>
      </c>
      <c r="T596" s="369" t="str">
        <f>VLOOKUP(Tabla4[[#This Row],[Producto]],Tabla6[#All],14,FALSE)</f>
        <v>Termico Solar</v>
      </c>
      <c r="U596" s="284" t="e">
        <f>(IF(Tabla4[[#This Row],[Familia]]="termico solar",Tabla4[[#This Row],[Utilidad Total]]*6%,Tabla4[[#This Row],[Utilidad Total]]*11.5%))/Tabla4[[#This Row],[Total]]</f>
        <v>#N/A</v>
      </c>
      <c r="V596" s="282" t="e">
        <f>+Tabla4[[#This Row],[Comisión Calculada]]*Tabla4[[#This Row],[Total]]</f>
        <v>#N/A</v>
      </c>
    </row>
    <row r="597" spans="1:22" hidden="1" x14ac:dyDescent="0.25">
      <c r="A597" s="100">
        <v>45716</v>
      </c>
      <c r="B597" t="str">
        <f t="shared" si="20"/>
        <v>February</v>
      </c>
      <c r="C597" s="46" t="s">
        <v>280</v>
      </c>
      <c r="F597" s="366" t="s">
        <v>963</v>
      </c>
      <c r="G597" s="46" t="s">
        <v>17</v>
      </c>
      <c r="H597" s="46">
        <v>2</v>
      </c>
      <c r="I597" s="51">
        <v>4622.28</v>
      </c>
      <c r="J597" s="281">
        <f>++Tabla4[[#This Row],[Precio Bruto]]*1.16</f>
        <v>5361.8447999999989</v>
      </c>
      <c r="K597" s="281">
        <f>+Tabla4[[#This Row],[Precio Unitario Neto]]*Tabla4[[#Headers],[20.85%]]</f>
        <v>1117.9446407999997</v>
      </c>
      <c r="L597" s="282">
        <f>++Tabla4[[#This Row],[Precio Unitario Neto]]-Tabla4[[#This Row],[20.85%]]</f>
        <v>4243.9001591999995</v>
      </c>
      <c r="M597" s="282" t="e">
        <f>(INDEX(Tabla6[#All],MATCH(Tabla4[[#This Row],[Producto]],Tabla6[[#All],[PRODUCTO]],0),MATCH(Tabla4[[#This Row],[Mes]],Tabla6[#Headers],0)))*(1+Catalogos!$L$2)</f>
        <v>#N/A</v>
      </c>
      <c r="N597" s="283" t="e">
        <f>+(Tabla4[[#This Row],[Precio Descontado]]-Tabla4[[#This Row],[Precio Base]])*Tabla4[[#This Row],[Cantidad]]</f>
        <v>#N/A</v>
      </c>
      <c r="O597" s="284" t="e">
        <f>++Tabla4[[#This Row],[Utilidad Total]]/Tabla4[[#This Row],[Total]]</f>
        <v>#N/A</v>
      </c>
      <c r="P597" s="282">
        <f>++Tabla4[[#This Row],[Precio Descontado]]*Tabla4[[#This Row],[Cantidad]]</f>
        <v>8487.800318399999</v>
      </c>
      <c r="Q597" s="282" t="e">
        <f>(INDEX(Tabla6[#All],MATCH(Tabla4[[#This Row],[Producto]],Tabla6[[#All],[PRODUCTO]],0),MATCH(Tabla4[[#This Row],[Mes]],Tabla6[#Headers],0)))</f>
        <v>#N/A</v>
      </c>
      <c r="R597" s="282" t="e">
        <f>++Tabla4[[#This Row],[Precio Unitario Neto]]-Tabla4[[#This Row],[20.85%]]-Tabla4[[#This Row],[Costo]]</f>
        <v>#N/A</v>
      </c>
      <c r="S597" s="282" t="e">
        <f>++Tabla4[[#This Row],[U. Bruta Uni]]*Tabla4[[#This Row],[Cantidad]]</f>
        <v>#N/A</v>
      </c>
      <c r="T597" s="369" t="str">
        <f>VLOOKUP(Tabla4[[#This Row],[Producto]],Tabla6[#All],14,FALSE)</f>
        <v>Termico Solar</v>
      </c>
      <c r="U597" s="284" t="e">
        <f>(IF(Tabla4[[#This Row],[Familia]]="termico solar",Tabla4[[#This Row],[Utilidad Total]]*6%,Tabla4[[#This Row],[Utilidad Total]]*11.5%))/Tabla4[[#This Row],[Total]]</f>
        <v>#N/A</v>
      </c>
      <c r="V597" s="282" t="e">
        <f>+Tabla4[[#This Row],[Comisión Calculada]]*Tabla4[[#This Row],[Total]]</f>
        <v>#N/A</v>
      </c>
    </row>
    <row r="598" spans="1:22" hidden="1" x14ac:dyDescent="0.25">
      <c r="A598" s="100">
        <v>45716</v>
      </c>
      <c r="B598" t="str">
        <f t="shared" si="20"/>
        <v>February</v>
      </c>
      <c r="C598" s="46" t="s">
        <v>280</v>
      </c>
      <c r="F598" s="366" t="s">
        <v>963</v>
      </c>
      <c r="G598" s="46" t="s">
        <v>18</v>
      </c>
      <c r="H598" s="46">
        <v>1</v>
      </c>
      <c r="I598" s="51">
        <v>5367.65</v>
      </c>
      <c r="J598" s="281">
        <f>++Tabla4[[#This Row],[Precio Bruto]]*1.16</f>
        <v>6226.4739999999993</v>
      </c>
      <c r="K598" s="281">
        <f>+Tabla4[[#This Row],[Precio Unitario Neto]]*Tabla4[[#Headers],[20.85%]]</f>
        <v>1298.2198289999999</v>
      </c>
      <c r="L598" s="282">
        <f>++Tabla4[[#This Row],[Precio Unitario Neto]]-Tabla4[[#This Row],[20.85%]]</f>
        <v>4928.2541709999996</v>
      </c>
      <c r="M598" s="282" t="e">
        <f>(INDEX(Tabla6[#All],MATCH(Tabla4[[#This Row],[Producto]],Tabla6[[#All],[PRODUCTO]],0),MATCH(Tabla4[[#This Row],[Mes]],Tabla6[#Headers],0)))*(1+Catalogos!$L$2)</f>
        <v>#N/A</v>
      </c>
      <c r="N598" s="283" t="e">
        <f>+(Tabla4[[#This Row],[Precio Descontado]]-Tabla4[[#This Row],[Precio Base]])*Tabla4[[#This Row],[Cantidad]]</f>
        <v>#N/A</v>
      </c>
      <c r="O598" s="284" t="e">
        <f>++Tabla4[[#This Row],[Utilidad Total]]/Tabla4[[#This Row],[Total]]</f>
        <v>#N/A</v>
      </c>
      <c r="P598" s="282">
        <f>++Tabla4[[#This Row],[Precio Descontado]]*Tabla4[[#This Row],[Cantidad]]</f>
        <v>4928.2541709999996</v>
      </c>
      <c r="Q598" s="282" t="e">
        <f>(INDEX(Tabla6[#All],MATCH(Tabla4[[#This Row],[Producto]],Tabla6[[#All],[PRODUCTO]],0),MATCH(Tabla4[[#This Row],[Mes]],Tabla6[#Headers],0)))</f>
        <v>#N/A</v>
      </c>
      <c r="R598" s="282" t="e">
        <f>++Tabla4[[#This Row],[Precio Unitario Neto]]-Tabla4[[#This Row],[20.85%]]-Tabla4[[#This Row],[Costo]]</f>
        <v>#N/A</v>
      </c>
      <c r="S598" s="282" t="e">
        <f>++Tabla4[[#This Row],[U. Bruta Uni]]*Tabla4[[#This Row],[Cantidad]]</f>
        <v>#N/A</v>
      </c>
      <c r="T598" s="369" t="str">
        <f>VLOOKUP(Tabla4[[#This Row],[Producto]],Tabla6[#All],14,FALSE)</f>
        <v>Termico Solar</v>
      </c>
      <c r="U598" s="284" t="e">
        <f>(IF(Tabla4[[#This Row],[Familia]]="termico solar",Tabla4[[#This Row],[Utilidad Total]]*6%,Tabla4[[#This Row],[Utilidad Total]]*11.5%))/Tabla4[[#This Row],[Total]]</f>
        <v>#N/A</v>
      </c>
      <c r="V598" s="282" t="e">
        <f>+Tabla4[[#This Row],[Comisión Calculada]]*Tabla4[[#This Row],[Total]]</f>
        <v>#N/A</v>
      </c>
    </row>
    <row r="599" spans="1:22" hidden="1" x14ac:dyDescent="0.25">
      <c r="A599" s="100">
        <v>45716</v>
      </c>
      <c r="B599" t="str">
        <f t="shared" si="20"/>
        <v>February</v>
      </c>
      <c r="C599" s="46" t="s">
        <v>280</v>
      </c>
      <c r="F599" s="366" t="s">
        <v>963</v>
      </c>
      <c r="G599" s="46" t="s">
        <v>16</v>
      </c>
      <c r="H599" s="46">
        <v>4</v>
      </c>
      <c r="I599" s="51">
        <v>4103.8500000000004</v>
      </c>
      <c r="J599" s="281">
        <f>++Tabla4[[#This Row],[Precio Bruto]]*1.16</f>
        <v>4760.4660000000003</v>
      </c>
      <c r="K599" s="281">
        <f>+Tabla4[[#This Row],[Precio Unitario Neto]]*Tabla4[[#Headers],[20.85%]]</f>
        <v>992.55716100000006</v>
      </c>
      <c r="L599" s="282">
        <f>++Tabla4[[#This Row],[Precio Unitario Neto]]-Tabla4[[#This Row],[20.85%]]</f>
        <v>3767.9088390000002</v>
      </c>
      <c r="M599" s="282" t="e">
        <f>(INDEX(Tabla6[#All],MATCH(Tabla4[[#This Row],[Producto]],Tabla6[[#All],[PRODUCTO]],0),MATCH(Tabla4[[#This Row],[Mes]],Tabla6[#Headers],0)))*(1+Catalogos!$L$2)</f>
        <v>#N/A</v>
      </c>
      <c r="N599" s="283" t="e">
        <f>+(Tabla4[[#This Row],[Precio Descontado]]-Tabla4[[#This Row],[Precio Base]])*Tabla4[[#This Row],[Cantidad]]</f>
        <v>#N/A</v>
      </c>
      <c r="O599" s="284" t="e">
        <f>++Tabla4[[#This Row],[Utilidad Total]]/Tabla4[[#This Row],[Total]]</f>
        <v>#N/A</v>
      </c>
      <c r="P599" s="282">
        <f>++Tabla4[[#This Row],[Precio Descontado]]*Tabla4[[#This Row],[Cantidad]]</f>
        <v>15071.635356000001</v>
      </c>
      <c r="Q599" s="282" t="e">
        <f>(INDEX(Tabla6[#All],MATCH(Tabla4[[#This Row],[Producto]],Tabla6[[#All],[PRODUCTO]],0),MATCH(Tabla4[[#This Row],[Mes]],Tabla6[#Headers],0)))</f>
        <v>#N/A</v>
      </c>
      <c r="R599" s="282" t="e">
        <f>++Tabla4[[#This Row],[Precio Unitario Neto]]-Tabla4[[#This Row],[20.85%]]-Tabla4[[#This Row],[Costo]]</f>
        <v>#N/A</v>
      </c>
      <c r="S599" s="282" t="e">
        <f>++Tabla4[[#This Row],[U. Bruta Uni]]*Tabla4[[#This Row],[Cantidad]]</f>
        <v>#N/A</v>
      </c>
      <c r="T599" s="369" t="str">
        <f>VLOOKUP(Tabla4[[#This Row],[Producto]],Tabla6[#All],14,FALSE)</f>
        <v>Termico Solar</v>
      </c>
      <c r="U599" s="284" t="e">
        <f>(IF(Tabla4[[#This Row],[Familia]]="termico solar",Tabla4[[#This Row],[Utilidad Total]]*6%,Tabla4[[#This Row],[Utilidad Total]]*11.5%))/Tabla4[[#This Row],[Total]]</f>
        <v>#N/A</v>
      </c>
      <c r="V599" s="282" t="e">
        <f>+Tabla4[[#This Row],[Comisión Calculada]]*Tabla4[[#This Row],[Total]]</f>
        <v>#N/A</v>
      </c>
    </row>
    <row r="600" spans="1:22" hidden="1" x14ac:dyDescent="0.25">
      <c r="A600" s="100">
        <v>45716</v>
      </c>
      <c r="B600" t="str">
        <f t="shared" si="20"/>
        <v>February</v>
      </c>
      <c r="C600" s="46" t="s">
        <v>280</v>
      </c>
      <c r="F600" s="366" t="s">
        <v>964</v>
      </c>
      <c r="G600" s="46" t="s">
        <v>83</v>
      </c>
      <c r="H600" s="46">
        <v>4</v>
      </c>
      <c r="I600" s="51">
        <v>8858.76</v>
      </c>
      <c r="J600" s="281">
        <f>++Tabla4[[#This Row],[Precio Bruto]]*1.16</f>
        <v>10276.161599999999</v>
      </c>
      <c r="K600" s="281">
        <f>+Tabla4[[#This Row],[Precio Unitario Neto]]*Tabla4[[#Headers],[20.85%]]</f>
        <v>2142.5796935999997</v>
      </c>
      <c r="L600" s="282">
        <f>++Tabla4[[#This Row],[Precio Unitario Neto]]-Tabla4[[#This Row],[20.85%]]</f>
        <v>8133.5819063999998</v>
      </c>
      <c r="M600" s="282" t="e">
        <f>(INDEX(Tabla6[#All],MATCH(Tabla4[[#This Row],[Producto]],Tabla6[[#All],[PRODUCTO]],0),MATCH(Tabla4[[#This Row],[Mes]],Tabla6[#Headers],0)))*(1+Catalogos!$L$2)</f>
        <v>#N/A</v>
      </c>
      <c r="N600" s="283" t="e">
        <f>+(Tabla4[[#This Row],[Precio Descontado]]-Tabla4[[#This Row],[Precio Base]])*Tabla4[[#This Row],[Cantidad]]</f>
        <v>#N/A</v>
      </c>
      <c r="O600" s="284" t="e">
        <f>++Tabla4[[#This Row],[Utilidad Total]]/Tabla4[[#This Row],[Total]]</f>
        <v>#N/A</v>
      </c>
      <c r="P600" s="282">
        <f>++Tabla4[[#This Row],[Precio Descontado]]*Tabla4[[#This Row],[Cantidad]]</f>
        <v>32534.327625599999</v>
      </c>
      <c r="Q600" s="282" t="e">
        <f>(INDEX(Tabla6[#All],MATCH(Tabla4[[#This Row],[Producto]],Tabla6[[#All],[PRODUCTO]],0),MATCH(Tabla4[[#This Row],[Mes]],Tabla6[#Headers],0)))</f>
        <v>#N/A</v>
      </c>
      <c r="R600" s="282" t="e">
        <f>++Tabla4[[#This Row],[Precio Unitario Neto]]-Tabla4[[#This Row],[20.85%]]-Tabla4[[#This Row],[Costo]]</f>
        <v>#N/A</v>
      </c>
      <c r="S600" s="282" t="e">
        <f>++Tabla4[[#This Row],[U. Bruta Uni]]*Tabla4[[#This Row],[Cantidad]]</f>
        <v>#N/A</v>
      </c>
      <c r="T600" s="369" t="str">
        <f>VLOOKUP(Tabla4[[#This Row],[Producto]],Tabla6[#All],14,FALSE)</f>
        <v>Termico Solar</v>
      </c>
      <c r="U600" s="284" t="e">
        <f>(IF(Tabla4[[#This Row],[Familia]]="termico solar",Tabla4[[#This Row],[Utilidad Total]]*6%,Tabla4[[#This Row],[Utilidad Total]]*11.5%))/Tabla4[[#This Row],[Total]]</f>
        <v>#N/A</v>
      </c>
      <c r="V600" s="282" t="e">
        <f>+Tabla4[[#This Row],[Comisión Calculada]]*Tabla4[[#This Row],[Total]]</f>
        <v>#N/A</v>
      </c>
    </row>
    <row r="601" spans="1:22" hidden="1" x14ac:dyDescent="0.25">
      <c r="A601" s="100">
        <v>45716</v>
      </c>
      <c r="B601" t="str">
        <f t="shared" si="20"/>
        <v>February</v>
      </c>
      <c r="C601" s="46" t="s">
        <v>280</v>
      </c>
      <c r="F601" s="366" t="s">
        <v>964</v>
      </c>
      <c r="G601" s="46" t="s">
        <v>17</v>
      </c>
      <c r="H601" s="46">
        <v>5</v>
      </c>
      <c r="I601" s="51">
        <v>4622.2800000000007</v>
      </c>
      <c r="J601" s="281">
        <f>++Tabla4[[#This Row],[Precio Bruto]]*1.16</f>
        <v>5361.8448000000008</v>
      </c>
      <c r="K601" s="281">
        <f>+Tabla4[[#This Row],[Precio Unitario Neto]]*Tabla4[[#Headers],[20.85%]]</f>
        <v>1117.9446408000001</v>
      </c>
      <c r="L601" s="282">
        <f>++Tabla4[[#This Row],[Precio Unitario Neto]]-Tabla4[[#This Row],[20.85%]]</f>
        <v>4243.9001592000004</v>
      </c>
      <c r="M601" s="282" t="e">
        <f>(INDEX(Tabla6[#All],MATCH(Tabla4[[#This Row],[Producto]],Tabla6[[#All],[PRODUCTO]],0),MATCH(Tabla4[[#This Row],[Mes]],Tabla6[#Headers],0)))*(1+Catalogos!$L$2)</f>
        <v>#N/A</v>
      </c>
      <c r="N601" s="283" t="e">
        <f>+(Tabla4[[#This Row],[Precio Descontado]]-Tabla4[[#This Row],[Precio Base]])*Tabla4[[#This Row],[Cantidad]]</f>
        <v>#N/A</v>
      </c>
      <c r="O601" s="284" t="e">
        <f>++Tabla4[[#This Row],[Utilidad Total]]/Tabla4[[#This Row],[Total]]</f>
        <v>#N/A</v>
      </c>
      <c r="P601" s="282">
        <f>++Tabla4[[#This Row],[Precio Descontado]]*Tabla4[[#This Row],[Cantidad]]</f>
        <v>21219.500796</v>
      </c>
      <c r="Q601" s="282" t="e">
        <f>(INDEX(Tabla6[#All],MATCH(Tabla4[[#This Row],[Producto]],Tabla6[[#All],[PRODUCTO]],0),MATCH(Tabla4[[#This Row],[Mes]],Tabla6[#Headers],0)))</f>
        <v>#N/A</v>
      </c>
      <c r="R601" s="282" t="e">
        <f>++Tabla4[[#This Row],[Precio Unitario Neto]]-Tabla4[[#This Row],[20.85%]]-Tabla4[[#This Row],[Costo]]</f>
        <v>#N/A</v>
      </c>
      <c r="S601" s="282" t="e">
        <f>++Tabla4[[#This Row],[U. Bruta Uni]]*Tabla4[[#This Row],[Cantidad]]</f>
        <v>#N/A</v>
      </c>
      <c r="T601" s="369" t="str">
        <f>VLOOKUP(Tabla4[[#This Row],[Producto]],Tabla6[#All],14,FALSE)</f>
        <v>Termico Solar</v>
      </c>
      <c r="U601" s="284" t="e">
        <f>(IF(Tabla4[[#This Row],[Familia]]="termico solar",Tabla4[[#This Row],[Utilidad Total]]*6%,Tabla4[[#This Row],[Utilidad Total]]*11.5%))/Tabla4[[#This Row],[Total]]</f>
        <v>#N/A</v>
      </c>
      <c r="V601" s="282" t="e">
        <f>+Tabla4[[#This Row],[Comisión Calculada]]*Tabla4[[#This Row],[Total]]</f>
        <v>#N/A</v>
      </c>
    </row>
    <row r="602" spans="1:22" hidden="1" x14ac:dyDescent="0.25">
      <c r="A602" s="100">
        <v>45716</v>
      </c>
      <c r="B602" t="str">
        <f t="shared" si="20"/>
        <v>February</v>
      </c>
      <c r="C602" s="46" t="s">
        <v>280</v>
      </c>
      <c r="F602" s="366" t="s">
        <v>964</v>
      </c>
      <c r="G602" s="46" t="s">
        <v>18</v>
      </c>
      <c r="H602" s="46">
        <v>2</v>
      </c>
      <c r="I602" s="51">
        <v>5367.65</v>
      </c>
      <c r="J602" s="281">
        <f>++Tabla4[[#This Row],[Precio Bruto]]*1.16</f>
        <v>6226.4739999999993</v>
      </c>
      <c r="K602" s="281">
        <f>+Tabla4[[#This Row],[Precio Unitario Neto]]*Tabla4[[#Headers],[20.85%]]</f>
        <v>1298.2198289999999</v>
      </c>
      <c r="L602" s="282">
        <f>++Tabla4[[#This Row],[Precio Unitario Neto]]-Tabla4[[#This Row],[20.85%]]</f>
        <v>4928.2541709999996</v>
      </c>
      <c r="M602" s="282" t="e">
        <f>(INDEX(Tabla6[#All],MATCH(Tabla4[[#This Row],[Producto]],Tabla6[[#All],[PRODUCTO]],0),MATCH(Tabla4[[#This Row],[Mes]],Tabla6[#Headers],0)))*(1+Catalogos!$L$2)</f>
        <v>#N/A</v>
      </c>
      <c r="N602" s="283" t="e">
        <f>+(Tabla4[[#This Row],[Precio Descontado]]-Tabla4[[#This Row],[Precio Base]])*Tabla4[[#This Row],[Cantidad]]</f>
        <v>#N/A</v>
      </c>
      <c r="O602" s="284" t="e">
        <f>++Tabla4[[#This Row],[Utilidad Total]]/Tabla4[[#This Row],[Total]]</f>
        <v>#N/A</v>
      </c>
      <c r="P602" s="282">
        <f>++Tabla4[[#This Row],[Precio Descontado]]*Tabla4[[#This Row],[Cantidad]]</f>
        <v>9856.5083419999992</v>
      </c>
      <c r="Q602" s="282" t="e">
        <f>(INDEX(Tabla6[#All],MATCH(Tabla4[[#This Row],[Producto]],Tabla6[[#All],[PRODUCTO]],0),MATCH(Tabla4[[#This Row],[Mes]],Tabla6[#Headers],0)))</f>
        <v>#N/A</v>
      </c>
      <c r="R602" s="282" t="e">
        <f>++Tabla4[[#This Row],[Precio Unitario Neto]]-Tabla4[[#This Row],[20.85%]]-Tabla4[[#This Row],[Costo]]</f>
        <v>#N/A</v>
      </c>
      <c r="S602" s="282" t="e">
        <f>++Tabla4[[#This Row],[U. Bruta Uni]]*Tabla4[[#This Row],[Cantidad]]</f>
        <v>#N/A</v>
      </c>
      <c r="T602" s="369" t="str">
        <f>VLOOKUP(Tabla4[[#This Row],[Producto]],Tabla6[#All],14,FALSE)</f>
        <v>Termico Solar</v>
      </c>
      <c r="U602" s="284" t="e">
        <f>(IF(Tabla4[[#This Row],[Familia]]="termico solar",Tabla4[[#This Row],[Utilidad Total]]*6%,Tabla4[[#This Row],[Utilidad Total]]*11.5%))/Tabla4[[#This Row],[Total]]</f>
        <v>#N/A</v>
      </c>
      <c r="V602" s="282" t="e">
        <f>+Tabla4[[#This Row],[Comisión Calculada]]*Tabla4[[#This Row],[Total]]</f>
        <v>#N/A</v>
      </c>
    </row>
    <row r="603" spans="1:22" hidden="1" x14ac:dyDescent="0.25">
      <c r="A603" s="100">
        <v>45716</v>
      </c>
      <c r="B603" t="str">
        <f t="shared" si="20"/>
        <v>February</v>
      </c>
      <c r="C603" s="46" t="s">
        <v>280</v>
      </c>
      <c r="F603" s="366" t="s">
        <v>964</v>
      </c>
      <c r="G603" s="46" t="s">
        <v>566</v>
      </c>
      <c r="H603" s="46">
        <v>1</v>
      </c>
      <c r="I603" s="51">
        <v>2109.4499999999998</v>
      </c>
      <c r="J603" s="281">
        <f>++Tabla4[[#This Row],[Precio Bruto]]*1.16</f>
        <v>2446.9619999999995</v>
      </c>
      <c r="K603" s="281">
        <f>+Tabla4[[#This Row],[Precio Unitario Neto]]*Tabla4[[#Headers],[20.85%]]</f>
        <v>510.19157699999988</v>
      </c>
      <c r="L603" s="282">
        <f>++Tabla4[[#This Row],[Precio Unitario Neto]]-Tabla4[[#This Row],[20.85%]]</f>
        <v>1936.7704229999997</v>
      </c>
      <c r="M603" s="282" t="e">
        <f>(INDEX(Tabla6[#All],MATCH(Tabla4[[#This Row],[Producto]],Tabla6[[#All],[PRODUCTO]],0),MATCH(Tabla4[[#This Row],[Mes]],Tabla6[#Headers],0)))*(1+Catalogos!$L$2)</f>
        <v>#N/A</v>
      </c>
      <c r="N603" s="283" t="e">
        <f>+(Tabla4[[#This Row],[Precio Descontado]]-Tabla4[[#This Row],[Precio Base]])*Tabla4[[#This Row],[Cantidad]]</f>
        <v>#N/A</v>
      </c>
      <c r="O603" s="284" t="e">
        <f>++Tabla4[[#This Row],[Utilidad Total]]/Tabla4[[#This Row],[Total]]</f>
        <v>#N/A</v>
      </c>
      <c r="P603" s="282">
        <f>++Tabla4[[#This Row],[Precio Descontado]]*Tabla4[[#This Row],[Cantidad]]</f>
        <v>1936.7704229999997</v>
      </c>
      <c r="Q603" s="282" t="e">
        <f>(INDEX(Tabla6[#All],MATCH(Tabla4[[#This Row],[Producto]],Tabla6[[#All],[PRODUCTO]],0),MATCH(Tabla4[[#This Row],[Mes]],Tabla6[#Headers],0)))</f>
        <v>#N/A</v>
      </c>
      <c r="R603" s="282" t="e">
        <f>++Tabla4[[#This Row],[Precio Unitario Neto]]-Tabla4[[#This Row],[20.85%]]-Tabla4[[#This Row],[Costo]]</f>
        <v>#N/A</v>
      </c>
      <c r="S603" s="282" t="e">
        <f>++Tabla4[[#This Row],[U. Bruta Uni]]*Tabla4[[#This Row],[Cantidad]]</f>
        <v>#N/A</v>
      </c>
      <c r="T603" s="369" t="str">
        <f>VLOOKUP(Tabla4[[#This Row],[Producto]],Tabla6[#All],14,FALSE)</f>
        <v>Termico Solar</v>
      </c>
      <c r="U603" s="284" t="e">
        <f>(IF(Tabla4[[#This Row],[Familia]]="termico solar",Tabla4[[#This Row],[Utilidad Total]]*6%,Tabla4[[#This Row],[Utilidad Total]]*11.5%))/Tabla4[[#This Row],[Total]]</f>
        <v>#N/A</v>
      </c>
      <c r="V603" s="282" t="e">
        <f>+Tabla4[[#This Row],[Comisión Calculada]]*Tabla4[[#This Row],[Total]]</f>
        <v>#N/A</v>
      </c>
    </row>
    <row r="604" spans="1:22" hidden="1" x14ac:dyDescent="0.25">
      <c r="A604" s="100">
        <v>45716</v>
      </c>
      <c r="B604" t="str">
        <f t="shared" si="20"/>
        <v>February</v>
      </c>
      <c r="C604" s="46" t="s">
        <v>280</v>
      </c>
      <c r="F604" s="366" t="s">
        <v>965</v>
      </c>
      <c r="G604" s="46" t="s">
        <v>17</v>
      </c>
      <c r="H604" s="46">
        <v>2</v>
      </c>
      <c r="I604" s="51">
        <v>4622.28</v>
      </c>
      <c r="J604" s="281">
        <f>++Tabla4[[#This Row],[Precio Bruto]]*1.16</f>
        <v>5361.8447999999989</v>
      </c>
      <c r="K604" s="281">
        <f>+Tabla4[[#This Row],[Precio Unitario Neto]]*Tabla4[[#Headers],[20.85%]]</f>
        <v>1117.9446407999997</v>
      </c>
      <c r="L604" s="282">
        <f>++Tabla4[[#This Row],[Precio Unitario Neto]]-Tabla4[[#This Row],[20.85%]]</f>
        <v>4243.9001591999995</v>
      </c>
      <c r="M604" s="282" t="e">
        <f>(INDEX(Tabla6[#All],MATCH(Tabla4[[#This Row],[Producto]],Tabla6[[#All],[PRODUCTO]],0),MATCH(Tabla4[[#This Row],[Mes]],Tabla6[#Headers],0)))*(1+Catalogos!$L$2)</f>
        <v>#N/A</v>
      </c>
      <c r="N604" s="283" t="e">
        <f>+(Tabla4[[#This Row],[Precio Descontado]]-Tabla4[[#This Row],[Precio Base]])*Tabla4[[#This Row],[Cantidad]]</f>
        <v>#N/A</v>
      </c>
      <c r="O604" s="284" t="e">
        <f>++Tabla4[[#This Row],[Utilidad Total]]/Tabla4[[#This Row],[Total]]</f>
        <v>#N/A</v>
      </c>
      <c r="P604" s="282">
        <f>++Tabla4[[#This Row],[Precio Descontado]]*Tabla4[[#This Row],[Cantidad]]</f>
        <v>8487.800318399999</v>
      </c>
      <c r="Q604" s="282" t="e">
        <f>(INDEX(Tabla6[#All],MATCH(Tabla4[[#This Row],[Producto]],Tabla6[[#All],[PRODUCTO]],0),MATCH(Tabla4[[#This Row],[Mes]],Tabla6[#Headers],0)))</f>
        <v>#N/A</v>
      </c>
      <c r="R604" s="282" t="e">
        <f>++Tabla4[[#This Row],[Precio Unitario Neto]]-Tabla4[[#This Row],[20.85%]]-Tabla4[[#This Row],[Costo]]</f>
        <v>#N/A</v>
      </c>
      <c r="S604" s="282" t="e">
        <f>++Tabla4[[#This Row],[U. Bruta Uni]]*Tabla4[[#This Row],[Cantidad]]</f>
        <v>#N/A</v>
      </c>
      <c r="T604" s="369" t="str">
        <f>VLOOKUP(Tabla4[[#This Row],[Producto]],Tabla6[#All],14,FALSE)</f>
        <v>Termico Solar</v>
      </c>
      <c r="U604" s="284" t="e">
        <f>(IF(Tabla4[[#This Row],[Familia]]="termico solar",Tabla4[[#This Row],[Utilidad Total]]*6%,Tabla4[[#This Row],[Utilidad Total]]*11.5%))/Tabla4[[#This Row],[Total]]</f>
        <v>#N/A</v>
      </c>
      <c r="V604" s="282" t="e">
        <f>+Tabla4[[#This Row],[Comisión Calculada]]*Tabla4[[#This Row],[Total]]</f>
        <v>#N/A</v>
      </c>
    </row>
    <row r="605" spans="1:22" hidden="1" x14ac:dyDescent="0.25">
      <c r="A605" s="100">
        <v>45716</v>
      </c>
      <c r="B605" t="str">
        <f t="shared" si="20"/>
        <v>February</v>
      </c>
      <c r="C605" s="46" t="s">
        <v>280</v>
      </c>
      <c r="F605" s="366" t="s">
        <v>965</v>
      </c>
      <c r="G605" s="46" t="s">
        <v>18</v>
      </c>
      <c r="H605" s="46">
        <v>1</v>
      </c>
      <c r="I605" s="51">
        <v>5367.65</v>
      </c>
      <c r="J605" s="281">
        <f>++Tabla4[[#This Row],[Precio Bruto]]*1.16</f>
        <v>6226.4739999999993</v>
      </c>
      <c r="K605" s="281">
        <f>+Tabla4[[#This Row],[Precio Unitario Neto]]*Tabla4[[#Headers],[20.85%]]</f>
        <v>1298.2198289999999</v>
      </c>
      <c r="L605" s="282">
        <f>++Tabla4[[#This Row],[Precio Unitario Neto]]-Tabla4[[#This Row],[20.85%]]</f>
        <v>4928.2541709999996</v>
      </c>
      <c r="M605" s="282" t="e">
        <f>(INDEX(Tabla6[#All],MATCH(Tabla4[[#This Row],[Producto]],Tabla6[[#All],[PRODUCTO]],0),MATCH(Tabla4[[#This Row],[Mes]],Tabla6[#Headers],0)))*(1+Catalogos!$L$2)</f>
        <v>#N/A</v>
      </c>
      <c r="N605" s="283" t="e">
        <f>+(Tabla4[[#This Row],[Precio Descontado]]-Tabla4[[#This Row],[Precio Base]])*Tabla4[[#This Row],[Cantidad]]</f>
        <v>#N/A</v>
      </c>
      <c r="O605" s="284" t="e">
        <f>++Tabla4[[#This Row],[Utilidad Total]]/Tabla4[[#This Row],[Total]]</f>
        <v>#N/A</v>
      </c>
      <c r="P605" s="282">
        <f>++Tabla4[[#This Row],[Precio Descontado]]*Tabla4[[#This Row],[Cantidad]]</f>
        <v>4928.2541709999996</v>
      </c>
      <c r="Q605" s="282" t="e">
        <f>(INDEX(Tabla6[#All],MATCH(Tabla4[[#This Row],[Producto]],Tabla6[[#All],[PRODUCTO]],0),MATCH(Tabla4[[#This Row],[Mes]],Tabla6[#Headers],0)))</f>
        <v>#N/A</v>
      </c>
      <c r="R605" s="282" t="e">
        <f>++Tabla4[[#This Row],[Precio Unitario Neto]]-Tabla4[[#This Row],[20.85%]]-Tabla4[[#This Row],[Costo]]</f>
        <v>#N/A</v>
      </c>
      <c r="S605" s="282" t="e">
        <f>++Tabla4[[#This Row],[U. Bruta Uni]]*Tabla4[[#This Row],[Cantidad]]</f>
        <v>#N/A</v>
      </c>
      <c r="T605" s="369" t="str">
        <f>VLOOKUP(Tabla4[[#This Row],[Producto]],Tabla6[#All],14,FALSE)</f>
        <v>Termico Solar</v>
      </c>
      <c r="U605" s="284" t="e">
        <f>(IF(Tabla4[[#This Row],[Familia]]="termico solar",Tabla4[[#This Row],[Utilidad Total]]*6%,Tabla4[[#This Row],[Utilidad Total]]*11.5%))/Tabla4[[#This Row],[Total]]</f>
        <v>#N/A</v>
      </c>
      <c r="V605" s="282" t="e">
        <f>+Tabla4[[#This Row],[Comisión Calculada]]*Tabla4[[#This Row],[Total]]</f>
        <v>#N/A</v>
      </c>
    </row>
    <row r="606" spans="1:22" hidden="1" x14ac:dyDescent="0.25">
      <c r="A606" s="100">
        <v>45716</v>
      </c>
      <c r="B606" t="str">
        <f t="shared" si="20"/>
        <v>February</v>
      </c>
      <c r="C606" s="46" t="s">
        <v>280</v>
      </c>
      <c r="F606" s="366" t="s">
        <v>966</v>
      </c>
      <c r="G606" s="46" t="s">
        <v>17</v>
      </c>
      <c r="H606" s="46">
        <v>2</v>
      </c>
      <c r="I606" s="51">
        <v>4622.28</v>
      </c>
      <c r="J606" s="281">
        <f>++Tabla4[[#This Row],[Precio Bruto]]*1.16</f>
        <v>5361.8447999999989</v>
      </c>
      <c r="K606" s="281">
        <f>+Tabla4[[#This Row],[Precio Unitario Neto]]*Tabla4[[#Headers],[20.85%]]</f>
        <v>1117.9446407999997</v>
      </c>
      <c r="L606" s="282">
        <f>++Tabla4[[#This Row],[Precio Unitario Neto]]-Tabla4[[#This Row],[20.85%]]</f>
        <v>4243.9001591999995</v>
      </c>
      <c r="M606" s="282" t="e">
        <f>(INDEX(Tabla6[#All],MATCH(Tabla4[[#This Row],[Producto]],Tabla6[[#All],[PRODUCTO]],0),MATCH(Tabla4[[#This Row],[Mes]],Tabla6[#Headers],0)))*(1+Catalogos!$L$2)</f>
        <v>#N/A</v>
      </c>
      <c r="N606" s="283" t="e">
        <f>+(Tabla4[[#This Row],[Precio Descontado]]-Tabla4[[#This Row],[Precio Base]])*Tabla4[[#This Row],[Cantidad]]</f>
        <v>#N/A</v>
      </c>
      <c r="O606" s="284" t="e">
        <f>++Tabla4[[#This Row],[Utilidad Total]]/Tabla4[[#This Row],[Total]]</f>
        <v>#N/A</v>
      </c>
      <c r="P606" s="282">
        <f>++Tabla4[[#This Row],[Precio Descontado]]*Tabla4[[#This Row],[Cantidad]]</f>
        <v>8487.800318399999</v>
      </c>
      <c r="Q606" s="282" t="e">
        <f>(INDEX(Tabla6[#All],MATCH(Tabla4[[#This Row],[Producto]],Tabla6[[#All],[PRODUCTO]],0),MATCH(Tabla4[[#This Row],[Mes]],Tabla6[#Headers],0)))</f>
        <v>#N/A</v>
      </c>
      <c r="R606" s="282" t="e">
        <f>++Tabla4[[#This Row],[Precio Unitario Neto]]-Tabla4[[#This Row],[20.85%]]-Tabla4[[#This Row],[Costo]]</f>
        <v>#N/A</v>
      </c>
      <c r="S606" s="282" t="e">
        <f>++Tabla4[[#This Row],[U. Bruta Uni]]*Tabla4[[#This Row],[Cantidad]]</f>
        <v>#N/A</v>
      </c>
      <c r="T606" s="369" t="str">
        <f>VLOOKUP(Tabla4[[#This Row],[Producto]],Tabla6[#All],14,FALSE)</f>
        <v>Termico Solar</v>
      </c>
      <c r="U606" s="284" t="e">
        <f>(IF(Tabla4[[#This Row],[Familia]]="termico solar",Tabla4[[#This Row],[Utilidad Total]]*6%,Tabla4[[#This Row],[Utilidad Total]]*11.5%))/Tabla4[[#This Row],[Total]]</f>
        <v>#N/A</v>
      </c>
      <c r="V606" s="282" t="e">
        <f>+Tabla4[[#This Row],[Comisión Calculada]]*Tabla4[[#This Row],[Total]]</f>
        <v>#N/A</v>
      </c>
    </row>
    <row r="607" spans="1:22" hidden="1" x14ac:dyDescent="0.25">
      <c r="A607" s="100">
        <v>45716</v>
      </c>
      <c r="B607" t="str">
        <f t="shared" si="20"/>
        <v>February</v>
      </c>
      <c r="C607" s="46" t="s">
        <v>280</v>
      </c>
      <c r="F607" s="366" t="s">
        <v>966</v>
      </c>
      <c r="G607" s="46" t="s">
        <v>394</v>
      </c>
      <c r="H607" s="46">
        <v>9</v>
      </c>
      <c r="I607" s="51">
        <v>108.1</v>
      </c>
      <c r="J607" s="281">
        <f>++Tabla4[[#This Row],[Precio Bruto]]*1.16</f>
        <v>125.39599999999999</v>
      </c>
      <c r="K607" s="281">
        <f>+Tabla4[[#This Row],[Precio Unitario Neto]]*Tabla4[[#Headers],[20.85%]]</f>
        <v>26.145065999999996</v>
      </c>
      <c r="L607" s="282">
        <f>++Tabla4[[#This Row],[Precio Unitario Neto]]-Tabla4[[#This Row],[20.85%]]</f>
        <v>99.250933999999987</v>
      </c>
      <c r="M607" s="282" t="e">
        <f>(INDEX(Tabla6[#All],MATCH(Tabla4[[#This Row],[Producto]],Tabla6[[#All],[PRODUCTO]],0),MATCH(Tabla4[[#This Row],[Mes]],Tabla6[#Headers],0)))*(1+Catalogos!$L$2)</f>
        <v>#N/A</v>
      </c>
      <c r="N607" s="283" t="e">
        <f>+(Tabla4[[#This Row],[Precio Descontado]]-Tabla4[[#This Row],[Precio Base]])*Tabla4[[#This Row],[Cantidad]]</f>
        <v>#N/A</v>
      </c>
      <c r="O607" s="284" t="e">
        <f>++Tabla4[[#This Row],[Utilidad Total]]/Tabla4[[#This Row],[Total]]</f>
        <v>#N/A</v>
      </c>
      <c r="P607" s="282">
        <f>++Tabla4[[#This Row],[Precio Descontado]]*Tabla4[[#This Row],[Cantidad]]</f>
        <v>893.25840599999992</v>
      </c>
      <c r="Q607" s="282" t="e">
        <f>(INDEX(Tabla6[#All],MATCH(Tabla4[[#This Row],[Producto]],Tabla6[[#All],[PRODUCTO]],0),MATCH(Tabla4[[#This Row],[Mes]],Tabla6[#Headers],0)))</f>
        <v>#N/A</v>
      </c>
      <c r="R607" s="282" t="e">
        <f>++Tabla4[[#This Row],[Precio Unitario Neto]]-Tabla4[[#This Row],[20.85%]]-Tabla4[[#This Row],[Costo]]</f>
        <v>#N/A</v>
      </c>
      <c r="S607" s="282" t="e">
        <f>++Tabla4[[#This Row],[U. Bruta Uni]]*Tabla4[[#This Row],[Cantidad]]</f>
        <v>#N/A</v>
      </c>
      <c r="T607" s="369" t="str">
        <f>VLOOKUP(Tabla4[[#This Row],[Producto]],Tabla6[#All],14,FALSE)</f>
        <v>Termico Solar</v>
      </c>
      <c r="U607" s="284" t="e">
        <f>(IF(Tabla4[[#This Row],[Familia]]="termico solar",Tabla4[[#This Row],[Utilidad Total]]*6%,Tabla4[[#This Row],[Utilidad Total]]*11.5%))/Tabla4[[#This Row],[Total]]</f>
        <v>#N/A</v>
      </c>
      <c r="V607" s="282" t="e">
        <f>+Tabla4[[#This Row],[Comisión Calculada]]*Tabla4[[#This Row],[Total]]</f>
        <v>#N/A</v>
      </c>
    </row>
    <row r="608" spans="1:22" hidden="1" x14ac:dyDescent="0.25">
      <c r="A608" s="100">
        <v>45716</v>
      </c>
      <c r="B608" t="str">
        <f t="shared" si="20"/>
        <v>February</v>
      </c>
      <c r="C608" s="46" t="s">
        <v>280</v>
      </c>
      <c r="F608" s="366" t="s">
        <v>967</v>
      </c>
      <c r="G608" s="46" t="s">
        <v>17</v>
      </c>
      <c r="H608" s="46">
        <v>1</v>
      </c>
      <c r="I608" s="51">
        <v>4622.28</v>
      </c>
      <c r="J608" s="281">
        <f>++Tabla4[[#This Row],[Precio Bruto]]*1.16</f>
        <v>5361.8447999999989</v>
      </c>
      <c r="K608" s="281">
        <f>+Tabla4[[#This Row],[Precio Unitario Neto]]*Tabla4[[#Headers],[20.85%]]</f>
        <v>1117.9446407999997</v>
      </c>
      <c r="L608" s="282">
        <f>++Tabla4[[#This Row],[Precio Unitario Neto]]-Tabla4[[#This Row],[20.85%]]</f>
        <v>4243.9001591999995</v>
      </c>
      <c r="M608" s="282" t="e">
        <f>(INDEX(Tabla6[#All],MATCH(Tabla4[[#This Row],[Producto]],Tabla6[[#All],[PRODUCTO]],0),MATCH(Tabla4[[#This Row],[Mes]],Tabla6[#Headers],0)))*(1+Catalogos!$L$2)</f>
        <v>#N/A</v>
      </c>
      <c r="N608" s="283" t="e">
        <f>+(Tabla4[[#This Row],[Precio Descontado]]-Tabla4[[#This Row],[Precio Base]])*Tabla4[[#This Row],[Cantidad]]</f>
        <v>#N/A</v>
      </c>
      <c r="O608" s="284" t="e">
        <f>++Tabla4[[#This Row],[Utilidad Total]]/Tabla4[[#This Row],[Total]]</f>
        <v>#N/A</v>
      </c>
      <c r="P608" s="282">
        <f>++Tabla4[[#This Row],[Precio Descontado]]*Tabla4[[#This Row],[Cantidad]]</f>
        <v>4243.9001591999995</v>
      </c>
      <c r="Q608" s="282" t="e">
        <f>(INDEX(Tabla6[#All],MATCH(Tabla4[[#This Row],[Producto]],Tabla6[[#All],[PRODUCTO]],0),MATCH(Tabla4[[#This Row],[Mes]],Tabla6[#Headers],0)))</f>
        <v>#N/A</v>
      </c>
      <c r="R608" s="282" t="e">
        <f>++Tabla4[[#This Row],[Precio Unitario Neto]]-Tabla4[[#This Row],[20.85%]]-Tabla4[[#This Row],[Costo]]</f>
        <v>#N/A</v>
      </c>
      <c r="S608" s="282" t="e">
        <f>++Tabla4[[#This Row],[U. Bruta Uni]]*Tabla4[[#This Row],[Cantidad]]</f>
        <v>#N/A</v>
      </c>
      <c r="T608" s="369" t="str">
        <f>VLOOKUP(Tabla4[[#This Row],[Producto]],Tabla6[#All],14,FALSE)</f>
        <v>Termico Solar</v>
      </c>
      <c r="U608" s="284" t="e">
        <f>(IF(Tabla4[[#This Row],[Familia]]="termico solar",Tabla4[[#This Row],[Utilidad Total]]*6%,Tabla4[[#This Row],[Utilidad Total]]*11.5%))/Tabla4[[#This Row],[Total]]</f>
        <v>#N/A</v>
      </c>
      <c r="V608" s="282" t="e">
        <f>+Tabla4[[#This Row],[Comisión Calculada]]*Tabla4[[#This Row],[Total]]</f>
        <v>#N/A</v>
      </c>
    </row>
    <row r="609" spans="1:22" hidden="1" x14ac:dyDescent="0.25">
      <c r="A609" s="100">
        <v>45716</v>
      </c>
      <c r="B609" t="str">
        <f t="shared" si="20"/>
        <v>February</v>
      </c>
      <c r="C609" s="46" t="s">
        <v>280</v>
      </c>
      <c r="F609" s="366" t="s">
        <v>968</v>
      </c>
      <c r="G609" s="46" t="s">
        <v>83</v>
      </c>
      <c r="H609" s="46">
        <v>1</v>
      </c>
      <c r="I609" s="51">
        <v>8858.76</v>
      </c>
      <c r="J609" s="281">
        <f>++Tabla4[[#This Row],[Precio Bruto]]*1.16</f>
        <v>10276.161599999999</v>
      </c>
      <c r="K609" s="281">
        <f>+Tabla4[[#This Row],[Precio Unitario Neto]]*Tabla4[[#Headers],[20.85%]]</f>
        <v>2142.5796935999997</v>
      </c>
      <c r="L609" s="282">
        <f>++Tabla4[[#This Row],[Precio Unitario Neto]]-Tabla4[[#This Row],[20.85%]]</f>
        <v>8133.5819063999998</v>
      </c>
      <c r="M609" s="282" t="e">
        <f>(INDEX(Tabla6[#All],MATCH(Tabla4[[#This Row],[Producto]],Tabla6[[#All],[PRODUCTO]],0),MATCH(Tabla4[[#This Row],[Mes]],Tabla6[#Headers],0)))*(1+Catalogos!$L$2)</f>
        <v>#N/A</v>
      </c>
      <c r="N609" s="283" t="e">
        <f>+(Tabla4[[#This Row],[Precio Descontado]]-Tabla4[[#This Row],[Precio Base]])*Tabla4[[#This Row],[Cantidad]]</f>
        <v>#N/A</v>
      </c>
      <c r="O609" s="284" t="e">
        <f>++Tabla4[[#This Row],[Utilidad Total]]/Tabla4[[#This Row],[Total]]</f>
        <v>#N/A</v>
      </c>
      <c r="P609" s="282">
        <f>++Tabla4[[#This Row],[Precio Descontado]]*Tabla4[[#This Row],[Cantidad]]</f>
        <v>8133.5819063999998</v>
      </c>
      <c r="Q609" s="282" t="e">
        <f>(INDEX(Tabla6[#All],MATCH(Tabla4[[#This Row],[Producto]],Tabla6[[#All],[PRODUCTO]],0),MATCH(Tabla4[[#This Row],[Mes]],Tabla6[#Headers],0)))</f>
        <v>#N/A</v>
      </c>
      <c r="R609" s="282" t="e">
        <f>++Tabla4[[#This Row],[Precio Unitario Neto]]-Tabla4[[#This Row],[20.85%]]-Tabla4[[#This Row],[Costo]]</f>
        <v>#N/A</v>
      </c>
      <c r="S609" s="282" t="e">
        <f>++Tabla4[[#This Row],[U. Bruta Uni]]*Tabla4[[#This Row],[Cantidad]]</f>
        <v>#N/A</v>
      </c>
      <c r="T609" s="369" t="str">
        <f>VLOOKUP(Tabla4[[#This Row],[Producto]],Tabla6[#All],14,FALSE)</f>
        <v>Termico Solar</v>
      </c>
      <c r="U609" s="284" t="e">
        <f>(IF(Tabla4[[#This Row],[Familia]]="termico solar",Tabla4[[#This Row],[Utilidad Total]]*6%,Tabla4[[#This Row],[Utilidad Total]]*11.5%))/Tabla4[[#This Row],[Total]]</f>
        <v>#N/A</v>
      </c>
      <c r="V609" s="282" t="e">
        <f>+Tabla4[[#This Row],[Comisión Calculada]]*Tabla4[[#This Row],[Total]]</f>
        <v>#N/A</v>
      </c>
    </row>
    <row r="610" spans="1:22" hidden="1" x14ac:dyDescent="0.25">
      <c r="A610" s="100">
        <v>45716</v>
      </c>
      <c r="B610" t="str">
        <f t="shared" si="20"/>
        <v>February</v>
      </c>
      <c r="C610" s="46" t="s">
        <v>280</v>
      </c>
      <c r="F610" s="366" t="s">
        <v>968</v>
      </c>
      <c r="G610" s="46" t="s">
        <v>18</v>
      </c>
      <c r="H610" s="46">
        <v>1</v>
      </c>
      <c r="I610" s="51">
        <v>5367.65</v>
      </c>
      <c r="J610" s="281">
        <f>++Tabla4[[#This Row],[Precio Bruto]]*1.16</f>
        <v>6226.4739999999993</v>
      </c>
      <c r="K610" s="281">
        <f>+Tabla4[[#This Row],[Precio Unitario Neto]]*Tabla4[[#Headers],[20.85%]]</f>
        <v>1298.2198289999999</v>
      </c>
      <c r="L610" s="282">
        <f>++Tabla4[[#This Row],[Precio Unitario Neto]]-Tabla4[[#This Row],[20.85%]]</f>
        <v>4928.2541709999996</v>
      </c>
      <c r="M610" s="282" t="e">
        <f>(INDEX(Tabla6[#All],MATCH(Tabla4[[#This Row],[Producto]],Tabla6[[#All],[PRODUCTO]],0),MATCH(Tabla4[[#This Row],[Mes]],Tabla6[#Headers],0)))*(1+Catalogos!$L$2)</f>
        <v>#N/A</v>
      </c>
      <c r="N610" s="283" t="e">
        <f>+(Tabla4[[#This Row],[Precio Descontado]]-Tabla4[[#This Row],[Precio Base]])*Tabla4[[#This Row],[Cantidad]]</f>
        <v>#N/A</v>
      </c>
      <c r="O610" s="284" t="e">
        <f>++Tabla4[[#This Row],[Utilidad Total]]/Tabla4[[#This Row],[Total]]</f>
        <v>#N/A</v>
      </c>
      <c r="P610" s="282">
        <f>++Tabla4[[#This Row],[Precio Descontado]]*Tabla4[[#This Row],[Cantidad]]</f>
        <v>4928.2541709999996</v>
      </c>
      <c r="Q610" s="282" t="e">
        <f>(INDEX(Tabla6[#All],MATCH(Tabla4[[#This Row],[Producto]],Tabla6[[#All],[PRODUCTO]],0),MATCH(Tabla4[[#This Row],[Mes]],Tabla6[#Headers],0)))</f>
        <v>#N/A</v>
      </c>
      <c r="R610" s="282" t="e">
        <f>++Tabla4[[#This Row],[Precio Unitario Neto]]-Tabla4[[#This Row],[20.85%]]-Tabla4[[#This Row],[Costo]]</f>
        <v>#N/A</v>
      </c>
      <c r="S610" s="282" t="e">
        <f>++Tabla4[[#This Row],[U. Bruta Uni]]*Tabla4[[#This Row],[Cantidad]]</f>
        <v>#N/A</v>
      </c>
      <c r="T610" s="369" t="str">
        <f>VLOOKUP(Tabla4[[#This Row],[Producto]],Tabla6[#All],14,FALSE)</f>
        <v>Termico Solar</v>
      </c>
      <c r="U610" s="284" t="e">
        <f>(IF(Tabla4[[#This Row],[Familia]]="termico solar",Tabla4[[#This Row],[Utilidad Total]]*6%,Tabla4[[#This Row],[Utilidad Total]]*11.5%))/Tabla4[[#This Row],[Total]]</f>
        <v>#N/A</v>
      </c>
      <c r="V610" s="282" t="e">
        <f>+Tabla4[[#This Row],[Comisión Calculada]]*Tabla4[[#This Row],[Total]]</f>
        <v>#N/A</v>
      </c>
    </row>
    <row r="611" spans="1:22" hidden="1" x14ac:dyDescent="0.25">
      <c r="A611" s="100">
        <v>45716</v>
      </c>
      <c r="B611" t="str">
        <f t="shared" si="20"/>
        <v>February</v>
      </c>
      <c r="C611" s="46" t="s">
        <v>280</v>
      </c>
      <c r="F611" s="366" t="s">
        <v>968</v>
      </c>
      <c r="G611" s="46" t="s">
        <v>16</v>
      </c>
      <c r="H611" s="46">
        <v>1</v>
      </c>
      <c r="I611" s="51">
        <v>4103.8500000000004</v>
      </c>
      <c r="J611" s="281">
        <f>++Tabla4[[#This Row],[Precio Bruto]]*1.16</f>
        <v>4760.4660000000003</v>
      </c>
      <c r="K611" s="281">
        <f>+Tabla4[[#This Row],[Precio Unitario Neto]]*Tabla4[[#Headers],[20.85%]]</f>
        <v>992.55716100000006</v>
      </c>
      <c r="L611" s="282">
        <f>++Tabla4[[#This Row],[Precio Unitario Neto]]-Tabla4[[#This Row],[20.85%]]</f>
        <v>3767.9088390000002</v>
      </c>
      <c r="M611" s="282" t="e">
        <f>(INDEX(Tabla6[#All],MATCH(Tabla4[[#This Row],[Producto]],Tabla6[[#All],[PRODUCTO]],0),MATCH(Tabla4[[#This Row],[Mes]],Tabla6[#Headers],0)))*(1+Catalogos!$L$2)</f>
        <v>#N/A</v>
      </c>
      <c r="N611" s="283" t="e">
        <f>+(Tabla4[[#This Row],[Precio Descontado]]-Tabla4[[#This Row],[Precio Base]])*Tabla4[[#This Row],[Cantidad]]</f>
        <v>#N/A</v>
      </c>
      <c r="O611" s="284" t="e">
        <f>++Tabla4[[#This Row],[Utilidad Total]]/Tabla4[[#This Row],[Total]]</f>
        <v>#N/A</v>
      </c>
      <c r="P611" s="282">
        <f>++Tabla4[[#This Row],[Precio Descontado]]*Tabla4[[#This Row],[Cantidad]]</f>
        <v>3767.9088390000002</v>
      </c>
      <c r="Q611" s="282" t="e">
        <f>(INDEX(Tabla6[#All],MATCH(Tabla4[[#This Row],[Producto]],Tabla6[[#All],[PRODUCTO]],0),MATCH(Tabla4[[#This Row],[Mes]],Tabla6[#Headers],0)))</f>
        <v>#N/A</v>
      </c>
      <c r="R611" s="282" t="e">
        <f>++Tabla4[[#This Row],[Precio Unitario Neto]]-Tabla4[[#This Row],[20.85%]]-Tabla4[[#This Row],[Costo]]</f>
        <v>#N/A</v>
      </c>
      <c r="S611" s="282" t="e">
        <f>++Tabla4[[#This Row],[U. Bruta Uni]]*Tabla4[[#This Row],[Cantidad]]</f>
        <v>#N/A</v>
      </c>
      <c r="T611" s="369" t="str">
        <f>VLOOKUP(Tabla4[[#This Row],[Producto]],Tabla6[#All],14,FALSE)</f>
        <v>Termico Solar</v>
      </c>
      <c r="U611" s="284" t="e">
        <f>(IF(Tabla4[[#This Row],[Familia]]="termico solar",Tabla4[[#This Row],[Utilidad Total]]*6%,Tabla4[[#This Row],[Utilidad Total]]*11.5%))/Tabla4[[#This Row],[Total]]</f>
        <v>#N/A</v>
      </c>
      <c r="V611" s="282" t="e">
        <f>+Tabla4[[#This Row],[Comisión Calculada]]*Tabla4[[#This Row],[Total]]</f>
        <v>#N/A</v>
      </c>
    </row>
    <row r="612" spans="1:22" hidden="1" x14ac:dyDescent="0.25">
      <c r="A612" s="100">
        <v>45716</v>
      </c>
      <c r="B612" t="str">
        <f t="shared" si="20"/>
        <v>February</v>
      </c>
      <c r="C612" s="46" t="s">
        <v>280</v>
      </c>
      <c r="F612" s="366" t="s">
        <v>969</v>
      </c>
      <c r="G612" s="46" t="s">
        <v>17</v>
      </c>
      <c r="H612" s="46">
        <v>4</v>
      </c>
      <c r="I612" s="51">
        <v>4622.28</v>
      </c>
      <c r="J612" s="281">
        <f>++Tabla4[[#This Row],[Precio Bruto]]*1.16</f>
        <v>5361.8447999999989</v>
      </c>
      <c r="K612" s="281">
        <f>+Tabla4[[#This Row],[Precio Unitario Neto]]*Tabla4[[#Headers],[20.85%]]</f>
        <v>1117.9446407999997</v>
      </c>
      <c r="L612" s="282">
        <f>++Tabla4[[#This Row],[Precio Unitario Neto]]-Tabla4[[#This Row],[20.85%]]</f>
        <v>4243.9001591999995</v>
      </c>
      <c r="M612" s="282" t="e">
        <f>(INDEX(Tabla6[#All],MATCH(Tabla4[[#This Row],[Producto]],Tabla6[[#All],[PRODUCTO]],0),MATCH(Tabla4[[#This Row],[Mes]],Tabla6[#Headers],0)))*(1+Catalogos!$L$2)</f>
        <v>#N/A</v>
      </c>
      <c r="N612" s="283" t="e">
        <f>+(Tabla4[[#This Row],[Precio Descontado]]-Tabla4[[#This Row],[Precio Base]])*Tabla4[[#This Row],[Cantidad]]</f>
        <v>#N/A</v>
      </c>
      <c r="O612" s="284" t="e">
        <f>++Tabla4[[#This Row],[Utilidad Total]]/Tabla4[[#This Row],[Total]]</f>
        <v>#N/A</v>
      </c>
      <c r="P612" s="282">
        <f>++Tabla4[[#This Row],[Precio Descontado]]*Tabla4[[#This Row],[Cantidad]]</f>
        <v>16975.600636799998</v>
      </c>
      <c r="Q612" s="282" t="e">
        <f>(INDEX(Tabla6[#All],MATCH(Tabla4[[#This Row],[Producto]],Tabla6[[#All],[PRODUCTO]],0),MATCH(Tabla4[[#This Row],[Mes]],Tabla6[#Headers],0)))</f>
        <v>#N/A</v>
      </c>
      <c r="R612" s="282" t="e">
        <f>++Tabla4[[#This Row],[Precio Unitario Neto]]-Tabla4[[#This Row],[20.85%]]-Tabla4[[#This Row],[Costo]]</f>
        <v>#N/A</v>
      </c>
      <c r="S612" s="282" t="e">
        <f>++Tabla4[[#This Row],[U. Bruta Uni]]*Tabla4[[#This Row],[Cantidad]]</f>
        <v>#N/A</v>
      </c>
      <c r="T612" s="369" t="str">
        <f>VLOOKUP(Tabla4[[#This Row],[Producto]],Tabla6[#All],14,FALSE)</f>
        <v>Termico Solar</v>
      </c>
      <c r="U612" s="284" t="e">
        <f>(IF(Tabla4[[#This Row],[Familia]]="termico solar",Tabla4[[#This Row],[Utilidad Total]]*6%,Tabla4[[#This Row],[Utilidad Total]]*11.5%))/Tabla4[[#This Row],[Total]]</f>
        <v>#N/A</v>
      </c>
      <c r="V612" s="282" t="e">
        <f>+Tabla4[[#This Row],[Comisión Calculada]]*Tabla4[[#This Row],[Total]]</f>
        <v>#N/A</v>
      </c>
    </row>
    <row r="613" spans="1:22" hidden="1" x14ac:dyDescent="0.25">
      <c r="A613" s="100">
        <v>45716</v>
      </c>
      <c r="B613" t="str">
        <f t="shared" si="20"/>
        <v>February</v>
      </c>
      <c r="C613" s="46" t="s">
        <v>280</v>
      </c>
      <c r="F613" s="366" t="s">
        <v>969</v>
      </c>
      <c r="G613" s="46" t="s">
        <v>18</v>
      </c>
      <c r="H613" s="46">
        <v>1</v>
      </c>
      <c r="I613" s="51">
        <v>5367.65</v>
      </c>
      <c r="J613" s="281">
        <f>++Tabla4[[#This Row],[Precio Bruto]]*1.16</f>
        <v>6226.4739999999993</v>
      </c>
      <c r="K613" s="281">
        <f>+Tabla4[[#This Row],[Precio Unitario Neto]]*Tabla4[[#Headers],[20.85%]]</f>
        <v>1298.2198289999999</v>
      </c>
      <c r="L613" s="282">
        <f>++Tabla4[[#This Row],[Precio Unitario Neto]]-Tabla4[[#This Row],[20.85%]]</f>
        <v>4928.2541709999996</v>
      </c>
      <c r="M613" s="282" t="e">
        <f>(INDEX(Tabla6[#All],MATCH(Tabla4[[#This Row],[Producto]],Tabla6[[#All],[PRODUCTO]],0),MATCH(Tabla4[[#This Row],[Mes]],Tabla6[#Headers],0)))*(1+Catalogos!$L$2)</f>
        <v>#N/A</v>
      </c>
      <c r="N613" s="283" t="e">
        <f>+(Tabla4[[#This Row],[Precio Descontado]]-Tabla4[[#This Row],[Precio Base]])*Tabla4[[#This Row],[Cantidad]]</f>
        <v>#N/A</v>
      </c>
      <c r="O613" s="284" t="e">
        <f>++Tabla4[[#This Row],[Utilidad Total]]/Tabla4[[#This Row],[Total]]</f>
        <v>#N/A</v>
      </c>
      <c r="P613" s="282">
        <f>++Tabla4[[#This Row],[Precio Descontado]]*Tabla4[[#This Row],[Cantidad]]</f>
        <v>4928.2541709999996</v>
      </c>
      <c r="Q613" s="282" t="e">
        <f>(INDEX(Tabla6[#All],MATCH(Tabla4[[#This Row],[Producto]],Tabla6[[#All],[PRODUCTO]],0),MATCH(Tabla4[[#This Row],[Mes]],Tabla6[#Headers],0)))</f>
        <v>#N/A</v>
      </c>
      <c r="R613" s="282" t="e">
        <f>++Tabla4[[#This Row],[Precio Unitario Neto]]-Tabla4[[#This Row],[20.85%]]-Tabla4[[#This Row],[Costo]]</f>
        <v>#N/A</v>
      </c>
      <c r="S613" s="282" t="e">
        <f>++Tabla4[[#This Row],[U. Bruta Uni]]*Tabla4[[#This Row],[Cantidad]]</f>
        <v>#N/A</v>
      </c>
      <c r="T613" s="369" t="str">
        <f>VLOOKUP(Tabla4[[#This Row],[Producto]],Tabla6[#All],14,FALSE)</f>
        <v>Termico Solar</v>
      </c>
      <c r="U613" s="284" t="e">
        <f>(IF(Tabla4[[#This Row],[Familia]]="termico solar",Tabla4[[#This Row],[Utilidad Total]]*6%,Tabla4[[#This Row],[Utilidad Total]]*11.5%))/Tabla4[[#This Row],[Total]]</f>
        <v>#N/A</v>
      </c>
      <c r="V613" s="282" t="e">
        <f>+Tabla4[[#This Row],[Comisión Calculada]]*Tabla4[[#This Row],[Total]]</f>
        <v>#N/A</v>
      </c>
    </row>
    <row r="614" spans="1:22" hidden="1" x14ac:dyDescent="0.25">
      <c r="A614" s="100">
        <v>45716</v>
      </c>
      <c r="B614" t="str">
        <f t="shared" si="20"/>
        <v>February</v>
      </c>
      <c r="C614" s="46" t="s">
        <v>280</v>
      </c>
      <c r="F614" s="366" t="s">
        <v>970</v>
      </c>
      <c r="G614" s="46" t="s">
        <v>17</v>
      </c>
      <c r="H614" s="46">
        <v>2</v>
      </c>
      <c r="I614" s="51">
        <v>4622.28</v>
      </c>
      <c r="J614" s="281">
        <f>++Tabla4[[#This Row],[Precio Bruto]]*1.16</f>
        <v>5361.8447999999989</v>
      </c>
      <c r="K614" s="281">
        <f>+Tabla4[[#This Row],[Precio Unitario Neto]]*Tabla4[[#Headers],[20.85%]]</f>
        <v>1117.9446407999997</v>
      </c>
      <c r="L614" s="282">
        <f>++Tabla4[[#This Row],[Precio Unitario Neto]]-Tabla4[[#This Row],[20.85%]]</f>
        <v>4243.9001591999995</v>
      </c>
      <c r="M614" s="282" t="e">
        <f>(INDEX(Tabla6[#All],MATCH(Tabla4[[#This Row],[Producto]],Tabla6[[#All],[PRODUCTO]],0),MATCH(Tabla4[[#This Row],[Mes]],Tabla6[#Headers],0)))*(1+Catalogos!$L$2)</f>
        <v>#N/A</v>
      </c>
      <c r="N614" s="283" t="e">
        <f>+(Tabla4[[#This Row],[Precio Descontado]]-Tabla4[[#This Row],[Precio Base]])*Tabla4[[#This Row],[Cantidad]]</f>
        <v>#N/A</v>
      </c>
      <c r="O614" s="284" t="e">
        <f>++Tabla4[[#This Row],[Utilidad Total]]/Tabla4[[#This Row],[Total]]</f>
        <v>#N/A</v>
      </c>
      <c r="P614" s="282">
        <f>++Tabla4[[#This Row],[Precio Descontado]]*Tabla4[[#This Row],[Cantidad]]</f>
        <v>8487.800318399999</v>
      </c>
      <c r="Q614" s="282" t="e">
        <f>(INDEX(Tabla6[#All],MATCH(Tabla4[[#This Row],[Producto]],Tabla6[[#All],[PRODUCTO]],0),MATCH(Tabla4[[#This Row],[Mes]],Tabla6[#Headers],0)))</f>
        <v>#N/A</v>
      </c>
      <c r="R614" s="282" t="e">
        <f>++Tabla4[[#This Row],[Precio Unitario Neto]]-Tabla4[[#This Row],[20.85%]]-Tabla4[[#This Row],[Costo]]</f>
        <v>#N/A</v>
      </c>
      <c r="S614" s="282" t="e">
        <f>++Tabla4[[#This Row],[U. Bruta Uni]]*Tabla4[[#This Row],[Cantidad]]</f>
        <v>#N/A</v>
      </c>
      <c r="T614" s="369" t="str">
        <f>VLOOKUP(Tabla4[[#This Row],[Producto]],Tabla6[#All],14,FALSE)</f>
        <v>Termico Solar</v>
      </c>
      <c r="U614" s="284" t="e">
        <f>(IF(Tabla4[[#This Row],[Familia]]="termico solar",Tabla4[[#This Row],[Utilidad Total]]*6%,Tabla4[[#This Row],[Utilidad Total]]*11.5%))/Tabla4[[#This Row],[Total]]</f>
        <v>#N/A</v>
      </c>
      <c r="V614" s="282" t="e">
        <f>+Tabla4[[#This Row],[Comisión Calculada]]*Tabla4[[#This Row],[Total]]</f>
        <v>#N/A</v>
      </c>
    </row>
    <row r="615" spans="1:22" hidden="1" x14ac:dyDescent="0.25">
      <c r="A615" s="100">
        <v>45716</v>
      </c>
      <c r="B615" t="str">
        <f t="shared" si="20"/>
        <v>February</v>
      </c>
      <c r="C615" s="46" t="s">
        <v>280</v>
      </c>
      <c r="F615" s="366" t="s">
        <v>970</v>
      </c>
      <c r="G615" s="46" t="s">
        <v>566</v>
      </c>
      <c r="H615" s="46">
        <v>1</v>
      </c>
      <c r="I615" s="51">
        <v>2109.4499999999998</v>
      </c>
      <c r="J615" s="281">
        <f>++Tabla4[[#This Row],[Precio Bruto]]*1.16</f>
        <v>2446.9619999999995</v>
      </c>
      <c r="K615" s="281">
        <f>+Tabla4[[#This Row],[Precio Unitario Neto]]*Tabla4[[#Headers],[20.85%]]</f>
        <v>510.19157699999988</v>
      </c>
      <c r="L615" s="282">
        <f>++Tabla4[[#This Row],[Precio Unitario Neto]]-Tabla4[[#This Row],[20.85%]]</f>
        <v>1936.7704229999997</v>
      </c>
      <c r="M615" s="282" t="e">
        <f>(INDEX(Tabla6[#All],MATCH(Tabla4[[#This Row],[Producto]],Tabla6[[#All],[PRODUCTO]],0),MATCH(Tabla4[[#This Row],[Mes]],Tabla6[#Headers],0)))*(1+Catalogos!$L$2)</f>
        <v>#N/A</v>
      </c>
      <c r="N615" s="283" t="e">
        <f>+(Tabla4[[#This Row],[Precio Descontado]]-Tabla4[[#This Row],[Precio Base]])*Tabla4[[#This Row],[Cantidad]]</f>
        <v>#N/A</v>
      </c>
      <c r="O615" s="284" t="e">
        <f>++Tabla4[[#This Row],[Utilidad Total]]/Tabla4[[#This Row],[Total]]</f>
        <v>#N/A</v>
      </c>
      <c r="P615" s="282">
        <f>++Tabla4[[#This Row],[Precio Descontado]]*Tabla4[[#This Row],[Cantidad]]</f>
        <v>1936.7704229999997</v>
      </c>
      <c r="Q615" s="282" t="e">
        <f>(INDEX(Tabla6[#All],MATCH(Tabla4[[#This Row],[Producto]],Tabla6[[#All],[PRODUCTO]],0),MATCH(Tabla4[[#This Row],[Mes]],Tabla6[#Headers],0)))</f>
        <v>#N/A</v>
      </c>
      <c r="R615" s="282" t="e">
        <f>++Tabla4[[#This Row],[Precio Unitario Neto]]-Tabla4[[#This Row],[20.85%]]-Tabla4[[#This Row],[Costo]]</f>
        <v>#N/A</v>
      </c>
      <c r="S615" s="282" t="e">
        <f>++Tabla4[[#This Row],[U. Bruta Uni]]*Tabla4[[#This Row],[Cantidad]]</f>
        <v>#N/A</v>
      </c>
      <c r="T615" s="369" t="str">
        <f>VLOOKUP(Tabla4[[#This Row],[Producto]],Tabla6[#All],14,FALSE)</f>
        <v>Termico Solar</v>
      </c>
      <c r="U615" s="284" t="e">
        <f>(IF(Tabla4[[#This Row],[Familia]]="termico solar",Tabla4[[#This Row],[Utilidad Total]]*6%,Tabla4[[#This Row],[Utilidad Total]]*11.5%))/Tabla4[[#This Row],[Total]]</f>
        <v>#N/A</v>
      </c>
      <c r="V615" s="282" t="e">
        <f>+Tabla4[[#This Row],[Comisión Calculada]]*Tabla4[[#This Row],[Total]]</f>
        <v>#N/A</v>
      </c>
    </row>
    <row r="616" spans="1:22" hidden="1" x14ac:dyDescent="0.25">
      <c r="A616" s="100">
        <v>45716</v>
      </c>
      <c r="B616" t="str">
        <f t="shared" si="20"/>
        <v>February</v>
      </c>
      <c r="C616" s="46" t="s">
        <v>280</v>
      </c>
      <c r="F616" s="366" t="s">
        <v>971</v>
      </c>
      <c r="G616" s="46" t="s">
        <v>17</v>
      </c>
      <c r="H616" s="46">
        <v>5</v>
      </c>
      <c r="I616" s="51">
        <v>4622.2800000000007</v>
      </c>
      <c r="J616" s="281">
        <f>++Tabla4[[#This Row],[Precio Bruto]]*1.16</f>
        <v>5361.8448000000008</v>
      </c>
      <c r="K616" s="281">
        <f>+Tabla4[[#This Row],[Precio Unitario Neto]]*Tabla4[[#Headers],[20.85%]]</f>
        <v>1117.9446408000001</v>
      </c>
      <c r="L616" s="282">
        <f>++Tabla4[[#This Row],[Precio Unitario Neto]]-Tabla4[[#This Row],[20.85%]]</f>
        <v>4243.9001592000004</v>
      </c>
      <c r="M616" s="282" t="e">
        <f>(INDEX(Tabla6[#All],MATCH(Tabla4[[#This Row],[Producto]],Tabla6[[#All],[PRODUCTO]],0),MATCH(Tabla4[[#This Row],[Mes]],Tabla6[#Headers],0)))*(1+Catalogos!$L$2)</f>
        <v>#N/A</v>
      </c>
      <c r="N616" s="283" t="e">
        <f>+(Tabla4[[#This Row],[Precio Descontado]]-Tabla4[[#This Row],[Precio Base]])*Tabla4[[#This Row],[Cantidad]]</f>
        <v>#N/A</v>
      </c>
      <c r="O616" s="284" t="e">
        <f>++Tabla4[[#This Row],[Utilidad Total]]/Tabla4[[#This Row],[Total]]</f>
        <v>#N/A</v>
      </c>
      <c r="P616" s="282">
        <f>++Tabla4[[#This Row],[Precio Descontado]]*Tabla4[[#This Row],[Cantidad]]</f>
        <v>21219.500796</v>
      </c>
      <c r="Q616" s="282" t="e">
        <f>(INDEX(Tabla6[#All],MATCH(Tabla4[[#This Row],[Producto]],Tabla6[[#All],[PRODUCTO]],0),MATCH(Tabla4[[#This Row],[Mes]],Tabla6[#Headers],0)))</f>
        <v>#N/A</v>
      </c>
      <c r="R616" s="282" t="e">
        <f>++Tabla4[[#This Row],[Precio Unitario Neto]]-Tabla4[[#This Row],[20.85%]]-Tabla4[[#This Row],[Costo]]</f>
        <v>#N/A</v>
      </c>
      <c r="S616" s="282" t="e">
        <f>++Tabla4[[#This Row],[U. Bruta Uni]]*Tabla4[[#This Row],[Cantidad]]</f>
        <v>#N/A</v>
      </c>
      <c r="T616" s="369" t="str">
        <f>VLOOKUP(Tabla4[[#This Row],[Producto]],Tabla6[#All],14,FALSE)</f>
        <v>Termico Solar</v>
      </c>
      <c r="U616" s="284" t="e">
        <f>(IF(Tabla4[[#This Row],[Familia]]="termico solar",Tabla4[[#This Row],[Utilidad Total]]*6%,Tabla4[[#This Row],[Utilidad Total]]*11.5%))/Tabla4[[#This Row],[Total]]</f>
        <v>#N/A</v>
      </c>
      <c r="V616" s="282" t="e">
        <f>+Tabla4[[#This Row],[Comisión Calculada]]*Tabla4[[#This Row],[Total]]</f>
        <v>#N/A</v>
      </c>
    </row>
    <row r="617" spans="1:22" hidden="1" x14ac:dyDescent="0.25">
      <c r="A617" s="100">
        <v>45716</v>
      </c>
      <c r="B617" t="str">
        <f t="shared" si="20"/>
        <v>February</v>
      </c>
      <c r="C617" s="46" t="s">
        <v>280</v>
      </c>
      <c r="F617" s="366" t="s">
        <v>971</v>
      </c>
      <c r="G617" s="46" t="s">
        <v>18</v>
      </c>
      <c r="H617" s="46">
        <v>4</v>
      </c>
      <c r="I617" s="51">
        <v>5367.65</v>
      </c>
      <c r="J617" s="281">
        <f>++Tabla4[[#This Row],[Precio Bruto]]*1.16</f>
        <v>6226.4739999999993</v>
      </c>
      <c r="K617" s="281">
        <f>+Tabla4[[#This Row],[Precio Unitario Neto]]*Tabla4[[#Headers],[20.85%]]</f>
        <v>1298.2198289999999</v>
      </c>
      <c r="L617" s="282">
        <f>++Tabla4[[#This Row],[Precio Unitario Neto]]-Tabla4[[#This Row],[20.85%]]</f>
        <v>4928.2541709999996</v>
      </c>
      <c r="M617" s="282" t="e">
        <f>(INDEX(Tabla6[#All],MATCH(Tabla4[[#This Row],[Producto]],Tabla6[[#All],[PRODUCTO]],0),MATCH(Tabla4[[#This Row],[Mes]],Tabla6[#Headers],0)))*(1+Catalogos!$L$2)</f>
        <v>#N/A</v>
      </c>
      <c r="N617" s="283" t="e">
        <f>+(Tabla4[[#This Row],[Precio Descontado]]-Tabla4[[#This Row],[Precio Base]])*Tabla4[[#This Row],[Cantidad]]</f>
        <v>#N/A</v>
      </c>
      <c r="O617" s="284" t="e">
        <f>++Tabla4[[#This Row],[Utilidad Total]]/Tabla4[[#This Row],[Total]]</f>
        <v>#N/A</v>
      </c>
      <c r="P617" s="282">
        <f>++Tabla4[[#This Row],[Precio Descontado]]*Tabla4[[#This Row],[Cantidad]]</f>
        <v>19713.016683999998</v>
      </c>
      <c r="Q617" s="282" t="e">
        <f>(INDEX(Tabla6[#All],MATCH(Tabla4[[#This Row],[Producto]],Tabla6[[#All],[PRODUCTO]],0),MATCH(Tabla4[[#This Row],[Mes]],Tabla6[#Headers],0)))</f>
        <v>#N/A</v>
      </c>
      <c r="R617" s="282" t="e">
        <f>++Tabla4[[#This Row],[Precio Unitario Neto]]-Tabla4[[#This Row],[20.85%]]-Tabla4[[#This Row],[Costo]]</f>
        <v>#N/A</v>
      </c>
      <c r="S617" s="282" t="e">
        <f>++Tabla4[[#This Row],[U. Bruta Uni]]*Tabla4[[#This Row],[Cantidad]]</f>
        <v>#N/A</v>
      </c>
      <c r="T617" s="369" t="str">
        <f>VLOOKUP(Tabla4[[#This Row],[Producto]],Tabla6[#All],14,FALSE)</f>
        <v>Termico Solar</v>
      </c>
      <c r="U617" s="284" t="e">
        <f>(IF(Tabla4[[#This Row],[Familia]]="termico solar",Tabla4[[#This Row],[Utilidad Total]]*6%,Tabla4[[#This Row],[Utilidad Total]]*11.5%))/Tabla4[[#This Row],[Total]]</f>
        <v>#N/A</v>
      </c>
      <c r="V617" s="282" t="e">
        <f>+Tabla4[[#This Row],[Comisión Calculada]]*Tabla4[[#This Row],[Total]]</f>
        <v>#N/A</v>
      </c>
    </row>
    <row r="618" spans="1:22" hidden="1" x14ac:dyDescent="0.25">
      <c r="A618" s="100">
        <v>45716</v>
      </c>
      <c r="B618" t="str">
        <f t="shared" si="20"/>
        <v>February</v>
      </c>
      <c r="C618" s="46" t="s">
        <v>280</v>
      </c>
      <c r="F618" s="366" t="s">
        <v>972</v>
      </c>
      <c r="G618" s="46" t="s">
        <v>17</v>
      </c>
      <c r="H618" s="46">
        <v>1</v>
      </c>
      <c r="I618" s="51">
        <v>4622.28</v>
      </c>
      <c r="J618" s="281">
        <f>++Tabla4[[#This Row],[Precio Bruto]]*1.16</f>
        <v>5361.8447999999989</v>
      </c>
      <c r="K618" s="281">
        <f>+Tabla4[[#This Row],[Precio Unitario Neto]]*Tabla4[[#Headers],[20.85%]]</f>
        <v>1117.9446407999997</v>
      </c>
      <c r="L618" s="282">
        <f>++Tabla4[[#This Row],[Precio Unitario Neto]]-Tabla4[[#This Row],[20.85%]]</f>
        <v>4243.9001591999995</v>
      </c>
      <c r="M618" s="282" t="e">
        <f>(INDEX(Tabla6[#All],MATCH(Tabla4[[#This Row],[Producto]],Tabla6[[#All],[PRODUCTO]],0),MATCH(Tabla4[[#This Row],[Mes]],Tabla6[#Headers],0)))*(1+Catalogos!$L$2)</f>
        <v>#N/A</v>
      </c>
      <c r="N618" s="283" t="e">
        <f>+(Tabla4[[#This Row],[Precio Descontado]]-Tabla4[[#This Row],[Precio Base]])*Tabla4[[#This Row],[Cantidad]]</f>
        <v>#N/A</v>
      </c>
      <c r="O618" s="284" t="e">
        <f>++Tabla4[[#This Row],[Utilidad Total]]/Tabla4[[#This Row],[Total]]</f>
        <v>#N/A</v>
      </c>
      <c r="P618" s="282">
        <f>++Tabla4[[#This Row],[Precio Descontado]]*Tabla4[[#This Row],[Cantidad]]</f>
        <v>4243.9001591999995</v>
      </c>
      <c r="Q618" s="282" t="e">
        <f>(INDEX(Tabla6[#All],MATCH(Tabla4[[#This Row],[Producto]],Tabla6[[#All],[PRODUCTO]],0),MATCH(Tabla4[[#This Row],[Mes]],Tabla6[#Headers],0)))</f>
        <v>#N/A</v>
      </c>
      <c r="R618" s="282" t="e">
        <f>++Tabla4[[#This Row],[Precio Unitario Neto]]-Tabla4[[#This Row],[20.85%]]-Tabla4[[#This Row],[Costo]]</f>
        <v>#N/A</v>
      </c>
      <c r="S618" s="282" t="e">
        <f>++Tabla4[[#This Row],[U. Bruta Uni]]*Tabla4[[#This Row],[Cantidad]]</f>
        <v>#N/A</v>
      </c>
      <c r="T618" s="369" t="str">
        <f>VLOOKUP(Tabla4[[#This Row],[Producto]],Tabla6[#All],14,FALSE)</f>
        <v>Termico Solar</v>
      </c>
      <c r="U618" s="284" t="e">
        <f>(IF(Tabla4[[#This Row],[Familia]]="termico solar",Tabla4[[#This Row],[Utilidad Total]]*6%,Tabla4[[#This Row],[Utilidad Total]]*11.5%))/Tabla4[[#This Row],[Total]]</f>
        <v>#N/A</v>
      </c>
      <c r="V618" s="282" t="e">
        <f>+Tabla4[[#This Row],[Comisión Calculada]]*Tabla4[[#This Row],[Total]]</f>
        <v>#N/A</v>
      </c>
    </row>
    <row r="619" spans="1:22" hidden="1" x14ac:dyDescent="0.25">
      <c r="A619" s="100">
        <v>45716</v>
      </c>
      <c r="B619" t="str">
        <f t="shared" si="20"/>
        <v>February</v>
      </c>
      <c r="C619" s="46" t="s">
        <v>280</v>
      </c>
      <c r="F619" s="366" t="s">
        <v>972</v>
      </c>
      <c r="G619" s="46" t="s">
        <v>18</v>
      </c>
      <c r="H619" s="46">
        <v>1</v>
      </c>
      <c r="I619" s="51">
        <v>5367.65</v>
      </c>
      <c r="J619" s="281">
        <f>++Tabla4[[#This Row],[Precio Bruto]]*1.16</f>
        <v>6226.4739999999993</v>
      </c>
      <c r="K619" s="281">
        <f>+Tabla4[[#This Row],[Precio Unitario Neto]]*Tabla4[[#Headers],[20.85%]]</f>
        <v>1298.2198289999999</v>
      </c>
      <c r="L619" s="282">
        <f>++Tabla4[[#This Row],[Precio Unitario Neto]]-Tabla4[[#This Row],[20.85%]]</f>
        <v>4928.2541709999996</v>
      </c>
      <c r="M619" s="282" t="e">
        <f>(INDEX(Tabla6[#All],MATCH(Tabla4[[#This Row],[Producto]],Tabla6[[#All],[PRODUCTO]],0),MATCH(Tabla4[[#This Row],[Mes]],Tabla6[#Headers],0)))*(1+Catalogos!$L$2)</f>
        <v>#N/A</v>
      </c>
      <c r="N619" s="283" t="e">
        <f>+(Tabla4[[#This Row],[Precio Descontado]]-Tabla4[[#This Row],[Precio Base]])*Tabla4[[#This Row],[Cantidad]]</f>
        <v>#N/A</v>
      </c>
      <c r="O619" s="284" t="e">
        <f>++Tabla4[[#This Row],[Utilidad Total]]/Tabla4[[#This Row],[Total]]</f>
        <v>#N/A</v>
      </c>
      <c r="P619" s="282">
        <f>++Tabla4[[#This Row],[Precio Descontado]]*Tabla4[[#This Row],[Cantidad]]</f>
        <v>4928.2541709999996</v>
      </c>
      <c r="Q619" s="282" t="e">
        <f>(INDEX(Tabla6[#All],MATCH(Tabla4[[#This Row],[Producto]],Tabla6[[#All],[PRODUCTO]],0),MATCH(Tabla4[[#This Row],[Mes]],Tabla6[#Headers],0)))</f>
        <v>#N/A</v>
      </c>
      <c r="R619" s="282" t="e">
        <f>++Tabla4[[#This Row],[Precio Unitario Neto]]-Tabla4[[#This Row],[20.85%]]-Tabla4[[#This Row],[Costo]]</f>
        <v>#N/A</v>
      </c>
      <c r="S619" s="282" t="e">
        <f>++Tabla4[[#This Row],[U. Bruta Uni]]*Tabla4[[#This Row],[Cantidad]]</f>
        <v>#N/A</v>
      </c>
      <c r="T619" s="369" t="str">
        <f>VLOOKUP(Tabla4[[#This Row],[Producto]],Tabla6[#All],14,FALSE)</f>
        <v>Termico Solar</v>
      </c>
      <c r="U619" s="284" t="e">
        <f>(IF(Tabla4[[#This Row],[Familia]]="termico solar",Tabla4[[#This Row],[Utilidad Total]]*6%,Tabla4[[#This Row],[Utilidad Total]]*11.5%))/Tabla4[[#This Row],[Total]]</f>
        <v>#N/A</v>
      </c>
      <c r="V619" s="282" t="e">
        <f>+Tabla4[[#This Row],[Comisión Calculada]]*Tabla4[[#This Row],[Total]]</f>
        <v>#N/A</v>
      </c>
    </row>
    <row r="620" spans="1:22" hidden="1" x14ac:dyDescent="0.25">
      <c r="A620" s="100">
        <v>45716</v>
      </c>
      <c r="B620" t="str">
        <f t="shared" si="20"/>
        <v>February</v>
      </c>
      <c r="C620" s="46" t="s">
        <v>280</v>
      </c>
      <c r="F620" s="366" t="s">
        <v>972</v>
      </c>
      <c r="G620" s="46" t="s">
        <v>16</v>
      </c>
      <c r="H620" s="46">
        <v>1</v>
      </c>
      <c r="I620" s="51">
        <v>4103.8500000000004</v>
      </c>
      <c r="J620" s="281">
        <f>++Tabla4[[#This Row],[Precio Bruto]]*1.16</f>
        <v>4760.4660000000003</v>
      </c>
      <c r="K620" s="281">
        <f>+Tabla4[[#This Row],[Precio Unitario Neto]]*Tabla4[[#Headers],[20.85%]]</f>
        <v>992.55716100000006</v>
      </c>
      <c r="L620" s="282">
        <f>++Tabla4[[#This Row],[Precio Unitario Neto]]-Tabla4[[#This Row],[20.85%]]</f>
        <v>3767.9088390000002</v>
      </c>
      <c r="M620" s="282" t="e">
        <f>(INDEX(Tabla6[#All],MATCH(Tabla4[[#This Row],[Producto]],Tabla6[[#All],[PRODUCTO]],0),MATCH(Tabla4[[#This Row],[Mes]],Tabla6[#Headers],0)))*(1+Catalogos!$L$2)</f>
        <v>#N/A</v>
      </c>
      <c r="N620" s="283" t="e">
        <f>+(Tabla4[[#This Row],[Precio Descontado]]-Tabla4[[#This Row],[Precio Base]])*Tabla4[[#This Row],[Cantidad]]</f>
        <v>#N/A</v>
      </c>
      <c r="O620" s="284" t="e">
        <f>++Tabla4[[#This Row],[Utilidad Total]]/Tabla4[[#This Row],[Total]]</f>
        <v>#N/A</v>
      </c>
      <c r="P620" s="282">
        <f>++Tabla4[[#This Row],[Precio Descontado]]*Tabla4[[#This Row],[Cantidad]]</f>
        <v>3767.9088390000002</v>
      </c>
      <c r="Q620" s="282" t="e">
        <f>(INDEX(Tabla6[#All],MATCH(Tabla4[[#This Row],[Producto]],Tabla6[[#All],[PRODUCTO]],0),MATCH(Tabla4[[#This Row],[Mes]],Tabla6[#Headers],0)))</f>
        <v>#N/A</v>
      </c>
      <c r="R620" s="282" t="e">
        <f>++Tabla4[[#This Row],[Precio Unitario Neto]]-Tabla4[[#This Row],[20.85%]]-Tabla4[[#This Row],[Costo]]</f>
        <v>#N/A</v>
      </c>
      <c r="S620" s="282" t="e">
        <f>++Tabla4[[#This Row],[U. Bruta Uni]]*Tabla4[[#This Row],[Cantidad]]</f>
        <v>#N/A</v>
      </c>
      <c r="T620" s="369" t="str">
        <f>VLOOKUP(Tabla4[[#This Row],[Producto]],Tabla6[#All],14,FALSE)</f>
        <v>Termico Solar</v>
      </c>
      <c r="U620" s="284" t="e">
        <f>(IF(Tabla4[[#This Row],[Familia]]="termico solar",Tabla4[[#This Row],[Utilidad Total]]*6%,Tabla4[[#This Row],[Utilidad Total]]*11.5%))/Tabla4[[#This Row],[Total]]</f>
        <v>#N/A</v>
      </c>
      <c r="V620" s="282" t="e">
        <f>+Tabla4[[#This Row],[Comisión Calculada]]*Tabla4[[#This Row],[Total]]</f>
        <v>#N/A</v>
      </c>
    </row>
    <row r="621" spans="1:22" hidden="1" x14ac:dyDescent="0.25">
      <c r="A621" s="100">
        <v>45716</v>
      </c>
      <c r="B621" t="str">
        <f t="shared" si="20"/>
        <v>February</v>
      </c>
      <c r="C621" s="46" t="s">
        <v>280</v>
      </c>
      <c r="F621" s="366" t="s">
        <v>973</v>
      </c>
      <c r="G621" s="46" t="s">
        <v>20</v>
      </c>
      <c r="H621" s="46">
        <v>1</v>
      </c>
      <c r="I621" s="51">
        <v>7751.98</v>
      </c>
      <c r="J621" s="281">
        <f>++Tabla4[[#This Row],[Precio Bruto]]*1.16</f>
        <v>8992.2967999999983</v>
      </c>
      <c r="K621" s="281">
        <f>+Tabla4[[#This Row],[Precio Unitario Neto]]*Tabla4[[#Headers],[20.85%]]</f>
        <v>1874.8938827999996</v>
      </c>
      <c r="L621" s="282">
        <f>++Tabla4[[#This Row],[Precio Unitario Neto]]-Tabla4[[#This Row],[20.85%]]</f>
        <v>7117.4029171999991</v>
      </c>
      <c r="M621" s="282" t="e">
        <f>(INDEX(Tabla6[#All],MATCH(Tabla4[[#This Row],[Producto]],Tabla6[[#All],[PRODUCTO]],0),MATCH(Tabla4[[#This Row],[Mes]],Tabla6[#Headers],0)))*(1+Catalogos!$L$2)</f>
        <v>#N/A</v>
      </c>
      <c r="N621" s="283" t="e">
        <f>+(Tabla4[[#This Row],[Precio Descontado]]-Tabla4[[#This Row],[Precio Base]])*Tabla4[[#This Row],[Cantidad]]</f>
        <v>#N/A</v>
      </c>
      <c r="O621" s="284" t="e">
        <f>++Tabla4[[#This Row],[Utilidad Total]]/Tabla4[[#This Row],[Total]]</f>
        <v>#N/A</v>
      </c>
      <c r="P621" s="282">
        <f>++Tabla4[[#This Row],[Precio Descontado]]*Tabla4[[#This Row],[Cantidad]]</f>
        <v>7117.4029171999991</v>
      </c>
      <c r="Q621" s="282" t="e">
        <f>(INDEX(Tabla6[#All],MATCH(Tabla4[[#This Row],[Producto]],Tabla6[[#All],[PRODUCTO]],0),MATCH(Tabla4[[#This Row],[Mes]],Tabla6[#Headers],0)))</f>
        <v>#N/A</v>
      </c>
      <c r="R621" s="282" t="e">
        <f>++Tabla4[[#This Row],[Precio Unitario Neto]]-Tabla4[[#This Row],[20.85%]]-Tabla4[[#This Row],[Costo]]</f>
        <v>#N/A</v>
      </c>
      <c r="S621" s="282" t="e">
        <f>++Tabla4[[#This Row],[U. Bruta Uni]]*Tabla4[[#This Row],[Cantidad]]</f>
        <v>#N/A</v>
      </c>
      <c r="T621" s="369" t="str">
        <f>VLOOKUP(Tabla4[[#This Row],[Producto]],Tabla6[#All],14,FALSE)</f>
        <v>Termico Solar</v>
      </c>
      <c r="U621" s="284" t="e">
        <f>(IF(Tabla4[[#This Row],[Familia]]="termico solar",Tabla4[[#This Row],[Utilidad Total]]*6%,Tabla4[[#This Row],[Utilidad Total]]*11.5%))/Tabla4[[#This Row],[Total]]</f>
        <v>#N/A</v>
      </c>
      <c r="V621" s="282" t="e">
        <f>+Tabla4[[#This Row],[Comisión Calculada]]*Tabla4[[#This Row],[Total]]</f>
        <v>#N/A</v>
      </c>
    </row>
    <row r="622" spans="1:22" hidden="1" x14ac:dyDescent="0.25">
      <c r="A622" s="100">
        <v>45716</v>
      </c>
      <c r="B622" t="str">
        <f t="shared" si="20"/>
        <v>February</v>
      </c>
      <c r="C622" s="46" t="s">
        <v>280</v>
      </c>
      <c r="F622" s="366" t="s">
        <v>973</v>
      </c>
      <c r="G622" s="46" t="s">
        <v>566</v>
      </c>
      <c r="H622" s="46">
        <v>3</v>
      </c>
      <c r="I622" s="51">
        <v>2109.4500000000003</v>
      </c>
      <c r="J622" s="281">
        <f>++Tabla4[[#This Row],[Precio Bruto]]*1.16</f>
        <v>2446.962</v>
      </c>
      <c r="K622" s="281">
        <f>+Tabla4[[#This Row],[Precio Unitario Neto]]*Tabla4[[#Headers],[20.85%]]</f>
        <v>510.191577</v>
      </c>
      <c r="L622" s="282">
        <f>++Tabla4[[#This Row],[Precio Unitario Neto]]-Tabla4[[#This Row],[20.85%]]</f>
        <v>1936.7704229999999</v>
      </c>
      <c r="M622" s="282" t="e">
        <f>(INDEX(Tabla6[#All],MATCH(Tabla4[[#This Row],[Producto]],Tabla6[[#All],[PRODUCTO]],0),MATCH(Tabla4[[#This Row],[Mes]],Tabla6[#Headers],0)))*(1+Catalogos!$L$2)</f>
        <v>#N/A</v>
      </c>
      <c r="N622" s="283" t="e">
        <f>+(Tabla4[[#This Row],[Precio Descontado]]-Tabla4[[#This Row],[Precio Base]])*Tabla4[[#This Row],[Cantidad]]</f>
        <v>#N/A</v>
      </c>
      <c r="O622" s="284" t="e">
        <f>++Tabla4[[#This Row],[Utilidad Total]]/Tabla4[[#This Row],[Total]]</f>
        <v>#N/A</v>
      </c>
      <c r="P622" s="282">
        <f>++Tabla4[[#This Row],[Precio Descontado]]*Tabla4[[#This Row],[Cantidad]]</f>
        <v>5810.3112689999998</v>
      </c>
      <c r="Q622" s="282" t="e">
        <f>(INDEX(Tabla6[#All],MATCH(Tabla4[[#This Row],[Producto]],Tabla6[[#All],[PRODUCTO]],0),MATCH(Tabla4[[#This Row],[Mes]],Tabla6[#Headers],0)))</f>
        <v>#N/A</v>
      </c>
      <c r="R622" s="282" t="e">
        <f>++Tabla4[[#This Row],[Precio Unitario Neto]]-Tabla4[[#This Row],[20.85%]]-Tabla4[[#This Row],[Costo]]</f>
        <v>#N/A</v>
      </c>
      <c r="S622" s="282" t="e">
        <f>++Tabla4[[#This Row],[U. Bruta Uni]]*Tabla4[[#This Row],[Cantidad]]</f>
        <v>#N/A</v>
      </c>
      <c r="T622" s="369" t="str">
        <f>VLOOKUP(Tabla4[[#This Row],[Producto]],Tabla6[#All],14,FALSE)</f>
        <v>Termico Solar</v>
      </c>
      <c r="U622" s="284" t="e">
        <f>(IF(Tabla4[[#This Row],[Familia]]="termico solar",Tabla4[[#This Row],[Utilidad Total]]*6%,Tabla4[[#This Row],[Utilidad Total]]*11.5%))/Tabla4[[#This Row],[Total]]</f>
        <v>#N/A</v>
      </c>
      <c r="V622" s="282" t="e">
        <f>+Tabla4[[#This Row],[Comisión Calculada]]*Tabla4[[#This Row],[Total]]</f>
        <v>#N/A</v>
      </c>
    </row>
    <row r="623" spans="1:22" hidden="1" x14ac:dyDescent="0.25">
      <c r="A623" s="100">
        <v>45716</v>
      </c>
      <c r="B623" t="str">
        <f t="shared" si="20"/>
        <v>February</v>
      </c>
      <c r="C623" s="46" t="s">
        <v>280</v>
      </c>
      <c r="F623" s="366" t="s">
        <v>974</v>
      </c>
      <c r="G623" s="46" t="s">
        <v>17</v>
      </c>
      <c r="H623" s="46">
        <v>2</v>
      </c>
      <c r="I623" s="51">
        <v>4622.28</v>
      </c>
      <c r="J623" s="281">
        <f>++Tabla4[[#This Row],[Precio Bruto]]*1.16</f>
        <v>5361.8447999999989</v>
      </c>
      <c r="K623" s="281">
        <f>+Tabla4[[#This Row],[Precio Unitario Neto]]*Tabla4[[#Headers],[20.85%]]</f>
        <v>1117.9446407999997</v>
      </c>
      <c r="L623" s="282">
        <f>++Tabla4[[#This Row],[Precio Unitario Neto]]-Tabla4[[#This Row],[20.85%]]</f>
        <v>4243.9001591999995</v>
      </c>
      <c r="M623" s="282" t="e">
        <f>(INDEX(Tabla6[#All],MATCH(Tabla4[[#This Row],[Producto]],Tabla6[[#All],[PRODUCTO]],0),MATCH(Tabla4[[#This Row],[Mes]],Tabla6[#Headers],0)))*(1+Catalogos!$L$2)</f>
        <v>#N/A</v>
      </c>
      <c r="N623" s="283" t="e">
        <f>+(Tabla4[[#This Row],[Precio Descontado]]-Tabla4[[#This Row],[Precio Base]])*Tabla4[[#This Row],[Cantidad]]</f>
        <v>#N/A</v>
      </c>
      <c r="O623" s="284" t="e">
        <f>++Tabla4[[#This Row],[Utilidad Total]]/Tabla4[[#This Row],[Total]]</f>
        <v>#N/A</v>
      </c>
      <c r="P623" s="282">
        <f>++Tabla4[[#This Row],[Precio Descontado]]*Tabla4[[#This Row],[Cantidad]]</f>
        <v>8487.800318399999</v>
      </c>
      <c r="Q623" s="282" t="e">
        <f>(INDEX(Tabla6[#All],MATCH(Tabla4[[#This Row],[Producto]],Tabla6[[#All],[PRODUCTO]],0),MATCH(Tabla4[[#This Row],[Mes]],Tabla6[#Headers],0)))</f>
        <v>#N/A</v>
      </c>
      <c r="R623" s="282" t="e">
        <f>++Tabla4[[#This Row],[Precio Unitario Neto]]-Tabla4[[#This Row],[20.85%]]-Tabla4[[#This Row],[Costo]]</f>
        <v>#N/A</v>
      </c>
      <c r="S623" s="282" t="e">
        <f>++Tabla4[[#This Row],[U. Bruta Uni]]*Tabla4[[#This Row],[Cantidad]]</f>
        <v>#N/A</v>
      </c>
      <c r="T623" s="369" t="str">
        <f>VLOOKUP(Tabla4[[#This Row],[Producto]],Tabla6[#All],14,FALSE)</f>
        <v>Termico Solar</v>
      </c>
      <c r="U623" s="284" t="e">
        <f>(IF(Tabla4[[#This Row],[Familia]]="termico solar",Tabla4[[#This Row],[Utilidad Total]]*6%,Tabla4[[#This Row],[Utilidad Total]]*11.5%))/Tabla4[[#This Row],[Total]]</f>
        <v>#N/A</v>
      </c>
      <c r="V623" s="282" t="e">
        <f>+Tabla4[[#This Row],[Comisión Calculada]]*Tabla4[[#This Row],[Total]]</f>
        <v>#N/A</v>
      </c>
    </row>
    <row r="624" spans="1:22" hidden="1" x14ac:dyDescent="0.25">
      <c r="A624" s="100">
        <v>45716</v>
      </c>
      <c r="B624" t="str">
        <f t="shared" si="20"/>
        <v>February</v>
      </c>
      <c r="C624" s="46" t="s">
        <v>280</v>
      </c>
      <c r="F624" s="366" t="s">
        <v>975</v>
      </c>
      <c r="G624" s="46" t="s">
        <v>83</v>
      </c>
      <c r="H624" s="46">
        <v>1</v>
      </c>
      <c r="I624" s="51">
        <v>8858.76</v>
      </c>
      <c r="J624" s="281">
        <f>++Tabla4[[#This Row],[Precio Bruto]]*1.16</f>
        <v>10276.161599999999</v>
      </c>
      <c r="K624" s="281">
        <f>+Tabla4[[#This Row],[Precio Unitario Neto]]*Tabla4[[#Headers],[20.85%]]</f>
        <v>2142.5796935999997</v>
      </c>
      <c r="L624" s="282">
        <f>++Tabla4[[#This Row],[Precio Unitario Neto]]-Tabla4[[#This Row],[20.85%]]</f>
        <v>8133.5819063999998</v>
      </c>
      <c r="M624" s="282" t="e">
        <f>(INDEX(Tabla6[#All],MATCH(Tabla4[[#This Row],[Producto]],Tabla6[[#All],[PRODUCTO]],0),MATCH(Tabla4[[#This Row],[Mes]],Tabla6[#Headers],0)))*(1+Catalogos!$L$2)</f>
        <v>#N/A</v>
      </c>
      <c r="N624" s="283" t="e">
        <f>+(Tabla4[[#This Row],[Precio Descontado]]-Tabla4[[#This Row],[Precio Base]])*Tabla4[[#This Row],[Cantidad]]</f>
        <v>#N/A</v>
      </c>
      <c r="O624" s="284" t="e">
        <f>++Tabla4[[#This Row],[Utilidad Total]]/Tabla4[[#This Row],[Total]]</f>
        <v>#N/A</v>
      </c>
      <c r="P624" s="282">
        <f>++Tabla4[[#This Row],[Precio Descontado]]*Tabla4[[#This Row],[Cantidad]]</f>
        <v>8133.5819063999998</v>
      </c>
      <c r="Q624" s="282" t="e">
        <f>(INDEX(Tabla6[#All],MATCH(Tabla4[[#This Row],[Producto]],Tabla6[[#All],[PRODUCTO]],0),MATCH(Tabla4[[#This Row],[Mes]],Tabla6[#Headers],0)))</f>
        <v>#N/A</v>
      </c>
      <c r="R624" s="282" t="e">
        <f>++Tabla4[[#This Row],[Precio Unitario Neto]]-Tabla4[[#This Row],[20.85%]]-Tabla4[[#This Row],[Costo]]</f>
        <v>#N/A</v>
      </c>
      <c r="S624" s="282" t="e">
        <f>++Tabla4[[#This Row],[U. Bruta Uni]]*Tabla4[[#This Row],[Cantidad]]</f>
        <v>#N/A</v>
      </c>
      <c r="T624" s="369" t="str">
        <f>VLOOKUP(Tabla4[[#This Row],[Producto]],Tabla6[#All],14,FALSE)</f>
        <v>Termico Solar</v>
      </c>
      <c r="U624" s="284" t="e">
        <f>(IF(Tabla4[[#This Row],[Familia]]="termico solar",Tabla4[[#This Row],[Utilidad Total]]*6%,Tabla4[[#This Row],[Utilidad Total]]*11.5%))/Tabla4[[#This Row],[Total]]</f>
        <v>#N/A</v>
      </c>
      <c r="V624" s="282" t="e">
        <f>+Tabla4[[#This Row],[Comisión Calculada]]*Tabla4[[#This Row],[Total]]</f>
        <v>#N/A</v>
      </c>
    </row>
    <row r="625" spans="1:22" hidden="1" x14ac:dyDescent="0.25">
      <c r="A625" s="100">
        <v>45716</v>
      </c>
      <c r="B625" t="str">
        <f t="shared" si="20"/>
        <v>February</v>
      </c>
      <c r="C625" s="46" t="s">
        <v>280</v>
      </c>
      <c r="F625" s="366" t="s">
        <v>975</v>
      </c>
      <c r="G625" s="46" t="s">
        <v>566</v>
      </c>
      <c r="H625" s="46">
        <v>1</v>
      </c>
      <c r="I625" s="51">
        <v>2109.4499999999998</v>
      </c>
      <c r="J625" s="281">
        <f>++Tabla4[[#This Row],[Precio Bruto]]*1.16</f>
        <v>2446.9619999999995</v>
      </c>
      <c r="K625" s="281">
        <f>+Tabla4[[#This Row],[Precio Unitario Neto]]*Tabla4[[#Headers],[20.85%]]</f>
        <v>510.19157699999988</v>
      </c>
      <c r="L625" s="282">
        <f>++Tabla4[[#This Row],[Precio Unitario Neto]]-Tabla4[[#This Row],[20.85%]]</f>
        <v>1936.7704229999997</v>
      </c>
      <c r="M625" s="282" t="e">
        <f>(INDEX(Tabla6[#All],MATCH(Tabla4[[#This Row],[Producto]],Tabla6[[#All],[PRODUCTO]],0),MATCH(Tabla4[[#This Row],[Mes]],Tabla6[#Headers],0)))*(1+Catalogos!$L$2)</f>
        <v>#N/A</v>
      </c>
      <c r="N625" s="283" t="e">
        <f>+(Tabla4[[#This Row],[Precio Descontado]]-Tabla4[[#This Row],[Precio Base]])*Tabla4[[#This Row],[Cantidad]]</f>
        <v>#N/A</v>
      </c>
      <c r="O625" s="284" t="e">
        <f>++Tabla4[[#This Row],[Utilidad Total]]/Tabla4[[#This Row],[Total]]</f>
        <v>#N/A</v>
      </c>
      <c r="P625" s="282">
        <f>++Tabla4[[#This Row],[Precio Descontado]]*Tabla4[[#This Row],[Cantidad]]</f>
        <v>1936.7704229999997</v>
      </c>
      <c r="Q625" s="282" t="e">
        <f>(INDEX(Tabla6[#All],MATCH(Tabla4[[#This Row],[Producto]],Tabla6[[#All],[PRODUCTO]],0),MATCH(Tabla4[[#This Row],[Mes]],Tabla6[#Headers],0)))</f>
        <v>#N/A</v>
      </c>
      <c r="R625" s="282" t="e">
        <f>++Tabla4[[#This Row],[Precio Unitario Neto]]-Tabla4[[#This Row],[20.85%]]-Tabla4[[#This Row],[Costo]]</f>
        <v>#N/A</v>
      </c>
      <c r="S625" s="282" t="e">
        <f>++Tabla4[[#This Row],[U. Bruta Uni]]*Tabla4[[#This Row],[Cantidad]]</f>
        <v>#N/A</v>
      </c>
      <c r="T625" s="369" t="str">
        <f>VLOOKUP(Tabla4[[#This Row],[Producto]],Tabla6[#All],14,FALSE)</f>
        <v>Termico Solar</v>
      </c>
      <c r="U625" s="284" t="e">
        <f>(IF(Tabla4[[#This Row],[Familia]]="termico solar",Tabla4[[#This Row],[Utilidad Total]]*6%,Tabla4[[#This Row],[Utilidad Total]]*11.5%))/Tabla4[[#This Row],[Total]]</f>
        <v>#N/A</v>
      </c>
      <c r="V625" s="282" t="e">
        <f>+Tabla4[[#This Row],[Comisión Calculada]]*Tabla4[[#This Row],[Total]]</f>
        <v>#N/A</v>
      </c>
    </row>
    <row r="626" spans="1:22" hidden="1" x14ac:dyDescent="0.25">
      <c r="A626" s="100">
        <v>45716</v>
      </c>
      <c r="B626" t="str">
        <f t="shared" si="20"/>
        <v>February</v>
      </c>
      <c r="C626" s="46" t="s">
        <v>280</v>
      </c>
      <c r="F626" s="366" t="s">
        <v>976</v>
      </c>
      <c r="G626" s="46" t="s">
        <v>83</v>
      </c>
      <c r="H626" s="46">
        <v>1</v>
      </c>
      <c r="I626" s="51">
        <v>8858.76</v>
      </c>
      <c r="J626" s="281">
        <f>++Tabla4[[#This Row],[Precio Bruto]]*1.16</f>
        <v>10276.161599999999</v>
      </c>
      <c r="K626" s="281">
        <f>+Tabla4[[#This Row],[Precio Unitario Neto]]*Tabla4[[#Headers],[20.85%]]</f>
        <v>2142.5796935999997</v>
      </c>
      <c r="L626" s="282">
        <f>++Tabla4[[#This Row],[Precio Unitario Neto]]-Tabla4[[#This Row],[20.85%]]</f>
        <v>8133.5819063999998</v>
      </c>
      <c r="M626" s="282" t="e">
        <f>(INDEX(Tabla6[#All],MATCH(Tabla4[[#This Row],[Producto]],Tabla6[[#All],[PRODUCTO]],0),MATCH(Tabla4[[#This Row],[Mes]],Tabla6[#Headers],0)))*(1+Catalogos!$L$2)</f>
        <v>#N/A</v>
      </c>
      <c r="N626" s="283" t="e">
        <f>+(Tabla4[[#This Row],[Precio Descontado]]-Tabla4[[#This Row],[Precio Base]])*Tabla4[[#This Row],[Cantidad]]</f>
        <v>#N/A</v>
      </c>
      <c r="O626" s="284" t="e">
        <f>++Tabla4[[#This Row],[Utilidad Total]]/Tabla4[[#This Row],[Total]]</f>
        <v>#N/A</v>
      </c>
      <c r="P626" s="282">
        <f>++Tabla4[[#This Row],[Precio Descontado]]*Tabla4[[#This Row],[Cantidad]]</f>
        <v>8133.5819063999998</v>
      </c>
      <c r="Q626" s="282" t="e">
        <f>(INDEX(Tabla6[#All],MATCH(Tabla4[[#This Row],[Producto]],Tabla6[[#All],[PRODUCTO]],0),MATCH(Tabla4[[#This Row],[Mes]],Tabla6[#Headers],0)))</f>
        <v>#N/A</v>
      </c>
      <c r="R626" s="282" t="e">
        <f>++Tabla4[[#This Row],[Precio Unitario Neto]]-Tabla4[[#This Row],[20.85%]]-Tabla4[[#This Row],[Costo]]</f>
        <v>#N/A</v>
      </c>
      <c r="S626" s="282" t="e">
        <f>++Tabla4[[#This Row],[U. Bruta Uni]]*Tabla4[[#This Row],[Cantidad]]</f>
        <v>#N/A</v>
      </c>
      <c r="T626" s="369" t="str">
        <f>VLOOKUP(Tabla4[[#This Row],[Producto]],Tabla6[#All],14,FALSE)</f>
        <v>Termico Solar</v>
      </c>
      <c r="U626" s="284" t="e">
        <f>(IF(Tabla4[[#This Row],[Familia]]="termico solar",Tabla4[[#This Row],[Utilidad Total]]*6%,Tabla4[[#This Row],[Utilidad Total]]*11.5%))/Tabla4[[#This Row],[Total]]</f>
        <v>#N/A</v>
      </c>
      <c r="V626" s="282" t="e">
        <f>+Tabla4[[#This Row],[Comisión Calculada]]*Tabla4[[#This Row],[Total]]</f>
        <v>#N/A</v>
      </c>
    </row>
    <row r="627" spans="1:22" hidden="1" x14ac:dyDescent="0.25">
      <c r="A627" s="100">
        <v>45716</v>
      </c>
      <c r="B627" t="str">
        <f t="shared" si="20"/>
        <v>February</v>
      </c>
      <c r="C627" s="46" t="s">
        <v>280</v>
      </c>
      <c r="F627" s="366" t="s">
        <v>976</v>
      </c>
      <c r="G627" s="46" t="s">
        <v>17</v>
      </c>
      <c r="H627" s="46">
        <v>3</v>
      </c>
      <c r="I627" s="51">
        <v>4622.28</v>
      </c>
      <c r="J627" s="281">
        <f>++Tabla4[[#This Row],[Precio Bruto]]*1.16</f>
        <v>5361.8447999999989</v>
      </c>
      <c r="K627" s="281">
        <f>+Tabla4[[#This Row],[Precio Unitario Neto]]*Tabla4[[#Headers],[20.85%]]</f>
        <v>1117.9446407999997</v>
      </c>
      <c r="L627" s="282">
        <f>++Tabla4[[#This Row],[Precio Unitario Neto]]-Tabla4[[#This Row],[20.85%]]</f>
        <v>4243.9001591999995</v>
      </c>
      <c r="M627" s="282" t="e">
        <f>(INDEX(Tabla6[#All],MATCH(Tabla4[[#This Row],[Producto]],Tabla6[[#All],[PRODUCTO]],0),MATCH(Tabla4[[#This Row],[Mes]],Tabla6[#Headers],0)))*(1+Catalogos!$L$2)</f>
        <v>#N/A</v>
      </c>
      <c r="N627" s="283" t="e">
        <f>+(Tabla4[[#This Row],[Precio Descontado]]-Tabla4[[#This Row],[Precio Base]])*Tabla4[[#This Row],[Cantidad]]</f>
        <v>#N/A</v>
      </c>
      <c r="O627" s="284" t="e">
        <f>++Tabla4[[#This Row],[Utilidad Total]]/Tabla4[[#This Row],[Total]]</f>
        <v>#N/A</v>
      </c>
      <c r="P627" s="282">
        <f>++Tabla4[[#This Row],[Precio Descontado]]*Tabla4[[#This Row],[Cantidad]]</f>
        <v>12731.700477599999</v>
      </c>
      <c r="Q627" s="282" t="e">
        <f>(INDEX(Tabla6[#All],MATCH(Tabla4[[#This Row],[Producto]],Tabla6[[#All],[PRODUCTO]],0),MATCH(Tabla4[[#This Row],[Mes]],Tabla6[#Headers],0)))</f>
        <v>#N/A</v>
      </c>
      <c r="R627" s="282" t="e">
        <f>++Tabla4[[#This Row],[Precio Unitario Neto]]-Tabla4[[#This Row],[20.85%]]-Tabla4[[#This Row],[Costo]]</f>
        <v>#N/A</v>
      </c>
      <c r="S627" s="282" t="e">
        <f>++Tabla4[[#This Row],[U. Bruta Uni]]*Tabla4[[#This Row],[Cantidad]]</f>
        <v>#N/A</v>
      </c>
      <c r="T627" s="369" t="str">
        <f>VLOOKUP(Tabla4[[#This Row],[Producto]],Tabla6[#All],14,FALSE)</f>
        <v>Termico Solar</v>
      </c>
      <c r="U627" s="284" t="e">
        <f>(IF(Tabla4[[#This Row],[Familia]]="termico solar",Tabla4[[#This Row],[Utilidad Total]]*6%,Tabla4[[#This Row],[Utilidad Total]]*11.5%))/Tabla4[[#This Row],[Total]]</f>
        <v>#N/A</v>
      </c>
      <c r="V627" s="282" t="e">
        <f>+Tabla4[[#This Row],[Comisión Calculada]]*Tabla4[[#This Row],[Total]]</f>
        <v>#N/A</v>
      </c>
    </row>
    <row r="628" spans="1:22" hidden="1" x14ac:dyDescent="0.25">
      <c r="A628" s="100">
        <v>45716</v>
      </c>
      <c r="B628" t="str">
        <f t="shared" si="20"/>
        <v>February</v>
      </c>
      <c r="C628" s="46" t="s">
        <v>280</v>
      </c>
      <c r="F628" s="366" t="s">
        <v>976</v>
      </c>
      <c r="G628" s="46" t="s">
        <v>18</v>
      </c>
      <c r="H628" s="46">
        <v>3</v>
      </c>
      <c r="I628" s="51">
        <v>5367.6500000000005</v>
      </c>
      <c r="J628" s="281">
        <f>++Tabla4[[#This Row],[Precio Bruto]]*1.16</f>
        <v>6226.4740000000002</v>
      </c>
      <c r="K628" s="281">
        <f>+Tabla4[[#This Row],[Precio Unitario Neto]]*Tabla4[[#Headers],[20.85%]]</f>
        <v>1298.2198289999999</v>
      </c>
      <c r="L628" s="282">
        <f>++Tabla4[[#This Row],[Precio Unitario Neto]]-Tabla4[[#This Row],[20.85%]]</f>
        <v>4928.2541710000005</v>
      </c>
      <c r="M628" s="282" t="e">
        <f>(INDEX(Tabla6[#All],MATCH(Tabla4[[#This Row],[Producto]],Tabla6[[#All],[PRODUCTO]],0),MATCH(Tabla4[[#This Row],[Mes]],Tabla6[#Headers],0)))*(1+Catalogos!$L$2)</f>
        <v>#N/A</v>
      </c>
      <c r="N628" s="283" t="e">
        <f>+(Tabla4[[#This Row],[Precio Descontado]]-Tabla4[[#This Row],[Precio Base]])*Tabla4[[#This Row],[Cantidad]]</f>
        <v>#N/A</v>
      </c>
      <c r="O628" s="284" t="e">
        <f>++Tabla4[[#This Row],[Utilidad Total]]/Tabla4[[#This Row],[Total]]</f>
        <v>#N/A</v>
      </c>
      <c r="P628" s="282">
        <f>++Tabla4[[#This Row],[Precio Descontado]]*Tabla4[[#This Row],[Cantidad]]</f>
        <v>14784.762513000001</v>
      </c>
      <c r="Q628" s="282" t="e">
        <f>(INDEX(Tabla6[#All],MATCH(Tabla4[[#This Row],[Producto]],Tabla6[[#All],[PRODUCTO]],0),MATCH(Tabla4[[#This Row],[Mes]],Tabla6[#Headers],0)))</f>
        <v>#N/A</v>
      </c>
      <c r="R628" s="282" t="e">
        <f>++Tabla4[[#This Row],[Precio Unitario Neto]]-Tabla4[[#This Row],[20.85%]]-Tabla4[[#This Row],[Costo]]</f>
        <v>#N/A</v>
      </c>
      <c r="S628" s="282" t="e">
        <f>++Tabla4[[#This Row],[U. Bruta Uni]]*Tabla4[[#This Row],[Cantidad]]</f>
        <v>#N/A</v>
      </c>
      <c r="T628" s="369" t="str">
        <f>VLOOKUP(Tabla4[[#This Row],[Producto]],Tabla6[#All],14,FALSE)</f>
        <v>Termico Solar</v>
      </c>
      <c r="U628" s="284" t="e">
        <f>(IF(Tabla4[[#This Row],[Familia]]="termico solar",Tabla4[[#This Row],[Utilidad Total]]*6%,Tabla4[[#This Row],[Utilidad Total]]*11.5%))/Tabla4[[#This Row],[Total]]</f>
        <v>#N/A</v>
      </c>
      <c r="V628" s="282" t="e">
        <f>+Tabla4[[#This Row],[Comisión Calculada]]*Tabla4[[#This Row],[Total]]</f>
        <v>#N/A</v>
      </c>
    </row>
    <row r="629" spans="1:22" hidden="1" x14ac:dyDescent="0.25">
      <c r="A629" s="100">
        <v>45716</v>
      </c>
      <c r="B629" t="str">
        <f t="shared" si="20"/>
        <v>February</v>
      </c>
      <c r="C629" s="46" t="s">
        <v>280</v>
      </c>
      <c r="F629" s="366" t="s">
        <v>977</v>
      </c>
      <c r="G629" s="46" t="s">
        <v>83</v>
      </c>
      <c r="H629" s="46">
        <v>1</v>
      </c>
      <c r="I629" s="51">
        <v>8858.76</v>
      </c>
      <c r="J629" s="281">
        <f>++Tabla4[[#This Row],[Precio Bruto]]*1.16</f>
        <v>10276.161599999999</v>
      </c>
      <c r="K629" s="281">
        <f>+Tabla4[[#This Row],[Precio Unitario Neto]]*Tabla4[[#Headers],[20.85%]]</f>
        <v>2142.5796935999997</v>
      </c>
      <c r="L629" s="282">
        <f>++Tabla4[[#This Row],[Precio Unitario Neto]]-Tabla4[[#This Row],[20.85%]]</f>
        <v>8133.5819063999998</v>
      </c>
      <c r="M629" s="282" t="e">
        <f>(INDEX(Tabla6[#All],MATCH(Tabla4[[#This Row],[Producto]],Tabla6[[#All],[PRODUCTO]],0),MATCH(Tabla4[[#This Row],[Mes]],Tabla6[#Headers],0)))*(1+Catalogos!$L$2)</f>
        <v>#N/A</v>
      </c>
      <c r="N629" s="283" t="e">
        <f>+(Tabla4[[#This Row],[Precio Descontado]]-Tabla4[[#This Row],[Precio Base]])*Tabla4[[#This Row],[Cantidad]]</f>
        <v>#N/A</v>
      </c>
      <c r="O629" s="284" t="e">
        <f>++Tabla4[[#This Row],[Utilidad Total]]/Tabla4[[#This Row],[Total]]</f>
        <v>#N/A</v>
      </c>
      <c r="P629" s="282">
        <f>++Tabla4[[#This Row],[Precio Descontado]]*Tabla4[[#This Row],[Cantidad]]</f>
        <v>8133.5819063999998</v>
      </c>
      <c r="Q629" s="282" t="e">
        <f>(INDEX(Tabla6[#All],MATCH(Tabla4[[#This Row],[Producto]],Tabla6[[#All],[PRODUCTO]],0),MATCH(Tabla4[[#This Row],[Mes]],Tabla6[#Headers],0)))</f>
        <v>#N/A</v>
      </c>
      <c r="R629" s="282" t="e">
        <f>++Tabla4[[#This Row],[Precio Unitario Neto]]-Tabla4[[#This Row],[20.85%]]-Tabla4[[#This Row],[Costo]]</f>
        <v>#N/A</v>
      </c>
      <c r="S629" s="282" t="e">
        <f>++Tabla4[[#This Row],[U. Bruta Uni]]*Tabla4[[#This Row],[Cantidad]]</f>
        <v>#N/A</v>
      </c>
      <c r="T629" s="369" t="str">
        <f>VLOOKUP(Tabla4[[#This Row],[Producto]],Tabla6[#All],14,FALSE)</f>
        <v>Termico Solar</v>
      </c>
      <c r="U629" s="284" t="e">
        <f>(IF(Tabla4[[#This Row],[Familia]]="termico solar",Tabla4[[#This Row],[Utilidad Total]]*6%,Tabla4[[#This Row],[Utilidad Total]]*11.5%))/Tabla4[[#This Row],[Total]]</f>
        <v>#N/A</v>
      </c>
      <c r="V629" s="282" t="e">
        <f>+Tabla4[[#This Row],[Comisión Calculada]]*Tabla4[[#This Row],[Total]]</f>
        <v>#N/A</v>
      </c>
    </row>
    <row r="630" spans="1:22" hidden="1" x14ac:dyDescent="0.25">
      <c r="A630" s="100">
        <v>45716</v>
      </c>
      <c r="B630" t="str">
        <f t="shared" si="20"/>
        <v>February</v>
      </c>
      <c r="C630" s="46" t="s">
        <v>280</v>
      </c>
      <c r="F630" s="366" t="s">
        <v>977</v>
      </c>
      <c r="G630" s="46" t="s">
        <v>17</v>
      </c>
      <c r="H630" s="46">
        <v>2</v>
      </c>
      <c r="I630" s="51">
        <v>4622.28</v>
      </c>
      <c r="J630" s="281">
        <f>++Tabla4[[#This Row],[Precio Bruto]]*1.16</f>
        <v>5361.8447999999989</v>
      </c>
      <c r="K630" s="281">
        <f>+Tabla4[[#This Row],[Precio Unitario Neto]]*Tabla4[[#Headers],[20.85%]]</f>
        <v>1117.9446407999997</v>
      </c>
      <c r="L630" s="282">
        <f>++Tabla4[[#This Row],[Precio Unitario Neto]]-Tabla4[[#This Row],[20.85%]]</f>
        <v>4243.9001591999995</v>
      </c>
      <c r="M630" s="282" t="e">
        <f>(INDEX(Tabla6[#All],MATCH(Tabla4[[#This Row],[Producto]],Tabla6[[#All],[PRODUCTO]],0),MATCH(Tabla4[[#This Row],[Mes]],Tabla6[#Headers],0)))*(1+Catalogos!$L$2)</f>
        <v>#N/A</v>
      </c>
      <c r="N630" s="283" t="e">
        <f>+(Tabla4[[#This Row],[Precio Descontado]]-Tabla4[[#This Row],[Precio Base]])*Tabla4[[#This Row],[Cantidad]]</f>
        <v>#N/A</v>
      </c>
      <c r="O630" s="284" t="e">
        <f>++Tabla4[[#This Row],[Utilidad Total]]/Tabla4[[#This Row],[Total]]</f>
        <v>#N/A</v>
      </c>
      <c r="P630" s="282">
        <f>++Tabla4[[#This Row],[Precio Descontado]]*Tabla4[[#This Row],[Cantidad]]</f>
        <v>8487.800318399999</v>
      </c>
      <c r="Q630" s="282" t="e">
        <f>(INDEX(Tabla6[#All],MATCH(Tabla4[[#This Row],[Producto]],Tabla6[[#All],[PRODUCTO]],0),MATCH(Tabla4[[#This Row],[Mes]],Tabla6[#Headers],0)))</f>
        <v>#N/A</v>
      </c>
      <c r="R630" s="282" t="e">
        <f>++Tabla4[[#This Row],[Precio Unitario Neto]]-Tabla4[[#This Row],[20.85%]]-Tabla4[[#This Row],[Costo]]</f>
        <v>#N/A</v>
      </c>
      <c r="S630" s="282" t="e">
        <f>++Tabla4[[#This Row],[U. Bruta Uni]]*Tabla4[[#This Row],[Cantidad]]</f>
        <v>#N/A</v>
      </c>
      <c r="T630" s="369" t="str">
        <f>VLOOKUP(Tabla4[[#This Row],[Producto]],Tabla6[#All],14,FALSE)</f>
        <v>Termico Solar</v>
      </c>
      <c r="U630" s="284" t="e">
        <f>(IF(Tabla4[[#This Row],[Familia]]="termico solar",Tabla4[[#This Row],[Utilidad Total]]*6%,Tabla4[[#This Row],[Utilidad Total]]*11.5%))/Tabla4[[#This Row],[Total]]</f>
        <v>#N/A</v>
      </c>
      <c r="V630" s="282" t="e">
        <f>+Tabla4[[#This Row],[Comisión Calculada]]*Tabla4[[#This Row],[Total]]</f>
        <v>#N/A</v>
      </c>
    </row>
    <row r="631" spans="1:22" hidden="1" x14ac:dyDescent="0.25">
      <c r="A631" s="100">
        <v>45716</v>
      </c>
      <c r="B631" t="str">
        <f t="shared" si="20"/>
        <v>February</v>
      </c>
      <c r="C631" s="46" t="s">
        <v>280</v>
      </c>
      <c r="F631" s="366" t="s">
        <v>977</v>
      </c>
      <c r="G631" s="46" t="s">
        <v>18</v>
      </c>
      <c r="H631" s="46">
        <v>1</v>
      </c>
      <c r="I631" s="51">
        <v>5367.65</v>
      </c>
      <c r="J631" s="281">
        <f>++Tabla4[[#This Row],[Precio Bruto]]*1.16</f>
        <v>6226.4739999999993</v>
      </c>
      <c r="K631" s="281">
        <f>+Tabla4[[#This Row],[Precio Unitario Neto]]*Tabla4[[#Headers],[20.85%]]</f>
        <v>1298.2198289999999</v>
      </c>
      <c r="L631" s="282">
        <f>++Tabla4[[#This Row],[Precio Unitario Neto]]-Tabla4[[#This Row],[20.85%]]</f>
        <v>4928.2541709999996</v>
      </c>
      <c r="M631" s="282" t="e">
        <f>(INDEX(Tabla6[#All],MATCH(Tabla4[[#This Row],[Producto]],Tabla6[[#All],[PRODUCTO]],0),MATCH(Tabla4[[#This Row],[Mes]],Tabla6[#Headers],0)))*(1+Catalogos!$L$2)</f>
        <v>#N/A</v>
      </c>
      <c r="N631" s="283" t="e">
        <f>+(Tabla4[[#This Row],[Precio Descontado]]-Tabla4[[#This Row],[Precio Base]])*Tabla4[[#This Row],[Cantidad]]</f>
        <v>#N/A</v>
      </c>
      <c r="O631" s="284" t="e">
        <f>++Tabla4[[#This Row],[Utilidad Total]]/Tabla4[[#This Row],[Total]]</f>
        <v>#N/A</v>
      </c>
      <c r="P631" s="282">
        <f>++Tabla4[[#This Row],[Precio Descontado]]*Tabla4[[#This Row],[Cantidad]]</f>
        <v>4928.2541709999996</v>
      </c>
      <c r="Q631" s="282" t="e">
        <f>(INDEX(Tabla6[#All],MATCH(Tabla4[[#This Row],[Producto]],Tabla6[[#All],[PRODUCTO]],0),MATCH(Tabla4[[#This Row],[Mes]],Tabla6[#Headers],0)))</f>
        <v>#N/A</v>
      </c>
      <c r="R631" s="282" t="e">
        <f>++Tabla4[[#This Row],[Precio Unitario Neto]]-Tabla4[[#This Row],[20.85%]]-Tabla4[[#This Row],[Costo]]</f>
        <v>#N/A</v>
      </c>
      <c r="S631" s="282" t="e">
        <f>++Tabla4[[#This Row],[U. Bruta Uni]]*Tabla4[[#This Row],[Cantidad]]</f>
        <v>#N/A</v>
      </c>
      <c r="T631" s="369" t="str">
        <f>VLOOKUP(Tabla4[[#This Row],[Producto]],Tabla6[#All],14,FALSE)</f>
        <v>Termico Solar</v>
      </c>
      <c r="U631" s="284" t="e">
        <f>(IF(Tabla4[[#This Row],[Familia]]="termico solar",Tabla4[[#This Row],[Utilidad Total]]*6%,Tabla4[[#This Row],[Utilidad Total]]*11.5%))/Tabla4[[#This Row],[Total]]</f>
        <v>#N/A</v>
      </c>
      <c r="V631" s="282" t="e">
        <f>+Tabla4[[#This Row],[Comisión Calculada]]*Tabla4[[#This Row],[Total]]</f>
        <v>#N/A</v>
      </c>
    </row>
    <row r="632" spans="1:22" hidden="1" x14ac:dyDescent="0.25">
      <c r="A632" s="100">
        <v>45716</v>
      </c>
      <c r="B632" t="str">
        <f t="shared" si="20"/>
        <v>February</v>
      </c>
      <c r="C632" s="46" t="s">
        <v>280</v>
      </c>
      <c r="F632" s="366" t="s">
        <v>977</v>
      </c>
      <c r="G632" s="46" t="s">
        <v>412</v>
      </c>
      <c r="H632" s="46">
        <v>1</v>
      </c>
      <c r="I632" s="51">
        <v>3240.84</v>
      </c>
      <c r="J632" s="281">
        <f>++Tabla4[[#This Row],[Precio Bruto]]*1.16</f>
        <v>3759.3743999999997</v>
      </c>
      <c r="K632" s="281">
        <f>+Tabla4[[#This Row],[Precio Unitario Neto]]*Tabla4[[#Headers],[20.85%]]</f>
        <v>783.82956239999987</v>
      </c>
      <c r="L632" s="282">
        <f>++Tabla4[[#This Row],[Precio Unitario Neto]]-Tabla4[[#This Row],[20.85%]]</f>
        <v>2975.5448375999999</v>
      </c>
      <c r="M632" s="282" t="e">
        <f>(INDEX(Tabla6[#All],MATCH(Tabla4[[#This Row],[Producto]],Tabla6[[#All],[PRODUCTO]],0),MATCH(Tabla4[[#This Row],[Mes]],Tabla6[#Headers],0)))*(1+Catalogos!$L$2)</f>
        <v>#N/A</v>
      </c>
      <c r="N632" s="283" t="e">
        <f>+(Tabla4[[#This Row],[Precio Descontado]]-Tabla4[[#This Row],[Precio Base]])*Tabla4[[#This Row],[Cantidad]]</f>
        <v>#N/A</v>
      </c>
      <c r="O632" s="284" t="e">
        <f>++Tabla4[[#This Row],[Utilidad Total]]/Tabla4[[#This Row],[Total]]</f>
        <v>#N/A</v>
      </c>
      <c r="P632" s="282">
        <f>++Tabla4[[#This Row],[Precio Descontado]]*Tabla4[[#This Row],[Cantidad]]</f>
        <v>2975.5448375999999</v>
      </c>
      <c r="Q632" s="282" t="e">
        <f>(INDEX(Tabla6[#All],MATCH(Tabla4[[#This Row],[Producto]],Tabla6[[#All],[PRODUCTO]],0),MATCH(Tabla4[[#This Row],[Mes]],Tabla6[#Headers],0)))</f>
        <v>#N/A</v>
      </c>
      <c r="R632" s="282" t="e">
        <f>++Tabla4[[#This Row],[Precio Unitario Neto]]-Tabla4[[#This Row],[20.85%]]-Tabla4[[#This Row],[Costo]]</f>
        <v>#N/A</v>
      </c>
      <c r="S632" s="282" t="e">
        <f>++Tabla4[[#This Row],[U. Bruta Uni]]*Tabla4[[#This Row],[Cantidad]]</f>
        <v>#N/A</v>
      </c>
      <c r="T632" s="369" t="str">
        <f>VLOOKUP(Tabla4[[#This Row],[Producto]],Tabla6[#All],14,FALSE)</f>
        <v>Termico Solar</v>
      </c>
      <c r="U632" s="284" t="e">
        <f>(IF(Tabla4[[#This Row],[Familia]]="termico solar",Tabla4[[#This Row],[Utilidad Total]]*6%,Tabla4[[#This Row],[Utilidad Total]]*11.5%))/Tabla4[[#This Row],[Total]]</f>
        <v>#N/A</v>
      </c>
      <c r="V632" s="282" t="e">
        <f>+Tabla4[[#This Row],[Comisión Calculada]]*Tabla4[[#This Row],[Total]]</f>
        <v>#N/A</v>
      </c>
    </row>
    <row r="633" spans="1:22" hidden="1" x14ac:dyDescent="0.25">
      <c r="A633" s="100">
        <v>45716</v>
      </c>
      <c r="B633" t="str">
        <f t="shared" si="20"/>
        <v>February</v>
      </c>
      <c r="C633" s="46" t="s">
        <v>280</v>
      </c>
      <c r="F633" s="366" t="s">
        <v>977</v>
      </c>
      <c r="G633" s="46" t="s">
        <v>16</v>
      </c>
      <c r="H633" s="46">
        <v>2</v>
      </c>
      <c r="I633" s="51">
        <v>4103.8500000000004</v>
      </c>
      <c r="J633" s="281">
        <f>++Tabla4[[#This Row],[Precio Bruto]]*1.16</f>
        <v>4760.4660000000003</v>
      </c>
      <c r="K633" s="281">
        <f>+Tabla4[[#This Row],[Precio Unitario Neto]]*Tabla4[[#Headers],[20.85%]]</f>
        <v>992.55716100000006</v>
      </c>
      <c r="L633" s="282">
        <f>++Tabla4[[#This Row],[Precio Unitario Neto]]-Tabla4[[#This Row],[20.85%]]</f>
        <v>3767.9088390000002</v>
      </c>
      <c r="M633" s="282" t="e">
        <f>(INDEX(Tabla6[#All],MATCH(Tabla4[[#This Row],[Producto]],Tabla6[[#All],[PRODUCTO]],0),MATCH(Tabla4[[#This Row],[Mes]],Tabla6[#Headers],0)))*(1+Catalogos!$L$2)</f>
        <v>#N/A</v>
      </c>
      <c r="N633" s="283" t="e">
        <f>+(Tabla4[[#This Row],[Precio Descontado]]-Tabla4[[#This Row],[Precio Base]])*Tabla4[[#This Row],[Cantidad]]</f>
        <v>#N/A</v>
      </c>
      <c r="O633" s="284" t="e">
        <f>++Tabla4[[#This Row],[Utilidad Total]]/Tabla4[[#This Row],[Total]]</f>
        <v>#N/A</v>
      </c>
      <c r="P633" s="282">
        <f>++Tabla4[[#This Row],[Precio Descontado]]*Tabla4[[#This Row],[Cantidad]]</f>
        <v>7535.8176780000003</v>
      </c>
      <c r="Q633" s="282" t="e">
        <f>(INDEX(Tabla6[#All],MATCH(Tabla4[[#This Row],[Producto]],Tabla6[[#All],[PRODUCTO]],0),MATCH(Tabla4[[#This Row],[Mes]],Tabla6[#Headers],0)))</f>
        <v>#N/A</v>
      </c>
      <c r="R633" s="282" t="e">
        <f>++Tabla4[[#This Row],[Precio Unitario Neto]]-Tabla4[[#This Row],[20.85%]]-Tabla4[[#This Row],[Costo]]</f>
        <v>#N/A</v>
      </c>
      <c r="S633" s="282" t="e">
        <f>++Tabla4[[#This Row],[U. Bruta Uni]]*Tabla4[[#This Row],[Cantidad]]</f>
        <v>#N/A</v>
      </c>
      <c r="T633" s="369" t="str">
        <f>VLOOKUP(Tabla4[[#This Row],[Producto]],Tabla6[#All],14,FALSE)</f>
        <v>Termico Solar</v>
      </c>
      <c r="U633" s="284" t="e">
        <f>(IF(Tabla4[[#This Row],[Familia]]="termico solar",Tabla4[[#This Row],[Utilidad Total]]*6%,Tabla4[[#This Row],[Utilidad Total]]*11.5%))/Tabla4[[#This Row],[Total]]</f>
        <v>#N/A</v>
      </c>
      <c r="V633" s="282" t="e">
        <f>+Tabla4[[#This Row],[Comisión Calculada]]*Tabla4[[#This Row],[Total]]</f>
        <v>#N/A</v>
      </c>
    </row>
    <row r="634" spans="1:22" hidden="1" x14ac:dyDescent="0.25">
      <c r="A634" s="100">
        <v>45716</v>
      </c>
      <c r="B634" t="str">
        <f t="shared" si="20"/>
        <v>February</v>
      </c>
      <c r="C634" s="46" t="s">
        <v>280</v>
      </c>
      <c r="F634" s="366" t="s">
        <v>978</v>
      </c>
      <c r="G634" s="46" t="s">
        <v>17</v>
      </c>
      <c r="H634" s="46">
        <v>4</v>
      </c>
      <c r="I634" s="51">
        <v>4622.28</v>
      </c>
      <c r="J634" s="281">
        <f>++Tabla4[[#This Row],[Precio Bruto]]*1.16</f>
        <v>5361.8447999999989</v>
      </c>
      <c r="K634" s="281">
        <f>+Tabla4[[#This Row],[Precio Unitario Neto]]*Tabla4[[#Headers],[20.85%]]</f>
        <v>1117.9446407999997</v>
      </c>
      <c r="L634" s="282">
        <f>++Tabla4[[#This Row],[Precio Unitario Neto]]-Tabla4[[#This Row],[20.85%]]</f>
        <v>4243.9001591999995</v>
      </c>
      <c r="M634" s="282" t="e">
        <f>(INDEX(Tabla6[#All],MATCH(Tabla4[[#This Row],[Producto]],Tabla6[[#All],[PRODUCTO]],0),MATCH(Tabla4[[#This Row],[Mes]],Tabla6[#Headers],0)))*(1+Catalogos!$L$2)</f>
        <v>#N/A</v>
      </c>
      <c r="N634" s="283" t="e">
        <f>+(Tabla4[[#This Row],[Precio Descontado]]-Tabla4[[#This Row],[Precio Base]])*Tabla4[[#This Row],[Cantidad]]</f>
        <v>#N/A</v>
      </c>
      <c r="O634" s="284" t="e">
        <f>++Tabla4[[#This Row],[Utilidad Total]]/Tabla4[[#This Row],[Total]]</f>
        <v>#N/A</v>
      </c>
      <c r="P634" s="282">
        <f>++Tabla4[[#This Row],[Precio Descontado]]*Tabla4[[#This Row],[Cantidad]]</f>
        <v>16975.600636799998</v>
      </c>
      <c r="Q634" s="282" t="e">
        <f>(INDEX(Tabla6[#All],MATCH(Tabla4[[#This Row],[Producto]],Tabla6[[#All],[PRODUCTO]],0),MATCH(Tabla4[[#This Row],[Mes]],Tabla6[#Headers],0)))</f>
        <v>#N/A</v>
      </c>
      <c r="R634" s="282" t="e">
        <f>++Tabla4[[#This Row],[Precio Unitario Neto]]-Tabla4[[#This Row],[20.85%]]-Tabla4[[#This Row],[Costo]]</f>
        <v>#N/A</v>
      </c>
      <c r="S634" s="282" t="e">
        <f>++Tabla4[[#This Row],[U. Bruta Uni]]*Tabla4[[#This Row],[Cantidad]]</f>
        <v>#N/A</v>
      </c>
      <c r="T634" s="369" t="str">
        <f>VLOOKUP(Tabla4[[#This Row],[Producto]],Tabla6[#All],14,FALSE)</f>
        <v>Termico Solar</v>
      </c>
      <c r="U634" s="284" t="e">
        <f>(IF(Tabla4[[#This Row],[Familia]]="termico solar",Tabla4[[#This Row],[Utilidad Total]]*6%,Tabla4[[#This Row],[Utilidad Total]]*11.5%))/Tabla4[[#This Row],[Total]]</f>
        <v>#N/A</v>
      </c>
      <c r="V634" s="282" t="e">
        <f>+Tabla4[[#This Row],[Comisión Calculada]]*Tabla4[[#This Row],[Total]]</f>
        <v>#N/A</v>
      </c>
    </row>
    <row r="635" spans="1:22" hidden="1" x14ac:dyDescent="0.25">
      <c r="A635" s="100">
        <v>45716</v>
      </c>
      <c r="B635" t="str">
        <f t="shared" si="20"/>
        <v>February</v>
      </c>
      <c r="C635" s="46" t="s">
        <v>280</v>
      </c>
      <c r="F635" s="366" t="s">
        <v>978</v>
      </c>
      <c r="G635" s="46" t="s">
        <v>566</v>
      </c>
      <c r="H635" s="46">
        <v>1</v>
      </c>
      <c r="I635" s="51">
        <v>2109.4499999999998</v>
      </c>
      <c r="J635" s="281">
        <f>++Tabla4[[#This Row],[Precio Bruto]]*1.16</f>
        <v>2446.9619999999995</v>
      </c>
      <c r="K635" s="281">
        <f>+Tabla4[[#This Row],[Precio Unitario Neto]]*Tabla4[[#Headers],[20.85%]]</f>
        <v>510.19157699999988</v>
      </c>
      <c r="L635" s="282">
        <f>++Tabla4[[#This Row],[Precio Unitario Neto]]-Tabla4[[#This Row],[20.85%]]</f>
        <v>1936.7704229999997</v>
      </c>
      <c r="M635" s="282" t="e">
        <f>(INDEX(Tabla6[#All],MATCH(Tabla4[[#This Row],[Producto]],Tabla6[[#All],[PRODUCTO]],0),MATCH(Tabla4[[#This Row],[Mes]],Tabla6[#Headers],0)))*(1+Catalogos!$L$2)</f>
        <v>#N/A</v>
      </c>
      <c r="N635" s="283" t="e">
        <f>+(Tabla4[[#This Row],[Precio Descontado]]-Tabla4[[#This Row],[Precio Base]])*Tabla4[[#This Row],[Cantidad]]</f>
        <v>#N/A</v>
      </c>
      <c r="O635" s="284" t="e">
        <f>++Tabla4[[#This Row],[Utilidad Total]]/Tabla4[[#This Row],[Total]]</f>
        <v>#N/A</v>
      </c>
      <c r="P635" s="282">
        <f>++Tabla4[[#This Row],[Precio Descontado]]*Tabla4[[#This Row],[Cantidad]]</f>
        <v>1936.7704229999997</v>
      </c>
      <c r="Q635" s="282" t="e">
        <f>(INDEX(Tabla6[#All],MATCH(Tabla4[[#This Row],[Producto]],Tabla6[[#All],[PRODUCTO]],0),MATCH(Tabla4[[#This Row],[Mes]],Tabla6[#Headers],0)))</f>
        <v>#N/A</v>
      </c>
      <c r="R635" s="282" t="e">
        <f>++Tabla4[[#This Row],[Precio Unitario Neto]]-Tabla4[[#This Row],[20.85%]]-Tabla4[[#This Row],[Costo]]</f>
        <v>#N/A</v>
      </c>
      <c r="S635" s="282" t="e">
        <f>++Tabla4[[#This Row],[U. Bruta Uni]]*Tabla4[[#This Row],[Cantidad]]</f>
        <v>#N/A</v>
      </c>
      <c r="T635" s="369" t="str">
        <f>VLOOKUP(Tabla4[[#This Row],[Producto]],Tabla6[#All],14,FALSE)</f>
        <v>Termico Solar</v>
      </c>
      <c r="U635" s="284" t="e">
        <f>(IF(Tabla4[[#This Row],[Familia]]="termico solar",Tabla4[[#This Row],[Utilidad Total]]*6%,Tabla4[[#This Row],[Utilidad Total]]*11.5%))/Tabla4[[#This Row],[Total]]</f>
        <v>#N/A</v>
      </c>
      <c r="V635" s="282" t="e">
        <f>+Tabla4[[#This Row],[Comisión Calculada]]*Tabla4[[#This Row],[Total]]</f>
        <v>#N/A</v>
      </c>
    </row>
    <row r="636" spans="1:22" hidden="1" x14ac:dyDescent="0.25">
      <c r="A636" s="100">
        <v>45716</v>
      </c>
      <c r="B636" t="str">
        <f t="shared" si="20"/>
        <v>February</v>
      </c>
      <c r="C636" s="46" t="s">
        <v>280</v>
      </c>
      <c r="F636" s="366" t="s">
        <v>979</v>
      </c>
      <c r="G636" s="46" t="s">
        <v>18</v>
      </c>
      <c r="H636" s="46">
        <v>1</v>
      </c>
      <c r="I636" s="51">
        <v>5367.65</v>
      </c>
      <c r="J636" s="281">
        <f>++Tabla4[[#This Row],[Precio Bruto]]*1.16</f>
        <v>6226.4739999999993</v>
      </c>
      <c r="K636" s="281">
        <f>+Tabla4[[#This Row],[Precio Unitario Neto]]*Tabla4[[#Headers],[20.85%]]</f>
        <v>1298.2198289999999</v>
      </c>
      <c r="L636" s="282">
        <f>++Tabla4[[#This Row],[Precio Unitario Neto]]-Tabla4[[#This Row],[20.85%]]</f>
        <v>4928.2541709999996</v>
      </c>
      <c r="M636" s="282" t="e">
        <f>(INDEX(Tabla6[#All],MATCH(Tabla4[[#This Row],[Producto]],Tabla6[[#All],[PRODUCTO]],0),MATCH(Tabla4[[#This Row],[Mes]],Tabla6[#Headers],0)))*(1+Catalogos!$L$2)</f>
        <v>#N/A</v>
      </c>
      <c r="N636" s="283" t="e">
        <f>+(Tabla4[[#This Row],[Precio Descontado]]-Tabla4[[#This Row],[Precio Base]])*Tabla4[[#This Row],[Cantidad]]</f>
        <v>#N/A</v>
      </c>
      <c r="O636" s="284" t="e">
        <f>++Tabla4[[#This Row],[Utilidad Total]]/Tabla4[[#This Row],[Total]]</f>
        <v>#N/A</v>
      </c>
      <c r="P636" s="282">
        <f>++Tabla4[[#This Row],[Precio Descontado]]*Tabla4[[#This Row],[Cantidad]]</f>
        <v>4928.2541709999996</v>
      </c>
      <c r="Q636" s="282" t="e">
        <f>(INDEX(Tabla6[#All],MATCH(Tabla4[[#This Row],[Producto]],Tabla6[[#All],[PRODUCTO]],0),MATCH(Tabla4[[#This Row],[Mes]],Tabla6[#Headers],0)))</f>
        <v>#N/A</v>
      </c>
      <c r="R636" s="282" t="e">
        <f>++Tabla4[[#This Row],[Precio Unitario Neto]]-Tabla4[[#This Row],[20.85%]]-Tabla4[[#This Row],[Costo]]</f>
        <v>#N/A</v>
      </c>
      <c r="S636" s="282" t="e">
        <f>++Tabla4[[#This Row],[U. Bruta Uni]]*Tabla4[[#This Row],[Cantidad]]</f>
        <v>#N/A</v>
      </c>
      <c r="T636" s="369" t="str">
        <f>VLOOKUP(Tabla4[[#This Row],[Producto]],Tabla6[#All],14,FALSE)</f>
        <v>Termico Solar</v>
      </c>
      <c r="U636" s="284" t="e">
        <f>(IF(Tabla4[[#This Row],[Familia]]="termico solar",Tabla4[[#This Row],[Utilidad Total]]*6%,Tabla4[[#This Row],[Utilidad Total]]*11.5%))/Tabla4[[#This Row],[Total]]</f>
        <v>#N/A</v>
      </c>
      <c r="V636" s="282" t="e">
        <f>+Tabla4[[#This Row],[Comisión Calculada]]*Tabla4[[#This Row],[Total]]</f>
        <v>#N/A</v>
      </c>
    </row>
    <row r="637" spans="1:22" hidden="1" x14ac:dyDescent="0.25">
      <c r="A637" s="100">
        <v>45716</v>
      </c>
      <c r="B637" t="str">
        <f t="shared" si="20"/>
        <v>February</v>
      </c>
      <c r="C637" s="46" t="s">
        <v>280</v>
      </c>
      <c r="F637" s="366" t="s">
        <v>980</v>
      </c>
      <c r="G637" s="46" t="s">
        <v>17</v>
      </c>
      <c r="H637" s="46">
        <v>3</v>
      </c>
      <c r="I637" s="51">
        <v>4622.28</v>
      </c>
      <c r="J637" s="281">
        <f>++Tabla4[[#This Row],[Precio Bruto]]*1.16</f>
        <v>5361.8447999999989</v>
      </c>
      <c r="K637" s="281">
        <f>+Tabla4[[#This Row],[Precio Unitario Neto]]*Tabla4[[#Headers],[20.85%]]</f>
        <v>1117.9446407999997</v>
      </c>
      <c r="L637" s="282">
        <f>++Tabla4[[#This Row],[Precio Unitario Neto]]-Tabla4[[#This Row],[20.85%]]</f>
        <v>4243.9001591999995</v>
      </c>
      <c r="M637" s="282" t="e">
        <f>(INDEX(Tabla6[#All],MATCH(Tabla4[[#This Row],[Producto]],Tabla6[[#All],[PRODUCTO]],0),MATCH(Tabla4[[#This Row],[Mes]],Tabla6[#Headers],0)))*(1+Catalogos!$L$2)</f>
        <v>#N/A</v>
      </c>
      <c r="N637" s="283" t="e">
        <f>+(Tabla4[[#This Row],[Precio Descontado]]-Tabla4[[#This Row],[Precio Base]])*Tabla4[[#This Row],[Cantidad]]</f>
        <v>#N/A</v>
      </c>
      <c r="O637" s="284" t="e">
        <f>++Tabla4[[#This Row],[Utilidad Total]]/Tabla4[[#This Row],[Total]]</f>
        <v>#N/A</v>
      </c>
      <c r="P637" s="282">
        <f>++Tabla4[[#This Row],[Precio Descontado]]*Tabla4[[#This Row],[Cantidad]]</f>
        <v>12731.700477599999</v>
      </c>
      <c r="Q637" s="282" t="e">
        <f>(INDEX(Tabla6[#All],MATCH(Tabla4[[#This Row],[Producto]],Tabla6[[#All],[PRODUCTO]],0),MATCH(Tabla4[[#This Row],[Mes]],Tabla6[#Headers],0)))</f>
        <v>#N/A</v>
      </c>
      <c r="R637" s="282" t="e">
        <f>++Tabla4[[#This Row],[Precio Unitario Neto]]-Tabla4[[#This Row],[20.85%]]-Tabla4[[#This Row],[Costo]]</f>
        <v>#N/A</v>
      </c>
      <c r="S637" s="282" t="e">
        <f>++Tabla4[[#This Row],[U. Bruta Uni]]*Tabla4[[#This Row],[Cantidad]]</f>
        <v>#N/A</v>
      </c>
      <c r="T637" s="369" t="str">
        <f>VLOOKUP(Tabla4[[#This Row],[Producto]],Tabla6[#All],14,FALSE)</f>
        <v>Termico Solar</v>
      </c>
      <c r="U637" s="284" t="e">
        <f>(IF(Tabla4[[#This Row],[Familia]]="termico solar",Tabla4[[#This Row],[Utilidad Total]]*6%,Tabla4[[#This Row],[Utilidad Total]]*11.5%))/Tabla4[[#This Row],[Total]]</f>
        <v>#N/A</v>
      </c>
      <c r="V637" s="282" t="e">
        <f>+Tabla4[[#This Row],[Comisión Calculada]]*Tabla4[[#This Row],[Total]]</f>
        <v>#N/A</v>
      </c>
    </row>
    <row r="638" spans="1:22" hidden="1" x14ac:dyDescent="0.25">
      <c r="A638" s="100">
        <v>45716</v>
      </c>
      <c r="B638" t="str">
        <f t="shared" si="20"/>
        <v>February</v>
      </c>
      <c r="C638" s="46" t="s">
        <v>280</v>
      </c>
      <c r="F638" s="366" t="s">
        <v>980</v>
      </c>
      <c r="G638" s="46" t="s">
        <v>566</v>
      </c>
      <c r="H638" s="46">
        <v>1</v>
      </c>
      <c r="I638" s="51">
        <v>2109.4499999999998</v>
      </c>
      <c r="J638" s="281">
        <f>++Tabla4[[#This Row],[Precio Bruto]]*1.16</f>
        <v>2446.9619999999995</v>
      </c>
      <c r="K638" s="281">
        <f>+Tabla4[[#This Row],[Precio Unitario Neto]]*Tabla4[[#Headers],[20.85%]]</f>
        <v>510.19157699999988</v>
      </c>
      <c r="L638" s="282">
        <f>++Tabla4[[#This Row],[Precio Unitario Neto]]-Tabla4[[#This Row],[20.85%]]</f>
        <v>1936.7704229999997</v>
      </c>
      <c r="M638" s="282" t="e">
        <f>(INDEX(Tabla6[#All],MATCH(Tabla4[[#This Row],[Producto]],Tabla6[[#All],[PRODUCTO]],0),MATCH(Tabla4[[#This Row],[Mes]],Tabla6[#Headers],0)))*(1+Catalogos!$L$2)</f>
        <v>#N/A</v>
      </c>
      <c r="N638" s="283" t="e">
        <f>+(Tabla4[[#This Row],[Precio Descontado]]-Tabla4[[#This Row],[Precio Base]])*Tabla4[[#This Row],[Cantidad]]</f>
        <v>#N/A</v>
      </c>
      <c r="O638" s="284" t="e">
        <f>++Tabla4[[#This Row],[Utilidad Total]]/Tabla4[[#This Row],[Total]]</f>
        <v>#N/A</v>
      </c>
      <c r="P638" s="282">
        <f>++Tabla4[[#This Row],[Precio Descontado]]*Tabla4[[#This Row],[Cantidad]]</f>
        <v>1936.7704229999997</v>
      </c>
      <c r="Q638" s="282" t="e">
        <f>(INDEX(Tabla6[#All],MATCH(Tabla4[[#This Row],[Producto]],Tabla6[[#All],[PRODUCTO]],0),MATCH(Tabla4[[#This Row],[Mes]],Tabla6[#Headers],0)))</f>
        <v>#N/A</v>
      </c>
      <c r="R638" s="282" t="e">
        <f>++Tabla4[[#This Row],[Precio Unitario Neto]]-Tabla4[[#This Row],[20.85%]]-Tabla4[[#This Row],[Costo]]</f>
        <v>#N/A</v>
      </c>
      <c r="S638" s="282" t="e">
        <f>++Tabla4[[#This Row],[U. Bruta Uni]]*Tabla4[[#This Row],[Cantidad]]</f>
        <v>#N/A</v>
      </c>
      <c r="T638" s="369" t="str">
        <f>VLOOKUP(Tabla4[[#This Row],[Producto]],Tabla6[#All],14,FALSE)</f>
        <v>Termico Solar</v>
      </c>
      <c r="U638" s="284" t="e">
        <f>(IF(Tabla4[[#This Row],[Familia]]="termico solar",Tabla4[[#This Row],[Utilidad Total]]*6%,Tabla4[[#This Row],[Utilidad Total]]*11.5%))/Tabla4[[#This Row],[Total]]</f>
        <v>#N/A</v>
      </c>
      <c r="V638" s="282" t="e">
        <f>+Tabla4[[#This Row],[Comisión Calculada]]*Tabla4[[#This Row],[Total]]</f>
        <v>#N/A</v>
      </c>
    </row>
    <row r="639" spans="1:22" hidden="1" x14ac:dyDescent="0.25">
      <c r="A639" s="100">
        <v>45716</v>
      </c>
      <c r="B639" t="str">
        <f t="shared" si="20"/>
        <v>February</v>
      </c>
      <c r="C639" s="46" t="s">
        <v>280</v>
      </c>
      <c r="F639" s="366" t="s">
        <v>980</v>
      </c>
      <c r="G639" s="46" t="s">
        <v>599</v>
      </c>
      <c r="H639" s="46">
        <v>1</v>
      </c>
      <c r="I639" s="51">
        <v>189.75</v>
      </c>
      <c r="J639" s="281">
        <f>++Tabla4[[#This Row],[Precio Bruto]]*1.16</f>
        <v>220.10999999999999</v>
      </c>
      <c r="K639" s="281">
        <f>+Tabla4[[#This Row],[Precio Unitario Neto]]*Tabla4[[#Headers],[20.85%]]</f>
        <v>45.892934999999994</v>
      </c>
      <c r="L639" s="282">
        <f>++Tabla4[[#This Row],[Precio Unitario Neto]]-Tabla4[[#This Row],[20.85%]]</f>
        <v>174.21706499999999</v>
      </c>
      <c r="M639" s="282" t="e">
        <f>(INDEX(Tabla6[#All],MATCH(Tabla4[[#This Row],[Producto]],Tabla6[[#All],[PRODUCTO]],0),MATCH(Tabla4[[#This Row],[Mes]],Tabla6[#Headers],0)))*(1+Catalogos!$L$2)</f>
        <v>#N/A</v>
      </c>
      <c r="N639" s="283" t="e">
        <f>+(Tabla4[[#This Row],[Precio Descontado]]-Tabla4[[#This Row],[Precio Base]])*Tabla4[[#This Row],[Cantidad]]</f>
        <v>#N/A</v>
      </c>
      <c r="O639" s="284" t="e">
        <f>++Tabla4[[#This Row],[Utilidad Total]]/Tabla4[[#This Row],[Total]]</f>
        <v>#N/A</v>
      </c>
      <c r="P639" s="282">
        <f>++Tabla4[[#This Row],[Precio Descontado]]*Tabla4[[#This Row],[Cantidad]]</f>
        <v>174.21706499999999</v>
      </c>
      <c r="Q639" s="282" t="e">
        <f>(INDEX(Tabla6[#All],MATCH(Tabla4[[#This Row],[Producto]],Tabla6[[#All],[PRODUCTO]],0),MATCH(Tabla4[[#This Row],[Mes]],Tabla6[#Headers],0)))</f>
        <v>#N/A</v>
      </c>
      <c r="R639" s="282" t="e">
        <f>++Tabla4[[#This Row],[Precio Unitario Neto]]-Tabla4[[#This Row],[20.85%]]-Tabla4[[#This Row],[Costo]]</f>
        <v>#N/A</v>
      </c>
      <c r="S639" s="282" t="e">
        <f>++Tabla4[[#This Row],[U. Bruta Uni]]*Tabla4[[#This Row],[Cantidad]]</f>
        <v>#N/A</v>
      </c>
      <c r="T639" s="369" t="str">
        <f>VLOOKUP(Tabla4[[#This Row],[Producto]],Tabla6[#All],14,FALSE)</f>
        <v>Termico Solar</v>
      </c>
      <c r="U639" s="284" t="e">
        <f>(IF(Tabla4[[#This Row],[Familia]]="termico solar",Tabla4[[#This Row],[Utilidad Total]]*6%,Tabla4[[#This Row],[Utilidad Total]]*11.5%))/Tabla4[[#This Row],[Total]]</f>
        <v>#N/A</v>
      </c>
      <c r="V639" s="282" t="e">
        <f>+Tabla4[[#This Row],[Comisión Calculada]]*Tabla4[[#This Row],[Total]]</f>
        <v>#N/A</v>
      </c>
    </row>
    <row r="640" spans="1:22" hidden="1" x14ac:dyDescent="0.25">
      <c r="A640" s="100">
        <v>45716</v>
      </c>
      <c r="B640" t="str">
        <f t="shared" ref="B640:B658" si="21">TEXT(A640, "mmmm")</f>
        <v>February</v>
      </c>
      <c r="C640" s="46" t="s">
        <v>280</v>
      </c>
      <c r="F640" s="366" t="s">
        <v>981</v>
      </c>
      <c r="G640" s="46" t="s">
        <v>83</v>
      </c>
      <c r="H640" s="46">
        <v>1</v>
      </c>
      <c r="I640" s="51">
        <v>8858.76</v>
      </c>
      <c r="J640" s="281">
        <f>++Tabla4[[#This Row],[Precio Bruto]]*1.16</f>
        <v>10276.161599999999</v>
      </c>
      <c r="K640" s="281">
        <f>+Tabla4[[#This Row],[Precio Unitario Neto]]*Tabla4[[#Headers],[20.85%]]</f>
        <v>2142.5796935999997</v>
      </c>
      <c r="L640" s="282">
        <f>++Tabla4[[#This Row],[Precio Unitario Neto]]-Tabla4[[#This Row],[20.85%]]</f>
        <v>8133.5819063999998</v>
      </c>
      <c r="M640" s="282" t="e">
        <f>(INDEX(Tabla6[#All],MATCH(Tabla4[[#This Row],[Producto]],Tabla6[[#All],[PRODUCTO]],0),MATCH(Tabla4[[#This Row],[Mes]],Tabla6[#Headers],0)))*(1+Catalogos!$L$2)</f>
        <v>#N/A</v>
      </c>
      <c r="N640" s="283" t="e">
        <f>+(Tabla4[[#This Row],[Precio Descontado]]-Tabla4[[#This Row],[Precio Base]])*Tabla4[[#This Row],[Cantidad]]</f>
        <v>#N/A</v>
      </c>
      <c r="O640" s="284" t="e">
        <f>++Tabla4[[#This Row],[Utilidad Total]]/Tabla4[[#This Row],[Total]]</f>
        <v>#N/A</v>
      </c>
      <c r="P640" s="282">
        <f>++Tabla4[[#This Row],[Precio Descontado]]*Tabla4[[#This Row],[Cantidad]]</f>
        <v>8133.5819063999998</v>
      </c>
      <c r="Q640" s="282" t="e">
        <f>(INDEX(Tabla6[#All],MATCH(Tabla4[[#This Row],[Producto]],Tabla6[[#All],[PRODUCTO]],0),MATCH(Tabla4[[#This Row],[Mes]],Tabla6[#Headers],0)))</f>
        <v>#N/A</v>
      </c>
      <c r="R640" s="282" t="e">
        <f>++Tabla4[[#This Row],[Precio Unitario Neto]]-Tabla4[[#This Row],[20.85%]]-Tabla4[[#This Row],[Costo]]</f>
        <v>#N/A</v>
      </c>
      <c r="S640" s="282" t="e">
        <f>++Tabla4[[#This Row],[U. Bruta Uni]]*Tabla4[[#This Row],[Cantidad]]</f>
        <v>#N/A</v>
      </c>
      <c r="T640" s="369" t="str">
        <f>VLOOKUP(Tabla4[[#This Row],[Producto]],Tabla6[#All],14,FALSE)</f>
        <v>Termico Solar</v>
      </c>
      <c r="U640" s="284" t="e">
        <f>(IF(Tabla4[[#This Row],[Familia]]="termico solar",Tabla4[[#This Row],[Utilidad Total]]*6%,Tabla4[[#This Row],[Utilidad Total]]*11.5%))/Tabla4[[#This Row],[Total]]</f>
        <v>#N/A</v>
      </c>
      <c r="V640" s="282" t="e">
        <f>+Tabla4[[#This Row],[Comisión Calculada]]*Tabla4[[#This Row],[Total]]</f>
        <v>#N/A</v>
      </c>
    </row>
    <row r="641" spans="1:22" hidden="1" x14ac:dyDescent="0.25">
      <c r="A641" s="100">
        <v>45716</v>
      </c>
      <c r="B641" t="str">
        <f t="shared" si="21"/>
        <v>February</v>
      </c>
      <c r="C641" s="46" t="s">
        <v>280</v>
      </c>
      <c r="F641" s="366" t="s">
        <v>981</v>
      </c>
      <c r="G641" s="46" t="s">
        <v>18</v>
      </c>
      <c r="H641" s="46">
        <v>4</v>
      </c>
      <c r="I641" s="51">
        <v>5367.65</v>
      </c>
      <c r="J641" s="281">
        <f>++Tabla4[[#This Row],[Precio Bruto]]*1.16</f>
        <v>6226.4739999999993</v>
      </c>
      <c r="K641" s="281">
        <f>+Tabla4[[#This Row],[Precio Unitario Neto]]*Tabla4[[#Headers],[20.85%]]</f>
        <v>1298.2198289999999</v>
      </c>
      <c r="L641" s="282">
        <f>++Tabla4[[#This Row],[Precio Unitario Neto]]-Tabla4[[#This Row],[20.85%]]</f>
        <v>4928.2541709999996</v>
      </c>
      <c r="M641" s="282" t="e">
        <f>(INDEX(Tabla6[#All],MATCH(Tabla4[[#This Row],[Producto]],Tabla6[[#All],[PRODUCTO]],0),MATCH(Tabla4[[#This Row],[Mes]],Tabla6[#Headers],0)))*(1+Catalogos!$L$2)</f>
        <v>#N/A</v>
      </c>
      <c r="N641" s="283" t="e">
        <f>+(Tabla4[[#This Row],[Precio Descontado]]-Tabla4[[#This Row],[Precio Base]])*Tabla4[[#This Row],[Cantidad]]</f>
        <v>#N/A</v>
      </c>
      <c r="O641" s="284" t="e">
        <f>++Tabla4[[#This Row],[Utilidad Total]]/Tabla4[[#This Row],[Total]]</f>
        <v>#N/A</v>
      </c>
      <c r="P641" s="282">
        <f>++Tabla4[[#This Row],[Precio Descontado]]*Tabla4[[#This Row],[Cantidad]]</f>
        <v>19713.016683999998</v>
      </c>
      <c r="Q641" s="282" t="e">
        <f>(INDEX(Tabla6[#All],MATCH(Tabla4[[#This Row],[Producto]],Tabla6[[#All],[PRODUCTO]],0),MATCH(Tabla4[[#This Row],[Mes]],Tabla6[#Headers],0)))</f>
        <v>#N/A</v>
      </c>
      <c r="R641" s="282" t="e">
        <f>++Tabla4[[#This Row],[Precio Unitario Neto]]-Tabla4[[#This Row],[20.85%]]-Tabla4[[#This Row],[Costo]]</f>
        <v>#N/A</v>
      </c>
      <c r="S641" s="282" t="e">
        <f>++Tabla4[[#This Row],[U. Bruta Uni]]*Tabla4[[#This Row],[Cantidad]]</f>
        <v>#N/A</v>
      </c>
      <c r="T641" s="369" t="str">
        <f>VLOOKUP(Tabla4[[#This Row],[Producto]],Tabla6[#All],14,FALSE)</f>
        <v>Termico Solar</v>
      </c>
      <c r="U641" s="284" t="e">
        <f>(IF(Tabla4[[#This Row],[Familia]]="termico solar",Tabla4[[#This Row],[Utilidad Total]]*6%,Tabla4[[#This Row],[Utilidad Total]]*11.5%))/Tabla4[[#This Row],[Total]]</f>
        <v>#N/A</v>
      </c>
      <c r="V641" s="282" t="e">
        <f>+Tabla4[[#This Row],[Comisión Calculada]]*Tabla4[[#This Row],[Total]]</f>
        <v>#N/A</v>
      </c>
    </row>
    <row r="642" spans="1:22" hidden="1" x14ac:dyDescent="0.25">
      <c r="A642" s="100">
        <v>45716</v>
      </c>
      <c r="B642" t="str">
        <f t="shared" si="21"/>
        <v>February</v>
      </c>
      <c r="C642" s="46" t="s">
        <v>280</v>
      </c>
      <c r="F642" s="366" t="s">
        <v>981</v>
      </c>
      <c r="G642" s="46" t="s">
        <v>566</v>
      </c>
      <c r="H642" s="46">
        <v>1</v>
      </c>
      <c r="I642" s="51">
        <v>2109.4499999999998</v>
      </c>
      <c r="J642" s="281">
        <f>++Tabla4[[#This Row],[Precio Bruto]]*1.16</f>
        <v>2446.9619999999995</v>
      </c>
      <c r="K642" s="281">
        <f>+Tabla4[[#This Row],[Precio Unitario Neto]]*Tabla4[[#Headers],[20.85%]]</f>
        <v>510.19157699999988</v>
      </c>
      <c r="L642" s="282">
        <f>++Tabla4[[#This Row],[Precio Unitario Neto]]-Tabla4[[#This Row],[20.85%]]</f>
        <v>1936.7704229999997</v>
      </c>
      <c r="M642" s="282" t="e">
        <f>(INDEX(Tabla6[#All],MATCH(Tabla4[[#This Row],[Producto]],Tabla6[[#All],[PRODUCTO]],0),MATCH(Tabla4[[#This Row],[Mes]],Tabla6[#Headers],0)))*(1+Catalogos!$L$2)</f>
        <v>#N/A</v>
      </c>
      <c r="N642" s="283" t="e">
        <f>+(Tabla4[[#This Row],[Precio Descontado]]-Tabla4[[#This Row],[Precio Base]])*Tabla4[[#This Row],[Cantidad]]</f>
        <v>#N/A</v>
      </c>
      <c r="O642" s="284" t="e">
        <f>++Tabla4[[#This Row],[Utilidad Total]]/Tabla4[[#This Row],[Total]]</f>
        <v>#N/A</v>
      </c>
      <c r="P642" s="282">
        <f>++Tabla4[[#This Row],[Precio Descontado]]*Tabla4[[#This Row],[Cantidad]]</f>
        <v>1936.7704229999997</v>
      </c>
      <c r="Q642" s="282" t="e">
        <f>(INDEX(Tabla6[#All],MATCH(Tabla4[[#This Row],[Producto]],Tabla6[[#All],[PRODUCTO]],0),MATCH(Tabla4[[#This Row],[Mes]],Tabla6[#Headers],0)))</f>
        <v>#N/A</v>
      </c>
      <c r="R642" s="282" t="e">
        <f>++Tabla4[[#This Row],[Precio Unitario Neto]]-Tabla4[[#This Row],[20.85%]]-Tabla4[[#This Row],[Costo]]</f>
        <v>#N/A</v>
      </c>
      <c r="S642" s="282" t="e">
        <f>++Tabla4[[#This Row],[U. Bruta Uni]]*Tabla4[[#This Row],[Cantidad]]</f>
        <v>#N/A</v>
      </c>
      <c r="T642" s="369" t="str">
        <f>VLOOKUP(Tabla4[[#This Row],[Producto]],Tabla6[#All],14,FALSE)</f>
        <v>Termico Solar</v>
      </c>
      <c r="U642" s="284" t="e">
        <f>(IF(Tabla4[[#This Row],[Familia]]="termico solar",Tabla4[[#This Row],[Utilidad Total]]*6%,Tabla4[[#This Row],[Utilidad Total]]*11.5%))/Tabla4[[#This Row],[Total]]</f>
        <v>#N/A</v>
      </c>
      <c r="V642" s="282" t="e">
        <f>+Tabla4[[#This Row],[Comisión Calculada]]*Tabla4[[#This Row],[Total]]</f>
        <v>#N/A</v>
      </c>
    </row>
    <row r="643" spans="1:22" hidden="1" x14ac:dyDescent="0.25">
      <c r="A643" s="100">
        <v>45716</v>
      </c>
      <c r="B643" t="str">
        <f t="shared" si="21"/>
        <v>February</v>
      </c>
      <c r="C643" s="46" t="s">
        <v>280</v>
      </c>
      <c r="F643" s="366" t="s">
        <v>981</v>
      </c>
      <c r="G643" s="46" t="s">
        <v>16</v>
      </c>
      <c r="H643" s="46">
        <v>4</v>
      </c>
      <c r="I643" s="51">
        <v>4103.8500000000004</v>
      </c>
      <c r="J643" s="281">
        <f>++Tabla4[[#This Row],[Precio Bruto]]*1.16</f>
        <v>4760.4660000000003</v>
      </c>
      <c r="K643" s="281">
        <f>+Tabla4[[#This Row],[Precio Unitario Neto]]*Tabla4[[#Headers],[20.85%]]</f>
        <v>992.55716100000006</v>
      </c>
      <c r="L643" s="282">
        <f>++Tabla4[[#This Row],[Precio Unitario Neto]]-Tabla4[[#This Row],[20.85%]]</f>
        <v>3767.9088390000002</v>
      </c>
      <c r="M643" s="282" t="e">
        <f>(INDEX(Tabla6[#All],MATCH(Tabla4[[#This Row],[Producto]],Tabla6[[#All],[PRODUCTO]],0),MATCH(Tabla4[[#This Row],[Mes]],Tabla6[#Headers],0)))*(1+Catalogos!$L$2)</f>
        <v>#N/A</v>
      </c>
      <c r="N643" s="283" t="e">
        <f>+(Tabla4[[#This Row],[Precio Descontado]]-Tabla4[[#This Row],[Precio Base]])*Tabla4[[#This Row],[Cantidad]]</f>
        <v>#N/A</v>
      </c>
      <c r="O643" s="284" t="e">
        <f>++Tabla4[[#This Row],[Utilidad Total]]/Tabla4[[#This Row],[Total]]</f>
        <v>#N/A</v>
      </c>
      <c r="P643" s="282">
        <f>++Tabla4[[#This Row],[Precio Descontado]]*Tabla4[[#This Row],[Cantidad]]</f>
        <v>15071.635356000001</v>
      </c>
      <c r="Q643" s="282" t="e">
        <f>(INDEX(Tabla6[#All],MATCH(Tabla4[[#This Row],[Producto]],Tabla6[[#All],[PRODUCTO]],0),MATCH(Tabla4[[#This Row],[Mes]],Tabla6[#Headers],0)))</f>
        <v>#N/A</v>
      </c>
      <c r="R643" s="282" t="e">
        <f>++Tabla4[[#This Row],[Precio Unitario Neto]]-Tabla4[[#This Row],[20.85%]]-Tabla4[[#This Row],[Costo]]</f>
        <v>#N/A</v>
      </c>
      <c r="S643" s="282" t="e">
        <f>++Tabla4[[#This Row],[U. Bruta Uni]]*Tabla4[[#This Row],[Cantidad]]</f>
        <v>#N/A</v>
      </c>
      <c r="T643" s="369" t="str">
        <f>VLOOKUP(Tabla4[[#This Row],[Producto]],Tabla6[#All],14,FALSE)</f>
        <v>Termico Solar</v>
      </c>
      <c r="U643" s="284" t="e">
        <f>(IF(Tabla4[[#This Row],[Familia]]="termico solar",Tabla4[[#This Row],[Utilidad Total]]*6%,Tabla4[[#This Row],[Utilidad Total]]*11.5%))/Tabla4[[#This Row],[Total]]</f>
        <v>#N/A</v>
      </c>
      <c r="V643" s="282" t="e">
        <f>+Tabla4[[#This Row],[Comisión Calculada]]*Tabla4[[#This Row],[Total]]</f>
        <v>#N/A</v>
      </c>
    </row>
    <row r="644" spans="1:22" hidden="1" x14ac:dyDescent="0.25">
      <c r="A644" s="100">
        <v>45716</v>
      </c>
      <c r="B644" t="str">
        <f t="shared" si="21"/>
        <v>February</v>
      </c>
      <c r="C644" s="46" t="s">
        <v>280</v>
      </c>
      <c r="F644" s="366" t="s">
        <v>982</v>
      </c>
      <c r="G644" s="46" t="s">
        <v>83</v>
      </c>
      <c r="H644" s="46">
        <v>2</v>
      </c>
      <c r="I644" s="51">
        <v>8858.76</v>
      </c>
      <c r="J644" s="281">
        <f>++Tabla4[[#This Row],[Precio Bruto]]*1.16</f>
        <v>10276.161599999999</v>
      </c>
      <c r="K644" s="281">
        <f>+Tabla4[[#This Row],[Precio Unitario Neto]]*Tabla4[[#Headers],[20.85%]]</f>
        <v>2142.5796935999997</v>
      </c>
      <c r="L644" s="282">
        <f>++Tabla4[[#This Row],[Precio Unitario Neto]]-Tabla4[[#This Row],[20.85%]]</f>
        <v>8133.5819063999998</v>
      </c>
      <c r="M644" s="282" t="e">
        <f>(INDEX(Tabla6[#All],MATCH(Tabla4[[#This Row],[Producto]],Tabla6[[#All],[PRODUCTO]],0),MATCH(Tabla4[[#This Row],[Mes]],Tabla6[#Headers],0)))*(1+Catalogos!$L$2)</f>
        <v>#N/A</v>
      </c>
      <c r="N644" s="283" t="e">
        <f>+(Tabla4[[#This Row],[Precio Descontado]]-Tabla4[[#This Row],[Precio Base]])*Tabla4[[#This Row],[Cantidad]]</f>
        <v>#N/A</v>
      </c>
      <c r="O644" s="284" t="e">
        <f>++Tabla4[[#This Row],[Utilidad Total]]/Tabla4[[#This Row],[Total]]</f>
        <v>#N/A</v>
      </c>
      <c r="P644" s="282">
        <f>++Tabla4[[#This Row],[Precio Descontado]]*Tabla4[[#This Row],[Cantidad]]</f>
        <v>16267.1638128</v>
      </c>
      <c r="Q644" s="282" t="e">
        <f>(INDEX(Tabla6[#All],MATCH(Tabla4[[#This Row],[Producto]],Tabla6[[#All],[PRODUCTO]],0),MATCH(Tabla4[[#This Row],[Mes]],Tabla6[#Headers],0)))</f>
        <v>#N/A</v>
      </c>
      <c r="R644" s="282" t="e">
        <f>++Tabla4[[#This Row],[Precio Unitario Neto]]-Tabla4[[#This Row],[20.85%]]-Tabla4[[#This Row],[Costo]]</f>
        <v>#N/A</v>
      </c>
      <c r="S644" s="282" t="e">
        <f>++Tabla4[[#This Row],[U. Bruta Uni]]*Tabla4[[#This Row],[Cantidad]]</f>
        <v>#N/A</v>
      </c>
      <c r="T644" s="369" t="str">
        <f>VLOOKUP(Tabla4[[#This Row],[Producto]],Tabla6[#All],14,FALSE)</f>
        <v>Termico Solar</v>
      </c>
      <c r="U644" s="284" t="e">
        <f>(IF(Tabla4[[#This Row],[Familia]]="termico solar",Tabla4[[#This Row],[Utilidad Total]]*6%,Tabla4[[#This Row],[Utilidad Total]]*11.5%))/Tabla4[[#This Row],[Total]]</f>
        <v>#N/A</v>
      </c>
      <c r="V644" s="282" t="e">
        <f>+Tabla4[[#This Row],[Comisión Calculada]]*Tabla4[[#This Row],[Total]]</f>
        <v>#N/A</v>
      </c>
    </row>
    <row r="645" spans="1:22" hidden="1" x14ac:dyDescent="0.25">
      <c r="A645" s="100">
        <v>45716</v>
      </c>
      <c r="B645" t="str">
        <f t="shared" si="21"/>
        <v>February</v>
      </c>
      <c r="C645" s="46" t="s">
        <v>280</v>
      </c>
      <c r="F645" s="366" t="s">
        <v>982</v>
      </c>
      <c r="G645" s="46" t="s">
        <v>17</v>
      </c>
      <c r="H645" s="46">
        <v>8</v>
      </c>
      <c r="I645" s="51">
        <v>4622.28</v>
      </c>
      <c r="J645" s="281">
        <f>++Tabla4[[#This Row],[Precio Bruto]]*1.16</f>
        <v>5361.8447999999989</v>
      </c>
      <c r="K645" s="281">
        <f>+Tabla4[[#This Row],[Precio Unitario Neto]]*Tabla4[[#Headers],[20.85%]]</f>
        <v>1117.9446407999997</v>
      </c>
      <c r="L645" s="282">
        <f>++Tabla4[[#This Row],[Precio Unitario Neto]]-Tabla4[[#This Row],[20.85%]]</f>
        <v>4243.9001591999995</v>
      </c>
      <c r="M645" s="282" t="e">
        <f>(INDEX(Tabla6[#All],MATCH(Tabla4[[#This Row],[Producto]],Tabla6[[#All],[PRODUCTO]],0),MATCH(Tabla4[[#This Row],[Mes]],Tabla6[#Headers],0)))*(1+Catalogos!$L$2)</f>
        <v>#N/A</v>
      </c>
      <c r="N645" s="283" t="e">
        <f>+(Tabla4[[#This Row],[Precio Descontado]]-Tabla4[[#This Row],[Precio Base]])*Tabla4[[#This Row],[Cantidad]]</f>
        <v>#N/A</v>
      </c>
      <c r="O645" s="284" t="e">
        <f>++Tabla4[[#This Row],[Utilidad Total]]/Tabla4[[#This Row],[Total]]</f>
        <v>#N/A</v>
      </c>
      <c r="P645" s="282">
        <f>++Tabla4[[#This Row],[Precio Descontado]]*Tabla4[[#This Row],[Cantidad]]</f>
        <v>33951.201273599996</v>
      </c>
      <c r="Q645" s="282" t="e">
        <f>(INDEX(Tabla6[#All],MATCH(Tabla4[[#This Row],[Producto]],Tabla6[[#All],[PRODUCTO]],0),MATCH(Tabla4[[#This Row],[Mes]],Tabla6[#Headers],0)))</f>
        <v>#N/A</v>
      </c>
      <c r="R645" s="282" t="e">
        <f>++Tabla4[[#This Row],[Precio Unitario Neto]]-Tabla4[[#This Row],[20.85%]]-Tabla4[[#This Row],[Costo]]</f>
        <v>#N/A</v>
      </c>
      <c r="S645" s="282" t="e">
        <f>++Tabla4[[#This Row],[U. Bruta Uni]]*Tabla4[[#This Row],[Cantidad]]</f>
        <v>#N/A</v>
      </c>
      <c r="T645" s="369" t="str">
        <f>VLOOKUP(Tabla4[[#This Row],[Producto]],Tabla6[#All],14,FALSE)</f>
        <v>Termico Solar</v>
      </c>
      <c r="U645" s="284" t="e">
        <f>(IF(Tabla4[[#This Row],[Familia]]="termico solar",Tabla4[[#This Row],[Utilidad Total]]*6%,Tabla4[[#This Row],[Utilidad Total]]*11.5%))/Tabla4[[#This Row],[Total]]</f>
        <v>#N/A</v>
      </c>
      <c r="V645" s="282" t="e">
        <f>+Tabla4[[#This Row],[Comisión Calculada]]*Tabla4[[#This Row],[Total]]</f>
        <v>#N/A</v>
      </c>
    </row>
    <row r="646" spans="1:22" hidden="1" x14ac:dyDescent="0.25">
      <c r="A646" s="100">
        <v>45716</v>
      </c>
      <c r="B646" t="str">
        <f t="shared" si="21"/>
        <v>February</v>
      </c>
      <c r="C646" s="46" t="s">
        <v>280</v>
      </c>
      <c r="F646" s="366" t="s">
        <v>982</v>
      </c>
      <c r="G646" s="46" t="s">
        <v>18</v>
      </c>
      <c r="H646" s="46">
        <v>3</v>
      </c>
      <c r="I646" s="51">
        <v>5367.6500000000005</v>
      </c>
      <c r="J646" s="281">
        <f>++Tabla4[[#This Row],[Precio Bruto]]*1.16</f>
        <v>6226.4740000000002</v>
      </c>
      <c r="K646" s="281">
        <f>+Tabla4[[#This Row],[Precio Unitario Neto]]*Tabla4[[#Headers],[20.85%]]</f>
        <v>1298.2198289999999</v>
      </c>
      <c r="L646" s="282">
        <f>++Tabla4[[#This Row],[Precio Unitario Neto]]-Tabla4[[#This Row],[20.85%]]</f>
        <v>4928.2541710000005</v>
      </c>
      <c r="M646" s="282" t="e">
        <f>(INDEX(Tabla6[#All],MATCH(Tabla4[[#This Row],[Producto]],Tabla6[[#All],[PRODUCTO]],0),MATCH(Tabla4[[#This Row],[Mes]],Tabla6[#Headers],0)))*(1+Catalogos!$L$2)</f>
        <v>#N/A</v>
      </c>
      <c r="N646" s="283" t="e">
        <f>+(Tabla4[[#This Row],[Precio Descontado]]-Tabla4[[#This Row],[Precio Base]])*Tabla4[[#This Row],[Cantidad]]</f>
        <v>#N/A</v>
      </c>
      <c r="O646" s="284" t="e">
        <f>++Tabla4[[#This Row],[Utilidad Total]]/Tabla4[[#This Row],[Total]]</f>
        <v>#N/A</v>
      </c>
      <c r="P646" s="282">
        <f>++Tabla4[[#This Row],[Precio Descontado]]*Tabla4[[#This Row],[Cantidad]]</f>
        <v>14784.762513000001</v>
      </c>
      <c r="Q646" s="282" t="e">
        <f>(INDEX(Tabla6[#All],MATCH(Tabla4[[#This Row],[Producto]],Tabla6[[#All],[PRODUCTO]],0),MATCH(Tabla4[[#This Row],[Mes]],Tabla6[#Headers],0)))</f>
        <v>#N/A</v>
      </c>
      <c r="R646" s="282" t="e">
        <f>++Tabla4[[#This Row],[Precio Unitario Neto]]-Tabla4[[#This Row],[20.85%]]-Tabla4[[#This Row],[Costo]]</f>
        <v>#N/A</v>
      </c>
      <c r="S646" s="282" t="e">
        <f>++Tabla4[[#This Row],[U. Bruta Uni]]*Tabla4[[#This Row],[Cantidad]]</f>
        <v>#N/A</v>
      </c>
      <c r="T646" s="369" t="str">
        <f>VLOOKUP(Tabla4[[#This Row],[Producto]],Tabla6[#All],14,FALSE)</f>
        <v>Termico Solar</v>
      </c>
      <c r="U646" s="284" t="e">
        <f>(IF(Tabla4[[#This Row],[Familia]]="termico solar",Tabla4[[#This Row],[Utilidad Total]]*6%,Tabla4[[#This Row],[Utilidad Total]]*11.5%))/Tabla4[[#This Row],[Total]]</f>
        <v>#N/A</v>
      </c>
      <c r="V646" s="282" t="e">
        <f>+Tabla4[[#This Row],[Comisión Calculada]]*Tabla4[[#This Row],[Total]]</f>
        <v>#N/A</v>
      </c>
    </row>
    <row r="647" spans="1:22" hidden="1" x14ac:dyDescent="0.25">
      <c r="A647" s="100">
        <v>45716</v>
      </c>
      <c r="B647" t="str">
        <f t="shared" si="21"/>
        <v>February</v>
      </c>
      <c r="C647" s="46" t="s">
        <v>280</v>
      </c>
      <c r="F647" s="366" t="s">
        <v>982</v>
      </c>
      <c r="G647" s="46" t="s">
        <v>16</v>
      </c>
      <c r="H647" s="46">
        <v>6</v>
      </c>
      <c r="I647" s="51">
        <v>4103.8499999999995</v>
      </c>
      <c r="J647" s="281">
        <f>++Tabla4[[#This Row],[Precio Bruto]]*1.16</f>
        <v>4760.4659999999994</v>
      </c>
      <c r="K647" s="281">
        <f>+Tabla4[[#This Row],[Precio Unitario Neto]]*Tabla4[[#Headers],[20.85%]]</f>
        <v>992.55716099999984</v>
      </c>
      <c r="L647" s="282">
        <f>++Tabla4[[#This Row],[Precio Unitario Neto]]-Tabla4[[#This Row],[20.85%]]</f>
        <v>3767.9088389999997</v>
      </c>
      <c r="M647" s="282" t="e">
        <f>(INDEX(Tabla6[#All],MATCH(Tabla4[[#This Row],[Producto]],Tabla6[[#All],[PRODUCTO]],0),MATCH(Tabla4[[#This Row],[Mes]],Tabla6[#Headers],0)))*(1+Catalogos!$L$2)</f>
        <v>#N/A</v>
      </c>
      <c r="N647" s="283" t="e">
        <f>+(Tabla4[[#This Row],[Precio Descontado]]-Tabla4[[#This Row],[Precio Base]])*Tabla4[[#This Row],[Cantidad]]</f>
        <v>#N/A</v>
      </c>
      <c r="O647" s="284" t="e">
        <f>++Tabla4[[#This Row],[Utilidad Total]]/Tabla4[[#This Row],[Total]]</f>
        <v>#N/A</v>
      </c>
      <c r="P647" s="282">
        <f>++Tabla4[[#This Row],[Precio Descontado]]*Tabla4[[#This Row],[Cantidad]]</f>
        <v>22607.453033999998</v>
      </c>
      <c r="Q647" s="282" t="e">
        <f>(INDEX(Tabla6[#All],MATCH(Tabla4[[#This Row],[Producto]],Tabla6[[#All],[PRODUCTO]],0),MATCH(Tabla4[[#This Row],[Mes]],Tabla6[#Headers],0)))</f>
        <v>#N/A</v>
      </c>
      <c r="R647" s="282" t="e">
        <f>++Tabla4[[#This Row],[Precio Unitario Neto]]-Tabla4[[#This Row],[20.85%]]-Tabla4[[#This Row],[Costo]]</f>
        <v>#N/A</v>
      </c>
      <c r="S647" s="282" t="e">
        <f>++Tabla4[[#This Row],[U. Bruta Uni]]*Tabla4[[#This Row],[Cantidad]]</f>
        <v>#N/A</v>
      </c>
      <c r="T647" s="369" t="str">
        <f>VLOOKUP(Tabla4[[#This Row],[Producto]],Tabla6[#All],14,FALSE)</f>
        <v>Termico Solar</v>
      </c>
      <c r="U647" s="284" t="e">
        <f>(IF(Tabla4[[#This Row],[Familia]]="termico solar",Tabla4[[#This Row],[Utilidad Total]]*6%,Tabla4[[#This Row],[Utilidad Total]]*11.5%))/Tabla4[[#This Row],[Total]]</f>
        <v>#N/A</v>
      </c>
      <c r="V647" s="282" t="e">
        <f>+Tabla4[[#This Row],[Comisión Calculada]]*Tabla4[[#This Row],[Total]]</f>
        <v>#N/A</v>
      </c>
    </row>
    <row r="648" spans="1:22" hidden="1" x14ac:dyDescent="0.25">
      <c r="A648" s="100">
        <v>45716</v>
      </c>
      <c r="B648" t="str">
        <f t="shared" si="21"/>
        <v>February</v>
      </c>
      <c r="C648" s="46" t="s">
        <v>280</v>
      </c>
      <c r="F648" s="366" t="s">
        <v>983</v>
      </c>
      <c r="G648" s="46" t="s">
        <v>17</v>
      </c>
      <c r="H648" s="46">
        <v>7</v>
      </c>
      <c r="I648" s="51">
        <v>4622.28</v>
      </c>
      <c r="J648" s="281">
        <f>++Tabla4[[#This Row],[Precio Bruto]]*1.16</f>
        <v>5361.8447999999989</v>
      </c>
      <c r="K648" s="281">
        <f>+Tabla4[[#This Row],[Precio Unitario Neto]]*Tabla4[[#Headers],[20.85%]]</f>
        <v>1117.9446407999997</v>
      </c>
      <c r="L648" s="282">
        <f>++Tabla4[[#This Row],[Precio Unitario Neto]]-Tabla4[[#This Row],[20.85%]]</f>
        <v>4243.9001591999995</v>
      </c>
      <c r="M648" s="282" t="e">
        <f>(INDEX(Tabla6[#All],MATCH(Tabla4[[#This Row],[Producto]],Tabla6[[#All],[PRODUCTO]],0),MATCH(Tabla4[[#This Row],[Mes]],Tabla6[#Headers],0)))*(1+Catalogos!$L$2)</f>
        <v>#N/A</v>
      </c>
      <c r="N648" s="283" t="e">
        <f>+(Tabla4[[#This Row],[Precio Descontado]]-Tabla4[[#This Row],[Precio Base]])*Tabla4[[#This Row],[Cantidad]]</f>
        <v>#N/A</v>
      </c>
      <c r="O648" s="284" t="e">
        <f>++Tabla4[[#This Row],[Utilidad Total]]/Tabla4[[#This Row],[Total]]</f>
        <v>#N/A</v>
      </c>
      <c r="P648" s="282">
        <f>++Tabla4[[#This Row],[Precio Descontado]]*Tabla4[[#This Row],[Cantidad]]</f>
        <v>29707.301114399997</v>
      </c>
      <c r="Q648" s="282" t="e">
        <f>(INDEX(Tabla6[#All],MATCH(Tabla4[[#This Row],[Producto]],Tabla6[[#All],[PRODUCTO]],0),MATCH(Tabla4[[#This Row],[Mes]],Tabla6[#Headers],0)))</f>
        <v>#N/A</v>
      </c>
      <c r="R648" s="282" t="e">
        <f>++Tabla4[[#This Row],[Precio Unitario Neto]]-Tabla4[[#This Row],[20.85%]]-Tabla4[[#This Row],[Costo]]</f>
        <v>#N/A</v>
      </c>
      <c r="S648" s="282" t="e">
        <f>++Tabla4[[#This Row],[U. Bruta Uni]]*Tabla4[[#This Row],[Cantidad]]</f>
        <v>#N/A</v>
      </c>
      <c r="T648" s="369" t="str">
        <f>VLOOKUP(Tabla4[[#This Row],[Producto]],Tabla6[#All],14,FALSE)</f>
        <v>Termico Solar</v>
      </c>
      <c r="U648" s="284" t="e">
        <f>(IF(Tabla4[[#This Row],[Familia]]="termico solar",Tabla4[[#This Row],[Utilidad Total]]*6%,Tabla4[[#This Row],[Utilidad Total]]*11.5%))/Tabla4[[#This Row],[Total]]</f>
        <v>#N/A</v>
      </c>
      <c r="V648" s="282" t="e">
        <f>+Tabla4[[#This Row],[Comisión Calculada]]*Tabla4[[#This Row],[Total]]</f>
        <v>#N/A</v>
      </c>
    </row>
    <row r="649" spans="1:22" hidden="1" x14ac:dyDescent="0.25">
      <c r="A649" s="100">
        <v>45716</v>
      </c>
      <c r="B649" t="str">
        <f t="shared" si="21"/>
        <v>February</v>
      </c>
      <c r="C649" s="46" t="s">
        <v>280</v>
      </c>
      <c r="F649" s="366" t="s">
        <v>983</v>
      </c>
      <c r="G649" s="46" t="s">
        <v>18</v>
      </c>
      <c r="H649" s="46">
        <v>3</v>
      </c>
      <c r="I649" s="51">
        <v>5367.6500000000005</v>
      </c>
      <c r="J649" s="281">
        <f>++Tabla4[[#This Row],[Precio Bruto]]*1.16</f>
        <v>6226.4740000000002</v>
      </c>
      <c r="K649" s="281">
        <f>+Tabla4[[#This Row],[Precio Unitario Neto]]*Tabla4[[#Headers],[20.85%]]</f>
        <v>1298.2198289999999</v>
      </c>
      <c r="L649" s="282">
        <f>++Tabla4[[#This Row],[Precio Unitario Neto]]-Tabla4[[#This Row],[20.85%]]</f>
        <v>4928.2541710000005</v>
      </c>
      <c r="M649" s="282" t="e">
        <f>(INDEX(Tabla6[#All],MATCH(Tabla4[[#This Row],[Producto]],Tabla6[[#All],[PRODUCTO]],0),MATCH(Tabla4[[#This Row],[Mes]],Tabla6[#Headers],0)))*(1+Catalogos!$L$2)</f>
        <v>#N/A</v>
      </c>
      <c r="N649" s="283" t="e">
        <f>+(Tabla4[[#This Row],[Precio Descontado]]-Tabla4[[#This Row],[Precio Base]])*Tabla4[[#This Row],[Cantidad]]</f>
        <v>#N/A</v>
      </c>
      <c r="O649" s="284" t="e">
        <f>++Tabla4[[#This Row],[Utilidad Total]]/Tabla4[[#This Row],[Total]]</f>
        <v>#N/A</v>
      </c>
      <c r="P649" s="282">
        <f>++Tabla4[[#This Row],[Precio Descontado]]*Tabla4[[#This Row],[Cantidad]]</f>
        <v>14784.762513000001</v>
      </c>
      <c r="Q649" s="282" t="e">
        <f>(INDEX(Tabla6[#All],MATCH(Tabla4[[#This Row],[Producto]],Tabla6[[#All],[PRODUCTO]],0),MATCH(Tabla4[[#This Row],[Mes]],Tabla6[#Headers],0)))</f>
        <v>#N/A</v>
      </c>
      <c r="R649" s="282" t="e">
        <f>++Tabla4[[#This Row],[Precio Unitario Neto]]-Tabla4[[#This Row],[20.85%]]-Tabla4[[#This Row],[Costo]]</f>
        <v>#N/A</v>
      </c>
      <c r="S649" s="282" t="e">
        <f>++Tabla4[[#This Row],[U. Bruta Uni]]*Tabla4[[#This Row],[Cantidad]]</f>
        <v>#N/A</v>
      </c>
      <c r="T649" s="369" t="str">
        <f>VLOOKUP(Tabla4[[#This Row],[Producto]],Tabla6[#All],14,FALSE)</f>
        <v>Termico Solar</v>
      </c>
      <c r="U649" s="284" t="e">
        <f>(IF(Tabla4[[#This Row],[Familia]]="termico solar",Tabla4[[#This Row],[Utilidad Total]]*6%,Tabla4[[#This Row],[Utilidad Total]]*11.5%))/Tabla4[[#This Row],[Total]]</f>
        <v>#N/A</v>
      </c>
      <c r="V649" s="282" t="e">
        <f>+Tabla4[[#This Row],[Comisión Calculada]]*Tabla4[[#This Row],[Total]]</f>
        <v>#N/A</v>
      </c>
    </row>
    <row r="650" spans="1:22" hidden="1" x14ac:dyDescent="0.25">
      <c r="A650" s="100">
        <v>45716</v>
      </c>
      <c r="B650" t="str">
        <f t="shared" si="21"/>
        <v>February</v>
      </c>
      <c r="C650" s="46" t="s">
        <v>280</v>
      </c>
      <c r="F650" s="366" t="s">
        <v>983</v>
      </c>
      <c r="G650" s="46" t="s">
        <v>566</v>
      </c>
      <c r="H650" s="46">
        <v>1</v>
      </c>
      <c r="I650" s="51">
        <v>2109.4499999999998</v>
      </c>
      <c r="J650" s="281">
        <f>++Tabla4[[#This Row],[Precio Bruto]]*1.16</f>
        <v>2446.9619999999995</v>
      </c>
      <c r="K650" s="281">
        <f>+Tabla4[[#This Row],[Precio Unitario Neto]]*Tabla4[[#Headers],[20.85%]]</f>
        <v>510.19157699999988</v>
      </c>
      <c r="L650" s="282">
        <f>++Tabla4[[#This Row],[Precio Unitario Neto]]-Tabla4[[#This Row],[20.85%]]</f>
        <v>1936.7704229999997</v>
      </c>
      <c r="M650" s="282" t="e">
        <f>(INDEX(Tabla6[#All],MATCH(Tabla4[[#This Row],[Producto]],Tabla6[[#All],[PRODUCTO]],0),MATCH(Tabla4[[#This Row],[Mes]],Tabla6[#Headers],0)))*(1+Catalogos!$L$2)</f>
        <v>#N/A</v>
      </c>
      <c r="N650" s="283" t="e">
        <f>+(Tabla4[[#This Row],[Precio Descontado]]-Tabla4[[#This Row],[Precio Base]])*Tabla4[[#This Row],[Cantidad]]</f>
        <v>#N/A</v>
      </c>
      <c r="O650" s="284" t="e">
        <f>++Tabla4[[#This Row],[Utilidad Total]]/Tabla4[[#This Row],[Total]]</f>
        <v>#N/A</v>
      </c>
      <c r="P650" s="282">
        <f>++Tabla4[[#This Row],[Precio Descontado]]*Tabla4[[#This Row],[Cantidad]]</f>
        <v>1936.7704229999997</v>
      </c>
      <c r="Q650" s="282" t="e">
        <f>(INDEX(Tabla6[#All],MATCH(Tabla4[[#This Row],[Producto]],Tabla6[[#All],[PRODUCTO]],0),MATCH(Tabla4[[#This Row],[Mes]],Tabla6[#Headers],0)))</f>
        <v>#N/A</v>
      </c>
      <c r="R650" s="282" t="e">
        <f>++Tabla4[[#This Row],[Precio Unitario Neto]]-Tabla4[[#This Row],[20.85%]]-Tabla4[[#This Row],[Costo]]</f>
        <v>#N/A</v>
      </c>
      <c r="S650" s="282" t="e">
        <f>++Tabla4[[#This Row],[U. Bruta Uni]]*Tabla4[[#This Row],[Cantidad]]</f>
        <v>#N/A</v>
      </c>
      <c r="T650" s="369" t="str">
        <f>VLOOKUP(Tabla4[[#This Row],[Producto]],Tabla6[#All],14,FALSE)</f>
        <v>Termico Solar</v>
      </c>
      <c r="U650" s="284" t="e">
        <f>(IF(Tabla4[[#This Row],[Familia]]="termico solar",Tabla4[[#This Row],[Utilidad Total]]*6%,Tabla4[[#This Row],[Utilidad Total]]*11.5%))/Tabla4[[#This Row],[Total]]</f>
        <v>#N/A</v>
      </c>
      <c r="V650" s="282" t="e">
        <f>+Tabla4[[#This Row],[Comisión Calculada]]*Tabla4[[#This Row],[Total]]</f>
        <v>#N/A</v>
      </c>
    </row>
    <row r="651" spans="1:22" hidden="1" x14ac:dyDescent="0.25">
      <c r="A651" s="100">
        <v>45716</v>
      </c>
      <c r="B651" t="str">
        <f t="shared" si="21"/>
        <v>February</v>
      </c>
      <c r="C651" s="46" t="s">
        <v>280</v>
      </c>
      <c r="F651" s="366" t="s">
        <v>983</v>
      </c>
      <c r="G651" s="46" t="s">
        <v>16</v>
      </c>
      <c r="H651" s="46">
        <v>2</v>
      </c>
      <c r="I651" s="51">
        <v>4103.8500000000004</v>
      </c>
      <c r="J651" s="281">
        <f>++Tabla4[[#This Row],[Precio Bruto]]*1.16</f>
        <v>4760.4660000000003</v>
      </c>
      <c r="K651" s="281">
        <f>+Tabla4[[#This Row],[Precio Unitario Neto]]*Tabla4[[#Headers],[20.85%]]</f>
        <v>992.55716100000006</v>
      </c>
      <c r="L651" s="282">
        <f>++Tabla4[[#This Row],[Precio Unitario Neto]]-Tabla4[[#This Row],[20.85%]]</f>
        <v>3767.9088390000002</v>
      </c>
      <c r="M651" s="282" t="e">
        <f>(INDEX(Tabla6[#All],MATCH(Tabla4[[#This Row],[Producto]],Tabla6[[#All],[PRODUCTO]],0),MATCH(Tabla4[[#This Row],[Mes]],Tabla6[#Headers],0)))*(1+Catalogos!$L$2)</f>
        <v>#N/A</v>
      </c>
      <c r="N651" s="283" t="e">
        <f>+(Tabla4[[#This Row],[Precio Descontado]]-Tabla4[[#This Row],[Precio Base]])*Tabla4[[#This Row],[Cantidad]]</f>
        <v>#N/A</v>
      </c>
      <c r="O651" s="284" t="e">
        <f>++Tabla4[[#This Row],[Utilidad Total]]/Tabla4[[#This Row],[Total]]</f>
        <v>#N/A</v>
      </c>
      <c r="P651" s="282">
        <f>++Tabla4[[#This Row],[Precio Descontado]]*Tabla4[[#This Row],[Cantidad]]</f>
        <v>7535.8176780000003</v>
      </c>
      <c r="Q651" s="282" t="e">
        <f>(INDEX(Tabla6[#All],MATCH(Tabla4[[#This Row],[Producto]],Tabla6[[#All],[PRODUCTO]],0),MATCH(Tabla4[[#This Row],[Mes]],Tabla6[#Headers],0)))</f>
        <v>#N/A</v>
      </c>
      <c r="R651" s="282" t="e">
        <f>++Tabla4[[#This Row],[Precio Unitario Neto]]-Tabla4[[#This Row],[20.85%]]-Tabla4[[#This Row],[Costo]]</f>
        <v>#N/A</v>
      </c>
      <c r="S651" s="282" t="e">
        <f>++Tabla4[[#This Row],[U. Bruta Uni]]*Tabla4[[#This Row],[Cantidad]]</f>
        <v>#N/A</v>
      </c>
      <c r="T651" s="369" t="str">
        <f>VLOOKUP(Tabla4[[#This Row],[Producto]],Tabla6[#All],14,FALSE)</f>
        <v>Termico Solar</v>
      </c>
      <c r="U651" s="284" t="e">
        <f>(IF(Tabla4[[#This Row],[Familia]]="termico solar",Tabla4[[#This Row],[Utilidad Total]]*6%,Tabla4[[#This Row],[Utilidad Total]]*11.5%))/Tabla4[[#This Row],[Total]]</f>
        <v>#N/A</v>
      </c>
      <c r="V651" s="282" t="e">
        <f>+Tabla4[[#This Row],[Comisión Calculada]]*Tabla4[[#This Row],[Total]]</f>
        <v>#N/A</v>
      </c>
    </row>
    <row r="652" spans="1:22" hidden="1" x14ac:dyDescent="0.25">
      <c r="A652" s="100">
        <v>45716</v>
      </c>
      <c r="B652" t="str">
        <f t="shared" si="21"/>
        <v>February</v>
      </c>
      <c r="C652" s="46" t="s">
        <v>280</v>
      </c>
      <c r="F652" s="366" t="s">
        <v>983</v>
      </c>
      <c r="G652" s="46" t="s">
        <v>394</v>
      </c>
      <c r="H652" s="46">
        <v>16</v>
      </c>
      <c r="I652" s="51">
        <v>224.29</v>
      </c>
      <c r="J652" s="281">
        <f>++Tabla4[[#This Row],[Precio Bruto]]*1.16</f>
        <v>260.1764</v>
      </c>
      <c r="K652" s="281">
        <f>+Tabla4[[#This Row],[Precio Unitario Neto]]*Tabla4[[#Headers],[20.85%]]</f>
        <v>54.246779400000001</v>
      </c>
      <c r="L652" s="282">
        <f>++Tabla4[[#This Row],[Precio Unitario Neto]]-Tabla4[[#This Row],[20.85%]]</f>
        <v>205.92962059999999</v>
      </c>
      <c r="M652" s="282" t="e">
        <f>(INDEX(Tabla6[#All],MATCH(Tabla4[[#This Row],[Producto]],Tabla6[[#All],[PRODUCTO]],0),MATCH(Tabla4[[#This Row],[Mes]],Tabla6[#Headers],0)))*(1+Catalogos!$L$2)</f>
        <v>#N/A</v>
      </c>
      <c r="N652" s="283" t="e">
        <f>+(Tabla4[[#This Row],[Precio Descontado]]-Tabla4[[#This Row],[Precio Base]])*Tabla4[[#This Row],[Cantidad]]</f>
        <v>#N/A</v>
      </c>
      <c r="O652" s="284" t="e">
        <f>++Tabla4[[#This Row],[Utilidad Total]]/Tabla4[[#This Row],[Total]]</f>
        <v>#N/A</v>
      </c>
      <c r="P652" s="282">
        <f>++Tabla4[[#This Row],[Precio Descontado]]*Tabla4[[#This Row],[Cantidad]]</f>
        <v>3294.8739295999999</v>
      </c>
      <c r="Q652" s="282" t="e">
        <f>(INDEX(Tabla6[#All],MATCH(Tabla4[[#This Row],[Producto]],Tabla6[[#All],[PRODUCTO]],0),MATCH(Tabla4[[#This Row],[Mes]],Tabla6[#Headers],0)))</f>
        <v>#N/A</v>
      </c>
      <c r="R652" s="282" t="e">
        <f>++Tabla4[[#This Row],[Precio Unitario Neto]]-Tabla4[[#This Row],[20.85%]]-Tabla4[[#This Row],[Costo]]</f>
        <v>#N/A</v>
      </c>
      <c r="S652" s="282" t="e">
        <f>++Tabla4[[#This Row],[U. Bruta Uni]]*Tabla4[[#This Row],[Cantidad]]</f>
        <v>#N/A</v>
      </c>
      <c r="T652" s="369" t="str">
        <f>VLOOKUP(Tabla4[[#This Row],[Producto]],Tabla6[#All],14,FALSE)</f>
        <v>Termico Solar</v>
      </c>
      <c r="U652" s="284" t="e">
        <f>(IF(Tabla4[[#This Row],[Familia]]="termico solar",Tabla4[[#This Row],[Utilidad Total]]*6%,Tabla4[[#This Row],[Utilidad Total]]*11.5%))/Tabla4[[#This Row],[Total]]</f>
        <v>#N/A</v>
      </c>
      <c r="V652" s="282" t="e">
        <f>+Tabla4[[#This Row],[Comisión Calculada]]*Tabla4[[#This Row],[Total]]</f>
        <v>#N/A</v>
      </c>
    </row>
    <row r="653" spans="1:22" hidden="1" x14ac:dyDescent="0.25">
      <c r="A653" s="100">
        <v>45716</v>
      </c>
      <c r="B653" t="str">
        <f t="shared" si="21"/>
        <v>February</v>
      </c>
      <c r="C653" s="46" t="s">
        <v>280</v>
      </c>
      <c r="F653" s="366" t="s">
        <v>984</v>
      </c>
      <c r="G653" s="46" t="s">
        <v>17</v>
      </c>
      <c r="H653" s="46">
        <v>1</v>
      </c>
      <c r="I653" s="51">
        <v>4622.28</v>
      </c>
      <c r="J653" s="281">
        <f>++Tabla4[[#This Row],[Precio Bruto]]*1.16</f>
        <v>5361.8447999999989</v>
      </c>
      <c r="K653" s="281">
        <f>+Tabla4[[#This Row],[Precio Unitario Neto]]*Tabla4[[#Headers],[20.85%]]</f>
        <v>1117.9446407999997</v>
      </c>
      <c r="L653" s="282">
        <f>++Tabla4[[#This Row],[Precio Unitario Neto]]-Tabla4[[#This Row],[20.85%]]</f>
        <v>4243.9001591999995</v>
      </c>
      <c r="M653" s="282" t="e">
        <f>(INDEX(Tabla6[#All],MATCH(Tabla4[[#This Row],[Producto]],Tabla6[[#All],[PRODUCTO]],0),MATCH(Tabla4[[#This Row],[Mes]],Tabla6[#Headers],0)))*(1+Catalogos!$L$2)</f>
        <v>#N/A</v>
      </c>
      <c r="N653" s="283" t="e">
        <f>+(Tabla4[[#This Row],[Precio Descontado]]-Tabla4[[#This Row],[Precio Base]])*Tabla4[[#This Row],[Cantidad]]</f>
        <v>#N/A</v>
      </c>
      <c r="O653" s="284" t="e">
        <f>++Tabla4[[#This Row],[Utilidad Total]]/Tabla4[[#This Row],[Total]]</f>
        <v>#N/A</v>
      </c>
      <c r="P653" s="282">
        <f>++Tabla4[[#This Row],[Precio Descontado]]*Tabla4[[#This Row],[Cantidad]]</f>
        <v>4243.9001591999995</v>
      </c>
      <c r="Q653" s="282" t="e">
        <f>(INDEX(Tabla6[#All],MATCH(Tabla4[[#This Row],[Producto]],Tabla6[[#All],[PRODUCTO]],0),MATCH(Tabla4[[#This Row],[Mes]],Tabla6[#Headers],0)))</f>
        <v>#N/A</v>
      </c>
      <c r="R653" s="282" t="e">
        <f>++Tabla4[[#This Row],[Precio Unitario Neto]]-Tabla4[[#This Row],[20.85%]]-Tabla4[[#This Row],[Costo]]</f>
        <v>#N/A</v>
      </c>
      <c r="S653" s="282" t="e">
        <f>++Tabla4[[#This Row],[U. Bruta Uni]]*Tabla4[[#This Row],[Cantidad]]</f>
        <v>#N/A</v>
      </c>
      <c r="T653" s="369" t="str">
        <f>VLOOKUP(Tabla4[[#This Row],[Producto]],Tabla6[#All],14,FALSE)</f>
        <v>Termico Solar</v>
      </c>
      <c r="U653" s="284" t="e">
        <f>(IF(Tabla4[[#This Row],[Familia]]="termico solar",Tabla4[[#This Row],[Utilidad Total]]*6%,Tabla4[[#This Row],[Utilidad Total]]*11.5%))/Tabla4[[#This Row],[Total]]</f>
        <v>#N/A</v>
      </c>
      <c r="V653" s="282" t="e">
        <f>+Tabla4[[#This Row],[Comisión Calculada]]*Tabla4[[#This Row],[Total]]</f>
        <v>#N/A</v>
      </c>
    </row>
    <row r="654" spans="1:22" hidden="1" x14ac:dyDescent="0.25">
      <c r="A654" s="100">
        <v>45716</v>
      </c>
      <c r="B654" t="str">
        <f t="shared" si="21"/>
        <v>February</v>
      </c>
      <c r="C654" s="46" t="s">
        <v>280</v>
      </c>
      <c r="F654" s="366" t="s">
        <v>985</v>
      </c>
      <c r="G654" s="46" t="s">
        <v>83</v>
      </c>
      <c r="H654" s="46">
        <v>4</v>
      </c>
      <c r="I654" s="51">
        <v>8858.76</v>
      </c>
      <c r="J654" s="281">
        <f>++Tabla4[[#This Row],[Precio Bruto]]*1.16</f>
        <v>10276.161599999999</v>
      </c>
      <c r="K654" s="281">
        <f>+Tabla4[[#This Row],[Precio Unitario Neto]]*Tabla4[[#Headers],[20.85%]]</f>
        <v>2142.5796935999997</v>
      </c>
      <c r="L654" s="282">
        <f>++Tabla4[[#This Row],[Precio Unitario Neto]]-Tabla4[[#This Row],[20.85%]]</f>
        <v>8133.5819063999998</v>
      </c>
      <c r="M654" s="282" t="e">
        <f>(INDEX(Tabla6[#All],MATCH(Tabla4[[#This Row],[Producto]],Tabla6[[#All],[PRODUCTO]],0),MATCH(Tabla4[[#This Row],[Mes]],Tabla6[#Headers],0)))*(1+Catalogos!$L$2)</f>
        <v>#N/A</v>
      </c>
      <c r="N654" s="283" t="e">
        <f>+(Tabla4[[#This Row],[Precio Descontado]]-Tabla4[[#This Row],[Precio Base]])*Tabla4[[#This Row],[Cantidad]]</f>
        <v>#N/A</v>
      </c>
      <c r="O654" s="284" t="e">
        <f>++Tabla4[[#This Row],[Utilidad Total]]/Tabla4[[#This Row],[Total]]</f>
        <v>#N/A</v>
      </c>
      <c r="P654" s="282">
        <f>++Tabla4[[#This Row],[Precio Descontado]]*Tabla4[[#This Row],[Cantidad]]</f>
        <v>32534.327625599999</v>
      </c>
      <c r="Q654" s="282" t="e">
        <f>(INDEX(Tabla6[#All],MATCH(Tabla4[[#This Row],[Producto]],Tabla6[[#All],[PRODUCTO]],0),MATCH(Tabla4[[#This Row],[Mes]],Tabla6[#Headers],0)))</f>
        <v>#N/A</v>
      </c>
      <c r="R654" s="282" t="e">
        <f>++Tabla4[[#This Row],[Precio Unitario Neto]]-Tabla4[[#This Row],[20.85%]]-Tabla4[[#This Row],[Costo]]</f>
        <v>#N/A</v>
      </c>
      <c r="S654" s="282" t="e">
        <f>++Tabla4[[#This Row],[U. Bruta Uni]]*Tabla4[[#This Row],[Cantidad]]</f>
        <v>#N/A</v>
      </c>
      <c r="T654" s="369" t="str">
        <f>VLOOKUP(Tabla4[[#This Row],[Producto]],Tabla6[#All],14,FALSE)</f>
        <v>Termico Solar</v>
      </c>
      <c r="U654" s="284" t="e">
        <f>(IF(Tabla4[[#This Row],[Familia]]="termico solar",Tabla4[[#This Row],[Utilidad Total]]*6%,Tabla4[[#This Row],[Utilidad Total]]*11.5%))/Tabla4[[#This Row],[Total]]</f>
        <v>#N/A</v>
      </c>
      <c r="V654" s="282" t="e">
        <f>+Tabla4[[#This Row],[Comisión Calculada]]*Tabla4[[#This Row],[Total]]</f>
        <v>#N/A</v>
      </c>
    </row>
    <row r="655" spans="1:22" hidden="1" x14ac:dyDescent="0.25">
      <c r="A655" s="100">
        <v>45716</v>
      </c>
      <c r="B655" t="str">
        <f t="shared" si="21"/>
        <v>February</v>
      </c>
      <c r="C655" s="46" t="s">
        <v>280</v>
      </c>
      <c r="F655" s="366" t="s">
        <v>985</v>
      </c>
      <c r="G655" s="46" t="s">
        <v>17</v>
      </c>
      <c r="H655" s="46">
        <v>8</v>
      </c>
      <c r="I655" s="51">
        <v>4622.28</v>
      </c>
      <c r="J655" s="281">
        <f>++Tabla4[[#This Row],[Precio Bruto]]*1.16</f>
        <v>5361.8447999999989</v>
      </c>
      <c r="K655" s="281">
        <f>+Tabla4[[#This Row],[Precio Unitario Neto]]*Tabla4[[#Headers],[20.85%]]</f>
        <v>1117.9446407999997</v>
      </c>
      <c r="L655" s="282">
        <f>++Tabla4[[#This Row],[Precio Unitario Neto]]-Tabla4[[#This Row],[20.85%]]</f>
        <v>4243.9001591999995</v>
      </c>
      <c r="M655" s="282" t="e">
        <f>(INDEX(Tabla6[#All],MATCH(Tabla4[[#This Row],[Producto]],Tabla6[[#All],[PRODUCTO]],0),MATCH(Tabla4[[#This Row],[Mes]],Tabla6[#Headers],0)))*(1+Catalogos!$L$2)</f>
        <v>#N/A</v>
      </c>
      <c r="N655" s="283" t="e">
        <f>+(Tabla4[[#This Row],[Precio Descontado]]-Tabla4[[#This Row],[Precio Base]])*Tabla4[[#This Row],[Cantidad]]</f>
        <v>#N/A</v>
      </c>
      <c r="O655" s="284" t="e">
        <f>++Tabla4[[#This Row],[Utilidad Total]]/Tabla4[[#This Row],[Total]]</f>
        <v>#N/A</v>
      </c>
      <c r="P655" s="282">
        <f>++Tabla4[[#This Row],[Precio Descontado]]*Tabla4[[#This Row],[Cantidad]]</f>
        <v>33951.201273599996</v>
      </c>
      <c r="Q655" s="282" t="e">
        <f>(INDEX(Tabla6[#All],MATCH(Tabla4[[#This Row],[Producto]],Tabla6[[#All],[PRODUCTO]],0),MATCH(Tabla4[[#This Row],[Mes]],Tabla6[#Headers],0)))</f>
        <v>#N/A</v>
      </c>
      <c r="R655" s="282" t="e">
        <f>++Tabla4[[#This Row],[Precio Unitario Neto]]-Tabla4[[#This Row],[20.85%]]-Tabla4[[#This Row],[Costo]]</f>
        <v>#N/A</v>
      </c>
      <c r="S655" s="282" t="e">
        <f>++Tabla4[[#This Row],[U. Bruta Uni]]*Tabla4[[#This Row],[Cantidad]]</f>
        <v>#N/A</v>
      </c>
      <c r="T655" s="369" t="str">
        <f>VLOOKUP(Tabla4[[#This Row],[Producto]],Tabla6[#All],14,FALSE)</f>
        <v>Termico Solar</v>
      </c>
      <c r="U655" s="284" t="e">
        <f>(IF(Tabla4[[#This Row],[Familia]]="termico solar",Tabla4[[#This Row],[Utilidad Total]]*6%,Tabla4[[#This Row],[Utilidad Total]]*11.5%))/Tabla4[[#This Row],[Total]]</f>
        <v>#N/A</v>
      </c>
      <c r="V655" s="282" t="e">
        <f>+Tabla4[[#This Row],[Comisión Calculada]]*Tabla4[[#This Row],[Total]]</f>
        <v>#N/A</v>
      </c>
    </row>
    <row r="656" spans="1:22" hidden="1" x14ac:dyDescent="0.25">
      <c r="A656" s="100">
        <v>45716</v>
      </c>
      <c r="B656" t="str">
        <f t="shared" si="21"/>
        <v>February</v>
      </c>
      <c r="C656" s="46" t="s">
        <v>280</v>
      </c>
      <c r="F656" s="366" t="s">
        <v>985</v>
      </c>
      <c r="G656" s="46" t="s">
        <v>18</v>
      </c>
      <c r="H656" s="46">
        <v>4</v>
      </c>
      <c r="I656" s="51">
        <v>5367.65</v>
      </c>
      <c r="J656" s="281">
        <f>++Tabla4[[#This Row],[Precio Bruto]]*1.16</f>
        <v>6226.4739999999993</v>
      </c>
      <c r="K656" s="281">
        <f>+Tabla4[[#This Row],[Precio Unitario Neto]]*Tabla4[[#Headers],[20.85%]]</f>
        <v>1298.2198289999999</v>
      </c>
      <c r="L656" s="282">
        <f>++Tabla4[[#This Row],[Precio Unitario Neto]]-Tabla4[[#This Row],[20.85%]]</f>
        <v>4928.2541709999996</v>
      </c>
      <c r="M656" s="282" t="e">
        <f>(INDEX(Tabla6[#All],MATCH(Tabla4[[#This Row],[Producto]],Tabla6[[#All],[PRODUCTO]],0),MATCH(Tabla4[[#This Row],[Mes]],Tabla6[#Headers],0)))*(1+Catalogos!$L$2)</f>
        <v>#N/A</v>
      </c>
      <c r="N656" s="283" t="e">
        <f>+(Tabla4[[#This Row],[Precio Descontado]]-Tabla4[[#This Row],[Precio Base]])*Tabla4[[#This Row],[Cantidad]]</f>
        <v>#N/A</v>
      </c>
      <c r="O656" s="284" t="e">
        <f>++Tabla4[[#This Row],[Utilidad Total]]/Tabla4[[#This Row],[Total]]</f>
        <v>#N/A</v>
      </c>
      <c r="P656" s="282">
        <f>++Tabla4[[#This Row],[Precio Descontado]]*Tabla4[[#This Row],[Cantidad]]</f>
        <v>19713.016683999998</v>
      </c>
      <c r="Q656" s="282" t="e">
        <f>(INDEX(Tabla6[#All],MATCH(Tabla4[[#This Row],[Producto]],Tabla6[[#All],[PRODUCTO]],0),MATCH(Tabla4[[#This Row],[Mes]],Tabla6[#Headers],0)))</f>
        <v>#N/A</v>
      </c>
      <c r="R656" s="282" t="e">
        <f>++Tabla4[[#This Row],[Precio Unitario Neto]]-Tabla4[[#This Row],[20.85%]]-Tabla4[[#This Row],[Costo]]</f>
        <v>#N/A</v>
      </c>
      <c r="S656" s="282" t="e">
        <f>++Tabla4[[#This Row],[U. Bruta Uni]]*Tabla4[[#This Row],[Cantidad]]</f>
        <v>#N/A</v>
      </c>
      <c r="T656" s="369" t="str">
        <f>VLOOKUP(Tabla4[[#This Row],[Producto]],Tabla6[#All],14,FALSE)</f>
        <v>Termico Solar</v>
      </c>
      <c r="U656" s="284" t="e">
        <f>(IF(Tabla4[[#This Row],[Familia]]="termico solar",Tabla4[[#This Row],[Utilidad Total]]*6%,Tabla4[[#This Row],[Utilidad Total]]*11.5%))/Tabla4[[#This Row],[Total]]</f>
        <v>#N/A</v>
      </c>
      <c r="V656" s="282" t="e">
        <f>+Tabla4[[#This Row],[Comisión Calculada]]*Tabla4[[#This Row],[Total]]</f>
        <v>#N/A</v>
      </c>
    </row>
    <row r="657" spans="1:22" hidden="1" x14ac:dyDescent="0.25">
      <c r="A657" s="100">
        <v>45716</v>
      </c>
      <c r="B657" t="str">
        <f t="shared" si="21"/>
        <v>February</v>
      </c>
      <c r="C657" s="46" t="s">
        <v>280</v>
      </c>
      <c r="F657" s="366" t="s">
        <v>985</v>
      </c>
      <c r="G657" s="46" t="s">
        <v>566</v>
      </c>
      <c r="H657" s="46">
        <v>2</v>
      </c>
      <c r="I657" s="51">
        <v>2109.4499999999998</v>
      </c>
      <c r="J657" s="281">
        <f>++Tabla4[[#This Row],[Precio Bruto]]*1.16</f>
        <v>2446.9619999999995</v>
      </c>
      <c r="K657" s="281">
        <f>+Tabla4[[#This Row],[Precio Unitario Neto]]*Tabla4[[#Headers],[20.85%]]</f>
        <v>510.19157699999988</v>
      </c>
      <c r="L657" s="282">
        <f>++Tabla4[[#This Row],[Precio Unitario Neto]]-Tabla4[[#This Row],[20.85%]]</f>
        <v>1936.7704229999997</v>
      </c>
      <c r="M657" s="282" t="e">
        <f>(INDEX(Tabla6[#All],MATCH(Tabla4[[#This Row],[Producto]],Tabla6[[#All],[PRODUCTO]],0),MATCH(Tabla4[[#This Row],[Mes]],Tabla6[#Headers],0)))*(1+Catalogos!$L$2)</f>
        <v>#N/A</v>
      </c>
      <c r="N657" s="283" t="e">
        <f>+(Tabla4[[#This Row],[Precio Descontado]]-Tabla4[[#This Row],[Precio Base]])*Tabla4[[#This Row],[Cantidad]]</f>
        <v>#N/A</v>
      </c>
      <c r="O657" s="284" t="e">
        <f>++Tabla4[[#This Row],[Utilidad Total]]/Tabla4[[#This Row],[Total]]</f>
        <v>#N/A</v>
      </c>
      <c r="P657" s="282">
        <f>++Tabla4[[#This Row],[Precio Descontado]]*Tabla4[[#This Row],[Cantidad]]</f>
        <v>3873.5408459999994</v>
      </c>
      <c r="Q657" s="282" t="e">
        <f>(INDEX(Tabla6[#All],MATCH(Tabla4[[#This Row],[Producto]],Tabla6[[#All],[PRODUCTO]],0),MATCH(Tabla4[[#This Row],[Mes]],Tabla6[#Headers],0)))</f>
        <v>#N/A</v>
      </c>
      <c r="R657" s="282" t="e">
        <f>++Tabla4[[#This Row],[Precio Unitario Neto]]-Tabla4[[#This Row],[20.85%]]-Tabla4[[#This Row],[Costo]]</f>
        <v>#N/A</v>
      </c>
      <c r="S657" s="282" t="e">
        <f>++Tabla4[[#This Row],[U. Bruta Uni]]*Tabla4[[#This Row],[Cantidad]]</f>
        <v>#N/A</v>
      </c>
      <c r="T657" s="369" t="str">
        <f>VLOOKUP(Tabla4[[#This Row],[Producto]],Tabla6[#All],14,FALSE)</f>
        <v>Termico Solar</v>
      </c>
      <c r="U657" s="284" t="e">
        <f>(IF(Tabla4[[#This Row],[Familia]]="termico solar",Tabla4[[#This Row],[Utilidad Total]]*6%,Tabla4[[#This Row],[Utilidad Total]]*11.5%))/Tabla4[[#This Row],[Total]]</f>
        <v>#N/A</v>
      </c>
      <c r="V657" s="282" t="e">
        <f>+Tabla4[[#This Row],[Comisión Calculada]]*Tabla4[[#This Row],[Total]]</f>
        <v>#N/A</v>
      </c>
    </row>
    <row r="658" spans="1:22" hidden="1" x14ac:dyDescent="0.25">
      <c r="A658" s="100">
        <v>45716</v>
      </c>
      <c r="B658" t="str">
        <f t="shared" si="21"/>
        <v>February</v>
      </c>
      <c r="C658" s="46" t="s">
        <v>280</v>
      </c>
      <c r="F658" s="366" t="s">
        <v>985</v>
      </c>
      <c r="G658" s="46" t="s">
        <v>16</v>
      </c>
      <c r="H658" s="46">
        <v>2</v>
      </c>
      <c r="I658" s="51">
        <v>4103.8500000000004</v>
      </c>
      <c r="J658" s="281">
        <f>++Tabla4[[#This Row],[Precio Bruto]]*1.16</f>
        <v>4760.4660000000003</v>
      </c>
      <c r="K658" s="281">
        <f>+Tabla4[[#This Row],[Precio Unitario Neto]]*Tabla4[[#Headers],[20.85%]]</f>
        <v>992.55716100000006</v>
      </c>
      <c r="L658" s="282">
        <f>++Tabla4[[#This Row],[Precio Unitario Neto]]-Tabla4[[#This Row],[20.85%]]</f>
        <v>3767.9088390000002</v>
      </c>
      <c r="M658" s="282" t="e">
        <f>(INDEX(Tabla6[#All],MATCH(Tabla4[[#This Row],[Producto]],Tabla6[[#All],[PRODUCTO]],0),MATCH(Tabla4[[#This Row],[Mes]],Tabla6[#Headers],0)))*(1+Catalogos!$L$2)</f>
        <v>#N/A</v>
      </c>
      <c r="N658" s="283" t="e">
        <f>+(Tabla4[[#This Row],[Precio Descontado]]-Tabla4[[#This Row],[Precio Base]])*Tabla4[[#This Row],[Cantidad]]</f>
        <v>#N/A</v>
      </c>
      <c r="O658" s="284" t="e">
        <f>++Tabla4[[#This Row],[Utilidad Total]]/Tabla4[[#This Row],[Total]]</f>
        <v>#N/A</v>
      </c>
      <c r="P658" s="282">
        <f>++Tabla4[[#This Row],[Precio Descontado]]*Tabla4[[#This Row],[Cantidad]]</f>
        <v>7535.8176780000003</v>
      </c>
      <c r="Q658" s="282" t="e">
        <f>(INDEX(Tabla6[#All],MATCH(Tabla4[[#This Row],[Producto]],Tabla6[[#All],[PRODUCTO]],0),MATCH(Tabla4[[#This Row],[Mes]],Tabla6[#Headers],0)))</f>
        <v>#N/A</v>
      </c>
      <c r="R658" s="282" t="e">
        <f>++Tabla4[[#This Row],[Precio Unitario Neto]]-Tabla4[[#This Row],[20.85%]]-Tabla4[[#This Row],[Costo]]</f>
        <v>#N/A</v>
      </c>
      <c r="S658" s="282" t="e">
        <f>++Tabla4[[#This Row],[U. Bruta Uni]]*Tabla4[[#This Row],[Cantidad]]</f>
        <v>#N/A</v>
      </c>
      <c r="T658" s="369" t="str">
        <f>VLOOKUP(Tabla4[[#This Row],[Producto]],Tabla6[#All],14,FALSE)</f>
        <v>Termico Solar</v>
      </c>
      <c r="U658" s="284" t="e">
        <f>(IF(Tabla4[[#This Row],[Familia]]="termico solar",Tabla4[[#This Row],[Utilidad Total]]*6%,Tabla4[[#This Row],[Utilidad Total]]*11.5%))/Tabla4[[#This Row],[Total]]</f>
        <v>#N/A</v>
      </c>
      <c r="V658" s="282" t="e">
        <f>+Tabla4[[#This Row],[Comisión Calculada]]*Tabla4[[#This Row],[Total]]</f>
        <v>#N/A</v>
      </c>
    </row>
    <row r="659" spans="1:22" hidden="1" x14ac:dyDescent="0.25">
      <c r="A659" s="100">
        <v>45716</v>
      </c>
      <c r="B659" t="str">
        <f t="shared" ref="B659:B664" si="22">TEXT(A659, "mmmm")</f>
        <v>February</v>
      </c>
      <c r="C659" s="46" t="s">
        <v>280</v>
      </c>
      <c r="F659" s="366" t="s">
        <v>986</v>
      </c>
      <c r="G659" s="46" t="s">
        <v>83</v>
      </c>
      <c r="H659" s="46">
        <v>1</v>
      </c>
      <c r="I659" s="51">
        <v>8858.76</v>
      </c>
      <c r="J659" s="281">
        <f>++Tabla4[[#This Row],[Precio Bruto]]*1.16</f>
        <v>10276.161599999999</v>
      </c>
      <c r="K659" s="281">
        <f>+Tabla4[[#This Row],[Precio Unitario Neto]]*Tabla4[[#Headers],[20.85%]]</f>
        <v>2142.5796935999997</v>
      </c>
      <c r="L659" s="282">
        <f>++Tabla4[[#This Row],[Precio Unitario Neto]]-Tabla4[[#This Row],[20.85%]]</f>
        <v>8133.5819063999998</v>
      </c>
      <c r="M659" s="282" t="e">
        <f>(INDEX(Tabla6[#All],MATCH(Tabla4[[#This Row],[Producto]],Tabla6[[#All],[PRODUCTO]],0),MATCH(Tabla4[[#This Row],[Mes]],Tabla6[#Headers],0)))*(1+Catalogos!$L$2)</f>
        <v>#N/A</v>
      </c>
      <c r="N659" s="283" t="e">
        <f>+(Tabla4[[#This Row],[Precio Descontado]]-Tabla4[[#This Row],[Precio Base]])*Tabla4[[#This Row],[Cantidad]]</f>
        <v>#N/A</v>
      </c>
      <c r="O659" s="284" t="e">
        <f>++Tabla4[[#This Row],[Utilidad Total]]/Tabla4[[#This Row],[Total]]</f>
        <v>#N/A</v>
      </c>
      <c r="P659" s="282">
        <f>++Tabla4[[#This Row],[Precio Descontado]]*Tabla4[[#This Row],[Cantidad]]</f>
        <v>8133.5819063999998</v>
      </c>
      <c r="Q659" s="282" t="e">
        <f>(INDEX(Tabla6[#All],MATCH(Tabla4[[#This Row],[Producto]],Tabla6[[#All],[PRODUCTO]],0),MATCH(Tabla4[[#This Row],[Mes]],Tabla6[#Headers],0)))</f>
        <v>#N/A</v>
      </c>
      <c r="R659" s="282" t="e">
        <f>++Tabla4[[#This Row],[Precio Unitario Neto]]-Tabla4[[#This Row],[20.85%]]-Tabla4[[#This Row],[Costo]]</f>
        <v>#N/A</v>
      </c>
      <c r="S659" s="282" t="e">
        <f>++Tabla4[[#This Row],[U. Bruta Uni]]*Tabla4[[#This Row],[Cantidad]]</f>
        <v>#N/A</v>
      </c>
      <c r="T659" s="369" t="str">
        <f>VLOOKUP(Tabla4[[#This Row],[Producto]],Tabla6[#All],14,FALSE)</f>
        <v>Termico Solar</v>
      </c>
      <c r="U659" s="284" t="e">
        <f>(IF(Tabla4[[#This Row],[Familia]]="termico solar",Tabla4[[#This Row],[Utilidad Total]]*6%,Tabla4[[#This Row],[Utilidad Total]]*11.5%))/Tabla4[[#This Row],[Total]]</f>
        <v>#N/A</v>
      </c>
      <c r="V659" s="282" t="e">
        <f>+Tabla4[[#This Row],[Comisión Calculada]]*Tabla4[[#This Row],[Total]]</f>
        <v>#N/A</v>
      </c>
    </row>
    <row r="660" spans="1:22" hidden="1" x14ac:dyDescent="0.25">
      <c r="A660" s="100">
        <v>45716</v>
      </c>
      <c r="B660" t="str">
        <f t="shared" si="22"/>
        <v>February</v>
      </c>
      <c r="C660" s="46" t="s">
        <v>280</v>
      </c>
      <c r="F660" s="366" t="s">
        <v>986</v>
      </c>
      <c r="G660" s="46" t="s">
        <v>17</v>
      </c>
      <c r="H660" s="46">
        <v>3</v>
      </c>
      <c r="I660" s="51">
        <v>4622.28</v>
      </c>
      <c r="J660" s="281">
        <f>++Tabla4[[#This Row],[Precio Bruto]]*1.16</f>
        <v>5361.8447999999989</v>
      </c>
      <c r="K660" s="281">
        <f>+Tabla4[[#This Row],[Precio Unitario Neto]]*Tabla4[[#Headers],[20.85%]]</f>
        <v>1117.9446407999997</v>
      </c>
      <c r="L660" s="282">
        <f>++Tabla4[[#This Row],[Precio Unitario Neto]]-Tabla4[[#This Row],[20.85%]]</f>
        <v>4243.9001591999995</v>
      </c>
      <c r="M660" s="282" t="e">
        <f>(INDEX(Tabla6[#All],MATCH(Tabla4[[#This Row],[Producto]],Tabla6[[#All],[PRODUCTO]],0),MATCH(Tabla4[[#This Row],[Mes]],Tabla6[#Headers],0)))*(1+Catalogos!$L$2)</f>
        <v>#N/A</v>
      </c>
      <c r="N660" s="283" t="e">
        <f>+(Tabla4[[#This Row],[Precio Descontado]]-Tabla4[[#This Row],[Precio Base]])*Tabla4[[#This Row],[Cantidad]]</f>
        <v>#N/A</v>
      </c>
      <c r="O660" s="284" t="e">
        <f>++Tabla4[[#This Row],[Utilidad Total]]/Tabla4[[#This Row],[Total]]</f>
        <v>#N/A</v>
      </c>
      <c r="P660" s="282">
        <f>++Tabla4[[#This Row],[Precio Descontado]]*Tabla4[[#This Row],[Cantidad]]</f>
        <v>12731.700477599999</v>
      </c>
      <c r="Q660" s="282" t="e">
        <f>(INDEX(Tabla6[#All],MATCH(Tabla4[[#This Row],[Producto]],Tabla6[[#All],[PRODUCTO]],0),MATCH(Tabla4[[#This Row],[Mes]],Tabla6[#Headers],0)))</f>
        <v>#N/A</v>
      </c>
      <c r="R660" s="282" t="e">
        <f>++Tabla4[[#This Row],[Precio Unitario Neto]]-Tabla4[[#This Row],[20.85%]]-Tabla4[[#This Row],[Costo]]</f>
        <v>#N/A</v>
      </c>
      <c r="S660" s="282" t="e">
        <f>++Tabla4[[#This Row],[U. Bruta Uni]]*Tabla4[[#This Row],[Cantidad]]</f>
        <v>#N/A</v>
      </c>
      <c r="T660" s="369" t="str">
        <f>VLOOKUP(Tabla4[[#This Row],[Producto]],Tabla6[#All],14,FALSE)</f>
        <v>Termico Solar</v>
      </c>
      <c r="U660" s="284" t="e">
        <f>(IF(Tabla4[[#This Row],[Familia]]="termico solar",Tabla4[[#This Row],[Utilidad Total]]*6%,Tabla4[[#This Row],[Utilidad Total]]*11.5%))/Tabla4[[#This Row],[Total]]</f>
        <v>#N/A</v>
      </c>
      <c r="V660" s="282" t="e">
        <f>+Tabla4[[#This Row],[Comisión Calculada]]*Tabla4[[#This Row],[Total]]</f>
        <v>#N/A</v>
      </c>
    </row>
    <row r="661" spans="1:22" hidden="1" x14ac:dyDescent="0.25">
      <c r="A661" s="100">
        <v>45716</v>
      </c>
      <c r="B661" t="str">
        <f t="shared" si="22"/>
        <v>February</v>
      </c>
      <c r="C661" s="46" t="s">
        <v>280</v>
      </c>
      <c r="F661" s="366" t="s">
        <v>986</v>
      </c>
      <c r="G661" s="46" t="s">
        <v>18</v>
      </c>
      <c r="H661" s="46">
        <v>3</v>
      </c>
      <c r="I661" s="51">
        <v>5367.6500000000005</v>
      </c>
      <c r="J661" s="281">
        <f>++Tabla4[[#This Row],[Precio Bruto]]*1.16</f>
        <v>6226.4740000000002</v>
      </c>
      <c r="K661" s="281">
        <f>+Tabla4[[#This Row],[Precio Unitario Neto]]*Tabla4[[#Headers],[20.85%]]</f>
        <v>1298.2198289999999</v>
      </c>
      <c r="L661" s="282">
        <f>++Tabla4[[#This Row],[Precio Unitario Neto]]-Tabla4[[#This Row],[20.85%]]</f>
        <v>4928.2541710000005</v>
      </c>
      <c r="M661" s="282" t="e">
        <f>(INDEX(Tabla6[#All],MATCH(Tabla4[[#This Row],[Producto]],Tabla6[[#All],[PRODUCTO]],0),MATCH(Tabla4[[#This Row],[Mes]],Tabla6[#Headers],0)))*(1+Catalogos!$L$2)</f>
        <v>#N/A</v>
      </c>
      <c r="N661" s="283" t="e">
        <f>+(Tabla4[[#This Row],[Precio Descontado]]-Tabla4[[#This Row],[Precio Base]])*Tabla4[[#This Row],[Cantidad]]</f>
        <v>#N/A</v>
      </c>
      <c r="O661" s="284" t="e">
        <f>++Tabla4[[#This Row],[Utilidad Total]]/Tabla4[[#This Row],[Total]]</f>
        <v>#N/A</v>
      </c>
      <c r="P661" s="282">
        <f>++Tabla4[[#This Row],[Precio Descontado]]*Tabla4[[#This Row],[Cantidad]]</f>
        <v>14784.762513000001</v>
      </c>
      <c r="Q661" s="282" t="e">
        <f>(INDEX(Tabla6[#All],MATCH(Tabla4[[#This Row],[Producto]],Tabla6[[#All],[PRODUCTO]],0),MATCH(Tabla4[[#This Row],[Mes]],Tabla6[#Headers],0)))</f>
        <v>#N/A</v>
      </c>
      <c r="R661" s="282" t="e">
        <f>++Tabla4[[#This Row],[Precio Unitario Neto]]-Tabla4[[#This Row],[20.85%]]-Tabla4[[#This Row],[Costo]]</f>
        <v>#N/A</v>
      </c>
      <c r="S661" s="282" t="e">
        <f>++Tabla4[[#This Row],[U. Bruta Uni]]*Tabla4[[#This Row],[Cantidad]]</f>
        <v>#N/A</v>
      </c>
      <c r="T661" s="369" t="str">
        <f>VLOOKUP(Tabla4[[#This Row],[Producto]],Tabla6[#All],14,FALSE)</f>
        <v>Termico Solar</v>
      </c>
      <c r="U661" s="284" t="e">
        <f>(IF(Tabla4[[#This Row],[Familia]]="termico solar",Tabla4[[#This Row],[Utilidad Total]]*6%,Tabla4[[#This Row],[Utilidad Total]]*11.5%))/Tabla4[[#This Row],[Total]]</f>
        <v>#N/A</v>
      </c>
      <c r="V661" s="282" t="e">
        <f>+Tabla4[[#This Row],[Comisión Calculada]]*Tabla4[[#This Row],[Total]]</f>
        <v>#N/A</v>
      </c>
    </row>
    <row r="662" spans="1:22" hidden="1" x14ac:dyDescent="0.25">
      <c r="A662" s="100">
        <v>45716</v>
      </c>
      <c r="B662" t="str">
        <f t="shared" si="22"/>
        <v>February</v>
      </c>
      <c r="C662" s="46" t="s">
        <v>280</v>
      </c>
      <c r="F662" s="366" t="s">
        <v>986</v>
      </c>
      <c r="G662" s="46" t="s">
        <v>566</v>
      </c>
      <c r="H662" s="46">
        <v>1</v>
      </c>
      <c r="I662" s="51">
        <v>2109.4499999999998</v>
      </c>
      <c r="J662" s="281">
        <f>++Tabla4[[#This Row],[Precio Bruto]]*1.16</f>
        <v>2446.9619999999995</v>
      </c>
      <c r="K662" s="281">
        <f>+Tabla4[[#This Row],[Precio Unitario Neto]]*Tabla4[[#Headers],[20.85%]]</f>
        <v>510.19157699999988</v>
      </c>
      <c r="L662" s="282">
        <f>++Tabla4[[#This Row],[Precio Unitario Neto]]-Tabla4[[#This Row],[20.85%]]</f>
        <v>1936.7704229999997</v>
      </c>
      <c r="M662" s="282" t="e">
        <f>(INDEX(Tabla6[#All],MATCH(Tabla4[[#This Row],[Producto]],Tabla6[[#All],[PRODUCTO]],0),MATCH(Tabla4[[#This Row],[Mes]],Tabla6[#Headers],0)))*(1+Catalogos!$L$2)</f>
        <v>#N/A</v>
      </c>
      <c r="N662" s="283" t="e">
        <f>+(Tabla4[[#This Row],[Precio Descontado]]-Tabla4[[#This Row],[Precio Base]])*Tabla4[[#This Row],[Cantidad]]</f>
        <v>#N/A</v>
      </c>
      <c r="O662" s="284" t="e">
        <f>++Tabla4[[#This Row],[Utilidad Total]]/Tabla4[[#This Row],[Total]]</f>
        <v>#N/A</v>
      </c>
      <c r="P662" s="282">
        <f>++Tabla4[[#This Row],[Precio Descontado]]*Tabla4[[#This Row],[Cantidad]]</f>
        <v>1936.7704229999997</v>
      </c>
      <c r="Q662" s="282" t="e">
        <f>(INDEX(Tabla6[#All],MATCH(Tabla4[[#This Row],[Producto]],Tabla6[[#All],[PRODUCTO]],0),MATCH(Tabla4[[#This Row],[Mes]],Tabla6[#Headers],0)))</f>
        <v>#N/A</v>
      </c>
      <c r="R662" s="282" t="e">
        <f>++Tabla4[[#This Row],[Precio Unitario Neto]]-Tabla4[[#This Row],[20.85%]]-Tabla4[[#This Row],[Costo]]</f>
        <v>#N/A</v>
      </c>
      <c r="S662" s="282" t="e">
        <f>++Tabla4[[#This Row],[U. Bruta Uni]]*Tabla4[[#This Row],[Cantidad]]</f>
        <v>#N/A</v>
      </c>
      <c r="T662" s="369" t="str">
        <f>VLOOKUP(Tabla4[[#This Row],[Producto]],Tabla6[#All],14,FALSE)</f>
        <v>Termico Solar</v>
      </c>
      <c r="U662" s="284" t="e">
        <f>(IF(Tabla4[[#This Row],[Familia]]="termico solar",Tabla4[[#This Row],[Utilidad Total]]*6%,Tabla4[[#This Row],[Utilidad Total]]*11.5%))/Tabla4[[#This Row],[Total]]</f>
        <v>#N/A</v>
      </c>
      <c r="V662" s="282" t="e">
        <f>+Tabla4[[#This Row],[Comisión Calculada]]*Tabla4[[#This Row],[Total]]</f>
        <v>#N/A</v>
      </c>
    </row>
    <row r="663" spans="1:22" hidden="1" x14ac:dyDescent="0.25">
      <c r="A663" s="100">
        <v>45716</v>
      </c>
      <c r="B663" t="str">
        <f t="shared" si="22"/>
        <v>February</v>
      </c>
      <c r="C663" s="46" t="s">
        <v>280</v>
      </c>
      <c r="F663" s="366" t="s">
        <v>986</v>
      </c>
      <c r="G663" s="46" t="s">
        <v>16</v>
      </c>
      <c r="H663" s="46">
        <v>2</v>
      </c>
      <c r="I663" s="51">
        <v>4103.8500000000004</v>
      </c>
      <c r="J663" s="281">
        <f>++Tabla4[[#This Row],[Precio Bruto]]*1.16</f>
        <v>4760.4660000000003</v>
      </c>
      <c r="K663" s="281">
        <f>+Tabla4[[#This Row],[Precio Unitario Neto]]*Tabla4[[#Headers],[20.85%]]</f>
        <v>992.55716100000006</v>
      </c>
      <c r="L663" s="282">
        <f>++Tabla4[[#This Row],[Precio Unitario Neto]]-Tabla4[[#This Row],[20.85%]]</f>
        <v>3767.9088390000002</v>
      </c>
      <c r="M663" s="282" t="e">
        <f>(INDEX(Tabla6[#All],MATCH(Tabla4[[#This Row],[Producto]],Tabla6[[#All],[PRODUCTO]],0),MATCH(Tabla4[[#This Row],[Mes]],Tabla6[#Headers],0)))*(1+Catalogos!$L$2)</f>
        <v>#N/A</v>
      </c>
      <c r="N663" s="283" t="e">
        <f>+(Tabla4[[#This Row],[Precio Descontado]]-Tabla4[[#This Row],[Precio Base]])*Tabla4[[#This Row],[Cantidad]]</f>
        <v>#N/A</v>
      </c>
      <c r="O663" s="284" t="e">
        <f>++Tabla4[[#This Row],[Utilidad Total]]/Tabla4[[#This Row],[Total]]</f>
        <v>#N/A</v>
      </c>
      <c r="P663" s="282">
        <f>++Tabla4[[#This Row],[Precio Descontado]]*Tabla4[[#This Row],[Cantidad]]</f>
        <v>7535.8176780000003</v>
      </c>
      <c r="Q663" s="282" t="e">
        <f>(INDEX(Tabla6[#All],MATCH(Tabla4[[#This Row],[Producto]],Tabla6[[#All],[PRODUCTO]],0),MATCH(Tabla4[[#This Row],[Mes]],Tabla6[#Headers],0)))</f>
        <v>#N/A</v>
      </c>
      <c r="R663" s="282" t="e">
        <f>++Tabla4[[#This Row],[Precio Unitario Neto]]-Tabla4[[#This Row],[20.85%]]-Tabla4[[#This Row],[Costo]]</f>
        <v>#N/A</v>
      </c>
      <c r="S663" s="282" t="e">
        <f>++Tabla4[[#This Row],[U. Bruta Uni]]*Tabla4[[#This Row],[Cantidad]]</f>
        <v>#N/A</v>
      </c>
      <c r="T663" s="369" t="str">
        <f>VLOOKUP(Tabla4[[#This Row],[Producto]],Tabla6[#All],14,FALSE)</f>
        <v>Termico Solar</v>
      </c>
      <c r="U663" s="284" t="e">
        <f>(IF(Tabla4[[#This Row],[Familia]]="termico solar",Tabla4[[#This Row],[Utilidad Total]]*6%,Tabla4[[#This Row],[Utilidad Total]]*11.5%))/Tabla4[[#This Row],[Total]]</f>
        <v>#N/A</v>
      </c>
      <c r="V663" s="282" t="e">
        <f>+Tabla4[[#This Row],[Comisión Calculada]]*Tabla4[[#This Row],[Total]]</f>
        <v>#N/A</v>
      </c>
    </row>
    <row r="664" spans="1:22" hidden="1" x14ac:dyDescent="0.25">
      <c r="A664" s="100">
        <v>45716</v>
      </c>
      <c r="B664" t="str">
        <f t="shared" si="22"/>
        <v>February</v>
      </c>
      <c r="C664" s="46" t="s">
        <v>280</v>
      </c>
      <c r="F664" s="366" t="s">
        <v>986</v>
      </c>
      <c r="G664" s="46" t="s">
        <v>394</v>
      </c>
      <c r="H664" s="46">
        <v>16</v>
      </c>
      <c r="I664" s="51">
        <v>224.29</v>
      </c>
      <c r="J664" s="281">
        <f>++Tabla4[[#This Row],[Precio Bruto]]*1.16</f>
        <v>260.1764</v>
      </c>
      <c r="K664" s="281">
        <f>+Tabla4[[#This Row],[Precio Unitario Neto]]*Tabla4[[#Headers],[20.85%]]</f>
        <v>54.246779400000001</v>
      </c>
      <c r="L664" s="282">
        <f>++Tabla4[[#This Row],[Precio Unitario Neto]]-Tabla4[[#This Row],[20.85%]]</f>
        <v>205.92962059999999</v>
      </c>
      <c r="M664" s="282" t="e">
        <f>(INDEX(Tabla6[#All],MATCH(Tabla4[[#This Row],[Producto]],Tabla6[[#All],[PRODUCTO]],0),MATCH(Tabla4[[#This Row],[Mes]],Tabla6[#Headers],0)))*(1+Catalogos!$L$2)</f>
        <v>#N/A</v>
      </c>
      <c r="N664" s="283" t="e">
        <f>+(Tabla4[[#This Row],[Precio Descontado]]-Tabla4[[#This Row],[Precio Base]])*Tabla4[[#This Row],[Cantidad]]</f>
        <v>#N/A</v>
      </c>
      <c r="O664" s="284" t="e">
        <f>++Tabla4[[#This Row],[Utilidad Total]]/Tabla4[[#This Row],[Total]]</f>
        <v>#N/A</v>
      </c>
      <c r="P664" s="282">
        <f>++Tabla4[[#This Row],[Precio Descontado]]*Tabla4[[#This Row],[Cantidad]]</f>
        <v>3294.8739295999999</v>
      </c>
      <c r="Q664" s="282" t="e">
        <f>(INDEX(Tabla6[#All],MATCH(Tabla4[[#This Row],[Producto]],Tabla6[[#All],[PRODUCTO]],0),MATCH(Tabla4[[#This Row],[Mes]],Tabla6[#Headers],0)))</f>
        <v>#N/A</v>
      </c>
      <c r="R664" s="282" t="e">
        <f>++Tabla4[[#This Row],[Precio Unitario Neto]]-Tabla4[[#This Row],[20.85%]]-Tabla4[[#This Row],[Costo]]</f>
        <v>#N/A</v>
      </c>
      <c r="S664" s="282" t="e">
        <f>++Tabla4[[#This Row],[U. Bruta Uni]]*Tabla4[[#This Row],[Cantidad]]</f>
        <v>#N/A</v>
      </c>
      <c r="T664" s="369" t="str">
        <f>VLOOKUP(Tabla4[[#This Row],[Producto]],Tabla6[#All],14,FALSE)</f>
        <v>Termico Solar</v>
      </c>
      <c r="U664" s="284" t="e">
        <f>(IF(Tabla4[[#This Row],[Familia]]="termico solar",Tabla4[[#This Row],[Utilidad Total]]*6%,Tabla4[[#This Row],[Utilidad Total]]*11.5%))/Tabla4[[#This Row],[Total]]</f>
        <v>#N/A</v>
      </c>
      <c r="V664" s="282" t="e">
        <f>+Tabla4[[#This Row],[Comisión Calculada]]*Tabla4[[#This Row],[Total]]</f>
        <v>#N/A</v>
      </c>
    </row>
    <row r="665" spans="1:22" hidden="1" x14ac:dyDescent="0.25">
      <c r="A665" s="100">
        <v>45716</v>
      </c>
      <c r="B665" t="str">
        <f>TEXT(A665, "mmmm")</f>
        <v>February</v>
      </c>
      <c r="C665" s="46" t="s">
        <v>280</v>
      </c>
      <c r="F665" s="366" t="s">
        <v>987</v>
      </c>
      <c r="G665" s="46" t="s">
        <v>83</v>
      </c>
      <c r="H665" s="46">
        <v>8</v>
      </c>
      <c r="I665" s="51">
        <v>8858.76</v>
      </c>
      <c r="J665" s="281">
        <f>++Tabla4[[#This Row],[Precio Bruto]]*1.16</f>
        <v>10276.161599999999</v>
      </c>
      <c r="K665" s="281">
        <f>+Tabla4[[#This Row],[Precio Unitario Neto]]*Tabla4[[#Headers],[20.85%]]</f>
        <v>2142.5796935999997</v>
      </c>
      <c r="L665" s="282">
        <f>++Tabla4[[#This Row],[Precio Unitario Neto]]-Tabla4[[#This Row],[20.85%]]</f>
        <v>8133.5819063999998</v>
      </c>
      <c r="M665" s="282" t="e">
        <f>(INDEX(Tabla6[#All],MATCH(Tabla4[[#This Row],[Producto]],Tabla6[[#All],[PRODUCTO]],0),MATCH(Tabla4[[#This Row],[Mes]],Tabla6[#Headers],0)))*(1+Catalogos!$L$2)</f>
        <v>#N/A</v>
      </c>
      <c r="N665" s="283" t="e">
        <f>+(Tabla4[[#This Row],[Precio Descontado]]-Tabla4[[#This Row],[Precio Base]])*Tabla4[[#This Row],[Cantidad]]</f>
        <v>#N/A</v>
      </c>
      <c r="O665" s="284" t="e">
        <f>++Tabla4[[#This Row],[Utilidad Total]]/Tabla4[[#This Row],[Total]]</f>
        <v>#N/A</v>
      </c>
      <c r="P665" s="282">
        <f>++Tabla4[[#This Row],[Precio Descontado]]*Tabla4[[#This Row],[Cantidad]]</f>
        <v>65068.655251199998</v>
      </c>
      <c r="Q665" s="282" t="e">
        <f>(INDEX(Tabla6[#All],MATCH(Tabla4[[#This Row],[Producto]],Tabla6[[#All],[PRODUCTO]],0),MATCH(Tabla4[[#This Row],[Mes]],Tabla6[#Headers],0)))</f>
        <v>#N/A</v>
      </c>
      <c r="R665" s="282" t="e">
        <f>++Tabla4[[#This Row],[Precio Unitario Neto]]-Tabla4[[#This Row],[20.85%]]-Tabla4[[#This Row],[Costo]]</f>
        <v>#N/A</v>
      </c>
      <c r="S665" s="282" t="e">
        <f>++Tabla4[[#This Row],[U. Bruta Uni]]*Tabla4[[#This Row],[Cantidad]]</f>
        <v>#N/A</v>
      </c>
      <c r="T665" s="369" t="str">
        <f>VLOOKUP(Tabla4[[#This Row],[Producto]],Tabla6[#All],14,FALSE)</f>
        <v>Termico Solar</v>
      </c>
      <c r="U665" s="284" t="e">
        <f>(IF(Tabla4[[#This Row],[Familia]]="termico solar",Tabla4[[#This Row],[Utilidad Total]]*6%,Tabla4[[#This Row],[Utilidad Total]]*11.5%))/Tabla4[[#This Row],[Total]]</f>
        <v>#N/A</v>
      </c>
      <c r="V665" s="282" t="e">
        <f>+Tabla4[[#This Row],[Comisión Calculada]]*Tabla4[[#This Row],[Total]]</f>
        <v>#N/A</v>
      </c>
    </row>
    <row r="666" spans="1:22" hidden="1" x14ac:dyDescent="0.25">
      <c r="A666" s="100">
        <v>45716</v>
      </c>
      <c r="B666" t="str">
        <f>TEXT(A666, "mmmm")</f>
        <v>February</v>
      </c>
      <c r="C666" s="46" t="s">
        <v>280</v>
      </c>
      <c r="F666" s="366" t="s">
        <v>987</v>
      </c>
      <c r="G666" s="46" t="s">
        <v>17</v>
      </c>
      <c r="H666" s="46">
        <v>5</v>
      </c>
      <c r="I666" s="51">
        <v>4622.2800000000007</v>
      </c>
      <c r="J666" s="281">
        <f>++Tabla4[[#This Row],[Precio Bruto]]*1.16</f>
        <v>5361.8448000000008</v>
      </c>
      <c r="K666" s="281">
        <f>+Tabla4[[#This Row],[Precio Unitario Neto]]*Tabla4[[#Headers],[20.85%]]</f>
        <v>1117.9446408000001</v>
      </c>
      <c r="L666" s="282">
        <f>++Tabla4[[#This Row],[Precio Unitario Neto]]-Tabla4[[#This Row],[20.85%]]</f>
        <v>4243.9001592000004</v>
      </c>
      <c r="M666" s="282" t="e">
        <f>(INDEX(Tabla6[#All],MATCH(Tabla4[[#This Row],[Producto]],Tabla6[[#All],[PRODUCTO]],0),MATCH(Tabla4[[#This Row],[Mes]],Tabla6[#Headers],0)))*(1+Catalogos!$L$2)</f>
        <v>#N/A</v>
      </c>
      <c r="N666" s="283" t="e">
        <f>+(Tabla4[[#This Row],[Precio Descontado]]-Tabla4[[#This Row],[Precio Base]])*Tabla4[[#This Row],[Cantidad]]</f>
        <v>#N/A</v>
      </c>
      <c r="O666" s="284" t="e">
        <f>++Tabla4[[#This Row],[Utilidad Total]]/Tabla4[[#This Row],[Total]]</f>
        <v>#N/A</v>
      </c>
      <c r="P666" s="282">
        <f>++Tabla4[[#This Row],[Precio Descontado]]*Tabla4[[#This Row],[Cantidad]]</f>
        <v>21219.500796</v>
      </c>
      <c r="Q666" s="282" t="e">
        <f>(INDEX(Tabla6[#All],MATCH(Tabla4[[#This Row],[Producto]],Tabla6[[#All],[PRODUCTO]],0),MATCH(Tabla4[[#This Row],[Mes]],Tabla6[#Headers],0)))</f>
        <v>#N/A</v>
      </c>
      <c r="R666" s="282" t="e">
        <f>++Tabla4[[#This Row],[Precio Unitario Neto]]-Tabla4[[#This Row],[20.85%]]-Tabla4[[#This Row],[Costo]]</f>
        <v>#N/A</v>
      </c>
      <c r="S666" s="282" t="e">
        <f>++Tabla4[[#This Row],[U. Bruta Uni]]*Tabla4[[#This Row],[Cantidad]]</f>
        <v>#N/A</v>
      </c>
      <c r="T666" s="369" t="str">
        <f>VLOOKUP(Tabla4[[#This Row],[Producto]],Tabla6[#All],14,FALSE)</f>
        <v>Termico Solar</v>
      </c>
      <c r="U666" s="284" t="e">
        <f>(IF(Tabla4[[#This Row],[Familia]]="termico solar",Tabla4[[#This Row],[Utilidad Total]]*6%,Tabla4[[#This Row],[Utilidad Total]]*11.5%))/Tabla4[[#This Row],[Total]]</f>
        <v>#N/A</v>
      </c>
      <c r="V666" s="282" t="e">
        <f>+Tabla4[[#This Row],[Comisión Calculada]]*Tabla4[[#This Row],[Total]]</f>
        <v>#N/A</v>
      </c>
    </row>
    <row r="667" spans="1:22" hidden="1" x14ac:dyDescent="0.25">
      <c r="A667" s="100">
        <v>45716</v>
      </c>
      <c r="B667" t="str">
        <f>TEXT(A667, "mmmm")</f>
        <v>February</v>
      </c>
      <c r="C667" s="46" t="s">
        <v>280</v>
      </c>
      <c r="F667" s="366" t="s">
        <v>987</v>
      </c>
      <c r="G667" s="46" t="s">
        <v>566</v>
      </c>
      <c r="H667" s="46">
        <v>1</v>
      </c>
      <c r="I667" s="51">
        <v>2109.4499999999998</v>
      </c>
      <c r="J667" s="281">
        <f>++Tabla4[[#This Row],[Precio Bruto]]*1.16</f>
        <v>2446.9619999999995</v>
      </c>
      <c r="K667" s="281">
        <f>+Tabla4[[#This Row],[Precio Unitario Neto]]*Tabla4[[#Headers],[20.85%]]</f>
        <v>510.19157699999988</v>
      </c>
      <c r="L667" s="282">
        <f>++Tabla4[[#This Row],[Precio Unitario Neto]]-Tabla4[[#This Row],[20.85%]]</f>
        <v>1936.7704229999997</v>
      </c>
      <c r="M667" s="282" t="e">
        <f>(INDEX(Tabla6[#All],MATCH(Tabla4[[#This Row],[Producto]],Tabla6[[#All],[PRODUCTO]],0),MATCH(Tabla4[[#This Row],[Mes]],Tabla6[#Headers],0)))*(1+Catalogos!$L$2)</f>
        <v>#N/A</v>
      </c>
      <c r="N667" s="283" t="e">
        <f>+(Tabla4[[#This Row],[Precio Descontado]]-Tabla4[[#This Row],[Precio Base]])*Tabla4[[#This Row],[Cantidad]]</f>
        <v>#N/A</v>
      </c>
      <c r="O667" s="284" t="e">
        <f>++Tabla4[[#This Row],[Utilidad Total]]/Tabla4[[#This Row],[Total]]</f>
        <v>#N/A</v>
      </c>
      <c r="P667" s="282">
        <f>++Tabla4[[#This Row],[Precio Descontado]]*Tabla4[[#This Row],[Cantidad]]</f>
        <v>1936.7704229999997</v>
      </c>
      <c r="Q667" s="282" t="e">
        <f>(INDEX(Tabla6[#All],MATCH(Tabla4[[#This Row],[Producto]],Tabla6[[#All],[PRODUCTO]],0),MATCH(Tabla4[[#This Row],[Mes]],Tabla6[#Headers],0)))</f>
        <v>#N/A</v>
      </c>
      <c r="R667" s="282" t="e">
        <f>++Tabla4[[#This Row],[Precio Unitario Neto]]-Tabla4[[#This Row],[20.85%]]-Tabla4[[#This Row],[Costo]]</f>
        <v>#N/A</v>
      </c>
      <c r="S667" s="282" t="e">
        <f>++Tabla4[[#This Row],[U. Bruta Uni]]*Tabla4[[#This Row],[Cantidad]]</f>
        <v>#N/A</v>
      </c>
      <c r="T667" s="369" t="str">
        <f>VLOOKUP(Tabla4[[#This Row],[Producto]],Tabla6[#All],14,FALSE)</f>
        <v>Termico Solar</v>
      </c>
      <c r="U667" s="284" t="e">
        <f>(IF(Tabla4[[#This Row],[Familia]]="termico solar",Tabla4[[#This Row],[Utilidad Total]]*6%,Tabla4[[#This Row],[Utilidad Total]]*11.5%))/Tabla4[[#This Row],[Total]]</f>
        <v>#N/A</v>
      </c>
      <c r="V667" s="282" t="e">
        <f>+Tabla4[[#This Row],[Comisión Calculada]]*Tabla4[[#This Row],[Total]]</f>
        <v>#N/A</v>
      </c>
    </row>
    <row r="668" spans="1:22" hidden="1" x14ac:dyDescent="0.25">
      <c r="A668" s="100">
        <v>45716</v>
      </c>
      <c r="B668" t="str">
        <f>TEXT(A668, "mmmm")</f>
        <v>February</v>
      </c>
      <c r="C668" s="46" t="s">
        <v>280</v>
      </c>
      <c r="F668" s="366" t="s">
        <v>987</v>
      </c>
      <c r="G668" s="46" t="s">
        <v>394</v>
      </c>
      <c r="H668" s="46">
        <v>9</v>
      </c>
      <c r="I668" s="51">
        <v>108.1</v>
      </c>
      <c r="J668" s="281">
        <f>++Tabla4[[#This Row],[Precio Bruto]]*1.16</f>
        <v>125.39599999999999</v>
      </c>
      <c r="K668" s="281">
        <f>+Tabla4[[#This Row],[Precio Unitario Neto]]*Tabla4[[#Headers],[20.85%]]</f>
        <v>26.145065999999996</v>
      </c>
      <c r="L668" s="282">
        <f>++Tabla4[[#This Row],[Precio Unitario Neto]]-Tabla4[[#This Row],[20.85%]]</f>
        <v>99.250933999999987</v>
      </c>
      <c r="M668" s="282" t="e">
        <f>(INDEX(Tabla6[#All],MATCH(Tabla4[[#This Row],[Producto]],Tabla6[[#All],[PRODUCTO]],0),MATCH(Tabla4[[#This Row],[Mes]],Tabla6[#Headers],0)))*(1+Catalogos!$L$2)</f>
        <v>#N/A</v>
      </c>
      <c r="N668" s="283" t="e">
        <f>+(Tabla4[[#This Row],[Precio Descontado]]-Tabla4[[#This Row],[Precio Base]])*Tabla4[[#This Row],[Cantidad]]</f>
        <v>#N/A</v>
      </c>
      <c r="O668" s="284" t="e">
        <f>++Tabla4[[#This Row],[Utilidad Total]]/Tabla4[[#This Row],[Total]]</f>
        <v>#N/A</v>
      </c>
      <c r="P668" s="282">
        <f>++Tabla4[[#This Row],[Precio Descontado]]*Tabla4[[#This Row],[Cantidad]]</f>
        <v>893.25840599999992</v>
      </c>
      <c r="Q668" s="282" t="e">
        <f>(INDEX(Tabla6[#All],MATCH(Tabla4[[#This Row],[Producto]],Tabla6[[#All],[PRODUCTO]],0),MATCH(Tabla4[[#This Row],[Mes]],Tabla6[#Headers],0)))</f>
        <v>#N/A</v>
      </c>
      <c r="R668" s="282" t="e">
        <f>++Tabla4[[#This Row],[Precio Unitario Neto]]-Tabla4[[#This Row],[20.85%]]-Tabla4[[#This Row],[Costo]]</f>
        <v>#N/A</v>
      </c>
      <c r="S668" s="282" t="e">
        <f>++Tabla4[[#This Row],[U. Bruta Uni]]*Tabla4[[#This Row],[Cantidad]]</f>
        <v>#N/A</v>
      </c>
      <c r="T668" s="369" t="str">
        <f>VLOOKUP(Tabla4[[#This Row],[Producto]],Tabla6[#All],14,FALSE)</f>
        <v>Termico Solar</v>
      </c>
      <c r="U668" s="284" t="e">
        <f>(IF(Tabla4[[#This Row],[Familia]]="termico solar",Tabla4[[#This Row],[Utilidad Total]]*6%,Tabla4[[#This Row],[Utilidad Total]]*11.5%))/Tabla4[[#This Row],[Total]]</f>
        <v>#N/A</v>
      </c>
      <c r="V668" s="282" t="e">
        <f>+Tabla4[[#This Row],[Comisión Calculada]]*Tabla4[[#This Row],[Total]]</f>
        <v>#N/A</v>
      </c>
    </row>
    <row r="669" spans="1:22" hidden="1" x14ac:dyDescent="0.25">
      <c r="A669" s="100">
        <v>45716</v>
      </c>
      <c r="B669" t="str">
        <f t="shared" ref="B669:B674" si="23">TEXT(A669, "mmmm")</f>
        <v>February</v>
      </c>
      <c r="C669" s="46" t="s">
        <v>280</v>
      </c>
      <c r="F669" s="366" t="s">
        <v>988</v>
      </c>
      <c r="G669" s="46" t="s">
        <v>83</v>
      </c>
      <c r="H669" s="46">
        <v>3</v>
      </c>
      <c r="I669" s="51">
        <v>8858.76</v>
      </c>
      <c r="J669" s="281">
        <f>++Tabla4[[#This Row],[Precio Bruto]]*1.16</f>
        <v>10276.161599999999</v>
      </c>
      <c r="K669" s="281">
        <f>+Tabla4[[#This Row],[Precio Unitario Neto]]*Tabla4[[#Headers],[20.85%]]</f>
        <v>2142.5796935999997</v>
      </c>
      <c r="L669" s="282">
        <f>++Tabla4[[#This Row],[Precio Unitario Neto]]-Tabla4[[#This Row],[20.85%]]</f>
        <v>8133.5819063999998</v>
      </c>
      <c r="M669" s="282" t="e">
        <f>(INDEX(Tabla6[#All],MATCH(Tabla4[[#This Row],[Producto]],Tabla6[[#All],[PRODUCTO]],0),MATCH(Tabla4[[#This Row],[Mes]],Tabla6[#Headers],0)))*(1+Catalogos!$L$2)</f>
        <v>#N/A</v>
      </c>
      <c r="N669" s="283" t="e">
        <f>+(Tabla4[[#This Row],[Precio Descontado]]-Tabla4[[#This Row],[Precio Base]])*Tabla4[[#This Row],[Cantidad]]</f>
        <v>#N/A</v>
      </c>
      <c r="O669" s="284" t="e">
        <f>++Tabla4[[#This Row],[Utilidad Total]]/Tabla4[[#This Row],[Total]]</f>
        <v>#N/A</v>
      </c>
      <c r="P669" s="282">
        <f>++Tabla4[[#This Row],[Precio Descontado]]*Tabla4[[#This Row],[Cantidad]]</f>
        <v>24400.7457192</v>
      </c>
      <c r="Q669" s="282" t="e">
        <f>(INDEX(Tabla6[#All],MATCH(Tabla4[[#This Row],[Producto]],Tabla6[[#All],[PRODUCTO]],0),MATCH(Tabla4[[#This Row],[Mes]],Tabla6[#Headers],0)))</f>
        <v>#N/A</v>
      </c>
      <c r="R669" s="282" t="e">
        <f>++Tabla4[[#This Row],[Precio Unitario Neto]]-Tabla4[[#This Row],[20.85%]]-Tabla4[[#This Row],[Costo]]</f>
        <v>#N/A</v>
      </c>
      <c r="S669" s="282" t="e">
        <f>++Tabla4[[#This Row],[U. Bruta Uni]]*Tabla4[[#This Row],[Cantidad]]</f>
        <v>#N/A</v>
      </c>
      <c r="T669" s="369" t="str">
        <f>VLOOKUP(Tabla4[[#This Row],[Producto]],Tabla6[#All],14,FALSE)</f>
        <v>Termico Solar</v>
      </c>
      <c r="U669" s="284" t="e">
        <f>(IF(Tabla4[[#This Row],[Familia]]="termico solar",Tabla4[[#This Row],[Utilidad Total]]*6%,Tabla4[[#This Row],[Utilidad Total]]*11.5%))/Tabla4[[#This Row],[Total]]</f>
        <v>#N/A</v>
      </c>
      <c r="V669" s="282" t="e">
        <f>+Tabla4[[#This Row],[Comisión Calculada]]*Tabla4[[#This Row],[Total]]</f>
        <v>#N/A</v>
      </c>
    </row>
    <row r="670" spans="1:22" hidden="1" x14ac:dyDescent="0.25">
      <c r="A670" s="100">
        <v>45716</v>
      </c>
      <c r="B670" t="str">
        <f t="shared" si="23"/>
        <v>February</v>
      </c>
      <c r="C670" s="46" t="s">
        <v>280</v>
      </c>
      <c r="F670" s="366" t="s">
        <v>988</v>
      </c>
      <c r="G670" s="46" t="s">
        <v>17</v>
      </c>
      <c r="H670" s="46">
        <v>1</v>
      </c>
      <c r="I670" s="51">
        <v>4622.28</v>
      </c>
      <c r="J670" s="281">
        <f>++Tabla4[[#This Row],[Precio Bruto]]*1.16</f>
        <v>5361.8447999999989</v>
      </c>
      <c r="K670" s="281">
        <f>+Tabla4[[#This Row],[Precio Unitario Neto]]*Tabla4[[#Headers],[20.85%]]</f>
        <v>1117.9446407999997</v>
      </c>
      <c r="L670" s="282">
        <f>++Tabla4[[#This Row],[Precio Unitario Neto]]-Tabla4[[#This Row],[20.85%]]</f>
        <v>4243.9001591999995</v>
      </c>
      <c r="M670" s="282" t="e">
        <f>(INDEX(Tabla6[#All],MATCH(Tabla4[[#This Row],[Producto]],Tabla6[[#All],[PRODUCTO]],0),MATCH(Tabla4[[#This Row],[Mes]],Tabla6[#Headers],0)))*(1+Catalogos!$L$2)</f>
        <v>#N/A</v>
      </c>
      <c r="N670" s="283" t="e">
        <f>+(Tabla4[[#This Row],[Precio Descontado]]-Tabla4[[#This Row],[Precio Base]])*Tabla4[[#This Row],[Cantidad]]</f>
        <v>#N/A</v>
      </c>
      <c r="O670" s="284" t="e">
        <f>++Tabla4[[#This Row],[Utilidad Total]]/Tabla4[[#This Row],[Total]]</f>
        <v>#N/A</v>
      </c>
      <c r="P670" s="282">
        <f>++Tabla4[[#This Row],[Precio Descontado]]*Tabla4[[#This Row],[Cantidad]]</f>
        <v>4243.9001591999995</v>
      </c>
      <c r="Q670" s="282" t="e">
        <f>(INDEX(Tabla6[#All],MATCH(Tabla4[[#This Row],[Producto]],Tabla6[[#All],[PRODUCTO]],0),MATCH(Tabla4[[#This Row],[Mes]],Tabla6[#Headers],0)))</f>
        <v>#N/A</v>
      </c>
      <c r="R670" s="282" t="e">
        <f>++Tabla4[[#This Row],[Precio Unitario Neto]]-Tabla4[[#This Row],[20.85%]]-Tabla4[[#This Row],[Costo]]</f>
        <v>#N/A</v>
      </c>
      <c r="S670" s="282" t="e">
        <f>++Tabla4[[#This Row],[U. Bruta Uni]]*Tabla4[[#This Row],[Cantidad]]</f>
        <v>#N/A</v>
      </c>
      <c r="T670" s="369" t="str">
        <f>VLOOKUP(Tabla4[[#This Row],[Producto]],Tabla6[#All],14,FALSE)</f>
        <v>Termico Solar</v>
      </c>
      <c r="U670" s="284" t="e">
        <f>(IF(Tabla4[[#This Row],[Familia]]="termico solar",Tabla4[[#This Row],[Utilidad Total]]*6%,Tabla4[[#This Row],[Utilidad Total]]*11.5%))/Tabla4[[#This Row],[Total]]</f>
        <v>#N/A</v>
      </c>
      <c r="V670" s="282" t="e">
        <f>+Tabla4[[#This Row],[Comisión Calculada]]*Tabla4[[#This Row],[Total]]</f>
        <v>#N/A</v>
      </c>
    </row>
    <row r="671" spans="1:22" hidden="1" x14ac:dyDescent="0.25">
      <c r="A671" s="100">
        <v>45716</v>
      </c>
      <c r="B671" t="str">
        <f t="shared" si="23"/>
        <v>February</v>
      </c>
      <c r="C671" s="46" t="s">
        <v>280</v>
      </c>
      <c r="F671" s="366" t="s">
        <v>988</v>
      </c>
      <c r="G671" s="46" t="s">
        <v>19</v>
      </c>
      <c r="H671" s="46">
        <v>1</v>
      </c>
      <c r="I671" s="51">
        <v>6412.03</v>
      </c>
      <c r="J671" s="281">
        <f>++Tabla4[[#This Row],[Precio Bruto]]*1.16</f>
        <v>7437.9547999999995</v>
      </c>
      <c r="K671" s="281">
        <f>+Tabla4[[#This Row],[Precio Unitario Neto]]*Tabla4[[#Headers],[20.85%]]</f>
        <v>1550.8135757999999</v>
      </c>
      <c r="L671" s="282">
        <f>++Tabla4[[#This Row],[Precio Unitario Neto]]-Tabla4[[#This Row],[20.85%]]</f>
        <v>5887.1412241999997</v>
      </c>
      <c r="M671" s="282" t="e">
        <f>(INDEX(Tabla6[#All],MATCH(Tabla4[[#This Row],[Producto]],Tabla6[[#All],[PRODUCTO]],0),MATCH(Tabla4[[#This Row],[Mes]],Tabla6[#Headers],0)))*(1+Catalogos!$L$2)</f>
        <v>#N/A</v>
      </c>
      <c r="N671" s="283" t="e">
        <f>+(Tabla4[[#This Row],[Precio Descontado]]-Tabla4[[#This Row],[Precio Base]])*Tabla4[[#This Row],[Cantidad]]</f>
        <v>#N/A</v>
      </c>
      <c r="O671" s="284" t="e">
        <f>++Tabla4[[#This Row],[Utilidad Total]]/Tabla4[[#This Row],[Total]]</f>
        <v>#N/A</v>
      </c>
      <c r="P671" s="282">
        <f>++Tabla4[[#This Row],[Precio Descontado]]*Tabla4[[#This Row],[Cantidad]]</f>
        <v>5887.1412241999997</v>
      </c>
      <c r="Q671" s="282" t="e">
        <f>(INDEX(Tabla6[#All],MATCH(Tabla4[[#This Row],[Producto]],Tabla6[[#All],[PRODUCTO]],0),MATCH(Tabla4[[#This Row],[Mes]],Tabla6[#Headers],0)))</f>
        <v>#N/A</v>
      </c>
      <c r="R671" s="282" t="e">
        <f>++Tabla4[[#This Row],[Precio Unitario Neto]]-Tabla4[[#This Row],[20.85%]]-Tabla4[[#This Row],[Costo]]</f>
        <v>#N/A</v>
      </c>
      <c r="S671" s="282" t="e">
        <f>++Tabla4[[#This Row],[U. Bruta Uni]]*Tabla4[[#This Row],[Cantidad]]</f>
        <v>#N/A</v>
      </c>
      <c r="T671" s="369" t="str">
        <f>VLOOKUP(Tabla4[[#This Row],[Producto]],Tabla6[#All],14,FALSE)</f>
        <v>Termico Solar</v>
      </c>
      <c r="U671" s="284" t="e">
        <f>(IF(Tabla4[[#This Row],[Familia]]="termico solar",Tabla4[[#This Row],[Utilidad Total]]*6%,Tabla4[[#This Row],[Utilidad Total]]*11.5%))/Tabla4[[#This Row],[Total]]</f>
        <v>#N/A</v>
      </c>
      <c r="V671" s="282" t="e">
        <f>+Tabla4[[#This Row],[Comisión Calculada]]*Tabla4[[#This Row],[Total]]</f>
        <v>#N/A</v>
      </c>
    </row>
    <row r="672" spans="1:22" hidden="1" x14ac:dyDescent="0.25">
      <c r="A672" s="100">
        <v>45716</v>
      </c>
      <c r="B672" t="str">
        <f t="shared" si="23"/>
        <v>February</v>
      </c>
      <c r="C672" s="46" t="s">
        <v>280</v>
      </c>
      <c r="F672" s="366" t="s">
        <v>988</v>
      </c>
      <c r="G672" s="46" t="s">
        <v>16</v>
      </c>
      <c r="H672" s="46">
        <v>1</v>
      </c>
      <c r="I672" s="51">
        <v>4103.8500000000004</v>
      </c>
      <c r="J672" s="281">
        <f>++Tabla4[[#This Row],[Precio Bruto]]*1.16</f>
        <v>4760.4660000000003</v>
      </c>
      <c r="K672" s="281">
        <f>+Tabla4[[#This Row],[Precio Unitario Neto]]*Tabla4[[#Headers],[20.85%]]</f>
        <v>992.55716100000006</v>
      </c>
      <c r="L672" s="282">
        <f>++Tabla4[[#This Row],[Precio Unitario Neto]]-Tabla4[[#This Row],[20.85%]]</f>
        <v>3767.9088390000002</v>
      </c>
      <c r="M672" s="282" t="e">
        <f>(INDEX(Tabla6[#All],MATCH(Tabla4[[#This Row],[Producto]],Tabla6[[#All],[PRODUCTO]],0),MATCH(Tabla4[[#This Row],[Mes]],Tabla6[#Headers],0)))*(1+Catalogos!$L$2)</f>
        <v>#N/A</v>
      </c>
      <c r="N672" s="283" t="e">
        <f>+(Tabla4[[#This Row],[Precio Descontado]]-Tabla4[[#This Row],[Precio Base]])*Tabla4[[#This Row],[Cantidad]]</f>
        <v>#N/A</v>
      </c>
      <c r="O672" s="284" t="e">
        <f>++Tabla4[[#This Row],[Utilidad Total]]/Tabla4[[#This Row],[Total]]</f>
        <v>#N/A</v>
      </c>
      <c r="P672" s="282">
        <f>++Tabla4[[#This Row],[Precio Descontado]]*Tabla4[[#This Row],[Cantidad]]</f>
        <v>3767.9088390000002</v>
      </c>
      <c r="Q672" s="282" t="e">
        <f>(INDEX(Tabla6[#All],MATCH(Tabla4[[#This Row],[Producto]],Tabla6[[#All],[PRODUCTO]],0),MATCH(Tabla4[[#This Row],[Mes]],Tabla6[#Headers],0)))</f>
        <v>#N/A</v>
      </c>
      <c r="R672" s="282" t="e">
        <f>++Tabla4[[#This Row],[Precio Unitario Neto]]-Tabla4[[#This Row],[20.85%]]-Tabla4[[#This Row],[Costo]]</f>
        <v>#N/A</v>
      </c>
      <c r="S672" s="282" t="e">
        <f>++Tabla4[[#This Row],[U. Bruta Uni]]*Tabla4[[#This Row],[Cantidad]]</f>
        <v>#N/A</v>
      </c>
      <c r="T672" s="369" t="str">
        <f>VLOOKUP(Tabla4[[#This Row],[Producto]],Tabla6[#All],14,FALSE)</f>
        <v>Termico Solar</v>
      </c>
      <c r="U672" s="284" t="e">
        <f>(IF(Tabla4[[#This Row],[Familia]]="termico solar",Tabla4[[#This Row],[Utilidad Total]]*6%,Tabla4[[#This Row],[Utilidad Total]]*11.5%))/Tabla4[[#This Row],[Total]]</f>
        <v>#N/A</v>
      </c>
      <c r="V672" s="282" t="e">
        <f>+Tabla4[[#This Row],[Comisión Calculada]]*Tabla4[[#This Row],[Total]]</f>
        <v>#N/A</v>
      </c>
    </row>
    <row r="673" spans="1:22" hidden="1" x14ac:dyDescent="0.25">
      <c r="A673" s="100">
        <v>45716</v>
      </c>
      <c r="B673" t="str">
        <f t="shared" si="23"/>
        <v>February</v>
      </c>
      <c r="C673" s="46" t="s">
        <v>280</v>
      </c>
      <c r="F673" s="366" t="s">
        <v>988</v>
      </c>
      <c r="G673" s="46" t="s">
        <v>394</v>
      </c>
      <c r="H673" s="46">
        <v>16</v>
      </c>
      <c r="I673" s="51">
        <v>224.29</v>
      </c>
      <c r="J673" s="281">
        <f>++Tabla4[[#This Row],[Precio Bruto]]*1.16</f>
        <v>260.1764</v>
      </c>
      <c r="K673" s="281">
        <f>+Tabla4[[#This Row],[Precio Unitario Neto]]*Tabla4[[#Headers],[20.85%]]</f>
        <v>54.246779400000001</v>
      </c>
      <c r="L673" s="282">
        <f>++Tabla4[[#This Row],[Precio Unitario Neto]]-Tabla4[[#This Row],[20.85%]]</f>
        <v>205.92962059999999</v>
      </c>
      <c r="M673" s="282" t="e">
        <f>(INDEX(Tabla6[#All],MATCH(Tabla4[[#This Row],[Producto]],Tabla6[[#All],[PRODUCTO]],0),MATCH(Tabla4[[#This Row],[Mes]],Tabla6[#Headers],0)))*(1+Catalogos!$L$2)</f>
        <v>#N/A</v>
      </c>
      <c r="N673" s="283" t="e">
        <f>+(Tabla4[[#This Row],[Precio Descontado]]-Tabla4[[#This Row],[Precio Base]])*Tabla4[[#This Row],[Cantidad]]</f>
        <v>#N/A</v>
      </c>
      <c r="O673" s="284" t="e">
        <f>++Tabla4[[#This Row],[Utilidad Total]]/Tabla4[[#This Row],[Total]]</f>
        <v>#N/A</v>
      </c>
      <c r="P673" s="282">
        <f>++Tabla4[[#This Row],[Precio Descontado]]*Tabla4[[#This Row],[Cantidad]]</f>
        <v>3294.8739295999999</v>
      </c>
      <c r="Q673" s="282" t="e">
        <f>(INDEX(Tabla6[#All],MATCH(Tabla4[[#This Row],[Producto]],Tabla6[[#All],[PRODUCTO]],0),MATCH(Tabla4[[#This Row],[Mes]],Tabla6[#Headers],0)))</f>
        <v>#N/A</v>
      </c>
      <c r="R673" s="282" t="e">
        <f>++Tabla4[[#This Row],[Precio Unitario Neto]]-Tabla4[[#This Row],[20.85%]]-Tabla4[[#This Row],[Costo]]</f>
        <v>#N/A</v>
      </c>
      <c r="S673" s="282" t="e">
        <f>++Tabla4[[#This Row],[U. Bruta Uni]]*Tabla4[[#This Row],[Cantidad]]</f>
        <v>#N/A</v>
      </c>
      <c r="T673" s="369" t="str">
        <f>VLOOKUP(Tabla4[[#This Row],[Producto]],Tabla6[#All],14,FALSE)</f>
        <v>Termico Solar</v>
      </c>
      <c r="U673" s="284" t="e">
        <f>(IF(Tabla4[[#This Row],[Familia]]="termico solar",Tabla4[[#This Row],[Utilidad Total]]*6%,Tabla4[[#This Row],[Utilidad Total]]*11.5%))/Tabla4[[#This Row],[Total]]</f>
        <v>#N/A</v>
      </c>
      <c r="V673" s="282" t="e">
        <f>+Tabla4[[#This Row],[Comisión Calculada]]*Tabla4[[#This Row],[Total]]</f>
        <v>#N/A</v>
      </c>
    </row>
    <row r="674" spans="1:22" hidden="1" x14ac:dyDescent="0.25">
      <c r="A674" s="100">
        <v>45716</v>
      </c>
      <c r="B674" t="str">
        <f t="shared" si="23"/>
        <v>February</v>
      </c>
      <c r="C674" s="46" t="s">
        <v>280</v>
      </c>
      <c r="F674" s="366" t="s">
        <v>988</v>
      </c>
      <c r="G674" s="46" t="s">
        <v>599</v>
      </c>
      <c r="H674" s="46">
        <v>1</v>
      </c>
      <c r="I674" s="51">
        <v>189.75</v>
      </c>
      <c r="J674" s="281">
        <f>++Tabla4[[#This Row],[Precio Bruto]]*1.16</f>
        <v>220.10999999999999</v>
      </c>
      <c r="K674" s="281">
        <f>+Tabla4[[#This Row],[Precio Unitario Neto]]*Tabla4[[#Headers],[20.85%]]</f>
        <v>45.892934999999994</v>
      </c>
      <c r="L674" s="282">
        <f>++Tabla4[[#This Row],[Precio Unitario Neto]]-Tabla4[[#This Row],[20.85%]]</f>
        <v>174.21706499999999</v>
      </c>
      <c r="M674" s="282" t="e">
        <f>(INDEX(Tabla6[#All],MATCH(Tabla4[[#This Row],[Producto]],Tabla6[[#All],[PRODUCTO]],0),MATCH(Tabla4[[#This Row],[Mes]],Tabla6[#Headers],0)))*(1+Catalogos!$L$2)</f>
        <v>#N/A</v>
      </c>
      <c r="N674" s="283" t="e">
        <f>+(Tabla4[[#This Row],[Precio Descontado]]-Tabla4[[#This Row],[Precio Base]])*Tabla4[[#This Row],[Cantidad]]</f>
        <v>#N/A</v>
      </c>
      <c r="O674" s="284" t="e">
        <f>++Tabla4[[#This Row],[Utilidad Total]]/Tabla4[[#This Row],[Total]]</f>
        <v>#N/A</v>
      </c>
      <c r="P674" s="282">
        <f>++Tabla4[[#This Row],[Precio Descontado]]*Tabla4[[#This Row],[Cantidad]]</f>
        <v>174.21706499999999</v>
      </c>
      <c r="Q674" s="282" t="e">
        <f>(INDEX(Tabla6[#All],MATCH(Tabla4[[#This Row],[Producto]],Tabla6[[#All],[PRODUCTO]],0),MATCH(Tabla4[[#This Row],[Mes]],Tabla6[#Headers],0)))</f>
        <v>#N/A</v>
      </c>
      <c r="R674" s="282" t="e">
        <f>++Tabla4[[#This Row],[Precio Unitario Neto]]-Tabla4[[#This Row],[20.85%]]-Tabla4[[#This Row],[Costo]]</f>
        <v>#N/A</v>
      </c>
      <c r="S674" s="282" t="e">
        <f>++Tabla4[[#This Row],[U. Bruta Uni]]*Tabla4[[#This Row],[Cantidad]]</f>
        <v>#N/A</v>
      </c>
      <c r="T674" s="369" t="str">
        <f>VLOOKUP(Tabla4[[#This Row],[Producto]],Tabla6[#All],14,FALSE)</f>
        <v>Termico Solar</v>
      </c>
      <c r="U674" s="284" t="e">
        <f>(IF(Tabla4[[#This Row],[Familia]]="termico solar",Tabla4[[#This Row],[Utilidad Total]]*6%,Tabla4[[#This Row],[Utilidad Total]]*11.5%))/Tabla4[[#This Row],[Total]]</f>
        <v>#N/A</v>
      </c>
      <c r="V674" s="282" t="e">
        <f>+Tabla4[[#This Row],[Comisión Calculada]]*Tabla4[[#This Row],[Total]]</f>
        <v>#N/A</v>
      </c>
    </row>
    <row r="675" spans="1:22" hidden="1" x14ac:dyDescent="0.25">
      <c r="A675" s="100">
        <v>45716</v>
      </c>
      <c r="B675" t="str">
        <f t="shared" ref="B675:B692" si="24">TEXT(A675, "mmmm")</f>
        <v>February</v>
      </c>
      <c r="C675" s="46" t="s">
        <v>280</v>
      </c>
      <c r="F675" s="366" t="s">
        <v>989</v>
      </c>
      <c r="G675" s="46" t="s">
        <v>83</v>
      </c>
      <c r="H675" s="46">
        <v>2</v>
      </c>
      <c r="I675" s="51">
        <v>8858.76</v>
      </c>
      <c r="J675" s="281">
        <f>++Tabla4[[#This Row],[Precio Bruto]]*1.16</f>
        <v>10276.161599999999</v>
      </c>
      <c r="K675" s="281">
        <f>+Tabla4[[#This Row],[Precio Unitario Neto]]*Tabla4[[#Headers],[20.85%]]</f>
        <v>2142.5796935999997</v>
      </c>
      <c r="L675" s="282">
        <f>++Tabla4[[#This Row],[Precio Unitario Neto]]-Tabla4[[#This Row],[20.85%]]</f>
        <v>8133.5819063999998</v>
      </c>
      <c r="M675" s="282" t="e">
        <f>(INDEX(Tabla6[#All],MATCH(Tabla4[[#This Row],[Producto]],Tabla6[[#All],[PRODUCTO]],0),MATCH(Tabla4[[#This Row],[Mes]],Tabla6[#Headers],0)))*(1+Catalogos!$L$2)</f>
        <v>#N/A</v>
      </c>
      <c r="N675" s="283" t="e">
        <f>+(Tabla4[[#This Row],[Precio Descontado]]-Tabla4[[#This Row],[Precio Base]])*Tabla4[[#This Row],[Cantidad]]</f>
        <v>#N/A</v>
      </c>
      <c r="O675" s="284" t="e">
        <f>++Tabla4[[#This Row],[Utilidad Total]]/Tabla4[[#This Row],[Total]]</f>
        <v>#N/A</v>
      </c>
      <c r="P675" s="282">
        <f>++Tabla4[[#This Row],[Precio Descontado]]*Tabla4[[#This Row],[Cantidad]]</f>
        <v>16267.1638128</v>
      </c>
      <c r="Q675" s="282" t="e">
        <f>(INDEX(Tabla6[#All],MATCH(Tabla4[[#This Row],[Producto]],Tabla6[[#All],[PRODUCTO]],0),MATCH(Tabla4[[#This Row],[Mes]],Tabla6[#Headers],0)))</f>
        <v>#N/A</v>
      </c>
      <c r="R675" s="282" t="e">
        <f>++Tabla4[[#This Row],[Precio Unitario Neto]]-Tabla4[[#This Row],[20.85%]]-Tabla4[[#This Row],[Costo]]</f>
        <v>#N/A</v>
      </c>
      <c r="S675" s="282" t="e">
        <f>++Tabla4[[#This Row],[U. Bruta Uni]]*Tabla4[[#This Row],[Cantidad]]</f>
        <v>#N/A</v>
      </c>
      <c r="T675" s="369" t="str">
        <f>VLOOKUP(Tabla4[[#This Row],[Producto]],Tabla6[#All],14,FALSE)</f>
        <v>Termico Solar</v>
      </c>
      <c r="U675" s="284" t="e">
        <f>(IF(Tabla4[[#This Row],[Familia]]="termico solar",Tabla4[[#This Row],[Utilidad Total]]*6%,Tabla4[[#This Row],[Utilidad Total]]*11.5%))/Tabla4[[#This Row],[Total]]</f>
        <v>#N/A</v>
      </c>
      <c r="V675" s="282" t="e">
        <f>+Tabla4[[#This Row],[Comisión Calculada]]*Tabla4[[#This Row],[Total]]</f>
        <v>#N/A</v>
      </c>
    </row>
    <row r="676" spans="1:22" hidden="1" x14ac:dyDescent="0.25">
      <c r="A676" s="100">
        <v>45716</v>
      </c>
      <c r="B676" t="str">
        <f t="shared" si="24"/>
        <v>February</v>
      </c>
      <c r="C676" s="46" t="s">
        <v>280</v>
      </c>
      <c r="F676" s="366" t="s">
        <v>989</v>
      </c>
      <c r="G676" s="46" t="s">
        <v>17</v>
      </c>
      <c r="H676" s="46">
        <v>12</v>
      </c>
      <c r="I676" s="51">
        <v>4622.28</v>
      </c>
      <c r="J676" s="281">
        <f>++Tabla4[[#This Row],[Precio Bruto]]*1.16</f>
        <v>5361.8447999999989</v>
      </c>
      <c r="K676" s="281">
        <f>+Tabla4[[#This Row],[Precio Unitario Neto]]*Tabla4[[#Headers],[20.85%]]</f>
        <v>1117.9446407999997</v>
      </c>
      <c r="L676" s="282">
        <f>++Tabla4[[#This Row],[Precio Unitario Neto]]-Tabla4[[#This Row],[20.85%]]</f>
        <v>4243.9001591999995</v>
      </c>
      <c r="M676" s="282" t="e">
        <f>(INDEX(Tabla6[#All],MATCH(Tabla4[[#This Row],[Producto]],Tabla6[[#All],[PRODUCTO]],0),MATCH(Tabla4[[#This Row],[Mes]],Tabla6[#Headers],0)))*(1+Catalogos!$L$2)</f>
        <v>#N/A</v>
      </c>
      <c r="N676" s="283" t="e">
        <f>+(Tabla4[[#This Row],[Precio Descontado]]-Tabla4[[#This Row],[Precio Base]])*Tabla4[[#This Row],[Cantidad]]</f>
        <v>#N/A</v>
      </c>
      <c r="O676" s="284" t="e">
        <f>++Tabla4[[#This Row],[Utilidad Total]]/Tabla4[[#This Row],[Total]]</f>
        <v>#N/A</v>
      </c>
      <c r="P676" s="282">
        <f>++Tabla4[[#This Row],[Precio Descontado]]*Tabla4[[#This Row],[Cantidad]]</f>
        <v>50926.801910399998</v>
      </c>
      <c r="Q676" s="282" t="e">
        <f>(INDEX(Tabla6[#All],MATCH(Tabla4[[#This Row],[Producto]],Tabla6[[#All],[PRODUCTO]],0),MATCH(Tabla4[[#This Row],[Mes]],Tabla6[#Headers],0)))</f>
        <v>#N/A</v>
      </c>
      <c r="R676" s="282" t="e">
        <f>++Tabla4[[#This Row],[Precio Unitario Neto]]-Tabla4[[#This Row],[20.85%]]-Tabla4[[#This Row],[Costo]]</f>
        <v>#N/A</v>
      </c>
      <c r="S676" s="282" t="e">
        <f>++Tabla4[[#This Row],[U. Bruta Uni]]*Tabla4[[#This Row],[Cantidad]]</f>
        <v>#N/A</v>
      </c>
      <c r="T676" s="369" t="str">
        <f>VLOOKUP(Tabla4[[#This Row],[Producto]],Tabla6[#All],14,FALSE)</f>
        <v>Termico Solar</v>
      </c>
      <c r="U676" s="284" t="e">
        <f>(IF(Tabla4[[#This Row],[Familia]]="termico solar",Tabla4[[#This Row],[Utilidad Total]]*6%,Tabla4[[#This Row],[Utilidad Total]]*11.5%))/Tabla4[[#This Row],[Total]]</f>
        <v>#N/A</v>
      </c>
      <c r="V676" s="282" t="e">
        <f>+Tabla4[[#This Row],[Comisión Calculada]]*Tabla4[[#This Row],[Total]]</f>
        <v>#N/A</v>
      </c>
    </row>
    <row r="677" spans="1:22" hidden="1" x14ac:dyDescent="0.25">
      <c r="A677" s="100">
        <v>45716</v>
      </c>
      <c r="B677" t="str">
        <f t="shared" si="24"/>
        <v>February</v>
      </c>
      <c r="C677" s="46" t="s">
        <v>280</v>
      </c>
      <c r="F677" s="366" t="s">
        <v>989</v>
      </c>
      <c r="G677" s="46" t="s">
        <v>18</v>
      </c>
      <c r="H677" s="46">
        <v>7</v>
      </c>
      <c r="I677" s="51">
        <v>5367.6500000000005</v>
      </c>
      <c r="J677" s="281">
        <f>++Tabla4[[#This Row],[Precio Bruto]]*1.16</f>
        <v>6226.4740000000002</v>
      </c>
      <c r="K677" s="281">
        <f>+Tabla4[[#This Row],[Precio Unitario Neto]]*Tabla4[[#Headers],[20.85%]]</f>
        <v>1298.2198289999999</v>
      </c>
      <c r="L677" s="282">
        <f>++Tabla4[[#This Row],[Precio Unitario Neto]]-Tabla4[[#This Row],[20.85%]]</f>
        <v>4928.2541710000005</v>
      </c>
      <c r="M677" s="282" t="e">
        <f>(INDEX(Tabla6[#All],MATCH(Tabla4[[#This Row],[Producto]],Tabla6[[#All],[PRODUCTO]],0),MATCH(Tabla4[[#This Row],[Mes]],Tabla6[#Headers],0)))*(1+Catalogos!$L$2)</f>
        <v>#N/A</v>
      </c>
      <c r="N677" s="283" t="e">
        <f>+(Tabla4[[#This Row],[Precio Descontado]]-Tabla4[[#This Row],[Precio Base]])*Tabla4[[#This Row],[Cantidad]]</f>
        <v>#N/A</v>
      </c>
      <c r="O677" s="284" t="e">
        <f>++Tabla4[[#This Row],[Utilidad Total]]/Tabla4[[#This Row],[Total]]</f>
        <v>#N/A</v>
      </c>
      <c r="P677" s="282">
        <f>++Tabla4[[#This Row],[Precio Descontado]]*Tabla4[[#This Row],[Cantidad]]</f>
        <v>34497.779197000003</v>
      </c>
      <c r="Q677" s="282" t="e">
        <f>(INDEX(Tabla6[#All],MATCH(Tabla4[[#This Row],[Producto]],Tabla6[[#All],[PRODUCTO]],0),MATCH(Tabla4[[#This Row],[Mes]],Tabla6[#Headers],0)))</f>
        <v>#N/A</v>
      </c>
      <c r="R677" s="282" t="e">
        <f>++Tabla4[[#This Row],[Precio Unitario Neto]]-Tabla4[[#This Row],[20.85%]]-Tabla4[[#This Row],[Costo]]</f>
        <v>#N/A</v>
      </c>
      <c r="S677" s="282" t="e">
        <f>++Tabla4[[#This Row],[U. Bruta Uni]]*Tabla4[[#This Row],[Cantidad]]</f>
        <v>#N/A</v>
      </c>
      <c r="T677" s="369" t="str">
        <f>VLOOKUP(Tabla4[[#This Row],[Producto]],Tabla6[#All],14,FALSE)</f>
        <v>Termico Solar</v>
      </c>
      <c r="U677" s="284" t="e">
        <f>(IF(Tabla4[[#This Row],[Familia]]="termico solar",Tabla4[[#This Row],[Utilidad Total]]*6%,Tabla4[[#This Row],[Utilidad Total]]*11.5%))/Tabla4[[#This Row],[Total]]</f>
        <v>#N/A</v>
      </c>
      <c r="V677" s="282" t="e">
        <f>+Tabla4[[#This Row],[Comisión Calculada]]*Tabla4[[#This Row],[Total]]</f>
        <v>#N/A</v>
      </c>
    </row>
    <row r="678" spans="1:22" hidden="1" x14ac:dyDescent="0.25">
      <c r="A678" s="100">
        <v>45716</v>
      </c>
      <c r="B678" t="str">
        <f t="shared" si="24"/>
        <v>February</v>
      </c>
      <c r="C678" s="46" t="s">
        <v>280</v>
      </c>
      <c r="F678" s="366" t="s">
        <v>989</v>
      </c>
      <c r="G678" s="46" t="s">
        <v>566</v>
      </c>
      <c r="H678" s="46">
        <v>2</v>
      </c>
      <c r="I678" s="51">
        <v>2109.4499999999998</v>
      </c>
      <c r="J678" s="281">
        <f>++Tabla4[[#This Row],[Precio Bruto]]*1.16</f>
        <v>2446.9619999999995</v>
      </c>
      <c r="K678" s="281">
        <f>+Tabla4[[#This Row],[Precio Unitario Neto]]*Tabla4[[#Headers],[20.85%]]</f>
        <v>510.19157699999988</v>
      </c>
      <c r="L678" s="282">
        <f>++Tabla4[[#This Row],[Precio Unitario Neto]]-Tabla4[[#This Row],[20.85%]]</f>
        <v>1936.7704229999997</v>
      </c>
      <c r="M678" s="282" t="e">
        <f>(INDEX(Tabla6[#All],MATCH(Tabla4[[#This Row],[Producto]],Tabla6[[#All],[PRODUCTO]],0),MATCH(Tabla4[[#This Row],[Mes]],Tabla6[#Headers],0)))*(1+Catalogos!$L$2)</f>
        <v>#N/A</v>
      </c>
      <c r="N678" s="283" t="e">
        <f>+(Tabla4[[#This Row],[Precio Descontado]]-Tabla4[[#This Row],[Precio Base]])*Tabla4[[#This Row],[Cantidad]]</f>
        <v>#N/A</v>
      </c>
      <c r="O678" s="284" t="e">
        <f>++Tabla4[[#This Row],[Utilidad Total]]/Tabla4[[#This Row],[Total]]</f>
        <v>#N/A</v>
      </c>
      <c r="P678" s="282">
        <f>++Tabla4[[#This Row],[Precio Descontado]]*Tabla4[[#This Row],[Cantidad]]</f>
        <v>3873.5408459999994</v>
      </c>
      <c r="Q678" s="282" t="e">
        <f>(INDEX(Tabla6[#All],MATCH(Tabla4[[#This Row],[Producto]],Tabla6[[#All],[PRODUCTO]],0),MATCH(Tabla4[[#This Row],[Mes]],Tabla6[#Headers],0)))</f>
        <v>#N/A</v>
      </c>
      <c r="R678" s="282" t="e">
        <f>++Tabla4[[#This Row],[Precio Unitario Neto]]-Tabla4[[#This Row],[20.85%]]-Tabla4[[#This Row],[Costo]]</f>
        <v>#N/A</v>
      </c>
      <c r="S678" s="282" t="e">
        <f>++Tabla4[[#This Row],[U. Bruta Uni]]*Tabla4[[#This Row],[Cantidad]]</f>
        <v>#N/A</v>
      </c>
      <c r="T678" s="369" t="str">
        <f>VLOOKUP(Tabla4[[#This Row],[Producto]],Tabla6[#All],14,FALSE)</f>
        <v>Termico Solar</v>
      </c>
      <c r="U678" s="284" t="e">
        <f>(IF(Tabla4[[#This Row],[Familia]]="termico solar",Tabla4[[#This Row],[Utilidad Total]]*6%,Tabla4[[#This Row],[Utilidad Total]]*11.5%))/Tabla4[[#This Row],[Total]]</f>
        <v>#N/A</v>
      </c>
      <c r="V678" s="282" t="e">
        <f>+Tabla4[[#This Row],[Comisión Calculada]]*Tabla4[[#This Row],[Total]]</f>
        <v>#N/A</v>
      </c>
    </row>
    <row r="679" spans="1:22" hidden="1" x14ac:dyDescent="0.25">
      <c r="A679" s="100">
        <v>45716</v>
      </c>
      <c r="B679" t="str">
        <f t="shared" si="24"/>
        <v>February</v>
      </c>
      <c r="C679" s="46" t="s">
        <v>280</v>
      </c>
      <c r="F679" s="366" t="s">
        <v>989</v>
      </c>
      <c r="G679" s="46" t="s">
        <v>16</v>
      </c>
      <c r="H679" s="46">
        <v>6</v>
      </c>
      <c r="I679" s="51">
        <v>4103.8499999999995</v>
      </c>
      <c r="J679" s="281">
        <f>++Tabla4[[#This Row],[Precio Bruto]]*1.16</f>
        <v>4760.4659999999994</v>
      </c>
      <c r="K679" s="281">
        <f>+Tabla4[[#This Row],[Precio Unitario Neto]]*Tabla4[[#Headers],[20.85%]]</f>
        <v>992.55716099999984</v>
      </c>
      <c r="L679" s="282">
        <f>++Tabla4[[#This Row],[Precio Unitario Neto]]-Tabla4[[#This Row],[20.85%]]</f>
        <v>3767.9088389999997</v>
      </c>
      <c r="M679" s="282" t="e">
        <f>(INDEX(Tabla6[#All],MATCH(Tabla4[[#This Row],[Producto]],Tabla6[[#All],[PRODUCTO]],0),MATCH(Tabla4[[#This Row],[Mes]],Tabla6[#Headers],0)))*(1+Catalogos!$L$2)</f>
        <v>#N/A</v>
      </c>
      <c r="N679" s="283" t="e">
        <f>+(Tabla4[[#This Row],[Precio Descontado]]-Tabla4[[#This Row],[Precio Base]])*Tabla4[[#This Row],[Cantidad]]</f>
        <v>#N/A</v>
      </c>
      <c r="O679" s="284" t="e">
        <f>++Tabla4[[#This Row],[Utilidad Total]]/Tabla4[[#This Row],[Total]]</f>
        <v>#N/A</v>
      </c>
      <c r="P679" s="282">
        <f>++Tabla4[[#This Row],[Precio Descontado]]*Tabla4[[#This Row],[Cantidad]]</f>
        <v>22607.453033999998</v>
      </c>
      <c r="Q679" s="282" t="e">
        <f>(INDEX(Tabla6[#All],MATCH(Tabla4[[#This Row],[Producto]],Tabla6[[#All],[PRODUCTO]],0),MATCH(Tabla4[[#This Row],[Mes]],Tabla6[#Headers],0)))</f>
        <v>#N/A</v>
      </c>
      <c r="R679" s="282" t="e">
        <f>++Tabla4[[#This Row],[Precio Unitario Neto]]-Tabla4[[#This Row],[20.85%]]-Tabla4[[#This Row],[Costo]]</f>
        <v>#N/A</v>
      </c>
      <c r="S679" s="282" t="e">
        <f>++Tabla4[[#This Row],[U. Bruta Uni]]*Tabla4[[#This Row],[Cantidad]]</f>
        <v>#N/A</v>
      </c>
      <c r="T679" s="369" t="str">
        <f>VLOOKUP(Tabla4[[#This Row],[Producto]],Tabla6[#All],14,FALSE)</f>
        <v>Termico Solar</v>
      </c>
      <c r="U679" s="284" t="e">
        <f>(IF(Tabla4[[#This Row],[Familia]]="termico solar",Tabla4[[#This Row],[Utilidad Total]]*6%,Tabla4[[#This Row],[Utilidad Total]]*11.5%))/Tabla4[[#This Row],[Total]]</f>
        <v>#N/A</v>
      </c>
      <c r="V679" s="282" t="e">
        <f>+Tabla4[[#This Row],[Comisión Calculada]]*Tabla4[[#This Row],[Total]]</f>
        <v>#N/A</v>
      </c>
    </row>
    <row r="680" spans="1:22" hidden="1" x14ac:dyDescent="0.25">
      <c r="A680" s="100">
        <v>45716</v>
      </c>
      <c r="B680" t="str">
        <f t="shared" si="24"/>
        <v>February</v>
      </c>
      <c r="C680" s="46" t="s">
        <v>280</v>
      </c>
      <c r="F680" s="366" t="s">
        <v>990</v>
      </c>
      <c r="G680" s="46" t="s">
        <v>83</v>
      </c>
      <c r="H680" s="46">
        <v>1</v>
      </c>
      <c r="I680" s="51">
        <v>8858.76</v>
      </c>
      <c r="J680" s="281">
        <f>++Tabla4[[#This Row],[Precio Bruto]]*1.16</f>
        <v>10276.161599999999</v>
      </c>
      <c r="K680" s="281">
        <f>+Tabla4[[#This Row],[Precio Unitario Neto]]*Tabla4[[#Headers],[20.85%]]</f>
        <v>2142.5796935999997</v>
      </c>
      <c r="L680" s="282">
        <f>++Tabla4[[#This Row],[Precio Unitario Neto]]-Tabla4[[#This Row],[20.85%]]</f>
        <v>8133.5819063999998</v>
      </c>
      <c r="M680" s="282" t="e">
        <f>(INDEX(Tabla6[#All],MATCH(Tabla4[[#This Row],[Producto]],Tabla6[[#All],[PRODUCTO]],0),MATCH(Tabla4[[#This Row],[Mes]],Tabla6[#Headers],0)))*(1+Catalogos!$L$2)</f>
        <v>#N/A</v>
      </c>
      <c r="N680" s="283" t="e">
        <f>+(Tabla4[[#This Row],[Precio Descontado]]-Tabla4[[#This Row],[Precio Base]])*Tabla4[[#This Row],[Cantidad]]</f>
        <v>#N/A</v>
      </c>
      <c r="O680" s="284" t="e">
        <f>++Tabla4[[#This Row],[Utilidad Total]]/Tabla4[[#This Row],[Total]]</f>
        <v>#N/A</v>
      </c>
      <c r="P680" s="282">
        <f>++Tabla4[[#This Row],[Precio Descontado]]*Tabla4[[#This Row],[Cantidad]]</f>
        <v>8133.5819063999998</v>
      </c>
      <c r="Q680" s="282" t="e">
        <f>(INDEX(Tabla6[#All],MATCH(Tabla4[[#This Row],[Producto]],Tabla6[[#All],[PRODUCTO]],0),MATCH(Tabla4[[#This Row],[Mes]],Tabla6[#Headers],0)))</f>
        <v>#N/A</v>
      </c>
      <c r="R680" s="282" t="e">
        <f>++Tabla4[[#This Row],[Precio Unitario Neto]]-Tabla4[[#This Row],[20.85%]]-Tabla4[[#This Row],[Costo]]</f>
        <v>#N/A</v>
      </c>
      <c r="S680" s="282" t="e">
        <f>++Tabla4[[#This Row],[U. Bruta Uni]]*Tabla4[[#This Row],[Cantidad]]</f>
        <v>#N/A</v>
      </c>
      <c r="T680" s="369" t="str">
        <f>VLOOKUP(Tabla4[[#This Row],[Producto]],Tabla6[#All],14,FALSE)</f>
        <v>Termico Solar</v>
      </c>
      <c r="U680" s="284" t="e">
        <f>(IF(Tabla4[[#This Row],[Familia]]="termico solar",Tabla4[[#This Row],[Utilidad Total]]*6%,Tabla4[[#This Row],[Utilidad Total]]*11.5%))/Tabla4[[#This Row],[Total]]</f>
        <v>#N/A</v>
      </c>
      <c r="V680" s="282" t="e">
        <f>+Tabla4[[#This Row],[Comisión Calculada]]*Tabla4[[#This Row],[Total]]</f>
        <v>#N/A</v>
      </c>
    </row>
    <row r="681" spans="1:22" hidden="1" x14ac:dyDescent="0.25">
      <c r="A681" s="100">
        <v>45716</v>
      </c>
      <c r="B681" t="str">
        <f t="shared" si="24"/>
        <v>February</v>
      </c>
      <c r="C681" s="46" t="s">
        <v>280</v>
      </c>
      <c r="F681" s="366" t="s">
        <v>990</v>
      </c>
      <c r="G681" s="46" t="s">
        <v>18</v>
      </c>
      <c r="H681" s="46">
        <v>2</v>
      </c>
      <c r="I681" s="51">
        <v>5367.65</v>
      </c>
      <c r="J681" s="281">
        <f>++Tabla4[[#This Row],[Precio Bruto]]*1.16</f>
        <v>6226.4739999999993</v>
      </c>
      <c r="K681" s="281">
        <f>+Tabla4[[#This Row],[Precio Unitario Neto]]*Tabla4[[#Headers],[20.85%]]</f>
        <v>1298.2198289999999</v>
      </c>
      <c r="L681" s="282">
        <f>++Tabla4[[#This Row],[Precio Unitario Neto]]-Tabla4[[#This Row],[20.85%]]</f>
        <v>4928.2541709999996</v>
      </c>
      <c r="M681" s="282" t="e">
        <f>(INDEX(Tabla6[#All],MATCH(Tabla4[[#This Row],[Producto]],Tabla6[[#All],[PRODUCTO]],0),MATCH(Tabla4[[#This Row],[Mes]],Tabla6[#Headers],0)))*(1+Catalogos!$L$2)</f>
        <v>#N/A</v>
      </c>
      <c r="N681" s="283" t="e">
        <f>+(Tabla4[[#This Row],[Precio Descontado]]-Tabla4[[#This Row],[Precio Base]])*Tabla4[[#This Row],[Cantidad]]</f>
        <v>#N/A</v>
      </c>
      <c r="O681" s="284" t="e">
        <f>++Tabla4[[#This Row],[Utilidad Total]]/Tabla4[[#This Row],[Total]]</f>
        <v>#N/A</v>
      </c>
      <c r="P681" s="282">
        <f>++Tabla4[[#This Row],[Precio Descontado]]*Tabla4[[#This Row],[Cantidad]]</f>
        <v>9856.5083419999992</v>
      </c>
      <c r="Q681" s="282" t="e">
        <f>(INDEX(Tabla6[#All],MATCH(Tabla4[[#This Row],[Producto]],Tabla6[[#All],[PRODUCTO]],0),MATCH(Tabla4[[#This Row],[Mes]],Tabla6[#Headers],0)))</f>
        <v>#N/A</v>
      </c>
      <c r="R681" s="282" t="e">
        <f>++Tabla4[[#This Row],[Precio Unitario Neto]]-Tabla4[[#This Row],[20.85%]]-Tabla4[[#This Row],[Costo]]</f>
        <v>#N/A</v>
      </c>
      <c r="S681" s="282" t="e">
        <f>++Tabla4[[#This Row],[U. Bruta Uni]]*Tabla4[[#This Row],[Cantidad]]</f>
        <v>#N/A</v>
      </c>
      <c r="T681" s="369" t="str">
        <f>VLOOKUP(Tabla4[[#This Row],[Producto]],Tabla6[#All],14,FALSE)</f>
        <v>Termico Solar</v>
      </c>
      <c r="U681" s="284" t="e">
        <f>(IF(Tabla4[[#This Row],[Familia]]="termico solar",Tabla4[[#This Row],[Utilidad Total]]*6%,Tabla4[[#This Row],[Utilidad Total]]*11.5%))/Tabla4[[#This Row],[Total]]</f>
        <v>#N/A</v>
      </c>
      <c r="V681" s="282" t="e">
        <f>+Tabla4[[#This Row],[Comisión Calculada]]*Tabla4[[#This Row],[Total]]</f>
        <v>#N/A</v>
      </c>
    </row>
    <row r="682" spans="1:22" hidden="1" x14ac:dyDescent="0.25">
      <c r="A682" s="100">
        <v>45716</v>
      </c>
      <c r="B682" t="str">
        <f t="shared" si="24"/>
        <v>February</v>
      </c>
      <c r="C682" s="46" t="s">
        <v>280</v>
      </c>
      <c r="F682" s="366" t="s">
        <v>990</v>
      </c>
      <c r="G682" s="46" t="s">
        <v>566</v>
      </c>
      <c r="H682" s="46">
        <v>1</v>
      </c>
      <c r="I682" s="51">
        <v>2109.4499999999998</v>
      </c>
      <c r="J682" s="281">
        <f>++Tabla4[[#This Row],[Precio Bruto]]*1.16</f>
        <v>2446.9619999999995</v>
      </c>
      <c r="K682" s="281">
        <f>+Tabla4[[#This Row],[Precio Unitario Neto]]*Tabla4[[#Headers],[20.85%]]</f>
        <v>510.19157699999988</v>
      </c>
      <c r="L682" s="282">
        <f>++Tabla4[[#This Row],[Precio Unitario Neto]]-Tabla4[[#This Row],[20.85%]]</f>
        <v>1936.7704229999997</v>
      </c>
      <c r="M682" s="282" t="e">
        <f>(INDEX(Tabla6[#All],MATCH(Tabla4[[#This Row],[Producto]],Tabla6[[#All],[PRODUCTO]],0),MATCH(Tabla4[[#This Row],[Mes]],Tabla6[#Headers],0)))*(1+Catalogos!$L$2)</f>
        <v>#N/A</v>
      </c>
      <c r="N682" s="283" t="e">
        <f>+(Tabla4[[#This Row],[Precio Descontado]]-Tabla4[[#This Row],[Precio Base]])*Tabla4[[#This Row],[Cantidad]]</f>
        <v>#N/A</v>
      </c>
      <c r="O682" s="284" t="e">
        <f>++Tabla4[[#This Row],[Utilidad Total]]/Tabla4[[#This Row],[Total]]</f>
        <v>#N/A</v>
      </c>
      <c r="P682" s="282">
        <f>++Tabla4[[#This Row],[Precio Descontado]]*Tabla4[[#This Row],[Cantidad]]</f>
        <v>1936.7704229999997</v>
      </c>
      <c r="Q682" s="282" t="e">
        <f>(INDEX(Tabla6[#All],MATCH(Tabla4[[#This Row],[Producto]],Tabla6[[#All],[PRODUCTO]],0),MATCH(Tabla4[[#This Row],[Mes]],Tabla6[#Headers],0)))</f>
        <v>#N/A</v>
      </c>
      <c r="R682" s="282" t="e">
        <f>++Tabla4[[#This Row],[Precio Unitario Neto]]-Tabla4[[#This Row],[20.85%]]-Tabla4[[#This Row],[Costo]]</f>
        <v>#N/A</v>
      </c>
      <c r="S682" s="282" t="e">
        <f>++Tabla4[[#This Row],[U. Bruta Uni]]*Tabla4[[#This Row],[Cantidad]]</f>
        <v>#N/A</v>
      </c>
      <c r="T682" s="369" t="str">
        <f>VLOOKUP(Tabla4[[#This Row],[Producto]],Tabla6[#All],14,FALSE)</f>
        <v>Termico Solar</v>
      </c>
      <c r="U682" s="284" t="e">
        <f>(IF(Tabla4[[#This Row],[Familia]]="termico solar",Tabla4[[#This Row],[Utilidad Total]]*6%,Tabla4[[#This Row],[Utilidad Total]]*11.5%))/Tabla4[[#This Row],[Total]]</f>
        <v>#N/A</v>
      </c>
      <c r="V682" s="282" t="e">
        <f>+Tabla4[[#This Row],[Comisión Calculada]]*Tabla4[[#This Row],[Total]]</f>
        <v>#N/A</v>
      </c>
    </row>
    <row r="683" spans="1:22" hidden="1" x14ac:dyDescent="0.25">
      <c r="A683" s="100">
        <v>45716</v>
      </c>
      <c r="B683" t="str">
        <f t="shared" si="24"/>
        <v>February</v>
      </c>
      <c r="C683" s="46" t="s">
        <v>280</v>
      </c>
      <c r="F683" s="366" t="s">
        <v>990</v>
      </c>
      <c r="G683" s="46" t="s">
        <v>599</v>
      </c>
      <c r="H683" s="46">
        <v>1</v>
      </c>
      <c r="I683" s="51">
        <v>189.75</v>
      </c>
      <c r="J683" s="281">
        <f>++Tabla4[[#This Row],[Precio Bruto]]*1.16</f>
        <v>220.10999999999999</v>
      </c>
      <c r="K683" s="281">
        <f>+Tabla4[[#This Row],[Precio Unitario Neto]]*Tabla4[[#Headers],[20.85%]]</f>
        <v>45.892934999999994</v>
      </c>
      <c r="L683" s="282">
        <f>++Tabla4[[#This Row],[Precio Unitario Neto]]-Tabla4[[#This Row],[20.85%]]</f>
        <v>174.21706499999999</v>
      </c>
      <c r="M683" s="282" t="e">
        <f>(INDEX(Tabla6[#All],MATCH(Tabla4[[#This Row],[Producto]],Tabla6[[#All],[PRODUCTO]],0),MATCH(Tabla4[[#This Row],[Mes]],Tabla6[#Headers],0)))*(1+Catalogos!$L$2)</f>
        <v>#N/A</v>
      </c>
      <c r="N683" s="283" t="e">
        <f>+(Tabla4[[#This Row],[Precio Descontado]]-Tabla4[[#This Row],[Precio Base]])*Tabla4[[#This Row],[Cantidad]]</f>
        <v>#N/A</v>
      </c>
      <c r="O683" s="284" t="e">
        <f>++Tabla4[[#This Row],[Utilidad Total]]/Tabla4[[#This Row],[Total]]</f>
        <v>#N/A</v>
      </c>
      <c r="P683" s="282">
        <f>++Tabla4[[#This Row],[Precio Descontado]]*Tabla4[[#This Row],[Cantidad]]</f>
        <v>174.21706499999999</v>
      </c>
      <c r="Q683" s="282" t="e">
        <f>(INDEX(Tabla6[#All],MATCH(Tabla4[[#This Row],[Producto]],Tabla6[[#All],[PRODUCTO]],0),MATCH(Tabla4[[#This Row],[Mes]],Tabla6[#Headers],0)))</f>
        <v>#N/A</v>
      </c>
      <c r="R683" s="282" t="e">
        <f>++Tabla4[[#This Row],[Precio Unitario Neto]]-Tabla4[[#This Row],[20.85%]]-Tabla4[[#This Row],[Costo]]</f>
        <v>#N/A</v>
      </c>
      <c r="S683" s="282" t="e">
        <f>++Tabla4[[#This Row],[U. Bruta Uni]]*Tabla4[[#This Row],[Cantidad]]</f>
        <v>#N/A</v>
      </c>
      <c r="T683" s="369" t="str">
        <f>VLOOKUP(Tabla4[[#This Row],[Producto]],Tabla6[#All],14,FALSE)</f>
        <v>Termico Solar</v>
      </c>
      <c r="U683" s="284" t="e">
        <f>(IF(Tabla4[[#This Row],[Familia]]="termico solar",Tabla4[[#This Row],[Utilidad Total]]*6%,Tabla4[[#This Row],[Utilidad Total]]*11.5%))/Tabla4[[#This Row],[Total]]</f>
        <v>#N/A</v>
      </c>
      <c r="V683" s="282" t="e">
        <f>+Tabla4[[#This Row],[Comisión Calculada]]*Tabla4[[#This Row],[Total]]</f>
        <v>#N/A</v>
      </c>
    </row>
    <row r="684" spans="1:22" hidden="1" x14ac:dyDescent="0.25">
      <c r="A684" s="100">
        <v>45716</v>
      </c>
      <c r="B684" t="str">
        <f t="shared" si="24"/>
        <v>February</v>
      </c>
      <c r="C684" s="46" t="s">
        <v>280</v>
      </c>
      <c r="F684" s="366" t="s">
        <v>991</v>
      </c>
      <c r="G684" s="46" t="s">
        <v>17</v>
      </c>
      <c r="H684" s="46">
        <v>2</v>
      </c>
      <c r="I684" s="51">
        <v>4622.28</v>
      </c>
      <c r="J684" s="281">
        <f>++Tabla4[[#This Row],[Precio Bruto]]*1.16</f>
        <v>5361.8447999999989</v>
      </c>
      <c r="K684" s="281">
        <f>+Tabla4[[#This Row],[Precio Unitario Neto]]*Tabla4[[#Headers],[20.85%]]</f>
        <v>1117.9446407999997</v>
      </c>
      <c r="L684" s="282">
        <f>++Tabla4[[#This Row],[Precio Unitario Neto]]-Tabla4[[#This Row],[20.85%]]</f>
        <v>4243.9001591999995</v>
      </c>
      <c r="M684" s="282" t="e">
        <f>(INDEX(Tabla6[#All],MATCH(Tabla4[[#This Row],[Producto]],Tabla6[[#All],[PRODUCTO]],0),MATCH(Tabla4[[#This Row],[Mes]],Tabla6[#Headers],0)))*(1+Catalogos!$L$2)</f>
        <v>#N/A</v>
      </c>
      <c r="N684" s="283" t="e">
        <f>+(Tabla4[[#This Row],[Precio Descontado]]-Tabla4[[#This Row],[Precio Base]])*Tabla4[[#This Row],[Cantidad]]</f>
        <v>#N/A</v>
      </c>
      <c r="O684" s="284" t="e">
        <f>++Tabla4[[#This Row],[Utilidad Total]]/Tabla4[[#This Row],[Total]]</f>
        <v>#N/A</v>
      </c>
      <c r="P684" s="282">
        <f>++Tabla4[[#This Row],[Precio Descontado]]*Tabla4[[#This Row],[Cantidad]]</f>
        <v>8487.800318399999</v>
      </c>
      <c r="Q684" s="282" t="e">
        <f>(INDEX(Tabla6[#All],MATCH(Tabla4[[#This Row],[Producto]],Tabla6[[#All],[PRODUCTO]],0),MATCH(Tabla4[[#This Row],[Mes]],Tabla6[#Headers],0)))</f>
        <v>#N/A</v>
      </c>
      <c r="R684" s="282" t="e">
        <f>++Tabla4[[#This Row],[Precio Unitario Neto]]-Tabla4[[#This Row],[20.85%]]-Tabla4[[#This Row],[Costo]]</f>
        <v>#N/A</v>
      </c>
      <c r="S684" s="282" t="e">
        <f>++Tabla4[[#This Row],[U. Bruta Uni]]*Tabla4[[#This Row],[Cantidad]]</f>
        <v>#N/A</v>
      </c>
      <c r="T684" s="369" t="str">
        <f>VLOOKUP(Tabla4[[#This Row],[Producto]],Tabla6[#All],14,FALSE)</f>
        <v>Termico Solar</v>
      </c>
      <c r="U684" s="284" t="e">
        <f>(IF(Tabla4[[#This Row],[Familia]]="termico solar",Tabla4[[#This Row],[Utilidad Total]]*6%,Tabla4[[#This Row],[Utilidad Total]]*11.5%))/Tabla4[[#This Row],[Total]]</f>
        <v>#N/A</v>
      </c>
      <c r="V684" s="282" t="e">
        <f>+Tabla4[[#This Row],[Comisión Calculada]]*Tabla4[[#This Row],[Total]]</f>
        <v>#N/A</v>
      </c>
    </row>
    <row r="685" spans="1:22" hidden="1" x14ac:dyDescent="0.25">
      <c r="A685" s="100">
        <v>45716</v>
      </c>
      <c r="B685" t="str">
        <f t="shared" si="24"/>
        <v>February</v>
      </c>
      <c r="C685" s="46" t="s">
        <v>280</v>
      </c>
      <c r="F685" s="366" t="s">
        <v>991</v>
      </c>
      <c r="G685" s="46" t="s">
        <v>566</v>
      </c>
      <c r="H685" s="46">
        <v>1</v>
      </c>
      <c r="I685" s="51">
        <v>2109.4499999999998</v>
      </c>
      <c r="J685" s="281">
        <f>++Tabla4[[#This Row],[Precio Bruto]]*1.16</f>
        <v>2446.9619999999995</v>
      </c>
      <c r="K685" s="281">
        <f>+Tabla4[[#This Row],[Precio Unitario Neto]]*Tabla4[[#Headers],[20.85%]]</f>
        <v>510.19157699999988</v>
      </c>
      <c r="L685" s="282">
        <f>++Tabla4[[#This Row],[Precio Unitario Neto]]-Tabla4[[#This Row],[20.85%]]</f>
        <v>1936.7704229999997</v>
      </c>
      <c r="M685" s="282" t="e">
        <f>(INDEX(Tabla6[#All],MATCH(Tabla4[[#This Row],[Producto]],Tabla6[[#All],[PRODUCTO]],0),MATCH(Tabla4[[#This Row],[Mes]],Tabla6[#Headers],0)))*(1+Catalogos!$L$2)</f>
        <v>#N/A</v>
      </c>
      <c r="N685" s="283" t="e">
        <f>+(Tabla4[[#This Row],[Precio Descontado]]-Tabla4[[#This Row],[Precio Base]])*Tabla4[[#This Row],[Cantidad]]</f>
        <v>#N/A</v>
      </c>
      <c r="O685" s="284" t="e">
        <f>++Tabla4[[#This Row],[Utilidad Total]]/Tabla4[[#This Row],[Total]]</f>
        <v>#N/A</v>
      </c>
      <c r="P685" s="282">
        <f>++Tabla4[[#This Row],[Precio Descontado]]*Tabla4[[#This Row],[Cantidad]]</f>
        <v>1936.7704229999997</v>
      </c>
      <c r="Q685" s="282" t="e">
        <f>(INDEX(Tabla6[#All],MATCH(Tabla4[[#This Row],[Producto]],Tabla6[[#All],[PRODUCTO]],0),MATCH(Tabla4[[#This Row],[Mes]],Tabla6[#Headers],0)))</f>
        <v>#N/A</v>
      </c>
      <c r="R685" s="282" t="e">
        <f>++Tabla4[[#This Row],[Precio Unitario Neto]]-Tabla4[[#This Row],[20.85%]]-Tabla4[[#This Row],[Costo]]</f>
        <v>#N/A</v>
      </c>
      <c r="S685" s="282" t="e">
        <f>++Tabla4[[#This Row],[U. Bruta Uni]]*Tabla4[[#This Row],[Cantidad]]</f>
        <v>#N/A</v>
      </c>
      <c r="T685" s="369" t="str">
        <f>VLOOKUP(Tabla4[[#This Row],[Producto]],Tabla6[#All],14,FALSE)</f>
        <v>Termico Solar</v>
      </c>
      <c r="U685" s="284" t="e">
        <f>(IF(Tabla4[[#This Row],[Familia]]="termico solar",Tabla4[[#This Row],[Utilidad Total]]*6%,Tabla4[[#This Row],[Utilidad Total]]*11.5%))/Tabla4[[#This Row],[Total]]</f>
        <v>#N/A</v>
      </c>
      <c r="V685" s="282" t="e">
        <f>+Tabla4[[#This Row],[Comisión Calculada]]*Tabla4[[#This Row],[Total]]</f>
        <v>#N/A</v>
      </c>
    </row>
    <row r="686" spans="1:22" hidden="1" x14ac:dyDescent="0.25">
      <c r="A686" s="100">
        <v>45716</v>
      </c>
      <c r="B686" t="str">
        <f t="shared" si="24"/>
        <v>February</v>
      </c>
      <c r="C686" s="46" t="s">
        <v>280</v>
      </c>
      <c r="F686" s="366" t="s">
        <v>991</v>
      </c>
      <c r="G686" s="46" t="s">
        <v>394</v>
      </c>
      <c r="H686" s="46">
        <v>9</v>
      </c>
      <c r="I686" s="51">
        <v>108.1</v>
      </c>
      <c r="J686" s="281">
        <f>++Tabla4[[#This Row],[Precio Bruto]]*1.16</f>
        <v>125.39599999999999</v>
      </c>
      <c r="K686" s="281">
        <f>+Tabla4[[#This Row],[Precio Unitario Neto]]*Tabla4[[#Headers],[20.85%]]</f>
        <v>26.145065999999996</v>
      </c>
      <c r="L686" s="282">
        <f>++Tabla4[[#This Row],[Precio Unitario Neto]]-Tabla4[[#This Row],[20.85%]]</f>
        <v>99.250933999999987</v>
      </c>
      <c r="M686" s="282" t="e">
        <f>(INDEX(Tabla6[#All],MATCH(Tabla4[[#This Row],[Producto]],Tabla6[[#All],[PRODUCTO]],0),MATCH(Tabla4[[#This Row],[Mes]],Tabla6[#Headers],0)))*(1+Catalogos!$L$2)</f>
        <v>#N/A</v>
      </c>
      <c r="N686" s="283" t="e">
        <f>+(Tabla4[[#This Row],[Precio Descontado]]-Tabla4[[#This Row],[Precio Base]])*Tabla4[[#This Row],[Cantidad]]</f>
        <v>#N/A</v>
      </c>
      <c r="O686" s="284" t="e">
        <f>++Tabla4[[#This Row],[Utilidad Total]]/Tabla4[[#This Row],[Total]]</f>
        <v>#N/A</v>
      </c>
      <c r="P686" s="282">
        <f>++Tabla4[[#This Row],[Precio Descontado]]*Tabla4[[#This Row],[Cantidad]]</f>
        <v>893.25840599999992</v>
      </c>
      <c r="Q686" s="282" t="e">
        <f>(INDEX(Tabla6[#All],MATCH(Tabla4[[#This Row],[Producto]],Tabla6[[#All],[PRODUCTO]],0),MATCH(Tabla4[[#This Row],[Mes]],Tabla6[#Headers],0)))</f>
        <v>#N/A</v>
      </c>
      <c r="R686" s="282" t="e">
        <f>++Tabla4[[#This Row],[Precio Unitario Neto]]-Tabla4[[#This Row],[20.85%]]-Tabla4[[#This Row],[Costo]]</f>
        <v>#N/A</v>
      </c>
      <c r="S686" s="282" t="e">
        <f>++Tabla4[[#This Row],[U. Bruta Uni]]*Tabla4[[#This Row],[Cantidad]]</f>
        <v>#N/A</v>
      </c>
      <c r="T686" s="369" t="str">
        <f>VLOOKUP(Tabla4[[#This Row],[Producto]],Tabla6[#All],14,FALSE)</f>
        <v>Termico Solar</v>
      </c>
      <c r="U686" s="284" t="e">
        <f>(IF(Tabla4[[#This Row],[Familia]]="termico solar",Tabla4[[#This Row],[Utilidad Total]]*6%,Tabla4[[#This Row],[Utilidad Total]]*11.5%))/Tabla4[[#This Row],[Total]]</f>
        <v>#N/A</v>
      </c>
      <c r="V686" s="282" t="e">
        <f>+Tabla4[[#This Row],[Comisión Calculada]]*Tabla4[[#This Row],[Total]]</f>
        <v>#N/A</v>
      </c>
    </row>
    <row r="687" spans="1:22" hidden="1" x14ac:dyDescent="0.25">
      <c r="A687" s="100">
        <v>45716</v>
      </c>
      <c r="B687" t="str">
        <f t="shared" si="24"/>
        <v>February</v>
      </c>
      <c r="C687" s="46" t="s">
        <v>280</v>
      </c>
      <c r="F687" s="366" t="s">
        <v>992</v>
      </c>
      <c r="G687" s="46" t="s">
        <v>18</v>
      </c>
      <c r="H687" s="46">
        <v>4</v>
      </c>
      <c r="I687" s="51">
        <v>5367.65</v>
      </c>
      <c r="J687" s="281">
        <f>++Tabla4[[#This Row],[Precio Bruto]]*1.16</f>
        <v>6226.4739999999993</v>
      </c>
      <c r="K687" s="281">
        <f>+Tabla4[[#This Row],[Precio Unitario Neto]]*Tabla4[[#Headers],[20.85%]]</f>
        <v>1298.2198289999999</v>
      </c>
      <c r="L687" s="282">
        <f>++Tabla4[[#This Row],[Precio Unitario Neto]]-Tabla4[[#This Row],[20.85%]]</f>
        <v>4928.2541709999996</v>
      </c>
      <c r="M687" s="282" t="e">
        <f>(INDEX(Tabla6[#All],MATCH(Tabla4[[#This Row],[Producto]],Tabla6[[#All],[PRODUCTO]],0),MATCH(Tabla4[[#This Row],[Mes]],Tabla6[#Headers],0)))*(1+Catalogos!$L$2)</f>
        <v>#N/A</v>
      </c>
      <c r="N687" s="283" t="e">
        <f>+(Tabla4[[#This Row],[Precio Descontado]]-Tabla4[[#This Row],[Precio Base]])*Tabla4[[#This Row],[Cantidad]]</f>
        <v>#N/A</v>
      </c>
      <c r="O687" s="284" t="e">
        <f>++Tabla4[[#This Row],[Utilidad Total]]/Tabla4[[#This Row],[Total]]</f>
        <v>#N/A</v>
      </c>
      <c r="P687" s="282">
        <f>++Tabla4[[#This Row],[Precio Descontado]]*Tabla4[[#This Row],[Cantidad]]</f>
        <v>19713.016683999998</v>
      </c>
      <c r="Q687" s="282" t="e">
        <f>(INDEX(Tabla6[#All],MATCH(Tabla4[[#This Row],[Producto]],Tabla6[[#All],[PRODUCTO]],0),MATCH(Tabla4[[#This Row],[Mes]],Tabla6[#Headers],0)))</f>
        <v>#N/A</v>
      </c>
      <c r="R687" s="282" t="e">
        <f>++Tabla4[[#This Row],[Precio Unitario Neto]]-Tabla4[[#This Row],[20.85%]]-Tabla4[[#This Row],[Costo]]</f>
        <v>#N/A</v>
      </c>
      <c r="S687" s="282" t="e">
        <f>++Tabla4[[#This Row],[U. Bruta Uni]]*Tabla4[[#This Row],[Cantidad]]</f>
        <v>#N/A</v>
      </c>
      <c r="T687" s="369" t="str">
        <f>VLOOKUP(Tabla4[[#This Row],[Producto]],Tabla6[#All],14,FALSE)</f>
        <v>Termico Solar</v>
      </c>
      <c r="U687" s="284" t="e">
        <f>(IF(Tabla4[[#This Row],[Familia]]="termico solar",Tabla4[[#This Row],[Utilidad Total]]*6%,Tabla4[[#This Row],[Utilidad Total]]*11.5%))/Tabla4[[#This Row],[Total]]</f>
        <v>#N/A</v>
      </c>
      <c r="V687" s="282" t="e">
        <f>+Tabla4[[#This Row],[Comisión Calculada]]*Tabla4[[#This Row],[Total]]</f>
        <v>#N/A</v>
      </c>
    </row>
    <row r="688" spans="1:22" hidden="1" x14ac:dyDescent="0.25">
      <c r="A688" s="100">
        <v>45716</v>
      </c>
      <c r="B688" t="str">
        <f t="shared" si="24"/>
        <v>February</v>
      </c>
      <c r="C688" s="46" t="s">
        <v>280</v>
      </c>
      <c r="F688" s="366" t="s">
        <v>993</v>
      </c>
      <c r="G688" s="46" t="s">
        <v>83</v>
      </c>
      <c r="H688" s="46">
        <v>2</v>
      </c>
      <c r="I688" s="51">
        <v>8858.76</v>
      </c>
      <c r="J688" s="281">
        <f>++Tabla4[[#This Row],[Precio Bruto]]*1.16</f>
        <v>10276.161599999999</v>
      </c>
      <c r="K688" s="281">
        <f>+Tabla4[[#This Row],[Precio Unitario Neto]]*Tabla4[[#Headers],[20.85%]]</f>
        <v>2142.5796935999997</v>
      </c>
      <c r="L688" s="282">
        <f>++Tabla4[[#This Row],[Precio Unitario Neto]]-Tabla4[[#This Row],[20.85%]]</f>
        <v>8133.5819063999998</v>
      </c>
      <c r="M688" s="282" t="e">
        <f>(INDEX(Tabla6[#All],MATCH(Tabla4[[#This Row],[Producto]],Tabla6[[#All],[PRODUCTO]],0),MATCH(Tabla4[[#This Row],[Mes]],Tabla6[#Headers],0)))*(1+Catalogos!$L$2)</f>
        <v>#N/A</v>
      </c>
      <c r="N688" s="283" t="e">
        <f>+(Tabla4[[#This Row],[Precio Descontado]]-Tabla4[[#This Row],[Precio Base]])*Tabla4[[#This Row],[Cantidad]]</f>
        <v>#N/A</v>
      </c>
      <c r="O688" s="284" t="e">
        <f>++Tabla4[[#This Row],[Utilidad Total]]/Tabla4[[#This Row],[Total]]</f>
        <v>#N/A</v>
      </c>
      <c r="P688" s="282">
        <f>++Tabla4[[#This Row],[Precio Descontado]]*Tabla4[[#This Row],[Cantidad]]</f>
        <v>16267.1638128</v>
      </c>
      <c r="Q688" s="282" t="e">
        <f>(INDEX(Tabla6[#All],MATCH(Tabla4[[#This Row],[Producto]],Tabla6[[#All],[PRODUCTO]],0),MATCH(Tabla4[[#This Row],[Mes]],Tabla6[#Headers],0)))</f>
        <v>#N/A</v>
      </c>
      <c r="R688" s="282" t="e">
        <f>++Tabla4[[#This Row],[Precio Unitario Neto]]-Tabla4[[#This Row],[20.85%]]-Tabla4[[#This Row],[Costo]]</f>
        <v>#N/A</v>
      </c>
      <c r="S688" s="282" t="e">
        <f>++Tabla4[[#This Row],[U. Bruta Uni]]*Tabla4[[#This Row],[Cantidad]]</f>
        <v>#N/A</v>
      </c>
      <c r="T688" s="369" t="str">
        <f>VLOOKUP(Tabla4[[#This Row],[Producto]],Tabla6[#All],14,FALSE)</f>
        <v>Termico Solar</v>
      </c>
      <c r="U688" s="284" t="e">
        <f>(IF(Tabla4[[#This Row],[Familia]]="termico solar",Tabla4[[#This Row],[Utilidad Total]]*6%,Tabla4[[#This Row],[Utilidad Total]]*11.5%))/Tabla4[[#This Row],[Total]]</f>
        <v>#N/A</v>
      </c>
      <c r="V688" s="282" t="e">
        <f>+Tabla4[[#This Row],[Comisión Calculada]]*Tabla4[[#This Row],[Total]]</f>
        <v>#N/A</v>
      </c>
    </row>
    <row r="689" spans="1:22" hidden="1" x14ac:dyDescent="0.25">
      <c r="A689" s="100">
        <v>45716</v>
      </c>
      <c r="B689" t="str">
        <f t="shared" si="24"/>
        <v>February</v>
      </c>
      <c r="C689" s="46" t="s">
        <v>280</v>
      </c>
      <c r="F689" s="366" t="s">
        <v>993</v>
      </c>
      <c r="G689" s="46" t="s">
        <v>16</v>
      </c>
      <c r="H689" s="46">
        <v>2</v>
      </c>
      <c r="I689" s="51">
        <v>4103.8500000000004</v>
      </c>
      <c r="J689" s="281">
        <f>++Tabla4[[#This Row],[Precio Bruto]]*1.16</f>
        <v>4760.4660000000003</v>
      </c>
      <c r="K689" s="281">
        <f>+Tabla4[[#This Row],[Precio Unitario Neto]]*Tabla4[[#Headers],[20.85%]]</f>
        <v>992.55716100000006</v>
      </c>
      <c r="L689" s="282">
        <f>++Tabla4[[#This Row],[Precio Unitario Neto]]-Tabla4[[#This Row],[20.85%]]</f>
        <v>3767.9088390000002</v>
      </c>
      <c r="M689" s="282" t="e">
        <f>(INDEX(Tabla6[#All],MATCH(Tabla4[[#This Row],[Producto]],Tabla6[[#All],[PRODUCTO]],0),MATCH(Tabla4[[#This Row],[Mes]],Tabla6[#Headers],0)))*(1+Catalogos!$L$2)</f>
        <v>#N/A</v>
      </c>
      <c r="N689" s="283" t="e">
        <f>+(Tabla4[[#This Row],[Precio Descontado]]-Tabla4[[#This Row],[Precio Base]])*Tabla4[[#This Row],[Cantidad]]</f>
        <v>#N/A</v>
      </c>
      <c r="O689" s="284" t="e">
        <f>++Tabla4[[#This Row],[Utilidad Total]]/Tabla4[[#This Row],[Total]]</f>
        <v>#N/A</v>
      </c>
      <c r="P689" s="282">
        <f>++Tabla4[[#This Row],[Precio Descontado]]*Tabla4[[#This Row],[Cantidad]]</f>
        <v>7535.8176780000003</v>
      </c>
      <c r="Q689" s="282" t="e">
        <f>(INDEX(Tabla6[#All],MATCH(Tabla4[[#This Row],[Producto]],Tabla6[[#All],[PRODUCTO]],0),MATCH(Tabla4[[#This Row],[Mes]],Tabla6[#Headers],0)))</f>
        <v>#N/A</v>
      </c>
      <c r="R689" s="282" t="e">
        <f>++Tabla4[[#This Row],[Precio Unitario Neto]]-Tabla4[[#This Row],[20.85%]]-Tabla4[[#This Row],[Costo]]</f>
        <v>#N/A</v>
      </c>
      <c r="S689" s="282" t="e">
        <f>++Tabla4[[#This Row],[U. Bruta Uni]]*Tabla4[[#This Row],[Cantidad]]</f>
        <v>#N/A</v>
      </c>
      <c r="T689" s="369" t="str">
        <f>VLOOKUP(Tabla4[[#This Row],[Producto]],Tabla6[#All],14,FALSE)</f>
        <v>Termico Solar</v>
      </c>
      <c r="U689" s="284" t="e">
        <f>(IF(Tabla4[[#This Row],[Familia]]="termico solar",Tabla4[[#This Row],[Utilidad Total]]*6%,Tabla4[[#This Row],[Utilidad Total]]*11.5%))/Tabla4[[#This Row],[Total]]</f>
        <v>#N/A</v>
      </c>
      <c r="V689" s="282" t="e">
        <f>+Tabla4[[#This Row],[Comisión Calculada]]*Tabla4[[#This Row],[Total]]</f>
        <v>#N/A</v>
      </c>
    </row>
    <row r="690" spans="1:22" hidden="1" x14ac:dyDescent="0.25">
      <c r="A690" s="100">
        <v>45716</v>
      </c>
      <c r="B690" t="str">
        <f t="shared" si="24"/>
        <v>February</v>
      </c>
      <c r="C690" s="46" t="s">
        <v>280</v>
      </c>
      <c r="F690" s="366" t="s">
        <v>993</v>
      </c>
      <c r="G690" s="46" t="s">
        <v>209</v>
      </c>
      <c r="H690" s="46">
        <v>1</v>
      </c>
      <c r="I690" s="51">
        <v>347.48</v>
      </c>
      <c r="J690" s="281">
        <f>++Tabla4[[#This Row],[Precio Bruto]]*1.16</f>
        <v>403.07679999999999</v>
      </c>
      <c r="K690" s="281">
        <f>+Tabla4[[#This Row],[Precio Unitario Neto]]*Tabla4[[#Headers],[20.85%]]</f>
        <v>84.041512799999992</v>
      </c>
      <c r="L690" s="282">
        <f>++Tabla4[[#This Row],[Precio Unitario Neto]]-Tabla4[[#This Row],[20.85%]]</f>
        <v>319.03528719999997</v>
      </c>
      <c r="M690" s="282" t="e">
        <f>(INDEX(Tabla6[#All],MATCH(Tabla4[[#This Row],[Producto]],Tabla6[[#All],[PRODUCTO]],0),MATCH(Tabla4[[#This Row],[Mes]],Tabla6[#Headers],0)))*(1+Catalogos!$L$2)</f>
        <v>#N/A</v>
      </c>
      <c r="N690" s="283" t="e">
        <f>+(Tabla4[[#This Row],[Precio Descontado]]-Tabla4[[#This Row],[Precio Base]])*Tabla4[[#This Row],[Cantidad]]</f>
        <v>#N/A</v>
      </c>
      <c r="O690" s="284" t="e">
        <f>++Tabla4[[#This Row],[Utilidad Total]]/Tabla4[[#This Row],[Total]]</f>
        <v>#N/A</v>
      </c>
      <c r="P690" s="282">
        <f>++Tabla4[[#This Row],[Precio Descontado]]*Tabla4[[#This Row],[Cantidad]]</f>
        <v>319.03528719999997</v>
      </c>
      <c r="Q690" s="282" t="e">
        <f>(INDEX(Tabla6[#All],MATCH(Tabla4[[#This Row],[Producto]],Tabla6[[#All],[PRODUCTO]],0),MATCH(Tabla4[[#This Row],[Mes]],Tabla6[#Headers],0)))</f>
        <v>#N/A</v>
      </c>
      <c r="R690" s="282" t="e">
        <f>++Tabla4[[#This Row],[Precio Unitario Neto]]-Tabla4[[#This Row],[20.85%]]-Tabla4[[#This Row],[Costo]]</f>
        <v>#N/A</v>
      </c>
      <c r="S690" s="282" t="e">
        <f>++Tabla4[[#This Row],[U. Bruta Uni]]*Tabla4[[#This Row],[Cantidad]]</f>
        <v>#N/A</v>
      </c>
      <c r="T690" s="369" t="str">
        <f>VLOOKUP(Tabla4[[#This Row],[Producto]],Tabla6[#All],14,FALSE)</f>
        <v>Termico Solar</v>
      </c>
      <c r="U690" s="284" t="e">
        <f>(IF(Tabla4[[#This Row],[Familia]]="termico solar",Tabla4[[#This Row],[Utilidad Total]]*6%,Tabla4[[#This Row],[Utilidad Total]]*11.5%))/Tabla4[[#This Row],[Total]]</f>
        <v>#N/A</v>
      </c>
      <c r="V690" s="282" t="e">
        <f>+Tabla4[[#This Row],[Comisión Calculada]]*Tabla4[[#This Row],[Total]]</f>
        <v>#N/A</v>
      </c>
    </row>
    <row r="691" spans="1:22" hidden="1" x14ac:dyDescent="0.25">
      <c r="A691" s="100">
        <v>45716</v>
      </c>
      <c r="B691" t="str">
        <f t="shared" si="24"/>
        <v>February</v>
      </c>
      <c r="C691" s="46" t="s">
        <v>280</v>
      </c>
      <c r="F691" s="366" t="s">
        <v>994</v>
      </c>
      <c r="G691" s="46" t="s">
        <v>83</v>
      </c>
      <c r="H691" s="46">
        <v>2</v>
      </c>
      <c r="I691" s="51">
        <v>8858.76</v>
      </c>
      <c r="J691" s="281">
        <f>++Tabla4[[#This Row],[Precio Bruto]]*1.16</f>
        <v>10276.161599999999</v>
      </c>
      <c r="K691" s="281">
        <f>+Tabla4[[#This Row],[Precio Unitario Neto]]*Tabla4[[#Headers],[20.85%]]</f>
        <v>2142.5796935999997</v>
      </c>
      <c r="L691" s="282">
        <f>++Tabla4[[#This Row],[Precio Unitario Neto]]-Tabla4[[#This Row],[20.85%]]</f>
        <v>8133.5819063999998</v>
      </c>
      <c r="M691" s="282" t="e">
        <f>(INDEX(Tabla6[#All],MATCH(Tabla4[[#This Row],[Producto]],Tabla6[[#All],[PRODUCTO]],0),MATCH(Tabla4[[#This Row],[Mes]],Tabla6[#Headers],0)))*(1+Catalogos!$L$2)</f>
        <v>#N/A</v>
      </c>
      <c r="N691" s="283" t="e">
        <f>+(Tabla4[[#This Row],[Precio Descontado]]-Tabla4[[#This Row],[Precio Base]])*Tabla4[[#This Row],[Cantidad]]</f>
        <v>#N/A</v>
      </c>
      <c r="O691" s="284" t="e">
        <f>++Tabla4[[#This Row],[Utilidad Total]]/Tabla4[[#This Row],[Total]]</f>
        <v>#N/A</v>
      </c>
      <c r="P691" s="282">
        <f>++Tabla4[[#This Row],[Precio Descontado]]*Tabla4[[#This Row],[Cantidad]]</f>
        <v>16267.1638128</v>
      </c>
      <c r="Q691" s="282" t="e">
        <f>(INDEX(Tabla6[#All],MATCH(Tabla4[[#This Row],[Producto]],Tabla6[[#All],[PRODUCTO]],0),MATCH(Tabla4[[#This Row],[Mes]],Tabla6[#Headers],0)))</f>
        <v>#N/A</v>
      </c>
      <c r="R691" s="282" t="e">
        <f>++Tabla4[[#This Row],[Precio Unitario Neto]]-Tabla4[[#This Row],[20.85%]]-Tabla4[[#This Row],[Costo]]</f>
        <v>#N/A</v>
      </c>
      <c r="S691" s="282" t="e">
        <f>++Tabla4[[#This Row],[U. Bruta Uni]]*Tabla4[[#This Row],[Cantidad]]</f>
        <v>#N/A</v>
      </c>
      <c r="T691" s="369" t="str">
        <f>VLOOKUP(Tabla4[[#This Row],[Producto]],Tabla6[#All],14,FALSE)</f>
        <v>Termico Solar</v>
      </c>
      <c r="U691" s="284" t="e">
        <f>(IF(Tabla4[[#This Row],[Familia]]="termico solar",Tabla4[[#This Row],[Utilidad Total]]*6%,Tabla4[[#This Row],[Utilidad Total]]*11.5%))/Tabla4[[#This Row],[Total]]</f>
        <v>#N/A</v>
      </c>
      <c r="V691" s="282" t="e">
        <f>+Tabla4[[#This Row],[Comisión Calculada]]*Tabla4[[#This Row],[Total]]</f>
        <v>#N/A</v>
      </c>
    </row>
    <row r="692" spans="1:22" hidden="1" x14ac:dyDescent="0.25">
      <c r="A692" s="100">
        <v>45716</v>
      </c>
      <c r="B692" t="str">
        <f t="shared" si="24"/>
        <v>February</v>
      </c>
      <c r="C692" s="46" t="s">
        <v>280</v>
      </c>
      <c r="F692" s="366" t="s">
        <v>994</v>
      </c>
      <c r="G692" s="46" t="s">
        <v>209</v>
      </c>
      <c r="H692" s="46">
        <v>1</v>
      </c>
      <c r="I692" s="51">
        <v>347.48</v>
      </c>
      <c r="J692" s="281">
        <f>++Tabla4[[#This Row],[Precio Bruto]]*1.16</f>
        <v>403.07679999999999</v>
      </c>
      <c r="K692" s="281">
        <f>+Tabla4[[#This Row],[Precio Unitario Neto]]*Tabla4[[#Headers],[20.85%]]</f>
        <v>84.041512799999992</v>
      </c>
      <c r="L692" s="282">
        <f>++Tabla4[[#This Row],[Precio Unitario Neto]]-Tabla4[[#This Row],[20.85%]]</f>
        <v>319.03528719999997</v>
      </c>
      <c r="M692" s="282" t="e">
        <f>(INDEX(Tabla6[#All],MATCH(Tabla4[[#This Row],[Producto]],Tabla6[[#All],[PRODUCTO]],0),MATCH(Tabla4[[#This Row],[Mes]],Tabla6[#Headers],0)))*(1+Catalogos!$L$2)</f>
        <v>#N/A</v>
      </c>
      <c r="N692" s="283" t="e">
        <f>+(Tabla4[[#This Row],[Precio Descontado]]-Tabla4[[#This Row],[Precio Base]])*Tabla4[[#This Row],[Cantidad]]</f>
        <v>#N/A</v>
      </c>
      <c r="O692" s="284" t="e">
        <f>++Tabla4[[#This Row],[Utilidad Total]]/Tabla4[[#This Row],[Total]]</f>
        <v>#N/A</v>
      </c>
      <c r="P692" s="282">
        <f>++Tabla4[[#This Row],[Precio Descontado]]*Tabla4[[#This Row],[Cantidad]]</f>
        <v>319.03528719999997</v>
      </c>
      <c r="Q692" s="282" t="e">
        <f>(INDEX(Tabla6[#All],MATCH(Tabla4[[#This Row],[Producto]],Tabla6[[#All],[PRODUCTO]],0),MATCH(Tabla4[[#This Row],[Mes]],Tabla6[#Headers],0)))</f>
        <v>#N/A</v>
      </c>
      <c r="R692" s="282" t="e">
        <f>++Tabla4[[#This Row],[Precio Unitario Neto]]-Tabla4[[#This Row],[20.85%]]-Tabla4[[#This Row],[Costo]]</f>
        <v>#N/A</v>
      </c>
      <c r="S692" s="282" t="e">
        <f>++Tabla4[[#This Row],[U. Bruta Uni]]*Tabla4[[#This Row],[Cantidad]]</f>
        <v>#N/A</v>
      </c>
      <c r="T692" s="369" t="str">
        <f>VLOOKUP(Tabla4[[#This Row],[Producto]],Tabla6[#All],14,FALSE)</f>
        <v>Termico Solar</v>
      </c>
      <c r="U692" s="284" t="e">
        <f>(IF(Tabla4[[#This Row],[Familia]]="termico solar",Tabla4[[#This Row],[Utilidad Total]]*6%,Tabla4[[#This Row],[Utilidad Total]]*11.5%))/Tabla4[[#This Row],[Total]]</f>
        <v>#N/A</v>
      </c>
      <c r="V692" s="282" t="e">
        <f>+Tabla4[[#This Row],[Comisión Calculada]]*Tabla4[[#This Row],[Total]]</f>
        <v>#N/A</v>
      </c>
    </row>
    <row r="693" spans="1:22" hidden="1" x14ac:dyDescent="0.25">
      <c r="A693" s="100">
        <v>45716</v>
      </c>
      <c r="B693" t="str">
        <f t="shared" ref="B693:B698" si="25">TEXT(A693, "mmmm")</f>
        <v>February</v>
      </c>
      <c r="C693" s="46" t="s">
        <v>280</v>
      </c>
      <c r="F693" s="366" t="s">
        <v>995</v>
      </c>
      <c r="G693" s="46" t="s">
        <v>83</v>
      </c>
      <c r="H693" s="46">
        <v>4</v>
      </c>
      <c r="I693" s="51">
        <v>8858.76</v>
      </c>
      <c r="J693" s="281">
        <f>++Tabla4[[#This Row],[Precio Bruto]]*1.16</f>
        <v>10276.161599999999</v>
      </c>
      <c r="K693" s="281">
        <f>+Tabla4[[#This Row],[Precio Unitario Neto]]*Tabla4[[#Headers],[20.85%]]</f>
        <v>2142.5796935999997</v>
      </c>
      <c r="L693" s="282">
        <f>++Tabla4[[#This Row],[Precio Unitario Neto]]-Tabla4[[#This Row],[20.85%]]</f>
        <v>8133.5819063999998</v>
      </c>
      <c r="M693" s="282" t="e">
        <f>(INDEX(Tabla6[#All],MATCH(Tabla4[[#This Row],[Producto]],Tabla6[[#All],[PRODUCTO]],0),MATCH(Tabla4[[#This Row],[Mes]],Tabla6[#Headers],0)))*(1+Catalogos!$L$2)</f>
        <v>#N/A</v>
      </c>
      <c r="N693" s="283" t="e">
        <f>+(Tabla4[[#This Row],[Precio Descontado]]-Tabla4[[#This Row],[Precio Base]])*Tabla4[[#This Row],[Cantidad]]</f>
        <v>#N/A</v>
      </c>
      <c r="O693" s="284" t="e">
        <f>++Tabla4[[#This Row],[Utilidad Total]]/Tabla4[[#This Row],[Total]]</f>
        <v>#N/A</v>
      </c>
      <c r="P693" s="282">
        <f>++Tabla4[[#This Row],[Precio Descontado]]*Tabla4[[#This Row],[Cantidad]]</f>
        <v>32534.327625599999</v>
      </c>
      <c r="Q693" s="282" t="e">
        <f>(INDEX(Tabla6[#All],MATCH(Tabla4[[#This Row],[Producto]],Tabla6[[#All],[PRODUCTO]],0),MATCH(Tabla4[[#This Row],[Mes]],Tabla6[#Headers],0)))</f>
        <v>#N/A</v>
      </c>
      <c r="R693" s="282" t="e">
        <f>++Tabla4[[#This Row],[Precio Unitario Neto]]-Tabla4[[#This Row],[20.85%]]-Tabla4[[#This Row],[Costo]]</f>
        <v>#N/A</v>
      </c>
      <c r="S693" s="282" t="e">
        <f>++Tabla4[[#This Row],[U. Bruta Uni]]*Tabla4[[#This Row],[Cantidad]]</f>
        <v>#N/A</v>
      </c>
      <c r="T693" s="369" t="str">
        <f>VLOOKUP(Tabla4[[#This Row],[Producto]],Tabla6[#All],14,FALSE)</f>
        <v>Termico Solar</v>
      </c>
      <c r="U693" s="284" t="e">
        <f>(IF(Tabla4[[#This Row],[Familia]]="termico solar",Tabla4[[#This Row],[Utilidad Total]]*6%,Tabla4[[#This Row],[Utilidad Total]]*11.5%))/Tabla4[[#This Row],[Total]]</f>
        <v>#N/A</v>
      </c>
      <c r="V693" s="282" t="e">
        <f>+Tabla4[[#This Row],[Comisión Calculada]]*Tabla4[[#This Row],[Total]]</f>
        <v>#N/A</v>
      </c>
    </row>
    <row r="694" spans="1:22" hidden="1" x14ac:dyDescent="0.25">
      <c r="A694" s="100">
        <v>45716</v>
      </c>
      <c r="B694" t="str">
        <f t="shared" si="25"/>
        <v>February</v>
      </c>
      <c r="C694" s="46" t="s">
        <v>280</v>
      </c>
      <c r="F694" s="366" t="s">
        <v>995</v>
      </c>
      <c r="G694" s="46" t="s">
        <v>17</v>
      </c>
      <c r="H694" s="46">
        <v>7</v>
      </c>
      <c r="I694" s="51">
        <v>4622.28</v>
      </c>
      <c r="J694" s="281">
        <f>++Tabla4[[#This Row],[Precio Bruto]]*1.16</f>
        <v>5361.8447999999989</v>
      </c>
      <c r="K694" s="281">
        <f>+Tabla4[[#This Row],[Precio Unitario Neto]]*Tabla4[[#Headers],[20.85%]]</f>
        <v>1117.9446407999997</v>
      </c>
      <c r="L694" s="282">
        <f>++Tabla4[[#This Row],[Precio Unitario Neto]]-Tabla4[[#This Row],[20.85%]]</f>
        <v>4243.9001591999995</v>
      </c>
      <c r="M694" s="282" t="e">
        <f>(INDEX(Tabla6[#All],MATCH(Tabla4[[#This Row],[Producto]],Tabla6[[#All],[PRODUCTO]],0),MATCH(Tabla4[[#This Row],[Mes]],Tabla6[#Headers],0)))*(1+Catalogos!$L$2)</f>
        <v>#N/A</v>
      </c>
      <c r="N694" s="283" t="e">
        <f>+(Tabla4[[#This Row],[Precio Descontado]]-Tabla4[[#This Row],[Precio Base]])*Tabla4[[#This Row],[Cantidad]]</f>
        <v>#N/A</v>
      </c>
      <c r="O694" s="284" t="e">
        <f>++Tabla4[[#This Row],[Utilidad Total]]/Tabla4[[#This Row],[Total]]</f>
        <v>#N/A</v>
      </c>
      <c r="P694" s="282">
        <f>++Tabla4[[#This Row],[Precio Descontado]]*Tabla4[[#This Row],[Cantidad]]</f>
        <v>29707.301114399997</v>
      </c>
      <c r="Q694" s="282" t="e">
        <f>(INDEX(Tabla6[#All],MATCH(Tabla4[[#This Row],[Producto]],Tabla6[[#All],[PRODUCTO]],0),MATCH(Tabla4[[#This Row],[Mes]],Tabla6[#Headers],0)))</f>
        <v>#N/A</v>
      </c>
      <c r="R694" s="282" t="e">
        <f>++Tabla4[[#This Row],[Precio Unitario Neto]]-Tabla4[[#This Row],[20.85%]]-Tabla4[[#This Row],[Costo]]</f>
        <v>#N/A</v>
      </c>
      <c r="S694" s="282" t="e">
        <f>++Tabla4[[#This Row],[U. Bruta Uni]]*Tabla4[[#This Row],[Cantidad]]</f>
        <v>#N/A</v>
      </c>
      <c r="T694" s="369" t="str">
        <f>VLOOKUP(Tabla4[[#This Row],[Producto]],Tabla6[#All],14,FALSE)</f>
        <v>Termico Solar</v>
      </c>
      <c r="U694" s="284" t="e">
        <f>(IF(Tabla4[[#This Row],[Familia]]="termico solar",Tabla4[[#This Row],[Utilidad Total]]*6%,Tabla4[[#This Row],[Utilidad Total]]*11.5%))/Tabla4[[#This Row],[Total]]</f>
        <v>#N/A</v>
      </c>
      <c r="V694" s="282" t="e">
        <f>+Tabla4[[#This Row],[Comisión Calculada]]*Tabla4[[#This Row],[Total]]</f>
        <v>#N/A</v>
      </c>
    </row>
    <row r="695" spans="1:22" hidden="1" x14ac:dyDescent="0.25">
      <c r="A695" s="100">
        <v>45716</v>
      </c>
      <c r="B695" t="str">
        <f t="shared" si="25"/>
        <v>February</v>
      </c>
      <c r="C695" s="46" t="s">
        <v>280</v>
      </c>
      <c r="F695" s="366" t="s">
        <v>995</v>
      </c>
      <c r="G695" s="46" t="s">
        <v>566</v>
      </c>
      <c r="H695" s="46">
        <v>1</v>
      </c>
      <c r="I695" s="51">
        <v>2109.4499999999998</v>
      </c>
      <c r="J695" s="281">
        <f>++Tabla4[[#This Row],[Precio Bruto]]*1.16</f>
        <v>2446.9619999999995</v>
      </c>
      <c r="K695" s="281">
        <f>+Tabla4[[#This Row],[Precio Unitario Neto]]*Tabla4[[#Headers],[20.85%]]</f>
        <v>510.19157699999988</v>
      </c>
      <c r="L695" s="282">
        <f>++Tabla4[[#This Row],[Precio Unitario Neto]]-Tabla4[[#This Row],[20.85%]]</f>
        <v>1936.7704229999997</v>
      </c>
      <c r="M695" s="282" t="e">
        <f>(INDEX(Tabla6[#All],MATCH(Tabla4[[#This Row],[Producto]],Tabla6[[#All],[PRODUCTO]],0),MATCH(Tabla4[[#This Row],[Mes]],Tabla6[#Headers],0)))*(1+Catalogos!$L$2)</f>
        <v>#N/A</v>
      </c>
      <c r="N695" s="283" t="e">
        <f>+(Tabla4[[#This Row],[Precio Descontado]]-Tabla4[[#This Row],[Precio Base]])*Tabla4[[#This Row],[Cantidad]]</f>
        <v>#N/A</v>
      </c>
      <c r="O695" s="284" t="e">
        <f>++Tabla4[[#This Row],[Utilidad Total]]/Tabla4[[#This Row],[Total]]</f>
        <v>#N/A</v>
      </c>
      <c r="P695" s="282">
        <f>++Tabla4[[#This Row],[Precio Descontado]]*Tabla4[[#This Row],[Cantidad]]</f>
        <v>1936.7704229999997</v>
      </c>
      <c r="Q695" s="282" t="e">
        <f>(INDEX(Tabla6[#All],MATCH(Tabla4[[#This Row],[Producto]],Tabla6[[#All],[PRODUCTO]],0),MATCH(Tabla4[[#This Row],[Mes]],Tabla6[#Headers],0)))</f>
        <v>#N/A</v>
      </c>
      <c r="R695" s="282" t="e">
        <f>++Tabla4[[#This Row],[Precio Unitario Neto]]-Tabla4[[#This Row],[20.85%]]-Tabla4[[#This Row],[Costo]]</f>
        <v>#N/A</v>
      </c>
      <c r="S695" s="282" t="e">
        <f>++Tabla4[[#This Row],[U. Bruta Uni]]*Tabla4[[#This Row],[Cantidad]]</f>
        <v>#N/A</v>
      </c>
      <c r="T695" s="369" t="str">
        <f>VLOOKUP(Tabla4[[#This Row],[Producto]],Tabla6[#All],14,FALSE)</f>
        <v>Termico Solar</v>
      </c>
      <c r="U695" s="284" t="e">
        <f>(IF(Tabla4[[#This Row],[Familia]]="termico solar",Tabla4[[#This Row],[Utilidad Total]]*6%,Tabla4[[#This Row],[Utilidad Total]]*11.5%))/Tabla4[[#This Row],[Total]]</f>
        <v>#N/A</v>
      </c>
      <c r="V695" s="282" t="e">
        <f>+Tabla4[[#This Row],[Comisión Calculada]]*Tabla4[[#This Row],[Total]]</f>
        <v>#N/A</v>
      </c>
    </row>
    <row r="696" spans="1:22" hidden="1" x14ac:dyDescent="0.25">
      <c r="A696" s="100">
        <v>45716</v>
      </c>
      <c r="B696" t="str">
        <f t="shared" si="25"/>
        <v>February</v>
      </c>
      <c r="C696" s="46" t="s">
        <v>280</v>
      </c>
      <c r="F696" s="366" t="s">
        <v>995</v>
      </c>
      <c r="G696" s="46" t="s">
        <v>16</v>
      </c>
      <c r="H696" s="46">
        <v>4</v>
      </c>
      <c r="I696" s="51">
        <v>4103.8500000000004</v>
      </c>
      <c r="J696" s="281">
        <f>++Tabla4[[#This Row],[Precio Bruto]]*1.16</f>
        <v>4760.4660000000003</v>
      </c>
      <c r="K696" s="281">
        <f>+Tabla4[[#This Row],[Precio Unitario Neto]]*Tabla4[[#Headers],[20.85%]]</f>
        <v>992.55716100000006</v>
      </c>
      <c r="L696" s="282">
        <f>++Tabla4[[#This Row],[Precio Unitario Neto]]-Tabla4[[#This Row],[20.85%]]</f>
        <v>3767.9088390000002</v>
      </c>
      <c r="M696" s="282" t="e">
        <f>(INDEX(Tabla6[#All],MATCH(Tabla4[[#This Row],[Producto]],Tabla6[[#All],[PRODUCTO]],0),MATCH(Tabla4[[#This Row],[Mes]],Tabla6[#Headers],0)))*(1+Catalogos!$L$2)</f>
        <v>#N/A</v>
      </c>
      <c r="N696" s="283" t="e">
        <f>+(Tabla4[[#This Row],[Precio Descontado]]-Tabla4[[#This Row],[Precio Base]])*Tabla4[[#This Row],[Cantidad]]</f>
        <v>#N/A</v>
      </c>
      <c r="O696" s="284" t="e">
        <f>++Tabla4[[#This Row],[Utilidad Total]]/Tabla4[[#This Row],[Total]]</f>
        <v>#N/A</v>
      </c>
      <c r="P696" s="282">
        <f>++Tabla4[[#This Row],[Precio Descontado]]*Tabla4[[#This Row],[Cantidad]]</f>
        <v>15071.635356000001</v>
      </c>
      <c r="Q696" s="282" t="e">
        <f>(INDEX(Tabla6[#All],MATCH(Tabla4[[#This Row],[Producto]],Tabla6[[#All],[PRODUCTO]],0),MATCH(Tabla4[[#This Row],[Mes]],Tabla6[#Headers],0)))</f>
        <v>#N/A</v>
      </c>
      <c r="R696" s="282" t="e">
        <f>++Tabla4[[#This Row],[Precio Unitario Neto]]-Tabla4[[#This Row],[20.85%]]-Tabla4[[#This Row],[Costo]]</f>
        <v>#N/A</v>
      </c>
      <c r="S696" s="282" t="e">
        <f>++Tabla4[[#This Row],[U. Bruta Uni]]*Tabla4[[#This Row],[Cantidad]]</f>
        <v>#N/A</v>
      </c>
      <c r="T696" s="369" t="str">
        <f>VLOOKUP(Tabla4[[#This Row],[Producto]],Tabla6[#All],14,FALSE)</f>
        <v>Termico Solar</v>
      </c>
      <c r="U696" s="284" t="e">
        <f>(IF(Tabla4[[#This Row],[Familia]]="termico solar",Tabla4[[#This Row],[Utilidad Total]]*6%,Tabla4[[#This Row],[Utilidad Total]]*11.5%))/Tabla4[[#This Row],[Total]]</f>
        <v>#N/A</v>
      </c>
      <c r="V696" s="282" t="e">
        <f>+Tabla4[[#This Row],[Comisión Calculada]]*Tabla4[[#This Row],[Total]]</f>
        <v>#N/A</v>
      </c>
    </row>
    <row r="697" spans="1:22" hidden="1" x14ac:dyDescent="0.25">
      <c r="A697" s="100">
        <v>45716</v>
      </c>
      <c r="B697" t="str">
        <f t="shared" si="25"/>
        <v>February</v>
      </c>
      <c r="C697" s="46" t="s">
        <v>280</v>
      </c>
      <c r="F697" s="366" t="s">
        <v>995</v>
      </c>
      <c r="G697" s="46" t="s">
        <v>394</v>
      </c>
      <c r="H697" s="46">
        <v>16</v>
      </c>
      <c r="I697" s="51">
        <v>224.29</v>
      </c>
      <c r="J697" s="281">
        <f>++Tabla4[[#This Row],[Precio Bruto]]*1.16</f>
        <v>260.1764</v>
      </c>
      <c r="K697" s="281">
        <f>+Tabla4[[#This Row],[Precio Unitario Neto]]*Tabla4[[#Headers],[20.85%]]</f>
        <v>54.246779400000001</v>
      </c>
      <c r="L697" s="282">
        <f>++Tabla4[[#This Row],[Precio Unitario Neto]]-Tabla4[[#This Row],[20.85%]]</f>
        <v>205.92962059999999</v>
      </c>
      <c r="M697" s="282" t="e">
        <f>(INDEX(Tabla6[#All],MATCH(Tabla4[[#This Row],[Producto]],Tabla6[[#All],[PRODUCTO]],0),MATCH(Tabla4[[#This Row],[Mes]],Tabla6[#Headers],0)))*(1+Catalogos!$L$2)</f>
        <v>#N/A</v>
      </c>
      <c r="N697" s="283" t="e">
        <f>+(Tabla4[[#This Row],[Precio Descontado]]-Tabla4[[#This Row],[Precio Base]])*Tabla4[[#This Row],[Cantidad]]</f>
        <v>#N/A</v>
      </c>
      <c r="O697" s="284" t="e">
        <f>++Tabla4[[#This Row],[Utilidad Total]]/Tabla4[[#This Row],[Total]]</f>
        <v>#N/A</v>
      </c>
      <c r="P697" s="282">
        <f>++Tabla4[[#This Row],[Precio Descontado]]*Tabla4[[#This Row],[Cantidad]]</f>
        <v>3294.8739295999999</v>
      </c>
      <c r="Q697" s="282" t="e">
        <f>(INDEX(Tabla6[#All],MATCH(Tabla4[[#This Row],[Producto]],Tabla6[[#All],[PRODUCTO]],0),MATCH(Tabla4[[#This Row],[Mes]],Tabla6[#Headers],0)))</f>
        <v>#N/A</v>
      </c>
      <c r="R697" s="282" t="e">
        <f>++Tabla4[[#This Row],[Precio Unitario Neto]]-Tabla4[[#This Row],[20.85%]]-Tabla4[[#This Row],[Costo]]</f>
        <v>#N/A</v>
      </c>
      <c r="S697" s="282" t="e">
        <f>++Tabla4[[#This Row],[U. Bruta Uni]]*Tabla4[[#This Row],[Cantidad]]</f>
        <v>#N/A</v>
      </c>
      <c r="T697" s="369" t="str">
        <f>VLOOKUP(Tabla4[[#This Row],[Producto]],Tabla6[#All],14,FALSE)</f>
        <v>Termico Solar</v>
      </c>
      <c r="U697" s="284" t="e">
        <f>(IF(Tabla4[[#This Row],[Familia]]="termico solar",Tabla4[[#This Row],[Utilidad Total]]*6%,Tabla4[[#This Row],[Utilidad Total]]*11.5%))/Tabla4[[#This Row],[Total]]</f>
        <v>#N/A</v>
      </c>
      <c r="V697" s="282" t="e">
        <f>+Tabla4[[#This Row],[Comisión Calculada]]*Tabla4[[#This Row],[Total]]</f>
        <v>#N/A</v>
      </c>
    </row>
    <row r="698" spans="1:22" hidden="1" x14ac:dyDescent="0.25">
      <c r="A698" s="100">
        <v>45716</v>
      </c>
      <c r="B698" t="str">
        <f t="shared" si="25"/>
        <v>February</v>
      </c>
      <c r="C698" s="46" t="s">
        <v>280</v>
      </c>
      <c r="F698" s="366" t="s">
        <v>995</v>
      </c>
      <c r="G698" s="46" t="s">
        <v>599</v>
      </c>
      <c r="H698" s="46">
        <v>1</v>
      </c>
      <c r="I698" s="51">
        <v>189.75</v>
      </c>
      <c r="J698" s="281">
        <f>++Tabla4[[#This Row],[Precio Bruto]]*1.16</f>
        <v>220.10999999999999</v>
      </c>
      <c r="K698" s="281">
        <f>+Tabla4[[#This Row],[Precio Unitario Neto]]*Tabla4[[#Headers],[20.85%]]</f>
        <v>45.892934999999994</v>
      </c>
      <c r="L698" s="282">
        <f>++Tabla4[[#This Row],[Precio Unitario Neto]]-Tabla4[[#This Row],[20.85%]]</f>
        <v>174.21706499999999</v>
      </c>
      <c r="M698" s="282" t="e">
        <f>(INDEX(Tabla6[#All],MATCH(Tabla4[[#This Row],[Producto]],Tabla6[[#All],[PRODUCTO]],0),MATCH(Tabla4[[#This Row],[Mes]],Tabla6[#Headers],0)))*(1+Catalogos!$L$2)</f>
        <v>#N/A</v>
      </c>
      <c r="N698" s="283" t="e">
        <f>+(Tabla4[[#This Row],[Precio Descontado]]-Tabla4[[#This Row],[Precio Base]])*Tabla4[[#This Row],[Cantidad]]</f>
        <v>#N/A</v>
      </c>
      <c r="O698" s="284" t="e">
        <f>++Tabla4[[#This Row],[Utilidad Total]]/Tabla4[[#This Row],[Total]]</f>
        <v>#N/A</v>
      </c>
      <c r="P698" s="282">
        <f>++Tabla4[[#This Row],[Precio Descontado]]*Tabla4[[#This Row],[Cantidad]]</f>
        <v>174.21706499999999</v>
      </c>
      <c r="Q698" s="282" t="e">
        <f>(INDEX(Tabla6[#All],MATCH(Tabla4[[#This Row],[Producto]],Tabla6[[#All],[PRODUCTO]],0),MATCH(Tabla4[[#This Row],[Mes]],Tabla6[#Headers],0)))</f>
        <v>#N/A</v>
      </c>
      <c r="R698" s="282" t="e">
        <f>++Tabla4[[#This Row],[Precio Unitario Neto]]-Tabla4[[#This Row],[20.85%]]-Tabla4[[#This Row],[Costo]]</f>
        <v>#N/A</v>
      </c>
      <c r="S698" s="282" t="e">
        <f>++Tabla4[[#This Row],[U. Bruta Uni]]*Tabla4[[#This Row],[Cantidad]]</f>
        <v>#N/A</v>
      </c>
      <c r="T698" s="369" t="str">
        <f>VLOOKUP(Tabla4[[#This Row],[Producto]],Tabla6[#All],14,FALSE)</f>
        <v>Termico Solar</v>
      </c>
      <c r="U698" s="284" t="e">
        <f>(IF(Tabla4[[#This Row],[Familia]]="termico solar",Tabla4[[#This Row],[Utilidad Total]]*6%,Tabla4[[#This Row],[Utilidad Total]]*11.5%))/Tabla4[[#This Row],[Total]]</f>
        <v>#N/A</v>
      </c>
      <c r="V698" s="282" t="e">
        <f>+Tabla4[[#This Row],[Comisión Calculada]]*Tabla4[[#This Row],[Total]]</f>
        <v>#N/A</v>
      </c>
    </row>
    <row r="699" spans="1:22" hidden="1" x14ac:dyDescent="0.25">
      <c r="A699" s="100">
        <v>45716</v>
      </c>
      <c r="B699" t="str">
        <f t="shared" ref="B699:B730" si="26">TEXT(A699, "mmmm")</f>
        <v>February</v>
      </c>
      <c r="C699" s="46" t="s">
        <v>280</v>
      </c>
      <c r="F699" s="366" t="s">
        <v>996</v>
      </c>
      <c r="G699" s="46" t="s">
        <v>83</v>
      </c>
      <c r="H699" s="46">
        <v>2</v>
      </c>
      <c r="I699" s="51">
        <v>8858.76</v>
      </c>
      <c r="J699" s="281">
        <f>++Tabla4[[#This Row],[Precio Bruto]]*1.16</f>
        <v>10276.161599999999</v>
      </c>
      <c r="K699" s="281">
        <f>+Tabla4[[#This Row],[Precio Unitario Neto]]*Tabla4[[#Headers],[20.85%]]</f>
        <v>2142.5796935999997</v>
      </c>
      <c r="L699" s="282">
        <f>++Tabla4[[#This Row],[Precio Unitario Neto]]-Tabla4[[#This Row],[20.85%]]</f>
        <v>8133.5819063999998</v>
      </c>
      <c r="M699" s="282" t="e">
        <f>(INDEX(Tabla6[#All],MATCH(Tabla4[[#This Row],[Producto]],Tabla6[[#All],[PRODUCTO]],0),MATCH(Tabla4[[#This Row],[Mes]],Tabla6[#Headers],0)))*(1+Catalogos!$L$2)</f>
        <v>#N/A</v>
      </c>
      <c r="N699" s="283" t="e">
        <f>+(Tabla4[[#This Row],[Precio Descontado]]-Tabla4[[#This Row],[Precio Base]])*Tabla4[[#This Row],[Cantidad]]</f>
        <v>#N/A</v>
      </c>
      <c r="O699" s="284" t="e">
        <f>++Tabla4[[#This Row],[Utilidad Total]]/Tabla4[[#This Row],[Total]]</f>
        <v>#N/A</v>
      </c>
      <c r="P699" s="282">
        <f>++Tabla4[[#This Row],[Precio Descontado]]*Tabla4[[#This Row],[Cantidad]]</f>
        <v>16267.1638128</v>
      </c>
      <c r="Q699" s="282" t="e">
        <f>(INDEX(Tabla6[#All],MATCH(Tabla4[[#This Row],[Producto]],Tabla6[[#All],[PRODUCTO]],0),MATCH(Tabla4[[#This Row],[Mes]],Tabla6[#Headers],0)))</f>
        <v>#N/A</v>
      </c>
      <c r="R699" s="282" t="e">
        <f>++Tabla4[[#This Row],[Precio Unitario Neto]]-Tabla4[[#This Row],[20.85%]]-Tabla4[[#This Row],[Costo]]</f>
        <v>#N/A</v>
      </c>
      <c r="S699" s="282" t="e">
        <f>++Tabla4[[#This Row],[U. Bruta Uni]]*Tabla4[[#This Row],[Cantidad]]</f>
        <v>#N/A</v>
      </c>
      <c r="T699" s="369" t="str">
        <f>VLOOKUP(Tabla4[[#This Row],[Producto]],Tabla6[#All],14,FALSE)</f>
        <v>Termico Solar</v>
      </c>
      <c r="U699" s="284" t="e">
        <f>(IF(Tabla4[[#This Row],[Familia]]="termico solar",Tabla4[[#This Row],[Utilidad Total]]*6%,Tabla4[[#This Row],[Utilidad Total]]*11.5%))/Tabla4[[#This Row],[Total]]</f>
        <v>#N/A</v>
      </c>
      <c r="V699" s="282" t="e">
        <f>+Tabla4[[#This Row],[Comisión Calculada]]*Tabla4[[#This Row],[Total]]</f>
        <v>#N/A</v>
      </c>
    </row>
    <row r="700" spans="1:22" hidden="1" x14ac:dyDescent="0.25">
      <c r="A700" s="100">
        <v>45716</v>
      </c>
      <c r="B700" t="str">
        <f t="shared" si="26"/>
        <v>February</v>
      </c>
      <c r="C700" s="46" t="s">
        <v>280</v>
      </c>
      <c r="F700" s="366" t="s">
        <v>996</v>
      </c>
      <c r="G700" s="46" t="s">
        <v>17</v>
      </c>
      <c r="H700" s="46">
        <v>1</v>
      </c>
      <c r="I700" s="51">
        <v>4622.28</v>
      </c>
      <c r="J700" s="281">
        <f>++Tabla4[[#This Row],[Precio Bruto]]*1.16</f>
        <v>5361.8447999999989</v>
      </c>
      <c r="K700" s="281">
        <f>+Tabla4[[#This Row],[Precio Unitario Neto]]*Tabla4[[#Headers],[20.85%]]</f>
        <v>1117.9446407999997</v>
      </c>
      <c r="L700" s="282">
        <f>++Tabla4[[#This Row],[Precio Unitario Neto]]-Tabla4[[#This Row],[20.85%]]</f>
        <v>4243.9001591999995</v>
      </c>
      <c r="M700" s="282" t="e">
        <f>(INDEX(Tabla6[#All],MATCH(Tabla4[[#This Row],[Producto]],Tabla6[[#All],[PRODUCTO]],0),MATCH(Tabla4[[#This Row],[Mes]],Tabla6[#Headers],0)))*(1+Catalogos!$L$2)</f>
        <v>#N/A</v>
      </c>
      <c r="N700" s="283" t="e">
        <f>+(Tabla4[[#This Row],[Precio Descontado]]-Tabla4[[#This Row],[Precio Base]])*Tabla4[[#This Row],[Cantidad]]</f>
        <v>#N/A</v>
      </c>
      <c r="O700" s="284" t="e">
        <f>++Tabla4[[#This Row],[Utilidad Total]]/Tabla4[[#This Row],[Total]]</f>
        <v>#N/A</v>
      </c>
      <c r="P700" s="282">
        <f>++Tabla4[[#This Row],[Precio Descontado]]*Tabla4[[#This Row],[Cantidad]]</f>
        <v>4243.9001591999995</v>
      </c>
      <c r="Q700" s="282" t="e">
        <f>(INDEX(Tabla6[#All],MATCH(Tabla4[[#This Row],[Producto]],Tabla6[[#All],[PRODUCTO]],0),MATCH(Tabla4[[#This Row],[Mes]],Tabla6[#Headers],0)))</f>
        <v>#N/A</v>
      </c>
      <c r="R700" s="282" t="e">
        <f>++Tabla4[[#This Row],[Precio Unitario Neto]]-Tabla4[[#This Row],[20.85%]]-Tabla4[[#This Row],[Costo]]</f>
        <v>#N/A</v>
      </c>
      <c r="S700" s="282" t="e">
        <f>++Tabla4[[#This Row],[U. Bruta Uni]]*Tabla4[[#This Row],[Cantidad]]</f>
        <v>#N/A</v>
      </c>
      <c r="T700" s="369" t="str">
        <f>VLOOKUP(Tabla4[[#This Row],[Producto]],Tabla6[#All],14,FALSE)</f>
        <v>Termico Solar</v>
      </c>
      <c r="U700" s="284" t="e">
        <f>(IF(Tabla4[[#This Row],[Familia]]="termico solar",Tabla4[[#This Row],[Utilidad Total]]*6%,Tabla4[[#This Row],[Utilidad Total]]*11.5%))/Tabla4[[#This Row],[Total]]</f>
        <v>#N/A</v>
      </c>
      <c r="V700" s="282" t="e">
        <f>+Tabla4[[#This Row],[Comisión Calculada]]*Tabla4[[#This Row],[Total]]</f>
        <v>#N/A</v>
      </c>
    </row>
    <row r="701" spans="1:22" hidden="1" x14ac:dyDescent="0.25">
      <c r="A701" s="100">
        <v>45716</v>
      </c>
      <c r="B701" t="str">
        <f t="shared" si="26"/>
        <v>February</v>
      </c>
      <c r="C701" s="46" t="s">
        <v>280</v>
      </c>
      <c r="F701" s="366" t="s">
        <v>996</v>
      </c>
      <c r="G701" s="46" t="s">
        <v>566</v>
      </c>
      <c r="H701" s="46">
        <v>1</v>
      </c>
      <c r="I701" s="51">
        <v>2109.4499999999998</v>
      </c>
      <c r="J701" s="281">
        <f>++Tabla4[[#This Row],[Precio Bruto]]*1.16</f>
        <v>2446.9619999999995</v>
      </c>
      <c r="K701" s="281">
        <f>+Tabla4[[#This Row],[Precio Unitario Neto]]*Tabla4[[#Headers],[20.85%]]</f>
        <v>510.19157699999988</v>
      </c>
      <c r="L701" s="282">
        <f>++Tabla4[[#This Row],[Precio Unitario Neto]]-Tabla4[[#This Row],[20.85%]]</f>
        <v>1936.7704229999997</v>
      </c>
      <c r="M701" s="282" t="e">
        <f>(INDEX(Tabla6[#All],MATCH(Tabla4[[#This Row],[Producto]],Tabla6[[#All],[PRODUCTO]],0),MATCH(Tabla4[[#This Row],[Mes]],Tabla6[#Headers],0)))*(1+Catalogos!$L$2)</f>
        <v>#N/A</v>
      </c>
      <c r="N701" s="283" t="e">
        <f>+(Tabla4[[#This Row],[Precio Descontado]]-Tabla4[[#This Row],[Precio Base]])*Tabla4[[#This Row],[Cantidad]]</f>
        <v>#N/A</v>
      </c>
      <c r="O701" s="284" t="e">
        <f>++Tabla4[[#This Row],[Utilidad Total]]/Tabla4[[#This Row],[Total]]</f>
        <v>#N/A</v>
      </c>
      <c r="P701" s="282">
        <f>++Tabla4[[#This Row],[Precio Descontado]]*Tabla4[[#This Row],[Cantidad]]</f>
        <v>1936.7704229999997</v>
      </c>
      <c r="Q701" s="282" t="e">
        <f>(INDEX(Tabla6[#All],MATCH(Tabla4[[#This Row],[Producto]],Tabla6[[#All],[PRODUCTO]],0),MATCH(Tabla4[[#This Row],[Mes]],Tabla6[#Headers],0)))</f>
        <v>#N/A</v>
      </c>
      <c r="R701" s="282" t="e">
        <f>++Tabla4[[#This Row],[Precio Unitario Neto]]-Tabla4[[#This Row],[20.85%]]-Tabla4[[#This Row],[Costo]]</f>
        <v>#N/A</v>
      </c>
      <c r="S701" s="282" t="e">
        <f>++Tabla4[[#This Row],[U. Bruta Uni]]*Tabla4[[#This Row],[Cantidad]]</f>
        <v>#N/A</v>
      </c>
      <c r="T701" s="369" t="str">
        <f>VLOOKUP(Tabla4[[#This Row],[Producto]],Tabla6[#All],14,FALSE)</f>
        <v>Termico Solar</v>
      </c>
      <c r="U701" s="284" t="e">
        <f>(IF(Tabla4[[#This Row],[Familia]]="termico solar",Tabla4[[#This Row],[Utilidad Total]]*6%,Tabla4[[#This Row],[Utilidad Total]]*11.5%))/Tabla4[[#This Row],[Total]]</f>
        <v>#N/A</v>
      </c>
      <c r="V701" s="282" t="e">
        <f>+Tabla4[[#This Row],[Comisión Calculada]]*Tabla4[[#This Row],[Total]]</f>
        <v>#N/A</v>
      </c>
    </row>
    <row r="702" spans="1:22" hidden="1" x14ac:dyDescent="0.25">
      <c r="A702" s="100">
        <v>45716</v>
      </c>
      <c r="B702" t="str">
        <f t="shared" si="26"/>
        <v>February</v>
      </c>
      <c r="C702" s="46" t="s">
        <v>280</v>
      </c>
      <c r="F702" s="366" t="s">
        <v>996</v>
      </c>
      <c r="G702" s="46" t="s">
        <v>599</v>
      </c>
      <c r="H702" s="46">
        <v>1</v>
      </c>
      <c r="I702" s="51">
        <v>189.75</v>
      </c>
      <c r="J702" s="281">
        <f>++Tabla4[[#This Row],[Precio Bruto]]*1.16</f>
        <v>220.10999999999999</v>
      </c>
      <c r="K702" s="281">
        <f>+Tabla4[[#This Row],[Precio Unitario Neto]]*Tabla4[[#Headers],[20.85%]]</f>
        <v>45.892934999999994</v>
      </c>
      <c r="L702" s="282">
        <f>++Tabla4[[#This Row],[Precio Unitario Neto]]-Tabla4[[#This Row],[20.85%]]</f>
        <v>174.21706499999999</v>
      </c>
      <c r="M702" s="282" t="e">
        <f>(INDEX(Tabla6[#All],MATCH(Tabla4[[#This Row],[Producto]],Tabla6[[#All],[PRODUCTO]],0),MATCH(Tabla4[[#This Row],[Mes]],Tabla6[#Headers],0)))*(1+Catalogos!$L$2)</f>
        <v>#N/A</v>
      </c>
      <c r="N702" s="283" t="e">
        <f>+(Tabla4[[#This Row],[Precio Descontado]]-Tabla4[[#This Row],[Precio Base]])*Tabla4[[#This Row],[Cantidad]]</f>
        <v>#N/A</v>
      </c>
      <c r="O702" s="284" t="e">
        <f>++Tabla4[[#This Row],[Utilidad Total]]/Tabla4[[#This Row],[Total]]</f>
        <v>#N/A</v>
      </c>
      <c r="P702" s="282">
        <f>++Tabla4[[#This Row],[Precio Descontado]]*Tabla4[[#This Row],[Cantidad]]</f>
        <v>174.21706499999999</v>
      </c>
      <c r="Q702" s="282" t="e">
        <f>(INDEX(Tabla6[#All],MATCH(Tabla4[[#This Row],[Producto]],Tabla6[[#All],[PRODUCTO]],0),MATCH(Tabla4[[#This Row],[Mes]],Tabla6[#Headers],0)))</f>
        <v>#N/A</v>
      </c>
      <c r="R702" s="282" t="e">
        <f>++Tabla4[[#This Row],[Precio Unitario Neto]]-Tabla4[[#This Row],[20.85%]]-Tabla4[[#This Row],[Costo]]</f>
        <v>#N/A</v>
      </c>
      <c r="S702" s="282" t="e">
        <f>++Tabla4[[#This Row],[U. Bruta Uni]]*Tabla4[[#This Row],[Cantidad]]</f>
        <v>#N/A</v>
      </c>
      <c r="T702" s="369" t="str">
        <f>VLOOKUP(Tabla4[[#This Row],[Producto]],Tabla6[#All],14,FALSE)</f>
        <v>Termico Solar</v>
      </c>
      <c r="U702" s="284" t="e">
        <f>(IF(Tabla4[[#This Row],[Familia]]="termico solar",Tabla4[[#This Row],[Utilidad Total]]*6%,Tabla4[[#This Row],[Utilidad Total]]*11.5%))/Tabla4[[#This Row],[Total]]</f>
        <v>#N/A</v>
      </c>
      <c r="V702" s="282" t="e">
        <f>+Tabla4[[#This Row],[Comisión Calculada]]*Tabla4[[#This Row],[Total]]</f>
        <v>#N/A</v>
      </c>
    </row>
    <row r="703" spans="1:22" hidden="1" x14ac:dyDescent="0.25">
      <c r="A703" s="100">
        <v>45716</v>
      </c>
      <c r="B703" t="str">
        <f t="shared" si="26"/>
        <v>February</v>
      </c>
      <c r="C703" s="46" t="s">
        <v>280</v>
      </c>
      <c r="F703" s="366" t="s">
        <v>997</v>
      </c>
      <c r="G703" s="46" t="s">
        <v>83</v>
      </c>
      <c r="H703" s="46">
        <v>1</v>
      </c>
      <c r="I703" s="51">
        <v>8858.76</v>
      </c>
      <c r="J703" s="281">
        <f>++Tabla4[[#This Row],[Precio Bruto]]*1.16</f>
        <v>10276.161599999999</v>
      </c>
      <c r="K703" s="281">
        <f>+Tabla4[[#This Row],[Precio Unitario Neto]]*Tabla4[[#Headers],[20.85%]]</f>
        <v>2142.5796935999997</v>
      </c>
      <c r="L703" s="282">
        <f>++Tabla4[[#This Row],[Precio Unitario Neto]]-Tabla4[[#This Row],[20.85%]]</f>
        <v>8133.5819063999998</v>
      </c>
      <c r="M703" s="282" t="e">
        <f>(INDEX(Tabla6[#All],MATCH(Tabla4[[#This Row],[Producto]],Tabla6[[#All],[PRODUCTO]],0),MATCH(Tabla4[[#This Row],[Mes]],Tabla6[#Headers],0)))*(1+Catalogos!$L$2)</f>
        <v>#N/A</v>
      </c>
      <c r="N703" s="283" t="e">
        <f>+(Tabla4[[#This Row],[Precio Descontado]]-Tabla4[[#This Row],[Precio Base]])*Tabla4[[#This Row],[Cantidad]]</f>
        <v>#N/A</v>
      </c>
      <c r="O703" s="284" t="e">
        <f>++Tabla4[[#This Row],[Utilidad Total]]/Tabla4[[#This Row],[Total]]</f>
        <v>#N/A</v>
      </c>
      <c r="P703" s="282">
        <f>++Tabla4[[#This Row],[Precio Descontado]]*Tabla4[[#This Row],[Cantidad]]</f>
        <v>8133.5819063999998</v>
      </c>
      <c r="Q703" s="282" t="e">
        <f>(INDEX(Tabla6[#All],MATCH(Tabla4[[#This Row],[Producto]],Tabla6[[#All],[PRODUCTO]],0),MATCH(Tabla4[[#This Row],[Mes]],Tabla6[#Headers],0)))</f>
        <v>#N/A</v>
      </c>
      <c r="R703" s="282" t="e">
        <f>++Tabla4[[#This Row],[Precio Unitario Neto]]-Tabla4[[#This Row],[20.85%]]-Tabla4[[#This Row],[Costo]]</f>
        <v>#N/A</v>
      </c>
      <c r="S703" s="282" t="e">
        <f>++Tabla4[[#This Row],[U. Bruta Uni]]*Tabla4[[#This Row],[Cantidad]]</f>
        <v>#N/A</v>
      </c>
      <c r="T703" s="369" t="str">
        <f>VLOOKUP(Tabla4[[#This Row],[Producto]],Tabla6[#All],14,FALSE)</f>
        <v>Termico Solar</v>
      </c>
      <c r="U703" s="284" t="e">
        <f>(IF(Tabla4[[#This Row],[Familia]]="termico solar",Tabla4[[#This Row],[Utilidad Total]]*6%,Tabla4[[#This Row],[Utilidad Total]]*11.5%))/Tabla4[[#This Row],[Total]]</f>
        <v>#N/A</v>
      </c>
      <c r="V703" s="282" t="e">
        <f>+Tabla4[[#This Row],[Comisión Calculada]]*Tabla4[[#This Row],[Total]]</f>
        <v>#N/A</v>
      </c>
    </row>
    <row r="704" spans="1:22" hidden="1" x14ac:dyDescent="0.25">
      <c r="A704" s="100">
        <v>45716</v>
      </c>
      <c r="B704" t="str">
        <f t="shared" si="26"/>
        <v>February</v>
      </c>
      <c r="C704" s="46" t="s">
        <v>280</v>
      </c>
      <c r="F704" s="366" t="s">
        <v>997</v>
      </c>
      <c r="G704" s="46" t="s">
        <v>17</v>
      </c>
      <c r="H704" s="46">
        <v>3</v>
      </c>
      <c r="I704" s="51">
        <v>4622.28</v>
      </c>
      <c r="J704" s="281">
        <f>++Tabla4[[#This Row],[Precio Bruto]]*1.16</f>
        <v>5361.8447999999989</v>
      </c>
      <c r="K704" s="281">
        <f>+Tabla4[[#This Row],[Precio Unitario Neto]]*Tabla4[[#Headers],[20.85%]]</f>
        <v>1117.9446407999997</v>
      </c>
      <c r="L704" s="282">
        <f>++Tabla4[[#This Row],[Precio Unitario Neto]]-Tabla4[[#This Row],[20.85%]]</f>
        <v>4243.9001591999995</v>
      </c>
      <c r="M704" s="282" t="e">
        <f>(INDEX(Tabla6[#All],MATCH(Tabla4[[#This Row],[Producto]],Tabla6[[#All],[PRODUCTO]],0),MATCH(Tabla4[[#This Row],[Mes]],Tabla6[#Headers],0)))*(1+Catalogos!$L$2)</f>
        <v>#N/A</v>
      </c>
      <c r="N704" s="283" t="e">
        <f>+(Tabla4[[#This Row],[Precio Descontado]]-Tabla4[[#This Row],[Precio Base]])*Tabla4[[#This Row],[Cantidad]]</f>
        <v>#N/A</v>
      </c>
      <c r="O704" s="284" t="e">
        <f>++Tabla4[[#This Row],[Utilidad Total]]/Tabla4[[#This Row],[Total]]</f>
        <v>#N/A</v>
      </c>
      <c r="P704" s="282">
        <f>++Tabla4[[#This Row],[Precio Descontado]]*Tabla4[[#This Row],[Cantidad]]</f>
        <v>12731.700477599999</v>
      </c>
      <c r="Q704" s="282" t="e">
        <f>(INDEX(Tabla6[#All],MATCH(Tabla4[[#This Row],[Producto]],Tabla6[[#All],[PRODUCTO]],0),MATCH(Tabla4[[#This Row],[Mes]],Tabla6[#Headers],0)))</f>
        <v>#N/A</v>
      </c>
      <c r="R704" s="282" t="e">
        <f>++Tabla4[[#This Row],[Precio Unitario Neto]]-Tabla4[[#This Row],[20.85%]]-Tabla4[[#This Row],[Costo]]</f>
        <v>#N/A</v>
      </c>
      <c r="S704" s="282" t="e">
        <f>++Tabla4[[#This Row],[U. Bruta Uni]]*Tabla4[[#This Row],[Cantidad]]</f>
        <v>#N/A</v>
      </c>
      <c r="T704" s="369" t="str">
        <f>VLOOKUP(Tabla4[[#This Row],[Producto]],Tabla6[#All],14,FALSE)</f>
        <v>Termico Solar</v>
      </c>
      <c r="U704" s="284" t="e">
        <f>(IF(Tabla4[[#This Row],[Familia]]="termico solar",Tabla4[[#This Row],[Utilidad Total]]*6%,Tabla4[[#This Row],[Utilidad Total]]*11.5%))/Tabla4[[#This Row],[Total]]</f>
        <v>#N/A</v>
      </c>
      <c r="V704" s="282" t="e">
        <f>+Tabla4[[#This Row],[Comisión Calculada]]*Tabla4[[#This Row],[Total]]</f>
        <v>#N/A</v>
      </c>
    </row>
    <row r="705" spans="1:22" hidden="1" x14ac:dyDescent="0.25">
      <c r="A705" s="100">
        <v>45716</v>
      </c>
      <c r="B705" t="str">
        <f t="shared" si="26"/>
        <v>February</v>
      </c>
      <c r="C705" s="46" t="s">
        <v>280</v>
      </c>
      <c r="F705" s="366" t="s">
        <v>997</v>
      </c>
      <c r="G705" s="46" t="s">
        <v>18</v>
      </c>
      <c r="H705" s="46">
        <v>1</v>
      </c>
      <c r="I705" s="51">
        <v>5367.65</v>
      </c>
      <c r="J705" s="281">
        <f>++Tabla4[[#This Row],[Precio Bruto]]*1.16</f>
        <v>6226.4739999999993</v>
      </c>
      <c r="K705" s="281">
        <f>+Tabla4[[#This Row],[Precio Unitario Neto]]*Tabla4[[#Headers],[20.85%]]</f>
        <v>1298.2198289999999</v>
      </c>
      <c r="L705" s="282">
        <f>++Tabla4[[#This Row],[Precio Unitario Neto]]-Tabla4[[#This Row],[20.85%]]</f>
        <v>4928.2541709999996</v>
      </c>
      <c r="M705" s="282" t="e">
        <f>(INDEX(Tabla6[#All],MATCH(Tabla4[[#This Row],[Producto]],Tabla6[[#All],[PRODUCTO]],0),MATCH(Tabla4[[#This Row],[Mes]],Tabla6[#Headers],0)))*(1+Catalogos!$L$2)</f>
        <v>#N/A</v>
      </c>
      <c r="N705" s="283" t="e">
        <f>+(Tabla4[[#This Row],[Precio Descontado]]-Tabla4[[#This Row],[Precio Base]])*Tabla4[[#This Row],[Cantidad]]</f>
        <v>#N/A</v>
      </c>
      <c r="O705" s="284" t="e">
        <f>++Tabla4[[#This Row],[Utilidad Total]]/Tabla4[[#This Row],[Total]]</f>
        <v>#N/A</v>
      </c>
      <c r="P705" s="282">
        <f>++Tabla4[[#This Row],[Precio Descontado]]*Tabla4[[#This Row],[Cantidad]]</f>
        <v>4928.2541709999996</v>
      </c>
      <c r="Q705" s="282" t="e">
        <f>(INDEX(Tabla6[#All],MATCH(Tabla4[[#This Row],[Producto]],Tabla6[[#All],[PRODUCTO]],0),MATCH(Tabla4[[#This Row],[Mes]],Tabla6[#Headers],0)))</f>
        <v>#N/A</v>
      </c>
      <c r="R705" s="282" t="e">
        <f>++Tabla4[[#This Row],[Precio Unitario Neto]]-Tabla4[[#This Row],[20.85%]]-Tabla4[[#This Row],[Costo]]</f>
        <v>#N/A</v>
      </c>
      <c r="S705" s="282" t="e">
        <f>++Tabla4[[#This Row],[U. Bruta Uni]]*Tabla4[[#This Row],[Cantidad]]</f>
        <v>#N/A</v>
      </c>
      <c r="T705" s="369" t="str">
        <f>VLOOKUP(Tabla4[[#This Row],[Producto]],Tabla6[#All],14,FALSE)</f>
        <v>Termico Solar</v>
      </c>
      <c r="U705" s="284" t="e">
        <f>(IF(Tabla4[[#This Row],[Familia]]="termico solar",Tabla4[[#This Row],[Utilidad Total]]*6%,Tabla4[[#This Row],[Utilidad Total]]*11.5%))/Tabla4[[#This Row],[Total]]</f>
        <v>#N/A</v>
      </c>
      <c r="V705" s="282" t="e">
        <f>+Tabla4[[#This Row],[Comisión Calculada]]*Tabla4[[#This Row],[Total]]</f>
        <v>#N/A</v>
      </c>
    </row>
    <row r="706" spans="1:22" hidden="1" x14ac:dyDescent="0.25">
      <c r="A706" s="100">
        <v>45716</v>
      </c>
      <c r="B706" t="str">
        <f t="shared" si="26"/>
        <v>February</v>
      </c>
      <c r="C706" s="46" t="s">
        <v>280</v>
      </c>
      <c r="F706" s="366" t="s">
        <v>997</v>
      </c>
      <c r="G706" s="46" t="s">
        <v>599</v>
      </c>
      <c r="H706" s="46">
        <v>1</v>
      </c>
      <c r="I706" s="51">
        <v>189.75</v>
      </c>
      <c r="J706" s="281">
        <f>++Tabla4[[#This Row],[Precio Bruto]]*1.16</f>
        <v>220.10999999999999</v>
      </c>
      <c r="K706" s="281">
        <f>+Tabla4[[#This Row],[Precio Unitario Neto]]*Tabla4[[#Headers],[20.85%]]</f>
        <v>45.892934999999994</v>
      </c>
      <c r="L706" s="282">
        <f>++Tabla4[[#This Row],[Precio Unitario Neto]]-Tabla4[[#This Row],[20.85%]]</f>
        <v>174.21706499999999</v>
      </c>
      <c r="M706" s="282" t="e">
        <f>(INDEX(Tabla6[#All],MATCH(Tabla4[[#This Row],[Producto]],Tabla6[[#All],[PRODUCTO]],0),MATCH(Tabla4[[#This Row],[Mes]],Tabla6[#Headers],0)))*(1+Catalogos!$L$2)</f>
        <v>#N/A</v>
      </c>
      <c r="N706" s="283" t="e">
        <f>+(Tabla4[[#This Row],[Precio Descontado]]-Tabla4[[#This Row],[Precio Base]])*Tabla4[[#This Row],[Cantidad]]</f>
        <v>#N/A</v>
      </c>
      <c r="O706" s="284" t="e">
        <f>++Tabla4[[#This Row],[Utilidad Total]]/Tabla4[[#This Row],[Total]]</f>
        <v>#N/A</v>
      </c>
      <c r="P706" s="282">
        <f>++Tabla4[[#This Row],[Precio Descontado]]*Tabla4[[#This Row],[Cantidad]]</f>
        <v>174.21706499999999</v>
      </c>
      <c r="Q706" s="282" t="e">
        <f>(INDEX(Tabla6[#All],MATCH(Tabla4[[#This Row],[Producto]],Tabla6[[#All],[PRODUCTO]],0),MATCH(Tabla4[[#This Row],[Mes]],Tabla6[#Headers],0)))</f>
        <v>#N/A</v>
      </c>
      <c r="R706" s="282" t="e">
        <f>++Tabla4[[#This Row],[Precio Unitario Neto]]-Tabla4[[#This Row],[20.85%]]-Tabla4[[#This Row],[Costo]]</f>
        <v>#N/A</v>
      </c>
      <c r="S706" s="282" t="e">
        <f>++Tabla4[[#This Row],[U. Bruta Uni]]*Tabla4[[#This Row],[Cantidad]]</f>
        <v>#N/A</v>
      </c>
      <c r="T706" s="369" t="str">
        <f>VLOOKUP(Tabla4[[#This Row],[Producto]],Tabla6[#All],14,FALSE)</f>
        <v>Termico Solar</v>
      </c>
      <c r="U706" s="284" t="e">
        <f>(IF(Tabla4[[#This Row],[Familia]]="termico solar",Tabla4[[#This Row],[Utilidad Total]]*6%,Tabla4[[#This Row],[Utilidad Total]]*11.5%))/Tabla4[[#This Row],[Total]]</f>
        <v>#N/A</v>
      </c>
      <c r="V706" s="282" t="e">
        <f>+Tabla4[[#This Row],[Comisión Calculada]]*Tabla4[[#This Row],[Total]]</f>
        <v>#N/A</v>
      </c>
    </row>
    <row r="707" spans="1:22" hidden="1" x14ac:dyDescent="0.25">
      <c r="A707" s="100">
        <v>45716</v>
      </c>
      <c r="B707" t="str">
        <f t="shared" si="26"/>
        <v>February</v>
      </c>
      <c r="C707" s="46" t="s">
        <v>280</v>
      </c>
      <c r="F707" s="366" t="s">
        <v>998</v>
      </c>
      <c r="G707" s="46" t="s">
        <v>17</v>
      </c>
      <c r="H707" s="46">
        <v>4</v>
      </c>
      <c r="I707" s="51">
        <v>4622.28</v>
      </c>
      <c r="J707" s="281">
        <f>++Tabla4[[#This Row],[Precio Bruto]]*1.16</f>
        <v>5361.8447999999989</v>
      </c>
      <c r="K707" s="281">
        <f>+Tabla4[[#This Row],[Precio Unitario Neto]]*Tabla4[[#Headers],[20.85%]]</f>
        <v>1117.9446407999997</v>
      </c>
      <c r="L707" s="282">
        <f>++Tabla4[[#This Row],[Precio Unitario Neto]]-Tabla4[[#This Row],[20.85%]]</f>
        <v>4243.9001591999995</v>
      </c>
      <c r="M707" s="282" t="e">
        <f>(INDEX(Tabla6[#All],MATCH(Tabla4[[#This Row],[Producto]],Tabla6[[#All],[PRODUCTO]],0),MATCH(Tabla4[[#This Row],[Mes]],Tabla6[#Headers],0)))*(1+Catalogos!$L$2)</f>
        <v>#N/A</v>
      </c>
      <c r="N707" s="283" t="e">
        <f>+(Tabla4[[#This Row],[Precio Descontado]]-Tabla4[[#This Row],[Precio Base]])*Tabla4[[#This Row],[Cantidad]]</f>
        <v>#N/A</v>
      </c>
      <c r="O707" s="284" t="e">
        <f>++Tabla4[[#This Row],[Utilidad Total]]/Tabla4[[#This Row],[Total]]</f>
        <v>#N/A</v>
      </c>
      <c r="P707" s="282">
        <f>++Tabla4[[#This Row],[Precio Descontado]]*Tabla4[[#This Row],[Cantidad]]</f>
        <v>16975.600636799998</v>
      </c>
      <c r="Q707" s="282" t="e">
        <f>(INDEX(Tabla6[#All],MATCH(Tabla4[[#This Row],[Producto]],Tabla6[[#All],[PRODUCTO]],0),MATCH(Tabla4[[#This Row],[Mes]],Tabla6[#Headers],0)))</f>
        <v>#N/A</v>
      </c>
      <c r="R707" s="282" t="e">
        <f>++Tabla4[[#This Row],[Precio Unitario Neto]]-Tabla4[[#This Row],[20.85%]]-Tabla4[[#This Row],[Costo]]</f>
        <v>#N/A</v>
      </c>
      <c r="S707" s="282" t="e">
        <f>++Tabla4[[#This Row],[U. Bruta Uni]]*Tabla4[[#This Row],[Cantidad]]</f>
        <v>#N/A</v>
      </c>
      <c r="T707" s="369" t="str">
        <f>VLOOKUP(Tabla4[[#This Row],[Producto]],Tabla6[#All],14,FALSE)</f>
        <v>Termico Solar</v>
      </c>
      <c r="U707" s="284" t="e">
        <f>(IF(Tabla4[[#This Row],[Familia]]="termico solar",Tabla4[[#This Row],[Utilidad Total]]*6%,Tabla4[[#This Row],[Utilidad Total]]*11.5%))/Tabla4[[#This Row],[Total]]</f>
        <v>#N/A</v>
      </c>
      <c r="V707" s="282" t="e">
        <f>+Tabla4[[#This Row],[Comisión Calculada]]*Tabla4[[#This Row],[Total]]</f>
        <v>#N/A</v>
      </c>
    </row>
    <row r="708" spans="1:22" hidden="1" x14ac:dyDescent="0.25">
      <c r="A708" s="100">
        <v>45716</v>
      </c>
      <c r="B708" t="str">
        <f t="shared" si="26"/>
        <v>February</v>
      </c>
      <c r="C708" s="46" t="s">
        <v>280</v>
      </c>
      <c r="F708" s="366" t="s">
        <v>998</v>
      </c>
      <c r="G708" s="46" t="s">
        <v>18</v>
      </c>
      <c r="H708" s="46">
        <v>2</v>
      </c>
      <c r="I708" s="51">
        <v>5367.65</v>
      </c>
      <c r="J708" s="281">
        <f>++Tabla4[[#This Row],[Precio Bruto]]*1.16</f>
        <v>6226.4739999999993</v>
      </c>
      <c r="K708" s="281">
        <f>+Tabla4[[#This Row],[Precio Unitario Neto]]*Tabla4[[#Headers],[20.85%]]</f>
        <v>1298.2198289999999</v>
      </c>
      <c r="L708" s="282">
        <f>++Tabla4[[#This Row],[Precio Unitario Neto]]-Tabla4[[#This Row],[20.85%]]</f>
        <v>4928.2541709999996</v>
      </c>
      <c r="M708" s="282" t="e">
        <f>(INDEX(Tabla6[#All],MATCH(Tabla4[[#This Row],[Producto]],Tabla6[[#All],[PRODUCTO]],0),MATCH(Tabla4[[#This Row],[Mes]],Tabla6[#Headers],0)))*(1+Catalogos!$L$2)</f>
        <v>#N/A</v>
      </c>
      <c r="N708" s="283" t="e">
        <f>+(Tabla4[[#This Row],[Precio Descontado]]-Tabla4[[#This Row],[Precio Base]])*Tabla4[[#This Row],[Cantidad]]</f>
        <v>#N/A</v>
      </c>
      <c r="O708" s="284" t="e">
        <f>++Tabla4[[#This Row],[Utilidad Total]]/Tabla4[[#This Row],[Total]]</f>
        <v>#N/A</v>
      </c>
      <c r="P708" s="282">
        <f>++Tabla4[[#This Row],[Precio Descontado]]*Tabla4[[#This Row],[Cantidad]]</f>
        <v>9856.5083419999992</v>
      </c>
      <c r="Q708" s="282" t="e">
        <f>(INDEX(Tabla6[#All],MATCH(Tabla4[[#This Row],[Producto]],Tabla6[[#All],[PRODUCTO]],0),MATCH(Tabla4[[#This Row],[Mes]],Tabla6[#Headers],0)))</f>
        <v>#N/A</v>
      </c>
      <c r="R708" s="282" t="e">
        <f>++Tabla4[[#This Row],[Precio Unitario Neto]]-Tabla4[[#This Row],[20.85%]]-Tabla4[[#This Row],[Costo]]</f>
        <v>#N/A</v>
      </c>
      <c r="S708" s="282" t="e">
        <f>++Tabla4[[#This Row],[U. Bruta Uni]]*Tabla4[[#This Row],[Cantidad]]</f>
        <v>#N/A</v>
      </c>
      <c r="T708" s="369" t="str">
        <f>VLOOKUP(Tabla4[[#This Row],[Producto]],Tabla6[#All],14,FALSE)</f>
        <v>Termico Solar</v>
      </c>
      <c r="U708" s="284" t="e">
        <f>(IF(Tabla4[[#This Row],[Familia]]="termico solar",Tabla4[[#This Row],[Utilidad Total]]*6%,Tabla4[[#This Row],[Utilidad Total]]*11.5%))/Tabla4[[#This Row],[Total]]</f>
        <v>#N/A</v>
      </c>
      <c r="V708" s="282" t="e">
        <f>+Tabla4[[#This Row],[Comisión Calculada]]*Tabla4[[#This Row],[Total]]</f>
        <v>#N/A</v>
      </c>
    </row>
    <row r="709" spans="1:22" hidden="1" x14ac:dyDescent="0.25">
      <c r="A709" s="100">
        <v>45716</v>
      </c>
      <c r="B709" t="str">
        <f t="shared" si="26"/>
        <v>February</v>
      </c>
      <c r="C709" s="46" t="s">
        <v>280</v>
      </c>
      <c r="F709" s="366" t="s">
        <v>999</v>
      </c>
      <c r="G709" s="46" t="s">
        <v>566</v>
      </c>
      <c r="H709" s="46">
        <v>1</v>
      </c>
      <c r="I709" s="51">
        <v>2109.4499999999998</v>
      </c>
      <c r="J709" s="281">
        <f>++Tabla4[[#This Row],[Precio Bruto]]*1.16</f>
        <v>2446.9619999999995</v>
      </c>
      <c r="K709" s="281">
        <f>+Tabla4[[#This Row],[Precio Unitario Neto]]*Tabla4[[#Headers],[20.85%]]</f>
        <v>510.19157699999988</v>
      </c>
      <c r="L709" s="282">
        <f>++Tabla4[[#This Row],[Precio Unitario Neto]]-Tabla4[[#This Row],[20.85%]]</f>
        <v>1936.7704229999997</v>
      </c>
      <c r="M709" s="282" t="e">
        <f>(INDEX(Tabla6[#All],MATCH(Tabla4[[#This Row],[Producto]],Tabla6[[#All],[PRODUCTO]],0),MATCH(Tabla4[[#This Row],[Mes]],Tabla6[#Headers],0)))*(1+Catalogos!$L$2)</f>
        <v>#N/A</v>
      </c>
      <c r="N709" s="283" t="e">
        <f>+(Tabla4[[#This Row],[Precio Descontado]]-Tabla4[[#This Row],[Precio Base]])*Tabla4[[#This Row],[Cantidad]]</f>
        <v>#N/A</v>
      </c>
      <c r="O709" s="284" t="e">
        <f>++Tabla4[[#This Row],[Utilidad Total]]/Tabla4[[#This Row],[Total]]</f>
        <v>#N/A</v>
      </c>
      <c r="P709" s="282">
        <f>++Tabla4[[#This Row],[Precio Descontado]]*Tabla4[[#This Row],[Cantidad]]</f>
        <v>1936.7704229999997</v>
      </c>
      <c r="Q709" s="282" t="e">
        <f>(INDEX(Tabla6[#All],MATCH(Tabla4[[#This Row],[Producto]],Tabla6[[#All],[PRODUCTO]],0),MATCH(Tabla4[[#This Row],[Mes]],Tabla6[#Headers],0)))</f>
        <v>#N/A</v>
      </c>
      <c r="R709" s="282" t="e">
        <f>++Tabla4[[#This Row],[Precio Unitario Neto]]-Tabla4[[#This Row],[20.85%]]-Tabla4[[#This Row],[Costo]]</f>
        <v>#N/A</v>
      </c>
      <c r="S709" s="282" t="e">
        <f>++Tabla4[[#This Row],[U. Bruta Uni]]*Tabla4[[#This Row],[Cantidad]]</f>
        <v>#N/A</v>
      </c>
      <c r="T709" s="369" t="str">
        <f>VLOOKUP(Tabla4[[#This Row],[Producto]],Tabla6[#All],14,FALSE)</f>
        <v>Termico Solar</v>
      </c>
      <c r="U709" s="284" t="e">
        <f>(IF(Tabla4[[#This Row],[Familia]]="termico solar",Tabla4[[#This Row],[Utilidad Total]]*6%,Tabla4[[#This Row],[Utilidad Total]]*11.5%))/Tabla4[[#This Row],[Total]]</f>
        <v>#N/A</v>
      </c>
      <c r="V709" s="282" t="e">
        <f>+Tabla4[[#This Row],[Comisión Calculada]]*Tabla4[[#This Row],[Total]]</f>
        <v>#N/A</v>
      </c>
    </row>
    <row r="710" spans="1:22" hidden="1" x14ac:dyDescent="0.25">
      <c r="A710" s="100">
        <v>45716</v>
      </c>
      <c r="B710" t="str">
        <f t="shared" si="26"/>
        <v>February</v>
      </c>
      <c r="C710" s="46" t="s">
        <v>280</v>
      </c>
      <c r="F710" s="366" t="s">
        <v>999</v>
      </c>
      <c r="G710" s="46" t="s">
        <v>16</v>
      </c>
      <c r="H710" s="46">
        <v>2</v>
      </c>
      <c r="I710" s="51">
        <v>4103.8500000000004</v>
      </c>
      <c r="J710" s="281">
        <f>++Tabla4[[#This Row],[Precio Bruto]]*1.16</f>
        <v>4760.4660000000003</v>
      </c>
      <c r="K710" s="281">
        <f>+Tabla4[[#This Row],[Precio Unitario Neto]]*Tabla4[[#Headers],[20.85%]]</f>
        <v>992.55716100000006</v>
      </c>
      <c r="L710" s="282">
        <f>++Tabla4[[#This Row],[Precio Unitario Neto]]-Tabla4[[#This Row],[20.85%]]</f>
        <v>3767.9088390000002</v>
      </c>
      <c r="M710" s="282" t="e">
        <f>(INDEX(Tabla6[#All],MATCH(Tabla4[[#This Row],[Producto]],Tabla6[[#All],[PRODUCTO]],0),MATCH(Tabla4[[#This Row],[Mes]],Tabla6[#Headers],0)))*(1+Catalogos!$L$2)</f>
        <v>#N/A</v>
      </c>
      <c r="N710" s="283" t="e">
        <f>+(Tabla4[[#This Row],[Precio Descontado]]-Tabla4[[#This Row],[Precio Base]])*Tabla4[[#This Row],[Cantidad]]</f>
        <v>#N/A</v>
      </c>
      <c r="O710" s="284" t="e">
        <f>++Tabla4[[#This Row],[Utilidad Total]]/Tabla4[[#This Row],[Total]]</f>
        <v>#N/A</v>
      </c>
      <c r="P710" s="282">
        <f>++Tabla4[[#This Row],[Precio Descontado]]*Tabla4[[#This Row],[Cantidad]]</f>
        <v>7535.8176780000003</v>
      </c>
      <c r="Q710" s="282" t="e">
        <f>(INDEX(Tabla6[#All],MATCH(Tabla4[[#This Row],[Producto]],Tabla6[[#All],[PRODUCTO]],0),MATCH(Tabla4[[#This Row],[Mes]],Tabla6[#Headers],0)))</f>
        <v>#N/A</v>
      </c>
      <c r="R710" s="282" t="e">
        <f>++Tabla4[[#This Row],[Precio Unitario Neto]]-Tabla4[[#This Row],[20.85%]]-Tabla4[[#This Row],[Costo]]</f>
        <v>#N/A</v>
      </c>
      <c r="S710" s="282" t="e">
        <f>++Tabla4[[#This Row],[U. Bruta Uni]]*Tabla4[[#This Row],[Cantidad]]</f>
        <v>#N/A</v>
      </c>
      <c r="T710" s="369" t="str">
        <f>VLOOKUP(Tabla4[[#This Row],[Producto]],Tabla6[#All],14,FALSE)</f>
        <v>Termico Solar</v>
      </c>
      <c r="U710" s="284" t="e">
        <f>(IF(Tabla4[[#This Row],[Familia]]="termico solar",Tabla4[[#This Row],[Utilidad Total]]*6%,Tabla4[[#This Row],[Utilidad Total]]*11.5%))/Tabla4[[#This Row],[Total]]</f>
        <v>#N/A</v>
      </c>
      <c r="V710" s="282" t="e">
        <f>+Tabla4[[#This Row],[Comisión Calculada]]*Tabla4[[#This Row],[Total]]</f>
        <v>#N/A</v>
      </c>
    </row>
    <row r="711" spans="1:22" hidden="1" x14ac:dyDescent="0.25">
      <c r="A711" s="100">
        <v>45716</v>
      </c>
      <c r="B711" t="str">
        <f t="shared" si="26"/>
        <v>February</v>
      </c>
      <c r="C711" s="46" t="s">
        <v>280</v>
      </c>
      <c r="F711" s="366" t="s">
        <v>1000</v>
      </c>
      <c r="G711" s="46" t="s">
        <v>18</v>
      </c>
      <c r="H711" s="46">
        <v>1</v>
      </c>
      <c r="I711" s="51">
        <v>5367.65</v>
      </c>
      <c r="J711" s="281">
        <f>++Tabla4[[#This Row],[Precio Bruto]]*1.16</f>
        <v>6226.4739999999993</v>
      </c>
      <c r="K711" s="281">
        <f>+Tabla4[[#This Row],[Precio Unitario Neto]]*Tabla4[[#Headers],[20.85%]]</f>
        <v>1298.2198289999999</v>
      </c>
      <c r="L711" s="282">
        <f>++Tabla4[[#This Row],[Precio Unitario Neto]]-Tabla4[[#This Row],[20.85%]]</f>
        <v>4928.2541709999996</v>
      </c>
      <c r="M711" s="282" t="e">
        <f>(INDEX(Tabla6[#All],MATCH(Tabla4[[#This Row],[Producto]],Tabla6[[#All],[PRODUCTO]],0),MATCH(Tabla4[[#This Row],[Mes]],Tabla6[#Headers],0)))*(1+Catalogos!$L$2)</f>
        <v>#N/A</v>
      </c>
      <c r="N711" s="283" t="e">
        <f>+(Tabla4[[#This Row],[Precio Descontado]]-Tabla4[[#This Row],[Precio Base]])*Tabla4[[#This Row],[Cantidad]]</f>
        <v>#N/A</v>
      </c>
      <c r="O711" s="284" t="e">
        <f>++Tabla4[[#This Row],[Utilidad Total]]/Tabla4[[#This Row],[Total]]</f>
        <v>#N/A</v>
      </c>
      <c r="P711" s="282">
        <f>++Tabla4[[#This Row],[Precio Descontado]]*Tabla4[[#This Row],[Cantidad]]</f>
        <v>4928.2541709999996</v>
      </c>
      <c r="Q711" s="282" t="e">
        <f>(INDEX(Tabla6[#All],MATCH(Tabla4[[#This Row],[Producto]],Tabla6[[#All],[PRODUCTO]],0),MATCH(Tabla4[[#This Row],[Mes]],Tabla6[#Headers],0)))</f>
        <v>#N/A</v>
      </c>
      <c r="R711" s="282" t="e">
        <f>++Tabla4[[#This Row],[Precio Unitario Neto]]-Tabla4[[#This Row],[20.85%]]-Tabla4[[#This Row],[Costo]]</f>
        <v>#N/A</v>
      </c>
      <c r="S711" s="282" t="e">
        <f>++Tabla4[[#This Row],[U. Bruta Uni]]*Tabla4[[#This Row],[Cantidad]]</f>
        <v>#N/A</v>
      </c>
      <c r="T711" s="369" t="str">
        <f>VLOOKUP(Tabla4[[#This Row],[Producto]],Tabla6[#All],14,FALSE)</f>
        <v>Termico Solar</v>
      </c>
      <c r="U711" s="284" t="e">
        <f>(IF(Tabla4[[#This Row],[Familia]]="termico solar",Tabla4[[#This Row],[Utilidad Total]]*6%,Tabla4[[#This Row],[Utilidad Total]]*11.5%))/Tabla4[[#This Row],[Total]]</f>
        <v>#N/A</v>
      </c>
      <c r="V711" s="282" t="e">
        <f>+Tabla4[[#This Row],[Comisión Calculada]]*Tabla4[[#This Row],[Total]]</f>
        <v>#N/A</v>
      </c>
    </row>
    <row r="712" spans="1:22" hidden="1" x14ac:dyDescent="0.25">
      <c r="A712" s="100">
        <v>45716</v>
      </c>
      <c r="B712" t="str">
        <f t="shared" si="26"/>
        <v>February</v>
      </c>
      <c r="C712" s="46" t="s">
        <v>280</v>
      </c>
      <c r="F712" s="366" t="s">
        <v>1001</v>
      </c>
      <c r="G712" s="46" t="s">
        <v>17</v>
      </c>
      <c r="H712" s="46">
        <v>1</v>
      </c>
      <c r="I712" s="51">
        <v>4622.28</v>
      </c>
      <c r="J712" s="281">
        <f>++Tabla4[[#This Row],[Precio Bruto]]*1.16</f>
        <v>5361.8447999999989</v>
      </c>
      <c r="K712" s="281">
        <f>+Tabla4[[#This Row],[Precio Unitario Neto]]*Tabla4[[#Headers],[20.85%]]</f>
        <v>1117.9446407999997</v>
      </c>
      <c r="L712" s="282">
        <f>++Tabla4[[#This Row],[Precio Unitario Neto]]-Tabla4[[#This Row],[20.85%]]</f>
        <v>4243.9001591999995</v>
      </c>
      <c r="M712" s="282" t="e">
        <f>(INDEX(Tabla6[#All],MATCH(Tabla4[[#This Row],[Producto]],Tabla6[[#All],[PRODUCTO]],0),MATCH(Tabla4[[#This Row],[Mes]],Tabla6[#Headers],0)))*(1+Catalogos!$L$2)</f>
        <v>#N/A</v>
      </c>
      <c r="N712" s="283" t="e">
        <f>+(Tabla4[[#This Row],[Precio Descontado]]-Tabla4[[#This Row],[Precio Base]])*Tabla4[[#This Row],[Cantidad]]</f>
        <v>#N/A</v>
      </c>
      <c r="O712" s="284" t="e">
        <f>++Tabla4[[#This Row],[Utilidad Total]]/Tabla4[[#This Row],[Total]]</f>
        <v>#N/A</v>
      </c>
      <c r="P712" s="282">
        <f>++Tabla4[[#This Row],[Precio Descontado]]*Tabla4[[#This Row],[Cantidad]]</f>
        <v>4243.9001591999995</v>
      </c>
      <c r="Q712" s="282" t="e">
        <f>(INDEX(Tabla6[#All],MATCH(Tabla4[[#This Row],[Producto]],Tabla6[[#All],[PRODUCTO]],0),MATCH(Tabla4[[#This Row],[Mes]],Tabla6[#Headers],0)))</f>
        <v>#N/A</v>
      </c>
      <c r="R712" s="282" t="e">
        <f>++Tabla4[[#This Row],[Precio Unitario Neto]]-Tabla4[[#This Row],[20.85%]]-Tabla4[[#This Row],[Costo]]</f>
        <v>#N/A</v>
      </c>
      <c r="S712" s="282" t="e">
        <f>++Tabla4[[#This Row],[U. Bruta Uni]]*Tabla4[[#This Row],[Cantidad]]</f>
        <v>#N/A</v>
      </c>
      <c r="T712" s="369" t="str">
        <f>VLOOKUP(Tabla4[[#This Row],[Producto]],Tabla6[#All],14,FALSE)</f>
        <v>Termico Solar</v>
      </c>
      <c r="U712" s="284" t="e">
        <f>(IF(Tabla4[[#This Row],[Familia]]="termico solar",Tabla4[[#This Row],[Utilidad Total]]*6%,Tabla4[[#This Row],[Utilidad Total]]*11.5%))/Tabla4[[#This Row],[Total]]</f>
        <v>#N/A</v>
      </c>
      <c r="V712" s="282" t="e">
        <f>+Tabla4[[#This Row],[Comisión Calculada]]*Tabla4[[#This Row],[Total]]</f>
        <v>#N/A</v>
      </c>
    </row>
    <row r="713" spans="1:22" hidden="1" x14ac:dyDescent="0.25">
      <c r="A713" s="100">
        <v>45716</v>
      </c>
      <c r="B713" t="str">
        <f t="shared" si="26"/>
        <v>February</v>
      </c>
      <c r="C713" s="46" t="s">
        <v>280</v>
      </c>
      <c r="F713" s="366" t="s">
        <v>1001</v>
      </c>
      <c r="G713" s="46" t="s">
        <v>18</v>
      </c>
      <c r="H713" s="46">
        <v>1</v>
      </c>
      <c r="I713" s="51">
        <v>5367.65</v>
      </c>
      <c r="J713" s="281">
        <f>++Tabla4[[#This Row],[Precio Bruto]]*1.16</f>
        <v>6226.4739999999993</v>
      </c>
      <c r="K713" s="281">
        <f>+Tabla4[[#This Row],[Precio Unitario Neto]]*Tabla4[[#Headers],[20.85%]]</f>
        <v>1298.2198289999999</v>
      </c>
      <c r="L713" s="282">
        <f>++Tabla4[[#This Row],[Precio Unitario Neto]]-Tabla4[[#This Row],[20.85%]]</f>
        <v>4928.2541709999996</v>
      </c>
      <c r="M713" s="282" t="e">
        <f>(INDEX(Tabla6[#All],MATCH(Tabla4[[#This Row],[Producto]],Tabla6[[#All],[PRODUCTO]],0),MATCH(Tabla4[[#This Row],[Mes]],Tabla6[#Headers],0)))*(1+Catalogos!$L$2)</f>
        <v>#N/A</v>
      </c>
      <c r="N713" s="283" t="e">
        <f>+(Tabla4[[#This Row],[Precio Descontado]]-Tabla4[[#This Row],[Precio Base]])*Tabla4[[#This Row],[Cantidad]]</f>
        <v>#N/A</v>
      </c>
      <c r="O713" s="284" t="e">
        <f>++Tabla4[[#This Row],[Utilidad Total]]/Tabla4[[#This Row],[Total]]</f>
        <v>#N/A</v>
      </c>
      <c r="P713" s="282">
        <f>++Tabla4[[#This Row],[Precio Descontado]]*Tabla4[[#This Row],[Cantidad]]</f>
        <v>4928.2541709999996</v>
      </c>
      <c r="Q713" s="282" t="e">
        <f>(INDEX(Tabla6[#All],MATCH(Tabla4[[#This Row],[Producto]],Tabla6[[#All],[PRODUCTO]],0),MATCH(Tabla4[[#This Row],[Mes]],Tabla6[#Headers],0)))</f>
        <v>#N/A</v>
      </c>
      <c r="R713" s="282" t="e">
        <f>++Tabla4[[#This Row],[Precio Unitario Neto]]-Tabla4[[#This Row],[20.85%]]-Tabla4[[#This Row],[Costo]]</f>
        <v>#N/A</v>
      </c>
      <c r="S713" s="282" t="e">
        <f>++Tabla4[[#This Row],[U. Bruta Uni]]*Tabla4[[#This Row],[Cantidad]]</f>
        <v>#N/A</v>
      </c>
      <c r="T713" s="369" t="str">
        <f>VLOOKUP(Tabla4[[#This Row],[Producto]],Tabla6[#All],14,FALSE)</f>
        <v>Termico Solar</v>
      </c>
      <c r="U713" s="284" t="e">
        <f>(IF(Tabla4[[#This Row],[Familia]]="termico solar",Tabla4[[#This Row],[Utilidad Total]]*6%,Tabla4[[#This Row],[Utilidad Total]]*11.5%))/Tabla4[[#This Row],[Total]]</f>
        <v>#N/A</v>
      </c>
      <c r="V713" s="282" t="e">
        <f>+Tabla4[[#This Row],[Comisión Calculada]]*Tabla4[[#This Row],[Total]]</f>
        <v>#N/A</v>
      </c>
    </row>
    <row r="714" spans="1:22" hidden="1" x14ac:dyDescent="0.25">
      <c r="A714" s="100">
        <v>45716</v>
      </c>
      <c r="B714" t="str">
        <f t="shared" si="26"/>
        <v>February</v>
      </c>
      <c r="C714" s="46" t="s">
        <v>280</v>
      </c>
      <c r="F714" s="366" t="s">
        <v>1002</v>
      </c>
      <c r="G714" s="46" t="s">
        <v>83</v>
      </c>
      <c r="H714" s="46">
        <v>1</v>
      </c>
      <c r="I714" s="51">
        <v>8858.76</v>
      </c>
      <c r="J714" s="281">
        <f>++Tabla4[[#This Row],[Precio Bruto]]*1.16</f>
        <v>10276.161599999999</v>
      </c>
      <c r="K714" s="281">
        <f>+Tabla4[[#This Row],[Precio Unitario Neto]]*Tabla4[[#Headers],[20.85%]]</f>
        <v>2142.5796935999997</v>
      </c>
      <c r="L714" s="282">
        <f>++Tabla4[[#This Row],[Precio Unitario Neto]]-Tabla4[[#This Row],[20.85%]]</f>
        <v>8133.5819063999998</v>
      </c>
      <c r="M714" s="282" t="e">
        <f>(INDEX(Tabla6[#All],MATCH(Tabla4[[#This Row],[Producto]],Tabla6[[#All],[PRODUCTO]],0),MATCH(Tabla4[[#This Row],[Mes]],Tabla6[#Headers],0)))*(1+Catalogos!$L$2)</f>
        <v>#N/A</v>
      </c>
      <c r="N714" s="283" t="e">
        <f>+(Tabla4[[#This Row],[Precio Descontado]]-Tabla4[[#This Row],[Precio Base]])*Tabla4[[#This Row],[Cantidad]]</f>
        <v>#N/A</v>
      </c>
      <c r="O714" s="284" t="e">
        <f>++Tabla4[[#This Row],[Utilidad Total]]/Tabla4[[#This Row],[Total]]</f>
        <v>#N/A</v>
      </c>
      <c r="P714" s="282">
        <f>++Tabla4[[#This Row],[Precio Descontado]]*Tabla4[[#This Row],[Cantidad]]</f>
        <v>8133.5819063999998</v>
      </c>
      <c r="Q714" s="282" t="e">
        <f>(INDEX(Tabla6[#All],MATCH(Tabla4[[#This Row],[Producto]],Tabla6[[#All],[PRODUCTO]],0),MATCH(Tabla4[[#This Row],[Mes]],Tabla6[#Headers],0)))</f>
        <v>#N/A</v>
      </c>
      <c r="R714" s="282" t="e">
        <f>++Tabla4[[#This Row],[Precio Unitario Neto]]-Tabla4[[#This Row],[20.85%]]-Tabla4[[#This Row],[Costo]]</f>
        <v>#N/A</v>
      </c>
      <c r="S714" s="282" t="e">
        <f>++Tabla4[[#This Row],[U. Bruta Uni]]*Tabla4[[#This Row],[Cantidad]]</f>
        <v>#N/A</v>
      </c>
      <c r="T714" s="369" t="str">
        <f>VLOOKUP(Tabla4[[#This Row],[Producto]],Tabla6[#All],14,FALSE)</f>
        <v>Termico Solar</v>
      </c>
      <c r="U714" s="284" t="e">
        <f>(IF(Tabla4[[#This Row],[Familia]]="termico solar",Tabla4[[#This Row],[Utilidad Total]]*6%,Tabla4[[#This Row],[Utilidad Total]]*11.5%))/Tabla4[[#This Row],[Total]]</f>
        <v>#N/A</v>
      </c>
      <c r="V714" s="282" t="e">
        <f>+Tabla4[[#This Row],[Comisión Calculada]]*Tabla4[[#This Row],[Total]]</f>
        <v>#N/A</v>
      </c>
    </row>
    <row r="715" spans="1:22" hidden="1" x14ac:dyDescent="0.25">
      <c r="A715" s="100">
        <v>45716</v>
      </c>
      <c r="B715" t="str">
        <f t="shared" si="26"/>
        <v>February</v>
      </c>
      <c r="C715" s="46" t="s">
        <v>280</v>
      </c>
      <c r="F715" s="366" t="s">
        <v>1003</v>
      </c>
      <c r="G715" s="46" t="s">
        <v>83</v>
      </c>
      <c r="H715" s="46">
        <v>1</v>
      </c>
      <c r="I715" s="51">
        <v>8858.76</v>
      </c>
      <c r="J715" s="281">
        <f>++Tabla4[[#This Row],[Precio Bruto]]*1.16</f>
        <v>10276.161599999999</v>
      </c>
      <c r="K715" s="281">
        <f>+Tabla4[[#This Row],[Precio Unitario Neto]]*Tabla4[[#Headers],[20.85%]]</f>
        <v>2142.5796935999997</v>
      </c>
      <c r="L715" s="282">
        <f>++Tabla4[[#This Row],[Precio Unitario Neto]]-Tabla4[[#This Row],[20.85%]]</f>
        <v>8133.5819063999998</v>
      </c>
      <c r="M715" s="282" t="e">
        <f>(INDEX(Tabla6[#All],MATCH(Tabla4[[#This Row],[Producto]],Tabla6[[#All],[PRODUCTO]],0),MATCH(Tabla4[[#This Row],[Mes]],Tabla6[#Headers],0)))*(1+Catalogos!$L$2)</f>
        <v>#N/A</v>
      </c>
      <c r="N715" s="283" t="e">
        <f>+(Tabla4[[#This Row],[Precio Descontado]]-Tabla4[[#This Row],[Precio Base]])*Tabla4[[#This Row],[Cantidad]]</f>
        <v>#N/A</v>
      </c>
      <c r="O715" s="284" t="e">
        <f>++Tabla4[[#This Row],[Utilidad Total]]/Tabla4[[#This Row],[Total]]</f>
        <v>#N/A</v>
      </c>
      <c r="P715" s="282">
        <f>++Tabla4[[#This Row],[Precio Descontado]]*Tabla4[[#This Row],[Cantidad]]</f>
        <v>8133.5819063999998</v>
      </c>
      <c r="Q715" s="282" t="e">
        <f>(INDEX(Tabla6[#All],MATCH(Tabla4[[#This Row],[Producto]],Tabla6[[#All],[PRODUCTO]],0),MATCH(Tabla4[[#This Row],[Mes]],Tabla6[#Headers],0)))</f>
        <v>#N/A</v>
      </c>
      <c r="R715" s="282" t="e">
        <f>++Tabla4[[#This Row],[Precio Unitario Neto]]-Tabla4[[#This Row],[20.85%]]-Tabla4[[#This Row],[Costo]]</f>
        <v>#N/A</v>
      </c>
      <c r="S715" s="282" t="e">
        <f>++Tabla4[[#This Row],[U. Bruta Uni]]*Tabla4[[#This Row],[Cantidad]]</f>
        <v>#N/A</v>
      </c>
      <c r="T715" s="369" t="str">
        <f>VLOOKUP(Tabla4[[#This Row],[Producto]],Tabla6[#All],14,FALSE)</f>
        <v>Termico Solar</v>
      </c>
      <c r="U715" s="284" t="e">
        <f>(IF(Tabla4[[#This Row],[Familia]]="termico solar",Tabla4[[#This Row],[Utilidad Total]]*6%,Tabla4[[#This Row],[Utilidad Total]]*11.5%))/Tabla4[[#This Row],[Total]]</f>
        <v>#N/A</v>
      </c>
      <c r="V715" s="282" t="e">
        <f>+Tabla4[[#This Row],[Comisión Calculada]]*Tabla4[[#This Row],[Total]]</f>
        <v>#N/A</v>
      </c>
    </row>
    <row r="716" spans="1:22" hidden="1" x14ac:dyDescent="0.25">
      <c r="A716" s="100">
        <v>45716</v>
      </c>
      <c r="B716" t="str">
        <f t="shared" si="26"/>
        <v>February</v>
      </c>
      <c r="C716" s="46" t="s">
        <v>280</v>
      </c>
      <c r="F716" s="366" t="s">
        <v>1003</v>
      </c>
      <c r="G716" s="46" t="s">
        <v>19</v>
      </c>
      <c r="H716" s="46">
        <v>1</v>
      </c>
      <c r="I716" s="51">
        <v>6412.03</v>
      </c>
      <c r="J716" s="281">
        <f>++Tabla4[[#This Row],[Precio Bruto]]*1.16</f>
        <v>7437.9547999999995</v>
      </c>
      <c r="K716" s="281">
        <f>+Tabla4[[#This Row],[Precio Unitario Neto]]*Tabla4[[#Headers],[20.85%]]</f>
        <v>1550.8135757999999</v>
      </c>
      <c r="L716" s="282">
        <f>++Tabla4[[#This Row],[Precio Unitario Neto]]-Tabla4[[#This Row],[20.85%]]</f>
        <v>5887.1412241999997</v>
      </c>
      <c r="M716" s="282" t="e">
        <f>(INDEX(Tabla6[#All],MATCH(Tabla4[[#This Row],[Producto]],Tabla6[[#All],[PRODUCTO]],0),MATCH(Tabla4[[#This Row],[Mes]],Tabla6[#Headers],0)))*(1+Catalogos!$L$2)</f>
        <v>#N/A</v>
      </c>
      <c r="N716" s="283" t="e">
        <f>+(Tabla4[[#This Row],[Precio Descontado]]-Tabla4[[#This Row],[Precio Base]])*Tabla4[[#This Row],[Cantidad]]</f>
        <v>#N/A</v>
      </c>
      <c r="O716" s="284" t="e">
        <f>++Tabla4[[#This Row],[Utilidad Total]]/Tabla4[[#This Row],[Total]]</f>
        <v>#N/A</v>
      </c>
      <c r="P716" s="282">
        <f>++Tabla4[[#This Row],[Precio Descontado]]*Tabla4[[#This Row],[Cantidad]]</f>
        <v>5887.1412241999997</v>
      </c>
      <c r="Q716" s="282" t="e">
        <f>(INDEX(Tabla6[#All],MATCH(Tabla4[[#This Row],[Producto]],Tabla6[[#All],[PRODUCTO]],0),MATCH(Tabla4[[#This Row],[Mes]],Tabla6[#Headers],0)))</f>
        <v>#N/A</v>
      </c>
      <c r="R716" s="282" t="e">
        <f>++Tabla4[[#This Row],[Precio Unitario Neto]]-Tabla4[[#This Row],[20.85%]]-Tabla4[[#This Row],[Costo]]</f>
        <v>#N/A</v>
      </c>
      <c r="S716" s="282" t="e">
        <f>++Tabla4[[#This Row],[U. Bruta Uni]]*Tabla4[[#This Row],[Cantidad]]</f>
        <v>#N/A</v>
      </c>
      <c r="T716" s="369" t="str">
        <f>VLOOKUP(Tabla4[[#This Row],[Producto]],Tabla6[#All],14,FALSE)</f>
        <v>Termico Solar</v>
      </c>
      <c r="U716" s="284" t="e">
        <f>(IF(Tabla4[[#This Row],[Familia]]="termico solar",Tabla4[[#This Row],[Utilidad Total]]*6%,Tabla4[[#This Row],[Utilidad Total]]*11.5%))/Tabla4[[#This Row],[Total]]</f>
        <v>#N/A</v>
      </c>
      <c r="V716" s="282" t="e">
        <f>+Tabla4[[#This Row],[Comisión Calculada]]*Tabla4[[#This Row],[Total]]</f>
        <v>#N/A</v>
      </c>
    </row>
    <row r="717" spans="1:22" hidden="1" x14ac:dyDescent="0.25">
      <c r="A717" s="100">
        <v>45716</v>
      </c>
      <c r="B717" t="str">
        <f t="shared" si="26"/>
        <v>February</v>
      </c>
      <c r="C717" s="46" t="s">
        <v>280</v>
      </c>
      <c r="F717" s="366" t="s">
        <v>1003</v>
      </c>
      <c r="G717" s="46" t="s">
        <v>16</v>
      </c>
      <c r="H717" s="46">
        <v>2</v>
      </c>
      <c r="I717" s="51">
        <v>4103.8500000000004</v>
      </c>
      <c r="J717" s="281">
        <f>++Tabla4[[#This Row],[Precio Bruto]]*1.16</f>
        <v>4760.4660000000003</v>
      </c>
      <c r="K717" s="281">
        <f>+Tabla4[[#This Row],[Precio Unitario Neto]]*Tabla4[[#Headers],[20.85%]]</f>
        <v>992.55716100000006</v>
      </c>
      <c r="L717" s="282">
        <f>++Tabla4[[#This Row],[Precio Unitario Neto]]-Tabla4[[#This Row],[20.85%]]</f>
        <v>3767.9088390000002</v>
      </c>
      <c r="M717" s="282" t="e">
        <f>(INDEX(Tabla6[#All],MATCH(Tabla4[[#This Row],[Producto]],Tabla6[[#All],[PRODUCTO]],0),MATCH(Tabla4[[#This Row],[Mes]],Tabla6[#Headers],0)))*(1+Catalogos!$L$2)</f>
        <v>#N/A</v>
      </c>
      <c r="N717" s="283" t="e">
        <f>+(Tabla4[[#This Row],[Precio Descontado]]-Tabla4[[#This Row],[Precio Base]])*Tabla4[[#This Row],[Cantidad]]</f>
        <v>#N/A</v>
      </c>
      <c r="O717" s="284" t="e">
        <f>++Tabla4[[#This Row],[Utilidad Total]]/Tabla4[[#This Row],[Total]]</f>
        <v>#N/A</v>
      </c>
      <c r="P717" s="282">
        <f>++Tabla4[[#This Row],[Precio Descontado]]*Tabla4[[#This Row],[Cantidad]]</f>
        <v>7535.8176780000003</v>
      </c>
      <c r="Q717" s="282" t="e">
        <f>(INDEX(Tabla6[#All],MATCH(Tabla4[[#This Row],[Producto]],Tabla6[[#All],[PRODUCTO]],0),MATCH(Tabla4[[#This Row],[Mes]],Tabla6[#Headers],0)))</f>
        <v>#N/A</v>
      </c>
      <c r="R717" s="282" t="e">
        <f>++Tabla4[[#This Row],[Precio Unitario Neto]]-Tabla4[[#This Row],[20.85%]]-Tabla4[[#This Row],[Costo]]</f>
        <v>#N/A</v>
      </c>
      <c r="S717" s="282" t="e">
        <f>++Tabla4[[#This Row],[U. Bruta Uni]]*Tabla4[[#This Row],[Cantidad]]</f>
        <v>#N/A</v>
      </c>
      <c r="T717" s="369" t="str">
        <f>VLOOKUP(Tabla4[[#This Row],[Producto]],Tabla6[#All],14,FALSE)</f>
        <v>Termico Solar</v>
      </c>
      <c r="U717" s="284" t="e">
        <f>(IF(Tabla4[[#This Row],[Familia]]="termico solar",Tabla4[[#This Row],[Utilidad Total]]*6%,Tabla4[[#This Row],[Utilidad Total]]*11.5%))/Tabla4[[#This Row],[Total]]</f>
        <v>#N/A</v>
      </c>
      <c r="V717" s="282" t="e">
        <f>+Tabla4[[#This Row],[Comisión Calculada]]*Tabla4[[#This Row],[Total]]</f>
        <v>#N/A</v>
      </c>
    </row>
    <row r="718" spans="1:22" hidden="1" x14ac:dyDescent="0.25">
      <c r="A718" s="100">
        <v>45716</v>
      </c>
      <c r="B718" t="str">
        <f t="shared" si="26"/>
        <v>February</v>
      </c>
      <c r="C718" s="46" t="s">
        <v>280</v>
      </c>
      <c r="F718" s="366" t="s">
        <v>1004</v>
      </c>
      <c r="G718" s="46" t="s">
        <v>18</v>
      </c>
      <c r="H718" s="46">
        <v>1</v>
      </c>
      <c r="I718" s="51">
        <v>5367.65</v>
      </c>
      <c r="J718" s="281">
        <f>++Tabla4[[#This Row],[Precio Bruto]]*1.16</f>
        <v>6226.4739999999993</v>
      </c>
      <c r="K718" s="281">
        <f>+Tabla4[[#This Row],[Precio Unitario Neto]]*Tabla4[[#Headers],[20.85%]]</f>
        <v>1298.2198289999999</v>
      </c>
      <c r="L718" s="282">
        <f>++Tabla4[[#This Row],[Precio Unitario Neto]]-Tabla4[[#This Row],[20.85%]]</f>
        <v>4928.2541709999996</v>
      </c>
      <c r="M718" s="282" t="e">
        <f>(INDEX(Tabla6[#All],MATCH(Tabla4[[#This Row],[Producto]],Tabla6[[#All],[PRODUCTO]],0),MATCH(Tabla4[[#This Row],[Mes]],Tabla6[#Headers],0)))*(1+Catalogos!$L$2)</f>
        <v>#N/A</v>
      </c>
      <c r="N718" s="283" t="e">
        <f>+(Tabla4[[#This Row],[Precio Descontado]]-Tabla4[[#This Row],[Precio Base]])*Tabla4[[#This Row],[Cantidad]]</f>
        <v>#N/A</v>
      </c>
      <c r="O718" s="284" t="e">
        <f>++Tabla4[[#This Row],[Utilidad Total]]/Tabla4[[#This Row],[Total]]</f>
        <v>#N/A</v>
      </c>
      <c r="P718" s="282">
        <f>++Tabla4[[#This Row],[Precio Descontado]]*Tabla4[[#This Row],[Cantidad]]</f>
        <v>4928.2541709999996</v>
      </c>
      <c r="Q718" s="282" t="e">
        <f>(INDEX(Tabla6[#All],MATCH(Tabla4[[#This Row],[Producto]],Tabla6[[#All],[PRODUCTO]],0),MATCH(Tabla4[[#This Row],[Mes]],Tabla6[#Headers],0)))</f>
        <v>#N/A</v>
      </c>
      <c r="R718" s="282" t="e">
        <f>++Tabla4[[#This Row],[Precio Unitario Neto]]-Tabla4[[#This Row],[20.85%]]-Tabla4[[#This Row],[Costo]]</f>
        <v>#N/A</v>
      </c>
      <c r="S718" s="282" t="e">
        <f>++Tabla4[[#This Row],[U. Bruta Uni]]*Tabla4[[#This Row],[Cantidad]]</f>
        <v>#N/A</v>
      </c>
      <c r="T718" s="369" t="str">
        <f>VLOOKUP(Tabla4[[#This Row],[Producto]],Tabla6[#All],14,FALSE)</f>
        <v>Termico Solar</v>
      </c>
      <c r="U718" s="284" t="e">
        <f>(IF(Tabla4[[#This Row],[Familia]]="termico solar",Tabla4[[#This Row],[Utilidad Total]]*6%,Tabla4[[#This Row],[Utilidad Total]]*11.5%))/Tabla4[[#This Row],[Total]]</f>
        <v>#N/A</v>
      </c>
      <c r="V718" s="282" t="e">
        <f>+Tabla4[[#This Row],[Comisión Calculada]]*Tabla4[[#This Row],[Total]]</f>
        <v>#N/A</v>
      </c>
    </row>
    <row r="719" spans="1:22" hidden="1" x14ac:dyDescent="0.25">
      <c r="A719" s="100">
        <v>45716</v>
      </c>
      <c r="B719" t="str">
        <f t="shared" si="26"/>
        <v>February</v>
      </c>
      <c r="C719" s="46" t="s">
        <v>280</v>
      </c>
      <c r="F719" s="366" t="s">
        <v>1005</v>
      </c>
      <c r="G719" s="46" t="s">
        <v>83</v>
      </c>
      <c r="H719" s="46">
        <v>1</v>
      </c>
      <c r="I719" s="51">
        <v>8858.76</v>
      </c>
      <c r="J719" s="281">
        <f>++Tabla4[[#This Row],[Precio Bruto]]*1.16</f>
        <v>10276.161599999999</v>
      </c>
      <c r="K719" s="281">
        <f>+Tabla4[[#This Row],[Precio Unitario Neto]]*Tabla4[[#Headers],[20.85%]]</f>
        <v>2142.5796935999997</v>
      </c>
      <c r="L719" s="282">
        <f>++Tabla4[[#This Row],[Precio Unitario Neto]]-Tabla4[[#This Row],[20.85%]]</f>
        <v>8133.5819063999998</v>
      </c>
      <c r="M719" s="282" t="e">
        <f>(INDEX(Tabla6[#All],MATCH(Tabla4[[#This Row],[Producto]],Tabla6[[#All],[PRODUCTO]],0),MATCH(Tabla4[[#This Row],[Mes]],Tabla6[#Headers],0)))*(1+Catalogos!$L$2)</f>
        <v>#N/A</v>
      </c>
      <c r="N719" s="283" t="e">
        <f>+(Tabla4[[#This Row],[Precio Descontado]]-Tabla4[[#This Row],[Precio Base]])*Tabla4[[#This Row],[Cantidad]]</f>
        <v>#N/A</v>
      </c>
      <c r="O719" s="284" t="e">
        <f>++Tabla4[[#This Row],[Utilidad Total]]/Tabla4[[#This Row],[Total]]</f>
        <v>#N/A</v>
      </c>
      <c r="P719" s="282">
        <f>++Tabla4[[#This Row],[Precio Descontado]]*Tabla4[[#This Row],[Cantidad]]</f>
        <v>8133.5819063999998</v>
      </c>
      <c r="Q719" s="282" t="e">
        <f>(INDEX(Tabla6[#All],MATCH(Tabla4[[#This Row],[Producto]],Tabla6[[#All],[PRODUCTO]],0),MATCH(Tabla4[[#This Row],[Mes]],Tabla6[#Headers],0)))</f>
        <v>#N/A</v>
      </c>
      <c r="R719" s="282" t="e">
        <f>++Tabla4[[#This Row],[Precio Unitario Neto]]-Tabla4[[#This Row],[20.85%]]-Tabla4[[#This Row],[Costo]]</f>
        <v>#N/A</v>
      </c>
      <c r="S719" s="282" t="e">
        <f>++Tabla4[[#This Row],[U. Bruta Uni]]*Tabla4[[#This Row],[Cantidad]]</f>
        <v>#N/A</v>
      </c>
      <c r="T719" s="369" t="str">
        <f>VLOOKUP(Tabla4[[#This Row],[Producto]],Tabla6[#All],14,FALSE)</f>
        <v>Termico Solar</v>
      </c>
      <c r="U719" s="284" t="e">
        <f>(IF(Tabla4[[#This Row],[Familia]]="termico solar",Tabla4[[#This Row],[Utilidad Total]]*6%,Tabla4[[#This Row],[Utilidad Total]]*11.5%))/Tabla4[[#This Row],[Total]]</f>
        <v>#N/A</v>
      </c>
      <c r="V719" s="282" t="e">
        <f>+Tabla4[[#This Row],[Comisión Calculada]]*Tabla4[[#This Row],[Total]]</f>
        <v>#N/A</v>
      </c>
    </row>
    <row r="720" spans="1:22" hidden="1" x14ac:dyDescent="0.25">
      <c r="A720" s="100">
        <v>45716</v>
      </c>
      <c r="B720" t="str">
        <f t="shared" si="26"/>
        <v>February</v>
      </c>
      <c r="C720" s="46" t="s">
        <v>280</v>
      </c>
      <c r="F720" s="366" t="s">
        <v>1005</v>
      </c>
      <c r="G720" s="46" t="s">
        <v>17</v>
      </c>
      <c r="H720" s="46">
        <v>5</v>
      </c>
      <c r="I720" s="51">
        <v>4622.2800000000007</v>
      </c>
      <c r="J720" s="281">
        <f>++Tabla4[[#This Row],[Precio Bruto]]*1.16</f>
        <v>5361.8448000000008</v>
      </c>
      <c r="K720" s="281">
        <f>+Tabla4[[#This Row],[Precio Unitario Neto]]*Tabla4[[#Headers],[20.85%]]</f>
        <v>1117.9446408000001</v>
      </c>
      <c r="L720" s="282">
        <f>++Tabla4[[#This Row],[Precio Unitario Neto]]-Tabla4[[#This Row],[20.85%]]</f>
        <v>4243.9001592000004</v>
      </c>
      <c r="M720" s="282" t="e">
        <f>(INDEX(Tabla6[#All],MATCH(Tabla4[[#This Row],[Producto]],Tabla6[[#All],[PRODUCTO]],0),MATCH(Tabla4[[#This Row],[Mes]],Tabla6[#Headers],0)))*(1+Catalogos!$L$2)</f>
        <v>#N/A</v>
      </c>
      <c r="N720" s="283" t="e">
        <f>+(Tabla4[[#This Row],[Precio Descontado]]-Tabla4[[#This Row],[Precio Base]])*Tabla4[[#This Row],[Cantidad]]</f>
        <v>#N/A</v>
      </c>
      <c r="O720" s="284" t="e">
        <f>++Tabla4[[#This Row],[Utilidad Total]]/Tabla4[[#This Row],[Total]]</f>
        <v>#N/A</v>
      </c>
      <c r="P720" s="282">
        <f>++Tabla4[[#This Row],[Precio Descontado]]*Tabla4[[#This Row],[Cantidad]]</f>
        <v>21219.500796</v>
      </c>
      <c r="Q720" s="282" t="e">
        <f>(INDEX(Tabla6[#All],MATCH(Tabla4[[#This Row],[Producto]],Tabla6[[#All],[PRODUCTO]],0),MATCH(Tabla4[[#This Row],[Mes]],Tabla6[#Headers],0)))</f>
        <v>#N/A</v>
      </c>
      <c r="R720" s="282" t="e">
        <f>++Tabla4[[#This Row],[Precio Unitario Neto]]-Tabla4[[#This Row],[20.85%]]-Tabla4[[#This Row],[Costo]]</f>
        <v>#N/A</v>
      </c>
      <c r="S720" s="282" t="e">
        <f>++Tabla4[[#This Row],[U. Bruta Uni]]*Tabla4[[#This Row],[Cantidad]]</f>
        <v>#N/A</v>
      </c>
      <c r="T720" s="369" t="str">
        <f>VLOOKUP(Tabla4[[#This Row],[Producto]],Tabla6[#All],14,FALSE)</f>
        <v>Termico Solar</v>
      </c>
      <c r="U720" s="284" t="e">
        <f>(IF(Tabla4[[#This Row],[Familia]]="termico solar",Tabla4[[#This Row],[Utilidad Total]]*6%,Tabla4[[#This Row],[Utilidad Total]]*11.5%))/Tabla4[[#This Row],[Total]]</f>
        <v>#N/A</v>
      </c>
      <c r="V720" s="282" t="e">
        <f>+Tabla4[[#This Row],[Comisión Calculada]]*Tabla4[[#This Row],[Total]]</f>
        <v>#N/A</v>
      </c>
    </row>
    <row r="721" spans="1:22" hidden="1" x14ac:dyDescent="0.25">
      <c r="A721" s="100">
        <v>45716</v>
      </c>
      <c r="B721" t="str">
        <f t="shared" si="26"/>
        <v>February</v>
      </c>
      <c r="C721" s="46" t="s">
        <v>280</v>
      </c>
      <c r="F721" s="366" t="s">
        <v>1005</v>
      </c>
      <c r="G721" s="46" t="s">
        <v>566</v>
      </c>
      <c r="H721" s="46">
        <v>2</v>
      </c>
      <c r="I721" s="51">
        <v>2109.4499999999998</v>
      </c>
      <c r="J721" s="281">
        <f>++Tabla4[[#This Row],[Precio Bruto]]*1.16</f>
        <v>2446.9619999999995</v>
      </c>
      <c r="K721" s="281">
        <f>+Tabla4[[#This Row],[Precio Unitario Neto]]*Tabla4[[#Headers],[20.85%]]</f>
        <v>510.19157699999988</v>
      </c>
      <c r="L721" s="282">
        <f>++Tabla4[[#This Row],[Precio Unitario Neto]]-Tabla4[[#This Row],[20.85%]]</f>
        <v>1936.7704229999997</v>
      </c>
      <c r="M721" s="282" t="e">
        <f>(INDEX(Tabla6[#All],MATCH(Tabla4[[#This Row],[Producto]],Tabla6[[#All],[PRODUCTO]],0),MATCH(Tabla4[[#This Row],[Mes]],Tabla6[#Headers],0)))*(1+Catalogos!$L$2)</f>
        <v>#N/A</v>
      </c>
      <c r="N721" s="283" t="e">
        <f>+(Tabla4[[#This Row],[Precio Descontado]]-Tabla4[[#This Row],[Precio Base]])*Tabla4[[#This Row],[Cantidad]]</f>
        <v>#N/A</v>
      </c>
      <c r="O721" s="284" t="e">
        <f>++Tabla4[[#This Row],[Utilidad Total]]/Tabla4[[#This Row],[Total]]</f>
        <v>#N/A</v>
      </c>
      <c r="P721" s="282">
        <f>++Tabla4[[#This Row],[Precio Descontado]]*Tabla4[[#This Row],[Cantidad]]</f>
        <v>3873.5408459999994</v>
      </c>
      <c r="Q721" s="282" t="e">
        <f>(INDEX(Tabla6[#All],MATCH(Tabla4[[#This Row],[Producto]],Tabla6[[#All],[PRODUCTO]],0),MATCH(Tabla4[[#This Row],[Mes]],Tabla6[#Headers],0)))</f>
        <v>#N/A</v>
      </c>
      <c r="R721" s="282" t="e">
        <f>++Tabla4[[#This Row],[Precio Unitario Neto]]-Tabla4[[#This Row],[20.85%]]-Tabla4[[#This Row],[Costo]]</f>
        <v>#N/A</v>
      </c>
      <c r="S721" s="282" t="e">
        <f>++Tabla4[[#This Row],[U. Bruta Uni]]*Tabla4[[#This Row],[Cantidad]]</f>
        <v>#N/A</v>
      </c>
      <c r="T721" s="369" t="str">
        <f>VLOOKUP(Tabla4[[#This Row],[Producto]],Tabla6[#All],14,FALSE)</f>
        <v>Termico Solar</v>
      </c>
      <c r="U721" s="284" t="e">
        <f>(IF(Tabla4[[#This Row],[Familia]]="termico solar",Tabla4[[#This Row],[Utilidad Total]]*6%,Tabla4[[#This Row],[Utilidad Total]]*11.5%))/Tabla4[[#This Row],[Total]]</f>
        <v>#N/A</v>
      </c>
      <c r="V721" s="282" t="e">
        <f>+Tabla4[[#This Row],[Comisión Calculada]]*Tabla4[[#This Row],[Total]]</f>
        <v>#N/A</v>
      </c>
    </row>
    <row r="722" spans="1:22" hidden="1" x14ac:dyDescent="0.25">
      <c r="A722" s="100">
        <v>45716</v>
      </c>
      <c r="B722" t="str">
        <f t="shared" si="26"/>
        <v>February</v>
      </c>
      <c r="C722" s="46" t="s">
        <v>280</v>
      </c>
      <c r="F722" s="366" t="s">
        <v>1005</v>
      </c>
      <c r="G722" s="46" t="s">
        <v>394</v>
      </c>
      <c r="H722" s="46">
        <v>9</v>
      </c>
      <c r="I722" s="51">
        <v>108.1</v>
      </c>
      <c r="J722" s="281">
        <f>++Tabla4[[#This Row],[Precio Bruto]]*1.16</f>
        <v>125.39599999999999</v>
      </c>
      <c r="K722" s="281">
        <f>+Tabla4[[#This Row],[Precio Unitario Neto]]*Tabla4[[#Headers],[20.85%]]</f>
        <v>26.145065999999996</v>
      </c>
      <c r="L722" s="282">
        <f>++Tabla4[[#This Row],[Precio Unitario Neto]]-Tabla4[[#This Row],[20.85%]]</f>
        <v>99.250933999999987</v>
      </c>
      <c r="M722" s="282" t="e">
        <f>(INDEX(Tabla6[#All],MATCH(Tabla4[[#This Row],[Producto]],Tabla6[[#All],[PRODUCTO]],0),MATCH(Tabla4[[#This Row],[Mes]],Tabla6[#Headers],0)))*(1+Catalogos!$L$2)</f>
        <v>#N/A</v>
      </c>
      <c r="N722" s="283" t="e">
        <f>+(Tabla4[[#This Row],[Precio Descontado]]-Tabla4[[#This Row],[Precio Base]])*Tabla4[[#This Row],[Cantidad]]</f>
        <v>#N/A</v>
      </c>
      <c r="O722" s="284" t="e">
        <f>++Tabla4[[#This Row],[Utilidad Total]]/Tabla4[[#This Row],[Total]]</f>
        <v>#N/A</v>
      </c>
      <c r="P722" s="282">
        <f>++Tabla4[[#This Row],[Precio Descontado]]*Tabla4[[#This Row],[Cantidad]]</f>
        <v>893.25840599999992</v>
      </c>
      <c r="Q722" s="282" t="e">
        <f>(INDEX(Tabla6[#All],MATCH(Tabla4[[#This Row],[Producto]],Tabla6[[#All],[PRODUCTO]],0),MATCH(Tabla4[[#This Row],[Mes]],Tabla6[#Headers],0)))</f>
        <v>#N/A</v>
      </c>
      <c r="R722" s="282" t="e">
        <f>++Tabla4[[#This Row],[Precio Unitario Neto]]-Tabla4[[#This Row],[20.85%]]-Tabla4[[#This Row],[Costo]]</f>
        <v>#N/A</v>
      </c>
      <c r="S722" s="282" t="e">
        <f>++Tabla4[[#This Row],[U. Bruta Uni]]*Tabla4[[#This Row],[Cantidad]]</f>
        <v>#N/A</v>
      </c>
      <c r="T722" s="369" t="str">
        <f>VLOOKUP(Tabla4[[#This Row],[Producto]],Tabla6[#All],14,FALSE)</f>
        <v>Termico Solar</v>
      </c>
      <c r="U722" s="284" t="e">
        <f>(IF(Tabla4[[#This Row],[Familia]]="termico solar",Tabla4[[#This Row],[Utilidad Total]]*6%,Tabla4[[#This Row],[Utilidad Total]]*11.5%))/Tabla4[[#This Row],[Total]]</f>
        <v>#N/A</v>
      </c>
      <c r="V722" s="282" t="e">
        <f>+Tabla4[[#This Row],[Comisión Calculada]]*Tabla4[[#This Row],[Total]]</f>
        <v>#N/A</v>
      </c>
    </row>
    <row r="723" spans="1:22" hidden="1" x14ac:dyDescent="0.25">
      <c r="A723" s="100">
        <v>45716</v>
      </c>
      <c r="B723" t="str">
        <f t="shared" si="26"/>
        <v>February</v>
      </c>
      <c r="C723" s="46" t="s">
        <v>280</v>
      </c>
      <c r="F723" s="366" t="s">
        <v>1005</v>
      </c>
      <c r="G723" s="46" t="s">
        <v>16</v>
      </c>
      <c r="H723" s="46">
        <v>2</v>
      </c>
      <c r="I723" s="51">
        <v>4103.8500000000004</v>
      </c>
      <c r="J723" s="281">
        <f>++Tabla4[[#This Row],[Precio Bruto]]*1.16</f>
        <v>4760.4660000000003</v>
      </c>
      <c r="K723" s="281">
        <f>+Tabla4[[#This Row],[Precio Unitario Neto]]*Tabla4[[#Headers],[20.85%]]</f>
        <v>992.55716100000006</v>
      </c>
      <c r="L723" s="282">
        <f>++Tabla4[[#This Row],[Precio Unitario Neto]]-Tabla4[[#This Row],[20.85%]]</f>
        <v>3767.9088390000002</v>
      </c>
      <c r="M723" s="282" t="e">
        <f>(INDEX(Tabla6[#All],MATCH(Tabla4[[#This Row],[Producto]],Tabla6[[#All],[PRODUCTO]],0),MATCH(Tabla4[[#This Row],[Mes]],Tabla6[#Headers],0)))*(1+Catalogos!$L$2)</f>
        <v>#N/A</v>
      </c>
      <c r="N723" s="283" t="e">
        <f>+(Tabla4[[#This Row],[Precio Descontado]]-Tabla4[[#This Row],[Precio Base]])*Tabla4[[#This Row],[Cantidad]]</f>
        <v>#N/A</v>
      </c>
      <c r="O723" s="284" t="e">
        <f>++Tabla4[[#This Row],[Utilidad Total]]/Tabla4[[#This Row],[Total]]</f>
        <v>#N/A</v>
      </c>
      <c r="P723" s="282">
        <f>++Tabla4[[#This Row],[Precio Descontado]]*Tabla4[[#This Row],[Cantidad]]</f>
        <v>7535.8176780000003</v>
      </c>
      <c r="Q723" s="282" t="e">
        <f>(INDEX(Tabla6[#All],MATCH(Tabla4[[#This Row],[Producto]],Tabla6[[#All],[PRODUCTO]],0),MATCH(Tabla4[[#This Row],[Mes]],Tabla6[#Headers],0)))</f>
        <v>#N/A</v>
      </c>
      <c r="R723" s="282" t="e">
        <f>++Tabla4[[#This Row],[Precio Unitario Neto]]-Tabla4[[#This Row],[20.85%]]-Tabla4[[#This Row],[Costo]]</f>
        <v>#N/A</v>
      </c>
      <c r="S723" s="282" t="e">
        <f>++Tabla4[[#This Row],[U. Bruta Uni]]*Tabla4[[#This Row],[Cantidad]]</f>
        <v>#N/A</v>
      </c>
      <c r="T723" s="369" t="str">
        <f>VLOOKUP(Tabla4[[#This Row],[Producto]],Tabla6[#All],14,FALSE)</f>
        <v>Termico Solar</v>
      </c>
      <c r="U723" s="284" t="e">
        <f>(IF(Tabla4[[#This Row],[Familia]]="termico solar",Tabla4[[#This Row],[Utilidad Total]]*6%,Tabla4[[#This Row],[Utilidad Total]]*11.5%))/Tabla4[[#This Row],[Total]]</f>
        <v>#N/A</v>
      </c>
      <c r="V723" s="282" t="e">
        <f>+Tabla4[[#This Row],[Comisión Calculada]]*Tabla4[[#This Row],[Total]]</f>
        <v>#N/A</v>
      </c>
    </row>
    <row r="724" spans="1:22" hidden="1" x14ac:dyDescent="0.25">
      <c r="A724" s="100">
        <v>45716</v>
      </c>
      <c r="B724" t="str">
        <f t="shared" si="26"/>
        <v>February</v>
      </c>
      <c r="C724" s="46" t="s">
        <v>280</v>
      </c>
      <c r="F724" s="366" t="s">
        <v>1006</v>
      </c>
      <c r="G724" s="46" t="s">
        <v>83</v>
      </c>
      <c r="H724" s="46">
        <v>1</v>
      </c>
      <c r="I724" s="51">
        <v>8858.76</v>
      </c>
      <c r="J724" s="281">
        <f>++Tabla4[[#This Row],[Precio Bruto]]*1.16</f>
        <v>10276.161599999999</v>
      </c>
      <c r="K724" s="281">
        <f>+Tabla4[[#This Row],[Precio Unitario Neto]]*Tabla4[[#Headers],[20.85%]]</f>
        <v>2142.5796935999997</v>
      </c>
      <c r="L724" s="282">
        <f>++Tabla4[[#This Row],[Precio Unitario Neto]]-Tabla4[[#This Row],[20.85%]]</f>
        <v>8133.5819063999998</v>
      </c>
      <c r="M724" s="282" t="e">
        <f>(INDEX(Tabla6[#All],MATCH(Tabla4[[#This Row],[Producto]],Tabla6[[#All],[PRODUCTO]],0),MATCH(Tabla4[[#This Row],[Mes]],Tabla6[#Headers],0)))*(1+Catalogos!$L$2)</f>
        <v>#N/A</v>
      </c>
      <c r="N724" s="283" t="e">
        <f>+(Tabla4[[#This Row],[Precio Descontado]]-Tabla4[[#This Row],[Precio Base]])*Tabla4[[#This Row],[Cantidad]]</f>
        <v>#N/A</v>
      </c>
      <c r="O724" s="284" t="e">
        <f>++Tabla4[[#This Row],[Utilidad Total]]/Tabla4[[#This Row],[Total]]</f>
        <v>#N/A</v>
      </c>
      <c r="P724" s="282">
        <f>++Tabla4[[#This Row],[Precio Descontado]]*Tabla4[[#This Row],[Cantidad]]</f>
        <v>8133.5819063999998</v>
      </c>
      <c r="Q724" s="282" t="e">
        <f>(INDEX(Tabla6[#All],MATCH(Tabla4[[#This Row],[Producto]],Tabla6[[#All],[PRODUCTO]],0),MATCH(Tabla4[[#This Row],[Mes]],Tabla6[#Headers],0)))</f>
        <v>#N/A</v>
      </c>
      <c r="R724" s="282" t="e">
        <f>++Tabla4[[#This Row],[Precio Unitario Neto]]-Tabla4[[#This Row],[20.85%]]-Tabla4[[#This Row],[Costo]]</f>
        <v>#N/A</v>
      </c>
      <c r="S724" s="282" t="e">
        <f>++Tabla4[[#This Row],[U. Bruta Uni]]*Tabla4[[#This Row],[Cantidad]]</f>
        <v>#N/A</v>
      </c>
      <c r="T724" s="369" t="str">
        <f>VLOOKUP(Tabla4[[#This Row],[Producto]],Tabla6[#All],14,FALSE)</f>
        <v>Termico Solar</v>
      </c>
      <c r="U724" s="284" t="e">
        <f>(IF(Tabla4[[#This Row],[Familia]]="termico solar",Tabla4[[#This Row],[Utilidad Total]]*6%,Tabla4[[#This Row],[Utilidad Total]]*11.5%))/Tabla4[[#This Row],[Total]]</f>
        <v>#N/A</v>
      </c>
      <c r="V724" s="282" t="e">
        <f>+Tabla4[[#This Row],[Comisión Calculada]]*Tabla4[[#This Row],[Total]]</f>
        <v>#N/A</v>
      </c>
    </row>
    <row r="725" spans="1:22" hidden="1" x14ac:dyDescent="0.25">
      <c r="A725" s="100">
        <v>45716</v>
      </c>
      <c r="B725" t="str">
        <f t="shared" si="26"/>
        <v>February</v>
      </c>
      <c r="C725" s="46" t="s">
        <v>280</v>
      </c>
      <c r="F725" s="366" t="s">
        <v>1006</v>
      </c>
      <c r="G725" s="46" t="s">
        <v>17</v>
      </c>
      <c r="H725" s="46">
        <v>3</v>
      </c>
      <c r="I725" s="51">
        <v>4622.28</v>
      </c>
      <c r="J725" s="281">
        <f>++Tabla4[[#This Row],[Precio Bruto]]*1.16</f>
        <v>5361.8447999999989</v>
      </c>
      <c r="K725" s="281">
        <f>+Tabla4[[#This Row],[Precio Unitario Neto]]*Tabla4[[#Headers],[20.85%]]</f>
        <v>1117.9446407999997</v>
      </c>
      <c r="L725" s="282">
        <f>++Tabla4[[#This Row],[Precio Unitario Neto]]-Tabla4[[#This Row],[20.85%]]</f>
        <v>4243.9001591999995</v>
      </c>
      <c r="M725" s="282" t="e">
        <f>(INDEX(Tabla6[#All],MATCH(Tabla4[[#This Row],[Producto]],Tabla6[[#All],[PRODUCTO]],0),MATCH(Tabla4[[#This Row],[Mes]],Tabla6[#Headers],0)))*(1+Catalogos!$L$2)</f>
        <v>#N/A</v>
      </c>
      <c r="N725" s="283" t="e">
        <f>+(Tabla4[[#This Row],[Precio Descontado]]-Tabla4[[#This Row],[Precio Base]])*Tabla4[[#This Row],[Cantidad]]</f>
        <v>#N/A</v>
      </c>
      <c r="O725" s="284" t="e">
        <f>++Tabla4[[#This Row],[Utilidad Total]]/Tabla4[[#This Row],[Total]]</f>
        <v>#N/A</v>
      </c>
      <c r="P725" s="282">
        <f>++Tabla4[[#This Row],[Precio Descontado]]*Tabla4[[#This Row],[Cantidad]]</f>
        <v>12731.700477599999</v>
      </c>
      <c r="Q725" s="282" t="e">
        <f>(INDEX(Tabla6[#All],MATCH(Tabla4[[#This Row],[Producto]],Tabla6[[#All],[PRODUCTO]],0),MATCH(Tabla4[[#This Row],[Mes]],Tabla6[#Headers],0)))</f>
        <v>#N/A</v>
      </c>
      <c r="R725" s="282" t="e">
        <f>++Tabla4[[#This Row],[Precio Unitario Neto]]-Tabla4[[#This Row],[20.85%]]-Tabla4[[#This Row],[Costo]]</f>
        <v>#N/A</v>
      </c>
      <c r="S725" s="282" t="e">
        <f>++Tabla4[[#This Row],[U. Bruta Uni]]*Tabla4[[#This Row],[Cantidad]]</f>
        <v>#N/A</v>
      </c>
      <c r="T725" s="369" t="str">
        <f>VLOOKUP(Tabla4[[#This Row],[Producto]],Tabla6[#All],14,FALSE)</f>
        <v>Termico Solar</v>
      </c>
      <c r="U725" s="284" t="e">
        <f>(IF(Tabla4[[#This Row],[Familia]]="termico solar",Tabla4[[#This Row],[Utilidad Total]]*6%,Tabla4[[#This Row],[Utilidad Total]]*11.5%))/Tabla4[[#This Row],[Total]]</f>
        <v>#N/A</v>
      </c>
      <c r="V725" s="282" t="e">
        <f>+Tabla4[[#This Row],[Comisión Calculada]]*Tabla4[[#This Row],[Total]]</f>
        <v>#N/A</v>
      </c>
    </row>
    <row r="726" spans="1:22" hidden="1" x14ac:dyDescent="0.25">
      <c r="A726" s="100">
        <v>45716</v>
      </c>
      <c r="B726" t="str">
        <f t="shared" si="26"/>
        <v>February</v>
      </c>
      <c r="C726" s="46" t="s">
        <v>280</v>
      </c>
      <c r="F726" s="366" t="s">
        <v>1006</v>
      </c>
      <c r="G726" s="46" t="s">
        <v>18</v>
      </c>
      <c r="H726" s="46">
        <v>3</v>
      </c>
      <c r="I726" s="51">
        <v>5367.6500000000005</v>
      </c>
      <c r="J726" s="281">
        <f>++Tabla4[[#This Row],[Precio Bruto]]*1.16</f>
        <v>6226.4740000000002</v>
      </c>
      <c r="K726" s="281">
        <f>+Tabla4[[#This Row],[Precio Unitario Neto]]*Tabla4[[#Headers],[20.85%]]</f>
        <v>1298.2198289999999</v>
      </c>
      <c r="L726" s="282">
        <f>++Tabla4[[#This Row],[Precio Unitario Neto]]-Tabla4[[#This Row],[20.85%]]</f>
        <v>4928.2541710000005</v>
      </c>
      <c r="M726" s="282" t="e">
        <f>(INDEX(Tabla6[#All],MATCH(Tabla4[[#This Row],[Producto]],Tabla6[[#All],[PRODUCTO]],0),MATCH(Tabla4[[#This Row],[Mes]],Tabla6[#Headers],0)))*(1+Catalogos!$L$2)</f>
        <v>#N/A</v>
      </c>
      <c r="N726" s="283" t="e">
        <f>+(Tabla4[[#This Row],[Precio Descontado]]-Tabla4[[#This Row],[Precio Base]])*Tabla4[[#This Row],[Cantidad]]</f>
        <v>#N/A</v>
      </c>
      <c r="O726" s="284" t="e">
        <f>++Tabla4[[#This Row],[Utilidad Total]]/Tabla4[[#This Row],[Total]]</f>
        <v>#N/A</v>
      </c>
      <c r="P726" s="282">
        <f>++Tabla4[[#This Row],[Precio Descontado]]*Tabla4[[#This Row],[Cantidad]]</f>
        <v>14784.762513000001</v>
      </c>
      <c r="Q726" s="282" t="e">
        <f>(INDEX(Tabla6[#All],MATCH(Tabla4[[#This Row],[Producto]],Tabla6[[#All],[PRODUCTO]],0),MATCH(Tabla4[[#This Row],[Mes]],Tabla6[#Headers],0)))</f>
        <v>#N/A</v>
      </c>
      <c r="R726" s="282" t="e">
        <f>++Tabla4[[#This Row],[Precio Unitario Neto]]-Tabla4[[#This Row],[20.85%]]-Tabla4[[#This Row],[Costo]]</f>
        <v>#N/A</v>
      </c>
      <c r="S726" s="282" t="e">
        <f>++Tabla4[[#This Row],[U. Bruta Uni]]*Tabla4[[#This Row],[Cantidad]]</f>
        <v>#N/A</v>
      </c>
      <c r="T726" s="369" t="str">
        <f>VLOOKUP(Tabla4[[#This Row],[Producto]],Tabla6[#All],14,FALSE)</f>
        <v>Termico Solar</v>
      </c>
      <c r="U726" s="284" t="e">
        <f>(IF(Tabla4[[#This Row],[Familia]]="termico solar",Tabla4[[#This Row],[Utilidad Total]]*6%,Tabla4[[#This Row],[Utilidad Total]]*11.5%))/Tabla4[[#This Row],[Total]]</f>
        <v>#N/A</v>
      </c>
      <c r="V726" s="282" t="e">
        <f>+Tabla4[[#This Row],[Comisión Calculada]]*Tabla4[[#This Row],[Total]]</f>
        <v>#N/A</v>
      </c>
    </row>
    <row r="727" spans="1:22" hidden="1" x14ac:dyDescent="0.25">
      <c r="A727" s="100">
        <v>45716</v>
      </c>
      <c r="B727" t="str">
        <f t="shared" si="26"/>
        <v>February</v>
      </c>
      <c r="C727" s="46" t="s">
        <v>280</v>
      </c>
      <c r="F727" s="366" t="s">
        <v>1006</v>
      </c>
      <c r="G727" s="46" t="s">
        <v>566</v>
      </c>
      <c r="H727" s="46">
        <v>1</v>
      </c>
      <c r="I727" s="51">
        <v>2109.4499999999998</v>
      </c>
      <c r="J727" s="281">
        <f>++Tabla4[[#This Row],[Precio Bruto]]*1.16</f>
        <v>2446.9619999999995</v>
      </c>
      <c r="K727" s="281">
        <f>+Tabla4[[#This Row],[Precio Unitario Neto]]*Tabla4[[#Headers],[20.85%]]</f>
        <v>510.19157699999988</v>
      </c>
      <c r="L727" s="282">
        <f>++Tabla4[[#This Row],[Precio Unitario Neto]]-Tabla4[[#This Row],[20.85%]]</f>
        <v>1936.7704229999997</v>
      </c>
      <c r="M727" s="282" t="e">
        <f>(INDEX(Tabla6[#All],MATCH(Tabla4[[#This Row],[Producto]],Tabla6[[#All],[PRODUCTO]],0),MATCH(Tabla4[[#This Row],[Mes]],Tabla6[#Headers],0)))*(1+Catalogos!$L$2)</f>
        <v>#N/A</v>
      </c>
      <c r="N727" s="283" t="e">
        <f>+(Tabla4[[#This Row],[Precio Descontado]]-Tabla4[[#This Row],[Precio Base]])*Tabla4[[#This Row],[Cantidad]]</f>
        <v>#N/A</v>
      </c>
      <c r="O727" s="284" t="e">
        <f>++Tabla4[[#This Row],[Utilidad Total]]/Tabla4[[#This Row],[Total]]</f>
        <v>#N/A</v>
      </c>
      <c r="P727" s="282">
        <f>++Tabla4[[#This Row],[Precio Descontado]]*Tabla4[[#This Row],[Cantidad]]</f>
        <v>1936.7704229999997</v>
      </c>
      <c r="Q727" s="282" t="e">
        <f>(INDEX(Tabla6[#All],MATCH(Tabla4[[#This Row],[Producto]],Tabla6[[#All],[PRODUCTO]],0),MATCH(Tabla4[[#This Row],[Mes]],Tabla6[#Headers],0)))</f>
        <v>#N/A</v>
      </c>
      <c r="R727" s="282" t="e">
        <f>++Tabla4[[#This Row],[Precio Unitario Neto]]-Tabla4[[#This Row],[20.85%]]-Tabla4[[#This Row],[Costo]]</f>
        <v>#N/A</v>
      </c>
      <c r="S727" s="282" t="e">
        <f>++Tabla4[[#This Row],[U. Bruta Uni]]*Tabla4[[#This Row],[Cantidad]]</f>
        <v>#N/A</v>
      </c>
      <c r="T727" s="369" t="str">
        <f>VLOOKUP(Tabla4[[#This Row],[Producto]],Tabla6[#All],14,FALSE)</f>
        <v>Termico Solar</v>
      </c>
      <c r="U727" s="284" t="e">
        <f>(IF(Tabla4[[#This Row],[Familia]]="termico solar",Tabla4[[#This Row],[Utilidad Total]]*6%,Tabla4[[#This Row],[Utilidad Total]]*11.5%))/Tabla4[[#This Row],[Total]]</f>
        <v>#N/A</v>
      </c>
      <c r="V727" s="282" t="e">
        <f>+Tabla4[[#This Row],[Comisión Calculada]]*Tabla4[[#This Row],[Total]]</f>
        <v>#N/A</v>
      </c>
    </row>
    <row r="728" spans="1:22" hidden="1" x14ac:dyDescent="0.25">
      <c r="A728" s="100">
        <v>45716</v>
      </c>
      <c r="B728" t="str">
        <f t="shared" si="26"/>
        <v>February</v>
      </c>
      <c r="C728" s="46" t="s">
        <v>280</v>
      </c>
      <c r="F728" s="366" t="s">
        <v>1007</v>
      </c>
      <c r="G728" s="46" t="s">
        <v>83</v>
      </c>
      <c r="H728" s="46">
        <v>2</v>
      </c>
      <c r="I728" s="51">
        <v>8858.76</v>
      </c>
      <c r="J728" s="281">
        <f>++Tabla4[[#This Row],[Precio Bruto]]*1.16</f>
        <v>10276.161599999999</v>
      </c>
      <c r="K728" s="281">
        <f>+Tabla4[[#This Row],[Precio Unitario Neto]]*Tabla4[[#Headers],[20.85%]]</f>
        <v>2142.5796935999997</v>
      </c>
      <c r="L728" s="282">
        <f>++Tabla4[[#This Row],[Precio Unitario Neto]]-Tabla4[[#This Row],[20.85%]]</f>
        <v>8133.5819063999998</v>
      </c>
      <c r="M728" s="282" t="e">
        <f>(INDEX(Tabla6[#All],MATCH(Tabla4[[#This Row],[Producto]],Tabla6[[#All],[PRODUCTO]],0),MATCH(Tabla4[[#This Row],[Mes]],Tabla6[#Headers],0)))*(1+Catalogos!$L$2)</f>
        <v>#N/A</v>
      </c>
      <c r="N728" s="283" t="e">
        <f>+(Tabla4[[#This Row],[Precio Descontado]]-Tabla4[[#This Row],[Precio Base]])*Tabla4[[#This Row],[Cantidad]]</f>
        <v>#N/A</v>
      </c>
      <c r="O728" s="284" t="e">
        <f>++Tabla4[[#This Row],[Utilidad Total]]/Tabla4[[#This Row],[Total]]</f>
        <v>#N/A</v>
      </c>
      <c r="P728" s="282">
        <f>++Tabla4[[#This Row],[Precio Descontado]]*Tabla4[[#This Row],[Cantidad]]</f>
        <v>16267.1638128</v>
      </c>
      <c r="Q728" s="282" t="e">
        <f>(INDEX(Tabla6[#All],MATCH(Tabla4[[#This Row],[Producto]],Tabla6[[#All],[PRODUCTO]],0),MATCH(Tabla4[[#This Row],[Mes]],Tabla6[#Headers],0)))</f>
        <v>#N/A</v>
      </c>
      <c r="R728" s="282" t="e">
        <f>++Tabla4[[#This Row],[Precio Unitario Neto]]-Tabla4[[#This Row],[20.85%]]-Tabla4[[#This Row],[Costo]]</f>
        <v>#N/A</v>
      </c>
      <c r="S728" s="282" t="e">
        <f>++Tabla4[[#This Row],[U. Bruta Uni]]*Tabla4[[#This Row],[Cantidad]]</f>
        <v>#N/A</v>
      </c>
      <c r="T728" s="369" t="str">
        <f>VLOOKUP(Tabla4[[#This Row],[Producto]],Tabla6[#All],14,FALSE)</f>
        <v>Termico Solar</v>
      </c>
      <c r="U728" s="284" t="e">
        <f>(IF(Tabla4[[#This Row],[Familia]]="termico solar",Tabla4[[#This Row],[Utilidad Total]]*6%,Tabla4[[#This Row],[Utilidad Total]]*11.5%))/Tabla4[[#This Row],[Total]]</f>
        <v>#N/A</v>
      </c>
      <c r="V728" s="282" t="e">
        <f>+Tabla4[[#This Row],[Comisión Calculada]]*Tabla4[[#This Row],[Total]]</f>
        <v>#N/A</v>
      </c>
    </row>
    <row r="729" spans="1:22" hidden="1" x14ac:dyDescent="0.25">
      <c r="A729" s="100">
        <v>45716</v>
      </c>
      <c r="B729" t="str">
        <f t="shared" si="26"/>
        <v>February</v>
      </c>
      <c r="C729" s="46" t="s">
        <v>280</v>
      </c>
      <c r="F729" s="366" t="s">
        <v>1007</v>
      </c>
      <c r="G729" s="46" t="s">
        <v>17</v>
      </c>
      <c r="H729" s="46">
        <v>2</v>
      </c>
      <c r="I729" s="51">
        <v>4622.28</v>
      </c>
      <c r="J729" s="281">
        <f>++Tabla4[[#This Row],[Precio Bruto]]*1.16</f>
        <v>5361.8447999999989</v>
      </c>
      <c r="K729" s="281">
        <f>+Tabla4[[#This Row],[Precio Unitario Neto]]*Tabla4[[#Headers],[20.85%]]</f>
        <v>1117.9446407999997</v>
      </c>
      <c r="L729" s="282">
        <f>++Tabla4[[#This Row],[Precio Unitario Neto]]-Tabla4[[#This Row],[20.85%]]</f>
        <v>4243.9001591999995</v>
      </c>
      <c r="M729" s="282" t="e">
        <f>(INDEX(Tabla6[#All],MATCH(Tabla4[[#This Row],[Producto]],Tabla6[[#All],[PRODUCTO]],0),MATCH(Tabla4[[#This Row],[Mes]],Tabla6[#Headers],0)))*(1+Catalogos!$L$2)</f>
        <v>#N/A</v>
      </c>
      <c r="N729" s="283" t="e">
        <f>+(Tabla4[[#This Row],[Precio Descontado]]-Tabla4[[#This Row],[Precio Base]])*Tabla4[[#This Row],[Cantidad]]</f>
        <v>#N/A</v>
      </c>
      <c r="O729" s="284" t="e">
        <f>++Tabla4[[#This Row],[Utilidad Total]]/Tabla4[[#This Row],[Total]]</f>
        <v>#N/A</v>
      </c>
      <c r="P729" s="282">
        <f>++Tabla4[[#This Row],[Precio Descontado]]*Tabla4[[#This Row],[Cantidad]]</f>
        <v>8487.800318399999</v>
      </c>
      <c r="Q729" s="282" t="e">
        <f>(INDEX(Tabla6[#All],MATCH(Tabla4[[#This Row],[Producto]],Tabla6[[#All],[PRODUCTO]],0),MATCH(Tabla4[[#This Row],[Mes]],Tabla6[#Headers],0)))</f>
        <v>#N/A</v>
      </c>
      <c r="R729" s="282" t="e">
        <f>++Tabla4[[#This Row],[Precio Unitario Neto]]-Tabla4[[#This Row],[20.85%]]-Tabla4[[#This Row],[Costo]]</f>
        <v>#N/A</v>
      </c>
      <c r="S729" s="282" t="e">
        <f>++Tabla4[[#This Row],[U. Bruta Uni]]*Tabla4[[#This Row],[Cantidad]]</f>
        <v>#N/A</v>
      </c>
      <c r="T729" s="369" t="str">
        <f>VLOOKUP(Tabla4[[#This Row],[Producto]],Tabla6[#All],14,FALSE)</f>
        <v>Termico Solar</v>
      </c>
      <c r="U729" s="284" t="e">
        <f>(IF(Tabla4[[#This Row],[Familia]]="termico solar",Tabla4[[#This Row],[Utilidad Total]]*6%,Tabla4[[#This Row],[Utilidad Total]]*11.5%))/Tabla4[[#This Row],[Total]]</f>
        <v>#N/A</v>
      </c>
      <c r="V729" s="282" t="e">
        <f>+Tabla4[[#This Row],[Comisión Calculada]]*Tabla4[[#This Row],[Total]]</f>
        <v>#N/A</v>
      </c>
    </row>
    <row r="730" spans="1:22" hidden="1" x14ac:dyDescent="0.25">
      <c r="A730" s="100">
        <v>45716</v>
      </c>
      <c r="B730" t="str">
        <f t="shared" si="26"/>
        <v>February</v>
      </c>
      <c r="C730" s="46" t="s">
        <v>280</v>
      </c>
      <c r="F730" s="366" t="s">
        <v>1007</v>
      </c>
      <c r="G730" s="46" t="s">
        <v>18</v>
      </c>
      <c r="H730" s="46">
        <v>2</v>
      </c>
      <c r="I730" s="51">
        <v>5367.65</v>
      </c>
      <c r="J730" s="281">
        <f>++Tabla4[[#This Row],[Precio Bruto]]*1.16</f>
        <v>6226.4739999999993</v>
      </c>
      <c r="K730" s="281">
        <f>+Tabla4[[#This Row],[Precio Unitario Neto]]*Tabla4[[#Headers],[20.85%]]</f>
        <v>1298.2198289999999</v>
      </c>
      <c r="L730" s="282">
        <f>++Tabla4[[#This Row],[Precio Unitario Neto]]-Tabla4[[#This Row],[20.85%]]</f>
        <v>4928.2541709999996</v>
      </c>
      <c r="M730" s="282" t="e">
        <f>(INDEX(Tabla6[#All],MATCH(Tabla4[[#This Row],[Producto]],Tabla6[[#All],[PRODUCTO]],0),MATCH(Tabla4[[#This Row],[Mes]],Tabla6[#Headers],0)))*(1+Catalogos!$L$2)</f>
        <v>#N/A</v>
      </c>
      <c r="N730" s="283" t="e">
        <f>+(Tabla4[[#This Row],[Precio Descontado]]-Tabla4[[#This Row],[Precio Base]])*Tabla4[[#This Row],[Cantidad]]</f>
        <v>#N/A</v>
      </c>
      <c r="O730" s="284" t="e">
        <f>++Tabla4[[#This Row],[Utilidad Total]]/Tabla4[[#This Row],[Total]]</f>
        <v>#N/A</v>
      </c>
      <c r="P730" s="282">
        <f>++Tabla4[[#This Row],[Precio Descontado]]*Tabla4[[#This Row],[Cantidad]]</f>
        <v>9856.5083419999992</v>
      </c>
      <c r="Q730" s="282" t="e">
        <f>(INDEX(Tabla6[#All],MATCH(Tabla4[[#This Row],[Producto]],Tabla6[[#All],[PRODUCTO]],0),MATCH(Tabla4[[#This Row],[Mes]],Tabla6[#Headers],0)))</f>
        <v>#N/A</v>
      </c>
      <c r="R730" s="282" t="e">
        <f>++Tabla4[[#This Row],[Precio Unitario Neto]]-Tabla4[[#This Row],[20.85%]]-Tabla4[[#This Row],[Costo]]</f>
        <v>#N/A</v>
      </c>
      <c r="S730" s="282" t="e">
        <f>++Tabla4[[#This Row],[U. Bruta Uni]]*Tabla4[[#This Row],[Cantidad]]</f>
        <v>#N/A</v>
      </c>
      <c r="T730" s="369" t="str">
        <f>VLOOKUP(Tabla4[[#This Row],[Producto]],Tabla6[#All],14,FALSE)</f>
        <v>Termico Solar</v>
      </c>
      <c r="U730" s="284" t="e">
        <f>(IF(Tabla4[[#This Row],[Familia]]="termico solar",Tabla4[[#This Row],[Utilidad Total]]*6%,Tabla4[[#This Row],[Utilidad Total]]*11.5%))/Tabla4[[#This Row],[Total]]</f>
        <v>#N/A</v>
      </c>
      <c r="V730" s="282" t="e">
        <f>+Tabla4[[#This Row],[Comisión Calculada]]*Tabla4[[#This Row],[Total]]</f>
        <v>#N/A</v>
      </c>
    </row>
    <row r="731" spans="1:22" hidden="1" x14ac:dyDescent="0.25">
      <c r="A731" s="100">
        <v>45716</v>
      </c>
      <c r="B731" t="str">
        <f t="shared" ref="B731:B762" si="27">TEXT(A731, "mmmm")</f>
        <v>February</v>
      </c>
      <c r="C731" s="46" t="s">
        <v>280</v>
      </c>
      <c r="F731" s="366" t="s">
        <v>1008</v>
      </c>
      <c r="G731" s="46" t="s">
        <v>83</v>
      </c>
      <c r="H731" s="46">
        <v>1</v>
      </c>
      <c r="I731" s="51">
        <v>8858.76</v>
      </c>
      <c r="J731" s="281">
        <f>++Tabla4[[#This Row],[Precio Bruto]]*1.16</f>
        <v>10276.161599999999</v>
      </c>
      <c r="K731" s="281">
        <f>+Tabla4[[#This Row],[Precio Unitario Neto]]*Tabla4[[#Headers],[20.85%]]</f>
        <v>2142.5796935999997</v>
      </c>
      <c r="L731" s="282">
        <f>++Tabla4[[#This Row],[Precio Unitario Neto]]-Tabla4[[#This Row],[20.85%]]</f>
        <v>8133.5819063999998</v>
      </c>
      <c r="M731" s="282" t="e">
        <f>(INDEX(Tabla6[#All],MATCH(Tabla4[[#This Row],[Producto]],Tabla6[[#All],[PRODUCTO]],0),MATCH(Tabla4[[#This Row],[Mes]],Tabla6[#Headers],0)))*(1+Catalogos!$L$2)</f>
        <v>#N/A</v>
      </c>
      <c r="N731" s="283" t="e">
        <f>+(Tabla4[[#This Row],[Precio Descontado]]-Tabla4[[#This Row],[Precio Base]])*Tabla4[[#This Row],[Cantidad]]</f>
        <v>#N/A</v>
      </c>
      <c r="O731" s="284" t="e">
        <f>++Tabla4[[#This Row],[Utilidad Total]]/Tabla4[[#This Row],[Total]]</f>
        <v>#N/A</v>
      </c>
      <c r="P731" s="282">
        <f>++Tabla4[[#This Row],[Precio Descontado]]*Tabla4[[#This Row],[Cantidad]]</f>
        <v>8133.5819063999998</v>
      </c>
      <c r="Q731" s="282" t="e">
        <f>(INDEX(Tabla6[#All],MATCH(Tabla4[[#This Row],[Producto]],Tabla6[[#All],[PRODUCTO]],0),MATCH(Tabla4[[#This Row],[Mes]],Tabla6[#Headers],0)))</f>
        <v>#N/A</v>
      </c>
      <c r="R731" s="282" t="e">
        <f>++Tabla4[[#This Row],[Precio Unitario Neto]]-Tabla4[[#This Row],[20.85%]]-Tabla4[[#This Row],[Costo]]</f>
        <v>#N/A</v>
      </c>
      <c r="S731" s="282" t="e">
        <f>++Tabla4[[#This Row],[U. Bruta Uni]]*Tabla4[[#This Row],[Cantidad]]</f>
        <v>#N/A</v>
      </c>
      <c r="T731" s="369" t="str">
        <f>VLOOKUP(Tabla4[[#This Row],[Producto]],Tabla6[#All],14,FALSE)</f>
        <v>Termico Solar</v>
      </c>
      <c r="U731" s="284" t="e">
        <f>(IF(Tabla4[[#This Row],[Familia]]="termico solar",Tabla4[[#This Row],[Utilidad Total]]*6%,Tabla4[[#This Row],[Utilidad Total]]*11.5%))/Tabla4[[#This Row],[Total]]</f>
        <v>#N/A</v>
      </c>
      <c r="V731" s="282" t="e">
        <f>+Tabla4[[#This Row],[Comisión Calculada]]*Tabla4[[#This Row],[Total]]</f>
        <v>#N/A</v>
      </c>
    </row>
    <row r="732" spans="1:22" hidden="1" x14ac:dyDescent="0.25">
      <c r="A732" s="100">
        <v>45716</v>
      </c>
      <c r="B732" t="str">
        <f t="shared" si="27"/>
        <v>February</v>
      </c>
      <c r="C732" s="46" t="s">
        <v>280</v>
      </c>
      <c r="F732" s="366" t="s">
        <v>1008</v>
      </c>
      <c r="G732" s="46" t="s">
        <v>18</v>
      </c>
      <c r="H732" s="46">
        <v>8</v>
      </c>
      <c r="I732" s="51">
        <v>5367.65</v>
      </c>
      <c r="J732" s="281">
        <f>++Tabla4[[#This Row],[Precio Bruto]]*1.16</f>
        <v>6226.4739999999993</v>
      </c>
      <c r="K732" s="281">
        <f>+Tabla4[[#This Row],[Precio Unitario Neto]]*Tabla4[[#Headers],[20.85%]]</f>
        <v>1298.2198289999999</v>
      </c>
      <c r="L732" s="282">
        <f>++Tabla4[[#This Row],[Precio Unitario Neto]]-Tabla4[[#This Row],[20.85%]]</f>
        <v>4928.2541709999996</v>
      </c>
      <c r="M732" s="282" t="e">
        <f>(INDEX(Tabla6[#All],MATCH(Tabla4[[#This Row],[Producto]],Tabla6[[#All],[PRODUCTO]],0),MATCH(Tabla4[[#This Row],[Mes]],Tabla6[#Headers],0)))*(1+Catalogos!$L$2)</f>
        <v>#N/A</v>
      </c>
      <c r="N732" s="283" t="e">
        <f>+(Tabla4[[#This Row],[Precio Descontado]]-Tabla4[[#This Row],[Precio Base]])*Tabla4[[#This Row],[Cantidad]]</f>
        <v>#N/A</v>
      </c>
      <c r="O732" s="284" t="e">
        <f>++Tabla4[[#This Row],[Utilidad Total]]/Tabla4[[#This Row],[Total]]</f>
        <v>#N/A</v>
      </c>
      <c r="P732" s="282">
        <f>++Tabla4[[#This Row],[Precio Descontado]]*Tabla4[[#This Row],[Cantidad]]</f>
        <v>39426.033367999997</v>
      </c>
      <c r="Q732" s="282" t="e">
        <f>(INDEX(Tabla6[#All],MATCH(Tabla4[[#This Row],[Producto]],Tabla6[[#All],[PRODUCTO]],0),MATCH(Tabla4[[#This Row],[Mes]],Tabla6[#Headers],0)))</f>
        <v>#N/A</v>
      </c>
      <c r="R732" s="282" t="e">
        <f>++Tabla4[[#This Row],[Precio Unitario Neto]]-Tabla4[[#This Row],[20.85%]]-Tabla4[[#This Row],[Costo]]</f>
        <v>#N/A</v>
      </c>
      <c r="S732" s="282" t="e">
        <f>++Tabla4[[#This Row],[U. Bruta Uni]]*Tabla4[[#This Row],[Cantidad]]</f>
        <v>#N/A</v>
      </c>
      <c r="T732" s="369" t="str">
        <f>VLOOKUP(Tabla4[[#This Row],[Producto]],Tabla6[#All],14,FALSE)</f>
        <v>Termico Solar</v>
      </c>
      <c r="U732" s="284" t="e">
        <f>(IF(Tabla4[[#This Row],[Familia]]="termico solar",Tabla4[[#This Row],[Utilidad Total]]*6%,Tabla4[[#This Row],[Utilidad Total]]*11.5%))/Tabla4[[#This Row],[Total]]</f>
        <v>#N/A</v>
      </c>
      <c r="V732" s="282" t="e">
        <f>+Tabla4[[#This Row],[Comisión Calculada]]*Tabla4[[#This Row],[Total]]</f>
        <v>#N/A</v>
      </c>
    </row>
    <row r="733" spans="1:22" hidden="1" x14ac:dyDescent="0.25">
      <c r="A733" s="100">
        <v>45716</v>
      </c>
      <c r="B733" t="str">
        <f t="shared" si="27"/>
        <v>February</v>
      </c>
      <c r="C733" s="46" t="s">
        <v>280</v>
      </c>
      <c r="F733" s="366" t="s">
        <v>1008</v>
      </c>
      <c r="G733" s="46" t="s">
        <v>16</v>
      </c>
      <c r="H733" s="46">
        <v>2</v>
      </c>
      <c r="I733" s="51">
        <v>4103.8500000000004</v>
      </c>
      <c r="J733" s="281">
        <f>++Tabla4[[#This Row],[Precio Bruto]]*1.16</f>
        <v>4760.4660000000003</v>
      </c>
      <c r="K733" s="281">
        <f>+Tabla4[[#This Row],[Precio Unitario Neto]]*Tabla4[[#Headers],[20.85%]]</f>
        <v>992.55716100000006</v>
      </c>
      <c r="L733" s="282">
        <f>++Tabla4[[#This Row],[Precio Unitario Neto]]-Tabla4[[#This Row],[20.85%]]</f>
        <v>3767.9088390000002</v>
      </c>
      <c r="M733" s="282" t="e">
        <f>(INDEX(Tabla6[#All],MATCH(Tabla4[[#This Row],[Producto]],Tabla6[[#All],[PRODUCTO]],0),MATCH(Tabla4[[#This Row],[Mes]],Tabla6[#Headers],0)))*(1+Catalogos!$L$2)</f>
        <v>#N/A</v>
      </c>
      <c r="N733" s="283" t="e">
        <f>+(Tabla4[[#This Row],[Precio Descontado]]-Tabla4[[#This Row],[Precio Base]])*Tabla4[[#This Row],[Cantidad]]</f>
        <v>#N/A</v>
      </c>
      <c r="O733" s="284" t="e">
        <f>++Tabla4[[#This Row],[Utilidad Total]]/Tabla4[[#This Row],[Total]]</f>
        <v>#N/A</v>
      </c>
      <c r="P733" s="282">
        <f>++Tabla4[[#This Row],[Precio Descontado]]*Tabla4[[#This Row],[Cantidad]]</f>
        <v>7535.8176780000003</v>
      </c>
      <c r="Q733" s="282" t="e">
        <f>(INDEX(Tabla6[#All],MATCH(Tabla4[[#This Row],[Producto]],Tabla6[[#All],[PRODUCTO]],0),MATCH(Tabla4[[#This Row],[Mes]],Tabla6[#Headers],0)))</f>
        <v>#N/A</v>
      </c>
      <c r="R733" s="282" t="e">
        <f>++Tabla4[[#This Row],[Precio Unitario Neto]]-Tabla4[[#This Row],[20.85%]]-Tabla4[[#This Row],[Costo]]</f>
        <v>#N/A</v>
      </c>
      <c r="S733" s="282" t="e">
        <f>++Tabla4[[#This Row],[U. Bruta Uni]]*Tabla4[[#This Row],[Cantidad]]</f>
        <v>#N/A</v>
      </c>
      <c r="T733" s="369" t="str">
        <f>VLOOKUP(Tabla4[[#This Row],[Producto]],Tabla6[#All],14,FALSE)</f>
        <v>Termico Solar</v>
      </c>
      <c r="U733" s="284" t="e">
        <f>(IF(Tabla4[[#This Row],[Familia]]="termico solar",Tabla4[[#This Row],[Utilidad Total]]*6%,Tabla4[[#This Row],[Utilidad Total]]*11.5%))/Tabla4[[#This Row],[Total]]</f>
        <v>#N/A</v>
      </c>
      <c r="V733" s="282" t="e">
        <f>+Tabla4[[#This Row],[Comisión Calculada]]*Tabla4[[#This Row],[Total]]</f>
        <v>#N/A</v>
      </c>
    </row>
    <row r="734" spans="1:22" hidden="1" x14ac:dyDescent="0.25">
      <c r="A734" s="100">
        <v>45716</v>
      </c>
      <c r="B734" t="str">
        <f t="shared" si="27"/>
        <v>February</v>
      </c>
      <c r="C734" s="46" t="s">
        <v>280</v>
      </c>
      <c r="F734" s="366" t="s">
        <v>1009</v>
      </c>
      <c r="G734" s="46" t="s">
        <v>17</v>
      </c>
      <c r="H734" s="46">
        <v>10</v>
      </c>
      <c r="I734" s="51">
        <v>4622.2800000000007</v>
      </c>
      <c r="J734" s="281">
        <f>++Tabla4[[#This Row],[Precio Bruto]]*1.16</f>
        <v>5361.8448000000008</v>
      </c>
      <c r="K734" s="281">
        <f>+Tabla4[[#This Row],[Precio Unitario Neto]]*Tabla4[[#Headers],[20.85%]]</f>
        <v>1117.9446408000001</v>
      </c>
      <c r="L734" s="282">
        <f>++Tabla4[[#This Row],[Precio Unitario Neto]]-Tabla4[[#This Row],[20.85%]]</f>
        <v>4243.9001592000004</v>
      </c>
      <c r="M734" s="282" t="e">
        <f>(INDEX(Tabla6[#All],MATCH(Tabla4[[#This Row],[Producto]],Tabla6[[#All],[PRODUCTO]],0),MATCH(Tabla4[[#This Row],[Mes]],Tabla6[#Headers],0)))*(1+Catalogos!$L$2)</f>
        <v>#N/A</v>
      </c>
      <c r="N734" s="283" t="e">
        <f>+(Tabla4[[#This Row],[Precio Descontado]]-Tabla4[[#This Row],[Precio Base]])*Tabla4[[#This Row],[Cantidad]]</f>
        <v>#N/A</v>
      </c>
      <c r="O734" s="284" t="e">
        <f>++Tabla4[[#This Row],[Utilidad Total]]/Tabla4[[#This Row],[Total]]</f>
        <v>#N/A</v>
      </c>
      <c r="P734" s="282">
        <f>++Tabla4[[#This Row],[Precio Descontado]]*Tabla4[[#This Row],[Cantidad]]</f>
        <v>42439.001592000001</v>
      </c>
      <c r="Q734" s="282" t="e">
        <f>(INDEX(Tabla6[#All],MATCH(Tabla4[[#This Row],[Producto]],Tabla6[[#All],[PRODUCTO]],0),MATCH(Tabla4[[#This Row],[Mes]],Tabla6[#Headers],0)))</f>
        <v>#N/A</v>
      </c>
      <c r="R734" s="282" t="e">
        <f>++Tabla4[[#This Row],[Precio Unitario Neto]]-Tabla4[[#This Row],[20.85%]]-Tabla4[[#This Row],[Costo]]</f>
        <v>#N/A</v>
      </c>
      <c r="S734" s="282" t="e">
        <f>++Tabla4[[#This Row],[U. Bruta Uni]]*Tabla4[[#This Row],[Cantidad]]</f>
        <v>#N/A</v>
      </c>
      <c r="T734" s="369" t="str">
        <f>VLOOKUP(Tabla4[[#This Row],[Producto]],Tabla6[#All],14,FALSE)</f>
        <v>Termico Solar</v>
      </c>
      <c r="U734" s="284" t="e">
        <f>(IF(Tabla4[[#This Row],[Familia]]="termico solar",Tabla4[[#This Row],[Utilidad Total]]*6%,Tabla4[[#This Row],[Utilidad Total]]*11.5%))/Tabla4[[#This Row],[Total]]</f>
        <v>#N/A</v>
      </c>
      <c r="V734" s="282" t="e">
        <f>+Tabla4[[#This Row],[Comisión Calculada]]*Tabla4[[#This Row],[Total]]</f>
        <v>#N/A</v>
      </c>
    </row>
    <row r="735" spans="1:22" hidden="1" x14ac:dyDescent="0.25">
      <c r="A735" s="100">
        <v>45716</v>
      </c>
      <c r="B735" t="str">
        <f t="shared" si="27"/>
        <v>February</v>
      </c>
      <c r="C735" s="46" t="s">
        <v>280</v>
      </c>
      <c r="F735" s="366" t="s">
        <v>1009</v>
      </c>
      <c r="G735" s="46" t="s">
        <v>18</v>
      </c>
      <c r="H735" s="46">
        <v>2</v>
      </c>
      <c r="I735" s="51">
        <v>5367.65</v>
      </c>
      <c r="J735" s="281">
        <f>++Tabla4[[#This Row],[Precio Bruto]]*1.16</f>
        <v>6226.4739999999993</v>
      </c>
      <c r="K735" s="281">
        <f>+Tabla4[[#This Row],[Precio Unitario Neto]]*Tabla4[[#Headers],[20.85%]]</f>
        <v>1298.2198289999999</v>
      </c>
      <c r="L735" s="282">
        <f>++Tabla4[[#This Row],[Precio Unitario Neto]]-Tabla4[[#This Row],[20.85%]]</f>
        <v>4928.2541709999996</v>
      </c>
      <c r="M735" s="282" t="e">
        <f>(INDEX(Tabla6[#All],MATCH(Tabla4[[#This Row],[Producto]],Tabla6[[#All],[PRODUCTO]],0),MATCH(Tabla4[[#This Row],[Mes]],Tabla6[#Headers],0)))*(1+Catalogos!$L$2)</f>
        <v>#N/A</v>
      </c>
      <c r="N735" s="283" t="e">
        <f>+(Tabla4[[#This Row],[Precio Descontado]]-Tabla4[[#This Row],[Precio Base]])*Tabla4[[#This Row],[Cantidad]]</f>
        <v>#N/A</v>
      </c>
      <c r="O735" s="284" t="e">
        <f>++Tabla4[[#This Row],[Utilidad Total]]/Tabla4[[#This Row],[Total]]</f>
        <v>#N/A</v>
      </c>
      <c r="P735" s="282">
        <f>++Tabla4[[#This Row],[Precio Descontado]]*Tabla4[[#This Row],[Cantidad]]</f>
        <v>9856.5083419999992</v>
      </c>
      <c r="Q735" s="282" t="e">
        <f>(INDEX(Tabla6[#All],MATCH(Tabla4[[#This Row],[Producto]],Tabla6[[#All],[PRODUCTO]],0),MATCH(Tabla4[[#This Row],[Mes]],Tabla6[#Headers],0)))</f>
        <v>#N/A</v>
      </c>
      <c r="R735" s="282" t="e">
        <f>++Tabla4[[#This Row],[Precio Unitario Neto]]-Tabla4[[#This Row],[20.85%]]-Tabla4[[#This Row],[Costo]]</f>
        <v>#N/A</v>
      </c>
      <c r="S735" s="282" t="e">
        <f>++Tabla4[[#This Row],[U. Bruta Uni]]*Tabla4[[#This Row],[Cantidad]]</f>
        <v>#N/A</v>
      </c>
      <c r="T735" s="369" t="str">
        <f>VLOOKUP(Tabla4[[#This Row],[Producto]],Tabla6[#All],14,FALSE)</f>
        <v>Termico Solar</v>
      </c>
      <c r="U735" s="284" t="e">
        <f>(IF(Tabla4[[#This Row],[Familia]]="termico solar",Tabla4[[#This Row],[Utilidad Total]]*6%,Tabla4[[#This Row],[Utilidad Total]]*11.5%))/Tabla4[[#This Row],[Total]]</f>
        <v>#N/A</v>
      </c>
      <c r="V735" s="282" t="e">
        <f>+Tabla4[[#This Row],[Comisión Calculada]]*Tabla4[[#This Row],[Total]]</f>
        <v>#N/A</v>
      </c>
    </row>
    <row r="736" spans="1:22" hidden="1" x14ac:dyDescent="0.25">
      <c r="A736" s="100">
        <v>45716</v>
      </c>
      <c r="B736" t="str">
        <f t="shared" si="27"/>
        <v>February</v>
      </c>
      <c r="C736" s="46" t="s">
        <v>280</v>
      </c>
      <c r="F736" s="366" t="s">
        <v>1010</v>
      </c>
      <c r="G736" s="46" t="s">
        <v>17</v>
      </c>
      <c r="H736" s="46">
        <v>3</v>
      </c>
      <c r="I736" s="51">
        <v>4622.28</v>
      </c>
      <c r="J736" s="281">
        <f>++Tabla4[[#This Row],[Precio Bruto]]*1.16</f>
        <v>5361.8447999999989</v>
      </c>
      <c r="K736" s="281">
        <f>+Tabla4[[#This Row],[Precio Unitario Neto]]*Tabla4[[#Headers],[20.85%]]</f>
        <v>1117.9446407999997</v>
      </c>
      <c r="L736" s="282">
        <f>++Tabla4[[#This Row],[Precio Unitario Neto]]-Tabla4[[#This Row],[20.85%]]</f>
        <v>4243.9001591999995</v>
      </c>
      <c r="M736" s="282" t="e">
        <f>(INDEX(Tabla6[#All],MATCH(Tabla4[[#This Row],[Producto]],Tabla6[[#All],[PRODUCTO]],0),MATCH(Tabla4[[#This Row],[Mes]],Tabla6[#Headers],0)))*(1+Catalogos!$L$2)</f>
        <v>#N/A</v>
      </c>
      <c r="N736" s="283" t="e">
        <f>+(Tabla4[[#This Row],[Precio Descontado]]-Tabla4[[#This Row],[Precio Base]])*Tabla4[[#This Row],[Cantidad]]</f>
        <v>#N/A</v>
      </c>
      <c r="O736" s="284" t="e">
        <f>++Tabla4[[#This Row],[Utilidad Total]]/Tabla4[[#This Row],[Total]]</f>
        <v>#N/A</v>
      </c>
      <c r="P736" s="282">
        <f>++Tabla4[[#This Row],[Precio Descontado]]*Tabla4[[#This Row],[Cantidad]]</f>
        <v>12731.700477599999</v>
      </c>
      <c r="Q736" s="282" t="e">
        <f>(INDEX(Tabla6[#All],MATCH(Tabla4[[#This Row],[Producto]],Tabla6[[#All],[PRODUCTO]],0),MATCH(Tabla4[[#This Row],[Mes]],Tabla6[#Headers],0)))</f>
        <v>#N/A</v>
      </c>
      <c r="R736" s="282" t="e">
        <f>++Tabla4[[#This Row],[Precio Unitario Neto]]-Tabla4[[#This Row],[20.85%]]-Tabla4[[#This Row],[Costo]]</f>
        <v>#N/A</v>
      </c>
      <c r="S736" s="282" t="e">
        <f>++Tabla4[[#This Row],[U. Bruta Uni]]*Tabla4[[#This Row],[Cantidad]]</f>
        <v>#N/A</v>
      </c>
      <c r="T736" s="369" t="str">
        <f>VLOOKUP(Tabla4[[#This Row],[Producto]],Tabla6[#All],14,FALSE)</f>
        <v>Termico Solar</v>
      </c>
      <c r="U736" s="284" t="e">
        <f>(IF(Tabla4[[#This Row],[Familia]]="termico solar",Tabla4[[#This Row],[Utilidad Total]]*6%,Tabla4[[#This Row],[Utilidad Total]]*11.5%))/Tabla4[[#This Row],[Total]]</f>
        <v>#N/A</v>
      </c>
      <c r="V736" s="282" t="e">
        <f>+Tabla4[[#This Row],[Comisión Calculada]]*Tabla4[[#This Row],[Total]]</f>
        <v>#N/A</v>
      </c>
    </row>
    <row r="737" spans="1:22" hidden="1" x14ac:dyDescent="0.25">
      <c r="A737" s="100">
        <v>45716</v>
      </c>
      <c r="B737" t="str">
        <f t="shared" si="27"/>
        <v>February</v>
      </c>
      <c r="C737" s="46" t="s">
        <v>280</v>
      </c>
      <c r="F737" s="366" t="s">
        <v>1010</v>
      </c>
      <c r="G737" s="46" t="s">
        <v>566</v>
      </c>
      <c r="H737" s="46">
        <v>1</v>
      </c>
      <c r="I737" s="51">
        <v>2109.4499999999998</v>
      </c>
      <c r="J737" s="281">
        <f>++Tabla4[[#This Row],[Precio Bruto]]*1.16</f>
        <v>2446.9619999999995</v>
      </c>
      <c r="K737" s="281">
        <f>+Tabla4[[#This Row],[Precio Unitario Neto]]*Tabla4[[#Headers],[20.85%]]</f>
        <v>510.19157699999988</v>
      </c>
      <c r="L737" s="282">
        <f>++Tabla4[[#This Row],[Precio Unitario Neto]]-Tabla4[[#This Row],[20.85%]]</f>
        <v>1936.7704229999997</v>
      </c>
      <c r="M737" s="282" t="e">
        <f>(INDEX(Tabla6[#All],MATCH(Tabla4[[#This Row],[Producto]],Tabla6[[#All],[PRODUCTO]],0),MATCH(Tabla4[[#This Row],[Mes]],Tabla6[#Headers],0)))*(1+Catalogos!$L$2)</f>
        <v>#N/A</v>
      </c>
      <c r="N737" s="283" t="e">
        <f>+(Tabla4[[#This Row],[Precio Descontado]]-Tabla4[[#This Row],[Precio Base]])*Tabla4[[#This Row],[Cantidad]]</f>
        <v>#N/A</v>
      </c>
      <c r="O737" s="284" t="e">
        <f>++Tabla4[[#This Row],[Utilidad Total]]/Tabla4[[#This Row],[Total]]</f>
        <v>#N/A</v>
      </c>
      <c r="P737" s="282">
        <f>++Tabla4[[#This Row],[Precio Descontado]]*Tabla4[[#This Row],[Cantidad]]</f>
        <v>1936.7704229999997</v>
      </c>
      <c r="Q737" s="282" t="e">
        <f>(INDEX(Tabla6[#All],MATCH(Tabla4[[#This Row],[Producto]],Tabla6[[#All],[PRODUCTO]],0),MATCH(Tabla4[[#This Row],[Mes]],Tabla6[#Headers],0)))</f>
        <v>#N/A</v>
      </c>
      <c r="R737" s="282" t="e">
        <f>++Tabla4[[#This Row],[Precio Unitario Neto]]-Tabla4[[#This Row],[20.85%]]-Tabla4[[#This Row],[Costo]]</f>
        <v>#N/A</v>
      </c>
      <c r="S737" s="282" t="e">
        <f>++Tabla4[[#This Row],[U. Bruta Uni]]*Tabla4[[#This Row],[Cantidad]]</f>
        <v>#N/A</v>
      </c>
      <c r="T737" s="369" t="str">
        <f>VLOOKUP(Tabla4[[#This Row],[Producto]],Tabla6[#All],14,FALSE)</f>
        <v>Termico Solar</v>
      </c>
      <c r="U737" s="284" t="e">
        <f>(IF(Tabla4[[#This Row],[Familia]]="termico solar",Tabla4[[#This Row],[Utilidad Total]]*6%,Tabla4[[#This Row],[Utilidad Total]]*11.5%))/Tabla4[[#This Row],[Total]]</f>
        <v>#N/A</v>
      </c>
      <c r="V737" s="282" t="e">
        <f>+Tabla4[[#This Row],[Comisión Calculada]]*Tabla4[[#This Row],[Total]]</f>
        <v>#N/A</v>
      </c>
    </row>
    <row r="738" spans="1:22" hidden="1" x14ac:dyDescent="0.25">
      <c r="A738" s="100">
        <v>45716</v>
      </c>
      <c r="B738" t="str">
        <f t="shared" si="27"/>
        <v>February</v>
      </c>
      <c r="C738" s="46" t="s">
        <v>280</v>
      </c>
      <c r="F738" s="366" t="s">
        <v>1010</v>
      </c>
      <c r="G738" s="46" t="s">
        <v>16</v>
      </c>
      <c r="H738" s="46">
        <v>2</v>
      </c>
      <c r="I738" s="51">
        <v>4103.8500000000004</v>
      </c>
      <c r="J738" s="281">
        <f>++Tabla4[[#This Row],[Precio Bruto]]*1.16</f>
        <v>4760.4660000000003</v>
      </c>
      <c r="K738" s="281">
        <f>+Tabla4[[#This Row],[Precio Unitario Neto]]*Tabla4[[#Headers],[20.85%]]</f>
        <v>992.55716100000006</v>
      </c>
      <c r="L738" s="282">
        <f>++Tabla4[[#This Row],[Precio Unitario Neto]]-Tabla4[[#This Row],[20.85%]]</f>
        <v>3767.9088390000002</v>
      </c>
      <c r="M738" s="282" t="e">
        <f>(INDEX(Tabla6[#All],MATCH(Tabla4[[#This Row],[Producto]],Tabla6[[#All],[PRODUCTO]],0),MATCH(Tabla4[[#This Row],[Mes]],Tabla6[#Headers],0)))*(1+Catalogos!$L$2)</f>
        <v>#N/A</v>
      </c>
      <c r="N738" s="283" t="e">
        <f>+(Tabla4[[#This Row],[Precio Descontado]]-Tabla4[[#This Row],[Precio Base]])*Tabla4[[#This Row],[Cantidad]]</f>
        <v>#N/A</v>
      </c>
      <c r="O738" s="284" t="e">
        <f>++Tabla4[[#This Row],[Utilidad Total]]/Tabla4[[#This Row],[Total]]</f>
        <v>#N/A</v>
      </c>
      <c r="P738" s="282">
        <f>++Tabla4[[#This Row],[Precio Descontado]]*Tabla4[[#This Row],[Cantidad]]</f>
        <v>7535.8176780000003</v>
      </c>
      <c r="Q738" s="282" t="e">
        <f>(INDEX(Tabla6[#All],MATCH(Tabla4[[#This Row],[Producto]],Tabla6[[#All],[PRODUCTO]],0),MATCH(Tabla4[[#This Row],[Mes]],Tabla6[#Headers],0)))</f>
        <v>#N/A</v>
      </c>
      <c r="R738" s="282" t="e">
        <f>++Tabla4[[#This Row],[Precio Unitario Neto]]-Tabla4[[#This Row],[20.85%]]-Tabla4[[#This Row],[Costo]]</f>
        <v>#N/A</v>
      </c>
      <c r="S738" s="282" t="e">
        <f>++Tabla4[[#This Row],[U. Bruta Uni]]*Tabla4[[#This Row],[Cantidad]]</f>
        <v>#N/A</v>
      </c>
      <c r="T738" s="369" t="str">
        <f>VLOOKUP(Tabla4[[#This Row],[Producto]],Tabla6[#All],14,FALSE)</f>
        <v>Termico Solar</v>
      </c>
      <c r="U738" s="284" t="e">
        <f>(IF(Tabla4[[#This Row],[Familia]]="termico solar",Tabla4[[#This Row],[Utilidad Total]]*6%,Tabla4[[#This Row],[Utilidad Total]]*11.5%))/Tabla4[[#This Row],[Total]]</f>
        <v>#N/A</v>
      </c>
      <c r="V738" s="282" t="e">
        <f>+Tabla4[[#This Row],[Comisión Calculada]]*Tabla4[[#This Row],[Total]]</f>
        <v>#N/A</v>
      </c>
    </row>
    <row r="739" spans="1:22" hidden="1" x14ac:dyDescent="0.25">
      <c r="A739" s="100">
        <v>45716</v>
      </c>
      <c r="B739" t="str">
        <f t="shared" si="27"/>
        <v>February</v>
      </c>
      <c r="C739" s="46" t="s">
        <v>280</v>
      </c>
      <c r="F739" s="366" t="s">
        <v>1011</v>
      </c>
      <c r="G739" s="46" t="s">
        <v>83</v>
      </c>
      <c r="H739" s="46">
        <v>1</v>
      </c>
      <c r="I739" s="51">
        <v>8858.76</v>
      </c>
      <c r="J739" s="281">
        <f>++Tabla4[[#This Row],[Precio Bruto]]*1.16</f>
        <v>10276.161599999999</v>
      </c>
      <c r="K739" s="281">
        <f>+Tabla4[[#This Row],[Precio Unitario Neto]]*Tabla4[[#Headers],[20.85%]]</f>
        <v>2142.5796935999997</v>
      </c>
      <c r="L739" s="282">
        <f>++Tabla4[[#This Row],[Precio Unitario Neto]]-Tabla4[[#This Row],[20.85%]]</f>
        <v>8133.5819063999998</v>
      </c>
      <c r="M739" s="282" t="e">
        <f>(INDEX(Tabla6[#All],MATCH(Tabla4[[#This Row],[Producto]],Tabla6[[#All],[PRODUCTO]],0),MATCH(Tabla4[[#This Row],[Mes]],Tabla6[#Headers],0)))*(1+Catalogos!$L$2)</f>
        <v>#N/A</v>
      </c>
      <c r="N739" s="283" t="e">
        <f>+(Tabla4[[#This Row],[Precio Descontado]]-Tabla4[[#This Row],[Precio Base]])*Tabla4[[#This Row],[Cantidad]]</f>
        <v>#N/A</v>
      </c>
      <c r="O739" s="284" t="e">
        <f>++Tabla4[[#This Row],[Utilidad Total]]/Tabla4[[#This Row],[Total]]</f>
        <v>#N/A</v>
      </c>
      <c r="P739" s="282">
        <f>++Tabla4[[#This Row],[Precio Descontado]]*Tabla4[[#This Row],[Cantidad]]</f>
        <v>8133.5819063999998</v>
      </c>
      <c r="Q739" s="282" t="e">
        <f>(INDEX(Tabla6[#All],MATCH(Tabla4[[#This Row],[Producto]],Tabla6[[#All],[PRODUCTO]],0),MATCH(Tabla4[[#This Row],[Mes]],Tabla6[#Headers],0)))</f>
        <v>#N/A</v>
      </c>
      <c r="R739" s="282" t="e">
        <f>++Tabla4[[#This Row],[Precio Unitario Neto]]-Tabla4[[#This Row],[20.85%]]-Tabla4[[#This Row],[Costo]]</f>
        <v>#N/A</v>
      </c>
      <c r="S739" s="282" t="e">
        <f>++Tabla4[[#This Row],[U. Bruta Uni]]*Tabla4[[#This Row],[Cantidad]]</f>
        <v>#N/A</v>
      </c>
      <c r="T739" s="369" t="str">
        <f>VLOOKUP(Tabla4[[#This Row],[Producto]],Tabla6[#All],14,FALSE)</f>
        <v>Termico Solar</v>
      </c>
      <c r="U739" s="284" t="e">
        <f>(IF(Tabla4[[#This Row],[Familia]]="termico solar",Tabla4[[#This Row],[Utilidad Total]]*6%,Tabla4[[#This Row],[Utilidad Total]]*11.5%))/Tabla4[[#This Row],[Total]]</f>
        <v>#N/A</v>
      </c>
      <c r="V739" s="282" t="e">
        <f>+Tabla4[[#This Row],[Comisión Calculada]]*Tabla4[[#This Row],[Total]]</f>
        <v>#N/A</v>
      </c>
    </row>
    <row r="740" spans="1:22" hidden="1" x14ac:dyDescent="0.25">
      <c r="A740" s="100">
        <v>45716</v>
      </c>
      <c r="B740" t="str">
        <f t="shared" si="27"/>
        <v>February</v>
      </c>
      <c r="C740" s="46" t="s">
        <v>280</v>
      </c>
      <c r="F740" s="366" t="s">
        <v>1011</v>
      </c>
      <c r="G740" s="46" t="s">
        <v>17</v>
      </c>
      <c r="H740" s="46">
        <v>2</v>
      </c>
      <c r="I740" s="51">
        <v>4622.28</v>
      </c>
      <c r="J740" s="281">
        <f>++Tabla4[[#This Row],[Precio Bruto]]*1.16</f>
        <v>5361.8447999999989</v>
      </c>
      <c r="K740" s="281">
        <f>+Tabla4[[#This Row],[Precio Unitario Neto]]*Tabla4[[#Headers],[20.85%]]</f>
        <v>1117.9446407999997</v>
      </c>
      <c r="L740" s="282">
        <f>++Tabla4[[#This Row],[Precio Unitario Neto]]-Tabla4[[#This Row],[20.85%]]</f>
        <v>4243.9001591999995</v>
      </c>
      <c r="M740" s="282" t="e">
        <f>(INDEX(Tabla6[#All],MATCH(Tabla4[[#This Row],[Producto]],Tabla6[[#All],[PRODUCTO]],0),MATCH(Tabla4[[#This Row],[Mes]],Tabla6[#Headers],0)))*(1+Catalogos!$L$2)</f>
        <v>#N/A</v>
      </c>
      <c r="N740" s="283" t="e">
        <f>+(Tabla4[[#This Row],[Precio Descontado]]-Tabla4[[#This Row],[Precio Base]])*Tabla4[[#This Row],[Cantidad]]</f>
        <v>#N/A</v>
      </c>
      <c r="O740" s="284" t="e">
        <f>++Tabla4[[#This Row],[Utilidad Total]]/Tabla4[[#This Row],[Total]]</f>
        <v>#N/A</v>
      </c>
      <c r="P740" s="282">
        <f>++Tabla4[[#This Row],[Precio Descontado]]*Tabla4[[#This Row],[Cantidad]]</f>
        <v>8487.800318399999</v>
      </c>
      <c r="Q740" s="282" t="e">
        <f>(INDEX(Tabla6[#All],MATCH(Tabla4[[#This Row],[Producto]],Tabla6[[#All],[PRODUCTO]],0),MATCH(Tabla4[[#This Row],[Mes]],Tabla6[#Headers],0)))</f>
        <v>#N/A</v>
      </c>
      <c r="R740" s="282" t="e">
        <f>++Tabla4[[#This Row],[Precio Unitario Neto]]-Tabla4[[#This Row],[20.85%]]-Tabla4[[#This Row],[Costo]]</f>
        <v>#N/A</v>
      </c>
      <c r="S740" s="282" t="e">
        <f>++Tabla4[[#This Row],[U. Bruta Uni]]*Tabla4[[#This Row],[Cantidad]]</f>
        <v>#N/A</v>
      </c>
      <c r="T740" s="369" t="str">
        <f>VLOOKUP(Tabla4[[#This Row],[Producto]],Tabla6[#All],14,FALSE)</f>
        <v>Termico Solar</v>
      </c>
      <c r="U740" s="284" t="e">
        <f>(IF(Tabla4[[#This Row],[Familia]]="termico solar",Tabla4[[#This Row],[Utilidad Total]]*6%,Tabla4[[#This Row],[Utilidad Total]]*11.5%))/Tabla4[[#This Row],[Total]]</f>
        <v>#N/A</v>
      </c>
      <c r="V740" s="282" t="e">
        <f>+Tabla4[[#This Row],[Comisión Calculada]]*Tabla4[[#This Row],[Total]]</f>
        <v>#N/A</v>
      </c>
    </row>
    <row r="741" spans="1:22" hidden="1" x14ac:dyDescent="0.25">
      <c r="A741" s="100">
        <v>45716</v>
      </c>
      <c r="B741" t="str">
        <f t="shared" si="27"/>
        <v>February</v>
      </c>
      <c r="C741" s="46" t="s">
        <v>280</v>
      </c>
      <c r="F741" s="366" t="s">
        <v>1011</v>
      </c>
      <c r="G741" s="46" t="s">
        <v>18</v>
      </c>
      <c r="H741" s="46">
        <v>1</v>
      </c>
      <c r="I741" s="51">
        <v>5367.65</v>
      </c>
      <c r="J741" s="281">
        <f>++Tabla4[[#This Row],[Precio Bruto]]*1.16</f>
        <v>6226.4739999999993</v>
      </c>
      <c r="K741" s="281">
        <f>+Tabla4[[#This Row],[Precio Unitario Neto]]*Tabla4[[#Headers],[20.85%]]</f>
        <v>1298.2198289999999</v>
      </c>
      <c r="L741" s="282">
        <f>++Tabla4[[#This Row],[Precio Unitario Neto]]-Tabla4[[#This Row],[20.85%]]</f>
        <v>4928.2541709999996</v>
      </c>
      <c r="M741" s="282" t="e">
        <f>(INDEX(Tabla6[#All],MATCH(Tabla4[[#This Row],[Producto]],Tabla6[[#All],[PRODUCTO]],0),MATCH(Tabla4[[#This Row],[Mes]],Tabla6[#Headers],0)))*(1+Catalogos!$L$2)</f>
        <v>#N/A</v>
      </c>
      <c r="N741" s="283" t="e">
        <f>+(Tabla4[[#This Row],[Precio Descontado]]-Tabla4[[#This Row],[Precio Base]])*Tabla4[[#This Row],[Cantidad]]</f>
        <v>#N/A</v>
      </c>
      <c r="O741" s="284" t="e">
        <f>++Tabla4[[#This Row],[Utilidad Total]]/Tabla4[[#This Row],[Total]]</f>
        <v>#N/A</v>
      </c>
      <c r="P741" s="282">
        <f>++Tabla4[[#This Row],[Precio Descontado]]*Tabla4[[#This Row],[Cantidad]]</f>
        <v>4928.2541709999996</v>
      </c>
      <c r="Q741" s="282" t="e">
        <f>(INDEX(Tabla6[#All],MATCH(Tabla4[[#This Row],[Producto]],Tabla6[[#All],[PRODUCTO]],0),MATCH(Tabla4[[#This Row],[Mes]],Tabla6[#Headers],0)))</f>
        <v>#N/A</v>
      </c>
      <c r="R741" s="282" t="e">
        <f>++Tabla4[[#This Row],[Precio Unitario Neto]]-Tabla4[[#This Row],[20.85%]]-Tabla4[[#This Row],[Costo]]</f>
        <v>#N/A</v>
      </c>
      <c r="S741" s="282" t="e">
        <f>++Tabla4[[#This Row],[U. Bruta Uni]]*Tabla4[[#This Row],[Cantidad]]</f>
        <v>#N/A</v>
      </c>
      <c r="T741" s="369" t="str">
        <f>VLOOKUP(Tabla4[[#This Row],[Producto]],Tabla6[#All],14,FALSE)</f>
        <v>Termico Solar</v>
      </c>
      <c r="U741" s="284" t="e">
        <f>(IF(Tabla4[[#This Row],[Familia]]="termico solar",Tabla4[[#This Row],[Utilidad Total]]*6%,Tabla4[[#This Row],[Utilidad Total]]*11.5%))/Tabla4[[#This Row],[Total]]</f>
        <v>#N/A</v>
      </c>
      <c r="V741" s="282" t="e">
        <f>+Tabla4[[#This Row],[Comisión Calculada]]*Tabla4[[#This Row],[Total]]</f>
        <v>#N/A</v>
      </c>
    </row>
    <row r="742" spans="1:22" hidden="1" x14ac:dyDescent="0.25">
      <c r="A742" s="100">
        <v>45716</v>
      </c>
      <c r="B742" t="str">
        <f t="shared" si="27"/>
        <v>February</v>
      </c>
      <c r="C742" s="46" t="s">
        <v>280</v>
      </c>
      <c r="F742" s="366" t="s">
        <v>1011</v>
      </c>
      <c r="G742" s="46" t="s">
        <v>566</v>
      </c>
      <c r="H742" s="46">
        <v>1</v>
      </c>
      <c r="I742" s="51">
        <v>2109.4499999999998</v>
      </c>
      <c r="J742" s="281">
        <f>++Tabla4[[#This Row],[Precio Bruto]]*1.16</f>
        <v>2446.9619999999995</v>
      </c>
      <c r="K742" s="281">
        <f>+Tabla4[[#This Row],[Precio Unitario Neto]]*Tabla4[[#Headers],[20.85%]]</f>
        <v>510.19157699999988</v>
      </c>
      <c r="L742" s="282">
        <f>++Tabla4[[#This Row],[Precio Unitario Neto]]-Tabla4[[#This Row],[20.85%]]</f>
        <v>1936.7704229999997</v>
      </c>
      <c r="M742" s="282" t="e">
        <f>(INDEX(Tabla6[#All],MATCH(Tabla4[[#This Row],[Producto]],Tabla6[[#All],[PRODUCTO]],0),MATCH(Tabla4[[#This Row],[Mes]],Tabla6[#Headers],0)))*(1+Catalogos!$L$2)</f>
        <v>#N/A</v>
      </c>
      <c r="N742" s="283" t="e">
        <f>+(Tabla4[[#This Row],[Precio Descontado]]-Tabla4[[#This Row],[Precio Base]])*Tabla4[[#This Row],[Cantidad]]</f>
        <v>#N/A</v>
      </c>
      <c r="O742" s="284" t="e">
        <f>++Tabla4[[#This Row],[Utilidad Total]]/Tabla4[[#This Row],[Total]]</f>
        <v>#N/A</v>
      </c>
      <c r="P742" s="282">
        <f>++Tabla4[[#This Row],[Precio Descontado]]*Tabla4[[#This Row],[Cantidad]]</f>
        <v>1936.7704229999997</v>
      </c>
      <c r="Q742" s="282" t="e">
        <f>(INDEX(Tabla6[#All],MATCH(Tabla4[[#This Row],[Producto]],Tabla6[[#All],[PRODUCTO]],0),MATCH(Tabla4[[#This Row],[Mes]],Tabla6[#Headers],0)))</f>
        <v>#N/A</v>
      </c>
      <c r="R742" s="282" t="e">
        <f>++Tabla4[[#This Row],[Precio Unitario Neto]]-Tabla4[[#This Row],[20.85%]]-Tabla4[[#This Row],[Costo]]</f>
        <v>#N/A</v>
      </c>
      <c r="S742" s="282" t="e">
        <f>++Tabla4[[#This Row],[U. Bruta Uni]]*Tabla4[[#This Row],[Cantidad]]</f>
        <v>#N/A</v>
      </c>
      <c r="T742" s="369" t="str">
        <f>VLOOKUP(Tabla4[[#This Row],[Producto]],Tabla6[#All],14,FALSE)</f>
        <v>Termico Solar</v>
      </c>
      <c r="U742" s="284" t="e">
        <f>(IF(Tabla4[[#This Row],[Familia]]="termico solar",Tabla4[[#This Row],[Utilidad Total]]*6%,Tabla4[[#This Row],[Utilidad Total]]*11.5%))/Tabla4[[#This Row],[Total]]</f>
        <v>#N/A</v>
      </c>
      <c r="V742" s="282" t="e">
        <f>+Tabla4[[#This Row],[Comisión Calculada]]*Tabla4[[#This Row],[Total]]</f>
        <v>#N/A</v>
      </c>
    </row>
    <row r="743" spans="1:22" hidden="1" x14ac:dyDescent="0.25">
      <c r="A743" s="100">
        <v>45716</v>
      </c>
      <c r="B743" t="str">
        <f t="shared" si="27"/>
        <v>February</v>
      </c>
      <c r="C743" s="46" t="s">
        <v>280</v>
      </c>
      <c r="F743" s="366" t="s">
        <v>1011</v>
      </c>
      <c r="G743" s="46" t="s">
        <v>16</v>
      </c>
      <c r="H743" s="46">
        <v>1</v>
      </c>
      <c r="I743" s="51">
        <v>4103.8500000000004</v>
      </c>
      <c r="J743" s="281">
        <f>++Tabla4[[#This Row],[Precio Bruto]]*1.16</f>
        <v>4760.4660000000003</v>
      </c>
      <c r="K743" s="281">
        <f>+Tabla4[[#This Row],[Precio Unitario Neto]]*Tabla4[[#Headers],[20.85%]]</f>
        <v>992.55716100000006</v>
      </c>
      <c r="L743" s="282">
        <f>++Tabla4[[#This Row],[Precio Unitario Neto]]-Tabla4[[#This Row],[20.85%]]</f>
        <v>3767.9088390000002</v>
      </c>
      <c r="M743" s="282" t="e">
        <f>(INDEX(Tabla6[#All],MATCH(Tabla4[[#This Row],[Producto]],Tabla6[[#All],[PRODUCTO]],0),MATCH(Tabla4[[#This Row],[Mes]],Tabla6[#Headers],0)))*(1+Catalogos!$L$2)</f>
        <v>#N/A</v>
      </c>
      <c r="N743" s="283" t="e">
        <f>+(Tabla4[[#This Row],[Precio Descontado]]-Tabla4[[#This Row],[Precio Base]])*Tabla4[[#This Row],[Cantidad]]</f>
        <v>#N/A</v>
      </c>
      <c r="O743" s="284" t="e">
        <f>++Tabla4[[#This Row],[Utilidad Total]]/Tabla4[[#This Row],[Total]]</f>
        <v>#N/A</v>
      </c>
      <c r="P743" s="282">
        <f>++Tabla4[[#This Row],[Precio Descontado]]*Tabla4[[#This Row],[Cantidad]]</f>
        <v>3767.9088390000002</v>
      </c>
      <c r="Q743" s="282" t="e">
        <f>(INDEX(Tabla6[#All],MATCH(Tabla4[[#This Row],[Producto]],Tabla6[[#All],[PRODUCTO]],0),MATCH(Tabla4[[#This Row],[Mes]],Tabla6[#Headers],0)))</f>
        <v>#N/A</v>
      </c>
      <c r="R743" s="282" t="e">
        <f>++Tabla4[[#This Row],[Precio Unitario Neto]]-Tabla4[[#This Row],[20.85%]]-Tabla4[[#This Row],[Costo]]</f>
        <v>#N/A</v>
      </c>
      <c r="S743" s="282" t="e">
        <f>++Tabla4[[#This Row],[U. Bruta Uni]]*Tabla4[[#This Row],[Cantidad]]</f>
        <v>#N/A</v>
      </c>
      <c r="T743" s="369" t="str">
        <f>VLOOKUP(Tabla4[[#This Row],[Producto]],Tabla6[#All],14,FALSE)</f>
        <v>Termico Solar</v>
      </c>
      <c r="U743" s="284" t="e">
        <f>(IF(Tabla4[[#This Row],[Familia]]="termico solar",Tabla4[[#This Row],[Utilidad Total]]*6%,Tabla4[[#This Row],[Utilidad Total]]*11.5%))/Tabla4[[#This Row],[Total]]</f>
        <v>#N/A</v>
      </c>
      <c r="V743" s="282" t="e">
        <f>+Tabla4[[#This Row],[Comisión Calculada]]*Tabla4[[#This Row],[Total]]</f>
        <v>#N/A</v>
      </c>
    </row>
    <row r="744" spans="1:22" hidden="1" x14ac:dyDescent="0.25">
      <c r="A744" s="100">
        <v>45716</v>
      </c>
      <c r="B744" t="str">
        <f t="shared" si="27"/>
        <v>February</v>
      </c>
      <c r="C744" s="46" t="s">
        <v>280</v>
      </c>
      <c r="F744" s="366" t="s">
        <v>1012</v>
      </c>
      <c r="G744" s="46" t="s">
        <v>17</v>
      </c>
      <c r="H744" s="46">
        <v>2</v>
      </c>
      <c r="I744" s="51">
        <v>4622.28</v>
      </c>
      <c r="J744" s="281">
        <f>++Tabla4[[#This Row],[Precio Bruto]]*1.16</f>
        <v>5361.8447999999989</v>
      </c>
      <c r="K744" s="281">
        <f>+Tabla4[[#This Row],[Precio Unitario Neto]]*Tabla4[[#Headers],[20.85%]]</f>
        <v>1117.9446407999997</v>
      </c>
      <c r="L744" s="282">
        <f>++Tabla4[[#This Row],[Precio Unitario Neto]]-Tabla4[[#This Row],[20.85%]]</f>
        <v>4243.9001591999995</v>
      </c>
      <c r="M744" s="282" t="e">
        <f>(INDEX(Tabla6[#All],MATCH(Tabla4[[#This Row],[Producto]],Tabla6[[#All],[PRODUCTO]],0),MATCH(Tabla4[[#This Row],[Mes]],Tabla6[#Headers],0)))*(1+Catalogos!$L$2)</f>
        <v>#N/A</v>
      </c>
      <c r="N744" s="283" t="e">
        <f>+(Tabla4[[#This Row],[Precio Descontado]]-Tabla4[[#This Row],[Precio Base]])*Tabla4[[#This Row],[Cantidad]]</f>
        <v>#N/A</v>
      </c>
      <c r="O744" s="284" t="e">
        <f>++Tabla4[[#This Row],[Utilidad Total]]/Tabla4[[#This Row],[Total]]</f>
        <v>#N/A</v>
      </c>
      <c r="P744" s="282">
        <f>++Tabla4[[#This Row],[Precio Descontado]]*Tabla4[[#This Row],[Cantidad]]</f>
        <v>8487.800318399999</v>
      </c>
      <c r="Q744" s="282" t="e">
        <f>(INDEX(Tabla6[#All],MATCH(Tabla4[[#This Row],[Producto]],Tabla6[[#All],[PRODUCTO]],0),MATCH(Tabla4[[#This Row],[Mes]],Tabla6[#Headers],0)))</f>
        <v>#N/A</v>
      </c>
      <c r="R744" s="282" t="e">
        <f>++Tabla4[[#This Row],[Precio Unitario Neto]]-Tabla4[[#This Row],[20.85%]]-Tabla4[[#This Row],[Costo]]</f>
        <v>#N/A</v>
      </c>
      <c r="S744" s="282" t="e">
        <f>++Tabla4[[#This Row],[U. Bruta Uni]]*Tabla4[[#This Row],[Cantidad]]</f>
        <v>#N/A</v>
      </c>
      <c r="T744" s="369" t="str">
        <f>VLOOKUP(Tabla4[[#This Row],[Producto]],Tabla6[#All],14,FALSE)</f>
        <v>Termico Solar</v>
      </c>
      <c r="U744" s="284" t="e">
        <f>(IF(Tabla4[[#This Row],[Familia]]="termico solar",Tabla4[[#This Row],[Utilidad Total]]*6%,Tabla4[[#This Row],[Utilidad Total]]*11.5%))/Tabla4[[#This Row],[Total]]</f>
        <v>#N/A</v>
      </c>
      <c r="V744" s="282" t="e">
        <f>+Tabla4[[#This Row],[Comisión Calculada]]*Tabla4[[#This Row],[Total]]</f>
        <v>#N/A</v>
      </c>
    </row>
    <row r="745" spans="1:22" hidden="1" x14ac:dyDescent="0.25">
      <c r="A745" s="100">
        <v>45716</v>
      </c>
      <c r="B745" t="str">
        <f t="shared" si="27"/>
        <v>February</v>
      </c>
      <c r="C745" s="46" t="s">
        <v>280</v>
      </c>
      <c r="F745" s="366" t="s">
        <v>1013</v>
      </c>
      <c r="G745" s="46" t="s">
        <v>17</v>
      </c>
      <c r="H745" s="46">
        <v>2</v>
      </c>
      <c r="I745" s="51">
        <v>4622.28</v>
      </c>
      <c r="J745" s="281">
        <f>++Tabla4[[#This Row],[Precio Bruto]]*1.16</f>
        <v>5361.8447999999989</v>
      </c>
      <c r="K745" s="281">
        <f>+Tabla4[[#This Row],[Precio Unitario Neto]]*Tabla4[[#Headers],[20.85%]]</f>
        <v>1117.9446407999997</v>
      </c>
      <c r="L745" s="282">
        <f>++Tabla4[[#This Row],[Precio Unitario Neto]]-Tabla4[[#This Row],[20.85%]]</f>
        <v>4243.9001591999995</v>
      </c>
      <c r="M745" s="282" t="e">
        <f>(INDEX(Tabla6[#All],MATCH(Tabla4[[#This Row],[Producto]],Tabla6[[#All],[PRODUCTO]],0),MATCH(Tabla4[[#This Row],[Mes]],Tabla6[#Headers],0)))*(1+Catalogos!$L$2)</f>
        <v>#N/A</v>
      </c>
      <c r="N745" s="283" t="e">
        <f>+(Tabla4[[#This Row],[Precio Descontado]]-Tabla4[[#This Row],[Precio Base]])*Tabla4[[#This Row],[Cantidad]]</f>
        <v>#N/A</v>
      </c>
      <c r="O745" s="284" t="e">
        <f>++Tabla4[[#This Row],[Utilidad Total]]/Tabla4[[#This Row],[Total]]</f>
        <v>#N/A</v>
      </c>
      <c r="P745" s="282">
        <f>++Tabla4[[#This Row],[Precio Descontado]]*Tabla4[[#This Row],[Cantidad]]</f>
        <v>8487.800318399999</v>
      </c>
      <c r="Q745" s="282" t="e">
        <f>(INDEX(Tabla6[#All],MATCH(Tabla4[[#This Row],[Producto]],Tabla6[[#All],[PRODUCTO]],0),MATCH(Tabla4[[#This Row],[Mes]],Tabla6[#Headers],0)))</f>
        <v>#N/A</v>
      </c>
      <c r="R745" s="282" t="e">
        <f>++Tabla4[[#This Row],[Precio Unitario Neto]]-Tabla4[[#This Row],[20.85%]]-Tabla4[[#This Row],[Costo]]</f>
        <v>#N/A</v>
      </c>
      <c r="S745" s="282" t="e">
        <f>++Tabla4[[#This Row],[U. Bruta Uni]]*Tabla4[[#This Row],[Cantidad]]</f>
        <v>#N/A</v>
      </c>
      <c r="T745" s="369" t="str">
        <f>VLOOKUP(Tabla4[[#This Row],[Producto]],Tabla6[#All],14,FALSE)</f>
        <v>Termico Solar</v>
      </c>
      <c r="U745" s="284" t="e">
        <f>(IF(Tabla4[[#This Row],[Familia]]="termico solar",Tabla4[[#This Row],[Utilidad Total]]*6%,Tabla4[[#This Row],[Utilidad Total]]*11.5%))/Tabla4[[#This Row],[Total]]</f>
        <v>#N/A</v>
      </c>
      <c r="V745" s="282" t="e">
        <f>+Tabla4[[#This Row],[Comisión Calculada]]*Tabla4[[#This Row],[Total]]</f>
        <v>#N/A</v>
      </c>
    </row>
    <row r="746" spans="1:22" hidden="1" x14ac:dyDescent="0.25">
      <c r="A746" s="100">
        <v>45716</v>
      </c>
      <c r="B746" t="str">
        <f t="shared" si="27"/>
        <v>February</v>
      </c>
      <c r="C746" s="46" t="s">
        <v>280</v>
      </c>
      <c r="F746" s="366" t="s">
        <v>1013</v>
      </c>
      <c r="G746" s="46" t="s">
        <v>555</v>
      </c>
      <c r="H746" s="46">
        <v>8</v>
      </c>
      <c r="I746" s="51">
        <v>389.47</v>
      </c>
      <c r="J746" s="281">
        <f>++Tabla4[[#This Row],[Precio Bruto]]*1.16</f>
        <v>451.78519999999997</v>
      </c>
      <c r="K746" s="281">
        <f>+Tabla4[[#This Row],[Precio Unitario Neto]]*Tabla4[[#Headers],[20.85%]]</f>
        <v>94.197214199999991</v>
      </c>
      <c r="L746" s="282">
        <f>++Tabla4[[#This Row],[Precio Unitario Neto]]-Tabla4[[#This Row],[20.85%]]</f>
        <v>357.58798579999996</v>
      </c>
      <c r="M746" s="282" t="e">
        <f>(INDEX(Tabla6[#All],MATCH(Tabla4[[#This Row],[Producto]],Tabla6[[#All],[PRODUCTO]],0),MATCH(Tabla4[[#This Row],[Mes]],Tabla6[#Headers],0)))*(1+Catalogos!$L$2)</f>
        <v>#N/A</v>
      </c>
      <c r="N746" s="283" t="e">
        <f>+(Tabla4[[#This Row],[Precio Descontado]]-Tabla4[[#This Row],[Precio Base]])*Tabla4[[#This Row],[Cantidad]]</f>
        <v>#N/A</v>
      </c>
      <c r="O746" s="284" t="e">
        <f>++Tabla4[[#This Row],[Utilidad Total]]/Tabla4[[#This Row],[Total]]</f>
        <v>#N/A</v>
      </c>
      <c r="P746" s="282">
        <f>++Tabla4[[#This Row],[Precio Descontado]]*Tabla4[[#This Row],[Cantidad]]</f>
        <v>2860.7038863999996</v>
      </c>
      <c r="Q746" s="282" t="e">
        <f>(INDEX(Tabla6[#All],MATCH(Tabla4[[#This Row],[Producto]],Tabla6[[#All],[PRODUCTO]],0),MATCH(Tabla4[[#This Row],[Mes]],Tabla6[#Headers],0)))</f>
        <v>#N/A</v>
      </c>
      <c r="R746" s="282" t="e">
        <f>++Tabla4[[#This Row],[Precio Unitario Neto]]-Tabla4[[#This Row],[20.85%]]-Tabla4[[#This Row],[Costo]]</f>
        <v>#N/A</v>
      </c>
      <c r="S746" s="282" t="e">
        <f>++Tabla4[[#This Row],[U. Bruta Uni]]*Tabla4[[#This Row],[Cantidad]]</f>
        <v>#N/A</v>
      </c>
      <c r="T746" s="369" t="str">
        <f>VLOOKUP(Tabla4[[#This Row],[Producto]],Tabla6[#All],14,FALSE)</f>
        <v>Termico Solar</v>
      </c>
      <c r="U746" s="284" t="e">
        <f>(IF(Tabla4[[#This Row],[Familia]]="termico solar",Tabla4[[#This Row],[Utilidad Total]]*6%,Tabla4[[#This Row],[Utilidad Total]]*11.5%))/Tabla4[[#This Row],[Total]]</f>
        <v>#N/A</v>
      </c>
      <c r="V746" s="282" t="e">
        <f>+Tabla4[[#This Row],[Comisión Calculada]]*Tabla4[[#This Row],[Total]]</f>
        <v>#N/A</v>
      </c>
    </row>
    <row r="747" spans="1:22" hidden="1" x14ac:dyDescent="0.25">
      <c r="A747" s="100">
        <v>45716</v>
      </c>
      <c r="B747" t="str">
        <f t="shared" si="27"/>
        <v>February</v>
      </c>
      <c r="C747" s="46" t="s">
        <v>280</v>
      </c>
      <c r="F747" s="366" t="s">
        <v>1013</v>
      </c>
      <c r="G747" s="46" t="s">
        <v>599</v>
      </c>
      <c r="H747" s="46">
        <v>10</v>
      </c>
      <c r="I747" s="51">
        <v>189.75</v>
      </c>
      <c r="J747" s="281">
        <f>++Tabla4[[#This Row],[Precio Bruto]]*1.16</f>
        <v>220.10999999999999</v>
      </c>
      <c r="K747" s="281">
        <f>+Tabla4[[#This Row],[Precio Unitario Neto]]*Tabla4[[#Headers],[20.85%]]</f>
        <v>45.892934999999994</v>
      </c>
      <c r="L747" s="282">
        <f>++Tabla4[[#This Row],[Precio Unitario Neto]]-Tabla4[[#This Row],[20.85%]]</f>
        <v>174.21706499999999</v>
      </c>
      <c r="M747" s="282" t="e">
        <f>(INDEX(Tabla6[#All],MATCH(Tabla4[[#This Row],[Producto]],Tabla6[[#All],[PRODUCTO]],0),MATCH(Tabla4[[#This Row],[Mes]],Tabla6[#Headers],0)))*(1+Catalogos!$L$2)</f>
        <v>#N/A</v>
      </c>
      <c r="N747" s="283" t="e">
        <f>+(Tabla4[[#This Row],[Precio Descontado]]-Tabla4[[#This Row],[Precio Base]])*Tabla4[[#This Row],[Cantidad]]</f>
        <v>#N/A</v>
      </c>
      <c r="O747" s="284" t="e">
        <f>++Tabla4[[#This Row],[Utilidad Total]]/Tabla4[[#This Row],[Total]]</f>
        <v>#N/A</v>
      </c>
      <c r="P747" s="282">
        <f>++Tabla4[[#This Row],[Precio Descontado]]*Tabla4[[#This Row],[Cantidad]]</f>
        <v>1742.17065</v>
      </c>
      <c r="Q747" s="282" t="e">
        <f>(INDEX(Tabla6[#All],MATCH(Tabla4[[#This Row],[Producto]],Tabla6[[#All],[PRODUCTO]],0),MATCH(Tabla4[[#This Row],[Mes]],Tabla6[#Headers],0)))</f>
        <v>#N/A</v>
      </c>
      <c r="R747" s="282" t="e">
        <f>++Tabla4[[#This Row],[Precio Unitario Neto]]-Tabla4[[#This Row],[20.85%]]-Tabla4[[#This Row],[Costo]]</f>
        <v>#N/A</v>
      </c>
      <c r="S747" s="282" t="e">
        <f>++Tabla4[[#This Row],[U. Bruta Uni]]*Tabla4[[#This Row],[Cantidad]]</f>
        <v>#N/A</v>
      </c>
      <c r="T747" s="369" t="str">
        <f>VLOOKUP(Tabla4[[#This Row],[Producto]],Tabla6[#All],14,FALSE)</f>
        <v>Termico Solar</v>
      </c>
      <c r="U747" s="284" t="e">
        <f>(IF(Tabla4[[#This Row],[Familia]]="termico solar",Tabla4[[#This Row],[Utilidad Total]]*6%,Tabla4[[#This Row],[Utilidad Total]]*11.5%))/Tabla4[[#This Row],[Total]]</f>
        <v>#N/A</v>
      </c>
      <c r="V747" s="282" t="e">
        <f>+Tabla4[[#This Row],[Comisión Calculada]]*Tabla4[[#This Row],[Total]]</f>
        <v>#N/A</v>
      </c>
    </row>
    <row r="748" spans="1:22" hidden="1" x14ac:dyDescent="0.25">
      <c r="A748" s="100">
        <v>45716</v>
      </c>
      <c r="B748" t="str">
        <f t="shared" si="27"/>
        <v>February</v>
      </c>
      <c r="C748" s="46" t="s">
        <v>280</v>
      </c>
      <c r="F748" s="366" t="s">
        <v>1014</v>
      </c>
      <c r="G748" s="46" t="s">
        <v>17</v>
      </c>
      <c r="H748" s="46">
        <v>2</v>
      </c>
      <c r="I748" s="51">
        <v>4622.28</v>
      </c>
      <c r="J748" s="281">
        <f>++Tabla4[[#This Row],[Precio Bruto]]*1.16</f>
        <v>5361.8447999999989</v>
      </c>
      <c r="K748" s="281">
        <f>+Tabla4[[#This Row],[Precio Unitario Neto]]*Tabla4[[#Headers],[20.85%]]</f>
        <v>1117.9446407999997</v>
      </c>
      <c r="L748" s="282">
        <f>++Tabla4[[#This Row],[Precio Unitario Neto]]-Tabla4[[#This Row],[20.85%]]</f>
        <v>4243.9001591999995</v>
      </c>
      <c r="M748" s="282" t="e">
        <f>(INDEX(Tabla6[#All],MATCH(Tabla4[[#This Row],[Producto]],Tabla6[[#All],[PRODUCTO]],0),MATCH(Tabla4[[#This Row],[Mes]],Tabla6[#Headers],0)))*(1+Catalogos!$L$2)</f>
        <v>#N/A</v>
      </c>
      <c r="N748" s="283" t="e">
        <f>+(Tabla4[[#This Row],[Precio Descontado]]-Tabla4[[#This Row],[Precio Base]])*Tabla4[[#This Row],[Cantidad]]</f>
        <v>#N/A</v>
      </c>
      <c r="O748" s="284" t="e">
        <f>++Tabla4[[#This Row],[Utilidad Total]]/Tabla4[[#This Row],[Total]]</f>
        <v>#N/A</v>
      </c>
      <c r="P748" s="282">
        <f>++Tabla4[[#This Row],[Precio Descontado]]*Tabla4[[#This Row],[Cantidad]]</f>
        <v>8487.800318399999</v>
      </c>
      <c r="Q748" s="282" t="e">
        <f>(INDEX(Tabla6[#All],MATCH(Tabla4[[#This Row],[Producto]],Tabla6[[#All],[PRODUCTO]],0),MATCH(Tabla4[[#This Row],[Mes]],Tabla6[#Headers],0)))</f>
        <v>#N/A</v>
      </c>
      <c r="R748" s="282" t="e">
        <f>++Tabla4[[#This Row],[Precio Unitario Neto]]-Tabla4[[#This Row],[20.85%]]-Tabla4[[#This Row],[Costo]]</f>
        <v>#N/A</v>
      </c>
      <c r="S748" s="282" t="e">
        <f>++Tabla4[[#This Row],[U. Bruta Uni]]*Tabla4[[#This Row],[Cantidad]]</f>
        <v>#N/A</v>
      </c>
      <c r="T748" s="369" t="str">
        <f>VLOOKUP(Tabla4[[#This Row],[Producto]],Tabla6[#All],14,FALSE)</f>
        <v>Termico Solar</v>
      </c>
      <c r="U748" s="284" t="e">
        <f>(IF(Tabla4[[#This Row],[Familia]]="termico solar",Tabla4[[#This Row],[Utilidad Total]]*6%,Tabla4[[#This Row],[Utilidad Total]]*11.5%))/Tabla4[[#This Row],[Total]]</f>
        <v>#N/A</v>
      </c>
      <c r="V748" s="282" t="e">
        <f>+Tabla4[[#This Row],[Comisión Calculada]]*Tabla4[[#This Row],[Total]]</f>
        <v>#N/A</v>
      </c>
    </row>
    <row r="749" spans="1:22" hidden="1" x14ac:dyDescent="0.25">
      <c r="A749" s="100">
        <v>45716</v>
      </c>
      <c r="B749" t="str">
        <f t="shared" si="27"/>
        <v>February</v>
      </c>
      <c r="C749" s="46" t="s">
        <v>280</v>
      </c>
      <c r="F749" s="366" t="s">
        <v>1014</v>
      </c>
      <c r="G749" s="46" t="s">
        <v>18</v>
      </c>
      <c r="H749" s="46">
        <v>3</v>
      </c>
      <c r="I749" s="51">
        <v>5367.6500000000005</v>
      </c>
      <c r="J749" s="281">
        <f>++Tabla4[[#This Row],[Precio Bruto]]*1.16</f>
        <v>6226.4740000000002</v>
      </c>
      <c r="K749" s="281">
        <f>+Tabla4[[#This Row],[Precio Unitario Neto]]*Tabla4[[#Headers],[20.85%]]</f>
        <v>1298.2198289999999</v>
      </c>
      <c r="L749" s="282">
        <f>++Tabla4[[#This Row],[Precio Unitario Neto]]-Tabla4[[#This Row],[20.85%]]</f>
        <v>4928.2541710000005</v>
      </c>
      <c r="M749" s="282" t="e">
        <f>(INDEX(Tabla6[#All],MATCH(Tabla4[[#This Row],[Producto]],Tabla6[[#All],[PRODUCTO]],0),MATCH(Tabla4[[#This Row],[Mes]],Tabla6[#Headers],0)))*(1+Catalogos!$L$2)</f>
        <v>#N/A</v>
      </c>
      <c r="N749" s="283" t="e">
        <f>+(Tabla4[[#This Row],[Precio Descontado]]-Tabla4[[#This Row],[Precio Base]])*Tabla4[[#This Row],[Cantidad]]</f>
        <v>#N/A</v>
      </c>
      <c r="O749" s="284" t="e">
        <f>++Tabla4[[#This Row],[Utilidad Total]]/Tabla4[[#This Row],[Total]]</f>
        <v>#N/A</v>
      </c>
      <c r="P749" s="282">
        <f>++Tabla4[[#This Row],[Precio Descontado]]*Tabla4[[#This Row],[Cantidad]]</f>
        <v>14784.762513000001</v>
      </c>
      <c r="Q749" s="282" t="e">
        <f>(INDEX(Tabla6[#All],MATCH(Tabla4[[#This Row],[Producto]],Tabla6[[#All],[PRODUCTO]],0),MATCH(Tabla4[[#This Row],[Mes]],Tabla6[#Headers],0)))</f>
        <v>#N/A</v>
      </c>
      <c r="R749" s="282" t="e">
        <f>++Tabla4[[#This Row],[Precio Unitario Neto]]-Tabla4[[#This Row],[20.85%]]-Tabla4[[#This Row],[Costo]]</f>
        <v>#N/A</v>
      </c>
      <c r="S749" s="282" t="e">
        <f>++Tabla4[[#This Row],[U. Bruta Uni]]*Tabla4[[#This Row],[Cantidad]]</f>
        <v>#N/A</v>
      </c>
      <c r="T749" s="369" t="str">
        <f>VLOOKUP(Tabla4[[#This Row],[Producto]],Tabla6[#All],14,FALSE)</f>
        <v>Termico Solar</v>
      </c>
      <c r="U749" s="284" t="e">
        <f>(IF(Tabla4[[#This Row],[Familia]]="termico solar",Tabla4[[#This Row],[Utilidad Total]]*6%,Tabla4[[#This Row],[Utilidad Total]]*11.5%))/Tabla4[[#This Row],[Total]]</f>
        <v>#N/A</v>
      </c>
      <c r="V749" s="282" t="e">
        <f>+Tabla4[[#This Row],[Comisión Calculada]]*Tabla4[[#This Row],[Total]]</f>
        <v>#N/A</v>
      </c>
    </row>
    <row r="750" spans="1:22" hidden="1" x14ac:dyDescent="0.25">
      <c r="A750" s="100">
        <v>45716</v>
      </c>
      <c r="B750" t="str">
        <f t="shared" si="27"/>
        <v>February</v>
      </c>
      <c r="C750" s="46" t="s">
        <v>280</v>
      </c>
      <c r="F750" s="366" t="s">
        <v>1014</v>
      </c>
      <c r="G750" s="46" t="s">
        <v>566</v>
      </c>
      <c r="H750" s="46">
        <v>2</v>
      </c>
      <c r="I750" s="51">
        <v>2109.4499999999998</v>
      </c>
      <c r="J750" s="281">
        <f>++Tabla4[[#This Row],[Precio Bruto]]*1.16</f>
        <v>2446.9619999999995</v>
      </c>
      <c r="K750" s="281">
        <f>+Tabla4[[#This Row],[Precio Unitario Neto]]*Tabla4[[#Headers],[20.85%]]</f>
        <v>510.19157699999988</v>
      </c>
      <c r="L750" s="282">
        <f>++Tabla4[[#This Row],[Precio Unitario Neto]]-Tabla4[[#This Row],[20.85%]]</f>
        <v>1936.7704229999997</v>
      </c>
      <c r="M750" s="282" t="e">
        <f>(INDEX(Tabla6[#All],MATCH(Tabla4[[#This Row],[Producto]],Tabla6[[#All],[PRODUCTO]],0),MATCH(Tabla4[[#This Row],[Mes]],Tabla6[#Headers],0)))*(1+Catalogos!$L$2)</f>
        <v>#N/A</v>
      </c>
      <c r="N750" s="283" t="e">
        <f>+(Tabla4[[#This Row],[Precio Descontado]]-Tabla4[[#This Row],[Precio Base]])*Tabla4[[#This Row],[Cantidad]]</f>
        <v>#N/A</v>
      </c>
      <c r="O750" s="284" t="e">
        <f>++Tabla4[[#This Row],[Utilidad Total]]/Tabla4[[#This Row],[Total]]</f>
        <v>#N/A</v>
      </c>
      <c r="P750" s="282">
        <f>++Tabla4[[#This Row],[Precio Descontado]]*Tabla4[[#This Row],[Cantidad]]</f>
        <v>3873.5408459999994</v>
      </c>
      <c r="Q750" s="282" t="e">
        <f>(INDEX(Tabla6[#All],MATCH(Tabla4[[#This Row],[Producto]],Tabla6[[#All],[PRODUCTO]],0),MATCH(Tabla4[[#This Row],[Mes]],Tabla6[#Headers],0)))</f>
        <v>#N/A</v>
      </c>
      <c r="R750" s="282" t="e">
        <f>++Tabla4[[#This Row],[Precio Unitario Neto]]-Tabla4[[#This Row],[20.85%]]-Tabla4[[#This Row],[Costo]]</f>
        <v>#N/A</v>
      </c>
      <c r="S750" s="282" t="e">
        <f>++Tabla4[[#This Row],[U. Bruta Uni]]*Tabla4[[#This Row],[Cantidad]]</f>
        <v>#N/A</v>
      </c>
      <c r="T750" s="369" t="str">
        <f>VLOOKUP(Tabla4[[#This Row],[Producto]],Tabla6[#All],14,FALSE)</f>
        <v>Termico Solar</v>
      </c>
      <c r="U750" s="284" t="e">
        <f>(IF(Tabla4[[#This Row],[Familia]]="termico solar",Tabla4[[#This Row],[Utilidad Total]]*6%,Tabla4[[#This Row],[Utilidad Total]]*11.5%))/Tabla4[[#This Row],[Total]]</f>
        <v>#N/A</v>
      </c>
      <c r="V750" s="282" t="e">
        <f>+Tabla4[[#This Row],[Comisión Calculada]]*Tabla4[[#This Row],[Total]]</f>
        <v>#N/A</v>
      </c>
    </row>
    <row r="751" spans="1:22" hidden="1" x14ac:dyDescent="0.25">
      <c r="A751" s="100">
        <v>45716</v>
      </c>
      <c r="B751" t="str">
        <f t="shared" si="27"/>
        <v>February</v>
      </c>
      <c r="C751" s="46" t="s">
        <v>280</v>
      </c>
      <c r="F751" s="366" t="s">
        <v>1015</v>
      </c>
      <c r="G751" s="46" t="s">
        <v>83</v>
      </c>
      <c r="H751" s="46">
        <v>8</v>
      </c>
      <c r="I751" s="51">
        <v>8858.76</v>
      </c>
      <c r="J751" s="281">
        <f>++Tabla4[[#This Row],[Precio Bruto]]*1.16</f>
        <v>10276.161599999999</v>
      </c>
      <c r="K751" s="281">
        <f>+Tabla4[[#This Row],[Precio Unitario Neto]]*Tabla4[[#Headers],[20.85%]]</f>
        <v>2142.5796935999997</v>
      </c>
      <c r="L751" s="282">
        <f>++Tabla4[[#This Row],[Precio Unitario Neto]]-Tabla4[[#This Row],[20.85%]]</f>
        <v>8133.5819063999998</v>
      </c>
      <c r="M751" s="282" t="e">
        <f>(INDEX(Tabla6[#All],MATCH(Tabla4[[#This Row],[Producto]],Tabla6[[#All],[PRODUCTO]],0),MATCH(Tabla4[[#This Row],[Mes]],Tabla6[#Headers],0)))*(1+Catalogos!$L$2)</f>
        <v>#N/A</v>
      </c>
      <c r="N751" s="283" t="e">
        <f>+(Tabla4[[#This Row],[Precio Descontado]]-Tabla4[[#This Row],[Precio Base]])*Tabla4[[#This Row],[Cantidad]]</f>
        <v>#N/A</v>
      </c>
      <c r="O751" s="284" t="e">
        <f>++Tabla4[[#This Row],[Utilidad Total]]/Tabla4[[#This Row],[Total]]</f>
        <v>#N/A</v>
      </c>
      <c r="P751" s="282">
        <f>++Tabla4[[#This Row],[Precio Descontado]]*Tabla4[[#This Row],[Cantidad]]</f>
        <v>65068.655251199998</v>
      </c>
      <c r="Q751" s="282" t="e">
        <f>(INDEX(Tabla6[#All],MATCH(Tabla4[[#This Row],[Producto]],Tabla6[[#All],[PRODUCTO]],0),MATCH(Tabla4[[#This Row],[Mes]],Tabla6[#Headers],0)))</f>
        <v>#N/A</v>
      </c>
      <c r="R751" s="282" t="e">
        <f>++Tabla4[[#This Row],[Precio Unitario Neto]]-Tabla4[[#This Row],[20.85%]]-Tabla4[[#This Row],[Costo]]</f>
        <v>#N/A</v>
      </c>
      <c r="S751" s="282" t="e">
        <f>++Tabla4[[#This Row],[U. Bruta Uni]]*Tabla4[[#This Row],[Cantidad]]</f>
        <v>#N/A</v>
      </c>
      <c r="T751" s="369" t="str">
        <f>VLOOKUP(Tabla4[[#This Row],[Producto]],Tabla6[#All],14,FALSE)</f>
        <v>Termico Solar</v>
      </c>
      <c r="U751" s="284" t="e">
        <f>(IF(Tabla4[[#This Row],[Familia]]="termico solar",Tabla4[[#This Row],[Utilidad Total]]*6%,Tabla4[[#This Row],[Utilidad Total]]*11.5%))/Tabla4[[#This Row],[Total]]</f>
        <v>#N/A</v>
      </c>
      <c r="V751" s="282" t="e">
        <f>+Tabla4[[#This Row],[Comisión Calculada]]*Tabla4[[#This Row],[Total]]</f>
        <v>#N/A</v>
      </c>
    </row>
    <row r="752" spans="1:22" hidden="1" x14ac:dyDescent="0.25">
      <c r="A752" s="100">
        <v>45716</v>
      </c>
      <c r="B752" t="str">
        <f t="shared" si="27"/>
        <v>February</v>
      </c>
      <c r="C752" s="46" t="s">
        <v>280</v>
      </c>
      <c r="F752" s="366" t="s">
        <v>1015</v>
      </c>
      <c r="G752" s="46" t="s">
        <v>17</v>
      </c>
      <c r="H752" s="46">
        <v>5</v>
      </c>
      <c r="I752" s="51">
        <v>4622.2800000000007</v>
      </c>
      <c r="J752" s="281">
        <f>++Tabla4[[#This Row],[Precio Bruto]]*1.16</f>
        <v>5361.8448000000008</v>
      </c>
      <c r="K752" s="281">
        <f>+Tabla4[[#This Row],[Precio Unitario Neto]]*Tabla4[[#Headers],[20.85%]]</f>
        <v>1117.9446408000001</v>
      </c>
      <c r="L752" s="282">
        <f>++Tabla4[[#This Row],[Precio Unitario Neto]]-Tabla4[[#This Row],[20.85%]]</f>
        <v>4243.9001592000004</v>
      </c>
      <c r="M752" s="282" t="e">
        <f>(INDEX(Tabla6[#All],MATCH(Tabla4[[#This Row],[Producto]],Tabla6[[#All],[PRODUCTO]],0),MATCH(Tabla4[[#This Row],[Mes]],Tabla6[#Headers],0)))*(1+Catalogos!$L$2)</f>
        <v>#N/A</v>
      </c>
      <c r="N752" s="283" t="e">
        <f>+(Tabla4[[#This Row],[Precio Descontado]]-Tabla4[[#This Row],[Precio Base]])*Tabla4[[#This Row],[Cantidad]]</f>
        <v>#N/A</v>
      </c>
      <c r="O752" s="284" t="e">
        <f>++Tabla4[[#This Row],[Utilidad Total]]/Tabla4[[#This Row],[Total]]</f>
        <v>#N/A</v>
      </c>
      <c r="P752" s="282">
        <f>++Tabla4[[#This Row],[Precio Descontado]]*Tabla4[[#This Row],[Cantidad]]</f>
        <v>21219.500796</v>
      </c>
      <c r="Q752" s="282" t="e">
        <f>(INDEX(Tabla6[#All],MATCH(Tabla4[[#This Row],[Producto]],Tabla6[[#All],[PRODUCTO]],0),MATCH(Tabla4[[#This Row],[Mes]],Tabla6[#Headers],0)))</f>
        <v>#N/A</v>
      </c>
      <c r="R752" s="282" t="e">
        <f>++Tabla4[[#This Row],[Precio Unitario Neto]]-Tabla4[[#This Row],[20.85%]]-Tabla4[[#This Row],[Costo]]</f>
        <v>#N/A</v>
      </c>
      <c r="S752" s="282" t="e">
        <f>++Tabla4[[#This Row],[U. Bruta Uni]]*Tabla4[[#This Row],[Cantidad]]</f>
        <v>#N/A</v>
      </c>
      <c r="T752" s="369" t="str">
        <f>VLOOKUP(Tabla4[[#This Row],[Producto]],Tabla6[#All],14,FALSE)</f>
        <v>Termico Solar</v>
      </c>
      <c r="U752" s="284" t="e">
        <f>(IF(Tabla4[[#This Row],[Familia]]="termico solar",Tabla4[[#This Row],[Utilidad Total]]*6%,Tabla4[[#This Row],[Utilidad Total]]*11.5%))/Tabla4[[#This Row],[Total]]</f>
        <v>#N/A</v>
      </c>
      <c r="V752" s="282" t="e">
        <f>+Tabla4[[#This Row],[Comisión Calculada]]*Tabla4[[#This Row],[Total]]</f>
        <v>#N/A</v>
      </c>
    </row>
    <row r="753" spans="1:22" hidden="1" x14ac:dyDescent="0.25">
      <c r="A753" s="100">
        <v>45716</v>
      </c>
      <c r="B753" t="str">
        <f t="shared" si="27"/>
        <v>February</v>
      </c>
      <c r="C753" s="46" t="s">
        <v>280</v>
      </c>
      <c r="F753" s="366" t="s">
        <v>1015</v>
      </c>
      <c r="G753" s="46" t="s">
        <v>18</v>
      </c>
      <c r="H753" s="46">
        <v>3</v>
      </c>
      <c r="I753" s="51">
        <v>5367.6500000000005</v>
      </c>
      <c r="J753" s="281">
        <f>++Tabla4[[#This Row],[Precio Bruto]]*1.16</f>
        <v>6226.4740000000002</v>
      </c>
      <c r="K753" s="281">
        <f>+Tabla4[[#This Row],[Precio Unitario Neto]]*Tabla4[[#Headers],[20.85%]]</f>
        <v>1298.2198289999999</v>
      </c>
      <c r="L753" s="282">
        <f>++Tabla4[[#This Row],[Precio Unitario Neto]]-Tabla4[[#This Row],[20.85%]]</f>
        <v>4928.2541710000005</v>
      </c>
      <c r="M753" s="282" t="e">
        <f>(INDEX(Tabla6[#All],MATCH(Tabla4[[#This Row],[Producto]],Tabla6[[#All],[PRODUCTO]],0),MATCH(Tabla4[[#This Row],[Mes]],Tabla6[#Headers],0)))*(1+Catalogos!$L$2)</f>
        <v>#N/A</v>
      </c>
      <c r="N753" s="283" t="e">
        <f>+(Tabla4[[#This Row],[Precio Descontado]]-Tabla4[[#This Row],[Precio Base]])*Tabla4[[#This Row],[Cantidad]]</f>
        <v>#N/A</v>
      </c>
      <c r="O753" s="284" t="e">
        <f>++Tabla4[[#This Row],[Utilidad Total]]/Tabla4[[#This Row],[Total]]</f>
        <v>#N/A</v>
      </c>
      <c r="P753" s="282">
        <f>++Tabla4[[#This Row],[Precio Descontado]]*Tabla4[[#This Row],[Cantidad]]</f>
        <v>14784.762513000001</v>
      </c>
      <c r="Q753" s="282" t="e">
        <f>(INDEX(Tabla6[#All],MATCH(Tabla4[[#This Row],[Producto]],Tabla6[[#All],[PRODUCTO]],0),MATCH(Tabla4[[#This Row],[Mes]],Tabla6[#Headers],0)))</f>
        <v>#N/A</v>
      </c>
      <c r="R753" s="282" t="e">
        <f>++Tabla4[[#This Row],[Precio Unitario Neto]]-Tabla4[[#This Row],[20.85%]]-Tabla4[[#This Row],[Costo]]</f>
        <v>#N/A</v>
      </c>
      <c r="S753" s="282" t="e">
        <f>++Tabla4[[#This Row],[U. Bruta Uni]]*Tabla4[[#This Row],[Cantidad]]</f>
        <v>#N/A</v>
      </c>
      <c r="T753" s="369" t="str">
        <f>VLOOKUP(Tabla4[[#This Row],[Producto]],Tabla6[#All],14,FALSE)</f>
        <v>Termico Solar</v>
      </c>
      <c r="U753" s="284" t="e">
        <f>(IF(Tabla4[[#This Row],[Familia]]="termico solar",Tabla4[[#This Row],[Utilidad Total]]*6%,Tabla4[[#This Row],[Utilidad Total]]*11.5%))/Tabla4[[#This Row],[Total]]</f>
        <v>#N/A</v>
      </c>
      <c r="V753" s="282" t="e">
        <f>+Tabla4[[#This Row],[Comisión Calculada]]*Tabla4[[#This Row],[Total]]</f>
        <v>#N/A</v>
      </c>
    </row>
    <row r="754" spans="1:22" hidden="1" x14ac:dyDescent="0.25">
      <c r="A754" s="100">
        <v>45716</v>
      </c>
      <c r="B754" t="str">
        <f t="shared" si="27"/>
        <v>February</v>
      </c>
      <c r="C754" s="46" t="s">
        <v>280</v>
      </c>
      <c r="F754" s="366" t="s">
        <v>1016</v>
      </c>
      <c r="G754" s="46" t="s">
        <v>83</v>
      </c>
      <c r="H754" s="46">
        <v>4</v>
      </c>
      <c r="I754" s="51">
        <v>8858.76</v>
      </c>
      <c r="J754" s="281">
        <f>++Tabla4[[#This Row],[Precio Bruto]]*1.16</f>
        <v>10276.161599999999</v>
      </c>
      <c r="K754" s="281">
        <f>+Tabla4[[#This Row],[Precio Unitario Neto]]*Tabla4[[#Headers],[20.85%]]</f>
        <v>2142.5796935999997</v>
      </c>
      <c r="L754" s="282">
        <f>++Tabla4[[#This Row],[Precio Unitario Neto]]-Tabla4[[#This Row],[20.85%]]</f>
        <v>8133.5819063999998</v>
      </c>
      <c r="M754" s="282" t="e">
        <f>(INDEX(Tabla6[#All],MATCH(Tabla4[[#This Row],[Producto]],Tabla6[[#All],[PRODUCTO]],0),MATCH(Tabla4[[#This Row],[Mes]],Tabla6[#Headers],0)))*(1+Catalogos!$L$2)</f>
        <v>#N/A</v>
      </c>
      <c r="N754" s="283" t="e">
        <f>+(Tabla4[[#This Row],[Precio Descontado]]-Tabla4[[#This Row],[Precio Base]])*Tabla4[[#This Row],[Cantidad]]</f>
        <v>#N/A</v>
      </c>
      <c r="O754" s="284" t="e">
        <f>++Tabla4[[#This Row],[Utilidad Total]]/Tabla4[[#This Row],[Total]]</f>
        <v>#N/A</v>
      </c>
      <c r="P754" s="282">
        <f>++Tabla4[[#This Row],[Precio Descontado]]*Tabla4[[#This Row],[Cantidad]]</f>
        <v>32534.327625599999</v>
      </c>
      <c r="Q754" s="282" t="e">
        <f>(INDEX(Tabla6[#All],MATCH(Tabla4[[#This Row],[Producto]],Tabla6[[#All],[PRODUCTO]],0),MATCH(Tabla4[[#This Row],[Mes]],Tabla6[#Headers],0)))</f>
        <v>#N/A</v>
      </c>
      <c r="R754" s="282" t="e">
        <f>++Tabla4[[#This Row],[Precio Unitario Neto]]-Tabla4[[#This Row],[20.85%]]-Tabla4[[#This Row],[Costo]]</f>
        <v>#N/A</v>
      </c>
      <c r="S754" s="282" t="e">
        <f>++Tabla4[[#This Row],[U. Bruta Uni]]*Tabla4[[#This Row],[Cantidad]]</f>
        <v>#N/A</v>
      </c>
      <c r="T754" s="369" t="str">
        <f>VLOOKUP(Tabla4[[#This Row],[Producto]],Tabla6[#All],14,FALSE)</f>
        <v>Termico Solar</v>
      </c>
      <c r="U754" s="284" t="e">
        <f>(IF(Tabla4[[#This Row],[Familia]]="termico solar",Tabla4[[#This Row],[Utilidad Total]]*6%,Tabla4[[#This Row],[Utilidad Total]]*11.5%))/Tabla4[[#This Row],[Total]]</f>
        <v>#N/A</v>
      </c>
      <c r="V754" s="282" t="e">
        <f>+Tabla4[[#This Row],[Comisión Calculada]]*Tabla4[[#This Row],[Total]]</f>
        <v>#N/A</v>
      </c>
    </row>
    <row r="755" spans="1:22" hidden="1" x14ac:dyDescent="0.25">
      <c r="A755" s="100">
        <v>45716</v>
      </c>
      <c r="B755" t="str">
        <f t="shared" si="27"/>
        <v>February</v>
      </c>
      <c r="C755" s="46" t="s">
        <v>280</v>
      </c>
      <c r="F755" s="366" t="s">
        <v>1016</v>
      </c>
      <c r="G755" s="46" t="s">
        <v>18</v>
      </c>
      <c r="H755" s="46">
        <v>2</v>
      </c>
      <c r="I755" s="51">
        <v>5367.65</v>
      </c>
      <c r="J755" s="281">
        <f>++Tabla4[[#This Row],[Precio Bruto]]*1.16</f>
        <v>6226.4739999999993</v>
      </c>
      <c r="K755" s="281">
        <f>+Tabla4[[#This Row],[Precio Unitario Neto]]*Tabla4[[#Headers],[20.85%]]</f>
        <v>1298.2198289999999</v>
      </c>
      <c r="L755" s="282">
        <f>++Tabla4[[#This Row],[Precio Unitario Neto]]-Tabla4[[#This Row],[20.85%]]</f>
        <v>4928.2541709999996</v>
      </c>
      <c r="M755" s="282" t="e">
        <f>(INDEX(Tabla6[#All],MATCH(Tabla4[[#This Row],[Producto]],Tabla6[[#All],[PRODUCTO]],0),MATCH(Tabla4[[#This Row],[Mes]],Tabla6[#Headers],0)))*(1+Catalogos!$L$2)</f>
        <v>#N/A</v>
      </c>
      <c r="N755" s="283" t="e">
        <f>+(Tabla4[[#This Row],[Precio Descontado]]-Tabla4[[#This Row],[Precio Base]])*Tabla4[[#This Row],[Cantidad]]</f>
        <v>#N/A</v>
      </c>
      <c r="O755" s="284" t="e">
        <f>++Tabla4[[#This Row],[Utilidad Total]]/Tabla4[[#This Row],[Total]]</f>
        <v>#N/A</v>
      </c>
      <c r="P755" s="282">
        <f>++Tabla4[[#This Row],[Precio Descontado]]*Tabla4[[#This Row],[Cantidad]]</f>
        <v>9856.5083419999992</v>
      </c>
      <c r="Q755" s="282" t="e">
        <f>(INDEX(Tabla6[#All],MATCH(Tabla4[[#This Row],[Producto]],Tabla6[[#All],[PRODUCTO]],0),MATCH(Tabla4[[#This Row],[Mes]],Tabla6[#Headers],0)))</f>
        <v>#N/A</v>
      </c>
      <c r="R755" s="282" t="e">
        <f>++Tabla4[[#This Row],[Precio Unitario Neto]]-Tabla4[[#This Row],[20.85%]]-Tabla4[[#This Row],[Costo]]</f>
        <v>#N/A</v>
      </c>
      <c r="S755" s="282" t="e">
        <f>++Tabla4[[#This Row],[U. Bruta Uni]]*Tabla4[[#This Row],[Cantidad]]</f>
        <v>#N/A</v>
      </c>
      <c r="T755" s="369" t="str">
        <f>VLOOKUP(Tabla4[[#This Row],[Producto]],Tabla6[#All],14,FALSE)</f>
        <v>Termico Solar</v>
      </c>
      <c r="U755" s="284" t="e">
        <f>(IF(Tabla4[[#This Row],[Familia]]="termico solar",Tabla4[[#This Row],[Utilidad Total]]*6%,Tabla4[[#This Row],[Utilidad Total]]*11.5%))/Tabla4[[#This Row],[Total]]</f>
        <v>#N/A</v>
      </c>
      <c r="V755" s="282" t="e">
        <f>+Tabla4[[#This Row],[Comisión Calculada]]*Tabla4[[#This Row],[Total]]</f>
        <v>#N/A</v>
      </c>
    </row>
    <row r="756" spans="1:22" hidden="1" x14ac:dyDescent="0.25">
      <c r="A756" s="100">
        <v>45716</v>
      </c>
      <c r="B756" t="str">
        <f t="shared" si="27"/>
        <v>February</v>
      </c>
      <c r="C756" s="46" t="s">
        <v>280</v>
      </c>
      <c r="F756" s="366" t="s">
        <v>1016</v>
      </c>
      <c r="G756" s="46" t="s">
        <v>566</v>
      </c>
      <c r="H756" s="46">
        <v>1</v>
      </c>
      <c r="I756" s="51">
        <v>2109.4499999999998</v>
      </c>
      <c r="J756" s="281">
        <f>++Tabla4[[#This Row],[Precio Bruto]]*1.16</f>
        <v>2446.9619999999995</v>
      </c>
      <c r="K756" s="281">
        <f>+Tabla4[[#This Row],[Precio Unitario Neto]]*Tabla4[[#Headers],[20.85%]]</f>
        <v>510.19157699999988</v>
      </c>
      <c r="L756" s="282">
        <f>++Tabla4[[#This Row],[Precio Unitario Neto]]-Tabla4[[#This Row],[20.85%]]</f>
        <v>1936.7704229999997</v>
      </c>
      <c r="M756" s="282" t="e">
        <f>(INDEX(Tabla6[#All],MATCH(Tabla4[[#This Row],[Producto]],Tabla6[[#All],[PRODUCTO]],0),MATCH(Tabla4[[#This Row],[Mes]],Tabla6[#Headers],0)))*(1+Catalogos!$L$2)</f>
        <v>#N/A</v>
      </c>
      <c r="N756" s="283" t="e">
        <f>+(Tabla4[[#This Row],[Precio Descontado]]-Tabla4[[#This Row],[Precio Base]])*Tabla4[[#This Row],[Cantidad]]</f>
        <v>#N/A</v>
      </c>
      <c r="O756" s="284" t="e">
        <f>++Tabla4[[#This Row],[Utilidad Total]]/Tabla4[[#This Row],[Total]]</f>
        <v>#N/A</v>
      </c>
      <c r="P756" s="282">
        <f>++Tabla4[[#This Row],[Precio Descontado]]*Tabla4[[#This Row],[Cantidad]]</f>
        <v>1936.7704229999997</v>
      </c>
      <c r="Q756" s="282" t="e">
        <f>(INDEX(Tabla6[#All],MATCH(Tabla4[[#This Row],[Producto]],Tabla6[[#All],[PRODUCTO]],0),MATCH(Tabla4[[#This Row],[Mes]],Tabla6[#Headers],0)))</f>
        <v>#N/A</v>
      </c>
      <c r="R756" s="282" t="e">
        <f>++Tabla4[[#This Row],[Precio Unitario Neto]]-Tabla4[[#This Row],[20.85%]]-Tabla4[[#This Row],[Costo]]</f>
        <v>#N/A</v>
      </c>
      <c r="S756" s="282" t="e">
        <f>++Tabla4[[#This Row],[U. Bruta Uni]]*Tabla4[[#This Row],[Cantidad]]</f>
        <v>#N/A</v>
      </c>
      <c r="T756" s="369" t="str">
        <f>VLOOKUP(Tabla4[[#This Row],[Producto]],Tabla6[#All],14,FALSE)</f>
        <v>Termico Solar</v>
      </c>
      <c r="U756" s="284" t="e">
        <f>(IF(Tabla4[[#This Row],[Familia]]="termico solar",Tabla4[[#This Row],[Utilidad Total]]*6%,Tabla4[[#This Row],[Utilidad Total]]*11.5%))/Tabla4[[#This Row],[Total]]</f>
        <v>#N/A</v>
      </c>
      <c r="V756" s="282" t="e">
        <f>+Tabla4[[#This Row],[Comisión Calculada]]*Tabla4[[#This Row],[Total]]</f>
        <v>#N/A</v>
      </c>
    </row>
    <row r="757" spans="1:22" hidden="1" x14ac:dyDescent="0.25">
      <c r="A757" s="100">
        <v>45716</v>
      </c>
      <c r="B757" t="str">
        <f t="shared" si="27"/>
        <v>February</v>
      </c>
      <c r="C757" s="46" t="s">
        <v>280</v>
      </c>
      <c r="F757" s="366" t="s">
        <v>1017</v>
      </c>
      <c r="G757" s="46" t="s">
        <v>18</v>
      </c>
      <c r="H757" s="46">
        <v>2</v>
      </c>
      <c r="I757" s="51">
        <v>5367.65</v>
      </c>
      <c r="J757" s="281">
        <f>++Tabla4[[#This Row],[Precio Bruto]]*1.16</f>
        <v>6226.4739999999993</v>
      </c>
      <c r="K757" s="281">
        <f>+Tabla4[[#This Row],[Precio Unitario Neto]]*Tabla4[[#Headers],[20.85%]]</f>
        <v>1298.2198289999999</v>
      </c>
      <c r="L757" s="282">
        <f>++Tabla4[[#This Row],[Precio Unitario Neto]]-Tabla4[[#This Row],[20.85%]]</f>
        <v>4928.2541709999996</v>
      </c>
      <c r="M757" s="282" t="e">
        <f>(INDEX(Tabla6[#All],MATCH(Tabla4[[#This Row],[Producto]],Tabla6[[#All],[PRODUCTO]],0),MATCH(Tabla4[[#This Row],[Mes]],Tabla6[#Headers],0)))*(1+Catalogos!$L$2)</f>
        <v>#N/A</v>
      </c>
      <c r="N757" s="283" t="e">
        <f>+(Tabla4[[#This Row],[Precio Descontado]]-Tabla4[[#This Row],[Precio Base]])*Tabla4[[#This Row],[Cantidad]]</f>
        <v>#N/A</v>
      </c>
      <c r="O757" s="284" t="e">
        <f>++Tabla4[[#This Row],[Utilidad Total]]/Tabla4[[#This Row],[Total]]</f>
        <v>#N/A</v>
      </c>
      <c r="P757" s="282">
        <f>++Tabla4[[#This Row],[Precio Descontado]]*Tabla4[[#This Row],[Cantidad]]</f>
        <v>9856.5083419999992</v>
      </c>
      <c r="Q757" s="282" t="e">
        <f>(INDEX(Tabla6[#All],MATCH(Tabla4[[#This Row],[Producto]],Tabla6[[#All],[PRODUCTO]],0),MATCH(Tabla4[[#This Row],[Mes]],Tabla6[#Headers],0)))</f>
        <v>#N/A</v>
      </c>
      <c r="R757" s="282" t="e">
        <f>++Tabla4[[#This Row],[Precio Unitario Neto]]-Tabla4[[#This Row],[20.85%]]-Tabla4[[#This Row],[Costo]]</f>
        <v>#N/A</v>
      </c>
      <c r="S757" s="282" t="e">
        <f>++Tabla4[[#This Row],[U. Bruta Uni]]*Tabla4[[#This Row],[Cantidad]]</f>
        <v>#N/A</v>
      </c>
      <c r="T757" s="369" t="str">
        <f>VLOOKUP(Tabla4[[#This Row],[Producto]],Tabla6[#All],14,FALSE)</f>
        <v>Termico Solar</v>
      </c>
      <c r="U757" s="284" t="e">
        <f>(IF(Tabla4[[#This Row],[Familia]]="termico solar",Tabla4[[#This Row],[Utilidad Total]]*6%,Tabla4[[#This Row],[Utilidad Total]]*11.5%))/Tabla4[[#This Row],[Total]]</f>
        <v>#N/A</v>
      </c>
      <c r="V757" s="282" t="e">
        <f>+Tabla4[[#This Row],[Comisión Calculada]]*Tabla4[[#This Row],[Total]]</f>
        <v>#N/A</v>
      </c>
    </row>
    <row r="758" spans="1:22" hidden="1" x14ac:dyDescent="0.25">
      <c r="A758" s="100">
        <v>45716</v>
      </c>
      <c r="B758" t="str">
        <f t="shared" si="27"/>
        <v>February</v>
      </c>
      <c r="C758" s="46" t="s">
        <v>280</v>
      </c>
      <c r="F758" s="366" t="s">
        <v>1018</v>
      </c>
      <c r="G758" s="46" t="s">
        <v>83</v>
      </c>
      <c r="H758" s="46">
        <v>1</v>
      </c>
      <c r="I758" s="51">
        <v>8858.76</v>
      </c>
      <c r="J758" s="281">
        <f>++Tabla4[[#This Row],[Precio Bruto]]*1.16</f>
        <v>10276.161599999999</v>
      </c>
      <c r="K758" s="281">
        <f>+Tabla4[[#This Row],[Precio Unitario Neto]]*Tabla4[[#Headers],[20.85%]]</f>
        <v>2142.5796935999997</v>
      </c>
      <c r="L758" s="282">
        <f>++Tabla4[[#This Row],[Precio Unitario Neto]]-Tabla4[[#This Row],[20.85%]]</f>
        <v>8133.5819063999998</v>
      </c>
      <c r="M758" s="282" t="e">
        <f>(INDEX(Tabla6[#All],MATCH(Tabla4[[#This Row],[Producto]],Tabla6[[#All],[PRODUCTO]],0),MATCH(Tabla4[[#This Row],[Mes]],Tabla6[#Headers],0)))*(1+Catalogos!$L$2)</f>
        <v>#N/A</v>
      </c>
      <c r="N758" s="283" t="e">
        <f>+(Tabla4[[#This Row],[Precio Descontado]]-Tabla4[[#This Row],[Precio Base]])*Tabla4[[#This Row],[Cantidad]]</f>
        <v>#N/A</v>
      </c>
      <c r="O758" s="284" t="e">
        <f>++Tabla4[[#This Row],[Utilidad Total]]/Tabla4[[#This Row],[Total]]</f>
        <v>#N/A</v>
      </c>
      <c r="P758" s="282">
        <f>++Tabla4[[#This Row],[Precio Descontado]]*Tabla4[[#This Row],[Cantidad]]</f>
        <v>8133.5819063999998</v>
      </c>
      <c r="Q758" s="282" t="e">
        <f>(INDEX(Tabla6[#All],MATCH(Tabla4[[#This Row],[Producto]],Tabla6[[#All],[PRODUCTO]],0),MATCH(Tabla4[[#This Row],[Mes]],Tabla6[#Headers],0)))</f>
        <v>#N/A</v>
      </c>
      <c r="R758" s="282" t="e">
        <f>++Tabla4[[#This Row],[Precio Unitario Neto]]-Tabla4[[#This Row],[20.85%]]-Tabla4[[#This Row],[Costo]]</f>
        <v>#N/A</v>
      </c>
      <c r="S758" s="282" t="e">
        <f>++Tabla4[[#This Row],[U. Bruta Uni]]*Tabla4[[#This Row],[Cantidad]]</f>
        <v>#N/A</v>
      </c>
      <c r="T758" s="369" t="str">
        <f>VLOOKUP(Tabla4[[#This Row],[Producto]],Tabla6[#All],14,FALSE)</f>
        <v>Termico Solar</v>
      </c>
      <c r="U758" s="284" t="e">
        <f>(IF(Tabla4[[#This Row],[Familia]]="termico solar",Tabla4[[#This Row],[Utilidad Total]]*6%,Tabla4[[#This Row],[Utilidad Total]]*11.5%))/Tabla4[[#This Row],[Total]]</f>
        <v>#N/A</v>
      </c>
      <c r="V758" s="282" t="e">
        <f>+Tabla4[[#This Row],[Comisión Calculada]]*Tabla4[[#This Row],[Total]]</f>
        <v>#N/A</v>
      </c>
    </row>
    <row r="759" spans="1:22" hidden="1" x14ac:dyDescent="0.25">
      <c r="A759" s="100">
        <v>45716</v>
      </c>
      <c r="B759" t="str">
        <f t="shared" si="27"/>
        <v>February</v>
      </c>
      <c r="C759" s="46" t="s">
        <v>280</v>
      </c>
      <c r="F759" s="366" t="s">
        <v>1018</v>
      </c>
      <c r="G759" s="46" t="s">
        <v>17</v>
      </c>
      <c r="H759" s="46">
        <v>4</v>
      </c>
      <c r="I759" s="51">
        <v>4622.28</v>
      </c>
      <c r="J759" s="281">
        <f>++Tabla4[[#This Row],[Precio Bruto]]*1.16</f>
        <v>5361.8447999999989</v>
      </c>
      <c r="K759" s="281">
        <f>+Tabla4[[#This Row],[Precio Unitario Neto]]*Tabla4[[#Headers],[20.85%]]</f>
        <v>1117.9446407999997</v>
      </c>
      <c r="L759" s="282">
        <f>++Tabla4[[#This Row],[Precio Unitario Neto]]-Tabla4[[#This Row],[20.85%]]</f>
        <v>4243.9001591999995</v>
      </c>
      <c r="M759" s="282" t="e">
        <f>(INDEX(Tabla6[#All],MATCH(Tabla4[[#This Row],[Producto]],Tabla6[[#All],[PRODUCTO]],0),MATCH(Tabla4[[#This Row],[Mes]],Tabla6[#Headers],0)))*(1+Catalogos!$L$2)</f>
        <v>#N/A</v>
      </c>
      <c r="N759" s="283" t="e">
        <f>+(Tabla4[[#This Row],[Precio Descontado]]-Tabla4[[#This Row],[Precio Base]])*Tabla4[[#This Row],[Cantidad]]</f>
        <v>#N/A</v>
      </c>
      <c r="O759" s="284" t="e">
        <f>++Tabla4[[#This Row],[Utilidad Total]]/Tabla4[[#This Row],[Total]]</f>
        <v>#N/A</v>
      </c>
      <c r="P759" s="282">
        <f>++Tabla4[[#This Row],[Precio Descontado]]*Tabla4[[#This Row],[Cantidad]]</f>
        <v>16975.600636799998</v>
      </c>
      <c r="Q759" s="282" t="e">
        <f>(INDEX(Tabla6[#All],MATCH(Tabla4[[#This Row],[Producto]],Tabla6[[#All],[PRODUCTO]],0),MATCH(Tabla4[[#This Row],[Mes]],Tabla6[#Headers],0)))</f>
        <v>#N/A</v>
      </c>
      <c r="R759" s="282" t="e">
        <f>++Tabla4[[#This Row],[Precio Unitario Neto]]-Tabla4[[#This Row],[20.85%]]-Tabla4[[#This Row],[Costo]]</f>
        <v>#N/A</v>
      </c>
      <c r="S759" s="282" t="e">
        <f>++Tabla4[[#This Row],[U. Bruta Uni]]*Tabla4[[#This Row],[Cantidad]]</f>
        <v>#N/A</v>
      </c>
      <c r="T759" s="369" t="str">
        <f>VLOOKUP(Tabla4[[#This Row],[Producto]],Tabla6[#All],14,FALSE)</f>
        <v>Termico Solar</v>
      </c>
      <c r="U759" s="284" t="e">
        <f>(IF(Tabla4[[#This Row],[Familia]]="termico solar",Tabla4[[#This Row],[Utilidad Total]]*6%,Tabla4[[#This Row],[Utilidad Total]]*11.5%))/Tabla4[[#This Row],[Total]]</f>
        <v>#N/A</v>
      </c>
      <c r="V759" s="282" t="e">
        <f>+Tabla4[[#This Row],[Comisión Calculada]]*Tabla4[[#This Row],[Total]]</f>
        <v>#N/A</v>
      </c>
    </row>
    <row r="760" spans="1:22" hidden="1" x14ac:dyDescent="0.25">
      <c r="A760" s="100">
        <v>45716</v>
      </c>
      <c r="B760" t="str">
        <f t="shared" si="27"/>
        <v>February</v>
      </c>
      <c r="C760" s="46" t="s">
        <v>280</v>
      </c>
      <c r="F760" s="366" t="s">
        <v>1018</v>
      </c>
      <c r="G760" s="46" t="s">
        <v>18</v>
      </c>
      <c r="H760" s="46">
        <v>2</v>
      </c>
      <c r="I760" s="51">
        <v>5367.65</v>
      </c>
      <c r="J760" s="281">
        <f>++Tabla4[[#This Row],[Precio Bruto]]*1.16</f>
        <v>6226.4739999999993</v>
      </c>
      <c r="K760" s="281">
        <f>+Tabla4[[#This Row],[Precio Unitario Neto]]*Tabla4[[#Headers],[20.85%]]</f>
        <v>1298.2198289999999</v>
      </c>
      <c r="L760" s="282">
        <f>++Tabla4[[#This Row],[Precio Unitario Neto]]-Tabla4[[#This Row],[20.85%]]</f>
        <v>4928.2541709999996</v>
      </c>
      <c r="M760" s="282" t="e">
        <f>(INDEX(Tabla6[#All],MATCH(Tabla4[[#This Row],[Producto]],Tabla6[[#All],[PRODUCTO]],0),MATCH(Tabla4[[#This Row],[Mes]],Tabla6[#Headers],0)))*(1+Catalogos!$L$2)</f>
        <v>#N/A</v>
      </c>
      <c r="N760" s="283" t="e">
        <f>+(Tabla4[[#This Row],[Precio Descontado]]-Tabla4[[#This Row],[Precio Base]])*Tabla4[[#This Row],[Cantidad]]</f>
        <v>#N/A</v>
      </c>
      <c r="O760" s="284" t="e">
        <f>++Tabla4[[#This Row],[Utilidad Total]]/Tabla4[[#This Row],[Total]]</f>
        <v>#N/A</v>
      </c>
      <c r="P760" s="282">
        <f>++Tabla4[[#This Row],[Precio Descontado]]*Tabla4[[#This Row],[Cantidad]]</f>
        <v>9856.5083419999992</v>
      </c>
      <c r="Q760" s="282" t="e">
        <f>(INDEX(Tabla6[#All],MATCH(Tabla4[[#This Row],[Producto]],Tabla6[[#All],[PRODUCTO]],0),MATCH(Tabla4[[#This Row],[Mes]],Tabla6[#Headers],0)))</f>
        <v>#N/A</v>
      </c>
      <c r="R760" s="282" t="e">
        <f>++Tabla4[[#This Row],[Precio Unitario Neto]]-Tabla4[[#This Row],[20.85%]]-Tabla4[[#This Row],[Costo]]</f>
        <v>#N/A</v>
      </c>
      <c r="S760" s="282" t="e">
        <f>++Tabla4[[#This Row],[U. Bruta Uni]]*Tabla4[[#This Row],[Cantidad]]</f>
        <v>#N/A</v>
      </c>
      <c r="T760" s="369" t="str">
        <f>VLOOKUP(Tabla4[[#This Row],[Producto]],Tabla6[#All],14,FALSE)</f>
        <v>Termico Solar</v>
      </c>
      <c r="U760" s="284" t="e">
        <f>(IF(Tabla4[[#This Row],[Familia]]="termico solar",Tabla4[[#This Row],[Utilidad Total]]*6%,Tabla4[[#This Row],[Utilidad Total]]*11.5%))/Tabla4[[#This Row],[Total]]</f>
        <v>#N/A</v>
      </c>
      <c r="V760" s="282" t="e">
        <f>+Tabla4[[#This Row],[Comisión Calculada]]*Tabla4[[#This Row],[Total]]</f>
        <v>#N/A</v>
      </c>
    </row>
    <row r="761" spans="1:22" hidden="1" x14ac:dyDescent="0.25">
      <c r="A761" s="100">
        <v>45716</v>
      </c>
      <c r="B761" t="str">
        <f t="shared" si="27"/>
        <v>February</v>
      </c>
      <c r="C761" s="46" t="s">
        <v>280</v>
      </c>
      <c r="F761" s="366" t="s">
        <v>1018</v>
      </c>
      <c r="G761" s="46" t="s">
        <v>566</v>
      </c>
      <c r="H761" s="46">
        <v>1</v>
      </c>
      <c r="I761" s="51">
        <v>2109.4499999999998</v>
      </c>
      <c r="J761" s="281">
        <f>++Tabla4[[#This Row],[Precio Bruto]]*1.16</f>
        <v>2446.9619999999995</v>
      </c>
      <c r="K761" s="281">
        <f>+Tabla4[[#This Row],[Precio Unitario Neto]]*Tabla4[[#Headers],[20.85%]]</f>
        <v>510.19157699999988</v>
      </c>
      <c r="L761" s="282">
        <f>++Tabla4[[#This Row],[Precio Unitario Neto]]-Tabla4[[#This Row],[20.85%]]</f>
        <v>1936.7704229999997</v>
      </c>
      <c r="M761" s="282" t="e">
        <f>(INDEX(Tabla6[#All],MATCH(Tabla4[[#This Row],[Producto]],Tabla6[[#All],[PRODUCTO]],0),MATCH(Tabla4[[#This Row],[Mes]],Tabla6[#Headers],0)))*(1+Catalogos!$L$2)</f>
        <v>#N/A</v>
      </c>
      <c r="N761" s="283" t="e">
        <f>+(Tabla4[[#This Row],[Precio Descontado]]-Tabla4[[#This Row],[Precio Base]])*Tabla4[[#This Row],[Cantidad]]</f>
        <v>#N/A</v>
      </c>
      <c r="O761" s="284" t="e">
        <f>++Tabla4[[#This Row],[Utilidad Total]]/Tabla4[[#This Row],[Total]]</f>
        <v>#N/A</v>
      </c>
      <c r="P761" s="282">
        <f>++Tabla4[[#This Row],[Precio Descontado]]*Tabla4[[#This Row],[Cantidad]]</f>
        <v>1936.7704229999997</v>
      </c>
      <c r="Q761" s="282" t="e">
        <f>(INDEX(Tabla6[#All],MATCH(Tabla4[[#This Row],[Producto]],Tabla6[[#All],[PRODUCTO]],0),MATCH(Tabla4[[#This Row],[Mes]],Tabla6[#Headers],0)))</f>
        <v>#N/A</v>
      </c>
      <c r="R761" s="282" t="e">
        <f>++Tabla4[[#This Row],[Precio Unitario Neto]]-Tabla4[[#This Row],[20.85%]]-Tabla4[[#This Row],[Costo]]</f>
        <v>#N/A</v>
      </c>
      <c r="S761" s="282" t="e">
        <f>++Tabla4[[#This Row],[U. Bruta Uni]]*Tabla4[[#This Row],[Cantidad]]</f>
        <v>#N/A</v>
      </c>
      <c r="T761" s="369" t="str">
        <f>VLOOKUP(Tabla4[[#This Row],[Producto]],Tabla6[#All],14,FALSE)</f>
        <v>Termico Solar</v>
      </c>
      <c r="U761" s="284" t="e">
        <f>(IF(Tabla4[[#This Row],[Familia]]="termico solar",Tabla4[[#This Row],[Utilidad Total]]*6%,Tabla4[[#This Row],[Utilidad Total]]*11.5%))/Tabla4[[#This Row],[Total]]</f>
        <v>#N/A</v>
      </c>
      <c r="V761" s="282" t="e">
        <f>+Tabla4[[#This Row],[Comisión Calculada]]*Tabla4[[#This Row],[Total]]</f>
        <v>#N/A</v>
      </c>
    </row>
    <row r="762" spans="1:22" hidden="1" x14ac:dyDescent="0.25">
      <c r="A762" s="100">
        <v>45716</v>
      </c>
      <c r="B762" t="str">
        <f t="shared" si="27"/>
        <v>February</v>
      </c>
      <c r="C762" s="46" t="s">
        <v>280</v>
      </c>
      <c r="F762" s="366" t="s">
        <v>1018</v>
      </c>
      <c r="G762" s="46" t="s">
        <v>599</v>
      </c>
      <c r="H762" s="46">
        <v>1</v>
      </c>
      <c r="I762" s="51">
        <v>189.75</v>
      </c>
      <c r="J762" s="281">
        <f>++Tabla4[[#This Row],[Precio Bruto]]*1.16</f>
        <v>220.10999999999999</v>
      </c>
      <c r="K762" s="281">
        <f>+Tabla4[[#This Row],[Precio Unitario Neto]]*Tabla4[[#Headers],[20.85%]]</f>
        <v>45.892934999999994</v>
      </c>
      <c r="L762" s="282">
        <f>++Tabla4[[#This Row],[Precio Unitario Neto]]-Tabla4[[#This Row],[20.85%]]</f>
        <v>174.21706499999999</v>
      </c>
      <c r="M762" s="282" t="e">
        <f>(INDEX(Tabla6[#All],MATCH(Tabla4[[#This Row],[Producto]],Tabla6[[#All],[PRODUCTO]],0),MATCH(Tabla4[[#This Row],[Mes]],Tabla6[#Headers],0)))*(1+Catalogos!$L$2)</f>
        <v>#N/A</v>
      </c>
      <c r="N762" s="283" t="e">
        <f>+(Tabla4[[#This Row],[Precio Descontado]]-Tabla4[[#This Row],[Precio Base]])*Tabla4[[#This Row],[Cantidad]]</f>
        <v>#N/A</v>
      </c>
      <c r="O762" s="284" t="e">
        <f>++Tabla4[[#This Row],[Utilidad Total]]/Tabla4[[#This Row],[Total]]</f>
        <v>#N/A</v>
      </c>
      <c r="P762" s="282">
        <f>++Tabla4[[#This Row],[Precio Descontado]]*Tabla4[[#This Row],[Cantidad]]</f>
        <v>174.21706499999999</v>
      </c>
      <c r="Q762" s="282" t="e">
        <f>(INDEX(Tabla6[#All],MATCH(Tabla4[[#This Row],[Producto]],Tabla6[[#All],[PRODUCTO]],0),MATCH(Tabla4[[#This Row],[Mes]],Tabla6[#Headers],0)))</f>
        <v>#N/A</v>
      </c>
      <c r="R762" s="282" t="e">
        <f>++Tabla4[[#This Row],[Precio Unitario Neto]]-Tabla4[[#This Row],[20.85%]]-Tabla4[[#This Row],[Costo]]</f>
        <v>#N/A</v>
      </c>
      <c r="S762" s="282" t="e">
        <f>++Tabla4[[#This Row],[U. Bruta Uni]]*Tabla4[[#This Row],[Cantidad]]</f>
        <v>#N/A</v>
      </c>
      <c r="T762" s="369" t="str">
        <f>VLOOKUP(Tabla4[[#This Row],[Producto]],Tabla6[#All],14,FALSE)</f>
        <v>Termico Solar</v>
      </c>
      <c r="U762" s="284" t="e">
        <f>(IF(Tabla4[[#This Row],[Familia]]="termico solar",Tabla4[[#This Row],[Utilidad Total]]*6%,Tabla4[[#This Row],[Utilidad Total]]*11.5%))/Tabla4[[#This Row],[Total]]</f>
        <v>#N/A</v>
      </c>
      <c r="V762" s="282" t="e">
        <f>+Tabla4[[#This Row],[Comisión Calculada]]*Tabla4[[#This Row],[Total]]</f>
        <v>#N/A</v>
      </c>
    </row>
    <row r="763" spans="1:22" hidden="1" x14ac:dyDescent="0.25">
      <c r="A763" s="100">
        <v>45716</v>
      </c>
      <c r="B763" t="str">
        <f t="shared" ref="B763:B767" si="28">TEXT(A763, "mmmm")</f>
        <v>February</v>
      </c>
      <c r="C763" s="46" t="s">
        <v>280</v>
      </c>
      <c r="F763" s="366" t="s">
        <v>1019</v>
      </c>
      <c r="G763" s="46" t="s">
        <v>83</v>
      </c>
      <c r="H763" s="46">
        <v>1</v>
      </c>
      <c r="I763" s="51">
        <v>8858.76</v>
      </c>
      <c r="J763" s="281">
        <f>++Tabla4[[#This Row],[Precio Bruto]]*1.16</f>
        <v>10276.161599999999</v>
      </c>
      <c r="K763" s="281">
        <f>+Tabla4[[#This Row],[Precio Unitario Neto]]*Tabla4[[#Headers],[20.85%]]</f>
        <v>2142.5796935999997</v>
      </c>
      <c r="L763" s="282">
        <f>++Tabla4[[#This Row],[Precio Unitario Neto]]-Tabla4[[#This Row],[20.85%]]</f>
        <v>8133.5819063999998</v>
      </c>
      <c r="M763" s="282" t="e">
        <f>(INDEX(Tabla6[#All],MATCH(Tabla4[[#This Row],[Producto]],Tabla6[[#All],[PRODUCTO]],0),MATCH(Tabla4[[#This Row],[Mes]],Tabla6[#Headers],0)))*(1+Catalogos!$L$2)</f>
        <v>#N/A</v>
      </c>
      <c r="N763" s="283" t="e">
        <f>+(Tabla4[[#This Row],[Precio Descontado]]-Tabla4[[#This Row],[Precio Base]])*Tabla4[[#This Row],[Cantidad]]</f>
        <v>#N/A</v>
      </c>
      <c r="O763" s="284" t="e">
        <f>++Tabla4[[#This Row],[Utilidad Total]]/Tabla4[[#This Row],[Total]]</f>
        <v>#N/A</v>
      </c>
      <c r="P763" s="282">
        <f>++Tabla4[[#This Row],[Precio Descontado]]*Tabla4[[#This Row],[Cantidad]]</f>
        <v>8133.5819063999998</v>
      </c>
      <c r="Q763" s="282" t="e">
        <f>(INDEX(Tabla6[#All],MATCH(Tabla4[[#This Row],[Producto]],Tabla6[[#All],[PRODUCTO]],0),MATCH(Tabla4[[#This Row],[Mes]],Tabla6[#Headers],0)))</f>
        <v>#N/A</v>
      </c>
      <c r="R763" s="282" t="e">
        <f>++Tabla4[[#This Row],[Precio Unitario Neto]]-Tabla4[[#This Row],[20.85%]]-Tabla4[[#This Row],[Costo]]</f>
        <v>#N/A</v>
      </c>
      <c r="S763" s="282" t="e">
        <f>++Tabla4[[#This Row],[U. Bruta Uni]]*Tabla4[[#This Row],[Cantidad]]</f>
        <v>#N/A</v>
      </c>
      <c r="T763" s="369" t="str">
        <f>VLOOKUP(Tabla4[[#This Row],[Producto]],Tabla6[#All],14,FALSE)</f>
        <v>Termico Solar</v>
      </c>
      <c r="U763" s="284" t="e">
        <f>(IF(Tabla4[[#This Row],[Familia]]="termico solar",Tabla4[[#This Row],[Utilidad Total]]*6%,Tabla4[[#This Row],[Utilidad Total]]*11.5%))/Tabla4[[#This Row],[Total]]</f>
        <v>#N/A</v>
      </c>
      <c r="V763" s="282" t="e">
        <f>+Tabla4[[#This Row],[Comisión Calculada]]*Tabla4[[#This Row],[Total]]</f>
        <v>#N/A</v>
      </c>
    </row>
    <row r="764" spans="1:22" hidden="1" x14ac:dyDescent="0.25">
      <c r="A764" s="100">
        <v>45716</v>
      </c>
      <c r="B764" t="str">
        <f t="shared" si="28"/>
        <v>February</v>
      </c>
      <c r="C764" s="46" t="s">
        <v>280</v>
      </c>
      <c r="F764" s="366" t="s">
        <v>1019</v>
      </c>
      <c r="G764" s="46" t="s">
        <v>17</v>
      </c>
      <c r="H764" s="46">
        <v>4</v>
      </c>
      <c r="I764" s="51">
        <v>4622.28</v>
      </c>
      <c r="J764" s="281">
        <f>++Tabla4[[#This Row],[Precio Bruto]]*1.16</f>
        <v>5361.8447999999989</v>
      </c>
      <c r="K764" s="281">
        <f>+Tabla4[[#This Row],[Precio Unitario Neto]]*Tabla4[[#Headers],[20.85%]]</f>
        <v>1117.9446407999997</v>
      </c>
      <c r="L764" s="282">
        <f>++Tabla4[[#This Row],[Precio Unitario Neto]]-Tabla4[[#This Row],[20.85%]]</f>
        <v>4243.9001591999995</v>
      </c>
      <c r="M764" s="282" t="e">
        <f>(INDEX(Tabla6[#All],MATCH(Tabla4[[#This Row],[Producto]],Tabla6[[#All],[PRODUCTO]],0),MATCH(Tabla4[[#This Row],[Mes]],Tabla6[#Headers],0)))*(1+Catalogos!$L$2)</f>
        <v>#N/A</v>
      </c>
      <c r="N764" s="283" t="e">
        <f>+(Tabla4[[#This Row],[Precio Descontado]]-Tabla4[[#This Row],[Precio Base]])*Tabla4[[#This Row],[Cantidad]]</f>
        <v>#N/A</v>
      </c>
      <c r="O764" s="284" t="e">
        <f>++Tabla4[[#This Row],[Utilidad Total]]/Tabla4[[#This Row],[Total]]</f>
        <v>#N/A</v>
      </c>
      <c r="P764" s="282">
        <f>++Tabla4[[#This Row],[Precio Descontado]]*Tabla4[[#This Row],[Cantidad]]</f>
        <v>16975.600636799998</v>
      </c>
      <c r="Q764" s="282" t="e">
        <f>(INDEX(Tabla6[#All],MATCH(Tabla4[[#This Row],[Producto]],Tabla6[[#All],[PRODUCTO]],0),MATCH(Tabla4[[#This Row],[Mes]],Tabla6[#Headers],0)))</f>
        <v>#N/A</v>
      </c>
      <c r="R764" s="282" t="e">
        <f>++Tabla4[[#This Row],[Precio Unitario Neto]]-Tabla4[[#This Row],[20.85%]]-Tabla4[[#This Row],[Costo]]</f>
        <v>#N/A</v>
      </c>
      <c r="S764" s="282" t="e">
        <f>++Tabla4[[#This Row],[U. Bruta Uni]]*Tabla4[[#This Row],[Cantidad]]</f>
        <v>#N/A</v>
      </c>
      <c r="T764" s="369" t="str">
        <f>VLOOKUP(Tabla4[[#This Row],[Producto]],Tabla6[#All],14,FALSE)</f>
        <v>Termico Solar</v>
      </c>
      <c r="U764" s="284" t="e">
        <f>(IF(Tabla4[[#This Row],[Familia]]="termico solar",Tabla4[[#This Row],[Utilidad Total]]*6%,Tabla4[[#This Row],[Utilidad Total]]*11.5%))/Tabla4[[#This Row],[Total]]</f>
        <v>#N/A</v>
      </c>
      <c r="V764" s="282" t="e">
        <f>+Tabla4[[#This Row],[Comisión Calculada]]*Tabla4[[#This Row],[Total]]</f>
        <v>#N/A</v>
      </c>
    </row>
    <row r="765" spans="1:22" hidden="1" x14ac:dyDescent="0.25">
      <c r="A765" s="100">
        <v>45716</v>
      </c>
      <c r="B765" t="str">
        <f t="shared" si="28"/>
        <v>February</v>
      </c>
      <c r="C765" s="46" t="s">
        <v>280</v>
      </c>
      <c r="F765" s="366" t="s">
        <v>1019</v>
      </c>
      <c r="G765" s="46" t="s">
        <v>18</v>
      </c>
      <c r="H765" s="46">
        <v>3</v>
      </c>
      <c r="I765" s="51">
        <v>5367.6500000000005</v>
      </c>
      <c r="J765" s="281">
        <f>++Tabla4[[#This Row],[Precio Bruto]]*1.16</f>
        <v>6226.4740000000002</v>
      </c>
      <c r="K765" s="281">
        <f>+Tabla4[[#This Row],[Precio Unitario Neto]]*Tabla4[[#Headers],[20.85%]]</f>
        <v>1298.2198289999999</v>
      </c>
      <c r="L765" s="282">
        <f>++Tabla4[[#This Row],[Precio Unitario Neto]]-Tabla4[[#This Row],[20.85%]]</f>
        <v>4928.2541710000005</v>
      </c>
      <c r="M765" s="282" t="e">
        <f>(INDEX(Tabla6[#All],MATCH(Tabla4[[#This Row],[Producto]],Tabla6[[#All],[PRODUCTO]],0),MATCH(Tabla4[[#This Row],[Mes]],Tabla6[#Headers],0)))*(1+Catalogos!$L$2)</f>
        <v>#N/A</v>
      </c>
      <c r="N765" s="283" t="e">
        <f>+(Tabla4[[#This Row],[Precio Descontado]]-Tabla4[[#This Row],[Precio Base]])*Tabla4[[#This Row],[Cantidad]]</f>
        <v>#N/A</v>
      </c>
      <c r="O765" s="284" t="e">
        <f>++Tabla4[[#This Row],[Utilidad Total]]/Tabla4[[#This Row],[Total]]</f>
        <v>#N/A</v>
      </c>
      <c r="P765" s="282">
        <f>++Tabla4[[#This Row],[Precio Descontado]]*Tabla4[[#This Row],[Cantidad]]</f>
        <v>14784.762513000001</v>
      </c>
      <c r="Q765" s="282" t="e">
        <f>(INDEX(Tabla6[#All],MATCH(Tabla4[[#This Row],[Producto]],Tabla6[[#All],[PRODUCTO]],0),MATCH(Tabla4[[#This Row],[Mes]],Tabla6[#Headers],0)))</f>
        <v>#N/A</v>
      </c>
      <c r="R765" s="282" t="e">
        <f>++Tabla4[[#This Row],[Precio Unitario Neto]]-Tabla4[[#This Row],[20.85%]]-Tabla4[[#This Row],[Costo]]</f>
        <v>#N/A</v>
      </c>
      <c r="S765" s="282" t="e">
        <f>++Tabla4[[#This Row],[U. Bruta Uni]]*Tabla4[[#This Row],[Cantidad]]</f>
        <v>#N/A</v>
      </c>
      <c r="T765" s="369" t="str">
        <f>VLOOKUP(Tabla4[[#This Row],[Producto]],Tabla6[#All],14,FALSE)</f>
        <v>Termico Solar</v>
      </c>
      <c r="U765" s="284" t="e">
        <f>(IF(Tabla4[[#This Row],[Familia]]="termico solar",Tabla4[[#This Row],[Utilidad Total]]*6%,Tabla4[[#This Row],[Utilidad Total]]*11.5%))/Tabla4[[#This Row],[Total]]</f>
        <v>#N/A</v>
      </c>
      <c r="V765" s="282" t="e">
        <f>+Tabla4[[#This Row],[Comisión Calculada]]*Tabla4[[#This Row],[Total]]</f>
        <v>#N/A</v>
      </c>
    </row>
    <row r="766" spans="1:22" hidden="1" x14ac:dyDescent="0.25">
      <c r="A766" s="100">
        <v>45716</v>
      </c>
      <c r="B766" t="str">
        <f t="shared" si="28"/>
        <v>February</v>
      </c>
      <c r="C766" s="46" t="s">
        <v>280</v>
      </c>
      <c r="F766" s="366" t="s">
        <v>1019</v>
      </c>
      <c r="G766" s="46" t="s">
        <v>566</v>
      </c>
      <c r="H766" s="46">
        <v>1</v>
      </c>
      <c r="I766" s="51">
        <v>2109.4499999999998</v>
      </c>
      <c r="J766" s="281">
        <f>++Tabla4[[#This Row],[Precio Bruto]]*1.16</f>
        <v>2446.9619999999995</v>
      </c>
      <c r="K766" s="281">
        <f>+Tabla4[[#This Row],[Precio Unitario Neto]]*Tabla4[[#Headers],[20.85%]]</f>
        <v>510.19157699999988</v>
      </c>
      <c r="L766" s="282">
        <f>++Tabla4[[#This Row],[Precio Unitario Neto]]-Tabla4[[#This Row],[20.85%]]</f>
        <v>1936.7704229999997</v>
      </c>
      <c r="M766" s="282" t="e">
        <f>(INDEX(Tabla6[#All],MATCH(Tabla4[[#This Row],[Producto]],Tabla6[[#All],[PRODUCTO]],0),MATCH(Tabla4[[#This Row],[Mes]],Tabla6[#Headers],0)))*(1+Catalogos!$L$2)</f>
        <v>#N/A</v>
      </c>
      <c r="N766" s="283" t="e">
        <f>+(Tabla4[[#This Row],[Precio Descontado]]-Tabla4[[#This Row],[Precio Base]])*Tabla4[[#This Row],[Cantidad]]</f>
        <v>#N/A</v>
      </c>
      <c r="O766" s="284" t="e">
        <f>++Tabla4[[#This Row],[Utilidad Total]]/Tabla4[[#This Row],[Total]]</f>
        <v>#N/A</v>
      </c>
      <c r="P766" s="282">
        <f>++Tabla4[[#This Row],[Precio Descontado]]*Tabla4[[#This Row],[Cantidad]]</f>
        <v>1936.7704229999997</v>
      </c>
      <c r="Q766" s="282" t="e">
        <f>(INDEX(Tabla6[#All],MATCH(Tabla4[[#This Row],[Producto]],Tabla6[[#All],[PRODUCTO]],0),MATCH(Tabla4[[#This Row],[Mes]],Tabla6[#Headers],0)))</f>
        <v>#N/A</v>
      </c>
      <c r="R766" s="282" t="e">
        <f>++Tabla4[[#This Row],[Precio Unitario Neto]]-Tabla4[[#This Row],[20.85%]]-Tabla4[[#This Row],[Costo]]</f>
        <v>#N/A</v>
      </c>
      <c r="S766" s="282" t="e">
        <f>++Tabla4[[#This Row],[U. Bruta Uni]]*Tabla4[[#This Row],[Cantidad]]</f>
        <v>#N/A</v>
      </c>
      <c r="T766" s="369" t="str">
        <f>VLOOKUP(Tabla4[[#This Row],[Producto]],Tabla6[#All],14,FALSE)</f>
        <v>Termico Solar</v>
      </c>
      <c r="U766" s="284" t="e">
        <f>(IF(Tabla4[[#This Row],[Familia]]="termico solar",Tabla4[[#This Row],[Utilidad Total]]*6%,Tabla4[[#This Row],[Utilidad Total]]*11.5%))/Tabla4[[#This Row],[Total]]</f>
        <v>#N/A</v>
      </c>
      <c r="V766" s="282" t="e">
        <f>+Tabla4[[#This Row],[Comisión Calculada]]*Tabla4[[#This Row],[Total]]</f>
        <v>#N/A</v>
      </c>
    </row>
    <row r="767" spans="1:22" hidden="1" x14ac:dyDescent="0.25">
      <c r="A767" s="100">
        <v>45716</v>
      </c>
      <c r="B767" t="str">
        <f t="shared" si="28"/>
        <v>February</v>
      </c>
      <c r="C767" s="46" t="s">
        <v>280</v>
      </c>
      <c r="F767" s="366" t="s">
        <v>1019</v>
      </c>
      <c r="G767" s="46" t="s">
        <v>16</v>
      </c>
      <c r="H767" s="46">
        <v>2</v>
      </c>
      <c r="I767" s="51">
        <v>4103.8500000000004</v>
      </c>
      <c r="J767" s="281">
        <f>++Tabla4[[#This Row],[Precio Bruto]]*1.16</f>
        <v>4760.4660000000003</v>
      </c>
      <c r="K767" s="281">
        <f>+Tabla4[[#This Row],[Precio Unitario Neto]]*Tabla4[[#Headers],[20.85%]]</f>
        <v>992.55716100000006</v>
      </c>
      <c r="L767" s="282">
        <f>++Tabla4[[#This Row],[Precio Unitario Neto]]-Tabla4[[#This Row],[20.85%]]</f>
        <v>3767.9088390000002</v>
      </c>
      <c r="M767" s="282" t="e">
        <f>(INDEX(Tabla6[#All],MATCH(Tabla4[[#This Row],[Producto]],Tabla6[[#All],[PRODUCTO]],0),MATCH(Tabla4[[#This Row],[Mes]],Tabla6[#Headers],0)))*(1+Catalogos!$L$2)</f>
        <v>#N/A</v>
      </c>
      <c r="N767" s="283" t="e">
        <f>+(Tabla4[[#This Row],[Precio Descontado]]-Tabla4[[#This Row],[Precio Base]])*Tabla4[[#This Row],[Cantidad]]</f>
        <v>#N/A</v>
      </c>
      <c r="O767" s="284" t="e">
        <f>++Tabla4[[#This Row],[Utilidad Total]]/Tabla4[[#This Row],[Total]]</f>
        <v>#N/A</v>
      </c>
      <c r="P767" s="282">
        <f>++Tabla4[[#This Row],[Precio Descontado]]*Tabla4[[#This Row],[Cantidad]]</f>
        <v>7535.8176780000003</v>
      </c>
      <c r="Q767" s="282" t="e">
        <f>(INDEX(Tabla6[#All],MATCH(Tabla4[[#This Row],[Producto]],Tabla6[[#All],[PRODUCTO]],0),MATCH(Tabla4[[#This Row],[Mes]],Tabla6[#Headers],0)))</f>
        <v>#N/A</v>
      </c>
      <c r="R767" s="282" t="e">
        <f>++Tabla4[[#This Row],[Precio Unitario Neto]]-Tabla4[[#This Row],[20.85%]]-Tabla4[[#This Row],[Costo]]</f>
        <v>#N/A</v>
      </c>
      <c r="S767" s="282" t="e">
        <f>++Tabla4[[#This Row],[U. Bruta Uni]]*Tabla4[[#This Row],[Cantidad]]</f>
        <v>#N/A</v>
      </c>
      <c r="T767" s="369" t="str">
        <f>VLOOKUP(Tabla4[[#This Row],[Producto]],Tabla6[#All],14,FALSE)</f>
        <v>Termico Solar</v>
      </c>
      <c r="U767" s="284" t="e">
        <f>(IF(Tabla4[[#This Row],[Familia]]="termico solar",Tabla4[[#This Row],[Utilidad Total]]*6%,Tabla4[[#This Row],[Utilidad Total]]*11.5%))/Tabla4[[#This Row],[Total]]</f>
        <v>#N/A</v>
      </c>
      <c r="V767" s="282" t="e">
        <f>+Tabla4[[#This Row],[Comisión Calculada]]*Tabla4[[#This Row],[Total]]</f>
        <v>#N/A</v>
      </c>
    </row>
    <row r="768" spans="1:22" hidden="1" x14ac:dyDescent="0.25">
      <c r="A768" s="100">
        <v>45716</v>
      </c>
      <c r="B768" t="str">
        <f t="shared" ref="B768:B773" si="29">TEXT(A768, "mmmm")</f>
        <v>February</v>
      </c>
      <c r="C768" s="46" t="s">
        <v>280</v>
      </c>
      <c r="F768" s="366" t="s">
        <v>1020</v>
      </c>
      <c r="G768" s="46" t="s">
        <v>83</v>
      </c>
      <c r="H768" s="46">
        <v>4</v>
      </c>
      <c r="I768" s="51">
        <v>8858.76</v>
      </c>
      <c r="J768" s="281">
        <f>++Tabla4[[#This Row],[Precio Bruto]]*1.16</f>
        <v>10276.161599999999</v>
      </c>
      <c r="K768" s="281">
        <f>+Tabla4[[#This Row],[Precio Unitario Neto]]*Tabla4[[#Headers],[20.85%]]</f>
        <v>2142.5796935999997</v>
      </c>
      <c r="L768" s="282">
        <f>++Tabla4[[#This Row],[Precio Unitario Neto]]-Tabla4[[#This Row],[20.85%]]</f>
        <v>8133.5819063999998</v>
      </c>
      <c r="M768" s="282" t="e">
        <f>(INDEX(Tabla6[#All],MATCH(Tabla4[[#This Row],[Producto]],Tabla6[[#All],[PRODUCTO]],0),MATCH(Tabla4[[#This Row],[Mes]],Tabla6[#Headers],0)))*(1+Catalogos!$L$2)</f>
        <v>#N/A</v>
      </c>
      <c r="N768" s="283" t="e">
        <f>+(Tabla4[[#This Row],[Precio Descontado]]-Tabla4[[#This Row],[Precio Base]])*Tabla4[[#This Row],[Cantidad]]</f>
        <v>#N/A</v>
      </c>
      <c r="O768" s="284" t="e">
        <f>++Tabla4[[#This Row],[Utilidad Total]]/Tabla4[[#This Row],[Total]]</f>
        <v>#N/A</v>
      </c>
      <c r="P768" s="282">
        <f>++Tabla4[[#This Row],[Precio Descontado]]*Tabla4[[#This Row],[Cantidad]]</f>
        <v>32534.327625599999</v>
      </c>
      <c r="Q768" s="282" t="e">
        <f>(INDEX(Tabla6[#All],MATCH(Tabla4[[#This Row],[Producto]],Tabla6[[#All],[PRODUCTO]],0),MATCH(Tabla4[[#This Row],[Mes]],Tabla6[#Headers],0)))</f>
        <v>#N/A</v>
      </c>
      <c r="R768" s="282" t="e">
        <f>++Tabla4[[#This Row],[Precio Unitario Neto]]-Tabla4[[#This Row],[20.85%]]-Tabla4[[#This Row],[Costo]]</f>
        <v>#N/A</v>
      </c>
      <c r="S768" s="282" t="e">
        <f>++Tabla4[[#This Row],[U. Bruta Uni]]*Tabla4[[#This Row],[Cantidad]]</f>
        <v>#N/A</v>
      </c>
      <c r="T768" s="369" t="str">
        <f>VLOOKUP(Tabla4[[#This Row],[Producto]],Tabla6[#All],14,FALSE)</f>
        <v>Termico Solar</v>
      </c>
      <c r="U768" s="284" t="e">
        <f>(IF(Tabla4[[#This Row],[Familia]]="termico solar",Tabla4[[#This Row],[Utilidad Total]]*6%,Tabla4[[#This Row],[Utilidad Total]]*11.5%))/Tabla4[[#This Row],[Total]]</f>
        <v>#N/A</v>
      </c>
      <c r="V768" s="282" t="e">
        <f>+Tabla4[[#This Row],[Comisión Calculada]]*Tabla4[[#This Row],[Total]]</f>
        <v>#N/A</v>
      </c>
    </row>
    <row r="769" spans="1:22" ht="15.75" hidden="1" customHeight="1" x14ac:dyDescent="0.25">
      <c r="A769" s="100">
        <v>45716</v>
      </c>
      <c r="B769" t="str">
        <f t="shared" si="29"/>
        <v>February</v>
      </c>
      <c r="C769" s="46" t="s">
        <v>280</v>
      </c>
      <c r="F769" s="366" t="s">
        <v>1020</v>
      </c>
      <c r="G769" s="46" t="s">
        <v>17</v>
      </c>
      <c r="H769" s="46">
        <v>7</v>
      </c>
      <c r="I769" s="51">
        <v>4622.28</v>
      </c>
      <c r="J769" s="281">
        <f>++Tabla4[[#This Row],[Precio Bruto]]*1.16</f>
        <v>5361.8447999999989</v>
      </c>
      <c r="K769" s="281">
        <f>+Tabla4[[#This Row],[Precio Unitario Neto]]*Tabla4[[#Headers],[20.85%]]</f>
        <v>1117.9446407999997</v>
      </c>
      <c r="L769" s="282">
        <f>++Tabla4[[#This Row],[Precio Unitario Neto]]-Tabla4[[#This Row],[20.85%]]</f>
        <v>4243.9001591999995</v>
      </c>
      <c r="M769" s="282" t="e">
        <f>(INDEX(Tabla6[#All],MATCH(Tabla4[[#This Row],[Producto]],Tabla6[[#All],[PRODUCTO]],0),MATCH(Tabla4[[#This Row],[Mes]],Tabla6[#Headers],0)))*(1+Catalogos!$L$2)</f>
        <v>#N/A</v>
      </c>
      <c r="N769" s="283" t="e">
        <f>+(Tabla4[[#This Row],[Precio Descontado]]-Tabla4[[#This Row],[Precio Base]])*Tabla4[[#This Row],[Cantidad]]</f>
        <v>#N/A</v>
      </c>
      <c r="O769" s="284" t="e">
        <f>++Tabla4[[#This Row],[Utilidad Total]]/Tabla4[[#This Row],[Total]]</f>
        <v>#N/A</v>
      </c>
      <c r="P769" s="282">
        <f>++Tabla4[[#This Row],[Precio Descontado]]*Tabla4[[#This Row],[Cantidad]]</f>
        <v>29707.301114399997</v>
      </c>
      <c r="Q769" s="282" t="e">
        <f>(INDEX(Tabla6[#All],MATCH(Tabla4[[#This Row],[Producto]],Tabla6[[#All],[PRODUCTO]],0),MATCH(Tabla4[[#This Row],[Mes]],Tabla6[#Headers],0)))</f>
        <v>#N/A</v>
      </c>
      <c r="R769" s="282" t="e">
        <f>++Tabla4[[#This Row],[Precio Unitario Neto]]-Tabla4[[#This Row],[20.85%]]-Tabla4[[#This Row],[Costo]]</f>
        <v>#N/A</v>
      </c>
      <c r="S769" s="282" t="e">
        <f>++Tabla4[[#This Row],[U. Bruta Uni]]*Tabla4[[#This Row],[Cantidad]]</f>
        <v>#N/A</v>
      </c>
      <c r="T769" s="369" t="str">
        <f>VLOOKUP(Tabla4[[#This Row],[Producto]],Tabla6[#All],14,FALSE)</f>
        <v>Termico Solar</v>
      </c>
      <c r="U769" s="284" t="e">
        <f>(IF(Tabla4[[#This Row],[Familia]]="termico solar",Tabla4[[#This Row],[Utilidad Total]]*6%,Tabla4[[#This Row],[Utilidad Total]]*11.5%))/Tabla4[[#This Row],[Total]]</f>
        <v>#N/A</v>
      </c>
      <c r="V769" s="282" t="e">
        <f>+Tabla4[[#This Row],[Comisión Calculada]]*Tabla4[[#This Row],[Total]]</f>
        <v>#N/A</v>
      </c>
    </row>
    <row r="770" spans="1:22" ht="15.75" hidden="1" customHeight="1" x14ac:dyDescent="0.25">
      <c r="A770" s="100">
        <v>45716</v>
      </c>
      <c r="B770" t="str">
        <f t="shared" si="29"/>
        <v>February</v>
      </c>
      <c r="C770" s="46" t="s">
        <v>280</v>
      </c>
      <c r="F770" s="366" t="s">
        <v>1020</v>
      </c>
      <c r="G770" s="46" t="s">
        <v>18</v>
      </c>
      <c r="H770" s="46">
        <v>6</v>
      </c>
      <c r="I770" s="51">
        <v>5367.6500000000005</v>
      </c>
      <c r="J770" s="281">
        <f>++Tabla4[[#This Row],[Precio Bruto]]*1.16</f>
        <v>6226.4740000000002</v>
      </c>
      <c r="K770" s="281">
        <f>+Tabla4[[#This Row],[Precio Unitario Neto]]*Tabla4[[#Headers],[20.85%]]</f>
        <v>1298.2198289999999</v>
      </c>
      <c r="L770" s="282">
        <f>++Tabla4[[#This Row],[Precio Unitario Neto]]-Tabla4[[#This Row],[20.85%]]</f>
        <v>4928.2541710000005</v>
      </c>
      <c r="M770" s="282" t="e">
        <f>(INDEX(Tabla6[#All],MATCH(Tabla4[[#This Row],[Producto]],Tabla6[[#All],[PRODUCTO]],0),MATCH(Tabla4[[#This Row],[Mes]],Tabla6[#Headers],0)))*(1+Catalogos!$L$2)</f>
        <v>#N/A</v>
      </c>
      <c r="N770" s="283" t="e">
        <f>+(Tabla4[[#This Row],[Precio Descontado]]-Tabla4[[#This Row],[Precio Base]])*Tabla4[[#This Row],[Cantidad]]</f>
        <v>#N/A</v>
      </c>
      <c r="O770" s="284" t="e">
        <f>++Tabla4[[#This Row],[Utilidad Total]]/Tabla4[[#This Row],[Total]]</f>
        <v>#N/A</v>
      </c>
      <c r="P770" s="282">
        <f>++Tabla4[[#This Row],[Precio Descontado]]*Tabla4[[#This Row],[Cantidad]]</f>
        <v>29569.525026000003</v>
      </c>
      <c r="Q770" s="282" t="e">
        <f>(INDEX(Tabla6[#All],MATCH(Tabla4[[#This Row],[Producto]],Tabla6[[#All],[PRODUCTO]],0),MATCH(Tabla4[[#This Row],[Mes]],Tabla6[#Headers],0)))</f>
        <v>#N/A</v>
      </c>
      <c r="R770" s="282" t="e">
        <f>++Tabla4[[#This Row],[Precio Unitario Neto]]-Tabla4[[#This Row],[20.85%]]-Tabla4[[#This Row],[Costo]]</f>
        <v>#N/A</v>
      </c>
      <c r="S770" s="282" t="e">
        <f>++Tabla4[[#This Row],[U. Bruta Uni]]*Tabla4[[#This Row],[Cantidad]]</f>
        <v>#N/A</v>
      </c>
      <c r="T770" s="369" t="str">
        <f>VLOOKUP(Tabla4[[#This Row],[Producto]],Tabla6[#All],14,FALSE)</f>
        <v>Termico Solar</v>
      </c>
      <c r="U770" s="284" t="e">
        <f>(IF(Tabla4[[#This Row],[Familia]]="termico solar",Tabla4[[#This Row],[Utilidad Total]]*6%,Tabla4[[#This Row],[Utilidad Total]]*11.5%))/Tabla4[[#This Row],[Total]]</f>
        <v>#N/A</v>
      </c>
      <c r="V770" s="282" t="e">
        <f>+Tabla4[[#This Row],[Comisión Calculada]]*Tabla4[[#This Row],[Total]]</f>
        <v>#N/A</v>
      </c>
    </row>
    <row r="771" spans="1:22" hidden="1" x14ac:dyDescent="0.25">
      <c r="A771" s="100">
        <v>45716</v>
      </c>
      <c r="B771" t="str">
        <f t="shared" si="29"/>
        <v>February</v>
      </c>
      <c r="C771" s="46" t="s">
        <v>280</v>
      </c>
      <c r="F771" s="366" t="s">
        <v>1020</v>
      </c>
      <c r="G771" s="46" t="s">
        <v>566</v>
      </c>
      <c r="H771" s="46">
        <v>3</v>
      </c>
      <c r="I771" s="51">
        <v>2109.4500000000003</v>
      </c>
      <c r="J771" s="281">
        <f>++Tabla4[[#This Row],[Precio Bruto]]*1.16</f>
        <v>2446.962</v>
      </c>
      <c r="K771" s="281">
        <f>+Tabla4[[#This Row],[Precio Unitario Neto]]*Tabla4[[#Headers],[20.85%]]</f>
        <v>510.191577</v>
      </c>
      <c r="L771" s="282">
        <f>++Tabla4[[#This Row],[Precio Unitario Neto]]-Tabla4[[#This Row],[20.85%]]</f>
        <v>1936.7704229999999</v>
      </c>
      <c r="M771" s="282" t="e">
        <f>(INDEX(Tabla6[#All],MATCH(Tabla4[[#This Row],[Producto]],Tabla6[[#All],[PRODUCTO]],0),MATCH(Tabla4[[#This Row],[Mes]],Tabla6[#Headers],0)))*(1+Catalogos!$L$2)</f>
        <v>#N/A</v>
      </c>
      <c r="N771" s="283" t="e">
        <f>+(Tabla4[[#This Row],[Precio Descontado]]-Tabla4[[#This Row],[Precio Base]])*Tabla4[[#This Row],[Cantidad]]</f>
        <v>#N/A</v>
      </c>
      <c r="O771" s="284" t="e">
        <f>++Tabla4[[#This Row],[Utilidad Total]]/Tabla4[[#This Row],[Total]]</f>
        <v>#N/A</v>
      </c>
      <c r="P771" s="282">
        <f>++Tabla4[[#This Row],[Precio Descontado]]*Tabla4[[#This Row],[Cantidad]]</f>
        <v>5810.3112689999998</v>
      </c>
      <c r="Q771" s="282" t="e">
        <f>(INDEX(Tabla6[#All],MATCH(Tabla4[[#This Row],[Producto]],Tabla6[[#All],[PRODUCTO]],0),MATCH(Tabla4[[#This Row],[Mes]],Tabla6[#Headers],0)))</f>
        <v>#N/A</v>
      </c>
      <c r="R771" s="282" t="e">
        <f>++Tabla4[[#This Row],[Precio Unitario Neto]]-Tabla4[[#This Row],[20.85%]]-Tabla4[[#This Row],[Costo]]</f>
        <v>#N/A</v>
      </c>
      <c r="S771" s="282" t="e">
        <f>++Tabla4[[#This Row],[U. Bruta Uni]]*Tabla4[[#This Row],[Cantidad]]</f>
        <v>#N/A</v>
      </c>
      <c r="T771" s="369" t="str">
        <f>VLOOKUP(Tabla4[[#This Row],[Producto]],Tabla6[#All],14,FALSE)</f>
        <v>Termico Solar</v>
      </c>
      <c r="U771" s="284" t="e">
        <f>(IF(Tabla4[[#This Row],[Familia]]="termico solar",Tabla4[[#This Row],[Utilidad Total]]*6%,Tabla4[[#This Row],[Utilidad Total]]*11.5%))/Tabla4[[#This Row],[Total]]</f>
        <v>#N/A</v>
      </c>
      <c r="V771" s="282" t="e">
        <f>+Tabla4[[#This Row],[Comisión Calculada]]*Tabla4[[#This Row],[Total]]</f>
        <v>#N/A</v>
      </c>
    </row>
    <row r="772" spans="1:22" hidden="1" x14ac:dyDescent="0.25">
      <c r="A772" s="100">
        <v>45716</v>
      </c>
      <c r="B772" t="str">
        <f t="shared" si="29"/>
        <v>February</v>
      </c>
      <c r="C772" s="46" t="s">
        <v>280</v>
      </c>
      <c r="F772" s="366" t="s">
        <v>1020</v>
      </c>
      <c r="G772" s="46" t="s">
        <v>16</v>
      </c>
      <c r="H772" s="46">
        <v>2</v>
      </c>
      <c r="I772" s="51">
        <v>4103.8500000000004</v>
      </c>
      <c r="J772" s="281">
        <f>++Tabla4[[#This Row],[Precio Bruto]]*1.16</f>
        <v>4760.4660000000003</v>
      </c>
      <c r="K772" s="281">
        <f>+Tabla4[[#This Row],[Precio Unitario Neto]]*Tabla4[[#Headers],[20.85%]]</f>
        <v>992.55716100000006</v>
      </c>
      <c r="L772" s="282">
        <f>++Tabla4[[#This Row],[Precio Unitario Neto]]-Tabla4[[#This Row],[20.85%]]</f>
        <v>3767.9088390000002</v>
      </c>
      <c r="M772" s="282" t="e">
        <f>(INDEX(Tabla6[#All],MATCH(Tabla4[[#This Row],[Producto]],Tabla6[[#All],[PRODUCTO]],0),MATCH(Tabla4[[#This Row],[Mes]],Tabla6[#Headers],0)))*(1+Catalogos!$L$2)</f>
        <v>#N/A</v>
      </c>
      <c r="N772" s="283" t="e">
        <f>+(Tabla4[[#This Row],[Precio Descontado]]-Tabla4[[#This Row],[Precio Base]])*Tabla4[[#This Row],[Cantidad]]</f>
        <v>#N/A</v>
      </c>
      <c r="O772" s="284" t="e">
        <f>++Tabla4[[#This Row],[Utilidad Total]]/Tabla4[[#This Row],[Total]]</f>
        <v>#N/A</v>
      </c>
      <c r="P772" s="282">
        <f>++Tabla4[[#This Row],[Precio Descontado]]*Tabla4[[#This Row],[Cantidad]]</f>
        <v>7535.8176780000003</v>
      </c>
      <c r="Q772" s="282" t="e">
        <f>(INDEX(Tabla6[#All],MATCH(Tabla4[[#This Row],[Producto]],Tabla6[[#All],[PRODUCTO]],0),MATCH(Tabla4[[#This Row],[Mes]],Tabla6[#Headers],0)))</f>
        <v>#N/A</v>
      </c>
      <c r="R772" s="282" t="e">
        <f>++Tabla4[[#This Row],[Precio Unitario Neto]]-Tabla4[[#This Row],[20.85%]]-Tabla4[[#This Row],[Costo]]</f>
        <v>#N/A</v>
      </c>
      <c r="S772" s="282" t="e">
        <f>++Tabla4[[#This Row],[U. Bruta Uni]]*Tabla4[[#This Row],[Cantidad]]</f>
        <v>#N/A</v>
      </c>
      <c r="T772" s="369" t="str">
        <f>VLOOKUP(Tabla4[[#This Row],[Producto]],Tabla6[#All],14,FALSE)</f>
        <v>Termico Solar</v>
      </c>
      <c r="U772" s="284" t="e">
        <f>(IF(Tabla4[[#This Row],[Familia]]="termico solar",Tabla4[[#This Row],[Utilidad Total]]*6%,Tabla4[[#This Row],[Utilidad Total]]*11.5%))/Tabla4[[#This Row],[Total]]</f>
        <v>#N/A</v>
      </c>
      <c r="V772" s="282" t="e">
        <f>+Tabla4[[#This Row],[Comisión Calculada]]*Tabla4[[#This Row],[Total]]</f>
        <v>#N/A</v>
      </c>
    </row>
    <row r="773" spans="1:22" hidden="1" x14ac:dyDescent="0.25">
      <c r="A773" s="100">
        <v>45716</v>
      </c>
      <c r="B773" t="str">
        <f t="shared" si="29"/>
        <v>February</v>
      </c>
      <c r="C773" s="46" t="s">
        <v>280</v>
      </c>
      <c r="F773" s="366" t="s">
        <v>1020</v>
      </c>
      <c r="G773" s="46" t="s">
        <v>599</v>
      </c>
      <c r="H773" s="46">
        <v>1</v>
      </c>
      <c r="I773" s="51">
        <v>189.75</v>
      </c>
      <c r="J773" s="281">
        <f>++Tabla4[[#This Row],[Precio Bruto]]*1.16</f>
        <v>220.10999999999999</v>
      </c>
      <c r="K773" s="281">
        <f>+Tabla4[[#This Row],[Precio Unitario Neto]]*Tabla4[[#Headers],[20.85%]]</f>
        <v>45.892934999999994</v>
      </c>
      <c r="L773" s="282">
        <f>++Tabla4[[#This Row],[Precio Unitario Neto]]-Tabla4[[#This Row],[20.85%]]</f>
        <v>174.21706499999999</v>
      </c>
      <c r="M773" s="282" t="e">
        <f>(INDEX(Tabla6[#All],MATCH(Tabla4[[#This Row],[Producto]],Tabla6[[#All],[PRODUCTO]],0),MATCH(Tabla4[[#This Row],[Mes]],Tabla6[#Headers],0)))*(1+Catalogos!$L$2)</f>
        <v>#N/A</v>
      </c>
      <c r="N773" s="283" t="e">
        <f>+(Tabla4[[#This Row],[Precio Descontado]]-Tabla4[[#This Row],[Precio Base]])*Tabla4[[#This Row],[Cantidad]]</f>
        <v>#N/A</v>
      </c>
      <c r="O773" s="284" t="e">
        <f>++Tabla4[[#This Row],[Utilidad Total]]/Tabla4[[#This Row],[Total]]</f>
        <v>#N/A</v>
      </c>
      <c r="P773" s="282">
        <f>++Tabla4[[#This Row],[Precio Descontado]]*Tabla4[[#This Row],[Cantidad]]</f>
        <v>174.21706499999999</v>
      </c>
      <c r="Q773" s="282" t="e">
        <f>(INDEX(Tabla6[#All],MATCH(Tabla4[[#This Row],[Producto]],Tabla6[[#All],[PRODUCTO]],0),MATCH(Tabla4[[#This Row],[Mes]],Tabla6[#Headers],0)))</f>
        <v>#N/A</v>
      </c>
      <c r="R773" s="282" t="e">
        <f>++Tabla4[[#This Row],[Precio Unitario Neto]]-Tabla4[[#This Row],[20.85%]]-Tabla4[[#This Row],[Costo]]</f>
        <v>#N/A</v>
      </c>
      <c r="S773" s="282" t="e">
        <f>++Tabla4[[#This Row],[U. Bruta Uni]]*Tabla4[[#This Row],[Cantidad]]</f>
        <v>#N/A</v>
      </c>
      <c r="T773" s="369" t="str">
        <f>VLOOKUP(Tabla4[[#This Row],[Producto]],Tabla6[#All],14,FALSE)</f>
        <v>Termico Solar</v>
      </c>
      <c r="U773" s="284" t="e">
        <f>(IF(Tabla4[[#This Row],[Familia]]="termico solar",Tabla4[[#This Row],[Utilidad Total]]*6%,Tabla4[[#This Row],[Utilidad Total]]*11.5%))/Tabla4[[#This Row],[Total]]</f>
        <v>#N/A</v>
      </c>
      <c r="V773" s="282" t="e">
        <f>+Tabla4[[#This Row],[Comisión Calculada]]*Tabla4[[#This Row],[Total]]</f>
        <v>#N/A</v>
      </c>
    </row>
    <row r="774" spans="1:22" hidden="1" x14ac:dyDescent="0.25">
      <c r="A774" s="100">
        <v>45716</v>
      </c>
      <c r="B774" t="str">
        <f t="shared" ref="B774:B805" si="30">TEXT(A774, "mmmm")</f>
        <v>February</v>
      </c>
      <c r="C774" s="46" t="s">
        <v>280</v>
      </c>
      <c r="F774" s="366" t="s">
        <v>1021</v>
      </c>
      <c r="G774" s="46" t="s">
        <v>17</v>
      </c>
      <c r="H774" s="46">
        <v>1</v>
      </c>
      <c r="I774" s="51">
        <v>4622.28</v>
      </c>
      <c r="J774" s="281">
        <f>++Tabla4[[#This Row],[Precio Bruto]]*1.16</f>
        <v>5361.8447999999989</v>
      </c>
      <c r="K774" s="281">
        <f>+Tabla4[[#This Row],[Precio Unitario Neto]]*Tabla4[[#Headers],[20.85%]]</f>
        <v>1117.9446407999997</v>
      </c>
      <c r="L774" s="282">
        <f>++Tabla4[[#This Row],[Precio Unitario Neto]]-Tabla4[[#This Row],[20.85%]]</f>
        <v>4243.9001591999995</v>
      </c>
      <c r="M774" s="282" t="e">
        <f>(INDEX(Tabla6[#All],MATCH(Tabla4[[#This Row],[Producto]],Tabla6[[#All],[PRODUCTO]],0),MATCH(Tabla4[[#This Row],[Mes]],Tabla6[#Headers],0)))*(1+Catalogos!$L$2)</f>
        <v>#N/A</v>
      </c>
      <c r="N774" s="283" t="e">
        <f>+(Tabla4[[#This Row],[Precio Descontado]]-Tabla4[[#This Row],[Precio Base]])*Tabla4[[#This Row],[Cantidad]]</f>
        <v>#N/A</v>
      </c>
      <c r="O774" s="284" t="e">
        <f>++Tabla4[[#This Row],[Utilidad Total]]/Tabla4[[#This Row],[Total]]</f>
        <v>#N/A</v>
      </c>
      <c r="P774" s="282">
        <f>++Tabla4[[#This Row],[Precio Descontado]]*Tabla4[[#This Row],[Cantidad]]</f>
        <v>4243.9001591999995</v>
      </c>
      <c r="Q774" s="282" t="e">
        <f>(INDEX(Tabla6[#All],MATCH(Tabla4[[#This Row],[Producto]],Tabla6[[#All],[PRODUCTO]],0),MATCH(Tabla4[[#This Row],[Mes]],Tabla6[#Headers],0)))</f>
        <v>#N/A</v>
      </c>
      <c r="R774" s="282" t="e">
        <f>++Tabla4[[#This Row],[Precio Unitario Neto]]-Tabla4[[#This Row],[20.85%]]-Tabla4[[#This Row],[Costo]]</f>
        <v>#N/A</v>
      </c>
      <c r="S774" s="282" t="e">
        <f>++Tabla4[[#This Row],[U. Bruta Uni]]*Tabla4[[#This Row],[Cantidad]]</f>
        <v>#N/A</v>
      </c>
      <c r="T774" s="369" t="str">
        <f>VLOOKUP(Tabla4[[#This Row],[Producto]],Tabla6[#All],14,FALSE)</f>
        <v>Termico Solar</v>
      </c>
      <c r="U774" s="284" t="e">
        <f>(IF(Tabla4[[#This Row],[Familia]]="termico solar",Tabla4[[#This Row],[Utilidad Total]]*6%,Tabla4[[#This Row],[Utilidad Total]]*11.5%))/Tabla4[[#This Row],[Total]]</f>
        <v>#N/A</v>
      </c>
      <c r="V774" s="282" t="e">
        <f>+Tabla4[[#This Row],[Comisión Calculada]]*Tabla4[[#This Row],[Total]]</f>
        <v>#N/A</v>
      </c>
    </row>
    <row r="775" spans="1:22" hidden="1" x14ac:dyDescent="0.25">
      <c r="A775" s="100">
        <v>45716</v>
      </c>
      <c r="B775" t="str">
        <f t="shared" si="30"/>
        <v>February</v>
      </c>
      <c r="C775" s="46" t="s">
        <v>280</v>
      </c>
      <c r="F775" s="366" t="s">
        <v>1022</v>
      </c>
      <c r="G775" s="46" t="s">
        <v>83</v>
      </c>
      <c r="H775" s="46">
        <v>2</v>
      </c>
      <c r="I775" s="51">
        <v>8858.76</v>
      </c>
      <c r="J775" s="281">
        <f>++Tabla4[[#This Row],[Precio Bruto]]*1.16</f>
        <v>10276.161599999999</v>
      </c>
      <c r="K775" s="281">
        <f>+Tabla4[[#This Row],[Precio Unitario Neto]]*Tabla4[[#Headers],[20.85%]]</f>
        <v>2142.5796935999997</v>
      </c>
      <c r="L775" s="282">
        <f>++Tabla4[[#This Row],[Precio Unitario Neto]]-Tabla4[[#This Row],[20.85%]]</f>
        <v>8133.5819063999998</v>
      </c>
      <c r="M775" s="282" t="e">
        <f>(INDEX(Tabla6[#All],MATCH(Tabla4[[#This Row],[Producto]],Tabla6[[#All],[PRODUCTO]],0),MATCH(Tabla4[[#This Row],[Mes]],Tabla6[#Headers],0)))*(1+Catalogos!$L$2)</f>
        <v>#N/A</v>
      </c>
      <c r="N775" s="283" t="e">
        <f>+(Tabla4[[#This Row],[Precio Descontado]]-Tabla4[[#This Row],[Precio Base]])*Tabla4[[#This Row],[Cantidad]]</f>
        <v>#N/A</v>
      </c>
      <c r="O775" s="284" t="e">
        <f>++Tabla4[[#This Row],[Utilidad Total]]/Tabla4[[#This Row],[Total]]</f>
        <v>#N/A</v>
      </c>
      <c r="P775" s="282">
        <f>++Tabla4[[#This Row],[Precio Descontado]]*Tabla4[[#This Row],[Cantidad]]</f>
        <v>16267.1638128</v>
      </c>
      <c r="Q775" s="282" t="e">
        <f>(INDEX(Tabla6[#All],MATCH(Tabla4[[#This Row],[Producto]],Tabla6[[#All],[PRODUCTO]],0),MATCH(Tabla4[[#This Row],[Mes]],Tabla6[#Headers],0)))</f>
        <v>#N/A</v>
      </c>
      <c r="R775" s="282" t="e">
        <f>++Tabla4[[#This Row],[Precio Unitario Neto]]-Tabla4[[#This Row],[20.85%]]-Tabla4[[#This Row],[Costo]]</f>
        <v>#N/A</v>
      </c>
      <c r="S775" s="282" t="e">
        <f>++Tabla4[[#This Row],[U. Bruta Uni]]*Tabla4[[#This Row],[Cantidad]]</f>
        <v>#N/A</v>
      </c>
      <c r="T775" s="369" t="str">
        <f>VLOOKUP(Tabla4[[#This Row],[Producto]],Tabla6[#All],14,FALSE)</f>
        <v>Termico Solar</v>
      </c>
      <c r="U775" s="284" t="e">
        <f>(IF(Tabla4[[#This Row],[Familia]]="termico solar",Tabla4[[#This Row],[Utilidad Total]]*6%,Tabla4[[#This Row],[Utilidad Total]]*11.5%))/Tabla4[[#This Row],[Total]]</f>
        <v>#N/A</v>
      </c>
      <c r="V775" s="282" t="e">
        <f>+Tabla4[[#This Row],[Comisión Calculada]]*Tabla4[[#This Row],[Total]]</f>
        <v>#N/A</v>
      </c>
    </row>
    <row r="776" spans="1:22" hidden="1" x14ac:dyDescent="0.25">
      <c r="A776" s="100">
        <v>45716</v>
      </c>
      <c r="B776" t="str">
        <f t="shared" si="30"/>
        <v>February</v>
      </c>
      <c r="C776" s="46" t="s">
        <v>280</v>
      </c>
      <c r="F776" s="366" t="s">
        <v>1022</v>
      </c>
      <c r="G776" s="46" t="s">
        <v>17</v>
      </c>
      <c r="H776" s="46">
        <v>10</v>
      </c>
      <c r="I776" s="51">
        <v>4622.2800000000007</v>
      </c>
      <c r="J776" s="281">
        <f>++Tabla4[[#This Row],[Precio Bruto]]*1.16</f>
        <v>5361.8448000000008</v>
      </c>
      <c r="K776" s="281">
        <f>+Tabla4[[#This Row],[Precio Unitario Neto]]*Tabla4[[#Headers],[20.85%]]</f>
        <v>1117.9446408000001</v>
      </c>
      <c r="L776" s="282">
        <f>++Tabla4[[#This Row],[Precio Unitario Neto]]-Tabla4[[#This Row],[20.85%]]</f>
        <v>4243.9001592000004</v>
      </c>
      <c r="M776" s="282" t="e">
        <f>(INDEX(Tabla6[#All],MATCH(Tabla4[[#This Row],[Producto]],Tabla6[[#All],[PRODUCTO]],0),MATCH(Tabla4[[#This Row],[Mes]],Tabla6[#Headers],0)))*(1+Catalogos!$L$2)</f>
        <v>#N/A</v>
      </c>
      <c r="N776" s="283" t="e">
        <f>+(Tabla4[[#This Row],[Precio Descontado]]-Tabla4[[#This Row],[Precio Base]])*Tabla4[[#This Row],[Cantidad]]</f>
        <v>#N/A</v>
      </c>
      <c r="O776" s="284" t="e">
        <f>++Tabla4[[#This Row],[Utilidad Total]]/Tabla4[[#This Row],[Total]]</f>
        <v>#N/A</v>
      </c>
      <c r="P776" s="282">
        <f>++Tabla4[[#This Row],[Precio Descontado]]*Tabla4[[#This Row],[Cantidad]]</f>
        <v>42439.001592000001</v>
      </c>
      <c r="Q776" s="282" t="e">
        <f>(INDEX(Tabla6[#All],MATCH(Tabla4[[#This Row],[Producto]],Tabla6[[#All],[PRODUCTO]],0),MATCH(Tabla4[[#This Row],[Mes]],Tabla6[#Headers],0)))</f>
        <v>#N/A</v>
      </c>
      <c r="R776" s="282" t="e">
        <f>++Tabla4[[#This Row],[Precio Unitario Neto]]-Tabla4[[#This Row],[20.85%]]-Tabla4[[#This Row],[Costo]]</f>
        <v>#N/A</v>
      </c>
      <c r="S776" s="282" t="e">
        <f>++Tabla4[[#This Row],[U. Bruta Uni]]*Tabla4[[#This Row],[Cantidad]]</f>
        <v>#N/A</v>
      </c>
      <c r="T776" s="369" t="str">
        <f>VLOOKUP(Tabla4[[#This Row],[Producto]],Tabla6[#All],14,FALSE)</f>
        <v>Termico Solar</v>
      </c>
      <c r="U776" s="284" t="e">
        <f>(IF(Tabla4[[#This Row],[Familia]]="termico solar",Tabla4[[#This Row],[Utilidad Total]]*6%,Tabla4[[#This Row],[Utilidad Total]]*11.5%))/Tabla4[[#This Row],[Total]]</f>
        <v>#N/A</v>
      </c>
      <c r="V776" s="282" t="e">
        <f>+Tabla4[[#This Row],[Comisión Calculada]]*Tabla4[[#This Row],[Total]]</f>
        <v>#N/A</v>
      </c>
    </row>
    <row r="777" spans="1:22" hidden="1" x14ac:dyDescent="0.25">
      <c r="A777" s="100">
        <v>45716</v>
      </c>
      <c r="B777" t="str">
        <f t="shared" si="30"/>
        <v>February</v>
      </c>
      <c r="C777" s="46" t="s">
        <v>280</v>
      </c>
      <c r="F777" s="366" t="s">
        <v>1022</v>
      </c>
      <c r="G777" s="46" t="s">
        <v>18</v>
      </c>
      <c r="H777" s="46">
        <v>1</v>
      </c>
      <c r="I777" s="51">
        <v>5367.65</v>
      </c>
      <c r="J777" s="281">
        <f>++Tabla4[[#This Row],[Precio Bruto]]*1.16</f>
        <v>6226.4739999999993</v>
      </c>
      <c r="K777" s="281">
        <f>+Tabla4[[#This Row],[Precio Unitario Neto]]*Tabla4[[#Headers],[20.85%]]</f>
        <v>1298.2198289999999</v>
      </c>
      <c r="L777" s="282">
        <f>++Tabla4[[#This Row],[Precio Unitario Neto]]-Tabla4[[#This Row],[20.85%]]</f>
        <v>4928.2541709999996</v>
      </c>
      <c r="M777" s="282" t="e">
        <f>(INDEX(Tabla6[#All],MATCH(Tabla4[[#This Row],[Producto]],Tabla6[[#All],[PRODUCTO]],0),MATCH(Tabla4[[#This Row],[Mes]],Tabla6[#Headers],0)))*(1+Catalogos!$L$2)</f>
        <v>#N/A</v>
      </c>
      <c r="N777" s="283" t="e">
        <f>+(Tabla4[[#This Row],[Precio Descontado]]-Tabla4[[#This Row],[Precio Base]])*Tabla4[[#This Row],[Cantidad]]</f>
        <v>#N/A</v>
      </c>
      <c r="O777" s="284" t="e">
        <f>++Tabla4[[#This Row],[Utilidad Total]]/Tabla4[[#This Row],[Total]]</f>
        <v>#N/A</v>
      </c>
      <c r="P777" s="282">
        <f>++Tabla4[[#This Row],[Precio Descontado]]*Tabla4[[#This Row],[Cantidad]]</f>
        <v>4928.2541709999996</v>
      </c>
      <c r="Q777" s="282" t="e">
        <f>(INDEX(Tabla6[#All],MATCH(Tabla4[[#This Row],[Producto]],Tabla6[[#All],[PRODUCTO]],0),MATCH(Tabla4[[#This Row],[Mes]],Tabla6[#Headers],0)))</f>
        <v>#N/A</v>
      </c>
      <c r="R777" s="282" t="e">
        <f>++Tabla4[[#This Row],[Precio Unitario Neto]]-Tabla4[[#This Row],[20.85%]]-Tabla4[[#This Row],[Costo]]</f>
        <v>#N/A</v>
      </c>
      <c r="S777" s="282" t="e">
        <f>++Tabla4[[#This Row],[U. Bruta Uni]]*Tabla4[[#This Row],[Cantidad]]</f>
        <v>#N/A</v>
      </c>
      <c r="T777" s="369" t="str">
        <f>VLOOKUP(Tabla4[[#This Row],[Producto]],Tabla6[#All],14,FALSE)</f>
        <v>Termico Solar</v>
      </c>
      <c r="U777" s="284" t="e">
        <f>(IF(Tabla4[[#This Row],[Familia]]="termico solar",Tabla4[[#This Row],[Utilidad Total]]*6%,Tabla4[[#This Row],[Utilidad Total]]*11.5%))/Tabla4[[#This Row],[Total]]</f>
        <v>#N/A</v>
      </c>
      <c r="V777" s="282" t="e">
        <f>+Tabla4[[#This Row],[Comisión Calculada]]*Tabla4[[#This Row],[Total]]</f>
        <v>#N/A</v>
      </c>
    </row>
    <row r="778" spans="1:22" hidden="1" x14ac:dyDescent="0.25">
      <c r="A778" s="100">
        <v>45716</v>
      </c>
      <c r="B778" t="str">
        <f t="shared" si="30"/>
        <v>February</v>
      </c>
      <c r="C778" s="46" t="s">
        <v>280</v>
      </c>
      <c r="F778" s="366" t="s">
        <v>1023</v>
      </c>
      <c r="G778" s="46" t="s">
        <v>17</v>
      </c>
      <c r="H778" s="46">
        <v>4</v>
      </c>
      <c r="I778" s="51">
        <v>4622.28</v>
      </c>
      <c r="J778" s="281">
        <f>++Tabla4[[#This Row],[Precio Bruto]]*1.16</f>
        <v>5361.8447999999989</v>
      </c>
      <c r="K778" s="281">
        <f>+Tabla4[[#This Row],[Precio Unitario Neto]]*Tabla4[[#Headers],[20.85%]]</f>
        <v>1117.9446407999997</v>
      </c>
      <c r="L778" s="282">
        <f>++Tabla4[[#This Row],[Precio Unitario Neto]]-Tabla4[[#This Row],[20.85%]]</f>
        <v>4243.9001591999995</v>
      </c>
      <c r="M778" s="282" t="e">
        <f>(INDEX(Tabla6[#All],MATCH(Tabla4[[#This Row],[Producto]],Tabla6[[#All],[PRODUCTO]],0),MATCH(Tabla4[[#This Row],[Mes]],Tabla6[#Headers],0)))*(1+Catalogos!$L$2)</f>
        <v>#N/A</v>
      </c>
      <c r="N778" s="283" t="e">
        <f>+(Tabla4[[#This Row],[Precio Descontado]]-Tabla4[[#This Row],[Precio Base]])*Tabla4[[#This Row],[Cantidad]]</f>
        <v>#N/A</v>
      </c>
      <c r="O778" s="284" t="e">
        <f>++Tabla4[[#This Row],[Utilidad Total]]/Tabla4[[#This Row],[Total]]</f>
        <v>#N/A</v>
      </c>
      <c r="P778" s="282">
        <f>++Tabla4[[#This Row],[Precio Descontado]]*Tabla4[[#This Row],[Cantidad]]</f>
        <v>16975.600636799998</v>
      </c>
      <c r="Q778" s="282" t="e">
        <f>(INDEX(Tabla6[#All],MATCH(Tabla4[[#This Row],[Producto]],Tabla6[[#All],[PRODUCTO]],0),MATCH(Tabla4[[#This Row],[Mes]],Tabla6[#Headers],0)))</f>
        <v>#N/A</v>
      </c>
      <c r="R778" s="282" t="e">
        <f>++Tabla4[[#This Row],[Precio Unitario Neto]]-Tabla4[[#This Row],[20.85%]]-Tabla4[[#This Row],[Costo]]</f>
        <v>#N/A</v>
      </c>
      <c r="S778" s="282" t="e">
        <f>++Tabla4[[#This Row],[U. Bruta Uni]]*Tabla4[[#This Row],[Cantidad]]</f>
        <v>#N/A</v>
      </c>
      <c r="T778" s="369" t="str">
        <f>VLOOKUP(Tabla4[[#This Row],[Producto]],Tabla6[#All],14,FALSE)</f>
        <v>Termico Solar</v>
      </c>
      <c r="U778" s="284" t="e">
        <f>(IF(Tabla4[[#This Row],[Familia]]="termico solar",Tabla4[[#This Row],[Utilidad Total]]*6%,Tabla4[[#This Row],[Utilidad Total]]*11.5%))/Tabla4[[#This Row],[Total]]</f>
        <v>#N/A</v>
      </c>
      <c r="V778" s="282" t="e">
        <f>+Tabla4[[#This Row],[Comisión Calculada]]*Tabla4[[#This Row],[Total]]</f>
        <v>#N/A</v>
      </c>
    </row>
    <row r="779" spans="1:22" hidden="1" x14ac:dyDescent="0.25">
      <c r="A779" s="100">
        <v>45716</v>
      </c>
      <c r="B779" t="str">
        <f t="shared" si="30"/>
        <v>February</v>
      </c>
      <c r="C779" s="46" t="s">
        <v>280</v>
      </c>
      <c r="F779" s="366" t="s">
        <v>1023</v>
      </c>
      <c r="G779" s="46" t="s">
        <v>18</v>
      </c>
      <c r="H779" s="46">
        <v>1</v>
      </c>
      <c r="I779" s="51">
        <v>5367.65</v>
      </c>
      <c r="J779" s="281">
        <f>++Tabla4[[#This Row],[Precio Bruto]]*1.16</f>
        <v>6226.4739999999993</v>
      </c>
      <c r="K779" s="281">
        <f>+Tabla4[[#This Row],[Precio Unitario Neto]]*Tabla4[[#Headers],[20.85%]]</f>
        <v>1298.2198289999999</v>
      </c>
      <c r="L779" s="282">
        <f>++Tabla4[[#This Row],[Precio Unitario Neto]]-Tabla4[[#This Row],[20.85%]]</f>
        <v>4928.2541709999996</v>
      </c>
      <c r="M779" s="282" t="e">
        <f>(INDEX(Tabla6[#All],MATCH(Tabla4[[#This Row],[Producto]],Tabla6[[#All],[PRODUCTO]],0),MATCH(Tabla4[[#This Row],[Mes]],Tabla6[#Headers],0)))*(1+Catalogos!$L$2)</f>
        <v>#N/A</v>
      </c>
      <c r="N779" s="283" t="e">
        <f>+(Tabla4[[#This Row],[Precio Descontado]]-Tabla4[[#This Row],[Precio Base]])*Tabla4[[#This Row],[Cantidad]]</f>
        <v>#N/A</v>
      </c>
      <c r="O779" s="284" t="e">
        <f>++Tabla4[[#This Row],[Utilidad Total]]/Tabla4[[#This Row],[Total]]</f>
        <v>#N/A</v>
      </c>
      <c r="P779" s="282">
        <f>++Tabla4[[#This Row],[Precio Descontado]]*Tabla4[[#This Row],[Cantidad]]</f>
        <v>4928.2541709999996</v>
      </c>
      <c r="Q779" s="282" t="e">
        <f>(INDEX(Tabla6[#All],MATCH(Tabla4[[#This Row],[Producto]],Tabla6[[#All],[PRODUCTO]],0),MATCH(Tabla4[[#This Row],[Mes]],Tabla6[#Headers],0)))</f>
        <v>#N/A</v>
      </c>
      <c r="R779" s="282" t="e">
        <f>++Tabla4[[#This Row],[Precio Unitario Neto]]-Tabla4[[#This Row],[20.85%]]-Tabla4[[#This Row],[Costo]]</f>
        <v>#N/A</v>
      </c>
      <c r="S779" s="282" t="e">
        <f>++Tabla4[[#This Row],[U. Bruta Uni]]*Tabla4[[#This Row],[Cantidad]]</f>
        <v>#N/A</v>
      </c>
      <c r="T779" s="369" t="str">
        <f>VLOOKUP(Tabla4[[#This Row],[Producto]],Tabla6[#All],14,FALSE)</f>
        <v>Termico Solar</v>
      </c>
      <c r="U779" s="284" t="e">
        <f>(IF(Tabla4[[#This Row],[Familia]]="termico solar",Tabla4[[#This Row],[Utilidad Total]]*6%,Tabla4[[#This Row],[Utilidad Total]]*11.5%))/Tabla4[[#This Row],[Total]]</f>
        <v>#N/A</v>
      </c>
      <c r="V779" s="282" t="e">
        <f>+Tabla4[[#This Row],[Comisión Calculada]]*Tabla4[[#This Row],[Total]]</f>
        <v>#N/A</v>
      </c>
    </row>
    <row r="780" spans="1:22" hidden="1" x14ac:dyDescent="0.25">
      <c r="A780" s="100">
        <v>45716</v>
      </c>
      <c r="B780" t="str">
        <f t="shared" si="30"/>
        <v>February</v>
      </c>
      <c r="C780" s="46" t="s">
        <v>280</v>
      </c>
      <c r="F780" s="366" t="s">
        <v>1024</v>
      </c>
      <c r="G780" s="46" t="s">
        <v>82</v>
      </c>
      <c r="H780" s="46">
        <v>16</v>
      </c>
      <c r="I780" s="51">
        <v>7690</v>
      </c>
      <c r="J780" s="281">
        <f>++Tabla4[[#This Row],[Precio Bruto]]*1.16</f>
        <v>8920.4</v>
      </c>
      <c r="K780" s="281">
        <f>+Tabla4[[#This Row],[Precio Unitario Neto]]*Tabla4[[#Headers],[20.85%]]</f>
        <v>1859.9033999999999</v>
      </c>
      <c r="L780" s="282">
        <f>++Tabla4[[#This Row],[Precio Unitario Neto]]-Tabla4[[#This Row],[20.85%]]</f>
        <v>7060.4965999999995</v>
      </c>
      <c r="M780" s="282" t="e">
        <f>(INDEX(Tabla6[#All],MATCH(Tabla4[[#This Row],[Producto]],Tabla6[[#All],[PRODUCTO]],0),MATCH(Tabla4[[#This Row],[Mes]],Tabla6[#Headers],0)))*(1+Catalogos!$L$2)</f>
        <v>#N/A</v>
      </c>
      <c r="N780" s="283" t="e">
        <f>+(Tabla4[[#This Row],[Precio Descontado]]-Tabla4[[#This Row],[Precio Base]])*Tabla4[[#This Row],[Cantidad]]</f>
        <v>#N/A</v>
      </c>
      <c r="O780" s="284" t="e">
        <f>++Tabla4[[#This Row],[Utilidad Total]]/Tabla4[[#This Row],[Total]]</f>
        <v>#N/A</v>
      </c>
      <c r="P780" s="282">
        <f>++Tabla4[[#This Row],[Precio Descontado]]*Tabla4[[#This Row],[Cantidad]]</f>
        <v>112967.94559999999</v>
      </c>
      <c r="Q780" s="282" t="e">
        <f>(INDEX(Tabla6[#All],MATCH(Tabla4[[#This Row],[Producto]],Tabla6[[#All],[PRODUCTO]],0),MATCH(Tabla4[[#This Row],[Mes]],Tabla6[#Headers],0)))</f>
        <v>#N/A</v>
      </c>
      <c r="R780" s="282" t="e">
        <f>++Tabla4[[#This Row],[Precio Unitario Neto]]-Tabla4[[#This Row],[20.85%]]-Tabla4[[#This Row],[Costo]]</f>
        <v>#N/A</v>
      </c>
      <c r="S780" s="282" t="e">
        <f>++Tabla4[[#This Row],[U. Bruta Uni]]*Tabla4[[#This Row],[Cantidad]]</f>
        <v>#N/A</v>
      </c>
      <c r="T780" s="369" t="str">
        <f>VLOOKUP(Tabla4[[#This Row],[Producto]],Tabla6[#All],14,FALSE)</f>
        <v>Termico Solar</v>
      </c>
      <c r="U780" s="284" t="e">
        <f>(IF(Tabla4[[#This Row],[Familia]]="termico solar",Tabla4[[#This Row],[Utilidad Total]]*6%,Tabla4[[#This Row],[Utilidad Total]]*11.5%))/Tabla4[[#This Row],[Total]]</f>
        <v>#N/A</v>
      </c>
      <c r="V780" s="282" t="e">
        <f>+Tabla4[[#This Row],[Comisión Calculada]]*Tabla4[[#This Row],[Total]]</f>
        <v>#N/A</v>
      </c>
    </row>
    <row r="781" spans="1:22" hidden="1" x14ac:dyDescent="0.25">
      <c r="A781" s="100">
        <v>45716</v>
      </c>
      <c r="B781" t="str">
        <f t="shared" si="30"/>
        <v>February</v>
      </c>
      <c r="C781" s="46" t="s">
        <v>280</v>
      </c>
      <c r="F781" s="366" t="s">
        <v>1024</v>
      </c>
      <c r="G781" s="46" t="s">
        <v>255</v>
      </c>
      <c r="H781" s="46">
        <v>16</v>
      </c>
      <c r="I781" s="51">
        <v>1200</v>
      </c>
      <c r="J781" s="281">
        <f>++Tabla4[[#This Row],[Precio Bruto]]*1.16</f>
        <v>1392</v>
      </c>
      <c r="K781" s="281">
        <f>+Tabla4[[#This Row],[Precio Unitario Neto]]*Tabla4[[#Headers],[20.85%]]</f>
        <v>290.23199999999997</v>
      </c>
      <c r="L781" s="282">
        <f>++Tabla4[[#This Row],[Precio Unitario Neto]]-Tabla4[[#This Row],[20.85%]]</f>
        <v>1101.768</v>
      </c>
      <c r="M781" s="282" t="e">
        <f>(INDEX(Tabla6[#All],MATCH(Tabla4[[#This Row],[Producto]],Tabla6[[#All],[PRODUCTO]],0),MATCH(Tabla4[[#This Row],[Mes]],Tabla6[#Headers],0)))*(1+Catalogos!$L$2)</f>
        <v>#N/A</v>
      </c>
      <c r="N781" s="283" t="e">
        <f>+(Tabla4[[#This Row],[Precio Descontado]]-Tabla4[[#This Row],[Precio Base]])*Tabla4[[#This Row],[Cantidad]]</f>
        <v>#N/A</v>
      </c>
      <c r="O781" s="284" t="e">
        <f>++Tabla4[[#This Row],[Utilidad Total]]/Tabla4[[#This Row],[Total]]</f>
        <v>#N/A</v>
      </c>
      <c r="P781" s="282">
        <f>++Tabla4[[#This Row],[Precio Descontado]]*Tabla4[[#This Row],[Cantidad]]</f>
        <v>17628.288</v>
      </c>
      <c r="Q781" s="282" t="e">
        <f>(INDEX(Tabla6[#All],MATCH(Tabla4[[#This Row],[Producto]],Tabla6[[#All],[PRODUCTO]],0),MATCH(Tabla4[[#This Row],[Mes]],Tabla6[#Headers],0)))</f>
        <v>#N/A</v>
      </c>
      <c r="R781" s="282" t="e">
        <f>++Tabla4[[#This Row],[Precio Unitario Neto]]-Tabla4[[#This Row],[20.85%]]-Tabla4[[#This Row],[Costo]]</f>
        <v>#N/A</v>
      </c>
      <c r="S781" s="282" t="e">
        <f>++Tabla4[[#This Row],[U. Bruta Uni]]*Tabla4[[#This Row],[Cantidad]]</f>
        <v>#N/A</v>
      </c>
      <c r="T781" s="369" t="str">
        <f>VLOOKUP(Tabla4[[#This Row],[Producto]],Tabla6[#All],14,FALSE)</f>
        <v>Termico Solar</v>
      </c>
      <c r="U781" s="284" t="e">
        <f>(IF(Tabla4[[#This Row],[Familia]]="termico solar",Tabla4[[#This Row],[Utilidad Total]]*6%,Tabla4[[#This Row],[Utilidad Total]]*11.5%))/Tabla4[[#This Row],[Total]]</f>
        <v>#N/A</v>
      </c>
      <c r="V781" s="282" t="e">
        <f>+Tabla4[[#This Row],[Comisión Calculada]]*Tabla4[[#This Row],[Total]]</f>
        <v>#N/A</v>
      </c>
    </row>
    <row r="782" spans="1:22" hidden="1" x14ac:dyDescent="0.25">
      <c r="A782" s="100">
        <v>45716</v>
      </c>
      <c r="B782" t="str">
        <f t="shared" si="30"/>
        <v>February</v>
      </c>
      <c r="C782" s="46" t="s">
        <v>280</v>
      </c>
      <c r="F782" s="366" t="s">
        <v>1025</v>
      </c>
      <c r="G782" s="46" t="s">
        <v>16</v>
      </c>
      <c r="H782" s="46">
        <v>2</v>
      </c>
      <c r="I782" s="51">
        <v>4103.8500000000004</v>
      </c>
      <c r="J782" s="281">
        <f>++Tabla4[[#This Row],[Precio Bruto]]*1.16</f>
        <v>4760.4660000000003</v>
      </c>
      <c r="K782" s="281">
        <f>+Tabla4[[#This Row],[Precio Unitario Neto]]*Tabla4[[#Headers],[20.85%]]</f>
        <v>992.55716100000006</v>
      </c>
      <c r="L782" s="282">
        <f>++Tabla4[[#This Row],[Precio Unitario Neto]]-Tabla4[[#This Row],[20.85%]]</f>
        <v>3767.9088390000002</v>
      </c>
      <c r="M782" s="282" t="e">
        <f>(INDEX(Tabla6[#All],MATCH(Tabla4[[#This Row],[Producto]],Tabla6[[#All],[PRODUCTO]],0),MATCH(Tabla4[[#This Row],[Mes]],Tabla6[#Headers],0)))*(1+Catalogos!$L$2)</f>
        <v>#N/A</v>
      </c>
      <c r="N782" s="283" t="e">
        <f>+(Tabla4[[#This Row],[Precio Descontado]]-Tabla4[[#This Row],[Precio Base]])*Tabla4[[#This Row],[Cantidad]]</f>
        <v>#N/A</v>
      </c>
      <c r="O782" s="284" t="e">
        <f>++Tabla4[[#This Row],[Utilidad Total]]/Tabla4[[#This Row],[Total]]</f>
        <v>#N/A</v>
      </c>
      <c r="P782" s="282">
        <f>++Tabla4[[#This Row],[Precio Descontado]]*Tabla4[[#This Row],[Cantidad]]</f>
        <v>7535.8176780000003</v>
      </c>
      <c r="Q782" s="282" t="e">
        <f>(INDEX(Tabla6[#All],MATCH(Tabla4[[#This Row],[Producto]],Tabla6[[#All],[PRODUCTO]],0),MATCH(Tabla4[[#This Row],[Mes]],Tabla6[#Headers],0)))</f>
        <v>#N/A</v>
      </c>
      <c r="R782" s="282" t="e">
        <f>++Tabla4[[#This Row],[Precio Unitario Neto]]-Tabla4[[#This Row],[20.85%]]-Tabla4[[#This Row],[Costo]]</f>
        <v>#N/A</v>
      </c>
      <c r="S782" s="282" t="e">
        <f>++Tabla4[[#This Row],[U. Bruta Uni]]*Tabla4[[#This Row],[Cantidad]]</f>
        <v>#N/A</v>
      </c>
      <c r="T782" s="369" t="str">
        <f>VLOOKUP(Tabla4[[#This Row],[Producto]],Tabla6[#All],14,FALSE)</f>
        <v>Termico Solar</v>
      </c>
      <c r="U782" s="284" t="e">
        <f>(IF(Tabla4[[#This Row],[Familia]]="termico solar",Tabla4[[#This Row],[Utilidad Total]]*6%,Tabla4[[#This Row],[Utilidad Total]]*11.5%))/Tabla4[[#This Row],[Total]]</f>
        <v>#N/A</v>
      </c>
      <c r="V782" s="282" t="e">
        <f>+Tabla4[[#This Row],[Comisión Calculada]]*Tabla4[[#This Row],[Total]]</f>
        <v>#N/A</v>
      </c>
    </row>
    <row r="783" spans="1:22" hidden="1" x14ac:dyDescent="0.25">
      <c r="A783" s="100">
        <v>45716</v>
      </c>
      <c r="B783" t="str">
        <f t="shared" si="30"/>
        <v>February</v>
      </c>
      <c r="C783" s="46" t="s">
        <v>280</v>
      </c>
      <c r="F783" s="366" t="s">
        <v>1026</v>
      </c>
      <c r="G783" s="46" t="s">
        <v>19</v>
      </c>
      <c r="H783" s="46">
        <v>1</v>
      </c>
      <c r="I783" s="51">
        <v>6412.03</v>
      </c>
      <c r="J783" s="281">
        <f>++Tabla4[[#This Row],[Precio Bruto]]*1.16</f>
        <v>7437.9547999999995</v>
      </c>
      <c r="K783" s="281">
        <f>+Tabla4[[#This Row],[Precio Unitario Neto]]*Tabla4[[#Headers],[20.85%]]</f>
        <v>1550.8135757999999</v>
      </c>
      <c r="L783" s="282">
        <f>++Tabla4[[#This Row],[Precio Unitario Neto]]-Tabla4[[#This Row],[20.85%]]</f>
        <v>5887.1412241999997</v>
      </c>
      <c r="M783" s="282" t="e">
        <f>(INDEX(Tabla6[#All],MATCH(Tabla4[[#This Row],[Producto]],Tabla6[[#All],[PRODUCTO]],0),MATCH(Tabla4[[#This Row],[Mes]],Tabla6[#Headers],0)))*(1+Catalogos!$L$2)</f>
        <v>#N/A</v>
      </c>
      <c r="N783" s="283" t="e">
        <f>+(Tabla4[[#This Row],[Precio Descontado]]-Tabla4[[#This Row],[Precio Base]])*Tabla4[[#This Row],[Cantidad]]</f>
        <v>#N/A</v>
      </c>
      <c r="O783" s="284" t="e">
        <f>++Tabla4[[#This Row],[Utilidad Total]]/Tabla4[[#This Row],[Total]]</f>
        <v>#N/A</v>
      </c>
      <c r="P783" s="282">
        <f>++Tabla4[[#This Row],[Precio Descontado]]*Tabla4[[#This Row],[Cantidad]]</f>
        <v>5887.1412241999997</v>
      </c>
      <c r="Q783" s="282" t="e">
        <f>(INDEX(Tabla6[#All],MATCH(Tabla4[[#This Row],[Producto]],Tabla6[[#All],[PRODUCTO]],0),MATCH(Tabla4[[#This Row],[Mes]],Tabla6[#Headers],0)))</f>
        <v>#N/A</v>
      </c>
      <c r="R783" s="282" t="e">
        <f>++Tabla4[[#This Row],[Precio Unitario Neto]]-Tabla4[[#This Row],[20.85%]]-Tabla4[[#This Row],[Costo]]</f>
        <v>#N/A</v>
      </c>
      <c r="S783" s="282" t="e">
        <f>++Tabla4[[#This Row],[U. Bruta Uni]]*Tabla4[[#This Row],[Cantidad]]</f>
        <v>#N/A</v>
      </c>
      <c r="T783" s="369" t="str">
        <f>VLOOKUP(Tabla4[[#This Row],[Producto]],Tabla6[#All],14,FALSE)</f>
        <v>Termico Solar</v>
      </c>
      <c r="U783" s="284" t="e">
        <f>(IF(Tabla4[[#This Row],[Familia]]="termico solar",Tabla4[[#This Row],[Utilidad Total]]*6%,Tabla4[[#This Row],[Utilidad Total]]*11.5%))/Tabla4[[#This Row],[Total]]</f>
        <v>#N/A</v>
      </c>
      <c r="V783" s="282" t="e">
        <f>+Tabla4[[#This Row],[Comisión Calculada]]*Tabla4[[#This Row],[Total]]</f>
        <v>#N/A</v>
      </c>
    </row>
    <row r="784" spans="1:22" hidden="1" x14ac:dyDescent="0.25">
      <c r="A784" s="100">
        <v>45716</v>
      </c>
      <c r="B784" t="str">
        <f t="shared" si="30"/>
        <v>February</v>
      </c>
      <c r="C784" s="46" t="s">
        <v>280</v>
      </c>
      <c r="F784" s="366" t="s">
        <v>1027</v>
      </c>
      <c r="G784" s="46" t="s">
        <v>83</v>
      </c>
      <c r="H784" s="46">
        <v>3</v>
      </c>
      <c r="I784" s="51">
        <v>8858.76</v>
      </c>
      <c r="J784" s="281">
        <f>++Tabla4[[#This Row],[Precio Bruto]]*1.16</f>
        <v>10276.161599999999</v>
      </c>
      <c r="K784" s="281">
        <f>+Tabla4[[#This Row],[Precio Unitario Neto]]*Tabla4[[#Headers],[20.85%]]</f>
        <v>2142.5796935999997</v>
      </c>
      <c r="L784" s="282">
        <f>++Tabla4[[#This Row],[Precio Unitario Neto]]-Tabla4[[#This Row],[20.85%]]</f>
        <v>8133.5819063999998</v>
      </c>
      <c r="M784" s="282" t="e">
        <f>(INDEX(Tabla6[#All],MATCH(Tabla4[[#This Row],[Producto]],Tabla6[[#All],[PRODUCTO]],0),MATCH(Tabla4[[#This Row],[Mes]],Tabla6[#Headers],0)))*(1+Catalogos!$L$2)</f>
        <v>#N/A</v>
      </c>
      <c r="N784" s="283" t="e">
        <f>+(Tabla4[[#This Row],[Precio Descontado]]-Tabla4[[#This Row],[Precio Base]])*Tabla4[[#This Row],[Cantidad]]</f>
        <v>#N/A</v>
      </c>
      <c r="O784" s="284" t="e">
        <f>++Tabla4[[#This Row],[Utilidad Total]]/Tabla4[[#This Row],[Total]]</f>
        <v>#N/A</v>
      </c>
      <c r="P784" s="282">
        <f>++Tabla4[[#This Row],[Precio Descontado]]*Tabla4[[#This Row],[Cantidad]]</f>
        <v>24400.7457192</v>
      </c>
      <c r="Q784" s="282" t="e">
        <f>(INDEX(Tabla6[#All],MATCH(Tabla4[[#This Row],[Producto]],Tabla6[[#All],[PRODUCTO]],0),MATCH(Tabla4[[#This Row],[Mes]],Tabla6[#Headers],0)))</f>
        <v>#N/A</v>
      </c>
      <c r="R784" s="282" t="e">
        <f>++Tabla4[[#This Row],[Precio Unitario Neto]]-Tabla4[[#This Row],[20.85%]]-Tabla4[[#This Row],[Costo]]</f>
        <v>#N/A</v>
      </c>
      <c r="S784" s="282" t="e">
        <f>++Tabla4[[#This Row],[U. Bruta Uni]]*Tabla4[[#This Row],[Cantidad]]</f>
        <v>#N/A</v>
      </c>
      <c r="T784" s="369" t="str">
        <f>VLOOKUP(Tabla4[[#This Row],[Producto]],Tabla6[#All],14,FALSE)</f>
        <v>Termico Solar</v>
      </c>
      <c r="U784" s="284" t="e">
        <f>(IF(Tabla4[[#This Row],[Familia]]="termico solar",Tabla4[[#This Row],[Utilidad Total]]*6%,Tabla4[[#This Row],[Utilidad Total]]*11.5%))/Tabla4[[#This Row],[Total]]</f>
        <v>#N/A</v>
      </c>
      <c r="V784" s="282" t="e">
        <f>+Tabla4[[#This Row],[Comisión Calculada]]*Tabla4[[#This Row],[Total]]</f>
        <v>#N/A</v>
      </c>
    </row>
    <row r="785" spans="1:22" hidden="1" x14ac:dyDescent="0.25">
      <c r="A785" s="100">
        <v>45716</v>
      </c>
      <c r="B785" t="str">
        <f t="shared" si="30"/>
        <v>February</v>
      </c>
      <c r="C785" s="46" t="s">
        <v>280</v>
      </c>
      <c r="F785" s="366" t="s">
        <v>1027</v>
      </c>
      <c r="G785" s="46" t="s">
        <v>17</v>
      </c>
      <c r="H785" s="46">
        <v>1</v>
      </c>
      <c r="I785" s="51">
        <v>4622.28</v>
      </c>
      <c r="J785" s="281">
        <f>++Tabla4[[#This Row],[Precio Bruto]]*1.16</f>
        <v>5361.8447999999989</v>
      </c>
      <c r="K785" s="281">
        <f>+Tabla4[[#This Row],[Precio Unitario Neto]]*Tabla4[[#Headers],[20.85%]]</f>
        <v>1117.9446407999997</v>
      </c>
      <c r="L785" s="282">
        <f>++Tabla4[[#This Row],[Precio Unitario Neto]]-Tabla4[[#This Row],[20.85%]]</f>
        <v>4243.9001591999995</v>
      </c>
      <c r="M785" s="282" t="e">
        <f>(INDEX(Tabla6[#All],MATCH(Tabla4[[#This Row],[Producto]],Tabla6[[#All],[PRODUCTO]],0),MATCH(Tabla4[[#This Row],[Mes]],Tabla6[#Headers],0)))*(1+Catalogos!$L$2)</f>
        <v>#N/A</v>
      </c>
      <c r="N785" s="283" t="e">
        <f>+(Tabla4[[#This Row],[Precio Descontado]]-Tabla4[[#This Row],[Precio Base]])*Tabla4[[#This Row],[Cantidad]]</f>
        <v>#N/A</v>
      </c>
      <c r="O785" s="284" t="e">
        <f>++Tabla4[[#This Row],[Utilidad Total]]/Tabla4[[#This Row],[Total]]</f>
        <v>#N/A</v>
      </c>
      <c r="P785" s="282">
        <f>++Tabla4[[#This Row],[Precio Descontado]]*Tabla4[[#This Row],[Cantidad]]</f>
        <v>4243.9001591999995</v>
      </c>
      <c r="Q785" s="282" t="e">
        <f>(INDEX(Tabla6[#All],MATCH(Tabla4[[#This Row],[Producto]],Tabla6[[#All],[PRODUCTO]],0),MATCH(Tabla4[[#This Row],[Mes]],Tabla6[#Headers],0)))</f>
        <v>#N/A</v>
      </c>
      <c r="R785" s="282" t="e">
        <f>++Tabla4[[#This Row],[Precio Unitario Neto]]-Tabla4[[#This Row],[20.85%]]-Tabla4[[#This Row],[Costo]]</f>
        <v>#N/A</v>
      </c>
      <c r="S785" s="282" t="e">
        <f>++Tabla4[[#This Row],[U. Bruta Uni]]*Tabla4[[#This Row],[Cantidad]]</f>
        <v>#N/A</v>
      </c>
      <c r="T785" s="369" t="str">
        <f>VLOOKUP(Tabla4[[#This Row],[Producto]],Tabla6[#All],14,FALSE)</f>
        <v>Termico Solar</v>
      </c>
      <c r="U785" s="284" t="e">
        <f>(IF(Tabla4[[#This Row],[Familia]]="termico solar",Tabla4[[#This Row],[Utilidad Total]]*6%,Tabla4[[#This Row],[Utilidad Total]]*11.5%))/Tabla4[[#This Row],[Total]]</f>
        <v>#N/A</v>
      </c>
      <c r="V785" s="282" t="e">
        <f>+Tabla4[[#This Row],[Comisión Calculada]]*Tabla4[[#This Row],[Total]]</f>
        <v>#N/A</v>
      </c>
    </row>
    <row r="786" spans="1:22" hidden="1" x14ac:dyDescent="0.25">
      <c r="A786" s="100">
        <v>45716</v>
      </c>
      <c r="B786" t="str">
        <f t="shared" si="30"/>
        <v>February</v>
      </c>
      <c r="C786" s="46" t="s">
        <v>280</v>
      </c>
      <c r="F786" s="366" t="s">
        <v>1027</v>
      </c>
      <c r="G786" s="46" t="s">
        <v>566</v>
      </c>
      <c r="H786" s="46">
        <v>1</v>
      </c>
      <c r="I786" s="51">
        <v>2109.4499999999998</v>
      </c>
      <c r="J786" s="281">
        <f>++Tabla4[[#This Row],[Precio Bruto]]*1.16</f>
        <v>2446.9619999999995</v>
      </c>
      <c r="K786" s="281">
        <f>+Tabla4[[#This Row],[Precio Unitario Neto]]*Tabla4[[#Headers],[20.85%]]</f>
        <v>510.19157699999988</v>
      </c>
      <c r="L786" s="282">
        <f>++Tabla4[[#This Row],[Precio Unitario Neto]]-Tabla4[[#This Row],[20.85%]]</f>
        <v>1936.7704229999997</v>
      </c>
      <c r="M786" s="282" t="e">
        <f>(INDEX(Tabla6[#All],MATCH(Tabla4[[#This Row],[Producto]],Tabla6[[#All],[PRODUCTO]],0),MATCH(Tabla4[[#This Row],[Mes]],Tabla6[#Headers],0)))*(1+Catalogos!$L$2)</f>
        <v>#N/A</v>
      </c>
      <c r="N786" s="283" t="e">
        <f>+(Tabla4[[#This Row],[Precio Descontado]]-Tabla4[[#This Row],[Precio Base]])*Tabla4[[#This Row],[Cantidad]]</f>
        <v>#N/A</v>
      </c>
      <c r="O786" s="284" t="e">
        <f>++Tabla4[[#This Row],[Utilidad Total]]/Tabla4[[#This Row],[Total]]</f>
        <v>#N/A</v>
      </c>
      <c r="P786" s="282">
        <f>++Tabla4[[#This Row],[Precio Descontado]]*Tabla4[[#This Row],[Cantidad]]</f>
        <v>1936.7704229999997</v>
      </c>
      <c r="Q786" s="282" t="e">
        <f>(INDEX(Tabla6[#All],MATCH(Tabla4[[#This Row],[Producto]],Tabla6[[#All],[PRODUCTO]],0),MATCH(Tabla4[[#This Row],[Mes]],Tabla6[#Headers],0)))</f>
        <v>#N/A</v>
      </c>
      <c r="R786" s="282" t="e">
        <f>++Tabla4[[#This Row],[Precio Unitario Neto]]-Tabla4[[#This Row],[20.85%]]-Tabla4[[#This Row],[Costo]]</f>
        <v>#N/A</v>
      </c>
      <c r="S786" s="282" t="e">
        <f>++Tabla4[[#This Row],[U. Bruta Uni]]*Tabla4[[#This Row],[Cantidad]]</f>
        <v>#N/A</v>
      </c>
      <c r="T786" s="369" t="str">
        <f>VLOOKUP(Tabla4[[#This Row],[Producto]],Tabla6[#All],14,FALSE)</f>
        <v>Termico Solar</v>
      </c>
      <c r="U786" s="284" t="e">
        <f>(IF(Tabla4[[#This Row],[Familia]]="termico solar",Tabla4[[#This Row],[Utilidad Total]]*6%,Tabla4[[#This Row],[Utilidad Total]]*11.5%))/Tabla4[[#This Row],[Total]]</f>
        <v>#N/A</v>
      </c>
      <c r="V786" s="282" t="e">
        <f>+Tabla4[[#This Row],[Comisión Calculada]]*Tabla4[[#This Row],[Total]]</f>
        <v>#N/A</v>
      </c>
    </row>
    <row r="787" spans="1:22" hidden="1" x14ac:dyDescent="0.25">
      <c r="A787" s="100">
        <v>45716</v>
      </c>
      <c r="B787" t="str">
        <f t="shared" si="30"/>
        <v>February</v>
      </c>
      <c r="C787" s="46" t="s">
        <v>280</v>
      </c>
      <c r="F787" s="366" t="s">
        <v>1027</v>
      </c>
      <c r="G787" s="46" t="s">
        <v>16</v>
      </c>
      <c r="H787" s="46">
        <v>4</v>
      </c>
      <c r="I787" s="51">
        <v>4103.8500000000004</v>
      </c>
      <c r="J787" s="281">
        <f>++Tabla4[[#This Row],[Precio Bruto]]*1.16</f>
        <v>4760.4660000000003</v>
      </c>
      <c r="K787" s="281">
        <f>+Tabla4[[#This Row],[Precio Unitario Neto]]*Tabla4[[#Headers],[20.85%]]</f>
        <v>992.55716100000006</v>
      </c>
      <c r="L787" s="282">
        <f>++Tabla4[[#This Row],[Precio Unitario Neto]]-Tabla4[[#This Row],[20.85%]]</f>
        <v>3767.9088390000002</v>
      </c>
      <c r="M787" s="282" t="e">
        <f>(INDEX(Tabla6[#All],MATCH(Tabla4[[#This Row],[Producto]],Tabla6[[#All],[PRODUCTO]],0),MATCH(Tabla4[[#This Row],[Mes]],Tabla6[#Headers],0)))*(1+Catalogos!$L$2)</f>
        <v>#N/A</v>
      </c>
      <c r="N787" s="283" t="e">
        <f>+(Tabla4[[#This Row],[Precio Descontado]]-Tabla4[[#This Row],[Precio Base]])*Tabla4[[#This Row],[Cantidad]]</f>
        <v>#N/A</v>
      </c>
      <c r="O787" s="284" t="e">
        <f>++Tabla4[[#This Row],[Utilidad Total]]/Tabla4[[#This Row],[Total]]</f>
        <v>#N/A</v>
      </c>
      <c r="P787" s="282">
        <f>++Tabla4[[#This Row],[Precio Descontado]]*Tabla4[[#This Row],[Cantidad]]</f>
        <v>15071.635356000001</v>
      </c>
      <c r="Q787" s="282" t="e">
        <f>(INDEX(Tabla6[#All],MATCH(Tabla4[[#This Row],[Producto]],Tabla6[[#All],[PRODUCTO]],0),MATCH(Tabla4[[#This Row],[Mes]],Tabla6[#Headers],0)))</f>
        <v>#N/A</v>
      </c>
      <c r="R787" s="282" t="e">
        <f>++Tabla4[[#This Row],[Precio Unitario Neto]]-Tabla4[[#This Row],[20.85%]]-Tabla4[[#This Row],[Costo]]</f>
        <v>#N/A</v>
      </c>
      <c r="S787" s="282" t="e">
        <f>++Tabla4[[#This Row],[U. Bruta Uni]]*Tabla4[[#This Row],[Cantidad]]</f>
        <v>#N/A</v>
      </c>
      <c r="T787" s="369" t="str">
        <f>VLOOKUP(Tabla4[[#This Row],[Producto]],Tabla6[#All],14,FALSE)</f>
        <v>Termico Solar</v>
      </c>
      <c r="U787" s="284" t="e">
        <f>(IF(Tabla4[[#This Row],[Familia]]="termico solar",Tabla4[[#This Row],[Utilidad Total]]*6%,Tabla4[[#This Row],[Utilidad Total]]*11.5%))/Tabla4[[#This Row],[Total]]</f>
        <v>#N/A</v>
      </c>
      <c r="V787" s="282" t="e">
        <f>+Tabla4[[#This Row],[Comisión Calculada]]*Tabla4[[#This Row],[Total]]</f>
        <v>#N/A</v>
      </c>
    </row>
    <row r="788" spans="1:22" hidden="1" x14ac:dyDescent="0.25">
      <c r="A788" s="100">
        <v>45716</v>
      </c>
      <c r="B788" t="str">
        <f t="shared" si="30"/>
        <v>February</v>
      </c>
      <c r="C788" s="46" t="s">
        <v>280</v>
      </c>
      <c r="F788" s="366" t="s">
        <v>1028</v>
      </c>
      <c r="G788" s="46" t="s">
        <v>17</v>
      </c>
      <c r="H788" s="46">
        <v>1</v>
      </c>
      <c r="I788" s="51">
        <v>4622.28</v>
      </c>
      <c r="J788" s="281">
        <f>++Tabla4[[#This Row],[Precio Bruto]]*1.16</f>
        <v>5361.8447999999989</v>
      </c>
      <c r="K788" s="281">
        <f>+Tabla4[[#This Row],[Precio Unitario Neto]]*Tabla4[[#Headers],[20.85%]]</f>
        <v>1117.9446407999997</v>
      </c>
      <c r="L788" s="282">
        <f>++Tabla4[[#This Row],[Precio Unitario Neto]]-Tabla4[[#This Row],[20.85%]]</f>
        <v>4243.9001591999995</v>
      </c>
      <c r="M788" s="282" t="e">
        <f>(INDEX(Tabla6[#All],MATCH(Tabla4[[#This Row],[Producto]],Tabla6[[#All],[PRODUCTO]],0),MATCH(Tabla4[[#This Row],[Mes]],Tabla6[#Headers],0)))*(1+Catalogos!$L$2)</f>
        <v>#N/A</v>
      </c>
      <c r="N788" s="283" t="e">
        <f>+(Tabla4[[#This Row],[Precio Descontado]]-Tabla4[[#This Row],[Precio Base]])*Tabla4[[#This Row],[Cantidad]]</f>
        <v>#N/A</v>
      </c>
      <c r="O788" s="284" t="e">
        <f>++Tabla4[[#This Row],[Utilidad Total]]/Tabla4[[#This Row],[Total]]</f>
        <v>#N/A</v>
      </c>
      <c r="P788" s="282">
        <f>++Tabla4[[#This Row],[Precio Descontado]]*Tabla4[[#This Row],[Cantidad]]</f>
        <v>4243.9001591999995</v>
      </c>
      <c r="Q788" s="282" t="e">
        <f>(INDEX(Tabla6[#All],MATCH(Tabla4[[#This Row],[Producto]],Tabla6[[#All],[PRODUCTO]],0),MATCH(Tabla4[[#This Row],[Mes]],Tabla6[#Headers],0)))</f>
        <v>#N/A</v>
      </c>
      <c r="R788" s="282" t="e">
        <f>++Tabla4[[#This Row],[Precio Unitario Neto]]-Tabla4[[#This Row],[20.85%]]-Tabla4[[#This Row],[Costo]]</f>
        <v>#N/A</v>
      </c>
      <c r="S788" s="282" t="e">
        <f>++Tabla4[[#This Row],[U. Bruta Uni]]*Tabla4[[#This Row],[Cantidad]]</f>
        <v>#N/A</v>
      </c>
      <c r="T788" s="369" t="str">
        <f>VLOOKUP(Tabla4[[#This Row],[Producto]],Tabla6[#All],14,FALSE)</f>
        <v>Termico Solar</v>
      </c>
      <c r="U788" s="284" t="e">
        <f>(IF(Tabla4[[#This Row],[Familia]]="termico solar",Tabla4[[#This Row],[Utilidad Total]]*6%,Tabla4[[#This Row],[Utilidad Total]]*11.5%))/Tabla4[[#This Row],[Total]]</f>
        <v>#N/A</v>
      </c>
      <c r="V788" s="282" t="e">
        <f>+Tabla4[[#This Row],[Comisión Calculada]]*Tabla4[[#This Row],[Total]]</f>
        <v>#N/A</v>
      </c>
    </row>
    <row r="789" spans="1:22" hidden="1" x14ac:dyDescent="0.25">
      <c r="A789" s="100">
        <v>45716</v>
      </c>
      <c r="B789" t="str">
        <f t="shared" si="30"/>
        <v>February</v>
      </c>
      <c r="C789" s="46" t="s">
        <v>280</v>
      </c>
      <c r="F789" s="366" t="s">
        <v>1028</v>
      </c>
      <c r="G789" s="46" t="s">
        <v>566</v>
      </c>
      <c r="H789" s="46">
        <v>1</v>
      </c>
      <c r="I789" s="51">
        <v>2109.4499999999998</v>
      </c>
      <c r="J789" s="281">
        <f>++Tabla4[[#This Row],[Precio Bruto]]*1.16</f>
        <v>2446.9619999999995</v>
      </c>
      <c r="K789" s="281">
        <f>+Tabla4[[#This Row],[Precio Unitario Neto]]*Tabla4[[#Headers],[20.85%]]</f>
        <v>510.19157699999988</v>
      </c>
      <c r="L789" s="282">
        <f>++Tabla4[[#This Row],[Precio Unitario Neto]]-Tabla4[[#This Row],[20.85%]]</f>
        <v>1936.7704229999997</v>
      </c>
      <c r="M789" s="282" t="e">
        <f>(INDEX(Tabla6[#All],MATCH(Tabla4[[#This Row],[Producto]],Tabla6[[#All],[PRODUCTO]],0),MATCH(Tabla4[[#This Row],[Mes]],Tabla6[#Headers],0)))*(1+Catalogos!$L$2)</f>
        <v>#N/A</v>
      </c>
      <c r="N789" s="283" t="e">
        <f>+(Tabla4[[#This Row],[Precio Descontado]]-Tabla4[[#This Row],[Precio Base]])*Tabla4[[#This Row],[Cantidad]]</f>
        <v>#N/A</v>
      </c>
      <c r="O789" s="284" t="e">
        <f>++Tabla4[[#This Row],[Utilidad Total]]/Tabla4[[#This Row],[Total]]</f>
        <v>#N/A</v>
      </c>
      <c r="P789" s="282">
        <f>++Tabla4[[#This Row],[Precio Descontado]]*Tabla4[[#This Row],[Cantidad]]</f>
        <v>1936.7704229999997</v>
      </c>
      <c r="Q789" s="282" t="e">
        <f>(INDEX(Tabla6[#All],MATCH(Tabla4[[#This Row],[Producto]],Tabla6[[#All],[PRODUCTO]],0),MATCH(Tabla4[[#This Row],[Mes]],Tabla6[#Headers],0)))</f>
        <v>#N/A</v>
      </c>
      <c r="R789" s="282" t="e">
        <f>++Tabla4[[#This Row],[Precio Unitario Neto]]-Tabla4[[#This Row],[20.85%]]-Tabla4[[#This Row],[Costo]]</f>
        <v>#N/A</v>
      </c>
      <c r="S789" s="282" t="e">
        <f>++Tabla4[[#This Row],[U. Bruta Uni]]*Tabla4[[#This Row],[Cantidad]]</f>
        <v>#N/A</v>
      </c>
      <c r="T789" s="369" t="str">
        <f>VLOOKUP(Tabla4[[#This Row],[Producto]],Tabla6[#All],14,FALSE)</f>
        <v>Termico Solar</v>
      </c>
      <c r="U789" s="284" t="e">
        <f>(IF(Tabla4[[#This Row],[Familia]]="termico solar",Tabla4[[#This Row],[Utilidad Total]]*6%,Tabla4[[#This Row],[Utilidad Total]]*11.5%))/Tabla4[[#This Row],[Total]]</f>
        <v>#N/A</v>
      </c>
      <c r="V789" s="282" t="e">
        <f>+Tabla4[[#This Row],[Comisión Calculada]]*Tabla4[[#This Row],[Total]]</f>
        <v>#N/A</v>
      </c>
    </row>
    <row r="790" spans="1:22" hidden="1" x14ac:dyDescent="0.25">
      <c r="A790" s="100">
        <v>45716</v>
      </c>
      <c r="B790" t="str">
        <f t="shared" si="30"/>
        <v>February</v>
      </c>
      <c r="C790" s="46" t="s">
        <v>280</v>
      </c>
      <c r="F790" s="366" t="s">
        <v>1028</v>
      </c>
      <c r="G790" s="46" t="s">
        <v>599</v>
      </c>
      <c r="H790" s="46">
        <v>1</v>
      </c>
      <c r="I790" s="51">
        <v>189.75</v>
      </c>
      <c r="J790" s="281">
        <f>++Tabla4[[#This Row],[Precio Bruto]]*1.16</f>
        <v>220.10999999999999</v>
      </c>
      <c r="K790" s="281">
        <f>+Tabla4[[#This Row],[Precio Unitario Neto]]*Tabla4[[#Headers],[20.85%]]</f>
        <v>45.892934999999994</v>
      </c>
      <c r="L790" s="282">
        <f>++Tabla4[[#This Row],[Precio Unitario Neto]]-Tabla4[[#This Row],[20.85%]]</f>
        <v>174.21706499999999</v>
      </c>
      <c r="M790" s="282" t="e">
        <f>(INDEX(Tabla6[#All],MATCH(Tabla4[[#This Row],[Producto]],Tabla6[[#All],[PRODUCTO]],0),MATCH(Tabla4[[#This Row],[Mes]],Tabla6[#Headers],0)))*(1+Catalogos!$L$2)</f>
        <v>#N/A</v>
      </c>
      <c r="N790" s="283" t="e">
        <f>+(Tabla4[[#This Row],[Precio Descontado]]-Tabla4[[#This Row],[Precio Base]])*Tabla4[[#This Row],[Cantidad]]</f>
        <v>#N/A</v>
      </c>
      <c r="O790" s="284" t="e">
        <f>++Tabla4[[#This Row],[Utilidad Total]]/Tabla4[[#This Row],[Total]]</f>
        <v>#N/A</v>
      </c>
      <c r="P790" s="282">
        <f>++Tabla4[[#This Row],[Precio Descontado]]*Tabla4[[#This Row],[Cantidad]]</f>
        <v>174.21706499999999</v>
      </c>
      <c r="Q790" s="282" t="e">
        <f>(INDEX(Tabla6[#All],MATCH(Tabla4[[#This Row],[Producto]],Tabla6[[#All],[PRODUCTO]],0),MATCH(Tabla4[[#This Row],[Mes]],Tabla6[#Headers],0)))</f>
        <v>#N/A</v>
      </c>
      <c r="R790" s="282" t="e">
        <f>++Tabla4[[#This Row],[Precio Unitario Neto]]-Tabla4[[#This Row],[20.85%]]-Tabla4[[#This Row],[Costo]]</f>
        <v>#N/A</v>
      </c>
      <c r="S790" s="282" t="e">
        <f>++Tabla4[[#This Row],[U. Bruta Uni]]*Tabla4[[#This Row],[Cantidad]]</f>
        <v>#N/A</v>
      </c>
      <c r="T790" s="369" t="str">
        <f>VLOOKUP(Tabla4[[#This Row],[Producto]],Tabla6[#All],14,FALSE)</f>
        <v>Termico Solar</v>
      </c>
      <c r="U790" s="284" t="e">
        <f>(IF(Tabla4[[#This Row],[Familia]]="termico solar",Tabla4[[#This Row],[Utilidad Total]]*6%,Tabla4[[#This Row],[Utilidad Total]]*11.5%))/Tabla4[[#This Row],[Total]]</f>
        <v>#N/A</v>
      </c>
      <c r="V790" s="282" t="e">
        <f>+Tabla4[[#This Row],[Comisión Calculada]]*Tabla4[[#This Row],[Total]]</f>
        <v>#N/A</v>
      </c>
    </row>
    <row r="791" spans="1:22" hidden="1" x14ac:dyDescent="0.25">
      <c r="A791" s="100">
        <v>45716</v>
      </c>
      <c r="B791" t="str">
        <f t="shared" si="30"/>
        <v>February</v>
      </c>
      <c r="C791" s="46" t="s">
        <v>280</v>
      </c>
      <c r="F791" s="366" t="s">
        <v>1029</v>
      </c>
      <c r="G791" s="46" t="s">
        <v>83</v>
      </c>
      <c r="H791" s="46">
        <v>6</v>
      </c>
      <c r="I791" s="51">
        <v>8858.76</v>
      </c>
      <c r="J791" s="281">
        <f>++Tabla4[[#This Row],[Precio Bruto]]*1.16</f>
        <v>10276.161599999999</v>
      </c>
      <c r="K791" s="281">
        <f>+Tabla4[[#This Row],[Precio Unitario Neto]]*Tabla4[[#Headers],[20.85%]]</f>
        <v>2142.5796935999997</v>
      </c>
      <c r="L791" s="282">
        <f>++Tabla4[[#This Row],[Precio Unitario Neto]]-Tabla4[[#This Row],[20.85%]]</f>
        <v>8133.5819063999998</v>
      </c>
      <c r="M791" s="282" t="e">
        <f>(INDEX(Tabla6[#All],MATCH(Tabla4[[#This Row],[Producto]],Tabla6[[#All],[PRODUCTO]],0),MATCH(Tabla4[[#This Row],[Mes]],Tabla6[#Headers],0)))*(1+Catalogos!$L$2)</f>
        <v>#N/A</v>
      </c>
      <c r="N791" s="283" t="e">
        <f>+(Tabla4[[#This Row],[Precio Descontado]]-Tabla4[[#This Row],[Precio Base]])*Tabla4[[#This Row],[Cantidad]]</f>
        <v>#N/A</v>
      </c>
      <c r="O791" s="284" t="e">
        <f>++Tabla4[[#This Row],[Utilidad Total]]/Tabla4[[#This Row],[Total]]</f>
        <v>#N/A</v>
      </c>
      <c r="P791" s="282">
        <f>++Tabla4[[#This Row],[Precio Descontado]]*Tabla4[[#This Row],[Cantidad]]</f>
        <v>48801.4914384</v>
      </c>
      <c r="Q791" s="282" t="e">
        <f>(INDEX(Tabla6[#All],MATCH(Tabla4[[#This Row],[Producto]],Tabla6[[#All],[PRODUCTO]],0),MATCH(Tabla4[[#This Row],[Mes]],Tabla6[#Headers],0)))</f>
        <v>#N/A</v>
      </c>
      <c r="R791" s="282" t="e">
        <f>++Tabla4[[#This Row],[Precio Unitario Neto]]-Tabla4[[#This Row],[20.85%]]-Tabla4[[#This Row],[Costo]]</f>
        <v>#N/A</v>
      </c>
      <c r="S791" s="282" t="e">
        <f>++Tabla4[[#This Row],[U. Bruta Uni]]*Tabla4[[#This Row],[Cantidad]]</f>
        <v>#N/A</v>
      </c>
      <c r="T791" s="369" t="str">
        <f>VLOOKUP(Tabla4[[#This Row],[Producto]],Tabla6[#All],14,FALSE)</f>
        <v>Termico Solar</v>
      </c>
      <c r="U791" s="284" t="e">
        <f>(IF(Tabla4[[#This Row],[Familia]]="termico solar",Tabla4[[#This Row],[Utilidad Total]]*6%,Tabla4[[#This Row],[Utilidad Total]]*11.5%))/Tabla4[[#This Row],[Total]]</f>
        <v>#N/A</v>
      </c>
      <c r="V791" s="282" t="e">
        <f>+Tabla4[[#This Row],[Comisión Calculada]]*Tabla4[[#This Row],[Total]]</f>
        <v>#N/A</v>
      </c>
    </row>
    <row r="792" spans="1:22" hidden="1" x14ac:dyDescent="0.25">
      <c r="A792" s="100">
        <v>45716</v>
      </c>
      <c r="B792" t="str">
        <f t="shared" si="30"/>
        <v>February</v>
      </c>
      <c r="C792" s="46" t="s">
        <v>280</v>
      </c>
      <c r="F792" s="366" t="s">
        <v>1029</v>
      </c>
      <c r="G792" s="46" t="s">
        <v>17</v>
      </c>
      <c r="H792" s="46">
        <v>5</v>
      </c>
      <c r="I792" s="51">
        <v>4622.2800000000007</v>
      </c>
      <c r="J792" s="281">
        <f>++Tabla4[[#This Row],[Precio Bruto]]*1.16</f>
        <v>5361.8448000000008</v>
      </c>
      <c r="K792" s="281">
        <f>+Tabla4[[#This Row],[Precio Unitario Neto]]*Tabla4[[#Headers],[20.85%]]</f>
        <v>1117.9446408000001</v>
      </c>
      <c r="L792" s="282">
        <f>++Tabla4[[#This Row],[Precio Unitario Neto]]-Tabla4[[#This Row],[20.85%]]</f>
        <v>4243.9001592000004</v>
      </c>
      <c r="M792" s="282" t="e">
        <f>(INDEX(Tabla6[#All],MATCH(Tabla4[[#This Row],[Producto]],Tabla6[[#All],[PRODUCTO]],0),MATCH(Tabla4[[#This Row],[Mes]],Tabla6[#Headers],0)))*(1+Catalogos!$L$2)</f>
        <v>#N/A</v>
      </c>
      <c r="N792" s="283" t="e">
        <f>+(Tabla4[[#This Row],[Precio Descontado]]-Tabla4[[#This Row],[Precio Base]])*Tabla4[[#This Row],[Cantidad]]</f>
        <v>#N/A</v>
      </c>
      <c r="O792" s="284" t="e">
        <f>++Tabla4[[#This Row],[Utilidad Total]]/Tabla4[[#This Row],[Total]]</f>
        <v>#N/A</v>
      </c>
      <c r="P792" s="282">
        <f>++Tabla4[[#This Row],[Precio Descontado]]*Tabla4[[#This Row],[Cantidad]]</f>
        <v>21219.500796</v>
      </c>
      <c r="Q792" s="282" t="e">
        <f>(INDEX(Tabla6[#All],MATCH(Tabla4[[#This Row],[Producto]],Tabla6[[#All],[PRODUCTO]],0),MATCH(Tabla4[[#This Row],[Mes]],Tabla6[#Headers],0)))</f>
        <v>#N/A</v>
      </c>
      <c r="R792" s="282" t="e">
        <f>++Tabla4[[#This Row],[Precio Unitario Neto]]-Tabla4[[#This Row],[20.85%]]-Tabla4[[#This Row],[Costo]]</f>
        <v>#N/A</v>
      </c>
      <c r="S792" s="282" t="e">
        <f>++Tabla4[[#This Row],[U. Bruta Uni]]*Tabla4[[#This Row],[Cantidad]]</f>
        <v>#N/A</v>
      </c>
      <c r="T792" s="369" t="str">
        <f>VLOOKUP(Tabla4[[#This Row],[Producto]],Tabla6[#All],14,FALSE)</f>
        <v>Termico Solar</v>
      </c>
      <c r="U792" s="284" t="e">
        <f>(IF(Tabla4[[#This Row],[Familia]]="termico solar",Tabla4[[#This Row],[Utilidad Total]]*6%,Tabla4[[#This Row],[Utilidad Total]]*11.5%))/Tabla4[[#This Row],[Total]]</f>
        <v>#N/A</v>
      </c>
      <c r="V792" s="282" t="e">
        <f>+Tabla4[[#This Row],[Comisión Calculada]]*Tabla4[[#This Row],[Total]]</f>
        <v>#N/A</v>
      </c>
    </row>
    <row r="793" spans="1:22" hidden="1" x14ac:dyDescent="0.25">
      <c r="A793" s="100">
        <v>45716</v>
      </c>
      <c r="B793" t="str">
        <f t="shared" si="30"/>
        <v>February</v>
      </c>
      <c r="C793" s="46" t="s">
        <v>280</v>
      </c>
      <c r="F793" s="366" t="s">
        <v>1029</v>
      </c>
      <c r="G793" s="46" t="s">
        <v>18</v>
      </c>
      <c r="H793" s="46">
        <v>2</v>
      </c>
      <c r="I793" s="51">
        <v>5367.65</v>
      </c>
      <c r="J793" s="281">
        <f>++Tabla4[[#This Row],[Precio Bruto]]*1.16</f>
        <v>6226.4739999999993</v>
      </c>
      <c r="K793" s="281">
        <f>+Tabla4[[#This Row],[Precio Unitario Neto]]*Tabla4[[#Headers],[20.85%]]</f>
        <v>1298.2198289999999</v>
      </c>
      <c r="L793" s="282">
        <f>++Tabla4[[#This Row],[Precio Unitario Neto]]-Tabla4[[#This Row],[20.85%]]</f>
        <v>4928.2541709999996</v>
      </c>
      <c r="M793" s="282" t="e">
        <f>(INDEX(Tabla6[#All],MATCH(Tabla4[[#This Row],[Producto]],Tabla6[[#All],[PRODUCTO]],0),MATCH(Tabla4[[#This Row],[Mes]],Tabla6[#Headers],0)))*(1+Catalogos!$L$2)</f>
        <v>#N/A</v>
      </c>
      <c r="N793" s="283" t="e">
        <f>+(Tabla4[[#This Row],[Precio Descontado]]-Tabla4[[#This Row],[Precio Base]])*Tabla4[[#This Row],[Cantidad]]</f>
        <v>#N/A</v>
      </c>
      <c r="O793" s="284" t="e">
        <f>++Tabla4[[#This Row],[Utilidad Total]]/Tabla4[[#This Row],[Total]]</f>
        <v>#N/A</v>
      </c>
      <c r="P793" s="282">
        <f>++Tabla4[[#This Row],[Precio Descontado]]*Tabla4[[#This Row],[Cantidad]]</f>
        <v>9856.5083419999992</v>
      </c>
      <c r="Q793" s="282" t="e">
        <f>(INDEX(Tabla6[#All],MATCH(Tabla4[[#This Row],[Producto]],Tabla6[[#All],[PRODUCTO]],0),MATCH(Tabla4[[#This Row],[Mes]],Tabla6[#Headers],0)))</f>
        <v>#N/A</v>
      </c>
      <c r="R793" s="282" t="e">
        <f>++Tabla4[[#This Row],[Precio Unitario Neto]]-Tabla4[[#This Row],[20.85%]]-Tabla4[[#This Row],[Costo]]</f>
        <v>#N/A</v>
      </c>
      <c r="S793" s="282" t="e">
        <f>++Tabla4[[#This Row],[U. Bruta Uni]]*Tabla4[[#This Row],[Cantidad]]</f>
        <v>#N/A</v>
      </c>
      <c r="T793" s="369" t="str">
        <f>VLOOKUP(Tabla4[[#This Row],[Producto]],Tabla6[#All],14,FALSE)</f>
        <v>Termico Solar</v>
      </c>
      <c r="U793" s="284" t="e">
        <f>(IF(Tabla4[[#This Row],[Familia]]="termico solar",Tabla4[[#This Row],[Utilidad Total]]*6%,Tabla4[[#This Row],[Utilidad Total]]*11.5%))/Tabla4[[#This Row],[Total]]</f>
        <v>#N/A</v>
      </c>
      <c r="V793" s="282" t="e">
        <f>+Tabla4[[#This Row],[Comisión Calculada]]*Tabla4[[#This Row],[Total]]</f>
        <v>#N/A</v>
      </c>
    </row>
    <row r="794" spans="1:22" hidden="1" x14ac:dyDescent="0.25">
      <c r="A794" s="100">
        <v>45716</v>
      </c>
      <c r="B794" t="str">
        <f t="shared" si="30"/>
        <v>February</v>
      </c>
      <c r="C794" s="46" t="s">
        <v>280</v>
      </c>
      <c r="F794" s="366" t="s">
        <v>1029</v>
      </c>
      <c r="G794" s="46" t="s">
        <v>566</v>
      </c>
      <c r="H794" s="46">
        <v>1</v>
      </c>
      <c r="I794" s="51">
        <v>2109.4499999999998</v>
      </c>
      <c r="J794" s="281">
        <f>++Tabla4[[#This Row],[Precio Bruto]]*1.16</f>
        <v>2446.9619999999995</v>
      </c>
      <c r="K794" s="281">
        <f>+Tabla4[[#This Row],[Precio Unitario Neto]]*Tabla4[[#Headers],[20.85%]]</f>
        <v>510.19157699999988</v>
      </c>
      <c r="L794" s="282">
        <f>++Tabla4[[#This Row],[Precio Unitario Neto]]-Tabla4[[#This Row],[20.85%]]</f>
        <v>1936.7704229999997</v>
      </c>
      <c r="M794" s="282" t="e">
        <f>(INDEX(Tabla6[#All],MATCH(Tabla4[[#This Row],[Producto]],Tabla6[[#All],[PRODUCTO]],0),MATCH(Tabla4[[#This Row],[Mes]],Tabla6[#Headers],0)))*(1+Catalogos!$L$2)</f>
        <v>#N/A</v>
      </c>
      <c r="N794" s="283" t="e">
        <f>+(Tabla4[[#This Row],[Precio Descontado]]-Tabla4[[#This Row],[Precio Base]])*Tabla4[[#This Row],[Cantidad]]</f>
        <v>#N/A</v>
      </c>
      <c r="O794" s="284" t="e">
        <f>++Tabla4[[#This Row],[Utilidad Total]]/Tabla4[[#This Row],[Total]]</f>
        <v>#N/A</v>
      </c>
      <c r="P794" s="282">
        <f>++Tabla4[[#This Row],[Precio Descontado]]*Tabla4[[#This Row],[Cantidad]]</f>
        <v>1936.7704229999997</v>
      </c>
      <c r="Q794" s="282" t="e">
        <f>(INDEX(Tabla6[#All],MATCH(Tabla4[[#This Row],[Producto]],Tabla6[[#All],[PRODUCTO]],0),MATCH(Tabla4[[#This Row],[Mes]],Tabla6[#Headers],0)))</f>
        <v>#N/A</v>
      </c>
      <c r="R794" s="282" t="e">
        <f>++Tabla4[[#This Row],[Precio Unitario Neto]]-Tabla4[[#This Row],[20.85%]]-Tabla4[[#This Row],[Costo]]</f>
        <v>#N/A</v>
      </c>
      <c r="S794" s="282" t="e">
        <f>++Tabla4[[#This Row],[U. Bruta Uni]]*Tabla4[[#This Row],[Cantidad]]</f>
        <v>#N/A</v>
      </c>
      <c r="T794" s="369" t="str">
        <f>VLOOKUP(Tabla4[[#This Row],[Producto]],Tabla6[#All],14,FALSE)</f>
        <v>Termico Solar</v>
      </c>
      <c r="U794" s="284" t="e">
        <f>(IF(Tabla4[[#This Row],[Familia]]="termico solar",Tabla4[[#This Row],[Utilidad Total]]*6%,Tabla4[[#This Row],[Utilidad Total]]*11.5%))/Tabla4[[#This Row],[Total]]</f>
        <v>#N/A</v>
      </c>
      <c r="V794" s="282" t="e">
        <f>+Tabla4[[#This Row],[Comisión Calculada]]*Tabla4[[#This Row],[Total]]</f>
        <v>#N/A</v>
      </c>
    </row>
    <row r="795" spans="1:22" hidden="1" x14ac:dyDescent="0.25">
      <c r="A795" s="100">
        <v>45716</v>
      </c>
      <c r="B795" t="str">
        <f t="shared" si="30"/>
        <v>February</v>
      </c>
      <c r="C795" s="46" t="s">
        <v>280</v>
      </c>
      <c r="F795" s="366" t="s">
        <v>1029</v>
      </c>
      <c r="G795" s="46" t="s">
        <v>16</v>
      </c>
      <c r="H795" s="46">
        <v>2</v>
      </c>
      <c r="I795" s="51">
        <v>4103.8500000000004</v>
      </c>
      <c r="J795" s="281">
        <f>++Tabla4[[#This Row],[Precio Bruto]]*1.16</f>
        <v>4760.4660000000003</v>
      </c>
      <c r="K795" s="281">
        <f>+Tabla4[[#This Row],[Precio Unitario Neto]]*Tabla4[[#Headers],[20.85%]]</f>
        <v>992.55716100000006</v>
      </c>
      <c r="L795" s="282">
        <f>++Tabla4[[#This Row],[Precio Unitario Neto]]-Tabla4[[#This Row],[20.85%]]</f>
        <v>3767.9088390000002</v>
      </c>
      <c r="M795" s="282" t="e">
        <f>(INDEX(Tabla6[#All],MATCH(Tabla4[[#This Row],[Producto]],Tabla6[[#All],[PRODUCTO]],0),MATCH(Tabla4[[#This Row],[Mes]],Tabla6[#Headers],0)))*(1+Catalogos!$L$2)</f>
        <v>#N/A</v>
      </c>
      <c r="N795" s="283" t="e">
        <f>+(Tabla4[[#This Row],[Precio Descontado]]-Tabla4[[#This Row],[Precio Base]])*Tabla4[[#This Row],[Cantidad]]</f>
        <v>#N/A</v>
      </c>
      <c r="O795" s="284" t="e">
        <f>++Tabla4[[#This Row],[Utilidad Total]]/Tabla4[[#This Row],[Total]]</f>
        <v>#N/A</v>
      </c>
      <c r="P795" s="282">
        <f>++Tabla4[[#This Row],[Precio Descontado]]*Tabla4[[#This Row],[Cantidad]]</f>
        <v>7535.8176780000003</v>
      </c>
      <c r="Q795" s="282" t="e">
        <f>(INDEX(Tabla6[#All],MATCH(Tabla4[[#This Row],[Producto]],Tabla6[[#All],[PRODUCTO]],0),MATCH(Tabla4[[#This Row],[Mes]],Tabla6[#Headers],0)))</f>
        <v>#N/A</v>
      </c>
      <c r="R795" s="282" t="e">
        <f>++Tabla4[[#This Row],[Precio Unitario Neto]]-Tabla4[[#This Row],[20.85%]]-Tabla4[[#This Row],[Costo]]</f>
        <v>#N/A</v>
      </c>
      <c r="S795" s="282" t="e">
        <f>++Tabla4[[#This Row],[U. Bruta Uni]]*Tabla4[[#This Row],[Cantidad]]</f>
        <v>#N/A</v>
      </c>
      <c r="T795" s="369" t="str">
        <f>VLOOKUP(Tabla4[[#This Row],[Producto]],Tabla6[#All],14,FALSE)</f>
        <v>Termico Solar</v>
      </c>
      <c r="U795" s="284" t="e">
        <f>(IF(Tabla4[[#This Row],[Familia]]="termico solar",Tabla4[[#This Row],[Utilidad Total]]*6%,Tabla4[[#This Row],[Utilidad Total]]*11.5%))/Tabla4[[#This Row],[Total]]</f>
        <v>#N/A</v>
      </c>
      <c r="V795" s="282" t="e">
        <f>+Tabla4[[#This Row],[Comisión Calculada]]*Tabla4[[#This Row],[Total]]</f>
        <v>#N/A</v>
      </c>
    </row>
    <row r="796" spans="1:22" hidden="1" x14ac:dyDescent="0.25">
      <c r="A796" s="100">
        <v>45716</v>
      </c>
      <c r="B796" t="str">
        <f t="shared" si="30"/>
        <v>February</v>
      </c>
      <c r="C796" s="46" t="s">
        <v>280</v>
      </c>
      <c r="F796" s="366" t="s">
        <v>1030</v>
      </c>
      <c r="G796" s="46" t="s">
        <v>566</v>
      </c>
      <c r="H796" s="46">
        <v>1</v>
      </c>
      <c r="I796" s="51">
        <v>2109.4499999999998</v>
      </c>
      <c r="J796" s="281">
        <f>++Tabla4[[#This Row],[Precio Bruto]]*1.16</f>
        <v>2446.9619999999995</v>
      </c>
      <c r="K796" s="281">
        <f>+Tabla4[[#This Row],[Precio Unitario Neto]]*Tabla4[[#Headers],[20.85%]]</f>
        <v>510.19157699999988</v>
      </c>
      <c r="L796" s="282">
        <f>++Tabla4[[#This Row],[Precio Unitario Neto]]-Tabla4[[#This Row],[20.85%]]</f>
        <v>1936.7704229999997</v>
      </c>
      <c r="M796" s="282" t="e">
        <f>(INDEX(Tabla6[#All],MATCH(Tabla4[[#This Row],[Producto]],Tabla6[[#All],[PRODUCTO]],0),MATCH(Tabla4[[#This Row],[Mes]],Tabla6[#Headers],0)))*(1+Catalogos!$L$2)</f>
        <v>#N/A</v>
      </c>
      <c r="N796" s="283" t="e">
        <f>+(Tabla4[[#This Row],[Precio Descontado]]-Tabla4[[#This Row],[Precio Base]])*Tabla4[[#This Row],[Cantidad]]</f>
        <v>#N/A</v>
      </c>
      <c r="O796" s="284" t="e">
        <f>++Tabla4[[#This Row],[Utilidad Total]]/Tabla4[[#This Row],[Total]]</f>
        <v>#N/A</v>
      </c>
      <c r="P796" s="282">
        <f>++Tabla4[[#This Row],[Precio Descontado]]*Tabla4[[#This Row],[Cantidad]]</f>
        <v>1936.7704229999997</v>
      </c>
      <c r="Q796" s="282" t="e">
        <f>(INDEX(Tabla6[#All],MATCH(Tabla4[[#This Row],[Producto]],Tabla6[[#All],[PRODUCTO]],0),MATCH(Tabla4[[#This Row],[Mes]],Tabla6[#Headers],0)))</f>
        <v>#N/A</v>
      </c>
      <c r="R796" s="282" t="e">
        <f>++Tabla4[[#This Row],[Precio Unitario Neto]]-Tabla4[[#This Row],[20.85%]]-Tabla4[[#This Row],[Costo]]</f>
        <v>#N/A</v>
      </c>
      <c r="S796" s="282" t="e">
        <f>++Tabla4[[#This Row],[U. Bruta Uni]]*Tabla4[[#This Row],[Cantidad]]</f>
        <v>#N/A</v>
      </c>
      <c r="T796" s="369" t="str">
        <f>VLOOKUP(Tabla4[[#This Row],[Producto]],Tabla6[#All],14,FALSE)</f>
        <v>Termico Solar</v>
      </c>
      <c r="U796" s="284" t="e">
        <f>(IF(Tabla4[[#This Row],[Familia]]="termico solar",Tabla4[[#This Row],[Utilidad Total]]*6%,Tabla4[[#This Row],[Utilidad Total]]*11.5%))/Tabla4[[#This Row],[Total]]</f>
        <v>#N/A</v>
      </c>
      <c r="V796" s="282" t="e">
        <f>+Tabla4[[#This Row],[Comisión Calculada]]*Tabla4[[#This Row],[Total]]</f>
        <v>#N/A</v>
      </c>
    </row>
    <row r="797" spans="1:22" hidden="1" x14ac:dyDescent="0.25">
      <c r="A797" s="100">
        <v>45716</v>
      </c>
      <c r="B797" t="str">
        <f t="shared" si="30"/>
        <v>February</v>
      </c>
      <c r="C797" s="46" t="s">
        <v>280</v>
      </c>
      <c r="F797" s="366" t="s">
        <v>1031</v>
      </c>
      <c r="G797" s="46" t="s">
        <v>83</v>
      </c>
      <c r="H797" s="46">
        <v>6</v>
      </c>
      <c r="I797" s="51">
        <v>8858.76</v>
      </c>
      <c r="J797" s="281">
        <f>++Tabla4[[#This Row],[Precio Bruto]]*1.16</f>
        <v>10276.161599999999</v>
      </c>
      <c r="K797" s="281">
        <f>+Tabla4[[#This Row],[Precio Unitario Neto]]*Tabla4[[#Headers],[20.85%]]</f>
        <v>2142.5796935999997</v>
      </c>
      <c r="L797" s="282">
        <f>++Tabla4[[#This Row],[Precio Unitario Neto]]-Tabla4[[#This Row],[20.85%]]</f>
        <v>8133.5819063999998</v>
      </c>
      <c r="M797" s="282" t="e">
        <f>(INDEX(Tabla6[#All],MATCH(Tabla4[[#This Row],[Producto]],Tabla6[[#All],[PRODUCTO]],0),MATCH(Tabla4[[#This Row],[Mes]],Tabla6[#Headers],0)))*(1+Catalogos!$L$2)</f>
        <v>#N/A</v>
      </c>
      <c r="N797" s="283" t="e">
        <f>+(Tabla4[[#This Row],[Precio Descontado]]-Tabla4[[#This Row],[Precio Base]])*Tabla4[[#This Row],[Cantidad]]</f>
        <v>#N/A</v>
      </c>
      <c r="O797" s="284" t="e">
        <f>++Tabla4[[#This Row],[Utilidad Total]]/Tabla4[[#This Row],[Total]]</f>
        <v>#N/A</v>
      </c>
      <c r="P797" s="282">
        <f>++Tabla4[[#This Row],[Precio Descontado]]*Tabla4[[#This Row],[Cantidad]]</f>
        <v>48801.4914384</v>
      </c>
      <c r="Q797" s="282" t="e">
        <f>(INDEX(Tabla6[#All],MATCH(Tabla4[[#This Row],[Producto]],Tabla6[[#All],[PRODUCTO]],0),MATCH(Tabla4[[#This Row],[Mes]],Tabla6[#Headers],0)))</f>
        <v>#N/A</v>
      </c>
      <c r="R797" s="282" t="e">
        <f>++Tabla4[[#This Row],[Precio Unitario Neto]]-Tabla4[[#This Row],[20.85%]]-Tabla4[[#This Row],[Costo]]</f>
        <v>#N/A</v>
      </c>
      <c r="S797" s="282" t="e">
        <f>++Tabla4[[#This Row],[U. Bruta Uni]]*Tabla4[[#This Row],[Cantidad]]</f>
        <v>#N/A</v>
      </c>
      <c r="T797" s="369" t="str">
        <f>VLOOKUP(Tabla4[[#This Row],[Producto]],Tabla6[#All],14,FALSE)</f>
        <v>Termico Solar</v>
      </c>
      <c r="U797" s="284" t="e">
        <f>(IF(Tabla4[[#This Row],[Familia]]="termico solar",Tabla4[[#This Row],[Utilidad Total]]*6%,Tabla4[[#This Row],[Utilidad Total]]*11.5%))/Tabla4[[#This Row],[Total]]</f>
        <v>#N/A</v>
      </c>
      <c r="V797" s="282" t="e">
        <f>+Tabla4[[#This Row],[Comisión Calculada]]*Tabla4[[#This Row],[Total]]</f>
        <v>#N/A</v>
      </c>
    </row>
    <row r="798" spans="1:22" hidden="1" x14ac:dyDescent="0.25">
      <c r="A798" s="100">
        <v>45716</v>
      </c>
      <c r="B798" t="str">
        <f t="shared" si="30"/>
        <v>February</v>
      </c>
      <c r="C798" s="46" t="s">
        <v>280</v>
      </c>
      <c r="F798" s="366" t="s">
        <v>1031</v>
      </c>
      <c r="G798" s="46" t="s">
        <v>18</v>
      </c>
      <c r="H798" s="46">
        <v>2</v>
      </c>
      <c r="I798" s="51">
        <v>5367.65</v>
      </c>
      <c r="J798" s="281">
        <f>++Tabla4[[#This Row],[Precio Bruto]]*1.16</f>
        <v>6226.4739999999993</v>
      </c>
      <c r="K798" s="281">
        <f>+Tabla4[[#This Row],[Precio Unitario Neto]]*Tabla4[[#Headers],[20.85%]]</f>
        <v>1298.2198289999999</v>
      </c>
      <c r="L798" s="282">
        <f>++Tabla4[[#This Row],[Precio Unitario Neto]]-Tabla4[[#This Row],[20.85%]]</f>
        <v>4928.2541709999996</v>
      </c>
      <c r="M798" s="282" t="e">
        <f>(INDEX(Tabla6[#All],MATCH(Tabla4[[#This Row],[Producto]],Tabla6[[#All],[PRODUCTO]],0),MATCH(Tabla4[[#This Row],[Mes]],Tabla6[#Headers],0)))*(1+Catalogos!$L$2)</f>
        <v>#N/A</v>
      </c>
      <c r="N798" s="283" t="e">
        <f>+(Tabla4[[#This Row],[Precio Descontado]]-Tabla4[[#This Row],[Precio Base]])*Tabla4[[#This Row],[Cantidad]]</f>
        <v>#N/A</v>
      </c>
      <c r="O798" s="284" t="e">
        <f>++Tabla4[[#This Row],[Utilidad Total]]/Tabla4[[#This Row],[Total]]</f>
        <v>#N/A</v>
      </c>
      <c r="P798" s="282">
        <f>++Tabla4[[#This Row],[Precio Descontado]]*Tabla4[[#This Row],[Cantidad]]</f>
        <v>9856.5083419999992</v>
      </c>
      <c r="Q798" s="282" t="e">
        <f>(INDEX(Tabla6[#All],MATCH(Tabla4[[#This Row],[Producto]],Tabla6[[#All],[PRODUCTO]],0),MATCH(Tabla4[[#This Row],[Mes]],Tabla6[#Headers],0)))</f>
        <v>#N/A</v>
      </c>
      <c r="R798" s="282" t="e">
        <f>++Tabla4[[#This Row],[Precio Unitario Neto]]-Tabla4[[#This Row],[20.85%]]-Tabla4[[#This Row],[Costo]]</f>
        <v>#N/A</v>
      </c>
      <c r="S798" s="282" t="e">
        <f>++Tabla4[[#This Row],[U. Bruta Uni]]*Tabla4[[#This Row],[Cantidad]]</f>
        <v>#N/A</v>
      </c>
      <c r="T798" s="369" t="str">
        <f>VLOOKUP(Tabla4[[#This Row],[Producto]],Tabla6[#All],14,FALSE)</f>
        <v>Termico Solar</v>
      </c>
      <c r="U798" s="284" t="e">
        <f>(IF(Tabla4[[#This Row],[Familia]]="termico solar",Tabla4[[#This Row],[Utilidad Total]]*6%,Tabla4[[#This Row],[Utilidad Total]]*11.5%))/Tabla4[[#This Row],[Total]]</f>
        <v>#N/A</v>
      </c>
      <c r="V798" s="282" t="e">
        <f>+Tabla4[[#This Row],[Comisión Calculada]]*Tabla4[[#This Row],[Total]]</f>
        <v>#N/A</v>
      </c>
    </row>
    <row r="799" spans="1:22" hidden="1" x14ac:dyDescent="0.25">
      <c r="A799" s="100">
        <v>45716</v>
      </c>
      <c r="B799" t="str">
        <f t="shared" si="30"/>
        <v>February</v>
      </c>
      <c r="C799" s="46" t="s">
        <v>280</v>
      </c>
      <c r="F799" s="366" t="s">
        <v>1031</v>
      </c>
      <c r="G799" s="46" t="s">
        <v>566</v>
      </c>
      <c r="H799" s="46">
        <v>1</v>
      </c>
      <c r="I799" s="51">
        <v>2109.4499999999998</v>
      </c>
      <c r="J799" s="281">
        <f>++Tabla4[[#This Row],[Precio Bruto]]*1.16</f>
        <v>2446.9619999999995</v>
      </c>
      <c r="K799" s="281">
        <f>+Tabla4[[#This Row],[Precio Unitario Neto]]*Tabla4[[#Headers],[20.85%]]</f>
        <v>510.19157699999988</v>
      </c>
      <c r="L799" s="282">
        <f>++Tabla4[[#This Row],[Precio Unitario Neto]]-Tabla4[[#This Row],[20.85%]]</f>
        <v>1936.7704229999997</v>
      </c>
      <c r="M799" s="282" t="e">
        <f>(INDEX(Tabla6[#All],MATCH(Tabla4[[#This Row],[Producto]],Tabla6[[#All],[PRODUCTO]],0),MATCH(Tabla4[[#This Row],[Mes]],Tabla6[#Headers],0)))*(1+Catalogos!$L$2)</f>
        <v>#N/A</v>
      </c>
      <c r="N799" s="283" t="e">
        <f>+(Tabla4[[#This Row],[Precio Descontado]]-Tabla4[[#This Row],[Precio Base]])*Tabla4[[#This Row],[Cantidad]]</f>
        <v>#N/A</v>
      </c>
      <c r="O799" s="284" t="e">
        <f>++Tabla4[[#This Row],[Utilidad Total]]/Tabla4[[#This Row],[Total]]</f>
        <v>#N/A</v>
      </c>
      <c r="P799" s="282">
        <f>++Tabla4[[#This Row],[Precio Descontado]]*Tabla4[[#This Row],[Cantidad]]</f>
        <v>1936.7704229999997</v>
      </c>
      <c r="Q799" s="282" t="e">
        <f>(INDEX(Tabla6[#All],MATCH(Tabla4[[#This Row],[Producto]],Tabla6[[#All],[PRODUCTO]],0),MATCH(Tabla4[[#This Row],[Mes]],Tabla6[#Headers],0)))</f>
        <v>#N/A</v>
      </c>
      <c r="R799" s="282" t="e">
        <f>++Tabla4[[#This Row],[Precio Unitario Neto]]-Tabla4[[#This Row],[20.85%]]-Tabla4[[#This Row],[Costo]]</f>
        <v>#N/A</v>
      </c>
      <c r="S799" s="282" t="e">
        <f>++Tabla4[[#This Row],[U. Bruta Uni]]*Tabla4[[#This Row],[Cantidad]]</f>
        <v>#N/A</v>
      </c>
      <c r="T799" s="369" t="str">
        <f>VLOOKUP(Tabla4[[#This Row],[Producto]],Tabla6[#All],14,FALSE)</f>
        <v>Termico Solar</v>
      </c>
      <c r="U799" s="284" t="e">
        <f>(IF(Tabla4[[#This Row],[Familia]]="termico solar",Tabla4[[#This Row],[Utilidad Total]]*6%,Tabla4[[#This Row],[Utilidad Total]]*11.5%))/Tabla4[[#This Row],[Total]]</f>
        <v>#N/A</v>
      </c>
      <c r="V799" s="282" t="e">
        <f>+Tabla4[[#This Row],[Comisión Calculada]]*Tabla4[[#This Row],[Total]]</f>
        <v>#N/A</v>
      </c>
    </row>
    <row r="800" spans="1:22" hidden="1" x14ac:dyDescent="0.25">
      <c r="A800" s="100">
        <v>45716</v>
      </c>
      <c r="B800" t="str">
        <f t="shared" si="30"/>
        <v>February</v>
      </c>
      <c r="C800" s="46" t="s">
        <v>280</v>
      </c>
      <c r="F800" s="366" t="s">
        <v>1031</v>
      </c>
      <c r="G800" s="46" t="s">
        <v>16</v>
      </c>
      <c r="H800" s="46">
        <v>1</v>
      </c>
      <c r="I800" s="51">
        <v>4103.8500000000004</v>
      </c>
      <c r="J800" s="281">
        <f>++Tabla4[[#This Row],[Precio Bruto]]*1.16</f>
        <v>4760.4660000000003</v>
      </c>
      <c r="K800" s="281">
        <f>+Tabla4[[#This Row],[Precio Unitario Neto]]*Tabla4[[#Headers],[20.85%]]</f>
        <v>992.55716100000006</v>
      </c>
      <c r="L800" s="282">
        <f>++Tabla4[[#This Row],[Precio Unitario Neto]]-Tabla4[[#This Row],[20.85%]]</f>
        <v>3767.9088390000002</v>
      </c>
      <c r="M800" s="282" t="e">
        <f>(INDEX(Tabla6[#All],MATCH(Tabla4[[#This Row],[Producto]],Tabla6[[#All],[PRODUCTO]],0),MATCH(Tabla4[[#This Row],[Mes]],Tabla6[#Headers],0)))*(1+Catalogos!$L$2)</f>
        <v>#N/A</v>
      </c>
      <c r="N800" s="283" t="e">
        <f>+(Tabla4[[#This Row],[Precio Descontado]]-Tabla4[[#This Row],[Precio Base]])*Tabla4[[#This Row],[Cantidad]]</f>
        <v>#N/A</v>
      </c>
      <c r="O800" s="284" t="e">
        <f>++Tabla4[[#This Row],[Utilidad Total]]/Tabla4[[#This Row],[Total]]</f>
        <v>#N/A</v>
      </c>
      <c r="P800" s="282">
        <f>++Tabla4[[#This Row],[Precio Descontado]]*Tabla4[[#This Row],[Cantidad]]</f>
        <v>3767.9088390000002</v>
      </c>
      <c r="Q800" s="282" t="e">
        <f>(INDEX(Tabla6[#All],MATCH(Tabla4[[#This Row],[Producto]],Tabla6[[#All],[PRODUCTO]],0),MATCH(Tabla4[[#This Row],[Mes]],Tabla6[#Headers],0)))</f>
        <v>#N/A</v>
      </c>
      <c r="R800" s="282" t="e">
        <f>++Tabla4[[#This Row],[Precio Unitario Neto]]-Tabla4[[#This Row],[20.85%]]-Tabla4[[#This Row],[Costo]]</f>
        <v>#N/A</v>
      </c>
      <c r="S800" s="282" t="e">
        <f>++Tabla4[[#This Row],[U. Bruta Uni]]*Tabla4[[#This Row],[Cantidad]]</f>
        <v>#N/A</v>
      </c>
      <c r="T800" s="369" t="str">
        <f>VLOOKUP(Tabla4[[#This Row],[Producto]],Tabla6[#All],14,FALSE)</f>
        <v>Termico Solar</v>
      </c>
      <c r="U800" s="284" t="e">
        <f>(IF(Tabla4[[#This Row],[Familia]]="termico solar",Tabla4[[#This Row],[Utilidad Total]]*6%,Tabla4[[#This Row],[Utilidad Total]]*11.5%))/Tabla4[[#This Row],[Total]]</f>
        <v>#N/A</v>
      </c>
      <c r="V800" s="282" t="e">
        <f>+Tabla4[[#This Row],[Comisión Calculada]]*Tabla4[[#This Row],[Total]]</f>
        <v>#N/A</v>
      </c>
    </row>
    <row r="801" spans="1:22" hidden="1" x14ac:dyDescent="0.25">
      <c r="A801" s="100">
        <v>45716</v>
      </c>
      <c r="B801" t="str">
        <f t="shared" si="30"/>
        <v>February</v>
      </c>
      <c r="C801" s="46" t="s">
        <v>280</v>
      </c>
      <c r="F801" s="366" t="s">
        <v>1032</v>
      </c>
      <c r="G801" s="46" t="s">
        <v>83</v>
      </c>
      <c r="H801" s="46">
        <v>3</v>
      </c>
      <c r="I801" s="51">
        <v>8858.76</v>
      </c>
      <c r="J801" s="281">
        <f>++Tabla4[[#This Row],[Precio Bruto]]*1.16</f>
        <v>10276.161599999999</v>
      </c>
      <c r="K801" s="281">
        <f>+Tabla4[[#This Row],[Precio Unitario Neto]]*Tabla4[[#Headers],[20.85%]]</f>
        <v>2142.5796935999997</v>
      </c>
      <c r="L801" s="282">
        <f>++Tabla4[[#This Row],[Precio Unitario Neto]]-Tabla4[[#This Row],[20.85%]]</f>
        <v>8133.5819063999998</v>
      </c>
      <c r="M801" s="282" t="e">
        <f>(INDEX(Tabla6[#All],MATCH(Tabla4[[#This Row],[Producto]],Tabla6[[#All],[PRODUCTO]],0),MATCH(Tabla4[[#This Row],[Mes]],Tabla6[#Headers],0)))*(1+Catalogos!$L$2)</f>
        <v>#N/A</v>
      </c>
      <c r="N801" s="283" t="e">
        <f>+(Tabla4[[#This Row],[Precio Descontado]]-Tabla4[[#This Row],[Precio Base]])*Tabla4[[#This Row],[Cantidad]]</f>
        <v>#N/A</v>
      </c>
      <c r="O801" s="284" t="e">
        <f>++Tabla4[[#This Row],[Utilidad Total]]/Tabla4[[#This Row],[Total]]</f>
        <v>#N/A</v>
      </c>
      <c r="P801" s="282">
        <f>++Tabla4[[#This Row],[Precio Descontado]]*Tabla4[[#This Row],[Cantidad]]</f>
        <v>24400.7457192</v>
      </c>
      <c r="Q801" s="282" t="e">
        <f>(INDEX(Tabla6[#All],MATCH(Tabla4[[#This Row],[Producto]],Tabla6[[#All],[PRODUCTO]],0),MATCH(Tabla4[[#This Row],[Mes]],Tabla6[#Headers],0)))</f>
        <v>#N/A</v>
      </c>
      <c r="R801" s="282" t="e">
        <f>++Tabla4[[#This Row],[Precio Unitario Neto]]-Tabla4[[#This Row],[20.85%]]-Tabla4[[#This Row],[Costo]]</f>
        <v>#N/A</v>
      </c>
      <c r="S801" s="282" t="e">
        <f>++Tabla4[[#This Row],[U. Bruta Uni]]*Tabla4[[#This Row],[Cantidad]]</f>
        <v>#N/A</v>
      </c>
      <c r="T801" s="369" t="str">
        <f>VLOOKUP(Tabla4[[#This Row],[Producto]],Tabla6[#All],14,FALSE)</f>
        <v>Termico Solar</v>
      </c>
      <c r="U801" s="284" t="e">
        <f>(IF(Tabla4[[#This Row],[Familia]]="termico solar",Tabla4[[#This Row],[Utilidad Total]]*6%,Tabla4[[#This Row],[Utilidad Total]]*11.5%))/Tabla4[[#This Row],[Total]]</f>
        <v>#N/A</v>
      </c>
      <c r="V801" s="282" t="e">
        <f>+Tabla4[[#This Row],[Comisión Calculada]]*Tabla4[[#This Row],[Total]]</f>
        <v>#N/A</v>
      </c>
    </row>
    <row r="802" spans="1:22" hidden="1" x14ac:dyDescent="0.25">
      <c r="A802" s="100">
        <v>45716</v>
      </c>
      <c r="B802" t="str">
        <f t="shared" si="30"/>
        <v>February</v>
      </c>
      <c r="C802" s="46" t="s">
        <v>280</v>
      </c>
      <c r="F802" s="366" t="s">
        <v>1032</v>
      </c>
      <c r="G802" s="46" t="s">
        <v>17</v>
      </c>
      <c r="H802" s="46">
        <v>3</v>
      </c>
      <c r="I802" s="51">
        <v>4622.28</v>
      </c>
      <c r="J802" s="281">
        <f>++Tabla4[[#This Row],[Precio Bruto]]*1.16</f>
        <v>5361.8447999999989</v>
      </c>
      <c r="K802" s="281">
        <f>+Tabla4[[#This Row],[Precio Unitario Neto]]*Tabla4[[#Headers],[20.85%]]</f>
        <v>1117.9446407999997</v>
      </c>
      <c r="L802" s="282">
        <f>++Tabla4[[#This Row],[Precio Unitario Neto]]-Tabla4[[#This Row],[20.85%]]</f>
        <v>4243.9001591999995</v>
      </c>
      <c r="M802" s="282" t="e">
        <f>(INDEX(Tabla6[#All],MATCH(Tabla4[[#This Row],[Producto]],Tabla6[[#All],[PRODUCTO]],0),MATCH(Tabla4[[#This Row],[Mes]],Tabla6[#Headers],0)))*(1+Catalogos!$L$2)</f>
        <v>#N/A</v>
      </c>
      <c r="N802" s="283" t="e">
        <f>+(Tabla4[[#This Row],[Precio Descontado]]-Tabla4[[#This Row],[Precio Base]])*Tabla4[[#This Row],[Cantidad]]</f>
        <v>#N/A</v>
      </c>
      <c r="O802" s="284" t="e">
        <f>++Tabla4[[#This Row],[Utilidad Total]]/Tabla4[[#This Row],[Total]]</f>
        <v>#N/A</v>
      </c>
      <c r="P802" s="282">
        <f>++Tabla4[[#This Row],[Precio Descontado]]*Tabla4[[#This Row],[Cantidad]]</f>
        <v>12731.700477599999</v>
      </c>
      <c r="Q802" s="282" t="e">
        <f>(INDEX(Tabla6[#All],MATCH(Tabla4[[#This Row],[Producto]],Tabla6[[#All],[PRODUCTO]],0),MATCH(Tabla4[[#This Row],[Mes]],Tabla6[#Headers],0)))</f>
        <v>#N/A</v>
      </c>
      <c r="R802" s="282" t="e">
        <f>++Tabla4[[#This Row],[Precio Unitario Neto]]-Tabla4[[#This Row],[20.85%]]-Tabla4[[#This Row],[Costo]]</f>
        <v>#N/A</v>
      </c>
      <c r="S802" s="282" t="e">
        <f>++Tabla4[[#This Row],[U. Bruta Uni]]*Tabla4[[#This Row],[Cantidad]]</f>
        <v>#N/A</v>
      </c>
      <c r="T802" s="369" t="str">
        <f>VLOOKUP(Tabla4[[#This Row],[Producto]],Tabla6[#All],14,FALSE)</f>
        <v>Termico Solar</v>
      </c>
      <c r="U802" s="284" t="e">
        <f>(IF(Tabla4[[#This Row],[Familia]]="termico solar",Tabla4[[#This Row],[Utilidad Total]]*6%,Tabla4[[#This Row],[Utilidad Total]]*11.5%))/Tabla4[[#This Row],[Total]]</f>
        <v>#N/A</v>
      </c>
      <c r="V802" s="282" t="e">
        <f>+Tabla4[[#This Row],[Comisión Calculada]]*Tabla4[[#This Row],[Total]]</f>
        <v>#N/A</v>
      </c>
    </row>
    <row r="803" spans="1:22" hidden="1" x14ac:dyDescent="0.25">
      <c r="A803" s="100">
        <v>45716</v>
      </c>
      <c r="B803" t="str">
        <f t="shared" si="30"/>
        <v>February</v>
      </c>
      <c r="C803" s="46" t="s">
        <v>280</v>
      </c>
      <c r="F803" s="366" t="s">
        <v>1032</v>
      </c>
      <c r="G803" s="46" t="s">
        <v>16</v>
      </c>
      <c r="H803" s="46">
        <v>4</v>
      </c>
      <c r="I803" s="51">
        <v>4103.8500000000004</v>
      </c>
      <c r="J803" s="281">
        <f>++Tabla4[[#This Row],[Precio Bruto]]*1.16</f>
        <v>4760.4660000000003</v>
      </c>
      <c r="K803" s="281">
        <f>+Tabla4[[#This Row],[Precio Unitario Neto]]*Tabla4[[#Headers],[20.85%]]</f>
        <v>992.55716100000006</v>
      </c>
      <c r="L803" s="282">
        <f>++Tabla4[[#This Row],[Precio Unitario Neto]]-Tabla4[[#This Row],[20.85%]]</f>
        <v>3767.9088390000002</v>
      </c>
      <c r="M803" s="282" t="e">
        <f>(INDEX(Tabla6[#All],MATCH(Tabla4[[#This Row],[Producto]],Tabla6[[#All],[PRODUCTO]],0),MATCH(Tabla4[[#This Row],[Mes]],Tabla6[#Headers],0)))*(1+Catalogos!$L$2)</f>
        <v>#N/A</v>
      </c>
      <c r="N803" s="283" t="e">
        <f>+(Tabla4[[#This Row],[Precio Descontado]]-Tabla4[[#This Row],[Precio Base]])*Tabla4[[#This Row],[Cantidad]]</f>
        <v>#N/A</v>
      </c>
      <c r="O803" s="284" t="e">
        <f>++Tabla4[[#This Row],[Utilidad Total]]/Tabla4[[#This Row],[Total]]</f>
        <v>#N/A</v>
      </c>
      <c r="P803" s="282">
        <f>++Tabla4[[#This Row],[Precio Descontado]]*Tabla4[[#This Row],[Cantidad]]</f>
        <v>15071.635356000001</v>
      </c>
      <c r="Q803" s="282" t="e">
        <f>(INDEX(Tabla6[#All],MATCH(Tabla4[[#This Row],[Producto]],Tabla6[[#All],[PRODUCTO]],0),MATCH(Tabla4[[#This Row],[Mes]],Tabla6[#Headers],0)))</f>
        <v>#N/A</v>
      </c>
      <c r="R803" s="282" t="e">
        <f>++Tabla4[[#This Row],[Precio Unitario Neto]]-Tabla4[[#This Row],[20.85%]]-Tabla4[[#This Row],[Costo]]</f>
        <v>#N/A</v>
      </c>
      <c r="S803" s="282" t="e">
        <f>++Tabla4[[#This Row],[U. Bruta Uni]]*Tabla4[[#This Row],[Cantidad]]</f>
        <v>#N/A</v>
      </c>
      <c r="T803" s="369" t="str">
        <f>VLOOKUP(Tabla4[[#This Row],[Producto]],Tabla6[#All],14,FALSE)</f>
        <v>Termico Solar</v>
      </c>
      <c r="U803" s="284" t="e">
        <f>(IF(Tabla4[[#This Row],[Familia]]="termico solar",Tabla4[[#This Row],[Utilidad Total]]*6%,Tabla4[[#This Row],[Utilidad Total]]*11.5%))/Tabla4[[#This Row],[Total]]</f>
        <v>#N/A</v>
      </c>
      <c r="V803" s="282" t="e">
        <f>+Tabla4[[#This Row],[Comisión Calculada]]*Tabla4[[#This Row],[Total]]</f>
        <v>#N/A</v>
      </c>
    </row>
    <row r="804" spans="1:22" hidden="1" x14ac:dyDescent="0.25">
      <c r="A804" s="100">
        <v>45716</v>
      </c>
      <c r="B804" t="str">
        <f t="shared" si="30"/>
        <v>February</v>
      </c>
      <c r="C804" s="46" t="s">
        <v>280</v>
      </c>
      <c r="F804" s="366" t="s">
        <v>1033</v>
      </c>
      <c r="G804" s="46" t="s">
        <v>83</v>
      </c>
      <c r="H804" s="46">
        <v>1</v>
      </c>
      <c r="I804" s="51">
        <v>8858.76</v>
      </c>
      <c r="J804" s="281">
        <f>++Tabla4[[#This Row],[Precio Bruto]]*1.16</f>
        <v>10276.161599999999</v>
      </c>
      <c r="K804" s="281">
        <f>+Tabla4[[#This Row],[Precio Unitario Neto]]*Tabla4[[#Headers],[20.85%]]</f>
        <v>2142.5796935999997</v>
      </c>
      <c r="L804" s="282">
        <f>++Tabla4[[#This Row],[Precio Unitario Neto]]-Tabla4[[#This Row],[20.85%]]</f>
        <v>8133.5819063999998</v>
      </c>
      <c r="M804" s="282" t="e">
        <f>(INDEX(Tabla6[#All],MATCH(Tabla4[[#This Row],[Producto]],Tabla6[[#All],[PRODUCTO]],0),MATCH(Tabla4[[#This Row],[Mes]],Tabla6[#Headers],0)))*(1+Catalogos!$L$2)</f>
        <v>#N/A</v>
      </c>
      <c r="N804" s="283" t="e">
        <f>+(Tabla4[[#This Row],[Precio Descontado]]-Tabla4[[#This Row],[Precio Base]])*Tabla4[[#This Row],[Cantidad]]</f>
        <v>#N/A</v>
      </c>
      <c r="O804" s="284" t="e">
        <f>++Tabla4[[#This Row],[Utilidad Total]]/Tabla4[[#This Row],[Total]]</f>
        <v>#N/A</v>
      </c>
      <c r="P804" s="282">
        <f>++Tabla4[[#This Row],[Precio Descontado]]*Tabla4[[#This Row],[Cantidad]]</f>
        <v>8133.5819063999998</v>
      </c>
      <c r="Q804" s="282" t="e">
        <f>(INDEX(Tabla6[#All],MATCH(Tabla4[[#This Row],[Producto]],Tabla6[[#All],[PRODUCTO]],0),MATCH(Tabla4[[#This Row],[Mes]],Tabla6[#Headers],0)))</f>
        <v>#N/A</v>
      </c>
      <c r="R804" s="282" t="e">
        <f>++Tabla4[[#This Row],[Precio Unitario Neto]]-Tabla4[[#This Row],[20.85%]]-Tabla4[[#This Row],[Costo]]</f>
        <v>#N/A</v>
      </c>
      <c r="S804" s="282" t="e">
        <f>++Tabla4[[#This Row],[U. Bruta Uni]]*Tabla4[[#This Row],[Cantidad]]</f>
        <v>#N/A</v>
      </c>
      <c r="T804" s="369" t="str">
        <f>VLOOKUP(Tabla4[[#This Row],[Producto]],Tabla6[#All],14,FALSE)</f>
        <v>Termico Solar</v>
      </c>
      <c r="U804" s="284" t="e">
        <f>(IF(Tabla4[[#This Row],[Familia]]="termico solar",Tabla4[[#This Row],[Utilidad Total]]*6%,Tabla4[[#This Row],[Utilidad Total]]*11.5%))/Tabla4[[#This Row],[Total]]</f>
        <v>#N/A</v>
      </c>
      <c r="V804" s="282" t="e">
        <f>+Tabla4[[#This Row],[Comisión Calculada]]*Tabla4[[#This Row],[Total]]</f>
        <v>#N/A</v>
      </c>
    </row>
    <row r="805" spans="1:22" hidden="1" x14ac:dyDescent="0.25">
      <c r="A805" s="100">
        <v>45716</v>
      </c>
      <c r="B805" t="str">
        <f t="shared" si="30"/>
        <v>February</v>
      </c>
      <c r="C805" s="46" t="s">
        <v>280</v>
      </c>
      <c r="F805" s="366" t="s">
        <v>1033</v>
      </c>
      <c r="G805" s="46" t="s">
        <v>599</v>
      </c>
      <c r="H805" s="46">
        <v>2</v>
      </c>
      <c r="I805" s="51">
        <v>189.75</v>
      </c>
      <c r="J805" s="281">
        <f>++Tabla4[[#This Row],[Precio Bruto]]*1.16</f>
        <v>220.10999999999999</v>
      </c>
      <c r="K805" s="281">
        <f>+Tabla4[[#This Row],[Precio Unitario Neto]]*Tabla4[[#Headers],[20.85%]]</f>
        <v>45.892934999999994</v>
      </c>
      <c r="L805" s="282">
        <f>++Tabla4[[#This Row],[Precio Unitario Neto]]-Tabla4[[#This Row],[20.85%]]</f>
        <v>174.21706499999999</v>
      </c>
      <c r="M805" s="282" t="e">
        <f>(INDEX(Tabla6[#All],MATCH(Tabla4[[#This Row],[Producto]],Tabla6[[#All],[PRODUCTO]],0),MATCH(Tabla4[[#This Row],[Mes]],Tabla6[#Headers],0)))*(1+Catalogos!$L$2)</f>
        <v>#N/A</v>
      </c>
      <c r="N805" s="283" t="e">
        <f>+(Tabla4[[#This Row],[Precio Descontado]]-Tabla4[[#This Row],[Precio Base]])*Tabla4[[#This Row],[Cantidad]]</f>
        <v>#N/A</v>
      </c>
      <c r="O805" s="284" t="e">
        <f>++Tabla4[[#This Row],[Utilidad Total]]/Tabla4[[#This Row],[Total]]</f>
        <v>#N/A</v>
      </c>
      <c r="P805" s="282">
        <f>++Tabla4[[#This Row],[Precio Descontado]]*Tabla4[[#This Row],[Cantidad]]</f>
        <v>348.43412999999998</v>
      </c>
      <c r="Q805" s="282" t="e">
        <f>(INDEX(Tabla6[#All],MATCH(Tabla4[[#This Row],[Producto]],Tabla6[[#All],[PRODUCTO]],0),MATCH(Tabla4[[#This Row],[Mes]],Tabla6[#Headers],0)))</f>
        <v>#N/A</v>
      </c>
      <c r="R805" s="282" t="e">
        <f>++Tabla4[[#This Row],[Precio Unitario Neto]]-Tabla4[[#This Row],[20.85%]]-Tabla4[[#This Row],[Costo]]</f>
        <v>#N/A</v>
      </c>
      <c r="S805" s="282" t="e">
        <f>++Tabla4[[#This Row],[U. Bruta Uni]]*Tabla4[[#This Row],[Cantidad]]</f>
        <v>#N/A</v>
      </c>
      <c r="T805" s="369" t="str">
        <f>VLOOKUP(Tabla4[[#This Row],[Producto]],Tabla6[#All],14,FALSE)</f>
        <v>Termico Solar</v>
      </c>
      <c r="U805" s="284" t="e">
        <f>(IF(Tabla4[[#This Row],[Familia]]="termico solar",Tabla4[[#This Row],[Utilidad Total]]*6%,Tabla4[[#This Row],[Utilidad Total]]*11.5%))/Tabla4[[#This Row],[Total]]</f>
        <v>#N/A</v>
      </c>
      <c r="V805" s="282" t="e">
        <f>+Tabla4[[#This Row],[Comisión Calculada]]*Tabla4[[#This Row],[Total]]</f>
        <v>#N/A</v>
      </c>
    </row>
    <row r="806" spans="1:22" hidden="1" x14ac:dyDescent="0.25">
      <c r="A806" s="100">
        <v>45716</v>
      </c>
      <c r="B806" t="str">
        <f t="shared" ref="B806:B837" si="31">TEXT(A806, "mmmm")</f>
        <v>February</v>
      </c>
      <c r="C806" s="46" t="s">
        <v>280</v>
      </c>
      <c r="F806" s="366" t="s">
        <v>1034</v>
      </c>
      <c r="G806" s="46" t="s">
        <v>17</v>
      </c>
      <c r="H806" s="46">
        <v>1</v>
      </c>
      <c r="I806" s="51">
        <v>4622.28</v>
      </c>
      <c r="J806" s="281">
        <f>++Tabla4[[#This Row],[Precio Bruto]]*1.16</f>
        <v>5361.8447999999989</v>
      </c>
      <c r="K806" s="281">
        <f>+Tabla4[[#This Row],[Precio Unitario Neto]]*Tabla4[[#Headers],[20.85%]]</f>
        <v>1117.9446407999997</v>
      </c>
      <c r="L806" s="282">
        <f>++Tabla4[[#This Row],[Precio Unitario Neto]]-Tabla4[[#This Row],[20.85%]]</f>
        <v>4243.9001591999995</v>
      </c>
      <c r="M806" s="282" t="e">
        <f>(INDEX(Tabla6[#All],MATCH(Tabla4[[#This Row],[Producto]],Tabla6[[#All],[PRODUCTO]],0),MATCH(Tabla4[[#This Row],[Mes]],Tabla6[#Headers],0)))*(1+Catalogos!$L$2)</f>
        <v>#N/A</v>
      </c>
      <c r="N806" s="283" t="e">
        <f>+(Tabla4[[#This Row],[Precio Descontado]]-Tabla4[[#This Row],[Precio Base]])*Tabla4[[#This Row],[Cantidad]]</f>
        <v>#N/A</v>
      </c>
      <c r="O806" s="284" t="e">
        <f>++Tabla4[[#This Row],[Utilidad Total]]/Tabla4[[#This Row],[Total]]</f>
        <v>#N/A</v>
      </c>
      <c r="P806" s="282">
        <f>++Tabla4[[#This Row],[Precio Descontado]]*Tabla4[[#This Row],[Cantidad]]</f>
        <v>4243.9001591999995</v>
      </c>
      <c r="Q806" s="282" t="e">
        <f>(INDEX(Tabla6[#All],MATCH(Tabla4[[#This Row],[Producto]],Tabla6[[#All],[PRODUCTO]],0),MATCH(Tabla4[[#This Row],[Mes]],Tabla6[#Headers],0)))</f>
        <v>#N/A</v>
      </c>
      <c r="R806" s="282" t="e">
        <f>++Tabla4[[#This Row],[Precio Unitario Neto]]-Tabla4[[#This Row],[20.85%]]-Tabla4[[#This Row],[Costo]]</f>
        <v>#N/A</v>
      </c>
      <c r="S806" s="282" t="e">
        <f>++Tabla4[[#This Row],[U. Bruta Uni]]*Tabla4[[#This Row],[Cantidad]]</f>
        <v>#N/A</v>
      </c>
      <c r="T806" s="369" t="str">
        <f>VLOOKUP(Tabla4[[#This Row],[Producto]],Tabla6[#All],14,FALSE)</f>
        <v>Termico Solar</v>
      </c>
      <c r="U806" s="284" t="e">
        <f>(IF(Tabla4[[#This Row],[Familia]]="termico solar",Tabla4[[#This Row],[Utilidad Total]]*6%,Tabla4[[#This Row],[Utilidad Total]]*11.5%))/Tabla4[[#This Row],[Total]]</f>
        <v>#N/A</v>
      </c>
      <c r="V806" s="282" t="e">
        <f>+Tabla4[[#This Row],[Comisión Calculada]]*Tabla4[[#This Row],[Total]]</f>
        <v>#N/A</v>
      </c>
    </row>
    <row r="807" spans="1:22" hidden="1" x14ac:dyDescent="0.25">
      <c r="A807" s="100">
        <v>45716</v>
      </c>
      <c r="B807" t="str">
        <f t="shared" si="31"/>
        <v>February</v>
      </c>
      <c r="C807" s="46" t="s">
        <v>280</v>
      </c>
      <c r="F807" s="366" t="s">
        <v>1035</v>
      </c>
      <c r="G807" s="46" t="s">
        <v>83</v>
      </c>
      <c r="H807" s="46">
        <v>1</v>
      </c>
      <c r="I807" s="51">
        <v>8858.76</v>
      </c>
      <c r="J807" s="281">
        <f>++Tabla4[[#This Row],[Precio Bruto]]*1.16</f>
        <v>10276.161599999999</v>
      </c>
      <c r="K807" s="281">
        <f>+Tabla4[[#This Row],[Precio Unitario Neto]]*Tabla4[[#Headers],[20.85%]]</f>
        <v>2142.5796935999997</v>
      </c>
      <c r="L807" s="282">
        <f>++Tabla4[[#This Row],[Precio Unitario Neto]]-Tabla4[[#This Row],[20.85%]]</f>
        <v>8133.5819063999998</v>
      </c>
      <c r="M807" s="282" t="e">
        <f>(INDEX(Tabla6[#All],MATCH(Tabla4[[#This Row],[Producto]],Tabla6[[#All],[PRODUCTO]],0),MATCH(Tabla4[[#This Row],[Mes]],Tabla6[#Headers],0)))*(1+Catalogos!$L$2)</f>
        <v>#N/A</v>
      </c>
      <c r="N807" s="283" t="e">
        <f>+(Tabla4[[#This Row],[Precio Descontado]]-Tabla4[[#This Row],[Precio Base]])*Tabla4[[#This Row],[Cantidad]]</f>
        <v>#N/A</v>
      </c>
      <c r="O807" s="284" t="e">
        <f>++Tabla4[[#This Row],[Utilidad Total]]/Tabla4[[#This Row],[Total]]</f>
        <v>#N/A</v>
      </c>
      <c r="P807" s="282">
        <f>++Tabla4[[#This Row],[Precio Descontado]]*Tabla4[[#This Row],[Cantidad]]</f>
        <v>8133.5819063999998</v>
      </c>
      <c r="Q807" s="282" t="e">
        <f>(INDEX(Tabla6[#All],MATCH(Tabla4[[#This Row],[Producto]],Tabla6[[#All],[PRODUCTO]],0),MATCH(Tabla4[[#This Row],[Mes]],Tabla6[#Headers],0)))</f>
        <v>#N/A</v>
      </c>
      <c r="R807" s="282" t="e">
        <f>++Tabla4[[#This Row],[Precio Unitario Neto]]-Tabla4[[#This Row],[20.85%]]-Tabla4[[#This Row],[Costo]]</f>
        <v>#N/A</v>
      </c>
      <c r="S807" s="282" t="e">
        <f>++Tabla4[[#This Row],[U. Bruta Uni]]*Tabla4[[#This Row],[Cantidad]]</f>
        <v>#N/A</v>
      </c>
      <c r="T807" s="369" t="str">
        <f>VLOOKUP(Tabla4[[#This Row],[Producto]],Tabla6[#All],14,FALSE)</f>
        <v>Termico Solar</v>
      </c>
      <c r="U807" s="284" t="e">
        <f>(IF(Tabla4[[#This Row],[Familia]]="termico solar",Tabla4[[#This Row],[Utilidad Total]]*6%,Tabla4[[#This Row],[Utilidad Total]]*11.5%))/Tabla4[[#This Row],[Total]]</f>
        <v>#N/A</v>
      </c>
      <c r="V807" s="282" t="e">
        <f>+Tabla4[[#This Row],[Comisión Calculada]]*Tabla4[[#This Row],[Total]]</f>
        <v>#N/A</v>
      </c>
    </row>
    <row r="808" spans="1:22" hidden="1" x14ac:dyDescent="0.25">
      <c r="A808" s="100">
        <v>45716</v>
      </c>
      <c r="B808" t="str">
        <f t="shared" si="31"/>
        <v>February</v>
      </c>
      <c r="C808" s="46" t="s">
        <v>280</v>
      </c>
      <c r="F808" s="366" t="s">
        <v>1036</v>
      </c>
      <c r="G808" s="46" t="s">
        <v>18</v>
      </c>
      <c r="H808" s="46">
        <v>3</v>
      </c>
      <c r="I808" s="51">
        <v>5367.6500000000005</v>
      </c>
      <c r="J808" s="281">
        <f>++Tabla4[[#This Row],[Precio Bruto]]*1.16</f>
        <v>6226.4740000000002</v>
      </c>
      <c r="K808" s="281">
        <f>+Tabla4[[#This Row],[Precio Unitario Neto]]*Tabla4[[#Headers],[20.85%]]</f>
        <v>1298.2198289999999</v>
      </c>
      <c r="L808" s="282">
        <f>++Tabla4[[#This Row],[Precio Unitario Neto]]-Tabla4[[#This Row],[20.85%]]</f>
        <v>4928.2541710000005</v>
      </c>
      <c r="M808" s="282" t="e">
        <f>(INDEX(Tabla6[#All],MATCH(Tabla4[[#This Row],[Producto]],Tabla6[[#All],[PRODUCTO]],0),MATCH(Tabla4[[#This Row],[Mes]],Tabla6[#Headers],0)))*(1+Catalogos!$L$2)</f>
        <v>#N/A</v>
      </c>
      <c r="N808" s="283" t="e">
        <f>+(Tabla4[[#This Row],[Precio Descontado]]-Tabla4[[#This Row],[Precio Base]])*Tabla4[[#This Row],[Cantidad]]</f>
        <v>#N/A</v>
      </c>
      <c r="O808" s="284" t="e">
        <f>++Tabla4[[#This Row],[Utilidad Total]]/Tabla4[[#This Row],[Total]]</f>
        <v>#N/A</v>
      </c>
      <c r="P808" s="282">
        <f>++Tabla4[[#This Row],[Precio Descontado]]*Tabla4[[#This Row],[Cantidad]]</f>
        <v>14784.762513000001</v>
      </c>
      <c r="Q808" s="282" t="e">
        <f>(INDEX(Tabla6[#All],MATCH(Tabla4[[#This Row],[Producto]],Tabla6[[#All],[PRODUCTO]],0),MATCH(Tabla4[[#This Row],[Mes]],Tabla6[#Headers],0)))</f>
        <v>#N/A</v>
      </c>
      <c r="R808" s="282" t="e">
        <f>++Tabla4[[#This Row],[Precio Unitario Neto]]-Tabla4[[#This Row],[20.85%]]-Tabla4[[#This Row],[Costo]]</f>
        <v>#N/A</v>
      </c>
      <c r="S808" s="282" t="e">
        <f>++Tabla4[[#This Row],[U. Bruta Uni]]*Tabla4[[#This Row],[Cantidad]]</f>
        <v>#N/A</v>
      </c>
      <c r="T808" s="369" t="str">
        <f>VLOOKUP(Tabla4[[#This Row],[Producto]],Tabla6[#All],14,FALSE)</f>
        <v>Termico Solar</v>
      </c>
      <c r="U808" s="284" t="e">
        <f>(IF(Tabla4[[#This Row],[Familia]]="termico solar",Tabla4[[#This Row],[Utilidad Total]]*6%,Tabla4[[#This Row],[Utilidad Total]]*11.5%))/Tabla4[[#This Row],[Total]]</f>
        <v>#N/A</v>
      </c>
      <c r="V808" s="282" t="e">
        <f>+Tabla4[[#This Row],[Comisión Calculada]]*Tabla4[[#This Row],[Total]]</f>
        <v>#N/A</v>
      </c>
    </row>
    <row r="809" spans="1:22" hidden="1" x14ac:dyDescent="0.25">
      <c r="A809" s="100">
        <v>45716</v>
      </c>
      <c r="B809" t="str">
        <f t="shared" si="31"/>
        <v>February</v>
      </c>
      <c r="C809" s="46" t="s">
        <v>280</v>
      </c>
      <c r="F809" s="366" t="s">
        <v>1037</v>
      </c>
      <c r="G809" s="46" t="s">
        <v>17</v>
      </c>
      <c r="H809" s="46">
        <v>1</v>
      </c>
      <c r="I809" s="51">
        <v>4622.28</v>
      </c>
      <c r="J809" s="281">
        <f>++Tabla4[[#This Row],[Precio Bruto]]*1.16</f>
        <v>5361.8447999999989</v>
      </c>
      <c r="K809" s="281">
        <f>+Tabla4[[#This Row],[Precio Unitario Neto]]*Tabla4[[#Headers],[20.85%]]</f>
        <v>1117.9446407999997</v>
      </c>
      <c r="L809" s="282">
        <f>++Tabla4[[#This Row],[Precio Unitario Neto]]-Tabla4[[#This Row],[20.85%]]</f>
        <v>4243.9001591999995</v>
      </c>
      <c r="M809" s="282" t="e">
        <f>(INDEX(Tabla6[#All],MATCH(Tabla4[[#This Row],[Producto]],Tabla6[[#All],[PRODUCTO]],0),MATCH(Tabla4[[#This Row],[Mes]],Tabla6[#Headers],0)))*(1+Catalogos!$L$2)</f>
        <v>#N/A</v>
      </c>
      <c r="N809" s="283" t="e">
        <f>+(Tabla4[[#This Row],[Precio Descontado]]-Tabla4[[#This Row],[Precio Base]])*Tabla4[[#This Row],[Cantidad]]</f>
        <v>#N/A</v>
      </c>
      <c r="O809" s="284" t="e">
        <f>++Tabla4[[#This Row],[Utilidad Total]]/Tabla4[[#This Row],[Total]]</f>
        <v>#N/A</v>
      </c>
      <c r="P809" s="282">
        <f>++Tabla4[[#This Row],[Precio Descontado]]*Tabla4[[#This Row],[Cantidad]]</f>
        <v>4243.9001591999995</v>
      </c>
      <c r="Q809" s="282" t="e">
        <f>(INDEX(Tabla6[#All],MATCH(Tabla4[[#This Row],[Producto]],Tabla6[[#All],[PRODUCTO]],0),MATCH(Tabla4[[#This Row],[Mes]],Tabla6[#Headers],0)))</f>
        <v>#N/A</v>
      </c>
      <c r="R809" s="282" t="e">
        <f>++Tabla4[[#This Row],[Precio Unitario Neto]]-Tabla4[[#This Row],[20.85%]]-Tabla4[[#This Row],[Costo]]</f>
        <v>#N/A</v>
      </c>
      <c r="S809" s="282" t="e">
        <f>++Tabla4[[#This Row],[U. Bruta Uni]]*Tabla4[[#This Row],[Cantidad]]</f>
        <v>#N/A</v>
      </c>
      <c r="T809" s="369" t="str">
        <f>VLOOKUP(Tabla4[[#This Row],[Producto]],Tabla6[#All],14,FALSE)</f>
        <v>Termico Solar</v>
      </c>
      <c r="U809" s="284" t="e">
        <f>(IF(Tabla4[[#This Row],[Familia]]="termico solar",Tabla4[[#This Row],[Utilidad Total]]*6%,Tabla4[[#This Row],[Utilidad Total]]*11.5%))/Tabla4[[#This Row],[Total]]</f>
        <v>#N/A</v>
      </c>
      <c r="V809" s="282" t="e">
        <f>+Tabla4[[#This Row],[Comisión Calculada]]*Tabla4[[#This Row],[Total]]</f>
        <v>#N/A</v>
      </c>
    </row>
    <row r="810" spans="1:22" hidden="1" x14ac:dyDescent="0.25">
      <c r="A810" s="100">
        <v>45716</v>
      </c>
      <c r="B810" t="str">
        <f t="shared" si="31"/>
        <v>February</v>
      </c>
      <c r="C810" s="46" t="s">
        <v>280</v>
      </c>
      <c r="F810" s="366" t="s">
        <v>1037</v>
      </c>
      <c r="G810" s="46" t="s">
        <v>566</v>
      </c>
      <c r="H810" s="46">
        <v>1</v>
      </c>
      <c r="I810" s="51">
        <v>2109.4499999999998</v>
      </c>
      <c r="J810" s="281">
        <f>++Tabla4[[#This Row],[Precio Bruto]]*1.16</f>
        <v>2446.9619999999995</v>
      </c>
      <c r="K810" s="281">
        <f>+Tabla4[[#This Row],[Precio Unitario Neto]]*Tabla4[[#Headers],[20.85%]]</f>
        <v>510.19157699999988</v>
      </c>
      <c r="L810" s="282">
        <f>++Tabla4[[#This Row],[Precio Unitario Neto]]-Tabla4[[#This Row],[20.85%]]</f>
        <v>1936.7704229999997</v>
      </c>
      <c r="M810" s="282" t="e">
        <f>(INDEX(Tabla6[#All],MATCH(Tabla4[[#This Row],[Producto]],Tabla6[[#All],[PRODUCTO]],0),MATCH(Tabla4[[#This Row],[Mes]],Tabla6[#Headers],0)))*(1+Catalogos!$L$2)</f>
        <v>#N/A</v>
      </c>
      <c r="N810" s="283" t="e">
        <f>+(Tabla4[[#This Row],[Precio Descontado]]-Tabla4[[#This Row],[Precio Base]])*Tabla4[[#This Row],[Cantidad]]</f>
        <v>#N/A</v>
      </c>
      <c r="O810" s="284" t="e">
        <f>++Tabla4[[#This Row],[Utilidad Total]]/Tabla4[[#This Row],[Total]]</f>
        <v>#N/A</v>
      </c>
      <c r="P810" s="282">
        <f>++Tabla4[[#This Row],[Precio Descontado]]*Tabla4[[#This Row],[Cantidad]]</f>
        <v>1936.7704229999997</v>
      </c>
      <c r="Q810" s="282" t="e">
        <f>(INDEX(Tabla6[#All],MATCH(Tabla4[[#This Row],[Producto]],Tabla6[[#All],[PRODUCTO]],0),MATCH(Tabla4[[#This Row],[Mes]],Tabla6[#Headers],0)))</f>
        <v>#N/A</v>
      </c>
      <c r="R810" s="282" t="e">
        <f>++Tabla4[[#This Row],[Precio Unitario Neto]]-Tabla4[[#This Row],[20.85%]]-Tabla4[[#This Row],[Costo]]</f>
        <v>#N/A</v>
      </c>
      <c r="S810" s="282" t="e">
        <f>++Tabla4[[#This Row],[U. Bruta Uni]]*Tabla4[[#This Row],[Cantidad]]</f>
        <v>#N/A</v>
      </c>
      <c r="T810" s="369" t="str">
        <f>VLOOKUP(Tabla4[[#This Row],[Producto]],Tabla6[#All],14,FALSE)</f>
        <v>Termico Solar</v>
      </c>
      <c r="U810" s="284" t="e">
        <f>(IF(Tabla4[[#This Row],[Familia]]="termico solar",Tabla4[[#This Row],[Utilidad Total]]*6%,Tabla4[[#This Row],[Utilidad Total]]*11.5%))/Tabla4[[#This Row],[Total]]</f>
        <v>#N/A</v>
      </c>
      <c r="V810" s="282" t="e">
        <f>+Tabla4[[#This Row],[Comisión Calculada]]*Tabla4[[#This Row],[Total]]</f>
        <v>#N/A</v>
      </c>
    </row>
    <row r="811" spans="1:22" hidden="1" x14ac:dyDescent="0.25">
      <c r="A811" s="100">
        <v>45716</v>
      </c>
      <c r="B811" t="str">
        <f t="shared" si="31"/>
        <v>February</v>
      </c>
      <c r="C811" s="46" t="s">
        <v>280</v>
      </c>
      <c r="F811" s="366" t="s">
        <v>1038</v>
      </c>
      <c r="G811" s="46" t="s">
        <v>83</v>
      </c>
      <c r="H811" s="46">
        <v>2</v>
      </c>
      <c r="I811" s="51">
        <v>8858.76</v>
      </c>
      <c r="J811" s="281">
        <f>++Tabla4[[#This Row],[Precio Bruto]]*1.16</f>
        <v>10276.161599999999</v>
      </c>
      <c r="K811" s="281">
        <f>+Tabla4[[#This Row],[Precio Unitario Neto]]*Tabla4[[#Headers],[20.85%]]</f>
        <v>2142.5796935999997</v>
      </c>
      <c r="L811" s="282">
        <f>++Tabla4[[#This Row],[Precio Unitario Neto]]-Tabla4[[#This Row],[20.85%]]</f>
        <v>8133.5819063999998</v>
      </c>
      <c r="M811" s="282" t="e">
        <f>(INDEX(Tabla6[#All],MATCH(Tabla4[[#This Row],[Producto]],Tabla6[[#All],[PRODUCTO]],0),MATCH(Tabla4[[#This Row],[Mes]],Tabla6[#Headers],0)))*(1+Catalogos!$L$2)</f>
        <v>#N/A</v>
      </c>
      <c r="N811" s="283" t="e">
        <f>+(Tabla4[[#This Row],[Precio Descontado]]-Tabla4[[#This Row],[Precio Base]])*Tabla4[[#This Row],[Cantidad]]</f>
        <v>#N/A</v>
      </c>
      <c r="O811" s="284" t="e">
        <f>++Tabla4[[#This Row],[Utilidad Total]]/Tabla4[[#This Row],[Total]]</f>
        <v>#N/A</v>
      </c>
      <c r="P811" s="282">
        <f>++Tabla4[[#This Row],[Precio Descontado]]*Tabla4[[#This Row],[Cantidad]]</f>
        <v>16267.1638128</v>
      </c>
      <c r="Q811" s="282" t="e">
        <f>(INDEX(Tabla6[#All],MATCH(Tabla4[[#This Row],[Producto]],Tabla6[[#All],[PRODUCTO]],0),MATCH(Tabla4[[#This Row],[Mes]],Tabla6[#Headers],0)))</f>
        <v>#N/A</v>
      </c>
      <c r="R811" s="282" t="e">
        <f>++Tabla4[[#This Row],[Precio Unitario Neto]]-Tabla4[[#This Row],[20.85%]]-Tabla4[[#This Row],[Costo]]</f>
        <v>#N/A</v>
      </c>
      <c r="S811" s="282" t="e">
        <f>++Tabla4[[#This Row],[U. Bruta Uni]]*Tabla4[[#This Row],[Cantidad]]</f>
        <v>#N/A</v>
      </c>
      <c r="T811" s="369" t="str">
        <f>VLOOKUP(Tabla4[[#This Row],[Producto]],Tabla6[#All],14,FALSE)</f>
        <v>Termico Solar</v>
      </c>
      <c r="U811" s="284" t="e">
        <f>(IF(Tabla4[[#This Row],[Familia]]="termico solar",Tabla4[[#This Row],[Utilidad Total]]*6%,Tabla4[[#This Row],[Utilidad Total]]*11.5%))/Tabla4[[#This Row],[Total]]</f>
        <v>#N/A</v>
      </c>
      <c r="V811" s="282" t="e">
        <f>+Tabla4[[#This Row],[Comisión Calculada]]*Tabla4[[#This Row],[Total]]</f>
        <v>#N/A</v>
      </c>
    </row>
    <row r="812" spans="1:22" hidden="1" x14ac:dyDescent="0.25">
      <c r="A812" s="100">
        <v>45716</v>
      </c>
      <c r="B812" t="str">
        <f t="shared" si="31"/>
        <v>February</v>
      </c>
      <c r="C812" s="46" t="s">
        <v>280</v>
      </c>
      <c r="F812" s="366" t="s">
        <v>1038</v>
      </c>
      <c r="G812" s="46" t="s">
        <v>17</v>
      </c>
      <c r="H812" s="46">
        <v>1</v>
      </c>
      <c r="I812" s="51">
        <v>4622.28</v>
      </c>
      <c r="J812" s="281">
        <f>++Tabla4[[#This Row],[Precio Bruto]]*1.16</f>
        <v>5361.8447999999989</v>
      </c>
      <c r="K812" s="281">
        <f>+Tabla4[[#This Row],[Precio Unitario Neto]]*Tabla4[[#Headers],[20.85%]]</f>
        <v>1117.9446407999997</v>
      </c>
      <c r="L812" s="282">
        <f>++Tabla4[[#This Row],[Precio Unitario Neto]]-Tabla4[[#This Row],[20.85%]]</f>
        <v>4243.9001591999995</v>
      </c>
      <c r="M812" s="282" t="e">
        <f>(INDEX(Tabla6[#All],MATCH(Tabla4[[#This Row],[Producto]],Tabla6[[#All],[PRODUCTO]],0),MATCH(Tabla4[[#This Row],[Mes]],Tabla6[#Headers],0)))*(1+Catalogos!$L$2)</f>
        <v>#N/A</v>
      </c>
      <c r="N812" s="283" t="e">
        <f>+(Tabla4[[#This Row],[Precio Descontado]]-Tabla4[[#This Row],[Precio Base]])*Tabla4[[#This Row],[Cantidad]]</f>
        <v>#N/A</v>
      </c>
      <c r="O812" s="284" t="e">
        <f>++Tabla4[[#This Row],[Utilidad Total]]/Tabla4[[#This Row],[Total]]</f>
        <v>#N/A</v>
      </c>
      <c r="P812" s="282">
        <f>++Tabla4[[#This Row],[Precio Descontado]]*Tabla4[[#This Row],[Cantidad]]</f>
        <v>4243.9001591999995</v>
      </c>
      <c r="Q812" s="282" t="e">
        <f>(INDEX(Tabla6[#All],MATCH(Tabla4[[#This Row],[Producto]],Tabla6[[#All],[PRODUCTO]],0),MATCH(Tabla4[[#This Row],[Mes]],Tabla6[#Headers],0)))</f>
        <v>#N/A</v>
      </c>
      <c r="R812" s="282" t="e">
        <f>++Tabla4[[#This Row],[Precio Unitario Neto]]-Tabla4[[#This Row],[20.85%]]-Tabla4[[#This Row],[Costo]]</f>
        <v>#N/A</v>
      </c>
      <c r="S812" s="282" t="e">
        <f>++Tabla4[[#This Row],[U. Bruta Uni]]*Tabla4[[#This Row],[Cantidad]]</f>
        <v>#N/A</v>
      </c>
      <c r="T812" s="369" t="str">
        <f>VLOOKUP(Tabla4[[#This Row],[Producto]],Tabla6[#All],14,FALSE)</f>
        <v>Termico Solar</v>
      </c>
      <c r="U812" s="284" t="e">
        <f>(IF(Tabla4[[#This Row],[Familia]]="termico solar",Tabla4[[#This Row],[Utilidad Total]]*6%,Tabla4[[#This Row],[Utilidad Total]]*11.5%))/Tabla4[[#This Row],[Total]]</f>
        <v>#N/A</v>
      </c>
      <c r="V812" s="282" t="e">
        <f>+Tabla4[[#This Row],[Comisión Calculada]]*Tabla4[[#This Row],[Total]]</f>
        <v>#N/A</v>
      </c>
    </row>
    <row r="813" spans="1:22" hidden="1" x14ac:dyDescent="0.25">
      <c r="A813" s="100">
        <v>45716</v>
      </c>
      <c r="B813" t="str">
        <f t="shared" si="31"/>
        <v>February</v>
      </c>
      <c r="C813" s="46" t="s">
        <v>280</v>
      </c>
      <c r="F813" s="366" t="s">
        <v>1039</v>
      </c>
      <c r="G813" s="46" t="s">
        <v>17</v>
      </c>
      <c r="H813" s="46">
        <v>1</v>
      </c>
      <c r="I813" s="51">
        <v>4622.28</v>
      </c>
      <c r="J813" s="281">
        <f>++Tabla4[[#This Row],[Precio Bruto]]*1.16</f>
        <v>5361.8447999999989</v>
      </c>
      <c r="K813" s="281">
        <f>+Tabla4[[#This Row],[Precio Unitario Neto]]*Tabla4[[#Headers],[20.85%]]</f>
        <v>1117.9446407999997</v>
      </c>
      <c r="L813" s="282">
        <f>++Tabla4[[#This Row],[Precio Unitario Neto]]-Tabla4[[#This Row],[20.85%]]</f>
        <v>4243.9001591999995</v>
      </c>
      <c r="M813" s="282" t="e">
        <f>(INDEX(Tabla6[#All],MATCH(Tabla4[[#This Row],[Producto]],Tabla6[[#All],[PRODUCTO]],0),MATCH(Tabla4[[#This Row],[Mes]],Tabla6[#Headers],0)))*(1+Catalogos!$L$2)</f>
        <v>#N/A</v>
      </c>
      <c r="N813" s="283" t="e">
        <f>+(Tabla4[[#This Row],[Precio Descontado]]-Tabla4[[#This Row],[Precio Base]])*Tabla4[[#This Row],[Cantidad]]</f>
        <v>#N/A</v>
      </c>
      <c r="O813" s="284" t="e">
        <f>++Tabla4[[#This Row],[Utilidad Total]]/Tabla4[[#This Row],[Total]]</f>
        <v>#N/A</v>
      </c>
      <c r="P813" s="282">
        <f>++Tabla4[[#This Row],[Precio Descontado]]*Tabla4[[#This Row],[Cantidad]]</f>
        <v>4243.9001591999995</v>
      </c>
      <c r="Q813" s="282" t="e">
        <f>(INDEX(Tabla6[#All],MATCH(Tabla4[[#This Row],[Producto]],Tabla6[[#All],[PRODUCTO]],0),MATCH(Tabla4[[#This Row],[Mes]],Tabla6[#Headers],0)))</f>
        <v>#N/A</v>
      </c>
      <c r="R813" s="282" t="e">
        <f>++Tabla4[[#This Row],[Precio Unitario Neto]]-Tabla4[[#This Row],[20.85%]]-Tabla4[[#This Row],[Costo]]</f>
        <v>#N/A</v>
      </c>
      <c r="S813" s="282" t="e">
        <f>++Tabla4[[#This Row],[U. Bruta Uni]]*Tabla4[[#This Row],[Cantidad]]</f>
        <v>#N/A</v>
      </c>
      <c r="T813" s="369" t="str">
        <f>VLOOKUP(Tabla4[[#This Row],[Producto]],Tabla6[#All],14,FALSE)</f>
        <v>Termico Solar</v>
      </c>
      <c r="U813" s="284" t="e">
        <f>(IF(Tabla4[[#This Row],[Familia]]="termico solar",Tabla4[[#This Row],[Utilidad Total]]*6%,Tabla4[[#This Row],[Utilidad Total]]*11.5%))/Tabla4[[#This Row],[Total]]</f>
        <v>#N/A</v>
      </c>
      <c r="V813" s="282" t="e">
        <f>+Tabla4[[#This Row],[Comisión Calculada]]*Tabla4[[#This Row],[Total]]</f>
        <v>#N/A</v>
      </c>
    </row>
    <row r="814" spans="1:22" hidden="1" x14ac:dyDescent="0.25">
      <c r="A814" s="100">
        <v>45716</v>
      </c>
      <c r="B814" t="str">
        <f t="shared" si="31"/>
        <v>February</v>
      </c>
      <c r="C814" s="46" t="s">
        <v>280</v>
      </c>
      <c r="F814" s="366" t="s">
        <v>1039</v>
      </c>
      <c r="G814" s="46" t="s">
        <v>18</v>
      </c>
      <c r="H814" s="46">
        <v>2</v>
      </c>
      <c r="I814" s="51">
        <v>5367.65</v>
      </c>
      <c r="J814" s="281">
        <f>++Tabla4[[#This Row],[Precio Bruto]]*1.16</f>
        <v>6226.4739999999993</v>
      </c>
      <c r="K814" s="281">
        <f>+Tabla4[[#This Row],[Precio Unitario Neto]]*Tabla4[[#Headers],[20.85%]]</f>
        <v>1298.2198289999999</v>
      </c>
      <c r="L814" s="282">
        <f>++Tabla4[[#This Row],[Precio Unitario Neto]]-Tabla4[[#This Row],[20.85%]]</f>
        <v>4928.2541709999996</v>
      </c>
      <c r="M814" s="282" t="e">
        <f>(INDEX(Tabla6[#All],MATCH(Tabla4[[#This Row],[Producto]],Tabla6[[#All],[PRODUCTO]],0),MATCH(Tabla4[[#This Row],[Mes]],Tabla6[#Headers],0)))*(1+Catalogos!$L$2)</f>
        <v>#N/A</v>
      </c>
      <c r="N814" s="283" t="e">
        <f>+(Tabla4[[#This Row],[Precio Descontado]]-Tabla4[[#This Row],[Precio Base]])*Tabla4[[#This Row],[Cantidad]]</f>
        <v>#N/A</v>
      </c>
      <c r="O814" s="284" t="e">
        <f>++Tabla4[[#This Row],[Utilidad Total]]/Tabla4[[#This Row],[Total]]</f>
        <v>#N/A</v>
      </c>
      <c r="P814" s="282">
        <f>++Tabla4[[#This Row],[Precio Descontado]]*Tabla4[[#This Row],[Cantidad]]</f>
        <v>9856.5083419999992</v>
      </c>
      <c r="Q814" s="282" t="e">
        <f>(INDEX(Tabla6[#All],MATCH(Tabla4[[#This Row],[Producto]],Tabla6[[#All],[PRODUCTO]],0),MATCH(Tabla4[[#This Row],[Mes]],Tabla6[#Headers],0)))</f>
        <v>#N/A</v>
      </c>
      <c r="R814" s="282" t="e">
        <f>++Tabla4[[#This Row],[Precio Unitario Neto]]-Tabla4[[#This Row],[20.85%]]-Tabla4[[#This Row],[Costo]]</f>
        <v>#N/A</v>
      </c>
      <c r="S814" s="282" t="e">
        <f>++Tabla4[[#This Row],[U. Bruta Uni]]*Tabla4[[#This Row],[Cantidad]]</f>
        <v>#N/A</v>
      </c>
      <c r="T814" s="369" t="str">
        <f>VLOOKUP(Tabla4[[#This Row],[Producto]],Tabla6[#All],14,FALSE)</f>
        <v>Termico Solar</v>
      </c>
      <c r="U814" s="284" t="e">
        <f>(IF(Tabla4[[#This Row],[Familia]]="termico solar",Tabla4[[#This Row],[Utilidad Total]]*6%,Tabla4[[#This Row],[Utilidad Total]]*11.5%))/Tabla4[[#This Row],[Total]]</f>
        <v>#N/A</v>
      </c>
      <c r="V814" s="282" t="e">
        <f>+Tabla4[[#This Row],[Comisión Calculada]]*Tabla4[[#This Row],[Total]]</f>
        <v>#N/A</v>
      </c>
    </row>
    <row r="815" spans="1:22" hidden="1" x14ac:dyDescent="0.25">
      <c r="A815" s="100">
        <v>45716</v>
      </c>
      <c r="B815" t="str">
        <f t="shared" si="31"/>
        <v>February</v>
      </c>
      <c r="C815" s="46" t="s">
        <v>280</v>
      </c>
      <c r="F815" s="366" t="s">
        <v>1039</v>
      </c>
      <c r="G815" s="46" t="s">
        <v>566</v>
      </c>
      <c r="H815" s="46">
        <v>1</v>
      </c>
      <c r="I815" s="51">
        <v>2109.4499999999998</v>
      </c>
      <c r="J815" s="281">
        <f>++Tabla4[[#This Row],[Precio Bruto]]*1.16</f>
        <v>2446.9619999999995</v>
      </c>
      <c r="K815" s="281">
        <f>+Tabla4[[#This Row],[Precio Unitario Neto]]*Tabla4[[#Headers],[20.85%]]</f>
        <v>510.19157699999988</v>
      </c>
      <c r="L815" s="282">
        <f>++Tabla4[[#This Row],[Precio Unitario Neto]]-Tabla4[[#This Row],[20.85%]]</f>
        <v>1936.7704229999997</v>
      </c>
      <c r="M815" s="282" t="e">
        <f>(INDEX(Tabla6[#All],MATCH(Tabla4[[#This Row],[Producto]],Tabla6[[#All],[PRODUCTO]],0),MATCH(Tabla4[[#This Row],[Mes]],Tabla6[#Headers],0)))*(1+Catalogos!$L$2)</f>
        <v>#N/A</v>
      </c>
      <c r="N815" s="283" t="e">
        <f>+(Tabla4[[#This Row],[Precio Descontado]]-Tabla4[[#This Row],[Precio Base]])*Tabla4[[#This Row],[Cantidad]]</f>
        <v>#N/A</v>
      </c>
      <c r="O815" s="284" t="e">
        <f>++Tabla4[[#This Row],[Utilidad Total]]/Tabla4[[#This Row],[Total]]</f>
        <v>#N/A</v>
      </c>
      <c r="P815" s="282">
        <f>++Tabla4[[#This Row],[Precio Descontado]]*Tabla4[[#This Row],[Cantidad]]</f>
        <v>1936.7704229999997</v>
      </c>
      <c r="Q815" s="282" t="e">
        <f>(INDEX(Tabla6[#All],MATCH(Tabla4[[#This Row],[Producto]],Tabla6[[#All],[PRODUCTO]],0),MATCH(Tabla4[[#This Row],[Mes]],Tabla6[#Headers],0)))</f>
        <v>#N/A</v>
      </c>
      <c r="R815" s="282" t="e">
        <f>++Tabla4[[#This Row],[Precio Unitario Neto]]-Tabla4[[#This Row],[20.85%]]-Tabla4[[#This Row],[Costo]]</f>
        <v>#N/A</v>
      </c>
      <c r="S815" s="282" t="e">
        <f>++Tabla4[[#This Row],[U. Bruta Uni]]*Tabla4[[#This Row],[Cantidad]]</f>
        <v>#N/A</v>
      </c>
      <c r="T815" s="369" t="str">
        <f>VLOOKUP(Tabla4[[#This Row],[Producto]],Tabla6[#All],14,FALSE)</f>
        <v>Termico Solar</v>
      </c>
      <c r="U815" s="284" t="e">
        <f>(IF(Tabla4[[#This Row],[Familia]]="termico solar",Tabla4[[#This Row],[Utilidad Total]]*6%,Tabla4[[#This Row],[Utilidad Total]]*11.5%))/Tabla4[[#This Row],[Total]]</f>
        <v>#N/A</v>
      </c>
      <c r="V815" s="282" t="e">
        <f>+Tabla4[[#This Row],[Comisión Calculada]]*Tabla4[[#This Row],[Total]]</f>
        <v>#N/A</v>
      </c>
    </row>
    <row r="816" spans="1:22" hidden="1" x14ac:dyDescent="0.25">
      <c r="A816" s="100">
        <v>45716</v>
      </c>
      <c r="B816" t="str">
        <f t="shared" si="31"/>
        <v>February</v>
      </c>
      <c r="C816" s="46" t="s">
        <v>280</v>
      </c>
      <c r="F816" s="366" t="s">
        <v>1040</v>
      </c>
      <c r="G816" s="46" t="s">
        <v>566</v>
      </c>
      <c r="H816" s="46">
        <v>1</v>
      </c>
      <c r="I816" s="51">
        <v>2109.4499999999998</v>
      </c>
      <c r="J816" s="281">
        <f>++Tabla4[[#This Row],[Precio Bruto]]*1.16</f>
        <v>2446.9619999999995</v>
      </c>
      <c r="K816" s="281">
        <f>+Tabla4[[#This Row],[Precio Unitario Neto]]*Tabla4[[#Headers],[20.85%]]</f>
        <v>510.19157699999988</v>
      </c>
      <c r="L816" s="282">
        <f>++Tabla4[[#This Row],[Precio Unitario Neto]]-Tabla4[[#This Row],[20.85%]]</f>
        <v>1936.7704229999997</v>
      </c>
      <c r="M816" s="282" t="e">
        <f>(INDEX(Tabla6[#All],MATCH(Tabla4[[#This Row],[Producto]],Tabla6[[#All],[PRODUCTO]],0),MATCH(Tabla4[[#This Row],[Mes]],Tabla6[#Headers],0)))*(1+Catalogos!$L$2)</f>
        <v>#N/A</v>
      </c>
      <c r="N816" s="283" t="e">
        <f>+(Tabla4[[#This Row],[Precio Descontado]]-Tabla4[[#This Row],[Precio Base]])*Tabla4[[#This Row],[Cantidad]]</f>
        <v>#N/A</v>
      </c>
      <c r="O816" s="284" t="e">
        <f>++Tabla4[[#This Row],[Utilidad Total]]/Tabla4[[#This Row],[Total]]</f>
        <v>#N/A</v>
      </c>
      <c r="P816" s="282">
        <f>++Tabla4[[#This Row],[Precio Descontado]]*Tabla4[[#This Row],[Cantidad]]</f>
        <v>1936.7704229999997</v>
      </c>
      <c r="Q816" s="282" t="e">
        <f>(INDEX(Tabla6[#All],MATCH(Tabla4[[#This Row],[Producto]],Tabla6[[#All],[PRODUCTO]],0),MATCH(Tabla4[[#This Row],[Mes]],Tabla6[#Headers],0)))</f>
        <v>#N/A</v>
      </c>
      <c r="R816" s="282" t="e">
        <f>++Tabla4[[#This Row],[Precio Unitario Neto]]-Tabla4[[#This Row],[20.85%]]-Tabla4[[#This Row],[Costo]]</f>
        <v>#N/A</v>
      </c>
      <c r="S816" s="282" t="e">
        <f>++Tabla4[[#This Row],[U. Bruta Uni]]*Tabla4[[#This Row],[Cantidad]]</f>
        <v>#N/A</v>
      </c>
      <c r="T816" s="369" t="str">
        <f>VLOOKUP(Tabla4[[#This Row],[Producto]],Tabla6[#All],14,FALSE)</f>
        <v>Termico Solar</v>
      </c>
      <c r="U816" s="284" t="e">
        <f>(IF(Tabla4[[#This Row],[Familia]]="termico solar",Tabla4[[#This Row],[Utilidad Total]]*6%,Tabla4[[#This Row],[Utilidad Total]]*11.5%))/Tabla4[[#This Row],[Total]]</f>
        <v>#N/A</v>
      </c>
      <c r="V816" s="282" t="e">
        <f>+Tabla4[[#This Row],[Comisión Calculada]]*Tabla4[[#This Row],[Total]]</f>
        <v>#N/A</v>
      </c>
    </row>
    <row r="817" spans="1:22" hidden="1" x14ac:dyDescent="0.25">
      <c r="A817" s="100">
        <v>45716</v>
      </c>
      <c r="B817" t="str">
        <f t="shared" si="31"/>
        <v>February</v>
      </c>
      <c r="C817" s="46" t="s">
        <v>280</v>
      </c>
      <c r="F817" s="366" t="s">
        <v>1041</v>
      </c>
      <c r="G817" s="46" t="s">
        <v>17</v>
      </c>
      <c r="H817" s="46">
        <v>2</v>
      </c>
      <c r="I817" s="51">
        <v>4622.28</v>
      </c>
      <c r="J817" s="281">
        <f>++Tabla4[[#This Row],[Precio Bruto]]*1.16</f>
        <v>5361.8447999999989</v>
      </c>
      <c r="K817" s="281">
        <f>+Tabla4[[#This Row],[Precio Unitario Neto]]*Tabla4[[#Headers],[20.85%]]</f>
        <v>1117.9446407999997</v>
      </c>
      <c r="L817" s="282">
        <f>++Tabla4[[#This Row],[Precio Unitario Neto]]-Tabla4[[#This Row],[20.85%]]</f>
        <v>4243.9001591999995</v>
      </c>
      <c r="M817" s="282" t="e">
        <f>(INDEX(Tabla6[#All],MATCH(Tabla4[[#This Row],[Producto]],Tabla6[[#All],[PRODUCTO]],0),MATCH(Tabla4[[#This Row],[Mes]],Tabla6[#Headers],0)))*(1+Catalogos!$L$2)</f>
        <v>#N/A</v>
      </c>
      <c r="N817" s="283" t="e">
        <f>+(Tabla4[[#This Row],[Precio Descontado]]-Tabla4[[#This Row],[Precio Base]])*Tabla4[[#This Row],[Cantidad]]</f>
        <v>#N/A</v>
      </c>
      <c r="O817" s="284" t="e">
        <f>++Tabla4[[#This Row],[Utilidad Total]]/Tabla4[[#This Row],[Total]]</f>
        <v>#N/A</v>
      </c>
      <c r="P817" s="282">
        <f>++Tabla4[[#This Row],[Precio Descontado]]*Tabla4[[#This Row],[Cantidad]]</f>
        <v>8487.800318399999</v>
      </c>
      <c r="Q817" s="282" t="e">
        <f>(INDEX(Tabla6[#All],MATCH(Tabla4[[#This Row],[Producto]],Tabla6[[#All],[PRODUCTO]],0),MATCH(Tabla4[[#This Row],[Mes]],Tabla6[#Headers],0)))</f>
        <v>#N/A</v>
      </c>
      <c r="R817" s="282" t="e">
        <f>++Tabla4[[#This Row],[Precio Unitario Neto]]-Tabla4[[#This Row],[20.85%]]-Tabla4[[#This Row],[Costo]]</f>
        <v>#N/A</v>
      </c>
      <c r="S817" s="282" t="e">
        <f>++Tabla4[[#This Row],[U. Bruta Uni]]*Tabla4[[#This Row],[Cantidad]]</f>
        <v>#N/A</v>
      </c>
      <c r="T817" s="369" t="str">
        <f>VLOOKUP(Tabla4[[#This Row],[Producto]],Tabla6[#All],14,FALSE)</f>
        <v>Termico Solar</v>
      </c>
      <c r="U817" s="284" t="e">
        <f>(IF(Tabla4[[#This Row],[Familia]]="termico solar",Tabla4[[#This Row],[Utilidad Total]]*6%,Tabla4[[#This Row],[Utilidad Total]]*11.5%))/Tabla4[[#This Row],[Total]]</f>
        <v>#N/A</v>
      </c>
      <c r="V817" s="282" t="e">
        <f>+Tabla4[[#This Row],[Comisión Calculada]]*Tabla4[[#This Row],[Total]]</f>
        <v>#N/A</v>
      </c>
    </row>
    <row r="818" spans="1:22" hidden="1" x14ac:dyDescent="0.25">
      <c r="A818" s="100">
        <v>45716</v>
      </c>
      <c r="B818" t="str">
        <f t="shared" si="31"/>
        <v>February</v>
      </c>
      <c r="C818" s="46" t="s">
        <v>280</v>
      </c>
      <c r="F818" s="366" t="s">
        <v>1041</v>
      </c>
      <c r="G818" s="46" t="s">
        <v>16</v>
      </c>
      <c r="H818" s="46">
        <v>2</v>
      </c>
      <c r="I818" s="51">
        <v>4103.8500000000004</v>
      </c>
      <c r="J818" s="281">
        <f>++Tabla4[[#This Row],[Precio Bruto]]*1.16</f>
        <v>4760.4660000000003</v>
      </c>
      <c r="K818" s="281">
        <f>+Tabla4[[#This Row],[Precio Unitario Neto]]*Tabla4[[#Headers],[20.85%]]</f>
        <v>992.55716100000006</v>
      </c>
      <c r="L818" s="282">
        <f>++Tabla4[[#This Row],[Precio Unitario Neto]]-Tabla4[[#This Row],[20.85%]]</f>
        <v>3767.9088390000002</v>
      </c>
      <c r="M818" s="282" t="e">
        <f>(INDEX(Tabla6[#All],MATCH(Tabla4[[#This Row],[Producto]],Tabla6[[#All],[PRODUCTO]],0),MATCH(Tabla4[[#This Row],[Mes]],Tabla6[#Headers],0)))*(1+Catalogos!$L$2)</f>
        <v>#N/A</v>
      </c>
      <c r="N818" s="283" t="e">
        <f>+(Tabla4[[#This Row],[Precio Descontado]]-Tabla4[[#This Row],[Precio Base]])*Tabla4[[#This Row],[Cantidad]]</f>
        <v>#N/A</v>
      </c>
      <c r="O818" s="284" t="e">
        <f>++Tabla4[[#This Row],[Utilidad Total]]/Tabla4[[#This Row],[Total]]</f>
        <v>#N/A</v>
      </c>
      <c r="P818" s="282">
        <f>++Tabla4[[#This Row],[Precio Descontado]]*Tabla4[[#This Row],[Cantidad]]</f>
        <v>7535.8176780000003</v>
      </c>
      <c r="Q818" s="282" t="e">
        <f>(INDEX(Tabla6[#All],MATCH(Tabla4[[#This Row],[Producto]],Tabla6[[#All],[PRODUCTO]],0),MATCH(Tabla4[[#This Row],[Mes]],Tabla6[#Headers],0)))</f>
        <v>#N/A</v>
      </c>
      <c r="R818" s="282" t="e">
        <f>++Tabla4[[#This Row],[Precio Unitario Neto]]-Tabla4[[#This Row],[20.85%]]-Tabla4[[#This Row],[Costo]]</f>
        <v>#N/A</v>
      </c>
      <c r="S818" s="282" t="e">
        <f>++Tabla4[[#This Row],[U. Bruta Uni]]*Tabla4[[#This Row],[Cantidad]]</f>
        <v>#N/A</v>
      </c>
      <c r="T818" s="369" t="str">
        <f>VLOOKUP(Tabla4[[#This Row],[Producto]],Tabla6[#All],14,FALSE)</f>
        <v>Termico Solar</v>
      </c>
      <c r="U818" s="284" t="e">
        <f>(IF(Tabla4[[#This Row],[Familia]]="termico solar",Tabla4[[#This Row],[Utilidad Total]]*6%,Tabla4[[#This Row],[Utilidad Total]]*11.5%))/Tabla4[[#This Row],[Total]]</f>
        <v>#N/A</v>
      </c>
      <c r="V818" s="282" t="e">
        <f>+Tabla4[[#This Row],[Comisión Calculada]]*Tabla4[[#This Row],[Total]]</f>
        <v>#N/A</v>
      </c>
    </row>
    <row r="819" spans="1:22" hidden="1" x14ac:dyDescent="0.25">
      <c r="A819" s="100">
        <v>45716</v>
      </c>
      <c r="B819" t="str">
        <f t="shared" si="31"/>
        <v>February</v>
      </c>
      <c r="C819" s="46" t="s">
        <v>280</v>
      </c>
      <c r="F819" s="366" t="s">
        <v>1042</v>
      </c>
      <c r="G819" s="46" t="s">
        <v>566</v>
      </c>
      <c r="H819" s="46">
        <v>1</v>
      </c>
      <c r="I819" s="51">
        <v>2109.4499999999998</v>
      </c>
      <c r="J819" s="281">
        <f>++Tabla4[[#This Row],[Precio Bruto]]*1.16</f>
        <v>2446.9619999999995</v>
      </c>
      <c r="K819" s="281">
        <f>+Tabla4[[#This Row],[Precio Unitario Neto]]*Tabla4[[#Headers],[20.85%]]</f>
        <v>510.19157699999988</v>
      </c>
      <c r="L819" s="282">
        <f>++Tabla4[[#This Row],[Precio Unitario Neto]]-Tabla4[[#This Row],[20.85%]]</f>
        <v>1936.7704229999997</v>
      </c>
      <c r="M819" s="282" t="e">
        <f>(INDEX(Tabla6[#All],MATCH(Tabla4[[#This Row],[Producto]],Tabla6[[#All],[PRODUCTO]],0),MATCH(Tabla4[[#This Row],[Mes]],Tabla6[#Headers],0)))*(1+Catalogos!$L$2)</f>
        <v>#N/A</v>
      </c>
      <c r="N819" s="283" t="e">
        <f>+(Tabla4[[#This Row],[Precio Descontado]]-Tabla4[[#This Row],[Precio Base]])*Tabla4[[#This Row],[Cantidad]]</f>
        <v>#N/A</v>
      </c>
      <c r="O819" s="284" t="e">
        <f>++Tabla4[[#This Row],[Utilidad Total]]/Tabla4[[#This Row],[Total]]</f>
        <v>#N/A</v>
      </c>
      <c r="P819" s="282">
        <f>++Tabla4[[#This Row],[Precio Descontado]]*Tabla4[[#This Row],[Cantidad]]</f>
        <v>1936.7704229999997</v>
      </c>
      <c r="Q819" s="282" t="e">
        <f>(INDEX(Tabla6[#All],MATCH(Tabla4[[#This Row],[Producto]],Tabla6[[#All],[PRODUCTO]],0),MATCH(Tabla4[[#This Row],[Mes]],Tabla6[#Headers],0)))</f>
        <v>#N/A</v>
      </c>
      <c r="R819" s="282" t="e">
        <f>++Tabla4[[#This Row],[Precio Unitario Neto]]-Tabla4[[#This Row],[20.85%]]-Tabla4[[#This Row],[Costo]]</f>
        <v>#N/A</v>
      </c>
      <c r="S819" s="282" t="e">
        <f>++Tabla4[[#This Row],[U. Bruta Uni]]*Tabla4[[#This Row],[Cantidad]]</f>
        <v>#N/A</v>
      </c>
      <c r="T819" s="369" t="str">
        <f>VLOOKUP(Tabla4[[#This Row],[Producto]],Tabla6[#All],14,FALSE)</f>
        <v>Termico Solar</v>
      </c>
      <c r="U819" s="284" t="e">
        <f>(IF(Tabla4[[#This Row],[Familia]]="termico solar",Tabla4[[#This Row],[Utilidad Total]]*6%,Tabla4[[#This Row],[Utilidad Total]]*11.5%))/Tabla4[[#This Row],[Total]]</f>
        <v>#N/A</v>
      </c>
      <c r="V819" s="282" t="e">
        <f>+Tabla4[[#This Row],[Comisión Calculada]]*Tabla4[[#This Row],[Total]]</f>
        <v>#N/A</v>
      </c>
    </row>
    <row r="820" spans="1:22" hidden="1" x14ac:dyDescent="0.25">
      <c r="A820" s="100">
        <v>45716</v>
      </c>
      <c r="B820" t="str">
        <f t="shared" si="31"/>
        <v>February</v>
      </c>
      <c r="C820" s="46" t="s">
        <v>280</v>
      </c>
      <c r="F820" s="366" t="s">
        <v>1043</v>
      </c>
      <c r="G820" s="46" t="s">
        <v>17</v>
      </c>
      <c r="H820" s="46">
        <v>2</v>
      </c>
      <c r="I820" s="51">
        <v>4622.28</v>
      </c>
      <c r="J820" s="281">
        <f>++Tabla4[[#This Row],[Precio Bruto]]*1.16</f>
        <v>5361.8447999999989</v>
      </c>
      <c r="K820" s="281">
        <f>+Tabla4[[#This Row],[Precio Unitario Neto]]*Tabla4[[#Headers],[20.85%]]</f>
        <v>1117.9446407999997</v>
      </c>
      <c r="L820" s="282">
        <f>++Tabla4[[#This Row],[Precio Unitario Neto]]-Tabla4[[#This Row],[20.85%]]</f>
        <v>4243.9001591999995</v>
      </c>
      <c r="M820" s="282" t="e">
        <f>(INDEX(Tabla6[#All],MATCH(Tabla4[[#This Row],[Producto]],Tabla6[[#All],[PRODUCTO]],0),MATCH(Tabla4[[#This Row],[Mes]],Tabla6[#Headers],0)))*(1+Catalogos!$L$2)</f>
        <v>#N/A</v>
      </c>
      <c r="N820" s="283" t="e">
        <f>+(Tabla4[[#This Row],[Precio Descontado]]-Tabla4[[#This Row],[Precio Base]])*Tabla4[[#This Row],[Cantidad]]</f>
        <v>#N/A</v>
      </c>
      <c r="O820" s="284" t="e">
        <f>++Tabla4[[#This Row],[Utilidad Total]]/Tabla4[[#This Row],[Total]]</f>
        <v>#N/A</v>
      </c>
      <c r="P820" s="282">
        <f>++Tabla4[[#This Row],[Precio Descontado]]*Tabla4[[#This Row],[Cantidad]]</f>
        <v>8487.800318399999</v>
      </c>
      <c r="Q820" s="282" t="e">
        <f>(INDEX(Tabla6[#All],MATCH(Tabla4[[#This Row],[Producto]],Tabla6[[#All],[PRODUCTO]],0),MATCH(Tabla4[[#This Row],[Mes]],Tabla6[#Headers],0)))</f>
        <v>#N/A</v>
      </c>
      <c r="R820" s="282" t="e">
        <f>++Tabla4[[#This Row],[Precio Unitario Neto]]-Tabla4[[#This Row],[20.85%]]-Tabla4[[#This Row],[Costo]]</f>
        <v>#N/A</v>
      </c>
      <c r="S820" s="282" t="e">
        <f>++Tabla4[[#This Row],[U. Bruta Uni]]*Tabla4[[#This Row],[Cantidad]]</f>
        <v>#N/A</v>
      </c>
      <c r="T820" s="369" t="str">
        <f>VLOOKUP(Tabla4[[#This Row],[Producto]],Tabla6[#All],14,FALSE)</f>
        <v>Termico Solar</v>
      </c>
      <c r="U820" s="284" t="e">
        <f>(IF(Tabla4[[#This Row],[Familia]]="termico solar",Tabla4[[#This Row],[Utilidad Total]]*6%,Tabla4[[#This Row],[Utilidad Total]]*11.5%))/Tabla4[[#This Row],[Total]]</f>
        <v>#N/A</v>
      </c>
      <c r="V820" s="282" t="e">
        <f>+Tabla4[[#This Row],[Comisión Calculada]]*Tabla4[[#This Row],[Total]]</f>
        <v>#N/A</v>
      </c>
    </row>
    <row r="821" spans="1:22" hidden="1" x14ac:dyDescent="0.25">
      <c r="A821" s="100">
        <v>45716</v>
      </c>
      <c r="B821" t="str">
        <f t="shared" si="31"/>
        <v>February</v>
      </c>
      <c r="C821" s="46" t="s">
        <v>280</v>
      </c>
      <c r="F821" s="366" t="s">
        <v>1044</v>
      </c>
      <c r="G821" s="46" t="s">
        <v>83</v>
      </c>
      <c r="H821" s="46">
        <v>1</v>
      </c>
      <c r="I821" s="51">
        <v>8858.76</v>
      </c>
      <c r="J821" s="281">
        <f>++Tabla4[[#This Row],[Precio Bruto]]*1.16</f>
        <v>10276.161599999999</v>
      </c>
      <c r="K821" s="281">
        <f>+Tabla4[[#This Row],[Precio Unitario Neto]]*Tabla4[[#Headers],[20.85%]]</f>
        <v>2142.5796935999997</v>
      </c>
      <c r="L821" s="282">
        <f>++Tabla4[[#This Row],[Precio Unitario Neto]]-Tabla4[[#This Row],[20.85%]]</f>
        <v>8133.5819063999998</v>
      </c>
      <c r="M821" s="282" t="e">
        <f>(INDEX(Tabla6[#All],MATCH(Tabla4[[#This Row],[Producto]],Tabla6[[#All],[PRODUCTO]],0),MATCH(Tabla4[[#This Row],[Mes]],Tabla6[#Headers],0)))*(1+Catalogos!$L$2)</f>
        <v>#N/A</v>
      </c>
      <c r="N821" s="283" t="e">
        <f>+(Tabla4[[#This Row],[Precio Descontado]]-Tabla4[[#This Row],[Precio Base]])*Tabla4[[#This Row],[Cantidad]]</f>
        <v>#N/A</v>
      </c>
      <c r="O821" s="284" t="e">
        <f>++Tabla4[[#This Row],[Utilidad Total]]/Tabla4[[#This Row],[Total]]</f>
        <v>#N/A</v>
      </c>
      <c r="P821" s="282">
        <f>++Tabla4[[#This Row],[Precio Descontado]]*Tabla4[[#This Row],[Cantidad]]</f>
        <v>8133.5819063999998</v>
      </c>
      <c r="Q821" s="282" t="e">
        <f>(INDEX(Tabla6[#All],MATCH(Tabla4[[#This Row],[Producto]],Tabla6[[#All],[PRODUCTO]],0),MATCH(Tabla4[[#This Row],[Mes]],Tabla6[#Headers],0)))</f>
        <v>#N/A</v>
      </c>
      <c r="R821" s="282" t="e">
        <f>++Tabla4[[#This Row],[Precio Unitario Neto]]-Tabla4[[#This Row],[20.85%]]-Tabla4[[#This Row],[Costo]]</f>
        <v>#N/A</v>
      </c>
      <c r="S821" s="282" t="e">
        <f>++Tabla4[[#This Row],[U. Bruta Uni]]*Tabla4[[#This Row],[Cantidad]]</f>
        <v>#N/A</v>
      </c>
      <c r="T821" s="369" t="str">
        <f>VLOOKUP(Tabla4[[#This Row],[Producto]],Tabla6[#All],14,FALSE)</f>
        <v>Termico Solar</v>
      </c>
      <c r="U821" s="284" t="e">
        <f>(IF(Tabla4[[#This Row],[Familia]]="termico solar",Tabla4[[#This Row],[Utilidad Total]]*6%,Tabla4[[#This Row],[Utilidad Total]]*11.5%))/Tabla4[[#This Row],[Total]]</f>
        <v>#N/A</v>
      </c>
      <c r="V821" s="282" t="e">
        <f>+Tabla4[[#This Row],[Comisión Calculada]]*Tabla4[[#This Row],[Total]]</f>
        <v>#N/A</v>
      </c>
    </row>
    <row r="822" spans="1:22" hidden="1" x14ac:dyDescent="0.25">
      <c r="A822" s="100">
        <v>45716</v>
      </c>
      <c r="B822" t="str">
        <f t="shared" si="31"/>
        <v>February</v>
      </c>
      <c r="C822" s="46" t="s">
        <v>280</v>
      </c>
      <c r="F822" s="366" t="s">
        <v>1044</v>
      </c>
      <c r="G822" s="46" t="s">
        <v>17</v>
      </c>
      <c r="H822" s="46">
        <v>1</v>
      </c>
      <c r="I822" s="51">
        <v>4622.28</v>
      </c>
      <c r="J822" s="281">
        <f>++Tabla4[[#This Row],[Precio Bruto]]*1.16</f>
        <v>5361.8447999999989</v>
      </c>
      <c r="K822" s="281">
        <f>+Tabla4[[#This Row],[Precio Unitario Neto]]*Tabla4[[#Headers],[20.85%]]</f>
        <v>1117.9446407999997</v>
      </c>
      <c r="L822" s="282">
        <f>++Tabla4[[#This Row],[Precio Unitario Neto]]-Tabla4[[#This Row],[20.85%]]</f>
        <v>4243.9001591999995</v>
      </c>
      <c r="M822" s="282" t="e">
        <f>(INDEX(Tabla6[#All],MATCH(Tabla4[[#This Row],[Producto]],Tabla6[[#All],[PRODUCTO]],0),MATCH(Tabla4[[#This Row],[Mes]],Tabla6[#Headers],0)))*(1+Catalogos!$L$2)</f>
        <v>#N/A</v>
      </c>
      <c r="N822" s="283" t="e">
        <f>+(Tabla4[[#This Row],[Precio Descontado]]-Tabla4[[#This Row],[Precio Base]])*Tabla4[[#This Row],[Cantidad]]</f>
        <v>#N/A</v>
      </c>
      <c r="O822" s="284" t="e">
        <f>++Tabla4[[#This Row],[Utilidad Total]]/Tabla4[[#This Row],[Total]]</f>
        <v>#N/A</v>
      </c>
      <c r="P822" s="282">
        <f>++Tabla4[[#This Row],[Precio Descontado]]*Tabla4[[#This Row],[Cantidad]]</f>
        <v>4243.9001591999995</v>
      </c>
      <c r="Q822" s="282" t="e">
        <f>(INDEX(Tabla6[#All],MATCH(Tabla4[[#This Row],[Producto]],Tabla6[[#All],[PRODUCTO]],0),MATCH(Tabla4[[#This Row],[Mes]],Tabla6[#Headers],0)))</f>
        <v>#N/A</v>
      </c>
      <c r="R822" s="282" t="e">
        <f>++Tabla4[[#This Row],[Precio Unitario Neto]]-Tabla4[[#This Row],[20.85%]]-Tabla4[[#This Row],[Costo]]</f>
        <v>#N/A</v>
      </c>
      <c r="S822" s="282" t="e">
        <f>++Tabla4[[#This Row],[U. Bruta Uni]]*Tabla4[[#This Row],[Cantidad]]</f>
        <v>#N/A</v>
      </c>
      <c r="T822" s="369" t="str">
        <f>VLOOKUP(Tabla4[[#This Row],[Producto]],Tabla6[#All],14,FALSE)</f>
        <v>Termico Solar</v>
      </c>
      <c r="U822" s="284" t="e">
        <f>(IF(Tabla4[[#This Row],[Familia]]="termico solar",Tabla4[[#This Row],[Utilidad Total]]*6%,Tabla4[[#This Row],[Utilidad Total]]*11.5%))/Tabla4[[#This Row],[Total]]</f>
        <v>#N/A</v>
      </c>
      <c r="V822" s="282" t="e">
        <f>+Tabla4[[#This Row],[Comisión Calculada]]*Tabla4[[#This Row],[Total]]</f>
        <v>#N/A</v>
      </c>
    </row>
    <row r="823" spans="1:22" hidden="1" x14ac:dyDescent="0.25">
      <c r="A823" s="100">
        <v>45716</v>
      </c>
      <c r="B823" t="str">
        <f t="shared" si="31"/>
        <v>February</v>
      </c>
      <c r="C823" s="46" t="s">
        <v>280</v>
      </c>
      <c r="F823" s="366" t="s">
        <v>1045</v>
      </c>
      <c r="G823" s="46" t="s">
        <v>16</v>
      </c>
      <c r="H823" s="46">
        <v>2</v>
      </c>
      <c r="I823" s="51">
        <v>4103.8500000000004</v>
      </c>
      <c r="J823" s="281">
        <f>++Tabla4[[#This Row],[Precio Bruto]]*1.16</f>
        <v>4760.4660000000003</v>
      </c>
      <c r="K823" s="281">
        <f>+Tabla4[[#This Row],[Precio Unitario Neto]]*Tabla4[[#Headers],[20.85%]]</f>
        <v>992.55716100000006</v>
      </c>
      <c r="L823" s="282">
        <f>++Tabla4[[#This Row],[Precio Unitario Neto]]-Tabla4[[#This Row],[20.85%]]</f>
        <v>3767.9088390000002</v>
      </c>
      <c r="M823" s="282" t="e">
        <f>(INDEX(Tabla6[#All],MATCH(Tabla4[[#This Row],[Producto]],Tabla6[[#All],[PRODUCTO]],0),MATCH(Tabla4[[#This Row],[Mes]],Tabla6[#Headers],0)))*(1+Catalogos!$L$2)</f>
        <v>#N/A</v>
      </c>
      <c r="N823" s="283" t="e">
        <f>+(Tabla4[[#This Row],[Precio Descontado]]-Tabla4[[#This Row],[Precio Base]])*Tabla4[[#This Row],[Cantidad]]</f>
        <v>#N/A</v>
      </c>
      <c r="O823" s="284" t="e">
        <f>++Tabla4[[#This Row],[Utilidad Total]]/Tabla4[[#This Row],[Total]]</f>
        <v>#N/A</v>
      </c>
      <c r="P823" s="282">
        <f>++Tabla4[[#This Row],[Precio Descontado]]*Tabla4[[#This Row],[Cantidad]]</f>
        <v>7535.8176780000003</v>
      </c>
      <c r="Q823" s="282" t="e">
        <f>(INDEX(Tabla6[#All],MATCH(Tabla4[[#This Row],[Producto]],Tabla6[[#All],[PRODUCTO]],0),MATCH(Tabla4[[#This Row],[Mes]],Tabla6[#Headers],0)))</f>
        <v>#N/A</v>
      </c>
      <c r="R823" s="282" t="e">
        <f>++Tabla4[[#This Row],[Precio Unitario Neto]]-Tabla4[[#This Row],[20.85%]]-Tabla4[[#This Row],[Costo]]</f>
        <v>#N/A</v>
      </c>
      <c r="S823" s="282" t="e">
        <f>++Tabla4[[#This Row],[U. Bruta Uni]]*Tabla4[[#This Row],[Cantidad]]</f>
        <v>#N/A</v>
      </c>
      <c r="T823" s="369" t="str">
        <f>VLOOKUP(Tabla4[[#This Row],[Producto]],Tabla6[#All],14,FALSE)</f>
        <v>Termico Solar</v>
      </c>
      <c r="U823" s="284" t="e">
        <f>(IF(Tabla4[[#This Row],[Familia]]="termico solar",Tabla4[[#This Row],[Utilidad Total]]*6%,Tabla4[[#This Row],[Utilidad Total]]*11.5%))/Tabla4[[#This Row],[Total]]</f>
        <v>#N/A</v>
      </c>
      <c r="V823" s="282" t="e">
        <f>+Tabla4[[#This Row],[Comisión Calculada]]*Tabla4[[#This Row],[Total]]</f>
        <v>#N/A</v>
      </c>
    </row>
    <row r="824" spans="1:22" hidden="1" x14ac:dyDescent="0.25">
      <c r="A824" s="100">
        <v>45716</v>
      </c>
      <c r="B824" t="str">
        <f t="shared" si="31"/>
        <v>February</v>
      </c>
      <c r="C824" s="46" t="s">
        <v>280</v>
      </c>
      <c r="F824" s="366" t="s">
        <v>1046</v>
      </c>
      <c r="G824" s="46" t="s">
        <v>17</v>
      </c>
      <c r="H824" s="46">
        <v>3</v>
      </c>
      <c r="I824" s="51">
        <v>4622.28</v>
      </c>
      <c r="J824" s="281">
        <f>++Tabla4[[#This Row],[Precio Bruto]]*1.16</f>
        <v>5361.8447999999989</v>
      </c>
      <c r="K824" s="281">
        <f>+Tabla4[[#This Row],[Precio Unitario Neto]]*Tabla4[[#Headers],[20.85%]]</f>
        <v>1117.9446407999997</v>
      </c>
      <c r="L824" s="282">
        <f>++Tabla4[[#This Row],[Precio Unitario Neto]]-Tabla4[[#This Row],[20.85%]]</f>
        <v>4243.9001591999995</v>
      </c>
      <c r="M824" s="282" t="e">
        <f>(INDEX(Tabla6[#All],MATCH(Tabla4[[#This Row],[Producto]],Tabla6[[#All],[PRODUCTO]],0),MATCH(Tabla4[[#This Row],[Mes]],Tabla6[#Headers],0)))*(1+Catalogos!$L$2)</f>
        <v>#N/A</v>
      </c>
      <c r="N824" s="283" t="e">
        <f>+(Tabla4[[#This Row],[Precio Descontado]]-Tabla4[[#This Row],[Precio Base]])*Tabla4[[#This Row],[Cantidad]]</f>
        <v>#N/A</v>
      </c>
      <c r="O824" s="284" t="e">
        <f>++Tabla4[[#This Row],[Utilidad Total]]/Tabla4[[#This Row],[Total]]</f>
        <v>#N/A</v>
      </c>
      <c r="P824" s="282">
        <f>++Tabla4[[#This Row],[Precio Descontado]]*Tabla4[[#This Row],[Cantidad]]</f>
        <v>12731.700477599999</v>
      </c>
      <c r="Q824" s="282" t="e">
        <f>(INDEX(Tabla6[#All],MATCH(Tabla4[[#This Row],[Producto]],Tabla6[[#All],[PRODUCTO]],0),MATCH(Tabla4[[#This Row],[Mes]],Tabla6[#Headers],0)))</f>
        <v>#N/A</v>
      </c>
      <c r="R824" s="282" t="e">
        <f>++Tabla4[[#This Row],[Precio Unitario Neto]]-Tabla4[[#This Row],[20.85%]]-Tabla4[[#This Row],[Costo]]</f>
        <v>#N/A</v>
      </c>
      <c r="S824" s="282" t="e">
        <f>++Tabla4[[#This Row],[U. Bruta Uni]]*Tabla4[[#This Row],[Cantidad]]</f>
        <v>#N/A</v>
      </c>
      <c r="T824" s="369" t="str">
        <f>VLOOKUP(Tabla4[[#This Row],[Producto]],Tabla6[#All],14,FALSE)</f>
        <v>Termico Solar</v>
      </c>
      <c r="U824" s="284" t="e">
        <f>(IF(Tabla4[[#This Row],[Familia]]="termico solar",Tabla4[[#This Row],[Utilidad Total]]*6%,Tabla4[[#This Row],[Utilidad Total]]*11.5%))/Tabla4[[#This Row],[Total]]</f>
        <v>#N/A</v>
      </c>
      <c r="V824" s="282" t="e">
        <f>+Tabla4[[#This Row],[Comisión Calculada]]*Tabla4[[#This Row],[Total]]</f>
        <v>#N/A</v>
      </c>
    </row>
    <row r="825" spans="1:22" hidden="1" x14ac:dyDescent="0.25">
      <c r="A825" s="100">
        <v>45716</v>
      </c>
      <c r="B825" t="str">
        <f t="shared" si="31"/>
        <v>February</v>
      </c>
      <c r="C825" s="46" t="s">
        <v>280</v>
      </c>
      <c r="F825" s="366" t="s">
        <v>1046</v>
      </c>
      <c r="G825" s="46" t="s">
        <v>566</v>
      </c>
      <c r="H825" s="46">
        <v>1</v>
      </c>
      <c r="I825" s="51">
        <v>2109.4499999999998</v>
      </c>
      <c r="J825" s="281">
        <f>++Tabla4[[#This Row],[Precio Bruto]]*1.16</f>
        <v>2446.9619999999995</v>
      </c>
      <c r="K825" s="281">
        <f>+Tabla4[[#This Row],[Precio Unitario Neto]]*Tabla4[[#Headers],[20.85%]]</f>
        <v>510.19157699999988</v>
      </c>
      <c r="L825" s="282">
        <f>++Tabla4[[#This Row],[Precio Unitario Neto]]-Tabla4[[#This Row],[20.85%]]</f>
        <v>1936.7704229999997</v>
      </c>
      <c r="M825" s="282" t="e">
        <f>(INDEX(Tabla6[#All],MATCH(Tabla4[[#This Row],[Producto]],Tabla6[[#All],[PRODUCTO]],0),MATCH(Tabla4[[#This Row],[Mes]],Tabla6[#Headers],0)))*(1+Catalogos!$L$2)</f>
        <v>#N/A</v>
      </c>
      <c r="N825" s="283" t="e">
        <f>+(Tabla4[[#This Row],[Precio Descontado]]-Tabla4[[#This Row],[Precio Base]])*Tabla4[[#This Row],[Cantidad]]</f>
        <v>#N/A</v>
      </c>
      <c r="O825" s="284" t="e">
        <f>++Tabla4[[#This Row],[Utilidad Total]]/Tabla4[[#This Row],[Total]]</f>
        <v>#N/A</v>
      </c>
      <c r="P825" s="282">
        <f>++Tabla4[[#This Row],[Precio Descontado]]*Tabla4[[#This Row],[Cantidad]]</f>
        <v>1936.7704229999997</v>
      </c>
      <c r="Q825" s="282" t="e">
        <f>(INDEX(Tabla6[#All],MATCH(Tabla4[[#This Row],[Producto]],Tabla6[[#All],[PRODUCTO]],0),MATCH(Tabla4[[#This Row],[Mes]],Tabla6[#Headers],0)))</f>
        <v>#N/A</v>
      </c>
      <c r="R825" s="282" t="e">
        <f>++Tabla4[[#This Row],[Precio Unitario Neto]]-Tabla4[[#This Row],[20.85%]]-Tabla4[[#This Row],[Costo]]</f>
        <v>#N/A</v>
      </c>
      <c r="S825" s="282" t="e">
        <f>++Tabla4[[#This Row],[U. Bruta Uni]]*Tabla4[[#This Row],[Cantidad]]</f>
        <v>#N/A</v>
      </c>
      <c r="T825" s="369" t="str">
        <f>VLOOKUP(Tabla4[[#This Row],[Producto]],Tabla6[#All],14,FALSE)</f>
        <v>Termico Solar</v>
      </c>
      <c r="U825" s="284" t="e">
        <f>(IF(Tabla4[[#This Row],[Familia]]="termico solar",Tabla4[[#This Row],[Utilidad Total]]*6%,Tabla4[[#This Row],[Utilidad Total]]*11.5%))/Tabla4[[#This Row],[Total]]</f>
        <v>#N/A</v>
      </c>
      <c r="V825" s="282" t="e">
        <f>+Tabla4[[#This Row],[Comisión Calculada]]*Tabla4[[#This Row],[Total]]</f>
        <v>#N/A</v>
      </c>
    </row>
    <row r="826" spans="1:22" hidden="1" x14ac:dyDescent="0.25">
      <c r="A826" s="100">
        <v>45716</v>
      </c>
      <c r="B826" t="str">
        <f t="shared" si="31"/>
        <v>February</v>
      </c>
      <c r="C826" s="46" t="s">
        <v>280</v>
      </c>
      <c r="F826" s="366" t="s">
        <v>1047</v>
      </c>
      <c r="G826" s="46" t="s">
        <v>17</v>
      </c>
      <c r="H826" s="46">
        <v>3</v>
      </c>
      <c r="I826" s="51">
        <v>4622.28</v>
      </c>
      <c r="J826" s="281">
        <f>++Tabla4[[#This Row],[Precio Bruto]]*1.16</f>
        <v>5361.8447999999989</v>
      </c>
      <c r="K826" s="281">
        <f>+Tabla4[[#This Row],[Precio Unitario Neto]]*Tabla4[[#Headers],[20.85%]]</f>
        <v>1117.9446407999997</v>
      </c>
      <c r="L826" s="282">
        <f>++Tabla4[[#This Row],[Precio Unitario Neto]]-Tabla4[[#This Row],[20.85%]]</f>
        <v>4243.9001591999995</v>
      </c>
      <c r="M826" s="282" t="e">
        <f>(INDEX(Tabla6[#All],MATCH(Tabla4[[#This Row],[Producto]],Tabla6[[#All],[PRODUCTO]],0),MATCH(Tabla4[[#This Row],[Mes]],Tabla6[#Headers],0)))*(1+Catalogos!$L$2)</f>
        <v>#N/A</v>
      </c>
      <c r="N826" s="283" t="e">
        <f>+(Tabla4[[#This Row],[Precio Descontado]]-Tabla4[[#This Row],[Precio Base]])*Tabla4[[#This Row],[Cantidad]]</f>
        <v>#N/A</v>
      </c>
      <c r="O826" s="284" t="e">
        <f>++Tabla4[[#This Row],[Utilidad Total]]/Tabla4[[#This Row],[Total]]</f>
        <v>#N/A</v>
      </c>
      <c r="P826" s="282">
        <f>++Tabla4[[#This Row],[Precio Descontado]]*Tabla4[[#This Row],[Cantidad]]</f>
        <v>12731.700477599999</v>
      </c>
      <c r="Q826" s="282" t="e">
        <f>(INDEX(Tabla6[#All],MATCH(Tabla4[[#This Row],[Producto]],Tabla6[[#All],[PRODUCTO]],0),MATCH(Tabla4[[#This Row],[Mes]],Tabla6[#Headers],0)))</f>
        <v>#N/A</v>
      </c>
      <c r="R826" s="282" t="e">
        <f>++Tabla4[[#This Row],[Precio Unitario Neto]]-Tabla4[[#This Row],[20.85%]]-Tabla4[[#This Row],[Costo]]</f>
        <v>#N/A</v>
      </c>
      <c r="S826" s="282" t="e">
        <f>++Tabla4[[#This Row],[U. Bruta Uni]]*Tabla4[[#This Row],[Cantidad]]</f>
        <v>#N/A</v>
      </c>
      <c r="T826" s="369" t="str">
        <f>VLOOKUP(Tabla4[[#This Row],[Producto]],Tabla6[#All],14,FALSE)</f>
        <v>Termico Solar</v>
      </c>
      <c r="U826" s="284" t="e">
        <f>(IF(Tabla4[[#This Row],[Familia]]="termico solar",Tabla4[[#This Row],[Utilidad Total]]*6%,Tabla4[[#This Row],[Utilidad Total]]*11.5%))/Tabla4[[#This Row],[Total]]</f>
        <v>#N/A</v>
      </c>
      <c r="V826" s="282" t="e">
        <f>+Tabla4[[#This Row],[Comisión Calculada]]*Tabla4[[#This Row],[Total]]</f>
        <v>#N/A</v>
      </c>
    </row>
    <row r="827" spans="1:22" hidden="1" x14ac:dyDescent="0.25">
      <c r="A827" s="100">
        <v>45716</v>
      </c>
      <c r="B827" t="str">
        <f t="shared" si="31"/>
        <v>February</v>
      </c>
      <c r="C827" s="46" t="s">
        <v>280</v>
      </c>
      <c r="F827" s="366" t="s">
        <v>1048</v>
      </c>
      <c r="G827" s="46" t="s">
        <v>18</v>
      </c>
      <c r="H827" s="46">
        <v>1</v>
      </c>
      <c r="I827" s="51">
        <v>5367.65</v>
      </c>
      <c r="J827" s="281">
        <f>++Tabla4[[#This Row],[Precio Bruto]]*1.16</f>
        <v>6226.4739999999993</v>
      </c>
      <c r="K827" s="281">
        <f>+Tabla4[[#This Row],[Precio Unitario Neto]]*Tabla4[[#Headers],[20.85%]]</f>
        <v>1298.2198289999999</v>
      </c>
      <c r="L827" s="282">
        <f>++Tabla4[[#This Row],[Precio Unitario Neto]]-Tabla4[[#This Row],[20.85%]]</f>
        <v>4928.2541709999996</v>
      </c>
      <c r="M827" s="282" t="e">
        <f>(INDEX(Tabla6[#All],MATCH(Tabla4[[#This Row],[Producto]],Tabla6[[#All],[PRODUCTO]],0),MATCH(Tabla4[[#This Row],[Mes]],Tabla6[#Headers],0)))*(1+Catalogos!$L$2)</f>
        <v>#N/A</v>
      </c>
      <c r="N827" s="283" t="e">
        <f>+(Tabla4[[#This Row],[Precio Descontado]]-Tabla4[[#This Row],[Precio Base]])*Tabla4[[#This Row],[Cantidad]]</f>
        <v>#N/A</v>
      </c>
      <c r="O827" s="284" t="e">
        <f>++Tabla4[[#This Row],[Utilidad Total]]/Tabla4[[#This Row],[Total]]</f>
        <v>#N/A</v>
      </c>
      <c r="P827" s="282">
        <f>++Tabla4[[#This Row],[Precio Descontado]]*Tabla4[[#This Row],[Cantidad]]</f>
        <v>4928.2541709999996</v>
      </c>
      <c r="Q827" s="282" t="e">
        <f>(INDEX(Tabla6[#All],MATCH(Tabla4[[#This Row],[Producto]],Tabla6[[#All],[PRODUCTO]],0),MATCH(Tabla4[[#This Row],[Mes]],Tabla6[#Headers],0)))</f>
        <v>#N/A</v>
      </c>
      <c r="R827" s="282" t="e">
        <f>++Tabla4[[#This Row],[Precio Unitario Neto]]-Tabla4[[#This Row],[20.85%]]-Tabla4[[#This Row],[Costo]]</f>
        <v>#N/A</v>
      </c>
      <c r="S827" s="282" t="e">
        <f>++Tabla4[[#This Row],[U. Bruta Uni]]*Tabla4[[#This Row],[Cantidad]]</f>
        <v>#N/A</v>
      </c>
      <c r="T827" s="369" t="str">
        <f>VLOOKUP(Tabla4[[#This Row],[Producto]],Tabla6[#All],14,FALSE)</f>
        <v>Termico Solar</v>
      </c>
      <c r="U827" s="284" t="e">
        <f>(IF(Tabla4[[#This Row],[Familia]]="termico solar",Tabla4[[#This Row],[Utilidad Total]]*6%,Tabla4[[#This Row],[Utilidad Total]]*11.5%))/Tabla4[[#This Row],[Total]]</f>
        <v>#N/A</v>
      </c>
      <c r="V827" s="282" t="e">
        <f>+Tabla4[[#This Row],[Comisión Calculada]]*Tabla4[[#This Row],[Total]]</f>
        <v>#N/A</v>
      </c>
    </row>
    <row r="828" spans="1:22" hidden="1" x14ac:dyDescent="0.25">
      <c r="A828" s="100">
        <v>45716</v>
      </c>
      <c r="B828" t="str">
        <f t="shared" si="31"/>
        <v>February</v>
      </c>
      <c r="C828" s="46" t="s">
        <v>280</v>
      </c>
      <c r="F828" s="366" t="s">
        <v>1049</v>
      </c>
      <c r="G828" s="46" t="s">
        <v>83</v>
      </c>
      <c r="H828" s="46">
        <v>1</v>
      </c>
      <c r="I828" s="51">
        <v>8858.76</v>
      </c>
      <c r="J828" s="281">
        <f>++Tabla4[[#This Row],[Precio Bruto]]*1.16</f>
        <v>10276.161599999999</v>
      </c>
      <c r="K828" s="281">
        <f>+Tabla4[[#This Row],[Precio Unitario Neto]]*Tabla4[[#Headers],[20.85%]]</f>
        <v>2142.5796935999997</v>
      </c>
      <c r="L828" s="282">
        <f>++Tabla4[[#This Row],[Precio Unitario Neto]]-Tabla4[[#This Row],[20.85%]]</f>
        <v>8133.5819063999998</v>
      </c>
      <c r="M828" s="282" t="e">
        <f>(INDEX(Tabla6[#All],MATCH(Tabla4[[#This Row],[Producto]],Tabla6[[#All],[PRODUCTO]],0),MATCH(Tabla4[[#This Row],[Mes]],Tabla6[#Headers],0)))*(1+Catalogos!$L$2)</f>
        <v>#N/A</v>
      </c>
      <c r="N828" s="283" t="e">
        <f>+(Tabla4[[#This Row],[Precio Descontado]]-Tabla4[[#This Row],[Precio Base]])*Tabla4[[#This Row],[Cantidad]]</f>
        <v>#N/A</v>
      </c>
      <c r="O828" s="284" t="e">
        <f>++Tabla4[[#This Row],[Utilidad Total]]/Tabla4[[#This Row],[Total]]</f>
        <v>#N/A</v>
      </c>
      <c r="P828" s="282">
        <f>++Tabla4[[#This Row],[Precio Descontado]]*Tabla4[[#This Row],[Cantidad]]</f>
        <v>8133.5819063999998</v>
      </c>
      <c r="Q828" s="282" t="e">
        <f>(INDEX(Tabla6[#All],MATCH(Tabla4[[#This Row],[Producto]],Tabla6[[#All],[PRODUCTO]],0),MATCH(Tabla4[[#This Row],[Mes]],Tabla6[#Headers],0)))</f>
        <v>#N/A</v>
      </c>
      <c r="R828" s="282" t="e">
        <f>++Tabla4[[#This Row],[Precio Unitario Neto]]-Tabla4[[#This Row],[20.85%]]-Tabla4[[#This Row],[Costo]]</f>
        <v>#N/A</v>
      </c>
      <c r="S828" s="282" t="e">
        <f>++Tabla4[[#This Row],[U. Bruta Uni]]*Tabla4[[#This Row],[Cantidad]]</f>
        <v>#N/A</v>
      </c>
      <c r="T828" s="369" t="str">
        <f>VLOOKUP(Tabla4[[#This Row],[Producto]],Tabla6[#All],14,FALSE)</f>
        <v>Termico Solar</v>
      </c>
      <c r="U828" s="284" t="e">
        <f>(IF(Tabla4[[#This Row],[Familia]]="termico solar",Tabla4[[#This Row],[Utilidad Total]]*6%,Tabla4[[#This Row],[Utilidad Total]]*11.5%))/Tabla4[[#This Row],[Total]]</f>
        <v>#N/A</v>
      </c>
      <c r="V828" s="282" t="e">
        <f>+Tabla4[[#This Row],[Comisión Calculada]]*Tabla4[[#This Row],[Total]]</f>
        <v>#N/A</v>
      </c>
    </row>
    <row r="829" spans="1:22" hidden="1" x14ac:dyDescent="0.25">
      <c r="A829" s="100">
        <v>45716</v>
      </c>
      <c r="B829" t="str">
        <f t="shared" si="31"/>
        <v>February</v>
      </c>
      <c r="C829" s="46" t="s">
        <v>280</v>
      </c>
      <c r="F829" s="366" t="s">
        <v>1049</v>
      </c>
      <c r="G829" s="46" t="s">
        <v>16</v>
      </c>
      <c r="H829" s="46">
        <v>1</v>
      </c>
      <c r="I829" s="51">
        <v>4103.8500000000004</v>
      </c>
      <c r="J829" s="281">
        <f>++Tabla4[[#This Row],[Precio Bruto]]*1.16</f>
        <v>4760.4660000000003</v>
      </c>
      <c r="K829" s="281">
        <f>+Tabla4[[#This Row],[Precio Unitario Neto]]*Tabla4[[#Headers],[20.85%]]</f>
        <v>992.55716100000006</v>
      </c>
      <c r="L829" s="282">
        <f>++Tabla4[[#This Row],[Precio Unitario Neto]]-Tabla4[[#This Row],[20.85%]]</f>
        <v>3767.9088390000002</v>
      </c>
      <c r="M829" s="282" t="e">
        <f>(INDEX(Tabla6[#All],MATCH(Tabla4[[#This Row],[Producto]],Tabla6[[#All],[PRODUCTO]],0),MATCH(Tabla4[[#This Row],[Mes]],Tabla6[#Headers],0)))*(1+Catalogos!$L$2)</f>
        <v>#N/A</v>
      </c>
      <c r="N829" s="283" t="e">
        <f>+(Tabla4[[#This Row],[Precio Descontado]]-Tabla4[[#This Row],[Precio Base]])*Tabla4[[#This Row],[Cantidad]]</f>
        <v>#N/A</v>
      </c>
      <c r="O829" s="284" t="e">
        <f>++Tabla4[[#This Row],[Utilidad Total]]/Tabla4[[#This Row],[Total]]</f>
        <v>#N/A</v>
      </c>
      <c r="P829" s="282">
        <f>++Tabla4[[#This Row],[Precio Descontado]]*Tabla4[[#This Row],[Cantidad]]</f>
        <v>3767.9088390000002</v>
      </c>
      <c r="Q829" s="282" t="e">
        <f>(INDEX(Tabla6[#All],MATCH(Tabla4[[#This Row],[Producto]],Tabla6[[#All],[PRODUCTO]],0),MATCH(Tabla4[[#This Row],[Mes]],Tabla6[#Headers],0)))</f>
        <v>#N/A</v>
      </c>
      <c r="R829" s="282" t="e">
        <f>++Tabla4[[#This Row],[Precio Unitario Neto]]-Tabla4[[#This Row],[20.85%]]-Tabla4[[#This Row],[Costo]]</f>
        <v>#N/A</v>
      </c>
      <c r="S829" s="282" t="e">
        <f>++Tabla4[[#This Row],[U. Bruta Uni]]*Tabla4[[#This Row],[Cantidad]]</f>
        <v>#N/A</v>
      </c>
      <c r="T829" s="369" t="str">
        <f>VLOOKUP(Tabla4[[#This Row],[Producto]],Tabla6[#All],14,FALSE)</f>
        <v>Termico Solar</v>
      </c>
      <c r="U829" s="284" t="e">
        <f>(IF(Tabla4[[#This Row],[Familia]]="termico solar",Tabla4[[#This Row],[Utilidad Total]]*6%,Tabla4[[#This Row],[Utilidad Total]]*11.5%))/Tabla4[[#This Row],[Total]]</f>
        <v>#N/A</v>
      </c>
      <c r="V829" s="282" t="e">
        <f>+Tabla4[[#This Row],[Comisión Calculada]]*Tabla4[[#This Row],[Total]]</f>
        <v>#N/A</v>
      </c>
    </row>
    <row r="830" spans="1:22" hidden="1" x14ac:dyDescent="0.25">
      <c r="A830" s="100">
        <v>45716</v>
      </c>
      <c r="B830" t="str">
        <f t="shared" si="31"/>
        <v>February</v>
      </c>
      <c r="C830" s="46" t="s">
        <v>280</v>
      </c>
      <c r="F830" s="366" t="s">
        <v>1050</v>
      </c>
      <c r="G830" s="46" t="s">
        <v>17</v>
      </c>
      <c r="H830" s="46">
        <v>2</v>
      </c>
      <c r="I830" s="51">
        <v>4622.28</v>
      </c>
      <c r="J830" s="281">
        <f>++Tabla4[[#This Row],[Precio Bruto]]*1.16</f>
        <v>5361.8447999999989</v>
      </c>
      <c r="K830" s="281">
        <f>+Tabla4[[#This Row],[Precio Unitario Neto]]*Tabla4[[#Headers],[20.85%]]</f>
        <v>1117.9446407999997</v>
      </c>
      <c r="L830" s="282">
        <f>++Tabla4[[#This Row],[Precio Unitario Neto]]-Tabla4[[#This Row],[20.85%]]</f>
        <v>4243.9001591999995</v>
      </c>
      <c r="M830" s="282" t="e">
        <f>(INDEX(Tabla6[#All],MATCH(Tabla4[[#This Row],[Producto]],Tabla6[[#All],[PRODUCTO]],0),MATCH(Tabla4[[#This Row],[Mes]],Tabla6[#Headers],0)))*(1+Catalogos!$L$2)</f>
        <v>#N/A</v>
      </c>
      <c r="N830" s="283" t="e">
        <f>+(Tabla4[[#This Row],[Precio Descontado]]-Tabla4[[#This Row],[Precio Base]])*Tabla4[[#This Row],[Cantidad]]</f>
        <v>#N/A</v>
      </c>
      <c r="O830" s="284" t="e">
        <f>++Tabla4[[#This Row],[Utilidad Total]]/Tabla4[[#This Row],[Total]]</f>
        <v>#N/A</v>
      </c>
      <c r="P830" s="282">
        <f>++Tabla4[[#This Row],[Precio Descontado]]*Tabla4[[#This Row],[Cantidad]]</f>
        <v>8487.800318399999</v>
      </c>
      <c r="Q830" s="282" t="e">
        <f>(INDEX(Tabla6[#All],MATCH(Tabla4[[#This Row],[Producto]],Tabla6[[#All],[PRODUCTO]],0),MATCH(Tabla4[[#This Row],[Mes]],Tabla6[#Headers],0)))</f>
        <v>#N/A</v>
      </c>
      <c r="R830" s="282" t="e">
        <f>++Tabla4[[#This Row],[Precio Unitario Neto]]-Tabla4[[#This Row],[20.85%]]-Tabla4[[#This Row],[Costo]]</f>
        <v>#N/A</v>
      </c>
      <c r="S830" s="282" t="e">
        <f>++Tabla4[[#This Row],[U. Bruta Uni]]*Tabla4[[#This Row],[Cantidad]]</f>
        <v>#N/A</v>
      </c>
      <c r="T830" s="369" t="str">
        <f>VLOOKUP(Tabla4[[#This Row],[Producto]],Tabla6[#All],14,FALSE)</f>
        <v>Termico Solar</v>
      </c>
      <c r="U830" s="284" t="e">
        <f>(IF(Tabla4[[#This Row],[Familia]]="termico solar",Tabla4[[#This Row],[Utilidad Total]]*6%,Tabla4[[#This Row],[Utilidad Total]]*11.5%))/Tabla4[[#This Row],[Total]]</f>
        <v>#N/A</v>
      </c>
      <c r="V830" s="282" t="e">
        <f>+Tabla4[[#This Row],[Comisión Calculada]]*Tabla4[[#This Row],[Total]]</f>
        <v>#N/A</v>
      </c>
    </row>
    <row r="831" spans="1:22" hidden="1" x14ac:dyDescent="0.25">
      <c r="A831" s="100">
        <v>45716</v>
      </c>
      <c r="B831" t="str">
        <f t="shared" si="31"/>
        <v>February</v>
      </c>
      <c r="C831" s="46" t="s">
        <v>280</v>
      </c>
      <c r="F831" s="366" t="s">
        <v>1051</v>
      </c>
      <c r="G831" s="46" t="s">
        <v>599</v>
      </c>
      <c r="H831" s="46">
        <v>1</v>
      </c>
      <c r="I831" s="51">
        <v>189.75</v>
      </c>
      <c r="J831" s="281">
        <f>++Tabla4[[#This Row],[Precio Bruto]]*1.16</f>
        <v>220.10999999999999</v>
      </c>
      <c r="K831" s="281">
        <f>+Tabla4[[#This Row],[Precio Unitario Neto]]*Tabla4[[#Headers],[20.85%]]</f>
        <v>45.892934999999994</v>
      </c>
      <c r="L831" s="282">
        <f>++Tabla4[[#This Row],[Precio Unitario Neto]]-Tabla4[[#This Row],[20.85%]]</f>
        <v>174.21706499999999</v>
      </c>
      <c r="M831" s="282" t="e">
        <f>(INDEX(Tabla6[#All],MATCH(Tabla4[[#This Row],[Producto]],Tabla6[[#All],[PRODUCTO]],0),MATCH(Tabla4[[#This Row],[Mes]],Tabla6[#Headers],0)))*(1+Catalogos!$L$2)</f>
        <v>#N/A</v>
      </c>
      <c r="N831" s="283" t="e">
        <f>+(Tabla4[[#This Row],[Precio Descontado]]-Tabla4[[#This Row],[Precio Base]])*Tabla4[[#This Row],[Cantidad]]</f>
        <v>#N/A</v>
      </c>
      <c r="O831" s="284" t="e">
        <f>++Tabla4[[#This Row],[Utilidad Total]]/Tabla4[[#This Row],[Total]]</f>
        <v>#N/A</v>
      </c>
      <c r="P831" s="282">
        <f>++Tabla4[[#This Row],[Precio Descontado]]*Tabla4[[#This Row],[Cantidad]]</f>
        <v>174.21706499999999</v>
      </c>
      <c r="Q831" s="282" t="e">
        <f>(INDEX(Tabla6[#All],MATCH(Tabla4[[#This Row],[Producto]],Tabla6[[#All],[PRODUCTO]],0),MATCH(Tabla4[[#This Row],[Mes]],Tabla6[#Headers],0)))</f>
        <v>#N/A</v>
      </c>
      <c r="R831" s="282" t="e">
        <f>++Tabla4[[#This Row],[Precio Unitario Neto]]-Tabla4[[#This Row],[20.85%]]-Tabla4[[#This Row],[Costo]]</f>
        <v>#N/A</v>
      </c>
      <c r="S831" s="282" t="e">
        <f>++Tabla4[[#This Row],[U. Bruta Uni]]*Tabla4[[#This Row],[Cantidad]]</f>
        <v>#N/A</v>
      </c>
      <c r="T831" s="369" t="str">
        <f>VLOOKUP(Tabla4[[#This Row],[Producto]],Tabla6[#All],14,FALSE)</f>
        <v>Termico Solar</v>
      </c>
      <c r="U831" s="284" t="e">
        <f>(IF(Tabla4[[#This Row],[Familia]]="termico solar",Tabla4[[#This Row],[Utilidad Total]]*6%,Tabla4[[#This Row],[Utilidad Total]]*11.5%))/Tabla4[[#This Row],[Total]]</f>
        <v>#N/A</v>
      </c>
      <c r="V831" s="282" t="e">
        <f>+Tabla4[[#This Row],[Comisión Calculada]]*Tabla4[[#This Row],[Total]]</f>
        <v>#N/A</v>
      </c>
    </row>
    <row r="832" spans="1:22" hidden="1" x14ac:dyDescent="0.25">
      <c r="A832" s="100">
        <v>45716</v>
      </c>
      <c r="B832" t="str">
        <f t="shared" si="31"/>
        <v>February</v>
      </c>
      <c r="C832" s="46" t="s">
        <v>280</v>
      </c>
      <c r="F832" s="366" t="s">
        <v>1052</v>
      </c>
      <c r="G832" s="46" t="s">
        <v>566</v>
      </c>
      <c r="H832" s="46">
        <v>1</v>
      </c>
      <c r="I832" s="51">
        <v>2109.4499999999998</v>
      </c>
      <c r="J832" s="281">
        <f>++Tabla4[[#This Row],[Precio Bruto]]*1.16</f>
        <v>2446.9619999999995</v>
      </c>
      <c r="K832" s="281">
        <f>+Tabla4[[#This Row],[Precio Unitario Neto]]*Tabla4[[#Headers],[20.85%]]</f>
        <v>510.19157699999988</v>
      </c>
      <c r="L832" s="282">
        <f>++Tabla4[[#This Row],[Precio Unitario Neto]]-Tabla4[[#This Row],[20.85%]]</f>
        <v>1936.7704229999997</v>
      </c>
      <c r="M832" s="282" t="e">
        <f>(INDEX(Tabla6[#All],MATCH(Tabla4[[#This Row],[Producto]],Tabla6[[#All],[PRODUCTO]],0),MATCH(Tabla4[[#This Row],[Mes]],Tabla6[#Headers],0)))*(1+Catalogos!$L$2)</f>
        <v>#N/A</v>
      </c>
      <c r="N832" s="283" t="e">
        <f>+(Tabla4[[#This Row],[Precio Descontado]]-Tabla4[[#This Row],[Precio Base]])*Tabla4[[#This Row],[Cantidad]]</f>
        <v>#N/A</v>
      </c>
      <c r="O832" s="284" t="e">
        <f>++Tabla4[[#This Row],[Utilidad Total]]/Tabla4[[#This Row],[Total]]</f>
        <v>#N/A</v>
      </c>
      <c r="P832" s="282">
        <f>++Tabla4[[#This Row],[Precio Descontado]]*Tabla4[[#This Row],[Cantidad]]</f>
        <v>1936.7704229999997</v>
      </c>
      <c r="Q832" s="282" t="e">
        <f>(INDEX(Tabla6[#All],MATCH(Tabla4[[#This Row],[Producto]],Tabla6[[#All],[PRODUCTO]],0),MATCH(Tabla4[[#This Row],[Mes]],Tabla6[#Headers],0)))</f>
        <v>#N/A</v>
      </c>
      <c r="R832" s="282" t="e">
        <f>++Tabla4[[#This Row],[Precio Unitario Neto]]-Tabla4[[#This Row],[20.85%]]-Tabla4[[#This Row],[Costo]]</f>
        <v>#N/A</v>
      </c>
      <c r="S832" s="282" t="e">
        <f>++Tabla4[[#This Row],[U. Bruta Uni]]*Tabla4[[#This Row],[Cantidad]]</f>
        <v>#N/A</v>
      </c>
      <c r="T832" s="369" t="str">
        <f>VLOOKUP(Tabla4[[#This Row],[Producto]],Tabla6[#All],14,FALSE)</f>
        <v>Termico Solar</v>
      </c>
      <c r="U832" s="284" t="e">
        <f>(IF(Tabla4[[#This Row],[Familia]]="termico solar",Tabla4[[#This Row],[Utilidad Total]]*6%,Tabla4[[#This Row],[Utilidad Total]]*11.5%))/Tabla4[[#This Row],[Total]]</f>
        <v>#N/A</v>
      </c>
      <c r="V832" s="282" t="e">
        <f>+Tabla4[[#This Row],[Comisión Calculada]]*Tabla4[[#This Row],[Total]]</f>
        <v>#N/A</v>
      </c>
    </row>
    <row r="833" spans="1:22" hidden="1" x14ac:dyDescent="0.25">
      <c r="A833" s="100">
        <v>45716</v>
      </c>
      <c r="B833" t="str">
        <f t="shared" si="31"/>
        <v>February</v>
      </c>
      <c r="C833" s="46" t="s">
        <v>280</v>
      </c>
      <c r="F833" s="366" t="s">
        <v>1052</v>
      </c>
      <c r="G833" s="46" t="s">
        <v>16</v>
      </c>
      <c r="H833" s="46">
        <v>2</v>
      </c>
      <c r="I833" s="51">
        <v>4103.8500000000004</v>
      </c>
      <c r="J833" s="281">
        <f>++Tabla4[[#This Row],[Precio Bruto]]*1.16</f>
        <v>4760.4660000000003</v>
      </c>
      <c r="K833" s="281">
        <f>+Tabla4[[#This Row],[Precio Unitario Neto]]*Tabla4[[#Headers],[20.85%]]</f>
        <v>992.55716100000006</v>
      </c>
      <c r="L833" s="282">
        <f>++Tabla4[[#This Row],[Precio Unitario Neto]]-Tabla4[[#This Row],[20.85%]]</f>
        <v>3767.9088390000002</v>
      </c>
      <c r="M833" s="282" t="e">
        <f>(INDEX(Tabla6[#All],MATCH(Tabla4[[#This Row],[Producto]],Tabla6[[#All],[PRODUCTO]],0),MATCH(Tabla4[[#This Row],[Mes]],Tabla6[#Headers],0)))*(1+Catalogos!$L$2)</f>
        <v>#N/A</v>
      </c>
      <c r="N833" s="283" t="e">
        <f>+(Tabla4[[#This Row],[Precio Descontado]]-Tabla4[[#This Row],[Precio Base]])*Tabla4[[#This Row],[Cantidad]]</f>
        <v>#N/A</v>
      </c>
      <c r="O833" s="284" t="e">
        <f>++Tabla4[[#This Row],[Utilidad Total]]/Tabla4[[#This Row],[Total]]</f>
        <v>#N/A</v>
      </c>
      <c r="P833" s="282">
        <f>++Tabla4[[#This Row],[Precio Descontado]]*Tabla4[[#This Row],[Cantidad]]</f>
        <v>7535.8176780000003</v>
      </c>
      <c r="Q833" s="282" t="e">
        <f>(INDEX(Tabla6[#All],MATCH(Tabla4[[#This Row],[Producto]],Tabla6[[#All],[PRODUCTO]],0),MATCH(Tabla4[[#This Row],[Mes]],Tabla6[#Headers],0)))</f>
        <v>#N/A</v>
      </c>
      <c r="R833" s="282" t="e">
        <f>++Tabla4[[#This Row],[Precio Unitario Neto]]-Tabla4[[#This Row],[20.85%]]-Tabla4[[#This Row],[Costo]]</f>
        <v>#N/A</v>
      </c>
      <c r="S833" s="282" t="e">
        <f>++Tabla4[[#This Row],[U. Bruta Uni]]*Tabla4[[#This Row],[Cantidad]]</f>
        <v>#N/A</v>
      </c>
      <c r="T833" s="369" t="str">
        <f>VLOOKUP(Tabla4[[#This Row],[Producto]],Tabla6[#All],14,FALSE)</f>
        <v>Termico Solar</v>
      </c>
      <c r="U833" s="284" t="e">
        <f>(IF(Tabla4[[#This Row],[Familia]]="termico solar",Tabla4[[#This Row],[Utilidad Total]]*6%,Tabla4[[#This Row],[Utilidad Total]]*11.5%))/Tabla4[[#This Row],[Total]]</f>
        <v>#N/A</v>
      </c>
      <c r="V833" s="282" t="e">
        <f>+Tabla4[[#This Row],[Comisión Calculada]]*Tabla4[[#This Row],[Total]]</f>
        <v>#N/A</v>
      </c>
    </row>
    <row r="834" spans="1:22" hidden="1" x14ac:dyDescent="0.25">
      <c r="A834" s="100">
        <v>45716</v>
      </c>
      <c r="B834" t="str">
        <f t="shared" si="31"/>
        <v>February</v>
      </c>
      <c r="C834" s="46" t="s">
        <v>280</v>
      </c>
      <c r="F834" s="366" t="s">
        <v>1053</v>
      </c>
      <c r="G834" s="46" t="s">
        <v>83</v>
      </c>
      <c r="H834" s="46">
        <v>1</v>
      </c>
      <c r="I834" s="51">
        <v>8858.76</v>
      </c>
      <c r="J834" s="281">
        <f>++Tabla4[[#This Row],[Precio Bruto]]*1.16</f>
        <v>10276.161599999999</v>
      </c>
      <c r="K834" s="281">
        <f>+Tabla4[[#This Row],[Precio Unitario Neto]]*Tabla4[[#Headers],[20.85%]]</f>
        <v>2142.5796935999997</v>
      </c>
      <c r="L834" s="282">
        <f>++Tabla4[[#This Row],[Precio Unitario Neto]]-Tabla4[[#This Row],[20.85%]]</f>
        <v>8133.5819063999998</v>
      </c>
      <c r="M834" s="282" t="e">
        <f>(INDEX(Tabla6[#All],MATCH(Tabla4[[#This Row],[Producto]],Tabla6[[#All],[PRODUCTO]],0),MATCH(Tabla4[[#This Row],[Mes]],Tabla6[#Headers],0)))*(1+Catalogos!$L$2)</f>
        <v>#N/A</v>
      </c>
      <c r="N834" s="283" t="e">
        <f>+(Tabla4[[#This Row],[Precio Descontado]]-Tabla4[[#This Row],[Precio Base]])*Tabla4[[#This Row],[Cantidad]]</f>
        <v>#N/A</v>
      </c>
      <c r="O834" s="284" t="e">
        <f>++Tabla4[[#This Row],[Utilidad Total]]/Tabla4[[#This Row],[Total]]</f>
        <v>#N/A</v>
      </c>
      <c r="P834" s="282">
        <f>++Tabla4[[#This Row],[Precio Descontado]]*Tabla4[[#This Row],[Cantidad]]</f>
        <v>8133.5819063999998</v>
      </c>
      <c r="Q834" s="282" t="e">
        <f>(INDEX(Tabla6[#All],MATCH(Tabla4[[#This Row],[Producto]],Tabla6[[#All],[PRODUCTO]],0),MATCH(Tabla4[[#This Row],[Mes]],Tabla6[#Headers],0)))</f>
        <v>#N/A</v>
      </c>
      <c r="R834" s="282" t="e">
        <f>++Tabla4[[#This Row],[Precio Unitario Neto]]-Tabla4[[#This Row],[20.85%]]-Tabla4[[#This Row],[Costo]]</f>
        <v>#N/A</v>
      </c>
      <c r="S834" s="282" t="e">
        <f>++Tabla4[[#This Row],[U. Bruta Uni]]*Tabla4[[#This Row],[Cantidad]]</f>
        <v>#N/A</v>
      </c>
      <c r="T834" s="369" t="str">
        <f>VLOOKUP(Tabla4[[#This Row],[Producto]],Tabla6[#All],14,FALSE)</f>
        <v>Termico Solar</v>
      </c>
      <c r="U834" s="284" t="e">
        <f>(IF(Tabla4[[#This Row],[Familia]]="termico solar",Tabla4[[#This Row],[Utilidad Total]]*6%,Tabla4[[#This Row],[Utilidad Total]]*11.5%))/Tabla4[[#This Row],[Total]]</f>
        <v>#N/A</v>
      </c>
      <c r="V834" s="282" t="e">
        <f>+Tabla4[[#This Row],[Comisión Calculada]]*Tabla4[[#This Row],[Total]]</f>
        <v>#N/A</v>
      </c>
    </row>
    <row r="835" spans="1:22" hidden="1" x14ac:dyDescent="0.25">
      <c r="A835" s="100">
        <v>45716</v>
      </c>
      <c r="B835" t="str">
        <f t="shared" si="31"/>
        <v>February</v>
      </c>
      <c r="C835" s="46" t="s">
        <v>280</v>
      </c>
      <c r="F835" s="366" t="s">
        <v>1053</v>
      </c>
      <c r="G835" s="46" t="s">
        <v>17</v>
      </c>
      <c r="H835" s="46">
        <v>1</v>
      </c>
      <c r="I835" s="51">
        <v>4622.28</v>
      </c>
      <c r="J835" s="281">
        <f>++Tabla4[[#This Row],[Precio Bruto]]*1.16</f>
        <v>5361.8447999999989</v>
      </c>
      <c r="K835" s="281">
        <f>+Tabla4[[#This Row],[Precio Unitario Neto]]*Tabla4[[#Headers],[20.85%]]</f>
        <v>1117.9446407999997</v>
      </c>
      <c r="L835" s="282">
        <f>++Tabla4[[#This Row],[Precio Unitario Neto]]-Tabla4[[#This Row],[20.85%]]</f>
        <v>4243.9001591999995</v>
      </c>
      <c r="M835" s="282" t="e">
        <f>(INDEX(Tabla6[#All],MATCH(Tabla4[[#This Row],[Producto]],Tabla6[[#All],[PRODUCTO]],0),MATCH(Tabla4[[#This Row],[Mes]],Tabla6[#Headers],0)))*(1+Catalogos!$L$2)</f>
        <v>#N/A</v>
      </c>
      <c r="N835" s="283" t="e">
        <f>+(Tabla4[[#This Row],[Precio Descontado]]-Tabla4[[#This Row],[Precio Base]])*Tabla4[[#This Row],[Cantidad]]</f>
        <v>#N/A</v>
      </c>
      <c r="O835" s="284" t="e">
        <f>++Tabla4[[#This Row],[Utilidad Total]]/Tabla4[[#This Row],[Total]]</f>
        <v>#N/A</v>
      </c>
      <c r="P835" s="282">
        <f>++Tabla4[[#This Row],[Precio Descontado]]*Tabla4[[#This Row],[Cantidad]]</f>
        <v>4243.9001591999995</v>
      </c>
      <c r="Q835" s="282" t="e">
        <f>(INDEX(Tabla6[#All],MATCH(Tabla4[[#This Row],[Producto]],Tabla6[[#All],[PRODUCTO]],0),MATCH(Tabla4[[#This Row],[Mes]],Tabla6[#Headers],0)))</f>
        <v>#N/A</v>
      </c>
      <c r="R835" s="282" t="e">
        <f>++Tabla4[[#This Row],[Precio Unitario Neto]]-Tabla4[[#This Row],[20.85%]]-Tabla4[[#This Row],[Costo]]</f>
        <v>#N/A</v>
      </c>
      <c r="S835" s="282" t="e">
        <f>++Tabla4[[#This Row],[U. Bruta Uni]]*Tabla4[[#This Row],[Cantidad]]</f>
        <v>#N/A</v>
      </c>
      <c r="T835" s="369" t="str">
        <f>VLOOKUP(Tabla4[[#This Row],[Producto]],Tabla6[#All],14,FALSE)</f>
        <v>Termico Solar</v>
      </c>
      <c r="U835" s="284" t="e">
        <f>(IF(Tabla4[[#This Row],[Familia]]="termico solar",Tabla4[[#This Row],[Utilidad Total]]*6%,Tabla4[[#This Row],[Utilidad Total]]*11.5%))/Tabla4[[#This Row],[Total]]</f>
        <v>#N/A</v>
      </c>
      <c r="V835" s="282" t="e">
        <f>+Tabla4[[#This Row],[Comisión Calculada]]*Tabla4[[#This Row],[Total]]</f>
        <v>#N/A</v>
      </c>
    </row>
    <row r="836" spans="1:22" hidden="1" x14ac:dyDescent="0.25">
      <c r="A836" s="100">
        <v>45716</v>
      </c>
      <c r="B836" t="str">
        <f t="shared" si="31"/>
        <v>February</v>
      </c>
      <c r="C836" s="46" t="s">
        <v>280</v>
      </c>
      <c r="F836" s="366" t="s">
        <v>1053</v>
      </c>
      <c r="G836" s="46" t="s">
        <v>18</v>
      </c>
      <c r="H836" s="46">
        <v>1</v>
      </c>
      <c r="I836" s="51">
        <v>5367.65</v>
      </c>
      <c r="J836" s="281">
        <f>++Tabla4[[#This Row],[Precio Bruto]]*1.16</f>
        <v>6226.4739999999993</v>
      </c>
      <c r="K836" s="281">
        <f>+Tabla4[[#This Row],[Precio Unitario Neto]]*Tabla4[[#Headers],[20.85%]]</f>
        <v>1298.2198289999999</v>
      </c>
      <c r="L836" s="282">
        <f>++Tabla4[[#This Row],[Precio Unitario Neto]]-Tabla4[[#This Row],[20.85%]]</f>
        <v>4928.2541709999996</v>
      </c>
      <c r="M836" s="282" t="e">
        <f>(INDEX(Tabla6[#All],MATCH(Tabla4[[#This Row],[Producto]],Tabla6[[#All],[PRODUCTO]],0),MATCH(Tabla4[[#This Row],[Mes]],Tabla6[#Headers],0)))*(1+Catalogos!$L$2)</f>
        <v>#N/A</v>
      </c>
      <c r="N836" s="283" t="e">
        <f>+(Tabla4[[#This Row],[Precio Descontado]]-Tabla4[[#This Row],[Precio Base]])*Tabla4[[#This Row],[Cantidad]]</f>
        <v>#N/A</v>
      </c>
      <c r="O836" s="284" t="e">
        <f>++Tabla4[[#This Row],[Utilidad Total]]/Tabla4[[#This Row],[Total]]</f>
        <v>#N/A</v>
      </c>
      <c r="P836" s="282">
        <f>++Tabla4[[#This Row],[Precio Descontado]]*Tabla4[[#This Row],[Cantidad]]</f>
        <v>4928.2541709999996</v>
      </c>
      <c r="Q836" s="282" t="e">
        <f>(INDEX(Tabla6[#All],MATCH(Tabla4[[#This Row],[Producto]],Tabla6[[#All],[PRODUCTO]],0),MATCH(Tabla4[[#This Row],[Mes]],Tabla6[#Headers],0)))</f>
        <v>#N/A</v>
      </c>
      <c r="R836" s="282" t="e">
        <f>++Tabla4[[#This Row],[Precio Unitario Neto]]-Tabla4[[#This Row],[20.85%]]-Tabla4[[#This Row],[Costo]]</f>
        <v>#N/A</v>
      </c>
      <c r="S836" s="282" t="e">
        <f>++Tabla4[[#This Row],[U. Bruta Uni]]*Tabla4[[#This Row],[Cantidad]]</f>
        <v>#N/A</v>
      </c>
      <c r="T836" s="369" t="str">
        <f>VLOOKUP(Tabla4[[#This Row],[Producto]],Tabla6[#All],14,FALSE)</f>
        <v>Termico Solar</v>
      </c>
      <c r="U836" s="284" t="e">
        <f>(IF(Tabla4[[#This Row],[Familia]]="termico solar",Tabla4[[#This Row],[Utilidad Total]]*6%,Tabla4[[#This Row],[Utilidad Total]]*11.5%))/Tabla4[[#This Row],[Total]]</f>
        <v>#N/A</v>
      </c>
      <c r="V836" s="282" t="e">
        <f>+Tabla4[[#This Row],[Comisión Calculada]]*Tabla4[[#This Row],[Total]]</f>
        <v>#N/A</v>
      </c>
    </row>
    <row r="837" spans="1:22" hidden="1" x14ac:dyDescent="0.25">
      <c r="A837" s="100">
        <v>45716</v>
      </c>
      <c r="B837" t="str">
        <f t="shared" si="31"/>
        <v>February</v>
      </c>
      <c r="C837" s="46" t="s">
        <v>280</v>
      </c>
      <c r="F837" s="366" t="s">
        <v>1053</v>
      </c>
      <c r="G837" s="46" t="s">
        <v>20</v>
      </c>
      <c r="H837" s="46">
        <v>1</v>
      </c>
      <c r="I837" s="51">
        <v>7751.98</v>
      </c>
      <c r="J837" s="281">
        <f>++Tabla4[[#This Row],[Precio Bruto]]*1.16</f>
        <v>8992.2967999999983</v>
      </c>
      <c r="K837" s="281">
        <f>+Tabla4[[#This Row],[Precio Unitario Neto]]*Tabla4[[#Headers],[20.85%]]</f>
        <v>1874.8938827999996</v>
      </c>
      <c r="L837" s="282">
        <f>++Tabla4[[#This Row],[Precio Unitario Neto]]-Tabla4[[#This Row],[20.85%]]</f>
        <v>7117.4029171999991</v>
      </c>
      <c r="M837" s="282" t="e">
        <f>(INDEX(Tabla6[#All],MATCH(Tabla4[[#This Row],[Producto]],Tabla6[[#All],[PRODUCTO]],0),MATCH(Tabla4[[#This Row],[Mes]],Tabla6[#Headers],0)))*(1+Catalogos!$L$2)</f>
        <v>#N/A</v>
      </c>
      <c r="N837" s="283" t="e">
        <f>+(Tabla4[[#This Row],[Precio Descontado]]-Tabla4[[#This Row],[Precio Base]])*Tabla4[[#This Row],[Cantidad]]</f>
        <v>#N/A</v>
      </c>
      <c r="O837" s="284" t="e">
        <f>++Tabla4[[#This Row],[Utilidad Total]]/Tabla4[[#This Row],[Total]]</f>
        <v>#N/A</v>
      </c>
      <c r="P837" s="282">
        <f>++Tabla4[[#This Row],[Precio Descontado]]*Tabla4[[#This Row],[Cantidad]]</f>
        <v>7117.4029171999991</v>
      </c>
      <c r="Q837" s="282" t="e">
        <f>(INDEX(Tabla6[#All],MATCH(Tabla4[[#This Row],[Producto]],Tabla6[[#All],[PRODUCTO]],0),MATCH(Tabla4[[#This Row],[Mes]],Tabla6[#Headers],0)))</f>
        <v>#N/A</v>
      </c>
      <c r="R837" s="282" t="e">
        <f>++Tabla4[[#This Row],[Precio Unitario Neto]]-Tabla4[[#This Row],[20.85%]]-Tabla4[[#This Row],[Costo]]</f>
        <v>#N/A</v>
      </c>
      <c r="S837" s="282" t="e">
        <f>++Tabla4[[#This Row],[U. Bruta Uni]]*Tabla4[[#This Row],[Cantidad]]</f>
        <v>#N/A</v>
      </c>
      <c r="T837" s="369" t="str">
        <f>VLOOKUP(Tabla4[[#This Row],[Producto]],Tabla6[#All],14,FALSE)</f>
        <v>Termico Solar</v>
      </c>
      <c r="U837" s="284" t="e">
        <f>(IF(Tabla4[[#This Row],[Familia]]="termico solar",Tabla4[[#This Row],[Utilidad Total]]*6%,Tabla4[[#This Row],[Utilidad Total]]*11.5%))/Tabla4[[#This Row],[Total]]</f>
        <v>#N/A</v>
      </c>
      <c r="V837" s="282" t="e">
        <f>+Tabla4[[#This Row],[Comisión Calculada]]*Tabla4[[#This Row],[Total]]</f>
        <v>#N/A</v>
      </c>
    </row>
    <row r="838" spans="1:22" hidden="1" x14ac:dyDescent="0.25">
      <c r="A838" s="100">
        <v>45716</v>
      </c>
      <c r="B838" t="str">
        <f t="shared" ref="B838:B869" si="32">TEXT(A838, "mmmm")</f>
        <v>February</v>
      </c>
      <c r="C838" s="46" t="s">
        <v>280</v>
      </c>
      <c r="F838" s="366" t="s">
        <v>1054</v>
      </c>
      <c r="G838" s="46" t="s">
        <v>599</v>
      </c>
      <c r="H838" s="46">
        <v>3</v>
      </c>
      <c r="I838" s="51">
        <v>189.75</v>
      </c>
      <c r="J838" s="281">
        <f>++Tabla4[[#This Row],[Precio Bruto]]*1.16</f>
        <v>220.10999999999999</v>
      </c>
      <c r="K838" s="281">
        <f>+Tabla4[[#This Row],[Precio Unitario Neto]]*Tabla4[[#Headers],[20.85%]]</f>
        <v>45.892934999999994</v>
      </c>
      <c r="L838" s="282">
        <f>++Tabla4[[#This Row],[Precio Unitario Neto]]-Tabla4[[#This Row],[20.85%]]</f>
        <v>174.21706499999999</v>
      </c>
      <c r="M838" s="282" t="e">
        <f>(INDEX(Tabla6[#All],MATCH(Tabla4[[#This Row],[Producto]],Tabla6[[#All],[PRODUCTO]],0),MATCH(Tabla4[[#This Row],[Mes]],Tabla6[#Headers],0)))*(1+Catalogos!$L$2)</f>
        <v>#N/A</v>
      </c>
      <c r="N838" s="283" t="e">
        <f>+(Tabla4[[#This Row],[Precio Descontado]]-Tabla4[[#This Row],[Precio Base]])*Tabla4[[#This Row],[Cantidad]]</f>
        <v>#N/A</v>
      </c>
      <c r="O838" s="284" t="e">
        <f>++Tabla4[[#This Row],[Utilidad Total]]/Tabla4[[#This Row],[Total]]</f>
        <v>#N/A</v>
      </c>
      <c r="P838" s="282">
        <f>++Tabla4[[#This Row],[Precio Descontado]]*Tabla4[[#This Row],[Cantidad]]</f>
        <v>522.65119499999992</v>
      </c>
      <c r="Q838" s="282" t="e">
        <f>(INDEX(Tabla6[#All],MATCH(Tabla4[[#This Row],[Producto]],Tabla6[[#All],[PRODUCTO]],0),MATCH(Tabla4[[#This Row],[Mes]],Tabla6[#Headers],0)))</f>
        <v>#N/A</v>
      </c>
      <c r="R838" s="282" t="e">
        <f>++Tabla4[[#This Row],[Precio Unitario Neto]]-Tabla4[[#This Row],[20.85%]]-Tabla4[[#This Row],[Costo]]</f>
        <v>#N/A</v>
      </c>
      <c r="S838" s="282" t="e">
        <f>++Tabla4[[#This Row],[U. Bruta Uni]]*Tabla4[[#This Row],[Cantidad]]</f>
        <v>#N/A</v>
      </c>
      <c r="T838" s="369" t="str">
        <f>VLOOKUP(Tabla4[[#This Row],[Producto]],Tabla6[#All],14,FALSE)</f>
        <v>Termico Solar</v>
      </c>
      <c r="U838" s="284" t="e">
        <f>(IF(Tabla4[[#This Row],[Familia]]="termico solar",Tabla4[[#This Row],[Utilidad Total]]*6%,Tabla4[[#This Row],[Utilidad Total]]*11.5%))/Tabla4[[#This Row],[Total]]</f>
        <v>#N/A</v>
      </c>
      <c r="V838" s="282" t="e">
        <f>+Tabla4[[#This Row],[Comisión Calculada]]*Tabla4[[#This Row],[Total]]</f>
        <v>#N/A</v>
      </c>
    </row>
    <row r="839" spans="1:22" hidden="1" x14ac:dyDescent="0.25">
      <c r="A839" s="100">
        <v>45716</v>
      </c>
      <c r="B839" t="str">
        <f t="shared" si="32"/>
        <v>February</v>
      </c>
      <c r="C839" s="46" t="s">
        <v>280</v>
      </c>
      <c r="F839" s="366" t="s">
        <v>1055</v>
      </c>
      <c r="G839" s="46" t="s">
        <v>17</v>
      </c>
      <c r="H839" s="46">
        <v>1</v>
      </c>
      <c r="I839" s="51">
        <v>4622.28</v>
      </c>
      <c r="J839" s="281">
        <f>++Tabla4[[#This Row],[Precio Bruto]]*1.16</f>
        <v>5361.8447999999989</v>
      </c>
      <c r="K839" s="281">
        <f>+Tabla4[[#This Row],[Precio Unitario Neto]]*Tabla4[[#Headers],[20.85%]]</f>
        <v>1117.9446407999997</v>
      </c>
      <c r="L839" s="282">
        <f>++Tabla4[[#This Row],[Precio Unitario Neto]]-Tabla4[[#This Row],[20.85%]]</f>
        <v>4243.9001591999995</v>
      </c>
      <c r="M839" s="282" t="e">
        <f>(INDEX(Tabla6[#All],MATCH(Tabla4[[#This Row],[Producto]],Tabla6[[#All],[PRODUCTO]],0),MATCH(Tabla4[[#This Row],[Mes]],Tabla6[#Headers],0)))*(1+Catalogos!$L$2)</f>
        <v>#N/A</v>
      </c>
      <c r="N839" s="283" t="e">
        <f>+(Tabla4[[#This Row],[Precio Descontado]]-Tabla4[[#This Row],[Precio Base]])*Tabla4[[#This Row],[Cantidad]]</f>
        <v>#N/A</v>
      </c>
      <c r="O839" s="284" t="e">
        <f>++Tabla4[[#This Row],[Utilidad Total]]/Tabla4[[#This Row],[Total]]</f>
        <v>#N/A</v>
      </c>
      <c r="P839" s="282">
        <f>++Tabla4[[#This Row],[Precio Descontado]]*Tabla4[[#This Row],[Cantidad]]</f>
        <v>4243.9001591999995</v>
      </c>
      <c r="Q839" s="282" t="e">
        <f>(INDEX(Tabla6[#All],MATCH(Tabla4[[#This Row],[Producto]],Tabla6[[#All],[PRODUCTO]],0),MATCH(Tabla4[[#This Row],[Mes]],Tabla6[#Headers],0)))</f>
        <v>#N/A</v>
      </c>
      <c r="R839" s="282" t="e">
        <f>++Tabla4[[#This Row],[Precio Unitario Neto]]-Tabla4[[#This Row],[20.85%]]-Tabla4[[#This Row],[Costo]]</f>
        <v>#N/A</v>
      </c>
      <c r="S839" s="282" t="e">
        <f>++Tabla4[[#This Row],[U. Bruta Uni]]*Tabla4[[#This Row],[Cantidad]]</f>
        <v>#N/A</v>
      </c>
      <c r="T839" s="369" t="str">
        <f>VLOOKUP(Tabla4[[#This Row],[Producto]],Tabla6[#All],14,FALSE)</f>
        <v>Termico Solar</v>
      </c>
      <c r="U839" s="284" t="e">
        <f>(IF(Tabla4[[#This Row],[Familia]]="termico solar",Tabla4[[#This Row],[Utilidad Total]]*6%,Tabla4[[#This Row],[Utilidad Total]]*11.5%))/Tabla4[[#This Row],[Total]]</f>
        <v>#N/A</v>
      </c>
      <c r="V839" s="282" t="e">
        <f>+Tabla4[[#This Row],[Comisión Calculada]]*Tabla4[[#This Row],[Total]]</f>
        <v>#N/A</v>
      </c>
    </row>
    <row r="840" spans="1:22" hidden="1" x14ac:dyDescent="0.25">
      <c r="A840" s="100">
        <v>45716</v>
      </c>
      <c r="B840" t="str">
        <f t="shared" si="32"/>
        <v>February</v>
      </c>
      <c r="C840" s="46" t="s">
        <v>280</v>
      </c>
      <c r="F840" s="366" t="s">
        <v>1055</v>
      </c>
      <c r="G840" s="46" t="s">
        <v>566</v>
      </c>
      <c r="H840" s="46">
        <v>1</v>
      </c>
      <c r="I840" s="51">
        <v>2109.4499999999998</v>
      </c>
      <c r="J840" s="281">
        <f>++Tabla4[[#This Row],[Precio Bruto]]*1.16</f>
        <v>2446.9619999999995</v>
      </c>
      <c r="K840" s="281">
        <f>+Tabla4[[#This Row],[Precio Unitario Neto]]*Tabla4[[#Headers],[20.85%]]</f>
        <v>510.19157699999988</v>
      </c>
      <c r="L840" s="282">
        <f>++Tabla4[[#This Row],[Precio Unitario Neto]]-Tabla4[[#This Row],[20.85%]]</f>
        <v>1936.7704229999997</v>
      </c>
      <c r="M840" s="282" t="e">
        <f>(INDEX(Tabla6[#All],MATCH(Tabla4[[#This Row],[Producto]],Tabla6[[#All],[PRODUCTO]],0),MATCH(Tabla4[[#This Row],[Mes]],Tabla6[#Headers],0)))*(1+Catalogos!$L$2)</f>
        <v>#N/A</v>
      </c>
      <c r="N840" s="283" t="e">
        <f>+(Tabla4[[#This Row],[Precio Descontado]]-Tabla4[[#This Row],[Precio Base]])*Tabla4[[#This Row],[Cantidad]]</f>
        <v>#N/A</v>
      </c>
      <c r="O840" s="284" t="e">
        <f>++Tabla4[[#This Row],[Utilidad Total]]/Tabla4[[#This Row],[Total]]</f>
        <v>#N/A</v>
      </c>
      <c r="P840" s="282">
        <f>++Tabla4[[#This Row],[Precio Descontado]]*Tabla4[[#This Row],[Cantidad]]</f>
        <v>1936.7704229999997</v>
      </c>
      <c r="Q840" s="282" t="e">
        <f>(INDEX(Tabla6[#All],MATCH(Tabla4[[#This Row],[Producto]],Tabla6[[#All],[PRODUCTO]],0),MATCH(Tabla4[[#This Row],[Mes]],Tabla6[#Headers],0)))</f>
        <v>#N/A</v>
      </c>
      <c r="R840" s="282" t="e">
        <f>++Tabla4[[#This Row],[Precio Unitario Neto]]-Tabla4[[#This Row],[20.85%]]-Tabla4[[#This Row],[Costo]]</f>
        <v>#N/A</v>
      </c>
      <c r="S840" s="282" t="e">
        <f>++Tabla4[[#This Row],[U. Bruta Uni]]*Tabla4[[#This Row],[Cantidad]]</f>
        <v>#N/A</v>
      </c>
      <c r="T840" s="369" t="str">
        <f>VLOOKUP(Tabla4[[#This Row],[Producto]],Tabla6[#All],14,FALSE)</f>
        <v>Termico Solar</v>
      </c>
      <c r="U840" s="284" t="e">
        <f>(IF(Tabla4[[#This Row],[Familia]]="termico solar",Tabla4[[#This Row],[Utilidad Total]]*6%,Tabla4[[#This Row],[Utilidad Total]]*11.5%))/Tabla4[[#This Row],[Total]]</f>
        <v>#N/A</v>
      </c>
      <c r="V840" s="282" t="e">
        <f>+Tabla4[[#This Row],[Comisión Calculada]]*Tabla4[[#This Row],[Total]]</f>
        <v>#N/A</v>
      </c>
    </row>
    <row r="841" spans="1:22" hidden="1" x14ac:dyDescent="0.25">
      <c r="A841" s="100">
        <v>45716</v>
      </c>
      <c r="B841" t="str">
        <f t="shared" si="32"/>
        <v>February</v>
      </c>
      <c r="C841" s="46" t="s">
        <v>280</v>
      </c>
      <c r="F841" s="366" t="s">
        <v>1056</v>
      </c>
      <c r="G841" s="46" t="s">
        <v>17</v>
      </c>
      <c r="H841" s="46">
        <v>2</v>
      </c>
      <c r="I841" s="51">
        <v>4622.28</v>
      </c>
      <c r="J841" s="281">
        <f>++Tabla4[[#This Row],[Precio Bruto]]*1.16</f>
        <v>5361.8447999999989</v>
      </c>
      <c r="K841" s="281">
        <f>+Tabla4[[#This Row],[Precio Unitario Neto]]*Tabla4[[#Headers],[20.85%]]</f>
        <v>1117.9446407999997</v>
      </c>
      <c r="L841" s="282">
        <f>++Tabla4[[#This Row],[Precio Unitario Neto]]-Tabla4[[#This Row],[20.85%]]</f>
        <v>4243.9001591999995</v>
      </c>
      <c r="M841" s="282" t="e">
        <f>(INDEX(Tabla6[#All],MATCH(Tabla4[[#This Row],[Producto]],Tabla6[[#All],[PRODUCTO]],0),MATCH(Tabla4[[#This Row],[Mes]],Tabla6[#Headers],0)))*(1+Catalogos!$L$2)</f>
        <v>#N/A</v>
      </c>
      <c r="N841" s="283" t="e">
        <f>+(Tabla4[[#This Row],[Precio Descontado]]-Tabla4[[#This Row],[Precio Base]])*Tabla4[[#This Row],[Cantidad]]</f>
        <v>#N/A</v>
      </c>
      <c r="O841" s="284" t="e">
        <f>++Tabla4[[#This Row],[Utilidad Total]]/Tabla4[[#This Row],[Total]]</f>
        <v>#N/A</v>
      </c>
      <c r="P841" s="282">
        <f>++Tabla4[[#This Row],[Precio Descontado]]*Tabla4[[#This Row],[Cantidad]]</f>
        <v>8487.800318399999</v>
      </c>
      <c r="Q841" s="282" t="e">
        <f>(INDEX(Tabla6[#All],MATCH(Tabla4[[#This Row],[Producto]],Tabla6[[#All],[PRODUCTO]],0),MATCH(Tabla4[[#This Row],[Mes]],Tabla6[#Headers],0)))</f>
        <v>#N/A</v>
      </c>
      <c r="R841" s="282" t="e">
        <f>++Tabla4[[#This Row],[Precio Unitario Neto]]-Tabla4[[#This Row],[20.85%]]-Tabla4[[#This Row],[Costo]]</f>
        <v>#N/A</v>
      </c>
      <c r="S841" s="282" t="e">
        <f>++Tabla4[[#This Row],[U. Bruta Uni]]*Tabla4[[#This Row],[Cantidad]]</f>
        <v>#N/A</v>
      </c>
      <c r="T841" s="369" t="str">
        <f>VLOOKUP(Tabla4[[#This Row],[Producto]],Tabla6[#All],14,FALSE)</f>
        <v>Termico Solar</v>
      </c>
      <c r="U841" s="284" t="e">
        <f>(IF(Tabla4[[#This Row],[Familia]]="termico solar",Tabla4[[#This Row],[Utilidad Total]]*6%,Tabla4[[#This Row],[Utilidad Total]]*11.5%))/Tabla4[[#This Row],[Total]]</f>
        <v>#N/A</v>
      </c>
      <c r="V841" s="282" t="e">
        <f>+Tabla4[[#This Row],[Comisión Calculada]]*Tabla4[[#This Row],[Total]]</f>
        <v>#N/A</v>
      </c>
    </row>
    <row r="842" spans="1:22" hidden="1" x14ac:dyDescent="0.25">
      <c r="A842" s="100">
        <v>45716</v>
      </c>
      <c r="B842" t="str">
        <f t="shared" si="32"/>
        <v>February</v>
      </c>
      <c r="C842" s="46" t="s">
        <v>280</v>
      </c>
      <c r="F842" s="366" t="s">
        <v>1056</v>
      </c>
      <c r="G842" s="46" t="s">
        <v>16</v>
      </c>
      <c r="H842" s="46">
        <v>2</v>
      </c>
      <c r="I842" s="51">
        <v>4103.8500000000004</v>
      </c>
      <c r="J842" s="281">
        <f>++Tabla4[[#This Row],[Precio Bruto]]*1.16</f>
        <v>4760.4660000000003</v>
      </c>
      <c r="K842" s="281">
        <f>+Tabla4[[#This Row],[Precio Unitario Neto]]*Tabla4[[#Headers],[20.85%]]</f>
        <v>992.55716100000006</v>
      </c>
      <c r="L842" s="282">
        <f>++Tabla4[[#This Row],[Precio Unitario Neto]]-Tabla4[[#This Row],[20.85%]]</f>
        <v>3767.9088390000002</v>
      </c>
      <c r="M842" s="282" t="e">
        <f>(INDEX(Tabla6[#All],MATCH(Tabla4[[#This Row],[Producto]],Tabla6[[#All],[PRODUCTO]],0),MATCH(Tabla4[[#This Row],[Mes]],Tabla6[#Headers],0)))*(1+Catalogos!$L$2)</f>
        <v>#N/A</v>
      </c>
      <c r="N842" s="283" t="e">
        <f>+(Tabla4[[#This Row],[Precio Descontado]]-Tabla4[[#This Row],[Precio Base]])*Tabla4[[#This Row],[Cantidad]]</f>
        <v>#N/A</v>
      </c>
      <c r="O842" s="284" t="e">
        <f>++Tabla4[[#This Row],[Utilidad Total]]/Tabla4[[#This Row],[Total]]</f>
        <v>#N/A</v>
      </c>
      <c r="P842" s="282">
        <f>++Tabla4[[#This Row],[Precio Descontado]]*Tabla4[[#This Row],[Cantidad]]</f>
        <v>7535.8176780000003</v>
      </c>
      <c r="Q842" s="282" t="e">
        <f>(INDEX(Tabla6[#All],MATCH(Tabla4[[#This Row],[Producto]],Tabla6[[#All],[PRODUCTO]],0),MATCH(Tabla4[[#This Row],[Mes]],Tabla6[#Headers],0)))</f>
        <v>#N/A</v>
      </c>
      <c r="R842" s="282" t="e">
        <f>++Tabla4[[#This Row],[Precio Unitario Neto]]-Tabla4[[#This Row],[20.85%]]-Tabla4[[#This Row],[Costo]]</f>
        <v>#N/A</v>
      </c>
      <c r="S842" s="282" t="e">
        <f>++Tabla4[[#This Row],[U. Bruta Uni]]*Tabla4[[#This Row],[Cantidad]]</f>
        <v>#N/A</v>
      </c>
      <c r="T842" s="369" t="str">
        <f>VLOOKUP(Tabla4[[#This Row],[Producto]],Tabla6[#All],14,FALSE)</f>
        <v>Termico Solar</v>
      </c>
      <c r="U842" s="284" t="e">
        <f>(IF(Tabla4[[#This Row],[Familia]]="termico solar",Tabla4[[#This Row],[Utilidad Total]]*6%,Tabla4[[#This Row],[Utilidad Total]]*11.5%))/Tabla4[[#This Row],[Total]]</f>
        <v>#N/A</v>
      </c>
      <c r="V842" s="282" t="e">
        <f>+Tabla4[[#This Row],[Comisión Calculada]]*Tabla4[[#This Row],[Total]]</f>
        <v>#N/A</v>
      </c>
    </row>
    <row r="843" spans="1:22" hidden="1" x14ac:dyDescent="0.25">
      <c r="A843" s="100">
        <v>45716</v>
      </c>
      <c r="B843" t="str">
        <f t="shared" si="32"/>
        <v>February</v>
      </c>
      <c r="C843" s="46" t="s">
        <v>280</v>
      </c>
      <c r="F843" s="366" t="s">
        <v>1057</v>
      </c>
      <c r="G843" s="46" t="s">
        <v>566</v>
      </c>
      <c r="H843" s="46">
        <v>1</v>
      </c>
      <c r="I843" s="51">
        <v>2109.4499999999998</v>
      </c>
      <c r="J843" s="281">
        <f>++Tabla4[[#This Row],[Precio Bruto]]*1.16</f>
        <v>2446.9619999999995</v>
      </c>
      <c r="K843" s="281">
        <f>+Tabla4[[#This Row],[Precio Unitario Neto]]*Tabla4[[#Headers],[20.85%]]</f>
        <v>510.19157699999988</v>
      </c>
      <c r="L843" s="282">
        <f>++Tabla4[[#This Row],[Precio Unitario Neto]]-Tabla4[[#This Row],[20.85%]]</f>
        <v>1936.7704229999997</v>
      </c>
      <c r="M843" s="282" t="e">
        <f>(INDEX(Tabla6[#All],MATCH(Tabla4[[#This Row],[Producto]],Tabla6[[#All],[PRODUCTO]],0),MATCH(Tabla4[[#This Row],[Mes]],Tabla6[#Headers],0)))*(1+Catalogos!$L$2)</f>
        <v>#N/A</v>
      </c>
      <c r="N843" s="283" t="e">
        <f>+(Tabla4[[#This Row],[Precio Descontado]]-Tabla4[[#This Row],[Precio Base]])*Tabla4[[#This Row],[Cantidad]]</f>
        <v>#N/A</v>
      </c>
      <c r="O843" s="284" t="e">
        <f>++Tabla4[[#This Row],[Utilidad Total]]/Tabla4[[#This Row],[Total]]</f>
        <v>#N/A</v>
      </c>
      <c r="P843" s="282">
        <f>++Tabla4[[#This Row],[Precio Descontado]]*Tabla4[[#This Row],[Cantidad]]</f>
        <v>1936.7704229999997</v>
      </c>
      <c r="Q843" s="282" t="e">
        <f>(INDEX(Tabla6[#All],MATCH(Tabla4[[#This Row],[Producto]],Tabla6[[#All],[PRODUCTO]],0),MATCH(Tabla4[[#This Row],[Mes]],Tabla6[#Headers],0)))</f>
        <v>#N/A</v>
      </c>
      <c r="R843" s="282" t="e">
        <f>++Tabla4[[#This Row],[Precio Unitario Neto]]-Tabla4[[#This Row],[20.85%]]-Tabla4[[#This Row],[Costo]]</f>
        <v>#N/A</v>
      </c>
      <c r="S843" s="282" t="e">
        <f>++Tabla4[[#This Row],[U. Bruta Uni]]*Tabla4[[#This Row],[Cantidad]]</f>
        <v>#N/A</v>
      </c>
      <c r="T843" s="369" t="str">
        <f>VLOOKUP(Tabla4[[#This Row],[Producto]],Tabla6[#All],14,FALSE)</f>
        <v>Termico Solar</v>
      </c>
      <c r="U843" s="284" t="e">
        <f>(IF(Tabla4[[#This Row],[Familia]]="termico solar",Tabla4[[#This Row],[Utilidad Total]]*6%,Tabla4[[#This Row],[Utilidad Total]]*11.5%))/Tabla4[[#This Row],[Total]]</f>
        <v>#N/A</v>
      </c>
      <c r="V843" s="282" t="e">
        <f>+Tabla4[[#This Row],[Comisión Calculada]]*Tabla4[[#This Row],[Total]]</f>
        <v>#N/A</v>
      </c>
    </row>
    <row r="844" spans="1:22" hidden="1" x14ac:dyDescent="0.25">
      <c r="A844" s="100">
        <v>45716</v>
      </c>
      <c r="B844" t="str">
        <f t="shared" si="32"/>
        <v>February</v>
      </c>
      <c r="C844" s="46" t="s">
        <v>280</v>
      </c>
      <c r="F844" s="366" t="s">
        <v>1058</v>
      </c>
      <c r="G844" s="46" t="s">
        <v>17</v>
      </c>
      <c r="H844" s="46">
        <v>1</v>
      </c>
      <c r="I844" s="51">
        <v>4622.28</v>
      </c>
      <c r="J844" s="281">
        <f>++Tabla4[[#This Row],[Precio Bruto]]*1.16</f>
        <v>5361.8447999999989</v>
      </c>
      <c r="K844" s="281">
        <f>+Tabla4[[#This Row],[Precio Unitario Neto]]*Tabla4[[#Headers],[20.85%]]</f>
        <v>1117.9446407999997</v>
      </c>
      <c r="L844" s="282">
        <f>++Tabla4[[#This Row],[Precio Unitario Neto]]-Tabla4[[#This Row],[20.85%]]</f>
        <v>4243.9001591999995</v>
      </c>
      <c r="M844" s="282" t="e">
        <f>(INDEX(Tabla6[#All],MATCH(Tabla4[[#This Row],[Producto]],Tabla6[[#All],[PRODUCTO]],0),MATCH(Tabla4[[#This Row],[Mes]],Tabla6[#Headers],0)))*(1+Catalogos!$L$2)</f>
        <v>#N/A</v>
      </c>
      <c r="N844" s="283" t="e">
        <f>+(Tabla4[[#This Row],[Precio Descontado]]-Tabla4[[#This Row],[Precio Base]])*Tabla4[[#This Row],[Cantidad]]</f>
        <v>#N/A</v>
      </c>
      <c r="O844" s="284" t="e">
        <f>++Tabla4[[#This Row],[Utilidad Total]]/Tabla4[[#This Row],[Total]]</f>
        <v>#N/A</v>
      </c>
      <c r="P844" s="282">
        <f>++Tabla4[[#This Row],[Precio Descontado]]*Tabla4[[#This Row],[Cantidad]]</f>
        <v>4243.9001591999995</v>
      </c>
      <c r="Q844" s="282" t="e">
        <f>(INDEX(Tabla6[#All],MATCH(Tabla4[[#This Row],[Producto]],Tabla6[[#All],[PRODUCTO]],0),MATCH(Tabla4[[#This Row],[Mes]],Tabla6[#Headers],0)))</f>
        <v>#N/A</v>
      </c>
      <c r="R844" s="282" t="e">
        <f>++Tabla4[[#This Row],[Precio Unitario Neto]]-Tabla4[[#This Row],[20.85%]]-Tabla4[[#This Row],[Costo]]</f>
        <v>#N/A</v>
      </c>
      <c r="S844" s="282" t="e">
        <f>++Tabla4[[#This Row],[U. Bruta Uni]]*Tabla4[[#This Row],[Cantidad]]</f>
        <v>#N/A</v>
      </c>
      <c r="T844" s="369" t="str">
        <f>VLOOKUP(Tabla4[[#This Row],[Producto]],Tabla6[#All],14,FALSE)</f>
        <v>Termico Solar</v>
      </c>
      <c r="U844" s="284" t="e">
        <f>(IF(Tabla4[[#This Row],[Familia]]="termico solar",Tabla4[[#This Row],[Utilidad Total]]*6%,Tabla4[[#This Row],[Utilidad Total]]*11.5%))/Tabla4[[#This Row],[Total]]</f>
        <v>#N/A</v>
      </c>
      <c r="V844" s="282" t="e">
        <f>+Tabla4[[#This Row],[Comisión Calculada]]*Tabla4[[#This Row],[Total]]</f>
        <v>#N/A</v>
      </c>
    </row>
    <row r="845" spans="1:22" hidden="1" x14ac:dyDescent="0.25">
      <c r="A845" s="100">
        <v>45716</v>
      </c>
      <c r="B845" t="str">
        <f t="shared" si="32"/>
        <v>February</v>
      </c>
      <c r="C845" s="46" t="s">
        <v>280</v>
      </c>
      <c r="F845" s="366" t="s">
        <v>1059</v>
      </c>
      <c r="G845" s="46" t="s">
        <v>83</v>
      </c>
      <c r="H845" s="46">
        <v>1</v>
      </c>
      <c r="I845" s="51">
        <v>8858.76</v>
      </c>
      <c r="J845" s="281">
        <f>++Tabla4[[#This Row],[Precio Bruto]]*1.16</f>
        <v>10276.161599999999</v>
      </c>
      <c r="K845" s="281">
        <f>+Tabla4[[#This Row],[Precio Unitario Neto]]*Tabla4[[#Headers],[20.85%]]</f>
        <v>2142.5796935999997</v>
      </c>
      <c r="L845" s="282">
        <f>++Tabla4[[#This Row],[Precio Unitario Neto]]-Tabla4[[#This Row],[20.85%]]</f>
        <v>8133.5819063999998</v>
      </c>
      <c r="M845" s="282" t="e">
        <f>(INDEX(Tabla6[#All],MATCH(Tabla4[[#This Row],[Producto]],Tabla6[[#All],[PRODUCTO]],0),MATCH(Tabla4[[#This Row],[Mes]],Tabla6[#Headers],0)))*(1+Catalogos!$L$2)</f>
        <v>#N/A</v>
      </c>
      <c r="N845" s="283" t="e">
        <f>+(Tabla4[[#This Row],[Precio Descontado]]-Tabla4[[#This Row],[Precio Base]])*Tabla4[[#This Row],[Cantidad]]</f>
        <v>#N/A</v>
      </c>
      <c r="O845" s="284" t="e">
        <f>++Tabla4[[#This Row],[Utilidad Total]]/Tabla4[[#This Row],[Total]]</f>
        <v>#N/A</v>
      </c>
      <c r="P845" s="282">
        <f>++Tabla4[[#This Row],[Precio Descontado]]*Tabla4[[#This Row],[Cantidad]]</f>
        <v>8133.5819063999998</v>
      </c>
      <c r="Q845" s="282" t="e">
        <f>(INDEX(Tabla6[#All],MATCH(Tabla4[[#This Row],[Producto]],Tabla6[[#All],[PRODUCTO]],0),MATCH(Tabla4[[#This Row],[Mes]],Tabla6[#Headers],0)))</f>
        <v>#N/A</v>
      </c>
      <c r="R845" s="282" t="e">
        <f>++Tabla4[[#This Row],[Precio Unitario Neto]]-Tabla4[[#This Row],[20.85%]]-Tabla4[[#This Row],[Costo]]</f>
        <v>#N/A</v>
      </c>
      <c r="S845" s="282" t="e">
        <f>++Tabla4[[#This Row],[U. Bruta Uni]]*Tabla4[[#This Row],[Cantidad]]</f>
        <v>#N/A</v>
      </c>
      <c r="T845" s="369" t="str">
        <f>VLOOKUP(Tabla4[[#This Row],[Producto]],Tabla6[#All],14,FALSE)</f>
        <v>Termico Solar</v>
      </c>
      <c r="U845" s="284" t="e">
        <f>(IF(Tabla4[[#This Row],[Familia]]="termico solar",Tabla4[[#This Row],[Utilidad Total]]*6%,Tabla4[[#This Row],[Utilidad Total]]*11.5%))/Tabla4[[#This Row],[Total]]</f>
        <v>#N/A</v>
      </c>
      <c r="V845" s="282" t="e">
        <f>+Tabla4[[#This Row],[Comisión Calculada]]*Tabla4[[#This Row],[Total]]</f>
        <v>#N/A</v>
      </c>
    </row>
    <row r="846" spans="1:22" hidden="1" x14ac:dyDescent="0.25">
      <c r="A846" s="100">
        <v>45716</v>
      </c>
      <c r="B846" t="str">
        <f t="shared" si="32"/>
        <v>February</v>
      </c>
      <c r="C846" s="46" t="s">
        <v>280</v>
      </c>
      <c r="F846" s="366" t="s">
        <v>1059</v>
      </c>
      <c r="G846" s="46" t="s">
        <v>17</v>
      </c>
      <c r="H846" s="46">
        <v>2</v>
      </c>
      <c r="I846" s="51">
        <v>4622.28</v>
      </c>
      <c r="J846" s="281">
        <f>++Tabla4[[#This Row],[Precio Bruto]]*1.16</f>
        <v>5361.8447999999989</v>
      </c>
      <c r="K846" s="281">
        <f>+Tabla4[[#This Row],[Precio Unitario Neto]]*Tabla4[[#Headers],[20.85%]]</f>
        <v>1117.9446407999997</v>
      </c>
      <c r="L846" s="282">
        <f>++Tabla4[[#This Row],[Precio Unitario Neto]]-Tabla4[[#This Row],[20.85%]]</f>
        <v>4243.9001591999995</v>
      </c>
      <c r="M846" s="282" t="e">
        <f>(INDEX(Tabla6[#All],MATCH(Tabla4[[#This Row],[Producto]],Tabla6[[#All],[PRODUCTO]],0),MATCH(Tabla4[[#This Row],[Mes]],Tabla6[#Headers],0)))*(1+Catalogos!$L$2)</f>
        <v>#N/A</v>
      </c>
      <c r="N846" s="283" t="e">
        <f>+(Tabla4[[#This Row],[Precio Descontado]]-Tabla4[[#This Row],[Precio Base]])*Tabla4[[#This Row],[Cantidad]]</f>
        <v>#N/A</v>
      </c>
      <c r="O846" s="284" t="e">
        <f>++Tabla4[[#This Row],[Utilidad Total]]/Tabla4[[#This Row],[Total]]</f>
        <v>#N/A</v>
      </c>
      <c r="P846" s="282">
        <f>++Tabla4[[#This Row],[Precio Descontado]]*Tabla4[[#This Row],[Cantidad]]</f>
        <v>8487.800318399999</v>
      </c>
      <c r="Q846" s="282" t="e">
        <f>(INDEX(Tabla6[#All],MATCH(Tabla4[[#This Row],[Producto]],Tabla6[[#All],[PRODUCTO]],0),MATCH(Tabla4[[#This Row],[Mes]],Tabla6[#Headers],0)))</f>
        <v>#N/A</v>
      </c>
      <c r="R846" s="282" t="e">
        <f>++Tabla4[[#This Row],[Precio Unitario Neto]]-Tabla4[[#This Row],[20.85%]]-Tabla4[[#This Row],[Costo]]</f>
        <v>#N/A</v>
      </c>
      <c r="S846" s="282" t="e">
        <f>++Tabla4[[#This Row],[U. Bruta Uni]]*Tabla4[[#This Row],[Cantidad]]</f>
        <v>#N/A</v>
      </c>
      <c r="T846" s="369" t="str">
        <f>VLOOKUP(Tabla4[[#This Row],[Producto]],Tabla6[#All],14,FALSE)</f>
        <v>Termico Solar</v>
      </c>
      <c r="U846" s="284" t="e">
        <f>(IF(Tabla4[[#This Row],[Familia]]="termico solar",Tabla4[[#This Row],[Utilidad Total]]*6%,Tabla4[[#This Row],[Utilidad Total]]*11.5%))/Tabla4[[#This Row],[Total]]</f>
        <v>#N/A</v>
      </c>
      <c r="V846" s="282" t="e">
        <f>+Tabla4[[#This Row],[Comisión Calculada]]*Tabla4[[#This Row],[Total]]</f>
        <v>#N/A</v>
      </c>
    </row>
    <row r="847" spans="1:22" hidden="1" x14ac:dyDescent="0.25">
      <c r="A847" s="100">
        <v>45716</v>
      </c>
      <c r="B847" t="str">
        <f t="shared" si="32"/>
        <v>February</v>
      </c>
      <c r="C847" s="46" t="s">
        <v>280</v>
      </c>
      <c r="F847" s="366" t="s">
        <v>1060</v>
      </c>
      <c r="G847" s="46" t="s">
        <v>566</v>
      </c>
      <c r="H847" s="46">
        <v>1</v>
      </c>
      <c r="I847" s="51">
        <v>2109.4499999999998</v>
      </c>
      <c r="J847" s="281">
        <f>++Tabla4[[#This Row],[Precio Bruto]]*1.16</f>
        <v>2446.9619999999995</v>
      </c>
      <c r="K847" s="281">
        <f>+Tabla4[[#This Row],[Precio Unitario Neto]]*Tabla4[[#Headers],[20.85%]]</f>
        <v>510.19157699999988</v>
      </c>
      <c r="L847" s="282">
        <f>++Tabla4[[#This Row],[Precio Unitario Neto]]-Tabla4[[#This Row],[20.85%]]</f>
        <v>1936.7704229999997</v>
      </c>
      <c r="M847" s="282" t="e">
        <f>(INDEX(Tabla6[#All],MATCH(Tabla4[[#This Row],[Producto]],Tabla6[[#All],[PRODUCTO]],0),MATCH(Tabla4[[#This Row],[Mes]],Tabla6[#Headers],0)))*(1+Catalogos!$L$2)</f>
        <v>#N/A</v>
      </c>
      <c r="N847" s="283" t="e">
        <f>+(Tabla4[[#This Row],[Precio Descontado]]-Tabla4[[#This Row],[Precio Base]])*Tabla4[[#This Row],[Cantidad]]</f>
        <v>#N/A</v>
      </c>
      <c r="O847" s="284" t="e">
        <f>++Tabla4[[#This Row],[Utilidad Total]]/Tabla4[[#This Row],[Total]]</f>
        <v>#N/A</v>
      </c>
      <c r="P847" s="282">
        <f>++Tabla4[[#This Row],[Precio Descontado]]*Tabla4[[#This Row],[Cantidad]]</f>
        <v>1936.7704229999997</v>
      </c>
      <c r="Q847" s="282" t="e">
        <f>(INDEX(Tabla6[#All],MATCH(Tabla4[[#This Row],[Producto]],Tabla6[[#All],[PRODUCTO]],0),MATCH(Tabla4[[#This Row],[Mes]],Tabla6[#Headers],0)))</f>
        <v>#N/A</v>
      </c>
      <c r="R847" s="282" t="e">
        <f>++Tabla4[[#This Row],[Precio Unitario Neto]]-Tabla4[[#This Row],[20.85%]]-Tabla4[[#This Row],[Costo]]</f>
        <v>#N/A</v>
      </c>
      <c r="S847" s="282" t="e">
        <f>++Tabla4[[#This Row],[U. Bruta Uni]]*Tabla4[[#This Row],[Cantidad]]</f>
        <v>#N/A</v>
      </c>
      <c r="T847" s="369" t="str">
        <f>VLOOKUP(Tabla4[[#This Row],[Producto]],Tabla6[#All],14,FALSE)</f>
        <v>Termico Solar</v>
      </c>
      <c r="U847" s="284" t="e">
        <f>(IF(Tabla4[[#This Row],[Familia]]="termico solar",Tabla4[[#This Row],[Utilidad Total]]*6%,Tabla4[[#This Row],[Utilidad Total]]*11.5%))/Tabla4[[#This Row],[Total]]</f>
        <v>#N/A</v>
      </c>
      <c r="V847" s="282" t="e">
        <f>+Tabla4[[#This Row],[Comisión Calculada]]*Tabla4[[#This Row],[Total]]</f>
        <v>#N/A</v>
      </c>
    </row>
    <row r="848" spans="1:22" hidden="1" x14ac:dyDescent="0.25">
      <c r="A848" s="100">
        <v>45716</v>
      </c>
      <c r="B848" t="str">
        <f t="shared" si="32"/>
        <v>February</v>
      </c>
      <c r="C848" s="46" t="s">
        <v>280</v>
      </c>
      <c r="F848" s="366" t="s">
        <v>1060</v>
      </c>
      <c r="G848" s="46" t="s">
        <v>16</v>
      </c>
      <c r="H848" s="46">
        <v>2</v>
      </c>
      <c r="I848" s="51">
        <v>4103.8500000000004</v>
      </c>
      <c r="J848" s="281">
        <f>++Tabla4[[#This Row],[Precio Bruto]]*1.16</f>
        <v>4760.4660000000003</v>
      </c>
      <c r="K848" s="281">
        <f>+Tabla4[[#This Row],[Precio Unitario Neto]]*Tabla4[[#Headers],[20.85%]]</f>
        <v>992.55716100000006</v>
      </c>
      <c r="L848" s="282">
        <f>++Tabla4[[#This Row],[Precio Unitario Neto]]-Tabla4[[#This Row],[20.85%]]</f>
        <v>3767.9088390000002</v>
      </c>
      <c r="M848" s="282" t="e">
        <f>(INDEX(Tabla6[#All],MATCH(Tabla4[[#This Row],[Producto]],Tabla6[[#All],[PRODUCTO]],0),MATCH(Tabla4[[#This Row],[Mes]],Tabla6[#Headers],0)))*(1+Catalogos!$L$2)</f>
        <v>#N/A</v>
      </c>
      <c r="N848" s="283" t="e">
        <f>+(Tabla4[[#This Row],[Precio Descontado]]-Tabla4[[#This Row],[Precio Base]])*Tabla4[[#This Row],[Cantidad]]</f>
        <v>#N/A</v>
      </c>
      <c r="O848" s="284" t="e">
        <f>++Tabla4[[#This Row],[Utilidad Total]]/Tabla4[[#This Row],[Total]]</f>
        <v>#N/A</v>
      </c>
      <c r="P848" s="282">
        <f>++Tabla4[[#This Row],[Precio Descontado]]*Tabla4[[#This Row],[Cantidad]]</f>
        <v>7535.8176780000003</v>
      </c>
      <c r="Q848" s="282" t="e">
        <f>(INDEX(Tabla6[#All],MATCH(Tabla4[[#This Row],[Producto]],Tabla6[[#All],[PRODUCTO]],0),MATCH(Tabla4[[#This Row],[Mes]],Tabla6[#Headers],0)))</f>
        <v>#N/A</v>
      </c>
      <c r="R848" s="282" t="e">
        <f>++Tabla4[[#This Row],[Precio Unitario Neto]]-Tabla4[[#This Row],[20.85%]]-Tabla4[[#This Row],[Costo]]</f>
        <v>#N/A</v>
      </c>
      <c r="S848" s="282" t="e">
        <f>++Tabla4[[#This Row],[U. Bruta Uni]]*Tabla4[[#This Row],[Cantidad]]</f>
        <v>#N/A</v>
      </c>
      <c r="T848" s="369" t="str">
        <f>VLOOKUP(Tabla4[[#This Row],[Producto]],Tabla6[#All],14,FALSE)</f>
        <v>Termico Solar</v>
      </c>
      <c r="U848" s="284" t="e">
        <f>(IF(Tabla4[[#This Row],[Familia]]="termico solar",Tabla4[[#This Row],[Utilidad Total]]*6%,Tabla4[[#This Row],[Utilidad Total]]*11.5%))/Tabla4[[#This Row],[Total]]</f>
        <v>#N/A</v>
      </c>
      <c r="V848" s="282" t="e">
        <f>+Tabla4[[#This Row],[Comisión Calculada]]*Tabla4[[#This Row],[Total]]</f>
        <v>#N/A</v>
      </c>
    </row>
    <row r="849" spans="1:22" hidden="1" x14ac:dyDescent="0.25">
      <c r="A849" s="100">
        <v>45716</v>
      </c>
      <c r="B849" t="str">
        <f t="shared" si="32"/>
        <v>February</v>
      </c>
      <c r="C849" s="46" t="s">
        <v>280</v>
      </c>
      <c r="F849" s="366" t="s">
        <v>1061</v>
      </c>
      <c r="G849" s="46" t="s">
        <v>566</v>
      </c>
      <c r="H849" s="46">
        <v>1</v>
      </c>
      <c r="I849" s="51">
        <v>2109.4499999999998</v>
      </c>
      <c r="J849" s="281">
        <f>++Tabla4[[#This Row],[Precio Bruto]]*1.16</f>
        <v>2446.9619999999995</v>
      </c>
      <c r="K849" s="281">
        <f>+Tabla4[[#This Row],[Precio Unitario Neto]]*Tabla4[[#Headers],[20.85%]]</f>
        <v>510.19157699999988</v>
      </c>
      <c r="L849" s="282">
        <f>++Tabla4[[#This Row],[Precio Unitario Neto]]-Tabla4[[#This Row],[20.85%]]</f>
        <v>1936.7704229999997</v>
      </c>
      <c r="M849" s="282" t="e">
        <f>(INDEX(Tabla6[#All],MATCH(Tabla4[[#This Row],[Producto]],Tabla6[[#All],[PRODUCTO]],0),MATCH(Tabla4[[#This Row],[Mes]],Tabla6[#Headers],0)))*(1+Catalogos!$L$2)</f>
        <v>#N/A</v>
      </c>
      <c r="N849" s="283" t="e">
        <f>+(Tabla4[[#This Row],[Precio Descontado]]-Tabla4[[#This Row],[Precio Base]])*Tabla4[[#This Row],[Cantidad]]</f>
        <v>#N/A</v>
      </c>
      <c r="O849" s="284" t="e">
        <f>++Tabla4[[#This Row],[Utilidad Total]]/Tabla4[[#This Row],[Total]]</f>
        <v>#N/A</v>
      </c>
      <c r="P849" s="282">
        <f>++Tabla4[[#This Row],[Precio Descontado]]*Tabla4[[#This Row],[Cantidad]]</f>
        <v>1936.7704229999997</v>
      </c>
      <c r="Q849" s="282" t="e">
        <f>(INDEX(Tabla6[#All],MATCH(Tabla4[[#This Row],[Producto]],Tabla6[[#All],[PRODUCTO]],0),MATCH(Tabla4[[#This Row],[Mes]],Tabla6[#Headers],0)))</f>
        <v>#N/A</v>
      </c>
      <c r="R849" s="282" t="e">
        <f>++Tabla4[[#This Row],[Precio Unitario Neto]]-Tabla4[[#This Row],[20.85%]]-Tabla4[[#This Row],[Costo]]</f>
        <v>#N/A</v>
      </c>
      <c r="S849" s="282" t="e">
        <f>++Tabla4[[#This Row],[U. Bruta Uni]]*Tabla4[[#This Row],[Cantidad]]</f>
        <v>#N/A</v>
      </c>
      <c r="T849" s="369" t="str">
        <f>VLOOKUP(Tabla4[[#This Row],[Producto]],Tabla6[#All],14,FALSE)</f>
        <v>Termico Solar</v>
      </c>
      <c r="U849" s="284" t="e">
        <f>(IF(Tabla4[[#This Row],[Familia]]="termico solar",Tabla4[[#This Row],[Utilidad Total]]*6%,Tabla4[[#This Row],[Utilidad Total]]*11.5%))/Tabla4[[#This Row],[Total]]</f>
        <v>#N/A</v>
      </c>
      <c r="V849" s="282" t="e">
        <f>+Tabla4[[#This Row],[Comisión Calculada]]*Tabla4[[#This Row],[Total]]</f>
        <v>#N/A</v>
      </c>
    </row>
    <row r="850" spans="1:22" hidden="1" x14ac:dyDescent="0.25">
      <c r="A850" s="100">
        <v>45716</v>
      </c>
      <c r="B850" t="str">
        <f t="shared" si="32"/>
        <v>February</v>
      </c>
      <c r="C850" s="46" t="s">
        <v>280</v>
      </c>
      <c r="F850" s="366" t="s">
        <v>1061</v>
      </c>
      <c r="G850" s="46" t="s">
        <v>599</v>
      </c>
      <c r="H850" s="46">
        <v>2</v>
      </c>
      <c r="I850" s="51">
        <v>189.75</v>
      </c>
      <c r="J850" s="281">
        <f>++Tabla4[[#This Row],[Precio Bruto]]*1.16</f>
        <v>220.10999999999999</v>
      </c>
      <c r="K850" s="281">
        <f>+Tabla4[[#This Row],[Precio Unitario Neto]]*Tabla4[[#Headers],[20.85%]]</f>
        <v>45.892934999999994</v>
      </c>
      <c r="L850" s="282">
        <f>++Tabla4[[#This Row],[Precio Unitario Neto]]-Tabla4[[#This Row],[20.85%]]</f>
        <v>174.21706499999999</v>
      </c>
      <c r="M850" s="282" t="e">
        <f>(INDEX(Tabla6[#All],MATCH(Tabla4[[#This Row],[Producto]],Tabla6[[#All],[PRODUCTO]],0),MATCH(Tabla4[[#This Row],[Mes]],Tabla6[#Headers],0)))*(1+Catalogos!$L$2)</f>
        <v>#N/A</v>
      </c>
      <c r="N850" s="283" t="e">
        <f>+(Tabla4[[#This Row],[Precio Descontado]]-Tabla4[[#This Row],[Precio Base]])*Tabla4[[#This Row],[Cantidad]]</f>
        <v>#N/A</v>
      </c>
      <c r="O850" s="284" t="e">
        <f>++Tabla4[[#This Row],[Utilidad Total]]/Tabla4[[#This Row],[Total]]</f>
        <v>#N/A</v>
      </c>
      <c r="P850" s="282">
        <f>++Tabla4[[#This Row],[Precio Descontado]]*Tabla4[[#This Row],[Cantidad]]</f>
        <v>348.43412999999998</v>
      </c>
      <c r="Q850" s="282" t="e">
        <f>(INDEX(Tabla6[#All],MATCH(Tabla4[[#This Row],[Producto]],Tabla6[[#All],[PRODUCTO]],0),MATCH(Tabla4[[#This Row],[Mes]],Tabla6[#Headers],0)))</f>
        <v>#N/A</v>
      </c>
      <c r="R850" s="282" t="e">
        <f>++Tabla4[[#This Row],[Precio Unitario Neto]]-Tabla4[[#This Row],[20.85%]]-Tabla4[[#This Row],[Costo]]</f>
        <v>#N/A</v>
      </c>
      <c r="S850" s="282" t="e">
        <f>++Tabla4[[#This Row],[U. Bruta Uni]]*Tabla4[[#This Row],[Cantidad]]</f>
        <v>#N/A</v>
      </c>
      <c r="T850" s="369" t="str">
        <f>VLOOKUP(Tabla4[[#This Row],[Producto]],Tabla6[#All],14,FALSE)</f>
        <v>Termico Solar</v>
      </c>
      <c r="U850" s="284" t="e">
        <f>(IF(Tabla4[[#This Row],[Familia]]="termico solar",Tabla4[[#This Row],[Utilidad Total]]*6%,Tabla4[[#This Row],[Utilidad Total]]*11.5%))/Tabla4[[#This Row],[Total]]</f>
        <v>#N/A</v>
      </c>
      <c r="V850" s="282" t="e">
        <f>+Tabla4[[#This Row],[Comisión Calculada]]*Tabla4[[#This Row],[Total]]</f>
        <v>#N/A</v>
      </c>
    </row>
    <row r="851" spans="1:22" hidden="1" x14ac:dyDescent="0.25">
      <c r="A851" s="100">
        <v>45716</v>
      </c>
      <c r="B851" t="str">
        <f t="shared" si="32"/>
        <v>February</v>
      </c>
      <c r="C851" s="46" t="s">
        <v>280</v>
      </c>
      <c r="F851" s="366" t="s">
        <v>1062</v>
      </c>
      <c r="G851" s="46" t="s">
        <v>17</v>
      </c>
      <c r="H851" s="46">
        <v>1</v>
      </c>
      <c r="I851" s="51">
        <v>4622.28</v>
      </c>
      <c r="J851" s="281">
        <f>++Tabla4[[#This Row],[Precio Bruto]]*1.16</f>
        <v>5361.8447999999989</v>
      </c>
      <c r="K851" s="281">
        <f>+Tabla4[[#This Row],[Precio Unitario Neto]]*Tabla4[[#Headers],[20.85%]]</f>
        <v>1117.9446407999997</v>
      </c>
      <c r="L851" s="282">
        <f>++Tabla4[[#This Row],[Precio Unitario Neto]]-Tabla4[[#This Row],[20.85%]]</f>
        <v>4243.9001591999995</v>
      </c>
      <c r="M851" s="282" t="e">
        <f>(INDEX(Tabla6[#All],MATCH(Tabla4[[#This Row],[Producto]],Tabla6[[#All],[PRODUCTO]],0),MATCH(Tabla4[[#This Row],[Mes]],Tabla6[#Headers],0)))*(1+Catalogos!$L$2)</f>
        <v>#N/A</v>
      </c>
      <c r="N851" s="283" t="e">
        <f>+(Tabla4[[#This Row],[Precio Descontado]]-Tabla4[[#This Row],[Precio Base]])*Tabla4[[#This Row],[Cantidad]]</f>
        <v>#N/A</v>
      </c>
      <c r="O851" s="284" t="e">
        <f>++Tabla4[[#This Row],[Utilidad Total]]/Tabla4[[#This Row],[Total]]</f>
        <v>#N/A</v>
      </c>
      <c r="P851" s="282">
        <f>++Tabla4[[#This Row],[Precio Descontado]]*Tabla4[[#This Row],[Cantidad]]</f>
        <v>4243.9001591999995</v>
      </c>
      <c r="Q851" s="282" t="e">
        <f>(INDEX(Tabla6[#All],MATCH(Tabla4[[#This Row],[Producto]],Tabla6[[#All],[PRODUCTO]],0),MATCH(Tabla4[[#This Row],[Mes]],Tabla6[#Headers],0)))</f>
        <v>#N/A</v>
      </c>
      <c r="R851" s="282" t="e">
        <f>++Tabla4[[#This Row],[Precio Unitario Neto]]-Tabla4[[#This Row],[20.85%]]-Tabla4[[#This Row],[Costo]]</f>
        <v>#N/A</v>
      </c>
      <c r="S851" s="282" t="e">
        <f>++Tabla4[[#This Row],[U. Bruta Uni]]*Tabla4[[#This Row],[Cantidad]]</f>
        <v>#N/A</v>
      </c>
      <c r="T851" s="369" t="str">
        <f>VLOOKUP(Tabla4[[#This Row],[Producto]],Tabla6[#All],14,FALSE)</f>
        <v>Termico Solar</v>
      </c>
      <c r="U851" s="284" t="e">
        <f>(IF(Tabla4[[#This Row],[Familia]]="termico solar",Tabla4[[#This Row],[Utilidad Total]]*6%,Tabla4[[#This Row],[Utilidad Total]]*11.5%))/Tabla4[[#This Row],[Total]]</f>
        <v>#N/A</v>
      </c>
      <c r="V851" s="282" t="e">
        <f>+Tabla4[[#This Row],[Comisión Calculada]]*Tabla4[[#This Row],[Total]]</f>
        <v>#N/A</v>
      </c>
    </row>
    <row r="852" spans="1:22" hidden="1" x14ac:dyDescent="0.25">
      <c r="A852" s="100">
        <v>45716</v>
      </c>
      <c r="B852" t="str">
        <f t="shared" si="32"/>
        <v>February</v>
      </c>
      <c r="C852" s="46" t="s">
        <v>280</v>
      </c>
      <c r="F852" s="366" t="s">
        <v>1063</v>
      </c>
      <c r="G852" s="46" t="s">
        <v>16</v>
      </c>
      <c r="H852" s="46">
        <v>1</v>
      </c>
      <c r="I852" s="51">
        <v>4103.8500000000004</v>
      </c>
      <c r="J852" s="281">
        <f>++Tabla4[[#This Row],[Precio Bruto]]*1.16</f>
        <v>4760.4660000000003</v>
      </c>
      <c r="K852" s="281">
        <f>+Tabla4[[#This Row],[Precio Unitario Neto]]*Tabla4[[#Headers],[20.85%]]</f>
        <v>992.55716100000006</v>
      </c>
      <c r="L852" s="282">
        <f>++Tabla4[[#This Row],[Precio Unitario Neto]]-Tabla4[[#This Row],[20.85%]]</f>
        <v>3767.9088390000002</v>
      </c>
      <c r="M852" s="282" t="e">
        <f>(INDEX(Tabla6[#All],MATCH(Tabla4[[#This Row],[Producto]],Tabla6[[#All],[PRODUCTO]],0),MATCH(Tabla4[[#This Row],[Mes]],Tabla6[#Headers],0)))*(1+Catalogos!$L$2)</f>
        <v>#N/A</v>
      </c>
      <c r="N852" s="283" t="e">
        <f>+(Tabla4[[#This Row],[Precio Descontado]]-Tabla4[[#This Row],[Precio Base]])*Tabla4[[#This Row],[Cantidad]]</f>
        <v>#N/A</v>
      </c>
      <c r="O852" s="284" t="e">
        <f>++Tabla4[[#This Row],[Utilidad Total]]/Tabla4[[#This Row],[Total]]</f>
        <v>#N/A</v>
      </c>
      <c r="P852" s="282">
        <f>++Tabla4[[#This Row],[Precio Descontado]]*Tabla4[[#This Row],[Cantidad]]</f>
        <v>3767.9088390000002</v>
      </c>
      <c r="Q852" s="282" t="e">
        <f>(INDEX(Tabla6[#All],MATCH(Tabla4[[#This Row],[Producto]],Tabla6[[#All],[PRODUCTO]],0),MATCH(Tabla4[[#This Row],[Mes]],Tabla6[#Headers],0)))</f>
        <v>#N/A</v>
      </c>
      <c r="R852" s="282" t="e">
        <f>++Tabla4[[#This Row],[Precio Unitario Neto]]-Tabla4[[#This Row],[20.85%]]-Tabla4[[#This Row],[Costo]]</f>
        <v>#N/A</v>
      </c>
      <c r="S852" s="282" t="e">
        <f>++Tabla4[[#This Row],[U. Bruta Uni]]*Tabla4[[#This Row],[Cantidad]]</f>
        <v>#N/A</v>
      </c>
      <c r="T852" s="369" t="str">
        <f>VLOOKUP(Tabla4[[#This Row],[Producto]],Tabla6[#All],14,FALSE)</f>
        <v>Termico Solar</v>
      </c>
      <c r="U852" s="284" t="e">
        <f>(IF(Tabla4[[#This Row],[Familia]]="termico solar",Tabla4[[#This Row],[Utilidad Total]]*6%,Tabla4[[#This Row],[Utilidad Total]]*11.5%))/Tabla4[[#This Row],[Total]]</f>
        <v>#N/A</v>
      </c>
      <c r="V852" s="282" t="e">
        <f>+Tabla4[[#This Row],[Comisión Calculada]]*Tabla4[[#This Row],[Total]]</f>
        <v>#N/A</v>
      </c>
    </row>
    <row r="853" spans="1:22" hidden="1" x14ac:dyDescent="0.25">
      <c r="A853" s="100">
        <v>45716</v>
      </c>
      <c r="B853" t="str">
        <f t="shared" si="32"/>
        <v>February</v>
      </c>
      <c r="C853" s="46" t="s">
        <v>280</v>
      </c>
      <c r="F853" s="366" t="s">
        <v>1064</v>
      </c>
      <c r="G853" s="46" t="s">
        <v>566</v>
      </c>
      <c r="H853" s="46">
        <v>1</v>
      </c>
      <c r="I853" s="51">
        <v>2109.4499999999998</v>
      </c>
      <c r="J853" s="281">
        <f>++Tabla4[[#This Row],[Precio Bruto]]*1.16</f>
        <v>2446.9619999999995</v>
      </c>
      <c r="K853" s="281">
        <f>+Tabla4[[#This Row],[Precio Unitario Neto]]*Tabla4[[#Headers],[20.85%]]</f>
        <v>510.19157699999988</v>
      </c>
      <c r="L853" s="282">
        <f>++Tabla4[[#This Row],[Precio Unitario Neto]]-Tabla4[[#This Row],[20.85%]]</f>
        <v>1936.7704229999997</v>
      </c>
      <c r="M853" s="282" t="e">
        <f>(INDEX(Tabla6[#All],MATCH(Tabla4[[#This Row],[Producto]],Tabla6[[#All],[PRODUCTO]],0),MATCH(Tabla4[[#This Row],[Mes]],Tabla6[#Headers],0)))*(1+Catalogos!$L$2)</f>
        <v>#N/A</v>
      </c>
      <c r="N853" s="283" t="e">
        <f>+(Tabla4[[#This Row],[Precio Descontado]]-Tabla4[[#This Row],[Precio Base]])*Tabla4[[#This Row],[Cantidad]]</f>
        <v>#N/A</v>
      </c>
      <c r="O853" s="284" t="e">
        <f>++Tabla4[[#This Row],[Utilidad Total]]/Tabla4[[#This Row],[Total]]</f>
        <v>#N/A</v>
      </c>
      <c r="P853" s="282">
        <f>++Tabla4[[#This Row],[Precio Descontado]]*Tabla4[[#This Row],[Cantidad]]</f>
        <v>1936.7704229999997</v>
      </c>
      <c r="Q853" s="282" t="e">
        <f>(INDEX(Tabla6[#All],MATCH(Tabla4[[#This Row],[Producto]],Tabla6[[#All],[PRODUCTO]],0),MATCH(Tabla4[[#This Row],[Mes]],Tabla6[#Headers],0)))</f>
        <v>#N/A</v>
      </c>
      <c r="R853" s="282" t="e">
        <f>++Tabla4[[#This Row],[Precio Unitario Neto]]-Tabla4[[#This Row],[20.85%]]-Tabla4[[#This Row],[Costo]]</f>
        <v>#N/A</v>
      </c>
      <c r="S853" s="282" t="e">
        <f>++Tabla4[[#This Row],[U. Bruta Uni]]*Tabla4[[#This Row],[Cantidad]]</f>
        <v>#N/A</v>
      </c>
      <c r="T853" s="369" t="str">
        <f>VLOOKUP(Tabla4[[#This Row],[Producto]],Tabla6[#All],14,FALSE)</f>
        <v>Termico Solar</v>
      </c>
      <c r="U853" s="284" t="e">
        <f>(IF(Tabla4[[#This Row],[Familia]]="termico solar",Tabla4[[#This Row],[Utilidad Total]]*6%,Tabla4[[#This Row],[Utilidad Total]]*11.5%))/Tabla4[[#This Row],[Total]]</f>
        <v>#N/A</v>
      </c>
      <c r="V853" s="282" t="e">
        <f>+Tabla4[[#This Row],[Comisión Calculada]]*Tabla4[[#This Row],[Total]]</f>
        <v>#N/A</v>
      </c>
    </row>
    <row r="854" spans="1:22" hidden="1" x14ac:dyDescent="0.25">
      <c r="A854" s="100">
        <v>45716</v>
      </c>
      <c r="B854" t="str">
        <f t="shared" si="32"/>
        <v>February</v>
      </c>
      <c r="C854" s="46" t="s">
        <v>280</v>
      </c>
      <c r="F854" s="366" t="s">
        <v>1065</v>
      </c>
      <c r="G854" s="46" t="s">
        <v>18</v>
      </c>
      <c r="H854" s="46">
        <v>1</v>
      </c>
      <c r="I854" s="51">
        <v>5367.65</v>
      </c>
      <c r="J854" s="281">
        <f>++Tabla4[[#This Row],[Precio Bruto]]*1.16</f>
        <v>6226.4739999999993</v>
      </c>
      <c r="K854" s="281">
        <f>+Tabla4[[#This Row],[Precio Unitario Neto]]*Tabla4[[#Headers],[20.85%]]</f>
        <v>1298.2198289999999</v>
      </c>
      <c r="L854" s="282">
        <f>++Tabla4[[#This Row],[Precio Unitario Neto]]-Tabla4[[#This Row],[20.85%]]</f>
        <v>4928.2541709999996</v>
      </c>
      <c r="M854" s="282" t="e">
        <f>(INDEX(Tabla6[#All],MATCH(Tabla4[[#This Row],[Producto]],Tabla6[[#All],[PRODUCTO]],0),MATCH(Tabla4[[#This Row],[Mes]],Tabla6[#Headers],0)))*(1+Catalogos!$L$2)</f>
        <v>#N/A</v>
      </c>
      <c r="N854" s="283" t="e">
        <f>+(Tabla4[[#This Row],[Precio Descontado]]-Tabla4[[#This Row],[Precio Base]])*Tabla4[[#This Row],[Cantidad]]</f>
        <v>#N/A</v>
      </c>
      <c r="O854" s="284" t="e">
        <f>++Tabla4[[#This Row],[Utilidad Total]]/Tabla4[[#This Row],[Total]]</f>
        <v>#N/A</v>
      </c>
      <c r="P854" s="282">
        <f>++Tabla4[[#This Row],[Precio Descontado]]*Tabla4[[#This Row],[Cantidad]]</f>
        <v>4928.2541709999996</v>
      </c>
      <c r="Q854" s="282" t="e">
        <f>(INDEX(Tabla6[#All],MATCH(Tabla4[[#This Row],[Producto]],Tabla6[[#All],[PRODUCTO]],0),MATCH(Tabla4[[#This Row],[Mes]],Tabla6[#Headers],0)))</f>
        <v>#N/A</v>
      </c>
      <c r="R854" s="282" t="e">
        <f>++Tabla4[[#This Row],[Precio Unitario Neto]]-Tabla4[[#This Row],[20.85%]]-Tabla4[[#This Row],[Costo]]</f>
        <v>#N/A</v>
      </c>
      <c r="S854" s="282" t="e">
        <f>++Tabla4[[#This Row],[U. Bruta Uni]]*Tabla4[[#This Row],[Cantidad]]</f>
        <v>#N/A</v>
      </c>
      <c r="T854" s="369" t="str">
        <f>VLOOKUP(Tabla4[[#This Row],[Producto]],Tabla6[#All],14,FALSE)</f>
        <v>Termico Solar</v>
      </c>
      <c r="U854" s="284" t="e">
        <f>(IF(Tabla4[[#This Row],[Familia]]="termico solar",Tabla4[[#This Row],[Utilidad Total]]*6%,Tabla4[[#This Row],[Utilidad Total]]*11.5%))/Tabla4[[#This Row],[Total]]</f>
        <v>#N/A</v>
      </c>
      <c r="V854" s="282" t="e">
        <f>+Tabla4[[#This Row],[Comisión Calculada]]*Tabla4[[#This Row],[Total]]</f>
        <v>#N/A</v>
      </c>
    </row>
    <row r="855" spans="1:22" hidden="1" x14ac:dyDescent="0.25">
      <c r="A855" s="100">
        <v>45716</v>
      </c>
      <c r="B855" t="str">
        <f t="shared" si="32"/>
        <v>February</v>
      </c>
      <c r="C855" s="46" t="s">
        <v>280</v>
      </c>
      <c r="F855" s="366" t="s">
        <v>1066</v>
      </c>
      <c r="G855" s="46" t="s">
        <v>599</v>
      </c>
      <c r="H855" s="46">
        <v>9</v>
      </c>
      <c r="I855" s="51">
        <v>189.75</v>
      </c>
      <c r="J855" s="281">
        <f>++Tabla4[[#This Row],[Precio Bruto]]*1.16</f>
        <v>220.10999999999999</v>
      </c>
      <c r="K855" s="281">
        <f>+Tabla4[[#This Row],[Precio Unitario Neto]]*Tabla4[[#Headers],[20.85%]]</f>
        <v>45.892934999999994</v>
      </c>
      <c r="L855" s="282">
        <f>++Tabla4[[#This Row],[Precio Unitario Neto]]-Tabla4[[#This Row],[20.85%]]</f>
        <v>174.21706499999999</v>
      </c>
      <c r="M855" s="282" t="e">
        <f>(INDEX(Tabla6[#All],MATCH(Tabla4[[#This Row],[Producto]],Tabla6[[#All],[PRODUCTO]],0),MATCH(Tabla4[[#This Row],[Mes]],Tabla6[#Headers],0)))*(1+Catalogos!$L$2)</f>
        <v>#N/A</v>
      </c>
      <c r="N855" s="283" t="e">
        <f>+(Tabla4[[#This Row],[Precio Descontado]]-Tabla4[[#This Row],[Precio Base]])*Tabla4[[#This Row],[Cantidad]]</f>
        <v>#N/A</v>
      </c>
      <c r="O855" s="284" t="e">
        <f>++Tabla4[[#This Row],[Utilidad Total]]/Tabla4[[#This Row],[Total]]</f>
        <v>#N/A</v>
      </c>
      <c r="P855" s="282">
        <f>++Tabla4[[#This Row],[Precio Descontado]]*Tabla4[[#This Row],[Cantidad]]</f>
        <v>1567.953585</v>
      </c>
      <c r="Q855" s="282" t="e">
        <f>(INDEX(Tabla6[#All],MATCH(Tabla4[[#This Row],[Producto]],Tabla6[[#All],[PRODUCTO]],0),MATCH(Tabla4[[#This Row],[Mes]],Tabla6[#Headers],0)))</f>
        <v>#N/A</v>
      </c>
      <c r="R855" s="282" t="e">
        <f>++Tabla4[[#This Row],[Precio Unitario Neto]]-Tabla4[[#This Row],[20.85%]]-Tabla4[[#This Row],[Costo]]</f>
        <v>#N/A</v>
      </c>
      <c r="S855" s="282" t="e">
        <f>++Tabla4[[#This Row],[U. Bruta Uni]]*Tabla4[[#This Row],[Cantidad]]</f>
        <v>#N/A</v>
      </c>
      <c r="T855" s="369" t="str">
        <f>VLOOKUP(Tabla4[[#This Row],[Producto]],Tabla6[#All],14,FALSE)</f>
        <v>Termico Solar</v>
      </c>
      <c r="U855" s="284" t="e">
        <f>(IF(Tabla4[[#This Row],[Familia]]="termico solar",Tabla4[[#This Row],[Utilidad Total]]*6%,Tabla4[[#This Row],[Utilidad Total]]*11.5%))/Tabla4[[#This Row],[Total]]</f>
        <v>#N/A</v>
      </c>
      <c r="V855" s="282" t="e">
        <f>+Tabla4[[#This Row],[Comisión Calculada]]*Tabla4[[#This Row],[Total]]</f>
        <v>#N/A</v>
      </c>
    </row>
    <row r="856" spans="1:22" hidden="1" x14ac:dyDescent="0.25">
      <c r="A856" s="100">
        <v>45716</v>
      </c>
      <c r="B856" t="str">
        <f t="shared" si="32"/>
        <v>February</v>
      </c>
      <c r="C856" s="46" t="s">
        <v>280</v>
      </c>
      <c r="F856" s="366" t="s">
        <v>1067</v>
      </c>
      <c r="G856" s="46" t="s">
        <v>566</v>
      </c>
      <c r="H856" s="46">
        <v>1</v>
      </c>
      <c r="I856" s="51">
        <v>2109.4499999999998</v>
      </c>
      <c r="J856" s="281">
        <f>++Tabla4[[#This Row],[Precio Bruto]]*1.16</f>
        <v>2446.9619999999995</v>
      </c>
      <c r="K856" s="281">
        <f>+Tabla4[[#This Row],[Precio Unitario Neto]]*Tabla4[[#Headers],[20.85%]]</f>
        <v>510.19157699999988</v>
      </c>
      <c r="L856" s="282">
        <f>++Tabla4[[#This Row],[Precio Unitario Neto]]-Tabla4[[#This Row],[20.85%]]</f>
        <v>1936.7704229999997</v>
      </c>
      <c r="M856" s="282" t="e">
        <f>(INDEX(Tabla6[#All],MATCH(Tabla4[[#This Row],[Producto]],Tabla6[[#All],[PRODUCTO]],0),MATCH(Tabla4[[#This Row],[Mes]],Tabla6[#Headers],0)))*(1+Catalogos!$L$2)</f>
        <v>#N/A</v>
      </c>
      <c r="N856" s="283" t="e">
        <f>+(Tabla4[[#This Row],[Precio Descontado]]-Tabla4[[#This Row],[Precio Base]])*Tabla4[[#This Row],[Cantidad]]</f>
        <v>#N/A</v>
      </c>
      <c r="O856" s="284" t="e">
        <f>++Tabla4[[#This Row],[Utilidad Total]]/Tabla4[[#This Row],[Total]]</f>
        <v>#N/A</v>
      </c>
      <c r="P856" s="282">
        <f>++Tabla4[[#This Row],[Precio Descontado]]*Tabla4[[#This Row],[Cantidad]]</f>
        <v>1936.7704229999997</v>
      </c>
      <c r="Q856" s="282" t="e">
        <f>(INDEX(Tabla6[#All],MATCH(Tabla4[[#This Row],[Producto]],Tabla6[[#All],[PRODUCTO]],0),MATCH(Tabla4[[#This Row],[Mes]],Tabla6[#Headers],0)))</f>
        <v>#N/A</v>
      </c>
      <c r="R856" s="282" t="e">
        <f>++Tabla4[[#This Row],[Precio Unitario Neto]]-Tabla4[[#This Row],[20.85%]]-Tabla4[[#This Row],[Costo]]</f>
        <v>#N/A</v>
      </c>
      <c r="S856" s="282" t="e">
        <f>++Tabla4[[#This Row],[U. Bruta Uni]]*Tabla4[[#This Row],[Cantidad]]</f>
        <v>#N/A</v>
      </c>
      <c r="T856" s="369" t="str">
        <f>VLOOKUP(Tabla4[[#This Row],[Producto]],Tabla6[#All],14,FALSE)</f>
        <v>Termico Solar</v>
      </c>
      <c r="U856" s="284" t="e">
        <f>(IF(Tabla4[[#This Row],[Familia]]="termico solar",Tabla4[[#This Row],[Utilidad Total]]*6%,Tabla4[[#This Row],[Utilidad Total]]*11.5%))/Tabla4[[#This Row],[Total]]</f>
        <v>#N/A</v>
      </c>
      <c r="V856" s="282" t="e">
        <f>+Tabla4[[#This Row],[Comisión Calculada]]*Tabla4[[#This Row],[Total]]</f>
        <v>#N/A</v>
      </c>
    </row>
    <row r="857" spans="1:22" hidden="1" x14ac:dyDescent="0.25">
      <c r="A857" s="100">
        <v>45716</v>
      </c>
      <c r="B857" t="str">
        <f t="shared" si="32"/>
        <v>February</v>
      </c>
      <c r="C857" s="46" t="s">
        <v>280</v>
      </c>
      <c r="F857" s="366" t="s">
        <v>1068</v>
      </c>
      <c r="G857" s="46" t="s">
        <v>83</v>
      </c>
      <c r="H857" s="46">
        <v>1</v>
      </c>
      <c r="I857" s="51">
        <v>8858.76</v>
      </c>
      <c r="J857" s="281">
        <f>++Tabla4[[#This Row],[Precio Bruto]]*1.16</f>
        <v>10276.161599999999</v>
      </c>
      <c r="K857" s="281">
        <f>+Tabla4[[#This Row],[Precio Unitario Neto]]*Tabla4[[#Headers],[20.85%]]</f>
        <v>2142.5796935999997</v>
      </c>
      <c r="L857" s="282">
        <f>++Tabla4[[#This Row],[Precio Unitario Neto]]-Tabla4[[#This Row],[20.85%]]</f>
        <v>8133.5819063999998</v>
      </c>
      <c r="M857" s="282" t="e">
        <f>(INDEX(Tabla6[#All],MATCH(Tabla4[[#This Row],[Producto]],Tabla6[[#All],[PRODUCTO]],0),MATCH(Tabla4[[#This Row],[Mes]],Tabla6[#Headers],0)))*(1+Catalogos!$L$2)</f>
        <v>#N/A</v>
      </c>
      <c r="N857" s="283" t="e">
        <f>+(Tabla4[[#This Row],[Precio Descontado]]-Tabla4[[#This Row],[Precio Base]])*Tabla4[[#This Row],[Cantidad]]</f>
        <v>#N/A</v>
      </c>
      <c r="O857" s="284" t="e">
        <f>++Tabla4[[#This Row],[Utilidad Total]]/Tabla4[[#This Row],[Total]]</f>
        <v>#N/A</v>
      </c>
      <c r="P857" s="282">
        <f>++Tabla4[[#This Row],[Precio Descontado]]*Tabla4[[#This Row],[Cantidad]]</f>
        <v>8133.5819063999998</v>
      </c>
      <c r="Q857" s="282" t="e">
        <f>(INDEX(Tabla6[#All],MATCH(Tabla4[[#This Row],[Producto]],Tabla6[[#All],[PRODUCTO]],0),MATCH(Tabla4[[#This Row],[Mes]],Tabla6[#Headers],0)))</f>
        <v>#N/A</v>
      </c>
      <c r="R857" s="282" t="e">
        <f>++Tabla4[[#This Row],[Precio Unitario Neto]]-Tabla4[[#This Row],[20.85%]]-Tabla4[[#This Row],[Costo]]</f>
        <v>#N/A</v>
      </c>
      <c r="S857" s="282" t="e">
        <f>++Tabla4[[#This Row],[U. Bruta Uni]]*Tabla4[[#This Row],[Cantidad]]</f>
        <v>#N/A</v>
      </c>
      <c r="T857" s="369" t="str">
        <f>VLOOKUP(Tabla4[[#This Row],[Producto]],Tabla6[#All],14,FALSE)</f>
        <v>Termico Solar</v>
      </c>
      <c r="U857" s="284" t="e">
        <f>(IF(Tabla4[[#This Row],[Familia]]="termico solar",Tabla4[[#This Row],[Utilidad Total]]*6%,Tabla4[[#This Row],[Utilidad Total]]*11.5%))/Tabla4[[#This Row],[Total]]</f>
        <v>#N/A</v>
      </c>
      <c r="V857" s="282" t="e">
        <f>+Tabla4[[#This Row],[Comisión Calculada]]*Tabla4[[#This Row],[Total]]</f>
        <v>#N/A</v>
      </c>
    </row>
    <row r="858" spans="1:22" hidden="1" x14ac:dyDescent="0.25">
      <c r="A858" s="100">
        <v>45716</v>
      </c>
      <c r="B858" t="str">
        <f t="shared" si="32"/>
        <v>February</v>
      </c>
      <c r="C858" s="46" t="s">
        <v>280</v>
      </c>
      <c r="F858" s="366" t="s">
        <v>1068</v>
      </c>
      <c r="G858" s="46" t="s">
        <v>17</v>
      </c>
      <c r="H858" s="46">
        <v>1</v>
      </c>
      <c r="I858" s="51">
        <v>4622.28</v>
      </c>
      <c r="J858" s="281">
        <f>++Tabla4[[#This Row],[Precio Bruto]]*1.16</f>
        <v>5361.8447999999989</v>
      </c>
      <c r="K858" s="281">
        <f>+Tabla4[[#This Row],[Precio Unitario Neto]]*Tabla4[[#Headers],[20.85%]]</f>
        <v>1117.9446407999997</v>
      </c>
      <c r="L858" s="282">
        <f>++Tabla4[[#This Row],[Precio Unitario Neto]]-Tabla4[[#This Row],[20.85%]]</f>
        <v>4243.9001591999995</v>
      </c>
      <c r="M858" s="282" t="e">
        <f>(INDEX(Tabla6[#All],MATCH(Tabla4[[#This Row],[Producto]],Tabla6[[#All],[PRODUCTO]],0),MATCH(Tabla4[[#This Row],[Mes]],Tabla6[#Headers],0)))*(1+Catalogos!$L$2)</f>
        <v>#N/A</v>
      </c>
      <c r="N858" s="283" t="e">
        <f>+(Tabla4[[#This Row],[Precio Descontado]]-Tabla4[[#This Row],[Precio Base]])*Tabla4[[#This Row],[Cantidad]]</f>
        <v>#N/A</v>
      </c>
      <c r="O858" s="284" t="e">
        <f>++Tabla4[[#This Row],[Utilidad Total]]/Tabla4[[#This Row],[Total]]</f>
        <v>#N/A</v>
      </c>
      <c r="P858" s="282">
        <f>++Tabla4[[#This Row],[Precio Descontado]]*Tabla4[[#This Row],[Cantidad]]</f>
        <v>4243.9001591999995</v>
      </c>
      <c r="Q858" s="282" t="e">
        <f>(INDEX(Tabla6[#All],MATCH(Tabla4[[#This Row],[Producto]],Tabla6[[#All],[PRODUCTO]],0),MATCH(Tabla4[[#This Row],[Mes]],Tabla6[#Headers],0)))</f>
        <v>#N/A</v>
      </c>
      <c r="R858" s="282" t="e">
        <f>++Tabla4[[#This Row],[Precio Unitario Neto]]-Tabla4[[#This Row],[20.85%]]-Tabla4[[#This Row],[Costo]]</f>
        <v>#N/A</v>
      </c>
      <c r="S858" s="282" t="e">
        <f>++Tabla4[[#This Row],[U. Bruta Uni]]*Tabla4[[#This Row],[Cantidad]]</f>
        <v>#N/A</v>
      </c>
      <c r="T858" s="369" t="str">
        <f>VLOOKUP(Tabla4[[#This Row],[Producto]],Tabla6[#All],14,FALSE)</f>
        <v>Termico Solar</v>
      </c>
      <c r="U858" s="284" t="e">
        <f>(IF(Tabla4[[#This Row],[Familia]]="termico solar",Tabla4[[#This Row],[Utilidad Total]]*6%,Tabla4[[#This Row],[Utilidad Total]]*11.5%))/Tabla4[[#This Row],[Total]]</f>
        <v>#N/A</v>
      </c>
      <c r="V858" s="282" t="e">
        <f>+Tabla4[[#This Row],[Comisión Calculada]]*Tabla4[[#This Row],[Total]]</f>
        <v>#N/A</v>
      </c>
    </row>
    <row r="859" spans="1:22" hidden="1" x14ac:dyDescent="0.25">
      <c r="A859" s="100">
        <v>45716</v>
      </c>
      <c r="B859" t="str">
        <f t="shared" si="32"/>
        <v>February</v>
      </c>
      <c r="C859" s="46" t="s">
        <v>280</v>
      </c>
      <c r="F859" s="366" t="s">
        <v>1069</v>
      </c>
      <c r="G859" s="46" t="s">
        <v>16</v>
      </c>
      <c r="H859" s="46">
        <v>1</v>
      </c>
      <c r="I859" s="51">
        <v>4103.8500000000004</v>
      </c>
      <c r="J859" s="281">
        <f>++Tabla4[[#This Row],[Precio Bruto]]*1.16</f>
        <v>4760.4660000000003</v>
      </c>
      <c r="K859" s="281">
        <f>+Tabla4[[#This Row],[Precio Unitario Neto]]*Tabla4[[#Headers],[20.85%]]</f>
        <v>992.55716100000006</v>
      </c>
      <c r="L859" s="282">
        <f>++Tabla4[[#This Row],[Precio Unitario Neto]]-Tabla4[[#This Row],[20.85%]]</f>
        <v>3767.9088390000002</v>
      </c>
      <c r="M859" s="282" t="e">
        <f>(INDEX(Tabla6[#All],MATCH(Tabla4[[#This Row],[Producto]],Tabla6[[#All],[PRODUCTO]],0),MATCH(Tabla4[[#This Row],[Mes]],Tabla6[#Headers],0)))*(1+Catalogos!$L$2)</f>
        <v>#N/A</v>
      </c>
      <c r="N859" s="283" t="e">
        <f>+(Tabla4[[#This Row],[Precio Descontado]]-Tabla4[[#This Row],[Precio Base]])*Tabla4[[#This Row],[Cantidad]]</f>
        <v>#N/A</v>
      </c>
      <c r="O859" s="284" t="e">
        <f>++Tabla4[[#This Row],[Utilidad Total]]/Tabla4[[#This Row],[Total]]</f>
        <v>#N/A</v>
      </c>
      <c r="P859" s="282">
        <f>++Tabla4[[#This Row],[Precio Descontado]]*Tabla4[[#This Row],[Cantidad]]</f>
        <v>3767.9088390000002</v>
      </c>
      <c r="Q859" s="282" t="e">
        <f>(INDEX(Tabla6[#All],MATCH(Tabla4[[#This Row],[Producto]],Tabla6[[#All],[PRODUCTO]],0),MATCH(Tabla4[[#This Row],[Mes]],Tabla6[#Headers],0)))</f>
        <v>#N/A</v>
      </c>
      <c r="R859" s="282" t="e">
        <f>++Tabla4[[#This Row],[Precio Unitario Neto]]-Tabla4[[#This Row],[20.85%]]-Tabla4[[#This Row],[Costo]]</f>
        <v>#N/A</v>
      </c>
      <c r="S859" s="282" t="e">
        <f>++Tabla4[[#This Row],[U. Bruta Uni]]*Tabla4[[#This Row],[Cantidad]]</f>
        <v>#N/A</v>
      </c>
      <c r="T859" s="369" t="str">
        <f>VLOOKUP(Tabla4[[#This Row],[Producto]],Tabla6[#All],14,FALSE)</f>
        <v>Termico Solar</v>
      </c>
      <c r="U859" s="284" t="e">
        <f>(IF(Tabla4[[#This Row],[Familia]]="termico solar",Tabla4[[#This Row],[Utilidad Total]]*6%,Tabla4[[#This Row],[Utilidad Total]]*11.5%))/Tabla4[[#This Row],[Total]]</f>
        <v>#N/A</v>
      </c>
      <c r="V859" s="282" t="e">
        <f>+Tabla4[[#This Row],[Comisión Calculada]]*Tabla4[[#This Row],[Total]]</f>
        <v>#N/A</v>
      </c>
    </row>
    <row r="860" spans="1:22" hidden="1" x14ac:dyDescent="0.25">
      <c r="A860" s="100">
        <v>45716</v>
      </c>
      <c r="B860" t="str">
        <f t="shared" si="32"/>
        <v>February</v>
      </c>
      <c r="C860" s="46" t="s">
        <v>280</v>
      </c>
      <c r="F860" s="366" t="s">
        <v>1070</v>
      </c>
      <c r="G860" s="46" t="s">
        <v>566</v>
      </c>
      <c r="H860" s="46">
        <v>2</v>
      </c>
      <c r="I860" s="51">
        <v>2109.4499999999998</v>
      </c>
      <c r="J860" s="281">
        <f>++Tabla4[[#This Row],[Precio Bruto]]*1.16</f>
        <v>2446.9619999999995</v>
      </c>
      <c r="K860" s="281">
        <f>+Tabla4[[#This Row],[Precio Unitario Neto]]*Tabla4[[#Headers],[20.85%]]</f>
        <v>510.19157699999988</v>
      </c>
      <c r="L860" s="282">
        <f>++Tabla4[[#This Row],[Precio Unitario Neto]]-Tabla4[[#This Row],[20.85%]]</f>
        <v>1936.7704229999997</v>
      </c>
      <c r="M860" s="282" t="e">
        <f>(INDEX(Tabla6[#All],MATCH(Tabla4[[#This Row],[Producto]],Tabla6[[#All],[PRODUCTO]],0),MATCH(Tabla4[[#This Row],[Mes]],Tabla6[#Headers],0)))*(1+Catalogos!$L$2)</f>
        <v>#N/A</v>
      </c>
      <c r="N860" s="283" t="e">
        <f>+(Tabla4[[#This Row],[Precio Descontado]]-Tabla4[[#This Row],[Precio Base]])*Tabla4[[#This Row],[Cantidad]]</f>
        <v>#N/A</v>
      </c>
      <c r="O860" s="284" t="e">
        <f>++Tabla4[[#This Row],[Utilidad Total]]/Tabla4[[#This Row],[Total]]</f>
        <v>#N/A</v>
      </c>
      <c r="P860" s="282">
        <f>++Tabla4[[#This Row],[Precio Descontado]]*Tabla4[[#This Row],[Cantidad]]</f>
        <v>3873.5408459999994</v>
      </c>
      <c r="Q860" s="282" t="e">
        <f>(INDEX(Tabla6[#All],MATCH(Tabla4[[#This Row],[Producto]],Tabla6[[#All],[PRODUCTO]],0),MATCH(Tabla4[[#This Row],[Mes]],Tabla6[#Headers],0)))</f>
        <v>#N/A</v>
      </c>
      <c r="R860" s="282" t="e">
        <f>++Tabla4[[#This Row],[Precio Unitario Neto]]-Tabla4[[#This Row],[20.85%]]-Tabla4[[#This Row],[Costo]]</f>
        <v>#N/A</v>
      </c>
      <c r="S860" s="282" t="e">
        <f>++Tabla4[[#This Row],[U. Bruta Uni]]*Tabla4[[#This Row],[Cantidad]]</f>
        <v>#N/A</v>
      </c>
      <c r="T860" s="369" t="str">
        <f>VLOOKUP(Tabla4[[#This Row],[Producto]],Tabla6[#All],14,FALSE)</f>
        <v>Termico Solar</v>
      </c>
      <c r="U860" s="284" t="e">
        <f>(IF(Tabla4[[#This Row],[Familia]]="termico solar",Tabla4[[#This Row],[Utilidad Total]]*6%,Tabla4[[#This Row],[Utilidad Total]]*11.5%))/Tabla4[[#This Row],[Total]]</f>
        <v>#N/A</v>
      </c>
      <c r="V860" s="282" t="e">
        <f>+Tabla4[[#This Row],[Comisión Calculada]]*Tabla4[[#This Row],[Total]]</f>
        <v>#N/A</v>
      </c>
    </row>
    <row r="861" spans="1:22" hidden="1" x14ac:dyDescent="0.25">
      <c r="A861" s="100">
        <v>45716</v>
      </c>
      <c r="B861" t="str">
        <f t="shared" si="32"/>
        <v>February</v>
      </c>
      <c r="C861" s="46" t="s">
        <v>280</v>
      </c>
      <c r="F861" s="366" t="s">
        <v>1071</v>
      </c>
      <c r="G861" s="46" t="s">
        <v>18</v>
      </c>
      <c r="H861" s="46">
        <v>1</v>
      </c>
      <c r="I861" s="51">
        <v>5367.65</v>
      </c>
      <c r="J861" s="281">
        <f>++Tabla4[[#This Row],[Precio Bruto]]*1.16</f>
        <v>6226.4739999999993</v>
      </c>
      <c r="K861" s="281">
        <f>+Tabla4[[#This Row],[Precio Unitario Neto]]*Tabla4[[#Headers],[20.85%]]</f>
        <v>1298.2198289999999</v>
      </c>
      <c r="L861" s="282">
        <f>++Tabla4[[#This Row],[Precio Unitario Neto]]-Tabla4[[#This Row],[20.85%]]</f>
        <v>4928.2541709999996</v>
      </c>
      <c r="M861" s="282" t="e">
        <f>(INDEX(Tabla6[#All],MATCH(Tabla4[[#This Row],[Producto]],Tabla6[[#All],[PRODUCTO]],0),MATCH(Tabla4[[#This Row],[Mes]],Tabla6[#Headers],0)))*(1+Catalogos!$L$2)</f>
        <v>#N/A</v>
      </c>
      <c r="N861" s="283" t="e">
        <f>+(Tabla4[[#This Row],[Precio Descontado]]-Tabla4[[#This Row],[Precio Base]])*Tabla4[[#This Row],[Cantidad]]</f>
        <v>#N/A</v>
      </c>
      <c r="O861" s="284" t="e">
        <f>++Tabla4[[#This Row],[Utilidad Total]]/Tabla4[[#This Row],[Total]]</f>
        <v>#N/A</v>
      </c>
      <c r="P861" s="282">
        <f>++Tabla4[[#This Row],[Precio Descontado]]*Tabla4[[#This Row],[Cantidad]]</f>
        <v>4928.2541709999996</v>
      </c>
      <c r="Q861" s="282" t="e">
        <f>(INDEX(Tabla6[#All],MATCH(Tabla4[[#This Row],[Producto]],Tabla6[[#All],[PRODUCTO]],0),MATCH(Tabla4[[#This Row],[Mes]],Tabla6[#Headers],0)))</f>
        <v>#N/A</v>
      </c>
      <c r="R861" s="282" t="e">
        <f>++Tabla4[[#This Row],[Precio Unitario Neto]]-Tabla4[[#This Row],[20.85%]]-Tabla4[[#This Row],[Costo]]</f>
        <v>#N/A</v>
      </c>
      <c r="S861" s="282" t="e">
        <f>++Tabla4[[#This Row],[U. Bruta Uni]]*Tabla4[[#This Row],[Cantidad]]</f>
        <v>#N/A</v>
      </c>
      <c r="T861" s="369" t="str">
        <f>VLOOKUP(Tabla4[[#This Row],[Producto]],Tabla6[#All],14,FALSE)</f>
        <v>Termico Solar</v>
      </c>
      <c r="U861" s="284" t="e">
        <f>(IF(Tabla4[[#This Row],[Familia]]="termico solar",Tabla4[[#This Row],[Utilidad Total]]*6%,Tabla4[[#This Row],[Utilidad Total]]*11.5%))/Tabla4[[#This Row],[Total]]</f>
        <v>#N/A</v>
      </c>
      <c r="V861" s="282" t="e">
        <f>+Tabla4[[#This Row],[Comisión Calculada]]*Tabla4[[#This Row],[Total]]</f>
        <v>#N/A</v>
      </c>
    </row>
    <row r="862" spans="1:22" hidden="1" x14ac:dyDescent="0.25">
      <c r="A862" s="100">
        <v>45716</v>
      </c>
      <c r="B862" t="str">
        <f t="shared" si="32"/>
        <v>February</v>
      </c>
      <c r="C862" s="46" t="s">
        <v>280</v>
      </c>
      <c r="F862" s="366" t="s">
        <v>1072</v>
      </c>
      <c r="G862" s="46" t="s">
        <v>83</v>
      </c>
      <c r="H862" s="46">
        <v>1</v>
      </c>
      <c r="I862" s="51">
        <v>8858.76</v>
      </c>
      <c r="J862" s="281">
        <f>++Tabla4[[#This Row],[Precio Bruto]]*1.16</f>
        <v>10276.161599999999</v>
      </c>
      <c r="K862" s="281">
        <f>+Tabla4[[#This Row],[Precio Unitario Neto]]*Tabla4[[#Headers],[20.85%]]</f>
        <v>2142.5796935999997</v>
      </c>
      <c r="L862" s="282">
        <f>++Tabla4[[#This Row],[Precio Unitario Neto]]-Tabla4[[#This Row],[20.85%]]</f>
        <v>8133.5819063999998</v>
      </c>
      <c r="M862" s="282" t="e">
        <f>(INDEX(Tabla6[#All],MATCH(Tabla4[[#This Row],[Producto]],Tabla6[[#All],[PRODUCTO]],0),MATCH(Tabla4[[#This Row],[Mes]],Tabla6[#Headers],0)))*(1+Catalogos!$L$2)</f>
        <v>#N/A</v>
      </c>
      <c r="N862" s="283" t="e">
        <f>+(Tabla4[[#This Row],[Precio Descontado]]-Tabla4[[#This Row],[Precio Base]])*Tabla4[[#This Row],[Cantidad]]</f>
        <v>#N/A</v>
      </c>
      <c r="O862" s="284" t="e">
        <f>++Tabla4[[#This Row],[Utilidad Total]]/Tabla4[[#This Row],[Total]]</f>
        <v>#N/A</v>
      </c>
      <c r="P862" s="282">
        <f>++Tabla4[[#This Row],[Precio Descontado]]*Tabla4[[#This Row],[Cantidad]]</f>
        <v>8133.5819063999998</v>
      </c>
      <c r="Q862" s="282" t="e">
        <f>(INDEX(Tabla6[#All],MATCH(Tabla4[[#This Row],[Producto]],Tabla6[[#All],[PRODUCTO]],0),MATCH(Tabla4[[#This Row],[Mes]],Tabla6[#Headers],0)))</f>
        <v>#N/A</v>
      </c>
      <c r="R862" s="282" t="e">
        <f>++Tabla4[[#This Row],[Precio Unitario Neto]]-Tabla4[[#This Row],[20.85%]]-Tabla4[[#This Row],[Costo]]</f>
        <v>#N/A</v>
      </c>
      <c r="S862" s="282" t="e">
        <f>++Tabla4[[#This Row],[U. Bruta Uni]]*Tabla4[[#This Row],[Cantidad]]</f>
        <v>#N/A</v>
      </c>
      <c r="T862" s="369" t="str">
        <f>VLOOKUP(Tabla4[[#This Row],[Producto]],Tabla6[#All],14,FALSE)</f>
        <v>Termico Solar</v>
      </c>
      <c r="U862" s="284" t="e">
        <f>(IF(Tabla4[[#This Row],[Familia]]="termico solar",Tabla4[[#This Row],[Utilidad Total]]*6%,Tabla4[[#This Row],[Utilidad Total]]*11.5%))/Tabla4[[#This Row],[Total]]</f>
        <v>#N/A</v>
      </c>
      <c r="V862" s="282" t="e">
        <f>+Tabla4[[#This Row],[Comisión Calculada]]*Tabla4[[#This Row],[Total]]</f>
        <v>#N/A</v>
      </c>
    </row>
    <row r="863" spans="1:22" hidden="1" x14ac:dyDescent="0.25">
      <c r="A863" s="100">
        <v>45716</v>
      </c>
      <c r="B863" t="str">
        <f t="shared" si="32"/>
        <v>February</v>
      </c>
      <c r="C863" s="46" t="s">
        <v>280</v>
      </c>
      <c r="F863" s="366" t="s">
        <v>1073</v>
      </c>
      <c r="G863" s="46" t="s">
        <v>19</v>
      </c>
      <c r="H863" s="46">
        <v>1</v>
      </c>
      <c r="I863" s="51">
        <v>6412.03</v>
      </c>
      <c r="J863" s="281">
        <f>++Tabla4[[#This Row],[Precio Bruto]]*1.16</f>
        <v>7437.9547999999995</v>
      </c>
      <c r="K863" s="281">
        <f>+Tabla4[[#This Row],[Precio Unitario Neto]]*Tabla4[[#Headers],[20.85%]]</f>
        <v>1550.8135757999999</v>
      </c>
      <c r="L863" s="282">
        <f>++Tabla4[[#This Row],[Precio Unitario Neto]]-Tabla4[[#This Row],[20.85%]]</f>
        <v>5887.1412241999997</v>
      </c>
      <c r="M863" s="282" t="e">
        <f>(INDEX(Tabla6[#All],MATCH(Tabla4[[#This Row],[Producto]],Tabla6[[#All],[PRODUCTO]],0),MATCH(Tabla4[[#This Row],[Mes]],Tabla6[#Headers],0)))*(1+Catalogos!$L$2)</f>
        <v>#N/A</v>
      </c>
      <c r="N863" s="283" t="e">
        <f>+(Tabla4[[#This Row],[Precio Descontado]]-Tabla4[[#This Row],[Precio Base]])*Tabla4[[#This Row],[Cantidad]]</f>
        <v>#N/A</v>
      </c>
      <c r="O863" s="284" t="e">
        <f>++Tabla4[[#This Row],[Utilidad Total]]/Tabla4[[#This Row],[Total]]</f>
        <v>#N/A</v>
      </c>
      <c r="P863" s="282">
        <f>++Tabla4[[#This Row],[Precio Descontado]]*Tabla4[[#This Row],[Cantidad]]</f>
        <v>5887.1412241999997</v>
      </c>
      <c r="Q863" s="282" t="e">
        <f>(INDEX(Tabla6[#All],MATCH(Tabla4[[#This Row],[Producto]],Tabla6[[#All],[PRODUCTO]],0),MATCH(Tabla4[[#This Row],[Mes]],Tabla6[#Headers],0)))</f>
        <v>#N/A</v>
      </c>
      <c r="R863" s="282" t="e">
        <f>++Tabla4[[#This Row],[Precio Unitario Neto]]-Tabla4[[#This Row],[20.85%]]-Tabla4[[#This Row],[Costo]]</f>
        <v>#N/A</v>
      </c>
      <c r="S863" s="282" t="e">
        <f>++Tabla4[[#This Row],[U. Bruta Uni]]*Tabla4[[#This Row],[Cantidad]]</f>
        <v>#N/A</v>
      </c>
      <c r="T863" s="369" t="str">
        <f>VLOOKUP(Tabla4[[#This Row],[Producto]],Tabla6[#All],14,FALSE)</f>
        <v>Termico Solar</v>
      </c>
      <c r="U863" s="284" t="e">
        <f>(IF(Tabla4[[#This Row],[Familia]]="termico solar",Tabla4[[#This Row],[Utilidad Total]]*6%,Tabla4[[#This Row],[Utilidad Total]]*11.5%))/Tabla4[[#This Row],[Total]]</f>
        <v>#N/A</v>
      </c>
      <c r="V863" s="282" t="e">
        <f>+Tabla4[[#This Row],[Comisión Calculada]]*Tabla4[[#This Row],[Total]]</f>
        <v>#N/A</v>
      </c>
    </row>
    <row r="864" spans="1:22" hidden="1" x14ac:dyDescent="0.25">
      <c r="A864" s="100">
        <v>45716</v>
      </c>
      <c r="B864" t="str">
        <f t="shared" si="32"/>
        <v>February</v>
      </c>
      <c r="C864" s="46" t="s">
        <v>280</v>
      </c>
      <c r="F864" s="366" t="s">
        <v>1073</v>
      </c>
      <c r="G864" s="46" t="s">
        <v>209</v>
      </c>
      <c r="H864" s="46">
        <v>1</v>
      </c>
      <c r="I864" s="51">
        <v>347.48</v>
      </c>
      <c r="J864" s="281">
        <f>++Tabla4[[#This Row],[Precio Bruto]]*1.16</f>
        <v>403.07679999999999</v>
      </c>
      <c r="K864" s="281">
        <f>+Tabla4[[#This Row],[Precio Unitario Neto]]*Tabla4[[#Headers],[20.85%]]</f>
        <v>84.041512799999992</v>
      </c>
      <c r="L864" s="282">
        <f>++Tabla4[[#This Row],[Precio Unitario Neto]]-Tabla4[[#This Row],[20.85%]]</f>
        <v>319.03528719999997</v>
      </c>
      <c r="M864" s="282" t="e">
        <f>(INDEX(Tabla6[#All],MATCH(Tabla4[[#This Row],[Producto]],Tabla6[[#All],[PRODUCTO]],0),MATCH(Tabla4[[#This Row],[Mes]],Tabla6[#Headers],0)))*(1+Catalogos!$L$2)</f>
        <v>#N/A</v>
      </c>
      <c r="N864" s="283" t="e">
        <f>+(Tabla4[[#This Row],[Precio Descontado]]-Tabla4[[#This Row],[Precio Base]])*Tabla4[[#This Row],[Cantidad]]</f>
        <v>#N/A</v>
      </c>
      <c r="O864" s="284" t="e">
        <f>++Tabla4[[#This Row],[Utilidad Total]]/Tabla4[[#This Row],[Total]]</f>
        <v>#N/A</v>
      </c>
      <c r="P864" s="282">
        <f>++Tabla4[[#This Row],[Precio Descontado]]*Tabla4[[#This Row],[Cantidad]]</f>
        <v>319.03528719999997</v>
      </c>
      <c r="Q864" s="282" t="e">
        <f>(INDEX(Tabla6[#All],MATCH(Tabla4[[#This Row],[Producto]],Tabla6[[#All],[PRODUCTO]],0),MATCH(Tabla4[[#This Row],[Mes]],Tabla6[#Headers],0)))</f>
        <v>#N/A</v>
      </c>
      <c r="R864" s="282" t="e">
        <f>++Tabla4[[#This Row],[Precio Unitario Neto]]-Tabla4[[#This Row],[20.85%]]-Tabla4[[#This Row],[Costo]]</f>
        <v>#N/A</v>
      </c>
      <c r="S864" s="282" t="e">
        <f>++Tabla4[[#This Row],[U. Bruta Uni]]*Tabla4[[#This Row],[Cantidad]]</f>
        <v>#N/A</v>
      </c>
      <c r="T864" s="369" t="str">
        <f>VLOOKUP(Tabla4[[#This Row],[Producto]],Tabla6[#All],14,FALSE)</f>
        <v>Termico Solar</v>
      </c>
      <c r="U864" s="284" t="e">
        <f>(IF(Tabla4[[#This Row],[Familia]]="termico solar",Tabla4[[#This Row],[Utilidad Total]]*6%,Tabla4[[#This Row],[Utilidad Total]]*11.5%))/Tabla4[[#This Row],[Total]]</f>
        <v>#N/A</v>
      </c>
      <c r="V864" s="282" t="e">
        <f>+Tabla4[[#This Row],[Comisión Calculada]]*Tabla4[[#This Row],[Total]]</f>
        <v>#N/A</v>
      </c>
    </row>
    <row r="865" spans="1:22" hidden="1" x14ac:dyDescent="0.25">
      <c r="A865" s="100">
        <v>45716</v>
      </c>
      <c r="B865" t="str">
        <f t="shared" si="32"/>
        <v>February</v>
      </c>
      <c r="C865" s="46" t="s">
        <v>280</v>
      </c>
      <c r="F865" s="366" t="s">
        <v>1074</v>
      </c>
      <c r="G865" s="46" t="s">
        <v>566</v>
      </c>
      <c r="H865" s="46">
        <v>1</v>
      </c>
      <c r="I865" s="51">
        <v>2109.4499999999998</v>
      </c>
      <c r="J865" s="281">
        <f>++Tabla4[[#This Row],[Precio Bruto]]*1.16</f>
        <v>2446.9619999999995</v>
      </c>
      <c r="K865" s="281">
        <f>+Tabla4[[#This Row],[Precio Unitario Neto]]*Tabla4[[#Headers],[20.85%]]</f>
        <v>510.19157699999988</v>
      </c>
      <c r="L865" s="282">
        <f>++Tabla4[[#This Row],[Precio Unitario Neto]]-Tabla4[[#This Row],[20.85%]]</f>
        <v>1936.7704229999997</v>
      </c>
      <c r="M865" s="282" t="e">
        <f>(INDEX(Tabla6[#All],MATCH(Tabla4[[#This Row],[Producto]],Tabla6[[#All],[PRODUCTO]],0),MATCH(Tabla4[[#This Row],[Mes]],Tabla6[#Headers],0)))*(1+Catalogos!$L$2)</f>
        <v>#N/A</v>
      </c>
      <c r="N865" s="283" t="e">
        <f>+(Tabla4[[#This Row],[Precio Descontado]]-Tabla4[[#This Row],[Precio Base]])*Tabla4[[#This Row],[Cantidad]]</f>
        <v>#N/A</v>
      </c>
      <c r="O865" s="284" t="e">
        <f>++Tabla4[[#This Row],[Utilidad Total]]/Tabla4[[#This Row],[Total]]</f>
        <v>#N/A</v>
      </c>
      <c r="P865" s="282">
        <f>++Tabla4[[#This Row],[Precio Descontado]]*Tabla4[[#This Row],[Cantidad]]</f>
        <v>1936.7704229999997</v>
      </c>
      <c r="Q865" s="282" t="e">
        <f>(INDEX(Tabla6[#All],MATCH(Tabla4[[#This Row],[Producto]],Tabla6[[#All],[PRODUCTO]],0),MATCH(Tabla4[[#This Row],[Mes]],Tabla6[#Headers],0)))</f>
        <v>#N/A</v>
      </c>
      <c r="R865" s="282" t="e">
        <f>++Tabla4[[#This Row],[Precio Unitario Neto]]-Tabla4[[#This Row],[20.85%]]-Tabla4[[#This Row],[Costo]]</f>
        <v>#N/A</v>
      </c>
      <c r="S865" s="282" t="e">
        <f>++Tabla4[[#This Row],[U. Bruta Uni]]*Tabla4[[#This Row],[Cantidad]]</f>
        <v>#N/A</v>
      </c>
      <c r="T865" s="369" t="str">
        <f>VLOOKUP(Tabla4[[#This Row],[Producto]],Tabla6[#All],14,FALSE)</f>
        <v>Termico Solar</v>
      </c>
      <c r="U865" s="284" t="e">
        <f>(IF(Tabla4[[#This Row],[Familia]]="termico solar",Tabla4[[#This Row],[Utilidad Total]]*6%,Tabla4[[#This Row],[Utilidad Total]]*11.5%))/Tabla4[[#This Row],[Total]]</f>
        <v>#N/A</v>
      </c>
      <c r="V865" s="282" t="e">
        <f>+Tabla4[[#This Row],[Comisión Calculada]]*Tabla4[[#This Row],[Total]]</f>
        <v>#N/A</v>
      </c>
    </row>
    <row r="866" spans="1:22" hidden="1" x14ac:dyDescent="0.25">
      <c r="A866" s="100">
        <v>45716</v>
      </c>
      <c r="B866" t="str">
        <f t="shared" si="32"/>
        <v>February</v>
      </c>
      <c r="C866" s="46" t="s">
        <v>280</v>
      </c>
      <c r="F866" s="366" t="s">
        <v>1075</v>
      </c>
      <c r="G866" s="46" t="s">
        <v>83</v>
      </c>
      <c r="H866" s="46">
        <v>1</v>
      </c>
      <c r="I866" s="51">
        <v>8858.76</v>
      </c>
      <c r="J866" s="281">
        <f>++Tabla4[[#This Row],[Precio Bruto]]*1.16</f>
        <v>10276.161599999999</v>
      </c>
      <c r="K866" s="281">
        <f>+Tabla4[[#This Row],[Precio Unitario Neto]]*Tabla4[[#Headers],[20.85%]]</f>
        <v>2142.5796935999997</v>
      </c>
      <c r="L866" s="282">
        <f>++Tabla4[[#This Row],[Precio Unitario Neto]]-Tabla4[[#This Row],[20.85%]]</f>
        <v>8133.5819063999998</v>
      </c>
      <c r="M866" s="282" t="e">
        <f>(INDEX(Tabla6[#All],MATCH(Tabla4[[#This Row],[Producto]],Tabla6[[#All],[PRODUCTO]],0),MATCH(Tabla4[[#This Row],[Mes]],Tabla6[#Headers],0)))*(1+Catalogos!$L$2)</f>
        <v>#N/A</v>
      </c>
      <c r="N866" s="283" t="e">
        <f>+(Tabla4[[#This Row],[Precio Descontado]]-Tabla4[[#This Row],[Precio Base]])*Tabla4[[#This Row],[Cantidad]]</f>
        <v>#N/A</v>
      </c>
      <c r="O866" s="284" t="e">
        <f>++Tabla4[[#This Row],[Utilidad Total]]/Tabla4[[#This Row],[Total]]</f>
        <v>#N/A</v>
      </c>
      <c r="P866" s="282">
        <f>++Tabla4[[#This Row],[Precio Descontado]]*Tabla4[[#This Row],[Cantidad]]</f>
        <v>8133.5819063999998</v>
      </c>
      <c r="Q866" s="282" t="e">
        <f>(INDEX(Tabla6[#All],MATCH(Tabla4[[#This Row],[Producto]],Tabla6[[#All],[PRODUCTO]],0),MATCH(Tabla4[[#This Row],[Mes]],Tabla6[#Headers],0)))</f>
        <v>#N/A</v>
      </c>
      <c r="R866" s="282" t="e">
        <f>++Tabla4[[#This Row],[Precio Unitario Neto]]-Tabla4[[#This Row],[20.85%]]-Tabla4[[#This Row],[Costo]]</f>
        <v>#N/A</v>
      </c>
      <c r="S866" s="282" t="e">
        <f>++Tabla4[[#This Row],[U. Bruta Uni]]*Tabla4[[#This Row],[Cantidad]]</f>
        <v>#N/A</v>
      </c>
      <c r="T866" s="369" t="str">
        <f>VLOOKUP(Tabla4[[#This Row],[Producto]],Tabla6[#All],14,FALSE)</f>
        <v>Termico Solar</v>
      </c>
      <c r="U866" s="284" t="e">
        <f>(IF(Tabla4[[#This Row],[Familia]]="termico solar",Tabla4[[#This Row],[Utilidad Total]]*6%,Tabla4[[#This Row],[Utilidad Total]]*11.5%))/Tabla4[[#This Row],[Total]]</f>
        <v>#N/A</v>
      </c>
      <c r="V866" s="282" t="e">
        <f>+Tabla4[[#This Row],[Comisión Calculada]]*Tabla4[[#This Row],[Total]]</f>
        <v>#N/A</v>
      </c>
    </row>
    <row r="867" spans="1:22" hidden="1" x14ac:dyDescent="0.25">
      <c r="A867" s="100">
        <v>45716</v>
      </c>
      <c r="B867" t="str">
        <f t="shared" si="32"/>
        <v>February</v>
      </c>
      <c r="C867" s="46" t="s">
        <v>280</v>
      </c>
      <c r="F867" s="366" t="s">
        <v>1076</v>
      </c>
      <c r="G867" s="46" t="s">
        <v>83</v>
      </c>
      <c r="H867" s="46">
        <v>1</v>
      </c>
      <c r="I867" s="51">
        <v>8858.76</v>
      </c>
      <c r="J867" s="281">
        <f>++Tabla4[[#This Row],[Precio Bruto]]*1.16</f>
        <v>10276.161599999999</v>
      </c>
      <c r="K867" s="281">
        <f>+Tabla4[[#This Row],[Precio Unitario Neto]]*Tabla4[[#Headers],[20.85%]]</f>
        <v>2142.5796935999997</v>
      </c>
      <c r="L867" s="282">
        <f>++Tabla4[[#This Row],[Precio Unitario Neto]]-Tabla4[[#This Row],[20.85%]]</f>
        <v>8133.5819063999998</v>
      </c>
      <c r="M867" s="282" t="e">
        <f>(INDEX(Tabla6[#All],MATCH(Tabla4[[#This Row],[Producto]],Tabla6[[#All],[PRODUCTO]],0),MATCH(Tabla4[[#This Row],[Mes]],Tabla6[#Headers],0)))*(1+Catalogos!$L$2)</f>
        <v>#N/A</v>
      </c>
      <c r="N867" s="283" t="e">
        <f>+(Tabla4[[#This Row],[Precio Descontado]]-Tabla4[[#This Row],[Precio Base]])*Tabla4[[#This Row],[Cantidad]]</f>
        <v>#N/A</v>
      </c>
      <c r="O867" s="284" t="e">
        <f>++Tabla4[[#This Row],[Utilidad Total]]/Tabla4[[#This Row],[Total]]</f>
        <v>#N/A</v>
      </c>
      <c r="P867" s="282">
        <f>++Tabla4[[#This Row],[Precio Descontado]]*Tabla4[[#This Row],[Cantidad]]</f>
        <v>8133.5819063999998</v>
      </c>
      <c r="Q867" s="282" t="e">
        <f>(INDEX(Tabla6[#All],MATCH(Tabla4[[#This Row],[Producto]],Tabla6[[#All],[PRODUCTO]],0),MATCH(Tabla4[[#This Row],[Mes]],Tabla6[#Headers],0)))</f>
        <v>#N/A</v>
      </c>
      <c r="R867" s="282" t="e">
        <f>++Tabla4[[#This Row],[Precio Unitario Neto]]-Tabla4[[#This Row],[20.85%]]-Tabla4[[#This Row],[Costo]]</f>
        <v>#N/A</v>
      </c>
      <c r="S867" s="282" t="e">
        <f>++Tabla4[[#This Row],[U. Bruta Uni]]*Tabla4[[#This Row],[Cantidad]]</f>
        <v>#N/A</v>
      </c>
      <c r="T867" s="369" t="str">
        <f>VLOOKUP(Tabla4[[#This Row],[Producto]],Tabla6[#All],14,FALSE)</f>
        <v>Termico Solar</v>
      </c>
      <c r="U867" s="284" t="e">
        <f>(IF(Tabla4[[#This Row],[Familia]]="termico solar",Tabla4[[#This Row],[Utilidad Total]]*6%,Tabla4[[#This Row],[Utilidad Total]]*11.5%))/Tabla4[[#This Row],[Total]]</f>
        <v>#N/A</v>
      </c>
      <c r="V867" s="282" t="e">
        <f>+Tabla4[[#This Row],[Comisión Calculada]]*Tabla4[[#This Row],[Total]]</f>
        <v>#N/A</v>
      </c>
    </row>
    <row r="868" spans="1:22" hidden="1" x14ac:dyDescent="0.25">
      <c r="A868" s="100">
        <v>45716</v>
      </c>
      <c r="B868" t="str">
        <f t="shared" si="32"/>
        <v>February</v>
      </c>
      <c r="C868" s="46" t="s">
        <v>280</v>
      </c>
      <c r="F868" s="366" t="s">
        <v>1076</v>
      </c>
      <c r="G868" s="46" t="s">
        <v>566</v>
      </c>
      <c r="H868" s="46">
        <v>1</v>
      </c>
      <c r="I868" s="51">
        <v>2109.4499999999998</v>
      </c>
      <c r="J868" s="281">
        <f>++Tabla4[[#This Row],[Precio Bruto]]*1.16</f>
        <v>2446.9619999999995</v>
      </c>
      <c r="K868" s="281">
        <f>+Tabla4[[#This Row],[Precio Unitario Neto]]*Tabla4[[#Headers],[20.85%]]</f>
        <v>510.19157699999988</v>
      </c>
      <c r="L868" s="282">
        <f>++Tabla4[[#This Row],[Precio Unitario Neto]]-Tabla4[[#This Row],[20.85%]]</f>
        <v>1936.7704229999997</v>
      </c>
      <c r="M868" s="282" t="e">
        <f>(INDEX(Tabla6[#All],MATCH(Tabla4[[#This Row],[Producto]],Tabla6[[#All],[PRODUCTO]],0),MATCH(Tabla4[[#This Row],[Mes]],Tabla6[#Headers],0)))*(1+Catalogos!$L$2)</f>
        <v>#N/A</v>
      </c>
      <c r="N868" s="283" t="e">
        <f>+(Tabla4[[#This Row],[Precio Descontado]]-Tabla4[[#This Row],[Precio Base]])*Tabla4[[#This Row],[Cantidad]]</f>
        <v>#N/A</v>
      </c>
      <c r="O868" s="284" t="e">
        <f>++Tabla4[[#This Row],[Utilidad Total]]/Tabla4[[#This Row],[Total]]</f>
        <v>#N/A</v>
      </c>
      <c r="P868" s="282">
        <f>++Tabla4[[#This Row],[Precio Descontado]]*Tabla4[[#This Row],[Cantidad]]</f>
        <v>1936.7704229999997</v>
      </c>
      <c r="Q868" s="282" t="e">
        <f>(INDEX(Tabla6[#All],MATCH(Tabla4[[#This Row],[Producto]],Tabla6[[#All],[PRODUCTO]],0),MATCH(Tabla4[[#This Row],[Mes]],Tabla6[#Headers],0)))</f>
        <v>#N/A</v>
      </c>
      <c r="R868" s="282" t="e">
        <f>++Tabla4[[#This Row],[Precio Unitario Neto]]-Tabla4[[#This Row],[20.85%]]-Tabla4[[#This Row],[Costo]]</f>
        <v>#N/A</v>
      </c>
      <c r="S868" s="282" t="e">
        <f>++Tabla4[[#This Row],[U. Bruta Uni]]*Tabla4[[#This Row],[Cantidad]]</f>
        <v>#N/A</v>
      </c>
      <c r="T868" s="369" t="str">
        <f>VLOOKUP(Tabla4[[#This Row],[Producto]],Tabla6[#All],14,FALSE)</f>
        <v>Termico Solar</v>
      </c>
      <c r="U868" s="284" t="e">
        <f>(IF(Tabla4[[#This Row],[Familia]]="termico solar",Tabla4[[#This Row],[Utilidad Total]]*6%,Tabla4[[#This Row],[Utilidad Total]]*11.5%))/Tabla4[[#This Row],[Total]]</f>
        <v>#N/A</v>
      </c>
      <c r="V868" s="282" t="e">
        <f>+Tabla4[[#This Row],[Comisión Calculada]]*Tabla4[[#This Row],[Total]]</f>
        <v>#N/A</v>
      </c>
    </row>
    <row r="869" spans="1:22" hidden="1" x14ac:dyDescent="0.25">
      <c r="A869" s="100">
        <v>45716</v>
      </c>
      <c r="B869" t="str">
        <f t="shared" si="32"/>
        <v>February</v>
      </c>
      <c r="C869" s="46" t="s">
        <v>280</v>
      </c>
      <c r="F869" s="366" t="s">
        <v>1076</v>
      </c>
      <c r="G869" s="46" t="s">
        <v>16</v>
      </c>
      <c r="H869" s="46">
        <v>2</v>
      </c>
      <c r="I869" s="51">
        <v>4103.8500000000004</v>
      </c>
      <c r="J869" s="281">
        <f>++Tabla4[[#This Row],[Precio Bruto]]*1.16</f>
        <v>4760.4660000000003</v>
      </c>
      <c r="K869" s="281">
        <f>+Tabla4[[#This Row],[Precio Unitario Neto]]*Tabla4[[#Headers],[20.85%]]</f>
        <v>992.55716100000006</v>
      </c>
      <c r="L869" s="282">
        <f>++Tabla4[[#This Row],[Precio Unitario Neto]]-Tabla4[[#This Row],[20.85%]]</f>
        <v>3767.9088390000002</v>
      </c>
      <c r="M869" s="282" t="e">
        <f>(INDEX(Tabla6[#All],MATCH(Tabla4[[#This Row],[Producto]],Tabla6[[#All],[PRODUCTO]],0),MATCH(Tabla4[[#This Row],[Mes]],Tabla6[#Headers],0)))*(1+Catalogos!$L$2)</f>
        <v>#N/A</v>
      </c>
      <c r="N869" s="283" t="e">
        <f>+(Tabla4[[#This Row],[Precio Descontado]]-Tabla4[[#This Row],[Precio Base]])*Tabla4[[#This Row],[Cantidad]]</f>
        <v>#N/A</v>
      </c>
      <c r="O869" s="284" t="e">
        <f>++Tabla4[[#This Row],[Utilidad Total]]/Tabla4[[#This Row],[Total]]</f>
        <v>#N/A</v>
      </c>
      <c r="P869" s="282">
        <f>++Tabla4[[#This Row],[Precio Descontado]]*Tabla4[[#This Row],[Cantidad]]</f>
        <v>7535.8176780000003</v>
      </c>
      <c r="Q869" s="282" t="e">
        <f>(INDEX(Tabla6[#All],MATCH(Tabla4[[#This Row],[Producto]],Tabla6[[#All],[PRODUCTO]],0),MATCH(Tabla4[[#This Row],[Mes]],Tabla6[#Headers],0)))</f>
        <v>#N/A</v>
      </c>
      <c r="R869" s="282" t="e">
        <f>++Tabla4[[#This Row],[Precio Unitario Neto]]-Tabla4[[#This Row],[20.85%]]-Tabla4[[#This Row],[Costo]]</f>
        <v>#N/A</v>
      </c>
      <c r="S869" s="282" t="e">
        <f>++Tabla4[[#This Row],[U. Bruta Uni]]*Tabla4[[#This Row],[Cantidad]]</f>
        <v>#N/A</v>
      </c>
      <c r="T869" s="369" t="str">
        <f>VLOOKUP(Tabla4[[#This Row],[Producto]],Tabla6[#All],14,FALSE)</f>
        <v>Termico Solar</v>
      </c>
      <c r="U869" s="284" t="e">
        <f>(IF(Tabla4[[#This Row],[Familia]]="termico solar",Tabla4[[#This Row],[Utilidad Total]]*6%,Tabla4[[#This Row],[Utilidad Total]]*11.5%))/Tabla4[[#This Row],[Total]]</f>
        <v>#N/A</v>
      </c>
      <c r="V869" s="282" t="e">
        <f>+Tabla4[[#This Row],[Comisión Calculada]]*Tabla4[[#This Row],[Total]]</f>
        <v>#N/A</v>
      </c>
    </row>
    <row r="870" spans="1:22" hidden="1" x14ac:dyDescent="0.25">
      <c r="A870" s="100">
        <v>45716</v>
      </c>
      <c r="B870" t="str">
        <f t="shared" ref="B870:B872" si="33">TEXT(A870, "mmmm")</f>
        <v>February</v>
      </c>
      <c r="C870" s="46" t="s">
        <v>280</v>
      </c>
      <c r="F870" s="366" t="s">
        <v>1077</v>
      </c>
      <c r="G870" s="46" t="s">
        <v>83</v>
      </c>
      <c r="H870" s="46">
        <v>2</v>
      </c>
      <c r="I870" s="51">
        <v>8858.76</v>
      </c>
      <c r="J870" s="281">
        <f>++Tabla4[[#This Row],[Precio Bruto]]*1.16</f>
        <v>10276.161599999999</v>
      </c>
      <c r="K870" s="281">
        <f>+Tabla4[[#This Row],[Precio Unitario Neto]]*Tabla4[[#Headers],[20.85%]]</f>
        <v>2142.5796935999997</v>
      </c>
      <c r="L870" s="282">
        <f>++Tabla4[[#This Row],[Precio Unitario Neto]]-Tabla4[[#This Row],[20.85%]]</f>
        <v>8133.5819063999998</v>
      </c>
      <c r="M870" s="282" t="e">
        <f>(INDEX(Tabla6[#All],MATCH(Tabla4[[#This Row],[Producto]],Tabla6[[#All],[PRODUCTO]],0),MATCH(Tabla4[[#This Row],[Mes]],Tabla6[#Headers],0)))*(1+Catalogos!$L$2)</f>
        <v>#N/A</v>
      </c>
      <c r="N870" s="283" t="e">
        <f>+(Tabla4[[#This Row],[Precio Descontado]]-Tabla4[[#This Row],[Precio Base]])*Tabla4[[#This Row],[Cantidad]]</f>
        <v>#N/A</v>
      </c>
      <c r="O870" s="284" t="e">
        <f>++Tabla4[[#This Row],[Utilidad Total]]/Tabla4[[#This Row],[Total]]</f>
        <v>#N/A</v>
      </c>
      <c r="P870" s="282">
        <f>++Tabla4[[#This Row],[Precio Descontado]]*Tabla4[[#This Row],[Cantidad]]</f>
        <v>16267.1638128</v>
      </c>
      <c r="Q870" s="282" t="e">
        <f>(INDEX(Tabla6[#All],MATCH(Tabla4[[#This Row],[Producto]],Tabla6[[#All],[PRODUCTO]],0),MATCH(Tabla4[[#This Row],[Mes]],Tabla6[#Headers],0)))</f>
        <v>#N/A</v>
      </c>
      <c r="R870" s="282" t="e">
        <f>++Tabla4[[#This Row],[Precio Unitario Neto]]-Tabla4[[#This Row],[20.85%]]-Tabla4[[#This Row],[Costo]]</f>
        <v>#N/A</v>
      </c>
      <c r="S870" s="282" t="e">
        <f>++Tabla4[[#This Row],[U. Bruta Uni]]*Tabla4[[#This Row],[Cantidad]]</f>
        <v>#N/A</v>
      </c>
      <c r="T870" s="369" t="str">
        <f>VLOOKUP(Tabla4[[#This Row],[Producto]],Tabla6[#All],14,FALSE)</f>
        <v>Termico Solar</v>
      </c>
      <c r="U870" s="284" t="e">
        <f>(IF(Tabla4[[#This Row],[Familia]]="termico solar",Tabla4[[#This Row],[Utilidad Total]]*6%,Tabla4[[#This Row],[Utilidad Total]]*11.5%))/Tabla4[[#This Row],[Total]]</f>
        <v>#N/A</v>
      </c>
      <c r="V870" s="282" t="e">
        <f>+Tabla4[[#This Row],[Comisión Calculada]]*Tabla4[[#This Row],[Total]]</f>
        <v>#N/A</v>
      </c>
    </row>
    <row r="871" spans="1:22" hidden="1" x14ac:dyDescent="0.25">
      <c r="A871" s="100">
        <v>45716</v>
      </c>
      <c r="B871" t="str">
        <f t="shared" si="33"/>
        <v>February</v>
      </c>
      <c r="C871" s="46" t="s">
        <v>280</v>
      </c>
      <c r="F871" s="366" t="s">
        <v>1077</v>
      </c>
      <c r="G871" s="46" t="s">
        <v>18</v>
      </c>
      <c r="H871" s="46">
        <v>2</v>
      </c>
      <c r="I871" s="51">
        <v>5367.65</v>
      </c>
      <c r="J871" s="281">
        <f>++Tabla4[[#This Row],[Precio Bruto]]*1.16</f>
        <v>6226.4739999999993</v>
      </c>
      <c r="K871" s="281">
        <f>+Tabla4[[#This Row],[Precio Unitario Neto]]*Tabla4[[#Headers],[20.85%]]</f>
        <v>1298.2198289999999</v>
      </c>
      <c r="L871" s="282">
        <f>++Tabla4[[#This Row],[Precio Unitario Neto]]-Tabla4[[#This Row],[20.85%]]</f>
        <v>4928.2541709999996</v>
      </c>
      <c r="M871" s="282" t="e">
        <f>(INDEX(Tabla6[#All],MATCH(Tabla4[[#This Row],[Producto]],Tabla6[[#All],[PRODUCTO]],0),MATCH(Tabla4[[#This Row],[Mes]],Tabla6[#Headers],0)))*(1+Catalogos!$L$2)</f>
        <v>#N/A</v>
      </c>
      <c r="N871" s="283" t="e">
        <f>+(Tabla4[[#This Row],[Precio Descontado]]-Tabla4[[#This Row],[Precio Base]])*Tabla4[[#This Row],[Cantidad]]</f>
        <v>#N/A</v>
      </c>
      <c r="O871" s="284" t="e">
        <f>++Tabla4[[#This Row],[Utilidad Total]]/Tabla4[[#This Row],[Total]]</f>
        <v>#N/A</v>
      </c>
      <c r="P871" s="282">
        <f>++Tabla4[[#This Row],[Precio Descontado]]*Tabla4[[#This Row],[Cantidad]]</f>
        <v>9856.5083419999992</v>
      </c>
      <c r="Q871" s="282" t="e">
        <f>(INDEX(Tabla6[#All],MATCH(Tabla4[[#This Row],[Producto]],Tabla6[[#All],[PRODUCTO]],0),MATCH(Tabla4[[#This Row],[Mes]],Tabla6[#Headers],0)))</f>
        <v>#N/A</v>
      </c>
      <c r="R871" s="282" t="e">
        <f>++Tabla4[[#This Row],[Precio Unitario Neto]]-Tabla4[[#This Row],[20.85%]]-Tabla4[[#This Row],[Costo]]</f>
        <v>#N/A</v>
      </c>
      <c r="S871" s="282" t="e">
        <f>++Tabla4[[#This Row],[U. Bruta Uni]]*Tabla4[[#This Row],[Cantidad]]</f>
        <v>#N/A</v>
      </c>
      <c r="T871" s="369" t="str">
        <f>VLOOKUP(Tabla4[[#This Row],[Producto]],Tabla6[#All],14,FALSE)</f>
        <v>Termico Solar</v>
      </c>
      <c r="U871" s="284" t="e">
        <f>(IF(Tabla4[[#This Row],[Familia]]="termico solar",Tabla4[[#This Row],[Utilidad Total]]*6%,Tabla4[[#This Row],[Utilidad Total]]*11.5%))/Tabla4[[#This Row],[Total]]</f>
        <v>#N/A</v>
      </c>
      <c r="V871" s="282" t="e">
        <f>+Tabla4[[#This Row],[Comisión Calculada]]*Tabla4[[#This Row],[Total]]</f>
        <v>#N/A</v>
      </c>
    </row>
    <row r="872" spans="1:22" hidden="1" x14ac:dyDescent="0.25">
      <c r="A872" s="100">
        <v>45716</v>
      </c>
      <c r="B872" t="str">
        <f t="shared" si="33"/>
        <v>February</v>
      </c>
      <c r="C872" s="46" t="s">
        <v>280</v>
      </c>
      <c r="F872" s="366" t="s">
        <v>1077</v>
      </c>
      <c r="G872" s="46" t="s">
        <v>16</v>
      </c>
      <c r="H872" s="46">
        <v>2</v>
      </c>
      <c r="I872" s="51">
        <v>4103.8500000000004</v>
      </c>
      <c r="J872" s="281">
        <f>++Tabla4[[#This Row],[Precio Bruto]]*1.16</f>
        <v>4760.4660000000003</v>
      </c>
      <c r="K872" s="281">
        <f>+Tabla4[[#This Row],[Precio Unitario Neto]]*Tabla4[[#Headers],[20.85%]]</f>
        <v>992.55716100000006</v>
      </c>
      <c r="L872" s="282">
        <f>++Tabla4[[#This Row],[Precio Unitario Neto]]-Tabla4[[#This Row],[20.85%]]</f>
        <v>3767.9088390000002</v>
      </c>
      <c r="M872" s="282" t="e">
        <f>(INDEX(Tabla6[#All],MATCH(Tabla4[[#This Row],[Producto]],Tabla6[[#All],[PRODUCTO]],0),MATCH(Tabla4[[#This Row],[Mes]],Tabla6[#Headers],0)))*(1+Catalogos!$L$2)</f>
        <v>#N/A</v>
      </c>
      <c r="N872" s="283" t="e">
        <f>+(Tabla4[[#This Row],[Precio Descontado]]-Tabla4[[#This Row],[Precio Base]])*Tabla4[[#This Row],[Cantidad]]</f>
        <v>#N/A</v>
      </c>
      <c r="O872" s="284" t="e">
        <f>++Tabla4[[#This Row],[Utilidad Total]]/Tabla4[[#This Row],[Total]]</f>
        <v>#N/A</v>
      </c>
      <c r="P872" s="282">
        <f>++Tabla4[[#This Row],[Precio Descontado]]*Tabla4[[#This Row],[Cantidad]]</f>
        <v>7535.8176780000003</v>
      </c>
      <c r="Q872" s="282" t="e">
        <f>(INDEX(Tabla6[#All],MATCH(Tabla4[[#This Row],[Producto]],Tabla6[[#All],[PRODUCTO]],0),MATCH(Tabla4[[#This Row],[Mes]],Tabla6[#Headers],0)))</f>
        <v>#N/A</v>
      </c>
      <c r="R872" s="282" t="e">
        <f>++Tabla4[[#This Row],[Precio Unitario Neto]]-Tabla4[[#This Row],[20.85%]]-Tabla4[[#This Row],[Costo]]</f>
        <v>#N/A</v>
      </c>
      <c r="S872" s="282" t="e">
        <f>++Tabla4[[#This Row],[U. Bruta Uni]]*Tabla4[[#This Row],[Cantidad]]</f>
        <v>#N/A</v>
      </c>
      <c r="T872" s="369" t="str">
        <f>VLOOKUP(Tabla4[[#This Row],[Producto]],Tabla6[#All],14,FALSE)</f>
        <v>Termico Solar</v>
      </c>
      <c r="U872" s="284" t="e">
        <f>(IF(Tabla4[[#This Row],[Familia]]="termico solar",Tabla4[[#This Row],[Utilidad Total]]*6%,Tabla4[[#This Row],[Utilidad Total]]*11.5%))/Tabla4[[#This Row],[Total]]</f>
        <v>#N/A</v>
      </c>
      <c r="V872" s="282" t="e">
        <f>+Tabla4[[#This Row],[Comisión Calculada]]*Tabla4[[#This Row],[Total]]</f>
        <v>#N/A</v>
      </c>
    </row>
    <row r="873" spans="1:22" hidden="1" x14ac:dyDescent="0.25">
      <c r="A873" s="100">
        <v>45716</v>
      </c>
      <c r="B873" t="str">
        <f t="shared" ref="B873:B879" si="34">TEXT(A873, "mmmm")</f>
        <v>February</v>
      </c>
      <c r="C873" s="46" t="s">
        <v>280</v>
      </c>
      <c r="F873" s="366" t="s">
        <v>1078</v>
      </c>
      <c r="G873" s="46" t="s">
        <v>18</v>
      </c>
      <c r="H873" s="46">
        <v>2</v>
      </c>
      <c r="I873" s="51">
        <v>5367.65</v>
      </c>
      <c r="J873" s="281">
        <f>++Tabla4[[#This Row],[Precio Bruto]]*1.16</f>
        <v>6226.4739999999993</v>
      </c>
      <c r="K873" s="281">
        <f>+Tabla4[[#This Row],[Precio Unitario Neto]]*Tabla4[[#Headers],[20.85%]]</f>
        <v>1298.2198289999999</v>
      </c>
      <c r="L873" s="282">
        <f>++Tabla4[[#This Row],[Precio Unitario Neto]]-Tabla4[[#This Row],[20.85%]]</f>
        <v>4928.2541709999996</v>
      </c>
      <c r="M873" s="282" t="e">
        <f>(INDEX(Tabla6[#All],MATCH(Tabla4[[#This Row],[Producto]],Tabla6[[#All],[PRODUCTO]],0),MATCH(Tabla4[[#This Row],[Mes]],Tabla6[#Headers],0)))*(1+Catalogos!$L$2)</f>
        <v>#N/A</v>
      </c>
      <c r="N873" s="283" t="e">
        <f>+(Tabla4[[#This Row],[Precio Descontado]]-Tabla4[[#This Row],[Precio Base]])*Tabla4[[#This Row],[Cantidad]]</f>
        <v>#N/A</v>
      </c>
      <c r="O873" s="284" t="e">
        <f>++Tabla4[[#This Row],[Utilidad Total]]/Tabla4[[#This Row],[Total]]</f>
        <v>#N/A</v>
      </c>
      <c r="P873" s="282">
        <f>++Tabla4[[#This Row],[Precio Descontado]]*Tabla4[[#This Row],[Cantidad]]</f>
        <v>9856.5083419999992</v>
      </c>
      <c r="Q873" s="282" t="e">
        <f>(INDEX(Tabla6[#All],MATCH(Tabla4[[#This Row],[Producto]],Tabla6[[#All],[PRODUCTO]],0),MATCH(Tabla4[[#This Row],[Mes]],Tabla6[#Headers],0)))</f>
        <v>#N/A</v>
      </c>
      <c r="R873" s="282" t="e">
        <f>++Tabla4[[#This Row],[Precio Unitario Neto]]-Tabla4[[#This Row],[20.85%]]-Tabla4[[#This Row],[Costo]]</f>
        <v>#N/A</v>
      </c>
      <c r="S873" s="282" t="e">
        <f>++Tabla4[[#This Row],[U. Bruta Uni]]*Tabla4[[#This Row],[Cantidad]]</f>
        <v>#N/A</v>
      </c>
      <c r="T873" s="369" t="str">
        <f>VLOOKUP(Tabla4[[#This Row],[Producto]],Tabla6[#All],14,FALSE)</f>
        <v>Termico Solar</v>
      </c>
      <c r="U873" s="284" t="e">
        <f>(IF(Tabla4[[#This Row],[Familia]]="termico solar",Tabla4[[#This Row],[Utilidad Total]]*6%,Tabla4[[#This Row],[Utilidad Total]]*11.5%))/Tabla4[[#This Row],[Total]]</f>
        <v>#N/A</v>
      </c>
      <c r="V873" s="282" t="e">
        <f>+Tabla4[[#This Row],[Comisión Calculada]]*Tabla4[[#This Row],[Total]]</f>
        <v>#N/A</v>
      </c>
    </row>
    <row r="874" spans="1:22" hidden="1" x14ac:dyDescent="0.25">
      <c r="A874" s="100">
        <v>45716</v>
      </c>
      <c r="B874" t="str">
        <f t="shared" si="34"/>
        <v>February</v>
      </c>
      <c r="C874" s="46" t="s">
        <v>280</v>
      </c>
      <c r="F874" s="366" t="s">
        <v>1079</v>
      </c>
      <c r="G874" s="46" t="s">
        <v>17</v>
      </c>
      <c r="H874" s="46">
        <v>2</v>
      </c>
      <c r="I874" s="51">
        <v>4622.28</v>
      </c>
      <c r="J874" s="281">
        <f>++Tabla4[[#This Row],[Precio Bruto]]*1.16</f>
        <v>5361.8447999999989</v>
      </c>
      <c r="K874" s="281">
        <f>+Tabla4[[#This Row],[Precio Unitario Neto]]*Tabla4[[#Headers],[20.85%]]</f>
        <v>1117.9446407999997</v>
      </c>
      <c r="L874" s="282">
        <f>++Tabla4[[#This Row],[Precio Unitario Neto]]-Tabla4[[#This Row],[20.85%]]</f>
        <v>4243.9001591999995</v>
      </c>
      <c r="M874" s="282" t="e">
        <f>(INDEX(Tabla6[#All],MATCH(Tabla4[[#This Row],[Producto]],Tabla6[[#All],[PRODUCTO]],0),MATCH(Tabla4[[#This Row],[Mes]],Tabla6[#Headers],0)))*(1+Catalogos!$L$2)</f>
        <v>#N/A</v>
      </c>
      <c r="N874" s="283" t="e">
        <f>+(Tabla4[[#This Row],[Precio Descontado]]-Tabla4[[#This Row],[Precio Base]])*Tabla4[[#This Row],[Cantidad]]</f>
        <v>#N/A</v>
      </c>
      <c r="O874" s="284" t="e">
        <f>++Tabla4[[#This Row],[Utilidad Total]]/Tabla4[[#This Row],[Total]]</f>
        <v>#N/A</v>
      </c>
      <c r="P874" s="282">
        <f>++Tabla4[[#This Row],[Precio Descontado]]*Tabla4[[#This Row],[Cantidad]]</f>
        <v>8487.800318399999</v>
      </c>
      <c r="Q874" s="282" t="e">
        <f>(INDEX(Tabla6[#All],MATCH(Tabla4[[#This Row],[Producto]],Tabla6[[#All],[PRODUCTO]],0),MATCH(Tabla4[[#This Row],[Mes]],Tabla6[#Headers],0)))</f>
        <v>#N/A</v>
      </c>
      <c r="R874" s="282" t="e">
        <f>++Tabla4[[#This Row],[Precio Unitario Neto]]-Tabla4[[#This Row],[20.85%]]-Tabla4[[#This Row],[Costo]]</f>
        <v>#N/A</v>
      </c>
      <c r="S874" s="282" t="e">
        <f>++Tabla4[[#This Row],[U. Bruta Uni]]*Tabla4[[#This Row],[Cantidad]]</f>
        <v>#N/A</v>
      </c>
      <c r="T874" s="369" t="str">
        <f>VLOOKUP(Tabla4[[#This Row],[Producto]],Tabla6[#All],14,FALSE)</f>
        <v>Termico Solar</v>
      </c>
      <c r="U874" s="284" t="e">
        <f>(IF(Tabla4[[#This Row],[Familia]]="termico solar",Tabla4[[#This Row],[Utilidad Total]]*6%,Tabla4[[#This Row],[Utilidad Total]]*11.5%))/Tabla4[[#This Row],[Total]]</f>
        <v>#N/A</v>
      </c>
      <c r="V874" s="282" t="e">
        <f>+Tabla4[[#This Row],[Comisión Calculada]]*Tabla4[[#This Row],[Total]]</f>
        <v>#N/A</v>
      </c>
    </row>
    <row r="875" spans="1:22" hidden="1" x14ac:dyDescent="0.25">
      <c r="A875" s="100">
        <v>45716</v>
      </c>
      <c r="B875" t="str">
        <f t="shared" si="34"/>
        <v>February</v>
      </c>
      <c r="C875" s="46" t="s">
        <v>280</v>
      </c>
      <c r="F875" s="366" t="s">
        <v>1080</v>
      </c>
      <c r="G875" s="46" t="s">
        <v>17</v>
      </c>
      <c r="H875" s="46">
        <v>1</v>
      </c>
      <c r="I875" s="51">
        <v>4622.28</v>
      </c>
      <c r="J875" s="281">
        <f>++Tabla4[[#This Row],[Precio Bruto]]*1.16</f>
        <v>5361.8447999999989</v>
      </c>
      <c r="K875" s="281">
        <f>+Tabla4[[#This Row],[Precio Unitario Neto]]*Tabla4[[#Headers],[20.85%]]</f>
        <v>1117.9446407999997</v>
      </c>
      <c r="L875" s="282">
        <f>++Tabla4[[#This Row],[Precio Unitario Neto]]-Tabla4[[#This Row],[20.85%]]</f>
        <v>4243.9001591999995</v>
      </c>
      <c r="M875" s="282" t="e">
        <f>(INDEX(Tabla6[#All],MATCH(Tabla4[[#This Row],[Producto]],Tabla6[[#All],[PRODUCTO]],0),MATCH(Tabla4[[#This Row],[Mes]],Tabla6[#Headers],0)))*(1+Catalogos!$L$2)</f>
        <v>#N/A</v>
      </c>
      <c r="N875" s="283" t="e">
        <f>+(Tabla4[[#This Row],[Precio Descontado]]-Tabla4[[#This Row],[Precio Base]])*Tabla4[[#This Row],[Cantidad]]</f>
        <v>#N/A</v>
      </c>
      <c r="O875" s="284" t="e">
        <f>++Tabla4[[#This Row],[Utilidad Total]]/Tabla4[[#This Row],[Total]]</f>
        <v>#N/A</v>
      </c>
      <c r="P875" s="282">
        <f>++Tabla4[[#This Row],[Precio Descontado]]*Tabla4[[#This Row],[Cantidad]]</f>
        <v>4243.9001591999995</v>
      </c>
      <c r="Q875" s="282" t="e">
        <f>(INDEX(Tabla6[#All],MATCH(Tabla4[[#This Row],[Producto]],Tabla6[[#All],[PRODUCTO]],0),MATCH(Tabla4[[#This Row],[Mes]],Tabla6[#Headers],0)))</f>
        <v>#N/A</v>
      </c>
      <c r="R875" s="282" t="e">
        <f>++Tabla4[[#This Row],[Precio Unitario Neto]]-Tabla4[[#This Row],[20.85%]]-Tabla4[[#This Row],[Costo]]</f>
        <v>#N/A</v>
      </c>
      <c r="S875" s="282" t="e">
        <f>++Tabla4[[#This Row],[U. Bruta Uni]]*Tabla4[[#This Row],[Cantidad]]</f>
        <v>#N/A</v>
      </c>
      <c r="T875" s="369" t="str">
        <f>VLOOKUP(Tabla4[[#This Row],[Producto]],Tabla6[#All],14,FALSE)</f>
        <v>Termico Solar</v>
      </c>
      <c r="U875" s="284" t="e">
        <f>(IF(Tabla4[[#This Row],[Familia]]="termico solar",Tabla4[[#This Row],[Utilidad Total]]*6%,Tabla4[[#This Row],[Utilidad Total]]*11.5%))/Tabla4[[#This Row],[Total]]</f>
        <v>#N/A</v>
      </c>
      <c r="V875" s="282" t="e">
        <f>+Tabla4[[#This Row],[Comisión Calculada]]*Tabla4[[#This Row],[Total]]</f>
        <v>#N/A</v>
      </c>
    </row>
    <row r="876" spans="1:22" hidden="1" x14ac:dyDescent="0.25">
      <c r="A876" s="100">
        <v>45716</v>
      </c>
      <c r="B876" t="str">
        <f t="shared" si="34"/>
        <v>February</v>
      </c>
      <c r="C876" s="46" t="s">
        <v>280</v>
      </c>
      <c r="F876" s="366" t="s">
        <v>1081</v>
      </c>
      <c r="G876" s="46" t="s">
        <v>566</v>
      </c>
      <c r="H876" s="46">
        <v>1</v>
      </c>
      <c r="I876" s="51">
        <v>2109.4499999999998</v>
      </c>
      <c r="J876" s="281">
        <f>++Tabla4[[#This Row],[Precio Bruto]]*1.16</f>
        <v>2446.9619999999995</v>
      </c>
      <c r="K876" s="281">
        <f>+Tabla4[[#This Row],[Precio Unitario Neto]]*Tabla4[[#Headers],[20.85%]]</f>
        <v>510.19157699999988</v>
      </c>
      <c r="L876" s="282">
        <f>++Tabla4[[#This Row],[Precio Unitario Neto]]-Tabla4[[#This Row],[20.85%]]</f>
        <v>1936.7704229999997</v>
      </c>
      <c r="M876" s="282" t="e">
        <f>(INDEX(Tabla6[#All],MATCH(Tabla4[[#This Row],[Producto]],Tabla6[[#All],[PRODUCTO]],0),MATCH(Tabla4[[#This Row],[Mes]],Tabla6[#Headers],0)))*(1+Catalogos!$L$2)</f>
        <v>#N/A</v>
      </c>
      <c r="N876" s="283" t="e">
        <f>+(Tabla4[[#This Row],[Precio Descontado]]-Tabla4[[#This Row],[Precio Base]])*Tabla4[[#This Row],[Cantidad]]</f>
        <v>#N/A</v>
      </c>
      <c r="O876" s="284" t="e">
        <f>++Tabla4[[#This Row],[Utilidad Total]]/Tabla4[[#This Row],[Total]]</f>
        <v>#N/A</v>
      </c>
      <c r="P876" s="282">
        <f>++Tabla4[[#This Row],[Precio Descontado]]*Tabla4[[#This Row],[Cantidad]]</f>
        <v>1936.7704229999997</v>
      </c>
      <c r="Q876" s="282" t="e">
        <f>(INDEX(Tabla6[#All],MATCH(Tabla4[[#This Row],[Producto]],Tabla6[[#All],[PRODUCTO]],0),MATCH(Tabla4[[#This Row],[Mes]],Tabla6[#Headers],0)))</f>
        <v>#N/A</v>
      </c>
      <c r="R876" s="282" t="e">
        <f>++Tabla4[[#This Row],[Precio Unitario Neto]]-Tabla4[[#This Row],[20.85%]]-Tabla4[[#This Row],[Costo]]</f>
        <v>#N/A</v>
      </c>
      <c r="S876" s="282" t="e">
        <f>++Tabla4[[#This Row],[U. Bruta Uni]]*Tabla4[[#This Row],[Cantidad]]</f>
        <v>#N/A</v>
      </c>
      <c r="T876" s="369" t="str">
        <f>VLOOKUP(Tabla4[[#This Row],[Producto]],Tabla6[#All],14,FALSE)</f>
        <v>Termico Solar</v>
      </c>
      <c r="U876" s="284" t="e">
        <f>(IF(Tabla4[[#This Row],[Familia]]="termico solar",Tabla4[[#This Row],[Utilidad Total]]*6%,Tabla4[[#This Row],[Utilidad Total]]*11.5%))/Tabla4[[#This Row],[Total]]</f>
        <v>#N/A</v>
      </c>
      <c r="V876" s="282" t="e">
        <f>+Tabla4[[#This Row],[Comisión Calculada]]*Tabla4[[#This Row],[Total]]</f>
        <v>#N/A</v>
      </c>
    </row>
    <row r="877" spans="1:22" hidden="1" x14ac:dyDescent="0.25">
      <c r="A877" s="100">
        <v>45716</v>
      </c>
      <c r="B877" t="str">
        <f t="shared" si="34"/>
        <v>February</v>
      </c>
      <c r="C877" s="46" t="s">
        <v>280</v>
      </c>
      <c r="F877" s="366" t="s">
        <v>1082</v>
      </c>
      <c r="G877" s="46" t="s">
        <v>17</v>
      </c>
      <c r="H877" s="46">
        <v>2</v>
      </c>
      <c r="I877" s="51">
        <v>4622.28</v>
      </c>
      <c r="J877" s="281">
        <f>++Tabla4[[#This Row],[Precio Bruto]]*1.16</f>
        <v>5361.8447999999989</v>
      </c>
      <c r="K877" s="281">
        <f>+Tabla4[[#This Row],[Precio Unitario Neto]]*Tabla4[[#Headers],[20.85%]]</f>
        <v>1117.9446407999997</v>
      </c>
      <c r="L877" s="282">
        <f>++Tabla4[[#This Row],[Precio Unitario Neto]]-Tabla4[[#This Row],[20.85%]]</f>
        <v>4243.9001591999995</v>
      </c>
      <c r="M877" s="282" t="e">
        <f>(INDEX(Tabla6[#All],MATCH(Tabla4[[#This Row],[Producto]],Tabla6[[#All],[PRODUCTO]],0),MATCH(Tabla4[[#This Row],[Mes]],Tabla6[#Headers],0)))*(1+Catalogos!$L$2)</f>
        <v>#N/A</v>
      </c>
      <c r="N877" s="283" t="e">
        <f>+(Tabla4[[#This Row],[Precio Descontado]]-Tabla4[[#This Row],[Precio Base]])*Tabla4[[#This Row],[Cantidad]]</f>
        <v>#N/A</v>
      </c>
      <c r="O877" s="284" t="e">
        <f>++Tabla4[[#This Row],[Utilidad Total]]/Tabla4[[#This Row],[Total]]</f>
        <v>#N/A</v>
      </c>
      <c r="P877" s="282">
        <f>++Tabla4[[#This Row],[Precio Descontado]]*Tabla4[[#This Row],[Cantidad]]</f>
        <v>8487.800318399999</v>
      </c>
      <c r="Q877" s="282" t="e">
        <f>(INDEX(Tabla6[#All],MATCH(Tabla4[[#This Row],[Producto]],Tabla6[[#All],[PRODUCTO]],0),MATCH(Tabla4[[#This Row],[Mes]],Tabla6[#Headers],0)))</f>
        <v>#N/A</v>
      </c>
      <c r="R877" s="282" t="e">
        <f>++Tabla4[[#This Row],[Precio Unitario Neto]]-Tabla4[[#This Row],[20.85%]]-Tabla4[[#This Row],[Costo]]</f>
        <v>#N/A</v>
      </c>
      <c r="S877" s="282" t="e">
        <f>++Tabla4[[#This Row],[U. Bruta Uni]]*Tabla4[[#This Row],[Cantidad]]</f>
        <v>#N/A</v>
      </c>
      <c r="T877" s="369" t="str">
        <f>VLOOKUP(Tabla4[[#This Row],[Producto]],Tabla6[#All],14,FALSE)</f>
        <v>Termico Solar</v>
      </c>
      <c r="U877" s="284" t="e">
        <f>(IF(Tabla4[[#This Row],[Familia]]="termico solar",Tabla4[[#This Row],[Utilidad Total]]*6%,Tabla4[[#This Row],[Utilidad Total]]*11.5%))/Tabla4[[#This Row],[Total]]</f>
        <v>#N/A</v>
      </c>
      <c r="V877" s="282" t="e">
        <f>+Tabla4[[#This Row],[Comisión Calculada]]*Tabla4[[#This Row],[Total]]</f>
        <v>#N/A</v>
      </c>
    </row>
    <row r="878" spans="1:22" hidden="1" x14ac:dyDescent="0.25">
      <c r="A878" s="100">
        <v>45716</v>
      </c>
      <c r="B878" t="str">
        <f t="shared" si="34"/>
        <v>February</v>
      </c>
      <c r="C878" s="46" t="s">
        <v>280</v>
      </c>
      <c r="F878" s="366" t="s">
        <v>1083</v>
      </c>
      <c r="G878" s="46" t="s">
        <v>18</v>
      </c>
      <c r="H878" s="46">
        <v>1</v>
      </c>
      <c r="I878" s="51">
        <v>5367.65</v>
      </c>
      <c r="J878" s="281">
        <f>++Tabla4[[#This Row],[Precio Bruto]]*1.16</f>
        <v>6226.4739999999993</v>
      </c>
      <c r="K878" s="281">
        <f>+Tabla4[[#This Row],[Precio Unitario Neto]]*Tabla4[[#Headers],[20.85%]]</f>
        <v>1298.2198289999999</v>
      </c>
      <c r="L878" s="282">
        <f>++Tabla4[[#This Row],[Precio Unitario Neto]]-Tabla4[[#This Row],[20.85%]]</f>
        <v>4928.2541709999996</v>
      </c>
      <c r="M878" s="282" t="e">
        <f>(INDEX(Tabla6[#All],MATCH(Tabla4[[#This Row],[Producto]],Tabla6[[#All],[PRODUCTO]],0),MATCH(Tabla4[[#This Row],[Mes]],Tabla6[#Headers],0)))*(1+Catalogos!$L$2)</f>
        <v>#N/A</v>
      </c>
      <c r="N878" s="283" t="e">
        <f>+(Tabla4[[#This Row],[Precio Descontado]]-Tabla4[[#This Row],[Precio Base]])*Tabla4[[#This Row],[Cantidad]]</f>
        <v>#N/A</v>
      </c>
      <c r="O878" s="284" t="e">
        <f>++Tabla4[[#This Row],[Utilidad Total]]/Tabla4[[#This Row],[Total]]</f>
        <v>#N/A</v>
      </c>
      <c r="P878" s="282">
        <f>++Tabla4[[#This Row],[Precio Descontado]]*Tabla4[[#This Row],[Cantidad]]</f>
        <v>4928.2541709999996</v>
      </c>
      <c r="Q878" s="282" t="e">
        <f>(INDEX(Tabla6[#All],MATCH(Tabla4[[#This Row],[Producto]],Tabla6[[#All],[PRODUCTO]],0),MATCH(Tabla4[[#This Row],[Mes]],Tabla6[#Headers],0)))</f>
        <v>#N/A</v>
      </c>
      <c r="R878" s="282" t="e">
        <f>++Tabla4[[#This Row],[Precio Unitario Neto]]-Tabla4[[#This Row],[20.85%]]-Tabla4[[#This Row],[Costo]]</f>
        <v>#N/A</v>
      </c>
      <c r="S878" s="282" t="e">
        <f>++Tabla4[[#This Row],[U. Bruta Uni]]*Tabla4[[#This Row],[Cantidad]]</f>
        <v>#N/A</v>
      </c>
      <c r="T878" s="369" t="str">
        <f>VLOOKUP(Tabla4[[#This Row],[Producto]],Tabla6[#All],14,FALSE)</f>
        <v>Termico Solar</v>
      </c>
      <c r="U878" s="284" t="e">
        <f>(IF(Tabla4[[#This Row],[Familia]]="termico solar",Tabla4[[#This Row],[Utilidad Total]]*6%,Tabla4[[#This Row],[Utilidad Total]]*11.5%))/Tabla4[[#This Row],[Total]]</f>
        <v>#N/A</v>
      </c>
      <c r="V878" s="282" t="e">
        <f>+Tabla4[[#This Row],[Comisión Calculada]]*Tabla4[[#This Row],[Total]]</f>
        <v>#N/A</v>
      </c>
    </row>
    <row r="879" spans="1:22" hidden="1" x14ac:dyDescent="0.25">
      <c r="A879" s="100">
        <v>45716</v>
      </c>
      <c r="B879" t="str">
        <f t="shared" si="34"/>
        <v>February</v>
      </c>
      <c r="C879" s="46" t="s">
        <v>280</v>
      </c>
      <c r="F879" s="366" t="s">
        <v>1084</v>
      </c>
      <c r="G879" s="46" t="s">
        <v>18</v>
      </c>
      <c r="H879" s="46">
        <v>1</v>
      </c>
      <c r="I879" s="51">
        <v>5367.65</v>
      </c>
      <c r="J879" s="281">
        <f>++Tabla4[[#This Row],[Precio Bruto]]*1.16</f>
        <v>6226.4739999999993</v>
      </c>
      <c r="K879" s="281">
        <f>+Tabla4[[#This Row],[Precio Unitario Neto]]*Tabla4[[#Headers],[20.85%]]</f>
        <v>1298.2198289999999</v>
      </c>
      <c r="L879" s="282">
        <f>++Tabla4[[#This Row],[Precio Unitario Neto]]-Tabla4[[#This Row],[20.85%]]</f>
        <v>4928.2541709999996</v>
      </c>
      <c r="M879" s="282" t="e">
        <f>(INDEX(Tabla6[#All],MATCH(Tabla4[[#This Row],[Producto]],Tabla6[[#All],[PRODUCTO]],0),MATCH(Tabla4[[#This Row],[Mes]],Tabla6[#Headers],0)))*(1+Catalogos!$L$2)</f>
        <v>#N/A</v>
      </c>
      <c r="N879" s="283" t="e">
        <f>+(Tabla4[[#This Row],[Precio Descontado]]-Tabla4[[#This Row],[Precio Base]])*Tabla4[[#This Row],[Cantidad]]</f>
        <v>#N/A</v>
      </c>
      <c r="O879" s="284" t="e">
        <f>++Tabla4[[#This Row],[Utilidad Total]]/Tabla4[[#This Row],[Total]]</f>
        <v>#N/A</v>
      </c>
      <c r="P879" s="282">
        <f>++Tabla4[[#This Row],[Precio Descontado]]*Tabla4[[#This Row],[Cantidad]]</f>
        <v>4928.2541709999996</v>
      </c>
      <c r="Q879" s="282" t="e">
        <f>(INDEX(Tabla6[#All],MATCH(Tabla4[[#This Row],[Producto]],Tabla6[[#All],[PRODUCTO]],0),MATCH(Tabla4[[#This Row],[Mes]],Tabla6[#Headers],0)))</f>
        <v>#N/A</v>
      </c>
      <c r="R879" s="282" t="e">
        <f>++Tabla4[[#This Row],[Precio Unitario Neto]]-Tabla4[[#This Row],[20.85%]]-Tabla4[[#This Row],[Costo]]</f>
        <v>#N/A</v>
      </c>
      <c r="S879" s="282" t="e">
        <f>++Tabla4[[#This Row],[U. Bruta Uni]]*Tabla4[[#This Row],[Cantidad]]</f>
        <v>#N/A</v>
      </c>
      <c r="T879" s="369" t="str">
        <f>VLOOKUP(Tabla4[[#This Row],[Producto]],Tabla6[#All],14,FALSE)</f>
        <v>Termico Solar</v>
      </c>
      <c r="U879" s="284" t="e">
        <f>(IF(Tabla4[[#This Row],[Familia]]="termico solar",Tabla4[[#This Row],[Utilidad Total]]*6%,Tabla4[[#This Row],[Utilidad Total]]*11.5%))/Tabla4[[#This Row],[Total]]</f>
        <v>#N/A</v>
      </c>
      <c r="V879" s="282" t="e">
        <f>+Tabla4[[#This Row],[Comisión Calculada]]*Tabla4[[#This Row],[Total]]</f>
        <v>#N/A</v>
      </c>
    </row>
    <row r="880" spans="1:22" hidden="1" x14ac:dyDescent="0.25">
      <c r="A880" s="100">
        <v>45716</v>
      </c>
      <c r="B880" t="str">
        <f t="shared" ref="B880:B911" si="35">TEXT(A880, "mmmm")</f>
        <v>February</v>
      </c>
      <c r="C880" s="46" t="s">
        <v>280</v>
      </c>
      <c r="F880" s="366" t="s">
        <v>1085</v>
      </c>
      <c r="G880" s="46" t="s">
        <v>17</v>
      </c>
      <c r="H880" s="46">
        <v>1</v>
      </c>
      <c r="I880" s="51">
        <v>4622.28</v>
      </c>
      <c r="J880" s="281">
        <f>++Tabla4[[#This Row],[Precio Bruto]]*1.16</f>
        <v>5361.8447999999989</v>
      </c>
      <c r="K880" s="281">
        <f>+Tabla4[[#This Row],[Precio Unitario Neto]]*Tabla4[[#Headers],[20.85%]]</f>
        <v>1117.9446407999997</v>
      </c>
      <c r="L880" s="282">
        <f>++Tabla4[[#This Row],[Precio Unitario Neto]]-Tabla4[[#This Row],[20.85%]]</f>
        <v>4243.9001591999995</v>
      </c>
      <c r="M880" s="282" t="e">
        <f>(INDEX(Tabla6[#All],MATCH(Tabla4[[#This Row],[Producto]],Tabla6[[#All],[PRODUCTO]],0),MATCH(Tabla4[[#This Row],[Mes]],Tabla6[#Headers],0)))*(1+Catalogos!$L$2)</f>
        <v>#N/A</v>
      </c>
      <c r="N880" s="283" t="e">
        <f>+(Tabla4[[#This Row],[Precio Descontado]]-Tabla4[[#This Row],[Precio Base]])*Tabla4[[#This Row],[Cantidad]]</f>
        <v>#N/A</v>
      </c>
      <c r="O880" s="284" t="e">
        <f>++Tabla4[[#This Row],[Utilidad Total]]/Tabla4[[#This Row],[Total]]</f>
        <v>#N/A</v>
      </c>
      <c r="P880" s="282">
        <f>++Tabla4[[#This Row],[Precio Descontado]]*Tabla4[[#This Row],[Cantidad]]</f>
        <v>4243.9001591999995</v>
      </c>
      <c r="Q880" s="282" t="e">
        <f>(INDEX(Tabla6[#All],MATCH(Tabla4[[#This Row],[Producto]],Tabla6[[#All],[PRODUCTO]],0),MATCH(Tabla4[[#This Row],[Mes]],Tabla6[#Headers],0)))</f>
        <v>#N/A</v>
      </c>
      <c r="R880" s="282" t="e">
        <f>++Tabla4[[#This Row],[Precio Unitario Neto]]-Tabla4[[#This Row],[20.85%]]-Tabla4[[#This Row],[Costo]]</f>
        <v>#N/A</v>
      </c>
      <c r="S880" s="282" t="e">
        <f>++Tabla4[[#This Row],[U. Bruta Uni]]*Tabla4[[#This Row],[Cantidad]]</f>
        <v>#N/A</v>
      </c>
      <c r="T880" s="369" t="str">
        <f>VLOOKUP(Tabla4[[#This Row],[Producto]],Tabla6[#All],14,FALSE)</f>
        <v>Termico Solar</v>
      </c>
      <c r="U880" s="284" t="e">
        <f>(IF(Tabla4[[#This Row],[Familia]]="termico solar",Tabla4[[#This Row],[Utilidad Total]]*6%,Tabla4[[#This Row],[Utilidad Total]]*11.5%))/Tabla4[[#This Row],[Total]]</f>
        <v>#N/A</v>
      </c>
      <c r="V880" s="282" t="e">
        <f>+Tabla4[[#This Row],[Comisión Calculada]]*Tabla4[[#This Row],[Total]]</f>
        <v>#N/A</v>
      </c>
    </row>
    <row r="881" spans="1:22" hidden="1" x14ac:dyDescent="0.25">
      <c r="A881" s="100">
        <v>45716</v>
      </c>
      <c r="B881" t="str">
        <f t="shared" si="35"/>
        <v>February</v>
      </c>
      <c r="C881" s="46" t="s">
        <v>280</v>
      </c>
      <c r="F881" s="366" t="s">
        <v>1085</v>
      </c>
      <c r="G881" s="46" t="s">
        <v>16</v>
      </c>
      <c r="H881" s="46">
        <v>2</v>
      </c>
      <c r="I881" s="51">
        <v>4103.8500000000004</v>
      </c>
      <c r="J881" s="281">
        <f>++Tabla4[[#This Row],[Precio Bruto]]*1.16</f>
        <v>4760.4660000000003</v>
      </c>
      <c r="K881" s="281">
        <f>+Tabla4[[#This Row],[Precio Unitario Neto]]*Tabla4[[#Headers],[20.85%]]</f>
        <v>992.55716100000006</v>
      </c>
      <c r="L881" s="282">
        <f>++Tabla4[[#This Row],[Precio Unitario Neto]]-Tabla4[[#This Row],[20.85%]]</f>
        <v>3767.9088390000002</v>
      </c>
      <c r="M881" s="282" t="e">
        <f>(INDEX(Tabla6[#All],MATCH(Tabla4[[#This Row],[Producto]],Tabla6[[#All],[PRODUCTO]],0),MATCH(Tabla4[[#This Row],[Mes]],Tabla6[#Headers],0)))*(1+Catalogos!$L$2)</f>
        <v>#N/A</v>
      </c>
      <c r="N881" s="283" t="e">
        <f>+(Tabla4[[#This Row],[Precio Descontado]]-Tabla4[[#This Row],[Precio Base]])*Tabla4[[#This Row],[Cantidad]]</f>
        <v>#N/A</v>
      </c>
      <c r="O881" s="284" t="e">
        <f>++Tabla4[[#This Row],[Utilidad Total]]/Tabla4[[#This Row],[Total]]</f>
        <v>#N/A</v>
      </c>
      <c r="P881" s="282">
        <f>++Tabla4[[#This Row],[Precio Descontado]]*Tabla4[[#This Row],[Cantidad]]</f>
        <v>7535.8176780000003</v>
      </c>
      <c r="Q881" s="282" t="e">
        <f>(INDEX(Tabla6[#All],MATCH(Tabla4[[#This Row],[Producto]],Tabla6[[#All],[PRODUCTO]],0),MATCH(Tabla4[[#This Row],[Mes]],Tabla6[#Headers],0)))</f>
        <v>#N/A</v>
      </c>
      <c r="R881" s="282" t="e">
        <f>++Tabla4[[#This Row],[Precio Unitario Neto]]-Tabla4[[#This Row],[20.85%]]-Tabla4[[#This Row],[Costo]]</f>
        <v>#N/A</v>
      </c>
      <c r="S881" s="282" t="e">
        <f>++Tabla4[[#This Row],[U. Bruta Uni]]*Tabla4[[#This Row],[Cantidad]]</f>
        <v>#N/A</v>
      </c>
      <c r="T881" s="369" t="str">
        <f>VLOOKUP(Tabla4[[#This Row],[Producto]],Tabla6[#All],14,FALSE)</f>
        <v>Termico Solar</v>
      </c>
      <c r="U881" s="284" t="e">
        <f>(IF(Tabla4[[#This Row],[Familia]]="termico solar",Tabla4[[#This Row],[Utilidad Total]]*6%,Tabla4[[#This Row],[Utilidad Total]]*11.5%))/Tabla4[[#This Row],[Total]]</f>
        <v>#N/A</v>
      </c>
      <c r="V881" s="282" t="e">
        <f>+Tabla4[[#This Row],[Comisión Calculada]]*Tabla4[[#This Row],[Total]]</f>
        <v>#N/A</v>
      </c>
    </row>
    <row r="882" spans="1:22" hidden="1" x14ac:dyDescent="0.25">
      <c r="A882" s="100">
        <v>45716</v>
      </c>
      <c r="B882" t="str">
        <f t="shared" si="35"/>
        <v>February</v>
      </c>
      <c r="C882" s="46" t="s">
        <v>280</v>
      </c>
      <c r="F882" s="366" t="s">
        <v>1086</v>
      </c>
      <c r="G882" s="46" t="s">
        <v>17</v>
      </c>
      <c r="H882" s="46">
        <v>1</v>
      </c>
      <c r="I882" s="51">
        <v>4622.28</v>
      </c>
      <c r="J882" s="281">
        <f>++Tabla4[[#This Row],[Precio Bruto]]*1.16</f>
        <v>5361.8447999999989</v>
      </c>
      <c r="K882" s="281">
        <f>+Tabla4[[#This Row],[Precio Unitario Neto]]*Tabla4[[#Headers],[20.85%]]</f>
        <v>1117.9446407999997</v>
      </c>
      <c r="L882" s="282">
        <f>++Tabla4[[#This Row],[Precio Unitario Neto]]-Tabla4[[#This Row],[20.85%]]</f>
        <v>4243.9001591999995</v>
      </c>
      <c r="M882" s="282" t="e">
        <f>(INDEX(Tabla6[#All],MATCH(Tabla4[[#This Row],[Producto]],Tabla6[[#All],[PRODUCTO]],0),MATCH(Tabla4[[#This Row],[Mes]],Tabla6[#Headers],0)))*(1+Catalogos!$L$2)</f>
        <v>#N/A</v>
      </c>
      <c r="N882" s="283" t="e">
        <f>+(Tabla4[[#This Row],[Precio Descontado]]-Tabla4[[#This Row],[Precio Base]])*Tabla4[[#This Row],[Cantidad]]</f>
        <v>#N/A</v>
      </c>
      <c r="O882" s="284" t="e">
        <f>++Tabla4[[#This Row],[Utilidad Total]]/Tabla4[[#This Row],[Total]]</f>
        <v>#N/A</v>
      </c>
      <c r="P882" s="282">
        <f>++Tabla4[[#This Row],[Precio Descontado]]*Tabla4[[#This Row],[Cantidad]]</f>
        <v>4243.9001591999995</v>
      </c>
      <c r="Q882" s="282" t="e">
        <f>(INDEX(Tabla6[#All],MATCH(Tabla4[[#This Row],[Producto]],Tabla6[[#All],[PRODUCTO]],0),MATCH(Tabla4[[#This Row],[Mes]],Tabla6[#Headers],0)))</f>
        <v>#N/A</v>
      </c>
      <c r="R882" s="282" t="e">
        <f>++Tabla4[[#This Row],[Precio Unitario Neto]]-Tabla4[[#This Row],[20.85%]]-Tabla4[[#This Row],[Costo]]</f>
        <v>#N/A</v>
      </c>
      <c r="S882" s="282" t="e">
        <f>++Tabla4[[#This Row],[U. Bruta Uni]]*Tabla4[[#This Row],[Cantidad]]</f>
        <v>#N/A</v>
      </c>
      <c r="T882" s="369" t="str">
        <f>VLOOKUP(Tabla4[[#This Row],[Producto]],Tabla6[#All],14,FALSE)</f>
        <v>Termico Solar</v>
      </c>
      <c r="U882" s="284" t="e">
        <f>(IF(Tabla4[[#This Row],[Familia]]="termico solar",Tabla4[[#This Row],[Utilidad Total]]*6%,Tabla4[[#This Row],[Utilidad Total]]*11.5%))/Tabla4[[#This Row],[Total]]</f>
        <v>#N/A</v>
      </c>
      <c r="V882" s="282" t="e">
        <f>+Tabla4[[#This Row],[Comisión Calculada]]*Tabla4[[#This Row],[Total]]</f>
        <v>#N/A</v>
      </c>
    </row>
    <row r="883" spans="1:22" hidden="1" x14ac:dyDescent="0.25">
      <c r="A883" s="100">
        <v>45716</v>
      </c>
      <c r="B883" t="str">
        <f t="shared" si="35"/>
        <v>February</v>
      </c>
      <c r="C883" s="46" t="s">
        <v>280</v>
      </c>
      <c r="F883" s="366" t="s">
        <v>1086</v>
      </c>
      <c r="G883" s="46" t="s">
        <v>18</v>
      </c>
      <c r="H883" s="46">
        <v>2</v>
      </c>
      <c r="I883" s="51">
        <v>5367.65</v>
      </c>
      <c r="J883" s="281">
        <f>++Tabla4[[#This Row],[Precio Bruto]]*1.16</f>
        <v>6226.4739999999993</v>
      </c>
      <c r="K883" s="281">
        <f>+Tabla4[[#This Row],[Precio Unitario Neto]]*Tabla4[[#Headers],[20.85%]]</f>
        <v>1298.2198289999999</v>
      </c>
      <c r="L883" s="282">
        <f>++Tabla4[[#This Row],[Precio Unitario Neto]]-Tabla4[[#This Row],[20.85%]]</f>
        <v>4928.2541709999996</v>
      </c>
      <c r="M883" s="282" t="e">
        <f>(INDEX(Tabla6[#All],MATCH(Tabla4[[#This Row],[Producto]],Tabla6[[#All],[PRODUCTO]],0),MATCH(Tabla4[[#This Row],[Mes]],Tabla6[#Headers],0)))*(1+Catalogos!$L$2)</f>
        <v>#N/A</v>
      </c>
      <c r="N883" s="283" t="e">
        <f>+(Tabla4[[#This Row],[Precio Descontado]]-Tabla4[[#This Row],[Precio Base]])*Tabla4[[#This Row],[Cantidad]]</f>
        <v>#N/A</v>
      </c>
      <c r="O883" s="284" t="e">
        <f>++Tabla4[[#This Row],[Utilidad Total]]/Tabla4[[#This Row],[Total]]</f>
        <v>#N/A</v>
      </c>
      <c r="P883" s="282">
        <f>++Tabla4[[#This Row],[Precio Descontado]]*Tabla4[[#This Row],[Cantidad]]</f>
        <v>9856.5083419999992</v>
      </c>
      <c r="Q883" s="282" t="e">
        <f>(INDEX(Tabla6[#All],MATCH(Tabla4[[#This Row],[Producto]],Tabla6[[#All],[PRODUCTO]],0),MATCH(Tabla4[[#This Row],[Mes]],Tabla6[#Headers],0)))</f>
        <v>#N/A</v>
      </c>
      <c r="R883" s="282" t="e">
        <f>++Tabla4[[#This Row],[Precio Unitario Neto]]-Tabla4[[#This Row],[20.85%]]-Tabla4[[#This Row],[Costo]]</f>
        <v>#N/A</v>
      </c>
      <c r="S883" s="282" t="e">
        <f>++Tabla4[[#This Row],[U. Bruta Uni]]*Tabla4[[#This Row],[Cantidad]]</f>
        <v>#N/A</v>
      </c>
      <c r="T883" s="369" t="str">
        <f>VLOOKUP(Tabla4[[#This Row],[Producto]],Tabla6[#All],14,FALSE)</f>
        <v>Termico Solar</v>
      </c>
      <c r="U883" s="284" t="e">
        <f>(IF(Tabla4[[#This Row],[Familia]]="termico solar",Tabla4[[#This Row],[Utilidad Total]]*6%,Tabla4[[#This Row],[Utilidad Total]]*11.5%))/Tabla4[[#This Row],[Total]]</f>
        <v>#N/A</v>
      </c>
      <c r="V883" s="282" t="e">
        <f>+Tabla4[[#This Row],[Comisión Calculada]]*Tabla4[[#This Row],[Total]]</f>
        <v>#N/A</v>
      </c>
    </row>
    <row r="884" spans="1:22" hidden="1" x14ac:dyDescent="0.25">
      <c r="A884" s="100">
        <v>45716</v>
      </c>
      <c r="B884" t="str">
        <f t="shared" si="35"/>
        <v>February</v>
      </c>
      <c r="C884" s="46" t="s">
        <v>280</v>
      </c>
      <c r="F884" s="366" t="s">
        <v>1087</v>
      </c>
      <c r="G884" s="46" t="s">
        <v>17</v>
      </c>
      <c r="H884" s="46">
        <v>18</v>
      </c>
      <c r="I884" s="51">
        <v>4622.28</v>
      </c>
      <c r="J884" s="281">
        <f>++Tabla4[[#This Row],[Precio Bruto]]*1.16</f>
        <v>5361.8447999999989</v>
      </c>
      <c r="K884" s="281">
        <f>+Tabla4[[#This Row],[Precio Unitario Neto]]*Tabla4[[#Headers],[20.85%]]</f>
        <v>1117.9446407999997</v>
      </c>
      <c r="L884" s="282">
        <f>++Tabla4[[#This Row],[Precio Unitario Neto]]-Tabla4[[#This Row],[20.85%]]</f>
        <v>4243.9001591999995</v>
      </c>
      <c r="M884" s="282" t="e">
        <f>(INDEX(Tabla6[#All],MATCH(Tabla4[[#This Row],[Producto]],Tabla6[[#All],[PRODUCTO]],0),MATCH(Tabla4[[#This Row],[Mes]],Tabla6[#Headers],0)))*(1+Catalogos!$L$2)</f>
        <v>#N/A</v>
      </c>
      <c r="N884" s="283" t="e">
        <f>+(Tabla4[[#This Row],[Precio Descontado]]-Tabla4[[#This Row],[Precio Base]])*Tabla4[[#This Row],[Cantidad]]</f>
        <v>#N/A</v>
      </c>
      <c r="O884" s="284" t="e">
        <f>++Tabla4[[#This Row],[Utilidad Total]]/Tabla4[[#This Row],[Total]]</f>
        <v>#N/A</v>
      </c>
      <c r="P884" s="282">
        <f>++Tabla4[[#This Row],[Precio Descontado]]*Tabla4[[#This Row],[Cantidad]]</f>
        <v>76390.202865599989</v>
      </c>
      <c r="Q884" s="282" t="e">
        <f>(INDEX(Tabla6[#All],MATCH(Tabla4[[#This Row],[Producto]],Tabla6[[#All],[PRODUCTO]],0),MATCH(Tabla4[[#This Row],[Mes]],Tabla6[#Headers],0)))</f>
        <v>#N/A</v>
      </c>
      <c r="R884" s="282" t="e">
        <f>++Tabla4[[#This Row],[Precio Unitario Neto]]-Tabla4[[#This Row],[20.85%]]-Tabla4[[#This Row],[Costo]]</f>
        <v>#N/A</v>
      </c>
      <c r="S884" s="282" t="e">
        <f>++Tabla4[[#This Row],[U. Bruta Uni]]*Tabla4[[#This Row],[Cantidad]]</f>
        <v>#N/A</v>
      </c>
      <c r="T884" s="369" t="str">
        <f>VLOOKUP(Tabla4[[#This Row],[Producto]],Tabla6[#All],14,FALSE)</f>
        <v>Termico Solar</v>
      </c>
      <c r="U884" s="284" t="e">
        <f>(IF(Tabla4[[#This Row],[Familia]]="termico solar",Tabla4[[#This Row],[Utilidad Total]]*6%,Tabla4[[#This Row],[Utilidad Total]]*11.5%))/Tabla4[[#This Row],[Total]]</f>
        <v>#N/A</v>
      </c>
      <c r="V884" s="282" t="e">
        <f>+Tabla4[[#This Row],[Comisión Calculada]]*Tabla4[[#This Row],[Total]]</f>
        <v>#N/A</v>
      </c>
    </row>
    <row r="885" spans="1:22" hidden="1" x14ac:dyDescent="0.25">
      <c r="A885" s="100">
        <v>45716</v>
      </c>
      <c r="B885" t="str">
        <f t="shared" si="35"/>
        <v>February</v>
      </c>
      <c r="C885" s="46" t="s">
        <v>280</v>
      </c>
      <c r="F885" s="366" t="s">
        <v>1087</v>
      </c>
      <c r="G885" s="46" t="s">
        <v>18</v>
      </c>
      <c r="H885" s="46">
        <v>15</v>
      </c>
      <c r="I885" s="51">
        <v>5367.65</v>
      </c>
      <c r="J885" s="281">
        <f>++Tabla4[[#This Row],[Precio Bruto]]*1.16</f>
        <v>6226.4739999999993</v>
      </c>
      <c r="K885" s="281">
        <f>+Tabla4[[#This Row],[Precio Unitario Neto]]*Tabla4[[#Headers],[20.85%]]</f>
        <v>1298.2198289999999</v>
      </c>
      <c r="L885" s="282">
        <f>++Tabla4[[#This Row],[Precio Unitario Neto]]-Tabla4[[#This Row],[20.85%]]</f>
        <v>4928.2541709999996</v>
      </c>
      <c r="M885" s="282" t="e">
        <f>(INDEX(Tabla6[#All],MATCH(Tabla4[[#This Row],[Producto]],Tabla6[[#All],[PRODUCTO]],0),MATCH(Tabla4[[#This Row],[Mes]],Tabla6[#Headers],0)))*(1+Catalogos!$L$2)</f>
        <v>#N/A</v>
      </c>
      <c r="N885" s="283" t="e">
        <f>+(Tabla4[[#This Row],[Precio Descontado]]-Tabla4[[#This Row],[Precio Base]])*Tabla4[[#This Row],[Cantidad]]</f>
        <v>#N/A</v>
      </c>
      <c r="O885" s="284" t="e">
        <f>++Tabla4[[#This Row],[Utilidad Total]]/Tabla4[[#This Row],[Total]]</f>
        <v>#N/A</v>
      </c>
      <c r="P885" s="282">
        <f>++Tabla4[[#This Row],[Precio Descontado]]*Tabla4[[#This Row],[Cantidad]]</f>
        <v>73923.812565</v>
      </c>
      <c r="Q885" s="282" t="e">
        <f>(INDEX(Tabla6[#All],MATCH(Tabla4[[#This Row],[Producto]],Tabla6[[#All],[PRODUCTO]],0),MATCH(Tabla4[[#This Row],[Mes]],Tabla6[#Headers],0)))</f>
        <v>#N/A</v>
      </c>
      <c r="R885" s="282" t="e">
        <f>++Tabla4[[#This Row],[Precio Unitario Neto]]-Tabla4[[#This Row],[20.85%]]-Tabla4[[#This Row],[Costo]]</f>
        <v>#N/A</v>
      </c>
      <c r="S885" s="282" t="e">
        <f>++Tabla4[[#This Row],[U. Bruta Uni]]*Tabla4[[#This Row],[Cantidad]]</f>
        <v>#N/A</v>
      </c>
      <c r="T885" s="369" t="str">
        <f>VLOOKUP(Tabla4[[#This Row],[Producto]],Tabla6[#All],14,FALSE)</f>
        <v>Termico Solar</v>
      </c>
      <c r="U885" s="284" t="e">
        <f>(IF(Tabla4[[#This Row],[Familia]]="termico solar",Tabla4[[#This Row],[Utilidad Total]]*6%,Tabla4[[#This Row],[Utilidad Total]]*11.5%))/Tabla4[[#This Row],[Total]]</f>
        <v>#N/A</v>
      </c>
      <c r="V885" s="282" t="e">
        <f>+Tabla4[[#This Row],[Comisión Calculada]]*Tabla4[[#This Row],[Total]]</f>
        <v>#N/A</v>
      </c>
    </row>
    <row r="886" spans="1:22" hidden="1" x14ac:dyDescent="0.25">
      <c r="A886" s="100">
        <v>45716</v>
      </c>
      <c r="B886" t="str">
        <f t="shared" si="35"/>
        <v>February</v>
      </c>
      <c r="C886" s="46" t="s">
        <v>280</v>
      </c>
      <c r="F886" s="366" t="s">
        <v>1087</v>
      </c>
      <c r="G886" s="46" t="s">
        <v>16</v>
      </c>
      <c r="H886" s="46">
        <v>9</v>
      </c>
      <c r="I886" s="51">
        <v>4103.8500000000004</v>
      </c>
      <c r="J886" s="281">
        <f>++Tabla4[[#This Row],[Precio Bruto]]*1.16</f>
        <v>4760.4660000000003</v>
      </c>
      <c r="K886" s="281">
        <f>+Tabla4[[#This Row],[Precio Unitario Neto]]*Tabla4[[#Headers],[20.85%]]</f>
        <v>992.55716100000006</v>
      </c>
      <c r="L886" s="282">
        <f>++Tabla4[[#This Row],[Precio Unitario Neto]]-Tabla4[[#This Row],[20.85%]]</f>
        <v>3767.9088390000002</v>
      </c>
      <c r="M886" s="282" t="e">
        <f>(INDEX(Tabla6[#All],MATCH(Tabla4[[#This Row],[Producto]],Tabla6[[#All],[PRODUCTO]],0),MATCH(Tabla4[[#This Row],[Mes]],Tabla6[#Headers],0)))*(1+Catalogos!$L$2)</f>
        <v>#N/A</v>
      </c>
      <c r="N886" s="283" t="e">
        <f>+(Tabla4[[#This Row],[Precio Descontado]]-Tabla4[[#This Row],[Precio Base]])*Tabla4[[#This Row],[Cantidad]]</f>
        <v>#N/A</v>
      </c>
      <c r="O886" s="284" t="e">
        <f>++Tabla4[[#This Row],[Utilidad Total]]/Tabla4[[#This Row],[Total]]</f>
        <v>#N/A</v>
      </c>
      <c r="P886" s="282">
        <f>++Tabla4[[#This Row],[Precio Descontado]]*Tabla4[[#This Row],[Cantidad]]</f>
        <v>33911.179551000001</v>
      </c>
      <c r="Q886" s="282" t="e">
        <f>(INDEX(Tabla6[#All],MATCH(Tabla4[[#This Row],[Producto]],Tabla6[[#All],[PRODUCTO]],0),MATCH(Tabla4[[#This Row],[Mes]],Tabla6[#Headers],0)))</f>
        <v>#N/A</v>
      </c>
      <c r="R886" s="282" t="e">
        <f>++Tabla4[[#This Row],[Precio Unitario Neto]]-Tabla4[[#This Row],[20.85%]]-Tabla4[[#This Row],[Costo]]</f>
        <v>#N/A</v>
      </c>
      <c r="S886" s="282" t="e">
        <f>++Tabla4[[#This Row],[U. Bruta Uni]]*Tabla4[[#This Row],[Cantidad]]</f>
        <v>#N/A</v>
      </c>
      <c r="T886" s="369" t="str">
        <f>VLOOKUP(Tabla4[[#This Row],[Producto]],Tabla6[#All],14,FALSE)</f>
        <v>Termico Solar</v>
      </c>
      <c r="U886" s="284" t="e">
        <f>(IF(Tabla4[[#This Row],[Familia]]="termico solar",Tabla4[[#This Row],[Utilidad Total]]*6%,Tabla4[[#This Row],[Utilidad Total]]*11.5%))/Tabla4[[#This Row],[Total]]</f>
        <v>#N/A</v>
      </c>
      <c r="V886" s="282" t="e">
        <f>+Tabla4[[#This Row],[Comisión Calculada]]*Tabla4[[#This Row],[Total]]</f>
        <v>#N/A</v>
      </c>
    </row>
    <row r="887" spans="1:22" hidden="1" x14ac:dyDescent="0.25">
      <c r="A887" s="100">
        <v>45716</v>
      </c>
      <c r="B887" t="str">
        <f t="shared" si="35"/>
        <v>February</v>
      </c>
      <c r="C887" s="46" t="s">
        <v>280</v>
      </c>
      <c r="F887" s="366" t="s">
        <v>1088</v>
      </c>
      <c r="G887" s="46" t="s">
        <v>83</v>
      </c>
      <c r="H887" s="46">
        <v>1</v>
      </c>
      <c r="I887" s="51">
        <v>8858.76</v>
      </c>
      <c r="J887" s="281">
        <f>++Tabla4[[#This Row],[Precio Bruto]]*1.16</f>
        <v>10276.161599999999</v>
      </c>
      <c r="K887" s="281">
        <f>+Tabla4[[#This Row],[Precio Unitario Neto]]*Tabla4[[#Headers],[20.85%]]</f>
        <v>2142.5796935999997</v>
      </c>
      <c r="L887" s="282">
        <f>++Tabla4[[#This Row],[Precio Unitario Neto]]-Tabla4[[#This Row],[20.85%]]</f>
        <v>8133.5819063999998</v>
      </c>
      <c r="M887" s="282" t="e">
        <f>(INDEX(Tabla6[#All],MATCH(Tabla4[[#This Row],[Producto]],Tabla6[[#All],[PRODUCTO]],0),MATCH(Tabla4[[#This Row],[Mes]],Tabla6[#Headers],0)))*(1+Catalogos!$L$2)</f>
        <v>#N/A</v>
      </c>
      <c r="N887" s="283" t="e">
        <f>+(Tabla4[[#This Row],[Precio Descontado]]-Tabla4[[#This Row],[Precio Base]])*Tabla4[[#This Row],[Cantidad]]</f>
        <v>#N/A</v>
      </c>
      <c r="O887" s="284" t="e">
        <f>++Tabla4[[#This Row],[Utilidad Total]]/Tabla4[[#This Row],[Total]]</f>
        <v>#N/A</v>
      </c>
      <c r="P887" s="282">
        <f>++Tabla4[[#This Row],[Precio Descontado]]*Tabla4[[#This Row],[Cantidad]]</f>
        <v>8133.5819063999998</v>
      </c>
      <c r="Q887" s="282" t="e">
        <f>(INDEX(Tabla6[#All],MATCH(Tabla4[[#This Row],[Producto]],Tabla6[[#All],[PRODUCTO]],0),MATCH(Tabla4[[#This Row],[Mes]],Tabla6[#Headers],0)))</f>
        <v>#N/A</v>
      </c>
      <c r="R887" s="282" t="e">
        <f>++Tabla4[[#This Row],[Precio Unitario Neto]]-Tabla4[[#This Row],[20.85%]]-Tabla4[[#This Row],[Costo]]</f>
        <v>#N/A</v>
      </c>
      <c r="S887" s="282" t="e">
        <f>++Tabla4[[#This Row],[U. Bruta Uni]]*Tabla4[[#This Row],[Cantidad]]</f>
        <v>#N/A</v>
      </c>
      <c r="T887" s="369" t="str">
        <f>VLOOKUP(Tabla4[[#This Row],[Producto]],Tabla6[#All],14,FALSE)</f>
        <v>Termico Solar</v>
      </c>
      <c r="U887" s="284" t="e">
        <f>(IF(Tabla4[[#This Row],[Familia]]="termico solar",Tabla4[[#This Row],[Utilidad Total]]*6%,Tabla4[[#This Row],[Utilidad Total]]*11.5%))/Tabla4[[#This Row],[Total]]</f>
        <v>#N/A</v>
      </c>
      <c r="V887" s="282" t="e">
        <f>+Tabla4[[#This Row],[Comisión Calculada]]*Tabla4[[#This Row],[Total]]</f>
        <v>#N/A</v>
      </c>
    </row>
    <row r="888" spans="1:22" hidden="1" x14ac:dyDescent="0.25">
      <c r="A888" s="100">
        <v>45716</v>
      </c>
      <c r="B888" t="str">
        <f t="shared" si="35"/>
        <v>February</v>
      </c>
      <c r="C888" s="46" t="s">
        <v>280</v>
      </c>
      <c r="F888" s="366" t="s">
        <v>1088</v>
      </c>
      <c r="G888" s="46" t="s">
        <v>16</v>
      </c>
      <c r="H888" s="46">
        <v>2</v>
      </c>
      <c r="I888" s="51">
        <v>4103.8500000000004</v>
      </c>
      <c r="J888" s="281">
        <f>++Tabla4[[#This Row],[Precio Bruto]]*1.16</f>
        <v>4760.4660000000003</v>
      </c>
      <c r="K888" s="281">
        <f>+Tabla4[[#This Row],[Precio Unitario Neto]]*Tabla4[[#Headers],[20.85%]]</f>
        <v>992.55716100000006</v>
      </c>
      <c r="L888" s="282">
        <f>++Tabla4[[#This Row],[Precio Unitario Neto]]-Tabla4[[#This Row],[20.85%]]</f>
        <v>3767.9088390000002</v>
      </c>
      <c r="M888" s="282" t="e">
        <f>(INDEX(Tabla6[#All],MATCH(Tabla4[[#This Row],[Producto]],Tabla6[[#All],[PRODUCTO]],0),MATCH(Tabla4[[#This Row],[Mes]],Tabla6[#Headers],0)))*(1+Catalogos!$L$2)</f>
        <v>#N/A</v>
      </c>
      <c r="N888" s="283" t="e">
        <f>+(Tabla4[[#This Row],[Precio Descontado]]-Tabla4[[#This Row],[Precio Base]])*Tabla4[[#This Row],[Cantidad]]</f>
        <v>#N/A</v>
      </c>
      <c r="O888" s="284" t="e">
        <f>++Tabla4[[#This Row],[Utilidad Total]]/Tabla4[[#This Row],[Total]]</f>
        <v>#N/A</v>
      </c>
      <c r="P888" s="282">
        <f>++Tabla4[[#This Row],[Precio Descontado]]*Tabla4[[#This Row],[Cantidad]]</f>
        <v>7535.8176780000003</v>
      </c>
      <c r="Q888" s="282" t="e">
        <f>(INDEX(Tabla6[#All],MATCH(Tabla4[[#This Row],[Producto]],Tabla6[[#All],[PRODUCTO]],0),MATCH(Tabla4[[#This Row],[Mes]],Tabla6[#Headers],0)))</f>
        <v>#N/A</v>
      </c>
      <c r="R888" s="282" t="e">
        <f>++Tabla4[[#This Row],[Precio Unitario Neto]]-Tabla4[[#This Row],[20.85%]]-Tabla4[[#This Row],[Costo]]</f>
        <v>#N/A</v>
      </c>
      <c r="S888" s="282" t="e">
        <f>++Tabla4[[#This Row],[U. Bruta Uni]]*Tabla4[[#This Row],[Cantidad]]</f>
        <v>#N/A</v>
      </c>
      <c r="T888" s="369" t="str">
        <f>VLOOKUP(Tabla4[[#This Row],[Producto]],Tabla6[#All],14,FALSE)</f>
        <v>Termico Solar</v>
      </c>
      <c r="U888" s="284" t="e">
        <f>(IF(Tabla4[[#This Row],[Familia]]="termico solar",Tabla4[[#This Row],[Utilidad Total]]*6%,Tabla4[[#This Row],[Utilidad Total]]*11.5%))/Tabla4[[#This Row],[Total]]</f>
        <v>#N/A</v>
      </c>
      <c r="V888" s="282" t="e">
        <f>+Tabla4[[#This Row],[Comisión Calculada]]*Tabla4[[#This Row],[Total]]</f>
        <v>#N/A</v>
      </c>
    </row>
    <row r="889" spans="1:22" hidden="1" x14ac:dyDescent="0.25">
      <c r="A889" s="100">
        <v>45716</v>
      </c>
      <c r="B889" t="str">
        <f t="shared" si="35"/>
        <v>February</v>
      </c>
      <c r="C889" s="46" t="s">
        <v>280</v>
      </c>
      <c r="F889" s="366" t="s">
        <v>1089</v>
      </c>
      <c r="G889" s="46" t="s">
        <v>83</v>
      </c>
      <c r="H889" s="46">
        <v>2</v>
      </c>
      <c r="I889" s="51">
        <v>8858.76</v>
      </c>
      <c r="J889" s="281">
        <f>++Tabla4[[#This Row],[Precio Bruto]]*1.16</f>
        <v>10276.161599999999</v>
      </c>
      <c r="K889" s="281">
        <f>+Tabla4[[#This Row],[Precio Unitario Neto]]*Tabla4[[#Headers],[20.85%]]</f>
        <v>2142.5796935999997</v>
      </c>
      <c r="L889" s="282">
        <f>++Tabla4[[#This Row],[Precio Unitario Neto]]-Tabla4[[#This Row],[20.85%]]</f>
        <v>8133.5819063999998</v>
      </c>
      <c r="M889" s="282" t="e">
        <f>(INDEX(Tabla6[#All],MATCH(Tabla4[[#This Row],[Producto]],Tabla6[[#All],[PRODUCTO]],0),MATCH(Tabla4[[#This Row],[Mes]],Tabla6[#Headers],0)))*(1+Catalogos!$L$2)</f>
        <v>#N/A</v>
      </c>
      <c r="N889" s="283" t="e">
        <f>+(Tabla4[[#This Row],[Precio Descontado]]-Tabla4[[#This Row],[Precio Base]])*Tabla4[[#This Row],[Cantidad]]</f>
        <v>#N/A</v>
      </c>
      <c r="O889" s="284" t="e">
        <f>++Tabla4[[#This Row],[Utilidad Total]]/Tabla4[[#This Row],[Total]]</f>
        <v>#N/A</v>
      </c>
      <c r="P889" s="282">
        <f>++Tabla4[[#This Row],[Precio Descontado]]*Tabla4[[#This Row],[Cantidad]]</f>
        <v>16267.1638128</v>
      </c>
      <c r="Q889" s="282" t="e">
        <f>(INDEX(Tabla6[#All],MATCH(Tabla4[[#This Row],[Producto]],Tabla6[[#All],[PRODUCTO]],0),MATCH(Tabla4[[#This Row],[Mes]],Tabla6[#Headers],0)))</f>
        <v>#N/A</v>
      </c>
      <c r="R889" s="282" t="e">
        <f>++Tabla4[[#This Row],[Precio Unitario Neto]]-Tabla4[[#This Row],[20.85%]]-Tabla4[[#This Row],[Costo]]</f>
        <v>#N/A</v>
      </c>
      <c r="S889" s="282" t="e">
        <f>++Tabla4[[#This Row],[U. Bruta Uni]]*Tabla4[[#This Row],[Cantidad]]</f>
        <v>#N/A</v>
      </c>
      <c r="T889" s="369" t="str">
        <f>VLOOKUP(Tabla4[[#This Row],[Producto]],Tabla6[#All],14,FALSE)</f>
        <v>Termico Solar</v>
      </c>
      <c r="U889" s="284" t="e">
        <f>(IF(Tabla4[[#This Row],[Familia]]="termico solar",Tabla4[[#This Row],[Utilidad Total]]*6%,Tabla4[[#This Row],[Utilidad Total]]*11.5%))/Tabla4[[#This Row],[Total]]</f>
        <v>#N/A</v>
      </c>
      <c r="V889" s="282" t="e">
        <f>+Tabla4[[#This Row],[Comisión Calculada]]*Tabla4[[#This Row],[Total]]</f>
        <v>#N/A</v>
      </c>
    </row>
    <row r="890" spans="1:22" hidden="1" x14ac:dyDescent="0.25">
      <c r="A890" s="100">
        <v>45716</v>
      </c>
      <c r="B890" t="str">
        <f t="shared" si="35"/>
        <v>February</v>
      </c>
      <c r="C890" s="46" t="s">
        <v>280</v>
      </c>
      <c r="F890" s="366" t="s">
        <v>1089</v>
      </c>
      <c r="G890" s="46" t="s">
        <v>16</v>
      </c>
      <c r="H890" s="46">
        <v>2</v>
      </c>
      <c r="I890" s="51">
        <v>4103.8500000000004</v>
      </c>
      <c r="J890" s="281">
        <f>++Tabla4[[#This Row],[Precio Bruto]]*1.16</f>
        <v>4760.4660000000003</v>
      </c>
      <c r="K890" s="281">
        <f>+Tabla4[[#This Row],[Precio Unitario Neto]]*Tabla4[[#Headers],[20.85%]]</f>
        <v>992.55716100000006</v>
      </c>
      <c r="L890" s="282">
        <f>++Tabla4[[#This Row],[Precio Unitario Neto]]-Tabla4[[#This Row],[20.85%]]</f>
        <v>3767.9088390000002</v>
      </c>
      <c r="M890" s="282" t="e">
        <f>(INDEX(Tabla6[#All],MATCH(Tabla4[[#This Row],[Producto]],Tabla6[[#All],[PRODUCTO]],0),MATCH(Tabla4[[#This Row],[Mes]],Tabla6[#Headers],0)))*(1+Catalogos!$L$2)</f>
        <v>#N/A</v>
      </c>
      <c r="N890" s="283" t="e">
        <f>+(Tabla4[[#This Row],[Precio Descontado]]-Tabla4[[#This Row],[Precio Base]])*Tabla4[[#This Row],[Cantidad]]</f>
        <v>#N/A</v>
      </c>
      <c r="O890" s="284" t="e">
        <f>++Tabla4[[#This Row],[Utilidad Total]]/Tabla4[[#This Row],[Total]]</f>
        <v>#N/A</v>
      </c>
      <c r="P890" s="282">
        <f>++Tabla4[[#This Row],[Precio Descontado]]*Tabla4[[#This Row],[Cantidad]]</f>
        <v>7535.8176780000003</v>
      </c>
      <c r="Q890" s="282" t="e">
        <f>(INDEX(Tabla6[#All],MATCH(Tabla4[[#This Row],[Producto]],Tabla6[[#All],[PRODUCTO]],0),MATCH(Tabla4[[#This Row],[Mes]],Tabla6[#Headers],0)))</f>
        <v>#N/A</v>
      </c>
      <c r="R890" s="282" t="e">
        <f>++Tabla4[[#This Row],[Precio Unitario Neto]]-Tabla4[[#This Row],[20.85%]]-Tabla4[[#This Row],[Costo]]</f>
        <v>#N/A</v>
      </c>
      <c r="S890" s="282" t="e">
        <f>++Tabla4[[#This Row],[U. Bruta Uni]]*Tabla4[[#This Row],[Cantidad]]</f>
        <v>#N/A</v>
      </c>
      <c r="T890" s="369" t="str">
        <f>VLOOKUP(Tabla4[[#This Row],[Producto]],Tabla6[#All],14,FALSE)</f>
        <v>Termico Solar</v>
      </c>
      <c r="U890" s="284" t="e">
        <f>(IF(Tabla4[[#This Row],[Familia]]="termico solar",Tabla4[[#This Row],[Utilidad Total]]*6%,Tabla4[[#This Row],[Utilidad Total]]*11.5%))/Tabla4[[#This Row],[Total]]</f>
        <v>#N/A</v>
      </c>
      <c r="V890" s="282" t="e">
        <f>+Tabla4[[#This Row],[Comisión Calculada]]*Tabla4[[#This Row],[Total]]</f>
        <v>#N/A</v>
      </c>
    </row>
    <row r="891" spans="1:22" hidden="1" x14ac:dyDescent="0.25">
      <c r="A891" s="100">
        <v>45716</v>
      </c>
      <c r="B891" t="str">
        <f t="shared" si="35"/>
        <v>February</v>
      </c>
      <c r="C891" s="46" t="s">
        <v>280</v>
      </c>
      <c r="F891" s="366" t="s">
        <v>1090</v>
      </c>
      <c r="G891" s="46" t="s">
        <v>83</v>
      </c>
      <c r="H891" s="46">
        <v>4</v>
      </c>
      <c r="I891" s="51">
        <v>8858.76</v>
      </c>
      <c r="J891" s="281">
        <f>++Tabla4[[#This Row],[Precio Bruto]]*1.16</f>
        <v>10276.161599999999</v>
      </c>
      <c r="K891" s="281">
        <f>+Tabla4[[#This Row],[Precio Unitario Neto]]*Tabla4[[#Headers],[20.85%]]</f>
        <v>2142.5796935999997</v>
      </c>
      <c r="L891" s="282">
        <f>++Tabla4[[#This Row],[Precio Unitario Neto]]-Tabla4[[#This Row],[20.85%]]</f>
        <v>8133.5819063999998</v>
      </c>
      <c r="M891" s="282" t="e">
        <f>(INDEX(Tabla6[#All],MATCH(Tabla4[[#This Row],[Producto]],Tabla6[[#All],[PRODUCTO]],0),MATCH(Tabla4[[#This Row],[Mes]],Tabla6[#Headers],0)))*(1+Catalogos!$L$2)</f>
        <v>#N/A</v>
      </c>
      <c r="N891" s="283" t="e">
        <f>+(Tabla4[[#This Row],[Precio Descontado]]-Tabla4[[#This Row],[Precio Base]])*Tabla4[[#This Row],[Cantidad]]</f>
        <v>#N/A</v>
      </c>
      <c r="O891" s="284" t="e">
        <f>++Tabla4[[#This Row],[Utilidad Total]]/Tabla4[[#This Row],[Total]]</f>
        <v>#N/A</v>
      </c>
      <c r="P891" s="282">
        <f>++Tabla4[[#This Row],[Precio Descontado]]*Tabla4[[#This Row],[Cantidad]]</f>
        <v>32534.327625599999</v>
      </c>
      <c r="Q891" s="282" t="e">
        <f>(INDEX(Tabla6[#All],MATCH(Tabla4[[#This Row],[Producto]],Tabla6[[#All],[PRODUCTO]],0),MATCH(Tabla4[[#This Row],[Mes]],Tabla6[#Headers],0)))</f>
        <v>#N/A</v>
      </c>
      <c r="R891" s="282" t="e">
        <f>++Tabla4[[#This Row],[Precio Unitario Neto]]-Tabla4[[#This Row],[20.85%]]-Tabla4[[#This Row],[Costo]]</f>
        <v>#N/A</v>
      </c>
      <c r="S891" s="282" t="e">
        <f>++Tabla4[[#This Row],[U. Bruta Uni]]*Tabla4[[#This Row],[Cantidad]]</f>
        <v>#N/A</v>
      </c>
      <c r="T891" s="369" t="str">
        <f>VLOOKUP(Tabla4[[#This Row],[Producto]],Tabla6[#All],14,FALSE)</f>
        <v>Termico Solar</v>
      </c>
      <c r="U891" s="284" t="e">
        <f>(IF(Tabla4[[#This Row],[Familia]]="termico solar",Tabla4[[#This Row],[Utilidad Total]]*6%,Tabla4[[#This Row],[Utilidad Total]]*11.5%))/Tabla4[[#This Row],[Total]]</f>
        <v>#N/A</v>
      </c>
      <c r="V891" s="282" t="e">
        <f>+Tabla4[[#This Row],[Comisión Calculada]]*Tabla4[[#This Row],[Total]]</f>
        <v>#N/A</v>
      </c>
    </row>
    <row r="892" spans="1:22" hidden="1" x14ac:dyDescent="0.25">
      <c r="A892" s="100">
        <v>45716</v>
      </c>
      <c r="B892" t="str">
        <f t="shared" si="35"/>
        <v>February</v>
      </c>
      <c r="C892" s="46" t="s">
        <v>280</v>
      </c>
      <c r="F892" s="366" t="s">
        <v>1090</v>
      </c>
      <c r="G892" s="46" t="s">
        <v>17</v>
      </c>
      <c r="H892" s="46">
        <v>8</v>
      </c>
      <c r="I892" s="51">
        <v>4622.28</v>
      </c>
      <c r="J892" s="281">
        <f>++Tabla4[[#This Row],[Precio Bruto]]*1.16</f>
        <v>5361.8447999999989</v>
      </c>
      <c r="K892" s="281">
        <f>+Tabla4[[#This Row],[Precio Unitario Neto]]*Tabla4[[#Headers],[20.85%]]</f>
        <v>1117.9446407999997</v>
      </c>
      <c r="L892" s="282">
        <f>++Tabla4[[#This Row],[Precio Unitario Neto]]-Tabla4[[#This Row],[20.85%]]</f>
        <v>4243.9001591999995</v>
      </c>
      <c r="M892" s="282" t="e">
        <f>(INDEX(Tabla6[#All],MATCH(Tabla4[[#This Row],[Producto]],Tabla6[[#All],[PRODUCTO]],0),MATCH(Tabla4[[#This Row],[Mes]],Tabla6[#Headers],0)))*(1+Catalogos!$L$2)</f>
        <v>#N/A</v>
      </c>
      <c r="N892" s="283" t="e">
        <f>+(Tabla4[[#This Row],[Precio Descontado]]-Tabla4[[#This Row],[Precio Base]])*Tabla4[[#This Row],[Cantidad]]</f>
        <v>#N/A</v>
      </c>
      <c r="O892" s="284" t="e">
        <f>++Tabla4[[#This Row],[Utilidad Total]]/Tabla4[[#This Row],[Total]]</f>
        <v>#N/A</v>
      </c>
      <c r="P892" s="282">
        <f>++Tabla4[[#This Row],[Precio Descontado]]*Tabla4[[#This Row],[Cantidad]]</f>
        <v>33951.201273599996</v>
      </c>
      <c r="Q892" s="282" t="e">
        <f>(INDEX(Tabla6[#All],MATCH(Tabla4[[#This Row],[Producto]],Tabla6[[#All],[PRODUCTO]],0),MATCH(Tabla4[[#This Row],[Mes]],Tabla6[#Headers],0)))</f>
        <v>#N/A</v>
      </c>
      <c r="R892" s="282" t="e">
        <f>++Tabla4[[#This Row],[Precio Unitario Neto]]-Tabla4[[#This Row],[20.85%]]-Tabla4[[#This Row],[Costo]]</f>
        <v>#N/A</v>
      </c>
      <c r="S892" s="282" t="e">
        <f>++Tabla4[[#This Row],[U. Bruta Uni]]*Tabla4[[#This Row],[Cantidad]]</f>
        <v>#N/A</v>
      </c>
      <c r="T892" s="369" t="str">
        <f>VLOOKUP(Tabla4[[#This Row],[Producto]],Tabla6[#All],14,FALSE)</f>
        <v>Termico Solar</v>
      </c>
      <c r="U892" s="284" t="e">
        <f>(IF(Tabla4[[#This Row],[Familia]]="termico solar",Tabla4[[#This Row],[Utilidad Total]]*6%,Tabla4[[#This Row],[Utilidad Total]]*11.5%))/Tabla4[[#This Row],[Total]]</f>
        <v>#N/A</v>
      </c>
      <c r="V892" s="282" t="e">
        <f>+Tabla4[[#This Row],[Comisión Calculada]]*Tabla4[[#This Row],[Total]]</f>
        <v>#N/A</v>
      </c>
    </row>
    <row r="893" spans="1:22" hidden="1" x14ac:dyDescent="0.25">
      <c r="A893" s="100">
        <v>45716</v>
      </c>
      <c r="B893" t="str">
        <f t="shared" si="35"/>
        <v>February</v>
      </c>
      <c r="C893" s="46" t="s">
        <v>280</v>
      </c>
      <c r="F893" s="366" t="s">
        <v>1090</v>
      </c>
      <c r="G893" s="46" t="s">
        <v>18</v>
      </c>
      <c r="H893" s="46">
        <v>13</v>
      </c>
      <c r="I893" s="51">
        <v>5367.65</v>
      </c>
      <c r="J893" s="281">
        <f>++Tabla4[[#This Row],[Precio Bruto]]*1.16</f>
        <v>6226.4739999999993</v>
      </c>
      <c r="K893" s="281">
        <f>+Tabla4[[#This Row],[Precio Unitario Neto]]*Tabla4[[#Headers],[20.85%]]</f>
        <v>1298.2198289999999</v>
      </c>
      <c r="L893" s="282">
        <f>++Tabla4[[#This Row],[Precio Unitario Neto]]-Tabla4[[#This Row],[20.85%]]</f>
        <v>4928.2541709999996</v>
      </c>
      <c r="M893" s="282" t="e">
        <f>(INDEX(Tabla6[#All],MATCH(Tabla4[[#This Row],[Producto]],Tabla6[[#All],[PRODUCTO]],0),MATCH(Tabla4[[#This Row],[Mes]],Tabla6[#Headers],0)))*(1+Catalogos!$L$2)</f>
        <v>#N/A</v>
      </c>
      <c r="N893" s="283" t="e">
        <f>+(Tabla4[[#This Row],[Precio Descontado]]-Tabla4[[#This Row],[Precio Base]])*Tabla4[[#This Row],[Cantidad]]</f>
        <v>#N/A</v>
      </c>
      <c r="O893" s="284" t="e">
        <f>++Tabla4[[#This Row],[Utilidad Total]]/Tabla4[[#This Row],[Total]]</f>
        <v>#N/A</v>
      </c>
      <c r="P893" s="282">
        <f>++Tabla4[[#This Row],[Precio Descontado]]*Tabla4[[#This Row],[Cantidad]]</f>
        <v>64067.304222999992</v>
      </c>
      <c r="Q893" s="282" t="e">
        <f>(INDEX(Tabla6[#All],MATCH(Tabla4[[#This Row],[Producto]],Tabla6[[#All],[PRODUCTO]],0),MATCH(Tabla4[[#This Row],[Mes]],Tabla6[#Headers],0)))</f>
        <v>#N/A</v>
      </c>
      <c r="R893" s="282" t="e">
        <f>++Tabla4[[#This Row],[Precio Unitario Neto]]-Tabla4[[#This Row],[20.85%]]-Tabla4[[#This Row],[Costo]]</f>
        <v>#N/A</v>
      </c>
      <c r="S893" s="282" t="e">
        <f>++Tabla4[[#This Row],[U. Bruta Uni]]*Tabla4[[#This Row],[Cantidad]]</f>
        <v>#N/A</v>
      </c>
      <c r="T893" s="369" t="str">
        <f>VLOOKUP(Tabla4[[#This Row],[Producto]],Tabla6[#All],14,FALSE)</f>
        <v>Termico Solar</v>
      </c>
      <c r="U893" s="284" t="e">
        <f>(IF(Tabla4[[#This Row],[Familia]]="termico solar",Tabla4[[#This Row],[Utilidad Total]]*6%,Tabla4[[#This Row],[Utilidad Total]]*11.5%))/Tabla4[[#This Row],[Total]]</f>
        <v>#N/A</v>
      </c>
      <c r="V893" s="282" t="e">
        <f>+Tabla4[[#This Row],[Comisión Calculada]]*Tabla4[[#This Row],[Total]]</f>
        <v>#N/A</v>
      </c>
    </row>
    <row r="894" spans="1:22" hidden="1" x14ac:dyDescent="0.25">
      <c r="A894" s="100">
        <v>45716</v>
      </c>
      <c r="B894" t="str">
        <f t="shared" si="35"/>
        <v>February</v>
      </c>
      <c r="C894" s="46" t="s">
        <v>280</v>
      </c>
      <c r="F894" s="366" t="s">
        <v>1090</v>
      </c>
      <c r="G894" s="46" t="s">
        <v>16</v>
      </c>
      <c r="H894" s="46">
        <v>8</v>
      </c>
      <c r="I894" s="51">
        <v>4103.8500000000004</v>
      </c>
      <c r="J894" s="281">
        <f>++Tabla4[[#This Row],[Precio Bruto]]*1.16</f>
        <v>4760.4660000000003</v>
      </c>
      <c r="K894" s="281">
        <f>+Tabla4[[#This Row],[Precio Unitario Neto]]*Tabla4[[#Headers],[20.85%]]</f>
        <v>992.55716100000006</v>
      </c>
      <c r="L894" s="282">
        <f>++Tabla4[[#This Row],[Precio Unitario Neto]]-Tabla4[[#This Row],[20.85%]]</f>
        <v>3767.9088390000002</v>
      </c>
      <c r="M894" s="282" t="e">
        <f>(INDEX(Tabla6[#All],MATCH(Tabla4[[#This Row],[Producto]],Tabla6[[#All],[PRODUCTO]],0),MATCH(Tabla4[[#This Row],[Mes]],Tabla6[#Headers],0)))*(1+Catalogos!$L$2)</f>
        <v>#N/A</v>
      </c>
      <c r="N894" s="283" t="e">
        <f>+(Tabla4[[#This Row],[Precio Descontado]]-Tabla4[[#This Row],[Precio Base]])*Tabla4[[#This Row],[Cantidad]]</f>
        <v>#N/A</v>
      </c>
      <c r="O894" s="284" t="e">
        <f>++Tabla4[[#This Row],[Utilidad Total]]/Tabla4[[#This Row],[Total]]</f>
        <v>#N/A</v>
      </c>
      <c r="P894" s="282">
        <f>++Tabla4[[#This Row],[Precio Descontado]]*Tabla4[[#This Row],[Cantidad]]</f>
        <v>30143.270712000001</v>
      </c>
      <c r="Q894" s="282" t="e">
        <f>(INDEX(Tabla6[#All],MATCH(Tabla4[[#This Row],[Producto]],Tabla6[[#All],[PRODUCTO]],0),MATCH(Tabla4[[#This Row],[Mes]],Tabla6[#Headers],0)))</f>
        <v>#N/A</v>
      </c>
      <c r="R894" s="282" t="e">
        <f>++Tabla4[[#This Row],[Precio Unitario Neto]]-Tabla4[[#This Row],[20.85%]]-Tabla4[[#This Row],[Costo]]</f>
        <v>#N/A</v>
      </c>
      <c r="S894" s="282" t="e">
        <f>++Tabla4[[#This Row],[U. Bruta Uni]]*Tabla4[[#This Row],[Cantidad]]</f>
        <v>#N/A</v>
      </c>
      <c r="T894" s="369" t="str">
        <f>VLOOKUP(Tabla4[[#This Row],[Producto]],Tabla6[#All],14,FALSE)</f>
        <v>Termico Solar</v>
      </c>
      <c r="U894" s="284" t="e">
        <f>(IF(Tabla4[[#This Row],[Familia]]="termico solar",Tabla4[[#This Row],[Utilidad Total]]*6%,Tabla4[[#This Row],[Utilidad Total]]*11.5%))/Tabla4[[#This Row],[Total]]</f>
        <v>#N/A</v>
      </c>
      <c r="V894" s="282" t="e">
        <f>+Tabla4[[#This Row],[Comisión Calculada]]*Tabla4[[#This Row],[Total]]</f>
        <v>#N/A</v>
      </c>
    </row>
    <row r="895" spans="1:22" hidden="1" x14ac:dyDescent="0.25">
      <c r="A895" s="100">
        <v>45716</v>
      </c>
      <c r="B895" t="str">
        <f t="shared" si="35"/>
        <v>February</v>
      </c>
      <c r="C895" s="46" t="s">
        <v>280</v>
      </c>
      <c r="F895" s="366" t="s">
        <v>1091</v>
      </c>
      <c r="G895" s="46" t="s">
        <v>17</v>
      </c>
      <c r="H895" s="46">
        <v>1</v>
      </c>
      <c r="I895" s="51">
        <v>4622.28</v>
      </c>
      <c r="J895" s="281">
        <f>++Tabla4[[#This Row],[Precio Bruto]]*1.16</f>
        <v>5361.8447999999989</v>
      </c>
      <c r="K895" s="281">
        <f>+Tabla4[[#This Row],[Precio Unitario Neto]]*Tabla4[[#Headers],[20.85%]]</f>
        <v>1117.9446407999997</v>
      </c>
      <c r="L895" s="282">
        <f>++Tabla4[[#This Row],[Precio Unitario Neto]]-Tabla4[[#This Row],[20.85%]]</f>
        <v>4243.9001591999995</v>
      </c>
      <c r="M895" s="282" t="e">
        <f>(INDEX(Tabla6[#All],MATCH(Tabla4[[#This Row],[Producto]],Tabla6[[#All],[PRODUCTO]],0),MATCH(Tabla4[[#This Row],[Mes]],Tabla6[#Headers],0)))*(1+Catalogos!$L$2)</f>
        <v>#N/A</v>
      </c>
      <c r="N895" s="283" t="e">
        <f>+(Tabla4[[#This Row],[Precio Descontado]]-Tabla4[[#This Row],[Precio Base]])*Tabla4[[#This Row],[Cantidad]]</f>
        <v>#N/A</v>
      </c>
      <c r="O895" s="284" t="e">
        <f>++Tabla4[[#This Row],[Utilidad Total]]/Tabla4[[#This Row],[Total]]</f>
        <v>#N/A</v>
      </c>
      <c r="P895" s="282">
        <f>++Tabla4[[#This Row],[Precio Descontado]]*Tabla4[[#This Row],[Cantidad]]</f>
        <v>4243.9001591999995</v>
      </c>
      <c r="Q895" s="282" t="e">
        <f>(INDEX(Tabla6[#All],MATCH(Tabla4[[#This Row],[Producto]],Tabla6[[#All],[PRODUCTO]],0),MATCH(Tabla4[[#This Row],[Mes]],Tabla6[#Headers],0)))</f>
        <v>#N/A</v>
      </c>
      <c r="R895" s="282" t="e">
        <f>++Tabla4[[#This Row],[Precio Unitario Neto]]-Tabla4[[#This Row],[20.85%]]-Tabla4[[#This Row],[Costo]]</f>
        <v>#N/A</v>
      </c>
      <c r="S895" s="282" t="e">
        <f>++Tabla4[[#This Row],[U. Bruta Uni]]*Tabla4[[#This Row],[Cantidad]]</f>
        <v>#N/A</v>
      </c>
      <c r="T895" s="369" t="str">
        <f>VLOOKUP(Tabla4[[#This Row],[Producto]],Tabla6[#All],14,FALSE)</f>
        <v>Termico Solar</v>
      </c>
      <c r="U895" s="284" t="e">
        <f>(IF(Tabla4[[#This Row],[Familia]]="termico solar",Tabla4[[#This Row],[Utilidad Total]]*6%,Tabla4[[#This Row],[Utilidad Total]]*11.5%))/Tabla4[[#This Row],[Total]]</f>
        <v>#N/A</v>
      </c>
      <c r="V895" s="282" t="e">
        <f>+Tabla4[[#This Row],[Comisión Calculada]]*Tabla4[[#This Row],[Total]]</f>
        <v>#N/A</v>
      </c>
    </row>
    <row r="896" spans="1:22" hidden="1" x14ac:dyDescent="0.25">
      <c r="A896" s="100">
        <v>45716</v>
      </c>
      <c r="B896" t="str">
        <f t="shared" si="35"/>
        <v>February</v>
      </c>
      <c r="C896" s="46" t="s">
        <v>280</v>
      </c>
      <c r="F896" s="366" t="s">
        <v>1092</v>
      </c>
      <c r="G896" s="46" t="s">
        <v>83</v>
      </c>
      <c r="H896" s="46">
        <v>1</v>
      </c>
      <c r="I896" s="51">
        <v>8858.76</v>
      </c>
      <c r="J896" s="281">
        <f>++Tabla4[[#This Row],[Precio Bruto]]*1.16</f>
        <v>10276.161599999999</v>
      </c>
      <c r="K896" s="281">
        <f>+Tabla4[[#This Row],[Precio Unitario Neto]]*Tabla4[[#Headers],[20.85%]]</f>
        <v>2142.5796935999997</v>
      </c>
      <c r="L896" s="282">
        <f>++Tabla4[[#This Row],[Precio Unitario Neto]]-Tabla4[[#This Row],[20.85%]]</f>
        <v>8133.5819063999998</v>
      </c>
      <c r="M896" s="282" t="e">
        <f>(INDEX(Tabla6[#All],MATCH(Tabla4[[#This Row],[Producto]],Tabla6[[#All],[PRODUCTO]],0),MATCH(Tabla4[[#This Row],[Mes]],Tabla6[#Headers],0)))*(1+Catalogos!$L$2)</f>
        <v>#N/A</v>
      </c>
      <c r="N896" s="283" t="e">
        <f>+(Tabla4[[#This Row],[Precio Descontado]]-Tabla4[[#This Row],[Precio Base]])*Tabla4[[#This Row],[Cantidad]]</f>
        <v>#N/A</v>
      </c>
      <c r="O896" s="284" t="e">
        <f>++Tabla4[[#This Row],[Utilidad Total]]/Tabla4[[#This Row],[Total]]</f>
        <v>#N/A</v>
      </c>
      <c r="P896" s="282">
        <f>++Tabla4[[#This Row],[Precio Descontado]]*Tabla4[[#This Row],[Cantidad]]</f>
        <v>8133.5819063999998</v>
      </c>
      <c r="Q896" s="282" t="e">
        <f>(INDEX(Tabla6[#All],MATCH(Tabla4[[#This Row],[Producto]],Tabla6[[#All],[PRODUCTO]],0),MATCH(Tabla4[[#This Row],[Mes]],Tabla6[#Headers],0)))</f>
        <v>#N/A</v>
      </c>
      <c r="R896" s="282" t="e">
        <f>++Tabla4[[#This Row],[Precio Unitario Neto]]-Tabla4[[#This Row],[20.85%]]-Tabla4[[#This Row],[Costo]]</f>
        <v>#N/A</v>
      </c>
      <c r="S896" s="282" t="e">
        <f>++Tabla4[[#This Row],[U. Bruta Uni]]*Tabla4[[#This Row],[Cantidad]]</f>
        <v>#N/A</v>
      </c>
      <c r="T896" s="369" t="str">
        <f>VLOOKUP(Tabla4[[#This Row],[Producto]],Tabla6[#All],14,FALSE)</f>
        <v>Termico Solar</v>
      </c>
      <c r="U896" s="284" t="e">
        <f>(IF(Tabla4[[#This Row],[Familia]]="termico solar",Tabla4[[#This Row],[Utilidad Total]]*6%,Tabla4[[#This Row],[Utilidad Total]]*11.5%))/Tabla4[[#This Row],[Total]]</f>
        <v>#N/A</v>
      </c>
      <c r="V896" s="282" t="e">
        <f>+Tabla4[[#This Row],[Comisión Calculada]]*Tabla4[[#This Row],[Total]]</f>
        <v>#N/A</v>
      </c>
    </row>
    <row r="897" spans="1:22" hidden="1" x14ac:dyDescent="0.25">
      <c r="A897" s="100">
        <v>45716</v>
      </c>
      <c r="B897" t="str">
        <f t="shared" si="35"/>
        <v>February</v>
      </c>
      <c r="C897" s="46" t="s">
        <v>280</v>
      </c>
      <c r="F897" s="366" t="s">
        <v>1092</v>
      </c>
      <c r="G897" s="46" t="s">
        <v>17</v>
      </c>
      <c r="H897" s="46">
        <v>1</v>
      </c>
      <c r="I897" s="51">
        <v>4622.28</v>
      </c>
      <c r="J897" s="281">
        <f>++Tabla4[[#This Row],[Precio Bruto]]*1.16</f>
        <v>5361.8447999999989</v>
      </c>
      <c r="K897" s="281">
        <f>+Tabla4[[#This Row],[Precio Unitario Neto]]*Tabla4[[#Headers],[20.85%]]</f>
        <v>1117.9446407999997</v>
      </c>
      <c r="L897" s="282">
        <f>++Tabla4[[#This Row],[Precio Unitario Neto]]-Tabla4[[#This Row],[20.85%]]</f>
        <v>4243.9001591999995</v>
      </c>
      <c r="M897" s="282" t="e">
        <f>(INDEX(Tabla6[#All],MATCH(Tabla4[[#This Row],[Producto]],Tabla6[[#All],[PRODUCTO]],0),MATCH(Tabla4[[#This Row],[Mes]],Tabla6[#Headers],0)))*(1+Catalogos!$L$2)</f>
        <v>#N/A</v>
      </c>
      <c r="N897" s="283" t="e">
        <f>+(Tabla4[[#This Row],[Precio Descontado]]-Tabla4[[#This Row],[Precio Base]])*Tabla4[[#This Row],[Cantidad]]</f>
        <v>#N/A</v>
      </c>
      <c r="O897" s="284" t="e">
        <f>++Tabla4[[#This Row],[Utilidad Total]]/Tabla4[[#This Row],[Total]]</f>
        <v>#N/A</v>
      </c>
      <c r="P897" s="282">
        <f>++Tabla4[[#This Row],[Precio Descontado]]*Tabla4[[#This Row],[Cantidad]]</f>
        <v>4243.9001591999995</v>
      </c>
      <c r="Q897" s="282" t="e">
        <f>(INDEX(Tabla6[#All],MATCH(Tabla4[[#This Row],[Producto]],Tabla6[[#All],[PRODUCTO]],0),MATCH(Tabla4[[#This Row],[Mes]],Tabla6[#Headers],0)))</f>
        <v>#N/A</v>
      </c>
      <c r="R897" s="282" t="e">
        <f>++Tabla4[[#This Row],[Precio Unitario Neto]]-Tabla4[[#This Row],[20.85%]]-Tabla4[[#This Row],[Costo]]</f>
        <v>#N/A</v>
      </c>
      <c r="S897" s="282" t="e">
        <f>++Tabla4[[#This Row],[U. Bruta Uni]]*Tabla4[[#This Row],[Cantidad]]</f>
        <v>#N/A</v>
      </c>
      <c r="T897" s="369" t="str">
        <f>VLOOKUP(Tabla4[[#This Row],[Producto]],Tabla6[#All],14,FALSE)</f>
        <v>Termico Solar</v>
      </c>
      <c r="U897" s="284" t="e">
        <f>(IF(Tabla4[[#This Row],[Familia]]="termico solar",Tabla4[[#This Row],[Utilidad Total]]*6%,Tabla4[[#This Row],[Utilidad Total]]*11.5%))/Tabla4[[#This Row],[Total]]</f>
        <v>#N/A</v>
      </c>
      <c r="V897" s="282" t="e">
        <f>+Tabla4[[#This Row],[Comisión Calculada]]*Tabla4[[#This Row],[Total]]</f>
        <v>#N/A</v>
      </c>
    </row>
    <row r="898" spans="1:22" hidden="1" x14ac:dyDescent="0.25">
      <c r="A898" s="100">
        <v>45716</v>
      </c>
      <c r="B898" t="str">
        <f t="shared" si="35"/>
        <v>February</v>
      </c>
      <c r="C898" s="46" t="s">
        <v>280</v>
      </c>
      <c r="F898" s="366" t="s">
        <v>1093</v>
      </c>
      <c r="G898" s="46" t="s">
        <v>83</v>
      </c>
      <c r="H898" s="46">
        <v>1</v>
      </c>
      <c r="I898" s="51">
        <v>8858.76</v>
      </c>
      <c r="J898" s="281">
        <f>++Tabla4[[#This Row],[Precio Bruto]]*1.16</f>
        <v>10276.161599999999</v>
      </c>
      <c r="K898" s="281">
        <f>+Tabla4[[#This Row],[Precio Unitario Neto]]*Tabla4[[#Headers],[20.85%]]</f>
        <v>2142.5796935999997</v>
      </c>
      <c r="L898" s="282">
        <f>++Tabla4[[#This Row],[Precio Unitario Neto]]-Tabla4[[#This Row],[20.85%]]</f>
        <v>8133.5819063999998</v>
      </c>
      <c r="M898" s="282" t="e">
        <f>(INDEX(Tabla6[#All],MATCH(Tabla4[[#This Row],[Producto]],Tabla6[[#All],[PRODUCTO]],0),MATCH(Tabla4[[#This Row],[Mes]],Tabla6[#Headers],0)))*(1+Catalogos!$L$2)</f>
        <v>#N/A</v>
      </c>
      <c r="N898" s="283" t="e">
        <f>+(Tabla4[[#This Row],[Precio Descontado]]-Tabla4[[#This Row],[Precio Base]])*Tabla4[[#This Row],[Cantidad]]</f>
        <v>#N/A</v>
      </c>
      <c r="O898" s="284" t="e">
        <f>++Tabla4[[#This Row],[Utilidad Total]]/Tabla4[[#This Row],[Total]]</f>
        <v>#N/A</v>
      </c>
      <c r="P898" s="282">
        <f>++Tabla4[[#This Row],[Precio Descontado]]*Tabla4[[#This Row],[Cantidad]]</f>
        <v>8133.5819063999998</v>
      </c>
      <c r="Q898" s="282" t="e">
        <f>(INDEX(Tabla6[#All],MATCH(Tabla4[[#This Row],[Producto]],Tabla6[[#All],[PRODUCTO]],0),MATCH(Tabla4[[#This Row],[Mes]],Tabla6[#Headers],0)))</f>
        <v>#N/A</v>
      </c>
      <c r="R898" s="282" t="e">
        <f>++Tabla4[[#This Row],[Precio Unitario Neto]]-Tabla4[[#This Row],[20.85%]]-Tabla4[[#This Row],[Costo]]</f>
        <v>#N/A</v>
      </c>
      <c r="S898" s="282" t="e">
        <f>++Tabla4[[#This Row],[U. Bruta Uni]]*Tabla4[[#This Row],[Cantidad]]</f>
        <v>#N/A</v>
      </c>
      <c r="T898" s="369" t="str">
        <f>VLOOKUP(Tabla4[[#This Row],[Producto]],Tabla6[#All],14,FALSE)</f>
        <v>Termico Solar</v>
      </c>
      <c r="U898" s="284" t="e">
        <f>(IF(Tabla4[[#This Row],[Familia]]="termico solar",Tabla4[[#This Row],[Utilidad Total]]*6%,Tabla4[[#This Row],[Utilidad Total]]*11.5%))/Tabla4[[#This Row],[Total]]</f>
        <v>#N/A</v>
      </c>
      <c r="V898" s="282" t="e">
        <f>+Tabla4[[#This Row],[Comisión Calculada]]*Tabla4[[#This Row],[Total]]</f>
        <v>#N/A</v>
      </c>
    </row>
    <row r="899" spans="1:22" hidden="1" x14ac:dyDescent="0.25">
      <c r="A899" s="100">
        <v>45716</v>
      </c>
      <c r="B899" t="str">
        <f t="shared" si="35"/>
        <v>February</v>
      </c>
      <c r="C899" s="46" t="s">
        <v>280</v>
      </c>
      <c r="F899" s="366" t="s">
        <v>1094</v>
      </c>
      <c r="G899" s="46" t="s">
        <v>83</v>
      </c>
      <c r="H899" s="46">
        <v>1</v>
      </c>
      <c r="I899" s="51">
        <v>8858.76</v>
      </c>
      <c r="J899" s="281">
        <f>++Tabla4[[#This Row],[Precio Bruto]]*1.16</f>
        <v>10276.161599999999</v>
      </c>
      <c r="K899" s="281">
        <f>+Tabla4[[#This Row],[Precio Unitario Neto]]*Tabla4[[#Headers],[20.85%]]</f>
        <v>2142.5796935999997</v>
      </c>
      <c r="L899" s="282">
        <f>++Tabla4[[#This Row],[Precio Unitario Neto]]-Tabla4[[#This Row],[20.85%]]</f>
        <v>8133.5819063999998</v>
      </c>
      <c r="M899" s="282" t="e">
        <f>(INDEX(Tabla6[#All],MATCH(Tabla4[[#This Row],[Producto]],Tabla6[[#All],[PRODUCTO]],0),MATCH(Tabla4[[#This Row],[Mes]],Tabla6[#Headers],0)))*(1+Catalogos!$L$2)</f>
        <v>#N/A</v>
      </c>
      <c r="N899" s="283" t="e">
        <f>+(Tabla4[[#This Row],[Precio Descontado]]-Tabla4[[#This Row],[Precio Base]])*Tabla4[[#This Row],[Cantidad]]</f>
        <v>#N/A</v>
      </c>
      <c r="O899" s="284" t="e">
        <f>++Tabla4[[#This Row],[Utilidad Total]]/Tabla4[[#This Row],[Total]]</f>
        <v>#N/A</v>
      </c>
      <c r="P899" s="282">
        <f>++Tabla4[[#This Row],[Precio Descontado]]*Tabla4[[#This Row],[Cantidad]]</f>
        <v>8133.5819063999998</v>
      </c>
      <c r="Q899" s="282" t="e">
        <f>(INDEX(Tabla6[#All],MATCH(Tabla4[[#This Row],[Producto]],Tabla6[[#All],[PRODUCTO]],0),MATCH(Tabla4[[#This Row],[Mes]],Tabla6[#Headers],0)))</f>
        <v>#N/A</v>
      </c>
      <c r="R899" s="282" t="e">
        <f>++Tabla4[[#This Row],[Precio Unitario Neto]]-Tabla4[[#This Row],[20.85%]]-Tabla4[[#This Row],[Costo]]</f>
        <v>#N/A</v>
      </c>
      <c r="S899" s="282" t="e">
        <f>++Tabla4[[#This Row],[U. Bruta Uni]]*Tabla4[[#This Row],[Cantidad]]</f>
        <v>#N/A</v>
      </c>
      <c r="T899" s="369" t="str">
        <f>VLOOKUP(Tabla4[[#This Row],[Producto]],Tabla6[#All],14,FALSE)</f>
        <v>Termico Solar</v>
      </c>
      <c r="U899" s="284" t="e">
        <f>(IF(Tabla4[[#This Row],[Familia]]="termico solar",Tabla4[[#This Row],[Utilidad Total]]*6%,Tabla4[[#This Row],[Utilidad Total]]*11.5%))/Tabla4[[#This Row],[Total]]</f>
        <v>#N/A</v>
      </c>
      <c r="V899" s="282" t="e">
        <f>+Tabla4[[#This Row],[Comisión Calculada]]*Tabla4[[#This Row],[Total]]</f>
        <v>#N/A</v>
      </c>
    </row>
    <row r="900" spans="1:22" hidden="1" x14ac:dyDescent="0.25">
      <c r="A900" s="100">
        <v>45716</v>
      </c>
      <c r="B900" t="str">
        <f t="shared" si="35"/>
        <v>February</v>
      </c>
      <c r="C900" s="46" t="s">
        <v>280</v>
      </c>
      <c r="F900" s="366" t="s">
        <v>1095</v>
      </c>
      <c r="G900" s="46" t="s">
        <v>17</v>
      </c>
      <c r="H900" s="46">
        <v>1</v>
      </c>
      <c r="I900" s="51">
        <v>4622.28</v>
      </c>
      <c r="J900" s="281">
        <f>++Tabla4[[#This Row],[Precio Bruto]]*1.16</f>
        <v>5361.8447999999989</v>
      </c>
      <c r="K900" s="281">
        <f>+Tabla4[[#This Row],[Precio Unitario Neto]]*Tabla4[[#Headers],[20.85%]]</f>
        <v>1117.9446407999997</v>
      </c>
      <c r="L900" s="282">
        <f>++Tabla4[[#This Row],[Precio Unitario Neto]]-Tabla4[[#This Row],[20.85%]]</f>
        <v>4243.9001591999995</v>
      </c>
      <c r="M900" s="282" t="e">
        <f>(INDEX(Tabla6[#All],MATCH(Tabla4[[#This Row],[Producto]],Tabla6[[#All],[PRODUCTO]],0),MATCH(Tabla4[[#This Row],[Mes]],Tabla6[#Headers],0)))*(1+Catalogos!$L$2)</f>
        <v>#N/A</v>
      </c>
      <c r="N900" s="283" t="e">
        <f>+(Tabla4[[#This Row],[Precio Descontado]]-Tabla4[[#This Row],[Precio Base]])*Tabla4[[#This Row],[Cantidad]]</f>
        <v>#N/A</v>
      </c>
      <c r="O900" s="284" t="e">
        <f>++Tabla4[[#This Row],[Utilidad Total]]/Tabla4[[#This Row],[Total]]</f>
        <v>#N/A</v>
      </c>
      <c r="P900" s="282">
        <f>++Tabla4[[#This Row],[Precio Descontado]]*Tabla4[[#This Row],[Cantidad]]</f>
        <v>4243.9001591999995</v>
      </c>
      <c r="Q900" s="282" t="e">
        <f>(INDEX(Tabla6[#All],MATCH(Tabla4[[#This Row],[Producto]],Tabla6[[#All],[PRODUCTO]],0),MATCH(Tabla4[[#This Row],[Mes]],Tabla6[#Headers],0)))</f>
        <v>#N/A</v>
      </c>
      <c r="R900" s="282" t="e">
        <f>++Tabla4[[#This Row],[Precio Unitario Neto]]-Tabla4[[#This Row],[20.85%]]-Tabla4[[#This Row],[Costo]]</f>
        <v>#N/A</v>
      </c>
      <c r="S900" s="282" t="e">
        <f>++Tabla4[[#This Row],[U. Bruta Uni]]*Tabla4[[#This Row],[Cantidad]]</f>
        <v>#N/A</v>
      </c>
      <c r="T900" s="369" t="str">
        <f>VLOOKUP(Tabla4[[#This Row],[Producto]],Tabla6[#All],14,FALSE)</f>
        <v>Termico Solar</v>
      </c>
      <c r="U900" s="284" t="e">
        <f>(IF(Tabla4[[#This Row],[Familia]]="termico solar",Tabla4[[#This Row],[Utilidad Total]]*6%,Tabla4[[#This Row],[Utilidad Total]]*11.5%))/Tabla4[[#This Row],[Total]]</f>
        <v>#N/A</v>
      </c>
      <c r="V900" s="282" t="e">
        <f>+Tabla4[[#This Row],[Comisión Calculada]]*Tabla4[[#This Row],[Total]]</f>
        <v>#N/A</v>
      </c>
    </row>
    <row r="901" spans="1:22" hidden="1" x14ac:dyDescent="0.25">
      <c r="A901" s="100">
        <v>45716</v>
      </c>
      <c r="B901" t="str">
        <f t="shared" si="35"/>
        <v>February</v>
      </c>
      <c r="C901" s="46" t="s">
        <v>280</v>
      </c>
      <c r="F901" s="366" t="s">
        <v>1096</v>
      </c>
      <c r="G901" s="46" t="s">
        <v>18</v>
      </c>
      <c r="H901" s="46">
        <v>1</v>
      </c>
      <c r="I901" s="51">
        <v>5367.65</v>
      </c>
      <c r="J901" s="281">
        <f>++Tabla4[[#This Row],[Precio Bruto]]*1.16</f>
        <v>6226.4739999999993</v>
      </c>
      <c r="K901" s="281">
        <f>+Tabla4[[#This Row],[Precio Unitario Neto]]*Tabla4[[#Headers],[20.85%]]</f>
        <v>1298.2198289999999</v>
      </c>
      <c r="L901" s="282">
        <f>++Tabla4[[#This Row],[Precio Unitario Neto]]-Tabla4[[#This Row],[20.85%]]</f>
        <v>4928.2541709999996</v>
      </c>
      <c r="M901" s="282" t="e">
        <f>(INDEX(Tabla6[#All],MATCH(Tabla4[[#This Row],[Producto]],Tabla6[[#All],[PRODUCTO]],0),MATCH(Tabla4[[#This Row],[Mes]],Tabla6[#Headers],0)))*(1+Catalogos!$L$2)</f>
        <v>#N/A</v>
      </c>
      <c r="N901" s="283" t="e">
        <f>+(Tabla4[[#This Row],[Precio Descontado]]-Tabla4[[#This Row],[Precio Base]])*Tabla4[[#This Row],[Cantidad]]</f>
        <v>#N/A</v>
      </c>
      <c r="O901" s="284" t="e">
        <f>++Tabla4[[#This Row],[Utilidad Total]]/Tabla4[[#This Row],[Total]]</f>
        <v>#N/A</v>
      </c>
      <c r="P901" s="282">
        <f>++Tabla4[[#This Row],[Precio Descontado]]*Tabla4[[#This Row],[Cantidad]]</f>
        <v>4928.2541709999996</v>
      </c>
      <c r="Q901" s="282" t="e">
        <f>(INDEX(Tabla6[#All],MATCH(Tabla4[[#This Row],[Producto]],Tabla6[[#All],[PRODUCTO]],0),MATCH(Tabla4[[#This Row],[Mes]],Tabla6[#Headers],0)))</f>
        <v>#N/A</v>
      </c>
      <c r="R901" s="282" t="e">
        <f>++Tabla4[[#This Row],[Precio Unitario Neto]]-Tabla4[[#This Row],[20.85%]]-Tabla4[[#This Row],[Costo]]</f>
        <v>#N/A</v>
      </c>
      <c r="S901" s="282" t="e">
        <f>++Tabla4[[#This Row],[U. Bruta Uni]]*Tabla4[[#This Row],[Cantidad]]</f>
        <v>#N/A</v>
      </c>
      <c r="T901" s="369" t="str">
        <f>VLOOKUP(Tabla4[[#This Row],[Producto]],Tabla6[#All],14,FALSE)</f>
        <v>Termico Solar</v>
      </c>
      <c r="U901" s="284" t="e">
        <f>(IF(Tabla4[[#This Row],[Familia]]="termico solar",Tabla4[[#This Row],[Utilidad Total]]*6%,Tabla4[[#This Row],[Utilidad Total]]*11.5%))/Tabla4[[#This Row],[Total]]</f>
        <v>#N/A</v>
      </c>
      <c r="V901" s="282" t="e">
        <f>+Tabla4[[#This Row],[Comisión Calculada]]*Tabla4[[#This Row],[Total]]</f>
        <v>#N/A</v>
      </c>
    </row>
    <row r="902" spans="1:22" hidden="1" x14ac:dyDescent="0.25">
      <c r="A902" s="100">
        <v>45716</v>
      </c>
      <c r="B902" t="str">
        <f t="shared" si="35"/>
        <v>February</v>
      </c>
      <c r="C902" s="46" t="s">
        <v>280</v>
      </c>
      <c r="F902" s="366" t="s">
        <v>1097</v>
      </c>
      <c r="G902" s="46" t="s">
        <v>19</v>
      </c>
      <c r="H902" s="46">
        <v>1</v>
      </c>
      <c r="I902" s="51">
        <v>6412.03</v>
      </c>
      <c r="J902" s="281">
        <f>++Tabla4[[#This Row],[Precio Bruto]]*1.16</f>
        <v>7437.9547999999995</v>
      </c>
      <c r="K902" s="281">
        <f>+Tabla4[[#This Row],[Precio Unitario Neto]]*Tabla4[[#Headers],[20.85%]]</f>
        <v>1550.8135757999999</v>
      </c>
      <c r="L902" s="282">
        <f>++Tabla4[[#This Row],[Precio Unitario Neto]]-Tabla4[[#This Row],[20.85%]]</f>
        <v>5887.1412241999997</v>
      </c>
      <c r="M902" s="282" t="e">
        <f>(INDEX(Tabla6[#All],MATCH(Tabla4[[#This Row],[Producto]],Tabla6[[#All],[PRODUCTO]],0),MATCH(Tabla4[[#This Row],[Mes]],Tabla6[#Headers],0)))*(1+Catalogos!$L$2)</f>
        <v>#N/A</v>
      </c>
      <c r="N902" s="283" t="e">
        <f>+(Tabla4[[#This Row],[Precio Descontado]]-Tabla4[[#This Row],[Precio Base]])*Tabla4[[#This Row],[Cantidad]]</f>
        <v>#N/A</v>
      </c>
      <c r="O902" s="284" t="e">
        <f>++Tabla4[[#This Row],[Utilidad Total]]/Tabla4[[#This Row],[Total]]</f>
        <v>#N/A</v>
      </c>
      <c r="P902" s="282">
        <f>++Tabla4[[#This Row],[Precio Descontado]]*Tabla4[[#This Row],[Cantidad]]</f>
        <v>5887.1412241999997</v>
      </c>
      <c r="Q902" s="282" t="e">
        <f>(INDEX(Tabla6[#All],MATCH(Tabla4[[#This Row],[Producto]],Tabla6[[#All],[PRODUCTO]],0),MATCH(Tabla4[[#This Row],[Mes]],Tabla6[#Headers],0)))</f>
        <v>#N/A</v>
      </c>
      <c r="R902" s="282" t="e">
        <f>++Tabla4[[#This Row],[Precio Unitario Neto]]-Tabla4[[#This Row],[20.85%]]-Tabla4[[#This Row],[Costo]]</f>
        <v>#N/A</v>
      </c>
      <c r="S902" s="282" t="e">
        <f>++Tabla4[[#This Row],[U. Bruta Uni]]*Tabla4[[#This Row],[Cantidad]]</f>
        <v>#N/A</v>
      </c>
      <c r="T902" s="369" t="str">
        <f>VLOOKUP(Tabla4[[#This Row],[Producto]],Tabla6[#All],14,FALSE)</f>
        <v>Termico Solar</v>
      </c>
      <c r="U902" s="284" t="e">
        <f>(IF(Tabla4[[#This Row],[Familia]]="termico solar",Tabla4[[#This Row],[Utilidad Total]]*6%,Tabla4[[#This Row],[Utilidad Total]]*11.5%))/Tabla4[[#This Row],[Total]]</f>
        <v>#N/A</v>
      </c>
      <c r="V902" s="282" t="e">
        <f>+Tabla4[[#This Row],[Comisión Calculada]]*Tabla4[[#This Row],[Total]]</f>
        <v>#N/A</v>
      </c>
    </row>
    <row r="903" spans="1:22" hidden="1" x14ac:dyDescent="0.25">
      <c r="A903" s="100">
        <v>45716</v>
      </c>
      <c r="B903" t="str">
        <f t="shared" si="35"/>
        <v>February</v>
      </c>
      <c r="C903" s="46" t="s">
        <v>280</v>
      </c>
      <c r="F903" s="366" t="s">
        <v>1098</v>
      </c>
      <c r="G903" s="46" t="s">
        <v>17</v>
      </c>
      <c r="H903" s="46">
        <v>1</v>
      </c>
      <c r="I903" s="51">
        <v>4622.28</v>
      </c>
      <c r="J903" s="281">
        <f>++Tabla4[[#This Row],[Precio Bruto]]*1.16</f>
        <v>5361.8447999999989</v>
      </c>
      <c r="K903" s="281">
        <f>+Tabla4[[#This Row],[Precio Unitario Neto]]*Tabla4[[#Headers],[20.85%]]</f>
        <v>1117.9446407999997</v>
      </c>
      <c r="L903" s="282">
        <f>++Tabla4[[#This Row],[Precio Unitario Neto]]-Tabla4[[#This Row],[20.85%]]</f>
        <v>4243.9001591999995</v>
      </c>
      <c r="M903" s="282" t="e">
        <f>(INDEX(Tabla6[#All],MATCH(Tabla4[[#This Row],[Producto]],Tabla6[[#All],[PRODUCTO]],0),MATCH(Tabla4[[#This Row],[Mes]],Tabla6[#Headers],0)))*(1+Catalogos!$L$2)</f>
        <v>#N/A</v>
      </c>
      <c r="N903" s="283" t="e">
        <f>+(Tabla4[[#This Row],[Precio Descontado]]-Tabla4[[#This Row],[Precio Base]])*Tabla4[[#This Row],[Cantidad]]</f>
        <v>#N/A</v>
      </c>
      <c r="O903" s="284" t="e">
        <f>++Tabla4[[#This Row],[Utilidad Total]]/Tabla4[[#This Row],[Total]]</f>
        <v>#N/A</v>
      </c>
      <c r="P903" s="282">
        <f>++Tabla4[[#This Row],[Precio Descontado]]*Tabla4[[#This Row],[Cantidad]]</f>
        <v>4243.9001591999995</v>
      </c>
      <c r="Q903" s="282" t="e">
        <f>(INDEX(Tabla6[#All],MATCH(Tabla4[[#This Row],[Producto]],Tabla6[[#All],[PRODUCTO]],0),MATCH(Tabla4[[#This Row],[Mes]],Tabla6[#Headers],0)))</f>
        <v>#N/A</v>
      </c>
      <c r="R903" s="282" t="e">
        <f>++Tabla4[[#This Row],[Precio Unitario Neto]]-Tabla4[[#This Row],[20.85%]]-Tabla4[[#This Row],[Costo]]</f>
        <v>#N/A</v>
      </c>
      <c r="S903" s="282" t="e">
        <f>++Tabla4[[#This Row],[U. Bruta Uni]]*Tabla4[[#This Row],[Cantidad]]</f>
        <v>#N/A</v>
      </c>
      <c r="T903" s="369" t="str">
        <f>VLOOKUP(Tabla4[[#This Row],[Producto]],Tabla6[#All],14,FALSE)</f>
        <v>Termico Solar</v>
      </c>
      <c r="U903" s="284" t="e">
        <f>(IF(Tabla4[[#This Row],[Familia]]="termico solar",Tabla4[[#This Row],[Utilidad Total]]*6%,Tabla4[[#This Row],[Utilidad Total]]*11.5%))/Tabla4[[#This Row],[Total]]</f>
        <v>#N/A</v>
      </c>
      <c r="V903" s="282" t="e">
        <f>+Tabla4[[#This Row],[Comisión Calculada]]*Tabla4[[#This Row],[Total]]</f>
        <v>#N/A</v>
      </c>
    </row>
    <row r="904" spans="1:22" hidden="1" x14ac:dyDescent="0.25">
      <c r="A904" s="100">
        <v>45716</v>
      </c>
      <c r="B904" t="str">
        <f t="shared" si="35"/>
        <v>February</v>
      </c>
      <c r="C904" s="46" t="s">
        <v>280</v>
      </c>
      <c r="F904" s="366" t="s">
        <v>1098</v>
      </c>
      <c r="G904" s="46" t="s">
        <v>599</v>
      </c>
      <c r="H904" s="46">
        <v>4</v>
      </c>
      <c r="I904" s="51">
        <v>189.75</v>
      </c>
      <c r="J904" s="281">
        <f>++Tabla4[[#This Row],[Precio Bruto]]*1.16</f>
        <v>220.10999999999999</v>
      </c>
      <c r="K904" s="281">
        <f>+Tabla4[[#This Row],[Precio Unitario Neto]]*Tabla4[[#Headers],[20.85%]]</f>
        <v>45.892934999999994</v>
      </c>
      <c r="L904" s="282">
        <f>++Tabla4[[#This Row],[Precio Unitario Neto]]-Tabla4[[#This Row],[20.85%]]</f>
        <v>174.21706499999999</v>
      </c>
      <c r="M904" s="282" t="e">
        <f>(INDEX(Tabla6[#All],MATCH(Tabla4[[#This Row],[Producto]],Tabla6[[#All],[PRODUCTO]],0),MATCH(Tabla4[[#This Row],[Mes]],Tabla6[#Headers],0)))*(1+Catalogos!$L$2)</f>
        <v>#N/A</v>
      </c>
      <c r="N904" s="283" t="e">
        <f>+(Tabla4[[#This Row],[Precio Descontado]]-Tabla4[[#This Row],[Precio Base]])*Tabla4[[#This Row],[Cantidad]]</f>
        <v>#N/A</v>
      </c>
      <c r="O904" s="284" t="e">
        <f>++Tabla4[[#This Row],[Utilidad Total]]/Tabla4[[#This Row],[Total]]</f>
        <v>#N/A</v>
      </c>
      <c r="P904" s="282">
        <f>++Tabla4[[#This Row],[Precio Descontado]]*Tabla4[[#This Row],[Cantidad]]</f>
        <v>696.86825999999996</v>
      </c>
      <c r="Q904" s="282" t="e">
        <f>(INDEX(Tabla6[#All],MATCH(Tabla4[[#This Row],[Producto]],Tabla6[[#All],[PRODUCTO]],0),MATCH(Tabla4[[#This Row],[Mes]],Tabla6[#Headers],0)))</f>
        <v>#N/A</v>
      </c>
      <c r="R904" s="282" t="e">
        <f>++Tabla4[[#This Row],[Precio Unitario Neto]]-Tabla4[[#This Row],[20.85%]]-Tabla4[[#This Row],[Costo]]</f>
        <v>#N/A</v>
      </c>
      <c r="S904" s="282" t="e">
        <f>++Tabla4[[#This Row],[U. Bruta Uni]]*Tabla4[[#This Row],[Cantidad]]</f>
        <v>#N/A</v>
      </c>
      <c r="T904" s="369" t="str">
        <f>VLOOKUP(Tabla4[[#This Row],[Producto]],Tabla6[#All],14,FALSE)</f>
        <v>Termico Solar</v>
      </c>
      <c r="U904" s="284" t="e">
        <f>(IF(Tabla4[[#This Row],[Familia]]="termico solar",Tabla4[[#This Row],[Utilidad Total]]*6%,Tabla4[[#This Row],[Utilidad Total]]*11.5%))/Tabla4[[#This Row],[Total]]</f>
        <v>#N/A</v>
      </c>
      <c r="V904" s="282" t="e">
        <f>+Tabla4[[#This Row],[Comisión Calculada]]*Tabla4[[#This Row],[Total]]</f>
        <v>#N/A</v>
      </c>
    </row>
    <row r="905" spans="1:22" hidden="1" x14ac:dyDescent="0.25">
      <c r="A905" s="100">
        <v>45716</v>
      </c>
      <c r="B905" t="str">
        <f t="shared" si="35"/>
        <v>February</v>
      </c>
      <c r="C905" s="46" t="s">
        <v>280</v>
      </c>
      <c r="F905" s="366" t="s">
        <v>1099</v>
      </c>
      <c r="G905" s="46" t="s">
        <v>17</v>
      </c>
      <c r="H905" s="46">
        <v>1</v>
      </c>
      <c r="I905" s="51">
        <v>4622.28</v>
      </c>
      <c r="J905" s="281">
        <f>++Tabla4[[#This Row],[Precio Bruto]]*1.16</f>
        <v>5361.8447999999989</v>
      </c>
      <c r="K905" s="281">
        <f>+Tabla4[[#This Row],[Precio Unitario Neto]]*Tabla4[[#Headers],[20.85%]]</f>
        <v>1117.9446407999997</v>
      </c>
      <c r="L905" s="282">
        <f>++Tabla4[[#This Row],[Precio Unitario Neto]]-Tabla4[[#This Row],[20.85%]]</f>
        <v>4243.9001591999995</v>
      </c>
      <c r="M905" s="282" t="e">
        <f>(INDEX(Tabla6[#All],MATCH(Tabla4[[#This Row],[Producto]],Tabla6[[#All],[PRODUCTO]],0),MATCH(Tabla4[[#This Row],[Mes]],Tabla6[#Headers],0)))*(1+Catalogos!$L$2)</f>
        <v>#N/A</v>
      </c>
      <c r="N905" s="283" t="e">
        <f>+(Tabla4[[#This Row],[Precio Descontado]]-Tabla4[[#This Row],[Precio Base]])*Tabla4[[#This Row],[Cantidad]]</f>
        <v>#N/A</v>
      </c>
      <c r="O905" s="284" t="e">
        <f>++Tabla4[[#This Row],[Utilidad Total]]/Tabla4[[#This Row],[Total]]</f>
        <v>#N/A</v>
      </c>
      <c r="P905" s="282">
        <f>++Tabla4[[#This Row],[Precio Descontado]]*Tabla4[[#This Row],[Cantidad]]</f>
        <v>4243.9001591999995</v>
      </c>
      <c r="Q905" s="282" t="e">
        <f>(INDEX(Tabla6[#All],MATCH(Tabla4[[#This Row],[Producto]],Tabla6[[#All],[PRODUCTO]],0),MATCH(Tabla4[[#This Row],[Mes]],Tabla6[#Headers],0)))</f>
        <v>#N/A</v>
      </c>
      <c r="R905" s="282" t="e">
        <f>++Tabla4[[#This Row],[Precio Unitario Neto]]-Tabla4[[#This Row],[20.85%]]-Tabla4[[#This Row],[Costo]]</f>
        <v>#N/A</v>
      </c>
      <c r="S905" s="282" t="e">
        <f>++Tabla4[[#This Row],[U. Bruta Uni]]*Tabla4[[#This Row],[Cantidad]]</f>
        <v>#N/A</v>
      </c>
      <c r="T905" s="369" t="str">
        <f>VLOOKUP(Tabla4[[#This Row],[Producto]],Tabla6[#All],14,FALSE)</f>
        <v>Termico Solar</v>
      </c>
      <c r="U905" s="284" t="e">
        <f>(IF(Tabla4[[#This Row],[Familia]]="termico solar",Tabla4[[#This Row],[Utilidad Total]]*6%,Tabla4[[#This Row],[Utilidad Total]]*11.5%))/Tabla4[[#This Row],[Total]]</f>
        <v>#N/A</v>
      </c>
      <c r="V905" s="282" t="e">
        <f>+Tabla4[[#This Row],[Comisión Calculada]]*Tabla4[[#This Row],[Total]]</f>
        <v>#N/A</v>
      </c>
    </row>
    <row r="906" spans="1:22" hidden="1" x14ac:dyDescent="0.25">
      <c r="A906" s="100">
        <v>45716</v>
      </c>
      <c r="B906" t="str">
        <f t="shared" si="35"/>
        <v>February</v>
      </c>
      <c r="C906" s="46" t="s">
        <v>280</v>
      </c>
      <c r="F906" s="366" t="s">
        <v>1100</v>
      </c>
      <c r="G906" s="46" t="s">
        <v>17</v>
      </c>
      <c r="H906" s="46">
        <v>1</v>
      </c>
      <c r="I906" s="51">
        <v>4622.28</v>
      </c>
      <c r="J906" s="281">
        <f>++Tabla4[[#This Row],[Precio Bruto]]*1.16</f>
        <v>5361.8447999999989</v>
      </c>
      <c r="K906" s="281">
        <f>+Tabla4[[#This Row],[Precio Unitario Neto]]*Tabla4[[#Headers],[20.85%]]</f>
        <v>1117.9446407999997</v>
      </c>
      <c r="L906" s="282">
        <f>++Tabla4[[#This Row],[Precio Unitario Neto]]-Tabla4[[#This Row],[20.85%]]</f>
        <v>4243.9001591999995</v>
      </c>
      <c r="M906" s="282" t="e">
        <f>(INDEX(Tabla6[#All],MATCH(Tabla4[[#This Row],[Producto]],Tabla6[[#All],[PRODUCTO]],0),MATCH(Tabla4[[#This Row],[Mes]],Tabla6[#Headers],0)))*(1+Catalogos!$L$2)</f>
        <v>#N/A</v>
      </c>
      <c r="N906" s="283" t="e">
        <f>+(Tabla4[[#This Row],[Precio Descontado]]-Tabla4[[#This Row],[Precio Base]])*Tabla4[[#This Row],[Cantidad]]</f>
        <v>#N/A</v>
      </c>
      <c r="O906" s="284" t="e">
        <f>++Tabla4[[#This Row],[Utilidad Total]]/Tabla4[[#This Row],[Total]]</f>
        <v>#N/A</v>
      </c>
      <c r="P906" s="282">
        <f>++Tabla4[[#This Row],[Precio Descontado]]*Tabla4[[#This Row],[Cantidad]]</f>
        <v>4243.9001591999995</v>
      </c>
      <c r="Q906" s="282" t="e">
        <f>(INDEX(Tabla6[#All],MATCH(Tabla4[[#This Row],[Producto]],Tabla6[[#All],[PRODUCTO]],0),MATCH(Tabla4[[#This Row],[Mes]],Tabla6[#Headers],0)))</f>
        <v>#N/A</v>
      </c>
      <c r="R906" s="282" t="e">
        <f>++Tabla4[[#This Row],[Precio Unitario Neto]]-Tabla4[[#This Row],[20.85%]]-Tabla4[[#This Row],[Costo]]</f>
        <v>#N/A</v>
      </c>
      <c r="S906" s="282" t="e">
        <f>++Tabla4[[#This Row],[U. Bruta Uni]]*Tabla4[[#This Row],[Cantidad]]</f>
        <v>#N/A</v>
      </c>
      <c r="T906" s="369" t="str">
        <f>VLOOKUP(Tabla4[[#This Row],[Producto]],Tabla6[#All],14,FALSE)</f>
        <v>Termico Solar</v>
      </c>
      <c r="U906" s="284" t="e">
        <f>(IF(Tabla4[[#This Row],[Familia]]="termico solar",Tabla4[[#This Row],[Utilidad Total]]*6%,Tabla4[[#This Row],[Utilidad Total]]*11.5%))/Tabla4[[#This Row],[Total]]</f>
        <v>#N/A</v>
      </c>
      <c r="V906" s="282" t="e">
        <f>+Tabla4[[#This Row],[Comisión Calculada]]*Tabla4[[#This Row],[Total]]</f>
        <v>#N/A</v>
      </c>
    </row>
    <row r="907" spans="1:22" hidden="1" x14ac:dyDescent="0.25">
      <c r="A907" s="100">
        <v>45716</v>
      </c>
      <c r="B907" t="str">
        <f t="shared" si="35"/>
        <v>February</v>
      </c>
      <c r="C907" s="46" t="s">
        <v>280</v>
      </c>
      <c r="F907" s="366" t="s">
        <v>1101</v>
      </c>
      <c r="G907" s="46" t="s">
        <v>566</v>
      </c>
      <c r="H907" s="46">
        <v>1</v>
      </c>
      <c r="I907" s="51">
        <v>2109.4499999999998</v>
      </c>
      <c r="J907" s="281">
        <f>++Tabla4[[#This Row],[Precio Bruto]]*1.16</f>
        <v>2446.9619999999995</v>
      </c>
      <c r="K907" s="281">
        <f>+Tabla4[[#This Row],[Precio Unitario Neto]]*Tabla4[[#Headers],[20.85%]]</f>
        <v>510.19157699999988</v>
      </c>
      <c r="L907" s="282">
        <f>++Tabla4[[#This Row],[Precio Unitario Neto]]-Tabla4[[#This Row],[20.85%]]</f>
        <v>1936.7704229999997</v>
      </c>
      <c r="M907" s="282" t="e">
        <f>(INDEX(Tabla6[#All],MATCH(Tabla4[[#This Row],[Producto]],Tabla6[[#All],[PRODUCTO]],0),MATCH(Tabla4[[#This Row],[Mes]],Tabla6[#Headers],0)))*(1+Catalogos!$L$2)</f>
        <v>#N/A</v>
      </c>
      <c r="N907" s="283" t="e">
        <f>+(Tabla4[[#This Row],[Precio Descontado]]-Tabla4[[#This Row],[Precio Base]])*Tabla4[[#This Row],[Cantidad]]</f>
        <v>#N/A</v>
      </c>
      <c r="O907" s="284" t="e">
        <f>++Tabla4[[#This Row],[Utilidad Total]]/Tabla4[[#This Row],[Total]]</f>
        <v>#N/A</v>
      </c>
      <c r="P907" s="282">
        <f>++Tabla4[[#This Row],[Precio Descontado]]*Tabla4[[#This Row],[Cantidad]]</f>
        <v>1936.7704229999997</v>
      </c>
      <c r="Q907" s="282" t="e">
        <f>(INDEX(Tabla6[#All],MATCH(Tabla4[[#This Row],[Producto]],Tabla6[[#All],[PRODUCTO]],0),MATCH(Tabla4[[#This Row],[Mes]],Tabla6[#Headers],0)))</f>
        <v>#N/A</v>
      </c>
      <c r="R907" s="282" t="e">
        <f>++Tabla4[[#This Row],[Precio Unitario Neto]]-Tabla4[[#This Row],[20.85%]]-Tabla4[[#This Row],[Costo]]</f>
        <v>#N/A</v>
      </c>
      <c r="S907" s="282" t="e">
        <f>++Tabla4[[#This Row],[U. Bruta Uni]]*Tabla4[[#This Row],[Cantidad]]</f>
        <v>#N/A</v>
      </c>
      <c r="T907" s="369" t="str">
        <f>VLOOKUP(Tabla4[[#This Row],[Producto]],Tabla6[#All],14,FALSE)</f>
        <v>Termico Solar</v>
      </c>
      <c r="U907" s="284" t="e">
        <f>(IF(Tabla4[[#This Row],[Familia]]="termico solar",Tabla4[[#This Row],[Utilidad Total]]*6%,Tabla4[[#This Row],[Utilidad Total]]*11.5%))/Tabla4[[#This Row],[Total]]</f>
        <v>#N/A</v>
      </c>
      <c r="V907" s="282" t="e">
        <f>+Tabla4[[#This Row],[Comisión Calculada]]*Tabla4[[#This Row],[Total]]</f>
        <v>#N/A</v>
      </c>
    </row>
    <row r="908" spans="1:22" hidden="1" x14ac:dyDescent="0.25">
      <c r="A908" s="100">
        <v>45716</v>
      </c>
      <c r="B908" t="str">
        <f t="shared" si="35"/>
        <v>February</v>
      </c>
      <c r="C908" s="46" t="s">
        <v>280</v>
      </c>
      <c r="F908" s="366" t="s">
        <v>1102</v>
      </c>
      <c r="G908" s="46" t="s">
        <v>17</v>
      </c>
      <c r="H908" s="46">
        <v>1</v>
      </c>
      <c r="I908" s="51">
        <v>4622.28</v>
      </c>
      <c r="J908" s="281">
        <f>++Tabla4[[#This Row],[Precio Bruto]]*1.16</f>
        <v>5361.8447999999989</v>
      </c>
      <c r="K908" s="281">
        <f>+Tabla4[[#This Row],[Precio Unitario Neto]]*Tabla4[[#Headers],[20.85%]]</f>
        <v>1117.9446407999997</v>
      </c>
      <c r="L908" s="282">
        <f>++Tabla4[[#This Row],[Precio Unitario Neto]]-Tabla4[[#This Row],[20.85%]]</f>
        <v>4243.9001591999995</v>
      </c>
      <c r="M908" s="282" t="e">
        <f>(INDEX(Tabla6[#All],MATCH(Tabla4[[#This Row],[Producto]],Tabla6[[#All],[PRODUCTO]],0),MATCH(Tabla4[[#This Row],[Mes]],Tabla6[#Headers],0)))*(1+Catalogos!$L$2)</f>
        <v>#N/A</v>
      </c>
      <c r="N908" s="283" t="e">
        <f>+(Tabla4[[#This Row],[Precio Descontado]]-Tabla4[[#This Row],[Precio Base]])*Tabla4[[#This Row],[Cantidad]]</f>
        <v>#N/A</v>
      </c>
      <c r="O908" s="284" t="e">
        <f>++Tabla4[[#This Row],[Utilidad Total]]/Tabla4[[#This Row],[Total]]</f>
        <v>#N/A</v>
      </c>
      <c r="P908" s="282">
        <f>++Tabla4[[#This Row],[Precio Descontado]]*Tabla4[[#This Row],[Cantidad]]</f>
        <v>4243.9001591999995</v>
      </c>
      <c r="Q908" s="282" t="e">
        <f>(INDEX(Tabla6[#All],MATCH(Tabla4[[#This Row],[Producto]],Tabla6[[#All],[PRODUCTO]],0),MATCH(Tabla4[[#This Row],[Mes]],Tabla6[#Headers],0)))</f>
        <v>#N/A</v>
      </c>
      <c r="R908" s="282" t="e">
        <f>++Tabla4[[#This Row],[Precio Unitario Neto]]-Tabla4[[#This Row],[20.85%]]-Tabla4[[#This Row],[Costo]]</f>
        <v>#N/A</v>
      </c>
      <c r="S908" s="282" t="e">
        <f>++Tabla4[[#This Row],[U. Bruta Uni]]*Tabla4[[#This Row],[Cantidad]]</f>
        <v>#N/A</v>
      </c>
      <c r="T908" s="369" t="str">
        <f>VLOOKUP(Tabla4[[#This Row],[Producto]],Tabla6[#All],14,FALSE)</f>
        <v>Termico Solar</v>
      </c>
      <c r="U908" s="284" t="e">
        <f>(IF(Tabla4[[#This Row],[Familia]]="termico solar",Tabla4[[#This Row],[Utilidad Total]]*6%,Tabla4[[#This Row],[Utilidad Total]]*11.5%))/Tabla4[[#This Row],[Total]]</f>
        <v>#N/A</v>
      </c>
      <c r="V908" s="282" t="e">
        <f>+Tabla4[[#This Row],[Comisión Calculada]]*Tabla4[[#This Row],[Total]]</f>
        <v>#N/A</v>
      </c>
    </row>
    <row r="909" spans="1:22" hidden="1" x14ac:dyDescent="0.25">
      <c r="A909" s="100">
        <v>45716</v>
      </c>
      <c r="B909" t="str">
        <f t="shared" si="35"/>
        <v>February</v>
      </c>
      <c r="C909" s="46" t="s">
        <v>280</v>
      </c>
      <c r="F909" s="366" t="s">
        <v>1102</v>
      </c>
      <c r="G909" s="46" t="s">
        <v>566</v>
      </c>
      <c r="H909" s="46">
        <v>1</v>
      </c>
      <c r="I909" s="51">
        <v>2109.4499999999998</v>
      </c>
      <c r="J909" s="281">
        <f>++Tabla4[[#This Row],[Precio Bruto]]*1.16</f>
        <v>2446.9619999999995</v>
      </c>
      <c r="K909" s="281">
        <f>+Tabla4[[#This Row],[Precio Unitario Neto]]*Tabla4[[#Headers],[20.85%]]</f>
        <v>510.19157699999988</v>
      </c>
      <c r="L909" s="282">
        <f>++Tabla4[[#This Row],[Precio Unitario Neto]]-Tabla4[[#This Row],[20.85%]]</f>
        <v>1936.7704229999997</v>
      </c>
      <c r="M909" s="282" t="e">
        <f>(INDEX(Tabla6[#All],MATCH(Tabla4[[#This Row],[Producto]],Tabla6[[#All],[PRODUCTO]],0),MATCH(Tabla4[[#This Row],[Mes]],Tabla6[#Headers],0)))*(1+Catalogos!$L$2)</f>
        <v>#N/A</v>
      </c>
      <c r="N909" s="283" t="e">
        <f>+(Tabla4[[#This Row],[Precio Descontado]]-Tabla4[[#This Row],[Precio Base]])*Tabla4[[#This Row],[Cantidad]]</f>
        <v>#N/A</v>
      </c>
      <c r="O909" s="284" t="e">
        <f>++Tabla4[[#This Row],[Utilidad Total]]/Tabla4[[#This Row],[Total]]</f>
        <v>#N/A</v>
      </c>
      <c r="P909" s="282">
        <f>++Tabla4[[#This Row],[Precio Descontado]]*Tabla4[[#This Row],[Cantidad]]</f>
        <v>1936.7704229999997</v>
      </c>
      <c r="Q909" s="282" t="e">
        <f>(INDEX(Tabla6[#All],MATCH(Tabla4[[#This Row],[Producto]],Tabla6[[#All],[PRODUCTO]],0),MATCH(Tabla4[[#This Row],[Mes]],Tabla6[#Headers],0)))</f>
        <v>#N/A</v>
      </c>
      <c r="R909" s="282" t="e">
        <f>++Tabla4[[#This Row],[Precio Unitario Neto]]-Tabla4[[#This Row],[20.85%]]-Tabla4[[#This Row],[Costo]]</f>
        <v>#N/A</v>
      </c>
      <c r="S909" s="282" t="e">
        <f>++Tabla4[[#This Row],[U. Bruta Uni]]*Tabla4[[#This Row],[Cantidad]]</f>
        <v>#N/A</v>
      </c>
      <c r="T909" s="369" t="str">
        <f>VLOOKUP(Tabla4[[#This Row],[Producto]],Tabla6[#All],14,FALSE)</f>
        <v>Termico Solar</v>
      </c>
      <c r="U909" s="284" t="e">
        <f>(IF(Tabla4[[#This Row],[Familia]]="termico solar",Tabla4[[#This Row],[Utilidad Total]]*6%,Tabla4[[#This Row],[Utilidad Total]]*11.5%))/Tabla4[[#This Row],[Total]]</f>
        <v>#N/A</v>
      </c>
      <c r="V909" s="282" t="e">
        <f>+Tabla4[[#This Row],[Comisión Calculada]]*Tabla4[[#This Row],[Total]]</f>
        <v>#N/A</v>
      </c>
    </row>
    <row r="910" spans="1:22" hidden="1" x14ac:dyDescent="0.25">
      <c r="A910" s="100">
        <v>45716</v>
      </c>
      <c r="B910" t="str">
        <f t="shared" si="35"/>
        <v>February</v>
      </c>
      <c r="C910" s="46" t="s">
        <v>280</v>
      </c>
      <c r="F910" s="366" t="s">
        <v>1103</v>
      </c>
      <c r="G910" s="46" t="s">
        <v>17</v>
      </c>
      <c r="H910" s="46">
        <v>1</v>
      </c>
      <c r="I910" s="51">
        <v>4622.28</v>
      </c>
      <c r="J910" s="281">
        <f>++Tabla4[[#This Row],[Precio Bruto]]*1.16</f>
        <v>5361.8447999999989</v>
      </c>
      <c r="K910" s="281">
        <f>+Tabla4[[#This Row],[Precio Unitario Neto]]*Tabla4[[#Headers],[20.85%]]</f>
        <v>1117.9446407999997</v>
      </c>
      <c r="L910" s="282">
        <f>++Tabla4[[#This Row],[Precio Unitario Neto]]-Tabla4[[#This Row],[20.85%]]</f>
        <v>4243.9001591999995</v>
      </c>
      <c r="M910" s="282" t="e">
        <f>(INDEX(Tabla6[#All],MATCH(Tabla4[[#This Row],[Producto]],Tabla6[[#All],[PRODUCTO]],0),MATCH(Tabla4[[#This Row],[Mes]],Tabla6[#Headers],0)))*(1+Catalogos!$L$2)</f>
        <v>#N/A</v>
      </c>
      <c r="N910" s="283" t="e">
        <f>+(Tabla4[[#This Row],[Precio Descontado]]-Tabla4[[#This Row],[Precio Base]])*Tabla4[[#This Row],[Cantidad]]</f>
        <v>#N/A</v>
      </c>
      <c r="O910" s="284" t="e">
        <f>++Tabla4[[#This Row],[Utilidad Total]]/Tabla4[[#This Row],[Total]]</f>
        <v>#N/A</v>
      </c>
      <c r="P910" s="282">
        <f>++Tabla4[[#This Row],[Precio Descontado]]*Tabla4[[#This Row],[Cantidad]]</f>
        <v>4243.9001591999995</v>
      </c>
      <c r="Q910" s="282" t="e">
        <f>(INDEX(Tabla6[#All],MATCH(Tabla4[[#This Row],[Producto]],Tabla6[[#All],[PRODUCTO]],0),MATCH(Tabla4[[#This Row],[Mes]],Tabla6[#Headers],0)))</f>
        <v>#N/A</v>
      </c>
      <c r="R910" s="282" t="e">
        <f>++Tabla4[[#This Row],[Precio Unitario Neto]]-Tabla4[[#This Row],[20.85%]]-Tabla4[[#This Row],[Costo]]</f>
        <v>#N/A</v>
      </c>
      <c r="S910" s="282" t="e">
        <f>++Tabla4[[#This Row],[U. Bruta Uni]]*Tabla4[[#This Row],[Cantidad]]</f>
        <v>#N/A</v>
      </c>
      <c r="T910" s="369" t="str">
        <f>VLOOKUP(Tabla4[[#This Row],[Producto]],Tabla6[#All],14,FALSE)</f>
        <v>Termico Solar</v>
      </c>
      <c r="U910" s="284" t="e">
        <f>(IF(Tabla4[[#This Row],[Familia]]="termico solar",Tabla4[[#This Row],[Utilidad Total]]*6%,Tabla4[[#This Row],[Utilidad Total]]*11.5%))/Tabla4[[#This Row],[Total]]</f>
        <v>#N/A</v>
      </c>
      <c r="V910" s="282" t="e">
        <f>+Tabla4[[#This Row],[Comisión Calculada]]*Tabla4[[#This Row],[Total]]</f>
        <v>#N/A</v>
      </c>
    </row>
    <row r="911" spans="1:22" hidden="1" x14ac:dyDescent="0.25">
      <c r="A911" s="100">
        <v>45716</v>
      </c>
      <c r="B911" t="str">
        <f t="shared" si="35"/>
        <v>February</v>
      </c>
      <c r="C911" s="46" t="s">
        <v>280</v>
      </c>
      <c r="F911" s="366" t="s">
        <v>1104</v>
      </c>
      <c r="G911" s="46" t="s">
        <v>566</v>
      </c>
      <c r="H911" s="46">
        <v>2</v>
      </c>
      <c r="I911" s="51">
        <v>2109.4499999999998</v>
      </c>
      <c r="J911" s="281">
        <f>++Tabla4[[#This Row],[Precio Bruto]]*1.16</f>
        <v>2446.9619999999995</v>
      </c>
      <c r="K911" s="281">
        <f>+Tabla4[[#This Row],[Precio Unitario Neto]]*Tabla4[[#Headers],[20.85%]]</f>
        <v>510.19157699999988</v>
      </c>
      <c r="L911" s="282">
        <f>++Tabla4[[#This Row],[Precio Unitario Neto]]-Tabla4[[#This Row],[20.85%]]</f>
        <v>1936.7704229999997</v>
      </c>
      <c r="M911" s="282" t="e">
        <f>(INDEX(Tabla6[#All],MATCH(Tabla4[[#This Row],[Producto]],Tabla6[[#All],[PRODUCTO]],0),MATCH(Tabla4[[#This Row],[Mes]],Tabla6[#Headers],0)))*(1+Catalogos!$L$2)</f>
        <v>#N/A</v>
      </c>
      <c r="N911" s="283" t="e">
        <f>+(Tabla4[[#This Row],[Precio Descontado]]-Tabla4[[#This Row],[Precio Base]])*Tabla4[[#This Row],[Cantidad]]</f>
        <v>#N/A</v>
      </c>
      <c r="O911" s="284" t="e">
        <f>++Tabla4[[#This Row],[Utilidad Total]]/Tabla4[[#This Row],[Total]]</f>
        <v>#N/A</v>
      </c>
      <c r="P911" s="282">
        <f>++Tabla4[[#This Row],[Precio Descontado]]*Tabla4[[#This Row],[Cantidad]]</f>
        <v>3873.5408459999994</v>
      </c>
      <c r="Q911" s="282" t="e">
        <f>(INDEX(Tabla6[#All],MATCH(Tabla4[[#This Row],[Producto]],Tabla6[[#All],[PRODUCTO]],0),MATCH(Tabla4[[#This Row],[Mes]],Tabla6[#Headers],0)))</f>
        <v>#N/A</v>
      </c>
      <c r="R911" s="282" t="e">
        <f>++Tabla4[[#This Row],[Precio Unitario Neto]]-Tabla4[[#This Row],[20.85%]]-Tabla4[[#This Row],[Costo]]</f>
        <v>#N/A</v>
      </c>
      <c r="S911" s="282" t="e">
        <f>++Tabla4[[#This Row],[U. Bruta Uni]]*Tabla4[[#This Row],[Cantidad]]</f>
        <v>#N/A</v>
      </c>
      <c r="T911" s="369" t="str">
        <f>VLOOKUP(Tabla4[[#This Row],[Producto]],Tabla6[#All],14,FALSE)</f>
        <v>Termico Solar</v>
      </c>
      <c r="U911" s="284" t="e">
        <f>(IF(Tabla4[[#This Row],[Familia]]="termico solar",Tabla4[[#This Row],[Utilidad Total]]*6%,Tabla4[[#This Row],[Utilidad Total]]*11.5%))/Tabla4[[#This Row],[Total]]</f>
        <v>#N/A</v>
      </c>
      <c r="V911" s="282" t="e">
        <f>+Tabla4[[#This Row],[Comisión Calculada]]*Tabla4[[#This Row],[Total]]</f>
        <v>#N/A</v>
      </c>
    </row>
    <row r="912" spans="1:22" hidden="1" x14ac:dyDescent="0.25">
      <c r="A912" s="100">
        <v>45716</v>
      </c>
      <c r="B912" t="str">
        <f t="shared" ref="B912:B943" si="36">TEXT(A912, "mmmm")</f>
        <v>February</v>
      </c>
      <c r="C912" s="46" t="s">
        <v>280</v>
      </c>
      <c r="F912" s="366" t="s">
        <v>1105</v>
      </c>
      <c r="G912" s="46" t="s">
        <v>566</v>
      </c>
      <c r="H912" s="46">
        <v>2</v>
      </c>
      <c r="I912" s="51">
        <v>2109.4499999999998</v>
      </c>
      <c r="J912" s="281">
        <f>++Tabla4[[#This Row],[Precio Bruto]]*1.16</f>
        <v>2446.9619999999995</v>
      </c>
      <c r="K912" s="281">
        <f>+Tabla4[[#This Row],[Precio Unitario Neto]]*Tabla4[[#Headers],[20.85%]]</f>
        <v>510.19157699999988</v>
      </c>
      <c r="L912" s="282">
        <f>++Tabla4[[#This Row],[Precio Unitario Neto]]-Tabla4[[#This Row],[20.85%]]</f>
        <v>1936.7704229999997</v>
      </c>
      <c r="M912" s="282" t="e">
        <f>(INDEX(Tabla6[#All],MATCH(Tabla4[[#This Row],[Producto]],Tabla6[[#All],[PRODUCTO]],0),MATCH(Tabla4[[#This Row],[Mes]],Tabla6[#Headers],0)))*(1+Catalogos!$L$2)</f>
        <v>#N/A</v>
      </c>
      <c r="N912" s="283" t="e">
        <f>+(Tabla4[[#This Row],[Precio Descontado]]-Tabla4[[#This Row],[Precio Base]])*Tabla4[[#This Row],[Cantidad]]</f>
        <v>#N/A</v>
      </c>
      <c r="O912" s="284" t="e">
        <f>++Tabla4[[#This Row],[Utilidad Total]]/Tabla4[[#This Row],[Total]]</f>
        <v>#N/A</v>
      </c>
      <c r="P912" s="282">
        <f>++Tabla4[[#This Row],[Precio Descontado]]*Tabla4[[#This Row],[Cantidad]]</f>
        <v>3873.5408459999994</v>
      </c>
      <c r="Q912" s="282" t="e">
        <f>(INDEX(Tabla6[#All],MATCH(Tabla4[[#This Row],[Producto]],Tabla6[[#All],[PRODUCTO]],0),MATCH(Tabla4[[#This Row],[Mes]],Tabla6[#Headers],0)))</f>
        <v>#N/A</v>
      </c>
      <c r="R912" s="282" t="e">
        <f>++Tabla4[[#This Row],[Precio Unitario Neto]]-Tabla4[[#This Row],[20.85%]]-Tabla4[[#This Row],[Costo]]</f>
        <v>#N/A</v>
      </c>
      <c r="S912" s="282" t="e">
        <f>++Tabla4[[#This Row],[U. Bruta Uni]]*Tabla4[[#This Row],[Cantidad]]</f>
        <v>#N/A</v>
      </c>
      <c r="T912" s="369" t="str">
        <f>VLOOKUP(Tabla4[[#This Row],[Producto]],Tabla6[#All],14,FALSE)</f>
        <v>Termico Solar</v>
      </c>
      <c r="U912" s="284" t="e">
        <f>(IF(Tabla4[[#This Row],[Familia]]="termico solar",Tabla4[[#This Row],[Utilidad Total]]*6%,Tabla4[[#This Row],[Utilidad Total]]*11.5%))/Tabla4[[#This Row],[Total]]</f>
        <v>#N/A</v>
      </c>
      <c r="V912" s="282" t="e">
        <f>+Tabla4[[#This Row],[Comisión Calculada]]*Tabla4[[#This Row],[Total]]</f>
        <v>#N/A</v>
      </c>
    </row>
    <row r="913" spans="1:22" hidden="1" x14ac:dyDescent="0.25">
      <c r="A913" s="100">
        <v>45716</v>
      </c>
      <c r="B913" t="str">
        <f t="shared" si="36"/>
        <v>February</v>
      </c>
      <c r="C913" s="46" t="s">
        <v>280</v>
      </c>
      <c r="F913" s="366" t="s">
        <v>1105</v>
      </c>
      <c r="G913" s="46" t="s">
        <v>394</v>
      </c>
      <c r="H913" s="46">
        <v>9</v>
      </c>
      <c r="I913" s="51">
        <v>108.1</v>
      </c>
      <c r="J913" s="281">
        <f>++Tabla4[[#This Row],[Precio Bruto]]*1.16</f>
        <v>125.39599999999999</v>
      </c>
      <c r="K913" s="281">
        <f>+Tabla4[[#This Row],[Precio Unitario Neto]]*Tabla4[[#Headers],[20.85%]]</f>
        <v>26.145065999999996</v>
      </c>
      <c r="L913" s="282">
        <f>++Tabla4[[#This Row],[Precio Unitario Neto]]-Tabla4[[#This Row],[20.85%]]</f>
        <v>99.250933999999987</v>
      </c>
      <c r="M913" s="282" t="e">
        <f>(INDEX(Tabla6[#All],MATCH(Tabla4[[#This Row],[Producto]],Tabla6[[#All],[PRODUCTO]],0),MATCH(Tabla4[[#This Row],[Mes]],Tabla6[#Headers],0)))*(1+Catalogos!$L$2)</f>
        <v>#N/A</v>
      </c>
      <c r="N913" s="283" t="e">
        <f>+(Tabla4[[#This Row],[Precio Descontado]]-Tabla4[[#This Row],[Precio Base]])*Tabla4[[#This Row],[Cantidad]]</f>
        <v>#N/A</v>
      </c>
      <c r="O913" s="284" t="e">
        <f>++Tabla4[[#This Row],[Utilidad Total]]/Tabla4[[#This Row],[Total]]</f>
        <v>#N/A</v>
      </c>
      <c r="P913" s="282">
        <f>++Tabla4[[#This Row],[Precio Descontado]]*Tabla4[[#This Row],[Cantidad]]</f>
        <v>893.25840599999992</v>
      </c>
      <c r="Q913" s="282" t="e">
        <f>(INDEX(Tabla6[#All],MATCH(Tabla4[[#This Row],[Producto]],Tabla6[[#All],[PRODUCTO]],0),MATCH(Tabla4[[#This Row],[Mes]],Tabla6[#Headers],0)))</f>
        <v>#N/A</v>
      </c>
      <c r="R913" s="282" t="e">
        <f>++Tabla4[[#This Row],[Precio Unitario Neto]]-Tabla4[[#This Row],[20.85%]]-Tabla4[[#This Row],[Costo]]</f>
        <v>#N/A</v>
      </c>
      <c r="S913" s="282" t="e">
        <f>++Tabla4[[#This Row],[U. Bruta Uni]]*Tabla4[[#This Row],[Cantidad]]</f>
        <v>#N/A</v>
      </c>
      <c r="T913" s="369" t="str">
        <f>VLOOKUP(Tabla4[[#This Row],[Producto]],Tabla6[#All],14,FALSE)</f>
        <v>Termico Solar</v>
      </c>
      <c r="U913" s="284" t="e">
        <f>(IF(Tabla4[[#This Row],[Familia]]="termico solar",Tabla4[[#This Row],[Utilidad Total]]*6%,Tabla4[[#This Row],[Utilidad Total]]*11.5%))/Tabla4[[#This Row],[Total]]</f>
        <v>#N/A</v>
      </c>
      <c r="V913" s="282" t="e">
        <f>+Tabla4[[#This Row],[Comisión Calculada]]*Tabla4[[#This Row],[Total]]</f>
        <v>#N/A</v>
      </c>
    </row>
    <row r="914" spans="1:22" hidden="1" x14ac:dyDescent="0.25">
      <c r="A914" s="100">
        <v>45716</v>
      </c>
      <c r="B914" t="str">
        <f t="shared" si="36"/>
        <v>February</v>
      </c>
      <c r="C914" s="46" t="s">
        <v>280</v>
      </c>
      <c r="F914" s="366" t="s">
        <v>1105</v>
      </c>
      <c r="G914" s="46" t="s">
        <v>394</v>
      </c>
      <c r="H914" s="46">
        <v>16</v>
      </c>
      <c r="I914" s="51">
        <v>224.29</v>
      </c>
      <c r="J914" s="281">
        <f>++Tabla4[[#This Row],[Precio Bruto]]*1.16</f>
        <v>260.1764</v>
      </c>
      <c r="K914" s="281">
        <f>+Tabla4[[#This Row],[Precio Unitario Neto]]*Tabla4[[#Headers],[20.85%]]</f>
        <v>54.246779400000001</v>
      </c>
      <c r="L914" s="282">
        <f>++Tabla4[[#This Row],[Precio Unitario Neto]]-Tabla4[[#This Row],[20.85%]]</f>
        <v>205.92962059999999</v>
      </c>
      <c r="M914" s="282" t="e">
        <f>(INDEX(Tabla6[#All],MATCH(Tabla4[[#This Row],[Producto]],Tabla6[[#All],[PRODUCTO]],0),MATCH(Tabla4[[#This Row],[Mes]],Tabla6[#Headers],0)))*(1+Catalogos!$L$2)</f>
        <v>#N/A</v>
      </c>
      <c r="N914" s="283" t="e">
        <f>+(Tabla4[[#This Row],[Precio Descontado]]-Tabla4[[#This Row],[Precio Base]])*Tabla4[[#This Row],[Cantidad]]</f>
        <v>#N/A</v>
      </c>
      <c r="O914" s="284" t="e">
        <f>++Tabla4[[#This Row],[Utilidad Total]]/Tabla4[[#This Row],[Total]]</f>
        <v>#N/A</v>
      </c>
      <c r="P914" s="282">
        <f>++Tabla4[[#This Row],[Precio Descontado]]*Tabla4[[#This Row],[Cantidad]]</f>
        <v>3294.8739295999999</v>
      </c>
      <c r="Q914" s="282" t="e">
        <f>(INDEX(Tabla6[#All],MATCH(Tabla4[[#This Row],[Producto]],Tabla6[[#All],[PRODUCTO]],0),MATCH(Tabla4[[#This Row],[Mes]],Tabla6[#Headers],0)))</f>
        <v>#N/A</v>
      </c>
      <c r="R914" s="282" t="e">
        <f>++Tabla4[[#This Row],[Precio Unitario Neto]]-Tabla4[[#This Row],[20.85%]]-Tabla4[[#This Row],[Costo]]</f>
        <v>#N/A</v>
      </c>
      <c r="S914" s="282" t="e">
        <f>++Tabla4[[#This Row],[U. Bruta Uni]]*Tabla4[[#This Row],[Cantidad]]</f>
        <v>#N/A</v>
      </c>
      <c r="T914" s="369" t="str">
        <f>VLOOKUP(Tabla4[[#This Row],[Producto]],Tabla6[#All],14,FALSE)</f>
        <v>Termico Solar</v>
      </c>
      <c r="U914" s="284" t="e">
        <f>(IF(Tabla4[[#This Row],[Familia]]="termico solar",Tabla4[[#This Row],[Utilidad Total]]*6%,Tabla4[[#This Row],[Utilidad Total]]*11.5%))/Tabla4[[#This Row],[Total]]</f>
        <v>#N/A</v>
      </c>
      <c r="V914" s="282" t="e">
        <f>+Tabla4[[#This Row],[Comisión Calculada]]*Tabla4[[#This Row],[Total]]</f>
        <v>#N/A</v>
      </c>
    </row>
    <row r="915" spans="1:22" hidden="1" x14ac:dyDescent="0.25">
      <c r="A915" s="100">
        <v>45716</v>
      </c>
      <c r="B915" t="str">
        <f t="shared" si="36"/>
        <v>February</v>
      </c>
      <c r="C915" s="46" t="s">
        <v>280</v>
      </c>
      <c r="F915" s="366" t="s">
        <v>1106</v>
      </c>
      <c r="G915" s="46" t="s">
        <v>17</v>
      </c>
      <c r="H915" s="46">
        <v>2</v>
      </c>
      <c r="I915" s="51">
        <v>4622.28</v>
      </c>
      <c r="J915" s="281">
        <f>++Tabla4[[#This Row],[Precio Bruto]]*1.16</f>
        <v>5361.8447999999989</v>
      </c>
      <c r="K915" s="281">
        <f>+Tabla4[[#This Row],[Precio Unitario Neto]]*Tabla4[[#Headers],[20.85%]]</f>
        <v>1117.9446407999997</v>
      </c>
      <c r="L915" s="282">
        <f>++Tabla4[[#This Row],[Precio Unitario Neto]]-Tabla4[[#This Row],[20.85%]]</f>
        <v>4243.9001591999995</v>
      </c>
      <c r="M915" s="282" t="e">
        <f>(INDEX(Tabla6[#All],MATCH(Tabla4[[#This Row],[Producto]],Tabla6[[#All],[PRODUCTO]],0),MATCH(Tabla4[[#This Row],[Mes]],Tabla6[#Headers],0)))*(1+Catalogos!$L$2)</f>
        <v>#N/A</v>
      </c>
      <c r="N915" s="283" t="e">
        <f>+(Tabla4[[#This Row],[Precio Descontado]]-Tabla4[[#This Row],[Precio Base]])*Tabla4[[#This Row],[Cantidad]]</f>
        <v>#N/A</v>
      </c>
      <c r="O915" s="284" t="e">
        <f>++Tabla4[[#This Row],[Utilidad Total]]/Tabla4[[#This Row],[Total]]</f>
        <v>#N/A</v>
      </c>
      <c r="P915" s="282">
        <f>++Tabla4[[#This Row],[Precio Descontado]]*Tabla4[[#This Row],[Cantidad]]</f>
        <v>8487.800318399999</v>
      </c>
      <c r="Q915" s="282" t="e">
        <f>(INDEX(Tabla6[#All],MATCH(Tabla4[[#This Row],[Producto]],Tabla6[[#All],[PRODUCTO]],0),MATCH(Tabla4[[#This Row],[Mes]],Tabla6[#Headers],0)))</f>
        <v>#N/A</v>
      </c>
      <c r="R915" s="282" t="e">
        <f>++Tabla4[[#This Row],[Precio Unitario Neto]]-Tabla4[[#This Row],[20.85%]]-Tabla4[[#This Row],[Costo]]</f>
        <v>#N/A</v>
      </c>
      <c r="S915" s="282" t="e">
        <f>++Tabla4[[#This Row],[U. Bruta Uni]]*Tabla4[[#This Row],[Cantidad]]</f>
        <v>#N/A</v>
      </c>
      <c r="T915" s="369" t="str">
        <f>VLOOKUP(Tabla4[[#This Row],[Producto]],Tabla6[#All],14,FALSE)</f>
        <v>Termico Solar</v>
      </c>
      <c r="U915" s="284" t="e">
        <f>(IF(Tabla4[[#This Row],[Familia]]="termico solar",Tabla4[[#This Row],[Utilidad Total]]*6%,Tabla4[[#This Row],[Utilidad Total]]*11.5%))/Tabla4[[#This Row],[Total]]</f>
        <v>#N/A</v>
      </c>
      <c r="V915" s="282" t="e">
        <f>+Tabla4[[#This Row],[Comisión Calculada]]*Tabla4[[#This Row],[Total]]</f>
        <v>#N/A</v>
      </c>
    </row>
    <row r="916" spans="1:22" hidden="1" x14ac:dyDescent="0.25">
      <c r="A916" s="100">
        <v>45716</v>
      </c>
      <c r="B916" t="str">
        <f t="shared" si="36"/>
        <v>February</v>
      </c>
      <c r="C916" s="46" t="s">
        <v>280</v>
      </c>
      <c r="F916" s="366" t="s">
        <v>1106</v>
      </c>
      <c r="G916" s="46" t="s">
        <v>18</v>
      </c>
      <c r="H916" s="46">
        <v>2</v>
      </c>
      <c r="I916" s="51">
        <v>5367.65</v>
      </c>
      <c r="J916" s="281">
        <f>++Tabla4[[#This Row],[Precio Bruto]]*1.16</f>
        <v>6226.4739999999993</v>
      </c>
      <c r="K916" s="281">
        <f>+Tabla4[[#This Row],[Precio Unitario Neto]]*Tabla4[[#Headers],[20.85%]]</f>
        <v>1298.2198289999999</v>
      </c>
      <c r="L916" s="282">
        <f>++Tabla4[[#This Row],[Precio Unitario Neto]]-Tabla4[[#This Row],[20.85%]]</f>
        <v>4928.2541709999996</v>
      </c>
      <c r="M916" s="282" t="e">
        <f>(INDEX(Tabla6[#All],MATCH(Tabla4[[#This Row],[Producto]],Tabla6[[#All],[PRODUCTO]],0),MATCH(Tabla4[[#This Row],[Mes]],Tabla6[#Headers],0)))*(1+Catalogos!$L$2)</f>
        <v>#N/A</v>
      </c>
      <c r="N916" s="283" t="e">
        <f>+(Tabla4[[#This Row],[Precio Descontado]]-Tabla4[[#This Row],[Precio Base]])*Tabla4[[#This Row],[Cantidad]]</f>
        <v>#N/A</v>
      </c>
      <c r="O916" s="284" t="e">
        <f>++Tabla4[[#This Row],[Utilidad Total]]/Tabla4[[#This Row],[Total]]</f>
        <v>#N/A</v>
      </c>
      <c r="P916" s="282">
        <f>++Tabla4[[#This Row],[Precio Descontado]]*Tabla4[[#This Row],[Cantidad]]</f>
        <v>9856.5083419999992</v>
      </c>
      <c r="Q916" s="282" t="e">
        <f>(INDEX(Tabla6[#All],MATCH(Tabla4[[#This Row],[Producto]],Tabla6[[#All],[PRODUCTO]],0),MATCH(Tabla4[[#This Row],[Mes]],Tabla6[#Headers],0)))</f>
        <v>#N/A</v>
      </c>
      <c r="R916" s="282" t="e">
        <f>++Tabla4[[#This Row],[Precio Unitario Neto]]-Tabla4[[#This Row],[20.85%]]-Tabla4[[#This Row],[Costo]]</f>
        <v>#N/A</v>
      </c>
      <c r="S916" s="282" t="e">
        <f>++Tabla4[[#This Row],[U. Bruta Uni]]*Tabla4[[#This Row],[Cantidad]]</f>
        <v>#N/A</v>
      </c>
      <c r="T916" s="369" t="str">
        <f>VLOOKUP(Tabla4[[#This Row],[Producto]],Tabla6[#All],14,FALSE)</f>
        <v>Termico Solar</v>
      </c>
      <c r="U916" s="284" t="e">
        <f>(IF(Tabla4[[#This Row],[Familia]]="termico solar",Tabla4[[#This Row],[Utilidad Total]]*6%,Tabla4[[#This Row],[Utilidad Total]]*11.5%))/Tabla4[[#This Row],[Total]]</f>
        <v>#N/A</v>
      </c>
      <c r="V916" s="282" t="e">
        <f>+Tabla4[[#This Row],[Comisión Calculada]]*Tabla4[[#This Row],[Total]]</f>
        <v>#N/A</v>
      </c>
    </row>
    <row r="917" spans="1:22" hidden="1" x14ac:dyDescent="0.25">
      <c r="A917" s="100">
        <v>45716</v>
      </c>
      <c r="B917" t="str">
        <f t="shared" si="36"/>
        <v>February</v>
      </c>
      <c r="C917" s="46" t="s">
        <v>280</v>
      </c>
      <c r="F917" s="366" t="s">
        <v>1106</v>
      </c>
      <c r="G917" s="46" t="s">
        <v>16</v>
      </c>
      <c r="H917" s="46">
        <v>2</v>
      </c>
      <c r="I917" s="51">
        <v>4103.8500000000004</v>
      </c>
      <c r="J917" s="281">
        <f>++Tabla4[[#This Row],[Precio Bruto]]*1.16</f>
        <v>4760.4660000000003</v>
      </c>
      <c r="K917" s="281">
        <f>+Tabla4[[#This Row],[Precio Unitario Neto]]*Tabla4[[#Headers],[20.85%]]</f>
        <v>992.55716100000006</v>
      </c>
      <c r="L917" s="282">
        <f>++Tabla4[[#This Row],[Precio Unitario Neto]]-Tabla4[[#This Row],[20.85%]]</f>
        <v>3767.9088390000002</v>
      </c>
      <c r="M917" s="282" t="e">
        <f>(INDEX(Tabla6[#All],MATCH(Tabla4[[#This Row],[Producto]],Tabla6[[#All],[PRODUCTO]],0),MATCH(Tabla4[[#This Row],[Mes]],Tabla6[#Headers],0)))*(1+Catalogos!$L$2)</f>
        <v>#N/A</v>
      </c>
      <c r="N917" s="283" t="e">
        <f>+(Tabla4[[#This Row],[Precio Descontado]]-Tabla4[[#This Row],[Precio Base]])*Tabla4[[#This Row],[Cantidad]]</f>
        <v>#N/A</v>
      </c>
      <c r="O917" s="284" t="e">
        <f>++Tabla4[[#This Row],[Utilidad Total]]/Tabla4[[#This Row],[Total]]</f>
        <v>#N/A</v>
      </c>
      <c r="P917" s="282">
        <f>++Tabla4[[#This Row],[Precio Descontado]]*Tabla4[[#This Row],[Cantidad]]</f>
        <v>7535.8176780000003</v>
      </c>
      <c r="Q917" s="282" t="e">
        <f>(INDEX(Tabla6[#All],MATCH(Tabla4[[#This Row],[Producto]],Tabla6[[#All],[PRODUCTO]],0),MATCH(Tabla4[[#This Row],[Mes]],Tabla6[#Headers],0)))</f>
        <v>#N/A</v>
      </c>
      <c r="R917" s="282" t="e">
        <f>++Tabla4[[#This Row],[Precio Unitario Neto]]-Tabla4[[#This Row],[20.85%]]-Tabla4[[#This Row],[Costo]]</f>
        <v>#N/A</v>
      </c>
      <c r="S917" s="282" t="e">
        <f>++Tabla4[[#This Row],[U. Bruta Uni]]*Tabla4[[#This Row],[Cantidad]]</f>
        <v>#N/A</v>
      </c>
      <c r="T917" s="369" t="str">
        <f>VLOOKUP(Tabla4[[#This Row],[Producto]],Tabla6[#All],14,FALSE)</f>
        <v>Termico Solar</v>
      </c>
      <c r="U917" s="284" t="e">
        <f>(IF(Tabla4[[#This Row],[Familia]]="termico solar",Tabla4[[#This Row],[Utilidad Total]]*6%,Tabla4[[#This Row],[Utilidad Total]]*11.5%))/Tabla4[[#This Row],[Total]]</f>
        <v>#N/A</v>
      </c>
      <c r="V917" s="282" t="e">
        <f>+Tabla4[[#This Row],[Comisión Calculada]]*Tabla4[[#This Row],[Total]]</f>
        <v>#N/A</v>
      </c>
    </row>
    <row r="918" spans="1:22" hidden="1" x14ac:dyDescent="0.25">
      <c r="A918" s="100">
        <v>45716</v>
      </c>
      <c r="B918" t="str">
        <f t="shared" si="36"/>
        <v>February</v>
      </c>
      <c r="C918" s="46" t="s">
        <v>280</v>
      </c>
      <c r="F918" s="366" t="s">
        <v>1107</v>
      </c>
      <c r="G918" s="46" t="s">
        <v>17</v>
      </c>
      <c r="H918" s="46">
        <v>3</v>
      </c>
      <c r="I918" s="51">
        <v>4622.28</v>
      </c>
      <c r="J918" s="281">
        <f>++Tabla4[[#This Row],[Precio Bruto]]*1.16</f>
        <v>5361.8447999999989</v>
      </c>
      <c r="K918" s="281">
        <f>+Tabla4[[#This Row],[Precio Unitario Neto]]*Tabla4[[#Headers],[20.85%]]</f>
        <v>1117.9446407999997</v>
      </c>
      <c r="L918" s="282">
        <f>++Tabla4[[#This Row],[Precio Unitario Neto]]-Tabla4[[#This Row],[20.85%]]</f>
        <v>4243.9001591999995</v>
      </c>
      <c r="M918" s="282" t="e">
        <f>(INDEX(Tabla6[#All],MATCH(Tabla4[[#This Row],[Producto]],Tabla6[[#All],[PRODUCTO]],0),MATCH(Tabla4[[#This Row],[Mes]],Tabla6[#Headers],0)))*(1+Catalogos!$L$2)</f>
        <v>#N/A</v>
      </c>
      <c r="N918" s="283" t="e">
        <f>+(Tabla4[[#This Row],[Precio Descontado]]-Tabla4[[#This Row],[Precio Base]])*Tabla4[[#This Row],[Cantidad]]</f>
        <v>#N/A</v>
      </c>
      <c r="O918" s="284" t="e">
        <f>++Tabla4[[#This Row],[Utilidad Total]]/Tabla4[[#This Row],[Total]]</f>
        <v>#N/A</v>
      </c>
      <c r="P918" s="282">
        <f>++Tabla4[[#This Row],[Precio Descontado]]*Tabla4[[#This Row],[Cantidad]]</f>
        <v>12731.700477599999</v>
      </c>
      <c r="Q918" s="282" t="e">
        <f>(INDEX(Tabla6[#All],MATCH(Tabla4[[#This Row],[Producto]],Tabla6[[#All],[PRODUCTO]],0),MATCH(Tabla4[[#This Row],[Mes]],Tabla6[#Headers],0)))</f>
        <v>#N/A</v>
      </c>
      <c r="R918" s="282" t="e">
        <f>++Tabla4[[#This Row],[Precio Unitario Neto]]-Tabla4[[#This Row],[20.85%]]-Tabla4[[#This Row],[Costo]]</f>
        <v>#N/A</v>
      </c>
      <c r="S918" s="282" t="e">
        <f>++Tabla4[[#This Row],[U. Bruta Uni]]*Tabla4[[#This Row],[Cantidad]]</f>
        <v>#N/A</v>
      </c>
      <c r="T918" s="369" t="str">
        <f>VLOOKUP(Tabla4[[#This Row],[Producto]],Tabla6[#All],14,FALSE)</f>
        <v>Termico Solar</v>
      </c>
      <c r="U918" s="284" t="e">
        <f>(IF(Tabla4[[#This Row],[Familia]]="termico solar",Tabla4[[#This Row],[Utilidad Total]]*6%,Tabla4[[#This Row],[Utilidad Total]]*11.5%))/Tabla4[[#This Row],[Total]]</f>
        <v>#N/A</v>
      </c>
      <c r="V918" s="282" t="e">
        <f>+Tabla4[[#This Row],[Comisión Calculada]]*Tabla4[[#This Row],[Total]]</f>
        <v>#N/A</v>
      </c>
    </row>
    <row r="919" spans="1:22" hidden="1" x14ac:dyDescent="0.25">
      <c r="A919" s="100">
        <v>45716</v>
      </c>
      <c r="B919" t="str">
        <f t="shared" si="36"/>
        <v>February</v>
      </c>
      <c r="C919" s="46" t="s">
        <v>280</v>
      </c>
      <c r="F919" s="366" t="s">
        <v>1107</v>
      </c>
      <c r="G919" s="46" t="s">
        <v>566</v>
      </c>
      <c r="H919" s="46">
        <v>2</v>
      </c>
      <c r="I919" s="51">
        <v>2109.4499999999998</v>
      </c>
      <c r="J919" s="281">
        <f>++Tabla4[[#This Row],[Precio Bruto]]*1.16</f>
        <v>2446.9619999999995</v>
      </c>
      <c r="K919" s="281">
        <f>+Tabla4[[#This Row],[Precio Unitario Neto]]*Tabla4[[#Headers],[20.85%]]</f>
        <v>510.19157699999988</v>
      </c>
      <c r="L919" s="282">
        <f>++Tabla4[[#This Row],[Precio Unitario Neto]]-Tabla4[[#This Row],[20.85%]]</f>
        <v>1936.7704229999997</v>
      </c>
      <c r="M919" s="282" t="e">
        <f>(INDEX(Tabla6[#All],MATCH(Tabla4[[#This Row],[Producto]],Tabla6[[#All],[PRODUCTO]],0),MATCH(Tabla4[[#This Row],[Mes]],Tabla6[#Headers],0)))*(1+Catalogos!$L$2)</f>
        <v>#N/A</v>
      </c>
      <c r="N919" s="283" t="e">
        <f>+(Tabla4[[#This Row],[Precio Descontado]]-Tabla4[[#This Row],[Precio Base]])*Tabla4[[#This Row],[Cantidad]]</f>
        <v>#N/A</v>
      </c>
      <c r="O919" s="284" t="e">
        <f>++Tabla4[[#This Row],[Utilidad Total]]/Tabla4[[#This Row],[Total]]</f>
        <v>#N/A</v>
      </c>
      <c r="P919" s="282">
        <f>++Tabla4[[#This Row],[Precio Descontado]]*Tabla4[[#This Row],[Cantidad]]</f>
        <v>3873.5408459999994</v>
      </c>
      <c r="Q919" s="282" t="e">
        <f>(INDEX(Tabla6[#All],MATCH(Tabla4[[#This Row],[Producto]],Tabla6[[#All],[PRODUCTO]],0),MATCH(Tabla4[[#This Row],[Mes]],Tabla6[#Headers],0)))</f>
        <v>#N/A</v>
      </c>
      <c r="R919" s="282" t="e">
        <f>++Tabla4[[#This Row],[Precio Unitario Neto]]-Tabla4[[#This Row],[20.85%]]-Tabla4[[#This Row],[Costo]]</f>
        <v>#N/A</v>
      </c>
      <c r="S919" s="282" t="e">
        <f>++Tabla4[[#This Row],[U. Bruta Uni]]*Tabla4[[#This Row],[Cantidad]]</f>
        <v>#N/A</v>
      </c>
      <c r="T919" s="369" t="str">
        <f>VLOOKUP(Tabla4[[#This Row],[Producto]],Tabla6[#All],14,FALSE)</f>
        <v>Termico Solar</v>
      </c>
      <c r="U919" s="284" t="e">
        <f>(IF(Tabla4[[#This Row],[Familia]]="termico solar",Tabla4[[#This Row],[Utilidad Total]]*6%,Tabla4[[#This Row],[Utilidad Total]]*11.5%))/Tabla4[[#This Row],[Total]]</f>
        <v>#N/A</v>
      </c>
      <c r="V919" s="282" t="e">
        <f>+Tabla4[[#This Row],[Comisión Calculada]]*Tabla4[[#This Row],[Total]]</f>
        <v>#N/A</v>
      </c>
    </row>
    <row r="920" spans="1:22" hidden="1" x14ac:dyDescent="0.25">
      <c r="A920" s="100">
        <v>45716</v>
      </c>
      <c r="B920" t="str">
        <f t="shared" si="36"/>
        <v>February</v>
      </c>
      <c r="C920" s="46" t="s">
        <v>280</v>
      </c>
      <c r="F920" s="366" t="s">
        <v>1108</v>
      </c>
      <c r="G920" s="46" t="s">
        <v>17</v>
      </c>
      <c r="H920" s="46">
        <v>1</v>
      </c>
      <c r="I920" s="51">
        <v>4622.28</v>
      </c>
      <c r="J920" s="281">
        <f>++Tabla4[[#This Row],[Precio Bruto]]*1.16</f>
        <v>5361.8447999999989</v>
      </c>
      <c r="K920" s="281">
        <f>+Tabla4[[#This Row],[Precio Unitario Neto]]*Tabla4[[#Headers],[20.85%]]</f>
        <v>1117.9446407999997</v>
      </c>
      <c r="L920" s="282">
        <f>++Tabla4[[#This Row],[Precio Unitario Neto]]-Tabla4[[#This Row],[20.85%]]</f>
        <v>4243.9001591999995</v>
      </c>
      <c r="M920" s="282" t="e">
        <f>(INDEX(Tabla6[#All],MATCH(Tabla4[[#This Row],[Producto]],Tabla6[[#All],[PRODUCTO]],0),MATCH(Tabla4[[#This Row],[Mes]],Tabla6[#Headers],0)))*(1+Catalogos!$L$2)</f>
        <v>#N/A</v>
      </c>
      <c r="N920" s="283" t="e">
        <f>+(Tabla4[[#This Row],[Precio Descontado]]-Tabla4[[#This Row],[Precio Base]])*Tabla4[[#This Row],[Cantidad]]</f>
        <v>#N/A</v>
      </c>
      <c r="O920" s="284" t="e">
        <f>++Tabla4[[#This Row],[Utilidad Total]]/Tabla4[[#This Row],[Total]]</f>
        <v>#N/A</v>
      </c>
      <c r="P920" s="282">
        <f>++Tabla4[[#This Row],[Precio Descontado]]*Tabla4[[#This Row],[Cantidad]]</f>
        <v>4243.9001591999995</v>
      </c>
      <c r="Q920" s="282" t="e">
        <f>(INDEX(Tabla6[#All],MATCH(Tabla4[[#This Row],[Producto]],Tabla6[[#All],[PRODUCTO]],0),MATCH(Tabla4[[#This Row],[Mes]],Tabla6[#Headers],0)))</f>
        <v>#N/A</v>
      </c>
      <c r="R920" s="282" t="e">
        <f>++Tabla4[[#This Row],[Precio Unitario Neto]]-Tabla4[[#This Row],[20.85%]]-Tabla4[[#This Row],[Costo]]</f>
        <v>#N/A</v>
      </c>
      <c r="S920" s="282" t="e">
        <f>++Tabla4[[#This Row],[U. Bruta Uni]]*Tabla4[[#This Row],[Cantidad]]</f>
        <v>#N/A</v>
      </c>
      <c r="T920" s="369" t="str">
        <f>VLOOKUP(Tabla4[[#This Row],[Producto]],Tabla6[#All],14,FALSE)</f>
        <v>Termico Solar</v>
      </c>
      <c r="U920" s="284" t="e">
        <f>(IF(Tabla4[[#This Row],[Familia]]="termico solar",Tabla4[[#This Row],[Utilidad Total]]*6%,Tabla4[[#This Row],[Utilidad Total]]*11.5%))/Tabla4[[#This Row],[Total]]</f>
        <v>#N/A</v>
      </c>
      <c r="V920" s="282" t="e">
        <f>+Tabla4[[#This Row],[Comisión Calculada]]*Tabla4[[#This Row],[Total]]</f>
        <v>#N/A</v>
      </c>
    </row>
    <row r="921" spans="1:22" hidden="1" x14ac:dyDescent="0.25">
      <c r="A921" s="100">
        <v>45716</v>
      </c>
      <c r="B921" t="str">
        <f t="shared" si="36"/>
        <v>February</v>
      </c>
      <c r="C921" s="46" t="s">
        <v>280</v>
      </c>
      <c r="F921" s="366" t="s">
        <v>1109</v>
      </c>
      <c r="G921" s="46" t="s">
        <v>17</v>
      </c>
      <c r="H921" s="46">
        <v>1</v>
      </c>
      <c r="I921" s="51">
        <v>4622.28</v>
      </c>
      <c r="J921" s="281">
        <f>++Tabla4[[#This Row],[Precio Bruto]]*1.16</f>
        <v>5361.8447999999989</v>
      </c>
      <c r="K921" s="281">
        <f>+Tabla4[[#This Row],[Precio Unitario Neto]]*Tabla4[[#Headers],[20.85%]]</f>
        <v>1117.9446407999997</v>
      </c>
      <c r="L921" s="282">
        <f>++Tabla4[[#This Row],[Precio Unitario Neto]]-Tabla4[[#This Row],[20.85%]]</f>
        <v>4243.9001591999995</v>
      </c>
      <c r="M921" s="282" t="e">
        <f>(INDEX(Tabla6[#All],MATCH(Tabla4[[#This Row],[Producto]],Tabla6[[#All],[PRODUCTO]],0),MATCH(Tabla4[[#This Row],[Mes]],Tabla6[#Headers],0)))*(1+Catalogos!$L$2)</f>
        <v>#N/A</v>
      </c>
      <c r="N921" s="283" t="e">
        <f>+(Tabla4[[#This Row],[Precio Descontado]]-Tabla4[[#This Row],[Precio Base]])*Tabla4[[#This Row],[Cantidad]]</f>
        <v>#N/A</v>
      </c>
      <c r="O921" s="284" t="e">
        <f>++Tabla4[[#This Row],[Utilidad Total]]/Tabla4[[#This Row],[Total]]</f>
        <v>#N/A</v>
      </c>
      <c r="P921" s="282">
        <f>++Tabla4[[#This Row],[Precio Descontado]]*Tabla4[[#This Row],[Cantidad]]</f>
        <v>4243.9001591999995</v>
      </c>
      <c r="Q921" s="282" t="e">
        <f>(INDEX(Tabla6[#All],MATCH(Tabla4[[#This Row],[Producto]],Tabla6[[#All],[PRODUCTO]],0),MATCH(Tabla4[[#This Row],[Mes]],Tabla6[#Headers],0)))</f>
        <v>#N/A</v>
      </c>
      <c r="R921" s="282" t="e">
        <f>++Tabla4[[#This Row],[Precio Unitario Neto]]-Tabla4[[#This Row],[20.85%]]-Tabla4[[#This Row],[Costo]]</f>
        <v>#N/A</v>
      </c>
      <c r="S921" s="282" t="e">
        <f>++Tabla4[[#This Row],[U. Bruta Uni]]*Tabla4[[#This Row],[Cantidad]]</f>
        <v>#N/A</v>
      </c>
      <c r="T921" s="369" t="str">
        <f>VLOOKUP(Tabla4[[#This Row],[Producto]],Tabla6[#All],14,FALSE)</f>
        <v>Termico Solar</v>
      </c>
      <c r="U921" s="284" t="e">
        <f>(IF(Tabla4[[#This Row],[Familia]]="termico solar",Tabla4[[#This Row],[Utilidad Total]]*6%,Tabla4[[#This Row],[Utilidad Total]]*11.5%))/Tabla4[[#This Row],[Total]]</f>
        <v>#N/A</v>
      </c>
      <c r="V921" s="282" t="e">
        <f>+Tabla4[[#This Row],[Comisión Calculada]]*Tabla4[[#This Row],[Total]]</f>
        <v>#N/A</v>
      </c>
    </row>
    <row r="922" spans="1:22" hidden="1" x14ac:dyDescent="0.25">
      <c r="A922" s="100">
        <v>45716</v>
      </c>
      <c r="B922" t="str">
        <f t="shared" si="36"/>
        <v>February</v>
      </c>
      <c r="C922" s="46" t="s">
        <v>280</v>
      </c>
      <c r="F922" s="366" t="s">
        <v>1109</v>
      </c>
      <c r="G922" s="46" t="s">
        <v>566</v>
      </c>
      <c r="H922" s="46">
        <v>1</v>
      </c>
      <c r="I922" s="51">
        <v>2109.4499999999998</v>
      </c>
      <c r="J922" s="281">
        <f>++Tabla4[[#This Row],[Precio Bruto]]*1.16</f>
        <v>2446.9619999999995</v>
      </c>
      <c r="K922" s="281">
        <f>+Tabla4[[#This Row],[Precio Unitario Neto]]*Tabla4[[#Headers],[20.85%]]</f>
        <v>510.19157699999988</v>
      </c>
      <c r="L922" s="282">
        <f>++Tabla4[[#This Row],[Precio Unitario Neto]]-Tabla4[[#This Row],[20.85%]]</f>
        <v>1936.7704229999997</v>
      </c>
      <c r="M922" s="282" t="e">
        <f>(INDEX(Tabla6[#All],MATCH(Tabla4[[#This Row],[Producto]],Tabla6[[#All],[PRODUCTO]],0),MATCH(Tabla4[[#This Row],[Mes]],Tabla6[#Headers],0)))*(1+Catalogos!$L$2)</f>
        <v>#N/A</v>
      </c>
      <c r="N922" s="283" t="e">
        <f>+(Tabla4[[#This Row],[Precio Descontado]]-Tabla4[[#This Row],[Precio Base]])*Tabla4[[#This Row],[Cantidad]]</f>
        <v>#N/A</v>
      </c>
      <c r="O922" s="284" t="e">
        <f>++Tabla4[[#This Row],[Utilidad Total]]/Tabla4[[#This Row],[Total]]</f>
        <v>#N/A</v>
      </c>
      <c r="P922" s="282">
        <f>++Tabla4[[#This Row],[Precio Descontado]]*Tabla4[[#This Row],[Cantidad]]</f>
        <v>1936.7704229999997</v>
      </c>
      <c r="Q922" s="282" t="e">
        <f>(INDEX(Tabla6[#All],MATCH(Tabla4[[#This Row],[Producto]],Tabla6[[#All],[PRODUCTO]],0),MATCH(Tabla4[[#This Row],[Mes]],Tabla6[#Headers],0)))</f>
        <v>#N/A</v>
      </c>
      <c r="R922" s="282" t="e">
        <f>++Tabla4[[#This Row],[Precio Unitario Neto]]-Tabla4[[#This Row],[20.85%]]-Tabla4[[#This Row],[Costo]]</f>
        <v>#N/A</v>
      </c>
      <c r="S922" s="282" t="e">
        <f>++Tabla4[[#This Row],[U. Bruta Uni]]*Tabla4[[#This Row],[Cantidad]]</f>
        <v>#N/A</v>
      </c>
      <c r="T922" s="369" t="str">
        <f>VLOOKUP(Tabla4[[#This Row],[Producto]],Tabla6[#All],14,FALSE)</f>
        <v>Termico Solar</v>
      </c>
      <c r="U922" s="284" t="e">
        <f>(IF(Tabla4[[#This Row],[Familia]]="termico solar",Tabla4[[#This Row],[Utilidad Total]]*6%,Tabla4[[#This Row],[Utilidad Total]]*11.5%))/Tabla4[[#This Row],[Total]]</f>
        <v>#N/A</v>
      </c>
      <c r="V922" s="282" t="e">
        <f>+Tabla4[[#This Row],[Comisión Calculada]]*Tabla4[[#This Row],[Total]]</f>
        <v>#N/A</v>
      </c>
    </row>
    <row r="923" spans="1:22" hidden="1" x14ac:dyDescent="0.25">
      <c r="A923" s="100">
        <v>45716</v>
      </c>
      <c r="B923" t="str">
        <f t="shared" si="36"/>
        <v>February</v>
      </c>
      <c r="C923" s="46" t="s">
        <v>280</v>
      </c>
      <c r="F923" s="366" t="s">
        <v>1110</v>
      </c>
      <c r="G923" s="46" t="s">
        <v>83</v>
      </c>
      <c r="H923" s="46">
        <v>2</v>
      </c>
      <c r="I923" s="51">
        <v>8858.76</v>
      </c>
      <c r="J923" s="281">
        <f>++Tabla4[[#This Row],[Precio Bruto]]*1.16</f>
        <v>10276.161599999999</v>
      </c>
      <c r="K923" s="281">
        <f>+Tabla4[[#This Row],[Precio Unitario Neto]]*Tabla4[[#Headers],[20.85%]]</f>
        <v>2142.5796935999997</v>
      </c>
      <c r="L923" s="282">
        <f>++Tabla4[[#This Row],[Precio Unitario Neto]]-Tabla4[[#This Row],[20.85%]]</f>
        <v>8133.5819063999998</v>
      </c>
      <c r="M923" s="282" t="e">
        <f>(INDEX(Tabla6[#All],MATCH(Tabla4[[#This Row],[Producto]],Tabla6[[#All],[PRODUCTO]],0),MATCH(Tabla4[[#This Row],[Mes]],Tabla6[#Headers],0)))*(1+Catalogos!$L$2)</f>
        <v>#N/A</v>
      </c>
      <c r="N923" s="283" t="e">
        <f>+(Tabla4[[#This Row],[Precio Descontado]]-Tabla4[[#This Row],[Precio Base]])*Tabla4[[#This Row],[Cantidad]]</f>
        <v>#N/A</v>
      </c>
      <c r="O923" s="284" t="e">
        <f>++Tabla4[[#This Row],[Utilidad Total]]/Tabla4[[#This Row],[Total]]</f>
        <v>#N/A</v>
      </c>
      <c r="P923" s="282">
        <f>++Tabla4[[#This Row],[Precio Descontado]]*Tabla4[[#This Row],[Cantidad]]</f>
        <v>16267.1638128</v>
      </c>
      <c r="Q923" s="282" t="e">
        <f>(INDEX(Tabla6[#All],MATCH(Tabla4[[#This Row],[Producto]],Tabla6[[#All],[PRODUCTO]],0),MATCH(Tabla4[[#This Row],[Mes]],Tabla6[#Headers],0)))</f>
        <v>#N/A</v>
      </c>
      <c r="R923" s="282" t="e">
        <f>++Tabla4[[#This Row],[Precio Unitario Neto]]-Tabla4[[#This Row],[20.85%]]-Tabla4[[#This Row],[Costo]]</f>
        <v>#N/A</v>
      </c>
      <c r="S923" s="282" t="e">
        <f>++Tabla4[[#This Row],[U. Bruta Uni]]*Tabla4[[#This Row],[Cantidad]]</f>
        <v>#N/A</v>
      </c>
      <c r="T923" s="369" t="str">
        <f>VLOOKUP(Tabla4[[#This Row],[Producto]],Tabla6[#All],14,FALSE)</f>
        <v>Termico Solar</v>
      </c>
      <c r="U923" s="284" t="e">
        <f>(IF(Tabla4[[#This Row],[Familia]]="termico solar",Tabla4[[#This Row],[Utilidad Total]]*6%,Tabla4[[#This Row],[Utilidad Total]]*11.5%))/Tabla4[[#This Row],[Total]]</f>
        <v>#N/A</v>
      </c>
      <c r="V923" s="282" t="e">
        <f>+Tabla4[[#This Row],[Comisión Calculada]]*Tabla4[[#This Row],[Total]]</f>
        <v>#N/A</v>
      </c>
    </row>
    <row r="924" spans="1:22" hidden="1" x14ac:dyDescent="0.25">
      <c r="A924" s="100">
        <v>45716</v>
      </c>
      <c r="B924" t="str">
        <f t="shared" si="36"/>
        <v>February</v>
      </c>
      <c r="C924" s="46" t="s">
        <v>280</v>
      </c>
      <c r="F924" s="366" t="s">
        <v>1110</v>
      </c>
      <c r="G924" s="46" t="s">
        <v>566</v>
      </c>
      <c r="H924" s="46">
        <v>1</v>
      </c>
      <c r="I924" s="51">
        <v>2109.4499999999998</v>
      </c>
      <c r="J924" s="281">
        <f>++Tabla4[[#This Row],[Precio Bruto]]*1.16</f>
        <v>2446.9619999999995</v>
      </c>
      <c r="K924" s="281">
        <f>+Tabla4[[#This Row],[Precio Unitario Neto]]*Tabla4[[#Headers],[20.85%]]</f>
        <v>510.19157699999988</v>
      </c>
      <c r="L924" s="282">
        <f>++Tabla4[[#This Row],[Precio Unitario Neto]]-Tabla4[[#This Row],[20.85%]]</f>
        <v>1936.7704229999997</v>
      </c>
      <c r="M924" s="282" t="e">
        <f>(INDEX(Tabla6[#All],MATCH(Tabla4[[#This Row],[Producto]],Tabla6[[#All],[PRODUCTO]],0),MATCH(Tabla4[[#This Row],[Mes]],Tabla6[#Headers],0)))*(1+Catalogos!$L$2)</f>
        <v>#N/A</v>
      </c>
      <c r="N924" s="283" t="e">
        <f>+(Tabla4[[#This Row],[Precio Descontado]]-Tabla4[[#This Row],[Precio Base]])*Tabla4[[#This Row],[Cantidad]]</f>
        <v>#N/A</v>
      </c>
      <c r="O924" s="284" t="e">
        <f>++Tabla4[[#This Row],[Utilidad Total]]/Tabla4[[#This Row],[Total]]</f>
        <v>#N/A</v>
      </c>
      <c r="P924" s="282">
        <f>++Tabla4[[#This Row],[Precio Descontado]]*Tabla4[[#This Row],[Cantidad]]</f>
        <v>1936.7704229999997</v>
      </c>
      <c r="Q924" s="282" t="e">
        <f>(INDEX(Tabla6[#All],MATCH(Tabla4[[#This Row],[Producto]],Tabla6[[#All],[PRODUCTO]],0),MATCH(Tabla4[[#This Row],[Mes]],Tabla6[#Headers],0)))</f>
        <v>#N/A</v>
      </c>
      <c r="R924" s="282" t="e">
        <f>++Tabla4[[#This Row],[Precio Unitario Neto]]-Tabla4[[#This Row],[20.85%]]-Tabla4[[#This Row],[Costo]]</f>
        <v>#N/A</v>
      </c>
      <c r="S924" s="282" t="e">
        <f>++Tabla4[[#This Row],[U. Bruta Uni]]*Tabla4[[#This Row],[Cantidad]]</f>
        <v>#N/A</v>
      </c>
      <c r="T924" s="369" t="str">
        <f>VLOOKUP(Tabla4[[#This Row],[Producto]],Tabla6[#All],14,FALSE)</f>
        <v>Termico Solar</v>
      </c>
      <c r="U924" s="284" t="e">
        <f>(IF(Tabla4[[#This Row],[Familia]]="termico solar",Tabla4[[#This Row],[Utilidad Total]]*6%,Tabla4[[#This Row],[Utilidad Total]]*11.5%))/Tabla4[[#This Row],[Total]]</f>
        <v>#N/A</v>
      </c>
      <c r="V924" s="282" t="e">
        <f>+Tabla4[[#This Row],[Comisión Calculada]]*Tabla4[[#This Row],[Total]]</f>
        <v>#N/A</v>
      </c>
    </row>
    <row r="925" spans="1:22" hidden="1" x14ac:dyDescent="0.25">
      <c r="A925" s="100">
        <v>45716</v>
      </c>
      <c r="B925" t="str">
        <f t="shared" si="36"/>
        <v>February</v>
      </c>
      <c r="C925" s="46" t="s">
        <v>280</v>
      </c>
      <c r="F925" s="366" t="s">
        <v>1111</v>
      </c>
      <c r="G925" s="46" t="s">
        <v>17</v>
      </c>
      <c r="H925" s="46">
        <v>3</v>
      </c>
      <c r="I925" s="51">
        <v>4622.28</v>
      </c>
      <c r="J925" s="281">
        <f>++Tabla4[[#This Row],[Precio Bruto]]*1.16</f>
        <v>5361.8447999999989</v>
      </c>
      <c r="K925" s="281">
        <f>+Tabla4[[#This Row],[Precio Unitario Neto]]*Tabla4[[#Headers],[20.85%]]</f>
        <v>1117.9446407999997</v>
      </c>
      <c r="L925" s="282">
        <f>++Tabla4[[#This Row],[Precio Unitario Neto]]-Tabla4[[#This Row],[20.85%]]</f>
        <v>4243.9001591999995</v>
      </c>
      <c r="M925" s="282" t="e">
        <f>(INDEX(Tabla6[#All],MATCH(Tabla4[[#This Row],[Producto]],Tabla6[[#All],[PRODUCTO]],0),MATCH(Tabla4[[#This Row],[Mes]],Tabla6[#Headers],0)))*(1+Catalogos!$L$2)</f>
        <v>#N/A</v>
      </c>
      <c r="N925" s="283" t="e">
        <f>+(Tabla4[[#This Row],[Precio Descontado]]-Tabla4[[#This Row],[Precio Base]])*Tabla4[[#This Row],[Cantidad]]</f>
        <v>#N/A</v>
      </c>
      <c r="O925" s="284" t="e">
        <f>++Tabla4[[#This Row],[Utilidad Total]]/Tabla4[[#This Row],[Total]]</f>
        <v>#N/A</v>
      </c>
      <c r="P925" s="282">
        <f>++Tabla4[[#This Row],[Precio Descontado]]*Tabla4[[#This Row],[Cantidad]]</f>
        <v>12731.700477599999</v>
      </c>
      <c r="Q925" s="282" t="e">
        <f>(INDEX(Tabla6[#All],MATCH(Tabla4[[#This Row],[Producto]],Tabla6[[#All],[PRODUCTO]],0),MATCH(Tabla4[[#This Row],[Mes]],Tabla6[#Headers],0)))</f>
        <v>#N/A</v>
      </c>
      <c r="R925" s="282" t="e">
        <f>++Tabla4[[#This Row],[Precio Unitario Neto]]-Tabla4[[#This Row],[20.85%]]-Tabla4[[#This Row],[Costo]]</f>
        <v>#N/A</v>
      </c>
      <c r="S925" s="282" t="e">
        <f>++Tabla4[[#This Row],[U. Bruta Uni]]*Tabla4[[#This Row],[Cantidad]]</f>
        <v>#N/A</v>
      </c>
      <c r="T925" s="369" t="str">
        <f>VLOOKUP(Tabla4[[#This Row],[Producto]],Tabla6[#All],14,FALSE)</f>
        <v>Termico Solar</v>
      </c>
      <c r="U925" s="284" t="e">
        <f>(IF(Tabla4[[#This Row],[Familia]]="termico solar",Tabla4[[#This Row],[Utilidad Total]]*6%,Tabla4[[#This Row],[Utilidad Total]]*11.5%))/Tabla4[[#This Row],[Total]]</f>
        <v>#N/A</v>
      </c>
      <c r="V925" s="282" t="e">
        <f>+Tabla4[[#This Row],[Comisión Calculada]]*Tabla4[[#This Row],[Total]]</f>
        <v>#N/A</v>
      </c>
    </row>
    <row r="926" spans="1:22" hidden="1" x14ac:dyDescent="0.25">
      <c r="A926" s="100">
        <v>45716</v>
      </c>
      <c r="B926" t="str">
        <f t="shared" si="36"/>
        <v>February</v>
      </c>
      <c r="C926" s="46" t="s">
        <v>280</v>
      </c>
      <c r="F926" s="366" t="s">
        <v>1111</v>
      </c>
      <c r="G926" s="46" t="s">
        <v>18</v>
      </c>
      <c r="H926" s="46">
        <v>4</v>
      </c>
      <c r="I926" s="51">
        <v>5367.65</v>
      </c>
      <c r="J926" s="281">
        <f>++Tabla4[[#This Row],[Precio Bruto]]*1.16</f>
        <v>6226.4739999999993</v>
      </c>
      <c r="K926" s="281">
        <f>+Tabla4[[#This Row],[Precio Unitario Neto]]*Tabla4[[#Headers],[20.85%]]</f>
        <v>1298.2198289999999</v>
      </c>
      <c r="L926" s="282">
        <f>++Tabla4[[#This Row],[Precio Unitario Neto]]-Tabla4[[#This Row],[20.85%]]</f>
        <v>4928.2541709999996</v>
      </c>
      <c r="M926" s="282" t="e">
        <f>(INDEX(Tabla6[#All],MATCH(Tabla4[[#This Row],[Producto]],Tabla6[[#All],[PRODUCTO]],0),MATCH(Tabla4[[#This Row],[Mes]],Tabla6[#Headers],0)))*(1+Catalogos!$L$2)</f>
        <v>#N/A</v>
      </c>
      <c r="N926" s="283" t="e">
        <f>+(Tabla4[[#This Row],[Precio Descontado]]-Tabla4[[#This Row],[Precio Base]])*Tabla4[[#This Row],[Cantidad]]</f>
        <v>#N/A</v>
      </c>
      <c r="O926" s="284" t="e">
        <f>++Tabla4[[#This Row],[Utilidad Total]]/Tabla4[[#This Row],[Total]]</f>
        <v>#N/A</v>
      </c>
      <c r="P926" s="282">
        <f>++Tabla4[[#This Row],[Precio Descontado]]*Tabla4[[#This Row],[Cantidad]]</f>
        <v>19713.016683999998</v>
      </c>
      <c r="Q926" s="282" t="e">
        <f>(INDEX(Tabla6[#All],MATCH(Tabla4[[#This Row],[Producto]],Tabla6[[#All],[PRODUCTO]],0),MATCH(Tabla4[[#This Row],[Mes]],Tabla6[#Headers],0)))</f>
        <v>#N/A</v>
      </c>
      <c r="R926" s="282" t="e">
        <f>++Tabla4[[#This Row],[Precio Unitario Neto]]-Tabla4[[#This Row],[20.85%]]-Tabla4[[#This Row],[Costo]]</f>
        <v>#N/A</v>
      </c>
      <c r="S926" s="282" t="e">
        <f>++Tabla4[[#This Row],[U. Bruta Uni]]*Tabla4[[#This Row],[Cantidad]]</f>
        <v>#N/A</v>
      </c>
      <c r="T926" s="369" t="str">
        <f>VLOOKUP(Tabla4[[#This Row],[Producto]],Tabla6[#All],14,FALSE)</f>
        <v>Termico Solar</v>
      </c>
      <c r="U926" s="284" t="e">
        <f>(IF(Tabla4[[#This Row],[Familia]]="termico solar",Tabla4[[#This Row],[Utilidad Total]]*6%,Tabla4[[#This Row],[Utilidad Total]]*11.5%))/Tabla4[[#This Row],[Total]]</f>
        <v>#N/A</v>
      </c>
      <c r="V926" s="282" t="e">
        <f>+Tabla4[[#This Row],[Comisión Calculada]]*Tabla4[[#This Row],[Total]]</f>
        <v>#N/A</v>
      </c>
    </row>
    <row r="927" spans="1:22" hidden="1" x14ac:dyDescent="0.25">
      <c r="A927" s="100">
        <v>45716</v>
      </c>
      <c r="B927" t="str">
        <f t="shared" si="36"/>
        <v>February</v>
      </c>
      <c r="C927" s="46" t="s">
        <v>280</v>
      </c>
      <c r="F927" s="366" t="s">
        <v>1111</v>
      </c>
      <c r="G927" s="46" t="s">
        <v>19</v>
      </c>
      <c r="H927" s="46">
        <v>2</v>
      </c>
      <c r="I927" s="51">
        <v>6412.03</v>
      </c>
      <c r="J927" s="281">
        <f>++Tabla4[[#This Row],[Precio Bruto]]*1.16</f>
        <v>7437.9547999999995</v>
      </c>
      <c r="K927" s="281">
        <f>+Tabla4[[#This Row],[Precio Unitario Neto]]*Tabla4[[#Headers],[20.85%]]</f>
        <v>1550.8135757999999</v>
      </c>
      <c r="L927" s="282">
        <f>++Tabla4[[#This Row],[Precio Unitario Neto]]-Tabla4[[#This Row],[20.85%]]</f>
        <v>5887.1412241999997</v>
      </c>
      <c r="M927" s="282" t="e">
        <f>(INDEX(Tabla6[#All],MATCH(Tabla4[[#This Row],[Producto]],Tabla6[[#All],[PRODUCTO]],0),MATCH(Tabla4[[#This Row],[Mes]],Tabla6[#Headers],0)))*(1+Catalogos!$L$2)</f>
        <v>#N/A</v>
      </c>
      <c r="N927" s="283" t="e">
        <f>+(Tabla4[[#This Row],[Precio Descontado]]-Tabla4[[#This Row],[Precio Base]])*Tabla4[[#This Row],[Cantidad]]</f>
        <v>#N/A</v>
      </c>
      <c r="O927" s="284" t="e">
        <f>++Tabla4[[#This Row],[Utilidad Total]]/Tabla4[[#This Row],[Total]]</f>
        <v>#N/A</v>
      </c>
      <c r="P927" s="282">
        <f>++Tabla4[[#This Row],[Precio Descontado]]*Tabla4[[#This Row],[Cantidad]]</f>
        <v>11774.282448399999</v>
      </c>
      <c r="Q927" s="282" t="e">
        <f>(INDEX(Tabla6[#All],MATCH(Tabla4[[#This Row],[Producto]],Tabla6[[#All],[PRODUCTO]],0),MATCH(Tabla4[[#This Row],[Mes]],Tabla6[#Headers],0)))</f>
        <v>#N/A</v>
      </c>
      <c r="R927" s="282" t="e">
        <f>++Tabla4[[#This Row],[Precio Unitario Neto]]-Tabla4[[#This Row],[20.85%]]-Tabla4[[#This Row],[Costo]]</f>
        <v>#N/A</v>
      </c>
      <c r="S927" s="282" t="e">
        <f>++Tabla4[[#This Row],[U. Bruta Uni]]*Tabla4[[#This Row],[Cantidad]]</f>
        <v>#N/A</v>
      </c>
      <c r="T927" s="369" t="str">
        <f>VLOOKUP(Tabla4[[#This Row],[Producto]],Tabla6[#All],14,FALSE)</f>
        <v>Termico Solar</v>
      </c>
      <c r="U927" s="284" t="e">
        <f>(IF(Tabla4[[#This Row],[Familia]]="termico solar",Tabla4[[#This Row],[Utilidad Total]]*6%,Tabla4[[#This Row],[Utilidad Total]]*11.5%))/Tabla4[[#This Row],[Total]]</f>
        <v>#N/A</v>
      </c>
      <c r="V927" s="282" t="e">
        <f>+Tabla4[[#This Row],[Comisión Calculada]]*Tabla4[[#This Row],[Total]]</f>
        <v>#N/A</v>
      </c>
    </row>
    <row r="928" spans="1:22" hidden="1" x14ac:dyDescent="0.25">
      <c r="A928" s="100">
        <v>45716</v>
      </c>
      <c r="B928" t="str">
        <f t="shared" si="36"/>
        <v>February</v>
      </c>
      <c r="C928" s="46" t="s">
        <v>280</v>
      </c>
      <c r="F928" s="366" t="s">
        <v>1111</v>
      </c>
      <c r="G928" s="46" t="s">
        <v>566</v>
      </c>
      <c r="H928" s="46">
        <v>2</v>
      </c>
      <c r="I928" s="51">
        <v>2109.4499999999998</v>
      </c>
      <c r="J928" s="281">
        <f>++Tabla4[[#This Row],[Precio Bruto]]*1.16</f>
        <v>2446.9619999999995</v>
      </c>
      <c r="K928" s="281">
        <f>+Tabla4[[#This Row],[Precio Unitario Neto]]*Tabla4[[#Headers],[20.85%]]</f>
        <v>510.19157699999988</v>
      </c>
      <c r="L928" s="282">
        <f>++Tabla4[[#This Row],[Precio Unitario Neto]]-Tabla4[[#This Row],[20.85%]]</f>
        <v>1936.7704229999997</v>
      </c>
      <c r="M928" s="282" t="e">
        <f>(INDEX(Tabla6[#All],MATCH(Tabla4[[#This Row],[Producto]],Tabla6[[#All],[PRODUCTO]],0),MATCH(Tabla4[[#This Row],[Mes]],Tabla6[#Headers],0)))*(1+Catalogos!$L$2)</f>
        <v>#N/A</v>
      </c>
      <c r="N928" s="283" t="e">
        <f>+(Tabla4[[#This Row],[Precio Descontado]]-Tabla4[[#This Row],[Precio Base]])*Tabla4[[#This Row],[Cantidad]]</f>
        <v>#N/A</v>
      </c>
      <c r="O928" s="284" t="e">
        <f>++Tabla4[[#This Row],[Utilidad Total]]/Tabla4[[#This Row],[Total]]</f>
        <v>#N/A</v>
      </c>
      <c r="P928" s="282">
        <f>++Tabla4[[#This Row],[Precio Descontado]]*Tabla4[[#This Row],[Cantidad]]</f>
        <v>3873.5408459999994</v>
      </c>
      <c r="Q928" s="282" t="e">
        <f>(INDEX(Tabla6[#All],MATCH(Tabla4[[#This Row],[Producto]],Tabla6[[#All],[PRODUCTO]],0),MATCH(Tabla4[[#This Row],[Mes]],Tabla6[#Headers],0)))</f>
        <v>#N/A</v>
      </c>
      <c r="R928" s="282" t="e">
        <f>++Tabla4[[#This Row],[Precio Unitario Neto]]-Tabla4[[#This Row],[20.85%]]-Tabla4[[#This Row],[Costo]]</f>
        <v>#N/A</v>
      </c>
      <c r="S928" s="282" t="e">
        <f>++Tabla4[[#This Row],[U. Bruta Uni]]*Tabla4[[#This Row],[Cantidad]]</f>
        <v>#N/A</v>
      </c>
      <c r="T928" s="369" t="str">
        <f>VLOOKUP(Tabla4[[#This Row],[Producto]],Tabla6[#All],14,FALSE)</f>
        <v>Termico Solar</v>
      </c>
      <c r="U928" s="284" t="e">
        <f>(IF(Tabla4[[#This Row],[Familia]]="termico solar",Tabla4[[#This Row],[Utilidad Total]]*6%,Tabla4[[#This Row],[Utilidad Total]]*11.5%))/Tabla4[[#This Row],[Total]]</f>
        <v>#N/A</v>
      </c>
      <c r="V928" s="282" t="e">
        <f>+Tabla4[[#This Row],[Comisión Calculada]]*Tabla4[[#This Row],[Total]]</f>
        <v>#N/A</v>
      </c>
    </row>
    <row r="929" spans="1:22" hidden="1" x14ac:dyDescent="0.25">
      <c r="A929" s="100">
        <v>45716</v>
      </c>
      <c r="B929" t="str">
        <f t="shared" si="36"/>
        <v>February</v>
      </c>
      <c r="C929" s="46" t="s">
        <v>280</v>
      </c>
      <c r="F929" s="366" t="s">
        <v>1111</v>
      </c>
      <c r="G929" s="46" t="s">
        <v>599</v>
      </c>
      <c r="H929" s="46">
        <v>1</v>
      </c>
      <c r="I929" s="51">
        <v>189.75</v>
      </c>
      <c r="J929" s="281">
        <f>++Tabla4[[#This Row],[Precio Bruto]]*1.16</f>
        <v>220.10999999999999</v>
      </c>
      <c r="K929" s="281">
        <f>+Tabla4[[#This Row],[Precio Unitario Neto]]*Tabla4[[#Headers],[20.85%]]</f>
        <v>45.892934999999994</v>
      </c>
      <c r="L929" s="282">
        <f>++Tabla4[[#This Row],[Precio Unitario Neto]]-Tabla4[[#This Row],[20.85%]]</f>
        <v>174.21706499999999</v>
      </c>
      <c r="M929" s="282" t="e">
        <f>(INDEX(Tabla6[#All],MATCH(Tabla4[[#This Row],[Producto]],Tabla6[[#All],[PRODUCTO]],0),MATCH(Tabla4[[#This Row],[Mes]],Tabla6[#Headers],0)))*(1+Catalogos!$L$2)</f>
        <v>#N/A</v>
      </c>
      <c r="N929" s="283" t="e">
        <f>+(Tabla4[[#This Row],[Precio Descontado]]-Tabla4[[#This Row],[Precio Base]])*Tabla4[[#This Row],[Cantidad]]</f>
        <v>#N/A</v>
      </c>
      <c r="O929" s="284" t="e">
        <f>++Tabla4[[#This Row],[Utilidad Total]]/Tabla4[[#This Row],[Total]]</f>
        <v>#N/A</v>
      </c>
      <c r="P929" s="282">
        <f>++Tabla4[[#This Row],[Precio Descontado]]*Tabla4[[#This Row],[Cantidad]]</f>
        <v>174.21706499999999</v>
      </c>
      <c r="Q929" s="282" t="e">
        <f>(INDEX(Tabla6[#All],MATCH(Tabla4[[#This Row],[Producto]],Tabla6[[#All],[PRODUCTO]],0),MATCH(Tabla4[[#This Row],[Mes]],Tabla6[#Headers],0)))</f>
        <v>#N/A</v>
      </c>
      <c r="R929" s="282" t="e">
        <f>++Tabla4[[#This Row],[Precio Unitario Neto]]-Tabla4[[#This Row],[20.85%]]-Tabla4[[#This Row],[Costo]]</f>
        <v>#N/A</v>
      </c>
      <c r="S929" s="282" t="e">
        <f>++Tabla4[[#This Row],[U. Bruta Uni]]*Tabla4[[#This Row],[Cantidad]]</f>
        <v>#N/A</v>
      </c>
      <c r="T929" s="369" t="str">
        <f>VLOOKUP(Tabla4[[#This Row],[Producto]],Tabla6[#All],14,FALSE)</f>
        <v>Termico Solar</v>
      </c>
      <c r="U929" s="284" t="e">
        <f>(IF(Tabla4[[#This Row],[Familia]]="termico solar",Tabla4[[#This Row],[Utilidad Total]]*6%,Tabla4[[#This Row],[Utilidad Total]]*11.5%))/Tabla4[[#This Row],[Total]]</f>
        <v>#N/A</v>
      </c>
      <c r="V929" s="282" t="e">
        <f>+Tabla4[[#This Row],[Comisión Calculada]]*Tabla4[[#This Row],[Total]]</f>
        <v>#N/A</v>
      </c>
    </row>
    <row r="930" spans="1:22" hidden="1" x14ac:dyDescent="0.25">
      <c r="A930" s="100">
        <v>45716</v>
      </c>
      <c r="B930" t="str">
        <f t="shared" si="36"/>
        <v>February</v>
      </c>
      <c r="C930" s="46" t="s">
        <v>280</v>
      </c>
      <c r="F930" s="366" t="s">
        <v>1112</v>
      </c>
      <c r="G930" s="46" t="s">
        <v>18</v>
      </c>
      <c r="H930" s="46">
        <v>2</v>
      </c>
      <c r="I930" s="51">
        <v>5367.65</v>
      </c>
      <c r="J930" s="281">
        <f>++Tabla4[[#This Row],[Precio Bruto]]*1.16</f>
        <v>6226.4739999999993</v>
      </c>
      <c r="K930" s="281">
        <f>+Tabla4[[#This Row],[Precio Unitario Neto]]*Tabla4[[#Headers],[20.85%]]</f>
        <v>1298.2198289999999</v>
      </c>
      <c r="L930" s="282">
        <f>++Tabla4[[#This Row],[Precio Unitario Neto]]-Tabla4[[#This Row],[20.85%]]</f>
        <v>4928.2541709999996</v>
      </c>
      <c r="M930" s="282" t="e">
        <f>(INDEX(Tabla6[#All],MATCH(Tabla4[[#This Row],[Producto]],Tabla6[[#All],[PRODUCTO]],0),MATCH(Tabla4[[#This Row],[Mes]],Tabla6[#Headers],0)))*(1+Catalogos!$L$2)</f>
        <v>#N/A</v>
      </c>
      <c r="N930" s="283" t="e">
        <f>+(Tabla4[[#This Row],[Precio Descontado]]-Tabla4[[#This Row],[Precio Base]])*Tabla4[[#This Row],[Cantidad]]</f>
        <v>#N/A</v>
      </c>
      <c r="O930" s="284" t="e">
        <f>++Tabla4[[#This Row],[Utilidad Total]]/Tabla4[[#This Row],[Total]]</f>
        <v>#N/A</v>
      </c>
      <c r="P930" s="282">
        <f>++Tabla4[[#This Row],[Precio Descontado]]*Tabla4[[#This Row],[Cantidad]]</f>
        <v>9856.5083419999992</v>
      </c>
      <c r="Q930" s="282" t="e">
        <f>(INDEX(Tabla6[#All],MATCH(Tabla4[[#This Row],[Producto]],Tabla6[[#All],[PRODUCTO]],0),MATCH(Tabla4[[#This Row],[Mes]],Tabla6[#Headers],0)))</f>
        <v>#N/A</v>
      </c>
      <c r="R930" s="282" t="e">
        <f>++Tabla4[[#This Row],[Precio Unitario Neto]]-Tabla4[[#This Row],[20.85%]]-Tabla4[[#This Row],[Costo]]</f>
        <v>#N/A</v>
      </c>
      <c r="S930" s="282" t="e">
        <f>++Tabla4[[#This Row],[U. Bruta Uni]]*Tabla4[[#This Row],[Cantidad]]</f>
        <v>#N/A</v>
      </c>
      <c r="T930" s="369" t="str">
        <f>VLOOKUP(Tabla4[[#This Row],[Producto]],Tabla6[#All],14,FALSE)</f>
        <v>Termico Solar</v>
      </c>
      <c r="U930" s="284" t="e">
        <f>(IF(Tabla4[[#This Row],[Familia]]="termico solar",Tabla4[[#This Row],[Utilidad Total]]*6%,Tabla4[[#This Row],[Utilidad Total]]*11.5%))/Tabla4[[#This Row],[Total]]</f>
        <v>#N/A</v>
      </c>
      <c r="V930" s="282" t="e">
        <f>+Tabla4[[#This Row],[Comisión Calculada]]*Tabla4[[#This Row],[Total]]</f>
        <v>#N/A</v>
      </c>
    </row>
    <row r="931" spans="1:22" hidden="1" x14ac:dyDescent="0.25">
      <c r="A931" s="100">
        <v>45716</v>
      </c>
      <c r="B931" t="str">
        <f t="shared" si="36"/>
        <v>February</v>
      </c>
      <c r="C931" s="46" t="s">
        <v>280</v>
      </c>
      <c r="F931" s="366" t="s">
        <v>1112</v>
      </c>
      <c r="G931" s="46" t="s">
        <v>19</v>
      </c>
      <c r="H931" s="46">
        <v>1</v>
      </c>
      <c r="I931" s="51">
        <v>6412.03</v>
      </c>
      <c r="J931" s="281">
        <f>++Tabla4[[#This Row],[Precio Bruto]]*1.16</f>
        <v>7437.9547999999995</v>
      </c>
      <c r="K931" s="281">
        <f>+Tabla4[[#This Row],[Precio Unitario Neto]]*Tabla4[[#Headers],[20.85%]]</f>
        <v>1550.8135757999999</v>
      </c>
      <c r="L931" s="282">
        <f>++Tabla4[[#This Row],[Precio Unitario Neto]]-Tabla4[[#This Row],[20.85%]]</f>
        <v>5887.1412241999997</v>
      </c>
      <c r="M931" s="282" t="e">
        <f>(INDEX(Tabla6[#All],MATCH(Tabla4[[#This Row],[Producto]],Tabla6[[#All],[PRODUCTO]],0),MATCH(Tabla4[[#This Row],[Mes]],Tabla6[#Headers],0)))*(1+Catalogos!$L$2)</f>
        <v>#N/A</v>
      </c>
      <c r="N931" s="283" t="e">
        <f>+(Tabla4[[#This Row],[Precio Descontado]]-Tabla4[[#This Row],[Precio Base]])*Tabla4[[#This Row],[Cantidad]]</f>
        <v>#N/A</v>
      </c>
      <c r="O931" s="284" t="e">
        <f>++Tabla4[[#This Row],[Utilidad Total]]/Tabla4[[#This Row],[Total]]</f>
        <v>#N/A</v>
      </c>
      <c r="P931" s="282">
        <f>++Tabla4[[#This Row],[Precio Descontado]]*Tabla4[[#This Row],[Cantidad]]</f>
        <v>5887.1412241999997</v>
      </c>
      <c r="Q931" s="282" t="e">
        <f>(INDEX(Tabla6[#All],MATCH(Tabla4[[#This Row],[Producto]],Tabla6[[#All],[PRODUCTO]],0),MATCH(Tabla4[[#This Row],[Mes]],Tabla6[#Headers],0)))</f>
        <v>#N/A</v>
      </c>
      <c r="R931" s="282" t="e">
        <f>++Tabla4[[#This Row],[Precio Unitario Neto]]-Tabla4[[#This Row],[20.85%]]-Tabla4[[#This Row],[Costo]]</f>
        <v>#N/A</v>
      </c>
      <c r="S931" s="282" t="e">
        <f>++Tabla4[[#This Row],[U. Bruta Uni]]*Tabla4[[#This Row],[Cantidad]]</f>
        <v>#N/A</v>
      </c>
      <c r="T931" s="369" t="str">
        <f>VLOOKUP(Tabla4[[#This Row],[Producto]],Tabla6[#All],14,FALSE)</f>
        <v>Termico Solar</v>
      </c>
      <c r="U931" s="284" t="e">
        <f>(IF(Tabla4[[#This Row],[Familia]]="termico solar",Tabla4[[#This Row],[Utilidad Total]]*6%,Tabla4[[#This Row],[Utilidad Total]]*11.5%))/Tabla4[[#This Row],[Total]]</f>
        <v>#N/A</v>
      </c>
      <c r="V931" s="282" t="e">
        <f>+Tabla4[[#This Row],[Comisión Calculada]]*Tabla4[[#This Row],[Total]]</f>
        <v>#N/A</v>
      </c>
    </row>
    <row r="932" spans="1:22" hidden="1" x14ac:dyDescent="0.25">
      <c r="A932" s="100">
        <v>45716</v>
      </c>
      <c r="B932" t="str">
        <f t="shared" si="36"/>
        <v>February</v>
      </c>
      <c r="C932" s="46" t="s">
        <v>280</v>
      </c>
      <c r="F932" s="366" t="s">
        <v>1112</v>
      </c>
      <c r="G932" s="46" t="s">
        <v>599</v>
      </c>
      <c r="H932" s="46">
        <v>3</v>
      </c>
      <c r="I932" s="51">
        <v>189.75</v>
      </c>
      <c r="J932" s="281">
        <f>++Tabla4[[#This Row],[Precio Bruto]]*1.16</f>
        <v>220.10999999999999</v>
      </c>
      <c r="K932" s="281">
        <f>+Tabla4[[#This Row],[Precio Unitario Neto]]*Tabla4[[#Headers],[20.85%]]</f>
        <v>45.892934999999994</v>
      </c>
      <c r="L932" s="282">
        <f>++Tabla4[[#This Row],[Precio Unitario Neto]]-Tabla4[[#This Row],[20.85%]]</f>
        <v>174.21706499999999</v>
      </c>
      <c r="M932" s="282" t="e">
        <f>(INDEX(Tabla6[#All],MATCH(Tabla4[[#This Row],[Producto]],Tabla6[[#All],[PRODUCTO]],0),MATCH(Tabla4[[#This Row],[Mes]],Tabla6[#Headers],0)))*(1+Catalogos!$L$2)</f>
        <v>#N/A</v>
      </c>
      <c r="N932" s="283" t="e">
        <f>+(Tabla4[[#This Row],[Precio Descontado]]-Tabla4[[#This Row],[Precio Base]])*Tabla4[[#This Row],[Cantidad]]</f>
        <v>#N/A</v>
      </c>
      <c r="O932" s="284" t="e">
        <f>++Tabla4[[#This Row],[Utilidad Total]]/Tabla4[[#This Row],[Total]]</f>
        <v>#N/A</v>
      </c>
      <c r="P932" s="282">
        <f>++Tabla4[[#This Row],[Precio Descontado]]*Tabla4[[#This Row],[Cantidad]]</f>
        <v>522.65119499999992</v>
      </c>
      <c r="Q932" s="282" t="e">
        <f>(INDEX(Tabla6[#All],MATCH(Tabla4[[#This Row],[Producto]],Tabla6[[#All],[PRODUCTO]],0),MATCH(Tabla4[[#This Row],[Mes]],Tabla6[#Headers],0)))</f>
        <v>#N/A</v>
      </c>
      <c r="R932" s="282" t="e">
        <f>++Tabla4[[#This Row],[Precio Unitario Neto]]-Tabla4[[#This Row],[20.85%]]-Tabla4[[#This Row],[Costo]]</f>
        <v>#N/A</v>
      </c>
      <c r="S932" s="282" t="e">
        <f>++Tabla4[[#This Row],[U. Bruta Uni]]*Tabla4[[#This Row],[Cantidad]]</f>
        <v>#N/A</v>
      </c>
      <c r="T932" s="369" t="str">
        <f>VLOOKUP(Tabla4[[#This Row],[Producto]],Tabla6[#All],14,FALSE)</f>
        <v>Termico Solar</v>
      </c>
      <c r="U932" s="284" t="e">
        <f>(IF(Tabla4[[#This Row],[Familia]]="termico solar",Tabla4[[#This Row],[Utilidad Total]]*6%,Tabla4[[#This Row],[Utilidad Total]]*11.5%))/Tabla4[[#This Row],[Total]]</f>
        <v>#N/A</v>
      </c>
      <c r="V932" s="282" t="e">
        <f>+Tabla4[[#This Row],[Comisión Calculada]]*Tabla4[[#This Row],[Total]]</f>
        <v>#N/A</v>
      </c>
    </row>
    <row r="933" spans="1:22" hidden="1" x14ac:dyDescent="0.25">
      <c r="A933" s="100">
        <v>45716</v>
      </c>
      <c r="B933" t="str">
        <f t="shared" si="36"/>
        <v>February</v>
      </c>
      <c r="C933" s="46" t="s">
        <v>280</v>
      </c>
      <c r="F933" s="366" t="s">
        <v>1113</v>
      </c>
      <c r="G933" s="46" t="s">
        <v>566</v>
      </c>
      <c r="H933" s="46">
        <v>1</v>
      </c>
      <c r="I933" s="51">
        <v>2109.4499999999998</v>
      </c>
      <c r="J933" s="281">
        <f>++Tabla4[[#This Row],[Precio Bruto]]*1.16</f>
        <v>2446.9619999999995</v>
      </c>
      <c r="K933" s="281">
        <f>+Tabla4[[#This Row],[Precio Unitario Neto]]*Tabla4[[#Headers],[20.85%]]</f>
        <v>510.19157699999988</v>
      </c>
      <c r="L933" s="282">
        <f>++Tabla4[[#This Row],[Precio Unitario Neto]]-Tabla4[[#This Row],[20.85%]]</f>
        <v>1936.7704229999997</v>
      </c>
      <c r="M933" s="282" t="e">
        <f>(INDEX(Tabla6[#All],MATCH(Tabla4[[#This Row],[Producto]],Tabla6[[#All],[PRODUCTO]],0),MATCH(Tabla4[[#This Row],[Mes]],Tabla6[#Headers],0)))*(1+Catalogos!$L$2)</f>
        <v>#N/A</v>
      </c>
      <c r="N933" s="283" t="e">
        <f>+(Tabla4[[#This Row],[Precio Descontado]]-Tabla4[[#This Row],[Precio Base]])*Tabla4[[#This Row],[Cantidad]]</f>
        <v>#N/A</v>
      </c>
      <c r="O933" s="284" t="e">
        <f>++Tabla4[[#This Row],[Utilidad Total]]/Tabla4[[#This Row],[Total]]</f>
        <v>#N/A</v>
      </c>
      <c r="P933" s="282">
        <f>++Tabla4[[#This Row],[Precio Descontado]]*Tabla4[[#This Row],[Cantidad]]</f>
        <v>1936.7704229999997</v>
      </c>
      <c r="Q933" s="282" t="e">
        <f>(INDEX(Tabla6[#All],MATCH(Tabla4[[#This Row],[Producto]],Tabla6[[#All],[PRODUCTO]],0),MATCH(Tabla4[[#This Row],[Mes]],Tabla6[#Headers],0)))</f>
        <v>#N/A</v>
      </c>
      <c r="R933" s="282" t="e">
        <f>++Tabla4[[#This Row],[Precio Unitario Neto]]-Tabla4[[#This Row],[20.85%]]-Tabla4[[#This Row],[Costo]]</f>
        <v>#N/A</v>
      </c>
      <c r="S933" s="282" t="e">
        <f>++Tabla4[[#This Row],[U. Bruta Uni]]*Tabla4[[#This Row],[Cantidad]]</f>
        <v>#N/A</v>
      </c>
      <c r="T933" s="369" t="str">
        <f>VLOOKUP(Tabla4[[#This Row],[Producto]],Tabla6[#All],14,FALSE)</f>
        <v>Termico Solar</v>
      </c>
      <c r="U933" s="284" t="e">
        <f>(IF(Tabla4[[#This Row],[Familia]]="termico solar",Tabla4[[#This Row],[Utilidad Total]]*6%,Tabla4[[#This Row],[Utilidad Total]]*11.5%))/Tabla4[[#This Row],[Total]]</f>
        <v>#N/A</v>
      </c>
      <c r="V933" s="282" t="e">
        <f>+Tabla4[[#This Row],[Comisión Calculada]]*Tabla4[[#This Row],[Total]]</f>
        <v>#N/A</v>
      </c>
    </row>
    <row r="934" spans="1:22" hidden="1" x14ac:dyDescent="0.25">
      <c r="A934" s="100">
        <v>45716</v>
      </c>
      <c r="B934" t="str">
        <f t="shared" si="36"/>
        <v>February</v>
      </c>
      <c r="C934" s="46" t="s">
        <v>280</v>
      </c>
      <c r="F934" s="366" t="s">
        <v>1113</v>
      </c>
      <c r="G934" s="46" t="s">
        <v>599</v>
      </c>
      <c r="H934" s="46">
        <v>3</v>
      </c>
      <c r="I934" s="51">
        <v>189.75</v>
      </c>
      <c r="J934" s="281">
        <f>++Tabla4[[#This Row],[Precio Bruto]]*1.16</f>
        <v>220.10999999999999</v>
      </c>
      <c r="K934" s="281">
        <f>+Tabla4[[#This Row],[Precio Unitario Neto]]*Tabla4[[#Headers],[20.85%]]</f>
        <v>45.892934999999994</v>
      </c>
      <c r="L934" s="282">
        <f>++Tabla4[[#This Row],[Precio Unitario Neto]]-Tabla4[[#This Row],[20.85%]]</f>
        <v>174.21706499999999</v>
      </c>
      <c r="M934" s="282" t="e">
        <f>(INDEX(Tabla6[#All],MATCH(Tabla4[[#This Row],[Producto]],Tabla6[[#All],[PRODUCTO]],0),MATCH(Tabla4[[#This Row],[Mes]],Tabla6[#Headers],0)))*(1+Catalogos!$L$2)</f>
        <v>#N/A</v>
      </c>
      <c r="N934" s="283" t="e">
        <f>+(Tabla4[[#This Row],[Precio Descontado]]-Tabla4[[#This Row],[Precio Base]])*Tabla4[[#This Row],[Cantidad]]</f>
        <v>#N/A</v>
      </c>
      <c r="O934" s="284" t="e">
        <f>++Tabla4[[#This Row],[Utilidad Total]]/Tabla4[[#This Row],[Total]]</f>
        <v>#N/A</v>
      </c>
      <c r="P934" s="282">
        <f>++Tabla4[[#This Row],[Precio Descontado]]*Tabla4[[#This Row],[Cantidad]]</f>
        <v>522.65119499999992</v>
      </c>
      <c r="Q934" s="282" t="e">
        <f>(INDEX(Tabla6[#All],MATCH(Tabla4[[#This Row],[Producto]],Tabla6[[#All],[PRODUCTO]],0),MATCH(Tabla4[[#This Row],[Mes]],Tabla6[#Headers],0)))</f>
        <v>#N/A</v>
      </c>
      <c r="R934" s="282" t="e">
        <f>++Tabla4[[#This Row],[Precio Unitario Neto]]-Tabla4[[#This Row],[20.85%]]-Tabla4[[#This Row],[Costo]]</f>
        <v>#N/A</v>
      </c>
      <c r="S934" s="282" t="e">
        <f>++Tabla4[[#This Row],[U. Bruta Uni]]*Tabla4[[#This Row],[Cantidad]]</f>
        <v>#N/A</v>
      </c>
      <c r="T934" s="369" t="str">
        <f>VLOOKUP(Tabla4[[#This Row],[Producto]],Tabla6[#All],14,FALSE)</f>
        <v>Termico Solar</v>
      </c>
      <c r="U934" s="284" t="e">
        <f>(IF(Tabla4[[#This Row],[Familia]]="termico solar",Tabla4[[#This Row],[Utilidad Total]]*6%,Tabla4[[#This Row],[Utilidad Total]]*11.5%))/Tabla4[[#This Row],[Total]]</f>
        <v>#N/A</v>
      </c>
      <c r="V934" s="282" t="e">
        <f>+Tabla4[[#This Row],[Comisión Calculada]]*Tabla4[[#This Row],[Total]]</f>
        <v>#N/A</v>
      </c>
    </row>
    <row r="935" spans="1:22" hidden="1" x14ac:dyDescent="0.25">
      <c r="A935" s="100">
        <v>45716</v>
      </c>
      <c r="B935" t="str">
        <f t="shared" si="36"/>
        <v>February</v>
      </c>
      <c r="C935" s="46" t="s">
        <v>280</v>
      </c>
      <c r="F935" s="366" t="s">
        <v>1114</v>
      </c>
      <c r="G935" s="46" t="s">
        <v>19</v>
      </c>
      <c r="H935" s="46">
        <v>2</v>
      </c>
      <c r="I935" s="51">
        <v>6412.03</v>
      </c>
      <c r="J935" s="281">
        <f>++Tabla4[[#This Row],[Precio Bruto]]*1.16</f>
        <v>7437.9547999999995</v>
      </c>
      <c r="K935" s="281">
        <f>+Tabla4[[#This Row],[Precio Unitario Neto]]*Tabla4[[#Headers],[20.85%]]</f>
        <v>1550.8135757999999</v>
      </c>
      <c r="L935" s="282">
        <f>++Tabla4[[#This Row],[Precio Unitario Neto]]-Tabla4[[#This Row],[20.85%]]</f>
        <v>5887.1412241999997</v>
      </c>
      <c r="M935" s="282" t="e">
        <f>(INDEX(Tabla6[#All],MATCH(Tabla4[[#This Row],[Producto]],Tabla6[[#All],[PRODUCTO]],0),MATCH(Tabla4[[#This Row],[Mes]],Tabla6[#Headers],0)))*(1+Catalogos!$L$2)</f>
        <v>#N/A</v>
      </c>
      <c r="N935" s="283" t="e">
        <f>+(Tabla4[[#This Row],[Precio Descontado]]-Tabla4[[#This Row],[Precio Base]])*Tabla4[[#This Row],[Cantidad]]</f>
        <v>#N/A</v>
      </c>
      <c r="O935" s="284" t="e">
        <f>++Tabla4[[#This Row],[Utilidad Total]]/Tabla4[[#This Row],[Total]]</f>
        <v>#N/A</v>
      </c>
      <c r="P935" s="282">
        <f>++Tabla4[[#This Row],[Precio Descontado]]*Tabla4[[#This Row],[Cantidad]]</f>
        <v>11774.282448399999</v>
      </c>
      <c r="Q935" s="282" t="e">
        <f>(INDEX(Tabla6[#All],MATCH(Tabla4[[#This Row],[Producto]],Tabla6[[#All],[PRODUCTO]],0),MATCH(Tabla4[[#This Row],[Mes]],Tabla6[#Headers],0)))</f>
        <v>#N/A</v>
      </c>
      <c r="R935" s="282" t="e">
        <f>++Tabla4[[#This Row],[Precio Unitario Neto]]-Tabla4[[#This Row],[20.85%]]-Tabla4[[#This Row],[Costo]]</f>
        <v>#N/A</v>
      </c>
      <c r="S935" s="282" t="e">
        <f>++Tabla4[[#This Row],[U. Bruta Uni]]*Tabla4[[#This Row],[Cantidad]]</f>
        <v>#N/A</v>
      </c>
      <c r="T935" s="369" t="str">
        <f>VLOOKUP(Tabla4[[#This Row],[Producto]],Tabla6[#All],14,FALSE)</f>
        <v>Termico Solar</v>
      </c>
      <c r="U935" s="284" t="e">
        <f>(IF(Tabla4[[#This Row],[Familia]]="termico solar",Tabla4[[#This Row],[Utilidad Total]]*6%,Tabla4[[#This Row],[Utilidad Total]]*11.5%))/Tabla4[[#This Row],[Total]]</f>
        <v>#N/A</v>
      </c>
      <c r="V935" s="282" t="e">
        <f>+Tabla4[[#This Row],[Comisión Calculada]]*Tabla4[[#This Row],[Total]]</f>
        <v>#N/A</v>
      </c>
    </row>
    <row r="936" spans="1:22" hidden="1" x14ac:dyDescent="0.25">
      <c r="A936" s="100">
        <v>45716</v>
      </c>
      <c r="B936" t="str">
        <f t="shared" si="36"/>
        <v>February</v>
      </c>
      <c r="C936" s="46" t="s">
        <v>280</v>
      </c>
      <c r="F936" s="366" t="s">
        <v>1114</v>
      </c>
      <c r="G936" s="46" t="s">
        <v>599</v>
      </c>
      <c r="H936" s="46">
        <v>7</v>
      </c>
      <c r="I936" s="51">
        <v>189.75</v>
      </c>
      <c r="J936" s="281">
        <f>++Tabla4[[#This Row],[Precio Bruto]]*1.16</f>
        <v>220.10999999999999</v>
      </c>
      <c r="K936" s="281">
        <f>+Tabla4[[#This Row],[Precio Unitario Neto]]*Tabla4[[#Headers],[20.85%]]</f>
        <v>45.892934999999994</v>
      </c>
      <c r="L936" s="282">
        <f>++Tabla4[[#This Row],[Precio Unitario Neto]]-Tabla4[[#This Row],[20.85%]]</f>
        <v>174.21706499999999</v>
      </c>
      <c r="M936" s="282" t="e">
        <f>(INDEX(Tabla6[#All],MATCH(Tabla4[[#This Row],[Producto]],Tabla6[[#All],[PRODUCTO]],0),MATCH(Tabla4[[#This Row],[Mes]],Tabla6[#Headers],0)))*(1+Catalogos!$L$2)</f>
        <v>#N/A</v>
      </c>
      <c r="N936" s="283" t="e">
        <f>+(Tabla4[[#This Row],[Precio Descontado]]-Tabla4[[#This Row],[Precio Base]])*Tabla4[[#This Row],[Cantidad]]</f>
        <v>#N/A</v>
      </c>
      <c r="O936" s="284" t="e">
        <f>++Tabla4[[#This Row],[Utilidad Total]]/Tabla4[[#This Row],[Total]]</f>
        <v>#N/A</v>
      </c>
      <c r="P936" s="282">
        <f>++Tabla4[[#This Row],[Precio Descontado]]*Tabla4[[#This Row],[Cantidad]]</f>
        <v>1219.5194549999999</v>
      </c>
      <c r="Q936" s="282" t="e">
        <f>(INDEX(Tabla6[#All],MATCH(Tabla4[[#This Row],[Producto]],Tabla6[[#All],[PRODUCTO]],0),MATCH(Tabla4[[#This Row],[Mes]],Tabla6[#Headers],0)))</f>
        <v>#N/A</v>
      </c>
      <c r="R936" s="282" t="e">
        <f>++Tabla4[[#This Row],[Precio Unitario Neto]]-Tabla4[[#This Row],[20.85%]]-Tabla4[[#This Row],[Costo]]</f>
        <v>#N/A</v>
      </c>
      <c r="S936" s="282" t="e">
        <f>++Tabla4[[#This Row],[U. Bruta Uni]]*Tabla4[[#This Row],[Cantidad]]</f>
        <v>#N/A</v>
      </c>
      <c r="T936" s="369" t="str">
        <f>VLOOKUP(Tabla4[[#This Row],[Producto]],Tabla6[#All],14,FALSE)</f>
        <v>Termico Solar</v>
      </c>
      <c r="U936" s="284" t="e">
        <f>(IF(Tabla4[[#This Row],[Familia]]="termico solar",Tabla4[[#This Row],[Utilidad Total]]*6%,Tabla4[[#This Row],[Utilidad Total]]*11.5%))/Tabla4[[#This Row],[Total]]</f>
        <v>#N/A</v>
      </c>
      <c r="V936" s="282" t="e">
        <f>+Tabla4[[#This Row],[Comisión Calculada]]*Tabla4[[#This Row],[Total]]</f>
        <v>#N/A</v>
      </c>
    </row>
    <row r="937" spans="1:22" hidden="1" x14ac:dyDescent="0.25">
      <c r="A937" s="100">
        <v>45716</v>
      </c>
      <c r="B937" t="str">
        <f t="shared" si="36"/>
        <v>February</v>
      </c>
      <c r="C937" s="46" t="s">
        <v>280</v>
      </c>
      <c r="F937" s="366" t="s">
        <v>1115</v>
      </c>
      <c r="G937" s="46" t="s">
        <v>17</v>
      </c>
      <c r="H937" s="46">
        <v>5</v>
      </c>
      <c r="I937" s="51">
        <v>4622.2800000000007</v>
      </c>
      <c r="J937" s="281">
        <f>++Tabla4[[#This Row],[Precio Bruto]]*1.16</f>
        <v>5361.8448000000008</v>
      </c>
      <c r="K937" s="281">
        <f>+Tabla4[[#This Row],[Precio Unitario Neto]]*Tabla4[[#Headers],[20.85%]]</f>
        <v>1117.9446408000001</v>
      </c>
      <c r="L937" s="282">
        <f>++Tabla4[[#This Row],[Precio Unitario Neto]]-Tabla4[[#This Row],[20.85%]]</f>
        <v>4243.9001592000004</v>
      </c>
      <c r="M937" s="282" t="e">
        <f>(INDEX(Tabla6[#All],MATCH(Tabla4[[#This Row],[Producto]],Tabla6[[#All],[PRODUCTO]],0),MATCH(Tabla4[[#This Row],[Mes]],Tabla6[#Headers],0)))*(1+Catalogos!$L$2)</f>
        <v>#N/A</v>
      </c>
      <c r="N937" s="283" t="e">
        <f>+(Tabla4[[#This Row],[Precio Descontado]]-Tabla4[[#This Row],[Precio Base]])*Tabla4[[#This Row],[Cantidad]]</f>
        <v>#N/A</v>
      </c>
      <c r="O937" s="284" t="e">
        <f>++Tabla4[[#This Row],[Utilidad Total]]/Tabla4[[#This Row],[Total]]</f>
        <v>#N/A</v>
      </c>
      <c r="P937" s="282">
        <f>++Tabla4[[#This Row],[Precio Descontado]]*Tabla4[[#This Row],[Cantidad]]</f>
        <v>21219.500796</v>
      </c>
      <c r="Q937" s="282" t="e">
        <f>(INDEX(Tabla6[#All],MATCH(Tabla4[[#This Row],[Producto]],Tabla6[[#All],[PRODUCTO]],0),MATCH(Tabla4[[#This Row],[Mes]],Tabla6[#Headers],0)))</f>
        <v>#N/A</v>
      </c>
      <c r="R937" s="282" t="e">
        <f>++Tabla4[[#This Row],[Precio Unitario Neto]]-Tabla4[[#This Row],[20.85%]]-Tabla4[[#This Row],[Costo]]</f>
        <v>#N/A</v>
      </c>
      <c r="S937" s="282" t="e">
        <f>++Tabla4[[#This Row],[U. Bruta Uni]]*Tabla4[[#This Row],[Cantidad]]</f>
        <v>#N/A</v>
      </c>
      <c r="T937" s="369" t="str">
        <f>VLOOKUP(Tabla4[[#This Row],[Producto]],Tabla6[#All],14,FALSE)</f>
        <v>Termico Solar</v>
      </c>
      <c r="U937" s="284" t="e">
        <f>(IF(Tabla4[[#This Row],[Familia]]="termico solar",Tabla4[[#This Row],[Utilidad Total]]*6%,Tabla4[[#This Row],[Utilidad Total]]*11.5%))/Tabla4[[#This Row],[Total]]</f>
        <v>#N/A</v>
      </c>
      <c r="V937" s="282" t="e">
        <f>+Tabla4[[#This Row],[Comisión Calculada]]*Tabla4[[#This Row],[Total]]</f>
        <v>#N/A</v>
      </c>
    </row>
    <row r="938" spans="1:22" hidden="1" x14ac:dyDescent="0.25">
      <c r="A938" s="100">
        <v>45716</v>
      </c>
      <c r="B938" t="str">
        <f t="shared" si="36"/>
        <v>February</v>
      </c>
      <c r="C938" s="46" t="s">
        <v>280</v>
      </c>
      <c r="F938" s="366" t="s">
        <v>1115</v>
      </c>
      <c r="G938" s="46" t="s">
        <v>566</v>
      </c>
      <c r="H938" s="46">
        <v>1</v>
      </c>
      <c r="I938" s="51">
        <v>2109.4499999999998</v>
      </c>
      <c r="J938" s="281">
        <f>++Tabla4[[#This Row],[Precio Bruto]]*1.16</f>
        <v>2446.9619999999995</v>
      </c>
      <c r="K938" s="281">
        <f>+Tabla4[[#This Row],[Precio Unitario Neto]]*Tabla4[[#Headers],[20.85%]]</f>
        <v>510.19157699999988</v>
      </c>
      <c r="L938" s="282">
        <f>++Tabla4[[#This Row],[Precio Unitario Neto]]-Tabla4[[#This Row],[20.85%]]</f>
        <v>1936.7704229999997</v>
      </c>
      <c r="M938" s="282" t="e">
        <f>(INDEX(Tabla6[#All],MATCH(Tabla4[[#This Row],[Producto]],Tabla6[[#All],[PRODUCTO]],0),MATCH(Tabla4[[#This Row],[Mes]],Tabla6[#Headers],0)))*(1+Catalogos!$L$2)</f>
        <v>#N/A</v>
      </c>
      <c r="N938" s="283" t="e">
        <f>+(Tabla4[[#This Row],[Precio Descontado]]-Tabla4[[#This Row],[Precio Base]])*Tabla4[[#This Row],[Cantidad]]</f>
        <v>#N/A</v>
      </c>
      <c r="O938" s="284" t="e">
        <f>++Tabla4[[#This Row],[Utilidad Total]]/Tabla4[[#This Row],[Total]]</f>
        <v>#N/A</v>
      </c>
      <c r="P938" s="282">
        <f>++Tabla4[[#This Row],[Precio Descontado]]*Tabla4[[#This Row],[Cantidad]]</f>
        <v>1936.7704229999997</v>
      </c>
      <c r="Q938" s="282" t="e">
        <f>(INDEX(Tabla6[#All],MATCH(Tabla4[[#This Row],[Producto]],Tabla6[[#All],[PRODUCTO]],0),MATCH(Tabla4[[#This Row],[Mes]],Tabla6[#Headers],0)))</f>
        <v>#N/A</v>
      </c>
      <c r="R938" s="282" t="e">
        <f>++Tabla4[[#This Row],[Precio Unitario Neto]]-Tabla4[[#This Row],[20.85%]]-Tabla4[[#This Row],[Costo]]</f>
        <v>#N/A</v>
      </c>
      <c r="S938" s="282" t="e">
        <f>++Tabla4[[#This Row],[U. Bruta Uni]]*Tabla4[[#This Row],[Cantidad]]</f>
        <v>#N/A</v>
      </c>
      <c r="T938" s="369" t="str">
        <f>VLOOKUP(Tabla4[[#This Row],[Producto]],Tabla6[#All],14,FALSE)</f>
        <v>Termico Solar</v>
      </c>
      <c r="U938" s="284" t="e">
        <f>(IF(Tabla4[[#This Row],[Familia]]="termico solar",Tabla4[[#This Row],[Utilidad Total]]*6%,Tabla4[[#This Row],[Utilidad Total]]*11.5%))/Tabla4[[#This Row],[Total]]</f>
        <v>#N/A</v>
      </c>
      <c r="V938" s="282" t="e">
        <f>+Tabla4[[#This Row],[Comisión Calculada]]*Tabla4[[#This Row],[Total]]</f>
        <v>#N/A</v>
      </c>
    </row>
    <row r="939" spans="1:22" hidden="1" x14ac:dyDescent="0.25">
      <c r="A939" s="100">
        <v>45716</v>
      </c>
      <c r="B939" t="str">
        <f t="shared" si="36"/>
        <v>February</v>
      </c>
      <c r="C939" s="46" t="s">
        <v>280</v>
      </c>
      <c r="F939" s="366" t="s">
        <v>1116</v>
      </c>
      <c r="G939" s="46" t="s">
        <v>19</v>
      </c>
      <c r="H939" s="46">
        <v>1</v>
      </c>
      <c r="I939" s="51">
        <v>6412.03</v>
      </c>
      <c r="J939" s="281">
        <f>++Tabla4[[#This Row],[Precio Bruto]]*1.16</f>
        <v>7437.9547999999995</v>
      </c>
      <c r="K939" s="281">
        <f>+Tabla4[[#This Row],[Precio Unitario Neto]]*Tabla4[[#Headers],[20.85%]]</f>
        <v>1550.8135757999999</v>
      </c>
      <c r="L939" s="282">
        <f>++Tabla4[[#This Row],[Precio Unitario Neto]]-Tabla4[[#This Row],[20.85%]]</f>
        <v>5887.1412241999997</v>
      </c>
      <c r="M939" s="282" t="e">
        <f>(INDEX(Tabla6[#All],MATCH(Tabla4[[#This Row],[Producto]],Tabla6[[#All],[PRODUCTO]],0),MATCH(Tabla4[[#This Row],[Mes]],Tabla6[#Headers],0)))*(1+Catalogos!$L$2)</f>
        <v>#N/A</v>
      </c>
      <c r="N939" s="283" t="e">
        <f>+(Tabla4[[#This Row],[Precio Descontado]]-Tabla4[[#This Row],[Precio Base]])*Tabla4[[#This Row],[Cantidad]]</f>
        <v>#N/A</v>
      </c>
      <c r="O939" s="284" t="e">
        <f>++Tabla4[[#This Row],[Utilidad Total]]/Tabla4[[#This Row],[Total]]</f>
        <v>#N/A</v>
      </c>
      <c r="P939" s="282">
        <f>++Tabla4[[#This Row],[Precio Descontado]]*Tabla4[[#This Row],[Cantidad]]</f>
        <v>5887.1412241999997</v>
      </c>
      <c r="Q939" s="282" t="e">
        <f>(INDEX(Tabla6[#All],MATCH(Tabla4[[#This Row],[Producto]],Tabla6[[#All],[PRODUCTO]],0),MATCH(Tabla4[[#This Row],[Mes]],Tabla6[#Headers],0)))</f>
        <v>#N/A</v>
      </c>
      <c r="R939" s="282" t="e">
        <f>++Tabla4[[#This Row],[Precio Unitario Neto]]-Tabla4[[#This Row],[20.85%]]-Tabla4[[#This Row],[Costo]]</f>
        <v>#N/A</v>
      </c>
      <c r="S939" s="282" t="e">
        <f>++Tabla4[[#This Row],[U. Bruta Uni]]*Tabla4[[#This Row],[Cantidad]]</f>
        <v>#N/A</v>
      </c>
      <c r="T939" s="369" t="str">
        <f>VLOOKUP(Tabla4[[#This Row],[Producto]],Tabla6[#All],14,FALSE)</f>
        <v>Termico Solar</v>
      </c>
      <c r="U939" s="284" t="e">
        <f>(IF(Tabla4[[#This Row],[Familia]]="termico solar",Tabla4[[#This Row],[Utilidad Total]]*6%,Tabla4[[#This Row],[Utilidad Total]]*11.5%))/Tabla4[[#This Row],[Total]]</f>
        <v>#N/A</v>
      </c>
      <c r="V939" s="282" t="e">
        <f>+Tabla4[[#This Row],[Comisión Calculada]]*Tabla4[[#This Row],[Total]]</f>
        <v>#N/A</v>
      </c>
    </row>
    <row r="940" spans="1:22" hidden="1" x14ac:dyDescent="0.25">
      <c r="A940" s="100">
        <v>45716</v>
      </c>
      <c r="B940" t="str">
        <f t="shared" si="36"/>
        <v>February</v>
      </c>
      <c r="C940" s="46" t="s">
        <v>280</v>
      </c>
      <c r="F940" s="366" t="s">
        <v>1117</v>
      </c>
      <c r="G940" s="46" t="s">
        <v>17</v>
      </c>
      <c r="H940" s="46">
        <v>2</v>
      </c>
      <c r="I940" s="51">
        <v>4622.28</v>
      </c>
      <c r="J940" s="281">
        <f>++Tabla4[[#This Row],[Precio Bruto]]*1.16</f>
        <v>5361.8447999999989</v>
      </c>
      <c r="K940" s="281">
        <f>+Tabla4[[#This Row],[Precio Unitario Neto]]*Tabla4[[#Headers],[20.85%]]</f>
        <v>1117.9446407999997</v>
      </c>
      <c r="L940" s="282">
        <f>++Tabla4[[#This Row],[Precio Unitario Neto]]-Tabla4[[#This Row],[20.85%]]</f>
        <v>4243.9001591999995</v>
      </c>
      <c r="M940" s="282" t="e">
        <f>(INDEX(Tabla6[#All],MATCH(Tabla4[[#This Row],[Producto]],Tabla6[[#All],[PRODUCTO]],0),MATCH(Tabla4[[#This Row],[Mes]],Tabla6[#Headers],0)))*(1+Catalogos!$L$2)</f>
        <v>#N/A</v>
      </c>
      <c r="N940" s="283" t="e">
        <f>+(Tabla4[[#This Row],[Precio Descontado]]-Tabla4[[#This Row],[Precio Base]])*Tabla4[[#This Row],[Cantidad]]</f>
        <v>#N/A</v>
      </c>
      <c r="O940" s="284" t="e">
        <f>++Tabla4[[#This Row],[Utilidad Total]]/Tabla4[[#This Row],[Total]]</f>
        <v>#N/A</v>
      </c>
      <c r="P940" s="282">
        <f>++Tabla4[[#This Row],[Precio Descontado]]*Tabla4[[#This Row],[Cantidad]]</f>
        <v>8487.800318399999</v>
      </c>
      <c r="Q940" s="282" t="e">
        <f>(INDEX(Tabla6[#All],MATCH(Tabla4[[#This Row],[Producto]],Tabla6[[#All],[PRODUCTO]],0),MATCH(Tabla4[[#This Row],[Mes]],Tabla6[#Headers],0)))</f>
        <v>#N/A</v>
      </c>
      <c r="R940" s="282" t="e">
        <f>++Tabla4[[#This Row],[Precio Unitario Neto]]-Tabla4[[#This Row],[20.85%]]-Tabla4[[#This Row],[Costo]]</f>
        <v>#N/A</v>
      </c>
      <c r="S940" s="282" t="e">
        <f>++Tabla4[[#This Row],[U. Bruta Uni]]*Tabla4[[#This Row],[Cantidad]]</f>
        <v>#N/A</v>
      </c>
      <c r="T940" s="369" t="str">
        <f>VLOOKUP(Tabla4[[#This Row],[Producto]],Tabla6[#All],14,FALSE)</f>
        <v>Termico Solar</v>
      </c>
      <c r="U940" s="284" t="e">
        <f>(IF(Tabla4[[#This Row],[Familia]]="termico solar",Tabla4[[#This Row],[Utilidad Total]]*6%,Tabla4[[#This Row],[Utilidad Total]]*11.5%))/Tabla4[[#This Row],[Total]]</f>
        <v>#N/A</v>
      </c>
      <c r="V940" s="282" t="e">
        <f>+Tabla4[[#This Row],[Comisión Calculada]]*Tabla4[[#This Row],[Total]]</f>
        <v>#N/A</v>
      </c>
    </row>
    <row r="941" spans="1:22" hidden="1" x14ac:dyDescent="0.25">
      <c r="A941" s="100">
        <v>45716</v>
      </c>
      <c r="B941" t="str">
        <f t="shared" si="36"/>
        <v>February</v>
      </c>
      <c r="C941" s="46" t="s">
        <v>280</v>
      </c>
      <c r="F941" s="366" t="s">
        <v>1117</v>
      </c>
      <c r="G941" s="46" t="s">
        <v>566</v>
      </c>
      <c r="H941" s="46">
        <v>1</v>
      </c>
      <c r="I941" s="51">
        <v>2109.4499999999998</v>
      </c>
      <c r="J941" s="281">
        <f>++Tabla4[[#This Row],[Precio Bruto]]*1.16</f>
        <v>2446.9619999999995</v>
      </c>
      <c r="K941" s="281">
        <f>+Tabla4[[#This Row],[Precio Unitario Neto]]*Tabla4[[#Headers],[20.85%]]</f>
        <v>510.19157699999988</v>
      </c>
      <c r="L941" s="282">
        <f>++Tabla4[[#This Row],[Precio Unitario Neto]]-Tabla4[[#This Row],[20.85%]]</f>
        <v>1936.7704229999997</v>
      </c>
      <c r="M941" s="282" t="e">
        <f>(INDEX(Tabla6[#All],MATCH(Tabla4[[#This Row],[Producto]],Tabla6[[#All],[PRODUCTO]],0),MATCH(Tabla4[[#This Row],[Mes]],Tabla6[#Headers],0)))*(1+Catalogos!$L$2)</f>
        <v>#N/A</v>
      </c>
      <c r="N941" s="283" t="e">
        <f>+(Tabla4[[#This Row],[Precio Descontado]]-Tabla4[[#This Row],[Precio Base]])*Tabla4[[#This Row],[Cantidad]]</f>
        <v>#N/A</v>
      </c>
      <c r="O941" s="284" t="e">
        <f>++Tabla4[[#This Row],[Utilidad Total]]/Tabla4[[#This Row],[Total]]</f>
        <v>#N/A</v>
      </c>
      <c r="P941" s="282">
        <f>++Tabla4[[#This Row],[Precio Descontado]]*Tabla4[[#This Row],[Cantidad]]</f>
        <v>1936.7704229999997</v>
      </c>
      <c r="Q941" s="282" t="e">
        <f>(INDEX(Tabla6[#All],MATCH(Tabla4[[#This Row],[Producto]],Tabla6[[#All],[PRODUCTO]],0),MATCH(Tabla4[[#This Row],[Mes]],Tabla6[#Headers],0)))</f>
        <v>#N/A</v>
      </c>
      <c r="R941" s="282" t="e">
        <f>++Tabla4[[#This Row],[Precio Unitario Neto]]-Tabla4[[#This Row],[20.85%]]-Tabla4[[#This Row],[Costo]]</f>
        <v>#N/A</v>
      </c>
      <c r="S941" s="282" t="e">
        <f>++Tabla4[[#This Row],[U. Bruta Uni]]*Tabla4[[#This Row],[Cantidad]]</f>
        <v>#N/A</v>
      </c>
      <c r="T941" s="369" t="str">
        <f>VLOOKUP(Tabla4[[#This Row],[Producto]],Tabla6[#All],14,FALSE)</f>
        <v>Termico Solar</v>
      </c>
      <c r="U941" s="284" t="e">
        <f>(IF(Tabla4[[#This Row],[Familia]]="termico solar",Tabla4[[#This Row],[Utilidad Total]]*6%,Tabla4[[#This Row],[Utilidad Total]]*11.5%))/Tabla4[[#This Row],[Total]]</f>
        <v>#N/A</v>
      </c>
      <c r="V941" s="282" t="e">
        <f>+Tabla4[[#This Row],[Comisión Calculada]]*Tabla4[[#This Row],[Total]]</f>
        <v>#N/A</v>
      </c>
    </row>
    <row r="942" spans="1:22" hidden="1" x14ac:dyDescent="0.25">
      <c r="A942" s="100">
        <v>45716</v>
      </c>
      <c r="B942" t="str">
        <f t="shared" si="36"/>
        <v>February</v>
      </c>
      <c r="C942" s="46" t="s">
        <v>280</v>
      </c>
      <c r="F942" s="366" t="s">
        <v>1118</v>
      </c>
      <c r="G942" s="46" t="s">
        <v>83</v>
      </c>
      <c r="H942" s="46">
        <v>1</v>
      </c>
      <c r="I942" s="51">
        <v>8858.76</v>
      </c>
      <c r="J942" s="281">
        <f>++Tabla4[[#This Row],[Precio Bruto]]*1.16</f>
        <v>10276.161599999999</v>
      </c>
      <c r="K942" s="281">
        <f>+Tabla4[[#This Row],[Precio Unitario Neto]]*Tabla4[[#Headers],[20.85%]]</f>
        <v>2142.5796935999997</v>
      </c>
      <c r="L942" s="282">
        <f>++Tabla4[[#This Row],[Precio Unitario Neto]]-Tabla4[[#This Row],[20.85%]]</f>
        <v>8133.5819063999998</v>
      </c>
      <c r="M942" s="282" t="e">
        <f>(INDEX(Tabla6[#All],MATCH(Tabla4[[#This Row],[Producto]],Tabla6[[#All],[PRODUCTO]],0),MATCH(Tabla4[[#This Row],[Mes]],Tabla6[#Headers],0)))*(1+Catalogos!$L$2)</f>
        <v>#N/A</v>
      </c>
      <c r="N942" s="283" t="e">
        <f>+(Tabla4[[#This Row],[Precio Descontado]]-Tabla4[[#This Row],[Precio Base]])*Tabla4[[#This Row],[Cantidad]]</f>
        <v>#N/A</v>
      </c>
      <c r="O942" s="284" t="e">
        <f>++Tabla4[[#This Row],[Utilidad Total]]/Tabla4[[#This Row],[Total]]</f>
        <v>#N/A</v>
      </c>
      <c r="P942" s="282">
        <f>++Tabla4[[#This Row],[Precio Descontado]]*Tabla4[[#This Row],[Cantidad]]</f>
        <v>8133.5819063999998</v>
      </c>
      <c r="Q942" s="282" t="e">
        <f>(INDEX(Tabla6[#All],MATCH(Tabla4[[#This Row],[Producto]],Tabla6[[#All],[PRODUCTO]],0),MATCH(Tabla4[[#This Row],[Mes]],Tabla6[#Headers],0)))</f>
        <v>#N/A</v>
      </c>
      <c r="R942" s="282" t="e">
        <f>++Tabla4[[#This Row],[Precio Unitario Neto]]-Tabla4[[#This Row],[20.85%]]-Tabla4[[#This Row],[Costo]]</f>
        <v>#N/A</v>
      </c>
      <c r="S942" s="282" t="e">
        <f>++Tabla4[[#This Row],[U. Bruta Uni]]*Tabla4[[#This Row],[Cantidad]]</f>
        <v>#N/A</v>
      </c>
      <c r="T942" s="369" t="str">
        <f>VLOOKUP(Tabla4[[#This Row],[Producto]],Tabla6[#All],14,FALSE)</f>
        <v>Termico Solar</v>
      </c>
      <c r="U942" s="284" t="e">
        <f>(IF(Tabla4[[#This Row],[Familia]]="termico solar",Tabla4[[#This Row],[Utilidad Total]]*6%,Tabla4[[#This Row],[Utilidad Total]]*11.5%))/Tabla4[[#This Row],[Total]]</f>
        <v>#N/A</v>
      </c>
      <c r="V942" s="282" t="e">
        <f>+Tabla4[[#This Row],[Comisión Calculada]]*Tabla4[[#This Row],[Total]]</f>
        <v>#N/A</v>
      </c>
    </row>
    <row r="943" spans="1:22" hidden="1" x14ac:dyDescent="0.25">
      <c r="A943" s="100">
        <v>45716</v>
      </c>
      <c r="B943" t="str">
        <f t="shared" si="36"/>
        <v>February</v>
      </c>
      <c r="C943" s="46" t="s">
        <v>280</v>
      </c>
      <c r="F943" s="366" t="s">
        <v>1118</v>
      </c>
      <c r="G943" s="46" t="s">
        <v>18</v>
      </c>
      <c r="H943" s="46">
        <v>4</v>
      </c>
      <c r="I943" s="51">
        <v>5367.65</v>
      </c>
      <c r="J943" s="281">
        <f>++Tabla4[[#This Row],[Precio Bruto]]*1.16</f>
        <v>6226.4739999999993</v>
      </c>
      <c r="K943" s="281">
        <f>+Tabla4[[#This Row],[Precio Unitario Neto]]*Tabla4[[#Headers],[20.85%]]</f>
        <v>1298.2198289999999</v>
      </c>
      <c r="L943" s="282">
        <f>++Tabla4[[#This Row],[Precio Unitario Neto]]-Tabla4[[#This Row],[20.85%]]</f>
        <v>4928.2541709999996</v>
      </c>
      <c r="M943" s="282" t="e">
        <f>(INDEX(Tabla6[#All],MATCH(Tabla4[[#This Row],[Producto]],Tabla6[[#All],[PRODUCTO]],0),MATCH(Tabla4[[#This Row],[Mes]],Tabla6[#Headers],0)))*(1+Catalogos!$L$2)</f>
        <v>#N/A</v>
      </c>
      <c r="N943" s="283" t="e">
        <f>+(Tabla4[[#This Row],[Precio Descontado]]-Tabla4[[#This Row],[Precio Base]])*Tabla4[[#This Row],[Cantidad]]</f>
        <v>#N/A</v>
      </c>
      <c r="O943" s="284" t="e">
        <f>++Tabla4[[#This Row],[Utilidad Total]]/Tabla4[[#This Row],[Total]]</f>
        <v>#N/A</v>
      </c>
      <c r="P943" s="282">
        <f>++Tabla4[[#This Row],[Precio Descontado]]*Tabla4[[#This Row],[Cantidad]]</f>
        <v>19713.016683999998</v>
      </c>
      <c r="Q943" s="282" t="e">
        <f>(INDEX(Tabla6[#All],MATCH(Tabla4[[#This Row],[Producto]],Tabla6[[#All],[PRODUCTO]],0),MATCH(Tabla4[[#This Row],[Mes]],Tabla6[#Headers],0)))</f>
        <v>#N/A</v>
      </c>
      <c r="R943" s="282" t="e">
        <f>++Tabla4[[#This Row],[Precio Unitario Neto]]-Tabla4[[#This Row],[20.85%]]-Tabla4[[#This Row],[Costo]]</f>
        <v>#N/A</v>
      </c>
      <c r="S943" s="282" t="e">
        <f>++Tabla4[[#This Row],[U. Bruta Uni]]*Tabla4[[#This Row],[Cantidad]]</f>
        <v>#N/A</v>
      </c>
      <c r="T943" s="369" t="str">
        <f>VLOOKUP(Tabla4[[#This Row],[Producto]],Tabla6[#All],14,FALSE)</f>
        <v>Termico Solar</v>
      </c>
      <c r="U943" s="284" t="e">
        <f>(IF(Tabla4[[#This Row],[Familia]]="termico solar",Tabla4[[#This Row],[Utilidad Total]]*6%,Tabla4[[#This Row],[Utilidad Total]]*11.5%))/Tabla4[[#This Row],[Total]]</f>
        <v>#N/A</v>
      </c>
      <c r="V943" s="282" t="e">
        <f>+Tabla4[[#This Row],[Comisión Calculada]]*Tabla4[[#This Row],[Total]]</f>
        <v>#N/A</v>
      </c>
    </row>
    <row r="944" spans="1:22" hidden="1" x14ac:dyDescent="0.25">
      <c r="A944" s="100">
        <v>45716</v>
      </c>
      <c r="B944" t="str">
        <f t="shared" ref="B944:B975" si="37">TEXT(A944, "mmmm")</f>
        <v>February</v>
      </c>
      <c r="C944" s="46" t="s">
        <v>280</v>
      </c>
      <c r="F944" s="366" t="s">
        <v>1119</v>
      </c>
      <c r="G944" s="46" t="s">
        <v>17</v>
      </c>
      <c r="H944" s="46">
        <v>8</v>
      </c>
      <c r="I944" s="51">
        <v>4622.28</v>
      </c>
      <c r="J944" s="281">
        <f>++Tabla4[[#This Row],[Precio Bruto]]*1.16</f>
        <v>5361.8447999999989</v>
      </c>
      <c r="K944" s="281">
        <f>+Tabla4[[#This Row],[Precio Unitario Neto]]*Tabla4[[#Headers],[20.85%]]</f>
        <v>1117.9446407999997</v>
      </c>
      <c r="L944" s="282">
        <f>++Tabla4[[#This Row],[Precio Unitario Neto]]-Tabla4[[#This Row],[20.85%]]</f>
        <v>4243.9001591999995</v>
      </c>
      <c r="M944" s="282" t="e">
        <f>(INDEX(Tabla6[#All],MATCH(Tabla4[[#This Row],[Producto]],Tabla6[[#All],[PRODUCTO]],0),MATCH(Tabla4[[#This Row],[Mes]],Tabla6[#Headers],0)))*(1+Catalogos!$L$2)</f>
        <v>#N/A</v>
      </c>
      <c r="N944" s="283" t="e">
        <f>+(Tabla4[[#This Row],[Precio Descontado]]-Tabla4[[#This Row],[Precio Base]])*Tabla4[[#This Row],[Cantidad]]</f>
        <v>#N/A</v>
      </c>
      <c r="O944" s="284" t="e">
        <f>++Tabla4[[#This Row],[Utilidad Total]]/Tabla4[[#This Row],[Total]]</f>
        <v>#N/A</v>
      </c>
      <c r="P944" s="282">
        <f>++Tabla4[[#This Row],[Precio Descontado]]*Tabla4[[#This Row],[Cantidad]]</f>
        <v>33951.201273599996</v>
      </c>
      <c r="Q944" s="282" t="e">
        <f>(INDEX(Tabla6[#All],MATCH(Tabla4[[#This Row],[Producto]],Tabla6[[#All],[PRODUCTO]],0),MATCH(Tabla4[[#This Row],[Mes]],Tabla6[#Headers],0)))</f>
        <v>#N/A</v>
      </c>
      <c r="R944" s="282" t="e">
        <f>++Tabla4[[#This Row],[Precio Unitario Neto]]-Tabla4[[#This Row],[20.85%]]-Tabla4[[#This Row],[Costo]]</f>
        <v>#N/A</v>
      </c>
      <c r="S944" s="282" t="e">
        <f>++Tabla4[[#This Row],[U. Bruta Uni]]*Tabla4[[#This Row],[Cantidad]]</f>
        <v>#N/A</v>
      </c>
      <c r="T944" s="369" t="str">
        <f>VLOOKUP(Tabla4[[#This Row],[Producto]],Tabla6[#All],14,FALSE)</f>
        <v>Termico Solar</v>
      </c>
      <c r="U944" s="284" t="e">
        <f>(IF(Tabla4[[#This Row],[Familia]]="termico solar",Tabla4[[#This Row],[Utilidad Total]]*6%,Tabla4[[#This Row],[Utilidad Total]]*11.5%))/Tabla4[[#This Row],[Total]]</f>
        <v>#N/A</v>
      </c>
      <c r="V944" s="282" t="e">
        <f>+Tabla4[[#This Row],[Comisión Calculada]]*Tabla4[[#This Row],[Total]]</f>
        <v>#N/A</v>
      </c>
    </row>
    <row r="945" spans="1:22" hidden="1" x14ac:dyDescent="0.25">
      <c r="A945" s="100">
        <v>45716</v>
      </c>
      <c r="B945" t="str">
        <f t="shared" si="37"/>
        <v>February</v>
      </c>
      <c r="C945" s="46" t="s">
        <v>280</v>
      </c>
      <c r="F945" s="366" t="s">
        <v>1119</v>
      </c>
      <c r="G945" s="46" t="s">
        <v>18</v>
      </c>
      <c r="H945" s="46">
        <v>2</v>
      </c>
      <c r="I945" s="51">
        <v>5367.65</v>
      </c>
      <c r="J945" s="281">
        <f>++Tabla4[[#This Row],[Precio Bruto]]*1.16</f>
        <v>6226.4739999999993</v>
      </c>
      <c r="K945" s="281">
        <f>+Tabla4[[#This Row],[Precio Unitario Neto]]*Tabla4[[#Headers],[20.85%]]</f>
        <v>1298.2198289999999</v>
      </c>
      <c r="L945" s="282">
        <f>++Tabla4[[#This Row],[Precio Unitario Neto]]-Tabla4[[#This Row],[20.85%]]</f>
        <v>4928.2541709999996</v>
      </c>
      <c r="M945" s="282" t="e">
        <f>(INDEX(Tabla6[#All],MATCH(Tabla4[[#This Row],[Producto]],Tabla6[[#All],[PRODUCTO]],0),MATCH(Tabla4[[#This Row],[Mes]],Tabla6[#Headers],0)))*(1+Catalogos!$L$2)</f>
        <v>#N/A</v>
      </c>
      <c r="N945" s="283" t="e">
        <f>+(Tabla4[[#This Row],[Precio Descontado]]-Tabla4[[#This Row],[Precio Base]])*Tabla4[[#This Row],[Cantidad]]</f>
        <v>#N/A</v>
      </c>
      <c r="O945" s="284" t="e">
        <f>++Tabla4[[#This Row],[Utilidad Total]]/Tabla4[[#This Row],[Total]]</f>
        <v>#N/A</v>
      </c>
      <c r="P945" s="282">
        <f>++Tabla4[[#This Row],[Precio Descontado]]*Tabla4[[#This Row],[Cantidad]]</f>
        <v>9856.5083419999992</v>
      </c>
      <c r="Q945" s="282" t="e">
        <f>(INDEX(Tabla6[#All],MATCH(Tabla4[[#This Row],[Producto]],Tabla6[[#All],[PRODUCTO]],0),MATCH(Tabla4[[#This Row],[Mes]],Tabla6[#Headers],0)))</f>
        <v>#N/A</v>
      </c>
      <c r="R945" s="282" t="e">
        <f>++Tabla4[[#This Row],[Precio Unitario Neto]]-Tabla4[[#This Row],[20.85%]]-Tabla4[[#This Row],[Costo]]</f>
        <v>#N/A</v>
      </c>
      <c r="S945" s="282" t="e">
        <f>++Tabla4[[#This Row],[U. Bruta Uni]]*Tabla4[[#This Row],[Cantidad]]</f>
        <v>#N/A</v>
      </c>
      <c r="T945" s="369" t="str">
        <f>VLOOKUP(Tabla4[[#This Row],[Producto]],Tabla6[#All],14,FALSE)</f>
        <v>Termico Solar</v>
      </c>
      <c r="U945" s="284" t="e">
        <f>(IF(Tabla4[[#This Row],[Familia]]="termico solar",Tabla4[[#This Row],[Utilidad Total]]*6%,Tabla4[[#This Row],[Utilidad Total]]*11.5%))/Tabla4[[#This Row],[Total]]</f>
        <v>#N/A</v>
      </c>
      <c r="V945" s="282" t="e">
        <f>+Tabla4[[#This Row],[Comisión Calculada]]*Tabla4[[#This Row],[Total]]</f>
        <v>#N/A</v>
      </c>
    </row>
    <row r="946" spans="1:22" hidden="1" x14ac:dyDescent="0.25">
      <c r="A946" s="100">
        <v>45716</v>
      </c>
      <c r="B946" t="str">
        <f t="shared" si="37"/>
        <v>February</v>
      </c>
      <c r="C946" s="46" t="s">
        <v>280</v>
      </c>
      <c r="F946" s="366" t="s">
        <v>1120</v>
      </c>
      <c r="G946" s="46" t="s">
        <v>18</v>
      </c>
      <c r="H946" s="46">
        <v>2</v>
      </c>
      <c r="I946" s="51">
        <v>5367.65</v>
      </c>
      <c r="J946" s="281">
        <f>++Tabla4[[#This Row],[Precio Bruto]]*1.16</f>
        <v>6226.4739999999993</v>
      </c>
      <c r="K946" s="281">
        <f>+Tabla4[[#This Row],[Precio Unitario Neto]]*Tabla4[[#Headers],[20.85%]]</f>
        <v>1298.2198289999999</v>
      </c>
      <c r="L946" s="282">
        <f>++Tabla4[[#This Row],[Precio Unitario Neto]]-Tabla4[[#This Row],[20.85%]]</f>
        <v>4928.2541709999996</v>
      </c>
      <c r="M946" s="282" t="e">
        <f>(INDEX(Tabla6[#All],MATCH(Tabla4[[#This Row],[Producto]],Tabla6[[#All],[PRODUCTO]],0),MATCH(Tabla4[[#This Row],[Mes]],Tabla6[#Headers],0)))*(1+Catalogos!$L$2)</f>
        <v>#N/A</v>
      </c>
      <c r="N946" s="283" t="e">
        <f>+(Tabla4[[#This Row],[Precio Descontado]]-Tabla4[[#This Row],[Precio Base]])*Tabla4[[#This Row],[Cantidad]]</f>
        <v>#N/A</v>
      </c>
      <c r="O946" s="284" t="e">
        <f>++Tabla4[[#This Row],[Utilidad Total]]/Tabla4[[#This Row],[Total]]</f>
        <v>#N/A</v>
      </c>
      <c r="P946" s="282">
        <f>++Tabla4[[#This Row],[Precio Descontado]]*Tabla4[[#This Row],[Cantidad]]</f>
        <v>9856.5083419999992</v>
      </c>
      <c r="Q946" s="282" t="e">
        <f>(INDEX(Tabla6[#All],MATCH(Tabla4[[#This Row],[Producto]],Tabla6[[#All],[PRODUCTO]],0),MATCH(Tabla4[[#This Row],[Mes]],Tabla6[#Headers],0)))</f>
        <v>#N/A</v>
      </c>
      <c r="R946" s="282" t="e">
        <f>++Tabla4[[#This Row],[Precio Unitario Neto]]-Tabla4[[#This Row],[20.85%]]-Tabla4[[#This Row],[Costo]]</f>
        <v>#N/A</v>
      </c>
      <c r="S946" s="282" t="e">
        <f>++Tabla4[[#This Row],[U. Bruta Uni]]*Tabla4[[#This Row],[Cantidad]]</f>
        <v>#N/A</v>
      </c>
      <c r="T946" s="369" t="str">
        <f>VLOOKUP(Tabla4[[#This Row],[Producto]],Tabla6[#All],14,FALSE)</f>
        <v>Termico Solar</v>
      </c>
      <c r="U946" s="284" t="e">
        <f>(IF(Tabla4[[#This Row],[Familia]]="termico solar",Tabla4[[#This Row],[Utilidad Total]]*6%,Tabla4[[#This Row],[Utilidad Total]]*11.5%))/Tabla4[[#This Row],[Total]]</f>
        <v>#N/A</v>
      </c>
      <c r="V946" s="282" t="e">
        <f>+Tabla4[[#This Row],[Comisión Calculada]]*Tabla4[[#This Row],[Total]]</f>
        <v>#N/A</v>
      </c>
    </row>
    <row r="947" spans="1:22" hidden="1" x14ac:dyDescent="0.25">
      <c r="A947" s="100">
        <v>45716</v>
      </c>
      <c r="B947" t="str">
        <f t="shared" si="37"/>
        <v>February</v>
      </c>
      <c r="C947" s="46" t="s">
        <v>280</v>
      </c>
      <c r="F947" s="366" t="s">
        <v>1120</v>
      </c>
      <c r="G947" s="46" t="s">
        <v>19</v>
      </c>
      <c r="H947" s="46">
        <v>1</v>
      </c>
      <c r="I947" s="51">
        <v>6412.03</v>
      </c>
      <c r="J947" s="281">
        <f>++Tabla4[[#This Row],[Precio Bruto]]*1.16</f>
        <v>7437.9547999999995</v>
      </c>
      <c r="K947" s="281">
        <f>+Tabla4[[#This Row],[Precio Unitario Neto]]*Tabla4[[#Headers],[20.85%]]</f>
        <v>1550.8135757999999</v>
      </c>
      <c r="L947" s="282">
        <f>++Tabla4[[#This Row],[Precio Unitario Neto]]-Tabla4[[#This Row],[20.85%]]</f>
        <v>5887.1412241999997</v>
      </c>
      <c r="M947" s="282" t="e">
        <f>(INDEX(Tabla6[#All],MATCH(Tabla4[[#This Row],[Producto]],Tabla6[[#All],[PRODUCTO]],0),MATCH(Tabla4[[#This Row],[Mes]],Tabla6[#Headers],0)))*(1+Catalogos!$L$2)</f>
        <v>#N/A</v>
      </c>
      <c r="N947" s="283" t="e">
        <f>+(Tabla4[[#This Row],[Precio Descontado]]-Tabla4[[#This Row],[Precio Base]])*Tabla4[[#This Row],[Cantidad]]</f>
        <v>#N/A</v>
      </c>
      <c r="O947" s="284" t="e">
        <f>++Tabla4[[#This Row],[Utilidad Total]]/Tabla4[[#This Row],[Total]]</f>
        <v>#N/A</v>
      </c>
      <c r="P947" s="282">
        <f>++Tabla4[[#This Row],[Precio Descontado]]*Tabla4[[#This Row],[Cantidad]]</f>
        <v>5887.1412241999997</v>
      </c>
      <c r="Q947" s="282" t="e">
        <f>(INDEX(Tabla6[#All],MATCH(Tabla4[[#This Row],[Producto]],Tabla6[[#All],[PRODUCTO]],0),MATCH(Tabla4[[#This Row],[Mes]],Tabla6[#Headers],0)))</f>
        <v>#N/A</v>
      </c>
      <c r="R947" s="282" t="e">
        <f>++Tabla4[[#This Row],[Precio Unitario Neto]]-Tabla4[[#This Row],[20.85%]]-Tabla4[[#This Row],[Costo]]</f>
        <v>#N/A</v>
      </c>
      <c r="S947" s="282" t="e">
        <f>++Tabla4[[#This Row],[U. Bruta Uni]]*Tabla4[[#This Row],[Cantidad]]</f>
        <v>#N/A</v>
      </c>
      <c r="T947" s="369" t="str">
        <f>VLOOKUP(Tabla4[[#This Row],[Producto]],Tabla6[#All],14,FALSE)</f>
        <v>Termico Solar</v>
      </c>
      <c r="U947" s="284" t="e">
        <f>(IF(Tabla4[[#This Row],[Familia]]="termico solar",Tabla4[[#This Row],[Utilidad Total]]*6%,Tabla4[[#This Row],[Utilidad Total]]*11.5%))/Tabla4[[#This Row],[Total]]</f>
        <v>#N/A</v>
      </c>
      <c r="V947" s="282" t="e">
        <f>+Tabla4[[#This Row],[Comisión Calculada]]*Tabla4[[#This Row],[Total]]</f>
        <v>#N/A</v>
      </c>
    </row>
    <row r="948" spans="1:22" hidden="1" x14ac:dyDescent="0.25">
      <c r="A948" s="100">
        <v>45716</v>
      </c>
      <c r="B948" t="str">
        <f t="shared" si="37"/>
        <v>February</v>
      </c>
      <c r="C948" s="46" t="s">
        <v>280</v>
      </c>
      <c r="F948" s="366" t="s">
        <v>1121</v>
      </c>
      <c r="G948" s="46" t="s">
        <v>18</v>
      </c>
      <c r="H948" s="46">
        <v>2</v>
      </c>
      <c r="I948" s="51">
        <v>5367.65</v>
      </c>
      <c r="J948" s="281">
        <f>++Tabla4[[#This Row],[Precio Bruto]]*1.16</f>
        <v>6226.4739999999993</v>
      </c>
      <c r="K948" s="281">
        <f>+Tabla4[[#This Row],[Precio Unitario Neto]]*Tabla4[[#Headers],[20.85%]]</f>
        <v>1298.2198289999999</v>
      </c>
      <c r="L948" s="282">
        <f>++Tabla4[[#This Row],[Precio Unitario Neto]]-Tabla4[[#This Row],[20.85%]]</f>
        <v>4928.2541709999996</v>
      </c>
      <c r="M948" s="282" t="e">
        <f>(INDEX(Tabla6[#All],MATCH(Tabla4[[#This Row],[Producto]],Tabla6[[#All],[PRODUCTO]],0),MATCH(Tabla4[[#This Row],[Mes]],Tabla6[#Headers],0)))*(1+Catalogos!$L$2)</f>
        <v>#N/A</v>
      </c>
      <c r="N948" s="283" t="e">
        <f>+(Tabla4[[#This Row],[Precio Descontado]]-Tabla4[[#This Row],[Precio Base]])*Tabla4[[#This Row],[Cantidad]]</f>
        <v>#N/A</v>
      </c>
      <c r="O948" s="284" t="e">
        <f>++Tabla4[[#This Row],[Utilidad Total]]/Tabla4[[#This Row],[Total]]</f>
        <v>#N/A</v>
      </c>
      <c r="P948" s="282">
        <f>++Tabla4[[#This Row],[Precio Descontado]]*Tabla4[[#This Row],[Cantidad]]</f>
        <v>9856.5083419999992</v>
      </c>
      <c r="Q948" s="282" t="e">
        <f>(INDEX(Tabla6[#All],MATCH(Tabla4[[#This Row],[Producto]],Tabla6[[#All],[PRODUCTO]],0),MATCH(Tabla4[[#This Row],[Mes]],Tabla6[#Headers],0)))</f>
        <v>#N/A</v>
      </c>
      <c r="R948" s="282" t="e">
        <f>++Tabla4[[#This Row],[Precio Unitario Neto]]-Tabla4[[#This Row],[20.85%]]-Tabla4[[#This Row],[Costo]]</f>
        <v>#N/A</v>
      </c>
      <c r="S948" s="282" t="e">
        <f>++Tabla4[[#This Row],[U. Bruta Uni]]*Tabla4[[#This Row],[Cantidad]]</f>
        <v>#N/A</v>
      </c>
      <c r="T948" s="369" t="str">
        <f>VLOOKUP(Tabla4[[#This Row],[Producto]],Tabla6[#All],14,FALSE)</f>
        <v>Termico Solar</v>
      </c>
      <c r="U948" s="284" t="e">
        <f>(IF(Tabla4[[#This Row],[Familia]]="termico solar",Tabla4[[#This Row],[Utilidad Total]]*6%,Tabla4[[#This Row],[Utilidad Total]]*11.5%))/Tabla4[[#This Row],[Total]]</f>
        <v>#N/A</v>
      </c>
      <c r="V948" s="282" t="e">
        <f>+Tabla4[[#This Row],[Comisión Calculada]]*Tabla4[[#This Row],[Total]]</f>
        <v>#N/A</v>
      </c>
    </row>
    <row r="949" spans="1:22" hidden="1" x14ac:dyDescent="0.25">
      <c r="A949" s="100">
        <v>45716</v>
      </c>
      <c r="B949" t="str">
        <f t="shared" si="37"/>
        <v>February</v>
      </c>
      <c r="C949" s="46" t="s">
        <v>280</v>
      </c>
      <c r="F949" s="366" t="s">
        <v>1121</v>
      </c>
      <c r="G949" s="46" t="s">
        <v>566</v>
      </c>
      <c r="H949" s="46">
        <v>1</v>
      </c>
      <c r="I949" s="51">
        <v>2109.4499999999998</v>
      </c>
      <c r="J949" s="281">
        <f>++Tabla4[[#This Row],[Precio Bruto]]*1.16</f>
        <v>2446.9619999999995</v>
      </c>
      <c r="K949" s="281">
        <f>+Tabla4[[#This Row],[Precio Unitario Neto]]*Tabla4[[#Headers],[20.85%]]</f>
        <v>510.19157699999988</v>
      </c>
      <c r="L949" s="282">
        <f>++Tabla4[[#This Row],[Precio Unitario Neto]]-Tabla4[[#This Row],[20.85%]]</f>
        <v>1936.7704229999997</v>
      </c>
      <c r="M949" s="282" t="e">
        <f>(INDEX(Tabla6[#All],MATCH(Tabla4[[#This Row],[Producto]],Tabla6[[#All],[PRODUCTO]],0),MATCH(Tabla4[[#This Row],[Mes]],Tabla6[#Headers],0)))*(1+Catalogos!$L$2)</f>
        <v>#N/A</v>
      </c>
      <c r="N949" s="283" t="e">
        <f>+(Tabla4[[#This Row],[Precio Descontado]]-Tabla4[[#This Row],[Precio Base]])*Tabla4[[#This Row],[Cantidad]]</f>
        <v>#N/A</v>
      </c>
      <c r="O949" s="284" t="e">
        <f>++Tabla4[[#This Row],[Utilidad Total]]/Tabla4[[#This Row],[Total]]</f>
        <v>#N/A</v>
      </c>
      <c r="P949" s="282">
        <f>++Tabla4[[#This Row],[Precio Descontado]]*Tabla4[[#This Row],[Cantidad]]</f>
        <v>1936.7704229999997</v>
      </c>
      <c r="Q949" s="282" t="e">
        <f>(INDEX(Tabla6[#All],MATCH(Tabla4[[#This Row],[Producto]],Tabla6[[#All],[PRODUCTO]],0),MATCH(Tabla4[[#This Row],[Mes]],Tabla6[#Headers],0)))</f>
        <v>#N/A</v>
      </c>
      <c r="R949" s="282" t="e">
        <f>++Tabla4[[#This Row],[Precio Unitario Neto]]-Tabla4[[#This Row],[20.85%]]-Tabla4[[#This Row],[Costo]]</f>
        <v>#N/A</v>
      </c>
      <c r="S949" s="282" t="e">
        <f>++Tabla4[[#This Row],[U. Bruta Uni]]*Tabla4[[#This Row],[Cantidad]]</f>
        <v>#N/A</v>
      </c>
      <c r="T949" s="369" t="str">
        <f>VLOOKUP(Tabla4[[#This Row],[Producto]],Tabla6[#All],14,FALSE)</f>
        <v>Termico Solar</v>
      </c>
      <c r="U949" s="284" t="e">
        <f>(IF(Tabla4[[#This Row],[Familia]]="termico solar",Tabla4[[#This Row],[Utilidad Total]]*6%,Tabla4[[#This Row],[Utilidad Total]]*11.5%))/Tabla4[[#This Row],[Total]]</f>
        <v>#N/A</v>
      </c>
      <c r="V949" s="282" t="e">
        <f>+Tabla4[[#This Row],[Comisión Calculada]]*Tabla4[[#This Row],[Total]]</f>
        <v>#N/A</v>
      </c>
    </row>
    <row r="950" spans="1:22" hidden="1" x14ac:dyDescent="0.25">
      <c r="A950" s="100">
        <v>45716</v>
      </c>
      <c r="B950" t="str">
        <f t="shared" si="37"/>
        <v>February</v>
      </c>
      <c r="C950" s="46" t="s">
        <v>280</v>
      </c>
      <c r="F950" s="366" t="s">
        <v>1121</v>
      </c>
      <c r="G950" s="46" t="s">
        <v>599</v>
      </c>
      <c r="H950" s="46">
        <v>2</v>
      </c>
      <c r="I950" s="51">
        <v>189.75</v>
      </c>
      <c r="J950" s="281">
        <f>++Tabla4[[#This Row],[Precio Bruto]]*1.16</f>
        <v>220.10999999999999</v>
      </c>
      <c r="K950" s="281">
        <f>+Tabla4[[#This Row],[Precio Unitario Neto]]*Tabla4[[#Headers],[20.85%]]</f>
        <v>45.892934999999994</v>
      </c>
      <c r="L950" s="282">
        <f>++Tabla4[[#This Row],[Precio Unitario Neto]]-Tabla4[[#This Row],[20.85%]]</f>
        <v>174.21706499999999</v>
      </c>
      <c r="M950" s="282" t="e">
        <f>(INDEX(Tabla6[#All],MATCH(Tabla4[[#This Row],[Producto]],Tabla6[[#All],[PRODUCTO]],0),MATCH(Tabla4[[#This Row],[Mes]],Tabla6[#Headers],0)))*(1+Catalogos!$L$2)</f>
        <v>#N/A</v>
      </c>
      <c r="N950" s="283" t="e">
        <f>+(Tabla4[[#This Row],[Precio Descontado]]-Tabla4[[#This Row],[Precio Base]])*Tabla4[[#This Row],[Cantidad]]</f>
        <v>#N/A</v>
      </c>
      <c r="O950" s="284" t="e">
        <f>++Tabla4[[#This Row],[Utilidad Total]]/Tabla4[[#This Row],[Total]]</f>
        <v>#N/A</v>
      </c>
      <c r="P950" s="282">
        <f>++Tabla4[[#This Row],[Precio Descontado]]*Tabla4[[#This Row],[Cantidad]]</f>
        <v>348.43412999999998</v>
      </c>
      <c r="Q950" s="282" t="e">
        <f>(INDEX(Tabla6[#All],MATCH(Tabla4[[#This Row],[Producto]],Tabla6[[#All],[PRODUCTO]],0),MATCH(Tabla4[[#This Row],[Mes]],Tabla6[#Headers],0)))</f>
        <v>#N/A</v>
      </c>
      <c r="R950" s="282" t="e">
        <f>++Tabla4[[#This Row],[Precio Unitario Neto]]-Tabla4[[#This Row],[20.85%]]-Tabla4[[#This Row],[Costo]]</f>
        <v>#N/A</v>
      </c>
      <c r="S950" s="282" t="e">
        <f>++Tabla4[[#This Row],[U. Bruta Uni]]*Tabla4[[#This Row],[Cantidad]]</f>
        <v>#N/A</v>
      </c>
      <c r="T950" s="369" t="str">
        <f>VLOOKUP(Tabla4[[#This Row],[Producto]],Tabla6[#All],14,FALSE)</f>
        <v>Termico Solar</v>
      </c>
      <c r="U950" s="284" t="e">
        <f>(IF(Tabla4[[#This Row],[Familia]]="termico solar",Tabla4[[#This Row],[Utilidad Total]]*6%,Tabla4[[#This Row],[Utilidad Total]]*11.5%))/Tabla4[[#This Row],[Total]]</f>
        <v>#N/A</v>
      </c>
      <c r="V950" s="282" t="e">
        <f>+Tabla4[[#This Row],[Comisión Calculada]]*Tabla4[[#This Row],[Total]]</f>
        <v>#N/A</v>
      </c>
    </row>
    <row r="951" spans="1:22" hidden="1" x14ac:dyDescent="0.25">
      <c r="A951" s="100">
        <v>45716</v>
      </c>
      <c r="B951" t="str">
        <f t="shared" si="37"/>
        <v>February</v>
      </c>
      <c r="C951" s="46" t="s">
        <v>280</v>
      </c>
      <c r="F951" s="366" t="s">
        <v>1121</v>
      </c>
      <c r="G951" s="46" t="s">
        <v>209</v>
      </c>
      <c r="H951" s="46">
        <v>1</v>
      </c>
      <c r="I951" s="51">
        <v>347.48</v>
      </c>
      <c r="J951" s="281">
        <f>++Tabla4[[#This Row],[Precio Bruto]]*1.16</f>
        <v>403.07679999999999</v>
      </c>
      <c r="K951" s="281">
        <f>+Tabla4[[#This Row],[Precio Unitario Neto]]*Tabla4[[#Headers],[20.85%]]</f>
        <v>84.041512799999992</v>
      </c>
      <c r="L951" s="282">
        <f>++Tabla4[[#This Row],[Precio Unitario Neto]]-Tabla4[[#This Row],[20.85%]]</f>
        <v>319.03528719999997</v>
      </c>
      <c r="M951" s="282" t="e">
        <f>(INDEX(Tabla6[#All],MATCH(Tabla4[[#This Row],[Producto]],Tabla6[[#All],[PRODUCTO]],0),MATCH(Tabla4[[#This Row],[Mes]],Tabla6[#Headers],0)))*(1+Catalogos!$L$2)</f>
        <v>#N/A</v>
      </c>
      <c r="N951" s="283" t="e">
        <f>+(Tabla4[[#This Row],[Precio Descontado]]-Tabla4[[#This Row],[Precio Base]])*Tabla4[[#This Row],[Cantidad]]</f>
        <v>#N/A</v>
      </c>
      <c r="O951" s="284" t="e">
        <f>++Tabla4[[#This Row],[Utilidad Total]]/Tabla4[[#This Row],[Total]]</f>
        <v>#N/A</v>
      </c>
      <c r="P951" s="282">
        <f>++Tabla4[[#This Row],[Precio Descontado]]*Tabla4[[#This Row],[Cantidad]]</f>
        <v>319.03528719999997</v>
      </c>
      <c r="Q951" s="282" t="e">
        <f>(INDEX(Tabla6[#All],MATCH(Tabla4[[#This Row],[Producto]],Tabla6[[#All],[PRODUCTO]],0),MATCH(Tabla4[[#This Row],[Mes]],Tabla6[#Headers],0)))</f>
        <v>#N/A</v>
      </c>
      <c r="R951" s="282" t="e">
        <f>++Tabla4[[#This Row],[Precio Unitario Neto]]-Tabla4[[#This Row],[20.85%]]-Tabla4[[#This Row],[Costo]]</f>
        <v>#N/A</v>
      </c>
      <c r="S951" s="282" t="e">
        <f>++Tabla4[[#This Row],[U. Bruta Uni]]*Tabla4[[#This Row],[Cantidad]]</f>
        <v>#N/A</v>
      </c>
      <c r="T951" s="369" t="str">
        <f>VLOOKUP(Tabla4[[#This Row],[Producto]],Tabla6[#All],14,FALSE)</f>
        <v>Termico Solar</v>
      </c>
      <c r="U951" s="284" t="e">
        <f>(IF(Tabla4[[#This Row],[Familia]]="termico solar",Tabla4[[#This Row],[Utilidad Total]]*6%,Tabla4[[#This Row],[Utilidad Total]]*11.5%))/Tabla4[[#This Row],[Total]]</f>
        <v>#N/A</v>
      </c>
      <c r="V951" s="282" t="e">
        <f>+Tabla4[[#This Row],[Comisión Calculada]]*Tabla4[[#This Row],[Total]]</f>
        <v>#N/A</v>
      </c>
    </row>
    <row r="952" spans="1:22" hidden="1" x14ac:dyDescent="0.25">
      <c r="A952" s="100">
        <v>45716</v>
      </c>
      <c r="B952" t="str">
        <f t="shared" si="37"/>
        <v>February</v>
      </c>
      <c r="C952" s="46" t="s">
        <v>280</v>
      </c>
      <c r="F952" s="366" t="s">
        <v>1122</v>
      </c>
      <c r="G952" s="46" t="s">
        <v>18</v>
      </c>
      <c r="H952" s="46">
        <v>4</v>
      </c>
      <c r="I952" s="51">
        <v>5367.65</v>
      </c>
      <c r="J952" s="281">
        <f>++Tabla4[[#This Row],[Precio Bruto]]*1.16</f>
        <v>6226.4739999999993</v>
      </c>
      <c r="K952" s="281">
        <f>+Tabla4[[#This Row],[Precio Unitario Neto]]*Tabla4[[#Headers],[20.85%]]</f>
        <v>1298.2198289999999</v>
      </c>
      <c r="L952" s="282">
        <f>++Tabla4[[#This Row],[Precio Unitario Neto]]-Tabla4[[#This Row],[20.85%]]</f>
        <v>4928.2541709999996</v>
      </c>
      <c r="M952" s="282" t="e">
        <f>(INDEX(Tabla6[#All],MATCH(Tabla4[[#This Row],[Producto]],Tabla6[[#All],[PRODUCTO]],0),MATCH(Tabla4[[#This Row],[Mes]],Tabla6[#Headers],0)))*(1+Catalogos!$L$2)</f>
        <v>#N/A</v>
      </c>
      <c r="N952" s="283" t="e">
        <f>+(Tabla4[[#This Row],[Precio Descontado]]-Tabla4[[#This Row],[Precio Base]])*Tabla4[[#This Row],[Cantidad]]</f>
        <v>#N/A</v>
      </c>
      <c r="O952" s="284" t="e">
        <f>++Tabla4[[#This Row],[Utilidad Total]]/Tabla4[[#This Row],[Total]]</f>
        <v>#N/A</v>
      </c>
      <c r="P952" s="282">
        <f>++Tabla4[[#This Row],[Precio Descontado]]*Tabla4[[#This Row],[Cantidad]]</f>
        <v>19713.016683999998</v>
      </c>
      <c r="Q952" s="282" t="e">
        <f>(INDEX(Tabla6[#All],MATCH(Tabla4[[#This Row],[Producto]],Tabla6[[#All],[PRODUCTO]],0),MATCH(Tabla4[[#This Row],[Mes]],Tabla6[#Headers],0)))</f>
        <v>#N/A</v>
      </c>
      <c r="R952" s="282" t="e">
        <f>++Tabla4[[#This Row],[Precio Unitario Neto]]-Tabla4[[#This Row],[20.85%]]-Tabla4[[#This Row],[Costo]]</f>
        <v>#N/A</v>
      </c>
      <c r="S952" s="282" t="e">
        <f>++Tabla4[[#This Row],[U. Bruta Uni]]*Tabla4[[#This Row],[Cantidad]]</f>
        <v>#N/A</v>
      </c>
      <c r="T952" s="369" t="str">
        <f>VLOOKUP(Tabla4[[#This Row],[Producto]],Tabla6[#All],14,FALSE)</f>
        <v>Termico Solar</v>
      </c>
      <c r="U952" s="284" t="e">
        <f>(IF(Tabla4[[#This Row],[Familia]]="termico solar",Tabla4[[#This Row],[Utilidad Total]]*6%,Tabla4[[#This Row],[Utilidad Total]]*11.5%))/Tabla4[[#This Row],[Total]]</f>
        <v>#N/A</v>
      </c>
      <c r="V952" s="282" t="e">
        <f>+Tabla4[[#This Row],[Comisión Calculada]]*Tabla4[[#This Row],[Total]]</f>
        <v>#N/A</v>
      </c>
    </row>
    <row r="953" spans="1:22" hidden="1" x14ac:dyDescent="0.25">
      <c r="A953" s="100">
        <v>45716</v>
      </c>
      <c r="B953" t="str">
        <f t="shared" si="37"/>
        <v>February</v>
      </c>
      <c r="C953" s="46" t="s">
        <v>280</v>
      </c>
      <c r="F953" s="366" t="s">
        <v>1122</v>
      </c>
      <c r="G953" s="46" t="s">
        <v>599</v>
      </c>
      <c r="H953" s="46">
        <v>1</v>
      </c>
      <c r="I953" s="51">
        <v>189.75</v>
      </c>
      <c r="J953" s="281">
        <f>++Tabla4[[#This Row],[Precio Bruto]]*1.16</f>
        <v>220.10999999999999</v>
      </c>
      <c r="K953" s="281">
        <f>+Tabla4[[#This Row],[Precio Unitario Neto]]*Tabla4[[#Headers],[20.85%]]</f>
        <v>45.892934999999994</v>
      </c>
      <c r="L953" s="282">
        <f>++Tabla4[[#This Row],[Precio Unitario Neto]]-Tabla4[[#This Row],[20.85%]]</f>
        <v>174.21706499999999</v>
      </c>
      <c r="M953" s="282" t="e">
        <f>(INDEX(Tabla6[#All],MATCH(Tabla4[[#This Row],[Producto]],Tabla6[[#All],[PRODUCTO]],0),MATCH(Tabla4[[#This Row],[Mes]],Tabla6[#Headers],0)))*(1+Catalogos!$L$2)</f>
        <v>#N/A</v>
      </c>
      <c r="N953" s="283" t="e">
        <f>+(Tabla4[[#This Row],[Precio Descontado]]-Tabla4[[#This Row],[Precio Base]])*Tabla4[[#This Row],[Cantidad]]</f>
        <v>#N/A</v>
      </c>
      <c r="O953" s="284" t="e">
        <f>++Tabla4[[#This Row],[Utilidad Total]]/Tabla4[[#This Row],[Total]]</f>
        <v>#N/A</v>
      </c>
      <c r="P953" s="282">
        <f>++Tabla4[[#This Row],[Precio Descontado]]*Tabla4[[#This Row],[Cantidad]]</f>
        <v>174.21706499999999</v>
      </c>
      <c r="Q953" s="282" t="e">
        <f>(INDEX(Tabla6[#All],MATCH(Tabla4[[#This Row],[Producto]],Tabla6[[#All],[PRODUCTO]],0),MATCH(Tabla4[[#This Row],[Mes]],Tabla6[#Headers],0)))</f>
        <v>#N/A</v>
      </c>
      <c r="R953" s="282" t="e">
        <f>++Tabla4[[#This Row],[Precio Unitario Neto]]-Tabla4[[#This Row],[20.85%]]-Tabla4[[#This Row],[Costo]]</f>
        <v>#N/A</v>
      </c>
      <c r="S953" s="282" t="e">
        <f>++Tabla4[[#This Row],[U. Bruta Uni]]*Tabla4[[#This Row],[Cantidad]]</f>
        <v>#N/A</v>
      </c>
      <c r="T953" s="369" t="str">
        <f>VLOOKUP(Tabla4[[#This Row],[Producto]],Tabla6[#All],14,FALSE)</f>
        <v>Termico Solar</v>
      </c>
      <c r="U953" s="284" t="e">
        <f>(IF(Tabla4[[#This Row],[Familia]]="termico solar",Tabla4[[#This Row],[Utilidad Total]]*6%,Tabla4[[#This Row],[Utilidad Total]]*11.5%))/Tabla4[[#This Row],[Total]]</f>
        <v>#N/A</v>
      </c>
      <c r="V953" s="282" t="e">
        <f>+Tabla4[[#This Row],[Comisión Calculada]]*Tabla4[[#This Row],[Total]]</f>
        <v>#N/A</v>
      </c>
    </row>
    <row r="954" spans="1:22" hidden="1" x14ac:dyDescent="0.25">
      <c r="A954" s="100">
        <v>45716</v>
      </c>
      <c r="B954" t="str">
        <f t="shared" si="37"/>
        <v>February</v>
      </c>
      <c r="C954" s="46" t="s">
        <v>280</v>
      </c>
      <c r="F954" s="366" t="s">
        <v>1123</v>
      </c>
      <c r="G954" s="46" t="s">
        <v>16</v>
      </c>
      <c r="H954" s="46">
        <v>2</v>
      </c>
      <c r="I954" s="51">
        <v>4103.8500000000004</v>
      </c>
      <c r="J954" s="281">
        <f>++Tabla4[[#This Row],[Precio Bruto]]*1.16</f>
        <v>4760.4660000000003</v>
      </c>
      <c r="K954" s="281">
        <f>+Tabla4[[#This Row],[Precio Unitario Neto]]*Tabla4[[#Headers],[20.85%]]</f>
        <v>992.55716100000006</v>
      </c>
      <c r="L954" s="282">
        <f>++Tabla4[[#This Row],[Precio Unitario Neto]]-Tabla4[[#This Row],[20.85%]]</f>
        <v>3767.9088390000002</v>
      </c>
      <c r="M954" s="282" t="e">
        <f>(INDEX(Tabla6[#All],MATCH(Tabla4[[#This Row],[Producto]],Tabla6[[#All],[PRODUCTO]],0),MATCH(Tabla4[[#This Row],[Mes]],Tabla6[#Headers],0)))*(1+Catalogos!$L$2)</f>
        <v>#N/A</v>
      </c>
      <c r="N954" s="283" t="e">
        <f>+(Tabla4[[#This Row],[Precio Descontado]]-Tabla4[[#This Row],[Precio Base]])*Tabla4[[#This Row],[Cantidad]]</f>
        <v>#N/A</v>
      </c>
      <c r="O954" s="284" t="e">
        <f>++Tabla4[[#This Row],[Utilidad Total]]/Tabla4[[#This Row],[Total]]</f>
        <v>#N/A</v>
      </c>
      <c r="P954" s="282">
        <f>++Tabla4[[#This Row],[Precio Descontado]]*Tabla4[[#This Row],[Cantidad]]</f>
        <v>7535.8176780000003</v>
      </c>
      <c r="Q954" s="282" t="e">
        <f>(INDEX(Tabla6[#All],MATCH(Tabla4[[#This Row],[Producto]],Tabla6[[#All],[PRODUCTO]],0),MATCH(Tabla4[[#This Row],[Mes]],Tabla6[#Headers],0)))</f>
        <v>#N/A</v>
      </c>
      <c r="R954" s="282" t="e">
        <f>++Tabla4[[#This Row],[Precio Unitario Neto]]-Tabla4[[#This Row],[20.85%]]-Tabla4[[#This Row],[Costo]]</f>
        <v>#N/A</v>
      </c>
      <c r="S954" s="282" t="e">
        <f>++Tabla4[[#This Row],[U. Bruta Uni]]*Tabla4[[#This Row],[Cantidad]]</f>
        <v>#N/A</v>
      </c>
      <c r="T954" s="369" t="str">
        <f>VLOOKUP(Tabla4[[#This Row],[Producto]],Tabla6[#All],14,FALSE)</f>
        <v>Termico Solar</v>
      </c>
      <c r="U954" s="284" t="e">
        <f>(IF(Tabla4[[#This Row],[Familia]]="termico solar",Tabla4[[#This Row],[Utilidad Total]]*6%,Tabla4[[#This Row],[Utilidad Total]]*11.5%))/Tabla4[[#This Row],[Total]]</f>
        <v>#N/A</v>
      </c>
      <c r="V954" s="282" t="e">
        <f>+Tabla4[[#This Row],[Comisión Calculada]]*Tabla4[[#This Row],[Total]]</f>
        <v>#N/A</v>
      </c>
    </row>
    <row r="955" spans="1:22" hidden="1" x14ac:dyDescent="0.25">
      <c r="A955" s="100">
        <v>45716</v>
      </c>
      <c r="B955" t="str">
        <f t="shared" si="37"/>
        <v>February</v>
      </c>
      <c r="C955" s="46" t="s">
        <v>280</v>
      </c>
      <c r="F955" s="366" t="s">
        <v>1124</v>
      </c>
      <c r="G955" s="46" t="s">
        <v>83</v>
      </c>
      <c r="H955" s="46">
        <v>2</v>
      </c>
      <c r="I955" s="51">
        <v>8858.76</v>
      </c>
      <c r="J955" s="281">
        <f>++Tabla4[[#This Row],[Precio Bruto]]*1.16</f>
        <v>10276.161599999999</v>
      </c>
      <c r="K955" s="281">
        <f>+Tabla4[[#This Row],[Precio Unitario Neto]]*Tabla4[[#Headers],[20.85%]]</f>
        <v>2142.5796935999997</v>
      </c>
      <c r="L955" s="282">
        <f>++Tabla4[[#This Row],[Precio Unitario Neto]]-Tabla4[[#This Row],[20.85%]]</f>
        <v>8133.5819063999998</v>
      </c>
      <c r="M955" s="282" t="e">
        <f>(INDEX(Tabla6[#All],MATCH(Tabla4[[#This Row],[Producto]],Tabla6[[#All],[PRODUCTO]],0),MATCH(Tabla4[[#This Row],[Mes]],Tabla6[#Headers],0)))*(1+Catalogos!$L$2)</f>
        <v>#N/A</v>
      </c>
      <c r="N955" s="283" t="e">
        <f>+(Tabla4[[#This Row],[Precio Descontado]]-Tabla4[[#This Row],[Precio Base]])*Tabla4[[#This Row],[Cantidad]]</f>
        <v>#N/A</v>
      </c>
      <c r="O955" s="284" t="e">
        <f>++Tabla4[[#This Row],[Utilidad Total]]/Tabla4[[#This Row],[Total]]</f>
        <v>#N/A</v>
      </c>
      <c r="P955" s="282">
        <f>++Tabla4[[#This Row],[Precio Descontado]]*Tabla4[[#This Row],[Cantidad]]</f>
        <v>16267.1638128</v>
      </c>
      <c r="Q955" s="282" t="e">
        <f>(INDEX(Tabla6[#All],MATCH(Tabla4[[#This Row],[Producto]],Tabla6[[#All],[PRODUCTO]],0),MATCH(Tabla4[[#This Row],[Mes]],Tabla6[#Headers],0)))</f>
        <v>#N/A</v>
      </c>
      <c r="R955" s="282" t="e">
        <f>++Tabla4[[#This Row],[Precio Unitario Neto]]-Tabla4[[#This Row],[20.85%]]-Tabla4[[#This Row],[Costo]]</f>
        <v>#N/A</v>
      </c>
      <c r="S955" s="282" t="e">
        <f>++Tabla4[[#This Row],[U. Bruta Uni]]*Tabla4[[#This Row],[Cantidad]]</f>
        <v>#N/A</v>
      </c>
      <c r="T955" s="369" t="str">
        <f>VLOOKUP(Tabla4[[#This Row],[Producto]],Tabla6[#All],14,FALSE)</f>
        <v>Termico Solar</v>
      </c>
      <c r="U955" s="284" t="e">
        <f>(IF(Tabla4[[#This Row],[Familia]]="termico solar",Tabla4[[#This Row],[Utilidad Total]]*6%,Tabla4[[#This Row],[Utilidad Total]]*11.5%))/Tabla4[[#This Row],[Total]]</f>
        <v>#N/A</v>
      </c>
      <c r="V955" s="282" t="e">
        <f>+Tabla4[[#This Row],[Comisión Calculada]]*Tabla4[[#This Row],[Total]]</f>
        <v>#N/A</v>
      </c>
    </row>
    <row r="956" spans="1:22" hidden="1" x14ac:dyDescent="0.25">
      <c r="A956" s="100">
        <v>45716</v>
      </c>
      <c r="B956" t="str">
        <f t="shared" si="37"/>
        <v>February</v>
      </c>
      <c r="C956" s="46" t="s">
        <v>280</v>
      </c>
      <c r="F956" s="366" t="s">
        <v>1124</v>
      </c>
      <c r="G956" s="46" t="s">
        <v>18</v>
      </c>
      <c r="H956" s="46">
        <v>4</v>
      </c>
      <c r="I956" s="51">
        <v>5367.65</v>
      </c>
      <c r="J956" s="281">
        <f>++Tabla4[[#This Row],[Precio Bruto]]*1.16</f>
        <v>6226.4739999999993</v>
      </c>
      <c r="K956" s="281">
        <f>+Tabla4[[#This Row],[Precio Unitario Neto]]*Tabla4[[#Headers],[20.85%]]</f>
        <v>1298.2198289999999</v>
      </c>
      <c r="L956" s="282">
        <f>++Tabla4[[#This Row],[Precio Unitario Neto]]-Tabla4[[#This Row],[20.85%]]</f>
        <v>4928.2541709999996</v>
      </c>
      <c r="M956" s="282" t="e">
        <f>(INDEX(Tabla6[#All],MATCH(Tabla4[[#This Row],[Producto]],Tabla6[[#All],[PRODUCTO]],0),MATCH(Tabla4[[#This Row],[Mes]],Tabla6[#Headers],0)))*(1+Catalogos!$L$2)</f>
        <v>#N/A</v>
      </c>
      <c r="N956" s="283" t="e">
        <f>+(Tabla4[[#This Row],[Precio Descontado]]-Tabla4[[#This Row],[Precio Base]])*Tabla4[[#This Row],[Cantidad]]</f>
        <v>#N/A</v>
      </c>
      <c r="O956" s="284" t="e">
        <f>++Tabla4[[#This Row],[Utilidad Total]]/Tabla4[[#This Row],[Total]]</f>
        <v>#N/A</v>
      </c>
      <c r="P956" s="282">
        <f>++Tabla4[[#This Row],[Precio Descontado]]*Tabla4[[#This Row],[Cantidad]]</f>
        <v>19713.016683999998</v>
      </c>
      <c r="Q956" s="282" t="e">
        <f>(INDEX(Tabla6[#All],MATCH(Tabla4[[#This Row],[Producto]],Tabla6[[#All],[PRODUCTO]],0),MATCH(Tabla4[[#This Row],[Mes]],Tabla6[#Headers],0)))</f>
        <v>#N/A</v>
      </c>
      <c r="R956" s="282" t="e">
        <f>++Tabla4[[#This Row],[Precio Unitario Neto]]-Tabla4[[#This Row],[20.85%]]-Tabla4[[#This Row],[Costo]]</f>
        <v>#N/A</v>
      </c>
      <c r="S956" s="282" t="e">
        <f>++Tabla4[[#This Row],[U. Bruta Uni]]*Tabla4[[#This Row],[Cantidad]]</f>
        <v>#N/A</v>
      </c>
      <c r="T956" s="369" t="str">
        <f>VLOOKUP(Tabla4[[#This Row],[Producto]],Tabla6[#All],14,FALSE)</f>
        <v>Termico Solar</v>
      </c>
      <c r="U956" s="284" t="e">
        <f>(IF(Tabla4[[#This Row],[Familia]]="termico solar",Tabla4[[#This Row],[Utilidad Total]]*6%,Tabla4[[#This Row],[Utilidad Total]]*11.5%))/Tabla4[[#This Row],[Total]]</f>
        <v>#N/A</v>
      </c>
      <c r="V956" s="282" t="e">
        <f>+Tabla4[[#This Row],[Comisión Calculada]]*Tabla4[[#This Row],[Total]]</f>
        <v>#N/A</v>
      </c>
    </row>
    <row r="957" spans="1:22" hidden="1" x14ac:dyDescent="0.25">
      <c r="A957" s="100">
        <v>45716</v>
      </c>
      <c r="B957" t="str">
        <f t="shared" si="37"/>
        <v>February</v>
      </c>
      <c r="C957" s="46" t="s">
        <v>280</v>
      </c>
      <c r="F957" s="366" t="s">
        <v>1124</v>
      </c>
      <c r="G957" s="46" t="s">
        <v>16</v>
      </c>
      <c r="H957" s="46">
        <v>2</v>
      </c>
      <c r="I957" s="51">
        <v>4103.8500000000004</v>
      </c>
      <c r="J957" s="281">
        <f>++Tabla4[[#This Row],[Precio Bruto]]*1.16</f>
        <v>4760.4660000000003</v>
      </c>
      <c r="K957" s="281">
        <f>+Tabla4[[#This Row],[Precio Unitario Neto]]*Tabla4[[#Headers],[20.85%]]</f>
        <v>992.55716100000006</v>
      </c>
      <c r="L957" s="282">
        <f>++Tabla4[[#This Row],[Precio Unitario Neto]]-Tabla4[[#This Row],[20.85%]]</f>
        <v>3767.9088390000002</v>
      </c>
      <c r="M957" s="282" t="e">
        <f>(INDEX(Tabla6[#All],MATCH(Tabla4[[#This Row],[Producto]],Tabla6[[#All],[PRODUCTO]],0),MATCH(Tabla4[[#This Row],[Mes]],Tabla6[#Headers],0)))*(1+Catalogos!$L$2)</f>
        <v>#N/A</v>
      </c>
      <c r="N957" s="283" t="e">
        <f>+(Tabla4[[#This Row],[Precio Descontado]]-Tabla4[[#This Row],[Precio Base]])*Tabla4[[#This Row],[Cantidad]]</f>
        <v>#N/A</v>
      </c>
      <c r="O957" s="284" t="e">
        <f>++Tabla4[[#This Row],[Utilidad Total]]/Tabla4[[#This Row],[Total]]</f>
        <v>#N/A</v>
      </c>
      <c r="P957" s="282">
        <f>++Tabla4[[#This Row],[Precio Descontado]]*Tabla4[[#This Row],[Cantidad]]</f>
        <v>7535.8176780000003</v>
      </c>
      <c r="Q957" s="282" t="e">
        <f>(INDEX(Tabla6[#All],MATCH(Tabla4[[#This Row],[Producto]],Tabla6[[#All],[PRODUCTO]],0),MATCH(Tabla4[[#This Row],[Mes]],Tabla6[#Headers],0)))</f>
        <v>#N/A</v>
      </c>
      <c r="R957" s="282" t="e">
        <f>++Tabla4[[#This Row],[Precio Unitario Neto]]-Tabla4[[#This Row],[20.85%]]-Tabla4[[#This Row],[Costo]]</f>
        <v>#N/A</v>
      </c>
      <c r="S957" s="282" t="e">
        <f>++Tabla4[[#This Row],[U. Bruta Uni]]*Tabla4[[#This Row],[Cantidad]]</f>
        <v>#N/A</v>
      </c>
      <c r="T957" s="369" t="str">
        <f>VLOOKUP(Tabla4[[#This Row],[Producto]],Tabla6[#All],14,FALSE)</f>
        <v>Termico Solar</v>
      </c>
      <c r="U957" s="284" t="e">
        <f>(IF(Tabla4[[#This Row],[Familia]]="termico solar",Tabla4[[#This Row],[Utilidad Total]]*6%,Tabla4[[#This Row],[Utilidad Total]]*11.5%))/Tabla4[[#This Row],[Total]]</f>
        <v>#N/A</v>
      </c>
      <c r="V957" s="282" t="e">
        <f>+Tabla4[[#This Row],[Comisión Calculada]]*Tabla4[[#This Row],[Total]]</f>
        <v>#N/A</v>
      </c>
    </row>
    <row r="958" spans="1:22" hidden="1" x14ac:dyDescent="0.25">
      <c r="A958" s="100">
        <v>45716</v>
      </c>
      <c r="B958" t="str">
        <f t="shared" si="37"/>
        <v>February</v>
      </c>
      <c r="C958" s="46" t="s">
        <v>280</v>
      </c>
      <c r="F958" s="366" t="s">
        <v>1125</v>
      </c>
      <c r="G958" s="46" t="s">
        <v>83</v>
      </c>
      <c r="H958" s="46">
        <v>2</v>
      </c>
      <c r="I958" s="51">
        <v>8858.76</v>
      </c>
      <c r="J958" s="281">
        <f>++Tabla4[[#This Row],[Precio Bruto]]*1.16</f>
        <v>10276.161599999999</v>
      </c>
      <c r="K958" s="281">
        <f>+Tabla4[[#This Row],[Precio Unitario Neto]]*Tabla4[[#Headers],[20.85%]]</f>
        <v>2142.5796935999997</v>
      </c>
      <c r="L958" s="282">
        <f>++Tabla4[[#This Row],[Precio Unitario Neto]]-Tabla4[[#This Row],[20.85%]]</f>
        <v>8133.5819063999998</v>
      </c>
      <c r="M958" s="282" t="e">
        <f>(INDEX(Tabla6[#All],MATCH(Tabla4[[#This Row],[Producto]],Tabla6[[#All],[PRODUCTO]],0),MATCH(Tabla4[[#This Row],[Mes]],Tabla6[#Headers],0)))*(1+Catalogos!$L$2)</f>
        <v>#N/A</v>
      </c>
      <c r="N958" s="283" t="e">
        <f>+(Tabla4[[#This Row],[Precio Descontado]]-Tabla4[[#This Row],[Precio Base]])*Tabla4[[#This Row],[Cantidad]]</f>
        <v>#N/A</v>
      </c>
      <c r="O958" s="284" t="e">
        <f>++Tabla4[[#This Row],[Utilidad Total]]/Tabla4[[#This Row],[Total]]</f>
        <v>#N/A</v>
      </c>
      <c r="P958" s="282">
        <f>++Tabla4[[#This Row],[Precio Descontado]]*Tabla4[[#This Row],[Cantidad]]</f>
        <v>16267.1638128</v>
      </c>
      <c r="Q958" s="282" t="e">
        <f>(INDEX(Tabla6[#All],MATCH(Tabla4[[#This Row],[Producto]],Tabla6[[#All],[PRODUCTO]],0),MATCH(Tabla4[[#This Row],[Mes]],Tabla6[#Headers],0)))</f>
        <v>#N/A</v>
      </c>
      <c r="R958" s="282" t="e">
        <f>++Tabla4[[#This Row],[Precio Unitario Neto]]-Tabla4[[#This Row],[20.85%]]-Tabla4[[#This Row],[Costo]]</f>
        <v>#N/A</v>
      </c>
      <c r="S958" s="282" t="e">
        <f>++Tabla4[[#This Row],[U. Bruta Uni]]*Tabla4[[#This Row],[Cantidad]]</f>
        <v>#N/A</v>
      </c>
      <c r="T958" s="369" t="str">
        <f>VLOOKUP(Tabla4[[#This Row],[Producto]],Tabla6[#All],14,FALSE)</f>
        <v>Termico Solar</v>
      </c>
      <c r="U958" s="284" t="e">
        <f>(IF(Tabla4[[#This Row],[Familia]]="termico solar",Tabla4[[#This Row],[Utilidad Total]]*6%,Tabla4[[#This Row],[Utilidad Total]]*11.5%))/Tabla4[[#This Row],[Total]]</f>
        <v>#N/A</v>
      </c>
      <c r="V958" s="282" t="e">
        <f>+Tabla4[[#This Row],[Comisión Calculada]]*Tabla4[[#This Row],[Total]]</f>
        <v>#N/A</v>
      </c>
    </row>
    <row r="959" spans="1:22" hidden="1" x14ac:dyDescent="0.25">
      <c r="A959" s="100">
        <v>45716</v>
      </c>
      <c r="B959" t="str">
        <f t="shared" si="37"/>
        <v>February</v>
      </c>
      <c r="C959" s="46" t="s">
        <v>280</v>
      </c>
      <c r="F959" s="366" t="s">
        <v>1125</v>
      </c>
      <c r="G959" s="46" t="s">
        <v>17</v>
      </c>
      <c r="H959" s="46">
        <v>3</v>
      </c>
      <c r="I959" s="51">
        <v>4622.28</v>
      </c>
      <c r="J959" s="281">
        <f>++Tabla4[[#This Row],[Precio Bruto]]*1.16</f>
        <v>5361.8447999999989</v>
      </c>
      <c r="K959" s="281">
        <f>+Tabla4[[#This Row],[Precio Unitario Neto]]*Tabla4[[#Headers],[20.85%]]</f>
        <v>1117.9446407999997</v>
      </c>
      <c r="L959" s="282">
        <f>++Tabla4[[#This Row],[Precio Unitario Neto]]-Tabla4[[#This Row],[20.85%]]</f>
        <v>4243.9001591999995</v>
      </c>
      <c r="M959" s="282" t="e">
        <f>(INDEX(Tabla6[#All],MATCH(Tabla4[[#This Row],[Producto]],Tabla6[[#All],[PRODUCTO]],0),MATCH(Tabla4[[#This Row],[Mes]],Tabla6[#Headers],0)))*(1+Catalogos!$L$2)</f>
        <v>#N/A</v>
      </c>
      <c r="N959" s="283" t="e">
        <f>+(Tabla4[[#This Row],[Precio Descontado]]-Tabla4[[#This Row],[Precio Base]])*Tabla4[[#This Row],[Cantidad]]</f>
        <v>#N/A</v>
      </c>
      <c r="O959" s="284" t="e">
        <f>++Tabla4[[#This Row],[Utilidad Total]]/Tabla4[[#This Row],[Total]]</f>
        <v>#N/A</v>
      </c>
      <c r="P959" s="282">
        <f>++Tabla4[[#This Row],[Precio Descontado]]*Tabla4[[#This Row],[Cantidad]]</f>
        <v>12731.700477599999</v>
      </c>
      <c r="Q959" s="282" t="e">
        <f>(INDEX(Tabla6[#All],MATCH(Tabla4[[#This Row],[Producto]],Tabla6[[#All],[PRODUCTO]],0),MATCH(Tabla4[[#This Row],[Mes]],Tabla6[#Headers],0)))</f>
        <v>#N/A</v>
      </c>
      <c r="R959" s="282" t="e">
        <f>++Tabla4[[#This Row],[Precio Unitario Neto]]-Tabla4[[#This Row],[20.85%]]-Tabla4[[#This Row],[Costo]]</f>
        <v>#N/A</v>
      </c>
      <c r="S959" s="282" t="e">
        <f>++Tabla4[[#This Row],[U. Bruta Uni]]*Tabla4[[#This Row],[Cantidad]]</f>
        <v>#N/A</v>
      </c>
      <c r="T959" s="369" t="str">
        <f>VLOOKUP(Tabla4[[#This Row],[Producto]],Tabla6[#All],14,FALSE)</f>
        <v>Termico Solar</v>
      </c>
      <c r="U959" s="284" t="e">
        <f>(IF(Tabla4[[#This Row],[Familia]]="termico solar",Tabla4[[#This Row],[Utilidad Total]]*6%,Tabla4[[#This Row],[Utilidad Total]]*11.5%))/Tabla4[[#This Row],[Total]]</f>
        <v>#N/A</v>
      </c>
      <c r="V959" s="282" t="e">
        <f>+Tabla4[[#This Row],[Comisión Calculada]]*Tabla4[[#This Row],[Total]]</f>
        <v>#N/A</v>
      </c>
    </row>
    <row r="960" spans="1:22" hidden="1" x14ac:dyDescent="0.25">
      <c r="A960" s="100">
        <v>45716</v>
      </c>
      <c r="B960" t="str">
        <f t="shared" si="37"/>
        <v>February</v>
      </c>
      <c r="C960" s="46" t="s">
        <v>280</v>
      </c>
      <c r="F960" s="366" t="s">
        <v>1125</v>
      </c>
      <c r="G960" s="46" t="s">
        <v>18</v>
      </c>
      <c r="H960" s="46">
        <v>2</v>
      </c>
      <c r="I960" s="51">
        <v>5367.65</v>
      </c>
      <c r="J960" s="281">
        <f>++Tabla4[[#This Row],[Precio Bruto]]*1.16</f>
        <v>6226.4739999999993</v>
      </c>
      <c r="K960" s="281">
        <f>+Tabla4[[#This Row],[Precio Unitario Neto]]*Tabla4[[#Headers],[20.85%]]</f>
        <v>1298.2198289999999</v>
      </c>
      <c r="L960" s="282">
        <f>++Tabla4[[#This Row],[Precio Unitario Neto]]-Tabla4[[#This Row],[20.85%]]</f>
        <v>4928.2541709999996</v>
      </c>
      <c r="M960" s="282" t="e">
        <f>(INDEX(Tabla6[#All],MATCH(Tabla4[[#This Row],[Producto]],Tabla6[[#All],[PRODUCTO]],0),MATCH(Tabla4[[#This Row],[Mes]],Tabla6[#Headers],0)))*(1+Catalogos!$L$2)</f>
        <v>#N/A</v>
      </c>
      <c r="N960" s="283" t="e">
        <f>+(Tabla4[[#This Row],[Precio Descontado]]-Tabla4[[#This Row],[Precio Base]])*Tabla4[[#This Row],[Cantidad]]</f>
        <v>#N/A</v>
      </c>
      <c r="O960" s="284" t="e">
        <f>++Tabla4[[#This Row],[Utilidad Total]]/Tabla4[[#This Row],[Total]]</f>
        <v>#N/A</v>
      </c>
      <c r="P960" s="282">
        <f>++Tabla4[[#This Row],[Precio Descontado]]*Tabla4[[#This Row],[Cantidad]]</f>
        <v>9856.5083419999992</v>
      </c>
      <c r="Q960" s="282" t="e">
        <f>(INDEX(Tabla6[#All],MATCH(Tabla4[[#This Row],[Producto]],Tabla6[[#All],[PRODUCTO]],0),MATCH(Tabla4[[#This Row],[Mes]],Tabla6[#Headers],0)))</f>
        <v>#N/A</v>
      </c>
      <c r="R960" s="282" t="e">
        <f>++Tabla4[[#This Row],[Precio Unitario Neto]]-Tabla4[[#This Row],[20.85%]]-Tabla4[[#This Row],[Costo]]</f>
        <v>#N/A</v>
      </c>
      <c r="S960" s="282" t="e">
        <f>++Tabla4[[#This Row],[U. Bruta Uni]]*Tabla4[[#This Row],[Cantidad]]</f>
        <v>#N/A</v>
      </c>
      <c r="T960" s="369" t="str">
        <f>VLOOKUP(Tabla4[[#This Row],[Producto]],Tabla6[#All],14,FALSE)</f>
        <v>Termico Solar</v>
      </c>
      <c r="U960" s="284" t="e">
        <f>(IF(Tabla4[[#This Row],[Familia]]="termico solar",Tabla4[[#This Row],[Utilidad Total]]*6%,Tabla4[[#This Row],[Utilidad Total]]*11.5%))/Tabla4[[#This Row],[Total]]</f>
        <v>#N/A</v>
      </c>
      <c r="V960" s="282" t="e">
        <f>+Tabla4[[#This Row],[Comisión Calculada]]*Tabla4[[#This Row],[Total]]</f>
        <v>#N/A</v>
      </c>
    </row>
    <row r="961" spans="1:22" hidden="1" x14ac:dyDescent="0.25">
      <c r="A961" s="100">
        <v>45716</v>
      </c>
      <c r="B961" t="str">
        <f t="shared" si="37"/>
        <v>February</v>
      </c>
      <c r="C961" s="46" t="s">
        <v>280</v>
      </c>
      <c r="F961" s="366" t="s">
        <v>1125</v>
      </c>
      <c r="G961" s="46" t="s">
        <v>16</v>
      </c>
      <c r="H961" s="46">
        <v>2</v>
      </c>
      <c r="I961" s="51">
        <v>4103.8500000000004</v>
      </c>
      <c r="J961" s="281">
        <f>++Tabla4[[#This Row],[Precio Bruto]]*1.16</f>
        <v>4760.4660000000003</v>
      </c>
      <c r="K961" s="281">
        <f>+Tabla4[[#This Row],[Precio Unitario Neto]]*Tabla4[[#Headers],[20.85%]]</f>
        <v>992.55716100000006</v>
      </c>
      <c r="L961" s="282">
        <f>++Tabla4[[#This Row],[Precio Unitario Neto]]-Tabla4[[#This Row],[20.85%]]</f>
        <v>3767.9088390000002</v>
      </c>
      <c r="M961" s="282" t="e">
        <f>(INDEX(Tabla6[#All],MATCH(Tabla4[[#This Row],[Producto]],Tabla6[[#All],[PRODUCTO]],0),MATCH(Tabla4[[#This Row],[Mes]],Tabla6[#Headers],0)))*(1+Catalogos!$L$2)</f>
        <v>#N/A</v>
      </c>
      <c r="N961" s="283" t="e">
        <f>+(Tabla4[[#This Row],[Precio Descontado]]-Tabla4[[#This Row],[Precio Base]])*Tabla4[[#This Row],[Cantidad]]</f>
        <v>#N/A</v>
      </c>
      <c r="O961" s="284" t="e">
        <f>++Tabla4[[#This Row],[Utilidad Total]]/Tabla4[[#This Row],[Total]]</f>
        <v>#N/A</v>
      </c>
      <c r="P961" s="282">
        <f>++Tabla4[[#This Row],[Precio Descontado]]*Tabla4[[#This Row],[Cantidad]]</f>
        <v>7535.8176780000003</v>
      </c>
      <c r="Q961" s="282" t="e">
        <f>(INDEX(Tabla6[#All],MATCH(Tabla4[[#This Row],[Producto]],Tabla6[[#All],[PRODUCTO]],0),MATCH(Tabla4[[#This Row],[Mes]],Tabla6[#Headers],0)))</f>
        <v>#N/A</v>
      </c>
      <c r="R961" s="282" t="e">
        <f>++Tabla4[[#This Row],[Precio Unitario Neto]]-Tabla4[[#This Row],[20.85%]]-Tabla4[[#This Row],[Costo]]</f>
        <v>#N/A</v>
      </c>
      <c r="S961" s="282" t="e">
        <f>++Tabla4[[#This Row],[U. Bruta Uni]]*Tabla4[[#This Row],[Cantidad]]</f>
        <v>#N/A</v>
      </c>
      <c r="T961" s="369" t="str">
        <f>VLOOKUP(Tabla4[[#This Row],[Producto]],Tabla6[#All],14,FALSE)</f>
        <v>Termico Solar</v>
      </c>
      <c r="U961" s="284" t="e">
        <f>(IF(Tabla4[[#This Row],[Familia]]="termico solar",Tabla4[[#This Row],[Utilidad Total]]*6%,Tabla4[[#This Row],[Utilidad Total]]*11.5%))/Tabla4[[#This Row],[Total]]</f>
        <v>#N/A</v>
      </c>
      <c r="V961" s="282" t="e">
        <f>+Tabla4[[#This Row],[Comisión Calculada]]*Tabla4[[#This Row],[Total]]</f>
        <v>#N/A</v>
      </c>
    </row>
    <row r="962" spans="1:22" hidden="1" x14ac:dyDescent="0.25">
      <c r="A962" s="100">
        <v>45716</v>
      </c>
      <c r="B962" t="str">
        <f t="shared" si="37"/>
        <v>February</v>
      </c>
      <c r="C962" s="46" t="s">
        <v>280</v>
      </c>
      <c r="F962" s="366" t="s">
        <v>1126</v>
      </c>
      <c r="G962" s="46" t="s">
        <v>18</v>
      </c>
      <c r="H962" s="46">
        <v>1</v>
      </c>
      <c r="I962" s="51">
        <v>5367.65</v>
      </c>
      <c r="J962" s="281">
        <f>++Tabla4[[#This Row],[Precio Bruto]]*1.16</f>
        <v>6226.4739999999993</v>
      </c>
      <c r="K962" s="281">
        <f>+Tabla4[[#This Row],[Precio Unitario Neto]]*Tabla4[[#Headers],[20.85%]]</f>
        <v>1298.2198289999999</v>
      </c>
      <c r="L962" s="282">
        <f>++Tabla4[[#This Row],[Precio Unitario Neto]]-Tabla4[[#This Row],[20.85%]]</f>
        <v>4928.2541709999996</v>
      </c>
      <c r="M962" s="282" t="e">
        <f>(INDEX(Tabla6[#All],MATCH(Tabla4[[#This Row],[Producto]],Tabla6[[#All],[PRODUCTO]],0),MATCH(Tabla4[[#This Row],[Mes]],Tabla6[#Headers],0)))*(1+Catalogos!$L$2)</f>
        <v>#N/A</v>
      </c>
      <c r="N962" s="283" t="e">
        <f>+(Tabla4[[#This Row],[Precio Descontado]]-Tabla4[[#This Row],[Precio Base]])*Tabla4[[#This Row],[Cantidad]]</f>
        <v>#N/A</v>
      </c>
      <c r="O962" s="284" t="e">
        <f>++Tabla4[[#This Row],[Utilidad Total]]/Tabla4[[#This Row],[Total]]</f>
        <v>#N/A</v>
      </c>
      <c r="P962" s="282">
        <f>++Tabla4[[#This Row],[Precio Descontado]]*Tabla4[[#This Row],[Cantidad]]</f>
        <v>4928.2541709999996</v>
      </c>
      <c r="Q962" s="282" t="e">
        <f>(INDEX(Tabla6[#All],MATCH(Tabla4[[#This Row],[Producto]],Tabla6[[#All],[PRODUCTO]],0),MATCH(Tabla4[[#This Row],[Mes]],Tabla6[#Headers],0)))</f>
        <v>#N/A</v>
      </c>
      <c r="R962" s="282" t="e">
        <f>++Tabla4[[#This Row],[Precio Unitario Neto]]-Tabla4[[#This Row],[20.85%]]-Tabla4[[#This Row],[Costo]]</f>
        <v>#N/A</v>
      </c>
      <c r="S962" s="282" t="e">
        <f>++Tabla4[[#This Row],[U. Bruta Uni]]*Tabla4[[#This Row],[Cantidad]]</f>
        <v>#N/A</v>
      </c>
      <c r="T962" s="369" t="str">
        <f>VLOOKUP(Tabla4[[#This Row],[Producto]],Tabla6[#All],14,FALSE)</f>
        <v>Termico Solar</v>
      </c>
      <c r="U962" s="284" t="e">
        <f>(IF(Tabla4[[#This Row],[Familia]]="termico solar",Tabla4[[#This Row],[Utilidad Total]]*6%,Tabla4[[#This Row],[Utilidad Total]]*11.5%))/Tabla4[[#This Row],[Total]]</f>
        <v>#N/A</v>
      </c>
      <c r="V962" s="282" t="e">
        <f>+Tabla4[[#This Row],[Comisión Calculada]]*Tabla4[[#This Row],[Total]]</f>
        <v>#N/A</v>
      </c>
    </row>
    <row r="963" spans="1:22" hidden="1" x14ac:dyDescent="0.25">
      <c r="A963" s="100">
        <v>45716</v>
      </c>
      <c r="B963" t="str">
        <f t="shared" si="37"/>
        <v>February</v>
      </c>
      <c r="C963" s="46" t="s">
        <v>280</v>
      </c>
      <c r="F963" s="366" t="s">
        <v>1127</v>
      </c>
      <c r="G963" s="46" t="s">
        <v>83</v>
      </c>
      <c r="H963" s="46">
        <v>1</v>
      </c>
      <c r="I963" s="51">
        <v>8858.76</v>
      </c>
      <c r="J963" s="281">
        <f>++Tabla4[[#This Row],[Precio Bruto]]*1.16</f>
        <v>10276.161599999999</v>
      </c>
      <c r="K963" s="281">
        <f>+Tabla4[[#This Row],[Precio Unitario Neto]]*Tabla4[[#Headers],[20.85%]]</f>
        <v>2142.5796935999997</v>
      </c>
      <c r="L963" s="282">
        <f>++Tabla4[[#This Row],[Precio Unitario Neto]]-Tabla4[[#This Row],[20.85%]]</f>
        <v>8133.5819063999998</v>
      </c>
      <c r="M963" s="282" t="e">
        <f>(INDEX(Tabla6[#All],MATCH(Tabla4[[#This Row],[Producto]],Tabla6[[#All],[PRODUCTO]],0),MATCH(Tabla4[[#This Row],[Mes]],Tabla6[#Headers],0)))*(1+Catalogos!$L$2)</f>
        <v>#N/A</v>
      </c>
      <c r="N963" s="283" t="e">
        <f>+(Tabla4[[#This Row],[Precio Descontado]]-Tabla4[[#This Row],[Precio Base]])*Tabla4[[#This Row],[Cantidad]]</f>
        <v>#N/A</v>
      </c>
      <c r="O963" s="284" t="e">
        <f>++Tabla4[[#This Row],[Utilidad Total]]/Tabla4[[#This Row],[Total]]</f>
        <v>#N/A</v>
      </c>
      <c r="P963" s="282">
        <f>++Tabla4[[#This Row],[Precio Descontado]]*Tabla4[[#This Row],[Cantidad]]</f>
        <v>8133.5819063999998</v>
      </c>
      <c r="Q963" s="282" t="e">
        <f>(INDEX(Tabla6[#All],MATCH(Tabla4[[#This Row],[Producto]],Tabla6[[#All],[PRODUCTO]],0),MATCH(Tabla4[[#This Row],[Mes]],Tabla6[#Headers],0)))</f>
        <v>#N/A</v>
      </c>
      <c r="R963" s="282" t="e">
        <f>++Tabla4[[#This Row],[Precio Unitario Neto]]-Tabla4[[#This Row],[20.85%]]-Tabla4[[#This Row],[Costo]]</f>
        <v>#N/A</v>
      </c>
      <c r="S963" s="282" t="e">
        <f>++Tabla4[[#This Row],[U. Bruta Uni]]*Tabla4[[#This Row],[Cantidad]]</f>
        <v>#N/A</v>
      </c>
      <c r="T963" s="369" t="str">
        <f>VLOOKUP(Tabla4[[#This Row],[Producto]],Tabla6[#All],14,FALSE)</f>
        <v>Termico Solar</v>
      </c>
      <c r="U963" s="284" t="e">
        <f>(IF(Tabla4[[#This Row],[Familia]]="termico solar",Tabla4[[#This Row],[Utilidad Total]]*6%,Tabla4[[#This Row],[Utilidad Total]]*11.5%))/Tabla4[[#This Row],[Total]]</f>
        <v>#N/A</v>
      </c>
      <c r="V963" s="282" t="e">
        <f>+Tabla4[[#This Row],[Comisión Calculada]]*Tabla4[[#This Row],[Total]]</f>
        <v>#N/A</v>
      </c>
    </row>
    <row r="964" spans="1:22" hidden="1" x14ac:dyDescent="0.25">
      <c r="A964" s="100">
        <v>45716</v>
      </c>
      <c r="B964" t="str">
        <f t="shared" si="37"/>
        <v>February</v>
      </c>
      <c r="C964" s="46" t="s">
        <v>280</v>
      </c>
      <c r="F964" s="366" t="s">
        <v>1127</v>
      </c>
      <c r="G964" s="46" t="s">
        <v>17</v>
      </c>
      <c r="H964" s="46">
        <v>3</v>
      </c>
      <c r="I964" s="51">
        <v>4622.28</v>
      </c>
      <c r="J964" s="281">
        <f>++Tabla4[[#This Row],[Precio Bruto]]*1.16</f>
        <v>5361.8447999999989</v>
      </c>
      <c r="K964" s="281">
        <f>+Tabla4[[#This Row],[Precio Unitario Neto]]*Tabla4[[#Headers],[20.85%]]</f>
        <v>1117.9446407999997</v>
      </c>
      <c r="L964" s="282">
        <f>++Tabla4[[#This Row],[Precio Unitario Neto]]-Tabla4[[#This Row],[20.85%]]</f>
        <v>4243.9001591999995</v>
      </c>
      <c r="M964" s="282" t="e">
        <f>(INDEX(Tabla6[#All],MATCH(Tabla4[[#This Row],[Producto]],Tabla6[[#All],[PRODUCTO]],0),MATCH(Tabla4[[#This Row],[Mes]],Tabla6[#Headers],0)))*(1+Catalogos!$L$2)</f>
        <v>#N/A</v>
      </c>
      <c r="N964" s="283" t="e">
        <f>+(Tabla4[[#This Row],[Precio Descontado]]-Tabla4[[#This Row],[Precio Base]])*Tabla4[[#This Row],[Cantidad]]</f>
        <v>#N/A</v>
      </c>
      <c r="O964" s="284" t="e">
        <f>++Tabla4[[#This Row],[Utilidad Total]]/Tabla4[[#This Row],[Total]]</f>
        <v>#N/A</v>
      </c>
      <c r="P964" s="282">
        <f>++Tabla4[[#This Row],[Precio Descontado]]*Tabla4[[#This Row],[Cantidad]]</f>
        <v>12731.700477599999</v>
      </c>
      <c r="Q964" s="282" t="e">
        <f>(INDEX(Tabla6[#All],MATCH(Tabla4[[#This Row],[Producto]],Tabla6[[#All],[PRODUCTO]],0),MATCH(Tabla4[[#This Row],[Mes]],Tabla6[#Headers],0)))</f>
        <v>#N/A</v>
      </c>
      <c r="R964" s="282" t="e">
        <f>++Tabla4[[#This Row],[Precio Unitario Neto]]-Tabla4[[#This Row],[20.85%]]-Tabla4[[#This Row],[Costo]]</f>
        <v>#N/A</v>
      </c>
      <c r="S964" s="282" t="e">
        <f>++Tabla4[[#This Row],[U. Bruta Uni]]*Tabla4[[#This Row],[Cantidad]]</f>
        <v>#N/A</v>
      </c>
      <c r="T964" s="369" t="str">
        <f>VLOOKUP(Tabla4[[#This Row],[Producto]],Tabla6[#All],14,FALSE)</f>
        <v>Termico Solar</v>
      </c>
      <c r="U964" s="284" t="e">
        <f>(IF(Tabla4[[#This Row],[Familia]]="termico solar",Tabla4[[#This Row],[Utilidad Total]]*6%,Tabla4[[#This Row],[Utilidad Total]]*11.5%))/Tabla4[[#This Row],[Total]]</f>
        <v>#N/A</v>
      </c>
      <c r="V964" s="282" t="e">
        <f>+Tabla4[[#This Row],[Comisión Calculada]]*Tabla4[[#This Row],[Total]]</f>
        <v>#N/A</v>
      </c>
    </row>
    <row r="965" spans="1:22" hidden="1" x14ac:dyDescent="0.25">
      <c r="A965" s="100">
        <v>45716</v>
      </c>
      <c r="B965" t="str">
        <f t="shared" si="37"/>
        <v>February</v>
      </c>
      <c r="C965" s="46" t="s">
        <v>280</v>
      </c>
      <c r="F965" s="366" t="s">
        <v>1128</v>
      </c>
      <c r="G965" s="46" t="s">
        <v>83</v>
      </c>
      <c r="H965" s="46">
        <v>1</v>
      </c>
      <c r="I965" s="51">
        <v>8858.76</v>
      </c>
      <c r="J965" s="281">
        <f>++Tabla4[[#This Row],[Precio Bruto]]*1.16</f>
        <v>10276.161599999999</v>
      </c>
      <c r="K965" s="281">
        <f>+Tabla4[[#This Row],[Precio Unitario Neto]]*Tabla4[[#Headers],[20.85%]]</f>
        <v>2142.5796935999997</v>
      </c>
      <c r="L965" s="282">
        <f>++Tabla4[[#This Row],[Precio Unitario Neto]]-Tabla4[[#This Row],[20.85%]]</f>
        <v>8133.5819063999998</v>
      </c>
      <c r="M965" s="282" t="e">
        <f>(INDEX(Tabla6[#All],MATCH(Tabla4[[#This Row],[Producto]],Tabla6[[#All],[PRODUCTO]],0),MATCH(Tabla4[[#This Row],[Mes]],Tabla6[#Headers],0)))*(1+Catalogos!$L$2)</f>
        <v>#N/A</v>
      </c>
      <c r="N965" s="283" t="e">
        <f>+(Tabla4[[#This Row],[Precio Descontado]]-Tabla4[[#This Row],[Precio Base]])*Tabla4[[#This Row],[Cantidad]]</f>
        <v>#N/A</v>
      </c>
      <c r="O965" s="284" t="e">
        <f>++Tabla4[[#This Row],[Utilidad Total]]/Tabla4[[#This Row],[Total]]</f>
        <v>#N/A</v>
      </c>
      <c r="P965" s="282">
        <f>++Tabla4[[#This Row],[Precio Descontado]]*Tabla4[[#This Row],[Cantidad]]</f>
        <v>8133.5819063999998</v>
      </c>
      <c r="Q965" s="282" t="e">
        <f>(INDEX(Tabla6[#All],MATCH(Tabla4[[#This Row],[Producto]],Tabla6[[#All],[PRODUCTO]],0),MATCH(Tabla4[[#This Row],[Mes]],Tabla6[#Headers],0)))</f>
        <v>#N/A</v>
      </c>
      <c r="R965" s="282" t="e">
        <f>++Tabla4[[#This Row],[Precio Unitario Neto]]-Tabla4[[#This Row],[20.85%]]-Tabla4[[#This Row],[Costo]]</f>
        <v>#N/A</v>
      </c>
      <c r="S965" s="282" t="e">
        <f>++Tabla4[[#This Row],[U. Bruta Uni]]*Tabla4[[#This Row],[Cantidad]]</f>
        <v>#N/A</v>
      </c>
      <c r="T965" s="369" t="str">
        <f>VLOOKUP(Tabla4[[#This Row],[Producto]],Tabla6[#All],14,FALSE)</f>
        <v>Termico Solar</v>
      </c>
      <c r="U965" s="284" t="e">
        <f>(IF(Tabla4[[#This Row],[Familia]]="termico solar",Tabla4[[#This Row],[Utilidad Total]]*6%,Tabla4[[#This Row],[Utilidad Total]]*11.5%))/Tabla4[[#This Row],[Total]]</f>
        <v>#N/A</v>
      </c>
      <c r="V965" s="282" t="e">
        <f>+Tabla4[[#This Row],[Comisión Calculada]]*Tabla4[[#This Row],[Total]]</f>
        <v>#N/A</v>
      </c>
    </row>
    <row r="966" spans="1:22" hidden="1" x14ac:dyDescent="0.25">
      <c r="A966" s="100">
        <v>45716</v>
      </c>
      <c r="B966" t="str">
        <f t="shared" si="37"/>
        <v>February</v>
      </c>
      <c r="C966" s="46" t="s">
        <v>280</v>
      </c>
      <c r="F966" s="366" t="s">
        <v>1128</v>
      </c>
      <c r="G966" s="46" t="s">
        <v>17</v>
      </c>
      <c r="H966" s="46">
        <v>4</v>
      </c>
      <c r="I966" s="51">
        <v>4622.28</v>
      </c>
      <c r="J966" s="281">
        <f>++Tabla4[[#This Row],[Precio Bruto]]*1.16</f>
        <v>5361.8447999999989</v>
      </c>
      <c r="K966" s="281">
        <f>+Tabla4[[#This Row],[Precio Unitario Neto]]*Tabla4[[#Headers],[20.85%]]</f>
        <v>1117.9446407999997</v>
      </c>
      <c r="L966" s="282">
        <f>++Tabla4[[#This Row],[Precio Unitario Neto]]-Tabla4[[#This Row],[20.85%]]</f>
        <v>4243.9001591999995</v>
      </c>
      <c r="M966" s="282" t="e">
        <f>(INDEX(Tabla6[#All],MATCH(Tabla4[[#This Row],[Producto]],Tabla6[[#All],[PRODUCTO]],0),MATCH(Tabla4[[#This Row],[Mes]],Tabla6[#Headers],0)))*(1+Catalogos!$L$2)</f>
        <v>#N/A</v>
      </c>
      <c r="N966" s="283" t="e">
        <f>+(Tabla4[[#This Row],[Precio Descontado]]-Tabla4[[#This Row],[Precio Base]])*Tabla4[[#This Row],[Cantidad]]</f>
        <v>#N/A</v>
      </c>
      <c r="O966" s="284" t="e">
        <f>++Tabla4[[#This Row],[Utilidad Total]]/Tabla4[[#This Row],[Total]]</f>
        <v>#N/A</v>
      </c>
      <c r="P966" s="282">
        <f>++Tabla4[[#This Row],[Precio Descontado]]*Tabla4[[#This Row],[Cantidad]]</f>
        <v>16975.600636799998</v>
      </c>
      <c r="Q966" s="282" t="e">
        <f>(INDEX(Tabla6[#All],MATCH(Tabla4[[#This Row],[Producto]],Tabla6[[#All],[PRODUCTO]],0),MATCH(Tabla4[[#This Row],[Mes]],Tabla6[#Headers],0)))</f>
        <v>#N/A</v>
      </c>
      <c r="R966" s="282" t="e">
        <f>++Tabla4[[#This Row],[Precio Unitario Neto]]-Tabla4[[#This Row],[20.85%]]-Tabla4[[#This Row],[Costo]]</f>
        <v>#N/A</v>
      </c>
      <c r="S966" s="282" t="e">
        <f>++Tabla4[[#This Row],[U. Bruta Uni]]*Tabla4[[#This Row],[Cantidad]]</f>
        <v>#N/A</v>
      </c>
      <c r="T966" s="369" t="str">
        <f>VLOOKUP(Tabla4[[#This Row],[Producto]],Tabla6[#All],14,FALSE)</f>
        <v>Termico Solar</v>
      </c>
      <c r="U966" s="284" t="e">
        <f>(IF(Tabla4[[#This Row],[Familia]]="termico solar",Tabla4[[#This Row],[Utilidad Total]]*6%,Tabla4[[#This Row],[Utilidad Total]]*11.5%))/Tabla4[[#This Row],[Total]]</f>
        <v>#N/A</v>
      </c>
      <c r="V966" s="282" t="e">
        <f>+Tabla4[[#This Row],[Comisión Calculada]]*Tabla4[[#This Row],[Total]]</f>
        <v>#N/A</v>
      </c>
    </row>
    <row r="967" spans="1:22" hidden="1" x14ac:dyDescent="0.25">
      <c r="A967" s="100">
        <v>45716</v>
      </c>
      <c r="B967" t="str">
        <f t="shared" si="37"/>
        <v>February</v>
      </c>
      <c r="C967" s="46" t="s">
        <v>280</v>
      </c>
      <c r="F967" s="366" t="s">
        <v>1128</v>
      </c>
      <c r="G967" s="46" t="s">
        <v>18</v>
      </c>
      <c r="H967" s="46">
        <v>3</v>
      </c>
      <c r="I967" s="51">
        <v>5367.6500000000005</v>
      </c>
      <c r="J967" s="281">
        <f>++Tabla4[[#This Row],[Precio Bruto]]*1.16</f>
        <v>6226.4740000000002</v>
      </c>
      <c r="K967" s="281">
        <f>+Tabla4[[#This Row],[Precio Unitario Neto]]*Tabla4[[#Headers],[20.85%]]</f>
        <v>1298.2198289999999</v>
      </c>
      <c r="L967" s="282">
        <f>++Tabla4[[#This Row],[Precio Unitario Neto]]-Tabla4[[#This Row],[20.85%]]</f>
        <v>4928.2541710000005</v>
      </c>
      <c r="M967" s="282" t="e">
        <f>(INDEX(Tabla6[#All],MATCH(Tabla4[[#This Row],[Producto]],Tabla6[[#All],[PRODUCTO]],0),MATCH(Tabla4[[#This Row],[Mes]],Tabla6[#Headers],0)))*(1+Catalogos!$L$2)</f>
        <v>#N/A</v>
      </c>
      <c r="N967" s="283" t="e">
        <f>+(Tabla4[[#This Row],[Precio Descontado]]-Tabla4[[#This Row],[Precio Base]])*Tabla4[[#This Row],[Cantidad]]</f>
        <v>#N/A</v>
      </c>
      <c r="O967" s="284" t="e">
        <f>++Tabla4[[#This Row],[Utilidad Total]]/Tabla4[[#This Row],[Total]]</f>
        <v>#N/A</v>
      </c>
      <c r="P967" s="282">
        <f>++Tabla4[[#This Row],[Precio Descontado]]*Tabla4[[#This Row],[Cantidad]]</f>
        <v>14784.762513000001</v>
      </c>
      <c r="Q967" s="282" t="e">
        <f>(INDEX(Tabla6[#All],MATCH(Tabla4[[#This Row],[Producto]],Tabla6[[#All],[PRODUCTO]],0),MATCH(Tabla4[[#This Row],[Mes]],Tabla6[#Headers],0)))</f>
        <v>#N/A</v>
      </c>
      <c r="R967" s="282" t="e">
        <f>++Tabla4[[#This Row],[Precio Unitario Neto]]-Tabla4[[#This Row],[20.85%]]-Tabla4[[#This Row],[Costo]]</f>
        <v>#N/A</v>
      </c>
      <c r="S967" s="282" t="e">
        <f>++Tabla4[[#This Row],[U. Bruta Uni]]*Tabla4[[#This Row],[Cantidad]]</f>
        <v>#N/A</v>
      </c>
      <c r="T967" s="369" t="str">
        <f>VLOOKUP(Tabla4[[#This Row],[Producto]],Tabla6[#All],14,FALSE)</f>
        <v>Termico Solar</v>
      </c>
      <c r="U967" s="284" t="e">
        <f>(IF(Tabla4[[#This Row],[Familia]]="termico solar",Tabla4[[#This Row],[Utilidad Total]]*6%,Tabla4[[#This Row],[Utilidad Total]]*11.5%))/Tabla4[[#This Row],[Total]]</f>
        <v>#N/A</v>
      </c>
      <c r="V967" s="282" t="e">
        <f>+Tabla4[[#This Row],[Comisión Calculada]]*Tabla4[[#This Row],[Total]]</f>
        <v>#N/A</v>
      </c>
    </row>
    <row r="968" spans="1:22" hidden="1" x14ac:dyDescent="0.25">
      <c r="A968" s="100">
        <v>45716</v>
      </c>
      <c r="B968" t="str">
        <f t="shared" si="37"/>
        <v>February</v>
      </c>
      <c r="C968" s="46" t="s">
        <v>280</v>
      </c>
      <c r="F968" s="366" t="s">
        <v>1128</v>
      </c>
      <c r="G968" s="46" t="s">
        <v>16</v>
      </c>
      <c r="H968" s="46">
        <v>2</v>
      </c>
      <c r="I968" s="51">
        <v>4103.8500000000004</v>
      </c>
      <c r="J968" s="281">
        <f>++Tabla4[[#This Row],[Precio Bruto]]*1.16</f>
        <v>4760.4660000000003</v>
      </c>
      <c r="K968" s="281">
        <f>+Tabla4[[#This Row],[Precio Unitario Neto]]*Tabla4[[#Headers],[20.85%]]</f>
        <v>992.55716100000006</v>
      </c>
      <c r="L968" s="282">
        <f>++Tabla4[[#This Row],[Precio Unitario Neto]]-Tabla4[[#This Row],[20.85%]]</f>
        <v>3767.9088390000002</v>
      </c>
      <c r="M968" s="282" t="e">
        <f>(INDEX(Tabla6[#All],MATCH(Tabla4[[#This Row],[Producto]],Tabla6[[#All],[PRODUCTO]],0),MATCH(Tabla4[[#This Row],[Mes]],Tabla6[#Headers],0)))*(1+Catalogos!$L$2)</f>
        <v>#N/A</v>
      </c>
      <c r="N968" s="283" t="e">
        <f>+(Tabla4[[#This Row],[Precio Descontado]]-Tabla4[[#This Row],[Precio Base]])*Tabla4[[#This Row],[Cantidad]]</f>
        <v>#N/A</v>
      </c>
      <c r="O968" s="284" t="e">
        <f>++Tabla4[[#This Row],[Utilidad Total]]/Tabla4[[#This Row],[Total]]</f>
        <v>#N/A</v>
      </c>
      <c r="P968" s="282">
        <f>++Tabla4[[#This Row],[Precio Descontado]]*Tabla4[[#This Row],[Cantidad]]</f>
        <v>7535.8176780000003</v>
      </c>
      <c r="Q968" s="282" t="e">
        <f>(INDEX(Tabla6[#All],MATCH(Tabla4[[#This Row],[Producto]],Tabla6[[#All],[PRODUCTO]],0),MATCH(Tabla4[[#This Row],[Mes]],Tabla6[#Headers],0)))</f>
        <v>#N/A</v>
      </c>
      <c r="R968" s="282" t="e">
        <f>++Tabla4[[#This Row],[Precio Unitario Neto]]-Tabla4[[#This Row],[20.85%]]-Tabla4[[#This Row],[Costo]]</f>
        <v>#N/A</v>
      </c>
      <c r="S968" s="282" t="e">
        <f>++Tabla4[[#This Row],[U. Bruta Uni]]*Tabla4[[#This Row],[Cantidad]]</f>
        <v>#N/A</v>
      </c>
      <c r="T968" s="369" t="str">
        <f>VLOOKUP(Tabla4[[#This Row],[Producto]],Tabla6[#All],14,FALSE)</f>
        <v>Termico Solar</v>
      </c>
      <c r="U968" s="284" t="e">
        <f>(IF(Tabla4[[#This Row],[Familia]]="termico solar",Tabla4[[#This Row],[Utilidad Total]]*6%,Tabla4[[#This Row],[Utilidad Total]]*11.5%))/Tabla4[[#This Row],[Total]]</f>
        <v>#N/A</v>
      </c>
      <c r="V968" s="282" t="e">
        <f>+Tabla4[[#This Row],[Comisión Calculada]]*Tabla4[[#This Row],[Total]]</f>
        <v>#N/A</v>
      </c>
    </row>
    <row r="969" spans="1:22" hidden="1" x14ac:dyDescent="0.25">
      <c r="A969" s="100">
        <v>45716</v>
      </c>
      <c r="B969" t="str">
        <f t="shared" si="37"/>
        <v>February</v>
      </c>
      <c r="C969" s="46" t="s">
        <v>280</v>
      </c>
      <c r="F969" s="366" t="s">
        <v>1128</v>
      </c>
      <c r="G969" s="46" t="s">
        <v>599</v>
      </c>
      <c r="H969" s="46">
        <v>1</v>
      </c>
      <c r="I969" s="51">
        <v>189.75</v>
      </c>
      <c r="J969" s="281">
        <f>++Tabla4[[#This Row],[Precio Bruto]]*1.16</f>
        <v>220.10999999999999</v>
      </c>
      <c r="K969" s="281">
        <f>+Tabla4[[#This Row],[Precio Unitario Neto]]*Tabla4[[#Headers],[20.85%]]</f>
        <v>45.892934999999994</v>
      </c>
      <c r="L969" s="282">
        <f>++Tabla4[[#This Row],[Precio Unitario Neto]]-Tabla4[[#This Row],[20.85%]]</f>
        <v>174.21706499999999</v>
      </c>
      <c r="M969" s="282" t="e">
        <f>(INDEX(Tabla6[#All],MATCH(Tabla4[[#This Row],[Producto]],Tabla6[[#All],[PRODUCTO]],0),MATCH(Tabla4[[#This Row],[Mes]],Tabla6[#Headers],0)))*(1+Catalogos!$L$2)</f>
        <v>#N/A</v>
      </c>
      <c r="N969" s="283" t="e">
        <f>+(Tabla4[[#This Row],[Precio Descontado]]-Tabla4[[#This Row],[Precio Base]])*Tabla4[[#This Row],[Cantidad]]</f>
        <v>#N/A</v>
      </c>
      <c r="O969" s="284" t="e">
        <f>++Tabla4[[#This Row],[Utilidad Total]]/Tabla4[[#This Row],[Total]]</f>
        <v>#N/A</v>
      </c>
      <c r="P969" s="282">
        <f>++Tabla4[[#This Row],[Precio Descontado]]*Tabla4[[#This Row],[Cantidad]]</f>
        <v>174.21706499999999</v>
      </c>
      <c r="Q969" s="282" t="e">
        <f>(INDEX(Tabla6[#All],MATCH(Tabla4[[#This Row],[Producto]],Tabla6[[#All],[PRODUCTO]],0),MATCH(Tabla4[[#This Row],[Mes]],Tabla6[#Headers],0)))</f>
        <v>#N/A</v>
      </c>
      <c r="R969" s="282" t="e">
        <f>++Tabla4[[#This Row],[Precio Unitario Neto]]-Tabla4[[#This Row],[20.85%]]-Tabla4[[#This Row],[Costo]]</f>
        <v>#N/A</v>
      </c>
      <c r="S969" s="282" t="e">
        <f>++Tabla4[[#This Row],[U. Bruta Uni]]*Tabla4[[#This Row],[Cantidad]]</f>
        <v>#N/A</v>
      </c>
      <c r="T969" s="369" t="str">
        <f>VLOOKUP(Tabla4[[#This Row],[Producto]],Tabla6[#All],14,FALSE)</f>
        <v>Termico Solar</v>
      </c>
      <c r="U969" s="284" t="e">
        <f>(IF(Tabla4[[#This Row],[Familia]]="termico solar",Tabla4[[#This Row],[Utilidad Total]]*6%,Tabla4[[#This Row],[Utilidad Total]]*11.5%))/Tabla4[[#This Row],[Total]]</f>
        <v>#N/A</v>
      </c>
      <c r="V969" s="282" t="e">
        <f>+Tabla4[[#This Row],[Comisión Calculada]]*Tabla4[[#This Row],[Total]]</f>
        <v>#N/A</v>
      </c>
    </row>
    <row r="970" spans="1:22" hidden="1" x14ac:dyDescent="0.25">
      <c r="A970" s="100">
        <v>45716</v>
      </c>
      <c r="B970" t="str">
        <f t="shared" si="37"/>
        <v>February</v>
      </c>
      <c r="C970" s="46" t="s">
        <v>280</v>
      </c>
      <c r="F970" s="366" t="s">
        <v>1129</v>
      </c>
      <c r="G970" s="46" t="s">
        <v>17</v>
      </c>
      <c r="H970" s="46">
        <v>4</v>
      </c>
      <c r="I970" s="51">
        <v>4622.28</v>
      </c>
      <c r="J970" s="281">
        <f>++Tabla4[[#This Row],[Precio Bruto]]*1.16</f>
        <v>5361.8447999999989</v>
      </c>
      <c r="K970" s="281">
        <f>+Tabla4[[#This Row],[Precio Unitario Neto]]*Tabla4[[#Headers],[20.85%]]</f>
        <v>1117.9446407999997</v>
      </c>
      <c r="L970" s="282">
        <f>++Tabla4[[#This Row],[Precio Unitario Neto]]-Tabla4[[#This Row],[20.85%]]</f>
        <v>4243.9001591999995</v>
      </c>
      <c r="M970" s="282" t="e">
        <f>(INDEX(Tabla6[#All],MATCH(Tabla4[[#This Row],[Producto]],Tabla6[[#All],[PRODUCTO]],0),MATCH(Tabla4[[#This Row],[Mes]],Tabla6[#Headers],0)))*(1+Catalogos!$L$2)</f>
        <v>#N/A</v>
      </c>
      <c r="N970" s="283" t="e">
        <f>+(Tabla4[[#This Row],[Precio Descontado]]-Tabla4[[#This Row],[Precio Base]])*Tabla4[[#This Row],[Cantidad]]</f>
        <v>#N/A</v>
      </c>
      <c r="O970" s="284" t="e">
        <f>++Tabla4[[#This Row],[Utilidad Total]]/Tabla4[[#This Row],[Total]]</f>
        <v>#N/A</v>
      </c>
      <c r="P970" s="282">
        <f>++Tabla4[[#This Row],[Precio Descontado]]*Tabla4[[#This Row],[Cantidad]]</f>
        <v>16975.600636799998</v>
      </c>
      <c r="Q970" s="282" t="e">
        <f>(INDEX(Tabla6[#All],MATCH(Tabla4[[#This Row],[Producto]],Tabla6[[#All],[PRODUCTO]],0),MATCH(Tabla4[[#This Row],[Mes]],Tabla6[#Headers],0)))</f>
        <v>#N/A</v>
      </c>
      <c r="R970" s="282" t="e">
        <f>++Tabla4[[#This Row],[Precio Unitario Neto]]-Tabla4[[#This Row],[20.85%]]-Tabla4[[#This Row],[Costo]]</f>
        <v>#N/A</v>
      </c>
      <c r="S970" s="282" t="e">
        <f>++Tabla4[[#This Row],[U. Bruta Uni]]*Tabla4[[#This Row],[Cantidad]]</f>
        <v>#N/A</v>
      </c>
      <c r="T970" s="369" t="str">
        <f>VLOOKUP(Tabla4[[#This Row],[Producto]],Tabla6[#All],14,FALSE)</f>
        <v>Termico Solar</v>
      </c>
      <c r="U970" s="284" t="e">
        <f>(IF(Tabla4[[#This Row],[Familia]]="termico solar",Tabla4[[#This Row],[Utilidad Total]]*6%,Tabla4[[#This Row],[Utilidad Total]]*11.5%))/Tabla4[[#This Row],[Total]]</f>
        <v>#N/A</v>
      </c>
      <c r="V970" s="282" t="e">
        <f>+Tabla4[[#This Row],[Comisión Calculada]]*Tabla4[[#This Row],[Total]]</f>
        <v>#N/A</v>
      </c>
    </row>
    <row r="971" spans="1:22" hidden="1" x14ac:dyDescent="0.25">
      <c r="A971" s="100">
        <v>45716</v>
      </c>
      <c r="B971" t="str">
        <f t="shared" si="37"/>
        <v>February</v>
      </c>
      <c r="C971" s="46" t="s">
        <v>280</v>
      </c>
      <c r="F971" s="366" t="s">
        <v>1129</v>
      </c>
      <c r="G971" s="46" t="s">
        <v>18</v>
      </c>
      <c r="H971" s="46">
        <v>3</v>
      </c>
      <c r="I971" s="51">
        <v>5367.6500000000005</v>
      </c>
      <c r="J971" s="281">
        <f>++Tabla4[[#This Row],[Precio Bruto]]*1.16</f>
        <v>6226.4740000000002</v>
      </c>
      <c r="K971" s="281">
        <f>+Tabla4[[#This Row],[Precio Unitario Neto]]*Tabla4[[#Headers],[20.85%]]</f>
        <v>1298.2198289999999</v>
      </c>
      <c r="L971" s="282">
        <f>++Tabla4[[#This Row],[Precio Unitario Neto]]-Tabla4[[#This Row],[20.85%]]</f>
        <v>4928.2541710000005</v>
      </c>
      <c r="M971" s="282" t="e">
        <f>(INDEX(Tabla6[#All],MATCH(Tabla4[[#This Row],[Producto]],Tabla6[[#All],[PRODUCTO]],0),MATCH(Tabla4[[#This Row],[Mes]],Tabla6[#Headers],0)))*(1+Catalogos!$L$2)</f>
        <v>#N/A</v>
      </c>
      <c r="N971" s="283" t="e">
        <f>+(Tabla4[[#This Row],[Precio Descontado]]-Tabla4[[#This Row],[Precio Base]])*Tabla4[[#This Row],[Cantidad]]</f>
        <v>#N/A</v>
      </c>
      <c r="O971" s="284" t="e">
        <f>++Tabla4[[#This Row],[Utilidad Total]]/Tabla4[[#This Row],[Total]]</f>
        <v>#N/A</v>
      </c>
      <c r="P971" s="282">
        <f>++Tabla4[[#This Row],[Precio Descontado]]*Tabla4[[#This Row],[Cantidad]]</f>
        <v>14784.762513000001</v>
      </c>
      <c r="Q971" s="282" t="e">
        <f>(INDEX(Tabla6[#All],MATCH(Tabla4[[#This Row],[Producto]],Tabla6[[#All],[PRODUCTO]],0),MATCH(Tabla4[[#This Row],[Mes]],Tabla6[#Headers],0)))</f>
        <v>#N/A</v>
      </c>
      <c r="R971" s="282" t="e">
        <f>++Tabla4[[#This Row],[Precio Unitario Neto]]-Tabla4[[#This Row],[20.85%]]-Tabla4[[#This Row],[Costo]]</f>
        <v>#N/A</v>
      </c>
      <c r="S971" s="282" t="e">
        <f>++Tabla4[[#This Row],[U. Bruta Uni]]*Tabla4[[#This Row],[Cantidad]]</f>
        <v>#N/A</v>
      </c>
      <c r="T971" s="369" t="str">
        <f>VLOOKUP(Tabla4[[#This Row],[Producto]],Tabla6[#All],14,FALSE)</f>
        <v>Termico Solar</v>
      </c>
      <c r="U971" s="284" t="e">
        <f>(IF(Tabla4[[#This Row],[Familia]]="termico solar",Tabla4[[#This Row],[Utilidad Total]]*6%,Tabla4[[#This Row],[Utilidad Total]]*11.5%))/Tabla4[[#This Row],[Total]]</f>
        <v>#N/A</v>
      </c>
      <c r="V971" s="282" t="e">
        <f>+Tabla4[[#This Row],[Comisión Calculada]]*Tabla4[[#This Row],[Total]]</f>
        <v>#N/A</v>
      </c>
    </row>
    <row r="972" spans="1:22" hidden="1" x14ac:dyDescent="0.25">
      <c r="A972" s="100">
        <v>45716</v>
      </c>
      <c r="B972" t="str">
        <f t="shared" si="37"/>
        <v>February</v>
      </c>
      <c r="C972" s="46" t="s">
        <v>280</v>
      </c>
      <c r="F972" s="366" t="s">
        <v>1130</v>
      </c>
      <c r="G972" s="46" t="s">
        <v>83</v>
      </c>
      <c r="H972" s="46">
        <v>1</v>
      </c>
      <c r="I972" s="51">
        <v>8858.76</v>
      </c>
      <c r="J972" s="281">
        <f>++Tabla4[[#This Row],[Precio Bruto]]*1.16</f>
        <v>10276.161599999999</v>
      </c>
      <c r="K972" s="281">
        <f>+Tabla4[[#This Row],[Precio Unitario Neto]]*Tabla4[[#Headers],[20.85%]]</f>
        <v>2142.5796935999997</v>
      </c>
      <c r="L972" s="282">
        <f>++Tabla4[[#This Row],[Precio Unitario Neto]]-Tabla4[[#This Row],[20.85%]]</f>
        <v>8133.5819063999998</v>
      </c>
      <c r="M972" s="282" t="e">
        <f>(INDEX(Tabla6[#All],MATCH(Tabla4[[#This Row],[Producto]],Tabla6[[#All],[PRODUCTO]],0),MATCH(Tabla4[[#This Row],[Mes]],Tabla6[#Headers],0)))*(1+Catalogos!$L$2)</f>
        <v>#N/A</v>
      </c>
      <c r="N972" s="283" t="e">
        <f>+(Tabla4[[#This Row],[Precio Descontado]]-Tabla4[[#This Row],[Precio Base]])*Tabla4[[#This Row],[Cantidad]]</f>
        <v>#N/A</v>
      </c>
      <c r="O972" s="284" t="e">
        <f>++Tabla4[[#This Row],[Utilidad Total]]/Tabla4[[#This Row],[Total]]</f>
        <v>#N/A</v>
      </c>
      <c r="P972" s="282">
        <f>++Tabla4[[#This Row],[Precio Descontado]]*Tabla4[[#This Row],[Cantidad]]</f>
        <v>8133.5819063999998</v>
      </c>
      <c r="Q972" s="282" t="e">
        <f>(INDEX(Tabla6[#All],MATCH(Tabla4[[#This Row],[Producto]],Tabla6[[#All],[PRODUCTO]],0),MATCH(Tabla4[[#This Row],[Mes]],Tabla6[#Headers],0)))</f>
        <v>#N/A</v>
      </c>
      <c r="R972" s="282" t="e">
        <f>++Tabla4[[#This Row],[Precio Unitario Neto]]-Tabla4[[#This Row],[20.85%]]-Tabla4[[#This Row],[Costo]]</f>
        <v>#N/A</v>
      </c>
      <c r="S972" s="282" t="e">
        <f>++Tabla4[[#This Row],[U. Bruta Uni]]*Tabla4[[#This Row],[Cantidad]]</f>
        <v>#N/A</v>
      </c>
      <c r="T972" s="369" t="str">
        <f>VLOOKUP(Tabla4[[#This Row],[Producto]],Tabla6[#All],14,FALSE)</f>
        <v>Termico Solar</v>
      </c>
      <c r="U972" s="284" t="e">
        <f>(IF(Tabla4[[#This Row],[Familia]]="termico solar",Tabla4[[#This Row],[Utilidad Total]]*6%,Tabla4[[#This Row],[Utilidad Total]]*11.5%))/Tabla4[[#This Row],[Total]]</f>
        <v>#N/A</v>
      </c>
      <c r="V972" s="282" t="e">
        <f>+Tabla4[[#This Row],[Comisión Calculada]]*Tabla4[[#This Row],[Total]]</f>
        <v>#N/A</v>
      </c>
    </row>
    <row r="973" spans="1:22" hidden="1" x14ac:dyDescent="0.25">
      <c r="A973" s="100">
        <v>45716</v>
      </c>
      <c r="B973" t="str">
        <f t="shared" si="37"/>
        <v>February</v>
      </c>
      <c r="C973" s="46" t="s">
        <v>280</v>
      </c>
      <c r="F973" s="366" t="s">
        <v>1130</v>
      </c>
      <c r="G973" s="46" t="s">
        <v>17</v>
      </c>
      <c r="H973" s="46">
        <v>1</v>
      </c>
      <c r="I973" s="51">
        <v>4622.28</v>
      </c>
      <c r="J973" s="281">
        <f>++Tabla4[[#This Row],[Precio Bruto]]*1.16</f>
        <v>5361.8447999999989</v>
      </c>
      <c r="K973" s="281">
        <f>+Tabla4[[#This Row],[Precio Unitario Neto]]*Tabla4[[#Headers],[20.85%]]</f>
        <v>1117.9446407999997</v>
      </c>
      <c r="L973" s="282">
        <f>++Tabla4[[#This Row],[Precio Unitario Neto]]-Tabla4[[#This Row],[20.85%]]</f>
        <v>4243.9001591999995</v>
      </c>
      <c r="M973" s="282" t="e">
        <f>(INDEX(Tabla6[#All],MATCH(Tabla4[[#This Row],[Producto]],Tabla6[[#All],[PRODUCTO]],0),MATCH(Tabla4[[#This Row],[Mes]],Tabla6[#Headers],0)))*(1+Catalogos!$L$2)</f>
        <v>#N/A</v>
      </c>
      <c r="N973" s="283" t="e">
        <f>+(Tabla4[[#This Row],[Precio Descontado]]-Tabla4[[#This Row],[Precio Base]])*Tabla4[[#This Row],[Cantidad]]</f>
        <v>#N/A</v>
      </c>
      <c r="O973" s="284" t="e">
        <f>++Tabla4[[#This Row],[Utilidad Total]]/Tabla4[[#This Row],[Total]]</f>
        <v>#N/A</v>
      </c>
      <c r="P973" s="282">
        <f>++Tabla4[[#This Row],[Precio Descontado]]*Tabla4[[#This Row],[Cantidad]]</f>
        <v>4243.9001591999995</v>
      </c>
      <c r="Q973" s="282" t="e">
        <f>(INDEX(Tabla6[#All],MATCH(Tabla4[[#This Row],[Producto]],Tabla6[[#All],[PRODUCTO]],0),MATCH(Tabla4[[#This Row],[Mes]],Tabla6[#Headers],0)))</f>
        <v>#N/A</v>
      </c>
      <c r="R973" s="282" t="e">
        <f>++Tabla4[[#This Row],[Precio Unitario Neto]]-Tabla4[[#This Row],[20.85%]]-Tabla4[[#This Row],[Costo]]</f>
        <v>#N/A</v>
      </c>
      <c r="S973" s="282" t="e">
        <f>++Tabla4[[#This Row],[U. Bruta Uni]]*Tabla4[[#This Row],[Cantidad]]</f>
        <v>#N/A</v>
      </c>
      <c r="T973" s="369" t="str">
        <f>VLOOKUP(Tabla4[[#This Row],[Producto]],Tabla6[#All],14,FALSE)</f>
        <v>Termico Solar</v>
      </c>
      <c r="U973" s="284" t="e">
        <f>(IF(Tabla4[[#This Row],[Familia]]="termico solar",Tabla4[[#This Row],[Utilidad Total]]*6%,Tabla4[[#This Row],[Utilidad Total]]*11.5%))/Tabla4[[#This Row],[Total]]</f>
        <v>#N/A</v>
      </c>
      <c r="V973" s="282" t="e">
        <f>+Tabla4[[#This Row],[Comisión Calculada]]*Tabla4[[#This Row],[Total]]</f>
        <v>#N/A</v>
      </c>
    </row>
    <row r="974" spans="1:22" hidden="1" x14ac:dyDescent="0.25">
      <c r="A974" s="100">
        <v>45716</v>
      </c>
      <c r="B974" t="str">
        <f t="shared" si="37"/>
        <v>February</v>
      </c>
      <c r="C974" s="46" t="s">
        <v>280</v>
      </c>
      <c r="F974" s="366" t="s">
        <v>1130</v>
      </c>
      <c r="G974" s="46" t="s">
        <v>18</v>
      </c>
      <c r="H974" s="46">
        <v>1</v>
      </c>
      <c r="I974" s="51">
        <v>5367.65</v>
      </c>
      <c r="J974" s="281">
        <f>++Tabla4[[#This Row],[Precio Bruto]]*1.16</f>
        <v>6226.4739999999993</v>
      </c>
      <c r="K974" s="281">
        <f>+Tabla4[[#This Row],[Precio Unitario Neto]]*Tabla4[[#Headers],[20.85%]]</f>
        <v>1298.2198289999999</v>
      </c>
      <c r="L974" s="282">
        <f>++Tabla4[[#This Row],[Precio Unitario Neto]]-Tabla4[[#This Row],[20.85%]]</f>
        <v>4928.2541709999996</v>
      </c>
      <c r="M974" s="282" t="e">
        <f>(INDEX(Tabla6[#All],MATCH(Tabla4[[#This Row],[Producto]],Tabla6[[#All],[PRODUCTO]],0),MATCH(Tabla4[[#This Row],[Mes]],Tabla6[#Headers],0)))*(1+Catalogos!$L$2)</f>
        <v>#N/A</v>
      </c>
      <c r="N974" s="283" t="e">
        <f>+(Tabla4[[#This Row],[Precio Descontado]]-Tabla4[[#This Row],[Precio Base]])*Tabla4[[#This Row],[Cantidad]]</f>
        <v>#N/A</v>
      </c>
      <c r="O974" s="284" t="e">
        <f>++Tabla4[[#This Row],[Utilidad Total]]/Tabla4[[#This Row],[Total]]</f>
        <v>#N/A</v>
      </c>
      <c r="P974" s="282">
        <f>++Tabla4[[#This Row],[Precio Descontado]]*Tabla4[[#This Row],[Cantidad]]</f>
        <v>4928.2541709999996</v>
      </c>
      <c r="Q974" s="282" t="e">
        <f>(INDEX(Tabla6[#All],MATCH(Tabla4[[#This Row],[Producto]],Tabla6[[#All],[PRODUCTO]],0),MATCH(Tabla4[[#This Row],[Mes]],Tabla6[#Headers],0)))</f>
        <v>#N/A</v>
      </c>
      <c r="R974" s="282" t="e">
        <f>++Tabla4[[#This Row],[Precio Unitario Neto]]-Tabla4[[#This Row],[20.85%]]-Tabla4[[#This Row],[Costo]]</f>
        <v>#N/A</v>
      </c>
      <c r="S974" s="282" t="e">
        <f>++Tabla4[[#This Row],[U. Bruta Uni]]*Tabla4[[#This Row],[Cantidad]]</f>
        <v>#N/A</v>
      </c>
      <c r="T974" s="369" t="str">
        <f>VLOOKUP(Tabla4[[#This Row],[Producto]],Tabla6[#All],14,FALSE)</f>
        <v>Termico Solar</v>
      </c>
      <c r="U974" s="284" t="e">
        <f>(IF(Tabla4[[#This Row],[Familia]]="termico solar",Tabla4[[#This Row],[Utilidad Total]]*6%,Tabla4[[#This Row],[Utilidad Total]]*11.5%))/Tabla4[[#This Row],[Total]]</f>
        <v>#N/A</v>
      </c>
      <c r="V974" s="282" t="e">
        <f>+Tabla4[[#This Row],[Comisión Calculada]]*Tabla4[[#This Row],[Total]]</f>
        <v>#N/A</v>
      </c>
    </row>
    <row r="975" spans="1:22" hidden="1" x14ac:dyDescent="0.25">
      <c r="A975" s="100">
        <v>45716</v>
      </c>
      <c r="B975" t="str">
        <f t="shared" si="37"/>
        <v>February</v>
      </c>
      <c r="C975" s="46" t="s">
        <v>280</v>
      </c>
      <c r="F975" s="366" t="s">
        <v>1130</v>
      </c>
      <c r="G975" s="46" t="s">
        <v>394</v>
      </c>
      <c r="H975" s="46">
        <v>16</v>
      </c>
      <c r="I975" s="51">
        <v>224.29</v>
      </c>
      <c r="J975" s="281">
        <f>++Tabla4[[#This Row],[Precio Bruto]]*1.16</f>
        <v>260.1764</v>
      </c>
      <c r="K975" s="281">
        <f>+Tabla4[[#This Row],[Precio Unitario Neto]]*Tabla4[[#Headers],[20.85%]]</f>
        <v>54.246779400000001</v>
      </c>
      <c r="L975" s="282">
        <f>++Tabla4[[#This Row],[Precio Unitario Neto]]-Tabla4[[#This Row],[20.85%]]</f>
        <v>205.92962059999999</v>
      </c>
      <c r="M975" s="282" t="e">
        <f>(INDEX(Tabla6[#All],MATCH(Tabla4[[#This Row],[Producto]],Tabla6[[#All],[PRODUCTO]],0),MATCH(Tabla4[[#This Row],[Mes]],Tabla6[#Headers],0)))*(1+Catalogos!$L$2)</f>
        <v>#N/A</v>
      </c>
      <c r="N975" s="283" t="e">
        <f>+(Tabla4[[#This Row],[Precio Descontado]]-Tabla4[[#This Row],[Precio Base]])*Tabla4[[#This Row],[Cantidad]]</f>
        <v>#N/A</v>
      </c>
      <c r="O975" s="284" t="e">
        <f>++Tabla4[[#This Row],[Utilidad Total]]/Tabla4[[#This Row],[Total]]</f>
        <v>#N/A</v>
      </c>
      <c r="P975" s="282">
        <f>++Tabla4[[#This Row],[Precio Descontado]]*Tabla4[[#This Row],[Cantidad]]</f>
        <v>3294.8739295999999</v>
      </c>
      <c r="Q975" s="282" t="e">
        <f>(INDEX(Tabla6[#All],MATCH(Tabla4[[#This Row],[Producto]],Tabla6[[#All],[PRODUCTO]],0),MATCH(Tabla4[[#This Row],[Mes]],Tabla6[#Headers],0)))</f>
        <v>#N/A</v>
      </c>
      <c r="R975" s="282" t="e">
        <f>++Tabla4[[#This Row],[Precio Unitario Neto]]-Tabla4[[#This Row],[20.85%]]-Tabla4[[#This Row],[Costo]]</f>
        <v>#N/A</v>
      </c>
      <c r="S975" s="282" t="e">
        <f>++Tabla4[[#This Row],[U. Bruta Uni]]*Tabla4[[#This Row],[Cantidad]]</f>
        <v>#N/A</v>
      </c>
      <c r="T975" s="369" t="str">
        <f>VLOOKUP(Tabla4[[#This Row],[Producto]],Tabla6[#All],14,FALSE)</f>
        <v>Termico Solar</v>
      </c>
      <c r="U975" s="284" t="e">
        <f>(IF(Tabla4[[#This Row],[Familia]]="termico solar",Tabla4[[#This Row],[Utilidad Total]]*6%,Tabla4[[#This Row],[Utilidad Total]]*11.5%))/Tabla4[[#This Row],[Total]]</f>
        <v>#N/A</v>
      </c>
      <c r="V975" s="282" t="e">
        <f>+Tabla4[[#This Row],[Comisión Calculada]]*Tabla4[[#This Row],[Total]]</f>
        <v>#N/A</v>
      </c>
    </row>
    <row r="976" spans="1:22" hidden="1" x14ac:dyDescent="0.25">
      <c r="A976" s="100">
        <v>45716</v>
      </c>
      <c r="B976" t="str">
        <f t="shared" ref="B976:B991" si="38">TEXT(A976, "mmmm")</f>
        <v>February</v>
      </c>
      <c r="C976" s="46" t="s">
        <v>280</v>
      </c>
      <c r="F976" s="366" t="s">
        <v>1130</v>
      </c>
      <c r="G976" s="46" t="s">
        <v>599</v>
      </c>
      <c r="H976" s="46">
        <v>4</v>
      </c>
      <c r="I976" s="51">
        <v>189.75</v>
      </c>
      <c r="J976" s="281">
        <f>++Tabla4[[#This Row],[Precio Bruto]]*1.16</f>
        <v>220.10999999999999</v>
      </c>
      <c r="K976" s="281">
        <f>+Tabla4[[#This Row],[Precio Unitario Neto]]*Tabla4[[#Headers],[20.85%]]</f>
        <v>45.892934999999994</v>
      </c>
      <c r="L976" s="282">
        <f>++Tabla4[[#This Row],[Precio Unitario Neto]]-Tabla4[[#This Row],[20.85%]]</f>
        <v>174.21706499999999</v>
      </c>
      <c r="M976" s="282" t="e">
        <f>(INDEX(Tabla6[#All],MATCH(Tabla4[[#This Row],[Producto]],Tabla6[[#All],[PRODUCTO]],0),MATCH(Tabla4[[#This Row],[Mes]],Tabla6[#Headers],0)))*(1+Catalogos!$L$2)</f>
        <v>#N/A</v>
      </c>
      <c r="N976" s="283" t="e">
        <f>+(Tabla4[[#This Row],[Precio Descontado]]-Tabla4[[#This Row],[Precio Base]])*Tabla4[[#This Row],[Cantidad]]</f>
        <v>#N/A</v>
      </c>
      <c r="O976" s="284" t="e">
        <f>++Tabla4[[#This Row],[Utilidad Total]]/Tabla4[[#This Row],[Total]]</f>
        <v>#N/A</v>
      </c>
      <c r="P976" s="282">
        <f>++Tabla4[[#This Row],[Precio Descontado]]*Tabla4[[#This Row],[Cantidad]]</f>
        <v>696.86825999999996</v>
      </c>
      <c r="Q976" s="282" t="e">
        <f>(INDEX(Tabla6[#All],MATCH(Tabla4[[#This Row],[Producto]],Tabla6[[#All],[PRODUCTO]],0),MATCH(Tabla4[[#This Row],[Mes]],Tabla6[#Headers],0)))</f>
        <v>#N/A</v>
      </c>
      <c r="R976" s="282" t="e">
        <f>++Tabla4[[#This Row],[Precio Unitario Neto]]-Tabla4[[#This Row],[20.85%]]-Tabla4[[#This Row],[Costo]]</f>
        <v>#N/A</v>
      </c>
      <c r="S976" s="282" t="e">
        <f>++Tabla4[[#This Row],[U. Bruta Uni]]*Tabla4[[#This Row],[Cantidad]]</f>
        <v>#N/A</v>
      </c>
      <c r="T976" s="369" t="str">
        <f>VLOOKUP(Tabla4[[#This Row],[Producto]],Tabla6[#All],14,FALSE)</f>
        <v>Termico Solar</v>
      </c>
      <c r="U976" s="284" t="e">
        <f>(IF(Tabla4[[#This Row],[Familia]]="termico solar",Tabla4[[#This Row],[Utilidad Total]]*6%,Tabla4[[#This Row],[Utilidad Total]]*11.5%))/Tabla4[[#This Row],[Total]]</f>
        <v>#N/A</v>
      </c>
      <c r="V976" s="282" t="e">
        <f>+Tabla4[[#This Row],[Comisión Calculada]]*Tabla4[[#This Row],[Total]]</f>
        <v>#N/A</v>
      </c>
    </row>
    <row r="977" spans="1:22" hidden="1" x14ac:dyDescent="0.25">
      <c r="A977" s="100">
        <v>45716</v>
      </c>
      <c r="B977" t="str">
        <f t="shared" si="38"/>
        <v>February</v>
      </c>
      <c r="C977" s="46" t="s">
        <v>280</v>
      </c>
      <c r="F977" s="366" t="s">
        <v>1131</v>
      </c>
      <c r="G977" s="46" t="s">
        <v>83</v>
      </c>
      <c r="H977" s="46">
        <v>1</v>
      </c>
      <c r="I977" s="51">
        <v>8858.76</v>
      </c>
      <c r="J977" s="281">
        <f>++Tabla4[[#This Row],[Precio Bruto]]*1.16</f>
        <v>10276.161599999999</v>
      </c>
      <c r="K977" s="281">
        <f>+Tabla4[[#This Row],[Precio Unitario Neto]]*Tabla4[[#Headers],[20.85%]]</f>
        <v>2142.5796935999997</v>
      </c>
      <c r="L977" s="282">
        <f>++Tabla4[[#This Row],[Precio Unitario Neto]]-Tabla4[[#This Row],[20.85%]]</f>
        <v>8133.5819063999998</v>
      </c>
      <c r="M977" s="282" t="e">
        <f>(INDEX(Tabla6[#All],MATCH(Tabla4[[#This Row],[Producto]],Tabla6[[#All],[PRODUCTO]],0),MATCH(Tabla4[[#This Row],[Mes]],Tabla6[#Headers],0)))*(1+Catalogos!$L$2)</f>
        <v>#N/A</v>
      </c>
      <c r="N977" s="283" t="e">
        <f>+(Tabla4[[#This Row],[Precio Descontado]]-Tabla4[[#This Row],[Precio Base]])*Tabla4[[#This Row],[Cantidad]]</f>
        <v>#N/A</v>
      </c>
      <c r="O977" s="284" t="e">
        <f>++Tabla4[[#This Row],[Utilidad Total]]/Tabla4[[#This Row],[Total]]</f>
        <v>#N/A</v>
      </c>
      <c r="P977" s="282">
        <f>++Tabla4[[#This Row],[Precio Descontado]]*Tabla4[[#This Row],[Cantidad]]</f>
        <v>8133.5819063999998</v>
      </c>
      <c r="Q977" s="282" t="e">
        <f>(INDEX(Tabla6[#All],MATCH(Tabla4[[#This Row],[Producto]],Tabla6[[#All],[PRODUCTO]],0),MATCH(Tabla4[[#This Row],[Mes]],Tabla6[#Headers],0)))</f>
        <v>#N/A</v>
      </c>
      <c r="R977" s="282" t="e">
        <f>++Tabla4[[#This Row],[Precio Unitario Neto]]-Tabla4[[#This Row],[20.85%]]-Tabla4[[#This Row],[Costo]]</f>
        <v>#N/A</v>
      </c>
      <c r="S977" s="282" t="e">
        <f>++Tabla4[[#This Row],[U. Bruta Uni]]*Tabla4[[#This Row],[Cantidad]]</f>
        <v>#N/A</v>
      </c>
      <c r="T977" s="369" t="str">
        <f>VLOOKUP(Tabla4[[#This Row],[Producto]],Tabla6[#All],14,FALSE)</f>
        <v>Termico Solar</v>
      </c>
      <c r="U977" s="284" t="e">
        <f>(IF(Tabla4[[#This Row],[Familia]]="termico solar",Tabla4[[#This Row],[Utilidad Total]]*6%,Tabla4[[#This Row],[Utilidad Total]]*11.5%))/Tabla4[[#This Row],[Total]]</f>
        <v>#N/A</v>
      </c>
      <c r="V977" s="282" t="e">
        <f>+Tabla4[[#This Row],[Comisión Calculada]]*Tabla4[[#This Row],[Total]]</f>
        <v>#N/A</v>
      </c>
    </row>
    <row r="978" spans="1:22" hidden="1" x14ac:dyDescent="0.25">
      <c r="A978" s="100">
        <v>45716</v>
      </c>
      <c r="B978" t="str">
        <f t="shared" si="38"/>
        <v>February</v>
      </c>
      <c r="C978" s="46" t="s">
        <v>280</v>
      </c>
      <c r="F978" s="366" t="s">
        <v>1131</v>
      </c>
      <c r="G978" s="46" t="s">
        <v>18</v>
      </c>
      <c r="H978" s="46">
        <v>1</v>
      </c>
      <c r="I978" s="51">
        <v>5367.65</v>
      </c>
      <c r="J978" s="281">
        <f>++Tabla4[[#This Row],[Precio Bruto]]*1.16</f>
        <v>6226.4739999999993</v>
      </c>
      <c r="K978" s="281">
        <f>+Tabla4[[#This Row],[Precio Unitario Neto]]*Tabla4[[#Headers],[20.85%]]</f>
        <v>1298.2198289999999</v>
      </c>
      <c r="L978" s="282">
        <f>++Tabla4[[#This Row],[Precio Unitario Neto]]-Tabla4[[#This Row],[20.85%]]</f>
        <v>4928.2541709999996</v>
      </c>
      <c r="M978" s="282" t="e">
        <f>(INDEX(Tabla6[#All],MATCH(Tabla4[[#This Row],[Producto]],Tabla6[[#All],[PRODUCTO]],0),MATCH(Tabla4[[#This Row],[Mes]],Tabla6[#Headers],0)))*(1+Catalogos!$L$2)</f>
        <v>#N/A</v>
      </c>
      <c r="N978" s="283" t="e">
        <f>+(Tabla4[[#This Row],[Precio Descontado]]-Tabla4[[#This Row],[Precio Base]])*Tabla4[[#This Row],[Cantidad]]</f>
        <v>#N/A</v>
      </c>
      <c r="O978" s="284" t="e">
        <f>++Tabla4[[#This Row],[Utilidad Total]]/Tabla4[[#This Row],[Total]]</f>
        <v>#N/A</v>
      </c>
      <c r="P978" s="282">
        <f>++Tabla4[[#This Row],[Precio Descontado]]*Tabla4[[#This Row],[Cantidad]]</f>
        <v>4928.2541709999996</v>
      </c>
      <c r="Q978" s="282" t="e">
        <f>(INDEX(Tabla6[#All],MATCH(Tabla4[[#This Row],[Producto]],Tabla6[[#All],[PRODUCTO]],0),MATCH(Tabla4[[#This Row],[Mes]],Tabla6[#Headers],0)))</f>
        <v>#N/A</v>
      </c>
      <c r="R978" s="282" t="e">
        <f>++Tabla4[[#This Row],[Precio Unitario Neto]]-Tabla4[[#This Row],[20.85%]]-Tabla4[[#This Row],[Costo]]</f>
        <v>#N/A</v>
      </c>
      <c r="S978" s="282" t="e">
        <f>++Tabla4[[#This Row],[U. Bruta Uni]]*Tabla4[[#This Row],[Cantidad]]</f>
        <v>#N/A</v>
      </c>
      <c r="T978" s="369" t="str">
        <f>VLOOKUP(Tabla4[[#This Row],[Producto]],Tabla6[#All],14,FALSE)</f>
        <v>Termico Solar</v>
      </c>
      <c r="U978" s="284" t="e">
        <f>(IF(Tabla4[[#This Row],[Familia]]="termico solar",Tabla4[[#This Row],[Utilidad Total]]*6%,Tabla4[[#This Row],[Utilidad Total]]*11.5%))/Tabla4[[#This Row],[Total]]</f>
        <v>#N/A</v>
      </c>
      <c r="V978" s="282" t="e">
        <f>+Tabla4[[#This Row],[Comisión Calculada]]*Tabla4[[#This Row],[Total]]</f>
        <v>#N/A</v>
      </c>
    </row>
    <row r="979" spans="1:22" hidden="1" x14ac:dyDescent="0.25">
      <c r="A979" s="100">
        <v>45716</v>
      </c>
      <c r="B979" t="str">
        <f t="shared" si="38"/>
        <v>February</v>
      </c>
      <c r="C979" s="46" t="s">
        <v>280</v>
      </c>
      <c r="F979" s="366" t="s">
        <v>1132</v>
      </c>
      <c r="G979" s="46" t="s">
        <v>17</v>
      </c>
      <c r="H979" s="46">
        <v>3</v>
      </c>
      <c r="I979" s="51">
        <v>4622.28</v>
      </c>
      <c r="J979" s="281">
        <f>++Tabla4[[#This Row],[Precio Bruto]]*1.16</f>
        <v>5361.8447999999989</v>
      </c>
      <c r="K979" s="281">
        <f>+Tabla4[[#This Row],[Precio Unitario Neto]]*Tabla4[[#Headers],[20.85%]]</f>
        <v>1117.9446407999997</v>
      </c>
      <c r="L979" s="282">
        <f>++Tabla4[[#This Row],[Precio Unitario Neto]]-Tabla4[[#This Row],[20.85%]]</f>
        <v>4243.9001591999995</v>
      </c>
      <c r="M979" s="282" t="e">
        <f>(INDEX(Tabla6[#All],MATCH(Tabla4[[#This Row],[Producto]],Tabla6[[#All],[PRODUCTO]],0),MATCH(Tabla4[[#This Row],[Mes]],Tabla6[#Headers],0)))*(1+Catalogos!$L$2)</f>
        <v>#N/A</v>
      </c>
      <c r="N979" s="283" t="e">
        <f>+(Tabla4[[#This Row],[Precio Descontado]]-Tabla4[[#This Row],[Precio Base]])*Tabla4[[#This Row],[Cantidad]]</f>
        <v>#N/A</v>
      </c>
      <c r="O979" s="284" t="e">
        <f>++Tabla4[[#This Row],[Utilidad Total]]/Tabla4[[#This Row],[Total]]</f>
        <v>#N/A</v>
      </c>
      <c r="P979" s="282">
        <f>++Tabla4[[#This Row],[Precio Descontado]]*Tabla4[[#This Row],[Cantidad]]</f>
        <v>12731.700477599999</v>
      </c>
      <c r="Q979" s="282" t="e">
        <f>(INDEX(Tabla6[#All],MATCH(Tabla4[[#This Row],[Producto]],Tabla6[[#All],[PRODUCTO]],0),MATCH(Tabla4[[#This Row],[Mes]],Tabla6[#Headers],0)))</f>
        <v>#N/A</v>
      </c>
      <c r="R979" s="282" t="e">
        <f>++Tabla4[[#This Row],[Precio Unitario Neto]]-Tabla4[[#This Row],[20.85%]]-Tabla4[[#This Row],[Costo]]</f>
        <v>#N/A</v>
      </c>
      <c r="S979" s="282" t="e">
        <f>++Tabla4[[#This Row],[U. Bruta Uni]]*Tabla4[[#This Row],[Cantidad]]</f>
        <v>#N/A</v>
      </c>
      <c r="T979" s="369" t="str">
        <f>VLOOKUP(Tabla4[[#This Row],[Producto]],Tabla6[#All],14,FALSE)</f>
        <v>Termico Solar</v>
      </c>
      <c r="U979" s="284" t="e">
        <f>(IF(Tabla4[[#This Row],[Familia]]="termico solar",Tabla4[[#This Row],[Utilidad Total]]*6%,Tabla4[[#This Row],[Utilidad Total]]*11.5%))/Tabla4[[#This Row],[Total]]</f>
        <v>#N/A</v>
      </c>
      <c r="V979" s="282" t="e">
        <f>+Tabla4[[#This Row],[Comisión Calculada]]*Tabla4[[#This Row],[Total]]</f>
        <v>#N/A</v>
      </c>
    </row>
    <row r="980" spans="1:22" hidden="1" x14ac:dyDescent="0.25">
      <c r="A980" s="100">
        <v>45716</v>
      </c>
      <c r="B980" t="str">
        <f t="shared" si="38"/>
        <v>February</v>
      </c>
      <c r="C980" s="46" t="s">
        <v>280</v>
      </c>
      <c r="F980" s="366" t="s">
        <v>1132</v>
      </c>
      <c r="G980" s="46" t="s">
        <v>18</v>
      </c>
      <c r="H980" s="46">
        <v>2</v>
      </c>
      <c r="I980" s="51">
        <v>5367.65</v>
      </c>
      <c r="J980" s="281">
        <f>++Tabla4[[#This Row],[Precio Bruto]]*1.16</f>
        <v>6226.4739999999993</v>
      </c>
      <c r="K980" s="281">
        <f>+Tabla4[[#This Row],[Precio Unitario Neto]]*Tabla4[[#Headers],[20.85%]]</f>
        <v>1298.2198289999999</v>
      </c>
      <c r="L980" s="282">
        <f>++Tabla4[[#This Row],[Precio Unitario Neto]]-Tabla4[[#This Row],[20.85%]]</f>
        <v>4928.2541709999996</v>
      </c>
      <c r="M980" s="282" t="e">
        <f>(INDEX(Tabla6[#All],MATCH(Tabla4[[#This Row],[Producto]],Tabla6[[#All],[PRODUCTO]],0),MATCH(Tabla4[[#This Row],[Mes]],Tabla6[#Headers],0)))*(1+Catalogos!$L$2)</f>
        <v>#N/A</v>
      </c>
      <c r="N980" s="283" t="e">
        <f>+(Tabla4[[#This Row],[Precio Descontado]]-Tabla4[[#This Row],[Precio Base]])*Tabla4[[#This Row],[Cantidad]]</f>
        <v>#N/A</v>
      </c>
      <c r="O980" s="284" t="e">
        <f>++Tabla4[[#This Row],[Utilidad Total]]/Tabla4[[#This Row],[Total]]</f>
        <v>#N/A</v>
      </c>
      <c r="P980" s="282">
        <f>++Tabla4[[#This Row],[Precio Descontado]]*Tabla4[[#This Row],[Cantidad]]</f>
        <v>9856.5083419999992</v>
      </c>
      <c r="Q980" s="282" t="e">
        <f>(INDEX(Tabla6[#All],MATCH(Tabla4[[#This Row],[Producto]],Tabla6[[#All],[PRODUCTO]],0),MATCH(Tabla4[[#This Row],[Mes]],Tabla6[#Headers],0)))</f>
        <v>#N/A</v>
      </c>
      <c r="R980" s="282" t="e">
        <f>++Tabla4[[#This Row],[Precio Unitario Neto]]-Tabla4[[#This Row],[20.85%]]-Tabla4[[#This Row],[Costo]]</f>
        <v>#N/A</v>
      </c>
      <c r="S980" s="282" t="e">
        <f>++Tabla4[[#This Row],[U. Bruta Uni]]*Tabla4[[#This Row],[Cantidad]]</f>
        <v>#N/A</v>
      </c>
      <c r="T980" s="369" t="str">
        <f>VLOOKUP(Tabla4[[#This Row],[Producto]],Tabla6[#All],14,FALSE)</f>
        <v>Termico Solar</v>
      </c>
      <c r="U980" s="284" t="e">
        <f>(IF(Tabla4[[#This Row],[Familia]]="termico solar",Tabla4[[#This Row],[Utilidad Total]]*6%,Tabla4[[#This Row],[Utilidad Total]]*11.5%))/Tabla4[[#This Row],[Total]]</f>
        <v>#N/A</v>
      </c>
      <c r="V980" s="282" t="e">
        <f>+Tabla4[[#This Row],[Comisión Calculada]]*Tabla4[[#This Row],[Total]]</f>
        <v>#N/A</v>
      </c>
    </row>
    <row r="981" spans="1:22" hidden="1" x14ac:dyDescent="0.25">
      <c r="A981" s="100">
        <v>45716</v>
      </c>
      <c r="B981" t="str">
        <f t="shared" si="38"/>
        <v>February</v>
      </c>
      <c r="C981" s="46" t="s">
        <v>280</v>
      </c>
      <c r="F981" s="366" t="s">
        <v>1132</v>
      </c>
      <c r="G981" s="46" t="s">
        <v>566</v>
      </c>
      <c r="H981" s="46">
        <v>1</v>
      </c>
      <c r="I981" s="51">
        <v>2109.4499999999998</v>
      </c>
      <c r="J981" s="281">
        <f>++Tabla4[[#This Row],[Precio Bruto]]*1.16</f>
        <v>2446.9619999999995</v>
      </c>
      <c r="K981" s="281">
        <f>+Tabla4[[#This Row],[Precio Unitario Neto]]*Tabla4[[#Headers],[20.85%]]</f>
        <v>510.19157699999988</v>
      </c>
      <c r="L981" s="282">
        <f>++Tabla4[[#This Row],[Precio Unitario Neto]]-Tabla4[[#This Row],[20.85%]]</f>
        <v>1936.7704229999997</v>
      </c>
      <c r="M981" s="282" t="e">
        <f>(INDEX(Tabla6[#All],MATCH(Tabla4[[#This Row],[Producto]],Tabla6[[#All],[PRODUCTO]],0),MATCH(Tabla4[[#This Row],[Mes]],Tabla6[#Headers],0)))*(1+Catalogos!$L$2)</f>
        <v>#N/A</v>
      </c>
      <c r="N981" s="283" t="e">
        <f>+(Tabla4[[#This Row],[Precio Descontado]]-Tabla4[[#This Row],[Precio Base]])*Tabla4[[#This Row],[Cantidad]]</f>
        <v>#N/A</v>
      </c>
      <c r="O981" s="284" t="e">
        <f>++Tabla4[[#This Row],[Utilidad Total]]/Tabla4[[#This Row],[Total]]</f>
        <v>#N/A</v>
      </c>
      <c r="P981" s="282">
        <f>++Tabla4[[#This Row],[Precio Descontado]]*Tabla4[[#This Row],[Cantidad]]</f>
        <v>1936.7704229999997</v>
      </c>
      <c r="Q981" s="282" t="e">
        <f>(INDEX(Tabla6[#All],MATCH(Tabla4[[#This Row],[Producto]],Tabla6[[#All],[PRODUCTO]],0),MATCH(Tabla4[[#This Row],[Mes]],Tabla6[#Headers],0)))</f>
        <v>#N/A</v>
      </c>
      <c r="R981" s="282" t="e">
        <f>++Tabla4[[#This Row],[Precio Unitario Neto]]-Tabla4[[#This Row],[20.85%]]-Tabla4[[#This Row],[Costo]]</f>
        <v>#N/A</v>
      </c>
      <c r="S981" s="282" t="e">
        <f>++Tabla4[[#This Row],[U. Bruta Uni]]*Tabla4[[#This Row],[Cantidad]]</f>
        <v>#N/A</v>
      </c>
      <c r="T981" s="369" t="str">
        <f>VLOOKUP(Tabla4[[#This Row],[Producto]],Tabla6[#All],14,FALSE)</f>
        <v>Termico Solar</v>
      </c>
      <c r="U981" s="284" t="e">
        <f>(IF(Tabla4[[#This Row],[Familia]]="termico solar",Tabla4[[#This Row],[Utilidad Total]]*6%,Tabla4[[#This Row],[Utilidad Total]]*11.5%))/Tabla4[[#This Row],[Total]]</f>
        <v>#N/A</v>
      </c>
      <c r="V981" s="282" t="e">
        <f>+Tabla4[[#This Row],[Comisión Calculada]]*Tabla4[[#This Row],[Total]]</f>
        <v>#N/A</v>
      </c>
    </row>
    <row r="982" spans="1:22" hidden="1" x14ac:dyDescent="0.25">
      <c r="A982" s="100">
        <v>45716</v>
      </c>
      <c r="B982" t="str">
        <f t="shared" si="38"/>
        <v>February</v>
      </c>
      <c r="C982" s="46" t="s">
        <v>280</v>
      </c>
      <c r="F982" s="366" t="s">
        <v>1133</v>
      </c>
      <c r="G982" s="46" t="s">
        <v>83</v>
      </c>
      <c r="H982" s="46">
        <v>1</v>
      </c>
      <c r="I982" s="51">
        <v>8858.76</v>
      </c>
      <c r="J982" s="281">
        <f>++Tabla4[[#This Row],[Precio Bruto]]*1.16</f>
        <v>10276.161599999999</v>
      </c>
      <c r="K982" s="281">
        <f>+Tabla4[[#This Row],[Precio Unitario Neto]]*Tabla4[[#Headers],[20.85%]]</f>
        <v>2142.5796935999997</v>
      </c>
      <c r="L982" s="282">
        <f>++Tabla4[[#This Row],[Precio Unitario Neto]]-Tabla4[[#This Row],[20.85%]]</f>
        <v>8133.5819063999998</v>
      </c>
      <c r="M982" s="282" t="e">
        <f>(INDEX(Tabla6[#All],MATCH(Tabla4[[#This Row],[Producto]],Tabla6[[#All],[PRODUCTO]],0),MATCH(Tabla4[[#This Row],[Mes]],Tabla6[#Headers],0)))*(1+Catalogos!$L$2)</f>
        <v>#N/A</v>
      </c>
      <c r="N982" s="283" t="e">
        <f>+(Tabla4[[#This Row],[Precio Descontado]]-Tabla4[[#This Row],[Precio Base]])*Tabla4[[#This Row],[Cantidad]]</f>
        <v>#N/A</v>
      </c>
      <c r="O982" s="284" t="e">
        <f>++Tabla4[[#This Row],[Utilidad Total]]/Tabla4[[#This Row],[Total]]</f>
        <v>#N/A</v>
      </c>
      <c r="P982" s="282">
        <f>++Tabla4[[#This Row],[Precio Descontado]]*Tabla4[[#This Row],[Cantidad]]</f>
        <v>8133.5819063999998</v>
      </c>
      <c r="Q982" s="282" t="e">
        <f>(INDEX(Tabla6[#All],MATCH(Tabla4[[#This Row],[Producto]],Tabla6[[#All],[PRODUCTO]],0),MATCH(Tabla4[[#This Row],[Mes]],Tabla6[#Headers],0)))</f>
        <v>#N/A</v>
      </c>
      <c r="R982" s="282" t="e">
        <f>++Tabla4[[#This Row],[Precio Unitario Neto]]-Tabla4[[#This Row],[20.85%]]-Tabla4[[#This Row],[Costo]]</f>
        <v>#N/A</v>
      </c>
      <c r="S982" s="282" t="e">
        <f>++Tabla4[[#This Row],[U. Bruta Uni]]*Tabla4[[#This Row],[Cantidad]]</f>
        <v>#N/A</v>
      </c>
      <c r="T982" s="369" t="str">
        <f>VLOOKUP(Tabla4[[#This Row],[Producto]],Tabla6[#All],14,FALSE)</f>
        <v>Termico Solar</v>
      </c>
      <c r="U982" s="284" t="e">
        <f>(IF(Tabla4[[#This Row],[Familia]]="termico solar",Tabla4[[#This Row],[Utilidad Total]]*6%,Tabla4[[#This Row],[Utilidad Total]]*11.5%))/Tabla4[[#This Row],[Total]]</f>
        <v>#N/A</v>
      </c>
      <c r="V982" s="282" t="e">
        <f>+Tabla4[[#This Row],[Comisión Calculada]]*Tabla4[[#This Row],[Total]]</f>
        <v>#N/A</v>
      </c>
    </row>
    <row r="983" spans="1:22" hidden="1" x14ac:dyDescent="0.25">
      <c r="A983" s="100">
        <v>45716</v>
      </c>
      <c r="B983" t="str">
        <f t="shared" si="38"/>
        <v>February</v>
      </c>
      <c r="C983" s="46" t="s">
        <v>280</v>
      </c>
      <c r="F983" s="366" t="s">
        <v>1133</v>
      </c>
      <c r="G983" s="46" t="s">
        <v>17</v>
      </c>
      <c r="H983" s="46">
        <v>4</v>
      </c>
      <c r="I983" s="51">
        <v>4622.28</v>
      </c>
      <c r="J983" s="281">
        <f>++Tabla4[[#This Row],[Precio Bruto]]*1.16</f>
        <v>5361.8447999999989</v>
      </c>
      <c r="K983" s="281">
        <f>+Tabla4[[#This Row],[Precio Unitario Neto]]*Tabla4[[#Headers],[20.85%]]</f>
        <v>1117.9446407999997</v>
      </c>
      <c r="L983" s="282">
        <f>++Tabla4[[#This Row],[Precio Unitario Neto]]-Tabla4[[#This Row],[20.85%]]</f>
        <v>4243.9001591999995</v>
      </c>
      <c r="M983" s="282" t="e">
        <f>(INDEX(Tabla6[#All],MATCH(Tabla4[[#This Row],[Producto]],Tabla6[[#All],[PRODUCTO]],0),MATCH(Tabla4[[#This Row],[Mes]],Tabla6[#Headers],0)))*(1+Catalogos!$L$2)</f>
        <v>#N/A</v>
      </c>
      <c r="N983" s="283" t="e">
        <f>+(Tabla4[[#This Row],[Precio Descontado]]-Tabla4[[#This Row],[Precio Base]])*Tabla4[[#This Row],[Cantidad]]</f>
        <v>#N/A</v>
      </c>
      <c r="O983" s="284" t="e">
        <f>++Tabla4[[#This Row],[Utilidad Total]]/Tabla4[[#This Row],[Total]]</f>
        <v>#N/A</v>
      </c>
      <c r="P983" s="282">
        <f>++Tabla4[[#This Row],[Precio Descontado]]*Tabla4[[#This Row],[Cantidad]]</f>
        <v>16975.600636799998</v>
      </c>
      <c r="Q983" s="282" t="e">
        <f>(INDEX(Tabla6[#All],MATCH(Tabla4[[#This Row],[Producto]],Tabla6[[#All],[PRODUCTO]],0),MATCH(Tabla4[[#This Row],[Mes]],Tabla6[#Headers],0)))</f>
        <v>#N/A</v>
      </c>
      <c r="R983" s="282" t="e">
        <f>++Tabla4[[#This Row],[Precio Unitario Neto]]-Tabla4[[#This Row],[20.85%]]-Tabla4[[#This Row],[Costo]]</f>
        <v>#N/A</v>
      </c>
      <c r="S983" s="282" t="e">
        <f>++Tabla4[[#This Row],[U. Bruta Uni]]*Tabla4[[#This Row],[Cantidad]]</f>
        <v>#N/A</v>
      </c>
      <c r="T983" s="369" t="str">
        <f>VLOOKUP(Tabla4[[#This Row],[Producto]],Tabla6[#All],14,FALSE)</f>
        <v>Termico Solar</v>
      </c>
      <c r="U983" s="284" t="e">
        <f>(IF(Tabla4[[#This Row],[Familia]]="termico solar",Tabla4[[#This Row],[Utilidad Total]]*6%,Tabla4[[#This Row],[Utilidad Total]]*11.5%))/Tabla4[[#This Row],[Total]]</f>
        <v>#N/A</v>
      </c>
      <c r="V983" s="282" t="e">
        <f>+Tabla4[[#This Row],[Comisión Calculada]]*Tabla4[[#This Row],[Total]]</f>
        <v>#N/A</v>
      </c>
    </row>
    <row r="984" spans="1:22" hidden="1" x14ac:dyDescent="0.25">
      <c r="A984" s="100">
        <v>45716</v>
      </c>
      <c r="B984" t="str">
        <f t="shared" si="38"/>
        <v>February</v>
      </c>
      <c r="C984" s="46" t="s">
        <v>280</v>
      </c>
      <c r="F984" s="366" t="s">
        <v>1133</v>
      </c>
      <c r="G984" s="46" t="s">
        <v>18</v>
      </c>
      <c r="H984" s="46">
        <v>2</v>
      </c>
      <c r="I984" s="51">
        <v>5367.65</v>
      </c>
      <c r="J984" s="281">
        <f>++Tabla4[[#This Row],[Precio Bruto]]*1.16</f>
        <v>6226.4739999999993</v>
      </c>
      <c r="K984" s="281">
        <f>+Tabla4[[#This Row],[Precio Unitario Neto]]*Tabla4[[#Headers],[20.85%]]</f>
        <v>1298.2198289999999</v>
      </c>
      <c r="L984" s="282">
        <f>++Tabla4[[#This Row],[Precio Unitario Neto]]-Tabla4[[#This Row],[20.85%]]</f>
        <v>4928.2541709999996</v>
      </c>
      <c r="M984" s="282" t="e">
        <f>(INDEX(Tabla6[#All],MATCH(Tabla4[[#This Row],[Producto]],Tabla6[[#All],[PRODUCTO]],0),MATCH(Tabla4[[#This Row],[Mes]],Tabla6[#Headers],0)))*(1+Catalogos!$L$2)</f>
        <v>#N/A</v>
      </c>
      <c r="N984" s="283" t="e">
        <f>+(Tabla4[[#This Row],[Precio Descontado]]-Tabla4[[#This Row],[Precio Base]])*Tabla4[[#This Row],[Cantidad]]</f>
        <v>#N/A</v>
      </c>
      <c r="O984" s="284" t="e">
        <f>++Tabla4[[#This Row],[Utilidad Total]]/Tabla4[[#This Row],[Total]]</f>
        <v>#N/A</v>
      </c>
      <c r="P984" s="282">
        <f>++Tabla4[[#This Row],[Precio Descontado]]*Tabla4[[#This Row],[Cantidad]]</f>
        <v>9856.5083419999992</v>
      </c>
      <c r="Q984" s="282" t="e">
        <f>(INDEX(Tabla6[#All],MATCH(Tabla4[[#This Row],[Producto]],Tabla6[[#All],[PRODUCTO]],0),MATCH(Tabla4[[#This Row],[Mes]],Tabla6[#Headers],0)))</f>
        <v>#N/A</v>
      </c>
      <c r="R984" s="282" t="e">
        <f>++Tabla4[[#This Row],[Precio Unitario Neto]]-Tabla4[[#This Row],[20.85%]]-Tabla4[[#This Row],[Costo]]</f>
        <v>#N/A</v>
      </c>
      <c r="S984" s="282" t="e">
        <f>++Tabla4[[#This Row],[U. Bruta Uni]]*Tabla4[[#This Row],[Cantidad]]</f>
        <v>#N/A</v>
      </c>
      <c r="T984" s="369" t="str">
        <f>VLOOKUP(Tabla4[[#This Row],[Producto]],Tabla6[#All],14,FALSE)</f>
        <v>Termico Solar</v>
      </c>
      <c r="U984" s="284" t="e">
        <f>(IF(Tabla4[[#This Row],[Familia]]="termico solar",Tabla4[[#This Row],[Utilidad Total]]*6%,Tabla4[[#This Row],[Utilidad Total]]*11.5%))/Tabla4[[#This Row],[Total]]</f>
        <v>#N/A</v>
      </c>
      <c r="V984" s="282" t="e">
        <f>+Tabla4[[#This Row],[Comisión Calculada]]*Tabla4[[#This Row],[Total]]</f>
        <v>#N/A</v>
      </c>
    </row>
    <row r="985" spans="1:22" hidden="1" x14ac:dyDescent="0.25">
      <c r="A985" s="100">
        <v>45716</v>
      </c>
      <c r="B985" t="str">
        <f t="shared" si="38"/>
        <v>February</v>
      </c>
      <c r="C985" s="46" t="s">
        <v>280</v>
      </c>
      <c r="F985" s="366" t="s">
        <v>1133</v>
      </c>
      <c r="G985" s="46" t="s">
        <v>16</v>
      </c>
      <c r="H985" s="46">
        <v>4</v>
      </c>
      <c r="I985" s="51">
        <v>4103.8500000000004</v>
      </c>
      <c r="J985" s="281">
        <f>++Tabla4[[#This Row],[Precio Bruto]]*1.16</f>
        <v>4760.4660000000003</v>
      </c>
      <c r="K985" s="281">
        <f>+Tabla4[[#This Row],[Precio Unitario Neto]]*Tabla4[[#Headers],[20.85%]]</f>
        <v>992.55716100000006</v>
      </c>
      <c r="L985" s="282">
        <f>++Tabla4[[#This Row],[Precio Unitario Neto]]-Tabla4[[#This Row],[20.85%]]</f>
        <v>3767.9088390000002</v>
      </c>
      <c r="M985" s="282" t="e">
        <f>(INDEX(Tabla6[#All],MATCH(Tabla4[[#This Row],[Producto]],Tabla6[[#All],[PRODUCTO]],0),MATCH(Tabla4[[#This Row],[Mes]],Tabla6[#Headers],0)))*(1+Catalogos!$L$2)</f>
        <v>#N/A</v>
      </c>
      <c r="N985" s="283" t="e">
        <f>+(Tabla4[[#This Row],[Precio Descontado]]-Tabla4[[#This Row],[Precio Base]])*Tabla4[[#This Row],[Cantidad]]</f>
        <v>#N/A</v>
      </c>
      <c r="O985" s="284" t="e">
        <f>++Tabla4[[#This Row],[Utilidad Total]]/Tabla4[[#This Row],[Total]]</f>
        <v>#N/A</v>
      </c>
      <c r="P985" s="282">
        <f>++Tabla4[[#This Row],[Precio Descontado]]*Tabla4[[#This Row],[Cantidad]]</f>
        <v>15071.635356000001</v>
      </c>
      <c r="Q985" s="282" t="e">
        <f>(INDEX(Tabla6[#All],MATCH(Tabla4[[#This Row],[Producto]],Tabla6[[#All],[PRODUCTO]],0),MATCH(Tabla4[[#This Row],[Mes]],Tabla6[#Headers],0)))</f>
        <v>#N/A</v>
      </c>
      <c r="R985" s="282" t="e">
        <f>++Tabla4[[#This Row],[Precio Unitario Neto]]-Tabla4[[#This Row],[20.85%]]-Tabla4[[#This Row],[Costo]]</f>
        <v>#N/A</v>
      </c>
      <c r="S985" s="282" t="e">
        <f>++Tabla4[[#This Row],[U. Bruta Uni]]*Tabla4[[#This Row],[Cantidad]]</f>
        <v>#N/A</v>
      </c>
      <c r="T985" s="369" t="str">
        <f>VLOOKUP(Tabla4[[#This Row],[Producto]],Tabla6[#All],14,FALSE)</f>
        <v>Termico Solar</v>
      </c>
      <c r="U985" s="284" t="e">
        <f>(IF(Tabla4[[#This Row],[Familia]]="termico solar",Tabla4[[#This Row],[Utilidad Total]]*6%,Tabla4[[#This Row],[Utilidad Total]]*11.5%))/Tabla4[[#This Row],[Total]]</f>
        <v>#N/A</v>
      </c>
      <c r="V985" s="282" t="e">
        <f>+Tabla4[[#This Row],[Comisión Calculada]]*Tabla4[[#This Row],[Total]]</f>
        <v>#N/A</v>
      </c>
    </row>
    <row r="986" spans="1:22" hidden="1" x14ac:dyDescent="0.25">
      <c r="A986" s="100">
        <v>45716</v>
      </c>
      <c r="B986" t="str">
        <f t="shared" si="38"/>
        <v>February</v>
      </c>
      <c r="C986" s="46" t="s">
        <v>280</v>
      </c>
      <c r="F986" s="366" t="s">
        <v>1133</v>
      </c>
      <c r="G986" s="46" t="s">
        <v>599</v>
      </c>
      <c r="H986" s="46">
        <v>1</v>
      </c>
      <c r="I986" s="51">
        <v>189.75</v>
      </c>
      <c r="J986" s="281">
        <f>++Tabla4[[#This Row],[Precio Bruto]]*1.16</f>
        <v>220.10999999999999</v>
      </c>
      <c r="K986" s="281">
        <f>+Tabla4[[#This Row],[Precio Unitario Neto]]*Tabla4[[#Headers],[20.85%]]</f>
        <v>45.892934999999994</v>
      </c>
      <c r="L986" s="282">
        <f>++Tabla4[[#This Row],[Precio Unitario Neto]]-Tabla4[[#This Row],[20.85%]]</f>
        <v>174.21706499999999</v>
      </c>
      <c r="M986" s="282" t="e">
        <f>(INDEX(Tabla6[#All],MATCH(Tabla4[[#This Row],[Producto]],Tabla6[[#All],[PRODUCTO]],0),MATCH(Tabla4[[#This Row],[Mes]],Tabla6[#Headers],0)))*(1+Catalogos!$L$2)</f>
        <v>#N/A</v>
      </c>
      <c r="N986" s="283" t="e">
        <f>+(Tabla4[[#This Row],[Precio Descontado]]-Tabla4[[#This Row],[Precio Base]])*Tabla4[[#This Row],[Cantidad]]</f>
        <v>#N/A</v>
      </c>
      <c r="O986" s="284" t="e">
        <f>++Tabla4[[#This Row],[Utilidad Total]]/Tabla4[[#This Row],[Total]]</f>
        <v>#N/A</v>
      </c>
      <c r="P986" s="282">
        <f>++Tabla4[[#This Row],[Precio Descontado]]*Tabla4[[#This Row],[Cantidad]]</f>
        <v>174.21706499999999</v>
      </c>
      <c r="Q986" s="282" t="e">
        <f>(INDEX(Tabla6[#All],MATCH(Tabla4[[#This Row],[Producto]],Tabla6[[#All],[PRODUCTO]],0),MATCH(Tabla4[[#This Row],[Mes]],Tabla6[#Headers],0)))</f>
        <v>#N/A</v>
      </c>
      <c r="R986" s="282" t="e">
        <f>++Tabla4[[#This Row],[Precio Unitario Neto]]-Tabla4[[#This Row],[20.85%]]-Tabla4[[#This Row],[Costo]]</f>
        <v>#N/A</v>
      </c>
      <c r="S986" s="282" t="e">
        <f>++Tabla4[[#This Row],[U. Bruta Uni]]*Tabla4[[#This Row],[Cantidad]]</f>
        <v>#N/A</v>
      </c>
      <c r="T986" s="369" t="str">
        <f>VLOOKUP(Tabla4[[#This Row],[Producto]],Tabla6[#All],14,FALSE)</f>
        <v>Termico Solar</v>
      </c>
      <c r="U986" s="284" t="e">
        <f>(IF(Tabla4[[#This Row],[Familia]]="termico solar",Tabla4[[#This Row],[Utilidad Total]]*6%,Tabla4[[#This Row],[Utilidad Total]]*11.5%))/Tabla4[[#This Row],[Total]]</f>
        <v>#N/A</v>
      </c>
      <c r="V986" s="282" t="e">
        <f>+Tabla4[[#This Row],[Comisión Calculada]]*Tabla4[[#This Row],[Total]]</f>
        <v>#N/A</v>
      </c>
    </row>
    <row r="987" spans="1:22" hidden="1" x14ac:dyDescent="0.25">
      <c r="A987" s="100">
        <v>45716</v>
      </c>
      <c r="B987" t="str">
        <f t="shared" si="38"/>
        <v>February</v>
      </c>
      <c r="C987" s="46" t="s">
        <v>280</v>
      </c>
      <c r="F987" s="366" t="s">
        <v>1134</v>
      </c>
      <c r="G987" s="46" t="s">
        <v>17</v>
      </c>
      <c r="H987" s="46">
        <v>1</v>
      </c>
      <c r="I987" s="51">
        <v>4622.28</v>
      </c>
      <c r="J987" s="281">
        <f>++Tabla4[[#This Row],[Precio Bruto]]*1.16</f>
        <v>5361.8447999999989</v>
      </c>
      <c r="K987" s="281">
        <f>+Tabla4[[#This Row],[Precio Unitario Neto]]*Tabla4[[#Headers],[20.85%]]</f>
        <v>1117.9446407999997</v>
      </c>
      <c r="L987" s="282">
        <f>++Tabla4[[#This Row],[Precio Unitario Neto]]-Tabla4[[#This Row],[20.85%]]</f>
        <v>4243.9001591999995</v>
      </c>
      <c r="M987" s="282" t="e">
        <f>(INDEX(Tabla6[#All],MATCH(Tabla4[[#This Row],[Producto]],Tabla6[[#All],[PRODUCTO]],0),MATCH(Tabla4[[#This Row],[Mes]],Tabla6[#Headers],0)))*(1+Catalogos!$L$2)</f>
        <v>#N/A</v>
      </c>
      <c r="N987" s="283" t="e">
        <f>+(Tabla4[[#This Row],[Precio Descontado]]-Tabla4[[#This Row],[Precio Base]])*Tabla4[[#This Row],[Cantidad]]</f>
        <v>#N/A</v>
      </c>
      <c r="O987" s="284" t="e">
        <f>++Tabla4[[#This Row],[Utilidad Total]]/Tabla4[[#This Row],[Total]]</f>
        <v>#N/A</v>
      </c>
      <c r="P987" s="282">
        <f>++Tabla4[[#This Row],[Precio Descontado]]*Tabla4[[#This Row],[Cantidad]]</f>
        <v>4243.9001591999995</v>
      </c>
      <c r="Q987" s="282" t="e">
        <f>(INDEX(Tabla6[#All],MATCH(Tabla4[[#This Row],[Producto]],Tabla6[[#All],[PRODUCTO]],0),MATCH(Tabla4[[#This Row],[Mes]],Tabla6[#Headers],0)))</f>
        <v>#N/A</v>
      </c>
      <c r="R987" s="282" t="e">
        <f>++Tabla4[[#This Row],[Precio Unitario Neto]]-Tabla4[[#This Row],[20.85%]]-Tabla4[[#This Row],[Costo]]</f>
        <v>#N/A</v>
      </c>
      <c r="S987" s="282" t="e">
        <f>++Tabla4[[#This Row],[U. Bruta Uni]]*Tabla4[[#This Row],[Cantidad]]</f>
        <v>#N/A</v>
      </c>
      <c r="T987" s="369" t="str">
        <f>VLOOKUP(Tabla4[[#This Row],[Producto]],Tabla6[#All],14,FALSE)</f>
        <v>Termico Solar</v>
      </c>
      <c r="U987" s="284" t="e">
        <f>(IF(Tabla4[[#This Row],[Familia]]="termico solar",Tabla4[[#This Row],[Utilidad Total]]*6%,Tabla4[[#This Row],[Utilidad Total]]*11.5%))/Tabla4[[#This Row],[Total]]</f>
        <v>#N/A</v>
      </c>
      <c r="V987" s="282" t="e">
        <f>+Tabla4[[#This Row],[Comisión Calculada]]*Tabla4[[#This Row],[Total]]</f>
        <v>#N/A</v>
      </c>
    </row>
    <row r="988" spans="1:22" hidden="1" x14ac:dyDescent="0.25">
      <c r="A988" s="100">
        <v>45716</v>
      </c>
      <c r="B988" t="str">
        <f t="shared" si="38"/>
        <v>February</v>
      </c>
      <c r="C988" s="46" t="s">
        <v>280</v>
      </c>
      <c r="F988" s="366" t="s">
        <v>1134</v>
      </c>
      <c r="G988" s="46" t="s">
        <v>18</v>
      </c>
      <c r="H988" s="46">
        <v>1</v>
      </c>
      <c r="I988" s="51">
        <v>5367.65</v>
      </c>
      <c r="J988" s="281">
        <f>++Tabla4[[#This Row],[Precio Bruto]]*1.16</f>
        <v>6226.4739999999993</v>
      </c>
      <c r="K988" s="281">
        <f>+Tabla4[[#This Row],[Precio Unitario Neto]]*Tabla4[[#Headers],[20.85%]]</f>
        <v>1298.2198289999999</v>
      </c>
      <c r="L988" s="282">
        <f>++Tabla4[[#This Row],[Precio Unitario Neto]]-Tabla4[[#This Row],[20.85%]]</f>
        <v>4928.2541709999996</v>
      </c>
      <c r="M988" s="282" t="e">
        <f>(INDEX(Tabla6[#All],MATCH(Tabla4[[#This Row],[Producto]],Tabla6[[#All],[PRODUCTO]],0),MATCH(Tabla4[[#This Row],[Mes]],Tabla6[#Headers],0)))*(1+Catalogos!$L$2)</f>
        <v>#N/A</v>
      </c>
      <c r="N988" s="283" t="e">
        <f>+(Tabla4[[#This Row],[Precio Descontado]]-Tabla4[[#This Row],[Precio Base]])*Tabla4[[#This Row],[Cantidad]]</f>
        <v>#N/A</v>
      </c>
      <c r="O988" s="284" t="e">
        <f>++Tabla4[[#This Row],[Utilidad Total]]/Tabla4[[#This Row],[Total]]</f>
        <v>#N/A</v>
      </c>
      <c r="P988" s="282">
        <f>++Tabla4[[#This Row],[Precio Descontado]]*Tabla4[[#This Row],[Cantidad]]</f>
        <v>4928.2541709999996</v>
      </c>
      <c r="Q988" s="282" t="e">
        <f>(INDEX(Tabla6[#All],MATCH(Tabla4[[#This Row],[Producto]],Tabla6[[#All],[PRODUCTO]],0),MATCH(Tabla4[[#This Row],[Mes]],Tabla6[#Headers],0)))</f>
        <v>#N/A</v>
      </c>
      <c r="R988" s="282" t="e">
        <f>++Tabla4[[#This Row],[Precio Unitario Neto]]-Tabla4[[#This Row],[20.85%]]-Tabla4[[#This Row],[Costo]]</f>
        <v>#N/A</v>
      </c>
      <c r="S988" s="282" t="e">
        <f>++Tabla4[[#This Row],[U. Bruta Uni]]*Tabla4[[#This Row],[Cantidad]]</f>
        <v>#N/A</v>
      </c>
      <c r="T988" s="369" t="str">
        <f>VLOOKUP(Tabla4[[#This Row],[Producto]],Tabla6[#All],14,FALSE)</f>
        <v>Termico Solar</v>
      </c>
      <c r="U988" s="284" t="e">
        <f>(IF(Tabla4[[#This Row],[Familia]]="termico solar",Tabla4[[#This Row],[Utilidad Total]]*6%,Tabla4[[#This Row],[Utilidad Total]]*11.5%))/Tabla4[[#This Row],[Total]]</f>
        <v>#N/A</v>
      </c>
      <c r="V988" s="282" t="e">
        <f>+Tabla4[[#This Row],[Comisión Calculada]]*Tabla4[[#This Row],[Total]]</f>
        <v>#N/A</v>
      </c>
    </row>
    <row r="989" spans="1:22" hidden="1" x14ac:dyDescent="0.25">
      <c r="A989" s="100">
        <v>45716</v>
      </c>
      <c r="B989" t="str">
        <f t="shared" si="38"/>
        <v>February</v>
      </c>
      <c r="C989" s="46" t="s">
        <v>280</v>
      </c>
      <c r="F989" s="366" t="s">
        <v>1134</v>
      </c>
      <c r="G989" s="46" t="s">
        <v>16</v>
      </c>
      <c r="H989" s="46">
        <v>1</v>
      </c>
      <c r="I989" s="51">
        <v>4103.8500000000004</v>
      </c>
      <c r="J989" s="281">
        <f>++Tabla4[[#This Row],[Precio Bruto]]*1.16</f>
        <v>4760.4660000000003</v>
      </c>
      <c r="K989" s="281">
        <f>+Tabla4[[#This Row],[Precio Unitario Neto]]*Tabla4[[#Headers],[20.85%]]</f>
        <v>992.55716100000006</v>
      </c>
      <c r="L989" s="282">
        <f>++Tabla4[[#This Row],[Precio Unitario Neto]]-Tabla4[[#This Row],[20.85%]]</f>
        <v>3767.9088390000002</v>
      </c>
      <c r="M989" s="282" t="e">
        <f>(INDEX(Tabla6[#All],MATCH(Tabla4[[#This Row],[Producto]],Tabla6[[#All],[PRODUCTO]],0),MATCH(Tabla4[[#This Row],[Mes]],Tabla6[#Headers],0)))*(1+Catalogos!$L$2)</f>
        <v>#N/A</v>
      </c>
      <c r="N989" s="283" t="e">
        <f>+(Tabla4[[#This Row],[Precio Descontado]]-Tabla4[[#This Row],[Precio Base]])*Tabla4[[#This Row],[Cantidad]]</f>
        <v>#N/A</v>
      </c>
      <c r="O989" s="284" t="e">
        <f>++Tabla4[[#This Row],[Utilidad Total]]/Tabla4[[#This Row],[Total]]</f>
        <v>#N/A</v>
      </c>
      <c r="P989" s="282">
        <f>++Tabla4[[#This Row],[Precio Descontado]]*Tabla4[[#This Row],[Cantidad]]</f>
        <v>3767.9088390000002</v>
      </c>
      <c r="Q989" s="282" t="e">
        <f>(INDEX(Tabla6[#All],MATCH(Tabla4[[#This Row],[Producto]],Tabla6[[#All],[PRODUCTO]],0),MATCH(Tabla4[[#This Row],[Mes]],Tabla6[#Headers],0)))</f>
        <v>#N/A</v>
      </c>
      <c r="R989" s="282" t="e">
        <f>++Tabla4[[#This Row],[Precio Unitario Neto]]-Tabla4[[#This Row],[20.85%]]-Tabla4[[#This Row],[Costo]]</f>
        <v>#N/A</v>
      </c>
      <c r="S989" s="282" t="e">
        <f>++Tabla4[[#This Row],[U. Bruta Uni]]*Tabla4[[#This Row],[Cantidad]]</f>
        <v>#N/A</v>
      </c>
      <c r="T989" s="369" t="str">
        <f>VLOOKUP(Tabla4[[#This Row],[Producto]],Tabla6[#All],14,FALSE)</f>
        <v>Termico Solar</v>
      </c>
      <c r="U989" s="284" t="e">
        <f>(IF(Tabla4[[#This Row],[Familia]]="termico solar",Tabla4[[#This Row],[Utilidad Total]]*6%,Tabla4[[#This Row],[Utilidad Total]]*11.5%))/Tabla4[[#This Row],[Total]]</f>
        <v>#N/A</v>
      </c>
      <c r="V989" s="282" t="e">
        <f>+Tabla4[[#This Row],[Comisión Calculada]]*Tabla4[[#This Row],[Total]]</f>
        <v>#N/A</v>
      </c>
    </row>
    <row r="990" spans="1:22" hidden="1" x14ac:dyDescent="0.25">
      <c r="A990" s="100">
        <v>45716</v>
      </c>
      <c r="B990" t="str">
        <f t="shared" si="38"/>
        <v>February</v>
      </c>
      <c r="C990" s="46" t="s">
        <v>280</v>
      </c>
      <c r="F990" s="366" t="s">
        <v>1134</v>
      </c>
      <c r="G990" s="46" t="s">
        <v>599</v>
      </c>
      <c r="H990" s="46">
        <v>2</v>
      </c>
      <c r="I990" s="51">
        <v>189.75</v>
      </c>
      <c r="J990" s="281">
        <f>++Tabla4[[#This Row],[Precio Bruto]]*1.16</f>
        <v>220.10999999999999</v>
      </c>
      <c r="K990" s="281">
        <f>+Tabla4[[#This Row],[Precio Unitario Neto]]*Tabla4[[#Headers],[20.85%]]</f>
        <v>45.892934999999994</v>
      </c>
      <c r="L990" s="282">
        <f>++Tabla4[[#This Row],[Precio Unitario Neto]]-Tabla4[[#This Row],[20.85%]]</f>
        <v>174.21706499999999</v>
      </c>
      <c r="M990" s="282" t="e">
        <f>(INDEX(Tabla6[#All],MATCH(Tabla4[[#This Row],[Producto]],Tabla6[[#All],[PRODUCTO]],0),MATCH(Tabla4[[#This Row],[Mes]],Tabla6[#Headers],0)))*(1+Catalogos!$L$2)</f>
        <v>#N/A</v>
      </c>
      <c r="N990" s="283" t="e">
        <f>+(Tabla4[[#This Row],[Precio Descontado]]-Tabla4[[#This Row],[Precio Base]])*Tabla4[[#This Row],[Cantidad]]</f>
        <v>#N/A</v>
      </c>
      <c r="O990" s="284" t="e">
        <f>++Tabla4[[#This Row],[Utilidad Total]]/Tabla4[[#This Row],[Total]]</f>
        <v>#N/A</v>
      </c>
      <c r="P990" s="282">
        <f>++Tabla4[[#This Row],[Precio Descontado]]*Tabla4[[#This Row],[Cantidad]]</f>
        <v>348.43412999999998</v>
      </c>
      <c r="Q990" s="282" t="e">
        <f>(INDEX(Tabla6[#All],MATCH(Tabla4[[#This Row],[Producto]],Tabla6[[#All],[PRODUCTO]],0),MATCH(Tabla4[[#This Row],[Mes]],Tabla6[#Headers],0)))</f>
        <v>#N/A</v>
      </c>
      <c r="R990" s="282" t="e">
        <f>++Tabla4[[#This Row],[Precio Unitario Neto]]-Tabla4[[#This Row],[20.85%]]-Tabla4[[#This Row],[Costo]]</f>
        <v>#N/A</v>
      </c>
      <c r="S990" s="282" t="e">
        <f>++Tabla4[[#This Row],[U. Bruta Uni]]*Tabla4[[#This Row],[Cantidad]]</f>
        <v>#N/A</v>
      </c>
      <c r="T990" s="369" t="str">
        <f>VLOOKUP(Tabla4[[#This Row],[Producto]],Tabla6[#All],14,FALSE)</f>
        <v>Termico Solar</v>
      </c>
      <c r="U990" s="284" t="e">
        <f>(IF(Tabla4[[#This Row],[Familia]]="termico solar",Tabla4[[#This Row],[Utilidad Total]]*6%,Tabla4[[#This Row],[Utilidad Total]]*11.5%))/Tabla4[[#This Row],[Total]]</f>
        <v>#N/A</v>
      </c>
      <c r="V990" s="282" t="e">
        <f>+Tabla4[[#This Row],[Comisión Calculada]]*Tabla4[[#This Row],[Total]]</f>
        <v>#N/A</v>
      </c>
    </row>
    <row r="991" spans="1:22" hidden="1" x14ac:dyDescent="0.25">
      <c r="A991" s="100">
        <v>45716</v>
      </c>
      <c r="B991" t="str">
        <f t="shared" si="38"/>
        <v>February</v>
      </c>
      <c r="C991" s="46" t="s">
        <v>280</v>
      </c>
      <c r="F991" s="366" t="s">
        <v>1134</v>
      </c>
      <c r="G991" s="46" t="s">
        <v>209</v>
      </c>
      <c r="H991" s="46">
        <v>1</v>
      </c>
      <c r="I991" s="51">
        <v>347.48</v>
      </c>
      <c r="J991" s="281">
        <f>++Tabla4[[#This Row],[Precio Bruto]]*1.16</f>
        <v>403.07679999999999</v>
      </c>
      <c r="K991" s="281">
        <f>+Tabla4[[#This Row],[Precio Unitario Neto]]*Tabla4[[#Headers],[20.85%]]</f>
        <v>84.041512799999992</v>
      </c>
      <c r="L991" s="282">
        <f>++Tabla4[[#This Row],[Precio Unitario Neto]]-Tabla4[[#This Row],[20.85%]]</f>
        <v>319.03528719999997</v>
      </c>
      <c r="M991" s="282" t="e">
        <f>(INDEX(Tabla6[#All],MATCH(Tabla4[[#This Row],[Producto]],Tabla6[[#All],[PRODUCTO]],0),MATCH(Tabla4[[#This Row],[Mes]],Tabla6[#Headers],0)))*(1+Catalogos!$L$2)</f>
        <v>#N/A</v>
      </c>
      <c r="N991" s="283" t="e">
        <f>+(Tabla4[[#This Row],[Precio Descontado]]-Tabla4[[#This Row],[Precio Base]])*Tabla4[[#This Row],[Cantidad]]</f>
        <v>#N/A</v>
      </c>
      <c r="O991" s="284" t="e">
        <f>++Tabla4[[#This Row],[Utilidad Total]]/Tabla4[[#This Row],[Total]]</f>
        <v>#N/A</v>
      </c>
      <c r="P991" s="282">
        <f>++Tabla4[[#This Row],[Precio Descontado]]*Tabla4[[#This Row],[Cantidad]]</f>
        <v>319.03528719999997</v>
      </c>
      <c r="Q991" s="282" t="e">
        <f>(INDEX(Tabla6[#All],MATCH(Tabla4[[#This Row],[Producto]],Tabla6[[#All],[PRODUCTO]],0),MATCH(Tabla4[[#This Row],[Mes]],Tabla6[#Headers],0)))</f>
        <v>#N/A</v>
      </c>
      <c r="R991" s="282" t="e">
        <f>++Tabla4[[#This Row],[Precio Unitario Neto]]-Tabla4[[#This Row],[20.85%]]-Tabla4[[#This Row],[Costo]]</f>
        <v>#N/A</v>
      </c>
      <c r="S991" s="282" t="e">
        <f>++Tabla4[[#This Row],[U. Bruta Uni]]*Tabla4[[#This Row],[Cantidad]]</f>
        <v>#N/A</v>
      </c>
      <c r="T991" s="369" t="str">
        <f>VLOOKUP(Tabla4[[#This Row],[Producto]],Tabla6[#All],14,FALSE)</f>
        <v>Termico Solar</v>
      </c>
      <c r="U991" s="284" t="e">
        <f>(IF(Tabla4[[#This Row],[Familia]]="termico solar",Tabla4[[#This Row],[Utilidad Total]]*6%,Tabla4[[#This Row],[Utilidad Total]]*11.5%))/Tabla4[[#This Row],[Total]]</f>
        <v>#N/A</v>
      </c>
      <c r="V991" s="282" t="e">
        <f>+Tabla4[[#This Row],[Comisión Calculada]]*Tabla4[[#This Row],[Total]]</f>
        <v>#N/A</v>
      </c>
    </row>
    <row r="992" spans="1:22" hidden="1" x14ac:dyDescent="0.25">
      <c r="A992" s="100">
        <v>45716</v>
      </c>
      <c r="B992" t="str">
        <f t="shared" ref="B992:B997" si="39">TEXT(A992, "mmmm")</f>
        <v>February</v>
      </c>
      <c r="C992" s="46" t="s">
        <v>280</v>
      </c>
      <c r="F992" s="366" t="s">
        <v>1135</v>
      </c>
      <c r="G992" s="46" t="s">
        <v>83</v>
      </c>
      <c r="H992" s="46">
        <v>3</v>
      </c>
      <c r="I992" s="51">
        <v>8858.76</v>
      </c>
      <c r="J992" s="281">
        <f>++Tabla4[[#This Row],[Precio Bruto]]*1.16</f>
        <v>10276.161599999999</v>
      </c>
      <c r="K992" s="281">
        <f>+Tabla4[[#This Row],[Precio Unitario Neto]]*Tabla4[[#Headers],[20.85%]]</f>
        <v>2142.5796935999997</v>
      </c>
      <c r="L992" s="282">
        <f>++Tabla4[[#This Row],[Precio Unitario Neto]]-Tabla4[[#This Row],[20.85%]]</f>
        <v>8133.5819063999998</v>
      </c>
      <c r="M992" s="282" t="e">
        <f>(INDEX(Tabla6[#All],MATCH(Tabla4[[#This Row],[Producto]],Tabla6[[#All],[PRODUCTO]],0),MATCH(Tabla4[[#This Row],[Mes]],Tabla6[#Headers],0)))*(1+Catalogos!$L$2)</f>
        <v>#N/A</v>
      </c>
      <c r="N992" s="283" t="e">
        <f>+(Tabla4[[#This Row],[Precio Descontado]]-Tabla4[[#This Row],[Precio Base]])*Tabla4[[#This Row],[Cantidad]]</f>
        <v>#N/A</v>
      </c>
      <c r="O992" s="284" t="e">
        <f>++Tabla4[[#This Row],[Utilidad Total]]/Tabla4[[#This Row],[Total]]</f>
        <v>#N/A</v>
      </c>
      <c r="P992" s="282">
        <f>++Tabla4[[#This Row],[Precio Descontado]]*Tabla4[[#This Row],[Cantidad]]</f>
        <v>24400.7457192</v>
      </c>
      <c r="Q992" s="282" t="e">
        <f>(INDEX(Tabla6[#All],MATCH(Tabla4[[#This Row],[Producto]],Tabla6[[#All],[PRODUCTO]],0),MATCH(Tabla4[[#This Row],[Mes]],Tabla6[#Headers],0)))</f>
        <v>#N/A</v>
      </c>
      <c r="R992" s="282" t="e">
        <f>++Tabla4[[#This Row],[Precio Unitario Neto]]-Tabla4[[#This Row],[20.85%]]-Tabla4[[#This Row],[Costo]]</f>
        <v>#N/A</v>
      </c>
      <c r="S992" s="282" t="e">
        <f>++Tabla4[[#This Row],[U. Bruta Uni]]*Tabla4[[#This Row],[Cantidad]]</f>
        <v>#N/A</v>
      </c>
      <c r="T992" s="369" t="str">
        <f>VLOOKUP(Tabla4[[#This Row],[Producto]],Tabla6[#All],14,FALSE)</f>
        <v>Termico Solar</v>
      </c>
      <c r="U992" s="284" t="e">
        <f>(IF(Tabla4[[#This Row],[Familia]]="termico solar",Tabla4[[#This Row],[Utilidad Total]]*6%,Tabla4[[#This Row],[Utilidad Total]]*11.5%))/Tabla4[[#This Row],[Total]]</f>
        <v>#N/A</v>
      </c>
      <c r="V992" s="282" t="e">
        <f>+Tabla4[[#This Row],[Comisión Calculada]]*Tabla4[[#This Row],[Total]]</f>
        <v>#N/A</v>
      </c>
    </row>
    <row r="993" spans="1:22" hidden="1" x14ac:dyDescent="0.25">
      <c r="A993" s="100">
        <v>45716</v>
      </c>
      <c r="B993" t="str">
        <f t="shared" si="39"/>
        <v>February</v>
      </c>
      <c r="C993" s="46" t="s">
        <v>280</v>
      </c>
      <c r="F993" s="366" t="s">
        <v>1135</v>
      </c>
      <c r="G993" s="46" t="s">
        <v>17</v>
      </c>
      <c r="H993" s="46">
        <v>9</v>
      </c>
      <c r="I993" s="51">
        <v>4622.28</v>
      </c>
      <c r="J993" s="281">
        <f>++Tabla4[[#This Row],[Precio Bruto]]*1.16</f>
        <v>5361.8447999999989</v>
      </c>
      <c r="K993" s="281">
        <f>+Tabla4[[#This Row],[Precio Unitario Neto]]*Tabla4[[#Headers],[20.85%]]</f>
        <v>1117.9446407999997</v>
      </c>
      <c r="L993" s="282">
        <f>++Tabla4[[#This Row],[Precio Unitario Neto]]-Tabla4[[#This Row],[20.85%]]</f>
        <v>4243.9001591999995</v>
      </c>
      <c r="M993" s="282" t="e">
        <f>(INDEX(Tabla6[#All],MATCH(Tabla4[[#This Row],[Producto]],Tabla6[[#All],[PRODUCTO]],0),MATCH(Tabla4[[#This Row],[Mes]],Tabla6[#Headers],0)))*(1+Catalogos!$L$2)</f>
        <v>#N/A</v>
      </c>
      <c r="N993" s="283" t="e">
        <f>+(Tabla4[[#This Row],[Precio Descontado]]-Tabla4[[#This Row],[Precio Base]])*Tabla4[[#This Row],[Cantidad]]</f>
        <v>#N/A</v>
      </c>
      <c r="O993" s="284" t="e">
        <f>++Tabla4[[#This Row],[Utilidad Total]]/Tabla4[[#This Row],[Total]]</f>
        <v>#N/A</v>
      </c>
      <c r="P993" s="282">
        <f>++Tabla4[[#This Row],[Precio Descontado]]*Tabla4[[#This Row],[Cantidad]]</f>
        <v>38195.101432799995</v>
      </c>
      <c r="Q993" s="282" t="e">
        <f>(INDEX(Tabla6[#All],MATCH(Tabla4[[#This Row],[Producto]],Tabla6[[#All],[PRODUCTO]],0),MATCH(Tabla4[[#This Row],[Mes]],Tabla6[#Headers],0)))</f>
        <v>#N/A</v>
      </c>
      <c r="R993" s="282" t="e">
        <f>++Tabla4[[#This Row],[Precio Unitario Neto]]-Tabla4[[#This Row],[20.85%]]-Tabla4[[#This Row],[Costo]]</f>
        <v>#N/A</v>
      </c>
      <c r="S993" s="282" t="e">
        <f>++Tabla4[[#This Row],[U. Bruta Uni]]*Tabla4[[#This Row],[Cantidad]]</f>
        <v>#N/A</v>
      </c>
      <c r="T993" s="369" t="str">
        <f>VLOOKUP(Tabla4[[#This Row],[Producto]],Tabla6[#All],14,FALSE)</f>
        <v>Termico Solar</v>
      </c>
      <c r="U993" s="284" t="e">
        <f>(IF(Tabla4[[#This Row],[Familia]]="termico solar",Tabla4[[#This Row],[Utilidad Total]]*6%,Tabla4[[#This Row],[Utilidad Total]]*11.5%))/Tabla4[[#This Row],[Total]]</f>
        <v>#N/A</v>
      </c>
      <c r="V993" s="282" t="e">
        <f>+Tabla4[[#This Row],[Comisión Calculada]]*Tabla4[[#This Row],[Total]]</f>
        <v>#N/A</v>
      </c>
    </row>
    <row r="994" spans="1:22" hidden="1" x14ac:dyDescent="0.25">
      <c r="A994" s="100">
        <v>45716</v>
      </c>
      <c r="B994" t="str">
        <f t="shared" si="39"/>
        <v>February</v>
      </c>
      <c r="C994" s="46" t="s">
        <v>280</v>
      </c>
      <c r="F994" s="366" t="s">
        <v>1135</v>
      </c>
      <c r="G994" s="46" t="s">
        <v>18</v>
      </c>
      <c r="H994" s="46">
        <v>2</v>
      </c>
      <c r="I994" s="51">
        <v>5367.65</v>
      </c>
      <c r="J994" s="281">
        <f>++Tabla4[[#This Row],[Precio Bruto]]*1.16</f>
        <v>6226.4739999999993</v>
      </c>
      <c r="K994" s="281">
        <f>+Tabla4[[#This Row],[Precio Unitario Neto]]*Tabla4[[#Headers],[20.85%]]</f>
        <v>1298.2198289999999</v>
      </c>
      <c r="L994" s="282">
        <f>++Tabla4[[#This Row],[Precio Unitario Neto]]-Tabla4[[#This Row],[20.85%]]</f>
        <v>4928.2541709999996</v>
      </c>
      <c r="M994" s="282" t="e">
        <f>(INDEX(Tabla6[#All],MATCH(Tabla4[[#This Row],[Producto]],Tabla6[[#All],[PRODUCTO]],0),MATCH(Tabla4[[#This Row],[Mes]],Tabla6[#Headers],0)))*(1+Catalogos!$L$2)</f>
        <v>#N/A</v>
      </c>
      <c r="N994" s="283" t="e">
        <f>+(Tabla4[[#This Row],[Precio Descontado]]-Tabla4[[#This Row],[Precio Base]])*Tabla4[[#This Row],[Cantidad]]</f>
        <v>#N/A</v>
      </c>
      <c r="O994" s="284" t="e">
        <f>++Tabla4[[#This Row],[Utilidad Total]]/Tabla4[[#This Row],[Total]]</f>
        <v>#N/A</v>
      </c>
      <c r="P994" s="282">
        <f>++Tabla4[[#This Row],[Precio Descontado]]*Tabla4[[#This Row],[Cantidad]]</f>
        <v>9856.5083419999992</v>
      </c>
      <c r="Q994" s="282" t="e">
        <f>(INDEX(Tabla6[#All],MATCH(Tabla4[[#This Row],[Producto]],Tabla6[[#All],[PRODUCTO]],0),MATCH(Tabla4[[#This Row],[Mes]],Tabla6[#Headers],0)))</f>
        <v>#N/A</v>
      </c>
      <c r="R994" s="282" t="e">
        <f>++Tabla4[[#This Row],[Precio Unitario Neto]]-Tabla4[[#This Row],[20.85%]]-Tabla4[[#This Row],[Costo]]</f>
        <v>#N/A</v>
      </c>
      <c r="S994" s="282" t="e">
        <f>++Tabla4[[#This Row],[U. Bruta Uni]]*Tabla4[[#This Row],[Cantidad]]</f>
        <v>#N/A</v>
      </c>
      <c r="T994" s="369" t="str">
        <f>VLOOKUP(Tabla4[[#This Row],[Producto]],Tabla6[#All],14,FALSE)</f>
        <v>Termico Solar</v>
      </c>
      <c r="U994" s="284" t="e">
        <f>(IF(Tabla4[[#This Row],[Familia]]="termico solar",Tabla4[[#This Row],[Utilidad Total]]*6%,Tabla4[[#This Row],[Utilidad Total]]*11.5%))/Tabla4[[#This Row],[Total]]</f>
        <v>#N/A</v>
      </c>
      <c r="V994" s="282" t="e">
        <f>+Tabla4[[#This Row],[Comisión Calculada]]*Tabla4[[#This Row],[Total]]</f>
        <v>#N/A</v>
      </c>
    </row>
    <row r="995" spans="1:22" hidden="1" x14ac:dyDescent="0.25">
      <c r="A995" s="100">
        <v>45716</v>
      </c>
      <c r="B995" t="str">
        <f t="shared" si="39"/>
        <v>February</v>
      </c>
      <c r="C995" s="46" t="s">
        <v>280</v>
      </c>
      <c r="F995" s="366" t="s">
        <v>1135</v>
      </c>
      <c r="G995" s="46" t="s">
        <v>566</v>
      </c>
      <c r="H995" s="46">
        <v>2</v>
      </c>
      <c r="I995" s="51">
        <v>2109.4499999999998</v>
      </c>
      <c r="J995" s="281">
        <f>++Tabla4[[#This Row],[Precio Bruto]]*1.16</f>
        <v>2446.9619999999995</v>
      </c>
      <c r="K995" s="281">
        <f>+Tabla4[[#This Row],[Precio Unitario Neto]]*Tabla4[[#Headers],[20.85%]]</f>
        <v>510.19157699999988</v>
      </c>
      <c r="L995" s="282">
        <f>++Tabla4[[#This Row],[Precio Unitario Neto]]-Tabla4[[#This Row],[20.85%]]</f>
        <v>1936.7704229999997</v>
      </c>
      <c r="M995" s="282" t="e">
        <f>(INDEX(Tabla6[#All],MATCH(Tabla4[[#This Row],[Producto]],Tabla6[[#All],[PRODUCTO]],0),MATCH(Tabla4[[#This Row],[Mes]],Tabla6[#Headers],0)))*(1+Catalogos!$L$2)</f>
        <v>#N/A</v>
      </c>
      <c r="N995" s="283" t="e">
        <f>+(Tabla4[[#This Row],[Precio Descontado]]-Tabla4[[#This Row],[Precio Base]])*Tabla4[[#This Row],[Cantidad]]</f>
        <v>#N/A</v>
      </c>
      <c r="O995" s="284" t="e">
        <f>++Tabla4[[#This Row],[Utilidad Total]]/Tabla4[[#This Row],[Total]]</f>
        <v>#N/A</v>
      </c>
      <c r="P995" s="282">
        <f>++Tabla4[[#This Row],[Precio Descontado]]*Tabla4[[#This Row],[Cantidad]]</f>
        <v>3873.5408459999994</v>
      </c>
      <c r="Q995" s="282" t="e">
        <f>(INDEX(Tabla6[#All],MATCH(Tabla4[[#This Row],[Producto]],Tabla6[[#All],[PRODUCTO]],0),MATCH(Tabla4[[#This Row],[Mes]],Tabla6[#Headers],0)))</f>
        <v>#N/A</v>
      </c>
      <c r="R995" s="282" t="e">
        <f>++Tabla4[[#This Row],[Precio Unitario Neto]]-Tabla4[[#This Row],[20.85%]]-Tabla4[[#This Row],[Costo]]</f>
        <v>#N/A</v>
      </c>
      <c r="S995" s="282" t="e">
        <f>++Tabla4[[#This Row],[U. Bruta Uni]]*Tabla4[[#This Row],[Cantidad]]</f>
        <v>#N/A</v>
      </c>
      <c r="T995" s="369" t="str">
        <f>VLOOKUP(Tabla4[[#This Row],[Producto]],Tabla6[#All],14,FALSE)</f>
        <v>Termico Solar</v>
      </c>
      <c r="U995" s="284" t="e">
        <f>(IF(Tabla4[[#This Row],[Familia]]="termico solar",Tabla4[[#This Row],[Utilidad Total]]*6%,Tabla4[[#This Row],[Utilidad Total]]*11.5%))/Tabla4[[#This Row],[Total]]</f>
        <v>#N/A</v>
      </c>
      <c r="V995" s="282" t="e">
        <f>+Tabla4[[#This Row],[Comisión Calculada]]*Tabla4[[#This Row],[Total]]</f>
        <v>#N/A</v>
      </c>
    </row>
    <row r="996" spans="1:22" hidden="1" x14ac:dyDescent="0.25">
      <c r="A996" s="100">
        <v>45716</v>
      </c>
      <c r="B996" t="str">
        <f t="shared" si="39"/>
        <v>February</v>
      </c>
      <c r="C996" s="46" t="s">
        <v>280</v>
      </c>
      <c r="F996" s="366" t="s">
        <v>1135</v>
      </c>
      <c r="G996" s="46" t="s">
        <v>16</v>
      </c>
      <c r="H996" s="46">
        <v>2</v>
      </c>
      <c r="I996" s="51">
        <v>4103.8500000000004</v>
      </c>
      <c r="J996" s="281">
        <f>++Tabla4[[#This Row],[Precio Bruto]]*1.16</f>
        <v>4760.4660000000003</v>
      </c>
      <c r="K996" s="281">
        <f>+Tabla4[[#This Row],[Precio Unitario Neto]]*Tabla4[[#Headers],[20.85%]]</f>
        <v>992.55716100000006</v>
      </c>
      <c r="L996" s="282">
        <f>++Tabla4[[#This Row],[Precio Unitario Neto]]-Tabla4[[#This Row],[20.85%]]</f>
        <v>3767.9088390000002</v>
      </c>
      <c r="M996" s="282" t="e">
        <f>(INDEX(Tabla6[#All],MATCH(Tabla4[[#This Row],[Producto]],Tabla6[[#All],[PRODUCTO]],0),MATCH(Tabla4[[#This Row],[Mes]],Tabla6[#Headers],0)))*(1+Catalogos!$L$2)</f>
        <v>#N/A</v>
      </c>
      <c r="N996" s="283" t="e">
        <f>+(Tabla4[[#This Row],[Precio Descontado]]-Tabla4[[#This Row],[Precio Base]])*Tabla4[[#This Row],[Cantidad]]</f>
        <v>#N/A</v>
      </c>
      <c r="O996" s="284" t="e">
        <f>++Tabla4[[#This Row],[Utilidad Total]]/Tabla4[[#This Row],[Total]]</f>
        <v>#N/A</v>
      </c>
      <c r="P996" s="282">
        <f>++Tabla4[[#This Row],[Precio Descontado]]*Tabla4[[#This Row],[Cantidad]]</f>
        <v>7535.8176780000003</v>
      </c>
      <c r="Q996" s="282" t="e">
        <f>(INDEX(Tabla6[#All],MATCH(Tabla4[[#This Row],[Producto]],Tabla6[[#All],[PRODUCTO]],0),MATCH(Tabla4[[#This Row],[Mes]],Tabla6[#Headers],0)))</f>
        <v>#N/A</v>
      </c>
      <c r="R996" s="282" t="e">
        <f>++Tabla4[[#This Row],[Precio Unitario Neto]]-Tabla4[[#This Row],[20.85%]]-Tabla4[[#This Row],[Costo]]</f>
        <v>#N/A</v>
      </c>
      <c r="S996" s="282" t="e">
        <f>++Tabla4[[#This Row],[U. Bruta Uni]]*Tabla4[[#This Row],[Cantidad]]</f>
        <v>#N/A</v>
      </c>
      <c r="T996" s="369" t="str">
        <f>VLOOKUP(Tabla4[[#This Row],[Producto]],Tabla6[#All],14,FALSE)</f>
        <v>Termico Solar</v>
      </c>
      <c r="U996" s="284" t="e">
        <f>(IF(Tabla4[[#This Row],[Familia]]="termico solar",Tabla4[[#This Row],[Utilidad Total]]*6%,Tabla4[[#This Row],[Utilidad Total]]*11.5%))/Tabla4[[#This Row],[Total]]</f>
        <v>#N/A</v>
      </c>
      <c r="V996" s="282" t="e">
        <f>+Tabla4[[#This Row],[Comisión Calculada]]*Tabla4[[#This Row],[Total]]</f>
        <v>#N/A</v>
      </c>
    </row>
    <row r="997" spans="1:22" hidden="1" x14ac:dyDescent="0.25">
      <c r="A997" s="100">
        <v>45716</v>
      </c>
      <c r="B997" t="str">
        <f t="shared" si="39"/>
        <v>February</v>
      </c>
      <c r="C997" s="46" t="s">
        <v>280</v>
      </c>
      <c r="F997" s="366" t="s">
        <v>1135</v>
      </c>
      <c r="G997" s="46" t="s">
        <v>394</v>
      </c>
      <c r="H997" s="46">
        <v>16</v>
      </c>
      <c r="I997" s="51">
        <v>224.29</v>
      </c>
      <c r="J997" s="281">
        <f>++Tabla4[[#This Row],[Precio Bruto]]*1.16</f>
        <v>260.1764</v>
      </c>
      <c r="K997" s="281">
        <f>+Tabla4[[#This Row],[Precio Unitario Neto]]*Tabla4[[#Headers],[20.85%]]</f>
        <v>54.246779400000001</v>
      </c>
      <c r="L997" s="282">
        <f>++Tabla4[[#This Row],[Precio Unitario Neto]]-Tabla4[[#This Row],[20.85%]]</f>
        <v>205.92962059999999</v>
      </c>
      <c r="M997" s="282" t="e">
        <f>(INDEX(Tabla6[#All],MATCH(Tabla4[[#This Row],[Producto]],Tabla6[[#All],[PRODUCTO]],0),MATCH(Tabla4[[#This Row],[Mes]],Tabla6[#Headers],0)))*(1+Catalogos!$L$2)</f>
        <v>#N/A</v>
      </c>
      <c r="N997" s="283" t="e">
        <f>+(Tabla4[[#This Row],[Precio Descontado]]-Tabla4[[#This Row],[Precio Base]])*Tabla4[[#This Row],[Cantidad]]</f>
        <v>#N/A</v>
      </c>
      <c r="O997" s="284" t="e">
        <f>++Tabla4[[#This Row],[Utilidad Total]]/Tabla4[[#This Row],[Total]]</f>
        <v>#N/A</v>
      </c>
      <c r="P997" s="282">
        <f>++Tabla4[[#This Row],[Precio Descontado]]*Tabla4[[#This Row],[Cantidad]]</f>
        <v>3294.8739295999999</v>
      </c>
      <c r="Q997" s="282" t="e">
        <f>(INDEX(Tabla6[#All],MATCH(Tabla4[[#This Row],[Producto]],Tabla6[[#All],[PRODUCTO]],0),MATCH(Tabla4[[#This Row],[Mes]],Tabla6[#Headers],0)))</f>
        <v>#N/A</v>
      </c>
      <c r="R997" s="282" t="e">
        <f>++Tabla4[[#This Row],[Precio Unitario Neto]]-Tabla4[[#This Row],[20.85%]]-Tabla4[[#This Row],[Costo]]</f>
        <v>#N/A</v>
      </c>
      <c r="S997" s="282" t="e">
        <f>++Tabla4[[#This Row],[U. Bruta Uni]]*Tabla4[[#This Row],[Cantidad]]</f>
        <v>#N/A</v>
      </c>
      <c r="T997" s="369" t="str">
        <f>VLOOKUP(Tabla4[[#This Row],[Producto]],Tabla6[#All],14,FALSE)</f>
        <v>Termico Solar</v>
      </c>
      <c r="U997" s="284" t="e">
        <f>(IF(Tabla4[[#This Row],[Familia]]="termico solar",Tabla4[[#This Row],[Utilidad Total]]*6%,Tabla4[[#This Row],[Utilidad Total]]*11.5%))/Tabla4[[#This Row],[Total]]</f>
        <v>#N/A</v>
      </c>
      <c r="V997" s="282" t="e">
        <f>+Tabla4[[#This Row],[Comisión Calculada]]*Tabla4[[#This Row],[Total]]</f>
        <v>#N/A</v>
      </c>
    </row>
    <row r="998" spans="1:22" hidden="1" x14ac:dyDescent="0.25">
      <c r="A998" s="100">
        <v>45716</v>
      </c>
      <c r="B998" t="str">
        <f t="shared" ref="B998:B1029" si="40">TEXT(A998, "mmmm")</f>
        <v>February</v>
      </c>
      <c r="C998" s="46" t="s">
        <v>280</v>
      </c>
      <c r="F998" s="366" t="s">
        <v>1136</v>
      </c>
      <c r="G998" s="46" t="s">
        <v>83</v>
      </c>
      <c r="H998" s="46">
        <v>1</v>
      </c>
      <c r="I998" s="51">
        <v>8858.76</v>
      </c>
      <c r="J998" s="281">
        <f>++Tabla4[[#This Row],[Precio Bruto]]*1.16</f>
        <v>10276.161599999999</v>
      </c>
      <c r="K998" s="281">
        <f>+Tabla4[[#This Row],[Precio Unitario Neto]]*Tabla4[[#Headers],[20.85%]]</f>
        <v>2142.5796935999997</v>
      </c>
      <c r="L998" s="282">
        <f>++Tabla4[[#This Row],[Precio Unitario Neto]]-Tabla4[[#This Row],[20.85%]]</f>
        <v>8133.5819063999998</v>
      </c>
      <c r="M998" s="282" t="e">
        <f>(INDEX(Tabla6[#All],MATCH(Tabla4[[#This Row],[Producto]],Tabla6[[#All],[PRODUCTO]],0),MATCH(Tabla4[[#This Row],[Mes]],Tabla6[#Headers],0)))*(1+Catalogos!$L$2)</f>
        <v>#N/A</v>
      </c>
      <c r="N998" s="283" t="e">
        <f>+(Tabla4[[#This Row],[Precio Descontado]]-Tabla4[[#This Row],[Precio Base]])*Tabla4[[#This Row],[Cantidad]]</f>
        <v>#N/A</v>
      </c>
      <c r="O998" s="284" t="e">
        <f>++Tabla4[[#This Row],[Utilidad Total]]/Tabla4[[#This Row],[Total]]</f>
        <v>#N/A</v>
      </c>
      <c r="P998" s="282">
        <f>++Tabla4[[#This Row],[Precio Descontado]]*Tabla4[[#This Row],[Cantidad]]</f>
        <v>8133.5819063999998</v>
      </c>
      <c r="Q998" s="282" t="e">
        <f>(INDEX(Tabla6[#All],MATCH(Tabla4[[#This Row],[Producto]],Tabla6[[#All],[PRODUCTO]],0),MATCH(Tabla4[[#This Row],[Mes]],Tabla6[#Headers],0)))</f>
        <v>#N/A</v>
      </c>
      <c r="R998" s="282" t="e">
        <f>++Tabla4[[#This Row],[Precio Unitario Neto]]-Tabla4[[#This Row],[20.85%]]-Tabla4[[#This Row],[Costo]]</f>
        <v>#N/A</v>
      </c>
      <c r="S998" s="282" t="e">
        <f>++Tabla4[[#This Row],[U. Bruta Uni]]*Tabla4[[#This Row],[Cantidad]]</f>
        <v>#N/A</v>
      </c>
      <c r="T998" s="369" t="str">
        <f>VLOOKUP(Tabla4[[#This Row],[Producto]],Tabla6[#All],14,FALSE)</f>
        <v>Termico Solar</v>
      </c>
      <c r="U998" s="284" t="e">
        <f>(IF(Tabla4[[#This Row],[Familia]]="termico solar",Tabla4[[#This Row],[Utilidad Total]]*6%,Tabla4[[#This Row],[Utilidad Total]]*11.5%))/Tabla4[[#This Row],[Total]]</f>
        <v>#N/A</v>
      </c>
      <c r="V998" s="282" t="e">
        <f>+Tabla4[[#This Row],[Comisión Calculada]]*Tabla4[[#This Row],[Total]]</f>
        <v>#N/A</v>
      </c>
    </row>
    <row r="999" spans="1:22" hidden="1" x14ac:dyDescent="0.25">
      <c r="A999" s="100">
        <v>45716</v>
      </c>
      <c r="B999" t="str">
        <f t="shared" si="40"/>
        <v>February</v>
      </c>
      <c r="C999" s="46" t="s">
        <v>280</v>
      </c>
      <c r="F999" s="366" t="s">
        <v>1137</v>
      </c>
      <c r="G999" s="46" t="s">
        <v>83</v>
      </c>
      <c r="H999" s="46">
        <v>1</v>
      </c>
      <c r="I999" s="51">
        <v>8858.76</v>
      </c>
      <c r="J999" s="281">
        <f>++Tabla4[[#This Row],[Precio Bruto]]*1.16</f>
        <v>10276.161599999999</v>
      </c>
      <c r="K999" s="281">
        <f>+Tabla4[[#This Row],[Precio Unitario Neto]]*Tabla4[[#Headers],[20.85%]]</f>
        <v>2142.5796935999997</v>
      </c>
      <c r="L999" s="282">
        <f>++Tabla4[[#This Row],[Precio Unitario Neto]]-Tabla4[[#This Row],[20.85%]]</f>
        <v>8133.5819063999998</v>
      </c>
      <c r="M999" s="282" t="e">
        <f>(INDEX(Tabla6[#All],MATCH(Tabla4[[#This Row],[Producto]],Tabla6[[#All],[PRODUCTO]],0),MATCH(Tabla4[[#This Row],[Mes]],Tabla6[#Headers],0)))*(1+Catalogos!$L$2)</f>
        <v>#N/A</v>
      </c>
      <c r="N999" s="283" t="e">
        <f>+(Tabla4[[#This Row],[Precio Descontado]]-Tabla4[[#This Row],[Precio Base]])*Tabla4[[#This Row],[Cantidad]]</f>
        <v>#N/A</v>
      </c>
      <c r="O999" s="284" t="e">
        <f>++Tabla4[[#This Row],[Utilidad Total]]/Tabla4[[#This Row],[Total]]</f>
        <v>#N/A</v>
      </c>
      <c r="P999" s="282">
        <f>++Tabla4[[#This Row],[Precio Descontado]]*Tabla4[[#This Row],[Cantidad]]</f>
        <v>8133.5819063999998</v>
      </c>
      <c r="Q999" s="282" t="e">
        <f>(INDEX(Tabla6[#All],MATCH(Tabla4[[#This Row],[Producto]],Tabla6[[#All],[PRODUCTO]],0),MATCH(Tabla4[[#This Row],[Mes]],Tabla6[#Headers],0)))</f>
        <v>#N/A</v>
      </c>
      <c r="R999" s="282" t="e">
        <f>++Tabla4[[#This Row],[Precio Unitario Neto]]-Tabla4[[#This Row],[20.85%]]-Tabla4[[#This Row],[Costo]]</f>
        <v>#N/A</v>
      </c>
      <c r="S999" s="282" t="e">
        <f>++Tabla4[[#This Row],[U. Bruta Uni]]*Tabla4[[#This Row],[Cantidad]]</f>
        <v>#N/A</v>
      </c>
      <c r="T999" s="369" t="str">
        <f>VLOOKUP(Tabla4[[#This Row],[Producto]],Tabla6[#All],14,FALSE)</f>
        <v>Termico Solar</v>
      </c>
      <c r="U999" s="284" t="e">
        <f>(IF(Tabla4[[#This Row],[Familia]]="termico solar",Tabla4[[#This Row],[Utilidad Total]]*6%,Tabla4[[#This Row],[Utilidad Total]]*11.5%))/Tabla4[[#This Row],[Total]]</f>
        <v>#N/A</v>
      </c>
      <c r="V999" s="282" t="e">
        <f>+Tabla4[[#This Row],[Comisión Calculada]]*Tabla4[[#This Row],[Total]]</f>
        <v>#N/A</v>
      </c>
    </row>
    <row r="1000" spans="1:22" hidden="1" x14ac:dyDescent="0.25">
      <c r="A1000" s="100">
        <v>45716</v>
      </c>
      <c r="B1000" t="str">
        <f t="shared" si="40"/>
        <v>February</v>
      </c>
      <c r="C1000" s="46" t="s">
        <v>280</v>
      </c>
      <c r="F1000" s="366" t="s">
        <v>1137</v>
      </c>
      <c r="G1000" s="46" t="s">
        <v>18</v>
      </c>
      <c r="H1000" s="46">
        <v>1</v>
      </c>
      <c r="I1000" s="51">
        <v>5367.65</v>
      </c>
      <c r="J1000" s="281">
        <f>++Tabla4[[#This Row],[Precio Bruto]]*1.16</f>
        <v>6226.4739999999993</v>
      </c>
      <c r="K1000" s="281">
        <f>+Tabla4[[#This Row],[Precio Unitario Neto]]*Tabla4[[#Headers],[20.85%]]</f>
        <v>1298.2198289999999</v>
      </c>
      <c r="L1000" s="282">
        <f>++Tabla4[[#This Row],[Precio Unitario Neto]]-Tabla4[[#This Row],[20.85%]]</f>
        <v>4928.2541709999996</v>
      </c>
      <c r="M1000" s="282" t="e">
        <f>(INDEX(Tabla6[#All],MATCH(Tabla4[[#This Row],[Producto]],Tabla6[[#All],[PRODUCTO]],0),MATCH(Tabla4[[#This Row],[Mes]],Tabla6[#Headers],0)))*(1+Catalogos!$L$2)</f>
        <v>#N/A</v>
      </c>
      <c r="N1000" s="283" t="e">
        <f>+(Tabla4[[#This Row],[Precio Descontado]]-Tabla4[[#This Row],[Precio Base]])*Tabla4[[#This Row],[Cantidad]]</f>
        <v>#N/A</v>
      </c>
      <c r="O1000" s="284" t="e">
        <f>++Tabla4[[#This Row],[Utilidad Total]]/Tabla4[[#This Row],[Total]]</f>
        <v>#N/A</v>
      </c>
      <c r="P1000" s="282">
        <f>++Tabla4[[#This Row],[Precio Descontado]]*Tabla4[[#This Row],[Cantidad]]</f>
        <v>4928.2541709999996</v>
      </c>
      <c r="Q1000" s="282" t="e">
        <f>(INDEX(Tabla6[#All],MATCH(Tabla4[[#This Row],[Producto]],Tabla6[[#All],[PRODUCTO]],0),MATCH(Tabla4[[#This Row],[Mes]],Tabla6[#Headers],0)))</f>
        <v>#N/A</v>
      </c>
      <c r="R1000" s="282" t="e">
        <f>++Tabla4[[#This Row],[Precio Unitario Neto]]-Tabla4[[#This Row],[20.85%]]-Tabla4[[#This Row],[Costo]]</f>
        <v>#N/A</v>
      </c>
      <c r="S1000" s="282" t="e">
        <f>++Tabla4[[#This Row],[U. Bruta Uni]]*Tabla4[[#This Row],[Cantidad]]</f>
        <v>#N/A</v>
      </c>
      <c r="T1000" s="369" t="str">
        <f>VLOOKUP(Tabla4[[#This Row],[Producto]],Tabla6[#All],14,FALSE)</f>
        <v>Termico Solar</v>
      </c>
      <c r="U1000" s="284" t="e">
        <f>(IF(Tabla4[[#This Row],[Familia]]="termico solar",Tabla4[[#This Row],[Utilidad Total]]*6%,Tabla4[[#This Row],[Utilidad Total]]*11.5%))/Tabla4[[#This Row],[Total]]</f>
        <v>#N/A</v>
      </c>
      <c r="V1000" s="282" t="e">
        <f>+Tabla4[[#This Row],[Comisión Calculada]]*Tabla4[[#This Row],[Total]]</f>
        <v>#N/A</v>
      </c>
    </row>
    <row r="1001" spans="1:22" hidden="1" x14ac:dyDescent="0.25">
      <c r="A1001" s="100">
        <v>45716</v>
      </c>
      <c r="B1001" t="str">
        <f t="shared" si="40"/>
        <v>February</v>
      </c>
      <c r="C1001" s="46" t="s">
        <v>280</v>
      </c>
      <c r="F1001" s="366" t="s">
        <v>1137</v>
      </c>
      <c r="G1001" s="46" t="s">
        <v>566</v>
      </c>
      <c r="H1001" s="46">
        <v>1</v>
      </c>
      <c r="I1001" s="51">
        <v>2109.4499999999998</v>
      </c>
      <c r="J1001" s="281">
        <f>++Tabla4[[#This Row],[Precio Bruto]]*1.16</f>
        <v>2446.9619999999995</v>
      </c>
      <c r="K1001" s="281">
        <f>+Tabla4[[#This Row],[Precio Unitario Neto]]*Tabla4[[#Headers],[20.85%]]</f>
        <v>510.19157699999988</v>
      </c>
      <c r="L1001" s="282">
        <f>++Tabla4[[#This Row],[Precio Unitario Neto]]-Tabla4[[#This Row],[20.85%]]</f>
        <v>1936.7704229999997</v>
      </c>
      <c r="M1001" s="282" t="e">
        <f>(INDEX(Tabla6[#All],MATCH(Tabla4[[#This Row],[Producto]],Tabla6[[#All],[PRODUCTO]],0),MATCH(Tabla4[[#This Row],[Mes]],Tabla6[#Headers],0)))*(1+Catalogos!$L$2)</f>
        <v>#N/A</v>
      </c>
      <c r="N1001" s="283" t="e">
        <f>+(Tabla4[[#This Row],[Precio Descontado]]-Tabla4[[#This Row],[Precio Base]])*Tabla4[[#This Row],[Cantidad]]</f>
        <v>#N/A</v>
      </c>
      <c r="O1001" s="284" t="e">
        <f>++Tabla4[[#This Row],[Utilidad Total]]/Tabla4[[#This Row],[Total]]</f>
        <v>#N/A</v>
      </c>
      <c r="P1001" s="282">
        <f>++Tabla4[[#This Row],[Precio Descontado]]*Tabla4[[#This Row],[Cantidad]]</f>
        <v>1936.7704229999997</v>
      </c>
      <c r="Q1001" s="282" t="e">
        <f>(INDEX(Tabla6[#All],MATCH(Tabla4[[#This Row],[Producto]],Tabla6[[#All],[PRODUCTO]],0),MATCH(Tabla4[[#This Row],[Mes]],Tabla6[#Headers],0)))</f>
        <v>#N/A</v>
      </c>
      <c r="R1001" s="282" t="e">
        <f>++Tabla4[[#This Row],[Precio Unitario Neto]]-Tabla4[[#This Row],[20.85%]]-Tabla4[[#This Row],[Costo]]</f>
        <v>#N/A</v>
      </c>
      <c r="S1001" s="282" t="e">
        <f>++Tabla4[[#This Row],[U. Bruta Uni]]*Tabla4[[#This Row],[Cantidad]]</f>
        <v>#N/A</v>
      </c>
      <c r="T1001" s="369" t="str">
        <f>VLOOKUP(Tabla4[[#This Row],[Producto]],Tabla6[#All],14,FALSE)</f>
        <v>Termico Solar</v>
      </c>
      <c r="U1001" s="284" t="e">
        <f>(IF(Tabla4[[#This Row],[Familia]]="termico solar",Tabla4[[#This Row],[Utilidad Total]]*6%,Tabla4[[#This Row],[Utilidad Total]]*11.5%))/Tabla4[[#This Row],[Total]]</f>
        <v>#N/A</v>
      </c>
      <c r="V1001" s="282" t="e">
        <f>+Tabla4[[#This Row],[Comisión Calculada]]*Tabla4[[#This Row],[Total]]</f>
        <v>#N/A</v>
      </c>
    </row>
    <row r="1002" spans="1:22" hidden="1" x14ac:dyDescent="0.25">
      <c r="A1002" s="100">
        <v>45716</v>
      </c>
      <c r="B1002" t="str">
        <f t="shared" si="40"/>
        <v>February</v>
      </c>
      <c r="C1002" s="46" t="s">
        <v>280</v>
      </c>
      <c r="F1002" s="366" t="s">
        <v>1138</v>
      </c>
      <c r="G1002" s="46" t="s">
        <v>83</v>
      </c>
      <c r="H1002" s="46">
        <v>4</v>
      </c>
      <c r="I1002" s="51">
        <v>8858.76</v>
      </c>
      <c r="J1002" s="281">
        <f>++Tabla4[[#This Row],[Precio Bruto]]*1.16</f>
        <v>10276.161599999999</v>
      </c>
      <c r="K1002" s="281">
        <f>+Tabla4[[#This Row],[Precio Unitario Neto]]*Tabla4[[#Headers],[20.85%]]</f>
        <v>2142.5796935999997</v>
      </c>
      <c r="L1002" s="282">
        <f>++Tabla4[[#This Row],[Precio Unitario Neto]]-Tabla4[[#This Row],[20.85%]]</f>
        <v>8133.5819063999998</v>
      </c>
      <c r="M1002" s="282" t="e">
        <f>(INDEX(Tabla6[#All],MATCH(Tabla4[[#This Row],[Producto]],Tabla6[[#All],[PRODUCTO]],0),MATCH(Tabla4[[#This Row],[Mes]],Tabla6[#Headers],0)))*(1+Catalogos!$L$2)</f>
        <v>#N/A</v>
      </c>
      <c r="N1002" s="283" t="e">
        <f>+(Tabla4[[#This Row],[Precio Descontado]]-Tabla4[[#This Row],[Precio Base]])*Tabla4[[#This Row],[Cantidad]]</f>
        <v>#N/A</v>
      </c>
      <c r="O1002" s="284" t="e">
        <f>++Tabla4[[#This Row],[Utilidad Total]]/Tabla4[[#This Row],[Total]]</f>
        <v>#N/A</v>
      </c>
      <c r="P1002" s="282">
        <f>++Tabla4[[#This Row],[Precio Descontado]]*Tabla4[[#This Row],[Cantidad]]</f>
        <v>32534.327625599999</v>
      </c>
      <c r="Q1002" s="282" t="e">
        <f>(INDEX(Tabla6[#All],MATCH(Tabla4[[#This Row],[Producto]],Tabla6[[#All],[PRODUCTO]],0),MATCH(Tabla4[[#This Row],[Mes]],Tabla6[#Headers],0)))</f>
        <v>#N/A</v>
      </c>
      <c r="R1002" s="282" t="e">
        <f>++Tabla4[[#This Row],[Precio Unitario Neto]]-Tabla4[[#This Row],[20.85%]]-Tabla4[[#This Row],[Costo]]</f>
        <v>#N/A</v>
      </c>
      <c r="S1002" s="282" t="e">
        <f>++Tabla4[[#This Row],[U. Bruta Uni]]*Tabla4[[#This Row],[Cantidad]]</f>
        <v>#N/A</v>
      </c>
      <c r="T1002" s="369" t="str">
        <f>VLOOKUP(Tabla4[[#This Row],[Producto]],Tabla6[#All],14,FALSE)</f>
        <v>Termico Solar</v>
      </c>
      <c r="U1002" s="284" t="e">
        <f>(IF(Tabla4[[#This Row],[Familia]]="termico solar",Tabla4[[#This Row],[Utilidad Total]]*6%,Tabla4[[#This Row],[Utilidad Total]]*11.5%))/Tabla4[[#This Row],[Total]]</f>
        <v>#N/A</v>
      </c>
      <c r="V1002" s="282" t="e">
        <f>+Tabla4[[#This Row],[Comisión Calculada]]*Tabla4[[#This Row],[Total]]</f>
        <v>#N/A</v>
      </c>
    </row>
    <row r="1003" spans="1:22" hidden="1" x14ac:dyDescent="0.25">
      <c r="A1003" s="100">
        <v>45716</v>
      </c>
      <c r="B1003" t="str">
        <f t="shared" si="40"/>
        <v>February</v>
      </c>
      <c r="C1003" s="46" t="s">
        <v>280</v>
      </c>
      <c r="F1003" s="366" t="s">
        <v>1138</v>
      </c>
      <c r="G1003" s="46" t="s">
        <v>17</v>
      </c>
      <c r="H1003" s="46">
        <v>2</v>
      </c>
      <c r="I1003" s="51">
        <v>4622.28</v>
      </c>
      <c r="J1003" s="281">
        <f>++Tabla4[[#This Row],[Precio Bruto]]*1.16</f>
        <v>5361.8447999999989</v>
      </c>
      <c r="K1003" s="281">
        <f>+Tabla4[[#This Row],[Precio Unitario Neto]]*Tabla4[[#Headers],[20.85%]]</f>
        <v>1117.9446407999997</v>
      </c>
      <c r="L1003" s="282">
        <f>++Tabla4[[#This Row],[Precio Unitario Neto]]-Tabla4[[#This Row],[20.85%]]</f>
        <v>4243.9001591999995</v>
      </c>
      <c r="M1003" s="282" t="e">
        <f>(INDEX(Tabla6[#All],MATCH(Tabla4[[#This Row],[Producto]],Tabla6[[#All],[PRODUCTO]],0),MATCH(Tabla4[[#This Row],[Mes]],Tabla6[#Headers],0)))*(1+Catalogos!$L$2)</f>
        <v>#N/A</v>
      </c>
      <c r="N1003" s="283" t="e">
        <f>+(Tabla4[[#This Row],[Precio Descontado]]-Tabla4[[#This Row],[Precio Base]])*Tabla4[[#This Row],[Cantidad]]</f>
        <v>#N/A</v>
      </c>
      <c r="O1003" s="284" t="e">
        <f>++Tabla4[[#This Row],[Utilidad Total]]/Tabla4[[#This Row],[Total]]</f>
        <v>#N/A</v>
      </c>
      <c r="P1003" s="282">
        <f>++Tabla4[[#This Row],[Precio Descontado]]*Tabla4[[#This Row],[Cantidad]]</f>
        <v>8487.800318399999</v>
      </c>
      <c r="Q1003" s="282" t="e">
        <f>(INDEX(Tabla6[#All],MATCH(Tabla4[[#This Row],[Producto]],Tabla6[[#All],[PRODUCTO]],0),MATCH(Tabla4[[#This Row],[Mes]],Tabla6[#Headers],0)))</f>
        <v>#N/A</v>
      </c>
      <c r="R1003" s="282" t="e">
        <f>++Tabla4[[#This Row],[Precio Unitario Neto]]-Tabla4[[#This Row],[20.85%]]-Tabla4[[#This Row],[Costo]]</f>
        <v>#N/A</v>
      </c>
      <c r="S1003" s="282" t="e">
        <f>++Tabla4[[#This Row],[U. Bruta Uni]]*Tabla4[[#This Row],[Cantidad]]</f>
        <v>#N/A</v>
      </c>
      <c r="T1003" s="369" t="str">
        <f>VLOOKUP(Tabla4[[#This Row],[Producto]],Tabla6[#All],14,FALSE)</f>
        <v>Termico Solar</v>
      </c>
      <c r="U1003" s="284" t="e">
        <f>(IF(Tabla4[[#This Row],[Familia]]="termico solar",Tabla4[[#This Row],[Utilidad Total]]*6%,Tabla4[[#This Row],[Utilidad Total]]*11.5%))/Tabla4[[#This Row],[Total]]</f>
        <v>#N/A</v>
      </c>
      <c r="V1003" s="282" t="e">
        <f>+Tabla4[[#This Row],[Comisión Calculada]]*Tabla4[[#This Row],[Total]]</f>
        <v>#N/A</v>
      </c>
    </row>
    <row r="1004" spans="1:22" hidden="1" x14ac:dyDescent="0.25">
      <c r="A1004" s="100">
        <v>45716</v>
      </c>
      <c r="B1004" t="str">
        <f t="shared" si="40"/>
        <v>February</v>
      </c>
      <c r="C1004" s="46" t="s">
        <v>280</v>
      </c>
      <c r="F1004" s="366" t="s">
        <v>1138</v>
      </c>
      <c r="G1004" s="46" t="s">
        <v>18</v>
      </c>
      <c r="H1004" s="46">
        <v>3</v>
      </c>
      <c r="I1004" s="51">
        <v>5367.6500000000005</v>
      </c>
      <c r="J1004" s="281">
        <f>++Tabla4[[#This Row],[Precio Bruto]]*1.16</f>
        <v>6226.4740000000002</v>
      </c>
      <c r="K1004" s="281">
        <f>+Tabla4[[#This Row],[Precio Unitario Neto]]*Tabla4[[#Headers],[20.85%]]</f>
        <v>1298.2198289999999</v>
      </c>
      <c r="L1004" s="282">
        <f>++Tabla4[[#This Row],[Precio Unitario Neto]]-Tabla4[[#This Row],[20.85%]]</f>
        <v>4928.2541710000005</v>
      </c>
      <c r="M1004" s="282" t="e">
        <f>(INDEX(Tabla6[#All],MATCH(Tabla4[[#This Row],[Producto]],Tabla6[[#All],[PRODUCTO]],0),MATCH(Tabla4[[#This Row],[Mes]],Tabla6[#Headers],0)))*(1+Catalogos!$L$2)</f>
        <v>#N/A</v>
      </c>
      <c r="N1004" s="283" t="e">
        <f>+(Tabla4[[#This Row],[Precio Descontado]]-Tabla4[[#This Row],[Precio Base]])*Tabla4[[#This Row],[Cantidad]]</f>
        <v>#N/A</v>
      </c>
      <c r="O1004" s="284" t="e">
        <f>++Tabla4[[#This Row],[Utilidad Total]]/Tabla4[[#This Row],[Total]]</f>
        <v>#N/A</v>
      </c>
      <c r="P1004" s="282">
        <f>++Tabla4[[#This Row],[Precio Descontado]]*Tabla4[[#This Row],[Cantidad]]</f>
        <v>14784.762513000001</v>
      </c>
      <c r="Q1004" s="282" t="e">
        <f>(INDEX(Tabla6[#All],MATCH(Tabla4[[#This Row],[Producto]],Tabla6[[#All],[PRODUCTO]],0),MATCH(Tabla4[[#This Row],[Mes]],Tabla6[#Headers],0)))</f>
        <v>#N/A</v>
      </c>
      <c r="R1004" s="282" t="e">
        <f>++Tabla4[[#This Row],[Precio Unitario Neto]]-Tabla4[[#This Row],[20.85%]]-Tabla4[[#This Row],[Costo]]</f>
        <v>#N/A</v>
      </c>
      <c r="S1004" s="282" t="e">
        <f>++Tabla4[[#This Row],[U. Bruta Uni]]*Tabla4[[#This Row],[Cantidad]]</f>
        <v>#N/A</v>
      </c>
      <c r="T1004" s="369" t="str">
        <f>VLOOKUP(Tabla4[[#This Row],[Producto]],Tabla6[#All],14,FALSE)</f>
        <v>Termico Solar</v>
      </c>
      <c r="U1004" s="284" t="e">
        <f>(IF(Tabla4[[#This Row],[Familia]]="termico solar",Tabla4[[#This Row],[Utilidad Total]]*6%,Tabla4[[#This Row],[Utilidad Total]]*11.5%))/Tabla4[[#This Row],[Total]]</f>
        <v>#N/A</v>
      </c>
      <c r="V1004" s="282" t="e">
        <f>+Tabla4[[#This Row],[Comisión Calculada]]*Tabla4[[#This Row],[Total]]</f>
        <v>#N/A</v>
      </c>
    </row>
    <row r="1005" spans="1:22" hidden="1" x14ac:dyDescent="0.25">
      <c r="A1005" s="100">
        <v>45716</v>
      </c>
      <c r="B1005" t="str">
        <f t="shared" si="40"/>
        <v>February</v>
      </c>
      <c r="C1005" s="46" t="s">
        <v>280</v>
      </c>
      <c r="F1005" s="366" t="s">
        <v>1139</v>
      </c>
      <c r="G1005" s="46" t="s">
        <v>17</v>
      </c>
      <c r="H1005" s="46">
        <v>4</v>
      </c>
      <c r="I1005" s="51">
        <v>4622.28</v>
      </c>
      <c r="J1005" s="281">
        <f>++Tabla4[[#This Row],[Precio Bruto]]*1.16</f>
        <v>5361.8447999999989</v>
      </c>
      <c r="K1005" s="281">
        <f>+Tabla4[[#This Row],[Precio Unitario Neto]]*Tabla4[[#Headers],[20.85%]]</f>
        <v>1117.9446407999997</v>
      </c>
      <c r="L1005" s="282">
        <f>++Tabla4[[#This Row],[Precio Unitario Neto]]-Tabla4[[#This Row],[20.85%]]</f>
        <v>4243.9001591999995</v>
      </c>
      <c r="M1005" s="282" t="e">
        <f>(INDEX(Tabla6[#All],MATCH(Tabla4[[#This Row],[Producto]],Tabla6[[#All],[PRODUCTO]],0),MATCH(Tabla4[[#This Row],[Mes]],Tabla6[#Headers],0)))*(1+Catalogos!$L$2)</f>
        <v>#N/A</v>
      </c>
      <c r="N1005" s="283" t="e">
        <f>+(Tabla4[[#This Row],[Precio Descontado]]-Tabla4[[#This Row],[Precio Base]])*Tabla4[[#This Row],[Cantidad]]</f>
        <v>#N/A</v>
      </c>
      <c r="O1005" s="284" t="e">
        <f>++Tabla4[[#This Row],[Utilidad Total]]/Tabla4[[#This Row],[Total]]</f>
        <v>#N/A</v>
      </c>
      <c r="P1005" s="282">
        <f>++Tabla4[[#This Row],[Precio Descontado]]*Tabla4[[#This Row],[Cantidad]]</f>
        <v>16975.600636799998</v>
      </c>
      <c r="Q1005" s="282" t="e">
        <f>(INDEX(Tabla6[#All],MATCH(Tabla4[[#This Row],[Producto]],Tabla6[[#All],[PRODUCTO]],0),MATCH(Tabla4[[#This Row],[Mes]],Tabla6[#Headers],0)))</f>
        <v>#N/A</v>
      </c>
      <c r="R1005" s="282" t="e">
        <f>++Tabla4[[#This Row],[Precio Unitario Neto]]-Tabla4[[#This Row],[20.85%]]-Tabla4[[#This Row],[Costo]]</f>
        <v>#N/A</v>
      </c>
      <c r="S1005" s="282" t="e">
        <f>++Tabla4[[#This Row],[U. Bruta Uni]]*Tabla4[[#This Row],[Cantidad]]</f>
        <v>#N/A</v>
      </c>
      <c r="T1005" s="369" t="str">
        <f>VLOOKUP(Tabla4[[#This Row],[Producto]],Tabla6[#All],14,FALSE)</f>
        <v>Termico Solar</v>
      </c>
      <c r="U1005" s="284" t="e">
        <f>(IF(Tabla4[[#This Row],[Familia]]="termico solar",Tabla4[[#This Row],[Utilidad Total]]*6%,Tabla4[[#This Row],[Utilidad Total]]*11.5%))/Tabla4[[#This Row],[Total]]</f>
        <v>#N/A</v>
      </c>
      <c r="V1005" s="282" t="e">
        <f>+Tabla4[[#This Row],[Comisión Calculada]]*Tabla4[[#This Row],[Total]]</f>
        <v>#N/A</v>
      </c>
    </row>
    <row r="1006" spans="1:22" hidden="1" x14ac:dyDescent="0.25">
      <c r="A1006" s="100">
        <v>45716</v>
      </c>
      <c r="B1006" t="str">
        <f t="shared" si="40"/>
        <v>February</v>
      </c>
      <c r="C1006" s="46" t="s">
        <v>280</v>
      </c>
      <c r="F1006" s="366" t="s">
        <v>1139</v>
      </c>
      <c r="G1006" s="46" t="s">
        <v>18</v>
      </c>
      <c r="H1006" s="46">
        <v>1</v>
      </c>
      <c r="I1006" s="51">
        <v>5367.65</v>
      </c>
      <c r="J1006" s="281">
        <f>++Tabla4[[#This Row],[Precio Bruto]]*1.16</f>
        <v>6226.4739999999993</v>
      </c>
      <c r="K1006" s="281">
        <f>+Tabla4[[#This Row],[Precio Unitario Neto]]*Tabla4[[#Headers],[20.85%]]</f>
        <v>1298.2198289999999</v>
      </c>
      <c r="L1006" s="282">
        <f>++Tabla4[[#This Row],[Precio Unitario Neto]]-Tabla4[[#This Row],[20.85%]]</f>
        <v>4928.2541709999996</v>
      </c>
      <c r="M1006" s="282" t="e">
        <f>(INDEX(Tabla6[#All],MATCH(Tabla4[[#This Row],[Producto]],Tabla6[[#All],[PRODUCTO]],0),MATCH(Tabla4[[#This Row],[Mes]],Tabla6[#Headers],0)))*(1+Catalogos!$L$2)</f>
        <v>#N/A</v>
      </c>
      <c r="N1006" s="283" t="e">
        <f>+(Tabla4[[#This Row],[Precio Descontado]]-Tabla4[[#This Row],[Precio Base]])*Tabla4[[#This Row],[Cantidad]]</f>
        <v>#N/A</v>
      </c>
      <c r="O1006" s="284" t="e">
        <f>++Tabla4[[#This Row],[Utilidad Total]]/Tabla4[[#This Row],[Total]]</f>
        <v>#N/A</v>
      </c>
      <c r="P1006" s="282">
        <f>++Tabla4[[#This Row],[Precio Descontado]]*Tabla4[[#This Row],[Cantidad]]</f>
        <v>4928.2541709999996</v>
      </c>
      <c r="Q1006" s="282" t="e">
        <f>(INDEX(Tabla6[#All],MATCH(Tabla4[[#This Row],[Producto]],Tabla6[[#All],[PRODUCTO]],0),MATCH(Tabla4[[#This Row],[Mes]],Tabla6[#Headers],0)))</f>
        <v>#N/A</v>
      </c>
      <c r="R1006" s="282" t="e">
        <f>++Tabla4[[#This Row],[Precio Unitario Neto]]-Tabla4[[#This Row],[20.85%]]-Tabla4[[#This Row],[Costo]]</f>
        <v>#N/A</v>
      </c>
      <c r="S1006" s="282" t="e">
        <f>++Tabla4[[#This Row],[U. Bruta Uni]]*Tabla4[[#This Row],[Cantidad]]</f>
        <v>#N/A</v>
      </c>
      <c r="T1006" s="369" t="str">
        <f>VLOOKUP(Tabla4[[#This Row],[Producto]],Tabla6[#All],14,FALSE)</f>
        <v>Termico Solar</v>
      </c>
      <c r="U1006" s="284" t="e">
        <f>(IF(Tabla4[[#This Row],[Familia]]="termico solar",Tabla4[[#This Row],[Utilidad Total]]*6%,Tabla4[[#This Row],[Utilidad Total]]*11.5%))/Tabla4[[#This Row],[Total]]</f>
        <v>#N/A</v>
      </c>
      <c r="V1006" s="282" t="e">
        <f>+Tabla4[[#This Row],[Comisión Calculada]]*Tabla4[[#This Row],[Total]]</f>
        <v>#N/A</v>
      </c>
    </row>
    <row r="1007" spans="1:22" hidden="1" x14ac:dyDescent="0.25">
      <c r="A1007" s="100">
        <v>45716</v>
      </c>
      <c r="B1007" t="str">
        <f t="shared" si="40"/>
        <v>February</v>
      </c>
      <c r="C1007" s="46" t="s">
        <v>280</v>
      </c>
      <c r="F1007" s="366" t="s">
        <v>1139</v>
      </c>
      <c r="G1007" s="46" t="s">
        <v>566</v>
      </c>
      <c r="H1007" s="46">
        <v>1</v>
      </c>
      <c r="I1007" s="51">
        <v>2109.4499999999998</v>
      </c>
      <c r="J1007" s="281">
        <f>++Tabla4[[#This Row],[Precio Bruto]]*1.16</f>
        <v>2446.9619999999995</v>
      </c>
      <c r="K1007" s="281">
        <f>+Tabla4[[#This Row],[Precio Unitario Neto]]*Tabla4[[#Headers],[20.85%]]</f>
        <v>510.19157699999988</v>
      </c>
      <c r="L1007" s="282">
        <f>++Tabla4[[#This Row],[Precio Unitario Neto]]-Tabla4[[#This Row],[20.85%]]</f>
        <v>1936.7704229999997</v>
      </c>
      <c r="M1007" s="282" t="e">
        <f>(INDEX(Tabla6[#All],MATCH(Tabla4[[#This Row],[Producto]],Tabla6[[#All],[PRODUCTO]],0),MATCH(Tabla4[[#This Row],[Mes]],Tabla6[#Headers],0)))*(1+Catalogos!$L$2)</f>
        <v>#N/A</v>
      </c>
      <c r="N1007" s="283" t="e">
        <f>+(Tabla4[[#This Row],[Precio Descontado]]-Tabla4[[#This Row],[Precio Base]])*Tabla4[[#This Row],[Cantidad]]</f>
        <v>#N/A</v>
      </c>
      <c r="O1007" s="284" t="e">
        <f>++Tabla4[[#This Row],[Utilidad Total]]/Tabla4[[#This Row],[Total]]</f>
        <v>#N/A</v>
      </c>
      <c r="P1007" s="282">
        <f>++Tabla4[[#This Row],[Precio Descontado]]*Tabla4[[#This Row],[Cantidad]]</f>
        <v>1936.7704229999997</v>
      </c>
      <c r="Q1007" s="282" t="e">
        <f>(INDEX(Tabla6[#All],MATCH(Tabla4[[#This Row],[Producto]],Tabla6[[#All],[PRODUCTO]],0),MATCH(Tabla4[[#This Row],[Mes]],Tabla6[#Headers],0)))</f>
        <v>#N/A</v>
      </c>
      <c r="R1007" s="282" t="e">
        <f>++Tabla4[[#This Row],[Precio Unitario Neto]]-Tabla4[[#This Row],[20.85%]]-Tabla4[[#This Row],[Costo]]</f>
        <v>#N/A</v>
      </c>
      <c r="S1007" s="282" t="e">
        <f>++Tabla4[[#This Row],[U. Bruta Uni]]*Tabla4[[#This Row],[Cantidad]]</f>
        <v>#N/A</v>
      </c>
      <c r="T1007" s="369" t="str">
        <f>VLOOKUP(Tabla4[[#This Row],[Producto]],Tabla6[#All],14,FALSE)</f>
        <v>Termico Solar</v>
      </c>
      <c r="U1007" s="284" t="e">
        <f>(IF(Tabla4[[#This Row],[Familia]]="termico solar",Tabla4[[#This Row],[Utilidad Total]]*6%,Tabla4[[#This Row],[Utilidad Total]]*11.5%))/Tabla4[[#This Row],[Total]]</f>
        <v>#N/A</v>
      </c>
      <c r="V1007" s="282" t="e">
        <f>+Tabla4[[#This Row],[Comisión Calculada]]*Tabla4[[#This Row],[Total]]</f>
        <v>#N/A</v>
      </c>
    </row>
    <row r="1008" spans="1:22" hidden="1" x14ac:dyDescent="0.25">
      <c r="A1008" s="100">
        <v>45716</v>
      </c>
      <c r="B1008" t="str">
        <f t="shared" si="40"/>
        <v>February</v>
      </c>
      <c r="C1008" s="46" t="s">
        <v>280</v>
      </c>
      <c r="F1008" s="366" t="s">
        <v>1140</v>
      </c>
      <c r="G1008" s="46" t="s">
        <v>18</v>
      </c>
      <c r="H1008" s="46">
        <v>2</v>
      </c>
      <c r="I1008" s="51">
        <v>5367.65</v>
      </c>
      <c r="J1008" s="281">
        <f>++Tabla4[[#This Row],[Precio Bruto]]*1.16</f>
        <v>6226.4739999999993</v>
      </c>
      <c r="K1008" s="281">
        <f>+Tabla4[[#This Row],[Precio Unitario Neto]]*Tabla4[[#Headers],[20.85%]]</f>
        <v>1298.2198289999999</v>
      </c>
      <c r="L1008" s="282">
        <f>++Tabla4[[#This Row],[Precio Unitario Neto]]-Tabla4[[#This Row],[20.85%]]</f>
        <v>4928.2541709999996</v>
      </c>
      <c r="M1008" s="282" t="e">
        <f>(INDEX(Tabla6[#All],MATCH(Tabla4[[#This Row],[Producto]],Tabla6[[#All],[PRODUCTO]],0),MATCH(Tabla4[[#This Row],[Mes]],Tabla6[#Headers],0)))*(1+Catalogos!$L$2)</f>
        <v>#N/A</v>
      </c>
      <c r="N1008" s="283" t="e">
        <f>+(Tabla4[[#This Row],[Precio Descontado]]-Tabla4[[#This Row],[Precio Base]])*Tabla4[[#This Row],[Cantidad]]</f>
        <v>#N/A</v>
      </c>
      <c r="O1008" s="284" t="e">
        <f>++Tabla4[[#This Row],[Utilidad Total]]/Tabla4[[#This Row],[Total]]</f>
        <v>#N/A</v>
      </c>
      <c r="P1008" s="282">
        <f>++Tabla4[[#This Row],[Precio Descontado]]*Tabla4[[#This Row],[Cantidad]]</f>
        <v>9856.5083419999992</v>
      </c>
      <c r="Q1008" s="282" t="e">
        <f>(INDEX(Tabla6[#All],MATCH(Tabla4[[#This Row],[Producto]],Tabla6[[#All],[PRODUCTO]],0),MATCH(Tabla4[[#This Row],[Mes]],Tabla6[#Headers],0)))</f>
        <v>#N/A</v>
      </c>
      <c r="R1008" s="282" t="e">
        <f>++Tabla4[[#This Row],[Precio Unitario Neto]]-Tabla4[[#This Row],[20.85%]]-Tabla4[[#This Row],[Costo]]</f>
        <v>#N/A</v>
      </c>
      <c r="S1008" s="282" t="e">
        <f>++Tabla4[[#This Row],[U. Bruta Uni]]*Tabla4[[#This Row],[Cantidad]]</f>
        <v>#N/A</v>
      </c>
      <c r="T1008" s="369" t="str">
        <f>VLOOKUP(Tabla4[[#This Row],[Producto]],Tabla6[#All],14,FALSE)</f>
        <v>Termico Solar</v>
      </c>
      <c r="U1008" s="284" t="e">
        <f>(IF(Tabla4[[#This Row],[Familia]]="termico solar",Tabla4[[#This Row],[Utilidad Total]]*6%,Tabla4[[#This Row],[Utilidad Total]]*11.5%))/Tabla4[[#This Row],[Total]]</f>
        <v>#N/A</v>
      </c>
      <c r="V1008" s="282" t="e">
        <f>+Tabla4[[#This Row],[Comisión Calculada]]*Tabla4[[#This Row],[Total]]</f>
        <v>#N/A</v>
      </c>
    </row>
    <row r="1009" spans="1:22" hidden="1" x14ac:dyDescent="0.25">
      <c r="A1009" s="100">
        <v>45716</v>
      </c>
      <c r="B1009" t="str">
        <f t="shared" si="40"/>
        <v>February</v>
      </c>
      <c r="C1009" s="46" t="s">
        <v>280</v>
      </c>
      <c r="F1009" s="366" t="s">
        <v>1140</v>
      </c>
      <c r="G1009" s="46" t="s">
        <v>566</v>
      </c>
      <c r="H1009" s="46">
        <v>1</v>
      </c>
      <c r="I1009" s="51">
        <v>2109.4499999999998</v>
      </c>
      <c r="J1009" s="281">
        <f>++Tabla4[[#This Row],[Precio Bruto]]*1.16</f>
        <v>2446.9619999999995</v>
      </c>
      <c r="K1009" s="281">
        <f>+Tabla4[[#This Row],[Precio Unitario Neto]]*Tabla4[[#Headers],[20.85%]]</f>
        <v>510.19157699999988</v>
      </c>
      <c r="L1009" s="282">
        <f>++Tabla4[[#This Row],[Precio Unitario Neto]]-Tabla4[[#This Row],[20.85%]]</f>
        <v>1936.7704229999997</v>
      </c>
      <c r="M1009" s="282" t="e">
        <f>(INDEX(Tabla6[#All],MATCH(Tabla4[[#This Row],[Producto]],Tabla6[[#All],[PRODUCTO]],0),MATCH(Tabla4[[#This Row],[Mes]],Tabla6[#Headers],0)))*(1+Catalogos!$L$2)</f>
        <v>#N/A</v>
      </c>
      <c r="N1009" s="283" t="e">
        <f>+(Tabla4[[#This Row],[Precio Descontado]]-Tabla4[[#This Row],[Precio Base]])*Tabla4[[#This Row],[Cantidad]]</f>
        <v>#N/A</v>
      </c>
      <c r="O1009" s="284" t="e">
        <f>++Tabla4[[#This Row],[Utilidad Total]]/Tabla4[[#This Row],[Total]]</f>
        <v>#N/A</v>
      </c>
      <c r="P1009" s="282">
        <f>++Tabla4[[#This Row],[Precio Descontado]]*Tabla4[[#This Row],[Cantidad]]</f>
        <v>1936.7704229999997</v>
      </c>
      <c r="Q1009" s="282" t="e">
        <f>(INDEX(Tabla6[#All],MATCH(Tabla4[[#This Row],[Producto]],Tabla6[[#All],[PRODUCTO]],0),MATCH(Tabla4[[#This Row],[Mes]],Tabla6[#Headers],0)))</f>
        <v>#N/A</v>
      </c>
      <c r="R1009" s="282" t="e">
        <f>++Tabla4[[#This Row],[Precio Unitario Neto]]-Tabla4[[#This Row],[20.85%]]-Tabla4[[#This Row],[Costo]]</f>
        <v>#N/A</v>
      </c>
      <c r="S1009" s="282" t="e">
        <f>++Tabla4[[#This Row],[U. Bruta Uni]]*Tabla4[[#This Row],[Cantidad]]</f>
        <v>#N/A</v>
      </c>
      <c r="T1009" s="369" t="str">
        <f>VLOOKUP(Tabla4[[#This Row],[Producto]],Tabla6[#All],14,FALSE)</f>
        <v>Termico Solar</v>
      </c>
      <c r="U1009" s="284" t="e">
        <f>(IF(Tabla4[[#This Row],[Familia]]="termico solar",Tabla4[[#This Row],[Utilidad Total]]*6%,Tabla4[[#This Row],[Utilidad Total]]*11.5%))/Tabla4[[#This Row],[Total]]</f>
        <v>#N/A</v>
      </c>
      <c r="V1009" s="282" t="e">
        <f>+Tabla4[[#This Row],[Comisión Calculada]]*Tabla4[[#This Row],[Total]]</f>
        <v>#N/A</v>
      </c>
    </row>
    <row r="1010" spans="1:22" hidden="1" x14ac:dyDescent="0.25">
      <c r="A1010" s="100">
        <v>45716</v>
      </c>
      <c r="B1010" t="str">
        <f t="shared" si="40"/>
        <v>February</v>
      </c>
      <c r="C1010" s="46" t="s">
        <v>280</v>
      </c>
      <c r="F1010" s="366" t="s">
        <v>1141</v>
      </c>
      <c r="G1010" s="46" t="s">
        <v>18</v>
      </c>
      <c r="H1010" s="46">
        <v>1</v>
      </c>
      <c r="I1010" s="51">
        <v>5367.65</v>
      </c>
      <c r="J1010" s="281">
        <f>++Tabla4[[#This Row],[Precio Bruto]]*1.16</f>
        <v>6226.4739999999993</v>
      </c>
      <c r="K1010" s="281">
        <f>+Tabla4[[#This Row],[Precio Unitario Neto]]*Tabla4[[#Headers],[20.85%]]</f>
        <v>1298.2198289999999</v>
      </c>
      <c r="L1010" s="282">
        <f>++Tabla4[[#This Row],[Precio Unitario Neto]]-Tabla4[[#This Row],[20.85%]]</f>
        <v>4928.2541709999996</v>
      </c>
      <c r="M1010" s="282" t="e">
        <f>(INDEX(Tabla6[#All],MATCH(Tabla4[[#This Row],[Producto]],Tabla6[[#All],[PRODUCTO]],0),MATCH(Tabla4[[#This Row],[Mes]],Tabla6[#Headers],0)))*(1+Catalogos!$L$2)</f>
        <v>#N/A</v>
      </c>
      <c r="N1010" s="283" t="e">
        <f>+(Tabla4[[#This Row],[Precio Descontado]]-Tabla4[[#This Row],[Precio Base]])*Tabla4[[#This Row],[Cantidad]]</f>
        <v>#N/A</v>
      </c>
      <c r="O1010" s="284" t="e">
        <f>++Tabla4[[#This Row],[Utilidad Total]]/Tabla4[[#This Row],[Total]]</f>
        <v>#N/A</v>
      </c>
      <c r="P1010" s="282">
        <f>++Tabla4[[#This Row],[Precio Descontado]]*Tabla4[[#This Row],[Cantidad]]</f>
        <v>4928.2541709999996</v>
      </c>
      <c r="Q1010" s="282" t="e">
        <f>(INDEX(Tabla6[#All],MATCH(Tabla4[[#This Row],[Producto]],Tabla6[[#All],[PRODUCTO]],0),MATCH(Tabla4[[#This Row],[Mes]],Tabla6[#Headers],0)))</f>
        <v>#N/A</v>
      </c>
      <c r="R1010" s="282" t="e">
        <f>++Tabla4[[#This Row],[Precio Unitario Neto]]-Tabla4[[#This Row],[20.85%]]-Tabla4[[#This Row],[Costo]]</f>
        <v>#N/A</v>
      </c>
      <c r="S1010" s="282" t="e">
        <f>++Tabla4[[#This Row],[U. Bruta Uni]]*Tabla4[[#This Row],[Cantidad]]</f>
        <v>#N/A</v>
      </c>
      <c r="T1010" s="369" t="str">
        <f>VLOOKUP(Tabla4[[#This Row],[Producto]],Tabla6[#All],14,FALSE)</f>
        <v>Termico Solar</v>
      </c>
      <c r="U1010" s="284" t="e">
        <f>(IF(Tabla4[[#This Row],[Familia]]="termico solar",Tabla4[[#This Row],[Utilidad Total]]*6%,Tabla4[[#This Row],[Utilidad Total]]*11.5%))/Tabla4[[#This Row],[Total]]</f>
        <v>#N/A</v>
      </c>
      <c r="V1010" s="282" t="e">
        <f>+Tabla4[[#This Row],[Comisión Calculada]]*Tabla4[[#This Row],[Total]]</f>
        <v>#N/A</v>
      </c>
    </row>
    <row r="1011" spans="1:22" hidden="1" x14ac:dyDescent="0.25">
      <c r="A1011" s="100">
        <v>45716</v>
      </c>
      <c r="B1011" t="str">
        <f t="shared" si="40"/>
        <v>February</v>
      </c>
      <c r="C1011" s="46" t="s">
        <v>280</v>
      </c>
      <c r="F1011" s="366" t="s">
        <v>1142</v>
      </c>
      <c r="G1011" s="46" t="s">
        <v>17</v>
      </c>
      <c r="H1011" s="46">
        <v>2</v>
      </c>
      <c r="I1011" s="51">
        <v>4622.28</v>
      </c>
      <c r="J1011" s="281">
        <f>++Tabla4[[#This Row],[Precio Bruto]]*1.16</f>
        <v>5361.8447999999989</v>
      </c>
      <c r="K1011" s="281">
        <f>+Tabla4[[#This Row],[Precio Unitario Neto]]*Tabla4[[#Headers],[20.85%]]</f>
        <v>1117.9446407999997</v>
      </c>
      <c r="L1011" s="282">
        <f>++Tabla4[[#This Row],[Precio Unitario Neto]]-Tabla4[[#This Row],[20.85%]]</f>
        <v>4243.9001591999995</v>
      </c>
      <c r="M1011" s="282" t="e">
        <f>(INDEX(Tabla6[#All],MATCH(Tabla4[[#This Row],[Producto]],Tabla6[[#All],[PRODUCTO]],0),MATCH(Tabla4[[#This Row],[Mes]],Tabla6[#Headers],0)))*(1+Catalogos!$L$2)</f>
        <v>#N/A</v>
      </c>
      <c r="N1011" s="283" t="e">
        <f>+(Tabla4[[#This Row],[Precio Descontado]]-Tabla4[[#This Row],[Precio Base]])*Tabla4[[#This Row],[Cantidad]]</f>
        <v>#N/A</v>
      </c>
      <c r="O1011" s="284" t="e">
        <f>++Tabla4[[#This Row],[Utilidad Total]]/Tabla4[[#This Row],[Total]]</f>
        <v>#N/A</v>
      </c>
      <c r="P1011" s="282">
        <f>++Tabla4[[#This Row],[Precio Descontado]]*Tabla4[[#This Row],[Cantidad]]</f>
        <v>8487.800318399999</v>
      </c>
      <c r="Q1011" s="282" t="e">
        <f>(INDEX(Tabla6[#All],MATCH(Tabla4[[#This Row],[Producto]],Tabla6[[#All],[PRODUCTO]],0),MATCH(Tabla4[[#This Row],[Mes]],Tabla6[#Headers],0)))</f>
        <v>#N/A</v>
      </c>
      <c r="R1011" s="282" t="e">
        <f>++Tabla4[[#This Row],[Precio Unitario Neto]]-Tabla4[[#This Row],[20.85%]]-Tabla4[[#This Row],[Costo]]</f>
        <v>#N/A</v>
      </c>
      <c r="S1011" s="282" t="e">
        <f>++Tabla4[[#This Row],[U. Bruta Uni]]*Tabla4[[#This Row],[Cantidad]]</f>
        <v>#N/A</v>
      </c>
      <c r="T1011" s="369" t="str">
        <f>VLOOKUP(Tabla4[[#This Row],[Producto]],Tabla6[#All],14,FALSE)</f>
        <v>Termico Solar</v>
      </c>
      <c r="U1011" s="284" t="e">
        <f>(IF(Tabla4[[#This Row],[Familia]]="termico solar",Tabla4[[#This Row],[Utilidad Total]]*6%,Tabla4[[#This Row],[Utilidad Total]]*11.5%))/Tabla4[[#This Row],[Total]]</f>
        <v>#N/A</v>
      </c>
      <c r="V1011" s="282" t="e">
        <f>+Tabla4[[#This Row],[Comisión Calculada]]*Tabla4[[#This Row],[Total]]</f>
        <v>#N/A</v>
      </c>
    </row>
    <row r="1012" spans="1:22" hidden="1" x14ac:dyDescent="0.25">
      <c r="A1012" s="100">
        <v>45716</v>
      </c>
      <c r="B1012" t="str">
        <f t="shared" si="40"/>
        <v>February</v>
      </c>
      <c r="C1012" s="46" t="s">
        <v>280</v>
      </c>
      <c r="F1012" s="366" t="s">
        <v>1142</v>
      </c>
      <c r="G1012" s="46" t="s">
        <v>18</v>
      </c>
      <c r="H1012" s="46">
        <v>1</v>
      </c>
      <c r="I1012" s="51">
        <v>5367.65</v>
      </c>
      <c r="J1012" s="281">
        <f>++Tabla4[[#This Row],[Precio Bruto]]*1.16</f>
        <v>6226.4739999999993</v>
      </c>
      <c r="K1012" s="281">
        <f>+Tabla4[[#This Row],[Precio Unitario Neto]]*Tabla4[[#Headers],[20.85%]]</f>
        <v>1298.2198289999999</v>
      </c>
      <c r="L1012" s="282">
        <f>++Tabla4[[#This Row],[Precio Unitario Neto]]-Tabla4[[#This Row],[20.85%]]</f>
        <v>4928.2541709999996</v>
      </c>
      <c r="M1012" s="282" t="e">
        <f>(INDEX(Tabla6[#All],MATCH(Tabla4[[#This Row],[Producto]],Tabla6[[#All],[PRODUCTO]],0),MATCH(Tabla4[[#This Row],[Mes]],Tabla6[#Headers],0)))*(1+Catalogos!$L$2)</f>
        <v>#N/A</v>
      </c>
      <c r="N1012" s="283" t="e">
        <f>+(Tabla4[[#This Row],[Precio Descontado]]-Tabla4[[#This Row],[Precio Base]])*Tabla4[[#This Row],[Cantidad]]</f>
        <v>#N/A</v>
      </c>
      <c r="O1012" s="284" t="e">
        <f>++Tabla4[[#This Row],[Utilidad Total]]/Tabla4[[#This Row],[Total]]</f>
        <v>#N/A</v>
      </c>
      <c r="P1012" s="282">
        <f>++Tabla4[[#This Row],[Precio Descontado]]*Tabla4[[#This Row],[Cantidad]]</f>
        <v>4928.2541709999996</v>
      </c>
      <c r="Q1012" s="282" t="e">
        <f>(INDEX(Tabla6[#All],MATCH(Tabla4[[#This Row],[Producto]],Tabla6[[#All],[PRODUCTO]],0),MATCH(Tabla4[[#This Row],[Mes]],Tabla6[#Headers],0)))</f>
        <v>#N/A</v>
      </c>
      <c r="R1012" s="282" t="e">
        <f>++Tabla4[[#This Row],[Precio Unitario Neto]]-Tabla4[[#This Row],[20.85%]]-Tabla4[[#This Row],[Costo]]</f>
        <v>#N/A</v>
      </c>
      <c r="S1012" s="282" t="e">
        <f>++Tabla4[[#This Row],[U. Bruta Uni]]*Tabla4[[#This Row],[Cantidad]]</f>
        <v>#N/A</v>
      </c>
      <c r="T1012" s="369" t="str">
        <f>VLOOKUP(Tabla4[[#This Row],[Producto]],Tabla6[#All],14,FALSE)</f>
        <v>Termico Solar</v>
      </c>
      <c r="U1012" s="284" t="e">
        <f>(IF(Tabla4[[#This Row],[Familia]]="termico solar",Tabla4[[#This Row],[Utilidad Total]]*6%,Tabla4[[#This Row],[Utilidad Total]]*11.5%))/Tabla4[[#This Row],[Total]]</f>
        <v>#N/A</v>
      </c>
      <c r="V1012" s="282" t="e">
        <f>+Tabla4[[#This Row],[Comisión Calculada]]*Tabla4[[#This Row],[Total]]</f>
        <v>#N/A</v>
      </c>
    </row>
    <row r="1013" spans="1:22" hidden="1" x14ac:dyDescent="0.25">
      <c r="A1013" s="100">
        <v>45716</v>
      </c>
      <c r="B1013" t="str">
        <f t="shared" si="40"/>
        <v>February</v>
      </c>
      <c r="C1013" s="46" t="s">
        <v>280</v>
      </c>
      <c r="F1013" s="366" t="s">
        <v>1142</v>
      </c>
      <c r="G1013" s="46" t="s">
        <v>566</v>
      </c>
      <c r="H1013" s="46">
        <v>1</v>
      </c>
      <c r="I1013" s="51">
        <v>2109.4499999999998</v>
      </c>
      <c r="J1013" s="281">
        <f>++Tabla4[[#This Row],[Precio Bruto]]*1.16</f>
        <v>2446.9619999999995</v>
      </c>
      <c r="K1013" s="281">
        <f>+Tabla4[[#This Row],[Precio Unitario Neto]]*Tabla4[[#Headers],[20.85%]]</f>
        <v>510.19157699999988</v>
      </c>
      <c r="L1013" s="282">
        <f>++Tabla4[[#This Row],[Precio Unitario Neto]]-Tabla4[[#This Row],[20.85%]]</f>
        <v>1936.7704229999997</v>
      </c>
      <c r="M1013" s="282" t="e">
        <f>(INDEX(Tabla6[#All],MATCH(Tabla4[[#This Row],[Producto]],Tabla6[[#All],[PRODUCTO]],0),MATCH(Tabla4[[#This Row],[Mes]],Tabla6[#Headers],0)))*(1+Catalogos!$L$2)</f>
        <v>#N/A</v>
      </c>
      <c r="N1013" s="283" t="e">
        <f>+(Tabla4[[#This Row],[Precio Descontado]]-Tabla4[[#This Row],[Precio Base]])*Tabla4[[#This Row],[Cantidad]]</f>
        <v>#N/A</v>
      </c>
      <c r="O1013" s="284" t="e">
        <f>++Tabla4[[#This Row],[Utilidad Total]]/Tabla4[[#This Row],[Total]]</f>
        <v>#N/A</v>
      </c>
      <c r="P1013" s="282">
        <f>++Tabla4[[#This Row],[Precio Descontado]]*Tabla4[[#This Row],[Cantidad]]</f>
        <v>1936.7704229999997</v>
      </c>
      <c r="Q1013" s="282" t="e">
        <f>(INDEX(Tabla6[#All],MATCH(Tabla4[[#This Row],[Producto]],Tabla6[[#All],[PRODUCTO]],0),MATCH(Tabla4[[#This Row],[Mes]],Tabla6[#Headers],0)))</f>
        <v>#N/A</v>
      </c>
      <c r="R1013" s="282" t="e">
        <f>++Tabla4[[#This Row],[Precio Unitario Neto]]-Tabla4[[#This Row],[20.85%]]-Tabla4[[#This Row],[Costo]]</f>
        <v>#N/A</v>
      </c>
      <c r="S1013" s="282" t="e">
        <f>++Tabla4[[#This Row],[U. Bruta Uni]]*Tabla4[[#This Row],[Cantidad]]</f>
        <v>#N/A</v>
      </c>
      <c r="T1013" s="369" t="str">
        <f>VLOOKUP(Tabla4[[#This Row],[Producto]],Tabla6[#All],14,FALSE)</f>
        <v>Termico Solar</v>
      </c>
      <c r="U1013" s="284" t="e">
        <f>(IF(Tabla4[[#This Row],[Familia]]="termico solar",Tabla4[[#This Row],[Utilidad Total]]*6%,Tabla4[[#This Row],[Utilidad Total]]*11.5%))/Tabla4[[#This Row],[Total]]</f>
        <v>#N/A</v>
      </c>
      <c r="V1013" s="282" t="e">
        <f>+Tabla4[[#This Row],[Comisión Calculada]]*Tabla4[[#This Row],[Total]]</f>
        <v>#N/A</v>
      </c>
    </row>
    <row r="1014" spans="1:22" hidden="1" x14ac:dyDescent="0.25">
      <c r="A1014" s="100">
        <v>45716</v>
      </c>
      <c r="B1014" t="str">
        <f t="shared" si="40"/>
        <v>February</v>
      </c>
      <c r="C1014" s="46" t="s">
        <v>280</v>
      </c>
      <c r="F1014" s="366" t="s">
        <v>1143</v>
      </c>
      <c r="G1014" s="46" t="s">
        <v>18</v>
      </c>
      <c r="H1014" s="46">
        <v>1</v>
      </c>
      <c r="I1014" s="51">
        <v>5367.65</v>
      </c>
      <c r="J1014" s="281">
        <f>++Tabla4[[#This Row],[Precio Bruto]]*1.16</f>
        <v>6226.4739999999993</v>
      </c>
      <c r="K1014" s="281">
        <f>+Tabla4[[#This Row],[Precio Unitario Neto]]*Tabla4[[#Headers],[20.85%]]</f>
        <v>1298.2198289999999</v>
      </c>
      <c r="L1014" s="282">
        <f>++Tabla4[[#This Row],[Precio Unitario Neto]]-Tabla4[[#This Row],[20.85%]]</f>
        <v>4928.2541709999996</v>
      </c>
      <c r="M1014" s="282" t="e">
        <f>(INDEX(Tabla6[#All],MATCH(Tabla4[[#This Row],[Producto]],Tabla6[[#All],[PRODUCTO]],0),MATCH(Tabla4[[#This Row],[Mes]],Tabla6[#Headers],0)))*(1+Catalogos!$L$2)</f>
        <v>#N/A</v>
      </c>
      <c r="N1014" s="283" t="e">
        <f>+(Tabla4[[#This Row],[Precio Descontado]]-Tabla4[[#This Row],[Precio Base]])*Tabla4[[#This Row],[Cantidad]]</f>
        <v>#N/A</v>
      </c>
      <c r="O1014" s="284" t="e">
        <f>++Tabla4[[#This Row],[Utilidad Total]]/Tabla4[[#This Row],[Total]]</f>
        <v>#N/A</v>
      </c>
      <c r="P1014" s="282">
        <f>++Tabla4[[#This Row],[Precio Descontado]]*Tabla4[[#This Row],[Cantidad]]</f>
        <v>4928.2541709999996</v>
      </c>
      <c r="Q1014" s="282" t="e">
        <f>(INDEX(Tabla6[#All],MATCH(Tabla4[[#This Row],[Producto]],Tabla6[[#All],[PRODUCTO]],0),MATCH(Tabla4[[#This Row],[Mes]],Tabla6[#Headers],0)))</f>
        <v>#N/A</v>
      </c>
      <c r="R1014" s="282" t="e">
        <f>++Tabla4[[#This Row],[Precio Unitario Neto]]-Tabla4[[#This Row],[20.85%]]-Tabla4[[#This Row],[Costo]]</f>
        <v>#N/A</v>
      </c>
      <c r="S1014" s="282" t="e">
        <f>++Tabla4[[#This Row],[U. Bruta Uni]]*Tabla4[[#This Row],[Cantidad]]</f>
        <v>#N/A</v>
      </c>
      <c r="T1014" s="369" t="str">
        <f>VLOOKUP(Tabla4[[#This Row],[Producto]],Tabla6[#All],14,FALSE)</f>
        <v>Termico Solar</v>
      </c>
      <c r="U1014" s="284" t="e">
        <f>(IF(Tabla4[[#This Row],[Familia]]="termico solar",Tabla4[[#This Row],[Utilidad Total]]*6%,Tabla4[[#This Row],[Utilidad Total]]*11.5%))/Tabla4[[#This Row],[Total]]</f>
        <v>#N/A</v>
      </c>
      <c r="V1014" s="282" t="e">
        <f>+Tabla4[[#This Row],[Comisión Calculada]]*Tabla4[[#This Row],[Total]]</f>
        <v>#N/A</v>
      </c>
    </row>
    <row r="1015" spans="1:22" hidden="1" x14ac:dyDescent="0.25">
      <c r="A1015" s="100">
        <v>45716</v>
      </c>
      <c r="B1015" t="str">
        <f t="shared" si="40"/>
        <v>February</v>
      </c>
      <c r="C1015" s="46" t="s">
        <v>280</v>
      </c>
      <c r="F1015" s="366" t="s">
        <v>1143</v>
      </c>
      <c r="G1015" s="46" t="s">
        <v>566</v>
      </c>
      <c r="H1015" s="46">
        <v>1</v>
      </c>
      <c r="I1015" s="51">
        <v>2109.4499999999998</v>
      </c>
      <c r="J1015" s="281">
        <f>++Tabla4[[#This Row],[Precio Bruto]]*1.16</f>
        <v>2446.9619999999995</v>
      </c>
      <c r="K1015" s="281">
        <f>+Tabla4[[#This Row],[Precio Unitario Neto]]*Tabla4[[#Headers],[20.85%]]</f>
        <v>510.19157699999988</v>
      </c>
      <c r="L1015" s="282">
        <f>++Tabla4[[#This Row],[Precio Unitario Neto]]-Tabla4[[#This Row],[20.85%]]</f>
        <v>1936.7704229999997</v>
      </c>
      <c r="M1015" s="282" t="e">
        <f>(INDEX(Tabla6[#All],MATCH(Tabla4[[#This Row],[Producto]],Tabla6[[#All],[PRODUCTO]],0),MATCH(Tabla4[[#This Row],[Mes]],Tabla6[#Headers],0)))*(1+Catalogos!$L$2)</f>
        <v>#N/A</v>
      </c>
      <c r="N1015" s="283" t="e">
        <f>+(Tabla4[[#This Row],[Precio Descontado]]-Tabla4[[#This Row],[Precio Base]])*Tabla4[[#This Row],[Cantidad]]</f>
        <v>#N/A</v>
      </c>
      <c r="O1015" s="284" t="e">
        <f>++Tabla4[[#This Row],[Utilidad Total]]/Tabla4[[#This Row],[Total]]</f>
        <v>#N/A</v>
      </c>
      <c r="P1015" s="282">
        <f>++Tabla4[[#This Row],[Precio Descontado]]*Tabla4[[#This Row],[Cantidad]]</f>
        <v>1936.7704229999997</v>
      </c>
      <c r="Q1015" s="282" t="e">
        <f>(INDEX(Tabla6[#All],MATCH(Tabla4[[#This Row],[Producto]],Tabla6[[#All],[PRODUCTO]],0),MATCH(Tabla4[[#This Row],[Mes]],Tabla6[#Headers],0)))</f>
        <v>#N/A</v>
      </c>
      <c r="R1015" s="282" t="e">
        <f>++Tabla4[[#This Row],[Precio Unitario Neto]]-Tabla4[[#This Row],[20.85%]]-Tabla4[[#This Row],[Costo]]</f>
        <v>#N/A</v>
      </c>
      <c r="S1015" s="282" t="e">
        <f>++Tabla4[[#This Row],[U. Bruta Uni]]*Tabla4[[#This Row],[Cantidad]]</f>
        <v>#N/A</v>
      </c>
      <c r="T1015" s="369" t="str">
        <f>VLOOKUP(Tabla4[[#This Row],[Producto]],Tabla6[#All],14,FALSE)</f>
        <v>Termico Solar</v>
      </c>
      <c r="U1015" s="284" t="e">
        <f>(IF(Tabla4[[#This Row],[Familia]]="termico solar",Tabla4[[#This Row],[Utilidad Total]]*6%,Tabla4[[#This Row],[Utilidad Total]]*11.5%))/Tabla4[[#This Row],[Total]]</f>
        <v>#N/A</v>
      </c>
      <c r="V1015" s="282" t="e">
        <f>+Tabla4[[#This Row],[Comisión Calculada]]*Tabla4[[#This Row],[Total]]</f>
        <v>#N/A</v>
      </c>
    </row>
    <row r="1016" spans="1:22" hidden="1" x14ac:dyDescent="0.25">
      <c r="A1016" s="100">
        <v>45716</v>
      </c>
      <c r="B1016" t="str">
        <f t="shared" si="40"/>
        <v>February</v>
      </c>
      <c r="C1016" s="46" t="s">
        <v>280</v>
      </c>
      <c r="F1016" s="366" t="s">
        <v>1144</v>
      </c>
      <c r="G1016" s="46" t="s">
        <v>412</v>
      </c>
      <c r="H1016" s="46">
        <v>1</v>
      </c>
      <c r="I1016" s="51">
        <v>3240.84</v>
      </c>
      <c r="J1016" s="281">
        <f>++Tabla4[[#This Row],[Precio Bruto]]*1.16</f>
        <v>3759.3743999999997</v>
      </c>
      <c r="K1016" s="281">
        <f>+Tabla4[[#This Row],[Precio Unitario Neto]]*Tabla4[[#Headers],[20.85%]]</f>
        <v>783.82956239999987</v>
      </c>
      <c r="L1016" s="282">
        <f>++Tabla4[[#This Row],[Precio Unitario Neto]]-Tabla4[[#This Row],[20.85%]]</f>
        <v>2975.5448375999999</v>
      </c>
      <c r="M1016" s="282" t="e">
        <f>(INDEX(Tabla6[#All],MATCH(Tabla4[[#This Row],[Producto]],Tabla6[[#All],[PRODUCTO]],0),MATCH(Tabla4[[#This Row],[Mes]],Tabla6[#Headers],0)))*(1+Catalogos!$L$2)</f>
        <v>#N/A</v>
      </c>
      <c r="N1016" s="283" t="e">
        <f>+(Tabla4[[#This Row],[Precio Descontado]]-Tabla4[[#This Row],[Precio Base]])*Tabla4[[#This Row],[Cantidad]]</f>
        <v>#N/A</v>
      </c>
      <c r="O1016" s="284" t="e">
        <f>++Tabla4[[#This Row],[Utilidad Total]]/Tabla4[[#This Row],[Total]]</f>
        <v>#N/A</v>
      </c>
      <c r="P1016" s="282">
        <f>++Tabla4[[#This Row],[Precio Descontado]]*Tabla4[[#This Row],[Cantidad]]</f>
        <v>2975.5448375999999</v>
      </c>
      <c r="Q1016" s="282" t="e">
        <f>(INDEX(Tabla6[#All],MATCH(Tabla4[[#This Row],[Producto]],Tabla6[[#All],[PRODUCTO]],0),MATCH(Tabla4[[#This Row],[Mes]],Tabla6[#Headers],0)))</f>
        <v>#N/A</v>
      </c>
      <c r="R1016" s="282" t="e">
        <f>++Tabla4[[#This Row],[Precio Unitario Neto]]-Tabla4[[#This Row],[20.85%]]-Tabla4[[#This Row],[Costo]]</f>
        <v>#N/A</v>
      </c>
      <c r="S1016" s="282" t="e">
        <f>++Tabla4[[#This Row],[U. Bruta Uni]]*Tabla4[[#This Row],[Cantidad]]</f>
        <v>#N/A</v>
      </c>
      <c r="T1016" s="369" t="str">
        <f>VLOOKUP(Tabla4[[#This Row],[Producto]],Tabla6[#All],14,FALSE)</f>
        <v>Termico Solar</v>
      </c>
      <c r="U1016" s="284" t="e">
        <f>(IF(Tabla4[[#This Row],[Familia]]="termico solar",Tabla4[[#This Row],[Utilidad Total]]*6%,Tabla4[[#This Row],[Utilidad Total]]*11.5%))/Tabla4[[#This Row],[Total]]</f>
        <v>#N/A</v>
      </c>
      <c r="V1016" s="282" t="e">
        <f>+Tabla4[[#This Row],[Comisión Calculada]]*Tabla4[[#This Row],[Total]]</f>
        <v>#N/A</v>
      </c>
    </row>
    <row r="1017" spans="1:22" hidden="1" x14ac:dyDescent="0.25">
      <c r="A1017" s="100">
        <v>45716</v>
      </c>
      <c r="B1017" t="str">
        <f t="shared" si="40"/>
        <v>February</v>
      </c>
      <c r="C1017" s="46" t="s">
        <v>280</v>
      </c>
      <c r="F1017" s="366" t="s">
        <v>1145</v>
      </c>
      <c r="G1017" s="46" t="s">
        <v>83</v>
      </c>
      <c r="H1017" s="46">
        <v>2</v>
      </c>
      <c r="I1017" s="51">
        <v>8858.76</v>
      </c>
      <c r="J1017" s="281">
        <f>++Tabla4[[#This Row],[Precio Bruto]]*1.16</f>
        <v>10276.161599999999</v>
      </c>
      <c r="K1017" s="281">
        <f>+Tabla4[[#This Row],[Precio Unitario Neto]]*Tabla4[[#Headers],[20.85%]]</f>
        <v>2142.5796935999997</v>
      </c>
      <c r="L1017" s="282">
        <f>++Tabla4[[#This Row],[Precio Unitario Neto]]-Tabla4[[#This Row],[20.85%]]</f>
        <v>8133.5819063999998</v>
      </c>
      <c r="M1017" s="282" t="e">
        <f>(INDEX(Tabla6[#All],MATCH(Tabla4[[#This Row],[Producto]],Tabla6[[#All],[PRODUCTO]],0),MATCH(Tabla4[[#This Row],[Mes]],Tabla6[#Headers],0)))*(1+Catalogos!$L$2)</f>
        <v>#N/A</v>
      </c>
      <c r="N1017" s="283" t="e">
        <f>+(Tabla4[[#This Row],[Precio Descontado]]-Tabla4[[#This Row],[Precio Base]])*Tabla4[[#This Row],[Cantidad]]</f>
        <v>#N/A</v>
      </c>
      <c r="O1017" s="284" t="e">
        <f>++Tabla4[[#This Row],[Utilidad Total]]/Tabla4[[#This Row],[Total]]</f>
        <v>#N/A</v>
      </c>
      <c r="P1017" s="282">
        <f>++Tabla4[[#This Row],[Precio Descontado]]*Tabla4[[#This Row],[Cantidad]]</f>
        <v>16267.1638128</v>
      </c>
      <c r="Q1017" s="282" t="e">
        <f>(INDEX(Tabla6[#All],MATCH(Tabla4[[#This Row],[Producto]],Tabla6[[#All],[PRODUCTO]],0),MATCH(Tabla4[[#This Row],[Mes]],Tabla6[#Headers],0)))</f>
        <v>#N/A</v>
      </c>
      <c r="R1017" s="282" t="e">
        <f>++Tabla4[[#This Row],[Precio Unitario Neto]]-Tabla4[[#This Row],[20.85%]]-Tabla4[[#This Row],[Costo]]</f>
        <v>#N/A</v>
      </c>
      <c r="S1017" s="282" t="e">
        <f>++Tabla4[[#This Row],[U. Bruta Uni]]*Tabla4[[#This Row],[Cantidad]]</f>
        <v>#N/A</v>
      </c>
      <c r="T1017" s="369" t="str">
        <f>VLOOKUP(Tabla4[[#This Row],[Producto]],Tabla6[#All],14,FALSE)</f>
        <v>Termico Solar</v>
      </c>
      <c r="U1017" s="284" t="e">
        <f>(IF(Tabla4[[#This Row],[Familia]]="termico solar",Tabla4[[#This Row],[Utilidad Total]]*6%,Tabla4[[#This Row],[Utilidad Total]]*11.5%))/Tabla4[[#This Row],[Total]]</f>
        <v>#N/A</v>
      </c>
      <c r="V1017" s="282" t="e">
        <f>+Tabla4[[#This Row],[Comisión Calculada]]*Tabla4[[#This Row],[Total]]</f>
        <v>#N/A</v>
      </c>
    </row>
    <row r="1018" spans="1:22" hidden="1" x14ac:dyDescent="0.25">
      <c r="A1018" s="100">
        <v>45731</v>
      </c>
      <c r="B1018" t="str">
        <f t="shared" si="40"/>
        <v>March</v>
      </c>
      <c r="C1018" s="46" t="s">
        <v>280</v>
      </c>
      <c r="F1018" s="366" t="s">
        <v>1148</v>
      </c>
      <c r="G1018" s="46" t="s">
        <v>20</v>
      </c>
      <c r="H1018" s="46">
        <v>2</v>
      </c>
      <c r="I1018" s="51">
        <v>7751.98</v>
      </c>
      <c r="J1018" s="281">
        <f>++Tabla4[[#This Row],[Precio Bruto]]*1.16</f>
        <v>8992.2967999999983</v>
      </c>
      <c r="K1018" s="281">
        <f>+Tabla4[[#This Row],[Precio Unitario Neto]]*Tabla4[[#Headers],[20.85%]]</f>
        <v>1874.8938827999996</v>
      </c>
      <c r="L1018" s="282">
        <f>++Tabla4[[#This Row],[Precio Unitario Neto]]-Tabla4[[#This Row],[20.85%]]</f>
        <v>7117.4029171999991</v>
      </c>
      <c r="M1018" s="282" t="e">
        <f>(INDEX(Tabla6[#All],MATCH(Tabla4[[#This Row],[Producto]],Tabla6[[#All],[PRODUCTO]],0),MATCH(Tabla4[[#This Row],[Mes]],Tabla6[#Headers],0)))*(1+Catalogos!$L$2)</f>
        <v>#N/A</v>
      </c>
      <c r="N1018" s="283" t="e">
        <f>+(Tabla4[[#This Row],[Precio Descontado]]-Tabla4[[#This Row],[Precio Base]])*Tabla4[[#This Row],[Cantidad]]</f>
        <v>#N/A</v>
      </c>
      <c r="O1018" s="284" t="e">
        <f>++Tabla4[[#This Row],[Utilidad Total]]/Tabla4[[#This Row],[Total]]</f>
        <v>#N/A</v>
      </c>
      <c r="P1018" s="282">
        <f>++Tabla4[[#This Row],[Precio Descontado]]*Tabla4[[#This Row],[Cantidad]]</f>
        <v>14234.805834399998</v>
      </c>
      <c r="Q1018" s="282" t="e">
        <f>(INDEX(Tabla6[#All],MATCH(Tabla4[[#This Row],[Producto]],Tabla6[[#All],[PRODUCTO]],0),MATCH(Tabla4[[#This Row],[Mes]],Tabla6[#Headers],0)))</f>
        <v>#N/A</v>
      </c>
      <c r="R1018" s="282" t="e">
        <f>++Tabla4[[#This Row],[Precio Unitario Neto]]-Tabla4[[#This Row],[20.85%]]-Tabla4[[#This Row],[Costo]]</f>
        <v>#N/A</v>
      </c>
      <c r="S1018" s="282" t="e">
        <f>++Tabla4[[#This Row],[U. Bruta Uni]]*Tabla4[[#This Row],[Cantidad]]</f>
        <v>#N/A</v>
      </c>
      <c r="T1018" s="369" t="str">
        <f>VLOOKUP(Tabla4[[#This Row],[Producto]],Tabla6[#All],14,FALSE)</f>
        <v>Termico Solar</v>
      </c>
      <c r="U1018" s="284" t="e">
        <f>(IF(Tabla4[[#This Row],[Familia]]="termico solar",Tabla4[[#This Row],[Utilidad Total]]*6%,Tabla4[[#This Row],[Utilidad Total]]*11.5%))/Tabla4[[#This Row],[Total]]</f>
        <v>#N/A</v>
      </c>
      <c r="V1018" s="282" t="e">
        <f>+Tabla4[[#This Row],[Comisión Calculada]]*Tabla4[[#This Row],[Total]]</f>
        <v>#N/A</v>
      </c>
    </row>
    <row r="1019" spans="1:22" hidden="1" x14ac:dyDescent="0.25">
      <c r="A1019" s="100">
        <v>45731</v>
      </c>
      <c r="B1019" t="str">
        <f t="shared" si="40"/>
        <v>March</v>
      </c>
      <c r="C1019" s="46" t="s">
        <v>280</v>
      </c>
      <c r="F1019" s="366" t="s">
        <v>1148</v>
      </c>
      <c r="G1019" s="46" t="s">
        <v>22</v>
      </c>
      <c r="H1019" s="46">
        <v>2</v>
      </c>
      <c r="I1019" s="51">
        <v>13355.75</v>
      </c>
      <c r="J1019" s="281">
        <f>++Tabla4[[#This Row],[Precio Bruto]]*1.16</f>
        <v>15492.669999999998</v>
      </c>
      <c r="K1019" s="281">
        <f>+Tabla4[[#This Row],[Precio Unitario Neto]]*Tabla4[[#Headers],[20.85%]]</f>
        <v>3230.2216949999993</v>
      </c>
      <c r="L1019" s="282">
        <f>++Tabla4[[#This Row],[Precio Unitario Neto]]-Tabla4[[#This Row],[20.85%]]</f>
        <v>12262.448304999998</v>
      </c>
      <c r="M1019" s="282" t="e">
        <f>(INDEX(Tabla6[#All],MATCH(Tabla4[[#This Row],[Producto]],Tabla6[[#All],[PRODUCTO]],0),MATCH(Tabla4[[#This Row],[Mes]],Tabla6[#Headers],0)))*(1+Catalogos!$L$2)</f>
        <v>#N/A</v>
      </c>
      <c r="N1019" s="283" t="e">
        <f>+(Tabla4[[#This Row],[Precio Descontado]]-Tabla4[[#This Row],[Precio Base]])*Tabla4[[#This Row],[Cantidad]]</f>
        <v>#N/A</v>
      </c>
      <c r="O1019" s="284" t="e">
        <f>++Tabla4[[#This Row],[Utilidad Total]]/Tabla4[[#This Row],[Total]]</f>
        <v>#N/A</v>
      </c>
      <c r="P1019" s="282">
        <f>++Tabla4[[#This Row],[Precio Descontado]]*Tabla4[[#This Row],[Cantidad]]</f>
        <v>24524.896609999996</v>
      </c>
      <c r="Q1019" s="282" t="e">
        <f>(INDEX(Tabla6[#All],MATCH(Tabla4[[#This Row],[Producto]],Tabla6[[#All],[PRODUCTO]],0),MATCH(Tabla4[[#This Row],[Mes]],Tabla6[#Headers],0)))</f>
        <v>#N/A</v>
      </c>
      <c r="R1019" s="282" t="e">
        <f>++Tabla4[[#This Row],[Precio Unitario Neto]]-Tabla4[[#This Row],[20.85%]]-Tabla4[[#This Row],[Costo]]</f>
        <v>#N/A</v>
      </c>
      <c r="S1019" s="282" t="e">
        <f>++Tabla4[[#This Row],[U. Bruta Uni]]*Tabla4[[#This Row],[Cantidad]]</f>
        <v>#N/A</v>
      </c>
      <c r="T1019" s="369" t="str">
        <f>VLOOKUP(Tabla4[[#This Row],[Producto]],Tabla6[#All],14,FALSE)</f>
        <v>Termico Solar</v>
      </c>
      <c r="U1019" s="284" t="e">
        <f>(IF(Tabla4[[#This Row],[Familia]]="termico solar",Tabla4[[#This Row],[Utilidad Total]]*6%,Tabla4[[#This Row],[Utilidad Total]]*11.5%))/Tabla4[[#This Row],[Total]]</f>
        <v>#N/A</v>
      </c>
      <c r="V1019" s="282" t="e">
        <f>+Tabla4[[#This Row],[Comisión Calculada]]*Tabla4[[#This Row],[Total]]</f>
        <v>#N/A</v>
      </c>
    </row>
    <row r="1020" spans="1:22" hidden="1" x14ac:dyDescent="0.25">
      <c r="A1020" s="100">
        <v>45731</v>
      </c>
      <c r="B1020" t="str">
        <f t="shared" si="40"/>
        <v>March</v>
      </c>
      <c r="C1020" s="46" t="s">
        <v>280</v>
      </c>
      <c r="F1020" s="366" t="s">
        <v>1149</v>
      </c>
      <c r="G1020" s="46" t="s">
        <v>19</v>
      </c>
      <c r="H1020" s="46">
        <v>5</v>
      </c>
      <c r="I1020" s="51">
        <v>6412.0300000000007</v>
      </c>
      <c r="J1020" s="281">
        <f>++Tabla4[[#This Row],[Precio Bruto]]*1.16</f>
        <v>7437.9548000000004</v>
      </c>
      <c r="K1020" s="281">
        <f>+Tabla4[[#This Row],[Precio Unitario Neto]]*Tabla4[[#Headers],[20.85%]]</f>
        <v>1550.8135758000001</v>
      </c>
      <c r="L1020" s="282">
        <f>++Tabla4[[#This Row],[Precio Unitario Neto]]-Tabla4[[#This Row],[20.85%]]</f>
        <v>5887.1412242000006</v>
      </c>
      <c r="M1020" s="282" t="e">
        <f>(INDEX(Tabla6[#All],MATCH(Tabla4[[#This Row],[Producto]],Tabla6[[#All],[PRODUCTO]],0),MATCH(Tabla4[[#This Row],[Mes]],Tabla6[#Headers],0)))*(1+Catalogos!$L$2)</f>
        <v>#N/A</v>
      </c>
      <c r="N1020" s="283" t="e">
        <f>+(Tabla4[[#This Row],[Precio Descontado]]-Tabla4[[#This Row],[Precio Base]])*Tabla4[[#This Row],[Cantidad]]</f>
        <v>#N/A</v>
      </c>
      <c r="O1020" s="284" t="e">
        <f>++Tabla4[[#This Row],[Utilidad Total]]/Tabla4[[#This Row],[Total]]</f>
        <v>#N/A</v>
      </c>
      <c r="P1020" s="282">
        <f>++Tabla4[[#This Row],[Precio Descontado]]*Tabla4[[#This Row],[Cantidad]]</f>
        <v>29435.706121000003</v>
      </c>
      <c r="Q1020" s="282" t="e">
        <f>(INDEX(Tabla6[#All],MATCH(Tabla4[[#This Row],[Producto]],Tabla6[[#All],[PRODUCTO]],0),MATCH(Tabla4[[#This Row],[Mes]],Tabla6[#Headers],0)))</f>
        <v>#N/A</v>
      </c>
      <c r="R1020" s="282" t="e">
        <f>++Tabla4[[#This Row],[Precio Unitario Neto]]-Tabla4[[#This Row],[20.85%]]-Tabla4[[#This Row],[Costo]]</f>
        <v>#N/A</v>
      </c>
      <c r="S1020" s="282" t="e">
        <f>++Tabla4[[#This Row],[U. Bruta Uni]]*Tabla4[[#This Row],[Cantidad]]</f>
        <v>#N/A</v>
      </c>
      <c r="T1020" s="369" t="str">
        <f>VLOOKUP(Tabla4[[#This Row],[Producto]],Tabla6[#All],14,FALSE)</f>
        <v>Termico Solar</v>
      </c>
      <c r="U1020" s="284" t="e">
        <f>(IF(Tabla4[[#This Row],[Familia]]="termico solar",Tabla4[[#This Row],[Utilidad Total]]*6%,Tabla4[[#This Row],[Utilidad Total]]*11.5%))/Tabla4[[#This Row],[Total]]</f>
        <v>#N/A</v>
      </c>
      <c r="V1020" s="282" t="e">
        <f>+Tabla4[[#This Row],[Comisión Calculada]]*Tabla4[[#This Row],[Total]]</f>
        <v>#N/A</v>
      </c>
    </row>
    <row r="1021" spans="1:22" hidden="1" x14ac:dyDescent="0.25">
      <c r="A1021" s="100">
        <v>45731</v>
      </c>
      <c r="B1021" t="str">
        <f t="shared" si="40"/>
        <v>March</v>
      </c>
      <c r="C1021" s="46" t="s">
        <v>280</v>
      </c>
      <c r="F1021" s="366" t="s">
        <v>1149</v>
      </c>
      <c r="G1021" s="46" t="s">
        <v>20</v>
      </c>
      <c r="H1021" s="46">
        <v>3</v>
      </c>
      <c r="I1021" s="51">
        <v>7751.98</v>
      </c>
      <c r="J1021" s="281">
        <f>++Tabla4[[#This Row],[Precio Bruto]]*1.16</f>
        <v>8992.2967999999983</v>
      </c>
      <c r="K1021" s="281">
        <f>+Tabla4[[#This Row],[Precio Unitario Neto]]*Tabla4[[#Headers],[20.85%]]</f>
        <v>1874.8938827999996</v>
      </c>
      <c r="L1021" s="282">
        <f>++Tabla4[[#This Row],[Precio Unitario Neto]]-Tabla4[[#This Row],[20.85%]]</f>
        <v>7117.4029171999991</v>
      </c>
      <c r="M1021" s="282" t="e">
        <f>(INDEX(Tabla6[#All],MATCH(Tabla4[[#This Row],[Producto]],Tabla6[[#All],[PRODUCTO]],0),MATCH(Tabla4[[#This Row],[Mes]],Tabla6[#Headers],0)))*(1+Catalogos!$L$2)</f>
        <v>#N/A</v>
      </c>
      <c r="N1021" s="283" t="e">
        <f>+(Tabla4[[#This Row],[Precio Descontado]]-Tabla4[[#This Row],[Precio Base]])*Tabla4[[#This Row],[Cantidad]]</f>
        <v>#N/A</v>
      </c>
      <c r="O1021" s="284" t="e">
        <f>++Tabla4[[#This Row],[Utilidad Total]]/Tabla4[[#This Row],[Total]]</f>
        <v>#N/A</v>
      </c>
      <c r="P1021" s="282">
        <f>++Tabla4[[#This Row],[Precio Descontado]]*Tabla4[[#This Row],[Cantidad]]</f>
        <v>21352.208751599996</v>
      </c>
      <c r="Q1021" s="282" t="e">
        <f>(INDEX(Tabla6[#All],MATCH(Tabla4[[#This Row],[Producto]],Tabla6[[#All],[PRODUCTO]],0),MATCH(Tabla4[[#This Row],[Mes]],Tabla6[#Headers],0)))</f>
        <v>#N/A</v>
      </c>
      <c r="R1021" s="282" t="e">
        <f>++Tabla4[[#This Row],[Precio Unitario Neto]]-Tabla4[[#This Row],[20.85%]]-Tabla4[[#This Row],[Costo]]</f>
        <v>#N/A</v>
      </c>
      <c r="S1021" s="282" t="e">
        <f>++Tabla4[[#This Row],[U. Bruta Uni]]*Tabla4[[#This Row],[Cantidad]]</f>
        <v>#N/A</v>
      </c>
      <c r="T1021" s="369" t="str">
        <f>VLOOKUP(Tabla4[[#This Row],[Producto]],Tabla6[#All],14,FALSE)</f>
        <v>Termico Solar</v>
      </c>
      <c r="U1021" s="284" t="e">
        <f>(IF(Tabla4[[#This Row],[Familia]]="termico solar",Tabla4[[#This Row],[Utilidad Total]]*6%,Tabla4[[#This Row],[Utilidad Total]]*11.5%))/Tabla4[[#This Row],[Total]]</f>
        <v>#N/A</v>
      </c>
      <c r="V1021" s="282" t="e">
        <f>+Tabla4[[#This Row],[Comisión Calculada]]*Tabla4[[#This Row],[Total]]</f>
        <v>#N/A</v>
      </c>
    </row>
    <row r="1022" spans="1:22" hidden="1" x14ac:dyDescent="0.25">
      <c r="A1022" s="100">
        <v>45731</v>
      </c>
      <c r="B1022" t="str">
        <f t="shared" si="40"/>
        <v>March</v>
      </c>
      <c r="C1022" s="46" t="s">
        <v>280</v>
      </c>
      <c r="F1022" s="366" t="s">
        <v>1149</v>
      </c>
      <c r="G1022" s="46" t="s">
        <v>21</v>
      </c>
      <c r="H1022" s="46">
        <v>4</v>
      </c>
      <c r="I1022" s="51">
        <v>9282.19</v>
      </c>
      <c r="J1022" s="281">
        <f>++Tabla4[[#This Row],[Precio Bruto]]*1.16</f>
        <v>10767.340399999999</v>
      </c>
      <c r="K1022" s="281">
        <f>+Tabla4[[#This Row],[Precio Unitario Neto]]*Tabla4[[#Headers],[20.85%]]</f>
        <v>2244.9904733999997</v>
      </c>
      <c r="L1022" s="282">
        <f>++Tabla4[[#This Row],[Precio Unitario Neto]]-Tabla4[[#This Row],[20.85%]]</f>
        <v>8522.3499265999999</v>
      </c>
      <c r="M1022" s="282" t="e">
        <f>(INDEX(Tabla6[#All],MATCH(Tabla4[[#This Row],[Producto]],Tabla6[[#All],[PRODUCTO]],0),MATCH(Tabla4[[#This Row],[Mes]],Tabla6[#Headers],0)))*(1+Catalogos!$L$2)</f>
        <v>#N/A</v>
      </c>
      <c r="N1022" s="283" t="e">
        <f>+(Tabla4[[#This Row],[Precio Descontado]]-Tabla4[[#This Row],[Precio Base]])*Tabla4[[#This Row],[Cantidad]]</f>
        <v>#N/A</v>
      </c>
      <c r="O1022" s="284" t="e">
        <f>++Tabla4[[#This Row],[Utilidad Total]]/Tabla4[[#This Row],[Total]]</f>
        <v>#N/A</v>
      </c>
      <c r="P1022" s="282">
        <f>++Tabla4[[#This Row],[Precio Descontado]]*Tabla4[[#This Row],[Cantidad]]</f>
        <v>34089.3997064</v>
      </c>
      <c r="Q1022" s="282" t="e">
        <f>(INDEX(Tabla6[#All],MATCH(Tabla4[[#This Row],[Producto]],Tabla6[[#All],[PRODUCTO]],0),MATCH(Tabla4[[#This Row],[Mes]],Tabla6[#Headers],0)))</f>
        <v>#N/A</v>
      </c>
      <c r="R1022" s="282" t="e">
        <f>++Tabla4[[#This Row],[Precio Unitario Neto]]-Tabla4[[#This Row],[20.85%]]-Tabla4[[#This Row],[Costo]]</f>
        <v>#N/A</v>
      </c>
      <c r="S1022" s="282" t="e">
        <f>++Tabla4[[#This Row],[U. Bruta Uni]]*Tabla4[[#This Row],[Cantidad]]</f>
        <v>#N/A</v>
      </c>
      <c r="T1022" s="369" t="str">
        <f>VLOOKUP(Tabla4[[#This Row],[Producto]],Tabla6[#All],14,FALSE)</f>
        <v>Termico Solar</v>
      </c>
      <c r="U1022" s="284" t="e">
        <f>(IF(Tabla4[[#This Row],[Familia]]="termico solar",Tabla4[[#This Row],[Utilidad Total]]*6%,Tabla4[[#This Row],[Utilidad Total]]*11.5%))/Tabla4[[#This Row],[Total]]</f>
        <v>#N/A</v>
      </c>
      <c r="V1022" s="282" t="e">
        <f>+Tabla4[[#This Row],[Comisión Calculada]]*Tabla4[[#This Row],[Total]]</f>
        <v>#N/A</v>
      </c>
    </row>
    <row r="1023" spans="1:22" hidden="1" x14ac:dyDescent="0.25">
      <c r="A1023" s="100">
        <v>45731</v>
      </c>
      <c r="B1023" t="str">
        <f t="shared" si="40"/>
        <v>March</v>
      </c>
      <c r="C1023" s="46" t="s">
        <v>280</v>
      </c>
      <c r="F1023" s="366" t="s">
        <v>1149</v>
      </c>
      <c r="G1023" s="46" t="s">
        <v>22</v>
      </c>
      <c r="H1023" s="46">
        <v>8</v>
      </c>
      <c r="I1023" s="51">
        <v>13355.75</v>
      </c>
      <c r="J1023" s="281">
        <f>++Tabla4[[#This Row],[Precio Bruto]]*1.16</f>
        <v>15492.669999999998</v>
      </c>
      <c r="K1023" s="281">
        <f>+Tabla4[[#This Row],[Precio Unitario Neto]]*Tabla4[[#Headers],[20.85%]]</f>
        <v>3230.2216949999993</v>
      </c>
      <c r="L1023" s="282">
        <f>++Tabla4[[#This Row],[Precio Unitario Neto]]-Tabla4[[#This Row],[20.85%]]</f>
        <v>12262.448304999998</v>
      </c>
      <c r="M1023" s="282" t="e">
        <f>(INDEX(Tabla6[#All],MATCH(Tabla4[[#This Row],[Producto]],Tabla6[[#All],[PRODUCTO]],0),MATCH(Tabla4[[#This Row],[Mes]],Tabla6[#Headers],0)))*(1+Catalogos!$L$2)</f>
        <v>#N/A</v>
      </c>
      <c r="N1023" s="283" t="e">
        <f>+(Tabla4[[#This Row],[Precio Descontado]]-Tabla4[[#This Row],[Precio Base]])*Tabla4[[#This Row],[Cantidad]]</f>
        <v>#N/A</v>
      </c>
      <c r="O1023" s="284" t="e">
        <f>++Tabla4[[#This Row],[Utilidad Total]]/Tabla4[[#This Row],[Total]]</f>
        <v>#N/A</v>
      </c>
      <c r="P1023" s="282">
        <f>++Tabla4[[#This Row],[Precio Descontado]]*Tabla4[[#This Row],[Cantidad]]</f>
        <v>98099.586439999985</v>
      </c>
      <c r="Q1023" s="282" t="e">
        <f>(INDEX(Tabla6[#All],MATCH(Tabla4[[#This Row],[Producto]],Tabla6[[#All],[PRODUCTO]],0),MATCH(Tabla4[[#This Row],[Mes]],Tabla6[#Headers],0)))</f>
        <v>#N/A</v>
      </c>
      <c r="R1023" s="282" t="e">
        <f>++Tabla4[[#This Row],[Precio Unitario Neto]]-Tabla4[[#This Row],[20.85%]]-Tabla4[[#This Row],[Costo]]</f>
        <v>#N/A</v>
      </c>
      <c r="S1023" s="282" t="e">
        <f>++Tabla4[[#This Row],[U. Bruta Uni]]*Tabla4[[#This Row],[Cantidad]]</f>
        <v>#N/A</v>
      </c>
      <c r="T1023" s="369" t="str">
        <f>VLOOKUP(Tabla4[[#This Row],[Producto]],Tabla6[#All],14,FALSE)</f>
        <v>Termico Solar</v>
      </c>
      <c r="U1023" s="284" t="e">
        <f>(IF(Tabla4[[#This Row],[Familia]]="termico solar",Tabla4[[#This Row],[Utilidad Total]]*6%,Tabla4[[#This Row],[Utilidad Total]]*11.5%))/Tabla4[[#This Row],[Total]]</f>
        <v>#N/A</v>
      </c>
      <c r="V1023" s="282" t="e">
        <f>+Tabla4[[#This Row],[Comisión Calculada]]*Tabla4[[#This Row],[Total]]</f>
        <v>#N/A</v>
      </c>
    </row>
    <row r="1024" spans="1:22" hidden="1" x14ac:dyDescent="0.25">
      <c r="A1024" s="100">
        <v>45731</v>
      </c>
      <c r="B1024" t="str">
        <f t="shared" si="40"/>
        <v>March</v>
      </c>
      <c r="C1024" s="46" t="s">
        <v>280</v>
      </c>
      <c r="F1024" s="366" t="s">
        <v>1149</v>
      </c>
      <c r="G1024" s="46" t="s">
        <v>84</v>
      </c>
      <c r="H1024" s="46">
        <v>1</v>
      </c>
      <c r="I1024" s="51">
        <v>16601.830000000002</v>
      </c>
      <c r="J1024" s="281">
        <f>++Tabla4[[#This Row],[Precio Bruto]]*1.16</f>
        <v>19258.122800000001</v>
      </c>
      <c r="K1024" s="281">
        <f>+Tabla4[[#This Row],[Precio Unitario Neto]]*Tabla4[[#Headers],[20.85%]]</f>
        <v>4015.3186037999999</v>
      </c>
      <c r="L1024" s="282">
        <f>++Tabla4[[#This Row],[Precio Unitario Neto]]-Tabla4[[#This Row],[20.85%]]</f>
        <v>15242.804196200001</v>
      </c>
      <c r="M1024" s="282" t="e">
        <f>(INDEX(Tabla6[#All],MATCH(Tabla4[[#This Row],[Producto]],Tabla6[[#All],[PRODUCTO]],0),MATCH(Tabla4[[#This Row],[Mes]],Tabla6[#Headers],0)))*(1+Catalogos!$L$2)</f>
        <v>#N/A</v>
      </c>
      <c r="N1024" s="283" t="e">
        <f>+(Tabla4[[#This Row],[Precio Descontado]]-Tabla4[[#This Row],[Precio Base]])*Tabla4[[#This Row],[Cantidad]]</f>
        <v>#N/A</v>
      </c>
      <c r="O1024" s="284" t="e">
        <f>++Tabla4[[#This Row],[Utilidad Total]]/Tabla4[[#This Row],[Total]]</f>
        <v>#N/A</v>
      </c>
      <c r="P1024" s="282">
        <f>++Tabla4[[#This Row],[Precio Descontado]]*Tabla4[[#This Row],[Cantidad]]</f>
        <v>15242.804196200001</v>
      </c>
      <c r="Q1024" s="282" t="e">
        <f>(INDEX(Tabla6[#All],MATCH(Tabla4[[#This Row],[Producto]],Tabla6[[#All],[PRODUCTO]],0),MATCH(Tabla4[[#This Row],[Mes]],Tabla6[#Headers],0)))</f>
        <v>#N/A</v>
      </c>
      <c r="R1024" s="282" t="e">
        <f>++Tabla4[[#This Row],[Precio Unitario Neto]]-Tabla4[[#This Row],[20.85%]]-Tabla4[[#This Row],[Costo]]</f>
        <v>#N/A</v>
      </c>
      <c r="S1024" s="282" t="e">
        <f>++Tabla4[[#This Row],[U. Bruta Uni]]*Tabla4[[#This Row],[Cantidad]]</f>
        <v>#N/A</v>
      </c>
      <c r="T1024" s="369" t="str">
        <f>VLOOKUP(Tabla4[[#This Row],[Producto]],Tabla6[#All],14,FALSE)</f>
        <v>Termico Solar</v>
      </c>
      <c r="U1024" s="284" t="e">
        <f>(IF(Tabla4[[#This Row],[Familia]]="termico solar",Tabla4[[#This Row],[Utilidad Total]]*6%,Tabla4[[#This Row],[Utilidad Total]]*11.5%))/Tabla4[[#This Row],[Total]]</f>
        <v>#N/A</v>
      </c>
      <c r="V1024" s="282" t="e">
        <f>+Tabla4[[#This Row],[Comisión Calculada]]*Tabla4[[#This Row],[Total]]</f>
        <v>#N/A</v>
      </c>
    </row>
    <row r="1025" spans="1:22" hidden="1" x14ac:dyDescent="0.25">
      <c r="A1025" s="100">
        <v>45731</v>
      </c>
      <c r="B1025" t="str">
        <f t="shared" si="40"/>
        <v>March</v>
      </c>
      <c r="C1025" s="46" t="s">
        <v>280</v>
      </c>
      <c r="F1025" s="366" t="s">
        <v>1150</v>
      </c>
      <c r="G1025" s="46" t="s">
        <v>83</v>
      </c>
      <c r="H1025" s="46">
        <v>2</v>
      </c>
      <c r="I1025" s="51">
        <v>8858.76</v>
      </c>
      <c r="J1025" s="281">
        <f>++Tabla4[[#This Row],[Precio Bruto]]*1.16</f>
        <v>10276.161599999999</v>
      </c>
      <c r="K1025" s="281">
        <f>+Tabla4[[#This Row],[Precio Unitario Neto]]*Tabla4[[#Headers],[20.85%]]</f>
        <v>2142.5796935999997</v>
      </c>
      <c r="L1025" s="282">
        <f>++Tabla4[[#This Row],[Precio Unitario Neto]]-Tabla4[[#This Row],[20.85%]]</f>
        <v>8133.5819063999998</v>
      </c>
      <c r="M1025" s="282" t="e">
        <f>(INDEX(Tabla6[#All],MATCH(Tabla4[[#This Row],[Producto]],Tabla6[[#All],[PRODUCTO]],0),MATCH(Tabla4[[#This Row],[Mes]],Tabla6[#Headers],0)))*(1+Catalogos!$L$2)</f>
        <v>#N/A</v>
      </c>
      <c r="N1025" s="283" t="e">
        <f>+(Tabla4[[#This Row],[Precio Descontado]]-Tabla4[[#This Row],[Precio Base]])*Tabla4[[#This Row],[Cantidad]]</f>
        <v>#N/A</v>
      </c>
      <c r="O1025" s="284" t="e">
        <f>++Tabla4[[#This Row],[Utilidad Total]]/Tabla4[[#This Row],[Total]]</f>
        <v>#N/A</v>
      </c>
      <c r="P1025" s="282">
        <f>++Tabla4[[#This Row],[Precio Descontado]]*Tabla4[[#This Row],[Cantidad]]</f>
        <v>16267.1638128</v>
      </c>
      <c r="Q1025" s="282" t="e">
        <f>(INDEX(Tabla6[#All],MATCH(Tabla4[[#This Row],[Producto]],Tabla6[[#All],[PRODUCTO]],0),MATCH(Tabla4[[#This Row],[Mes]],Tabla6[#Headers],0)))</f>
        <v>#N/A</v>
      </c>
      <c r="R1025" s="282" t="e">
        <f>++Tabla4[[#This Row],[Precio Unitario Neto]]-Tabla4[[#This Row],[20.85%]]-Tabla4[[#This Row],[Costo]]</f>
        <v>#N/A</v>
      </c>
      <c r="S1025" s="282" t="e">
        <f>++Tabla4[[#This Row],[U. Bruta Uni]]*Tabla4[[#This Row],[Cantidad]]</f>
        <v>#N/A</v>
      </c>
      <c r="T1025" s="369" t="str">
        <f>VLOOKUP(Tabla4[[#This Row],[Producto]],Tabla6[#All],14,FALSE)</f>
        <v>Termico Solar</v>
      </c>
      <c r="U1025" s="284" t="e">
        <f>(IF(Tabla4[[#This Row],[Familia]]="termico solar",Tabla4[[#This Row],[Utilidad Total]]*6%,Tabla4[[#This Row],[Utilidad Total]]*11.5%))/Tabla4[[#This Row],[Total]]</f>
        <v>#N/A</v>
      </c>
      <c r="V1025" s="282" t="e">
        <f>+Tabla4[[#This Row],[Comisión Calculada]]*Tabla4[[#This Row],[Total]]</f>
        <v>#N/A</v>
      </c>
    </row>
    <row r="1026" spans="1:22" hidden="1" x14ac:dyDescent="0.25">
      <c r="A1026" s="100">
        <v>45731</v>
      </c>
      <c r="B1026" t="str">
        <f t="shared" si="40"/>
        <v>March</v>
      </c>
      <c r="C1026" s="46" t="s">
        <v>280</v>
      </c>
      <c r="F1026" s="366" t="s">
        <v>1150</v>
      </c>
      <c r="G1026" s="46" t="s">
        <v>17</v>
      </c>
      <c r="H1026" s="46">
        <v>1</v>
      </c>
      <c r="I1026" s="51">
        <v>4622.28</v>
      </c>
      <c r="J1026" s="281">
        <f>++Tabla4[[#This Row],[Precio Bruto]]*1.16</f>
        <v>5361.8447999999989</v>
      </c>
      <c r="K1026" s="281">
        <f>+Tabla4[[#This Row],[Precio Unitario Neto]]*Tabla4[[#Headers],[20.85%]]</f>
        <v>1117.9446407999997</v>
      </c>
      <c r="L1026" s="282">
        <f>++Tabla4[[#This Row],[Precio Unitario Neto]]-Tabla4[[#This Row],[20.85%]]</f>
        <v>4243.9001591999995</v>
      </c>
      <c r="M1026" s="282" t="e">
        <f>(INDEX(Tabla6[#All],MATCH(Tabla4[[#This Row],[Producto]],Tabla6[[#All],[PRODUCTO]],0),MATCH(Tabla4[[#This Row],[Mes]],Tabla6[#Headers],0)))*(1+Catalogos!$L$2)</f>
        <v>#N/A</v>
      </c>
      <c r="N1026" s="283" t="e">
        <f>+(Tabla4[[#This Row],[Precio Descontado]]-Tabla4[[#This Row],[Precio Base]])*Tabla4[[#This Row],[Cantidad]]</f>
        <v>#N/A</v>
      </c>
      <c r="O1026" s="284" t="e">
        <f>++Tabla4[[#This Row],[Utilidad Total]]/Tabla4[[#This Row],[Total]]</f>
        <v>#N/A</v>
      </c>
      <c r="P1026" s="282">
        <f>++Tabla4[[#This Row],[Precio Descontado]]*Tabla4[[#This Row],[Cantidad]]</f>
        <v>4243.9001591999995</v>
      </c>
      <c r="Q1026" s="282" t="e">
        <f>(INDEX(Tabla6[#All],MATCH(Tabla4[[#This Row],[Producto]],Tabla6[[#All],[PRODUCTO]],0),MATCH(Tabla4[[#This Row],[Mes]],Tabla6[#Headers],0)))</f>
        <v>#N/A</v>
      </c>
      <c r="R1026" s="282" t="e">
        <f>++Tabla4[[#This Row],[Precio Unitario Neto]]-Tabla4[[#This Row],[20.85%]]-Tabla4[[#This Row],[Costo]]</f>
        <v>#N/A</v>
      </c>
      <c r="S1026" s="282" t="e">
        <f>++Tabla4[[#This Row],[U. Bruta Uni]]*Tabla4[[#This Row],[Cantidad]]</f>
        <v>#N/A</v>
      </c>
      <c r="T1026" s="369" t="str">
        <f>VLOOKUP(Tabla4[[#This Row],[Producto]],Tabla6[#All],14,FALSE)</f>
        <v>Termico Solar</v>
      </c>
      <c r="U1026" s="284" t="e">
        <f>(IF(Tabla4[[#This Row],[Familia]]="termico solar",Tabla4[[#This Row],[Utilidad Total]]*6%,Tabla4[[#This Row],[Utilidad Total]]*11.5%))/Tabla4[[#This Row],[Total]]</f>
        <v>#N/A</v>
      </c>
      <c r="V1026" s="282" t="e">
        <f>+Tabla4[[#This Row],[Comisión Calculada]]*Tabla4[[#This Row],[Total]]</f>
        <v>#N/A</v>
      </c>
    </row>
    <row r="1027" spans="1:22" hidden="1" x14ac:dyDescent="0.25">
      <c r="A1027" s="100">
        <v>45731</v>
      </c>
      <c r="B1027" t="str">
        <f t="shared" si="40"/>
        <v>March</v>
      </c>
      <c r="C1027" s="46" t="s">
        <v>280</v>
      </c>
      <c r="F1027" s="366" t="s">
        <v>1150</v>
      </c>
      <c r="G1027" s="46" t="s">
        <v>18</v>
      </c>
      <c r="H1027" s="46">
        <v>4</v>
      </c>
      <c r="I1027" s="51">
        <v>5367.65</v>
      </c>
      <c r="J1027" s="281">
        <f>++Tabla4[[#This Row],[Precio Bruto]]*1.16</f>
        <v>6226.4739999999993</v>
      </c>
      <c r="K1027" s="281">
        <f>+Tabla4[[#This Row],[Precio Unitario Neto]]*Tabla4[[#Headers],[20.85%]]</f>
        <v>1298.2198289999999</v>
      </c>
      <c r="L1027" s="282">
        <f>++Tabla4[[#This Row],[Precio Unitario Neto]]-Tabla4[[#This Row],[20.85%]]</f>
        <v>4928.2541709999996</v>
      </c>
      <c r="M1027" s="282" t="e">
        <f>(INDEX(Tabla6[#All],MATCH(Tabla4[[#This Row],[Producto]],Tabla6[[#All],[PRODUCTO]],0),MATCH(Tabla4[[#This Row],[Mes]],Tabla6[#Headers],0)))*(1+Catalogos!$L$2)</f>
        <v>#N/A</v>
      </c>
      <c r="N1027" s="283" t="e">
        <f>+(Tabla4[[#This Row],[Precio Descontado]]-Tabla4[[#This Row],[Precio Base]])*Tabla4[[#This Row],[Cantidad]]</f>
        <v>#N/A</v>
      </c>
      <c r="O1027" s="284" t="e">
        <f>++Tabla4[[#This Row],[Utilidad Total]]/Tabla4[[#This Row],[Total]]</f>
        <v>#N/A</v>
      </c>
      <c r="P1027" s="282">
        <f>++Tabla4[[#This Row],[Precio Descontado]]*Tabla4[[#This Row],[Cantidad]]</f>
        <v>19713.016683999998</v>
      </c>
      <c r="Q1027" s="282" t="e">
        <f>(INDEX(Tabla6[#All],MATCH(Tabla4[[#This Row],[Producto]],Tabla6[[#All],[PRODUCTO]],0),MATCH(Tabla4[[#This Row],[Mes]],Tabla6[#Headers],0)))</f>
        <v>#N/A</v>
      </c>
      <c r="R1027" s="282" t="e">
        <f>++Tabla4[[#This Row],[Precio Unitario Neto]]-Tabla4[[#This Row],[20.85%]]-Tabla4[[#This Row],[Costo]]</f>
        <v>#N/A</v>
      </c>
      <c r="S1027" s="282" t="e">
        <f>++Tabla4[[#This Row],[U. Bruta Uni]]*Tabla4[[#This Row],[Cantidad]]</f>
        <v>#N/A</v>
      </c>
      <c r="T1027" s="369" t="str">
        <f>VLOOKUP(Tabla4[[#This Row],[Producto]],Tabla6[#All],14,FALSE)</f>
        <v>Termico Solar</v>
      </c>
      <c r="U1027" s="284" t="e">
        <f>(IF(Tabla4[[#This Row],[Familia]]="termico solar",Tabla4[[#This Row],[Utilidad Total]]*6%,Tabla4[[#This Row],[Utilidad Total]]*11.5%))/Tabla4[[#This Row],[Total]]</f>
        <v>#N/A</v>
      </c>
      <c r="V1027" s="282" t="e">
        <f>+Tabla4[[#This Row],[Comisión Calculada]]*Tabla4[[#This Row],[Total]]</f>
        <v>#N/A</v>
      </c>
    </row>
    <row r="1028" spans="1:22" hidden="1" x14ac:dyDescent="0.25">
      <c r="A1028" s="100">
        <v>45731</v>
      </c>
      <c r="B1028" t="str">
        <f t="shared" si="40"/>
        <v>March</v>
      </c>
      <c r="C1028" s="46" t="s">
        <v>280</v>
      </c>
      <c r="F1028" s="366" t="s">
        <v>1150</v>
      </c>
      <c r="G1028" s="46" t="s">
        <v>566</v>
      </c>
      <c r="H1028" s="46">
        <v>1</v>
      </c>
      <c r="I1028" s="51">
        <v>2109.4499999999998</v>
      </c>
      <c r="J1028" s="281">
        <f>++Tabla4[[#This Row],[Precio Bruto]]*1.16</f>
        <v>2446.9619999999995</v>
      </c>
      <c r="K1028" s="281">
        <f>+Tabla4[[#This Row],[Precio Unitario Neto]]*Tabla4[[#Headers],[20.85%]]</f>
        <v>510.19157699999988</v>
      </c>
      <c r="L1028" s="282">
        <f>++Tabla4[[#This Row],[Precio Unitario Neto]]-Tabla4[[#This Row],[20.85%]]</f>
        <v>1936.7704229999997</v>
      </c>
      <c r="M1028" s="282" t="e">
        <f>(INDEX(Tabla6[#All],MATCH(Tabla4[[#This Row],[Producto]],Tabla6[[#All],[PRODUCTO]],0),MATCH(Tabla4[[#This Row],[Mes]],Tabla6[#Headers],0)))*(1+Catalogos!$L$2)</f>
        <v>#N/A</v>
      </c>
      <c r="N1028" s="283" t="e">
        <f>+(Tabla4[[#This Row],[Precio Descontado]]-Tabla4[[#This Row],[Precio Base]])*Tabla4[[#This Row],[Cantidad]]</f>
        <v>#N/A</v>
      </c>
      <c r="O1028" s="284" t="e">
        <f>++Tabla4[[#This Row],[Utilidad Total]]/Tabla4[[#This Row],[Total]]</f>
        <v>#N/A</v>
      </c>
      <c r="P1028" s="282">
        <f>++Tabla4[[#This Row],[Precio Descontado]]*Tabla4[[#This Row],[Cantidad]]</f>
        <v>1936.7704229999997</v>
      </c>
      <c r="Q1028" s="282" t="e">
        <f>(INDEX(Tabla6[#All],MATCH(Tabla4[[#This Row],[Producto]],Tabla6[[#All],[PRODUCTO]],0),MATCH(Tabla4[[#This Row],[Mes]],Tabla6[#Headers],0)))</f>
        <v>#N/A</v>
      </c>
      <c r="R1028" s="282" t="e">
        <f>++Tabla4[[#This Row],[Precio Unitario Neto]]-Tabla4[[#This Row],[20.85%]]-Tabla4[[#This Row],[Costo]]</f>
        <v>#N/A</v>
      </c>
      <c r="S1028" s="282" t="e">
        <f>++Tabla4[[#This Row],[U. Bruta Uni]]*Tabla4[[#This Row],[Cantidad]]</f>
        <v>#N/A</v>
      </c>
      <c r="T1028" s="369" t="str">
        <f>VLOOKUP(Tabla4[[#This Row],[Producto]],Tabla6[#All],14,FALSE)</f>
        <v>Termico Solar</v>
      </c>
      <c r="U1028" s="284" t="e">
        <f>(IF(Tabla4[[#This Row],[Familia]]="termico solar",Tabla4[[#This Row],[Utilidad Total]]*6%,Tabla4[[#This Row],[Utilidad Total]]*11.5%))/Tabla4[[#This Row],[Total]]</f>
        <v>#N/A</v>
      </c>
      <c r="V1028" s="282" t="e">
        <f>+Tabla4[[#This Row],[Comisión Calculada]]*Tabla4[[#This Row],[Total]]</f>
        <v>#N/A</v>
      </c>
    </row>
    <row r="1029" spans="1:22" hidden="1" x14ac:dyDescent="0.25">
      <c r="A1029" s="100">
        <v>45731</v>
      </c>
      <c r="B1029" t="str">
        <f t="shared" si="40"/>
        <v>March</v>
      </c>
      <c r="C1029" s="46" t="s">
        <v>280</v>
      </c>
      <c r="F1029" s="366" t="s">
        <v>1151</v>
      </c>
      <c r="G1029" s="46" t="s">
        <v>566</v>
      </c>
      <c r="H1029" s="46">
        <v>2</v>
      </c>
      <c r="I1029" s="51">
        <v>2109.4499999999998</v>
      </c>
      <c r="J1029" s="281">
        <f>++Tabla4[[#This Row],[Precio Bruto]]*1.16</f>
        <v>2446.9619999999995</v>
      </c>
      <c r="K1029" s="281">
        <f>+Tabla4[[#This Row],[Precio Unitario Neto]]*Tabla4[[#Headers],[20.85%]]</f>
        <v>510.19157699999988</v>
      </c>
      <c r="L1029" s="282">
        <f>++Tabla4[[#This Row],[Precio Unitario Neto]]-Tabla4[[#This Row],[20.85%]]</f>
        <v>1936.7704229999997</v>
      </c>
      <c r="M1029" s="282" t="e">
        <f>(INDEX(Tabla6[#All],MATCH(Tabla4[[#This Row],[Producto]],Tabla6[[#All],[PRODUCTO]],0),MATCH(Tabla4[[#This Row],[Mes]],Tabla6[#Headers],0)))*(1+Catalogos!$L$2)</f>
        <v>#N/A</v>
      </c>
      <c r="N1029" s="283" t="e">
        <f>+(Tabla4[[#This Row],[Precio Descontado]]-Tabla4[[#This Row],[Precio Base]])*Tabla4[[#This Row],[Cantidad]]</f>
        <v>#N/A</v>
      </c>
      <c r="O1029" s="284" t="e">
        <f>++Tabla4[[#This Row],[Utilidad Total]]/Tabla4[[#This Row],[Total]]</f>
        <v>#N/A</v>
      </c>
      <c r="P1029" s="282">
        <f>++Tabla4[[#This Row],[Precio Descontado]]*Tabla4[[#This Row],[Cantidad]]</f>
        <v>3873.5408459999994</v>
      </c>
      <c r="Q1029" s="282" t="e">
        <f>(INDEX(Tabla6[#All],MATCH(Tabla4[[#This Row],[Producto]],Tabla6[[#All],[PRODUCTO]],0),MATCH(Tabla4[[#This Row],[Mes]],Tabla6[#Headers],0)))</f>
        <v>#N/A</v>
      </c>
      <c r="R1029" s="282" t="e">
        <f>++Tabla4[[#This Row],[Precio Unitario Neto]]-Tabla4[[#This Row],[20.85%]]-Tabla4[[#This Row],[Costo]]</f>
        <v>#N/A</v>
      </c>
      <c r="S1029" s="282" t="e">
        <f>++Tabla4[[#This Row],[U. Bruta Uni]]*Tabla4[[#This Row],[Cantidad]]</f>
        <v>#N/A</v>
      </c>
      <c r="T1029" s="369" t="str">
        <f>VLOOKUP(Tabla4[[#This Row],[Producto]],Tabla6[#All],14,FALSE)</f>
        <v>Termico Solar</v>
      </c>
      <c r="U1029" s="284" t="e">
        <f>(IF(Tabla4[[#This Row],[Familia]]="termico solar",Tabla4[[#This Row],[Utilidad Total]]*6%,Tabla4[[#This Row],[Utilidad Total]]*11.5%))/Tabla4[[#This Row],[Total]]</f>
        <v>#N/A</v>
      </c>
      <c r="V1029" s="282" t="e">
        <f>+Tabla4[[#This Row],[Comisión Calculada]]*Tabla4[[#This Row],[Total]]</f>
        <v>#N/A</v>
      </c>
    </row>
    <row r="1030" spans="1:22" hidden="1" x14ac:dyDescent="0.25">
      <c r="A1030" s="100">
        <v>45731</v>
      </c>
      <c r="B1030" t="str">
        <f t="shared" ref="B1030:B1061" si="41">TEXT(A1030, "mmmm")</f>
        <v>March</v>
      </c>
      <c r="C1030" s="46" t="s">
        <v>280</v>
      </c>
      <c r="F1030" s="366" t="s">
        <v>1152</v>
      </c>
      <c r="G1030" s="46" t="s">
        <v>17</v>
      </c>
      <c r="H1030" s="46">
        <v>2</v>
      </c>
      <c r="I1030" s="51">
        <v>4622.28</v>
      </c>
      <c r="J1030" s="281">
        <f>++Tabla4[[#This Row],[Precio Bruto]]*1.16</f>
        <v>5361.8447999999989</v>
      </c>
      <c r="K1030" s="281">
        <f>+Tabla4[[#This Row],[Precio Unitario Neto]]*Tabla4[[#Headers],[20.85%]]</f>
        <v>1117.9446407999997</v>
      </c>
      <c r="L1030" s="282">
        <f>++Tabla4[[#This Row],[Precio Unitario Neto]]-Tabla4[[#This Row],[20.85%]]</f>
        <v>4243.9001591999995</v>
      </c>
      <c r="M1030" s="282" t="e">
        <f>(INDEX(Tabla6[#All],MATCH(Tabla4[[#This Row],[Producto]],Tabla6[[#All],[PRODUCTO]],0),MATCH(Tabla4[[#This Row],[Mes]],Tabla6[#Headers],0)))*(1+Catalogos!$L$2)</f>
        <v>#N/A</v>
      </c>
      <c r="N1030" s="283" t="e">
        <f>+(Tabla4[[#This Row],[Precio Descontado]]-Tabla4[[#This Row],[Precio Base]])*Tabla4[[#This Row],[Cantidad]]</f>
        <v>#N/A</v>
      </c>
      <c r="O1030" s="284" t="e">
        <f>++Tabla4[[#This Row],[Utilidad Total]]/Tabla4[[#This Row],[Total]]</f>
        <v>#N/A</v>
      </c>
      <c r="P1030" s="282">
        <f>++Tabla4[[#This Row],[Precio Descontado]]*Tabla4[[#This Row],[Cantidad]]</f>
        <v>8487.800318399999</v>
      </c>
      <c r="Q1030" s="282" t="e">
        <f>(INDEX(Tabla6[#All],MATCH(Tabla4[[#This Row],[Producto]],Tabla6[[#All],[PRODUCTO]],0),MATCH(Tabla4[[#This Row],[Mes]],Tabla6[#Headers],0)))</f>
        <v>#N/A</v>
      </c>
      <c r="R1030" s="282" t="e">
        <f>++Tabla4[[#This Row],[Precio Unitario Neto]]-Tabla4[[#This Row],[20.85%]]-Tabla4[[#This Row],[Costo]]</f>
        <v>#N/A</v>
      </c>
      <c r="S1030" s="282" t="e">
        <f>++Tabla4[[#This Row],[U. Bruta Uni]]*Tabla4[[#This Row],[Cantidad]]</f>
        <v>#N/A</v>
      </c>
      <c r="T1030" s="369" t="str">
        <f>VLOOKUP(Tabla4[[#This Row],[Producto]],Tabla6[#All],14,FALSE)</f>
        <v>Termico Solar</v>
      </c>
      <c r="U1030" s="284" t="e">
        <f>(IF(Tabla4[[#This Row],[Familia]]="termico solar",Tabla4[[#This Row],[Utilidad Total]]*6%,Tabla4[[#This Row],[Utilidad Total]]*11.5%))/Tabla4[[#This Row],[Total]]</f>
        <v>#N/A</v>
      </c>
      <c r="V1030" s="282" t="e">
        <f>+Tabla4[[#This Row],[Comisión Calculada]]*Tabla4[[#This Row],[Total]]</f>
        <v>#N/A</v>
      </c>
    </row>
    <row r="1031" spans="1:22" hidden="1" x14ac:dyDescent="0.25">
      <c r="A1031" s="100">
        <v>45731</v>
      </c>
      <c r="B1031" t="str">
        <f t="shared" si="41"/>
        <v>March</v>
      </c>
      <c r="C1031" s="46" t="s">
        <v>280</v>
      </c>
      <c r="F1031" s="366" t="s">
        <v>1152</v>
      </c>
      <c r="G1031" s="46" t="s">
        <v>566</v>
      </c>
      <c r="H1031" s="46">
        <v>2</v>
      </c>
      <c r="I1031" s="51">
        <v>2109.4499999999998</v>
      </c>
      <c r="J1031" s="281">
        <f>++Tabla4[[#This Row],[Precio Bruto]]*1.16</f>
        <v>2446.9619999999995</v>
      </c>
      <c r="K1031" s="281">
        <f>+Tabla4[[#This Row],[Precio Unitario Neto]]*Tabla4[[#Headers],[20.85%]]</f>
        <v>510.19157699999988</v>
      </c>
      <c r="L1031" s="282">
        <f>++Tabla4[[#This Row],[Precio Unitario Neto]]-Tabla4[[#This Row],[20.85%]]</f>
        <v>1936.7704229999997</v>
      </c>
      <c r="M1031" s="282" t="e">
        <f>(INDEX(Tabla6[#All],MATCH(Tabla4[[#This Row],[Producto]],Tabla6[[#All],[PRODUCTO]],0),MATCH(Tabla4[[#This Row],[Mes]],Tabla6[#Headers],0)))*(1+Catalogos!$L$2)</f>
        <v>#N/A</v>
      </c>
      <c r="N1031" s="283" t="e">
        <f>+(Tabla4[[#This Row],[Precio Descontado]]-Tabla4[[#This Row],[Precio Base]])*Tabla4[[#This Row],[Cantidad]]</f>
        <v>#N/A</v>
      </c>
      <c r="O1031" s="284" t="e">
        <f>++Tabla4[[#This Row],[Utilidad Total]]/Tabla4[[#This Row],[Total]]</f>
        <v>#N/A</v>
      </c>
      <c r="P1031" s="282">
        <f>++Tabla4[[#This Row],[Precio Descontado]]*Tabla4[[#This Row],[Cantidad]]</f>
        <v>3873.5408459999994</v>
      </c>
      <c r="Q1031" s="282" t="e">
        <f>(INDEX(Tabla6[#All],MATCH(Tabla4[[#This Row],[Producto]],Tabla6[[#All],[PRODUCTO]],0),MATCH(Tabla4[[#This Row],[Mes]],Tabla6[#Headers],0)))</f>
        <v>#N/A</v>
      </c>
      <c r="R1031" s="282" t="e">
        <f>++Tabla4[[#This Row],[Precio Unitario Neto]]-Tabla4[[#This Row],[20.85%]]-Tabla4[[#This Row],[Costo]]</f>
        <v>#N/A</v>
      </c>
      <c r="S1031" s="282" t="e">
        <f>++Tabla4[[#This Row],[U. Bruta Uni]]*Tabla4[[#This Row],[Cantidad]]</f>
        <v>#N/A</v>
      </c>
      <c r="T1031" s="369" t="str">
        <f>VLOOKUP(Tabla4[[#This Row],[Producto]],Tabla6[#All],14,FALSE)</f>
        <v>Termico Solar</v>
      </c>
      <c r="U1031" s="284" t="e">
        <f>(IF(Tabla4[[#This Row],[Familia]]="termico solar",Tabla4[[#This Row],[Utilidad Total]]*6%,Tabla4[[#This Row],[Utilidad Total]]*11.5%))/Tabla4[[#This Row],[Total]]</f>
        <v>#N/A</v>
      </c>
      <c r="V1031" s="282" t="e">
        <f>+Tabla4[[#This Row],[Comisión Calculada]]*Tabla4[[#This Row],[Total]]</f>
        <v>#N/A</v>
      </c>
    </row>
    <row r="1032" spans="1:22" hidden="1" x14ac:dyDescent="0.25">
      <c r="A1032" s="100">
        <v>45731</v>
      </c>
      <c r="B1032" t="str">
        <f t="shared" si="41"/>
        <v>March</v>
      </c>
      <c r="C1032" s="46" t="s">
        <v>280</v>
      </c>
      <c r="F1032" s="366" t="s">
        <v>1153</v>
      </c>
      <c r="G1032" s="46" t="s">
        <v>83</v>
      </c>
      <c r="H1032" s="46">
        <v>3</v>
      </c>
      <c r="I1032" s="51">
        <v>8858.76</v>
      </c>
      <c r="J1032" s="281">
        <f>++Tabla4[[#This Row],[Precio Bruto]]*1.16</f>
        <v>10276.161599999999</v>
      </c>
      <c r="K1032" s="281">
        <f>+Tabla4[[#This Row],[Precio Unitario Neto]]*Tabla4[[#Headers],[20.85%]]</f>
        <v>2142.5796935999997</v>
      </c>
      <c r="L1032" s="282">
        <f>++Tabla4[[#This Row],[Precio Unitario Neto]]-Tabla4[[#This Row],[20.85%]]</f>
        <v>8133.5819063999998</v>
      </c>
      <c r="M1032" s="282" t="e">
        <f>(INDEX(Tabla6[#All],MATCH(Tabla4[[#This Row],[Producto]],Tabla6[[#All],[PRODUCTO]],0),MATCH(Tabla4[[#This Row],[Mes]],Tabla6[#Headers],0)))*(1+Catalogos!$L$2)</f>
        <v>#N/A</v>
      </c>
      <c r="N1032" s="283" t="e">
        <f>+(Tabla4[[#This Row],[Precio Descontado]]-Tabla4[[#This Row],[Precio Base]])*Tabla4[[#This Row],[Cantidad]]</f>
        <v>#N/A</v>
      </c>
      <c r="O1032" s="284" t="e">
        <f>++Tabla4[[#This Row],[Utilidad Total]]/Tabla4[[#This Row],[Total]]</f>
        <v>#N/A</v>
      </c>
      <c r="P1032" s="282">
        <f>++Tabla4[[#This Row],[Precio Descontado]]*Tabla4[[#This Row],[Cantidad]]</f>
        <v>24400.7457192</v>
      </c>
      <c r="Q1032" s="282" t="e">
        <f>(INDEX(Tabla6[#All],MATCH(Tabla4[[#This Row],[Producto]],Tabla6[[#All],[PRODUCTO]],0),MATCH(Tabla4[[#This Row],[Mes]],Tabla6[#Headers],0)))</f>
        <v>#N/A</v>
      </c>
      <c r="R1032" s="282" t="e">
        <f>++Tabla4[[#This Row],[Precio Unitario Neto]]-Tabla4[[#This Row],[20.85%]]-Tabla4[[#This Row],[Costo]]</f>
        <v>#N/A</v>
      </c>
      <c r="S1032" s="282" t="e">
        <f>++Tabla4[[#This Row],[U. Bruta Uni]]*Tabla4[[#This Row],[Cantidad]]</f>
        <v>#N/A</v>
      </c>
      <c r="T1032" s="369" t="str">
        <f>VLOOKUP(Tabla4[[#This Row],[Producto]],Tabla6[#All],14,FALSE)</f>
        <v>Termico Solar</v>
      </c>
      <c r="U1032" s="284" t="e">
        <f>(IF(Tabla4[[#This Row],[Familia]]="termico solar",Tabla4[[#This Row],[Utilidad Total]]*6%,Tabla4[[#This Row],[Utilidad Total]]*11.5%))/Tabla4[[#This Row],[Total]]</f>
        <v>#N/A</v>
      </c>
      <c r="V1032" s="282" t="e">
        <f>+Tabla4[[#This Row],[Comisión Calculada]]*Tabla4[[#This Row],[Total]]</f>
        <v>#N/A</v>
      </c>
    </row>
    <row r="1033" spans="1:22" hidden="1" x14ac:dyDescent="0.25">
      <c r="A1033" s="100">
        <v>45731</v>
      </c>
      <c r="B1033" t="str">
        <f t="shared" si="41"/>
        <v>March</v>
      </c>
      <c r="C1033" s="46" t="s">
        <v>280</v>
      </c>
      <c r="F1033" s="366" t="s">
        <v>1153</v>
      </c>
      <c r="G1033" s="46" t="s">
        <v>17</v>
      </c>
      <c r="H1033" s="46">
        <v>4</v>
      </c>
      <c r="I1033" s="51">
        <v>4622.28</v>
      </c>
      <c r="J1033" s="281">
        <f>++Tabla4[[#This Row],[Precio Bruto]]*1.16</f>
        <v>5361.8447999999989</v>
      </c>
      <c r="K1033" s="281">
        <f>+Tabla4[[#This Row],[Precio Unitario Neto]]*Tabla4[[#Headers],[20.85%]]</f>
        <v>1117.9446407999997</v>
      </c>
      <c r="L1033" s="282">
        <f>++Tabla4[[#This Row],[Precio Unitario Neto]]-Tabla4[[#This Row],[20.85%]]</f>
        <v>4243.9001591999995</v>
      </c>
      <c r="M1033" s="282" t="e">
        <f>(INDEX(Tabla6[#All],MATCH(Tabla4[[#This Row],[Producto]],Tabla6[[#All],[PRODUCTO]],0),MATCH(Tabla4[[#This Row],[Mes]],Tabla6[#Headers],0)))*(1+Catalogos!$L$2)</f>
        <v>#N/A</v>
      </c>
      <c r="N1033" s="283" t="e">
        <f>+(Tabla4[[#This Row],[Precio Descontado]]-Tabla4[[#This Row],[Precio Base]])*Tabla4[[#This Row],[Cantidad]]</f>
        <v>#N/A</v>
      </c>
      <c r="O1033" s="284" t="e">
        <f>++Tabla4[[#This Row],[Utilidad Total]]/Tabla4[[#This Row],[Total]]</f>
        <v>#N/A</v>
      </c>
      <c r="P1033" s="282">
        <f>++Tabla4[[#This Row],[Precio Descontado]]*Tabla4[[#This Row],[Cantidad]]</f>
        <v>16975.600636799998</v>
      </c>
      <c r="Q1033" s="282" t="e">
        <f>(INDEX(Tabla6[#All],MATCH(Tabla4[[#This Row],[Producto]],Tabla6[[#All],[PRODUCTO]],0),MATCH(Tabla4[[#This Row],[Mes]],Tabla6[#Headers],0)))</f>
        <v>#N/A</v>
      </c>
      <c r="R1033" s="282" t="e">
        <f>++Tabla4[[#This Row],[Precio Unitario Neto]]-Tabla4[[#This Row],[20.85%]]-Tabla4[[#This Row],[Costo]]</f>
        <v>#N/A</v>
      </c>
      <c r="S1033" s="282" t="e">
        <f>++Tabla4[[#This Row],[U. Bruta Uni]]*Tabla4[[#This Row],[Cantidad]]</f>
        <v>#N/A</v>
      </c>
      <c r="T1033" s="369" t="str">
        <f>VLOOKUP(Tabla4[[#This Row],[Producto]],Tabla6[#All],14,FALSE)</f>
        <v>Termico Solar</v>
      </c>
      <c r="U1033" s="284" t="e">
        <f>(IF(Tabla4[[#This Row],[Familia]]="termico solar",Tabla4[[#This Row],[Utilidad Total]]*6%,Tabla4[[#This Row],[Utilidad Total]]*11.5%))/Tabla4[[#This Row],[Total]]</f>
        <v>#N/A</v>
      </c>
      <c r="V1033" s="282" t="e">
        <f>+Tabla4[[#This Row],[Comisión Calculada]]*Tabla4[[#This Row],[Total]]</f>
        <v>#N/A</v>
      </c>
    </row>
    <row r="1034" spans="1:22" hidden="1" x14ac:dyDescent="0.25">
      <c r="A1034" s="100">
        <v>45731</v>
      </c>
      <c r="B1034" t="str">
        <f t="shared" si="41"/>
        <v>March</v>
      </c>
      <c r="C1034" s="46" t="s">
        <v>280</v>
      </c>
      <c r="F1034" s="366" t="s">
        <v>1153</v>
      </c>
      <c r="G1034" s="46" t="s">
        <v>566</v>
      </c>
      <c r="H1034" s="46">
        <v>2</v>
      </c>
      <c r="I1034" s="51">
        <v>2109.4499999999998</v>
      </c>
      <c r="J1034" s="281">
        <f>++Tabla4[[#This Row],[Precio Bruto]]*1.16</f>
        <v>2446.9619999999995</v>
      </c>
      <c r="K1034" s="281">
        <f>+Tabla4[[#This Row],[Precio Unitario Neto]]*Tabla4[[#Headers],[20.85%]]</f>
        <v>510.19157699999988</v>
      </c>
      <c r="L1034" s="282">
        <f>++Tabla4[[#This Row],[Precio Unitario Neto]]-Tabla4[[#This Row],[20.85%]]</f>
        <v>1936.7704229999997</v>
      </c>
      <c r="M1034" s="282" t="e">
        <f>(INDEX(Tabla6[#All],MATCH(Tabla4[[#This Row],[Producto]],Tabla6[[#All],[PRODUCTO]],0),MATCH(Tabla4[[#This Row],[Mes]],Tabla6[#Headers],0)))*(1+Catalogos!$L$2)</f>
        <v>#N/A</v>
      </c>
      <c r="N1034" s="283" t="e">
        <f>+(Tabla4[[#This Row],[Precio Descontado]]-Tabla4[[#This Row],[Precio Base]])*Tabla4[[#This Row],[Cantidad]]</f>
        <v>#N/A</v>
      </c>
      <c r="O1034" s="284" t="e">
        <f>++Tabla4[[#This Row],[Utilidad Total]]/Tabla4[[#This Row],[Total]]</f>
        <v>#N/A</v>
      </c>
      <c r="P1034" s="282">
        <f>++Tabla4[[#This Row],[Precio Descontado]]*Tabla4[[#This Row],[Cantidad]]</f>
        <v>3873.5408459999994</v>
      </c>
      <c r="Q1034" s="282" t="e">
        <f>(INDEX(Tabla6[#All],MATCH(Tabla4[[#This Row],[Producto]],Tabla6[[#All],[PRODUCTO]],0),MATCH(Tabla4[[#This Row],[Mes]],Tabla6[#Headers],0)))</f>
        <v>#N/A</v>
      </c>
      <c r="R1034" s="282" t="e">
        <f>++Tabla4[[#This Row],[Precio Unitario Neto]]-Tabla4[[#This Row],[20.85%]]-Tabla4[[#This Row],[Costo]]</f>
        <v>#N/A</v>
      </c>
      <c r="S1034" s="282" t="e">
        <f>++Tabla4[[#This Row],[U. Bruta Uni]]*Tabla4[[#This Row],[Cantidad]]</f>
        <v>#N/A</v>
      </c>
      <c r="T1034" s="369" t="str">
        <f>VLOOKUP(Tabla4[[#This Row],[Producto]],Tabla6[#All],14,FALSE)</f>
        <v>Termico Solar</v>
      </c>
      <c r="U1034" s="284" t="e">
        <f>(IF(Tabla4[[#This Row],[Familia]]="termico solar",Tabla4[[#This Row],[Utilidad Total]]*6%,Tabla4[[#This Row],[Utilidad Total]]*11.5%))/Tabla4[[#This Row],[Total]]</f>
        <v>#N/A</v>
      </c>
      <c r="V1034" s="282" t="e">
        <f>+Tabla4[[#This Row],[Comisión Calculada]]*Tabla4[[#This Row],[Total]]</f>
        <v>#N/A</v>
      </c>
    </row>
    <row r="1035" spans="1:22" hidden="1" x14ac:dyDescent="0.25">
      <c r="A1035" s="100">
        <v>45731</v>
      </c>
      <c r="B1035" t="str">
        <f t="shared" si="41"/>
        <v>March</v>
      </c>
      <c r="C1035" s="46" t="s">
        <v>280</v>
      </c>
      <c r="F1035" s="366" t="s">
        <v>1154</v>
      </c>
      <c r="G1035" s="46" t="s">
        <v>83</v>
      </c>
      <c r="H1035" s="46">
        <v>1</v>
      </c>
      <c r="I1035" s="51">
        <v>8858.76</v>
      </c>
      <c r="J1035" s="281">
        <f>++Tabla4[[#This Row],[Precio Bruto]]*1.16</f>
        <v>10276.161599999999</v>
      </c>
      <c r="K1035" s="281">
        <f>+Tabla4[[#This Row],[Precio Unitario Neto]]*Tabla4[[#Headers],[20.85%]]</f>
        <v>2142.5796935999997</v>
      </c>
      <c r="L1035" s="282">
        <f>++Tabla4[[#This Row],[Precio Unitario Neto]]-Tabla4[[#This Row],[20.85%]]</f>
        <v>8133.5819063999998</v>
      </c>
      <c r="M1035" s="282" t="e">
        <f>(INDEX(Tabla6[#All],MATCH(Tabla4[[#This Row],[Producto]],Tabla6[[#All],[PRODUCTO]],0),MATCH(Tabla4[[#This Row],[Mes]],Tabla6[#Headers],0)))*(1+Catalogos!$L$2)</f>
        <v>#N/A</v>
      </c>
      <c r="N1035" s="283" t="e">
        <f>+(Tabla4[[#This Row],[Precio Descontado]]-Tabla4[[#This Row],[Precio Base]])*Tabla4[[#This Row],[Cantidad]]</f>
        <v>#N/A</v>
      </c>
      <c r="O1035" s="284" t="e">
        <f>++Tabla4[[#This Row],[Utilidad Total]]/Tabla4[[#This Row],[Total]]</f>
        <v>#N/A</v>
      </c>
      <c r="P1035" s="282">
        <f>++Tabla4[[#This Row],[Precio Descontado]]*Tabla4[[#This Row],[Cantidad]]</f>
        <v>8133.5819063999998</v>
      </c>
      <c r="Q1035" s="282" t="e">
        <f>(INDEX(Tabla6[#All],MATCH(Tabla4[[#This Row],[Producto]],Tabla6[[#All],[PRODUCTO]],0),MATCH(Tabla4[[#This Row],[Mes]],Tabla6[#Headers],0)))</f>
        <v>#N/A</v>
      </c>
      <c r="R1035" s="282" t="e">
        <f>++Tabla4[[#This Row],[Precio Unitario Neto]]-Tabla4[[#This Row],[20.85%]]-Tabla4[[#This Row],[Costo]]</f>
        <v>#N/A</v>
      </c>
      <c r="S1035" s="282" t="e">
        <f>++Tabla4[[#This Row],[U. Bruta Uni]]*Tabla4[[#This Row],[Cantidad]]</f>
        <v>#N/A</v>
      </c>
      <c r="T1035" s="369" t="str">
        <f>VLOOKUP(Tabla4[[#This Row],[Producto]],Tabla6[#All],14,FALSE)</f>
        <v>Termico Solar</v>
      </c>
      <c r="U1035" s="284" t="e">
        <f>(IF(Tabla4[[#This Row],[Familia]]="termico solar",Tabla4[[#This Row],[Utilidad Total]]*6%,Tabla4[[#This Row],[Utilidad Total]]*11.5%))/Tabla4[[#This Row],[Total]]</f>
        <v>#N/A</v>
      </c>
      <c r="V1035" s="282" t="e">
        <f>+Tabla4[[#This Row],[Comisión Calculada]]*Tabla4[[#This Row],[Total]]</f>
        <v>#N/A</v>
      </c>
    </row>
    <row r="1036" spans="1:22" hidden="1" x14ac:dyDescent="0.25">
      <c r="A1036" s="100">
        <v>45731</v>
      </c>
      <c r="B1036" t="str">
        <f t="shared" si="41"/>
        <v>March</v>
      </c>
      <c r="C1036" s="46" t="s">
        <v>280</v>
      </c>
      <c r="F1036" s="366" t="s">
        <v>1154</v>
      </c>
      <c r="G1036" s="46" t="s">
        <v>566</v>
      </c>
      <c r="H1036" s="46">
        <v>3</v>
      </c>
      <c r="I1036" s="51">
        <v>2109.4500000000003</v>
      </c>
      <c r="J1036" s="281">
        <f>++Tabla4[[#This Row],[Precio Bruto]]*1.16</f>
        <v>2446.962</v>
      </c>
      <c r="K1036" s="281">
        <f>+Tabla4[[#This Row],[Precio Unitario Neto]]*Tabla4[[#Headers],[20.85%]]</f>
        <v>510.191577</v>
      </c>
      <c r="L1036" s="282">
        <f>++Tabla4[[#This Row],[Precio Unitario Neto]]-Tabla4[[#This Row],[20.85%]]</f>
        <v>1936.7704229999999</v>
      </c>
      <c r="M1036" s="282" t="e">
        <f>(INDEX(Tabla6[#All],MATCH(Tabla4[[#This Row],[Producto]],Tabla6[[#All],[PRODUCTO]],0),MATCH(Tabla4[[#This Row],[Mes]],Tabla6[#Headers],0)))*(1+Catalogos!$L$2)</f>
        <v>#N/A</v>
      </c>
      <c r="N1036" s="283" t="e">
        <f>+(Tabla4[[#This Row],[Precio Descontado]]-Tabla4[[#This Row],[Precio Base]])*Tabla4[[#This Row],[Cantidad]]</f>
        <v>#N/A</v>
      </c>
      <c r="O1036" s="284" t="e">
        <f>++Tabla4[[#This Row],[Utilidad Total]]/Tabla4[[#This Row],[Total]]</f>
        <v>#N/A</v>
      </c>
      <c r="P1036" s="282">
        <f>++Tabla4[[#This Row],[Precio Descontado]]*Tabla4[[#This Row],[Cantidad]]</f>
        <v>5810.3112689999998</v>
      </c>
      <c r="Q1036" s="282" t="e">
        <f>(INDEX(Tabla6[#All],MATCH(Tabla4[[#This Row],[Producto]],Tabla6[[#All],[PRODUCTO]],0),MATCH(Tabla4[[#This Row],[Mes]],Tabla6[#Headers],0)))</f>
        <v>#N/A</v>
      </c>
      <c r="R1036" s="282" t="e">
        <f>++Tabla4[[#This Row],[Precio Unitario Neto]]-Tabla4[[#This Row],[20.85%]]-Tabla4[[#This Row],[Costo]]</f>
        <v>#N/A</v>
      </c>
      <c r="S1036" s="282" t="e">
        <f>++Tabla4[[#This Row],[U. Bruta Uni]]*Tabla4[[#This Row],[Cantidad]]</f>
        <v>#N/A</v>
      </c>
      <c r="T1036" s="369" t="str">
        <f>VLOOKUP(Tabla4[[#This Row],[Producto]],Tabla6[#All],14,FALSE)</f>
        <v>Termico Solar</v>
      </c>
      <c r="U1036" s="284" t="e">
        <f>(IF(Tabla4[[#This Row],[Familia]]="termico solar",Tabla4[[#This Row],[Utilidad Total]]*6%,Tabla4[[#This Row],[Utilidad Total]]*11.5%))/Tabla4[[#This Row],[Total]]</f>
        <v>#N/A</v>
      </c>
      <c r="V1036" s="282" t="e">
        <f>+Tabla4[[#This Row],[Comisión Calculada]]*Tabla4[[#This Row],[Total]]</f>
        <v>#N/A</v>
      </c>
    </row>
    <row r="1037" spans="1:22" hidden="1" x14ac:dyDescent="0.25">
      <c r="A1037" s="100">
        <v>45731</v>
      </c>
      <c r="B1037" t="str">
        <f t="shared" si="41"/>
        <v>March</v>
      </c>
      <c r="C1037" s="46" t="s">
        <v>280</v>
      </c>
      <c r="F1037" s="366" t="s">
        <v>1154</v>
      </c>
      <c r="G1037" s="46" t="s">
        <v>16</v>
      </c>
      <c r="H1037" s="46">
        <v>2</v>
      </c>
      <c r="I1037" s="51">
        <v>4103.8500000000004</v>
      </c>
      <c r="J1037" s="281">
        <f>++Tabla4[[#This Row],[Precio Bruto]]*1.16</f>
        <v>4760.4660000000003</v>
      </c>
      <c r="K1037" s="281">
        <f>+Tabla4[[#This Row],[Precio Unitario Neto]]*Tabla4[[#Headers],[20.85%]]</f>
        <v>992.55716100000006</v>
      </c>
      <c r="L1037" s="282">
        <f>++Tabla4[[#This Row],[Precio Unitario Neto]]-Tabla4[[#This Row],[20.85%]]</f>
        <v>3767.9088390000002</v>
      </c>
      <c r="M1037" s="282" t="e">
        <f>(INDEX(Tabla6[#All],MATCH(Tabla4[[#This Row],[Producto]],Tabla6[[#All],[PRODUCTO]],0),MATCH(Tabla4[[#This Row],[Mes]],Tabla6[#Headers],0)))*(1+Catalogos!$L$2)</f>
        <v>#N/A</v>
      </c>
      <c r="N1037" s="283" t="e">
        <f>+(Tabla4[[#This Row],[Precio Descontado]]-Tabla4[[#This Row],[Precio Base]])*Tabla4[[#This Row],[Cantidad]]</f>
        <v>#N/A</v>
      </c>
      <c r="O1037" s="284" t="e">
        <f>++Tabla4[[#This Row],[Utilidad Total]]/Tabla4[[#This Row],[Total]]</f>
        <v>#N/A</v>
      </c>
      <c r="P1037" s="282">
        <f>++Tabla4[[#This Row],[Precio Descontado]]*Tabla4[[#This Row],[Cantidad]]</f>
        <v>7535.8176780000003</v>
      </c>
      <c r="Q1037" s="282" t="e">
        <f>(INDEX(Tabla6[#All],MATCH(Tabla4[[#This Row],[Producto]],Tabla6[[#All],[PRODUCTO]],0),MATCH(Tabla4[[#This Row],[Mes]],Tabla6[#Headers],0)))</f>
        <v>#N/A</v>
      </c>
      <c r="R1037" s="282" t="e">
        <f>++Tabla4[[#This Row],[Precio Unitario Neto]]-Tabla4[[#This Row],[20.85%]]-Tabla4[[#This Row],[Costo]]</f>
        <v>#N/A</v>
      </c>
      <c r="S1037" s="282" t="e">
        <f>++Tabla4[[#This Row],[U. Bruta Uni]]*Tabla4[[#This Row],[Cantidad]]</f>
        <v>#N/A</v>
      </c>
      <c r="T1037" s="369" t="str">
        <f>VLOOKUP(Tabla4[[#This Row],[Producto]],Tabla6[#All],14,FALSE)</f>
        <v>Termico Solar</v>
      </c>
      <c r="U1037" s="284" t="e">
        <f>(IF(Tabla4[[#This Row],[Familia]]="termico solar",Tabla4[[#This Row],[Utilidad Total]]*6%,Tabla4[[#This Row],[Utilidad Total]]*11.5%))/Tabla4[[#This Row],[Total]]</f>
        <v>#N/A</v>
      </c>
      <c r="V1037" s="282" t="e">
        <f>+Tabla4[[#This Row],[Comisión Calculada]]*Tabla4[[#This Row],[Total]]</f>
        <v>#N/A</v>
      </c>
    </row>
    <row r="1038" spans="1:22" hidden="1" x14ac:dyDescent="0.25">
      <c r="A1038" s="100">
        <v>45731</v>
      </c>
      <c r="B1038" t="str">
        <f t="shared" si="41"/>
        <v>March</v>
      </c>
      <c r="C1038" s="46" t="s">
        <v>280</v>
      </c>
      <c r="F1038" s="366" t="s">
        <v>1155</v>
      </c>
      <c r="G1038" s="46" t="s">
        <v>17</v>
      </c>
      <c r="H1038" s="46">
        <v>1</v>
      </c>
      <c r="I1038" s="51">
        <v>4622.28</v>
      </c>
      <c r="J1038" s="281">
        <f>++Tabla4[[#This Row],[Precio Bruto]]*1.16</f>
        <v>5361.8447999999989</v>
      </c>
      <c r="K1038" s="281">
        <f>+Tabla4[[#This Row],[Precio Unitario Neto]]*Tabla4[[#Headers],[20.85%]]</f>
        <v>1117.9446407999997</v>
      </c>
      <c r="L1038" s="282">
        <f>++Tabla4[[#This Row],[Precio Unitario Neto]]-Tabla4[[#This Row],[20.85%]]</f>
        <v>4243.9001591999995</v>
      </c>
      <c r="M1038" s="282" t="e">
        <f>(INDEX(Tabla6[#All],MATCH(Tabla4[[#This Row],[Producto]],Tabla6[[#All],[PRODUCTO]],0),MATCH(Tabla4[[#This Row],[Mes]],Tabla6[#Headers],0)))*(1+Catalogos!$L$2)</f>
        <v>#N/A</v>
      </c>
      <c r="N1038" s="283" t="e">
        <f>+(Tabla4[[#This Row],[Precio Descontado]]-Tabla4[[#This Row],[Precio Base]])*Tabla4[[#This Row],[Cantidad]]</f>
        <v>#N/A</v>
      </c>
      <c r="O1038" s="284" t="e">
        <f>++Tabla4[[#This Row],[Utilidad Total]]/Tabla4[[#This Row],[Total]]</f>
        <v>#N/A</v>
      </c>
      <c r="P1038" s="282">
        <f>++Tabla4[[#This Row],[Precio Descontado]]*Tabla4[[#This Row],[Cantidad]]</f>
        <v>4243.9001591999995</v>
      </c>
      <c r="Q1038" s="282" t="e">
        <f>(INDEX(Tabla6[#All],MATCH(Tabla4[[#This Row],[Producto]],Tabla6[[#All],[PRODUCTO]],0),MATCH(Tabla4[[#This Row],[Mes]],Tabla6[#Headers],0)))</f>
        <v>#N/A</v>
      </c>
      <c r="R1038" s="282" t="e">
        <f>++Tabla4[[#This Row],[Precio Unitario Neto]]-Tabla4[[#This Row],[20.85%]]-Tabla4[[#This Row],[Costo]]</f>
        <v>#N/A</v>
      </c>
      <c r="S1038" s="282" t="e">
        <f>++Tabla4[[#This Row],[U. Bruta Uni]]*Tabla4[[#This Row],[Cantidad]]</f>
        <v>#N/A</v>
      </c>
      <c r="T1038" s="369" t="str">
        <f>VLOOKUP(Tabla4[[#This Row],[Producto]],Tabla6[#All],14,FALSE)</f>
        <v>Termico Solar</v>
      </c>
      <c r="U1038" s="284" t="e">
        <f>(IF(Tabla4[[#This Row],[Familia]]="termico solar",Tabla4[[#This Row],[Utilidad Total]]*6%,Tabla4[[#This Row],[Utilidad Total]]*11.5%))/Tabla4[[#This Row],[Total]]</f>
        <v>#N/A</v>
      </c>
      <c r="V1038" s="282" t="e">
        <f>+Tabla4[[#This Row],[Comisión Calculada]]*Tabla4[[#This Row],[Total]]</f>
        <v>#N/A</v>
      </c>
    </row>
    <row r="1039" spans="1:22" hidden="1" x14ac:dyDescent="0.25">
      <c r="A1039" s="100">
        <v>45731</v>
      </c>
      <c r="B1039" t="str">
        <f t="shared" si="41"/>
        <v>March</v>
      </c>
      <c r="C1039" s="46" t="s">
        <v>280</v>
      </c>
      <c r="F1039" s="366" t="s">
        <v>1155</v>
      </c>
      <c r="G1039" s="46" t="s">
        <v>18</v>
      </c>
      <c r="H1039" s="46">
        <v>2</v>
      </c>
      <c r="I1039" s="51">
        <v>5367.65</v>
      </c>
      <c r="J1039" s="281">
        <f>++Tabla4[[#This Row],[Precio Bruto]]*1.16</f>
        <v>6226.4739999999993</v>
      </c>
      <c r="K1039" s="281">
        <f>+Tabla4[[#This Row],[Precio Unitario Neto]]*Tabla4[[#Headers],[20.85%]]</f>
        <v>1298.2198289999999</v>
      </c>
      <c r="L1039" s="282">
        <f>++Tabla4[[#This Row],[Precio Unitario Neto]]-Tabla4[[#This Row],[20.85%]]</f>
        <v>4928.2541709999996</v>
      </c>
      <c r="M1039" s="282" t="e">
        <f>(INDEX(Tabla6[#All],MATCH(Tabla4[[#This Row],[Producto]],Tabla6[[#All],[PRODUCTO]],0),MATCH(Tabla4[[#This Row],[Mes]],Tabla6[#Headers],0)))*(1+Catalogos!$L$2)</f>
        <v>#N/A</v>
      </c>
      <c r="N1039" s="283" t="e">
        <f>+(Tabla4[[#This Row],[Precio Descontado]]-Tabla4[[#This Row],[Precio Base]])*Tabla4[[#This Row],[Cantidad]]</f>
        <v>#N/A</v>
      </c>
      <c r="O1039" s="284" t="e">
        <f>++Tabla4[[#This Row],[Utilidad Total]]/Tabla4[[#This Row],[Total]]</f>
        <v>#N/A</v>
      </c>
      <c r="P1039" s="282">
        <f>++Tabla4[[#This Row],[Precio Descontado]]*Tabla4[[#This Row],[Cantidad]]</f>
        <v>9856.5083419999992</v>
      </c>
      <c r="Q1039" s="282" t="e">
        <f>(INDEX(Tabla6[#All],MATCH(Tabla4[[#This Row],[Producto]],Tabla6[[#All],[PRODUCTO]],0),MATCH(Tabla4[[#This Row],[Mes]],Tabla6[#Headers],0)))</f>
        <v>#N/A</v>
      </c>
      <c r="R1039" s="282" t="e">
        <f>++Tabla4[[#This Row],[Precio Unitario Neto]]-Tabla4[[#This Row],[20.85%]]-Tabla4[[#This Row],[Costo]]</f>
        <v>#N/A</v>
      </c>
      <c r="S1039" s="282" t="e">
        <f>++Tabla4[[#This Row],[U. Bruta Uni]]*Tabla4[[#This Row],[Cantidad]]</f>
        <v>#N/A</v>
      </c>
      <c r="T1039" s="369" t="str">
        <f>VLOOKUP(Tabla4[[#This Row],[Producto]],Tabla6[#All],14,FALSE)</f>
        <v>Termico Solar</v>
      </c>
      <c r="U1039" s="284" t="e">
        <f>(IF(Tabla4[[#This Row],[Familia]]="termico solar",Tabla4[[#This Row],[Utilidad Total]]*6%,Tabla4[[#This Row],[Utilidad Total]]*11.5%))/Tabla4[[#This Row],[Total]]</f>
        <v>#N/A</v>
      </c>
      <c r="V1039" s="282" t="e">
        <f>+Tabla4[[#This Row],[Comisión Calculada]]*Tabla4[[#This Row],[Total]]</f>
        <v>#N/A</v>
      </c>
    </row>
    <row r="1040" spans="1:22" hidden="1" x14ac:dyDescent="0.25">
      <c r="A1040" s="100">
        <v>45731</v>
      </c>
      <c r="B1040" t="str">
        <f t="shared" si="41"/>
        <v>March</v>
      </c>
      <c r="C1040" s="46" t="s">
        <v>280</v>
      </c>
      <c r="F1040" s="366" t="s">
        <v>1155</v>
      </c>
      <c r="G1040" s="46" t="s">
        <v>566</v>
      </c>
      <c r="H1040" s="46">
        <v>2</v>
      </c>
      <c r="I1040" s="51">
        <v>2109.4499999999998</v>
      </c>
      <c r="J1040" s="281">
        <f>++Tabla4[[#This Row],[Precio Bruto]]*1.16</f>
        <v>2446.9619999999995</v>
      </c>
      <c r="K1040" s="281">
        <f>+Tabla4[[#This Row],[Precio Unitario Neto]]*Tabla4[[#Headers],[20.85%]]</f>
        <v>510.19157699999988</v>
      </c>
      <c r="L1040" s="282">
        <f>++Tabla4[[#This Row],[Precio Unitario Neto]]-Tabla4[[#This Row],[20.85%]]</f>
        <v>1936.7704229999997</v>
      </c>
      <c r="M1040" s="282" t="e">
        <f>(INDEX(Tabla6[#All],MATCH(Tabla4[[#This Row],[Producto]],Tabla6[[#All],[PRODUCTO]],0),MATCH(Tabla4[[#This Row],[Mes]],Tabla6[#Headers],0)))*(1+Catalogos!$L$2)</f>
        <v>#N/A</v>
      </c>
      <c r="N1040" s="283" t="e">
        <f>+(Tabla4[[#This Row],[Precio Descontado]]-Tabla4[[#This Row],[Precio Base]])*Tabla4[[#This Row],[Cantidad]]</f>
        <v>#N/A</v>
      </c>
      <c r="O1040" s="284" t="e">
        <f>++Tabla4[[#This Row],[Utilidad Total]]/Tabla4[[#This Row],[Total]]</f>
        <v>#N/A</v>
      </c>
      <c r="P1040" s="282">
        <f>++Tabla4[[#This Row],[Precio Descontado]]*Tabla4[[#This Row],[Cantidad]]</f>
        <v>3873.5408459999994</v>
      </c>
      <c r="Q1040" s="282" t="e">
        <f>(INDEX(Tabla6[#All],MATCH(Tabla4[[#This Row],[Producto]],Tabla6[[#All],[PRODUCTO]],0),MATCH(Tabla4[[#This Row],[Mes]],Tabla6[#Headers],0)))</f>
        <v>#N/A</v>
      </c>
      <c r="R1040" s="282" t="e">
        <f>++Tabla4[[#This Row],[Precio Unitario Neto]]-Tabla4[[#This Row],[20.85%]]-Tabla4[[#This Row],[Costo]]</f>
        <v>#N/A</v>
      </c>
      <c r="S1040" s="282" t="e">
        <f>++Tabla4[[#This Row],[U. Bruta Uni]]*Tabla4[[#This Row],[Cantidad]]</f>
        <v>#N/A</v>
      </c>
      <c r="T1040" s="369" t="str">
        <f>VLOOKUP(Tabla4[[#This Row],[Producto]],Tabla6[#All],14,FALSE)</f>
        <v>Termico Solar</v>
      </c>
      <c r="U1040" s="284" t="e">
        <f>(IF(Tabla4[[#This Row],[Familia]]="termico solar",Tabla4[[#This Row],[Utilidad Total]]*6%,Tabla4[[#This Row],[Utilidad Total]]*11.5%))/Tabla4[[#This Row],[Total]]</f>
        <v>#N/A</v>
      </c>
      <c r="V1040" s="282" t="e">
        <f>+Tabla4[[#This Row],[Comisión Calculada]]*Tabla4[[#This Row],[Total]]</f>
        <v>#N/A</v>
      </c>
    </row>
    <row r="1041" spans="1:22" hidden="1" x14ac:dyDescent="0.25">
      <c r="A1041" s="100">
        <v>45731</v>
      </c>
      <c r="B1041" t="str">
        <f t="shared" si="41"/>
        <v>March</v>
      </c>
      <c r="C1041" s="46" t="s">
        <v>280</v>
      </c>
      <c r="F1041" s="366" t="s">
        <v>1155</v>
      </c>
      <c r="G1041" s="46" t="s">
        <v>16</v>
      </c>
      <c r="H1041" s="46">
        <v>2</v>
      </c>
      <c r="I1041" s="51">
        <v>4103.8500000000004</v>
      </c>
      <c r="J1041" s="281">
        <f>++Tabla4[[#This Row],[Precio Bruto]]*1.16</f>
        <v>4760.4660000000003</v>
      </c>
      <c r="K1041" s="281">
        <f>+Tabla4[[#This Row],[Precio Unitario Neto]]*Tabla4[[#Headers],[20.85%]]</f>
        <v>992.55716100000006</v>
      </c>
      <c r="L1041" s="282">
        <f>++Tabla4[[#This Row],[Precio Unitario Neto]]-Tabla4[[#This Row],[20.85%]]</f>
        <v>3767.9088390000002</v>
      </c>
      <c r="M1041" s="282" t="e">
        <f>(INDEX(Tabla6[#All],MATCH(Tabla4[[#This Row],[Producto]],Tabla6[[#All],[PRODUCTO]],0),MATCH(Tabla4[[#This Row],[Mes]],Tabla6[#Headers],0)))*(1+Catalogos!$L$2)</f>
        <v>#N/A</v>
      </c>
      <c r="N1041" s="283" t="e">
        <f>+(Tabla4[[#This Row],[Precio Descontado]]-Tabla4[[#This Row],[Precio Base]])*Tabla4[[#This Row],[Cantidad]]</f>
        <v>#N/A</v>
      </c>
      <c r="O1041" s="284" t="e">
        <f>++Tabla4[[#This Row],[Utilidad Total]]/Tabla4[[#This Row],[Total]]</f>
        <v>#N/A</v>
      </c>
      <c r="P1041" s="282">
        <f>++Tabla4[[#This Row],[Precio Descontado]]*Tabla4[[#This Row],[Cantidad]]</f>
        <v>7535.8176780000003</v>
      </c>
      <c r="Q1041" s="282" t="e">
        <f>(INDEX(Tabla6[#All],MATCH(Tabla4[[#This Row],[Producto]],Tabla6[[#All],[PRODUCTO]],0),MATCH(Tabla4[[#This Row],[Mes]],Tabla6[#Headers],0)))</f>
        <v>#N/A</v>
      </c>
      <c r="R1041" s="282" t="e">
        <f>++Tabla4[[#This Row],[Precio Unitario Neto]]-Tabla4[[#This Row],[20.85%]]-Tabla4[[#This Row],[Costo]]</f>
        <v>#N/A</v>
      </c>
      <c r="S1041" s="282" t="e">
        <f>++Tabla4[[#This Row],[U. Bruta Uni]]*Tabla4[[#This Row],[Cantidad]]</f>
        <v>#N/A</v>
      </c>
      <c r="T1041" s="369" t="str">
        <f>VLOOKUP(Tabla4[[#This Row],[Producto]],Tabla6[#All],14,FALSE)</f>
        <v>Termico Solar</v>
      </c>
      <c r="U1041" s="284" t="e">
        <f>(IF(Tabla4[[#This Row],[Familia]]="termico solar",Tabla4[[#This Row],[Utilidad Total]]*6%,Tabla4[[#This Row],[Utilidad Total]]*11.5%))/Tabla4[[#This Row],[Total]]</f>
        <v>#N/A</v>
      </c>
      <c r="V1041" s="282" t="e">
        <f>+Tabla4[[#This Row],[Comisión Calculada]]*Tabla4[[#This Row],[Total]]</f>
        <v>#N/A</v>
      </c>
    </row>
    <row r="1042" spans="1:22" hidden="1" x14ac:dyDescent="0.25">
      <c r="A1042" s="100">
        <v>45731</v>
      </c>
      <c r="B1042" t="str">
        <f t="shared" si="41"/>
        <v>March</v>
      </c>
      <c r="C1042" s="46" t="s">
        <v>280</v>
      </c>
      <c r="F1042" s="366" t="s">
        <v>1156</v>
      </c>
      <c r="G1042" s="46" t="s">
        <v>18</v>
      </c>
      <c r="H1042" s="46">
        <v>3</v>
      </c>
      <c r="I1042" s="51">
        <v>5367.6500000000005</v>
      </c>
      <c r="J1042" s="281">
        <f>++Tabla4[[#This Row],[Precio Bruto]]*1.16</f>
        <v>6226.4740000000002</v>
      </c>
      <c r="K1042" s="281">
        <f>+Tabla4[[#This Row],[Precio Unitario Neto]]*Tabla4[[#Headers],[20.85%]]</f>
        <v>1298.2198289999999</v>
      </c>
      <c r="L1042" s="282">
        <f>++Tabla4[[#This Row],[Precio Unitario Neto]]-Tabla4[[#This Row],[20.85%]]</f>
        <v>4928.2541710000005</v>
      </c>
      <c r="M1042" s="282" t="e">
        <f>(INDEX(Tabla6[#All],MATCH(Tabla4[[#This Row],[Producto]],Tabla6[[#All],[PRODUCTO]],0),MATCH(Tabla4[[#This Row],[Mes]],Tabla6[#Headers],0)))*(1+Catalogos!$L$2)</f>
        <v>#N/A</v>
      </c>
      <c r="N1042" s="283" t="e">
        <f>+(Tabla4[[#This Row],[Precio Descontado]]-Tabla4[[#This Row],[Precio Base]])*Tabla4[[#This Row],[Cantidad]]</f>
        <v>#N/A</v>
      </c>
      <c r="O1042" s="284" t="e">
        <f>++Tabla4[[#This Row],[Utilidad Total]]/Tabla4[[#This Row],[Total]]</f>
        <v>#N/A</v>
      </c>
      <c r="P1042" s="282">
        <f>++Tabla4[[#This Row],[Precio Descontado]]*Tabla4[[#This Row],[Cantidad]]</f>
        <v>14784.762513000001</v>
      </c>
      <c r="Q1042" s="282" t="e">
        <f>(INDEX(Tabla6[#All],MATCH(Tabla4[[#This Row],[Producto]],Tabla6[[#All],[PRODUCTO]],0),MATCH(Tabla4[[#This Row],[Mes]],Tabla6[#Headers],0)))</f>
        <v>#N/A</v>
      </c>
      <c r="R1042" s="282" t="e">
        <f>++Tabla4[[#This Row],[Precio Unitario Neto]]-Tabla4[[#This Row],[20.85%]]-Tabla4[[#This Row],[Costo]]</f>
        <v>#N/A</v>
      </c>
      <c r="S1042" s="282" t="e">
        <f>++Tabla4[[#This Row],[U. Bruta Uni]]*Tabla4[[#This Row],[Cantidad]]</f>
        <v>#N/A</v>
      </c>
      <c r="T1042" s="369" t="str">
        <f>VLOOKUP(Tabla4[[#This Row],[Producto]],Tabla6[#All],14,FALSE)</f>
        <v>Termico Solar</v>
      </c>
      <c r="U1042" s="284" t="e">
        <f>(IF(Tabla4[[#This Row],[Familia]]="termico solar",Tabla4[[#This Row],[Utilidad Total]]*6%,Tabla4[[#This Row],[Utilidad Total]]*11.5%))/Tabla4[[#This Row],[Total]]</f>
        <v>#N/A</v>
      </c>
      <c r="V1042" s="282" t="e">
        <f>+Tabla4[[#This Row],[Comisión Calculada]]*Tabla4[[#This Row],[Total]]</f>
        <v>#N/A</v>
      </c>
    </row>
    <row r="1043" spans="1:22" hidden="1" x14ac:dyDescent="0.25">
      <c r="A1043" s="100">
        <v>45731</v>
      </c>
      <c r="B1043" t="str">
        <f t="shared" si="41"/>
        <v>March</v>
      </c>
      <c r="C1043" s="46" t="s">
        <v>280</v>
      </c>
      <c r="F1043" s="366" t="s">
        <v>1157</v>
      </c>
      <c r="G1043" s="46" t="s">
        <v>83</v>
      </c>
      <c r="H1043" s="46">
        <v>1</v>
      </c>
      <c r="I1043" s="51">
        <v>8858.76</v>
      </c>
      <c r="J1043" s="281">
        <f>++Tabla4[[#This Row],[Precio Bruto]]*1.16</f>
        <v>10276.161599999999</v>
      </c>
      <c r="K1043" s="281">
        <f>+Tabla4[[#This Row],[Precio Unitario Neto]]*Tabla4[[#Headers],[20.85%]]</f>
        <v>2142.5796935999997</v>
      </c>
      <c r="L1043" s="282">
        <f>++Tabla4[[#This Row],[Precio Unitario Neto]]-Tabla4[[#This Row],[20.85%]]</f>
        <v>8133.5819063999998</v>
      </c>
      <c r="M1043" s="282" t="e">
        <f>(INDEX(Tabla6[#All],MATCH(Tabla4[[#This Row],[Producto]],Tabla6[[#All],[PRODUCTO]],0),MATCH(Tabla4[[#This Row],[Mes]],Tabla6[#Headers],0)))*(1+Catalogos!$L$2)</f>
        <v>#N/A</v>
      </c>
      <c r="N1043" s="283" t="e">
        <f>+(Tabla4[[#This Row],[Precio Descontado]]-Tabla4[[#This Row],[Precio Base]])*Tabla4[[#This Row],[Cantidad]]</f>
        <v>#N/A</v>
      </c>
      <c r="O1043" s="284" t="e">
        <f>++Tabla4[[#This Row],[Utilidad Total]]/Tabla4[[#This Row],[Total]]</f>
        <v>#N/A</v>
      </c>
      <c r="P1043" s="282">
        <f>++Tabla4[[#This Row],[Precio Descontado]]*Tabla4[[#This Row],[Cantidad]]</f>
        <v>8133.5819063999998</v>
      </c>
      <c r="Q1043" s="282" t="e">
        <f>(INDEX(Tabla6[#All],MATCH(Tabla4[[#This Row],[Producto]],Tabla6[[#All],[PRODUCTO]],0),MATCH(Tabla4[[#This Row],[Mes]],Tabla6[#Headers],0)))</f>
        <v>#N/A</v>
      </c>
      <c r="R1043" s="282" t="e">
        <f>++Tabla4[[#This Row],[Precio Unitario Neto]]-Tabla4[[#This Row],[20.85%]]-Tabla4[[#This Row],[Costo]]</f>
        <v>#N/A</v>
      </c>
      <c r="S1043" s="282" t="e">
        <f>++Tabla4[[#This Row],[U. Bruta Uni]]*Tabla4[[#This Row],[Cantidad]]</f>
        <v>#N/A</v>
      </c>
      <c r="T1043" s="369" t="str">
        <f>VLOOKUP(Tabla4[[#This Row],[Producto]],Tabla6[#All],14,FALSE)</f>
        <v>Termico Solar</v>
      </c>
      <c r="U1043" s="284" t="e">
        <f>(IF(Tabla4[[#This Row],[Familia]]="termico solar",Tabla4[[#This Row],[Utilidad Total]]*6%,Tabla4[[#This Row],[Utilidad Total]]*11.5%))/Tabla4[[#This Row],[Total]]</f>
        <v>#N/A</v>
      </c>
      <c r="V1043" s="282" t="e">
        <f>+Tabla4[[#This Row],[Comisión Calculada]]*Tabla4[[#This Row],[Total]]</f>
        <v>#N/A</v>
      </c>
    </row>
    <row r="1044" spans="1:22" hidden="1" x14ac:dyDescent="0.25">
      <c r="A1044" s="100">
        <v>45731</v>
      </c>
      <c r="B1044" t="str">
        <f t="shared" si="41"/>
        <v>March</v>
      </c>
      <c r="C1044" s="46" t="s">
        <v>280</v>
      </c>
      <c r="F1044" s="366" t="s">
        <v>1157</v>
      </c>
      <c r="G1044" s="46" t="s">
        <v>17</v>
      </c>
      <c r="H1044" s="46">
        <v>2</v>
      </c>
      <c r="I1044" s="51">
        <v>4622.28</v>
      </c>
      <c r="J1044" s="281">
        <f>++Tabla4[[#This Row],[Precio Bruto]]*1.16</f>
        <v>5361.8447999999989</v>
      </c>
      <c r="K1044" s="281">
        <f>+Tabla4[[#This Row],[Precio Unitario Neto]]*Tabla4[[#Headers],[20.85%]]</f>
        <v>1117.9446407999997</v>
      </c>
      <c r="L1044" s="282">
        <f>++Tabla4[[#This Row],[Precio Unitario Neto]]-Tabla4[[#This Row],[20.85%]]</f>
        <v>4243.9001591999995</v>
      </c>
      <c r="M1044" s="282" t="e">
        <f>(INDEX(Tabla6[#All],MATCH(Tabla4[[#This Row],[Producto]],Tabla6[[#All],[PRODUCTO]],0),MATCH(Tabla4[[#This Row],[Mes]],Tabla6[#Headers],0)))*(1+Catalogos!$L$2)</f>
        <v>#N/A</v>
      </c>
      <c r="N1044" s="283" t="e">
        <f>+(Tabla4[[#This Row],[Precio Descontado]]-Tabla4[[#This Row],[Precio Base]])*Tabla4[[#This Row],[Cantidad]]</f>
        <v>#N/A</v>
      </c>
      <c r="O1044" s="284" t="e">
        <f>++Tabla4[[#This Row],[Utilidad Total]]/Tabla4[[#This Row],[Total]]</f>
        <v>#N/A</v>
      </c>
      <c r="P1044" s="282">
        <f>++Tabla4[[#This Row],[Precio Descontado]]*Tabla4[[#This Row],[Cantidad]]</f>
        <v>8487.800318399999</v>
      </c>
      <c r="Q1044" s="282" t="e">
        <f>(INDEX(Tabla6[#All],MATCH(Tabla4[[#This Row],[Producto]],Tabla6[[#All],[PRODUCTO]],0),MATCH(Tabla4[[#This Row],[Mes]],Tabla6[#Headers],0)))</f>
        <v>#N/A</v>
      </c>
      <c r="R1044" s="282" t="e">
        <f>++Tabla4[[#This Row],[Precio Unitario Neto]]-Tabla4[[#This Row],[20.85%]]-Tabla4[[#This Row],[Costo]]</f>
        <v>#N/A</v>
      </c>
      <c r="S1044" s="282" t="e">
        <f>++Tabla4[[#This Row],[U. Bruta Uni]]*Tabla4[[#This Row],[Cantidad]]</f>
        <v>#N/A</v>
      </c>
      <c r="T1044" s="369" t="str">
        <f>VLOOKUP(Tabla4[[#This Row],[Producto]],Tabla6[#All],14,FALSE)</f>
        <v>Termico Solar</v>
      </c>
      <c r="U1044" s="284" t="e">
        <f>(IF(Tabla4[[#This Row],[Familia]]="termico solar",Tabla4[[#This Row],[Utilidad Total]]*6%,Tabla4[[#This Row],[Utilidad Total]]*11.5%))/Tabla4[[#This Row],[Total]]</f>
        <v>#N/A</v>
      </c>
      <c r="V1044" s="282" t="e">
        <f>+Tabla4[[#This Row],[Comisión Calculada]]*Tabla4[[#This Row],[Total]]</f>
        <v>#N/A</v>
      </c>
    </row>
    <row r="1045" spans="1:22" hidden="1" x14ac:dyDescent="0.25">
      <c r="A1045" s="100">
        <v>45731</v>
      </c>
      <c r="B1045" t="str">
        <f t="shared" si="41"/>
        <v>March</v>
      </c>
      <c r="C1045" s="46" t="s">
        <v>280</v>
      </c>
      <c r="F1045" s="366" t="s">
        <v>1157</v>
      </c>
      <c r="G1045" s="46" t="s">
        <v>18</v>
      </c>
      <c r="H1045" s="46">
        <v>1</v>
      </c>
      <c r="I1045" s="51">
        <v>5367.65</v>
      </c>
      <c r="J1045" s="281">
        <f>++Tabla4[[#This Row],[Precio Bruto]]*1.16</f>
        <v>6226.4739999999993</v>
      </c>
      <c r="K1045" s="281">
        <f>+Tabla4[[#This Row],[Precio Unitario Neto]]*Tabla4[[#Headers],[20.85%]]</f>
        <v>1298.2198289999999</v>
      </c>
      <c r="L1045" s="282">
        <f>++Tabla4[[#This Row],[Precio Unitario Neto]]-Tabla4[[#This Row],[20.85%]]</f>
        <v>4928.2541709999996</v>
      </c>
      <c r="M1045" s="282" t="e">
        <f>(INDEX(Tabla6[#All],MATCH(Tabla4[[#This Row],[Producto]],Tabla6[[#All],[PRODUCTO]],0),MATCH(Tabla4[[#This Row],[Mes]],Tabla6[#Headers],0)))*(1+Catalogos!$L$2)</f>
        <v>#N/A</v>
      </c>
      <c r="N1045" s="283" t="e">
        <f>+(Tabla4[[#This Row],[Precio Descontado]]-Tabla4[[#This Row],[Precio Base]])*Tabla4[[#This Row],[Cantidad]]</f>
        <v>#N/A</v>
      </c>
      <c r="O1045" s="284" t="e">
        <f>++Tabla4[[#This Row],[Utilidad Total]]/Tabla4[[#This Row],[Total]]</f>
        <v>#N/A</v>
      </c>
      <c r="P1045" s="282">
        <f>++Tabla4[[#This Row],[Precio Descontado]]*Tabla4[[#This Row],[Cantidad]]</f>
        <v>4928.2541709999996</v>
      </c>
      <c r="Q1045" s="282" t="e">
        <f>(INDEX(Tabla6[#All],MATCH(Tabla4[[#This Row],[Producto]],Tabla6[[#All],[PRODUCTO]],0),MATCH(Tabla4[[#This Row],[Mes]],Tabla6[#Headers],0)))</f>
        <v>#N/A</v>
      </c>
      <c r="R1045" s="282" t="e">
        <f>++Tabla4[[#This Row],[Precio Unitario Neto]]-Tabla4[[#This Row],[20.85%]]-Tabla4[[#This Row],[Costo]]</f>
        <v>#N/A</v>
      </c>
      <c r="S1045" s="282" t="e">
        <f>++Tabla4[[#This Row],[U. Bruta Uni]]*Tabla4[[#This Row],[Cantidad]]</f>
        <v>#N/A</v>
      </c>
      <c r="T1045" s="369" t="str">
        <f>VLOOKUP(Tabla4[[#This Row],[Producto]],Tabla6[#All],14,FALSE)</f>
        <v>Termico Solar</v>
      </c>
      <c r="U1045" s="284" t="e">
        <f>(IF(Tabla4[[#This Row],[Familia]]="termico solar",Tabla4[[#This Row],[Utilidad Total]]*6%,Tabla4[[#This Row],[Utilidad Total]]*11.5%))/Tabla4[[#This Row],[Total]]</f>
        <v>#N/A</v>
      </c>
      <c r="V1045" s="282" t="e">
        <f>+Tabla4[[#This Row],[Comisión Calculada]]*Tabla4[[#This Row],[Total]]</f>
        <v>#N/A</v>
      </c>
    </row>
    <row r="1046" spans="1:22" hidden="1" x14ac:dyDescent="0.25">
      <c r="A1046" s="100">
        <v>45731</v>
      </c>
      <c r="B1046" t="str">
        <f t="shared" si="41"/>
        <v>March</v>
      </c>
      <c r="C1046" s="46" t="s">
        <v>280</v>
      </c>
      <c r="F1046" s="366" t="s">
        <v>1157</v>
      </c>
      <c r="G1046" s="46" t="s">
        <v>566</v>
      </c>
      <c r="H1046" s="46">
        <v>2</v>
      </c>
      <c r="I1046" s="51">
        <v>2109.4499999999998</v>
      </c>
      <c r="J1046" s="281">
        <f>++Tabla4[[#This Row],[Precio Bruto]]*1.16</f>
        <v>2446.9619999999995</v>
      </c>
      <c r="K1046" s="281">
        <f>+Tabla4[[#This Row],[Precio Unitario Neto]]*Tabla4[[#Headers],[20.85%]]</f>
        <v>510.19157699999988</v>
      </c>
      <c r="L1046" s="282">
        <f>++Tabla4[[#This Row],[Precio Unitario Neto]]-Tabla4[[#This Row],[20.85%]]</f>
        <v>1936.7704229999997</v>
      </c>
      <c r="M1046" s="282" t="e">
        <f>(INDEX(Tabla6[#All],MATCH(Tabla4[[#This Row],[Producto]],Tabla6[[#All],[PRODUCTO]],0),MATCH(Tabla4[[#This Row],[Mes]],Tabla6[#Headers],0)))*(1+Catalogos!$L$2)</f>
        <v>#N/A</v>
      </c>
      <c r="N1046" s="283" t="e">
        <f>+(Tabla4[[#This Row],[Precio Descontado]]-Tabla4[[#This Row],[Precio Base]])*Tabla4[[#This Row],[Cantidad]]</f>
        <v>#N/A</v>
      </c>
      <c r="O1046" s="284" t="e">
        <f>++Tabla4[[#This Row],[Utilidad Total]]/Tabla4[[#This Row],[Total]]</f>
        <v>#N/A</v>
      </c>
      <c r="P1046" s="282">
        <f>++Tabla4[[#This Row],[Precio Descontado]]*Tabla4[[#This Row],[Cantidad]]</f>
        <v>3873.5408459999994</v>
      </c>
      <c r="Q1046" s="282" t="e">
        <f>(INDEX(Tabla6[#All],MATCH(Tabla4[[#This Row],[Producto]],Tabla6[[#All],[PRODUCTO]],0),MATCH(Tabla4[[#This Row],[Mes]],Tabla6[#Headers],0)))</f>
        <v>#N/A</v>
      </c>
      <c r="R1046" s="282" t="e">
        <f>++Tabla4[[#This Row],[Precio Unitario Neto]]-Tabla4[[#This Row],[20.85%]]-Tabla4[[#This Row],[Costo]]</f>
        <v>#N/A</v>
      </c>
      <c r="S1046" s="282" t="e">
        <f>++Tabla4[[#This Row],[U. Bruta Uni]]*Tabla4[[#This Row],[Cantidad]]</f>
        <v>#N/A</v>
      </c>
      <c r="T1046" s="369" t="str">
        <f>VLOOKUP(Tabla4[[#This Row],[Producto]],Tabla6[#All],14,FALSE)</f>
        <v>Termico Solar</v>
      </c>
      <c r="U1046" s="284" t="e">
        <f>(IF(Tabla4[[#This Row],[Familia]]="termico solar",Tabla4[[#This Row],[Utilidad Total]]*6%,Tabla4[[#This Row],[Utilidad Total]]*11.5%))/Tabla4[[#This Row],[Total]]</f>
        <v>#N/A</v>
      </c>
      <c r="V1046" s="282" t="e">
        <f>+Tabla4[[#This Row],[Comisión Calculada]]*Tabla4[[#This Row],[Total]]</f>
        <v>#N/A</v>
      </c>
    </row>
    <row r="1047" spans="1:22" hidden="1" x14ac:dyDescent="0.25">
      <c r="A1047" s="100">
        <v>45731</v>
      </c>
      <c r="B1047" t="str">
        <f t="shared" si="41"/>
        <v>March</v>
      </c>
      <c r="C1047" s="46" t="s">
        <v>280</v>
      </c>
      <c r="F1047" s="366" t="s">
        <v>1158</v>
      </c>
      <c r="G1047" s="46" t="s">
        <v>83</v>
      </c>
      <c r="H1047" s="46">
        <v>2</v>
      </c>
      <c r="I1047" s="51">
        <v>8858.76</v>
      </c>
      <c r="J1047" s="281">
        <f>++Tabla4[[#This Row],[Precio Bruto]]*1.16</f>
        <v>10276.161599999999</v>
      </c>
      <c r="K1047" s="281">
        <f>+Tabla4[[#This Row],[Precio Unitario Neto]]*Tabla4[[#Headers],[20.85%]]</f>
        <v>2142.5796935999997</v>
      </c>
      <c r="L1047" s="282">
        <f>++Tabla4[[#This Row],[Precio Unitario Neto]]-Tabla4[[#This Row],[20.85%]]</f>
        <v>8133.5819063999998</v>
      </c>
      <c r="M1047" s="282" t="e">
        <f>(INDEX(Tabla6[#All],MATCH(Tabla4[[#This Row],[Producto]],Tabla6[[#All],[PRODUCTO]],0),MATCH(Tabla4[[#This Row],[Mes]],Tabla6[#Headers],0)))*(1+Catalogos!$L$2)</f>
        <v>#N/A</v>
      </c>
      <c r="N1047" s="283" t="e">
        <f>+(Tabla4[[#This Row],[Precio Descontado]]-Tabla4[[#This Row],[Precio Base]])*Tabla4[[#This Row],[Cantidad]]</f>
        <v>#N/A</v>
      </c>
      <c r="O1047" s="284" t="e">
        <f>++Tabla4[[#This Row],[Utilidad Total]]/Tabla4[[#This Row],[Total]]</f>
        <v>#N/A</v>
      </c>
      <c r="P1047" s="282">
        <f>++Tabla4[[#This Row],[Precio Descontado]]*Tabla4[[#This Row],[Cantidad]]</f>
        <v>16267.1638128</v>
      </c>
      <c r="Q1047" s="282" t="e">
        <f>(INDEX(Tabla6[#All],MATCH(Tabla4[[#This Row],[Producto]],Tabla6[[#All],[PRODUCTO]],0),MATCH(Tabla4[[#This Row],[Mes]],Tabla6[#Headers],0)))</f>
        <v>#N/A</v>
      </c>
      <c r="R1047" s="282" t="e">
        <f>++Tabla4[[#This Row],[Precio Unitario Neto]]-Tabla4[[#This Row],[20.85%]]-Tabla4[[#This Row],[Costo]]</f>
        <v>#N/A</v>
      </c>
      <c r="S1047" s="282" t="e">
        <f>++Tabla4[[#This Row],[U. Bruta Uni]]*Tabla4[[#This Row],[Cantidad]]</f>
        <v>#N/A</v>
      </c>
      <c r="T1047" s="369" t="str">
        <f>VLOOKUP(Tabla4[[#This Row],[Producto]],Tabla6[#All],14,FALSE)</f>
        <v>Termico Solar</v>
      </c>
      <c r="U1047" s="284" t="e">
        <f>(IF(Tabla4[[#This Row],[Familia]]="termico solar",Tabla4[[#This Row],[Utilidad Total]]*6%,Tabla4[[#This Row],[Utilidad Total]]*11.5%))/Tabla4[[#This Row],[Total]]</f>
        <v>#N/A</v>
      </c>
      <c r="V1047" s="282" t="e">
        <f>+Tabla4[[#This Row],[Comisión Calculada]]*Tabla4[[#This Row],[Total]]</f>
        <v>#N/A</v>
      </c>
    </row>
    <row r="1048" spans="1:22" hidden="1" x14ac:dyDescent="0.25">
      <c r="A1048" s="100">
        <v>45731</v>
      </c>
      <c r="B1048" t="str">
        <f t="shared" si="41"/>
        <v>March</v>
      </c>
      <c r="C1048" s="46" t="s">
        <v>280</v>
      </c>
      <c r="F1048" s="366" t="s">
        <v>1158</v>
      </c>
      <c r="G1048" s="46" t="s">
        <v>17</v>
      </c>
      <c r="H1048" s="46">
        <v>6</v>
      </c>
      <c r="I1048" s="51">
        <v>4622.28</v>
      </c>
      <c r="J1048" s="281">
        <f>++Tabla4[[#This Row],[Precio Bruto]]*1.16</f>
        <v>5361.8447999999989</v>
      </c>
      <c r="K1048" s="281">
        <f>+Tabla4[[#This Row],[Precio Unitario Neto]]*Tabla4[[#Headers],[20.85%]]</f>
        <v>1117.9446407999997</v>
      </c>
      <c r="L1048" s="282">
        <f>++Tabla4[[#This Row],[Precio Unitario Neto]]-Tabla4[[#This Row],[20.85%]]</f>
        <v>4243.9001591999995</v>
      </c>
      <c r="M1048" s="282" t="e">
        <f>(INDEX(Tabla6[#All],MATCH(Tabla4[[#This Row],[Producto]],Tabla6[[#All],[PRODUCTO]],0),MATCH(Tabla4[[#This Row],[Mes]],Tabla6[#Headers],0)))*(1+Catalogos!$L$2)</f>
        <v>#N/A</v>
      </c>
      <c r="N1048" s="283" t="e">
        <f>+(Tabla4[[#This Row],[Precio Descontado]]-Tabla4[[#This Row],[Precio Base]])*Tabla4[[#This Row],[Cantidad]]</f>
        <v>#N/A</v>
      </c>
      <c r="O1048" s="284" t="e">
        <f>++Tabla4[[#This Row],[Utilidad Total]]/Tabla4[[#This Row],[Total]]</f>
        <v>#N/A</v>
      </c>
      <c r="P1048" s="282">
        <f>++Tabla4[[#This Row],[Precio Descontado]]*Tabla4[[#This Row],[Cantidad]]</f>
        <v>25463.400955199999</v>
      </c>
      <c r="Q1048" s="282" t="e">
        <f>(INDEX(Tabla6[#All],MATCH(Tabla4[[#This Row],[Producto]],Tabla6[[#All],[PRODUCTO]],0),MATCH(Tabla4[[#This Row],[Mes]],Tabla6[#Headers],0)))</f>
        <v>#N/A</v>
      </c>
      <c r="R1048" s="282" t="e">
        <f>++Tabla4[[#This Row],[Precio Unitario Neto]]-Tabla4[[#This Row],[20.85%]]-Tabla4[[#This Row],[Costo]]</f>
        <v>#N/A</v>
      </c>
      <c r="S1048" s="282" t="e">
        <f>++Tabla4[[#This Row],[U. Bruta Uni]]*Tabla4[[#This Row],[Cantidad]]</f>
        <v>#N/A</v>
      </c>
      <c r="T1048" s="369" t="str">
        <f>VLOOKUP(Tabla4[[#This Row],[Producto]],Tabla6[#All],14,FALSE)</f>
        <v>Termico Solar</v>
      </c>
      <c r="U1048" s="284" t="e">
        <f>(IF(Tabla4[[#This Row],[Familia]]="termico solar",Tabla4[[#This Row],[Utilidad Total]]*6%,Tabla4[[#This Row],[Utilidad Total]]*11.5%))/Tabla4[[#This Row],[Total]]</f>
        <v>#N/A</v>
      </c>
      <c r="V1048" s="282" t="e">
        <f>+Tabla4[[#This Row],[Comisión Calculada]]*Tabla4[[#This Row],[Total]]</f>
        <v>#N/A</v>
      </c>
    </row>
    <row r="1049" spans="1:22" hidden="1" x14ac:dyDescent="0.25">
      <c r="A1049" s="100">
        <v>45731</v>
      </c>
      <c r="B1049" t="str">
        <f t="shared" si="41"/>
        <v>March</v>
      </c>
      <c r="C1049" s="46" t="s">
        <v>280</v>
      </c>
      <c r="F1049" s="366" t="s">
        <v>1158</v>
      </c>
      <c r="G1049" s="46" t="s">
        <v>18</v>
      </c>
      <c r="H1049" s="46">
        <v>4</v>
      </c>
      <c r="I1049" s="51">
        <v>5367.65</v>
      </c>
      <c r="J1049" s="281">
        <f>++Tabla4[[#This Row],[Precio Bruto]]*1.16</f>
        <v>6226.4739999999993</v>
      </c>
      <c r="K1049" s="281">
        <f>+Tabla4[[#This Row],[Precio Unitario Neto]]*Tabla4[[#Headers],[20.85%]]</f>
        <v>1298.2198289999999</v>
      </c>
      <c r="L1049" s="282">
        <f>++Tabla4[[#This Row],[Precio Unitario Neto]]-Tabla4[[#This Row],[20.85%]]</f>
        <v>4928.2541709999996</v>
      </c>
      <c r="M1049" s="282" t="e">
        <f>(INDEX(Tabla6[#All],MATCH(Tabla4[[#This Row],[Producto]],Tabla6[[#All],[PRODUCTO]],0),MATCH(Tabla4[[#This Row],[Mes]],Tabla6[#Headers],0)))*(1+Catalogos!$L$2)</f>
        <v>#N/A</v>
      </c>
      <c r="N1049" s="283" t="e">
        <f>+(Tabla4[[#This Row],[Precio Descontado]]-Tabla4[[#This Row],[Precio Base]])*Tabla4[[#This Row],[Cantidad]]</f>
        <v>#N/A</v>
      </c>
      <c r="O1049" s="284" t="e">
        <f>++Tabla4[[#This Row],[Utilidad Total]]/Tabla4[[#This Row],[Total]]</f>
        <v>#N/A</v>
      </c>
      <c r="P1049" s="282">
        <f>++Tabla4[[#This Row],[Precio Descontado]]*Tabla4[[#This Row],[Cantidad]]</f>
        <v>19713.016683999998</v>
      </c>
      <c r="Q1049" s="282" t="e">
        <f>(INDEX(Tabla6[#All],MATCH(Tabla4[[#This Row],[Producto]],Tabla6[[#All],[PRODUCTO]],0),MATCH(Tabla4[[#This Row],[Mes]],Tabla6[#Headers],0)))</f>
        <v>#N/A</v>
      </c>
      <c r="R1049" s="282" t="e">
        <f>++Tabla4[[#This Row],[Precio Unitario Neto]]-Tabla4[[#This Row],[20.85%]]-Tabla4[[#This Row],[Costo]]</f>
        <v>#N/A</v>
      </c>
      <c r="S1049" s="282" t="e">
        <f>++Tabla4[[#This Row],[U. Bruta Uni]]*Tabla4[[#This Row],[Cantidad]]</f>
        <v>#N/A</v>
      </c>
      <c r="T1049" s="369" t="str">
        <f>VLOOKUP(Tabla4[[#This Row],[Producto]],Tabla6[#All],14,FALSE)</f>
        <v>Termico Solar</v>
      </c>
      <c r="U1049" s="284" t="e">
        <f>(IF(Tabla4[[#This Row],[Familia]]="termico solar",Tabla4[[#This Row],[Utilidad Total]]*6%,Tabla4[[#This Row],[Utilidad Total]]*11.5%))/Tabla4[[#This Row],[Total]]</f>
        <v>#N/A</v>
      </c>
      <c r="V1049" s="282" t="e">
        <f>+Tabla4[[#This Row],[Comisión Calculada]]*Tabla4[[#This Row],[Total]]</f>
        <v>#N/A</v>
      </c>
    </row>
    <row r="1050" spans="1:22" hidden="1" x14ac:dyDescent="0.25">
      <c r="A1050" s="100">
        <v>45731</v>
      </c>
      <c r="B1050" t="str">
        <f t="shared" si="41"/>
        <v>March</v>
      </c>
      <c r="C1050" s="46" t="s">
        <v>280</v>
      </c>
      <c r="F1050" s="366" t="s">
        <v>1158</v>
      </c>
      <c r="G1050" s="46" t="s">
        <v>16</v>
      </c>
      <c r="H1050" s="46">
        <v>2</v>
      </c>
      <c r="I1050" s="51">
        <v>4103.8500000000004</v>
      </c>
      <c r="J1050" s="281">
        <f>++Tabla4[[#This Row],[Precio Bruto]]*1.16</f>
        <v>4760.4660000000003</v>
      </c>
      <c r="K1050" s="281">
        <f>+Tabla4[[#This Row],[Precio Unitario Neto]]*Tabla4[[#Headers],[20.85%]]</f>
        <v>992.55716100000006</v>
      </c>
      <c r="L1050" s="282">
        <f>++Tabla4[[#This Row],[Precio Unitario Neto]]-Tabla4[[#This Row],[20.85%]]</f>
        <v>3767.9088390000002</v>
      </c>
      <c r="M1050" s="282" t="e">
        <f>(INDEX(Tabla6[#All],MATCH(Tabla4[[#This Row],[Producto]],Tabla6[[#All],[PRODUCTO]],0),MATCH(Tabla4[[#This Row],[Mes]],Tabla6[#Headers],0)))*(1+Catalogos!$L$2)</f>
        <v>#N/A</v>
      </c>
      <c r="N1050" s="283" t="e">
        <f>+(Tabla4[[#This Row],[Precio Descontado]]-Tabla4[[#This Row],[Precio Base]])*Tabla4[[#This Row],[Cantidad]]</f>
        <v>#N/A</v>
      </c>
      <c r="O1050" s="284" t="e">
        <f>++Tabla4[[#This Row],[Utilidad Total]]/Tabla4[[#This Row],[Total]]</f>
        <v>#N/A</v>
      </c>
      <c r="P1050" s="282">
        <f>++Tabla4[[#This Row],[Precio Descontado]]*Tabla4[[#This Row],[Cantidad]]</f>
        <v>7535.8176780000003</v>
      </c>
      <c r="Q1050" s="282" t="e">
        <f>(INDEX(Tabla6[#All],MATCH(Tabla4[[#This Row],[Producto]],Tabla6[[#All],[PRODUCTO]],0),MATCH(Tabla4[[#This Row],[Mes]],Tabla6[#Headers],0)))</f>
        <v>#N/A</v>
      </c>
      <c r="R1050" s="282" t="e">
        <f>++Tabla4[[#This Row],[Precio Unitario Neto]]-Tabla4[[#This Row],[20.85%]]-Tabla4[[#This Row],[Costo]]</f>
        <v>#N/A</v>
      </c>
      <c r="S1050" s="282" t="e">
        <f>++Tabla4[[#This Row],[U. Bruta Uni]]*Tabla4[[#This Row],[Cantidad]]</f>
        <v>#N/A</v>
      </c>
      <c r="T1050" s="369" t="str">
        <f>VLOOKUP(Tabla4[[#This Row],[Producto]],Tabla6[#All],14,FALSE)</f>
        <v>Termico Solar</v>
      </c>
      <c r="U1050" s="284" t="e">
        <f>(IF(Tabla4[[#This Row],[Familia]]="termico solar",Tabla4[[#This Row],[Utilidad Total]]*6%,Tabla4[[#This Row],[Utilidad Total]]*11.5%))/Tabla4[[#This Row],[Total]]</f>
        <v>#N/A</v>
      </c>
      <c r="V1050" s="282" t="e">
        <f>+Tabla4[[#This Row],[Comisión Calculada]]*Tabla4[[#This Row],[Total]]</f>
        <v>#N/A</v>
      </c>
    </row>
    <row r="1051" spans="1:22" hidden="1" x14ac:dyDescent="0.25">
      <c r="A1051" s="100">
        <v>45731</v>
      </c>
      <c r="B1051" t="str">
        <f t="shared" si="41"/>
        <v>March</v>
      </c>
      <c r="C1051" s="46" t="s">
        <v>280</v>
      </c>
      <c r="F1051" s="366" t="s">
        <v>1158</v>
      </c>
      <c r="G1051" s="46" t="s">
        <v>208</v>
      </c>
      <c r="H1051" s="46">
        <v>1</v>
      </c>
      <c r="I1051" s="51">
        <v>189.75</v>
      </c>
      <c r="J1051" s="281">
        <f>++Tabla4[[#This Row],[Precio Bruto]]*1.16</f>
        <v>220.10999999999999</v>
      </c>
      <c r="K1051" s="281">
        <f>+Tabla4[[#This Row],[Precio Unitario Neto]]*Tabla4[[#Headers],[20.85%]]</f>
        <v>45.892934999999994</v>
      </c>
      <c r="L1051" s="282">
        <f>++Tabla4[[#This Row],[Precio Unitario Neto]]-Tabla4[[#This Row],[20.85%]]</f>
        <v>174.21706499999999</v>
      </c>
      <c r="M1051" s="282" t="e">
        <f>(INDEX(Tabla6[#All],MATCH(Tabla4[[#This Row],[Producto]],Tabla6[[#All],[PRODUCTO]],0),MATCH(Tabla4[[#This Row],[Mes]],Tabla6[#Headers],0)))*(1+Catalogos!$L$2)</f>
        <v>#N/A</v>
      </c>
      <c r="N1051" s="283" t="e">
        <f>+(Tabla4[[#This Row],[Precio Descontado]]-Tabla4[[#This Row],[Precio Base]])*Tabla4[[#This Row],[Cantidad]]</f>
        <v>#N/A</v>
      </c>
      <c r="O1051" s="284" t="e">
        <f>++Tabla4[[#This Row],[Utilidad Total]]/Tabla4[[#This Row],[Total]]</f>
        <v>#N/A</v>
      </c>
      <c r="P1051" s="282">
        <f>++Tabla4[[#This Row],[Precio Descontado]]*Tabla4[[#This Row],[Cantidad]]</f>
        <v>174.21706499999999</v>
      </c>
      <c r="Q1051" s="282" t="e">
        <f>(INDEX(Tabla6[#All],MATCH(Tabla4[[#This Row],[Producto]],Tabla6[[#All],[PRODUCTO]],0),MATCH(Tabla4[[#This Row],[Mes]],Tabla6[#Headers],0)))</f>
        <v>#N/A</v>
      </c>
      <c r="R1051" s="282" t="e">
        <f>++Tabla4[[#This Row],[Precio Unitario Neto]]-Tabla4[[#This Row],[20.85%]]-Tabla4[[#This Row],[Costo]]</f>
        <v>#N/A</v>
      </c>
      <c r="S1051" s="282" t="e">
        <f>++Tabla4[[#This Row],[U. Bruta Uni]]*Tabla4[[#This Row],[Cantidad]]</f>
        <v>#N/A</v>
      </c>
      <c r="T1051" s="369" t="str">
        <f>VLOOKUP(Tabla4[[#This Row],[Producto]],Tabla6[#All],14,FALSE)</f>
        <v>Termico Solar</v>
      </c>
      <c r="U1051" s="284" t="e">
        <f>(IF(Tabla4[[#This Row],[Familia]]="termico solar",Tabla4[[#This Row],[Utilidad Total]]*6%,Tabla4[[#This Row],[Utilidad Total]]*11.5%))/Tabla4[[#This Row],[Total]]</f>
        <v>#N/A</v>
      </c>
      <c r="V1051" s="282" t="e">
        <f>+Tabla4[[#This Row],[Comisión Calculada]]*Tabla4[[#This Row],[Total]]</f>
        <v>#N/A</v>
      </c>
    </row>
    <row r="1052" spans="1:22" hidden="1" x14ac:dyDescent="0.25">
      <c r="A1052" s="100">
        <v>45731</v>
      </c>
      <c r="B1052" t="str">
        <f t="shared" si="41"/>
        <v>March</v>
      </c>
      <c r="C1052" s="46" t="s">
        <v>280</v>
      </c>
      <c r="F1052" s="366" t="s">
        <v>1159</v>
      </c>
      <c r="G1052" s="46" t="s">
        <v>83</v>
      </c>
      <c r="H1052" s="46">
        <v>1</v>
      </c>
      <c r="I1052" s="51">
        <v>8858.76</v>
      </c>
      <c r="J1052" s="281">
        <f>++Tabla4[[#This Row],[Precio Bruto]]*1.16</f>
        <v>10276.161599999999</v>
      </c>
      <c r="K1052" s="281">
        <f>+Tabla4[[#This Row],[Precio Unitario Neto]]*Tabla4[[#Headers],[20.85%]]</f>
        <v>2142.5796935999997</v>
      </c>
      <c r="L1052" s="282">
        <f>++Tabla4[[#This Row],[Precio Unitario Neto]]-Tabla4[[#This Row],[20.85%]]</f>
        <v>8133.5819063999998</v>
      </c>
      <c r="M1052" s="282" t="e">
        <f>(INDEX(Tabla6[#All],MATCH(Tabla4[[#This Row],[Producto]],Tabla6[[#All],[PRODUCTO]],0),MATCH(Tabla4[[#This Row],[Mes]],Tabla6[#Headers],0)))*(1+Catalogos!$L$2)</f>
        <v>#N/A</v>
      </c>
      <c r="N1052" s="283" t="e">
        <f>+(Tabla4[[#This Row],[Precio Descontado]]-Tabla4[[#This Row],[Precio Base]])*Tabla4[[#This Row],[Cantidad]]</f>
        <v>#N/A</v>
      </c>
      <c r="O1052" s="284" t="e">
        <f>++Tabla4[[#This Row],[Utilidad Total]]/Tabla4[[#This Row],[Total]]</f>
        <v>#N/A</v>
      </c>
      <c r="P1052" s="282">
        <f>++Tabla4[[#This Row],[Precio Descontado]]*Tabla4[[#This Row],[Cantidad]]</f>
        <v>8133.5819063999998</v>
      </c>
      <c r="Q1052" s="282" t="e">
        <f>(INDEX(Tabla6[#All],MATCH(Tabla4[[#This Row],[Producto]],Tabla6[[#All],[PRODUCTO]],0),MATCH(Tabla4[[#This Row],[Mes]],Tabla6[#Headers],0)))</f>
        <v>#N/A</v>
      </c>
      <c r="R1052" s="282" t="e">
        <f>++Tabla4[[#This Row],[Precio Unitario Neto]]-Tabla4[[#This Row],[20.85%]]-Tabla4[[#This Row],[Costo]]</f>
        <v>#N/A</v>
      </c>
      <c r="S1052" s="282" t="e">
        <f>++Tabla4[[#This Row],[U. Bruta Uni]]*Tabla4[[#This Row],[Cantidad]]</f>
        <v>#N/A</v>
      </c>
      <c r="T1052" s="369" t="str">
        <f>VLOOKUP(Tabla4[[#This Row],[Producto]],Tabla6[#All],14,FALSE)</f>
        <v>Termico Solar</v>
      </c>
      <c r="U1052" s="284" t="e">
        <f>(IF(Tabla4[[#This Row],[Familia]]="termico solar",Tabla4[[#This Row],[Utilidad Total]]*6%,Tabla4[[#This Row],[Utilidad Total]]*11.5%))/Tabla4[[#This Row],[Total]]</f>
        <v>#N/A</v>
      </c>
      <c r="V1052" s="282" t="e">
        <f>+Tabla4[[#This Row],[Comisión Calculada]]*Tabla4[[#This Row],[Total]]</f>
        <v>#N/A</v>
      </c>
    </row>
    <row r="1053" spans="1:22" hidden="1" x14ac:dyDescent="0.25">
      <c r="A1053" s="100">
        <v>45731</v>
      </c>
      <c r="B1053" t="str">
        <f t="shared" si="41"/>
        <v>March</v>
      </c>
      <c r="C1053" s="46" t="s">
        <v>280</v>
      </c>
      <c r="F1053" s="366" t="s">
        <v>1159</v>
      </c>
      <c r="G1053" s="46" t="s">
        <v>17</v>
      </c>
      <c r="H1053" s="46">
        <v>2</v>
      </c>
      <c r="I1053" s="51">
        <v>4622.28</v>
      </c>
      <c r="J1053" s="281">
        <f>++Tabla4[[#This Row],[Precio Bruto]]*1.16</f>
        <v>5361.8447999999989</v>
      </c>
      <c r="K1053" s="281">
        <f>+Tabla4[[#This Row],[Precio Unitario Neto]]*Tabla4[[#Headers],[20.85%]]</f>
        <v>1117.9446407999997</v>
      </c>
      <c r="L1053" s="282">
        <f>++Tabla4[[#This Row],[Precio Unitario Neto]]-Tabla4[[#This Row],[20.85%]]</f>
        <v>4243.9001591999995</v>
      </c>
      <c r="M1053" s="282" t="e">
        <f>(INDEX(Tabla6[#All],MATCH(Tabla4[[#This Row],[Producto]],Tabla6[[#All],[PRODUCTO]],0),MATCH(Tabla4[[#This Row],[Mes]],Tabla6[#Headers],0)))*(1+Catalogos!$L$2)</f>
        <v>#N/A</v>
      </c>
      <c r="N1053" s="283" t="e">
        <f>+(Tabla4[[#This Row],[Precio Descontado]]-Tabla4[[#This Row],[Precio Base]])*Tabla4[[#This Row],[Cantidad]]</f>
        <v>#N/A</v>
      </c>
      <c r="O1053" s="284" t="e">
        <f>++Tabla4[[#This Row],[Utilidad Total]]/Tabla4[[#This Row],[Total]]</f>
        <v>#N/A</v>
      </c>
      <c r="P1053" s="282">
        <f>++Tabla4[[#This Row],[Precio Descontado]]*Tabla4[[#This Row],[Cantidad]]</f>
        <v>8487.800318399999</v>
      </c>
      <c r="Q1053" s="282" t="e">
        <f>(INDEX(Tabla6[#All],MATCH(Tabla4[[#This Row],[Producto]],Tabla6[[#All],[PRODUCTO]],0),MATCH(Tabla4[[#This Row],[Mes]],Tabla6[#Headers],0)))</f>
        <v>#N/A</v>
      </c>
      <c r="R1053" s="282" t="e">
        <f>++Tabla4[[#This Row],[Precio Unitario Neto]]-Tabla4[[#This Row],[20.85%]]-Tabla4[[#This Row],[Costo]]</f>
        <v>#N/A</v>
      </c>
      <c r="S1053" s="282" t="e">
        <f>++Tabla4[[#This Row],[U. Bruta Uni]]*Tabla4[[#This Row],[Cantidad]]</f>
        <v>#N/A</v>
      </c>
      <c r="T1053" s="369" t="str">
        <f>VLOOKUP(Tabla4[[#This Row],[Producto]],Tabla6[#All],14,FALSE)</f>
        <v>Termico Solar</v>
      </c>
      <c r="U1053" s="284" t="e">
        <f>(IF(Tabla4[[#This Row],[Familia]]="termico solar",Tabla4[[#This Row],[Utilidad Total]]*6%,Tabla4[[#This Row],[Utilidad Total]]*11.5%))/Tabla4[[#This Row],[Total]]</f>
        <v>#N/A</v>
      </c>
      <c r="V1053" s="282" t="e">
        <f>+Tabla4[[#This Row],[Comisión Calculada]]*Tabla4[[#This Row],[Total]]</f>
        <v>#N/A</v>
      </c>
    </row>
    <row r="1054" spans="1:22" hidden="1" x14ac:dyDescent="0.25">
      <c r="A1054" s="100">
        <v>45731</v>
      </c>
      <c r="B1054" t="str">
        <f t="shared" si="41"/>
        <v>March</v>
      </c>
      <c r="C1054" s="46" t="s">
        <v>280</v>
      </c>
      <c r="F1054" s="366" t="s">
        <v>1159</v>
      </c>
      <c r="G1054" s="46" t="s">
        <v>18</v>
      </c>
      <c r="H1054" s="46">
        <v>2</v>
      </c>
      <c r="I1054" s="51">
        <v>5367.65</v>
      </c>
      <c r="J1054" s="281">
        <f>++Tabla4[[#This Row],[Precio Bruto]]*1.16</f>
        <v>6226.4739999999993</v>
      </c>
      <c r="K1054" s="281">
        <f>+Tabla4[[#This Row],[Precio Unitario Neto]]*Tabla4[[#Headers],[20.85%]]</f>
        <v>1298.2198289999999</v>
      </c>
      <c r="L1054" s="282">
        <f>++Tabla4[[#This Row],[Precio Unitario Neto]]-Tabla4[[#This Row],[20.85%]]</f>
        <v>4928.2541709999996</v>
      </c>
      <c r="M1054" s="282" t="e">
        <f>(INDEX(Tabla6[#All],MATCH(Tabla4[[#This Row],[Producto]],Tabla6[[#All],[PRODUCTO]],0),MATCH(Tabla4[[#This Row],[Mes]],Tabla6[#Headers],0)))*(1+Catalogos!$L$2)</f>
        <v>#N/A</v>
      </c>
      <c r="N1054" s="283" t="e">
        <f>+(Tabla4[[#This Row],[Precio Descontado]]-Tabla4[[#This Row],[Precio Base]])*Tabla4[[#This Row],[Cantidad]]</f>
        <v>#N/A</v>
      </c>
      <c r="O1054" s="284" t="e">
        <f>++Tabla4[[#This Row],[Utilidad Total]]/Tabla4[[#This Row],[Total]]</f>
        <v>#N/A</v>
      </c>
      <c r="P1054" s="282">
        <f>++Tabla4[[#This Row],[Precio Descontado]]*Tabla4[[#This Row],[Cantidad]]</f>
        <v>9856.5083419999992</v>
      </c>
      <c r="Q1054" s="282" t="e">
        <f>(INDEX(Tabla6[#All],MATCH(Tabla4[[#This Row],[Producto]],Tabla6[[#All],[PRODUCTO]],0),MATCH(Tabla4[[#This Row],[Mes]],Tabla6[#Headers],0)))</f>
        <v>#N/A</v>
      </c>
      <c r="R1054" s="282" t="e">
        <f>++Tabla4[[#This Row],[Precio Unitario Neto]]-Tabla4[[#This Row],[20.85%]]-Tabla4[[#This Row],[Costo]]</f>
        <v>#N/A</v>
      </c>
      <c r="S1054" s="282" t="e">
        <f>++Tabla4[[#This Row],[U. Bruta Uni]]*Tabla4[[#This Row],[Cantidad]]</f>
        <v>#N/A</v>
      </c>
      <c r="T1054" s="369" t="str">
        <f>VLOOKUP(Tabla4[[#This Row],[Producto]],Tabla6[#All],14,FALSE)</f>
        <v>Termico Solar</v>
      </c>
      <c r="U1054" s="284" t="e">
        <f>(IF(Tabla4[[#This Row],[Familia]]="termico solar",Tabla4[[#This Row],[Utilidad Total]]*6%,Tabla4[[#This Row],[Utilidad Total]]*11.5%))/Tabla4[[#This Row],[Total]]</f>
        <v>#N/A</v>
      </c>
      <c r="V1054" s="282" t="e">
        <f>+Tabla4[[#This Row],[Comisión Calculada]]*Tabla4[[#This Row],[Total]]</f>
        <v>#N/A</v>
      </c>
    </row>
    <row r="1055" spans="1:22" hidden="1" x14ac:dyDescent="0.25">
      <c r="A1055" s="100">
        <v>45731</v>
      </c>
      <c r="B1055" t="str">
        <f t="shared" si="41"/>
        <v>March</v>
      </c>
      <c r="C1055" s="46" t="s">
        <v>280</v>
      </c>
      <c r="F1055" s="366" t="s">
        <v>1160</v>
      </c>
      <c r="G1055" s="46" t="s">
        <v>83</v>
      </c>
      <c r="H1055" s="46">
        <v>3</v>
      </c>
      <c r="I1055" s="51">
        <v>8858.76</v>
      </c>
      <c r="J1055" s="281">
        <f>++Tabla4[[#This Row],[Precio Bruto]]*1.16</f>
        <v>10276.161599999999</v>
      </c>
      <c r="K1055" s="281">
        <f>+Tabla4[[#This Row],[Precio Unitario Neto]]*Tabla4[[#Headers],[20.85%]]</f>
        <v>2142.5796935999997</v>
      </c>
      <c r="L1055" s="282">
        <f>++Tabla4[[#This Row],[Precio Unitario Neto]]-Tabla4[[#This Row],[20.85%]]</f>
        <v>8133.5819063999998</v>
      </c>
      <c r="M1055" s="282" t="e">
        <f>(INDEX(Tabla6[#All],MATCH(Tabla4[[#This Row],[Producto]],Tabla6[[#All],[PRODUCTO]],0),MATCH(Tabla4[[#This Row],[Mes]],Tabla6[#Headers],0)))*(1+Catalogos!$L$2)</f>
        <v>#N/A</v>
      </c>
      <c r="N1055" s="283" t="e">
        <f>+(Tabla4[[#This Row],[Precio Descontado]]-Tabla4[[#This Row],[Precio Base]])*Tabla4[[#This Row],[Cantidad]]</f>
        <v>#N/A</v>
      </c>
      <c r="O1055" s="284" t="e">
        <f>++Tabla4[[#This Row],[Utilidad Total]]/Tabla4[[#This Row],[Total]]</f>
        <v>#N/A</v>
      </c>
      <c r="P1055" s="282">
        <f>++Tabla4[[#This Row],[Precio Descontado]]*Tabla4[[#This Row],[Cantidad]]</f>
        <v>24400.7457192</v>
      </c>
      <c r="Q1055" s="282" t="e">
        <f>(INDEX(Tabla6[#All],MATCH(Tabla4[[#This Row],[Producto]],Tabla6[[#All],[PRODUCTO]],0),MATCH(Tabla4[[#This Row],[Mes]],Tabla6[#Headers],0)))</f>
        <v>#N/A</v>
      </c>
      <c r="R1055" s="282" t="e">
        <f>++Tabla4[[#This Row],[Precio Unitario Neto]]-Tabla4[[#This Row],[20.85%]]-Tabla4[[#This Row],[Costo]]</f>
        <v>#N/A</v>
      </c>
      <c r="S1055" s="282" t="e">
        <f>++Tabla4[[#This Row],[U. Bruta Uni]]*Tabla4[[#This Row],[Cantidad]]</f>
        <v>#N/A</v>
      </c>
      <c r="T1055" s="369" t="str">
        <f>VLOOKUP(Tabla4[[#This Row],[Producto]],Tabla6[#All],14,FALSE)</f>
        <v>Termico Solar</v>
      </c>
      <c r="U1055" s="284" t="e">
        <f>(IF(Tabla4[[#This Row],[Familia]]="termico solar",Tabla4[[#This Row],[Utilidad Total]]*6%,Tabla4[[#This Row],[Utilidad Total]]*11.5%))/Tabla4[[#This Row],[Total]]</f>
        <v>#N/A</v>
      </c>
      <c r="V1055" s="282" t="e">
        <f>+Tabla4[[#This Row],[Comisión Calculada]]*Tabla4[[#This Row],[Total]]</f>
        <v>#N/A</v>
      </c>
    </row>
    <row r="1056" spans="1:22" hidden="1" x14ac:dyDescent="0.25">
      <c r="A1056" s="100">
        <v>45731</v>
      </c>
      <c r="B1056" t="str">
        <f t="shared" si="41"/>
        <v>March</v>
      </c>
      <c r="C1056" s="46" t="s">
        <v>280</v>
      </c>
      <c r="F1056" s="366" t="s">
        <v>1160</v>
      </c>
      <c r="G1056" s="46" t="s">
        <v>17</v>
      </c>
      <c r="H1056" s="46">
        <v>6</v>
      </c>
      <c r="I1056" s="51">
        <v>4622.28</v>
      </c>
      <c r="J1056" s="281">
        <f>++Tabla4[[#This Row],[Precio Bruto]]*1.16</f>
        <v>5361.8447999999989</v>
      </c>
      <c r="K1056" s="281">
        <f>+Tabla4[[#This Row],[Precio Unitario Neto]]*Tabla4[[#Headers],[20.85%]]</f>
        <v>1117.9446407999997</v>
      </c>
      <c r="L1056" s="282">
        <f>++Tabla4[[#This Row],[Precio Unitario Neto]]-Tabla4[[#This Row],[20.85%]]</f>
        <v>4243.9001591999995</v>
      </c>
      <c r="M1056" s="282" t="e">
        <f>(INDEX(Tabla6[#All],MATCH(Tabla4[[#This Row],[Producto]],Tabla6[[#All],[PRODUCTO]],0),MATCH(Tabla4[[#This Row],[Mes]],Tabla6[#Headers],0)))*(1+Catalogos!$L$2)</f>
        <v>#N/A</v>
      </c>
      <c r="N1056" s="283" t="e">
        <f>+(Tabla4[[#This Row],[Precio Descontado]]-Tabla4[[#This Row],[Precio Base]])*Tabla4[[#This Row],[Cantidad]]</f>
        <v>#N/A</v>
      </c>
      <c r="O1056" s="284" t="e">
        <f>++Tabla4[[#This Row],[Utilidad Total]]/Tabla4[[#This Row],[Total]]</f>
        <v>#N/A</v>
      </c>
      <c r="P1056" s="282">
        <f>++Tabla4[[#This Row],[Precio Descontado]]*Tabla4[[#This Row],[Cantidad]]</f>
        <v>25463.400955199999</v>
      </c>
      <c r="Q1056" s="282" t="e">
        <f>(INDEX(Tabla6[#All],MATCH(Tabla4[[#This Row],[Producto]],Tabla6[[#All],[PRODUCTO]],0),MATCH(Tabla4[[#This Row],[Mes]],Tabla6[#Headers],0)))</f>
        <v>#N/A</v>
      </c>
      <c r="R1056" s="282" t="e">
        <f>++Tabla4[[#This Row],[Precio Unitario Neto]]-Tabla4[[#This Row],[20.85%]]-Tabla4[[#This Row],[Costo]]</f>
        <v>#N/A</v>
      </c>
      <c r="S1056" s="282" t="e">
        <f>++Tabla4[[#This Row],[U. Bruta Uni]]*Tabla4[[#This Row],[Cantidad]]</f>
        <v>#N/A</v>
      </c>
      <c r="T1056" s="369" t="str">
        <f>VLOOKUP(Tabla4[[#This Row],[Producto]],Tabla6[#All],14,FALSE)</f>
        <v>Termico Solar</v>
      </c>
      <c r="U1056" s="284" t="e">
        <f>(IF(Tabla4[[#This Row],[Familia]]="termico solar",Tabla4[[#This Row],[Utilidad Total]]*6%,Tabla4[[#This Row],[Utilidad Total]]*11.5%))/Tabla4[[#This Row],[Total]]</f>
        <v>#N/A</v>
      </c>
      <c r="V1056" s="282" t="e">
        <f>+Tabla4[[#This Row],[Comisión Calculada]]*Tabla4[[#This Row],[Total]]</f>
        <v>#N/A</v>
      </c>
    </row>
    <row r="1057" spans="1:22" hidden="1" x14ac:dyDescent="0.25">
      <c r="A1057" s="100">
        <v>45731</v>
      </c>
      <c r="B1057" t="str">
        <f t="shared" si="41"/>
        <v>March</v>
      </c>
      <c r="C1057" s="46" t="s">
        <v>280</v>
      </c>
      <c r="F1057" s="366" t="s">
        <v>1160</v>
      </c>
      <c r="G1057" s="46" t="s">
        <v>18</v>
      </c>
      <c r="H1057" s="46">
        <v>5</v>
      </c>
      <c r="I1057" s="51">
        <v>5367.65</v>
      </c>
      <c r="J1057" s="281">
        <f>++Tabla4[[#This Row],[Precio Bruto]]*1.16</f>
        <v>6226.4739999999993</v>
      </c>
      <c r="K1057" s="281">
        <f>+Tabla4[[#This Row],[Precio Unitario Neto]]*Tabla4[[#Headers],[20.85%]]</f>
        <v>1298.2198289999999</v>
      </c>
      <c r="L1057" s="282">
        <f>++Tabla4[[#This Row],[Precio Unitario Neto]]-Tabla4[[#This Row],[20.85%]]</f>
        <v>4928.2541709999996</v>
      </c>
      <c r="M1057" s="282" t="e">
        <f>(INDEX(Tabla6[#All],MATCH(Tabla4[[#This Row],[Producto]],Tabla6[[#All],[PRODUCTO]],0),MATCH(Tabla4[[#This Row],[Mes]],Tabla6[#Headers],0)))*(1+Catalogos!$L$2)</f>
        <v>#N/A</v>
      </c>
      <c r="N1057" s="283" t="e">
        <f>+(Tabla4[[#This Row],[Precio Descontado]]-Tabla4[[#This Row],[Precio Base]])*Tabla4[[#This Row],[Cantidad]]</f>
        <v>#N/A</v>
      </c>
      <c r="O1057" s="284" t="e">
        <f>++Tabla4[[#This Row],[Utilidad Total]]/Tabla4[[#This Row],[Total]]</f>
        <v>#N/A</v>
      </c>
      <c r="P1057" s="282">
        <f>++Tabla4[[#This Row],[Precio Descontado]]*Tabla4[[#This Row],[Cantidad]]</f>
        <v>24641.270854999999</v>
      </c>
      <c r="Q1057" s="282" t="e">
        <f>(INDEX(Tabla6[#All],MATCH(Tabla4[[#This Row],[Producto]],Tabla6[[#All],[PRODUCTO]],0),MATCH(Tabla4[[#This Row],[Mes]],Tabla6[#Headers],0)))</f>
        <v>#N/A</v>
      </c>
      <c r="R1057" s="282" t="e">
        <f>++Tabla4[[#This Row],[Precio Unitario Neto]]-Tabla4[[#This Row],[20.85%]]-Tabla4[[#This Row],[Costo]]</f>
        <v>#N/A</v>
      </c>
      <c r="S1057" s="282" t="e">
        <f>++Tabla4[[#This Row],[U. Bruta Uni]]*Tabla4[[#This Row],[Cantidad]]</f>
        <v>#N/A</v>
      </c>
      <c r="T1057" s="369" t="str">
        <f>VLOOKUP(Tabla4[[#This Row],[Producto]],Tabla6[#All],14,FALSE)</f>
        <v>Termico Solar</v>
      </c>
      <c r="U1057" s="284" t="e">
        <f>(IF(Tabla4[[#This Row],[Familia]]="termico solar",Tabla4[[#This Row],[Utilidad Total]]*6%,Tabla4[[#This Row],[Utilidad Total]]*11.5%))/Tabla4[[#This Row],[Total]]</f>
        <v>#N/A</v>
      </c>
      <c r="V1057" s="282" t="e">
        <f>+Tabla4[[#This Row],[Comisión Calculada]]*Tabla4[[#This Row],[Total]]</f>
        <v>#N/A</v>
      </c>
    </row>
    <row r="1058" spans="1:22" hidden="1" x14ac:dyDescent="0.25">
      <c r="A1058" s="100">
        <v>45731</v>
      </c>
      <c r="B1058" t="str">
        <f t="shared" si="41"/>
        <v>March</v>
      </c>
      <c r="C1058" s="46" t="s">
        <v>280</v>
      </c>
      <c r="F1058" s="366" t="s">
        <v>1160</v>
      </c>
      <c r="G1058" s="46" t="s">
        <v>566</v>
      </c>
      <c r="H1058" s="46">
        <v>1</v>
      </c>
      <c r="I1058" s="51">
        <v>2109.4499999999998</v>
      </c>
      <c r="J1058" s="281">
        <f>++Tabla4[[#This Row],[Precio Bruto]]*1.16</f>
        <v>2446.9619999999995</v>
      </c>
      <c r="K1058" s="281">
        <f>+Tabla4[[#This Row],[Precio Unitario Neto]]*Tabla4[[#Headers],[20.85%]]</f>
        <v>510.19157699999988</v>
      </c>
      <c r="L1058" s="282">
        <f>++Tabla4[[#This Row],[Precio Unitario Neto]]-Tabla4[[#This Row],[20.85%]]</f>
        <v>1936.7704229999997</v>
      </c>
      <c r="M1058" s="282" t="e">
        <f>(INDEX(Tabla6[#All],MATCH(Tabla4[[#This Row],[Producto]],Tabla6[[#All],[PRODUCTO]],0),MATCH(Tabla4[[#This Row],[Mes]],Tabla6[#Headers],0)))*(1+Catalogos!$L$2)</f>
        <v>#N/A</v>
      </c>
      <c r="N1058" s="283" t="e">
        <f>+(Tabla4[[#This Row],[Precio Descontado]]-Tabla4[[#This Row],[Precio Base]])*Tabla4[[#This Row],[Cantidad]]</f>
        <v>#N/A</v>
      </c>
      <c r="O1058" s="284" t="e">
        <f>++Tabla4[[#This Row],[Utilidad Total]]/Tabla4[[#This Row],[Total]]</f>
        <v>#N/A</v>
      </c>
      <c r="P1058" s="282">
        <f>++Tabla4[[#This Row],[Precio Descontado]]*Tabla4[[#This Row],[Cantidad]]</f>
        <v>1936.7704229999997</v>
      </c>
      <c r="Q1058" s="282" t="e">
        <f>(INDEX(Tabla6[#All],MATCH(Tabla4[[#This Row],[Producto]],Tabla6[[#All],[PRODUCTO]],0),MATCH(Tabla4[[#This Row],[Mes]],Tabla6[#Headers],0)))</f>
        <v>#N/A</v>
      </c>
      <c r="R1058" s="282" t="e">
        <f>++Tabla4[[#This Row],[Precio Unitario Neto]]-Tabla4[[#This Row],[20.85%]]-Tabla4[[#This Row],[Costo]]</f>
        <v>#N/A</v>
      </c>
      <c r="S1058" s="282" t="e">
        <f>++Tabla4[[#This Row],[U. Bruta Uni]]*Tabla4[[#This Row],[Cantidad]]</f>
        <v>#N/A</v>
      </c>
      <c r="T1058" s="369" t="str">
        <f>VLOOKUP(Tabla4[[#This Row],[Producto]],Tabla6[#All],14,FALSE)</f>
        <v>Termico Solar</v>
      </c>
      <c r="U1058" s="284" t="e">
        <f>(IF(Tabla4[[#This Row],[Familia]]="termico solar",Tabla4[[#This Row],[Utilidad Total]]*6%,Tabla4[[#This Row],[Utilidad Total]]*11.5%))/Tabla4[[#This Row],[Total]]</f>
        <v>#N/A</v>
      </c>
      <c r="V1058" s="282" t="e">
        <f>+Tabla4[[#This Row],[Comisión Calculada]]*Tabla4[[#This Row],[Total]]</f>
        <v>#N/A</v>
      </c>
    </row>
    <row r="1059" spans="1:22" hidden="1" x14ac:dyDescent="0.25">
      <c r="A1059" s="100">
        <v>45731</v>
      </c>
      <c r="B1059" t="str">
        <f t="shared" si="41"/>
        <v>March</v>
      </c>
      <c r="C1059" s="46" t="s">
        <v>280</v>
      </c>
      <c r="F1059" s="366" t="s">
        <v>1160</v>
      </c>
      <c r="G1059" s="46" t="s">
        <v>16</v>
      </c>
      <c r="H1059" s="46">
        <v>2</v>
      </c>
      <c r="I1059" s="51">
        <v>4103.8500000000004</v>
      </c>
      <c r="J1059" s="281">
        <f>++Tabla4[[#This Row],[Precio Bruto]]*1.16</f>
        <v>4760.4660000000003</v>
      </c>
      <c r="K1059" s="281">
        <f>+Tabla4[[#This Row],[Precio Unitario Neto]]*Tabla4[[#Headers],[20.85%]]</f>
        <v>992.55716100000006</v>
      </c>
      <c r="L1059" s="282">
        <f>++Tabla4[[#This Row],[Precio Unitario Neto]]-Tabla4[[#This Row],[20.85%]]</f>
        <v>3767.9088390000002</v>
      </c>
      <c r="M1059" s="282" t="e">
        <f>(INDEX(Tabla6[#All],MATCH(Tabla4[[#This Row],[Producto]],Tabla6[[#All],[PRODUCTO]],0),MATCH(Tabla4[[#This Row],[Mes]],Tabla6[#Headers],0)))*(1+Catalogos!$L$2)</f>
        <v>#N/A</v>
      </c>
      <c r="N1059" s="283" t="e">
        <f>+(Tabla4[[#This Row],[Precio Descontado]]-Tabla4[[#This Row],[Precio Base]])*Tabla4[[#This Row],[Cantidad]]</f>
        <v>#N/A</v>
      </c>
      <c r="O1059" s="284" t="e">
        <f>++Tabla4[[#This Row],[Utilidad Total]]/Tabla4[[#This Row],[Total]]</f>
        <v>#N/A</v>
      </c>
      <c r="P1059" s="282">
        <f>++Tabla4[[#This Row],[Precio Descontado]]*Tabla4[[#This Row],[Cantidad]]</f>
        <v>7535.8176780000003</v>
      </c>
      <c r="Q1059" s="282" t="e">
        <f>(INDEX(Tabla6[#All],MATCH(Tabla4[[#This Row],[Producto]],Tabla6[[#All],[PRODUCTO]],0),MATCH(Tabla4[[#This Row],[Mes]],Tabla6[#Headers],0)))</f>
        <v>#N/A</v>
      </c>
      <c r="R1059" s="282" t="e">
        <f>++Tabla4[[#This Row],[Precio Unitario Neto]]-Tabla4[[#This Row],[20.85%]]-Tabla4[[#This Row],[Costo]]</f>
        <v>#N/A</v>
      </c>
      <c r="S1059" s="282" t="e">
        <f>++Tabla4[[#This Row],[U. Bruta Uni]]*Tabla4[[#This Row],[Cantidad]]</f>
        <v>#N/A</v>
      </c>
      <c r="T1059" s="369" t="str">
        <f>VLOOKUP(Tabla4[[#This Row],[Producto]],Tabla6[#All],14,FALSE)</f>
        <v>Termico Solar</v>
      </c>
      <c r="U1059" s="284" t="e">
        <f>(IF(Tabla4[[#This Row],[Familia]]="termico solar",Tabla4[[#This Row],[Utilidad Total]]*6%,Tabla4[[#This Row],[Utilidad Total]]*11.5%))/Tabla4[[#This Row],[Total]]</f>
        <v>#N/A</v>
      </c>
      <c r="V1059" s="282" t="e">
        <f>+Tabla4[[#This Row],[Comisión Calculada]]*Tabla4[[#This Row],[Total]]</f>
        <v>#N/A</v>
      </c>
    </row>
    <row r="1060" spans="1:22" hidden="1" x14ac:dyDescent="0.25">
      <c r="A1060" s="100">
        <v>45731</v>
      </c>
      <c r="B1060" t="str">
        <f t="shared" si="41"/>
        <v>March</v>
      </c>
      <c r="C1060" s="46" t="s">
        <v>280</v>
      </c>
      <c r="F1060" s="366" t="s">
        <v>1161</v>
      </c>
      <c r="G1060" s="46" t="s">
        <v>83</v>
      </c>
      <c r="H1060" s="46">
        <v>4</v>
      </c>
      <c r="I1060" s="51">
        <v>8858.76</v>
      </c>
      <c r="J1060" s="281">
        <f>++Tabla4[[#This Row],[Precio Bruto]]*1.16</f>
        <v>10276.161599999999</v>
      </c>
      <c r="K1060" s="281">
        <f>+Tabla4[[#This Row],[Precio Unitario Neto]]*Tabla4[[#Headers],[20.85%]]</f>
        <v>2142.5796935999997</v>
      </c>
      <c r="L1060" s="282">
        <f>++Tabla4[[#This Row],[Precio Unitario Neto]]-Tabla4[[#This Row],[20.85%]]</f>
        <v>8133.5819063999998</v>
      </c>
      <c r="M1060" s="282" t="e">
        <f>(INDEX(Tabla6[#All],MATCH(Tabla4[[#This Row],[Producto]],Tabla6[[#All],[PRODUCTO]],0),MATCH(Tabla4[[#This Row],[Mes]],Tabla6[#Headers],0)))*(1+Catalogos!$L$2)</f>
        <v>#N/A</v>
      </c>
      <c r="N1060" s="283" t="e">
        <f>+(Tabla4[[#This Row],[Precio Descontado]]-Tabla4[[#This Row],[Precio Base]])*Tabla4[[#This Row],[Cantidad]]</f>
        <v>#N/A</v>
      </c>
      <c r="O1060" s="284" t="e">
        <f>++Tabla4[[#This Row],[Utilidad Total]]/Tabla4[[#This Row],[Total]]</f>
        <v>#N/A</v>
      </c>
      <c r="P1060" s="282">
        <f>++Tabla4[[#This Row],[Precio Descontado]]*Tabla4[[#This Row],[Cantidad]]</f>
        <v>32534.327625599999</v>
      </c>
      <c r="Q1060" s="282" t="e">
        <f>(INDEX(Tabla6[#All],MATCH(Tabla4[[#This Row],[Producto]],Tabla6[[#All],[PRODUCTO]],0),MATCH(Tabla4[[#This Row],[Mes]],Tabla6[#Headers],0)))</f>
        <v>#N/A</v>
      </c>
      <c r="R1060" s="282" t="e">
        <f>++Tabla4[[#This Row],[Precio Unitario Neto]]-Tabla4[[#This Row],[20.85%]]-Tabla4[[#This Row],[Costo]]</f>
        <v>#N/A</v>
      </c>
      <c r="S1060" s="282" t="e">
        <f>++Tabla4[[#This Row],[U. Bruta Uni]]*Tabla4[[#This Row],[Cantidad]]</f>
        <v>#N/A</v>
      </c>
      <c r="T1060" s="369" t="str">
        <f>VLOOKUP(Tabla4[[#This Row],[Producto]],Tabla6[#All],14,FALSE)</f>
        <v>Termico Solar</v>
      </c>
      <c r="U1060" s="284" t="e">
        <f>(IF(Tabla4[[#This Row],[Familia]]="termico solar",Tabla4[[#This Row],[Utilidad Total]]*6%,Tabla4[[#This Row],[Utilidad Total]]*11.5%))/Tabla4[[#This Row],[Total]]</f>
        <v>#N/A</v>
      </c>
      <c r="V1060" s="282" t="e">
        <f>+Tabla4[[#This Row],[Comisión Calculada]]*Tabla4[[#This Row],[Total]]</f>
        <v>#N/A</v>
      </c>
    </row>
    <row r="1061" spans="1:22" hidden="1" x14ac:dyDescent="0.25">
      <c r="A1061" s="100">
        <v>45731</v>
      </c>
      <c r="B1061" t="str">
        <f t="shared" si="41"/>
        <v>March</v>
      </c>
      <c r="C1061" s="46" t="s">
        <v>280</v>
      </c>
      <c r="F1061" s="366" t="s">
        <v>1161</v>
      </c>
      <c r="G1061" s="46" t="s">
        <v>17</v>
      </c>
      <c r="H1061" s="46">
        <v>1</v>
      </c>
      <c r="I1061" s="51">
        <v>4622.28</v>
      </c>
      <c r="J1061" s="281">
        <f>++Tabla4[[#This Row],[Precio Bruto]]*1.16</f>
        <v>5361.8447999999989</v>
      </c>
      <c r="K1061" s="281">
        <f>+Tabla4[[#This Row],[Precio Unitario Neto]]*Tabla4[[#Headers],[20.85%]]</f>
        <v>1117.9446407999997</v>
      </c>
      <c r="L1061" s="282">
        <f>++Tabla4[[#This Row],[Precio Unitario Neto]]-Tabla4[[#This Row],[20.85%]]</f>
        <v>4243.9001591999995</v>
      </c>
      <c r="M1061" s="282" t="e">
        <f>(INDEX(Tabla6[#All],MATCH(Tabla4[[#This Row],[Producto]],Tabla6[[#All],[PRODUCTO]],0),MATCH(Tabla4[[#This Row],[Mes]],Tabla6[#Headers],0)))*(1+Catalogos!$L$2)</f>
        <v>#N/A</v>
      </c>
      <c r="N1061" s="283" t="e">
        <f>+(Tabla4[[#This Row],[Precio Descontado]]-Tabla4[[#This Row],[Precio Base]])*Tabla4[[#This Row],[Cantidad]]</f>
        <v>#N/A</v>
      </c>
      <c r="O1061" s="284" t="e">
        <f>++Tabla4[[#This Row],[Utilidad Total]]/Tabla4[[#This Row],[Total]]</f>
        <v>#N/A</v>
      </c>
      <c r="P1061" s="282">
        <f>++Tabla4[[#This Row],[Precio Descontado]]*Tabla4[[#This Row],[Cantidad]]</f>
        <v>4243.9001591999995</v>
      </c>
      <c r="Q1061" s="282" t="e">
        <f>(INDEX(Tabla6[#All],MATCH(Tabla4[[#This Row],[Producto]],Tabla6[[#All],[PRODUCTO]],0),MATCH(Tabla4[[#This Row],[Mes]],Tabla6[#Headers],0)))</f>
        <v>#N/A</v>
      </c>
      <c r="R1061" s="282" t="e">
        <f>++Tabla4[[#This Row],[Precio Unitario Neto]]-Tabla4[[#This Row],[20.85%]]-Tabla4[[#This Row],[Costo]]</f>
        <v>#N/A</v>
      </c>
      <c r="S1061" s="282" t="e">
        <f>++Tabla4[[#This Row],[U. Bruta Uni]]*Tabla4[[#This Row],[Cantidad]]</f>
        <v>#N/A</v>
      </c>
      <c r="T1061" s="369" t="str">
        <f>VLOOKUP(Tabla4[[#This Row],[Producto]],Tabla6[#All],14,FALSE)</f>
        <v>Termico Solar</v>
      </c>
      <c r="U1061" s="284" t="e">
        <f>(IF(Tabla4[[#This Row],[Familia]]="termico solar",Tabla4[[#This Row],[Utilidad Total]]*6%,Tabla4[[#This Row],[Utilidad Total]]*11.5%))/Tabla4[[#This Row],[Total]]</f>
        <v>#N/A</v>
      </c>
      <c r="V1061" s="282" t="e">
        <f>+Tabla4[[#This Row],[Comisión Calculada]]*Tabla4[[#This Row],[Total]]</f>
        <v>#N/A</v>
      </c>
    </row>
    <row r="1062" spans="1:22" hidden="1" x14ac:dyDescent="0.25">
      <c r="A1062" s="100">
        <v>45731</v>
      </c>
      <c r="B1062" t="str">
        <f t="shared" ref="B1062:B1068" si="42">TEXT(A1062, "mmmm")</f>
        <v>March</v>
      </c>
      <c r="C1062" s="46" t="s">
        <v>280</v>
      </c>
      <c r="F1062" s="366" t="s">
        <v>1162</v>
      </c>
      <c r="G1062" s="46" t="s">
        <v>17</v>
      </c>
      <c r="H1062" s="46">
        <v>4</v>
      </c>
      <c r="I1062" s="51">
        <v>4622.28</v>
      </c>
      <c r="J1062" s="281">
        <f>++Tabla4[[#This Row],[Precio Bruto]]*1.16</f>
        <v>5361.8447999999989</v>
      </c>
      <c r="K1062" s="281">
        <f>+Tabla4[[#This Row],[Precio Unitario Neto]]*Tabla4[[#Headers],[20.85%]]</f>
        <v>1117.9446407999997</v>
      </c>
      <c r="L1062" s="282">
        <f>++Tabla4[[#This Row],[Precio Unitario Neto]]-Tabla4[[#This Row],[20.85%]]</f>
        <v>4243.9001591999995</v>
      </c>
      <c r="M1062" s="282" t="e">
        <f>(INDEX(Tabla6[#All],MATCH(Tabla4[[#This Row],[Producto]],Tabla6[[#All],[PRODUCTO]],0),MATCH(Tabla4[[#This Row],[Mes]],Tabla6[#Headers],0)))*(1+Catalogos!$L$2)</f>
        <v>#N/A</v>
      </c>
      <c r="N1062" s="283" t="e">
        <f>+(Tabla4[[#This Row],[Precio Descontado]]-Tabla4[[#This Row],[Precio Base]])*Tabla4[[#This Row],[Cantidad]]</f>
        <v>#N/A</v>
      </c>
      <c r="O1062" s="284" t="e">
        <f>++Tabla4[[#This Row],[Utilidad Total]]/Tabla4[[#This Row],[Total]]</f>
        <v>#N/A</v>
      </c>
      <c r="P1062" s="282">
        <f>++Tabla4[[#This Row],[Precio Descontado]]*Tabla4[[#This Row],[Cantidad]]</f>
        <v>16975.600636799998</v>
      </c>
      <c r="Q1062" s="282" t="e">
        <f>(INDEX(Tabla6[#All],MATCH(Tabla4[[#This Row],[Producto]],Tabla6[[#All],[PRODUCTO]],0),MATCH(Tabla4[[#This Row],[Mes]],Tabla6[#Headers],0)))</f>
        <v>#N/A</v>
      </c>
      <c r="R1062" s="282" t="e">
        <f>++Tabla4[[#This Row],[Precio Unitario Neto]]-Tabla4[[#This Row],[20.85%]]-Tabla4[[#This Row],[Costo]]</f>
        <v>#N/A</v>
      </c>
      <c r="S1062" s="282" t="e">
        <f>++Tabla4[[#This Row],[U. Bruta Uni]]*Tabla4[[#This Row],[Cantidad]]</f>
        <v>#N/A</v>
      </c>
      <c r="T1062" s="369" t="str">
        <f>VLOOKUP(Tabla4[[#This Row],[Producto]],Tabla6[#All],14,FALSE)</f>
        <v>Termico Solar</v>
      </c>
      <c r="U1062" s="284" t="e">
        <f>(IF(Tabla4[[#This Row],[Familia]]="termico solar",Tabla4[[#This Row],[Utilidad Total]]*6%,Tabla4[[#This Row],[Utilidad Total]]*11.5%))/Tabla4[[#This Row],[Total]]</f>
        <v>#N/A</v>
      </c>
      <c r="V1062" s="282" t="e">
        <f>+Tabla4[[#This Row],[Comisión Calculada]]*Tabla4[[#This Row],[Total]]</f>
        <v>#N/A</v>
      </c>
    </row>
    <row r="1063" spans="1:22" hidden="1" x14ac:dyDescent="0.25">
      <c r="A1063" s="100">
        <v>45731</v>
      </c>
      <c r="B1063" t="str">
        <f t="shared" si="42"/>
        <v>March</v>
      </c>
      <c r="C1063" s="46" t="s">
        <v>280</v>
      </c>
      <c r="F1063" s="366" t="s">
        <v>1162</v>
      </c>
      <c r="G1063" s="46" t="s">
        <v>18</v>
      </c>
      <c r="H1063" s="46">
        <v>3</v>
      </c>
      <c r="I1063" s="51">
        <v>5367.6500000000005</v>
      </c>
      <c r="J1063" s="281">
        <f>++Tabla4[[#This Row],[Precio Bruto]]*1.16</f>
        <v>6226.4740000000002</v>
      </c>
      <c r="K1063" s="281">
        <f>+Tabla4[[#This Row],[Precio Unitario Neto]]*Tabla4[[#Headers],[20.85%]]</f>
        <v>1298.2198289999999</v>
      </c>
      <c r="L1063" s="282">
        <f>++Tabla4[[#This Row],[Precio Unitario Neto]]-Tabla4[[#This Row],[20.85%]]</f>
        <v>4928.2541710000005</v>
      </c>
      <c r="M1063" s="282" t="e">
        <f>(INDEX(Tabla6[#All],MATCH(Tabla4[[#This Row],[Producto]],Tabla6[[#All],[PRODUCTO]],0),MATCH(Tabla4[[#This Row],[Mes]],Tabla6[#Headers],0)))*(1+Catalogos!$L$2)</f>
        <v>#N/A</v>
      </c>
      <c r="N1063" s="283" t="e">
        <f>+(Tabla4[[#This Row],[Precio Descontado]]-Tabla4[[#This Row],[Precio Base]])*Tabla4[[#This Row],[Cantidad]]</f>
        <v>#N/A</v>
      </c>
      <c r="O1063" s="284" t="e">
        <f>++Tabla4[[#This Row],[Utilidad Total]]/Tabla4[[#This Row],[Total]]</f>
        <v>#N/A</v>
      </c>
      <c r="P1063" s="282">
        <f>++Tabla4[[#This Row],[Precio Descontado]]*Tabla4[[#This Row],[Cantidad]]</f>
        <v>14784.762513000001</v>
      </c>
      <c r="Q1063" s="282" t="e">
        <f>(INDEX(Tabla6[#All],MATCH(Tabla4[[#This Row],[Producto]],Tabla6[[#All],[PRODUCTO]],0),MATCH(Tabla4[[#This Row],[Mes]],Tabla6[#Headers],0)))</f>
        <v>#N/A</v>
      </c>
      <c r="R1063" s="282" t="e">
        <f>++Tabla4[[#This Row],[Precio Unitario Neto]]-Tabla4[[#This Row],[20.85%]]-Tabla4[[#This Row],[Costo]]</f>
        <v>#N/A</v>
      </c>
      <c r="S1063" s="282" t="e">
        <f>++Tabla4[[#This Row],[U. Bruta Uni]]*Tabla4[[#This Row],[Cantidad]]</f>
        <v>#N/A</v>
      </c>
      <c r="T1063" s="369" t="str">
        <f>VLOOKUP(Tabla4[[#This Row],[Producto]],Tabla6[#All],14,FALSE)</f>
        <v>Termico Solar</v>
      </c>
      <c r="U1063" s="284" t="e">
        <f>(IF(Tabla4[[#This Row],[Familia]]="termico solar",Tabla4[[#This Row],[Utilidad Total]]*6%,Tabla4[[#This Row],[Utilidad Total]]*11.5%))/Tabla4[[#This Row],[Total]]</f>
        <v>#N/A</v>
      </c>
      <c r="V1063" s="282" t="e">
        <f>+Tabla4[[#This Row],[Comisión Calculada]]*Tabla4[[#This Row],[Total]]</f>
        <v>#N/A</v>
      </c>
    </row>
    <row r="1064" spans="1:22" hidden="1" x14ac:dyDescent="0.25">
      <c r="A1064" s="100">
        <v>45731</v>
      </c>
      <c r="B1064" t="str">
        <f t="shared" si="42"/>
        <v>March</v>
      </c>
      <c r="C1064" s="46" t="s">
        <v>280</v>
      </c>
      <c r="F1064" s="366" t="s">
        <v>1162</v>
      </c>
      <c r="G1064" s="46" t="s">
        <v>566</v>
      </c>
      <c r="H1064" s="46">
        <v>1</v>
      </c>
      <c r="I1064" s="51">
        <v>2109.4499999999998</v>
      </c>
      <c r="J1064" s="281">
        <f>++Tabla4[[#This Row],[Precio Bruto]]*1.16</f>
        <v>2446.9619999999995</v>
      </c>
      <c r="K1064" s="281">
        <f>+Tabla4[[#This Row],[Precio Unitario Neto]]*Tabla4[[#Headers],[20.85%]]</f>
        <v>510.19157699999988</v>
      </c>
      <c r="L1064" s="282">
        <f>++Tabla4[[#This Row],[Precio Unitario Neto]]-Tabla4[[#This Row],[20.85%]]</f>
        <v>1936.7704229999997</v>
      </c>
      <c r="M1064" s="282" t="e">
        <f>(INDEX(Tabla6[#All],MATCH(Tabla4[[#This Row],[Producto]],Tabla6[[#All],[PRODUCTO]],0),MATCH(Tabla4[[#This Row],[Mes]],Tabla6[#Headers],0)))*(1+Catalogos!$L$2)</f>
        <v>#N/A</v>
      </c>
      <c r="N1064" s="283" t="e">
        <f>+(Tabla4[[#This Row],[Precio Descontado]]-Tabla4[[#This Row],[Precio Base]])*Tabla4[[#This Row],[Cantidad]]</f>
        <v>#N/A</v>
      </c>
      <c r="O1064" s="284" t="e">
        <f>++Tabla4[[#This Row],[Utilidad Total]]/Tabla4[[#This Row],[Total]]</f>
        <v>#N/A</v>
      </c>
      <c r="P1064" s="282">
        <f>++Tabla4[[#This Row],[Precio Descontado]]*Tabla4[[#This Row],[Cantidad]]</f>
        <v>1936.7704229999997</v>
      </c>
      <c r="Q1064" s="282" t="e">
        <f>(INDEX(Tabla6[#All],MATCH(Tabla4[[#This Row],[Producto]],Tabla6[[#All],[PRODUCTO]],0),MATCH(Tabla4[[#This Row],[Mes]],Tabla6[#Headers],0)))</f>
        <v>#N/A</v>
      </c>
      <c r="R1064" s="282" t="e">
        <f>++Tabla4[[#This Row],[Precio Unitario Neto]]-Tabla4[[#This Row],[20.85%]]-Tabla4[[#This Row],[Costo]]</f>
        <v>#N/A</v>
      </c>
      <c r="S1064" s="282" t="e">
        <f>++Tabla4[[#This Row],[U. Bruta Uni]]*Tabla4[[#This Row],[Cantidad]]</f>
        <v>#N/A</v>
      </c>
      <c r="T1064" s="369" t="str">
        <f>VLOOKUP(Tabla4[[#This Row],[Producto]],Tabla6[#All],14,FALSE)</f>
        <v>Termico Solar</v>
      </c>
      <c r="U1064" s="284" t="e">
        <f>(IF(Tabla4[[#This Row],[Familia]]="termico solar",Tabla4[[#This Row],[Utilidad Total]]*6%,Tabla4[[#This Row],[Utilidad Total]]*11.5%))/Tabla4[[#This Row],[Total]]</f>
        <v>#N/A</v>
      </c>
      <c r="V1064" s="282" t="e">
        <f>+Tabla4[[#This Row],[Comisión Calculada]]*Tabla4[[#This Row],[Total]]</f>
        <v>#N/A</v>
      </c>
    </row>
    <row r="1065" spans="1:22" hidden="1" x14ac:dyDescent="0.25">
      <c r="A1065" s="100">
        <v>45731</v>
      </c>
      <c r="B1065" t="str">
        <f t="shared" si="42"/>
        <v>March</v>
      </c>
      <c r="C1065" s="46" t="s">
        <v>280</v>
      </c>
      <c r="F1065" s="366" t="s">
        <v>1163</v>
      </c>
      <c r="G1065" s="46" t="s">
        <v>83</v>
      </c>
      <c r="H1065" s="46">
        <v>3</v>
      </c>
      <c r="I1065" s="51">
        <v>8858.76</v>
      </c>
      <c r="J1065" s="281">
        <f>++Tabla4[[#This Row],[Precio Bruto]]*1.16</f>
        <v>10276.161599999999</v>
      </c>
      <c r="K1065" s="281">
        <f>+Tabla4[[#This Row],[Precio Unitario Neto]]*Tabla4[[#Headers],[20.85%]]</f>
        <v>2142.5796935999997</v>
      </c>
      <c r="L1065" s="282">
        <f>++Tabla4[[#This Row],[Precio Unitario Neto]]-Tabla4[[#This Row],[20.85%]]</f>
        <v>8133.5819063999998</v>
      </c>
      <c r="M1065" s="282" t="e">
        <f>(INDEX(Tabla6[#All],MATCH(Tabla4[[#This Row],[Producto]],Tabla6[[#All],[PRODUCTO]],0),MATCH(Tabla4[[#This Row],[Mes]],Tabla6[#Headers],0)))*(1+Catalogos!$L$2)</f>
        <v>#N/A</v>
      </c>
      <c r="N1065" s="283" t="e">
        <f>+(Tabla4[[#This Row],[Precio Descontado]]-Tabla4[[#This Row],[Precio Base]])*Tabla4[[#This Row],[Cantidad]]</f>
        <v>#N/A</v>
      </c>
      <c r="O1065" s="284" t="e">
        <f>++Tabla4[[#This Row],[Utilidad Total]]/Tabla4[[#This Row],[Total]]</f>
        <v>#N/A</v>
      </c>
      <c r="P1065" s="282">
        <f>++Tabla4[[#This Row],[Precio Descontado]]*Tabla4[[#This Row],[Cantidad]]</f>
        <v>24400.7457192</v>
      </c>
      <c r="Q1065" s="282" t="e">
        <f>(INDEX(Tabla6[#All],MATCH(Tabla4[[#This Row],[Producto]],Tabla6[[#All],[PRODUCTO]],0),MATCH(Tabla4[[#This Row],[Mes]],Tabla6[#Headers],0)))</f>
        <v>#N/A</v>
      </c>
      <c r="R1065" s="282" t="e">
        <f>++Tabla4[[#This Row],[Precio Unitario Neto]]-Tabla4[[#This Row],[20.85%]]-Tabla4[[#This Row],[Costo]]</f>
        <v>#N/A</v>
      </c>
      <c r="S1065" s="282" t="e">
        <f>++Tabla4[[#This Row],[U. Bruta Uni]]*Tabla4[[#This Row],[Cantidad]]</f>
        <v>#N/A</v>
      </c>
      <c r="T1065" s="369" t="str">
        <f>VLOOKUP(Tabla4[[#This Row],[Producto]],Tabla6[#All],14,FALSE)</f>
        <v>Termico Solar</v>
      </c>
      <c r="U1065" s="284" t="e">
        <f>(IF(Tabla4[[#This Row],[Familia]]="termico solar",Tabla4[[#This Row],[Utilidad Total]]*6%,Tabla4[[#This Row],[Utilidad Total]]*11.5%))/Tabla4[[#This Row],[Total]]</f>
        <v>#N/A</v>
      </c>
      <c r="V1065" s="282" t="e">
        <f>+Tabla4[[#This Row],[Comisión Calculada]]*Tabla4[[#This Row],[Total]]</f>
        <v>#N/A</v>
      </c>
    </row>
    <row r="1066" spans="1:22" hidden="1" x14ac:dyDescent="0.25">
      <c r="A1066" s="100">
        <v>45731</v>
      </c>
      <c r="B1066" t="str">
        <f t="shared" si="42"/>
        <v>March</v>
      </c>
      <c r="C1066" s="46" t="s">
        <v>280</v>
      </c>
      <c r="F1066" s="366" t="s">
        <v>1163</v>
      </c>
      <c r="G1066" s="46" t="s">
        <v>17</v>
      </c>
      <c r="H1066" s="46">
        <v>18</v>
      </c>
      <c r="I1066" s="51">
        <v>4622.28</v>
      </c>
      <c r="J1066" s="281">
        <f>++Tabla4[[#This Row],[Precio Bruto]]*1.16</f>
        <v>5361.8447999999989</v>
      </c>
      <c r="K1066" s="281">
        <f>+Tabla4[[#This Row],[Precio Unitario Neto]]*Tabla4[[#Headers],[20.85%]]</f>
        <v>1117.9446407999997</v>
      </c>
      <c r="L1066" s="282">
        <f>++Tabla4[[#This Row],[Precio Unitario Neto]]-Tabla4[[#This Row],[20.85%]]</f>
        <v>4243.9001591999995</v>
      </c>
      <c r="M1066" s="282" t="e">
        <f>(INDEX(Tabla6[#All],MATCH(Tabla4[[#This Row],[Producto]],Tabla6[[#All],[PRODUCTO]],0),MATCH(Tabla4[[#This Row],[Mes]],Tabla6[#Headers],0)))*(1+Catalogos!$L$2)</f>
        <v>#N/A</v>
      </c>
      <c r="N1066" s="283" t="e">
        <f>+(Tabla4[[#This Row],[Precio Descontado]]-Tabla4[[#This Row],[Precio Base]])*Tabla4[[#This Row],[Cantidad]]</f>
        <v>#N/A</v>
      </c>
      <c r="O1066" s="284" t="e">
        <f>++Tabla4[[#This Row],[Utilidad Total]]/Tabla4[[#This Row],[Total]]</f>
        <v>#N/A</v>
      </c>
      <c r="P1066" s="282">
        <f>++Tabla4[[#This Row],[Precio Descontado]]*Tabla4[[#This Row],[Cantidad]]</f>
        <v>76390.202865599989</v>
      </c>
      <c r="Q1066" s="282" t="e">
        <f>(INDEX(Tabla6[#All],MATCH(Tabla4[[#This Row],[Producto]],Tabla6[[#All],[PRODUCTO]],0),MATCH(Tabla4[[#This Row],[Mes]],Tabla6[#Headers],0)))</f>
        <v>#N/A</v>
      </c>
      <c r="R1066" s="282" t="e">
        <f>++Tabla4[[#This Row],[Precio Unitario Neto]]-Tabla4[[#This Row],[20.85%]]-Tabla4[[#This Row],[Costo]]</f>
        <v>#N/A</v>
      </c>
      <c r="S1066" s="282" t="e">
        <f>++Tabla4[[#This Row],[U. Bruta Uni]]*Tabla4[[#This Row],[Cantidad]]</f>
        <v>#N/A</v>
      </c>
      <c r="T1066" s="369" t="str">
        <f>VLOOKUP(Tabla4[[#This Row],[Producto]],Tabla6[#All],14,FALSE)</f>
        <v>Termico Solar</v>
      </c>
      <c r="U1066" s="284" t="e">
        <f>(IF(Tabla4[[#This Row],[Familia]]="termico solar",Tabla4[[#This Row],[Utilidad Total]]*6%,Tabla4[[#This Row],[Utilidad Total]]*11.5%))/Tabla4[[#This Row],[Total]]</f>
        <v>#N/A</v>
      </c>
      <c r="V1066" s="282" t="e">
        <f>+Tabla4[[#This Row],[Comisión Calculada]]*Tabla4[[#This Row],[Total]]</f>
        <v>#N/A</v>
      </c>
    </row>
    <row r="1067" spans="1:22" hidden="1" x14ac:dyDescent="0.25">
      <c r="A1067" s="100">
        <v>45731</v>
      </c>
      <c r="B1067" t="str">
        <f t="shared" si="42"/>
        <v>March</v>
      </c>
      <c r="C1067" s="46" t="s">
        <v>280</v>
      </c>
      <c r="F1067" s="366" t="s">
        <v>1163</v>
      </c>
      <c r="G1067" s="46" t="s">
        <v>18</v>
      </c>
      <c r="H1067" s="46">
        <v>14</v>
      </c>
      <c r="I1067" s="51">
        <v>5367.6500000000005</v>
      </c>
      <c r="J1067" s="281">
        <f>++Tabla4[[#This Row],[Precio Bruto]]*1.16</f>
        <v>6226.4740000000002</v>
      </c>
      <c r="K1067" s="281">
        <f>+Tabla4[[#This Row],[Precio Unitario Neto]]*Tabla4[[#Headers],[20.85%]]</f>
        <v>1298.2198289999999</v>
      </c>
      <c r="L1067" s="282">
        <f>++Tabla4[[#This Row],[Precio Unitario Neto]]-Tabla4[[#This Row],[20.85%]]</f>
        <v>4928.2541710000005</v>
      </c>
      <c r="M1067" s="282" t="e">
        <f>(INDEX(Tabla6[#All],MATCH(Tabla4[[#This Row],[Producto]],Tabla6[[#All],[PRODUCTO]],0),MATCH(Tabla4[[#This Row],[Mes]],Tabla6[#Headers],0)))*(1+Catalogos!$L$2)</f>
        <v>#N/A</v>
      </c>
      <c r="N1067" s="283" t="e">
        <f>+(Tabla4[[#This Row],[Precio Descontado]]-Tabla4[[#This Row],[Precio Base]])*Tabla4[[#This Row],[Cantidad]]</f>
        <v>#N/A</v>
      </c>
      <c r="O1067" s="284" t="e">
        <f>++Tabla4[[#This Row],[Utilidad Total]]/Tabla4[[#This Row],[Total]]</f>
        <v>#N/A</v>
      </c>
      <c r="P1067" s="282">
        <f>++Tabla4[[#This Row],[Precio Descontado]]*Tabla4[[#This Row],[Cantidad]]</f>
        <v>68995.558394000007</v>
      </c>
      <c r="Q1067" s="282" t="e">
        <f>(INDEX(Tabla6[#All],MATCH(Tabla4[[#This Row],[Producto]],Tabla6[[#All],[PRODUCTO]],0),MATCH(Tabla4[[#This Row],[Mes]],Tabla6[#Headers],0)))</f>
        <v>#N/A</v>
      </c>
      <c r="R1067" s="282" t="e">
        <f>++Tabla4[[#This Row],[Precio Unitario Neto]]-Tabla4[[#This Row],[20.85%]]-Tabla4[[#This Row],[Costo]]</f>
        <v>#N/A</v>
      </c>
      <c r="S1067" s="282" t="e">
        <f>++Tabla4[[#This Row],[U. Bruta Uni]]*Tabla4[[#This Row],[Cantidad]]</f>
        <v>#N/A</v>
      </c>
      <c r="T1067" s="369" t="str">
        <f>VLOOKUP(Tabla4[[#This Row],[Producto]],Tabla6[#All],14,FALSE)</f>
        <v>Termico Solar</v>
      </c>
      <c r="U1067" s="284" t="e">
        <f>(IF(Tabla4[[#This Row],[Familia]]="termico solar",Tabla4[[#This Row],[Utilidad Total]]*6%,Tabla4[[#This Row],[Utilidad Total]]*11.5%))/Tabla4[[#This Row],[Total]]</f>
        <v>#N/A</v>
      </c>
      <c r="V1067" s="282" t="e">
        <f>+Tabla4[[#This Row],[Comisión Calculada]]*Tabla4[[#This Row],[Total]]</f>
        <v>#N/A</v>
      </c>
    </row>
    <row r="1068" spans="1:22" hidden="1" x14ac:dyDescent="0.25">
      <c r="A1068" s="100">
        <v>45731</v>
      </c>
      <c r="B1068" t="str">
        <f t="shared" si="42"/>
        <v>March</v>
      </c>
      <c r="C1068" s="46" t="s">
        <v>280</v>
      </c>
      <c r="F1068" s="366" t="s">
        <v>1163</v>
      </c>
      <c r="G1068" s="46" t="s">
        <v>16</v>
      </c>
      <c r="H1068" s="46">
        <v>8</v>
      </c>
      <c r="I1068" s="51">
        <v>4103.8500000000004</v>
      </c>
      <c r="J1068" s="281">
        <f>++Tabla4[[#This Row],[Precio Bruto]]*1.16</f>
        <v>4760.4660000000003</v>
      </c>
      <c r="K1068" s="281">
        <f>+Tabla4[[#This Row],[Precio Unitario Neto]]*Tabla4[[#Headers],[20.85%]]</f>
        <v>992.55716100000006</v>
      </c>
      <c r="L1068" s="282">
        <f>++Tabla4[[#This Row],[Precio Unitario Neto]]-Tabla4[[#This Row],[20.85%]]</f>
        <v>3767.9088390000002</v>
      </c>
      <c r="M1068" s="282" t="e">
        <f>(INDEX(Tabla6[#All],MATCH(Tabla4[[#This Row],[Producto]],Tabla6[[#All],[PRODUCTO]],0),MATCH(Tabla4[[#This Row],[Mes]],Tabla6[#Headers],0)))*(1+Catalogos!$L$2)</f>
        <v>#N/A</v>
      </c>
      <c r="N1068" s="283" t="e">
        <f>+(Tabla4[[#This Row],[Precio Descontado]]-Tabla4[[#This Row],[Precio Base]])*Tabla4[[#This Row],[Cantidad]]</f>
        <v>#N/A</v>
      </c>
      <c r="O1068" s="284" t="e">
        <f>++Tabla4[[#This Row],[Utilidad Total]]/Tabla4[[#This Row],[Total]]</f>
        <v>#N/A</v>
      </c>
      <c r="P1068" s="282">
        <f>++Tabla4[[#This Row],[Precio Descontado]]*Tabla4[[#This Row],[Cantidad]]</f>
        <v>30143.270712000001</v>
      </c>
      <c r="Q1068" s="282" t="e">
        <f>(INDEX(Tabla6[#All],MATCH(Tabla4[[#This Row],[Producto]],Tabla6[[#All],[PRODUCTO]],0),MATCH(Tabla4[[#This Row],[Mes]],Tabla6[#Headers],0)))</f>
        <v>#N/A</v>
      </c>
      <c r="R1068" s="282" t="e">
        <f>++Tabla4[[#This Row],[Precio Unitario Neto]]-Tabla4[[#This Row],[20.85%]]-Tabla4[[#This Row],[Costo]]</f>
        <v>#N/A</v>
      </c>
      <c r="S1068" s="282" t="e">
        <f>++Tabla4[[#This Row],[U. Bruta Uni]]*Tabla4[[#This Row],[Cantidad]]</f>
        <v>#N/A</v>
      </c>
      <c r="T1068" s="369" t="str">
        <f>VLOOKUP(Tabla4[[#This Row],[Producto]],Tabla6[#All],14,FALSE)</f>
        <v>Termico Solar</v>
      </c>
      <c r="U1068" s="284" t="e">
        <f>(IF(Tabla4[[#This Row],[Familia]]="termico solar",Tabla4[[#This Row],[Utilidad Total]]*6%,Tabla4[[#This Row],[Utilidad Total]]*11.5%))/Tabla4[[#This Row],[Total]]</f>
        <v>#N/A</v>
      </c>
      <c r="V1068" s="282" t="e">
        <f>+Tabla4[[#This Row],[Comisión Calculada]]*Tabla4[[#This Row],[Total]]</f>
        <v>#N/A</v>
      </c>
    </row>
    <row r="1069" spans="1:22" hidden="1" x14ac:dyDescent="0.25">
      <c r="A1069" s="100">
        <v>45731</v>
      </c>
      <c r="B1069" t="str">
        <f t="shared" ref="B1069:B1075" si="43">TEXT(A1069, "mmmm")</f>
        <v>March</v>
      </c>
      <c r="C1069" s="46" t="s">
        <v>280</v>
      </c>
      <c r="F1069" s="366" t="s">
        <v>1164</v>
      </c>
      <c r="G1069" s="46" t="s">
        <v>83</v>
      </c>
      <c r="H1069" s="46">
        <v>3</v>
      </c>
      <c r="I1069" s="51">
        <v>8858.76</v>
      </c>
      <c r="J1069" s="281">
        <f>++Tabla4[[#This Row],[Precio Bruto]]*1.16</f>
        <v>10276.161599999999</v>
      </c>
      <c r="K1069" s="281">
        <f>+Tabla4[[#This Row],[Precio Unitario Neto]]*Tabla4[[#Headers],[20.85%]]</f>
        <v>2142.5796935999997</v>
      </c>
      <c r="L1069" s="282">
        <f>++Tabla4[[#This Row],[Precio Unitario Neto]]-Tabla4[[#This Row],[20.85%]]</f>
        <v>8133.5819063999998</v>
      </c>
      <c r="M1069" s="282" t="e">
        <f>(INDEX(Tabla6[#All],MATCH(Tabla4[[#This Row],[Producto]],Tabla6[[#All],[PRODUCTO]],0),MATCH(Tabla4[[#This Row],[Mes]],Tabla6[#Headers],0)))*(1+Catalogos!$L$2)</f>
        <v>#N/A</v>
      </c>
      <c r="N1069" s="283" t="e">
        <f>+(Tabla4[[#This Row],[Precio Descontado]]-Tabla4[[#This Row],[Precio Base]])*Tabla4[[#This Row],[Cantidad]]</f>
        <v>#N/A</v>
      </c>
      <c r="O1069" s="284" t="e">
        <f>++Tabla4[[#This Row],[Utilidad Total]]/Tabla4[[#This Row],[Total]]</f>
        <v>#N/A</v>
      </c>
      <c r="P1069" s="282">
        <f>++Tabla4[[#This Row],[Precio Descontado]]*Tabla4[[#This Row],[Cantidad]]</f>
        <v>24400.7457192</v>
      </c>
      <c r="Q1069" s="282" t="e">
        <f>(INDEX(Tabla6[#All],MATCH(Tabla4[[#This Row],[Producto]],Tabla6[[#All],[PRODUCTO]],0),MATCH(Tabla4[[#This Row],[Mes]],Tabla6[#Headers],0)))</f>
        <v>#N/A</v>
      </c>
      <c r="R1069" s="282" t="e">
        <f>++Tabla4[[#This Row],[Precio Unitario Neto]]-Tabla4[[#This Row],[20.85%]]-Tabla4[[#This Row],[Costo]]</f>
        <v>#N/A</v>
      </c>
      <c r="S1069" s="282" t="e">
        <f>++Tabla4[[#This Row],[U. Bruta Uni]]*Tabla4[[#This Row],[Cantidad]]</f>
        <v>#N/A</v>
      </c>
      <c r="T1069" s="369" t="str">
        <f>VLOOKUP(Tabla4[[#This Row],[Producto]],Tabla6[#All],14,FALSE)</f>
        <v>Termico Solar</v>
      </c>
      <c r="U1069" s="284" t="e">
        <f>(IF(Tabla4[[#This Row],[Familia]]="termico solar",Tabla4[[#This Row],[Utilidad Total]]*6%,Tabla4[[#This Row],[Utilidad Total]]*11.5%))/Tabla4[[#This Row],[Total]]</f>
        <v>#N/A</v>
      </c>
      <c r="V1069" s="282" t="e">
        <f>+Tabla4[[#This Row],[Comisión Calculada]]*Tabla4[[#This Row],[Total]]</f>
        <v>#N/A</v>
      </c>
    </row>
    <row r="1070" spans="1:22" hidden="1" x14ac:dyDescent="0.25">
      <c r="A1070" s="100">
        <v>45731</v>
      </c>
      <c r="B1070" t="str">
        <f t="shared" si="43"/>
        <v>March</v>
      </c>
      <c r="C1070" s="46" t="s">
        <v>280</v>
      </c>
      <c r="F1070" s="366" t="s">
        <v>1164</v>
      </c>
      <c r="G1070" s="46" t="s">
        <v>17</v>
      </c>
      <c r="H1070" s="46">
        <v>6</v>
      </c>
      <c r="I1070" s="51">
        <v>4622.28</v>
      </c>
      <c r="J1070" s="281">
        <f>++Tabla4[[#This Row],[Precio Bruto]]*1.16</f>
        <v>5361.8447999999989</v>
      </c>
      <c r="K1070" s="281">
        <f>+Tabla4[[#This Row],[Precio Unitario Neto]]*Tabla4[[#Headers],[20.85%]]</f>
        <v>1117.9446407999997</v>
      </c>
      <c r="L1070" s="282">
        <f>++Tabla4[[#This Row],[Precio Unitario Neto]]-Tabla4[[#This Row],[20.85%]]</f>
        <v>4243.9001591999995</v>
      </c>
      <c r="M1070" s="282" t="e">
        <f>(INDEX(Tabla6[#All],MATCH(Tabla4[[#This Row],[Producto]],Tabla6[[#All],[PRODUCTO]],0),MATCH(Tabla4[[#This Row],[Mes]],Tabla6[#Headers],0)))*(1+Catalogos!$L$2)</f>
        <v>#N/A</v>
      </c>
      <c r="N1070" s="283" t="e">
        <f>+(Tabla4[[#This Row],[Precio Descontado]]-Tabla4[[#This Row],[Precio Base]])*Tabla4[[#This Row],[Cantidad]]</f>
        <v>#N/A</v>
      </c>
      <c r="O1070" s="284" t="e">
        <f>++Tabla4[[#This Row],[Utilidad Total]]/Tabla4[[#This Row],[Total]]</f>
        <v>#N/A</v>
      </c>
      <c r="P1070" s="282">
        <f>++Tabla4[[#This Row],[Precio Descontado]]*Tabla4[[#This Row],[Cantidad]]</f>
        <v>25463.400955199999</v>
      </c>
      <c r="Q1070" s="282" t="e">
        <f>(INDEX(Tabla6[#All],MATCH(Tabla4[[#This Row],[Producto]],Tabla6[[#All],[PRODUCTO]],0),MATCH(Tabla4[[#This Row],[Mes]],Tabla6[#Headers],0)))</f>
        <v>#N/A</v>
      </c>
      <c r="R1070" s="282" t="e">
        <f>++Tabla4[[#This Row],[Precio Unitario Neto]]-Tabla4[[#This Row],[20.85%]]-Tabla4[[#This Row],[Costo]]</f>
        <v>#N/A</v>
      </c>
      <c r="S1070" s="282" t="e">
        <f>++Tabla4[[#This Row],[U. Bruta Uni]]*Tabla4[[#This Row],[Cantidad]]</f>
        <v>#N/A</v>
      </c>
      <c r="T1070" s="369" t="str">
        <f>VLOOKUP(Tabla4[[#This Row],[Producto]],Tabla6[#All],14,FALSE)</f>
        <v>Termico Solar</v>
      </c>
      <c r="U1070" s="284" t="e">
        <f>(IF(Tabla4[[#This Row],[Familia]]="termico solar",Tabla4[[#This Row],[Utilidad Total]]*6%,Tabla4[[#This Row],[Utilidad Total]]*11.5%))/Tabla4[[#This Row],[Total]]</f>
        <v>#N/A</v>
      </c>
      <c r="V1070" s="282" t="e">
        <f>+Tabla4[[#This Row],[Comisión Calculada]]*Tabla4[[#This Row],[Total]]</f>
        <v>#N/A</v>
      </c>
    </row>
    <row r="1071" spans="1:22" hidden="1" x14ac:dyDescent="0.25">
      <c r="A1071" s="100">
        <v>45731</v>
      </c>
      <c r="B1071" t="str">
        <f t="shared" si="43"/>
        <v>March</v>
      </c>
      <c r="C1071" s="46" t="s">
        <v>280</v>
      </c>
      <c r="F1071" s="366" t="s">
        <v>1164</v>
      </c>
      <c r="G1071" s="46" t="s">
        <v>18</v>
      </c>
      <c r="H1071" s="46">
        <v>1</v>
      </c>
      <c r="I1071" s="51">
        <v>5367.65</v>
      </c>
      <c r="J1071" s="281">
        <f>++Tabla4[[#This Row],[Precio Bruto]]*1.16</f>
        <v>6226.4739999999993</v>
      </c>
      <c r="K1071" s="281">
        <f>+Tabla4[[#This Row],[Precio Unitario Neto]]*Tabla4[[#Headers],[20.85%]]</f>
        <v>1298.2198289999999</v>
      </c>
      <c r="L1071" s="282">
        <f>++Tabla4[[#This Row],[Precio Unitario Neto]]-Tabla4[[#This Row],[20.85%]]</f>
        <v>4928.2541709999996</v>
      </c>
      <c r="M1071" s="282" t="e">
        <f>(INDEX(Tabla6[#All],MATCH(Tabla4[[#This Row],[Producto]],Tabla6[[#All],[PRODUCTO]],0),MATCH(Tabla4[[#This Row],[Mes]],Tabla6[#Headers],0)))*(1+Catalogos!$L$2)</f>
        <v>#N/A</v>
      </c>
      <c r="N1071" s="283" t="e">
        <f>+(Tabla4[[#This Row],[Precio Descontado]]-Tabla4[[#This Row],[Precio Base]])*Tabla4[[#This Row],[Cantidad]]</f>
        <v>#N/A</v>
      </c>
      <c r="O1071" s="284" t="e">
        <f>++Tabla4[[#This Row],[Utilidad Total]]/Tabla4[[#This Row],[Total]]</f>
        <v>#N/A</v>
      </c>
      <c r="P1071" s="282">
        <f>++Tabla4[[#This Row],[Precio Descontado]]*Tabla4[[#This Row],[Cantidad]]</f>
        <v>4928.2541709999996</v>
      </c>
      <c r="Q1071" s="282" t="e">
        <f>(INDEX(Tabla6[#All],MATCH(Tabla4[[#This Row],[Producto]],Tabla6[[#All],[PRODUCTO]],0),MATCH(Tabla4[[#This Row],[Mes]],Tabla6[#Headers],0)))</f>
        <v>#N/A</v>
      </c>
      <c r="R1071" s="282" t="e">
        <f>++Tabla4[[#This Row],[Precio Unitario Neto]]-Tabla4[[#This Row],[20.85%]]-Tabla4[[#This Row],[Costo]]</f>
        <v>#N/A</v>
      </c>
      <c r="S1071" s="282" t="e">
        <f>++Tabla4[[#This Row],[U. Bruta Uni]]*Tabla4[[#This Row],[Cantidad]]</f>
        <v>#N/A</v>
      </c>
      <c r="T1071" s="369" t="str">
        <f>VLOOKUP(Tabla4[[#This Row],[Producto]],Tabla6[#All],14,FALSE)</f>
        <v>Termico Solar</v>
      </c>
      <c r="U1071" s="284" t="e">
        <f>(IF(Tabla4[[#This Row],[Familia]]="termico solar",Tabla4[[#This Row],[Utilidad Total]]*6%,Tabla4[[#This Row],[Utilidad Total]]*11.5%))/Tabla4[[#This Row],[Total]]</f>
        <v>#N/A</v>
      </c>
      <c r="V1071" s="282" t="e">
        <f>+Tabla4[[#This Row],[Comisión Calculada]]*Tabla4[[#This Row],[Total]]</f>
        <v>#N/A</v>
      </c>
    </row>
    <row r="1072" spans="1:22" hidden="1" x14ac:dyDescent="0.25">
      <c r="A1072" s="100">
        <v>45731</v>
      </c>
      <c r="B1072" t="str">
        <f t="shared" si="43"/>
        <v>March</v>
      </c>
      <c r="C1072" s="46" t="s">
        <v>280</v>
      </c>
      <c r="F1072" s="366" t="s">
        <v>1164</v>
      </c>
      <c r="G1072" s="46" t="s">
        <v>566</v>
      </c>
      <c r="H1072" s="46">
        <v>1</v>
      </c>
      <c r="I1072" s="51">
        <v>2109.4499999999998</v>
      </c>
      <c r="J1072" s="281">
        <f>++Tabla4[[#This Row],[Precio Bruto]]*1.16</f>
        <v>2446.9619999999995</v>
      </c>
      <c r="K1072" s="281">
        <f>+Tabla4[[#This Row],[Precio Unitario Neto]]*Tabla4[[#Headers],[20.85%]]</f>
        <v>510.19157699999988</v>
      </c>
      <c r="L1072" s="282">
        <f>++Tabla4[[#This Row],[Precio Unitario Neto]]-Tabla4[[#This Row],[20.85%]]</f>
        <v>1936.7704229999997</v>
      </c>
      <c r="M1072" s="282" t="e">
        <f>(INDEX(Tabla6[#All],MATCH(Tabla4[[#This Row],[Producto]],Tabla6[[#All],[PRODUCTO]],0),MATCH(Tabla4[[#This Row],[Mes]],Tabla6[#Headers],0)))*(1+Catalogos!$L$2)</f>
        <v>#N/A</v>
      </c>
      <c r="N1072" s="283" t="e">
        <f>+(Tabla4[[#This Row],[Precio Descontado]]-Tabla4[[#This Row],[Precio Base]])*Tabla4[[#This Row],[Cantidad]]</f>
        <v>#N/A</v>
      </c>
      <c r="O1072" s="284" t="e">
        <f>++Tabla4[[#This Row],[Utilidad Total]]/Tabla4[[#This Row],[Total]]</f>
        <v>#N/A</v>
      </c>
      <c r="P1072" s="282">
        <f>++Tabla4[[#This Row],[Precio Descontado]]*Tabla4[[#This Row],[Cantidad]]</f>
        <v>1936.7704229999997</v>
      </c>
      <c r="Q1072" s="282" t="e">
        <f>(INDEX(Tabla6[#All],MATCH(Tabla4[[#This Row],[Producto]],Tabla6[[#All],[PRODUCTO]],0),MATCH(Tabla4[[#This Row],[Mes]],Tabla6[#Headers],0)))</f>
        <v>#N/A</v>
      </c>
      <c r="R1072" s="282" t="e">
        <f>++Tabla4[[#This Row],[Precio Unitario Neto]]-Tabla4[[#This Row],[20.85%]]-Tabla4[[#This Row],[Costo]]</f>
        <v>#N/A</v>
      </c>
      <c r="S1072" s="282" t="e">
        <f>++Tabla4[[#This Row],[U. Bruta Uni]]*Tabla4[[#This Row],[Cantidad]]</f>
        <v>#N/A</v>
      </c>
      <c r="T1072" s="369" t="str">
        <f>VLOOKUP(Tabla4[[#This Row],[Producto]],Tabla6[#All],14,FALSE)</f>
        <v>Termico Solar</v>
      </c>
      <c r="U1072" s="284" t="e">
        <f>(IF(Tabla4[[#This Row],[Familia]]="termico solar",Tabla4[[#This Row],[Utilidad Total]]*6%,Tabla4[[#This Row],[Utilidad Total]]*11.5%))/Tabla4[[#This Row],[Total]]</f>
        <v>#N/A</v>
      </c>
      <c r="V1072" s="282" t="e">
        <f>+Tabla4[[#This Row],[Comisión Calculada]]*Tabla4[[#This Row],[Total]]</f>
        <v>#N/A</v>
      </c>
    </row>
    <row r="1073" spans="1:22" hidden="1" x14ac:dyDescent="0.25">
      <c r="A1073" s="100">
        <v>45731</v>
      </c>
      <c r="B1073" t="str">
        <f t="shared" si="43"/>
        <v>March</v>
      </c>
      <c r="C1073" s="46" t="s">
        <v>280</v>
      </c>
      <c r="F1073" s="366" t="s">
        <v>1164</v>
      </c>
      <c r="G1073" s="46" t="s">
        <v>394</v>
      </c>
      <c r="H1073" s="46">
        <v>9</v>
      </c>
      <c r="I1073" s="51">
        <v>108.1</v>
      </c>
      <c r="J1073" s="281">
        <f>++Tabla4[[#This Row],[Precio Bruto]]*1.16</f>
        <v>125.39599999999999</v>
      </c>
      <c r="K1073" s="281">
        <f>+Tabla4[[#This Row],[Precio Unitario Neto]]*Tabla4[[#Headers],[20.85%]]</f>
        <v>26.145065999999996</v>
      </c>
      <c r="L1073" s="282">
        <f>++Tabla4[[#This Row],[Precio Unitario Neto]]-Tabla4[[#This Row],[20.85%]]</f>
        <v>99.250933999999987</v>
      </c>
      <c r="M1073" s="282" t="e">
        <f>(INDEX(Tabla6[#All],MATCH(Tabla4[[#This Row],[Producto]],Tabla6[[#All],[PRODUCTO]],0),MATCH(Tabla4[[#This Row],[Mes]],Tabla6[#Headers],0)))*(1+Catalogos!$L$2)</f>
        <v>#N/A</v>
      </c>
      <c r="N1073" s="283" t="e">
        <f>+(Tabla4[[#This Row],[Precio Descontado]]-Tabla4[[#This Row],[Precio Base]])*Tabla4[[#This Row],[Cantidad]]</f>
        <v>#N/A</v>
      </c>
      <c r="O1073" s="284" t="e">
        <f>++Tabla4[[#This Row],[Utilidad Total]]/Tabla4[[#This Row],[Total]]</f>
        <v>#N/A</v>
      </c>
      <c r="P1073" s="282">
        <f>++Tabla4[[#This Row],[Precio Descontado]]*Tabla4[[#This Row],[Cantidad]]</f>
        <v>893.25840599999992</v>
      </c>
      <c r="Q1073" s="282" t="e">
        <f>(INDEX(Tabla6[#All],MATCH(Tabla4[[#This Row],[Producto]],Tabla6[[#All],[PRODUCTO]],0),MATCH(Tabla4[[#This Row],[Mes]],Tabla6[#Headers],0)))</f>
        <v>#N/A</v>
      </c>
      <c r="R1073" s="282" t="e">
        <f>++Tabla4[[#This Row],[Precio Unitario Neto]]-Tabla4[[#This Row],[20.85%]]-Tabla4[[#This Row],[Costo]]</f>
        <v>#N/A</v>
      </c>
      <c r="S1073" s="282" t="e">
        <f>++Tabla4[[#This Row],[U. Bruta Uni]]*Tabla4[[#This Row],[Cantidad]]</f>
        <v>#N/A</v>
      </c>
      <c r="T1073" s="369" t="str">
        <f>VLOOKUP(Tabla4[[#This Row],[Producto]],Tabla6[#All],14,FALSE)</f>
        <v>Termico Solar</v>
      </c>
      <c r="U1073" s="284" t="e">
        <f>(IF(Tabla4[[#This Row],[Familia]]="termico solar",Tabla4[[#This Row],[Utilidad Total]]*6%,Tabla4[[#This Row],[Utilidad Total]]*11.5%))/Tabla4[[#This Row],[Total]]</f>
        <v>#N/A</v>
      </c>
      <c r="V1073" s="282" t="e">
        <f>+Tabla4[[#This Row],[Comisión Calculada]]*Tabla4[[#This Row],[Total]]</f>
        <v>#N/A</v>
      </c>
    </row>
    <row r="1074" spans="1:22" hidden="1" x14ac:dyDescent="0.25">
      <c r="A1074" s="100">
        <v>45731</v>
      </c>
      <c r="B1074" t="str">
        <f t="shared" si="43"/>
        <v>March</v>
      </c>
      <c r="C1074" s="46" t="s">
        <v>280</v>
      </c>
      <c r="F1074" s="366" t="s">
        <v>1164</v>
      </c>
      <c r="G1074" s="46" t="s">
        <v>16</v>
      </c>
      <c r="H1074" s="46">
        <v>2</v>
      </c>
      <c r="I1074" s="51">
        <v>4103.8500000000004</v>
      </c>
      <c r="J1074" s="281">
        <f>++Tabla4[[#This Row],[Precio Bruto]]*1.16</f>
        <v>4760.4660000000003</v>
      </c>
      <c r="K1074" s="281">
        <f>+Tabla4[[#This Row],[Precio Unitario Neto]]*Tabla4[[#Headers],[20.85%]]</f>
        <v>992.55716100000006</v>
      </c>
      <c r="L1074" s="282">
        <f>++Tabla4[[#This Row],[Precio Unitario Neto]]-Tabla4[[#This Row],[20.85%]]</f>
        <v>3767.9088390000002</v>
      </c>
      <c r="M1074" s="282" t="e">
        <f>(INDEX(Tabla6[#All],MATCH(Tabla4[[#This Row],[Producto]],Tabla6[[#All],[PRODUCTO]],0),MATCH(Tabla4[[#This Row],[Mes]],Tabla6[#Headers],0)))*(1+Catalogos!$L$2)</f>
        <v>#N/A</v>
      </c>
      <c r="N1074" s="283" t="e">
        <f>+(Tabla4[[#This Row],[Precio Descontado]]-Tabla4[[#This Row],[Precio Base]])*Tabla4[[#This Row],[Cantidad]]</f>
        <v>#N/A</v>
      </c>
      <c r="O1074" s="284" t="e">
        <f>++Tabla4[[#This Row],[Utilidad Total]]/Tabla4[[#This Row],[Total]]</f>
        <v>#N/A</v>
      </c>
      <c r="P1074" s="282">
        <f>++Tabla4[[#This Row],[Precio Descontado]]*Tabla4[[#This Row],[Cantidad]]</f>
        <v>7535.8176780000003</v>
      </c>
      <c r="Q1074" s="282" t="e">
        <f>(INDEX(Tabla6[#All],MATCH(Tabla4[[#This Row],[Producto]],Tabla6[[#All],[PRODUCTO]],0),MATCH(Tabla4[[#This Row],[Mes]],Tabla6[#Headers],0)))</f>
        <v>#N/A</v>
      </c>
      <c r="R1074" s="282" t="e">
        <f>++Tabla4[[#This Row],[Precio Unitario Neto]]-Tabla4[[#This Row],[20.85%]]-Tabla4[[#This Row],[Costo]]</f>
        <v>#N/A</v>
      </c>
      <c r="S1074" s="282" t="e">
        <f>++Tabla4[[#This Row],[U. Bruta Uni]]*Tabla4[[#This Row],[Cantidad]]</f>
        <v>#N/A</v>
      </c>
      <c r="T1074" s="369" t="str">
        <f>VLOOKUP(Tabla4[[#This Row],[Producto]],Tabla6[#All],14,FALSE)</f>
        <v>Termico Solar</v>
      </c>
      <c r="U1074" s="284" t="e">
        <f>(IF(Tabla4[[#This Row],[Familia]]="termico solar",Tabla4[[#This Row],[Utilidad Total]]*6%,Tabla4[[#This Row],[Utilidad Total]]*11.5%))/Tabla4[[#This Row],[Total]]</f>
        <v>#N/A</v>
      </c>
      <c r="V1074" s="282" t="e">
        <f>+Tabla4[[#This Row],[Comisión Calculada]]*Tabla4[[#This Row],[Total]]</f>
        <v>#N/A</v>
      </c>
    </row>
    <row r="1075" spans="1:22" hidden="1" x14ac:dyDescent="0.25">
      <c r="A1075" s="100">
        <v>45731</v>
      </c>
      <c r="B1075" t="str">
        <f t="shared" si="43"/>
        <v>March</v>
      </c>
      <c r="C1075" s="46" t="s">
        <v>280</v>
      </c>
      <c r="F1075" s="366" t="s">
        <v>1164</v>
      </c>
      <c r="G1075" s="46" t="s">
        <v>208</v>
      </c>
      <c r="H1075" s="46">
        <v>1</v>
      </c>
      <c r="I1075" s="51">
        <v>189.75</v>
      </c>
      <c r="J1075" s="281">
        <f>++Tabla4[[#This Row],[Precio Bruto]]*1.16</f>
        <v>220.10999999999999</v>
      </c>
      <c r="K1075" s="281">
        <f>+Tabla4[[#This Row],[Precio Unitario Neto]]*Tabla4[[#Headers],[20.85%]]</f>
        <v>45.892934999999994</v>
      </c>
      <c r="L1075" s="282">
        <f>++Tabla4[[#This Row],[Precio Unitario Neto]]-Tabla4[[#This Row],[20.85%]]</f>
        <v>174.21706499999999</v>
      </c>
      <c r="M1075" s="282" t="e">
        <f>(INDEX(Tabla6[#All],MATCH(Tabla4[[#This Row],[Producto]],Tabla6[[#All],[PRODUCTO]],0),MATCH(Tabla4[[#This Row],[Mes]],Tabla6[#Headers],0)))*(1+Catalogos!$L$2)</f>
        <v>#N/A</v>
      </c>
      <c r="N1075" s="283" t="e">
        <f>+(Tabla4[[#This Row],[Precio Descontado]]-Tabla4[[#This Row],[Precio Base]])*Tabla4[[#This Row],[Cantidad]]</f>
        <v>#N/A</v>
      </c>
      <c r="O1075" s="284" t="e">
        <f>++Tabla4[[#This Row],[Utilidad Total]]/Tabla4[[#This Row],[Total]]</f>
        <v>#N/A</v>
      </c>
      <c r="P1075" s="282">
        <f>++Tabla4[[#This Row],[Precio Descontado]]*Tabla4[[#This Row],[Cantidad]]</f>
        <v>174.21706499999999</v>
      </c>
      <c r="Q1075" s="282" t="e">
        <f>(INDEX(Tabla6[#All],MATCH(Tabla4[[#This Row],[Producto]],Tabla6[[#All],[PRODUCTO]],0),MATCH(Tabla4[[#This Row],[Mes]],Tabla6[#Headers],0)))</f>
        <v>#N/A</v>
      </c>
      <c r="R1075" s="282" t="e">
        <f>++Tabla4[[#This Row],[Precio Unitario Neto]]-Tabla4[[#This Row],[20.85%]]-Tabla4[[#This Row],[Costo]]</f>
        <v>#N/A</v>
      </c>
      <c r="S1075" s="282" t="e">
        <f>++Tabla4[[#This Row],[U. Bruta Uni]]*Tabla4[[#This Row],[Cantidad]]</f>
        <v>#N/A</v>
      </c>
      <c r="T1075" s="369" t="str">
        <f>VLOOKUP(Tabla4[[#This Row],[Producto]],Tabla6[#All],14,FALSE)</f>
        <v>Termico Solar</v>
      </c>
      <c r="U1075" s="284" t="e">
        <f>(IF(Tabla4[[#This Row],[Familia]]="termico solar",Tabla4[[#This Row],[Utilidad Total]]*6%,Tabla4[[#This Row],[Utilidad Total]]*11.5%))/Tabla4[[#This Row],[Total]]</f>
        <v>#N/A</v>
      </c>
      <c r="V1075" s="282" t="e">
        <f>+Tabla4[[#This Row],[Comisión Calculada]]*Tabla4[[#This Row],[Total]]</f>
        <v>#N/A</v>
      </c>
    </row>
    <row r="1076" spans="1:22" hidden="1" x14ac:dyDescent="0.25">
      <c r="A1076" s="100">
        <v>45731</v>
      </c>
      <c r="B1076" t="str">
        <f t="shared" ref="B1076:B1093" si="44">TEXT(A1076, "mmmm")</f>
        <v>March</v>
      </c>
      <c r="C1076" s="46" t="s">
        <v>280</v>
      </c>
      <c r="F1076" s="366" t="s">
        <v>1165</v>
      </c>
      <c r="G1076" s="46" t="s">
        <v>83</v>
      </c>
      <c r="H1076" s="46">
        <v>2</v>
      </c>
      <c r="I1076" s="51">
        <v>8858.76</v>
      </c>
      <c r="J1076" s="281">
        <f>++Tabla4[[#This Row],[Precio Bruto]]*1.16</f>
        <v>10276.161599999999</v>
      </c>
      <c r="K1076" s="281">
        <f>+Tabla4[[#This Row],[Precio Unitario Neto]]*Tabla4[[#Headers],[20.85%]]</f>
        <v>2142.5796935999997</v>
      </c>
      <c r="L1076" s="282">
        <f>++Tabla4[[#This Row],[Precio Unitario Neto]]-Tabla4[[#This Row],[20.85%]]</f>
        <v>8133.5819063999998</v>
      </c>
      <c r="M1076" s="282" t="e">
        <f>(INDEX(Tabla6[#All],MATCH(Tabla4[[#This Row],[Producto]],Tabla6[[#All],[PRODUCTO]],0),MATCH(Tabla4[[#This Row],[Mes]],Tabla6[#Headers],0)))*(1+Catalogos!$L$2)</f>
        <v>#N/A</v>
      </c>
      <c r="N1076" s="283" t="e">
        <f>+(Tabla4[[#This Row],[Precio Descontado]]-Tabla4[[#This Row],[Precio Base]])*Tabla4[[#This Row],[Cantidad]]</f>
        <v>#N/A</v>
      </c>
      <c r="O1076" s="284" t="e">
        <f>++Tabla4[[#This Row],[Utilidad Total]]/Tabla4[[#This Row],[Total]]</f>
        <v>#N/A</v>
      </c>
      <c r="P1076" s="282">
        <f>++Tabla4[[#This Row],[Precio Descontado]]*Tabla4[[#This Row],[Cantidad]]</f>
        <v>16267.1638128</v>
      </c>
      <c r="Q1076" s="282" t="e">
        <f>(INDEX(Tabla6[#All],MATCH(Tabla4[[#This Row],[Producto]],Tabla6[[#All],[PRODUCTO]],0),MATCH(Tabla4[[#This Row],[Mes]],Tabla6[#Headers],0)))</f>
        <v>#N/A</v>
      </c>
      <c r="R1076" s="282" t="e">
        <f>++Tabla4[[#This Row],[Precio Unitario Neto]]-Tabla4[[#This Row],[20.85%]]-Tabla4[[#This Row],[Costo]]</f>
        <v>#N/A</v>
      </c>
      <c r="S1076" s="282" t="e">
        <f>++Tabla4[[#This Row],[U. Bruta Uni]]*Tabla4[[#This Row],[Cantidad]]</f>
        <v>#N/A</v>
      </c>
      <c r="T1076" s="369" t="str">
        <f>VLOOKUP(Tabla4[[#This Row],[Producto]],Tabla6[#All],14,FALSE)</f>
        <v>Termico Solar</v>
      </c>
      <c r="U1076" s="284" t="e">
        <f>(IF(Tabla4[[#This Row],[Familia]]="termico solar",Tabla4[[#This Row],[Utilidad Total]]*6%,Tabla4[[#This Row],[Utilidad Total]]*11.5%))/Tabla4[[#This Row],[Total]]</f>
        <v>#N/A</v>
      </c>
      <c r="V1076" s="282" t="e">
        <f>+Tabla4[[#This Row],[Comisión Calculada]]*Tabla4[[#This Row],[Total]]</f>
        <v>#N/A</v>
      </c>
    </row>
    <row r="1077" spans="1:22" hidden="1" x14ac:dyDescent="0.25">
      <c r="A1077" s="100">
        <v>45731</v>
      </c>
      <c r="B1077" t="str">
        <f t="shared" si="44"/>
        <v>March</v>
      </c>
      <c r="C1077" s="46" t="s">
        <v>280</v>
      </c>
      <c r="F1077" s="366" t="s">
        <v>1165</v>
      </c>
      <c r="G1077" s="46" t="s">
        <v>17</v>
      </c>
      <c r="H1077" s="46">
        <v>2</v>
      </c>
      <c r="I1077" s="51">
        <v>4622.28</v>
      </c>
      <c r="J1077" s="281">
        <f>++Tabla4[[#This Row],[Precio Bruto]]*1.16</f>
        <v>5361.8447999999989</v>
      </c>
      <c r="K1077" s="281">
        <f>+Tabla4[[#This Row],[Precio Unitario Neto]]*Tabla4[[#Headers],[20.85%]]</f>
        <v>1117.9446407999997</v>
      </c>
      <c r="L1077" s="282">
        <f>++Tabla4[[#This Row],[Precio Unitario Neto]]-Tabla4[[#This Row],[20.85%]]</f>
        <v>4243.9001591999995</v>
      </c>
      <c r="M1077" s="282" t="e">
        <f>(INDEX(Tabla6[#All],MATCH(Tabla4[[#This Row],[Producto]],Tabla6[[#All],[PRODUCTO]],0),MATCH(Tabla4[[#This Row],[Mes]],Tabla6[#Headers],0)))*(1+Catalogos!$L$2)</f>
        <v>#N/A</v>
      </c>
      <c r="N1077" s="283" t="e">
        <f>+(Tabla4[[#This Row],[Precio Descontado]]-Tabla4[[#This Row],[Precio Base]])*Tabla4[[#This Row],[Cantidad]]</f>
        <v>#N/A</v>
      </c>
      <c r="O1077" s="284" t="e">
        <f>++Tabla4[[#This Row],[Utilidad Total]]/Tabla4[[#This Row],[Total]]</f>
        <v>#N/A</v>
      </c>
      <c r="P1077" s="282">
        <f>++Tabla4[[#This Row],[Precio Descontado]]*Tabla4[[#This Row],[Cantidad]]</f>
        <v>8487.800318399999</v>
      </c>
      <c r="Q1077" s="282" t="e">
        <f>(INDEX(Tabla6[#All],MATCH(Tabla4[[#This Row],[Producto]],Tabla6[[#All],[PRODUCTO]],0),MATCH(Tabla4[[#This Row],[Mes]],Tabla6[#Headers],0)))</f>
        <v>#N/A</v>
      </c>
      <c r="R1077" s="282" t="e">
        <f>++Tabla4[[#This Row],[Precio Unitario Neto]]-Tabla4[[#This Row],[20.85%]]-Tabla4[[#This Row],[Costo]]</f>
        <v>#N/A</v>
      </c>
      <c r="S1077" s="282" t="e">
        <f>++Tabla4[[#This Row],[U. Bruta Uni]]*Tabla4[[#This Row],[Cantidad]]</f>
        <v>#N/A</v>
      </c>
      <c r="T1077" s="369" t="str">
        <f>VLOOKUP(Tabla4[[#This Row],[Producto]],Tabla6[#All],14,FALSE)</f>
        <v>Termico Solar</v>
      </c>
      <c r="U1077" s="284" t="e">
        <f>(IF(Tabla4[[#This Row],[Familia]]="termico solar",Tabla4[[#This Row],[Utilidad Total]]*6%,Tabla4[[#This Row],[Utilidad Total]]*11.5%))/Tabla4[[#This Row],[Total]]</f>
        <v>#N/A</v>
      </c>
      <c r="V1077" s="282" t="e">
        <f>+Tabla4[[#This Row],[Comisión Calculada]]*Tabla4[[#This Row],[Total]]</f>
        <v>#N/A</v>
      </c>
    </row>
    <row r="1078" spans="1:22" hidden="1" x14ac:dyDescent="0.25">
      <c r="A1078" s="100">
        <v>45731</v>
      </c>
      <c r="B1078" t="str">
        <f t="shared" si="44"/>
        <v>March</v>
      </c>
      <c r="C1078" s="46" t="s">
        <v>280</v>
      </c>
      <c r="F1078" s="366" t="s">
        <v>1166</v>
      </c>
      <c r="G1078" s="46" t="s">
        <v>17</v>
      </c>
      <c r="H1078" s="46">
        <v>3</v>
      </c>
      <c r="I1078" s="51">
        <v>4622.28</v>
      </c>
      <c r="J1078" s="281">
        <f>++Tabla4[[#This Row],[Precio Bruto]]*1.16</f>
        <v>5361.8447999999989</v>
      </c>
      <c r="K1078" s="281">
        <f>+Tabla4[[#This Row],[Precio Unitario Neto]]*Tabla4[[#Headers],[20.85%]]</f>
        <v>1117.9446407999997</v>
      </c>
      <c r="L1078" s="282">
        <f>++Tabla4[[#This Row],[Precio Unitario Neto]]-Tabla4[[#This Row],[20.85%]]</f>
        <v>4243.9001591999995</v>
      </c>
      <c r="M1078" s="282" t="e">
        <f>(INDEX(Tabla6[#All],MATCH(Tabla4[[#This Row],[Producto]],Tabla6[[#All],[PRODUCTO]],0),MATCH(Tabla4[[#This Row],[Mes]],Tabla6[#Headers],0)))*(1+Catalogos!$L$2)</f>
        <v>#N/A</v>
      </c>
      <c r="N1078" s="283" t="e">
        <f>+(Tabla4[[#This Row],[Precio Descontado]]-Tabla4[[#This Row],[Precio Base]])*Tabla4[[#This Row],[Cantidad]]</f>
        <v>#N/A</v>
      </c>
      <c r="O1078" s="284" t="e">
        <f>++Tabla4[[#This Row],[Utilidad Total]]/Tabla4[[#This Row],[Total]]</f>
        <v>#N/A</v>
      </c>
      <c r="P1078" s="282">
        <f>++Tabla4[[#This Row],[Precio Descontado]]*Tabla4[[#This Row],[Cantidad]]</f>
        <v>12731.700477599999</v>
      </c>
      <c r="Q1078" s="282" t="e">
        <f>(INDEX(Tabla6[#All],MATCH(Tabla4[[#This Row],[Producto]],Tabla6[[#All],[PRODUCTO]],0),MATCH(Tabla4[[#This Row],[Mes]],Tabla6[#Headers],0)))</f>
        <v>#N/A</v>
      </c>
      <c r="R1078" s="282" t="e">
        <f>++Tabla4[[#This Row],[Precio Unitario Neto]]-Tabla4[[#This Row],[20.85%]]-Tabla4[[#This Row],[Costo]]</f>
        <v>#N/A</v>
      </c>
      <c r="S1078" s="282" t="e">
        <f>++Tabla4[[#This Row],[U. Bruta Uni]]*Tabla4[[#This Row],[Cantidad]]</f>
        <v>#N/A</v>
      </c>
      <c r="T1078" s="369" t="str">
        <f>VLOOKUP(Tabla4[[#This Row],[Producto]],Tabla6[#All],14,FALSE)</f>
        <v>Termico Solar</v>
      </c>
      <c r="U1078" s="284" t="e">
        <f>(IF(Tabla4[[#This Row],[Familia]]="termico solar",Tabla4[[#This Row],[Utilidad Total]]*6%,Tabla4[[#This Row],[Utilidad Total]]*11.5%))/Tabla4[[#This Row],[Total]]</f>
        <v>#N/A</v>
      </c>
      <c r="V1078" s="282" t="e">
        <f>+Tabla4[[#This Row],[Comisión Calculada]]*Tabla4[[#This Row],[Total]]</f>
        <v>#N/A</v>
      </c>
    </row>
    <row r="1079" spans="1:22" hidden="1" x14ac:dyDescent="0.25">
      <c r="A1079" s="100">
        <v>45731</v>
      </c>
      <c r="B1079" t="str">
        <f t="shared" si="44"/>
        <v>March</v>
      </c>
      <c r="C1079" s="46" t="s">
        <v>280</v>
      </c>
      <c r="F1079" s="366" t="s">
        <v>1166</v>
      </c>
      <c r="G1079" s="46" t="s">
        <v>18</v>
      </c>
      <c r="H1079" s="46">
        <v>2</v>
      </c>
      <c r="I1079" s="51">
        <v>5367.65</v>
      </c>
      <c r="J1079" s="281">
        <f>++Tabla4[[#This Row],[Precio Bruto]]*1.16</f>
        <v>6226.4739999999993</v>
      </c>
      <c r="K1079" s="281">
        <f>+Tabla4[[#This Row],[Precio Unitario Neto]]*Tabla4[[#Headers],[20.85%]]</f>
        <v>1298.2198289999999</v>
      </c>
      <c r="L1079" s="282">
        <f>++Tabla4[[#This Row],[Precio Unitario Neto]]-Tabla4[[#This Row],[20.85%]]</f>
        <v>4928.2541709999996</v>
      </c>
      <c r="M1079" s="282" t="e">
        <f>(INDEX(Tabla6[#All],MATCH(Tabla4[[#This Row],[Producto]],Tabla6[[#All],[PRODUCTO]],0),MATCH(Tabla4[[#This Row],[Mes]],Tabla6[#Headers],0)))*(1+Catalogos!$L$2)</f>
        <v>#N/A</v>
      </c>
      <c r="N1079" s="283" t="e">
        <f>+(Tabla4[[#This Row],[Precio Descontado]]-Tabla4[[#This Row],[Precio Base]])*Tabla4[[#This Row],[Cantidad]]</f>
        <v>#N/A</v>
      </c>
      <c r="O1079" s="284" t="e">
        <f>++Tabla4[[#This Row],[Utilidad Total]]/Tabla4[[#This Row],[Total]]</f>
        <v>#N/A</v>
      </c>
      <c r="P1079" s="282">
        <f>++Tabla4[[#This Row],[Precio Descontado]]*Tabla4[[#This Row],[Cantidad]]</f>
        <v>9856.5083419999992</v>
      </c>
      <c r="Q1079" s="282" t="e">
        <f>(INDEX(Tabla6[#All],MATCH(Tabla4[[#This Row],[Producto]],Tabla6[[#All],[PRODUCTO]],0),MATCH(Tabla4[[#This Row],[Mes]],Tabla6[#Headers],0)))</f>
        <v>#N/A</v>
      </c>
      <c r="R1079" s="282" t="e">
        <f>++Tabla4[[#This Row],[Precio Unitario Neto]]-Tabla4[[#This Row],[20.85%]]-Tabla4[[#This Row],[Costo]]</f>
        <v>#N/A</v>
      </c>
      <c r="S1079" s="282" t="e">
        <f>++Tabla4[[#This Row],[U. Bruta Uni]]*Tabla4[[#This Row],[Cantidad]]</f>
        <v>#N/A</v>
      </c>
      <c r="T1079" s="369" t="str">
        <f>VLOOKUP(Tabla4[[#This Row],[Producto]],Tabla6[#All],14,FALSE)</f>
        <v>Termico Solar</v>
      </c>
      <c r="U1079" s="284" t="e">
        <f>(IF(Tabla4[[#This Row],[Familia]]="termico solar",Tabla4[[#This Row],[Utilidad Total]]*6%,Tabla4[[#This Row],[Utilidad Total]]*11.5%))/Tabla4[[#This Row],[Total]]</f>
        <v>#N/A</v>
      </c>
      <c r="V1079" s="282" t="e">
        <f>+Tabla4[[#This Row],[Comisión Calculada]]*Tabla4[[#This Row],[Total]]</f>
        <v>#N/A</v>
      </c>
    </row>
    <row r="1080" spans="1:22" hidden="1" x14ac:dyDescent="0.25">
      <c r="A1080" s="100">
        <v>45731</v>
      </c>
      <c r="B1080" t="str">
        <f t="shared" si="44"/>
        <v>March</v>
      </c>
      <c r="C1080" s="46" t="s">
        <v>280</v>
      </c>
      <c r="F1080" s="366" t="s">
        <v>1167</v>
      </c>
      <c r="G1080" s="46" t="s">
        <v>83</v>
      </c>
      <c r="H1080" s="46">
        <v>9</v>
      </c>
      <c r="I1080" s="51">
        <v>8858.76</v>
      </c>
      <c r="J1080" s="281">
        <f>++Tabla4[[#This Row],[Precio Bruto]]*1.16</f>
        <v>10276.161599999999</v>
      </c>
      <c r="K1080" s="281">
        <f>+Tabla4[[#This Row],[Precio Unitario Neto]]*Tabla4[[#Headers],[20.85%]]</f>
        <v>2142.5796935999997</v>
      </c>
      <c r="L1080" s="282">
        <f>++Tabla4[[#This Row],[Precio Unitario Neto]]-Tabla4[[#This Row],[20.85%]]</f>
        <v>8133.5819063999998</v>
      </c>
      <c r="M1080" s="282" t="e">
        <f>(INDEX(Tabla6[#All],MATCH(Tabla4[[#This Row],[Producto]],Tabla6[[#All],[PRODUCTO]],0),MATCH(Tabla4[[#This Row],[Mes]],Tabla6[#Headers],0)))*(1+Catalogos!$L$2)</f>
        <v>#N/A</v>
      </c>
      <c r="N1080" s="283" t="e">
        <f>+(Tabla4[[#This Row],[Precio Descontado]]-Tabla4[[#This Row],[Precio Base]])*Tabla4[[#This Row],[Cantidad]]</f>
        <v>#N/A</v>
      </c>
      <c r="O1080" s="284" t="e">
        <f>++Tabla4[[#This Row],[Utilidad Total]]/Tabla4[[#This Row],[Total]]</f>
        <v>#N/A</v>
      </c>
      <c r="P1080" s="282">
        <f>++Tabla4[[#This Row],[Precio Descontado]]*Tabla4[[#This Row],[Cantidad]]</f>
        <v>73202.237157600001</v>
      </c>
      <c r="Q1080" s="282" t="e">
        <f>(INDEX(Tabla6[#All],MATCH(Tabla4[[#This Row],[Producto]],Tabla6[[#All],[PRODUCTO]],0),MATCH(Tabla4[[#This Row],[Mes]],Tabla6[#Headers],0)))</f>
        <v>#N/A</v>
      </c>
      <c r="R1080" s="282" t="e">
        <f>++Tabla4[[#This Row],[Precio Unitario Neto]]-Tabla4[[#This Row],[20.85%]]-Tabla4[[#This Row],[Costo]]</f>
        <v>#N/A</v>
      </c>
      <c r="S1080" s="282" t="e">
        <f>++Tabla4[[#This Row],[U. Bruta Uni]]*Tabla4[[#This Row],[Cantidad]]</f>
        <v>#N/A</v>
      </c>
      <c r="T1080" s="369" t="str">
        <f>VLOOKUP(Tabla4[[#This Row],[Producto]],Tabla6[#All],14,FALSE)</f>
        <v>Termico Solar</v>
      </c>
      <c r="U1080" s="284" t="e">
        <f>(IF(Tabla4[[#This Row],[Familia]]="termico solar",Tabla4[[#This Row],[Utilidad Total]]*6%,Tabla4[[#This Row],[Utilidad Total]]*11.5%))/Tabla4[[#This Row],[Total]]</f>
        <v>#N/A</v>
      </c>
      <c r="V1080" s="282" t="e">
        <f>+Tabla4[[#This Row],[Comisión Calculada]]*Tabla4[[#This Row],[Total]]</f>
        <v>#N/A</v>
      </c>
    </row>
    <row r="1081" spans="1:22" hidden="1" x14ac:dyDescent="0.25">
      <c r="A1081" s="100">
        <v>45731</v>
      </c>
      <c r="B1081" t="str">
        <f t="shared" si="44"/>
        <v>March</v>
      </c>
      <c r="C1081" s="46" t="s">
        <v>280</v>
      </c>
      <c r="F1081" s="366" t="s">
        <v>1167</v>
      </c>
      <c r="G1081" s="46" t="s">
        <v>17</v>
      </c>
      <c r="H1081" s="46">
        <v>4</v>
      </c>
      <c r="I1081" s="51">
        <v>4622.28</v>
      </c>
      <c r="J1081" s="281">
        <f>++Tabla4[[#This Row],[Precio Bruto]]*1.16</f>
        <v>5361.8447999999989</v>
      </c>
      <c r="K1081" s="281">
        <f>+Tabla4[[#This Row],[Precio Unitario Neto]]*Tabla4[[#Headers],[20.85%]]</f>
        <v>1117.9446407999997</v>
      </c>
      <c r="L1081" s="282">
        <f>++Tabla4[[#This Row],[Precio Unitario Neto]]-Tabla4[[#This Row],[20.85%]]</f>
        <v>4243.9001591999995</v>
      </c>
      <c r="M1081" s="282" t="e">
        <f>(INDEX(Tabla6[#All],MATCH(Tabla4[[#This Row],[Producto]],Tabla6[[#All],[PRODUCTO]],0),MATCH(Tabla4[[#This Row],[Mes]],Tabla6[#Headers],0)))*(1+Catalogos!$L$2)</f>
        <v>#N/A</v>
      </c>
      <c r="N1081" s="283" t="e">
        <f>+(Tabla4[[#This Row],[Precio Descontado]]-Tabla4[[#This Row],[Precio Base]])*Tabla4[[#This Row],[Cantidad]]</f>
        <v>#N/A</v>
      </c>
      <c r="O1081" s="284" t="e">
        <f>++Tabla4[[#This Row],[Utilidad Total]]/Tabla4[[#This Row],[Total]]</f>
        <v>#N/A</v>
      </c>
      <c r="P1081" s="282">
        <f>++Tabla4[[#This Row],[Precio Descontado]]*Tabla4[[#This Row],[Cantidad]]</f>
        <v>16975.600636799998</v>
      </c>
      <c r="Q1081" s="282" t="e">
        <f>(INDEX(Tabla6[#All],MATCH(Tabla4[[#This Row],[Producto]],Tabla6[[#All],[PRODUCTO]],0),MATCH(Tabla4[[#This Row],[Mes]],Tabla6[#Headers],0)))</f>
        <v>#N/A</v>
      </c>
      <c r="R1081" s="282" t="e">
        <f>++Tabla4[[#This Row],[Precio Unitario Neto]]-Tabla4[[#This Row],[20.85%]]-Tabla4[[#This Row],[Costo]]</f>
        <v>#N/A</v>
      </c>
      <c r="S1081" s="282" t="e">
        <f>++Tabla4[[#This Row],[U. Bruta Uni]]*Tabla4[[#This Row],[Cantidad]]</f>
        <v>#N/A</v>
      </c>
      <c r="T1081" s="369" t="str">
        <f>VLOOKUP(Tabla4[[#This Row],[Producto]],Tabla6[#All],14,FALSE)</f>
        <v>Termico Solar</v>
      </c>
      <c r="U1081" s="284" t="e">
        <f>(IF(Tabla4[[#This Row],[Familia]]="termico solar",Tabla4[[#This Row],[Utilidad Total]]*6%,Tabla4[[#This Row],[Utilidad Total]]*11.5%))/Tabla4[[#This Row],[Total]]</f>
        <v>#N/A</v>
      </c>
      <c r="V1081" s="282" t="e">
        <f>+Tabla4[[#This Row],[Comisión Calculada]]*Tabla4[[#This Row],[Total]]</f>
        <v>#N/A</v>
      </c>
    </row>
    <row r="1082" spans="1:22" hidden="1" x14ac:dyDescent="0.25">
      <c r="A1082" s="100">
        <v>45731</v>
      </c>
      <c r="B1082" t="str">
        <f t="shared" si="44"/>
        <v>March</v>
      </c>
      <c r="C1082" s="46" t="s">
        <v>280</v>
      </c>
      <c r="F1082" s="366" t="s">
        <v>1167</v>
      </c>
      <c r="G1082" s="46" t="s">
        <v>566</v>
      </c>
      <c r="H1082" s="46">
        <v>1</v>
      </c>
      <c r="I1082" s="51">
        <v>2109.4499999999998</v>
      </c>
      <c r="J1082" s="281">
        <f>++Tabla4[[#This Row],[Precio Bruto]]*1.16</f>
        <v>2446.9619999999995</v>
      </c>
      <c r="K1082" s="281">
        <f>+Tabla4[[#This Row],[Precio Unitario Neto]]*Tabla4[[#Headers],[20.85%]]</f>
        <v>510.19157699999988</v>
      </c>
      <c r="L1082" s="282">
        <f>++Tabla4[[#This Row],[Precio Unitario Neto]]-Tabla4[[#This Row],[20.85%]]</f>
        <v>1936.7704229999997</v>
      </c>
      <c r="M1082" s="282" t="e">
        <f>(INDEX(Tabla6[#All],MATCH(Tabla4[[#This Row],[Producto]],Tabla6[[#All],[PRODUCTO]],0),MATCH(Tabla4[[#This Row],[Mes]],Tabla6[#Headers],0)))*(1+Catalogos!$L$2)</f>
        <v>#N/A</v>
      </c>
      <c r="N1082" s="283" t="e">
        <f>+(Tabla4[[#This Row],[Precio Descontado]]-Tabla4[[#This Row],[Precio Base]])*Tabla4[[#This Row],[Cantidad]]</f>
        <v>#N/A</v>
      </c>
      <c r="O1082" s="284" t="e">
        <f>++Tabla4[[#This Row],[Utilidad Total]]/Tabla4[[#This Row],[Total]]</f>
        <v>#N/A</v>
      </c>
      <c r="P1082" s="282">
        <f>++Tabla4[[#This Row],[Precio Descontado]]*Tabla4[[#This Row],[Cantidad]]</f>
        <v>1936.7704229999997</v>
      </c>
      <c r="Q1082" s="282" t="e">
        <f>(INDEX(Tabla6[#All],MATCH(Tabla4[[#This Row],[Producto]],Tabla6[[#All],[PRODUCTO]],0),MATCH(Tabla4[[#This Row],[Mes]],Tabla6[#Headers],0)))</f>
        <v>#N/A</v>
      </c>
      <c r="R1082" s="282" t="e">
        <f>++Tabla4[[#This Row],[Precio Unitario Neto]]-Tabla4[[#This Row],[20.85%]]-Tabla4[[#This Row],[Costo]]</f>
        <v>#N/A</v>
      </c>
      <c r="S1082" s="282" t="e">
        <f>++Tabla4[[#This Row],[U. Bruta Uni]]*Tabla4[[#This Row],[Cantidad]]</f>
        <v>#N/A</v>
      </c>
      <c r="T1082" s="369" t="str">
        <f>VLOOKUP(Tabla4[[#This Row],[Producto]],Tabla6[#All],14,FALSE)</f>
        <v>Termico Solar</v>
      </c>
      <c r="U1082" s="284" t="e">
        <f>(IF(Tabla4[[#This Row],[Familia]]="termico solar",Tabla4[[#This Row],[Utilidad Total]]*6%,Tabla4[[#This Row],[Utilidad Total]]*11.5%))/Tabla4[[#This Row],[Total]]</f>
        <v>#N/A</v>
      </c>
      <c r="V1082" s="282" t="e">
        <f>+Tabla4[[#This Row],[Comisión Calculada]]*Tabla4[[#This Row],[Total]]</f>
        <v>#N/A</v>
      </c>
    </row>
    <row r="1083" spans="1:22" hidden="1" x14ac:dyDescent="0.25">
      <c r="A1083" s="100">
        <v>45731</v>
      </c>
      <c r="B1083" t="str">
        <f t="shared" si="44"/>
        <v>March</v>
      </c>
      <c r="C1083" s="46" t="s">
        <v>280</v>
      </c>
      <c r="F1083" s="366" t="s">
        <v>1167</v>
      </c>
      <c r="G1083" s="46" t="s">
        <v>16</v>
      </c>
      <c r="H1083" s="46">
        <v>2</v>
      </c>
      <c r="I1083" s="51">
        <v>4103.8500000000004</v>
      </c>
      <c r="J1083" s="281">
        <f>++Tabla4[[#This Row],[Precio Bruto]]*1.16</f>
        <v>4760.4660000000003</v>
      </c>
      <c r="K1083" s="281">
        <f>+Tabla4[[#This Row],[Precio Unitario Neto]]*Tabla4[[#Headers],[20.85%]]</f>
        <v>992.55716100000006</v>
      </c>
      <c r="L1083" s="282">
        <f>++Tabla4[[#This Row],[Precio Unitario Neto]]-Tabla4[[#This Row],[20.85%]]</f>
        <v>3767.9088390000002</v>
      </c>
      <c r="M1083" s="282" t="e">
        <f>(INDEX(Tabla6[#All],MATCH(Tabla4[[#This Row],[Producto]],Tabla6[[#All],[PRODUCTO]],0),MATCH(Tabla4[[#This Row],[Mes]],Tabla6[#Headers],0)))*(1+Catalogos!$L$2)</f>
        <v>#N/A</v>
      </c>
      <c r="N1083" s="283" t="e">
        <f>+(Tabla4[[#This Row],[Precio Descontado]]-Tabla4[[#This Row],[Precio Base]])*Tabla4[[#This Row],[Cantidad]]</f>
        <v>#N/A</v>
      </c>
      <c r="O1083" s="284" t="e">
        <f>++Tabla4[[#This Row],[Utilidad Total]]/Tabla4[[#This Row],[Total]]</f>
        <v>#N/A</v>
      </c>
      <c r="P1083" s="282">
        <f>++Tabla4[[#This Row],[Precio Descontado]]*Tabla4[[#This Row],[Cantidad]]</f>
        <v>7535.8176780000003</v>
      </c>
      <c r="Q1083" s="282" t="e">
        <f>(INDEX(Tabla6[#All],MATCH(Tabla4[[#This Row],[Producto]],Tabla6[[#All],[PRODUCTO]],0),MATCH(Tabla4[[#This Row],[Mes]],Tabla6[#Headers],0)))</f>
        <v>#N/A</v>
      </c>
      <c r="R1083" s="282" t="e">
        <f>++Tabla4[[#This Row],[Precio Unitario Neto]]-Tabla4[[#This Row],[20.85%]]-Tabla4[[#This Row],[Costo]]</f>
        <v>#N/A</v>
      </c>
      <c r="S1083" s="282" t="e">
        <f>++Tabla4[[#This Row],[U. Bruta Uni]]*Tabla4[[#This Row],[Cantidad]]</f>
        <v>#N/A</v>
      </c>
      <c r="T1083" s="369" t="str">
        <f>VLOOKUP(Tabla4[[#This Row],[Producto]],Tabla6[#All],14,FALSE)</f>
        <v>Termico Solar</v>
      </c>
      <c r="U1083" s="284" t="e">
        <f>(IF(Tabla4[[#This Row],[Familia]]="termico solar",Tabla4[[#This Row],[Utilidad Total]]*6%,Tabla4[[#This Row],[Utilidad Total]]*11.5%))/Tabla4[[#This Row],[Total]]</f>
        <v>#N/A</v>
      </c>
      <c r="V1083" s="282" t="e">
        <f>+Tabla4[[#This Row],[Comisión Calculada]]*Tabla4[[#This Row],[Total]]</f>
        <v>#N/A</v>
      </c>
    </row>
    <row r="1084" spans="1:22" hidden="1" x14ac:dyDescent="0.25">
      <c r="A1084" s="100">
        <v>45731</v>
      </c>
      <c r="B1084" t="str">
        <f t="shared" si="44"/>
        <v>March</v>
      </c>
      <c r="C1084" s="46" t="s">
        <v>280</v>
      </c>
      <c r="F1084" s="366" t="s">
        <v>1168</v>
      </c>
      <c r="G1084" s="46" t="s">
        <v>18</v>
      </c>
      <c r="H1084" s="46">
        <v>1</v>
      </c>
      <c r="I1084" s="51">
        <v>5367.65</v>
      </c>
      <c r="J1084" s="281">
        <f>++Tabla4[[#This Row],[Precio Bruto]]*1.16</f>
        <v>6226.4739999999993</v>
      </c>
      <c r="K1084" s="281">
        <f>+Tabla4[[#This Row],[Precio Unitario Neto]]*Tabla4[[#Headers],[20.85%]]</f>
        <v>1298.2198289999999</v>
      </c>
      <c r="L1084" s="282">
        <f>++Tabla4[[#This Row],[Precio Unitario Neto]]-Tabla4[[#This Row],[20.85%]]</f>
        <v>4928.2541709999996</v>
      </c>
      <c r="M1084" s="282" t="e">
        <f>(INDEX(Tabla6[#All],MATCH(Tabla4[[#This Row],[Producto]],Tabla6[[#All],[PRODUCTO]],0),MATCH(Tabla4[[#This Row],[Mes]],Tabla6[#Headers],0)))*(1+Catalogos!$L$2)</f>
        <v>#N/A</v>
      </c>
      <c r="N1084" s="283" t="e">
        <f>+(Tabla4[[#This Row],[Precio Descontado]]-Tabla4[[#This Row],[Precio Base]])*Tabla4[[#This Row],[Cantidad]]</f>
        <v>#N/A</v>
      </c>
      <c r="O1084" s="284" t="e">
        <f>++Tabla4[[#This Row],[Utilidad Total]]/Tabla4[[#This Row],[Total]]</f>
        <v>#N/A</v>
      </c>
      <c r="P1084" s="282">
        <f>++Tabla4[[#This Row],[Precio Descontado]]*Tabla4[[#This Row],[Cantidad]]</f>
        <v>4928.2541709999996</v>
      </c>
      <c r="Q1084" s="282" t="e">
        <f>(INDEX(Tabla6[#All],MATCH(Tabla4[[#This Row],[Producto]],Tabla6[[#All],[PRODUCTO]],0),MATCH(Tabla4[[#This Row],[Mes]],Tabla6[#Headers],0)))</f>
        <v>#N/A</v>
      </c>
      <c r="R1084" s="282" t="e">
        <f>++Tabla4[[#This Row],[Precio Unitario Neto]]-Tabla4[[#This Row],[20.85%]]-Tabla4[[#This Row],[Costo]]</f>
        <v>#N/A</v>
      </c>
      <c r="S1084" s="282" t="e">
        <f>++Tabla4[[#This Row],[U. Bruta Uni]]*Tabla4[[#This Row],[Cantidad]]</f>
        <v>#N/A</v>
      </c>
      <c r="T1084" s="369" t="str">
        <f>VLOOKUP(Tabla4[[#This Row],[Producto]],Tabla6[#All],14,FALSE)</f>
        <v>Termico Solar</v>
      </c>
      <c r="U1084" s="284" t="e">
        <f>(IF(Tabla4[[#This Row],[Familia]]="termico solar",Tabla4[[#This Row],[Utilidad Total]]*6%,Tabla4[[#This Row],[Utilidad Total]]*11.5%))/Tabla4[[#This Row],[Total]]</f>
        <v>#N/A</v>
      </c>
      <c r="V1084" s="282" t="e">
        <f>+Tabla4[[#This Row],[Comisión Calculada]]*Tabla4[[#This Row],[Total]]</f>
        <v>#N/A</v>
      </c>
    </row>
    <row r="1085" spans="1:22" hidden="1" x14ac:dyDescent="0.25">
      <c r="A1085" s="100">
        <v>45731</v>
      </c>
      <c r="B1085" t="str">
        <f t="shared" si="44"/>
        <v>March</v>
      </c>
      <c r="C1085" s="46" t="s">
        <v>280</v>
      </c>
      <c r="F1085" s="366" t="s">
        <v>1169</v>
      </c>
      <c r="G1085" s="46" t="s">
        <v>83</v>
      </c>
      <c r="H1085" s="46">
        <v>1</v>
      </c>
      <c r="I1085" s="51">
        <v>8858.76</v>
      </c>
      <c r="J1085" s="281">
        <f>++Tabla4[[#This Row],[Precio Bruto]]*1.16</f>
        <v>10276.161599999999</v>
      </c>
      <c r="K1085" s="281">
        <f>+Tabla4[[#This Row],[Precio Unitario Neto]]*Tabla4[[#Headers],[20.85%]]</f>
        <v>2142.5796935999997</v>
      </c>
      <c r="L1085" s="282">
        <f>++Tabla4[[#This Row],[Precio Unitario Neto]]-Tabla4[[#This Row],[20.85%]]</f>
        <v>8133.5819063999998</v>
      </c>
      <c r="M1085" s="282" t="e">
        <f>(INDEX(Tabla6[#All],MATCH(Tabla4[[#This Row],[Producto]],Tabla6[[#All],[PRODUCTO]],0),MATCH(Tabla4[[#This Row],[Mes]],Tabla6[#Headers],0)))*(1+Catalogos!$L$2)</f>
        <v>#N/A</v>
      </c>
      <c r="N1085" s="283" t="e">
        <f>+(Tabla4[[#This Row],[Precio Descontado]]-Tabla4[[#This Row],[Precio Base]])*Tabla4[[#This Row],[Cantidad]]</f>
        <v>#N/A</v>
      </c>
      <c r="O1085" s="284" t="e">
        <f>++Tabla4[[#This Row],[Utilidad Total]]/Tabla4[[#This Row],[Total]]</f>
        <v>#N/A</v>
      </c>
      <c r="P1085" s="282">
        <f>++Tabla4[[#This Row],[Precio Descontado]]*Tabla4[[#This Row],[Cantidad]]</f>
        <v>8133.5819063999998</v>
      </c>
      <c r="Q1085" s="282" t="e">
        <f>(INDEX(Tabla6[#All],MATCH(Tabla4[[#This Row],[Producto]],Tabla6[[#All],[PRODUCTO]],0),MATCH(Tabla4[[#This Row],[Mes]],Tabla6[#Headers],0)))</f>
        <v>#N/A</v>
      </c>
      <c r="R1085" s="282" t="e">
        <f>++Tabla4[[#This Row],[Precio Unitario Neto]]-Tabla4[[#This Row],[20.85%]]-Tabla4[[#This Row],[Costo]]</f>
        <v>#N/A</v>
      </c>
      <c r="S1085" s="282" t="e">
        <f>++Tabla4[[#This Row],[U. Bruta Uni]]*Tabla4[[#This Row],[Cantidad]]</f>
        <v>#N/A</v>
      </c>
      <c r="T1085" s="369" t="str">
        <f>VLOOKUP(Tabla4[[#This Row],[Producto]],Tabla6[#All],14,FALSE)</f>
        <v>Termico Solar</v>
      </c>
      <c r="U1085" s="284" t="e">
        <f>(IF(Tabla4[[#This Row],[Familia]]="termico solar",Tabla4[[#This Row],[Utilidad Total]]*6%,Tabla4[[#This Row],[Utilidad Total]]*11.5%))/Tabla4[[#This Row],[Total]]</f>
        <v>#N/A</v>
      </c>
      <c r="V1085" s="282" t="e">
        <f>+Tabla4[[#This Row],[Comisión Calculada]]*Tabla4[[#This Row],[Total]]</f>
        <v>#N/A</v>
      </c>
    </row>
    <row r="1086" spans="1:22" hidden="1" x14ac:dyDescent="0.25">
      <c r="A1086" s="100">
        <v>45731</v>
      </c>
      <c r="B1086" t="str">
        <f t="shared" si="44"/>
        <v>March</v>
      </c>
      <c r="C1086" s="46" t="s">
        <v>280</v>
      </c>
      <c r="F1086" s="366" t="s">
        <v>1170</v>
      </c>
      <c r="G1086" s="46" t="s">
        <v>83</v>
      </c>
      <c r="H1086" s="46">
        <v>2</v>
      </c>
      <c r="I1086" s="51">
        <v>8858.76</v>
      </c>
      <c r="J1086" s="281">
        <f>++Tabla4[[#This Row],[Precio Bruto]]*1.16</f>
        <v>10276.161599999999</v>
      </c>
      <c r="K1086" s="281">
        <f>+Tabla4[[#This Row],[Precio Unitario Neto]]*Tabla4[[#Headers],[20.85%]]</f>
        <v>2142.5796935999997</v>
      </c>
      <c r="L1086" s="282">
        <f>++Tabla4[[#This Row],[Precio Unitario Neto]]-Tabla4[[#This Row],[20.85%]]</f>
        <v>8133.5819063999998</v>
      </c>
      <c r="M1086" s="282" t="e">
        <f>(INDEX(Tabla6[#All],MATCH(Tabla4[[#This Row],[Producto]],Tabla6[[#All],[PRODUCTO]],0),MATCH(Tabla4[[#This Row],[Mes]],Tabla6[#Headers],0)))*(1+Catalogos!$L$2)</f>
        <v>#N/A</v>
      </c>
      <c r="N1086" s="283" t="e">
        <f>+(Tabla4[[#This Row],[Precio Descontado]]-Tabla4[[#This Row],[Precio Base]])*Tabla4[[#This Row],[Cantidad]]</f>
        <v>#N/A</v>
      </c>
      <c r="O1086" s="284" t="e">
        <f>++Tabla4[[#This Row],[Utilidad Total]]/Tabla4[[#This Row],[Total]]</f>
        <v>#N/A</v>
      </c>
      <c r="P1086" s="282">
        <f>++Tabla4[[#This Row],[Precio Descontado]]*Tabla4[[#This Row],[Cantidad]]</f>
        <v>16267.1638128</v>
      </c>
      <c r="Q1086" s="282" t="e">
        <f>(INDEX(Tabla6[#All],MATCH(Tabla4[[#This Row],[Producto]],Tabla6[[#All],[PRODUCTO]],0),MATCH(Tabla4[[#This Row],[Mes]],Tabla6[#Headers],0)))</f>
        <v>#N/A</v>
      </c>
      <c r="R1086" s="282" t="e">
        <f>++Tabla4[[#This Row],[Precio Unitario Neto]]-Tabla4[[#This Row],[20.85%]]-Tabla4[[#This Row],[Costo]]</f>
        <v>#N/A</v>
      </c>
      <c r="S1086" s="282" t="e">
        <f>++Tabla4[[#This Row],[U. Bruta Uni]]*Tabla4[[#This Row],[Cantidad]]</f>
        <v>#N/A</v>
      </c>
      <c r="T1086" s="369" t="str">
        <f>VLOOKUP(Tabla4[[#This Row],[Producto]],Tabla6[#All],14,FALSE)</f>
        <v>Termico Solar</v>
      </c>
      <c r="U1086" s="284" t="e">
        <f>(IF(Tabla4[[#This Row],[Familia]]="termico solar",Tabla4[[#This Row],[Utilidad Total]]*6%,Tabla4[[#This Row],[Utilidad Total]]*11.5%))/Tabla4[[#This Row],[Total]]</f>
        <v>#N/A</v>
      </c>
      <c r="V1086" s="282" t="e">
        <f>+Tabla4[[#This Row],[Comisión Calculada]]*Tabla4[[#This Row],[Total]]</f>
        <v>#N/A</v>
      </c>
    </row>
    <row r="1087" spans="1:22" hidden="1" x14ac:dyDescent="0.25">
      <c r="A1087" s="100">
        <v>45731</v>
      </c>
      <c r="B1087" t="str">
        <f t="shared" si="44"/>
        <v>March</v>
      </c>
      <c r="C1087" s="46" t="s">
        <v>280</v>
      </c>
      <c r="F1087" s="366" t="s">
        <v>1170</v>
      </c>
      <c r="G1087" s="46" t="s">
        <v>17</v>
      </c>
      <c r="H1087" s="46">
        <v>1</v>
      </c>
      <c r="I1087" s="51">
        <v>4622.28</v>
      </c>
      <c r="J1087" s="281">
        <f>++Tabla4[[#This Row],[Precio Bruto]]*1.16</f>
        <v>5361.8447999999989</v>
      </c>
      <c r="K1087" s="281">
        <f>+Tabla4[[#This Row],[Precio Unitario Neto]]*Tabla4[[#Headers],[20.85%]]</f>
        <v>1117.9446407999997</v>
      </c>
      <c r="L1087" s="282">
        <f>++Tabla4[[#This Row],[Precio Unitario Neto]]-Tabla4[[#This Row],[20.85%]]</f>
        <v>4243.9001591999995</v>
      </c>
      <c r="M1087" s="282" t="e">
        <f>(INDEX(Tabla6[#All],MATCH(Tabla4[[#This Row],[Producto]],Tabla6[[#All],[PRODUCTO]],0),MATCH(Tabla4[[#This Row],[Mes]],Tabla6[#Headers],0)))*(1+Catalogos!$L$2)</f>
        <v>#N/A</v>
      </c>
      <c r="N1087" s="283" t="e">
        <f>+(Tabla4[[#This Row],[Precio Descontado]]-Tabla4[[#This Row],[Precio Base]])*Tabla4[[#This Row],[Cantidad]]</f>
        <v>#N/A</v>
      </c>
      <c r="O1087" s="284" t="e">
        <f>++Tabla4[[#This Row],[Utilidad Total]]/Tabla4[[#This Row],[Total]]</f>
        <v>#N/A</v>
      </c>
      <c r="P1087" s="282">
        <f>++Tabla4[[#This Row],[Precio Descontado]]*Tabla4[[#This Row],[Cantidad]]</f>
        <v>4243.9001591999995</v>
      </c>
      <c r="Q1087" s="282" t="e">
        <f>(INDEX(Tabla6[#All],MATCH(Tabla4[[#This Row],[Producto]],Tabla6[[#All],[PRODUCTO]],0),MATCH(Tabla4[[#This Row],[Mes]],Tabla6[#Headers],0)))</f>
        <v>#N/A</v>
      </c>
      <c r="R1087" s="282" t="e">
        <f>++Tabla4[[#This Row],[Precio Unitario Neto]]-Tabla4[[#This Row],[20.85%]]-Tabla4[[#This Row],[Costo]]</f>
        <v>#N/A</v>
      </c>
      <c r="S1087" s="282" t="e">
        <f>++Tabla4[[#This Row],[U. Bruta Uni]]*Tabla4[[#This Row],[Cantidad]]</f>
        <v>#N/A</v>
      </c>
      <c r="T1087" s="369" t="str">
        <f>VLOOKUP(Tabla4[[#This Row],[Producto]],Tabla6[#All],14,FALSE)</f>
        <v>Termico Solar</v>
      </c>
      <c r="U1087" s="284" t="e">
        <f>(IF(Tabla4[[#This Row],[Familia]]="termico solar",Tabla4[[#This Row],[Utilidad Total]]*6%,Tabla4[[#This Row],[Utilidad Total]]*11.5%))/Tabla4[[#This Row],[Total]]</f>
        <v>#N/A</v>
      </c>
      <c r="V1087" s="282" t="e">
        <f>+Tabla4[[#This Row],[Comisión Calculada]]*Tabla4[[#This Row],[Total]]</f>
        <v>#N/A</v>
      </c>
    </row>
    <row r="1088" spans="1:22" hidden="1" x14ac:dyDescent="0.25">
      <c r="A1088" s="100">
        <v>45731</v>
      </c>
      <c r="B1088" t="str">
        <f t="shared" si="44"/>
        <v>March</v>
      </c>
      <c r="C1088" s="46" t="s">
        <v>280</v>
      </c>
      <c r="F1088" s="366" t="s">
        <v>1170</v>
      </c>
      <c r="G1088" s="46" t="s">
        <v>18</v>
      </c>
      <c r="H1088" s="46">
        <v>1</v>
      </c>
      <c r="I1088" s="51">
        <v>5367.65</v>
      </c>
      <c r="J1088" s="281">
        <f>++Tabla4[[#This Row],[Precio Bruto]]*1.16</f>
        <v>6226.4739999999993</v>
      </c>
      <c r="K1088" s="281">
        <f>+Tabla4[[#This Row],[Precio Unitario Neto]]*Tabla4[[#Headers],[20.85%]]</f>
        <v>1298.2198289999999</v>
      </c>
      <c r="L1088" s="282">
        <f>++Tabla4[[#This Row],[Precio Unitario Neto]]-Tabla4[[#This Row],[20.85%]]</f>
        <v>4928.2541709999996</v>
      </c>
      <c r="M1088" s="282" t="e">
        <f>(INDEX(Tabla6[#All],MATCH(Tabla4[[#This Row],[Producto]],Tabla6[[#All],[PRODUCTO]],0),MATCH(Tabla4[[#This Row],[Mes]],Tabla6[#Headers],0)))*(1+Catalogos!$L$2)</f>
        <v>#N/A</v>
      </c>
      <c r="N1088" s="283" t="e">
        <f>+(Tabla4[[#This Row],[Precio Descontado]]-Tabla4[[#This Row],[Precio Base]])*Tabla4[[#This Row],[Cantidad]]</f>
        <v>#N/A</v>
      </c>
      <c r="O1088" s="284" t="e">
        <f>++Tabla4[[#This Row],[Utilidad Total]]/Tabla4[[#This Row],[Total]]</f>
        <v>#N/A</v>
      </c>
      <c r="P1088" s="282">
        <f>++Tabla4[[#This Row],[Precio Descontado]]*Tabla4[[#This Row],[Cantidad]]</f>
        <v>4928.2541709999996</v>
      </c>
      <c r="Q1088" s="282" t="e">
        <f>(INDEX(Tabla6[#All],MATCH(Tabla4[[#This Row],[Producto]],Tabla6[[#All],[PRODUCTO]],0),MATCH(Tabla4[[#This Row],[Mes]],Tabla6[#Headers],0)))</f>
        <v>#N/A</v>
      </c>
      <c r="R1088" s="282" t="e">
        <f>++Tabla4[[#This Row],[Precio Unitario Neto]]-Tabla4[[#This Row],[20.85%]]-Tabla4[[#This Row],[Costo]]</f>
        <v>#N/A</v>
      </c>
      <c r="S1088" s="282" t="e">
        <f>++Tabla4[[#This Row],[U. Bruta Uni]]*Tabla4[[#This Row],[Cantidad]]</f>
        <v>#N/A</v>
      </c>
      <c r="T1088" s="369" t="str">
        <f>VLOOKUP(Tabla4[[#This Row],[Producto]],Tabla6[#All],14,FALSE)</f>
        <v>Termico Solar</v>
      </c>
      <c r="U1088" s="284" t="e">
        <f>(IF(Tabla4[[#This Row],[Familia]]="termico solar",Tabla4[[#This Row],[Utilidad Total]]*6%,Tabla4[[#This Row],[Utilidad Total]]*11.5%))/Tabla4[[#This Row],[Total]]</f>
        <v>#N/A</v>
      </c>
      <c r="V1088" s="282" t="e">
        <f>+Tabla4[[#This Row],[Comisión Calculada]]*Tabla4[[#This Row],[Total]]</f>
        <v>#N/A</v>
      </c>
    </row>
    <row r="1089" spans="1:22" hidden="1" x14ac:dyDescent="0.25">
      <c r="A1089" s="100">
        <v>45731</v>
      </c>
      <c r="B1089" t="str">
        <f t="shared" si="44"/>
        <v>March</v>
      </c>
      <c r="C1089" s="46" t="s">
        <v>280</v>
      </c>
      <c r="F1089" s="366" t="s">
        <v>1170</v>
      </c>
      <c r="G1089" s="46" t="s">
        <v>16</v>
      </c>
      <c r="H1089" s="46">
        <v>4</v>
      </c>
      <c r="I1089" s="51">
        <v>4103.8500000000004</v>
      </c>
      <c r="J1089" s="281">
        <f>++Tabla4[[#This Row],[Precio Bruto]]*1.16</f>
        <v>4760.4660000000003</v>
      </c>
      <c r="K1089" s="281">
        <f>+Tabla4[[#This Row],[Precio Unitario Neto]]*Tabla4[[#Headers],[20.85%]]</f>
        <v>992.55716100000006</v>
      </c>
      <c r="L1089" s="282">
        <f>++Tabla4[[#This Row],[Precio Unitario Neto]]-Tabla4[[#This Row],[20.85%]]</f>
        <v>3767.9088390000002</v>
      </c>
      <c r="M1089" s="282" t="e">
        <f>(INDEX(Tabla6[#All],MATCH(Tabla4[[#This Row],[Producto]],Tabla6[[#All],[PRODUCTO]],0),MATCH(Tabla4[[#This Row],[Mes]],Tabla6[#Headers],0)))*(1+Catalogos!$L$2)</f>
        <v>#N/A</v>
      </c>
      <c r="N1089" s="283" t="e">
        <f>+(Tabla4[[#This Row],[Precio Descontado]]-Tabla4[[#This Row],[Precio Base]])*Tabla4[[#This Row],[Cantidad]]</f>
        <v>#N/A</v>
      </c>
      <c r="O1089" s="284" t="e">
        <f>++Tabla4[[#This Row],[Utilidad Total]]/Tabla4[[#This Row],[Total]]</f>
        <v>#N/A</v>
      </c>
      <c r="P1089" s="282">
        <f>++Tabla4[[#This Row],[Precio Descontado]]*Tabla4[[#This Row],[Cantidad]]</f>
        <v>15071.635356000001</v>
      </c>
      <c r="Q1089" s="282" t="e">
        <f>(INDEX(Tabla6[#All],MATCH(Tabla4[[#This Row],[Producto]],Tabla6[[#All],[PRODUCTO]],0),MATCH(Tabla4[[#This Row],[Mes]],Tabla6[#Headers],0)))</f>
        <v>#N/A</v>
      </c>
      <c r="R1089" s="282" t="e">
        <f>++Tabla4[[#This Row],[Precio Unitario Neto]]-Tabla4[[#This Row],[20.85%]]-Tabla4[[#This Row],[Costo]]</f>
        <v>#N/A</v>
      </c>
      <c r="S1089" s="282" t="e">
        <f>++Tabla4[[#This Row],[U. Bruta Uni]]*Tabla4[[#This Row],[Cantidad]]</f>
        <v>#N/A</v>
      </c>
      <c r="T1089" s="369" t="str">
        <f>VLOOKUP(Tabla4[[#This Row],[Producto]],Tabla6[#All],14,FALSE)</f>
        <v>Termico Solar</v>
      </c>
      <c r="U1089" s="284" t="e">
        <f>(IF(Tabla4[[#This Row],[Familia]]="termico solar",Tabla4[[#This Row],[Utilidad Total]]*6%,Tabla4[[#This Row],[Utilidad Total]]*11.5%))/Tabla4[[#This Row],[Total]]</f>
        <v>#N/A</v>
      </c>
      <c r="V1089" s="282" t="e">
        <f>+Tabla4[[#This Row],[Comisión Calculada]]*Tabla4[[#This Row],[Total]]</f>
        <v>#N/A</v>
      </c>
    </row>
    <row r="1090" spans="1:22" hidden="1" x14ac:dyDescent="0.25">
      <c r="A1090" s="100">
        <v>45731</v>
      </c>
      <c r="B1090" t="str">
        <f t="shared" si="44"/>
        <v>March</v>
      </c>
      <c r="C1090" s="46" t="s">
        <v>280</v>
      </c>
      <c r="F1090" s="366" t="s">
        <v>1171</v>
      </c>
      <c r="G1090" s="46" t="s">
        <v>83</v>
      </c>
      <c r="H1090" s="46">
        <v>2</v>
      </c>
      <c r="I1090" s="51">
        <v>8858.76</v>
      </c>
      <c r="J1090" s="281">
        <f>++Tabla4[[#This Row],[Precio Bruto]]*1.16</f>
        <v>10276.161599999999</v>
      </c>
      <c r="K1090" s="281">
        <f>+Tabla4[[#This Row],[Precio Unitario Neto]]*Tabla4[[#Headers],[20.85%]]</f>
        <v>2142.5796935999997</v>
      </c>
      <c r="L1090" s="282">
        <f>++Tabla4[[#This Row],[Precio Unitario Neto]]-Tabla4[[#This Row],[20.85%]]</f>
        <v>8133.5819063999998</v>
      </c>
      <c r="M1090" s="282" t="e">
        <f>(INDEX(Tabla6[#All],MATCH(Tabla4[[#This Row],[Producto]],Tabla6[[#All],[PRODUCTO]],0),MATCH(Tabla4[[#This Row],[Mes]],Tabla6[#Headers],0)))*(1+Catalogos!$L$2)</f>
        <v>#N/A</v>
      </c>
      <c r="N1090" s="283" t="e">
        <f>+(Tabla4[[#This Row],[Precio Descontado]]-Tabla4[[#This Row],[Precio Base]])*Tabla4[[#This Row],[Cantidad]]</f>
        <v>#N/A</v>
      </c>
      <c r="O1090" s="284" t="e">
        <f>++Tabla4[[#This Row],[Utilidad Total]]/Tabla4[[#This Row],[Total]]</f>
        <v>#N/A</v>
      </c>
      <c r="P1090" s="282">
        <f>++Tabla4[[#This Row],[Precio Descontado]]*Tabla4[[#This Row],[Cantidad]]</f>
        <v>16267.1638128</v>
      </c>
      <c r="Q1090" s="282" t="e">
        <f>(INDEX(Tabla6[#All],MATCH(Tabla4[[#This Row],[Producto]],Tabla6[[#All],[PRODUCTO]],0),MATCH(Tabla4[[#This Row],[Mes]],Tabla6[#Headers],0)))</f>
        <v>#N/A</v>
      </c>
      <c r="R1090" s="282" t="e">
        <f>++Tabla4[[#This Row],[Precio Unitario Neto]]-Tabla4[[#This Row],[20.85%]]-Tabla4[[#This Row],[Costo]]</f>
        <v>#N/A</v>
      </c>
      <c r="S1090" s="282" t="e">
        <f>++Tabla4[[#This Row],[U. Bruta Uni]]*Tabla4[[#This Row],[Cantidad]]</f>
        <v>#N/A</v>
      </c>
      <c r="T1090" s="369" t="str">
        <f>VLOOKUP(Tabla4[[#This Row],[Producto]],Tabla6[#All],14,FALSE)</f>
        <v>Termico Solar</v>
      </c>
      <c r="U1090" s="284" t="e">
        <f>(IF(Tabla4[[#This Row],[Familia]]="termico solar",Tabla4[[#This Row],[Utilidad Total]]*6%,Tabla4[[#This Row],[Utilidad Total]]*11.5%))/Tabla4[[#This Row],[Total]]</f>
        <v>#N/A</v>
      </c>
      <c r="V1090" s="282" t="e">
        <f>+Tabla4[[#This Row],[Comisión Calculada]]*Tabla4[[#This Row],[Total]]</f>
        <v>#N/A</v>
      </c>
    </row>
    <row r="1091" spans="1:22" hidden="1" x14ac:dyDescent="0.25">
      <c r="A1091" s="100">
        <v>45731</v>
      </c>
      <c r="B1091" t="str">
        <f t="shared" si="44"/>
        <v>March</v>
      </c>
      <c r="C1091" s="46" t="s">
        <v>280</v>
      </c>
      <c r="F1091" s="366" t="s">
        <v>1171</v>
      </c>
      <c r="G1091" s="46" t="s">
        <v>17</v>
      </c>
      <c r="H1091" s="46">
        <v>10</v>
      </c>
      <c r="I1091" s="51">
        <v>4622.2800000000007</v>
      </c>
      <c r="J1091" s="281">
        <f>++Tabla4[[#This Row],[Precio Bruto]]*1.16</f>
        <v>5361.8448000000008</v>
      </c>
      <c r="K1091" s="281">
        <f>+Tabla4[[#This Row],[Precio Unitario Neto]]*Tabla4[[#Headers],[20.85%]]</f>
        <v>1117.9446408000001</v>
      </c>
      <c r="L1091" s="282">
        <f>++Tabla4[[#This Row],[Precio Unitario Neto]]-Tabla4[[#This Row],[20.85%]]</f>
        <v>4243.9001592000004</v>
      </c>
      <c r="M1091" s="282" t="e">
        <f>(INDEX(Tabla6[#All],MATCH(Tabla4[[#This Row],[Producto]],Tabla6[[#All],[PRODUCTO]],0),MATCH(Tabla4[[#This Row],[Mes]],Tabla6[#Headers],0)))*(1+Catalogos!$L$2)</f>
        <v>#N/A</v>
      </c>
      <c r="N1091" s="283" t="e">
        <f>+(Tabla4[[#This Row],[Precio Descontado]]-Tabla4[[#This Row],[Precio Base]])*Tabla4[[#This Row],[Cantidad]]</f>
        <v>#N/A</v>
      </c>
      <c r="O1091" s="284" t="e">
        <f>++Tabla4[[#This Row],[Utilidad Total]]/Tabla4[[#This Row],[Total]]</f>
        <v>#N/A</v>
      </c>
      <c r="P1091" s="282">
        <f>++Tabla4[[#This Row],[Precio Descontado]]*Tabla4[[#This Row],[Cantidad]]</f>
        <v>42439.001592000001</v>
      </c>
      <c r="Q1091" s="282" t="e">
        <f>(INDEX(Tabla6[#All],MATCH(Tabla4[[#This Row],[Producto]],Tabla6[[#All],[PRODUCTO]],0),MATCH(Tabla4[[#This Row],[Mes]],Tabla6[#Headers],0)))</f>
        <v>#N/A</v>
      </c>
      <c r="R1091" s="282" t="e">
        <f>++Tabla4[[#This Row],[Precio Unitario Neto]]-Tabla4[[#This Row],[20.85%]]-Tabla4[[#This Row],[Costo]]</f>
        <v>#N/A</v>
      </c>
      <c r="S1091" s="282" t="e">
        <f>++Tabla4[[#This Row],[U. Bruta Uni]]*Tabla4[[#This Row],[Cantidad]]</f>
        <v>#N/A</v>
      </c>
      <c r="T1091" s="369" t="str">
        <f>VLOOKUP(Tabla4[[#This Row],[Producto]],Tabla6[#All],14,FALSE)</f>
        <v>Termico Solar</v>
      </c>
      <c r="U1091" s="284" t="e">
        <f>(IF(Tabla4[[#This Row],[Familia]]="termico solar",Tabla4[[#This Row],[Utilidad Total]]*6%,Tabla4[[#This Row],[Utilidad Total]]*11.5%))/Tabla4[[#This Row],[Total]]</f>
        <v>#N/A</v>
      </c>
      <c r="V1091" s="282" t="e">
        <f>+Tabla4[[#This Row],[Comisión Calculada]]*Tabla4[[#This Row],[Total]]</f>
        <v>#N/A</v>
      </c>
    </row>
    <row r="1092" spans="1:22" hidden="1" x14ac:dyDescent="0.25">
      <c r="A1092" s="100">
        <v>45731</v>
      </c>
      <c r="B1092" t="str">
        <f t="shared" si="44"/>
        <v>March</v>
      </c>
      <c r="C1092" s="46" t="s">
        <v>280</v>
      </c>
      <c r="F1092" s="366" t="s">
        <v>1171</v>
      </c>
      <c r="G1092" s="46" t="s">
        <v>18</v>
      </c>
      <c r="H1092" s="46">
        <v>5</v>
      </c>
      <c r="I1092" s="51">
        <v>5367.65</v>
      </c>
      <c r="J1092" s="281">
        <f>++Tabla4[[#This Row],[Precio Bruto]]*1.16</f>
        <v>6226.4739999999993</v>
      </c>
      <c r="K1092" s="281">
        <f>+Tabla4[[#This Row],[Precio Unitario Neto]]*Tabla4[[#Headers],[20.85%]]</f>
        <v>1298.2198289999999</v>
      </c>
      <c r="L1092" s="282">
        <f>++Tabla4[[#This Row],[Precio Unitario Neto]]-Tabla4[[#This Row],[20.85%]]</f>
        <v>4928.2541709999996</v>
      </c>
      <c r="M1092" s="282" t="e">
        <f>(INDEX(Tabla6[#All],MATCH(Tabla4[[#This Row],[Producto]],Tabla6[[#All],[PRODUCTO]],0),MATCH(Tabla4[[#This Row],[Mes]],Tabla6[#Headers],0)))*(1+Catalogos!$L$2)</f>
        <v>#N/A</v>
      </c>
      <c r="N1092" s="283" t="e">
        <f>+(Tabla4[[#This Row],[Precio Descontado]]-Tabla4[[#This Row],[Precio Base]])*Tabla4[[#This Row],[Cantidad]]</f>
        <v>#N/A</v>
      </c>
      <c r="O1092" s="284" t="e">
        <f>++Tabla4[[#This Row],[Utilidad Total]]/Tabla4[[#This Row],[Total]]</f>
        <v>#N/A</v>
      </c>
      <c r="P1092" s="282">
        <f>++Tabla4[[#This Row],[Precio Descontado]]*Tabla4[[#This Row],[Cantidad]]</f>
        <v>24641.270854999999</v>
      </c>
      <c r="Q1092" s="282" t="e">
        <f>(INDEX(Tabla6[#All],MATCH(Tabla4[[#This Row],[Producto]],Tabla6[[#All],[PRODUCTO]],0),MATCH(Tabla4[[#This Row],[Mes]],Tabla6[#Headers],0)))</f>
        <v>#N/A</v>
      </c>
      <c r="R1092" s="282" t="e">
        <f>++Tabla4[[#This Row],[Precio Unitario Neto]]-Tabla4[[#This Row],[20.85%]]-Tabla4[[#This Row],[Costo]]</f>
        <v>#N/A</v>
      </c>
      <c r="S1092" s="282" t="e">
        <f>++Tabla4[[#This Row],[U. Bruta Uni]]*Tabla4[[#This Row],[Cantidad]]</f>
        <v>#N/A</v>
      </c>
      <c r="T1092" s="369" t="str">
        <f>VLOOKUP(Tabla4[[#This Row],[Producto]],Tabla6[#All],14,FALSE)</f>
        <v>Termico Solar</v>
      </c>
      <c r="U1092" s="284" t="e">
        <f>(IF(Tabla4[[#This Row],[Familia]]="termico solar",Tabla4[[#This Row],[Utilidad Total]]*6%,Tabla4[[#This Row],[Utilidad Total]]*11.5%))/Tabla4[[#This Row],[Total]]</f>
        <v>#N/A</v>
      </c>
      <c r="V1092" s="282" t="e">
        <f>+Tabla4[[#This Row],[Comisión Calculada]]*Tabla4[[#This Row],[Total]]</f>
        <v>#N/A</v>
      </c>
    </row>
    <row r="1093" spans="1:22" hidden="1" x14ac:dyDescent="0.25">
      <c r="A1093" s="100">
        <v>45731</v>
      </c>
      <c r="B1093" t="str">
        <f t="shared" si="44"/>
        <v>March</v>
      </c>
      <c r="C1093" s="46" t="s">
        <v>280</v>
      </c>
      <c r="F1093" s="366" t="s">
        <v>1171</v>
      </c>
      <c r="G1093" s="46" t="s">
        <v>16</v>
      </c>
      <c r="H1093" s="46">
        <v>2</v>
      </c>
      <c r="I1093" s="51">
        <v>4103.8500000000004</v>
      </c>
      <c r="J1093" s="281">
        <f>++Tabla4[[#This Row],[Precio Bruto]]*1.16</f>
        <v>4760.4660000000003</v>
      </c>
      <c r="K1093" s="281">
        <f>+Tabla4[[#This Row],[Precio Unitario Neto]]*Tabla4[[#Headers],[20.85%]]</f>
        <v>992.55716100000006</v>
      </c>
      <c r="L1093" s="282">
        <f>++Tabla4[[#This Row],[Precio Unitario Neto]]-Tabla4[[#This Row],[20.85%]]</f>
        <v>3767.9088390000002</v>
      </c>
      <c r="M1093" s="282" t="e">
        <f>(INDEX(Tabla6[#All],MATCH(Tabla4[[#This Row],[Producto]],Tabla6[[#All],[PRODUCTO]],0),MATCH(Tabla4[[#This Row],[Mes]],Tabla6[#Headers],0)))*(1+Catalogos!$L$2)</f>
        <v>#N/A</v>
      </c>
      <c r="N1093" s="283" t="e">
        <f>+(Tabla4[[#This Row],[Precio Descontado]]-Tabla4[[#This Row],[Precio Base]])*Tabla4[[#This Row],[Cantidad]]</f>
        <v>#N/A</v>
      </c>
      <c r="O1093" s="284" t="e">
        <f>++Tabla4[[#This Row],[Utilidad Total]]/Tabla4[[#This Row],[Total]]</f>
        <v>#N/A</v>
      </c>
      <c r="P1093" s="282">
        <f>++Tabla4[[#This Row],[Precio Descontado]]*Tabla4[[#This Row],[Cantidad]]</f>
        <v>7535.8176780000003</v>
      </c>
      <c r="Q1093" s="282" t="e">
        <f>(INDEX(Tabla6[#All],MATCH(Tabla4[[#This Row],[Producto]],Tabla6[[#All],[PRODUCTO]],0),MATCH(Tabla4[[#This Row],[Mes]],Tabla6[#Headers],0)))</f>
        <v>#N/A</v>
      </c>
      <c r="R1093" s="282" t="e">
        <f>++Tabla4[[#This Row],[Precio Unitario Neto]]-Tabla4[[#This Row],[20.85%]]-Tabla4[[#This Row],[Costo]]</f>
        <v>#N/A</v>
      </c>
      <c r="S1093" s="282" t="e">
        <f>++Tabla4[[#This Row],[U. Bruta Uni]]*Tabla4[[#This Row],[Cantidad]]</f>
        <v>#N/A</v>
      </c>
      <c r="T1093" s="369" t="str">
        <f>VLOOKUP(Tabla4[[#This Row],[Producto]],Tabla6[#All],14,FALSE)</f>
        <v>Termico Solar</v>
      </c>
      <c r="U1093" s="284" t="e">
        <f>(IF(Tabla4[[#This Row],[Familia]]="termico solar",Tabla4[[#This Row],[Utilidad Total]]*6%,Tabla4[[#This Row],[Utilidad Total]]*11.5%))/Tabla4[[#This Row],[Total]]</f>
        <v>#N/A</v>
      </c>
      <c r="V1093" s="282" t="e">
        <f>+Tabla4[[#This Row],[Comisión Calculada]]*Tabla4[[#This Row],[Total]]</f>
        <v>#N/A</v>
      </c>
    </row>
    <row r="1094" spans="1:22" hidden="1" x14ac:dyDescent="0.25">
      <c r="A1094" s="100">
        <v>45731</v>
      </c>
      <c r="B1094" t="str">
        <f t="shared" ref="B1094:B1100" si="45">TEXT(A1094, "mmmm")</f>
        <v>March</v>
      </c>
      <c r="C1094" s="46" t="s">
        <v>280</v>
      </c>
      <c r="F1094" s="366" t="s">
        <v>1172</v>
      </c>
      <c r="G1094" s="46" t="s">
        <v>83</v>
      </c>
      <c r="H1094" s="46">
        <v>8</v>
      </c>
      <c r="I1094" s="51">
        <v>8858.76</v>
      </c>
      <c r="J1094" s="281">
        <f>++Tabla4[[#This Row],[Precio Bruto]]*1.16</f>
        <v>10276.161599999999</v>
      </c>
      <c r="K1094" s="281">
        <f>+Tabla4[[#This Row],[Precio Unitario Neto]]*Tabla4[[#Headers],[20.85%]]</f>
        <v>2142.5796935999997</v>
      </c>
      <c r="L1094" s="282">
        <f>++Tabla4[[#This Row],[Precio Unitario Neto]]-Tabla4[[#This Row],[20.85%]]</f>
        <v>8133.5819063999998</v>
      </c>
      <c r="M1094" s="282" t="e">
        <f>(INDEX(Tabla6[#All],MATCH(Tabla4[[#This Row],[Producto]],Tabla6[[#All],[PRODUCTO]],0),MATCH(Tabla4[[#This Row],[Mes]],Tabla6[#Headers],0)))*(1+Catalogos!$L$2)</f>
        <v>#N/A</v>
      </c>
      <c r="N1094" s="283" t="e">
        <f>+(Tabla4[[#This Row],[Precio Descontado]]-Tabla4[[#This Row],[Precio Base]])*Tabla4[[#This Row],[Cantidad]]</f>
        <v>#N/A</v>
      </c>
      <c r="O1094" s="284" t="e">
        <f>++Tabla4[[#This Row],[Utilidad Total]]/Tabla4[[#This Row],[Total]]</f>
        <v>#N/A</v>
      </c>
      <c r="P1094" s="282">
        <f>++Tabla4[[#This Row],[Precio Descontado]]*Tabla4[[#This Row],[Cantidad]]</f>
        <v>65068.655251199998</v>
      </c>
      <c r="Q1094" s="282" t="e">
        <f>(INDEX(Tabla6[#All],MATCH(Tabla4[[#This Row],[Producto]],Tabla6[[#All],[PRODUCTO]],0),MATCH(Tabla4[[#This Row],[Mes]],Tabla6[#Headers],0)))</f>
        <v>#N/A</v>
      </c>
      <c r="R1094" s="282" t="e">
        <f>++Tabla4[[#This Row],[Precio Unitario Neto]]-Tabla4[[#This Row],[20.85%]]-Tabla4[[#This Row],[Costo]]</f>
        <v>#N/A</v>
      </c>
      <c r="S1094" s="282" t="e">
        <f>++Tabla4[[#This Row],[U. Bruta Uni]]*Tabla4[[#This Row],[Cantidad]]</f>
        <v>#N/A</v>
      </c>
      <c r="T1094" s="369" t="str">
        <f>VLOOKUP(Tabla4[[#This Row],[Producto]],Tabla6[#All],14,FALSE)</f>
        <v>Termico Solar</v>
      </c>
      <c r="U1094" s="284" t="e">
        <f>(IF(Tabla4[[#This Row],[Familia]]="termico solar",Tabla4[[#This Row],[Utilidad Total]]*6%,Tabla4[[#This Row],[Utilidad Total]]*11.5%))/Tabla4[[#This Row],[Total]]</f>
        <v>#N/A</v>
      </c>
      <c r="V1094" s="282" t="e">
        <f>+Tabla4[[#This Row],[Comisión Calculada]]*Tabla4[[#This Row],[Total]]</f>
        <v>#N/A</v>
      </c>
    </row>
    <row r="1095" spans="1:22" hidden="1" x14ac:dyDescent="0.25">
      <c r="A1095" s="100">
        <v>45731</v>
      </c>
      <c r="B1095" t="str">
        <f t="shared" si="45"/>
        <v>March</v>
      </c>
      <c r="C1095" s="46" t="s">
        <v>280</v>
      </c>
      <c r="F1095" s="366" t="s">
        <v>1172</v>
      </c>
      <c r="G1095" s="46" t="s">
        <v>17</v>
      </c>
      <c r="H1095" s="46">
        <v>27</v>
      </c>
      <c r="I1095" s="51">
        <v>4622.28</v>
      </c>
      <c r="J1095" s="281">
        <f>++Tabla4[[#This Row],[Precio Bruto]]*1.16</f>
        <v>5361.8447999999989</v>
      </c>
      <c r="K1095" s="281">
        <f>+Tabla4[[#This Row],[Precio Unitario Neto]]*Tabla4[[#Headers],[20.85%]]</f>
        <v>1117.9446407999997</v>
      </c>
      <c r="L1095" s="282">
        <f>++Tabla4[[#This Row],[Precio Unitario Neto]]-Tabla4[[#This Row],[20.85%]]</f>
        <v>4243.9001591999995</v>
      </c>
      <c r="M1095" s="282" t="e">
        <f>(INDEX(Tabla6[#All],MATCH(Tabla4[[#This Row],[Producto]],Tabla6[[#All],[PRODUCTO]],0),MATCH(Tabla4[[#This Row],[Mes]],Tabla6[#Headers],0)))*(1+Catalogos!$L$2)</f>
        <v>#N/A</v>
      </c>
      <c r="N1095" s="283" t="e">
        <f>+(Tabla4[[#This Row],[Precio Descontado]]-Tabla4[[#This Row],[Precio Base]])*Tabla4[[#This Row],[Cantidad]]</f>
        <v>#N/A</v>
      </c>
      <c r="O1095" s="284" t="e">
        <f>++Tabla4[[#This Row],[Utilidad Total]]/Tabla4[[#This Row],[Total]]</f>
        <v>#N/A</v>
      </c>
      <c r="P1095" s="282">
        <f>++Tabla4[[#This Row],[Precio Descontado]]*Tabla4[[#This Row],[Cantidad]]</f>
        <v>114585.30429839999</v>
      </c>
      <c r="Q1095" s="282" t="e">
        <f>(INDEX(Tabla6[#All],MATCH(Tabla4[[#This Row],[Producto]],Tabla6[[#All],[PRODUCTO]],0),MATCH(Tabla4[[#This Row],[Mes]],Tabla6[#Headers],0)))</f>
        <v>#N/A</v>
      </c>
      <c r="R1095" s="282" t="e">
        <f>++Tabla4[[#This Row],[Precio Unitario Neto]]-Tabla4[[#This Row],[20.85%]]-Tabla4[[#This Row],[Costo]]</f>
        <v>#N/A</v>
      </c>
      <c r="S1095" s="282" t="e">
        <f>++Tabla4[[#This Row],[U. Bruta Uni]]*Tabla4[[#This Row],[Cantidad]]</f>
        <v>#N/A</v>
      </c>
      <c r="T1095" s="369" t="str">
        <f>VLOOKUP(Tabla4[[#This Row],[Producto]],Tabla6[#All],14,FALSE)</f>
        <v>Termico Solar</v>
      </c>
      <c r="U1095" s="284" t="e">
        <f>(IF(Tabla4[[#This Row],[Familia]]="termico solar",Tabla4[[#This Row],[Utilidad Total]]*6%,Tabla4[[#This Row],[Utilidad Total]]*11.5%))/Tabla4[[#This Row],[Total]]</f>
        <v>#N/A</v>
      </c>
      <c r="V1095" s="282" t="e">
        <f>+Tabla4[[#This Row],[Comisión Calculada]]*Tabla4[[#This Row],[Total]]</f>
        <v>#N/A</v>
      </c>
    </row>
    <row r="1096" spans="1:22" hidden="1" x14ac:dyDescent="0.25">
      <c r="A1096" s="100">
        <v>45731</v>
      </c>
      <c r="B1096" t="str">
        <f t="shared" si="45"/>
        <v>March</v>
      </c>
      <c r="C1096" s="46" t="s">
        <v>280</v>
      </c>
      <c r="F1096" s="366" t="s">
        <v>1172</v>
      </c>
      <c r="G1096" s="46" t="s">
        <v>21</v>
      </c>
      <c r="H1096" s="46">
        <v>7</v>
      </c>
      <c r="I1096" s="51">
        <v>9282.19</v>
      </c>
      <c r="J1096" s="281">
        <f>++Tabla4[[#This Row],[Precio Bruto]]*1.16</f>
        <v>10767.340399999999</v>
      </c>
      <c r="K1096" s="281">
        <f>+Tabla4[[#This Row],[Precio Unitario Neto]]*Tabla4[[#Headers],[20.85%]]</f>
        <v>2244.9904733999997</v>
      </c>
      <c r="L1096" s="282">
        <f>++Tabla4[[#This Row],[Precio Unitario Neto]]-Tabla4[[#This Row],[20.85%]]</f>
        <v>8522.3499265999999</v>
      </c>
      <c r="M1096" s="282" t="e">
        <f>(INDEX(Tabla6[#All],MATCH(Tabla4[[#This Row],[Producto]],Tabla6[[#All],[PRODUCTO]],0),MATCH(Tabla4[[#This Row],[Mes]],Tabla6[#Headers],0)))*(1+Catalogos!$L$2)</f>
        <v>#N/A</v>
      </c>
      <c r="N1096" s="283" t="e">
        <f>+(Tabla4[[#This Row],[Precio Descontado]]-Tabla4[[#This Row],[Precio Base]])*Tabla4[[#This Row],[Cantidad]]</f>
        <v>#N/A</v>
      </c>
      <c r="O1096" s="284" t="e">
        <f>++Tabla4[[#This Row],[Utilidad Total]]/Tabla4[[#This Row],[Total]]</f>
        <v>#N/A</v>
      </c>
      <c r="P1096" s="282">
        <f>++Tabla4[[#This Row],[Precio Descontado]]*Tabla4[[#This Row],[Cantidad]]</f>
        <v>59656.449486199999</v>
      </c>
      <c r="Q1096" s="282" t="e">
        <f>(INDEX(Tabla6[#All],MATCH(Tabla4[[#This Row],[Producto]],Tabla6[[#All],[PRODUCTO]],0),MATCH(Tabla4[[#This Row],[Mes]],Tabla6[#Headers],0)))</f>
        <v>#N/A</v>
      </c>
      <c r="R1096" s="282" t="e">
        <f>++Tabla4[[#This Row],[Precio Unitario Neto]]-Tabla4[[#This Row],[20.85%]]-Tabla4[[#This Row],[Costo]]</f>
        <v>#N/A</v>
      </c>
      <c r="S1096" s="282" t="e">
        <f>++Tabla4[[#This Row],[U. Bruta Uni]]*Tabla4[[#This Row],[Cantidad]]</f>
        <v>#N/A</v>
      </c>
      <c r="T1096" s="369" t="str">
        <f>VLOOKUP(Tabla4[[#This Row],[Producto]],Tabla6[#All],14,FALSE)</f>
        <v>Termico Solar</v>
      </c>
      <c r="U1096" s="284" t="e">
        <f>(IF(Tabla4[[#This Row],[Familia]]="termico solar",Tabla4[[#This Row],[Utilidad Total]]*6%,Tabla4[[#This Row],[Utilidad Total]]*11.5%))/Tabla4[[#This Row],[Total]]</f>
        <v>#N/A</v>
      </c>
      <c r="V1096" s="282" t="e">
        <f>+Tabla4[[#This Row],[Comisión Calculada]]*Tabla4[[#This Row],[Total]]</f>
        <v>#N/A</v>
      </c>
    </row>
    <row r="1097" spans="1:22" hidden="1" x14ac:dyDescent="0.25">
      <c r="A1097" s="100">
        <v>45731</v>
      </c>
      <c r="B1097" t="str">
        <f t="shared" si="45"/>
        <v>March</v>
      </c>
      <c r="C1097" s="46" t="s">
        <v>280</v>
      </c>
      <c r="F1097" s="366" t="s">
        <v>1172</v>
      </c>
      <c r="G1097" s="46" t="s">
        <v>84</v>
      </c>
      <c r="H1097" s="46">
        <v>6</v>
      </c>
      <c r="I1097" s="51">
        <v>16601.829999999998</v>
      </c>
      <c r="J1097" s="281">
        <f>++Tabla4[[#This Row],[Precio Bruto]]*1.16</f>
        <v>19258.122799999997</v>
      </c>
      <c r="K1097" s="281">
        <f>+Tabla4[[#This Row],[Precio Unitario Neto]]*Tabla4[[#Headers],[20.85%]]</f>
        <v>4015.3186037999994</v>
      </c>
      <c r="L1097" s="282">
        <f>++Tabla4[[#This Row],[Precio Unitario Neto]]-Tabla4[[#This Row],[20.85%]]</f>
        <v>15242.804196199999</v>
      </c>
      <c r="M1097" s="282" t="e">
        <f>(INDEX(Tabla6[#All],MATCH(Tabla4[[#This Row],[Producto]],Tabla6[[#All],[PRODUCTO]],0),MATCH(Tabla4[[#This Row],[Mes]],Tabla6[#Headers],0)))*(1+Catalogos!$L$2)</f>
        <v>#N/A</v>
      </c>
      <c r="N1097" s="283" t="e">
        <f>+(Tabla4[[#This Row],[Precio Descontado]]-Tabla4[[#This Row],[Precio Base]])*Tabla4[[#This Row],[Cantidad]]</f>
        <v>#N/A</v>
      </c>
      <c r="O1097" s="284" t="e">
        <f>++Tabla4[[#This Row],[Utilidad Total]]/Tabla4[[#This Row],[Total]]</f>
        <v>#N/A</v>
      </c>
      <c r="P1097" s="282">
        <f>++Tabla4[[#This Row],[Precio Descontado]]*Tabla4[[#This Row],[Cantidad]]</f>
        <v>91456.825177199993</v>
      </c>
      <c r="Q1097" s="282" t="e">
        <f>(INDEX(Tabla6[#All],MATCH(Tabla4[[#This Row],[Producto]],Tabla6[[#All],[PRODUCTO]],0),MATCH(Tabla4[[#This Row],[Mes]],Tabla6[#Headers],0)))</f>
        <v>#N/A</v>
      </c>
      <c r="R1097" s="282" t="e">
        <f>++Tabla4[[#This Row],[Precio Unitario Neto]]-Tabla4[[#This Row],[20.85%]]-Tabla4[[#This Row],[Costo]]</f>
        <v>#N/A</v>
      </c>
      <c r="S1097" s="282" t="e">
        <f>++Tabla4[[#This Row],[U. Bruta Uni]]*Tabla4[[#This Row],[Cantidad]]</f>
        <v>#N/A</v>
      </c>
      <c r="T1097" s="369" t="str">
        <f>VLOOKUP(Tabla4[[#This Row],[Producto]],Tabla6[#All],14,FALSE)</f>
        <v>Termico Solar</v>
      </c>
      <c r="U1097" s="284" t="e">
        <f>(IF(Tabla4[[#This Row],[Familia]]="termico solar",Tabla4[[#This Row],[Utilidad Total]]*6%,Tabla4[[#This Row],[Utilidad Total]]*11.5%))/Tabla4[[#This Row],[Total]]</f>
        <v>#N/A</v>
      </c>
      <c r="V1097" s="282" t="e">
        <f>+Tabla4[[#This Row],[Comisión Calculada]]*Tabla4[[#This Row],[Total]]</f>
        <v>#N/A</v>
      </c>
    </row>
    <row r="1098" spans="1:22" hidden="1" x14ac:dyDescent="0.25">
      <c r="A1098" s="100">
        <v>45731</v>
      </c>
      <c r="B1098" t="str">
        <f t="shared" si="45"/>
        <v>March</v>
      </c>
      <c r="C1098" s="46" t="s">
        <v>280</v>
      </c>
      <c r="F1098" s="366" t="s">
        <v>1172</v>
      </c>
      <c r="G1098" s="46" t="s">
        <v>208</v>
      </c>
      <c r="H1098" s="46">
        <v>15</v>
      </c>
      <c r="I1098" s="51">
        <v>140.63</v>
      </c>
      <c r="J1098" s="281">
        <f>++Tabla4[[#This Row],[Precio Bruto]]*1.16</f>
        <v>163.13079999999999</v>
      </c>
      <c r="K1098" s="281">
        <f>+Tabla4[[#This Row],[Precio Unitario Neto]]*Tabla4[[#Headers],[20.85%]]</f>
        <v>34.012771799999996</v>
      </c>
      <c r="L1098" s="282">
        <f>++Tabla4[[#This Row],[Precio Unitario Neto]]-Tabla4[[#This Row],[20.85%]]</f>
        <v>129.1180282</v>
      </c>
      <c r="M1098" s="282" t="e">
        <f>(INDEX(Tabla6[#All],MATCH(Tabla4[[#This Row],[Producto]],Tabla6[[#All],[PRODUCTO]],0),MATCH(Tabla4[[#This Row],[Mes]],Tabla6[#Headers],0)))*(1+Catalogos!$L$2)</f>
        <v>#N/A</v>
      </c>
      <c r="N1098" s="283" t="e">
        <f>+(Tabla4[[#This Row],[Precio Descontado]]-Tabla4[[#This Row],[Precio Base]])*Tabla4[[#This Row],[Cantidad]]</f>
        <v>#N/A</v>
      </c>
      <c r="O1098" s="284" t="e">
        <f>++Tabla4[[#This Row],[Utilidad Total]]/Tabla4[[#This Row],[Total]]</f>
        <v>#N/A</v>
      </c>
      <c r="P1098" s="282">
        <f>++Tabla4[[#This Row],[Precio Descontado]]*Tabla4[[#This Row],[Cantidad]]</f>
        <v>1936.7704229999999</v>
      </c>
      <c r="Q1098" s="282" t="e">
        <f>(INDEX(Tabla6[#All],MATCH(Tabla4[[#This Row],[Producto]],Tabla6[[#All],[PRODUCTO]],0),MATCH(Tabla4[[#This Row],[Mes]],Tabla6[#Headers],0)))</f>
        <v>#N/A</v>
      </c>
      <c r="R1098" s="282" t="e">
        <f>++Tabla4[[#This Row],[Precio Unitario Neto]]-Tabla4[[#This Row],[20.85%]]-Tabla4[[#This Row],[Costo]]</f>
        <v>#N/A</v>
      </c>
      <c r="S1098" s="282" t="e">
        <f>++Tabla4[[#This Row],[U. Bruta Uni]]*Tabla4[[#This Row],[Cantidad]]</f>
        <v>#N/A</v>
      </c>
      <c r="T1098" s="369" t="str">
        <f>VLOOKUP(Tabla4[[#This Row],[Producto]],Tabla6[#All],14,FALSE)</f>
        <v>Termico Solar</v>
      </c>
      <c r="U1098" s="284" t="e">
        <f>(IF(Tabla4[[#This Row],[Familia]]="termico solar",Tabla4[[#This Row],[Utilidad Total]]*6%,Tabla4[[#This Row],[Utilidad Total]]*11.5%))/Tabla4[[#This Row],[Total]]</f>
        <v>#N/A</v>
      </c>
      <c r="V1098" s="282" t="e">
        <f>+Tabla4[[#This Row],[Comisión Calculada]]*Tabla4[[#This Row],[Total]]</f>
        <v>#N/A</v>
      </c>
    </row>
    <row r="1099" spans="1:22" hidden="1" x14ac:dyDescent="0.25">
      <c r="A1099" s="100">
        <v>45731</v>
      </c>
      <c r="B1099" t="str">
        <f t="shared" si="45"/>
        <v>March</v>
      </c>
      <c r="C1099" s="46" t="s">
        <v>280</v>
      </c>
      <c r="F1099" s="366" t="s">
        <v>1172</v>
      </c>
      <c r="G1099" s="46" t="s">
        <v>16</v>
      </c>
      <c r="H1099" s="46">
        <v>12</v>
      </c>
      <c r="I1099" s="51">
        <v>4103.8499999999995</v>
      </c>
      <c r="J1099" s="281">
        <f>++Tabla4[[#This Row],[Precio Bruto]]*1.16</f>
        <v>4760.4659999999994</v>
      </c>
      <c r="K1099" s="281">
        <f>+Tabla4[[#This Row],[Precio Unitario Neto]]*Tabla4[[#Headers],[20.85%]]</f>
        <v>992.55716099999984</v>
      </c>
      <c r="L1099" s="282">
        <f>++Tabla4[[#This Row],[Precio Unitario Neto]]-Tabla4[[#This Row],[20.85%]]</f>
        <v>3767.9088389999997</v>
      </c>
      <c r="M1099" s="282" t="e">
        <f>(INDEX(Tabla6[#All],MATCH(Tabla4[[#This Row],[Producto]],Tabla6[[#All],[PRODUCTO]],0),MATCH(Tabla4[[#This Row],[Mes]],Tabla6[#Headers],0)))*(1+Catalogos!$L$2)</f>
        <v>#N/A</v>
      </c>
      <c r="N1099" s="283" t="e">
        <f>+(Tabla4[[#This Row],[Precio Descontado]]-Tabla4[[#This Row],[Precio Base]])*Tabla4[[#This Row],[Cantidad]]</f>
        <v>#N/A</v>
      </c>
      <c r="O1099" s="284" t="e">
        <f>++Tabla4[[#This Row],[Utilidad Total]]/Tabla4[[#This Row],[Total]]</f>
        <v>#N/A</v>
      </c>
      <c r="P1099" s="282">
        <f>++Tabla4[[#This Row],[Precio Descontado]]*Tabla4[[#This Row],[Cantidad]]</f>
        <v>45214.906067999997</v>
      </c>
      <c r="Q1099" s="282" t="e">
        <f>(INDEX(Tabla6[#All],MATCH(Tabla4[[#This Row],[Producto]],Tabla6[[#All],[PRODUCTO]],0),MATCH(Tabla4[[#This Row],[Mes]],Tabla6[#Headers],0)))</f>
        <v>#N/A</v>
      </c>
      <c r="R1099" s="282" t="e">
        <f>++Tabla4[[#This Row],[Precio Unitario Neto]]-Tabla4[[#This Row],[20.85%]]-Tabla4[[#This Row],[Costo]]</f>
        <v>#N/A</v>
      </c>
      <c r="S1099" s="282" t="e">
        <f>++Tabla4[[#This Row],[U. Bruta Uni]]*Tabla4[[#This Row],[Cantidad]]</f>
        <v>#N/A</v>
      </c>
      <c r="T1099" s="369" t="str">
        <f>VLOOKUP(Tabla4[[#This Row],[Producto]],Tabla6[#All],14,FALSE)</f>
        <v>Termico Solar</v>
      </c>
      <c r="U1099" s="284" t="e">
        <f>(IF(Tabla4[[#This Row],[Familia]]="termico solar",Tabla4[[#This Row],[Utilidad Total]]*6%,Tabla4[[#This Row],[Utilidad Total]]*11.5%))/Tabla4[[#This Row],[Total]]</f>
        <v>#N/A</v>
      </c>
      <c r="V1099" s="282" t="e">
        <f>+Tabla4[[#This Row],[Comisión Calculada]]*Tabla4[[#This Row],[Total]]</f>
        <v>#N/A</v>
      </c>
    </row>
    <row r="1100" spans="1:22" hidden="1" x14ac:dyDescent="0.25">
      <c r="A1100" s="100">
        <v>45731</v>
      </c>
      <c r="B1100" t="str">
        <f t="shared" si="45"/>
        <v>March</v>
      </c>
      <c r="C1100" s="46" t="s">
        <v>280</v>
      </c>
      <c r="F1100" s="366" t="s">
        <v>1172</v>
      </c>
      <c r="G1100" s="46" t="s">
        <v>208</v>
      </c>
      <c r="H1100" s="46">
        <v>1</v>
      </c>
      <c r="I1100" s="51">
        <v>189.75</v>
      </c>
      <c r="J1100" s="281">
        <f>++Tabla4[[#This Row],[Precio Bruto]]*1.16</f>
        <v>220.10999999999999</v>
      </c>
      <c r="K1100" s="281">
        <f>+Tabla4[[#This Row],[Precio Unitario Neto]]*Tabla4[[#Headers],[20.85%]]</f>
        <v>45.892934999999994</v>
      </c>
      <c r="L1100" s="282">
        <f>++Tabla4[[#This Row],[Precio Unitario Neto]]-Tabla4[[#This Row],[20.85%]]</f>
        <v>174.21706499999999</v>
      </c>
      <c r="M1100" s="282" t="e">
        <f>(INDEX(Tabla6[#All],MATCH(Tabla4[[#This Row],[Producto]],Tabla6[[#All],[PRODUCTO]],0),MATCH(Tabla4[[#This Row],[Mes]],Tabla6[#Headers],0)))*(1+Catalogos!$L$2)</f>
        <v>#N/A</v>
      </c>
      <c r="N1100" s="283" t="e">
        <f>+(Tabla4[[#This Row],[Precio Descontado]]-Tabla4[[#This Row],[Precio Base]])*Tabla4[[#This Row],[Cantidad]]</f>
        <v>#N/A</v>
      </c>
      <c r="O1100" s="284" t="e">
        <f>++Tabla4[[#This Row],[Utilidad Total]]/Tabla4[[#This Row],[Total]]</f>
        <v>#N/A</v>
      </c>
      <c r="P1100" s="282">
        <f>++Tabla4[[#This Row],[Precio Descontado]]*Tabla4[[#This Row],[Cantidad]]</f>
        <v>174.21706499999999</v>
      </c>
      <c r="Q1100" s="282" t="e">
        <f>(INDEX(Tabla6[#All],MATCH(Tabla4[[#This Row],[Producto]],Tabla6[[#All],[PRODUCTO]],0),MATCH(Tabla4[[#This Row],[Mes]],Tabla6[#Headers],0)))</f>
        <v>#N/A</v>
      </c>
      <c r="R1100" s="282" t="e">
        <f>++Tabla4[[#This Row],[Precio Unitario Neto]]-Tabla4[[#This Row],[20.85%]]-Tabla4[[#This Row],[Costo]]</f>
        <v>#N/A</v>
      </c>
      <c r="S1100" s="282" t="e">
        <f>++Tabla4[[#This Row],[U. Bruta Uni]]*Tabla4[[#This Row],[Cantidad]]</f>
        <v>#N/A</v>
      </c>
      <c r="T1100" s="369" t="str">
        <f>VLOOKUP(Tabla4[[#This Row],[Producto]],Tabla6[#All],14,FALSE)</f>
        <v>Termico Solar</v>
      </c>
      <c r="U1100" s="284" t="e">
        <f>(IF(Tabla4[[#This Row],[Familia]]="termico solar",Tabla4[[#This Row],[Utilidad Total]]*6%,Tabla4[[#This Row],[Utilidad Total]]*11.5%))/Tabla4[[#This Row],[Total]]</f>
        <v>#N/A</v>
      </c>
      <c r="V1100" s="282" t="e">
        <f>+Tabla4[[#This Row],[Comisión Calculada]]*Tabla4[[#This Row],[Total]]</f>
        <v>#N/A</v>
      </c>
    </row>
    <row r="1101" spans="1:22" hidden="1" x14ac:dyDescent="0.25">
      <c r="A1101" s="100">
        <v>45731</v>
      </c>
      <c r="B1101" t="str">
        <f>TEXT(A1101, "mmmm")</f>
        <v>March</v>
      </c>
      <c r="C1101" s="46" t="s">
        <v>280</v>
      </c>
      <c r="F1101" s="366" t="s">
        <v>1173</v>
      </c>
      <c r="G1101" s="46" t="s">
        <v>19</v>
      </c>
      <c r="H1101" s="46">
        <v>1</v>
      </c>
      <c r="I1101" s="51">
        <v>6412.03</v>
      </c>
      <c r="J1101" s="281">
        <f>++Tabla4[[#This Row],[Precio Bruto]]*1.16</f>
        <v>7437.9547999999995</v>
      </c>
      <c r="K1101" s="281">
        <f>+Tabla4[[#This Row],[Precio Unitario Neto]]*Tabla4[[#Headers],[20.85%]]</f>
        <v>1550.8135757999999</v>
      </c>
      <c r="L1101" s="282">
        <f>++Tabla4[[#This Row],[Precio Unitario Neto]]-Tabla4[[#This Row],[20.85%]]</f>
        <v>5887.1412241999997</v>
      </c>
      <c r="M1101" s="282" t="e">
        <f>(INDEX(Tabla6[#All],MATCH(Tabla4[[#This Row],[Producto]],Tabla6[[#All],[PRODUCTO]],0),MATCH(Tabla4[[#This Row],[Mes]],Tabla6[#Headers],0)))*(1+Catalogos!$L$2)</f>
        <v>#N/A</v>
      </c>
      <c r="N1101" s="283" t="e">
        <f>+(Tabla4[[#This Row],[Precio Descontado]]-Tabla4[[#This Row],[Precio Base]])*Tabla4[[#This Row],[Cantidad]]</f>
        <v>#N/A</v>
      </c>
      <c r="O1101" s="284" t="e">
        <f>++Tabla4[[#This Row],[Utilidad Total]]/Tabla4[[#This Row],[Total]]</f>
        <v>#N/A</v>
      </c>
      <c r="P1101" s="282">
        <f>++Tabla4[[#This Row],[Precio Descontado]]*Tabla4[[#This Row],[Cantidad]]</f>
        <v>5887.1412241999997</v>
      </c>
      <c r="Q1101" s="282" t="e">
        <f>(INDEX(Tabla6[#All],MATCH(Tabla4[[#This Row],[Producto]],Tabla6[[#All],[PRODUCTO]],0),MATCH(Tabla4[[#This Row],[Mes]],Tabla6[#Headers],0)))</f>
        <v>#N/A</v>
      </c>
      <c r="R1101" s="282" t="e">
        <f>++Tabla4[[#This Row],[Precio Unitario Neto]]-Tabla4[[#This Row],[20.85%]]-Tabla4[[#This Row],[Costo]]</f>
        <v>#N/A</v>
      </c>
      <c r="S1101" s="282" t="e">
        <f>++Tabla4[[#This Row],[U. Bruta Uni]]*Tabla4[[#This Row],[Cantidad]]</f>
        <v>#N/A</v>
      </c>
      <c r="T1101" s="369" t="str">
        <f>VLOOKUP(Tabla4[[#This Row],[Producto]],Tabla6[#All],14,FALSE)</f>
        <v>Termico Solar</v>
      </c>
      <c r="U1101" s="284" t="e">
        <f>(IF(Tabla4[[#This Row],[Familia]]="termico solar",Tabla4[[#This Row],[Utilidad Total]]*6%,Tabla4[[#This Row],[Utilidad Total]]*11.5%))/Tabla4[[#This Row],[Total]]</f>
        <v>#N/A</v>
      </c>
      <c r="V1101" s="282" t="e">
        <f>+Tabla4[[#This Row],[Comisión Calculada]]*Tabla4[[#This Row],[Total]]</f>
        <v>#N/A</v>
      </c>
    </row>
    <row r="1102" spans="1:22" hidden="1" x14ac:dyDescent="0.25">
      <c r="A1102" s="100">
        <v>45731</v>
      </c>
      <c r="B1102" t="str">
        <f>TEXT(A1102, "mmmm")</f>
        <v>March</v>
      </c>
      <c r="C1102" s="46" t="s">
        <v>280</v>
      </c>
      <c r="F1102" s="366" t="s">
        <v>1173</v>
      </c>
      <c r="G1102" s="46" t="s">
        <v>21</v>
      </c>
      <c r="H1102" s="46">
        <v>4</v>
      </c>
      <c r="I1102" s="51">
        <v>9282.19</v>
      </c>
      <c r="J1102" s="281">
        <f>++Tabla4[[#This Row],[Precio Bruto]]*1.16</f>
        <v>10767.340399999999</v>
      </c>
      <c r="K1102" s="281">
        <f>+Tabla4[[#This Row],[Precio Unitario Neto]]*Tabla4[[#Headers],[20.85%]]</f>
        <v>2244.9904733999997</v>
      </c>
      <c r="L1102" s="282">
        <f>++Tabla4[[#This Row],[Precio Unitario Neto]]-Tabla4[[#This Row],[20.85%]]</f>
        <v>8522.3499265999999</v>
      </c>
      <c r="M1102" s="282" t="e">
        <f>(INDEX(Tabla6[#All],MATCH(Tabla4[[#This Row],[Producto]],Tabla6[[#All],[PRODUCTO]],0),MATCH(Tabla4[[#This Row],[Mes]],Tabla6[#Headers],0)))*(1+Catalogos!$L$2)</f>
        <v>#N/A</v>
      </c>
      <c r="N1102" s="283" t="e">
        <f>+(Tabla4[[#This Row],[Precio Descontado]]-Tabla4[[#This Row],[Precio Base]])*Tabla4[[#This Row],[Cantidad]]</f>
        <v>#N/A</v>
      </c>
      <c r="O1102" s="284" t="e">
        <f>++Tabla4[[#This Row],[Utilidad Total]]/Tabla4[[#This Row],[Total]]</f>
        <v>#N/A</v>
      </c>
      <c r="P1102" s="282">
        <f>++Tabla4[[#This Row],[Precio Descontado]]*Tabla4[[#This Row],[Cantidad]]</f>
        <v>34089.3997064</v>
      </c>
      <c r="Q1102" s="282" t="e">
        <f>(INDEX(Tabla6[#All],MATCH(Tabla4[[#This Row],[Producto]],Tabla6[[#All],[PRODUCTO]],0),MATCH(Tabla4[[#This Row],[Mes]],Tabla6[#Headers],0)))</f>
        <v>#N/A</v>
      </c>
      <c r="R1102" s="282" t="e">
        <f>++Tabla4[[#This Row],[Precio Unitario Neto]]-Tabla4[[#This Row],[20.85%]]-Tabla4[[#This Row],[Costo]]</f>
        <v>#N/A</v>
      </c>
      <c r="S1102" s="282" t="e">
        <f>++Tabla4[[#This Row],[U. Bruta Uni]]*Tabla4[[#This Row],[Cantidad]]</f>
        <v>#N/A</v>
      </c>
      <c r="T1102" s="369" t="str">
        <f>VLOOKUP(Tabla4[[#This Row],[Producto]],Tabla6[#All],14,FALSE)</f>
        <v>Termico Solar</v>
      </c>
      <c r="U1102" s="284" t="e">
        <f>(IF(Tabla4[[#This Row],[Familia]]="termico solar",Tabla4[[#This Row],[Utilidad Total]]*6%,Tabla4[[#This Row],[Utilidad Total]]*11.5%))/Tabla4[[#This Row],[Total]]</f>
        <v>#N/A</v>
      </c>
      <c r="V1102" s="282" t="e">
        <f>+Tabla4[[#This Row],[Comisión Calculada]]*Tabla4[[#This Row],[Total]]</f>
        <v>#N/A</v>
      </c>
    </row>
    <row r="1103" spans="1:22" hidden="1" x14ac:dyDescent="0.25">
      <c r="A1103" s="100">
        <v>45731</v>
      </c>
      <c r="B1103" t="str">
        <f>TEXT(A1103, "mmmm")</f>
        <v>March</v>
      </c>
      <c r="C1103" s="46" t="s">
        <v>280</v>
      </c>
      <c r="F1103" s="366" t="s">
        <v>1173</v>
      </c>
      <c r="G1103" s="46" t="s">
        <v>22</v>
      </c>
      <c r="H1103" s="46">
        <v>1</v>
      </c>
      <c r="I1103" s="51">
        <v>13355.75</v>
      </c>
      <c r="J1103" s="281">
        <f>++Tabla4[[#This Row],[Precio Bruto]]*1.16</f>
        <v>15492.669999999998</v>
      </c>
      <c r="K1103" s="281">
        <f>+Tabla4[[#This Row],[Precio Unitario Neto]]*Tabla4[[#Headers],[20.85%]]</f>
        <v>3230.2216949999993</v>
      </c>
      <c r="L1103" s="282">
        <f>++Tabla4[[#This Row],[Precio Unitario Neto]]-Tabla4[[#This Row],[20.85%]]</f>
        <v>12262.448304999998</v>
      </c>
      <c r="M1103" s="282" t="e">
        <f>(INDEX(Tabla6[#All],MATCH(Tabla4[[#This Row],[Producto]],Tabla6[[#All],[PRODUCTO]],0),MATCH(Tabla4[[#This Row],[Mes]],Tabla6[#Headers],0)))*(1+Catalogos!$L$2)</f>
        <v>#N/A</v>
      </c>
      <c r="N1103" s="283" t="e">
        <f>+(Tabla4[[#This Row],[Precio Descontado]]-Tabla4[[#This Row],[Precio Base]])*Tabla4[[#This Row],[Cantidad]]</f>
        <v>#N/A</v>
      </c>
      <c r="O1103" s="284" t="e">
        <f>++Tabla4[[#This Row],[Utilidad Total]]/Tabla4[[#This Row],[Total]]</f>
        <v>#N/A</v>
      </c>
      <c r="P1103" s="282">
        <f>++Tabla4[[#This Row],[Precio Descontado]]*Tabla4[[#This Row],[Cantidad]]</f>
        <v>12262.448304999998</v>
      </c>
      <c r="Q1103" s="282" t="e">
        <f>(INDEX(Tabla6[#All],MATCH(Tabla4[[#This Row],[Producto]],Tabla6[[#All],[PRODUCTO]],0),MATCH(Tabla4[[#This Row],[Mes]],Tabla6[#Headers],0)))</f>
        <v>#N/A</v>
      </c>
      <c r="R1103" s="282" t="e">
        <f>++Tabla4[[#This Row],[Precio Unitario Neto]]-Tabla4[[#This Row],[20.85%]]-Tabla4[[#This Row],[Costo]]</f>
        <v>#N/A</v>
      </c>
      <c r="S1103" s="282" t="e">
        <f>++Tabla4[[#This Row],[U. Bruta Uni]]*Tabla4[[#This Row],[Cantidad]]</f>
        <v>#N/A</v>
      </c>
      <c r="T1103" s="369" t="str">
        <f>VLOOKUP(Tabla4[[#This Row],[Producto]],Tabla6[#All],14,FALSE)</f>
        <v>Termico Solar</v>
      </c>
      <c r="U1103" s="284" t="e">
        <f>(IF(Tabla4[[#This Row],[Familia]]="termico solar",Tabla4[[#This Row],[Utilidad Total]]*6%,Tabla4[[#This Row],[Utilidad Total]]*11.5%))/Tabla4[[#This Row],[Total]]</f>
        <v>#N/A</v>
      </c>
      <c r="V1103" s="282" t="e">
        <f>+Tabla4[[#This Row],[Comisión Calculada]]*Tabla4[[#This Row],[Total]]</f>
        <v>#N/A</v>
      </c>
    </row>
    <row r="1104" spans="1:22" hidden="1" x14ac:dyDescent="0.25">
      <c r="A1104" s="100">
        <v>45731</v>
      </c>
      <c r="B1104" t="str">
        <f>TEXT(A1104, "mmmm")</f>
        <v>March</v>
      </c>
      <c r="C1104" s="46" t="s">
        <v>280</v>
      </c>
      <c r="F1104" s="366" t="s">
        <v>1173</v>
      </c>
      <c r="G1104" s="46" t="s">
        <v>84</v>
      </c>
      <c r="H1104" s="46">
        <v>1</v>
      </c>
      <c r="I1104" s="51">
        <v>16601.830000000002</v>
      </c>
      <c r="J1104" s="281">
        <f>++Tabla4[[#This Row],[Precio Bruto]]*1.16</f>
        <v>19258.122800000001</v>
      </c>
      <c r="K1104" s="281">
        <f>+Tabla4[[#This Row],[Precio Unitario Neto]]*Tabla4[[#Headers],[20.85%]]</f>
        <v>4015.3186037999999</v>
      </c>
      <c r="L1104" s="282">
        <f>++Tabla4[[#This Row],[Precio Unitario Neto]]-Tabla4[[#This Row],[20.85%]]</f>
        <v>15242.804196200001</v>
      </c>
      <c r="M1104" s="282" t="e">
        <f>(INDEX(Tabla6[#All],MATCH(Tabla4[[#This Row],[Producto]],Tabla6[[#All],[PRODUCTO]],0),MATCH(Tabla4[[#This Row],[Mes]],Tabla6[#Headers],0)))*(1+Catalogos!$L$2)</f>
        <v>#N/A</v>
      </c>
      <c r="N1104" s="283" t="e">
        <f>+(Tabla4[[#This Row],[Precio Descontado]]-Tabla4[[#This Row],[Precio Base]])*Tabla4[[#This Row],[Cantidad]]</f>
        <v>#N/A</v>
      </c>
      <c r="O1104" s="284" t="e">
        <f>++Tabla4[[#This Row],[Utilidad Total]]/Tabla4[[#This Row],[Total]]</f>
        <v>#N/A</v>
      </c>
      <c r="P1104" s="282">
        <f>++Tabla4[[#This Row],[Precio Descontado]]*Tabla4[[#This Row],[Cantidad]]</f>
        <v>15242.804196200001</v>
      </c>
      <c r="Q1104" s="282" t="e">
        <f>(INDEX(Tabla6[#All],MATCH(Tabla4[[#This Row],[Producto]],Tabla6[[#All],[PRODUCTO]],0),MATCH(Tabla4[[#This Row],[Mes]],Tabla6[#Headers],0)))</f>
        <v>#N/A</v>
      </c>
      <c r="R1104" s="282" t="e">
        <f>++Tabla4[[#This Row],[Precio Unitario Neto]]-Tabla4[[#This Row],[20.85%]]-Tabla4[[#This Row],[Costo]]</f>
        <v>#N/A</v>
      </c>
      <c r="S1104" s="282" t="e">
        <f>++Tabla4[[#This Row],[U. Bruta Uni]]*Tabla4[[#This Row],[Cantidad]]</f>
        <v>#N/A</v>
      </c>
      <c r="T1104" s="369" t="str">
        <f>VLOOKUP(Tabla4[[#This Row],[Producto]],Tabla6[#All],14,FALSE)</f>
        <v>Termico Solar</v>
      </c>
      <c r="U1104" s="284" t="e">
        <f>(IF(Tabla4[[#This Row],[Familia]]="termico solar",Tabla4[[#This Row],[Utilidad Total]]*6%,Tabla4[[#This Row],[Utilidad Total]]*11.5%))/Tabla4[[#This Row],[Total]]</f>
        <v>#N/A</v>
      </c>
      <c r="V1104" s="282" t="e">
        <f>+Tabla4[[#This Row],[Comisión Calculada]]*Tabla4[[#This Row],[Total]]</f>
        <v>#N/A</v>
      </c>
    </row>
    <row r="1105" spans="1:22" hidden="1" x14ac:dyDescent="0.25">
      <c r="A1105" s="100">
        <v>45731</v>
      </c>
      <c r="B1105" t="str">
        <f t="shared" ref="B1105:B1112" si="46">TEXT(A1105, "mmmm")</f>
        <v>March</v>
      </c>
      <c r="C1105" s="46" t="s">
        <v>280</v>
      </c>
      <c r="F1105" s="366" t="s">
        <v>1174</v>
      </c>
      <c r="G1105" s="46" t="s">
        <v>83</v>
      </c>
      <c r="H1105" s="46">
        <v>6</v>
      </c>
      <c r="I1105" s="51">
        <v>8858.76</v>
      </c>
      <c r="J1105" s="281">
        <f>++Tabla4[[#This Row],[Precio Bruto]]*1.16</f>
        <v>10276.161599999999</v>
      </c>
      <c r="K1105" s="281">
        <f>+Tabla4[[#This Row],[Precio Unitario Neto]]*Tabla4[[#Headers],[20.85%]]</f>
        <v>2142.5796935999997</v>
      </c>
      <c r="L1105" s="282">
        <f>++Tabla4[[#This Row],[Precio Unitario Neto]]-Tabla4[[#This Row],[20.85%]]</f>
        <v>8133.5819063999998</v>
      </c>
      <c r="M1105" s="282" t="e">
        <f>(INDEX(Tabla6[#All],MATCH(Tabla4[[#This Row],[Producto]],Tabla6[[#All],[PRODUCTO]],0),MATCH(Tabla4[[#This Row],[Mes]],Tabla6[#Headers],0)))*(1+Catalogos!$L$2)</f>
        <v>#N/A</v>
      </c>
      <c r="N1105" s="283" t="e">
        <f>+(Tabla4[[#This Row],[Precio Descontado]]-Tabla4[[#This Row],[Precio Base]])*Tabla4[[#This Row],[Cantidad]]</f>
        <v>#N/A</v>
      </c>
      <c r="O1105" s="284" t="e">
        <f>++Tabla4[[#This Row],[Utilidad Total]]/Tabla4[[#This Row],[Total]]</f>
        <v>#N/A</v>
      </c>
      <c r="P1105" s="282">
        <f>++Tabla4[[#This Row],[Precio Descontado]]*Tabla4[[#This Row],[Cantidad]]</f>
        <v>48801.4914384</v>
      </c>
      <c r="Q1105" s="282" t="e">
        <f>(INDEX(Tabla6[#All],MATCH(Tabla4[[#This Row],[Producto]],Tabla6[[#All],[PRODUCTO]],0),MATCH(Tabla4[[#This Row],[Mes]],Tabla6[#Headers],0)))</f>
        <v>#N/A</v>
      </c>
      <c r="R1105" s="282" t="e">
        <f>++Tabla4[[#This Row],[Precio Unitario Neto]]-Tabla4[[#This Row],[20.85%]]-Tabla4[[#This Row],[Costo]]</f>
        <v>#N/A</v>
      </c>
      <c r="S1105" s="282" t="e">
        <f>++Tabla4[[#This Row],[U. Bruta Uni]]*Tabla4[[#This Row],[Cantidad]]</f>
        <v>#N/A</v>
      </c>
      <c r="T1105" s="369" t="str">
        <f>VLOOKUP(Tabla4[[#This Row],[Producto]],Tabla6[#All],14,FALSE)</f>
        <v>Termico Solar</v>
      </c>
      <c r="U1105" s="284" t="e">
        <f>(IF(Tabla4[[#This Row],[Familia]]="termico solar",Tabla4[[#This Row],[Utilidad Total]]*6%,Tabla4[[#This Row],[Utilidad Total]]*11.5%))/Tabla4[[#This Row],[Total]]</f>
        <v>#N/A</v>
      </c>
      <c r="V1105" s="282" t="e">
        <f>+Tabla4[[#This Row],[Comisión Calculada]]*Tabla4[[#This Row],[Total]]</f>
        <v>#N/A</v>
      </c>
    </row>
    <row r="1106" spans="1:22" hidden="1" x14ac:dyDescent="0.25">
      <c r="A1106" s="100">
        <v>45731</v>
      </c>
      <c r="B1106" t="str">
        <f t="shared" si="46"/>
        <v>March</v>
      </c>
      <c r="C1106" s="46" t="s">
        <v>280</v>
      </c>
      <c r="F1106" s="366" t="s">
        <v>1174</v>
      </c>
      <c r="G1106" s="46" t="s">
        <v>17</v>
      </c>
      <c r="H1106" s="46">
        <v>50</v>
      </c>
      <c r="I1106" s="51">
        <v>4622.28</v>
      </c>
      <c r="J1106" s="281">
        <f>++Tabla4[[#This Row],[Precio Bruto]]*1.16</f>
        <v>5361.8447999999989</v>
      </c>
      <c r="K1106" s="281">
        <f>+Tabla4[[#This Row],[Precio Unitario Neto]]*Tabla4[[#Headers],[20.85%]]</f>
        <v>1117.9446407999997</v>
      </c>
      <c r="L1106" s="282">
        <f>++Tabla4[[#This Row],[Precio Unitario Neto]]-Tabla4[[#This Row],[20.85%]]</f>
        <v>4243.9001591999995</v>
      </c>
      <c r="M1106" s="282" t="e">
        <f>(INDEX(Tabla6[#All],MATCH(Tabla4[[#This Row],[Producto]],Tabla6[[#All],[PRODUCTO]],0),MATCH(Tabla4[[#This Row],[Mes]],Tabla6[#Headers],0)))*(1+Catalogos!$L$2)</f>
        <v>#N/A</v>
      </c>
      <c r="N1106" s="283" t="e">
        <f>+(Tabla4[[#This Row],[Precio Descontado]]-Tabla4[[#This Row],[Precio Base]])*Tabla4[[#This Row],[Cantidad]]</f>
        <v>#N/A</v>
      </c>
      <c r="O1106" s="284" t="e">
        <f>++Tabla4[[#This Row],[Utilidad Total]]/Tabla4[[#This Row],[Total]]</f>
        <v>#N/A</v>
      </c>
      <c r="P1106" s="282">
        <f>++Tabla4[[#This Row],[Precio Descontado]]*Tabla4[[#This Row],[Cantidad]]</f>
        <v>212195.00795999999</v>
      </c>
      <c r="Q1106" s="282" t="e">
        <f>(INDEX(Tabla6[#All],MATCH(Tabla4[[#This Row],[Producto]],Tabla6[[#All],[PRODUCTO]],0),MATCH(Tabla4[[#This Row],[Mes]],Tabla6[#Headers],0)))</f>
        <v>#N/A</v>
      </c>
      <c r="R1106" s="282" t="e">
        <f>++Tabla4[[#This Row],[Precio Unitario Neto]]-Tabla4[[#This Row],[20.85%]]-Tabla4[[#This Row],[Costo]]</f>
        <v>#N/A</v>
      </c>
      <c r="S1106" s="282" t="e">
        <f>++Tabla4[[#This Row],[U. Bruta Uni]]*Tabla4[[#This Row],[Cantidad]]</f>
        <v>#N/A</v>
      </c>
      <c r="T1106" s="369" t="str">
        <f>VLOOKUP(Tabla4[[#This Row],[Producto]],Tabla6[#All],14,FALSE)</f>
        <v>Termico Solar</v>
      </c>
      <c r="U1106" s="284" t="e">
        <f>(IF(Tabla4[[#This Row],[Familia]]="termico solar",Tabla4[[#This Row],[Utilidad Total]]*6%,Tabla4[[#This Row],[Utilidad Total]]*11.5%))/Tabla4[[#This Row],[Total]]</f>
        <v>#N/A</v>
      </c>
      <c r="V1106" s="282" t="e">
        <f>+Tabla4[[#This Row],[Comisión Calculada]]*Tabla4[[#This Row],[Total]]</f>
        <v>#N/A</v>
      </c>
    </row>
    <row r="1107" spans="1:22" hidden="1" x14ac:dyDescent="0.25">
      <c r="A1107" s="100">
        <v>45731</v>
      </c>
      <c r="B1107" t="str">
        <f t="shared" si="46"/>
        <v>March</v>
      </c>
      <c r="C1107" s="46" t="s">
        <v>280</v>
      </c>
      <c r="F1107" s="366" t="s">
        <v>1174</v>
      </c>
      <c r="G1107" s="46" t="s">
        <v>18</v>
      </c>
      <c r="H1107" s="46">
        <v>29</v>
      </c>
      <c r="I1107" s="51">
        <v>5367.6500000000005</v>
      </c>
      <c r="J1107" s="281">
        <f>++Tabla4[[#This Row],[Precio Bruto]]*1.16</f>
        <v>6226.4740000000002</v>
      </c>
      <c r="K1107" s="281">
        <f>+Tabla4[[#This Row],[Precio Unitario Neto]]*Tabla4[[#Headers],[20.85%]]</f>
        <v>1298.2198289999999</v>
      </c>
      <c r="L1107" s="282">
        <f>++Tabla4[[#This Row],[Precio Unitario Neto]]-Tabla4[[#This Row],[20.85%]]</f>
        <v>4928.2541710000005</v>
      </c>
      <c r="M1107" s="282" t="e">
        <f>(INDEX(Tabla6[#All],MATCH(Tabla4[[#This Row],[Producto]],Tabla6[[#All],[PRODUCTO]],0),MATCH(Tabla4[[#This Row],[Mes]],Tabla6[#Headers],0)))*(1+Catalogos!$L$2)</f>
        <v>#N/A</v>
      </c>
      <c r="N1107" s="283" t="e">
        <f>+(Tabla4[[#This Row],[Precio Descontado]]-Tabla4[[#This Row],[Precio Base]])*Tabla4[[#This Row],[Cantidad]]</f>
        <v>#N/A</v>
      </c>
      <c r="O1107" s="284" t="e">
        <f>++Tabla4[[#This Row],[Utilidad Total]]/Tabla4[[#This Row],[Total]]</f>
        <v>#N/A</v>
      </c>
      <c r="P1107" s="282">
        <f>++Tabla4[[#This Row],[Precio Descontado]]*Tabla4[[#This Row],[Cantidad]]</f>
        <v>142919.37095900002</v>
      </c>
      <c r="Q1107" s="282" t="e">
        <f>(INDEX(Tabla6[#All],MATCH(Tabla4[[#This Row],[Producto]],Tabla6[[#All],[PRODUCTO]],0),MATCH(Tabla4[[#This Row],[Mes]],Tabla6[#Headers],0)))</f>
        <v>#N/A</v>
      </c>
      <c r="R1107" s="282" t="e">
        <f>++Tabla4[[#This Row],[Precio Unitario Neto]]-Tabla4[[#This Row],[20.85%]]-Tabla4[[#This Row],[Costo]]</f>
        <v>#N/A</v>
      </c>
      <c r="S1107" s="282" t="e">
        <f>++Tabla4[[#This Row],[U. Bruta Uni]]*Tabla4[[#This Row],[Cantidad]]</f>
        <v>#N/A</v>
      </c>
      <c r="T1107" s="369" t="str">
        <f>VLOOKUP(Tabla4[[#This Row],[Producto]],Tabla6[#All],14,FALSE)</f>
        <v>Termico Solar</v>
      </c>
      <c r="U1107" s="284" t="e">
        <f>(IF(Tabla4[[#This Row],[Familia]]="termico solar",Tabla4[[#This Row],[Utilidad Total]]*6%,Tabla4[[#This Row],[Utilidad Total]]*11.5%))/Tabla4[[#This Row],[Total]]</f>
        <v>#N/A</v>
      </c>
      <c r="V1107" s="282" t="e">
        <f>+Tabla4[[#This Row],[Comisión Calculada]]*Tabla4[[#This Row],[Total]]</f>
        <v>#N/A</v>
      </c>
    </row>
    <row r="1108" spans="1:22" hidden="1" x14ac:dyDescent="0.25">
      <c r="A1108" s="100">
        <v>45731</v>
      </c>
      <c r="B1108" t="str">
        <f t="shared" si="46"/>
        <v>March</v>
      </c>
      <c r="C1108" s="46" t="s">
        <v>280</v>
      </c>
      <c r="F1108" s="366" t="s">
        <v>1174</v>
      </c>
      <c r="G1108" s="46" t="s">
        <v>208</v>
      </c>
      <c r="H1108" s="46">
        <v>150</v>
      </c>
      <c r="I1108" s="51">
        <v>140.63</v>
      </c>
      <c r="J1108" s="281">
        <f>++Tabla4[[#This Row],[Precio Bruto]]*1.16</f>
        <v>163.13079999999999</v>
      </c>
      <c r="K1108" s="281">
        <f>+Tabla4[[#This Row],[Precio Unitario Neto]]*Tabla4[[#Headers],[20.85%]]</f>
        <v>34.012771799999996</v>
      </c>
      <c r="L1108" s="282">
        <f>++Tabla4[[#This Row],[Precio Unitario Neto]]-Tabla4[[#This Row],[20.85%]]</f>
        <v>129.1180282</v>
      </c>
      <c r="M1108" s="282" t="e">
        <f>(INDEX(Tabla6[#All],MATCH(Tabla4[[#This Row],[Producto]],Tabla6[[#All],[PRODUCTO]],0),MATCH(Tabla4[[#This Row],[Mes]],Tabla6[#Headers],0)))*(1+Catalogos!$L$2)</f>
        <v>#N/A</v>
      </c>
      <c r="N1108" s="283" t="e">
        <f>+(Tabla4[[#This Row],[Precio Descontado]]-Tabla4[[#This Row],[Precio Base]])*Tabla4[[#This Row],[Cantidad]]</f>
        <v>#N/A</v>
      </c>
      <c r="O1108" s="284" t="e">
        <f>++Tabla4[[#This Row],[Utilidad Total]]/Tabla4[[#This Row],[Total]]</f>
        <v>#N/A</v>
      </c>
      <c r="P1108" s="282">
        <f>++Tabla4[[#This Row],[Precio Descontado]]*Tabla4[[#This Row],[Cantidad]]</f>
        <v>19367.704229999999</v>
      </c>
      <c r="Q1108" s="282" t="e">
        <f>(INDEX(Tabla6[#All],MATCH(Tabla4[[#This Row],[Producto]],Tabla6[[#All],[PRODUCTO]],0),MATCH(Tabla4[[#This Row],[Mes]],Tabla6[#Headers],0)))</f>
        <v>#N/A</v>
      </c>
      <c r="R1108" s="282" t="e">
        <f>++Tabla4[[#This Row],[Precio Unitario Neto]]-Tabla4[[#This Row],[20.85%]]-Tabla4[[#This Row],[Costo]]</f>
        <v>#N/A</v>
      </c>
      <c r="S1108" s="282" t="e">
        <f>++Tabla4[[#This Row],[U. Bruta Uni]]*Tabla4[[#This Row],[Cantidad]]</f>
        <v>#N/A</v>
      </c>
      <c r="T1108" s="369" t="str">
        <f>VLOOKUP(Tabla4[[#This Row],[Producto]],Tabla6[#All],14,FALSE)</f>
        <v>Termico Solar</v>
      </c>
      <c r="U1108" s="284" t="e">
        <f>(IF(Tabla4[[#This Row],[Familia]]="termico solar",Tabla4[[#This Row],[Utilidad Total]]*6%,Tabla4[[#This Row],[Utilidad Total]]*11.5%))/Tabla4[[#This Row],[Total]]</f>
        <v>#N/A</v>
      </c>
      <c r="V1108" s="282" t="e">
        <f>+Tabla4[[#This Row],[Comisión Calculada]]*Tabla4[[#This Row],[Total]]</f>
        <v>#N/A</v>
      </c>
    </row>
    <row r="1109" spans="1:22" hidden="1" x14ac:dyDescent="0.25">
      <c r="A1109" s="100">
        <v>45731</v>
      </c>
      <c r="B1109" t="str">
        <f t="shared" si="46"/>
        <v>March</v>
      </c>
      <c r="C1109" s="46" t="s">
        <v>280</v>
      </c>
      <c r="F1109" s="366" t="s">
        <v>1174</v>
      </c>
      <c r="G1109" s="46" t="s">
        <v>209</v>
      </c>
      <c r="H1109" s="46">
        <v>96</v>
      </c>
      <c r="I1109" s="51">
        <v>270.07</v>
      </c>
      <c r="J1109" s="281">
        <f>++Tabla4[[#This Row],[Precio Bruto]]*1.16</f>
        <v>313.28119999999996</v>
      </c>
      <c r="K1109" s="281">
        <f>+Tabla4[[#This Row],[Precio Unitario Neto]]*Tabla4[[#Headers],[20.85%]]</f>
        <v>65.319130199999989</v>
      </c>
      <c r="L1109" s="282">
        <f>++Tabla4[[#This Row],[Precio Unitario Neto]]-Tabla4[[#This Row],[20.85%]]</f>
        <v>247.96206979999997</v>
      </c>
      <c r="M1109" s="282" t="e">
        <f>(INDEX(Tabla6[#All],MATCH(Tabla4[[#This Row],[Producto]],Tabla6[[#All],[PRODUCTO]],0),MATCH(Tabla4[[#This Row],[Mes]],Tabla6[#Headers],0)))*(1+Catalogos!$L$2)</f>
        <v>#N/A</v>
      </c>
      <c r="N1109" s="283" t="e">
        <f>+(Tabla4[[#This Row],[Precio Descontado]]-Tabla4[[#This Row],[Precio Base]])*Tabla4[[#This Row],[Cantidad]]</f>
        <v>#N/A</v>
      </c>
      <c r="O1109" s="284" t="e">
        <f>++Tabla4[[#This Row],[Utilidad Total]]/Tabla4[[#This Row],[Total]]</f>
        <v>#N/A</v>
      </c>
      <c r="P1109" s="282">
        <f>++Tabla4[[#This Row],[Precio Descontado]]*Tabla4[[#This Row],[Cantidad]]</f>
        <v>23804.358700799996</v>
      </c>
      <c r="Q1109" s="282" t="e">
        <f>(INDEX(Tabla6[#All],MATCH(Tabla4[[#This Row],[Producto]],Tabla6[[#All],[PRODUCTO]],0),MATCH(Tabla4[[#This Row],[Mes]],Tabla6[#Headers],0)))</f>
        <v>#N/A</v>
      </c>
      <c r="R1109" s="282" t="e">
        <f>++Tabla4[[#This Row],[Precio Unitario Neto]]-Tabla4[[#This Row],[20.85%]]-Tabla4[[#This Row],[Costo]]</f>
        <v>#N/A</v>
      </c>
      <c r="S1109" s="282" t="e">
        <f>++Tabla4[[#This Row],[U. Bruta Uni]]*Tabla4[[#This Row],[Cantidad]]</f>
        <v>#N/A</v>
      </c>
      <c r="T1109" s="369" t="str">
        <f>VLOOKUP(Tabla4[[#This Row],[Producto]],Tabla6[#All],14,FALSE)</f>
        <v>Termico Solar</v>
      </c>
      <c r="U1109" s="284" t="e">
        <f>(IF(Tabla4[[#This Row],[Familia]]="termico solar",Tabla4[[#This Row],[Utilidad Total]]*6%,Tabla4[[#This Row],[Utilidad Total]]*11.5%))/Tabla4[[#This Row],[Total]]</f>
        <v>#N/A</v>
      </c>
      <c r="V1109" s="282" t="e">
        <f>+Tabla4[[#This Row],[Comisión Calculada]]*Tabla4[[#This Row],[Total]]</f>
        <v>#N/A</v>
      </c>
    </row>
    <row r="1110" spans="1:22" hidden="1" x14ac:dyDescent="0.25">
      <c r="A1110" s="100">
        <v>45731</v>
      </c>
      <c r="B1110" t="str">
        <f t="shared" si="46"/>
        <v>March</v>
      </c>
      <c r="C1110" s="46" t="s">
        <v>280</v>
      </c>
      <c r="F1110" s="366" t="s">
        <v>1174</v>
      </c>
      <c r="G1110" s="46" t="s">
        <v>394</v>
      </c>
      <c r="H1110" s="46">
        <v>45</v>
      </c>
      <c r="I1110" s="51">
        <v>108.1</v>
      </c>
      <c r="J1110" s="281">
        <f>++Tabla4[[#This Row],[Precio Bruto]]*1.16</f>
        <v>125.39599999999999</v>
      </c>
      <c r="K1110" s="281">
        <f>+Tabla4[[#This Row],[Precio Unitario Neto]]*Tabla4[[#Headers],[20.85%]]</f>
        <v>26.145065999999996</v>
      </c>
      <c r="L1110" s="282">
        <f>++Tabla4[[#This Row],[Precio Unitario Neto]]-Tabla4[[#This Row],[20.85%]]</f>
        <v>99.250933999999987</v>
      </c>
      <c r="M1110" s="282" t="e">
        <f>(INDEX(Tabla6[#All],MATCH(Tabla4[[#This Row],[Producto]],Tabla6[[#All],[PRODUCTO]],0),MATCH(Tabla4[[#This Row],[Mes]],Tabla6[#Headers],0)))*(1+Catalogos!$L$2)</f>
        <v>#N/A</v>
      </c>
      <c r="N1110" s="283" t="e">
        <f>+(Tabla4[[#This Row],[Precio Descontado]]-Tabla4[[#This Row],[Precio Base]])*Tabla4[[#This Row],[Cantidad]]</f>
        <v>#N/A</v>
      </c>
      <c r="O1110" s="284" t="e">
        <f>++Tabla4[[#This Row],[Utilidad Total]]/Tabla4[[#This Row],[Total]]</f>
        <v>#N/A</v>
      </c>
      <c r="P1110" s="282">
        <f>++Tabla4[[#This Row],[Precio Descontado]]*Tabla4[[#This Row],[Cantidad]]</f>
        <v>4466.2920299999996</v>
      </c>
      <c r="Q1110" s="282" t="e">
        <f>(INDEX(Tabla6[#All],MATCH(Tabla4[[#This Row],[Producto]],Tabla6[[#All],[PRODUCTO]],0),MATCH(Tabla4[[#This Row],[Mes]],Tabla6[#Headers],0)))</f>
        <v>#N/A</v>
      </c>
      <c r="R1110" s="282" t="e">
        <f>++Tabla4[[#This Row],[Precio Unitario Neto]]-Tabla4[[#This Row],[20.85%]]-Tabla4[[#This Row],[Costo]]</f>
        <v>#N/A</v>
      </c>
      <c r="S1110" s="282" t="e">
        <f>++Tabla4[[#This Row],[U. Bruta Uni]]*Tabla4[[#This Row],[Cantidad]]</f>
        <v>#N/A</v>
      </c>
      <c r="T1110" s="369" t="str">
        <f>VLOOKUP(Tabla4[[#This Row],[Producto]],Tabla6[#All],14,FALSE)</f>
        <v>Termico Solar</v>
      </c>
      <c r="U1110" s="284" t="e">
        <f>(IF(Tabla4[[#This Row],[Familia]]="termico solar",Tabla4[[#This Row],[Utilidad Total]]*6%,Tabla4[[#This Row],[Utilidad Total]]*11.5%))/Tabla4[[#This Row],[Total]]</f>
        <v>#N/A</v>
      </c>
      <c r="V1110" s="282" t="e">
        <f>+Tabla4[[#This Row],[Comisión Calculada]]*Tabla4[[#This Row],[Total]]</f>
        <v>#N/A</v>
      </c>
    </row>
    <row r="1111" spans="1:22" hidden="1" x14ac:dyDescent="0.25">
      <c r="A1111" s="100">
        <v>45731</v>
      </c>
      <c r="B1111" t="str">
        <f t="shared" si="46"/>
        <v>March</v>
      </c>
      <c r="C1111" s="46" t="s">
        <v>280</v>
      </c>
      <c r="F1111" s="366" t="s">
        <v>1174</v>
      </c>
      <c r="G1111" s="46" t="s">
        <v>16</v>
      </c>
      <c r="H1111" s="46">
        <v>10</v>
      </c>
      <c r="I1111" s="51">
        <v>4103.8500000000004</v>
      </c>
      <c r="J1111" s="281">
        <f>++Tabla4[[#This Row],[Precio Bruto]]*1.16</f>
        <v>4760.4660000000003</v>
      </c>
      <c r="K1111" s="281">
        <f>+Tabla4[[#This Row],[Precio Unitario Neto]]*Tabla4[[#Headers],[20.85%]]</f>
        <v>992.55716100000006</v>
      </c>
      <c r="L1111" s="282">
        <f>++Tabla4[[#This Row],[Precio Unitario Neto]]-Tabla4[[#This Row],[20.85%]]</f>
        <v>3767.9088390000002</v>
      </c>
      <c r="M1111" s="282" t="e">
        <f>(INDEX(Tabla6[#All],MATCH(Tabla4[[#This Row],[Producto]],Tabla6[[#All],[PRODUCTO]],0),MATCH(Tabla4[[#This Row],[Mes]],Tabla6[#Headers],0)))*(1+Catalogos!$L$2)</f>
        <v>#N/A</v>
      </c>
      <c r="N1111" s="283" t="e">
        <f>+(Tabla4[[#This Row],[Precio Descontado]]-Tabla4[[#This Row],[Precio Base]])*Tabla4[[#This Row],[Cantidad]]</f>
        <v>#N/A</v>
      </c>
      <c r="O1111" s="284" t="e">
        <f>++Tabla4[[#This Row],[Utilidad Total]]/Tabla4[[#This Row],[Total]]</f>
        <v>#N/A</v>
      </c>
      <c r="P1111" s="282">
        <f>++Tabla4[[#This Row],[Precio Descontado]]*Tabla4[[#This Row],[Cantidad]]</f>
        <v>37679.088390000004</v>
      </c>
      <c r="Q1111" s="282" t="e">
        <f>(INDEX(Tabla6[#All],MATCH(Tabla4[[#This Row],[Producto]],Tabla6[[#All],[PRODUCTO]],0),MATCH(Tabla4[[#This Row],[Mes]],Tabla6[#Headers],0)))</f>
        <v>#N/A</v>
      </c>
      <c r="R1111" s="282" t="e">
        <f>++Tabla4[[#This Row],[Precio Unitario Neto]]-Tabla4[[#This Row],[20.85%]]-Tabla4[[#This Row],[Costo]]</f>
        <v>#N/A</v>
      </c>
      <c r="S1111" s="282" t="e">
        <f>++Tabla4[[#This Row],[U. Bruta Uni]]*Tabla4[[#This Row],[Cantidad]]</f>
        <v>#N/A</v>
      </c>
      <c r="T1111" s="369" t="str">
        <f>VLOOKUP(Tabla4[[#This Row],[Producto]],Tabla6[#All],14,FALSE)</f>
        <v>Termico Solar</v>
      </c>
      <c r="U1111" s="284" t="e">
        <f>(IF(Tabla4[[#This Row],[Familia]]="termico solar",Tabla4[[#This Row],[Utilidad Total]]*6%,Tabla4[[#This Row],[Utilidad Total]]*11.5%))/Tabla4[[#This Row],[Total]]</f>
        <v>#N/A</v>
      </c>
      <c r="V1111" s="282" t="e">
        <f>+Tabla4[[#This Row],[Comisión Calculada]]*Tabla4[[#This Row],[Total]]</f>
        <v>#N/A</v>
      </c>
    </row>
    <row r="1112" spans="1:22" hidden="1" x14ac:dyDescent="0.25">
      <c r="A1112" s="100">
        <v>45731</v>
      </c>
      <c r="B1112" t="str">
        <f t="shared" si="46"/>
        <v>March</v>
      </c>
      <c r="C1112" s="46" t="s">
        <v>280</v>
      </c>
      <c r="F1112" s="366" t="s">
        <v>1174</v>
      </c>
      <c r="G1112" s="46" t="s">
        <v>208</v>
      </c>
      <c r="H1112" s="46">
        <v>3</v>
      </c>
      <c r="I1112" s="51">
        <v>189.75</v>
      </c>
      <c r="J1112" s="281">
        <f>++Tabla4[[#This Row],[Precio Bruto]]*1.16</f>
        <v>220.10999999999999</v>
      </c>
      <c r="K1112" s="281">
        <f>+Tabla4[[#This Row],[Precio Unitario Neto]]*Tabla4[[#Headers],[20.85%]]</f>
        <v>45.892934999999994</v>
      </c>
      <c r="L1112" s="282">
        <f>++Tabla4[[#This Row],[Precio Unitario Neto]]-Tabla4[[#This Row],[20.85%]]</f>
        <v>174.21706499999999</v>
      </c>
      <c r="M1112" s="282" t="e">
        <f>(INDEX(Tabla6[#All],MATCH(Tabla4[[#This Row],[Producto]],Tabla6[[#All],[PRODUCTO]],0),MATCH(Tabla4[[#This Row],[Mes]],Tabla6[#Headers],0)))*(1+Catalogos!$L$2)</f>
        <v>#N/A</v>
      </c>
      <c r="N1112" s="283" t="e">
        <f>+(Tabla4[[#This Row],[Precio Descontado]]-Tabla4[[#This Row],[Precio Base]])*Tabla4[[#This Row],[Cantidad]]</f>
        <v>#N/A</v>
      </c>
      <c r="O1112" s="284" t="e">
        <f>++Tabla4[[#This Row],[Utilidad Total]]/Tabla4[[#This Row],[Total]]</f>
        <v>#N/A</v>
      </c>
      <c r="P1112" s="282">
        <f>++Tabla4[[#This Row],[Precio Descontado]]*Tabla4[[#This Row],[Cantidad]]</f>
        <v>522.65119499999992</v>
      </c>
      <c r="Q1112" s="282" t="e">
        <f>(INDEX(Tabla6[#All],MATCH(Tabla4[[#This Row],[Producto]],Tabla6[[#All],[PRODUCTO]],0),MATCH(Tabla4[[#This Row],[Mes]],Tabla6[#Headers],0)))</f>
        <v>#N/A</v>
      </c>
      <c r="R1112" s="282" t="e">
        <f>++Tabla4[[#This Row],[Precio Unitario Neto]]-Tabla4[[#This Row],[20.85%]]-Tabla4[[#This Row],[Costo]]</f>
        <v>#N/A</v>
      </c>
      <c r="S1112" s="282" t="e">
        <f>++Tabla4[[#This Row],[U. Bruta Uni]]*Tabla4[[#This Row],[Cantidad]]</f>
        <v>#N/A</v>
      </c>
      <c r="T1112" s="369" t="str">
        <f>VLOOKUP(Tabla4[[#This Row],[Producto]],Tabla6[#All],14,FALSE)</f>
        <v>Termico Solar</v>
      </c>
      <c r="U1112" s="284" t="e">
        <f>(IF(Tabla4[[#This Row],[Familia]]="termico solar",Tabla4[[#This Row],[Utilidad Total]]*6%,Tabla4[[#This Row],[Utilidad Total]]*11.5%))/Tabla4[[#This Row],[Total]]</f>
        <v>#N/A</v>
      </c>
      <c r="V1112" s="282" t="e">
        <f>+Tabla4[[#This Row],[Comisión Calculada]]*Tabla4[[#This Row],[Total]]</f>
        <v>#N/A</v>
      </c>
    </row>
    <row r="1113" spans="1:22" hidden="1" x14ac:dyDescent="0.25">
      <c r="A1113" s="100">
        <v>45731</v>
      </c>
      <c r="B1113" t="str">
        <f t="shared" ref="B1113:B1144" si="47">TEXT(A1113, "mmmm")</f>
        <v>March</v>
      </c>
      <c r="C1113" s="46" t="s">
        <v>280</v>
      </c>
      <c r="F1113" s="366" t="s">
        <v>1175</v>
      </c>
      <c r="G1113" s="46" t="s">
        <v>17</v>
      </c>
      <c r="H1113" s="46">
        <v>3</v>
      </c>
      <c r="I1113" s="51">
        <v>4622.28</v>
      </c>
      <c r="J1113" s="281">
        <f>++Tabla4[[#This Row],[Precio Bruto]]*1.16</f>
        <v>5361.8447999999989</v>
      </c>
      <c r="K1113" s="281">
        <f>+Tabla4[[#This Row],[Precio Unitario Neto]]*Tabla4[[#Headers],[20.85%]]</f>
        <v>1117.9446407999997</v>
      </c>
      <c r="L1113" s="282">
        <f>++Tabla4[[#This Row],[Precio Unitario Neto]]-Tabla4[[#This Row],[20.85%]]</f>
        <v>4243.9001591999995</v>
      </c>
      <c r="M1113" s="282" t="e">
        <f>(INDEX(Tabla6[#All],MATCH(Tabla4[[#This Row],[Producto]],Tabla6[[#All],[PRODUCTO]],0),MATCH(Tabla4[[#This Row],[Mes]],Tabla6[#Headers],0)))*(1+Catalogos!$L$2)</f>
        <v>#N/A</v>
      </c>
      <c r="N1113" s="283" t="e">
        <f>+(Tabla4[[#This Row],[Precio Descontado]]-Tabla4[[#This Row],[Precio Base]])*Tabla4[[#This Row],[Cantidad]]</f>
        <v>#N/A</v>
      </c>
      <c r="O1113" s="284" t="e">
        <f>++Tabla4[[#This Row],[Utilidad Total]]/Tabla4[[#This Row],[Total]]</f>
        <v>#N/A</v>
      </c>
      <c r="P1113" s="282">
        <f>++Tabla4[[#This Row],[Precio Descontado]]*Tabla4[[#This Row],[Cantidad]]</f>
        <v>12731.700477599999</v>
      </c>
      <c r="Q1113" s="282" t="e">
        <f>(INDEX(Tabla6[#All],MATCH(Tabla4[[#This Row],[Producto]],Tabla6[[#All],[PRODUCTO]],0),MATCH(Tabla4[[#This Row],[Mes]],Tabla6[#Headers],0)))</f>
        <v>#N/A</v>
      </c>
      <c r="R1113" s="282" t="e">
        <f>++Tabla4[[#This Row],[Precio Unitario Neto]]-Tabla4[[#This Row],[20.85%]]-Tabla4[[#This Row],[Costo]]</f>
        <v>#N/A</v>
      </c>
      <c r="S1113" s="282" t="e">
        <f>++Tabla4[[#This Row],[U. Bruta Uni]]*Tabla4[[#This Row],[Cantidad]]</f>
        <v>#N/A</v>
      </c>
      <c r="T1113" s="369" t="str">
        <f>VLOOKUP(Tabla4[[#This Row],[Producto]],Tabla6[#All],14,FALSE)</f>
        <v>Termico Solar</v>
      </c>
      <c r="U1113" s="284" t="e">
        <f>(IF(Tabla4[[#This Row],[Familia]]="termico solar",Tabla4[[#This Row],[Utilidad Total]]*6%,Tabla4[[#This Row],[Utilidad Total]]*11.5%))/Tabla4[[#This Row],[Total]]</f>
        <v>#N/A</v>
      </c>
      <c r="V1113" s="282" t="e">
        <f>+Tabla4[[#This Row],[Comisión Calculada]]*Tabla4[[#This Row],[Total]]</f>
        <v>#N/A</v>
      </c>
    </row>
    <row r="1114" spans="1:22" hidden="1" x14ac:dyDescent="0.25">
      <c r="A1114" s="100">
        <v>45731</v>
      </c>
      <c r="B1114" t="str">
        <f t="shared" si="47"/>
        <v>March</v>
      </c>
      <c r="C1114" s="46" t="s">
        <v>280</v>
      </c>
      <c r="F1114" s="366" t="s">
        <v>1175</v>
      </c>
      <c r="G1114" s="46" t="s">
        <v>18</v>
      </c>
      <c r="H1114" s="46">
        <v>3</v>
      </c>
      <c r="I1114" s="51">
        <v>5367.6500000000005</v>
      </c>
      <c r="J1114" s="281">
        <f>++Tabla4[[#This Row],[Precio Bruto]]*1.16</f>
        <v>6226.4740000000002</v>
      </c>
      <c r="K1114" s="281">
        <f>+Tabla4[[#This Row],[Precio Unitario Neto]]*Tabla4[[#Headers],[20.85%]]</f>
        <v>1298.2198289999999</v>
      </c>
      <c r="L1114" s="282">
        <f>++Tabla4[[#This Row],[Precio Unitario Neto]]-Tabla4[[#This Row],[20.85%]]</f>
        <v>4928.2541710000005</v>
      </c>
      <c r="M1114" s="282" t="e">
        <f>(INDEX(Tabla6[#All],MATCH(Tabla4[[#This Row],[Producto]],Tabla6[[#All],[PRODUCTO]],0),MATCH(Tabla4[[#This Row],[Mes]],Tabla6[#Headers],0)))*(1+Catalogos!$L$2)</f>
        <v>#N/A</v>
      </c>
      <c r="N1114" s="283" t="e">
        <f>+(Tabla4[[#This Row],[Precio Descontado]]-Tabla4[[#This Row],[Precio Base]])*Tabla4[[#This Row],[Cantidad]]</f>
        <v>#N/A</v>
      </c>
      <c r="O1114" s="284" t="e">
        <f>++Tabla4[[#This Row],[Utilidad Total]]/Tabla4[[#This Row],[Total]]</f>
        <v>#N/A</v>
      </c>
      <c r="P1114" s="282">
        <f>++Tabla4[[#This Row],[Precio Descontado]]*Tabla4[[#This Row],[Cantidad]]</f>
        <v>14784.762513000001</v>
      </c>
      <c r="Q1114" s="282" t="e">
        <f>(INDEX(Tabla6[#All],MATCH(Tabla4[[#This Row],[Producto]],Tabla6[[#All],[PRODUCTO]],0),MATCH(Tabla4[[#This Row],[Mes]],Tabla6[#Headers],0)))</f>
        <v>#N/A</v>
      </c>
      <c r="R1114" s="282" t="e">
        <f>++Tabla4[[#This Row],[Precio Unitario Neto]]-Tabla4[[#This Row],[20.85%]]-Tabla4[[#This Row],[Costo]]</f>
        <v>#N/A</v>
      </c>
      <c r="S1114" s="282" t="e">
        <f>++Tabla4[[#This Row],[U. Bruta Uni]]*Tabla4[[#This Row],[Cantidad]]</f>
        <v>#N/A</v>
      </c>
      <c r="T1114" s="369" t="str">
        <f>VLOOKUP(Tabla4[[#This Row],[Producto]],Tabla6[#All],14,FALSE)</f>
        <v>Termico Solar</v>
      </c>
      <c r="U1114" s="284" t="e">
        <f>(IF(Tabla4[[#This Row],[Familia]]="termico solar",Tabla4[[#This Row],[Utilidad Total]]*6%,Tabla4[[#This Row],[Utilidad Total]]*11.5%))/Tabla4[[#This Row],[Total]]</f>
        <v>#N/A</v>
      </c>
      <c r="V1114" s="282" t="e">
        <f>+Tabla4[[#This Row],[Comisión Calculada]]*Tabla4[[#This Row],[Total]]</f>
        <v>#N/A</v>
      </c>
    </row>
    <row r="1115" spans="1:22" hidden="1" x14ac:dyDescent="0.25">
      <c r="A1115" s="100">
        <v>45731</v>
      </c>
      <c r="B1115" t="str">
        <f t="shared" si="47"/>
        <v>March</v>
      </c>
      <c r="C1115" s="46" t="s">
        <v>280</v>
      </c>
      <c r="F1115" s="366" t="s">
        <v>1175</v>
      </c>
      <c r="G1115" s="46" t="s">
        <v>16</v>
      </c>
      <c r="H1115" s="46">
        <v>2</v>
      </c>
      <c r="I1115" s="51">
        <v>4103.8500000000004</v>
      </c>
      <c r="J1115" s="281">
        <f>++Tabla4[[#This Row],[Precio Bruto]]*1.16</f>
        <v>4760.4660000000003</v>
      </c>
      <c r="K1115" s="281">
        <f>+Tabla4[[#This Row],[Precio Unitario Neto]]*Tabla4[[#Headers],[20.85%]]</f>
        <v>992.55716100000006</v>
      </c>
      <c r="L1115" s="282">
        <f>++Tabla4[[#This Row],[Precio Unitario Neto]]-Tabla4[[#This Row],[20.85%]]</f>
        <v>3767.9088390000002</v>
      </c>
      <c r="M1115" s="282" t="e">
        <f>(INDEX(Tabla6[#All],MATCH(Tabla4[[#This Row],[Producto]],Tabla6[[#All],[PRODUCTO]],0),MATCH(Tabla4[[#This Row],[Mes]],Tabla6[#Headers],0)))*(1+Catalogos!$L$2)</f>
        <v>#N/A</v>
      </c>
      <c r="N1115" s="283" t="e">
        <f>+(Tabla4[[#This Row],[Precio Descontado]]-Tabla4[[#This Row],[Precio Base]])*Tabla4[[#This Row],[Cantidad]]</f>
        <v>#N/A</v>
      </c>
      <c r="O1115" s="284" t="e">
        <f>++Tabla4[[#This Row],[Utilidad Total]]/Tabla4[[#This Row],[Total]]</f>
        <v>#N/A</v>
      </c>
      <c r="P1115" s="282">
        <f>++Tabla4[[#This Row],[Precio Descontado]]*Tabla4[[#This Row],[Cantidad]]</f>
        <v>7535.8176780000003</v>
      </c>
      <c r="Q1115" s="282" t="e">
        <f>(INDEX(Tabla6[#All],MATCH(Tabla4[[#This Row],[Producto]],Tabla6[[#All],[PRODUCTO]],0),MATCH(Tabla4[[#This Row],[Mes]],Tabla6[#Headers],0)))</f>
        <v>#N/A</v>
      </c>
      <c r="R1115" s="282" t="e">
        <f>++Tabla4[[#This Row],[Precio Unitario Neto]]-Tabla4[[#This Row],[20.85%]]-Tabla4[[#This Row],[Costo]]</f>
        <v>#N/A</v>
      </c>
      <c r="S1115" s="282" t="e">
        <f>++Tabla4[[#This Row],[U. Bruta Uni]]*Tabla4[[#This Row],[Cantidad]]</f>
        <v>#N/A</v>
      </c>
      <c r="T1115" s="369" t="str">
        <f>VLOOKUP(Tabla4[[#This Row],[Producto]],Tabla6[#All],14,FALSE)</f>
        <v>Termico Solar</v>
      </c>
      <c r="U1115" s="284" t="e">
        <f>(IF(Tabla4[[#This Row],[Familia]]="termico solar",Tabla4[[#This Row],[Utilidad Total]]*6%,Tabla4[[#This Row],[Utilidad Total]]*11.5%))/Tabla4[[#This Row],[Total]]</f>
        <v>#N/A</v>
      </c>
      <c r="V1115" s="282" t="e">
        <f>+Tabla4[[#This Row],[Comisión Calculada]]*Tabla4[[#This Row],[Total]]</f>
        <v>#N/A</v>
      </c>
    </row>
    <row r="1116" spans="1:22" hidden="1" x14ac:dyDescent="0.25">
      <c r="A1116" s="100">
        <v>45731</v>
      </c>
      <c r="B1116" t="str">
        <f t="shared" si="47"/>
        <v>March</v>
      </c>
      <c r="C1116" s="46" t="s">
        <v>280</v>
      </c>
      <c r="F1116" s="366" t="s">
        <v>1176</v>
      </c>
      <c r="G1116" s="46" t="s">
        <v>17</v>
      </c>
      <c r="H1116" s="46">
        <v>3</v>
      </c>
      <c r="I1116" s="51">
        <v>4622.28</v>
      </c>
      <c r="J1116" s="281">
        <f>++Tabla4[[#This Row],[Precio Bruto]]*1.16</f>
        <v>5361.8447999999989</v>
      </c>
      <c r="K1116" s="281">
        <f>+Tabla4[[#This Row],[Precio Unitario Neto]]*Tabla4[[#Headers],[20.85%]]</f>
        <v>1117.9446407999997</v>
      </c>
      <c r="L1116" s="282">
        <f>++Tabla4[[#This Row],[Precio Unitario Neto]]-Tabla4[[#This Row],[20.85%]]</f>
        <v>4243.9001591999995</v>
      </c>
      <c r="M1116" s="282" t="e">
        <f>(INDEX(Tabla6[#All],MATCH(Tabla4[[#This Row],[Producto]],Tabla6[[#All],[PRODUCTO]],0),MATCH(Tabla4[[#This Row],[Mes]],Tabla6[#Headers],0)))*(1+Catalogos!$L$2)</f>
        <v>#N/A</v>
      </c>
      <c r="N1116" s="283" t="e">
        <f>+(Tabla4[[#This Row],[Precio Descontado]]-Tabla4[[#This Row],[Precio Base]])*Tabla4[[#This Row],[Cantidad]]</f>
        <v>#N/A</v>
      </c>
      <c r="O1116" s="284" t="e">
        <f>++Tabla4[[#This Row],[Utilidad Total]]/Tabla4[[#This Row],[Total]]</f>
        <v>#N/A</v>
      </c>
      <c r="P1116" s="282">
        <f>++Tabla4[[#This Row],[Precio Descontado]]*Tabla4[[#This Row],[Cantidad]]</f>
        <v>12731.700477599999</v>
      </c>
      <c r="Q1116" s="282" t="e">
        <f>(INDEX(Tabla6[#All],MATCH(Tabla4[[#This Row],[Producto]],Tabla6[[#All],[PRODUCTO]],0),MATCH(Tabla4[[#This Row],[Mes]],Tabla6[#Headers],0)))</f>
        <v>#N/A</v>
      </c>
      <c r="R1116" s="282" t="e">
        <f>++Tabla4[[#This Row],[Precio Unitario Neto]]-Tabla4[[#This Row],[20.85%]]-Tabla4[[#This Row],[Costo]]</f>
        <v>#N/A</v>
      </c>
      <c r="S1116" s="282" t="e">
        <f>++Tabla4[[#This Row],[U. Bruta Uni]]*Tabla4[[#This Row],[Cantidad]]</f>
        <v>#N/A</v>
      </c>
      <c r="T1116" s="369" t="str">
        <f>VLOOKUP(Tabla4[[#This Row],[Producto]],Tabla6[#All],14,FALSE)</f>
        <v>Termico Solar</v>
      </c>
      <c r="U1116" s="284" t="e">
        <f>(IF(Tabla4[[#This Row],[Familia]]="termico solar",Tabla4[[#This Row],[Utilidad Total]]*6%,Tabla4[[#This Row],[Utilidad Total]]*11.5%))/Tabla4[[#This Row],[Total]]</f>
        <v>#N/A</v>
      </c>
      <c r="V1116" s="282" t="e">
        <f>+Tabla4[[#This Row],[Comisión Calculada]]*Tabla4[[#This Row],[Total]]</f>
        <v>#N/A</v>
      </c>
    </row>
    <row r="1117" spans="1:22" hidden="1" x14ac:dyDescent="0.25">
      <c r="A1117" s="100">
        <v>45731</v>
      </c>
      <c r="B1117" t="str">
        <f t="shared" si="47"/>
        <v>March</v>
      </c>
      <c r="C1117" s="46" t="s">
        <v>280</v>
      </c>
      <c r="F1117" s="366" t="s">
        <v>1176</v>
      </c>
      <c r="G1117" s="46" t="s">
        <v>18</v>
      </c>
      <c r="H1117" s="46">
        <v>3</v>
      </c>
      <c r="I1117" s="51">
        <v>5367.6500000000005</v>
      </c>
      <c r="J1117" s="281">
        <f>++Tabla4[[#This Row],[Precio Bruto]]*1.16</f>
        <v>6226.4740000000002</v>
      </c>
      <c r="K1117" s="281">
        <f>+Tabla4[[#This Row],[Precio Unitario Neto]]*Tabla4[[#Headers],[20.85%]]</f>
        <v>1298.2198289999999</v>
      </c>
      <c r="L1117" s="282">
        <f>++Tabla4[[#This Row],[Precio Unitario Neto]]-Tabla4[[#This Row],[20.85%]]</f>
        <v>4928.2541710000005</v>
      </c>
      <c r="M1117" s="282" t="e">
        <f>(INDEX(Tabla6[#All],MATCH(Tabla4[[#This Row],[Producto]],Tabla6[[#All],[PRODUCTO]],0),MATCH(Tabla4[[#This Row],[Mes]],Tabla6[#Headers],0)))*(1+Catalogos!$L$2)</f>
        <v>#N/A</v>
      </c>
      <c r="N1117" s="283" t="e">
        <f>+(Tabla4[[#This Row],[Precio Descontado]]-Tabla4[[#This Row],[Precio Base]])*Tabla4[[#This Row],[Cantidad]]</f>
        <v>#N/A</v>
      </c>
      <c r="O1117" s="284" t="e">
        <f>++Tabla4[[#This Row],[Utilidad Total]]/Tabla4[[#This Row],[Total]]</f>
        <v>#N/A</v>
      </c>
      <c r="P1117" s="282">
        <f>++Tabla4[[#This Row],[Precio Descontado]]*Tabla4[[#This Row],[Cantidad]]</f>
        <v>14784.762513000001</v>
      </c>
      <c r="Q1117" s="282" t="e">
        <f>(INDEX(Tabla6[#All],MATCH(Tabla4[[#This Row],[Producto]],Tabla6[[#All],[PRODUCTO]],0),MATCH(Tabla4[[#This Row],[Mes]],Tabla6[#Headers],0)))</f>
        <v>#N/A</v>
      </c>
      <c r="R1117" s="282" t="e">
        <f>++Tabla4[[#This Row],[Precio Unitario Neto]]-Tabla4[[#This Row],[20.85%]]-Tabla4[[#This Row],[Costo]]</f>
        <v>#N/A</v>
      </c>
      <c r="S1117" s="282" t="e">
        <f>++Tabla4[[#This Row],[U. Bruta Uni]]*Tabla4[[#This Row],[Cantidad]]</f>
        <v>#N/A</v>
      </c>
      <c r="T1117" s="369" t="str">
        <f>VLOOKUP(Tabla4[[#This Row],[Producto]],Tabla6[#All],14,FALSE)</f>
        <v>Termico Solar</v>
      </c>
      <c r="U1117" s="284" t="e">
        <f>(IF(Tabla4[[#This Row],[Familia]]="termico solar",Tabla4[[#This Row],[Utilidad Total]]*6%,Tabla4[[#This Row],[Utilidad Total]]*11.5%))/Tabla4[[#This Row],[Total]]</f>
        <v>#N/A</v>
      </c>
      <c r="V1117" s="282" t="e">
        <f>+Tabla4[[#This Row],[Comisión Calculada]]*Tabla4[[#This Row],[Total]]</f>
        <v>#N/A</v>
      </c>
    </row>
    <row r="1118" spans="1:22" hidden="1" x14ac:dyDescent="0.25">
      <c r="A1118" s="100">
        <v>45731</v>
      </c>
      <c r="B1118" t="str">
        <f t="shared" si="47"/>
        <v>March</v>
      </c>
      <c r="C1118" s="46" t="s">
        <v>280</v>
      </c>
      <c r="F1118" s="366" t="s">
        <v>1177</v>
      </c>
      <c r="G1118" s="46" t="s">
        <v>83</v>
      </c>
      <c r="H1118" s="46">
        <v>1</v>
      </c>
      <c r="I1118" s="51">
        <v>8858.76</v>
      </c>
      <c r="J1118" s="281">
        <f>++Tabla4[[#This Row],[Precio Bruto]]*1.16</f>
        <v>10276.161599999999</v>
      </c>
      <c r="K1118" s="281">
        <f>+Tabla4[[#This Row],[Precio Unitario Neto]]*Tabla4[[#Headers],[20.85%]]</f>
        <v>2142.5796935999997</v>
      </c>
      <c r="L1118" s="282">
        <f>++Tabla4[[#This Row],[Precio Unitario Neto]]-Tabla4[[#This Row],[20.85%]]</f>
        <v>8133.5819063999998</v>
      </c>
      <c r="M1118" s="282" t="e">
        <f>(INDEX(Tabla6[#All],MATCH(Tabla4[[#This Row],[Producto]],Tabla6[[#All],[PRODUCTO]],0),MATCH(Tabla4[[#This Row],[Mes]],Tabla6[#Headers],0)))*(1+Catalogos!$L$2)</f>
        <v>#N/A</v>
      </c>
      <c r="N1118" s="283" t="e">
        <f>+(Tabla4[[#This Row],[Precio Descontado]]-Tabla4[[#This Row],[Precio Base]])*Tabla4[[#This Row],[Cantidad]]</f>
        <v>#N/A</v>
      </c>
      <c r="O1118" s="284" t="e">
        <f>++Tabla4[[#This Row],[Utilidad Total]]/Tabla4[[#This Row],[Total]]</f>
        <v>#N/A</v>
      </c>
      <c r="P1118" s="282">
        <f>++Tabla4[[#This Row],[Precio Descontado]]*Tabla4[[#This Row],[Cantidad]]</f>
        <v>8133.5819063999998</v>
      </c>
      <c r="Q1118" s="282" t="e">
        <f>(INDEX(Tabla6[#All],MATCH(Tabla4[[#This Row],[Producto]],Tabla6[[#All],[PRODUCTO]],0),MATCH(Tabla4[[#This Row],[Mes]],Tabla6[#Headers],0)))</f>
        <v>#N/A</v>
      </c>
      <c r="R1118" s="282" t="e">
        <f>++Tabla4[[#This Row],[Precio Unitario Neto]]-Tabla4[[#This Row],[20.85%]]-Tabla4[[#This Row],[Costo]]</f>
        <v>#N/A</v>
      </c>
      <c r="S1118" s="282" t="e">
        <f>++Tabla4[[#This Row],[U. Bruta Uni]]*Tabla4[[#This Row],[Cantidad]]</f>
        <v>#N/A</v>
      </c>
      <c r="T1118" s="369" t="str">
        <f>VLOOKUP(Tabla4[[#This Row],[Producto]],Tabla6[#All],14,FALSE)</f>
        <v>Termico Solar</v>
      </c>
      <c r="U1118" s="284" t="e">
        <f>(IF(Tabla4[[#This Row],[Familia]]="termico solar",Tabla4[[#This Row],[Utilidad Total]]*6%,Tabla4[[#This Row],[Utilidad Total]]*11.5%))/Tabla4[[#This Row],[Total]]</f>
        <v>#N/A</v>
      </c>
      <c r="V1118" s="282" t="e">
        <f>+Tabla4[[#This Row],[Comisión Calculada]]*Tabla4[[#This Row],[Total]]</f>
        <v>#N/A</v>
      </c>
    </row>
    <row r="1119" spans="1:22" hidden="1" x14ac:dyDescent="0.25">
      <c r="A1119" s="100">
        <v>45731</v>
      </c>
      <c r="B1119" t="str">
        <f t="shared" si="47"/>
        <v>March</v>
      </c>
      <c r="C1119" s="46" t="s">
        <v>280</v>
      </c>
      <c r="F1119" s="366" t="s">
        <v>1178</v>
      </c>
      <c r="G1119" s="46" t="s">
        <v>83</v>
      </c>
      <c r="H1119" s="46">
        <v>2</v>
      </c>
      <c r="I1119" s="51">
        <v>8858.76</v>
      </c>
      <c r="J1119" s="281">
        <f>++Tabla4[[#This Row],[Precio Bruto]]*1.16</f>
        <v>10276.161599999999</v>
      </c>
      <c r="K1119" s="281">
        <f>+Tabla4[[#This Row],[Precio Unitario Neto]]*Tabla4[[#Headers],[20.85%]]</f>
        <v>2142.5796935999997</v>
      </c>
      <c r="L1119" s="282">
        <f>++Tabla4[[#This Row],[Precio Unitario Neto]]-Tabla4[[#This Row],[20.85%]]</f>
        <v>8133.5819063999998</v>
      </c>
      <c r="M1119" s="282" t="e">
        <f>(INDEX(Tabla6[#All],MATCH(Tabla4[[#This Row],[Producto]],Tabla6[[#All],[PRODUCTO]],0),MATCH(Tabla4[[#This Row],[Mes]],Tabla6[#Headers],0)))*(1+Catalogos!$L$2)</f>
        <v>#N/A</v>
      </c>
      <c r="N1119" s="283" t="e">
        <f>+(Tabla4[[#This Row],[Precio Descontado]]-Tabla4[[#This Row],[Precio Base]])*Tabla4[[#This Row],[Cantidad]]</f>
        <v>#N/A</v>
      </c>
      <c r="O1119" s="284" t="e">
        <f>++Tabla4[[#This Row],[Utilidad Total]]/Tabla4[[#This Row],[Total]]</f>
        <v>#N/A</v>
      </c>
      <c r="P1119" s="282">
        <f>++Tabla4[[#This Row],[Precio Descontado]]*Tabla4[[#This Row],[Cantidad]]</f>
        <v>16267.1638128</v>
      </c>
      <c r="Q1119" s="282" t="e">
        <f>(INDEX(Tabla6[#All],MATCH(Tabla4[[#This Row],[Producto]],Tabla6[[#All],[PRODUCTO]],0),MATCH(Tabla4[[#This Row],[Mes]],Tabla6[#Headers],0)))</f>
        <v>#N/A</v>
      </c>
      <c r="R1119" s="282" t="e">
        <f>++Tabla4[[#This Row],[Precio Unitario Neto]]-Tabla4[[#This Row],[20.85%]]-Tabla4[[#This Row],[Costo]]</f>
        <v>#N/A</v>
      </c>
      <c r="S1119" s="282" t="e">
        <f>++Tabla4[[#This Row],[U. Bruta Uni]]*Tabla4[[#This Row],[Cantidad]]</f>
        <v>#N/A</v>
      </c>
      <c r="T1119" s="369" t="str">
        <f>VLOOKUP(Tabla4[[#This Row],[Producto]],Tabla6[#All],14,FALSE)</f>
        <v>Termico Solar</v>
      </c>
      <c r="U1119" s="284" t="e">
        <f>(IF(Tabla4[[#This Row],[Familia]]="termico solar",Tabla4[[#This Row],[Utilidad Total]]*6%,Tabla4[[#This Row],[Utilidad Total]]*11.5%))/Tabla4[[#This Row],[Total]]</f>
        <v>#N/A</v>
      </c>
      <c r="V1119" s="282" t="e">
        <f>+Tabla4[[#This Row],[Comisión Calculada]]*Tabla4[[#This Row],[Total]]</f>
        <v>#N/A</v>
      </c>
    </row>
    <row r="1120" spans="1:22" hidden="1" x14ac:dyDescent="0.25">
      <c r="A1120" s="100">
        <v>45731</v>
      </c>
      <c r="B1120" t="str">
        <f t="shared" si="47"/>
        <v>March</v>
      </c>
      <c r="C1120" s="46" t="s">
        <v>280</v>
      </c>
      <c r="F1120" s="366" t="s">
        <v>1178</v>
      </c>
      <c r="G1120" s="46" t="s">
        <v>209</v>
      </c>
      <c r="H1120" s="46">
        <v>12</v>
      </c>
      <c r="I1120" s="51">
        <v>393.22</v>
      </c>
      <c r="J1120" s="281">
        <f>++Tabla4[[#This Row],[Precio Bruto]]*1.16</f>
        <v>456.1352</v>
      </c>
      <c r="K1120" s="281">
        <f>+Tabla4[[#This Row],[Precio Unitario Neto]]*Tabla4[[#Headers],[20.85%]]</f>
        <v>95.104189199999993</v>
      </c>
      <c r="L1120" s="282">
        <f>++Tabla4[[#This Row],[Precio Unitario Neto]]-Tabla4[[#This Row],[20.85%]]</f>
        <v>361.03101079999999</v>
      </c>
      <c r="M1120" s="282" t="e">
        <f>(INDEX(Tabla6[#All],MATCH(Tabla4[[#This Row],[Producto]],Tabla6[[#All],[PRODUCTO]],0),MATCH(Tabla4[[#This Row],[Mes]],Tabla6[#Headers],0)))*(1+Catalogos!$L$2)</f>
        <v>#N/A</v>
      </c>
      <c r="N1120" s="283" t="e">
        <f>+(Tabla4[[#This Row],[Precio Descontado]]-Tabla4[[#This Row],[Precio Base]])*Tabla4[[#This Row],[Cantidad]]</f>
        <v>#N/A</v>
      </c>
      <c r="O1120" s="284" t="e">
        <f>++Tabla4[[#This Row],[Utilidad Total]]/Tabla4[[#This Row],[Total]]</f>
        <v>#N/A</v>
      </c>
      <c r="P1120" s="282">
        <f>++Tabla4[[#This Row],[Precio Descontado]]*Tabla4[[#This Row],[Cantidad]]</f>
        <v>4332.3721296000003</v>
      </c>
      <c r="Q1120" s="282" t="e">
        <f>(INDEX(Tabla6[#All],MATCH(Tabla4[[#This Row],[Producto]],Tabla6[[#All],[PRODUCTO]],0),MATCH(Tabla4[[#This Row],[Mes]],Tabla6[#Headers],0)))</f>
        <v>#N/A</v>
      </c>
      <c r="R1120" s="282" t="e">
        <f>++Tabla4[[#This Row],[Precio Unitario Neto]]-Tabla4[[#This Row],[20.85%]]-Tabla4[[#This Row],[Costo]]</f>
        <v>#N/A</v>
      </c>
      <c r="S1120" s="282" t="e">
        <f>++Tabla4[[#This Row],[U. Bruta Uni]]*Tabla4[[#This Row],[Cantidad]]</f>
        <v>#N/A</v>
      </c>
      <c r="T1120" s="369" t="str">
        <f>VLOOKUP(Tabla4[[#This Row],[Producto]],Tabla6[#All],14,FALSE)</f>
        <v>Termico Solar</v>
      </c>
      <c r="U1120" s="284" t="e">
        <f>(IF(Tabla4[[#This Row],[Familia]]="termico solar",Tabla4[[#This Row],[Utilidad Total]]*6%,Tabla4[[#This Row],[Utilidad Total]]*11.5%))/Tabla4[[#This Row],[Total]]</f>
        <v>#N/A</v>
      </c>
      <c r="V1120" s="282" t="e">
        <f>+Tabla4[[#This Row],[Comisión Calculada]]*Tabla4[[#This Row],[Total]]</f>
        <v>#N/A</v>
      </c>
    </row>
    <row r="1121" spans="1:22" hidden="1" x14ac:dyDescent="0.25">
      <c r="A1121" s="100">
        <v>45731</v>
      </c>
      <c r="B1121" t="str">
        <f t="shared" si="47"/>
        <v>March</v>
      </c>
      <c r="C1121" s="46" t="s">
        <v>280</v>
      </c>
      <c r="F1121" s="366" t="s">
        <v>1179</v>
      </c>
      <c r="G1121" s="46" t="s">
        <v>83</v>
      </c>
      <c r="H1121" s="46">
        <v>1</v>
      </c>
      <c r="I1121" s="51">
        <v>8858.76</v>
      </c>
      <c r="J1121" s="281">
        <f>++Tabla4[[#This Row],[Precio Bruto]]*1.16</f>
        <v>10276.161599999999</v>
      </c>
      <c r="K1121" s="281">
        <f>+Tabla4[[#This Row],[Precio Unitario Neto]]*Tabla4[[#Headers],[20.85%]]</f>
        <v>2142.5796935999997</v>
      </c>
      <c r="L1121" s="282">
        <f>++Tabla4[[#This Row],[Precio Unitario Neto]]-Tabla4[[#This Row],[20.85%]]</f>
        <v>8133.5819063999998</v>
      </c>
      <c r="M1121" s="282" t="e">
        <f>(INDEX(Tabla6[#All],MATCH(Tabla4[[#This Row],[Producto]],Tabla6[[#All],[PRODUCTO]],0),MATCH(Tabla4[[#This Row],[Mes]],Tabla6[#Headers],0)))*(1+Catalogos!$L$2)</f>
        <v>#N/A</v>
      </c>
      <c r="N1121" s="283" t="e">
        <f>+(Tabla4[[#This Row],[Precio Descontado]]-Tabla4[[#This Row],[Precio Base]])*Tabla4[[#This Row],[Cantidad]]</f>
        <v>#N/A</v>
      </c>
      <c r="O1121" s="284" t="e">
        <f>++Tabla4[[#This Row],[Utilidad Total]]/Tabla4[[#This Row],[Total]]</f>
        <v>#N/A</v>
      </c>
      <c r="P1121" s="282">
        <f>++Tabla4[[#This Row],[Precio Descontado]]*Tabla4[[#This Row],[Cantidad]]</f>
        <v>8133.5819063999998</v>
      </c>
      <c r="Q1121" s="282" t="e">
        <f>(INDEX(Tabla6[#All],MATCH(Tabla4[[#This Row],[Producto]],Tabla6[[#All],[PRODUCTO]],0),MATCH(Tabla4[[#This Row],[Mes]],Tabla6[#Headers],0)))</f>
        <v>#N/A</v>
      </c>
      <c r="R1121" s="282" t="e">
        <f>++Tabla4[[#This Row],[Precio Unitario Neto]]-Tabla4[[#This Row],[20.85%]]-Tabla4[[#This Row],[Costo]]</f>
        <v>#N/A</v>
      </c>
      <c r="S1121" s="282" t="e">
        <f>++Tabla4[[#This Row],[U. Bruta Uni]]*Tabla4[[#This Row],[Cantidad]]</f>
        <v>#N/A</v>
      </c>
      <c r="T1121" s="369" t="str">
        <f>VLOOKUP(Tabla4[[#This Row],[Producto]],Tabla6[#All],14,FALSE)</f>
        <v>Termico Solar</v>
      </c>
      <c r="U1121" s="284" t="e">
        <f>(IF(Tabla4[[#This Row],[Familia]]="termico solar",Tabla4[[#This Row],[Utilidad Total]]*6%,Tabla4[[#This Row],[Utilidad Total]]*11.5%))/Tabla4[[#This Row],[Total]]</f>
        <v>#N/A</v>
      </c>
      <c r="V1121" s="282" t="e">
        <f>+Tabla4[[#This Row],[Comisión Calculada]]*Tabla4[[#This Row],[Total]]</f>
        <v>#N/A</v>
      </c>
    </row>
    <row r="1122" spans="1:22" hidden="1" x14ac:dyDescent="0.25">
      <c r="A1122" s="100">
        <v>45731</v>
      </c>
      <c r="B1122" t="str">
        <f t="shared" si="47"/>
        <v>March</v>
      </c>
      <c r="C1122" s="46" t="s">
        <v>280</v>
      </c>
      <c r="F1122" s="366" t="s">
        <v>1179</v>
      </c>
      <c r="G1122" s="46" t="s">
        <v>18</v>
      </c>
      <c r="H1122" s="46">
        <v>3</v>
      </c>
      <c r="I1122" s="51">
        <v>5367.6500000000005</v>
      </c>
      <c r="J1122" s="281">
        <f>++Tabla4[[#This Row],[Precio Bruto]]*1.16</f>
        <v>6226.4740000000002</v>
      </c>
      <c r="K1122" s="281">
        <f>+Tabla4[[#This Row],[Precio Unitario Neto]]*Tabla4[[#Headers],[20.85%]]</f>
        <v>1298.2198289999999</v>
      </c>
      <c r="L1122" s="282">
        <f>++Tabla4[[#This Row],[Precio Unitario Neto]]-Tabla4[[#This Row],[20.85%]]</f>
        <v>4928.2541710000005</v>
      </c>
      <c r="M1122" s="282" t="e">
        <f>(INDEX(Tabla6[#All],MATCH(Tabla4[[#This Row],[Producto]],Tabla6[[#All],[PRODUCTO]],0),MATCH(Tabla4[[#This Row],[Mes]],Tabla6[#Headers],0)))*(1+Catalogos!$L$2)</f>
        <v>#N/A</v>
      </c>
      <c r="N1122" s="283" t="e">
        <f>+(Tabla4[[#This Row],[Precio Descontado]]-Tabla4[[#This Row],[Precio Base]])*Tabla4[[#This Row],[Cantidad]]</f>
        <v>#N/A</v>
      </c>
      <c r="O1122" s="284" t="e">
        <f>++Tabla4[[#This Row],[Utilidad Total]]/Tabla4[[#This Row],[Total]]</f>
        <v>#N/A</v>
      </c>
      <c r="P1122" s="282">
        <f>++Tabla4[[#This Row],[Precio Descontado]]*Tabla4[[#This Row],[Cantidad]]</f>
        <v>14784.762513000001</v>
      </c>
      <c r="Q1122" s="282" t="e">
        <f>(INDEX(Tabla6[#All],MATCH(Tabla4[[#This Row],[Producto]],Tabla6[[#All],[PRODUCTO]],0),MATCH(Tabla4[[#This Row],[Mes]],Tabla6[#Headers],0)))</f>
        <v>#N/A</v>
      </c>
      <c r="R1122" s="282" t="e">
        <f>++Tabla4[[#This Row],[Precio Unitario Neto]]-Tabla4[[#This Row],[20.85%]]-Tabla4[[#This Row],[Costo]]</f>
        <v>#N/A</v>
      </c>
      <c r="S1122" s="282" t="e">
        <f>++Tabla4[[#This Row],[U. Bruta Uni]]*Tabla4[[#This Row],[Cantidad]]</f>
        <v>#N/A</v>
      </c>
      <c r="T1122" s="369" t="str">
        <f>VLOOKUP(Tabla4[[#This Row],[Producto]],Tabla6[#All],14,FALSE)</f>
        <v>Termico Solar</v>
      </c>
      <c r="U1122" s="284" t="e">
        <f>(IF(Tabla4[[#This Row],[Familia]]="termico solar",Tabla4[[#This Row],[Utilidad Total]]*6%,Tabla4[[#This Row],[Utilidad Total]]*11.5%))/Tabla4[[#This Row],[Total]]</f>
        <v>#N/A</v>
      </c>
      <c r="V1122" s="282" t="e">
        <f>+Tabla4[[#This Row],[Comisión Calculada]]*Tabla4[[#This Row],[Total]]</f>
        <v>#N/A</v>
      </c>
    </row>
    <row r="1123" spans="1:22" hidden="1" x14ac:dyDescent="0.25">
      <c r="A1123" s="100">
        <v>45731</v>
      </c>
      <c r="B1123" t="str">
        <f t="shared" si="47"/>
        <v>March</v>
      </c>
      <c r="C1123" s="46" t="s">
        <v>280</v>
      </c>
      <c r="F1123" s="366" t="s">
        <v>1179</v>
      </c>
      <c r="G1123" s="46" t="s">
        <v>208</v>
      </c>
      <c r="H1123" s="46">
        <v>15</v>
      </c>
      <c r="I1123" s="51">
        <v>140.63</v>
      </c>
      <c r="J1123" s="281">
        <f>++Tabla4[[#This Row],[Precio Bruto]]*1.16</f>
        <v>163.13079999999999</v>
      </c>
      <c r="K1123" s="281">
        <f>+Tabla4[[#This Row],[Precio Unitario Neto]]*Tabla4[[#Headers],[20.85%]]</f>
        <v>34.012771799999996</v>
      </c>
      <c r="L1123" s="282">
        <f>++Tabla4[[#This Row],[Precio Unitario Neto]]-Tabla4[[#This Row],[20.85%]]</f>
        <v>129.1180282</v>
      </c>
      <c r="M1123" s="282" t="e">
        <f>(INDEX(Tabla6[#All],MATCH(Tabla4[[#This Row],[Producto]],Tabla6[[#All],[PRODUCTO]],0),MATCH(Tabla4[[#This Row],[Mes]],Tabla6[#Headers],0)))*(1+Catalogos!$L$2)</f>
        <v>#N/A</v>
      </c>
      <c r="N1123" s="283" t="e">
        <f>+(Tabla4[[#This Row],[Precio Descontado]]-Tabla4[[#This Row],[Precio Base]])*Tabla4[[#This Row],[Cantidad]]</f>
        <v>#N/A</v>
      </c>
      <c r="O1123" s="284" t="e">
        <f>++Tabla4[[#This Row],[Utilidad Total]]/Tabla4[[#This Row],[Total]]</f>
        <v>#N/A</v>
      </c>
      <c r="P1123" s="282">
        <f>++Tabla4[[#This Row],[Precio Descontado]]*Tabla4[[#This Row],[Cantidad]]</f>
        <v>1936.7704229999999</v>
      </c>
      <c r="Q1123" s="282" t="e">
        <f>(INDEX(Tabla6[#All],MATCH(Tabla4[[#This Row],[Producto]],Tabla6[[#All],[PRODUCTO]],0),MATCH(Tabla4[[#This Row],[Mes]],Tabla6[#Headers],0)))</f>
        <v>#N/A</v>
      </c>
      <c r="R1123" s="282" t="e">
        <f>++Tabla4[[#This Row],[Precio Unitario Neto]]-Tabla4[[#This Row],[20.85%]]-Tabla4[[#This Row],[Costo]]</f>
        <v>#N/A</v>
      </c>
      <c r="S1123" s="282" t="e">
        <f>++Tabla4[[#This Row],[U. Bruta Uni]]*Tabla4[[#This Row],[Cantidad]]</f>
        <v>#N/A</v>
      </c>
      <c r="T1123" s="369" t="str">
        <f>VLOOKUP(Tabla4[[#This Row],[Producto]],Tabla6[#All],14,FALSE)</f>
        <v>Termico Solar</v>
      </c>
      <c r="U1123" s="284" t="e">
        <f>(IF(Tabla4[[#This Row],[Familia]]="termico solar",Tabla4[[#This Row],[Utilidad Total]]*6%,Tabla4[[#This Row],[Utilidad Total]]*11.5%))/Tabla4[[#This Row],[Total]]</f>
        <v>#N/A</v>
      </c>
      <c r="V1123" s="282" t="e">
        <f>+Tabla4[[#This Row],[Comisión Calculada]]*Tabla4[[#This Row],[Total]]</f>
        <v>#N/A</v>
      </c>
    </row>
    <row r="1124" spans="1:22" hidden="1" x14ac:dyDescent="0.25">
      <c r="A1124" s="100">
        <v>45731</v>
      </c>
      <c r="B1124" t="str">
        <f t="shared" si="47"/>
        <v>March</v>
      </c>
      <c r="C1124" s="46" t="s">
        <v>280</v>
      </c>
      <c r="F1124" s="366" t="s">
        <v>1179</v>
      </c>
      <c r="G1124" s="46" t="s">
        <v>16</v>
      </c>
      <c r="H1124" s="46">
        <v>2</v>
      </c>
      <c r="I1124" s="51">
        <v>4103.8500000000004</v>
      </c>
      <c r="J1124" s="281">
        <f>++Tabla4[[#This Row],[Precio Bruto]]*1.16</f>
        <v>4760.4660000000003</v>
      </c>
      <c r="K1124" s="281">
        <f>+Tabla4[[#This Row],[Precio Unitario Neto]]*Tabla4[[#Headers],[20.85%]]</f>
        <v>992.55716100000006</v>
      </c>
      <c r="L1124" s="282">
        <f>++Tabla4[[#This Row],[Precio Unitario Neto]]-Tabla4[[#This Row],[20.85%]]</f>
        <v>3767.9088390000002</v>
      </c>
      <c r="M1124" s="282" t="e">
        <f>(INDEX(Tabla6[#All],MATCH(Tabla4[[#This Row],[Producto]],Tabla6[[#All],[PRODUCTO]],0),MATCH(Tabla4[[#This Row],[Mes]],Tabla6[#Headers],0)))*(1+Catalogos!$L$2)</f>
        <v>#N/A</v>
      </c>
      <c r="N1124" s="283" t="e">
        <f>+(Tabla4[[#This Row],[Precio Descontado]]-Tabla4[[#This Row],[Precio Base]])*Tabla4[[#This Row],[Cantidad]]</f>
        <v>#N/A</v>
      </c>
      <c r="O1124" s="284" t="e">
        <f>++Tabla4[[#This Row],[Utilidad Total]]/Tabla4[[#This Row],[Total]]</f>
        <v>#N/A</v>
      </c>
      <c r="P1124" s="282">
        <f>++Tabla4[[#This Row],[Precio Descontado]]*Tabla4[[#This Row],[Cantidad]]</f>
        <v>7535.8176780000003</v>
      </c>
      <c r="Q1124" s="282" t="e">
        <f>(INDEX(Tabla6[#All],MATCH(Tabla4[[#This Row],[Producto]],Tabla6[[#All],[PRODUCTO]],0),MATCH(Tabla4[[#This Row],[Mes]],Tabla6[#Headers],0)))</f>
        <v>#N/A</v>
      </c>
      <c r="R1124" s="282" t="e">
        <f>++Tabla4[[#This Row],[Precio Unitario Neto]]-Tabla4[[#This Row],[20.85%]]-Tabla4[[#This Row],[Costo]]</f>
        <v>#N/A</v>
      </c>
      <c r="S1124" s="282" t="e">
        <f>++Tabla4[[#This Row],[U. Bruta Uni]]*Tabla4[[#This Row],[Cantidad]]</f>
        <v>#N/A</v>
      </c>
      <c r="T1124" s="369" t="str">
        <f>VLOOKUP(Tabla4[[#This Row],[Producto]],Tabla6[#All],14,FALSE)</f>
        <v>Termico Solar</v>
      </c>
      <c r="U1124" s="284" t="e">
        <f>(IF(Tabla4[[#This Row],[Familia]]="termico solar",Tabla4[[#This Row],[Utilidad Total]]*6%,Tabla4[[#This Row],[Utilidad Total]]*11.5%))/Tabla4[[#This Row],[Total]]</f>
        <v>#N/A</v>
      </c>
      <c r="V1124" s="282" t="e">
        <f>+Tabla4[[#This Row],[Comisión Calculada]]*Tabla4[[#This Row],[Total]]</f>
        <v>#N/A</v>
      </c>
    </row>
    <row r="1125" spans="1:22" hidden="1" x14ac:dyDescent="0.25">
      <c r="A1125" s="100">
        <v>45731</v>
      </c>
      <c r="B1125" t="str">
        <f t="shared" si="47"/>
        <v>March</v>
      </c>
      <c r="C1125" s="46" t="s">
        <v>280</v>
      </c>
      <c r="F1125" s="366" t="s">
        <v>1180</v>
      </c>
      <c r="G1125" s="46" t="s">
        <v>83</v>
      </c>
      <c r="H1125" s="46">
        <v>6</v>
      </c>
      <c r="I1125" s="51">
        <v>8858.76</v>
      </c>
      <c r="J1125" s="281">
        <f>++Tabla4[[#This Row],[Precio Bruto]]*1.16</f>
        <v>10276.161599999999</v>
      </c>
      <c r="K1125" s="281">
        <f>+Tabla4[[#This Row],[Precio Unitario Neto]]*Tabla4[[#Headers],[20.85%]]</f>
        <v>2142.5796935999997</v>
      </c>
      <c r="L1125" s="282">
        <f>++Tabla4[[#This Row],[Precio Unitario Neto]]-Tabla4[[#This Row],[20.85%]]</f>
        <v>8133.5819063999998</v>
      </c>
      <c r="M1125" s="282" t="e">
        <f>(INDEX(Tabla6[#All],MATCH(Tabla4[[#This Row],[Producto]],Tabla6[[#All],[PRODUCTO]],0),MATCH(Tabla4[[#This Row],[Mes]],Tabla6[#Headers],0)))*(1+Catalogos!$L$2)</f>
        <v>#N/A</v>
      </c>
      <c r="N1125" s="283" t="e">
        <f>+(Tabla4[[#This Row],[Precio Descontado]]-Tabla4[[#This Row],[Precio Base]])*Tabla4[[#This Row],[Cantidad]]</f>
        <v>#N/A</v>
      </c>
      <c r="O1125" s="284" t="e">
        <f>++Tabla4[[#This Row],[Utilidad Total]]/Tabla4[[#This Row],[Total]]</f>
        <v>#N/A</v>
      </c>
      <c r="P1125" s="282">
        <f>++Tabla4[[#This Row],[Precio Descontado]]*Tabla4[[#This Row],[Cantidad]]</f>
        <v>48801.4914384</v>
      </c>
      <c r="Q1125" s="282" t="e">
        <f>(INDEX(Tabla6[#All],MATCH(Tabla4[[#This Row],[Producto]],Tabla6[[#All],[PRODUCTO]],0),MATCH(Tabla4[[#This Row],[Mes]],Tabla6[#Headers],0)))</f>
        <v>#N/A</v>
      </c>
      <c r="R1125" s="282" t="e">
        <f>++Tabla4[[#This Row],[Precio Unitario Neto]]-Tabla4[[#This Row],[20.85%]]-Tabla4[[#This Row],[Costo]]</f>
        <v>#N/A</v>
      </c>
      <c r="S1125" s="282" t="e">
        <f>++Tabla4[[#This Row],[U. Bruta Uni]]*Tabla4[[#This Row],[Cantidad]]</f>
        <v>#N/A</v>
      </c>
      <c r="T1125" s="369" t="str">
        <f>VLOOKUP(Tabla4[[#This Row],[Producto]],Tabla6[#All],14,FALSE)</f>
        <v>Termico Solar</v>
      </c>
      <c r="U1125" s="284" t="e">
        <f>(IF(Tabla4[[#This Row],[Familia]]="termico solar",Tabla4[[#This Row],[Utilidad Total]]*6%,Tabla4[[#This Row],[Utilidad Total]]*11.5%))/Tabla4[[#This Row],[Total]]</f>
        <v>#N/A</v>
      </c>
      <c r="V1125" s="282" t="e">
        <f>+Tabla4[[#This Row],[Comisión Calculada]]*Tabla4[[#This Row],[Total]]</f>
        <v>#N/A</v>
      </c>
    </row>
    <row r="1126" spans="1:22" hidden="1" x14ac:dyDescent="0.25">
      <c r="A1126" s="100">
        <v>45731</v>
      </c>
      <c r="B1126" t="str">
        <f t="shared" si="47"/>
        <v>March</v>
      </c>
      <c r="C1126" s="46" t="s">
        <v>280</v>
      </c>
      <c r="F1126" s="366" t="s">
        <v>1180</v>
      </c>
      <c r="G1126" s="46" t="s">
        <v>17</v>
      </c>
      <c r="H1126" s="46">
        <v>2</v>
      </c>
      <c r="I1126" s="51">
        <v>4622.28</v>
      </c>
      <c r="J1126" s="281">
        <f>++Tabla4[[#This Row],[Precio Bruto]]*1.16</f>
        <v>5361.8447999999989</v>
      </c>
      <c r="K1126" s="281">
        <f>+Tabla4[[#This Row],[Precio Unitario Neto]]*Tabla4[[#Headers],[20.85%]]</f>
        <v>1117.9446407999997</v>
      </c>
      <c r="L1126" s="282">
        <f>++Tabla4[[#This Row],[Precio Unitario Neto]]-Tabla4[[#This Row],[20.85%]]</f>
        <v>4243.9001591999995</v>
      </c>
      <c r="M1126" s="282" t="e">
        <f>(INDEX(Tabla6[#All],MATCH(Tabla4[[#This Row],[Producto]],Tabla6[[#All],[PRODUCTO]],0),MATCH(Tabla4[[#This Row],[Mes]],Tabla6[#Headers],0)))*(1+Catalogos!$L$2)</f>
        <v>#N/A</v>
      </c>
      <c r="N1126" s="283" t="e">
        <f>+(Tabla4[[#This Row],[Precio Descontado]]-Tabla4[[#This Row],[Precio Base]])*Tabla4[[#This Row],[Cantidad]]</f>
        <v>#N/A</v>
      </c>
      <c r="O1126" s="284" t="e">
        <f>++Tabla4[[#This Row],[Utilidad Total]]/Tabla4[[#This Row],[Total]]</f>
        <v>#N/A</v>
      </c>
      <c r="P1126" s="282">
        <f>++Tabla4[[#This Row],[Precio Descontado]]*Tabla4[[#This Row],[Cantidad]]</f>
        <v>8487.800318399999</v>
      </c>
      <c r="Q1126" s="282" t="e">
        <f>(INDEX(Tabla6[#All],MATCH(Tabla4[[#This Row],[Producto]],Tabla6[[#All],[PRODUCTO]],0),MATCH(Tabla4[[#This Row],[Mes]],Tabla6[#Headers],0)))</f>
        <v>#N/A</v>
      </c>
      <c r="R1126" s="282" t="e">
        <f>++Tabla4[[#This Row],[Precio Unitario Neto]]-Tabla4[[#This Row],[20.85%]]-Tabla4[[#This Row],[Costo]]</f>
        <v>#N/A</v>
      </c>
      <c r="S1126" s="282" t="e">
        <f>++Tabla4[[#This Row],[U. Bruta Uni]]*Tabla4[[#This Row],[Cantidad]]</f>
        <v>#N/A</v>
      </c>
      <c r="T1126" s="369" t="str">
        <f>VLOOKUP(Tabla4[[#This Row],[Producto]],Tabla6[#All],14,FALSE)</f>
        <v>Termico Solar</v>
      </c>
      <c r="U1126" s="284" t="e">
        <f>(IF(Tabla4[[#This Row],[Familia]]="termico solar",Tabla4[[#This Row],[Utilidad Total]]*6%,Tabla4[[#This Row],[Utilidad Total]]*11.5%))/Tabla4[[#This Row],[Total]]</f>
        <v>#N/A</v>
      </c>
      <c r="V1126" s="282" t="e">
        <f>+Tabla4[[#This Row],[Comisión Calculada]]*Tabla4[[#This Row],[Total]]</f>
        <v>#N/A</v>
      </c>
    </row>
    <row r="1127" spans="1:22" hidden="1" x14ac:dyDescent="0.25">
      <c r="A1127" s="100">
        <v>45731</v>
      </c>
      <c r="B1127" t="str">
        <f t="shared" si="47"/>
        <v>March</v>
      </c>
      <c r="C1127" s="46" t="s">
        <v>280</v>
      </c>
      <c r="F1127" s="366" t="s">
        <v>1180</v>
      </c>
      <c r="G1127" s="46" t="s">
        <v>18</v>
      </c>
      <c r="H1127" s="46">
        <v>3</v>
      </c>
      <c r="I1127" s="51">
        <v>5367.6500000000005</v>
      </c>
      <c r="J1127" s="281">
        <f>++Tabla4[[#This Row],[Precio Bruto]]*1.16</f>
        <v>6226.4740000000002</v>
      </c>
      <c r="K1127" s="281">
        <f>+Tabla4[[#This Row],[Precio Unitario Neto]]*Tabla4[[#Headers],[20.85%]]</f>
        <v>1298.2198289999999</v>
      </c>
      <c r="L1127" s="282">
        <f>++Tabla4[[#This Row],[Precio Unitario Neto]]-Tabla4[[#This Row],[20.85%]]</f>
        <v>4928.2541710000005</v>
      </c>
      <c r="M1127" s="282" t="e">
        <f>(INDEX(Tabla6[#All],MATCH(Tabla4[[#This Row],[Producto]],Tabla6[[#All],[PRODUCTO]],0),MATCH(Tabla4[[#This Row],[Mes]],Tabla6[#Headers],0)))*(1+Catalogos!$L$2)</f>
        <v>#N/A</v>
      </c>
      <c r="N1127" s="283" t="e">
        <f>+(Tabla4[[#This Row],[Precio Descontado]]-Tabla4[[#This Row],[Precio Base]])*Tabla4[[#This Row],[Cantidad]]</f>
        <v>#N/A</v>
      </c>
      <c r="O1127" s="284" t="e">
        <f>++Tabla4[[#This Row],[Utilidad Total]]/Tabla4[[#This Row],[Total]]</f>
        <v>#N/A</v>
      </c>
      <c r="P1127" s="282">
        <f>++Tabla4[[#This Row],[Precio Descontado]]*Tabla4[[#This Row],[Cantidad]]</f>
        <v>14784.762513000001</v>
      </c>
      <c r="Q1127" s="282" t="e">
        <f>(INDEX(Tabla6[#All],MATCH(Tabla4[[#This Row],[Producto]],Tabla6[[#All],[PRODUCTO]],0),MATCH(Tabla4[[#This Row],[Mes]],Tabla6[#Headers],0)))</f>
        <v>#N/A</v>
      </c>
      <c r="R1127" s="282" t="e">
        <f>++Tabla4[[#This Row],[Precio Unitario Neto]]-Tabla4[[#This Row],[20.85%]]-Tabla4[[#This Row],[Costo]]</f>
        <v>#N/A</v>
      </c>
      <c r="S1127" s="282" t="e">
        <f>++Tabla4[[#This Row],[U. Bruta Uni]]*Tabla4[[#This Row],[Cantidad]]</f>
        <v>#N/A</v>
      </c>
      <c r="T1127" s="369" t="str">
        <f>VLOOKUP(Tabla4[[#This Row],[Producto]],Tabla6[#All],14,FALSE)</f>
        <v>Termico Solar</v>
      </c>
      <c r="U1127" s="284" t="e">
        <f>(IF(Tabla4[[#This Row],[Familia]]="termico solar",Tabla4[[#This Row],[Utilidad Total]]*6%,Tabla4[[#This Row],[Utilidad Total]]*11.5%))/Tabla4[[#This Row],[Total]]</f>
        <v>#N/A</v>
      </c>
      <c r="V1127" s="282" t="e">
        <f>+Tabla4[[#This Row],[Comisión Calculada]]*Tabla4[[#This Row],[Total]]</f>
        <v>#N/A</v>
      </c>
    </row>
    <row r="1128" spans="1:22" hidden="1" x14ac:dyDescent="0.25">
      <c r="A1128" s="100">
        <v>45731</v>
      </c>
      <c r="B1128" t="str">
        <f t="shared" si="47"/>
        <v>March</v>
      </c>
      <c r="C1128" s="46" t="s">
        <v>280</v>
      </c>
      <c r="F1128" s="366" t="s">
        <v>1181</v>
      </c>
      <c r="G1128" s="46" t="s">
        <v>17</v>
      </c>
      <c r="H1128" s="46">
        <v>12</v>
      </c>
      <c r="I1128" s="51">
        <v>4622.28</v>
      </c>
      <c r="J1128" s="281">
        <f>++Tabla4[[#This Row],[Precio Bruto]]*1.16</f>
        <v>5361.8447999999989</v>
      </c>
      <c r="K1128" s="281">
        <f>+Tabla4[[#This Row],[Precio Unitario Neto]]*Tabla4[[#Headers],[20.85%]]</f>
        <v>1117.9446407999997</v>
      </c>
      <c r="L1128" s="282">
        <f>++Tabla4[[#This Row],[Precio Unitario Neto]]-Tabla4[[#This Row],[20.85%]]</f>
        <v>4243.9001591999995</v>
      </c>
      <c r="M1128" s="282" t="e">
        <f>(INDEX(Tabla6[#All],MATCH(Tabla4[[#This Row],[Producto]],Tabla6[[#All],[PRODUCTO]],0),MATCH(Tabla4[[#This Row],[Mes]],Tabla6[#Headers],0)))*(1+Catalogos!$L$2)</f>
        <v>#N/A</v>
      </c>
      <c r="N1128" s="283" t="e">
        <f>+(Tabla4[[#This Row],[Precio Descontado]]-Tabla4[[#This Row],[Precio Base]])*Tabla4[[#This Row],[Cantidad]]</f>
        <v>#N/A</v>
      </c>
      <c r="O1128" s="284" t="e">
        <f>++Tabla4[[#This Row],[Utilidad Total]]/Tabla4[[#This Row],[Total]]</f>
        <v>#N/A</v>
      </c>
      <c r="P1128" s="282">
        <f>++Tabla4[[#This Row],[Precio Descontado]]*Tabla4[[#This Row],[Cantidad]]</f>
        <v>50926.801910399998</v>
      </c>
      <c r="Q1128" s="282" t="e">
        <f>(INDEX(Tabla6[#All],MATCH(Tabla4[[#This Row],[Producto]],Tabla6[[#All],[PRODUCTO]],0),MATCH(Tabla4[[#This Row],[Mes]],Tabla6[#Headers],0)))</f>
        <v>#N/A</v>
      </c>
      <c r="R1128" s="282" t="e">
        <f>++Tabla4[[#This Row],[Precio Unitario Neto]]-Tabla4[[#This Row],[20.85%]]-Tabla4[[#This Row],[Costo]]</f>
        <v>#N/A</v>
      </c>
      <c r="S1128" s="282" t="e">
        <f>++Tabla4[[#This Row],[U. Bruta Uni]]*Tabla4[[#This Row],[Cantidad]]</f>
        <v>#N/A</v>
      </c>
      <c r="T1128" s="369" t="str">
        <f>VLOOKUP(Tabla4[[#This Row],[Producto]],Tabla6[#All],14,FALSE)</f>
        <v>Termico Solar</v>
      </c>
      <c r="U1128" s="284" t="e">
        <f>(IF(Tabla4[[#This Row],[Familia]]="termico solar",Tabla4[[#This Row],[Utilidad Total]]*6%,Tabla4[[#This Row],[Utilidad Total]]*11.5%))/Tabla4[[#This Row],[Total]]</f>
        <v>#N/A</v>
      </c>
      <c r="V1128" s="282" t="e">
        <f>+Tabla4[[#This Row],[Comisión Calculada]]*Tabla4[[#This Row],[Total]]</f>
        <v>#N/A</v>
      </c>
    </row>
    <row r="1129" spans="1:22" hidden="1" x14ac:dyDescent="0.25">
      <c r="A1129" s="100">
        <v>45731</v>
      </c>
      <c r="B1129" t="str">
        <f t="shared" si="47"/>
        <v>March</v>
      </c>
      <c r="C1129" s="46" t="s">
        <v>280</v>
      </c>
      <c r="F1129" s="366" t="s">
        <v>1181</v>
      </c>
      <c r="G1129" s="46" t="s">
        <v>18</v>
      </c>
      <c r="H1129" s="46">
        <v>4</v>
      </c>
      <c r="I1129" s="51">
        <v>5367.65</v>
      </c>
      <c r="J1129" s="281">
        <f>++Tabla4[[#This Row],[Precio Bruto]]*1.16</f>
        <v>6226.4739999999993</v>
      </c>
      <c r="K1129" s="281">
        <f>+Tabla4[[#This Row],[Precio Unitario Neto]]*Tabla4[[#Headers],[20.85%]]</f>
        <v>1298.2198289999999</v>
      </c>
      <c r="L1129" s="282">
        <f>++Tabla4[[#This Row],[Precio Unitario Neto]]-Tabla4[[#This Row],[20.85%]]</f>
        <v>4928.2541709999996</v>
      </c>
      <c r="M1129" s="282" t="e">
        <f>(INDEX(Tabla6[#All],MATCH(Tabla4[[#This Row],[Producto]],Tabla6[[#All],[PRODUCTO]],0),MATCH(Tabla4[[#This Row],[Mes]],Tabla6[#Headers],0)))*(1+Catalogos!$L$2)</f>
        <v>#N/A</v>
      </c>
      <c r="N1129" s="283" t="e">
        <f>+(Tabla4[[#This Row],[Precio Descontado]]-Tabla4[[#This Row],[Precio Base]])*Tabla4[[#This Row],[Cantidad]]</f>
        <v>#N/A</v>
      </c>
      <c r="O1129" s="284" t="e">
        <f>++Tabla4[[#This Row],[Utilidad Total]]/Tabla4[[#This Row],[Total]]</f>
        <v>#N/A</v>
      </c>
      <c r="P1129" s="282">
        <f>++Tabla4[[#This Row],[Precio Descontado]]*Tabla4[[#This Row],[Cantidad]]</f>
        <v>19713.016683999998</v>
      </c>
      <c r="Q1129" s="282" t="e">
        <f>(INDEX(Tabla6[#All],MATCH(Tabla4[[#This Row],[Producto]],Tabla6[[#All],[PRODUCTO]],0),MATCH(Tabla4[[#This Row],[Mes]],Tabla6[#Headers],0)))</f>
        <v>#N/A</v>
      </c>
      <c r="R1129" s="282" t="e">
        <f>++Tabla4[[#This Row],[Precio Unitario Neto]]-Tabla4[[#This Row],[20.85%]]-Tabla4[[#This Row],[Costo]]</f>
        <v>#N/A</v>
      </c>
      <c r="S1129" s="282" t="e">
        <f>++Tabla4[[#This Row],[U. Bruta Uni]]*Tabla4[[#This Row],[Cantidad]]</f>
        <v>#N/A</v>
      </c>
      <c r="T1129" s="369" t="str">
        <f>VLOOKUP(Tabla4[[#This Row],[Producto]],Tabla6[#All],14,FALSE)</f>
        <v>Termico Solar</v>
      </c>
      <c r="U1129" s="284" t="e">
        <f>(IF(Tabla4[[#This Row],[Familia]]="termico solar",Tabla4[[#This Row],[Utilidad Total]]*6%,Tabla4[[#This Row],[Utilidad Total]]*11.5%))/Tabla4[[#This Row],[Total]]</f>
        <v>#N/A</v>
      </c>
      <c r="V1129" s="282" t="e">
        <f>+Tabla4[[#This Row],[Comisión Calculada]]*Tabla4[[#This Row],[Total]]</f>
        <v>#N/A</v>
      </c>
    </row>
    <row r="1130" spans="1:22" hidden="1" x14ac:dyDescent="0.25">
      <c r="A1130" s="100">
        <v>45731</v>
      </c>
      <c r="B1130" t="str">
        <f t="shared" si="47"/>
        <v>March</v>
      </c>
      <c r="C1130" s="46" t="s">
        <v>280</v>
      </c>
      <c r="F1130" s="366" t="s">
        <v>1181</v>
      </c>
      <c r="G1130" s="46" t="s">
        <v>208</v>
      </c>
      <c r="H1130" s="46">
        <v>45</v>
      </c>
      <c r="I1130" s="51">
        <v>140.63</v>
      </c>
      <c r="J1130" s="281">
        <f>++Tabla4[[#This Row],[Precio Bruto]]*1.16</f>
        <v>163.13079999999999</v>
      </c>
      <c r="K1130" s="281">
        <f>+Tabla4[[#This Row],[Precio Unitario Neto]]*Tabla4[[#Headers],[20.85%]]</f>
        <v>34.012771799999996</v>
      </c>
      <c r="L1130" s="282">
        <f>++Tabla4[[#This Row],[Precio Unitario Neto]]-Tabla4[[#This Row],[20.85%]]</f>
        <v>129.1180282</v>
      </c>
      <c r="M1130" s="282" t="e">
        <f>(INDEX(Tabla6[#All],MATCH(Tabla4[[#This Row],[Producto]],Tabla6[[#All],[PRODUCTO]],0),MATCH(Tabla4[[#This Row],[Mes]],Tabla6[#Headers],0)))*(1+Catalogos!$L$2)</f>
        <v>#N/A</v>
      </c>
      <c r="N1130" s="283" t="e">
        <f>+(Tabla4[[#This Row],[Precio Descontado]]-Tabla4[[#This Row],[Precio Base]])*Tabla4[[#This Row],[Cantidad]]</f>
        <v>#N/A</v>
      </c>
      <c r="O1130" s="284" t="e">
        <f>++Tabla4[[#This Row],[Utilidad Total]]/Tabla4[[#This Row],[Total]]</f>
        <v>#N/A</v>
      </c>
      <c r="P1130" s="282">
        <f>++Tabla4[[#This Row],[Precio Descontado]]*Tabla4[[#This Row],[Cantidad]]</f>
        <v>5810.3112689999998</v>
      </c>
      <c r="Q1130" s="282" t="e">
        <f>(INDEX(Tabla6[#All],MATCH(Tabla4[[#This Row],[Producto]],Tabla6[[#All],[PRODUCTO]],0),MATCH(Tabla4[[#This Row],[Mes]],Tabla6[#Headers],0)))</f>
        <v>#N/A</v>
      </c>
      <c r="R1130" s="282" t="e">
        <f>++Tabla4[[#This Row],[Precio Unitario Neto]]-Tabla4[[#This Row],[20.85%]]-Tabla4[[#This Row],[Costo]]</f>
        <v>#N/A</v>
      </c>
      <c r="S1130" s="282" t="e">
        <f>++Tabla4[[#This Row],[U. Bruta Uni]]*Tabla4[[#This Row],[Cantidad]]</f>
        <v>#N/A</v>
      </c>
      <c r="T1130" s="369" t="str">
        <f>VLOOKUP(Tabla4[[#This Row],[Producto]],Tabla6[#All],14,FALSE)</f>
        <v>Termico Solar</v>
      </c>
      <c r="U1130" s="284" t="e">
        <f>(IF(Tabla4[[#This Row],[Familia]]="termico solar",Tabla4[[#This Row],[Utilidad Total]]*6%,Tabla4[[#This Row],[Utilidad Total]]*11.5%))/Tabla4[[#This Row],[Total]]</f>
        <v>#N/A</v>
      </c>
      <c r="V1130" s="282" t="e">
        <f>+Tabla4[[#This Row],[Comisión Calculada]]*Tabla4[[#This Row],[Total]]</f>
        <v>#N/A</v>
      </c>
    </row>
    <row r="1131" spans="1:22" hidden="1" x14ac:dyDescent="0.25">
      <c r="A1131" s="100">
        <v>45731</v>
      </c>
      <c r="B1131" t="str">
        <f t="shared" si="47"/>
        <v>March</v>
      </c>
      <c r="C1131" s="46" t="s">
        <v>280</v>
      </c>
      <c r="F1131" s="366" t="s">
        <v>1182</v>
      </c>
      <c r="G1131" s="46" t="s">
        <v>83</v>
      </c>
      <c r="H1131" s="46">
        <v>1</v>
      </c>
      <c r="I1131" s="51">
        <v>8858.76</v>
      </c>
      <c r="J1131" s="281">
        <f>++Tabla4[[#This Row],[Precio Bruto]]*1.16</f>
        <v>10276.161599999999</v>
      </c>
      <c r="K1131" s="281">
        <f>+Tabla4[[#This Row],[Precio Unitario Neto]]*Tabla4[[#Headers],[20.85%]]</f>
        <v>2142.5796935999997</v>
      </c>
      <c r="L1131" s="282">
        <f>++Tabla4[[#This Row],[Precio Unitario Neto]]-Tabla4[[#This Row],[20.85%]]</f>
        <v>8133.5819063999998</v>
      </c>
      <c r="M1131" s="282" t="e">
        <f>(INDEX(Tabla6[#All],MATCH(Tabla4[[#This Row],[Producto]],Tabla6[[#All],[PRODUCTO]],0),MATCH(Tabla4[[#This Row],[Mes]],Tabla6[#Headers],0)))*(1+Catalogos!$L$2)</f>
        <v>#N/A</v>
      </c>
      <c r="N1131" s="283" t="e">
        <f>+(Tabla4[[#This Row],[Precio Descontado]]-Tabla4[[#This Row],[Precio Base]])*Tabla4[[#This Row],[Cantidad]]</f>
        <v>#N/A</v>
      </c>
      <c r="O1131" s="284" t="e">
        <f>++Tabla4[[#This Row],[Utilidad Total]]/Tabla4[[#This Row],[Total]]</f>
        <v>#N/A</v>
      </c>
      <c r="P1131" s="282">
        <f>++Tabla4[[#This Row],[Precio Descontado]]*Tabla4[[#This Row],[Cantidad]]</f>
        <v>8133.5819063999998</v>
      </c>
      <c r="Q1131" s="282" t="e">
        <f>(INDEX(Tabla6[#All],MATCH(Tabla4[[#This Row],[Producto]],Tabla6[[#All],[PRODUCTO]],0),MATCH(Tabla4[[#This Row],[Mes]],Tabla6[#Headers],0)))</f>
        <v>#N/A</v>
      </c>
      <c r="R1131" s="282" t="e">
        <f>++Tabla4[[#This Row],[Precio Unitario Neto]]-Tabla4[[#This Row],[20.85%]]-Tabla4[[#This Row],[Costo]]</f>
        <v>#N/A</v>
      </c>
      <c r="S1131" s="282" t="e">
        <f>++Tabla4[[#This Row],[U. Bruta Uni]]*Tabla4[[#This Row],[Cantidad]]</f>
        <v>#N/A</v>
      </c>
      <c r="T1131" s="369" t="str">
        <f>VLOOKUP(Tabla4[[#This Row],[Producto]],Tabla6[#All],14,FALSE)</f>
        <v>Termico Solar</v>
      </c>
      <c r="U1131" s="284" t="e">
        <f>(IF(Tabla4[[#This Row],[Familia]]="termico solar",Tabla4[[#This Row],[Utilidad Total]]*6%,Tabla4[[#This Row],[Utilidad Total]]*11.5%))/Tabla4[[#This Row],[Total]]</f>
        <v>#N/A</v>
      </c>
      <c r="V1131" s="282" t="e">
        <f>+Tabla4[[#This Row],[Comisión Calculada]]*Tabla4[[#This Row],[Total]]</f>
        <v>#N/A</v>
      </c>
    </row>
    <row r="1132" spans="1:22" hidden="1" x14ac:dyDescent="0.25">
      <c r="A1132" s="100">
        <v>45731</v>
      </c>
      <c r="B1132" t="str">
        <f t="shared" si="47"/>
        <v>March</v>
      </c>
      <c r="C1132" s="46" t="s">
        <v>280</v>
      </c>
      <c r="F1132" s="366" t="s">
        <v>1182</v>
      </c>
      <c r="G1132" s="46" t="s">
        <v>18</v>
      </c>
      <c r="H1132" s="46">
        <v>4</v>
      </c>
      <c r="I1132" s="51">
        <v>5367.65</v>
      </c>
      <c r="J1132" s="281">
        <f>++Tabla4[[#This Row],[Precio Bruto]]*1.16</f>
        <v>6226.4739999999993</v>
      </c>
      <c r="K1132" s="281">
        <f>+Tabla4[[#This Row],[Precio Unitario Neto]]*Tabla4[[#Headers],[20.85%]]</f>
        <v>1298.2198289999999</v>
      </c>
      <c r="L1132" s="282">
        <f>++Tabla4[[#This Row],[Precio Unitario Neto]]-Tabla4[[#This Row],[20.85%]]</f>
        <v>4928.2541709999996</v>
      </c>
      <c r="M1132" s="282" t="e">
        <f>(INDEX(Tabla6[#All],MATCH(Tabla4[[#This Row],[Producto]],Tabla6[[#All],[PRODUCTO]],0),MATCH(Tabla4[[#This Row],[Mes]],Tabla6[#Headers],0)))*(1+Catalogos!$L$2)</f>
        <v>#N/A</v>
      </c>
      <c r="N1132" s="283" t="e">
        <f>+(Tabla4[[#This Row],[Precio Descontado]]-Tabla4[[#This Row],[Precio Base]])*Tabla4[[#This Row],[Cantidad]]</f>
        <v>#N/A</v>
      </c>
      <c r="O1132" s="284" t="e">
        <f>++Tabla4[[#This Row],[Utilidad Total]]/Tabla4[[#This Row],[Total]]</f>
        <v>#N/A</v>
      </c>
      <c r="P1132" s="282">
        <f>++Tabla4[[#This Row],[Precio Descontado]]*Tabla4[[#This Row],[Cantidad]]</f>
        <v>19713.016683999998</v>
      </c>
      <c r="Q1132" s="282" t="e">
        <f>(INDEX(Tabla6[#All],MATCH(Tabla4[[#This Row],[Producto]],Tabla6[[#All],[PRODUCTO]],0),MATCH(Tabla4[[#This Row],[Mes]],Tabla6[#Headers],0)))</f>
        <v>#N/A</v>
      </c>
      <c r="R1132" s="282" t="e">
        <f>++Tabla4[[#This Row],[Precio Unitario Neto]]-Tabla4[[#This Row],[20.85%]]-Tabla4[[#This Row],[Costo]]</f>
        <v>#N/A</v>
      </c>
      <c r="S1132" s="282" t="e">
        <f>++Tabla4[[#This Row],[U. Bruta Uni]]*Tabla4[[#This Row],[Cantidad]]</f>
        <v>#N/A</v>
      </c>
      <c r="T1132" s="369" t="str">
        <f>VLOOKUP(Tabla4[[#This Row],[Producto]],Tabla6[#All],14,FALSE)</f>
        <v>Termico Solar</v>
      </c>
      <c r="U1132" s="284" t="e">
        <f>(IF(Tabla4[[#This Row],[Familia]]="termico solar",Tabla4[[#This Row],[Utilidad Total]]*6%,Tabla4[[#This Row],[Utilidad Total]]*11.5%))/Tabla4[[#This Row],[Total]]</f>
        <v>#N/A</v>
      </c>
      <c r="V1132" s="282" t="e">
        <f>+Tabla4[[#This Row],[Comisión Calculada]]*Tabla4[[#This Row],[Total]]</f>
        <v>#N/A</v>
      </c>
    </row>
    <row r="1133" spans="1:22" hidden="1" x14ac:dyDescent="0.25">
      <c r="A1133" s="100">
        <v>45731</v>
      </c>
      <c r="B1133" t="str">
        <f t="shared" si="47"/>
        <v>March</v>
      </c>
      <c r="C1133" s="46" t="s">
        <v>280</v>
      </c>
      <c r="F1133" s="366" t="s">
        <v>1182</v>
      </c>
      <c r="G1133" s="46" t="s">
        <v>208</v>
      </c>
      <c r="H1133" s="46">
        <v>15</v>
      </c>
      <c r="I1133" s="51">
        <v>140.63</v>
      </c>
      <c r="J1133" s="281">
        <f>++Tabla4[[#This Row],[Precio Bruto]]*1.16</f>
        <v>163.13079999999999</v>
      </c>
      <c r="K1133" s="281">
        <f>+Tabla4[[#This Row],[Precio Unitario Neto]]*Tabla4[[#Headers],[20.85%]]</f>
        <v>34.012771799999996</v>
      </c>
      <c r="L1133" s="282">
        <f>++Tabla4[[#This Row],[Precio Unitario Neto]]-Tabla4[[#This Row],[20.85%]]</f>
        <v>129.1180282</v>
      </c>
      <c r="M1133" s="282" t="e">
        <f>(INDEX(Tabla6[#All],MATCH(Tabla4[[#This Row],[Producto]],Tabla6[[#All],[PRODUCTO]],0),MATCH(Tabla4[[#This Row],[Mes]],Tabla6[#Headers],0)))*(1+Catalogos!$L$2)</f>
        <v>#N/A</v>
      </c>
      <c r="N1133" s="283" t="e">
        <f>+(Tabla4[[#This Row],[Precio Descontado]]-Tabla4[[#This Row],[Precio Base]])*Tabla4[[#This Row],[Cantidad]]</f>
        <v>#N/A</v>
      </c>
      <c r="O1133" s="284" t="e">
        <f>++Tabla4[[#This Row],[Utilidad Total]]/Tabla4[[#This Row],[Total]]</f>
        <v>#N/A</v>
      </c>
      <c r="P1133" s="282">
        <f>++Tabla4[[#This Row],[Precio Descontado]]*Tabla4[[#This Row],[Cantidad]]</f>
        <v>1936.7704229999999</v>
      </c>
      <c r="Q1133" s="282" t="e">
        <f>(INDEX(Tabla6[#All],MATCH(Tabla4[[#This Row],[Producto]],Tabla6[[#All],[PRODUCTO]],0),MATCH(Tabla4[[#This Row],[Mes]],Tabla6[#Headers],0)))</f>
        <v>#N/A</v>
      </c>
      <c r="R1133" s="282" t="e">
        <f>++Tabla4[[#This Row],[Precio Unitario Neto]]-Tabla4[[#This Row],[20.85%]]-Tabla4[[#This Row],[Costo]]</f>
        <v>#N/A</v>
      </c>
      <c r="S1133" s="282" t="e">
        <f>++Tabla4[[#This Row],[U. Bruta Uni]]*Tabla4[[#This Row],[Cantidad]]</f>
        <v>#N/A</v>
      </c>
      <c r="T1133" s="369" t="str">
        <f>VLOOKUP(Tabla4[[#This Row],[Producto]],Tabla6[#All],14,FALSE)</f>
        <v>Termico Solar</v>
      </c>
      <c r="U1133" s="284" t="e">
        <f>(IF(Tabla4[[#This Row],[Familia]]="termico solar",Tabla4[[#This Row],[Utilidad Total]]*6%,Tabla4[[#This Row],[Utilidad Total]]*11.5%))/Tabla4[[#This Row],[Total]]</f>
        <v>#N/A</v>
      </c>
      <c r="V1133" s="282" t="e">
        <f>+Tabla4[[#This Row],[Comisión Calculada]]*Tabla4[[#This Row],[Total]]</f>
        <v>#N/A</v>
      </c>
    </row>
    <row r="1134" spans="1:22" hidden="1" x14ac:dyDescent="0.25">
      <c r="A1134" s="100">
        <v>45731</v>
      </c>
      <c r="B1134" t="str">
        <f t="shared" si="47"/>
        <v>March</v>
      </c>
      <c r="C1134" s="46" t="s">
        <v>280</v>
      </c>
      <c r="F1134" s="366" t="s">
        <v>1182</v>
      </c>
      <c r="G1134" s="46" t="s">
        <v>16</v>
      </c>
      <c r="H1134" s="46">
        <v>2</v>
      </c>
      <c r="I1134" s="51">
        <v>4103.8500000000004</v>
      </c>
      <c r="J1134" s="281">
        <f>++Tabla4[[#This Row],[Precio Bruto]]*1.16</f>
        <v>4760.4660000000003</v>
      </c>
      <c r="K1134" s="281">
        <f>+Tabla4[[#This Row],[Precio Unitario Neto]]*Tabla4[[#Headers],[20.85%]]</f>
        <v>992.55716100000006</v>
      </c>
      <c r="L1134" s="282">
        <f>++Tabla4[[#This Row],[Precio Unitario Neto]]-Tabla4[[#This Row],[20.85%]]</f>
        <v>3767.9088390000002</v>
      </c>
      <c r="M1134" s="282" t="e">
        <f>(INDEX(Tabla6[#All],MATCH(Tabla4[[#This Row],[Producto]],Tabla6[[#All],[PRODUCTO]],0),MATCH(Tabla4[[#This Row],[Mes]],Tabla6[#Headers],0)))*(1+Catalogos!$L$2)</f>
        <v>#N/A</v>
      </c>
      <c r="N1134" s="283" t="e">
        <f>+(Tabla4[[#This Row],[Precio Descontado]]-Tabla4[[#This Row],[Precio Base]])*Tabla4[[#This Row],[Cantidad]]</f>
        <v>#N/A</v>
      </c>
      <c r="O1134" s="284" t="e">
        <f>++Tabla4[[#This Row],[Utilidad Total]]/Tabla4[[#This Row],[Total]]</f>
        <v>#N/A</v>
      </c>
      <c r="P1134" s="282">
        <f>++Tabla4[[#This Row],[Precio Descontado]]*Tabla4[[#This Row],[Cantidad]]</f>
        <v>7535.8176780000003</v>
      </c>
      <c r="Q1134" s="282" t="e">
        <f>(INDEX(Tabla6[#All],MATCH(Tabla4[[#This Row],[Producto]],Tabla6[[#All],[PRODUCTO]],0),MATCH(Tabla4[[#This Row],[Mes]],Tabla6[#Headers],0)))</f>
        <v>#N/A</v>
      </c>
      <c r="R1134" s="282" t="e">
        <f>++Tabla4[[#This Row],[Precio Unitario Neto]]-Tabla4[[#This Row],[20.85%]]-Tabla4[[#This Row],[Costo]]</f>
        <v>#N/A</v>
      </c>
      <c r="S1134" s="282" t="e">
        <f>++Tabla4[[#This Row],[U. Bruta Uni]]*Tabla4[[#This Row],[Cantidad]]</f>
        <v>#N/A</v>
      </c>
      <c r="T1134" s="369" t="str">
        <f>VLOOKUP(Tabla4[[#This Row],[Producto]],Tabla6[#All],14,FALSE)</f>
        <v>Termico Solar</v>
      </c>
      <c r="U1134" s="284" t="e">
        <f>(IF(Tabla4[[#This Row],[Familia]]="termico solar",Tabla4[[#This Row],[Utilidad Total]]*6%,Tabla4[[#This Row],[Utilidad Total]]*11.5%))/Tabla4[[#This Row],[Total]]</f>
        <v>#N/A</v>
      </c>
      <c r="V1134" s="282" t="e">
        <f>+Tabla4[[#This Row],[Comisión Calculada]]*Tabla4[[#This Row],[Total]]</f>
        <v>#N/A</v>
      </c>
    </row>
    <row r="1135" spans="1:22" hidden="1" x14ac:dyDescent="0.25">
      <c r="A1135" s="100">
        <v>45731</v>
      </c>
      <c r="B1135" t="str">
        <f t="shared" si="47"/>
        <v>March</v>
      </c>
      <c r="C1135" s="46" t="s">
        <v>280</v>
      </c>
      <c r="F1135" s="366" t="s">
        <v>1183</v>
      </c>
      <c r="G1135" s="46" t="s">
        <v>83</v>
      </c>
      <c r="H1135" s="46">
        <v>3</v>
      </c>
      <c r="I1135" s="51">
        <v>8858.76</v>
      </c>
      <c r="J1135" s="281">
        <f>++Tabla4[[#This Row],[Precio Bruto]]*1.16</f>
        <v>10276.161599999999</v>
      </c>
      <c r="K1135" s="281">
        <f>+Tabla4[[#This Row],[Precio Unitario Neto]]*Tabla4[[#Headers],[20.85%]]</f>
        <v>2142.5796935999997</v>
      </c>
      <c r="L1135" s="282">
        <f>++Tabla4[[#This Row],[Precio Unitario Neto]]-Tabla4[[#This Row],[20.85%]]</f>
        <v>8133.5819063999998</v>
      </c>
      <c r="M1135" s="282" t="e">
        <f>(INDEX(Tabla6[#All],MATCH(Tabla4[[#This Row],[Producto]],Tabla6[[#All],[PRODUCTO]],0),MATCH(Tabla4[[#This Row],[Mes]],Tabla6[#Headers],0)))*(1+Catalogos!$L$2)</f>
        <v>#N/A</v>
      </c>
      <c r="N1135" s="283" t="e">
        <f>+(Tabla4[[#This Row],[Precio Descontado]]-Tabla4[[#This Row],[Precio Base]])*Tabla4[[#This Row],[Cantidad]]</f>
        <v>#N/A</v>
      </c>
      <c r="O1135" s="284" t="e">
        <f>++Tabla4[[#This Row],[Utilidad Total]]/Tabla4[[#This Row],[Total]]</f>
        <v>#N/A</v>
      </c>
      <c r="P1135" s="282">
        <f>++Tabla4[[#This Row],[Precio Descontado]]*Tabla4[[#This Row],[Cantidad]]</f>
        <v>24400.7457192</v>
      </c>
      <c r="Q1135" s="282" t="e">
        <f>(INDEX(Tabla6[#All],MATCH(Tabla4[[#This Row],[Producto]],Tabla6[[#All],[PRODUCTO]],0),MATCH(Tabla4[[#This Row],[Mes]],Tabla6[#Headers],0)))</f>
        <v>#N/A</v>
      </c>
      <c r="R1135" s="282" t="e">
        <f>++Tabla4[[#This Row],[Precio Unitario Neto]]-Tabla4[[#This Row],[20.85%]]-Tabla4[[#This Row],[Costo]]</f>
        <v>#N/A</v>
      </c>
      <c r="S1135" s="282" t="e">
        <f>++Tabla4[[#This Row],[U. Bruta Uni]]*Tabla4[[#This Row],[Cantidad]]</f>
        <v>#N/A</v>
      </c>
      <c r="T1135" s="369" t="str">
        <f>VLOOKUP(Tabla4[[#This Row],[Producto]],Tabla6[#All],14,FALSE)</f>
        <v>Termico Solar</v>
      </c>
      <c r="U1135" s="284" t="e">
        <f>(IF(Tabla4[[#This Row],[Familia]]="termico solar",Tabla4[[#This Row],[Utilidad Total]]*6%,Tabla4[[#This Row],[Utilidad Total]]*11.5%))/Tabla4[[#This Row],[Total]]</f>
        <v>#N/A</v>
      </c>
      <c r="V1135" s="282" t="e">
        <f>+Tabla4[[#This Row],[Comisión Calculada]]*Tabla4[[#This Row],[Total]]</f>
        <v>#N/A</v>
      </c>
    </row>
    <row r="1136" spans="1:22" hidden="1" x14ac:dyDescent="0.25">
      <c r="A1136" s="100">
        <v>45731</v>
      </c>
      <c r="B1136" t="str">
        <f t="shared" si="47"/>
        <v>March</v>
      </c>
      <c r="C1136" s="46" t="s">
        <v>280</v>
      </c>
      <c r="F1136" s="366" t="s">
        <v>1183</v>
      </c>
      <c r="G1136" s="46" t="s">
        <v>17</v>
      </c>
      <c r="H1136" s="46">
        <v>3</v>
      </c>
      <c r="I1136" s="51">
        <v>4622.28</v>
      </c>
      <c r="J1136" s="281">
        <f>++Tabla4[[#This Row],[Precio Bruto]]*1.16</f>
        <v>5361.8447999999989</v>
      </c>
      <c r="K1136" s="281">
        <f>+Tabla4[[#This Row],[Precio Unitario Neto]]*Tabla4[[#Headers],[20.85%]]</f>
        <v>1117.9446407999997</v>
      </c>
      <c r="L1136" s="282">
        <f>++Tabla4[[#This Row],[Precio Unitario Neto]]-Tabla4[[#This Row],[20.85%]]</f>
        <v>4243.9001591999995</v>
      </c>
      <c r="M1136" s="282" t="e">
        <f>(INDEX(Tabla6[#All],MATCH(Tabla4[[#This Row],[Producto]],Tabla6[[#All],[PRODUCTO]],0),MATCH(Tabla4[[#This Row],[Mes]],Tabla6[#Headers],0)))*(1+Catalogos!$L$2)</f>
        <v>#N/A</v>
      </c>
      <c r="N1136" s="283" t="e">
        <f>+(Tabla4[[#This Row],[Precio Descontado]]-Tabla4[[#This Row],[Precio Base]])*Tabla4[[#This Row],[Cantidad]]</f>
        <v>#N/A</v>
      </c>
      <c r="O1136" s="284" t="e">
        <f>++Tabla4[[#This Row],[Utilidad Total]]/Tabla4[[#This Row],[Total]]</f>
        <v>#N/A</v>
      </c>
      <c r="P1136" s="282">
        <f>++Tabla4[[#This Row],[Precio Descontado]]*Tabla4[[#This Row],[Cantidad]]</f>
        <v>12731.700477599999</v>
      </c>
      <c r="Q1136" s="282" t="e">
        <f>(INDEX(Tabla6[#All],MATCH(Tabla4[[#This Row],[Producto]],Tabla6[[#All],[PRODUCTO]],0),MATCH(Tabla4[[#This Row],[Mes]],Tabla6[#Headers],0)))</f>
        <v>#N/A</v>
      </c>
      <c r="R1136" s="282" t="e">
        <f>++Tabla4[[#This Row],[Precio Unitario Neto]]-Tabla4[[#This Row],[20.85%]]-Tabla4[[#This Row],[Costo]]</f>
        <v>#N/A</v>
      </c>
      <c r="S1136" s="282" t="e">
        <f>++Tabla4[[#This Row],[U. Bruta Uni]]*Tabla4[[#This Row],[Cantidad]]</f>
        <v>#N/A</v>
      </c>
      <c r="T1136" s="369" t="str">
        <f>VLOOKUP(Tabla4[[#This Row],[Producto]],Tabla6[#All],14,FALSE)</f>
        <v>Termico Solar</v>
      </c>
      <c r="U1136" s="284" t="e">
        <f>(IF(Tabla4[[#This Row],[Familia]]="termico solar",Tabla4[[#This Row],[Utilidad Total]]*6%,Tabla4[[#This Row],[Utilidad Total]]*11.5%))/Tabla4[[#This Row],[Total]]</f>
        <v>#N/A</v>
      </c>
      <c r="V1136" s="282" t="e">
        <f>+Tabla4[[#This Row],[Comisión Calculada]]*Tabla4[[#This Row],[Total]]</f>
        <v>#N/A</v>
      </c>
    </row>
    <row r="1137" spans="1:22" hidden="1" x14ac:dyDescent="0.25">
      <c r="A1137" s="100">
        <v>45731</v>
      </c>
      <c r="B1137" t="str">
        <f t="shared" si="47"/>
        <v>March</v>
      </c>
      <c r="C1137" s="46" t="s">
        <v>280</v>
      </c>
      <c r="F1137" s="366" t="s">
        <v>1183</v>
      </c>
      <c r="G1137" s="46" t="s">
        <v>18</v>
      </c>
      <c r="H1137" s="46">
        <v>2</v>
      </c>
      <c r="I1137" s="51">
        <v>5367.65</v>
      </c>
      <c r="J1137" s="281">
        <f>++Tabla4[[#This Row],[Precio Bruto]]*1.16</f>
        <v>6226.4739999999993</v>
      </c>
      <c r="K1137" s="281">
        <f>+Tabla4[[#This Row],[Precio Unitario Neto]]*Tabla4[[#Headers],[20.85%]]</f>
        <v>1298.2198289999999</v>
      </c>
      <c r="L1137" s="282">
        <f>++Tabla4[[#This Row],[Precio Unitario Neto]]-Tabla4[[#This Row],[20.85%]]</f>
        <v>4928.2541709999996</v>
      </c>
      <c r="M1137" s="282" t="e">
        <f>(INDEX(Tabla6[#All],MATCH(Tabla4[[#This Row],[Producto]],Tabla6[[#All],[PRODUCTO]],0),MATCH(Tabla4[[#This Row],[Mes]],Tabla6[#Headers],0)))*(1+Catalogos!$L$2)</f>
        <v>#N/A</v>
      </c>
      <c r="N1137" s="283" t="e">
        <f>+(Tabla4[[#This Row],[Precio Descontado]]-Tabla4[[#This Row],[Precio Base]])*Tabla4[[#This Row],[Cantidad]]</f>
        <v>#N/A</v>
      </c>
      <c r="O1137" s="284" t="e">
        <f>++Tabla4[[#This Row],[Utilidad Total]]/Tabla4[[#This Row],[Total]]</f>
        <v>#N/A</v>
      </c>
      <c r="P1137" s="282">
        <f>++Tabla4[[#This Row],[Precio Descontado]]*Tabla4[[#This Row],[Cantidad]]</f>
        <v>9856.5083419999992</v>
      </c>
      <c r="Q1137" s="282" t="e">
        <f>(INDEX(Tabla6[#All],MATCH(Tabla4[[#This Row],[Producto]],Tabla6[[#All],[PRODUCTO]],0),MATCH(Tabla4[[#This Row],[Mes]],Tabla6[#Headers],0)))</f>
        <v>#N/A</v>
      </c>
      <c r="R1137" s="282" t="e">
        <f>++Tabla4[[#This Row],[Precio Unitario Neto]]-Tabla4[[#This Row],[20.85%]]-Tabla4[[#This Row],[Costo]]</f>
        <v>#N/A</v>
      </c>
      <c r="S1137" s="282" t="e">
        <f>++Tabla4[[#This Row],[U. Bruta Uni]]*Tabla4[[#This Row],[Cantidad]]</f>
        <v>#N/A</v>
      </c>
      <c r="T1137" s="369" t="str">
        <f>VLOOKUP(Tabla4[[#This Row],[Producto]],Tabla6[#All],14,FALSE)</f>
        <v>Termico Solar</v>
      </c>
      <c r="U1137" s="284" t="e">
        <f>(IF(Tabla4[[#This Row],[Familia]]="termico solar",Tabla4[[#This Row],[Utilidad Total]]*6%,Tabla4[[#This Row],[Utilidad Total]]*11.5%))/Tabla4[[#This Row],[Total]]</f>
        <v>#N/A</v>
      </c>
      <c r="V1137" s="282" t="e">
        <f>+Tabla4[[#This Row],[Comisión Calculada]]*Tabla4[[#This Row],[Total]]</f>
        <v>#N/A</v>
      </c>
    </row>
    <row r="1138" spans="1:22" hidden="1" x14ac:dyDescent="0.25">
      <c r="A1138" s="100">
        <v>45731</v>
      </c>
      <c r="B1138" t="str">
        <f t="shared" si="47"/>
        <v>March</v>
      </c>
      <c r="C1138" s="46" t="s">
        <v>280</v>
      </c>
      <c r="F1138" s="366" t="s">
        <v>1183</v>
      </c>
      <c r="G1138" s="46" t="s">
        <v>208</v>
      </c>
      <c r="H1138" s="46">
        <v>15</v>
      </c>
      <c r="I1138" s="51">
        <v>140.63</v>
      </c>
      <c r="J1138" s="281">
        <f>++Tabla4[[#This Row],[Precio Bruto]]*1.16</f>
        <v>163.13079999999999</v>
      </c>
      <c r="K1138" s="281">
        <f>+Tabla4[[#This Row],[Precio Unitario Neto]]*Tabla4[[#Headers],[20.85%]]</f>
        <v>34.012771799999996</v>
      </c>
      <c r="L1138" s="282">
        <f>++Tabla4[[#This Row],[Precio Unitario Neto]]-Tabla4[[#This Row],[20.85%]]</f>
        <v>129.1180282</v>
      </c>
      <c r="M1138" s="282" t="e">
        <f>(INDEX(Tabla6[#All],MATCH(Tabla4[[#This Row],[Producto]],Tabla6[[#All],[PRODUCTO]],0),MATCH(Tabla4[[#This Row],[Mes]],Tabla6[#Headers],0)))*(1+Catalogos!$L$2)</f>
        <v>#N/A</v>
      </c>
      <c r="N1138" s="283" t="e">
        <f>+(Tabla4[[#This Row],[Precio Descontado]]-Tabla4[[#This Row],[Precio Base]])*Tabla4[[#This Row],[Cantidad]]</f>
        <v>#N/A</v>
      </c>
      <c r="O1138" s="284" t="e">
        <f>++Tabla4[[#This Row],[Utilidad Total]]/Tabla4[[#This Row],[Total]]</f>
        <v>#N/A</v>
      </c>
      <c r="P1138" s="282">
        <f>++Tabla4[[#This Row],[Precio Descontado]]*Tabla4[[#This Row],[Cantidad]]</f>
        <v>1936.7704229999999</v>
      </c>
      <c r="Q1138" s="282" t="e">
        <f>(INDEX(Tabla6[#All],MATCH(Tabla4[[#This Row],[Producto]],Tabla6[[#All],[PRODUCTO]],0),MATCH(Tabla4[[#This Row],[Mes]],Tabla6[#Headers],0)))</f>
        <v>#N/A</v>
      </c>
      <c r="R1138" s="282" t="e">
        <f>++Tabla4[[#This Row],[Precio Unitario Neto]]-Tabla4[[#This Row],[20.85%]]-Tabla4[[#This Row],[Costo]]</f>
        <v>#N/A</v>
      </c>
      <c r="S1138" s="282" t="e">
        <f>++Tabla4[[#This Row],[U. Bruta Uni]]*Tabla4[[#This Row],[Cantidad]]</f>
        <v>#N/A</v>
      </c>
      <c r="T1138" s="369" t="str">
        <f>VLOOKUP(Tabla4[[#This Row],[Producto]],Tabla6[#All],14,FALSE)</f>
        <v>Termico Solar</v>
      </c>
      <c r="U1138" s="284" t="e">
        <f>(IF(Tabla4[[#This Row],[Familia]]="termico solar",Tabla4[[#This Row],[Utilidad Total]]*6%,Tabla4[[#This Row],[Utilidad Total]]*11.5%))/Tabla4[[#This Row],[Total]]</f>
        <v>#N/A</v>
      </c>
      <c r="V1138" s="282" t="e">
        <f>+Tabla4[[#This Row],[Comisión Calculada]]*Tabla4[[#This Row],[Total]]</f>
        <v>#N/A</v>
      </c>
    </row>
    <row r="1139" spans="1:22" hidden="1" x14ac:dyDescent="0.25">
      <c r="A1139" s="100">
        <v>45731</v>
      </c>
      <c r="B1139" t="str">
        <f t="shared" si="47"/>
        <v>March</v>
      </c>
      <c r="C1139" s="46" t="s">
        <v>280</v>
      </c>
      <c r="F1139" s="366" t="s">
        <v>1183</v>
      </c>
      <c r="G1139" s="46" t="s">
        <v>16</v>
      </c>
      <c r="H1139" s="46">
        <v>2</v>
      </c>
      <c r="I1139" s="51">
        <v>4103.8500000000004</v>
      </c>
      <c r="J1139" s="281">
        <f>++Tabla4[[#This Row],[Precio Bruto]]*1.16</f>
        <v>4760.4660000000003</v>
      </c>
      <c r="K1139" s="281">
        <f>+Tabla4[[#This Row],[Precio Unitario Neto]]*Tabla4[[#Headers],[20.85%]]</f>
        <v>992.55716100000006</v>
      </c>
      <c r="L1139" s="282">
        <f>++Tabla4[[#This Row],[Precio Unitario Neto]]-Tabla4[[#This Row],[20.85%]]</f>
        <v>3767.9088390000002</v>
      </c>
      <c r="M1139" s="282" t="e">
        <f>(INDEX(Tabla6[#All],MATCH(Tabla4[[#This Row],[Producto]],Tabla6[[#All],[PRODUCTO]],0),MATCH(Tabla4[[#This Row],[Mes]],Tabla6[#Headers],0)))*(1+Catalogos!$L$2)</f>
        <v>#N/A</v>
      </c>
      <c r="N1139" s="283" t="e">
        <f>+(Tabla4[[#This Row],[Precio Descontado]]-Tabla4[[#This Row],[Precio Base]])*Tabla4[[#This Row],[Cantidad]]</f>
        <v>#N/A</v>
      </c>
      <c r="O1139" s="284" t="e">
        <f>++Tabla4[[#This Row],[Utilidad Total]]/Tabla4[[#This Row],[Total]]</f>
        <v>#N/A</v>
      </c>
      <c r="P1139" s="282">
        <f>++Tabla4[[#This Row],[Precio Descontado]]*Tabla4[[#This Row],[Cantidad]]</f>
        <v>7535.8176780000003</v>
      </c>
      <c r="Q1139" s="282" t="e">
        <f>(INDEX(Tabla6[#All],MATCH(Tabla4[[#This Row],[Producto]],Tabla6[[#All],[PRODUCTO]],0),MATCH(Tabla4[[#This Row],[Mes]],Tabla6[#Headers],0)))</f>
        <v>#N/A</v>
      </c>
      <c r="R1139" s="282" t="e">
        <f>++Tabla4[[#This Row],[Precio Unitario Neto]]-Tabla4[[#This Row],[20.85%]]-Tabla4[[#This Row],[Costo]]</f>
        <v>#N/A</v>
      </c>
      <c r="S1139" s="282" t="e">
        <f>++Tabla4[[#This Row],[U. Bruta Uni]]*Tabla4[[#This Row],[Cantidad]]</f>
        <v>#N/A</v>
      </c>
      <c r="T1139" s="369" t="str">
        <f>VLOOKUP(Tabla4[[#This Row],[Producto]],Tabla6[#All],14,FALSE)</f>
        <v>Termico Solar</v>
      </c>
      <c r="U1139" s="284" t="e">
        <f>(IF(Tabla4[[#This Row],[Familia]]="termico solar",Tabla4[[#This Row],[Utilidad Total]]*6%,Tabla4[[#This Row],[Utilidad Total]]*11.5%))/Tabla4[[#This Row],[Total]]</f>
        <v>#N/A</v>
      </c>
      <c r="V1139" s="282" t="e">
        <f>+Tabla4[[#This Row],[Comisión Calculada]]*Tabla4[[#This Row],[Total]]</f>
        <v>#N/A</v>
      </c>
    </row>
    <row r="1140" spans="1:22" hidden="1" x14ac:dyDescent="0.25">
      <c r="A1140" s="100">
        <v>45731</v>
      </c>
      <c r="B1140" t="str">
        <f t="shared" si="47"/>
        <v>March</v>
      </c>
      <c r="C1140" s="46" t="s">
        <v>280</v>
      </c>
      <c r="F1140" s="366" t="s">
        <v>1184</v>
      </c>
      <c r="G1140" s="46" t="s">
        <v>17</v>
      </c>
      <c r="H1140" s="46">
        <v>2</v>
      </c>
      <c r="I1140" s="51">
        <v>4622.28</v>
      </c>
      <c r="J1140" s="281">
        <f>++Tabla4[[#This Row],[Precio Bruto]]*1.16</f>
        <v>5361.8447999999989</v>
      </c>
      <c r="K1140" s="281">
        <f>+Tabla4[[#This Row],[Precio Unitario Neto]]*Tabla4[[#Headers],[20.85%]]</f>
        <v>1117.9446407999997</v>
      </c>
      <c r="L1140" s="282">
        <f>++Tabla4[[#This Row],[Precio Unitario Neto]]-Tabla4[[#This Row],[20.85%]]</f>
        <v>4243.9001591999995</v>
      </c>
      <c r="M1140" s="282" t="e">
        <f>(INDEX(Tabla6[#All],MATCH(Tabla4[[#This Row],[Producto]],Tabla6[[#All],[PRODUCTO]],0),MATCH(Tabla4[[#This Row],[Mes]],Tabla6[#Headers],0)))*(1+Catalogos!$L$2)</f>
        <v>#N/A</v>
      </c>
      <c r="N1140" s="283" t="e">
        <f>+(Tabla4[[#This Row],[Precio Descontado]]-Tabla4[[#This Row],[Precio Base]])*Tabla4[[#This Row],[Cantidad]]</f>
        <v>#N/A</v>
      </c>
      <c r="O1140" s="284" t="e">
        <f>++Tabla4[[#This Row],[Utilidad Total]]/Tabla4[[#This Row],[Total]]</f>
        <v>#N/A</v>
      </c>
      <c r="P1140" s="282">
        <f>++Tabla4[[#This Row],[Precio Descontado]]*Tabla4[[#This Row],[Cantidad]]</f>
        <v>8487.800318399999</v>
      </c>
      <c r="Q1140" s="282" t="e">
        <f>(INDEX(Tabla6[#All],MATCH(Tabla4[[#This Row],[Producto]],Tabla6[[#All],[PRODUCTO]],0),MATCH(Tabla4[[#This Row],[Mes]],Tabla6[#Headers],0)))</f>
        <v>#N/A</v>
      </c>
      <c r="R1140" s="282" t="e">
        <f>++Tabla4[[#This Row],[Precio Unitario Neto]]-Tabla4[[#This Row],[20.85%]]-Tabla4[[#This Row],[Costo]]</f>
        <v>#N/A</v>
      </c>
      <c r="S1140" s="282" t="e">
        <f>++Tabla4[[#This Row],[U. Bruta Uni]]*Tabla4[[#This Row],[Cantidad]]</f>
        <v>#N/A</v>
      </c>
      <c r="T1140" s="369" t="str">
        <f>VLOOKUP(Tabla4[[#This Row],[Producto]],Tabla6[#All],14,FALSE)</f>
        <v>Termico Solar</v>
      </c>
      <c r="U1140" s="284" t="e">
        <f>(IF(Tabla4[[#This Row],[Familia]]="termico solar",Tabla4[[#This Row],[Utilidad Total]]*6%,Tabla4[[#This Row],[Utilidad Total]]*11.5%))/Tabla4[[#This Row],[Total]]</f>
        <v>#N/A</v>
      </c>
      <c r="V1140" s="282" t="e">
        <f>+Tabla4[[#This Row],[Comisión Calculada]]*Tabla4[[#This Row],[Total]]</f>
        <v>#N/A</v>
      </c>
    </row>
    <row r="1141" spans="1:22" hidden="1" x14ac:dyDescent="0.25">
      <c r="A1141" s="100">
        <v>45731</v>
      </c>
      <c r="B1141" t="str">
        <f t="shared" si="47"/>
        <v>March</v>
      </c>
      <c r="C1141" s="46" t="s">
        <v>280</v>
      </c>
      <c r="F1141" s="366" t="s">
        <v>1185</v>
      </c>
      <c r="G1141" s="46" t="s">
        <v>83</v>
      </c>
      <c r="H1141" s="46">
        <v>3</v>
      </c>
      <c r="I1141" s="51">
        <v>8858.76</v>
      </c>
      <c r="J1141" s="281">
        <f>++Tabla4[[#This Row],[Precio Bruto]]*1.16</f>
        <v>10276.161599999999</v>
      </c>
      <c r="K1141" s="281">
        <f>+Tabla4[[#This Row],[Precio Unitario Neto]]*Tabla4[[#Headers],[20.85%]]</f>
        <v>2142.5796935999997</v>
      </c>
      <c r="L1141" s="282">
        <f>++Tabla4[[#This Row],[Precio Unitario Neto]]-Tabla4[[#This Row],[20.85%]]</f>
        <v>8133.5819063999998</v>
      </c>
      <c r="M1141" s="282" t="e">
        <f>(INDEX(Tabla6[#All],MATCH(Tabla4[[#This Row],[Producto]],Tabla6[[#All],[PRODUCTO]],0),MATCH(Tabla4[[#This Row],[Mes]],Tabla6[#Headers],0)))*(1+Catalogos!$L$2)</f>
        <v>#N/A</v>
      </c>
      <c r="N1141" s="283" t="e">
        <f>+(Tabla4[[#This Row],[Precio Descontado]]-Tabla4[[#This Row],[Precio Base]])*Tabla4[[#This Row],[Cantidad]]</f>
        <v>#N/A</v>
      </c>
      <c r="O1141" s="284" t="e">
        <f>++Tabla4[[#This Row],[Utilidad Total]]/Tabla4[[#This Row],[Total]]</f>
        <v>#N/A</v>
      </c>
      <c r="P1141" s="282">
        <f>++Tabla4[[#This Row],[Precio Descontado]]*Tabla4[[#This Row],[Cantidad]]</f>
        <v>24400.7457192</v>
      </c>
      <c r="Q1141" s="282" t="e">
        <f>(INDEX(Tabla6[#All],MATCH(Tabla4[[#This Row],[Producto]],Tabla6[[#All],[PRODUCTO]],0),MATCH(Tabla4[[#This Row],[Mes]],Tabla6[#Headers],0)))</f>
        <v>#N/A</v>
      </c>
      <c r="R1141" s="282" t="e">
        <f>++Tabla4[[#This Row],[Precio Unitario Neto]]-Tabla4[[#This Row],[20.85%]]-Tabla4[[#This Row],[Costo]]</f>
        <v>#N/A</v>
      </c>
      <c r="S1141" s="282" t="e">
        <f>++Tabla4[[#This Row],[U. Bruta Uni]]*Tabla4[[#This Row],[Cantidad]]</f>
        <v>#N/A</v>
      </c>
      <c r="T1141" s="369" t="str">
        <f>VLOOKUP(Tabla4[[#This Row],[Producto]],Tabla6[#All],14,FALSE)</f>
        <v>Termico Solar</v>
      </c>
      <c r="U1141" s="284" t="e">
        <f>(IF(Tabla4[[#This Row],[Familia]]="termico solar",Tabla4[[#This Row],[Utilidad Total]]*6%,Tabla4[[#This Row],[Utilidad Total]]*11.5%))/Tabla4[[#This Row],[Total]]</f>
        <v>#N/A</v>
      </c>
      <c r="V1141" s="282" t="e">
        <f>+Tabla4[[#This Row],[Comisión Calculada]]*Tabla4[[#This Row],[Total]]</f>
        <v>#N/A</v>
      </c>
    </row>
    <row r="1142" spans="1:22" hidden="1" x14ac:dyDescent="0.25">
      <c r="A1142" s="100">
        <v>45731</v>
      </c>
      <c r="B1142" t="str">
        <f t="shared" si="47"/>
        <v>March</v>
      </c>
      <c r="C1142" s="46" t="s">
        <v>280</v>
      </c>
      <c r="F1142" s="366" t="s">
        <v>1185</v>
      </c>
      <c r="G1142" s="46" t="s">
        <v>18</v>
      </c>
      <c r="H1142" s="46">
        <v>2</v>
      </c>
      <c r="I1142" s="51">
        <v>5367.65</v>
      </c>
      <c r="J1142" s="281">
        <f>++Tabla4[[#This Row],[Precio Bruto]]*1.16</f>
        <v>6226.4739999999993</v>
      </c>
      <c r="K1142" s="281">
        <f>+Tabla4[[#This Row],[Precio Unitario Neto]]*Tabla4[[#Headers],[20.85%]]</f>
        <v>1298.2198289999999</v>
      </c>
      <c r="L1142" s="282">
        <f>++Tabla4[[#This Row],[Precio Unitario Neto]]-Tabla4[[#This Row],[20.85%]]</f>
        <v>4928.2541709999996</v>
      </c>
      <c r="M1142" s="282" t="e">
        <f>(INDEX(Tabla6[#All],MATCH(Tabla4[[#This Row],[Producto]],Tabla6[[#All],[PRODUCTO]],0),MATCH(Tabla4[[#This Row],[Mes]],Tabla6[#Headers],0)))*(1+Catalogos!$L$2)</f>
        <v>#N/A</v>
      </c>
      <c r="N1142" s="283" t="e">
        <f>+(Tabla4[[#This Row],[Precio Descontado]]-Tabla4[[#This Row],[Precio Base]])*Tabla4[[#This Row],[Cantidad]]</f>
        <v>#N/A</v>
      </c>
      <c r="O1142" s="284" t="e">
        <f>++Tabla4[[#This Row],[Utilidad Total]]/Tabla4[[#This Row],[Total]]</f>
        <v>#N/A</v>
      </c>
      <c r="P1142" s="282">
        <f>++Tabla4[[#This Row],[Precio Descontado]]*Tabla4[[#This Row],[Cantidad]]</f>
        <v>9856.5083419999992</v>
      </c>
      <c r="Q1142" s="282" t="e">
        <f>(INDEX(Tabla6[#All],MATCH(Tabla4[[#This Row],[Producto]],Tabla6[[#All],[PRODUCTO]],0),MATCH(Tabla4[[#This Row],[Mes]],Tabla6[#Headers],0)))</f>
        <v>#N/A</v>
      </c>
      <c r="R1142" s="282" t="e">
        <f>++Tabla4[[#This Row],[Precio Unitario Neto]]-Tabla4[[#This Row],[20.85%]]-Tabla4[[#This Row],[Costo]]</f>
        <v>#N/A</v>
      </c>
      <c r="S1142" s="282" t="e">
        <f>++Tabla4[[#This Row],[U. Bruta Uni]]*Tabla4[[#This Row],[Cantidad]]</f>
        <v>#N/A</v>
      </c>
      <c r="T1142" s="369" t="str">
        <f>VLOOKUP(Tabla4[[#This Row],[Producto]],Tabla6[#All],14,FALSE)</f>
        <v>Termico Solar</v>
      </c>
      <c r="U1142" s="284" t="e">
        <f>(IF(Tabla4[[#This Row],[Familia]]="termico solar",Tabla4[[#This Row],[Utilidad Total]]*6%,Tabla4[[#This Row],[Utilidad Total]]*11.5%))/Tabla4[[#This Row],[Total]]</f>
        <v>#N/A</v>
      </c>
      <c r="V1142" s="282" t="e">
        <f>+Tabla4[[#This Row],[Comisión Calculada]]*Tabla4[[#This Row],[Total]]</f>
        <v>#N/A</v>
      </c>
    </row>
    <row r="1143" spans="1:22" hidden="1" x14ac:dyDescent="0.25">
      <c r="A1143" s="100">
        <v>45731</v>
      </c>
      <c r="B1143" t="str">
        <f t="shared" si="47"/>
        <v>March</v>
      </c>
      <c r="C1143" s="46" t="s">
        <v>280</v>
      </c>
      <c r="F1143" s="366" t="s">
        <v>1185</v>
      </c>
      <c r="G1143" s="46" t="s">
        <v>208</v>
      </c>
      <c r="H1143" s="46">
        <v>15</v>
      </c>
      <c r="I1143" s="51">
        <v>140.63</v>
      </c>
      <c r="J1143" s="281">
        <f>++Tabla4[[#This Row],[Precio Bruto]]*1.16</f>
        <v>163.13079999999999</v>
      </c>
      <c r="K1143" s="281">
        <f>+Tabla4[[#This Row],[Precio Unitario Neto]]*Tabla4[[#Headers],[20.85%]]</f>
        <v>34.012771799999996</v>
      </c>
      <c r="L1143" s="282">
        <f>++Tabla4[[#This Row],[Precio Unitario Neto]]-Tabla4[[#This Row],[20.85%]]</f>
        <v>129.1180282</v>
      </c>
      <c r="M1143" s="282" t="e">
        <f>(INDEX(Tabla6[#All],MATCH(Tabla4[[#This Row],[Producto]],Tabla6[[#All],[PRODUCTO]],0),MATCH(Tabla4[[#This Row],[Mes]],Tabla6[#Headers],0)))*(1+Catalogos!$L$2)</f>
        <v>#N/A</v>
      </c>
      <c r="N1143" s="283" t="e">
        <f>+(Tabla4[[#This Row],[Precio Descontado]]-Tabla4[[#This Row],[Precio Base]])*Tabla4[[#This Row],[Cantidad]]</f>
        <v>#N/A</v>
      </c>
      <c r="O1143" s="284" t="e">
        <f>++Tabla4[[#This Row],[Utilidad Total]]/Tabla4[[#This Row],[Total]]</f>
        <v>#N/A</v>
      </c>
      <c r="P1143" s="282">
        <f>++Tabla4[[#This Row],[Precio Descontado]]*Tabla4[[#This Row],[Cantidad]]</f>
        <v>1936.7704229999999</v>
      </c>
      <c r="Q1143" s="282" t="e">
        <f>(INDEX(Tabla6[#All],MATCH(Tabla4[[#This Row],[Producto]],Tabla6[[#All],[PRODUCTO]],0),MATCH(Tabla4[[#This Row],[Mes]],Tabla6[#Headers],0)))</f>
        <v>#N/A</v>
      </c>
      <c r="R1143" s="282" t="e">
        <f>++Tabla4[[#This Row],[Precio Unitario Neto]]-Tabla4[[#This Row],[20.85%]]-Tabla4[[#This Row],[Costo]]</f>
        <v>#N/A</v>
      </c>
      <c r="S1143" s="282" t="e">
        <f>++Tabla4[[#This Row],[U. Bruta Uni]]*Tabla4[[#This Row],[Cantidad]]</f>
        <v>#N/A</v>
      </c>
      <c r="T1143" s="369" t="str">
        <f>VLOOKUP(Tabla4[[#This Row],[Producto]],Tabla6[#All],14,FALSE)</f>
        <v>Termico Solar</v>
      </c>
      <c r="U1143" s="284" t="e">
        <f>(IF(Tabla4[[#This Row],[Familia]]="termico solar",Tabla4[[#This Row],[Utilidad Total]]*6%,Tabla4[[#This Row],[Utilidad Total]]*11.5%))/Tabla4[[#This Row],[Total]]</f>
        <v>#N/A</v>
      </c>
      <c r="V1143" s="282" t="e">
        <f>+Tabla4[[#This Row],[Comisión Calculada]]*Tabla4[[#This Row],[Total]]</f>
        <v>#N/A</v>
      </c>
    </row>
    <row r="1144" spans="1:22" hidden="1" x14ac:dyDescent="0.25">
      <c r="A1144" s="100">
        <v>45731</v>
      </c>
      <c r="B1144" t="str">
        <f t="shared" si="47"/>
        <v>March</v>
      </c>
      <c r="C1144" s="46" t="s">
        <v>280</v>
      </c>
      <c r="F1144" s="366" t="s">
        <v>1186</v>
      </c>
      <c r="G1144" s="46" t="s">
        <v>83</v>
      </c>
      <c r="H1144" s="46">
        <v>1</v>
      </c>
      <c r="I1144" s="51">
        <v>8858.76</v>
      </c>
      <c r="J1144" s="281">
        <f>++Tabla4[[#This Row],[Precio Bruto]]*1.16</f>
        <v>10276.161599999999</v>
      </c>
      <c r="K1144" s="281">
        <f>+Tabla4[[#This Row],[Precio Unitario Neto]]*Tabla4[[#Headers],[20.85%]]</f>
        <v>2142.5796935999997</v>
      </c>
      <c r="L1144" s="282">
        <f>++Tabla4[[#This Row],[Precio Unitario Neto]]-Tabla4[[#This Row],[20.85%]]</f>
        <v>8133.5819063999998</v>
      </c>
      <c r="M1144" s="282" t="e">
        <f>(INDEX(Tabla6[#All],MATCH(Tabla4[[#This Row],[Producto]],Tabla6[[#All],[PRODUCTO]],0),MATCH(Tabla4[[#This Row],[Mes]],Tabla6[#Headers],0)))*(1+Catalogos!$L$2)</f>
        <v>#N/A</v>
      </c>
      <c r="N1144" s="283" t="e">
        <f>+(Tabla4[[#This Row],[Precio Descontado]]-Tabla4[[#This Row],[Precio Base]])*Tabla4[[#This Row],[Cantidad]]</f>
        <v>#N/A</v>
      </c>
      <c r="O1144" s="284" t="e">
        <f>++Tabla4[[#This Row],[Utilidad Total]]/Tabla4[[#This Row],[Total]]</f>
        <v>#N/A</v>
      </c>
      <c r="P1144" s="282">
        <f>++Tabla4[[#This Row],[Precio Descontado]]*Tabla4[[#This Row],[Cantidad]]</f>
        <v>8133.5819063999998</v>
      </c>
      <c r="Q1144" s="282" t="e">
        <f>(INDEX(Tabla6[#All],MATCH(Tabla4[[#This Row],[Producto]],Tabla6[[#All],[PRODUCTO]],0),MATCH(Tabla4[[#This Row],[Mes]],Tabla6[#Headers],0)))</f>
        <v>#N/A</v>
      </c>
      <c r="R1144" s="282" t="e">
        <f>++Tabla4[[#This Row],[Precio Unitario Neto]]-Tabla4[[#This Row],[20.85%]]-Tabla4[[#This Row],[Costo]]</f>
        <v>#N/A</v>
      </c>
      <c r="S1144" s="282" t="e">
        <f>++Tabla4[[#This Row],[U. Bruta Uni]]*Tabla4[[#This Row],[Cantidad]]</f>
        <v>#N/A</v>
      </c>
      <c r="T1144" s="369" t="str">
        <f>VLOOKUP(Tabla4[[#This Row],[Producto]],Tabla6[#All],14,FALSE)</f>
        <v>Termico Solar</v>
      </c>
      <c r="U1144" s="284" t="e">
        <f>(IF(Tabla4[[#This Row],[Familia]]="termico solar",Tabla4[[#This Row],[Utilidad Total]]*6%,Tabla4[[#This Row],[Utilidad Total]]*11.5%))/Tabla4[[#This Row],[Total]]</f>
        <v>#N/A</v>
      </c>
      <c r="V1144" s="282" t="e">
        <f>+Tabla4[[#This Row],[Comisión Calculada]]*Tabla4[[#This Row],[Total]]</f>
        <v>#N/A</v>
      </c>
    </row>
    <row r="1145" spans="1:22" hidden="1" x14ac:dyDescent="0.25">
      <c r="A1145" s="100">
        <v>45731</v>
      </c>
      <c r="B1145" t="str">
        <f t="shared" ref="B1145:B1176" si="48">TEXT(A1145, "mmmm")</f>
        <v>March</v>
      </c>
      <c r="C1145" s="46" t="s">
        <v>280</v>
      </c>
      <c r="F1145" s="366" t="s">
        <v>1186</v>
      </c>
      <c r="G1145" s="46" t="s">
        <v>17</v>
      </c>
      <c r="H1145" s="46">
        <v>6</v>
      </c>
      <c r="I1145" s="51">
        <v>4622.28</v>
      </c>
      <c r="J1145" s="281">
        <f>++Tabla4[[#This Row],[Precio Bruto]]*1.16</f>
        <v>5361.8447999999989</v>
      </c>
      <c r="K1145" s="281">
        <f>+Tabla4[[#This Row],[Precio Unitario Neto]]*Tabla4[[#Headers],[20.85%]]</f>
        <v>1117.9446407999997</v>
      </c>
      <c r="L1145" s="282">
        <f>++Tabla4[[#This Row],[Precio Unitario Neto]]-Tabla4[[#This Row],[20.85%]]</f>
        <v>4243.9001591999995</v>
      </c>
      <c r="M1145" s="282" t="e">
        <f>(INDEX(Tabla6[#All],MATCH(Tabla4[[#This Row],[Producto]],Tabla6[[#All],[PRODUCTO]],0),MATCH(Tabla4[[#This Row],[Mes]],Tabla6[#Headers],0)))*(1+Catalogos!$L$2)</f>
        <v>#N/A</v>
      </c>
      <c r="N1145" s="283" t="e">
        <f>+(Tabla4[[#This Row],[Precio Descontado]]-Tabla4[[#This Row],[Precio Base]])*Tabla4[[#This Row],[Cantidad]]</f>
        <v>#N/A</v>
      </c>
      <c r="O1145" s="284" t="e">
        <f>++Tabla4[[#This Row],[Utilidad Total]]/Tabla4[[#This Row],[Total]]</f>
        <v>#N/A</v>
      </c>
      <c r="P1145" s="282">
        <f>++Tabla4[[#This Row],[Precio Descontado]]*Tabla4[[#This Row],[Cantidad]]</f>
        <v>25463.400955199999</v>
      </c>
      <c r="Q1145" s="282" t="e">
        <f>(INDEX(Tabla6[#All],MATCH(Tabla4[[#This Row],[Producto]],Tabla6[[#All],[PRODUCTO]],0),MATCH(Tabla4[[#This Row],[Mes]],Tabla6[#Headers],0)))</f>
        <v>#N/A</v>
      </c>
      <c r="R1145" s="282" t="e">
        <f>++Tabla4[[#This Row],[Precio Unitario Neto]]-Tabla4[[#This Row],[20.85%]]-Tabla4[[#This Row],[Costo]]</f>
        <v>#N/A</v>
      </c>
      <c r="S1145" s="282" t="e">
        <f>++Tabla4[[#This Row],[U. Bruta Uni]]*Tabla4[[#This Row],[Cantidad]]</f>
        <v>#N/A</v>
      </c>
      <c r="T1145" s="369" t="str">
        <f>VLOOKUP(Tabla4[[#This Row],[Producto]],Tabla6[#All],14,FALSE)</f>
        <v>Termico Solar</v>
      </c>
      <c r="U1145" s="284" t="e">
        <f>(IF(Tabla4[[#This Row],[Familia]]="termico solar",Tabla4[[#This Row],[Utilidad Total]]*6%,Tabla4[[#This Row],[Utilidad Total]]*11.5%))/Tabla4[[#This Row],[Total]]</f>
        <v>#N/A</v>
      </c>
      <c r="V1145" s="282" t="e">
        <f>+Tabla4[[#This Row],[Comisión Calculada]]*Tabla4[[#This Row],[Total]]</f>
        <v>#N/A</v>
      </c>
    </row>
    <row r="1146" spans="1:22" hidden="1" x14ac:dyDescent="0.25">
      <c r="A1146" s="100">
        <v>45731</v>
      </c>
      <c r="B1146" t="str">
        <f t="shared" si="48"/>
        <v>March</v>
      </c>
      <c r="C1146" s="46" t="s">
        <v>280</v>
      </c>
      <c r="F1146" s="366" t="s">
        <v>1186</v>
      </c>
      <c r="G1146" s="46" t="s">
        <v>16</v>
      </c>
      <c r="H1146" s="46">
        <v>2</v>
      </c>
      <c r="I1146" s="51">
        <v>4103.8500000000004</v>
      </c>
      <c r="J1146" s="281">
        <f>++Tabla4[[#This Row],[Precio Bruto]]*1.16</f>
        <v>4760.4660000000003</v>
      </c>
      <c r="K1146" s="281">
        <f>+Tabla4[[#This Row],[Precio Unitario Neto]]*Tabla4[[#Headers],[20.85%]]</f>
        <v>992.55716100000006</v>
      </c>
      <c r="L1146" s="282">
        <f>++Tabla4[[#This Row],[Precio Unitario Neto]]-Tabla4[[#This Row],[20.85%]]</f>
        <v>3767.9088390000002</v>
      </c>
      <c r="M1146" s="282" t="e">
        <f>(INDEX(Tabla6[#All],MATCH(Tabla4[[#This Row],[Producto]],Tabla6[[#All],[PRODUCTO]],0),MATCH(Tabla4[[#This Row],[Mes]],Tabla6[#Headers],0)))*(1+Catalogos!$L$2)</f>
        <v>#N/A</v>
      </c>
      <c r="N1146" s="283" t="e">
        <f>+(Tabla4[[#This Row],[Precio Descontado]]-Tabla4[[#This Row],[Precio Base]])*Tabla4[[#This Row],[Cantidad]]</f>
        <v>#N/A</v>
      </c>
      <c r="O1146" s="284" t="e">
        <f>++Tabla4[[#This Row],[Utilidad Total]]/Tabla4[[#This Row],[Total]]</f>
        <v>#N/A</v>
      </c>
      <c r="P1146" s="282">
        <f>++Tabla4[[#This Row],[Precio Descontado]]*Tabla4[[#This Row],[Cantidad]]</f>
        <v>7535.8176780000003</v>
      </c>
      <c r="Q1146" s="282" t="e">
        <f>(INDEX(Tabla6[#All],MATCH(Tabla4[[#This Row],[Producto]],Tabla6[[#All],[PRODUCTO]],0),MATCH(Tabla4[[#This Row],[Mes]],Tabla6[#Headers],0)))</f>
        <v>#N/A</v>
      </c>
      <c r="R1146" s="282" t="e">
        <f>++Tabla4[[#This Row],[Precio Unitario Neto]]-Tabla4[[#This Row],[20.85%]]-Tabla4[[#This Row],[Costo]]</f>
        <v>#N/A</v>
      </c>
      <c r="S1146" s="282" t="e">
        <f>++Tabla4[[#This Row],[U. Bruta Uni]]*Tabla4[[#This Row],[Cantidad]]</f>
        <v>#N/A</v>
      </c>
      <c r="T1146" s="369" t="str">
        <f>VLOOKUP(Tabla4[[#This Row],[Producto]],Tabla6[#All],14,FALSE)</f>
        <v>Termico Solar</v>
      </c>
      <c r="U1146" s="284" t="e">
        <f>(IF(Tabla4[[#This Row],[Familia]]="termico solar",Tabla4[[#This Row],[Utilidad Total]]*6%,Tabla4[[#This Row],[Utilidad Total]]*11.5%))/Tabla4[[#This Row],[Total]]</f>
        <v>#N/A</v>
      </c>
      <c r="V1146" s="282" t="e">
        <f>+Tabla4[[#This Row],[Comisión Calculada]]*Tabla4[[#This Row],[Total]]</f>
        <v>#N/A</v>
      </c>
    </row>
    <row r="1147" spans="1:22" hidden="1" x14ac:dyDescent="0.25">
      <c r="A1147" s="100">
        <v>45731</v>
      </c>
      <c r="B1147" t="str">
        <f t="shared" si="48"/>
        <v>March</v>
      </c>
      <c r="C1147" s="46" t="s">
        <v>280</v>
      </c>
      <c r="F1147" s="366" t="s">
        <v>1187</v>
      </c>
      <c r="G1147" s="46" t="s">
        <v>83</v>
      </c>
      <c r="H1147" s="46">
        <v>1</v>
      </c>
      <c r="I1147" s="51">
        <v>8858.76</v>
      </c>
      <c r="J1147" s="281">
        <f>++Tabla4[[#This Row],[Precio Bruto]]*1.16</f>
        <v>10276.161599999999</v>
      </c>
      <c r="K1147" s="281">
        <f>+Tabla4[[#This Row],[Precio Unitario Neto]]*Tabla4[[#Headers],[20.85%]]</f>
        <v>2142.5796935999997</v>
      </c>
      <c r="L1147" s="282">
        <f>++Tabla4[[#This Row],[Precio Unitario Neto]]-Tabla4[[#This Row],[20.85%]]</f>
        <v>8133.5819063999998</v>
      </c>
      <c r="M1147" s="282" t="e">
        <f>(INDEX(Tabla6[#All],MATCH(Tabla4[[#This Row],[Producto]],Tabla6[[#All],[PRODUCTO]],0),MATCH(Tabla4[[#This Row],[Mes]],Tabla6[#Headers],0)))*(1+Catalogos!$L$2)</f>
        <v>#N/A</v>
      </c>
      <c r="N1147" s="283" t="e">
        <f>+(Tabla4[[#This Row],[Precio Descontado]]-Tabla4[[#This Row],[Precio Base]])*Tabla4[[#This Row],[Cantidad]]</f>
        <v>#N/A</v>
      </c>
      <c r="O1147" s="284" t="e">
        <f>++Tabla4[[#This Row],[Utilidad Total]]/Tabla4[[#This Row],[Total]]</f>
        <v>#N/A</v>
      </c>
      <c r="P1147" s="282">
        <f>++Tabla4[[#This Row],[Precio Descontado]]*Tabla4[[#This Row],[Cantidad]]</f>
        <v>8133.5819063999998</v>
      </c>
      <c r="Q1147" s="282" t="e">
        <f>(INDEX(Tabla6[#All],MATCH(Tabla4[[#This Row],[Producto]],Tabla6[[#All],[PRODUCTO]],0),MATCH(Tabla4[[#This Row],[Mes]],Tabla6[#Headers],0)))</f>
        <v>#N/A</v>
      </c>
      <c r="R1147" s="282" t="e">
        <f>++Tabla4[[#This Row],[Precio Unitario Neto]]-Tabla4[[#This Row],[20.85%]]-Tabla4[[#This Row],[Costo]]</f>
        <v>#N/A</v>
      </c>
      <c r="S1147" s="282" t="e">
        <f>++Tabla4[[#This Row],[U. Bruta Uni]]*Tabla4[[#This Row],[Cantidad]]</f>
        <v>#N/A</v>
      </c>
      <c r="T1147" s="369" t="str">
        <f>VLOOKUP(Tabla4[[#This Row],[Producto]],Tabla6[#All],14,FALSE)</f>
        <v>Termico Solar</v>
      </c>
      <c r="U1147" s="284" t="e">
        <f>(IF(Tabla4[[#This Row],[Familia]]="termico solar",Tabla4[[#This Row],[Utilidad Total]]*6%,Tabla4[[#This Row],[Utilidad Total]]*11.5%))/Tabla4[[#This Row],[Total]]</f>
        <v>#N/A</v>
      </c>
      <c r="V1147" s="282" t="e">
        <f>+Tabla4[[#This Row],[Comisión Calculada]]*Tabla4[[#This Row],[Total]]</f>
        <v>#N/A</v>
      </c>
    </row>
    <row r="1148" spans="1:22" hidden="1" x14ac:dyDescent="0.25">
      <c r="A1148" s="100">
        <v>45731</v>
      </c>
      <c r="B1148" t="str">
        <f t="shared" si="48"/>
        <v>March</v>
      </c>
      <c r="C1148" s="46" t="s">
        <v>280</v>
      </c>
      <c r="F1148" s="366" t="s">
        <v>1187</v>
      </c>
      <c r="G1148" s="46" t="s">
        <v>17</v>
      </c>
      <c r="H1148" s="46">
        <v>4</v>
      </c>
      <c r="I1148" s="51">
        <v>4622.28</v>
      </c>
      <c r="J1148" s="281">
        <f>++Tabla4[[#This Row],[Precio Bruto]]*1.16</f>
        <v>5361.8447999999989</v>
      </c>
      <c r="K1148" s="281">
        <f>+Tabla4[[#This Row],[Precio Unitario Neto]]*Tabla4[[#Headers],[20.85%]]</f>
        <v>1117.9446407999997</v>
      </c>
      <c r="L1148" s="282">
        <f>++Tabla4[[#This Row],[Precio Unitario Neto]]-Tabla4[[#This Row],[20.85%]]</f>
        <v>4243.9001591999995</v>
      </c>
      <c r="M1148" s="282" t="e">
        <f>(INDEX(Tabla6[#All],MATCH(Tabla4[[#This Row],[Producto]],Tabla6[[#All],[PRODUCTO]],0),MATCH(Tabla4[[#This Row],[Mes]],Tabla6[#Headers],0)))*(1+Catalogos!$L$2)</f>
        <v>#N/A</v>
      </c>
      <c r="N1148" s="283" t="e">
        <f>+(Tabla4[[#This Row],[Precio Descontado]]-Tabla4[[#This Row],[Precio Base]])*Tabla4[[#This Row],[Cantidad]]</f>
        <v>#N/A</v>
      </c>
      <c r="O1148" s="284" t="e">
        <f>++Tabla4[[#This Row],[Utilidad Total]]/Tabla4[[#This Row],[Total]]</f>
        <v>#N/A</v>
      </c>
      <c r="P1148" s="282">
        <f>++Tabla4[[#This Row],[Precio Descontado]]*Tabla4[[#This Row],[Cantidad]]</f>
        <v>16975.600636799998</v>
      </c>
      <c r="Q1148" s="282" t="e">
        <f>(INDEX(Tabla6[#All],MATCH(Tabla4[[#This Row],[Producto]],Tabla6[[#All],[PRODUCTO]],0),MATCH(Tabla4[[#This Row],[Mes]],Tabla6[#Headers],0)))</f>
        <v>#N/A</v>
      </c>
      <c r="R1148" s="282" t="e">
        <f>++Tabla4[[#This Row],[Precio Unitario Neto]]-Tabla4[[#This Row],[20.85%]]-Tabla4[[#This Row],[Costo]]</f>
        <v>#N/A</v>
      </c>
      <c r="S1148" s="282" t="e">
        <f>++Tabla4[[#This Row],[U. Bruta Uni]]*Tabla4[[#This Row],[Cantidad]]</f>
        <v>#N/A</v>
      </c>
      <c r="T1148" s="369" t="str">
        <f>VLOOKUP(Tabla4[[#This Row],[Producto]],Tabla6[#All],14,FALSE)</f>
        <v>Termico Solar</v>
      </c>
      <c r="U1148" s="284" t="e">
        <f>(IF(Tabla4[[#This Row],[Familia]]="termico solar",Tabla4[[#This Row],[Utilidad Total]]*6%,Tabla4[[#This Row],[Utilidad Total]]*11.5%))/Tabla4[[#This Row],[Total]]</f>
        <v>#N/A</v>
      </c>
      <c r="V1148" s="282" t="e">
        <f>+Tabla4[[#This Row],[Comisión Calculada]]*Tabla4[[#This Row],[Total]]</f>
        <v>#N/A</v>
      </c>
    </row>
    <row r="1149" spans="1:22" hidden="1" x14ac:dyDescent="0.25">
      <c r="A1149" s="100">
        <v>45731</v>
      </c>
      <c r="B1149" t="str">
        <f t="shared" si="48"/>
        <v>March</v>
      </c>
      <c r="C1149" s="46" t="s">
        <v>280</v>
      </c>
      <c r="F1149" s="366" t="s">
        <v>1187</v>
      </c>
      <c r="G1149" s="46" t="s">
        <v>18</v>
      </c>
      <c r="H1149" s="46">
        <v>1</v>
      </c>
      <c r="I1149" s="51">
        <v>5367.65</v>
      </c>
      <c r="J1149" s="281">
        <f>++Tabla4[[#This Row],[Precio Bruto]]*1.16</f>
        <v>6226.4739999999993</v>
      </c>
      <c r="K1149" s="281">
        <f>+Tabla4[[#This Row],[Precio Unitario Neto]]*Tabla4[[#Headers],[20.85%]]</f>
        <v>1298.2198289999999</v>
      </c>
      <c r="L1149" s="282">
        <f>++Tabla4[[#This Row],[Precio Unitario Neto]]-Tabla4[[#This Row],[20.85%]]</f>
        <v>4928.2541709999996</v>
      </c>
      <c r="M1149" s="282" t="e">
        <f>(INDEX(Tabla6[#All],MATCH(Tabla4[[#This Row],[Producto]],Tabla6[[#All],[PRODUCTO]],0),MATCH(Tabla4[[#This Row],[Mes]],Tabla6[#Headers],0)))*(1+Catalogos!$L$2)</f>
        <v>#N/A</v>
      </c>
      <c r="N1149" s="283" t="e">
        <f>+(Tabla4[[#This Row],[Precio Descontado]]-Tabla4[[#This Row],[Precio Base]])*Tabla4[[#This Row],[Cantidad]]</f>
        <v>#N/A</v>
      </c>
      <c r="O1149" s="284" t="e">
        <f>++Tabla4[[#This Row],[Utilidad Total]]/Tabla4[[#This Row],[Total]]</f>
        <v>#N/A</v>
      </c>
      <c r="P1149" s="282">
        <f>++Tabla4[[#This Row],[Precio Descontado]]*Tabla4[[#This Row],[Cantidad]]</f>
        <v>4928.2541709999996</v>
      </c>
      <c r="Q1149" s="282" t="e">
        <f>(INDEX(Tabla6[#All],MATCH(Tabla4[[#This Row],[Producto]],Tabla6[[#All],[PRODUCTO]],0),MATCH(Tabla4[[#This Row],[Mes]],Tabla6[#Headers],0)))</f>
        <v>#N/A</v>
      </c>
      <c r="R1149" s="282" t="e">
        <f>++Tabla4[[#This Row],[Precio Unitario Neto]]-Tabla4[[#This Row],[20.85%]]-Tabla4[[#This Row],[Costo]]</f>
        <v>#N/A</v>
      </c>
      <c r="S1149" s="282" t="e">
        <f>++Tabla4[[#This Row],[U. Bruta Uni]]*Tabla4[[#This Row],[Cantidad]]</f>
        <v>#N/A</v>
      </c>
      <c r="T1149" s="369" t="str">
        <f>VLOOKUP(Tabla4[[#This Row],[Producto]],Tabla6[#All],14,FALSE)</f>
        <v>Termico Solar</v>
      </c>
      <c r="U1149" s="284" t="e">
        <f>(IF(Tabla4[[#This Row],[Familia]]="termico solar",Tabla4[[#This Row],[Utilidad Total]]*6%,Tabla4[[#This Row],[Utilidad Total]]*11.5%))/Tabla4[[#This Row],[Total]]</f>
        <v>#N/A</v>
      </c>
      <c r="V1149" s="282" t="e">
        <f>+Tabla4[[#This Row],[Comisión Calculada]]*Tabla4[[#This Row],[Total]]</f>
        <v>#N/A</v>
      </c>
    </row>
    <row r="1150" spans="1:22" hidden="1" x14ac:dyDescent="0.25">
      <c r="A1150" s="100">
        <v>45731</v>
      </c>
      <c r="B1150" t="str">
        <f t="shared" si="48"/>
        <v>March</v>
      </c>
      <c r="C1150" s="46" t="s">
        <v>280</v>
      </c>
      <c r="F1150" s="366" t="s">
        <v>1187</v>
      </c>
      <c r="G1150" s="46" t="s">
        <v>16</v>
      </c>
      <c r="H1150" s="46">
        <v>4</v>
      </c>
      <c r="I1150" s="51">
        <v>4103.8500000000004</v>
      </c>
      <c r="J1150" s="281">
        <f>++Tabla4[[#This Row],[Precio Bruto]]*1.16</f>
        <v>4760.4660000000003</v>
      </c>
      <c r="K1150" s="281">
        <f>+Tabla4[[#This Row],[Precio Unitario Neto]]*Tabla4[[#Headers],[20.85%]]</f>
        <v>992.55716100000006</v>
      </c>
      <c r="L1150" s="282">
        <f>++Tabla4[[#This Row],[Precio Unitario Neto]]-Tabla4[[#This Row],[20.85%]]</f>
        <v>3767.9088390000002</v>
      </c>
      <c r="M1150" s="282" t="e">
        <f>(INDEX(Tabla6[#All],MATCH(Tabla4[[#This Row],[Producto]],Tabla6[[#All],[PRODUCTO]],0),MATCH(Tabla4[[#This Row],[Mes]],Tabla6[#Headers],0)))*(1+Catalogos!$L$2)</f>
        <v>#N/A</v>
      </c>
      <c r="N1150" s="283" t="e">
        <f>+(Tabla4[[#This Row],[Precio Descontado]]-Tabla4[[#This Row],[Precio Base]])*Tabla4[[#This Row],[Cantidad]]</f>
        <v>#N/A</v>
      </c>
      <c r="O1150" s="284" t="e">
        <f>++Tabla4[[#This Row],[Utilidad Total]]/Tabla4[[#This Row],[Total]]</f>
        <v>#N/A</v>
      </c>
      <c r="P1150" s="282">
        <f>++Tabla4[[#This Row],[Precio Descontado]]*Tabla4[[#This Row],[Cantidad]]</f>
        <v>15071.635356000001</v>
      </c>
      <c r="Q1150" s="282" t="e">
        <f>(INDEX(Tabla6[#All],MATCH(Tabla4[[#This Row],[Producto]],Tabla6[[#All],[PRODUCTO]],0),MATCH(Tabla4[[#This Row],[Mes]],Tabla6[#Headers],0)))</f>
        <v>#N/A</v>
      </c>
      <c r="R1150" s="282" t="e">
        <f>++Tabla4[[#This Row],[Precio Unitario Neto]]-Tabla4[[#This Row],[20.85%]]-Tabla4[[#This Row],[Costo]]</f>
        <v>#N/A</v>
      </c>
      <c r="S1150" s="282" t="e">
        <f>++Tabla4[[#This Row],[U. Bruta Uni]]*Tabla4[[#This Row],[Cantidad]]</f>
        <v>#N/A</v>
      </c>
      <c r="T1150" s="369" t="str">
        <f>VLOOKUP(Tabla4[[#This Row],[Producto]],Tabla6[#All],14,FALSE)</f>
        <v>Termico Solar</v>
      </c>
      <c r="U1150" s="284" t="e">
        <f>(IF(Tabla4[[#This Row],[Familia]]="termico solar",Tabla4[[#This Row],[Utilidad Total]]*6%,Tabla4[[#This Row],[Utilidad Total]]*11.5%))/Tabla4[[#This Row],[Total]]</f>
        <v>#N/A</v>
      </c>
      <c r="V1150" s="282" t="e">
        <f>+Tabla4[[#This Row],[Comisión Calculada]]*Tabla4[[#This Row],[Total]]</f>
        <v>#N/A</v>
      </c>
    </row>
    <row r="1151" spans="1:22" hidden="1" x14ac:dyDescent="0.25">
      <c r="A1151" s="100">
        <v>45731</v>
      </c>
      <c r="B1151" t="str">
        <f t="shared" si="48"/>
        <v>March</v>
      </c>
      <c r="C1151" s="46" t="s">
        <v>280</v>
      </c>
      <c r="F1151" s="366" t="s">
        <v>1188</v>
      </c>
      <c r="G1151" s="46" t="s">
        <v>83</v>
      </c>
      <c r="H1151" s="46">
        <v>6</v>
      </c>
      <c r="I1151" s="51">
        <v>8858.76</v>
      </c>
      <c r="J1151" s="281">
        <f>++Tabla4[[#This Row],[Precio Bruto]]*1.16</f>
        <v>10276.161599999999</v>
      </c>
      <c r="K1151" s="281">
        <f>+Tabla4[[#This Row],[Precio Unitario Neto]]*Tabla4[[#Headers],[20.85%]]</f>
        <v>2142.5796935999997</v>
      </c>
      <c r="L1151" s="282">
        <f>++Tabla4[[#This Row],[Precio Unitario Neto]]-Tabla4[[#This Row],[20.85%]]</f>
        <v>8133.5819063999998</v>
      </c>
      <c r="M1151" s="282" t="e">
        <f>(INDEX(Tabla6[#All],MATCH(Tabla4[[#This Row],[Producto]],Tabla6[[#All],[PRODUCTO]],0),MATCH(Tabla4[[#This Row],[Mes]],Tabla6[#Headers],0)))*(1+Catalogos!$L$2)</f>
        <v>#N/A</v>
      </c>
      <c r="N1151" s="283" t="e">
        <f>+(Tabla4[[#This Row],[Precio Descontado]]-Tabla4[[#This Row],[Precio Base]])*Tabla4[[#This Row],[Cantidad]]</f>
        <v>#N/A</v>
      </c>
      <c r="O1151" s="284" t="e">
        <f>++Tabla4[[#This Row],[Utilidad Total]]/Tabla4[[#This Row],[Total]]</f>
        <v>#N/A</v>
      </c>
      <c r="P1151" s="282">
        <f>++Tabla4[[#This Row],[Precio Descontado]]*Tabla4[[#This Row],[Cantidad]]</f>
        <v>48801.4914384</v>
      </c>
      <c r="Q1151" s="282" t="e">
        <f>(INDEX(Tabla6[#All],MATCH(Tabla4[[#This Row],[Producto]],Tabla6[[#All],[PRODUCTO]],0),MATCH(Tabla4[[#This Row],[Mes]],Tabla6[#Headers],0)))</f>
        <v>#N/A</v>
      </c>
      <c r="R1151" s="282" t="e">
        <f>++Tabla4[[#This Row],[Precio Unitario Neto]]-Tabla4[[#This Row],[20.85%]]-Tabla4[[#This Row],[Costo]]</f>
        <v>#N/A</v>
      </c>
      <c r="S1151" s="282" t="e">
        <f>++Tabla4[[#This Row],[U. Bruta Uni]]*Tabla4[[#This Row],[Cantidad]]</f>
        <v>#N/A</v>
      </c>
      <c r="T1151" s="369" t="str">
        <f>VLOOKUP(Tabla4[[#This Row],[Producto]],Tabla6[#All],14,FALSE)</f>
        <v>Termico Solar</v>
      </c>
      <c r="U1151" s="284" t="e">
        <f>(IF(Tabla4[[#This Row],[Familia]]="termico solar",Tabla4[[#This Row],[Utilidad Total]]*6%,Tabla4[[#This Row],[Utilidad Total]]*11.5%))/Tabla4[[#This Row],[Total]]</f>
        <v>#N/A</v>
      </c>
      <c r="V1151" s="282" t="e">
        <f>+Tabla4[[#This Row],[Comisión Calculada]]*Tabla4[[#This Row],[Total]]</f>
        <v>#N/A</v>
      </c>
    </row>
    <row r="1152" spans="1:22" hidden="1" x14ac:dyDescent="0.25">
      <c r="A1152" s="100">
        <v>45731</v>
      </c>
      <c r="B1152" t="str">
        <f t="shared" si="48"/>
        <v>March</v>
      </c>
      <c r="C1152" s="46" t="s">
        <v>280</v>
      </c>
      <c r="F1152" s="366" t="s">
        <v>1188</v>
      </c>
      <c r="G1152" s="46" t="s">
        <v>18</v>
      </c>
      <c r="H1152" s="46">
        <v>1</v>
      </c>
      <c r="I1152" s="51">
        <v>5367.65</v>
      </c>
      <c r="J1152" s="281">
        <f>++Tabla4[[#This Row],[Precio Bruto]]*1.16</f>
        <v>6226.4739999999993</v>
      </c>
      <c r="K1152" s="281">
        <f>+Tabla4[[#This Row],[Precio Unitario Neto]]*Tabla4[[#Headers],[20.85%]]</f>
        <v>1298.2198289999999</v>
      </c>
      <c r="L1152" s="282">
        <f>++Tabla4[[#This Row],[Precio Unitario Neto]]-Tabla4[[#This Row],[20.85%]]</f>
        <v>4928.2541709999996</v>
      </c>
      <c r="M1152" s="282" t="e">
        <f>(INDEX(Tabla6[#All],MATCH(Tabla4[[#This Row],[Producto]],Tabla6[[#All],[PRODUCTO]],0),MATCH(Tabla4[[#This Row],[Mes]],Tabla6[#Headers],0)))*(1+Catalogos!$L$2)</f>
        <v>#N/A</v>
      </c>
      <c r="N1152" s="283" t="e">
        <f>+(Tabla4[[#This Row],[Precio Descontado]]-Tabla4[[#This Row],[Precio Base]])*Tabla4[[#This Row],[Cantidad]]</f>
        <v>#N/A</v>
      </c>
      <c r="O1152" s="284" t="e">
        <f>++Tabla4[[#This Row],[Utilidad Total]]/Tabla4[[#This Row],[Total]]</f>
        <v>#N/A</v>
      </c>
      <c r="P1152" s="282">
        <f>++Tabla4[[#This Row],[Precio Descontado]]*Tabla4[[#This Row],[Cantidad]]</f>
        <v>4928.2541709999996</v>
      </c>
      <c r="Q1152" s="282" t="e">
        <f>(INDEX(Tabla6[#All],MATCH(Tabla4[[#This Row],[Producto]],Tabla6[[#All],[PRODUCTO]],0),MATCH(Tabla4[[#This Row],[Mes]],Tabla6[#Headers],0)))</f>
        <v>#N/A</v>
      </c>
      <c r="R1152" s="282" t="e">
        <f>++Tabla4[[#This Row],[Precio Unitario Neto]]-Tabla4[[#This Row],[20.85%]]-Tabla4[[#This Row],[Costo]]</f>
        <v>#N/A</v>
      </c>
      <c r="S1152" s="282" t="e">
        <f>++Tabla4[[#This Row],[U. Bruta Uni]]*Tabla4[[#This Row],[Cantidad]]</f>
        <v>#N/A</v>
      </c>
      <c r="T1152" s="369" t="str">
        <f>VLOOKUP(Tabla4[[#This Row],[Producto]],Tabla6[#All],14,FALSE)</f>
        <v>Termico Solar</v>
      </c>
      <c r="U1152" s="284" t="e">
        <f>(IF(Tabla4[[#This Row],[Familia]]="termico solar",Tabla4[[#This Row],[Utilidad Total]]*6%,Tabla4[[#This Row],[Utilidad Total]]*11.5%))/Tabla4[[#This Row],[Total]]</f>
        <v>#N/A</v>
      </c>
      <c r="V1152" s="282" t="e">
        <f>+Tabla4[[#This Row],[Comisión Calculada]]*Tabla4[[#This Row],[Total]]</f>
        <v>#N/A</v>
      </c>
    </row>
    <row r="1153" spans="1:22" hidden="1" x14ac:dyDescent="0.25">
      <c r="A1153" s="100">
        <v>45731</v>
      </c>
      <c r="B1153" t="str">
        <f t="shared" si="48"/>
        <v>March</v>
      </c>
      <c r="C1153" s="46" t="s">
        <v>280</v>
      </c>
      <c r="F1153" s="366" t="s">
        <v>1189</v>
      </c>
      <c r="G1153" s="46" t="s">
        <v>83</v>
      </c>
      <c r="H1153" s="46">
        <v>1</v>
      </c>
      <c r="I1153" s="51">
        <v>8858.76</v>
      </c>
      <c r="J1153" s="281">
        <f>++Tabla4[[#This Row],[Precio Bruto]]*1.16</f>
        <v>10276.161599999999</v>
      </c>
      <c r="K1153" s="281">
        <f>+Tabla4[[#This Row],[Precio Unitario Neto]]*Tabla4[[#Headers],[20.85%]]</f>
        <v>2142.5796935999997</v>
      </c>
      <c r="L1153" s="282">
        <f>++Tabla4[[#This Row],[Precio Unitario Neto]]-Tabla4[[#This Row],[20.85%]]</f>
        <v>8133.5819063999998</v>
      </c>
      <c r="M1153" s="282" t="e">
        <f>(INDEX(Tabla6[#All],MATCH(Tabla4[[#This Row],[Producto]],Tabla6[[#All],[PRODUCTO]],0),MATCH(Tabla4[[#This Row],[Mes]],Tabla6[#Headers],0)))*(1+Catalogos!$L$2)</f>
        <v>#N/A</v>
      </c>
      <c r="N1153" s="283" t="e">
        <f>+(Tabla4[[#This Row],[Precio Descontado]]-Tabla4[[#This Row],[Precio Base]])*Tabla4[[#This Row],[Cantidad]]</f>
        <v>#N/A</v>
      </c>
      <c r="O1153" s="284" t="e">
        <f>++Tabla4[[#This Row],[Utilidad Total]]/Tabla4[[#This Row],[Total]]</f>
        <v>#N/A</v>
      </c>
      <c r="P1153" s="282">
        <f>++Tabla4[[#This Row],[Precio Descontado]]*Tabla4[[#This Row],[Cantidad]]</f>
        <v>8133.5819063999998</v>
      </c>
      <c r="Q1153" s="282" t="e">
        <f>(INDEX(Tabla6[#All],MATCH(Tabla4[[#This Row],[Producto]],Tabla6[[#All],[PRODUCTO]],0),MATCH(Tabla4[[#This Row],[Mes]],Tabla6[#Headers],0)))</f>
        <v>#N/A</v>
      </c>
      <c r="R1153" s="282" t="e">
        <f>++Tabla4[[#This Row],[Precio Unitario Neto]]-Tabla4[[#This Row],[20.85%]]-Tabla4[[#This Row],[Costo]]</f>
        <v>#N/A</v>
      </c>
      <c r="S1153" s="282" t="e">
        <f>++Tabla4[[#This Row],[U. Bruta Uni]]*Tabla4[[#This Row],[Cantidad]]</f>
        <v>#N/A</v>
      </c>
      <c r="T1153" s="369" t="str">
        <f>VLOOKUP(Tabla4[[#This Row],[Producto]],Tabla6[#All],14,FALSE)</f>
        <v>Termico Solar</v>
      </c>
      <c r="U1153" s="284" t="e">
        <f>(IF(Tabla4[[#This Row],[Familia]]="termico solar",Tabla4[[#This Row],[Utilidad Total]]*6%,Tabla4[[#This Row],[Utilidad Total]]*11.5%))/Tabla4[[#This Row],[Total]]</f>
        <v>#N/A</v>
      </c>
      <c r="V1153" s="282" t="e">
        <f>+Tabla4[[#This Row],[Comisión Calculada]]*Tabla4[[#This Row],[Total]]</f>
        <v>#N/A</v>
      </c>
    </row>
    <row r="1154" spans="1:22" hidden="1" x14ac:dyDescent="0.25">
      <c r="A1154" s="100">
        <v>45731</v>
      </c>
      <c r="B1154" t="str">
        <f t="shared" si="48"/>
        <v>March</v>
      </c>
      <c r="C1154" s="46" t="s">
        <v>280</v>
      </c>
      <c r="F1154" s="366" t="s">
        <v>1189</v>
      </c>
      <c r="G1154" s="46" t="s">
        <v>18</v>
      </c>
      <c r="H1154" s="46">
        <v>2</v>
      </c>
      <c r="I1154" s="51">
        <v>5367.65</v>
      </c>
      <c r="J1154" s="281">
        <f>++Tabla4[[#This Row],[Precio Bruto]]*1.16</f>
        <v>6226.4739999999993</v>
      </c>
      <c r="K1154" s="281">
        <f>+Tabla4[[#This Row],[Precio Unitario Neto]]*Tabla4[[#Headers],[20.85%]]</f>
        <v>1298.2198289999999</v>
      </c>
      <c r="L1154" s="282">
        <f>++Tabla4[[#This Row],[Precio Unitario Neto]]-Tabla4[[#This Row],[20.85%]]</f>
        <v>4928.2541709999996</v>
      </c>
      <c r="M1154" s="282" t="e">
        <f>(INDEX(Tabla6[#All],MATCH(Tabla4[[#This Row],[Producto]],Tabla6[[#All],[PRODUCTO]],0),MATCH(Tabla4[[#This Row],[Mes]],Tabla6[#Headers],0)))*(1+Catalogos!$L$2)</f>
        <v>#N/A</v>
      </c>
      <c r="N1154" s="283" t="e">
        <f>+(Tabla4[[#This Row],[Precio Descontado]]-Tabla4[[#This Row],[Precio Base]])*Tabla4[[#This Row],[Cantidad]]</f>
        <v>#N/A</v>
      </c>
      <c r="O1154" s="284" t="e">
        <f>++Tabla4[[#This Row],[Utilidad Total]]/Tabla4[[#This Row],[Total]]</f>
        <v>#N/A</v>
      </c>
      <c r="P1154" s="282">
        <f>++Tabla4[[#This Row],[Precio Descontado]]*Tabla4[[#This Row],[Cantidad]]</f>
        <v>9856.5083419999992</v>
      </c>
      <c r="Q1154" s="282" t="e">
        <f>(INDEX(Tabla6[#All],MATCH(Tabla4[[#This Row],[Producto]],Tabla6[[#All],[PRODUCTO]],0),MATCH(Tabla4[[#This Row],[Mes]],Tabla6[#Headers],0)))</f>
        <v>#N/A</v>
      </c>
      <c r="R1154" s="282" t="e">
        <f>++Tabla4[[#This Row],[Precio Unitario Neto]]-Tabla4[[#This Row],[20.85%]]-Tabla4[[#This Row],[Costo]]</f>
        <v>#N/A</v>
      </c>
      <c r="S1154" s="282" t="e">
        <f>++Tabla4[[#This Row],[U. Bruta Uni]]*Tabla4[[#This Row],[Cantidad]]</f>
        <v>#N/A</v>
      </c>
      <c r="T1154" s="369" t="str">
        <f>VLOOKUP(Tabla4[[#This Row],[Producto]],Tabla6[#All],14,FALSE)</f>
        <v>Termico Solar</v>
      </c>
      <c r="U1154" s="284" t="e">
        <f>(IF(Tabla4[[#This Row],[Familia]]="termico solar",Tabla4[[#This Row],[Utilidad Total]]*6%,Tabla4[[#This Row],[Utilidad Total]]*11.5%))/Tabla4[[#This Row],[Total]]</f>
        <v>#N/A</v>
      </c>
      <c r="V1154" s="282" t="e">
        <f>+Tabla4[[#This Row],[Comisión Calculada]]*Tabla4[[#This Row],[Total]]</f>
        <v>#N/A</v>
      </c>
    </row>
    <row r="1155" spans="1:22" hidden="1" x14ac:dyDescent="0.25">
      <c r="A1155" s="100">
        <v>45731</v>
      </c>
      <c r="B1155" t="str">
        <f t="shared" si="48"/>
        <v>March</v>
      </c>
      <c r="C1155" s="46" t="s">
        <v>280</v>
      </c>
      <c r="F1155" s="366" t="s">
        <v>1189</v>
      </c>
      <c r="G1155" s="46" t="s">
        <v>566</v>
      </c>
      <c r="H1155" s="46">
        <v>1</v>
      </c>
      <c r="I1155" s="51">
        <v>2109.4499999999998</v>
      </c>
      <c r="J1155" s="281">
        <f>++Tabla4[[#This Row],[Precio Bruto]]*1.16</f>
        <v>2446.9619999999995</v>
      </c>
      <c r="K1155" s="281">
        <f>+Tabla4[[#This Row],[Precio Unitario Neto]]*Tabla4[[#Headers],[20.85%]]</f>
        <v>510.19157699999988</v>
      </c>
      <c r="L1155" s="282">
        <f>++Tabla4[[#This Row],[Precio Unitario Neto]]-Tabla4[[#This Row],[20.85%]]</f>
        <v>1936.7704229999997</v>
      </c>
      <c r="M1155" s="282" t="e">
        <f>(INDEX(Tabla6[#All],MATCH(Tabla4[[#This Row],[Producto]],Tabla6[[#All],[PRODUCTO]],0),MATCH(Tabla4[[#This Row],[Mes]],Tabla6[#Headers],0)))*(1+Catalogos!$L$2)</f>
        <v>#N/A</v>
      </c>
      <c r="N1155" s="283" t="e">
        <f>+(Tabla4[[#This Row],[Precio Descontado]]-Tabla4[[#This Row],[Precio Base]])*Tabla4[[#This Row],[Cantidad]]</f>
        <v>#N/A</v>
      </c>
      <c r="O1155" s="284" t="e">
        <f>++Tabla4[[#This Row],[Utilidad Total]]/Tabla4[[#This Row],[Total]]</f>
        <v>#N/A</v>
      </c>
      <c r="P1155" s="282">
        <f>++Tabla4[[#This Row],[Precio Descontado]]*Tabla4[[#This Row],[Cantidad]]</f>
        <v>1936.7704229999997</v>
      </c>
      <c r="Q1155" s="282" t="e">
        <f>(INDEX(Tabla6[#All],MATCH(Tabla4[[#This Row],[Producto]],Tabla6[[#All],[PRODUCTO]],0),MATCH(Tabla4[[#This Row],[Mes]],Tabla6[#Headers],0)))</f>
        <v>#N/A</v>
      </c>
      <c r="R1155" s="282" t="e">
        <f>++Tabla4[[#This Row],[Precio Unitario Neto]]-Tabla4[[#This Row],[20.85%]]-Tabla4[[#This Row],[Costo]]</f>
        <v>#N/A</v>
      </c>
      <c r="S1155" s="282" t="e">
        <f>++Tabla4[[#This Row],[U. Bruta Uni]]*Tabla4[[#This Row],[Cantidad]]</f>
        <v>#N/A</v>
      </c>
      <c r="T1155" s="369" t="str">
        <f>VLOOKUP(Tabla4[[#This Row],[Producto]],Tabla6[#All],14,FALSE)</f>
        <v>Termico Solar</v>
      </c>
      <c r="U1155" s="284" t="e">
        <f>(IF(Tabla4[[#This Row],[Familia]]="termico solar",Tabla4[[#This Row],[Utilidad Total]]*6%,Tabla4[[#This Row],[Utilidad Total]]*11.5%))/Tabla4[[#This Row],[Total]]</f>
        <v>#N/A</v>
      </c>
      <c r="V1155" s="282" t="e">
        <f>+Tabla4[[#This Row],[Comisión Calculada]]*Tabla4[[#This Row],[Total]]</f>
        <v>#N/A</v>
      </c>
    </row>
    <row r="1156" spans="1:22" hidden="1" x14ac:dyDescent="0.25">
      <c r="A1156" s="100">
        <v>45731</v>
      </c>
      <c r="B1156" t="str">
        <f t="shared" si="48"/>
        <v>March</v>
      </c>
      <c r="C1156" s="46" t="s">
        <v>280</v>
      </c>
      <c r="F1156" s="366" t="s">
        <v>1189</v>
      </c>
      <c r="G1156" s="46" t="s">
        <v>412</v>
      </c>
      <c r="H1156" s="46">
        <v>1</v>
      </c>
      <c r="I1156" s="51">
        <v>3240.84</v>
      </c>
      <c r="J1156" s="281">
        <f>++Tabla4[[#This Row],[Precio Bruto]]*1.16</f>
        <v>3759.3743999999997</v>
      </c>
      <c r="K1156" s="281">
        <f>+Tabla4[[#This Row],[Precio Unitario Neto]]*Tabla4[[#Headers],[20.85%]]</f>
        <v>783.82956239999987</v>
      </c>
      <c r="L1156" s="282">
        <f>++Tabla4[[#This Row],[Precio Unitario Neto]]-Tabla4[[#This Row],[20.85%]]</f>
        <v>2975.5448375999999</v>
      </c>
      <c r="M1156" s="282" t="e">
        <f>(INDEX(Tabla6[#All],MATCH(Tabla4[[#This Row],[Producto]],Tabla6[[#All],[PRODUCTO]],0),MATCH(Tabla4[[#This Row],[Mes]],Tabla6[#Headers],0)))*(1+Catalogos!$L$2)</f>
        <v>#N/A</v>
      </c>
      <c r="N1156" s="283" t="e">
        <f>+(Tabla4[[#This Row],[Precio Descontado]]-Tabla4[[#This Row],[Precio Base]])*Tabla4[[#This Row],[Cantidad]]</f>
        <v>#N/A</v>
      </c>
      <c r="O1156" s="284" t="e">
        <f>++Tabla4[[#This Row],[Utilidad Total]]/Tabla4[[#This Row],[Total]]</f>
        <v>#N/A</v>
      </c>
      <c r="P1156" s="282">
        <f>++Tabla4[[#This Row],[Precio Descontado]]*Tabla4[[#This Row],[Cantidad]]</f>
        <v>2975.5448375999999</v>
      </c>
      <c r="Q1156" s="282" t="e">
        <f>(INDEX(Tabla6[#All],MATCH(Tabla4[[#This Row],[Producto]],Tabla6[[#All],[PRODUCTO]],0),MATCH(Tabla4[[#This Row],[Mes]],Tabla6[#Headers],0)))</f>
        <v>#N/A</v>
      </c>
      <c r="R1156" s="282" t="e">
        <f>++Tabla4[[#This Row],[Precio Unitario Neto]]-Tabla4[[#This Row],[20.85%]]-Tabla4[[#This Row],[Costo]]</f>
        <v>#N/A</v>
      </c>
      <c r="S1156" s="282" t="e">
        <f>++Tabla4[[#This Row],[U. Bruta Uni]]*Tabla4[[#This Row],[Cantidad]]</f>
        <v>#N/A</v>
      </c>
      <c r="T1156" s="369" t="str">
        <f>VLOOKUP(Tabla4[[#This Row],[Producto]],Tabla6[#All],14,FALSE)</f>
        <v>Termico Solar</v>
      </c>
      <c r="U1156" s="284" t="e">
        <f>(IF(Tabla4[[#This Row],[Familia]]="termico solar",Tabla4[[#This Row],[Utilidad Total]]*6%,Tabla4[[#This Row],[Utilidad Total]]*11.5%))/Tabla4[[#This Row],[Total]]</f>
        <v>#N/A</v>
      </c>
      <c r="V1156" s="282" t="e">
        <f>+Tabla4[[#This Row],[Comisión Calculada]]*Tabla4[[#This Row],[Total]]</f>
        <v>#N/A</v>
      </c>
    </row>
    <row r="1157" spans="1:22" hidden="1" x14ac:dyDescent="0.25">
      <c r="A1157" s="100">
        <v>45731</v>
      </c>
      <c r="B1157" t="str">
        <f t="shared" si="48"/>
        <v>March</v>
      </c>
      <c r="C1157" s="46" t="s">
        <v>280</v>
      </c>
      <c r="F1157" s="366" t="s">
        <v>1189</v>
      </c>
      <c r="G1157" s="46" t="s">
        <v>16</v>
      </c>
      <c r="H1157" s="46">
        <v>1</v>
      </c>
      <c r="I1157" s="51">
        <v>4103.8500000000004</v>
      </c>
      <c r="J1157" s="281">
        <f>++Tabla4[[#This Row],[Precio Bruto]]*1.16</f>
        <v>4760.4660000000003</v>
      </c>
      <c r="K1157" s="281">
        <f>+Tabla4[[#This Row],[Precio Unitario Neto]]*Tabla4[[#Headers],[20.85%]]</f>
        <v>992.55716100000006</v>
      </c>
      <c r="L1157" s="282">
        <f>++Tabla4[[#This Row],[Precio Unitario Neto]]-Tabla4[[#This Row],[20.85%]]</f>
        <v>3767.9088390000002</v>
      </c>
      <c r="M1157" s="282" t="e">
        <f>(INDEX(Tabla6[#All],MATCH(Tabla4[[#This Row],[Producto]],Tabla6[[#All],[PRODUCTO]],0),MATCH(Tabla4[[#This Row],[Mes]],Tabla6[#Headers],0)))*(1+Catalogos!$L$2)</f>
        <v>#N/A</v>
      </c>
      <c r="N1157" s="283" t="e">
        <f>+(Tabla4[[#This Row],[Precio Descontado]]-Tabla4[[#This Row],[Precio Base]])*Tabla4[[#This Row],[Cantidad]]</f>
        <v>#N/A</v>
      </c>
      <c r="O1157" s="284" t="e">
        <f>++Tabla4[[#This Row],[Utilidad Total]]/Tabla4[[#This Row],[Total]]</f>
        <v>#N/A</v>
      </c>
      <c r="P1157" s="282">
        <f>++Tabla4[[#This Row],[Precio Descontado]]*Tabla4[[#This Row],[Cantidad]]</f>
        <v>3767.9088390000002</v>
      </c>
      <c r="Q1157" s="282" t="e">
        <f>(INDEX(Tabla6[#All],MATCH(Tabla4[[#This Row],[Producto]],Tabla6[[#All],[PRODUCTO]],0),MATCH(Tabla4[[#This Row],[Mes]],Tabla6[#Headers],0)))</f>
        <v>#N/A</v>
      </c>
      <c r="R1157" s="282" t="e">
        <f>++Tabla4[[#This Row],[Precio Unitario Neto]]-Tabla4[[#This Row],[20.85%]]-Tabla4[[#This Row],[Costo]]</f>
        <v>#N/A</v>
      </c>
      <c r="S1157" s="282" t="e">
        <f>++Tabla4[[#This Row],[U. Bruta Uni]]*Tabla4[[#This Row],[Cantidad]]</f>
        <v>#N/A</v>
      </c>
      <c r="T1157" s="369" t="str">
        <f>VLOOKUP(Tabla4[[#This Row],[Producto]],Tabla6[#All],14,FALSE)</f>
        <v>Termico Solar</v>
      </c>
      <c r="U1157" s="284" t="e">
        <f>(IF(Tabla4[[#This Row],[Familia]]="termico solar",Tabla4[[#This Row],[Utilidad Total]]*6%,Tabla4[[#This Row],[Utilidad Total]]*11.5%))/Tabla4[[#This Row],[Total]]</f>
        <v>#N/A</v>
      </c>
      <c r="V1157" s="282" t="e">
        <f>+Tabla4[[#This Row],[Comisión Calculada]]*Tabla4[[#This Row],[Total]]</f>
        <v>#N/A</v>
      </c>
    </row>
    <row r="1158" spans="1:22" hidden="1" x14ac:dyDescent="0.25">
      <c r="A1158" s="100">
        <v>45731</v>
      </c>
      <c r="B1158" t="str">
        <f t="shared" si="48"/>
        <v>March</v>
      </c>
      <c r="C1158" s="46" t="s">
        <v>280</v>
      </c>
      <c r="F1158" s="366" t="s">
        <v>1190</v>
      </c>
      <c r="G1158" s="46" t="s">
        <v>83</v>
      </c>
      <c r="H1158" s="46">
        <v>1</v>
      </c>
      <c r="I1158" s="51">
        <v>8858.76</v>
      </c>
      <c r="J1158" s="281">
        <f>++Tabla4[[#This Row],[Precio Bruto]]*1.16</f>
        <v>10276.161599999999</v>
      </c>
      <c r="K1158" s="281">
        <f>+Tabla4[[#This Row],[Precio Unitario Neto]]*Tabla4[[#Headers],[20.85%]]</f>
        <v>2142.5796935999997</v>
      </c>
      <c r="L1158" s="282">
        <f>++Tabla4[[#This Row],[Precio Unitario Neto]]-Tabla4[[#This Row],[20.85%]]</f>
        <v>8133.5819063999998</v>
      </c>
      <c r="M1158" s="282" t="e">
        <f>(INDEX(Tabla6[#All],MATCH(Tabla4[[#This Row],[Producto]],Tabla6[[#All],[PRODUCTO]],0),MATCH(Tabla4[[#This Row],[Mes]],Tabla6[#Headers],0)))*(1+Catalogos!$L$2)</f>
        <v>#N/A</v>
      </c>
      <c r="N1158" s="283" t="e">
        <f>+(Tabla4[[#This Row],[Precio Descontado]]-Tabla4[[#This Row],[Precio Base]])*Tabla4[[#This Row],[Cantidad]]</f>
        <v>#N/A</v>
      </c>
      <c r="O1158" s="284" t="e">
        <f>++Tabla4[[#This Row],[Utilidad Total]]/Tabla4[[#This Row],[Total]]</f>
        <v>#N/A</v>
      </c>
      <c r="P1158" s="282">
        <f>++Tabla4[[#This Row],[Precio Descontado]]*Tabla4[[#This Row],[Cantidad]]</f>
        <v>8133.5819063999998</v>
      </c>
      <c r="Q1158" s="282" t="e">
        <f>(INDEX(Tabla6[#All],MATCH(Tabla4[[#This Row],[Producto]],Tabla6[[#All],[PRODUCTO]],0),MATCH(Tabla4[[#This Row],[Mes]],Tabla6[#Headers],0)))</f>
        <v>#N/A</v>
      </c>
      <c r="R1158" s="282" t="e">
        <f>++Tabla4[[#This Row],[Precio Unitario Neto]]-Tabla4[[#This Row],[20.85%]]-Tabla4[[#This Row],[Costo]]</f>
        <v>#N/A</v>
      </c>
      <c r="S1158" s="282" t="e">
        <f>++Tabla4[[#This Row],[U. Bruta Uni]]*Tabla4[[#This Row],[Cantidad]]</f>
        <v>#N/A</v>
      </c>
      <c r="T1158" s="369" t="str">
        <f>VLOOKUP(Tabla4[[#This Row],[Producto]],Tabla6[#All],14,FALSE)</f>
        <v>Termico Solar</v>
      </c>
      <c r="U1158" s="284" t="e">
        <f>(IF(Tabla4[[#This Row],[Familia]]="termico solar",Tabla4[[#This Row],[Utilidad Total]]*6%,Tabla4[[#This Row],[Utilidad Total]]*11.5%))/Tabla4[[#This Row],[Total]]</f>
        <v>#N/A</v>
      </c>
      <c r="V1158" s="282" t="e">
        <f>+Tabla4[[#This Row],[Comisión Calculada]]*Tabla4[[#This Row],[Total]]</f>
        <v>#N/A</v>
      </c>
    </row>
    <row r="1159" spans="1:22" hidden="1" x14ac:dyDescent="0.25">
      <c r="A1159" s="100">
        <v>45731</v>
      </c>
      <c r="B1159" t="str">
        <f t="shared" si="48"/>
        <v>March</v>
      </c>
      <c r="C1159" s="46" t="s">
        <v>280</v>
      </c>
      <c r="F1159" s="366" t="s">
        <v>1190</v>
      </c>
      <c r="G1159" s="46" t="s">
        <v>17</v>
      </c>
      <c r="H1159" s="46">
        <v>2</v>
      </c>
      <c r="I1159" s="51">
        <v>4622.28</v>
      </c>
      <c r="J1159" s="281">
        <f>++Tabla4[[#This Row],[Precio Bruto]]*1.16</f>
        <v>5361.8447999999989</v>
      </c>
      <c r="K1159" s="281">
        <f>+Tabla4[[#This Row],[Precio Unitario Neto]]*Tabla4[[#Headers],[20.85%]]</f>
        <v>1117.9446407999997</v>
      </c>
      <c r="L1159" s="282">
        <f>++Tabla4[[#This Row],[Precio Unitario Neto]]-Tabla4[[#This Row],[20.85%]]</f>
        <v>4243.9001591999995</v>
      </c>
      <c r="M1159" s="282" t="e">
        <f>(INDEX(Tabla6[#All],MATCH(Tabla4[[#This Row],[Producto]],Tabla6[[#All],[PRODUCTO]],0),MATCH(Tabla4[[#This Row],[Mes]],Tabla6[#Headers],0)))*(1+Catalogos!$L$2)</f>
        <v>#N/A</v>
      </c>
      <c r="N1159" s="283" t="e">
        <f>+(Tabla4[[#This Row],[Precio Descontado]]-Tabla4[[#This Row],[Precio Base]])*Tabla4[[#This Row],[Cantidad]]</f>
        <v>#N/A</v>
      </c>
      <c r="O1159" s="284" t="e">
        <f>++Tabla4[[#This Row],[Utilidad Total]]/Tabla4[[#This Row],[Total]]</f>
        <v>#N/A</v>
      </c>
      <c r="P1159" s="282">
        <f>++Tabla4[[#This Row],[Precio Descontado]]*Tabla4[[#This Row],[Cantidad]]</f>
        <v>8487.800318399999</v>
      </c>
      <c r="Q1159" s="282" t="e">
        <f>(INDEX(Tabla6[#All],MATCH(Tabla4[[#This Row],[Producto]],Tabla6[[#All],[PRODUCTO]],0),MATCH(Tabla4[[#This Row],[Mes]],Tabla6[#Headers],0)))</f>
        <v>#N/A</v>
      </c>
      <c r="R1159" s="282" t="e">
        <f>++Tabla4[[#This Row],[Precio Unitario Neto]]-Tabla4[[#This Row],[20.85%]]-Tabla4[[#This Row],[Costo]]</f>
        <v>#N/A</v>
      </c>
      <c r="S1159" s="282" t="e">
        <f>++Tabla4[[#This Row],[U. Bruta Uni]]*Tabla4[[#This Row],[Cantidad]]</f>
        <v>#N/A</v>
      </c>
      <c r="T1159" s="369" t="str">
        <f>VLOOKUP(Tabla4[[#This Row],[Producto]],Tabla6[#All],14,FALSE)</f>
        <v>Termico Solar</v>
      </c>
      <c r="U1159" s="284" t="e">
        <f>(IF(Tabla4[[#This Row],[Familia]]="termico solar",Tabla4[[#This Row],[Utilidad Total]]*6%,Tabla4[[#This Row],[Utilidad Total]]*11.5%))/Tabla4[[#This Row],[Total]]</f>
        <v>#N/A</v>
      </c>
      <c r="V1159" s="282" t="e">
        <f>+Tabla4[[#This Row],[Comisión Calculada]]*Tabla4[[#This Row],[Total]]</f>
        <v>#N/A</v>
      </c>
    </row>
    <row r="1160" spans="1:22" hidden="1" x14ac:dyDescent="0.25">
      <c r="A1160" s="100">
        <v>45731</v>
      </c>
      <c r="B1160" t="str">
        <f t="shared" si="48"/>
        <v>March</v>
      </c>
      <c r="C1160" s="46" t="s">
        <v>280</v>
      </c>
      <c r="F1160" s="366" t="s">
        <v>1190</v>
      </c>
      <c r="G1160" s="46" t="s">
        <v>18</v>
      </c>
      <c r="H1160" s="46">
        <v>1</v>
      </c>
      <c r="I1160" s="51">
        <v>5367.65</v>
      </c>
      <c r="J1160" s="281">
        <f>++Tabla4[[#This Row],[Precio Bruto]]*1.16</f>
        <v>6226.4739999999993</v>
      </c>
      <c r="K1160" s="281">
        <f>+Tabla4[[#This Row],[Precio Unitario Neto]]*Tabla4[[#Headers],[20.85%]]</f>
        <v>1298.2198289999999</v>
      </c>
      <c r="L1160" s="282">
        <f>++Tabla4[[#This Row],[Precio Unitario Neto]]-Tabla4[[#This Row],[20.85%]]</f>
        <v>4928.2541709999996</v>
      </c>
      <c r="M1160" s="282" t="e">
        <f>(INDEX(Tabla6[#All],MATCH(Tabla4[[#This Row],[Producto]],Tabla6[[#All],[PRODUCTO]],0),MATCH(Tabla4[[#This Row],[Mes]],Tabla6[#Headers],0)))*(1+Catalogos!$L$2)</f>
        <v>#N/A</v>
      </c>
      <c r="N1160" s="283" t="e">
        <f>+(Tabla4[[#This Row],[Precio Descontado]]-Tabla4[[#This Row],[Precio Base]])*Tabla4[[#This Row],[Cantidad]]</f>
        <v>#N/A</v>
      </c>
      <c r="O1160" s="284" t="e">
        <f>++Tabla4[[#This Row],[Utilidad Total]]/Tabla4[[#This Row],[Total]]</f>
        <v>#N/A</v>
      </c>
      <c r="P1160" s="282">
        <f>++Tabla4[[#This Row],[Precio Descontado]]*Tabla4[[#This Row],[Cantidad]]</f>
        <v>4928.2541709999996</v>
      </c>
      <c r="Q1160" s="282" t="e">
        <f>(INDEX(Tabla6[#All],MATCH(Tabla4[[#This Row],[Producto]],Tabla6[[#All],[PRODUCTO]],0),MATCH(Tabla4[[#This Row],[Mes]],Tabla6[#Headers],0)))</f>
        <v>#N/A</v>
      </c>
      <c r="R1160" s="282" t="e">
        <f>++Tabla4[[#This Row],[Precio Unitario Neto]]-Tabla4[[#This Row],[20.85%]]-Tabla4[[#This Row],[Costo]]</f>
        <v>#N/A</v>
      </c>
      <c r="S1160" s="282" t="e">
        <f>++Tabla4[[#This Row],[U. Bruta Uni]]*Tabla4[[#This Row],[Cantidad]]</f>
        <v>#N/A</v>
      </c>
      <c r="T1160" s="369" t="str">
        <f>VLOOKUP(Tabla4[[#This Row],[Producto]],Tabla6[#All],14,FALSE)</f>
        <v>Termico Solar</v>
      </c>
      <c r="U1160" s="284" t="e">
        <f>(IF(Tabla4[[#This Row],[Familia]]="termico solar",Tabla4[[#This Row],[Utilidad Total]]*6%,Tabla4[[#This Row],[Utilidad Total]]*11.5%))/Tabla4[[#This Row],[Total]]</f>
        <v>#N/A</v>
      </c>
      <c r="V1160" s="282" t="e">
        <f>+Tabla4[[#This Row],[Comisión Calculada]]*Tabla4[[#This Row],[Total]]</f>
        <v>#N/A</v>
      </c>
    </row>
    <row r="1161" spans="1:22" hidden="1" x14ac:dyDescent="0.25">
      <c r="A1161" s="100">
        <v>45731</v>
      </c>
      <c r="B1161" t="str">
        <f t="shared" si="48"/>
        <v>March</v>
      </c>
      <c r="C1161" s="46" t="s">
        <v>280</v>
      </c>
      <c r="F1161" s="366" t="s">
        <v>1191</v>
      </c>
      <c r="G1161" s="46" t="s">
        <v>83</v>
      </c>
      <c r="H1161" s="46">
        <v>4</v>
      </c>
      <c r="I1161" s="51">
        <v>8858.76</v>
      </c>
      <c r="J1161" s="281">
        <f>++Tabla4[[#This Row],[Precio Bruto]]*1.16</f>
        <v>10276.161599999999</v>
      </c>
      <c r="K1161" s="281">
        <f>+Tabla4[[#This Row],[Precio Unitario Neto]]*Tabla4[[#Headers],[20.85%]]</f>
        <v>2142.5796935999997</v>
      </c>
      <c r="L1161" s="282">
        <f>++Tabla4[[#This Row],[Precio Unitario Neto]]-Tabla4[[#This Row],[20.85%]]</f>
        <v>8133.5819063999998</v>
      </c>
      <c r="M1161" s="282" t="e">
        <f>(INDEX(Tabla6[#All],MATCH(Tabla4[[#This Row],[Producto]],Tabla6[[#All],[PRODUCTO]],0),MATCH(Tabla4[[#This Row],[Mes]],Tabla6[#Headers],0)))*(1+Catalogos!$L$2)</f>
        <v>#N/A</v>
      </c>
      <c r="N1161" s="283" t="e">
        <f>+(Tabla4[[#This Row],[Precio Descontado]]-Tabla4[[#This Row],[Precio Base]])*Tabla4[[#This Row],[Cantidad]]</f>
        <v>#N/A</v>
      </c>
      <c r="O1161" s="284" t="e">
        <f>++Tabla4[[#This Row],[Utilidad Total]]/Tabla4[[#This Row],[Total]]</f>
        <v>#N/A</v>
      </c>
      <c r="P1161" s="282">
        <f>++Tabla4[[#This Row],[Precio Descontado]]*Tabla4[[#This Row],[Cantidad]]</f>
        <v>32534.327625599999</v>
      </c>
      <c r="Q1161" s="282" t="e">
        <f>(INDEX(Tabla6[#All],MATCH(Tabla4[[#This Row],[Producto]],Tabla6[[#All],[PRODUCTO]],0),MATCH(Tabla4[[#This Row],[Mes]],Tabla6[#Headers],0)))</f>
        <v>#N/A</v>
      </c>
      <c r="R1161" s="282" t="e">
        <f>++Tabla4[[#This Row],[Precio Unitario Neto]]-Tabla4[[#This Row],[20.85%]]-Tabla4[[#This Row],[Costo]]</f>
        <v>#N/A</v>
      </c>
      <c r="S1161" s="282" t="e">
        <f>++Tabla4[[#This Row],[U. Bruta Uni]]*Tabla4[[#This Row],[Cantidad]]</f>
        <v>#N/A</v>
      </c>
      <c r="T1161" s="369" t="str">
        <f>VLOOKUP(Tabla4[[#This Row],[Producto]],Tabla6[#All],14,FALSE)</f>
        <v>Termico Solar</v>
      </c>
      <c r="U1161" s="284" t="e">
        <f>(IF(Tabla4[[#This Row],[Familia]]="termico solar",Tabla4[[#This Row],[Utilidad Total]]*6%,Tabla4[[#This Row],[Utilidad Total]]*11.5%))/Tabla4[[#This Row],[Total]]</f>
        <v>#N/A</v>
      </c>
      <c r="V1161" s="282" t="e">
        <f>+Tabla4[[#This Row],[Comisión Calculada]]*Tabla4[[#This Row],[Total]]</f>
        <v>#N/A</v>
      </c>
    </row>
    <row r="1162" spans="1:22" hidden="1" x14ac:dyDescent="0.25">
      <c r="A1162" s="100">
        <v>45731</v>
      </c>
      <c r="B1162" t="str">
        <f t="shared" si="48"/>
        <v>March</v>
      </c>
      <c r="C1162" s="46" t="s">
        <v>280</v>
      </c>
      <c r="F1162" s="366" t="s">
        <v>1192</v>
      </c>
      <c r="G1162" s="46" t="s">
        <v>83</v>
      </c>
      <c r="H1162" s="46">
        <v>3</v>
      </c>
      <c r="I1162" s="51">
        <v>8858.76</v>
      </c>
      <c r="J1162" s="281">
        <f>++Tabla4[[#This Row],[Precio Bruto]]*1.16</f>
        <v>10276.161599999999</v>
      </c>
      <c r="K1162" s="281">
        <f>+Tabla4[[#This Row],[Precio Unitario Neto]]*Tabla4[[#Headers],[20.85%]]</f>
        <v>2142.5796935999997</v>
      </c>
      <c r="L1162" s="282">
        <f>++Tabla4[[#This Row],[Precio Unitario Neto]]-Tabla4[[#This Row],[20.85%]]</f>
        <v>8133.5819063999998</v>
      </c>
      <c r="M1162" s="282" t="e">
        <f>(INDEX(Tabla6[#All],MATCH(Tabla4[[#This Row],[Producto]],Tabla6[[#All],[PRODUCTO]],0),MATCH(Tabla4[[#This Row],[Mes]],Tabla6[#Headers],0)))*(1+Catalogos!$L$2)</f>
        <v>#N/A</v>
      </c>
      <c r="N1162" s="283" t="e">
        <f>+(Tabla4[[#This Row],[Precio Descontado]]-Tabla4[[#This Row],[Precio Base]])*Tabla4[[#This Row],[Cantidad]]</f>
        <v>#N/A</v>
      </c>
      <c r="O1162" s="284" t="e">
        <f>++Tabla4[[#This Row],[Utilidad Total]]/Tabla4[[#This Row],[Total]]</f>
        <v>#N/A</v>
      </c>
      <c r="P1162" s="282">
        <f>++Tabla4[[#This Row],[Precio Descontado]]*Tabla4[[#This Row],[Cantidad]]</f>
        <v>24400.7457192</v>
      </c>
      <c r="Q1162" s="282" t="e">
        <f>(INDEX(Tabla6[#All],MATCH(Tabla4[[#This Row],[Producto]],Tabla6[[#All],[PRODUCTO]],0),MATCH(Tabla4[[#This Row],[Mes]],Tabla6[#Headers],0)))</f>
        <v>#N/A</v>
      </c>
      <c r="R1162" s="282" t="e">
        <f>++Tabla4[[#This Row],[Precio Unitario Neto]]-Tabla4[[#This Row],[20.85%]]-Tabla4[[#This Row],[Costo]]</f>
        <v>#N/A</v>
      </c>
      <c r="S1162" s="282" t="e">
        <f>++Tabla4[[#This Row],[U. Bruta Uni]]*Tabla4[[#This Row],[Cantidad]]</f>
        <v>#N/A</v>
      </c>
      <c r="T1162" s="369" t="str">
        <f>VLOOKUP(Tabla4[[#This Row],[Producto]],Tabla6[#All],14,FALSE)</f>
        <v>Termico Solar</v>
      </c>
      <c r="U1162" s="284" t="e">
        <f>(IF(Tabla4[[#This Row],[Familia]]="termico solar",Tabla4[[#This Row],[Utilidad Total]]*6%,Tabla4[[#This Row],[Utilidad Total]]*11.5%))/Tabla4[[#This Row],[Total]]</f>
        <v>#N/A</v>
      </c>
      <c r="V1162" s="282" t="e">
        <f>+Tabla4[[#This Row],[Comisión Calculada]]*Tabla4[[#This Row],[Total]]</f>
        <v>#N/A</v>
      </c>
    </row>
    <row r="1163" spans="1:22" hidden="1" x14ac:dyDescent="0.25">
      <c r="A1163" s="100">
        <v>45731</v>
      </c>
      <c r="B1163" t="str">
        <f t="shared" si="48"/>
        <v>March</v>
      </c>
      <c r="C1163" s="46" t="s">
        <v>280</v>
      </c>
      <c r="F1163" s="366" t="s">
        <v>1192</v>
      </c>
      <c r="G1163" s="46" t="s">
        <v>17</v>
      </c>
      <c r="H1163" s="46">
        <v>1</v>
      </c>
      <c r="I1163" s="51">
        <v>4622.28</v>
      </c>
      <c r="J1163" s="281">
        <f>++Tabla4[[#This Row],[Precio Bruto]]*1.16</f>
        <v>5361.8447999999989</v>
      </c>
      <c r="K1163" s="281">
        <f>+Tabla4[[#This Row],[Precio Unitario Neto]]*Tabla4[[#Headers],[20.85%]]</f>
        <v>1117.9446407999997</v>
      </c>
      <c r="L1163" s="282">
        <f>++Tabla4[[#This Row],[Precio Unitario Neto]]-Tabla4[[#This Row],[20.85%]]</f>
        <v>4243.9001591999995</v>
      </c>
      <c r="M1163" s="282" t="e">
        <f>(INDEX(Tabla6[#All],MATCH(Tabla4[[#This Row],[Producto]],Tabla6[[#All],[PRODUCTO]],0),MATCH(Tabla4[[#This Row],[Mes]],Tabla6[#Headers],0)))*(1+Catalogos!$L$2)</f>
        <v>#N/A</v>
      </c>
      <c r="N1163" s="283" t="e">
        <f>+(Tabla4[[#This Row],[Precio Descontado]]-Tabla4[[#This Row],[Precio Base]])*Tabla4[[#This Row],[Cantidad]]</f>
        <v>#N/A</v>
      </c>
      <c r="O1163" s="284" t="e">
        <f>++Tabla4[[#This Row],[Utilidad Total]]/Tabla4[[#This Row],[Total]]</f>
        <v>#N/A</v>
      </c>
      <c r="P1163" s="282">
        <f>++Tabla4[[#This Row],[Precio Descontado]]*Tabla4[[#This Row],[Cantidad]]</f>
        <v>4243.9001591999995</v>
      </c>
      <c r="Q1163" s="282" t="e">
        <f>(INDEX(Tabla6[#All],MATCH(Tabla4[[#This Row],[Producto]],Tabla6[[#All],[PRODUCTO]],0),MATCH(Tabla4[[#This Row],[Mes]],Tabla6[#Headers],0)))</f>
        <v>#N/A</v>
      </c>
      <c r="R1163" s="282" t="e">
        <f>++Tabla4[[#This Row],[Precio Unitario Neto]]-Tabla4[[#This Row],[20.85%]]-Tabla4[[#This Row],[Costo]]</f>
        <v>#N/A</v>
      </c>
      <c r="S1163" s="282" t="e">
        <f>++Tabla4[[#This Row],[U. Bruta Uni]]*Tabla4[[#This Row],[Cantidad]]</f>
        <v>#N/A</v>
      </c>
      <c r="T1163" s="369" t="str">
        <f>VLOOKUP(Tabla4[[#This Row],[Producto]],Tabla6[#All],14,FALSE)</f>
        <v>Termico Solar</v>
      </c>
      <c r="U1163" s="284" t="e">
        <f>(IF(Tabla4[[#This Row],[Familia]]="termico solar",Tabla4[[#This Row],[Utilidad Total]]*6%,Tabla4[[#This Row],[Utilidad Total]]*11.5%))/Tabla4[[#This Row],[Total]]</f>
        <v>#N/A</v>
      </c>
      <c r="V1163" s="282" t="e">
        <f>+Tabla4[[#This Row],[Comisión Calculada]]*Tabla4[[#This Row],[Total]]</f>
        <v>#N/A</v>
      </c>
    </row>
    <row r="1164" spans="1:22" hidden="1" x14ac:dyDescent="0.25">
      <c r="A1164" s="100">
        <v>45731</v>
      </c>
      <c r="B1164" t="str">
        <f t="shared" si="48"/>
        <v>March</v>
      </c>
      <c r="C1164" s="46" t="s">
        <v>280</v>
      </c>
      <c r="F1164" s="366" t="s">
        <v>1193</v>
      </c>
      <c r="G1164" s="46" t="s">
        <v>17</v>
      </c>
      <c r="H1164" s="46">
        <v>2</v>
      </c>
      <c r="I1164" s="51">
        <v>4622.28</v>
      </c>
      <c r="J1164" s="281">
        <f>++Tabla4[[#This Row],[Precio Bruto]]*1.16</f>
        <v>5361.8447999999989</v>
      </c>
      <c r="K1164" s="281">
        <f>+Tabla4[[#This Row],[Precio Unitario Neto]]*Tabla4[[#Headers],[20.85%]]</f>
        <v>1117.9446407999997</v>
      </c>
      <c r="L1164" s="282">
        <f>++Tabla4[[#This Row],[Precio Unitario Neto]]-Tabla4[[#This Row],[20.85%]]</f>
        <v>4243.9001591999995</v>
      </c>
      <c r="M1164" s="282" t="e">
        <f>(INDEX(Tabla6[#All],MATCH(Tabla4[[#This Row],[Producto]],Tabla6[[#All],[PRODUCTO]],0),MATCH(Tabla4[[#This Row],[Mes]],Tabla6[#Headers],0)))*(1+Catalogos!$L$2)</f>
        <v>#N/A</v>
      </c>
      <c r="N1164" s="283" t="e">
        <f>+(Tabla4[[#This Row],[Precio Descontado]]-Tabla4[[#This Row],[Precio Base]])*Tabla4[[#This Row],[Cantidad]]</f>
        <v>#N/A</v>
      </c>
      <c r="O1164" s="284" t="e">
        <f>++Tabla4[[#This Row],[Utilidad Total]]/Tabla4[[#This Row],[Total]]</f>
        <v>#N/A</v>
      </c>
      <c r="P1164" s="282">
        <f>++Tabla4[[#This Row],[Precio Descontado]]*Tabla4[[#This Row],[Cantidad]]</f>
        <v>8487.800318399999</v>
      </c>
      <c r="Q1164" s="282" t="e">
        <f>(INDEX(Tabla6[#All],MATCH(Tabla4[[#This Row],[Producto]],Tabla6[[#All],[PRODUCTO]],0),MATCH(Tabla4[[#This Row],[Mes]],Tabla6[#Headers],0)))</f>
        <v>#N/A</v>
      </c>
      <c r="R1164" s="282" t="e">
        <f>++Tabla4[[#This Row],[Precio Unitario Neto]]-Tabla4[[#This Row],[20.85%]]-Tabla4[[#This Row],[Costo]]</f>
        <v>#N/A</v>
      </c>
      <c r="S1164" s="282" t="e">
        <f>++Tabla4[[#This Row],[U. Bruta Uni]]*Tabla4[[#This Row],[Cantidad]]</f>
        <v>#N/A</v>
      </c>
      <c r="T1164" s="369" t="str">
        <f>VLOOKUP(Tabla4[[#This Row],[Producto]],Tabla6[#All],14,FALSE)</f>
        <v>Termico Solar</v>
      </c>
      <c r="U1164" s="284" t="e">
        <f>(IF(Tabla4[[#This Row],[Familia]]="termico solar",Tabla4[[#This Row],[Utilidad Total]]*6%,Tabla4[[#This Row],[Utilidad Total]]*11.5%))/Tabla4[[#This Row],[Total]]</f>
        <v>#N/A</v>
      </c>
      <c r="V1164" s="282" t="e">
        <f>+Tabla4[[#This Row],[Comisión Calculada]]*Tabla4[[#This Row],[Total]]</f>
        <v>#N/A</v>
      </c>
    </row>
    <row r="1165" spans="1:22" hidden="1" x14ac:dyDescent="0.25">
      <c r="A1165" s="100">
        <v>45731</v>
      </c>
      <c r="B1165" t="str">
        <f t="shared" si="48"/>
        <v>March</v>
      </c>
      <c r="C1165" s="46" t="s">
        <v>280</v>
      </c>
      <c r="F1165" s="366" t="s">
        <v>1193</v>
      </c>
      <c r="G1165" s="46" t="s">
        <v>18</v>
      </c>
      <c r="H1165" s="46">
        <v>1</v>
      </c>
      <c r="I1165" s="51">
        <v>5367.65</v>
      </c>
      <c r="J1165" s="281">
        <f>++Tabla4[[#This Row],[Precio Bruto]]*1.16</f>
        <v>6226.4739999999993</v>
      </c>
      <c r="K1165" s="281">
        <f>+Tabla4[[#This Row],[Precio Unitario Neto]]*Tabla4[[#Headers],[20.85%]]</f>
        <v>1298.2198289999999</v>
      </c>
      <c r="L1165" s="282">
        <f>++Tabla4[[#This Row],[Precio Unitario Neto]]-Tabla4[[#This Row],[20.85%]]</f>
        <v>4928.2541709999996</v>
      </c>
      <c r="M1165" s="282" t="e">
        <f>(INDEX(Tabla6[#All],MATCH(Tabla4[[#This Row],[Producto]],Tabla6[[#All],[PRODUCTO]],0),MATCH(Tabla4[[#This Row],[Mes]],Tabla6[#Headers],0)))*(1+Catalogos!$L$2)</f>
        <v>#N/A</v>
      </c>
      <c r="N1165" s="283" t="e">
        <f>+(Tabla4[[#This Row],[Precio Descontado]]-Tabla4[[#This Row],[Precio Base]])*Tabla4[[#This Row],[Cantidad]]</f>
        <v>#N/A</v>
      </c>
      <c r="O1165" s="284" t="e">
        <f>++Tabla4[[#This Row],[Utilidad Total]]/Tabla4[[#This Row],[Total]]</f>
        <v>#N/A</v>
      </c>
      <c r="P1165" s="282">
        <f>++Tabla4[[#This Row],[Precio Descontado]]*Tabla4[[#This Row],[Cantidad]]</f>
        <v>4928.2541709999996</v>
      </c>
      <c r="Q1165" s="282" t="e">
        <f>(INDEX(Tabla6[#All],MATCH(Tabla4[[#This Row],[Producto]],Tabla6[[#All],[PRODUCTO]],0),MATCH(Tabla4[[#This Row],[Mes]],Tabla6[#Headers],0)))</f>
        <v>#N/A</v>
      </c>
      <c r="R1165" s="282" t="e">
        <f>++Tabla4[[#This Row],[Precio Unitario Neto]]-Tabla4[[#This Row],[20.85%]]-Tabla4[[#This Row],[Costo]]</f>
        <v>#N/A</v>
      </c>
      <c r="S1165" s="282" t="e">
        <f>++Tabla4[[#This Row],[U. Bruta Uni]]*Tabla4[[#This Row],[Cantidad]]</f>
        <v>#N/A</v>
      </c>
      <c r="T1165" s="369" t="str">
        <f>VLOOKUP(Tabla4[[#This Row],[Producto]],Tabla6[#All],14,FALSE)</f>
        <v>Termico Solar</v>
      </c>
      <c r="U1165" s="284" t="e">
        <f>(IF(Tabla4[[#This Row],[Familia]]="termico solar",Tabla4[[#This Row],[Utilidad Total]]*6%,Tabla4[[#This Row],[Utilidad Total]]*11.5%))/Tabla4[[#This Row],[Total]]</f>
        <v>#N/A</v>
      </c>
      <c r="V1165" s="282" t="e">
        <f>+Tabla4[[#This Row],[Comisión Calculada]]*Tabla4[[#This Row],[Total]]</f>
        <v>#N/A</v>
      </c>
    </row>
    <row r="1166" spans="1:22" hidden="1" x14ac:dyDescent="0.25">
      <c r="A1166" s="100">
        <v>45731</v>
      </c>
      <c r="B1166" t="str">
        <f t="shared" si="48"/>
        <v>March</v>
      </c>
      <c r="C1166" s="46" t="s">
        <v>280</v>
      </c>
      <c r="F1166" s="366" t="s">
        <v>1194</v>
      </c>
      <c r="G1166" s="46" t="s">
        <v>17</v>
      </c>
      <c r="H1166" s="46">
        <v>4</v>
      </c>
      <c r="I1166" s="51">
        <v>4622.28</v>
      </c>
      <c r="J1166" s="281">
        <f>++Tabla4[[#This Row],[Precio Bruto]]*1.16</f>
        <v>5361.8447999999989</v>
      </c>
      <c r="K1166" s="281">
        <f>+Tabla4[[#This Row],[Precio Unitario Neto]]*Tabla4[[#Headers],[20.85%]]</f>
        <v>1117.9446407999997</v>
      </c>
      <c r="L1166" s="282">
        <f>++Tabla4[[#This Row],[Precio Unitario Neto]]-Tabla4[[#This Row],[20.85%]]</f>
        <v>4243.9001591999995</v>
      </c>
      <c r="M1166" s="282" t="e">
        <f>(INDEX(Tabla6[#All],MATCH(Tabla4[[#This Row],[Producto]],Tabla6[[#All],[PRODUCTO]],0),MATCH(Tabla4[[#This Row],[Mes]],Tabla6[#Headers],0)))*(1+Catalogos!$L$2)</f>
        <v>#N/A</v>
      </c>
      <c r="N1166" s="283" t="e">
        <f>+(Tabla4[[#This Row],[Precio Descontado]]-Tabla4[[#This Row],[Precio Base]])*Tabla4[[#This Row],[Cantidad]]</f>
        <v>#N/A</v>
      </c>
      <c r="O1166" s="284" t="e">
        <f>++Tabla4[[#This Row],[Utilidad Total]]/Tabla4[[#This Row],[Total]]</f>
        <v>#N/A</v>
      </c>
      <c r="P1166" s="282">
        <f>++Tabla4[[#This Row],[Precio Descontado]]*Tabla4[[#This Row],[Cantidad]]</f>
        <v>16975.600636799998</v>
      </c>
      <c r="Q1166" s="282" t="e">
        <f>(INDEX(Tabla6[#All],MATCH(Tabla4[[#This Row],[Producto]],Tabla6[[#All],[PRODUCTO]],0),MATCH(Tabla4[[#This Row],[Mes]],Tabla6[#Headers],0)))</f>
        <v>#N/A</v>
      </c>
      <c r="R1166" s="282" t="e">
        <f>++Tabla4[[#This Row],[Precio Unitario Neto]]-Tabla4[[#This Row],[20.85%]]-Tabla4[[#This Row],[Costo]]</f>
        <v>#N/A</v>
      </c>
      <c r="S1166" s="282" t="e">
        <f>++Tabla4[[#This Row],[U. Bruta Uni]]*Tabla4[[#This Row],[Cantidad]]</f>
        <v>#N/A</v>
      </c>
      <c r="T1166" s="369" t="str">
        <f>VLOOKUP(Tabla4[[#This Row],[Producto]],Tabla6[#All],14,FALSE)</f>
        <v>Termico Solar</v>
      </c>
      <c r="U1166" s="284" t="e">
        <f>(IF(Tabla4[[#This Row],[Familia]]="termico solar",Tabla4[[#This Row],[Utilidad Total]]*6%,Tabla4[[#This Row],[Utilidad Total]]*11.5%))/Tabla4[[#This Row],[Total]]</f>
        <v>#N/A</v>
      </c>
      <c r="V1166" s="282" t="e">
        <f>+Tabla4[[#This Row],[Comisión Calculada]]*Tabla4[[#This Row],[Total]]</f>
        <v>#N/A</v>
      </c>
    </row>
    <row r="1167" spans="1:22" hidden="1" x14ac:dyDescent="0.25">
      <c r="A1167" s="100">
        <v>45731</v>
      </c>
      <c r="B1167" t="str">
        <f t="shared" si="48"/>
        <v>March</v>
      </c>
      <c r="C1167" s="46" t="s">
        <v>280</v>
      </c>
      <c r="F1167" s="366" t="s">
        <v>1194</v>
      </c>
      <c r="G1167" s="46" t="s">
        <v>18</v>
      </c>
      <c r="H1167" s="46">
        <v>3</v>
      </c>
      <c r="I1167" s="51">
        <v>5367.6500000000005</v>
      </c>
      <c r="J1167" s="281">
        <f>++Tabla4[[#This Row],[Precio Bruto]]*1.16</f>
        <v>6226.4740000000002</v>
      </c>
      <c r="K1167" s="281">
        <f>+Tabla4[[#This Row],[Precio Unitario Neto]]*Tabla4[[#Headers],[20.85%]]</f>
        <v>1298.2198289999999</v>
      </c>
      <c r="L1167" s="282">
        <f>++Tabla4[[#This Row],[Precio Unitario Neto]]-Tabla4[[#This Row],[20.85%]]</f>
        <v>4928.2541710000005</v>
      </c>
      <c r="M1167" s="282" t="e">
        <f>(INDEX(Tabla6[#All],MATCH(Tabla4[[#This Row],[Producto]],Tabla6[[#All],[PRODUCTO]],0),MATCH(Tabla4[[#This Row],[Mes]],Tabla6[#Headers],0)))*(1+Catalogos!$L$2)</f>
        <v>#N/A</v>
      </c>
      <c r="N1167" s="283" t="e">
        <f>+(Tabla4[[#This Row],[Precio Descontado]]-Tabla4[[#This Row],[Precio Base]])*Tabla4[[#This Row],[Cantidad]]</f>
        <v>#N/A</v>
      </c>
      <c r="O1167" s="284" t="e">
        <f>++Tabla4[[#This Row],[Utilidad Total]]/Tabla4[[#This Row],[Total]]</f>
        <v>#N/A</v>
      </c>
      <c r="P1167" s="282">
        <f>++Tabla4[[#This Row],[Precio Descontado]]*Tabla4[[#This Row],[Cantidad]]</f>
        <v>14784.762513000001</v>
      </c>
      <c r="Q1167" s="282" t="e">
        <f>(INDEX(Tabla6[#All],MATCH(Tabla4[[#This Row],[Producto]],Tabla6[[#All],[PRODUCTO]],0),MATCH(Tabla4[[#This Row],[Mes]],Tabla6[#Headers],0)))</f>
        <v>#N/A</v>
      </c>
      <c r="R1167" s="282" t="e">
        <f>++Tabla4[[#This Row],[Precio Unitario Neto]]-Tabla4[[#This Row],[20.85%]]-Tabla4[[#This Row],[Costo]]</f>
        <v>#N/A</v>
      </c>
      <c r="S1167" s="282" t="e">
        <f>++Tabla4[[#This Row],[U. Bruta Uni]]*Tabla4[[#This Row],[Cantidad]]</f>
        <v>#N/A</v>
      </c>
      <c r="T1167" s="369" t="str">
        <f>VLOOKUP(Tabla4[[#This Row],[Producto]],Tabla6[#All],14,FALSE)</f>
        <v>Termico Solar</v>
      </c>
      <c r="U1167" s="284" t="e">
        <f>(IF(Tabla4[[#This Row],[Familia]]="termico solar",Tabla4[[#This Row],[Utilidad Total]]*6%,Tabla4[[#This Row],[Utilidad Total]]*11.5%))/Tabla4[[#This Row],[Total]]</f>
        <v>#N/A</v>
      </c>
      <c r="V1167" s="282" t="e">
        <f>+Tabla4[[#This Row],[Comisión Calculada]]*Tabla4[[#This Row],[Total]]</f>
        <v>#N/A</v>
      </c>
    </row>
    <row r="1168" spans="1:22" hidden="1" x14ac:dyDescent="0.25">
      <c r="A1168" s="100">
        <v>45731</v>
      </c>
      <c r="B1168" t="str">
        <f t="shared" si="48"/>
        <v>March</v>
      </c>
      <c r="C1168" s="46" t="s">
        <v>280</v>
      </c>
      <c r="F1168" s="366" t="s">
        <v>1194</v>
      </c>
      <c r="G1168" s="46" t="s">
        <v>566</v>
      </c>
      <c r="H1168" s="46">
        <v>1</v>
      </c>
      <c r="I1168" s="51">
        <v>2109.4499999999998</v>
      </c>
      <c r="J1168" s="281">
        <f>++Tabla4[[#This Row],[Precio Bruto]]*1.16</f>
        <v>2446.9619999999995</v>
      </c>
      <c r="K1168" s="281">
        <f>+Tabla4[[#This Row],[Precio Unitario Neto]]*Tabla4[[#Headers],[20.85%]]</f>
        <v>510.19157699999988</v>
      </c>
      <c r="L1168" s="282">
        <f>++Tabla4[[#This Row],[Precio Unitario Neto]]-Tabla4[[#This Row],[20.85%]]</f>
        <v>1936.7704229999997</v>
      </c>
      <c r="M1168" s="282" t="e">
        <f>(INDEX(Tabla6[#All],MATCH(Tabla4[[#This Row],[Producto]],Tabla6[[#All],[PRODUCTO]],0),MATCH(Tabla4[[#This Row],[Mes]],Tabla6[#Headers],0)))*(1+Catalogos!$L$2)</f>
        <v>#N/A</v>
      </c>
      <c r="N1168" s="283" t="e">
        <f>+(Tabla4[[#This Row],[Precio Descontado]]-Tabla4[[#This Row],[Precio Base]])*Tabla4[[#This Row],[Cantidad]]</f>
        <v>#N/A</v>
      </c>
      <c r="O1168" s="284" t="e">
        <f>++Tabla4[[#This Row],[Utilidad Total]]/Tabla4[[#This Row],[Total]]</f>
        <v>#N/A</v>
      </c>
      <c r="P1168" s="282">
        <f>++Tabla4[[#This Row],[Precio Descontado]]*Tabla4[[#This Row],[Cantidad]]</f>
        <v>1936.7704229999997</v>
      </c>
      <c r="Q1168" s="282" t="e">
        <f>(INDEX(Tabla6[#All],MATCH(Tabla4[[#This Row],[Producto]],Tabla6[[#All],[PRODUCTO]],0),MATCH(Tabla4[[#This Row],[Mes]],Tabla6[#Headers],0)))</f>
        <v>#N/A</v>
      </c>
      <c r="R1168" s="282" t="e">
        <f>++Tabla4[[#This Row],[Precio Unitario Neto]]-Tabla4[[#This Row],[20.85%]]-Tabla4[[#This Row],[Costo]]</f>
        <v>#N/A</v>
      </c>
      <c r="S1168" s="282" t="e">
        <f>++Tabla4[[#This Row],[U. Bruta Uni]]*Tabla4[[#This Row],[Cantidad]]</f>
        <v>#N/A</v>
      </c>
      <c r="T1168" s="369" t="str">
        <f>VLOOKUP(Tabla4[[#This Row],[Producto]],Tabla6[#All],14,FALSE)</f>
        <v>Termico Solar</v>
      </c>
      <c r="U1168" s="284" t="e">
        <f>(IF(Tabla4[[#This Row],[Familia]]="termico solar",Tabla4[[#This Row],[Utilidad Total]]*6%,Tabla4[[#This Row],[Utilidad Total]]*11.5%))/Tabla4[[#This Row],[Total]]</f>
        <v>#N/A</v>
      </c>
      <c r="V1168" s="282" t="e">
        <f>+Tabla4[[#This Row],[Comisión Calculada]]*Tabla4[[#This Row],[Total]]</f>
        <v>#N/A</v>
      </c>
    </row>
    <row r="1169" spans="1:22" hidden="1" x14ac:dyDescent="0.25">
      <c r="A1169" s="100">
        <v>45731</v>
      </c>
      <c r="B1169" t="str">
        <f t="shared" si="48"/>
        <v>March</v>
      </c>
      <c r="C1169" s="46" t="s">
        <v>280</v>
      </c>
      <c r="F1169" s="366" t="s">
        <v>1195</v>
      </c>
      <c r="G1169" s="46" t="s">
        <v>83</v>
      </c>
      <c r="H1169" s="46">
        <v>3</v>
      </c>
      <c r="I1169" s="51">
        <v>8858.76</v>
      </c>
      <c r="J1169" s="281">
        <f>++Tabla4[[#This Row],[Precio Bruto]]*1.16</f>
        <v>10276.161599999999</v>
      </c>
      <c r="K1169" s="281">
        <f>+Tabla4[[#This Row],[Precio Unitario Neto]]*Tabla4[[#Headers],[20.85%]]</f>
        <v>2142.5796935999997</v>
      </c>
      <c r="L1169" s="282">
        <f>++Tabla4[[#This Row],[Precio Unitario Neto]]-Tabla4[[#This Row],[20.85%]]</f>
        <v>8133.5819063999998</v>
      </c>
      <c r="M1169" s="282" t="e">
        <f>(INDEX(Tabla6[#All],MATCH(Tabla4[[#This Row],[Producto]],Tabla6[[#All],[PRODUCTO]],0),MATCH(Tabla4[[#This Row],[Mes]],Tabla6[#Headers],0)))*(1+Catalogos!$L$2)</f>
        <v>#N/A</v>
      </c>
      <c r="N1169" s="283" t="e">
        <f>+(Tabla4[[#This Row],[Precio Descontado]]-Tabla4[[#This Row],[Precio Base]])*Tabla4[[#This Row],[Cantidad]]</f>
        <v>#N/A</v>
      </c>
      <c r="O1169" s="284" t="e">
        <f>++Tabla4[[#This Row],[Utilidad Total]]/Tabla4[[#This Row],[Total]]</f>
        <v>#N/A</v>
      </c>
      <c r="P1169" s="282">
        <f>++Tabla4[[#This Row],[Precio Descontado]]*Tabla4[[#This Row],[Cantidad]]</f>
        <v>24400.7457192</v>
      </c>
      <c r="Q1169" s="282" t="e">
        <f>(INDEX(Tabla6[#All],MATCH(Tabla4[[#This Row],[Producto]],Tabla6[[#All],[PRODUCTO]],0),MATCH(Tabla4[[#This Row],[Mes]],Tabla6[#Headers],0)))</f>
        <v>#N/A</v>
      </c>
      <c r="R1169" s="282" t="e">
        <f>++Tabla4[[#This Row],[Precio Unitario Neto]]-Tabla4[[#This Row],[20.85%]]-Tabla4[[#This Row],[Costo]]</f>
        <v>#N/A</v>
      </c>
      <c r="S1169" s="282" t="e">
        <f>++Tabla4[[#This Row],[U. Bruta Uni]]*Tabla4[[#This Row],[Cantidad]]</f>
        <v>#N/A</v>
      </c>
      <c r="T1169" s="369" t="str">
        <f>VLOOKUP(Tabla4[[#This Row],[Producto]],Tabla6[#All],14,FALSE)</f>
        <v>Termico Solar</v>
      </c>
      <c r="U1169" s="284" t="e">
        <f>(IF(Tabla4[[#This Row],[Familia]]="termico solar",Tabla4[[#This Row],[Utilidad Total]]*6%,Tabla4[[#This Row],[Utilidad Total]]*11.5%))/Tabla4[[#This Row],[Total]]</f>
        <v>#N/A</v>
      </c>
      <c r="V1169" s="282" t="e">
        <f>+Tabla4[[#This Row],[Comisión Calculada]]*Tabla4[[#This Row],[Total]]</f>
        <v>#N/A</v>
      </c>
    </row>
    <row r="1170" spans="1:22" hidden="1" x14ac:dyDescent="0.25">
      <c r="A1170" s="100">
        <v>45731</v>
      </c>
      <c r="B1170" t="str">
        <f t="shared" si="48"/>
        <v>March</v>
      </c>
      <c r="C1170" s="46" t="s">
        <v>280</v>
      </c>
      <c r="F1170" s="366" t="s">
        <v>1195</v>
      </c>
      <c r="G1170" s="46" t="s">
        <v>17</v>
      </c>
      <c r="H1170" s="46">
        <v>1</v>
      </c>
      <c r="I1170" s="51">
        <v>4622.28</v>
      </c>
      <c r="J1170" s="281">
        <f>++Tabla4[[#This Row],[Precio Bruto]]*1.16</f>
        <v>5361.8447999999989</v>
      </c>
      <c r="K1170" s="281">
        <f>+Tabla4[[#This Row],[Precio Unitario Neto]]*Tabla4[[#Headers],[20.85%]]</f>
        <v>1117.9446407999997</v>
      </c>
      <c r="L1170" s="282">
        <f>++Tabla4[[#This Row],[Precio Unitario Neto]]-Tabla4[[#This Row],[20.85%]]</f>
        <v>4243.9001591999995</v>
      </c>
      <c r="M1170" s="282" t="e">
        <f>(INDEX(Tabla6[#All],MATCH(Tabla4[[#This Row],[Producto]],Tabla6[[#All],[PRODUCTO]],0),MATCH(Tabla4[[#This Row],[Mes]],Tabla6[#Headers],0)))*(1+Catalogos!$L$2)</f>
        <v>#N/A</v>
      </c>
      <c r="N1170" s="283" t="e">
        <f>+(Tabla4[[#This Row],[Precio Descontado]]-Tabla4[[#This Row],[Precio Base]])*Tabla4[[#This Row],[Cantidad]]</f>
        <v>#N/A</v>
      </c>
      <c r="O1170" s="284" t="e">
        <f>++Tabla4[[#This Row],[Utilidad Total]]/Tabla4[[#This Row],[Total]]</f>
        <v>#N/A</v>
      </c>
      <c r="P1170" s="282">
        <f>++Tabla4[[#This Row],[Precio Descontado]]*Tabla4[[#This Row],[Cantidad]]</f>
        <v>4243.9001591999995</v>
      </c>
      <c r="Q1170" s="282" t="e">
        <f>(INDEX(Tabla6[#All],MATCH(Tabla4[[#This Row],[Producto]],Tabla6[[#All],[PRODUCTO]],0),MATCH(Tabla4[[#This Row],[Mes]],Tabla6[#Headers],0)))</f>
        <v>#N/A</v>
      </c>
      <c r="R1170" s="282" t="e">
        <f>++Tabla4[[#This Row],[Precio Unitario Neto]]-Tabla4[[#This Row],[20.85%]]-Tabla4[[#This Row],[Costo]]</f>
        <v>#N/A</v>
      </c>
      <c r="S1170" s="282" t="e">
        <f>++Tabla4[[#This Row],[U. Bruta Uni]]*Tabla4[[#This Row],[Cantidad]]</f>
        <v>#N/A</v>
      </c>
      <c r="T1170" s="369" t="str">
        <f>VLOOKUP(Tabla4[[#This Row],[Producto]],Tabla6[#All],14,FALSE)</f>
        <v>Termico Solar</v>
      </c>
      <c r="U1170" s="284" t="e">
        <f>(IF(Tabla4[[#This Row],[Familia]]="termico solar",Tabla4[[#This Row],[Utilidad Total]]*6%,Tabla4[[#This Row],[Utilidad Total]]*11.5%))/Tabla4[[#This Row],[Total]]</f>
        <v>#N/A</v>
      </c>
      <c r="V1170" s="282" t="e">
        <f>+Tabla4[[#This Row],[Comisión Calculada]]*Tabla4[[#This Row],[Total]]</f>
        <v>#N/A</v>
      </c>
    </row>
    <row r="1171" spans="1:22" hidden="1" x14ac:dyDescent="0.25">
      <c r="A1171" s="100">
        <v>45731</v>
      </c>
      <c r="B1171" t="str">
        <f t="shared" si="48"/>
        <v>March</v>
      </c>
      <c r="C1171" s="46" t="s">
        <v>280</v>
      </c>
      <c r="F1171" s="366" t="s">
        <v>1196</v>
      </c>
      <c r="G1171" s="46" t="s">
        <v>83</v>
      </c>
      <c r="H1171" s="46">
        <v>1</v>
      </c>
      <c r="I1171" s="51">
        <v>8858.76</v>
      </c>
      <c r="J1171" s="281">
        <f>++Tabla4[[#This Row],[Precio Bruto]]*1.16</f>
        <v>10276.161599999999</v>
      </c>
      <c r="K1171" s="281">
        <f>+Tabla4[[#This Row],[Precio Unitario Neto]]*Tabla4[[#Headers],[20.85%]]</f>
        <v>2142.5796935999997</v>
      </c>
      <c r="L1171" s="282">
        <f>++Tabla4[[#This Row],[Precio Unitario Neto]]-Tabla4[[#This Row],[20.85%]]</f>
        <v>8133.5819063999998</v>
      </c>
      <c r="M1171" s="282" t="e">
        <f>(INDEX(Tabla6[#All],MATCH(Tabla4[[#This Row],[Producto]],Tabla6[[#All],[PRODUCTO]],0),MATCH(Tabla4[[#This Row],[Mes]],Tabla6[#Headers],0)))*(1+Catalogos!$L$2)</f>
        <v>#N/A</v>
      </c>
      <c r="N1171" s="283" t="e">
        <f>+(Tabla4[[#This Row],[Precio Descontado]]-Tabla4[[#This Row],[Precio Base]])*Tabla4[[#This Row],[Cantidad]]</f>
        <v>#N/A</v>
      </c>
      <c r="O1171" s="284" t="e">
        <f>++Tabla4[[#This Row],[Utilidad Total]]/Tabla4[[#This Row],[Total]]</f>
        <v>#N/A</v>
      </c>
      <c r="P1171" s="282">
        <f>++Tabla4[[#This Row],[Precio Descontado]]*Tabla4[[#This Row],[Cantidad]]</f>
        <v>8133.5819063999998</v>
      </c>
      <c r="Q1171" s="282" t="e">
        <f>(INDEX(Tabla6[#All],MATCH(Tabla4[[#This Row],[Producto]],Tabla6[[#All],[PRODUCTO]],0),MATCH(Tabla4[[#This Row],[Mes]],Tabla6[#Headers],0)))</f>
        <v>#N/A</v>
      </c>
      <c r="R1171" s="282" t="e">
        <f>++Tabla4[[#This Row],[Precio Unitario Neto]]-Tabla4[[#This Row],[20.85%]]-Tabla4[[#This Row],[Costo]]</f>
        <v>#N/A</v>
      </c>
      <c r="S1171" s="282" t="e">
        <f>++Tabla4[[#This Row],[U. Bruta Uni]]*Tabla4[[#This Row],[Cantidad]]</f>
        <v>#N/A</v>
      </c>
      <c r="T1171" s="369" t="str">
        <f>VLOOKUP(Tabla4[[#This Row],[Producto]],Tabla6[#All],14,FALSE)</f>
        <v>Termico Solar</v>
      </c>
      <c r="U1171" s="284" t="e">
        <f>(IF(Tabla4[[#This Row],[Familia]]="termico solar",Tabla4[[#This Row],[Utilidad Total]]*6%,Tabla4[[#This Row],[Utilidad Total]]*11.5%))/Tabla4[[#This Row],[Total]]</f>
        <v>#N/A</v>
      </c>
      <c r="V1171" s="282" t="e">
        <f>+Tabla4[[#This Row],[Comisión Calculada]]*Tabla4[[#This Row],[Total]]</f>
        <v>#N/A</v>
      </c>
    </row>
    <row r="1172" spans="1:22" hidden="1" x14ac:dyDescent="0.25">
      <c r="A1172" s="100">
        <v>45731</v>
      </c>
      <c r="B1172" t="str">
        <f t="shared" si="48"/>
        <v>March</v>
      </c>
      <c r="C1172" s="46" t="s">
        <v>280</v>
      </c>
      <c r="F1172" s="366" t="s">
        <v>1196</v>
      </c>
      <c r="G1172" s="46" t="s">
        <v>17</v>
      </c>
      <c r="H1172" s="46">
        <v>2</v>
      </c>
      <c r="I1172" s="51">
        <v>4622.28</v>
      </c>
      <c r="J1172" s="281">
        <f>++Tabla4[[#This Row],[Precio Bruto]]*1.16</f>
        <v>5361.8447999999989</v>
      </c>
      <c r="K1172" s="281">
        <f>+Tabla4[[#This Row],[Precio Unitario Neto]]*Tabla4[[#Headers],[20.85%]]</f>
        <v>1117.9446407999997</v>
      </c>
      <c r="L1172" s="282">
        <f>++Tabla4[[#This Row],[Precio Unitario Neto]]-Tabla4[[#This Row],[20.85%]]</f>
        <v>4243.9001591999995</v>
      </c>
      <c r="M1172" s="282" t="e">
        <f>(INDEX(Tabla6[#All],MATCH(Tabla4[[#This Row],[Producto]],Tabla6[[#All],[PRODUCTO]],0),MATCH(Tabla4[[#This Row],[Mes]],Tabla6[#Headers],0)))*(1+Catalogos!$L$2)</f>
        <v>#N/A</v>
      </c>
      <c r="N1172" s="283" t="e">
        <f>+(Tabla4[[#This Row],[Precio Descontado]]-Tabla4[[#This Row],[Precio Base]])*Tabla4[[#This Row],[Cantidad]]</f>
        <v>#N/A</v>
      </c>
      <c r="O1172" s="284" t="e">
        <f>++Tabla4[[#This Row],[Utilidad Total]]/Tabla4[[#This Row],[Total]]</f>
        <v>#N/A</v>
      </c>
      <c r="P1172" s="282">
        <f>++Tabla4[[#This Row],[Precio Descontado]]*Tabla4[[#This Row],[Cantidad]]</f>
        <v>8487.800318399999</v>
      </c>
      <c r="Q1172" s="282" t="e">
        <f>(INDEX(Tabla6[#All],MATCH(Tabla4[[#This Row],[Producto]],Tabla6[[#All],[PRODUCTO]],0),MATCH(Tabla4[[#This Row],[Mes]],Tabla6[#Headers],0)))</f>
        <v>#N/A</v>
      </c>
      <c r="R1172" s="282" t="e">
        <f>++Tabla4[[#This Row],[Precio Unitario Neto]]-Tabla4[[#This Row],[20.85%]]-Tabla4[[#This Row],[Costo]]</f>
        <v>#N/A</v>
      </c>
      <c r="S1172" s="282" t="e">
        <f>++Tabla4[[#This Row],[U. Bruta Uni]]*Tabla4[[#This Row],[Cantidad]]</f>
        <v>#N/A</v>
      </c>
      <c r="T1172" s="369" t="str">
        <f>VLOOKUP(Tabla4[[#This Row],[Producto]],Tabla6[#All],14,FALSE)</f>
        <v>Termico Solar</v>
      </c>
      <c r="U1172" s="284" t="e">
        <f>(IF(Tabla4[[#This Row],[Familia]]="termico solar",Tabla4[[#This Row],[Utilidad Total]]*6%,Tabla4[[#This Row],[Utilidad Total]]*11.5%))/Tabla4[[#This Row],[Total]]</f>
        <v>#N/A</v>
      </c>
      <c r="V1172" s="282" t="e">
        <f>+Tabla4[[#This Row],[Comisión Calculada]]*Tabla4[[#This Row],[Total]]</f>
        <v>#N/A</v>
      </c>
    </row>
    <row r="1173" spans="1:22" hidden="1" x14ac:dyDescent="0.25">
      <c r="A1173" s="100">
        <v>45731</v>
      </c>
      <c r="B1173" t="str">
        <f t="shared" si="48"/>
        <v>March</v>
      </c>
      <c r="C1173" s="46" t="s">
        <v>280</v>
      </c>
      <c r="F1173" s="366" t="s">
        <v>1196</v>
      </c>
      <c r="G1173" s="46" t="s">
        <v>18</v>
      </c>
      <c r="H1173" s="46">
        <v>2</v>
      </c>
      <c r="I1173" s="51">
        <v>5367.65</v>
      </c>
      <c r="J1173" s="281">
        <f>++Tabla4[[#This Row],[Precio Bruto]]*1.16</f>
        <v>6226.4739999999993</v>
      </c>
      <c r="K1173" s="281">
        <f>+Tabla4[[#This Row],[Precio Unitario Neto]]*Tabla4[[#Headers],[20.85%]]</f>
        <v>1298.2198289999999</v>
      </c>
      <c r="L1173" s="282">
        <f>++Tabla4[[#This Row],[Precio Unitario Neto]]-Tabla4[[#This Row],[20.85%]]</f>
        <v>4928.2541709999996</v>
      </c>
      <c r="M1173" s="282" t="e">
        <f>(INDEX(Tabla6[#All],MATCH(Tabla4[[#This Row],[Producto]],Tabla6[[#All],[PRODUCTO]],0),MATCH(Tabla4[[#This Row],[Mes]],Tabla6[#Headers],0)))*(1+Catalogos!$L$2)</f>
        <v>#N/A</v>
      </c>
      <c r="N1173" s="283" t="e">
        <f>+(Tabla4[[#This Row],[Precio Descontado]]-Tabla4[[#This Row],[Precio Base]])*Tabla4[[#This Row],[Cantidad]]</f>
        <v>#N/A</v>
      </c>
      <c r="O1173" s="284" t="e">
        <f>++Tabla4[[#This Row],[Utilidad Total]]/Tabla4[[#This Row],[Total]]</f>
        <v>#N/A</v>
      </c>
      <c r="P1173" s="282">
        <f>++Tabla4[[#This Row],[Precio Descontado]]*Tabla4[[#This Row],[Cantidad]]</f>
        <v>9856.5083419999992</v>
      </c>
      <c r="Q1173" s="282" t="e">
        <f>(INDEX(Tabla6[#All],MATCH(Tabla4[[#This Row],[Producto]],Tabla6[[#All],[PRODUCTO]],0),MATCH(Tabla4[[#This Row],[Mes]],Tabla6[#Headers],0)))</f>
        <v>#N/A</v>
      </c>
      <c r="R1173" s="282" t="e">
        <f>++Tabla4[[#This Row],[Precio Unitario Neto]]-Tabla4[[#This Row],[20.85%]]-Tabla4[[#This Row],[Costo]]</f>
        <v>#N/A</v>
      </c>
      <c r="S1173" s="282" t="e">
        <f>++Tabla4[[#This Row],[U. Bruta Uni]]*Tabla4[[#This Row],[Cantidad]]</f>
        <v>#N/A</v>
      </c>
      <c r="T1173" s="369" t="str">
        <f>VLOOKUP(Tabla4[[#This Row],[Producto]],Tabla6[#All],14,FALSE)</f>
        <v>Termico Solar</v>
      </c>
      <c r="U1173" s="284" t="e">
        <f>(IF(Tabla4[[#This Row],[Familia]]="termico solar",Tabla4[[#This Row],[Utilidad Total]]*6%,Tabla4[[#This Row],[Utilidad Total]]*11.5%))/Tabla4[[#This Row],[Total]]</f>
        <v>#N/A</v>
      </c>
      <c r="V1173" s="282" t="e">
        <f>+Tabla4[[#This Row],[Comisión Calculada]]*Tabla4[[#This Row],[Total]]</f>
        <v>#N/A</v>
      </c>
    </row>
    <row r="1174" spans="1:22" hidden="1" x14ac:dyDescent="0.25">
      <c r="A1174" s="100">
        <v>45731</v>
      </c>
      <c r="B1174" t="str">
        <f t="shared" si="48"/>
        <v>March</v>
      </c>
      <c r="C1174" s="46" t="s">
        <v>280</v>
      </c>
      <c r="F1174" s="366" t="s">
        <v>1196</v>
      </c>
      <c r="G1174" s="46" t="s">
        <v>208</v>
      </c>
      <c r="H1174" s="46">
        <v>15</v>
      </c>
      <c r="I1174" s="51">
        <v>140.63</v>
      </c>
      <c r="J1174" s="281">
        <f>++Tabla4[[#This Row],[Precio Bruto]]*1.16</f>
        <v>163.13079999999999</v>
      </c>
      <c r="K1174" s="281">
        <f>+Tabla4[[#This Row],[Precio Unitario Neto]]*Tabla4[[#Headers],[20.85%]]</f>
        <v>34.012771799999996</v>
      </c>
      <c r="L1174" s="282">
        <f>++Tabla4[[#This Row],[Precio Unitario Neto]]-Tabla4[[#This Row],[20.85%]]</f>
        <v>129.1180282</v>
      </c>
      <c r="M1174" s="282" t="e">
        <f>(INDEX(Tabla6[#All],MATCH(Tabla4[[#This Row],[Producto]],Tabla6[[#All],[PRODUCTO]],0),MATCH(Tabla4[[#This Row],[Mes]],Tabla6[#Headers],0)))*(1+Catalogos!$L$2)</f>
        <v>#N/A</v>
      </c>
      <c r="N1174" s="283" t="e">
        <f>+(Tabla4[[#This Row],[Precio Descontado]]-Tabla4[[#This Row],[Precio Base]])*Tabla4[[#This Row],[Cantidad]]</f>
        <v>#N/A</v>
      </c>
      <c r="O1174" s="284" t="e">
        <f>++Tabla4[[#This Row],[Utilidad Total]]/Tabla4[[#This Row],[Total]]</f>
        <v>#N/A</v>
      </c>
      <c r="P1174" s="282">
        <f>++Tabla4[[#This Row],[Precio Descontado]]*Tabla4[[#This Row],[Cantidad]]</f>
        <v>1936.7704229999999</v>
      </c>
      <c r="Q1174" s="282" t="e">
        <f>(INDEX(Tabla6[#All],MATCH(Tabla4[[#This Row],[Producto]],Tabla6[[#All],[PRODUCTO]],0),MATCH(Tabla4[[#This Row],[Mes]],Tabla6[#Headers],0)))</f>
        <v>#N/A</v>
      </c>
      <c r="R1174" s="282" t="e">
        <f>++Tabla4[[#This Row],[Precio Unitario Neto]]-Tabla4[[#This Row],[20.85%]]-Tabla4[[#This Row],[Costo]]</f>
        <v>#N/A</v>
      </c>
      <c r="S1174" s="282" t="e">
        <f>++Tabla4[[#This Row],[U. Bruta Uni]]*Tabla4[[#This Row],[Cantidad]]</f>
        <v>#N/A</v>
      </c>
      <c r="T1174" s="369" t="str">
        <f>VLOOKUP(Tabla4[[#This Row],[Producto]],Tabla6[#All],14,FALSE)</f>
        <v>Termico Solar</v>
      </c>
      <c r="U1174" s="284" t="e">
        <f>(IF(Tabla4[[#This Row],[Familia]]="termico solar",Tabla4[[#This Row],[Utilidad Total]]*6%,Tabla4[[#This Row],[Utilidad Total]]*11.5%))/Tabla4[[#This Row],[Total]]</f>
        <v>#N/A</v>
      </c>
      <c r="V1174" s="282" t="e">
        <f>+Tabla4[[#This Row],[Comisión Calculada]]*Tabla4[[#This Row],[Total]]</f>
        <v>#N/A</v>
      </c>
    </row>
    <row r="1175" spans="1:22" hidden="1" x14ac:dyDescent="0.25">
      <c r="A1175" s="100">
        <v>45731</v>
      </c>
      <c r="B1175" t="str">
        <f t="shared" si="48"/>
        <v>March</v>
      </c>
      <c r="C1175" s="46" t="s">
        <v>280</v>
      </c>
      <c r="F1175" s="366" t="s">
        <v>1197</v>
      </c>
      <c r="G1175" s="46" t="s">
        <v>83</v>
      </c>
      <c r="H1175" s="46">
        <v>4</v>
      </c>
      <c r="I1175" s="51">
        <v>8858.76</v>
      </c>
      <c r="J1175" s="281">
        <f>++Tabla4[[#This Row],[Precio Bruto]]*1.16</f>
        <v>10276.161599999999</v>
      </c>
      <c r="K1175" s="281">
        <f>+Tabla4[[#This Row],[Precio Unitario Neto]]*Tabla4[[#Headers],[20.85%]]</f>
        <v>2142.5796935999997</v>
      </c>
      <c r="L1175" s="282">
        <f>++Tabla4[[#This Row],[Precio Unitario Neto]]-Tabla4[[#This Row],[20.85%]]</f>
        <v>8133.5819063999998</v>
      </c>
      <c r="M1175" s="282" t="e">
        <f>(INDEX(Tabla6[#All],MATCH(Tabla4[[#This Row],[Producto]],Tabla6[[#All],[PRODUCTO]],0),MATCH(Tabla4[[#This Row],[Mes]],Tabla6[#Headers],0)))*(1+Catalogos!$L$2)</f>
        <v>#N/A</v>
      </c>
      <c r="N1175" s="283" t="e">
        <f>+(Tabla4[[#This Row],[Precio Descontado]]-Tabla4[[#This Row],[Precio Base]])*Tabla4[[#This Row],[Cantidad]]</f>
        <v>#N/A</v>
      </c>
      <c r="O1175" s="284" t="e">
        <f>++Tabla4[[#This Row],[Utilidad Total]]/Tabla4[[#This Row],[Total]]</f>
        <v>#N/A</v>
      </c>
      <c r="P1175" s="282">
        <f>++Tabla4[[#This Row],[Precio Descontado]]*Tabla4[[#This Row],[Cantidad]]</f>
        <v>32534.327625599999</v>
      </c>
      <c r="Q1175" s="282" t="e">
        <f>(INDEX(Tabla6[#All],MATCH(Tabla4[[#This Row],[Producto]],Tabla6[[#All],[PRODUCTO]],0),MATCH(Tabla4[[#This Row],[Mes]],Tabla6[#Headers],0)))</f>
        <v>#N/A</v>
      </c>
      <c r="R1175" s="282" t="e">
        <f>++Tabla4[[#This Row],[Precio Unitario Neto]]-Tabla4[[#This Row],[20.85%]]-Tabla4[[#This Row],[Costo]]</f>
        <v>#N/A</v>
      </c>
      <c r="S1175" s="282" t="e">
        <f>++Tabla4[[#This Row],[U. Bruta Uni]]*Tabla4[[#This Row],[Cantidad]]</f>
        <v>#N/A</v>
      </c>
      <c r="T1175" s="369" t="str">
        <f>VLOOKUP(Tabla4[[#This Row],[Producto]],Tabla6[#All],14,FALSE)</f>
        <v>Termico Solar</v>
      </c>
      <c r="U1175" s="284" t="e">
        <f>(IF(Tabla4[[#This Row],[Familia]]="termico solar",Tabla4[[#This Row],[Utilidad Total]]*6%,Tabla4[[#This Row],[Utilidad Total]]*11.5%))/Tabla4[[#This Row],[Total]]</f>
        <v>#N/A</v>
      </c>
      <c r="V1175" s="282" t="e">
        <f>+Tabla4[[#This Row],[Comisión Calculada]]*Tabla4[[#This Row],[Total]]</f>
        <v>#N/A</v>
      </c>
    </row>
    <row r="1176" spans="1:22" hidden="1" x14ac:dyDescent="0.25">
      <c r="A1176" s="100">
        <v>45731</v>
      </c>
      <c r="B1176" t="str">
        <f t="shared" si="48"/>
        <v>March</v>
      </c>
      <c r="C1176" s="46" t="s">
        <v>280</v>
      </c>
      <c r="F1176" s="366" t="s">
        <v>1197</v>
      </c>
      <c r="G1176" s="46" t="s">
        <v>17</v>
      </c>
      <c r="H1176" s="46">
        <v>9</v>
      </c>
      <c r="I1176" s="51">
        <v>4622.28</v>
      </c>
      <c r="J1176" s="281">
        <f>++Tabla4[[#This Row],[Precio Bruto]]*1.16</f>
        <v>5361.8447999999989</v>
      </c>
      <c r="K1176" s="281">
        <f>+Tabla4[[#This Row],[Precio Unitario Neto]]*Tabla4[[#Headers],[20.85%]]</f>
        <v>1117.9446407999997</v>
      </c>
      <c r="L1176" s="282">
        <f>++Tabla4[[#This Row],[Precio Unitario Neto]]-Tabla4[[#This Row],[20.85%]]</f>
        <v>4243.9001591999995</v>
      </c>
      <c r="M1176" s="282" t="e">
        <f>(INDEX(Tabla6[#All],MATCH(Tabla4[[#This Row],[Producto]],Tabla6[[#All],[PRODUCTO]],0),MATCH(Tabla4[[#This Row],[Mes]],Tabla6[#Headers],0)))*(1+Catalogos!$L$2)</f>
        <v>#N/A</v>
      </c>
      <c r="N1176" s="283" t="e">
        <f>+(Tabla4[[#This Row],[Precio Descontado]]-Tabla4[[#This Row],[Precio Base]])*Tabla4[[#This Row],[Cantidad]]</f>
        <v>#N/A</v>
      </c>
      <c r="O1176" s="284" t="e">
        <f>++Tabla4[[#This Row],[Utilidad Total]]/Tabla4[[#This Row],[Total]]</f>
        <v>#N/A</v>
      </c>
      <c r="P1176" s="282">
        <f>++Tabla4[[#This Row],[Precio Descontado]]*Tabla4[[#This Row],[Cantidad]]</f>
        <v>38195.101432799995</v>
      </c>
      <c r="Q1176" s="282" t="e">
        <f>(INDEX(Tabla6[#All],MATCH(Tabla4[[#This Row],[Producto]],Tabla6[[#All],[PRODUCTO]],0),MATCH(Tabla4[[#This Row],[Mes]],Tabla6[#Headers],0)))</f>
        <v>#N/A</v>
      </c>
      <c r="R1176" s="282" t="e">
        <f>++Tabla4[[#This Row],[Precio Unitario Neto]]-Tabla4[[#This Row],[20.85%]]-Tabla4[[#This Row],[Costo]]</f>
        <v>#N/A</v>
      </c>
      <c r="S1176" s="282" t="e">
        <f>++Tabla4[[#This Row],[U. Bruta Uni]]*Tabla4[[#This Row],[Cantidad]]</f>
        <v>#N/A</v>
      </c>
      <c r="T1176" s="369" t="str">
        <f>VLOOKUP(Tabla4[[#This Row],[Producto]],Tabla6[#All],14,FALSE)</f>
        <v>Termico Solar</v>
      </c>
      <c r="U1176" s="284" t="e">
        <f>(IF(Tabla4[[#This Row],[Familia]]="termico solar",Tabla4[[#This Row],[Utilidad Total]]*6%,Tabla4[[#This Row],[Utilidad Total]]*11.5%))/Tabla4[[#This Row],[Total]]</f>
        <v>#N/A</v>
      </c>
      <c r="V1176" s="282" t="e">
        <f>+Tabla4[[#This Row],[Comisión Calculada]]*Tabla4[[#This Row],[Total]]</f>
        <v>#N/A</v>
      </c>
    </row>
    <row r="1177" spans="1:22" ht="15.75" hidden="1" customHeight="1" x14ac:dyDescent="0.25">
      <c r="A1177" s="100">
        <v>45731</v>
      </c>
      <c r="B1177" t="str">
        <f t="shared" ref="B1177:B1207" si="49">TEXT(A1177, "mmmm")</f>
        <v>March</v>
      </c>
      <c r="C1177" s="46" t="s">
        <v>280</v>
      </c>
      <c r="F1177" s="366" t="s">
        <v>1197</v>
      </c>
      <c r="G1177" s="46" t="s">
        <v>18</v>
      </c>
      <c r="H1177" s="46">
        <v>8</v>
      </c>
      <c r="I1177" s="51">
        <v>5367.65</v>
      </c>
      <c r="J1177" s="281">
        <f>++Tabla4[[#This Row],[Precio Bruto]]*1.16</f>
        <v>6226.4739999999993</v>
      </c>
      <c r="K1177" s="281">
        <f>+Tabla4[[#This Row],[Precio Unitario Neto]]*Tabla4[[#Headers],[20.85%]]</f>
        <v>1298.2198289999999</v>
      </c>
      <c r="L1177" s="282">
        <f>++Tabla4[[#This Row],[Precio Unitario Neto]]-Tabla4[[#This Row],[20.85%]]</f>
        <v>4928.2541709999996</v>
      </c>
      <c r="M1177" s="282" t="e">
        <f>(INDEX(Tabla6[#All],MATCH(Tabla4[[#This Row],[Producto]],Tabla6[[#All],[PRODUCTO]],0),MATCH(Tabla4[[#This Row],[Mes]],Tabla6[#Headers],0)))*(1+Catalogos!$L$2)</f>
        <v>#N/A</v>
      </c>
      <c r="N1177" s="283" t="e">
        <f>+(Tabla4[[#This Row],[Precio Descontado]]-Tabla4[[#This Row],[Precio Base]])*Tabla4[[#This Row],[Cantidad]]</f>
        <v>#N/A</v>
      </c>
      <c r="O1177" s="284" t="e">
        <f>++Tabla4[[#This Row],[Utilidad Total]]/Tabla4[[#This Row],[Total]]</f>
        <v>#N/A</v>
      </c>
      <c r="P1177" s="282">
        <f>++Tabla4[[#This Row],[Precio Descontado]]*Tabla4[[#This Row],[Cantidad]]</f>
        <v>39426.033367999997</v>
      </c>
      <c r="Q1177" s="282" t="e">
        <f>(INDEX(Tabla6[#All],MATCH(Tabla4[[#This Row],[Producto]],Tabla6[[#All],[PRODUCTO]],0),MATCH(Tabla4[[#This Row],[Mes]],Tabla6[#Headers],0)))</f>
        <v>#N/A</v>
      </c>
      <c r="R1177" s="282" t="e">
        <f>++Tabla4[[#This Row],[Precio Unitario Neto]]-Tabla4[[#This Row],[20.85%]]-Tabla4[[#This Row],[Costo]]</f>
        <v>#N/A</v>
      </c>
      <c r="S1177" s="282" t="e">
        <f>++Tabla4[[#This Row],[U. Bruta Uni]]*Tabla4[[#This Row],[Cantidad]]</f>
        <v>#N/A</v>
      </c>
      <c r="T1177" s="369" t="str">
        <f>VLOOKUP(Tabla4[[#This Row],[Producto]],Tabla6[#All],14,FALSE)</f>
        <v>Termico Solar</v>
      </c>
      <c r="U1177" s="284" t="e">
        <f>(IF(Tabla4[[#This Row],[Familia]]="termico solar",Tabla4[[#This Row],[Utilidad Total]]*6%,Tabla4[[#This Row],[Utilidad Total]]*11.5%))/Tabla4[[#This Row],[Total]]</f>
        <v>#N/A</v>
      </c>
      <c r="V1177" s="282" t="e">
        <f>+Tabla4[[#This Row],[Comisión Calculada]]*Tabla4[[#This Row],[Total]]</f>
        <v>#N/A</v>
      </c>
    </row>
    <row r="1178" spans="1:22" ht="15.75" hidden="1" customHeight="1" x14ac:dyDescent="0.25">
      <c r="A1178" s="100">
        <v>45731</v>
      </c>
      <c r="B1178" t="str">
        <f t="shared" si="49"/>
        <v>March</v>
      </c>
      <c r="C1178" s="46" t="s">
        <v>280</v>
      </c>
      <c r="F1178" s="366" t="s">
        <v>1197</v>
      </c>
      <c r="G1178" s="46" t="s">
        <v>16</v>
      </c>
      <c r="H1178" s="46">
        <v>11</v>
      </c>
      <c r="I1178" s="51">
        <v>4103.8499999999995</v>
      </c>
      <c r="J1178" s="281">
        <f>++Tabla4[[#This Row],[Precio Bruto]]*1.16</f>
        <v>4760.4659999999994</v>
      </c>
      <c r="K1178" s="281">
        <f>+Tabla4[[#This Row],[Precio Unitario Neto]]*Tabla4[[#Headers],[20.85%]]</f>
        <v>992.55716099999984</v>
      </c>
      <c r="L1178" s="282">
        <f>++Tabla4[[#This Row],[Precio Unitario Neto]]-Tabla4[[#This Row],[20.85%]]</f>
        <v>3767.9088389999997</v>
      </c>
      <c r="M1178" s="282" t="e">
        <f>(INDEX(Tabla6[#All],MATCH(Tabla4[[#This Row],[Producto]],Tabla6[[#All],[PRODUCTO]],0),MATCH(Tabla4[[#This Row],[Mes]],Tabla6[#Headers],0)))*(1+Catalogos!$L$2)</f>
        <v>#N/A</v>
      </c>
      <c r="N1178" s="283" t="e">
        <f>+(Tabla4[[#This Row],[Precio Descontado]]-Tabla4[[#This Row],[Precio Base]])*Tabla4[[#This Row],[Cantidad]]</f>
        <v>#N/A</v>
      </c>
      <c r="O1178" s="284" t="e">
        <f>++Tabla4[[#This Row],[Utilidad Total]]/Tabla4[[#This Row],[Total]]</f>
        <v>#N/A</v>
      </c>
      <c r="P1178" s="282">
        <f>++Tabla4[[#This Row],[Precio Descontado]]*Tabla4[[#This Row],[Cantidad]]</f>
        <v>41446.997229000001</v>
      </c>
      <c r="Q1178" s="282" t="e">
        <f>(INDEX(Tabla6[#All],MATCH(Tabla4[[#This Row],[Producto]],Tabla6[[#All],[PRODUCTO]],0),MATCH(Tabla4[[#This Row],[Mes]],Tabla6[#Headers],0)))</f>
        <v>#N/A</v>
      </c>
      <c r="R1178" s="282" t="e">
        <f>++Tabla4[[#This Row],[Precio Unitario Neto]]-Tabla4[[#This Row],[20.85%]]-Tabla4[[#This Row],[Costo]]</f>
        <v>#N/A</v>
      </c>
      <c r="S1178" s="282" t="e">
        <f>++Tabla4[[#This Row],[U. Bruta Uni]]*Tabla4[[#This Row],[Cantidad]]</f>
        <v>#N/A</v>
      </c>
      <c r="T1178" s="369" t="str">
        <f>VLOOKUP(Tabla4[[#This Row],[Producto]],Tabla6[#All],14,FALSE)</f>
        <v>Termico Solar</v>
      </c>
      <c r="U1178" s="284" t="e">
        <f>(IF(Tabla4[[#This Row],[Familia]]="termico solar",Tabla4[[#This Row],[Utilidad Total]]*6%,Tabla4[[#This Row],[Utilidad Total]]*11.5%))/Tabla4[[#This Row],[Total]]</f>
        <v>#N/A</v>
      </c>
      <c r="V1178" s="282" t="e">
        <f>+Tabla4[[#This Row],[Comisión Calculada]]*Tabla4[[#This Row],[Total]]</f>
        <v>#N/A</v>
      </c>
    </row>
    <row r="1179" spans="1:22" hidden="1" x14ac:dyDescent="0.25">
      <c r="A1179" s="100">
        <v>45731</v>
      </c>
      <c r="B1179" t="str">
        <f t="shared" si="49"/>
        <v>March</v>
      </c>
      <c r="C1179" s="46" t="s">
        <v>280</v>
      </c>
      <c r="F1179" s="366" t="s">
        <v>1198</v>
      </c>
      <c r="G1179" s="46" t="s">
        <v>17</v>
      </c>
      <c r="H1179" s="46">
        <v>3</v>
      </c>
      <c r="I1179" s="51">
        <v>4622.28</v>
      </c>
      <c r="J1179" s="281">
        <f>++Tabla4[[#This Row],[Precio Bruto]]*1.16</f>
        <v>5361.8447999999989</v>
      </c>
      <c r="K1179" s="281">
        <f>+Tabla4[[#This Row],[Precio Unitario Neto]]*Tabla4[[#Headers],[20.85%]]</f>
        <v>1117.9446407999997</v>
      </c>
      <c r="L1179" s="282">
        <f>++Tabla4[[#This Row],[Precio Unitario Neto]]-Tabla4[[#This Row],[20.85%]]</f>
        <v>4243.9001591999995</v>
      </c>
      <c r="M1179" s="282" t="e">
        <f>(INDEX(Tabla6[#All],MATCH(Tabla4[[#This Row],[Producto]],Tabla6[[#All],[PRODUCTO]],0),MATCH(Tabla4[[#This Row],[Mes]],Tabla6[#Headers],0)))*(1+Catalogos!$L$2)</f>
        <v>#N/A</v>
      </c>
      <c r="N1179" s="283" t="e">
        <f>+(Tabla4[[#This Row],[Precio Descontado]]-Tabla4[[#This Row],[Precio Base]])*Tabla4[[#This Row],[Cantidad]]</f>
        <v>#N/A</v>
      </c>
      <c r="O1179" s="284" t="e">
        <f>++Tabla4[[#This Row],[Utilidad Total]]/Tabla4[[#This Row],[Total]]</f>
        <v>#N/A</v>
      </c>
      <c r="P1179" s="282">
        <f>++Tabla4[[#This Row],[Precio Descontado]]*Tabla4[[#This Row],[Cantidad]]</f>
        <v>12731.700477599999</v>
      </c>
      <c r="Q1179" s="282" t="e">
        <f>(INDEX(Tabla6[#All],MATCH(Tabla4[[#This Row],[Producto]],Tabla6[[#All],[PRODUCTO]],0),MATCH(Tabla4[[#This Row],[Mes]],Tabla6[#Headers],0)))</f>
        <v>#N/A</v>
      </c>
      <c r="R1179" s="282" t="e">
        <f>++Tabla4[[#This Row],[Precio Unitario Neto]]-Tabla4[[#This Row],[20.85%]]-Tabla4[[#This Row],[Costo]]</f>
        <v>#N/A</v>
      </c>
      <c r="S1179" s="282" t="e">
        <f>++Tabla4[[#This Row],[U. Bruta Uni]]*Tabla4[[#This Row],[Cantidad]]</f>
        <v>#N/A</v>
      </c>
      <c r="T1179" s="369" t="str">
        <f>VLOOKUP(Tabla4[[#This Row],[Producto]],Tabla6[#All],14,FALSE)</f>
        <v>Termico Solar</v>
      </c>
      <c r="U1179" s="284" t="e">
        <f>(IF(Tabla4[[#This Row],[Familia]]="termico solar",Tabla4[[#This Row],[Utilidad Total]]*6%,Tabla4[[#This Row],[Utilidad Total]]*11.5%))/Tabla4[[#This Row],[Total]]</f>
        <v>#N/A</v>
      </c>
      <c r="V1179" s="282" t="e">
        <f>+Tabla4[[#This Row],[Comisión Calculada]]*Tabla4[[#This Row],[Total]]</f>
        <v>#N/A</v>
      </c>
    </row>
    <row r="1180" spans="1:22" hidden="1" x14ac:dyDescent="0.25">
      <c r="A1180" s="100">
        <v>45731</v>
      </c>
      <c r="B1180" t="str">
        <f t="shared" si="49"/>
        <v>March</v>
      </c>
      <c r="C1180" s="46" t="s">
        <v>280</v>
      </c>
      <c r="F1180" s="366" t="s">
        <v>1198</v>
      </c>
      <c r="G1180" s="46" t="s">
        <v>208</v>
      </c>
      <c r="H1180" s="46">
        <v>15</v>
      </c>
      <c r="I1180" s="51">
        <v>140.63</v>
      </c>
      <c r="J1180" s="281">
        <f>++Tabla4[[#This Row],[Precio Bruto]]*1.16</f>
        <v>163.13079999999999</v>
      </c>
      <c r="K1180" s="281">
        <f>+Tabla4[[#This Row],[Precio Unitario Neto]]*Tabla4[[#Headers],[20.85%]]</f>
        <v>34.012771799999996</v>
      </c>
      <c r="L1180" s="282">
        <f>++Tabla4[[#This Row],[Precio Unitario Neto]]-Tabla4[[#This Row],[20.85%]]</f>
        <v>129.1180282</v>
      </c>
      <c r="M1180" s="282" t="e">
        <f>(INDEX(Tabla6[#All],MATCH(Tabla4[[#This Row],[Producto]],Tabla6[[#All],[PRODUCTO]],0),MATCH(Tabla4[[#This Row],[Mes]],Tabla6[#Headers],0)))*(1+Catalogos!$L$2)</f>
        <v>#N/A</v>
      </c>
      <c r="N1180" s="283" t="e">
        <f>+(Tabla4[[#This Row],[Precio Descontado]]-Tabla4[[#This Row],[Precio Base]])*Tabla4[[#This Row],[Cantidad]]</f>
        <v>#N/A</v>
      </c>
      <c r="O1180" s="284" t="e">
        <f>++Tabla4[[#This Row],[Utilidad Total]]/Tabla4[[#This Row],[Total]]</f>
        <v>#N/A</v>
      </c>
      <c r="P1180" s="282">
        <f>++Tabla4[[#This Row],[Precio Descontado]]*Tabla4[[#This Row],[Cantidad]]</f>
        <v>1936.7704229999999</v>
      </c>
      <c r="Q1180" s="282" t="e">
        <f>(INDEX(Tabla6[#All],MATCH(Tabla4[[#This Row],[Producto]],Tabla6[[#All],[PRODUCTO]],0),MATCH(Tabla4[[#This Row],[Mes]],Tabla6[#Headers],0)))</f>
        <v>#N/A</v>
      </c>
      <c r="R1180" s="282" t="e">
        <f>++Tabla4[[#This Row],[Precio Unitario Neto]]-Tabla4[[#This Row],[20.85%]]-Tabla4[[#This Row],[Costo]]</f>
        <v>#N/A</v>
      </c>
      <c r="S1180" s="282" t="e">
        <f>++Tabla4[[#This Row],[U. Bruta Uni]]*Tabla4[[#This Row],[Cantidad]]</f>
        <v>#N/A</v>
      </c>
      <c r="T1180" s="369" t="str">
        <f>VLOOKUP(Tabla4[[#This Row],[Producto]],Tabla6[#All],14,FALSE)</f>
        <v>Termico Solar</v>
      </c>
      <c r="U1180" s="284" t="e">
        <f>(IF(Tabla4[[#This Row],[Familia]]="termico solar",Tabla4[[#This Row],[Utilidad Total]]*6%,Tabla4[[#This Row],[Utilidad Total]]*11.5%))/Tabla4[[#This Row],[Total]]</f>
        <v>#N/A</v>
      </c>
      <c r="V1180" s="282" t="e">
        <f>+Tabla4[[#This Row],[Comisión Calculada]]*Tabla4[[#This Row],[Total]]</f>
        <v>#N/A</v>
      </c>
    </row>
    <row r="1181" spans="1:22" hidden="1" x14ac:dyDescent="0.25">
      <c r="A1181" s="100">
        <v>45731</v>
      </c>
      <c r="B1181" t="str">
        <f t="shared" si="49"/>
        <v>March</v>
      </c>
      <c r="C1181" s="46" t="s">
        <v>280</v>
      </c>
      <c r="F1181" s="366" t="s">
        <v>1198</v>
      </c>
      <c r="G1181" s="46" t="s">
        <v>16</v>
      </c>
      <c r="H1181" s="46">
        <v>2</v>
      </c>
      <c r="I1181" s="51">
        <v>4103.8500000000004</v>
      </c>
      <c r="J1181" s="281">
        <f>++Tabla4[[#This Row],[Precio Bruto]]*1.16</f>
        <v>4760.4660000000003</v>
      </c>
      <c r="K1181" s="281">
        <f>+Tabla4[[#This Row],[Precio Unitario Neto]]*Tabla4[[#Headers],[20.85%]]</f>
        <v>992.55716100000006</v>
      </c>
      <c r="L1181" s="282">
        <f>++Tabla4[[#This Row],[Precio Unitario Neto]]-Tabla4[[#This Row],[20.85%]]</f>
        <v>3767.9088390000002</v>
      </c>
      <c r="M1181" s="282" t="e">
        <f>(INDEX(Tabla6[#All],MATCH(Tabla4[[#This Row],[Producto]],Tabla6[[#All],[PRODUCTO]],0),MATCH(Tabla4[[#This Row],[Mes]],Tabla6[#Headers],0)))*(1+Catalogos!$L$2)</f>
        <v>#N/A</v>
      </c>
      <c r="N1181" s="283" t="e">
        <f>+(Tabla4[[#This Row],[Precio Descontado]]-Tabla4[[#This Row],[Precio Base]])*Tabla4[[#This Row],[Cantidad]]</f>
        <v>#N/A</v>
      </c>
      <c r="O1181" s="284" t="e">
        <f>++Tabla4[[#This Row],[Utilidad Total]]/Tabla4[[#This Row],[Total]]</f>
        <v>#N/A</v>
      </c>
      <c r="P1181" s="282">
        <f>++Tabla4[[#This Row],[Precio Descontado]]*Tabla4[[#This Row],[Cantidad]]</f>
        <v>7535.8176780000003</v>
      </c>
      <c r="Q1181" s="282" t="e">
        <f>(INDEX(Tabla6[#All],MATCH(Tabla4[[#This Row],[Producto]],Tabla6[[#All],[PRODUCTO]],0),MATCH(Tabla4[[#This Row],[Mes]],Tabla6[#Headers],0)))</f>
        <v>#N/A</v>
      </c>
      <c r="R1181" s="282" t="e">
        <f>++Tabla4[[#This Row],[Precio Unitario Neto]]-Tabla4[[#This Row],[20.85%]]-Tabla4[[#This Row],[Costo]]</f>
        <v>#N/A</v>
      </c>
      <c r="S1181" s="282" t="e">
        <f>++Tabla4[[#This Row],[U. Bruta Uni]]*Tabla4[[#This Row],[Cantidad]]</f>
        <v>#N/A</v>
      </c>
      <c r="T1181" s="369" t="str">
        <f>VLOOKUP(Tabla4[[#This Row],[Producto]],Tabla6[#All],14,FALSE)</f>
        <v>Termico Solar</v>
      </c>
      <c r="U1181" s="284" t="e">
        <f>(IF(Tabla4[[#This Row],[Familia]]="termico solar",Tabla4[[#This Row],[Utilidad Total]]*6%,Tabla4[[#This Row],[Utilidad Total]]*11.5%))/Tabla4[[#This Row],[Total]]</f>
        <v>#N/A</v>
      </c>
      <c r="V1181" s="282" t="e">
        <f>+Tabla4[[#This Row],[Comisión Calculada]]*Tabla4[[#This Row],[Total]]</f>
        <v>#N/A</v>
      </c>
    </row>
    <row r="1182" spans="1:22" hidden="1" x14ac:dyDescent="0.25">
      <c r="A1182" s="100">
        <v>45731</v>
      </c>
      <c r="B1182" t="str">
        <f t="shared" si="49"/>
        <v>March</v>
      </c>
      <c r="C1182" s="46" t="s">
        <v>280</v>
      </c>
      <c r="F1182" s="366" t="s">
        <v>1199</v>
      </c>
      <c r="G1182" s="46" t="s">
        <v>17</v>
      </c>
      <c r="H1182" s="46">
        <v>3</v>
      </c>
      <c r="I1182" s="51">
        <v>4622.28</v>
      </c>
      <c r="J1182" s="281">
        <f>++Tabla4[[#This Row],[Precio Bruto]]*1.16</f>
        <v>5361.8447999999989</v>
      </c>
      <c r="K1182" s="281">
        <f>+Tabla4[[#This Row],[Precio Unitario Neto]]*Tabla4[[#Headers],[20.85%]]</f>
        <v>1117.9446407999997</v>
      </c>
      <c r="L1182" s="282">
        <f>++Tabla4[[#This Row],[Precio Unitario Neto]]-Tabla4[[#This Row],[20.85%]]</f>
        <v>4243.9001591999995</v>
      </c>
      <c r="M1182" s="282" t="e">
        <f>(INDEX(Tabla6[#All],MATCH(Tabla4[[#This Row],[Producto]],Tabla6[[#All],[PRODUCTO]],0),MATCH(Tabla4[[#This Row],[Mes]],Tabla6[#Headers],0)))*(1+Catalogos!$L$2)</f>
        <v>#N/A</v>
      </c>
      <c r="N1182" s="283" t="e">
        <f>+(Tabla4[[#This Row],[Precio Descontado]]-Tabla4[[#This Row],[Precio Base]])*Tabla4[[#This Row],[Cantidad]]</f>
        <v>#N/A</v>
      </c>
      <c r="O1182" s="284" t="e">
        <f>++Tabla4[[#This Row],[Utilidad Total]]/Tabla4[[#This Row],[Total]]</f>
        <v>#N/A</v>
      </c>
      <c r="P1182" s="282">
        <f>++Tabla4[[#This Row],[Precio Descontado]]*Tabla4[[#This Row],[Cantidad]]</f>
        <v>12731.700477599999</v>
      </c>
      <c r="Q1182" s="282" t="e">
        <f>(INDEX(Tabla6[#All],MATCH(Tabla4[[#This Row],[Producto]],Tabla6[[#All],[PRODUCTO]],0),MATCH(Tabla4[[#This Row],[Mes]],Tabla6[#Headers],0)))</f>
        <v>#N/A</v>
      </c>
      <c r="R1182" s="282" t="e">
        <f>++Tabla4[[#This Row],[Precio Unitario Neto]]-Tabla4[[#This Row],[20.85%]]-Tabla4[[#This Row],[Costo]]</f>
        <v>#N/A</v>
      </c>
      <c r="S1182" s="282" t="e">
        <f>++Tabla4[[#This Row],[U. Bruta Uni]]*Tabla4[[#This Row],[Cantidad]]</f>
        <v>#N/A</v>
      </c>
      <c r="T1182" s="369" t="str">
        <f>VLOOKUP(Tabla4[[#This Row],[Producto]],Tabla6[#All],14,FALSE)</f>
        <v>Termico Solar</v>
      </c>
      <c r="U1182" s="284" t="e">
        <f>(IF(Tabla4[[#This Row],[Familia]]="termico solar",Tabla4[[#This Row],[Utilidad Total]]*6%,Tabla4[[#This Row],[Utilidad Total]]*11.5%))/Tabla4[[#This Row],[Total]]</f>
        <v>#N/A</v>
      </c>
      <c r="V1182" s="282" t="e">
        <f>+Tabla4[[#This Row],[Comisión Calculada]]*Tabla4[[#This Row],[Total]]</f>
        <v>#N/A</v>
      </c>
    </row>
    <row r="1183" spans="1:22" hidden="1" x14ac:dyDescent="0.25">
      <c r="A1183" s="100">
        <v>45731</v>
      </c>
      <c r="B1183" t="str">
        <f t="shared" si="49"/>
        <v>March</v>
      </c>
      <c r="C1183" s="46" t="s">
        <v>280</v>
      </c>
      <c r="F1183" s="366" t="s">
        <v>1199</v>
      </c>
      <c r="G1183" s="46" t="s">
        <v>566</v>
      </c>
      <c r="H1183" s="46">
        <v>3</v>
      </c>
      <c r="I1183" s="51">
        <v>2109.4500000000003</v>
      </c>
      <c r="J1183" s="281">
        <f>++Tabla4[[#This Row],[Precio Bruto]]*1.16</f>
        <v>2446.962</v>
      </c>
      <c r="K1183" s="281">
        <f>+Tabla4[[#This Row],[Precio Unitario Neto]]*Tabla4[[#Headers],[20.85%]]</f>
        <v>510.191577</v>
      </c>
      <c r="L1183" s="282">
        <f>++Tabla4[[#This Row],[Precio Unitario Neto]]-Tabla4[[#This Row],[20.85%]]</f>
        <v>1936.7704229999999</v>
      </c>
      <c r="M1183" s="282" t="e">
        <f>(INDEX(Tabla6[#All],MATCH(Tabla4[[#This Row],[Producto]],Tabla6[[#All],[PRODUCTO]],0),MATCH(Tabla4[[#This Row],[Mes]],Tabla6[#Headers],0)))*(1+Catalogos!$L$2)</f>
        <v>#N/A</v>
      </c>
      <c r="N1183" s="283" t="e">
        <f>+(Tabla4[[#This Row],[Precio Descontado]]-Tabla4[[#This Row],[Precio Base]])*Tabla4[[#This Row],[Cantidad]]</f>
        <v>#N/A</v>
      </c>
      <c r="O1183" s="284" t="e">
        <f>++Tabla4[[#This Row],[Utilidad Total]]/Tabla4[[#This Row],[Total]]</f>
        <v>#N/A</v>
      </c>
      <c r="P1183" s="282">
        <f>++Tabla4[[#This Row],[Precio Descontado]]*Tabla4[[#This Row],[Cantidad]]</f>
        <v>5810.3112689999998</v>
      </c>
      <c r="Q1183" s="282" t="e">
        <f>(INDEX(Tabla6[#All],MATCH(Tabla4[[#This Row],[Producto]],Tabla6[[#All],[PRODUCTO]],0),MATCH(Tabla4[[#This Row],[Mes]],Tabla6[#Headers],0)))</f>
        <v>#N/A</v>
      </c>
      <c r="R1183" s="282" t="e">
        <f>++Tabla4[[#This Row],[Precio Unitario Neto]]-Tabla4[[#This Row],[20.85%]]-Tabla4[[#This Row],[Costo]]</f>
        <v>#N/A</v>
      </c>
      <c r="S1183" s="282" t="e">
        <f>++Tabla4[[#This Row],[U. Bruta Uni]]*Tabla4[[#This Row],[Cantidad]]</f>
        <v>#N/A</v>
      </c>
      <c r="T1183" s="369" t="str">
        <f>VLOOKUP(Tabla4[[#This Row],[Producto]],Tabla6[#All],14,FALSE)</f>
        <v>Termico Solar</v>
      </c>
      <c r="U1183" s="284" t="e">
        <f>(IF(Tabla4[[#This Row],[Familia]]="termico solar",Tabla4[[#This Row],[Utilidad Total]]*6%,Tabla4[[#This Row],[Utilidad Total]]*11.5%))/Tabla4[[#This Row],[Total]]</f>
        <v>#N/A</v>
      </c>
      <c r="V1183" s="282" t="e">
        <f>+Tabla4[[#This Row],[Comisión Calculada]]*Tabla4[[#This Row],[Total]]</f>
        <v>#N/A</v>
      </c>
    </row>
    <row r="1184" spans="1:22" hidden="1" x14ac:dyDescent="0.25">
      <c r="A1184" s="100">
        <v>45731</v>
      </c>
      <c r="B1184" t="str">
        <f t="shared" si="49"/>
        <v>March</v>
      </c>
      <c r="C1184" s="46" t="s">
        <v>280</v>
      </c>
      <c r="F1184" s="366" t="s">
        <v>1200</v>
      </c>
      <c r="G1184" s="46" t="s">
        <v>83</v>
      </c>
      <c r="H1184" s="46">
        <v>5</v>
      </c>
      <c r="I1184" s="51">
        <v>8858.76</v>
      </c>
      <c r="J1184" s="281">
        <f>++Tabla4[[#This Row],[Precio Bruto]]*1.16</f>
        <v>10276.161599999999</v>
      </c>
      <c r="K1184" s="281">
        <f>+Tabla4[[#This Row],[Precio Unitario Neto]]*Tabla4[[#Headers],[20.85%]]</f>
        <v>2142.5796935999997</v>
      </c>
      <c r="L1184" s="282">
        <f>++Tabla4[[#This Row],[Precio Unitario Neto]]-Tabla4[[#This Row],[20.85%]]</f>
        <v>8133.5819063999998</v>
      </c>
      <c r="M1184" s="282" t="e">
        <f>(INDEX(Tabla6[#All],MATCH(Tabla4[[#This Row],[Producto]],Tabla6[[#All],[PRODUCTO]],0),MATCH(Tabla4[[#This Row],[Mes]],Tabla6[#Headers],0)))*(1+Catalogos!$L$2)</f>
        <v>#N/A</v>
      </c>
      <c r="N1184" s="283" t="e">
        <f>+(Tabla4[[#This Row],[Precio Descontado]]-Tabla4[[#This Row],[Precio Base]])*Tabla4[[#This Row],[Cantidad]]</f>
        <v>#N/A</v>
      </c>
      <c r="O1184" s="284" t="e">
        <f>++Tabla4[[#This Row],[Utilidad Total]]/Tabla4[[#This Row],[Total]]</f>
        <v>#N/A</v>
      </c>
      <c r="P1184" s="282">
        <f>++Tabla4[[#This Row],[Precio Descontado]]*Tabla4[[#This Row],[Cantidad]]</f>
        <v>40667.909531999998</v>
      </c>
      <c r="Q1184" s="282" t="e">
        <f>(INDEX(Tabla6[#All],MATCH(Tabla4[[#This Row],[Producto]],Tabla6[[#All],[PRODUCTO]],0),MATCH(Tabla4[[#This Row],[Mes]],Tabla6[#Headers],0)))</f>
        <v>#N/A</v>
      </c>
      <c r="R1184" s="282" t="e">
        <f>++Tabla4[[#This Row],[Precio Unitario Neto]]-Tabla4[[#This Row],[20.85%]]-Tabla4[[#This Row],[Costo]]</f>
        <v>#N/A</v>
      </c>
      <c r="S1184" s="282" t="e">
        <f>++Tabla4[[#This Row],[U. Bruta Uni]]*Tabla4[[#This Row],[Cantidad]]</f>
        <v>#N/A</v>
      </c>
      <c r="T1184" s="369" t="str">
        <f>VLOOKUP(Tabla4[[#This Row],[Producto]],Tabla6[#All],14,FALSE)</f>
        <v>Termico Solar</v>
      </c>
      <c r="U1184" s="284" t="e">
        <f>(IF(Tabla4[[#This Row],[Familia]]="termico solar",Tabla4[[#This Row],[Utilidad Total]]*6%,Tabla4[[#This Row],[Utilidad Total]]*11.5%))/Tabla4[[#This Row],[Total]]</f>
        <v>#N/A</v>
      </c>
      <c r="V1184" s="282" t="e">
        <f>+Tabla4[[#This Row],[Comisión Calculada]]*Tabla4[[#This Row],[Total]]</f>
        <v>#N/A</v>
      </c>
    </row>
    <row r="1185" spans="1:22" hidden="1" x14ac:dyDescent="0.25">
      <c r="A1185" s="100">
        <v>45731</v>
      </c>
      <c r="B1185" t="str">
        <f t="shared" si="49"/>
        <v>March</v>
      </c>
      <c r="C1185" s="46" t="s">
        <v>280</v>
      </c>
      <c r="F1185" s="366" t="s">
        <v>1200</v>
      </c>
      <c r="G1185" s="46" t="s">
        <v>17</v>
      </c>
      <c r="H1185" s="46">
        <v>14</v>
      </c>
      <c r="I1185" s="51">
        <v>4622.28</v>
      </c>
      <c r="J1185" s="281">
        <f>++Tabla4[[#This Row],[Precio Bruto]]*1.16</f>
        <v>5361.8447999999989</v>
      </c>
      <c r="K1185" s="281">
        <f>+Tabla4[[#This Row],[Precio Unitario Neto]]*Tabla4[[#Headers],[20.85%]]</f>
        <v>1117.9446407999997</v>
      </c>
      <c r="L1185" s="282">
        <f>++Tabla4[[#This Row],[Precio Unitario Neto]]-Tabla4[[#This Row],[20.85%]]</f>
        <v>4243.9001591999995</v>
      </c>
      <c r="M1185" s="282" t="e">
        <f>(INDEX(Tabla6[#All],MATCH(Tabla4[[#This Row],[Producto]],Tabla6[[#All],[PRODUCTO]],0),MATCH(Tabla4[[#This Row],[Mes]],Tabla6[#Headers],0)))*(1+Catalogos!$L$2)</f>
        <v>#N/A</v>
      </c>
      <c r="N1185" s="283" t="e">
        <f>+(Tabla4[[#This Row],[Precio Descontado]]-Tabla4[[#This Row],[Precio Base]])*Tabla4[[#This Row],[Cantidad]]</f>
        <v>#N/A</v>
      </c>
      <c r="O1185" s="284" t="e">
        <f>++Tabla4[[#This Row],[Utilidad Total]]/Tabla4[[#This Row],[Total]]</f>
        <v>#N/A</v>
      </c>
      <c r="P1185" s="282">
        <f>++Tabla4[[#This Row],[Precio Descontado]]*Tabla4[[#This Row],[Cantidad]]</f>
        <v>59414.602228799995</v>
      </c>
      <c r="Q1185" s="282" t="e">
        <f>(INDEX(Tabla6[#All],MATCH(Tabla4[[#This Row],[Producto]],Tabla6[[#All],[PRODUCTO]],0),MATCH(Tabla4[[#This Row],[Mes]],Tabla6[#Headers],0)))</f>
        <v>#N/A</v>
      </c>
      <c r="R1185" s="282" t="e">
        <f>++Tabla4[[#This Row],[Precio Unitario Neto]]-Tabla4[[#This Row],[20.85%]]-Tabla4[[#This Row],[Costo]]</f>
        <v>#N/A</v>
      </c>
      <c r="S1185" s="282" t="e">
        <f>++Tabla4[[#This Row],[U. Bruta Uni]]*Tabla4[[#This Row],[Cantidad]]</f>
        <v>#N/A</v>
      </c>
      <c r="T1185" s="369" t="str">
        <f>VLOOKUP(Tabla4[[#This Row],[Producto]],Tabla6[#All],14,FALSE)</f>
        <v>Termico Solar</v>
      </c>
      <c r="U1185" s="284" t="e">
        <f>(IF(Tabla4[[#This Row],[Familia]]="termico solar",Tabla4[[#This Row],[Utilidad Total]]*6%,Tabla4[[#This Row],[Utilidad Total]]*11.5%))/Tabla4[[#This Row],[Total]]</f>
        <v>#N/A</v>
      </c>
      <c r="V1185" s="282" t="e">
        <f>+Tabla4[[#This Row],[Comisión Calculada]]*Tabla4[[#This Row],[Total]]</f>
        <v>#N/A</v>
      </c>
    </row>
    <row r="1186" spans="1:22" hidden="1" x14ac:dyDescent="0.25">
      <c r="A1186" s="100">
        <v>45731</v>
      </c>
      <c r="B1186" t="str">
        <f t="shared" si="49"/>
        <v>March</v>
      </c>
      <c r="C1186" s="46" t="s">
        <v>280</v>
      </c>
      <c r="F1186" s="366" t="s">
        <v>1200</v>
      </c>
      <c r="G1186" s="46" t="s">
        <v>18</v>
      </c>
      <c r="H1186" s="46">
        <v>11</v>
      </c>
      <c r="I1186" s="51">
        <v>5367.6500000000005</v>
      </c>
      <c r="J1186" s="281">
        <f>++Tabla4[[#This Row],[Precio Bruto]]*1.16</f>
        <v>6226.4740000000002</v>
      </c>
      <c r="K1186" s="281">
        <f>+Tabla4[[#This Row],[Precio Unitario Neto]]*Tabla4[[#Headers],[20.85%]]</f>
        <v>1298.2198289999999</v>
      </c>
      <c r="L1186" s="282">
        <f>++Tabla4[[#This Row],[Precio Unitario Neto]]-Tabla4[[#This Row],[20.85%]]</f>
        <v>4928.2541710000005</v>
      </c>
      <c r="M1186" s="282" t="e">
        <f>(INDEX(Tabla6[#All],MATCH(Tabla4[[#This Row],[Producto]],Tabla6[[#All],[PRODUCTO]],0),MATCH(Tabla4[[#This Row],[Mes]],Tabla6[#Headers],0)))*(1+Catalogos!$L$2)</f>
        <v>#N/A</v>
      </c>
      <c r="N1186" s="283" t="e">
        <f>+(Tabla4[[#This Row],[Precio Descontado]]-Tabla4[[#This Row],[Precio Base]])*Tabla4[[#This Row],[Cantidad]]</f>
        <v>#N/A</v>
      </c>
      <c r="O1186" s="284" t="e">
        <f>++Tabla4[[#This Row],[Utilidad Total]]/Tabla4[[#This Row],[Total]]</f>
        <v>#N/A</v>
      </c>
      <c r="P1186" s="282">
        <f>++Tabla4[[#This Row],[Precio Descontado]]*Tabla4[[#This Row],[Cantidad]]</f>
        <v>54210.795881000005</v>
      </c>
      <c r="Q1186" s="282" t="e">
        <f>(INDEX(Tabla6[#All],MATCH(Tabla4[[#This Row],[Producto]],Tabla6[[#All],[PRODUCTO]],0),MATCH(Tabla4[[#This Row],[Mes]],Tabla6[#Headers],0)))</f>
        <v>#N/A</v>
      </c>
      <c r="R1186" s="282" t="e">
        <f>++Tabla4[[#This Row],[Precio Unitario Neto]]-Tabla4[[#This Row],[20.85%]]-Tabla4[[#This Row],[Costo]]</f>
        <v>#N/A</v>
      </c>
      <c r="S1186" s="282" t="e">
        <f>++Tabla4[[#This Row],[U. Bruta Uni]]*Tabla4[[#This Row],[Cantidad]]</f>
        <v>#N/A</v>
      </c>
      <c r="T1186" s="369" t="str">
        <f>VLOOKUP(Tabla4[[#This Row],[Producto]],Tabla6[#All],14,FALSE)</f>
        <v>Termico Solar</v>
      </c>
      <c r="U1186" s="284" t="e">
        <f>(IF(Tabla4[[#This Row],[Familia]]="termico solar",Tabla4[[#This Row],[Utilidad Total]]*6%,Tabla4[[#This Row],[Utilidad Total]]*11.5%))/Tabla4[[#This Row],[Total]]</f>
        <v>#N/A</v>
      </c>
      <c r="V1186" s="282" t="e">
        <f>+Tabla4[[#This Row],[Comisión Calculada]]*Tabla4[[#This Row],[Total]]</f>
        <v>#N/A</v>
      </c>
    </row>
    <row r="1187" spans="1:22" hidden="1" x14ac:dyDescent="0.25">
      <c r="A1187" s="100">
        <v>45731</v>
      </c>
      <c r="B1187" t="str">
        <f t="shared" si="49"/>
        <v>March</v>
      </c>
      <c r="C1187" s="46" t="s">
        <v>280</v>
      </c>
      <c r="F1187" s="366" t="s">
        <v>1200</v>
      </c>
      <c r="G1187" s="46" t="s">
        <v>16</v>
      </c>
      <c r="H1187" s="46">
        <v>10</v>
      </c>
      <c r="I1187" s="51">
        <v>4103.8500000000004</v>
      </c>
      <c r="J1187" s="281">
        <f>++Tabla4[[#This Row],[Precio Bruto]]*1.16</f>
        <v>4760.4660000000003</v>
      </c>
      <c r="K1187" s="281">
        <f>+Tabla4[[#This Row],[Precio Unitario Neto]]*Tabla4[[#Headers],[20.85%]]</f>
        <v>992.55716100000006</v>
      </c>
      <c r="L1187" s="282">
        <f>++Tabla4[[#This Row],[Precio Unitario Neto]]-Tabla4[[#This Row],[20.85%]]</f>
        <v>3767.9088390000002</v>
      </c>
      <c r="M1187" s="282" t="e">
        <f>(INDEX(Tabla6[#All],MATCH(Tabla4[[#This Row],[Producto]],Tabla6[[#All],[PRODUCTO]],0),MATCH(Tabla4[[#This Row],[Mes]],Tabla6[#Headers],0)))*(1+Catalogos!$L$2)</f>
        <v>#N/A</v>
      </c>
      <c r="N1187" s="283" t="e">
        <f>+(Tabla4[[#This Row],[Precio Descontado]]-Tabla4[[#This Row],[Precio Base]])*Tabla4[[#This Row],[Cantidad]]</f>
        <v>#N/A</v>
      </c>
      <c r="O1187" s="284" t="e">
        <f>++Tabla4[[#This Row],[Utilidad Total]]/Tabla4[[#This Row],[Total]]</f>
        <v>#N/A</v>
      </c>
      <c r="P1187" s="282">
        <f>++Tabla4[[#This Row],[Precio Descontado]]*Tabla4[[#This Row],[Cantidad]]</f>
        <v>37679.088390000004</v>
      </c>
      <c r="Q1187" s="282" t="e">
        <f>(INDEX(Tabla6[#All],MATCH(Tabla4[[#This Row],[Producto]],Tabla6[[#All],[PRODUCTO]],0),MATCH(Tabla4[[#This Row],[Mes]],Tabla6[#Headers],0)))</f>
        <v>#N/A</v>
      </c>
      <c r="R1187" s="282" t="e">
        <f>++Tabla4[[#This Row],[Precio Unitario Neto]]-Tabla4[[#This Row],[20.85%]]-Tabla4[[#This Row],[Costo]]</f>
        <v>#N/A</v>
      </c>
      <c r="S1187" s="282" t="e">
        <f>++Tabla4[[#This Row],[U. Bruta Uni]]*Tabla4[[#This Row],[Cantidad]]</f>
        <v>#N/A</v>
      </c>
      <c r="T1187" s="369" t="str">
        <f>VLOOKUP(Tabla4[[#This Row],[Producto]],Tabla6[#All],14,FALSE)</f>
        <v>Termico Solar</v>
      </c>
      <c r="U1187" s="284" t="e">
        <f>(IF(Tabla4[[#This Row],[Familia]]="termico solar",Tabla4[[#This Row],[Utilidad Total]]*6%,Tabla4[[#This Row],[Utilidad Total]]*11.5%))/Tabla4[[#This Row],[Total]]</f>
        <v>#N/A</v>
      </c>
      <c r="V1187" s="282" t="e">
        <f>+Tabla4[[#This Row],[Comisión Calculada]]*Tabla4[[#This Row],[Total]]</f>
        <v>#N/A</v>
      </c>
    </row>
    <row r="1188" spans="1:22" hidden="1" x14ac:dyDescent="0.25">
      <c r="A1188" s="100">
        <v>45731</v>
      </c>
      <c r="B1188" t="str">
        <f t="shared" si="49"/>
        <v>March</v>
      </c>
      <c r="C1188" s="46" t="s">
        <v>280</v>
      </c>
      <c r="F1188" s="366" t="s">
        <v>1201</v>
      </c>
      <c r="G1188" s="46" t="s">
        <v>17</v>
      </c>
      <c r="H1188" s="46">
        <v>6</v>
      </c>
      <c r="I1188" s="51">
        <v>4622.28</v>
      </c>
      <c r="J1188" s="281">
        <f>++Tabla4[[#This Row],[Precio Bruto]]*1.16</f>
        <v>5361.8447999999989</v>
      </c>
      <c r="K1188" s="281">
        <f>+Tabla4[[#This Row],[Precio Unitario Neto]]*Tabla4[[#Headers],[20.85%]]</f>
        <v>1117.9446407999997</v>
      </c>
      <c r="L1188" s="282">
        <f>++Tabla4[[#This Row],[Precio Unitario Neto]]-Tabla4[[#This Row],[20.85%]]</f>
        <v>4243.9001591999995</v>
      </c>
      <c r="M1188" s="282" t="e">
        <f>(INDEX(Tabla6[#All],MATCH(Tabla4[[#This Row],[Producto]],Tabla6[[#All],[PRODUCTO]],0),MATCH(Tabla4[[#This Row],[Mes]],Tabla6[#Headers],0)))*(1+Catalogos!$L$2)</f>
        <v>#N/A</v>
      </c>
      <c r="N1188" s="283" t="e">
        <f>+(Tabla4[[#This Row],[Precio Descontado]]-Tabla4[[#This Row],[Precio Base]])*Tabla4[[#This Row],[Cantidad]]</f>
        <v>#N/A</v>
      </c>
      <c r="O1188" s="284" t="e">
        <f>++Tabla4[[#This Row],[Utilidad Total]]/Tabla4[[#This Row],[Total]]</f>
        <v>#N/A</v>
      </c>
      <c r="P1188" s="282">
        <f>++Tabla4[[#This Row],[Precio Descontado]]*Tabla4[[#This Row],[Cantidad]]</f>
        <v>25463.400955199999</v>
      </c>
      <c r="Q1188" s="282" t="e">
        <f>(INDEX(Tabla6[#All],MATCH(Tabla4[[#This Row],[Producto]],Tabla6[[#All],[PRODUCTO]],0),MATCH(Tabla4[[#This Row],[Mes]],Tabla6[#Headers],0)))</f>
        <v>#N/A</v>
      </c>
      <c r="R1188" s="282" t="e">
        <f>++Tabla4[[#This Row],[Precio Unitario Neto]]-Tabla4[[#This Row],[20.85%]]-Tabla4[[#This Row],[Costo]]</f>
        <v>#N/A</v>
      </c>
      <c r="S1188" s="282" t="e">
        <f>++Tabla4[[#This Row],[U. Bruta Uni]]*Tabla4[[#This Row],[Cantidad]]</f>
        <v>#N/A</v>
      </c>
      <c r="T1188" s="369" t="str">
        <f>VLOOKUP(Tabla4[[#This Row],[Producto]],Tabla6[#All],14,FALSE)</f>
        <v>Termico Solar</v>
      </c>
      <c r="U1188" s="284" t="e">
        <f>(IF(Tabla4[[#This Row],[Familia]]="termico solar",Tabla4[[#This Row],[Utilidad Total]]*6%,Tabla4[[#This Row],[Utilidad Total]]*11.5%))/Tabla4[[#This Row],[Total]]</f>
        <v>#N/A</v>
      </c>
      <c r="V1188" s="282" t="e">
        <f>+Tabla4[[#This Row],[Comisión Calculada]]*Tabla4[[#This Row],[Total]]</f>
        <v>#N/A</v>
      </c>
    </row>
    <row r="1189" spans="1:22" hidden="1" x14ac:dyDescent="0.25">
      <c r="A1189" s="100">
        <v>45731</v>
      </c>
      <c r="B1189" t="str">
        <f t="shared" si="49"/>
        <v>March</v>
      </c>
      <c r="C1189" s="46" t="s">
        <v>280</v>
      </c>
      <c r="F1189" s="366" t="s">
        <v>1201</v>
      </c>
      <c r="G1189" s="46" t="s">
        <v>16</v>
      </c>
      <c r="H1189" s="46">
        <v>2</v>
      </c>
      <c r="I1189" s="51">
        <v>4103.8500000000004</v>
      </c>
      <c r="J1189" s="281">
        <f>++Tabla4[[#This Row],[Precio Bruto]]*1.16</f>
        <v>4760.4660000000003</v>
      </c>
      <c r="K1189" s="281">
        <f>+Tabla4[[#This Row],[Precio Unitario Neto]]*Tabla4[[#Headers],[20.85%]]</f>
        <v>992.55716100000006</v>
      </c>
      <c r="L1189" s="282">
        <f>++Tabla4[[#This Row],[Precio Unitario Neto]]-Tabla4[[#This Row],[20.85%]]</f>
        <v>3767.9088390000002</v>
      </c>
      <c r="M1189" s="282" t="e">
        <f>(INDEX(Tabla6[#All],MATCH(Tabla4[[#This Row],[Producto]],Tabla6[[#All],[PRODUCTO]],0),MATCH(Tabla4[[#This Row],[Mes]],Tabla6[#Headers],0)))*(1+Catalogos!$L$2)</f>
        <v>#N/A</v>
      </c>
      <c r="N1189" s="283" t="e">
        <f>+(Tabla4[[#This Row],[Precio Descontado]]-Tabla4[[#This Row],[Precio Base]])*Tabla4[[#This Row],[Cantidad]]</f>
        <v>#N/A</v>
      </c>
      <c r="O1189" s="284" t="e">
        <f>++Tabla4[[#This Row],[Utilidad Total]]/Tabla4[[#This Row],[Total]]</f>
        <v>#N/A</v>
      </c>
      <c r="P1189" s="282">
        <f>++Tabla4[[#This Row],[Precio Descontado]]*Tabla4[[#This Row],[Cantidad]]</f>
        <v>7535.8176780000003</v>
      </c>
      <c r="Q1189" s="282" t="e">
        <f>(INDEX(Tabla6[#All],MATCH(Tabla4[[#This Row],[Producto]],Tabla6[[#All],[PRODUCTO]],0),MATCH(Tabla4[[#This Row],[Mes]],Tabla6[#Headers],0)))</f>
        <v>#N/A</v>
      </c>
      <c r="R1189" s="282" t="e">
        <f>++Tabla4[[#This Row],[Precio Unitario Neto]]-Tabla4[[#This Row],[20.85%]]-Tabla4[[#This Row],[Costo]]</f>
        <v>#N/A</v>
      </c>
      <c r="S1189" s="282" t="e">
        <f>++Tabla4[[#This Row],[U. Bruta Uni]]*Tabla4[[#This Row],[Cantidad]]</f>
        <v>#N/A</v>
      </c>
      <c r="T1189" s="369" t="str">
        <f>VLOOKUP(Tabla4[[#This Row],[Producto]],Tabla6[#All],14,FALSE)</f>
        <v>Termico Solar</v>
      </c>
      <c r="U1189" s="284" t="e">
        <f>(IF(Tabla4[[#This Row],[Familia]]="termico solar",Tabla4[[#This Row],[Utilidad Total]]*6%,Tabla4[[#This Row],[Utilidad Total]]*11.5%))/Tabla4[[#This Row],[Total]]</f>
        <v>#N/A</v>
      </c>
      <c r="V1189" s="282" t="e">
        <f>+Tabla4[[#This Row],[Comisión Calculada]]*Tabla4[[#This Row],[Total]]</f>
        <v>#N/A</v>
      </c>
    </row>
    <row r="1190" spans="1:22" hidden="1" x14ac:dyDescent="0.25">
      <c r="A1190" s="100">
        <v>45731</v>
      </c>
      <c r="B1190" t="str">
        <f t="shared" si="49"/>
        <v>March</v>
      </c>
      <c r="C1190" s="46" t="s">
        <v>280</v>
      </c>
      <c r="F1190" s="366" t="s">
        <v>1201</v>
      </c>
      <c r="G1190" s="46" t="s">
        <v>394</v>
      </c>
      <c r="H1190" s="46">
        <v>16</v>
      </c>
      <c r="I1190" s="51">
        <v>224.29</v>
      </c>
      <c r="J1190" s="281">
        <f>++Tabla4[[#This Row],[Precio Bruto]]*1.16</f>
        <v>260.1764</v>
      </c>
      <c r="K1190" s="281">
        <f>+Tabla4[[#This Row],[Precio Unitario Neto]]*Tabla4[[#Headers],[20.85%]]</f>
        <v>54.246779400000001</v>
      </c>
      <c r="L1190" s="282">
        <f>++Tabla4[[#This Row],[Precio Unitario Neto]]-Tabla4[[#This Row],[20.85%]]</f>
        <v>205.92962059999999</v>
      </c>
      <c r="M1190" s="282" t="e">
        <f>(INDEX(Tabla6[#All],MATCH(Tabla4[[#This Row],[Producto]],Tabla6[[#All],[PRODUCTO]],0),MATCH(Tabla4[[#This Row],[Mes]],Tabla6[#Headers],0)))*(1+Catalogos!$L$2)</f>
        <v>#N/A</v>
      </c>
      <c r="N1190" s="283" t="e">
        <f>+(Tabla4[[#This Row],[Precio Descontado]]-Tabla4[[#This Row],[Precio Base]])*Tabla4[[#This Row],[Cantidad]]</f>
        <v>#N/A</v>
      </c>
      <c r="O1190" s="284" t="e">
        <f>++Tabla4[[#This Row],[Utilidad Total]]/Tabla4[[#This Row],[Total]]</f>
        <v>#N/A</v>
      </c>
      <c r="P1190" s="282">
        <f>++Tabla4[[#This Row],[Precio Descontado]]*Tabla4[[#This Row],[Cantidad]]</f>
        <v>3294.8739295999999</v>
      </c>
      <c r="Q1190" s="282" t="e">
        <f>(INDEX(Tabla6[#All],MATCH(Tabla4[[#This Row],[Producto]],Tabla6[[#All],[PRODUCTO]],0),MATCH(Tabla4[[#This Row],[Mes]],Tabla6[#Headers],0)))</f>
        <v>#N/A</v>
      </c>
      <c r="R1190" s="282" t="e">
        <f>++Tabla4[[#This Row],[Precio Unitario Neto]]-Tabla4[[#This Row],[20.85%]]-Tabla4[[#This Row],[Costo]]</f>
        <v>#N/A</v>
      </c>
      <c r="S1190" s="282" t="e">
        <f>++Tabla4[[#This Row],[U. Bruta Uni]]*Tabla4[[#This Row],[Cantidad]]</f>
        <v>#N/A</v>
      </c>
      <c r="T1190" s="369" t="str">
        <f>VLOOKUP(Tabla4[[#This Row],[Producto]],Tabla6[#All],14,FALSE)</f>
        <v>Termico Solar</v>
      </c>
      <c r="U1190" s="284" t="e">
        <f>(IF(Tabla4[[#This Row],[Familia]]="termico solar",Tabla4[[#This Row],[Utilidad Total]]*6%,Tabla4[[#This Row],[Utilidad Total]]*11.5%))/Tabla4[[#This Row],[Total]]</f>
        <v>#N/A</v>
      </c>
      <c r="V1190" s="282" t="e">
        <f>+Tabla4[[#This Row],[Comisión Calculada]]*Tabla4[[#This Row],[Total]]</f>
        <v>#N/A</v>
      </c>
    </row>
    <row r="1191" spans="1:22" hidden="1" x14ac:dyDescent="0.25">
      <c r="A1191" s="100">
        <v>45731</v>
      </c>
      <c r="B1191" t="str">
        <f t="shared" si="49"/>
        <v>March</v>
      </c>
      <c r="C1191" s="46" t="s">
        <v>280</v>
      </c>
      <c r="F1191" s="366" t="s">
        <v>1202</v>
      </c>
      <c r="G1191" s="46" t="s">
        <v>17</v>
      </c>
      <c r="H1191" s="46">
        <v>10</v>
      </c>
      <c r="I1191" s="51">
        <v>4622.2800000000007</v>
      </c>
      <c r="J1191" s="281">
        <f>++Tabla4[[#This Row],[Precio Bruto]]*1.16</f>
        <v>5361.8448000000008</v>
      </c>
      <c r="K1191" s="281">
        <f>+Tabla4[[#This Row],[Precio Unitario Neto]]*Tabla4[[#Headers],[20.85%]]</f>
        <v>1117.9446408000001</v>
      </c>
      <c r="L1191" s="282">
        <f>++Tabla4[[#This Row],[Precio Unitario Neto]]-Tabla4[[#This Row],[20.85%]]</f>
        <v>4243.9001592000004</v>
      </c>
      <c r="M1191" s="282" t="e">
        <f>(INDEX(Tabla6[#All],MATCH(Tabla4[[#This Row],[Producto]],Tabla6[[#All],[PRODUCTO]],0),MATCH(Tabla4[[#This Row],[Mes]],Tabla6[#Headers],0)))*(1+Catalogos!$L$2)</f>
        <v>#N/A</v>
      </c>
      <c r="N1191" s="283" t="e">
        <f>+(Tabla4[[#This Row],[Precio Descontado]]-Tabla4[[#This Row],[Precio Base]])*Tabla4[[#This Row],[Cantidad]]</f>
        <v>#N/A</v>
      </c>
      <c r="O1191" s="284" t="e">
        <f>++Tabla4[[#This Row],[Utilidad Total]]/Tabla4[[#This Row],[Total]]</f>
        <v>#N/A</v>
      </c>
      <c r="P1191" s="282">
        <f>++Tabla4[[#This Row],[Precio Descontado]]*Tabla4[[#This Row],[Cantidad]]</f>
        <v>42439.001592000001</v>
      </c>
      <c r="Q1191" s="282" t="e">
        <f>(INDEX(Tabla6[#All],MATCH(Tabla4[[#This Row],[Producto]],Tabla6[[#All],[PRODUCTO]],0),MATCH(Tabla4[[#This Row],[Mes]],Tabla6[#Headers],0)))</f>
        <v>#N/A</v>
      </c>
      <c r="R1191" s="282" t="e">
        <f>++Tabla4[[#This Row],[Precio Unitario Neto]]-Tabla4[[#This Row],[20.85%]]-Tabla4[[#This Row],[Costo]]</f>
        <v>#N/A</v>
      </c>
      <c r="S1191" s="282" t="e">
        <f>++Tabla4[[#This Row],[U. Bruta Uni]]*Tabla4[[#This Row],[Cantidad]]</f>
        <v>#N/A</v>
      </c>
      <c r="T1191" s="369" t="str">
        <f>VLOOKUP(Tabla4[[#This Row],[Producto]],Tabla6[#All],14,FALSE)</f>
        <v>Termico Solar</v>
      </c>
      <c r="U1191" s="284" t="e">
        <f>(IF(Tabla4[[#This Row],[Familia]]="termico solar",Tabla4[[#This Row],[Utilidad Total]]*6%,Tabla4[[#This Row],[Utilidad Total]]*11.5%))/Tabla4[[#This Row],[Total]]</f>
        <v>#N/A</v>
      </c>
      <c r="V1191" s="282" t="e">
        <f>+Tabla4[[#This Row],[Comisión Calculada]]*Tabla4[[#This Row],[Total]]</f>
        <v>#N/A</v>
      </c>
    </row>
    <row r="1192" spans="1:22" hidden="1" x14ac:dyDescent="0.25">
      <c r="A1192" s="100">
        <v>45731</v>
      </c>
      <c r="B1192" t="str">
        <f t="shared" si="49"/>
        <v>March</v>
      </c>
      <c r="C1192" s="46" t="s">
        <v>280</v>
      </c>
      <c r="F1192" s="366" t="s">
        <v>1202</v>
      </c>
      <c r="G1192" s="46" t="s">
        <v>18</v>
      </c>
      <c r="H1192" s="46">
        <v>2</v>
      </c>
      <c r="I1192" s="51">
        <v>5367.65</v>
      </c>
      <c r="J1192" s="281">
        <f>++Tabla4[[#This Row],[Precio Bruto]]*1.16</f>
        <v>6226.4739999999993</v>
      </c>
      <c r="K1192" s="281">
        <f>+Tabla4[[#This Row],[Precio Unitario Neto]]*Tabla4[[#Headers],[20.85%]]</f>
        <v>1298.2198289999999</v>
      </c>
      <c r="L1192" s="282">
        <f>++Tabla4[[#This Row],[Precio Unitario Neto]]-Tabla4[[#This Row],[20.85%]]</f>
        <v>4928.2541709999996</v>
      </c>
      <c r="M1192" s="282" t="e">
        <f>(INDEX(Tabla6[#All],MATCH(Tabla4[[#This Row],[Producto]],Tabla6[[#All],[PRODUCTO]],0),MATCH(Tabla4[[#This Row],[Mes]],Tabla6[#Headers],0)))*(1+Catalogos!$L$2)</f>
        <v>#N/A</v>
      </c>
      <c r="N1192" s="283" t="e">
        <f>+(Tabla4[[#This Row],[Precio Descontado]]-Tabla4[[#This Row],[Precio Base]])*Tabla4[[#This Row],[Cantidad]]</f>
        <v>#N/A</v>
      </c>
      <c r="O1192" s="284" t="e">
        <f>++Tabla4[[#This Row],[Utilidad Total]]/Tabla4[[#This Row],[Total]]</f>
        <v>#N/A</v>
      </c>
      <c r="P1192" s="282">
        <f>++Tabla4[[#This Row],[Precio Descontado]]*Tabla4[[#This Row],[Cantidad]]</f>
        <v>9856.5083419999992</v>
      </c>
      <c r="Q1192" s="282" t="e">
        <f>(INDEX(Tabla6[#All],MATCH(Tabla4[[#This Row],[Producto]],Tabla6[[#All],[PRODUCTO]],0),MATCH(Tabla4[[#This Row],[Mes]],Tabla6[#Headers],0)))</f>
        <v>#N/A</v>
      </c>
      <c r="R1192" s="282" t="e">
        <f>++Tabla4[[#This Row],[Precio Unitario Neto]]-Tabla4[[#This Row],[20.85%]]-Tabla4[[#This Row],[Costo]]</f>
        <v>#N/A</v>
      </c>
      <c r="S1192" s="282" t="e">
        <f>++Tabla4[[#This Row],[U. Bruta Uni]]*Tabla4[[#This Row],[Cantidad]]</f>
        <v>#N/A</v>
      </c>
      <c r="T1192" s="369" t="str">
        <f>VLOOKUP(Tabla4[[#This Row],[Producto]],Tabla6[#All],14,FALSE)</f>
        <v>Termico Solar</v>
      </c>
      <c r="U1192" s="284" t="e">
        <f>(IF(Tabla4[[#This Row],[Familia]]="termico solar",Tabla4[[#This Row],[Utilidad Total]]*6%,Tabla4[[#This Row],[Utilidad Total]]*11.5%))/Tabla4[[#This Row],[Total]]</f>
        <v>#N/A</v>
      </c>
      <c r="V1192" s="282" t="e">
        <f>+Tabla4[[#This Row],[Comisión Calculada]]*Tabla4[[#This Row],[Total]]</f>
        <v>#N/A</v>
      </c>
    </row>
    <row r="1193" spans="1:22" hidden="1" x14ac:dyDescent="0.25">
      <c r="A1193" s="100">
        <v>45731</v>
      </c>
      <c r="B1193" t="str">
        <f t="shared" si="49"/>
        <v>March</v>
      </c>
      <c r="C1193" s="46" t="s">
        <v>280</v>
      </c>
      <c r="F1193" s="366" t="s">
        <v>1202</v>
      </c>
      <c r="G1193" s="46" t="s">
        <v>16</v>
      </c>
      <c r="H1193" s="46">
        <v>2</v>
      </c>
      <c r="I1193" s="51">
        <v>4103.8500000000004</v>
      </c>
      <c r="J1193" s="281">
        <f>++Tabla4[[#This Row],[Precio Bruto]]*1.16</f>
        <v>4760.4660000000003</v>
      </c>
      <c r="K1193" s="281">
        <f>+Tabla4[[#This Row],[Precio Unitario Neto]]*Tabla4[[#Headers],[20.85%]]</f>
        <v>992.55716100000006</v>
      </c>
      <c r="L1193" s="282">
        <f>++Tabla4[[#This Row],[Precio Unitario Neto]]-Tabla4[[#This Row],[20.85%]]</f>
        <v>3767.9088390000002</v>
      </c>
      <c r="M1193" s="282" t="e">
        <f>(INDEX(Tabla6[#All],MATCH(Tabla4[[#This Row],[Producto]],Tabla6[[#All],[PRODUCTO]],0),MATCH(Tabla4[[#This Row],[Mes]],Tabla6[#Headers],0)))*(1+Catalogos!$L$2)</f>
        <v>#N/A</v>
      </c>
      <c r="N1193" s="283" t="e">
        <f>+(Tabla4[[#This Row],[Precio Descontado]]-Tabla4[[#This Row],[Precio Base]])*Tabla4[[#This Row],[Cantidad]]</f>
        <v>#N/A</v>
      </c>
      <c r="O1193" s="284" t="e">
        <f>++Tabla4[[#This Row],[Utilidad Total]]/Tabla4[[#This Row],[Total]]</f>
        <v>#N/A</v>
      </c>
      <c r="P1193" s="282">
        <f>++Tabla4[[#This Row],[Precio Descontado]]*Tabla4[[#This Row],[Cantidad]]</f>
        <v>7535.8176780000003</v>
      </c>
      <c r="Q1193" s="282" t="e">
        <f>(INDEX(Tabla6[#All],MATCH(Tabla4[[#This Row],[Producto]],Tabla6[[#All],[PRODUCTO]],0),MATCH(Tabla4[[#This Row],[Mes]],Tabla6[#Headers],0)))</f>
        <v>#N/A</v>
      </c>
      <c r="R1193" s="282" t="e">
        <f>++Tabla4[[#This Row],[Precio Unitario Neto]]-Tabla4[[#This Row],[20.85%]]-Tabla4[[#This Row],[Costo]]</f>
        <v>#N/A</v>
      </c>
      <c r="S1193" s="282" t="e">
        <f>++Tabla4[[#This Row],[U. Bruta Uni]]*Tabla4[[#This Row],[Cantidad]]</f>
        <v>#N/A</v>
      </c>
      <c r="T1193" s="369" t="str">
        <f>VLOOKUP(Tabla4[[#This Row],[Producto]],Tabla6[#All],14,FALSE)</f>
        <v>Termico Solar</v>
      </c>
      <c r="U1193" s="284" t="e">
        <f>(IF(Tabla4[[#This Row],[Familia]]="termico solar",Tabla4[[#This Row],[Utilidad Total]]*6%,Tabla4[[#This Row],[Utilidad Total]]*11.5%))/Tabla4[[#This Row],[Total]]</f>
        <v>#N/A</v>
      </c>
      <c r="V1193" s="282" t="e">
        <f>+Tabla4[[#This Row],[Comisión Calculada]]*Tabla4[[#This Row],[Total]]</f>
        <v>#N/A</v>
      </c>
    </row>
    <row r="1194" spans="1:22" hidden="1" x14ac:dyDescent="0.25">
      <c r="A1194" s="100">
        <v>45731</v>
      </c>
      <c r="B1194" t="str">
        <f t="shared" si="49"/>
        <v>March</v>
      </c>
      <c r="C1194" s="46" t="s">
        <v>280</v>
      </c>
      <c r="F1194" s="366" t="s">
        <v>1203</v>
      </c>
      <c r="G1194" s="46" t="s">
        <v>83</v>
      </c>
      <c r="H1194" s="46">
        <v>2</v>
      </c>
      <c r="I1194" s="51">
        <v>8858.76</v>
      </c>
      <c r="J1194" s="281">
        <f>++Tabla4[[#This Row],[Precio Bruto]]*1.16</f>
        <v>10276.161599999999</v>
      </c>
      <c r="K1194" s="281">
        <f>+Tabla4[[#This Row],[Precio Unitario Neto]]*Tabla4[[#Headers],[20.85%]]</f>
        <v>2142.5796935999997</v>
      </c>
      <c r="L1194" s="282">
        <f>++Tabla4[[#This Row],[Precio Unitario Neto]]-Tabla4[[#This Row],[20.85%]]</f>
        <v>8133.5819063999998</v>
      </c>
      <c r="M1194" s="282" t="e">
        <f>(INDEX(Tabla6[#All],MATCH(Tabla4[[#This Row],[Producto]],Tabla6[[#All],[PRODUCTO]],0),MATCH(Tabla4[[#This Row],[Mes]],Tabla6[#Headers],0)))*(1+Catalogos!$L$2)</f>
        <v>#N/A</v>
      </c>
      <c r="N1194" s="283" t="e">
        <f>+(Tabla4[[#This Row],[Precio Descontado]]-Tabla4[[#This Row],[Precio Base]])*Tabla4[[#This Row],[Cantidad]]</f>
        <v>#N/A</v>
      </c>
      <c r="O1194" s="284" t="e">
        <f>++Tabla4[[#This Row],[Utilidad Total]]/Tabla4[[#This Row],[Total]]</f>
        <v>#N/A</v>
      </c>
      <c r="P1194" s="282">
        <f>++Tabla4[[#This Row],[Precio Descontado]]*Tabla4[[#This Row],[Cantidad]]</f>
        <v>16267.1638128</v>
      </c>
      <c r="Q1194" s="282" t="e">
        <f>(INDEX(Tabla6[#All],MATCH(Tabla4[[#This Row],[Producto]],Tabla6[[#All],[PRODUCTO]],0),MATCH(Tabla4[[#This Row],[Mes]],Tabla6[#Headers],0)))</f>
        <v>#N/A</v>
      </c>
      <c r="R1194" s="282" t="e">
        <f>++Tabla4[[#This Row],[Precio Unitario Neto]]-Tabla4[[#This Row],[20.85%]]-Tabla4[[#This Row],[Costo]]</f>
        <v>#N/A</v>
      </c>
      <c r="S1194" s="282" t="e">
        <f>++Tabla4[[#This Row],[U. Bruta Uni]]*Tabla4[[#This Row],[Cantidad]]</f>
        <v>#N/A</v>
      </c>
      <c r="T1194" s="369" t="str">
        <f>VLOOKUP(Tabla4[[#This Row],[Producto]],Tabla6[#All],14,FALSE)</f>
        <v>Termico Solar</v>
      </c>
      <c r="U1194" s="284" t="e">
        <f>(IF(Tabla4[[#This Row],[Familia]]="termico solar",Tabla4[[#This Row],[Utilidad Total]]*6%,Tabla4[[#This Row],[Utilidad Total]]*11.5%))/Tabla4[[#This Row],[Total]]</f>
        <v>#N/A</v>
      </c>
      <c r="V1194" s="282" t="e">
        <f>+Tabla4[[#This Row],[Comisión Calculada]]*Tabla4[[#This Row],[Total]]</f>
        <v>#N/A</v>
      </c>
    </row>
    <row r="1195" spans="1:22" hidden="1" x14ac:dyDescent="0.25">
      <c r="A1195" s="100">
        <v>45731</v>
      </c>
      <c r="B1195" t="str">
        <f t="shared" si="49"/>
        <v>March</v>
      </c>
      <c r="C1195" s="46" t="s">
        <v>280</v>
      </c>
      <c r="F1195" s="366" t="s">
        <v>1203</v>
      </c>
      <c r="G1195" s="46" t="s">
        <v>17</v>
      </c>
      <c r="H1195" s="46">
        <v>7</v>
      </c>
      <c r="I1195" s="51">
        <v>4622.28</v>
      </c>
      <c r="J1195" s="281">
        <f>++Tabla4[[#This Row],[Precio Bruto]]*1.16</f>
        <v>5361.8447999999989</v>
      </c>
      <c r="K1195" s="281">
        <f>+Tabla4[[#This Row],[Precio Unitario Neto]]*Tabla4[[#Headers],[20.85%]]</f>
        <v>1117.9446407999997</v>
      </c>
      <c r="L1195" s="282">
        <f>++Tabla4[[#This Row],[Precio Unitario Neto]]-Tabla4[[#This Row],[20.85%]]</f>
        <v>4243.9001591999995</v>
      </c>
      <c r="M1195" s="282" t="e">
        <f>(INDEX(Tabla6[#All],MATCH(Tabla4[[#This Row],[Producto]],Tabla6[[#All],[PRODUCTO]],0),MATCH(Tabla4[[#This Row],[Mes]],Tabla6[#Headers],0)))*(1+Catalogos!$L$2)</f>
        <v>#N/A</v>
      </c>
      <c r="N1195" s="283" t="e">
        <f>+(Tabla4[[#This Row],[Precio Descontado]]-Tabla4[[#This Row],[Precio Base]])*Tabla4[[#This Row],[Cantidad]]</f>
        <v>#N/A</v>
      </c>
      <c r="O1195" s="284" t="e">
        <f>++Tabla4[[#This Row],[Utilidad Total]]/Tabla4[[#This Row],[Total]]</f>
        <v>#N/A</v>
      </c>
      <c r="P1195" s="282">
        <f>++Tabla4[[#This Row],[Precio Descontado]]*Tabla4[[#This Row],[Cantidad]]</f>
        <v>29707.301114399997</v>
      </c>
      <c r="Q1195" s="282" t="e">
        <f>(INDEX(Tabla6[#All],MATCH(Tabla4[[#This Row],[Producto]],Tabla6[[#All],[PRODUCTO]],0),MATCH(Tabla4[[#This Row],[Mes]],Tabla6[#Headers],0)))</f>
        <v>#N/A</v>
      </c>
      <c r="R1195" s="282" t="e">
        <f>++Tabla4[[#This Row],[Precio Unitario Neto]]-Tabla4[[#This Row],[20.85%]]-Tabla4[[#This Row],[Costo]]</f>
        <v>#N/A</v>
      </c>
      <c r="S1195" s="282" t="e">
        <f>++Tabla4[[#This Row],[U. Bruta Uni]]*Tabla4[[#This Row],[Cantidad]]</f>
        <v>#N/A</v>
      </c>
      <c r="T1195" s="369" t="str">
        <f>VLOOKUP(Tabla4[[#This Row],[Producto]],Tabla6[#All],14,FALSE)</f>
        <v>Termico Solar</v>
      </c>
      <c r="U1195" s="284" t="e">
        <f>(IF(Tabla4[[#This Row],[Familia]]="termico solar",Tabla4[[#This Row],[Utilidad Total]]*6%,Tabla4[[#This Row],[Utilidad Total]]*11.5%))/Tabla4[[#This Row],[Total]]</f>
        <v>#N/A</v>
      </c>
      <c r="V1195" s="282" t="e">
        <f>+Tabla4[[#This Row],[Comisión Calculada]]*Tabla4[[#This Row],[Total]]</f>
        <v>#N/A</v>
      </c>
    </row>
    <row r="1196" spans="1:22" hidden="1" x14ac:dyDescent="0.25">
      <c r="A1196" s="100">
        <v>45731</v>
      </c>
      <c r="B1196" t="str">
        <f t="shared" si="49"/>
        <v>March</v>
      </c>
      <c r="C1196" s="46" t="s">
        <v>280</v>
      </c>
      <c r="F1196" s="366" t="s">
        <v>1203</v>
      </c>
      <c r="G1196" s="46" t="s">
        <v>18</v>
      </c>
      <c r="H1196" s="46">
        <v>1</v>
      </c>
      <c r="I1196" s="51">
        <v>5367.65</v>
      </c>
      <c r="J1196" s="281">
        <f>++Tabla4[[#This Row],[Precio Bruto]]*1.16</f>
        <v>6226.4739999999993</v>
      </c>
      <c r="K1196" s="281">
        <f>+Tabla4[[#This Row],[Precio Unitario Neto]]*Tabla4[[#Headers],[20.85%]]</f>
        <v>1298.2198289999999</v>
      </c>
      <c r="L1196" s="282">
        <f>++Tabla4[[#This Row],[Precio Unitario Neto]]-Tabla4[[#This Row],[20.85%]]</f>
        <v>4928.2541709999996</v>
      </c>
      <c r="M1196" s="282" t="e">
        <f>(INDEX(Tabla6[#All],MATCH(Tabla4[[#This Row],[Producto]],Tabla6[[#All],[PRODUCTO]],0),MATCH(Tabla4[[#This Row],[Mes]],Tabla6[#Headers],0)))*(1+Catalogos!$L$2)</f>
        <v>#N/A</v>
      </c>
      <c r="N1196" s="283" t="e">
        <f>+(Tabla4[[#This Row],[Precio Descontado]]-Tabla4[[#This Row],[Precio Base]])*Tabla4[[#This Row],[Cantidad]]</f>
        <v>#N/A</v>
      </c>
      <c r="O1196" s="284" t="e">
        <f>++Tabla4[[#This Row],[Utilidad Total]]/Tabla4[[#This Row],[Total]]</f>
        <v>#N/A</v>
      </c>
      <c r="P1196" s="282">
        <f>++Tabla4[[#This Row],[Precio Descontado]]*Tabla4[[#This Row],[Cantidad]]</f>
        <v>4928.2541709999996</v>
      </c>
      <c r="Q1196" s="282" t="e">
        <f>(INDEX(Tabla6[#All],MATCH(Tabla4[[#This Row],[Producto]],Tabla6[[#All],[PRODUCTO]],0),MATCH(Tabla4[[#This Row],[Mes]],Tabla6[#Headers],0)))</f>
        <v>#N/A</v>
      </c>
      <c r="R1196" s="282" t="e">
        <f>++Tabla4[[#This Row],[Precio Unitario Neto]]-Tabla4[[#This Row],[20.85%]]-Tabla4[[#This Row],[Costo]]</f>
        <v>#N/A</v>
      </c>
      <c r="S1196" s="282" t="e">
        <f>++Tabla4[[#This Row],[U. Bruta Uni]]*Tabla4[[#This Row],[Cantidad]]</f>
        <v>#N/A</v>
      </c>
      <c r="T1196" s="369" t="str">
        <f>VLOOKUP(Tabla4[[#This Row],[Producto]],Tabla6[#All],14,FALSE)</f>
        <v>Termico Solar</v>
      </c>
      <c r="U1196" s="284" t="e">
        <f>(IF(Tabla4[[#This Row],[Familia]]="termico solar",Tabla4[[#This Row],[Utilidad Total]]*6%,Tabla4[[#This Row],[Utilidad Total]]*11.5%))/Tabla4[[#This Row],[Total]]</f>
        <v>#N/A</v>
      </c>
      <c r="V1196" s="282" t="e">
        <f>+Tabla4[[#This Row],[Comisión Calculada]]*Tabla4[[#This Row],[Total]]</f>
        <v>#N/A</v>
      </c>
    </row>
    <row r="1197" spans="1:22" hidden="1" x14ac:dyDescent="0.25">
      <c r="A1197" s="100">
        <v>45731</v>
      </c>
      <c r="B1197" t="str">
        <f t="shared" si="49"/>
        <v>March</v>
      </c>
      <c r="C1197" s="46" t="s">
        <v>280</v>
      </c>
      <c r="F1197" s="366" t="s">
        <v>1203</v>
      </c>
      <c r="G1197" s="46" t="s">
        <v>208</v>
      </c>
      <c r="H1197" s="46">
        <v>15</v>
      </c>
      <c r="I1197" s="51">
        <v>140.63</v>
      </c>
      <c r="J1197" s="281">
        <f>++Tabla4[[#This Row],[Precio Bruto]]*1.16</f>
        <v>163.13079999999999</v>
      </c>
      <c r="K1197" s="281">
        <f>+Tabla4[[#This Row],[Precio Unitario Neto]]*Tabla4[[#Headers],[20.85%]]</f>
        <v>34.012771799999996</v>
      </c>
      <c r="L1197" s="282">
        <f>++Tabla4[[#This Row],[Precio Unitario Neto]]-Tabla4[[#This Row],[20.85%]]</f>
        <v>129.1180282</v>
      </c>
      <c r="M1197" s="282" t="e">
        <f>(INDEX(Tabla6[#All],MATCH(Tabla4[[#This Row],[Producto]],Tabla6[[#All],[PRODUCTO]],0),MATCH(Tabla4[[#This Row],[Mes]],Tabla6[#Headers],0)))*(1+Catalogos!$L$2)</f>
        <v>#N/A</v>
      </c>
      <c r="N1197" s="283" t="e">
        <f>+(Tabla4[[#This Row],[Precio Descontado]]-Tabla4[[#This Row],[Precio Base]])*Tabla4[[#This Row],[Cantidad]]</f>
        <v>#N/A</v>
      </c>
      <c r="O1197" s="284" t="e">
        <f>++Tabla4[[#This Row],[Utilidad Total]]/Tabla4[[#This Row],[Total]]</f>
        <v>#N/A</v>
      </c>
      <c r="P1197" s="282">
        <f>++Tabla4[[#This Row],[Precio Descontado]]*Tabla4[[#This Row],[Cantidad]]</f>
        <v>1936.7704229999999</v>
      </c>
      <c r="Q1197" s="282" t="e">
        <f>(INDEX(Tabla6[#All],MATCH(Tabla4[[#This Row],[Producto]],Tabla6[[#All],[PRODUCTO]],0),MATCH(Tabla4[[#This Row],[Mes]],Tabla6[#Headers],0)))</f>
        <v>#N/A</v>
      </c>
      <c r="R1197" s="282" t="e">
        <f>++Tabla4[[#This Row],[Precio Unitario Neto]]-Tabla4[[#This Row],[20.85%]]-Tabla4[[#This Row],[Costo]]</f>
        <v>#N/A</v>
      </c>
      <c r="S1197" s="282" t="e">
        <f>++Tabla4[[#This Row],[U. Bruta Uni]]*Tabla4[[#This Row],[Cantidad]]</f>
        <v>#N/A</v>
      </c>
      <c r="T1197" s="369" t="str">
        <f>VLOOKUP(Tabla4[[#This Row],[Producto]],Tabla6[#All],14,FALSE)</f>
        <v>Termico Solar</v>
      </c>
      <c r="U1197" s="284" t="e">
        <f>(IF(Tabla4[[#This Row],[Familia]]="termico solar",Tabla4[[#This Row],[Utilidad Total]]*6%,Tabla4[[#This Row],[Utilidad Total]]*11.5%))/Tabla4[[#This Row],[Total]]</f>
        <v>#N/A</v>
      </c>
      <c r="V1197" s="282" t="e">
        <f>+Tabla4[[#This Row],[Comisión Calculada]]*Tabla4[[#This Row],[Total]]</f>
        <v>#N/A</v>
      </c>
    </row>
    <row r="1198" spans="1:22" hidden="1" x14ac:dyDescent="0.25">
      <c r="A1198" s="100">
        <v>45731</v>
      </c>
      <c r="B1198" t="str">
        <f t="shared" si="49"/>
        <v>March</v>
      </c>
      <c r="C1198" s="46" t="s">
        <v>280</v>
      </c>
      <c r="F1198" s="366" t="s">
        <v>1204</v>
      </c>
      <c r="G1198" s="46" t="s">
        <v>83</v>
      </c>
      <c r="H1198" s="46">
        <v>1</v>
      </c>
      <c r="I1198" s="51">
        <v>8858.76</v>
      </c>
      <c r="J1198" s="281">
        <f>++Tabla4[[#This Row],[Precio Bruto]]*1.16</f>
        <v>10276.161599999999</v>
      </c>
      <c r="K1198" s="281">
        <f>+Tabla4[[#This Row],[Precio Unitario Neto]]*Tabla4[[#Headers],[20.85%]]</f>
        <v>2142.5796935999997</v>
      </c>
      <c r="L1198" s="282">
        <f>++Tabla4[[#This Row],[Precio Unitario Neto]]-Tabla4[[#This Row],[20.85%]]</f>
        <v>8133.5819063999998</v>
      </c>
      <c r="M1198" s="282" t="e">
        <f>(INDEX(Tabla6[#All],MATCH(Tabla4[[#This Row],[Producto]],Tabla6[[#All],[PRODUCTO]],0),MATCH(Tabla4[[#This Row],[Mes]],Tabla6[#Headers],0)))*(1+Catalogos!$L$2)</f>
        <v>#N/A</v>
      </c>
      <c r="N1198" s="283" t="e">
        <f>+(Tabla4[[#This Row],[Precio Descontado]]-Tabla4[[#This Row],[Precio Base]])*Tabla4[[#This Row],[Cantidad]]</f>
        <v>#N/A</v>
      </c>
      <c r="O1198" s="284" t="e">
        <f>++Tabla4[[#This Row],[Utilidad Total]]/Tabla4[[#This Row],[Total]]</f>
        <v>#N/A</v>
      </c>
      <c r="P1198" s="282">
        <f>++Tabla4[[#This Row],[Precio Descontado]]*Tabla4[[#This Row],[Cantidad]]</f>
        <v>8133.5819063999998</v>
      </c>
      <c r="Q1198" s="282" t="e">
        <f>(INDEX(Tabla6[#All],MATCH(Tabla4[[#This Row],[Producto]],Tabla6[[#All],[PRODUCTO]],0),MATCH(Tabla4[[#This Row],[Mes]],Tabla6[#Headers],0)))</f>
        <v>#N/A</v>
      </c>
      <c r="R1198" s="282" t="e">
        <f>++Tabla4[[#This Row],[Precio Unitario Neto]]-Tabla4[[#This Row],[20.85%]]-Tabla4[[#This Row],[Costo]]</f>
        <v>#N/A</v>
      </c>
      <c r="S1198" s="282" t="e">
        <f>++Tabla4[[#This Row],[U. Bruta Uni]]*Tabla4[[#This Row],[Cantidad]]</f>
        <v>#N/A</v>
      </c>
      <c r="T1198" s="369" t="str">
        <f>VLOOKUP(Tabla4[[#This Row],[Producto]],Tabla6[#All],14,FALSE)</f>
        <v>Termico Solar</v>
      </c>
      <c r="U1198" s="284" t="e">
        <f>(IF(Tabla4[[#This Row],[Familia]]="termico solar",Tabla4[[#This Row],[Utilidad Total]]*6%,Tabla4[[#This Row],[Utilidad Total]]*11.5%))/Tabla4[[#This Row],[Total]]</f>
        <v>#N/A</v>
      </c>
      <c r="V1198" s="282" t="e">
        <f>+Tabla4[[#This Row],[Comisión Calculada]]*Tabla4[[#This Row],[Total]]</f>
        <v>#N/A</v>
      </c>
    </row>
    <row r="1199" spans="1:22" hidden="1" x14ac:dyDescent="0.25">
      <c r="A1199" s="100">
        <v>45731</v>
      </c>
      <c r="B1199" t="str">
        <f t="shared" si="49"/>
        <v>March</v>
      </c>
      <c r="C1199" s="46" t="s">
        <v>280</v>
      </c>
      <c r="F1199" s="366" t="s">
        <v>1205</v>
      </c>
      <c r="G1199" s="46" t="s">
        <v>18</v>
      </c>
      <c r="H1199" s="46">
        <v>2</v>
      </c>
      <c r="I1199" s="51">
        <v>5367.65</v>
      </c>
      <c r="J1199" s="281">
        <f>++Tabla4[[#This Row],[Precio Bruto]]*1.16</f>
        <v>6226.4739999999993</v>
      </c>
      <c r="K1199" s="281">
        <f>+Tabla4[[#This Row],[Precio Unitario Neto]]*Tabla4[[#Headers],[20.85%]]</f>
        <v>1298.2198289999999</v>
      </c>
      <c r="L1199" s="282">
        <f>++Tabla4[[#This Row],[Precio Unitario Neto]]-Tabla4[[#This Row],[20.85%]]</f>
        <v>4928.2541709999996</v>
      </c>
      <c r="M1199" s="282" t="e">
        <f>(INDEX(Tabla6[#All],MATCH(Tabla4[[#This Row],[Producto]],Tabla6[[#All],[PRODUCTO]],0),MATCH(Tabla4[[#This Row],[Mes]],Tabla6[#Headers],0)))*(1+Catalogos!$L$2)</f>
        <v>#N/A</v>
      </c>
      <c r="N1199" s="283" t="e">
        <f>+(Tabla4[[#This Row],[Precio Descontado]]-Tabla4[[#This Row],[Precio Base]])*Tabla4[[#This Row],[Cantidad]]</f>
        <v>#N/A</v>
      </c>
      <c r="O1199" s="284" t="e">
        <f>++Tabla4[[#This Row],[Utilidad Total]]/Tabla4[[#This Row],[Total]]</f>
        <v>#N/A</v>
      </c>
      <c r="P1199" s="282">
        <f>++Tabla4[[#This Row],[Precio Descontado]]*Tabla4[[#This Row],[Cantidad]]</f>
        <v>9856.5083419999992</v>
      </c>
      <c r="Q1199" s="282" t="e">
        <f>(INDEX(Tabla6[#All],MATCH(Tabla4[[#This Row],[Producto]],Tabla6[[#All],[PRODUCTO]],0),MATCH(Tabla4[[#This Row],[Mes]],Tabla6[#Headers],0)))</f>
        <v>#N/A</v>
      </c>
      <c r="R1199" s="282" t="e">
        <f>++Tabla4[[#This Row],[Precio Unitario Neto]]-Tabla4[[#This Row],[20.85%]]-Tabla4[[#This Row],[Costo]]</f>
        <v>#N/A</v>
      </c>
      <c r="S1199" s="282" t="e">
        <f>++Tabla4[[#This Row],[U. Bruta Uni]]*Tabla4[[#This Row],[Cantidad]]</f>
        <v>#N/A</v>
      </c>
      <c r="T1199" s="369" t="str">
        <f>VLOOKUP(Tabla4[[#This Row],[Producto]],Tabla6[#All],14,FALSE)</f>
        <v>Termico Solar</v>
      </c>
      <c r="U1199" s="284" t="e">
        <f>(IF(Tabla4[[#This Row],[Familia]]="termico solar",Tabla4[[#This Row],[Utilidad Total]]*6%,Tabla4[[#This Row],[Utilidad Total]]*11.5%))/Tabla4[[#This Row],[Total]]</f>
        <v>#N/A</v>
      </c>
      <c r="V1199" s="282" t="e">
        <f>+Tabla4[[#This Row],[Comisión Calculada]]*Tabla4[[#This Row],[Total]]</f>
        <v>#N/A</v>
      </c>
    </row>
    <row r="1200" spans="1:22" hidden="1" x14ac:dyDescent="0.25">
      <c r="A1200" s="100">
        <v>45731</v>
      </c>
      <c r="B1200" t="str">
        <f t="shared" si="49"/>
        <v>March</v>
      </c>
      <c r="C1200" s="46" t="s">
        <v>280</v>
      </c>
      <c r="F1200" s="366" t="s">
        <v>1206</v>
      </c>
      <c r="G1200" s="46" t="s">
        <v>18</v>
      </c>
      <c r="H1200" s="46">
        <v>2</v>
      </c>
      <c r="I1200" s="51">
        <v>5367.65</v>
      </c>
      <c r="J1200" s="281">
        <f>++Tabla4[[#This Row],[Precio Bruto]]*1.16</f>
        <v>6226.4739999999993</v>
      </c>
      <c r="K1200" s="281">
        <f>+Tabla4[[#This Row],[Precio Unitario Neto]]*Tabla4[[#Headers],[20.85%]]</f>
        <v>1298.2198289999999</v>
      </c>
      <c r="L1200" s="282">
        <f>++Tabla4[[#This Row],[Precio Unitario Neto]]-Tabla4[[#This Row],[20.85%]]</f>
        <v>4928.2541709999996</v>
      </c>
      <c r="M1200" s="282" t="e">
        <f>(INDEX(Tabla6[#All],MATCH(Tabla4[[#This Row],[Producto]],Tabla6[[#All],[PRODUCTO]],0),MATCH(Tabla4[[#This Row],[Mes]],Tabla6[#Headers],0)))*(1+Catalogos!$L$2)</f>
        <v>#N/A</v>
      </c>
      <c r="N1200" s="283" t="e">
        <f>+(Tabla4[[#This Row],[Precio Descontado]]-Tabla4[[#This Row],[Precio Base]])*Tabla4[[#This Row],[Cantidad]]</f>
        <v>#N/A</v>
      </c>
      <c r="O1200" s="284" t="e">
        <f>++Tabla4[[#This Row],[Utilidad Total]]/Tabla4[[#This Row],[Total]]</f>
        <v>#N/A</v>
      </c>
      <c r="P1200" s="282">
        <f>++Tabla4[[#This Row],[Precio Descontado]]*Tabla4[[#This Row],[Cantidad]]</f>
        <v>9856.5083419999992</v>
      </c>
      <c r="Q1200" s="282" t="e">
        <f>(INDEX(Tabla6[#All],MATCH(Tabla4[[#This Row],[Producto]],Tabla6[[#All],[PRODUCTO]],0),MATCH(Tabla4[[#This Row],[Mes]],Tabla6[#Headers],0)))</f>
        <v>#N/A</v>
      </c>
      <c r="R1200" s="282" t="e">
        <f>++Tabla4[[#This Row],[Precio Unitario Neto]]-Tabla4[[#This Row],[20.85%]]-Tabla4[[#This Row],[Costo]]</f>
        <v>#N/A</v>
      </c>
      <c r="S1200" s="282" t="e">
        <f>++Tabla4[[#This Row],[U. Bruta Uni]]*Tabla4[[#This Row],[Cantidad]]</f>
        <v>#N/A</v>
      </c>
      <c r="T1200" s="369" t="str">
        <f>VLOOKUP(Tabla4[[#This Row],[Producto]],Tabla6[#All],14,FALSE)</f>
        <v>Termico Solar</v>
      </c>
      <c r="U1200" s="284" t="e">
        <f>(IF(Tabla4[[#This Row],[Familia]]="termico solar",Tabla4[[#This Row],[Utilidad Total]]*6%,Tabla4[[#This Row],[Utilidad Total]]*11.5%))/Tabla4[[#This Row],[Total]]</f>
        <v>#N/A</v>
      </c>
      <c r="V1200" s="282" t="e">
        <f>+Tabla4[[#This Row],[Comisión Calculada]]*Tabla4[[#This Row],[Total]]</f>
        <v>#N/A</v>
      </c>
    </row>
    <row r="1201" spans="1:22" hidden="1" x14ac:dyDescent="0.25">
      <c r="A1201" s="100">
        <v>45731</v>
      </c>
      <c r="B1201" t="str">
        <f t="shared" si="49"/>
        <v>March</v>
      </c>
      <c r="C1201" s="46" t="s">
        <v>280</v>
      </c>
      <c r="F1201" s="366" t="s">
        <v>1206</v>
      </c>
      <c r="G1201" s="46" t="s">
        <v>208</v>
      </c>
      <c r="H1201" s="46">
        <v>15</v>
      </c>
      <c r="I1201" s="51">
        <v>140.63</v>
      </c>
      <c r="J1201" s="281">
        <f>++Tabla4[[#This Row],[Precio Bruto]]*1.16</f>
        <v>163.13079999999999</v>
      </c>
      <c r="K1201" s="281">
        <f>+Tabla4[[#This Row],[Precio Unitario Neto]]*Tabla4[[#Headers],[20.85%]]</f>
        <v>34.012771799999996</v>
      </c>
      <c r="L1201" s="282">
        <f>++Tabla4[[#This Row],[Precio Unitario Neto]]-Tabla4[[#This Row],[20.85%]]</f>
        <v>129.1180282</v>
      </c>
      <c r="M1201" s="282" t="e">
        <f>(INDEX(Tabla6[#All],MATCH(Tabla4[[#This Row],[Producto]],Tabla6[[#All],[PRODUCTO]],0),MATCH(Tabla4[[#This Row],[Mes]],Tabla6[#Headers],0)))*(1+Catalogos!$L$2)</f>
        <v>#N/A</v>
      </c>
      <c r="N1201" s="283" t="e">
        <f>+(Tabla4[[#This Row],[Precio Descontado]]-Tabla4[[#This Row],[Precio Base]])*Tabla4[[#This Row],[Cantidad]]</f>
        <v>#N/A</v>
      </c>
      <c r="O1201" s="284" t="e">
        <f>++Tabla4[[#This Row],[Utilidad Total]]/Tabla4[[#This Row],[Total]]</f>
        <v>#N/A</v>
      </c>
      <c r="P1201" s="282">
        <f>++Tabla4[[#This Row],[Precio Descontado]]*Tabla4[[#This Row],[Cantidad]]</f>
        <v>1936.7704229999999</v>
      </c>
      <c r="Q1201" s="282" t="e">
        <f>(INDEX(Tabla6[#All],MATCH(Tabla4[[#This Row],[Producto]],Tabla6[[#All],[PRODUCTO]],0),MATCH(Tabla4[[#This Row],[Mes]],Tabla6[#Headers],0)))</f>
        <v>#N/A</v>
      </c>
      <c r="R1201" s="282" t="e">
        <f>++Tabla4[[#This Row],[Precio Unitario Neto]]-Tabla4[[#This Row],[20.85%]]-Tabla4[[#This Row],[Costo]]</f>
        <v>#N/A</v>
      </c>
      <c r="S1201" s="282" t="e">
        <f>++Tabla4[[#This Row],[U. Bruta Uni]]*Tabla4[[#This Row],[Cantidad]]</f>
        <v>#N/A</v>
      </c>
      <c r="T1201" s="369" t="str">
        <f>VLOOKUP(Tabla4[[#This Row],[Producto]],Tabla6[#All],14,FALSE)</f>
        <v>Termico Solar</v>
      </c>
      <c r="U1201" s="284" t="e">
        <f>(IF(Tabla4[[#This Row],[Familia]]="termico solar",Tabla4[[#This Row],[Utilidad Total]]*6%,Tabla4[[#This Row],[Utilidad Total]]*11.5%))/Tabla4[[#This Row],[Total]]</f>
        <v>#N/A</v>
      </c>
      <c r="V1201" s="282" t="e">
        <f>+Tabla4[[#This Row],[Comisión Calculada]]*Tabla4[[#This Row],[Total]]</f>
        <v>#N/A</v>
      </c>
    </row>
    <row r="1202" spans="1:22" hidden="1" x14ac:dyDescent="0.25">
      <c r="A1202" s="100">
        <v>45731</v>
      </c>
      <c r="B1202" t="str">
        <f t="shared" si="49"/>
        <v>March</v>
      </c>
      <c r="C1202" s="46" t="s">
        <v>280</v>
      </c>
      <c r="F1202" s="366" t="s">
        <v>1207</v>
      </c>
      <c r="G1202" s="46" t="s">
        <v>208</v>
      </c>
      <c r="H1202" s="46">
        <v>1</v>
      </c>
      <c r="I1202" s="51">
        <v>189.75</v>
      </c>
      <c r="J1202" s="281">
        <f>++Tabla4[[#This Row],[Precio Bruto]]*1.16</f>
        <v>220.10999999999999</v>
      </c>
      <c r="K1202" s="281">
        <f>+Tabla4[[#This Row],[Precio Unitario Neto]]*Tabla4[[#Headers],[20.85%]]</f>
        <v>45.892934999999994</v>
      </c>
      <c r="L1202" s="282">
        <f>++Tabla4[[#This Row],[Precio Unitario Neto]]-Tabla4[[#This Row],[20.85%]]</f>
        <v>174.21706499999999</v>
      </c>
      <c r="M1202" s="282" t="e">
        <f>(INDEX(Tabla6[#All],MATCH(Tabla4[[#This Row],[Producto]],Tabla6[[#All],[PRODUCTO]],0),MATCH(Tabla4[[#This Row],[Mes]],Tabla6[#Headers],0)))*(1+Catalogos!$L$2)</f>
        <v>#N/A</v>
      </c>
      <c r="N1202" s="283" t="e">
        <f>+(Tabla4[[#This Row],[Precio Descontado]]-Tabla4[[#This Row],[Precio Base]])*Tabla4[[#This Row],[Cantidad]]</f>
        <v>#N/A</v>
      </c>
      <c r="O1202" s="284" t="e">
        <f>++Tabla4[[#This Row],[Utilidad Total]]/Tabla4[[#This Row],[Total]]</f>
        <v>#N/A</v>
      </c>
      <c r="P1202" s="282">
        <f>++Tabla4[[#This Row],[Precio Descontado]]*Tabla4[[#This Row],[Cantidad]]</f>
        <v>174.21706499999999</v>
      </c>
      <c r="Q1202" s="282" t="e">
        <f>(INDEX(Tabla6[#All],MATCH(Tabla4[[#This Row],[Producto]],Tabla6[[#All],[PRODUCTO]],0),MATCH(Tabla4[[#This Row],[Mes]],Tabla6[#Headers],0)))</f>
        <v>#N/A</v>
      </c>
      <c r="R1202" s="282" t="e">
        <f>++Tabla4[[#This Row],[Precio Unitario Neto]]-Tabla4[[#This Row],[20.85%]]-Tabla4[[#This Row],[Costo]]</f>
        <v>#N/A</v>
      </c>
      <c r="S1202" s="282" t="e">
        <f>++Tabla4[[#This Row],[U. Bruta Uni]]*Tabla4[[#This Row],[Cantidad]]</f>
        <v>#N/A</v>
      </c>
      <c r="T1202" s="369" t="str">
        <f>VLOOKUP(Tabla4[[#This Row],[Producto]],Tabla6[#All],14,FALSE)</f>
        <v>Termico Solar</v>
      </c>
      <c r="U1202" s="284" t="e">
        <f>(IF(Tabla4[[#This Row],[Familia]]="termico solar",Tabla4[[#This Row],[Utilidad Total]]*6%,Tabla4[[#This Row],[Utilidad Total]]*11.5%))/Tabla4[[#This Row],[Total]]</f>
        <v>#N/A</v>
      </c>
      <c r="V1202" s="282" t="e">
        <f>+Tabla4[[#This Row],[Comisión Calculada]]*Tabla4[[#This Row],[Total]]</f>
        <v>#N/A</v>
      </c>
    </row>
    <row r="1203" spans="1:22" hidden="1" x14ac:dyDescent="0.25">
      <c r="A1203" s="100">
        <v>45731</v>
      </c>
      <c r="B1203" t="str">
        <f t="shared" si="49"/>
        <v>March</v>
      </c>
      <c r="C1203" s="46" t="s">
        <v>280</v>
      </c>
      <c r="F1203" s="366" t="s">
        <v>1208</v>
      </c>
      <c r="G1203" s="46" t="s">
        <v>17</v>
      </c>
      <c r="H1203" s="46">
        <v>1</v>
      </c>
      <c r="I1203" s="51">
        <v>4622.28</v>
      </c>
      <c r="J1203" s="281">
        <f>++Tabla4[[#This Row],[Precio Bruto]]*1.16</f>
        <v>5361.8447999999989</v>
      </c>
      <c r="K1203" s="281">
        <f>+Tabla4[[#This Row],[Precio Unitario Neto]]*Tabla4[[#Headers],[20.85%]]</f>
        <v>1117.9446407999997</v>
      </c>
      <c r="L1203" s="282">
        <f>++Tabla4[[#This Row],[Precio Unitario Neto]]-Tabla4[[#This Row],[20.85%]]</f>
        <v>4243.9001591999995</v>
      </c>
      <c r="M1203" s="282" t="e">
        <f>(INDEX(Tabla6[#All],MATCH(Tabla4[[#This Row],[Producto]],Tabla6[[#All],[PRODUCTO]],0),MATCH(Tabla4[[#This Row],[Mes]],Tabla6[#Headers],0)))*(1+Catalogos!$L$2)</f>
        <v>#N/A</v>
      </c>
      <c r="N1203" s="283" t="e">
        <f>+(Tabla4[[#This Row],[Precio Descontado]]-Tabla4[[#This Row],[Precio Base]])*Tabla4[[#This Row],[Cantidad]]</f>
        <v>#N/A</v>
      </c>
      <c r="O1203" s="284" t="e">
        <f>++Tabla4[[#This Row],[Utilidad Total]]/Tabla4[[#This Row],[Total]]</f>
        <v>#N/A</v>
      </c>
      <c r="P1203" s="282">
        <f>++Tabla4[[#This Row],[Precio Descontado]]*Tabla4[[#This Row],[Cantidad]]</f>
        <v>4243.9001591999995</v>
      </c>
      <c r="Q1203" s="282" t="e">
        <f>(INDEX(Tabla6[#All],MATCH(Tabla4[[#This Row],[Producto]],Tabla6[[#All],[PRODUCTO]],0),MATCH(Tabla4[[#This Row],[Mes]],Tabla6[#Headers],0)))</f>
        <v>#N/A</v>
      </c>
      <c r="R1203" s="282" t="e">
        <f>++Tabla4[[#This Row],[Precio Unitario Neto]]-Tabla4[[#This Row],[20.85%]]-Tabla4[[#This Row],[Costo]]</f>
        <v>#N/A</v>
      </c>
      <c r="S1203" s="282" t="e">
        <f>++Tabla4[[#This Row],[U. Bruta Uni]]*Tabla4[[#This Row],[Cantidad]]</f>
        <v>#N/A</v>
      </c>
      <c r="T1203" s="369" t="str">
        <f>VLOOKUP(Tabla4[[#This Row],[Producto]],Tabla6[#All],14,FALSE)</f>
        <v>Termico Solar</v>
      </c>
      <c r="U1203" s="284" t="e">
        <f>(IF(Tabla4[[#This Row],[Familia]]="termico solar",Tabla4[[#This Row],[Utilidad Total]]*6%,Tabla4[[#This Row],[Utilidad Total]]*11.5%))/Tabla4[[#This Row],[Total]]</f>
        <v>#N/A</v>
      </c>
      <c r="V1203" s="282" t="e">
        <f>+Tabla4[[#This Row],[Comisión Calculada]]*Tabla4[[#This Row],[Total]]</f>
        <v>#N/A</v>
      </c>
    </row>
    <row r="1204" spans="1:22" hidden="1" x14ac:dyDescent="0.25">
      <c r="A1204" s="100">
        <v>45731</v>
      </c>
      <c r="B1204" t="str">
        <f t="shared" si="49"/>
        <v>March</v>
      </c>
      <c r="C1204" s="46" t="s">
        <v>280</v>
      </c>
      <c r="F1204" s="366" t="s">
        <v>1208</v>
      </c>
      <c r="G1204" s="46" t="s">
        <v>16</v>
      </c>
      <c r="H1204" s="46">
        <v>2</v>
      </c>
      <c r="I1204" s="51">
        <v>4103.8500000000004</v>
      </c>
      <c r="J1204" s="281">
        <f>++Tabla4[[#This Row],[Precio Bruto]]*1.16</f>
        <v>4760.4660000000003</v>
      </c>
      <c r="K1204" s="281">
        <f>+Tabla4[[#This Row],[Precio Unitario Neto]]*Tabla4[[#Headers],[20.85%]]</f>
        <v>992.55716100000006</v>
      </c>
      <c r="L1204" s="282">
        <f>++Tabla4[[#This Row],[Precio Unitario Neto]]-Tabla4[[#This Row],[20.85%]]</f>
        <v>3767.9088390000002</v>
      </c>
      <c r="M1204" s="282" t="e">
        <f>(INDEX(Tabla6[#All],MATCH(Tabla4[[#This Row],[Producto]],Tabla6[[#All],[PRODUCTO]],0),MATCH(Tabla4[[#This Row],[Mes]],Tabla6[#Headers],0)))*(1+Catalogos!$L$2)</f>
        <v>#N/A</v>
      </c>
      <c r="N1204" s="283" t="e">
        <f>+(Tabla4[[#This Row],[Precio Descontado]]-Tabla4[[#This Row],[Precio Base]])*Tabla4[[#This Row],[Cantidad]]</f>
        <v>#N/A</v>
      </c>
      <c r="O1204" s="284" t="e">
        <f>++Tabla4[[#This Row],[Utilidad Total]]/Tabla4[[#This Row],[Total]]</f>
        <v>#N/A</v>
      </c>
      <c r="P1204" s="282">
        <f>++Tabla4[[#This Row],[Precio Descontado]]*Tabla4[[#This Row],[Cantidad]]</f>
        <v>7535.8176780000003</v>
      </c>
      <c r="Q1204" s="282" t="e">
        <f>(INDEX(Tabla6[#All],MATCH(Tabla4[[#This Row],[Producto]],Tabla6[[#All],[PRODUCTO]],0),MATCH(Tabla4[[#This Row],[Mes]],Tabla6[#Headers],0)))</f>
        <v>#N/A</v>
      </c>
      <c r="R1204" s="282" t="e">
        <f>++Tabla4[[#This Row],[Precio Unitario Neto]]-Tabla4[[#This Row],[20.85%]]-Tabla4[[#This Row],[Costo]]</f>
        <v>#N/A</v>
      </c>
      <c r="S1204" s="282" t="e">
        <f>++Tabla4[[#This Row],[U. Bruta Uni]]*Tabla4[[#This Row],[Cantidad]]</f>
        <v>#N/A</v>
      </c>
      <c r="T1204" s="369" t="str">
        <f>VLOOKUP(Tabla4[[#This Row],[Producto]],Tabla6[#All],14,FALSE)</f>
        <v>Termico Solar</v>
      </c>
      <c r="U1204" s="284" t="e">
        <f>(IF(Tabla4[[#This Row],[Familia]]="termico solar",Tabla4[[#This Row],[Utilidad Total]]*6%,Tabla4[[#This Row],[Utilidad Total]]*11.5%))/Tabla4[[#This Row],[Total]]</f>
        <v>#N/A</v>
      </c>
      <c r="V1204" s="282" t="e">
        <f>+Tabla4[[#This Row],[Comisión Calculada]]*Tabla4[[#This Row],[Total]]</f>
        <v>#N/A</v>
      </c>
    </row>
    <row r="1205" spans="1:22" hidden="1" x14ac:dyDescent="0.25">
      <c r="A1205" s="100">
        <v>45731</v>
      </c>
      <c r="B1205" t="str">
        <f t="shared" si="49"/>
        <v>March</v>
      </c>
      <c r="C1205" s="46" t="s">
        <v>280</v>
      </c>
      <c r="F1205" s="366" t="s">
        <v>1208</v>
      </c>
      <c r="G1205" s="46" t="s">
        <v>208</v>
      </c>
      <c r="H1205" s="46">
        <v>1</v>
      </c>
      <c r="I1205" s="51">
        <v>189.75</v>
      </c>
      <c r="J1205" s="281">
        <f>++Tabla4[[#This Row],[Precio Bruto]]*1.16</f>
        <v>220.10999999999999</v>
      </c>
      <c r="K1205" s="281">
        <f>+Tabla4[[#This Row],[Precio Unitario Neto]]*Tabla4[[#Headers],[20.85%]]</f>
        <v>45.892934999999994</v>
      </c>
      <c r="L1205" s="282">
        <f>++Tabla4[[#This Row],[Precio Unitario Neto]]-Tabla4[[#This Row],[20.85%]]</f>
        <v>174.21706499999999</v>
      </c>
      <c r="M1205" s="282" t="e">
        <f>(INDEX(Tabla6[#All],MATCH(Tabla4[[#This Row],[Producto]],Tabla6[[#All],[PRODUCTO]],0),MATCH(Tabla4[[#This Row],[Mes]],Tabla6[#Headers],0)))*(1+Catalogos!$L$2)</f>
        <v>#N/A</v>
      </c>
      <c r="N1205" s="283" t="e">
        <f>+(Tabla4[[#This Row],[Precio Descontado]]-Tabla4[[#This Row],[Precio Base]])*Tabla4[[#This Row],[Cantidad]]</f>
        <v>#N/A</v>
      </c>
      <c r="O1205" s="284" t="e">
        <f>++Tabla4[[#This Row],[Utilidad Total]]/Tabla4[[#This Row],[Total]]</f>
        <v>#N/A</v>
      </c>
      <c r="P1205" s="282">
        <f>++Tabla4[[#This Row],[Precio Descontado]]*Tabla4[[#This Row],[Cantidad]]</f>
        <v>174.21706499999999</v>
      </c>
      <c r="Q1205" s="282" t="e">
        <f>(INDEX(Tabla6[#All],MATCH(Tabla4[[#This Row],[Producto]],Tabla6[[#All],[PRODUCTO]],0),MATCH(Tabla4[[#This Row],[Mes]],Tabla6[#Headers],0)))</f>
        <v>#N/A</v>
      </c>
      <c r="R1205" s="282" t="e">
        <f>++Tabla4[[#This Row],[Precio Unitario Neto]]-Tabla4[[#This Row],[20.85%]]-Tabla4[[#This Row],[Costo]]</f>
        <v>#N/A</v>
      </c>
      <c r="S1205" s="282" t="e">
        <f>++Tabla4[[#This Row],[U. Bruta Uni]]*Tabla4[[#This Row],[Cantidad]]</f>
        <v>#N/A</v>
      </c>
      <c r="T1205" s="369" t="str">
        <f>VLOOKUP(Tabla4[[#This Row],[Producto]],Tabla6[#All],14,FALSE)</f>
        <v>Termico Solar</v>
      </c>
      <c r="U1205" s="284" t="e">
        <f>(IF(Tabla4[[#This Row],[Familia]]="termico solar",Tabla4[[#This Row],[Utilidad Total]]*6%,Tabla4[[#This Row],[Utilidad Total]]*11.5%))/Tabla4[[#This Row],[Total]]</f>
        <v>#N/A</v>
      </c>
      <c r="V1205" s="282" t="e">
        <f>+Tabla4[[#This Row],[Comisión Calculada]]*Tabla4[[#This Row],[Total]]</f>
        <v>#N/A</v>
      </c>
    </row>
    <row r="1206" spans="1:22" hidden="1" x14ac:dyDescent="0.25">
      <c r="A1206" s="100">
        <v>45731</v>
      </c>
      <c r="B1206" t="str">
        <f t="shared" si="49"/>
        <v>March</v>
      </c>
      <c r="C1206" s="46" t="s">
        <v>280</v>
      </c>
      <c r="F1206" s="366" t="s">
        <v>1208</v>
      </c>
      <c r="G1206" s="46" t="s">
        <v>209</v>
      </c>
      <c r="H1206" s="46">
        <v>1</v>
      </c>
      <c r="I1206" s="51">
        <v>347.48</v>
      </c>
      <c r="J1206" s="281">
        <f>++Tabla4[[#This Row],[Precio Bruto]]*1.16</f>
        <v>403.07679999999999</v>
      </c>
      <c r="K1206" s="281">
        <f>+Tabla4[[#This Row],[Precio Unitario Neto]]*Tabla4[[#Headers],[20.85%]]</f>
        <v>84.041512799999992</v>
      </c>
      <c r="L1206" s="282">
        <f>++Tabla4[[#This Row],[Precio Unitario Neto]]-Tabla4[[#This Row],[20.85%]]</f>
        <v>319.03528719999997</v>
      </c>
      <c r="M1206" s="282" t="e">
        <f>(INDEX(Tabla6[#All],MATCH(Tabla4[[#This Row],[Producto]],Tabla6[[#All],[PRODUCTO]],0),MATCH(Tabla4[[#This Row],[Mes]],Tabla6[#Headers],0)))*(1+Catalogos!$L$2)</f>
        <v>#N/A</v>
      </c>
      <c r="N1206" s="283" t="e">
        <f>+(Tabla4[[#This Row],[Precio Descontado]]-Tabla4[[#This Row],[Precio Base]])*Tabla4[[#This Row],[Cantidad]]</f>
        <v>#N/A</v>
      </c>
      <c r="O1206" s="284" t="e">
        <f>++Tabla4[[#This Row],[Utilidad Total]]/Tabla4[[#This Row],[Total]]</f>
        <v>#N/A</v>
      </c>
      <c r="P1206" s="282">
        <f>++Tabla4[[#This Row],[Precio Descontado]]*Tabla4[[#This Row],[Cantidad]]</f>
        <v>319.03528719999997</v>
      </c>
      <c r="Q1206" s="282" t="e">
        <f>(INDEX(Tabla6[#All],MATCH(Tabla4[[#This Row],[Producto]],Tabla6[[#All],[PRODUCTO]],0),MATCH(Tabla4[[#This Row],[Mes]],Tabla6[#Headers],0)))</f>
        <v>#N/A</v>
      </c>
      <c r="R1206" s="282" t="e">
        <f>++Tabla4[[#This Row],[Precio Unitario Neto]]-Tabla4[[#This Row],[20.85%]]-Tabla4[[#This Row],[Costo]]</f>
        <v>#N/A</v>
      </c>
      <c r="S1206" s="282" t="e">
        <f>++Tabla4[[#This Row],[U. Bruta Uni]]*Tabla4[[#This Row],[Cantidad]]</f>
        <v>#N/A</v>
      </c>
      <c r="T1206" s="369" t="str">
        <f>VLOOKUP(Tabla4[[#This Row],[Producto]],Tabla6[#All],14,FALSE)</f>
        <v>Termico Solar</v>
      </c>
      <c r="U1206" s="284" t="e">
        <f>(IF(Tabla4[[#This Row],[Familia]]="termico solar",Tabla4[[#This Row],[Utilidad Total]]*6%,Tabla4[[#This Row],[Utilidad Total]]*11.5%))/Tabla4[[#This Row],[Total]]</f>
        <v>#N/A</v>
      </c>
      <c r="V1206" s="282" t="e">
        <f>+Tabla4[[#This Row],[Comisión Calculada]]*Tabla4[[#This Row],[Total]]</f>
        <v>#N/A</v>
      </c>
    </row>
    <row r="1207" spans="1:22" hidden="1" x14ac:dyDescent="0.25">
      <c r="A1207" s="100">
        <v>45731</v>
      </c>
      <c r="B1207" t="str">
        <f t="shared" si="49"/>
        <v>March</v>
      </c>
      <c r="C1207" s="46" t="s">
        <v>280</v>
      </c>
      <c r="F1207" s="366" t="s">
        <v>1209</v>
      </c>
      <c r="G1207" s="46" t="s">
        <v>16</v>
      </c>
      <c r="H1207" s="46">
        <v>1</v>
      </c>
      <c r="I1207" s="51">
        <v>4103.8500000000004</v>
      </c>
      <c r="J1207" s="281">
        <f>++Tabla4[[#This Row],[Precio Bruto]]*1.16</f>
        <v>4760.4660000000003</v>
      </c>
      <c r="K1207" s="281">
        <f>+Tabla4[[#This Row],[Precio Unitario Neto]]*Tabla4[[#Headers],[20.85%]]</f>
        <v>992.55716100000006</v>
      </c>
      <c r="L1207" s="282">
        <f>++Tabla4[[#This Row],[Precio Unitario Neto]]-Tabla4[[#This Row],[20.85%]]</f>
        <v>3767.9088390000002</v>
      </c>
      <c r="M1207" s="282" t="e">
        <f>(INDEX(Tabla6[#All],MATCH(Tabla4[[#This Row],[Producto]],Tabla6[[#All],[PRODUCTO]],0),MATCH(Tabla4[[#This Row],[Mes]],Tabla6[#Headers],0)))*(1+Catalogos!$L$2)</f>
        <v>#N/A</v>
      </c>
      <c r="N1207" s="283" t="e">
        <f>+(Tabla4[[#This Row],[Precio Descontado]]-Tabla4[[#This Row],[Precio Base]])*Tabla4[[#This Row],[Cantidad]]</f>
        <v>#N/A</v>
      </c>
      <c r="O1207" s="284" t="e">
        <f>++Tabla4[[#This Row],[Utilidad Total]]/Tabla4[[#This Row],[Total]]</f>
        <v>#N/A</v>
      </c>
      <c r="P1207" s="282">
        <f>++Tabla4[[#This Row],[Precio Descontado]]*Tabla4[[#This Row],[Cantidad]]</f>
        <v>3767.9088390000002</v>
      </c>
      <c r="Q1207" s="282" t="e">
        <f>(INDEX(Tabla6[#All],MATCH(Tabla4[[#This Row],[Producto]],Tabla6[[#All],[PRODUCTO]],0),MATCH(Tabla4[[#This Row],[Mes]],Tabla6[#Headers],0)))</f>
        <v>#N/A</v>
      </c>
      <c r="R1207" s="282" t="e">
        <f>++Tabla4[[#This Row],[Precio Unitario Neto]]-Tabla4[[#This Row],[20.85%]]-Tabla4[[#This Row],[Costo]]</f>
        <v>#N/A</v>
      </c>
      <c r="S1207" s="282" t="e">
        <f>++Tabla4[[#This Row],[U. Bruta Uni]]*Tabla4[[#This Row],[Cantidad]]</f>
        <v>#N/A</v>
      </c>
      <c r="T1207" s="369" t="str">
        <f>VLOOKUP(Tabla4[[#This Row],[Producto]],Tabla6[#All],14,FALSE)</f>
        <v>Termico Solar</v>
      </c>
      <c r="U1207" s="284" t="e">
        <f>(IF(Tabla4[[#This Row],[Familia]]="termico solar",Tabla4[[#This Row],[Utilidad Total]]*6%,Tabla4[[#This Row],[Utilidad Total]]*11.5%))/Tabla4[[#This Row],[Total]]</f>
        <v>#N/A</v>
      </c>
      <c r="V1207" s="282" t="e">
        <f>+Tabla4[[#This Row],[Comisión Calculada]]*Tabla4[[#This Row],[Total]]</f>
        <v>#N/A</v>
      </c>
    </row>
    <row r="1208" spans="1:22" hidden="1" x14ac:dyDescent="0.25">
      <c r="A1208" s="100">
        <v>45731</v>
      </c>
      <c r="B1208" t="str">
        <f t="shared" ref="B1208:B1213" si="50">TEXT(A1208, "mmmm")</f>
        <v>March</v>
      </c>
      <c r="C1208" s="46" t="s">
        <v>280</v>
      </c>
      <c r="F1208" s="366" t="s">
        <v>1210</v>
      </c>
      <c r="G1208" s="46" t="s">
        <v>394</v>
      </c>
      <c r="H1208" s="46">
        <v>16</v>
      </c>
      <c r="I1208" s="51">
        <v>224.29</v>
      </c>
      <c r="J1208" s="281">
        <f>++Tabla4[[#This Row],[Precio Bruto]]*1.16</f>
        <v>260.1764</v>
      </c>
      <c r="K1208" s="281">
        <f>+Tabla4[[#This Row],[Precio Unitario Neto]]*Tabla4[[#Headers],[20.85%]]</f>
        <v>54.246779400000001</v>
      </c>
      <c r="L1208" s="282">
        <f>++Tabla4[[#This Row],[Precio Unitario Neto]]-Tabla4[[#This Row],[20.85%]]</f>
        <v>205.92962059999999</v>
      </c>
      <c r="M1208" s="282" t="e">
        <f>(INDEX(Tabla6[#All],MATCH(Tabla4[[#This Row],[Producto]],Tabla6[[#All],[PRODUCTO]],0),MATCH(Tabla4[[#This Row],[Mes]],Tabla6[#Headers],0)))*(1+Catalogos!$L$2)</f>
        <v>#N/A</v>
      </c>
      <c r="N1208" s="283" t="e">
        <f>+(Tabla4[[#This Row],[Precio Descontado]]-Tabla4[[#This Row],[Precio Base]])*Tabla4[[#This Row],[Cantidad]]</f>
        <v>#N/A</v>
      </c>
      <c r="O1208" s="284" t="e">
        <f>++Tabla4[[#This Row],[Utilidad Total]]/Tabla4[[#This Row],[Total]]</f>
        <v>#N/A</v>
      </c>
      <c r="P1208" s="282">
        <f>++Tabla4[[#This Row],[Precio Descontado]]*Tabla4[[#This Row],[Cantidad]]</f>
        <v>3294.8739295999999</v>
      </c>
      <c r="Q1208" s="282" t="e">
        <f>(INDEX(Tabla6[#All],MATCH(Tabla4[[#This Row],[Producto]],Tabla6[[#All],[PRODUCTO]],0),MATCH(Tabla4[[#This Row],[Mes]],Tabla6[#Headers],0)))</f>
        <v>#N/A</v>
      </c>
      <c r="R1208" s="282" t="e">
        <f>++Tabla4[[#This Row],[Precio Unitario Neto]]-Tabla4[[#This Row],[20.85%]]-Tabla4[[#This Row],[Costo]]</f>
        <v>#N/A</v>
      </c>
      <c r="S1208" s="282" t="e">
        <f>++Tabla4[[#This Row],[U. Bruta Uni]]*Tabla4[[#This Row],[Cantidad]]</f>
        <v>#N/A</v>
      </c>
      <c r="T1208" s="369" t="str">
        <f>VLOOKUP(Tabla4[[#This Row],[Producto]],Tabla6[#All],14,FALSE)</f>
        <v>Termico Solar</v>
      </c>
      <c r="U1208" s="284" t="e">
        <f>(IF(Tabla4[[#This Row],[Familia]]="termico solar",Tabla4[[#This Row],[Utilidad Total]]*6%,Tabla4[[#This Row],[Utilidad Total]]*11.5%))/Tabla4[[#This Row],[Total]]</f>
        <v>#N/A</v>
      </c>
      <c r="V1208" s="282" t="e">
        <f>+Tabla4[[#This Row],[Comisión Calculada]]*Tabla4[[#This Row],[Total]]</f>
        <v>#N/A</v>
      </c>
    </row>
    <row r="1209" spans="1:22" hidden="1" x14ac:dyDescent="0.25">
      <c r="A1209" s="100">
        <v>45731</v>
      </c>
      <c r="B1209" t="str">
        <f t="shared" si="50"/>
        <v>March</v>
      </c>
      <c r="C1209" s="46" t="s">
        <v>280</v>
      </c>
      <c r="F1209" s="366" t="s">
        <v>1210</v>
      </c>
      <c r="G1209" s="46" t="s">
        <v>200</v>
      </c>
      <c r="H1209" s="46">
        <v>12</v>
      </c>
      <c r="I1209" s="51">
        <v>393.22</v>
      </c>
      <c r="J1209" s="281">
        <f>++Tabla4[[#This Row],[Precio Bruto]]*1.16</f>
        <v>456.1352</v>
      </c>
      <c r="K1209" s="281">
        <f>+Tabla4[[#This Row],[Precio Unitario Neto]]*Tabla4[[#Headers],[20.85%]]</f>
        <v>95.104189199999993</v>
      </c>
      <c r="L1209" s="282">
        <f>++Tabla4[[#This Row],[Precio Unitario Neto]]-Tabla4[[#This Row],[20.85%]]</f>
        <v>361.03101079999999</v>
      </c>
      <c r="M1209" s="282" t="e">
        <f>(INDEX(Tabla6[#All],MATCH(Tabla4[[#This Row],[Producto]],Tabla6[[#All],[PRODUCTO]],0),MATCH(Tabla4[[#This Row],[Mes]],Tabla6[#Headers],0)))*(1+Catalogos!$L$2)</f>
        <v>#N/A</v>
      </c>
      <c r="N1209" s="283" t="e">
        <f>+(Tabla4[[#This Row],[Precio Descontado]]-Tabla4[[#This Row],[Precio Base]])*Tabla4[[#This Row],[Cantidad]]</f>
        <v>#N/A</v>
      </c>
      <c r="O1209" s="284" t="e">
        <f>++Tabla4[[#This Row],[Utilidad Total]]/Tabla4[[#This Row],[Total]]</f>
        <v>#N/A</v>
      </c>
      <c r="P1209" s="282">
        <f>++Tabla4[[#This Row],[Precio Descontado]]*Tabla4[[#This Row],[Cantidad]]</f>
        <v>4332.3721296000003</v>
      </c>
      <c r="Q1209" s="282" t="e">
        <f>(INDEX(Tabla6[#All],MATCH(Tabla4[[#This Row],[Producto]],Tabla6[[#All],[PRODUCTO]],0),MATCH(Tabla4[[#This Row],[Mes]],Tabla6[#Headers],0)))</f>
        <v>#N/A</v>
      </c>
      <c r="R1209" s="282" t="e">
        <f>++Tabla4[[#This Row],[Precio Unitario Neto]]-Tabla4[[#This Row],[20.85%]]-Tabla4[[#This Row],[Costo]]</f>
        <v>#N/A</v>
      </c>
      <c r="S1209" s="282" t="e">
        <f>++Tabla4[[#This Row],[U. Bruta Uni]]*Tabla4[[#This Row],[Cantidad]]</f>
        <v>#N/A</v>
      </c>
      <c r="T1209" s="369" t="str">
        <f>VLOOKUP(Tabla4[[#This Row],[Producto]],Tabla6[#All],14,FALSE)</f>
        <v>Termico Solar</v>
      </c>
      <c r="U1209" s="284" t="e">
        <f>(IF(Tabla4[[#This Row],[Familia]]="termico solar",Tabla4[[#This Row],[Utilidad Total]]*6%,Tabla4[[#This Row],[Utilidad Total]]*11.5%))/Tabla4[[#This Row],[Total]]</f>
        <v>#N/A</v>
      </c>
      <c r="V1209" s="282" t="e">
        <f>+Tabla4[[#This Row],[Comisión Calculada]]*Tabla4[[#This Row],[Total]]</f>
        <v>#N/A</v>
      </c>
    </row>
    <row r="1210" spans="1:22" hidden="1" x14ac:dyDescent="0.25">
      <c r="A1210" s="100">
        <v>45731</v>
      </c>
      <c r="B1210" t="str">
        <f t="shared" si="50"/>
        <v>March</v>
      </c>
      <c r="C1210" s="46" t="s">
        <v>280</v>
      </c>
      <c r="F1210" s="366" t="s">
        <v>1210</v>
      </c>
      <c r="G1210" s="46" t="s">
        <v>555</v>
      </c>
      <c r="H1210" s="46">
        <v>8</v>
      </c>
      <c r="I1210" s="51">
        <v>389.47</v>
      </c>
      <c r="J1210" s="281">
        <f>++Tabla4[[#This Row],[Precio Bruto]]*1.16</f>
        <v>451.78519999999997</v>
      </c>
      <c r="K1210" s="281">
        <f>+Tabla4[[#This Row],[Precio Unitario Neto]]*Tabla4[[#Headers],[20.85%]]</f>
        <v>94.197214199999991</v>
      </c>
      <c r="L1210" s="282">
        <f>++Tabla4[[#This Row],[Precio Unitario Neto]]-Tabla4[[#This Row],[20.85%]]</f>
        <v>357.58798579999996</v>
      </c>
      <c r="M1210" s="282" t="e">
        <f>(INDEX(Tabla6[#All],MATCH(Tabla4[[#This Row],[Producto]],Tabla6[[#All],[PRODUCTO]],0),MATCH(Tabla4[[#This Row],[Mes]],Tabla6[#Headers],0)))*(1+Catalogos!$L$2)</f>
        <v>#N/A</v>
      </c>
      <c r="N1210" s="283" t="e">
        <f>+(Tabla4[[#This Row],[Precio Descontado]]-Tabla4[[#This Row],[Precio Base]])*Tabla4[[#This Row],[Cantidad]]</f>
        <v>#N/A</v>
      </c>
      <c r="O1210" s="284" t="e">
        <f>++Tabla4[[#This Row],[Utilidad Total]]/Tabla4[[#This Row],[Total]]</f>
        <v>#N/A</v>
      </c>
      <c r="P1210" s="282">
        <f>++Tabla4[[#This Row],[Precio Descontado]]*Tabla4[[#This Row],[Cantidad]]</f>
        <v>2860.7038863999996</v>
      </c>
      <c r="Q1210" s="282" t="e">
        <f>(INDEX(Tabla6[#All],MATCH(Tabla4[[#This Row],[Producto]],Tabla6[[#All],[PRODUCTO]],0),MATCH(Tabla4[[#This Row],[Mes]],Tabla6[#Headers],0)))</f>
        <v>#N/A</v>
      </c>
      <c r="R1210" s="282" t="e">
        <f>++Tabla4[[#This Row],[Precio Unitario Neto]]-Tabla4[[#This Row],[20.85%]]-Tabla4[[#This Row],[Costo]]</f>
        <v>#N/A</v>
      </c>
      <c r="S1210" s="282" t="e">
        <f>++Tabla4[[#This Row],[U. Bruta Uni]]*Tabla4[[#This Row],[Cantidad]]</f>
        <v>#N/A</v>
      </c>
      <c r="T1210" s="369" t="str">
        <f>VLOOKUP(Tabla4[[#This Row],[Producto]],Tabla6[#All],14,FALSE)</f>
        <v>Termico Solar</v>
      </c>
      <c r="U1210" s="284" t="e">
        <f>(IF(Tabla4[[#This Row],[Familia]]="termico solar",Tabla4[[#This Row],[Utilidad Total]]*6%,Tabla4[[#This Row],[Utilidad Total]]*11.5%))/Tabla4[[#This Row],[Total]]</f>
        <v>#N/A</v>
      </c>
      <c r="V1210" s="282" t="e">
        <f>+Tabla4[[#This Row],[Comisión Calculada]]*Tabla4[[#This Row],[Total]]</f>
        <v>#N/A</v>
      </c>
    </row>
    <row r="1211" spans="1:22" hidden="1" x14ac:dyDescent="0.25">
      <c r="A1211" s="100">
        <v>45731</v>
      </c>
      <c r="B1211" t="str">
        <f t="shared" si="50"/>
        <v>March</v>
      </c>
      <c r="C1211" s="46" t="s">
        <v>280</v>
      </c>
      <c r="F1211" s="366" t="s">
        <v>1210</v>
      </c>
      <c r="G1211" s="46" t="s">
        <v>545</v>
      </c>
      <c r="H1211" s="46">
        <v>24</v>
      </c>
      <c r="I1211" s="51">
        <v>304.32</v>
      </c>
      <c r="J1211" s="281">
        <f>++Tabla4[[#This Row],[Precio Bruto]]*1.16</f>
        <v>353.01119999999997</v>
      </c>
      <c r="K1211" s="281">
        <f>+Tabla4[[#This Row],[Precio Unitario Neto]]*Tabla4[[#Headers],[20.85%]]</f>
        <v>73.602835199999987</v>
      </c>
      <c r="L1211" s="282">
        <f>++Tabla4[[#This Row],[Precio Unitario Neto]]-Tabla4[[#This Row],[20.85%]]</f>
        <v>279.40836479999996</v>
      </c>
      <c r="M1211" s="282" t="e">
        <f>(INDEX(Tabla6[#All],MATCH(Tabla4[[#This Row],[Producto]],Tabla6[[#All],[PRODUCTO]],0),MATCH(Tabla4[[#This Row],[Mes]],Tabla6[#Headers],0)))*(1+Catalogos!$L$2)</f>
        <v>#N/A</v>
      </c>
      <c r="N1211" s="283" t="e">
        <f>+(Tabla4[[#This Row],[Precio Descontado]]-Tabla4[[#This Row],[Precio Base]])*Tabla4[[#This Row],[Cantidad]]</f>
        <v>#N/A</v>
      </c>
      <c r="O1211" s="284" t="e">
        <f>++Tabla4[[#This Row],[Utilidad Total]]/Tabla4[[#This Row],[Total]]</f>
        <v>#N/A</v>
      </c>
      <c r="P1211" s="282">
        <f>++Tabla4[[#This Row],[Precio Descontado]]*Tabla4[[#This Row],[Cantidad]]</f>
        <v>6705.800755199999</v>
      </c>
      <c r="Q1211" s="282" t="e">
        <f>(INDEX(Tabla6[#All],MATCH(Tabla4[[#This Row],[Producto]],Tabla6[[#All],[PRODUCTO]],0),MATCH(Tabla4[[#This Row],[Mes]],Tabla6[#Headers],0)))</f>
        <v>#N/A</v>
      </c>
      <c r="R1211" s="282" t="e">
        <f>++Tabla4[[#This Row],[Precio Unitario Neto]]-Tabla4[[#This Row],[20.85%]]-Tabla4[[#This Row],[Costo]]</f>
        <v>#N/A</v>
      </c>
      <c r="S1211" s="282" t="e">
        <f>++Tabla4[[#This Row],[U. Bruta Uni]]*Tabla4[[#This Row],[Cantidad]]</f>
        <v>#N/A</v>
      </c>
      <c r="T1211" s="369" t="str">
        <f>VLOOKUP(Tabla4[[#This Row],[Producto]],Tabla6[#All],14,FALSE)</f>
        <v>Termico Solar</v>
      </c>
      <c r="U1211" s="284" t="e">
        <f>(IF(Tabla4[[#This Row],[Familia]]="termico solar",Tabla4[[#This Row],[Utilidad Total]]*6%,Tabla4[[#This Row],[Utilidad Total]]*11.5%))/Tabla4[[#This Row],[Total]]</f>
        <v>#N/A</v>
      </c>
      <c r="V1211" s="282" t="e">
        <f>+Tabla4[[#This Row],[Comisión Calculada]]*Tabla4[[#This Row],[Total]]</f>
        <v>#N/A</v>
      </c>
    </row>
    <row r="1212" spans="1:22" hidden="1" x14ac:dyDescent="0.25">
      <c r="A1212" s="100">
        <v>45731</v>
      </c>
      <c r="B1212" t="str">
        <f t="shared" si="50"/>
        <v>March</v>
      </c>
      <c r="C1212" s="46" t="s">
        <v>280</v>
      </c>
      <c r="F1212" s="366" t="s">
        <v>1210</v>
      </c>
      <c r="G1212" s="46" t="s">
        <v>208</v>
      </c>
      <c r="H1212" s="46">
        <v>4</v>
      </c>
      <c r="I1212" s="51">
        <v>189.75</v>
      </c>
      <c r="J1212" s="281">
        <f>++Tabla4[[#This Row],[Precio Bruto]]*1.16</f>
        <v>220.10999999999999</v>
      </c>
      <c r="K1212" s="281">
        <f>+Tabla4[[#This Row],[Precio Unitario Neto]]*Tabla4[[#Headers],[20.85%]]</f>
        <v>45.892934999999994</v>
      </c>
      <c r="L1212" s="282">
        <f>++Tabla4[[#This Row],[Precio Unitario Neto]]-Tabla4[[#This Row],[20.85%]]</f>
        <v>174.21706499999999</v>
      </c>
      <c r="M1212" s="282" t="e">
        <f>(INDEX(Tabla6[#All],MATCH(Tabla4[[#This Row],[Producto]],Tabla6[[#All],[PRODUCTO]],0),MATCH(Tabla4[[#This Row],[Mes]],Tabla6[#Headers],0)))*(1+Catalogos!$L$2)</f>
        <v>#N/A</v>
      </c>
      <c r="N1212" s="283" t="e">
        <f>+(Tabla4[[#This Row],[Precio Descontado]]-Tabla4[[#This Row],[Precio Base]])*Tabla4[[#This Row],[Cantidad]]</f>
        <v>#N/A</v>
      </c>
      <c r="O1212" s="284" t="e">
        <f>++Tabla4[[#This Row],[Utilidad Total]]/Tabla4[[#This Row],[Total]]</f>
        <v>#N/A</v>
      </c>
      <c r="P1212" s="282">
        <f>++Tabla4[[#This Row],[Precio Descontado]]*Tabla4[[#This Row],[Cantidad]]</f>
        <v>696.86825999999996</v>
      </c>
      <c r="Q1212" s="282" t="e">
        <f>(INDEX(Tabla6[#All],MATCH(Tabla4[[#This Row],[Producto]],Tabla6[[#All],[PRODUCTO]],0),MATCH(Tabla4[[#This Row],[Mes]],Tabla6[#Headers],0)))</f>
        <v>#N/A</v>
      </c>
      <c r="R1212" s="282" t="e">
        <f>++Tabla4[[#This Row],[Precio Unitario Neto]]-Tabla4[[#This Row],[20.85%]]-Tabla4[[#This Row],[Costo]]</f>
        <v>#N/A</v>
      </c>
      <c r="S1212" s="282" t="e">
        <f>++Tabla4[[#This Row],[U. Bruta Uni]]*Tabla4[[#This Row],[Cantidad]]</f>
        <v>#N/A</v>
      </c>
      <c r="T1212" s="369" t="str">
        <f>VLOOKUP(Tabla4[[#This Row],[Producto]],Tabla6[#All],14,FALSE)</f>
        <v>Termico Solar</v>
      </c>
      <c r="U1212" s="284" t="e">
        <f>(IF(Tabla4[[#This Row],[Familia]]="termico solar",Tabla4[[#This Row],[Utilidad Total]]*6%,Tabla4[[#This Row],[Utilidad Total]]*11.5%))/Tabla4[[#This Row],[Total]]</f>
        <v>#N/A</v>
      </c>
      <c r="V1212" s="282" t="e">
        <f>+Tabla4[[#This Row],[Comisión Calculada]]*Tabla4[[#This Row],[Total]]</f>
        <v>#N/A</v>
      </c>
    </row>
    <row r="1213" spans="1:22" hidden="1" x14ac:dyDescent="0.25">
      <c r="A1213" s="100">
        <v>45731</v>
      </c>
      <c r="B1213" t="str">
        <f t="shared" si="50"/>
        <v>March</v>
      </c>
      <c r="C1213" s="46" t="s">
        <v>280</v>
      </c>
      <c r="F1213" s="366" t="s">
        <v>1210</v>
      </c>
      <c r="G1213" s="46" t="s">
        <v>209</v>
      </c>
      <c r="H1213" s="46">
        <v>4</v>
      </c>
      <c r="I1213" s="51">
        <v>347.48</v>
      </c>
      <c r="J1213" s="281">
        <f>++Tabla4[[#This Row],[Precio Bruto]]*1.16</f>
        <v>403.07679999999999</v>
      </c>
      <c r="K1213" s="281">
        <f>+Tabla4[[#This Row],[Precio Unitario Neto]]*Tabla4[[#Headers],[20.85%]]</f>
        <v>84.041512799999992</v>
      </c>
      <c r="L1213" s="282">
        <f>++Tabla4[[#This Row],[Precio Unitario Neto]]-Tabla4[[#This Row],[20.85%]]</f>
        <v>319.03528719999997</v>
      </c>
      <c r="M1213" s="282" t="e">
        <f>(INDEX(Tabla6[#All],MATCH(Tabla4[[#This Row],[Producto]],Tabla6[[#All],[PRODUCTO]],0),MATCH(Tabla4[[#This Row],[Mes]],Tabla6[#Headers],0)))*(1+Catalogos!$L$2)</f>
        <v>#N/A</v>
      </c>
      <c r="N1213" s="283" t="e">
        <f>+(Tabla4[[#This Row],[Precio Descontado]]-Tabla4[[#This Row],[Precio Base]])*Tabla4[[#This Row],[Cantidad]]</f>
        <v>#N/A</v>
      </c>
      <c r="O1213" s="284" t="e">
        <f>++Tabla4[[#This Row],[Utilidad Total]]/Tabla4[[#This Row],[Total]]</f>
        <v>#N/A</v>
      </c>
      <c r="P1213" s="282">
        <f>++Tabla4[[#This Row],[Precio Descontado]]*Tabla4[[#This Row],[Cantidad]]</f>
        <v>1276.1411487999999</v>
      </c>
      <c r="Q1213" s="282" t="e">
        <f>(INDEX(Tabla6[#All],MATCH(Tabla4[[#This Row],[Producto]],Tabla6[[#All],[PRODUCTO]],0),MATCH(Tabla4[[#This Row],[Mes]],Tabla6[#Headers],0)))</f>
        <v>#N/A</v>
      </c>
      <c r="R1213" s="282" t="e">
        <f>++Tabla4[[#This Row],[Precio Unitario Neto]]-Tabla4[[#This Row],[20.85%]]-Tabla4[[#This Row],[Costo]]</f>
        <v>#N/A</v>
      </c>
      <c r="S1213" s="282" t="e">
        <f>++Tabla4[[#This Row],[U. Bruta Uni]]*Tabla4[[#This Row],[Cantidad]]</f>
        <v>#N/A</v>
      </c>
      <c r="T1213" s="369" t="str">
        <f>VLOOKUP(Tabla4[[#This Row],[Producto]],Tabla6[#All],14,FALSE)</f>
        <v>Termico Solar</v>
      </c>
      <c r="U1213" s="284" t="e">
        <f>(IF(Tabla4[[#This Row],[Familia]]="termico solar",Tabla4[[#This Row],[Utilidad Total]]*6%,Tabla4[[#This Row],[Utilidad Total]]*11.5%))/Tabla4[[#This Row],[Total]]</f>
        <v>#N/A</v>
      </c>
      <c r="V1213" s="282" t="e">
        <f>+Tabla4[[#This Row],[Comisión Calculada]]*Tabla4[[#This Row],[Total]]</f>
        <v>#N/A</v>
      </c>
    </row>
    <row r="1214" spans="1:22" hidden="1" x14ac:dyDescent="0.25">
      <c r="A1214" s="100">
        <v>45731</v>
      </c>
      <c r="B1214" t="str">
        <f t="shared" ref="B1214:B1219" si="51">TEXT(A1214, "mmmm")</f>
        <v>March</v>
      </c>
      <c r="C1214" s="46" t="s">
        <v>280</v>
      </c>
      <c r="F1214" s="366" t="s">
        <v>1211</v>
      </c>
      <c r="G1214" s="46" t="s">
        <v>394</v>
      </c>
      <c r="H1214" s="46">
        <v>16</v>
      </c>
      <c r="I1214" s="51">
        <v>224.29</v>
      </c>
      <c r="J1214" s="281">
        <f>++Tabla4[[#This Row],[Precio Bruto]]*1.16</f>
        <v>260.1764</v>
      </c>
      <c r="K1214" s="281">
        <f>+Tabla4[[#This Row],[Precio Unitario Neto]]*Tabla4[[#Headers],[20.85%]]</f>
        <v>54.246779400000001</v>
      </c>
      <c r="L1214" s="282">
        <f>++Tabla4[[#This Row],[Precio Unitario Neto]]-Tabla4[[#This Row],[20.85%]]</f>
        <v>205.92962059999999</v>
      </c>
      <c r="M1214" s="282" t="e">
        <f>(INDEX(Tabla6[#All],MATCH(Tabla4[[#This Row],[Producto]],Tabla6[[#All],[PRODUCTO]],0),MATCH(Tabla4[[#This Row],[Mes]],Tabla6[#Headers],0)))*(1+Catalogos!$L$2)</f>
        <v>#N/A</v>
      </c>
      <c r="N1214" s="283" t="e">
        <f>+(Tabla4[[#This Row],[Precio Descontado]]-Tabla4[[#This Row],[Precio Base]])*Tabla4[[#This Row],[Cantidad]]</f>
        <v>#N/A</v>
      </c>
      <c r="O1214" s="284" t="e">
        <f>++Tabla4[[#This Row],[Utilidad Total]]/Tabla4[[#This Row],[Total]]</f>
        <v>#N/A</v>
      </c>
      <c r="P1214" s="282">
        <f>++Tabla4[[#This Row],[Precio Descontado]]*Tabla4[[#This Row],[Cantidad]]</f>
        <v>3294.8739295999999</v>
      </c>
      <c r="Q1214" s="282" t="e">
        <f>(INDEX(Tabla6[#All],MATCH(Tabla4[[#This Row],[Producto]],Tabla6[[#All],[PRODUCTO]],0),MATCH(Tabla4[[#This Row],[Mes]],Tabla6[#Headers],0)))</f>
        <v>#N/A</v>
      </c>
      <c r="R1214" s="282" t="e">
        <f>++Tabla4[[#This Row],[Precio Unitario Neto]]-Tabla4[[#This Row],[20.85%]]-Tabla4[[#This Row],[Costo]]</f>
        <v>#N/A</v>
      </c>
      <c r="S1214" s="282" t="e">
        <f>++Tabla4[[#This Row],[U. Bruta Uni]]*Tabla4[[#This Row],[Cantidad]]</f>
        <v>#N/A</v>
      </c>
      <c r="T1214" s="369" t="str">
        <f>VLOOKUP(Tabla4[[#This Row],[Producto]],Tabla6[#All],14,FALSE)</f>
        <v>Termico Solar</v>
      </c>
      <c r="U1214" s="284" t="e">
        <f>(IF(Tabla4[[#This Row],[Familia]]="termico solar",Tabla4[[#This Row],[Utilidad Total]]*6%,Tabla4[[#This Row],[Utilidad Total]]*11.5%))/Tabla4[[#This Row],[Total]]</f>
        <v>#N/A</v>
      </c>
      <c r="V1214" s="282" t="e">
        <f>+Tabla4[[#This Row],[Comisión Calculada]]*Tabla4[[#This Row],[Total]]</f>
        <v>#N/A</v>
      </c>
    </row>
    <row r="1215" spans="1:22" hidden="1" x14ac:dyDescent="0.25">
      <c r="A1215" s="100">
        <v>45731</v>
      </c>
      <c r="B1215" t="str">
        <f t="shared" si="51"/>
        <v>March</v>
      </c>
      <c r="C1215" s="46" t="s">
        <v>280</v>
      </c>
      <c r="F1215" s="366" t="s">
        <v>1211</v>
      </c>
      <c r="G1215" s="46" t="s">
        <v>200</v>
      </c>
      <c r="H1215" s="46">
        <v>12</v>
      </c>
      <c r="I1215" s="51">
        <v>393.22</v>
      </c>
      <c r="J1215" s="281">
        <f>++Tabla4[[#This Row],[Precio Bruto]]*1.16</f>
        <v>456.1352</v>
      </c>
      <c r="K1215" s="281">
        <f>+Tabla4[[#This Row],[Precio Unitario Neto]]*Tabla4[[#Headers],[20.85%]]</f>
        <v>95.104189199999993</v>
      </c>
      <c r="L1215" s="282">
        <f>++Tabla4[[#This Row],[Precio Unitario Neto]]-Tabla4[[#This Row],[20.85%]]</f>
        <v>361.03101079999999</v>
      </c>
      <c r="M1215" s="282" t="e">
        <f>(INDEX(Tabla6[#All],MATCH(Tabla4[[#This Row],[Producto]],Tabla6[[#All],[PRODUCTO]],0),MATCH(Tabla4[[#This Row],[Mes]],Tabla6[#Headers],0)))*(1+Catalogos!$L$2)</f>
        <v>#N/A</v>
      </c>
      <c r="N1215" s="283" t="e">
        <f>+(Tabla4[[#This Row],[Precio Descontado]]-Tabla4[[#This Row],[Precio Base]])*Tabla4[[#This Row],[Cantidad]]</f>
        <v>#N/A</v>
      </c>
      <c r="O1215" s="284" t="e">
        <f>++Tabla4[[#This Row],[Utilidad Total]]/Tabla4[[#This Row],[Total]]</f>
        <v>#N/A</v>
      </c>
      <c r="P1215" s="282">
        <f>++Tabla4[[#This Row],[Precio Descontado]]*Tabla4[[#This Row],[Cantidad]]</f>
        <v>4332.3721296000003</v>
      </c>
      <c r="Q1215" s="282" t="e">
        <f>(INDEX(Tabla6[#All],MATCH(Tabla4[[#This Row],[Producto]],Tabla6[[#All],[PRODUCTO]],0),MATCH(Tabla4[[#This Row],[Mes]],Tabla6[#Headers],0)))</f>
        <v>#N/A</v>
      </c>
      <c r="R1215" s="282" t="e">
        <f>++Tabla4[[#This Row],[Precio Unitario Neto]]-Tabla4[[#This Row],[20.85%]]-Tabla4[[#This Row],[Costo]]</f>
        <v>#N/A</v>
      </c>
      <c r="S1215" s="282" t="e">
        <f>++Tabla4[[#This Row],[U. Bruta Uni]]*Tabla4[[#This Row],[Cantidad]]</f>
        <v>#N/A</v>
      </c>
      <c r="T1215" s="369" t="str">
        <f>VLOOKUP(Tabla4[[#This Row],[Producto]],Tabla6[#All],14,FALSE)</f>
        <v>Termico Solar</v>
      </c>
      <c r="U1215" s="284" t="e">
        <f>(IF(Tabla4[[#This Row],[Familia]]="termico solar",Tabla4[[#This Row],[Utilidad Total]]*6%,Tabla4[[#This Row],[Utilidad Total]]*11.5%))/Tabla4[[#This Row],[Total]]</f>
        <v>#N/A</v>
      </c>
      <c r="V1215" s="282" t="e">
        <f>+Tabla4[[#This Row],[Comisión Calculada]]*Tabla4[[#This Row],[Total]]</f>
        <v>#N/A</v>
      </c>
    </row>
    <row r="1216" spans="1:22" hidden="1" x14ac:dyDescent="0.25">
      <c r="A1216" s="100">
        <v>45731</v>
      </c>
      <c r="B1216" t="str">
        <f t="shared" si="51"/>
        <v>March</v>
      </c>
      <c r="C1216" s="46" t="s">
        <v>280</v>
      </c>
      <c r="F1216" s="366" t="s">
        <v>1211</v>
      </c>
      <c r="G1216" s="46" t="s">
        <v>555</v>
      </c>
      <c r="H1216" s="46">
        <v>8</v>
      </c>
      <c r="I1216" s="51">
        <v>389.47</v>
      </c>
      <c r="J1216" s="281">
        <f>++Tabla4[[#This Row],[Precio Bruto]]*1.16</f>
        <v>451.78519999999997</v>
      </c>
      <c r="K1216" s="281">
        <f>+Tabla4[[#This Row],[Precio Unitario Neto]]*Tabla4[[#Headers],[20.85%]]</f>
        <v>94.197214199999991</v>
      </c>
      <c r="L1216" s="282">
        <f>++Tabla4[[#This Row],[Precio Unitario Neto]]-Tabla4[[#This Row],[20.85%]]</f>
        <v>357.58798579999996</v>
      </c>
      <c r="M1216" s="282" t="e">
        <f>(INDEX(Tabla6[#All],MATCH(Tabla4[[#This Row],[Producto]],Tabla6[[#All],[PRODUCTO]],0),MATCH(Tabla4[[#This Row],[Mes]],Tabla6[#Headers],0)))*(1+Catalogos!$L$2)</f>
        <v>#N/A</v>
      </c>
      <c r="N1216" s="283" t="e">
        <f>+(Tabla4[[#This Row],[Precio Descontado]]-Tabla4[[#This Row],[Precio Base]])*Tabla4[[#This Row],[Cantidad]]</f>
        <v>#N/A</v>
      </c>
      <c r="O1216" s="284" t="e">
        <f>++Tabla4[[#This Row],[Utilidad Total]]/Tabla4[[#This Row],[Total]]</f>
        <v>#N/A</v>
      </c>
      <c r="P1216" s="282">
        <f>++Tabla4[[#This Row],[Precio Descontado]]*Tabla4[[#This Row],[Cantidad]]</f>
        <v>2860.7038863999996</v>
      </c>
      <c r="Q1216" s="282" t="e">
        <f>(INDEX(Tabla6[#All],MATCH(Tabla4[[#This Row],[Producto]],Tabla6[[#All],[PRODUCTO]],0),MATCH(Tabla4[[#This Row],[Mes]],Tabla6[#Headers],0)))</f>
        <v>#N/A</v>
      </c>
      <c r="R1216" s="282" t="e">
        <f>++Tabla4[[#This Row],[Precio Unitario Neto]]-Tabla4[[#This Row],[20.85%]]-Tabla4[[#This Row],[Costo]]</f>
        <v>#N/A</v>
      </c>
      <c r="S1216" s="282" t="e">
        <f>++Tabla4[[#This Row],[U. Bruta Uni]]*Tabla4[[#This Row],[Cantidad]]</f>
        <v>#N/A</v>
      </c>
      <c r="T1216" s="369" t="str">
        <f>VLOOKUP(Tabla4[[#This Row],[Producto]],Tabla6[#All],14,FALSE)</f>
        <v>Termico Solar</v>
      </c>
      <c r="U1216" s="284" t="e">
        <f>(IF(Tabla4[[#This Row],[Familia]]="termico solar",Tabla4[[#This Row],[Utilidad Total]]*6%,Tabla4[[#This Row],[Utilidad Total]]*11.5%))/Tabla4[[#This Row],[Total]]</f>
        <v>#N/A</v>
      </c>
      <c r="V1216" s="282" t="e">
        <f>+Tabla4[[#This Row],[Comisión Calculada]]*Tabla4[[#This Row],[Total]]</f>
        <v>#N/A</v>
      </c>
    </row>
    <row r="1217" spans="1:22" hidden="1" x14ac:dyDescent="0.25">
      <c r="A1217" s="100">
        <v>45731</v>
      </c>
      <c r="B1217" t="str">
        <f t="shared" si="51"/>
        <v>March</v>
      </c>
      <c r="C1217" s="46" t="s">
        <v>280</v>
      </c>
      <c r="F1217" s="366" t="s">
        <v>1211</v>
      </c>
      <c r="G1217" s="46" t="s">
        <v>545</v>
      </c>
      <c r="H1217" s="46">
        <v>24</v>
      </c>
      <c r="I1217" s="51">
        <v>304.32</v>
      </c>
      <c r="J1217" s="281">
        <f>++Tabla4[[#This Row],[Precio Bruto]]*1.16</f>
        <v>353.01119999999997</v>
      </c>
      <c r="K1217" s="281">
        <f>+Tabla4[[#This Row],[Precio Unitario Neto]]*Tabla4[[#Headers],[20.85%]]</f>
        <v>73.602835199999987</v>
      </c>
      <c r="L1217" s="282">
        <f>++Tabla4[[#This Row],[Precio Unitario Neto]]-Tabla4[[#This Row],[20.85%]]</f>
        <v>279.40836479999996</v>
      </c>
      <c r="M1217" s="282" t="e">
        <f>(INDEX(Tabla6[#All],MATCH(Tabla4[[#This Row],[Producto]],Tabla6[[#All],[PRODUCTO]],0),MATCH(Tabla4[[#This Row],[Mes]],Tabla6[#Headers],0)))*(1+Catalogos!$L$2)</f>
        <v>#N/A</v>
      </c>
      <c r="N1217" s="283" t="e">
        <f>+(Tabla4[[#This Row],[Precio Descontado]]-Tabla4[[#This Row],[Precio Base]])*Tabla4[[#This Row],[Cantidad]]</f>
        <v>#N/A</v>
      </c>
      <c r="O1217" s="284" t="e">
        <f>++Tabla4[[#This Row],[Utilidad Total]]/Tabla4[[#This Row],[Total]]</f>
        <v>#N/A</v>
      </c>
      <c r="P1217" s="282">
        <f>++Tabla4[[#This Row],[Precio Descontado]]*Tabla4[[#This Row],[Cantidad]]</f>
        <v>6705.800755199999</v>
      </c>
      <c r="Q1217" s="282" t="e">
        <f>(INDEX(Tabla6[#All],MATCH(Tabla4[[#This Row],[Producto]],Tabla6[[#All],[PRODUCTO]],0),MATCH(Tabla4[[#This Row],[Mes]],Tabla6[#Headers],0)))</f>
        <v>#N/A</v>
      </c>
      <c r="R1217" s="282" t="e">
        <f>++Tabla4[[#This Row],[Precio Unitario Neto]]-Tabla4[[#This Row],[20.85%]]-Tabla4[[#This Row],[Costo]]</f>
        <v>#N/A</v>
      </c>
      <c r="S1217" s="282" t="e">
        <f>++Tabla4[[#This Row],[U. Bruta Uni]]*Tabla4[[#This Row],[Cantidad]]</f>
        <v>#N/A</v>
      </c>
      <c r="T1217" s="369" t="str">
        <f>VLOOKUP(Tabla4[[#This Row],[Producto]],Tabla6[#All],14,FALSE)</f>
        <v>Termico Solar</v>
      </c>
      <c r="U1217" s="284" t="e">
        <f>(IF(Tabla4[[#This Row],[Familia]]="termico solar",Tabla4[[#This Row],[Utilidad Total]]*6%,Tabla4[[#This Row],[Utilidad Total]]*11.5%))/Tabla4[[#This Row],[Total]]</f>
        <v>#N/A</v>
      </c>
      <c r="V1217" s="282" t="e">
        <f>+Tabla4[[#This Row],[Comisión Calculada]]*Tabla4[[#This Row],[Total]]</f>
        <v>#N/A</v>
      </c>
    </row>
    <row r="1218" spans="1:22" hidden="1" x14ac:dyDescent="0.25">
      <c r="A1218" s="100">
        <v>45731</v>
      </c>
      <c r="B1218" t="str">
        <f t="shared" si="51"/>
        <v>March</v>
      </c>
      <c r="C1218" s="46" t="s">
        <v>280</v>
      </c>
      <c r="F1218" s="366" t="s">
        <v>1211</v>
      </c>
      <c r="G1218" s="46" t="s">
        <v>208</v>
      </c>
      <c r="H1218" s="46">
        <v>4</v>
      </c>
      <c r="I1218" s="51">
        <v>189.75</v>
      </c>
      <c r="J1218" s="281">
        <f>++Tabla4[[#This Row],[Precio Bruto]]*1.16</f>
        <v>220.10999999999999</v>
      </c>
      <c r="K1218" s="281">
        <f>+Tabla4[[#This Row],[Precio Unitario Neto]]*Tabla4[[#Headers],[20.85%]]</f>
        <v>45.892934999999994</v>
      </c>
      <c r="L1218" s="282">
        <f>++Tabla4[[#This Row],[Precio Unitario Neto]]-Tabla4[[#This Row],[20.85%]]</f>
        <v>174.21706499999999</v>
      </c>
      <c r="M1218" s="282" t="e">
        <f>(INDEX(Tabla6[#All],MATCH(Tabla4[[#This Row],[Producto]],Tabla6[[#All],[PRODUCTO]],0),MATCH(Tabla4[[#This Row],[Mes]],Tabla6[#Headers],0)))*(1+Catalogos!$L$2)</f>
        <v>#N/A</v>
      </c>
      <c r="N1218" s="283" t="e">
        <f>+(Tabla4[[#This Row],[Precio Descontado]]-Tabla4[[#This Row],[Precio Base]])*Tabla4[[#This Row],[Cantidad]]</f>
        <v>#N/A</v>
      </c>
      <c r="O1218" s="284" t="e">
        <f>++Tabla4[[#This Row],[Utilidad Total]]/Tabla4[[#This Row],[Total]]</f>
        <v>#N/A</v>
      </c>
      <c r="P1218" s="282">
        <f>++Tabla4[[#This Row],[Precio Descontado]]*Tabla4[[#This Row],[Cantidad]]</f>
        <v>696.86825999999996</v>
      </c>
      <c r="Q1218" s="282" t="e">
        <f>(INDEX(Tabla6[#All],MATCH(Tabla4[[#This Row],[Producto]],Tabla6[[#All],[PRODUCTO]],0),MATCH(Tabla4[[#This Row],[Mes]],Tabla6[#Headers],0)))</f>
        <v>#N/A</v>
      </c>
      <c r="R1218" s="282" t="e">
        <f>++Tabla4[[#This Row],[Precio Unitario Neto]]-Tabla4[[#This Row],[20.85%]]-Tabla4[[#This Row],[Costo]]</f>
        <v>#N/A</v>
      </c>
      <c r="S1218" s="282" t="e">
        <f>++Tabla4[[#This Row],[U. Bruta Uni]]*Tabla4[[#This Row],[Cantidad]]</f>
        <v>#N/A</v>
      </c>
      <c r="T1218" s="369" t="str">
        <f>VLOOKUP(Tabla4[[#This Row],[Producto]],Tabla6[#All],14,FALSE)</f>
        <v>Termico Solar</v>
      </c>
      <c r="U1218" s="284" t="e">
        <f>(IF(Tabla4[[#This Row],[Familia]]="termico solar",Tabla4[[#This Row],[Utilidad Total]]*6%,Tabla4[[#This Row],[Utilidad Total]]*11.5%))/Tabla4[[#This Row],[Total]]</f>
        <v>#N/A</v>
      </c>
      <c r="V1218" s="282" t="e">
        <f>+Tabla4[[#This Row],[Comisión Calculada]]*Tabla4[[#This Row],[Total]]</f>
        <v>#N/A</v>
      </c>
    </row>
    <row r="1219" spans="1:22" hidden="1" x14ac:dyDescent="0.25">
      <c r="A1219" s="100">
        <v>45731</v>
      </c>
      <c r="B1219" t="str">
        <f t="shared" si="51"/>
        <v>March</v>
      </c>
      <c r="C1219" s="46" t="s">
        <v>280</v>
      </c>
      <c r="F1219" s="366" t="s">
        <v>1211</v>
      </c>
      <c r="G1219" s="46" t="s">
        <v>209</v>
      </c>
      <c r="H1219" s="46">
        <v>4</v>
      </c>
      <c r="I1219" s="51">
        <v>347.48</v>
      </c>
      <c r="J1219" s="281">
        <f>++Tabla4[[#This Row],[Precio Bruto]]*1.16</f>
        <v>403.07679999999999</v>
      </c>
      <c r="K1219" s="281">
        <f>+Tabla4[[#This Row],[Precio Unitario Neto]]*Tabla4[[#Headers],[20.85%]]</f>
        <v>84.041512799999992</v>
      </c>
      <c r="L1219" s="282">
        <f>++Tabla4[[#This Row],[Precio Unitario Neto]]-Tabla4[[#This Row],[20.85%]]</f>
        <v>319.03528719999997</v>
      </c>
      <c r="M1219" s="282" t="e">
        <f>(INDEX(Tabla6[#All],MATCH(Tabla4[[#This Row],[Producto]],Tabla6[[#All],[PRODUCTO]],0),MATCH(Tabla4[[#This Row],[Mes]],Tabla6[#Headers],0)))*(1+Catalogos!$L$2)</f>
        <v>#N/A</v>
      </c>
      <c r="N1219" s="283" t="e">
        <f>+(Tabla4[[#This Row],[Precio Descontado]]-Tabla4[[#This Row],[Precio Base]])*Tabla4[[#This Row],[Cantidad]]</f>
        <v>#N/A</v>
      </c>
      <c r="O1219" s="284" t="e">
        <f>++Tabla4[[#This Row],[Utilidad Total]]/Tabla4[[#This Row],[Total]]</f>
        <v>#N/A</v>
      </c>
      <c r="P1219" s="282">
        <f>++Tabla4[[#This Row],[Precio Descontado]]*Tabla4[[#This Row],[Cantidad]]</f>
        <v>1276.1411487999999</v>
      </c>
      <c r="Q1219" s="282" t="e">
        <f>(INDEX(Tabla6[#All],MATCH(Tabla4[[#This Row],[Producto]],Tabla6[[#All],[PRODUCTO]],0),MATCH(Tabla4[[#This Row],[Mes]],Tabla6[#Headers],0)))</f>
        <v>#N/A</v>
      </c>
      <c r="R1219" s="282" t="e">
        <f>++Tabla4[[#This Row],[Precio Unitario Neto]]-Tabla4[[#This Row],[20.85%]]-Tabla4[[#This Row],[Costo]]</f>
        <v>#N/A</v>
      </c>
      <c r="S1219" s="282" t="e">
        <f>++Tabla4[[#This Row],[U. Bruta Uni]]*Tabla4[[#This Row],[Cantidad]]</f>
        <v>#N/A</v>
      </c>
      <c r="T1219" s="369" t="str">
        <f>VLOOKUP(Tabla4[[#This Row],[Producto]],Tabla6[#All],14,FALSE)</f>
        <v>Termico Solar</v>
      </c>
      <c r="U1219" s="284" t="e">
        <f>(IF(Tabla4[[#This Row],[Familia]]="termico solar",Tabla4[[#This Row],[Utilidad Total]]*6%,Tabla4[[#This Row],[Utilidad Total]]*11.5%))/Tabla4[[#This Row],[Total]]</f>
        <v>#N/A</v>
      </c>
      <c r="V1219" s="282" t="e">
        <f>+Tabla4[[#This Row],[Comisión Calculada]]*Tabla4[[#This Row],[Total]]</f>
        <v>#N/A</v>
      </c>
    </row>
    <row r="1220" spans="1:22" hidden="1" x14ac:dyDescent="0.25">
      <c r="A1220" s="100">
        <v>45731</v>
      </c>
      <c r="B1220" t="str">
        <f t="shared" ref="B1220:B1225" si="52">TEXT(A1220, "mmmm")</f>
        <v>March</v>
      </c>
      <c r="C1220" s="46" t="s">
        <v>280</v>
      </c>
      <c r="F1220" s="366" t="s">
        <v>1212</v>
      </c>
      <c r="G1220" s="46" t="s">
        <v>394</v>
      </c>
      <c r="H1220" s="46">
        <v>16</v>
      </c>
      <c r="I1220" s="51">
        <v>224.29</v>
      </c>
      <c r="J1220" s="281">
        <f>++Tabla4[[#This Row],[Precio Bruto]]*1.16</f>
        <v>260.1764</v>
      </c>
      <c r="K1220" s="281">
        <f>+Tabla4[[#This Row],[Precio Unitario Neto]]*Tabla4[[#Headers],[20.85%]]</f>
        <v>54.246779400000001</v>
      </c>
      <c r="L1220" s="282">
        <f>++Tabla4[[#This Row],[Precio Unitario Neto]]-Tabla4[[#This Row],[20.85%]]</f>
        <v>205.92962059999999</v>
      </c>
      <c r="M1220" s="282" t="e">
        <f>(INDEX(Tabla6[#All],MATCH(Tabla4[[#This Row],[Producto]],Tabla6[[#All],[PRODUCTO]],0),MATCH(Tabla4[[#This Row],[Mes]],Tabla6[#Headers],0)))*(1+Catalogos!$L$2)</f>
        <v>#N/A</v>
      </c>
      <c r="N1220" s="283" t="e">
        <f>+(Tabla4[[#This Row],[Precio Descontado]]-Tabla4[[#This Row],[Precio Base]])*Tabla4[[#This Row],[Cantidad]]</f>
        <v>#N/A</v>
      </c>
      <c r="O1220" s="284" t="e">
        <f>++Tabla4[[#This Row],[Utilidad Total]]/Tabla4[[#This Row],[Total]]</f>
        <v>#N/A</v>
      </c>
      <c r="P1220" s="282">
        <f>++Tabla4[[#This Row],[Precio Descontado]]*Tabla4[[#This Row],[Cantidad]]</f>
        <v>3294.8739295999999</v>
      </c>
      <c r="Q1220" s="282" t="e">
        <f>(INDEX(Tabla6[#All],MATCH(Tabla4[[#This Row],[Producto]],Tabla6[[#All],[PRODUCTO]],0),MATCH(Tabla4[[#This Row],[Mes]],Tabla6[#Headers],0)))</f>
        <v>#N/A</v>
      </c>
      <c r="R1220" s="282" t="e">
        <f>++Tabla4[[#This Row],[Precio Unitario Neto]]-Tabla4[[#This Row],[20.85%]]-Tabla4[[#This Row],[Costo]]</f>
        <v>#N/A</v>
      </c>
      <c r="S1220" s="282" t="e">
        <f>++Tabla4[[#This Row],[U. Bruta Uni]]*Tabla4[[#This Row],[Cantidad]]</f>
        <v>#N/A</v>
      </c>
      <c r="T1220" s="369" t="str">
        <f>VLOOKUP(Tabla4[[#This Row],[Producto]],Tabla6[#All],14,FALSE)</f>
        <v>Termico Solar</v>
      </c>
      <c r="U1220" s="284" t="e">
        <f>(IF(Tabla4[[#This Row],[Familia]]="termico solar",Tabla4[[#This Row],[Utilidad Total]]*6%,Tabla4[[#This Row],[Utilidad Total]]*11.5%))/Tabla4[[#This Row],[Total]]</f>
        <v>#N/A</v>
      </c>
      <c r="V1220" s="282" t="e">
        <f>+Tabla4[[#This Row],[Comisión Calculada]]*Tabla4[[#This Row],[Total]]</f>
        <v>#N/A</v>
      </c>
    </row>
    <row r="1221" spans="1:22" hidden="1" x14ac:dyDescent="0.25">
      <c r="A1221" s="100">
        <v>45731</v>
      </c>
      <c r="B1221" t="str">
        <f t="shared" si="52"/>
        <v>March</v>
      </c>
      <c r="C1221" s="46" t="s">
        <v>280</v>
      </c>
      <c r="F1221" s="366" t="s">
        <v>1212</v>
      </c>
      <c r="G1221" s="46" t="s">
        <v>200</v>
      </c>
      <c r="H1221" s="46">
        <v>12</v>
      </c>
      <c r="I1221" s="51">
        <v>393.22</v>
      </c>
      <c r="J1221" s="281">
        <f>++Tabla4[[#This Row],[Precio Bruto]]*1.16</f>
        <v>456.1352</v>
      </c>
      <c r="K1221" s="281">
        <f>+Tabla4[[#This Row],[Precio Unitario Neto]]*Tabla4[[#Headers],[20.85%]]</f>
        <v>95.104189199999993</v>
      </c>
      <c r="L1221" s="282">
        <f>++Tabla4[[#This Row],[Precio Unitario Neto]]-Tabla4[[#This Row],[20.85%]]</f>
        <v>361.03101079999999</v>
      </c>
      <c r="M1221" s="282" t="e">
        <f>(INDEX(Tabla6[#All],MATCH(Tabla4[[#This Row],[Producto]],Tabla6[[#All],[PRODUCTO]],0),MATCH(Tabla4[[#This Row],[Mes]],Tabla6[#Headers],0)))*(1+Catalogos!$L$2)</f>
        <v>#N/A</v>
      </c>
      <c r="N1221" s="283" t="e">
        <f>+(Tabla4[[#This Row],[Precio Descontado]]-Tabla4[[#This Row],[Precio Base]])*Tabla4[[#This Row],[Cantidad]]</f>
        <v>#N/A</v>
      </c>
      <c r="O1221" s="284" t="e">
        <f>++Tabla4[[#This Row],[Utilidad Total]]/Tabla4[[#This Row],[Total]]</f>
        <v>#N/A</v>
      </c>
      <c r="P1221" s="282">
        <f>++Tabla4[[#This Row],[Precio Descontado]]*Tabla4[[#This Row],[Cantidad]]</f>
        <v>4332.3721296000003</v>
      </c>
      <c r="Q1221" s="282" t="e">
        <f>(INDEX(Tabla6[#All],MATCH(Tabla4[[#This Row],[Producto]],Tabla6[[#All],[PRODUCTO]],0),MATCH(Tabla4[[#This Row],[Mes]],Tabla6[#Headers],0)))</f>
        <v>#N/A</v>
      </c>
      <c r="R1221" s="282" t="e">
        <f>++Tabla4[[#This Row],[Precio Unitario Neto]]-Tabla4[[#This Row],[20.85%]]-Tabla4[[#This Row],[Costo]]</f>
        <v>#N/A</v>
      </c>
      <c r="S1221" s="282" t="e">
        <f>++Tabla4[[#This Row],[U. Bruta Uni]]*Tabla4[[#This Row],[Cantidad]]</f>
        <v>#N/A</v>
      </c>
      <c r="T1221" s="369" t="str">
        <f>VLOOKUP(Tabla4[[#This Row],[Producto]],Tabla6[#All],14,FALSE)</f>
        <v>Termico Solar</v>
      </c>
      <c r="U1221" s="284" t="e">
        <f>(IF(Tabla4[[#This Row],[Familia]]="termico solar",Tabla4[[#This Row],[Utilidad Total]]*6%,Tabla4[[#This Row],[Utilidad Total]]*11.5%))/Tabla4[[#This Row],[Total]]</f>
        <v>#N/A</v>
      </c>
      <c r="V1221" s="282" t="e">
        <f>+Tabla4[[#This Row],[Comisión Calculada]]*Tabla4[[#This Row],[Total]]</f>
        <v>#N/A</v>
      </c>
    </row>
    <row r="1222" spans="1:22" hidden="1" x14ac:dyDescent="0.25">
      <c r="A1222" s="100">
        <v>45731</v>
      </c>
      <c r="B1222" t="str">
        <f t="shared" si="52"/>
        <v>March</v>
      </c>
      <c r="C1222" s="46" t="s">
        <v>280</v>
      </c>
      <c r="F1222" s="366" t="s">
        <v>1212</v>
      </c>
      <c r="G1222" s="46" t="s">
        <v>555</v>
      </c>
      <c r="H1222" s="46">
        <v>8</v>
      </c>
      <c r="I1222" s="51">
        <v>389.47</v>
      </c>
      <c r="J1222" s="281">
        <f>++Tabla4[[#This Row],[Precio Bruto]]*1.16</f>
        <v>451.78519999999997</v>
      </c>
      <c r="K1222" s="281">
        <f>+Tabla4[[#This Row],[Precio Unitario Neto]]*Tabla4[[#Headers],[20.85%]]</f>
        <v>94.197214199999991</v>
      </c>
      <c r="L1222" s="282">
        <f>++Tabla4[[#This Row],[Precio Unitario Neto]]-Tabla4[[#This Row],[20.85%]]</f>
        <v>357.58798579999996</v>
      </c>
      <c r="M1222" s="282" t="e">
        <f>(INDEX(Tabla6[#All],MATCH(Tabla4[[#This Row],[Producto]],Tabla6[[#All],[PRODUCTO]],0),MATCH(Tabla4[[#This Row],[Mes]],Tabla6[#Headers],0)))*(1+Catalogos!$L$2)</f>
        <v>#N/A</v>
      </c>
      <c r="N1222" s="283" t="e">
        <f>+(Tabla4[[#This Row],[Precio Descontado]]-Tabla4[[#This Row],[Precio Base]])*Tabla4[[#This Row],[Cantidad]]</f>
        <v>#N/A</v>
      </c>
      <c r="O1222" s="284" t="e">
        <f>++Tabla4[[#This Row],[Utilidad Total]]/Tabla4[[#This Row],[Total]]</f>
        <v>#N/A</v>
      </c>
      <c r="P1222" s="282">
        <f>++Tabla4[[#This Row],[Precio Descontado]]*Tabla4[[#This Row],[Cantidad]]</f>
        <v>2860.7038863999996</v>
      </c>
      <c r="Q1222" s="282" t="e">
        <f>(INDEX(Tabla6[#All],MATCH(Tabla4[[#This Row],[Producto]],Tabla6[[#All],[PRODUCTO]],0),MATCH(Tabla4[[#This Row],[Mes]],Tabla6[#Headers],0)))</f>
        <v>#N/A</v>
      </c>
      <c r="R1222" s="282" t="e">
        <f>++Tabla4[[#This Row],[Precio Unitario Neto]]-Tabla4[[#This Row],[20.85%]]-Tabla4[[#This Row],[Costo]]</f>
        <v>#N/A</v>
      </c>
      <c r="S1222" s="282" t="e">
        <f>++Tabla4[[#This Row],[U. Bruta Uni]]*Tabla4[[#This Row],[Cantidad]]</f>
        <v>#N/A</v>
      </c>
      <c r="T1222" s="369" t="str">
        <f>VLOOKUP(Tabla4[[#This Row],[Producto]],Tabla6[#All],14,FALSE)</f>
        <v>Termico Solar</v>
      </c>
      <c r="U1222" s="284" t="e">
        <f>(IF(Tabla4[[#This Row],[Familia]]="termico solar",Tabla4[[#This Row],[Utilidad Total]]*6%,Tabla4[[#This Row],[Utilidad Total]]*11.5%))/Tabla4[[#This Row],[Total]]</f>
        <v>#N/A</v>
      </c>
      <c r="V1222" s="282" t="e">
        <f>+Tabla4[[#This Row],[Comisión Calculada]]*Tabla4[[#This Row],[Total]]</f>
        <v>#N/A</v>
      </c>
    </row>
    <row r="1223" spans="1:22" hidden="1" x14ac:dyDescent="0.25">
      <c r="A1223" s="100">
        <v>45731</v>
      </c>
      <c r="B1223" t="str">
        <f t="shared" si="52"/>
        <v>March</v>
      </c>
      <c r="C1223" s="46" t="s">
        <v>280</v>
      </c>
      <c r="F1223" s="366" t="s">
        <v>1212</v>
      </c>
      <c r="G1223" s="46" t="s">
        <v>545</v>
      </c>
      <c r="H1223" s="46">
        <v>24</v>
      </c>
      <c r="I1223" s="51">
        <v>304.32</v>
      </c>
      <c r="J1223" s="281">
        <f>++Tabla4[[#This Row],[Precio Bruto]]*1.16</f>
        <v>353.01119999999997</v>
      </c>
      <c r="K1223" s="281">
        <f>+Tabla4[[#This Row],[Precio Unitario Neto]]*Tabla4[[#Headers],[20.85%]]</f>
        <v>73.602835199999987</v>
      </c>
      <c r="L1223" s="282">
        <f>++Tabla4[[#This Row],[Precio Unitario Neto]]-Tabla4[[#This Row],[20.85%]]</f>
        <v>279.40836479999996</v>
      </c>
      <c r="M1223" s="282" t="e">
        <f>(INDEX(Tabla6[#All],MATCH(Tabla4[[#This Row],[Producto]],Tabla6[[#All],[PRODUCTO]],0),MATCH(Tabla4[[#This Row],[Mes]],Tabla6[#Headers],0)))*(1+Catalogos!$L$2)</f>
        <v>#N/A</v>
      </c>
      <c r="N1223" s="283" t="e">
        <f>+(Tabla4[[#This Row],[Precio Descontado]]-Tabla4[[#This Row],[Precio Base]])*Tabla4[[#This Row],[Cantidad]]</f>
        <v>#N/A</v>
      </c>
      <c r="O1223" s="284" t="e">
        <f>++Tabla4[[#This Row],[Utilidad Total]]/Tabla4[[#This Row],[Total]]</f>
        <v>#N/A</v>
      </c>
      <c r="P1223" s="282">
        <f>++Tabla4[[#This Row],[Precio Descontado]]*Tabla4[[#This Row],[Cantidad]]</f>
        <v>6705.800755199999</v>
      </c>
      <c r="Q1223" s="282" t="e">
        <f>(INDEX(Tabla6[#All],MATCH(Tabla4[[#This Row],[Producto]],Tabla6[[#All],[PRODUCTO]],0),MATCH(Tabla4[[#This Row],[Mes]],Tabla6[#Headers],0)))</f>
        <v>#N/A</v>
      </c>
      <c r="R1223" s="282" t="e">
        <f>++Tabla4[[#This Row],[Precio Unitario Neto]]-Tabla4[[#This Row],[20.85%]]-Tabla4[[#This Row],[Costo]]</f>
        <v>#N/A</v>
      </c>
      <c r="S1223" s="282" t="e">
        <f>++Tabla4[[#This Row],[U. Bruta Uni]]*Tabla4[[#This Row],[Cantidad]]</f>
        <v>#N/A</v>
      </c>
      <c r="T1223" s="369" t="str">
        <f>VLOOKUP(Tabla4[[#This Row],[Producto]],Tabla6[#All],14,FALSE)</f>
        <v>Termico Solar</v>
      </c>
      <c r="U1223" s="284" t="e">
        <f>(IF(Tabla4[[#This Row],[Familia]]="termico solar",Tabla4[[#This Row],[Utilidad Total]]*6%,Tabla4[[#This Row],[Utilidad Total]]*11.5%))/Tabla4[[#This Row],[Total]]</f>
        <v>#N/A</v>
      </c>
      <c r="V1223" s="282" t="e">
        <f>+Tabla4[[#This Row],[Comisión Calculada]]*Tabla4[[#This Row],[Total]]</f>
        <v>#N/A</v>
      </c>
    </row>
    <row r="1224" spans="1:22" hidden="1" x14ac:dyDescent="0.25">
      <c r="A1224" s="100">
        <v>45731</v>
      </c>
      <c r="B1224" t="str">
        <f t="shared" si="52"/>
        <v>March</v>
      </c>
      <c r="C1224" s="46" t="s">
        <v>280</v>
      </c>
      <c r="F1224" s="366" t="s">
        <v>1212</v>
      </c>
      <c r="G1224" s="46" t="s">
        <v>208</v>
      </c>
      <c r="H1224" s="46">
        <v>4</v>
      </c>
      <c r="I1224" s="51">
        <v>189.75</v>
      </c>
      <c r="J1224" s="281">
        <f>++Tabla4[[#This Row],[Precio Bruto]]*1.16</f>
        <v>220.10999999999999</v>
      </c>
      <c r="K1224" s="281">
        <f>+Tabla4[[#This Row],[Precio Unitario Neto]]*Tabla4[[#Headers],[20.85%]]</f>
        <v>45.892934999999994</v>
      </c>
      <c r="L1224" s="282">
        <f>++Tabla4[[#This Row],[Precio Unitario Neto]]-Tabla4[[#This Row],[20.85%]]</f>
        <v>174.21706499999999</v>
      </c>
      <c r="M1224" s="282" t="e">
        <f>(INDEX(Tabla6[#All],MATCH(Tabla4[[#This Row],[Producto]],Tabla6[[#All],[PRODUCTO]],0),MATCH(Tabla4[[#This Row],[Mes]],Tabla6[#Headers],0)))*(1+Catalogos!$L$2)</f>
        <v>#N/A</v>
      </c>
      <c r="N1224" s="283" t="e">
        <f>+(Tabla4[[#This Row],[Precio Descontado]]-Tabla4[[#This Row],[Precio Base]])*Tabla4[[#This Row],[Cantidad]]</f>
        <v>#N/A</v>
      </c>
      <c r="O1224" s="284" t="e">
        <f>++Tabla4[[#This Row],[Utilidad Total]]/Tabla4[[#This Row],[Total]]</f>
        <v>#N/A</v>
      </c>
      <c r="P1224" s="282">
        <f>++Tabla4[[#This Row],[Precio Descontado]]*Tabla4[[#This Row],[Cantidad]]</f>
        <v>696.86825999999996</v>
      </c>
      <c r="Q1224" s="282" t="e">
        <f>(INDEX(Tabla6[#All],MATCH(Tabla4[[#This Row],[Producto]],Tabla6[[#All],[PRODUCTO]],0),MATCH(Tabla4[[#This Row],[Mes]],Tabla6[#Headers],0)))</f>
        <v>#N/A</v>
      </c>
      <c r="R1224" s="282" t="e">
        <f>++Tabla4[[#This Row],[Precio Unitario Neto]]-Tabla4[[#This Row],[20.85%]]-Tabla4[[#This Row],[Costo]]</f>
        <v>#N/A</v>
      </c>
      <c r="S1224" s="282" t="e">
        <f>++Tabla4[[#This Row],[U. Bruta Uni]]*Tabla4[[#This Row],[Cantidad]]</f>
        <v>#N/A</v>
      </c>
      <c r="T1224" s="369" t="str">
        <f>VLOOKUP(Tabla4[[#This Row],[Producto]],Tabla6[#All],14,FALSE)</f>
        <v>Termico Solar</v>
      </c>
      <c r="U1224" s="284" t="e">
        <f>(IF(Tabla4[[#This Row],[Familia]]="termico solar",Tabla4[[#This Row],[Utilidad Total]]*6%,Tabla4[[#This Row],[Utilidad Total]]*11.5%))/Tabla4[[#This Row],[Total]]</f>
        <v>#N/A</v>
      </c>
      <c r="V1224" s="282" t="e">
        <f>+Tabla4[[#This Row],[Comisión Calculada]]*Tabla4[[#This Row],[Total]]</f>
        <v>#N/A</v>
      </c>
    </row>
    <row r="1225" spans="1:22" hidden="1" x14ac:dyDescent="0.25">
      <c r="A1225" s="100">
        <v>45731</v>
      </c>
      <c r="B1225" t="str">
        <f t="shared" si="52"/>
        <v>March</v>
      </c>
      <c r="C1225" s="46" t="s">
        <v>280</v>
      </c>
      <c r="F1225" s="366" t="s">
        <v>1212</v>
      </c>
      <c r="G1225" s="46" t="s">
        <v>209</v>
      </c>
      <c r="H1225" s="46">
        <v>4</v>
      </c>
      <c r="I1225" s="51">
        <v>347.48</v>
      </c>
      <c r="J1225" s="281">
        <f>++Tabla4[[#This Row],[Precio Bruto]]*1.16</f>
        <v>403.07679999999999</v>
      </c>
      <c r="K1225" s="281">
        <f>+Tabla4[[#This Row],[Precio Unitario Neto]]*Tabla4[[#Headers],[20.85%]]</f>
        <v>84.041512799999992</v>
      </c>
      <c r="L1225" s="282">
        <f>++Tabla4[[#This Row],[Precio Unitario Neto]]-Tabla4[[#This Row],[20.85%]]</f>
        <v>319.03528719999997</v>
      </c>
      <c r="M1225" s="282" t="e">
        <f>(INDEX(Tabla6[#All],MATCH(Tabla4[[#This Row],[Producto]],Tabla6[[#All],[PRODUCTO]],0),MATCH(Tabla4[[#This Row],[Mes]],Tabla6[#Headers],0)))*(1+Catalogos!$L$2)</f>
        <v>#N/A</v>
      </c>
      <c r="N1225" s="283" t="e">
        <f>+(Tabla4[[#This Row],[Precio Descontado]]-Tabla4[[#This Row],[Precio Base]])*Tabla4[[#This Row],[Cantidad]]</f>
        <v>#N/A</v>
      </c>
      <c r="O1225" s="284" t="e">
        <f>++Tabla4[[#This Row],[Utilidad Total]]/Tabla4[[#This Row],[Total]]</f>
        <v>#N/A</v>
      </c>
      <c r="P1225" s="282">
        <f>++Tabla4[[#This Row],[Precio Descontado]]*Tabla4[[#This Row],[Cantidad]]</f>
        <v>1276.1411487999999</v>
      </c>
      <c r="Q1225" s="282" t="e">
        <f>(INDEX(Tabla6[#All],MATCH(Tabla4[[#This Row],[Producto]],Tabla6[[#All],[PRODUCTO]],0),MATCH(Tabla4[[#This Row],[Mes]],Tabla6[#Headers],0)))</f>
        <v>#N/A</v>
      </c>
      <c r="R1225" s="282" t="e">
        <f>++Tabla4[[#This Row],[Precio Unitario Neto]]-Tabla4[[#This Row],[20.85%]]-Tabla4[[#This Row],[Costo]]</f>
        <v>#N/A</v>
      </c>
      <c r="S1225" s="282" t="e">
        <f>++Tabla4[[#This Row],[U. Bruta Uni]]*Tabla4[[#This Row],[Cantidad]]</f>
        <v>#N/A</v>
      </c>
      <c r="T1225" s="369" t="str">
        <f>VLOOKUP(Tabla4[[#This Row],[Producto]],Tabla6[#All],14,FALSE)</f>
        <v>Termico Solar</v>
      </c>
      <c r="U1225" s="284" t="e">
        <f>(IF(Tabla4[[#This Row],[Familia]]="termico solar",Tabla4[[#This Row],[Utilidad Total]]*6%,Tabla4[[#This Row],[Utilidad Total]]*11.5%))/Tabla4[[#This Row],[Total]]</f>
        <v>#N/A</v>
      </c>
      <c r="V1225" s="282" t="e">
        <f>+Tabla4[[#This Row],[Comisión Calculada]]*Tabla4[[#This Row],[Total]]</f>
        <v>#N/A</v>
      </c>
    </row>
    <row r="1226" spans="1:22" hidden="1" x14ac:dyDescent="0.25">
      <c r="A1226" s="100">
        <v>45731</v>
      </c>
      <c r="B1226" t="str">
        <f t="shared" ref="B1226:B1231" si="53">TEXT(A1226, "mmmm")</f>
        <v>March</v>
      </c>
      <c r="C1226" s="46" t="s">
        <v>280</v>
      </c>
      <c r="F1226" s="366" t="s">
        <v>1213</v>
      </c>
      <c r="G1226" s="46" t="s">
        <v>394</v>
      </c>
      <c r="H1226" s="46">
        <v>16</v>
      </c>
      <c r="I1226" s="51">
        <v>224.29</v>
      </c>
      <c r="J1226" s="281">
        <f>++Tabla4[[#This Row],[Precio Bruto]]*1.16</f>
        <v>260.1764</v>
      </c>
      <c r="K1226" s="281">
        <f>+Tabla4[[#This Row],[Precio Unitario Neto]]*Tabla4[[#Headers],[20.85%]]</f>
        <v>54.246779400000001</v>
      </c>
      <c r="L1226" s="282">
        <f>++Tabla4[[#This Row],[Precio Unitario Neto]]-Tabla4[[#This Row],[20.85%]]</f>
        <v>205.92962059999999</v>
      </c>
      <c r="M1226" s="282" t="e">
        <f>(INDEX(Tabla6[#All],MATCH(Tabla4[[#This Row],[Producto]],Tabla6[[#All],[PRODUCTO]],0),MATCH(Tabla4[[#This Row],[Mes]],Tabla6[#Headers],0)))*(1+Catalogos!$L$2)</f>
        <v>#N/A</v>
      </c>
      <c r="N1226" s="283" t="e">
        <f>+(Tabla4[[#This Row],[Precio Descontado]]-Tabla4[[#This Row],[Precio Base]])*Tabla4[[#This Row],[Cantidad]]</f>
        <v>#N/A</v>
      </c>
      <c r="O1226" s="284" t="e">
        <f>++Tabla4[[#This Row],[Utilidad Total]]/Tabla4[[#This Row],[Total]]</f>
        <v>#N/A</v>
      </c>
      <c r="P1226" s="282">
        <f>++Tabla4[[#This Row],[Precio Descontado]]*Tabla4[[#This Row],[Cantidad]]</f>
        <v>3294.8739295999999</v>
      </c>
      <c r="Q1226" s="282" t="e">
        <f>(INDEX(Tabla6[#All],MATCH(Tabla4[[#This Row],[Producto]],Tabla6[[#All],[PRODUCTO]],0),MATCH(Tabla4[[#This Row],[Mes]],Tabla6[#Headers],0)))</f>
        <v>#N/A</v>
      </c>
      <c r="R1226" s="282" t="e">
        <f>++Tabla4[[#This Row],[Precio Unitario Neto]]-Tabla4[[#This Row],[20.85%]]-Tabla4[[#This Row],[Costo]]</f>
        <v>#N/A</v>
      </c>
      <c r="S1226" s="282" t="e">
        <f>++Tabla4[[#This Row],[U. Bruta Uni]]*Tabla4[[#This Row],[Cantidad]]</f>
        <v>#N/A</v>
      </c>
      <c r="T1226" s="369" t="str">
        <f>VLOOKUP(Tabla4[[#This Row],[Producto]],Tabla6[#All],14,FALSE)</f>
        <v>Termico Solar</v>
      </c>
      <c r="U1226" s="284" t="e">
        <f>(IF(Tabla4[[#This Row],[Familia]]="termico solar",Tabla4[[#This Row],[Utilidad Total]]*6%,Tabla4[[#This Row],[Utilidad Total]]*11.5%))/Tabla4[[#This Row],[Total]]</f>
        <v>#N/A</v>
      </c>
      <c r="V1226" s="282" t="e">
        <f>+Tabla4[[#This Row],[Comisión Calculada]]*Tabla4[[#This Row],[Total]]</f>
        <v>#N/A</v>
      </c>
    </row>
    <row r="1227" spans="1:22" hidden="1" x14ac:dyDescent="0.25">
      <c r="A1227" s="100">
        <v>45731</v>
      </c>
      <c r="B1227" t="str">
        <f t="shared" si="53"/>
        <v>March</v>
      </c>
      <c r="C1227" s="46" t="s">
        <v>280</v>
      </c>
      <c r="F1227" s="366" t="s">
        <v>1213</v>
      </c>
      <c r="G1227" s="46" t="s">
        <v>200</v>
      </c>
      <c r="H1227" s="46">
        <v>12</v>
      </c>
      <c r="I1227" s="51">
        <v>393.22</v>
      </c>
      <c r="J1227" s="281">
        <f>++Tabla4[[#This Row],[Precio Bruto]]*1.16</f>
        <v>456.1352</v>
      </c>
      <c r="K1227" s="281">
        <f>+Tabla4[[#This Row],[Precio Unitario Neto]]*Tabla4[[#Headers],[20.85%]]</f>
        <v>95.104189199999993</v>
      </c>
      <c r="L1227" s="282">
        <f>++Tabla4[[#This Row],[Precio Unitario Neto]]-Tabla4[[#This Row],[20.85%]]</f>
        <v>361.03101079999999</v>
      </c>
      <c r="M1227" s="282" t="e">
        <f>(INDEX(Tabla6[#All],MATCH(Tabla4[[#This Row],[Producto]],Tabla6[[#All],[PRODUCTO]],0),MATCH(Tabla4[[#This Row],[Mes]],Tabla6[#Headers],0)))*(1+Catalogos!$L$2)</f>
        <v>#N/A</v>
      </c>
      <c r="N1227" s="283" t="e">
        <f>+(Tabla4[[#This Row],[Precio Descontado]]-Tabla4[[#This Row],[Precio Base]])*Tabla4[[#This Row],[Cantidad]]</f>
        <v>#N/A</v>
      </c>
      <c r="O1227" s="284" t="e">
        <f>++Tabla4[[#This Row],[Utilidad Total]]/Tabla4[[#This Row],[Total]]</f>
        <v>#N/A</v>
      </c>
      <c r="P1227" s="282">
        <f>++Tabla4[[#This Row],[Precio Descontado]]*Tabla4[[#This Row],[Cantidad]]</f>
        <v>4332.3721296000003</v>
      </c>
      <c r="Q1227" s="282" t="e">
        <f>(INDEX(Tabla6[#All],MATCH(Tabla4[[#This Row],[Producto]],Tabla6[[#All],[PRODUCTO]],0),MATCH(Tabla4[[#This Row],[Mes]],Tabla6[#Headers],0)))</f>
        <v>#N/A</v>
      </c>
      <c r="R1227" s="282" t="e">
        <f>++Tabla4[[#This Row],[Precio Unitario Neto]]-Tabla4[[#This Row],[20.85%]]-Tabla4[[#This Row],[Costo]]</f>
        <v>#N/A</v>
      </c>
      <c r="S1227" s="282" t="e">
        <f>++Tabla4[[#This Row],[U. Bruta Uni]]*Tabla4[[#This Row],[Cantidad]]</f>
        <v>#N/A</v>
      </c>
      <c r="T1227" s="369" t="str">
        <f>VLOOKUP(Tabla4[[#This Row],[Producto]],Tabla6[#All],14,FALSE)</f>
        <v>Termico Solar</v>
      </c>
      <c r="U1227" s="284" t="e">
        <f>(IF(Tabla4[[#This Row],[Familia]]="termico solar",Tabla4[[#This Row],[Utilidad Total]]*6%,Tabla4[[#This Row],[Utilidad Total]]*11.5%))/Tabla4[[#This Row],[Total]]</f>
        <v>#N/A</v>
      </c>
      <c r="V1227" s="282" t="e">
        <f>+Tabla4[[#This Row],[Comisión Calculada]]*Tabla4[[#This Row],[Total]]</f>
        <v>#N/A</v>
      </c>
    </row>
    <row r="1228" spans="1:22" hidden="1" x14ac:dyDescent="0.25">
      <c r="A1228" s="100">
        <v>45731</v>
      </c>
      <c r="B1228" t="str">
        <f t="shared" si="53"/>
        <v>March</v>
      </c>
      <c r="C1228" s="46" t="s">
        <v>280</v>
      </c>
      <c r="F1228" s="366" t="s">
        <v>1213</v>
      </c>
      <c r="G1228" s="46" t="s">
        <v>555</v>
      </c>
      <c r="H1228" s="46">
        <v>8</v>
      </c>
      <c r="I1228" s="51">
        <v>389.47</v>
      </c>
      <c r="J1228" s="281">
        <f>++Tabla4[[#This Row],[Precio Bruto]]*1.16</f>
        <v>451.78519999999997</v>
      </c>
      <c r="K1228" s="281">
        <f>+Tabla4[[#This Row],[Precio Unitario Neto]]*Tabla4[[#Headers],[20.85%]]</f>
        <v>94.197214199999991</v>
      </c>
      <c r="L1228" s="282">
        <f>++Tabla4[[#This Row],[Precio Unitario Neto]]-Tabla4[[#This Row],[20.85%]]</f>
        <v>357.58798579999996</v>
      </c>
      <c r="M1228" s="282" t="e">
        <f>(INDEX(Tabla6[#All],MATCH(Tabla4[[#This Row],[Producto]],Tabla6[[#All],[PRODUCTO]],0),MATCH(Tabla4[[#This Row],[Mes]],Tabla6[#Headers],0)))*(1+Catalogos!$L$2)</f>
        <v>#N/A</v>
      </c>
      <c r="N1228" s="283" t="e">
        <f>+(Tabla4[[#This Row],[Precio Descontado]]-Tabla4[[#This Row],[Precio Base]])*Tabla4[[#This Row],[Cantidad]]</f>
        <v>#N/A</v>
      </c>
      <c r="O1228" s="284" t="e">
        <f>++Tabla4[[#This Row],[Utilidad Total]]/Tabla4[[#This Row],[Total]]</f>
        <v>#N/A</v>
      </c>
      <c r="P1228" s="282">
        <f>++Tabla4[[#This Row],[Precio Descontado]]*Tabla4[[#This Row],[Cantidad]]</f>
        <v>2860.7038863999996</v>
      </c>
      <c r="Q1228" s="282" t="e">
        <f>(INDEX(Tabla6[#All],MATCH(Tabla4[[#This Row],[Producto]],Tabla6[[#All],[PRODUCTO]],0),MATCH(Tabla4[[#This Row],[Mes]],Tabla6[#Headers],0)))</f>
        <v>#N/A</v>
      </c>
      <c r="R1228" s="282" t="e">
        <f>++Tabla4[[#This Row],[Precio Unitario Neto]]-Tabla4[[#This Row],[20.85%]]-Tabla4[[#This Row],[Costo]]</f>
        <v>#N/A</v>
      </c>
      <c r="S1228" s="282" t="e">
        <f>++Tabla4[[#This Row],[U. Bruta Uni]]*Tabla4[[#This Row],[Cantidad]]</f>
        <v>#N/A</v>
      </c>
      <c r="T1228" s="369" t="str">
        <f>VLOOKUP(Tabla4[[#This Row],[Producto]],Tabla6[#All],14,FALSE)</f>
        <v>Termico Solar</v>
      </c>
      <c r="U1228" s="284" t="e">
        <f>(IF(Tabla4[[#This Row],[Familia]]="termico solar",Tabla4[[#This Row],[Utilidad Total]]*6%,Tabla4[[#This Row],[Utilidad Total]]*11.5%))/Tabla4[[#This Row],[Total]]</f>
        <v>#N/A</v>
      </c>
      <c r="V1228" s="282" t="e">
        <f>+Tabla4[[#This Row],[Comisión Calculada]]*Tabla4[[#This Row],[Total]]</f>
        <v>#N/A</v>
      </c>
    </row>
    <row r="1229" spans="1:22" hidden="1" x14ac:dyDescent="0.25">
      <c r="A1229" s="100">
        <v>45731</v>
      </c>
      <c r="B1229" t="str">
        <f t="shared" si="53"/>
        <v>March</v>
      </c>
      <c r="C1229" s="46" t="s">
        <v>280</v>
      </c>
      <c r="F1229" s="366" t="s">
        <v>1213</v>
      </c>
      <c r="G1229" s="46" t="s">
        <v>545</v>
      </c>
      <c r="H1229" s="46">
        <v>24</v>
      </c>
      <c r="I1229" s="51">
        <v>304.32</v>
      </c>
      <c r="J1229" s="281">
        <f>++Tabla4[[#This Row],[Precio Bruto]]*1.16</f>
        <v>353.01119999999997</v>
      </c>
      <c r="K1229" s="281">
        <f>+Tabla4[[#This Row],[Precio Unitario Neto]]*Tabla4[[#Headers],[20.85%]]</f>
        <v>73.602835199999987</v>
      </c>
      <c r="L1229" s="282">
        <f>++Tabla4[[#This Row],[Precio Unitario Neto]]-Tabla4[[#This Row],[20.85%]]</f>
        <v>279.40836479999996</v>
      </c>
      <c r="M1229" s="282" t="e">
        <f>(INDEX(Tabla6[#All],MATCH(Tabla4[[#This Row],[Producto]],Tabla6[[#All],[PRODUCTO]],0),MATCH(Tabla4[[#This Row],[Mes]],Tabla6[#Headers],0)))*(1+Catalogos!$L$2)</f>
        <v>#N/A</v>
      </c>
      <c r="N1229" s="283" t="e">
        <f>+(Tabla4[[#This Row],[Precio Descontado]]-Tabla4[[#This Row],[Precio Base]])*Tabla4[[#This Row],[Cantidad]]</f>
        <v>#N/A</v>
      </c>
      <c r="O1229" s="284" t="e">
        <f>++Tabla4[[#This Row],[Utilidad Total]]/Tabla4[[#This Row],[Total]]</f>
        <v>#N/A</v>
      </c>
      <c r="P1229" s="282">
        <f>++Tabla4[[#This Row],[Precio Descontado]]*Tabla4[[#This Row],[Cantidad]]</f>
        <v>6705.800755199999</v>
      </c>
      <c r="Q1229" s="282" t="e">
        <f>(INDEX(Tabla6[#All],MATCH(Tabla4[[#This Row],[Producto]],Tabla6[[#All],[PRODUCTO]],0),MATCH(Tabla4[[#This Row],[Mes]],Tabla6[#Headers],0)))</f>
        <v>#N/A</v>
      </c>
      <c r="R1229" s="282" t="e">
        <f>++Tabla4[[#This Row],[Precio Unitario Neto]]-Tabla4[[#This Row],[20.85%]]-Tabla4[[#This Row],[Costo]]</f>
        <v>#N/A</v>
      </c>
      <c r="S1229" s="282" t="e">
        <f>++Tabla4[[#This Row],[U. Bruta Uni]]*Tabla4[[#This Row],[Cantidad]]</f>
        <v>#N/A</v>
      </c>
      <c r="T1229" s="369" t="str">
        <f>VLOOKUP(Tabla4[[#This Row],[Producto]],Tabla6[#All],14,FALSE)</f>
        <v>Termico Solar</v>
      </c>
      <c r="U1229" s="284" t="e">
        <f>(IF(Tabla4[[#This Row],[Familia]]="termico solar",Tabla4[[#This Row],[Utilidad Total]]*6%,Tabla4[[#This Row],[Utilidad Total]]*11.5%))/Tabla4[[#This Row],[Total]]</f>
        <v>#N/A</v>
      </c>
      <c r="V1229" s="282" t="e">
        <f>+Tabla4[[#This Row],[Comisión Calculada]]*Tabla4[[#This Row],[Total]]</f>
        <v>#N/A</v>
      </c>
    </row>
    <row r="1230" spans="1:22" hidden="1" x14ac:dyDescent="0.25">
      <c r="A1230" s="100">
        <v>45731</v>
      </c>
      <c r="B1230" t="str">
        <f t="shared" si="53"/>
        <v>March</v>
      </c>
      <c r="C1230" s="46" t="s">
        <v>280</v>
      </c>
      <c r="F1230" s="366" t="s">
        <v>1213</v>
      </c>
      <c r="G1230" s="46" t="s">
        <v>208</v>
      </c>
      <c r="H1230" s="46">
        <v>4</v>
      </c>
      <c r="I1230" s="51">
        <v>189.75</v>
      </c>
      <c r="J1230" s="281">
        <f>++Tabla4[[#This Row],[Precio Bruto]]*1.16</f>
        <v>220.10999999999999</v>
      </c>
      <c r="K1230" s="281">
        <f>+Tabla4[[#This Row],[Precio Unitario Neto]]*Tabla4[[#Headers],[20.85%]]</f>
        <v>45.892934999999994</v>
      </c>
      <c r="L1230" s="282">
        <f>++Tabla4[[#This Row],[Precio Unitario Neto]]-Tabla4[[#This Row],[20.85%]]</f>
        <v>174.21706499999999</v>
      </c>
      <c r="M1230" s="282" t="e">
        <f>(INDEX(Tabla6[#All],MATCH(Tabla4[[#This Row],[Producto]],Tabla6[[#All],[PRODUCTO]],0),MATCH(Tabla4[[#This Row],[Mes]],Tabla6[#Headers],0)))*(1+Catalogos!$L$2)</f>
        <v>#N/A</v>
      </c>
      <c r="N1230" s="283" t="e">
        <f>+(Tabla4[[#This Row],[Precio Descontado]]-Tabla4[[#This Row],[Precio Base]])*Tabla4[[#This Row],[Cantidad]]</f>
        <v>#N/A</v>
      </c>
      <c r="O1230" s="284" t="e">
        <f>++Tabla4[[#This Row],[Utilidad Total]]/Tabla4[[#This Row],[Total]]</f>
        <v>#N/A</v>
      </c>
      <c r="P1230" s="282">
        <f>++Tabla4[[#This Row],[Precio Descontado]]*Tabla4[[#This Row],[Cantidad]]</f>
        <v>696.86825999999996</v>
      </c>
      <c r="Q1230" s="282" t="e">
        <f>(INDEX(Tabla6[#All],MATCH(Tabla4[[#This Row],[Producto]],Tabla6[[#All],[PRODUCTO]],0),MATCH(Tabla4[[#This Row],[Mes]],Tabla6[#Headers],0)))</f>
        <v>#N/A</v>
      </c>
      <c r="R1230" s="282" t="e">
        <f>++Tabla4[[#This Row],[Precio Unitario Neto]]-Tabla4[[#This Row],[20.85%]]-Tabla4[[#This Row],[Costo]]</f>
        <v>#N/A</v>
      </c>
      <c r="S1230" s="282" t="e">
        <f>++Tabla4[[#This Row],[U. Bruta Uni]]*Tabla4[[#This Row],[Cantidad]]</f>
        <v>#N/A</v>
      </c>
      <c r="T1230" s="369" t="str">
        <f>VLOOKUP(Tabla4[[#This Row],[Producto]],Tabla6[#All],14,FALSE)</f>
        <v>Termico Solar</v>
      </c>
      <c r="U1230" s="284" t="e">
        <f>(IF(Tabla4[[#This Row],[Familia]]="termico solar",Tabla4[[#This Row],[Utilidad Total]]*6%,Tabla4[[#This Row],[Utilidad Total]]*11.5%))/Tabla4[[#This Row],[Total]]</f>
        <v>#N/A</v>
      </c>
      <c r="V1230" s="282" t="e">
        <f>+Tabla4[[#This Row],[Comisión Calculada]]*Tabla4[[#This Row],[Total]]</f>
        <v>#N/A</v>
      </c>
    </row>
    <row r="1231" spans="1:22" hidden="1" x14ac:dyDescent="0.25">
      <c r="A1231" s="100">
        <v>45731</v>
      </c>
      <c r="B1231" t="str">
        <f t="shared" si="53"/>
        <v>March</v>
      </c>
      <c r="C1231" s="46" t="s">
        <v>280</v>
      </c>
      <c r="F1231" s="366" t="s">
        <v>1213</v>
      </c>
      <c r="G1231" s="46" t="s">
        <v>209</v>
      </c>
      <c r="H1231" s="46">
        <v>4</v>
      </c>
      <c r="I1231" s="51">
        <v>347.48</v>
      </c>
      <c r="J1231" s="281">
        <f>++Tabla4[[#This Row],[Precio Bruto]]*1.16</f>
        <v>403.07679999999999</v>
      </c>
      <c r="K1231" s="281">
        <f>+Tabla4[[#This Row],[Precio Unitario Neto]]*Tabla4[[#Headers],[20.85%]]</f>
        <v>84.041512799999992</v>
      </c>
      <c r="L1231" s="282">
        <f>++Tabla4[[#This Row],[Precio Unitario Neto]]-Tabla4[[#This Row],[20.85%]]</f>
        <v>319.03528719999997</v>
      </c>
      <c r="M1231" s="282" t="e">
        <f>(INDEX(Tabla6[#All],MATCH(Tabla4[[#This Row],[Producto]],Tabla6[[#All],[PRODUCTO]],0),MATCH(Tabla4[[#This Row],[Mes]],Tabla6[#Headers],0)))*(1+Catalogos!$L$2)</f>
        <v>#N/A</v>
      </c>
      <c r="N1231" s="283" t="e">
        <f>+(Tabla4[[#This Row],[Precio Descontado]]-Tabla4[[#This Row],[Precio Base]])*Tabla4[[#This Row],[Cantidad]]</f>
        <v>#N/A</v>
      </c>
      <c r="O1231" s="284" t="e">
        <f>++Tabla4[[#This Row],[Utilidad Total]]/Tabla4[[#This Row],[Total]]</f>
        <v>#N/A</v>
      </c>
      <c r="P1231" s="282">
        <f>++Tabla4[[#This Row],[Precio Descontado]]*Tabla4[[#This Row],[Cantidad]]</f>
        <v>1276.1411487999999</v>
      </c>
      <c r="Q1231" s="282" t="e">
        <f>(INDEX(Tabla6[#All],MATCH(Tabla4[[#This Row],[Producto]],Tabla6[[#All],[PRODUCTO]],0),MATCH(Tabla4[[#This Row],[Mes]],Tabla6[#Headers],0)))</f>
        <v>#N/A</v>
      </c>
      <c r="R1231" s="282" t="e">
        <f>++Tabla4[[#This Row],[Precio Unitario Neto]]-Tabla4[[#This Row],[20.85%]]-Tabla4[[#This Row],[Costo]]</f>
        <v>#N/A</v>
      </c>
      <c r="S1231" s="282" t="e">
        <f>++Tabla4[[#This Row],[U. Bruta Uni]]*Tabla4[[#This Row],[Cantidad]]</f>
        <v>#N/A</v>
      </c>
      <c r="T1231" s="369" t="str">
        <f>VLOOKUP(Tabla4[[#This Row],[Producto]],Tabla6[#All],14,FALSE)</f>
        <v>Termico Solar</v>
      </c>
      <c r="U1231" s="284" t="e">
        <f>(IF(Tabla4[[#This Row],[Familia]]="termico solar",Tabla4[[#This Row],[Utilidad Total]]*6%,Tabla4[[#This Row],[Utilidad Total]]*11.5%))/Tabla4[[#This Row],[Total]]</f>
        <v>#N/A</v>
      </c>
      <c r="V1231" s="282" t="e">
        <f>+Tabla4[[#This Row],[Comisión Calculada]]*Tabla4[[#This Row],[Total]]</f>
        <v>#N/A</v>
      </c>
    </row>
    <row r="1232" spans="1:22" hidden="1" x14ac:dyDescent="0.25">
      <c r="A1232" s="100">
        <v>45731</v>
      </c>
      <c r="B1232" t="str">
        <f t="shared" ref="B1232:B1275" si="54">TEXT(A1232, "mmmm")</f>
        <v>March</v>
      </c>
      <c r="C1232" s="46" t="s">
        <v>280</v>
      </c>
      <c r="F1232" s="366" t="s">
        <v>1214</v>
      </c>
      <c r="G1232" s="46" t="s">
        <v>18</v>
      </c>
      <c r="H1232" s="46">
        <v>1</v>
      </c>
      <c r="I1232" s="51">
        <v>5367.65</v>
      </c>
      <c r="J1232" s="281">
        <f>++Tabla4[[#This Row],[Precio Bruto]]*1.16</f>
        <v>6226.4739999999993</v>
      </c>
      <c r="K1232" s="281">
        <f>+Tabla4[[#This Row],[Precio Unitario Neto]]*Tabla4[[#Headers],[20.85%]]</f>
        <v>1298.2198289999999</v>
      </c>
      <c r="L1232" s="282">
        <f>++Tabla4[[#This Row],[Precio Unitario Neto]]-Tabla4[[#This Row],[20.85%]]</f>
        <v>4928.2541709999996</v>
      </c>
      <c r="M1232" s="282" t="e">
        <f>(INDEX(Tabla6[#All],MATCH(Tabla4[[#This Row],[Producto]],Tabla6[[#All],[PRODUCTO]],0),MATCH(Tabla4[[#This Row],[Mes]],Tabla6[#Headers],0)))*(1+Catalogos!$L$2)</f>
        <v>#N/A</v>
      </c>
      <c r="N1232" s="283" t="e">
        <f>+(Tabla4[[#This Row],[Precio Descontado]]-Tabla4[[#This Row],[Precio Base]])*Tabla4[[#This Row],[Cantidad]]</f>
        <v>#N/A</v>
      </c>
      <c r="O1232" s="284" t="e">
        <f>++Tabla4[[#This Row],[Utilidad Total]]/Tabla4[[#This Row],[Total]]</f>
        <v>#N/A</v>
      </c>
      <c r="P1232" s="282">
        <f>++Tabla4[[#This Row],[Precio Descontado]]*Tabla4[[#This Row],[Cantidad]]</f>
        <v>4928.2541709999996</v>
      </c>
      <c r="Q1232" s="282" t="e">
        <f>(INDEX(Tabla6[#All],MATCH(Tabla4[[#This Row],[Producto]],Tabla6[[#All],[PRODUCTO]],0),MATCH(Tabla4[[#This Row],[Mes]],Tabla6[#Headers],0)))</f>
        <v>#N/A</v>
      </c>
      <c r="R1232" s="282" t="e">
        <f>++Tabla4[[#This Row],[Precio Unitario Neto]]-Tabla4[[#This Row],[20.85%]]-Tabla4[[#This Row],[Costo]]</f>
        <v>#N/A</v>
      </c>
      <c r="S1232" s="282" t="e">
        <f>++Tabla4[[#This Row],[U. Bruta Uni]]*Tabla4[[#This Row],[Cantidad]]</f>
        <v>#N/A</v>
      </c>
      <c r="T1232" s="369" t="str">
        <f>VLOOKUP(Tabla4[[#This Row],[Producto]],Tabla6[#All],14,FALSE)</f>
        <v>Termico Solar</v>
      </c>
      <c r="U1232" s="284" t="e">
        <f>(IF(Tabla4[[#This Row],[Familia]]="termico solar",Tabla4[[#This Row],[Utilidad Total]]*6%,Tabla4[[#This Row],[Utilidad Total]]*11.5%))/Tabla4[[#This Row],[Total]]</f>
        <v>#N/A</v>
      </c>
      <c r="V1232" s="282" t="e">
        <f>+Tabla4[[#This Row],[Comisión Calculada]]*Tabla4[[#This Row],[Total]]</f>
        <v>#N/A</v>
      </c>
    </row>
    <row r="1233" spans="1:22" hidden="1" x14ac:dyDescent="0.25">
      <c r="A1233" s="100">
        <v>45731</v>
      </c>
      <c r="B1233" t="str">
        <f t="shared" si="54"/>
        <v>March</v>
      </c>
      <c r="C1233" s="46" t="s">
        <v>280</v>
      </c>
      <c r="F1233" s="366" t="s">
        <v>1215</v>
      </c>
      <c r="G1233" s="46" t="s">
        <v>18</v>
      </c>
      <c r="H1233" s="46">
        <v>1</v>
      </c>
      <c r="I1233" s="51">
        <v>5367.65</v>
      </c>
      <c r="J1233" s="281">
        <f>++Tabla4[[#This Row],[Precio Bruto]]*1.16</f>
        <v>6226.4739999999993</v>
      </c>
      <c r="K1233" s="281">
        <f>+Tabla4[[#This Row],[Precio Unitario Neto]]*Tabla4[[#Headers],[20.85%]]</f>
        <v>1298.2198289999999</v>
      </c>
      <c r="L1233" s="282">
        <f>++Tabla4[[#This Row],[Precio Unitario Neto]]-Tabla4[[#This Row],[20.85%]]</f>
        <v>4928.2541709999996</v>
      </c>
      <c r="M1233" s="282" t="e">
        <f>(INDEX(Tabla6[#All],MATCH(Tabla4[[#This Row],[Producto]],Tabla6[[#All],[PRODUCTO]],0),MATCH(Tabla4[[#This Row],[Mes]],Tabla6[#Headers],0)))*(1+Catalogos!$L$2)</f>
        <v>#N/A</v>
      </c>
      <c r="N1233" s="283" t="e">
        <f>+(Tabla4[[#This Row],[Precio Descontado]]-Tabla4[[#This Row],[Precio Base]])*Tabla4[[#This Row],[Cantidad]]</f>
        <v>#N/A</v>
      </c>
      <c r="O1233" s="284" t="e">
        <f>++Tabla4[[#This Row],[Utilidad Total]]/Tabla4[[#This Row],[Total]]</f>
        <v>#N/A</v>
      </c>
      <c r="P1233" s="282">
        <f>++Tabla4[[#This Row],[Precio Descontado]]*Tabla4[[#This Row],[Cantidad]]</f>
        <v>4928.2541709999996</v>
      </c>
      <c r="Q1233" s="282" t="e">
        <f>(INDEX(Tabla6[#All],MATCH(Tabla4[[#This Row],[Producto]],Tabla6[[#All],[PRODUCTO]],0),MATCH(Tabla4[[#This Row],[Mes]],Tabla6[#Headers],0)))</f>
        <v>#N/A</v>
      </c>
      <c r="R1233" s="282" t="e">
        <f>++Tabla4[[#This Row],[Precio Unitario Neto]]-Tabla4[[#This Row],[20.85%]]-Tabla4[[#This Row],[Costo]]</f>
        <v>#N/A</v>
      </c>
      <c r="S1233" s="282" t="e">
        <f>++Tabla4[[#This Row],[U. Bruta Uni]]*Tabla4[[#This Row],[Cantidad]]</f>
        <v>#N/A</v>
      </c>
      <c r="T1233" s="369" t="str">
        <f>VLOOKUP(Tabla4[[#This Row],[Producto]],Tabla6[#All],14,FALSE)</f>
        <v>Termico Solar</v>
      </c>
      <c r="U1233" s="284" t="e">
        <f>(IF(Tabla4[[#This Row],[Familia]]="termico solar",Tabla4[[#This Row],[Utilidad Total]]*6%,Tabla4[[#This Row],[Utilidad Total]]*11.5%))/Tabla4[[#This Row],[Total]]</f>
        <v>#N/A</v>
      </c>
      <c r="V1233" s="282" t="e">
        <f>+Tabla4[[#This Row],[Comisión Calculada]]*Tabla4[[#This Row],[Total]]</f>
        <v>#N/A</v>
      </c>
    </row>
    <row r="1234" spans="1:22" hidden="1" x14ac:dyDescent="0.25">
      <c r="A1234" s="100">
        <v>45731</v>
      </c>
      <c r="B1234" t="str">
        <f t="shared" si="54"/>
        <v>March</v>
      </c>
      <c r="C1234" s="46" t="s">
        <v>280</v>
      </c>
      <c r="F1234" s="366" t="s">
        <v>1216</v>
      </c>
      <c r="G1234" s="46" t="s">
        <v>83</v>
      </c>
      <c r="H1234" s="46">
        <v>1</v>
      </c>
      <c r="I1234" s="51">
        <v>8858.76</v>
      </c>
      <c r="J1234" s="281">
        <f>++Tabla4[[#This Row],[Precio Bruto]]*1.16</f>
        <v>10276.161599999999</v>
      </c>
      <c r="K1234" s="281">
        <f>+Tabla4[[#This Row],[Precio Unitario Neto]]*Tabla4[[#Headers],[20.85%]]</f>
        <v>2142.5796935999997</v>
      </c>
      <c r="L1234" s="282">
        <f>++Tabla4[[#This Row],[Precio Unitario Neto]]-Tabla4[[#This Row],[20.85%]]</f>
        <v>8133.5819063999998</v>
      </c>
      <c r="M1234" s="282" t="e">
        <f>(INDEX(Tabla6[#All],MATCH(Tabla4[[#This Row],[Producto]],Tabla6[[#All],[PRODUCTO]],0),MATCH(Tabla4[[#This Row],[Mes]],Tabla6[#Headers],0)))*(1+Catalogos!$L$2)</f>
        <v>#N/A</v>
      </c>
      <c r="N1234" s="283" t="e">
        <f>+(Tabla4[[#This Row],[Precio Descontado]]-Tabla4[[#This Row],[Precio Base]])*Tabla4[[#This Row],[Cantidad]]</f>
        <v>#N/A</v>
      </c>
      <c r="O1234" s="284" t="e">
        <f>++Tabla4[[#This Row],[Utilidad Total]]/Tabla4[[#This Row],[Total]]</f>
        <v>#N/A</v>
      </c>
      <c r="P1234" s="282">
        <f>++Tabla4[[#This Row],[Precio Descontado]]*Tabla4[[#This Row],[Cantidad]]</f>
        <v>8133.5819063999998</v>
      </c>
      <c r="Q1234" s="282" t="e">
        <f>(INDEX(Tabla6[#All],MATCH(Tabla4[[#This Row],[Producto]],Tabla6[[#All],[PRODUCTO]],0),MATCH(Tabla4[[#This Row],[Mes]],Tabla6[#Headers],0)))</f>
        <v>#N/A</v>
      </c>
      <c r="R1234" s="282" t="e">
        <f>++Tabla4[[#This Row],[Precio Unitario Neto]]-Tabla4[[#This Row],[20.85%]]-Tabla4[[#This Row],[Costo]]</f>
        <v>#N/A</v>
      </c>
      <c r="S1234" s="282" t="e">
        <f>++Tabla4[[#This Row],[U. Bruta Uni]]*Tabla4[[#This Row],[Cantidad]]</f>
        <v>#N/A</v>
      </c>
      <c r="T1234" s="369" t="str">
        <f>VLOOKUP(Tabla4[[#This Row],[Producto]],Tabla6[#All],14,FALSE)</f>
        <v>Termico Solar</v>
      </c>
      <c r="U1234" s="284" t="e">
        <f>(IF(Tabla4[[#This Row],[Familia]]="termico solar",Tabla4[[#This Row],[Utilidad Total]]*6%,Tabla4[[#This Row],[Utilidad Total]]*11.5%))/Tabla4[[#This Row],[Total]]</f>
        <v>#N/A</v>
      </c>
      <c r="V1234" s="282" t="e">
        <f>+Tabla4[[#This Row],[Comisión Calculada]]*Tabla4[[#This Row],[Total]]</f>
        <v>#N/A</v>
      </c>
    </row>
    <row r="1235" spans="1:22" hidden="1" x14ac:dyDescent="0.25">
      <c r="A1235" s="100">
        <v>45731</v>
      </c>
      <c r="B1235" t="str">
        <f t="shared" si="54"/>
        <v>March</v>
      </c>
      <c r="C1235" s="46" t="s">
        <v>280</v>
      </c>
      <c r="F1235" s="366" t="s">
        <v>1217</v>
      </c>
      <c r="G1235" s="46" t="s">
        <v>83</v>
      </c>
      <c r="H1235" s="46">
        <v>1</v>
      </c>
      <c r="I1235" s="51">
        <v>8858.76</v>
      </c>
      <c r="J1235" s="281">
        <f>++Tabla4[[#This Row],[Precio Bruto]]*1.16</f>
        <v>10276.161599999999</v>
      </c>
      <c r="K1235" s="281">
        <f>+Tabla4[[#This Row],[Precio Unitario Neto]]*Tabla4[[#Headers],[20.85%]]</f>
        <v>2142.5796935999997</v>
      </c>
      <c r="L1235" s="282">
        <f>++Tabla4[[#This Row],[Precio Unitario Neto]]-Tabla4[[#This Row],[20.85%]]</f>
        <v>8133.5819063999998</v>
      </c>
      <c r="M1235" s="282" t="e">
        <f>(INDEX(Tabla6[#All],MATCH(Tabla4[[#This Row],[Producto]],Tabla6[[#All],[PRODUCTO]],0),MATCH(Tabla4[[#This Row],[Mes]],Tabla6[#Headers],0)))*(1+Catalogos!$L$2)</f>
        <v>#N/A</v>
      </c>
      <c r="N1235" s="283" t="e">
        <f>+(Tabla4[[#This Row],[Precio Descontado]]-Tabla4[[#This Row],[Precio Base]])*Tabla4[[#This Row],[Cantidad]]</f>
        <v>#N/A</v>
      </c>
      <c r="O1235" s="284" t="e">
        <f>++Tabla4[[#This Row],[Utilidad Total]]/Tabla4[[#This Row],[Total]]</f>
        <v>#N/A</v>
      </c>
      <c r="P1235" s="282">
        <f>++Tabla4[[#This Row],[Precio Descontado]]*Tabla4[[#This Row],[Cantidad]]</f>
        <v>8133.5819063999998</v>
      </c>
      <c r="Q1235" s="282" t="e">
        <f>(INDEX(Tabla6[#All],MATCH(Tabla4[[#This Row],[Producto]],Tabla6[[#All],[PRODUCTO]],0),MATCH(Tabla4[[#This Row],[Mes]],Tabla6[#Headers],0)))</f>
        <v>#N/A</v>
      </c>
      <c r="R1235" s="282" t="e">
        <f>++Tabla4[[#This Row],[Precio Unitario Neto]]-Tabla4[[#This Row],[20.85%]]-Tabla4[[#This Row],[Costo]]</f>
        <v>#N/A</v>
      </c>
      <c r="S1235" s="282" t="e">
        <f>++Tabla4[[#This Row],[U. Bruta Uni]]*Tabla4[[#This Row],[Cantidad]]</f>
        <v>#N/A</v>
      </c>
      <c r="T1235" s="369" t="str">
        <f>VLOOKUP(Tabla4[[#This Row],[Producto]],Tabla6[#All],14,FALSE)</f>
        <v>Termico Solar</v>
      </c>
      <c r="U1235" s="284" t="e">
        <f>(IF(Tabla4[[#This Row],[Familia]]="termico solar",Tabla4[[#This Row],[Utilidad Total]]*6%,Tabla4[[#This Row],[Utilidad Total]]*11.5%))/Tabla4[[#This Row],[Total]]</f>
        <v>#N/A</v>
      </c>
      <c r="V1235" s="282" t="e">
        <f>+Tabla4[[#This Row],[Comisión Calculada]]*Tabla4[[#This Row],[Total]]</f>
        <v>#N/A</v>
      </c>
    </row>
    <row r="1236" spans="1:22" hidden="1" x14ac:dyDescent="0.25">
      <c r="A1236" s="100">
        <v>45731</v>
      </c>
      <c r="B1236" t="str">
        <f t="shared" si="54"/>
        <v>March</v>
      </c>
      <c r="C1236" s="46" t="s">
        <v>280</v>
      </c>
      <c r="F1236" s="366" t="s">
        <v>1217</v>
      </c>
      <c r="G1236" s="46" t="s">
        <v>208</v>
      </c>
      <c r="H1236" s="46">
        <v>1</v>
      </c>
      <c r="I1236" s="51">
        <v>189.75</v>
      </c>
      <c r="J1236" s="281">
        <f>++Tabla4[[#This Row],[Precio Bruto]]*1.16</f>
        <v>220.10999999999999</v>
      </c>
      <c r="K1236" s="281">
        <f>+Tabla4[[#This Row],[Precio Unitario Neto]]*Tabla4[[#Headers],[20.85%]]</f>
        <v>45.892934999999994</v>
      </c>
      <c r="L1236" s="282">
        <f>++Tabla4[[#This Row],[Precio Unitario Neto]]-Tabla4[[#This Row],[20.85%]]</f>
        <v>174.21706499999999</v>
      </c>
      <c r="M1236" s="282" t="e">
        <f>(INDEX(Tabla6[#All],MATCH(Tabla4[[#This Row],[Producto]],Tabla6[[#All],[PRODUCTO]],0),MATCH(Tabla4[[#This Row],[Mes]],Tabla6[#Headers],0)))*(1+Catalogos!$L$2)</f>
        <v>#N/A</v>
      </c>
      <c r="N1236" s="283" t="e">
        <f>+(Tabla4[[#This Row],[Precio Descontado]]-Tabla4[[#This Row],[Precio Base]])*Tabla4[[#This Row],[Cantidad]]</f>
        <v>#N/A</v>
      </c>
      <c r="O1236" s="284" t="e">
        <f>++Tabla4[[#This Row],[Utilidad Total]]/Tabla4[[#This Row],[Total]]</f>
        <v>#N/A</v>
      </c>
      <c r="P1236" s="282">
        <f>++Tabla4[[#This Row],[Precio Descontado]]*Tabla4[[#This Row],[Cantidad]]</f>
        <v>174.21706499999999</v>
      </c>
      <c r="Q1236" s="282" t="e">
        <f>(INDEX(Tabla6[#All],MATCH(Tabla4[[#This Row],[Producto]],Tabla6[[#All],[PRODUCTO]],0),MATCH(Tabla4[[#This Row],[Mes]],Tabla6[#Headers],0)))</f>
        <v>#N/A</v>
      </c>
      <c r="R1236" s="282" t="e">
        <f>++Tabla4[[#This Row],[Precio Unitario Neto]]-Tabla4[[#This Row],[20.85%]]-Tabla4[[#This Row],[Costo]]</f>
        <v>#N/A</v>
      </c>
      <c r="S1236" s="282" t="e">
        <f>++Tabla4[[#This Row],[U. Bruta Uni]]*Tabla4[[#This Row],[Cantidad]]</f>
        <v>#N/A</v>
      </c>
      <c r="T1236" s="369" t="str">
        <f>VLOOKUP(Tabla4[[#This Row],[Producto]],Tabla6[#All],14,FALSE)</f>
        <v>Termico Solar</v>
      </c>
      <c r="U1236" s="284" t="e">
        <f>(IF(Tabla4[[#This Row],[Familia]]="termico solar",Tabla4[[#This Row],[Utilidad Total]]*6%,Tabla4[[#This Row],[Utilidad Total]]*11.5%))/Tabla4[[#This Row],[Total]]</f>
        <v>#N/A</v>
      </c>
      <c r="V1236" s="282" t="e">
        <f>+Tabla4[[#This Row],[Comisión Calculada]]*Tabla4[[#This Row],[Total]]</f>
        <v>#N/A</v>
      </c>
    </row>
    <row r="1237" spans="1:22" hidden="1" x14ac:dyDescent="0.25">
      <c r="A1237" s="100">
        <v>45731</v>
      </c>
      <c r="B1237" t="str">
        <f t="shared" si="54"/>
        <v>March</v>
      </c>
      <c r="C1237" s="46" t="s">
        <v>280</v>
      </c>
      <c r="F1237" s="366" t="s">
        <v>1218</v>
      </c>
      <c r="G1237" s="46" t="s">
        <v>412</v>
      </c>
      <c r="H1237" s="46">
        <v>1</v>
      </c>
      <c r="I1237" s="51">
        <v>3240.84</v>
      </c>
      <c r="J1237" s="281">
        <f>++Tabla4[[#This Row],[Precio Bruto]]*1.16</f>
        <v>3759.3743999999997</v>
      </c>
      <c r="K1237" s="281">
        <f>+Tabla4[[#This Row],[Precio Unitario Neto]]*Tabla4[[#Headers],[20.85%]]</f>
        <v>783.82956239999987</v>
      </c>
      <c r="L1237" s="282">
        <f>++Tabla4[[#This Row],[Precio Unitario Neto]]-Tabla4[[#This Row],[20.85%]]</f>
        <v>2975.5448375999999</v>
      </c>
      <c r="M1237" s="282" t="e">
        <f>(INDEX(Tabla6[#All],MATCH(Tabla4[[#This Row],[Producto]],Tabla6[[#All],[PRODUCTO]],0),MATCH(Tabla4[[#This Row],[Mes]],Tabla6[#Headers],0)))*(1+Catalogos!$L$2)</f>
        <v>#N/A</v>
      </c>
      <c r="N1237" s="283" t="e">
        <f>+(Tabla4[[#This Row],[Precio Descontado]]-Tabla4[[#This Row],[Precio Base]])*Tabla4[[#This Row],[Cantidad]]</f>
        <v>#N/A</v>
      </c>
      <c r="O1237" s="284" t="e">
        <f>++Tabla4[[#This Row],[Utilidad Total]]/Tabla4[[#This Row],[Total]]</f>
        <v>#N/A</v>
      </c>
      <c r="P1237" s="282">
        <f>++Tabla4[[#This Row],[Precio Descontado]]*Tabla4[[#This Row],[Cantidad]]</f>
        <v>2975.5448375999999</v>
      </c>
      <c r="Q1237" s="282" t="e">
        <f>(INDEX(Tabla6[#All],MATCH(Tabla4[[#This Row],[Producto]],Tabla6[[#All],[PRODUCTO]],0),MATCH(Tabla4[[#This Row],[Mes]],Tabla6[#Headers],0)))</f>
        <v>#N/A</v>
      </c>
      <c r="R1237" s="282" t="e">
        <f>++Tabla4[[#This Row],[Precio Unitario Neto]]-Tabla4[[#This Row],[20.85%]]-Tabla4[[#This Row],[Costo]]</f>
        <v>#N/A</v>
      </c>
      <c r="S1237" s="282" t="e">
        <f>++Tabla4[[#This Row],[U. Bruta Uni]]*Tabla4[[#This Row],[Cantidad]]</f>
        <v>#N/A</v>
      </c>
      <c r="T1237" s="369" t="str">
        <f>VLOOKUP(Tabla4[[#This Row],[Producto]],Tabla6[#All],14,FALSE)</f>
        <v>Termico Solar</v>
      </c>
      <c r="U1237" s="284" t="e">
        <f>(IF(Tabla4[[#This Row],[Familia]]="termico solar",Tabla4[[#This Row],[Utilidad Total]]*6%,Tabla4[[#This Row],[Utilidad Total]]*11.5%))/Tabla4[[#This Row],[Total]]</f>
        <v>#N/A</v>
      </c>
      <c r="V1237" s="282" t="e">
        <f>+Tabla4[[#This Row],[Comisión Calculada]]*Tabla4[[#This Row],[Total]]</f>
        <v>#N/A</v>
      </c>
    </row>
    <row r="1238" spans="1:22" hidden="1" x14ac:dyDescent="0.25">
      <c r="A1238" s="100">
        <v>45731</v>
      </c>
      <c r="B1238" t="str">
        <f t="shared" si="54"/>
        <v>March</v>
      </c>
      <c r="C1238" s="46" t="s">
        <v>280</v>
      </c>
      <c r="F1238" s="366" t="s">
        <v>1219</v>
      </c>
      <c r="G1238" s="46" t="s">
        <v>83</v>
      </c>
      <c r="H1238" s="46">
        <v>2</v>
      </c>
      <c r="I1238" s="51">
        <v>8858.76</v>
      </c>
      <c r="J1238" s="281">
        <f>++Tabla4[[#This Row],[Precio Bruto]]*1.16</f>
        <v>10276.161599999999</v>
      </c>
      <c r="K1238" s="281">
        <f>+Tabla4[[#This Row],[Precio Unitario Neto]]*Tabla4[[#Headers],[20.85%]]</f>
        <v>2142.5796935999997</v>
      </c>
      <c r="L1238" s="282">
        <f>++Tabla4[[#This Row],[Precio Unitario Neto]]-Tabla4[[#This Row],[20.85%]]</f>
        <v>8133.5819063999998</v>
      </c>
      <c r="M1238" s="282" t="e">
        <f>(INDEX(Tabla6[#All],MATCH(Tabla4[[#This Row],[Producto]],Tabla6[[#All],[PRODUCTO]],0),MATCH(Tabla4[[#This Row],[Mes]],Tabla6[#Headers],0)))*(1+Catalogos!$L$2)</f>
        <v>#N/A</v>
      </c>
      <c r="N1238" s="283" t="e">
        <f>+(Tabla4[[#This Row],[Precio Descontado]]-Tabla4[[#This Row],[Precio Base]])*Tabla4[[#This Row],[Cantidad]]</f>
        <v>#N/A</v>
      </c>
      <c r="O1238" s="284" t="e">
        <f>++Tabla4[[#This Row],[Utilidad Total]]/Tabla4[[#This Row],[Total]]</f>
        <v>#N/A</v>
      </c>
      <c r="P1238" s="282">
        <f>++Tabla4[[#This Row],[Precio Descontado]]*Tabla4[[#This Row],[Cantidad]]</f>
        <v>16267.1638128</v>
      </c>
      <c r="Q1238" s="282" t="e">
        <f>(INDEX(Tabla6[#All],MATCH(Tabla4[[#This Row],[Producto]],Tabla6[[#All],[PRODUCTO]],0),MATCH(Tabla4[[#This Row],[Mes]],Tabla6[#Headers],0)))</f>
        <v>#N/A</v>
      </c>
      <c r="R1238" s="282" t="e">
        <f>++Tabla4[[#This Row],[Precio Unitario Neto]]-Tabla4[[#This Row],[20.85%]]-Tabla4[[#This Row],[Costo]]</f>
        <v>#N/A</v>
      </c>
      <c r="S1238" s="282" t="e">
        <f>++Tabla4[[#This Row],[U. Bruta Uni]]*Tabla4[[#This Row],[Cantidad]]</f>
        <v>#N/A</v>
      </c>
      <c r="T1238" s="369" t="str">
        <f>VLOOKUP(Tabla4[[#This Row],[Producto]],Tabla6[#All],14,FALSE)</f>
        <v>Termico Solar</v>
      </c>
      <c r="U1238" s="284" t="e">
        <f>(IF(Tabla4[[#This Row],[Familia]]="termico solar",Tabla4[[#This Row],[Utilidad Total]]*6%,Tabla4[[#This Row],[Utilidad Total]]*11.5%))/Tabla4[[#This Row],[Total]]</f>
        <v>#N/A</v>
      </c>
      <c r="V1238" s="282" t="e">
        <f>+Tabla4[[#This Row],[Comisión Calculada]]*Tabla4[[#This Row],[Total]]</f>
        <v>#N/A</v>
      </c>
    </row>
    <row r="1239" spans="1:22" hidden="1" x14ac:dyDescent="0.25">
      <c r="A1239" s="100">
        <v>45731</v>
      </c>
      <c r="B1239" t="str">
        <f t="shared" si="54"/>
        <v>March</v>
      </c>
      <c r="C1239" s="46" t="s">
        <v>280</v>
      </c>
      <c r="F1239" s="366" t="s">
        <v>1219</v>
      </c>
      <c r="G1239" s="46" t="s">
        <v>17</v>
      </c>
      <c r="H1239" s="46">
        <v>1</v>
      </c>
      <c r="I1239" s="51">
        <v>4622.28</v>
      </c>
      <c r="J1239" s="281">
        <f>++Tabla4[[#This Row],[Precio Bruto]]*1.16</f>
        <v>5361.8447999999989</v>
      </c>
      <c r="K1239" s="281">
        <f>+Tabla4[[#This Row],[Precio Unitario Neto]]*Tabla4[[#Headers],[20.85%]]</f>
        <v>1117.9446407999997</v>
      </c>
      <c r="L1239" s="282">
        <f>++Tabla4[[#This Row],[Precio Unitario Neto]]-Tabla4[[#This Row],[20.85%]]</f>
        <v>4243.9001591999995</v>
      </c>
      <c r="M1239" s="282" t="e">
        <f>(INDEX(Tabla6[#All],MATCH(Tabla4[[#This Row],[Producto]],Tabla6[[#All],[PRODUCTO]],0),MATCH(Tabla4[[#This Row],[Mes]],Tabla6[#Headers],0)))*(1+Catalogos!$L$2)</f>
        <v>#N/A</v>
      </c>
      <c r="N1239" s="283" t="e">
        <f>+(Tabla4[[#This Row],[Precio Descontado]]-Tabla4[[#This Row],[Precio Base]])*Tabla4[[#This Row],[Cantidad]]</f>
        <v>#N/A</v>
      </c>
      <c r="O1239" s="284" t="e">
        <f>++Tabla4[[#This Row],[Utilidad Total]]/Tabla4[[#This Row],[Total]]</f>
        <v>#N/A</v>
      </c>
      <c r="P1239" s="282">
        <f>++Tabla4[[#This Row],[Precio Descontado]]*Tabla4[[#This Row],[Cantidad]]</f>
        <v>4243.9001591999995</v>
      </c>
      <c r="Q1239" s="282" t="e">
        <f>(INDEX(Tabla6[#All],MATCH(Tabla4[[#This Row],[Producto]],Tabla6[[#All],[PRODUCTO]],0),MATCH(Tabla4[[#This Row],[Mes]],Tabla6[#Headers],0)))</f>
        <v>#N/A</v>
      </c>
      <c r="R1239" s="282" t="e">
        <f>++Tabla4[[#This Row],[Precio Unitario Neto]]-Tabla4[[#This Row],[20.85%]]-Tabla4[[#This Row],[Costo]]</f>
        <v>#N/A</v>
      </c>
      <c r="S1239" s="282" t="e">
        <f>++Tabla4[[#This Row],[U. Bruta Uni]]*Tabla4[[#This Row],[Cantidad]]</f>
        <v>#N/A</v>
      </c>
      <c r="T1239" s="369" t="str">
        <f>VLOOKUP(Tabla4[[#This Row],[Producto]],Tabla6[#All],14,FALSE)</f>
        <v>Termico Solar</v>
      </c>
      <c r="U1239" s="284" t="e">
        <f>(IF(Tabla4[[#This Row],[Familia]]="termico solar",Tabla4[[#This Row],[Utilidad Total]]*6%,Tabla4[[#This Row],[Utilidad Total]]*11.5%))/Tabla4[[#This Row],[Total]]</f>
        <v>#N/A</v>
      </c>
      <c r="V1239" s="282" t="e">
        <f>+Tabla4[[#This Row],[Comisión Calculada]]*Tabla4[[#This Row],[Total]]</f>
        <v>#N/A</v>
      </c>
    </row>
    <row r="1240" spans="1:22" hidden="1" x14ac:dyDescent="0.25">
      <c r="A1240" s="100">
        <v>45731</v>
      </c>
      <c r="B1240" t="str">
        <f t="shared" si="54"/>
        <v>March</v>
      </c>
      <c r="C1240" s="46" t="s">
        <v>280</v>
      </c>
      <c r="F1240" s="366" t="s">
        <v>1219</v>
      </c>
      <c r="G1240" s="46" t="s">
        <v>19</v>
      </c>
      <c r="H1240" s="46">
        <v>1</v>
      </c>
      <c r="I1240" s="51">
        <v>6412.03</v>
      </c>
      <c r="J1240" s="281">
        <f>++Tabla4[[#This Row],[Precio Bruto]]*1.16</f>
        <v>7437.9547999999995</v>
      </c>
      <c r="K1240" s="281">
        <f>+Tabla4[[#This Row],[Precio Unitario Neto]]*Tabla4[[#Headers],[20.85%]]</f>
        <v>1550.8135757999999</v>
      </c>
      <c r="L1240" s="282">
        <f>++Tabla4[[#This Row],[Precio Unitario Neto]]-Tabla4[[#This Row],[20.85%]]</f>
        <v>5887.1412241999997</v>
      </c>
      <c r="M1240" s="282" t="e">
        <f>(INDEX(Tabla6[#All],MATCH(Tabla4[[#This Row],[Producto]],Tabla6[[#All],[PRODUCTO]],0),MATCH(Tabla4[[#This Row],[Mes]],Tabla6[#Headers],0)))*(1+Catalogos!$L$2)</f>
        <v>#N/A</v>
      </c>
      <c r="N1240" s="283" t="e">
        <f>+(Tabla4[[#This Row],[Precio Descontado]]-Tabla4[[#This Row],[Precio Base]])*Tabla4[[#This Row],[Cantidad]]</f>
        <v>#N/A</v>
      </c>
      <c r="O1240" s="284" t="e">
        <f>++Tabla4[[#This Row],[Utilidad Total]]/Tabla4[[#This Row],[Total]]</f>
        <v>#N/A</v>
      </c>
      <c r="P1240" s="282">
        <f>++Tabla4[[#This Row],[Precio Descontado]]*Tabla4[[#This Row],[Cantidad]]</f>
        <v>5887.1412241999997</v>
      </c>
      <c r="Q1240" s="282" t="e">
        <f>(INDEX(Tabla6[#All],MATCH(Tabla4[[#This Row],[Producto]],Tabla6[[#All],[PRODUCTO]],0),MATCH(Tabla4[[#This Row],[Mes]],Tabla6[#Headers],0)))</f>
        <v>#N/A</v>
      </c>
      <c r="R1240" s="282" t="e">
        <f>++Tabla4[[#This Row],[Precio Unitario Neto]]-Tabla4[[#This Row],[20.85%]]-Tabla4[[#This Row],[Costo]]</f>
        <v>#N/A</v>
      </c>
      <c r="S1240" s="282" t="e">
        <f>++Tabla4[[#This Row],[U. Bruta Uni]]*Tabla4[[#This Row],[Cantidad]]</f>
        <v>#N/A</v>
      </c>
      <c r="T1240" s="369" t="str">
        <f>VLOOKUP(Tabla4[[#This Row],[Producto]],Tabla6[#All],14,FALSE)</f>
        <v>Termico Solar</v>
      </c>
      <c r="U1240" s="284" t="e">
        <f>(IF(Tabla4[[#This Row],[Familia]]="termico solar",Tabla4[[#This Row],[Utilidad Total]]*6%,Tabla4[[#This Row],[Utilidad Total]]*11.5%))/Tabla4[[#This Row],[Total]]</f>
        <v>#N/A</v>
      </c>
      <c r="V1240" s="282" t="e">
        <f>+Tabla4[[#This Row],[Comisión Calculada]]*Tabla4[[#This Row],[Total]]</f>
        <v>#N/A</v>
      </c>
    </row>
    <row r="1241" spans="1:22" hidden="1" x14ac:dyDescent="0.25">
      <c r="A1241" s="100">
        <v>45731</v>
      </c>
      <c r="B1241" t="str">
        <f t="shared" si="54"/>
        <v>March</v>
      </c>
      <c r="C1241" s="46" t="s">
        <v>280</v>
      </c>
      <c r="F1241" s="366" t="s">
        <v>1219</v>
      </c>
      <c r="G1241" s="46" t="s">
        <v>209</v>
      </c>
      <c r="H1241" s="46">
        <v>12</v>
      </c>
      <c r="I1241" s="51">
        <v>270.07</v>
      </c>
      <c r="J1241" s="281">
        <f>++Tabla4[[#This Row],[Precio Bruto]]*1.16</f>
        <v>313.28119999999996</v>
      </c>
      <c r="K1241" s="281">
        <f>+Tabla4[[#This Row],[Precio Unitario Neto]]*Tabla4[[#Headers],[20.85%]]</f>
        <v>65.319130199999989</v>
      </c>
      <c r="L1241" s="282">
        <f>++Tabla4[[#This Row],[Precio Unitario Neto]]-Tabla4[[#This Row],[20.85%]]</f>
        <v>247.96206979999997</v>
      </c>
      <c r="M1241" s="282" t="e">
        <f>(INDEX(Tabla6[#All],MATCH(Tabla4[[#This Row],[Producto]],Tabla6[[#All],[PRODUCTO]],0),MATCH(Tabla4[[#This Row],[Mes]],Tabla6[#Headers],0)))*(1+Catalogos!$L$2)</f>
        <v>#N/A</v>
      </c>
      <c r="N1241" s="283" t="e">
        <f>+(Tabla4[[#This Row],[Precio Descontado]]-Tabla4[[#This Row],[Precio Base]])*Tabla4[[#This Row],[Cantidad]]</f>
        <v>#N/A</v>
      </c>
      <c r="O1241" s="284" t="e">
        <f>++Tabla4[[#This Row],[Utilidad Total]]/Tabla4[[#This Row],[Total]]</f>
        <v>#N/A</v>
      </c>
      <c r="P1241" s="282">
        <f>++Tabla4[[#This Row],[Precio Descontado]]*Tabla4[[#This Row],[Cantidad]]</f>
        <v>2975.5448375999995</v>
      </c>
      <c r="Q1241" s="282" t="e">
        <f>(INDEX(Tabla6[#All],MATCH(Tabla4[[#This Row],[Producto]],Tabla6[[#All],[PRODUCTO]],0),MATCH(Tabla4[[#This Row],[Mes]],Tabla6[#Headers],0)))</f>
        <v>#N/A</v>
      </c>
      <c r="R1241" s="282" t="e">
        <f>++Tabla4[[#This Row],[Precio Unitario Neto]]-Tabla4[[#This Row],[20.85%]]-Tabla4[[#This Row],[Costo]]</f>
        <v>#N/A</v>
      </c>
      <c r="S1241" s="282" t="e">
        <f>++Tabla4[[#This Row],[U. Bruta Uni]]*Tabla4[[#This Row],[Cantidad]]</f>
        <v>#N/A</v>
      </c>
      <c r="T1241" s="369" t="str">
        <f>VLOOKUP(Tabla4[[#This Row],[Producto]],Tabla6[#All],14,FALSE)</f>
        <v>Termico Solar</v>
      </c>
      <c r="U1241" s="284" t="e">
        <f>(IF(Tabla4[[#This Row],[Familia]]="termico solar",Tabla4[[#This Row],[Utilidad Total]]*6%,Tabla4[[#This Row],[Utilidad Total]]*11.5%))/Tabla4[[#This Row],[Total]]</f>
        <v>#N/A</v>
      </c>
      <c r="V1241" s="282" t="e">
        <f>+Tabla4[[#This Row],[Comisión Calculada]]*Tabla4[[#This Row],[Total]]</f>
        <v>#N/A</v>
      </c>
    </row>
    <row r="1242" spans="1:22" hidden="1" x14ac:dyDescent="0.25">
      <c r="A1242" s="100">
        <v>45731</v>
      </c>
      <c r="B1242" t="str">
        <f t="shared" si="54"/>
        <v>March</v>
      </c>
      <c r="C1242" s="46" t="s">
        <v>280</v>
      </c>
      <c r="F1242" s="366" t="s">
        <v>1220</v>
      </c>
      <c r="G1242" s="46" t="s">
        <v>18</v>
      </c>
      <c r="H1242" s="46">
        <v>1</v>
      </c>
      <c r="I1242" s="51">
        <v>5367.65</v>
      </c>
      <c r="J1242" s="281">
        <f>++Tabla4[[#This Row],[Precio Bruto]]*1.16</f>
        <v>6226.4739999999993</v>
      </c>
      <c r="K1242" s="281">
        <f>+Tabla4[[#This Row],[Precio Unitario Neto]]*Tabla4[[#Headers],[20.85%]]</f>
        <v>1298.2198289999999</v>
      </c>
      <c r="L1242" s="282">
        <f>++Tabla4[[#This Row],[Precio Unitario Neto]]-Tabla4[[#This Row],[20.85%]]</f>
        <v>4928.2541709999996</v>
      </c>
      <c r="M1242" s="282" t="e">
        <f>(INDEX(Tabla6[#All],MATCH(Tabla4[[#This Row],[Producto]],Tabla6[[#All],[PRODUCTO]],0),MATCH(Tabla4[[#This Row],[Mes]],Tabla6[#Headers],0)))*(1+Catalogos!$L$2)</f>
        <v>#N/A</v>
      </c>
      <c r="N1242" s="283" t="e">
        <f>+(Tabla4[[#This Row],[Precio Descontado]]-Tabla4[[#This Row],[Precio Base]])*Tabla4[[#This Row],[Cantidad]]</f>
        <v>#N/A</v>
      </c>
      <c r="O1242" s="284" t="e">
        <f>++Tabla4[[#This Row],[Utilidad Total]]/Tabla4[[#This Row],[Total]]</f>
        <v>#N/A</v>
      </c>
      <c r="P1242" s="282">
        <f>++Tabla4[[#This Row],[Precio Descontado]]*Tabla4[[#This Row],[Cantidad]]</f>
        <v>4928.2541709999996</v>
      </c>
      <c r="Q1242" s="282" t="e">
        <f>(INDEX(Tabla6[#All],MATCH(Tabla4[[#This Row],[Producto]],Tabla6[[#All],[PRODUCTO]],0),MATCH(Tabla4[[#This Row],[Mes]],Tabla6[#Headers],0)))</f>
        <v>#N/A</v>
      </c>
      <c r="R1242" s="282" t="e">
        <f>++Tabla4[[#This Row],[Precio Unitario Neto]]-Tabla4[[#This Row],[20.85%]]-Tabla4[[#This Row],[Costo]]</f>
        <v>#N/A</v>
      </c>
      <c r="S1242" s="282" t="e">
        <f>++Tabla4[[#This Row],[U. Bruta Uni]]*Tabla4[[#This Row],[Cantidad]]</f>
        <v>#N/A</v>
      </c>
      <c r="T1242" s="369" t="str">
        <f>VLOOKUP(Tabla4[[#This Row],[Producto]],Tabla6[#All],14,FALSE)</f>
        <v>Termico Solar</v>
      </c>
      <c r="U1242" s="284" t="e">
        <f>(IF(Tabla4[[#This Row],[Familia]]="termico solar",Tabla4[[#This Row],[Utilidad Total]]*6%,Tabla4[[#This Row],[Utilidad Total]]*11.5%))/Tabla4[[#This Row],[Total]]</f>
        <v>#N/A</v>
      </c>
      <c r="V1242" s="282" t="e">
        <f>+Tabla4[[#This Row],[Comisión Calculada]]*Tabla4[[#This Row],[Total]]</f>
        <v>#N/A</v>
      </c>
    </row>
    <row r="1243" spans="1:22" hidden="1" x14ac:dyDescent="0.25">
      <c r="A1243" s="100">
        <v>45731</v>
      </c>
      <c r="B1243" t="str">
        <f t="shared" si="54"/>
        <v>March</v>
      </c>
      <c r="C1243" s="46" t="s">
        <v>280</v>
      </c>
      <c r="F1243" s="366" t="s">
        <v>1220</v>
      </c>
      <c r="G1243" s="46" t="s">
        <v>208</v>
      </c>
      <c r="H1243" s="46">
        <v>15</v>
      </c>
      <c r="I1243" s="51">
        <v>140.63</v>
      </c>
      <c r="J1243" s="281">
        <f>++Tabla4[[#This Row],[Precio Bruto]]*1.16</f>
        <v>163.13079999999999</v>
      </c>
      <c r="K1243" s="281">
        <f>+Tabla4[[#This Row],[Precio Unitario Neto]]*Tabla4[[#Headers],[20.85%]]</f>
        <v>34.012771799999996</v>
      </c>
      <c r="L1243" s="282">
        <f>++Tabla4[[#This Row],[Precio Unitario Neto]]-Tabla4[[#This Row],[20.85%]]</f>
        <v>129.1180282</v>
      </c>
      <c r="M1243" s="282" t="e">
        <f>(INDEX(Tabla6[#All],MATCH(Tabla4[[#This Row],[Producto]],Tabla6[[#All],[PRODUCTO]],0),MATCH(Tabla4[[#This Row],[Mes]],Tabla6[#Headers],0)))*(1+Catalogos!$L$2)</f>
        <v>#N/A</v>
      </c>
      <c r="N1243" s="283" t="e">
        <f>+(Tabla4[[#This Row],[Precio Descontado]]-Tabla4[[#This Row],[Precio Base]])*Tabla4[[#This Row],[Cantidad]]</f>
        <v>#N/A</v>
      </c>
      <c r="O1243" s="284" t="e">
        <f>++Tabla4[[#This Row],[Utilidad Total]]/Tabla4[[#This Row],[Total]]</f>
        <v>#N/A</v>
      </c>
      <c r="P1243" s="282">
        <f>++Tabla4[[#This Row],[Precio Descontado]]*Tabla4[[#This Row],[Cantidad]]</f>
        <v>1936.7704229999999</v>
      </c>
      <c r="Q1243" s="282" t="e">
        <f>(INDEX(Tabla6[#All],MATCH(Tabla4[[#This Row],[Producto]],Tabla6[[#All],[PRODUCTO]],0),MATCH(Tabla4[[#This Row],[Mes]],Tabla6[#Headers],0)))</f>
        <v>#N/A</v>
      </c>
      <c r="R1243" s="282" t="e">
        <f>++Tabla4[[#This Row],[Precio Unitario Neto]]-Tabla4[[#This Row],[20.85%]]-Tabla4[[#This Row],[Costo]]</f>
        <v>#N/A</v>
      </c>
      <c r="S1243" s="282" t="e">
        <f>++Tabla4[[#This Row],[U. Bruta Uni]]*Tabla4[[#This Row],[Cantidad]]</f>
        <v>#N/A</v>
      </c>
      <c r="T1243" s="369" t="str">
        <f>VLOOKUP(Tabla4[[#This Row],[Producto]],Tabla6[#All],14,FALSE)</f>
        <v>Termico Solar</v>
      </c>
      <c r="U1243" s="284" t="e">
        <f>(IF(Tabla4[[#This Row],[Familia]]="termico solar",Tabla4[[#This Row],[Utilidad Total]]*6%,Tabla4[[#This Row],[Utilidad Total]]*11.5%))/Tabla4[[#This Row],[Total]]</f>
        <v>#N/A</v>
      </c>
      <c r="V1243" s="282" t="e">
        <f>+Tabla4[[#This Row],[Comisión Calculada]]*Tabla4[[#This Row],[Total]]</f>
        <v>#N/A</v>
      </c>
    </row>
    <row r="1244" spans="1:22" hidden="1" x14ac:dyDescent="0.25">
      <c r="A1244" s="100">
        <v>45731</v>
      </c>
      <c r="B1244" t="str">
        <f t="shared" si="54"/>
        <v>March</v>
      </c>
      <c r="C1244" s="46" t="s">
        <v>280</v>
      </c>
      <c r="F1244" s="366" t="s">
        <v>1221</v>
      </c>
      <c r="G1244" s="46" t="s">
        <v>17</v>
      </c>
      <c r="H1244" s="46">
        <v>2</v>
      </c>
      <c r="I1244" s="51">
        <v>4622.28</v>
      </c>
      <c r="J1244" s="281">
        <f>++Tabla4[[#This Row],[Precio Bruto]]*1.16</f>
        <v>5361.8447999999989</v>
      </c>
      <c r="K1244" s="281">
        <f>+Tabla4[[#This Row],[Precio Unitario Neto]]*Tabla4[[#Headers],[20.85%]]</f>
        <v>1117.9446407999997</v>
      </c>
      <c r="L1244" s="282">
        <f>++Tabla4[[#This Row],[Precio Unitario Neto]]-Tabla4[[#This Row],[20.85%]]</f>
        <v>4243.9001591999995</v>
      </c>
      <c r="M1244" s="282" t="e">
        <f>(INDEX(Tabla6[#All],MATCH(Tabla4[[#This Row],[Producto]],Tabla6[[#All],[PRODUCTO]],0),MATCH(Tabla4[[#This Row],[Mes]],Tabla6[#Headers],0)))*(1+Catalogos!$L$2)</f>
        <v>#N/A</v>
      </c>
      <c r="N1244" s="283" t="e">
        <f>+(Tabla4[[#This Row],[Precio Descontado]]-Tabla4[[#This Row],[Precio Base]])*Tabla4[[#This Row],[Cantidad]]</f>
        <v>#N/A</v>
      </c>
      <c r="O1244" s="284" t="e">
        <f>++Tabla4[[#This Row],[Utilidad Total]]/Tabla4[[#This Row],[Total]]</f>
        <v>#N/A</v>
      </c>
      <c r="P1244" s="282">
        <f>++Tabla4[[#This Row],[Precio Descontado]]*Tabla4[[#This Row],[Cantidad]]</f>
        <v>8487.800318399999</v>
      </c>
      <c r="Q1244" s="282" t="e">
        <f>(INDEX(Tabla6[#All],MATCH(Tabla4[[#This Row],[Producto]],Tabla6[[#All],[PRODUCTO]],0),MATCH(Tabla4[[#This Row],[Mes]],Tabla6[#Headers],0)))</f>
        <v>#N/A</v>
      </c>
      <c r="R1244" s="282" t="e">
        <f>++Tabla4[[#This Row],[Precio Unitario Neto]]-Tabla4[[#This Row],[20.85%]]-Tabla4[[#This Row],[Costo]]</f>
        <v>#N/A</v>
      </c>
      <c r="S1244" s="282" t="e">
        <f>++Tabla4[[#This Row],[U. Bruta Uni]]*Tabla4[[#This Row],[Cantidad]]</f>
        <v>#N/A</v>
      </c>
      <c r="T1244" s="369" t="str">
        <f>VLOOKUP(Tabla4[[#This Row],[Producto]],Tabla6[#All],14,FALSE)</f>
        <v>Termico Solar</v>
      </c>
      <c r="U1244" s="284" t="e">
        <f>(IF(Tabla4[[#This Row],[Familia]]="termico solar",Tabla4[[#This Row],[Utilidad Total]]*6%,Tabla4[[#This Row],[Utilidad Total]]*11.5%))/Tabla4[[#This Row],[Total]]</f>
        <v>#N/A</v>
      </c>
      <c r="V1244" s="282" t="e">
        <f>+Tabla4[[#This Row],[Comisión Calculada]]*Tabla4[[#This Row],[Total]]</f>
        <v>#N/A</v>
      </c>
    </row>
    <row r="1245" spans="1:22" hidden="1" x14ac:dyDescent="0.25">
      <c r="A1245" s="100">
        <v>45731</v>
      </c>
      <c r="B1245" t="str">
        <f t="shared" si="54"/>
        <v>March</v>
      </c>
      <c r="C1245" s="46" t="s">
        <v>280</v>
      </c>
      <c r="F1245" s="366" t="s">
        <v>1221</v>
      </c>
      <c r="G1245" s="46" t="s">
        <v>18</v>
      </c>
      <c r="H1245" s="46">
        <v>2</v>
      </c>
      <c r="I1245" s="51">
        <v>5367.65</v>
      </c>
      <c r="J1245" s="281">
        <f>++Tabla4[[#This Row],[Precio Bruto]]*1.16</f>
        <v>6226.4739999999993</v>
      </c>
      <c r="K1245" s="281">
        <f>+Tabla4[[#This Row],[Precio Unitario Neto]]*Tabla4[[#Headers],[20.85%]]</f>
        <v>1298.2198289999999</v>
      </c>
      <c r="L1245" s="282">
        <f>++Tabla4[[#This Row],[Precio Unitario Neto]]-Tabla4[[#This Row],[20.85%]]</f>
        <v>4928.2541709999996</v>
      </c>
      <c r="M1245" s="282" t="e">
        <f>(INDEX(Tabla6[#All],MATCH(Tabla4[[#This Row],[Producto]],Tabla6[[#All],[PRODUCTO]],0),MATCH(Tabla4[[#This Row],[Mes]],Tabla6[#Headers],0)))*(1+Catalogos!$L$2)</f>
        <v>#N/A</v>
      </c>
      <c r="N1245" s="283" t="e">
        <f>+(Tabla4[[#This Row],[Precio Descontado]]-Tabla4[[#This Row],[Precio Base]])*Tabla4[[#This Row],[Cantidad]]</f>
        <v>#N/A</v>
      </c>
      <c r="O1245" s="284" t="e">
        <f>++Tabla4[[#This Row],[Utilidad Total]]/Tabla4[[#This Row],[Total]]</f>
        <v>#N/A</v>
      </c>
      <c r="P1245" s="282">
        <f>++Tabla4[[#This Row],[Precio Descontado]]*Tabla4[[#This Row],[Cantidad]]</f>
        <v>9856.5083419999992</v>
      </c>
      <c r="Q1245" s="282" t="e">
        <f>(INDEX(Tabla6[#All],MATCH(Tabla4[[#This Row],[Producto]],Tabla6[[#All],[PRODUCTO]],0),MATCH(Tabla4[[#This Row],[Mes]],Tabla6[#Headers],0)))</f>
        <v>#N/A</v>
      </c>
      <c r="R1245" s="282" t="e">
        <f>++Tabla4[[#This Row],[Precio Unitario Neto]]-Tabla4[[#This Row],[20.85%]]-Tabla4[[#This Row],[Costo]]</f>
        <v>#N/A</v>
      </c>
      <c r="S1245" s="282" t="e">
        <f>++Tabla4[[#This Row],[U. Bruta Uni]]*Tabla4[[#This Row],[Cantidad]]</f>
        <v>#N/A</v>
      </c>
      <c r="T1245" s="369" t="str">
        <f>VLOOKUP(Tabla4[[#This Row],[Producto]],Tabla6[#All],14,FALSE)</f>
        <v>Termico Solar</v>
      </c>
      <c r="U1245" s="284" t="e">
        <f>(IF(Tabla4[[#This Row],[Familia]]="termico solar",Tabla4[[#This Row],[Utilidad Total]]*6%,Tabla4[[#This Row],[Utilidad Total]]*11.5%))/Tabla4[[#This Row],[Total]]</f>
        <v>#N/A</v>
      </c>
      <c r="V1245" s="282" t="e">
        <f>+Tabla4[[#This Row],[Comisión Calculada]]*Tabla4[[#This Row],[Total]]</f>
        <v>#N/A</v>
      </c>
    </row>
    <row r="1246" spans="1:22" hidden="1" x14ac:dyDescent="0.25">
      <c r="A1246" s="100">
        <v>45731</v>
      </c>
      <c r="B1246" t="str">
        <f t="shared" si="54"/>
        <v>March</v>
      </c>
      <c r="C1246" s="46" t="s">
        <v>280</v>
      </c>
      <c r="F1246" s="366" t="s">
        <v>1221</v>
      </c>
      <c r="G1246" s="46" t="s">
        <v>208</v>
      </c>
      <c r="H1246" s="46">
        <v>15</v>
      </c>
      <c r="I1246" s="51">
        <v>140.63</v>
      </c>
      <c r="J1246" s="281">
        <f>++Tabla4[[#This Row],[Precio Bruto]]*1.16</f>
        <v>163.13079999999999</v>
      </c>
      <c r="K1246" s="281">
        <f>+Tabla4[[#This Row],[Precio Unitario Neto]]*Tabla4[[#Headers],[20.85%]]</f>
        <v>34.012771799999996</v>
      </c>
      <c r="L1246" s="282">
        <f>++Tabla4[[#This Row],[Precio Unitario Neto]]-Tabla4[[#This Row],[20.85%]]</f>
        <v>129.1180282</v>
      </c>
      <c r="M1246" s="282" t="e">
        <f>(INDEX(Tabla6[#All],MATCH(Tabla4[[#This Row],[Producto]],Tabla6[[#All],[PRODUCTO]],0),MATCH(Tabla4[[#This Row],[Mes]],Tabla6[#Headers],0)))*(1+Catalogos!$L$2)</f>
        <v>#N/A</v>
      </c>
      <c r="N1246" s="283" t="e">
        <f>+(Tabla4[[#This Row],[Precio Descontado]]-Tabla4[[#This Row],[Precio Base]])*Tabla4[[#This Row],[Cantidad]]</f>
        <v>#N/A</v>
      </c>
      <c r="O1246" s="284" t="e">
        <f>++Tabla4[[#This Row],[Utilidad Total]]/Tabla4[[#This Row],[Total]]</f>
        <v>#N/A</v>
      </c>
      <c r="P1246" s="282">
        <f>++Tabla4[[#This Row],[Precio Descontado]]*Tabla4[[#This Row],[Cantidad]]</f>
        <v>1936.7704229999999</v>
      </c>
      <c r="Q1246" s="282" t="e">
        <f>(INDEX(Tabla6[#All],MATCH(Tabla4[[#This Row],[Producto]],Tabla6[[#All],[PRODUCTO]],0),MATCH(Tabla4[[#This Row],[Mes]],Tabla6[#Headers],0)))</f>
        <v>#N/A</v>
      </c>
      <c r="R1246" s="282" t="e">
        <f>++Tabla4[[#This Row],[Precio Unitario Neto]]-Tabla4[[#This Row],[20.85%]]-Tabla4[[#This Row],[Costo]]</f>
        <v>#N/A</v>
      </c>
      <c r="S1246" s="282" t="e">
        <f>++Tabla4[[#This Row],[U. Bruta Uni]]*Tabla4[[#This Row],[Cantidad]]</f>
        <v>#N/A</v>
      </c>
      <c r="T1246" s="369" t="str">
        <f>VLOOKUP(Tabla4[[#This Row],[Producto]],Tabla6[#All],14,FALSE)</f>
        <v>Termico Solar</v>
      </c>
      <c r="U1246" s="284" t="e">
        <f>(IF(Tabla4[[#This Row],[Familia]]="termico solar",Tabla4[[#This Row],[Utilidad Total]]*6%,Tabla4[[#This Row],[Utilidad Total]]*11.5%))/Tabla4[[#This Row],[Total]]</f>
        <v>#N/A</v>
      </c>
      <c r="V1246" s="282" t="e">
        <f>+Tabla4[[#This Row],[Comisión Calculada]]*Tabla4[[#This Row],[Total]]</f>
        <v>#N/A</v>
      </c>
    </row>
    <row r="1247" spans="1:22" hidden="1" x14ac:dyDescent="0.25">
      <c r="A1247" s="100">
        <v>45731</v>
      </c>
      <c r="B1247" t="str">
        <f t="shared" si="54"/>
        <v>March</v>
      </c>
      <c r="C1247" s="46" t="s">
        <v>280</v>
      </c>
      <c r="F1247" s="366" t="s">
        <v>1221</v>
      </c>
      <c r="G1247" s="46" t="s">
        <v>16</v>
      </c>
      <c r="H1247" s="46">
        <v>4</v>
      </c>
      <c r="I1247" s="51">
        <v>4103.8500000000004</v>
      </c>
      <c r="J1247" s="281">
        <f>++Tabla4[[#This Row],[Precio Bruto]]*1.16</f>
        <v>4760.4660000000003</v>
      </c>
      <c r="K1247" s="281">
        <f>+Tabla4[[#This Row],[Precio Unitario Neto]]*Tabla4[[#Headers],[20.85%]]</f>
        <v>992.55716100000006</v>
      </c>
      <c r="L1247" s="282">
        <f>++Tabla4[[#This Row],[Precio Unitario Neto]]-Tabla4[[#This Row],[20.85%]]</f>
        <v>3767.9088390000002</v>
      </c>
      <c r="M1247" s="282" t="e">
        <f>(INDEX(Tabla6[#All],MATCH(Tabla4[[#This Row],[Producto]],Tabla6[[#All],[PRODUCTO]],0),MATCH(Tabla4[[#This Row],[Mes]],Tabla6[#Headers],0)))*(1+Catalogos!$L$2)</f>
        <v>#N/A</v>
      </c>
      <c r="N1247" s="283" t="e">
        <f>+(Tabla4[[#This Row],[Precio Descontado]]-Tabla4[[#This Row],[Precio Base]])*Tabla4[[#This Row],[Cantidad]]</f>
        <v>#N/A</v>
      </c>
      <c r="O1247" s="284" t="e">
        <f>++Tabla4[[#This Row],[Utilidad Total]]/Tabla4[[#This Row],[Total]]</f>
        <v>#N/A</v>
      </c>
      <c r="P1247" s="282">
        <f>++Tabla4[[#This Row],[Precio Descontado]]*Tabla4[[#This Row],[Cantidad]]</f>
        <v>15071.635356000001</v>
      </c>
      <c r="Q1247" s="282" t="e">
        <f>(INDEX(Tabla6[#All],MATCH(Tabla4[[#This Row],[Producto]],Tabla6[[#All],[PRODUCTO]],0),MATCH(Tabla4[[#This Row],[Mes]],Tabla6[#Headers],0)))</f>
        <v>#N/A</v>
      </c>
      <c r="R1247" s="282" t="e">
        <f>++Tabla4[[#This Row],[Precio Unitario Neto]]-Tabla4[[#This Row],[20.85%]]-Tabla4[[#This Row],[Costo]]</f>
        <v>#N/A</v>
      </c>
      <c r="S1247" s="282" t="e">
        <f>++Tabla4[[#This Row],[U. Bruta Uni]]*Tabla4[[#This Row],[Cantidad]]</f>
        <v>#N/A</v>
      </c>
      <c r="T1247" s="369" t="str">
        <f>VLOOKUP(Tabla4[[#This Row],[Producto]],Tabla6[#All],14,FALSE)</f>
        <v>Termico Solar</v>
      </c>
      <c r="U1247" s="284" t="e">
        <f>(IF(Tabla4[[#This Row],[Familia]]="termico solar",Tabla4[[#This Row],[Utilidad Total]]*6%,Tabla4[[#This Row],[Utilidad Total]]*11.5%))/Tabla4[[#This Row],[Total]]</f>
        <v>#N/A</v>
      </c>
      <c r="V1247" s="282" t="e">
        <f>+Tabla4[[#This Row],[Comisión Calculada]]*Tabla4[[#This Row],[Total]]</f>
        <v>#N/A</v>
      </c>
    </row>
    <row r="1248" spans="1:22" hidden="1" x14ac:dyDescent="0.25">
      <c r="A1248" s="100">
        <v>45731</v>
      </c>
      <c r="B1248" t="str">
        <f t="shared" si="54"/>
        <v>March</v>
      </c>
      <c r="C1248" s="46" t="s">
        <v>280</v>
      </c>
      <c r="F1248" s="366" t="s">
        <v>1222</v>
      </c>
      <c r="G1248" s="46" t="s">
        <v>17</v>
      </c>
      <c r="H1248" s="46">
        <v>2</v>
      </c>
      <c r="I1248" s="51">
        <v>4622.28</v>
      </c>
      <c r="J1248" s="281">
        <f>++Tabla4[[#This Row],[Precio Bruto]]*1.16</f>
        <v>5361.8447999999989</v>
      </c>
      <c r="K1248" s="281">
        <f>+Tabla4[[#This Row],[Precio Unitario Neto]]*Tabla4[[#Headers],[20.85%]]</f>
        <v>1117.9446407999997</v>
      </c>
      <c r="L1248" s="282">
        <f>++Tabla4[[#This Row],[Precio Unitario Neto]]-Tabla4[[#This Row],[20.85%]]</f>
        <v>4243.9001591999995</v>
      </c>
      <c r="M1248" s="282" t="e">
        <f>(INDEX(Tabla6[#All],MATCH(Tabla4[[#This Row],[Producto]],Tabla6[[#All],[PRODUCTO]],0),MATCH(Tabla4[[#This Row],[Mes]],Tabla6[#Headers],0)))*(1+Catalogos!$L$2)</f>
        <v>#N/A</v>
      </c>
      <c r="N1248" s="283" t="e">
        <f>+(Tabla4[[#This Row],[Precio Descontado]]-Tabla4[[#This Row],[Precio Base]])*Tabla4[[#This Row],[Cantidad]]</f>
        <v>#N/A</v>
      </c>
      <c r="O1248" s="284" t="e">
        <f>++Tabla4[[#This Row],[Utilidad Total]]/Tabla4[[#This Row],[Total]]</f>
        <v>#N/A</v>
      </c>
      <c r="P1248" s="282">
        <f>++Tabla4[[#This Row],[Precio Descontado]]*Tabla4[[#This Row],[Cantidad]]</f>
        <v>8487.800318399999</v>
      </c>
      <c r="Q1248" s="282" t="e">
        <f>(INDEX(Tabla6[#All],MATCH(Tabla4[[#This Row],[Producto]],Tabla6[[#All],[PRODUCTO]],0),MATCH(Tabla4[[#This Row],[Mes]],Tabla6[#Headers],0)))</f>
        <v>#N/A</v>
      </c>
      <c r="R1248" s="282" t="e">
        <f>++Tabla4[[#This Row],[Precio Unitario Neto]]-Tabla4[[#This Row],[20.85%]]-Tabla4[[#This Row],[Costo]]</f>
        <v>#N/A</v>
      </c>
      <c r="S1248" s="282" t="e">
        <f>++Tabla4[[#This Row],[U. Bruta Uni]]*Tabla4[[#This Row],[Cantidad]]</f>
        <v>#N/A</v>
      </c>
      <c r="T1248" s="369" t="str">
        <f>VLOOKUP(Tabla4[[#This Row],[Producto]],Tabla6[#All],14,FALSE)</f>
        <v>Termico Solar</v>
      </c>
      <c r="U1248" s="284" t="e">
        <f>(IF(Tabla4[[#This Row],[Familia]]="termico solar",Tabla4[[#This Row],[Utilidad Total]]*6%,Tabla4[[#This Row],[Utilidad Total]]*11.5%))/Tabla4[[#This Row],[Total]]</f>
        <v>#N/A</v>
      </c>
      <c r="V1248" s="282" t="e">
        <f>+Tabla4[[#This Row],[Comisión Calculada]]*Tabla4[[#This Row],[Total]]</f>
        <v>#N/A</v>
      </c>
    </row>
    <row r="1249" spans="1:22" hidden="1" x14ac:dyDescent="0.25">
      <c r="A1249" s="100">
        <v>45731</v>
      </c>
      <c r="B1249" t="str">
        <f t="shared" si="54"/>
        <v>March</v>
      </c>
      <c r="C1249" s="46" t="s">
        <v>280</v>
      </c>
      <c r="F1249" s="366" t="s">
        <v>1222</v>
      </c>
      <c r="G1249" s="46" t="s">
        <v>16</v>
      </c>
      <c r="H1249" s="46">
        <v>2</v>
      </c>
      <c r="I1249" s="51">
        <v>4103.8500000000004</v>
      </c>
      <c r="J1249" s="281">
        <f>++Tabla4[[#This Row],[Precio Bruto]]*1.16</f>
        <v>4760.4660000000003</v>
      </c>
      <c r="K1249" s="281">
        <f>+Tabla4[[#This Row],[Precio Unitario Neto]]*Tabla4[[#Headers],[20.85%]]</f>
        <v>992.55716100000006</v>
      </c>
      <c r="L1249" s="282">
        <f>++Tabla4[[#This Row],[Precio Unitario Neto]]-Tabla4[[#This Row],[20.85%]]</f>
        <v>3767.9088390000002</v>
      </c>
      <c r="M1249" s="282" t="e">
        <f>(INDEX(Tabla6[#All],MATCH(Tabla4[[#This Row],[Producto]],Tabla6[[#All],[PRODUCTO]],0),MATCH(Tabla4[[#This Row],[Mes]],Tabla6[#Headers],0)))*(1+Catalogos!$L$2)</f>
        <v>#N/A</v>
      </c>
      <c r="N1249" s="283" t="e">
        <f>+(Tabla4[[#This Row],[Precio Descontado]]-Tabla4[[#This Row],[Precio Base]])*Tabla4[[#This Row],[Cantidad]]</f>
        <v>#N/A</v>
      </c>
      <c r="O1249" s="284" t="e">
        <f>++Tabla4[[#This Row],[Utilidad Total]]/Tabla4[[#This Row],[Total]]</f>
        <v>#N/A</v>
      </c>
      <c r="P1249" s="282">
        <f>++Tabla4[[#This Row],[Precio Descontado]]*Tabla4[[#This Row],[Cantidad]]</f>
        <v>7535.8176780000003</v>
      </c>
      <c r="Q1249" s="282" t="e">
        <f>(INDEX(Tabla6[#All],MATCH(Tabla4[[#This Row],[Producto]],Tabla6[[#All],[PRODUCTO]],0),MATCH(Tabla4[[#This Row],[Mes]],Tabla6[#Headers],0)))</f>
        <v>#N/A</v>
      </c>
      <c r="R1249" s="282" t="e">
        <f>++Tabla4[[#This Row],[Precio Unitario Neto]]-Tabla4[[#This Row],[20.85%]]-Tabla4[[#This Row],[Costo]]</f>
        <v>#N/A</v>
      </c>
      <c r="S1249" s="282" t="e">
        <f>++Tabla4[[#This Row],[U. Bruta Uni]]*Tabla4[[#This Row],[Cantidad]]</f>
        <v>#N/A</v>
      </c>
      <c r="T1249" s="369" t="str">
        <f>VLOOKUP(Tabla4[[#This Row],[Producto]],Tabla6[#All],14,FALSE)</f>
        <v>Termico Solar</v>
      </c>
      <c r="U1249" s="284" t="e">
        <f>(IF(Tabla4[[#This Row],[Familia]]="termico solar",Tabla4[[#This Row],[Utilidad Total]]*6%,Tabla4[[#This Row],[Utilidad Total]]*11.5%))/Tabla4[[#This Row],[Total]]</f>
        <v>#N/A</v>
      </c>
      <c r="V1249" s="282" t="e">
        <f>+Tabla4[[#This Row],[Comisión Calculada]]*Tabla4[[#This Row],[Total]]</f>
        <v>#N/A</v>
      </c>
    </row>
    <row r="1250" spans="1:22" hidden="1" x14ac:dyDescent="0.25">
      <c r="A1250" s="100">
        <v>45731</v>
      </c>
      <c r="B1250" t="str">
        <f t="shared" si="54"/>
        <v>March</v>
      </c>
      <c r="C1250" s="46" t="s">
        <v>280</v>
      </c>
      <c r="F1250" s="366" t="s">
        <v>1223</v>
      </c>
      <c r="G1250" s="46" t="s">
        <v>83</v>
      </c>
      <c r="H1250" s="46">
        <v>3</v>
      </c>
      <c r="I1250" s="51">
        <v>8858.76</v>
      </c>
      <c r="J1250" s="281">
        <f>++Tabla4[[#This Row],[Precio Bruto]]*1.16</f>
        <v>10276.161599999999</v>
      </c>
      <c r="K1250" s="281">
        <f>+Tabla4[[#This Row],[Precio Unitario Neto]]*Tabla4[[#Headers],[20.85%]]</f>
        <v>2142.5796935999997</v>
      </c>
      <c r="L1250" s="282">
        <f>++Tabla4[[#This Row],[Precio Unitario Neto]]-Tabla4[[#This Row],[20.85%]]</f>
        <v>8133.5819063999998</v>
      </c>
      <c r="M1250" s="282" t="e">
        <f>(INDEX(Tabla6[#All],MATCH(Tabla4[[#This Row],[Producto]],Tabla6[[#All],[PRODUCTO]],0),MATCH(Tabla4[[#This Row],[Mes]],Tabla6[#Headers],0)))*(1+Catalogos!$L$2)</f>
        <v>#N/A</v>
      </c>
      <c r="N1250" s="283" t="e">
        <f>+(Tabla4[[#This Row],[Precio Descontado]]-Tabla4[[#This Row],[Precio Base]])*Tabla4[[#This Row],[Cantidad]]</f>
        <v>#N/A</v>
      </c>
      <c r="O1250" s="284" t="e">
        <f>++Tabla4[[#This Row],[Utilidad Total]]/Tabla4[[#This Row],[Total]]</f>
        <v>#N/A</v>
      </c>
      <c r="P1250" s="282">
        <f>++Tabla4[[#This Row],[Precio Descontado]]*Tabla4[[#This Row],[Cantidad]]</f>
        <v>24400.7457192</v>
      </c>
      <c r="Q1250" s="282" t="e">
        <f>(INDEX(Tabla6[#All],MATCH(Tabla4[[#This Row],[Producto]],Tabla6[[#All],[PRODUCTO]],0),MATCH(Tabla4[[#This Row],[Mes]],Tabla6[#Headers],0)))</f>
        <v>#N/A</v>
      </c>
      <c r="R1250" s="282" t="e">
        <f>++Tabla4[[#This Row],[Precio Unitario Neto]]-Tabla4[[#This Row],[20.85%]]-Tabla4[[#This Row],[Costo]]</f>
        <v>#N/A</v>
      </c>
      <c r="S1250" s="282" t="e">
        <f>++Tabla4[[#This Row],[U. Bruta Uni]]*Tabla4[[#This Row],[Cantidad]]</f>
        <v>#N/A</v>
      </c>
      <c r="T1250" s="369" t="str">
        <f>VLOOKUP(Tabla4[[#This Row],[Producto]],Tabla6[#All],14,FALSE)</f>
        <v>Termico Solar</v>
      </c>
      <c r="U1250" s="284" t="e">
        <f>(IF(Tabla4[[#This Row],[Familia]]="termico solar",Tabla4[[#This Row],[Utilidad Total]]*6%,Tabla4[[#This Row],[Utilidad Total]]*11.5%))/Tabla4[[#This Row],[Total]]</f>
        <v>#N/A</v>
      </c>
      <c r="V1250" s="282" t="e">
        <f>+Tabla4[[#This Row],[Comisión Calculada]]*Tabla4[[#This Row],[Total]]</f>
        <v>#N/A</v>
      </c>
    </row>
    <row r="1251" spans="1:22" hidden="1" x14ac:dyDescent="0.25">
      <c r="A1251" s="100">
        <v>45731</v>
      </c>
      <c r="B1251" t="str">
        <f t="shared" si="54"/>
        <v>March</v>
      </c>
      <c r="C1251" s="46" t="s">
        <v>280</v>
      </c>
      <c r="F1251" s="366" t="s">
        <v>1223</v>
      </c>
      <c r="G1251" s="46" t="s">
        <v>17</v>
      </c>
      <c r="H1251" s="46">
        <v>6</v>
      </c>
      <c r="I1251" s="51">
        <v>4622.28</v>
      </c>
      <c r="J1251" s="281">
        <f>++Tabla4[[#This Row],[Precio Bruto]]*1.16</f>
        <v>5361.8447999999989</v>
      </c>
      <c r="K1251" s="281">
        <f>+Tabla4[[#This Row],[Precio Unitario Neto]]*Tabla4[[#Headers],[20.85%]]</f>
        <v>1117.9446407999997</v>
      </c>
      <c r="L1251" s="282">
        <f>++Tabla4[[#This Row],[Precio Unitario Neto]]-Tabla4[[#This Row],[20.85%]]</f>
        <v>4243.9001591999995</v>
      </c>
      <c r="M1251" s="282" t="e">
        <f>(INDEX(Tabla6[#All],MATCH(Tabla4[[#This Row],[Producto]],Tabla6[[#All],[PRODUCTO]],0),MATCH(Tabla4[[#This Row],[Mes]],Tabla6[#Headers],0)))*(1+Catalogos!$L$2)</f>
        <v>#N/A</v>
      </c>
      <c r="N1251" s="283" t="e">
        <f>+(Tabla4[[#This Row],[Precio Descontado]]-Tabla4[[#This Row],[Precio Base]])*Tabla4[[#This Row],[Cantidad]]</f>
        <v>#N/A</v>
      </c>
      <c r="O1251" s="284" t="e">
        <f>++Tabla4[[#This Row],[Utilidad Total]]/Tabla4[[#This Row],[Total]]</f>
        <v>#N/A</v>
      </c>
      <c r="P1251" s="282">
        <f>++Tabla4[[#This Row],[Precio Descontado]]*Tabla4[[#This Row],[Cantidad]]</f>
        <v>25463.400955199999</v>
      </c>
      <c r="Q1251" s="282" t="e">
        <f>(INDEX(Tabla6[#All],MATCH(Tabla4[[#This Row],[Producto]],Tabla6[[#All],[PRODUCTO]],0),MATCH(Tabla4[[#This Row],[Mes]],Tabla6[#Headers],0)))</f>
        <v>#N/A</v>
      </c>
      <c r="R1251" s="282" t="e">
        <f>++Tabla4[[#This Row],[Precio Unitario Neto]]-Tabla4[[#This Row],[20.85%]]-Tabla4[[#This Row],[Costo]]</f>
        <v>#N/A</v>
      </c>
      <c r="S1251" s="282" t="e">
        <f>++Tabla4[[#This Row],[U. Bruta Uni]]*Tabla4[[#This Row],[Cantidad]]</f>
        <v>#N/A</v>
      </c>
      <c r="T1251" s="369" t="str">
        <f>VLOOKUP(Tabla4[[#This Row],[Producto]],Tabla6[#All],14,FALSE)</f>
        <v>Termico Solar</v>
      </c>
      <c r="U1251" s="284" t="e">
        <f>(IF(Tabla4[[#This Row],[Familia]]="termico solar",Tabla4[[#This Row],[Utilidad Total]]*6%,Tabla4[[#This Row],[Utilidad Total]]*11.5%))/Tabla4[[#This Row],[Total]]</f>
        <v>#N/A</v>
      </c>
      <c r="V1251" s="282" t="e">
        <f>+Tabla4[[#This Row],[Comisión Calculada]]*Tabla4[[#This Row],[Total]]</f>
        <v>#N/A</v>
      </c>
    </row>
    <row r="1252" spans="1:22" hidden="1" x14ac:dyDescent="0.25">
      <c r="A1252" s="100">
        <v>45731</v>
      </c>
      <c r="B1252" t="str">
        <f t="shared" si="54"/>
        <v>March</v>
      </c>
      <c r="C1252" s="46" t="s">
        <v>280</v>
      </c>
      <c r="F1252" s="366" t="s">
        <v>1223</v>
      </c>
      <c r="G1252" s="46" t="s">
        <v>18</v>
      </c>
      <c r="H1252" s="46">
        <v>1</v>
      </c>
      <c r="I1252" s="51">
        <v>5367.65</v>
      </c>
      <c r="J1252" s="281">
        <f>++Tabla4[[#This Row],[Precio Bruto]]*1.16</f>
        <v>6226.4739999999993</v>
      </c>
      <c r="K1252" s="281">
        <f>+Tabla4[[#This Row],[Precio Unitario Neto]]*Tabla4[[#Headers],[20.85%]]</f>
        <v>1298.2198289999999</v>
      </c>
      <c r="L1252" s="282">
        <f>++Tabla4[[#This Row],[Precio Unitario Neto]]-Tabla4[[#This Row],[20.85%]]</f>
        <v>4928.2541709999996</v>
      </c>
      <c r="M1252" s="282" t="e">
        <f>(INDEX(Tabla6[#All],MATCH(Tabla4[[#This Row],[Producto]],Tabla6[[#All],[PRODUCTO]],0),MATCH(Tabla4[[#This Row],[Mes]],Tabla6[#Headers],0)))*(1+Catalogos!$L$2)</f>
        <v>#N/A</v>
      </c>
      <c r="N1252" s="283" t="e">
        <f>+(Tabla4[[#This Row],[Precio Descontado]]-Tabla4[[#This Row],[Precio Base]])*Tabla4[[#This Row],[Cantidad]]</f>
        <v>#N/A</v>
      </c>
      <c r="O1252" s="284" t="e">
        <f>++Tabla4[[#This Row],[Utilidad Total]]/Tabla4[[#This Row],[Total]]</f>
        <v>#N/A</v>
      </c>
      <c r="P1252" s="282">
        <f>++Tabla4[[#This Row],[Precio Descontado]]*Tabla4[[#This Row],[Cantidad]]</f>
        <v>4928.2541709999996</v>
      </c>
      <c r="Q1252" s="282" t="e">
        <f>(INDEX(Tabla6[#All],MATCH(Tabla4[[#This Row],[Producto]],Tabla6[[#All],[PRODUCTO]],0),MATCH(Tabla4[[#This Row],[Mes]],Tabla6[#Headers],0)))</f>
        <v>#N/A</v>
      </c>
      <c r="R1252" s="282" t="e">
        <f>++Tabla4[[#This Row],[Precio Unitario Neto]]-Tabla4[[#This Row],[20.85%]]-Tabla4[[#This Row],[Costo]]</f>
        <v>#N/A</v>
      </c>
      <c r="S1252" s="282" t="e">
        <f>++Tabla4[[#This Row],[U. Bruta Uni]]*Tabla4[[#This Row],[Cantidad]]</f>
        <v>#N/A</v>
      </c>
      <c r="T1252" s="369" t="str">
        <f>VLOOKUP(Tabla4[[#This Row],[Producto]],Tabla6[#All],14,FALSE)</f>
        <v>Termico Solar</v>
      </c>
      <c r="U1252" s="284" t="e">
        <f>(IF(Tabla4[[#This Row],[Familia]]="termico solar",Tabla4[[#This Row],[Utilidad Total]]*6%,Tabla4[[#This Row],[Utilidad Total]]*11.5%))/Tabla4[[#This Row],[Total]]</f>
        <v>#N/A</v>
      </c>
      <c r="V1252" s="282" t="e">
        <f>+Tabla4[[#This Row],[Comisión Calculada]]*Tabla4[[#This Row],[Total]]</f>
        <v>#N/A</v>
      </c>
    </row>
    <row r="1253" spans="1:22" hidden="1" x14ac:dyDescent="0.25">
      <c r="A1253" s="100">
        <v>45731</v>
      </c>
      <c r="B1253" t="str">
        <f t="shared" si="54"/>
        <v>March</v>
      </c>
      <c r="C1253" s="46" t="s">
        <v>280</v>
      </c>
      <c r="F1253" s="366" t="s">
        <v>1223</v>
      </c>
      <c r="G1253" s="46" t="s">
        <v>208</v>
      </c>
      <c r="H1253" s="46">
        <v>15</v>
      </c>
      <c r="I1253" s="51">
        <v>140.63</v>
      </c>
      <c r="J1253" s="281">
        <f>++Tabla4[[#This Row],[Precio Bruto]]*1.16</f>
        <v>163.13079999999999</v>
      </c>
      <c r="K1253" s="281">
        <f>+Tabla4[[#This Row],[Precio Unitario Neto]]*Tabla4[[#Headers],[20.85%]]</f>
        <v>34.012771799999996</v>
      </c>
      <c r="L1253" s="282">
        <f>++Tabla4[[#This Row],[Precio Unitario Neto]]-Tabla4[[#This Row],[20.85%]]</f>
        <v>129.1180282</v>
      </c>
      <c r="M1253" s="282" t="e">
        <f>(INDEX(Tabla6[#All],MATCH(Tabla4[[#This Row],[Producto]],Tabla6[[#All],[PRODUCTO]],0),MATCH(Tabla4[[#This Row],[Mes]],Tabla6[#Headers],0)))*(1+Catalogos!$L$2)</f>
        <v>#N/A</v>
      </c>
      <c r="N1253" s="283" t="e">
        <f>+(Tabla4[[#This Row],[Precio Descontado]]-Tabla4[[#This Row],[Precio Base]])*Tabla4[[#This Row],[Cantidad]]</f>
        <v>#N/A</v>
      </c>
      <c r="O1253" s="284" t="e">
        <f>++Tabla4[[#This Row],[Utilidad Total]]/Tabla4[[#This Row],[Total]]</f>
        <v>#N/A</v>
      </c>
      <c r="P1253" s="282">
        <f>++Tabla4[[#This Row],[Precio Descontado]]*Tabla4[[#This Row],[Cantidad]]</f>
        <v>1936.7704229999999</v>
      </c>
      <c r="Q1253" s="282" t="e">
        <f>(INDEX(Tabla6[#All],MATCH(Tabla4[[#This Row],[Producto]],Tabla6[[#All],[PRODUCTO]],0),MATCH(Tabla4[[#This Row],[Mes]],Tabla6[#Headers],0)))</f>
        <v>#N/A</v>
      </c>
      <c r="R1253" s="282" t="e">
        <f>++Tabla4[[#This Row],[Precio Unitario Neto]]-Tabla4[[#This Row],[20.85%]]-Tabla4[[#This Row],[Costo]]</f>
        <v>#N/A</v>
      </c>
      <c r="S1253" s="282" t="e">
        <f>++Tabla4[[#This Row],[U. Bruta Uni]]*Tabla4[[#This Row],[Cantidad]]</f>
        <v>#N/A</v>
      </c>
      <c r="T1253" s="369" t="str">
        <f>VLOOKUP(Tabla4[[#This Row],[Producto]],Tabla6[#All],14,FALSE)</f>
        <v>Termico Solar</v>
      </c>
      <c r="U1253" s="284" t="e">
        <f>(IF(Tabla4[[#This Row],[Familia]]="termico solar",Tabla4[[#This Row],[Utilidad Total]]*6%,Tabla4[[#This Row],[Utilidad Total]]*11.5%))/Tabla4[[#This Row],[Total]]</f>
        <v>#N/A</v>
      </c>
      <c r="V1253" s="282" t="e">
        <f>+Tabla4[[#This Row],[Comisión Calculada]]*Tabla4[[#This Row],[Total]]</f>
        <v>#N/A</v>
      </c>
    </row>
    <row r="1254" spans="1:22" hidden="1" x14ac:dyDescent="0.25">
      <c r="A1254" s="100">
        <v>45731</v>
      </c>
      <c r="B1254" t="str">
        <f t="shared" si="54"/>
        <v>March</v>
      </c>
      <c r="C1254" s="46" t="s">
        <v>280</v>
      </c>
      <c r="F1254" s="366" t="s">
        <v>1224</v>
      </c>
      <c r="G1254" s="46" t="s">
        <v>83</v>
      </c>
      <c r="H1254" s="46">
        <v>2</v>
      </c>
      <c r="I1254" s="51">
        <v>8858.76</v>
      </c>
      <c r="J1254" s="281">
        <f>++Tabla4[[#This Row],[Precio Bruto]]*1.16</f>
        <v>10276.161599999999</v>
      </c>
      <c r="K1254" s="281">
        <f>+Tabla4[[#This Row],[Precio Unitario Neto]]*Tabla4[[#Headers],[20.85%]]</f>
        <v>2142.5796935999997</v>
      </c>
      <c r="L1254" s="282">
        <f>++Tabla4[[#This Row],[Precio Unitario Neto]]-Tabla4[[#This Row],[20.85%]]</f>
        <v>8133.5819063999998</v>
      </c>
      <c r="M1254" s="282" t="e">
        <f>(INDEX(Tabla6[#All],MATCH(Tabla4[[#This Row],[Producto]],Tabla6[[#All],[PRODUCTO]],0),MATCH(Tabla4[[#This Row],[Mes]],Tabla6[#Headers],0)))*(1+Catalogos!$L$2)</f>
        <v>#N/A</v>
      </c>
      <c r="N1254" s="283" t="e">
        <f>+(Tabla4[[#This Row],[Precio Descontado]]-Tabla4[[#This Row],[Precio Base]])*Tabla4[[#This Row],[Cantidad]]</f>
        <v>#N/A</v>
      </c>
      <c r="O1254" s="284" t="e">
        <f>++Tabla4[[#This Row],[Utilidad Total]]/Tabla4[[#This Row],[Total]]</f>
        <v>#N/A</v>
      </c>
      <c r="P1254" s="282">
        <f>++Tabla4[[#This Row],[Precio Descontado]]*Tabla4[[#This Row],[Cantidad]]</f>
        <v>16267.1638128</v>
      </c>
      <c r="Q1254" s="282" t="e">
        <f>(INDEX(Tabla6[#All],MATCH(Tabla4[[#This Row],[Producto]],Tabla6[[#All],[PRODUCTO]],0),MATCH(Tabla4[[#This Row],[Mes]],Tabla6[#Headers],0)))</f>
        <v>#N/A</v>
      </c>
      <c r="R1254" s="282" t="e">
        <f>++Tabla4[[#This Row],[Precio Unitario Neto]]-Tabla4[[#This Row],[20.85%]]-Tabla4[[#This Row],[Costo]]</f>
        <v>#N/A</v>
      </c>
      <c r="S1254" s="282" t="e">
        <f>++Tabla4[[#This Row],[U. Bruta Uni]]*Tabla4[[#This Row],[Cantidad]]</f>
        <v>#N/A</v>
      </c>
      <c r="T1254" s="369" t="str">
        <f>VLOOKUP(Tabla4[[#This Row],[Producto]],Tabla6[#All],14,FALSE)</f>
        <v>Termico Solar</v>
      </c>
      <c r="U1254" s="284" t="e">
        <f>(IF(Tabla4[[#This Row],[Familia]]="termico solar",Tabla4[[#This Row],[Utilidad Total]]*6%,Tabla4[[#This Row],[Utilidad Total]]*11.5%))/Tabla4[[#This Row],[Total]]</f>
        <v>#N/A</v>
      </c>
      <c r="V1254" s="282" t="e">
        <f>+Tabla4[[#This Row],[Comisión Calculada]]*Tabla4[[#This Row],[Total]]</f>
        <v>#N/A</v>
      </c>
    </row>
    <row r="1255" spans="1:22" hidden="1" x14ac:dyDescent="0.25">
      <c r="A1255" s="100">
        <v>45731</v>
      </c>
      <c r="B1255" t="str">
        <f t="shared" si="54"/>
        <v>March</v>
      </c>
      <c r="C1255" s="46" t="s">
        <v>280</v>
      </c>
      <c r="F1255" s="366" t="s">
        <v>1224</v>
      </c>
      <c r="G1255" s="46" t="s">
        <v>17</v>
      </c>
      <c r="H1255" s="46">
        <v>1</v>
      </c>
      <c r="I1255" s="51">
        <v>4622.28</v>
      </c>
      <c r="J1255" s="281">
        <f>++Tabla4[[#This Row],[Precio Bruto]]*1.16</f>
        <v>5361.8447999999989</v>
      </c>
      <c r="K1255" s="281">
        <f>+Tabla4[[#This Row],[Precio Unitario Neto]]*Tabla4[[#Headers],[20.85%]]</f>
        <v>1117.9446407999997</v>
      </c>
      <c r="L1255" s="282">
        <f>++Tabla4[[#This Row],[Precio Unitario Neto]]-Tabla4[[#This Row],[20.85%]]</f>
        <v>4243.9001591999995</v>
      </c>
      <c r="M1255" s="282" t="e">
        <f>(INDEX(Tabla6[#All],MATCH(Tabla4[[#This Row],[Producto]],Tabla6[[#All],[PRODUCTO]],0),MATCH(Tabla4[[#This Row],[Mes]],Tabla6[#Headers],0)))*(1+Catalogos!$L$2)</f>
        <v>#N/A</v>
      </c>
      <c r="N1255" s="283" t="e">
        <f>+(Tabla4[[#This Row],[Precio Descontado]]-Tabla4[[#This Row],[Precio Base]])*Tabla4[[#This Row],[Cantidad]]</f>
        <v>#N/A</v>
      </c>
      <c r="O1255" s="284" t="e">
        <f>++Tabla4[[#This Row],[Utilidad Total]]/Tabla4[[#This Row],[Total]]</f>
        <v>#N/A</v>
      </c>
      <c r="P1255" s="282">
        <f>++Tabla4[[#This Row],[Precio Descontado]]*Tabla4[[#This Row],[Cantidad]]</f>
        <v>4243.9001591999995</v>
      </c>
      <c r="Q1255" s="282" t="e">
        <f>(INDEX(Tabla6[#All],MATCH(Tabla4[[#This Row],[Producto]],Tabla6[[#All],[PRODUCTO]],0),MATCH(Tabla4[[#This Row],[Mes]],Tabla6[#Headers],0)))</f>
        <v>#N/A</v>
      </c>
      <c r="R1255" s="282" t="e">
        <f>++Tabla4[[#This Row],[Precio Unitario Neto]]-Tabla4[[#This Row],[20.85%]]-Tabla4[[#This Row],[Costo]]</f>
        <v>#N/A</v>
      </c>
      <c r="S1255" s="282" t="e">
        <f>++Tabla4[[#This Row],[U. Bruta Uni]]*Tabla4[[#This Row],[Cantidad]]</f>
        <v>#N/A</v>
      </c>
      <c r="T1255" s="369" t="str">
        <f>VLOOKUP(Tabla4[[#This Row],[Producto]],Tabla6[#All],14,FALSE)</f>
        <v>Termico Solar</v>
      </c>
      <c r="U1255" s="284" t="e">
        <f>(IF(Tabla4[[#This Row],[Familia]]="termico solar",Tabla4[[#This Row],[Utilidad Total]]*6%,Tabla4[[#This Row],[Utilidad Total]]*11.5%))/Tabla4[[#This Row],[Total]]</f>
        <v>#N/A</v>
      </c>
      <c r="V1255" s="282" t="e">
        <f>+Tabla4[[#This Row],[Comisión Calculada]]*Tabla4[[#This Row],[Total]]</f>
        <v>#N/A</v>
      </c>
    </row>
    <row r="1256" spans="1:22" hidden="1" x14ac:dyDescent="0.25">
      <c r="A1256" s="100">
        <v>45731</v>
      </c>
      <c r="B1256" t="str">
        <f t="shared" si="54"/>
        <v>March</v>
      </c>
      <c r="C1256" s="46" t="s">
        <v>280</v>
      </c>
      <c r="F1256" s="366" t="s">
        <v>1224</v>
      </c>
      <c r="G1256" s="46" t="s">
        <v>208</v>
      </c>
      <c r="H1256" s="46">
        <v>15</v>
      </c>
      <c r="I1256" s="51">
        <v>140.63</v>
      </c>
      <c r="J1256" s="281">
        <f>++Tabla4[[#This Row],[Precio Bruto]]*1.16</f>
        <v>163.13079999999999</v>
      </c>
      <c r="K1256" s="281">
        <f>+Tabla4[[#This Row],[Precio Unitario Neto]]*Tabla4[[#Headers],[20.85%]]</f>
        <v>34.012771799999996</v>
      </c>
      <c r="L1256" s="282">
        <f>++Tabla4[[#This Row],[Precio Unitario Neto]]-Tabla4[[#This Row],[20.85%]]</f>
        <v>129.1180282</v>
      </c>
      <c r="M1256" s="282" t="e">
        <f>(INDEX(Tabla6[#All],MATCH(Tabla4[[#This Row],[Producto]],Tabla6[[#All],[PRODUCTO]],0),MATCH(Tabla4[[#This Row],[Mes]],Tabla6[#Headers],0)))*(1+Catalogos!$L$2)</f>
        <v>#N/A</v>
      </c>
      <c r="N1256" s="283" t="e">
        <f>+(Tabla4[[#This Row],[Precio Descontado]]-Tabla4[[#This Row],[Precio Base]])*Tabla4[[#This Row],[Cantidad]]</f>
        <v>#N/A</v>
      </c>
      <c r="O1256" s="284" t="e">
        <f>++Tabla4[[#This Row],[Utilidad Total]]/Tabla4[[#This Row],[Total]]</f>
        <v>#N/A</v>
      </c>
      <c r="P1256" s="282">
        <f>++Tabla4[[#This Row],[Precio Descontado]]*Tabla4[[#This Row],[Cantidad]]</f>
        <v>1936.7704229999999</v>
      </c>
      <c r="Q1256" s="282" t="e">
        <f>(INDEX(Tabla6[#All],MATCH(Tabla4[[#This Row],[Producto]],Tabla6[[#All],[PRODUCTO]],0),MATCH(Tabla4[[#This Row],[Mes]],Tabla6[#Headers],0)))</f>
        <v>#N/A</v>
      </c>
      <c r="R1256" s="282" t="e">
        <f>++Tabla4[[#This Row],[Precio Unitario Neto]]-Tabla4[[#This Row],[20.85%]]-Tabla4[[#This Row],[Costo]]</f>
        <v>#N/A</v>
      </c>
      <c r="S1256" s="282" t="e">
        <f>++Tabla4[[#This Row],[U. Bruta Uni]]*Tabla4[[#This Row],[Cantidad]]</f>
        <v>#N/A</v>
      </c>
      <c r="T1256" s="369" t="str">
        <f>VLOOKUP(Tabla4[[#This Row],[Producto]],Tabla6[#All],14,FALSE)</f>
        <v>Termico Solar</v>
      </c>
      <c r="U1256" s="284" t="e">
        <f>(IF(Tabla4[[#This Row],[Familia]]="termico solar",Tabla4[[#This Row],[Utilidad Total]]*6%,Tabla4[[#This Row],[Utilidad Total]]*11.5%))/Tabla4[[#This Row],[Total]]</f>
        <v>#N/A</v>
      </c>
      <c r="V1256" s="282" t="e">
        <f>+Tabla4[[#This Row],[Comisión Calculada]]*Tabla4[[#This Row],[Total]]</f>
        <v>#N/A</v>
      </c>
    </row>
    <row r="1257" spans="1:22" hidden="1" x14ac:dyDescent="0.25">
      <c r="A1257" s="100">
        <v>45731</v>
      </c>
      <c r="B1257" t="str">
        <f t="shared" si="54"/>
        <v>March</v>
      </c>
      <c r="C1257" s="46" t="s">
        <v>280</v>
      </c>
      <c r="F1257" s="366" t="s">
        <v>1224</v>
      </c>
      <c r="G1257" s="46" t="s">
        <v>16</v>
      </c>
      <c r="H1257" s="46">
        <v>2</v>
      </c>
      <c r="I1257" s="51">
        <v>4103.8500000000004</v>
      </c>
      <c r="J1257" s="281">
        <f>++Tabla4[[#This Row],[Precio Bruto]]*1.16</f>
        <v>4760.4660000000003</v>
      </c>
      <c r="K1257" s="281">
        <f>+Tabla4[[#This Row],[Precio Unitario Neto]]*Tabla4[[#Headers],[20.85%]]</f>
        <v>992.55716100000006</v>
      </c>
      <c r="L1257" s="282">
        <f>++Tabla4[[#This Row],[Precio Unitario Neto]]-Tabla4[[#This Row],[20.85%]]</f>
        <v>3767.9088390000002</v>
      </c>
      <c r="M1257" s="282" t="e">
        <f>(INDEX(Tabla6[#All],MATCH(Tabla4[[#This Row],[Producto]],Tabla6[[#All],[PRODUCTO]],0),MATCH(Tabla4[[#This Row],[Mes]],Tabla6[#Headers],0)))*(1+Catalogos!$L$2)</f>
        <v>#N/A</v>
      </c>
      <c r="N1257" s="283" t="e">
        <f>+(Tabla4[[#This Row],[Precio Descontado]]-Tabla4[[#This Row],[Precio Base]])*Tabla4[[#This Row],[Cantidad]]</f>
        <v>#N/A</v>
      </c>
      <c r="O1257" s="284" t="e">
        <f>++Tabla4[[#This Row],[Utilidad Total]]/Tabla4[[#This Row],[Total]]</f>
        <v>#N/A</v>
      </c>
      <c r="P1257" s="282">
        <f>++Tabla4[[#This Row],[Precio Descontado]]*Tabla4[[#This Row],[Cantidad]]</f>
        <v>7535.8176780000003</v>
      </c>
      <c r="Q1257" s="282" t="e">
        <f>(INDEX(Tabla6[#All],MATCH(Tabla4[[#This Row],[Producto]],Tabla6[[#All],[PRODUCTO]],0),MATCH(Tabla4[[#This Row],[Mes]],Tabla6[#Headers],0)))</f>
        <v>#N/A</v>
      </c>
      <c r="R1257" s="282" t="e">
        <f>++Tabla4[[#This Row],[Precio Unitario Neto]]-Tabla4[[#This Row],[20.85%]]-Tabla4[[#This Row],[Costo]]</f>
        <v>#N/A</v>
      </c>
      <c r="S1257" s="282" t="e">
        <f>++Tabla4[[#This Row],[U. Bruta Uni]]*Tabla4[[#This Row],[Cantidad]]</f>
        <v>#N/A</v>
      </c>
      <c r="T1257" s="369" t="str">
        <f>VLOOKUP(Tabla4[[#This Row],[Producto]],Tabla6[#All],14,FALSE)</f>
        <v>Termico Solar</v>
      </c>
      <c r="U1257" s="284" t="e">
        <f>(IF(Tabla4[[#This Row],[Familia]]="termico solar",Tabla4[[#This Row],[Utilidad Total]]*6%,Tabla4[[#This Row],[Utilidad Total]]*11.5%))/Tabla4[[#This Row],[Total]]</f>
        <v>#N/A</v>
      </c>
      <c r="V1257" s="282" t="e">
        <f>+Tabla4[[#This Row],[Comisión Calculada]]*Tabla4[[#This Row],[Total]]</f>
        <v>#N/A</v>
      </c>
    </row>
    <row r="1258" spans="1:22" hidden="1" x14ac:dyDescent="0.25">
      <c r="A1258" s="100">
        <v>45731</v>
      </c>
      <c r="B1258" t="str">
        <f t="shared" si="54"/>
        <v>March</v>
      </c>
      <c r="C1258" s="46" t="s">
        <v>280</v>
      </c>
      <c r="F1258" s="366" t="s">
        <v>1225</v>
      </c>
      <c r="G1258" s="46" t="s">
        <v>83</v>
      </c>
      <c r="H1258" s="46">
        <v>4</v>
      </c>
      <c r="I1258" s="51">
        <v>8858.76</v>
      </c>
      <c r="J1258" s="281">
        <f>++Tabla4[[#This Row],[Precio Bruto]]*1.16</f>
        <v>10276.161599999999</v>
      </c>
      <c r="K1258" s="281">
        <f>+Tabla4[[#This Row],[Precio Unitario Neto]]*Tabla4[[#Headers],[20.85%]]</f>
        <v>2142.5796935999997</v>
      </c>
      <c r="L1258" s="282">
        <f>++Tabla4[[#This Row],[Precio Unitario Neto]]-Tabla4[[#This Row],[20.85%]]</f>
        <v>8133.5819063999998</v>
      </c>
      <c r="M1258" s="282" t="e">
        <f>(INDEX(Tabla6[#All],MATCH(Tabla4[[#This Row],[Producto]],Tabla6[[#All],[PRODUCTO]],0),MATCH(Tabla4[[#This Row],[Mes]],Tabla6[#Headers],0)))*(1+Catalogos!$L$2)</f>
        <v>#N/A</v>
      </c>
      <c r="N1258" s="283" t="e">
        <f>+(Tabla4[[#This Row],[Precio Descontado]]-Tabla4[[#This Row],[Precio Base]])*Tabla4[[#This Row],[Cantidad]]</f>
        <v>#N/A</v>
      </c>
      <c r="O1258" s="284" t="e">
        <f>++Tabla4[[#This Row],[Utilidad Total]]/Tabla4[[#This Row],[Total]]</f>
        <v>#N/A</v>
      </c>
      <c r="P1258" s="282">
        <f>++Tabla4[[#This Row],[Precio Descontado]]*Tabla4[[#This Row],[Cantidad]]</f>
        <v>32534.327625599999</v>
      </c>
      <c r="Q1258" s="282" t="e">
        <f>(INDEX(Tabla6[#All],MATCH(Tabla4[[#This Row],[Producto]],Tabla6[[#All],[PRODUCTO]],0),MATCH(Tabla4[[#This Row],[Mes]],Tabla6[#Headers],0)))</f>
        <v>#N/A</v>
      </c>
      <c r="R1258" s="282" t="e">
        <f>++Tabla4[[#This Row],[Precio Unitario Neto]]-Tabla4[[#This Row],[20.85%]]-Tabla4[[#This Row],[Costo]]</f>
        <v>#N/A</v>
      </c>
      <c r="S1258" s="282" t="e">
        <f>++Tabla4[[#This Row],[U. Bruta Uni]]*Tabla4[[#This Row],[Cantidad]]</f>
        <v>#N/A</v>
      </c>
      <c r="T1258" s="369" t="str">
        <f>VLOOKUP(Tabla4[[#This Row],[Producto]],Tabla6[#All],14,FALSE)</f>
        <v>Termico Solar</v>
      </c>
      <c r="U1258" s="284" t="e">
        <f>(IF(Tabla4[[#This Row],[Familia]]="termico solar",Tabla4[[#This Row],[Utilidad Total]]*6%,Tabla4[[#This Row],[Utilidad Total]]*11.5%))/Tabla4[[#This Row],[Total]]</f>
        <v>#N/A</v>
      </c>
      <c r="V1258" s="282" t="e">
        <f>+Tabla4[[#This Row],[Comisión Calculada]]*Tabla4[[#This Row],[Total]]</f>
        <v>#N/A</v>
      </c>
    </row>
    <row r="1259" spans="1:22" hidden="1" x14ac:dyDescent="0.25">
      <c r="A1259" s="100">
        <v>45731</v>
      </c>
      <c r="B1259" t="str">
        <f t="shared" si="54"/>
        <v>March</v>
      </c>
      <c r="C1259" s="46" t="s">
        <v>280</v>
      </c>
      <c r="F1259" s="366" t="s">
        <v>1225</v>
      </c>
      <c r="G1259" s="46" t="s">
        <v>17</v>
      </c>
      <c r="H1259" s="46">
        <v>1</v>
      </c>
      <c r="I1259" s="51">
        <v>4622.28</v>
      </c>
      <c r="J1259" s="281">
        <f>++Tabla4[[#This Row],[Precio Bruto]]*1.16</f>
        <v>5361.8447999999989</v>
      </c>
      <c r="K1259" s="281">
        <f>+Tabla4[[#This Row],[Precio Unitario Neto]]*Tabla4[[#Headers],[20.85%]]</f>
        <v>1117.9446407999997</v>
      </c>
      <c r="L1259" s="282">
        <f>++Tabla4[[#This Row],[Precio Unitario Neto]]-Tabla4[[#This Row],[20.85%]]</f>
        <v>4243.9001591999995</v>
      </c>
      <c r="M1259" s="282" t="e">
        <f>(INDEX(Tabla6[#All],MATCH(Tabla4[[#This Row],[Producto]],Tabla6[[#All],[PRODUCTO]],0),MATCH(Tabla4[[#This Row],[Mes]],Tabla6[#Headers],0)))*(1+Catalogos!$L$2)</f>
        <v>#N/A</v>
      </c>
      <c r="N1259" s="283" t="e">
        <f>+(Tabla4[[#This Row],[Precio Descontado]]-Tabla4[[#This Row],[Precio Base]])*Tabla4[[#This Row],[Cantidad]]</f>
        <v>#N/A</v>
      </c>
      <c r="O1259" s="284" t="e">
        <f>++Tabla4[[#This Row],[Utilidad Total]]/Tabla4[[#This Row],[Total]]</f>
        <v>#N/A</v>
      </c>
      <c r="P1259" s="282">
        <f>++Tabla4[[#This Row],[Precio Descontado]]*Tabla4[[#This Row],[Cantidad]]</f>
        <v>4243.9001591999995</v>
      </c>
      <c r="Q1259" s="282" t="e">
        <f>(INDEX(Tabla6[#All],MATCH(Tabla4[[#This Row],[Producto]],Tabla6[[#All],[PRODUCTO]],0),MATCH(Tabla4[[#This Row],[Mes]],Tabla6[#Headers],0)))</f>
        <v>#N/A</v>
      </c>
      <c r="R1259" s="282" t="e">
        <f>++Tabla4[[#This Row],[Precio Unitario Neto]]-Tabla4[[#This Row],[20.85%]]-Tabla4[[#This Row],[Costo]]</f>
        <v>#N/A</v>
      </c>
      <c r="S1259" s="282" t="e">
        <f>++Tabla4[[#This Row],[U. Bruta Uni]]*Tabla4[[#This Row],[Cantidad]]</f>
        <v>#N/A</v>
      </c>
      <c r="T1259" s="369" t="str">
        <f>VLOOKUP(Tabla4[[#This Row],[Producto]],Tabla6[#All],14,FALSE)</f>
        <v>Termico Solar</v>
      </c>
      <c r="U1259" s="284" t="e">
        <f>(IF(Tabla4[[#This Row],[Familia]]="termico solar",Tabla4[[#This Row],[Utilidad Total]]*6%,Tabla4[[#This Row],[Utilidad Total]]*11.5%))/Tabla4[[#This Row],[Total]]</f>
        <v>#N/A</v>
      </c>
      <c r="V1259" s="282" t="e">
        <f>+Tabla4[[#This Row],[Comisión Calculada]]*Tabla4[[#This Row],[Total]]</f>
        <v>#N/A</v>
      </c>
    </row>
    <row r="1260" spans="1:22" hidden="1" x14ac:dyDescent="0.25">
      <c r="A1260" s="100">
        <v>45731</v>
      </c>
      <c r="B1260" t="str">
        <f t="shared" si="54"/>
        <v>March</v>
      </c>
      <c r="C1260" s="46" t="s">
        <v>280</v>
      </c>
      <c r="F1260" s="366" t="s">
        <v>1225</v>
      </c>
      <c r="G1260" s="46" t="s">
        <v>18</v>
      </c>
      <c r="H1260" s="46">
        <v>3</v>
      </c>
      <c r="I1260" s="51">
        <v>5367.6500000000005</v>
      </c>
      <c r="J1260" s="281">
        <f>++Tabla4[[#This Row],[Precio Bruto]]*1.16</f>
        <v>6226.4740000000002</v>
      </c>
      <c r="K1260" s="281">
        <f>+Tabla4[[#This Row],[Precio Unitario Neto]]*Tabla4[[#Headers],[20.85%]]</f>
        <v>1298.2198289999999</v>
      </c>
      <c r="L1260" s="282">
        <f>++Tabla4[[#This Row],[Precio Unitario Neto]]-Tabla4[[#This Row],[20.85%]]</f>
        <v>4928.2541710000005</v>
      </c>
      <c r="M1260" s="282" t="e">
        <f>(INDEX(Tabla6[#All],MATCH(Tabla4[[#This Row],[Producto]],Tabla6[[#All],[PRODUCTO]],0),MATCH(Tabla4[[#This Row],[Mes]],Tabla6[#Headers],0)))*(1+Catalogos!$L$2)</f>
        <v>#N/A</v>
      </c>
      <c r="N1260" s="283" t="e">
        <f>+(Tabla4[[#This Row],[Precio Descontado]]-Tabla4[[#This Row],[Precio Base]])*Tabla4[[#This Row],[Cantidad]]</f>
        <v>#N/A</v>
      </c>
      <c r="O1260" s="284" t="e">
        <f>++Tabla4[[#This Row],[Utilidad Total]]/Tabla4[[#This Row],[Total]]</f>
        <v>#N/A</v>
      </c>
      <c r="P1260" s="282">
        <f>++Tabla4[[#This Row],[Precio Descontado]]*Tabla4[[#This Row],[Cantidad]]</f>
        <v>14784.762513000001</v>
      </c>
      <c r="Q1260" s="282" t="e">
        <f>(INDEX(Tabla6[#All],MATCH(Tabla4[[#This Row],[Producto]],Tabla6[[#All],[PRODUCTO]],0),MATCH(Tabla4[[#This Row],[Mes]],Tabla6[#Headers],0)))</f>
        <v>#N/A</v>
      </c>
      <c r="R1260" s="282" t="e">
        <f>++Tabla4[[#This Row],[Precio Unitario Neto]]-Tabla4[[#This Row],[20.85%]]-Tabla4[[#This Row],[Costo]]</f>
        <v>#N/A</v>
      </c>
      <c r="S1260" s="282" t="e">
        <f>++Tabla4[[#This Row],[U. Bruta Uni]]*Tabla4[[#This Row],[Cantidad]]</f>
        <v>#N/A</v>
      </c>
      <c r="T1260" s="369" t="str">
        <f>VLOOKUP(Tabla4[[#This Row],[Producto]],Tabla6[#All],14,FALSE)</f>
        <v>Termico Solar</v>
      </c>
      <c r="U1260" s="284" t="e">
        <f>(IF(Tabla4[[#This Row],[Familia]]="termico solar",Tabla4[[#This Row],[Utilidad Total]]*6%,Tabla4[[#This Row],[Utilidad Total]]*11.5%))/Tabla4[[#This Row],[Total]]</f>
        <v>#N/A</v>
      </c>
      <c r="V1260" s="282" t="e">
        <f>+Tabla4[[#This Row],[Comisión Calculada]]*Tabla4[[#This Row],[Total]]</f>
        <v>#N/A</v>
      </c>
    </row>
    <row r="1261" spans="1:22" hidden="1" x14ac:dyDescent="0.25">
      <c r="A1261" s="100">
        <v>45731</v>
      </c>
      <c r="B1261" t="str">
        <f t="shared" si="54"/>
        <v>March</v>
      </c>
      <c r="C1261" s="46" t="s">
        <v>280</v>
      </c>
      <c r="F1261" s="366" t="s">
        <v>1225</v>
      </c>
      <c r="G1261" s="46" t="s">
        <v>394</v>
      </c>
      <c r="H1261" s="46">
        <v>9</v>
      </c>
      <c r="I1261" s="51">
        <v>108.1</v>
      </c>
      <c r="J1261" s="281">
        <f>++Tabla4[[#This Row],[Precio Bruto]]*1.16</f>
        <v>125.39599999999999</v>
      </c>
      <c r="K1261" s="281">
        <f>+Tabla4[[#This Row],[Precio Unitario Neto]]*Tabla4[[#Headers],[20.85%]]</f>
        <v>26.145065999999996</v>
      </c>
      <c r="L1261" s="282">
        <f>++Tabla4[[#This Row],[Precio Unitario Neto]]-Tabla4[[#This Row],[20.85%]]</f>
        <v>99.250933999999987</v>
      </c>
      <c r="M1261" s="282" t="e">
        <f>(INDEX(Tabla6[#All],MATCH(Tabla4[[#This Row],[Producto]],Tabla6[[#All],[PRODUCTO]],0),MATCH(Tabla4[[#This Row],[Mes]],Tabla6[#Headers],0)))*(1+Catalogos!$L$2)</f>
        <v>#N/A</v>
      </c>
      <c r="N1261" s="283" t="e">
        <f>+(Tabla4[[#This Row],[Precio Descontado]]-Tabla4[[#This Row],[Precio Base]])*Tabla4[[#This Row],[Cantidad]]</f>
        <v>#N/A</v>
      </c>
      <c r="O1261" s="284" t="e">
        <f>++Tabla4[[#This Row],[Utilidad Total]]/Tabla4[[#This Row],[Total]]</f>
        <v>#N/A</v>
      </c>
      <c r="P1261" s="282">
        <f>++Tabla4[[#This Row],[Precio Descontado]]*Tabla4[[#This Row],[Cantidad]]</f>
        <v>893.25840599999992</v>
      </c>
      <c r="Q1261" s="282" t="e">
        <f>(INDEX(Tabla6[#All],MATCH(Tabla4[[#This Row],[Producto]],Tabla6[[#All],[PRODUCTO]],0),MATCH(Tabla4[[#This Row],[Mes]],Tabla6[#Headers],0)))</f>
        <v>#N/A</v>
      </c>
      <c r="R1261" s="282" t="e">
        <f>++Tabla4[[#This Row],[Precio Unitario Neto]]-Tabla4[[#This Row],[20.85%]]-Tabla4[[#This Row],[Costo]]</f>
        <v>#N/A</v>
      </c>
      <c r="S1261" s="282" t="e">
        <f>++Tabla4[[#This Row],[U. Bruta Uni]]*Tabla4[[#This Row],[Cantidad]]</f>
        <v>#N/A</v>
      </c>
      <c r="T1261" s="369" t="str">
        <f>VLOOKUP(Tabla4[[#This Row],[Producto]],Tabla6[#All],14,FALSE)</f>
        <v>Termico Solar</v>
      </c>
      <c r="U1261" s="284" t="e">
        <f>(IF(Tabla4[[#This Row],[Familia]]="termico solar",Tabla4[[#This Row],[Utilidad Total]]*6%,Tabla4[[#This Row],[Utilidad Total]]*11.5%))/Tabla4[[#This Row],[Total]]</f>
        <v>#N/A</v>
      </c>
      <c r="V1261" s="282" t="e">
        <f>+Tabla4[[#This Row],[Comisión Calculada]]*Tabla4[[#This Row],[Total]]</f>
        <v>#N/A</v>
      </c>
    </row>
    <row r="1262" spans="1:22" hidden="1" x14ac:dyDescent="0.25">
      <c r="A1262" s="100">
        <v>45731</v>
      </c>
      <c r="B1262" t="str">
        <f t="shared" si="54"/>
        <v>March</v>
      </c>
      <c r="C1262" s="46" t="s">
        <v>280</v>
      </c>
      <c r="F1262" s="366" t="s">
        <v>1225</v>
      </c>
      <c r="G1262" s="46" t="s">
        <v>16</v>
      </c>
      <c r="H1262" s="46">
        <v>2</v>
      </c>
      <c r="I1262" s="51">
        <v>4103.8500000000004</v>
      </c>
      <c r="J1262" s="281">
        <f>++Tabla4[[#This Row],[Precio Bruto]]*1.16</f>
        <v>4760.4660000000003</v>
      </c>
      <c r="K1262" s="281">
        <f>+Tabla4[[#This Row],[Precio Unitario Neto]]*Tabla4[[#Headers],[20.85%]]</f>
        <v>992.55716100000006</v>
      </c>
      <c r="L1262" s="282">
        <f>++Tabla4[[#This Row],[Precio Unitario Neto]]-Tabla4[[#This Row],[20.85%]]</f>
        <v>3767.9088390000002</v>
      </c>
      <c r="M1262" s="282" t="e">
        <f>(INDEX(Tabla6[#All],MATCH(Tabla4[[#This Row],[Producto]],Tabla6[[#All],[PRODUCTO]],0),MATCH(Tabla4[[#This Row],[Mes]],Tabla6[#Headers],0)))*(1+Catalogos!$L$2)</f>
        <v>#N/A</v>
      </c>
      <c r="N1262" s="283" t="e">
        <f>+(Tabla4[[#This Row],[Precio Descontado]]-Tabla4[[#This Row],[Precio Base]])*Tabla4[[#This Row],[Cantidad]]</f>
        <v>#N/A</v>
      </c>
      <c r="O1262" s="284" t="e">
        <f>++Tabla4[[#This Row],[Utilidad Total]]/Tabla4[[#This Row],[Total]]</f>
        <v>#N/A</v>
      </c>
      <c r="P1262" s="282">
        <f>++Tabla4[[#This Row],[Precio Descontado]]*Tabla4[[#This Row],[Cantidad]]</f>
        <v>7535.8176780000003</v>
      </c>
      <c r="Q1262" s="282" t="e">
        <f>(INDEX(Tabla6[#All],MATCH(Tabla4[[#This Row],[Producto]],Tabla6[[#All],[PRODUCTO]],0),MATCH(Tabla4[[#This Row],[Mes]],Tabla6[#Headers],0)))</f>
        <v>#N/A</v>
      </c>
      <c r="R1262" s="282" t="e">
        <f>++Tabla4[[#This Row],[Precio Unitario Neto]]-Tabla4[[#This Row],[20.85%]]-Tabla4[[#This Row],[Costo]]</f>
        <v>#N/A</v>
      </c>
      <c r="S1262" s="282" t="e">
        <f>++Tabla4[[#This Row],[U. Bruta Uni]]*Tabla4[[#This Row],[Cantidad]]</f>
        <v>#N/A</v>
      </c>
      <c r="T1262" s="369" t="str">
        <f>VLOOKUP(Tabla4[[#This Row],[Producto]],Tabla6[#All],14,FALSE)</f>
        <v>Termico Solar</v>
      </c>
      <c r="U1262" s="284" t="e">
        <f>(IF(Tabla4[[#This Row],[Familia]]="termico solar",Tabla4[[#This Row],[Utilidad Total]]*6%,Tabla4[[#This Row],[Utilidad Total]]*11.5%))/Tabla4[[#This Row],[Total]]</f>
        <v>#N/A</v>
      </c>
      <c r="V1262" s="282" t="e">
        <f>+Tabla4[[#This Row],[Comisión Calculada]]*Tabla4[[#This Row],[Total]]</f>
        <v>#N/A</v>
      </c>
    </row>
    <row r="1263" spans="1:22" hidden="1" x14ac:dyDescent="0.25">
      <c r="A1263" s="100">
        <v>45731</v>
      </c>
      <c r="B1263" t="str">
        <f t="shared" si="54"/>
        <v>March</v>
      </c>
      <c r="C1263" s="46" t="s">
        <v>280</v>
      </c>
      <c r="F1263" s="366" t="s">
        <v>1226</v>
      </c>
      <c r="G1263" s="46" t="s">
        <v>17</v>
      </c>
      <c r="H1263" s="46">
        <v>1</v>
      </c>
      <c r="I1263" s="51">
        <v>4622.28</v>
      </c>
      <c r="J1263" s="281">
        <f>++Tabla4[[#This Row],[Precio Bruto]]*1.16</f>
        <v>5361.8447999999989</v>
      </c>
      <c r="K1263" s="281">
        <f>+Tabla4[[#This Row],[Precio Unitario Neto]]*Tabla4[[#Headers],[20.85%]]</f>
        <v>1117.9446407999997</v>
      </c>
      <c r="L1263" s="282">
        <f>++Tabla4[[#This Row],[Precio Unitario Neto]]-Tabla4[[#This Row],[20.85%]]</f>
        <v>4243.9001591999995</v>
      </c>
      <c r="M1263" s="282" t="e">
        <f>(INDEX(Tabla6[#All],MATCH(Tabla4[[#This Row],[Producto]],Tabla6[[#All],[PRODUCTO]],0),MATCH(Tabla4[[#This Row],[Mes]],Tabla6[#Headers],0)))*(1+Catalogos!$L$2)</f>
        <v>#N/A</v>
      </c>
      <c r="N1263" s="283" t="e">
        <f>+(Tabla4[[#This Row],[Precio Descontado]]-Tabla4[[#This Row],[Precio Base]])*Tabla4[[#This Row],[Cantidad]]</f>
        <v>#N/A</v>
      </c>
      <c r="O1263" s="284" t="e">
        <f>++Tabla4[[#This Row],[Utilidad Total]]/Tabla4[[#This Row],[Total]]</f>
        <v>#N/A</v>
      </c>
      <c r="P1263" s="282">
        <f>++Tabla4[[#This Row],[Precio Descontado]]*Tabla4[[#This Row],[Cantidad]]</f>
        <v>4243.9001591999995</v>
      </c>
      <c r="Q1263" s="282" t="e">
        <f>(INDEX(Tabla6[#All],MATCH(Tabla4[[#This Row],[Producto]],Tabla6[[#All],[PRODUCTO]],0),MATCH(Tabla4[[#This Row],[Mes]],Tabla6[#Headers],0)))</f>
        <v>#N/A</v>
      </c>
      <c r="R1263" s="282" t="e">
        <f>++Tabla4[[#This Row],[Precio Unitario Neto]]-Tabla4[[#This Row],[20.85%]]-Tabla4[[#This Row],[Costo]]</f>
        <v>#N/A</v>
      </c>
      <c r="S1263" s="282" t="e">
        <f>++Tabla4[[#This Row],[U. Bruta Uni]]*Tabla4[[#This Row],[Cantidad]]</f>
        <v>#N/A</v>
      </c>
      <c r="T1263" s="369" t="str">
        <f>VLOOKUP(Tabla4[[#This Row],[Producto]],Tabla6[#All],14,FALSE)</f>
        <v>Termico Solar</v>
      </c>
      <c r="U1263" s="284" t="e">
        <f>(IF(Tabla4[[#This Row],[Familia]]="termico solar",Tabla4[[#This Row],[Utilidad Total]]*6%,Tabla4[[#This Row],[Utilidad Total]]*11.5%))/Tabla4[[#This Row],[Total]]</f>
        <v>#N/A</v>
      </c>
      <c r="V1263" s="282" t="e">
        <f>+Tabla4[[#This Row],[Comisión Calculada]]*Tabla4[[#This Row],[Total]]</f>
        <v>#N/A</v>
      </c>
    </row>
    <row r="1264" spans="1:22" hidden="1" x14ac:dyDescent="0.25">
      <c r="A1264" s="100">
        <v>45731</v>
      </c>
      <c r="B1264" t="str">
        <f t="shared" si="54"/>
        <v>March</v>
      </c>
      <c r="C1264" s="46" t="s">
        <v>280</v>
      </c>
      <c r="F1264" s="366" t="s">
        <v>1226</v>
      </c>
      <c r="G1264" s="46" t="s">
        <v>18</v>
      </c>
      <c r="H1264" s="46">
        <v>2</v>
      </c>
      <c r="I1264" s="51">
        <v>5367.65</v>
      </c>
      <c r="J1264" s="281">
        <f>++Tabla4[[#This Row],[Precio Bruto]]*1.16</f>
        <v>6226.4739999999993</v>
      </c>
      <c r="K1264" s="281">
        <f>+Tabla4[[#This Row],[Precio Unitario Neto]]*Tabla4[[#Headers],[20.85%]]</f>
        <v>1298.2198289999999</v>
      </c>
      <c r="L1264" s="282">
        <f>++Tabla4[[#This Row],[Precio Unitario Neto]]-Tabla4[[#This Row],[20.85%]]</f>
        <v>4928.2541709999996</v>
      </c>
      <c r="M1264" s="282" t="e">
        <f>(INDEX(Tabla6[#All],MATCH(Tabla4[[#This Row],[Producto]],Tabla6[[#All],[PRODUCTO]],0),MATCH(Tabla4[[#This Row],[Mes]],Tabla6[#Headers],0)))*(1+Catalogos!$L$2)</f>
        <v>#N/A</v>
      </c>
      <c r="N1264" s="283" t="e">
        <f>+(Tabla4[[#This Row],[Precio Descontado]]-Tabla4[[#This Row],[Precio Base]])*Tabla4[[#This Row],[Cantidad]]</f>
        <v>#N/A</v>
      </c>
      <c r="O1264" s="284" t="e">
        <f>++Tabla4[[#This Row],[Utilidad Total]]/Tabla4[[#This Row],[Total]]</f>
        <v>#N/A</v>
      </c>
      <c r="P1264" s="282">
        <f>++Tabla4[[#This Row],[Precio Descontado]]*Tabla4[[#This Row],[Cantidad]]</f>
        <v>9856.5083419999992</v>
      </c>
      <c r="Q1264" s="282" t="e">
        <f>(INDEX(Tabla6[#All],MATCH(Tabla4[[#This Row],[Producto]],Tabla6[[#All],[PRODUCTO]],0),MATCH(Tabla4[[#This Row],[Mes]],Tabla6[#Headers],0)))</f>
        <v>#N/A</v>
      </c>
      <c r="R1264" s="282" t="e">
        <f>++Tabla4[[#This Row],[Precio Unitario Neto]]-Tabla4[[#This Row],[20.85%]]-Tabla4[[#This Row],[Costo]]</f>
        <v>#N/A</v>
      </c>
      <c r="S1264" s="282" t="e">
        <f>++Tabla4[[#This Row],[U. Bruta Uni]]*Tabla4[[#This Row],[Cantidad]]</f>
        <v>#N/A</v>
      </c>
      <c r="T1264" s="369" t="str">
        <f>VLOOKUP(Tabla4[[#This Row],[Producto]],Tabla6[#All],14,FALSE)</f>
        <v>Termico Solar</v>
      </c>
      <c r="U1264" s="284" t="e">
        <f>(IF(Tabla4[[#This Row],[Familia]]="termico solar",Tabla4[[#This Row],[Utilidad Total]]*6%,Tabla4[[#This Row],[Utilidad Total]]*11.5%))/Tabla4[[#This Row],[Total]]</f>
        <v>#N/A</v>
      </c>
      <c r="V1264" s="282" t="e">
        <f>+Tabla4[[#This Row],[Comisión Calculada]]*Tabla4[[#This Row],[Total]]</f>
        <v>#N/A</v>
      </c>
    </row>
    <row r="1265" spans="1:22" hidden="1" x14ac:dyDescent="0.25">
      <c r="A1265" s="100">
        <v>45731</v>
      </c>
      <c r="B1265" t="str">
        <f t="shared" si="54"/>
        <v>March</v>
      </c>
      <c r="C1265" s="46" t="s">
        <v>280</v>
      </c>
      <c r="F1265" s="366" t="s">
        <v>1227</v>
      </c>
      <c r="G1265" s="46" t="s">
        <v>17</v>
      </c>
      <c r="H1265" s="46">
        <v>3</v>
      </c>
      <c r="I1265" s="51">
        <v>4622.28</v>
      </c>
      <c r="J1265" s="281">
        <f>++Tabla4[[#This Row],[Precio Bruto]]*1.16</f>
        <v>5361.8447999999989</v>
      </c>
      <c r="K1265" s="281">
        <f>+Tabla4[[#This Row],[Precio Unitario Neto]]*Tabla4[[#Headers],[20.85%]]</f>
        <v>1117.9446407999997</v>
      </c>
      <c r="L1265" s="282">
        <f>++Tabla4[[#This Row],[Precio Unitario Neto]]-Tabla4[[#This Row],[20.85%]]</f>
        <v>4243.9001591999995</v>
      </c>
      <c r="M1265" s="282" t="e">
        <f>(INDEX(Tabla6[#All],MATCH(Tabla4[[#This Row],[Producto]],Tabla6[[#All],[PRODUCTO]],0),MATCH(Tabla4[[#This Row],[Mes]],Tabla6[#Headers],0)))*(1+Catalogos!$L$2)</f>
        <v>#N/A</v>
      </c>
      <c r="N1265" s="283" t="e">
        <f>+(Tabla4[[#This Row],[Precio Descontado]]-Tabla4[[#This Row],[Precio Base]])*Tabla4[[#This Row],[Cantidad]]</f>
        <v>#N/A</v>
      </c>
      <c r="O1265" s="284" t="e">
        <f>++Tabla4[[#This Row],[Utilidad Total]]/Tabla4[[#This Row],[Total]]</f>
        <v>#N/A</v>
      </c>
      <c r="P1265" s="282">
        <f>++Tabla4[[#This Row],[Precio Descontado]]*Tabla4[[#This Row],[Cantidad]]</f>
        <v>12731.700477599999</v>
      </c>
      <c r="Q1265" s="282" t="e">
        <f>(INDEX(Tabla6[#All],MATCH(Tabla4[[#This Row],[Producto]],Tabla6[[#All],[PRODUCTO]],0),MATCH(Tabla4[[#This Row],[Mes]],Tabla6[#Headers],0)))</f>
        <v>#N/A</v>
      </c>
      <c r="R1265" s="282" t="e">
        <f>++Tabla4[[#This Row],[Precio Unitario Neto]]-Tabla4[[#This Row],[20.85%]]-Tabla4[[#This Row],[Costo]]</f>
        <v>#N/A</v>
      </c>
      <c r="S1265" s="282" t="e">
        <f>++Tabla4[[#This Row],[U. Bruta Uni]]*Tabla4[[#This Row],[Cantidad]]</f>
        <v>#N/A</v>
      </c>
      <c r="T1265" s="369" t="str">
        <f>VLOOKUP(Tabla4[[#This Row],[Producto]],Tabla6[#All],14,FALSE)</f>
        <v>Termico Solar</v>
      </c>
      <c r="U1265" s="284" t="e">
        <f>(IF(Tabla4[[#This Row],[Familia]]="termico solar",Tabla4[[#This Row],[Utilidad Total]]*6%,Tabla4[[#This Row],[Utilidad Total]]*11.5%))/Tabla4[[#This Row],[Total]]</f>
        <v>#N/A</v>
      </c>
      <c r="V1265" s="282" t="e">
        <f>+Tabla4[[#This Row],[Comisión Calculada]]*Tabla4[[#This Row],[Total]]</f>
        <v>#N/A</v>
      </c>
    </row>
    <row r="1266" spans="1:22" hidden="1" x14ac:dyDescent="0.25">
      <c r="A1266" s="100">
        <v>45731</v>
      </c>
      <c r="B1266" t="str">
        <f t="shared" si="54"/>
        <v>March</v>
      </c>
      <c r="C1266" s="46" t="s">
        <v>280</v>
      </c>
      <c r="F1266" s="366" t="s">
        <v>1227</v>
      </c>
      <c r="G1266" s="46" t="s">
        <v>18</v>
      </c>
      <c r="H1266" s="46">
        <v>2</v>
      </c>
      <c r="I1266" s="51">
        <v>5367.65</v>
      </c>
      <c r="J1266" s="281">
        <f>++Tabla4[[#This Row],[Precio Bruto]]*1.16</f>
        <v>6226.4739999999993</v>
      </c>
      <c r="K1266" s="281">
        <f>+Tabla4[[#This Row],[Precio Unitario Neto]]*Tabla4[[#Headers],[20.85%]]</f>
        <v>1298.2198289999999</v>
      </c>
      <c r="L1266" s="282">
        <f>++Tabla4[[#This Row],[Precio Unitario Neto]]-Tabla4[[#This Row],[20.85%]]</f>
        <v>4928.2541709999996</v>
      </c>
      <c r="M1266" s="282" t="e">
        <f>(INDEX(Tabla6[#All],MATCH(Tabla4[[#This Row],[Producto]],Tabla6[[#All],[PRODUCTO]],0),MATCH(Tabla4[[#This Row],[Mes]],Tabla6[#Headers],0)))*(1+Catalogos!$L$2)</f>
        <v>#N/A</v>
      </c>
      <c r="N1266" s="283" t="e">
        <f>+(Tabla4[[#This Row],[Precio Descontado]]-Tabla4[[#This Row],[Precio Base]])*Tabla4[[#This Row],[Cantidad]]</f>
        <v>#N/A</v>
      </c>
      <c r="O1266" s="284" t="e">
        <f>++Tabla4[[#This Row],[Utilidad Total]]/Tabla4[[#This Row],[Total]]</f>
        <v>#N/A</v>
      </c>
      <c r="P1266" s="282">
        <f>++Tabla4[[#This Row],[Precio Descontado]]*Tabla4[[#This Row],[Cantidad]]</f>
        <v>9856.5083419999992</v>
      </c>
      <c r="Q1266" s="282" t="e">
        <f>(INDEX(Tabla6[#All],MATCH(Tabla4[[#This Row],[Producto]],Tabla6[[#All],[PRODUCTO]],0),MATCH(Tabla4[[#This Row],[Mes]],Tabla6[#Headers],0)))</f>
        <v>#N/A</v>
      </c>
      <c r="R1266" s="282" t="e">
        <f>++Tabla4[[#This Row],[Precio Unitario Neto]]-Tabla4[[#This Row],[20.85%]]-Tabla4[[#This Row],[Costo]]</f>
        <v>#N/A</v>
      </c>
      <c r="S1266" s="282" t="e">
        <f>++Tabla4[[#This Row],[U. Bruta Uni]]*Tabla4[[#This Row],[Cantidad]]</f>
        <v>#N/A</v>
      </c>
      <c r="T1266" s="369" t="str">
        <f>VLOOKUP(Tabla4[[#This Row],[Producto]],Tabla6[#All],14,FALSE)</f>
        <v>Termico Solar</v>
      </c>
      <c r="U1266" s="284" t="e">
        <f>(IF(Tabla4[[#This Row],[Familia]]="termico solar",Tabla4[[#This Row],[Utilidad Total]]*6%,Tabla4[[#This Row],[Utilidad Total]]*11.5%))/Tabla4[[#This Row],[Total]]</f>
        <v>#N/A</v>
      </c>
      <c r="V1266" s="282" t="e">
        <f>+Tabla4[[#This Row],[Comisión Calculada]]*Tabla4[[#This Row],[Total]]</f>
        <v>#N/A</v>
      </c>
    </row>
    <row r="1267" spans="1:22" hidden="1" x14ac:dyDescent="0.25">
      <c r="A1267" s="100">
        <v>45731</v>
      </c>
      <c r="B1267" t="str">
        <f t="shared" si="54"/>
        <v>March</v>
      </c>
      <c r="C1267" s="46" t="s">
        <v>280</v>
      </c>
      <c r="F1267" s="366" t="s">
        <v>1227</v>
      </c>
      <c r="G1267" s="46" t="s">
        <v>16</v>
      </c>
      <c r="H1267" s="46">
        <v>1</v>
      </c>
      <c r="I1267" s="51">
        <v>4103.8500000000004</v>
      </c>
      <c r="J1267" s="281">
        <f>++Tabla4[[#This Row],[Precio Bruto]]*1.16</f>
        <v>4760.4660000000003</v>
      </c>
      <c r="K1267" s="281">
        <f>+Tabla4[[#This Row],[Precio Unitario Neto]]*Tabla4[[#Headers],[20.85%]]</f>
        <v>992.55716100000006</v>
      </c>
      <c r="L1267" s="282">
        <f>++Tabla4[[#This Row],[Precio Unitario Neto]]-Tabla4[[#This Row],[20.85%]]</f>
        <v>3767.9088390000002</v>
      </c>
      <c r="M1267" s="282" t="e">
        <f>(INDEX(Tabla6[#All],MATCH(Tabla4[[#This Row],[Producto]],Tabla6[[#All],[PRODUCTO]],0),MATCH(Tabla4[[#This Row],[Mes]],Tabla6[#Headers],0)))*(1+Catalogos!$L$2)</f>
        <v>#N/A</v>
      </c>
      <c r="N1267" s="283" t="e">
        <f>+(Tabla4[[#This Row],[Precio Descontado]]-Tabla4[[#This Row],[Precio Base]])*Tabla4[[#This Row],[Cantidad]]</f>
        <v>#N/A</v>
      </c>
      <c r="O1267" s="284" t="e">
        <f>++Tabla4[[#This Row],[Utilidad Total]]/Tabla4[[#This Row],[Total]]</f>
        <v>#N/A</v>
      </c>
      <c r="P1267" s="282">
        <f>++Tabla4[[#This Row],[Precio Descontado]]*Tabla4[[#This Row],[Cantidad]]</f>
        <v>3767.9088390000002</v>
      </c>
      <c r="Q1267" s="282" t="e">
        <f>(INDEX(Tabla6[#All],MATCH(Tabla4[[#This Row],[Producto]],Tabla6[[#All],[PRODUCTO]],0),MATCH(Tabla4[[#This Row],[Mes]],Tabla6[#Headers],0)))</f>
        <v>#N/A</v>
      </c>
      <c r="R1267" s="282" t="e">
        <f>++Tabla4[[#This Row],[Precio Unitario Neto]]-Tabla4[[#This Row],[20.85%]]-Tabla4[[#This Row],[Costo]]</f>
        <v>#N/A</v>
      </c>
      <c r="S1267" s="282" t="e">
        <f>++Tabla4[[#This Row],[U. Bruta Uni]]*Tabla4[[#This Row],[Cantidad]]</f>
        <v>#N/A</v>
      </c>
      <c r="T1267" s="369" t="str">
        <f>VLOOKUP(Tabla4[[#This Row],[Producto]],Tabla6[#All],14,FALSE)</f>
        <v>Termico Solar</v>
      </c>
      <c r="U1267" s="284" t="e">
        <f>(IF(Tabla4[[#This Row],[Familia]]="termico solar",Tabla4[[#This Row],[Utilidad Total]]*6%,Tabla4[[#This Row],[Utilidad Total]]*11.5%))/Tabla4[[#This Row],[Total]]</f>
        <v>#N/A</v>
      </c>
      <c r="V1267" s="282" t="e">
        <f>+Tabla4[[#This Row],[Comisión Calculada]]*Tabla4[[#This Row],[Total]]</f>
        <v>#N/A</v>
      </c>
    </row>
    <row r="1268" spans="1:22" hidden="1" x14ac:dyDescent="0.25">
      <c r="A1268" s="100">
        <v>45731</v>
      </c>
      <c r="B1268" t="str">
        <f t="shared" si="54"/>
        <v>March</v>
      </c>
      <c r="C1268" s="46" t="s">
        <v>280</v>
      </c>
      <c r="F1268" s="366" t="s">
        <v>1228</v>
      </c>
      <c r="G1268" s="46" t="s">
        <v>200</v>
      </c>
      <c r="H1268" s="46">
        <v>12</v>
      </c>
      <c r="I1268" s="51">
        <v>393.22</v>
      </c>
      <c r="J1268" s="281">
        <f>++Tabla4[[#This Row],[Precio Bruto]]*1.16</f>
        <v>456.1352</v>
      </c>
      <c r="K1268" s="281">
        <f>+Tabla4[[#This Row],[Precio Unitario Neto]]*Tabla4[[#Headers],[20.85%]]</f>
        <v>95.104189199999993</v>
      </c>
      <c r="L1268" s="282">
        <f>++Tabla4[[#This Row],[Precio Unitario Neto]]-Tabla4[[#This Row],[20.85%]]</f>
        <v>361.03101079999999</v>
      </c>
      <c r="M1268" s="282" t="e">
        <f>(INDEX(Tabla6[#All],MATCH(Tabla4[[#This Row],[Producto]],Tabla6[[#All],[PRODUCTO]],0),MATCH(Tabla4[[#This Row],[Mes]],Tabla6[#Headers],0)))*(1+Catalogos!$L$2)</f>
        <v>#N/A</v>
      </c>
      <c r="N1268" s="283" t="e">
        <f>+(Tabla4[[#This Row],[Precio Descontado]]-Tabla4[[#This Row],[Precio Base]])*Tabla4[[#This Row],[Cantidad]]</f>
        <v>#N/A</v>
      </c>
      <c r="O1268" s="284" t="e">
        <f>++Tabla4[[#This Row],[Utilidad Total]]/Tabla4[[#This Row],[Total]]</f>
        <v>#N/A</v>
      </c>
      <c r="P1268" s="282">
        <f>++Tabla4[[#This Row],[Precio Descontado]]*Tabla4[[#This Row],[Cantidad]]</f>
        <v>4332.3721296000003</v>
      </c>
      <c r="Q1268" s="282" t="e">
        <f>(INDEX(Tabla6[#All],MATCH(Tabla4[[#This Row],[Producto]],Tabla6[[#All],[PRODUCTO]],0),MATCH(Tabla4[[#This Row],[Mes]],Tabla6[#Headers],0)))</f>
        <v>#N/A</v>
      </c>
      <c r="R1268" s="282" t="e">
        <f>++Tabla4[[#This Row],[Precio Unitario Neto]]-Tabla4[[#This Row],[20.85%]]-Tabla4[[#This Row],[Costo]]</f>
        <v>#N/A</v>
      </c>
      <c r="S1268" s="282" t="e">
        <f>++Tabla4[[#This Row],[U. Bruta Uni]]*Tabla4[[#This Row],[Cantidad]]</f>
        <v>#N/A</v>
      </c>
      <c r="T1268" s="369" t="str">
        <f>VLOOKUP(Tabla4[[#This Row],[Producto]],Tabla6[#All],14,FALSE)</f>
        <v>Termico Solar</v>
      </c>
      <c r="U1268" s="284" t="e">
        <f>(IF(Tabla4[[#This Row],[Familia]]="termico solar",Tabla4[[#This Row],[Utilidad Total]]*6%,Tabla4[[#This Row],[Utilidad Total]]*11.5%))/Tabla4[[#This Row],[Total]]</f>
        <v>#N/A</v>
      </c>
      <c r="V1268" s="282" t="e">
        <f>+Tabla4[[#This Row],[Comisión Calculada]]*Tabla4[[#This Row],[Total]]</f>
        <v>#N/A</v>
      </c>
    </row>
    <row r="1269" spans="1:22" hidden="1" x14ac:dyDescent="0.25">
      <c r="A1269" s="100">
        <v>45731</v>
      </c>
      <c r="B1269" t="str">
        <f t="shared" si="54"/>
        <v>March</v>
      </c>
      <c r="C1269" s="46" t="s">
        <v>280</v>
      </c>
      <c r="F1269" s="366" t="s">
        <v>1228</v>
      </c>
      <c r="G1269" s="46" t="s">
        <v>555</v>
      </c>
      <c r="H1269" s="46">
        <v>8</v>
      </c>
      <c r="I1269" s="51">
        <v>389.47</v>
      </c>
      <c r="J1269" s="281">
        <f>++Tabla4[[#This Row],[Precio Bruto]]*1.16</f>
        <v>451.78519999999997</v>
      </c>
      <c r="K1269" s="281">
        <f>+Tabla4[[#This Row],[Precio Unitario Neto]]*Tabla4[[#Headers],[20.85%]]</f>
        <v>94.197214199999991</v>
      </c>
      <c r="L1269" s="282">
        <f>++Tabla4[[#This Row],[Precio Unitario Neto]]-Tabla4[[#This Row],[20.85%]]</f>
        <v>357.58798579999996</v>
      </c>
      <c r="M1269" s="282" t="e">
        <f>(INDEX(Tabla6[#All],MATCH(Tabla4[[#This Row],[Producto]],Tabla6[[#All],[PRODUCTO]],0),MATCH(Tabla4[[#This Row],[Mes]],Tabla6[#Headers],0)))*(1+Catalogos!$L$2)</f>
        <v>#N/A</v>
      </c>
      <c r="N1269" s="283" t="e">
        <f>+(Tabla4[[#This Row],[Precio Descontado]]-Tabla4[[#This Row],[Precio Base]])*Tabla4[[#This Row],[Cantidad]]</f>
        <v>#N/A</v>
      </c>
      <c r="O1269" s="284" t="e">
        <f>++Tabla4[[#This Row],[Utilidad Total]]/Tabla4[[#This Row],[Total]]</f>
        <v>#N/A</v>
      </c>
      <c r="P1269" s="282">
        <f>++Tabla4[[#This Row],[Precio Descontado]]*Tabla4[[#This Row],[Cantidad]]</f>
        <v>2860.7038863999996</v>
      </c>
      <c r="Q1269" s="282" t="e">
        <f>(INDEX(Tabla6[#All],MATCH(Tabla4[[#This Row],[Producto]],Tabla6[[#All],[PRODUCTO]],0),MATCH(Tabla4[[#This Row],[Mes]],Tabla6[#Headers],0)))</f>
        <v>#N/A</v>
      </c>
      <c r="R1269" s="282" t="e">
        <f>++Tabla4[[#This Row],[Precio Unitario Neto]]-Tabla4[[#This Row],[20.85%]]-Tabla4[[#This Row],[Costo]]</f>
        <v>#N/A</v>
      </c>
      <c r="S1269" s="282" t="e">
        <f>++Tabla4[[#This Row],[U. Bruta Uni]]*Tabla4[[#This Row],[Cantidad]]</f>
        <v>#N/A</v>
      </c>
      <c r="T1269" s="369" t="str">
        <f>VLOOKUP(Tabla4[[#This Row],[Producto]],Tabla6[#All],14,FALSE)</f>
        <v>Termico Solar</v>
      </c>
      <c r="U1269" s="284" t="e">
        <f>(IF(Tabla4[[#This Row],[Familia]]="termico solar",Tabla4[[#This Row],[Utilidad Total]]*6%,Tabla4[[#This Row],[Utilidad Total]]*11.5%))/Tabla4[[#This Row],[Total]]</f>
        <v>#N/A</v>
      </c>
      <c r="V1269" s="282" t="e">
        <f>+Tabla4[[#This Row],[Comisión Calculada]]*Tabla4[[#This Row],[Total]]</f>
        <v>#N/A</v>
      </c>
    </row>
    <row r="1270" spans="1:22" hidden="1" x14ac:dyDescent="0.25">
      <c r="A1270" s="100">
        <v>45731</v>
      </c>
      <c r="B1270" t="str">
        <f t="shared" si="54"/>
        <v>March</v>
      </c>
      <c r="C1270" s="46" t="s">
        <v>280</v>
      </c>
      <c r="F1270" s="366" t="s">
        <v>1228</v>
      </c>
      <c r="G1270" s="46" t="s">
        <v>545</v>
      </c>
      <c r="H1270" s="46">
        <v>24</v>
      </c>
      <c r="I1270" s="51">
        <v>304.32</v>
      </c>
      <c r="J1270" s="281">
        <f>++Tabla4[[#This Row],[Precio Bruto]]*1.16</f>
        <v>353.01119999999997</v>
      </c>
      <c r="K1270" s="281">
        <f>+Tabla4[[#This Row],[Precio Unitario Neto]]*Tabla4[[#Headers],[20.85%]]</f>
        <v>73.602835199999987</v>
      </c>
      <c r="L1270" s="282">
        <f>++Tabla4[[#This Row],[Precio Unitario Neto]]-Tabla4[[#This Row],[20.85%]]</f>
        <v>279.40836479999996</v>
      </c>
      <c r="M1270" s="282" t="e">
        <f>(INDEX(Tabla6[#All],MATCH(Tabla4[[#This Row],[Producto]],Tabla6[[#All],[PRODUCTO]],0),MATCH(Tabla4[[#This Row],[Mes]],Tabla6[#Headers],0)))*(1+Catalogos!$L$2)</f>
        <v>#N/A</v>
      </c>
      <c r="N1270" s="283" t="e">
        <f>+(Tabla4[[#This Row],[Precio Descontado]]-Tabla4[[#This Row],[Precio Base]])*Tabla4[[#This Row],[Cantidad]]</f>
        <v>#N/A</v>
      </c>
      <c r="O1270" s="284" t="e">
        <f>++Tabla4[[#This Row],[Utilidad Total]]/Tabla4[[#This Row],[Total]]</f>
        <v>#N/A</v>
      </c>
      <c r="P1270" s="282">
        <f>++Tabla4[[#This Row],[Precio Descontado]]*Tabla4[[#This Row],[Cantidad]]</f>
        <v>6705.800755199999</v>
      </c>
      <c r="Q1270" s="282" t="e">
        <f>(INDEX(Tabla6[#All],MATCH(Tabla4[[#This Row],[Producto]],Tabla6[[#All],[PRODUCTO]],0),MATCH(Tabla4[[#This Row],[Mes]],Tabla6[#Headers],0)))</f>
        <v>#N/A</v>
      </c>
      <c r="R1270" s="282" t="e">
        <f>++Tabla4[[#This Row],[Precio Unitario Neto]]-Tabla4[[#This Row],[20.85%]]-Tabla4[[#This Row],[Costo]]</f>
        <v>#N/A</v>
      </c>
      <c r="S1270" s="282" t="e">
        <f>++Tabla4[[#This Row],[U. Bruta Uni]]*Tabla4[[#This Row],[Cantidad]]</f>
        <v>#N/A</v>
      </c>
      <c r="T1270" s="369" t="str">
        <f>VLOOKUP(Tabla4[[#This Row],[Producto]],Tabla6[#All],14,FALSE)</f>
        <v>Termico Solar</v>
      </c>
      <c r="U1270" s="284" t="e">
        <f>(IF(Tabla4[[#This Row],[Familia]]="termico solar",Tabla4[[#This Row],[Utilidad Total]]*6%,Tabla4[[#This Row],[Utilidad Total]]*11.5%))/Tabla4[[#This Row],[Total]]</f>
        <v>#N/A</v>
      </c>
      <c r="V1270" s="282" t="e">
        <f>+Tabla4[[#This Row],[Comisión Calculada]]*Tabla4[[#This Row],[Total]]</f>
        <v>#N/A</v>
      </c>
    </row>
    <row r="1271" spans="1:22" hidden="1" x14ac:dyDescent="0.25">
      <c r="A1271" s="100">
        <v>45731</v>
      </c>
      <c r="B1271" t="str">
        <f t="shared" si="54"/>
        <v>March</v>
      </c>
      <c r="C1271" s="46" t="s">
        <v>280</v>
      </c>
      <c r="F1271" s="366" t="s">
        <v>1228</v>
      </c>
      <c r="G1271" s="46" t="s">
        <v>208</v>
      </c>
      <c r="H1271" s="46">
        <v>10</v>
      </c>
      <c r="I1271" s="51">
        <v>189.75</v>
      </c>
      <c r="J1271" s="281">
        <f>++Tabla4[[#This Row],[Precio Bruto]]*1.16</f>
        <v>220.10999999999999</v>
      </c>
      <c r="K1271" s="281">
        <f>+Tabla4[[#This Row],[Precio Unitario Neto]]*Tabla4[[#Headers],[20.85%]]</f>
        <v>45.892934999999994</v>
      </c>
      <c r="L1271" s="282">
        <f>++Tabla4[[#This Row],[Precio Unitario Neto]]-Tabla4[[#This Row],[20.85%]]</f>
        <v>174.21706499999999</v>
      </c>
      <c r="M1271" s="282" t="e">
        <f>(INDEX(Tabla6[#All],MATCH(Tabla4[[#This Row],[Producto]],Tabla6[[#All],[PRODUCTO]],0),MATCH(Tabla4[[#This Row],[Mes]],Tabla6[#Headers],0)))*(1+Catalogos!$L$2)</f>
        <v>#N/A</v>
      </c>
      <c r="N1271" s="283" t="e">
        <f>+(Tabla4[[#This Row],[Precio Descontado]]-Tabla4[[#This Row],[Precio Base]])*Tabla4[[#This Row],[Cantidad]]</f>
        <v>#N/A</v>
      </c>
      <c r="O1271" s="284" t="e">
        <f>++Tabla4[[#This Row],[Utilidad Total]]/Tabla4[[#This Row],[Total]]</f>
        <v>#N/A</v>
      </c>
      <c r="P1271" s="282">
        <f>++Tabla4[[#This Row],[Precio Descontado]]*Tabla4[[#This Row],[Cantidad]]</f>
        <v>1742.17065</v>
      </c>
      <c r="Q1271" s="282" t="e">
        <f>(INDEX(Tabla6[#All],MATCH(Tabla4[[#This Row],[Producto]],Tabla6[[#All],[PRODUCTO]],0),MATCH(Tabla4[[#This Row],[Mes]],Tabla6[#Headers],0)))</f>
        <v>#N/A</v>
      </c>
      <c r="R1271" s="282" t="e">
        <f>++Tabla4[[#This Row],[Precio Unitario Neto]]-Tabla4[[#This Row],[20.85%]]-Tabla4[[#This Row],[Costo]]</f>
        <v>#N/A</v>
      </c>
      <c r="S1271" s="282" t="e">
        <f>++Tabla4[[#This Row],[U. Bruta Uni]]*Tabla4[[#This Row],[Cantidad]]</f>
        <v>#N/A</v>
      </c>
      <c r="T1271" s="369" t="str">
        <f>VLOOKUP(Tabla4[[#This Row],[Producto]],Tabla6[#All],14,FALSE)</f>
        <v>Termico Solar</v>
      </c>
      <c r="U1271" s="284" t="e">
        <f>(IF(Tabla4[[#This Row],[Familia]]="termico solar",Tabla4[[#This Row],[Utilidad Total]]*6%,Tabla4[[#This Row],[Utilidad Total]]*11.5%))/Tabla4[[#This Row],[Total]]</f>
        <v>#N/A</v>
      </c>
      <c r="V1271" s="282" t="e">
        <f>+Tabla4[[#This Row],[Comisión Calculada]]*Tabla4[[#This Row],[Total]]</f>
        <v>#N/A</v>
      </c>
    </row>
    <row r="1272" spans="1:22" hidden="1" x14ac:dyDescent="0.25">
      <c r="A1272" s="100">
        <v>45731</v>
      </c>
      <c r="B1272" t="str">
        <f t="shared" si="54"/>
        <v>March</v>
      </c>
      <c r="C1272" s="46" t="s">
        <v>280</v>
      </c>
      <c r="F1272" s="366" t="s">
        <v>1228</v>
      </c>
      <c r="G1272" s="46" t="s">
        <v>209</v>
      </c>
      <c r="H1272" s="46">
        <v>10</v>
      </c>
      <c r="I1272" s="51">
        <v>347.48</v>
      </c>
      <c r="J1272" s="281">
        <f>++Tabla4[[#This Row],[Precio Bruto]]*1.16</f>
        <v>403.07679999999999</v>
      </c>
      <c r="K1272" s="281">
        <f>+Tabla4[[#This Row],[Precio Unitario Neto]]*Tabla4[[#Headers],[20.85%]]</f>
        <v>84.041512799999992</v>
      </c>
      <c r="L1272" s="282">
        <f>++Tabla4[[#This Row],[Precio Unitario Neto]]-Tabla4[[#This Row],[20.85%]]</f>
        <v>319.03528719999997</v>
      </c>
      <c r="M1272" s="282" t="e">
        <f>(INDEX(Tabla6[#All],MATCH(Tabla4[[#This Row],[Producto]],Tabla6[[#All],[PRODUCTO]],0),MATCH(Tabla4[[#This Row],[Mes]],Tabla6[#Headers],0)))*(1+Catalogos!$L$2)</f>
        <v>#N/A</v>
      </c>
      <c r="N1272" s="283" t="e">
        <f>+(Tabla4[[#This Row],[Precio Descontado]]-Tabla4[[#This Row],[Precio Base]])*Tabla4[[#This Row],[Cantidad]]</f>
        <v>#N/A</v>
      </c>
      <c r="O1272" s="284" t="e">
        <f>++Tabla4[[#This Row],[Utilidad Total]]/Tabla4[[#This Row],[Total]]</f>
        <v>#N/A</v>
      </c>
      <c r="P1272" s="282">
        <f>++Tabla4[[#This Row],[Precio Descontado]]*Tabla4[[#This Row],[Cantidad]]</f>
        <v>3190.3528719999995</v>
      </c>
      <c r="Q1272" s="282" t="e">
        <f>(INDEX(Tabla6[#All],MATCH(Tabla4[[#This Row],[Producto]],Tabla6[[#All],[PRODUCTO]],0),MATCH(Tabla4[[#This Row],[Mes]],Tabla6[#Headers],0)))</f>
        <v>#N/A</v>
      </c>
      <c r="R1272" s="282" t="e">
        <f>++Tabla4[[#This Row],[Precio Unitario Neto]]-Tabla4[[#This Row],[20.85%]]-Tabla4[[#This Row],[Costo]]</f>
        <v>#N/A</v>
      </c>
      <c r="S1272" s="282" t="e">
        <f>++Tabla4[[#This Row],[U. Bruta Uni]]*Tabla4[[#This Row],[Cantidad]]</f>
        <v>#N/A</v>
      </c>
      <c r="T1272" s="369" t="str">
        <f>VLOOKUP(Tabla4[[#This Row],[Producto]],Tabla6[#All],14,FALSE)</f>
        <v>Termico Solar</v>
      </c>
      <c r="U1272" s="284" t="e">
        <f>(IF(Tabla4[[#This Row],[Familia]]="termico solar",Tabla4[[#This Row],[Utilidad Total]]*6%,Tabla4[[#This Row],[Utilidad Total]]*11.5%))/Tabla4[[#This Row],[Total]]</f>
        <v>#N/A</v>
      </c>
      <c r="V1272" s="282" t="e">
        <f>+Tabla4[[#This Row],[Comisión Calculada]]*Tabla4[[#This Row],[Total]]</f>
        <v>#N/A</v>
      </c>
    </row>
    <row r="1273" spans="1:22" hidden="1" x14ac:dyDescent="0.25">
      <c r="A1273" s="100">
        <v>45731</v>
      </c>
      <c r="B1273" t="str">
        <f t="shared" si="54"/>
        <v>March</v>
      </c>
      <c r="C1273" s="46" t="s">
        <v>280</v>
      </c>
      <c r="F1273" s="366" t="s">
        <v>1229</v>
      </c>
      <c r="G1273" s="46" t="s">
        <v>394</v>
      </c>
      <c r="H1273" s="46">
        <v>16</v>
      </c>
      <c r="I1273" s="51">
        <v>224.29</v>
      </c>
      <c r="J1273" s="281">
        <f>++Tabla4[[#This Row],[Precio Bruto]]*1.16</f>
        <v>260.1764</v>
      </c>
      <c r="K1273" s="281">
        <f>+Tabla4[[#This Row],[Precio Unitario Neto]]*Tabla4[[#Headers],[20.85%]]</f>
        <v>54.246779400000001</v>
      </c>
      <c r="L1273" s="282">
        <f>++Tabla4[[#This Row],[Precio Unitario Neto]]-Tabla4[[#This Row],[20.85%]]</f>
        <v>205.92962059999999</v>
      </c>
      <c r="M1273" s="282" t="e">
        <f>(INDEX(Tabla6[#All],MATCH(Tabla4[[#This Row],[Producto]],Tabla6[[#All],[PRODUCTO]],0),MATCH(Tabla4[[#This Row],[Mes]],Tabla6[#Headers],0)))*(1+Catalogos!$L$2)</f>
        <v>#N/A</v>
      </c>
      <c r="N1273" s="283" t="e">
        <f>+(Tabla4[[#This Row],[Precio Descontado]]-Tabla4[[#This Row],[Precio Base]])*Tabla4[[#This Row],[Cantidad]]</f>
        <v>#N/A</v>
      </c>
      <c r="O1273" s="284" t="e">
        <f>++Tabla4[[#This Row],[Utilidad Total]]/Tabla4[[#This Row],[Total]]</f>
        <v>#N/A</v>
      </c>
      <c r="P1273" s="282">
        <f>++Tabla4[[#This Row],[Precio Descontado]]*Tabla4[[#This Row],[Cantidad]]</f>
        <v>3294.8739295999999</v>
      </c>
      <c r="Q1273" s="282" t="e">
        <f>(INDEX(Tabla6[#All],MATCH(Tabla4[[#This Row],[Producto]],Tabla6[[#All],[PRODUCTO]],0),MATCH(Tabla4[[#This Row],[Mes]],Tabla6[#Headers],0)))</f>
        <v>#N/A</v>
      </c>
      <c r="R1273" s="282" t="e">
        <f>++Tabla4[[#This Row],[Precio Unitario Neto]]-Tabla4[[#This Row],[20.85%]]-Tabla4[[#This Row],[Costo]]</f>
        <v>#N/A</v>
      </c>
      <c r="S1273" s="282" t="e">
        <f>++Tabla4[[#This Row],[U. Bruta Uni]]*Tabla4[[#This Row],[Cantidad]]</f>
        <v>#N/A</v>
      </c>
      <c r="T1273" s="369" t="str">
        <f>VLOOKUP(Tabla4[[#This Row],[Producto]],Tabla6[#All],14,FALSE)</f>
        <v>Termico Solar</v>
      </c>
      <c r="U1273" s="284" t="e">
        <f>(IF(Tabla4[[#This Row],[Familia]]="termico solar",Tabla4[[#This Row],[Utilidad Total]]*6%,Tabla4[[#This Row],[Utilidad Total]]*11.5%))/Tabla4[[#This Row],[Total]]</f>
        <v>#N/A</v>
      </c>
      <c r="V1273" s="282" t="e">
        <f>+Tabla4[[#This Row],[Comisión Calculada]]*Tabla4[[#This Row],[Total]]</f>
        <v>#N/A</v>
      </c>
    </row>
    <row r="1274" spans="1:22" hidden="1" x14ac:dyDescent="0.25">
      <c r="A1274" s="100">
        <v>45731</v>
      </c>
      <c r="B1274" t="str">
        <f t="shared" si="54"/>
        <v>March</v>
      </c>
      <c r="C1274" s="46" t="s">
        <v>280</v>
      </c>
      <c r="F1274" s="366" t="s">
        <v>1229</v>
      </c>
      <c r="G1274" s="46" t="s">
        <v>555</v>
      </c>
      <c r="H1274" s="46">
        <v>8</v>
      </c>
      <c r="I1274" s="51">
        <v>389.47</v>
      </c>
      <c r="J1274" s="281">
        <f>++Tabla4[[#This Row],[Precio Bruto]]*1.16</f>
        <v>451.78519999999997</v>
      </c>
      <c r="K1274" s="281">
        <f>+Tabla4[[#This Row],[Precio Unitario Neto]]*Tabla4[[#Headers],[20.85%]]</f>
        <v>94.197214199999991</v>
      </c>
      <c r="L1274" s="282">
        <f>++Tabla4[[#This Row],[Precio Unitario Neto]]-Tabla4[[#This Row],[20.85%]]</f>
        <v>357.58798579999996</v>
      </c>
      <c r="M1274" s="282" t="e">
        <f>(INDEX(Tabla6[#All],MATCH(Tabla4[[#This Row],[Producto]],Tabla6[[#All],[PRODUCTO]],0),MATCH(Tabla4[[#This Row],[Mes]],Tabla6[#Headers],0)))*(1+Catalogos!$L$2)</f>
        <v>#N/A</v>
      </c>
      <c r="N1274" s="283" t="e">
        <f>+(Tabla4[[#This Row],[Precio Descontado]]-Tabla4[[#This Row],[Precio Base]])*Tabla4[[#This Row],[Cantidad]]</f>
        <v>#N/A</v>
      </c>
      <c r="O1274" s="284" t="e">
        <f>++Tabla4[[#This Row],[Utilidad Total]]/Tabla4[[#This Row],[Total]]</f>
        <v>#N/A</v>
      </c>
      <c r="P1274" s="282">
        <f>++Tabla4[[#This Row],[Precio Descontado]]*Tabla4[[#This Row],[Cantidad]]</f>
        <v>2860.7038863999996</v>
      </c>
      <c r="Q1274" s="282" t="e">
        <f>(INDEX(Tabla6[#All],MATCH(Tabla4[[#This Row],[Producto]],Tabla6[[#All],[PRODUCTO]],0),MATCH(Tabla4[[#This Row],[Mes]],Tabla6[#Headers],0)))</f>
        <v>#N/A</v>
      </c>
      <c r="R1274" s="282" t="e">
        <f>++Tabla4[[#This Row],[Precio Unitario Neto]]-Tabla4[[#This Row],[20.85%]]-Tabla4[[#This Row],[Costo]]</f>
        <v>#N/A</v>
      </c>
      <c r="S1274" s="282" t="e">
        <f>++Tabla4[[#This Row],[U. Bruta Uni]]*Tabla4[[#This Row],[Cantidad]]</f>
        <v>#N/A</v>
      </c>
      <c r="T1274" s="369" t="str">
        <f>VLOOKUP(Tabla4[[#This Row],[Producto]],Tabla6[#All],14,FALSE)</f>
        <v>Termico Solar</v>
      </c>
      <c r="U1274" s="284" t="e">
        <f>(IF(Tabla4[[#This Row],[Familia]]="termico solar",Tabla4[[#This Row],[Utilidad Total]]*6%,Tabla4[[#This Row],[Utilidad Total]]*11.5%))/Tabla4[[#This Row],[Total]]</f>
        <v>#N/A</v>
      </c>
      <c r="V1274" s="282" t="e">
        <f>+Tabla4[[#This Row],[Comisión Calculada]]*Tabla4[[#This Row],[Total]]</f>
        <v>#N/A</v>
      </c>
    </row>
    <row r="1275" spans="1:22" hidden="1" x14ac:dyDescent="0.25">
      <c r="A1275" s="100">
        <v>45731</v>
      </c>
      <c r="B1275" t="str">
        <f t="shared" si="54"/>
        <v>March</v>
      </c>
      <c r="C1275" s="46" t="s">
        <v>280</v>
      </c>
      <c r="F1275" s="366" t="s">
        <v>1229</v>
      </c>
      <c r="G1275" s="46" t="s">
        <v>208</v>
      </c>
      <c r="H1275" s="46">
        <v>2</v>
      </c>
      <c r="I1275" s="51">
        <v>189.75</v>
      </c>
      <c r="J1275" s="281">
        <f>++Tabla4[[#This Row],[Precio Bruto]]*1.16</f>
        <v>220.10999999999999</v>
      </c>
      <c r="K1275" s="281">
        <f>+Tabla4[[#This Row],[Precio Unitario Neto]]*Tabla4[[#Headers],[20.85%]]</f>
        <v>45.892934999999994</v>
      </c>
      <c r="L1275" s="282">
        <f>++Tabla4[[#This Row],[Precio Unitario Neto]]-Tabla4[[#This Row],[20.85%]]</f>
        <v>174.21706499999999</v>
      </c>
      <c r="M1275" s="282" t="e">
        <f>(INDEX(Tabla6[#All],MATCH(Tabla4[[#This Row],[Producto]],Tabla6[[#All],[PRODUCTO]],0),MATCH(Tabla4[[#This Row],[Mes]],Tabla6[#Headers],0)))*(1+Catalogos!$L$2)</f>
        <v>#N/A</v>
      </c>
      <c r="N1275" s="283" t="e">
        <f>+(Tabla4[[#This Row],[Precio Descontado]]-Tabla4[[#This Row],[Precio Base]])*Tabla4[[#This Row],[Cantidad]]</f>
        <v>#N/A</v>
      </c>
      <c r="O1275" s="284" t="e">
        <f>++Tabla4[[#This Row],[Utilidad Total]]/Tabla4[[#This Row],[Total]]</f>
        <v>#N/A</v>
      </c>
      <c r="P1275" s="282">
        <f>++Tabla4[[#This Row],[Precio Descontado]]*Tabla4[[#This Row],[Cantidad]]</f>
        <v>348.43412999999998</v>
      </c>
      <c r="Q1275" s="282" t="e">
        <f>(INDEX(Tabla6[#All],MATCH(Tabla4[[#This Row],[Producto]],Tabla6[[#All],[PRODUCTO]],0),MATCH(Tabla4[[#This Row],[Mes]],Tabla6[#Headers],0)))</f>
        <v>#N/A</v>
      </c>
      <c r="R1275" s="282" t="e">
        <f>++Tabla4[[#This Row],[Precio Unitario Neto]]-Tabla4[[#This Row],[20.85%]]-Tabla4[[#This Row],[Costo]]</f>
        <v>#N/A</v>
      </c>
      <c r="S1275" s="282" t="e">
        <f>++Tabla4[[#This Row],[U. Bruta Uni]]*Tabla4[[#This Row],[Cantidad]]</f>
        <v>#N/A</v>
      </c>
      <c r="T1275" s="369" t="str">
        <f>VLOOKUP(Tabla4[[#This Row],[Producto]],Tabla6[#All],14,FALSE)</f>
        <v>Termico Solar</v>
      </c>
      <c r="U1275" s="284" t="e">
        <f>(IF(Tabla4[[#This Row],[Familia]]="termico solar",Tabla4[[#This Row],[Utilidad Total]]*6%,Tabla4[[#This Row],[Utilidad Total]]*11.5%))/Tabla4[[#This Row],[Total]]</f>
        <v>#N/A</v>
      </c>
      <c r="V1275" s="282" t="e">
        <f>+Tabla4[[#This Row],[Comisión Calculada]]*Tabla4[[#This Row],[Total]]</f>
        <v>#N/A</v>
      </c>
    </row>
    <row r="1276" spans="1:22" hidden="1" x14ac:dyDescent="0.25">
      <c r="A1276" s="100">
        <v>45731</v>
      </c>
      <c r="B1276" t="str">
        <f t="shared" ref="B1276:B1281" si="55">TEXT(A1276, "mmmm")</f>
        <v>March</v>
      </c>
      <c r="C1276" s="46" t="s">
        <v>280</v>
      </c>
      <c r="F1276" s="366" t="s">
        <v>1230</v>
      </c>
      <c r="G1276" s="46" t="s">
        <v>83</v>
      </c>
      <c r="H1276" s="46">
        <v>1</v>
      </c>
      <c r="I1276" s="51">
        <v>8858.76</v>
      </c>
      <c r="J1276" s="281">
        <f>++Tabla4[[#This Row],[Precio Bruto]]*1.16</f>
        <v>10276.161599999999</v>
      </c>
      <c r="K1276" s="281">
        <f>+Tabla4[[#This Row],[Precio Unitario Neto]]*Tabla4[[#Headers],[20.85%]]</f>
        <v>2142.5796935999997</v>
      </c>
      <c r="L1276" s="282">
        <f>++Tabla4[[#This Row],[Precio Unitario Neto]]-Tabla4[[#This Row],[20.85%]]</f>
        <v>8133.5819063999998</v>
      </c>
      <c r="M1276" s="282" t="e">
        <f>(INDEX(Tabla6[#All],MATCH(Tabla4[[#This Row],[Producto]],Tabla6[[#All],[PRODUCTO]],0),MATCH(Tabla4[[#This Row],[Mes]],Tabla6[#Headers],0)))*(1+Catalogos!$L$2)</f>
        <v>#N/A</v>
      </c>
      <c r="N1276" s="283" t="e">
        <f>+(Tabla4[[#This Row],[Precio Descontado]]-Tabla4[[#This Row],[Precio Base]])*Tabla4[[#This Row],[Cantidad]]</f>
        <v>#N/A</v>
      </c>
      <c r="O1276" s="284" t="e">
        <f>++Tabla4[[#This Row],[Utilidad Total]]/Tabla4[[#This Row],[Total]]</f>
        <v>#N/A</v>
      </c>
      <c r="P1276" s="282">
        <f>++Tabla4[[#This Row],[Precio Descontado]]*Tabla4[[#This Row],[Cantidad]]</f>
        <v>8133.5819063999998</v>
      </c>
      <c r="Q1276" s="282" t="e">
        <f>(INDEX(Tabla6[#All],MATCH(Tabla4[[#This Row],[Producto]],Tabla6[[#All],[PRODUCTO]],0),MATCH(Tabla4[[#This Row],[Mes]],Tabla6[#Headers],0)))</f>
        <v>#N/A</v>
      </c>
      <c r="R1276" s="282" t="e">
        <f>++Tabla4[[#This Row],[Precio Unitario Neto]]-Tabla4[[#This Row],[20.85%]]-Tabla4[[#This Row],[Costo]]</f>
        <v>#N/A</v>
      </c>
      <c r="S1276" s="282" t="e">
        <f>++Tabla4[[#This Row],[U. Bruta Uni]]*Tabla4[[#This Row],[Cantidad]]</f>
        <v>#N/A</v>
      </c>
      <c r="T1276" s="369" t="str">
        <f>VLOOKUP(Tabla4[[#This Row],[Producto]],Tabla6[#All],14,FALSE)</f>
        <v>Termico Solar</v>
      </c>
      <c r="U1276" s="284" t="e">
        <f>(IF(Tabla4[[#This Row],[Familia]]="termico solar",Tabla4[[#This Row],[Utilidad Total]]*6%,Tabla4[[#This Row],[Utilidad Total]]*11.5%))/Tabla4[[#This Row],[Total]]</f>
        <v>#N/A</v>
      </c>
      <c r="V1276" s="282" t="e">
        <f>+Tabla4[[#This Row],[Comisión Calculada]]*Tabla4[[#This Row],[Total]]</f>
        <v>#N/A</v>
      </c>
    </row>
    <row r="1277" spans="1:22" hidden="1" x14ac:dyDescent="0.25">
      <c r="A1277" s="100">
        <v>45731</v>
      </c>
      <c r="B1277" t="str">
        <f t="shared" si="55"/>
        <v>March</v>
      </c>
      <c r="C1277" s="46" t="s">
        <v>280</v>
      </c>
      <c r="F1277" s="366" t="s">
        <v>1230</v>
      </c>
      <c r="G1277" s="46" t="s">
        <v>17</v>
      </c>
      <c r="H1277" s="46">
        <v>14</v>
      </c>
      <c r="I1277" s="51">
        <v>4622.28</v>
      </c>
      <c r="J1277" s="281">
        <f>++Tabla4[[#This Row],[Precio Bruto]]*1.16</f>
        <v>5361.8447999999989</v>
      </c>
      <c r="K1277" s="281">
        <f>+Tabla4[[#This Row],[Precio Unitario Neto]]*Tabla4[[#Headers],[20.85%]]</f>
        <v>1117.9446407999997</v>
      </c>
      <c r="L1277" s="282">
        <f>++Tabla4[[#This Row],[Precio Unitario Neto]]-Tabla4[[#This Row],[20.85%]]</f>
        <v>4243.9001591999995</v>
      </c>
      <c r="M1277" s="282" t="e">
        <f>(INDEX(Tabla6[#All],MATCH(Tabla4[[#This Row],[Producto]],Tabla6[[#All],[PRODUCTO]],0),MATCH(Tabla4[[#This Row],[Mes]],Tabla6[#Headers],0)))*(1+Catalogos!$L$2)</f>
        <v>#N/A</v>
      </c>
      <c r="N1277" s="283" t="e">
        <f>+(Tabla4[[#This Row],[Precio Descontado]]-Tabla4[[#This Row],[Precio Base]])*Tabla4[[#This Row],[Cantidad]]</f>
        <v>#N/A</v>
      </c>
      <c r="O1277" s="284" t="e">
        <f>++Tabla4[[#This Row],[Utilidad Total]]/Tabla4[[#This Row],[Total]]</f>
        <v>#N/A</v>
      </c>
      <c r="P1277" s="282">
        <f>++Tabla4[[#This Row],[Precio Descontado]]*Tabla4[[#This Row],[Cantidad]]</f>
        <v>59414.602228799995</v>
      </c>
      <c r="Q1277" s="282" t="e">
        <f>(INDEX(Tabla6[#All],MATCH(Tabla4[[#This Row],[Producto]],Tabla6[[#All],[PRODUCTO]],0),MATCH(Tabla4[[#This Row],[Mes]],Tabla6[#Headers],0)))</f>
        <v>#N/A</v>
      </c>
      <c r="R1277" s="282" t="e">
        <f>++Tabla4[[#This Row],[Precio Unitario Neto]]-Tabla4[[#This Row],[20.85%]]-Tabla4[[#This Row],[Costo]]</f>
        <v>#N/A</v>
      </c>
      <c r="S1277" s="282" t="e">
        <f>++Tabla4[[#This Row],[U. Bruta Uni]]*Tabla4[[#This Row],[Cantidad]]</f>
        <v>#N/A</v>
      </c>
      <c r="T1277" s="369" t="str">
        <f>VLOOKUP(Tabla4[[#This Row],[Producto]],Tabla6[#All],14,FALSE)</f>
        <v>Termico Solar</v>
      </c>
      <c r="U1277" s="284" t="e">
        <f>(IF(Tabla4[[#This Row],[Familia]]="termico solar",Tabla4[[#This Row],[Utilidad Total]]*6%,Tabla4[[#This Row],[Utilidad Total]]*11.5%))/Tabla4[[#This Row],[Total]]</f>
        <v>#N/A</v>
      </c>
      <c r="V1277" s="282" t="e">
        <f>+Tabla4[[#This Row],[Comisión Calculada]]*Tabla4[[#This Row],[Total]]</f>
        <v>#N/A</v>
      </c>
    </row>
    <row r="1278" spans="1:22" hidden="1" x14ac:dyDescent="0.25">
      <c r="A1278" s="100">
        <v>45731</v>
      </c>
      <c r="B1278" t="str">
        <f t="shared" si="55"/>
        <v>March</v>
      </c>
      <c r="C1278" s="46" t="s">
        <v>280</v>
      </c>
      <c r="F1278" s="366" t="s">
        <v>1230</v>
      </c>
      <c r="G1278" s="46" t="s">
        <v>18</v>
      </c>
      <c r="H1278" s="46">
        <v>4</v>
      </c>
      <c r="I1278" s="51">
        <v>5367.65</v>
      </c>
      <c r="J1278" s="281">
        <f>++Tabla4[[#This Row],[Precio Bruto]]*1.16</f>
        <v>6226.4739999999993</v>
      </c>
      <c r="K1278" s="281">
        <f>+Tabla4[[#This Row],[Precio Unitario Neto]]*Tabla4[[#Headers],[20.85%]]</f>
        <v>1298.2198289999999</v>
      </c>
      <c r="L1278" s="282">
        <f>++Tabla4[[#This Row],[Precio Unitario Neto]]-Tabla4[[#This Row],[20.85%]]</f>
        <v>4928.2541709999996</v>
      </c>
      <c r="M1278" s="282" t="e">
        <f>(INDEX(Tabla6[#All],MATCH(Tabla4[[#This Row],[Producto]],Tabla6[[#All],[PRODUCTO]],0),MATCH(Tabla4[[#This Row],[Mes]],Tabla6[#Headers],0)))*(1+Catalogos!$L$2)</f>
        <v>#N/A</v>
      </c>
      <c r="N1278" s="283" t="e">
        <f>+(Tabla4[[#This Row],[Precio Descontado]]-Tabla4[[#This Row],[Precio Base]])*Tabla4[[#This Row],[Cantidad]]</f>
        <v>#N/A</v>
      </c>
      <c r="O1278" s="284" t="e">
        <f>++Tabla4[[#This Row],[Utilidad Total]]/Tabla4[[#This Row],[Total]]</f>
        <v>#N/A</v>
      </c>
      <c r="P1278" s="282">
        <f>++Tabla4[[#This Row],[Precio Descontado]]*Tabla4[[#This Row],[Cantidad]]</f>
        <v>19713.016683999998</v>
      </c>
      <c r="Q1278" s="282" t="e">
        <f>(INDEX(Tabla6[#All],MATCH(Tabla4[[#This Row],[Producto]],Tabla6[[#All],[PRODUCTO]],0),MATCH(Tabla4[[#This Row],[Mes]],Tabla6[#Headers],0)))</f>
        <v>#N/A</v>
      </c>
      <c r="R1278" s="282" t="e">
        <f>++Tabla4[[#This Row],[Precio Unitario Neto]]-Tabla4[[#This Row],[20.85%]]-Tabla4[[#This Row],[Costo]]</f>
        <v>#N/A</v>
      </c>
      <c r="S1278" s="282" t="e">
        <f>++Tabla4[[#This Row],[U. Bruta Uni]]*Tabla4[[#This Row],[Cantidad]]</f>
        <v>#N/A</v>
      </c>
      <c r="T1278" s="369" t="str">
        <f>VLOOKUP(Tabla4[[#This Row],[Producto]],Tabla6[#All],14,FALSE)</f>
        <v>Termico Solar</v>
      </c>
      <c r="U1278" s="284" t="e">
        <f>(IF(Tabla4[[#This Row],[Familia]]="termico solar",Tabla4[[#This Row],[Utilidad Total]]*6%,Tabla4[[#This Row],[Utilidad Total]]*11.5%))/Tabla4[[#This Row],[Total]]</f>
        <v>#N/A</v>
      </c>
      <c r="V1278" s="282" t="e">
        <f>+Tabla4[[#This Row],[Comisión Calculada]]*Tabla4[[#This Row],[Total]]</f>
        <v>#N/A</v>
      </c>
    </row>
    <row r="1279" spans="1:22" hidden="1" x14ac:dyDescent="0.25">
      <c r="A1279" s="100">
        <v>45731</v>
      </c>
      <c r="B1279" t="str">
        <f t="shared" si="55"/>
        <v>March</v>
      </c>
      <c r="C1279" s="46" t="s">
        <v>280</v>
      </c>
      <c r="F1279" s="366" t="s">
        <v>1230</v>
      </c>
      <c r="G1279" s="46" t="s">
        <v>208</v>
      </c>
      <c r="H1279" s="46">
        <v>15</v>
      </c>
      <c r="I1279" s="51">
        <v>140.63</v>
      </c>
      <c r="J1279" s="281">
        <f>++Tabla4[[#This Row],[Precio Bruto]]*1.16</f>
        <v>163.13079999999999</v>
      </c>
      <c r="K1279" s="281">
        <f>+Tabla4[[#This Row],[Precio Unitario Neto]]*Tabla4[[#Headers],[20.85%]]</f>
        <v>34.012771799999996</v>
      </c>
      <c r="L1279" s="282">
        <f>++Tabla4[[#This Row],[Precio Unitario Neto]]-Tabla4[[#This Row],[20.85%]]</f>
        <v>129.1180282</v>
      </c>
      <c r="M1279" s="282" t="e">
        <f>(INDEX(Tabla6[#All],MATCH(Tabla4[[#This Row],[Producto]],Tabla6[[#All],[PRODUCTO]],0),MATCH(Tabla4[[#This Row],[Mes]],Tabla6[#Headers],0)))*(1+Catalogos!$L$2)</f>
        <v>#N/A</v>
      </c>
      <c r="N1279" s="283" t="e">
        <f>+(Tabla4[[#This Row],[Precio Descontado]]-Tabla4[[#This Row],[Precio Base]])*Tabla4[[#This Row],[Cantidad]]</f>
        <v>#N/A</v>
      </c>
      <c r="O1279" s="284" t="e">
        <f>++Tabla4[[#This Row],[Utilidad Total]]/Tabla4[[#This Row],[Total]]</f>
        <v>#N/A</v>
      </c>
      <c r="P1279" s="282">
        <f>++Tabla4[[#This Row],[Precio Descontado]]*Tabla4[[#This Row],[Cantidad]]</f>
        <v>1936.7704229999999</v>
      </c>
      <c r="Q1279" s="282" t="e">
        <f>(INDEX(Tabla6[#All],MATCH(Tabla4[[#This Row],[Producto]],Tabla6[[#All],[PRODUCTO]],0),MATCH(Tabla4[[#This Row],[Mes]],Tabla6[#Headers],0)))</f>
        <v>#N/A</v>
      </c>
      <c r="R1279" s="282" t="e">
        <f>++Tabla4[[#This Row],[Precio Unitario Neto]]-Tabla4[[#This Row],[20.85%]]-Tabla4[[#This Row],[Costo]]</f>
        <v>#N/A</v>
      </c>
      <c r="S1279" s="282" t="e">
        <f>++Tabla4[[#This Row],[U. Bruta Uni]]*Tabla4[[#This Row],[Cantidad]]</f>
        <v>#N/A</v>
      </c>
      <c r="T1279" s="369" t="str">
        <f>VLOOKUP(Tabla4[[#This Row],[Producto]],Tabla6[#All],14,FALSE)</f>
        <v>Termico Solar</v>
      </c>
      <c r="U1279" s="284" t="e">
        <f>(IF(Tabla4[[#This Row],[Familia]]="termico solar",Tabla4[[#This Row],[Utilidad Total]]*6%,Tabla4[[#This Row],[Utilidad Total]]*11.5%))/Tabla4[[#This Row],[Total]]</f>
        <v>#N/A</v>
      </c>
      <c r="V1279" s="282" t="e">
        <f>+Tabla4[[#This Row],[Comisión Calculada]]*Tabla4[[#This Row],[Total]]</f>
        <v>#N/A</v>
      </c>
    </row>
    <row r="1280" spans="1:22" hidden="1" x14ac:dyDescent="0.25">
      <c r="A1280" s="100">
        <v>45731</v>
      </c>
      <c r="B1280" t="str">
        <f t="shared" si="55"/>
        <v>March</v>
      </c>
      <c r="C1280" s="46" t="s">
        <v>280</v>
      </c>
      <c r="F1280" s="366" t="s">
        <v>1230</v>
      </c>
      <c r="G1280" s="46" t="s">
        <v>555</v>
      </c>
      <c r="H1280" s="46">
        <v>8</v>
      </c>
      <c r="I1280" s="51">
        <v>389.47</v>
      </c>
      <c r="J1280" s="281">
        <f>++Tabla4[[#This Row],[Precio Bruto]]*1.16</f>
        <v>451.78519999999997</v>
      </c>
      <c r="K1280" s="281">
        <f>+Tabla4[[#This Row],[Precio Unitario Neto]]*Tabla4[[#Headers],[20.85%]]</f>
        <v>94.197214199999991</v>
      </c>
      <c r="L1280" s="282">
        <f>++Tabla4[[#This Row],[Precio Unitario Neto]]-Tabla4[[#This Row],[20.85%]]</f>
        <v>357.58798579999996</v>
      </c>
      <c r="M1280" s="282" t="e">
        <f>(INDEX(Tabla6[#All],MATCH(Tabla4[[#This Row],[Producto]],Tabla6[[#All],[PRODUCTO]],0),MATCH(Tabla4[[#This Row],[Mes]],Tabla6[#Headers],0)))*(1+Catalogos!$L$2)</f>
        <v>#N/A</v>
      </c>
      <c r="N1280" s="283" t="e">
        <f>+(Tabla4[[#This Row],[Precio Descontado]]-Tabla4[[#This Row],[Precio Base]])*Tabla4[[#This Row],[Cantidad]]</f>
        <v>#N/A</v>
      </c>
      <c r="O1280" s="284" t="e">
        <f>++Tabla4[[#This Row],[Utilidad Total]]/Tabla4[[#This Row],[Total]]</f>
        <v>#N/A</v>
      </c>
      <c r="P1280" s="282">
        <f>++Tabla4[[#This Row],[Precio Descontado]]*Tabla4[[#This Row],[Cantidad]]</f>
        <v>2860.7038863999996</v>
      </c>
      <c r="Q1280" s="282" t="e">
        <f>(INDEX(Tabla6[#All],MATCH(Tabla4[[#This Row],[Producto]],Tabla6[[#All],[PRODUCTO]],0),MATCH(Tabla4[[#This Row],[Mes]],Tabla6[#Headers],0)))</f>
        <v>#N/A</v>
      </c>
      <c r="R1280" s="282" t="e">
        <f>++Tabla4[[#This Row],[Precio Unitario Neto]]-Tabla4[[#This Row],[20.85%]]-Tabla4[[#This Row],[Costo]]</f>
        <v>#N/A</v>
      </c>
      <c r="S1280" s="282" t="e">
        <f>++Tabla4[[#This Row],[U. Bruta Uni]]*Tabla4[[#This Row],[Cantidad]]</f>
        <v>#N/A</v>
      </c>
      <c r="T1280" s="369" t="str">
        <f>VLOOKUP(Tabla4[[#This Row],[Producto]],Tabla6[#All],14,FALSE)</f>
        <v>Termico Solar</v>
      </c>
      <c r="U1280" s="284" t="e">
        <f>(IF(Tabla4[[#This Row],[Familia]]="termico solar",Tabla4[[#This Row],[Utilidad Total]]*6%,Tabla4[[#This Row],[Utilidad Total]]*11.5%))/Tabla4[[#This Row],[Total]]</f>
        <v>#N/A</v>
      </c>
      <c r="V1280" s="282" t="e">
        <f>+Tabla4[[#This Row],[Comisión Calculada]]*Tabla4[[#This Row],[Total]]</f>
        <v>#N/A</v>
      </c>
    </row>
    <row r="1281" spans="1:22" hidden="1" x14ac:dyDescent="0.25">
      <c r="A1281" s="100">
        <v>45731</v>
      </c>
      <c r="B1281" t="str">
        <f t="shared" si="55"/>
        <v>March</v>
      </c>
      <c r="C1281" s="46" t="s">
        <v>280</v>
      </c>
      <c r="F1281" s="366" t="s">
        <v>1230</v>
      </c>
      <c r="G1281" s="46" t="s">
        <v>208</v>
      </c>
      <c r="H1281" s="46">
        <v>2</v>
      </c>
      <c r="I1281" s="51">
        <v>189.75</v>
      </c>
      <c r="J1281" s="281">
        <f>++Tabla4[[#This Row],[Precio Bruto]]*1.16</f>
        <v>220.10999999999999</v>
      </c>
      <c r="K1281" s="281">
        <f>+Tabla4[[#This Row],[Precio Unitario Neto]]*Tabla4[[#Headers],[20.85%]]</f>
        <v>45.892934999999994</v>
      </c>
      <c r="L1281" s="282">
        <f>++Tabla4[[#This Row],[Precio Unitario Neto]]-Tabla4[[#This Row],[20.85%]]</f>
        <v>174.21706499999999</v>
      </c>
      <c r="M1281" s="282" t="e">
        <f>(INDEX(Tabla6[#All],MATCH(Tabla4[[#This Row],[Producto]],Tabla6[[#All],[PRODUCTO]],0),MATCH(Tabla4[[#This Row],[Mes]],Tabla6[#Headers],0)))*(1+Catalogos!$L$2)</f>
        <v>#N/A</v>
      </c>
      <c r="N1281" s="283" t="e">
        <f>+(Tabla4[[#This Row],[Precio Descontado]]-Tabla4[[#This Row],[Precio Base]])*Tabla4[[#This Row],[Cantidad]]</f>
        <v>#N/A</v>
      </c>
      <c r="O1281" s="284" t="e">
        <f>++Tabla4[[#This Row],[Utilidad Total]]/Tabla4[[#This Row],[Total]]</f>
        <v>#N/A</v>
      </c>
      <c r="P1281" s="282">
        <f>++Tabla4[[#This Row],[Precio Descontado]]*Tabla4[[#This Row],[Cantidad]]</f>
        <v>348.43412999999998</v>
      </c>
      <c r="Q1281" s="282" t="e">
        <f>(INDEX(Tabla6[#All],MATCH(Tabla4[[#This Row],[Producto]],Tabla6[[#All],[PRODUCTO]],0),MATCH(Tabla4[[#This Row],[Mes]],Tabla6[#Headers],0)))</f>
        <v>#N/A</v>
      </c>
      <c r="R1281" s="282" t="e">
        <f>++Tabla4[[#This Row],[Precio Unitario Neto]]-Tabla4[[#This Row],[20.85%]]-Tabla4[[#This Row],[Costo]]</f>
        <v>#N/A</v>
      </c>
      <c r="S1281" s="282" t="e">
        <f>++Tabla4[[#This Row],[U. Bruta Uni]]*Tabla4[[#This Row],[Cantidad]]</f>
        <v>#N/A</v>
      </c>
      <c r="T1281" s="369" t="str">
        <f>VLOOKUP(Tabla4[[#This Row],[Producto]],Tabla6[#All],14,FALSE)</f>
        <v>Termico Solar</v>
      </c>
      <c r="U1281" s="284" t="e">
        <f>(IF(Tabla4[[#This Row],[Familia]]="termico solar",Tabla4[[#This Row],[Utilidad Total]]*6%,Tabla4[[#This Row],[Utilidad Total]]*11.5%))/Tabla4[[#This Row],[Total]]</f>
        <v>#N/A</v>
      </c>
      <c r="V1281" s="282" t="e">
        <f>+Tabla4[[#This Row],[Comisión Calculada]]*Tabla4[[#This Row],[Total]]</f>
        <v>#N/A</v>
      </c>
    </row>
    <row r="1282" spans="1:22" hidden="1" x14ac:dyDescent="0.25">
      <c r="A1282" s="100">
        <v>45731</v>
      </c>
      <c r="B1282" t="str">
        <f>TEXT(A1282, "mmmm")</f>
        <v>March</v>
      </c>
      <c r="C1282" s="46" t="s">
        <v>280</v>
      </c>
      <c r="F1282" s="366" t="s">
        <v>1231</v>
      </c>
      <c r="G1282" s="46" t="s">
        <v>83</v>
      </c>
      <c r="H1282" s="46">
        <v>1</v>
      </c>
      <c r="I1282" s="51">
        <v>8858.76</v>
      </c>
      <c r="J1282" s="281">
        <f>++Tabla4[[#This Row],[Precio Bruto]]*1.16</f>
        <v>10276.161599999999</v>
      </c>
      <c r="K1282" s="281">
        <f>+Tabla4[[#This Row],[Precio Unitario Neto]]*Tabla4[[#Headers],[20.85%]]</f>
        <v>2142.5796935999997</v>
      </c>
      <c r="L1282" s="282">
        <f>++Tabla4[[#This Row],[Precio Unitario Neto]]-Tabla4[[#This Row],[20.85%]]</f>
        <v>8133.5819063999998</v>
      </c>
      <c r="M1282" s="282" t="e">
        <f>(INDEX(Tabla6[#All],MATCH(Tabla4[[#This Row],[Producto]],Tabla6[[#All],[PRODUCTO]],0),MATCH(Tabla4[[#This Row],[Mes]],Tabla6[#Headers],0)))*(1+Catalogos!$L$2)</f>
        <v>#N/A</v>
      </c>
      <c r="N1282" s="283" t="e">
        <f>+(Tabla4[[#This Row],[Precio Descontado]]-Tabla4[[#This Row],[Precio Base]])*Tabla4[[#This Row],[Cantidad]]</f>
        <v>#N/A</v>
      </c>
      <c r="O1282" s="284" t="e">
        <f>++Tabla4[[#This Row],[Utilidad Total]]/Tabla4[[#This Row],[Total]]</f>
        <v>#N/A</v>
      </c>
      <c r="P1282" s="282">
        <f>++Tabla4[[#This Row],[Precio Descontado]]*Tabla4[[#This Row],[Cantidad]]</f>
        <v>8133.5819063999998</v>
      </c>
      <c r="Q1282" s="282" t="e">
        <f>(INDEX(Tabla6[#All],MATCH(Tabla4[[#This Row],[Producto]],Tabla6[[#All],[PRODUCTO]],0),MATCH(Tabla4[[#This Row],[Mes]],Tabla6[#Headers],0)))</f>
        <v>#N/A</v>
      </c>
      <c r="R1282" s="282" t="e">
        <f>++Tabla4[[#This Row],[Precio Unitario Neto]]-Tabla4[[#This Row],[20.85%]]-Tabla4[[#This Row],[Costo]]</f>
        <v>#N/A</v>
      </c>
      <c r="S1282" s="282" t="e">
        <f>++Tabla4[[#This Row],[U. Bruta Uni]]*Tabla4[[#This Row],[Cantidad]]</f>
        <v>#N/A</v>
      </c>
      <c r="T1282" s="369" t="str">
        <f>VLOOKUP(Tabla4[[#This Row],[Producto]],Tabla6[#All],14,FALSE)</f>
        <v>Termico Solar</v>
      </c>
      <c r="U1282" s="284" t="e">
        <f>(IF(Tabla4[[#This Row],[Familia]]="termico solar",Tabla4[[#This Row],[Utilidad Total]]*6%,Tabla4[[#This Row],[Utilidad Total]]*11.5%))/Tabla4[[#This Row],[Total]]</f>
        <v>#N/A</v>
      </c>
      <c r="V1282" s="282" t="e">
        <f>+Tabla4[[#This Row],[Comisión Calculada]]*Tabla4[[#This Row],[Total]]</f>
        <v>#N/A</v>
      </c>
    </row>
    <row r="1283" spans="1:22" hidden="1" x14ac:dyDescent="0.25">
      <c r="A1283" s="100">
        <v>45731</v>
      </c>
      <c r="B1283" t="str">
        <f>TEXT(A1283, "mmmm")</f>
        <v>March</v>
      </c>
      <c r="C1283" s="46" t="s">
        <v>280</v>
      </c>
      <c r="F1283" s="366" t="s">
        <v>1231</v>
      </c>
      <c r="G1283" s="46" t="s">
        <v>18</v>
      </c>
      <c r="H1283" s="46">
        <v>3</v>
      </c>
      <c r="I1283" s="51">
        <v>5367.6500000000005</v>
      </c>
      <c r="J1283" s="281">
        <f>++Tabla4[[#This Row],[Precio Bruto]]*1.16</f>
        <v>6226.4740000000002</v>
      </c>
      <c r="K1283" s="281">
        <f>+Tabla4[[#This Row],[Precio Unitario Neto]]*Tabla4[[#Headers],[20.85%]]</f>
        <v>1298.2198289999999</v>
      </c>
      <c r="L1283" s="282">
        <f>++Tabla4[[#This Row],[Precio Unitario Neto]]-Tabla4[[#This Row],[20.85%]]</f>
        <v>4928.2541710000005</v>
      </c>
      <c r="M1283" s="282" t="e">
        <f>(INDEX(Tabla6[#All],MATCH(Tabla4[[#This Row],[Producto]],Tabla6[[#All],[PRODUCTO]],0),MATCH(Tabla4[[#This Row],[Mes]],Tabla6[#Headers],0)))*(1+Catalogos!$L$2)</f>
        <v>#N/A</v>
      </c>
      <c r="N1283" s="283" t="e">
        <f>+(Tabla4[[#This Row],[Precio Descontado]]-Tabla4[[#This Row],[Precio Base]])*Tabla4[[#This Row],[Cantidad]]</f>
        <v>#N/A</v>
      </c>
      <c r="O1283" s="284" t="e">
        <f>++Tabla4[[#This Row],[Utilidad Total]]/Tabla4[[#This Row],[Total]]</f>
        <v>#N/A</v>
      </c>
      <c r="P1283" s="282">
        <f>++Tabla4[[#This Row],[Precio Descontado]]*Tabla4[[#This Row],[Cantidad]]</f>
        <v>14784.762513000001</v>
      </c>
      <c r="Q1283" s="282" t="e">
        <f>(INDEX(Tabla6[#All],MATCH(Tabla4[[#This Row],[Producto]],Tabla6[[#All],[PRODUCTO]],0),MATCH(Tabla4[[#This Row],[Mes]],Tabla6[#Headers],0)))</f>
        <v>#N/A</v>
      </c>
      <c r="R1283" s="282" t="e">
        <f>++Tabla4[[#This Row],[Precio Unitario Neto]]-Tabla4[[#This Row],[20.85%]]-Tabla4[[#This Row],[Costo]]</f>
        <v>#N/A</v>
      </c>
      <c r="S1283" s="282" t="e">
        <f>++Tabla4[[#This Row],[U. Bruta Uni]]*Tabla4[[#This Row],[Cantidad]]</f>
        <v>#N/A</v>
      </c>
      <c r="T1283" s="369" t="str">
        <f>VLOOKUP(Tabla4[[#This Row],[Producto]],Tabla6[#All],14,FALSE)</f>
        <v>Termico Solar</v>
      </c>
      <c r="U1283" s="284" t="e">
        <f>(IF(Tabla4[[#This Row],[Familia]]="termico solar",Tabla4[[#This Row],[Utilidad Total]]*6%,Tabla4[[#This Row],[Utilidad Total]]*11.5%))/Tabla4[[#This Row],[Total]]</f>
        <v>#N/A</v>
      </c>
      <c r="V1283" s="282" t="e">
        <f>+Tabla4[[#This Row],[Comisión Calculada]]*Tabla4[[#This Row],[Total]]</f>
        <v>#N/A</v>
      </c>
    </row>
    <row r="1284" spans="1:22" hidden="1" x14ac:dyDescent="0.25">
      <c r="A1284" s="100">
        <v>45731</v>
      </c>
      <c r="B1284" t="str">
        <f>TEXT(A1284, "mmmm")</f>
        <v>March</v>
      </c>
      <c r="C1284" s="46" t="s">
        <v>280</v>
      </c>
      <c r="F1284" s="366" t="s">
        <v>1231</v>
      </c>
      <c r="G1284" s="46" t="s">
        <v>209</v>
      </c>
      <c r="H1284" s="46">
        <v>12</v>
      </c>
      <c r="I1284" s="51">
        <v>270.07</v>
      </c>
      <c r="J1284" s="281">
        <f>++Tabla4[[#This Row],[Precio Bruto]]*1.16</f>
        <v>313.28119999999996</v>
      </c>
      <c r="K1284" s="281">
        <f>+Tabla4[[#This Row],[Precio Unitario Neto]]*Tabla4[[#Headers],[20.85%]]</f>
        <v>65.319130199999989</v>
      </c>
      <c r="L1284" s="282">
        <f>++Tabla4[[#This Row],[Precio Unitario Neto]]-Tabla4[[#This Row],[20.85%]]</f>
        <v>247.96206979999997</v>
      </c>
      <c r="M1284" s="282" t="e">
        <f>(INDEX(Tabla6[#All],MATCH(Tabla4[[#This Row],[Producto]],Tabla6[[#All],[PRODUCTO]],0),MATCH(Tabla4[[#This Row],[Mes]],Tabla6[#Headers],0)))*(1+Catalogos!$L$2)</f>
        <v>#N/A</v>
      </c>
      <c r="N1284" s="283" t="e">
        <f>+(Tabla4[[#This Row],[Precio Descontado]]-Tabla4[[#This Row],[Precio Base]])*Tabla4[[#This Row],[Cantidad]]</f>
        <v>#N/A</v>
      </c>
      <c r="O1284" s="284" t="e">
        <f>++Tabla4[[#This Row],[Utilidad Total]]/Tabla4[[#This Row],[Total]]</f>
        <v>#N/A</v>
      </c>
      <c r="P1284" s="282">
        <f>++Tabla4[[#This Row],[Precio Descontado]]*Tabla4[[#This Row],[Cantidad]]</f>
        <v>2975.5448375999995</v>
      </c>
      <c r="Q1284" s="282" t="e">
        <f>(INDEX(Tabla6[#All],MATCH(Tabla4[[#This Row],[Producto]],Tabla6[[#All],[PRODUCTO]],0),MATCH(Tabla4[[#This Row],[Mes]],Tabla6[#Headers],0)))</f>
        <v>#N/A</v>
      </c>
      <c r="R1284" s="282" t="e">
        <f>++Tabla4[[#This Row],[Precio Unitario Neto]]-Tabla4[[#This Row],[20.85%]]-Tabla4[[#This Row],[Costo]]</f>
        <v>#N/A</v>
      </c>
      <c r="S1284" s="282" t="e">
        <f>++Tabla4[[#This Row],[U. Bruta Uni]]*Tabla4[[#This Row],[Cantidad]]</f>
        <v>#N/A</v>
      </c>
      <c r="T1284" s="369" t="str">
        <f>VLOOKUP(Tabla4[[#This Row],[Producto]],Tabla6[#All],14,FALSE)</f>
        <v>Termico Solar</v>
      </c>
      <c r="U1284" s="284" t="e">
        <f>(IF(Tabla4[[#This Row],[Familia]]="termico solar",Tabla4[[#This Row],[Utilidad Total]]*6%,Tabla4[[#This Row],[Utilidad Total]]*11.5%))/Tabla4[[#This Row],[Total]]</f>
        <v>#N/A</v>
      </c>
      <c r="V1284" s="282" t="e">
        <f>+Tabla4[[#This Row],[Comisión Calculada]]*Tabla4[[#This Row],[Total]]</f>
        <v>#N/A</v>
      </c>
    </row>
    <row r="1285" spans="1:22" hidden="1" x14ac:dyDescent="0.25">
      <c r="A1285" s="100">
        <v>45731</v>
      </c>
      <c r="B1285" t="str">
        <f t="shared" ref="B1285:B1292" si="56">TEXT(A1285, "mmmm")</f>
        <v>March</v>
      </c>
      <c r="C1285" s="46" t="s">
        <v>280</v>
      </c>
      <c r="F1285" s="366" t="s">
        <v>1232</v>
      </c>
      <c r="G1285" s="46" t="s">
        <v>83</v>
      </c>
      <c r="H1285" s="46">
        <v>2</v>
      </c>
      <c r="I1285" s="51">
        <v>8858.76</v>
      </c>
      <c r="J1285" s="281">
        <f>++Tabla4[[#This Row],[Precio Bruto]]*1.16</f>
        <v>10276.161599999999</v>
      </c>
      <c r="K1285" s="281">
        <f>+Tabla4[[#This Row],[Precio Unitario Neto]]*Tabla4[[#Headers],[20.85%]]</f>
        <v>2142.5796935999997</v>
      </c>
      <c r="L1285" s="282">
        <f>++Tabla4[[#This Row],[Precio Unitario Neto]]-Tabla4[[#This Row],[20.85%]]</f>
        <v>8133.5819063999998</v>
      </c>
      <c r="M1285" s="282" t="e">
        <f>(INDEX(Tabla6[#All],MATCH(Tabla4[[#This Row],[Producto]],Tabla6[[#All],[PRODUCTO]],0),MATCH(Tabla4[[#This Row],[Mes]],Tabla6[#Headers],0)))*(1+Catalogos!$L$2)</f>
        <v>#N/A</v>
      </c>
      <c r="N1285" s="283" t="e">
        <f>+(Tabla4[[#This Row],[Precio Descontado]]-Tabla4[[#This Row],[Precio Base]])*Tabla4[[#This Row],[Cantidad]]</f>
        <v>#N/A</v>
      </c>
      <c r="O1285" s="284" t="e">
        <f>++Tabla4[[#This Row],[Utilidad Total]]/Tabla4[[#This Row],[Total]]</f>
        <v>#N/A</v>
      </c>
      <c r="P1285" s="282">
        <f>++Tabla4[[#This Row],[Precio Descontado]]*Tabla4[[#This Row],[Cantidad]]</f>
        <v>16267.1638128</v>
      </c>
      <c r="Q1285" s="282" t="e">
        <f>(INDEX(Tabla6[#All],MATCH(Tabla4[[#This Row],[Producto]],Tabla6[[#All],[PRODUCTO]],0),MATCH(Tabla4[[#This Row],[Mes]],Tabla6[#Headers],0)))</f>
        <v>#N/A</v>
      </c>
      <c r="R1285" s="282" t="e">
        <f>++Tabla4[[#This Row],[Precio Unitario Neto]]-Tabla4[[#This Row],[20.85%]]-Tabla4[[#This Row],[Costo]]</f>
        <v>#N/A</v>
      </c>
      <c r="S1285" s="282" t="e">
        <f>++Tabla4[[#This Row],[U. Bruta Uni]]*Tabla4[[#This Row],[Cantidad]]</f>
        <v>#N/A</v>
      </c>
      <c r="T1285" s="369" t="str">
        <f>VLOOKUP(Tabla4[[#This Row],[Producto]],Tabla6[#All],14,FALSE)</f>
        <v>Termico Solar</v>
      </c>
      <c r="U1285" s="284" t="e">
        <f>(IF(Tabla4[[#This Row],[Familia]]="termico solar",Tabla4[[#This Row],[Utilidad Total]]*6%,Tabla4[[#This Row],[Utilidad Total]]*11.5%))/Tabla4[[#This Row],[Total]]</f>
        <v>#N/A</v>
      </c>
      <c r="V1285" s="282" t="e">
        <f>+Tabla4[[#This Row],[Comisión Calculada]]*Tabla4[[#This Row],[Total]]</f>
        <v>#N/A</v>
      </c>
    </row>
    <row r="1286" spans="1:22" hidden="1" x14ac:dyDescent="0.25">
      <c r="A1286" s="100">
        <v>45731</v>
      </c>
      <c r="B1286" t="str">
        <f t="shared" si="56"/>
        <v>March</v>
      </c>
      <c r="C1286" s="46" t="s">
        <v>280</v>
      </c>
      <c r="F1286" s="366" t="s">
        <v>1232</v>
      </c>
      <c r="G1286" s="46" t="s">
        <v>17</v>
      </c>
      <c r="H1286" s="46">
        <v>4</v>
      </c>
      <c r="I1286" s="51">
        <v>4622.28</v>
      </c>
      <c r="J1286" s="281">
        <f>++Tabla4[[#This Row],[Precio Bruto]]*1.16</f>
        <v>5361.8447999999989</v>
      </c>
      <c r="K1286" s="281">
        <f>+Tabla4[[#This Row],[Precio Unitario Neto]]*Tabla4[[#Headers],[20.85%]]</f>
        <v>1117.9446407999997</v>
      </c>
      <c r="L1286" s="282">
        <f>++Tabla4[[#This Row],[Precio Unitario Neto]]-Tabla4[[#This Row],[20.85%]]</f>
        <v>4243.9001591999995</v>
      </c>
      <c r="M1286" s="282" t="e">
        <f>(INDEX(Tabla6[#All],MATCH(Tabla4[[#This Row],[Producto]],Tabla6[[#All],[PRODUCTO]],0),MATCH(Tabla4[[#This Row],[Mes]],Tabla6[#Headers],0)))*(1+Catalogos!$L$2)</f>
        <v>#N/A</v>
      </c>
      <c r="N1286" s="283" t="e">
        <f>+(Tabla4[[#This Row],[Precio Descontado]]-Tabla4[[#This Row],[Precio Base]])*Tabla4[[#This Row],[Cantidad]]</f>
        <v>#N/A</v>
      </c>
      <c r="O1286" s="284" t="e">
        <f>++Tabla4[[#This Row],[Utilidad Total]]/Tabla4[[#This Row],[Total]]</f>
        <v>#N/A</v>
      </c>
      <c r="P1286" s="282">
        <f>++Tabla4[[#This Row],[Precio Descontado]]*Tabla4[[#This Row],[Cantidad]]</f>
        <v>16975.600636799998</v>
      </c>
      <c r="Q1286" s="282" t="e">
        <f>(INDEX(Tabla6[#All],MATCH(Tabla4[[#This Row],[Producto]],Tabla6[[#All],[PRODUCTO]],0),MATCH(Tabla4[[#This Row],[Mes]],Tabla6[#Headers],0)))</f>
        <v>#N/A</v>
      </c>
      <c r="R1286" s="282" t="e">
        <f>++Tabla4[[#This Row],[Precio Unitario Neto]]-Tabla4[[#This Row],[20.85%]]-Tabla4[[#This Row],[Costo]]</f>
        <v>#N/A</v>
      </c>
      <c r="S1286" s="282" t="e">
        <f>++Tabla4[[#This Row],[U. Bruta Uni]]*Tabla4[[#This Row],[Cantidad]]</f>
        <v>#N/A</v>
      </c>
      <c r="T1286" s="369" t="str">
        <f>VLOOKUP(Tabla4[[#This Row],[Producto]],Tabla6[#All],14,FALSE)</f>
        <v>Termico Solar</v>
      </c>
      <c r="U1286" s="284" t="e">
        <f>(IF(Tabla4[[#This Row],[Familia]]="termico solar",Tabla4[[#This Row],[Utilidad Total]]*6%,Tabla4[[#This Row],[Utilidad Total]]*11.5%))/Tabla4[[#This Row],[Total]]</f>
        <v>#N/A</v>
      </c>
      <c r="V1286" s="282" t="e">
        <f>+Tabla4[[#This Row],[Comisión Calculada]]*Tabla4[[#This Row],[Total]]</f>
        <v>#N/A</v>
      </c>
    </row>
    <row r="1287" spans="1:22" hidden="1" x14ac:dyDescent="0.25">
      <c r="A1287" s="100">
        <v>45731</v>
      </c>
      <c r="B1287" t="str">
        <f t="shared" si="56"/>
        <v>March</v>
      </c>
      <c r="C1287" s="46" t="s">
        <v>280</v>
      </c>
      <c r="F1287" s="366" t="s">
        <v>1232</v>
      </c>
      <c r="G1287" s="46" t="s">
        <v>18</v>
      </c>
      <c r="H1287" s="46">
        <v>2</v>
      </c>
      <c r="I1287" s="51">
        <v>5367.65</v>
      </c>
      <c r="J1287" s="281">
        <f>++Tabla4[[#This Row],[Precio Bruto]]*1.16</f>
        <v>6226.4739999999993</v>
      </c>
      <c r="K1287" s="281">
        <f>+Tabla4[[#This Row],[Precio Unitario Neto]]*Tabla4[[#Headers],[20.85%]]</f>
        <v>1298.2198289999999</v>
      </c>
      <c r="L1287" s="282">
        <f>++Tabla4[[#This Row],[Precio Unitario Neto]]-Tabla4[[#This Row],[20.85%]]</f>
        <v>4928.2541709999996</v>
      </c>
      <c r="M1287" s="282" t="e">
        <f>(INDEX(Tabla6[#All],MATCH(Tabla4[[#This Row],[Producto]],Tabla6[[#All],[PRODUCTO]],0),MATCH(Tabla4[[#This Row],[Mes]],Tabla6[#Headers],0)))*(1+Catalogos!$L$2)</f>
        <v>#N/A</v>
      </c>
      <c r="N1287" s="283" t="e">
        <f>+(Tabla4[[#This Row],[Precio Descontado]]-Tabla4[[#This Row],[Precio Base]])*Tabla4[[#This Row],[Cantidad]]</f>
        <v>#N/A</v>
      </c>
      <c r="O1287" s="284" t="e">
        <f>++Tabla4[[#This Row],[Utilidad Total]]/Tabla4[[#This Row],[Total]]</f>
        <v>#N/A</v>
      </c>
      <c r="P1287" s="282">
        <f>++Tabla4[[#This Row],[Precio Descontado]]*Tabla4[[#This Row],[Cantidad]]</f>
        <v>9856.5083419999992</v>
      </c>
      <c r="Q1287" s="282" t="e">
        <f>(INDEX(Tabla6[#All],MATCH(Tabla4[[#This Row],[Producto]],Tabla6[[#All],[PRODUCTO]],0),MATCH(Tabla4[[#This Row],[Mes]],Tabla6[#Headers],0)))</f>
        <v>#N/A</v>
      </c>
      <c r="R1287" s="282" t="e">
        <f>++Tabla4[[#This Row],[Precio Unitario Neto]]-Tabla4[[#This Row],[20.85%]]-Tabla4[[#This Row],[Costo]]</f>
        <v>#N/A</v>
      </c>
      <c r="S1287" s="282" t="e">
        <f>++Tabla4[[#This Row],[U. Bruta Uni]]*Tabla4[[#This Row],[Cantidad]]</f>
        <v>#N/A</v>
      </c>
      <c r="T1287" s="369" t="str">
        <f>VLOOKUP(Tabla4[[#This Row],[Producto]],Tabla6[#All],14,FALSE)</f>
        <v>Termico Solar</v>
      </c>
      <c r="U1287" s="284" t="e">
        <f>(IF(Tabla4[[#This Row],[Familia]]="termico solar",Tabla4[[#This Row],[Utilidad Total]]*6%,Tabla4[[#This Row],[Utilidad Total]]*11.5%))/Tabla4[[#This Row],[Total]]</f>
        <v>#N/A</v>
      </c>
      <c r="V1287" s="282" t="e">
        <f>+Tabla4[[#This Row],[Comisión Calculada]]*Tabla4[[#This Row],[Total]]</f>
        <v>#N/A</v>
      </c>
    </row>
    <row r="1288" spans="1:22" hidden="1" x14ac:dyDescent="0.25">
      <c r="A1288" s="100">
        <v>45731</v>
      </c>
      <c r="B1288" t="str">
        <f t="shared" si="56"/>
        <v>March</v>
      </c>
      <c r="C1288" s="46" t="s">
        <v>280</v>
      </c>
      <c r="F1288" s="366" t="s">
        <v>1232</v>
      </c>
      <c r="G1288" s="46" t="s">
        <v>208</v>
      </c>
      <c r="H1288" s="46">
        <v>15</v>
      </c>
      <c r="I1288" s="51">
        <v>140.63</v>
      </c>
      <c r="J1288" s="281">
        <f>++Tabla4[[#This Row],[Precio Bruto]]*1.16</f>
        <v>163.13079999999999</v>
      </c>
      <c r="K1288" s="281">
        <f>+Tabla4[[#This Row],[Precio Unitario Neto]]*Tabla4[[#Headers],[20.85%]]</f>
        <v>34.012771799999996</v>
      </c>
      <c r="L1288" s="282">
        <f>++Tabla4[[#This Row],[Precio Unitario Neto]]-Tabla4[[#This Row],[20.85%]]</f>
        <v>129.1180282</v>
      </c>
      <c r="M1288" s="282" t="e">
        <f>(INDEX(Tabla6[#All],MATCH(Tabla4[[#This Row],[Producto]],Tabla6[[#All],[PRODUCTO]],0),MATCH(Tabla4[[#This Row],[Mes]],Tabla6[#Headers],0)))*(1+Catalogos!$L$2)</f>
        <v>#N/A</v>
      </c>
      <c r="N1288" s="283" t="e">
        <f>+(Tabla4[[#This Row],[Precio Descontado]]-Tabla4[[#This Row],[Precio Base]])*Tabla4[[#This Row],[Cantidad]]</f>
        <v>#N/A</v>
      </c>
      <c r="O1288" s="284" t="e">
        <f>++Tabla4[[#This Row],[Utilidad Total]]/Tabla4[[#This Row],[Total]]</f>
        <v>#N/A</v>
      </c>
      <c r="P1288" s="282">
        <f>++Tabla4[[#This Row],[Precio Descontado]]*Tabla4[[#This Row],[Cantidad]]</f>
        <v>1936.7704229999999</v>
      </c>
      <c r="Q1288" s="282" t="e">
        <f>(INDEX(Tabla6[#All],MATCH(Tabla4[[#This Row],[Producto]],Tabla6[[#All],[PRODUCTO]],0),MATCH(Tabla4[[#This Row],[Mes]],Tabla6[#Headers],0)))</f>
        <v>#N/A</v>
      </c>
      <c r="R1288" s="282" t="e">
        <f>++Tabla4[[#This Row],[Precio Unitario Neto]]-Tabla4[[#This Row],[20.85%]]-Tabla4[[#This Row],[Costo]]</f>
        <v>#N/A</v>
      </c>
      <c r="S1288" s="282" t="e">
        <f>++Tabla4[[#This Row],[U. Bruta Uni]]*Tabla4[[#This Row],[Cantidad]]</f>
        <v>#N/A</v>
      </c>
      <c r="T1288" s="369" t="str">
        <f>VLOOKUP(Tabla4[[#This Row],[Producto]],Tabla6[#All],14,FALSE)</f>
        <v>Termico Solar</v>
      </c>
      <c r="U1288" s="284" t="e">
        <f>(IF(Tabla4[[#This Row],[Familia]]="termico solar",Tabla4[[#This Row],[Utilidad Total]]*6%,Tabla4[[#This Row],[Utilidad Total]]*11.5%))/Tabla4[[#This Row],[Total]]</f>
        <v>#N/A</v>
      </c>
      <c r="V1288" s="282" t="e">
        <f>+Tabla4[[#This Row],[Comisión Calculada]]*Tabla4[[#This Row],[Total]]</f>
        <v>#N/A</v>
      </c>
    </row>
    <row r="1289" spans="1:22" hidden="1" x14ac:dyDescent="0.25">
      <c r="A1289" s="100">
        <v>45731</v>
      </c>
      <c r="B1289" t="str">
        <f t="shared" si="56"/>
        <v>March</v>
      </c>
      <c r="C1289" s="46" t="s">
        <v>280</v>
      </c>
      <c r="F1289" s="366" t="s">
        <v>1232</v>
      </c>
      <c r="G1289" s="46" t="s">
        <v>16</v>
      </c>
      <c r="H1289" s="46">
        <v>1</v>
      </c>
      <c r="I1289" s="51">
        <v>4103.8500000000004</v>
      </c>
      <c r="J1289" s="281">
        <f>++Tabla4[[#This Row],[Precio Bruto]]*1.16</f>
        <v>4760.4660000000003</v>
      </c>
      <c r="K1289" s="281">
        <f>+Tabla4[[#This Row],[Precio Unitario Neto]]*Tabla4[[#Headers],[20.85%]]</f>
        <v>992.55716100000006</v>
      </c>
      <c r="L1289" s="282">
        <f>++Tabla4[[#This Row],[Precio Unitario Neto]]-Tabla4[[#This Row],[20.85%]]</f>
        <v>3767.9088390000002</v>
      </c>
      <c r="M1289" s="282" t="e">
        <f>(INDEX(Tabla6[#All],MATCH(Tabla4[[#This Row],[Producto]],Tabla6[[#All],[PRODUCTO]],0),MATCH(Tabla4[[#This Row],[Mes]],Tabla6[#Headers],0)))*(1+Catalogos!$L$2)</f>
        <v>#N/A</v>
      </c>
      <c r="N1289" s="283" t="e">
        <f>+(Tabla4[[#This Row],[Precio Descontado]]-Tabla4[[#This Row],[Precio Base]])*Tabla4[[#This Row],[Cantidad]]</f>
        <v>#N/A</v>
      </c>
      <c r="O1289" s="284" t="e">
        <f>++Tabla4[[#This Row],[Utilidad Total]]/Tabla4[[#This Row],[Total]]</f>
        <v>#N/A</v>
      </c>
      <c r="P1289" s="282">
        <f>++Tabla4[[#This Row],[Precio Descontado]]*Tabla4[[#This Row],[Cantidad]]</f>
        <v>3767.9088390000002</v>
      </c>
      <c r="Q1289" s="282" t="e">
        <f>(INDEX(Tabla6[#All],MATCH(Tabla4[[#This Row],[Producto]],Tabla6[[#All],[PRODUCTO]],0),MATCH(Tabla4[[#This Row],[Mes]],Tabla6[#Headers],0)))</f>
        <v>#N/A</v>
      </c>
      <c r="R1289" s="282" t="e">
        <f>++Tabla4[[#This Row],[Precio Unitario Neto]]-Tabla4[[#This Row],[20.85%]]-Tabla4[[#This Row],[Costo]]</f>
        <v>#N/A</v>
      </c>
      <c r="S1289" s="282" t="e">
        <f>++Tabla4[[#This Row],[U. Bruta Uni]]*Tabla4[[#This Row],[Cantidad]]</f>
        <v>#N/A</v>
      </c>
      <c r="T1289" s="369" t="str">
        <f>VLOOKUP(Tabla4[[#This Row],[Producto]],Tabla6[#All],14,FALSE)</f>
        <v>Termico Solar</v>
      </c>
      <c r="U1289" s="284" t="e">
        <f>(IF(Tabla4[[#This Row],[Familia]]="termico solar",Tabla4[[#This Row],[Utilidad Total]]*6%,Tabla4[[#This Row],[Utilidad Total]]*11.5%))/Tabla4[[#This Row],[Total]]</f>
        <v>#N/A</v>
      </c>
      <c r="V1289" s="282" t="e">
        <f>+Tabla4[[#This Row],[Comisión Calculada]]*Tabla4[[#This Row],[Total]]</f>
        <v>#N/A</v>
      </c>
    </row>
    <row r="1290" spans="1:22" hidden="1" x14ac:dyDescent="0.25">
      <c r="A1290" s="100">
        <v>45731</v>
      </c>
      <c r="B1290" t="str">
        <f t="shared" si="56"/>
        <v>March</v>
      </c>
      <c r="C1290" s="46" t="s">
        <v>280</v>
      </c>
      <c r="F1290" s="366" t="s">
        <v>1232</v>
      </c>
      <c r="G1290" s="46" t="s">
        <v>394</v>
      </c>
      <c r="H1290" s="46">
        <v>16</v>
      </c>
      <c r="I1290" s="51">
        <v>224.29</v>
      </c>
      <c r="J1290" s="281">
        <f>++Tabla4[[#This Row],[Precio Bruto]]*1.16</f>
        <v>260.1764</v>
      </c>
      <c r="K1290" s="281">
        <f>+Tabla4[[#This Row],[Precio Unitario Neto]]*Tabla4[[#Headers],[20.85%]]</f>
        <v>54.246779400000001</v>
      </c>
      <c r="L1290" s="282">
        <f>++Tabla4[[#This Row],[Precio Unitario Neto]]-Tabla4[[#This Row],[20.85%]]</f>
        <v>205.92962059999999</v>
      </c>
      <c r="M1290" s="282" t="e">
        <f>(INDEX(Tabla6[#All],MATCH(Tabla4[[#This Row],[Producto]],Tabla6[[#All],[PRODUCTO]],0),MATCH(Tabla4[[#This Row],[Mes]],Tabla6[#Headers],0)))*(1+Catalogos!$L$2)</f>
        <v>#N/A</v>
      </c>
      <c r="N1290" s="283" t="e">
        <f>+(Tabla4[[#This Row],[Precio Descontado]]-Tabla4[[#This Row],[Precio Base]])*Tabla4[[#This Row],[Cantidad]]</f>
        <v>#N/A</v>
      </c>
      <c r="O1290" s="284" t="e">
        <f>++Tabla4[[#This Row],[Utilidad Total]]/Tabla4[[#This Row],[Total]]</f>
        <v>#N/A</v>
      </c>
      <c r="P1290" s="282">
        <f>++Tabla4[[#This Row],[Precio Descontado]]*Tabla4[[#This Row],[Cantidad]]</f>
        <v>3294.8739295999999</v>
      </c>
      <c r="Q1290" s="282" t="e">
        <f>(INDEX(Tabla6[#All],MATCH(Tabla4[[#This Row],[Producto]],Tabla6[[#All],[PRODUCTO]],0),MATCH(Tabla4[[#This Row],[Mes]],Tabla6[#Headers],0)))</f>
        <v>#N/A</v>
      </c>
      <c r="R1290" s="282" t="e">
        <f>++Tabla4[[#This Row],[Precio Unitario Neto]]-Tabla4[[#This Row],[20.85%]]-Tabla4[[#This Row],[Costo]]</f>
        <v>#N/A</v>
      </c>
      <c r="S1290" s="282" t="e">
        <f>++Tabla4[[#This Row],[U. Bruta Uni]]*Tabla4[[#This Row],[Cantidad]]</f>
        <v>#N/A</v>
      </c>
      <c r="T1290" s="369" t="str">
        <f>VLOOKUP(Tabla4[[#This Row],[Producto]],Tabla6[#All],14,FALSE)</f>
        <v>Termico Solar</v>
      </c>
      <c r="U1290" s="284" t="e">
        <f>(IF(Tabla4[[#This Row],[Familia]]="termico solar",Tabla4[[#This Row],[Utilidad Total]]*6%,Tabla4[[#This Row],[Utilidad Total]]*11.5%))/Tabla4[[#This Row],[Total]]</f>
        <v>#N/A</v>
      </c>
      <c r="V1290" s="282" t="e">
        <f>+Tabla4[[#This Row],[Comisión Calculada]]*Tabla4[[#This Row],[Total]]</f>
        <v>#N/A</v>
      </c>
    </row>
    <row r="1291" spans="1:22" hidden="1" x14ac:dyDescent="0.25">
      <c r="A1291" s="100">
        <v>45731</v>
      </c>
      <c r="B1291" t="str">
        <f t="shared" si="56"/>
        <v>March</v>
      </c>
      <c r="C1291" s="46" t="s">
        <v>280</v>
      </c>
      <c r="F1291" s="366" t="s">
        <v>1232</v>
      </c>
      <c r="G1291" s="46" t="s">
        <v>555</v>
      </c>
      <c r="H1291" s="46">
        <v>8</v>
      </c>
      <c r="I1291" s="51">
        <v>389.47</v>
      </c>
      <c r="J1291" s="281">
        <f>++Tabla4[[#This Row],[Precio Bruto]]*1.16</f>
        <v>451.78519999999997</v>
      </c>
      <c r="K1291" s="281">
        <f>+Tabla4[[#This Row],[Precio Unitario Neto]]*Tabla4[[#Headers],[20.85%]]</f>
        <v>94.197214199999991</v>
      </c>
      <c r="L1291" s="282">
        <f>++Tabla4[[#This Row],[Precio Unitario Neto]]-Tabla4[[#This Row],[20.85%]]</f>
        <v>357.58798579999996</v>
      </c>
      <c r="M1291" s="282" t="e">
        <f>(INDEX(Tabla6[#All],MATCH(Tabla4[[#This Row],[Producto]],Tabla6[[#All],[PRODUCTO]],0),MATCH(Tabla4[[#This Row],[Mes]],Tabla6[#Headers],0)))*(1+Catalogos!$L$2)</f>
        <v>#N/A</v>
      </c>
      <c r="N1291" s="283" t="e">
        <f>+(Tabla4[[#This Row],[Precio Descontado]]-Tabla4[[#This Row],[Precio Base]])*Tabla4[[#This Row],[Cantidad]]</f>
        <v>#N/A</v>
      </c>
      <c r="O1291" s="284" t="e">
        <f>++Tabla4[[#This Row],[Utilidad Total]]/Tabla4[[#This Row],[Total]]</f>
        <v>#N/A</v>
      </c>
      <c r="P1291" s="282">
        <f>++Tabla4[[#This Row],[Precio Descontado]]*Tabla4[[#This Row],[Cantidad]]</f>
        <v>2860.7038863999996</v>
      </c>
      <c r="Q1291" s="282" t="e">
        <f>(INDEX(Tabla6[#All],MATCH(Tabla4[[#This Row],[Producto]],Tabla6[[#All],[PRODUCTO]],0),MATCH(Tabla4[[#This Row],[Mes]],Tabla6[#Headers],0)))</f>
        <v>#N/A</v>
      </c>
      <c r="R1291" s="282" t="e">
        <f>++Tabla4[[#This Row],[Precio Unitario Neto]]-Tabla4[[#This Row],[20.85%]]-Tabla4[[#This Row],[Costo]]</f>
        <v>#N/A</v>
      </c>
      <c r="S1291" s="282" t="e">
        <f>++Tabla4[[#This Row],[U. Bruta Uni]]*Tabla4[[#This Row],[Cantidad]]</f>
        <v>#N/A</v>
      </c>
      <c r="T1291" s="369" t="str">
        <f>VLOOKUP(Tabla4[[#This Row],[Producto]],Tabla6[#All],14,FALSE)</f>
        <v>Termico Solar</v>
      </c>
      <c r="U1291" s="284" t="e">
        <f>(IF(Tabla4[[#This Row],[Familia]]="termico solar",Tabla4[[#This Row],[Utilidad Total]]*6%,Tabla4[[#This Row],[Utilidad Total]]*11.5%))/Tabla4[[#This Row],[Total]]</f>
        <v>#N/A</v>
      </c>
      <c r="V1291" s="282" t="e">
        <f>+Tabla4[[#This Row],[Comisión Calculada]]*Tabla4[[#This Row],[Total]]</f>
        <v>#N/A</v>
      </c>
    </row>
    <row r="1292" spans="1:22" hidden="1" x14ac:dyDescent="0.25">
      <c r="A1292" s="100">
        <v>45731</v>
      </c>
      <c r="B1292" t="str">
        <f t="shared" si="56"/>
        <v>March</v>
      </c>
      <c r="C1292" s="46" t="s">
        <v>280</v>
      </c>
      <c r="F1292" s="366" t="s">
        <v>1232</v>
      </c>
      <c r="G1292" s="46" t="s">
        <v>208</v>
      </c>
      <c r="H1292" s="46">
        <v>1</v>
      </c>
      <c r="I1292" s="51">
        <v>189.75</v>
      </c>
      <c r="J1292" s="281">
        <f>++Tabla4[[#This Row],[Precio Bruto]]*1.16</f>
        <v>220.10999999999999</v>
      </c>
      <c r="K1292" s="281">
        <f>+Tabla4[[#This Row],[Precio Unitario Neto]]*Tabla4[[#Headers],[20.85%]]</f>
        <v>45.892934999999994</v>
      </c>
      <c r="L1292" s="282">
        <f>++Tabla4[[#This Row],[Precio Unitario Neto]]-Tabla4[[#This Row],[20.85%]]</f>
        <v>174.21706499999999</v>
      </c>
      <c r="M1292" s="282" t="e">
        <f>(INDEX(Tabla6[#All],MATCH(Tabla4[[#This Row],[Producto]],Tabla6[[#All],[PRODUCTO]],0),MATCH(Tabla4[[#This Row],[Mes]],Tabla6[#Headers],0)))*(1+Catalogos!$L$2)</f>
        <v>#N/A</v>
      </c>
      <c r="N1292" s="283" t="e">
        <f>+(Tabla4[[#This Row],[Precio Descontado]]-Tabla4[[#This Row],[Precio Base]])*Tabla4[[#This Row],[Cantidad]]</f>
        <v>#N/A</v>
      </c>
      <c r="O1292" s="284" t="e">
        <f>++Tabla4[[#This Row],[Utilidad Total]]/Tabla4[[#This Row],[Total]]</f>
        <v>#N/A</v>
      </c>
      <c r="P1292" s="282">
        <f>++Tabla4[[#This Row],[Precio Descontado]]*Tabla4[[#This Row],[Cantidad]]</f>
        <v>174.21706499999999</v>
      </c>
      <c r="Q1292" s="282" t="e">
        <f>(INDEX(Tabla6[#All],MATCH(Tabla4[[#This Row],[Producto]],Tabla6[[#All],[PRODUCTO]],0),MATCH(Tabla4[[#This Row],[Mes]],Tabla6[#Headers],0)))</f>
        <v>#N/A</v>
      </c>
      <c r="R1292" s="282" t="e">
        <f>++Tabla4[[#This Row],[Precio Unitario Neto]]-Tabla4[[#This Row],[20.85%]]-Tabla4[[#This Row],[Costo]]</f>
        <v>#N/A</v>
      </c>
      <c r="S1292" s="282" t="e">
        <f>++Tabla4[[#This Row],[U. Bruta Uni]]*Tabla4[[#This Row],[Cantidad]]</f>
        <v>#N/A</v>
      </c>
      <c r="T1292" s="369" t="str">
        <f>VLOOKUP(Tabla4[[#This Row],[Producto]],Tabla6[#All],14,FALSE)</f>
        <v>Termico Solar</v>
      </c>
      <c r="U1292" s="284" t="e">
        <f>(IF(Tabla4[[#This Row],[Familia]]="termico solar",Tabla4[[#This Row],[Utilidad Total]]*6%,Tabla4[[#This Row],[Utilidad Total]]*11.5%))/Tabla4[[#This Row],[Total]]</f>
        <v>#N/A</v>
      </c>
      <c r="V1292" s="282" t="e">
        <f>+Tabla4[[#This Row],[Comisión Calculada]]*Tabla4[[#This Row],[Total]]</f>
        <v>#N/A</v>
      </c>
    </row>
    <row r="1293" spans="1:22" hidden="1" x14ac:dyDescent="0.25">
      <c r="A1293" s="100">
        <v>45731</v>
      </c>
      <c r="B1293" t="str">
        <f t="shared" ref="B1293:B1327" si="57">TEXT(A1293, "mmmm")</f>
        <v>March</v>
      </c>
      <c r="C1293" s="46" t="s">
        <v>280</v>
      </c>
      <c r="F1293" s="366" t="s">
        <v>1233</v>
      </c>
      <c r="G1293" s="46" t="s">
        <v>16</v>
      </c>
      <c r="H1293" s="46">
        <v>2</v>
      </c>
      <c r="I1293" s="51">
        <v>4103.8500000000004</v>
      </c>
      <c r="J1293" s="281">
        <f>++Tabla4[[#This Row],[Precio Bruto]]*1.16</f>
        <v>4760.4660000000003</v>
      </c>
      <c r="K1293" s="281">
        <f>+Tabla4[[#This Row],[Precio Unitario Neto]]*Tabla4[[#Headers],[20.85%]]</f>
        <v>992.55716100000006</v>
      </c>
      <c r="L1293" s="282">
        <f>++Tabla4[[#This Row],[Precio Unitario Neto]]-Tabla4[[#This Row],[20.85%]]</f>
        <v>3767.9088390000002</v>
      </c>
      <c r="M1293" s="282" t="e">
        <f>(INDEX(Tabla6[#All],MATCH(Tabla4[[#This Row],[Producto]],Tabla6[[#All],[PRODUCTO]],0),MATCH(Tabla4[[#This Row],[Mes]],Tabla6[#Headers],0)))*(1+Catalogos!$L$2)</f>
        <v>#N/A</v>
      </c>
      <c r="N1293" s="283" t="e">
        <f>+(Tabla4[[#This Row],[Precio Descontado]]-Tabla4[[#This Row],[Precio Base]])*Tabla4[[#This Row],[Cantidad]]</f>
        <v>#N/A</v>
      </c>
      <c r="O1293" s="284" t="e">
        <f>++Tabla4[[#This Row],[Utilidad Total]]/Tabla4[[#This Row],[Total]]</f>
        <v>#N/A</v>
      </c>
      <c r="P1293" s="282">
        <f>++Tabla4[[#This Row],[Precio Descontado]]*Tabla4[[#This Row],[Cantidad]]</f>
        <v>7535.8176780000003</v>
      </c>
      <c r="Q1293" s="282" t="e">
        <f>(INDEX(Tabla6[#All],MATCH(Tabla4[[#This Row],[Producto]],Tabla6[[#All],[PRODUCTO]],0),MATCH(Tabla4[[#This Row],[Mes]],Tabla6[#Headers],0)))</f>
        <v>#N/A</v>
      </c>
      <c r="R1293" s="282" t="e">
        <f>++Tabla4[[#This Row],[Precio Unitario Neto]]-Tabla4[[#This Row],[20.85%]]-Tabla4[[#This Row],[Costo]]</f>
        <v>#N/A</v>
      </c>
      <c r="S1293" s="282" t="e">
        <f>++Tabla4[[#This Row],[U. Bruta Uni]]*Tabla4[[#This Row],[Cantidad]]</f>
        <v>#N/A</v>
      </c>
      <c r="T1293" s="369" t="str">
        <f>VLOOKUP(Tabla4[[#This Row],[Producto]],Tabla6[#All],14,FALSE)</f>
        <v>Termico Solar</v>
      </c>
      <c r="U1293" s="284" t="e">
        <f>(IF(Tabla4[[#This Row],[Familia]]="termico solar",Tabla4[[#This Row],[Utilidad Total]]*6%,Tabla4[[#This Row],[Utilidad Total]]*11.5%))/Tabla4[[#This Row],[Total]]</f>
        <v>#N/A</v>
      </c>
      <c r="V1293" s="282" t="e">
        <f>+Tabla4[[#This Row],[Comisión Calculada]]*Tabla4[[#This Row],[Total]]</f>
        <v>#N/A</v>
      </c>
    </row>
    <row r="1294" spans="1:22" hidden="1" x14ac:dyDescent="0.25">
      <c r="A1294" s="100">
        <v>45731</v>
      </c>
      <c r="B1294" t="str">
        <f t="shared" si="57"/>
        <v>March</v>
      </c>
      <c r="C1294" s="46" t="s">
        <v>280</v>
      </c>
      <c r="F1294" s="366" t="s">
        <v>1233</v>
      </c>
      <c r="G1294" s="46" t="s">
        <v>394</v>
      </c>
      <c r="H1294" s="46">
        <v>16</v>
      </c>
      <c r="I1294" s="51">
        <v>224.29</v>
      </c>
      <c r="J1294" s="281">
        <f>++Tabla4[[#This Row],[Precio Bruto]]*1.16</f>
        <v>260.1764</v>
      </c>
      <c r="K1294" s="281">
        <f>+Tabla4[[#This Row],[Precio Unitario Neto]]*Tabla4[[#Headers],[20.85%]]</f>
        <v>54.246779400000001</v>
      </c>
      <c r="L1294" s="282">
        <f>++Tabla4[[#This Row],[Precio Unitario Neto]]-Tabla4[[#This Row],[20.85%]]</f>
        <v>205.92962059999999</v>
      </c>
      <c r="M1294" s="282" t="e">
        <f>(INDEX(Tabla6[#All],MATCH(Tabla4[[#This Row],[Producto]],Tabla6[[#All],[PRODUCTO]],0),MATCH(Tabla4[[#This Row],[Mes]],Tabla6[#Headers],0)))*(1+Catalogos!$L$2)</f>
        <v>#N/A</v>
      </c>
      <c r="N1294" s="283" t="e">
        <f>+(Tabla4[[#This Row],[Precio Descontado]]-Tabla4[[#This Row],[Precio Base]])*Tabla4[[#This Row],[Cantidad]]</f>
        <v>#N/A</v>
      </c>
      <c r="O1294" s="284" t="e">
        <f>++Tabla4[[#This Row],[Utilidad Total]]/Tabla4[[#This Row],[Total]]</f>
        <v>#N/A</v>
      </c>
      <c r="P1294" s="282">
        <f>++Tabla4[[#This Row],[Precio Descontado]]*Tabla4[[#This Row],[Cantidad]]</f>
        <v>3294.8739295999999</v>
      </c>
      <c r="Q1294" s="282" t="e">
        <f>(INDEX(Tabla6[#All],MATCH(Tabla4[[#This Row],[Producto]],Tabla6[[#All],[PRODUCTO]],0),MATCH(Tabla4[[#This Row],[Mes]],Tabla6[#Headers],0)))</f>
        <v>#N/A</v>
      </c>
      <c r="R1294" s="282" t="e">
        <f>++Tabla4[[#This Row],[Precio Unitario Neto]]-Tabla4[[#This Row],[20.85%]]-Tabla4[[#This Row],[Costo]]</f>
        <v>#N/A</v>
      </c>
      <c r="S1294" s="282" t="e">
        <f>++Tabla4[[#This Row],[U. Bruta Uni]]*Tabla4[[#This Row],[Cantidad]]</f>
        <v>#N/A</v>
      </c>
      <c r="T1294" s="369" t="str">
        <f>VLOOKUP(Tabla4[[#This Row],[Producto]],Tabla6[#All],14,FALSE)</f>
        <v>Termico Solar</v>
      </c>
      <c r="U1294" s="284" t="e">
        <f>(IF(Tabla4[[#This Row],[Familia]]="termico solar",Tabla4[[#This Row],[Utilidad Total]]*6%,Tabla4[[#This Row],[Utilidad Total]]*11.5%))/Tabla4[[#This Row],[Total]]</f>
        <v>#N/A</v>
      </c>
      <c r="V1294" s="282" t="e">
        <f>+Tabla4[[#This Row],[Comisión Calculada]]*Tabla4[[#This Row],[Total]]</f>
        <v>#N/A</v>
      </c>
    </row>
    <row r="1295" spans="1:22" hidden="1" x14ac:dyDescent="0.25">
      <c r="A1295" s="100">
        <v>45731</v>
      </c>
      <c r="B1295" t="str">
        <f t="shared" si="57"/>
        <v>March</v>
      </c>
      <c r="C1295" s="46" t="s">
        <v>280</v>
      </c>
      <c r="F1295" s="366" t="s">
        <v>1233</v>
      </c>
      <c r="G1295" s="46" t="s">
        <v>555</v>
      </c>
      <c r="H1295" s="46">
        <v>8</v>
      </c>
      <c r="I1295" s="51">
        <v>389.47</v>
      </c>
      <c r="J1295" s="281">
        <f>++Tabla4[[#This Row],[Precio Bruto]]*1.16</f>
        <v>451.78519999999997</v>
      </c>
      <c r="K1295" s="281">
        <f>+Tabla4[[#This Row],[Precio Unitario Neto]]*Tabla4[[#Headers],[20.85%]]</f>
        <v>94.197214199999991</v>
      </c>
      <c r="L1295" s="282">
        <f>++Tabla4[[#This Row],[Precio Unitario Neto]]-Tabla4[[#This Row],[20.85%]]</f>
        <v>357.58798579999996</v>
      </c>
      <c r="M1295" s="282" t="e">
        <f>(INDEX(Tabla6[#All],MATCH(Tabla4[[#This Row],[Producto]],Tabla6[[#All],[PRODUCTO]],0),MATCH(Tabla4[[#This Row],[Mes]],Tabla6[#Headers],0)))*(1+Catalogos!$L$2)</f>
        <v>#N/A</v>
      </c>
      <c r="N1295" s="283" t="e">
        <f>+(Tabla4[[#This Row],[Precio Descontado]]-Tabla4[[#This Row],[Precio Base]])*Tabla4[[#This Row],[Cantidad]]</f>
        <v>#N/A</v>
      </c>
      <c r="O1295" s="284" t="e">
        <f>++Tabla4[[#This Row],[Utilidad Total]]/Tabla4[[#This Row],[Total]]</f>
        <v>#N/A</v>
      </c>
      <c r="P1295" s="282">
        <f>++Tabla4[[#This Row],[Precio Descontado]]*Tabla4[[#This Row],[Cantidad]]</f>
        <v>2860.7038863999996</v>
      </c>
      <c r="Q1295" s="282" t="e">
        <f>(INDEX(Tabla6[#All],MATCH(Tabla4[[#This Row],[Producto]],Tabla6[[#All],[PRODUCTO]],0),MATCH(Tabla4[[#This Row],[Mes]],Tabla6[#Headers],0)))</f>
        <v>#N/A</v>
      </c>
      <c r="R1295" s="282" t="e">
        <f>++Tabla4[[#This Row],[Precio Unitario Neto]]-Tabla4[[#This Row],[20.85%]]-Tabla4[[#This Row],[Costo]]</f>
        <v>#N/A</v>
      </c>
      <c r="S1295" s="282" t="e">
        <f>++Tabla4[[#This Row],[U. Bruta Uni]]*Tabla4[[#This Row],[Cantidad]]</f>
        <v>#N/A</v>
      </c>
      <c r="T1295" s="369" t="str">
        <f>VLOOKUP(Tabla4[[#This Row],[Producto]],Tabla6[#All],14,FALSE)</f>
        <v>Termico Solar</v>
      </c>
      <c r="U1295" s="284" t="e">
        <f>(IF(Tabla4[[#This Row],[Familia]]="termico solar",Tabla4[[#This Row],[Utilidad Total]]*6%,Tabla4[[#This Row],[Utilidad Total]]*11.5%))/Tabla4[[#This Row],[Total]]</f>
        <v>#N/A</v>
      </c>
      <c r="V1295" s="282" t="e">
        <f>+Tabla4[[#This Row],[Comisión Calculada]]*Tabla4[[#This Row],[Total]]</f>
        <v>#N/A</v>
      </c>
    </row>
    <row r="1296" spans="1:22" hidden="1" x14ac:dyDescent="0.25">
      <c r="A1296" s="100">
        <v>45731</v>
      </c>
      <c r="B1296" t="str">
        <f t="shared" si="57"/>
        <v>March</v>
      </c>
      <c r="C1296" s="46" t="s">
        <v>280</v>
      </c>
      <c r="F1296" s="366" t="s">
        <v>1233</v>
      </c>
      <c r="G1296" s="46" t="s">
        <v>208</v>
      </c>
      <c r="H1296" s="46">
        <v>2</v>
      </c>
      <c r="I1296" s="51">
        <v>189.75</v>
      </c>
      <c r="J1296" s="281">
        <f>++Tabla4[[#This Row],[Precio Bruto]]*1.16</f>
        <v>220.10999999999999</v>
      </c>
      <c r="K1296" s="281">
        <f>+Tabla4[[#This Row],[Precio Unitario Neto]]*Tabla4[[#Headers],[20.85%]]</f>
        <v>45.892934999999994</v>
      </c>
      <c r="L1296" s="282">
        <f>++Tabla4[[#This Row],[Precio Unitario Neto]]-Tabla4[[#This Row],[20.85%]]</f>
        <v>174.21706499999999</v>
      </c>
      <c r="M1296" s="282" t="e">
        <f>(INDEX(Tabla6[#All],MATCH(Tabla4[[#This Row],[Producto]],Tabla6[[#All],[PRODUCTO]],0),MATCH(Tabla4[[#This Row],[Mes]],Tabla6[#Headers],0)))*(1+Catalogos!$L$2)</f>
        <v>#N/A</v>
      </c>
      <c r="N1296" s="283" t="e">
        <f>+(Tabla4[[#This Row],[Precio Descontado]]-Tabla4[[#This Row],[Precio Base]])*Tabla4[[#This Row],[Cantidad]]</f>
        <v>#N/A</v>
      </c>
      <c r="O1296" s="284" t="e">
        <f>++Tabla4[[#This Row],[Utilidad Total]]/Tabla4[[#This Row],[Total]]</f>
        <v>#N/A</v>
      </c>
      <c r="P1296" s="282">
        <f>++Tabla4[[#This Row],[Precio Descontado]]*Tabla4[[#This Row],[Cantidad]]</f>
        <v>348.43412999999998</v>
      </c>
      <c r="Q1296" s="282" t="e">
        <f>(INDEX(Tabla6[#All],MATCH(Tabla4[[#This Row],[Producto]],Tabla6[[#All],[PRODUCTO]],0),MATCH(Tabla4[[#This Row],[Mes]],Tabla6[#Headers],0)))</f>
        <v>#N/A</v>
      </c>
      <c r="R1296" s="282" t="e">
        <f>++Tabla4[[#This Row],[Precio Unitario Neto]]-Tabla4[[#This Row],[20.85%]]-Tabla4[[#This Row],[Costo]]</f>
        <v>#N/A</v>
      </c>
      <c r="S1296" s="282" t="e">
        <f>++Tabla4[[#This Row],[U. Bruta Uni]]*Tabla4[[#This Row],[Cantidad]]</f>
        <v>#N/A</v>
      </c>
      <c r="T1296" s="369" t="str">
        <f>VLOOKUP(Tabla4[[#This Row],[Producto]],Tabla6[#All],14,FALSE)</f>
        <v>Termico Solar</v>
      </c>
      <c r="U1296" s="284" t="e">
        <f>(IF(Tabla4[[#This Row],[Familia]]="termico solar",Tabla4[[#This Row],[Utilidad Total]]*6%,Tabla4[[#This Row],[Utilidad Total]]*11.5%))/Tabla4[[#This Row],[Total]]</f>
        <v>#N/A</v>
      </c>
      <c r="V1296" s="282" t="e">
        <f>+Tabla4[[#This Row],[Comisión Calculada]]*Tabla4[[#This Row],[Total]]</f>
        <v>#N/A</v>
      </c>
    </row>
    <row r="1297" spans="1:22" hidden="1" x14ac:dyDescent="0.25">
      <c r="A1297" s="100">
        <v>45731</v>
      </c>
      <c r="B1297" t="str">
        <f t="shared" si="57"/>
        <v>March</v>
      </c>
      <c r="C1297" s="46" t="s">
        <v>280</v>
      </c>
      <c r="F1297" s="366" t="s">
        <v>1234</v>
      </c>
      <c r="G1297" s="46" t="s">
        <v>17</v>
      </c>
      <c r="H1297" s="46">
        <v>1</v>
      </c>
      <c r="I1297" s="51">
        <v>4622.28</v>
      </c>
      <c r="J1297" s="281">
        <f>++Tabla4[[#This Row],[Precio Bruto]]*1.16</f>
        <v>5361.8447999999989</v>
      </c>
      <c r="K1297" s="281">
        <f>+Tabla4[[#This Row],[Precio Unitario Neto]]*Tabla4[[#Headers],[20.85%]]</f>
        <v>1117.9446407999997</v>
      </c>
      <c r="L1297" s="282">
        <f>++Tabla4[[#This Row],[Precio Unitario Neto]]-Tabla4[[#This Row],[20.85%]]</f>
        <v>4243.9001591999995</v>
      </c>
      <c r="M1297" s="282" t="e">
        <f>(INDEX(Tabla6[#All],MATCH(Tabla4[[#This Row],[Producto]],Tabla6[[#All],[PRODUCTO]],0),MATCH(Tabla4[[#This Row],[Mes]],Tabla6[#Headers],0)))*(1+Catalogos!$L$2)</f>
        <v>#N/A</v>
      </c>
      <c r="N1297" s="283" t="e">
        <f>+(Tabla4[[#This Row],[Precio Descontado]]-Tabla4[[#This Row],[Precio Base]])*Tabla4[[#This Row],[Cantidad]]</f>
        <v>#N/A</v>
      </c>
      <c r="O1297" s="284" t="e">
        <f>++Tabla4[[#This Row],[Utilidad Total]]/Tabla4[[#This Row],[Total]]</f>
        <v>#N/A</v>
      </c>
      <c r="P1297" s="282">
        <f>++Tabla4[[#This Row],[Precio Descontado]]*Tabla4[[#This Row],[Cantidad]]</f>
        <v>4243.9001591999995</v>
      </c>
      <c r="Q1297" s="282" t="e">
        <f>(INDEX(Tabla6[#All],MATCH(Tabla4[[#This Row],[Producto]],Tabla6[[#All],[PRODUCTO]],0),MATCH(Tabla4[[#This Row],[Mes]],Tabla6[#Headers],0)))</f>
        <v>#N/A</v>
      </c>
      <c r="R1297" s="282" t="e">
        <f>++Tabla4[[#This Row],[Precio Unitario Neto]]-Tabla4[[#This Row],[20.85%]]-Tabla4[[#This Row],[Costo]]</f>
        <v>#N/A</v>
      </c>
      <c r="S1297" s="282" t="e">
        <f>++Tabla4[[#This Row],[U. Bruta Uni]]*Tabla4[[#This Row],[Cantidad]]</f>
        <v>#N/A</v>
      </c>
      <c r="T1297" s="369" t="str">
        <f>VLOOKUP(Tabla4[[#This Row],[Producto]],Tabla6[#All],14,FALSE)</f>
        <v>Termico Solar</v>
      </c>
      <c r="U1297" s="284" t="e">
        <f>(IF(Tabla4[[#This Row],[Familia]]="termico solar",Tabla4[[#This Row],[Utilidad Total]]*6%,Tabla4[[#This Row],[Utilidad Total]]*11.5%))/Tabla4[[#This Row],[Total]]</f>
        <v>#N/A</v>
      </c>
      <c r="V1297" s="282" t="e">
        <f>+Tabla4[[#This Row],[Comisión Calculada]]*Tabla4[[#This Row],[Total]]</f>
        <v>#N/A</v>
      </c>
    </row>
    <row r="1298" spans="1:22" hidden="1" x14ac:dyDescent="0.25">
      <c r="A1298" s="100">
        <v>45731</v>
      </c>
      <c r="B1298" t="str">
        <f t="shared" si="57"/>
        <v>March</v>
      </c>
      <c r="C1298" s="46" t="s">
        <v>280</v>
      </c>
      <c r="F1298" s="366" t="s">
        <v>1234</v>
      </c>
      <c r="G1298" s="46" t="s">
        <v>18</v>
      </c>
      <c r="H1298" s="46">
        <v>2</v>
      </c>
      <c r="I1298" s="51">
        <v>5367.65</v>
      </c>
      <c r="J1298" s="281">
        <f>++Tabla4[[#This Row],[Precio Bruto]]*1.16</f>
        <v>6226.4739999999993</v>
      </c>
      <c r="K1298" s="281">
        <f>+Tabla4[[#This Row],[Precio Unitario Neto]]*Tabla4[[#Headers],[20.85%]]</f>
        <v>1298.2198289999999</v>
      </c>
      <c r="L1298" s="282">
        <f>++Tabla4[[#This Row],[Precio Unitario Neto]]-Tabla4[[#This Row],[20.85%]]</f>
        <v>4928.2541709999996</v>
      </c>
      <c r="M1298" s="282" t="e">
        <f>(INDEX(Tabla6[#All],MATCH(Tabla4[[#This Row],[Producto]],Tabla6[[#All],[PRODUCTO]],0),MATCH(Tabla4[[#This Row],[Mes]],Tabla6[#Headers],0)))*(1+Catalogos!$L$2)</f>
        <v>#N/A</v>
      </c>
      <c r="N1298" s="283" t="e">
        <f>+(Tabla4[[#This Row],[Precio Descontado]]-Tabla4[[#This Row],[Precio Base]])*Tabla4[[#This Row],[Cantidad]]</f>
        <v>#N/A</v>
      </c>
      <c r="O1298" s="284" t="e">
        <f>++Tabla4[[#This Row],[Utilidad Total]]/Tabla4[[#This Row],[Total]]</f>
        <v>#N/A</v>
      </c>
      <c r="P1298" s="282">
        <f>++Tabla4[[#This Row],[Precio Descontado]]*Tabla4[[#This Row],[Cantidad]]</f>
        <v>9856.5083419999992</v>
      </c>
      <c r="Q1298" s="282" t="e">
        <f>(INDEX(Tabla6[#All],MATCH(Tabla4[[#This Row],[Producto]],Tabla6[[#All],[PRODUCTO]],0),MATCH(Tabla4[[#This Row],[Mes]],Tabla6[#Headers],0)))</f>
        <v>#N/A</v>
      </c>
      <c r="R1298" s="282" t="e">
        <f>++Tabla4[[#This Row],[Precio Unitario Neto]]-Tabla4[[#This Row],[20.85%]]-Tabla4[[#This Row],[Costo]]</f>
        <v>#N/A</v>
      </c>
      <c r="S1298" s="282" t="e">
        <f>++Tabla4[[#This Row],[U. Bruta Uni]]*Tabla4[[#This Row],[Cantidad]]</f>
        <v>#N/A</v>
      </c>
      <c r="T1298" s="369" t="str">
        <f>VLOOKUP(Tabla4[[#This Row],[Producto]],Tabla6[#All],14,FALSE)</f>
        <v>Termico Solar</v>
      </c>
      <c r="U1298" s="284" t="e">
        <f>(IF(Tabla4[[#This Row],[Familia]]="termico solar",Tabla4[[#This Row],[Utilidad Total]]*6%,Tabla4[[#This Row],[Utilidad Total]]*11.5%))/Tabla4[[#This Row],[Total]]</f>
        <v>#N/A</v>
      </c>
      <c r="V1298" s="282" t="e">
        <f>+Tabla4[[#This Row],[Comisión Calculada]]*Tabla4[[#This Row],[Total]]</f>
        <v>#N/A</v>
      </c>
    </row>
    <row r="1299" spans="1:22" hidden="1" x14ac:dyDescent="0.25">
      <c r="A1299" s="100">
        <v>45731</v>
      </c>
      <c r="B1299" t="str">
        <f t="shared" si="57"/>
        <v>March</v>
      </c>
      <c r="C1299" s="46" t="s">
        <v>280</v>
      </c>
      <c r="F1299" s="366" t="s">
        <v>1234</v>
      </c>
      <c r="G1299" s="46" t="s">
        <v>394</v>
      </c>
      <c r="H1299" s="46">
        <v>16</v>
      </c>
      <c r="I1299" s="51">
        <v>224.29</v>
      </c>
      <c r="J1299" s="281">
        <f>++Tabla4[[#This Row],[Precio Bruto]]*1.16</f>
        <v>260.1764</v>
      </c>
      <c r="K1299" s="281">
        <f>+Tabla4[[#This Row],[Precio Unitario Neto]]*Tabla4[[#Headers],[20.85%]]</f>
        <v>54.246779400000001</v>
      </c>
      <c r="L1299" s="282">
        <f>++Tabla4[[#This Row],[Precio Unitario Neto]]-Tabla4[[#This Row],[20.85%]]</f>
        <v>205.92962059999999</v>
      </c>
      <c r="M1299" s="282" t="e">
        <f>(INDEX(Tabla6[#All],MATCH(Tabla4[[#This Row],[Producto]],Tabla6[[#All],[PRODUCTO]],0),MATCH(Tabla4[[#This Row],[Mes]],Tabla6[#Headers],0)))*(1+Catalogos!$L$2)</f>
        <v>#N/A</v>
      </c>
      <c r="N1299" s="283" t="e">
        <f>+(Tabla4[[#This Row],[Precio Descontado]]-Tabla4[[#This Row],[Precio Base]])*Tabla4[[#This Row],[Cantidad]]</f>
        <v>#N/A</v>
      </c>
      <c r="O1299" s="284" t="e">
        <f>++Tabla4[[#This Row],[Utilidad Total]]/Tabla4[[#This Row],[Total]]</f>
        <v>#N/A</v>
      </c>
      <c r="P1299" s="282">
        <f>++Tabla4[[#This Row],[Precio Descontado]]*Tabla4[[#This Row],[Cantidad]]</f>
        <v>3294.8739295999999</v>
      </c>
      <c r="Q1299" s="282" t="e">
        <f>(INDEX(Tabla6[#All],MATCH(Tabla4[[#This Row],[Producto]],Tabla6[[#All],[PRODUCTO]],0),MATCH(Tabla4[[#This Row],[Mes]],Tabla6[#Headers],0)))</f>
        <v>#N/A</v>
      </c>
      <c r="R1299" s="282" t="e">
        <f>++Tabla4[[#This Row],[Precio Unitario Neto]]-Tabla4[[#This Row],[20.85%]]-Tabla4[[#This Row],[Costo]]</f>
        <v>#N/A</v>
      </c>
      <c r="S1299" s="282" t="e">
        <f>++Tabla4[[#This Row],[U. Bruta Uni]]*Tabla4[[#This Row],[Cantidad]]</f>
        <v>#N/A</v>
      </c>
      <c r="T1299" s="369" t="str">
        <f>VLOOKUP(Tabla4[[#This Row],[Producto]],Tabla6[#All],14,FALSE)</f>
        <v>Termico Solar</v>
      </c>
      <c r="U1299" s="284" t="e">
        <f>(IF(Tabla4[[#This Row],[Familia]]="termico solar",Tabla4[[#This Row],[Utilidad Total]]*6%,Tabla4[[#This Row],[Utilidad Total]]*11.5%))/Tabla4[[#This Row],[Total]]</f>
        <v>#N/A</v>
      </c>
      <c r="V1299" s="282" t="e">
        <f>+Tabla4[[#This Row],[Comisión Calculada]]*Tabla4[[#This Row],[Total]]</f>
        <v>#N/A</v>
      </c>
    </row>
    <row r="1300" spans="1:22" hidden="1" x14ac:dyDescent="0.25">
      <c r="A1300" s="100">
        <v>45731</v>
      </c>
      <c r="B1300" t="str">
        <f t="shared" si="57"/>
        <v>March</v>
      </c>
      <c r="C1300" s="46" t="s">
        <v>280</v>
      </c>
      <c r="F1300" s="366" t="s">
        <v>1234</v>
      </c>
      <c r="G1300" s="46" t="s">
        <v>555</v>
      </c>
      <c r="H1300" s="46">
        <v>8</v>
      </c>
      <c r="I1300" s="51">
        <v>389.47</v>
      </c>
      <c r="J1300" s="281">
        <f>++Tabla4[[#This Row],[Precio Bruto]]*1.16</f>
        <v>451.78519999999997</v>
      </c>
      <c r="K1300" s="281">
        <f>+Tabla4[[#This Row],[Precio Unitario Neto]]*Tabla4[[#Headers],[20.85%]]</f>
        <v>94.197214199999991</v>
      </c>
      <c r="L1300" s="282">
        <f>++Tabla4[[#This Row],[Precio Unitario Neto]]-Tabla4[[#This Row],[20.85%]]</f>
        <v>357.58798579999996</v>
      </c>
      <c r="M1300" s="282" t="e">
        <f>(INDEX(Tabla6[#All],MATCH(Tabla4[[#This Row],[Producto]],Tabla6[[#All],[PRODUCTO]],0),MATCH(Tabla4[[#This Row],[Mes]],Tabla6[#Headers],0)))*(1+Catalogos!$L$2)</f>
        <v>#N/A</v>
      </c>
      <c r="N1300" s="283" t="e">
        <f>+(Tabla4[[#This Row],[Precio Descontado]]-Tabla4[[#This Row],[Precio Base]])*Tabla4[[#This Row],[Cantidad]]</f>
        <v>#N/A</v>
      </c>
      <c r="O1300" s="284" t="e">
        <f>++Tabla4[[#This Row],[Utilidad Total]]/Tabla4[[#This Row],[Total]]</f>
        <v>#N/A</v>
      </c>
      <c r="P1300" s="282">
        <f>++Tabla4[[#This Row],[Precio Descontado]]*Tabla4[[#This Row],[Cantidad]]</f>
        <v>2860.7038863999996</v>
      </c>
      <c r="Q1300" s="282" t="e">
        <f>(INDEX(Tabla6[#All],MATCH(Tabla4[[#This Row],[Producto]],Tabla6[[#All],[PRODUCTO]],0),MATCH(Tabla4[[#This Row],[Mes]],Tabla6[#Headers],0)))</f>
        <v>#N/A</v>
      </c>
      <c r="R1300" s="282" t="e">
        <f>++Tabla4[[#This Row],[Precio Unitario Neto]]-Tabla4[[#This Row],[20.85%]]-Tabla4[[#This Row],[Costo]]</f>
        <v>#N/A</v>
      </c>
      <c r="S1300" s="282" t="e">
        <f>++Tabla4[[#This Row],[U. Bruta Uni]]*Tabla4[[#This Row],[Cantidad]]</f>
        <v>#N/A</v>
      </c>
      <c r="T1300" s="369" t="str">
        <f>VLOOKUP(Tabla4[[#This Row],[Producto]],Tabla6[#All],14,FALSE)</f>
        <v>Termico Solar</v>
      </c>
      <c r="U1300" s="284" t="e">
        <f>(IF(Tabla4[[#This Row],[Familia]]="termico solar",Tabla4[[#This Row],[Utilidad Total]]*6%,Tabla4[[#This Row],[Utilidad Total]]*11.5%))/Tabla4[[#This Row],[Total]]</f>
        <v>#N/A</v>
      </c>
      <c r="V1300" s="282" t="e">
        <f>+Tabla4[[#This Row],[Comisión Calculada]]*Tabla4[[#This Row],[Total]]</f>
        <v>#N/A</v>
      </c>
    </row>
    <row r="1301" spans="1:22" hidden="1" x14ac:dyDescent="0.25">
      <c r="A1301" s="100">
        <v>45731</v>
      </c>
      <c r="B1301" t="str">
        <f t="shared" si="57"/>
        <v>March</v>
      </c>
      <c r="C1301" s="46" t="s">
        <v>280</v>
      </c>
      <c r="F1301" s="366" t="s">
        <v>1234</v>
      </c>
      <c r="G1301" s="46" t="s">
        <v>208</v>
      </c>
      <c r="H1301" s="46">
        <v>1</v>
      </c>
      <c r="I1301" s="51">
        <v>189.75</v>
      </c>
      <c r="J1301" s="281">
        <f>++Tabla4[[#This Row],[Precio Bruto]]*1.16</f>
        <v>220.10999999999999</v>
      </c>
      <c r="K1301" s="281">
        <f>+Tabla4[[#This Row],[Precio Unitario Neto]]*Tabla4[[#Headers],[20.85%]]</f>
        <v>45.892934999999994</v>
      </c>
      <c r="L1301" s="282">
        <f>++Tabla4[[#This Row],[Precio Unitario Neto]]-Tabla4[[#This Row],[20.85%]]</f>
        <v>174.21706499999999</v>
      </c>
      <c r="M1301" s="282" t="e">
        <f>(INDEX(Tabla6[#All],MATCH(Tabla4[[#This Row],[Producto]],Tabla6[[#All],[PRODUCTO]],0),MATCH(Tabla4[[#This Row],[Mes]],Tabla6[#Headers],0)))*(1+Catalogos!$L$2)</f>
        <v>#N/A</v>
      </c>
      <c r="N1301" s="283" t="e">
        <f>+(Tabla4[[#This Row],[Precio Descontado]]-Tabla4[[#This Row],[Precio Base]])*Tabla4[[#This Row],[Cantidad]]</f>
        <v>#N/A</v>
      </c>
      <c r="O1301" s="284" t="e">
        <f>++Tabla4[[#This Row],[Utilidad Total]]/Tabla4[[#This Row],[Total]]</f>
        <v>#N/A</v>
      </c>
      <c r="P1301" s="282">
        <f>++Tabla4[[#This Row],[Precio Descontado]]*Tabla4[[#This Row],[Cantidad]]</f>
        <v>174.21706499999999</v>
      </c>
      <c r="Q1301" s="282" t="e">
        <f>(INDEX(Tabla6[#All],MATCH(Tabla4[[#This Row],[Producto]],Tabla6[[#All],[PRODUCTO]],0),MATCH(Tabla4[[#This Row],[Mes]],Tabla6[#Headers],0)))</f>
        <v>#N/A</v>
      </c>
      <c r="R1301" s="282" t="e">
        <f>++Tabla4[[#This Row],[Precio Unitario Neto]]-Tabla4[[#This Row],[20.85%]]-Tabla4[[#This Row],[Costo]]</f>
        <v>#N/A</v>
      </c>
      <c r="S1301" s="282" t="e">
        <f>++Tabla4[[#This Row],[U. Bruta Uni]]*Tabla4[[#This Row],[Cantidad]]</f>
        <v>#N/A</v>
      </c>
      <c r="T1301" s="369" t="str">
        <f>VLOOKUP(Tabla4[[#This Row],[Producto]],Tabla6[#All],14,FALSE)</f>
        <v>Termico Solar</v>
      </c>
      <c r="U1301" s="284" t="e">
        <f>(IF(Tabla4[[#This Row],[Familia]]="termico solar",Tabla4[[#This Row],[Utilidad Total]]*6%,Tabla4[[#This Row],[Utilidad Total]]*11.5%))/Tabla4[[#This Row],[Total]]</f>
        <v>#N/A</v>
      </c>
      <c r="V1301" s="282" t="e">
        <f>+Tabla4[[#This Row],[Comisión Calculada]]*Tabla4[[#This Row],[Total]]</f>
        <v>#N/A</v>
      </c>
    </row>
    <row r="1302" spans="1:22" hidden="1" x14ac:dyDescent="0.25">
      <c r="A1302" s="100">
        <v>45731</v>
      </c>
      <c r="B1302" t="str">
        <f t="shared" si="57"/>
        <v>March</v>
      </c>
      <c r="C1302" s="46" t="s">
        <v>280</v>
      </c>
      <c r="F1302" s="366" t="s">
        <v>1235</v>
      </c>
      <c r="G1302" s="46" t="s">
        <v>17</v>
      </c>
      <c r="H1302" s="46">
        <v>3</v>
      </c>
      <c r="I1302" s="51">
        <v>4622.28</v>
      </c>
      <c r="J1302" s="281">
        <f>++Tabla4[[#This Row],[Precio Bruto]]*1.16</f>
        <v>5361.8447999999989</v>
      </c>
      <c r="K1302" s="281">
        <f>+Tabla4[[#This Row],[Precio Unitario Neto]]*Tabla4[[#Headers],[20.85%]]</f>
        <v>1117.9446407999997</v>
      </c>
      <c r="L1302" s="282">
        <f>++Tabla4[[#This Row],[Precio Unitario Neto]]-Tabla4[[#This Row],[20.85%]]</f>
        <v>4243.9001591999995</v>
      </c>
      <c r="M1302" s="282" t="e">
        <f>(INDEX(Tabla6[#All],MATCH(Tabla4[[#This Row],[Producto]],Tabla6[[#All],[PRODUCTO]],0),MATCH(Tabla4[[#This Row],[Mes]],Tabla6[#Headers],0)))*(1+Catalogos!$L$2)</f>
        <v>#N/A</v>
      </c>
      <c r="N1302" s="283" t="e">
        <f>+(Tabla4[[#This Row],[Precio Descontado]]-Tabla4[[#This Row],[Precio Base]])*Tabla4[[#This Row],[Cantidad]]</f>
        <v>#N/A</v>
      </c>
      <c r="O1302" s="284" t="e">
        <f>++Tabla4[[#This Row],[Utilidad Total]]/Tabla4[[#This Row],[Total]]</f>
        <v>#N/A</v>
      </c>
      <c r="P1302" s="282">
        <f>++Tabla4[[#This Row],[Precio Descontado]]*Tabla4[[#This Row],[Cantidad]]</f>
        <v>12731.700477599999</v>
      </c>
      <c r="Q1302" s="282" t="e">
        <f>(INDEX(Tabla6[#All],MATCH(Tabla4[[#This Row],[Producto]],Tabla6[[#All],[PRODUCTO]],0),MATCH(Tabla4[[#This Row],[Mes]],Tabla6[#Headers],0)))</f>
        <v>#N/A</v>
      </c>
      <c r="R1302" s="282" t="e">
        <f>++Tabla4[[#This Row],[Precio Unitario Neto]]-Tabla4[[#This Row],[20.85%]]-Tabla4[[#This Row],[Costo]]</f>
        <v>#N/A</v>
      </c>
      <c r="S1302" s="282" t="e">
        <f>++Tabla4[[#This Row],[U. Bruta Uni]]*Tabla4[[#This Row],[Cantidad]]</f>
        <v>#N/A</v>
      </c>
      <c r="T1302" s="369" t="str">
        <f>VLOOKUP(Tabla4[[#This Row],[Producto]],Tabla6[#All],14,FALSE)</f>
        <v>Termico Solar</v>
      </c>
      <c r="U1302" s="284" t="e">
        <f>(IF(Tabla4[[#This Row],[Familia]]="termico solar",Tabla4[[#This Row],[Utilidad Total]]*6%,Tabla4[[#This Row],[Utilidad Total]]*11.5%))/Tabla4[[#This Row],[Total]]</f>
        <v>#N/A</v>
      </c>
      <c r="V1302" s="282" t="e">
        <f>+Tabla4[[#This Row],[Comisión Calculada]]*Tabla4[[#This Row],[Total]]</f>
        <v>#N/A</v>
      </c>
    </row>
    <row r="1303" spans="1:22" hidden="1" x14ac:dyDescent="0.25">
      <c r="A1303" s="100">
        <v>45731</v>
      </c>
      <c r="B1303" t="str">
        <f t="shared" si="57"/>
        <v>March</v>
      </c>
      <c r="C1303" s="46" t="s">
        <v>280</v>
      </c>
      <c r="F1303" s="366" t="s">
        <v>1235</v>
      </c>
      <c r="G1303" s="46" t="s">
        <v>208</v>
      </c>
      <c r="H1303" s="46">
        <v>15</v>
      </c>
      <c r="I1303" s="51">
        <v>140.63</v>
      </c>
      <c r="J1303" s="281">
        <f>++Tabla4[[#This Row],[Precio Bruto]]*1.16</f>
        <v>163.13079999999999</v>
      </c>
      <c r="K1303" s="281">
        <f>+Tabla4[[#This Row],[Precio Unitario Neto]]*Tabla4[[#Headers],[20.85%]]</f>
        <v>34.012771799999996</v>
      </c>
      <c r="L1303" s="282">
        <f>++Tabla4[[#This Row],[Precio Unitario Neto]]-Tabla4[[#This Row],[20.85%]]</f>
        <v>129.1180282</v>
      </c>
      <c r="M1303" s="282" t="e">
        <f>(INDEX(Tabla6[#All],MATCH(Tabla4[[#This Row],[Producto]],Tabla6[[#All],[PRODUCTO]],0),MATCH(Tabla4[[#This Row],[Mes]],Tabla6[#Headers],0)))*(1+Catalogos!$L$2)</f>
        <v>#N/A</v>
      </c>
      <c r="N1303" s="283" t="e">
        <f>+(Tabla4[[#This Row],[Precio Descontado]]-Tabla4[[#This Row],[Precio Base]])*Tabla4[[#This Row],[Cantidad]]</f>
        <v>#N/A</v>
      </c>
      <c r="O1303" s="284" t="e">
        <f>++Tabla4[[#This Row],[Utilidad Total]]/Tabla4[[#This Row],[Total]]</f>
        <v>#N/A</v>
      </c>
      <c r="P1303" s="282">
        <f>++Tabla4[[#This Row],[Precio Descontado]]*Tabla4[[#This Row],[Cantidad]]</f>
        <v>1936.7704229999999</v>
      </c>
      <c r="Q1303" s="282" t="e">
        <f>(INDEX(Tabla6[#All],MATCH(Tabla4[[#This Row],[Producto]],Tabla6[[#All],[PRODUCTO]],0),MATCH(Tabla4[[#This Row],[Mes]],Tabla6[#Headers],0)))</f>
        <v>#N/A</v>
      </c>
      <c r="R1303" s="282" t="e">
        <f>++Tabla4[[#This Row],[Precio Unitario Neto]]-Tabla4[[#This Row],[20.85%]]-Tabla4[[#This Row],[Costo]]</f>
        <v>#N/A</v>
      </c>
      <c r="S1303" s="282" t="e">
        <f>++Tabla4[[#This Row],[U. Bruta Uni]]*Tabla4[[#This Row],[Cantidad]]</f>
        <v>#N/A</v>
      </c>
      <c r="T1303" s="369" t="str">
        <f>VLOOKUP(Tabla4[[#This Row],[Producto]],Tabla6[#All],14,FALSE)</f>
        <v>Termico Solar</v>
      </c>
      <c r="U1303" s="284" t="e">
        <f>(IF(Tabla4[[#This Row],[Familia]]="termico solar",Tabla4[[#This Row],[Utilidad Total]]*6%,Tabla4[[#This Row],[Utilidad Total]]*11.5%))/Tabla4[[#This Row],[Total]]</f>
        <v>#N/A</v>
      </c>
      <c r="V1303" s="282" t="e">
        <f>+Tabla4[[#This Row],[Comisión Calculada]]*Tabla4[[#This Row],[Total]]</f>
        <v>#N/A</v>
      </c>
    </row>
    <row r="1304" spans="1:22" ht="15.75" hidden="1" customHeight="1" x14ac:dyDescent="0.25">
      <c r="A1304" s="100">
        <v>45731</v>
      </c>
      <c r="B1304" t="str">
        <f t="shared" si="57"/>
        <v>March</v>
      </c>
      <c r="C1304" s="46" t="s">
        <v>280</v>
      </c>
      <c r="F1304" s="366" t="s">
        <v>1235</v>
      </c>
      <c r="G1304" s="46" t="s">
        <v>16</v>
      </c>
      <c r="H1304" s="46">
        <v>2</v>
      </c>
      <c r="I1304" s="51">
        <v>4103.8500000000004</v>
      </c>
      <c r="J1304" s="281">
        <f>++Tabla4[[#This Row],[Precio Bruto]]*1.16</f>
        <v>4760.4660000000003</v>
      </c>
      <c r="K1304" s="281">
        <f>+Tabla4[[#This Row],[Precio Unitario Neto]]*Tabla4[[#Headers],[20.85%]]</f>
        <v>992.55716100000006</v>
      </c>
      <c r="L1304" s="282">
        <f>++Tabla4[[#This Row],[Precio Unitario Neto]]-Tabla4[[#This Row],[20.85%]]</f>
        <v>3767.9088390000002</v>
      </c>
      <c r="M1304" s="282" t="e">
        <f>(INDEX(Tabla6[#All],MATCH(Tabla4[[#This Row],[Producto]],Tabla6[[#All],[PRODUCTO]],0),MATCH(Tabla4[[#This Row],[Mes]],Tabla6[#Headers],0)))*(1+Catalogos!$L$2)</f>
        <v>#N/A</v>
      </c>
      <c r="N1304" s="283" t="e">
        <f>+(Tabla4[[#This Row],[Precio Descontado]]-Tabla4[[#This Row],[Precio Base]])*Tabla4[[#This Row],[Cantidad]]</f>
        <v>#N/A</v>
      </c>
      <c r="O1304" s="284" t="e">
        <f>++Tabla4[[#This Row],[Utilidad Total]]/Tabla4[[#This Row],[Total]]</f>
        <v>#N/A</v>
      </c>
      <c r="P1304" s="282">
        <f>++Tabla4[[#This Row],[Precio Descontado]]*Tabla4[[#This Row],[Cantidad]]</f>
        <v>7535.8176780000003</v>
      </c>
      <c r="Q1304" s="282" t="e">
        <f>(INDEX(Tabla6[#All],MATCH(Tabla4[[#This Row],[Producto]],Tabla6[[#All],[PRODUCTO]],0),MATCH(Tabla4[[#This Row],[Mes]],Tabla6[#Headers],0)))</f>
        <v>#N/A</v>
      </c>
      <c r="R1304" s="282" t="e">
        <f>++Tabla4[[#This Row],[Precio Unitario Neto]]-Tabla4[[#This Row],[20.85%]]-Tabla4[[#This Row],[Costo]]</f>
        <v>#N/A</v>
      </c>
      <c r="S1304" s="282" t="e">
        <f>++Tabla4[[#This Row],[U. Bruta Uni]]*Tabla4[[#This Row],[Cantidad]]</f>
        <v>#N/A</v>
      </c>
      <c r="T1304" s="369" t="str">
        <f>VLOOKUP(Tabla4[[#This Row],[Producto]],Tabla6[#All],14,FALSE)</f>
        <v>Termico Solar</v>
      </c>
      <c r="U1304" s="284" t="e">
        <f>(IF(Tabla4[[#This Row],[Familia]]="termico solar",Tabla4[[#This Row],[Utilidad Total]]*6%,Tabla4[[#This Row],[Utilidad Total]]*11.5%))/Tabla4[[#This Row],[Total]]</f>
        <v>#N/A</v>
      </c>
      <c r="V1304" s="282" t="e">
        <f>+Tabla4[[#This Row],[Comisión Calculada]]*Tabla4[[#This Row],[Total]]</f>
        <v>#N/A</v>
      </c>
    </row>
    <row r="1305" spans="1:22" hidden="1" x14ac:dyDescent="0.25">
      <c r="A1305" s="100">
        <v>45731</v>
      </c>
      <c r="B1305" t="str">
        <f t="shared" si="57"/>
        <v>March</v>
      </c>
      <c r="C1305" s="46" t="s">
        <v>280</v>
      </c>
      <c r="F1305" s="366" t="s">
        <v>1235</v>
      </c>
      <c r="G1305" s="46" t="s">
        <v>555</v>
      </c>
      <c r="H1305" s="46">
        <v>8</v>
      </c>
      <c r="I1305" s="51">
        <v>389.47</v>
      </c>
      <c r="J1305" s="281">
        <f>++Tabla4[[#This Row],[Precio Bruto]]*1.16</f>
        <v>451.78519999999997</v>
      </c>
      <c r="K1305" s="281">
        <f>+Tabla4[[#This Row],[Precio Unitario Neto]]*Tabla4[[#Headers],[20.85%]]</f>
        <v>94.197214199999991</v>
      </c>
      <c r="L1305" s="282">
        <f>++Tabla4[[#This Row],[Precio Unitario Neto]]-Tabla4[[#This Row],[20.85%]]</f>
        <v>357.58798579999996</v>
      </c>
      <c r="M1305" s="282" t="e">
        <f>(INDEX(Tabla6[#All],MATCH(Tabla4[[#This Row],[Producto]],Tabla6[[#All],[PRODUCTO]],0),MATCH(Tabla4[[#This Row],[Mes]],Tabla6[#Headers],0)))*(1+Catalogos!$L$2)</f>
        <v>#N/A</v>
      </c>
      <c r="N1305" s="283" t="e">
        <f>+(Tabla4[[#This Row],[Precio Descontado]]-Tabla4[[#This Row],[Precio Base]])*Tabla4[[#This Row],[Cantidad]]</f>
        <v>#N/A</v>
      </c>
      <c r="O1305" s="284" t="e">
        <f>++Tabla4[[#This Row],[Utilidad Total]]/Tabla4[[#This Row],[Total]]</f>
        <v>#N/A</v>
      </c>
      <c r="P1305" s="282">
        <f>++Tabla4[[#This Row],[Precio Descontado]]*Tabla4[[#This Row],[Cantidad]]</f>
        <v>2860.7038863999996</v>
      </c>
      <c r="Q1305" s="282" t="e">
        <f>(INDEX(Tabla6[#All],MATCH(Tabla4[[#This Row],[Producto]],Tabla6[[#All],[PRODUCTO]],0),MATCH(Tabla4[[#This Row],[Mes]],Tabla6[#Headers],0)))</f>
        <v>#N/A</v>
      </c>
      <c r="R1305" s="282" t="e">
        <f>++Tabla4[[#This Row],[Precio Unitario Neto]]-Tabla4[[#This Row],[20.85%]]-Tabla4[[#This Row],[Costo]]</f>
        <v>#N/A</v>
      </c>
      <c r="S1305" s="282" t="e">
        <f>++Tabla4[[#This Row],[U. Bruta Uni]]*Tabla4[[#This Row],[Cantidad]]</f>
        <v>#N/A</v>
      </c>
      <c r="T1305" s="369" t="str">
        <f>VLOOKUP(Tabla4[[#This Row],[Producto]],Tabla6[#All],14,FALSE)</f>
        <v>Termico Solar</v>
      </c>
      <c r="U1305" s="284" t="e">
        <f>(IF(Tabla4[[#This Row],[Familia]]="termico solar",Tabla4[[#This Row],[Utilidad Total]]*6%,Tabla4[[#This Row],[Utilidad Total]]*11.5%))/Tabla4[[#This Row],[Total]]</f>
        <v>#N/A</v>
      </c>
      <c r="V1305" s="282" t="e">
        <f>+Tabla4[[#This Row],[Comisión Calculada]]*Tabla4[[#This Row],[Total]]</f>
        <v>#N/A</v>
      </c>
    </row>
    <row r="1306" spans="1:22" hidden="1" x14ac:dyDescent="0.25">
      <c r="A1306" s="100">
        <v>45731</v>
      </c>
      <c r="B1306" t="str">
        <f t="shared" si="57"/>
        <v>March</v>
      </c>
      <c r="C1306" s="46" t="s">
        <v>280</v>
      </c>
      <c r="F1306" s="366" t="s">
        <v>1235</v>
      </c>
      <c r="G1306" s="46" t="s">
        <v>208</v>
      </c>
      <c r="H1306" s="46">
        <v>2</v>
      </c>
      <c r="I1306" s="51">
        <v>189.75</v>
      </c>
      <c r="J1306" s="281">
        <f>++Tabla4[[#This Row],[Precio Bruto]]*1.16</f>
        <v>220.10999999999999</v>
      </c>
      <c r="K1306" s="281">
        <f>+Tabla4[[#This Row],[Precio Unitario Neto]]*Tabla4[[#Headers],[20.85%]]</f>
        <v>45.892934999999994</v>
      </c>
      <c r="L1306" s="282">
        <f>++Tabla4[[#This Row],[Precio Unitario Neto]]-Tabla4[[#This Row],[20.85%]]</f>
        <v>174.21706499999999</v>
      </c>
      <c r="M1306" s="282" t="e">
        <f>(INDEX(Tabla6[#All],MATCH(Tabla4[[#This Row],[Producto]],Tabla6[[#All],[PRODUCTO]],0),MATCH(Tabla4[[#This Row],[Mes]],Tabla6[#Headers],0)))*(1+Catalogos!$L$2)</f>
        <v>#N/A</v>
      </c>
      <c r="N1306" s="283" t="e">
        <f>+(Tabla4[[#This Row],[Precio Descontado]]-Tabla4[[#This Row],[Precio Base]])*Tabla4[[#This Row],[Cantidad]]</f>
        <v>#N/A</v>
      </c>
      <c r="O1306" s="284" t="e">
        <f>++Tabla4[[#This Row],[Utilidad Total]]/Tabla4[[#This Row],[Total]]</f>
        <v>#N/A</v>
      </c>
      <c r="P1306" s="282">
        <f>++Tabla4[[#This Row],[Precio Descontado]]*Tabla4[[#This Row],[Cantidad]]</f>
        <v>348.43412999999998</v>
      </c>
      <c r="Q1306" s="282" t="e">
        <f>(INDEX(Tabla6[#All],MATCH(Tabla4[[#This Row],[Producto]],Tabla6[[#All],[PRODUCTO]],0),MATCH(Tabla4[[#This Row],[Mes]],Tabla6[#Headers],0)))</f>
        <v>#N/A</v>
      </c>
      <c r="R1306" s="282" t="e">
        <f>++Tabla4[[#This Row],[Precio Unitario Neto]]-Tabla4[[#This Row],[20.85%]]-Tabla4[[#This Row],[Costo]]</f>
        <v>#N/A</v>
      </c>
      <c r="S1306" s="282" t="e">
        <f>++Tabla4[[#This Row],[U. Bruta Uni]]*Tabla4[[#This Row],[Cantidad]]</f>
        <v>#N/A</v>
      </c>
      <c r="T1306" s="369" t="str">
        <f>VLOOKUP(Tabla4[[#This Row],[Producto]],Tabla6[#All],14,FALSE)</f>
        <v>Termico Solar</v>
      </c>
      <c r="U1306" s="284" t="e">
        <f>(IF(Tabla4[[#This Row],[Familia]]="termico solar",Tabla4[[#This Row],[Utilidad Total]]*6%,Tabla4[[#This Row],[Utilidad Total]]*11.5%))/Tabla4[[#This Row],[Total]]</f>
        <v>#N/A</v>
      </c>
      <c r="V1306" s="282" t="e">
        <f>+Tabla4[[#This Row],[Comisión Calculada]]*Tabla4[[#This Row],[Total]]</f>
        <v>#N/A</v>
      </c>
    </row>
    <row r="1307" spans="1:22" hidden="1" x14ac:dyDescent="0.25">
      <c r="A1307" s="100">
        <v>45731</v>
      </c>
      <c r="B1307" t="str">
        <f t="shared" si="57"/>
        <v>March</v>
      </c>
      <c r="C1307" s="46" t="s">
        <v>280</v>
      </c>
      <c r="F1307" s="366" t="s">
        <v>1236</v>
      </c>
      <c r="G1307" s="46" t="s">
        <v>83</v>
      </c>
      <c r="H1307" s="46">
        <v>2</v>
      </c>
      <c r="I1307" s="51">
        <v>8858.76</v>
      </c>
      <c r="J1307" s="281">
        <f>++Tabla4[[#This Row],[Precio Bruto]]*1.16</f>
        <v>10276.161599999999</v>
      </c>
      <c r="K1307" s="281">
        <f>+Tabla4[[#This Row],[Precio Unitario Neto]]*Tabla4[[#Headers],[20.85%]]</f>
        <v>2142.5796935999997</v>
      </c>
      <c r="L1307" s="282">
        <f>++Tabla4[[#This Row],[Precio Unitario Neto]]-Tabla4[[#This Row],[20.85%]]</f>
        <v>8133.5819063999998</v>
      </c>
      <c r="M1307" s="282" t="e">
        <f>(INDEX(Tabla6[#All],MATCH(Tabla4[[#This Row],[Producto]],Tabla6[[#All],[PRODUCTO]],0),MATCH(Tabla4[[#This Row],[Mes]],Tabla6[#Headers],0)))*(1+Catalogos!$L$2)</f>
        <v>#N/A</v>
      </c>
      <c r="N1307" s="283" t="e">
        <f>+(Tabla4[[#This Row],[Precio Descontado]]-Tabla4[[#This Row],[Precio Base]])*Tabla4[[#This Row],[Cantidad]]</f>
        <v>#N/A</v>
      </c>
      <c r="O1307" s="284" t="e">
        <f>++Tabla4[[#This Row],[Utilidad Total]]/Tabla4[[#This Row],[Total]]</f>
        <v>#N/A</v>
      </c>
      <c r="P1307" s="282">
        <f>++Tabla4[[#This Row],[Precio Descontado]]*Tabla4[[#This Row],[Cantidad]]</f>
        <v>16267.1638128</v>
      </c>
      <c r="Q1307" s="282" t="e">
        <f>(INDEX(Tabla6[#All],MATCH(Tabla4[[#This Row],[Producto]],Tabla6[[#All],[PRODUCTO]],0),MATCH(Tabla4[[#This Row],[Mes]],Tabla6[#Headers],0)))</f>
        <v>#N/A</v>
      </c>
      <c r="R1307" s="282" t="e">
        <f>++Tabla4[[#This Row],[Precio Unitario Neto]]-Tabla4[[#This Row],[20.85%]]-Tabla4[[#This Row],[Costo]]</f>
        <v>#N/A</v>
      </c>
      <c r="S1307" s="282" t="e">
        <f>++Tabla4[[#This Row],[U. Bruta Uni]]*Tabla4[[#This Row],[Cantidad]]</f>
        <v>#N/A</v>
      </c>
      <c r="T1307" s="369" t="str">
        <f>VLOOKUP(Tabla4[[#This Row],[Producto]],Tabla6[#All],14,FALSE)</f>
        <v>Termico Solar</v>
      </c>
      <c r="U1307" s="284" t="e">
        <f>(IF(Tabla4[[#This Row],[Familia]]="termico solar",Tabla4[[#This Row],[Utilidad Total]]*6%,Tabla4[[#This Row],[Utilidad Total]]*11.5%))/Tabla4[[#This Row],[Total]]</f>
        <v>#N/A</v>
      </c>
      <c r="V1307" s="282" t="e">
        <f>+Tabla4[[#This Row],[Comisión Calculada]]*Tabla4[[#This Row],[Total]]</f>
        <v>#N/A</v>
      </c>
    </row>
    <row r="1308" spans="1:22" hidden="1" x14ac:dyDescent="0.25">
      <c r="A1308" s="100">
        <v>45731</v>
      </c>
      <c r="B1308" t="str">
        <f t="shared" si="57"/>
        <v>March</v>
      </c>
      <c r="C1308" s="46" t="s">
        <v>280</v>
      </c>
      <c r="F1308" s="366" t="s">
        <v>1236</v>
      </c>
      <c r="G1308" s="46" t="s">
        <v>17</v>
      </c>
      <c r="H1308" s="46">
        <v>1</v>
      </c>
      <c r="I1308" s="51">
        <v>4622.28</v>
      </c>
      <c r="J1308" s="281">
        <f>++Tabla4[[#This Row],[Precio Bruto]]*1.16</f>
        <v>5361.8447999999989</v>
      </c>
      <c r="K1308" s="281">
        <f>+Tabla4[[#This Row],[Precio Unitario Neto]]*Tabla4[[#Headers],[20.85%]]</f>
        <v>1117.9446407999997</v>
      </c>
      <c r="L1308" s="282">
        <f>++Tabla4[[#This Row],[Precio Unitario Neto]]-Tabla4[[#This Row],[20.85%]]</f>
        <v>4243.9001591999995</v>
      </c>
      <c r="M1308" s="282" t="e">
        <f>(INDEX(Tabla6[#All],MATCH(Tabla4[[#This Row],[Producto]],Tabla6[[#All],[PRODUCTO]],0),MATCH(Tabla4[[#This Row],[Mes]],Tabla6[#Headers],0)))*(1+Catalogos!$L$2)</f>
        <v>#N/A</v>
      </c>
      <c r="N1308" s="283" t="e">
        <f>+(Tabla4[[#This Row],[Precio Descontado]]-Tabla4[[#This Row],[Precio Base]])*Tabla4[[#This Row],[Cantidad]]</f>
        <v>#N/A</v>
      </c>
      <c r="O1308" s="284" t="e">
        <f>++Tabla4[[#This Row],[Utilidad Total]]/Tabla4[[#This Row],[Total]]</f>
        <v>#N/A</v>
      </c>
      <c r="P1308" s="282">
        <f>++Tabla4[[#This Row],[Precio Descontado]]*Tabla4[[#This Row],[Cantidad]]</f>
        <v>4243.9001591999995</v>
      </c>
      <c r="Q1308" s="282" t="e">
        <f>(INDEX(Tabla6[#All],MATCH(Tabla4[[#This Row],[Producto]],Tabla6[[#All],[PRODUCTO]],0),MATCH(Tabla4[[#This Row],[Mes]],Tabla6[#Headers],0)))</f>
        <v>#N/A</v>
      </c>
      <c r="R1308" s="282" t="e">
        <f>++Tabla4[[#This Row],[Precio Unitario Neto]]-Tabla4[[#This Row],[20.85%]]-Tabla4[[#This Row],[Costo]]</f>
        <v>#N/A</v>
      </c>
      <c r="S1308" s="282" t="e">
        <f>++Tabla4[[#This Row],[U. Bruta Uni]]*Tabla4[[#This Row],[Cantidad]]</f>
        <v>#N/A</v>
      </c>
      <c r="T1308" s="369" t="str">
        <f>VLOOKUP(Tabla4[[#This Row],[Producto]],Tabla6[#All],14,FALSE)</f>
        <v>Termico Solar</v>
      </c>
      <c r="U1308" s="284" t="e">
        <f>(IF(Tabla4[[#This Row],[Familia]]="termico solar",Tabla4[[#This Row],[Utilidad Total]]*6%,Tabla4[[#This Row],[Utilidad Total]]*11.5%))/Tabla4[[#This Row],[Total]]</f>
        <v>#N/A</v>
      </c>
      <c r="V1308" s="282" t="e">
        <f>+Tabla4[[#This Row],[Comisión Calculada]]*Tabla4[[#This Row],[Total]]</f>
        <v>#N/A</v>
      </c>
    </row>
    <row r="1309" spans="1:22" hidden="1" x14ac:dyDescent="0.25">
      <c r="A1309" s="100">
        <v>45731</v>
      </c>
      <c r="B1309" t="str">
        <f t="shared" si="57"/>
        <v>March</v>
      </c>
      <c r="C1309" s="46" t="s">
        <v>280</v>
      </c>
      <c r="F1309" s="366" t="s">
        <v>1236</v>
      </c>
      <c r="G1309" s="46" t="s">
        <v>208</v>
      </c>
      <c r="H1309" s="46">
        <v>15</v>
      </c>
      <c r="I1309" s="51">
        <v>140.63</v>
      </c>
      <c r="J1309" s="281">
        <f>++Tabla4[[#This Row],[Precio Bruto]]*1.16</f>
        <v>163.13079999999999</v>
      </c>
      <c r="K1309" s="281">
        <f>+Tabla4[[#This Row],[Precio Unitario Neto]]*Tabla4[[#Headers],[20.85%]]</f>
        <v>34.012771799999996</v>
      </c>
      <c r="L1309" s="282">
        <f>++Tabla4[[#This Row],[Precio Unitario Neto]]-Tabla4[[#This Row],[20.85%]]</f>
        <v>129.1180282</v>
      </c>
      <c r="M1309" s="282" t="e">
        <f>(INDEX(Tabla6[#All],MATCH(Tabla4[[#This Row],[Producto]],Tabla6[[#All],[PRODUCTO]],0),MATCH(Tabla4[[#This Row],[Mes]],Tabla6[#Headers],0)))*(1+Catalogos!$L$2)</f>
        <v>#N/A</v>
      </c>
      <c r="N1309" s="283" t="e">
        <f>+(Tabla4[[#This Row],[Precio Descontado]]-Tabla4[[#This Row],[Precio Base]])*Tabla4[[#This Row],[Cantidad]]</f>
        <v>#N/A</v>
      </c>
      <c r="O1309" s="284" t="e">
        <f>++Tabla4[[#This Row],[Utilidad Total]]/Tabla4[[#This Row],[Total]]</f>
        <v>#N/A</v>
      </c>
      <c r="P1309" s="282">
        <f>++Tabla4[[#This Row],[Precio Descontado]]*Tabla4[[#This Row],[Cantidad]]</f>
        <v>1936.7704229999999</v>
      </c>
      <c r="Q1309" s="282" t="e">
        <f>(INDEX(Tabla6[#All],MATCH(Tabla4[[#This Row],[Producto]],Tabla6[[#All],[PRODUCTO]],0),MATCH(Tabla4[[#This Row],[Mes]],Tabla6[#Headers],0)))</f>
        <v>#N/A</v>
      </c>
      <c r="R1309" s="282" t="e">
        <f>++Tabla4[[#This Row],[Precio Unitario Neto]]-Tabla4[[#This Row],[20.85%]]-Tabla4[[#This Row],[Costo]]</f>
        <v>#N/A</v>
      </c>
      <c r="S1309" s="282" t="e">
        <f>++Tabla4[[#This Row],[U. Bruta Uni]]*Tabla4[[#This Row],[Cantidad]]</f>
        <v>#N/A</v>
      </c>
      <c r="T1309" s="369" t="str">
        <f>VLOOKUP(Tabla4[[#This Row],[Producto]],Tabla6[#All],14,FALSE)</f>
        <v>Termico Solar</v>
      </c>
      <c r="U1309" s="284" t="e">
        <f>(IF(Tabla4[[#This Row],[Familia]]="termico solar",Tabla4[[#This Row],[Utilidad Total]]*6%,Tabla4[[#This Row],[Utilidad Total]]*11.5%))/Tabla4[[#This Row],[Total]]</f>
        <v>#N/A</v>
      </c>
      <c r="V1309" s="282" t="e">
        <f>+Tabla4[[#This Row],[Comisión Calculada]]*Tabla4[[#This Row],[Total]]</f>
        <v>#N/A</v>
      </c>
    </row>
    <row r="1310" spans="1:22" hidden="1" x14ac:dyDescent="0.25">
      <c r="A1310" s="100">
        <v>45731</v>
      </c>
      <c r="B1310" t="str">
        <f t="shared" si="57"/>
        <v>March</v>
      </c>
      <c r="C1310" s="46" t="s">
        <v>280</v>
      </c>
      <c r="F1310" s="366" t="s">
        <v>1237</v>
      </c>
      <c r="G1310" s="46" t="s">
        <v>208</v>
      </c>
      <c r="H1310" s="46">
        <v>15</v>
      </c>
      <c r="I1310" s="51">
        <v>140.63</v>
      </c>
      <c r="J1310" s="281">
        <f>++Tabla4[[#This Row],[Precio Bruto]]*1.16</f>
        <v>163.13079999999999</v>
      </c>
      <c r="K1310" s="281">
        <f>+Tabla4[[#This Row],[Precio Unitario Neto]]*Tabla4[[#Headers],[20.85%]]</f>
        <v>34.012771799999996</v>
      </c>
      <c r="L1310" s="282">
        <f>++Tabla4[[#This Row],[Precio Unitario Neto]]-Tabla4[[#This Row],[20.85%]]</f>
        <v>129.1180282</v>
      </c>
      <c r="M1310" s="282" t="e">
        <f>(INDEX(Tabla6[#All],MATCH(Tabla4[[#This Row],[Producto]],Tabla6[[#All],[PRODUCTO]],0),MATCH(Tabla4[[#This Row],[Mes]],Tabla6[#Headers],0)))*(1+Catalogos!$L$2)</f>
        <v>#N/A</v>
      </c>
      <c r="N1310" s="283" t="e">
        <f>+(Tabla4[[#This Row],[Precio Descontado]]-Tabla4[[#This Row],[Precio Base]])*Tabla4[[#This Row],[Cantidad]]</f>
        <v>#N/A</v>
      </c>
      <c r="O1310" s="284" t="e">
        <f>++Tabla4[[#This Row],[Utilidad Total]]/Tabla4[[#This Row],[Total]]</f>
        <v>#N/A</v>
      </c>
      <c r="P1310" s="282">
        <f>++Tabla4[[#This Row],[Precio Descontado]]*Tabla4[[#This Row],[Cantidad]]</f>
        <v>1936.7704229999999</v>
      </c>
      <c r="Q1310" s="282" t="e">
        <f>(INDEX(Tabla6[#All],MATCH(Tabla4[[#This Row],[Producto]],Tabla6[[#All],[PRODUCTO]],0),MATCH(Tabla4[[#This Row],[Mes]],Tabla6[#Headers],0)))</f>
        <v>#N/A</v>
      </c>
      <c r="R1310" s="282" t="e">
        <f>++Tabla4[[#This Row],[Precio Unitario Neto]]-Tabla4[[#This Row],[20.85%]]-Tabla4[[#This Row],[Costo]]</f>
        <v>#N/A</v>
      </c>
      <c r="S1310" s="282" t="e">
        <f>++Tabla4[[#This Row],[U. Bruta Uni]]*Tabla4[[#This Row],[Cantidad]]</f>
        <v>#N/A</v>
      </c>
      <c r="T1310" s="369" t="str">
        <f>VLOOKUP(Tabla4[[#This Row],[Producto]],Tabla6[#All],14,FALSE)</f>
        <v>Termico Solar</v>
      </c>
      <c r="U1310" s="284" t="e">
        <f>(IF(Tabla4[[#This Row],[Familia]]="termico solar",Tabla4[[#This Row],[Utilidad Total]]*6%,Tabla4[[#This Row],[Utilidad Total]]*11.5%))/Tabla4[[#This Row],[Total]]</f>
        <v>#N/A</v>
      </c>
      <c r="V1310" s="282" t="e">
        <f>+Tabla4[[#This Row],[Comisión Calculada]]*Tabla4[[#This Row],[Total]]</f>
        <v>#N/A</v>
      </c>
    </row>
    <row r="1311" spans="1:22" hidden="1" x14ac:dyDescent="0.25">
      <c r="A1311" s="100">
        <v>45731</v>
      </c>
      <c r="B1311" t="str">
        <f t="shared" si="57"/>
        <v>March</v>
      </c>
      <c r="C1311" s="46" t="s">
        <v>280</v>
      </c>
      <c r="F1311" s="366" t="s">
        <v>1237</v>
      </c>
      <c r="G1311" s="46" t="s">
        <v>208</v>
      </c>
      <c r="H1311" s="46">
        <v>1</v>
      </c>
      <c r="I1311" s="51">
        <v>189.75</v>
      </c>
      <c r="J1311" s="281">
        <f>++Tabla4[[#This Row],[Precio Bruto]]*1.16</f>
        <v>220.10999999999999</v>
      </c>
      <c r="K1311" s="281">
        <f>+Tabla4[[#This Row],[Precio Unitario Neto]]*Tabla4[[#Headers],[20.85%]]</f>
        <v>45.892934999999994</v>
      </c>
      <c r="L1311" s="282">
        <f>++Tabla4[[#This Row],[Precio Unitario Neto]]-Tabla4[[#This Row],[20.85%]]</f>
        <v>174.21706499999999</v>
      </c>
      <c r="M1311" s="282" t="e">
        <f>(INDEX(Tabla6[#All],MATCH(Tabla4[[#This Row],[Producto]],Tabla6[[#All],[PRODUCTO]],0),MATCH(Tabla4[[#This Row],[Mes]],Tabla6[#Headers],0)))*(1+Catalogos!$L$2)</f>
        <v>#N/A</v>
      </c>
      <c r="N1311" s="283" t="e">
        <f>+(Tabla4[[#This Row],[Precio Descontado]]-Tabla4[[#This Row],[Precio Base]])*Tabla4[[#This Row],[Cantidad]]</f>
        <v>#N/A</v>
      </c>
      <c r="O1311" s="284" t="e">
        <f>++Tabla4[[#This Row],[Utilidad Total]]/Tabla4[[#This Row],[Total]]</f>
        <v>#N/A</v>
      </c>
      <c r="P1311" s="282">
        <f>++Tabla4[[#This Row],[Precio Descontado]]*Tabla4[[#This Row],[Cantidad]]</f>
        <v>174.21706499999999</v>
      </c>
      <c r="Q1311" s="282" t="e">
        <f>(INDEX(Tabla6[#All],MATCH(Tabla4[[#This Row],[Producto]],Tabla6[[#All],[PRODUCTO]],0),MATCH(Tabla4[[#This Row],[Mes]],Tabla6[#Headers],0)))</f>
        <v>#N/A</v>
      </c>
      <c r="R1311" s="282" t="e">
        <f>++Tabla4[[#This Row],[Precio Unitario Neto]]-Tabla4[[#This Row],[20.85%]]-Tabla4[[#This Row],[Costo]]</f>
        <v>#N/A</v>
      </c>
      <c r="S1311" s="282" t="e">
        <f>++Tabla4[[#This Row],[U. Bruta Uni]]*Tabla4[[#This Row],[Cantidad]]</f>
        <v>#N/A</v>
      </c>
      <c r="T1311" s="369" t="str">
        <f>VLOOKUP(Tabla4[[#This Row],[Producto]],Tabla6[#All],14,FALSE)</f>
        <v>Termico Solar</v>
      </c>
      <c r="U1311" s="284" t="e">
        <f>(IF(Tabla4[[#This Row],[Familia]]="termico solar",Tabla4[[#This Row],[Utilidad Total]]*6%,Tabla4[[#This Row],[Utilidad Total]]*11.5%))/Tabla4[[#This Row],[Total]]</f>
        <v>#N/A</v>
      </c>
      <c r="V1311" s="282" t="e">
        <f>+Tabla4[[#This Row],[Comisión Calculada]]*Tabla4[[#This Row],[Total]]</f>
        <v>#N/A</v>
      </c>
    </row>
    <row r="1312" spans="1:22" hidden="1" x14ac:dyDescent="0.25">
      <c r="A1312" s="100">
        <v>45731</v>
      </c>
      <c r="B1312" t="str">
        <f t="shared" si="57"/>
        <v>March</v>
      </c>
      <c r="C1312" s="46" t="s">
        <v>280</v>
      </c>
      <c r="F1312" s="366" t="s">
        <v>1238</v>
      </c>
      <c r="G1312" s="46" t="s">
        <v>83</v>
      </c>
      <c r="H1312" s="46">
        <v>1</v>
      </c>
      <c r="I1312" s="51">
        <v>8858.76</v>
      </c>
      <c r="J1312" s="281">
        <f>++Tabla4[[#This Row],[Precio Bruto]]*1.16</f>
        <v>10276.161599999999</v>
      </c>
      <c r="K1312" s="281">
        <f>+Tabla4[[#This Row],[Precio Unitario Neto]]*Tabla4[[#Headers],[20.85%]]</f>
        <v>2142.5796935999997</v>
      </c>
      <c r="L1312" s="282">
        <f>++Tabla4[[#This Row],[Precio Unitario Neto]]-Tabla4[[#This Row],[20.85%]]</f>
        <v>8133.5819063999998</v>
      </c>
      <c r="M1312" s="282" t="e">
        <f>(INDEX(Tabla6[#All],MATCH(Tabla4[[#This Row],[Producto]],Tabla6[[#All],[PRODUCTO]],0),MATCH(Tabla4[[#This Row],[Mes]],Tabla6[#Headers],0)))*(1+Catalogos!$L$2)</f>
        <v>#N/A</v>
      </c>
      <c r="N1312" s="283" t="e">
        <f>+(Tabla4[[#This Row],[Precio Descontado]]-Tabla4[[#This Row],[Precio Base]])*Tabla4[[#This Row],[Cantidad]]</f>
        <v>#N/A</v>
      </c>
      <c r="O1312" s="284" t="e">
        <f>++Tabla4[[#This Row],[Utilidad Total]]/Tabla4[[#This Row],[Total]]</f>
        <v>#N/A</v>
      </c>
      <c r="P1312" s="282">
        <f>++Tabla4[[#This Row],[Precio Descontado]]*Tabla4[[#This Row],[Cantidad]]</f>
        <v>8133.5819063999998</v>
      </c>
      <c r="Q1312" s="282" t="e">
        <f>(INDEX(Tabla6[#All],MATCH(Tabla4[[#This Row],[Producto]],Tabla6[[#All],[PRODUCTO]],0),MATCH(Tabla4[[#This Row],[Mes]],Tabla6[#Headers],0)))</f>
        <v>#N/A</v>
      </c>
      <c r="R1312" s="282" t="e">
        <f>++Tabla4[[#This Row],[Precio Unitario Neto]]-Tabla4[[#This Row],[20.85%]]-Tabla4[[#This Row],[Costo]]</f>
        <v>#N/A</v>
      </c>
      <c r="S1312" s="282" t="e">
        <f>++Tabla4[[#This Row],[U. Bruta Uni]]*Tabla4[[#This Row],[Cantidad]]</f>
        <v>#N/A</v>
      </c>
      <c r="T1312" s="369" t="str">
        <f>VLOOKUP(Tabla4[[#This Row],[Producto]],Tabla6[#All],14,FALSE)</f>
        <v>Termico Solar</v>
      </c>
      <c r="U1312" s="284" t="e">
        <f>(IF(Tabla4[[#This Row],[Familia]]="termico solar",Tabla4[[#This Row],[Utilidad Total]]*6%,Tabla4[[#This Row],[Utilidad Total]]*11.5%))/Tabla4[[#This Row],[Total]]</f>
        <v>#N/A</v>
      </c>
      <c r="V1312" s="282" t="e">
        <f>+Tabla4[[#This Row],[Comisión Calculada]]*Tabla4[[#This Row],[Total]]</f>
        <v>#N/A</v>
      </c>
    </row>
    <row r="1313" spans="1:22" hidden="1" x14ac:dyDescent="0.25">
      <c r="A1313" s="100">
        <v>45731</v>
      </c>
      <c r="B1313" t="str">
        <f t="shared" si="57"/>
        <v>March</v>
      </c>
      <c r="C1313" s="46" t="s">
        <v>280</v>
      </c>
      <c r="F1313" s="366" t="s">
        <v>1238</v>
      </c>
      <c r="G1313" s="46" t="s">
        <v>17</v>
      </c>
      <c r="H1313" s="46">
        <v>1</v>
      </c>
      <c r="I1313" s="51">
        <v>4622.28</v>
      </c>
      <c r="J1313" s="281">
        <f>++Tabla4[[#This Row],[Precio Bruto]]*1.16</f>
        <v>5361.8447999999989</v>
      </c>
      <c r="K1313" s="281">
        <f>+Tabla4[[#This Row],[Precio Unitario Neto]]*Tabla4[[#Headers],[20.85%]]</f>
        <v>1117.9446407999997</v>
      </c>
      <c r="L1313" s="282">
        <f>++Tabla4[[#This Row],[Precio Unitario Neto]]-Tabla4[[#This Row],[20.85%]]</f>
        <v>4243.9001591999995</v>
      </c>
      <c r="M1313" s="282" t="e">
        <f>(INDEX(Tabla6[#All],MATCH(Tabla4[[#This Row],[Producto]],Tabla6[[#All],[PRODUCTO]],0),MATCH(Tabla4[[#This Row],[Mes]],Tabla6[#Headers],0)))*(1+Catalogos!$L$2)</f>
        <v>#N/A</v>
      </c>
      <c r="N1313" s="283" t="e">
        <f>+(Tabla4[[#This Row],[Precio Descontado]]-Tabla4[[#This Row],[Precio Base]])*Tabla4[[#This Row],[Cantidad]]</f>
        <v>#N/A</v>
      </c>
      <c r="O1313" s="284" t="e">
        <f>++Tabla4[[#This Row],[Utilidad Total]]/Tabla4[[#This Row],[Total]]</f>
        <v>#N/A</v>
      </c>
      <c r="P1313" s="282">
        <f>++Tabla4[[#This Row],[Precio Descontado]]*Tabla4[[#This Row],[Cantidad]]</f>
        <v>4243.9001591999995</v>
      </c>
      <c r="Q1313" s="282" t="e">
        <f>(INDEX(Tabla6[#All],MATCH(Tabla4[[#This Row],[Producto]],Tabla6[[#All],[PRODUCTO]],0),MATCH(Tabla4[[#This Row],[Mes]],Tabla6[#Headers],0)))</f>
        <v>#N/A</v>
      </c>
      <c r="R1313" s="282" t="e">
        <f>++Tabla4[[#This Row],[Precio Unitario Neto]]-Tabla4[[#This Row],[20.85%]]-Tabla4[[#This Row],[Costo]]</f>
        <v>#N/A</v>
      </c>
      <c r="S1313" s="282" t="e">
        <f>++Tabla4[[#This Row],[U. Bruta Uni]]*Tabla4[[#This Row],[Cantidad]]</f>
        <v>#N/A</v>
      </c>
      <c r="T1313" s="369" t="str">
        <f>VLOOKUP(Tabla4[[#This Row],[Producto]],Tabla6[#All],14,FALSE)</f>
        <v>Termico Solar</v>
      </c>
      <c r="U1313" s="284" t="e">
        <f>(IF(Tabla4[[#This Row],[Familia]]="termico solar",Tabla4[[#This Row],[Utilidad Total]]*6%,Tabla4[[#This Row],[Utilidad Total]]*11.5%))/Tabla4[[#This Row],[Total]]</f>
        <v>#N/A</v>
      </c>
      <c r="V1313" s="282" t="e">
        <f>+Tabla4[[#This Row],[Comisión Calculada]]*Tabla4[[#This Row],[Total]]</f>
        <v>#N/A</v>
      </c>
    </row>
    <row r="1314" spans="1:22" hidden="1" x14ac:dyDescent="0.25">
      <c r="A1314" s="100">
        <v>45731</v>
      </c>
      <c r="B1314" t="str">
        <f t="shared" si="57"/>
        <v>March</v>
      </c>
      <c r="C1314" s="46" t="s">
        <v>280</v>
      </c>
      <c r="F1314" s="366" t="s">
        <v>1238</v>
      </c>
      <c r="G1314" s="46" t="s">
        <v>208</v>
      </c>
      <c r="H1314" s="46">
        <v>15</v>
      </c>
      <c r="I1314" s="51">
        <v>140.63</v>
      </c>
      <c r="J1314" s="281">
        <f>++Tabla4[[#This Row],[Precio Bruto]]*1.16</f>
        <v>163.13079999999999</v>
      </c>
      <c r="K1314" s="281">
        <f>+Tabla4[[#This Row],[Precio Unitario Neto]]*Tabla4[[#Headers],[20.85%]]</f>
        <v>34.012771799999996</v>
      </c>
      <c r="L1314" s="282">
        <f>++Tabla4[[#This Row],[Precio Unitario Neto]]-Tabla4[[#This Row],[20.85%]]</f>
        <v>129.1180282</v>
      </c>
      <c r="M1314" s="282" t="e">
        <f>(INDEX(Tabla6[#All],MATCH(Tabla4[[#This Row],[Producto]],Tabla6[[#All],[PRODUCTO]],0),MATCH(Tabla4[[#This Row],[Mes]],Tabla6[#Headers],0)))*(1+Catalogos!$L$2)</f>
        <v>#N/A</v>
      </c>
      <c r="N1314" s="283" t="e">
        <f>+(Tabla4[[#This Row],[Precio Descontado]]-Tabla4[[#This Row],[Precio Base]])*Tabla4[[#This Row],[Cantidad]]</f>
        <v>#N/A</v>
      </c>
      <c r="O1314" s="284" t="e">
        <f>++Tabla4[[#This Row],[Utilidad Total]]/Tabla4[[#This Row],[Total]]</f>
        <v>#N/A</v>
      </c>
      <c r="P1314" s="282">
        <f>++Tabla4[[#This Row],[Precio Descontado]]*Tabla4[[#This Row],[Cantidad]]</f>
        <v>1936.7704229999999</v>
      </c>
      <c r="Q1314" s="282" t="e">
        <f>(INDEX(Tabla6[#All],MATCH(Tabla4[[#This Row],[Producto]],Tabla6[[#All],[PRODUCTO]],0),MATCH(Tabla4[[#This Row],[Mes]],Tabla6[#Headers],0)))</f>
        <v>#N/A</v>
      </c>
      <c r="R1314" s="282" t="e">
        <f>++Tabla4[[#This Row],[Precio Unitario Neto]]-Tabla4[[#This Row],[20.85%]]-Tabla4[[#This Row],[Costo]]</f>
        <v>#N/A</v>
      </c>
      <c r="S1314" s="282" t="e">
        <f>++Tabla4[[#This Row],[U. Bruta Uni]]*Tabla4[[#This Row],[Cantidad]]</f>
        <v>#N/A</v>
      </c>
      <c r="T1314" s="369" t="str">
        <f>VLOOKUP(Tabla4[[#This Row],[Producto]],Tabla6[#All],14,FALSE)</f>
        <v>Termico Solar</v>
      </c>
      <c r="U1314" s="284" t="e">
        <f>(IF(Tabla4[[#This Row],[Familia]]="termico solar",Tabla4[[#This Row],[Utilidad Total]]*6%,Tabla4[[#This Row],[Utilidad Total]]*11.5%))/Tabla4[[#This Row],[Total]]</f>
        <v>#N/A</v>
      </c>
      <c r="V1314" s="282" t="e">
        <f>+Tabla4[[#This Row],[Comisión Calculada]]*Tabla4[[#This Row],[Total]]</f>
        <v>#N/A</v>
      </c>
    </row>
    <row r="1315" spans="1:22" hidden="1" x14ac:dyDescent="0.25">
      <c r="A1315" s="100">
        <v>45731</v>
      </c>
      <c r="B1315" t="str">
        <f t="shared" si="57"/>
        <v>March</v>
      </c>
      <c r="C1315" s="46" t="s">
        <v>280</v>
      </c>
      <c r="F1315" s="366" t="s">
        <v>1238</v>
      </c>
      <c r="G1315" s="46" t="s">
        <v>394</v>
      </c>
      <c r="H1315" s="46">
        <v>16</v>
      </c>
      <c r="I1315" s="51">
        <v>224.29</v>
      </c>
      <c r="J1315" s="281">
        <f>++Tabla4[[#This Row],[Precio Bruto]]*1.16</f>
        <v>260.1764</v>
      </c>
      <c r="K1315" s="281">
        <f>+Tabla4[[#This Row],[Precio Unitario Neto]]*Tabla4[[#Headers],[20.85%]]</f>
        <v>54.246779400000001</v>
      </c>
      <c r="L1315" s="282">
        <f>++Tabla4[[#This Row],[Precio Unitario Neto]]-Tabla4[[#This Row],[20.85%]]</f>
        <v>205.92962059999999</v>
      </c>
      <c r="M1315" s="282" t="e">
        <f>(INDEX(Tabla6[#All],MATCH(Tabla4[[#This Row],[Producto]],Tabla6[[#All],[PRODUCTO]],0),MATCH(Tabla4[[#This Row],[Mes]],Tabla6[#Headers],0)))*(1+Catalogos!$L$2)</f>
        <v>#N/A</v>
      </c>
      <c r="N1315" s="283" t="e">
        <f>+(Tabla4[[#This Row],[Precio Descontado]]-Tabla4[[#This Row],[Precio Base]])*Tabla4[[#This Row],[Cantidad]]</f>
        <v>#N/A</v>
      </c>
      <c r="O1315" s="284" t="e">
        <f>++Tabla4[[#This Row],[Utilidad Total]]/Tabla4[[#This Row],[Total]]</f>
        <v>#N/A</v>
      </c>
      <c r="P1315" s="282">
        <f>++Tabla4[[#This Row],[Precio Descontado]]*Tabla4[[#This Row],[Cantidad]]</f>
        <v>3294.8739295999999</v>
      </c>
      <c r="Q1315" s="282" t="e">
        <f>(INDEX(Tabla6[#All],MATCH(Tabla4[[#This Row],[Producto]],Tabla6[[#All],[PRODUCTO]],0),MATCH(Tabla4[[#This Row],[Mes]],Tabla6[#Headers],0)))</f>
        <v>#N/A</v>
      </c>
      <c r="R1315" s="282" t="e">
        <f>++Tabla4[[#This Row],[Precio Unitario Neto]]-Tabla4[[#This Row],[20.85%]]-Tabla4[[#This Row],[Costo]]</f>
        <v>#N/A</v>
      </c>
      <c r="S1315" s="282" t="e">
        <f>++Tabla4[[#This Row],[U. Bruta Uni]]*Tabla4[[#This Row],[Cantidad]]</f>
        <v>#N/A</v>
      </c>
      <c r="T1315" s="369" t="str">
        <f>VLOOKUP(Tabla4[[#This Row],[Producto]],Tabla6[#All],14,FALSE)</f>
        <v>Termico Solar</v>
      </c>
      <c r="U1315" s="284" t="e">
        <f>(IF(Tabla4[[#This Row],[Familia]]="termico solar",Tabla4[[#This Row],[Utilidad Total]]*6%,Tabla4[[#This Row],[Utilidad Total]]*11.5%))/Tabla4[[#This Row],[Total]]</f>
        <v>#N/A</v>
      </c>
      <c r="V1315" s="282" t="e">
        <f>+Tabla4[[#This Row],[Comisión Calculada]]*Tabla4[[#This Row],[Total]]</f>
        <v>#N/A</v>
      </c>
    </row>
    <row r="1316" spans="1:22" hidden="1" x14ac:dyDescent="0.25">
      <c r="A1316" s="100">
        <v>45731</v>
      </c>
      <c r="B1316" t="str">
        <f t="shared" si="57"/>
        <v>March</v>
      </c>
      <c r="C1316" s="46" t="s">
        <v>280</v>
      </c>
      <c r="F1316" s="366" t="s">
        <v>1239</v>
      </c>
      <c r="G1316" s="46" t="s">
        <v>83</v>
      </c>
      <c r="H1316" s="46">
        <v>2</v>
      </c>
      <c r="I1316" s="51">
        <v>8858.76</v>
      </c>
      <c r="J1316" s="281">
        <f>++Tabla4[[#This Row],[Precio Bruto]]*1.16</f>
        <v>10276.161599999999</v>
      </c>
      <c r="K1316" s="281">
        <f>+Tabla4[[#This Row],[Precio Unitario Neto]]*Tabla4[[#Headers],[20.85%]]</f>
        <v>2142.5796935999997</v>
      </c>
      <c r="L1316" s="282">
        <f>++Tabla4[[#This Row],[Precio Unitario Neto]]-Tabla4[[#This Row],[20.85%]]</f>
        <v>8133.5819063999998</v>
      </c>
      <c r="M1316" s="282" t="e">
        <f>(INDEX(Tabla6[#All],MATCH(Tabla4[[#This Row],[Producto]],Tabla6[[#All],[PRODUCTO]],0),MATCH(Tabla4[[#This Row],[Mes]],Tabla6[#Headers],0)))*(1+Catalogos!$L$2)</f>
        <v>#N/A</v>
      </c>
      <c r="N1316" s="283" t="e">
        <f>+(Tabla4[[#This Row],[Precio Descontado]]-Tabla4[[#This Row],[Precio Base]])*Tabla4[[#This Row],[Cantidad]]</f>
        <v>#N/A</v>
      </c>
      <c r="O1316" s="284" t="e">
        <f>++Tabla4[[#This Row],[Utilidad Total]]/Tabla4[[#This Row],[Total]]</f>
        <v>#N/A</v>
      </c>
      <c r="P1316" s="282">
        <f>++Tabla4[[#This Row],[Precio Descontado]]*Tabla4[[#This Row],[Cantidad]]</f>
        <v>16267.1638128</v>
      </c>
      <c r="Q1316" s="282" t="e">
        <f>(INDEX(Tabla6[#All],MATCH(Tabla4[[#This Row],[Producto]],Tabla6[[#All],[PRODUCTO]],0),MATCH(Tabla4[[#This Row],[Mes]],Tabla6[#Headers],0)))</f>
        <v>#N/A</v>
      </c>
      <c r="R1316" s="282" t="e">
        <f>++Tabla4[[#This Row],[Precio Unitario Neto]]-Tabla4[[#This Row],[20.85%]]-Tabla4[[#This Row],[Costo]]</f>
        <v>#N/A</v>
      </c>
      <c r="S1316" s="282" t="e">
        <f>++Tabla4[[#This Row],[U. Bruta Uni]]*Tabla4[[#This Row],[Cantidad]]</f>
        <v>#N/A</v>
      </c>
      <c r="T1316" s="369" t="str">
        <f>VLOOKUP(Tabla4[[#This Row],[Producto]],Tabla6[#All],14,FALSE)</f>
        <v>Termico Solar</v>
      </c>
      <c r="U1316" s="284" t="e">
        <f>(IF(Tabla4[[#This Row],[Familia]]="termico solar",Tabla4[[#This Row],[Utilidad Total]]*6%,Tabla4[[#This Row],[Utilidad Total]]*11.5%))/Tabla4[[#This Row],[Total]]</f>
        <v>#N/A</v>
      </c>
      <c r="V1316" s="282" t="e">
        <f>+Tabla4[[#This Row],[Comisión Calculada]]*Tabla4[[#This Row],[Total]]</f>
        <v>#N/A</v>
      </c>
    </row>
    <row r="1317" spans="1:22" hidden="1" x14ac:dyDescent="0.25">
      <c r="A1317" s="100">
        <v>45731</v>
      </c>
      <c r="B1317" t="str">
        <f t="shared" si="57"/>
        <v>March</v>
      </c>
      <c r="C1317" s="46" t="s">
        <v>280</v>
      </c>
      <c r="F1317" s="366" t="s">
        <v>1239</v>
      </c>
      <c r="G1317" s="46" t="s">
        <v>17</v>
      </c>
      <c r="H1317" s="46">
        <v>2</v>
      </c>
      <c r="I1317" s="51">
        <v>4622.28</v>
      </c>
      <c r="J1317" s="281">
        <f>++Tabla4[[#This Row],[Precio Bruto]]*1.16</f>
        <v>5361.8447999999989</v>
      </c>
      <c r="K1317" s="281">
        <f>+Tabla4[[#This Row],[Precio Unitario Neto]]*Tabla4[[#Headers],[20.85%]]</f>
        <v>1117.9446407999997</v>
      </c>
      <c r="L1317" s="282">
        <f>++Tabla4[[#This Row],[Precio Unitario Neto]]-Tabla4[[#This Row],[20.85%]]</f>
        <v>4243.9001591999995</v>
      </c>
      <c r="M1317" s="282" t="e">
        <f>(INDEX(Tabla6[#All],MATCH(Tabla4[[#This Row],[Producto]],Tabla6[[#All],[PRODUCTO]],0),MATCH(Tabla4[[#This Row],[Mes]],Tabla6[#Headers],0)))*(1+Catalogos!$L$2)</f>
        <v>#N/A</v>
      </c>
      <c r="N1317" s="283" t="e">
        <f>+(Tabla4[[#This Row],[Precio Descontado]]-Tabla4[[#This Row],[Precio Base]])*Tabla4[[#This Row],[Cantidad]]</f>
        <v>#N/A</v>
      </c>
      <c r="O1317" s="284" t="e">
        <f>++Tabla4[[#This Row],[Utilidad Total]]/Tabla4[[#This Row],[Total]]</f>
        <v>#N/A</v>
      </c>
      <c r="P1317" s="282">
        <f>++Tabla4[[#This Row],[Precio Descontado]]*Tabla4[[#This Row],[Cantidad]]</f>
        <v>8487.800318399999</v>
      </c>
      <c r="Q1317" s="282" t="e">
        <f>(INDEX(Tabla6[#All],MATCH(Tabla4[[#This Row],[Producto]],Tabla6[[#All],[PRODUCTO]],0),MATCH(Tabla4[[#This Row],[Mes]],Tabla6[#Headers],0)))</f>
        <v>#N/A</v>
      </c>
      <c r="R1317" s="282" t="e">
        <f>++Tabla4[[#This Row],[Precio Unitario Neto]]-Tabla4[[#This Row],[20.85%]]-Tabla4[[#This Row],[Costo]]</f>
        <v>#N/A</v>
      </c>
      <c r="S1317" s="282" t="e">
        <f>++Tabla4[[#This Row],[U. Bruta Uni]]*Tabla4[[#This Row],[Cantidad]]</f>
        <v>#N/A</v>
      </c>
      <c r="T1317" s="369" t="str">
        <f>VLOOKUP(Tabla4[[#This Row],[Producto]],Tabla6[#All],14,FALSE)</f>
        <v>Termico Solar</v>
      </c>
      <c r="U1317" s="284" t="e">
        <f>(IF(Tabla4[[#This Row],[Familia]]="termico solar",Tabla4[[#This Row],[Utilidad Total]]*6%,Tabla4[[#This Row],[Utilidad Total]]*11.5%))/Tabla4[[#This Row],[Total]]</f>
        <v>#N/A</v>
      </c>
      <c r="V1317" s="282" t="e">
        <f>+Tabla4[[#This Row],[Comisión Calculada]]*Tabla4[[#This Row],[Total]]</f>
        <v>#N/A</v>
      </c>
    </row>
    <row r="1318" spans="1:22" hidden="1" x14ac:dyDescent="0.25">
      <c r="A1318" s="100">
        <v>45731</v>
      </c>
      <c r="B1318" t="str">
        <f t="shared" si="57"/>
        <v>March</v>
      </c>
      <c r="C1318" s="46" t="s">
        <v>280</v>
      </c>
      <c r="F1318" s="366" t="s">
        <v>1239</v>
      </c>
      <c r="G1318" s="46" t="s">
        <v>16</v>
      </c>
      <c r="H1318" s="46">
        <v>1</v>
      </c>
      <c r="I1318" s="51">
        <v>4103.8500000000004</v>
      </c>
      <c r="J1318" s="281">
        <f>++Tabla4[[#This Row],[Precio Bruto]]*1.16</f>
        <v>4760.4660000000003</v>
      </c>
      <c r="K1318" s="281">
        <f>+Tabla4[[#This Row],[Precio Unitario Neto]]*Tabla4[[#Headers],[20.85%]]</f>
        <v>992.55716100000006</v>
      </c>
      <c r="L1318" s="282">
        <f>++Tabla4[[#This Row],[Precio Unitario Neto]]-Tabla4[[#This Row],[20.85%]]</f>
        <v>3767.9088390000002</v>
      </c>
      <c r="M1318" s="282" t="e">
        <f>(INDEX(Tabla6[#All],MATCH(Tabla4[[#This Row],[Producto]],Tabla6[[#All],[PRODUCTO]],0),MATCH(Tabla4[[#This Row],[Mes]],Tabla6[#Headers],0)))*(1+Catalogos!$L$2)</f>
        <v>#N/A</v>
      </c>
      <c r="N1318" s="283" t="e">
        <f>+(Tabla4[[#This Row],[Precio Descontado]]-Tabla4[[#This Row],[Precio Base]])*Tabla4[[#This Row],[Cantidad]]</f>
        <v>#N/A</v>
      </c>
      <c r="O1318" s="284" t="e">
        <f>++Tabla4[[#This Row],[Utilidad Total]]/Tabla4[[#This Row],[Total]]</f>
        <v>#N/A</v>
      </c>
      <c r="P1318" s="282">
        <f>++Tabla4[[#This Row],[Precio Descontado]]*Tabla4[[#This Row],[Cantidad]]</f>
        <v>3767.9088390000002</v>
      </c>
      <c r="Q1318" s="282" t="e">
        <f>(INDEX(Tabla6[#All],MATCH(Tabla4[[#This Row],[Producto]],Tabla6[[#All],[PRODUCTO]],0),MATCH(Tabla4[[#This Row],[Mes]],Tabla6[#Headers],0)))</f>
        <v>#N/A</v>
      </c>
      <c r="R1318" s="282" t="e">
        <f>++Tabla4[[#This Row],[Precio Unitario Neto]]-Tabla4[[#This Row],[20.85%]]-Tabla4[[#This Row],[Costo]]</f>
        <v>#N/A</v>
      </c>
      <c r="S1318" s="282" t="e">
        <f>++Tabla4[[#This Row],[U. Bruta Uni]]*Tabla4[[#This Row],[Cantidad]]</f>
        <v>#N/A</v>
      </c>
      <c r="T1318" s="369" t="str">
        <f>VLOOKUP(Tabla4[[#This Row],[Producto]],Tabla6[#All],14,FALSE)</f>
        <v>Termico Solar</v>
      </c>
      <c r="U1318" s="284" t="e">
        <f>(IF(Tabla4[[#This Row],[Familia]]="termico solar",Tabla4[[#This Row],[Utilidad Total]]*6%,Tabla4[[#This Row],[Utilidad Total]]*11.5%))/Tabla4[[#This Row],[Total]]</f>
        <v>#N/A</v>
      </c>
      <c r="V1318" s="282" t="e">
        <f>+Tabla4[[#This Row],[Comisión Calculada]]*Tabla4[[#This Row],[Total]]</f>
        <v>#N/A</v>
      </c>
    </row>
    <row r="1319" spans="1:22" hidden="1" x14ac:dyDescent="0.25">
      <c r="A1319" s="100">
        <v>45731</v>
      </c>
      <c r="B1319" t="str">
        <f t="shared" si="57"/>
        <v>March</v>
      </c>
      <c r="C1319" s="46" t="s">
        <v>280</v>
      </c>
      <c r="F1319" s="366" t="s">
        <v>1239</v>
      </c>
      <c r="G1319" s="46" t="s">
        <v>208</v>
      </c>
      <c r="H1319" s="46">
        <v>1</v>
      </c>
      <c r="I1319" s="51">
        <v>189.75</v>
      </c>
      <c r="J1319" s="281">
        <f>++Tabla4[[#This Row],[Precio Bruto]]*1.16</f>
        <v>220.10999999999999</v>
      </c>
      <c r="K1319" s="281">
        <f>+Tabla4[[#This Row],[Precio Unitario Neto]]*Tabla4[[#Headers],[20.85%]]</f>
        <v>45.892934999999994</v>
      </c>
      <c r="L1319" s="282">
        <f>++Tabla4[[#This Row],[Precio Unitario Neto]]-Tabla4[[#This Row],[20.85%]]</f>
        <v>174.21706499999999</v>
      </c>
      <c r="M1319" s="282" t="e">
        <f>(INDEX(Tabla6[#All],MATCH(Tabla4[[#This Row],[Producto]],Tabla6[[#All],[PRODUCTO]],0),MATCH(Tabla4[[#This Row],[Mes]],Tabla6[#Headers],0)))*(1+Catalogos!$L$2)</f>
        <v>#N/A</v>
      </c>
      <c r="N1319" s="283" t="e">
        <f>+(Tabla4[[#This Row],[Precio Descontado]]-Tabla4[[#This Row],[Precio Base]])*Tabla4[[#This Row],[Cantidad]]</f>
        <v>#N/A</v>
      </c>
      <c r="O1319" s="284" t="e">
        <f>++Tabla4[[#This Row],[Utilidad Total]]/Tabla4[[#This Row],[Total]]</f>
        <v>#N/A</v>
      </c>
      <c r="P1319" s="282">
        <f>++Tabla4[[#This Row],[Precio Descontado]]*Tabla4[[#This Row],[Cantidad]]</f>
        <v>174.21706499999999</v>
      </c>
      <c r="Q1319" s="282" t="e">
        <f>(INDEX(Tabla6[#All],MATCH(Tabla4[[#This Row],[Producto]],Tabla6[[#All],[PRODUCTO]],0),MATCH(Tabla4[[#This Row],[Mes]],Tabla6[#Headers],0)))</f>
        <v>#N/A</v>
      </c>
      <c r="R1319" s="282" t="e">
        <f>++Tabla4[[#This Row],[Precio Unitario Neto]]-Tabla4[[#This Row],[20.85%]]-Tabla4[[#This Row],[Costo]]</f>
        <v>#N/A</v>
      </c>
      <c r="S1319" s="282" t="e">
        <f>++Tabla4[[#This Row],[U. Bruta Uni]]*Tabla4[[#This Row],[Cantidad]]</f>
        <v>#N/A</v>
      </c>
      <c r="T1319" s="369" t="str">
        <f>VLOOKUP(Tabla4[[#This Row],[Producto]],Tabla6[#All],14,FALSE)</f>
        <v>Termico Solar</v>
      </c>
      <c r="U1319" s="284" t="e">
        <f>(IF(Tabla4[[#This Row],[Familia]]="termico solar",Tabla4[[#This Row],[Utilidad Total]]*6%,Tabla4[[#This Row],[Utilidad Total]]*11.5%))/Tabla4[[#This Row],[Total]]</f>
        <v>#N/A</v>
      </c>
      <c r="V1319" s="282" t="e">
        <f>+Tabla4[[#This Row],[Comisión Calculada]]*Tabla4[[#This Row],[Total]]</f>
        <v>#N/A</v>
      </c>
    </row>
    <row r="1320" spans="1:22" hidden="1" x14ac:dyDescent="0.25">
      <c r="A1320" s="100">
        <v>45731</v>
      </c>
      <c r="B1320" t="str">
        <f t="shared" si="57"/>
        <v>March</v>
      </c>
      <c r="C1320" s="46" t="s">
        <v>280</v>
      </c>
      <c r="F1320" s="366" t="s">
        <v>1239</v>
      </c>
      <c r="G1320" s="46" t="s">
        <v>209</v>
      </c>
      <c r="H1320" s="46">
        <v>1</v>
      </c>
      <c r="I1320" s="51">
        <v>347.48</v>
      </c>
      <c r="J1320" s="281">
        <f>++Tabla4[[#This Row],[Precio Bruto]]*1.16</f>
        <v>403.07679999999999</v>
      </c>
      <c r="K1320" s="281">
        <f>+Tabla4[[#This Row],[Precio Unitario Neto]]*Tabla4[[#Headers],[20.85%]]</f>
        <v>84.041512799999992</v>
      </c>
      <c r="L1320" s="282">
        <f>++Tabla4[[#This Row],[Precio Unitario Neto]]-Tabla4[[#This Row],[20.85%]]</f>
        <v>319.03528719999997</v>
      </c>
      <c r="M1320" s="282" t="e">
        <f>(INDEX(Tabla6[#All],MATCH(Tabla4[[#This Row],[Producto]],Tabla6[[#All],[PRODUCTO]],0),MATCH(Tabla4[[#This Row],[Mes]],Tabla6[#Headers],0)))*(1+Catalogos!$L$2)</f>
        <v>#N/A</v>
      </c>
      <c r="N1320" s="283" t="e">
        <f>+(Tabla4[[#This Row],[Precio Descontado]]-Tabla4[[#This Row],[Precio Base]])*Tabla4[[#This Row],[Cantidad]]</f>
        <v>#N/A</v>
      </c>
      <c r="O1320" s="284" t="e">
        <f>++Tabla4[[#This Row],[Utilidad Total]]/Tabla4[[#This Row],[Total]]</f>
        <v>#N/A</v>
      </c>
      <c r="P1320" s="282">
        <f>++Tabla4[[#This Row],[Precio Descontado]]*Tabla4[[#This Row],[Cantidad]]</f>
        <v>319.03528719999997</v>
      </c>
      <c r="Q1320" s="282" t="e">
        <f>(INDEX(Tabla6[#All],MATCH(Tabla4[[#This Row],[Producto]],Tabla6[[#All],[PRODUCTO]],0),MATCH(Tabla4[[#This Row],[Mes]],Tabla6[#Headers],0)))</f>
        <v>#N/A</v>
      </c>
      <c r="R1320" s="282" t="e">
        <f>++Tabla4[[#This Row],[Precio Unitario Neto]]-Tabla4[[#This Row],[20.85%]]-Tabla4[[#This Row],[Costo]]</f>
        <v>#N/A</v>
      </c>
      <c r="S1320" s="282" t="e">
        <f>++Tabla4[[#This Row],[U. Bruta Uni]]*Tabla4[[#This Row],[Cantidad]]</f>
        <v>#N/A</v>
      </c>
      <c r="T1320" s="369" t="str">
        <f>VLOOKUP(Tabla4[[#This Row],[Producto]],Tabla6[#All],14,FALSE)</f>
        <v>Termico Solar</v>
      </c>
      <c r="U1320" s="284" t="e">
        <f>(IF(Tabla4[[#This Row],[Familia]]="termico solar",Tabla4[[#This Row],[Utilidad Total]]*6%,Tabla4[[#This Row],[Utilidad Total]]*11.5%))/Tabla4[[#This Row],[Total]]</f>
        <v>#N/A</v>
      </c>
      <c r="V1320" s="282" t="e">
        <f>+Tabla4[[#This Row],[Comisión Calculada]]*Tabla4[[#This Row],[Total]]</f>
        <v>#N/A</v>
      </c>
    </row>
    <row r="1321" spans="1:22" hidden="1" x14ac:dyDescent="0.25">
      <c r="A1321" s="100">
        <v>45731</v>
      </c>
      <c r="B1321" t="str">
        <f t="shared" si="57"/>
        <v>March</v>
      </c>
      <c r="C1321" s="46" t="s">
        <v>280</v>
      </c>
      <c r="F1321" s="366" t="s">
        <v>1240</v>
      </c>
      <c r="G1321" s="46" t="s">
        <v>83</v>
      </c>
      <c r="H1321" s="46">
        <v>1</v>
      </c>
      <c r="I1321" s="51">
        <v>8858.76</v>
      </c>
      <c r="J1321" s="281">
        <f>++Tabla4[[#This Row],[Precio Bruto]]*1.16</f>
        <v>10276.161599999999</v>
      </c>
      <c r="K1321" s="281">
        <f>+Tabla4[[#This Row],[Precio Unitario Neto]]*Tabla4[[#Headers],[20.85%]]</f>
        <v>2142.5796935999997</v>
      </c>
      <c r="L1321" s="282">
        <f>++Tabla4[[#This Row],[Precio Unitario Neto]]-Tabla4[[#This Row],[20.85%]]</f>
        <v>8133.5819063999998</v>
      </c>
      <c r="M1321" s="282" t="e">
        <f>(INDEX(Tabla6[#All],MATCH(Tabla4[[#This Row],[Producto]],Tabla6[[#All],[PRODUCTO]],0),MATCH(Tabla4[[#This Row],[Mes]],Tabla6[#Headers],0)))*(1+Catalogos!$L$2)</f>
        <v>#N/A</v>
      </c>
      <c r="N1321" s="283" t="e">
        <f>+(Tabla4[[#This Row],[Precio Descontado]]-Tabla4[[#This Row],[Precio Base]])*Tabla4[[#This Row],[Cantidad]]</f>
        <v>#N/A</v>
      </c>
      <c r="O1321" s="284" t="e">
        <f>++Tabla4[[#This Row],[Utilidad Total]]/Tabla4[[#This Row],[Total]]</f>
        <v>#N/A</v>
      </c>
      <c r="P1321" s="282">
        <f>++Tabla4[[#This Row],[Precio Descontado]]*Tabla4[[#This Row],[Cantidad]]</f>
        <v>8133.5819063999998</v>
      </c>
      <c r="Q1321" s="282" t="e">
        <f>(INDEX(Tabla6[#All],MATCH(Tabla4[[#This Row],[Producto]],Tabla6[[#All],[PRODUCTO]],0),MATCH(Tabla4[[#This Row],[Mes]],Tabla6[#Headers],0)))</f>
        <v>#N/A</v>
      </c>
      <c r="R1321" s="282" t="e">
        <f>++Tabla4[[#This Row],[Precio Unitario Neto]]-Tabla4[[#This Row],[20.85%]]-Tabla4[[#This Row],[Costo]]</f>
        <v>#N/A</v>
      </c>
      <c r="S1321" s="282" t="e">
        <f>++Tabla4[[#This Row],[U. Bruta Uni]]*Tabla4[[#This Row],[Cantidad]]</f>
        <v>#N/A</v>
      </c>
      <c r="T1321" s="369" t="str">
        <f>VLOOKUP(Tabla4[[#This Row],[Producto]],Tabla6[#All],14,FALSE)</f>
        <v>Termico Solar</v>
      </c>
      <c r="U1321" s="284" t="e">
        <f>(IF(Tabla4[[#This Row],[Familia]]="termico solar",Tabla4[[#This Row],[Utilidad Total]]*6%,Tabla4[[#This Row],[Utilidad Total]]*11.5%))/Tabla4[[#This Row],[Total]]</f>
        <v>#N/A</v>
      </c>
      <c r="V1321" s="282" t="e">
        <f>+Tabla4[[#This Row],[Comisión Calculada]]*Tabla4[[#This Row],[Total]]</f>
        <v>#N/A</v>
      </c>
    </row>
    <row r="1322" spans="1:22" hidden="1" x14ac:dyDescent="0.25">
      <c r="A1322" s="100">
        <v>45731</v>
      </c>
      <c r="B1322" t="str">
        <f t="shared" si="57"/>
        <v>March</v>
      </c>
      <c r="C1322" s="46" t="s">
        <v>280</v>
      </c>
      <c r="F1322" s="366" t="s">
        <v>1240</v>
      </c>
      <c r="G1322" s="46" t="s">
        <v>566</v>
      </c>
      <c r="H1322" s="46">
        <v>1</v>
      </c>
      <c r="I1322" s="51">
        <v>2109.4499999999998</v>
      </c>
      <c r="J1322" s="281">
        <f>++Tabla4[[#This Row],[Precio Bruto]]*1.16</f>
        <v>2446.9619999999995</v>
      </c>
      <c r="K1322" s="281">
        <f>+Tabla4[[#This Row],[Precio Unitario Neto]]*Tabla4[[#Headers],[20.85%]]</f>
        <v>510.19157699999988</v>
      </c>
      <c r="L1322" s="282">
        <f>++Tabla4[[#This Row],[Precio Unitario Neto]]-Tabla4[[#This Row],[20.85%]]</f>
        <v>1936.7704229999997</v>
      </c>
      <c r="M1322" s="282" t="e">
        <f>(INDEX(Tabla6[#All],MATCH(Tabla4[[#This Row],[Producto]],Tabla6[[#All],[PRODUCTO]],0),MATCH(Tabla4[[#This Row],[Mes]],Tabla6[#Headers],0)))*(1+Catalogos!$L$2)</f>
        <v>#N/A</v>
      </c>
      <c r="N1322" s="283" t="e">
        <f>+(Tabla4[[#This Row],[Precio Descontado]]-Tabla4[[#This Row],[Precio Base]])*Tabla4[[#This Row],[Cantidad]]</f>
        <v>#N/A</v>
      </c>
      <c r="O1322" s="284" t="e">
        <f>++Tabla4[[#This Row],[Utilidad Total]]/Tabla4[[#This Row],[Total]]</f>
        <v>#N/A</v>
      </c>
      <c r="P1322" s="282">
        <f>++Tabla4[[#This Row],[Precio Descontado]]*Tabla4[[#This Row],[Cantidad]]</f>
        <v>1936.7704229999997</v>
      </c>
      <c r="Q1322" s="282" t="e">
        <f>(INDEX(Tabla6[#All],MATCH(Tabla4[[#This Row],[Producto]],Tabla6[[#All],[PRODUCTO]],0),MATCH(Tabla4[[#This Row],[Mes]],Tabla6[#Headers],0)))</f>
        <v>#N/A</v>
      </c>
      <c r="R1322" s="282" t="e">
        <f>++Tabla4[[#This Row],[Precio Unitario Neto]]-Tabla4[[#This Row],[20.85%]]-Tabla4[[#This Row],[Costo]]</f>
        <v>#N/A</v>
      </c>
      <c r="S1322" s="282" t="e">
        <f>++Tabla4[[#This Row],[U. Bruta Uni]]*Tabla4[[#This Row],[Cantidad]]</f>
        <v>#N/A</v>
      </c>
      <c r="T1322" s="369" t="str">
        <f>VLOOKUP(Tabla4[[#This Row],[Producto]],Tabla6[#All],14,FALSE)</f>
        <v>Termico Solar</v>
      </c>
      <c r="U1322" s="284" t="e">
        <f>(IF(Tabla4[[#This Row],[Familia]]="termico solar",Tabla4[[#This Row],[Utilidad Total]]*6%,Tabla4[[#This Row],[Utilidad Total]]*11.5%))/Tabla4[[#This Row],[Total]]</f>
        <v>#N/A</v>
      </c>
      <c r="V1322" s="282" t="e">
        <f>+Tabla4[[#This Row],[Comisión Calculada]]*Tabla4[[#This Row],[Total]]</f>
        <v>#N/A</v>
      </c>
    </row>
    <row r="1323" spans="1:22" hidden="1" x14ac:dyDescent="0.25">
      <c r="A1323" s="100">
        <v>45731</v>
      </c>
      <c r="B1323" t="str">
        <f t="shared" si="57"/>
        <v>March</v>
      </c>
      <c r="C1323" s="46" t="s">
        <v>280</v>
      </c>
      <c r="F1323" s="366" t="s">
        <v>1240</v>
      </c>
      <c r="G1323" s="46" t="s">
        <v>208</v>
      </c>
      <c r="H1323" s="46">
        <v>1</v>
      </c>
      <c r="I1323" s="51">
        <v>189.75</v>
      </c>
      <c r="J1323" s="281">
        <f>++Tabla4[[#This Row],[Precio Bruto]]*1.16</f>
        <v>220.10999999999999</v>
      </c>
      <c r="K1323" s="281">
        <f>+Tabla4[[#This Row],[Precio Unitario Neto]]*Tabla4[[#Headers],[20.85%]]</f>
        <v>45.892934999999994</v>
      </c>
      <c r="L1323" s="282">
        <f>++Tabla4[[#This Row],[Precio Unitario Neto]]-Tabla4[[#This Row],[20.85%]]</f>
        <v>174.21706499999999</v>
      </c>
      <c r="M1323" s="282" t="e">
        <f>(INDEX(Tabla6[#All],MATCH(Tabla4[[#This Row],[Producto]],Tabla6[[#All],[PRODUCTO]],0),MATCH(Tabla4[[#This Row],[Mes]],Tabla6[#Headers],0)))*(1+Catalogos!$L$2)</f>
        <v>#N/A</v>
      </c>
      <c r="N1323" s="283" t="e">
        <f>+(Tabla4[[#This Row],[Precio Descontado]]-Tabla4[[#This Row],[Precio Base]])*Tabla4[[#This Row],[Cantidad]]</f>
        <v>#N/A</v>
      </c>
      <c r="O1323" s="284" t="e">
        <f>++Tabla4[[#This Row],[Utilidad Total]]/Tabla4[[#This Row],[Total]]</f>
        <v>#N/A</v>
      </c>
      <c r="P1323" s="282">
        <f>++Tabla4[[#This Row],[Precio Descontado]]*Tabla4[[#This Row],[Cantidad]]</f>
        <v>174.21706499999999</v>
      </c>
      <c r="Q1323" s="282" t="e">
        <f>(INDEX(Tabla6[#All],MATCH(Tabla4[[#This Row],[Producto]],Tabla6[[#All],[PRODUCTO]],0),MATCH(Tabla4[[#This Row],[Mes]],Tabla6[#Headers],0)))</f>
        <v>#N/A</v>
      </c>
      <c r="R1323" s="282" t="e">
        <f>++Tabla4[[#This Row],[Precio Unitario Neto]]-Tabla4[[#This Row],[20.85%]]-Tabla4[[#This Row],[Costo]]</f>
        <v>#N/A</v>
      </c>
      <c r="S1323" s="282" t="e">
        <f>++Tabla4[[#This Row],[U. Bruta Uni]]*Tabla4[[#This Row],[Cantidad]]</f>
        <v>#N/A</v>
      </c>
      <c r="T1323" s="369" t="str">
        <f>VLOOKUP(Tabla4[[#This Row],[Producto]],Tabla6[#All],14,FALSE)</f>
        <v>Termico Solar</v>
      </c>
      <c r="U1323" s="284" t="e">
        <f>(IF(Tabla4[[#This Row],[Familia]]="termico solar",Tabla4[[#This Row],[Utilidad Total]]*6%,Tabla4[[#This Row],[Utilidad Total]]*11.5%))/Tabla4[[#This Row],[Total]]</f>
        <v>#N/A</v>
      </c>
      <c r="V1323" s="282" t="e">
        <f>+Tabla4[[#This Row],[Comisión Calculada]]*Tabla4[[#This Row],[Total]]</f>
        <v>#N/A</v>
      </c>
    </row>
    <row r="1324" spans="1:22" hidden="1" x14ac:dyDescent="0.25">
      <c r="A1324" s="100">
        <v>45731</v>
      </c>
      <c r="B1324" t="str">
        <f t="shared" si="57"/>
        <v>March</v>
      </c>
      <c r="C1324" s="46" t="s">
        <v>280</v>
      </c>
      <c r="F1324" s="366" t="s">
        <v>1241</v>
      </c>
      <c r="G1324" s="46" t="s">
        <v>17</v>
      </c>
      <c r="H1324" s="46">
        <v>2</v>
      </c>
      <c r="I1324" s="51">
        <v>4622.28</v>
      </c>
      <c r="J1324" s="281">
        <f>++Tabla4[[#This Row],[Precio Bruto]]*1.16</f>
        <v>5361.8447999999989</v>
      </c>
      <c r="K1324" s="281">
        <f>+Tabla4[[#This Row],[Precio Unitario Neto]]*Tabla4[[#Headers],[20.85%]]</f>
        <v>1117.9446407999997</v>
      </c>
      <c r="L1324" s="282">
        <f>++Tabla4[[#This Row],[Precio Unitario Neto]]-Tabla4[[#This Row],[20.85%]]</f>
        <v>4243.9001591999995</v>
      </c>
      <c r="M1324" s="282" t="e">
        <f>(INDEX(Tabla6[#All],MATCH(Tabla4[[#This Row],[Producto]],Tabla6[[#All],[PRODUCTO]],0),MATCH(Tabla4[[#This Row],[Mes]],Tabla6[#Headers],0)))*(1+Catalogos!$L$2)</f>
        <v>#N/A</v>
      </c>
      <c r="N1324" s="283" t="e">
        <f>+(Tabla4[[#This Row],[Precio Descontado]]-Tabla4[[#This Row],[Precio Base]])*Tabla4[[#This Row],[Cantidad]]</f>
        <v>#N/A</v>
      </c>
      <c r="O1324" s="284" t="e">
        <f>++Tabla4[[#This Row],[Utilidad Total]]/Tabla4[[#This Row],[Total]]</f>
        <v>#N/A</v>
      </c>
      <c r="P1324" s="282">
        <f>++Tabla4[[#This Row],[Precio Descontado]]*Tabla4[[#This Row],[Cantidad]]</f>
        <v>8487.800318399999</v>
      </c>
      <c r="Q1324" s="282" t="e">
        <f>(INDEX(Tabla6[#All],MATCH(Tabla4[[#This Row],[Producto]],Tabla6[[#All],[PRODUCTO]],0),MATCH(Tabla4[[#This Row],[Mes]],Tabla6[#Headers],0)))</f>
        <v>#N/A</v>
      </c>
      <c r="R1324" s="282" t="e">
        <f>++Tabla4[[#This Row],[Precio Unitario Neto]]-Tabla4[[#This Row],[20.85%]]-Tabla4[[#This Row],[Costo]]</f>
        <v>#N/A</v>
      </c>
      <c r="S1324" s="282" t="e">
        <f>++Tabla4[[#This Row],[U. Bruta Uni]]*Tabla4[[#This Row],[Cantidad]]</f>
        <v>#N/A</v>
      </c>
      <c r="T1324" s="369" t="str">
        <f>VLOOKUP(Tabla4[[#This Row],[Producto]],Tabla6[#All],14,FALSE)</f>
        <v>Termico Solar</v>
      </c>
      <c r="U1324" s="284" t="e">
        <f>(IF(Tabla4[[#This Row],[Familia]]="termico solar",Tabla4[[#This Row],[Utilidad Total]]*6%,Tabla4[[#This Row],[Utilidad Total]]*11.5%))/Tabla4[[#This Row],[Total]]</f>
        <v>#N/A</v>
      </c>
      <c r="V1324" s="282" t="e">
        <f>+Tabla4[[#This Row],[Comisión Calculada]]*Tabla4[[#This Row],[Total]]</f>
        <v>#N/A</v>
      </c>
    </row>
    <row r="1325" spans="1:22" hidden="1" x14ac:dyDescent="0.25">
      <c r="A1325" s="100">
        <v>45731</v>
      </c>
      <c r="B1325" t="str">
        <f t="shared" si="57"/>
        <v>March</v>
      </c>
      <c r="C1325" s="46" t="s">
        <v>280</v>
      </c>
      <c r="F1325" s="366" t="s">
        <v>1241</v>
      </c>
      <c r="G1325" s="46" t="s">
        <v>566</v>
      </c>
      <c r="H1325" s="46">
        <v>1</v>
      </c>
      <c r="I1325" s="51">
        <v>2109.4499999999998</v>
      </c>
      <c r="J1325" s="281">
        <f>++Tabla4[[#This Row],[Precio Bruto]]*1.16</f>
        <v>2446.9619999999995</v>
      </c>
      <c r="K1325" s="281">
        <f>+Tabla4[[#This Row],[Precio Unitario Neto]]*Tabla4[[#Headers],[20.85%]]</f>
        <v>510.19157699999988</v>
      </c>
      <c r="L1325" s="282">
        <f>++Tabla4[[#This Row],[Precio Unitario Neto]]-Tabla4[[#This Row],[20.85%]]</f>
        <v>1936.7704229999997</v>
      </c>
      <c r="M1325" s="282" t="e">
        <f>(INDEX(Tabla6[#All],MATCH(Tabla4[[#This Row],[Producto]],Tabla6[[#All],[PRODUCTO]],0),MATCH(Tabla4[[#This Row],[Mes]],Tabla6[#Headers],0)))*(1+Catalogos!$L$2)</f>
        <v>#N/A</v>
      </c>
      <c r="N1325" s="283" t="e">
        <f>+(Tabla4[[#This Row],[Precio Descontado]]-Tabla4[[#This Row],[Precio Base]])*Tabla4[[#This Row],[Cantidad]]</f>
        <v>#N/A</v>
      </c>
      <c r="O1325" s="284" t="e">
        <f>++Tabla4[[#This Row],[Utilidad Total]]/Tabla4[[#This Row],[Total]]</f>
        <v>#N/A</v>
      </c>
      <c r="P1325" s="282">
        <f>++Tabla4[[#This Row],[Precio Descontado]]*Tabla4[[#This Row],[Cantidad]]</f>
        <v>1936.7704229999997</v>
      </c>
      <c r="Q1325" s="282" t="e">
        <f>(INDEX(Tabla6[#All],MATCH(Tabla4[[#This Row],[Producto]],Tabla6[[#All],[PRODUCTO]],0),MATCH(Tabla4[[#This Row],[Mes]],Tabla6[#Headers],0)))</f>
        <v>#N/A</v>
      </c>
      <c r="R1325" s="282" t="e">
        <f>++Tabla4[[#This Row],[Precio Unitario Neto]]-Tabla4[[#This Row],[20.85%]]-Tabla4[[#This Row],[Costo]]</f>
        <v>#N/A</v>
      </c>
      <c r="S1325" s="282" t="e">
        <f>++Tabla4[[#This Row],[U. Bruta Uni]]*Tabla4[[#This Row],[Cantidad]]</f>
        <v>#N/A</v>
      </c>
      <c r="T1325" s="369" t="str">
        <f>VLOOKUP(Tabla4[[#This Row],[Producto]],Tabla6[#All],14,FALSE)</f>
        <v>Termico Solar</v>
      </c>
      <c r="U1325" s="284" t="e">
        <f>(IF(Tabla4[[#This Row],[Familia]]="termico solar",Tabla4[[#This Row],[Utilidad Total]]*6%,Tabla4[[#This Row],[Utilidad Total]]*11.5%))/Tabla4[[#This Row],[Total]]</f>
        <v>#N/A</v>
      </c>
      <c r="V1325" s="282" t="e">
        <f>+Tabla4[[#This Row],[Comisión Calculada]]*Tabla4[[#This Row],[Total]]</f>
        <v>#N/A</v>
      </c>
    </row>
    <row r="1326" spans="1:22" hidden="1" x14ac:dyDescent="0.25">
      <c r="A1326" s="100">
        <v>45731</v>
      </c>
      <c r="B1326" t="str">
        <f t="shared" si="57"/>
        <v>March</v>
      </c>
      <c r="C1326" s="46" t="s">
        <v>280</v>
      </c>
      <c r="F1326" s="366" t="s">
        <v>1242</v>
      </c>
      <c r="G1326" s="46" t="s">
        <v>17</v>
      </c>
      <c r="H1326" s="46">
        <v>1</v>
      </c>
      <c r="I1326" s="51">
        <v>4622.28</v>
      </c>
      <c r="J1326" s="281">
        <f>++Tabla4[[#This Row],[Precio Bruto]]*1.16</f>
        <v>5361.8447999999989</v>
      </c>
      <c r="K1326" s="281">
        <f>+Tabla4[[#This Row],[Precio Unitario Neto]]*Tabla4[[#Headers],[20.85%]]</f>
        <v>1117.9446407999997</v>
      </c>
      <c r="L1326" s="282">
        <f>++Tabla4[[#This Row],[Precio Unitario Neto]]-Tabla4[[#This Row],[20.85%]]</f>
        <v>4243.9001591999995</v>
      </c>
      <c r="M1326" s="282" t="e">
        <f>(INDEX(Tabla6[#All],MATCH(Tabla4[[#This Row],[Producto]],Tabla6[[#All],[PRODUCTO]],0),MATCH(Tabla4[[#This Row],[Mes]],Tabla6[#Headers],0)))*(1+Catalogos!$L$2)</f>
        <v>#N/A</v>
      </c>
      <c r="N1326" s="283" t="e">
        <f>+(Tabla4[[#This Row],[Precio Descontado]]-Tabla4[[#This Row],[Precio Base]])*Tabla4[[#This Row],[Cantidad]]</f>
        <v>#N/A</v>
      </c>
      <c r="O1326" s="284" t="e">
        <f>++Tabla4[[#This Row],[Utilidad Total]]/Tabla4[[#This Row],[Total]]</f>
        <v>#N/A</v>
      </c>
      <c r="P1326" s="282">
        <f>++Tabla4[[#This Row],[Precio Descontado]]*Tabla4[[#This Row],[Cantidad]]</f>
        <v>4243.9001591999995</v>
      </c>
      <c r="Q1326" s="282" t="e">
        <f>(INDEX(Tabla6[#All],MATCH(Tabla4[[#This Row],[Producto]],Tabla6[[#All],[PRODUCTO]],0),MATCH(Tabla4[[#This Row],[Mes]],Tabla6[#Headers],0)))</f>
        <v>#N/A</v>
      </c>
      <c r="R1326" s="282" t="e">
        <f>++Tabla4[[#This Row],[Precio Unitario Neto]]-Tabla4[[#This Row],[20.85%]]-Tabla4[[#This Row],[Costo]]</f>
        <v>#N/A</v>
      </c>
      <c r="S1326" s="282" t="e">
        <f>++Tabla4[[#This Row],[U. Bruta Uni]]*Tabla4[[#This Row],[Cantidad]]</f>
        <v>#N/A</v>
      </c>
      <c r="T1326" s="369" t="str">
        <f>VLOOKUP(Tabla4[[#This Row],[Producto]],Tabla6[#All],14,FALSE)</f>
        <v>Termico Solar</v>
      </c>
      <c r="U1326" s="284" t="e">
        <f>(IF(Tabla4[[#This Row],[Familia]]="termico solar",Tabla4[[#This Row],[Utilidad Total]]*6%,Tabla4[[#This Row],[Utilidad Total]]*11.5%))/Tabla4[[#This Row],[Total]]</f>
        <v>#N/A</v>
      </c>
      <c r="V1326" s="282" t="e">
        <f>+Tabla4[[#This Row],[Comisión Calculada]]*Tabla4[[#This Row],[Total]]</f>
        <v>#N/A</v>
      </c>
    </row>
    <row r="1327" spans="1:22" hidden="1" x14ac:dyDescent="0.25">
      <c r="A1327" s="100">
        <v>45731</v>
      </c>
      <c r="B1327" t="str">
        <f t="shared" si="57"/>
        <v>March</v>
      </c>
      <c r="C1327" s="46" t="s">
        <v>280</v>
      </c>
      <c r="F1327" s="366" t="s">
        <v>1242</v>
      </c>
      <c r="G1327" s="46" t="s">
        <v>208</v>
      </c>
      <c r="H1327" s="46">
        <v>15</v>
      </c>
      <c r="I1327" s="51">
        <v>140.63</v>
      </c>
      <c r="J1327" s="281">
        <f>++Tabla4[[#This Row],[Precio Bruto]]*1.16</f>
        <v>163.13079999999999</v>
      </c>
      <c r="K1327" s="281">
        <f>+Tabla4[[#This Row],[Precio Unitario Neto]]*Tabla4[[#Headers],[20.85%]]</f>
        <v>34.012771799999996</v>
      </c>
      <c r="L1327" s="282">
        <f>++Tabla4[[#This Row],[Precio Unitario Neto]]-Tabla4[[#This Row],[20.85%]]</f>
        <v>129.1180282</v>
      </c>
      <c r="M1327" s="282" t="e">
        <f>(INDEX(Tabla6[#All],MATCH(Tabla4[[#This Row],[Producto]],Tabla6[[#All],[PRODUCTO]],0),MATCH(Tabla4[[#This Row],[Mes]],Tabla6[#Headers],0)))*(1+Catalogos!$L$2)</f>
        <v>#N/A</v>
      </c>
      <c r="N1327" s="283" t="e">
        <f>+(Tabla4[[#This Row],[Precio Descontado]]-Tabla4[[#This Row],[Precio Base]])*Tabla4[[#This Row],[Cantidad]]</f>
        <v>#N/A</v>
      </c>
      <c r="O1327" s="284" t="e">
        <f>++Tabla4[[#This Row],[Utilidad Total]]/Tabla4[[#This Row],[Total]]</f>
        <v>#N/A</v>
      </c>
      <c r="P1327" s="282">
        <f>++Tabla4[[#This Row],[Precio Descontado]]*Tabla4[[#This Row],[Cantidad]]</f>
        <v>1936.7704229999999</v>
      </c>
      <c r="Q1327" s="282" t="e">
        <f>(INDEX(Tabla6[#All],MATCH(Tabla4[[#This Row],[Producto]],Tabla6[[#All],[PRODUCTO]],0),MATCH(Tabla4[[#This Row],[Mes]],Tabla6[#Headers],0)))</f>
        <v>#N/A</v>
      </c>
      <c r="R1327" s="282" t="e">
        <f>++Tabla4[[#This Row],[Precio Unitario Neto]]-Tabla4[[#This Row],[20.85%]]-Tabla4[[#This Row],[Costo]]</f>
        <v>#N/A</v>
      </c>
      <c r="S1327" s="282" t="e">
        <f>++Tabla4[[#This Row],[U. Bruta Uni]]*Tabla4[[#This Row],[Cantidad]]</f>
        <v>#N/A</v>
      </c>
      <c r="T1327" s="369" t="str">
        <f>VLOOKUP(Tabla4[[#This Row],[Producto]],Tabla6[#All],14,FALSE)</f>
        <v>Termico Solar</v>
      </c>
      <c r="U1327" s="284" t="e">
        <f>(IF(Tabla4[[#This Row],[Familia]]="termico solar",Tabla4[[#This Row],[Utilidad Total]]*6%,Tabla4[[#This Row],[Utilidad Total]]*11.5%))/Tabla4[[#This Row],[Total]]</f>
        <v>#N/A</v>
      </c>
      <c r="V1327" s="282" t="e">
        <f>+Tabla4[[#This Row],[Comisión Calculada]]*Tabla4[[#This Row],[Total]]</f>
        <v>#N/A</v>
      </c>
    </row>
    <row r="1328" spans="1:22" hidden="1" x14ac:dyDescent="0.25">
      <c r="A1328" s="100">
        <v>45731</v>
      </c>
      <c r="B1328" t="str">
        <f t="shared" ref="B1328:B1334" si="58">TEXT(A1328, "mmmm")</f>
        <v>March</v>
      </c>
      <c r="C1328" s="46" t="s">
        <v>280</v>
      </c>
      <c r="F1328" s="366" t="s">
        <v>1243</v>
      </c>
      <c r="G1328" s="46" t="s">
        <v>17</v>
      </c>
      <c r="H1328" s="46">
        <v>5</v>
      </c>
      <c r="I1328" s="51">
        <v>4622.2800000000007</v>
      </c>
      <c r="J1328" s="281">
        <f>++Tabla4[[#This Row],[Precio Bruto]]*1.16</f>
        <v>5361.8448000000008</v>
      </c>
      <c r="K1328" s="281">
        <f>+Tabla4[[#This Row],[Precio Unitario Neto]]*Tabla4[[#Headers],[20.85%]]</f>
        <v>1117.9446408000001</v>
      </c>
      <c r="L1328" s="282">
        <f>++Tabla4[[#This Row],[Precio Unitario Neto]]-Tabla4[[#This Row],[20.85%]]</f>
        <v>4243.9001592000004</v>
      </c>
      <c r="M1328" s="282" t="e">
        <f>(INDEX(Tabla6[#All],MATCH(Tabla4[[#This Row],[Producto]],Tabla6[[#All],[PRODUCTO]],0),MATCH(Tabla4[[#This Row],[Mes]],Tabla6[#Headers],0)))*(1+Catalogos!$L$2)</f>
        <v>#N/A</v>
      </c>
      <c r="N1328" s="283" t="e">
        <f>+(Tabla4[[#This Row],[Precio Descontado]]-Tabla4[[#This Row],[Precio Base]])*Tabla4[[#This Row],[Cantidad]]</f>
        <v>#N/A</v>
      </c>
      <c r="O1328" s="284" t="e">
        <f>++Tabla4[[#This Row],[Utilidad Total]]/Tabla4[[#This Row],[Total]]</f>
        <v>#N/A</v>
      </c>
      <c r="P1328" s="282">
        <f>++Tabla4[[#This Row],[Precio Descontado]]*Tabla4[[#This Row],[Cantidad]]</f>
        <v>21219.500796</v>
      </c>
      <c r="Q1328" s="282" t="e">
        <f>(INDEX(Tabla6[#All],MATCH(Tabla4[[#This Row],[Producto]],Tabla6[[#All],[PRODUCTO]],0),MATCH(Tabla4[[#This Row],[Mes]],Tabla6[#Headers],0)))</f>
        <v>#N/A</v>
      </c>
      <c r="R1328" s="282" t="e">
        <f>++Tabla4[[#This Row],[Precio Unitario Neto]]-Tabla4[[#This Row],[20.85%]]-Tabla4[[#This Row],[Costo]]</f>
        <v>#N/A</v>
      </c>
      <c r="S1328" s="282" t="e">
        <f>++Tabla4[[#This Row],[U. Bruta Uni]]*Tabla4[[#This Row],[Cantidad]]</f>
        <v>#N/A</v>
      </c>
      <c r="T1328" s="369" t="str">
        <f>VLOOKUP(Tabla4[[#This Row],[Producto]],Tabla6[#All],14,FALSE)</f>
        <v>Termico Solar</v>
      </c>
      <c r="U1328" s="284" t="e">
        <f>(IF(Tabla4[[#This Row],[Familia]]="termico solar",Tabla4[[#This Row],[Utilidad Total]]*6%,Tabla4[[#This Row],[Utilidad Total]]*11.5%))/Tabla4[[#This Row],[Total]]</f>
        <v>#N/A</v>
      </c>
      <c r="V1328" s="282" t="e">
        <f>+Tabla4[[#This Row],[Comisión Calculada]]*Tabla4[[#This Row],[Total]]</f>
        <v>#N/A</v>
      </c>
    </row>
    <row r="1329" spans="1:22" hidden="1" x14ac:dyDescent="0.25">
      <c r="A1329" s="100">
        <v>45731</v>
      </c>
      <c r="B1329" t="str">
        <f t="shared" si="58"/>
        <v>March</v>
      </c>
      <c r="C1329" s="46" t="s">
        <v>280</v>
      </c>
      <c r="F1329" s="366" t="s">
        <v>1243</v>
      </c>
      <c r="G1329" s="46" t="s">
        <v>18</v>
      </c>
      <c r="H1329" s="46">
        <v>1</v>
      </c>
      <c r="I1329" s="51">
        <v>5367.65</v>
      </c>
      <c r="J1329" s="281">
        <f>++Tabla4[[#This Row],[Precio Bruto]]*1.16</f>
        <v>6226.4739999999993</v>
      </c>
      <c r="K1329" s="281">
        <f>+Tabla4[[#This Row],[Precio Unitario Neto]]*Tabla4[[#Headers],[20.85%]]</f>
        <v>1298.2198289999999</v>
      </c>
      <c r="L1329" s="282">
        <f>++Tabla4[[#This Row],[Precio Unitario Neto]]-Tabla4[[#This Row],[20.85%]]</f>
        <v>4928.2541709999996</v>
      </c>
      <c r="M1329" s="282" t="e">
        <f>(INDEX(Tabla6[#All],MATCH(Tabla4[[#This Row],[Producto]],Tabla6[[#All],[PRODUCTO]],0),MATCH(Tabla4[[#This Row],[Mes]],Tabla6[#Headers],0)))*(1+Catalogos!$L$2)</f>
        <v>#N/A</v>
      </c>
      <c r="N1329" s="283" t="e">
        <f>+(Tabla4[[#This Row],[Precio Descontado]]-Tabla4[[#This Row],[Precio Base]])*Tabla4[[#This Row],[Cantidad]]</f>
        <v>#N/A</v>
      </c>
      <c r="O1329" s="284" t="e">
        <f>++Tabla4[[#This Row],[Utilidad Total]]/Tabla4[[#This Row],[Total]]</f>
        <v>#N/A</v>
      </c>
      <c r="P1329" s="282">
        <f>++Tabla4[[#This Row],[Precio Descontado]]*Tabla4[[#This Row],[Cantidad]]</f>
        <v>4928.2541709999996</v>
      </c>
      <c r="Q1329" s="282" t="e">
        <f>(INDEX(Tabla6[#All],MATCH(Tabla4[[#This Row],[Producto]],Tabla6[[#All],[PRODUCTO]],0),MATCH(Tabla4[[#This Row],[Mes]],Tabla6[#Headers],0)))</f>
        <v>#N/A</v>
      </c>
      <c r="R1329" s="282" t="e">
        <f>++Tabla4[[#This Row],[Precio Unitario Neto]]-Tabla4[[#This Row],[20.85%]]-Tabla4[[#This Row],[Costo]]</f>
        <v>#N/A</v>
      </c>
      <c r="S1329" s="282" t="e">
        <f>++Tabla4[[#This Row],[U. Bruta Uni]]*Tabla4[[#This Row],[Cantidad]]</f>
        <v>#N/A</v>
      </c>
      <c r="T1329" s="369" t="str">
        <f>VLOOKUP(Tabla4[[#This Row],[Producto]],Tabla6[#All],14,FALSE)</f>
        <v>Termico Solar</v>
      </c>
      <c r="U1329" s="284" t="e">
        <f>(IF(Tabla4[[#This Row],[Familia]]="termico solar",Tabla4[[#This Row],[Utilidad Total]]*6%,Tabla4[[#This Row],[Utilidad Total]]*11.5%))/Tabla4[[#This Row],[Total]]</f>
        <v>#N/A</v>
      </c>
      <c r="V1329" s="282" t="e">
        <f>+Tabla4[[#This Row],[Comisión Calculada]]*Tabla4[[#This Row],[Total]]</f>
        <v>#N/A</v>
      </c>
    </row>
    <row r="1330" spans="1:22" hidden="1" x14ac:dyDescent="0.25">
      <c r="A1330" s="100">
        <v>45731</v>
      </c>
      <c r="B1330" t="str">
        <f t="shared" si="58"/>
        <v>March</v>
      </c>
      <c r="C1330" s="46" t="s">
        <v>280</v>
      </c>
      <c r="F1330" s="366" t="s">
        <v>1243</v>
      </c>
      <c r="G1330" s="46" t="s">
        <v>208</v>
      </c>
      <c r="H1330" s="46">
        <v>15</v>
      </c>
      <c r="I1330" s="51">
        <v>140.63</v>
      </c>
      <c r="J1330" s="281">
        <f>++Tabla4[[#This Row],[Precio Bruto]]*1.16</f>
        <v>163.13079999999999</v>
      </c>
      <c r="K1330" s="281">
        <f>+Tabla4[[#This Row],[Precio Unitario Neto]]*Tabla4[[#Headers],[20.85%]]</f>
        <v>34.012771799999996</v>
      </c>
      <c r="L1330" s="282">
        <f>++Tabla4[[#This Row],[Precio Unitario Neto]]-Tabla4[[#This Row],[20.85%]]</f>
        <v>129.1180282</v>
      </c>
      <c r="M1330" s="282" t="e">
        <f>(INDEX(Tabla6[#All],MATCH(Tabla4[[#This Row],[Producto]],Tabla6[[#All],[PRODUCTO]],0),MATCH(Tabla4[[#This Row],[Mes]],Tabla6[#Headers],0)))*(1+Catalogos!$L$2)</f>
        <v>#N/A</v>
      </c>
      <c r="N1330" s="283" t="e">
        <f>+(Tabla4[[#This Row],[Precio Descontado]]-Tabla4[[#This Row],[Precio Base]])*Tabla4[[#This Row],[Cantidad]]</f>
        <v>#N/A</v>
      </c>
      <c r="O1330" s="284" t="e">
        <f>++Tabla4[[#This Row],[Utilidad Total]]/Tabla4[[#This Row],[Total]]</f>
        <v>#N/A</v>
      </c>
      <c r="P1330" s="282">
        <f>++Tabla4[[#This Row],[Precio Descontado]]*Tabla4[[#This Row],[Cantidad]]</f>
        <v>1936.7704229999999</v>
      </c>
      <c r="Q1330" s="282" t="e">
        <f>(INDEX(Tabla6[#All],MATCH(Tabla4[[#This Row],[Producto]],Tabla6[[#All],[PRODUCTO]],0),MATCH(Tabla4[[#This Row],[Mes]],Tabla6[#Headers],0)))</f>
        <v>#N/A</v>
      </c>
      <c r="R1330" s="282" t="e">
        <f>++Tabla4[[#This Row],[Precio Unitario Neto]]-Tabla4[[#This Row],[20.85%]]-Tabla4[[#This Row],[Costo]]</f>
        <v>#N/A</v>
      </c>
      <c r="S1330" s="282" t="e">
        <f>++Tabla4[[#This Row],[U. Bruta Uni]]*Tabla4[[#This Row],[Cantidad]]</f>
        <v>#N/A</v>
      </c>
      <c r="T1330" s="369" t="str">
        <f>VLOOKUP(Tabla4[[#This Row],[Producto]],Tabla6[#All],14,FALSE)</f>
        <v>Termico Solar</v>
      </c>
      <c r="U1330" s="284" t="e">
        <f>(IF(Tabla4[[#This Row],[Familia]]="termico solar",Tabla4[[#This Row],[Utilidad Total]]*6%,Tabla4[[#This Row],[Utilidad Total]]*11.5%))/Tabla4[[#This Row],[Total]]</f>
        <v>#N/A</v>
      </c>
      <c r="V1330" s="282" t="e">
        <f>+Tabla4[[#This Row],[Comisión Calculada]]*Tabla4[[#This Row],[Total]]</f>
        <v>#N/A</v>
      </c>
    </row>
    <row r="1331" spans="1:22" hidden="1" x14ac:dyDescent="0.25">
      <c r="A1331" s="100">
        <v>45731</v>
      </c>
      <c r="B1331" t="str">
        <f t="shared" si="58"/>
        <v>March</v>
      </c>
      <c r="C1331" s="46" t="s">
        <v>280</v>
      </c>
      <c r="F1331" s="366" t="s">
        <v>1243</v>
      </c>
      <c r="G1331" s="46" t="s">
        <v>16</v>
      </c>
      <c r="H1331" s="46">
        <v>1</v>
      </c>
      <c r="I1331" s="51">
        <v>4103.8500000000004</v>
      </c>
      <c r="J1331" s="281">
        <f>++Tabla4[[#This Row],[Precio Bruto]]*1.16</f>
        <v>4760.4660000000003</v>
      </c>
      <c r="K1331" s="281">
        <f>+Tabla4[[#This Row],[Precio Unitario Neto]]*Tabla4[[#Headers],[20.85%]]</f>
        <v>992.55716100000006</v>
      </c>
      <c r="L1331" s="282">
        <f>++Tabla4[[#This Row],[Precio Unitario Neto]]-Tabla4[[#This Row],[20.85%]]</f>
        <v>3767.9088390000002</v>
      </c>
      <c r="M1331" s="282" t="e">
        <f>(INDEX(Tabla6[#All],MATCH(Tabla4[[#This Row],[Producto]],Tabla6[[#All],[PRODUCTO]],0),MATCH(Tabla4[[#This Row],[Mes]],Tabla6[#Headers],0)))*(1+Catalogos!$L$2)</f>
        <v>#N/A</v>
      </c>
      <c r="N1331" s="283" t="e">
        <f>+(Tabla4[[#This Row],[Precio Descontado]]-Tabla4[[#This Row],[Precio Base]])*Tabla4[[#This Row],[Cantidad]]</f>
        <v>#N/A</v>
      </c>
      <c r="O1331" s="284" t="e">
        <f>++Tabla4[[#This Row],[Utilidad Total]]/Tabla4[[#This Row],[Total]]</f>
        <v>#N/A</v>
      </c>
      <c r="P1331" s="282">
        <f>++Tabla4[[#This Row],[Precio Descontado]]*Tabla4[[#This Row],[Cantidad]]</f>
        <v>3767.9088390000002</v>
      </c>
      <c r="Q1331" s="282" t="e">
        <f>(INDEX(Tabla6[#All],MATCH(Tabla4[[#This Row],[Producto]],Tabla6[[#All],[PRODUCTO]],0),MATCH(Tabla4[[#This Row],[Mes]],Tabla6[#Headers],0)))</f>
        <v>#N/A</v>
      </c>
      <c r="R1331" s="282" t="e">
        <f>++Tabla4[[#This Row],[Precio Unitario Neto]]-Tabla4[[#This Row],[20.85%]]-Tabla4[[#This Row],[Costo]]</f>
        <v>#N/A</v>
      </c>
      <c r="S1331" s="282" t="e">
        <f>++Tabla4[[#This Row],[U. Bruta Uni]]*Tabla4[[#This Row],[Cantidad]]</f>
        <v>#N/A</v>
      </c>
      <c r="T1331" s="369" t="str">
        <f>VLOOKUP(Tabla4[[#This Row],[Producto]],Tabla6[#All],14,FALSE)</f>
        <v>Termico Solar</v>
      </c>
      <c r="U1331" s="284" t="e">
        <f>(IF(Tabla4[[#This Row],[Familia]]="termico solar",Tabla4[[#This Row],[Utilidad Total]]*6%,Tabla4[[#This Row],[Utilidad Total]]*11.5%))/Tabla4[[#This Row],[Total]]</f>
        <v>#N/A</v>
      </c>
      <c r="V1331" s="282" t="e">
        <f>+Tabla4[[#This Row],[Comisión Calculada]]*Tabla4[[#This Row],[Total]]</f>
        <v>#N/A</v>
      </c>
    </row>
    <row r="1332" spans="1:22" hidden="1" x14ac:dyDescent="0.25">
      <c r="A1332" s="100">
        <v>45731</v>
      </c>
      <c r="B1332" t="str">
        <f t="shared" si="58"/>
        <v>March</v>
      </c>
      <c r="C1332" s="46" t="s">
        <v>280</v>
      </c>
      <c r="F1332" s="366" t="s">
        <v>1243</v>
      </c>
      <c r="G1332" s="46" t="s">
        <v>394</v>
      </c>
      <c r="H1332" s="46">
        <v>16</v>
      </c>
      <c r="I1332" s="51">
        <v>224.29</v>
      </c>
      <c r="J1332" s="281">
        <f>++Tabla4[[#This Row],[Precio Bruto]]*1.16</f>
        <v>260.1764</v>
      </c>
      <c r="K1332" s="281">
        <f>+Tabla4[[#This Row],[Precio Unitario Neto]]*Tabla4[[#Headers],[20.85%]]</f>
        <v>54.246779400000001</v>
      </c>
      <c r="L1332" s="282">
        <f>++Tabla4[[#This Row],[Precio Unitario Neto]]-Tabla4[[#This Row],[20.85%]]</f>
        <v>205.92962059999999</v>
      </c>
      <c r="M1332" s="282" t="e">
        <f>(INDEX(Tabla6[#All],MATCH(Tabla4[[#This Row],[Producto]],Tabla6[[#All],[PRODUCTO]],0),MATCH(Tabla4[[#This Row],[Mes]],Tabla6[#Headers],0)))*(1+Catalogos!$L$2)</f>
        <v>#N/A</v>
      </c>
      <c r="N1332" s="283" t="e">
        <f>+(Tabla4[[#This Row],[Precio Descontado]]-Tabla4[[#This Row],[Precio Base]])*Tabla4[[#This Row],[Cantidad]]</f>
        <v>#N/A</v>
      </c>
      <c r="O1332" s="284" t="e">
        <f>++Tabla4[[#This Row],[Utilidad Total]]/Tabla4[[#This Row],[Total]]</f>
        <v>#N/A</v>
      </c>
      <c r="P1332" s="282">
        <f>++Tabla4[[#This Row],[Precio Descontado]]*Tabla4[[#This Row],[Cantidad]]</f>
        <v>3294.8739295999999</v>
      </c>
      <c r="Q1332" s="282" t="e">
        <f>(INDEX(Tabla6[#All],MATCH(Tabla4[[#This Row],[Producto]],Tabla6[[#All],[PRODUCTO]],0),MATCH(Tabla4[[#This Row],[Mes]],Tabla6[#Headers],0)))</f>
        <v>#N/A</v>
      </c>
      <c r="R1332" s="282" t="e">
        <f>++Tabla4[[#This Row],[Precio Unitario Neto]]-Tabla4[[#This Row],[20.85%]]-Tabla4[[#This Row],[Costo]]</f>
        <v>#N/A</v>
      </c>
      <c r="S1332" s="282" t="e">
        <f>++Tabla4[[#This Row],[U. Bruta Uni]]*Tabla4[[#This Row],[Cantidad]]</f>
        <v>#N/A</v>
      </c>
      <c r="T1332" s="369" t="str">
        <f>VLOOKUP(Tabla4[[#This Row],[Producto]],Tabla6[#All],14,FALSE)</f>
        <v>Termico Solar</v>
      </c>
      <c r="U1332" s="284" t="e">
        <f>(IF(Tabla4[[#This Row],[Familia]]="termico solar",Tabla4[[#This Row],[Utilidad Total]]*6%,Tabla4[[#This Row],[Utilidad Total]]*11.5%))/Tabla4[[#This Row],[Total]]</f>
        <v>#N/A</v>
      </c>
      <c r="V1332" s="282" t="e">
        <f>+Tabla4[[#This Row],[Comisión Calculada]]*Tabla4[[#This Row],[Total]]</f>
        <v>#N/A</v>
      </c>
    </row>
    <row r="1333" spans="1:22" hidden="1" x14ac:dyDescent="0.25">
      <c r="A1333" s="100">
        <v>45731</v>
      </c>
      <c r="B1333" t="str">
        <f t="shared" si="58"/>
        <v>March</v>
      </c>
      <c r="C1333" s="46" t="s">
        <v>280</v>
      </c>
      <c r="F1333" s="366" t="s">
        <v>1243</v>
      </c>
      <c r="G1333" s="46" t="s">
        <v>555</v>
      </c>
      <c r="H1333" s="46">
        <v>8</v>
      </c>
      <c r="I1333" s="51">
        <v>389.47</v>
      </c>
      <c r="J1333" s="281">
        <f>++Tabla4[[#This Row],[Precio Bruto]]*1.16</f>
        <v>451.78519999999997</v>
      </c>
      <c r="K1333" s="281">
        <f>+Tabla4[[#This Row],[Precio Unitario Neto]]*Tabla4[[#Headers],[20.85%]]</f>
        <v>94.197214199999991</v>
      </c>
      <c r="L1333" s="282">
        <f>++Tabla4[[#This Row],[Precio Unitario Neto]]-Tabla4[[#This Row],[20.85%]]</f>
        <v>357.58798579999996</v>
      </c>
      <c r="M1333" s="282" t="e">
        <f>(INDEX(Tabla6[#All],MATCH(Tabla4[[#This Row],[Producto]],Tabla6[[#All],[PRODUCTO]],0),MATCH(Tabla4[[#This Row],[Mes]],Tabla6[#Headers],0)))*(1+Catalogos!$L$2)</f>
        <v>#N/A</v>
      </c>
      <c r="N1333" s="283" t="e">
        <f>+(Tabla4[[#This Row],[Precio Descontado]]-Tabla4[[#This Row],[Precio Base]])*Tabla4[[#This Row],[Cantidad]]</f>
        <v>#N/A</v>
      </c>
      <c r="O1333" s="284" t="e">
        <f>++Tabla4[[#This Row],[Utilidad Total]]/Tabla4[[#This Row],[Total]]</f>
        <v>#N/A</v>
      </c>
      <c r="P1333" s="282">
        <f>++Tabla4[[#This Row],[Precio Descontado]]*Tabla4[[#This Row],[Cantidad]]</f>
        <v>2860.7038863999996</v>
      </c>
      <c r="Q1333" s="282" t="e">
        <f>(INDEX(Tabla6[#All],MATCH(Tabla4[[#This Row],[Producto]],Tabla6[[#All],[PRODUCTO]],0),MATCH(Tabla4[[#This Row],[Mes]],Tabla6[#Headers],0)))</f>
        <v>#N/A</v>
      </c>
      <c r="R1333" s="282" t="e">
        <f>++Tabla4[[#This Row],[Precio Unitario Neto]]-Tabla4[[#This Row],[20.85%]]-Tabla4[[#This Row],[Costo]]</f>
        <v>#N/A</v>
      </c>
      <c r="S1333" s="282" t="e">
        <f>++Tabla4[[#This Row],[U. Bruta Uni]]*Tabla4[[#This Row],[Cantidad]]</f>
        <v>#N/A</v>
      </c>
      <c r="T1333" s="369" t="str">
        <f>VLOOKUP(Tabla4[[#This Row],[Producto]],Tabla6[#All],14,FALSE)</f>
        <v>Termico Solar</v>
      </c>
      <c r="U1333" s="284" t="e">
        <f>(IF(Tabla4[[#This Row],[Familia]]="termico solar",Tabla4[[#This Row],[Utilidad Total]]*6%,Tabla4[[#This Row],[Utilidad Total]]*11.5%))/Tabla4[[#This Row],[Total]]</f>
        <v>#N/A</v>
      </c>
      <c r="V1333" s="282" t="e">
        <f>+Tabla4[[#This Row],[Comisión Calculada]]*Tabla4[[#This Row],[Total]]</f>
        <v>#N/A</v>
      </c>
    </row>
    <row r="1334" spans="1:22" hidden="1" x14ac:dyDescent="0.25">
      <c r="A1334" s="100">
        <v>45731</v>
      </c>
      <c r="B1334" t="str">
        <f t="shared" si="58"/>
        <v>March</v>
      </c>
      <c r="C1334" s="46" t="s">
        <v>280</v>
      </c>
      <c r="F1334" s="366" t="s">
        <v>1243</v>
      </c>
      <c r="G1334" s="46" t="s">
        <v>208</v>
      </c>
      <c r="H1334" s="46">
        <v>2</v>
      </c>
      <c r="I1334" s="51">
        <v>189.75</v>
      </c>
      <c r="J1334" s="281">
        <f>++Tabla4[[#This Row],[Precio Bruto]]*1.16</f>
        <v>220.10999999999999</v>
      </c>
      <c r="K1334" s="281">
        <f>+Tabla4[[#This Row],[Precio Unitario Neto]]*Tabla4[[#Headers],[20.85%]]</f>
        <v>45.892934999999994</v>
      </c>
      <c r="L1334" s="282">
        <f>++Tabla4[[#This Row],[Precio Unitario Neto]]-Tabla4[[#This Row],[20.85%]]</f>
        <v>174.21706499999999</v>
      </c>
      <c r="M1334" s="282" t="e">
        <f>(INDEX(Tabla6[#All],MATCH(Tabla4[[#This Row],[Producto]],Tabla6[[#All],[PRODUCTO]],0),MATCH(Tabla4[[#This Row],[Mes]],Tabla6[#Headers],0)))*(1+Catalogos!$L$2)</f>
        <v>#N/A</v>
      </c>
      <c r="N1334" s="283" t="e">
        <f>+(Tabla4[[#This Row],[Precio Descontado]]-Tabla4[[#This Row],[Precio Base]])*Tabla4[[#This Row],[Cantidad]]</f>
        <v>#N/A</v>
      </c>
      <c r="O1334" s="284" t="e">
        <f>++Tabla4[[#This Row],[Utilidad Total]]/Tabla4[[#This Row],[Total]]</f>
        <v>#N/A</v>
      </c>
      <c r="P1334" s="282">
        <f>++Tabla4[[#This Row],[Precio Descontado]]*Tabla4[[#This Row],[Cantidad]]</f>
        <v>348.43412999999998</v>
      </c>
      <c r="Q1334" s="282" t="e">
        <f>(INDEX(Tabla6[#All],MATCH(Tabla4[[#This Row],[Producto]],Tabla6[[#All],[PRODUCTO]],0),MATCH(Tabla4[[#This Row],[Mes]],Tabla6[#Headers],0)))</f>
        <v>#N/A</v>
      </c>
      <c r="R1334" s="282" t="e">
        <f>++Tabla4[[#This Row],[Precio Unitario Neto]]-Tabla4[[#This Row],[20.85%]]-Tabla4[[#This Row],[Costo]]</f>
        <v>#N/A</v>
      </c>
      <c r="S1334" s="282" t="e">
        <f>++Tabla4[[#This Row],[U. Bruta Uni]]*Tabla4[[#This Row],[Cantidad]]</f>
        <v>#N/A</v>
      </c>
      <c r="T1334" s="369" t="str">
        <f>VLOOKUP(Tabla4[[#This Row],[Producto]],Tabla6[#All],14,FALSE)</f>
        <v>Termico Solar</v>
      </c>
      <c r="U1334" s="284" t="e">
        <f>(IF(Tabla4[[#This Row],[Familia]]="termico solar",Tabla4[[#This Row],[Utilidad Total]]*6%,Tabla4[[#This Row],[Utilidad Total]]*11.5%))/Tabla4[[#This Row],[Total]]</f>
        <v>#N/A</v>
      </c>
      <c r="V1334" s="282" t="e">
        <f>+Tabla4[[#This Row],[Comisión Calculada]]*Tabla4[[#This Row],[Total]]</f>
        <v>#N/A</v>
      </c>
    </row>
    <row r="1335" spans="1:22" hidden="1" x14ac:dyDescent="0.25">
      <c r="A1335" s="100">
        <v>45731</v>
      </c>
      <c r="B1335" t="str">
        <f t="shared" ref="B1335:B1355" si="59">TEXT(A1335, "mmmm")</f>
        <v>March</v>
      </c>
      <c r="C1335" s="46" t="s">
        <v>280</v>
      </c>
      <c r="F1335" s="366" t="s">
        <v>1244</v>
      </c>
      <c r="G1335" s="46" t="s">
        <v>17</v>
      </c>
      <c r="H1335" s="46">
        <v>2</v>
      </c>
      <c r="I1335" s="51">
        <v>4622.28</v>
      </c>
      <c r="J1335" s="281">
        <f>++Tabla4[[#This Row],[Precio Bruto]]*1.16</f>
        <v>5361.8447999999989</v>
      </c>
      <c r="K1335" s="281">
        <f>+Tabla4[[#This Row],[Precio Unitario Neto]]*Tabla4[[#Headers],[20.85%]]</f>
        <v>1117.9446407999997</v>
      </c>
      <c r="L1335" s="282">
        <f>++Tabla4[[#This Row],[Precio Unitario Neto]]-Tabla4[[#This Row],[20.85%]]</f>
        <v>4243.9001591999995</v>
      </c>
      <c r="M1335" s="282" t="e">
        <f>(INDEX(Tabla6[#All],MATCH(Tabla4[[#This Row],[Producto]],Tabla6[[#All],[PRODUCTO]],0),MATCH(Tabla4[[#This Row],[Mes]],Tabla6[#Headers],0)))*(1+Catalogos!$L$2)</f>
        <v>#N/A</v>
      </c>
      <c r="N1335" s="283" t="e">
        <f>+(Tabla4[[#This Row],[Precio Descontado]]-Tabla4[[#This Row],[Precio Base]])*Tabla4[[#This Row],[Cantidad]]</f>
        <v>#N/A</v>
      </c>
      <c r="O1335" s="284" t="e">
        <f>++Tabla4[[#This Row],[Utilidad Total]]/Tabla4[[#This Row],[Total]]</f>
        <v>#N/A</v>
      </c>
      <c r="P1335" s="282">
        <f>++Tabla4[[#This Row],[Precio Descontado]]*Tabla4[[#This Row],[Cantidad]]</f>
        <v>8487.800318399999</v>
      </c>
      <c r="Q1335" s="282" t="e">
        <f>(INDEX(Tabla6[#All],MATCH(Tabla4[[#This Row],[Producto]],Tabla6[[#All],[PRODUCTO]],0),MATCH(Tabla4[[#This Row],[Mes]],Tabla6[#Headers],0)))</f>
        <v>#N/A</v>
      </c>
      <c r="R1335" s="282" t="e">
        <f>++Tabla4[[#This Row],[Precio Unitario Neto]]-Tabla4[[#This Row],[20.85%]]-Tabla4[[#This Row],[Costo]]</f>
        <v>#N/A</v>
      </c>
      <c r="S1335" s="282" t="e">
        <f>++Tabla4[[#This Row],[U. Bruta Uni]]*Tabla4[[#This Row],[Cantidad]]</f>
        <v>#N/A</v>
      </c>
      <c r="T1335" s="369" t="str">
        <f>VLOOKUP(Tabla4[[#This Row],[Producto]],Tabla6[#All],14,FALSE)</f>
        <v>Termico Solar</v>
      </c>
      <c r="U1335" s="284" t="e">
        <f>(IF(Tabla4[[#This Row],[Familia]]="termico solar",Tabla4[[#This Row],[Utilidad Total]]*6%,Tabla4[[#This Row],[Utilidad Total]]*11.5%))/Tabla4[[#This Row],[Total]]</f>
        <v>#N/A</v>
      </c>
      <c r="V1335" s="282" t="e">
        <f>+Tabla4[[#This Row],[Comisión Calculada]]*Tabla4[[#This Row],[Total]]</f>
        <v>#N/A</v>
      </c>
    </row>
    <row r="1336" spans="1:22" hidden="1" x14ac:dyDescent="0.25">
      <c r="A1336" s="100">
        <v>45731</v>
      </c>
      <c r="B1336" t="str">
        <f t="shared" si="59"/>
        <v>March</v>
      </c>
      <c r="C1336" s="46" t="s">
        <v>280</v>
      </c>
      <c r="F1336" s="366" t="s">
        <v>1244</v>
      </c>
      <c r="G1336" s="46" t="s">
        <v>18</v>
      </c>
      <c r="H1336" s="46">
        <v>10</v>
      </c>
      <c r="I1336" s="51">
        <v>5367.65</v>
      </c>
      <c r="J1336" s="281">
        <f>++Tabla4[[#This Row],[Precio Bruto]]*1.16</f>
        <v>6226.4739999999993</v>
      </c>
      <c r="K1336" s="281">
        <f>+Tabla4[[#This Row],[Precio Unitario Neto]]*Tabla4[[#Headers],[20.85%]]</f>
        <v>1298.2198289999999</v>
      </c>
      <c r="L1336" s="282">
        <f>++Tabla4[[#This Row],[Precio Unitario Neto]]-Tabla4[[#This Row],[20.85%]]</f>
        <v>4928.2541709999996</v>
      </c>
      <c r="M1336" s="282" t="e">
        <f>(INDEX(Tabla6[#All],MATCH(Tabla4[[#This Row],[Producto]],Tabla6[[#All],[PRODUCTO]],0),MATCH(Tabla4[[#This Row],[Mes]],Tabla6[#Headers],0)))*(1+Catalogos!$L$2)</f>
        <v>#N/A</v>
      </c>
      <c r="N1336" s="283" t="e">
        <f>+(Tabla4[[#This Row],[Precio Descontado]]-Tabla4[[#This Row],[Precio Base]])*Tabla4[[#This Row],[Cantidad]]</f>
        <v>#N/A</v>
      </c>
      <c r="O1336" s="284" t="e">
        <f>++Tabla4[[#This Row],[Utilidad Total]]/Tabla4[[#This Row],[Total]]</f>
        <v>#N/A</v>
      </c>
      <c r="P1336" s="282">
        <f>++Tabla4[[#This Row],[Precio Descontado]]*Tabla4[[#This Row],[Cantidad]]</f>
        <v>49282.541709999998</v>
      </c>
      <c r="Q1336" s="282" t="e">
        <f>(INDEX(Tabla6[#All],MATCH(Tabla4[[#This Row],[Producto]],Tabla6[[#All],[PRODUCTO]],0),MATCH(Tabla4[[#This Row],[Mes]],Tabla6[#Headers],0)))</f>
        <v>#N/A</v>
      </c>
      <c r="R1336" s="282" t="e">
        <f>++Tabla4[[#This Row],[Precio Unitario Neto]]-Tabla4[[#This Row],[20.85%]]-Tabla4[[#This Row],[Costo]]</f>
        <v>#N/A</v>
      </c>
      <c r="S1336" s="282" t="e">
        <f>++Tabla4[[#This Row],[U. Bruta Uni]]*Tabla4[[#This Row],[Cantidad]]</f>
        <v>#N/A</v>
      </c>
      <c r="T1336" s="369" t="str">
        <f>VLOOKUP(Tabla4[[#This Row],[Producto]],Tabla6[#All],14,FALSE)</f>
        <v>Termico Solar</v>
      </c>
      <c r="U1336" s="284" t="e">
        <f>(IF(Tabla4[[#This Row],[Familia]]="termico solar",Tabla4[[#This Row],[Utilidad Total]]*6%,Tabla4[[#This Row],[Utilidad Total]]*11.5%))/Tabla4[[#This Row],[Total]]</f>
        <v>#N/A</v>
      </c>
      <c r="V1336" s="282" t="e">
        <f>+Tabla4[[#This Row],[Comisión Calculada]]*Tabla4[[#This Row],[Total]]</f>
        <v>#N/A</v>
      </c>
    </row>
    <row r="1337" spans="1:22" hidden="1" x14ac:dyDescent="0.25">
      <c r="A1337" s="100">
        <v>45731</v>
      </c>
      <c r="B1337" t="str">
        <f t="shared" si="59"/>
        <v>March</v>
      </c>
      <c r="C1337" s="46" t="s">
        <v>280</v>
      </c>
      <c r="F1337" s="366" t="s">
        <v>1244</v>
      </c>
      <c r="G1337" s="46" t="s">
        <v>394</v>
      </c>
      <c r="H1337" s="46">
        <v>16</v>
      </c>
      <c r="I1337" s="51">
        <v>224.29</v>
      </c>
      <c r="J1337" s="281">
        <f>++Tabla4[[#This Row],[Precio Bruto]]*1.16</f>
        <v>260.1764</v>
      </c>
      <c r="K1337" s="281">
        <f>+Tabla4[[#This Row],[Precio Unitario Neto]]*Tabla4[[#Headers],[20.85%]]</f>
        <v>54.246779400000001</v>
      </c>
      <c r="L1337" s="282">
        <f>++Tabla4[[#This Row],[Precio Unitario Neto]]-Tabla4[[#This Row],[20.85%]]</f>
        <v>205.92962059999999</v>
      </c>
      <c r="M1337" s="282" t="e">
        <f>(INDEX(Tabla6[#All],MATCH(Tabla4[[#This Row],[Producto]],Tabla6[[#All],[PRODUCTO]],0),MATCH(Tabla4[[#This Row],[Mes]],Tabla6[#Headers],0)))*(1+Catalogos!$L$2)</f>
        <v>#N/A</v>
      </c>
      <c r="N1337" s="283" t="e">
        <f>+(Tabla4[[#This Row],[Precio Descontado]]-Tabla4[[#This Row],[Precio Base]])*Tabla4[[#This Row],[Cantidad]]</f>
        <v>#N/A</v>
      </c>
      <c r="O1337" s="284" t="e">
        <f>++Tabla4[[#This Row],[Utilidad Total]]/Tabla4[[#This Row],[Total]]</f>
        <v>#N/A</v>
      </c>
      <c r="P1337" s="282">
        <f>++Tabla4[[#This Row],[Precio Descontado]]*Tabla4[[#This Row],[Cantidad]]</f>
        <v>3294.8739295999999</v>
      </c>
      <c r="Q1337" s="282" t="e">
        <f>(INDEX(Tabla6[#All],MATCH(Tabla4[[#This Row],[Producto]],Tabla6[[#All],[PRODUCTO]],0),MATCH(Tabla4[[#This Row],[Mes]],Tabla6[#Headers],0)))</f>
        <v>#N/A</v>
      </c>
      <c r="R1337" s="282" t="e">
        <f>++Tabla4[[#This Row],[Precio Unitario Neto]]-Tabla4[[#This Row],[20.85%]]-Tabla4[[#This Row],[Costo]]</f>
        <v>#N/A</v>
      </c>
      <c r="S1337" s="282" t="e">
        <f>++Tabla4[[#This Row],[U. Bruta Uni]]*Tabla4[[#This Row],[Cantidad]]</f>
        <v>#N/A</v>
      </c>
      <c r="T1337" s="369" t="str">
        <f>VLOOKUP(Tabla4[[#This Row],[Producto]],Tabla6[#All],14,FALSE)</f>
        <v>Termico Solar</v>
      </c>
      <c r="U1337" s="284" t="e">
        <f>(IF(Tabla4[[#This Row],[Familia]]="termico solar",Tabla4[[#This Row],[Utilidad Total]]*6%,Tabla4[[#This Row],[Utilidad Total]]*11.5%))/Tabla4[[#This Row],[Total]]</f>
        <v>#N/A</v>
      </c>
      <c r="V1337" s="282" t="e">
        <f>+Tabla4[[#This Row],[Comisión Calculada]]*Tabla4[[#This Row],[Total]]</f>
        <v>#N/A</v>
      </c>
    </row>
    <row r="1338" spans="1:22" hidden="1" x14ac:dyDescent="0.25">
      <c r="A1338" s="100">
        <v>45731</v>
      </c>
      <c r="B1338" t="str">
        <f t="shared" si="59"/>
        <v>March</v>
      </c>
      <c r="C1338" s="46" t="s">
        <v>280</v>
      </c>
      <c r="F1338" s="366" t="s">
        <v>1244</v>
      </c>
      <c r="G1338" s="46" t="s">
        <v>555</v>
      </c>
      <c r="H1338" s="46">
        <v>8</v>
      </c>
      <c r="I1338" s="51">
        <v>389.47</v>
      </c>
      <c r="J1338" s="281">
        <f>++Tabla4[[#This Row],[Precio Bruto]]*1.16</f>
        <v>451.78519999999997</v>
      </c>
      <c r="K1338" s="281">
        <f>+Tabla4[[#This Row],[Precio Unitario Neto]]*Tabla4[[#Headers],[20.85%]]</f>
        <v>94.197214199999991</v>
      </c>
      <c r="L1338" s="282">
        <f>++Tabla4[[#This Row],[Precio Unitario Neto]]-Tabla4[[#This Row],[20.85%]]</f>
        <v>357.58798579999996</v>
      </c>
      <c r="M1338" s="282" t="e">
        <f>(INDEX(Tabla6[#All],MATCH(Tabla4[[#This Row],[Producto]],Tabla6[[#All],[PRODUCTO]],0),MATCH(Tabla4[[#This Row],[Mes]],Tabla6[#Headers],0)))*(1+Catalogos!$L$2)</f>
        <v>#N/A</v>
      </c>
      <c r="N1338" s="283" t="e">
        <f>+(Tabla4[[#This Row],[Precio Descontado]]-Tabla4[[#This Row],[Precio Base]])*Tabla4[[#This Row],[Cantidad]]</f>
        <v>#N/A</v>
      </c>
      <c r="O1338" s="284" t="e">
        <f>++Tabla4[[#This Row],[Utilidad Total]]/Tabla4[[#This Row],[Total]]</f>
        <v>#N/A</v>
      </c>
      <c r="P1338" s="282">
        <f>++Tabla4[[#This Row],[Precio Descontado]]*Tabla4[[#This Row],[Cantidad]]</f>
        <v>2860.7038863999996</v>
      </c>
      <c r="Q1338" s="282" t="e">
        <f>(INDEX(Tabla6[#All],MATCH(Tabla4[[#This Row],[Producto]],Tabla6[[#All],[PRODUCTO]],0),MATCH(Tabla4[[#This Row],[Mes]],Tabla6[#Headers],0)))</f>
        <v>#N/A</v>
      </c>
      <c r="R1338" s="282" t="e">
        <f>++Tabla4[[#This Row],[Precio Unitario Neto]]-Tabla4[[#This Row],[20.85%]]-Tabla4[[#This Row],[Costo]]</f>
        <v>#N/A</v>
      </c>
      <c r="S1338" s="282" t="e">
        <f>++Tabla4[[#This Row],[U. Bruta Uni]]*Tabla4[[#This Row],[Cantidad]]</f>
        <v>#N/A</v>
      </c>
      <c r="T1338" s="369" t="str">
        <f>VLOOKUP(Tabla4[[#This Row],[Producto]],Tabla6[#All],14,FALSE)</f>
        <v>Termico Solar</v>
      </c>
      <c r="U1338" s="284" t="e">
        <f>(IF(Tabla4[[#This Row],[Familia]]="termico solar",Tabla4[[#This Row],[Utilidad Total]]*6%,Tabla4[[#This Row],[Utilidad Total]]*11.5%))/Tabla4[[#This Row],[Total]]</f>
        <v>#N/A</v>
      </c>
      <c r="V1338" s="282" t="e">
        <f>+Tabla4[[#This Row],[Comisión Calculada]]*Tabla4[[#This Row],[Total]]</f>
        <v>#N/A</v>
      </c>
    </row>
    <row r="1339" spans="1:22" hidden="1" x14ac:dyDescent="0.25">
      <c r="A1339" s="100">
        <v>45731</v>
      </c>
      <c r="B1339" t="str">
        <f t="shared" si="59"/>
        <v>March</v>
      </c>
      <c r="C1339" s="46" t="s">
        <v>280</v>
      </c>
      <c r="F1339" s="366" t="s">
        <v>1244</v>
      </c>
      <c r="G1339" s="46" t="s">
        <v>208</v>
      </c>
      <c r="H1339" s="46">
        <v>2</v>
      </c>
      <c r="I1339" s="51">
        <v>189.75</v>
      </c>
      <c r="J1339" s="281">
        <f>++Tabla4[[#This Row],[Precio Bruto]]*1.16</f>
        <v>220.10999999999999</v>
      </c>
      <c r="K1339" s="281">
        <f>+Tabla4[[#This Row],[Precio Unitario Neto]]*Tabla4[[#Headers],[20.85%]]</f>
        <v>45.892934999999994</v>
      </c>
      <c r="L1339" s="282">
        <f>++Tabla4[[#This Row],[Precio Unitario Neto]]-Tabla4[[#This Row],[20.85%]]</f>
        <v>174.21706499999999</v>
      </c>
      <c r="M1339" s="282" t="e">
        <f>(INDEX(Tabla6[#All],MATCH(Tabla4[[#This Row],[Producto]],Tabla6[[#All],[PRODUCTO]],0),MATCH(Tabla4[[#This Row],[Mes]],Tabla6[#Headers],0)))*(1+Catalogos!$L$2)</f>
        <v>#N/A</v>
      </c>
      <c r="N1339" s="283" t="e">
        <f>+(Tabla4[[#This Row],[Precio Descontado]]-Tabla4[[#This Row],[Precio Base]])*Tabla4[[#This Row],[Cantidad]]</f>
        <v>#N/A</v>
      </c>
      <c r="O1339" s="284" t="e">
        <f>++Tabla4[[#This Row],[Utilidad Total]]/Tabla4[[#This Row],[Total]]</f>
        <v>#N/A</v>
      </c>
      <c r="P1339" s="282">
        <f>++Tabla4[[#This Row],[Precio Descontado]]*Tabla4[[#This Row],[Cantidad]]</f>
        <v>348.43412999999998</v>
      </c>
      <c r="Q1339" s="282" t="e">
        <f>(INDEX(Tabla6[#All],MATCH(Tabla4[[#This Row],[Producto]],Tabla6[[#All],[PRODUCTO]],0),MATCH(Tabla4[[#This Row],[Mes]],Tabla6[#Headers],0)))</f>
        <v>#N/A</v>
      </c>
      <c r="R1339" s="282" t="e">
        <f>++Tabla4[[#This Row],[Precio Unitario Neto]]-Tabla4[[#This Row],[20.85%]]-Tabla4[[#This Row],[Costo]]</f>
        <v>#N/A</v>
      </c>
      <c r="S1339" s="282" t="e">
        <f>++Tabla4[[#This Row],[U. Bruta Uni]]*Tabla4[[#This Row],[Cantidad]]</f>
        <v>#N/A</v>
      </c>
      <c r="T1339" s="369" t="str">
        <f>VLOOKUP(Tabla4[[#This Row],[Producto]],Tabla6[#All],14,FALSE)</f>
        <v>Termico Solar</v>
      </c>
      <c r="U1339" s="284" t="e">
        <f>(IF(Tabla4[[#This Row],[Familia]]="termico solar",Tabla4[[#This Row],[Utilidad Total]]*6%,Tabla4[[#This Row],[Utilidad Total]]*11.5%))/Tabla4[[#This Row],[Total]]</f>
        <v>#N/A</v>
      </c>
      <c r="V1339" s="282" t="e">
        <f>+Tabla4[[#This Row],[Comisión Calculada]]*Tabla4[[#This Row],[Total]]</f>
        <v>#N/A</v>
      </c>
    </row>
    <row r="1340" spans="1:22" hidden="1" x14ac:dyDescent="0.25">
      <c r="A1340" s="100">
        <v>45731</v>
      </c>
      <c r="B1340" t="str">
        <f t="shared" si="59"/>
        <v>March</v>
      </c>
      <c r="C1340" s="46" t="s">
        <v>280</v>
      </c>
      <c r="F1340" s="366" t="s">
        <v>1245</v>
      </c>
      <c r="G1340" s="46" t="s">
        <v>83</v>
      </c>
      <c r="H1340" s="46">
        <v>1</v>
      </c>
      <c r="I1340" s="51">
        <v>8858.76</v>
      </c>
      <c r="J1340" s="281">
        <f>++Tabla4[[#This Row],[Precio Bruto]]*1.16</f>
        <v>10276.161599999999</v>
      </c>
      <c r="K1340" s="281">
        <f>+Tabla4[[#This Row],[Precio Unitario Neto]]*Tabla4[[#Headers],[20.85%]]</f>
        <v>2142.5796935999997</v>
      </c>
      <c r="L1340" s="282">
        <f>++Tabla4[[#This Row],[Precio Unitario Neto]]-Tabla4[[#This Row],[20.85%]]</f>
        <v>8133.5819063999998</v>
      </c>
      <c r="M1340" s="282" t="e">
        <f>(INDEX(Tabla6[#All],MATCH(Tabla4[[#This Row],[Producto]],Tabla6[[#All],[PRODUCTO]],0),MATCH(Tabla4[[#This Row],[Mes]],Tabla6[#Headers],0)))*(1+Catalogos!$L$2)</f>
        <v>#N/A</v>
      </c>
      <c r="N1340" s="283" t="e">
        <f>+(Tabla4[[#This Row],[Precio Descontado]]-Tabla4[[#This Row],[Precio Base]])*Tabla4[[#This Row],[Cantidad]]</f>
        <v>#N/A</v>
      </c>
      <c r="O1340" s="284" t="e">
        <f>++Tabla4[[#This Row],[Utilidad Total]]/Tabla4[[#This Row],[Total]]</f>
        <v>#N/A</v>
      </c>
      <c r="P1340" s="282">
        <f>++Tabla4[[#This Row],[Precio Descontado]]*Tabla4[[#This Row],[Cantidad]]</f>
        <v>8133.5819063999998</v>
      </c>
      <c r="Q1340" s="282" t="e">
        <f>(INDEX(Tabla6[#All],MATCH(Tabla4[[#This Row],[Producto]],Tabla6[[#All],[PRODUCTO]],0),MATCH(Tabla4[[#This Row],[Mes]],Tabla6[#Headers],0)))</f>
        <v>#N/A</v>
      </c>
      <c r="R1340" s="282" t="e">
        <f>++Tabla4[[#This Row],[Precio Unitario Neto]]-Tabla4[[#This Row],[20.85%]]-Tabla4[[#This Row],[Costo]]</f>
        <v>#N/A</v>
      </c>
      <c r="S1340" s="282" t="e">
        <f>++Tabla4[[#This Row],[U. Bruta Uni]]*Tabla4[[#This Row],[Cantidad]]</f>
        <v>#N/A</v>
      </c>
      <c r="T1340" s="369" t="str">
        <f>VLOOKUP(Tabla4[[#This Row],[Producto]],Tabla6[#All],14,FALSE)</f>
        <v>Termico Solar</v>
      </c>
      <c r="U1340" s="284" t="e">
        <f>(IF(Tabla4[[#This Row],[Familia]]="termico solar",Tabla4[[#This Row],[Utilidad Total]]*6%,Tabla4[[#This Row],[Utilidad Total]]*11.5%))/Tabla4[[#This Row],[Total]]</f>
        <v>#N/A</v>
      </c>
      <c r="V1340" s="282" t="e">
        <f>+Tabla4[[#This Row],[Comisión Calculada]]*Tabla4[[#This Row],[Total]]</f>
        <v>#N/A</v>
      </c>
    </row>
    <row r="1341" spans="1:22" hidden="1" x14ac:dyDescent="0.25">
      <c r="A1341" s="100">
        <v>45731</v>
      </c>
      <c r="B1341" t="str">
        <f t="shared" si="59"/>
        <v>March</v>
      </c>
      <c r="C1341" s="46" t="s">
        <v>280</v>
      </c>
      <c r="F1341" s="366" t="s">
        <v>1245</v>
      </c>
      <c r="G1341" s="46" t="s">
        <v>17</v>
      </c>
      <c r="H1341" s="46">
        <v>2</v>
      </c>
      <c r="I1341" s="51">
        <v>4622.28</v>
      </c>
      <c r="J1341" s="281">
        <f>++Tabla4[[#This Row],[Precio Bruto]]*1.16</f>
        <v>5361.8447999999989</v>
      </c>
      <c r="K1341" s="281">
        <f>+Tabla4[[#This Row],[Precio Unitario Neto]]*Tabla4[[#Headers],[20.85%]]</f>
        <v>1117.9446407999997</v>
      </c>
      <c r="L1341" s="282">
        <f>++Tabla4[[#This Row],[Precio Unitario Neto]]-Tabla4[[#This Row],[20.85%]]</f>
        <v>4243.9001591999995</v>
      </c>
      <c r="M1341" s="282" t="e">
        <f>(INDEX(Tabla6[#All],MATCH(Tabla4[[#This Row],[Producto]],Tabla6[[#All],[PRODUCTO]],0),MATCH(Tabla4[[#This Row],[Mes]],Tabla6[#Headers],0)))*(1+Catalogos!$L$2)</f>
        <v>#N/A</v>
      </c>
      <c r="N1341" s="283" t="e">
        <f>+(Tabla4[[#This Row],[Precio Descontado]]-Tabla4[[#This Row],[Precio Base]])*Tabla4[[#This Row],[Cantidad]]</f>
        <v>#N/A</v>
      </c>
      <c r="O1341" s="284" t="e">
        <f>++Tabla4[[#This Row],[Utilidad Total]]/Tabla4[[#This Row],[Total]]</f>
        <v>#N/A</v>
      </c>
      <c r="P1341" s="282">
        <f>++Tabla4[[#This Row],[Precio Descontado]]*Tabla4[[#This Row],[Cantidad]]</f>
        <v>8487.800318399999</v>
      </c>
      <c r="Q1341" s="282" t="e">
        <f>(INDEX(Tabla6[#All],MATCH(Tabla4[[#This Row],[Producto]],Tabla6[[#All],[PRODUCTO]],0),MATCH(Tabla4[[#This Row],[Mes]],Tabla6[#Headers],0)))</f>
        <v>#N/A</v>
      </c>
      <c r="R1341" s="282" t="e">
        <f>++Tabla4[[#This Row],[Precio Unitario Neto]]-Tabla4[[#This Row],[20.85%]]-Tabla4[[#This Row],[Costo]]</f>
        <v>#N/A</v>
      </c>
      <c r="S1341" s="282" t="e">
        <f>++Tabla4[[#This Row],[U. Bruta Uni]]*Tabla4[[#This Row],[Cantidad]]</f>
        <v>#N/A</v>
      </c>
      <c r="T1341" s="369" t="str">
        <f>VLOOKUP(Tabla4[[#This Row],[Producto]],Tabla6[#All],14,FALSE)</f>
        <v>Termico Solar</v>
      </c>
      <c r="U1341" s="284" t="e">
        <f>(IF(Tabla4[[#This Row],[Familia]]="termico solar",Tabla4[[#This Row],[Utilidad Total]]*6%,Tabla4[[#This Row],[Utilidad Total]]*11.5%))/Tabla4[[#This Row],[Total]]</f>
        <v>#N/A</v>
      </c>
      <c r="V1341" s="282" t="e">
        <f>+Tabla4[[#This Row],[Comisión Calculada]]*Tabla4[[#This Row],[Total]]</f>
        <v>#N/A</v>
      </c>
    </row>
    <row r="1342" spans="1:22" hidden="1" x14ac:dyDescent="0.25">
      <c r="A1342" s="100">
        <v>45731</v>
      </c>
      <c r="B1342" t="str">
        <f t="shared" si="59"/>
        <v>March</v>
      </c>
      <c r="C1342" s="46" t="s">
        <v>280</v>
      </c>
      <c r="F1342" s="366" t="s">
        <v>1245</v>
      </c>
      <c r="G1342" s="46" t="s">
        <v>208</v>
      </c>
      <c r="H1342" s="46">
        <v>15</v>
      </c>
      <c r="I1342" s="51">
        <v>140.63</v>
      </c>
      <c r="J1342" s="281">
        <f>++Tabla4[[#This Row],[Precio Bruto]]*1.16</f>
        <v>163.13079999999999</v>
      </c>
      <c r="K1342" s="281">
        <f>+Tabla4[[#This Row],[Precio Unitario Neto]]*Tabla4[[#Headers],[20.85%]]</f>
        <v>34.012771799999996</v>
      </c>
      <c r="L1342" s="282">
        <f>++Tabla4[[#This Row],[Precio Unitario Neto]]-Tabla4[[#This Row],[20.85%]]</f>
        <v>129.1180282</v>
      </c>
      <c r="M1342" s="282" t="e">
        <f>(INDEX(Tabla6[#All],MATCH(Tabla4[[#This Row],[Producto]],Tabla6[[#All],[PRODUCTO]],0),MATCH(Tabla4[[#This Row],[Mes]],Tabla6[#Headers],0)))*(1+Catalogos!$L$2)</f>
        <v>#N/A</v>
      </c>
      <c r="N1342" s="283" t="e">
        <f>+(Tabla4[[#This Row],[Precio Descontado]]-Tabla4[[#This Row],[Precio Base]])*Tabla4[[#This Row],[Cantidad]]</f>
        <v>#N/A</v>
      </c>
      <c r="O1342" s="284" t="e">
        <f>++Tabla4[[#This Row],[Utilidad Total]]/Tabla4[[#This Row],[Total]]</f>
        <v>#N/A</v>
      </c>
      <c r="P1342" s="282">
        <f>++Tabla4[[#This Row],[Precio Descontado]]*Tabla4[[#This Row],[Cantidad]]</f>
        <v>1936.7704229999999</v>
      </c>
      <c r="Q1342" s="282" t="e">
        <f>(INDEX(Tabla6[#All],MATCH(Tabla4[[#This Row],[Producto]],Tabla6[[#All],[PRODUCTO]],0),MATCH(Tabla4[[#This Row],[Mes]],Tabla6[#Headers],0)))</f>
        <v>#N/A</v>
      </c>
      <c r="R1342" s="282" t="e">
        <f>++Tabla4[[#This Row],[Precio Unitario Neto]]-Tabla4[[#This Row],[20.85%]]-Tabla4[[#This Row],[Costo]]</f>
        <v>#N/A</v>
      </c>
      <c r="S1342" s="282" t="e">
        <f>++Tabla4[[#This Row],[U. Bruta Uni]]*Tabla4[[#This Row],[Cantidad]]</f>
        <v>#N/A</v>
      </c>
      <c r="T1342" s="369" t="str">
        <f>VLOOKUP(Tabla4[[#This Row],[Producto]],Tabla6[#All],14,FALSE)</f>
        <v>Termico Solar</v>
      </c>
      <c r="U1342" s="284" t="e">
        <f>(IF(Tabla4[[#This Row],[Familia]]="termico solar",Tabla4[[#This Row],[Utilidad Total]]*6%,Tabla4[[#This Row],[Utilidad Total]]*11.5%))/Tabla4[[#This Row],[Total]]</f>
        <v>#N/A</v>
      </c>
      <c r="V1342" s="282" t="e">
        <f>+Tabla4[[#This Row],[Comisión Calculada]]*Tabla4[[#This Row],[Total]]</f>
        <v>#N/A</v>
      </c>
    </row>
    <row r="1343" spans="1:22" hidden="1" x14ac:dyDescent="0.25">
      <c r="A1343" s="100">
        <v>45731</v>
      </c>
      <c r="B1343" t="str">
        <f t="shared" si="59"/>
        <v>March</v>
      </c>
      <c r="C1343" s="46" t="s">
        <v>280</v>
      </c>
      <c r="F1343" s="366" t="s">
        <v>1246</v>
      </c>
      <c r="G1343" s="46" t="s">
        <v>208</v>
      </c>
      <c r="H1343" s="46">
        <v>15</v>
      </c>
      <c r="I1343" s="51">
        <v>140.63</v>
      </c>
      <c r="J1343" s="281">
        <f>++Tabla4[[#This Row],[Precio Bruto]]*1.16</f>
        <v>163.13079999999999</v>
      </c>
      <c r="K1343" s="281">
        <f>+Tabla4[[#This Row],[Precio Unitario Neto]]*Tabla4[[#Headers],[20.85%]]</f>
        <v>34.012771799999996</v>
      </c>
      <c r="L1343" s="282">
        <f>++Tabla4[[#This Row],[Precio Unitario Neto]]-Tabla4[[#This Row],[20.85%]]</f>
        <v>129.1180282</v>
      </c>
      <c r="M1343" s="282" t="e">
        <f>(INDEX(Tabla6[#All],MATCH(Tabla4[[#This Row],[Producto]],Tabla6[[#All],[PRODUCTO]],0),MATCH(Tabla4[[#This Row],[Mes]],Tabla6[#Headers],0)))*(1+Catalogos!$L$2)</f>
        <v>#N/A</v>
      </c>
      <c r="N1343" s="283" t="e">
        <f>+(Tabla4[[#This Row],[Precio Descontado]]-Tabla4[[#This Row],[Precio Base]])*Tabla4[[#This Row],[Cantidad]]</f>
        <v>#N/A</v>
      </c>
      <c r="O1343" s="284" t="e">
        <f>++Tabla4[[#This Row],[Utilidad Total]]/Tabla4[[#This Row],[Total]]</f>
        <v>#N/A</v>
      </c>
      <c r="P1343" s="282">
        <f>++Tabla4[[#This Row],[Precio Descontado]]*Tabla4[[#This Row],[Cantidad]]</f>
        <v>1936.7704229999999</v>
      </c>
      <c r="Q1343" s="282" t="e">
        <f>(INDEX(Tabla6[#All],MATCH(Tabla4[[#This Row],[Producto]],Tabla6[[#All],[PRODUCTO]],0),MATCH(Tabla4[[#This Row],[Mes]],Tabla6[#Headers],0)))</f>
        <v>#N/A</v>
      </c>
      <c r="R1343" s="282" t="e">
        <f>++Tabla4[[#This Row],[Precio Unitario Neto]]-Tabla4[[#This Row],[20.85%]]-Tabla4[[#This Row],[Costo]]</f>
        <v>#N/A</v>
      </c>
      <c r="S1343" s="282" t="e">
        <f>++Tabla4[[#This Row],[U. Bruta Uni]]*Tabla4[[#This Row],[Cantidad]]</f>
        <v>#N/A</v>
      </c>
      <c r="T1343" s="369" t="str">
        <f>VLOOKUP(Tabla4[[#This Row],[Producto]],Tabla6[#All],14,FALSE)</f>
        <v>Termico Solar</v>
      </c>
      <c r="U1343" s="284" t="e">
        <f>(IF(Tabla4[[#This Row],[Familia]]="termico solar",Tabla4[[#This Row],[Utilidad Total]]*6%,Tabla4[[#This Row],[Utilidad Total]]*11.5%))/Tabla4[[#This Row],[Total]]</f>
        <v>#N/A</v>
      </c>
      <c r="V1343" s="282" t="e">
        <f>+Tabla4[[#This Row],[Comisión Calculada]]*Tabla4[[#This Row],[Total]]</f>
        <v>#N/A</v>
      </c>
    </row>
    <row r="1344" spans="1:22" hidden="1" x14ac:dyDescent="0.25">
      <c r="A1344" s="100">
        <v>45731</v>
      </c>
      <c r="B1344" t="str">
        <f t="shared" si="59"/>
        <v>March</v>
      </c>
      <c r="C1344" s="46" t="s">
        <v>280</v>
      </c>
      <c r="F1344" s="366" t="s">
        <v>1246</v>
      </c>
      <c r="G1344" s="46" t="s">
        <v>394</v>
      </c>
      <c r="H1344" s="46">
        <v>9</v>
      </c>
      <c r="I1344" s="51">
        <v>108.1</v>
      </c>
      <c r="J1344" s="281">
        <f>++Tabla4[[#This Row],[Precio Bruto]]*1.16</f>
        <v>125.39599999999999</v>
      </c>
      <c r="K1344" s="281">
        <f>+Tabla4[[#This Row],[Precio Unitario Neto]]*Tabla4[[#Headers],[20.85%]]</f>
        <v>26.145065999999996</v>
      </c>
      <c r="L1344" s="282">
        <f>++Tabla4[[#This Row],[Precio Unitario Neto]]-Tabla4[[#This Row],[20.85%]]</f>
        <v>99.250933999999987</v>
      </c>
      <c r="M1344" s="282" t="e">
        <f>(INDEX(Tabla6[#All],MATCH(Tabla4[[#This Row],[Producto]],Tabla6[[#All],[PRODUCTO]],0),MATCH(Tabla4[[#This Row],[Mes]],Tabla6[#Headers],0)))*(1+Catalogos!$L$2)</f>
        <v>#N/A</v>
      </c>
      <c r="N1344" s="283" t="e">
        <f>+(Tabla4[[#This Row],[Precio Descontado]]-Tabla4[[#This Row],[Precio Base]])*Tabla4[[#This Row],[Cantidad]]</f>
        <v>#N/A</v>
      </c>
      <c r="O1344" s="284" t="e">
        <f>++Tabla4[[#This Row],[Utilidad Total]]/Tabla4[[#This Row],[Total]]</f>
        <v>#N/A</v>
      </c>
      <c r="P1344" s="282">
        <f>++Tabla4[[#This Row],[Precio Descontado]]*Tabla4[[#This Row],[Cantidad]]</f>
        <v>893.25840599999992</v>
      </c>
      <c r="Q1344" s="282" t="e">
        <f>(INDEX(Tabla6[#All],MATCH(Tabla4[[#This Row],[Producto]],Tabla6[[#All],[PRODUCTO]],0),MATCH(Tabla4[[#This Row],[Mes]],Tabla6[#Headers],0)))</f>
        <v>#N/A</v>
      </c>
      <c r="R1344" s="282" t="e">
        <f>++Tabla4[[#This Row],[Precio Unitario Neto]]-Tabla4[[#This Row],[20.85%]]-Tabla4[[#This Row],[Costo]]</f>
        <v>#N/A</v>
      </c>
      <c r="S1344" s="282" t="e">
        <f>++Tabla4[[#This Row],[U. Bruta Uni]]*Tabla4[[#This Row],[Cantidad]]</f>
        <v>#N/A</v>
      </c>
      <c r="T1344" s="369" t="str">
        <f>VLOOKUP(Tabla4[[#This Row],[Producto]],Tabla6[#All],14,FALSE)</f>
        <v>Termico Solar</v>
      </c>
      <c r="U1344" s="284" t="e">
        <f>(IF(Tabla4[[#This Row],[Familia]]="termico solar",Tabla4[[#This Row],[Utilidad Total]]*6%,Tabla4[[#This Row],[Utilidad Total]]*11.5%))/Tabla4[[#This Row],[Total]]</f>
        <v>#N/A</v>
      </c>
      <c r="V1344" s="282" t="e">
        <f>+Tabla4[[#This Row],[Comisión Calculada]]*Tabla4[[#This Row],[Total]]</f>
        <v>#N/A</v>
      </c>
    </row>
    <row r="1345" spans="1:22" hidden="1" x14ac:dyDescent="0.25">
      <c r="A1345" s="100">
        <v>45731</v>
      </c>
      <c r="B1345" t="str">
        <f t="shared" si="59"/>
        <v>March</v>
      </c>
      <c r="C1345" s="46" t="s">
        <v>280</v>
      </c>
      <c r="F1345" s="366" t="s">
        <v>1246</v>
      </c>
      <c r="G1345" s="46" t="s">
        <v>16</v>
      </c>
      <c r="H1345" s="46">
        <v>1</v>
      </c>
      <c r="I1345" s="51">
        <v>4103.8500000000004</v>
      </c>
      <c r="J1345" s="281">
        <f>++Tabla4[[#This Row],[Precio Bruto]]*1.16</f>
        <v>4760.4660000000003</v>
      </c>
      <c r="K1345" s="281">
        <f>+Tabla4[[#This Row],[Precio Unitario Neto]]*Tabla4[[#Headers],[20.85%]]</f>
        <v>992.55716100000006</v>
      </c>
      <c r="L1345" s="282">
        <f>++Tabla4[[#This Row],[Precio Unitario Neto]]-Tabla4[[#This Row],[20.85%]]</f>
        <v>3767.9088390000002</v>
      </c>
      <c r="M1345" s="282" t="e">
        <f>(INDEX(Tabla6[#All],MATCH(Tabla4[[#This Row],[Producto]],Tabla6[[#All],[PRODUCTO]],0),MATCH(Tabla4[[#This Row],[Mes]],Tabla6[#Headers],0)))*(1+Catalogos!$L$2)</f>
        <v>#N/A</v>
      </c>
      <c r="N1345" s="283" t="e">
        <f>+(Tabla4[[#This Row],[Precio Descontado]]-Tabla4[[#This Row],[Precio Base]])*Tabla4[[#This Row],[Cantidad]]</f>
        <v>#N/A</v>
      </c>
      <c r="O1345" s="284" t="e">
        <f>++Tabla4[[#This Row],[Utilidad Total]]/Tabla4[[#This Row],[Total]]</f>
        <v>#N/A</v>
      </c>
      <c r="P1345" s="282">
        <f>++Tabla4[[#This Row],[Precio Descontado]]*Tabla4[[#This Row],[Cantidad]]</f>
        <v>3767.9088390000002</v>
      </c>
      <c r="Q1345" s="282" t="e">
        <f>(INDEX(Tabla6[#All],MATCH(Tabla4[[#This Row],[Producto]],Tabla6[[#All],[PRODUCTO]],0),MATCH(Tabla4[[#This Row],[Mes]],Tabla6[#Headers],0)))</f>
        <v>#N/A</v>
      </c>
      <c r="R1345" s="282" t="e">
        <f>++Tabla4[[#This Row],[Precio Unitario Neto]]-Tabla4[[#This Row],[20.85%]]-Tabla4[[#This Row],[Costo]]</f>
        <v>#N/A</v>
      </c>
      <c r="S1345" s="282" t="e">
        <f>++Tabla4[[#This Row],[U. Bruta Uni]]*Tabla4[[#This Row],[Cantidad]]</f>
        <v>#N/A</v>
      </c>
      <c r="T1345" s="369" t="str">
        <f>VLOOKUP(Tabla4[[#This Row],[Producto]],Tabla6[#All],14,FALSE)</f>
        <v>Termico Solar</v>
      </c>
      <c r="U1345" s="284" t="e">
        <f>(IF(Tabla4[[#This Row],[Familia]]="termico solar",Tabla4[[#This Row],[Utilidad Total]]*6%,Tabla4[[#This Row],[Utilidad Total]]*11.5%))/Tabla4[[#This Row],[Total]]</f>
        <v>#N/A</v>
      </c>
      <c r="V1345" s="282" t="e">
        <f>+Tabla4[[#This Row],[Comisión Calculada]]*Tabla4[[#This Row],[Total]]</f>
        <v>#N/A</v>
      </c>
    </row>
    <row r="1346" spans="1:22" hidden="1" x14ac:dyDescent="0.25">
      <c r="A1346" s="100">
        <v>45731</v>
      </c>
      <c r="B1346" t="str">
        <f t="shared" si="59"/>
        <v>March</v>
      </c>
      <c r="C1346" s="46" t="s">
        <v>280</v>
      </c>
      <c r="F1346" s="366" t="s">
        <v>1247</v>
      </c>
      <c r="G1346" s="46" t="s">
        <v>17</v>
      </c>
      <c r="H1346" s="46">
        <v>1</v>
      </c>
      <c r="I1346" s="51">
        <v>4622.28</v>
      </c>
      <c r="J1346" s="281">
        <f>++Tabla4[[#This Row],[Precio Bruto]]*1.16</f>
        <v>5361.8447999999989</v>
      </c>
      <c r="K1346" s="281">
        <f>+Tabla4[[#This Row],[Precio Unitario Neto]]*Tabla4[[#Headers],[20.85%]]</f>
        <v>1117.9446407999997</v>
      </c>
      <c r="L1346" s="282">
        <f>++Tabla4[[#This Row],[Precio Unitario Neto]]-Tabla4[[#This Row],[20.85%]]</f>
        <v>4243.9001591999995</v>
      </c>
      <c r="M1346" s="282" t="e">
        <f>(INDEX(Tabla6[#All],MATCH(Tabla4[[#This Row],[Producto]],Tabla6[[#All],[PRODUCTO]],0),MATCH(Tabla4[[#This Row],[Mes]],Tabla6[#Headers],0)))*(1+Catalogos!$L$2)</f>
        <v>#N/A</v>
      </c>
      <c r="N1346" s="283" t="e">
        <f>+(Tabla4[[#This Row],[Precio Descontado]]-Tabla4[[#This Row],[Precio Base]])*Tabla4[[#This Row],[Cantidad]]</f>
        <v>#N/A</v>
      </c>
      <c r="O1346" s="284" t="e">
        <f>++Tabla4[[#This Row],[Utilidad Total]]/Tabla4[[#This Row],[Total]]</f>
        <v>#N/A</v>
      </c>
      <c r="P1346" s="282">
        <f>++Tabla4[[#This Row],[Precio Descontado]]*Tabla4[[#This Row],[Cantidad]]</f>
        <v>4243.9001591999995</v>
      </c>
      <c r="Q1346" s="282" t="e">
        <f>(INDEX(Tabla6[#All],MATCH(Tabla4[[#This Row],[Producto]],Tabla6[[#All],[PRODUCTO]],0),MATCH(Tabla4[[#This Row],[Mes]],Tabla6[#Headers],0)))</f>
        <v>#N/A</v>
      </c>
      <c r="R1346" s="282" t="e">
        <f>++Tabla4[[#This Row],[Precio Unitario Neto]]-Tabla4[[#This Row],[20.85%]]-Tabla4[[#This Row],[Costo]]</f>
        <v>#N/A</v>
      </c>
      <c r="S1346" s="282" t="e">
        <f>++Tabla4[[#This Row],[U. Bruta Uni]]*Tabla4[[#This Row],[Cantidad]]</f>
        <v>#N/A</v>
      </c>
      <c r="T1346" s="369" t="str">
        <f>VLOOKUP(Tabla4[[#This Row],[Producto]],Tabla6[#All],14,FALSE)</f>
        <v>Termico Solar</v>
      </c>
      <c r="U1346" s="284" t="e">
        <f>(IF(Tabla4[[#This Row],[Familia]]="termico solar",Tabla4[[#This Row],[Utilidad Total]]*6%,Tabla4[[#This Row],[Utilidad Total]]*11.5%))/Tabla4[[#This Row],[Total]]</f>
        <v>#N/A</v>
      </c>
      <c r="V1346" s="282" t="e">
        <f>+Tabla4[[#This Row],[Comisión Calculada]]*Tabla4[[#This Row],[Total]]</f>
        <v>#N/A</v>
      </c>
    </row>
    <row r="1347" spans="1:22" hidden="1" x14ac:dyDescent="0.25">
      <c r="A1347" s="100">
        <v>45731</v>
      </c>
      <c r="B1347" t="str">
        <f t="shared" si="59"/>
        <v>March</v>
      </c>
      <c r="C1347" s="46" t="s">
        <v>280</v>
      </c>
      <c r="F1347" s="366" t="s">
        <v>1247</v>
      </c>
      <c r="G1347" s="46" t="s">
        <v>18</v>
      </c>
      <c r="H1347" s="46">
        <v>4</v>
      </c>
      <c r="I1347" s="51">
        <v>5367.65</v>
      </c>
      <c r="J1347" s="281">
        <f>++Tabla4[[#This Row],[Precio Bruto]]*1.16</f>
        <v>6226.4739999999993</v>
      </c>
      <c r="K1347" s="281">
        <f>+Tabla4[[#This Row],[Precio Unitario Neto]]*Tabla4[[#Headers],[20.85%]]</f>
        <v>1298.2198289999999</v>
      </c>
      <c r="L1347" s="282">
        <f>++Tabla4[[#This Row],[Precio Unitario Neto]]-Tabla4[[#This Row],[20.85%]]</f>
        <v>4928.2541709999996</v>
      </c>
      <c r="M1347" s="282" t="e">
        <f>(INDEX(Tabla6[#All],MATCH(Tabla4[[#This Row],[Producto]],Tabla6[[#All],[PRODUCTO]],0),MATCH(Tabla4[[#This Row],[Mes]],Tabla6[#Headers],0)))*(1+Catalogos!$L$2)</f>
        <v>#N/A</v>
      </c>
      <c r="N1347" s="283" t="e">
        <f>+(Tabla4[[#This Row],[Precio Descontado]]-Tabla4[[#This Row],[Precio Base]])*Tabla4[[#This Row],[Cantidad]]</f>
        <v>#N/A</v>
      </c>
      <c r="O1347" s="284" t="e">
        <f>++Tabla4[[#This Row],[Utilidad Total]]/Tabla4[[#This Row],[Total]]</f>
        <v>#N/A</v>
      </c>
      <c r="P1347" s="282">
        <f>++Tabla4[[#This Row],[Precio Descontado]]*Tabla4[[#This Row],[Cantidad]]</f>
        <v>19713.016683999998</v>
      </c>
      <c r="Q1347" s="282" t="e">
        <f>(INDEX(Tabla6[#All],MATCH(Tabla4[[#This Row],[Producto]],Tabla6[[#All],[PRODUCTO]],0),MATCH(Tabla4[[#This Row],[Mes]],Tabla6[#Headers],0)))</f>
        <v>#N/A</v>
      </c>
      <c r="R1347" s="282" t="e">
        <f>++Tabla4[[#This Row],[Precio Unitario Neto]]-Tabla4[[#This Row],[20.85%]]-Tabla4[[#This Row],[Costo]]</f>
        <v>#N/A</v>
      </c>
      <c r="S1347" s="282" t="e">
        <f>++Tabla4[[#This Row],[U. Bruta Uni]]*Tabla4[[#This Row],[Cantidad]]</f>
        <v>#N/A</v>
      </c>
      <c r="T1347" s="369" t="str">
        <f>VLOOKUP(Tabla4[[#This Row],[Producto]],Tabla6[#All],14,FALSE)</f>
        <v>Termico Solar</v>
      </c>
      <c r="U1347" s="284" t="e">
        <f>(IF(Tabla4[[#This Row],[Familia]]="termico solar",Tabla4[[#This Row],[Utilidad Total]]*6%,Tabla4[[#This Row],[Utilidad Total]]*11.5%))/Tabla4[[#This Row],[Total]]</f>
        <v>#N/A</v>
      </c>
      <c r="V1347" s="282" t="e">
        <f>+Tabla4[[#This Row],[Comisión Calculada]]*Tabla4[[#This Row],[Total]]</f>
        <v>#N/A</v>
      </c>
    </row>
    <row r="1348" spans="1:22" hidden="1" x14ac:dyDescent="0.25">
      <c r="A1348" s="100">
        <v>45731</v>
      </c>
      <c r="B1348" t="str">
        <f t="shared" si="59"/>
        <v>March</v>
      </c>
      <c r="C1348" s="46" t="s">
        <v>280</v>
      </c>
      <c r="F1348" s="366" t="s">
        <v>1247</v>
      </c>
      <c r="G1348" s="46" t="s">
        <v>208</v>
      </c>
      <c r="H1348" s="46">
        <v>15</v>
      </c>
      <c r="I1348" s="51">
        <v>140.63</v>
      </c>
      <c r="J1348" s="281">
        <f>++Tabla4[[#This Row],[Precio Bruto]]*1.16</f>
        <v>163.13079999999999</v>
      </c>
      <c r="K1348" s="281">
        <f>+Tabla4[[#This Row],[Precio Unitario Neto]]*Tabla4[[#Headers],[20.85%]]</f>
        <v>34.012771799999996</v>
      </c>
      <c r="L1348" s="282">
        <f>++Tabla4[[#This Row],[Precio Unitario Neto]]-Tabla4[[#This Row],[20.85%]]</f>
        <v>129.1180282</v>
      </c>
      <c r="M1348" s="282" t="e">
        <f>(INDEX(Tabla6[#All],MATCH(Tabla4[[#This Row],[Producto]],Tabla6[[#All],[PRODUCTO]],0),MATCH(Tabla4[[#This Row],[Mes]],Tabla6[#Headers],0)))*(1+Catalogos!$L$2)</f>
        <v>#N/A</v>
      </c>
      <c r="N1348" s="283" t="e">
        <f>+(Tabla4[[#This Row],[Precio Descontado]]-Tabla4[[#This Row],[Precio Base]])*Tabla4[[#This Row],[Cantidad]]</f>
        <v>#N/A</v>
      </c>
      <c r="O1348" s="284" t="e">
        <f>++Tabla4[[#This Row],[Utilidad Total]]/Tabla4[[#This Row],[Total]]</f>
        <v>#N/A</v>
      </c>
      <c r="P1348" s="282">
        <f>++Tabla4[[#This Row],[Precio Descontado]]*Tabla4[[#This Row],[Cantidad]]</f>
        <v>1936.7704229999999</v>
      </c>
      <c r="Q1348" s="282" t="e">
        <f>(INDEX(Tabla6[#All],MATCH(Tabla4[[#This Row],[Producto]],Tabla6[[#All],[PRODUCTO]],0),MATCH(Tabla4[[#This Row],[Mes]],Tabla6[#Headers],0)))</f>
        <v>#N/A</v>
      </c>
      <c r="R1348" s="282" t="e">
        <f>++Tabla4[[#This Row],[Precio Unitario Neto]]-Tabla4[[#This Row],[20.85%]]-Tabla4[[#This Row],[Costo]]</f>
        <v>#N/A</v>
      </c>
      <c r="S1348" s="282" t="e">
        <f>++Tabla4[[#This Row],[U. Bruta Uni]]*Tabla4[[#This Row],[Cantidad]]</f>
        <v>#N/A</v>
      </c>
      <c r="T1348" s="369" t="str">
        <f>VLOOKUP(Tabla4[[#This Row],[Producto]],Tabla6[#All],14,FALSE)</f>
        <v>Termico Solar</v>
      </c>
      <c r="U1348" s="284" t="e">
        <f>(IF(Tabla4[[#This Row],[Familia]]="termico solar",Tabla4[[#This Row],[Utilidad Total]]*6%,Tabla4[[#This Row],[Utilidad Total]]*11.5%))/Tabla4[[#This Row],[Total]]</f>
        <v>#N/A</v>
      </c>
      <c r="V1348" s="282" t="e">
        <f>+Tabla4[[#This Row],[Comisión Calculada]]*Tabla4[[#This Row],[Total]]</f>
        <v>#N/A</v>
      </c>
    </row>
    <row r="1349" spans="1:22" hidden="1" x14ac:dyDescent="0.25">
      <c r="A1349" s="100">
        <v>45731</v>
      </c>
      <c r="B1349" t="str">
        <f t="shared" si="59"/>
        <v>March</v>
      </c>
      <c r="C1349" s="46" t="s">
        <v>280</v>
      </c>
      <c r="F1349" s="366" t="s">
        <v>1247</v>
      </c>
      <c r="G1349" s="46" t="s">
        <v>208</v>
      </c>
      <c r="H1349" s="46">
        <v>1</v>
      </c>
      <c r="I1349" s="51">
        <v>189.75</v>
      </c>
      <c r="J1349" s="281">
        <f>++Tabla4[[#This Row],[Precio Bruto]]*1.16</f>
        <v>220.10999999999999</v>
      </c>
      <c r="K1349" s="281">
        <f>+Tabla4[[#This Row],[Precio Unitario Neto]]*Tabla4[[#Headers],[20.85%]]</f>
        <v>45.892934999999994</v>
      </c>
      <c r="L1349" s="282">
        <f>++Tabla4[[#This Row],[Precio Unitario Neto]]-Tabla4[[#This Row],[20.85%]]</f>
        <v>174.21706499999999</v>
      </c>
      <c r="M1349" s="282" t="e">
        <f>(INDEX(Tabla6[#All],MATCH(Tabla4[[#This Row],[Producto]],Tabla6[[#All],[PRODUCTO]],0),MATCH(Tabla4[[#This Row],[Mes]],Tabla6[#Headers],0)))*(1+Catalogos!$L$2)</f>
        <v>#N/A</v>
      </c>
      <c r="N1349" s="283" t="e">
        <f>+(Tabla4[[#This Row],[Precio Descontado]]-Tabla4[[#This Row],[Precio Base]])*Tabla4[[#This Row],[Cantidad]]</f>
        <v>#N/A</v>
      </c>
      <c r="O1349" s="284" t="e">
        <f>++Tabla4[[#This Row],[Utilidad Total]]/Tabla4[[#This Row],[Total]]</f>
        <v>#N/A</v>
      </c>
      <c r="P1349" s="282">
        <f>++Tabla4[[#This Row],[Precio Descontado]]*Tabla4[[#This Row],[Cantidad]]</f>
        <v>174.21706499999999</v>
      </c>
      <c r="Q1349" s="282" t="e">
        <f>(INDEX(Tabla6[#All],MATCH(Tabla4[[#This Row],[Producto]],Tabla6[[#All],[PRODUCTO]],0),MATCH(Tabla4[[#This Row],[Mes]],Tabla6[#Headers],0)))</f>
        <v>#N/A</v>
      </c>
      <c r="R1349" s="282" t="e">
        <f>++Tabla4[[#This Row],[Precio Unitario Neto]]-Tabla4[[#This Row],[20.85%]]-Tabla4[[#This Row],[Costo]]</f>
        <v>#N/A</v>
      </c>
      <c r="S1349" s="282" t="e">
        <f>++Tabla4[[#This Row],[U. Bruta Uni]]*Tabla4[[#This Row],[Cantidad]]</f>
        <v>#N/A</v>
      </c>
      <c r="T1349" s="369" t="str">
        <f>VLOOKUP(Tabla4[[#This Row],[Producto]],Tabla6[#All],14,FALSE)</f>
        <v>Termico Solar</v>
      </c>
      <c r="U1349" s="284" t="e">
        <f>(IF(Tabla4[[#This Row],[Familia]]="termico solar",Tabla4[[#This Row],[Utilidad Total]]*6%,Tabla4[[#This Row],[Utilidad Total]]*11.5%))/Tabla4[[#This Row],[Total]]</f>
        <v>#N/A</v>
      </c>
      <c r="V1349" s="282" t="e">
        <f>+Tabla4[[#This Row],[Comisión Calculada]]*Tabla4[[#This Row],[Total]]</f>
        <v>#N/A</v>
      </c>
    </row>
    <row r="1350" spans="1:22" hidden="1" x14ac:dyDescent="0.25">
      <c r="A1350" s="100">
        <v>45731</v>
      </c>
      <c r="B1350" t="str">
        <f t="shared" si="59"/>
        <v>March</v>
      </c>
      <c r="C1350" s="46" t="s">
        <v>280</v>
      </c>
      <c r="F1350" s="366" t="s">
        <v>1248</v>
      </c>
      <c r="G1350" s="46" t="s">
        <v>17</v>
      </c>
      <c r="H1350" s="46">
        <v>3</v>
      </c>
      <c r="I1350" s="51">
        <v>4622.28</v>
      </c>
      <c r="J1350" s="281">
        <f>++Tabla4[[#This Row],[Precio Bruto]]*1.16</f>
        <v>5361.8447999999989</v>
      </c>
      <c r="K1350" s="281">
        <f>+Tabla4[[#This Row],[Precio Unitario Neto]]*Tabla4[[#Headers],[20.85%]]</f>
        <v>1117.9446407999997</v>
      </c>
      <c r="L1350" s="282">
        <f>++Tabla4[[#This Row],[Precio Unitario Neto]]-Tabla4[[#This Row],[20.85%]]</f>
        <v>4243.9001591999995</v>
      </c>
      <c r="M1350" s="282" t="e">
        <f>(INDEX(Tabla6[#All],MATCH(Tabla4[[#This Row],[Producto]],Tabla6[[#All],[PRODUCTO]],0),MATCH(Tabla4[[#This Row],[Mes]],Tabla6[#Headers],0)))*(1+Catalogos!$L$2)</f>
        <v>#N/A</v>
      </c>
      <c r="N1350" s="283" t="e">
        <f>+(Tabla4[[#This Row],[Precio Descontado]]-Tabla4[[#This Row],[Precio Base]])*Tabla4[[#This Row],[Cantidad]]</f>
        <v>#N/A</v>
      </c>
      <c r="O1350" s="284" t="e">
        <f>++Tabla4[[#This Row],[Utilidad Total]]/Tabla4[[#This Row],[Total]]</f>
        <v>#N/A</v>
      </c>
      <c r="P1350" s="282">
        <f>++Tabla4[[#This Row],[Precio Descontado]]*Tabla4[[#This Row],[Cantidad]]</f>
        <v>12731.700477599999</v>
      </c>
      <c r="Q1350" s="282" t="e">
        <f>(INDEX(Tabla6[#All],MATCH(Tabla4[[#This Row],[Producto]],Tabla6[[#All],[PRODUCTO]],0),MATCH(Tabla4[[#This Row],[Mes]],Tabla6[#Headers],0)))</f>
        <v>#N/A</v>
      </c>
      <c r="R1350" s="282" t="e">
        <f>++Tabla4[[#This Row],[Precio Unitario Neto]]-Tabla4[[#This Row],[20.85%]]-Tabla4[[#This Row],[Costo]]</f>
        <v>#N/A</v>
      </c>
      <c r="S1350" s="282" t="e">
        <f>++Tabla4[[#This Row],[U. Bruta Uni]]*Tabla4[[#This Row],[Cantidad]]</f>
        <v>#N/A</v>
      </c>
      <c r="T1350" s="369" t="str">
        <f>VLOOKUP(Tabla4[[#This Row],[Producto]],Tabla6[#All],14,FALSE)</f>
        <v>Termico Solar</v>
      </c>
      <c r="U1350" s="284" t="e">
        <f>(IF(Tabla4[[#This Row],[Familia]]="termico solar",Tabla4[[#This Row],[Utilidad Total]]*6%,Tabla4[[#This Row],[Utilidad Total]]*11.5%))/Tabla4[[#This Row],[Total]]</f>
        <v>#N/A</v>
      </c>
      <c r="V1350" s="282" t="e">
        <f>+Tabla4[[#This Row],[Comisión Calculada]]*Tabla4[[#This Row],[Total]]</f>
        <v>#N/A</v>
      </c>
    </row>
    <row r="1351" spans="1:22" hidden="1" x14ac:dyDescent="0.25">
      <c r="A1351" s="100">
        <v>45731</v>
      </c>
      <c r="B1351" t="str">
        <f t="shared" si="59"/>
        <v>March</v>
      </c>
      <c r="C1351" s="46" t="s">
        <v>280</v>
      </c>
      <c r="F1351" s="366" t="s">
        <v>1248</v>
      </c>
      <c r="G1351" s="46" t="s">
        <v>19</v>
      </c>
      <c r="H1351" s="46">
        <v>1</v>
      </c>
      <c r="I1351" s="51">
        <v>6412.03</v>
      </c>
      <c r="J1351" s="281">
        <f>++Tabla4[[#This Row],[Precio Bruto]]*1.16</f>
        <v>7437.9547999999995</v>
      </c>
      <c r="K1351" s="281">
        <f>+Tabla4[[#This Row],[Precio Unitario Neto]]*Tabla4[[#Headers],[20.85%]]</f>
        <v>1550.8135757999999</v>
      </c>
      <c r="L1351" s="282">
        <f>++Tabla4[[#This Row],[Precio Unitario Neto]]-Tabla4[[#This Row],[20.85%]]</f>
        <v>5887.1412241999997</v>
      </c>
      <c r="M1351" s="282" t="e">
        <f>(INDEX(Tabla6[#All],MATCH(Tabla4[[#This Row],[Producto]],Tabla6[[#All],[PRODUCTO]],0),MATCH(Tabla4[[#This Row],[Mes]],Tabla6[#Headers],0)))*(1+Catalogos!$L$2)</f>
        <v>#N/A</v>
      </c>
      <c r="N1351" s="283" t="e">
        <f>+(Tabla4[[#This Row],[Precio Descontado]]-Tabla4[[#This Row],[Precio Base]])*Tabla4[[#This Row],[Cantidad]]</f>
        <v>#N/A</v>
      </c>
      <c r="O1351" s="284" t="e">
        <f>++Tabla4[[#This Row],[Utilidad Total]]/Tabla4[[#This Row],[Total]]</f>
        <v>#N/A</v>
      </c>
      <c r="P1351" s="282">
        <f>++Tabla4[[#This Row],[Precio Descontado]]*Tabla4[[#This Row],[Cantidad]]</f>
        <v>5887.1412241999997</v>
      </c>
      <c r="Q1351" s="282" t="e">
        <f>(INDEX(Tabla6[#All],MATCH(Tabla4[[#This Row],[Producto]],Tabla6[[#All],[PRODUCTO]],0),MATCH(Tabla4[[#This Row],[Mes]],Tabla6[#Headers],0)))</f>
        <v>#N/A</v>
      </c>
      <c r="R1351" s="282" t="e">
        <f>++Tabla4[[#This Row],[Precio Unitario Neto]]-Tabla4[[#This Row],[20.85%]]-Tabla4[[#This Row],[Costo]]</f>
        <v>#N/A</v>
      </c>
      <c r="S1351" s="282" t="e">
        <f>++Tabla4[[#This Row],[U. Bruta Uni]]*Tabla4[[#This Row],[Cantidad]]</f>
        <v>#N/A</v>
      </c>
      <c r="T1351" s="369" t="str">
        <f>VLOOKUP(Tabla4[[#This Row],[Producto]],Tabla6[#All],14,FALSE)</f>
        <v>Termico Solar</v>
      </c>
      <c r="U1351" s="284" t="e">
        <f>(IF(Tabla4[[#This Row],[Familia]]="termico solar",Tabla4[[#This Row],[Utilidad Total]]*6%,Tabla4[[#This Row],[Utilidad Total]]*11.5%))/Tabla4[[#This Row],[Total]]</f>
        <v>#N/A</v>
      </c>
      <c r="V1351" s="282" t="e">
        <f>+Tabla4[[#This Row],[Comisión Calculada]]*Tabla4[[#This Row],[Total]]</f>
        <v>#N/A</v>
      </c>
    </row>
    <row r="1352" spans="1:22" hidden="1" x14ac:dyDescent="0.25">
      <c r="A1352" s="100">
        <v>45731</v>
      </c>
      <c r="B1352" t="str">
        <f t="shared" si="59"/>
        <v>March</v>
      </c>
      <c r="C1352" s="46" t="s">
        <v>280</v>
      </c>
      <c r="F1352" s="366" t="s">
        <v>1248</v>
      </c>
      <c r="G1352" s="46" t="s">
        <v>16</v>
      </c>
      <c r="H1352" s="46">
        <v>2</v>
      </c>
      <c r="I1352" s="51">
        <v>4103.8500000000004</v>
      </c>
      <c r="J1352" s="281">
        <f>++Tabla4[[#This Row],[Precio Bruto]]*1.16</f>
        <v>4760.4660000000003</v>
      </c>
      <c r="K1352" s="281">
        <f>+Tabla4[[#This Row],[Precio Unitario Neto]]*Tabla4[[#Headers],[20.85%]]</f>
        <v>992.55716100000006</v>
      </c>
      <c r="L1352" s="282">
        <f>++Tabla4[[#This Row],[Precio Unitario Neto]]-Tabla4[[#This Row],[20.85%]]</f>
        <v>3767.9088390000002</v>
      </c>
      <c r="M1352" s="282" t="e">
        <f>(INDEX(Tabla6[#All],MATCH(Tabla4[[#This Row],[Producto]],Tabla6[[#All],[PRODUCTO]],0),MATCH(Tabla4[[#This Row],[Mes]],Tabla6[#Headers],0)))*(1+Catalogos!$L$2)</f>
        <v>#N/A</v>
      </c>
      <c r="N1352" s="283" t="e">
        <f>+(Tabla4[[#This Row],[Precio Descontado]]-Tabla4[[#This Row],[Precio Base]])*Tabla4[[#This Row],[Cantidad]]</f>
        <v>#N/A</v>
      </c>
      <c r="O1352" s="284" t="e">
        <f>++Tabla4[[#This Row],[Utilidad Total]]/Tabla4[[#This Row],[Total]]</f>
        <v>#N/A</v>
      </c>
      <c r="P1352" s="282">
        <f>++Tabla4[[#This Row],[Precio Descontado]]*Tabla4[[#This Row],[Cantidad]]</f>
        <v>7535.8176780000003</v>
      </c>
      <c r="Q1352" s="282" t="e">
        <f>(INDEX(Tabla6[#All],MATCH(Tabla4[[#This Row],[Producto]],Tabla6[[#All],[PRODUCTO]],0),MATCH(Tabla4[[#This Row],[Mes]],Tabla6[#Headers],0)))</f>
        <v>#N/A</v>
      </c>
      <c r="R1352" s="282" t="e">
        <f>++Tabla4[[#This Row],[Precio Unitario Neto]]-Tabla4[[#This Row],[20.85%]]-Tabla4[[#This Row],[Costo]]</f>
        <v>#N/A</v>
      </c>
      <c r="S1352" s="282" t="e">
        <f>++Tabla4[[#This Row],[U. Bruta Uni]]*Tabla4[[#This Row],[Cantidad]]</f>
        <v>#N/A</v>
      </c>
      <c r="T1352" s="369" t="str">
        <f>VLOOKUP(Tabla4[[#This Row],[Producto]],Tabla6[#All],14,FALSE)</f>
        <v>Termico Solar</v>
      </c>
      <c r="U1352" s="284" t="e">
        <f>(IF(Tabla4[[#This Row],[Familia]]="termico solar",Tabla4[[#This Row],[Utilidad Total]]*6%,Tabla4[[#This Row],[Utilidad Total]]*11.5%))/Tabla4[[#This Row],[Total]]</f>
        <v>#N/A</v>
      </c>
      <c r="V1352" s="282" t="e">
        <f>+Tabla4[[#This Row],[Comisión Calculada]]*Tabla4[[#This Row],[Total]]</f>
        <v>#N/A</v>
      </c>
    </row>
    <row r="1353" spans="1:22" hidden="1" x14ac:dyDescent="0.25">
      <c r="A1353" s="100">
        <v>45731</v>
      </c>
      <c r="B1353" t="str">
        <f t="shared" si="59"/>
        <v>March</v>
      </c>
      <c r="C1353" s="46" t="s">
        <v>280</v>
      </c>
      <c r="F1353" s="366" t="s">
        <v>1249</v>
      </c>
      <c r="G1353" s="46" t="s">
        <v>83</v>
      </c>
      <c r="H1353" s="46">
        <v>2</v>
      </c>
      <c r="I1353" s="51">
        <v>8858.76</v>
      </c>
      <c r="J1353" s="281">
        <f>++Tabla4[[#This Row],[Precio Bruto]]*1.16</f>
        <v>10276.161599999999</v>
      </c>
      <c r="K1353" s="281">
        <f>+Tabla4[[#This Row],[Precio Unitario Neto]]*Tabla4[[#Headers],[20.85%]]</f>
        <v>2142.5796935999997</v>
      </c>
      <c r="L1353" s="282">
        <f>++Tabla4[[#This Row],[Precio Unitario Neto]]-Tabla4[[#This Row],[20.85%]]</f>
        <v>8133.5819063999998</v>
      </c>
      <c r="M1353" s="282" t="e">
        <f>(INDEX(Tabla6[#All],MATCH(Tabla4[[#This Row],[Producto]],Tabla6[[#All],[PRODUCTO]],0),MATCH(Tabla4[[#This Row],[Mes]],Tabla6[#Headers],0)))*(1+Catalogos!$L$2)</f>
        <v>#N/A</v>
      </c>
      <c r="N1353" s="283" t="e">
        <f>+(Tabla4[[#This Row],[Precio Descontado]]-Tabla4[[#This Row],[Precio Base]])*Tabla4[[#This Row],[Cantidad]]</f>
        <v>#N/A</v>
      </c>
      <c r="O1353" s="284" t="e">
        <f>++Tabla4[[#This Row],[Utilidad Total]]/Tabla4[[#This Row],[Total]]</f>
        <v>#N/A</v>
      </c>
      <c r="P1353" s="282">
        <f>++Tabla4[[#This Row],[Precio Descontado]]*Tabla4[[#This Row],[Cantidad]]</f>
        <v>16267.1638128</v>
      </c>
      <c r="Q1353" s="282" t="e">
        <f>(INDEX(Tabla6[#All],MATCH(Tabla4[[#This Row],[Producto]],Tabla6[[#All],[PRODUCTO]],0),MATCH(Tabla4[[#This Row],[Mes]],Tabla6[#Headers],0)))</f>
        <v>#N/A</v>
      </c>
      <c r="R1353" s="282" t="e">
        <f>++Tabla4[[#This Row],[Precio Unitario Neto]]-Tabla4[[#This Row],[20.85%]]-Tabla4[[#This Row],[Costo]]</f>
        <v>#N/A</v>
      </c>
      <c r="S1353" s="282" t="e">
        <f>++Tabla4[[#This Row],[U. Bruta Uni]]*Tabla4[[#This Row],[Cantidad]]</f>
        <v>#N/A</v>
      </c>
      <c r="T1353" s="369" t="str">
        <f>VLOOKUP(Tabla4[[#This Row],[Producto]],Tabla6[#All],14,FALSE)</f>
        <v>Termico Solar</v>
      </c>
      <c r="U1353" s="284" t="e">
        <f>(IF(Tabla4[[#This Row],[Familia]]="termico solar",Tabla4[[#This Row],[Utilidad Total]]*6%,Tabla4[[#This Row],[Utilidad Total]]*11.5%))/Tabla4[[#This Row],[Total]]</f>
        <v>#N/A</v>
      </c>
      <c r="V1353" s="282" t="e">
        <f>+Tabla4[[#This Row],[Comisión Calculada]]*Tabla4[[#This Row],[Total]]</f>
        <v>#N/A</v>
      </c>
    </row>
    <row r="1354" spans="1:22" hidden="1" x14ac:dyDescent="0.25">
      <c r="A1354" s="100">
        <v>45731</v>
      </c>
      <c r="B1354" t="str">
        <f t="shared" si="59"/>
        <v>March</v>
      </c>
      <c r="C1354" s="46" t="s">
        <v>280</v>
      </c>
      <c r="F1354" s="366" t="s">
        <v>1249</v>
      </c>
      <c r="G1354" s="46" t="s">
        <v>17</v>
      </c>
      <c r="H1354" s="46">
        <v>1</v>
      </c>
      <c r="I1354" s="51">
        <v>4622.28</v>
      </c>
      <c r="J1354" s="281">
        <f>++Tabla4[[#This Row],[Precio Bruto]]*1.16</f>
        <v>5361.8447999999989</v>
      </c>
      <c r="K1354" s="281">
        <f>+Tabla4[[#This Row],[Precio Unitario Neto]]*Tabla4[[#Headers],[20.85%]]</f>
        <v>1117.9446407999997</v>
      </c>
      <c r="L1354" s="282">
        <f>++Tabla4[[#This Row],[Precio Unitario Neto]]-Tabla4[[#This Row],[20.85%]]</f>
        <v>4243.9001591999995</v>
      </c>
      <c r="M1354" s="282" t="e">
        <f>(INDEX(Tabla6[#All],MATCH(Tabla4[[#This Row],[Producto]],Tabla6[[#All],[PRODUCTO]],0),MATCH(Tabla4[[#This Row],[Mes]],Tabla6[#Headers],0)))*(1+Catalogos!$L$2)</f>
        <v>#N/A</v>
      </c>
      <c r="N1354" s="283" t="e">
        <f>+(Tabla4[[#This Row],[Precio Descontado]]-Tabla4[[#This Row],[Precio Base]])*Tabla4[[#This Row],[Cantidad]]</f>
        <v>#N/A</v>
      </c>
      <c r="O1354" s="284" t="e">
        <f>++Tabla4[[#This Row],[Utilidad Total]]/Tabla4[[#This Row],[Total]]</f>
        <v>#N/A</v>
      </c>
      <c r="P1354" s="282">
        <f>++Tabla4[[#This Row],[Precio Descontado]]*Tabla4[[#This Row],[Cantidad]]</f>
        <v>4243.9001591999995</v>
      </c>
      <c r="Q1354" s="282" t="e">
        <f>(INDEX(Tabla6[#All],MATCH(Tabla4[[#This Row],[Producto]],Tabla6[[#All],[PRODUCTO]],0),MATCH(Tabla4[[#This Row],[Mes]],Tabla6[#Headers],0)))</f>
        <v>#N/A</v>
      </c>
      <c r="R1354" s="282" t="e">
        <f>++Tabla4[[#This Row],[Precio Unitario Neto]]-Tabla4[[#This Row],[20.85%]]-Tabla4[[#This Row],[Costo]]</f>
        <v>#N/A</v>
      </c>
      <c r="S1354" s="282" t="e">
        <f>++Tabla4[[#This Row],[U. Bruta Uni]]*Tabla4[[#This Row],[Cantidad]]</f>
        <v>#N/A</v>
      </c>
      <c r="T1354" s="369" t="str">
        <f>VLOOKUP(Tabla4[[#This Row],[Producto]],Tabla6[#All],14,FALSE)</f>
        <v>Termico Solar</v>
      </c>
      <c r="U1354" s="284" t="e">
        <f>(IF(Tabla4[[#This Row],[Familia]]="termico solar",Tabla4[[#This Row],[Utilidad Total]]*6%,Tabla4[[#This Row],[Utilidad Total]]*11.5%))/Tabla4[[#This Row],[Total]]</f>
        <v>#N/A</v>
      </c>
      <c r="V1354" s="282" t="e">
        <f>+Tabla4[[#This Row],[Comisión Calculada]]*Tabla4[[#This Row],[Total]]</f>
        <v>#N/A</v>
      </c>
    </row>
    <row r="1355" spans="1:22" hidden="1" x14ac:dyDescent="0.25">
      <c r="A1355" s="100">
        <v>45731</v>
      </c>
      <c r="B1355" t="str">
        <f t="shared" si="59"/>
        <v>March</v>
      </c>
      <c r="C1355" s="46" t="s">
        <v>280</v>
      </c>
      <c r="F1355" s="366" t="s">
        <v>1249</v>
      </c>
      <c r="G1355" s="46" t="s">
        <v>566</v>
      </c>
      <c r="H1355" s="46">
        <v>1</v>
      </c>
      <c r="I1355" s="51">
        <v>2109.4499999999998</v>
      </c>
      <c r="J1355" s="281">
        <f>++Tabla4[[#This Row],[Precio Bruto]]*1.16</f>
        <v>2446.9619999999995</v>
      </c>
      <c r="K1355" s="281">
        <f>+Tabla4[[#This Row],[Precio Unitario Neto]]*Tabla4[[#Headers],[20.85%]]</f>
        <v>510.19157699999988</v>
      </c>
      <c r="L1355" s="282">
        <f>++Tabla4[[#This Row],[Precio Unitario Neto]]-Tabla4[[#This Row],[20.85%]]</f>
        <v>1936.7704229999997</v>
      </c>
      <c r="M1355" s="282" t="e">
        <f>(INDEX(Tabla6[#All],MATCH(Tabla4[[#This Row],[Producto]],Tabla6[[#All],[PRODUCTO]],0),MATCH(Tabla4[[#This Row],[Mes]],Tabla6[#Headers],0)))*(1+Catalogos!$L$2)</f>
        <v>#N/A</v>
      </c>
      <c r="N1355" s="283" t="e">
        <f>+(Tabla4[[#This Row],[Precio Descontado]]-Tabla4[[#This Row],[Precio Base]])*Tabla4[[#This Row],[Cantidad]]</f>
        <v>#N/A</v>
      </c>
      <c r="O1355" s="284" t="e">
        <f>++Tabla4[[#This Row],[Utilidad Total]]/Tabla4[[#This Row],[Total]]</f>
        <v>#N/A</v>
      </c>
      <c r="P1355" s="282">
        <f>++Tabla4[[#This Row],[Precio Descontado]]*Tabla4[[#This Row],[Cantidad]]</f>
        <v>1936.7704229999997</v>
      </c>
      <c r="Q1355" s="282" t="e">
        <f>(INDEX(Tabla6[#All],MATCH(Tabla4[[#This Row],[Producto]],Tabla6[[#All],[PRODUCTO]],0),MATCH(Tabla4[[#This Row],[Mes]],Tabla6[#Headers],0)))</f>
        <v>#N/A</v>
      </c>
      <c r="R1355" s="282" t="e">
        <f>++Tabla4[[#This Row],[Precio Unitario Neto]]-Tabla4[[#This Row],[20.85%]]-Tabla4[[#This Row],[Costo]]</f>
        <v>#N/A</v>
      </c>
      <c r="S1355" s="282" t="e">
        <f>++Tabla4[[#This Row],[U. Bruta Uni]]*Tabla4[[#This Row],[Cantidad]]</f>
        <v>#N/A</v>
      </c>
      <c r="T1355" s="369" t="str">
        <f>VLOOKUP(Tabla4[[#This Row],[Producto]],Tabla6[#All],14,FALSE)</f>
        <v>Termico Solar</v>
      </c>
      <c r="U1355" s="284" t="e">
        <f>(IF(Tabla4[[#This Row],[Familia]]="termico solar",Tabla4[[#This Row],[Utilidad Total]]*6%,Tabla4[[#This Row],[Utilidad Total]]*11.5%))/Tabla4[[#This Row],[Total]]</f>
        <v>#N/A</v>
      </c>
      <c r="V1355" s="282" t="e">
        <f>+Tabla4[[#This Row],[Comisión Calculada]]*Tabla4[[#This Row],[Total]]</f>
        <v>#N/A</v>
      </c>
    </row>
    <row r="1356" spans="1:22" hidden="1" x14ac:dyDescent="0.25">
      <c r="A1356" s="100">
        <v>45731</v>
      </c>
      <c r="B1356" t="str">
        <f t="shared" ref="B1356:B1361" si="60">TEXT(A1356, "mmmm")</f>
        <v>March</v>
      </c>
      <c r="C1356" s="46" t="s">
        <v>280</v>
      </c>
      <c r="F1356" s="366" t="s">
        <v>1250</v>
      </c>
      <c r="G1356" s="46" t="s">
        <v>394</v>
      </c>
      <c r="H1356" s="46">
        <v>16</v>
      </c>
      <c r="I1356" s="51">
        <v>224.29</v>
      </c>
      <c r="J1356" s="281">
        <f>++Tabla4[[#This Row],[Precio Bruto]]*1.16</f>
        <v>260.1764</v>
      </c>
      <c r="K1356" s="281">
        <f>+Tabla4[[#This Row],[Precio Unitario Neto]]*Tabla4[[#Headers],[20.85%]]</f>
        <v>54.246779400000001</v>
      </c>
      <c r="L1356" s="282">
        <f>++Tabla4[[#This Row],[Precio Unitario Neto]]-Tabla4[[#This Row],[20.85%]]</f>
        <v>205.92962059999999</v>
      </c>
      <c r="M1356" s="282" t="e">
        <f>(INDEX(Tabla6[#All],MATCH(Tabla4[[#This Row],[Producto]],Tabla6[[#All],[PRODUCTO]],0),MATCH(Tabla4[[#This Row],[Mes]],Tabla6[#Headers],0)))*(1+Catalogos!$L$2)</f>
        <v>#N/A</v>
      </c>
      <c r="N1356" s="283" t="e">
        <f>+(Tabla4[[#This Row],[Precio Descontado]]-Tabla4[[#This Row],[Precio Base]])*Tabla4[[#This Row],[Cantidad]]</f>
        <v>#N/A</v>
      </c>
      <c r="O1356" s="284" t="e">
        <f>++Tabla4[[#This Row],[Utilidad Total]]/Tabla4[[#This Row],[Total]]</f>
        <v>#N/A</v>
      </c>
      <c r="P1356" s="282">
        <f>++Tabla4[[#This Row],[Precio Descontado]]*Tabla4[[#This Row],[Cantidad]]</f>
        <v>3294.8739295999999</v>
      </c>
      <c r="Q1356" s="282" t="e">
        <f>(INDEX(Tabla6[#All],MATCH(Tabla4[[#This Row],[Producto]],Tabla6[[#All],[PRODUCTO]],0),MATCH(Tabla4[[#This Row],[Mes]],Tabla6[#Headers],0)))</f>
        <v>#N/A</v>
      </c>
      <c r="R1356" s="282" t="e">
        <f>++Tabla4[[#This Row],[Precio Unitario Neto]]-Tabla4[[#This Row],[20.85%]]-Tabla4[[#This Row],[Costo]]</f>
        <v>#N/A</v>
      </c>
      <c r="S1356" s="282" t="e">
        <f>++Tabla4[[#This Row],[U. Bruta Uni]]*Tabla4[[#This Row],[Cantidad]]</f>
        <v>#N/A</v>
      </c>
      <c r="T1356" s="369" t="str">
        <f>VLOOKUP(Tabla4[[#This Row],[Producto]],Tabla6[#All],14,FALSE)</f>
        <v>Termico Solar</v>
      </c>
      <c r="U1356" s="284" t="e">
        <f>(IF(Tabla4[[#This Row],[Familia]]="termico solar",Tabla4[[#This Row],[Utilidad Total]]*6%,Tabla4[[#This Row],[Utilidad Total]]*11.5%))/Tabla4[[#This Row],[Total]]</f>
        <v>#N/A</v>
      </c>
      <c r="V1356" s="282" t="e">
        <f>+Tabla4[[#This Row],[Comisión Calculada]]*Tabla4[[#This Row],[Total]]</f>
        <v>#N/A</v>
      </c>
    </row>
    <row r="1357" spans="1:22" hidden="1" x14ac:dyDescent="0.25">
      <c r="A1357" s="100">
        <v>45731</v>
      </c>
      <c r="B1357" t="str">
        <f t="shared" si="60"/>
        <v>March</v>
      </c>
      <c r="C1357" s="46" t="s">
        <v>280</v>
      </c>
      <c r="F1357" s="366" t="s">
        <v>1250</v>
      </c>
      <c r="G1357" s="46" t="s">
        <v>200</v>
      </c>
      <c r="H1357" s="46">
        <v>12</v>
      </c>
      <c r="I1357" s="51">
        <v>393.22</v>
      </c>
      <c r="J1357" s="281">
        <f>++Tabla4[[#This Row],[Precio Bruto]]*1.16</f>
        <v>456.1352</v>
      </c>
      <c r="K1357" s="281">
        <f>+Tabla4[[#This Row],[Precio Unitario Neto]]*Tabla4[[#Headers],[20.85%]]</f>
        <v>95.104189199999993</v>
      </c>
      <c r="L1357" s="282">
        <f>++Tabla4[[#This Row],[Precio Unitario Neto]]-Tabla4[[#This Row],[20.85%]]</f>
        <v>361.03101079999999</v>
      </c>
      <c r="M1357" s="282" t="e">
        <f>(INDEX(Tabla6[#All],MATCH(Tabla4[[#This Row],[Producto]],Tabla6[[#All],[PRODUCTO]],0),MATCH(Tabla4[[#This Row],[Mes]],Tabla6[#Headers],0)))*(1+Catalogos!$L$2)</f>
        <v>#N/A</v>
      </c>
      <c r="N1357" s="283" t="e">
        <f>+(Tabla4[[#This Row],[Precio Descontado]]-Tabla4[[#This Row],[Precio Base]])*Tabla4[[#This Row],[Cantidad]]</f>
        <v>#N/A</v>
      </c>
      <c r="O1357" s="284" t="e">
        <f>++Tabla4[[#This Row],[Utilidad Total]]/Tabla4[[#This Row],[Total]]</f>
        <v>#N/A</v>
      </c>
      <c r="P1357" s="282">
        <f>++Tabla4[[#This Row],[Precio Descontado]]*Tabla4[[#This Row],[Cantidad]]</f>
        <v>4332.3721296000003</v>
      </c>
      <c r="Q1357" s="282" t="e">
        <f>(INDEX(Tabla6[#All],MATCH(Tabla4[[#This Row],[Producto]],Tabla6[[#All],[PRODUCTO]],0),MATCH(Tabla4[[#This Row],[Mes]],Tabla6[#Headers],0)))</f>
        <v>#N/A</v>
      </c>
      <c r="R1357" s="282" t="e">
        <f>++Tabla4[[#This Row],[Precio Unitario Neto]]-Tabla4[[#This Row],[20.85%]]-Tabla4[[#This Row],[Costo]]</f>
        <v>#N/A</v>
      </c>
      <c r="S1357" s="282" t="e">
        <f>++Tabla4[[#This Row],[U. Bruta Uni]]*Tabla4[[#This Row],[Cantidad]]</f>
        <v>#N/A</v>
      </c>
      <c r="T1357" s="369" t="str">
        <f>VLOOKUP(Tabla4[[#This Row],[Producto]],Tabla6[#All],14,FALSE)</f>
        <v>Termico Solar</v>
      </c>
      <c r="U1357" s="284" t="e">
        <f>(IF(Tabla4[[#This Row],[Familia]]="termico solar",Tabla4[[#This Row],[Utilidad Total]]*6%,Tabla4[[#This Row],[Utilidad Total]]*11.5%))/Tabla4[[#This Row],[Total]]</f>
        <v>#N/A</v>
      </c>
      <c r="V1357" s="282" t="e">
        <f>+Tabla4[[#This Row],[Comisión Calculada]]*Tabla4[[#This Row],[Total]]</f>
        <v>#N/A</v>
      </c>
    </row>
    <row r="1358" spans="1:22" hidden="1" x14ac:dyDescent="0.25">
      <c r="A1358" s="100">
        <v>45731</v>
      </c>
      <c r="B1358" t="str">
        <f t="shared" si="60"/>
        <v>March</v>
      </c>
      <c r="C1358" s="46" t="s">
        <v>280</v>
      </c>
      <c r="F1358" s="366" t="s">
        <v>1250</v>
      </c>
      <c r="G1358" s="46" t="s">
        <v>555</v>
      </c>
      <c r="H1358" s="46">
        <v>8</v>
      </c>
      <c r="I1358" s="51">
        <v>389.47</v>
      </c>
      <c r="J1358" s="281">
        <f>++Tabla4[[#This Row],[Precio Bruto]]*1.16</f>
        <v>451.78519999999997</v>
      </c>
      <c r="K1358" s="281">
        <f>+Tabla4[[#This Row],[Precio Unitario Neto]]*Tabla4[[#Headers],[20.85%]]</f>
        <v>94.197214199999991</v>
      </c>
      <c r="L1358" s="282">
        <f>++Tabla4[[#This Row],[Precio Unitario Neto]]-Tabla4[[#This Row],[20.85%]]</f>
        <v>357.58798579999996</v>
      </c>
      <c r="M1358" s="282" t="e">
        <f>(INDEX(Tabla6[#All],MATCH(Tabla4[[#This Row],[Producto]],Tabla6[[#All],[PRODUCTO]],0),MATCH(Tabla4[[#This Row],[Mes]],Tabla6[#Headers],0)))*(1+Catalogos!$L$2)</f>
        <v>#N/A</v>
      </c>
      <c r="N1358" s="283" t="e">
        <f>+(Tabla4[[#This Row],[Precio Descontado]]-Tabla4[[#This Row],[Precio Base]])*Tabla4[[#This Row],[Cantidad]]</f>
        <v>#N/A</v>
      </c>
      <c r="O1358" s="284" t="e">
        <f>++Tabla4[[#This Row],[Utilidad Total]]/Tabla4[[#This Row],[Total]]</f>
        <v>#N/A</v>
      </c>
      <c r="P1358" s="282">
        <f>++Tabla4[[#This Row],[Precio Descontado]]*Tabla4[[#This Row],[Cantidad]]</f>
        <v>2860.7038863999996</v>
      </c>
      <c r="Q1358" s="282" t="e">
        <f>(INDEX(Tabla6[#All],MATCH(Tabla4[[#This Row],[Producto]],Tabla6[[#All],[PRODUCTO]],0),MATCH(Tabla4[[#This Row],[Mes]],Tabla6[#Headers],0)))</f>
        <v>#N/A</v>
      </c>
      <c r="R1358" s="282" t="e">
        <f>++Tabla4[[#This Row],[Precio Unitario Neto]]-Tabla4[[#This Row],[20.85%]]-Tabla4[[#This Row],[Costo]]</f>
        <v>#N/A</v>
      </c>
      <c r="S1358" s="282" t="e">
        <f>++Tabla4[[#This Row],[U. Bruta Uni]]*Tabla4[[#This Row],[Cantidad]]</f>
        <v>#N/A</v>
      </c>
      <c r="T1358" s="369" t="str">
        <f>VLOOKUP(Tabla4[[#This Row],[Producto]],Tabla6[#All],14,FALSE)</f>
        <v>Termico Solar</v>
      </c>
      <c r="U1358" s="284" t="e">
        <f>(IF(Tabla4[[#This Row],[Familia]]="termico solar",Tabla4[[#This Row],[Utilidad Total]]*6%,Tabla4[[#This Row],[Utilidad Total]]*11.5%))/Tabla4[[#This Row],[Total]]</f>
        <v>#N/A</v>
      </c>
      <c r="V1358" s="282" t="e">
        <f>+Tabla4[[#This Row],[Comisión Calculada]]*Tabla4[[#This Row],[Total]]</f>
        <v>#N/A</v>
      </c>
    </row>
    <row r="1359" spans="1:22" hidden="1" x14ac:dyDescent="0.25">
      <c r="A1359" s="100">
        <v>45731</v>
      </c>
      <c r="B1359" t="str">
        <f t="shared" si="60"/>
        <v>March</v>
      </c>
      <c r="C1359" s="46" t="s">
        <v>280</v>
      </c>
      <c r="F1359" s="366" t="s">
        <v>1250</v>
      </c>
      <c r="G1359" s="46" t="s">
        <v>545</v>
      </c>
      <c r="H1359" s="46">
        <v>24</v>
      </c>
      <c r="I1359" s="51">
        <v>304.32</v>
      </c>
      <c r="J1359" s="281">
        <f>++Tabla4[[#This Row],[Precio Bruto]]*1.16</f>
        <v>353.01119999999997</v>
      </c>
      <c r="K1359" s="281">
        <f>+Tabla4[[#This Row],[Precio Unitario Neto]]*Tabla4[[#Headers],[20.85%]]</f>
        <v>73.602835199999987</v>
      </c>
      <c r="L1359" s="282">
        <f>++Tabla4[[#This Row],[Precio Unitario Neto]]-Tabla4[[#This Row],[20.85%]]</f>
        <v>279.40836479999996</v>
      </c>
      <c r="M1359" s="282" t="e">
        <f>(INDEX(Tabla6[#All],MATCH(Tabla4[[#This Row],[Producto]],Tabla6[[#All],[PRODUCTO]],0),MATCH(Tabla4[[#This Row],[Mes]],Tabla6[#Headers],0)))*(1+Catalogos!$L$2)</f>
        <v>#N/A</v>
      </c>
      <c r="N1359" s="283" t="e">
        <f>+(Tabla4[[#This Row],[Precio Descontado]]-Tabla4[[#This Row],[Precio Base]])*Tabla4[[#This Row],[Cantidad]]</f>
        <v>#N/A</v>
      </c>
      <c r="O1359" s="284" t="e">
        <f>++Tabla4[[#This Row],[Utilidad Total]]/Tabla4[[#This Row],[Total]]</f>
        <v>#N/A</v>
      </c>
      <c r="P1359" s="282">
        <f>++Tabla4[[#This Row],[Precio Descontado]]*Tabla4[[#This Row],[Cantidad]]</f>
        <v>6705.800755199999</v>
      </c>
      <c r="Q1359" s="282" t="e">
        <f>(INDEX(Tabla6[#All],MATCH(Tabla4[[#This Row],[Producto]],Tabla6[[#All],[PRODUCTO]],0),MATCH(Tabla4[[#This Row],[Mes]],Tabla6[#Headers],0)))</f>
        <v>#N/A</v>
      </c>
      <c r="R1359" s="282" t="e">
        <f>++Tabla4[[#This Row],[Precio Unitario Neto]]-Tabla4[[#This Row],[20.85%]]-Tabla4[[#This Row],[Costo]]</f>
        <v>#N/A</v>
      </c>
      <c r="S1359" s="282" t="e">
        <f>++Tabla4[[#This Row],[U. Bruta Uni]]*Tabla4[[#This Row],[Cantidad]]</f>
        <v>#N/A</v>
      </c>
      <c r="T1359" s="369" t="str">
        <f>VLOOKUP(Tabla4[[#This Row],[Producto]],Tabla6[#All],14,FALSE)</f>
        <v>Termico Solar</v>
      </c>
      <c r="U1359" s="284" t="e">
        <f>(IF(Tabla4[[#This Row],[Familia]]="termico solar",Tabla4[[#This Row],[Utilidad Total]]*6%,Tabla4[[#This Row],[Utilidad Total]]*11.5%))/Tabla4[[#This Row],[Total]]</f>
        <v>#N/A</v>
      </c>
      <c r="V1359" s="282" t="e">
        <f>+Tabla4[[#This Row],[Comisión Calculada]]*Tabla4[[#This Row],[Total]]</f>
        <v>#N/A</v>
      </c>
    </row>
    <row r="1360" spans="1:22" hidden="1" x14ac:dyDescent="0.25">
      <c r="A1360" s="100">
        <v>45731</v>
      </c>
      <c r="B1360" t="str">
        <f t="shared" si="60"/>
        <v>March</v>
      </c>
      <c r="C1360" s="46" t="s">
        <v>280</v>
      </c>
      <c r="F1360" s="366" t="s">
        <v>1250</v>
      </c>
      <c r="G1360" s="46" t="s">
        <v>208</v>
      </c>
      <c r="H1360" s="46">
        <v>10</v>
      </c>
      <c r="I1360" s="51">
        <v>189.75</v>
      </c>
      <c r="J1360" s="281">
        <f>++Tabla4[[#This Row],[Precio Bruto]]*1.16</f>
        <v>220.10999999999999</v>
      </c>
      <c r="K1360" s="281">
        <f>+Tabla4[[#This Row],[Precio Unitario Neto]]*Tabla4[[#Headers],[20.85%]]</f>
        <v>45.892934999999994</v>
      </c>
      <c r="L1360" s="282">
        <f>++Tabla4[[#This Row],[Precio Unitario Neto]]-Tabla4[[#This Row],[20.85%]]</f>
        <v>174.21706499999999</v>
      </c>
      <c r="M1360" s="282" t="e">
        <f>(INDEX(Tabla6[#All],MATCH(Tabla4[[#This Row],[Producto]],Tabla6[[#All],[PRODUCTO]],0),MATCH(Tabla4[[#This Row],[Mes]],Tabla6[#Headers],0)))*(1+Catalogos!$L$2)</f>
        <v>#N/A</v>
      </c>
      <c r="N1360" s="283" t="e">
        <f>+(Tabla4[[#This Row],[Precio Descontado]]-Tabla4[[#This Row],[Precio Base]])*Tabla4[[#This Row],[Cantidad]]</f>
        <v>#N/A</v>
      </c>
      <c r="O1360" s="284" t="e">
        <f>++Tabla4[[#This Row],[Utilidad Total]]/Tabla4[[#This Row],[Total]]</f>
        <v>#N/A</v>
      </c>
      <c r="P1360" s="282">
        <f>++Tabla4[[#This Row],[Precio Descontado]]*Tabla4[[#This Row],[Cantidad]]</f>
        <v>1742.17065</v>
      </c>
      <c r="Q1360" s="282" t="e">
        <f>(INDEX(Tabla6[#All],MATCH(Tabla4[[#This Row],[Producto]],Tabla6[[#All],[PRODUCTO]],0),MATCH(Tabla4[[#This Row],[Mes]],Tabla6[#Headers],0)))</f>
        <v>#N/A</v>
      </c>
      <c r="R1360" s="282" t="e">
        <f>++Tabla4[[#This Row],[Precio Unitario Neto]]-Tabla4[[#This Row],[20.85%]]-Tabla4[[#This Row],[Costo]]</f>
        <v>#N/A</v>
      </c>
      <c r="S1360" s="282" t="e">
        <f>++Tabla4[[#This Row],[U. Bruta Uni]]*Tabla4[[#This Row],[Cantidad]]</f>
        <v>#N/A</v>
      </c>
      <c r="T1360" s="369" t="str">
        <f>VLOOKUP(Tabla4[[#This Row],[Producto]],Tabla6[#All],14,FALSE)</f>
        <v>Termico Solar</v>
      </c>
      <c r="U1360" s="284" t="e">
        <f>(IF(Tabla4[[#This Row],[Familia]]="termico solar",Tabla4[[#This Row],[Utilidad Total]]*6%,Tabla4[[#This Row],[Utilidad Total]]*11.5%))/Tabla4[[#This Row],[Total]]</f>
        <v>#N/A</v>
      </c>
      <c r="V1360" s="282" t="e">
        <f>+Tabla4[[#This Row],[Comisión Calculada]]*Tabla4[[#This Row],[Total]]</f>
        <v>#N/A</v>
      </c>
    </row>
    <row r="1361" spans="1:22" hidden="1" x14ac:dyDescent="0.25">
      <c r="A1361" s="100">
        <v>45731</v>
      </c>
      <c r="B1361" t="str">
        <f t="shared" si="60"/>
        <v>March</v>
      </c>
      <c r="C1361" s="46" t="s">
        <v>280</v>
      </c>
      <c r="F1361" s="366" t="s">
        <v>1250</v>
      </c>
      <c r="G1361" s="46" t="s">
        <v>209</v>
      </c>
      <c r="H1361" s="46">
        <v>10</v>
      </c>
      <c r="I1361" s="51">
        <v>347.48</v>
      </c>
      <c r="J1361" s="281">
        <f>++Tabla4[[#This Row],[Precio Bruto]]*1.16</f>
        <v>403.07679999999999</v>
      </c>
      <c r="K1361" s="281">
        <f>+Tabla4[[#This Row],[Precio Unitario Neto]]*Tabla4[[#Headers],[20.85%]]</f>
        <v>84.041512799999992</v>
      </c>
      <c r="L1361" s="282">
        <f>++Tabla4[[#This Row],[Precio Unitario Neto]]-Tabla4[[#This Row],[20.85%]]</f>
        <v>319.03528719999997</v>
      </c>
      <c r="M1361" s="282" t="e">
        <f>(INDEX(Tabla6[#All],MATCH(Tabla4[[#This Row],[Producto]],Tabla6[[#All],[PRODUCTO]],0),MATCH(Tabla4[[#This Row],[Mes]],Tabla6[#Headers],0)))*(1+Catalogos!$L$2)</f>
        <v>#N/A</v>
      </c>
      <c r="N1361" s="283" t="e">
        <f>+(Tabla4[[#This Row],[Precio Descontado]]-Tabla4[[#This Row],[Precio Base]])*Tabla4[[#This Row],[Cantidad]]</f>
        <v>#N/A</v>
      </c>
      <c r="O1361" s="284" t="e">
        <f>++Tabla4[[#This Row],[Utilidad Total]]/Tabla4[[#This Row],[Total]]</f>
        <v>#N/A</v>
      </c>
      <c r="P1361" s="282">
        <f>++Tabla4[[#This Row],[Precio Descontado]]*Tabla4[[#This Row],[Cantidad]]</f>
        <v>3190.3528719999995</v>
      </c>
      <c r="Q1361" s="282" t="e">
        <f>(INDEX(Tabla6[#All],MATCH(Tabla4[[#This Row],[Producto]],Tabla6[[#All],[PRODUCTO]],0),MATCH(Tabla4[[#This Row],[Mes]],Tabla6[#Headers],0)))</f>
        <v>#N/A</v>
      </c>
      <c r="R1361" s="282" t="e">
        <f>++Tabla4[[#This Row],[Precio Unitario Neto]]-Tabla4[[#This Row],[20.85%]]-Tabla4[[#This Row],[Costo]]</f>
        <v>#N/A</v>
      </c>
      <c r="S1361" s="282" t="e">
        <f>++Tabla4[[#This Row],[U. Bruta Uni]]*Tabla4[[#This Row],[Cantidad]]</f>
        <v>#N/A</v>
      </c>
      <c r="T1361" s="369" t="str">
        <f>VLOOKUP(Tabla4[[#This Row],[Producto]],Tabla6[#All],14,FALSE)</f>
        <v>Termico Solar</v>
      </c>
      <c r="U1361" s="284" t="e">
        <f>(IF(Tabla4[[#This Row],[Familia]]="termico solar",Tabla4[[#This Row],[Utilidad Total]]*6%,Tabla4[[#This Row],[Utilidad Total]]*11.5%))/Tabla4[[#This Row],[Total]]</f>
        <v>#N/A</v>
      </c>
      <c r="V1361" s="282" t="e">
        <f>+Tabla4[[#This Row],[Comisión Calculada]]*Tabla4[[#This Row],[Total]]</f>
        <v>#N/A</v>
      </c>
    </row>
    <row r="1362" spans="1:22" hidden="1" x14ac:dyDescent="0.25">
      <c r="A1362" s="100">
        <v>45747</v>
      </c>
      <c r="B1362" t="str">
        <f>TEXT(A1362, "mmmm")</f>
        <v>March</v>
      </c>
      <c r="C1362" s="46" t="s">
        <v>280</v>
      </c>
      <c r="F1362" s="366" t="s">
        <v>1251</v>
      </c>
      <c r="G1362" s="46" t="s">
        <v>83</v>
      </c>
      <c r="H1362" s="46">
        <v>2</v>
      </c>
      <c r="I1362" s="51">
        <v>8858.76</v>
      </c>
      <c r="J1362" s="281">
        <f>++Tabla4[[#This Row],[Precio Bruto]]*1.16</f>
        <v>10276.161599999999</v>
      </c>
      <c r="K1362" s="281">
        <f>+Tabla4[[#This Row],[Precio Unitario Neto]]*Tabla4[[#Headers],[20.85%]]</f>
        <v>2142.5796935999997</v>
      </c>
      <c r="L1362" s="282">
        <f>++Tabla4[[#This Row],[Precio Unitario Neto]]-Tabla4[[#This Row],[20.85%]]</f>
        <v>8133.5819063999998</v>
      </c>
      <c r="M1362" s="282" t="e">
        <f>(INDEX(Tabla6[#All],MATCH(Tabla4[[#This Row],[Producto]],Tabla6[[#All],[PRODUCTO]],0),MATCH(Tabla4[[#This Row],[Mes]],Tabla6[#Headers],0)))*(1+Catalogos!$L$2)</f>
        <v>#N/A</v>
      </c>
      <c r="N1362" s="283" t="e">
        <f>+(Tabla4[[#This Row],[Precio Descontado]]-Tabla4[[#This Row],[Precio Base]])*Tabla4[[#This Row],[Cantidad]]</f>
        <v>#N/A</v>
      </c>
      <c r="O1362" s="284" t="e">
        <f>++Tabla4[[#This Row],[Utilidad Total]]/Tabla4[[#This Row],[Total]]</f>
        <v>#N/A</v>
      </c>
      <c r="P1362" s="282">
        <f>++Tabla4[[#This Row],[Precio Descontado]]*Tabla4[[#This Row],[Cantidad]]</f>
        <v>16267.1638128</v>
      </c>
      <c r="Q1362" s="282" t="e">
        <f>(INDEX(Tabla6[#All],MATCH(Tabla4[[#This Row],[Producto]],Tabla6[[#All],[PRODUCTO]],0),MATCH(Tabla4[[#This Row],[Mes]],Tabla6[#Headers],0)))</f>
        <v>#N/A</v>
      </c>
      <c r="R1362" s="282" t="e">
        <f>++Tabla4[[#This Row],[Precio Unitario Neto]]-Tabla4[[#This Row],[20.85%]]-Tabla4[[#This Row],[Costo]]</f>
        <v>#N/A</v>
      </c>
      <c r="S1362" s="282" t="e">
        <f>++Tabla4[[#This Row],[U. Bruta Uni]]*Tabla4[[#This Row],[Cantidad]]</f>
        <v>#N/A</v>
      </c>
      <c r="T1362" s="369" t="str">
        <f>VLOOKUP(Tabla4[[#This Row],[Producto]],Tabla6[#All],14,FALSE)</f>
        <v>Termico Solar</v>
      </c>
      <c r="U1362" s="284" t="e">
        <f>(IF(Tabla4[[#This Row],[Familia]]="termico solar",Tabla4[[#This Row],[Utilidad Total]]*6%,Tabla4[[#This Row],[Utilidad Total]]*11.5%))/Tabla4[[#This Row],[Total]]</f>
        <v>#N/A</v>
      </c>
      <c r="V1362" s="282" t="e">
        <f>+Tabla4[[#This Row],[Comisión Calculada]]*Tabla4[[#This Row],[Total]]</f>
        <v>#N/A</v>
      </c>
    </row>
    <row r="1363" spans="1:22" hidden="1" x14ac:dyDescent="0.25">
      <c r="A1363" s="100">
        <v>45747</v>
      </c>
      <c r="B1363" t="str">
        <f>TEXT(A1363, "mmmm")</f>
        <v>March</v>
      </c>
      <c r="C1363" s="46" t="s">
        <v>280</v>
      </c>
      <c r="F1363" s="366" t="s">
        <v>1251</v>
      </c>
      <c r="G1363" s="46" t="s">
        <v>17</v>
      </c>
      <c r="H1363" s="46">
        <v>6</v>
      </c>
      <c r="I1363" s="51">
        <v>4622.28</v>
      </c>
      <c r="J1363" s="281">
        <f>++Tabla4[[#This Row],[Precio Bruto]]*1.16</f>
        <v>5361.8447999999989</v>
      </c>
      <c r="K1363" s="281">
        <f>+Tabla4[[#This Row],[Precio Unitario Neto]]*Tabla4[[#Headers],[20.85%]]</f>
        <v>1117.9446407999997</v>
      </c>
      <c r="L1363" s="282">
        <f>++Tabla4[[#This Row],[Precio Unitario Neto]]-Tabla4[[#This Row],[20.85%]]</f>
        <v>4243.9001591999995</v>
      </c>
      <c r="M1363" s="282" t="e">
        <f>(INDEX(Tabla6[#All],MATCH(Tabla4[[#This Row],[Producto]],Tabla6[[#All],[PRODUCTO]],0),MATCH(Tabla4[[#This Row],[Mes]],Tabla6[#Headers],0)))*(1+Catalogos!$L$2)</f>
        <v>#N/A</v>
      </c>
      <c r="N1363" s="283" t="e">
        <f>+(Tabla4[[#This Row],[Precio Descontado]]-Tabla4[[#This Row],[Precio Base]])*Tabla4[[#This Row],[Cantidad]]</f>
        <v>#N/A</v>
      </c>
      <c r="O1363" s="284" t="e">
        <f>++Tabla4[[#This Row],[Utilidad Total]]/Tabla4[[#This Row],[Total]]</f>
        <v>#N/A</v>
      </c>
      <c r="P1363" s="282">
        <f>++Tabla4[[#This Row],[Precio Descontado]]*Tabla4[[#This Row],[Cantidad]]</f>
        <v>25463.400955199999</v>
      </c>
      <c r="Q1363" s="282" t="e">
        <f>(INDEX(Tabla6[#All],MATCH(Tabla4[[#This Row],[Producto]],Tabla6[[#All],[PRODUCTO]],0),MATCH(Tabla4[[#This Row],[Mes]],Tabla6[#Headers],0)))</f>
        <v>#N/A</v>
      </c>
      <c r="R1363" s="282" t="e">
        <f>++Tabla4[[#This Row],[Precio Unitario Neto]]-Tabla4[[#This Row],[20.85%]]-Tabla4[[#This Row],[Costo]]</f>
        <v>#N/A</v>
      </c>
      <c r="S1363" s="282" t="e">
        <f>++Tabla4[[#This Row],[U. Bruta Uni]]*Tabla4[[#This Row],[Cantidad]]</f>
        <v>#N/A</v>
      </c>
      <c r="T1363" s="369" t="str">
        <f>VLOOKUP(Tabla4[[#This Row],[Producto]],Tabla6[#All],14,FALSE)</f>
        <v>Termico Solar</v>
      </c>
      <c r="U1363" s="284" t="e">
        <f>(IF(Tabla4[[#This Row],[Familia]]="termico solar",Tabla4[[#This Row],[Utilidad Total]]*6%,Tabla4[[#This Row],[Utilidad Total]]*11.5%))/Tabla4[[#This Row],[Total]]</f>
        <v>#N/A</v>
      </c>
      <c r="V1363" s="282" t="e">
        <f>+Tabla4[[#This Row],[Comisión Calculada]]*Tabla4[[#This Row],[Total]]</f>
        <v>#N/A</v>
      </c>
    </row>
    <row r="1364" spans="1:22" hidden="1" x14ac:dyDescent="0.25">
      <c r="A1364" s="100">
        <v>45747</v>
      </c>
      <c r="B1364" t="str">
        <f>TEXT(A1364, "mmmm")</f>
        <v>March</v>
      </c>
      <c r="C1364" s="46" t="s">
        <v>280</v>
      </c>
      <c r="F1364" s="366" t="s">
        <v>1251</v>
      </c>
      <c r="G1364" s="46" t="s">
        <v>18</v>
      </c>
      <c r="H1364" s="46">
        <v>3</v>
      </c>
      <c r="I1364" s="51">
        <v>5367.6500000000005</v>
      </c>
      <c r="J1364" s="281">
        <f>++Tabla4[[#This Row],[Precio Bruto]]*1.16</f>
        <v>6226.4740000000002</v>
      </c>
      <c r="K1364" s="281">
        <f>+Tabla4[[#This Row],[Precio Unitario Neto]]*Tabla4[[#Headers],[20.85%]]</f>
        <v>1298.2198289999999</v>
      </c>
      <c r="L1364" s="282">
        <f>++Tabla4[[#This Row],[Precio Unitario Neto]]-Tabla4[[#This Row],[20.85%]]</f>
        <v>4928.2541710000005</v>
      </c>
      <c r="M1364" s="282" t="e">
        <f>(INDEX(Tabla6[#All],MATCH(Tabla4[[#This Row],[Producto]],Tabla6[[#All],[PRODUCTO]],0),MATCH(Tabla4[[#This Row],[Mes]],Tabla6[#Headers],0)))*(1+Catalogos!$L$2)</f>
        <v>#N/A</v>
      </c>
      <c r="N1364" s="283" t="e">
        <f>+(Tabla4[[#This Row],[Precio Descontado]]-Tabla4[[#This Row],[Precio Base]])*Tabla4[[#This Row],[Cantidad]]</f>
        <v>#N/A</v>
      </c>
      <c r="O1364" s="284" t="e">
        <f>++Tabla4[[#This Row],[Utilidad Total]]/Tabla4[[#This Row],[Total]]</f>
        <v>#N/A</v>
      </c>
      <c r="P1364" s="282">
        <f>++Tabla4[[#This Row],[Precio Descontado]]*Tabla4[[#This Row],[Cantidad]]</f>
        <v>14784.762513000001</v>
      </c>
      <c r="Q1364" s="282" t="e">
        <f>(INDEX(Tabla6[#All],MATCH(Tabla4[[#This Row],[Producto]],Tabla6[[#All],[PRODUCTO]],0),MATCH(Tabla4[[#This Row],[Mes]],Tabla6[#Headers],0)))</f>
        <v>#N/A</v>
      </c>
      <c r="R1364" s="282" t="e">
        <f>++Tabla4[[#This Row],[Precio Unitario Neto]]-Tabla4[[#This Row],[20.85%]]-Tabla4[[#This Row],[Costo]]</f>
        <v>#N/A</v>
      </c>
      <c r="S1364" s="282" t="e">
        <f>++Tabla4[[#This Row],[U. Bruta Uni]]*Tabla4[[#This Row],[Cantidad]]</f>
        <v>#N/A</v>
      </c>
      <c r="T1364" s="369" t="str">
        <f>VLOOKUP(Tabla4[[#This Row],[Producto]],Tabla6[#All],14,FALSE)</f>
        <v>Termico Solar</v>
      </c>
      <c r="U1364" s="284" t="e">
        <f>(IF(Tabla4[[#This Row],[Familia]]="termico solar",Tabla4[[#This Row],[Utilidad Total]]*6%,Tabla4[[#This Row],[Utilidad Total]]*11.5%))/Tabla4[[#This Row],[Total]]</f>
        <v>#N/A</v>
      </c>
      <c r="V1364" s="282" t="e">
        <f>+Tabla4[[#This Row],[Comisión Calculada]]*Tabla4[[#This Row],[Total]]</f>
        <v>#N/A</v>
      </c>
    </row>
    <row r="1365" spans="1:22" hidden="1" x14ac:dyDescent="0.25">
      <c r="A1365" s="100">
        <v>45747</v>
      </c>
      <c r="B1365" t="str">
        <f>TEXT(A1365, "mmmm")</f>
        <v>March</v>
      </c>
      <c r="C1365" s="46" t="s">
        <v>280</v>
      </c>
      <c r="F1365" s="366" t="s">
        <v>1251</v>
      </c>
      <c r="G1365" s="46" t="s">
        <v>566</v>
      </c>
      <c r="H1365" s="46">
        <v>1</v>
      </c>
      <c r="I1365" s="51">
        <v>2109.4499999999998</v>
      </c>
      <c r="J1365" s="281">
        <f>++Tabla4[[#This Row],[Precio Bruto]]*1.16</f>
        <v>2446.9619999999995</v>
      </c>
      <c r="K1365" s="281">
        <f>+Tabla4[[#This Row],[Precio Unitario Neto]]*Tabla4[[#Headers],[20.85%]]</f>
        <v>510.19157699999988</v>
      </c>
      <c r="L1365" s="282">
        <f>++Tabla4[[#This Row],[Precio Unitario Neto]]-Tabla4[[#This Row],[20.85%]]</f>
        <v>1936.7704229999997</v>
      </c>
      <c r="M1365" s="282" t="e">
        <f>(INDEX(Tabla6[#All],MATCH(Tabla4[[#This Row],[Producto]],Tabla6[[#All],[PRODUCTO]],0),MATCH(Tabla4[[#This Row],[Mes]],Tabla6[#Headers],0)))*(1+Catalogos!$L$2)</f>
        <v>#N/A</v>
      </c>
      <c r="N1365" s="283" t="e">
        <f>+(Tabla4[[#This Row],[Precio Descontado]]-Tabla4[[#This Row],[Precio Base]])*Tabla4[[#This Row],[Cantidad]]</f>
        <v>#N/A</v>
      </c>
      <c r="O1365" s="284" t="e">
        <f>++Tabla4[[#This Row],[Utilidad Total]]/Tabla4[[#This Row],[Total]]</f>
        <v>#N/A</v>
      </c>
      <c r="P1365" s="282">
        <f>++Tabla4[[#This Row],[Precio Descontado]]*Tabla4[[#This Row],[Cantidad]]</f>
        <v>1936.7704229999997</v>
      </c>
      <c r="Q1365" s="282" t="e">
        <f>(INDEX(Tabla6[#All],MATCH(Tabla4[[#This Row],[Producto]],Tabla6[[#All],[PRODUCTO]],0),MATCH(Tabla4[[#This Row],[Mes]],Tabla6[#Headers],0)))</f>
        <v>#N/A</v>
      </c>
      <c r="R1365" s="282" t="e">
        <f>++Tabla4[[#This Row],[Precio Unitario Neto]]-Tabla4[[#This Row],[20.85%]]-Tabla4[[#This Row],[Costo]]</f>
        <v>#N/A</v>
      </c>
      <c r="S1365" s="282" t="e">
        <f>++Tabla4[[#This Row],[U. Bruta Uni]]*Tabla4[[#This Row],[Cantidad]]</f>
        <v>#N/A</v>
      </c>
      <c r="T1365" s="369" t="str">
        <f>VLOOKUP(Tabla4[[#This Row],[Producto]],Tabla6[#All],14,FALSE)</f>
        <v>Termico Solar</v>
      </c>
      <c r="U1365" s="284" t="e">
        <f>(IF(Tabla4[[#This Row],[Familia]]="termico solar",Tabla4[[#This Row],[Utilidad Total]]*6%,Tabla4[[#This Row],[Utilidad Total]]*11.5%))/Tabla4[[#This Row],[Total]]</f>
        <v>#N/A</v>
      </c>
      <c r="V1365" s="282" t="e">
        <f>+Tabla4[[#This Row],[Comisión Calculada]]*Tabla4[[#This Row],[Total]]</f>
        <v>#N/A</v>
      </c>
    </row>
    <row r="1366" spans="1:22" hidden="1" x14ac:dyDescent="0.25">
      <c r="A1366" s="100">
        <v>45747</v>
      </c>
      <c r="B1366" t="str">
        <f>TEXT(A1366, "mmmm")</f>
        <v>March</v>
      </c>
      <c r="C1366" s="46" t="s">
        <v>280</v>
      </c>
      <c r="F1366" s="366" t="s">
        <v>1251</v>
      </c>
      <c r="G1366" s="46" t="s">
        <v>16</v>
      </c>
      <c r="H1366" s="46">
        <v>4</v>
      </c>
      <c r="I1366" s="51">
        <v>4103.8500000000004</v>
      </c>
      <c r="J1366" s="281">
        <f>++Tabla4[[#This Row],[Precio Bruto]]*1.16</f>
        <v>4760.4660000000003</v>
      </c>
      <c r="K1366" s="281">
        <f>+Tabla4[[#This Row],[Precio Unitario Neto]]*Tabla4[[#Headers],[20.85%]]</f>
        <v>992.55716100000006</v>
      </c>
      <c r="L1366" s="282">
        <f>++Tabla4[[#This Row],[Precio Unitario Neto]]-Tabla4[[#This Row],[20.85%]]</f>
        <v>3767.9088390000002</v>
      </c>
      <c r="M1366" s="282" t="e">
        <f>(INDEX(Tabla6[#All],MATCH(Tabla4[[#This Row],[Producto]],Tabla6[[#All],[PRODUCTO]],0),MATCH(Tabla4[[#This Row],[Mes]],Tabla6[#Headers],0)))*(1+Catalogos!$L$2)</f>
        <v>#N/A</v>
      </c>
      <c r="N1366" s="283" t="e">
        <f>+(Tabla4[[#This Row],[Precio Descontado]]-Tabla4[[#This Row],[Precio Base]])*Tabla4[[#This Row],[Cantidad]]</f>
        <v>#N/A</v>
      </c>
      <c r="O1366" s="284" t="e">
        <f>++Tabla4[[#This Row],[Utilidad Total]]/Tabla4[[#This Row],[Total]]</f>
        <v>#N/A</v>
      </c>
      <c r="P1366" s="282">
        <f>++Tabla4[[#This Row],[Precio Descontado]]*Tabla4[[#This Row],[Cantidad]]</f>
        <v>15071.635356000001</v>
      </c>
      <c r="Q1366" s="282" t="e">
        <f>(INDEX(Tabla6[#All],MATCH(Tabla4[[#This Row],[Producto]],Tabla6[[#All],[PRODUCTO]],0),MATCH(Tabla4[[#This Row],[Mes]],Tabla6[#Headers],0)))</f>
        <v>#N/A</v>
      </c>
      <c r="R1366" s="282" t="e">
        <f>++Tabla4[[#This Row],[Precio Unitario Neto]]-Tabla4[[#This Row],[20.85%]]-Tabla4[[#This Row],[Costo]]</f>
        <v>#N/A</v>
      </c>
      <c r="S1366" s="282" t="e">
        <f>++Tabla4[[#This Row],[U. Bruta Uni]]*Tabla4[[#This Row],[Cantidad]]</f>
        <v>#N/A</v>
      </c>
      <c r="T1366" s="369" t="str">
        <f>VLOOKUP(Tabla4[[#This Row],[Producto]],Tabla6[#All],14,FALSE)</f>
        <v>Termico Solar</v>
      </c>
      <c r="U1366" s="284" t="e">
        <f>(IF(Tabla4[[#This Row],[Familia]]="termico solar",Tabla4[[#This Row],[Utilidad Total]]*6%,Tabla4[[#This Row],[Utilidad Total]]*11.5%))/Tabla4[[#This Row],[Total]]</f>
        <v>#N/A</v>
      </c>
      <c r="V1366" s="282" t="e">
        <f>+Tabla4[[#This Row],[Comisión Calculada]]*Tabla4[[#This Row],[Total]]</f>
        <v>#N/A</v>
      </c>
    </row>
    <row r="1367" spans="1:22" hidden="1" x14ac:dyDescent="0.25">
      <c r="A1367" s="100">
        <v>45747</v>
      </c>
      <c r="B1367" t="str">
        <f t="shared" ref="B1367:B1372" si="61">TEXT(A1367, "mmmm")</f>
        <v>March</v>
      </c>
      <c r="C1367" s="46" t="s">
        <v>280</v>
      </c>
      <c r="F1367" s="366" t="s">
        <v>1252</v>
      </c>
      <c r="G1367" s="46" t="s">
        <v>83</v>
      </c>
      <c r="H1367" s="46">
        <v>1</v>
      </c>
      <c r="I1367" s="51">
        <v>8858.76</v>
      </c>
      <c r="J1367" s="281">
        <f>++Tabla4[[#This Row],[Precio Bruto]]*1.16</f>
        <v>10276.161599999999</v>
      </c>
      <c r="K1367" s="281">
        <f>+Tabla4[[#This Row],[Precio Unitario Neto]]*Tabla4[[#Headers],[20.85%]]</f>
        <v>2142.5796935999997</v>
      </c>
      <c r="L1367" s="282">
        <f>++Tabla4[[#This Row],[Precio Unitario Neto]]-Tabla4[[#This Row],[20.85%]]</f>
        <v>8133.5819063999998</v>
      </c>
      <c r="M1367" s="282" t="e">
        <f>(INDEX(Tabla6[#All],MATCH(Tabla4[[#This Row],[Producto]],Tabla6[[#All],[PRODUCTO]],0),MATCH(Tabla4[[#This Row],[Mes]],Tabla6[#Headers],0)))*(1+Catalogos!$L$2)</f>
        <v>#N/A</v>
      </c>
      <c r="N1367" s="283" t="e">
        <f>+(Tabla4[[#This Row],[Precio Descontado]]-Tabla4[[#This Row],[Precio Base]])*Tabla4[[#This Row],[Cantidad]]</f>
        <v>#N/A</v>
      </c>
      <c r="O1367" s="284" t="e">
        <f>++Tabla4[[#This Row],[Utilidad Total]]/Tabla4[[#This Row],[Total]]</f>
        <v>#N/A</v>
      </c>
      <c r="P1367" s="282">
        <f>++Tabla4[[#This Row],[Precio Descontado]]*Tabla4[[#This Row],[Cantidad]]</f>
        <v>8133.5819063999998</v>
      </c>
      <c r="Q1367" s="282" t="e">
        <f>(INDEX(Tabla6[#All],MATCH(Tabla4[[#This Row],[Producto]],Tabla6[[#All],[PRODUCTO]],0),MATCH(Tabla4[[#This Row],[Mes]],Tabla6[#Headers],0)))</f>
        <v>#N/A</v>
      </c>
      <c r="R1367" s="282" t="e">
        <f>++Tabla4[[#This Row],[Precio Unitario Neto]]-Tabla4[[#This Row],[20.85%]]-Tabla4[[#This Row],[Costo]]</f>
        <v>#N/A</v>
      </c>
      <c r="S1367" s="282" t="e">
        <f>++Tabla4[[#This Row],[U. Bruta Uni]]*Tabla4[[#This Row],[Cantidad]]</f>
        <v>#N/A</v>
      </c>
      <c r="T1367" s="369" t="str">
        <f>VLOOKUP(Tabla4[[#This Row],[Producto]],Tabla6[#All],14,FALSE)</f>
        <v>Termico Solar</v>
      </c>
      <c r="U1367" s="284" t="e">
        <f>(IF(Tabla4[[#This Row],[Familia]]="termico solar",Tabla4[[#This Row],[Utilidad Total]]*6%,Tabla4[[#This Row],[Utilidad Total]]*11.5%))/Tabla4[[#This Row],[Total]]</f>
        <v>#N/A</v>
      </c>
      <c r="V1367" s="282" t="e">
        <f>+Tabla4[[#This Row],[Comisión Calculada]]*Tabla4[[#This Row],[Total]]</f>
        <v>#N/A</v>
      </c>
    </row>
    <row r="1368" spans="1:22" hidden="1" x14ac:dyDescent="0.25">
      <c r="A1368" s="100">
        <v>45747</v>
      </c>
      <c r="B1368" t="str">
        <f t="shared" si="61"/>
        <v>March</v>
      </c>
      <c r="C1368" s="46" t="s">
        <v>280</v>
      </c>
      <c r="F1368" s="366" t="s">
        <v>1252</v>
      </c>
      <c r="G1368" s="46" t="s">
        <v>17</v>
      </c>
      <c r="H1368" s="46">
        <v>5</v>
      </c>
      <c r="I1368" s="51">
        <v>4622.2800000000007</v>
      </c>
      <c r="J1368" s="281">
        <f>++Tabla4[[#This Row],[Precio Bruto]]*1.16</f>
        <v>5361.8448000000008</v>
      </c>
      <c r="K1368" s="281">
        <f>+Tabla4[[#This Row],[Precio Unitario Neto]]*Tabla4[[#Headers],[20.85%]]</f>
        <v>1117.9446408000001</v>
      </c>
      <c r="L1368" s="282">
        <f>++Tabla4[[#This Row],[Precio Unitario Neto]]-Tabla4[[#This Row],[20.85%]]</f>
        <v>4243.9001592000004</v>
      </c>
      <c r="M1368" s="282" t="e">
        <f>(INDEX(Tabla6[#All],MATCH(Tabla4[[#This Row],[Producto]],Tabla6[[#All],[PRODUCTO]],0),MATCH(Tabla4[[#This Row],[Mes]],Tabla6[#Headers],0)))*(1+Catalogos!$L$2)</f>
        <v>#N/A</v>
      </c>
      <c r="N1368" s="283" t="e">
        <f>+(Tabla4[[#This Row],[Precio Descontado]]-Tabla4[[#This Row],[Precio Base]])*Tabla4[[#This Row],[Cantidad]]</f>
        <v>#N/A</v>
      </c>
      <c r="O1368" s="284" t="e">
        <f>++Tabla4[[#This Row],[Utilidad Total]]/Tabla4[[#This Row],[Total]]</f>
        <v>#N/A</v>
      </c>
      <c r="P1368" s="282">
        <f>++Tabla4[[#This Row],[Precio Descontado]]*Tabla4[[#This Row],[Cantidad]]</f>
        <v>21219.500796</v>
      </c>
      <c r="Q1368" s="282" t="e">
        <f>(INDEX(Tabla6[#All],MATCH(Tabla4[[#This Row],[Producto]],Tabla6[[#All],[PRODUCTO]],0),MATCH(Tabla4[[#This Row],[Mes]],Tabla6[#Headers],0)))</f>
        <v>#N/A</v>
      </c>
      <c r="R1368" s="282" t="e">
        <f>++Tabla4[[#This Row],[Precio Unitario Neto]]-Tabla4[[#This Row],[20.85%]]-Tabla4[[#This Row],[Costo]]</f>
        <v>#N/A</v>
      </c>
      <c r="S1368" s="282" t="e">
        <f>++Tabla4[[#This Row],[U. Bruta Uni]]*Tabla4[[#This Row],[Cantidad]]</f>
        <v>#N/A</v>
      </c>
      <c r="T1368" s="369" t="str">
        <f>VLOOKUP(Tabla4[[#This Row],[Producto]],Tabla6[#All],14,FALSE)</f>
        <v>Termico Solar</v>
      </c>
      <c r="U1368" s="284" t="e">
        <f>(IF(Tabla4[[#This Row],[Familia]]="termico solar",Tabla4[[#This Row],[Utilidad Total]]*6%,Tabla4[[#This Row],[Utilidad Total]]*11.5%))/Tabla4[[#This Row],[Total]]</f>
        <v>#N/A</v>
      </c>
      <c r="V1368" s="282" t="e">
        <f>+Tabla4[[#This Row],[Comisión Calculada]]*Tabla4[[#This Row],[Total]]</f>
        <v>#N/A</v>
      </c>
    </row>
    <row r="1369" spans="1:22" hidden="1" x14ac:dyDescent="0.25">
      <c r="A1369" s="100">
        <v>45747</v>
      </c>
      <c r="B1369" t="str">
        <f t="shared" si="61"/>
        <v>March</v>
      </c>
      <c r="C1369" s="46" t="s">
        <v>280</v>
      </c>
      <c r="F1369" s="366" t="s">
        <v>1252</v>
      </c>
      <c r="G1369" s="46" t="s">
        <v>18</v>
      </c>
      <c r="H1369" s="46">
        <v>8</v>
      </c>
      <c r="I1369" s="51">
        <v>5367.65</v>
      </c>
      <c r="J1369" s="281">
        <f>++Tabla4[[#This Row],[Precio Bruto]]*1.16</f>
        <v>6226.4739999999993</v>
      </c>
      <c r="K1369" s="281">
        <f>+Tabla4[[#This Row],[Precio Unitario Neto]]*Tabla4[[#Headers],[20.85%]]</f>
        <v>1298.2198289999999</v>
      </c>
      <c r="L1369" s="282">
        <f>++Tabla4[[#This Row],[Precio Unitario Neto]]-Tabla4[[#This Row],[20.85%]]</f>
        <v>4928.2541709999996</v>
      </c>
      <c r="M1369" s="282" t="e">
        <f>(INDEX(Tabla6[#All],MATCH(Tabla4[[#This Row],[Producto]],Tabla6[[#All],[PRODUCTO]],0),MATCH(Tabla4[[#This Row],[Mes]],Tabla6[#Headers],0)))*(1+Catalogos!$L$2)</f>
        <v>#N/A</v>
      </c>
      <c r="N1369" s="283" t="e">
        <f>+(Tabla4[[#This Row],[Precio Descontado]]-Tabla4[[#This Row],[Precio Base]])*Tabla4[[#This Row],[Cantidad]]</f>
        <v>#N/A</v>
      </c>
      <c r="O1369" s="284" t="e">
        <f>++Tabla4[[#This Row],[Utilidad Total]]/Tabla4[[#This Row],[Total]]</f>
        <v>#N/A</v>
      </c>
      <c r="P1369" s="282">
        <f>++Tabla4[[#This Row],[Precio Descontado]]*Tabla4[[#This Row],[Cantidad]]</f>
        <v>39426.033367999997</v>
      </c>
      <c r="Q1369" s="282" t="e">
        <f>(INDEX(Tabla6[#All],MATCH(Tabla4[[#This Row],[Producto]],Tabla6[[#All],[PRODUCTO]],0),MATCH(Tabla4[[#This Row],[Mes]],Tabla6[#Headers],0)))</f>
        <v>#N/A</v>
      </c>
      <c r="R1369" s="282" t="e">
        <f>++Tabla4[[#This Row],[Precio Unitario Neto]]-Tabla4[[#This Row],[20.85%]]-Tabla4[[#This Row],[Costo]]</f>
        <v>#N/A</v>
      </c>
      <c r="S1369" s="282" t="e">
        <f>++Tabla4[[#This Row],[U. Bruta Uni]]*Tabla4[[#This Row],[Cantidad]]</f>
        <v>#N/A</v>
      </c>
      <c r="T1369" s="369" t="str">
        <f>VLOOKUP(Tabla4[[#This Row],[Producto]],Tabla6[#All],14,FALSE)</f>
        <v>Termico Solar</v>
      </c>
      <c r="U1369" s="284" t="e">
        <f>(IF(Tabla4[[#This Row],[Familia]]="termico solar",Tabla4[[#This Row],[Utilidad Total]]*6%,Tabla4[[#This Row],[Utilidad Total]]*11.5%))/Tabla4[[#This Row],[Total]]</f>
        <v>#N/A</v>
      </c>
      <c r="V1369" s="282" t="e">
        <f>+Tabla4[[#This Row],[Comisión Calculada]]*Tabla4[[#This Row],[Total]]</f>
        <v>#N/A</v>
      </c>
    </row>
    <row r="1370" spans="1:22" hidden="1" x14ac:dyDescent="0.25">
      <c r="A1370" s="100">
        <v>45747</v>
      </c>
      <c r="B1370" t="str">
        <f t="shared" si="61"/>
        <v>March</v>
      </c>
      <c r="C1370" s="46" t="s">
        <v>280</v>
      </c>
      <c r="F1370" s="366" t="s">
        <v>1252</v>
      </c>
      <c r="G1370" s="46" t="s">
        <v>19</v>
      </c>
      <c r="H1370" s="46">
        <v>1</v>
      </c>
      <c r="I1370" s="51">
        <v>6412.03</v>
      </c>
      <c r="J1370" s="281">
        <f>++Tabla4[[#This Row],[Precio Bruto]]*1.16</f>
        <v>7437.9547999999995</v>
      </c>
      <c r="K1370" s="281">
        <f>+Tabla4[[#This Row],[Precio Unitario Neto]]*Tabla4[[#Headers],[20.85%]]</f>
        <v>1550.8135757999999</v>
      </c>
      <c r="L1370" s="282">
        <f>++Tabla4[[#This Row],[Precio Unitario Neto]]-Tabla4[[#This Row],[20.85%]]</f>
        <v>5887.1412241999997</v>
      </c>
      <c r="M1370" s="282" t="e">
        <f>(INDEX(Tabla6[#All],MATCH(Tabla4[[#This Row],[Producto]],Tabla6[[#All],[PRODUCTO]],0),MATCH(Tabla4[[#This Row],[Mes]],Tabla6[#Headers],0)))*(1+Catalogos!$L$2)</f>
        <v>#N/A</v>
      </c>
      <c r="N1370" s="283" t="e">
        <f>+(Tabla4[[#This Row],[Precio Descontado]]-Tabla4[[#This Row],[Precio Base]])*Tabla4[[#This Row],[Cantidad]]</f>
        <v>#N/A</v>
      </c>
      <c r="O1370" s="284" t="e">
        <f>++Tabla4[[#This Row],[Utilidad Total]]/Tabla4[[#This Row],[Total]]</f>
        <v>#N/A</v>
      </c>
      <c r="P1370" s="282">
        <f>++Tabla4[[#This Row],[Precio Descontado]]*Tabla4[[#This Row],[Cantidad]]</f>
        <v>5887.1412241999997</v>
      </c>
      <c r="Q1370" s="282" t="e">
        <f>(INDEX(Tabla6[#All],MATCH(Tabla4[[#This Row],[Producto]],Tabla6[[#All],[PRODUCTO]],0),MATCH(Tabla4[[#This Row],[Mes]],Tabla6[#Headers],0)))</f>
        <v>#N/A</v>
      </c>
      <c r="R1370" s="282" t="e">
        <f>++Tabla4[[#This Row],[Precio Unitario Neto]]-Tabla4[[#This Row],[20.85%]]-Tabla4[[#This Row],[Costo]]</f>
        <v>#N/A</v>
      </c>
      <c r="S1370" s="282" t="e">
        <f>++Tabla4[[#This Row],[U. Bruta Uni]]*Tabla4[[#This Row],[Cantidad]]</f>
        <v>#N/A</v>
      </c>
      <c r="T1370" s="369" t="str">
        <f>VLOOKUP(Tabla4[[#This Row],[Producto]],Tabla6[#All],14,FALSE)</f>
        <v>Termico Solar</v>
      </c>
      <c r="U1370" s="284" t="e">
        <f>(IF(Tabla4[[#This Row],[Familia]]="termico solar",Tabla4[[#This Row],[Utilidad Total]]*6%,Tabla4[[#This Row],[Utilidad Total]]*11.5%))/Tabla4[[#This Row],[Total]]</f>
        <v>#N/A</v>
      </c>
      <c r="V1370" s="282" t="e">
        <f>+Tabla4[[#This Row],[Comisión Calculada]]*Tabla4[[#This Row],[Total]]</f>
        <v>#N/A</v>
      </c>
    </row>
    <row r="1371" spans="1:22" hidden="1" x14ac:dyDescent="0.25">
      <c r="A1371" s="100">
        <v>45747</v>
      </c>
      <c r="B1371" t="str">
        <f t="shared" si="61"/>
        <v>March</v>
      </c>
      <c r="C1371" s="46" t="s">
        <v>280</v>
      </c>
      <c r="F1371" s="366" t="s">
        <v>1252</v>
      </c>
      <c r="G1371" s="46" t="s">
        <v>566</v>
      </c>
      <c r="H1371" s="46">
        <v>1</v>
      </c>
      <c r="I1371" s="51">
        <v>2109.4499999999998</v>
      </c>
      <c r="J1371" s="281">
        <f>++Tabla4[[#This Row],[Precio Bruto]]*1.16</f>
        <v>2446.9619999999995</v>
      </c>
      <c r="K1371" s="281">
        <f>+Tabla4[[#This Row],[Precio Unitario Neto]]*Tabla4[[#Headers],[20.85%]]</f>
        <v>510.19157699999988</v>
      </c>
      <c r="L1371" s="282">
        <f>++Tabla4[[#This Row],[Precio Unitario Neto]]-Tabla4[[#This Row],[20.85%]]</f>
        <v>1936.7704229999997</v>
      </c>
      <c r="M1371" s="282" t="e">
        <f>(INDEX(Tabla6[#All],MATCH(Tabla4[[#This Row],[Producto]],Tabla6[[#All],[PRODUCTO]],0),MATCH(Tabla4[[#This Row],[Mes]],Tabla6[#Headers],0)))*(1+Catalogos!$L$2)</f>
        <v>#N/A</v>
      </c>
      <c r="N1371" s="283" t="e">
        <f>+(Tabla4[[#This Row],[Precio Descontado]]-Tabla4[[#This Row],[Precio Base]])*Tabla4[[#This Row],[Cantidad]]</f>
        <v>#N/A</v>
      </c>
      <c r="O1371" s="284" t="e">
        <f>++Tabla4[[#This Row],[Utilidad Total]]/Tabla4[[#This Row],[Total]]</f>
        <v>#N/A</v>
      </c>
      <c r="P1371" s="282">
        <f>++Tabla4[[#This Row],[Precio Descontado]]*Tabla4[[#This Row],[Cantidad]]</f>
        <v>1936.7704229999997</v>
      </c>
      <c r="Q1371" s="282" t="e">
        <f>(INDEX(Tabla6[#All],MATCH(Tabla4[[#This Row],[Producto]],Tabla6[[#All],[PRODUCTO]],0),MATCH(Tabla4[[#This Row],[Mes]],Tabla6[#Headers],0)))</f>
        <v>#N/A</v>
      </c>
      <c r="R1371" s="282" t="e">
        <f>++Tabla4[[#This Row],[Precio Unitario Neto]]-Tabla4[[#This Row],[20.85%]]-Tabla4[[#This Row],[Costo]]</f>
        <v>#N/A</v>
      </c>
      <c r="S1371" s="282" t="e">
        <f>++Tabla4[[#This Row],[U. Bruta Uni]]*Tabla4[[#This Row],[Cantidad]]</f>
        <v>#N/A</v>
      </c>
      <c r="T1371" s="369" t="str">
        <f>VLOOKUP(Tabla4[[#This Row],[Producto]],Tabla6[#All],14,FALSE)</f>
        <v>Termico Solar</v>
      </c>
      <c r="U1371" s="284" t="e">
        <f>(IF(Tabla4[[#This Row],[Familia]]="termico solar",Tabla4[[#This Row],[Utilidad Total]]*6%,Tabla4[[#This Row],[Utilidad Total]]*11.5%))/Tabla4[[#This Row],[Total]]</f>
        <v>#N/A</v>
      </c>
      <c r="V1371" s="282" t="e">
        <f>+Tabla4[[#This Row],[Comisión Calculada]]*Tabla4[[#This Row],[Total]]</f>
        <v>#N/A</v>
      </c>
    </row>
    <row r="1372" spans="1:22" hidden="1" x14ac:dyDescent="0.25">
      <c r="A1372" s="100">
        <v>45747</v>
      </c>
      <c r="B1372" t="str">
        <f t="shared" si="61"/>
        <v>March</v>
      </c>
      <c r="C1372" s="46" t="s">
        <v>280</v>
      </c>
      <c r="F1372" s="366" t="s">
        <v>1252</v>
      </c>
      <c r="G1372" s="46" t="s">
        <v>16</v>
      </c>
      <c r="H1372" s="46">
        <v>6</v>
      </c>
      <c r="I1372" s="51">
        <v>4103.8499999999995</v>
      </c>
      <c r="J1372" s="281">
        <f>++Tabla4[[#This Row],[Precio Bruto]]*1.16</f>
        <v>4760.4659999999994</v>
      </c>
      <c r="K1372" s="281">
        <f>+Tabla4[[#This Row],[Precio Unitario Neto]]*Tabla4[[#Headers],[20.85%]]</f>
        <v>992.55716099999984</v>
      </c>
      <c r="L1372" s="282">
        <f>++Tabla4[[#This Row],[Precio Unitario Neto]]-Tabla4[[#This Row],[20.85%]]</f>
        <v>3767.9088389999997</v>
      </c>
      <c r="M1372" s="282" t="e">
        <f>(INDEX(Tabla6[#All],MATCH(Tabla4[[#This Row],[Producto]],Tabla6[[#All],[PRODUCTO]],0),MATCH(Tabla4[[#This Row],[Mes]],Tabla6[#Headers],0)))*(1+Catalogos!$L$2)</f>
        <v>#N/A</v>
      </c>
      <c r="N1372" s="283" t="e">
        <f>+(Tabla4[[#This Row],[Precio Descontado]]-Tabla4[[#This Row],[Precio Base]])*Tabla4[[#This Row],[Cantidad]]</f>
        <v>#N/A</v>
      </c>
      <c r="O1372" s="284" t="e">
        <f>++Tabla4[[#This Row],[Utilidad Total]]/Tabla4[[#This Row],[Total]]</f>
        <v>#N/A</v>
      </c>
      <c r="P1372" s="282">
        <f>++Tabla4[[#This Row],[Precio Descontado]]*Tabla4[[#This Row],[Cantidad]]</f>
        <v>22607.453033999998</v>
      </c>
      <c r="Q1372" s="282" t="e">
        <f>(INDEX(Tabla6[#All],MATCH(Tabla4[[#This Row],[Producto]],Tabla6[[#All],[PRODUCTO]],0),MATCH(Tabla4[[#This Row],[Mes]],Tabla6[#Headers],0)))</f>
        <v>#N/A</v>
      </c>
      <c r="R1372" s="282" t="e">
        <f>++Tabla4[[#This Row],[Precio Unitario Neto]]-Tabla4[[#This Row],[20.85%]]-Tabla4[[#This Row],[Costo]]</f>
        <v>#N/A</v>
      </c>
      <c r="S1372" s="282" t="e">
        <f>++Tabla4[[#This Row],[U. Bruta Uni]]*Tabla4[[#This Row],[Cantidad]]</f>
        <v>#N/A</v>
      </c>
      <c r="T1372" s="369" t="str">
        <f>VLOOKUP(Tabla4[[#This Row],[Producto]],Tabla6[#All],14,FALSE)</f>
        <v>Termico Solar</v>
      </c>
      <c r="U1372" s="284" t="e">
        <f>(IF(Tabla4[[#This Row],[Familia]]="termico solar",Tabla4[[#This Row],[Utilidad Total]]*6%,Tabla4[[#This Row],[Utilidad Total]]*11.5%))/Tabla4[[#This Row],[Total]]</f>
        <v>#N/A</v>
      </c>
      <c r="V1372" s="282" t="e">
        <f>+Tabla4[[#This Row],[Comisión Calculada]]*Tabla4[[#This Row],[Total]]</f>
        <v>#N/A</v>
      </c>
    </row>
    <row r="1373" spans="1:22" hidden="1" x14ac:dyDescent="0.25">
      <c r="A1373" s="100">
        <v>45747</v>
      </c>
      <c r="B1373" t="str">
        <f>TEXT(A1373, "mmmm")</f>
        <v>March</v>
      </c>
      <c r="C1373" s="46" t="s">
        <v>280</v>
      </c>
      <c r="F1373" s="366" t="s">
        <v>1253</v>
      </c>
      <c r="G1373" s="46" t="s">
        <v>83</v>
      </c>
      <c r="H1373" s="46">
        <v>1</v>
      </c>
      <c r="I1373" s="51">
        <v>8858.76</v>
      </c>
      <c r="J1373" s="281">
        <f>++Tabla4[[#This Row],[Precio Bruto]]*1.16</f>
        <v>10276.161599999999</v>
      </c>
      <c r="K1373" s="281">
        <f>+Tabla4[[#This Row],[Precio Unitario Neto]]*Tabla4[[#Headers],[20.85%]]</f>
        <v>2142.5796935999997</v>
      </c>
      <c r="L1373" s="282">
        <f>++Tabla4[[#This Row],[Precio Unitario Neto]]-Tabla4[[#This Row],[20.85%]]</f>
        <v>8133.5819063999998</v>
      </c>
      <c r="M1373" s="282" t="e">
        <f>(INDEX(Tabla6[#All],MATCH(Tabla4[[#This Row],[Producto]],Tabla6[[#All],[PRODUCTO]],0),MATCH(Tabla4[[#This Row],[Mes]],Tabla6[#Headers],0)))*(1+Catalogos!$L$2)</f>
        <v>#N/A</v>
      </c>
      <c r="N1373" s="283" t="e">
        <f>+(Tabla4[[#This Row],[Precio Descontado]]-Tabla4[[#This Row],[Precio Base]])*Tabla4[[#This Row],[Cantidad]]</f>
        <v>#N/A</v>
      </c>
      <c r="O1373" s="284" t="e">
        <f>++Tabla4[[#This Row],[Utilidad Total]]/Tabla4[[#This Row],[Total]]</f>
        <v>#N/A</v>
      </c>
      <c r="P1373" s="282">
        <f>++Tabla4[[#This Row],[Precio Descontado]]*Tabla4[[#This Row],[Cantidad]]</f>
        <v>8133.5819063999998</v>
      </c>
      <c r="Q1373" s="282" t="e">
        <f>(INDEX(Tabla6[#All],MATCH(Tabla4[[#This Row],[Producto]],Tabla6[[#All],[PRODUCTO]],0),MATCH(Tabla4[[#This Row],[Mes]],Tabla6[#Headers],0)))</f>
        <v>#N/A</v>
      </c>
      <c r="R1373" s="282" t="e">
        <f>++Tabla4[[#This Row],[Precio Unitario Neto]]-Tabla4[[#This Row],[20.85%]]-Tabla4[[#This Row],[Costo]]</f>
        <v>#N/A</v>
      </c>
      <c r="S1373" s="282" t="e">
        <f>++Tabla4[[#This Row],[U. Bruta Uni]]*Tabla4[[#This Row],[Cantidad]]</f>
        <v>#N/A</v>
      </c>
      <c r="T1373" s="369" t="str">
        <f>VLOOKUP(Tabla4[[#This Row],[Producto]],Tabla6[#All],14,FALSE)</f>
        <v>Termico Solar</v>
      </c>
      <c r="U1373" s="284" t="e">
        <f>(IF(Tabla4[[#This Row],[Familia]]="termico solar",Tabla4[[#This Row],[Utilidad Total]]*6%,Tabla4[[#This Row],[Utilidad Total]]*11.5%))/Tabla4[[#This Row],[Total]]</f>
        <v>#N/A</v>
      </c>
      <c r="V1373" s="282" t="e">
        <f>+Tabla4[[#This Row],[Comisión Calculada]]*Tabla4[[#This Row],[Total]]</f>
        <v>#N/A</v>
      </c>
    </row>
    <row r="1374" spans="1:22" hidden="1" x14ac:dyDescent="0.25">
      <c r="A1374" s="100">
        <v>45747</v>
      </c>
      <c r="B1374" t="str">
        <f>TEXT(A1374, "mmmm")</f>
        <v>March</v>
      </c>
      <c r="C1374" s="46" t="s">
        <v>280</v>
      </c>
      <c r="F1374" s="366" t="s">
        <v>1253</v>
      </c>
      <c r="G1374" s="46" t="s">
        <v>17</v>
      </c>
      <c r="H1374" s="46">
        <v>6</v>
      </c>
      <c r="I1374" s="51">
        <v>4622.28</v>
      </c>
      <c r="J1374" s="281">
        <f>++Tabla4[[#This Row],[Precio Bruto]]*1.16</f>
        <v>5361.8447999999989</v>
      </c>
      <c r="K1374" s="281">
        <f>+Tabla4[[#This Row],[Precio Unitario Neto]]*Tabla4[[#Headers],[20.85%]]</f>
        <v>1117.9446407999997</v>
      </c>
      <c r="L1374" s="282">
        <f>++Tabla4[[#This Row],[Precio Unitario Neto]]-Tabla4[[#This Row],[20.85%]]</f>
        <v>4243.9001591999995</v>
      </c>
      <c r="M1374" s="282" t="e">
        <f>(INDEX(Tabla6[#All],MATCH(Tabla4[[#This Row],[Producto]],Tabla6[[#All],[PRODUCTO]],0),MATCH(Tabla4[[#This Row],[Mes]],Tabla6[#Headers],0)))*(1+Catalogos!$L$2)</f>
        <v>#N/A</v>
      </c>
      <c r="N1374" s="283" t="e">
        <f>+(Tabla4[[#This Row],[Precio Descontado]]-Tabla4[[#This Row],[Precio Base]])*Tabla4[[#This Row],[Cantidad]]</f>
        <v>#N/A</v>
      </c>
      <c r="O1374" s="284" t="e">
        <f>++Tabla4[[#This Row],[Utilidad Total]]/Tabla4[[#This Row],[Total]]</f>
        <v>#N/A</v>
      </c>
      <c r="P1374" s="282">
        <f>++Tabla4[[#This Row],[Precio Descontado]]*Tabla4[[#This Row],[Cantidad]]</f>
        <v>25463.400955199999</v>
      </c>
      <c r="Q1374" s="282" t="e">
        <f>(INDEX(Tabla6[#All],MATCH(Tabla4[[#This Row],[Producto]],Tabla6[[#All],[PRODUCTO]],0),MATCH(Tabla4[[#This Row],[Mes]],Tabla6[#Headers],0)))</f>
        <v>#N/A</v>
      </c>
      <c r="R1374" s="282" t="e">
        <f>++Tabla4[[#This Row],[Precio Unitario Neto]]-Tabla4[[#This Row],[20.85%]]-Tabla4[[#This Row],[Costo]]</f>
        <v>#N/A</v>
      </c>
      <c r="S1374" s="282" t="e">
        <f>++Tabla4[[#This Row],[U. Bruta Uni]]*Tabla4[[#This Row],[Cantidad]]</f>
        <v>#N/A</v>
      </c>
      <c r="T1374" s="369" t="str">
        <f>VLOOKUP(Tabla4[[#This Row],[Producto]],Tabla6[#All],14,FALSE)</f>
        <v>Termico Solar</v>
      </c>
      <c r="U1374" s="284" t="e">
        <f>(IF(Tabla4[[#This Row],[Familia]]="termico solar",Tabla4[[#This Row],[Utilidad Total]]*6%,Tabla4[[#This Row],[Utilidad Total]]*11.5%))/Tabla4[[#This Row],[Total]]</f>
        <v>#N/A</v>
      </c>
      <c r="V1374" s="282" t="e">
        <f>+Tabla4[[#This Row],[Comisión Calculada]]*Tabla4[[#This Row],[Total]]</f>
        <v>#N/A</v>
      </c>
    </row>
    <row r="1375" spans="1:22" hidden="1" x14ac:dyDescent="0.25">
      <c r="A1375" s="100">
        <v>45747</v>
      </c>
      <c r="B1375" t="str">
        <f>TEXT(A1375, "mmmm")</f>
        <v>March</v>
      </c>
      <c r="C1375" s="46" t="s">
        <v>280</v>
      </c>
      <c r="F1375" s="366" t="s">
        <v>1253</v>
      </c>
      <c r="G1375" s="46" t="s">
        <v>18</v>
      </c>
      <c r="H1375" s="46">
        <v>4</v>
      </c>
      <c r="I1375" s="51">
        <v>5367.65</v>
      </c>
      <c r="J1375" s="281">
        <f>++Tabla4[[#This Row],[Precio Bruto]]*1.16</f>
        <v>6226.4739999999993</v>
      </c>
      <c r="K1375" s="281">
        <f>+Tabla4[[#This Row],[Precio Unitario Neto]]*Tabla4[[#Headers],[20.85%]]</f>
        <v>1298.2198289999999</v>
      </c>
      <c r="L1375" s="282">
        <f>++Tabla4[[#This Row],[Precio Unitario Neto]]-Tabla4[[#This Row],[20.85%]]</f>
        <v>4928.2541709999996</v>
      </c>
      <c r="M1375" s="282" t="e">
        <f>(INDEX(Tabla6[#All],MATCH(Tabla4[[#This Row],[Producto]],Tabla6[[#All],[PRODUCTO]],0),MATCH(Tabla4[[#This Row],[Mes]],Tabla6[#Headers],0)))*(1+Catalogos!$L$2)</f>
        <v>#N/A</v>
      </c>
      <c r="N1375" s="283" t="e">
        <f>+(Tabla4[[#This Row],[Precio Descontado]]-Tabla4[[#This Row],[Precio Base]])*Tabla4[[#This Row],[Cantidad]]</f>
        <v>#N/A</v>
      </c>
      <c r="O1375" s="284" t="e">
        <f>++Tabla4[[#This Row],[Utilidad Total]]/Tabla4[[#This Row],[Total]]</f>
        <v>#N/A</v>
      </c>
      <c r="P1375" s="282">
        <f>++Tabla4[[#This Row],[Precio Descontado]]*Tabla4[[#This Row],[Cantidad]]</f>
        <v>19713.016683999998</v>
      </c>
      <c r="Q1375" s="282" t="e">
        <f>(INDEX(Tabla6[#All],MATCH(Tabla4[[#This Row],[Producto]],Tabla6[[#All],[PRODUCTO]],0),MATCH(Tabla4[[#This Row],[Mes]],Tabla6[#Headers],0)))</f>
        <v>#N/A</v>
      </c>
      <c r="R1375" s="282" t="e">
        <f>++Tabla4[[#This Row],[Precio Unitario Neto]]-Tabla4[[#This Row],[20.85%]]-Tabla4[[#This Row],[Costo]]</f>
        <v>#N/A</v>
      </c>
      <c r="S1375" s="282" t="e">
        <f>++Tabla4[[#This Row],[U. Bruta Uni]]*Tabla4[[#This Row],[Cantidad]]</f>
        <v>#N/A</v>
      </c>
      <c r="T1375" s="369" t="str">
        <f>VLOOKUP(Tabla4[[#This Row],[Producto]],Tabla6[#All],14,FALSE)</f>
        <v>Termico Solar</v>
      </c>
      <c r="U1375" s="284" t="e">
        <f>(IF(Tabla4[[#This Row],[Familia]]="termico solar",Tabla4[[#This Row],[Utilidad Total]]*6%,Tabla4[[#This Row],[Utilidad Total]]*11.5%))/Tabla4[[#This Row],[Total]]</f>
        <v>#N/A</v>
      </c>
      <c r="V1375" s="282" t="e">
        <f>+Tabla4[[#This Row],[Comisión Calculada]]*Tabla4[[#This Row],[Total]]</f>
        <v>#N/A</v>
      </c>
    </row>
    <row r="1376" spans="1:22" hidden="1" x14ac:dyDescent="0.25">
      <c r="A1376" s="100">
        <v>45747</v>
      </c>
      <c r="B1376" t="str">
        <f t="shared" ref="B1376:B1381" si="62">TEXT(A1376, "mmmm")</f>
        <v>March</v>
      </c>
      <c r="C1376" s="46" t="s">
        <v>280</v>
      </c>
      <c r="F1376" s="366" t="s">
        <v>1254</v>
      </c>
      <c r="G1376" s="46" t="s">
        <v>17</v>
      </c>
      <c r="H1376" s="46">
        <v>2</v>
      </c>
      <c r="I1376" s="51">
        <v>4622.28</v>
      </c>
      <c r="J1376" s="281">
        <f>++Tabla4[[#This Row],[Precio Bruto]]*1.16</f>
        <v>5361.8447999999989</v>
      </c>
      <c r="K1376" s="281">
        <f>+Tabla4[[#This Row],[Precio Unitario Neto]]*Tabla4[[#Headers],[20.85%]]</f>
        <v>1117.9446407999997</v>
      </c>
      <c r="L1376" s="282">
        <f>++Tabla4[[#This Row],[Precio Unitario Neto]]-Tabla4[[#This Row],[20.85%]]</f>
        <v>4243.9001591999995</v>
      </c>
      <c r="M1376" s="282" t="e">
        <f>(INDEX(Tabla6[#All],MATCH(Tabla4[[#This Row],[Producto]],Tabla6[[#All],[PRODUCTO]],0),MATCH(Tabla4[[#This Row],[Mes]],Tabla6[#Headers],0)))*(1+Catalogos!$L$2)</f>
        <v>#N/A</v>
      </c>
      <c r="N1376" s="283" t="e">
        <f>+(Tabla4[[#This Row],[Precio Descontado]]-Tabla4[[#This Row],[Precio Base]])*Tabla4[[#This Row],[Cantidad]]</f>
        <v>#N/A</v>
      </c>
      <c r="O1376" s="284" t="e">
        <f>++Tabla4[[#This Row],[Utilidad Total]]/Tabla4[[#This Row],[Total]]</f>
        <v>#N/A</v>
      </c>
      <c r="P1376" s="282">
        <f>++Tabla4[[#This Row],[Precio Descontado]]*Tabla4[[#This Row],[Cantidad]]</f>
        <v>8487.800318399999</v>
      </c>
      <c r="Q1376" s="282" t="e">
        <f>(INDEX(Tabla6[#All],MATCH(Tabla4[[#This Row],[Producto]],Tabla6[[#All],[PRODUCTO]],0),MATCH(Tabla4[[#This Row],[Mes]],Tabla6[#Headers],0)))</f>
        <v>#N/A</v>
      </c>
      <c r="R1376" s="282" t="e">
        <f>++Tabla4[[#This Row],[Precio Unitario Neto]]-Tabla4[[#This Row],[20.85%]]-Tabla4[[#This Row],[Costo]]</f>
        <v>#N/A</v>
      </c>
      <c r="S1376" s="282" t="e">
        <f>++Tabla4[[#This Row],[U. Bruta Uni]]*Tabla4[[#This Row],[Cantidad]]</f>
        <v>#N/A</v>
      </c>
      <c r="T1376" s="369" t="str">
        <f>VLOOKUP(Tabla4[[#This Row],[Producto]],Tabla6[#All],14,FALSE)</f>
        <v>Termico Solar</v>
      </c>
      <c r="U1376" s="284" t="e">
        <f>(IF(Tabla4[[#This Row],[Familia]]="termico solar",Tabla4[[#This Row],[Utilidad Total]]*6%,Tabla4[[#This Row],[Utilidad Total]]*11.5%))/Tabla4[[#This Row],[Total]]</f>
        <v>#N/A</v>
      </c>
      <c r="V1376" s="282" t="e">
        <f>+Tabla4[[#This Row],[Comisión Calculada]]*Tabla4[[#This Row],[Total]]</f>
        <v>#N/A</v>
      </c>
    </row>
    <row r="1377" spans="1:22" hidden="1" x14ac:dyDescent="0.25">
      <c r="A1377" s="100">
        <v>45747</v>
      </c>
      <c r="B1377" t="str">
        <f t="shared" si="62"/>
        <v>March</v>
      </c>
      <c r="C1377" s="46" t="s">
        <v>280</v>
      </c>
      <c r="F1377" s="366" t="s">
        <v>1254</v>
      </c>
      <c r="G1377" s="46" t="s">
        <v>18</v>
      </c>
      <c r="H1377" s="46">
        <v>4</v>
      </c>
      <c r="I1377" s="51">
        <v>5367.65</v>
      </c>
      <c r="J1377" s="281">
        <f>++Tabla4[[#This Row],[Precio Bruto]]*1.16</f>
        <v>6226.4739999999993</v>
      </c>
      <c r="K1377" s="281">
        <f>+Tabla4[[#This Row],[Precio Unitario Neto]]*Tabla4[[#Headers],[20.85%]]</f>
        <v>1298.2198289999999</v>
      </c>
      <c r="L1377" s="282">
        <f>++Tabla4[[#This Row],[Precio Unitario Neto]]-Tabla4[[#This Row],[20.85%]]</f>
        <v>4928.2541709999996</v>
      </c>
      <c r="M1377" s="282" t="e">
        <f>(INDEX(Tabla6[#All],MATCH(Tabla4[[#This Row],[Producto]],Tabla6[[#All],[PRODUCTO]],0),MATCH(Tabla4[[#This Row],[Mes]],Tabla6[#Headers],0)))*(1+Catalogos!$L$2)</f>
        <v>#N/A</v>
      </c>
      <c r="N1377" s="283" t="e">
        <f>+(Tabla4[[#This Row],[Precio Descontado]]-Tabla4[[#This Row],[Precio Base]])*Tabla4[[#This Row],[Cantidad]]</f>
        <v>#N/A</v>
      </c>
      <c r="O1377" s="284" t="e">
        <f>++Tabla4[[#This Row],[Utilidad Total]]/Tabla4[[#This Row],[Total]]</f>
        <v>#N/A</v>
      </c>
      <c r="P1377" s="282">
        <f>++Tabla4[[#This Row],[Precio Descontado]]*Tabla4[[#This Row],[Cantidad]]</f>
        <v>19713.016683999998</v>
      </c>
      <c r="Q1377" s="282" t="e">
        <f>(INDEX(Tabla6[#All],MATCH(Tabla4[[#This Row],[Producto]],Tabla6[[#All],[PRODUCTO]],0),MATCH(Tabla4[[#This Row],[Mes]],Tabla6[#Headers],0)))</f>
        <v>#N/A</v>
      </c>
      <c r="R1377" s="282" t="e">
        <f>++Tabla4[[#This Row],[Precio Unitario Neto]]-Tabla4[[#This Row],[20.85%]]-Tabla4[[#This Row],[Costo]]</f>
        <v>#N/A</v>
      </c>
      <c r="S1377" s="282" t="e">
        <f>++Tabla4[[#This Row],[U. Bruta Uni]]*Tabla4[[#This Row],[Cantidad]]</f>
        <v>#N/A</v>
      </c>
      <c r="T1377" s="369" t="str">
        <f>VLOOKUP(Tabla4[[#This Row],[Producto]],Tabla6[#All],14,FALSE)</f>
        <v>Termico Solar</v>
      </c>
      <c r="U1377" s="284" t="e">
        <f>(IF(Tabla4[[#This Row],[Familia]]="termico solar",Tabla4[[#This Row],[Utilidad Total]]*6%,Tabla4[[#This Row],[Utilidad Total]]*11.5%))/Tabla4[[#This Row],[Total]]</f>
        <v>#N/A</v>
      </c>
      <c r="V1377" s="282" t="e">
        <f>+Tabla4[[#This Row],[Comisión Calculada]]*Tabla4[[#This Row],[Total]]</f>
        <v>#N/A</v>
      </c>
    </row>
    <row r="1378" spans="1:22" hidden="1" x14ac:dyDescent="0.25">
      <c r="A1378" s="100">
        <v>45747</v>
      </c>
      <c r="B1378" t="str">
        <f t="shared" si="62"/>
        <v>March</v>
      </c>
      <c r="C1378" s="46" t="s">
        <v>280</v>
      </c>
      <c r="F1378" s="366" t="s">
        <v>1254</v>
      </c>
      <c r="G1378" s="46" t="s">
        <v>19</v>
      </c>
      <c r="H1378" s="46">
        <v>2</v>
      </c>
      <c r="I1378" s="51">
        <v>6412.03</v>
      </c>
      <c r="J1378" s="281">
        <f>++Tabla4[[#This Row],[Precio Bruto]]*1.16</f>
        <v>7437.9547999999995</v>
      </c>
      <c r="K1378" s="281">
        <f>+Tabla4[[#This Row],[Precio Unitario Neto]]*Tabla4[[#Headers],[20.85%]]</f>
        <v>1550.8135757999999</v>
      </c>
      <c r="L1378" s="282">
        <f>++Tabla4[[#This Row],[Precio Unitario Neto]]-Tabla4[[#This Row],[20.85%]]</f>
        <v>5887.1412241999997</v>
      </c>
      <c r="M1378" s="282" t="e">
        <f>(INDEX(Tabla6[#All],MATCH(Tabla4[[#This Row],[Producto]],Tabla6[[#All],[PRODUCTO]],0),MATCH(Tabla4[[#This Row],[Mes]],Tabla6[#Headers],0)))*(1+Catalogos!$L$2)</f>
        <v>#N/A</v>
      </c>
      <c r="N1378" s="283" t="e">
        <f>+(Tabla4[[#This Row],[Precio Descontado]]-Tabla4[[#This Row],[Precio Base]])*Tabla4[[#This Row],[Cantidad]]</f>
        <v>#N/A</v>
      </c>
      <c r="O1378" s="284" t="e">
        <f>++Tabla4[[#This Row],[Utilidad Total]]/Tabla4[[#This Row],[Total]]</f>
        <v>#N/A</v>
      </c>
      <c r="P1378" s="282">
        <f>++Tabla4[[#This Row],[Precio Descontado]]*Tabla4[[#This Row],[Cantidad]]</f>
        <v>11774.282448399999</v>
      </c>
      <c r="Q1378" s="282" t="e">
        <f>(INDEX(Tabla6[#All],MATCH(Tabla4[[#This Row],[Producto]],Tabla6[[#All],[PRODUCTO]],0),MATCH(Tabla4[[#This Row],[Mes]],Tabla6[#Headers],0)))</f>
        <v>#N/A</v>
      </c>
      <c r="R1378" s="282" t="e">
        <f>++Tabla4[[#This Row],[Precio Unitario Neto]]-Tabla4[[#This Row],[20.85%]]-Tabla4[[#This Row],[Costo]]</f>
        <v>#N/A</v>
      </c>
      <c r="S1378" s="282" t="e">
        <f>++Tabla4[[#This Row],[U. Bruta Uni]]*Tabla4[[#This Row],[Cantidad]]</f>
        <v>#N/A</v>
      </c>
      <c r="T1378" s="369" t="str">
        <f>VLOOKUP(Tabla4[[#This Row],[Producto]],Tabla6[#All],14,FALSE)</f>
        <v>Termico Solar</v>
      </c>
      <c r="U1378" s="284" t="e">
        <f>(IF(Tabla4[[#This Row],[Familia]]="termico solar",Tabla4[[#This Row],[Utilidad Total]]*6%,Tabla4[[#This Row],[Utilidad Total]]*11.5%))/Tabla4[[#This Row],[Total]]</f>
        <v>#N/A</v>
      </c>
      <c r="V1378" s="282" t="e">
        <f>+Tabla4[[#This Row],[Comisión Calculada]]*Tabla4[[#This Row],[Total]]</f>
        <v>#N/A</v>
      </c>
    </row>
    <row r="1379" spans="1:22" hidden="1" x14ac:dyDescent="0.25">
      <c r="A1379" s="100">
        <v>45747</v>
      </c>
      <c r="B1379" t="str">
        <f t="shared" si="62"/>
        <v>March</v>
      </c>
      <c r="C1379" s="46" t="s">
        <v>280</v>
      </c>
      <c r="F1379" s="366" t="s">
        <v>1254</v>
      </c>
      <c r="G1379" s="46" t="s">
        <v>208</v>
      </c>
      <c r="H1379" s="46">
        <v>15</v>
      </c>
      <c r="I1379" s="51">
        <v>140.63</v>
      </c>
      <c r="J1379" s="281">
        <f>++Tabla4[[#This Row],[Precio Bruto]]*1.16</f>
        <v>163.13079999999999</v>
      </c>
      <c r="K1379" s="281">
        <f>+Tabla4[[#This Row],[Precio Unitario Neto]]*Tabla4[[#Headers],[20.85%]]</f>
        <v>34.012771799999996</v>
      </c>
      <c r="L1379" s="282">
        <f>++Tabla4[[#This Row],[Precio Unitario Neto]]-Tabla4[[#This Row],[20.85%]]</f>
        <v>129.1180282</v>
      </c>
      <c r="M1379" s="282" t="e">
        <f>(INDEX(Tabla6[#All],MATCH(Tabla4[[#This Row],[Producto]],Tabla6[[#All],[PRODUCTO]],0),MATCH(Tabla4[[#This Row],[Mes]],Tabla6[#Headers],0)))*(1+Catalogos!$L$2)</f>
        <v>#N/A</v>
      </c>
      <c r="N1379" s="283" t="e">
        <f>+(Tabla4[[#This Row],[Precio Descontado]]-Tabla4[[#This Row],[Precio Base]])*Tabla4[[#This Row],[Cantidad]]</f>
        <v>#N/A</v>
      </c>
      <c r="O1379" s="284" t="e">
        <f>++Tabla4[[#This Row],[Utilidad Total]]/Tabla4[[#This Row],[Total]]</f>
        <v>#N/A</v>
      </c>
      <c r="P1379" s="282">
        <f>++Tabla4[[#This Row],[Precio Descontado]]*Tabla4[[#This Row],[Cantidad]]</f>
        <v>1936.7704229999999</v>
      </c>
      <c r="Q1379" s="282" t="e">
        <f>(INDEX(Tabla6[#All],MATCH(Tabla4[[#This Row],[Producto]],Tabla6[[#All],[PRODUCTO]],0),MATCH(Tabla4[[#This Row],[Mes]],Tabla6[#Headers],0)))</f>
        <v>#N/A</v>
      </c>
      <c r="R1379" s="282" t="e">
        <f>++Tabla4[[#This Row],[Precio Unitario Neto]]-Tabla4[[#This Row],[20.85%]]-Tabla4[[#This Row],[Costo]]</f>
        <v>#N/A</v>
      </c>
      <c r="S1379" s="282" t="e">
        <f>++Tabla4[[#This Row],[U. Bruta Uni]]*Tabla4[[#This Row],[Cantidad]]</f>
        <v>#N/A</v>
      </c>
      <c r="T1379" s="369" t="str">
        <f>VLOOKUP(Tabla4[[#This Row],[Producto]],Tabla6[#All],14,FALSE)</f>
        <v>Termico Solar</v>
      </c>
      <c r="U1379" s="284" t="e">
        <f>(IF(Tabla4[[#This Row],[Familia]]="termico solar",Tabla4[[#This Row],[Utilidad Total]]*6%,Tabla4[[#This Row],[Utilidad Total]]*11.5%))/Tabla4[[#This Row],[Total]]</f>
        <v>#N/A</v>
      </c>
      <c r="V1379" s="282" t="e">
        <f>+Tabla4[[#This Row],[Comisión Calculada]]*Tabla4[[#This Row],[Total]]</f>
        <v>#N/A</v>
      </c>
    </row>
    <row r="1380" spans="1:22" hidden="1" x14ac:dyDescent="0.25">
      <c r="A1380" s="100">
        <v>45747</v>
      </c>
      <c r="B1380" t="str">
        <f t="shared" si="62"/>
        <v>March</v>
      </c>
      <c r="C1380" s="46" t="s">
        <v>280</v>
      </c>
      <c r="F1380" s="366" t="s">
        <v>1254</v>
      </c>
      <c r="G1380" s="46" t="s">
        <v>394</v>
      </c>
      <c r="H1380" s="46">
        <v>9</v>
      </c>
      <c r="I1380" s="51">
        <v>108.1</v>
      </c>
      <c r="J1380" s="281">
        <f>++Tabla4[[#This Row],[Precio Bruto]]*1.16</f>
        <v>125.39599999999999</v>
      </c>
      <c r="K1380" s="281">
        <f>+Tabla4[[#This Row],[Precio Unitario Neto]]*Tabla4[[#Headers],[20.85%]]</f>
        <v>26.145065999999996</v>
      </c>
      <c r="L1380" s="282">
        <f>++Tabla4[[#This Row],[Precio Unitario Neto]]-Tabla4[[#This Row],[20.85%]]</f>
        <v>99.250933999999987</v>
      </c>
      <c r="M1380" s="282" t="e">
        <f>(INDEX(Tabla6[#All],MATCH(Tabla4[[#This Row],[Producto]],Tabla6[[#All],[PRODUCTO]],0),MATCH(Tabla4[[#This Row],[Mes]],Tabla6[#Headers],0)))*(1+Catalogos!$L$2)</f>
        <v>#N/A</v>
      </c>
      <c r="N1380" s="283" t="e">
        <f>+(Tabla4[[#This Row],[Precio Descontado]]-Tabla4[[#This Row],[Precio Base]])*Tabla4[[#This Row],[Cantidad]]</f>
        <v>#N/A</v>
      </c>
      <c r="O1380" s="284" t="e">
        <f>++Tabla4[[#This Row],[Utilidad Total]]/Tabla4[[#This Row],[Total]]</f>
        <v>#N/A</v>
      </c>
      <c r="P1380" s="282">
        <f>++Tabla4[[#This Row],[Precio Descontado]]*Tabla4[[#This Row],[Cantidad]]</f>
        <v>893.25840599999992</v>
      </c>
      <c r="Q1380" s="282" t="e">
        <f>(INDEX(Tabla6[#All],MATCH(Tabla4[[#This Row],[Producto]],Tabla6[[#All],[PRODUCTO]],0),MATCH(Tabla4[[#This Row],[Mes]],Tabla6[#Headers],0)))</f>
        <v>#N/A</v>
      </c>
      <c r="R1380" s="282" t="e">
        <f>++Tabla4[[#This Row],[Precio Unitario Neto]]-Tabla4[[#This Row],[20.85%]]-Tabla4[[#This Row],[Costo]]</f>
        <v>#N/A</v>
      </c>
      <c r="S1380" s="282" t="e">
        <f>++Tabla4[[#This Row],[U. Bruta Uni]]*Tabla4[[#This Row],[Cantidad]]</f>
        <v>#N/A</v>
      </c>
      <c r="T1380" s="369" t="str">
        <f>VLOOKUP(Tabla4[[#This Row],[Producto]],Tabla6[#All],14,FALSE)</f>
        <v>Termico Solar</v>
      </c>
      <c r="U1380" s="284" t="e">
        <f>(IF(Tabla4[[#This Row],[Familia]]="termico solar",Tabla4[[#This Row],[Utilidad Total]]*6%,Tabla4[[#This Row],[Utilidad Total]]*11.5%))/Tabla4[[#This Row],[Total]]</f>
        <v>#N/A</v>
      </c>
      <c r="V1380" s="282" t="e">
        <f>+Tabla4[[#This Row],[Comisión Calculada]]*Tabla4[[#This Row],[Total]]</f>
        <v>#N/A</v>
      </c>
    </row>
    <row r="1381" spans="1:22" hidden="1" x14ac:dyDescent="0.25">
      <c r="A1381" s="100">
        <v>45747</v>
      </c>
      <c r="B1381" t="str">
        <f t="shared" si="62"/>
        <v>March</v>
      </c>
      <c r="C1381" s="46" t="s">
        <v>280</v>
      </c>
      <c r="F1381" s="366" t="s">
        <v>1254</v>
      </c>
      <c r="G1381" s="46" t="s">
        <v>16</v>
      </c>
      <c r="H1381" s="46">
        <v>2</v>
      </c>
      <c r="I1381" s="51">
        <v>4103.8500000000004</v>
      </c>
      <c r="J1381" s="281">
        <f>++Tabla4[[#This Row],[Precio Bruto]]*1.16</f>
        <v>4760.4660000000003</v>
      </c>
      <c r="K1381" s="281">
        <f>+Tabla4[[#This Row],[Precio Unitario Neto]]*Tabla4[[#Headers],[20.85%]]</f>
        <v>992.55716100000006</v>
      </c>
      <c r="L1381" s="282">
        <f>++Tabla4[[#This Row],[Precio Unitario Neto]]-Tabla4[[#This Row],[20.85%]]</f>
        <v>3767.9088390000002</v>
      </c>
      <c r="M1381" s="282" t="e">
        <f>(INDEX(Tabla6[#All],MATCH(Tabla4[[#This Row],[Producto]],Tabla6[[#All],[PRODUCTO]],0),MATCH(Tabla4[[#This Row],[Mes]],Tabla6[#Headers],0)))*(1+Catalogos!$L$2)</f>
        <v>#N/A</v>
      </c>
      <c r="N1381" s="283" t="e">
        <f>+(Tabla4[[#This Row],[Precio Descontado]]-Tabla4[[#This Row],[Precio Base]])*Tabla4[[#This Row],[Cantidad]]</f>
        <v>#N/A</v>
      </c>
      <c r="O1381" s="284" t="e">
        <f>++Tabla4[[#This Row],[Utilidad Total]]/Tabla4[[#This Row],[Total]]</f>
        <v>#N/A</v>
      </c>
      <c r="P1381" s="282">
        <f>++Tabla4[[#This Row],[Precio Descontado]]*Tabla4[[#This Row],[Cantidad]]</f>
        <v>7535.8176780000003</v>
      </c>
      <c r="Q1381" s="282" t="e">
        <f>(INDEX(Tabla6[#All],MATCH(Tabla4[[#This Row],[Producto]],Tabla6[[#All],[PRODUCTO]],0),MATCH(Tabla4[[#This Row],[Mes]],Tabla6[#Headers],0)))</f>
        <v>#N/A</v>
      </c>
      <c r="R1381" s="282" t="e">
        <f>++Tabla4[[#This Row],[Precio Unitario Neto]]-Tabla4[[#This Row],[20.85%]]-Tabla4[[#This Row],[Costo]]</f>
        <v>#N/A</v>
      </c>
      <c r="S1381" s="282" t="e">
        <f>++Tabla4[[#This Row],[U. Bruta Uni]]*Tabla4[[#This Row],[Cantidad]]</f>
        <v>#N/A</v>
      </c>
      <c r="T1381" s="369" t="str">
        <f>VLOOKUP(Tabla4[[#This Row],[Producto]],Tabla6[#All],14,FALSE)</f>
        <v>Termico Solar</v>
      </c>
      <c r="U1381" s="284" t="e">
        <f>(IF(Tabla4[[#This Row],[Familia]]="termico solar",Tabla4[[#This Row],[Utilidad Total]]*6%,Tabla4[[#This Row],[Utilidad Total]]*11.5%))/Tabla4[[#This Row],[Total]]</f>
        <v>#N/A</v>
      </c>
      <c r="V1381" s="282" t="e">
        <f>+Tabla4[[#This Row],[Comisión Calculada]]*Tabla4[[#This Row],[Total]]</f>
        <v>#N/A</v>
      </c>
    </row>
    <row r="1382" spans="1:22" hidden="1" x14ac:dyDescent="0.25">
      <c r="A1382" s="100">
        <v>45747</v>
      </c>
      <c r="B1382" t="str">
        <f t="shared" ref="B1382:B1387" si="63">TEXT(A1382, "mmmm")</f>
        <v>March</v>
      </c>
      <c r="C1382" s="46" t="s">
        <v>280</v>
      </c>
      <c r="F1382" s="366" t="s">
        <v>1255</v>
      </c>
      <c r="G1382" s="46" t="s">
        <v>394</v>
      </c>
      <c r="H1382" s="46">
        <v>16</v>
      </c>
      <c r="I1382" s="51">
        <v>224.29</v>
      </c>
      <c r="J1382" s="281">
        <f>++Tabla4[[#This Row],[Precio Bruto]]*1.16</f>
        <v>260.1764</v>
      </c>
      <c r="K1382" s="281">
        <f>+Tabla4[[#This Row],[Precio Unitario Neto]]*Tabla4[[#Headers],[20.85%]]</f>
        <v>54.246779400000001</v>
      </c>
      <c r="L1382" s="282">
        <f>++Tabla4[[#This Row],[Precio Unitario Neto]]-Tabla4[[#This Row],[20.85%]]</f>
        <v>205.92962059999999</v>
      </c>
      <c r="M1382" s="282" t="e">
        <f>(INDEX(Tabla6[#All],MATCH(Tabla4[[#This Row],[Producto]],Tabla6[[#All],[PRODUCTO]],0),MATCH(Tabla4[[#This Row],[Mes]],Tabla6[#Headers],0)))*(1+Catalogos!$L$2)</f>
        <v>#N/A</v>
      </c>
      <c r="N1382" s="283" t="e">
        <f>+(Tabla4[[#This Row],[Precio Descontado]]-Tabla4[[#This Row],[Precio Base]])*Tabla4[[#This Row],[Cantidad]]</f>
        <v>#N/A</v>
      </c>
      <c r="O1382" s="284" t="e">
        <f>++Tabla4[[#This Row],[Utilidad Total]]/Tabla4[[#This Row],[Total]]</f>
        <v>#N/A</v>
      </c>
      <c r="P1382" s="282">
        <f>++Tabla4[[#This Row],[Precio Descontado]]*Tabla4[[#This Row],[Cantidad]]</f>
        <v>3294.8739295999999</v>
      </c>
      <c r="Q1382" s="282" t="e">
        <f>(INDEX(Tabla6[#All],MATCH(Tabla4[[#This Row],[Producto]],Tabla6[[#All],[PRODUCTO]],0),MATCH(Tabla4[[#This Row],[Mes]],Tabla6[#Headers],0)))</f>
        <v>#N/A</v>
      </c>
      <c r="R1382" s="282" t="e">
        <f>++Tabla4[[#This Row],[Precio Unitario Neto]]-Tabla4[[#This Row],[20.85%]]-Tabla4[[#This Row],[Costo]]</f>
        <v>#N/A</v>
      </c>
      <c r="S1382" s="282" t="e">
        <f>++Tabla4[[#This Row],[U. Bruta Uni]]*Tabla4[[#This Row],[Cantidad]]</f>
        <v>#N/A</v>
      </c>
      <c r="T1382" s="369" t="str">
        <f>VLOOKUP(Tabla4[[#This Row],[Producto]],Tabla6[#All],14,FALSE)</f>
        <v>Termico Solar</v>
      </c>
      <c r="U1382" s="284" t="e">
        <f>(IF(Tabla4[[#This Row],[Familia]]="termico solar",Tabla4[[#This Row],[Utilidad Total]]*6%,Tabla4[[#This Row],[Utilidad Total]]*11.5%))/Tabla4[[#This Row],[Total]]</f>
        <v>#N/A</v>
      </c>
      <c r="V1382" s="282" t="e">
        <f>+Tabla4[[#This Row],[Comisión Calculada]]*Tabla4[[#This Row],[Total]]</f>
        <v>#N/A</v>
      </c>
    </row>
    <row r="1383" spans="1:22" hidden="1" x14ac:dyDescent="0.25">
      <c r="A1383" s="100">
        <v>45747</v>
      </c>
      <c r="B1383" t="str">
        <f t="shared" si="63"/>
        <v>March</v>
      </c>
      <c r="C1383" s="46" t="s">
        <v>280</v>
      </c>
      <c r="F1383" s="366" t="s">
        <v>1255</v>
      </c>
      <c r="G1383" s="46" t="s">
        <v>200</v>
      </c>
      <c r="H1383" s="46">
        <v>12</v>
      </c>
      <c r="I1383" s="51">
        <v>393.22</v>
      </c>
      <c r="J1383" s="281">
        <f>++Tabla4[[#This Row],[Precio Bruto]]*1.16</f>
        <v>456.1352</v>
      </c>
      <c r="K1383" s="281">
        <f>+Tabla4[[#This Row],[Precio Unitario Neto]]*Tabla4[[#Headers],[20.85%]]</f>
        <v>95.104189199999993</v>
      </c>
      <c r="L1383" s="282">
        <f>++Tabla4[[#This Row],[Precio Unitario Neto]]-Tabla4[[#This Row],[20.85%]]</f>
        <v>361.03101079999999</v>
      </c>
      <c r="M1383" s="282" t="e">
        <f>(INDEX(Tabla6[#All],MATCH(Tabla4[[#This Row],[Producto]],Tabla6[[#All],[PRODUCTO]],0),MATCH(Tabla4[[#This Row],[Mes]],Tabla6[#Headers],0)))*(1+Catalogos!$L$2)</f>
        <v>#N/A</v>
      </c>
      <c r="N1383" s="283" t="e">
        <f>+(Tabla4[[#This Row],[Precio Descontado]]-Tabla4[[#This Row],[Precio Base]])*Tabla4[[#This Row],[Cantidad]]</f>
        <v>#N/A</v>
      </c>
      <c r="O1383" s="284" t="e">
        <f>++Tabla4[[#This Row],[Utilidad Total]]/Tabla4[[#This Row],[Total]]</f>
        <v>#N/A</v>
      </c>
      <c r="P1383" s="282">
        <f>++Tabla4[[#This Row],[Precio Descontado]]*Tabla4[[#This Row],[Cantidad]]</f>
        <v>4332.3721296000003</v>
      </c>
      <c r="Q1383" s="282" t="e">
        <f>(INDEX(Tabla6[#All],MATCH(Tabla4[[#This Row],[Producto]],Tabla6[[#All],[PRODUCTO]],0),MATCH(Tabla4[[#This Row],[Mes]],Tabla6[#Headers],0)))</f>
        <v>#N/A</v>
      </c>
      <c r="R1383" s="282" t="e">
        <f>++Tabla4[[#This Row],[Precio Unitario Neto]]-Tabla4[[#This Row],[20.85%]]-Tabla4[[#This Row],[Costo]]</f>
        <v>#N/A</v>
      </c>
      <c r="S1383" s="282" t="e">
        <f>++Tabla4[[#This Row],[U. Bruta Uni]]*Tabla4[[#This Row],[Cantidad]]</f>
        <v>#N/A</v>
      </c>
      <c r="T1383" s="369" t="str">
        <f>VLOOKUP(Tabla4[[#This Row],[Producto]],Tabla6[#All],14,FALSE)</f>
        <v>Termico Solar</v>
      </c>
      <c r="U1383" s="284" t="e">
        <f>(IF(Tabla4[[#This Row],[Familia]]="termico solar",Tabla4[[#This Row],[Utilidad Total]]*6%,Tabla4[[#This Row],[Utilidad Total]]*11.5%))/Tabla4[[#This Row],[Total]]</f>
        <v>#N/A</v>
      </c>
      <c r="V1383" s="282" t="e">
        <f>+Tabla4[[#This Row],[Comisión Calculada]]*Tabla4[[#This Row],[Total]]</f>
        <v>#N/A</v>
      </c>
    </row>
    <row r="1384" spans="1:22" hidden="1" x14ac:dyDescent="0.25">
      <c r="A1384" s="100">
        <v>45747</v>
      </c>
      <c r="B1384" t="str">
        <f t="shared" si="63"/>
        <v>March</v>
      </c>
      <c r="C1384" s="46" t="s">
        <v>280</v>
      </c>
      <c r="F1384" s="366" t="s">
        <v>1255</v>
      </c>
      <c r="G1384" s="46" t="s">
        <v>555</v>
      </c>
      <c r="H1384" s="46">
        <v>8</v>
      </c>
      <c r="I1384" s="51">
        <v>389.47</v>
      </c>
      <c r="J1384" s="281">
        <f>++Tabla4[[#This Row],[Precio Bruto]]*1.16</f>
        <v>451.78519999999997</v>
      </c>
      <c r="K1384" s="281">
        <f>+Tabla4[[#This Row],[Precio Unitario Neto]]*Tabla4[[#Headers],[20.85%]]</f>
        <v>94.197214199999991</v>
      </c>
      <c r="L1384" s="282">
        <f>++Tabla4[[#This Row],[Precio Unitario Neto]]-Tabla4[[#This Row],[20.85%]]</f>
        <v>357.58798579999996</v>
      </c>
      <c r="M1384" s="282" t="e">
        <f>(INDEX(Tabla6[#All],MATCH(Tabla4[[#This Row],[Producto]],Tabla6[[#All],[PRODUCTO]],0),MATCH(Tabla4[[#This Row],[Mes]],Tabla6[#Headers],0)))*(1+Catalogos!$L$2)</f>
        <v>#N/A</v>
      </c>
      <c r="N1384" s="283" t="e">
        <f>+(Tabla4[[#This Row],[Precio Descontado]]-Tabla4[[#This Row],[Precio Base]])*Tabla4[[#This Row],[Cantidad]]</f>
        <v>#N/A</v>
      </c>
      <c r="O1384" s="284" t="e">
        <f>++Tabla4[[#This Row],[Utilidad Total]]/Tabla4[[#This Row],[Total]]</f>
        <v>#N/A</v>
      </c>
      <c r="P1384" s="282">
        <f>++Tabla4[[#This Row],[Precio Descontado]]*Tabla4[[#This Row],[Cantidad]]</f>
        <v>2860.7038863999996</v>
      </c>
      <c r="Q1384" s="282" t="e">
        <f>(INDEX(Tabla6[#All],MATCH(Tabla4[[#This Row],[Producto]],Tabla6[[#All],[PRODUCTO]],0),MATCH(Tabla4[[#This Row],[Mes]],Tabla6[#Headers],0)))</f>
        <v>#N/A</v>
      </c>
      <c r="R1384" s="282" t="e">
        <f>++Tabla4[[#This Row],[Precio Unitario Neto]]-Tabla4[[#This Row],[20.85%]]-Tabla4[[#This Row],[Costo]]</f>
        <v>#N/A</v>
      </c>
      <c r="S1384" s="282" t="e">
        <f>++Tabla4[[#This Row],[U. Bruta Uni]]*Tabla4[[#This Row],[Cantidad]]</f>
        <v>#N/A</v>
      </c>
      <c r="T1384" s="369" t="str">
        <f>VLOOKUP(Tabla4[[#This Row],[Producto]],Tabla6[#All],14,FALSE)</f>
        <v>Termico Solar</v>
      </c>
      <c r="U1384" s="284" t="e">
        <f>(IF(Tabla4[[#This Row],[Familia]]="termico solar",Tabla4[[#This Row],[Utilidad Total]]*6%,Tabla4[[#This Row],[Utilidad Total]]*11.5%))/Tabla4[[#This Row],[Total]]</f>
        <v>#N/A</v>
      </c>
      <c r="V1384" s="282" t="e">
        <f>+Tabla4[[#This Row],[Comisión Calculada]]*Tabla4[[#This Row],[Total]]</f>
        <v>#N/A</v>
      </c>
    </row>
    <row r="1385" spans="1:22" hidden="1" x14ac:dyDescent="0.25">
      <c r="A1385" s="100">
        <v>45747</v>
      </c>
      <c r="B1385" t="str">
        <f t="shared" si="63"/>
        <v>March</v>
      </c>
      <c r="C1385" s="46" t="s">
        <v>280</v>
      </c>
      <c r="F1385" s="366" t="s">
        <v>1255</v>
      </c>
      <c r="G1385" s="46" t="s">
        <v>545</v>
      </c>
      <c r="H1385" s="46">
        <v>24</v>
      </c>
      <c r="I1385" s="51">
        <v>304.32</v>
      </c>
      <c r="J1385" s="281">
        <f>++Tabla4[[#This Row],[Precio Bruto]]*1.16</f>
        <v>353.01119999999997</v>
      </c>
      <c r="K1385" s="281">
        <f>+Tabla4[[#This Row],[Precio Unitario Neto]]*Tabla4[[#Headers],[20.85%]]</f>
        <v>73.602835199999987</v>
      </c>
      <c r="L1385" s="282">
        <f>++Tabla4[[#This Row],[Precio Unitario Neto]]-Tabla4[[#This Row],[20.85%]]</f>
        <v>279.40836479999996</v>
      </c>
      <c r="M1385" s="282" t="e">
        <f>(INDEX(Tabla6[#All],MATCH(Tabla4[[#This Row],[Producto]],Tabla6[[#All],[PRODUCTO]],0),MATCH(Tabla4[[#This Row],[Mes]],Tabla6[#Headers],0)))*(1+Catalogos!$L$2)</f>
        <v>#N/A</v>
      </c>
      <c r="N1385" s="283" t="e">
        <f>+(Tabla4[[#This Row],[Precio Descontado]]-Tabla4[[#This Row],[Precio Base]])*Tabla4[[#This Row],[Cantidad]]</f>
        <v>#N/A</v>
      </c>
      <c r="O1385" s="284" t="e">
        <f>++Tabla4[[#This Row],[Utilidad Total]]/Tabla4[[#This Row],[Total]]</f>
        <v>#N/A</v>
      </c>
      <c r="P1385" s="282">
        <f>++Tabla4[[#This Row],[Precio Descontado]]*Tabla4[[#This Row],[Cantidad]]</f>
        <v>6705.800755199999</v>
      </c>
      <c r="Q1385" s="282" t="e">
        <f>(INDEX(Tabla6[#All],MATCH(Tabla4[[#This Row],[Producto]],Tabla6[[#All],[PRODUCTO]],0),MATCH(Tabla4[[#This Row],[Mes]],Tabla6[#Headers],0)))</f>
        <v>#N/A</v>
      </c>
      <c r="R1385" s="282" t="e">
        <f>++Tabla4[[#This Row],[Precio Unitario Neto]]-Tabla4[[#This Row],[20.85%]]-Tabla4[[#This Row],[Costo]]</f>
        <v>#N/A</v>
      </c>
      <c r="S1385" s="282" t="e">
        <f>++Tabla4[[#This Row],[U. Bruta Uni]]*Tabla4[[#This Row],[Cantidad]]</f>
        <v>#N/A</v>
      </c>
      <c r="T1385" s="369" t="str">
        <f>VLOOKUP(Tabla4[[#This Row],[Producto]],Tabla6[#All],14,FALSE)</f>
        <v>Termico Solar</v>
      </c>
      <c r="U1385" s="284" t="e">
        <f>(IF(Tabla4[[#This Row],[Familia]]="termico solar",Tabla4[[#This Row],[Utilidad Total]]*6%,Tabla4[[#This Row],[Utilidad Total]]*11.5%))/Tabla4[[#This Row],[Total]]</f>
        <v>#N/A</v>
      </c>
      <c r="V1385" s="282" t="e">
        <f>+Tabla4[[#This Row],[Comisión Calculada]]*Tabla4[[#This Row],[Total]]</f>
        <v>#N/A</v>
      </c>
    </row>
    <row r="1386" spans="1:22" hidden="1" x14ac:dyDescent="0.25">
      <c r="A1386" s="100">
        <v>45747</v>
      </c>
      <c r="B1386" t="str">
        <f t="shared" si="63"/>
        <v>March</v>
      </c>
      <c r="C1386" s="46" t="s">
        <v>280</v>
      </c>
      <c r="F1386" s="366" t="s">
        <v>1255</v>
      </c>
      <c r="G1386" s="46" t="s">
        <v>208</v>
      </c>
      <c r="H1386" s="46">
        <v>4</v>
      </c>
      <c r="I1386" s="51">
        <v>189.75</v>
      </c>
      <c r="J1386" s="281">
        <f>++Tabla4[[#This Row],[Precio Bruto]]*1.16</f>
        <v>220.10999999999999</v>
      </c>
      <c r="K1386" s="281">
        <f>+Tabla4[[#This Row],[Precio Unitario Neto]]*Tabla4[[#Headers],[20.85%]]</f>
        <v>45.892934999999994</v>
      </c>
      <c r="L1386" s="282">
        <f>++Tabla4[[#This Row],[Precio Unitario Neto]]-Tabla4[[#This Row],[20.85%]]</f>
        <v>174.21706499999999</v>
      </c>
      <c r="M1386" s="282" t="e">
        <f>(INDEX(Tabla6[#All],MATCH(Tabla4[[#This Row],[Producto]],Tabla6[[#All],[PRODUCTO]],0),MATCH(Tabla4[[#This Row],[Mes]],Tabla6[#Headers],0)))*(1+Catalogos!$L$2)</f>
        <v>#N/A</v>
      </c>
      <c r="N1386" s="283" t="e">
        <f>+(Tabla4[[#This Row],[Precio Descontado]]-Tabla4[[#This Row],[Precio Base]])*Tabla4[[#This Row],[Cantidad]]</f>
        <v>#N/A</v>
      </c>
      <c r="O1386" s="284" t="e">
        <f>++Tabla4[[#This Row],[Utilidad Total]]/Tabla4[[#This Row],[Total]]</f>
        <v>#N/A</v>
      </c>
      <c r="P1386" s="282">
        <f>++Tabla4[[#This Row],[Precio Descontado]]*Tabla4[[#This Row],[Cantidad]]</f>
        <v>696.86825999999996</v>
      </c>
      <c r="Q1386" s="282" t="e">
        <f>(INDEX(Tabla6[#All],MATCH(Tabla4[[#This Row],[Producto]],Tabla6[[#All],[PRODUCTO]],0),MATCH(Tabla4[[#This Row],[Mes]],Tabla6[#Headers],0)))</f>
        <v>#N/A</v>
      </c>
      <c r="R1386" s="282" t="e">
        <f>++Tabla4[[#This Row],[Precio Unitario Neto]]-Tabla4[[#This Row],[20.85%]]-Tabla4[[#This Row],[Costo]]</f>
        <v>#N/A</v>
      </c>
      <c r="S1386" s="282" t="e">
        <f>++Tabla4[[#This Row],[U. Bruta Uni]]*Tabla4[[#This Row],[Cantidad]]</f>
        <v>#N/A</v>
      </c>
      <c r="T1386" s="369" t="str">
        <f>VLOOKUP(Tabla4[[#This Row],[Producto]],Tabla6[#All],14,FALSE)</f>
        <v>Termico Solar</v>
      </c>
      <c r="U1386" s="284" t="e">
        <f>(IF(Tabla4[[#This Row],[Familia]]="termico solar",Tabla4[[#This Row],[Utilidad Total]]*6%,Tabla4[[#This Row],[Utilidad Total]]*11.5%))/Tabla4[[#This Row],[Total]]</f>
        <v>#N/A</v>
      </c>
      <c r="V1386" s="282" t="e">
        <f>+Tabla4[[#This Row],[Comisión Calculada]]*Tabla4[[#This Row],[Total]]</f>
        <v>#N/A</v>
      </c>
    </row>
    <row r="1387" spans="1:22" hidden="1" x14ac:dyDescent="0.25">
      <c r="A1387" s="100">
        <v>45747</v>
      </c>
      <c r="B1387" t="str">
        <f t="shared" si="63"/>
        <v>March</v>
      </c>
      <c r="C1387" s="46" t="s">
        <v>280</v>
      </c>
      <c r="F1387" s="366" t="s">
        <v>1255</v>
      </c>
      <c r="G1387" s="46" t="s">
        <v>209</v>
      </c>
      <c r="H1387" s="46">
        <v>4</v>
      </c>
      <c r="I1387" s="51">
        <v>347.48</v>
      </c>
      <c r="J1387" s="281">
        <f>++Tabla4[[#This Row],[Precio Bruto]]*1.16</f>
        <v>403.07679999999999</v>
      </c>
      <c r="K1387" s="281">
        <f>+Tabla4[[#This Row],[Precio Unitario Neto]]*Tabla4[[#Headers],[20.85%]]</f>
        <v>84.041512799999992</v>
      </c>
      <c r="L1387" s="282">
        <f>++Tabla4[[#This Row],[Precio Unitario Neto]]-Tabla4[[#This Row],[20.85%]]</f>
        <v>319.03528719999997</v>
      </c>
      <c r="M1387" s="282" t="e">
        <f>(INDEX(Tabla6[#All],MATCH(Tabla4[[#This Row],[Producto]],Tabla6[[#All],[PRODUCTO]],0),MATCH(Tabla4[[#This Row],[Mes]],Tabla6[#Headers],0)))*(1+Catalogos!$L$2)</f>
        <v>#N/A</v>
      </c>
      <c r="N1387" s="283" t="e">
        <f>+(Tabla4[[#This Row],[Precio Descontado]]-Tabla4[[#This Row],[Precio Base]])*Tabla4[[#This Row],[Cantidad]]</f>
        <v>#N/A</v>
      </c>
      <c r="O1387" s="284" t="e">
        <f>++Tabla4[[#This Row],[Utilidad Total]]/Tabla4[[#This Row],[Total]]</f>
        <v>#N/A</v>
      </c>
      <c r="P1387" s="282">
        <f>++Tabla4[[#This Row],[Precio Descontado]]*Tabla4[[#This Row],[Cantidad]]</f>
        <v>1276.1411487999999</v>
      </c>
      <c r="Q1387" s="282" t="e">
        <f>(INDEX(Tabla6[#All],MATCH(Tabla4[[#This Row],[Producto]],Tabla6[[#All],[PRODUCTO]],0),MATCH(Tabla4[[#This Row],[Mes]],Tabla6[#Headers],0)))</f>
        <v>#N/A</v>
      </c>
      <c r="R1387" s="282" t="e">
        <f>++Tabla4[[#This Row],[Precio Unitario Neto]]-Tabla4[[#This Row],[20.85%]]-Tabla4[[#This Row],[Costo]]</f>
        <v>#N/A</v>
      </c>
      <c r="S1387" s="282" t="e">
        <f>++Tabla4[[#This Row],[U. Bruta Uni]]*Tabla4[[#This Row],[Cantidad]]</f>
        <v>#N/A</v>
      </c>
      <c r="T1387" s="369" t="str">
        <f>VLOOKUP(Tabla4[[#This Row],[Producto]],Tabla6[#All],14,FALSE)</f>
        <v>Termico Solar</v>
      </c>
      <c r="U1387" s="284" t="e">
        <f>(IF(Tabla4[[#This Row],[Familia]]="termico solar",Tabla4[[#This Row],[Utilidad Total]]*6%,Tabla4[[#This Row],[Utilidad Total]]*11.5%))/Tabla4[[#This Row],[Total]]</f>
        <v>#N/A</v>
      </c>
      <c r="V1387" s="282" t="e">
        <f>+Tabla4[[#This Row],[Comisión Calculada]]*Tabla4[[#This Row],[Total]]</f>
        <v>#N/A</v>
      </c>
    </row>
    <row r="1388" spans="1:22" hidden="1" x14ac:dyDescent="0.25">
      <c r="A1388" s="100">
        <v>45747</v>
      </c>
      <c r="B1388" t="str">
        <f t="shared" ref="B1388:B1393" si="64">TEXT(A1388, "mmmm")</f>
        <v>March</v>
      </c>
      <c r="C1388" s="46" t="s">
        <v>280</v>
      </c>
      <c r="F1388" s="366" t="s">
        <v>1256</v>
      </c>
      <c r="G1388" s="46" t="s">
        <v>394</v>
      </c>
      <c r="H1388" s="46">
        <v>16</v>
      </c>
      <c r="I1388" s="51">
        <v>224.29</v>
      </c>
      <c r="J1388" s="281">
        <f>++Tabla4[[#This Row],[Precio Bruto]]*1.16</f>
        <v>260.1764</v>
      </c>
      <c r="K1388" s="281">
        <f>+Tabla4[[#This Row],[Precio Unitario Neto]]*Tabla4[[#Headers],[20.85%]]</f>
        <v>54.246779400000001</v>
      </c>
      <c r="L1388" s="282">
        <f>++Tabla4[[#This Row],[Precio Unitario Neto]]-Tabla4[[#This Row],[20.85%]]</f>
        <v>205.92962059999999</v>
      </c>
      <c r="M1388" s="282" t="e">
        <f>(INDEX(Tabla6[#All],MATCH(Tabla4[[#This Row],[Producto]],Tabla6[[#All],[PRODUCTO]],0),MATCH(Tabla4[[#This Row],[Mes]],Tabla6[#Headers],0)))*(1+Catalogos!$L$2)</f>
        <v>#N/A</v>
      </c>
      <c r="N1388" s="283" t="e">
        <f>+(Tabla4[[#This Row],[Precio Descontado]]-Tabla4[[#This Row],[Precio Base]])*Tabla4[[#This Row],[Cantidad]]</f>
        <v>#N/A</v>
      </c>
      <c r="O1388" s="284" t="e">
        <f>++Tabla4[[#This Row],[Utilidad Total]]/Tabla4[[#This Row],[Total]]</f>
        <v>#N/A</v>
      </c>
      <c r="P1388" s="282">
        <f>++Tabla4[[#This Row],[Precio Descontado]]*Tabla4[[#This Row],[Cantidad]]</f>
        <v>3294.8739295999999</v>
      </c>
      <c r="Q1388" s="282" t="e">
        <f>(INDEX(Tabla6[#All],MATCH(Tabla4[[#This Row],[Producto]],Tabla6[[#All],[PRODUCTO]],0),MATCH(Tabla4[[#This Row],[Mes]],Tabla6[#Headers],0)))</f>
        <v>#N/A</v>
      </c>
      <c r="R1388" s="282" t="e">
        <f>++Tabla4[[#This Row],[Precio Unitario Neto]]-Tabla4[[#This Row],[20.85%]]-Tabla4[[#This Row],[Costo]]</f>
        <v>#N/A</v>
      </c>
      <c r="S1388" s="282" t="e">
        <f>++Tabla4[[#This Row],[U. Bruta Uni]]*Tabla4[[#This Row],[Cantidad]]</f>
        <v>#N/A</v>
      </c>
      <c r="T1388" s="369" t="str">
        <f>VLOOKUP(Tabla4[[#This Row],[Producto]],Tabla6[#All],14,FALSE)</f>
        <v>Termico Solar</v>
      </c>
      <c r="U1388" s="284" t="e">
        <f>(IF(Tabla4[[#This Row],[Familia]]="termico solar",Tabla4[[#This Row],[Utilidad Total]]*6%,Tabla4[[#This Row],[Utilidad Total]]*11.5%))/Tabla4[[#This Row],[Total]]</f>
        <v>#N/A</v>
      </c>
      <c r="V1388" s="282" t="e">
        <f>+Tabla4[[#This Row],[Comisión Calculada]]*Tabla4[[#This Row],[Total]]</f>
        <v>#N/A</v>
      </c>
    </row>
    <row r="1389" spans="1:22" hidden="1" x14ac:dyDescent="0.25">
      <c r="A1389" s="100">
        <v>45747</v>
      </c>
      <c r="B1389" t="str">
        <f t="shared" si="64"/>
        <v>March</v>
      </c>
      <c r="C1389" s="46" t="s">
        <v>280</v>
      </c>
      <c r="F1389" s="366" t="s">
        <v>1256</v>
      </c>
      <c r="G1389" s="46" t="s">
        <v>200</v>
      </c>
      <c r="H1389" s="46">
        <v>12</v>
      </c>
      <c r="I1389" s="51">
        <v>393.22</v>
      </c>
      <c r="J1389" s="281">
        <f>++Tabla4[[#This Row],[Precio Bruto]]*1.16</f>
        <v>456.1352</v>
      </c>
      <c r="K1389" s="281">
        <f>+Tabla4[[#This Row],[Precio Unitario Neto]]*Tabla4[[#Headers],[20.85%]]</f>
        <v>95.104189199999993</v>
      </c>
      <c r="L1389" s="282">
        <f>++Tabla4[[#This Row],[Precio Unitario Neto]]-Tabla4[[#This Row],[20.85%]]</f>
        <v>361.03101079999999</v>
      </c>
      <c r="M1389" s="282" t="e">
        <f>(INDEX(Tabla6[#All],MATCH(Tabla4[[#This Row],[Producto]],Tabla6[[#All],[PRODUCTO]],0),MATCH(Tabla4[[#This Row],[Mes]],Tabla6[#Headers],0)))*(1+Catalogos!$L$2)</f>
        <v>#N/A</v>
      </c>
      <c r="N1389" s="283" t="e">
        <f>+(Tabla4[[#This Row],[Precio Descontado]]-Tabla4[[#This Row],[Precio Base]])*Tabla4[[#This Row],[Cantidad]]</f>
        <v>#N/A</v>
      </c>
      <c r="O1389" s="284" t="e">
        <f>++Tabla4[[#This Row],[Utilidad Total]]/Tabla4[[#This Row],[Total]]</f>
        <v>#N/A</v>
      </c>
      <c r="P1389" s="282">
        <f>++Tabla4[[#This Row],[Precio Descontado]]*Tabla4[[#This Row],[Cantidad]]</f>
        <v>4332.3721296000003</v>
      </c>
      <c r="Q1389" s="282" t="e">
        <f>(INDEX(Tabla6[#All],MATCH(Tabla4[[#This Row],[Producto]],Tabla6[[#All],[PRODUCTO]],0),MATCH(Tabla4[[#This Row],[Mes]],Tabla6[#Headers],0)))</f>
        <v>#N/A</v>
      </c>
      <c r="R1389" s="282" t="e">
        <f>++Tabla4[[#This Row],[Precio Unitario Neto]]-Tabla4[[#This Row],[20.85%]]-Tabla4[[#This Row],[Costo]]</f>
        <v>#N/A</v>
      </c>
      <c r="S1389" s="282" t="e">
        <f>++Tabla4[[#This Row],[U. Bruta Uni]]*Tabla4[[#This Row],[Cantidad]]</f>
        <v>#N/A</v>
      </c>
      <c r="T1389" s="369" t="str">
        <f>VLOOKUP(Tabla4[[#This Row],[Producto]],Tabla6[#All],14,FALSE)</f>
        <v>Termico Solar</v>
      </c>
      <c r="U1389" s="284" t="e">
        <f>(IF(Tabla4[[#This Row],[Familia]]="termico solar",Tabla4[[#This Row],[Utilidad Total]]*6%,Tabla4[[#This Row],[Utilidad Total]]*11.5%))/Tabla4[[#This Row],[Total]]</f>
        <v>#N/A</v>
      </c>
      <c r="V1389" s="282" t="e">
        <f>+Tabla4[[#This Row],[Comisión Calculada]]*Tabla4[[#This Row],[Total]]</f>
        <v>#N/A</v>
      </c>
    </row>
    <row r="1390" spans="1:22" hidden="1" x14ac:dyDescent="0.25">
      <c r="A1390" s="100">
        <v>45747</v>
      </c>
      <c r="B1390" t="str">
        <f t="shared" si="64"/>
        <v>March</v>
      </c>
      <c r="C1390" s="46" t="s">
        <v>280</v>
      </c>
      <c r="F1390" s="366" t="s">
        <v>1256</v>
      </c>
      <c r="G1390" s="46" t="s">
        <v>555</v>
      </c>
      <c r="H1390" s="46">
        <v>8</v>
      </c>
      <c r="I1390" s="51">
        <v>389.47</v>
      </c>
      <c r="J1390" s="281">
        <f>++Tabla4[[#This Row],[Precio Bruto]]*1.16</f>
        <v>451.78519999999997</v>
      </c>
      <c r="K1390" s="281">
        <f>+Tabla4[[#This Row],[Precio Unitario Neto]]*Tabla4[[#Headers],[20.85%]]</f>
        <v>94.197214199999991</v>
      </c>
      <c r="L1390" s="282">
        <f>++Tabla4[[#This Row],[Precio Unitario Neto]]-Tabla4[[#This Row],[20.85%]]</f>
        <v>357.58798579999996</v>
      </c>
      <c r="M1390" s="282" t="e">
        <f>(INDEX(Tabla6[#All],MATCH(Tabla4[[#This Row],[Producto]],Tabla6[[#All],[PRODUCTO]],0),MATCH(Tabla4[[#This Row],[Mes]],Tabla6[#Headers],0)))*(1+Catalogos!$L$2)</f>
        <v>#N/A</v>
      </c>
      <c r="N1390" s="283" t="e">
        <f>+(Tabla4[[#This Row],[Precio Descontado]]-Tabla4[[#This Row],[Precio Base]])*Tabla4[[#This Row],[Cantidad]]</f>
        <v>#N/A</v>
      </c>
      <c r="O1390" s="284" t="e">
        <f>++Tabla4[[#This Row],[Utilidad Total]]/Tabla4[[#This Row],[Total]]</f>
        <v>#N/A</v>
      </c>
      <c r="P1390" s="282">
        <f>++Tabla4[[#This Row],[Precio Descontado]]*Tabla4[[#This Row],[Cantidad]]</f>
        <v>2860.7038863999996</v>
      </c>
      <c r="Q1390" s="282" t="e">
        <f>(INDEX(Tabla6[#All],MATCH(Tabla4[[#This Row],[Producto]],Tabla6[[#All],[PRODUCTO]],0),MATCH(Tabla4[[#This Row],[Mes]],Tabla6[#Headers],0)))</f>
        <v>#N/A</v>
      </c>
      <c r="R1390" s="282" t="e">
        <f>++Tabla4[[#This Row],[Precio Unitario Neto]]-Tabla4[[#This Row],[20.85%]]-Tabla4[[#This Row],[Costo]]</f>
        <v>#N/A</v>
      </c>
      <c r="S1390" s="282" t="e">
        <f>++Tabla4[[#This Row],[U. Bruta Uni]]*Tabla4[[#This Row],[Cantidad]]</f>
        <v>#N/A</v>
      </c>
      <c r="T1390" s="369" t="str">
        <f>VLOOKUP(Tabla4[[#This Row],[Producto]],Tabla6[#All],14,FALSE)</f>
        <v>Termico Solar</v>
      </c>
      <c r="U1390" s="284" t="e">
        <f>(IF(Tabla4[[#This Row],[Familia]]="termico solar",Tabla4[[#This Row],[Utilidad Total]]*6%,Tabla4[[#This Row],[Utilidad Total]]*11.5%))/Tabla4[[#This Row],[Total]]</f>
        <v>#N/A</v>
      </c>
      <c r="V1390" s="282" t="e">
        <f>+Tabla4[[#This Row],[Comisión Calculada]]*Tabla4[[#This Row],[Total]]</f>
        <v>#N/A</v>
      </c>
    </row>
    <row r="1391" spans="1:22" hidden="1" x14ac:dyDescent="0.25">
      <c r="A1391" s="100">
        <v>45747</v>
      </c>
      <c r="B1391" t="str">
        <f t="shared" si="64"/>
        <v>March</v>
      </c>
      <c r="C1391" s="46" t="s">
        <v>280</v>
      </c>
      <c r="F1391" s="366" t="s">
        <v>1256</v>
      </c>
      <c r="G1391" s="46" t="s">
        <v>545</v>
      </c>
      <c r="H1391" s="46">
        <v>24</v>
      </c>
      <c r="I1391" s="51">
        <v>304.32</v>
      </c>
      <c r="J1391" s="281">
        <f>++Tabla4[[#This Row],[Precio Bruto]]*1.16</f>
        <v>353.01119999999997</v>
      </c>
      <c r="K1391" s="281">
        <f>+Tabla4[[#This Row],[Precio Unitario Neto]]*Tabla4[[#Headers],[20.85%]]</f>
        <v>73.602835199999987</v>
      </c>
      <c r="L1391" s="282">
        <f>++Tabla4[[#This Row],[Precio Unitario Neto]]-Tabla4[[#This Row],[20.85%]]</f>
        <v>279.40836479999996</v>
      </c>
      <c r="M1391" s="282" t="e">
        <f>(INDEX(Tabla6[#All],MATCH(Tabla4[[#This Row],[Producto]],Tabla6[[#All],[PRODUCTO]],0),MATCH(Tabla4[[#This Row],[Mes]],Tabla6[#Headers],0)))*(1+Catalogos!$L$2)</f>
        <v>#N/A</v>
      </c>
      <c r="N1391" s="283" t="e">
        <f>+(Tabla4[[#This Row],[Precio Descontado]]-Tabla4[[#This Row],[Precio Base]])*Tabla4[[#This Row],[Cantidad]]</f>
        <v>#N/A</v>
      </c>
      <c r="O1391" s="284" t="e">
        <f>++Tabla4[[#This Row],[Utilidad Total]]/Tabla4[[#This Row],[Total]]</f>
        <v>#N/A</v>
      </c>
      <c r="P1391" s="282">
        <f>++Tabla4[[#This Row],[Precio Descontado]]*Tabla4[[#This Row],[Cantidad]]</f>
        <v>6705.800755199999</v>
      </c>
      <c r="Q1391" s="282" t="e">
        <f>(INDEX(Tabla6[#All],MATCH(Tabla4[[#This Row],[Producto]],Tabla6[[#All],[PRODUCTO]],0),MATCH(Tabla4[[#This Row],[Mes]],Tabla6[#Headers],0)))</f>
        <v>#N/A</v>
      </c>
      <c r="R1391" s="282" t="e">
        <f>++Tabla4[[#This Row],[Precio Unitario Neto]]-Tabla4[[#This Row],[20.85%]]-Tabla4[[#This Row],[Costo]]</f>
        <v>#N/A</v>
      </c>
      <c r="S1391" s="282" t="e">
        <f>++Tabla4[[#This Row],[U. Bruta Uni]]*Tabla4[[#This Row],[Cantidad]]</f>
        <v>#N/A</v>
      </c>
      <c r="T1391" s="369" t="str">
        <f>VLOOKUP(Tabla4[[#This Row],[Producto]],Tabla6[#All],14,FALSE)</f>
        <v>Termico Solar</v>
      </c>
      <c r="U1391" s="284" t="e">
        <f>(IF(Tabla4[[#This Row],[Familia]]="termico solar",Tabla4[[#This Row],[Utilidad Total]]*6%,Tabla4[[#This Row],[Utilidad Total]]*11.5%))/Tabla4[[#This Row],[Total]]</f>
        <v>#N/A</v>
      </c>
      <c r="V1391" s="282" t="e">
        <f>+Tabla4[[#This Row],[Comisión Calculada]]*Tabla4[[#This Row],[Total]]</f>
        <v>#N/A</v>
      </c>
    </row>
    <row r="1392" spans="1:22" hidden="1" x14ac:dyDescent="0.25">
      <c r="A1392" s="100">
        <v>45747</v>
      </c>
      <c r="B1392" t="str">
        <f t="shared" si="64"/>
        <v>March</v>
      </c>
      <c r="C1392" s="46" t="s">
        <v>280</v>
      </c>
      <c r="F1392" s="366" t="s">
        <v>1256</v>
      </c>
      <c r="G1392" s="46" t="s">
        <v>208</v>
      </c>
      <c r="H1392" s="46">
        <v>4</v>
      </c>
      <c r="I1392" s="51">
        <v>189.75</v>
      </c>
      <c r="J1392" s="281">
        <f>++Tabla4[[#This Row],[Precio Bruto]]*1.16</f>
        <v>220.10999999999999</v>
      </c>
      <c r="K1392" s="281">
        <f>+Tabla4[[#This Row],[Precio Unitario Neto]]*Tabla4[[#Headers],[20.85%]]</f>
        <v>45.892934999999994</v>
      </c>
      <c r="L1392" s="282">
        <f>++Tabla4[[#This Row],[Precio Unitario Neto]]-Tabla4[[#This Row],[20.85%]]</f>
        <v>174.21706499999999</v>
      </c>
      <c r="M1392" s="282" t="e">
        <f>(INDEX(Tabla6[#All],MATCH(Tabla4[[#This Row],[Producto]],Tabla6[[#All],[PRODUCTO]],0),MATCH(Tabla4[[#This Row],[Mes]],Tabla6[#Headers],0)))*(1+Catalogos!$L$2)</f>
        <v>#N/A</v>
      </c>
      <c r="N1392" s="283" t="e">
        <f>+(Tabla4[[#This Row],[Precio Descontado]]-Tabla4[[#This Row],[Precio Base]])*Tabla4[[#This Row],[Cantidad]]</f>
        <v>#N/A</v>
      </c>
      <c r="O1392" s="284" t="e">
        <f>++Tabla4[[#This Row],[Utilidad Total]]/Tabla4[[#This Row],[Total]]</f>
        <v>#N/A</v>
      </c>
      <c r="P1392" s="282">
        <f>++Tabla4[[#This Row],[Precio Descontado]]*Tabla4[[#This Row],[Cantidad]]</f>
        <v>696.86825999999996</v>
      </c>
      <c r="Q1392" s="282" t="e">
        <f>(INDEX(Tabla6[#All],MATCH(Tabla4[[#This Row],[Producto]],Tabla6[[#All],[PRODUCTO]],0),MATCH(Tabla4[[#This Row],[Mes]],Tabla6[#Headers],0)))</f>
        <v>#N/A</v>
      </c>
      <c r="R1392" s="282" t="e">
        <f>++Tabla4[[#This Row],[Precio Unitario Neto]]-Tabla4[[#This Row],[20.85%]]-Tabla4[[#This Row],[Costo]]</f>
        <v>#N/A</v>
      </c>
      <c r="S1392" s="282" t="e">
        <f>++Tabla4[[#This Row],[U. Bruta Uni]]*Tabla4[[#This Row],[Cantidad]]</f>
        <v>#N/A</v>
      </c>
      <c r="T1392" s="369" t="str">
        <f>VLOOKUP(Tabla4[[#This Row],[Producto]],Tabla6[#All],14,FALSE)</f>
        <v>Termico Solar</v>
      </c>
      <c r="U1392" s="284" t="e">
        <f>(IF(Tabla4[[#This Row],[Familia]]="termico solar",Tabla4[[#This Row],[Utilidad Total]]*6%,Tabla4[[#This Row],[Utilidad Total]]*11.5%))/Tabla4[[#This Row],[Total]]</f>
        <v>#N/A</v>
      </c>
      <c r="V1392" s="282" t="e">
        <f>+Tabla4[[#This Row],[Comisión Calculada]]*Tabla4[[#This Row],[Total]]</f>
        <v>#N/A</v>
      </c>
    </row>
    <row r="1393" spans="1:22" hidden="1" x14ac:dyDescent="0.25">
      <c r="A1393" s="100">
        <v>45747</v>
      </c>
      <c r="B1393" t="str">
        <f t="shared" si="64"/>
        <v>March</v>
      </c>
      <c r="C1393" s="46" t="s">
        <v>280</v>
      </c>
      <c r="F1393" s="366" t="s">
        <v>1256</v>
      </c>
      <c r="G1393" s="46" t="s">
        <v>209</v>
      </c>
      <c r="H1393" s="46">
        <v>4</v>
      </c>
      <c r="I1393" s="51">
        <v>347.48</v>
      </c>
      <c r="J1393" s="281">
        <f>++Tabla4[[#This Row],[Precio Bruto]]*1.16</f>
        <v>403.07679999999999</v>
      </c>
      <c r="K1393" s="281">
        <f>+Tabla4[[#This Row],[Precio Unitario Neto]]*Tabla4[[#Headers],[20.85%]]</f>
        <v>84.041512799999992</v>
      </c>
      <c r="L1393" s="282">
        <f>++Tabla4[[#This Row],[Precio Unitario Neto]]-Tabla4[[#This Row],[20.85%]]</f>
        <v>319.03528719999997</v>
      </c>
      <c r="M1393" s="282" t="e">
        <f>(INDEX(Tabla6[#All],MATCH(Tabla4[[#This Row],[Producto]],Tabla6[[#All],[PRODUCTO]],0),MATCH(Tabla4[[#This Row],[Mes]],Tabla6[#Headers],0)))*(1+Catalogos!$L$2)</f>
        <v>#N/A</v>
      </c>
      <c r="N1393" s="283" t="e">
        <f>+(Tabla4[[#This Row],[Precio Descontado]]-Tabla4[[#This Row],[Precio Base]])*Tabla4[[#This Row],[Cantidad]]</f>
        <v>#N/A</v>
      </c>
      <c r="O1393" s="284" t="e">
        <f>++Tabla4[[#This Row],[Utilidad Total]]/Tabla4[[#This Row],[Total]]</f>
        <v>#N/A</v>
      </c>
      <c r="P1393" s="282">
        <f>++Tabla4[[#This Row],[Precio Descontado]]*Tabla4[[#This Row],[Cantidad]]</f>
        <v>1276.1411487999999</v>
      </c>
      <c r="Q1393" s="282" t="e">
        <f>(INDEX(Tabla6[#All],MATCH(Tabla4[[#This Row],[Producto]],Tabla6[[#All],[PRODUCTO]],0),MATCH(Tabla4[[#This Row],[Mes]],Tabla6[#Headers],0)))</f>
        <v>#N/A</v>
      </c>
      <c r="R1393" s="282" t="e">
        <f>++Tabla4[[#This Row],[Precio Unitario Neto]]-Tabla4[[#This Row],[20.85%]]-Tabla4[[#This Row],[Costo]]</f>
        <v>#N/A</v>
      </c>
      <c r="S1393" s="282" t="e">
        <f>++Tabla4[[#This Row],[U. Bruta Uni]]*Tabla4[[#This Row],[Cantidad]]</f>
        <v>#N/A</v>
      </c>
      <c r="T1393" s="369" t="str">
        <f>VLOOKUP(Tabla4[[#This Row],[Producto]],Tabla6[#All],14,FALSE)</f>
        <v>Termico Solar</v>
      </c>
      <c r="U1393" s="284" t="e">
        <f>(IF(Tabla4[[#This Row],[Familia]]="termico solar",Tabla4[[#This Row],[Utilidad Total]]*6%,Tabla4[[#This Row],[Utilidad Total]]*11.5%))/Tabla4[[#This Row],[Total]]</f>
        <v>#N/A</v>
      </c>
      <c r="V1393" s="282" t="e">
        <f>+Tabla4[[#This Row],[Comisión Calculada]]*Tabla4[[#This Row],[Total]]</f>
        <v>#N/A</v>
      </c>
    </row>
    <row r="1394" spans="1:22" hidden="1" x14ac:dyDescent="0.25">
      <c r="A1394" s="100">
        <v>45747</v>
      </c>
      <c r="B1394" t="str">
        <f t="shared" ref="B1394:B1400" si="65">TEXT(A1394, "mmmm")</f>
        <v>March</v>
      </c>
      <c r="C1394" s="46" t="s">
        <v>280</v>
      </c>
      <c r="F1394" s="366" t="s">
        <v>1257</v>
      </c>
      <c r="G1394" s="46" t="s">
        <v>83</v>
      </c>
      <c r="H1394" s="46">
        <v>1</v>
      </c>
      <c r="I1394" s="51">
        <v>8858.76</v>
      </c>
      <c r="J1394" s="281">
        <f>++Tabla4[[#This Row],[Precio Bruto]]*1.16</f>
        <v>10276.161599999999</v>
      </c>
      <c r="K1394" s="281">
        <f>+Tabla4[[#This Row],[Precio Unitario Neto]]*Tabla4[[#Headers],[20.85%]]</f>
        <v>2142.5796935999997</v>
      </c>
      <c r="L1394" s="282">
        <f>++Tabla4[[#This Row],[Precio Unitario Neto]]-Tabla4[[#This Row],[20.85%]]</f>
        <v>8133.5819063999998</v>
      </c>
      <c r="M1394" s="282" t="e">
        <f>(INDEX(Tabla6[#All],MATCH(Tabla4[[#This Row],[Producto]],Tabla6[[#All],[PRODUCTO]],0),MATCH(Tabla4[[#This Row],[Mes]],Tabla6[#Headers],0)))*(1+Catalogos!$L$2)</f>
        <v>#N/A</v>
      </c>
      <c r="N1394" s="283" t="e">
        <f>+(Tabla4[[#This Row],[Precio Descontado]]-Tabla4[[#This Row],[Precio Base]])*Tabla4[[#This Row],[Cantidad]]</f>
        <v>#N/A</v>
      </c>
      <c r="O1394" s="284" t="e">
        <f>++Tabla4[[#This Row],[Utilidad Total]]/Tabla4[[#This Row],[Total]]</f>
        <v>#N/A</v>
      </c>
      <c r="P1394" s="282">
        <f>++Tabla4[[#This Row],[Precio Descontado]]*Tabla4[[#This Row],[Cantidad]]</f>
        <v>8133.5819063999998</v>
      </c>
      <c r="Q1394" s="282" t="e">
        <f>(INDEX(Tabla6[#All],MATCH(Tabla4[[#This Row],[Producto]],Tabla6[[#All],[PRODUCTO]],0),MATCH(Tabla4[[#This Row],[Mes]],Tabla6[#Headers],0)))</f>
        <v>#N/A</v>
      </c>
      <c r="R1394" s="282" t="e">
        <f>++Tabla4[[#This Row],[Precio Unitario Neto]]-Tabla4[[#This Row],[20.85%]]-Tabla4[[#This Row],[Costo]]</f>
        <v>#N/A</v>
      </c>
      <c r="S1394" s="282" t="e">
        <f>++Tabla4[[#This Row],[U. Bruta Uni]]*Tabla4[[#This Row],[Cantidad]]</f>
        <v>#N/A</v>
      </c>
      <c r="T1394" s="369" t="str">
        <f>VLOOKUP(Tabla4[[#This Row],[Producto]],Tabla6[#All],14,FALSE)</f>
        <v>Termico Solar</v>
      </c>
      <c r="U1394" s="284" t="e">
        <f>(IF(Tabla4[[#This Row],[Familia]]="termico solar",Tabla4[[#This Row],[Utilidad Total]]*6%,Tabla4[[#This Row],[Utilidad Total]]*11.5%))/Tabla4[[#This Row],[Total]]</f>
        <v>#N/A</v>
      </c>
      <c r="V1394" s="282" t="e">
        <f>+Tabla4[[#This Row],[Comisión Calculada]]*Tabla4[[#This Row],[Total]]</f>
        <v>#N/A</v>
      </c>
    </row>
    <row r="1395" spans="1:22" hidden="1" x14ac:dyDescent="0.25">
      <c r="A1395" s="100">
        <v>45747</v>
      </c>
      <c r="B1395" t="str">
        <f t="shared" si="65"/>
        <v>March</v>
      </c>
      <c r="C1395" s="46" t="s">
        <v>280</v>
      </c>
      <c r="F1395" s="366" t="s">
        <v>1257</v>
      </c>
      <c r="G1395" s="46" t="s">
        <v>394</v>
      </c>
      <c r="H1395" s="46">
        <v>16</v>
      </c>
      <c r="I1395" s="51">
        <v>224.29</v>
      </c>
      <c r="J1395" s="281">
        <f>++Tabla4[[#This Row],[Precio Bruto]]*1.16</f>
        <v>260.1764</v>
      </c>
      <c r="K1395" s="281">
        <f>+Tabla4[[#This Row],[Precio Unitario Neto]]*Tabla4[[#Headers],[20.85%]]</f>
        <v>54.246779400000001</v>
      </c>
      <c r="L1395" s="282">
        <f>++Tabla4[[#This Row],[Precio Unitario Neto]]-Tabla4[[#This Row],[20.85%]]</f>
        <v>205.92962059999999</v>
      </c>
      <c r="M1395" s="282" t="e">
        <f>(INDEX(Tabla6[#All],MATCH(Tabla4[[#This Row],[Producto]],Tabla6[[#All],[PRODUCTO]],0),MATCH(Tabla4[[#This Row],[Mes]],Tabla6[#Headers],0)))*(1+Catalogos!$L$2)</f>
        <v>#N/A</v>
      </c>
      <c r="N1395" s="283" t="e">
        <f>+(Tabla4[[#This Row],[Precio Descontado]]-Tabla4[[#This Row],[Precio Base]])*Tabla4[[#This Row],[Cantidad]]</f>
        <v>#N/A</v>
      </c>
      <c r="O1395" s="284" t="e">
        <f>++Tabla4[[#This Row],[Utilidad Total]]/Tabla4[[#This Row],[Total]]</f>
        <v>#N/A</v>
      </c>
      <c r="P1395" s="282">
        <f>++Tabla4[[#This Row],[Precio Descontado]]*Tabla4[[#This Row],[Cantidad]]</f>
        <v>3294.8739295999999</v>
      </c>
      <c r="Q1395" s="282" t="e">
        <f>(INDEX(Tabla6[#All],MATCH(Tabla4[[#This Row],[Producto]],Tabla6[[#All],[PRODUCTO]],0),MATCH(Tabla4[[#This Row],[Mes]],Tabla6[#Headers],0)))</f>
        <v>#N/A</v>
      </c>
      <c r="R1395" s="282" t="e">
        <f>++Tabla4[[#This Row],[Precio Unitario Neto]]-Tabla4[[#This Row],[20.85%]]-Tabla4[[#This Row],[Costo]]</f>
        <v>#N/A</v>
      </c>
      <c r="S1395" s="282" t="e">
        <f>++Tabla4[[#This Row],[U. Bruta Uni]]*Tabla4[[#This Row],[Cantidad]]</f>
        <v>#N/A</v>
      </c>
      <c r="T1395" s="369" t="str">
        <f>VLOOKUP(Tabla4[[#This Row],[Producto]],Tabla6[#All],14,FALSE)</f>
        <v>Termico Solar</v>
      </c>
      <c r="U1395" s="284" t="e">
        <f>(IF(Tabla4[[#This Row],[Familia]]="termico solar",Tabla4[[#This Row],[Utilidad Total]]*6%,Tabla4[[#This Row],[Utilidad Total]]*11.5%))/Tabla4[[#This Row],[Total]]</f>
        <v>#N/A</v>
      </c>
      <c r="V1395" s="282" t="e">
        <f>+Tabla4[[#This Row],[Comisión Calculada]]*Tabla4[[#This Row],[Total]]</f>
        <v>#N/A</v>
      </c>
    </row>
    <row r="1396" spans="1:22" hidden="1" x14ac:dyDescent="0.25">
      <c r="A1396" s="100">
        <v>45747</v>
      </c>
      <c r="B1396" t="str">
        <f t="shared" si="65"/>
        <v>March</v>
      </c>
      <c r="C1396" s="46" t="s">
        <v>280</v>
      </c>
      <c r="F1396" s="366" t="s">
        <v>1257</v>
      </c>
      <c r="G1396" s="46" t="s">
        <v>200</v>
      </c>
      <c r="H1396" s="46">
        <v>12</v>
      </c>
      <c r="I1396" s="51">
        <v>393.22</v>
      </c>
      <c r="J1396" s="281">
        <f>++Tabla4[[#This Row],[Precio Bruto]]*1.16</f>
        <v>456.1352</v>
      </c>
      <c r="K1396" s="281">
        <f>+Tabla4[[#This Row],[Precio Unitario Neto]]*Tabla4[[#Headers],[20.85%]]</f>
        <v>95.104189199999993</v>
      </c>
      <c r="L1396" s="282">
        <f>++Tabla4[[#This Row],[Precio Unitario Neto]]-Tabla4[[#This Row],[20.85%]]</f>
        <v>361.03101079999999</v>
      </c>
      <c r="M1396" s="282" t="e">
        <f>(INDEX(Tabla6[#All],MATCH(Tabla4[[#This Row],[Producto]],Tabla6[[#All],[PRODUCTO]],0),MATCH(Tabla4[[#This Row],[Mes]],Tabla6[#Headers],0)))*(1+Catalogos!$L$2)</f>
        <v>#N/A</v>
      </c>
      <c r="N1396" s="283" t="e">
        <f>+(Tabla4[[#This Row],[Precio Descontado]]-Tabla4[[#This Row],[Precio Base]])*Tabla4[[#This Row],[Cantidad]]</f>
        <v>#N/A</v>
      </c>
      <c r="O1396" s="284" t="e">
        <f>++Tabla4[[#This Row],[Utilidad Total]]/Tabla4[[#This Row],[Total]]</f>
        <v>#N/A</v>
      </c>
      <c r="P1396" s="282">
        <f>++Tabla4[[#This Row],[Precio Descontado]]*Tabla4[[#This Row],[Cantidad]]</f>
        <v>4332.3721296000003</v>
      </c>
      <c r="Q1396" s="282" t="e">
        <f>(INDEX(Tabla6[#All],MATCH(Tabla4[[#This Row],[Producto]],Tabla6[[#All],[PRODUCTO]],0),MATCH(Tabla4[[#This Row],[Mes]],Tabla6[#Headers],0)))</f>
        <v>#N/A</v>
      </c>
      <c r="R1396" s="282" t="e">
        <f>++Tabla4[[#This Row],[Precio Unitario Neto]]-Tabla4[[#This Row],[20.85%]]-Tabla4[[#This Row],[Costo]]</f>
        <v>#N/A</v>
      </c>
      <c r="S1396" s="282" t="e">
        <f>++Tabla4[[#This Row],[U. Bruta Uni]]*Tabla4[[#This Row],[Cantidad]]</f>
        <v>#N/A</v>
      </c>
      <c r="T1396" s="369" t="str">
        <f>VLOOKUP(Tabla4[[#This Row],[Producto]],Tabla6[#All],14,FALSE)</f>
        <v>Termico Solar</v>
      </c>
      <c r="U1396" s="284" t="e">
        <f>(IF(Tabla4[[#This Row],[Familia]]="termico solar",Tabla4[[#This Row],[Utilidad Total]]*6%,Tabla4[[#This Row],[Utilidad Total]]*11.5%))/Tabla4[[#This Row],[Total]]</f>
        <v>#N/A</v>
      </c>
      <c r="V1396" s="282" t="e">
        <f>+Tabla4[[#This Row],[Comisión Calculada]]*Tabla4[[#This Row],[Total]]</f>
        <v>#N/A</v>
      </c>
    </row>
    <row r="1397" spans="1:22" hidden="1" x14ac:dyDescent="0.25">
      <c r="A1397" s="100">
        <v>45747</v>
      </c>
      <c r="B1397" t="str">
        <f t="shared" si="65"/>
        <v>March</v>
      </c>
      <c r="C1397" s="46" t="s">
        <v>280</v>
      </c>
      <c r="F1397" s="366" t="s">
        <v>1257</v>
      </c>
      <c r="G1397" s="46" t="s">
        <v>555</v>
      </c>
      <c r="H1397" s="46">
        <v>8</v>
      </c>
      <c r="I1397" s="51">
        <v>389.47</v>
      </c>
      <c r="J1397" s="281">
        <f>++Tabla4[[#This Row],[Precio Bruto]]*1.16</f>
        <v>451.78519999999997</v>
      </c>
      <c r="K1397" s="281">
        <f>+Tabla4[[#This Row],[Precio Unitario Neto]]*Tabla4[[#Headers],[20.85%]]</f>
        <v>94.197214199999991</v>
      </c>
      <c r="L1397" s="282">
        <f>++Tabla4[[#This Row],[Precio Unitario Neto]]-Tabla4[[#This Row],[20.85%]]</f>
        <v>357.58798579999996</v>
      </c>
      <c r="M1397" s="282" t="e">
        <f>(INDEX(Tabla6[#All],MATCH(Tabla4[[#This Row],[Producto]],Tabla6[[#All],[PRODUCTO]],0),MATCH(Tabla4[[#This Row],[Mes]],Tabla6[#Headers],0)))*(1+Catalogos!$L$2)</f>
        <v>#N/A</v>
      </c>
      <c r="N1397" s="283" t="e">
        <f>+(Tabla4[[#This Row],[Precio Descontado]]-Tabla4[[#This Row],[Precio Base]])*Tabla4[[#This Row],[Cantidad]]</f>
        <v>#N/A</v>
      </c>
      <c r="O1397" s="284" t="e">
        <f>++Tabla4[[#This Row],[Utilidad Total]]/Tabla4[[#This Row],[Total]]</f>
        <v>#N/A</v>
      </c>
      <c r="P1397" s="282">
        <f>++Tabla4[[#This Row],[Precio Descontado]]*Tabla4[[#This Row],[Cantidad]]</f>
        <v>2860.7038863999996</v>
      </c>
      <c r="Q1397" s="282" t="e">
        <f>(INDEX(Tabla6[#All],MATCH(Tabla4[[#This Row],[Producto]],Tabla6[[#All],[PRODUCTO]],0),MATCH(Tabla4[[#This Row],[Mes]],Tabla6[#Headers],0)))</f>
        <v>#N/A</v>
      </c>
      <c r="R1397" s="282" t="e">
        <f>++Tabla4[[#This Row],[Precio Unitario Neto]]-Tabla4[[#This Row],[20.85%]]-Tabla4[[#This Row],[Costo]]</f>
        <v>#N/A</v>
      </c>
      <c r="S1397" s="282" t="e">
        <f>++Tabla4[[#This Row],[U. Bruta Uni]]*Tabla4[[#This Row],[Cantidad]]</f>
        <v>#N/A</v>
      </c>
      <c r="T1397" s="369" t="str">
        <f>VLOOKUP(Tabla4[[#This Row],[Producto]],Tabla6[#All],14,FALSE)</f>
        <v>Termico Solar</v>
      </c>
      <c r="U1397" s="284" t="e">
        <f>(IF(Tabla4[[#This Row],[Familia]]="termico solar",Tabla4[[#This Row],[Utilidad Total]]*6%,Tabla4[[#This Row],[Utilidad Total]]*11.5%))/Tabla4[[#This Row],[Total]]</f>
        <v>#N/A</v>
      </c>
      <c r="V1397" s="282" t="e">
        <f>+Tabla4[[#This Row],[Comisión Calculada]]*Tabla4[[#This Row],[Total]]</f>
        <v>#N/A</v>
      </c>
    </row>
    <row r="1398" spans="1:22" hidden="1" x14ac:dyDescent="0.25">
      <c r="A1398" s="100">
        <v>45747</v>
      </c>
      <c r="B1398" t="str">
        <f t="shared" si="65"/>
        <v>March</v>
      </c>
      <c r="C1398" s="46" t="s">
        <v>280</v>
      </c>
      <c r="F1398" s="366" t="s">
        <v>1257</v>
      </c>
      <c r="G1398" s="46" t="s">
        <v>545</v>
      </c>
      <c r="H1398" s="46">
        <v>24</v>
      </c>
      <c r="I1398" s="51">
        <v>304.32</v>
      </c>
      <c r="J1398" s="281">
        <f>++Tabla4[[#This Row],[Precio Bruto]]*1.16</f>
        <v>353.01119999999997</v>
      </c>
      <c r="K1398" s="281">
        <f>+Tabla4[[#This Row],[Precio Unitario Neto]]*Tabla4[[#Headers],[20.85%]]</f>
        <v>73.602835199999987</v>
      </c>
      <c r="L1398" s="282">
        <f>++Tabla4[[#This Row],[Precio Unitario Neto]]-Tabla4[[#This Row],[20.85%]]</f>
        <v>279.40836479999996</v>
      </c>
      <c r="M1398" s="282" t="e">
        <f>(INDEX(Tabla6[#All],MATCH(Tabla4[[#This Row],[Producto]],Tabla6[[#All],[PRODUCTO]],0),MATCH(Tabla4[[#This Row],[Mes]],Tabla6[#Headers],0)))*(1+Catalogos!$L$2)</f>
        <v>#N/A</v>
      </c>
      <c r="N1398" s="283" t="e">
        <f>+(Tabla4[[#This Row],[Precio Descontado]]-Tabla4[[#This Row],[Precio Base]])*Tabla4[[#This Row],[Cantidad]]</f>
        <v>#N/A</v>
      </c>
      <c r="O1398" s="284" t="e">
        <f>++Tabla4[[#This Row],[Utilidad Total]]/Tabla4[[#This Row],[Total]]</f>
        <v>#N/A</v>
      </c>
      <c r="P1398" s="282">
        <f>++Tabla4[[#This Row],[Precio Descontado]]*Tabla4[[#This Row],[Cantidad]]</f>
        <v>6705.800755199999</v>
      </c>
      <c r="Q1398" s="282" t="e">
        <f>(INDEX(Tabla6[#All],MATCH(Tabla4[[#This Row],[Producto]],Tabla6[[#All],[PRODUCTO]],0),MATCH(Tabla4[[#This Row],[Mes]],Tabla6[#Headers],0)))</f>
        <v>#N/A</v>
      </c>
      <c r="R1398" s="282" t="e">
        <f>++Tabla4[[#This Row],[Precio Unitario Neto]]-Tabla4[[#This Row],[20.85%]]-Tabla4[[#This Row],[Costo]]</f>
        <v>#N/A</v>
      </c>
      <c r="S1398" s="282" t="e">
        <f>++Tabla4[[#This Row],[U. Bruta Uni]]*Tabla4[[#This Row],[Cantidad]]</f>
        <v>#N/A</v>
      </c>
      <c r="T1398" s="369" t="str">
        <f>VLOOKUP(Tabla4[[#This Row],[Producto]],Tabla6[#All],14,FALSE)</f>
        <v>Termico Solar</v>
      </c>
      <c r="U1398" s="284" t="e">
        <f>(IF(Tabla4[[#This Row],[Familia]]="termico solar",Tabla4[[#This Row],[Utilidad Total]]*6%,Tabla4[[#This Row],[Utilidad Total]]*11.5%))/Tabla4[[#This Row],[Total]]</f>
        <v>#N/A</v>
      </c>
      <c r="V1398" s="282" t="e">
        <f>+Tabla4[[#This Row],[Comisión Calculada]]*Tabla4[[#This Row],[Total]]</f>
        <v>#N/A</v>
      </c>
    </row>
    <row r="1399" spans="1:22" hidden="1" x14ac:dyDescent="0.25">
      <c r="A1399" s="100">
        <v>45747</v>
      </c>
      <c r="B1399" t="str">
        <f t="shared" si="65"/>
        <v>March</v>
      </c>
      <c r="C1399" s="46" t="s">
        <v>280</v>
      </c>
      <c r="F1399" s="366" t="s">
        <v>1257</v>
      </c>
      <c r="G1399" s="46" t="s">
        <v>208</v>
      </c>
      <c r="H1399" s="46">
        <v>4</v>
      </c>
      <c r="I1399" s="51">
        <v>189.75</v>
      </c>
      <c r="J1399" s="281">
        <f>++Tabla4[[#This Row],[Precio Bruto]]*1.16</f>
        <v>220.10999999999999</v>
      </c>
      <c r="K1399" s="281">
        <f>+Tabla4[[#This Row],[Precio Unitario Neto]]*Tabla4[[#Headers],[20.85%]]</f>
        <v>45.892934999999994</v>
      </c>
      <c r="L1399" s="282">
        <f>++Tabla4[[#This Row],[Precio Unitario Neto]]-Tabla4[[#This Row],[20.85%]]</f>
        <v>174.21706499999999</v>
      </c>
      <c r="M1399" s="282" t="e">
        <f>(INDEX(Tabla6[#All],MATCH(Tabla4[[#This Row],[Producto]],Tabla6[[#All],[PRODUCTO]],0),MATCH(Tabla4[[#This Row],[Mes]],Tabla6[#Headers],0)))*(1+Catalogos!$L$2)</f>
        <v>#N/A</v>
      </c>
      <c r="N1399" s="283" t="e">
        <f>+(Tabla4[[#This Row],[Precio Descontado]]-Tabla4[[#This Row],[Precio Base]])*Tabla4[[#This Row],[Cantidad]]</f>
        <v>#N/A</v>
      </c>
      <c r="O1399" s="284" t="e">
        <f>++Tabla4[[#This Row],[Utilidad Total]]/Tabla4[[#This Row],[Total]]</f>
        <v>#N/A</v>
      </c>
      <c r="P1399" s="282">
        <f>++Tabla4[[#This Row],[Precio Descontado]]*Tabla4[[#This Row],[Cantidad]]</f>
        <v>696.86825999999996</v>
      </c>
      <c r="Q1399" s="282" t="e">
        <f>(INDEX(Tabla6[#All],MATCH(Tabla4[[#This Row],[Producto]],Tabla6[[#All],[PRODUCTO]],0),MATCH(Tabla4[[#This Row],[Mes]],Tabla6[#Headers],0)))</f>
        <v>#N/A</v>
      </c>
      <c r="R1399" s="282" t="e">
        <f>++Tabla4[[#This Row],[Precio Unitario Neto]]-Tabla4[[#This Row],[20.85%]]-Tabla4[[#This Row],[Costo]]</f>
        <v>#N/A</v>
      </c>
      <c r="S1399" s="282" t="e">
        <f>++Tabla4[[#This Row],[U. Bruta Uni]]*Tabla4[[#This Row],[Cantidad]]</f>
        <v>#N/A</v>
      </c>
      <c r="T1399" s="369" t="str">
        <f>VLOOKUP(Tabla4[[#This Row],[Producto]],Tabla6[#All],14,FALSE)</f>
        <v>Termico Solar</v>
      </c>
      <c r="U1399" s="284" t="e">
        <f>(IF(Tabla4[[#This Row],[Familia]]="termico solar",Tabla4[[#This Row],[Utilidad Total]]*6%,Tabla4[[#This Row],[Utilidad Total]]*11.5%))/Tabla4[[#This Row],[Total]]</f>
        <v>#N/A</v>
      </c>
      <c r="V1399" s="282" t="e">
        <f>+Tabla4[[#This Row],[Comisión Calculada]]*Tabla4[[#This Row],[Total]]</f>
        <v>#N/A</v>
      </c>
    </row>
    <row r="1400" spans="1:22" hidden="1" x14ac:dyDescent="0.25">
      <c r="A1400" s="100">
        <v>45747</v>
      </c>
      <c r="B1400" t="str">
        <f t="shared" si="65"/>
        <v>March</v>
      </c>
      <c r="C1400" s="46" t="s">
        <v>280</v>
      </c>
      <c r="F1400" s="366" t="s">
        <v>1257</v>
      </c>
      <c r="G1400" s="46" t="s">
        <v>209</v>
      </c>
      <c r="H1400" s="46">
        <v>4</v>
      </c>
      <c r="I1400" s="51">
        <v>347.48</v>
      </c>
      <c r="J1400" s="281">
        <f>++Tabla4[[#This Row],[Precio Bruto]]*1.16</f>
        <v>403.07679999999999</v>
      </c>
      <c r="K1400" s="281">
        <f>+Tabla4[[#This Row],[Precio Unitario Neto]]*Tabla4[[#Headers],[20.85%]]</f>
        <v>84.041512799999992</v>
      </c>
      <c r="L1400" s="282">
        <f>++Tabla4[[#This Row],[Precio Unitario Neto]]-Tabla4[[#This Row],[20.85%]]</f>
        <v>319.03528719999997</v>
      </c>
      <c r="M1400" s="282" t="e">
        <f>(INDEX(Tabla6[#All],MATCH(Tabla4[[#This Row],[Producto]],Tabla6[[#All],[PRODUCTO]],0),MATCH(Tabla4[[#This Row],[Mes]],Tabla6[#Headers],0)))*(1+Catalogos!$L$2)</f>
        <v>#N/A</v>
      </c>
      <c r="N1400" s="283" t="e">
        <f>+(Tabla4[[#This Row],[Precio Descontado]]-Tabla4[[#This Row],[Precio Base]])*Tabla4[[#This Row],[Cantidad]]</f>
        <v>#N/A</v>
      </c>
      <c r="O1400" s="284" t="e">
        <f>++Tabla4[[#This Row],[Utilidad Total]]/Tabla4[[#This Row],[Total]]</f>
        <v>#N/A</v>
      </c>
      <c r="P1400" s="282">
        <f>++Tabla4[[#This Row],[Precio Descontado]]*Tabla4[[#This Row],[Cantidad]]</f>
        <v>1276.1411487999999</v>
      </c>
      <c r="Q1400" s="282" t="e">
        <f>(INDEX(Tabla6[#All],MATCH(Tabla4[[#This Row],[Producto]],Tabla6[[#All],[PRODUCTO]],0),MATCH(Tabla4[[#This Row],[Mes]],Tabla6[#Headers],0)))</f>
        <v>#N/A</v>
      </c>
      <c r="R1400" s="282" t="e">
        <f>++Tabla4[[#This Row],[Precio Unitario Neto]]-Tabla4[[#This Row],[20.85%]]-Tabla4[[#This Row],[Costo]]</f>
        <v>#N/A</v>
      </c>
      <c r="S1400" s="282" t="e">
        <f>++Tabla4[[#This Row],[U. Bruta Uni]]*Tabla4[[#This Row],[Cantidad]]</f>
        <v>#N/A</v>
      </c>
      <c r="T1400" s="369" t="str">
        <f>VLOOKUP(Tabla4[[#This Row],[Producto]],Tabla6[#All],14,FALSE)</f>
        <v>Termico Solar</v>
      </c>
      <c r="U1400" s="284" t="e">
        <f>(IF(Tabla4[[#This Row],[Familia]]="termico solar",Tabla4[[#This Row],[Utilidad Total]]*6%,Tabla4[[#This Row],[Utilidad Total]]*11.5%))/Tabla4[[#This Row],[Total]]</f>
        <v>#N/A</v>
      </c>
      <c r="V1400" s="282" t="e">
        <f>+Tabla4[[#This Row],[Comisión Calculada]]*Tabla4[[#This Row],[Total]]</f>
        <v>#N/A</v>
      </c>
    </row>
    <row r="1401" spans="1:22" hidden="1" x14ac:dyDescent="0.25">
      <c r="A1401" s="100">
        <v>45747</v>
      </c>
      <c r="B1401" t="str">
        <f t="shared" ref="B1401:B1440" si="66">TEXT(A1401, "mmmm")</f>
        <v>March</v>
      </c>
      <c r="C1401" s="46" t="s">
        <v>280</v>
      </c>
      <c r="F1401" s="366" t="s">
        <v>1258</v>
      </c>
      <c r="G1401" s="46" t="s">
        <v>17</v>
      </c>
      <c r="H1401" s="46">
        <v>1</v>
      </c>
      <c r="I1401" s="51">
        <v>4622.28</v>
      </c>
      <c r="J1401" s="281">
        <f>++Tabla4[[#This Row],[Precio Bruto]]*1.16</f>
        <v>5361.8447999999989</v>
      </c>
      <c r="K1401" s="281">
        <f>+Tabla4[[#This Row],[Precio Unitario Neto]]*Tabla4[[#Headers],[20.85%]]</f>
        <v>1117.9446407999997</v>
      </c>
      <c r="L1401" s="282">
        <f>++Tabla4[[#This Row],[Precio Unitario Neto]]-Tabla4[[#This Row],[20.85%]]</f>
        <v>4243.9001591999995</v>
      </c>
      <c r="M1401" s="282" t="e">
        <f>(INDEX(Tabla6[#All],MATCH(Tabla4[[#This Row],[Producto]],Tabla6[[#All],[PRODUCTO]],0),MATCH(Tabla4[[#This Row],[Mes]],Tabla6[#Headers],0)))*(1+Catalogos!$L$2)</f>
        <v>#N/A</v>
      </c>
      <c r="N1401" s="283" t="e">
        <f>+(Tabla4[[#This Row],[Precio Descontado]]-Tabla4[[#This Row],[Precio Base]])*Tabla4[[#This Row],[Cantidad]]</f>
        <v>#N/A</v>
      </c>
      <c r="O1401" s="284" t="e">
        <f>++Tabla4[[#This Row],[Utilidad Total]]/Tabla4[[#This Row],[Total]]</f>
        <v>#N/A</v>
      </c>
      <c r="P1401" s="282">
        <f>++Tabla4[[#This Row],[Precio Descontado]]*Tabla4[[#This Row],[Cantidad]]</f>
        <v>4243.9001591999995</v>
      </c>
      <c r="Q1401" s="282" t="e">
        <f>(INDEX(Tabla6[#All],MATCH(Tabla4[[#This Row],[Producto]],Tabla6[[#All],[PRODUCTO]],0),MATCH(Tabla4[[#This Row],[Mes]],Tabla6[#Headers],0)))</f>
        <v>#N/A</v>
      </c>
      <c r="R1401" s="282" t="e">
        <f>++Tabla4[[#This Row],[Precio Unitario Neto]]-Tabla4[[#This Row],[20.85%]]-Tabla4[[#This Row],[Costo]]</f>
        <v>#N/A</v>
      </c>
      <c r="S1401" s="282" t="e">
        <f>++Tabla4[[#This Row],[U. Bruta Uni]]*Tabla4[[#This Row],[Cantidad]]</f>
        <v>#N/A</v>
      </c>
      <c r="T1401" s="369" t="str">
        <f>VLOOKUP(Tabla4[[#This Row],[Producto]],Tabla6[#All],14,FALSE)</f>
        <v>Termico Solar</v>
      </c>
      <c r="U1401" s="284" t="e">
        <f>(IF(Tabla4[[#This Row],[Familia]]="termico solar",Tabla4[[#This Row],[Utilidad Total]]*6%,Tabla4[[#This Row],[Utilidad Total]]*11.5%))/Tabla4[[#This Row],[Total]]</f>
        <v>#N/A</v>
      </c>
      <c r="V1401" s="282" t="e">
        <f>+Tabla4[[#This Row],[Comisión Calculada]]*Tabla4[[#This Row],[Total]]</f>
        <v>#N/A</v>
      </c>
    </row>
    <row r="1402" spans="1:22" hidden="1" x14ac:dyDescent="0.25">
      <c r="A1402" s="100">
        <v>45747</v>
      </c>
      <c r="B1402" t="str">
        <f t="shared" si="66"/>
        <v>March</v>
      </c>
      <c r="C1402" s="46" t="s">
        <v>280</v>
      </c>
      <c r="F1402" s="366" t="s">
        <v>1259</v>
      </c>
      <c r="G1402" s="46" t="s">
        <v>18</v>
      </c>
      <c r="H1402" s="46">
        <v>1</v>
      </c>
      <c r="I1402" s="51">
        <v>5367.65</v>
      </c>
      <c r="J1402" s="281">
        <f>++Tabla4[[#This Row],[Precio Bruto]]*1.16</f>
        <v>6226.4739999999993</v>
      </c>
      <c r="K1402" s="281">
        <f>+Tabla4[[#This Row],[Precio Unitario Neto]]*Tabla4[[#Headers],[20.85%]]</f>
        <v>1298.2198289999999</v>
      </c>
      <c r="L1402" s="282">
        <f>++Tabla4[[#This Row],[Precio Unitario Neto]]-Tabla4[[#This Row],[20.85%]]</f>
        <v>4928.2541709999996</v>
      </c>
      <c r="M1402" s="282" t="e">
        <f>(INDEX(Tabla6[#All],MATCH(Tabla4[[#This Row],[Producto]],Tabla6[[#All],[PRODUCTO]],0),MATCH(Tabla4[[#This Row],[Mes]],Tabla6[#Headers],0)))*(1+Catalogos!$L$2)</f>
        <v>#N/A</v>
      </c>
      <c r="N1402" s="283" t="e">
        <f>+(Tabla4[[#This Row],[Precio Descontado]]-Tabla4[[#This Row],[Precio Base]])*Tabla4[[#This Row],[Cantidad]]</f>
        <v>#N/A</v>
      </c>
      <c r="O1402" s="284" t="e">
        <f>++Tabla4[[#This Row],[Utilidad Total]]/Tabla4[[#This Row],[Total]]</f>
        <v>#N/A</v>
      </c>
      <c r="P1402" s="282">
        <f>++Tabla4[[#This Row],[Precio Descontado]]*Tabla4[[#This Row],[Cantidad]]</f>
        <v>4928.2541709999996</v>
      </c>
      <c r="Q1402" s="282" t="e">
        <f>(INDEX(Tabla6[#All],MATCH(Tabla4[[#This Row],[Producto]],Tabla6[[#All],[PRODUCTO]],0),MATCH(Tabla4[[#This Row],[Mes]],Tabla6[#Headers],0)))</f>
        <v>#N/A</v>
      </c>
      <c r="R1402" s="282" t="e">
        <f>++Tabla4[[#This Row],[Precio Unitario Neto]]-Tabla4[[#This Row],[20.85%]]-Tabla4[[#This Row],[Costo]]</f>
        <v>#N/A</v>
      </c>
      <c r="S1402" s="282" t="e">
        <f>++Tabla4[[#This Row],[U. Bruta Uni]]*Tabla4[[#This Row],[Cantidad]]</f>
        <v>#N/A</v>
      </c>
      <c r="T1402" s="369" t="str">
        <f>VLOOKUP(Tabla4[[#This Row],[Producto]],Tabla6[#All],14,FALSE)</f>
        <v>Termico Solar</v>
      </c>
      <c r="U1402" s="284" t="e">
        <f>(IF(Tabla4[[#This Row],[Familia]]="termico solar",Tabla4[[#This Row],[Utilidad Total]]*6%,Tabla4[[#This Row],[Utilidad Total]]*11.5%))/Tabla4[[#This Row],[Total]]</f>
        <v>#N/A</v>
      </c>
      <c r="V1402" s="282" t="e">
        <f>+Tabla4[[#This Row],[Comisión Calculada]]*Tabla4[[#This Row],[Total]]</f>
        <v>#N/A</v>
      </c>
    </row>
    <row r="1403" spans="1:22" hidden="1" x14ac:dyDescent="0.25">
      <c r="A1403" s="100">
        <v>45747</v>
      </c>
      <c r="B1403" t="str">
        <f t="shared" si="66"/>
        <v>March</v>
      </c>
      <c r="C1403" s="46" t="s">
        <v>280</v>
      </c>
      <c r="F1403" s="366" t="s">
        <v>1259</v>
      </c>
      <c r="G1403" s="46" t="s">
        <v>19</v>
      </c>
      <c r="H1403" s="46">
        <v>1</v>
      </c>
      <c r="I1403" s="51">
        <v>6412.03</v>
      </c>
      <c r="J1403" s="281">
        <f>++Tabla4[[#This Row],[Precio Bruto]]*1.16</f>
        <v>7437.9547999999995</v>
      </c>
      <c r="K1403" s="281">
        <f>+Tabla4[[#This Row],[Precio Unitario Neto]]*Tabla4[[#Headers],[20.85%]]</f>
        <v>1550.8135757999999</v>
      </c>
      <c r="L1403" s="282">
        <f>++Tabla4[[#This Row],[Precio Unitario Neto]]-Tabla4[[#This Row],[20.85%]]</f>
        <v>5887.1412241999997</v>
      </c>
      <c r="M1403" s="282" t="e">
        <f>(INDEX(Tabla6[#All],MATCH(Tabla4[[#This Row],[Producto]],Tabla6[[#All],[PRODUCTO]],0),MATCH(Tabla4[[#This Row],[Mes]],Tabla6[#Headers],0)))*(1+Catalogos!$L$2)</f>
        <v>#N/A</v>
      </c>
      <c r="N1403" s="283" t="e">
        <f>+(Tabla4[[#This Row],[Precio Descontado]]-Tabla4[[#This Row],[Precio Base]])*Tabla4[[#This Row],[Cantidad]]</f>
        <v>#N/A</v>
      </c>
      <c r="O1403" s="284" t="e">
        <f>++Tabla4[[#This Row],[Utilidad Total]]/Tabla4[[#This Row],[Total]]</f>
        <v>#N/A</v>
      </c>
      <c r="P1403" s="282">
        <f>++Tabla4[[#This Row],[Precio Descontado]]*Tabla4[[#This Row],[Cantidad]]</f>
        <v>5887.1412241999997</v>
      </c>
      <c r="Q1403" s="282" t="e">
        <f>(INDEX(Tabla6[#All],MATCH(Tabla4[[#This Row],[Producto]],Tabla6[[#All],[PRODUCTO]],0),MATCH(Tabla4[[#This Row],[Mes]],Tabla6[#Headers],0)))</f>
        <v>#N/A</v>
      </c>
      <c r="R1403" s="282" t="e">
        <f>++Tabla4[[#This Row],[Precio Unitario Neto]]-Tabla4[[#This Row],[20.85%]]-Tabla4[[#This Row],[Costo]]</f>
        <v>#N/A</v>
      </c>
      <c r="S1403" s="282" t="e">
        <f>++Tabla4[[#This Row],[U. Bruta Uni]]*Tabla4[[#This Row],[Cantidad]]</f>
        <v>#N/A</v>
      </c>
      <c r="T1403" s="369" t="str">
        <f>VLOOKUP(Tabla4[[#This Row],[Producto]],Tabla6[#All],14,FALSE)</f>
        <v>Termico Solar</v>
      </c>
      <c r="U1403" s="284" t="e">
        <f>(IF(Tabla4[[#This Row],[Familia]]="termico solar",Tabla4[[#This Row],[Utilidad Total]]*6%,Tabla4[[#This Row],[Utilidad Total]]*11.5%))/Tabla4[[#This Row],[Total]]</f>
        <v>#N/A</v>
      </c>
      <c r="V1403" s="282" t="e">
        <f>+Tabla4[[#This Row],[Comisión Calculada]]*Tabla4[[#This Row],[Total]]</f>
        <v>#N/A</v>
      </c>
    </row>
    <row r="1404" spans="1:22" hidden="1" x14ac:dyDescent="0.25">
      <c r="A1404" s="100">
        <v>45747</v>
      </c>
      <c r="B1404" t="str">
        <f t="shared" si="66"/>
        <v>March</v>
      </c>
      <c r="C1404" s="46" t="s">
        <v>280</v>
      </c>
      <c r="F1404" s="366" t="s">
        <v>1259</v>
      </c>
      <c r="G1404" s="46" t="s">
        <v>16</v>
      </c>
      <c r="H1404" s="46">
        <v>1</v>
      </c>
      <c r="I1404" s="51">
        <v>4103.8500000000004</v>
      </c>
      <c r="J1404" s="281">
        <f>++Tabla4[[#This Row],[Precio Bruto]]*1.16</f>
        <v>4760.4660000000003</v>
      </c>
      <c r="K1404" s="281">
        <f>+Tabla4[[#This Row],[Precio Unitario Neto]]*Tabla4[[#Headers],[20.85%]]</f>
        <v>992.55716100000006</v>
      </c>
      <c r="L1404" s="282">
        <f>++Tabla4[[#This Row],[Precio Unitario Neto]]-Tabla4[[#This Row],[20.85%]]</f>
        <v>3767.9088390000002</v>
      </c>
      <c r="M1404" s="282" t="e">
        <f>(INDEX(Tabla6[#All],MATCH(Tabla4[[#This Row],[Producto]],Tabla6[[#All],[PRODUCTO]],0),MATCH(Tabla4[[#This Row],[Mes]],Tabla6[#Headers],0)))*(1+Catalogos!$L$2)</f>
        <v>#N/A</v>
      </c>
      <c r="N1404" s="283" t="e">
        <f>+(Tabla4[[#This Row],[Precio Descontado]]-Tabla4[[#This Row],[Precio Base]])*Tabla4[[#This Row],[Cantidad]]</f>
        <v>#N/A</v>
      </c>
      <c r="O1404" s="284" t="e">
        <f>++Tabla4[[#This Row],[Utilidad Total]]/Tabla4[[#This Row],[Total]]</f>
        <v>#N/A</v>
      </c>
      <c r="P1404" s="282">
        <f>++Tabla4[[#This Row],[Precio Descontado]]*Tabla4[[#This Row],[Cantidad]]</f>
        <v>3767.9088390000002</v>
      </c>
      <c r="Q1404" s="282" t="e">
        <f>(INDEX(Tabla6[#All],MATCH(Tabla4[[#This Row],[Producto]],Tabla6[[#All],[PRODUCTO]],0),MATCH(Tabla4[[#This Row],[Mes]],Tabla6[#Headers],0)))</f>
        <v>#N/A</v>
      </c>
      <c r="R1404" s="282" t="e">
        <f>++Tabla4[[#This Row],[Precio Unitario Neto]]-Tabla4[[#This Row],[20.85%]]-Tabla4[[#This Row],[Costo]]</f>
        <v>#N/A</v>
      </c>
      <c r="S1404" s="282" t="e">
        <f>++Tabla4[[#This Row],[U. Bruta Uni]]*Tabla4[[#This Row],[Cantidad]]</f>
        <v>#N/A</v>
      </c>
      <c r="T1404" s="369" t="str">
        <f>VLOOKUP(Tabla4[[#This Row],[Producto]],Tabla6[#All],14,FALSE)</f>
        <v>Termico Solar</v>
      </c>
      <c r="U1404" s="284" t="e">
        <f>(IF(Tabla4[[#This Row],[Familia]]="termico solar",Tabla4[[#This Row],[Utilidad Total]]*6%,Tabla4[[#This Row],[Utilidad Total]]*11.5%))/Tabla4[[#This Row],[Total]]</f>
        <v>#N/A</v>
      </c>
      <c r="V1404" s="282" t="e">
        <f>+Tabla4[[#This Row],[Comisión Calculada]]*Tabla4[[#This Row],[Total]]</f>
        <v>#N/A</v>
      </c>
    </row>
    <row r="1405" spans="1:22" hidden="1" x14ac:dyDescent="0.25">
      <c r="A1405" s="100">
        <v>45747</v>
      </c>
      <c r="B1405" t="str">
        <f t="shared" si="66"/>
        <v>March</v>
      </c>
      <c r="C1405" s="46" t="s">
        <v>280</v>
      </c>
      <c r="F1405" s="366" t="s">
        <v>1259</v>
      </c>
      <c r="G1405" s="46" t="s">
        <v>555</v>
      </c>
      <c r="H1405" s="46">
        <v>8</v>
      </c>
      <c r="I1405" s="51">
        <v>389.47</v>
      </c>
      <c r="J1405" s="281">
        <f>++Tabla4[[#This Row],[Precio Bruto]]*1.16</f>
        <v>451.78519999999997</v>
      </c>
      <c r="K1405" s="281">
        <f>+Tabla4[[#This Row],[Precio Unitario Neto]]*Tabla4[[#Headers],[20.85%]]</f>
        <v>94.197214199999991</v>
      </c>
      <c r="L1405" s="282">
        <f>++Tabla4[[#This Row],[Precio Unitario Neto]]-Tabla4[[#This Row],[20.85%]]</f>
        <v>357.58798579999996</v>
      </c>
      <c r="M1405" s="282" t="e">
        <f>(INDEX(Tabla6[#All],MATCH(Tabla4[[#This Row],[Producto]],Tabla6[[#All],[PRODUCTO]],0),MATCH(Tabla4[[#This Row],[Mes]],Tabla6[#Headers],0)))*(1+Catalogos!$L$2)</f>
        <v>#N/A</v>
      </c>
      <c r="N1405" s="283" t="e">
        <f>+(Tabla4[[#This Row],[Precio Descontado]]-Tabla4[[#This Row],[Precio Base]])*Tabla4[[#This Row],[Cantidad]]</f>
        <v>#N/A</v>
      </c>
      <c r="O1405" s="284" t="e">
        <f>++Tabla4[[#This Row],[Utilidad Total]]/Tabla4[[#This Row],[Total]]</f>
        <v>#N/A</v>
      </c>
      <c r="P1405" s="282">
        <f>++Tabla4[[#This Row],[Precio Descontado]]*Tabla4[[#This Row],[Cantidad]]</f>
        <v>2860.7038863999996</v>
      </c>
      <c r="Q1405" s="282" t="e">
        <f>(INDEX(Tabla6[#All],MATCH(Tabla4[[#This Row],[Producto]],Tabla6[[#All],[PRODUCTO]],0),MATCH(Tabla4[[#This Row],[Mes]],Tabla6[#Headers],0)))</f>
        <v>#N/A</v>
      </c>
      <c r="R1405" s="282" t="e">
        <f>++Tabla4[[#This Row],[Precio Unitario Neto]]-Tabla4[[#This Row],[20.85%]]-Tabla4[[#This Row],[Costo]]</f>
        <v>#N/A</v>
      </c>
      <c r="S1405" s="282" t="e">
        <f>++Tabla4[[#This Row],[U. Bruta Uni]]*Tabla4[[#This Row],[Cantidad]]</f>
        <v>#N/A</v>
      </c>
      <c r="T1405" s="369" t="str">
        <f>VLOOKUP(Tabla4[[#This Row],[Producto]],Tabla6[#All],14,FALSE)</f>
        <v>Termico Solar</v>
      </c>
      <c r="U1405" s="284" t="e">
        <f>(IF(Tabla4[[#This Row],[Familia]]="termico solar",Tabla4[[#This Row],[Utilidad Total]]*6%,Tabla4[[#This Row],[Utilidad Total]]*11.5%))/Tabla4[[#This Row],[Total]]</f>
        <v>#N/A</v>
      </c>
      <c r="V1405" s="282" t="e">
        <f>+Tabla4[[#This Row],[Comisión Calculada]]*Tabla4[[#This Row],[Total]]</f>
        <v>#N/A</v>
      </c>
    </row>
    <row r="1406" spans="1:22" hidden="1" x14ac:dyDescent="0.25">
      <c r="A1406" s="100">
        <v>45747</v>
      </c>
      <c r="B1406" t="str">
        <f t="shared" si="66"/>
        <v>March</v>
      </c>
      <c r="C1406" s="46" t="s">
        <v>280</v>
      </c>
      <c r="F1406" s="366" t="s">
        <v>1259</v>
      </c>
      <c r="G1406" s="46" t="s">
        <v>208</v>
      </c>
      <c r="H1406" s="46">
        <v>1</v>
      </c>
      <c r="I1406" s="51">
        <v>189.75</v>
      </c>
      <c r="J1406" s="281">
        <f>++Tabla4[[#This Row],[Precio Bruto]]*1.16</f>
        <v>220.10999999999999</v>
      </c>
      <c r="K1406" s="281">
        <f>+Tabla4[[#This Row],[Precio Unitario Neto]]*Tabla4[[#Headers],[20.85%]]</f>
        <v>45.892934999999994</v>
      </c>
      <c r="L1406" s="282">
        <f>++Tabla4[[#This Row],[Precio Unitario Neto]]-Tabla4[[#This Row],[20.85%]]</f>
        <v>174.21706499999999</v>
      </c>
      <c r="M1406" s="282" t="e">
        <f>(INDEX(Tabla6[#All],MATCH(Tabla4[[#This Row],[Producto]],Tabla6[[#All],[PRODUCTO]],0),MATCH(Tabla4[[#This Row],[Mes]],Tabla6[#Headers],0)))*(1+Catalogos!$L$2)</f>
        <v>#N/A</v>
      </c>
      <c r="N1406" s="283" t="e">
        <f>+(Tabla4[[#This Row],[Precio Descontado]]-Tabla4[[#This Row],[Precio Base]])*Tabla4[[#This Row],[Cantidad]]</f>
        <v>#N/A</v>
      </c>
      <c r="O1406" s="284" t="e">
        <f>++Tabla4[[#This Row],[Utilidad Total]]/Tabla4[[#This Row],[Total]]</f>
        <v>#N/A</v>
      </c>
      <c r="P1406" s="282">
        <f>++Tabla4[[#This Row],[Precio Descontado]]*Tabla4[[#This Row],[Cantidad]]</f>
        <v>174.21706499999999</v>
      </c>
      <c r="Q1406" s="282" t="e">
        <f>(INDEX(Tabla6[#All],MATCH(Tabla4[[#This Row],[Producto]],Tabla6[[#All],[PRODUCTO]],0),MATCH(Tabla4[[#This Row],[Mes]],Tabla6[#Headers],0)))</f>
        <v>#N/A</v>
      </c>
      <c r="R1406" s="282" t="e">
        <f>++Tabla4[[#This Row],[Precio Unitario Neto]]-Tabla4[[#This Row],[20.85%]]-Tabla4[[#This Row],[Costo]]</f>
        <v>#N/A</v>
      </c>
      <c r="S1406" s="282" t="e">
        <f>++Tabla4[[#This Row],[U. Bruta Uni]]*Tabla4[[#This Row],[Cantidad]]</f>
        <v>#N/A</v>
      </c>
      <c r="T1406" s="369" t="str">
        <f>VLOOKUP(Tabla4[[#This Row],[Producto]],Tabla6[#All],14,FALSE)</f>
        <v>Termico Solar</v>
      </c>
      <c r="U1406" s="284" t="e">
        <f>(IF(Tabla4[[#This Row],[Familia]]="termico solar",Tabla4[[#This Row],[Utilidad Total]]*6%,Tabla4[[#This Row],[Utilidad Total]]*11.5%))/Tabla4[[#This Row],[Total]]</f>
        <v>#N/A</v>
      </c>
      <c r="V1406" s="282" t="e">
        <f>+Tabla4[[#This Row],[Comisión Calculada]]*Tabla4[[#This Row],[Total]]</f>
        <v>#N/A</v>
      </c>
    </row>
    <row r="1407" spans="1:22" hidden="1" x14ac:dyDescent="0.25">
      <c r="A1407" s="100">
        <v>45747</v>
      </c>
      <c r="B1407" t="str">
        <f t="shared" si="66"/>
        <v>March</v>
      </c>
      <c r="C1407" s="46" t="s">
        <v>280</v>
      </c>
      <c r="F1407" s="366" t="s">
        <v>1260</v>
      </c>
      <c r="G1407" s="46" t="s">
        <v>83</v>
      </c>
      <c r="H1407" s="46">
        <v>1</v>
      </c>
      <c r="I1407" s="51">
        <v>8858.76</v>
      </c>
      <c r="J1407" s="281">
        <f>++Tabla4[[#This Row],[Precio Bruto]]*1.16</f>
        <v>10276.161599999999</v>
      </c>
      <c r="K1407" s="281">
        <f>+Tabla4[[#This Row],[Precio Unitario Neto]]*Tabla4[[#Headers],[20.85%]]</f>
        <v>2142.5796935999997</v>
      </c>
      <c r="L1407" s="282">
        <f>++Tabla4[[#This Row],[Precio Unitario Neto]]-Tabla4[[#This Row],[20.85%]]</f>
        <v>8133.5819063999998</v>
      </c>
      <c r="M1407" s="282" t="e">
        <f>(INDEX(Tabla6[#All],MATCH(Tabla4[[#This Row],[Producto]],Tabla6[[#All],[PRODUCTO]],0),MATCH(Tabla4[[#This Row],[Mes]],Tabla6[#Headers],0)))*(1+Catalogos!$L$2)</f>
        <v>#N/A</v>
      </c>
      <c r="N1407" s="283" t="e">
        <f>+(Tabla4[[#This Row],[Precio Descontado]]-Tabla4[[#This Row],[Precio Base]])*Tabla4[[#This Row],[Cantidad]]</f>
        <v>#N/A</v>
      </c>
      <c r="O1407" s="284" t="e">
        <f>++Tabla4[[#This Row],[Utilidad Total]]/Tabla4[[#This Row],[Total]]</f>
        <v>#N/A</v>
      </c>
      <c r="P1407" s="282">
        <f>++Tabla4[[#This Row],[Precio Descontado]]*Tabla4[[#This Row],[Cantidad]]</f>
        <v>8133.5819063999998</v>
      </c>
      <c r="Q1407" s="282" t="e">
        <f>(INDEX(Tabla6[#All],MATCH(Tabla4[[#This Row],[Producto]],Tabla6[[#All],[PRODUCTO]],0),MATCH(Tabla4[[#This Row],[Mes]],Tabla6[#Headers],0)))</f>
        <v>#N/A</v>
      </c>
      <c r="R1407" s="282" t="e">
        <f>++Tabla4[[#This Row],[Precio Unitario Neto]]-Tabla4[[#This Row],[20.85%]]-Tabla4[[#This Row],[Costo]]</f>
        <v>#N/A</v>
      </c>
      <c r="S1407" s="282" t="e">
        <f>++Tabla4[[#This Row],[U. Bruta Uni]]*Tabla4[[#This Row],[Cantidad]]</f>
        <v>#N/A</v>
      </c>
      <c r="T1407" s="369" t="str">
        <f>VLOOKUP(Tabla4[[#This Row],[Producto]],Tabla6[#All],14,FALSE)</f>
        <v>Termico Solar</v>
      </c>
      <c r="U1407" s="284" t="e">
        <f>(IF(Tabla4[[#This Row],[Familia]]="termico solar",Tabla4[[#This Row],[Utilidad Total]]*6%,Tabla4[[#This Row],[Utilidad Total]]*11.5%))/Tabla4[[#This Row],[Total]]</f>
        <v>#N/A</v>
      </c>
      <c r="V1407" s="282" t="e">
        <f>+Tabla4[[#This Row],[Comisión Calculada]]*Tabla4[[#This Row],[Total]]</f>
        <v>#N/A</v>
      </c>
    </row>
    <row r="1408" spans="1:22" hidden="1" x14ac:dyDescent="0.25">
      <c r="A1408" s="100">
        <v>45747</v>
      </c>
      <c r="B1408" t="str">
        <f t="shared" si="66"/>
        <v>March</v>
      </c>
      <c r="C1408" s="46" t="s">
        <v>280</v>
      </c>
      <c r="F1408" s="366" t="s">
        <v>1260</v>
      </c>
      <c r="G1408" s="46" t="s">
        <v>394</v>
      </c>
      <c r="H1408" s="46">
        <v>16</v>
      </c>
      <c r="I1408" s="51">
        <v>224.29</v>
      </c>
      <c r="J1408" s="281">
        <f>++Tabla4[[#This Row],[Precio Bruto]]*1.16</f>
        <v>260.1764</v>
      </c>
      <c r="K1408" s="281">
        <f>+Tabla4[[#This Row],[Precio Unitario Neto]]*Tabla4[[#Headers],[20.85%]]</f>
        <v>54.246779400000001</v>
      </c>
      <c r="L1408" s="282">
        <f>++Tabla4[[#This Row],[Precio Unitario Neto]]-Tabla4[[#This Row],[20.85%]]</f>
        <v>205.92962059999999</v>
      </c>
      <c r="M1408" s="282" t="e">
        <f>(INDEX(Tabla6[#All],MATCH(Tabla4[[#This Row],[Producto]],Tabla6[[#All],[PRODUCTO]],0),MATCH(Tabla4[[#This Row],[Mes]],Tabla6[#Headers],0)))*(1+Catalogos!$L$2)</f>
        <v>#N/A</v>
      </c>
      <c r="N1408" s="283" t="e">
        <f>+(Tabla4[[#This Row],[Precio Descontado]]-Tabla4[[#This Row],[Precio Base]])*Tabla4[[#This Row],[Cantidad]]</f>
        <v>#N/A</v>
      </c>
      <c r="O1408" s="284" t="e">
        <f>++Tabla4[[#This Row],[Utilidad Total]]/Tabla4[[#This Row],[Total]]</f>
        <v>#N/A</v>
      </c>
      <c r="P1408" s="282">
        <f>++Tabla4[[#This Row],[Precio Descontado]]*Tabla4[[#This Row],[Cantidad]]</f>
        <v>3294.8739295999999</v>
      </c>
      <c r="Q1408" s="282" t="e">
        <f>(INDEX(Tabla6[#All],MATCH(Tabla4[[#This Row],[Producto]],Tabla6[[#All],[PRODUCTO]],0),MATCH(Tabla4[[#This Row],[Mes]],Tabla6[#Headers],0)))</f>
        <v>#N/A</v>
      </c>
      <c r="R1408" s="282" t="e">
        <f>++Tabla4[[#This Row],[Precio Unitario Neto]]-Tabla4[[#This Row],[20.85%]]-Tabla4[[#This Row],[Costo]]</f>
        <v>#N/A</v>
      </c>
      <c r="S1408" s="282" t="e">
        <f>++Tabla4[[#This Row],[U. Bruta Uni]]*Tabla4[[#This Row],[Cantidad]]</f>
        <v>#N/A</v>
      </c>
      <c r="T1408" s="369" t="str">
        <f>VLOOKUP(Tabla4[[#This Row],[Producto]],Tabla6[#All],14,FALSE)</f>
        <v>Termico Solar</v>
      </c>
      <c r="U1408" s="284" t="e">
        <f>(IF(Tabla4[[#This Row],[Familia]]="termico solar",Tabla4[[#This Row],[Utilidad Total]]*6%,Tabla4[[#This Row],[Utilidad Total]]*11.5%))/Tabla4[[#This Row],[Total]]</f>
        <v>#N/A</v>
      </c>
      <c r="V1408" s="282" t="e">
        <f>+Tabla4[[#This Row],[Comisión Calculada]]*Tabla4[[#This Row],[Total]]</f>
        <v>#N/A</v>
      </c>
    </row>
    <row r="1409" spans="1:22" hidden="1" x14ac:dyDescent="0.25">
      <c r="A1409" s="100">
        <v>45747</v>
      </c>
      <c r="B1409" t="str">
        <f t="shared" si="66"/>
        <v>March</v>
      </c>
      <c r="C1409" s="46" t="s">
        <v>280</v>
      </c>
      <c r="F1409" s="366" t="s">
        <v>1260</v>
      </c>
      <c r="G1409" s="46" t="s">
        <v>555</v>
      </c>
      <c r="H1409" s="46">
        <v>8</v>
      </c>
      <c r="I1409" s="51">
        <v>389.47</v>
      </c>
      <c r="J1409" s="281">
        <f>++Tabla4[[#This Row],[Precio Bruto]]*1.16</f>
        <v>451.78519999999997</v>
      </c>
      <c r="K1409" s="281">
        <f>+Tabla4[[#This Row],[Precio Unitario Neto]]*Tabla4[[#Headers],[20.85%]]</f>
        <v>94.197214199999991</v>
      </c>
      <c r="L1409" s="282">
        <f>++Tabla4[[#This Row],[Precio Unitario Neto]]-Tabla4[[#This Row],[20.85%]]</f>
        <v>357.58798579999996</v>
      </c>
      <c r="M1409" s="282" t="e">
        <f>(INDEX(Tabla6[#All],MATCH(Tabla4[[#This Row],[Producto]],Tabla6[[#All],[PRODUCTO]],0),MATCH(Tabla4[[#This Row],[Mes]],Tabla6[#Headers],0)))*(1+Catalogos!$L$2)</f>
        <v>#N/A</v>
      </c>
      <c r="N1409" s="283" t="e">
        <f>+(Tabla4[[#This Row],[Precio Descontado]]-Tabla4[[#This Row],[Precio Base]])*Tabla4[[#This Row],[Cantidad]]</f>
        <v>#N/A</v>
      </c>
      <c r="O1409" s="284" t="e">
        <f>++Tabla4[[#This Row],[Utilidad Total]]/Tabla4[[#This Row],[Total]]</f>
        <v>#N/A</v>
      </c>
      <c r="P1409" s="282">
        <f>++Tabla4[[#This Row],[Precio Descontado]]*Tabla4[[#This Row],[Cantidad]]</f>
        <v>2860.7038863999996</v>
      </c>
      <c r="Q1409" s="282" t="e">
        <f>(INDEX(Tabla6[#All],MATCH(Tabla4[[#This Row],[Producto]],Tabla6[[#All],[PRODUCTO]],0),MATCH(Tabla4[[#This Row],[Mes]],Tabla6[#Headers],0)))</f>
        <v>#N/A</v>
      </c>
      <c r="R1409" s="282" t="e">
        <f>++Tabla4[[#This Row],[Precio Unitario Neto]]-Tabla4[[#This Row],[20.85%]]-Tabla4[[#This Row],[Costo]]</f>
        <v>#N/A</v>
      </c>
      <c r="S1409" s="282" t="e">
        <f>++Tabla4[[#This Row],[U. Bruta Uni]]*Tabla4[[#This Row],[Cantidad]]</f>
        <v>#N/A</v>
      </c>
      <c r="T1409" s="369" t="str">
        <f>VLOOKUP(Tabla4[[#This Row],[Producto]],Tabla6[#All],14,FALSE)</f>
        <v>Termico Solar</v>
      </c>
      <c r="U1409" s="284" t="e">
        <f>(IF(Tabla4[[#This Row],[Familia]]="termico solar",Tabla4[[#This Row],[Utilidad Total]]*6%,Tabla4[[#This Row],[Utilidad Total]]*11.5%))/Tabla4[[#This Row],[Total]]</f>
        <v>#N/A</v>
      </c>
      <c r="V1409" s="282" t="e">
        <f>+Tabla4[[#This Row],[Comisión Calculada]]*Tabla4[[#This Row],[Total]]</f>
        <v>#N/A</v>
      </c>
    </row>
    <row r="1410" spans="1:22" hidden="1" x14ac:dyDescent="0.25">
      <c r="A1410" s="100">
        <v>45747</v>
      </c>
      <c r="B1410" t="str">
        <f t="shared" si="66"/>
        <v>March</v>
      </c>
      <c r="C1410" s="46" t="s">
        <v>280</v>
      </c>
      <c r="F1410" s="366" t="s">
        <v>1260</v>
      </c>
      <c r="G1410" s="46" t="s">
        <v>208</v>
      </c>
      <c r="H1410" s="46">
        <v>2</v>
      </c>
      <c r="I1410" s="51">
        <v>189.75</v>
      </c>
      <c r="J1410" s="281">
        <f>++Tabla4[[#This Row],[Precio Bruto]]*1.16</f>
        <v>220.10999999999999</v>
      </c>
      <c r="K1410" s="281">
        <f>+Tabla4[[#This Row],[Precio Unitario Neto]]*Tabla4[[#Headers],[20.85%]]</f>
        <v>45.892934999999994</v>
      </c>
      <c r="L1410" s="282">
        <f>++Tabla4[[#This Row],[Precio Unitario Neto]]-Tabla4[[#This Row],[20.85%]]</f>
        <v>174.21706499999999</v>
      </c>
      <c r="M1410" s="282" t="e">
        <f>(INDEX(Tabla6[#All],MATCH(Tabla4[[#This Row],[Producto]],Tabla6[[#All],[PRODUCTO]],0),MATCH(Tabla4[[#This Row],[Mes]],Tabla6[#Headers],0)))*(1+Catalogos!$L$2)</f>
        <v>#N/A</v>
      </c>
      <c r="N1410" s="283" t="e">
        <f>+(Tabla4[[#This Row],[Precio Descontado]]-Tabla4[[#This Row],[Precio Base]])*Tabla4[[#This Row],[Cantidad]]</f>
        <v>#N/A</v>
      </c>
      <c r="O1410" s="284" t="e">
        <f>++Tabla4[[#This Row],[Utilidad Total]]/Tabla4[[#This Row],[Total]]</f>
        <v>#N/A</v>
      </c>
      <c r="P1410" s="282">
        <f>++Tabla4[[#This Row],[Precio Descontado]]*Tabla4[[#This Row],[Cantidad]]</f>
        <v>348.43412999999998</v>
      </c>
      <c r="Q1410" s="282" t="e">
        <f>(INDEX(Tabla6[#All],MATCH(Tabla4[[#This Row],[Producto]],Tabla6[[#All],[PRODUCTO]],0),MATCH(Tabla4[[#This Row],[Mes]],Tabla6[#Headers],0)))</f>
        <v>#N/A</v>
      </c>
      <c r="R1410" s="282" t="e">
        <f>++Tabla4[[#This Row],[Precio Unitario Neto]]-Tabla4[[#This Row],[20.85%]]-Tabla4[[#This Row],[Costo]]</f>
        <v>#N/A</v>
      </c>
      <c r="S1410" s="282" t="e">
        <f>++Tabla4[[#This Row],[U. Bruta Uni]]*Tabla4[[#This Row],[Cantidad]]</f>
        <v>#N/A</v>
      </c>
      <c r="T1410" s="369" t="str">
        <f>VLOOKUP(Tabla4[[#This Row],[Producto]],Tabla6[#All],14,FALSE)</f>
        <v>Termico Solar</v>
      </c>
      <c r="U1410" s="284" t="e">
        <f>(IF(Tabla4[[#This Row],[Familia]]="termico solar",Tabla4[[#This Row],[Utilidad Total]]*6%,Tabla4[[#This Row],[Utilidad Total]]*11.5%))/Tabla4[[#This Row],[Total]]</f>
        <v>#N/A</v>
      </c>
      <c r="V1410" s="282" t="e">
        <f>+Tabla4[[#This Row],[Comisión Calculada]]*Tabla4[[#This Row],[Total]]</f>
        <v>#N/A</v>
      </c>
    </row>
    <row r="1411" spans="1:22" hidden="1" x14ac:dyDescent="0.25">
      <c r="A1411" s="100">
        <v>45747</v>
      </c>
      <c r="B1411" t="str">
        <f t="shared" si="66"/>
        <v>March</v>
      </c>
      <c r="C1411" s="46" t="s">
        <v>280</v>
      </c>
      <c r="F1411" s="366" t="s">
        <v>1261</v>
      </c>
      <c r="G1411" s="46" t="s">
        <v>83</v>
      </c>
      <c r="H1411" s="46">
        <v>6</v>
      </c>
      <c r="I1411" s="51">
        <v>8858.76</v>
      </c>
      <c r="J1411" s="281">
        <f>++Tabla4[[#This Row],[Precio Bruto]]*1.16</f>
        <v>10276.161599999999</v>
      </c>
      <c r="K1411" s="281">
        <f>+Tabla4[[#This Row],[Precio Unitario Neto]]*Tabla4[[#Headers],[20.85%]]</f>
        <v>2142.5796935999997</v>
      </c>
      <c r="L1411" s="282">
        <f>++Tabla4[[#This Row],[Precio Unitario Neto]]-Tabla4[[#This Row],[20.85%]]</f>
        <v>8133.5819063999998</v>
      </c>
      <c r="M1411" s="282" t="e">
        <f>(INDEX(Tabla6[#All],MATCH(Tabla4[[#This Row],[Producto]],Tabla6[[#All],[PRODUCTO]],0),MATCH(Tabla4[[#This Row],[Mes]],Tabla6[#Headers],0)))*(1+Catalogos!$L$2)</f>
        <v>#N/A</v>
      </c>
      <c r="N1411" s="283" t="e">
        <f>+(Tabla4[[#This Row],[Precio Descontado]]-Tabla4[[#This Row],[Precio Base]])*Tabla4[[#This Row],[Cantidad]]</f>
        <v>#N/A</v>
      </c>
      <c r="O1411" s="284" t="e">
        <f>++Tabla4[[#This Row],[Utilidad Total]]/Tabla4[[#This Row],[Total]]</f>
        <v>#N/A</v>
      </c>
      <c r="P1411" s="282">
        <f>++Tabla4[[#This Row],[Precio Descontado]]*Tabla4[[#This Row],[Cantidad]]</f>
        <v>48801.4914384</v>
      </c>
      <c r="Q1411" s="282" t="e">
        <f>(INDEX(Tabla6[#All],MATCH(Tabla4[[#This Row],[Producto]],Tabla6[[#All],[PRODUCTO]],0),MATCH(Tabla4[[#This Row],[Mes]],Tabla6[#Headers],0)))</f>
        <v>#N/A</v>
      </c>
      <c r="R1411" s="282" t="e">
        <f>++Tabla4[[#This Row],[Precio Unitario Neto]]-Tabla4[[#This Row],[20.85%]]-Tabla4[[#This Row],[Costo]]</f>
        <v>#N/A</v>
      </c>
      <c r="S1411" s="282" t="e">
        <f>++Tabla4[[#This Row],[U. Bruta Uni]]*Tabla4[[#This Row],[Cantidad]]</f>
        <v>#N/A</v>
      </c>
      <c r="T1411" s="369" t="str">
        <f>VLOOKUP(Tabla4[[#This Row],[Producto]],Tabla6[#All],14,FALSE)</f>
        <v>Termico Solar</v>
      </c>
      <c r="U1411" s="284" t="e">
        <f>(IF(Tabla4[[#This Row],[Familia]]="termico solar",Tabla4[[#This Row],[Utilidad Total]]*6%,Tabla4[[#This Row],[Utilidad Total]]*11.5%))/Tabla4[[#This Row],[Total]]</f>
        <v>#N/A</v>
      </c>
      <c r="V1411" s="282" t="e">
        <f>+Tabla4[[#This Row],[Comisión Calculada]]*Tabla4[[#This Row],[Total]]</f>
        <v>#N/A</v>
      </c>
    </row>
    <row r="1412" spans="1:22" hidden="1" x14ac:dyDescent="0.25">
      <c r="A1412" s="100">
        <v>45747</v>
      </c>
      <c r="B1412" t="str">
        <f t="shared" si="66"/>
        <v>March</v>
      </c>
      <c r="C1412" s="46" t="s">
        <v>280</v>
      </c>
      <c r="F1412" s="366" t="s">
        <v>1261</v>
      </c>
      <c r="G1412" s="46" t="s">
        <v>17</v>
      </c>
      <c r="H1412" s="46">
        <v>1</v>
      </c>
      <c r="I1412" s="51">
        <v>4622.28</v>
      </c>
      <c r="J1412" s="281">
        <f>++Tabla4[[#This Row],[Precio Bruto]]*1.16</f>
        <v>5361.8447999999989</v>
      </c>
      <c r="K1412" s="281">
        <f>+Tabla4[[#This Row],[Precio Unitario Neto]]*Tabla4[[#Headers],[20.85%]]</f>
        <v>1117.9446407999997</v>
      </c>
      <c r="L1412" s="282">
        <f>++Tabla4[[#This Row],[Precio Unitario Neto]]-Tabla4[[#This Row],[20.85%]]</f>
        <v>4243.9001591999995</v>
      </c>
      <c r="M1412" s="282" t="e">
        <f>(INDEX(Tabla6[#All],MATCH(Tabla4[[#This Row],[Producto]],Tabla6[[#All],[PRODUCTO]],0),MATCH(Tabla4[[#This Row],[Mes]],Tabla6[#Headers],0)))*(1+Catalogos!$L$2)</f>
        <v>#N/A</v>
      </c>
      <c r="N1412" s="283" t="e">
        <f>+(Tabla4[[#This Row],[Precio Descontado]]-Tabla4[[#This Row],[Precio Base]])*Tabla4[[#This Row],[Cantidad]]</f>
        <v>#N/A</v>
      </c>
      <c r="O1412" s="284" t="e">
        <f>++Tabla4[[#This Row],[Utilidad Total]]/Tabla4[[#This Row],[Total]]</f>
        <v>#N/A</v>
      </c>
      <c r="P1412" s="282">
        <f>++Tabla4[[#This Row],[Precio Descontado]]*Tabla4[[#This Row],[Cantidad]]</f>
        <v>4243.9001591999995</v>
      </c>
      <c r="Q1412" s="282" t="e">
        <f>(INDEX(Tabla6[#All],MATCH(Tabla4[[#This Row],[Producto]],Tabla6[[#All],[PRODUCTO]],0),MATCH(Tabla4[[#This Row],[Mes]],Tabla6[#Headers],0)))</f>
        <v>#N/A</v>
      </c>
      <c r="R1412" s="282" t="e">
        <f>++Tabla4[[#This Row],[Precio Unitario Neto]]-Tabla4[[#This Row],[20.85%]]-Tabla4[[#This Row],[Costo]]</f>
        <v>#N/A</v>
      </c>
      <c r="S1412" s="282" t="e">
        <f>++Tabla4[[#This Row],[U. Bruta Uni]]*Tabla4[[#This Row],[Cantidad]]</f>
        <v>#N/A</v>
      </c>
      <c r="T1412" s="369" t="str">
        <f>VLOOKUP(Tabla4[[#This Row],[Producto]],Tabla6[#All],14,FALSE)</f>
        <v>Termico Solar</v>
      </c>
      <c r="U1412" s="284" t="e">
        <f>(IF(Tabla4[[#This Row],[Familia]]="termico solar",Tabla4[[#This Row],[Utilidad Total]]*6%,Tabla4[[#This Row],[Utilidad Total]]*11.5%))/Tabla4[[#This Row],[Total]]</f>
        <v>#N/A</v>
      </c>
      <c r="V1412" s="282" t="e">
        <f>+Tabla4[[#This Row],[Comisión Calculada]]*Tabla4[[#This Row],[Total]]</f>
        <v>#N/A</v>
      </c>
    </row>
    <row r="1413" spans="1:22" hidden="1" x14ac:dyDescent="0.25">
      <c r="A1413" s="100">
        <v>45747</v>
      </c>
      <c r="B1413" t="str">
        <f t="shared" si="66"/>
        <v>March</v>
      </c>
      <c r="C1413" s="46" t="s">
        <v>280</v>
      </c>
      <c r="F1413" s="366" t="s">
        <v>1261</v>
      </c>
      <c r="G1413" s="46" t="s">
        <v>19</v>
      </c>
      <c r="H1413" s="46">
        <v>1</v>
      </c>
      <c r="I1413" s="51">
        <v>6412.03</v>
      </c>
      <c r="J1413" s="281">
        <f>++Tabla4[[#This Row],[Precio Bruto]]*1.16</f>
        <v>7437.9547999999995</v>
      </c>
      <c r="K1413" s="281">
        <f>+Tabla4[[#This Row],[Precio Unitario Neto]]*Tabla4[[#Headers],[20.85%]]</f>
        <v>1550.8135757999999</v>
      </c>
      <c r="L1413" s="282">
        <f>++Tabla4[[#This Row],[Precio Unitario Neto]]-Tabla4[[#This Row],[20.85%]]</f>
        <v>5887.1412241999997</v>
      </c>
      <c r="M1413" s="282" t="e">
        <f>(INDEX(Tabla6[#All],MATCH(Tabla4[[#This Row],[Producto]],Tabla6[[#All],[PRODUCTO]],0),MATCH(Tabla4[[#This Row],[Mes]],Tabla6[#Headers],0)))*(1+Catalogos!$L$2)</f>
        <v>#N/A</v>
      </c>
      <c r="N1413" s="283" t="e">
        <f>+(Tabla4[[#This Row],[Precio Descontado]]-Tabla4[[#This Row],[Precio Base]])*Tabla4[[#This Row],[Cantidad]]</f>
        <v>#N/A</v>
      </c>
      <c r="O1413" s="284" t="e">
        <f>++Tabla4[[#This Row],[Utilidad Total]]/Tabla4[[#This Row],[Total]]</f>
        <v>#N/A</v>
      </c>
      <c r="P1413" s="282">
        <f>++Tabla4[[#This Row],[Precio Descontado]]*Tabla4[[#This Row],[Cantidad]]</f>
        <v>5887.1412241999997</v>
      </c>
      <c r="Q1413" s="282" t="e">
        <f>(INDEX(Tabla6[#All],MATCH(Tabla4[[#This Row],[Producto]],Tabla6[[#All],[PRODUCTO]],0),MATCH(Tabla4[[#This Row],[Mes]],Tabla6[#Headers],0)))</f>
        <v>#N/A</v>
      </c>
      <c r="R1413" s="282" t="e">
        <f>++Tabla4[[#This Row],[Precio Unitario Neto]]-Tabla4[[#This Row],[20.85%]]-Tabla4[[#This Row],[Costo]]</f>
        <v>#N/A</v>
      </c>
      <c r="S1413" s="282" t="e">
        <f>++Tabla4[[#This Row],[U. Bruta Uni]]*Tabla4[[#This Row],[Cantidad]]</f>
        <v>#N/A</v>
      </c>
      <c r="T1413" s="369" t="str">
        <f>VLOOKUP(Tabla4[[#This Row],[Producto]],Tabla6[#All],14,FALSE)</f>
        <v>Termico Solar</v>
      </c>
      <c r="U1413" s="284" t="e">
        <f>(IF(Tabla4[[#This Row],[Familia]]="termico solar",Tabla4[[#This Row],[Utilidad Total]]*6%,Tabla4[[#This Row],[Utilidad Total]]*11.5%))/Tabla4[[#This Row],[Total]]</f>
        <v>#N/A</v>
      </c>
      <c r="V1413" s="282" t="e">
        <f>+Tabla4[[#This Row],[Comisión Calculada]]*Tabla4[[#This Row],[Total]]</f>
        <v>#N/A</v>
      </c>
    </row>
    <row r="1414" spans="1:22" hidden="1" x14ac:dyDescent="0.25">
      <c r="A1414" s="100">
        <v>45747</v>
      </c>
      <c r="B1414" t="str">
        <f t="shared" si="66"/>
        <v>March</v>
      </c>
      <c r="C1414" s="46" t="s">
        <v>280</v>
      </c>
      <c r="F1414" s="366" t="s">
        <v>1261</v>
      </c>
      <c r="G1414" s="46" t="s">
        <v>208</v>
      </c>
      <c r="H1414" s="46">
        <v>15</v>
      </c>
      <c r="I1414" s="51">
        <v>140.63</v>
      </c>
      <c r="J1414" s="281">
        <f>++Tabla4[[#This Row],[Precio Bruto]]*1.16</f>
        <v>163.13079999999999</v>
      </c>
      <c r="K1414" s="281">
        <f>+Tabla4[[#This Row],[Precio Unitario Neto]]*Tabla4[[#Headers],[20.85%]]</f>
        <v>34.012771799999996</v>
      </c>
      <c r="L1414" s="282">
        <f>++Tabla4[[#This Row],[Precio Unitario Neto]]-Tabla4[[#This Row],[20.85%]]</f>
        <v>129.1180282</v>
      </c>
      <c r="M1414" s="282" t="e">
        <f>(INDEX(Tabla6[#All],MATCH(Tabla4[[#This Row],[Producto]],Tabla6[[#All],[PRODUCTO]],0),MATCH(Tabla4[[#This Row],[Mes]],Tabla6[#Headers],0)))*(1+Catalogos!$L$2)</f>
        <v>#N/A</v>
      </c>
      <c r="N1414" s="283" t="e">
        <f>+(Tabla4[[#This Row],[Precio Descontado]]-Tabla4[[#This Row],[Precio Base]])*Tabla4[[#This Row],[Cantidad]]</f>
        <v>#N/A</v>
      </c>
      <c r="O1414" s="284" t="e">
        <f>++Tabla4[[#This Row],[Utilidad Total]]/Tabla4[[#This Row],[Total]]</f>
        <v>#N/A</v>
      </c>
      <c r="P1414" s="282">
        <f>++Tabla4[[#This Row],[Precio Descontado]]*Tabla4[[#This Row],[Cantidad]]</f>
        <v>1936.7704229999999</v>
      </c>
      <c r="Q1414" s="282" t="e">
        <f>(INDEX(Tabla6[#All],MATCH(Tabla4[[#This Row],[Producto]],Tabla6[[#All],[PRODUCTO]],0),MATCH(Tabla4[[#This Row],[Mes]],Tabla6[#Headers],0)))</f>
        <v>#N/A</v>
      </c>
      <c r="R1414" s="282" t="e">
        <f>++Tabla4[[#This Row],[Precio Unitario Neto]]-Tabla4[[#This Row],[20.85%]]-Tabla4[[#This Row],[Costo]]</f>
        <v>#N/A</v>
      </c>
      <c r="S1414" s="282" t="e">
        <f>++Tabla4[[#This Row],[U. Bruta Uni]]*Tabla4[[#This Row],[Cantidad]]</f>
        <v>#N/A</v>
      </c>
      <c r="T1414" s="369" t="str">
        <f>VLOOKUP(Tabla4[[#This Row],[Producto]],Tabla6[#All],14,FALSE)</f>
        <v>Termico Solar</v>
      </c>
      <c r="U1414" s="284" t="e">
        <f>(IF(Tabla4[[#This Row],[Familia]]="termico solar",Tabla4[[#This Row],[Utilidad Total]]*6%,Tabla4[[#This Row],[Utilidad Total]]*11.5%))/Tabla4[[#This Row],[Total]]</f>
        <v>#N/A</v>
      </c>
      <c r="V1414" s="282" t="e">
        <f>+Tabla4[[#This Row],[Comisión Calculada]]*Tabla4[[#This Row],[Total]]</f>
        <v>#N/A</v>
      </c>
    </row>
    <row r="1415" spans="1:22" hidden="1" x14ac:dyDescent="0.25">
      <c r="A1415" s="100">
        <v>45747</v>
      </c>
      <c r="B1415" t="str">
        <f t="shared" si="66"/>
        <v>March</v>
      </c>
      <c r="C1415" s="46" t="s">
        <v>280</v>
      </c>
      <c r="F1415" s="366" t="s">
        <v>1261</v>
      </c>
      <c r="G1415" s="46" t="s">
        <v>16</v>
      </c>
      <c r="H1415" s="46">
        <v>1</v>
      </c>
      <c r="I1415" s="51">
        <v>4103.8500000000004</v>
      </c>
      <c r="J1415" s="281">
        <f>++Tabla4[[#This Row],[Precio Bruto]]*1.16</f>
        <v>4760.4660000000003</v>
      </c>
      <c r="K1415" s="281">
        <f>+Tabla4[[#This Row],[Precio Unitario Neto]]*Tabla4[[#Headers],[20.85%]]</f>
        <v>992.55716100000006</v>
      </c>
      <c r="L1415" s="282">
        <f>++Tabla4[[#This Row],[Precio Unitario Neto]]-Tabla4[[#This Row],[20.85%]]</f>
        <v>3767.9088390000002</v>
      </c>
      <c r="M1415" s="282" t="e">
        <f>(INDEX(Tabla6[#All],MATCH(Tabla4[[#This Row],[Producto]],Tabla6[[#All],[PRODUCTO]],0),MATCH(Tabla4[[#This Row],[Mes]],Tabla6[#Headers],0)))*(1+Catalogos!$L$2)</f>
        <v>#N/A</v>
      </c>
      <c r="N1415" s="283" t="e">
        <f>+(Tabla4[[#This Row],[Precio Descontado]]-Tabla4[[#This Row],[Precio Base]])*Tabla4[[#This Row],[Cantidad]]</f>
        <v>#N/A</v>
      </c>
      <c r="O1415" s="284" t="e">
        <f>++Tabla4[[#This Row],[Utilidad Total]]/Tabla4[[#This Row],[Total]]</f>
        <v>#N/A</v>
      </c>
      <c r="P1415" s="282">
        <f>++Tabla4[[#This Row],[Precio Descontado]]*Tabla4[[#This Row],[Cantidad]]</f>
        <v>3767.9088390000002</v>
      </c>
      <c r="Q1415" s="282" t="e">
        <f>(INDEX(Tabla6[#All],MATCH(Tabla4[[#This Row],[Producto]],Tabla6[[#All],[PRODUCTO]],0),MATCH(Tabla4[[#This Row],[Mes]],Tabla6[#Headers],0)))</f>
        <v>#N/A</v>
      </c>
      <c r="R1415" s="282" t="e">
        <f>++Tabla4[[#This Row],[Precio Unitario Neto]]-Tabla4[[#This Row],[20.85%]]-Tabla4[[#This Row],[Costo]]</f>
        <v>#N/A</v>
      </c>
      <c r="S1415" s="282" t="e">
        <f>++Tabla4[[#This Row],[U. Bruta Uni]]*Tabla4[[#This Row],[Cantidad]]</f>
        <v>#N/A</v>
      </c>
      <c r="T1415" s="369" t="str">
        <f>VLOOKUP(Tabla4[[#This Row],[Producto]],Tabla6[#All],14,FALSE)</f>
        <v>Termico Solar</v>
      </c>
      <c r="U1415" s="284" t="e">
        <f>(IF(Tabla4[[#This Row],[Familia]]="termico solar",Tabla4[[#This Row],[Utilidad Total]]*6%,Tabla4[[#This Row],[Utilidad Total]]*11.5%))/Tabla4[[#This Row],[Total]]</f>
        <v>#N/A</v>
      </c>
      <c r="V1415" s="282" t="e">
        <f>+Tabla4[[#This Row],[Comisión Calculada]]*Tabla4[[#This Row],[Total]]</f>
        <v>#N/A</v>
      </c>
    </row>
    <row r="1416" spans="1:22" hidden="1" x14ac:dyDescent="0.25">
      <c r="A1416" s="100">
        <v>45747</v>
      </c>
      <c r="B1416" t="str">
        <f t="shared" si="66"/>
        <v>March</v>
      </c>
      <c r="C1416" s="46" t="s">
        <v>280</v>
      </c>
      <c r="F1416" s="366" t="s">
        <v>1262</v>
      </c>
      <c r="G1416" s="46" t="s">
        <v>83</v>
      </c>
      <c r="H1416" s="46">
        <v>1</v>
      </c>
      <c r="I1416" s="51">
        <v>8858.76</v>
      </c>
      <c r="J1416" s="281">
        <f>++Tabla4[[#This Row],[Precio Bruto]]*1.16</f>
        <v>10276.161599999999</v>
      </c>
      <c r="K1416" s="281">
        <f>+Tabla4[[#This Row],[Precio Unitario Neto]]*Tabla4[[#Headers],[20.85%]]</f>
        <v>2142.5796935999997</v>
      </c>
      <c r="L1416" s="282">
        <f>++Tabla4[[#This Row],[Precio Unitario Neto]]-Tabla4[[#This Row],[20.85%]]</f>
        <v>8133.5819063999998</v>
      </c>
      <c r="M1416" s="282" t="e">
        <f>(INDEX(Tabla6[#All],MATCH(Tabla4[[#This Row],[Producto]],Tabla6[[#All],[PRODUCTO]],0),MATCH(Tabla4[[#This Row],[Mes]],Tabla6[#Headers],0)))*(1+Catalogos!$L$2)</f>
        <v>#N/A</v>
      </c>
      <c r="N1416" s="283" t="e">
        <f>+(Tabla4[[#This Row],[Precio Descontado]]-Tabla4[[#This Row],[Precio Base]])*Tabla4[[#This Row],[Cantidad]]</f>
        <v>#N/A</v>
      </c>
      <c r="O1416" s="284" t="e">
        <f>++Tabla4[[#This Row],[Utilidad Total]]/Tabla4[[#This Row],[Total]]</f>
        <v>#N/A</v>
      </c>
      <c r="P1416" s="282">
        <f>++Tabla4[[#This Row],[Precio Descontado]]*Tabla4[[#This Row],[Cantidad]]</f>
        <v>8133.5819063999998</v>
      </c>
      <c r="Q1416" s="282" t="e">
        <f>(INDEX(Tabla6[#All],MATCH(Tabla4[[#This Row],[Producto]],Tabla6[[#All],[PRODUCTO]],0),MATCH(Tabla4[[#This Row],[Mes]],Tabla6[#Headers],0)))</f>
        <v>#N/A</v>
      </c>
      <c r="R1416" s="282" t="e">
        <f>++Tabla4[[#This Row],[Precio Unitario Neto]]-Tabla4[[#This Row],[20.85%]]-Tabla4[[#This Row],[Costo]]</f>
        <v>#N/A</v>
      </c>
      <c r="S1416" s="282" t="e">
        <f>++Tabla4[[#This Row],[U. Bruta Uni]]*Tabla4[[#This Row],[Cantidad]]</f>
        <v>#N/A</v>
      </c>
      <c r="T1416" s="369" t="str">
        <f>VLOOKUP(Tabla4[[#This Row],[Producto]],Tabla6[#All],14,FALSE)</f>
        <v>Termico Solar</v>
      </c>
      <c r="U1416" s="284" t="e">
        <f>(IF(Tabla4[[#This Row],[Familia]]="termico solar",Tabla4[[#This Row],[Utilidad Total]]*6%,Tabla4[[#This Row],[Utilidad Total]]*11.5%))/Tabla4[[#This Row],[Total]]</f>
        <v>#N/A</v>
      </c>
      <c r="V1416" s="282" t="e">
        <f>+Tabla4[[#This Row],[Comisión Calculada]]*Tabla4[[#This Row],[Total]]</f>
        <v>#N/A</v>
      </c>
    </row>
    <row r="1417" spans="1:22" hidden="1" x14ac:dyDescent="0.25">
      <c r="A1417" s="100">
        <v>45747</v>
      </c>
      <c r="B1417" t="str">
        <f t="shared" si="66"/>
        <v>March</v>
      </c>
      <c r="C1417" s="46" t="s">
        <v>280</v>
      </c>
      <c r="F1417" s="366" t="s">
        <v>1262</v>
      </c>
      <c r="G1417" s="46" t="s">
        <v>17</v>
      </c>
      <c r="H1417" s="46">
        <v>4</v>
      </c>
      <c r="I1417" s="51">
        <v>4622.28</v>
      </c>
      <c r="J1417" s="281">
        <f>++Tabla4[[#This Row],[Precio Bruto]]*1.16</f>
        <v>5361.8447999999989</v>
      </c>
      <c r="K1417" s="281">
        <f>+Tabla4[[#This Row],[Precio Unitario Neto]]*Tabla4[[#Headers],[20.85%]]</f>
        <v>1117.9446407999997</v>
      </c>
      <c r="L1417" s="282">
        <f>++Tabla4[[#This Row],[Precio Unitario Neto]]-Tabla4[[#This Row],[20.85%]]</f>
        <v>4243.9001591999995</v>
      </c>
      <c r="M1417" s="282" t="e">
        <f>(INDEX(Tabla6[#All],MATCH(Tabla4[[#This Row],[Producto]],Tabla6[[#All],[PRODUCTO]],0),MATCH(Tabla4[[#This Row],[Mes]],Tabla6[#Headers],0)))*(1+Catalogos!$L$2)</f>
        <v>#N/A</v>
      </c>
      <c r="N1417" s="283" t="e">
        <f>+(Tabla4[[#This Row],[Precio Descontado]]-Tabla4[[#This Row],[Precio Base]])*Tabla4[[#This Row],[Cantidad]]</f>
        <v>#N/A</v>
      </c>
      <c r="O1417" s="284" t="e">
        <f>++Tabla4[[#This Row],[Utilidad Total]]/Tabla4[[#This Row],[Total]]</f>
        <v>#N/A</v>
      </c>
      <c r="P1417" s="282">
        <f>++Tabla4[[#This Row],[Precio Descontado]]*Tabla4[[#This Row],[Cantidad]]</f>
        <v>16975.600636799998</v>
      </c>
      <c r="Q1417" s="282" t="e">
        <f>(INDEX(Tabla6[#All],MATCH(Tabla4[[#This Row],[Producto]],Tabla6[[#All],[PRODUCTO]],0),MATCH(Tabla4[[#This Row],[Mes]],Tabla6[#Headers],0)))</f>
        <v>#N/A</v>
      </c>
      <c r="R1417" s="282" t="e">
        <f>++Tabla4[[#This Row],[Precio Unitario Neto]]-Tabla4[[#This Row],[20.85%]]-Tabla4[[#This Row],[Costo]]</f>
        <v>#N/A</v>
      </c>
      <c r="S1417" s="282" t="e">
        <f>++Tabla4[[#This Row],[U. Bruta Uni]]*Tabla4[[#This Row],[Cantidad]]</f>
        <v>#N/A</v>
      </c>
      <c r="T1417" s="369" t="str">
        <f>VLOOKUP(Tabla4[[#This Row],[Producto]],Tabla6[#All],14,FALSE)</f>
        <v>Termico Solar</v>
      </c>
      <c r="U1417" s="284" t="e">
        <f>(IF(Tabla4[[#This Row],[Familia]]="termico solar",Tabla4[[#This Row],[Utilidad Total]]*6%,Tabla4[[#This Row],[Utilidad Total]]*11.5%))/Tabla4[[#This Row],[Total]]</f>
        <v>#N/A</v>
      </c>
      <c r="V1417" s="282" t="e">
        <f>+Tabla4[[#This Row],[Comisión Calculada]]*Tabla4[[#This Row],[Total]]</f>
        <v>#N/A</v>
      </c>
    </row>
    <row r="1418" spans="1:22" hidden="1" x14ac:dyDescent="0.25">
      <c r="A1418" s="100">
        <v>45747</v>
      </c>
      <c r="B1418" t="str">
        <f t="shared" si="66"/>
        <v>March</v>
      </c>
      <c r="C1418" s="46" t="s">
        <v>280</v>
      </c>
      <c r="F1418" s="366" t="s">
        <v>1262</v>
      </c>
      <c r="G1418" s="46" t="s">
        <v>18</v>
      </c>
      <c r="H1418" s="46">
        <v>1</v>
      </c>
      <c r="I1418" s="51">
        <v>5367.65</v>
      </c>
      <c r="J1418" s="281">
        <f>++Tabla4[[#This Row],[Precio Bruto]]*1.16</f>
        <v>6226.4739999999993</v>
      </c>
      <c r="K1418" s="281">
        <f>+Tabla4[[#This Row],[Precio Unitario Neto]]*Tabla4[[#Headers],[20.85%]]</f>
        <v>1298.2198289999999</v>
      </c>
      <c r="L1418" s="282">
        <f>++Tabla4[[#This Row],[Precio Unitario Neto]]-Tabla4[[#This Row],[20.85%]]</f>
        <v>4928.2541709999996</v>
      </c>
      <c r="M1418" s="282" t="e">
        <f>(INDEX(Tabla6[#All],MATCH(Tabla4[[#This Row],[Producto]],Tabla6[[#All],[PRODUCTO]],0),MATCH(Tabla4[[#This Row],[Mes]],Tabla6[#Headers],0)))*(1+Catalogos!$L$2)</f>
        <v>#N/A</v>
      </c>
      <c r="N1418" s="283" t="e">
        <f>+(Tabla4[[#This Row],[Precio Descontado]]-Tabla4[[#This Row],[Precio Base]])*Tabla4[[#This Row],[Cantidad]]</f>
        <v>#N/A</v>
      </c>
      <c r="O1418" s="284" t="e">
        <f>++Tabla4[[#This Row],[Utilidad Total]]/Tabla4[[#This Row],[Total]]</f>
        <v>#N/A</v>
      </c>
      <c r="P1418" s="282">
        <f>++Tabla4[[#This Row],[Precio Descontado]]*Tabla4[[#This Row],[Cantidad]]</f>
        <v>4928.2541709999996</v>
      </c>
      <c r="Q1418" s="282" t="e">
        <f>(INDEX(Tabla6[#All],MATCH(Tabla4[[#This Row],[Producto]],Tabla6[[#All],[PRODUCTO]],0),MATCH(Tabla4[[#This Row],[Mes]],Tabla6[#Headers],0)))</f>
        <v>#N/A</v>
      </c>
      <c r="R1418" s="282" t="e">
        <f>++Tabla4[[#This Row],[Precio Unitario Neto]]-Tabla4[[#This Row],[20.85%]]-Tabla4[[#This Row],[Costo]]</f>
        <v>#N/A</v>
      </c>
      <c r="S1418" s="282" t="e">
        <f>++Tabla4[[#This Row],[U. Bruta Uni]]*Tabla4[[#This Row],[Cantidad]]</f>
        <v>#N/A</v>
      </c>
      <c r="T1418" s="369" t="str">
        <f>VLOOKUP(Tabla4[[#This Row],[Producto]],Tabla6[#All],14,FALSE)</f>
        <v>Termico Solar</v>
      </c>
      <c r="U1418" s="284" t="e">
        <f>(IF(Tabla4[[#This Row],[Familia]]="termico solar",Tabla4[[#This Row],[Utilidad Total]]*6%,Tabla4[[#This Row],[Utilidad Total]]*11.5%))/Tabla4[[#This Row],[Total]]</f>
        <v>#N/A</v>
      </c>
      <c r="V1418" s="282" t="e">
        <f>+Tabla4[[#This Row],[Comisión Calculada]]*Tabla4[[#This Row],[Total]]</f>
        <v>#N/A</v>
      </c>
    </row>
    <row r="1419" spans="1:22" hidden="1" x14ac:dyDescent="0.25">
      <c r="A1419" s="100">
        <v>45747</v>
      </c>
      <c r="B1419" t="str">
        <f t="shared" si="66"/>
        <v>March</v>
      </c>
      <c r="C1419" s="46" t="s">
        <v>280</v>
      </c>
      <c r="F1419" s="366" t="s">
        <v>1262</v>
      </c>
      <c r="G1419" s="46" t="s">
        <v>208</v>
      </c>
      <c r="H1419" s="46">
        <v>1</v>
      </c>
      <c r="I1419" s="51">
        <v>189.75</v>
      </c>
      <c r="J1419" s="281">
        <f>++Tabla4[[#This Row],[Precio Bruto]]*1.16</f>
        <v>220.10999999999999</v>
      </c>
      <c r="K1419" s="281">
        <f>+Tabla4[[#This Row],[Precio Unitario Neto]]*Tabla4[[#Headers],[20.85%]]</f>
        <v>45.892934999999994</v>
      </c>
      <c r="L1419" s="282">
        <f>++Tabla4[[#This Row],[Precio Unitario Neto]]-Tabla4[[#This Row],[20.85%]]</f>
        <v>174.21706499999999</v>
      </c>
      <c r="M1419" s="282" t="e">
        <f>(INDEX(Tabla6[#All],MATCH(Tabla4[[#This Row],[Producto]],Tabla6[[#All],[PRODUCTO]],0),MATCH(Tabla4[[#This Row],[Mes]],Tabla6[#Headers],0)))*(1+Catalogos!$L$2)</f>
        <v>#N/A</v>
      </c>
      <c r="N1419" s="283" t="e">
        <f>+(Tabla4[[#This Row],[Precio Descontado]]-Tabla4[[#This Row],[Precio Base]])*Tabla4[[#This Row],[Cantidad]]</f>
        <v>#N/A</v>
      </c>
      <c r="O1419" s="284" t="e">
        <f>++Tabla4[[#This Row],[Utilidad Total]]/Tabla4[[#This Row],[Total]]</f>
        <v>#N/A</v>
      </c>
      <c r="P1419" s="282">
        <f>++Tabla4[[#This Row],[Precio Descontado]]*Tabla4[[#This Row],[Cantidad]]</f>
        <v>174.21706499999999</v>
      </c>
      <c r="Q1419" s="282" t="e">
        <f>(INDEX(Tabla6[#All],MATCH(Tabla4[[#This Row],[Producto]],Tabla6[[#All],[PRODUCTO]],0),MATCH(Tabla4[[#This Row],[Mes]],Tabla6[#Headers],0)))</f>
        <v>#N/A</v>
      </c>
      <c r="R1419" s="282" t="e">
        <f>++Tabla4[[#This Row],[Precio Unitario Neto]]-Tabla4[[#This Row],[20.85%]]-Tabla4[[#This Row],[Costo]]</f>
        <v>#N/A</v>
      </c>
      <c r="S1419" s="282" t="e">
        <f>++Tabla4[[#This Row],[U. Bruta Uni]]*Tabla4[[#This Row],[Cantidad]]</f>
        <v>#N/A</v>
      </c>
      <c r="T1419" s="369" t="str">
        <f>VLOOKUP(Tabla4[[#This Row],[Producto]],Tabla6[#All],14,FALSE)</f>
        <v>Termico Solar</v>
      </c>
      <c r="U1419" s="284" t="e">
        <f>(IF(Tabla4[[#This Row],[Familia]]="termico solar",Tabla4[[#This Row],[Utilidad Total]]*6%,Tabla4[[#This Row],[Utilidad Total]]*11.5%))/Tabla4[[#This Row],[Total]]</f>
        <v>#N/A</v>
      </c>
      <c r="V1419" s="282" t="e">
        <f>+Tabla4[[#This Row],[Comisión Calculada]]*Tabla4[[#This Row],[Total]]</f>
        <v>#N/A</v>
      </c>
    </row>
    <row r="1420" spans="1:22" hidden="1" x14ac:dyDescent="0.25">
      <c r="A1420" s="100">
        <v>45747</v>
      </c>
      <c r="B1420" t="str">
        <f t="shared" si="66"/>
        <v>March</v>
      </c>
      <c r="C1420" s="46" t="s">
        <v>280</v>
      </c>
      <c r="F1420" s="366" t="s">
        <v>1262</v>
      </c>
      <c r="G1420" s="46" t="s">
        <v>209</v>
      </c>
      <c r="H1420" s="46">
        <v>1</v>
      </c>
      <c r="I1420" s="51">
        <v>347.48</v>
      </c>
      <c r="J1420" s="281">
        <f>++Tabla4[[#This Row],[Precio Bruto]]*1.16</f>
        <v>403.07679999999999</v>
      </c>
      <c r="K1420" s="281">
        <f>+Tabla4[[#This Row],[Precio Unitario Neto]]*Tabla4[[#Headers],[20.85%]]</f>
        <v>84.041512799999992</v>
      </c>
      <c r="L1420" s="282">
        <f>++Tabla4[[#This Row],[Precio Unitario Neto]]-Tabla4[[#This Row],[20.85%]]</f>
        <v>319.03528719999997</v>
      </c>
      <c r="M1420" s="282" t="e">
        <f>(INDEX(Tabla6[#All],MATCH(Tabla4[[#This Row],[Producto]],Tabla6[[#All],[PRODUCTO]],0),MATCH(Tabla4[[#This Row],[Mes]],Tabla6[#Headers],0)))*(1+Catalogos!$L$2)</f>
        <v>#N/A</v>
      </c>
      <c r="N1420" s="283" t="e">
        <f>+(Tabla4[[#This Row],[Precio Descontado]]-Tabla4[[#This Row],[Precio Base]])*Tabla4[[#This Row],[Cantidad]]</f>
        <v>#N/A</v>
      </c>
      <c r="O1420" s="284" t="e">
        <f>++Tabla4[[#This Row],[Utilidad Total]]/Tabla4[[#This Row],[Total]]</f>
        <v>#N/A</v>
      </c>
      <c r="P1420" s="282">
        <f>++Tabla4[[#This Row],[Precio Descontado]]*Tabla4[[#This Row],[Cantidad]]</f>
        <v>319.03528719999997</v>
      </c>
      <c r="Q1420" s="282" t="e">
        <f>(INDEX(Tabla6[#All],MATCH(Tabla4[[#This Row],[Producto]],Tabla6[[#All],[PRODUCTO]],0),MATCH(Tabla4[[#This Row],[Mes]],Tabla6[#Headers],0)))</f>
        <v>#N/A</v>
      </c>
      <c r="R1420" s="282" t="e">
        <f>++Tabla4[[#This Row],[Precio Unitario Neto]]-Tabla4[[#This Row],[20.85%]]-Tabla4[[#This Row],[Costo]]</f>
        <v>#N/A</v>
      </c>
      <c r="S1420" s="282" t="e">
        <f>++Tabla4[[#This Row],[U. Bruta Uni]]*Tabla4[[#This Row],[Cantidad]]</f>
        <v>#N/A</v>
      </c>
      <c r="T1420" s="369" t="str">
        <f>VLOOKUP(Tabla4[[#This Row],[Producto]],Tabla6[#All],14,FALSE)</f>
        <v>Termico Solar</v>
      </c>
      <c r="U1420" s="284" t="e">
        <f>(IF(Tabla4[[#This Row],[Familia]]="termico solar",Tabla4[[#This Row],[Utilidad Total]]*6%,Tabla4[[#This Row],[Utilidad Total]]*11.5%))/Tabla4[[#This Row],[Total]]</f>
        <v>#N/A</v>
      </c>
      <c r="V1420" s="282" t="e">
        <f>+Tabla4[[#This Row],[Comisión Calculada]]*Tabla4[[#This Row],[Total]]</f>
        <v>#N/A</v>
      </c>
    </row>
    <row r="1421" spans="1:22" hidden="1" x14ac:dyDescent="0.25">
      <c r="A1421" s="100">
        <v>45747</v>
      </c>
      <c r="B1421" t="str">
        <f t="shared" si="66"/>
        <v>March</v>
      </c>
      <c r="C1421" s="46" t="s">
        <v>280</v>
      </c>
      <c r="F1421" s="366" t="s">
        <v>1263</v>
      </c>
      <c r="G1421" s="46" t="s">
        <v>17</v>
      </c>
      <c r="H1421" s="46">
        <v>2</v>
      </c>
      <c r="I1421" s="51">
        <v>4622.28</v>
      </c>
      <c r="J1421" s="281">
        <f>++Tabla4[[#This Row],[Precio Bruto]]*1.16</f>
        <v>5361.8447999999989</v>
      </c>
      <c r="K1421" s="281">
        <f>+Tabla4[[#This Row],[Precio Unitario Neto]]*Tabla4[[#Headers],[20.85%]]</f>
        <v>1117.9446407999997</v>
      </c>
      <c r="L1421" s="282">
        <f>++Tabla4[[#This Row],[Precio Unitario Neto]]-Tabla4[[#This Row],[20.85%]]</f>
        <v>4243.9001591999995</v>
      </c>
      <c r="M1421" s="282" t="e">
        <f>(INDEX(Tabla6[#All],MATCH(Tabla4[[#This Row],[Producto]],Tabla6[[#All],[PRODUCTO]],0),MATCH(Tabla4[[#This Row],[Mes]],Tabla6[#Headers],0)))*(1+Catalogos!$L$2)</f>
        <v>#N/A</v>
      </c>
      <c r="N1421" s="283" t="e">
        <f>+(Tabla4[[#This Row],[Precio Descontado]]-Tabla4[[#This Row],[Precio Base]])*Tabla4[[#This Row],[Cantidad]]</f>
        <v>#N/A</v>
      </c>
      <c r="O1421" s="284" t="e">
        <f>++Tabla4[[#This Row],[Utilidad Total]]/Tabla4[[#This Row],[Total]]</f>
        <v>#N/A</v>
      </c>
      <c r="P1421" s="282">
        <f>++Tabla4[[#This Row],[Precio Descontado]]*Tabla4[[#This Row],[Cantidad]]</f>
        <v>8487.800318399999</v>
      </c>
      <c r="Q1421" s="282" t="e">
        <f>(INDEX(Tabla6[#All],MATCH(Tabla4[[#This Row],[Producto]],Tabla6[[#All],[PRODUCTO]],0),MATCH(Tabla4[[#This Row],[Mes]],Tabla6[#Headers],0)))</f>
        <v>#N/A</v>
      </c>
      <c r="R1421" s="282" t="e">
        <f>++Tabla4[[#This Row],[Precio Unitario Neto]]-Tabla4[[#This Row],[20.85%]]-Tabla4[[#This Row],[Costo]]</f>
        <v>#N/A</v>
      </c>
      <c r="S1421" s="282" t="e">
        <f>++Tabla4[[#This Row],[U. Bruta Uni]]*Tabla4[[#This Row],[Cantidad]]</f>
        <v>#N/A</v>
      </c>
      <c r="T1421" s="369" t="str">
        <f>VLOOKUP(Tabla4[[#This Row],[Producto]],Tabla6[#All],14,FALSE)</f>
        <v>Termico Solar</v>
      </c>
      <c r="U1421" s="284" t="e">
        <f>(IF(Tabla4[[#This Row],[Familia]]="termico solar",Tabla4[[#This Row],[Utilidad Total]]*6%,Tabla4[[#This Row],[Utilidad Total]]*11.5%))/Tabla4[[#This Row],[Total]]</f>
        <v>#N/A</v>
      </c>
      <c r="V1421" s="282" t="e">
        <f>+Tabla4[[#This Row],[Comisión Calculada]]*Tabla4[[#This Row],[Total]]</f>
        <v>#N/A</v>
      </c>
    </row>
    <row r="1422" spans="1:22" hidden="1" x14ac:dyDescent="0.25">
      <c r="A1422" s="100">
        <v>45747</v>
      </c>
      <c r="B1422" t="str">
        <f t="shared" si="66"/>
        <v>March</v>
      </c>
      <c r="C1422" s="46" t="s">
        <v>280</v>
      </c>
      <c r="F1422" s="366" t="s">
        <v>1263</v>
      </c>
      <c r="G1422" s="46" t="s">
        <v>208</v>
      </c>
      <c r="H1422" s="46">
        <v>15</v>
      </c>
      <c r="I1422" s="51">
        <v>140.63</v>
      </c>
      <c r="J1422" s="281">
        <f>++Tabla4[[#This Row],[Precio Bruto]]*1.16</f>
        <v>163.13079999999999</v>
      </c>
      <c r="K1422" s="281">
        <f>+Tabla4[[#This Row],[Precio Unitario Neto]]*Tabla4[[#Headers],[20.85%]]</f>
        <v>34.012771799999996</v>
      </c>
      <c r="L1422" s="282">
        <f>++Tabla4[[#This Row],[Precio Unitario Neto]]-Tabla4[[#This Row],[20.85%]]</f>
        <v>129.1180282</v>
      </c>
      <c r="M1422" s="282" t="e">
        <f>(INDEX(Tabla6[#All],MATCH(Tabla4[[#This Row],[Producto]],Tabla6[[#All],[PRODUCTO]],0),MATCH(Tabla4[[#This Row],[Mes]],Tabla6[#Headers],0)))*(1+Catalogos!$L$2)</f>
        <v>#N/A</v>
      </c>
      <c r="N1422" s="283" t="e">
        <f>+(Tabla4[[#This Row],[Precio Descontado]]-Tabla4[[#This Row],[Precio Base]])*Tabla4[[#This Row],[Cantidad]]</f>
        <v>#N/A</v>
      </c>
      <c r="O1422" s="284" t="e">
        <f>++Tabla4[[#This Row],[Utilidad Total]]/Tabla4[[#This Row],[Total]]</f>
        <v>#N/A</v>
      </c>
      <c r="P1422" s="282">
        <f>++Tabla4[[#This Row],[Precio Descontado]]*Tabla4[[#This Row],[Cantidad]]</f>
        <v>1936.7704229999999</v>
      </c>
      <c r="Q1422" s="282" t="e">
        <f>(INDEX(Tabla6[#All],MATCH(Tabla4[[#This Row],[Producto]],Tabla6[[#All],[PRODUCTO]],0),MATCH(Tabla4[[#This Row],[Mes]],Tabla6[#Headers],0)))</f>
        <v>#N/A</v>
      </c>
      <c r="R1422" s="282" t="e">
        <f>++Tabla4[[#This Row],[Precio Unitario Neto]]-Tabla4[[#This Row],[20.85%]]-Tabla4[[#This Row],[Costo]]</f>
        <v>#N/A</v>
      </c>
      <c r="S1422" s="282" t="e">
        <f>++Tabla4[[#This Row],[U. Bruta Uni]]*Tabla4[[#This Row],[Cantidad]]</f>
        <v>#N/A</v>
      </c>
      <c r="T1422" s="369" t="str">
        <f>VLOOKUP(Tabla4[[#This Row],[Producto]],Tabla6[#All],14,FALSE)</f>
        <v>Termico Solar</v>
      </c>
      <c r="U1422" s="284" t="e">
        <f>(IF(Tabla4[[#This Row],[Familia]]="termico solar",Tabla4[[#This Row],[Utilidad Total]]*6%,Tabla4[[#This Row],[Utilidad Total]]*11.5%))/Tabla4[[#This Row],[Total]]</f>
        <v>#N/A</v>
      </c>
      <c r="V1422" s="282" t="e">
        <f>+Tabla4[[#This Row],[Comisión Calculada]]*Tabla4[[#This Row],[Total]]</f>
        <v>#N/A</v>
      </c>
    </row>
    <row r="1423" spans="1:22" hidden="1" x14ac:dyDescent="0.25">
      <c r="A1423" s="100">
        <v>45747</v>
      </c>
      <c r="B1423" t="str">
        <f t="shared" si="66"/>
        <v>March</v>
      </c>
      <c r="C1423" s="46" t="s">
        <v>280</v>
      </c>
      <c r="F1423" s="366" t="s">
        <v>1263</v>
      </c>
      <c r="G1423" s="46" t="s">
        <v>394</v>
      </c>
      <c r="H1423" s="46">
        <v>16</v>
      </c>
      <c r="I1423" s="51">
        <v>224.29</v>
      </c>
      <c r="J1423" s="281">
        <f>++Tabla4[[#This Row],[Precio Bruto]]*1.16</f>
        <v>260.1764</v>
      </c>
      <c r="K1423" s="281">
        <f>+Tabla4[[#This Row],[Precio Unitario Neto]]*Tabla4[[#Headers],[20.85%]]</f>
        <v>54.246779400000001</v>
      </c>
      <c r="L1423" s="282">
        <f>++Tabla4[[#This Row],[Precio Unitario Neto]]-Tabla4[[#This Row],[20.85%]]</f>
        <v>205.92962059999999</v>
      </c>
      <c r="M1423" s="282" t="e">
        <f>(INDEX(Tabla6[#All],MATCH(Tabla4[[#This Row],[Producto]],Tabla6[[#All],[PRODUCTO]],0),MATCH(Tabla4[[#This Row],[Mes]],Tabla6[#Headers],0)))*(1+Catalogos!$L$2)</f>
        <v>#N/A</v>
      </c>
      <c r="N1423" s="283" t="e">
        <f>+(Tabla4[[#This Row],[Precio Descontado]]-Tabla4[[#This Row],[Precio Base]])*Tabla4[[#This Row],[Cantidad]]</f>
        <v>#N/A</v>
      </c>
      <c r="O1423" s="284" t="e">
        <f>++Tabla4[[#This Row],[Utilidad Total]]/Tabla4[[#This Row],[Total]]</f>
        <v>#N/A</v>
      </c>
      <c r="P1423" s="282">
        <f>++Tabla4[[#This Row],[Precio Descontado]]*Tabla4[[#This Row],[Cantidad]]</f>
        <v>3294.8739295999999</v>
      </c>
      <c r="Q1423" s="282" t="e">
        <f>(INDEX(Tabla6[#All],MATCH(Tabla4[[#This Row],[Producto]],Tabla6[[#All],[PRODUCTO]],0),MATCH(Tabla4[[#This Row],[Mes]],Tabla6[#Headers],0)))</f>
        <v>#N/A</v>
      </c>
      <c r="R1423" s="282" t="e">
        <f>++Tabla4[[#This Row],[Precio Unitario Neto]]-Tabla4[[#This Row],[20.85%]]-Tabla4[[#This Row],[Costo]]</f>
        <v>#N/A</v>
      </c>
      <c r="S1423" s="282" t="e">
        <f>++Tabla4[[#This Row],[U. Bruta Uni]]*Tabla4[[#This Row],[Cantidad]]</f>
        <v>#N/A</v>
      </c>
      <c r="T1423" s="369" t="str">
        <f>VLOOKUP(Tabla4[[#This Row],[Producto]],Tabla6[#All],14,FALSE)</f>
        <v>Termico Solar</v>
      </c>
      <c r="U1423" s="284" t="e">
        <f>(IF(Tabla4[[#This Row],[Familia]]="termico solar",Tabla4[[#This Row],[Utilidad Total]]*6%,Tabla4[[#This Row],[Utilidad Total]]*11.5%))/Tabla4[[#This Row],[Total]]</f>
        <v>#N/A</v>
      </c>
      <c r="V1423" s="282" t="e">
        <f>+Tabla4[[#This Row],[Comisión Calculada]]*Tabla4[[#This Row],[Total]]</f>
        <v>#N/A</v>
      </c>
    </row>
    <row r="1424" spans="1:22" hidden="1" x14ac:dyDescent="0.25">
      <c r="A1424" s="100">
        <v>45747</v>
      </c>
      <c r="B1424" t="str">
        <f t="shared" si="66"/>
        <v>March</v>
      </c>
      <c r="C1424" s="46" t="s">
        <v>280</v>
      </c>
      <c r="F1424" s="366" t="s">
        <v>1263</v>
      </c>
      <c r="G1424" s="46" t="s">
        <v>555</v>
      </c>
      <c r="H1424" s="46">
        <v>8</v>
      </c>
      <c r="I1424" s="51">
        <v>389.47</v>
      </c>
      <c r="J1424" s="281">
        <f>++Tabla4[[#This Row],[Precio Bruto]]*1.16</f>
        <v>451.78519999999997</v>
      </c>
      <c r="K1424" s="281">
        <f>+Tabla4[[#This Row],[Precio Unitario Neto]]*Tabla4[[#Headers],[20.85%]]</f>
        <v>94.197214199999991</v>
      </c>
      <c r="L1424" s="282">
        <f>++Tabla4[[#This Row],[Precio Unitario Neto]]-Tabla4[[#This Row],[20.85%]]</f>
        <v>357.58798579999996</v>
      </c>
      <c r="M1424" s="282" t="e">
        <f>(INDEX(Tabla6[#All],MATCH(Tabla4[[#This Row],[Producto]],Tabla6[[#All],[PRODUCTO]],0),MATCH(Tabla4[[#This Row],[Mes]],Tabla6[#Headers],0)))*(1+Catalogos!$L$2)</f>
        <v>#N/A</v>
      </c>
      <c r="N1424" s="283" t="e">
        <f>+(Tabla4[[#This Row],[Precio Descontado]]-Tabla4[[#This Row],[Precio Base]])*Tabla4[[#This Row],[Cantidad]]</f>
        <v>#N/A</v>
      </c>
      <c r="O1424" s="284" t="e">
        <f>++Tabla4[[#This Row],[Utilidad Total]]/Tabla4[[#This Row],[Total]]</f>
        <v>#N/A</v>
      </c>
      <c r="P1424" s="282">
        <f>++Tabla4[[#This Row],[Precio Descontado]]*Tabla4[[#This Row],[Cantidad]]</f>
        <v>2860.7038863999996</v>
      </c>
      <c r="Q1424" s="282" t="e">
        <f>(INDEX(Tabla6[#All],MATCH(Tabla4[[#This Row],[Producto]],Tabla6[[#All],[PRODUCTO]],0),MATCH(Tabla4[[#This Row],[Mes]],Tabla6[#Headers],0)))</f>
        <v>#N/A</v>
      </c>
      <c r="R1424" s="282" t="e">
        <f>++Tabla4[[#This Row],[Precio Unitario Neto]]-Tabla4[[#This Row],[20.85%]]-Tabla4[[#This Row],[Costo]]</f>
        <v>#N/A</v>
      </c>
      <c r="S1424" s="282" t="e">
        <f>++Tabla4[[#This Row],[U. Bruta Uni]]*Tabla4[[#This Row],[Cantidad]]</f>
        <v>#N/A</v>
      </c>
      <c r="T1424" s="369" t="str">
        <f>VLOOKUP(Tabla4[[#This Row],[Producto]],Tabla6[#All],14,FALSE)</f>
        <v>Termico Solar</v>
      </c>
      <c r="U1424" s="284" t="e">
        <f>(IF(Tabla4[[#This Row],[Familia]]="termico solar",Tabla4[[#This Row],[Utilidad Total]]*6%,Tabla4[[#This Row],[Utilidad Total]]*11.5%))/Tabla4[[#This Row],[Total]]</f>
        <v>#N/A</v>
      </c>
      <c r="V1424" s="282" t="e">
        <f>+Tabla4[[#This Row],[Comisión Calculada]]*Tabla4[[#This Row],[Total]]</f>
        <v>#N/A</v>
      </c>
    </row>
    <row r="1425" spans="1:22" hidden="1" x14ac:dyDescent="0.25">
      <c r="A1425" s="100">
        <v>45747</v>
      </c>
      <c r="B1425" t="str">
        <f t="shared" si="66"/>
        <v>March</v>
      </c>
      <c r="C1425" s="46" t="s">
        <v>280</v>
      </c>
      <c r="F1425" s="366" t="s">
        <v>1263</v>
      </c>
      <c r="G1425" s="46" t="s">
        <v>208</v>
      </c>
      <c r="H1425" s="46">
        <v>2</v>
      </c>
      <c r="I1425" s="51">
        <v>189.75</v>
      </c>
      <c r="J1425" s="281">
        <f>++Tabla4[[#This Row],[Precio Bruto]]*1.16</f>
        <v>220.10999999999999</v>
      </c>
      <c r="K1425" s="281">
        <f>+Tabla4[[#This Row],[Precio Unitario Neto]]*Tabla4[[#Headers],[20.85%]]</f>
        <v>45.892934999999994</v>
      </c>
      <c r="L1425" s="282">
        <f>++Tabla4[[#This Row],[Precio Unitario Neto]]-Tabla4[[#This Row],[20.85%]]</f>
        <v>174.21706499999999</v>
      </c>
      <c r="M1425" s="282" t="e">
        <f>(INDEX(Tabla6[#All],MATCH(Tabla4[[#This Row],[Producto]],Tabla6[[#All],[PRODUCTO]],0),MATCH(Tabla4[[#This Row],[Mes]],Tabla6[#Headers],0)))*(1+Catalogos!$L$2)</f>
        <v>#N/A</v>
      </c>
      <c r="N1425" s="283" t="e">
        <f>+(Tabla4[[#This Row],[Precio Descontado]]-Tabla4[[#This Row],[Precio Base]])*Tabla4[[#This Row],[Cantidad]]</f>
        <v>#N/A</v>
      </c>
      <c r="O1425" s="284" t="e">
        <f>++Tabla4[[#This Row],[Utilidad Total]]/Tabla4[[#This Row],[Total]]</f>
        <v>#N/A</v>
      </c>
      <c r="P1425" s="282">
        <f>++Tabla4[[#This Row],[Precio Descontado]]*Tabla4[[#This Row],[Cantidad]]</f>
        <v>348.43412999999998</v>
      </c>
      <c r="Q1425" s="282" t="e">
        <f>(INDEX(Tabla6[#All],MATCH(Tabla4[[#This Row],[Producto]],Tabla6[[#All],[PRODUCTO]],0),MATCH(Tabla4[[#This Row],[Mes]],Tabla6[#Headers],0)))</f>
        <v>#N/A</v>
      </c>
      <c r="R1425" s="282" t="e">
        <f>++Tabla4[[#This Row],[Precio Unitario Neto]]-Tabla4[[#This Row],[20.85%]]-Tabla4[[#This Row],[Costo]]</f>
        <v>#N/A</v>
      </c>
      <c r="S1425" s="282" t="e">
        <f>++Tabla4[[#This Row],[U. Bruta Uni]]*Tabla4[[#This Row],[Cantidad]]</f>
        <v>#N/A</v>
      </c>
      <c r="T1425" s="369" t="str">
        <f>VLOOKUP(Tabla4[[#This Row],[Producto]],Tabla6[#All],14,FALSE)</f>
        <v>Termico Solar</v>
      </c>
      <c r="U1425" s="284" t="e">
        <f>(IF(Tabla4[[#This Row],[Familia]]="termico solar",Tabla4[[#This Row],[Utilidad Total]]*6%,Tabla4[[#This Row],[Utilidad Total]]*11.5%))/Tabla4[[#This Row],[Total]]</f>
        <v>#N/A</v>
      </c>
      <c r="V1425" s="282" t="e">
        <f>+Tabla4[[#This Row],[Comisión Calculada]]*Tabla4[[#This Row],[Total]]</f>
        <v>#N/A</v>
      </c>
    </row>
    <row r="1426" spans="1:22" hidden="1" x14ac:dyDescent="0.25">
      <c r="A1426" s="100">
        <v>45747</v>
      </c>
      <c r="B1426" t="str">
        <f t="shared" si="66"/>
        <v>March</v>
      </c>
      <c r="C1426" s="46" t="s">
        <v>280</v>
      </c>
      <c r="F1426" s="366" t="s">
        <v>1264</v>
      </c>
      <c r="G1426" s="46" t="s">
        <v>566</v>
      </c>
      <c r="H1426" s="46">
        <v>1</v>
      </c>
      <c r="I1426" s="51">
        <v>2109.4499999999998</v>
      </c>
      <c r="J1426" s="281">
        <f>++Tabla4[[#This Row],[Precio Bruto]]*1.16</f>
        <v>2446.9619999999995</v>
      </c>
      <c r="K1426" s="281">
        <f>+Tabla4[[#This Row],[Precio Unitario Neto]]*Tabla4[[#Headers],[20.85%]]</f>
        <v>510.19157699999988</v>
      </c>
      <c r="L1426" s="282">
        <f>++Tabla4[[#This Row],[Precio Unitario Neto]]-Tabla4[[#This Row],[20.85%]]</f>
        <v>1936.7704229999997</v>
      </c>
      <c r="M1426" s="282" t="e">
        <f>(INDEX(Tabla6[#All],MATCH(Tabla4[[#This Row],[Producto]],Tabla6[[#All],[PRODUCTO]],0),MATCH(Tabla4[[#This Row],[Mes]],Tabla6[#Headers],0)))*(1+Catalogos!$L$2)</f>
        <v>#N/A</v>
      </c>
      <c r="N1426" s="283" t="e">
        <f>+(Tabla4[[#This Row],[Precio Descontado]]-Tabla4[[#This Row],[Precio Base]])*Tabla4[[#This Row],[Cantidad]]</f>
        <v>#N/A</v>
      </c>
      <c r="O1426" s="284" t="e">
        <f>++Tabla4[[#This Row],[Utilidad Total]]/Tabla4[[#This Row],[Total]]</f>
        <v>#N/A</v>
      </c>
      <c r="P1426" s="282">
        <f>++Tabla4[[#This Row],[Precio Descontado]]*Tabla4[[#This Row],[Cantidad]]</f>
        <v>1936.7704229999997</v>
      </c>
      <c r="Q1426" s="282" t="e">
        <f>(INDEX(Tabla6[#All],MATCH(Tabla4[[#This Row],[Producto]],Tabla6[[#All],[PRODUCTO]],0),MATCH(Tabla4[[#This Row],[Mes]],Tabla6[#Headers],0)))</f>
        <v>#N/A</v>
      </c>
      <c r="R1426" s="282" t="e">
        <f>++Tabla4[[#This Row],[Precio Unitario Neto]]-Tabla4[[#This Row],[20.85%]]-Tabla4[[#This Row],[Costo]]</f>
        <v>#N/A</v>
      </c>
      <c r="S1426" s="282" t="e">
        <f>++Tabla4[[#This Row],[U. Bruta Uni]]*Tabla4[[#This Row],[Cantidad]]</f>
        <v>#N/A</v>
      </c>
      <c r="T1426" s="369" t="str">
        <f>VLOOKUP(Tabla4[[#This Row],[Producto]],Tabla6[#All],14,FALSE)</f>
        <v>Termico Solar</v>
      </c>
      <c r="U1426" s="284" t="e">
        <f>(IF(Tabla4[[#This Row],[Familia]]="termico solar",Tabla4[[#This Row],[Utilidad Total]]*6%,Tabla4[[#This Row],[Utilidad Total]]*11.5%))/Tabla4[[#This Row],[Total]]</f>
        <v>#N/A</v>
      </c>
      <c r="V1426" s="282" t="e">
        <f>+Tabla4[[#This Row],[Comisión Calculada]]*Tabla4[[#This Row],[Total]]</f>
        <v>#N/A</v>
      </c>
    </row>
    <row r="1427" spans="1:22" hidden="1" x14ac:dyDescent="0.25">
      <c r="A1427" s="100">
        <v>45747</v>
      </c>
      <c r="B1427" t="str">
        <f t="shared" si="66"/>
        <v>March</v>
      </c>
      <c r="C1427" s="46" t="s">
        <v>280</v>
      </c>
      <c r="F1427" s="366" t="s">
        <v>1265</v>
      </c>
      <c r="G1427" s="46" t="s">
        <v>17</v>
      </c>
      <c r="H1427" s="46">
        <v>1</v>
      </c>
      <c r="I1427" s="51">
        <v>4622.28</v>
      </c>
      <c r="J1427" s="281">
        <f>++Tabla4[[#This Row],[Precio Bruto]]*1.16</f>
        <v>5361.8447999999989</v>
      </c>
      <c r="K1427" s="281">
        <f>+Tabla4[[#This Row],[Precio Unitario Neto]]*Tabla4[[#Headers],[20.85%]]</f>
        <v>1117.9446407999997</v>
      </c>
      <c r="L1427" s="282">
        <f>++Tabla4[[#This Row],[Precio Unitario Neto]]-Tabla4[[#This Row],[20.85%]]</f>
        <v>4243.9001591999995</v>
      </c>
      <c r="M1427" s="282" t="e">
        <f>(INDEX(Tabla6[#All],MATCH(Tabla4[[#This Row],[Producto]],Tabla6[[#All],[PRODUCTO]],0),MATCH(Tabla4[[#This Row],[Mes]],Tabla6[#Headers],0)))*(1+Catalogos!$L$2)</f>
        <v>#N/A</v>
      </c>
      <c r="N1427" s="283" t="e">
        <f>+(Tabla4[[#This Row],[Precio Descontado]]-Tabla4[[#This Row],[Precio Base]])*Tabla4[[#This Row],[Cantidad]]</f>
        <v>#N/A</v>
      </c>
      <c r="O1427" s="284" t="e">
        <f>++Tabla4[[#This Row],[Utilidad Total]]/Tabla4[[#This Row],[Total]]</f>
        <v>#N/A</v>
      </c>
      <c r="P1427" s="282">
        <f>++Tabla4[[#This Row],[Precio Descontado]]*Tabla4[[#This Row],[Cantidad]]</f>
        <v>4243.9001591999995</v>
      </c>
      <c r="Q1427" s="282" t="e">
        <f>(INDEX(Tabla6[#All],MATCH(Tabla4[[#This Row],[Producto]],Tabla6[[#All],[PRODUCTO]],0),MATCH(Tabla4[[#This Row],[Mes]],Tabla6[#Headers],0)))</f>
        <v>#N/A</v>
      </c>
      <c r="R1427" s="282" t="e">
        <f>++Tabla4[[#This Row],[Precio Unitario Neto]]-Tabla4[[#This Row],[20.85%]]-Tabla4[[#This Row],[Costo]]</f>
        <v>#N/A</v>
      </c>
      <c r="S1427" s="282" t="e">
        <f>++Tabla4[[#This Row],[U. Bruta Uni]]*Tabla4[[#This Row],[Cantidad]]</f>
        <v>#N/A</v>
      </c>
      <c r="T1427" s="369" t="str">
        <f>VLOOKUP(Tabla4[[#This Row],[Producto]],Tabla6[#All],14,FALSE)</f>
        <v>Termico Solar</v>
      </c>
      <c r="U1427" s="284" t="e">
        <f>(IF(Tabla4[[#This Row],[Familia]]="termico solar",Tabla4[[#This Row],[Utilidad Total]]*6%,Tabla4[[#This Row],[Utilidad Total]]*11.5%))/Tabla4[[#This Row],[Total]]</f>
        <v>#N/A</v>
      </c>
      <c r="V1427" s="282" t="e">
        <f>+Tabla4[[#This Row],[Comisión Calculada]]*Tabla4[[#This Row],[Total]]</f>
        <v>#N/A</v>
      </c>
    </row>
    <row r="1428" spans="1:22" hidden="1" x14ac:dyDescent="0.25">
      <c r="A1428" s="100">
        <v>45747</v>
      </c>
      <c r="B1428" t="str">
        <f t="shared" si="66"/>
        <v>March</v>
      </c>
      <c r="C1428" s="46" t="s">
        <v>280</v>
      </c>
      <c r="F1428" s="366" t="s">
        <v>1265</v>
      </c>
      <c r="G1428" s="46" t="s">
        <v>18</v>
      </c>
      <c r="H1428" s="46">
        <v>2</v>
      </c>
      <c r="I1428" s="51">
        <v>5367.65</v>
      </c>
      <c r="J1428" s="281">
        <f>++Tabla4[[#This Row],[Precio Bruto]]*1.16</f>
        <v>6226.4739999999993</v>
      </c>
      <c r="K1428" s="281">
        <f>+Tabla4[[#This Row],[Precio Unitario Neto]]*Tabla4[[#Headers],[20.85%]]</f>
        <v>1298.2198289999999</v>
      </c>
      <c r="L1428" s="282">
        <f>++Tabla4[[#This Row],[Precio Unitario Neto]]-Tabla4[[#This Row],[20.85%]]</f>
        <v>4928.2541709999996</v>
      </c>
      <c r="M1428" s="282" t="e">
        <f>(INDEX(Tabla6[#All],MATCH(Tabla4[[#This Row],[Producto]],Tabla6[[#All],[PRODUCTO]],0),MATCH(Tabla4[[#This Row],[Mes]],Tabla6[#Headers],0)))*(1+Catalogos!$L$2)</f>
        <v>#N/A</v>
      </c>
      <c r="N1428" s="283" t="e">
        <f>+(Tabla4[[#This Row],[Precio Descontado]]-Tabla4[[#This Row],[Precio Base]])*Tabla4[[#This Row],[Cantidad]]</f>
        <v>#N/A</v>
      </c>
      <c r="O1428" s="284" t="e">
        <f>++Tabla4[[#This Row],[Utilidad Total]]/Tabla4[[#This Row],[Total]]</f>
        <v>#N/A</v>
      </c>
      <c r="P1428" s="282">
        <f>++Tabla4[[#This Row],[Precio Descontado]]*Tabla4[[#This Row],[Cantidad]]</f>
        <v>9856.5083419999992</v>
      </c>
      <c r="Q1428" s="282" t="e">
        <f>(INDEX(Tabla6[#All],MATCH(Tabla4[[#This Row],[Producto]],Tabla6[[#All],[PRODUCTO]],0),MATCH(Tabla4[[#This Row],[Mes]],Tabla6[#Headers],0)))</f>
        <v>#N/A</v>
      </c>
      <c r="R1428" s="282" t="e">
        <f>++Tabla4[[#This Row],[Precio Unitario Neto]]-Tabla4[[#This Row],[20.85%]]-Tabla4[[#This Row],[Costo]]</f>
        <v>#N/A</v>
      </c>
      <c r="S1428" s="282" t="e">
        <f>++Tabla4[[#This Row],[U. Bruta Uni]]*Tabla4[[#This Row],[Cantidad]]</f>
        <v>#N/A</v>
      </c>
      <c r="T1428" s="369" t="str">
        <f>VLOOKUP(Tabla4[[#This Row],[Producto]],Tabla6[#All],14,FALSE)</f>
        <v>Termico Solar</v>
      </c>
      <c r="U1428" s="284" t="e">
        <f>(IF(Tabla4[[#This Row],[Familia]]="termico solar",Tabla4[[#This Row],[Utilidad Total]]*6%,Tabla4[[#This Row],[Utilidad Total]]*11.5%))/Tabla4[[#This Row],[Total]]</f>
        <v>#N/A</v>
      </c>
      <c r="V1428" s="282" t="e">
        <f>+Tabla4[[#This Row],[Comisión Calculada]]*Tabla4[[#This Row],[Total]]</f>
        <v>#N/A</v>
      </c>
    </row>
    <row r="1429" spans="1:22" hidden="1" x14ac:dyDescent="0.25">
      <c r="A1429" s="100">
        <v>45747</v>
      </c>
      <c r="B1429" t="str">
        <f t="shared" si="66"/>
        <v>March</v>
      </c>
      <c r="C1429" s="46" t="s">
        <v>280</v>
      </c>
      <c r="F1429" s="366" t="s">
        <v>1265</v>
      </c>
      <c r="G1429" s="46" t="s">
        <v>16</v>
      </c>
      <c r="H1429" s="46">
        <v>1</v>
      </c>
      <c r="I1429" s="51">
        <v>4103.8500000000004</v>
      </c>
      <c r="J1429" s="281">
        <f>++Tabla4[[#This Row],[Precio Bruto]]*1.16</f>
        <v>4760.4660000000003</v>
      </c>
      <c r="K1429" s="281">
        <f>+Tabla4[[#This Row],[Precio Unitario Neto]]*Tabla4[[#Headers],[20.85%]]</f>
        <v>992.55716100000006</v>
      </c>
      <c r="L1429" s="282">
        <f>++Tabla4[[#This Row],[Precio Unitario Neto]]-Tabla4[[#This Row],[20.85%]]</f>
        <v>3767.9088390000002</v>
      </c>
      <c r="M1429" s="282" t="e">
        <f>(INDEX(Tabla6[#All],MATCH(Tabla4[[#This Row],[Producto]],Tabla6[[#All],[PRODUCTO]],0),MATCH(Tabla4[[#This Row],[Mes]],Tabla6[#Headers],0)))*(1+Catalogos!$L$2)</f>
        <v>#N/A</v>
      </c>
      <c r="N1429" s="283" t="e">
        <f>+(Tabla4[[#This Row],[Precio Descontado]]-Tabla4[[#This Row],[Precio Base]])*Tabla4[[#This Row],[Cantidad]]</f>
        <v>#N/A</v>
      </c>
      <c r="O1429" s="284" t="e">
        <f>++Tabla4[[#This Row],[Utilidad Total]]/Tabla4[[#This Row],[Total]]</f>
        <v>#N/A</v>
      </c>
      <c r="P1429" s="282">
        <f>++Tabla4[[#This Row],[Precio Descontado]]*Tabla4[[#This Row],[Cantidad]]</f>
        <v>3767.9088390000002</v>
      </c>
      <c r="Q1429" s="282" t="e">
        <f>(INDEX(Tabla6[#All],MATCH(Tabla4[[#This Row],[Producto]],Tabla6[[#All],[PRODUCTO]],0),MATCH(Tabla4[[#This Row],[Mes]],Tabla6[#Headers],0)))</f>
        <v>#N/A</v>
      </c>
      <c r="R1429" s="282" t="e">
        <f>++Tabla4[[#This Row],[Precio Unitario Neto]]-Tabla4[[#This Row],[20.85%]]-Tabla4[[#This Row],[Costo]]</f>
        <v>#N/A</v>
      </c>
      <c r="S1429" s="282" t="e">
        <f>++Tabla4[[#This Row],[U. Bruta Uni]]*Tabla4[[#This Row],[Cantidad]]</f>
        <v>#N/A</v>
      </c>
      <c r="T1429" s="369" t="str">
        <f>VLOOKUP(Tabla4[[#This Row],[Producto]],Tabla6[#All],14,FALSE)</f>
        <v>Termico Solar</v>
      </c>
      <c r="U1429" s="284" t="e">
        <f>(IF(Tabla4[[#This Row],[Familia]]="termico solar",Tabla4[[#This Row],[Utilidad Total]]*6%,Tabla4[[#This Row],[Utilidad Total]]*11.5%))/Tabla4[[#This Row],[Total]]</f>
        <v>#N/A</v>
      </c>
      <c r="V1429" s="282" t="e">
        <f>+Tabla4[[#This Row],[Comisión Calculada]]*Tabla4[[#This Row],[Total]]</f>
        <v>#N/A</v>
      </c>
    </row>
    <row r="1430" spans="1:22" hidden="1" x14ac:dyDescent="0.25">
      <c r="A1430" s="100">
        <v>45747</v>
      </c>
      <c r="B1430" t="str">
        <f t="shared" si="66"/>
        <v>March</v>
      </c>
      <c r="C1430" s="46" t="s">
        <v>280</v>
      </c>
      <c r="F1430" s="366" t="s">
        <v>1265</v>
      </c>
      <c r="G1430" s="46" t="s">
        <v>555</v>
      </c>
      <c r="H1430" s="46">
        <v>8</v>
      </c>
      <c r="I1430" s="51">
        <v>389.47</v>
      </c>
      <c r="J1430" s="281">
        <f>++Tabla4[[#This Row],[Precio Bruto]]*1.16</f>
        <v>451.78519999999997</v>
      </c>
      <c r="K1430" s="281">
        <f>+Tabla4[[#This Row],[Precio Unitario Neto]]*Tabla4[[#Headers],[20.85%]]</f>
        <v>94.197214199999991</v>
      </c>
      <c r="L1430" s="282">
        <f>++Tabla4[[#This Row],[Precio Unitario Neto]]-Tabla4[[#This Row],[20.85%]]</f>
        <v>357.58798579999996</v>
      </c>
      <c r="M1430" s="282" t="e">
        <f>(INDEX(Tabla6[#All],MATCH(Tabla4[[#This Row],[Producto]],Tabla6[[#All],[PRODUCTO]],0),MATCH(Tabla4[[#This Row],[Mes]],Tabla6[#Headers],0)))*(1+Catalogos!$L$2)</f>
        <v>#N/A</v>
      </c>
      <c r="N1430" s="283" t="e">
        <f>+(Tabla4[[#This Row],[Precio Descontado]]-Tabla4[[#This Row],[Precio Base]])*Tabla4[[#This Row],[Cantidad]]</f>
        <v>#N/A</v>
      </c>
      <c r="O1430" s="284" t="e">
        <f>++Tabla4[[#This Row],[Utilidad Total]]/Tabla4[[#This Row],[Total]]</f>
        <v>#N/A</v>
      </c>
      <c r="P1430" s="282">
        <f>++Tabla4[[#This Row],[Precio Descontado]]*Tabla4[[#This Row],[Cantidad]]</f>
        <v>2860.7038863999996</v>
      </c>
      <c r="Q1430" s="282" t="e">
        <f>(INDEX(Tabla6[#All],MATCH(Tabla4[[#This Row],[Producto]],Tabla6[[#All],[PRODUCTO]],0),MATCH(Tabla4[[#This Row],[Mes]],Tabla6[#Headers],0)))</f>
        <v>#N/A</v>
      </c>
      <c r="R1430" s="282" t="e">
        <f>++Tabla4[[#This Row],[Precio Unitario Neto]]-Tabla4[[#This Row],[20.85%]]-Tabla4[[#This Row],[Costo]]</f>
        <v>#N/A</v>
      </c>
      <c r="S1430" s="282" t="e">
        <f>++Tabla4[[#This Row],[U. Bruta Uni]]*Tabla4[[#This Row],[Cantidad]]</f>
        <v>#N/A</v>
      </c>
      <c r="T1430" s="369" t="str">
        <f>VLOOKUP(Tabla4[[#This Row],[Producto]],Tabla6[#All],14,FALSE)</f>
        <v>Termico Solar</v>
      </c>
      <c r="U1430" s="284" t="e">
        <f>(IF(Tabla4[[#This Row],[Familia]]="termico solar",Tabla4[[#This Row],[Utilidad Total]]*6%,Tabla4[[#This Row],[Utilidad Total]]*11.5%))/Tabla4[[#This Row],[Total]]</f>
        <v>#N/A</v>
      </c>
      <c r="V1430" s="282" t="e">
        <f>+Tabla4[[#This Row],[Comisión Calculada]]*Tabla4[[#This Row],[Total]]</f>
        <v>#N/A</v>
      </c>
    </row>
    <row r="1431" spans="1:22" hidden="1" x14ac:dyDescent="0.25">
      <c r="A1431" s="100">
        <v>45747</v>
      </c>
      <c r="B1431" t="str">
        <f t="shared" si="66"/>
        <v>March</v>
      </c>
      <c r="C1431" s="46" t="s">
        <v>280</v>
      </c>
      <c r="F1431" s="366" t="s">
        <v>1266</v>
      </c>
      <c r="G1431" s="46" t="s">
        <v>17</v>
      </c>
      <c r="H1431" s="46">
        <v>3</v>
      </c>
      <c r="I1431" s="51">
        <v>4622.28</v>
      </c>
      <c r="J1431" s="281">
        <f>++Tabla4[[#This Row],[Precio Bruto]]*1.16</f>
        <v>5361.8447999999989</v>
      </c>
      <c r="K1431" s="281">
        <f>+Tabla4[[#This Row],[Precio Unitario Neto]]*Tabla4[[#Headers],[20.85%]]</f>
        <v>1117.9446407999997</v>
      </c>
      <c r="L1431" s="282">
        <f>++Tabla4[[#This Row],[Precio Unitario Neto]]-Tabla4[[#This Row],[20.85%]]</f>
        <v>4243.9001591999995</v>
      </c>
      <c r="M1431" s="282" t="e">
        <f>(INDEX(Tabla6[#All],MATCH(Tabla4[[#This Row],[Producto]],Tabla6[[#All],[PRODUCTO]],0),MATCH(Tabla4[[#This Row],[Mes]],Tabla6[#Headers],0)))*(1+Catalogos!$L$2)</f>
        <v>#N/A</v>
      </c>
      <c r="N1431" s="283" t="e">
        <f>+(Tabla4[[#This Row],[Precio Descontado]]-Tabla4[[#This Row],[Precio Base]])*Tabla4[[#This Row],[Cantidad]]</f>
        <v>#N/A</v>
      </c>
      <c r="O1431" s="284" t="e">
        <f>++Tabla4[[#This Row],[Utilidad Total]]/Tabla4[[#This Row],[Total]]</f>
        <v>#N/A</v>
      </c>
      <c r="P1431" s="282">
        <f>++Tabla4[[#This Row],[Precio Descontado]]*Tabla4[[#This Row],[Cantidad]]</f>
        <v>12731.700477599999</v>
      </c>
      <c r="Q1431" s="282" t="e">
        <f>(INDEX(Tabla6[#All],MATCH(Tabla4[[#This Row],[Producto]],Tabla6[[#All],[PRODUCTO]],0),MATCH(Tabla4[[#This Row],[Mes]],Tabla6[#Headers],0)))</f>
        <v>#N/A</v>
      </c>
      <c r="R1431" s="282" t="e">
        <f>++Tabla4[[#This Row],[Precio Unitario Neto]]-Tabla4[[#This Row],[20.85%]]-Tabla4[[#This Row],[Costo]]</f>
        <v>#N/A</v>
      </c>
      <c r="S1431" s="282" t="e">
        <f>++Tabla4[[#This Row],[U. Bruta Uni]]*Tabla4[[#This Row],[Cantidad]]</f>
        <v>#N/A</v>
      </c>
      <c r="T1431" s="369" t="str">
        <f>VLOOKUP(Tabla4[[#This Row],[Producto]],Tabla6[#All],14,FALSE)</f>
        <v>Termico Solar</v>
      </c>
      <c r="U1431" s="284" t="e">
        <f>(IF(Tabla4[[#This Row],[Familia]]="termico solar",Tabla4[[#This Row],[Utilidad Total]]*6%,Tabla4[[#This Row],[Utilidad Total]]*11.5%))/Tabla4[[#This Row],[Total]]</f>
        <v>#N/A</v>
      </c>
      <c r="V1431" s="282" t="e">
        <f>+Tabla4[[#This Row],[Comisión Calculada]]*Tabla4[[#This Row],[Total]]</f>
        <v>#N/A</v>
      </c>
    </row>
    <row r="1432" spans="1:22" hidden="1" x14ac:dyDescent="0.25">
      <c r="A1432" s="100">
        <v>45747</v>
      </c>
      <c r="B1432" t="str">
        <f t="shared" si="66"/>
        <v>March</v>
      </c>
      <c r="C1432" s="46" t="s">
        <v>280</v>
      </c>
      <c r="F1432" s="366" t="s">
        <v>1266</v>
      </c>
      <c r="G1432" s="46" t="s">
        <v>394</v>
      </c>
      <c r="H1432" s="46">
        <v>16</v>
      </c>
      <c r="I1432" s="51">
        <v>224.29</v>
      </c>
      <c r="J1432" s="281">
        <f>++Tabla4[[#This Row],[Precio Bruto]]*1.16</f>
        <v>260.1764</v>
      </c>
      <c r="K1432" s="281">
        <f>+Tabla4[[#This Row],[Precio Unitario Neto]]*Tabla4[[#Headers],[20.85%]]</f>
        <v>54.246779400000001</v>
      </c>
      <c r="L1432" s="282">
        <f>++Tabla4[[#This Row],[Precio Unitario Neto]]-Tabla4[[#This Row],[20.85%]]</f>
        <v>205.92962059999999</v>
      </c>
      <c r="M1432" s="282" t="e">
        <f>(INDEX(Tabla6[#All],MATCH(Tabla4[[#This Row],[Producto]],Tabla6[[#All],[PRODUCTO]],0),MATCH(Tabla4[[#This Row],[Mes]],Tabla6[#Headers],0)))*(1+Catalogos!$L$2)</f>
        <v>#N/A</v>
      </c>
      <c r="N1432" s="283" t="e">
        <f>+(Tabla4[[#This Row],[Precio Descontado]]-Tabla4[[#This Row],[Precio Base]])*Tabla4[[#This Row],[Cantidad]]</f>
        <v>#N/A</v>
      </c>
      <c r="O1432" s="284" t="e">
        <f>++Tabla4[[#This Row],[Utilidad Total]]/Tabla4[[#This Row],[Total]]</f>
        <v>#N/A</v>
      </c>
      <c r="P1432" s="282">
        <f>++Tabla4[[#This Row],[Precio Descontado]]*Tabla4[[#This Row],[Cantidad]]</f>
        <v>3294.8739295999999</v>
      </c>
      <c r="Q1432" s="282" t="e">
        <f>(INDEX(Tabla6[#All],MATCH(Tabla4[[#This Row],[Producto]],Tabla6[[#All],[PRODUCTO]],0),MATCH(Tabla4[[#This Row],[Mes]],Tabla6[#Headers],0)))</f>
        <v>#N/A</v>
      </c>
      <c r="R1432" s="282" t="e">
        <f>++Tabla4[[#This Row],[Precio Unitario Neto]]-Tabla4[[#This Row],[20.85%]]-Tabla4[[#This Row],[Costo]]</f>
        <v>#N/A</v>
      </c>
      <c r="S1432" s="282" t="e">
        <f>++Tabla4[[#This Row],[U. Bruta Uni]]*Tabla4[[#This Row],[Cantidad]]</f>
        <v>#N/A</v>
      </c>
      <c r="T1432" s="369" t="str">
        <f>VLOOKUP(Tabla4[[#This Row],[Producto]],Tabla6[#All],14,FALSE)</f>
        <v>Termico Solar</v>
      </c>
      <c r="U1432" s="284" t="e">
        <f>(IF(Tabla4[[#This Row],[Familia]]="termico solar",Tabla4[[#This Row],[Utilidad Total]]*6%,Tabla4[[#This Row],[Utilidad Total]]*11.5%))/Tabla4[[#This Row],[Total]]</f>
        <v>#N/A</v>
      </c>
      <c r="V1432" s="282" t="e">
        <f>+Tabla4[[#This Row],[Comisión Calculada]]*Tabla4[[#This Row],[Total]]</f>
        <v>#N/A</v>
      </c>
    </row>
    <row r="1433" spans="1:22" hidden="1" x14ac:dyDescent="0.25">
      <c r="A1433" s="100">
        <v>45747</v>
      </c>
      <c r="B1433" t="str">
        <f t="shared" si="66"/>
        <v>March</v>
      </c>
      <c r="C1433" s="46" t="s">
        <v>280</v>
      </c>
      <c r="F1433" s="366" t="s">
        <v>1266</v>
      </c>
      <c r="G1433" s="46" t="s">
        <v>555</v>
      </c>
      <c r="H1433" s="46">
        <v>8</v>
      </c>
      <c r="I1433" s="51">
        <v>389.47</v>
      </c>
      <c r="J1433" s="281">
        <f>++Tabla4[[#This Row],[Precio Bruto]]*1.16</f>
        <v>451.78519999999997</v>
      </c>
      <c r="K1433" s="281">
        <f>+Tabla4[[#This Row],[Precio Unitario Neto]]*Tabla4[[#Headers],[20.85%]]</f>
        <v>94.197214199999991</v>
      </c>
      <c r="L1433" s="282">
        <f>++Tabla4[[#This Row],[Precio Unitario Neto]]-Tabla4[[#This Row],[20.85%]]</f>
        <v>357.58798579999996</v>
      </c>
      <c r="M1433" s="282" t="e">
        <f>(INDEX(Tabla6[#All],MATCH(Tabla4[[#This Row],[Producto]],Tabla6[[#All],[PRODUCTO]],0),MATCH(Tabla4[[#This Row],[Mes]],Tabla6[#Headers],0)))*(1+Catalogos!$L$2)</f>
        <v>#N/A</v>
      </c>
      <c r="N1433" s="283" t="e">
        <f>+(Tabla4[[#This Row],[Precio Descontado]]-Tabla4[[#This Row],[Precio Base]])*Tabla4[[#This Row],[Cantidad]]</f>
        <v>#N/A</v>
      </c>
      <c r="O1433" s="284" t="e">
        <f>++Tabla4[[#This Row],[Utilidad Total]]/Tabla4[[#This Row],[Total]]</f>
        <v>#N/A</v>
      </c>
      <c r="P1433" s="282">
        <f>++Tabla4[[#This Row],[Precio Descontado]]*Tabla4[[#This Row],[Cantidad]]</f>
        <v>2860.7038863999996</v>
      </c>
      <c r="Q1433" s="282" t="e">
        <f>(INDEX(Tabla6[#All],MATCH(Tabla4[[#This Row],[Producto]],Tabla6[[#All],[PRODUCTO]],0),MATCH(Tabla4[[#This Row],[Mes]],Tabla6[#Headers],0)))</f>
        <v>#N/A</v>
      </c>
      <c r="R1433" s="282" t="e">
        <f>++Tabla4[[#This Row],[Precio Unitario Neto]]-Tabla4[[#This Row],[20.85%]]-Tabla4[[#This Row],[Costo]]</f>
        <v>#N/A</v>
      </c>
      <c r="S1433" s="282" t="e">
        <f>++Tabla4[[#This Row],[U. Bruta Uni]]*Tabla4[[#This Row],[Cantidad]]</f>
        <v>#N/A</v>
      </c>
      <c r="T1433" s="369" t="str">
        <f>VLOOKUP(Tabla4[[#This Row],[Producto]],Tabla6[#All],14,FALSE)</f>
        <v>Termico Solar</v>
      </c>
      <c r="U1433" s="284" t="e">
        <f>(IF(Tabla4[[#This Row],[Familia]]="termico solar",Tabla4[[#This Row],[Utilidad Total]]*6%,Tabla4[[#This Row],[Utilidad Total]]*11.5%))/Tabla4[[#This Row],[Total]]</f>
        <v>#N/A</v>
      </c>
      <c r="V1433" s="282" t="e">
        <f>+Tabla4[[#This Row],[Comisión Calculada]]*Tabla4[[#This Row],[Total]]</f>
        <v>#N/A</v>
      </c>
    </row>
    <row r="1434" spans="1:22" hidden="1" x14ac:dyDescent="0.25">
      <c r="A1434" s="100">
        <v>45747</v>
      </c>
      <c r="B1434" t="str">
        <f t="shared" si="66"/>
        <v>March</v>
      </c>
      <c r="C1434" s="46" t="s">
        <v>280</v>
      </c>
      <c r="F1434" s="366" t="s">
        <v>1266</v>
      </c>
      <c r="G1434" s="46" t="s">
        <v>208</v>
      </c>
      <c r="H1434" s="46">
        <v>1</v>
      </c>
      <c r="I1434" s="51">
        <v>189.75</v>
      </c>
      <c r="J1434" s="281">
        <f>++Tabla4[[#This Row],[Precio Bruto]]*1.16</f>
        <v>220.10999999999999</v>
      </c>
      <c r="K1434" s="281">
        <f>+Tabla4[[#This Row],[Precio Unitario Neto]]*Tabla4[[#Headers],[20.85%]]</f>
        <v>45.892934999999994</v>
      </c>
      <c r="L1434" s="282">
        <f>++Tabla4[[#This Row],[Precio Unitario Neto]]-Tabla4[[#This Row],[20.85%]]</f>
        <v>174.21706499999999</v>
      </c>
      <c r="M1434" s="282" t="e">
        <f>(INDEX(Tabla6[#All],MATCH(Tabla4[[#This Row],[Producto]],Tabla6[[#All],[PRODUCTO]],0),MATCH(Tabla4[[#This Row],[Mes]],Tabla6[#Headers],0)))*(1+Catalogos!$L$2)</f>
        <v>#N/A</v>
      </c>
      <c r="N1434" s="283" t="e">
        <f>+(Tabla4[[#This Row],[Precio Descontado]]-Tabla4[[#This Row],[Precio Base]])*Tabla4[[#This Row],[Cantidad]]</f>
        <v>#N/A</v>
      </c>
      <c r="O1434" s="284" t="e">
        <f>++Tabla4[[#This Row],[Utilidad Total]]/Tabla4[[#This Row],[Total]]</f>
        <v>#N/A</v>
      </c>
      <c r="P1434" s="282">
        <f>++Tabla4[[#This Row],[Precio Descontado]]*Tabla4[[#This Row],[Cantidad]]</f>
        <v>174.21706499999999</v>
      </c>
      <c r="Q1434" s="282" t="e">
        <f>(INDEX(Tabla6[#All],MATCH(Tabla4[[#This Row],[Producto]],Tabla6[[#All],[PRODUCTO]],0),MATCH(Tabla4[[#This Row],[Mes]],Tabla6[#Headers],0)))</f>
        <v>#N/A</v>
      </c>
      <c r="R1434" s="282" t="e">
        <f>++Tabla4[[#This Row],[Precio Unitario Neto]]-Tabla4[[#This Row],[20.85%]]-Tabla4[[#This Row],[Costo]]</f>
        <v>#N/A</v>
      </c>
      <c r="S1434" s="282" t="e">
        <f>++Tabla4[[#This Row],[U. Bruta Uni]]*Tabla4[[#This Row],[Cantidad]]</f>
        <v>#N/A</v>
      </c>
      <c r="T1434" s="369" t="str">
        <f>VLOOKUP(Tabla4[[#This Row],[Producto]],Tabla6[#All],14,FALSE)</f>
        <v>Termico Solar</v>
      </c>
      <c r="U1434" s="284" t="e">
        <f>(IF(Tabla4[[#This Row],[Familia]]="termico solar",Tabla4[[#This Row],[Utilidad Total]]*6%,Tabla4[[#This Row],[Utilidad Total]]*11.5%))/Tabla4[[#This Row],[Total]]</f>
        <v>#N/A</v>
      </c>
      <c r="V1434" s="282" t="e">
        <f>+Tabla4[[#This Row],[Comisión Calculada]]*Tabla4[[#This Row],[Total]]</f>
        <v>#N/A</v>
      </c>
    </row>
    <row r="1435" spans="1:22" hidden="1" x14ac:dyDescent="0.25">
      <c r="A1435" s="100">
        <v>45747</v>
      </c>
      <c r="B1435" t="str">
        <f t="shared" si="66"/>
        <v>March</v>
      </c>
      <c r="C1435" s="46" t="s">
        <v>280</v>
      </c>
      <c r="F1435" s="366" t="s">
        <v>1267</v>
      </c>
      <c r="G1435" s="46" t="s">
        <v>18</v>
      </c>
      <c r="H1435" s="46">
        <v>1</v>
      </c>
      <c r="I1435" s="51">
        <v>5367.65</v>
      </c>
      <c r="J1435" s="281">
        <f>++Tabla4[[#This Row],[Precio Bruto]]*1.16</f>
        <v>6226.4739999999993</v>
      </c>
      <c r="K1435" s="281">
        <f>+Tabla4[[#This Row],[Precio Unitario Neto]]*Tabla4[[#Headers],[20.85%]]</f>
        <v>1298.2198289999999</v>
      </c>
      <c r="L1435" s="282">
        <f>++Tabla4[[#This Row],[Precio Unitario Neto]]-Tabla4[[#This Row],[20.85%]]</f>
        <v>4928.2541709999996</v>
      </c>
      <c r="M1435" s="282" t="e">
        <f>(INDEX(Tabla6[#All],MATCH(Tabla4[[#This Row],[Producto]],Tabla6[[#All],[PRODUCTO]],0),MATCH(Tabla4[[#This Row],[Mes]],Tabla6[#Headers],0)))*(1+Catalogos!$L$2)</f>
        <v>#N/A</v>
      </c>
      <c r="N1435" s="283" t="e">
        <f>+(Tabla4[[#This Row],[Precio Descontado]]-Tabla4[[#This Row],[Precio Base]])*Tabla4[[#This Row],[Cantidad]]</f>
        <v>#N/A</v>
      </c>
      <c r="O1435" s="284" t="e">
        <f>++Tabla4[[#This Row],[Utilidad Total]]/Tabla4[[#This Row],[Total]]</f>
        <v>#N/A</v>
      </c>
      <c r="P1435" s="282">
        <f>++Tabla4[[#This Row],[Precio Descontado]]*Tabla4[[#This Row],[Cantidad]]</f>
        <v>4928.2541709999996</v>
      </c>
      <c r="Q1435" s="282" t="e">
        <f>(INDEX(Tabla6[#All],MATCH(Tabla4[[#This Row],[Producto]],Tabla6[[#All],[PRODUCTO]],0),MATCH(Tabla4[[#This Row],[Mes]],Tabla6[#Headers],0)))</f>
        <v>#N/A</v>
      </c>
      <c r="R1435" s="282" t="e">
        <f>++Tabla4[[#This Row],[Precio Unitario Neto]]-Tabla4[[#This Row],[20.85%]]-Tabla4[[#This Row],[Costo]]</f>
        <v>#N/A</v>
      </c>
      <c r="S1435" s="282" t="e">
        <f>++Tabla4[[#This Row],[U. Bruta Uni]]*Tabla4[[#This Row],[Cantidad]]</f>
        <v>#N/A</v>
      </c>
      <c r="T1435" s="369" t="str">
        <f>VLOOKUP(Tabla4[[#This Row],[Producto]],Tabla6[#All],14,FALSE)</f>
        <v>Termico Solar</v>
      </c>
      <c r="U1435" s="284" t="e">
        <f>(IF(Tabla4[[#This Row],[Familia]]="termico solar",Tabla4[[#This Row],[Utilidad Total]]*6%,Tabla4[[#This Row],[Utilidad Total]]*11.5%))/Tabla4[[#This Row],[Total]]</f>
        <v>#N/A</v>
      </c>
      <c r="V1435" s="282" t="e">
        <f>+Tabla4[[#This Row],[Comisión Calculada]]*Tabla4[[#This Row],[Total]]</f>
        <v>#N/A</v>
      </c>
    </row>
    <row r="1436" spans="1:22" hidden="1" x14ac:dyDescent="0.25">
      <c r="A1436" s="100">
        <v>45747</v>
      </c>
      <c r="B1436" t="str">
        <f t="shared" si="66"/>
        <v>March</v>
      </c>
      <c r="C1436" s="46" t="s">
        <v>280</v>
      </c>
      <c r="F1436" s="366" t="s">
        <v>1268</v>
      </c>
      <c r="G1436" s="46" t="s">
        <v>18</v>
      </c>
      <c r="H1436" s="46">
        <v>3</v>
      </c>
      <c r="I1436" s="51">
        <v>5367.6500000000005</v>
      </c>
      <c r="J1436" s="281">
        <f>++Tabla4[[#This Row],[Precio Bruto]]*1.16</f>
        <v>6226.4740000000002</v>
      </c>
      <c r="K1436" s="281">
        <f>+Tabla4[[#This Row],[Precio Unitario Neto]]*Tabla4[[#Headers],[20.85%]]</f>
        <v>1298.2198289999999</v>
      </c>
      <c r="L1436" s="282">
        <f>++Tabla4[[#This Row],[Precio Unitario Neto]]-Tabla4[[#This Row],[20.85%]]</f>
        <v>4928.2541710000005</v>
      </c>
      <c r="M1436" s="282" t="e">
        <f>(INDEX(Tabla6[#All],MATCH(Tabla4[[#This Row],[Producto]],Tabla6[[#All],[PRODUCTO]],0),MATCH(Tabla4[[#This Row],[Mes]],Tabla6[#Headers],0)))*(1+Catalogos!$L$2)</f>
        <v>#N/A</v>
      </c>
      <c r="N1436" s="283" t="e">
        <f>+(Tabla4[[#This Row],[Precio Descontado]]-Tabla4[[#This Row],[Precio Base]])*Tabla4[[#This Row],[Cantidad]]</f>
        <v>#N/A</v>
      </c>
      <c r="O1436" s="284" t="e">
        <f>++Tabla4[[#This Row],[Utilidad Total]]/Tabla4[[#This Row],[Total]]</f>
        <v>#N/A</v>
      </c>
      <c r="P1436" s="282">
        <f>++Tabla4[[#This Row],[Precio Descontado]]*Tabla4[[#This Row],[Cantidad]]</f>
        <v>14784.762513000001</v>
      </c>
      <c r="Q1436" s="282" t="e">
        <f>(INDEX(Tabla6[#All],MATCH(Tabla4[[#This Row],[Producto]],Tabla6[[#All],[PRODUCTO]],0),MATCH(Tabla4[[#This Row],[Mes]],Tabla6[#Headers],0)))</f>
        <v>#N/A</v>
      </c>
      <c r="R1436" s="282" t="e">
        <f>++Tabla4[[#This Row],[Precio Unitario Neto]]-Tabla4[[#This Row],[20.85%]]-Tabla4[[#This Row],[Costo]]</f>
        <v>#N/A</v>
      </c>
      <c r="S1436" s="282" t="e">
        <f>++Tabla4[[#This Row],[U. Bruta Uni]]*Tabla4[[#This Row],[Cantidad]]</f>
        <v>#N/A</v>
      </c>
      <c r="T1436" s="369" t="str">
        <f>VLOOKUP(Tabla4[[#This Row],[Producto]],Tabla6[#All],14,FALSE)</f>
        <v>Termico Solar</v>
      </c>
      <c r="U1436" s="284" t="e">
        <f>(IF(Tabla4[[#This Row],[Familia]]="termico solar",Tabla4[[#This Row],[Utilidad Total]]*6%,Tabla4[[#This Row],[Utilidad Total]]*11.5%))/Tabla4[[#This Row],[Total]]</f>
        <v>#N/A</v>
      </c>
      <c r="V1436" s="282" t="e">
        <f>+Tabla4[[#This Row],[Comisión Calculada]]*Tabla4[[#This Row],[Total]]</f>
        <v>#N/A</v>
      </c>
    </row>
    <row r="1437" spans="1:22" hidden="1" x14ac:dyDescent="0.25">
      <c r="A1437" s="100">
        <v>45747</v>
      </c>
      <c r="B1437" t="str">
        <f t="shared" si="66"/>
        <v>March</v>
      </c>
      <c r="C1437" s="46" t="s">
        <v>280</v>
      </c>
      <c r="F1437" s="366" t="s">
        <v>1268</v>
      </c>
      <c r="G1437" s="46" t="s">
        <v>208</v>
      </c>
      <c r="H1437" s="46">
        <v>4</v>
      </c>
      <c r="I1437" s="51">
        <v>189.75</v>
      </c>
      <c r="J1437" s="281">
        <f>++Tabla4[[#This Row],[Precio Bruto]]*1.16</f>
        <v>220.10999999999999</v>
      </c>
      <c r="K1437" s="281">
        <f>+Tabla4[[#This Row],[Precio Unitario Neto]]*Tabla4[[#Headers],[20.85%]]</f>
        <v>45.892934999999994</v>
      </c>
      <c r="L1437" s="282">
        <f>++Tabla4[[#This Row],[Precio Unitario Neto]]-Tabla4[[#This Row],[20.85%]]</f>
        <v>174.21706499999999</v>
      </c>
      <c r="M1437" s="282" t="e">
        <f>(INDEX(Tabla6[#All],MATCH(Tabla4[[#This Row],[Producto]],Tabla6[[#All],[PRODUCTO]],0),MATCH(Tabla4[[#This Row],[Mes]],Tabla6[#Headers],0)))*(1+Catalogos!$L$2)</f>
        <v>#N/A</v>
      </c>
      <c r="N1437" s="283" t="e">
        <f>+(Tabla4[[#This Row],[Precio Descontado]]-Tabla4[[#This Row],[Precio Base]])*Tabla4[[#This Row],[Cantidad]]</f>
        <v>#N/A</v>
      </c>
      <c r="O1437" s="284" t="e">
        <f>++Tabla4[[#This Row],[Utilidad Total]]/Tabla4[[#This Row],[Total]]</f>
        <v>#N/A</v>
      </c>
      <c r="P1437" s="282">
        <f>++Tabla4[[#This Row],[Precio Descontado]]*Tabla4[[#This Row],[Cantidad]]</f>
        <v>696.86825999999996</v>
      </c>
      <c r="Q1437" s="282" t="e">
        <f>(INDEX(Tabla6[#All],MATCH(Tabla4[[#This Row],[Producto]],Tabla6[[#All],[PRODUCTO]],0),MATCH(Tabla4[[#This Row],[Mes]],Tabla6[#Headers],0)))</f>
        <v>#N/A</v>
      </c>
      <c r="R1437" s="282" t="e">
        <f>++Tabla4[[#This Row],[Precio Unitario Neto]]-Tabla4[[#This Row],[20.85%]]-Tabla4[[#This Row],[Costo]]</f>
        <v>#N/A</v>
      </c>
      <c r="S1437" s="282" t="e">
        <f>++Tabla4[[#This Row],[U. Bruta Uni]]*Tabla4[[#This Row],[Cantidad]]</f>
        <v>#N/A</v>
      </c>
      <c r="T1437" s="369" t="str">
        <f>VLOOKUP(Tabla4[[#This Row],[Producto]],Tabla6[#All],14,FALSE)</f>
        <v>Termico Solar</v>
      </c>
      <c r="U1437" s="284" t="e">
        <f>(IF(Tabla4[[#This Row],[Familia]]="termico solar",Tabla4[[#This Row],[Utilidad Total]]*6%,Tabla4[[#This Row],[Utilidad Total]]*11.5%))/Tabla4[[#This Row],[Total]]</f>
        <v>#N/A</v>
      </c>
      <c r="V1437" s="282" t="e">
        <f>+Tabla4[[#This Row],[Comisión Calculada]]*Tabla4[[#This Row],[Total]]</f>
        <v>#N/A</v>
      </c>
    </row>
    <row r="1438" spans="1:22" hidden="1" x14ac:dyDescent="0.25">
      <c r="A1438" s="100">
        <v>45747</v>
      </c>
      <c r="B1438" t="str">
        <f t="shared" si="66"/>
        <v>March</v>
      </c>
      <c r="C1438" s="46" t="s">
        <v>280</v>
      </c>
      <c r="F1438" s="366" t="s">
        <v>1268</v>
      </c>
      <c r="G1438" s="46" t="s">
        <v>209</v>
      </c>
      <c r="H1438" s="46">
        <v>1</v>
      </c>
      <c r="I1438" s="51">
        <v>347.48</v>
      </c>
      <c r="J1438" s="281">
        <f>++Tabla4[[#This Row],[Precio Bruto]]*1.16</f>
        <v>403.07679999999999</v>
      </c>
      <c r="K1438" s="281">
        <f>+Tabla4[[#This Row],[Precio Unitario Neto]]*Tabla4[[#Headers],[20.85%]]</f>
        <v>84.041512799999992</v>
      </c>
      <c r="L1438" s="282">
        <f>++Tabla4[[#This Row],[Precio Unitario Neto]]-Tabla4[[#This Row],[20.85%]]</f>
        <v>319.03528719999997</v>
      </c>
      <c r="M1438" s="282" t="e">
        <f>(INDEX(Tabla6[#All],MATCH(Tabla4[[#This Row],[Producto]],Tabla6[[#All],[PRODUCTO]],0),MATCH(Tabla4[[#This Row],[Mes]],Tabla6[#Headers],0)))*(1+Catalogos!$L$2)</f>
        <v>#N/A</v>
      </c>
      <c r="N1438" s="283" t="e">
        <f>+(Tabla4[[#This Row],[Precio Descontado]]-Tabla4[[#This Row],[Precio Base]])*Tabla4[[#This Row],[Cantidad]]</f>
        <v>#N/A</v>
      </c>
      <c r="O1438" s="284" t="e">
        <f>++Tabla4[[#This Row],[Utilidad Total]]/Tabla4[[#This Row],[Total]]</f>
        <v>#N/A</v>
      </c>
      <c r="P1438" s="282">
        <f>++Tabla4[[#This Row],[Precio Descontado]]*Tabla4[[#This Row],[Cantidad]]</f>
        <v>319.03528719999997</v>
      </c>
      <c r="Q1438" s="282" t="e">
        <f>(INDEX(Tabla6[#All],MATCH(Tabla4[[#This Row],[Producto]],Tabla6[[#All],[PRODUCTO]],0),MATCH(Tabla4[[#This Row],[Mes]],Tabla6[#Headers],0)))</f>
        <v>#N/A</v>
      </c>
      <c r="R1438" s="282" t="e">
        <f>++Tabla4[[#This Row],[Precio Unitario Neto]]-Tabla4[[#This Row],[20.85%]]-Tabla4[[#This Row],[Costo]]</f>
        <v>#N/A</v>
      </c>
      <c r="S1438" s="282" t="e">
        <f>++Tabla4[[#This Row],[U. Bruta Uni]]*Tabla4[[#This Row],[Cantidad]]</f>
        <v>#N/A</v>
      </c>
      <c r="T1438" s="369" t="str">
        <f>VLOOKUP(Tabla4[[#This Row],[Producto]],Tabla6[#All],14,FALSE)</f>
        <v>Termico Solar</v>
      </c>
      <c r="U1438" s="284" t="e">
        <f>(IF(Tabla4[[#This Row],[Familia]]="termico solar",Tabla4[[#This Row],[Utilidad Total]]*6%,Tabla4[[#This Row],[Utilidad Total]]*11.5%))/Tabla4[[#This Row],[Total]]</f>
        <v>#N/A</v>
      </c>
      <c r="V1438" s="282" t="e">
        <f>+Tabla4[[#This Row],[Comisión Calculada]]*Tabla4[[#This Row],[Total]]</f>
        <v>#N/A</v>
      </c>
    </row>
    <row r="1439" spans="1:22" hidden="1" x14ac:dyDescent="0.25">
      <c r="A1439" s="100">
        <v>45747</v>
      </c>
      <c r="B1439" t="str">
        <f t="shared" si="66"/>
        <v>March</v>
      </c>
      <c r="C1439" s="46" t="s">
        <v>280</v>
      </c>
      <c r="F1439" s="366" t="s">
        <v>1269</v>
      </c>
      <c r="G1439" s="46" t="s">
        <v>82</v>
      </c>
      <c r="H1439" s="46">
        <v>9</v>
      </c>
      <c r="I1439" s="51">
        <v>7690</v>
      </c>
      <c r="J1439" s="281">
        <f>++Tabla4[[#This Row],[Precio Bruto]]*1.16</f>
        <v>8920.4</v>
      </c>
      <c r="K1439" s="281">
        <f>+Tabla4[[#This Row],[Precio Unitario Neto]]*Tabla4[[#Headers],[20.85%]]</f>
        <v>1859.9033999999999</v>
      </c>
      <c r="L1439" s="282">
        <f>++Tabla4[[#This Row],[Precio Unitario Neto]]-Tabla4[[#This Row],[20.85%]]</f>
        <v>7060.4965999999995</v>
      </c>
      <c r="M1439" s="282" t="e">
        <f>(INDEX(Tabla6[#All],MATCH(Tabla4[[#This Row],[Producto]],Tabla6[[#All],[PRODUCTO]],0),MATCH(Tabla4[[#This Row],[Mes]],Tabla6[#Headers],0)))*(1+Catalogos!$L$2)</f>
        <v>#N/A</v>
      </c>
      <c r="N1439" s="283" t="e">
        <f>+(Tabla4[[#This Row],[Precio Descontado]]-Tabla4[[#This Row],[Precio Base]])*Tabla4[[#This Row],[Cantidad]]</f>
        <v>#N/A</v>
      </c>
      <c r="O1439" s="284" t="e">
        <f>++Tabla4[[#This Row],[Utilidad Total]]/Tabla4[[#This Row],[Total]]</f>
        <v>#N/A</v>
      </c>
      <c r="P1439" s="282">
        <f>++Tabla4[[#This Row],[Precio Descontado]]*Tabla4[[#This Row],[Cantidad]]</f>
        <v>63544.469399999994</v>
      </c>
      <c r="Q1439" s="282" t="e">
        <f>(INDEX(Tabla6[#All],MATCH(Tabla4[[#This Row],[Producto]],Tabla6[[#All],[PRODUCTO]],0),MATCH(Tabla4[[#This Row],[Mes]],Tabla6[#Headers],0)))</f>
        <v>#N/A</v>
      </c>
      <c r="R1439" s="282" t="e">
        <f>++Tabla4[[#This Row],[Precio Unitario Neto]]-Tabla4[[#This Row],[20.85%]]-Tabla4[[#This Row],[Costo]]</f>
        <v>#N/A</v>
      </c>
      <c r="S1439" s="282" t="e">
        <f>++Tabla4[[#This Row],[U. Bruta Uni]]*Tabla4[[#This Row],[Cantidad]]</f>
        <v>#N/A</v>
      </c>
      <c r="T1439" s="369" t="str">
        <f>VLOOKUP(Tabla4[[#This Row],[Producto]],Tabla6[#All],14,FALSE)</f>
        <v>Termico Solar</v>
      </c>
      <c r="U1439" s="284" t="e">
        <f>(IF(Tabla4[[#This Row],[Familia]]="termico solar",Tabla4[[#This Row],[Utilidad Total]]*6%,Tabla4[[#This Row],[Utilidad Total]]*11.5%))/Tabla4[[#This Row],[Total]]</f>
        <v>#N/A</v>
      </c>
      <c r="V1439" s="282" t="e">
        <f>+Tabla4[[#This Row],[Comisión Calculada]]*Tabla4[[#This Row],[Total]]</f>
        <v>#N/A</v>
      </c>
    </row>
    <row r="1440" spans="1:22" hidden="1" x14ac:dyDescent="0.25">
      <c r="A1440" s="100">
        <v>45747</v>
      </c>
      <c r="B1440" t="str">
        <f t="shared" si="66"/>
        <v>March</v>
      </c>
      <c r="C1440" s="46" t="s">
        <v>280</v>
      </c>
      <c r="F1440" s="366" t="s">
        <v>1269</v>
      </c>
      <c r="G1440" s="46" t="s">
        <v>255</v>
      </c>
      <c r="H1440" s="46">
        <v>9</v>
      </c>
      <c r="I1440" s="51">
        <v>1200</v>
      </c>
      <c r="J1440" s="281">
        <f>++Tabla4[[#This Row],[Precio Bruto]]*1.16</f>
        <v>1392</v>
      </c>
      <c r="K1440" s="281">
        <f>+Tabla4[[#This Row],[Precio Unitario Neto]]*Tabla4[[#Headers],[20.85%]]</f>
        <v>290.23199999999997</v>
      </c>
      <c r="L1440" s="282">
        <f>++Tabla4[[#This Row],[Precio Unitario Neto]]-Tabla4[[#This Row],[20.85%]]</f>
        <v>1101.768</v>
      </c>
      <c r="M1440" s="282" t="e">
        <f>(INDEX(Tabla6[#All],MATCH(Tabla4[[#This Row],[Producto]],Tabla6[[#All],[PRODUCTO]],0),MATCH(Tabla4[[#This Row],[Mes]],Tabla6[#Headers],0)))*(1+Catalogos!$L$2)</f>
        <v>#N/A</v>
      </c>
      <c r="N1440" s="283" t="e">
        <f>+(Tabla4[[#This Row],[Precio Descontado]]-Tabla4[[#This Row],[Precio Base]])*Tabla4[[#This Row],[Cantidad]]</f>
        <v>#N/A</v>
      </c>
      <c r="O1440" s="284" t="e">
        <f>++Tabla4[[#This Row],[Utilidad Total]]/Tabla4[[#This Row],[Total]]</f>
        <v>#N/A</v>
      </c>
      <c r="P1440" s="282">
        <f>++Tabla4[[#This Row],[Precio Descontado]]*Tabla4[[#This Row],[Cantidad]]</f>
        <v>9915.9120000000003</v>
      </c>
      <c r="Q1440" s="282" t="e">
        <f>(INDEX(Tabla6[#All],MATCH(Tabla4[[#This Row],[Producto]],Tabla6[[#All],[PRODUCTO]],0),MATCH(Tabla4[[#This Row],[Mes]],Tabla6[#Headers],0)))</f>
        <v>#N/A</v>
      </c>
      <c r="R1440" s="282" t="e">
        <f>++Tabla4[[#This Row],[Precio Unitario Neto]]-Tabla4[[#This Row],[20.85%]]-Tabla4[[#This Row],[Costo]]</f>
        <v>#N/A</v>
      </c>
      <c r="S1440" s="282" t="e">
        <f>++Tabla4[[#This Row],[U. Bruta Uni]]*Tabla4[[#This Row],[Cantidad]]</f>
        <v>#N/A</v>
      </c>
      <c r="T1440" s="369" t="str">
        <f>VLOOKUP(Tabla4[[#This Row],[Producto]],Tabla6[#All],14,FALSE)</f>
        <v>Termico Solar</v>
      </c>
      <c r="U1440" s="284" t="e">
        <f>(IF(Tabla4[[#This Row],[Familia]]="termico solar",Tabla4[[#This Row],[Utilidad Total]]*6%,Tabla4[[#This Row],[Utilidad Total]]*11.5%))/Tabla4[[#This Row],[Total]]</f>
        <v>#N/A</v>
      </c>
      <c r="V1440" s="282" t="e">
        <f>+Tabla4[[#This Row],[Comisión Calculada]]*Tabla4[[#This Row],[Total]]</f>
        <v>#N/A</v>
      </c>
    </row>
    <row r="1441" spans="1:22" hidden="1" x14ac:dyDescent="0.25">
      <c r="A1441" s="100">
        <v>45747</v>
      </c>
      <c r="B1441" t="str">
        <f t="shared" ref="B1441:B1446" si="67">TEXT(A1441, "mmmm")</f>
        <v>March</v>
      </c>
      <c r="C1441" s="46" t="s">
        <v>280</v>
      </c>
      <c r="F1441" s="366" t="s">
        <v>1270</v>
      </c>
      <c r="G1441" s="46" t="s">
        <v>17</v>
      </c>
      <c r="H1441" s="46">
        <v>4</v>
      </c>
      <c r="I1441" s="51">
        <v>4622.28</v>
      </c>
      <c r="J1441" s="281">
        <f>++Tabla4[[#This Row],[Precio Bruto]]*1.16</f>
        <v>5361.8447999999989</v>
      </c>
      <c r="K1441" s="281">
        <f>+Tabla4[[#This Row],[Precio Unitario Neto]]*Tabla4[[#Headers],[20.85%]]</f>
        <v>1117.9446407999997</v>
      </c>
      <c r="L1441" s="282">
        <f>++Tabla4[[#This Row],[Precio Unitario Neto]]-Tabla4[[#This Row],[20.85%]]</f>
        <v>4243.9001591999995</v>
      </c>
      <c r="M1441" s="282" t="e">
        <f>(INDEX(Tabla6[#All],MATCH(Tabla4[[#This Row],[Producto]],Tabla6[[#All],[PRODUCTO]],0),MATCH(Tabla4[[#This Row],[Mes]],Tabla6[#Headers],0)))*(1+Catalogos!$L$2)</f>
        <v>#N/A</v>
      </c>
      <c r="N1441" s="283" t="e">
        <f>+(Tabla4[[#This Row],[Precio Descontado]]-Tabla4[[#This Row],[Precio Base]])*Tabla4[[#This Row],[Cantidad]]</f>
        <v>#N/A</v>
      </c>
      <c r="O1441" s="284" t="e">
        <f>++Tabla4[[#This Row],[Utilidad Total]]/Tabla4[[#This Row],[Total]]</f>
        <v>#N/A</v>
      </c>
      <c r="P1441" s="282">
        <f>++Tabla4[[#This Row],[Precio Descontado]]*Tabla4[[#This Row],[Cantidad]]</f>
        <v>16975.600636799998</v>
      </c>
      <c r="Q1441" s="282" t="e">
        <f>(INDEX(Tabla6[#All],MATCH(Tabla4[[#This Row],[Producto]],Tabla6[[#All],[PRODUCTO]],0),MATCH(Tabla4[[#This Row],[Mes]],Tabla6[#Headers],0)))</f>
        <v>#N/A</v>
      </c>
      <c r="R1441" s="282" t="e">
        <f>++Tabla4[[#This Row],[Precio Unitario Neto]]-Tabla4[[#This Row],[20.85%]]-Tabla4[[#This Row],[Costo]]</f>
        <v>#N/A</v>
      </c>
      <c r="S1441" s="282" t="e">
        <f>++Tabla4[[#This Row],[U. Bruta Uni]]*Tabla4[[#This Row],[Cantidad]]</f>
        <v>#N/A</v>
      </c>
      <c r="T1441" s="369" t="str">
        <f>VLOOKUP(Tabla4[[#This Row],[Producto]],Tabla6[#All],14,FALSE)</f>
        <v>Termico Solar</v>
      </c>
      <c r="U1441" s="284" t="e">
        <f>(IF(Tabla4[[#This Row],[Familia]]="termico solar",Tabla4[[#This Row],[Utilidad Total]]*6%,Tabla4[[#This Row],[Utilidad Total]]*11.5%))/Tabla4[[#This Row],[Total]]</f>
        <v>#N/A</v>
      </c>
      <c r="V1441" s="282" t="e">
        <f>+Tabla4[[#This Row],[Comisión Calculada]]*Tabla4[[#This Row],[Total]]</f>
        <v>#N/A</v>
      </c>
    </row>
    <row r="1442" spans="1:22" hidden="1" x14ac:dyDescent="0.25">
      <c r="A1442" s="100">
        <v>45747</v>
      </c>
      <c r="B1442" t="str">
        <f t="shared" si="67"/>
        <v>March</v>
      </c>
      <c r="C1442" s="46" t="s">
        <v>280</v>
      </c>
      <c r="F1442" s="366" t="s">
        <v>1270</v>
      </c>
      <c r="G1442" s="46" t="s">
        <v>18</v>
      </c>
      <c r="H1442" s="46">
        <v>7</v>
      </c>
      <c r="I1442" s="51">
        <v>5367.6500000000005</v>
      </c>
      <c r="J1442" s="281">
        <f>++Tabla4[[#This Row],[Precio Bruto]]*1.16</f>
        <v>6226.4740000000002</v>
      </c>
      <c r="K1442" s="281">
        <f>+Tabla4[[#This Row],[Precio Unitario Neto]]*Tabla4[[#Headers],[20.85%]]</f>
        <v>1298.2198289999999</v>
      </c>
      <c r="L1442" s="282">
        <f>++Tabla4[[#This Row],[Precio Unitario Neto]]-Tabla4[[#This Row],[20.85%]]</f>
        <v>4928.2541710000005</v>
      </c>
      <c r="M1442" s="282" t="e">
        <f>(INDEX(Tabla6[#All],MATCH(Tabla4[[#This Row],[Producto]],Tabla6[[#All],[PRODUCTO]],0),MATCH(Tabla4[[#This Row],[Mes]],Tabla6[#Headers],0)))*(1+Catalogos!$L$2)</f>
        <v>#N/A</v>
      </c>
      <c r="N1442" s="283" t="e">
        <f>+(Tabla4[[#This Row],[Precio Descontado]]-Tabla4[[#This Row],[Precio Base]])*Tabla4[[#This Row],[Cantidad]]</f>
        <v>#N/A</v>
      </c>
      <c r="O1442" s="284" t="e">
        <f>++Tabla4[[#This Row],[Utilidad Total]]/Tabla4[[#This Row],[Total]]</f>
        <v>#N/A</v>
      </c>
      <c r="P1442" s="282">
        <f>++Tabla4[[#This Row],[Precio Descontado]]*Tabla4[[#This Row],[Cantidad]]</f>
        <v>34497.779197000003</v>
      </c>
      <c r="Q1442" s="282" t="e">
        <f>(INDEX(Tabla6[#All],MATCH(Tabla4[[#This Row],[Producto]],Tabla6[[#All],[PRODUCTO]],0),MATCH(Tabla4[[#This Row],[Mes]],Tabla6[#Headers],0)))</f>
        <v>#N/A</v>
      </c>
      <c r="R1442" s="282" t="e">
        <f>++Tabla4[[#This Row],[Precio Unitario Neto]]-Tabla4[[#This Row],[20.85%]]-Tabla4[[#This Row],[Costo]]</f>
        <v>#N/A</v>
      </c>
      <c r="S1442" s="282" t="e">
        <f>++Tabla4[[#This Row],[U. Bruta Uni]]*Tabla4[[#This Row],[Cantidad]]</f>
        <v>#N/A</v>
      </c>
      <c r="T1442" s="369" t="str">
        <f>VLOOKUP(Tabla4[[#This Row],[Producto]],Tabla6[#All],14,FALSE)</f>
        <v>Termico Solar</v>
      </c>
      <c r="U1442" s="284" t="e">
        <f>(IF(Tabla4[[#This Row],[Familia]]="termico solar",Tabla4[[#This Row],[Utilidad Total]]*6%,Tabla4[[#This Row],[Utilidad Total]]*11.5%))/Tabla4[[#This Row],[Total]]</f>
        <v>#N/A</v>
      </c>
      <c r="V1442" s="282" t="e">
        <f>+Tabla4[[#This Row],[Comisión Calculada]]*Tabla4[[#This Row],[Total]]</f>
        <v>#N/A</v>
      </c>
    </row>
    <row r="1443" spans="1:22" hidden="1" x14ac:dyDescent="0.25">
      <c r="A1443" s="100">
        <v>45747</v>
      </c>
      <c r="B1443" t="str">
        <f t="shared" si="67"/>
        <v>March</v>
      </c>
      <c r="C1443" s="46" t="s">
        <v>280</v>
      </c>
      <c r="F1443" s="366" t="s">
        <v>1270</v>
      </c>
      <c r="G1443" s="46" t="s">
        <v>208</v>
      </c>
      <c r="H1443" s="46">
        <v>15</v>
      </c>
      <c r="I1443" s="51">
        <v>140.63</v>
      </c>
      <c r="J1443" s="281">
        <f>++Tabla4[[#This Row],[Precio Bruto]]*1.16</f>
        <v>163.13079999999999</v>
      </c>
      <c r="K1443" s="281">
        <f>+Tabla4[[#This Row],[Precio Unitario Neto]]*Tabla4[[#Headers],[20.85%]]</f>
        <v>34.012771799999996</v>
      </c>
      <c r="L1443" s="282">
        <f>++Tabla4[[#This Row],[Precio Unitario Neto]]-Tabla4[[#This Row],[20.85%]]</f>
        <v>129.1180282</v>
      </c>
      <c r="M1443" s="282" t="e">
        <f>(INDEX(Tabla6[#All],MATCH(Tabla4[[#This Row],[Producto]],Tabla6[[#All],[PRODUCTO]],0),MATCH(Tabla4[[#This Row],[Mes]],Tabla6[#Headers],0)))*(1+Catalogos!$L$2)</f>
        <v>#N/A</v>
      </c>
      <c r="N1443" s="283" t="e">
        <f>+(Tabla4[[#This Row],[Precio Descontado]]-Tabla4[[#This Row],[Precio Base]])*Tabla4[[#This Row],[Cantidad]]</f>
        <v>#N/A</v>
      </c>
      <c r="O1443" s="284" t="e">
        <f>++Tabla4[[#This Row],[Utilidad Total]]/Tabla4[[#This Row],[Total]]</f>
        <v>#N/A</v>
      </c>
      <c r="P1443" s="282">
        <f>++Tabla4[[#This Row],[Precio Descontado]]*Tabla4[[#This Row],[Cantidad]]</f>
        <v>1936.7704229999999</v>
      </c>
      <c r="Q1443" s="282" t="e">
        <f>(INDEX(Tabla6[#All],MATCH(Tabla4[[#This Row],[Producto]],Tabla6[[#All],[PRODUCTO]],0),MATCH(Tabla4[[#This Row],[Mes]],Tabla6[#Headers],0)))</f>
        <v>#N/A</v>
      </c>
      <c r="R1443" s="282" t="e">
        <f>++Tabla4[[#This Row],[Precio Unitario Neto]]-Tabla4[[#This Row],[20.85%]]-Tabla4[[#This Row],[Costo]]</f>
        <v>#N/A</v>
      </c>
      <c r="S1443" s="282" t="e">
        <f>++Tabla4[[#This Row],[U. Bruta Uni]]*Tabla4[[#This Row],[Cantidad]]</f>
        <v>#N/A</v>
      </c>
      <c r="T1443" s="369" t="str">
        <f>VLOOKUP(Tabla4[[#This Row],[Producto]],Tabla6[#All],14,FALSE)</f>
        <v>Termico Solar</v>
      </c>
      <c r="U1443" s="284" t="e">
        <f>(IF(Tabla4[[#This Row],[Familia]]="termico solar",Tabla4[[#This Row],[Utilidad Total]]*6%,Tabla4[[#This Row],[Utilidad Total]]*11.5%))/Tabla4[[#This Row],[Total]]</f>
        <v>#N/A</v>
      </c>
      <c r="V1443" s="282" t="e">
        <f>+Tabla4[[#This Row],[Comisión Calculada]]*Tabla4[[#This Row],[Total]]</f>
        <v>#N/A</v>
      </c>
    </row>
    <row r="1444" spans="1:22" hidden="1" x14ac:dyDescent="0.25">
      <c r="A1444" s="100">
        <v>45747</v>
      </c>
      <c r="B1444" t="str">
        <f t="shared" si="67"/>
        <v>March</v>
      </c>
      <c r="C1444" s="46" t="s">
        <v>280</v>
      </c>
      <c r="F1444" s="366" t="s">
        <v>1270</v>
      </c>
      <c r="G1444" s="46" t="s">
        <v>16</v>
      </c>
      <c r="H1444" s="46">
        <v>2</v>
      </c>
      <c r="I1444" s="51">
        <v>4103.8500000000004</v>
      </c>
      <c r="J1444" s="281">
        <f>++Tabla4[[#This Row],[Precio Bruto]]*1.16</f>
        <v>4760.4660000000003</v>
      </c>
      <c r="K1444" s="281">
        <f>+Tabla4[[#This Row],[Precio Unitario Neto]]*Tabla4[[#Headers],[20.85%]]</f>
        <v>992.55716100000006</v>
      </c>
      <c r="L1444" s="282">
        <f>++Tabla4[[#This Row],[Precio Unitario Neto]]-Tabla4[[#This Row],[20.85%]]</f>
        <v>3767.9088390000002</v>
      </c>
      <c r="M1444" s="282" t="e">
        <f>(INDEX(Tabla6[#All],MATCH(Tabla4[[#This Row],[Producto]],Tabla6[[#All],[PRODUCTO]],0),MATCH(Tabla4[[#This Row],[Mes]],Tabla6[#Headers],0)))*(1+Catalogos!$L$2)</f>
        <v>#N/A</v>
      </c>
      <c r="N1444" s="283" t="e">
        <f>+(Tabla4[[#This Row],[Precio Descontado]]-Tabla4[[#This Row],[Precio Base]])*Tabla4[[#This Row],[Cantidad]]</f>
        <v>#N/A</v>
      </c>
      <c r="O1444" s="284" t="e">
        <f>++Tabla4[[#This Row],[Utilidad Total]]/Tabla4[[#This Row],[Total]]</f>
        <v>#N/A</v>
      </c>
      <c r="P1444" s="282">
        <f>++Tabla4[[#This Row],[Precio Descontado]]*Tabla4[[#This Row],[Cantidad]]</f>
        <v>7535.8176780000003</v>
      </c>
      <c r="Q1444" s="282" t="e">
        <f>(INDEX(Tabla6[#All],MATCH(Tabla4[[#This Row],[Producto]],Tabla6[[#All],[PRODUCTO]],0),MATCH(Tabla4[[#This Row],[Mes]],Tabla6[#Headers],0)))</f>
        <v>#N/A</v>
      </c>
      <c r="R1444" s="282" t="e">
        <f>++Tabla4[[#This Row],[Precio Unitario Neto]]-Tabla4[[#This Row],[20.85%]]-Tabla4[[#This Row],[Costo]]</f>
        <v>#N/A</v>
      </c>
      <c r="S1444" s="282" t="e">
        <f>++Tabla4[[#This Row],[U. Bruta Uni]]*Tabla4[[#This Row],[Cantidad]]</f>
        <v>#N/A</v>
      </c>
      <c r="T1444" s="369" t="str">
        <f>VLOOKUP(Tabla4[[#This Row],[Producto]],Tabla6[#All],14,FALSE)</f>
        <v>Termico Solar</v>
      </c>
      <c r="U1444" s="284" t="e">
        <f>(IF(Tabla4[[#This Row],[Familia]]="termico solar",Tabla4[[#This Row],[Utilidad Total]]*6%,Tabla4[[#This Row],[Utilidad Total]]*11.5%))/Tabla4[[#This Row],[Total]]</f>
        <v>#N/A</v>
      </c>
      <c r="V1444" s="282" t="e">
        <f>+Tabla4[[#This Row],[Comisión Calculada]]*Tabla4[[#This Row],[Total]]</f>
        <v>#N/A</v>
      </c>
    </row>
    <row r="1445" spans="1:22" hidden="1" x14ac:dyDescent="0.25">
      <c r="A1445" s="100">
        <v>45747</v>
      </c>
      <c r="B1445" t="str">
        <f t="shared" si="67"/>
        <v>March</v>
      </c>
      <c r="C1445" s="46" t="s">
        <v>280</v>
      </c>
      <c r="F1445" s="366" t="s">
        <v>1270</v>
      </c>
      <c r="G1445" s="46" t="s">
        <v>555</v>
      </c>
      <c r="H1445" s="46">
        <v>8</v>
      </c>
      <c r="I1445" s="51">
        <v>389.47</v>
      </c>
      <c r="J1445" s="281">
        <f>++Tabla4[[#This Row],[Precio Bruto]]*1.16</f>
        <v>451.78519999999997</v>
      </c>
      <c r="K1445" s="281">
        <f>+Tabla4[[#This Row],[Precio Unitario Neto]]*Tabla4[[#Headers],[20.85%]]</f>
        <v>94.197214199999991</v>
      </c>
      <c r="L1445" s="282">
        <f>++Tabla4[[#This Row],[Precio Unitario Neto]]-Tabla4[[#This Row],[20.85%]]</f>
        <v>357.58798579999996</v>
      </c>
      <c r="M1445" s="282" t="e">
        <f>(INDEX(Tabla6[#All],MATCH(Tabla4[[#This Row],[Producto]],Tabla6[[#All],[PRODUCTO]],0),MATCH(Tabla4[[#This Row],[Mes]],Tabla6[#Headers],0)))*(1+Catalogos!$L$2)</f>
        <v>#N/A</v>
      </c>
      <c r="N1445" s="283" t="e">
        <f>+(Tabla4[[#This Row],[Precio Descontado]]-Tabla4[[#This Row],[Precio Base]])*Tabla4[[#This Row],[Cantidad]]</f>
        <v>#N/A</v>
      </c>
      <c r="O1445" s="284" t="e">
        <f>++Tabla4[[#This Row],[Utilidad Total]]/Tabla4[[#This Row],[Total]]</f>
        <v>#N/A</v>
      </c>
      <c r="P1445" s="282">
        <f>++Tabla4[[#This Row],[Precio Descontado]]*Tabla4[[#This Row],[Cantidad]]</f>
        <v>2860.7038863999996</v>
      </c>
      <c r="Q1445" s="282" t="e">
        <f>(INDEX(Tabla6[#All],MATCH(Tabla4[[#This Row],[Producto]],Tabla6[[#All],[PRODUCTO]],0),MATCH(Tabla4[[#This Row],[Mes]],Tabla6[#Headers],0)))</f>
        <v>#N/A</v>
      </c>
      <c r="R1445" s="282" t="e">
        <f>++Tabla4[[#This Row],[Precio Unitario Neto]]-Tabla4[[#This Row],[20.85%]]-Tabla4[[#This Row],[Costo]]</f>
        <v>#N/A</v>
      </c>
      <c r="S1445" s="282" t="e">
        <f>++Tabla4[[#This Row],[U. Bruta Uni]]*Tabla4[[#This Row],[Cantidad]]</f>
        <v>#N/A</v>
      </c>
      <c r="T1445" s="369" t="str">
        <f>VLOOKUP(Tabla4[[#This Row],[Producto]],Tabla6[#All],14,FALSE)</f>
        <v>Termico Solar</v>
      </c>
      <c r="U1445" s="284" t="e">
        <f>(IF(Tabla4[[#This Row],[Familia]]="termico solar",Tabla4[[#This Row],[Utilidad Total]]*6%,Tabla4[[#This Row],[Utilidad Total]]*11.5%))/Tabla4[[#This Row],[Total]]</f>
        <v>#N/A</v>
      </c>
      <c r="V1445" s="282" t="e">
        <f>+Tabla4[[#This Row],[Comisión Calculada]]*Tabla4[[#This Row],[Total]]</f>
        <v>#N/A</v>
      </c>
    </row>
    <row r="1446" spans="1:22" hidden="1" x14ac:dyDescent="0.25">
      <c r="A1446" s="100">
        <v>45747</v>
      </c>
      <c r="B1446" t="str">
        <f t="shared" si="67"/>
        <v>March</v>
      </c>
      <c r="C1446" s="46" t="s">
        <v>280</v>
      </c>
      <c r="F1446" s="366" t="s">
        <v>1270</v>
      </c>
      <c r="G1446" s="46" t="s">
        <v>208</v>
      </c>
      <c r="H1446" s="46">
        <v>2</v>
      </c>
      <c r="I1446" s="51">
        <v>189.75</v>
      </c>
      <c r="J1446" s="281">
        <f>++Tabla4[[#This Row],[Precio Bruto]]*1.16</f>
        <v>220.10999999999999</v>
      </c>
      <c r="K1446" s="281">
        <f>+Tabla4[[#This Row],[Precio Unitario Neto]]*Tabla4[[#Headers],[20.85%]]</f>
        <v>45.892934999999994</v>
      </c>
      <c r="L1446" s="282">
        <f>++Tabla4[[#This Row],[Precio Unitario Neto]]-Tabla4[[#This Row],[20.85%]]</f>
        <v>174.21706499999999</v>
      </c>
      <c r="M1446" s="282" t="e">
        <f>(INDEX(Tabla6[#All],MATCH(Tabla4[[#This Row],[Producto]],Tabla6[[#All],[PRODUCTO]],0),MATCH(Tabla4[[#This Row],[Mes]],Tabla6[#Headers],0)))*(1+Catalogos!$L$2)</f>
        <v>#N/A</v>
      </c>
      <c r="N1446" s="283" t="e">
        <f>+(Tabla4[[#This Row],[Precio Descontado]]-Tabla4[[#This Row],[Precio Base]])*Tabla4[[#This Row],[Cantidad]]</f>
        <v>#N/A</v>
      </c>
      <c r="O1446" s="284" t="e">
        <f>++Tabla4[[#This Row],[Utilidad Total]]/Tabla4[[#This Row],[Total]]</f>
        <v>#N/A</v>
      </c>
      <c r="P1446" s="282">
        <f>++Tabla4[[#This Row],[Precio Descontado]]*Tabla4[[#This Row],[Cantidad]]</f>
        <v>348.43412999999998</v>
      </c>
      <c r="Q1446" s="282" t="e">
        <f>(INDEX(Tabla6[#All],MATCH(Tabla4[[#This Row],[Producto]],Tabla6[[#All],[PRODUCTO]],0),MATCH(Tabla4[[#This Row],[Mes]],Tabla6[#Headers],0)))</f>
        <v>#N/A</v>
      </c>
      <c r="R1446" s="282" t="e">
        <f>++Tabla4[[#This Row],[Precio Unitario Neto]]-Tabla4[[#This Row],[20.85%]]-Tabla4[[#This Row],[Costo]]</f>
        <v>#N/A</v>
      </c>
      <c r="S1446" s="282" t="e">
        <f>++Tabla4[[#This Row],[U. Bruta Uni]]*Tabla4[[#This Row],[Cantidad]]</f>
        <v>#N/A</v>
      </c>
      <c r="T1446" s="369" t="str">
        <f>VLOOKUP(Tabla4[[#This Row],[Producto]],Tabla6[#All],14,FALSE)</f>
        <v>Termico Solar</v>
      </c>
      <c r="U1446" s="284" t="e">
        <f>(IF(Tabla4[[#This Row],[Familia]]="termico solar",Tabla4[[#This Row],[Utilidad Total]]*6%,Tabla4[[#This Row],[Utilidad Total]]*11.5%))/Tabla4[[#This Row],[Total]]</f>
        <v>#N/A</v>
      </c>
      <c r="V1446" s="282" t="e">
        <f>+Tabla4[[#This Row],[Comisión Calculada]]*Tabla4[[#This Row],[Total]]</f>
        <v>#N/A</v>
      </c>
    </row>
    <row r="1447" spans="1:22" hidden="1" x14ac:dyDescent="0.25">
      <c r="A1447" s="100">
        <v>45747</v>
      </c>
      <c r="B1447" t="str">
        <f>TEXT(A1447, "mmmm")</f>
        <v>March</v>
      </c>
      <c r="C1447" s="46" t="s">
        <v>280</v>
      </c>
      <c r="F1447" s="366" t="s">
        <v>1271</v>
      </c>
      <c r="G1447" s="46" t="s">
        <v>18</v>
      </c>
      <c r="H1447" s="46">
        <v>6</v>
      </c>
      <c r="I1447" s="51">
        <v>5367.6500000000005</v>
      </c>
      <c r="J1447" s="281">
        <f>++Tabla4[[#This Row],[Precio Bruto]]*1.16</f>
        <v>6226.4740000000002</v>
      </c>
      <c r="K1447" s="281">
        <f>+Tabla4[[#This Row],[Precio Unitario Neto]]*Tabla4[[#Headers],[20.85%]]</f>
        <v>1298.2198289999999</v>
      </c>
      <c r="L1447" s="282">
        <f>++Tabla4[[#This Row],[Precio Unitario Neto]]-Tabla4[[#This Row],[20.85%]]</f>
        <v>4928.2541710000005</v>
      </c>
      <c r="M1447" s="282" t="e">
        <f>(INDEX(Tabla6[#All],MATCH(Tabla4[[#This Row],[Producto]],Tabla6[[#All],[PRODUCTO]],0),MATCH(Tabla4[[#This Row],[Mes]],Tabla6[#Headers],0)))*(1+Catalogos!$L$2)</f>
        <v>#N/A</v>
      </c>
      <c r="N1447" s="283" t="e">
        <f>+(Tabla4[[#This Row],[Precio Descontado]]-Tabla4[[#This Row],[Precio Base]])*Tabla4[[#This Row],[Cantidad]]</f>
        <v>#N/A</v>
      </c>
      <c r="O1447" s="284" t="e">
        <f>++Tabla4[[#This Row],[Utilidad Total]]/Tabla4[[#This Row],[Total]]</f>
        <v>#N/A</v>
      </c>
      <c r="P1447" s="282">
        <f>++Tabla4[[#This Row],[Precio Descontado]]*Tabla4[[#This Row],[Cantidad]]</f>
        <v>29569.525026000003</v>
      </c>
      <c r="Q1447" s="282" t="e">
        <f>(INDEX(Tabla6[#All],MATCH(Tabla4[[#This Row],[Producto]],Tabla6[[#All],[PRODUCTO]],0),MATCH(Tabla4[[#This Row],[Mes]],Tabla6[#Headers],0)))</f>
        <v>#N/A</v>
      </c>
      <c r="R1447" s="282" t="e">
        <f>++Tabla4[[#This Row],[Precio Unitario Neto]]-Tabla4[[#This Row],[20.85%]]-Tabla4[[#This Row],[Costo]]</f>
        <v>#N/A</v>
      </c>
      <c r="S1447" s="282" t="e">
        <f>++Tabla4[[#This Row],[U. Bruta Uni]]*Tabla4[[#This Row],[Cantidad]]</f>
        <v>#N/A</v>
      </c>
      <c r="T1447" s="369" t="str">
        <f>VLOOKUP(Tabla4[[#This Row],[Producto]],Tabla6[#All],14,FALSE)</f>
        <v>Termico Solar</v>
      </c>
      <c r="U1447" s="284" t="e">
        <f>(IF(Tabla4[[#This Row],[Familia]]="termico solar",Tabla4[[#This Row],[Utilidad Total]]*6%,Tabla4[[#This Row],[Utilidad Total]]*11.5%))/Tabla4[[#This Row],[Total]]</f>
        <v>#N/A</v>
      </c>
      <c r="V1447" s="282" t="e">
        <f>+Tabla4[[#This Row],[Comisión Calculada]]*Tabla4[[#This Row],[Total]]</f>
        <v>#N/A</v>
      </c>
    </row>
    <row r="1448" spans="1:22" hidden="1" x14ac:dyDescent="0.25">
      <c r="A1448" s="100">
        <v>45747</v>
      </c>
      <c r="B1448" t="str">
        <f>TEXT(A1448, "mmmm")</f>
        <v>March</v>
      </c>
      <c r="C1448" s="46" t="s">
        <v>280</v>
      </c>
      <c r="F1448" s="366" t="s">
        <v>1271</v>
      </c>
      <c r="G1448" s="46" t="s">
        <v>208</v>
      </c>
      <c r="H1448" s="46">
        <v>15</v>
      </c>
      <c r="I1448" s="51">
        <v>140.63</v>
      </c>
      <c r="J1448" s="281">
        <f>++Tabla4[[#This Row],[Precio Bruto]]*1.16</f>
        <v>163.13079999999999</v>
      </c>
      <c r="K1448" s="281">
        <f>+Tabla4[[#This Row],[Precio Unitario Neto]]*Tabla4[[#Headers],[20.85%]]</f>
        <v>34.012771799999996</v>
      </c>
      <c r="L1448" s="282">
        <f>++Tabla4[[#This Row],[Precio Unitario Neto]]-Tabla4[[#This Row],[20.85%]]</f>
        <v>129.1180282</v>
      </c>
      <c r="M1448" s="282" t="e">
        <f>(INDEX(Tabla6[#All],MATCH(Tabla4[[#This Row],[Producto]],Tabla6[[#All],[PRODUCTO]],0),MATCH(Tabla4[[#This Row],[Mes]],Tabla6[#Headers],0)))*(1+Catalogos!$L$2)</f>
        <v>#N/A</v>
      </c>
      <c r="N1448" s="283" t="e">
        <f>+(Tabla4[[#This Row],[Precio Descontado]]-Tabla4[[#This Row],[Precio Base]])*Tabla4[[#This Row],[Cantidad]]</f>
        <v>#N/A</v>
      </c>
      <c r="O1448" s="284" t="e">
        <f>++Tabla4[[#This Row],[Utilidad Total]]/Tabla4[[#This Row],[Total]]</f>
        <v>#N/A</v>
      </c>
      <c r="P1448" s="282">
        <f>++Tabla4[[#This Row],[Precio Descontado]]*Tabla4[[#This Row],[Cantidad]]</f>
        <v>1936.7704229999999</v>
      </c>
      <c r="Q1448" s="282" t="e">
        <f>(INDEX(Tabla6[#All],MATCH(Tabla4[[#This Row],[Producto]],Tabla6[[#All],[PRODUCTO]],0),MATCH(Tabla4[[#This Row],[Mes]],Tabla6[#Headers],0)))</f>
        <v>#N/A</v>
      </c>
      <c r="R1448" s="282" t="e">
        <f>++Tabla4[[#This Row],[Precio Unitario Neto]]-Tabla4[[#This Row],[20.85%]]-Tabla4[[#This Row],[Costo]]</f>
        <v>#N/A</v>
      </c>
      <c r="S1448" s="282" t="e">
        <f>++Tabla4[[#This Row],[U. Bruta Uni]]*Tabla4[[#This Row],[Cantidad]]</f>
        <v>#N/A</v>
      </c>
      <c r="T1448" s="369" t="str">
        <f>VLOOKUP(Tabla4[[#This Row],[Producto]],Tabla6[#All],14,FALSE)</f>
        <v>Termico Solar</v>
      </c>
      <c r="U1448" s="284" t="e">
        <f>(IF(Tabla4[[#This Row],[Familia]]="termico solar",Tabla4[[#This Row],[Utilidad Total]]*6%,Tabla4[[#This Row],[Utilidad Total]]*11.5%))/Tabla4[[#This Row],[Total]]</f>
        <v>#N/A</v>
      </c>
      <c r="V1448" s="282" t="e">
        <f>+Tabla4[[#This Row],[Comisión Calculada]]*Tabla4[[#This Row],[Total]]</f>
        <v>#N/A</v>
      </c>
    </row>
    <row r="1449" spans="1:22" hidden="1" x14ac:dyDescent="0.25">
      <c r="A1449" s="100">
        <v>45747</v>
      </c>
      <c r="B1449" t="str">
        <f>TEXT(A1449, "mmmm")</f>
        <v>March</v>
      </c>
      <c r="C1449" s="46" t="s">
        <v>280</v>
      </c>
      <c r="F1449" s="366" t="s">
        <v>1272</v>
      </c>
      <c r="G1449" s="46" t="s">
        <v>394</v>
      </c>
      <c r="H1449" s="46">
        <v>16</v>
      </c>
      <c r="I1449" s="51">
        <v>224.29</v>
      </c>
      <c r="J1449" s="281">
        <f>++Tabla4[[#This Row],[Precio Bruto]]*1.16</f>
        <v>260.1764</v>
      </c>
      <c r="K1449" s="281">
        <f>+Tabla4[[#This Row],[Precio Unitario Neto]]*Tabla4[[#Headers],[20.85%]]</f>
        <v>54.246779400000001</v>
      </c>
      <c r="L1449" s="282">
        <f>++Tabla4[[#This Row],[Precio Unitario Neto]]-Tabla4[[#This Row],[20.85%]]</f>
        <v>205.92962059999999</v>
      </c>
      <c r="M1449" s="282" t="e">
        <f>(INDEX(Tabla6[#All],MATCH(Tabla4[[#This Row],[Producto]],Tabla6[[#All],[PRODUCTO]],0),MATCH(Tabla4[[#This Row],[Mes]],Tabla6[#Headers],0)))*(1+Catalogos!$L$2)</f>
        <v>#N/A</v>
      </c>
      <c r="N1449" s="283" t="e">
        <f>+(Tabla4[[#This Row],[Precio Descontado]]-Tabla4[[#This Row],[Precio Base]])*Tabla4[[#This Row],[Cantidad]]</f>
        <v>#N/A</v>
      </c>
      <c r="O1449" s="284" t="e">
        <f>++Tabla4[[#This Row],[Utilidad Total]]/Tabla4[[#This Row],[Total]]</f>
        <v>#N/A</v>
      </c>
      <c r="P1449" s="282">
        <f>++Tabla4[[#This Row],[Precio Descontado]]*Tabla4[[#This Row],[Cantidad]]</f>
        <v>3294.8739295999999</v>
      </c>
      <c r="Q1449" s="282" t="e">
        <f>(INDEX(Tabla6[#All],MATCH(Tabla4[[#This Row],[Producto]],Tabla6[[#All],[PRODUCTO]],0),MATCH(Tabla4[[#This Row],[Mes]],Tabla6[#Headers],0)))</f>
        <v>#N/A</v>
      </c>
      <c r="R1449" s="282" t="e">
        <f>++Tabla4[[#This Row],[Precio Unitario Neto]]-Tabla4[[#This Row],[20.85%]]-Tabla4[[#This Row],[Costo]]</f>
        <v>#N/A</v>
      </c>
      <c r="S1449" s="282" t="e">
        <f>++Tabla4[[#This Row],[U. Bruta Uni]]*Tabla4[[#This Row],[Cantidad]]</f>
        <v>#N/A</v>
      </c>
      <c r="T1449" s="369" t="str">
        <f>VLOOKUP(Tabla4[[#This Row],[Producto]],Tabla6[#All],14,FALSE)</f>
        <v>Termico Solar</v>
      </c>
      <c r="U1449" s="284" t="e">
        <f>(IF(Tabla4[[#This Row],[Familia]]="termico solar",Tabla4[[#This Row],[Utilidad Total]]*6%,Tabla4[[#This Row],[Utilidad Total]]*11.5%))/Tabla4[[#This Row],[Total]]</f>
        <v>#N/A</v>
      </c>
      <c r="V1449" s="282" t="e">
        <f>+Tabla4[[#This Row],[Comisión Calculada]]*Tabla4[[#This Row],[Total]]</f>
        <v>#N/A</v>
      </c>
    </row>
    <row r="1450" spans="1:22" hidden="1" x14ac:dyDescent="0.25">
      <c r="A1450" s="100">
        <v>45747</v>
      </c>
      <c r="B1450" t="str">
        <f>TEXT(A1450, "mmmm")</f>
        <v>March</v>
      </c>
      <c r="C1450" s="46" t="s">
        <v>280</v>
      </c>
      <c r="F1450" s="366" t="s">
        <v>1272</v>
      </c>
      <c r="G1450" s="46" t="s">
        <v>555</v>
      </c>
      <c r="H1450" s="46">
        <v>8</v>
      </c>
      <c r="I1450" s="51">
        <v>389.47</v>
      </c>
      <c r="J1450" s="281">
        <f>++Tabla4[[#This Row],[Precio Bruto]]*1.16</f>
        <v>451.78519999999997</v>
      </c>
      <c r="K1450" s="281">
        <f>+Tabla4[[#This Row],[Precio Unitario Neto]]*Tabla4[[#Headers],[20.85%]]</f>
        <v>94.197214199999991</v>
      </c>
      <c r="L1450" s="282">
        <f>++Tabla4[[#This Row],[Precio Unitario Neto]]-Tabla4[[#This Row],[20.85%]]</f>
        <v>357.58798579999996</v>
      </c>
      <c r="M1450" s="282" t="e">
        <f>(INDEX(Tabla6[#All],MATCH(Tabla4[[#This Row],[Producto]],Tabla6[[#All],[PRODUCTO]],0),MATCH(Tabla4[[#This Row],[Mes]],Tabla6[#Headers],0)))*(1+Catalogos!$L$2)</f>
        <v>#N/A</v>
      </c>
      <c r="N1450" s="283" t="e">
        <f>+(Tabla4[[#This Row],[Precio Descontado]]-Tabla4[[#This Row],[Precio Base]])*Tabla4[[#This Row],[Cantidad]]</f>
        <v>#N/A</v>
      </c>
      <c r="O1450" s="284" t="e">
        <f>++Tabla4[[#This Row],[Utilidad Total]]/Tabla4[[#This Row],[Total]]</f>
        <v>#N/A</v>
      </c>
      <c r="P1450" s="282">
        <f>++Tabla4[[#This Row],[Precio Descontado]]*Tabla4[[#This Row],[Cantidad]]</f>
        <v>2860.7038863999996</v>
      </c>
      <c r="Q1450" s="282" t="e">
        <f>(INDEX(Tabla6[#All],MATCH(Tabla4[[#This Row],[Producto]],Tabla6[[#All],[PRODUCTO]],0),MATCH(Tabla4[[#This Row],[Mes]],Tabla6[#Headers],0)))</f>
        <v>#N/A</v>
      </c>
      <c r="R1450" s="282" t="e">
        <f>++Tabla4[[#This Row],[Precio Unitario Neto]]-Tabla4[[#This Row],[20.85%]]-Tabla4[[#This Row],[Costo]]</f>
        <v>#N/A</v>
      </c>
      <c r="S1450" s="282" t="e">
        <f>++Tabla4[[#This Row],[U. Bruta Uni]]*Tabla4[[#This Row],[Cantidad]]</f>
        <v>#N/A</v>
      </c>
      <c r="T1450" s="369" t="str">
        <f>VLOOKUP(Tabla4[[#This Row],[Producto]],Tabla6[#All],14,FALSE)</f>
        <v>Termico Solar</v>
      </c>
      <c r="U1450" s="284" t="e">
        <f>(IF(Tabla4[[#This Row],[Familia]]="termico solar",Tabla4[[#This Row],[Utilidad Total]]*6%,Tabla4[[#This Row],[Utilidad Total]]*11.5%))/Tabla4[[#This Row],[Total]]</f>
        <v>#N/A</v>
      </c>
      <c r="V1450" s="282" t="e">
        <f>+Tabla4[[#This Row],[Comisión Calculada]]*Tabla4[[#This Row],[Total]]</f>
        <v>#N/A</v>
      </c>
    </row>
    <row r="1451" spans="1:22" hidden="1" x14ac:dyDescent="0.25">
      <c r="A1451" s="100">
        <v>45747</v>
      </c>
      <c r="B1451" t="str">
        <f>TEXT(A1451, "mmmm")</f>
        <v>March</v>
      </c>
      <c r="C1451" s="46" t="s">
        <v>280</v>
      </c>
      <c r="F1451" s="366" t="s">
        <v>1272</v>
      </c>
      <c r="G1451" s="46" t="s">
        <v>208</v>
      </c>
      <c r="H1451" s="46">
        <v>2</v>
      </c>
      <c r="I1451" s="51">
        <v>189.75</v>
      </c>
      <c r="J1451" s="281">
        <f>++Tabla4[[#This Row],[Precio Bruto]]*1.16</f>
        <v>220.10999999999999</v>
      </c>
      <c r="K1451" s="281">
        <f>+Tabla4[[#This Row],[Precio Unitario Neto]]*Tabla4[[#Headers],[20.85%]]</f>
        <v>45.892934999999994</v>
      </c>
      <c r="L1451" s="282">
        <f>++Tabla4[[#This Row],[Precio Unitario Neto]]-Tabla4[[#This Row],[20.85%]]</f>
        <v>174.21706499999999</v>
      </c>
      <c r="M1451" s="282" t="e">
        <f>(INDEX(Tabla6[#All],MATCH(Tabla4[[#This Row],[Producto]],Tabla6[[#All],[PRODUCTO]],0),MATCH(Tabla4[[#This Row],[Mes]],Tabla6[#Headers],0)))*(1+Catalogos!$L$2)</f>
        <v>#N/A</v>
      </c>
      <c r="N1451" s="283" t="e">
        <f>+(Tabla4[[#This Row],[Precio Descontado]]-Tabla4[[#This Row],[Precio Base]])*Tabla4[[#This Row],[Cantidad]]</f>
        <v>#N/A</v>
      </c>
      <c r="O1451" s="284" t="e">
        <f>++Tabla4[[#This Row],[Utilidad Total]]/Tabla4[[#This Row],[Total]]</f>
        <v>#N/A</v>
      </c>
      <c r="P1451" s="282">
        <f>++Tabla4[[#This Row],[Precio Descontado]]*Tabla4[[#This Row],[Cantidad]]</f>
        <v>348.43412999999998</v>
      </c>
      <c r="Q1451" s="282" t="e">
        <f>(INDEX(Tabla6[#All],MATCH(Tabla4[[#This Row],[Producto]],Tabla6[[#All],[PRODUCTO]],0),MATCH(Tabla4[[#This Row],[Mes]],Tabla6[#Headers],0)))</f>
        <v>#N/A</v>
      </c>
      <c r="R1451" s="282" t="e">
        <f>++Tabla4[[#This Row],[Precio Unitario Neto]]-Tabla4[[#This Row],[20.85%]]-Tabla4[[#This Row],[Costo]]</f>
        <v>#N/A</v>
      </c>
      <c r="S1451" s="282" t="e">
        <f>++Tabla4[[#This Row],[U. Bruta Uni]]*Tabla4[[#This Row],[Cantidad]]</f>
        <v>#N/A</v>
      </c>
      <c r="T1451" s="369" t="str">
        <f>VLOOKUP(Tabla4[[#This Row],[Producto]],Tabla6[#All],14,FALSE)</f>
        <v>Termico Solar</v>
      </c>
      <c r="U1451" s="284" t="e">
        <f>(IF(Tabla4[[#This Row],[Familia]]="termico solar",Tabla4[[#This Row],[Utilidad Total]]*6%,Tabla4[[#This Row],[Utilidad Total]]*11.5%))/Tabla4[[#This Row],[Total]]</f>
        <v>#N/A</v>
      </c>
      <c r="V1451" s="282" t="e">
        <f>+Tabla4[[#This Row],[Comisión Calculada]]*Tabla4[[#This Row],[Total]]</f>
        <v>#N/A</v>
      </c>
    </row>
    <row r="1452" spans="1:22" hidden="1" x14ac:dyDescent="0.25">
      <c r="A1452" s="100">
        <v>45747</v>
      </c>
      <c r="B1452" t="str">
        <f t="shared" ref="B1452:B1457" si="68">TEXT(A1452, "mmmm")</f>
        <v>March</v>
      </c>
      <c r="C1452" s="46" t="s">
        <v>280</v>
      </c>
      <c r="F1452" s="366" t="s">
        <v>1273</v>
      </c>
      <c r="G1452" s="46" t="s">
        <v>83</v>
      </c>
      <c r="H1452" s="46">
        <v>2</v>
      </c>
      <c r="I1452" s="51">
        <v>8858.76</v>
      </c>
      <c r="J1452" s="281">
        <f>++Tabla4[[#This Row],[Precio Bruto]]*1.16</f>
        <v>10276.161599999999</v>
      </c>
      <c r="K1452" s="281">
        <f>+Tabla4[[#This Row],[Precio Unitario Neto]]*Tabla4[[#Headers],[20.85%]]</f>
        <v>2142.5796935999997</v>
      </c>
      <c r="L1452" s="282">
        <f>++Tabla4[[#This Row],[Precio Unitario Neto]]-Tabla4[[#This Row],[20.85%]]</f>
        <v>8133.5819063999998</v>
      </c>
      <c r="M1452" s="282" t="e">
        <f>(INDEX(Tabla6[#All],MATCH(Tabla4[[#This Row],[Producto]],Tabla6[[#All],[PRODUCTO]],0),MATCH(Tabla4[[#This Row],[Mes]],Tabla6[#Headers],0)))*(1+Catalogos!$L$2)</f>
        <v>#N/A</v>
      </c>
      <c r="N1452" s="283" t="e">
        <f>+(Tabla4[[#This Row],[Precio Descontado]]-Tabla4[[#This Row],[Precio Base]])*Tabla4[[#This Row],[Cantidad]]</f>
        <v>#N/A</v>
      </c>
      <c r="O1452" s="284" t="e">
        <f>++Tabla4[[#This Row],[Utilidad Total]]/Tabla4[[#This Row],[Total]]</f>
        <v>#N/A</v>
      </c>
      <c r="P1452" s="282">
        <f>++Tabla4[[#This Row],[Precio Descontado]]*Tabla4[[#This Row],[Cantidad]]</f>
        <v>16267.1638128</v>
      </c>
      <c r="Q1452" s="282" t="e">
        <f>(INDEX(Tabla6[#All],MATCH(Tabla4[[#This Row],[Producto]],Tabla6[[#All],[PRODUCTO]],0),MATCH(Tabla4[[#This Row],[Mes]],Tabla6[#Headers],0)))</f>
        <v>#N/A</v>
      </c>
      <c r="R1452" s="282" t="e">
        <f>++Tabla4[[#This Row],[Precio Unitario Neto]]-Tabla4[[#This Row],[20.85%]]-Tabla4[[#This Row],[Costo]]</f>
        <v>#N/A</v>
      </c>
      <c r="S1452" s="282" t="e">
        <f>++Tabla4[[#This Row],[U. Bruta Uni]]*Tabla4[[#This Row],[Cantidad]]</f>
        <v>#N/A</v>
      </c>
      <c r="T1452" s="369" t="str">
        <f>VLOOKUP(Tabla4[[#This Row],[Producto]],Tabla6[#All],14,FALSE)</f>
        <v>Termico Solar</v>
      </c>
      <c r="U1452" s="284" t="e">
        <f>(IF(Tabla4[[#This Row],[Familia]]="termico solar",Tabla4[[#This Row],[Utilidad Total]]*6%,Tabla4[[#This Row],[Utilidad Total]]*11.5%))/Tabla4[[#This Row],[Total]]</f>
        <v>#N/A</v>
      </c>
      <c r="V1452" s="282" t="e">
        <f>+Tabla4[[#This Row],[Comisión Calculada]]*Tabla4[[#This Row],[Total]]</f>
        <v>#N/A</v>
      </c>
    </row>
    <row r="1453" spans="1:22" hidden="1" x14ac:dyDescent="0.25">
      <c r="A1453" s="100">
        <v>45747</v>
      </c>
      <c r="B1453" t="str">
        <f t="shared" si="68"/>
        <v>March</v>
      </c>
      <c r="C1453" s="46" t="s">
        <v>280</v>
      </c>
      <c r="F1453" s="366" t="s">
        <v>1273</v>
      </c>
      <c r="G1453" s="46" t="s">
        <v>17</v>
      </c>
      <c r="H1453" s="46">
        <v>5</v>
      </c>
      <c r="I1453" s="51">
        <v>4622.2800000000007</v>
      </c>
      <c r="J1453" s="281">
        <f>++Tabla4[[#This Row],[Precio Bruto]]*1.16</f>
        <v>5361.8448000000008</v>
      </c>
      <c r="K1453" s="281">
        <f>+Tabla4[[#This Row],[Precio Unitario Neto]]*Tabla4[[#Headers],[20.85%]]</f>
        <v>1117.9446408000001</v>
      </c>
      <c r="L1453" s="282">
        <f>++Tabla4[[#This Row],[Precio Unitario Neto]]-Tabla4[[#This Row],[20.85%]]</f>
        <v>4243.9001592000004</v>
      </c>
      <c r="M1453" s="282" t="e">
        <f>(INDEX(Tabla6[#All],MATCH(Tabla4[[#This Row],[Producto]],Tabla6[[#All],[PRODUCTO]],0),MATCH(Tabla4[[#This Row],[Mes]],Tabla6[#Headers],0)))*(1+Catalogos!$L$2)</f>
        <v>#N/A</v>
      </c>
      <c r="N1453" s="283" t="e">
        <f>+(Tabla4[[#This Row],[Precio Descontado]]-Tabla4[[#This Row],[Precio Base]])*Tabla4[[#This Row],[Cantidad]]</f>
        <v>#N/A</v>
      </c>
      <c r="O1453" s="284" t="e">
        <f>++Tabla4[[#This Row],[Utilidad Total]]/Tabla4[[#This Row],[Total]]</f>
        <v>#N/A</v>
      </c>
      <c r="P1453" s="282">
        <f>++Tabla4[[#This Row],[Precio Descontado]]*Tabla4[[#This Row],[Cantidad]]</f>
        <v>21219.500796</v>
      </c>
      <c r="Q1453" s="282" t="e">
        <f>(INDEX(Tabla6[#All],MATCH(Tabla4[[#This Row],[Producto]],Tabla6[[#All],[PRODUCTO]],0),MATCH(Tabla4[[#This Row],[Mes]],Tabla6[#Headers],0)))</f>
        <v>#N/A</v>
      </c>
      <c r="R1453" s="282" t="e">
        <f>++Tabla4[[#This Row],[Precio Unitario Neto]]-Tabla4[[#This Row],[20.85%]]-Tabla4[[#This Row],[Costo]]</f>
        <v>#N/A</v>
      </c>
      <c r="S1453" s="282" t="e">
        <f>++Tabla4[[#This Row],[U. Bruta Uni]]*Tabla4[[#This Row],[Cantidad]]</f>
        <v>#N/A</v>
      </c>
      <c r="T1453" s="369" t="str">
        <f>VLOOKUP(Tabla4[[#This Row],[Producto]],Tabla6[#All],14,FALSE)</f>
        <v>Termico Solar</v>
      </c>
      <c r="U1453" s="284" t="e">
        <f>(IF(Tabla4[[#This Row],[Familia]]="termico solar",Tabla4[[#This Row],[Utilidad Total]]*6%,Tabla4[[#This Row],[Utilidad Total]]*11.5%))/Tabla4[[#This Row],[Total]]</f>
        <v>#N/A</v>
      </c>
      <c r="V1453" s="282" t="e">
        <f>+Tabla4[[#This Row],[Comisión Calculada]]*Tabla4[[#This Row],[Total]]</f>
        <v>#N/A</v>
      </c>
    </row>
    <row r="1454" spans="1:22" hidden="1" x14ac:dyDescent="0.25">
      <c r="A1454" s="100">
        <v>45747</v>
      </c>
      <c r="B1454" t="str">
        <f t="shared" si="68"/>
        <v>March</v>
      </c>
      <c r="C1454" s="46" t="s">
        <v>280</v>
      </c>
      <c r="F1454" s="366" t="s">
        <v>1273</v>
      </c>
      <c r="G1454" s="46" t="s">
        <v>18</v>
      </c>
      <c r="H1454" s="46">
        <v>3</v>
      </c>
      <c r="I1454" s="51">
        <v>5367.6500000000005</v>
      </c>
      <c r="J1454" s="281">
        <f>++Tabla4[[#This Row],[Precio Bruto]]*1.16</f>
        <v>6226.4740000000002</v>
      </c>
      <c r="K1454" s="281">
        <f>+Tabla4[[#This Row],[Precio Unitario Neto]]*Tabla4[[#Headers],[20.85%]]</f>
        <v>1298.2198289999999</v>
      </c>
      <c r="L1454" s="282">
        <f>++Tabla4[[#This Row],[Precio Unitario Neto]]-Tabla4[[#This Row],[20.85%]]</f>
        <v>4928.2541710000005</v>
      </c>
      <c r="M1454" s="282" t="e">
        <f>(INDEX(Tabla6[#All],MATCH(Tabla4[[#This Row],[Producto]],Tabla6[[#All],[PRODUCTO]],0),MATCH(Tabla4[[#This Row],[Mes]],Tabla6[#Headers],0)))*(1+Catalogos!$L$2)</f>
        <v>#N/A</v>
      </c>
      <c r="N1454" s="283" t="e">
        <f>+(Tabla4[[#This Row],[Precio Descontado]]-Tabla4[[#This Row],[Precio Base]])*Tabla4[[#This Row],[Cantidad]]</f>
        <v>#N/A</v>
      </c>
      <c r="O1454" s="284" t="e">
        <f>++Tabla4[[#This Row],[Utilidad Total]]/Tabla4[[#This Row],[Total]]</f>
        <v>#N/A</v>
      </c>
      <c r="P1454" s="282">
        <f>++Tabla4[[#This Row],[Precio Descontado]]*Tabla4[[#This Row],[Cantidad]]</f>
        <v>14784.762513000001</v>
      </c>
      <c r="Q1454" s="282" t="e">
        <f>(INDEX(Tabla6[#All],MATCH(Tabla4[[#This Row],[Producto]],Tabla6[[#All],[PRODUCTO]],0),MATCH(Tabla4[[#This Row],[Mes]],Tabla6[#Headers],0)))</f>
        <v>#N/A</v>
      </c>
      <c r="R1454" s="282" t="e">
        <f>++Tabla4[[#This Row],[Precio Unitario Neto]]-Tabla4[[#This Row],[20.85%]]-Tabla4[[#This Row],[Costo]]</f>
        <v>#N/A</v>
      </c>
      <c r="S1454" s="282" t="e">
        <f>++Tabla4[[#This Row],[U. Bruta Uni]]*Tabla4[[#This Row],[Cantidad]]</f>
        <v>#N/A</v>
      </c>
      <c r="T1454" s="369" t="str">
        <f>VLOOKUP(Tabla4[[#This Row],[Producto]],Tabla6[#All],14,FALSE)</f>
        <v>Termico Solar</v>
      </c>
      <c r="U1454" s="284" t="e">
        <f>(IF(Tabla4[[#This Row],[Familia]]="termico solar",Tabla4[[#This Row],[Utilidad Total]]*6%,Tabla4[[#This Row],[Utilidad Total]]*11.5%))/Tabla4[[#This Row],[Total]]</f>
        <v>#N/A</v>
      </c>
      <c r="V1454" s="282" t="e">
        <f>+Tabla4[[#This Row],[Comisión Calculada]]*Tabla4[[#This Row],[Total]]</f>
        <v>#N/A</v>
      </c>
    </row>
    <row r="1455" spans="1:22" hidden="1" x14ac:dyDescent="0.25">
      <c r="A1455" s="100">
        <v>45747</v>
      </c>
      <c r="B1455" t="str">
        <f t="shared" si="68"/>
        <v>March</v>
      </c>
      <c r="C1455" s="46" t="s">
        <v>280</v>
      </c>
      <c r="F1455" s="366" t="s">
        <v>1273</v>
      </c>
      <c r="G1455" s="46" t="s">
        <v>394</v>
      </c>
      <c r="H1455" s="46">
        <v>16</v>
      </c>
      <c r="I1455" s="51">
        <v>224.29</v>
      </c>
      <c r="J1455" s="281">
        <f>++Tabla4[[#This Row],[Precio Bruto]]*1.16</f>
        <v>260.1764</v>
      </c>
      <c r="K1455" s="281">
        <f>+Tabla4[[#This Row],[Precio Unitario Neto]]*Tabla4[[#Headers],[20.85%]]</f>
        <v>54.246779400000001</v>
      </c>
      <c r="L1455" s="282">
        <f>++Tabla4[[#This Row],[Precio Unitario Neto]]-Tabla4[[#This Row],[20.85%]]</f>
        <v>205.92962059999999</v>
      </c>
      <c r="M1455" s="282" t="e">
        <f>(INDEX(Tabla6[#All],MATCH(Tabla4[[#This Row],[Producto]],Tabla6[[#All],[PRODUCTO]],0),MATCH(Tabla4[[#This Row],[Mes]],Tabla6[#Headers],0)))*(1+Catalogos!$L$2)</f>
        <v>#N/A</v>
      </c>
      <c r="N1455" s="283" t="e">
        <f>+(Tabla4[[#This Row],[Precio Descontado]]-Tabla4[[#This Row],[Precio Base]])*Tabla4[[#This Row],[Cantidad]]</f>
        <v>#N/A</v>
      </c>
      <c r="O1455" s="284" t="e">
        <f>++Tabla4[[#This Row],[Utilidad Total]]/Tabla4[[#This Row],[Total]]</f>
        <v>#N/A</v>
      </c>
      <c r="P1455" s="282">
        <f>++Tabla4[[#This Row],[Precio Descontado]]*Tabla4[[#This Row],[Cantidad]]</f>
        <v>3294.8739295999999</v>
      </c>
      <c r="Q1455" s="282" t="e">
        <f>(INDEX(Tabla6[#All],MATCH(Tabla4[[#This Row],[Producto]],Tabla6[[#All],[PRODUCTO]],0),MATCH(Tabla4[[#This Row],[Mes]],Tabla6[#Headers],0)))</f>
        <v>#N/A</v>
      </c>
      <c r="R1455" s="282" t="e">
        <f>++Tabla4[[#This Row],[Precio Unitario Neto]]-Tabla4[[#This Row],[20.85%]]-Tabla4[[#This Row],[Costo]]</f>
        <v>#N/A</v>
      </c>
      <c r="S1455" s="282" t="e">
        <f>++Tabla4[[#This Row],[U. Bruta Uni]]*Tabla4[[#This Row],[Cantidad]]</f>
        <v>#N/A</v>
      </c>
      <c r="T1455" s="369" t="str">
        <f>VLOOKUP(Tabla4[[#This Row],[Producto]],Tabla6[#All],14,FALSE)</f>
        <v>Termico Solar</v>
      </c>
      <c r="U1455" s="284" t="e">
        <f>(IF(Tabla4[[#This Row],[Familia]]="termico solar",Tabla4[[#This Row],[Utilidad Total]]*6%,Tabla4[[#This Row],[Utilidad Total]]*11.5%))/Tabla4[[#This Row],[Total]]</f>
        <v>#N/A</v>
      </c>
      <c r="V1455" s="282" t="e">
        <f>+Tabla4[[#This Row],[Comisión Calculada]]*Tabla4[[#This Row],[Total]]</f>
        <v>#N/A</v>
      </c>
    </row>
    <row r="1456" spans="1:22" hidden="1" x14ac:dyDescent="0.25">
      <c r="A1456" s="100">
        <v>45747</v>
      </c>
      <c r="B1456" t="str">
        <f t="shared" si="68"/>
        <v>March</v>
      </c>
      <c r="C1456" s="46" t="s">
        <v>280</v>
      </c>
      <c r="F1456" s="366" t="s">
        <v>1273</v>
      </c>
      <c r="G1456" s="46" t="s">
        <v>555</v>
      </c>
      <c r="H1456" s="46">
        <v>8</v>
      </c>
      <c r="I1456" s="51">
        <v>389.47</v>
      </c>
      <c r="J1456" s="281">
        <f>++Tabla4[[#This Row],[Precio Bruto]]*1.16</f>
        <v>451.78519999999997</v>
      </c>
      <c r="K1456" s="281">
        <f>+Tabla4[[#This Row],[Precio Unitario Neto]]*Tabla4[[#Headers],[20.85%]]</f>
        <v>94.197214199999991</v>
      </c>
      <c r="L1456" s="282">
        <f>++Tabla4[[#This Row],[Precio Unitario Neto]]-Tabla4[[#This Row],[20.85%]]</f>
        <v>357.58798579999996</v>
      </c>
      <c r="M1456" s="282" t="e">
        <f>(INDEX(Tabla6[#All],MATCH(Tabla4[[#This Row],[Producto]],Tabla6[[#All],[PRODUCTO]],0),MATCH(Tabla4[[#This Row],[Mes]],Tabla6[#Headers],0)))*(1+Catalogos!$L$2)</f>
        <v>#N/A</v>
      </c>
      <c r="N1456" s="283" t="e">
        <f>+(Tabla4[[#This Row],[Precio Descontado]]-Tabla4[[#This Row],[Precio Base]])*Tabla4[[#This Row],[Cantidad]]</f>
        <v>#N/A</v>
      </c>
      <c r="O1456" s="284" t="e">
        <f>++Tabla4[[#This Row],[Utilidad Total]]/Tabla4[[#This Row],[Total]]</f>
        <v>#N/A</v>
      </c>
      <c r="P1456" s="282">
        <f>++Tabla4[[#This Row],[Precio Descontado]]*Tabla4[[#This Row],[Cantidad]]</f>
        <v>2860.7038863999996</v>
      </c>
      <c r="Q1456" s="282" t="e">
        <f>(INDEX(Tabla6[#All],MATCH(Tabla4[[#This Row],[Producto]],Tabla6[[#All],[PRODUCTO]],0),MATCH(Tabla4[[#This Row],[Mes]],Tabla6[#Headers],0)))</f>
        <v>#N/A</v>
      </c>
      <c r="R1456" s="282" t="e">
        <f>++Tabla4[[#This Row],[Precio Unitario Neto]]-Tabla4[[#This Row],[20.85%]]-Tabla4[[#This Row],[Costo]]</f>
        <v>#N/A</v>
      </c>
      <c r="S1456" s="282" t="e">
        <f>++Tabla4[[#This Row],[U. Bruta Uni]]*Tabla4[[#This Row],[Cantidad]]</f>
        <v>#N/A</v>
      </c>
      <c r="T1456" s="369" t="str">
        <f>VLOOKUP(Tabla4[[#This Row],[Producto]],Tabla6[#All],14,FALSE)</f>
        <v>Termico Solar</v>
      </c>
      <c r="U1456" s="284" t="e">
        <f>(IF(Tabla4[[#This Row],[Familia]]="termico solar",Tabla4[[#This Row],[Utilidad Total]]*6%,Tabla4[[#This Row],[Utilidad Total]]*11.5%))/Tabla4[[#This Row],[Total]]</f>
        <v>#N/A</v>
      </c>
      <c r="V1456" s="282" t="e">
        <f>+Tabla4[[#This Row],[Comisión Calculada]]*Tabla4[[#This Row],[Total]]</f>
        <v>#N/A</v>
      </c>
    </row>
    <row r="1457" spans="1:22" hidden="1" x14ac:dyDescent="0.25">
      <c r="A1457" s="100">
        <v>45747</v>
      </c>
      <c r="B1457" t="str">
        <f t="shared" si="68"/>
        <v>March</v>
      </c>
      <c r="C1457" s="46" t="s">
        <v>280</v>
      </c>
      <c r="F1457" s="366" t="s">
        <v>1273</v>
      </c>
      <c r="G1457" s="46" t="s">
        <v>208</v>
      </c>
      <c r="H1457" s="46">
        <v>2</v>
      </c>
      <c r="I1457" s="51">
        <v>189.75</v>
      </c>
      <c r="J1457" s="281">
        <f>++Tabla4[[#This Row],[Precio Bruto]]*1.16</f>
        <v>220.10999999999999</v>
      </c>
      <c r="K1457" s="281">
        <f>+Tabla4[[#This Row],[Precio Unitario Neto]]*Tabla4[[#Headers],[20.85%]]</f>
        <v>45.892934999999994</v>
      </c>
      <c r="L1457" s="282">
        <f>++Tabla4[[#This Row],[Precio Unitario Neto]]-Tabla4[[#This Row],[20.85%]]</f>
        <v>174.21706499999999</v>
      </c>
      <c r="M1457" s="282" t="e">
        <f>(INDEX(Tabla6[#All],MATCH(Tabla4[[#This Row],[Producto]],Tabla6[[#All],[PRODUCTO]],0),MATCH(Tabla4[[#This Row],[Mes]],Tabla6[#Headers],0)))*(1+Catalogos!$L$2)</f>
        <v>#N/A</v>
      </c>
      <c r="N1457" s="283" t="e">
        <f>+(Tabla4[[#This Row],[Precio Descontado]]-Tabla4[[#This Row],[Precio Base]])*Tabla4[[#This Row],[Cantidad]]</f>
        <v>#N/A</v>
      </c>
      <c r="O1457" s="284" t="e">
        <f>++Tabla4[[#This Row],[Utilidad Total]]/Tabla4[[#This Row],[Total]]</f>
        <v>#N/A</v>
      </c>
      <c r="P1457" s="282">
        <f>++Tabla4[[#This Row],[Precio Descontado]]*Tabla4[[#This Row],[Cantidad]]</f>
        <v>348.43412999999998</v>
      </c>
      <c r="Q1457" s="282" t="e">
        <f>(INDEX(Tabla6[#All],MATCH(Tabla4[[#This Row],[Producto]],Tabla6[[#All],[PRODUCTO]],0),MATCH(Tabla4[[#This Row],[Mes]],Tabla6[#Headers],0)))</f>
        <v>#N/A</v>
      </c>
      <c r="R1457" s="282" t="e">
        <f>++Tabla4[[#This Row],[Precio Unitario Neto]]-Tabla4[[#This Row],[20.85%]]-Tabla4[[#This Row],[Costo]]</f>
        <v>#N/A</v>
      </c>
      <c r="S1457" s="282" t="e">
        <f>++Tabla4[[#This Row],[U. Bruta Uni]]*Tabla4[[#This Row],[Cantidad]]</f>
        <v>#N/A</v>
      </c>
      <c r="T1457" s="369" t="str">
        <f>VLOOKUP(Tabla4[[#This Row],[Producto]],Tabla6[#All],14,FALSE)</f>
        <v>Termico Solar</v>
      </c>
      <c r="U1457" s="284" t="e">
        <f>(IF(Tabla4[[#This Row],[Familia]]="termico solar",Tabla4[[#This Row],[Utilidad Total]]*6%,Tabla4[[#This Row],[Utilidad Total]]*11.5%))/Tabla4[[#This Row],[Total]]</f>
        <v>#N/A</v>
      </c>
      <c r="V1457" s="282" t="e">
        <f>+Tabla4[[#This Row],[Comisión Calculada]]*Tabla4[[#This Row],[Total]]</f>
        <v>#N/A</v>
      </c>
    </row>
    <row r="1458" spans="1:22" hidden="1" x14ac:dyDescent="0.25">
      <c r="A1458" s="100">
        <v>45747</v>
      </c>
      <c r="B1458" t="str">
        <f>TEXT(A1458, "mmmm")</f>
        <v>March</v>
      </c>
      <c r="C1458" s="46" t="s">
        <v>280</v>
      </c>
      <c r="F1458" s="366" t="s">
        <v>1274</v>
      </c>
      <c r="G1458" s="46" t="s">
        <v>83</v>
      </c>
      <c r="H1458" s="46">
        <v>1</v>
      </c>
      <c r="I1458" s="51">
        <v>8858.76</v>
      </c>
      <c r="J1458" s="281">
        <f>++Tabla4[[#This Row],[Precio Bruto]]*1.16</f>
        <v>10276.161599999999</v>
      </c>
      <c r="K1458" s="281">
        <f>+Tabla4[[#This Row],[Precio Unitario Neto]]*Tabla4[[#Headers],[20.85%]]</f>
        <v>2142.5796935999997</v>
      </c>
      <c r="L1458" s="282">
        <f>++Tabla4[[#This Row],[Precio Unitario Neto]]-Tabla4[[#This Row],[20.85%]]</f>
        <v>8133.5819063999998</v>
      </c>
      <c r="M1458" s="282" t="e">
        <f>(INDEX(Tabla6[#All],MATCH(Tabla4[[#This Row],[Producto]],Tabla6[[#All],[PRODUCTO]],0),MATCH(Tabla4[[#This Row],[Mes]],Tabla6[#Headers],0)))*(1+Catalogos!$L$2)</f>
        <v>#N/A</v>
      </c>
      <c r="N1458" s="283" t="e">
        <f>+(Tabla4[[#This Row],[Precio Descontado]]-Tabla4[[#This Row],[Precio Base]])*Tabla4[[#This Row],[Cantidad]]</f>
        <v>#N/A</v>
      </c>
      <c r="O1458" s="284" t="e">
        <f>++Tabla4[[#This Row],[Utilidad Total]]/Tabla4[[#This Row],[Total]]</f>
        <v>#N/A</v>
      </c>
      <c r="P1458" s="282">
        <f>++Tabla4[[#This Row],[Precio Descontado]]*Tabla4[[#This Row],[Cantidad]]</f>
        <v>8133.5819063999998</v>
      </c>
      <c r="Q1458" s="282" t="e">
        <f>(INDEX(Tabla6[#All],MATCH(Tabla4[[#This Row],[Producto]],Tabla6[[#All],[PRODUCTO]],0),MATCH(Tabla4[[#This Row],[Mes]],Tabla6[#Headers],0)))</f>
        <v>#N/A</v>
      </c>
      <c r="R1458" s="282" t="e">
        <f>++Tabla4[[#This Row],[Precio Unitario Neto]]-Tabla4[[#This Row],[20.85%]]-Tabla4[[#This Row],[Costo]]</f>
        <v>#N/A</v>
      </c>
      <c r="S1458" s="282" t="e">
        <f>++Tabla4[[#This Row],[U. Bruta Uni]]*Tabla4[[#This Row],[Cantidad]]</f>
        <v>#N/A</v>
      </c>
      <c r="T1458" s="369" t="str">
        <f>VLOOKUP(Tabla4[[#This Row],[Producto]],Tabla6[#All],14,FALSE)</f>
        <v>Termico Solar</v>
      </c>
      <c r="U1458" s="284" t="e">
        <f>(IF(Tabla4[[#This Row],[Familia]]="termico solar",Tabla4[[#This Row],[Utilidad Total]]*6%,Tabla4[[#This Row],[Utilidad Total]]*11.5%))/Tabla4[[#This Row],[Total]]</f>
        <v>#N/A</v>
      </c>
      <c r="V1458" s="282" t="e">
        <f>+Tabla4[[#This Row],[Comisión Calculada]]*Tabla4[[#This Row],[Total]]</f>
        <v>#N/A</v>
      </c>
    </row>
    <row r="1459" spans="1:22" hidden="1" x14ac:dyDescent="0.25">
      <c r="A1459" s="100">
        <v>45747</v>
      </c>
      <c r="B1459" t="str">
        <f>TEXT(A1459, "mmmm")</f>
        <v>March</v>
      </c>
      <c r="C1459" s="46" t="s">
        <v>280</v>
      </c>
      <c r="F1459" s="366" t="s">
        <v>1274</v>
      </c>
      <c r="G1459" s="46" t="s">
        <v>208</v>
      </c>
      <c r="H1459" s="46">
        <v>30</v>
      </c>
      <c r="I1459" s="51">
        <v>140.63</v>
      </c>
      <c r="J1459" s="281">
        <f>++Tabla4[[#This Row],[Precio Bruto]]*1.16</f>
        <v>163.13079999999999</v>
      </c>
      <c r="K1459" s="281">
        <f>+Tabla4[[#This Row],[Precio Unitario Neto]]*Tabla4[[#Headers],[20.85%]]</f>
        <v>34.012771799999996</v>
      </c>
      <c r="L1459" s="282">
        <f>++Tabla4[[#This Row],[Precio Unitario Neto]]-Tabla4[[#This Row],[20.85%]]</f>
        <v>129.1180282</v>
      </c>
      <c r="M1459" s="282" t="e">
        <f>(INDEX(Tabla6[#All],MATCH(Tabla4[[#This Row],[Producto]],Tabla6[[#All],[PRODUCTO]],0),MATCH(Tabla4[[#This Row],[Mes]],Tabla6[#Headers],0)))*(1+Catalogos!$L$2)</f>
        <v>#N/A</v>
      </c>
      <c r="N1459" s="283" t="e">
        <f>+(Tabla4[[#This Row],[Precio Descontado]]-Tabla4[[#This Row],[Precio Base]])*Tabla4[[#This Row],[Cantidad]]</f>
        <v>#N/A</v>
      </c>
      <c r="O1459" s="284" t="e">
        <f>++Tabla4[[#This Row],[Utilidad Total]]/Tabla4[[#This Row],[Total]]</f>
        <v>#N/A</v>
      </c>
      <c r="P1459" s="282">
        <f>++Tabla4[[#This Row],[Precio Descontado]]*Tabla4[[#This Row],[Cantidad]]</f>
        <v>3873.5408459999999</v>
      </c>
      <c r="Q1459" s="282" t="e">
        <f>(INDEX(Tabla6[#All],MATCH(Tabla4[[#This Row],[Producto]],Tabla6[[#All],[PRODUCTO]],0),MATCH(Tabla4[[#This Row],[Mes]],Tabla6[#Headers],0)))</f>
        <v>#N/A</v>
      </c>
      <c r="R1459" s="282" t="e">
        <f>++Tabla4[[#This Row],[Precio Unitario Neto]]-Tabla4[[#This Row],[20.85%]]-Tabla4[[#This Row],[Costo]]</f>
        <v>#N/A</v>
      </c>
      <c r="S1459" s="282" t="e">
        <f>++Tabla4[[#This Row],[U. Bruta Uni]]*Tabla4[[#This Row],[Cantidad]]</f>
        <v>#N/A</v>
      </c>
      <c r="T1459" s="369" t="str">
        <f>VLOOKUP(Tabla4[[#This Row],[Producto]],Tabla6[#All],14,FALSE)</f>
        <v>Termico Solar</v>
      </c>
      <c r="U1459" s="284" t="e">
        <f>(IF(Tabla4[[#This Row],[Familia]]="termico solar",Tabla4[[#This Row],[Utilidad Total]]*6%,Tabla4[[#This Row],[Utilidad Total]]*11.5%))/Tabla4[[#This Row],[Total]]</f>
        <v>#N/A</v>
      </c>
      <c r="V1459" s="282" t="e">
        <f>+Tabla4[[#This Row],[Comisión Calculada]]*Tabla4[[#This Row],[Total]]</f>
        <v>#N/A</v>
      </c>
    </row>
    <row r="1460" spans="1:22" hidden="1" x14ac:dyDescent="0.25">
      <c r="A1460" s="100">
        <v>45747</v>
      </c>
      <c r="B1460" t="str">
        <f t="shared" ref="B1460:B1465" si="69">TEXT(A1460, "mmmm")</f>
        <v>March</v>
      </c>
      <c r="C1460" s="46" t="s">
        <v>280</v>
      </c>
      <c r="F1460" s="366" t="s">
        <v>1275</v>
      </c>
      <c r="G1460" s="46" t="s">
        <v>83</v>
      </c>
      <c r="H1460" s="46">
        <v>5</v>
      </c>
      <c r="I1460" s="51">
        <v>8858.76</v>
      </c>
      <c r="J1460" s="281">
        <f>++Tabla4[[#This Row],[Precio Bruto]]*1.16</f>
        <v>10276.161599999999</v>
      </c>
      <c r="K1460" s="281">
        <f>+Tabla4[[#This Row],[Precio Unitario Neto]]*Tabla4[[#Headers],[20.85%]]</f>
        <v>2142.5796935999997</v>
      </c>
      <c r="L1460" s="282">
        <f>++Tabla4[[#This Row],[Precio Unitario Neto]]-Tabla4[[#This Row],[20.85%]]</f>
        <v>8133.5819063999998</v>
      </c>
      <c r="M1460" s="282" t="e">
        <f>(INDEX(Tabla6[#All],MATCH(Tabla4[[#This Row],[Producto]],Tabla6[[#All],[PRODUCTO]],0),MATCH(Tabla4[[#This Row],[Mes]],Tabla6[#Headers],0)))*(1+Catalogos!$L$2)</f>
        <v>#N/A</v>
      </c>
      <c r="N1460" s="283" t="e">
        <f>+(Tabla4[[#This Row],[Precio Descontado]]-Tabla4[[#This Row],[Precio Base]])*Tabla4[[#This Row],[Cantidad]]</f>
        <v>#N/A</v>
      </c>
      <c r="O1460" s="284" t="e">
        <f>++Tabla4[[#This Row],[Utilidad Total]]/Tabla4[[#This Row],[Total]]</f>
        <v>#N/A</v>
      </c>
      <c r="P1460" s="282">
        <f>++Tabla4[[#This Row],[Precio Descontado]]*Tabla4[[#This Row],[Cantidad]]</f>
        <v>40667.909531999998</v>
      </c>
      <c r="Q1460" s="282" t="e">
        <f>(INDEX(Tabla6[#All],MATCH(Tabla4[[#This Row],[Producto]],Tabla6[[#All],[PRODUCTO]],0),MATCH(Tabla4[[#This Row],[Mes]],Tabla6[#Headers],0)))</f>
        <v>#N/A</v>
      </c>
      <c r="R1460" s="282" t="e">
        <f>++Tabla4[[#This Row],[Precio Unitario Neto]]-Tabla4[[#This Row],[20.85%]]-Tabla4[[#This Row],[Costo]]</f>
        <v>#N/A</v>
      </c>
      <c r="S1460" s="282" t="e">
        <f>++Tabla4[[#This Row],[U. Bruta Uni]]*Tabla4[[#This Row],[Cantidad]]</f>
        <v>#N/A</v>
      </c>
      <c r="T1460" s="369" t="str">
        <f>VLOOKUP(Tabla4[[#This Row],[Producto]],Tabla6[#All],14,FALSE)</f>
        <v>Termico Solar</v>
      </c>
      <c r="U1460" s="284" t="e">
        <f>(IF(Tabla4[[#This Row],[Familia]]="termico solar",Tabla4[[#This Row],[Utilidad Total]]*6%,Tabla4[[#This Row],[Utilidad Total]]*11.5%))/Tabla4[[#This Row],[Total]]</f>
        <v>#N/A</v>
      </c>
      <c r="V1460" s="282" t="e">
        <f>+Tabla4[[#This Row],[Comisión Calculada]]*Tabla4[[#This Row],[Total]]</f>
        <v>#N/A</v>
      </c>
    </row>
    <row r="1461" spans="1:22" hidden="1" x14ac:dyDescent="0.25">
      <c r="A1461" s="100">
        <v>45747</v>
      </c>
      <c r="B1461" t="str">
        <f t="shared" si="69"/>
        <v>March</v>
      </c>
      <c r="C1461" s="46" t="s">
        <v>280</v>
      </c>
      <c r="F1461" s="366" t="s">
        <v>1275</v>
      </c>
      <c r="G1461" s="46" t="s">
        <v>17</v>
      </c>
      <c r="H1461" s="46">
        <v>2</v>
      </c>
      <c r="I1461" s="51">
        <v>4622.28</v>
      </c>
      <c r="J1461" s="281">
        <f>++Tabla4[[#This Row],[Precio Bruto]]*1.16</f>
        <v>5361.8447999999989</v>
      </c>
      <c r="K1461" s="281">
        <f>+Tabla4[[#This Row],[Precio Unitario Neto]]*Tabla4[[#Headers],[20.85%]]</f>
        <v>1117.9446407999997</v>
      </c>
      <c r="L1461" s="282">
        <f>++Tabla4[[#This Row],[Precio Unitario Neto]]-Tabla4[[#This Row],[20.85%]]</f>
        <v>4243.9001591999995</v>
      </c>
      <c r="M1461" s="282" t="e">
        <f>(INDEX(Tabla6[#All],MATCH(Tabla4[[#This Row],[Producto]],Tabla6[[#All],[PRODUCTO]],0),MATCH(Tabla4[[#This Row],[Mes]],Tabla6[#Headers],0)))*(1+Catalogos!$L$2)</f>
        <v>#N/A</v>
      </c>
      <c r="N1461" s="283" t="e">
        <f>+(Tabla4[[#This Row],[Precio Descontado]]-Tabla4[[#This Row],[Precio Base]])*Tabla4[[#This Row],[Cantidad]]</f>
        <v>#N/A</v>
      </c>
      <c r="O1461" s="284" t="e">
        <f>++Tabla4[[#This Row],[Utilidad Total]]/Tabla4[[#This Row],[Total]]</f>
        <v>#N/A</v>
      </c>
      <c r="P1461" s="282">
        <f>++Tabla4[[#This Row],[Precio Descontado]]*Tabla4[[#This Row],[Cantidad]]</f>
        <v>8487.800318399999</v>
      </c>
      <c r="Q1461" s="282" t="e">
        <f>(INDEX(Tabla6[#All],MATCH(Tabla4[[#This Row],[Producto]],Tabla6[[#All],[PRODUCTO]],0),MATCH(Tabla4[[#This Row],[Mes]],Tabla6[#Headers],0)))</f>
        <v>#N/A</v>
      </c>
      <c r="R1461" s="282" t="e">
        <f>++Tabla4[[#This Row],[Precio Unitario Neto]]-Tabla4[[#This Row],[20.85%]]-Tabla4[[#This Row],[Costo]]</f>
        <v>#N/A</v>
      </c>
      <c r="S1461" s="282" t="e">
        <f>++Tabla4[[#This Row],[U. Bruta Uni]]*Tabla4[[#This Row],[Cantidad]]</f>
        <v>#N/A</v>
      </c>
      <c r="T1461" s="369" t="str">
        <f>VLOOKUP(Tabla4[[#This Row],[Producto]],Tabla6[#All],14,FALSE)</f>
        <v>Termico Solar</v>
      </c>
      <c r="U1461" s="284" t="e">
        <f>(IF(Tabla4[[#This Row],[Familia]]="termico solar",Tabla4[[#This Row],[Utilidad Total]]*6%,Tabla4[[#This Row],[Utilidad Total]]*11.5%))/Tabla4[[#This Row],[Total]]</f>
        <v>#N/A</v>
      </c>
      <c r="V1461" s="282" t="e">
        <f>+Tabla4[[#This Row],[Comisión Calculada]]*Tabla4[[#This Row],[Total]]</f>
        <v>#N/A</v>
      </c>
    </row>
    <row r="1462" spans="1:22" hidden="1" x14ac:dyDescent="0.25">
      <c r="A1462" s="100">
        <v>45747</v>
      </c>
      <c r="B1462" t="str">
        <f t="shared" si="69"/>
        <v>March</v>
      </c>
      <c r="C1462" s="46" t="s">
        <v>280</v>
      </c>
      <c r="F1462" s="366" t="s">
        <v>1275</v>
      </c>
      <c r="G1462" s="46" t="s">
        <v>18</v>
      </c>
      <c r="H1462" s="46">
        <v>1</v>
      </c>
      <c r="I1462" s="51">
        <v>5367.65</v>
      </c>
      <c r="J1462" s="281">
        <f>++Tabla4[[#This Row],[Precio Bruto]]*1.16</f>
        <v>6226.4739999999993</v>
      </c>
      <c r="K1462" s="281">
        <f>+Tabla4[[#This Row],[Precio Unitario Neto]]*Tabla4[[#Headers],[20.85%]]</f>
        <v>1298.2198289999999</v>
      </c>
      <c r="L1462" s="282">
        <f>++Tabla4[[#This Row],[Precio Unitario Neto]]-Tabla4[[#This Row],[20.85%]]</f>
        <v>4928.2541709999996</v>
      </c>
      <c r="M1462" s="282" t="e">
        <f>(INDEX(Tabla6[#All],MATCH(Tabla4[[#This Row],[Producto]],Tabla6[[#All],[PRODUCTO]],0),MATCH(Tabla4[[#This Row],[Mes]],Tabla6[#Headers],0)))*(1+Catalogos!$L$2)</f>
        <v>#N/A</v>
      </c>
      <c r="N1462" s="283" t="e">
        <f>+(Tabla4[[#This Row],[Precio Descontado]]-Tabla4[[#This Row],[Precio Base]])*Tabla4[[#This Row],[Cantidad]]</f>
        <v>#N/A</v>
      </c>
      <c r="O1462" s="284" t="e">
        <f>++Tabla4[[#This Row],[Utilidad Total]]/Tabla4[[#This Row],[Total]]</f>
        <v>#N/A</v>
      </c>
      <c r="P1462" s="282">
        <f>++Tabla4[[#This Row],[Precio Descontado]]*Tabla4[[#This Row],[Cantidad]]</f>
        <v>4928.2541709999996</v>
      </c>
      <c r="Q1462" s="282" t="e">
        <f>(INDEX(Tabla6[#All],MATCH(Tabla4[[#This Row],[Producto]],Tabla6[[#All],[PRODUCTO]],0),MATCH(Tabla4[[#This Row],[Mes]],Tabla6[#Headers],0)))</f>
        <v>#N/A</v>
      </c>
      <c r="R1462" s="282" t="e">
        <f>++Tabla4[[#This Row],[Precio Unitario Neto]]-Tabla4[[#This Row],[20.85%]]-Tabla4[[#This Row],[Costo]]</f>
        <v>#N/A</v>
      </c>
      <c r="S1462" s="282" t="e">
        <f>++Tabla4[[#This Row],[U. Bruta Uni]]*Tabla4[[#This Row],[Cantidad]]</f>
        <v>#N/A</v>
      </c>
      <c r="T1462" s="369" t="str">
        <f>VLOOKUP(Tabla4[[#This Row],[Producto]],Tabla6[#All],14,FALSE)</f>
        <v>Termico Solar</v>
      </c>
      <c r="U1462" s="284" t="e">
        <f>(IF(Tabla4[[#This Row],[Familia]]="termico solar",Tabla4[[#This Row],[Utilidad Total]]*6%,Tabla4[[#This Row],[Utilidad Total]]*11.5%))/Tabla4[[#This Row],[Total]]</f>
        <v>#N/A</v>
      </c>
      <c r="V1462" s="282" t="e">
        <f>+Tabla4[[#This Row],[Comisión Calculada]]*Tabla4[[#This Row],[Total]]</f>
        <v>#N/A</v>
      </c>
    </row>
    <row r="1463" spans="1:22" hidden="1" x14ac:dyDescent="0.25">
      <c r="A1463" s="100">
        <v>45747</v>
      </c>
      <c r="B1463" t="str">
        <f t="shared" si="69"/>
        <v>March</v>
      </c>
      <c r="C1463" s="46" t="s">
        <v>280</v>
      </c>
      <c r="F1463" s="366" t="s">
        <v>1275</v>
      </c>
      <c r="G1463" s="46" t="s">
        <v>16</v>
      </c>
      <c r="H1463" s="46">
        <v>6</v>
      </c>
      <c r="I1463" s="51">
        <v>4103.8499999999995</v>
      </c>
      <c r="J1463" s="281">
        <f>++Tabla4[[#This Row],[Precio Bruto]]*1.16</f>
        <v>4760.4659999999994</v>
      </c>
      <c r="K1463" s="281">
        <f>+Tabla4[[#This Row],[Precio Unitario Neto]]*Tabla4[[#Headers],[20.85%]]</f>
        <v>992.55716099999984</v>
      </c>
      <c r="L1463" s="282">
        <f>++Tabla4[[#This Row],[Precio Unitario Neto]]-Tabla4[[#This Row],[20.85%]]</f>
        <v>3767.9088389999997</v>
      </c>
      <c r="M1463" s="282" t="e">
        <f>(INDEX(Tabla6[#All],MATCH(Tabla4[[#This Row],[Producto]],Tabla6[[#All],[PRODUCTO]],0),MATCH(Tabla4[[#This Row],[Mes]],Tabla6[#Headers],0)))*(1+Catalogos!$L$2)</f>
        <v>#N/A</v>
      </c>
      <c r="N1463" s="283" t="e">
        <f>+(Tabla4[[#This Row],[Precio Descontado]]-Tabla4[[#This Row],[Precio Base]])*Tabla4[[#This Row],[Cantidad]]</f>
        <v>#N/A</v>
      </c>
      <c r="O1463" s="284" t="e">
        <f>++Tabla4[[#This Row],[Utilidad Total]]/Tabla4[[#This Row],[Total]]</f>
        <v>#N/A</v>
      </c>
      <c r="P1463" s="282">
        <f>++Tabla4[[#This Row],[Precio Descontado]]*Tabla4[[#This Row],[Cantidad]]</f>
        <v>22607.453033999998</v>
      </c>
      <c r="Q1463" s="282" t="e">
        <f>(INDEX(Tabla6[#All],MATCH(Tabla4[[#This Row],[Producto]],Tabla6[[#All],[PRODUCTO]],0),MATCH(Tabla4[[#This Row],[Mes]],Tabla6[#Headers],0)))</f>
        <v>#N/A</v>
      </c>
      <c r="R1463" s="282" t="e">
        <f>++Tabla4[[#This Row],[Precio Unitario Neto]]-Tabla4[[#This Row],[20.85%]]-Tabla4[[#This Row],[Costo]]</f>
        <v>#N/A</v>
      </c>
      <c r="S1463" s="282" t="e">
        <f>++Tabla4[[#This Row],[U. Bruta Uni]]*Tabla4[[#This Row],[Cantidad]]</f>
        <v>#N/A</v>
      </c>
      <c r="T1463" s="369" t="str">
        <f>VLOOKUP(Tabla4[[#This Row],[Producto]],Tabla6[#All],14,FALSE)</f>
        <v>Termico Solar</v>
      </c>
      <c r="U1463" s="284" t="e">
        <f>(IF(Tabla4[[#This Row],[Familia]]="termico solar",Tabla4[[#This Row],[Utilidad Total]]*6%,Tabla4[[#This Row],[Utilidad Total]]*11.5%))/Tabla4[[#This Row],[Total]]</f>
        <v>#N/A</v>
      </c>
      <c r="V1463" s="282" t="e">
        <f>+Tabla4[[#This Row],[Comisión Calculada]]*Tabla4[[#This Row],[Total]]</f>
        <v>#N/A</v>
      </c>
    </row>
    <row r="1464" spans="1:22" hidden="1" x14ac:dyDescent="0.25">
      <c r="A1464" s="100">
        <v>45747</v>
      </c>
      <c r="B1464" t="str">
        <f t="shared" si="69"/>
        <v>March</v>
      </c>
      <c r="C1464" s="46" t="s">
        <v>280</v>
      </c>
      <c r="F1464" s="366" t="s">
        <v>1275</v>
      </c>
      <c r="G1464" s="46" t="s">
        <v>555</v>
      </c>
      <c r="H1464" s="46">
        <v>8</v>
      </c>
      <c r="I1464" s="51">
        <v>389.47</v>
      </c>
      <c r="J1464" s="281">
        <f>++Tabla4[[#This Row],[Precio Bruto]]*1.16</f>
        <v>451.78519999999997</v>
      </c>
      <c r="K1464" s="281">
        <f>+Tabla4[[#This Row],[Precio Unitario Neto]]*Tabla4[[#Headers],[20.85%]]</f>
        <v>94.197214199999991</v>
      </c>
      <c r="L1464" s="282">
        <f>++Tabla4[[#This Row],[Precio Unitario Neto]]-Tabla4[[#This Row],[20.85%]]</f>
        <v>357.58798579999996</v>
      </c>
      <c r="M1464" s="282" t="e">
        <f>(INDEX(Tabla6[#All],MATCH(Tabla4[[#This Row],[Producto]],Tabla6[[#All],[PRODUCTO]],0),MATCH(Tabla4[[#This Row],[Mes]],Tabla6[#Headers],0)))*(1+Catalogos!$L$2)</f>
        <v>#N/A</v>
      </c>
      <c r="N1464" s="283" t="e">
        <f>+(Tabla4[[#This Row],[Precio Descontado]]-Tabla4[[#This Row],[Precio Base]])*Tabla4[[#This Row],[Cantidad]]</f>
        <v>#N/A</v>
      </c>
      <c r="O1464" s="284" t="e">
        <f>++Tabla4[[#This Row],[Utilidad Total]]/Tabla4[[#This Row],[Total]]</f>
        <v>#N/A</v>
      </c>
      <c r="P1464" s="282">
        <f>++Tabla4[[#This Row],[Precio Descontado]]*Tabla4[[#This Row],[Cantidad]]</f>
        <v>2860.7038863999996</v>
      </c>
      <c r="Q1464" s="282" t="e">
        <f>(INDEX(Tabla6[#All],MATCH(Tabla4[[#This Row],[Producto]],Tabla6[[#All],[PRODUCTO]],0),MATCH(Tabla4[[#This Row],[Mes]],Tabla6[#Headers],0)))</f>
        <v>#N/A</v>
      </c>
      <c r="R1464" s="282" t="e">
        <f>++Tabla4[[#This Row],[Precio Unitario Neto]]-Tabla4[[#This Row],[20.85%]]-Tabla4[[#This Row],[Costo]]</f>
        <v>#N/A</v>
      </c>
      <c r="S1464" s="282" t="e">
        <f>++Tabla4[[#This Row],[U. Bruta Uni]]*Tabla4[[#This Row],[Cantidad]]</f>
        <v>#N/A</v>
      </c>
      <c r="T1464" s="369" t="str">
        <f>VLOOKUP(Tabla4[[#This Row],[Producto]],Tabla6[#All],14,FALSE)</f>
        <v>Termico Solar</v>
      </c>
      <c r="U1464" s="284" t="e">
        <f>(IF(Tabla4[[#This Row],[Familia]]="termico solar",Tabla4[[#This Row],[Utilidad Total]]*6%,Tabla4[[#This Row],[Utilidad Total]]*11.5%))/Tabla4[[#This Row],[Total]]</f>
        <v>#N/A</v>
      </c>
      <c r="V1464" s="282" t="e">
        <f>+Tabla4[[#This Row],[Comisión Calculada]]*Tabla4[[#This Row],[Total]]</f>
        <v>#N/A</v>
      </c>
    </row>
    <row r="1465" spans="1:22" hidden="1" x14ac:dyDescent="0.25">
      <c r="A1465" s="100">
        <v>45747</v>
      </c>
      <c r="B1465" t="str">
        <f t="shared" si="69"/>
        <v>March</v>
      </c>
      <c r="C1465" s="46" t="s">
        <v>280</v>
      </c>
      <c r="F1465" s="366" t="s">
        <v>1275</v>
      </c>
      <c r="G1465" s="46" t="s">
        <v>208</v>
      </c>
      <c r="H1465" s="46">
        <v>1</v>
      </c>
      <c r="I1465" s="51">
        <v>189.75</v>
      </c>
      <c r="J1465" s="281">
        <f>++Tabla4[[#This Row],[Precio Bruto]]*1.16</f>
        <v>220.10999999999999</v>
      </c>
      <c r="K1465" s="281">
        <f>+Tabla4[[#This Row],[Precio Unitario Neto]]*Tabla4[[#Headers],[20.85%]]</f>
        <v>45.892934999999994</v>
      </c>
      <c r="L1465" s="282">
        <f>++Tabla4[[#This Row],[Precio Unitario Neto]]-Tabla4[[#This Row],[20.85%]]</f>
        <v>174.21706499999999</v>
      </c>
      <c r="M1465" s="282" t="e">
        <f>(INDEX(Tabla6[#All],MATCH(Tabla4[[#This Row],[Producto]],Tabla6[[#All],[PRODUCTO]],0),MATCH(Tabla4[[#This Row],[Mes]],Tabla6[#Headers],0)))*(1+Catalogos!$L$2)</f>
        <v>#N/A</v>
      </c>
      <c r="N1465" s="283" t="e">
        <f>+(Tabla4[[#This Row],[Precio Descontado]]-Tabla4[[#This Row],[Precio Base]])*Tabla4[[#This Row],[Cantidad]]</f>
        <v>#N/A</v>
      </c>
      <c r="O1465" s="284" t="e">
        <f>++Tabla4[[#This Row],[Utilidad Total]]/Tabla4[[#This Row],[Total]]</f>
        <v>#N/A</v>
      </c>
      <c r="P1465" s="282">
        <f>++Tabla4[[#This Row],[Precio Descontado]]*Tabla4[[#This Row],[Cantidad]]</f>
        <v>174.21706499999999</v>
      </c>
      <c r="Q1465" s="282" t="e">
        <f>(INDEX(Tabla6[#All],MATCH(Tabla4[[#This Row],[Producto]],Tabla6[[#All],[PRODUCTO]],0),MATCH(Tabla4[[#This Row],[Mes]],Tabla6[#Headers],0)))</f>
        <v>#N/A</v>
      </c>
      <c r="R1465" s="282" t="e">
        <f>++Tabla4[[#This Row],[Precio Unitario Neto]]-Tabla4[[#This Row],[20.85%]]-Tabla4[[#This Row],[Costo]]</f>
        <v>#N/A</v>
      </c>
      <c r="S1465" s="282" t="e">
        <f>++Tabla4[[#This Row],[U. Bruta Uni]]*Tabla4[[#This Row],[Cantidad]]</f>
        <v>#N/A</v>
      </c>
      <c r="T1465" s="369" t="str">
        <f>VLOOKUP(Tabla4[[#This Row],[Producto]],Tabla6[#All],14,FALSE)</f>
        <v>Termico Solar</v>
      </c>
      <c r="U1465" s="284" t="e">
        <f>(IF(Tabla4[[#This Row],[Familia]]="termico solar",Tabla4[[#This Row],[Utilidad Total]]*6%,Tabla4[[#This Row],[Utilidad Total]]*11.5%))/Tabla4[[#This Row],[Total]]</f>
        <v>#N/A</v>
      </c>
      <c r="V1465" s="282" t="e">
        <f>+Tabla4[[#This Row],[Comisión Calculada]]*Tabla4[[#This Row],[Total]]</f>
        <v>#N/A</v>
      </c>
    </row>
    <row r="1466" spans="1:22" hidden="1" x14ac:dyDescent="0.25">
      <c r="A1466" s="100">
        <v>45747</v>
      </c>
      <c r="B1466" t="str">
        <f t="shared" ref="B1466:B1477" si="70">TEXT(A1466, "mmmm")</f>
        <v>March</v>
      </c>
      <c r="C1466" s="46" t="s">
        <v>280</v>
      </c>
      <c r="F1466" s="366" t="s">
        <v>1276</v>
      </c>
      <c r="G1466" s="46" t="s">
        <v>394</v>
      </c>
      <c r="H1466" s="46">
        <v>16</v>
      </c>
      <c r="I1466" s="51">
        <v>224.29</v>
      </c>
      <c r="J1466" s="281">
        <f>++Tabla4[[#This Row],[Precio Bruto]]*1.16</f>
        <v>260.1764</v>
      </c>
      <c r="K1466" s="281">
        <f>+Tabla4[[#This Row],[Precio Unitario Neto]]*Tabla4[[#Headers],[20.85%]]</f>
        <v>54.246779400000001</v>
      </c>
      <c r="L1466" s="282">
        <f>++Tabla4[[#This Row],[Precio Unitario Neto]]-Tabla4[[#This Row],[20.85%]]</f>
        <v>205.92962059999999</v>
      </c>
      <c r="M1466" s="282" t="e">
        <f>(INDEX(Tabla6[#All],MATCH(Tabla4[[#This Row],[Producto]],Tabla6[[#All],[PRODUCTO]],0),MATCH(Tabla4[[#This Row],[Mes]],Tabla6[#Headers],0)))*(1+Catalogos!$L$2)</f>
        <v>#N/A</v>
      </c>
      <c r="N1466" s="283" t="e">
        <f>+(Tabla4[[#This Row],[Precio Descontado]]-Tabla4[[#This Row],[Precio Base]])*Tabla4[[#This Row],[Cantidad]]</f>
        <v>#N/A</v>
      </c>
      <c r="O1466" s="284" t="e">
        <f>++Tabla4[[#This Row],[Utilidad Total]]/Tabla4[[#This Row],[Total]]</f>
        <v>#N/A</v>
      </c>
      <c r="P1466" s="282">
        <f>++Tabla4[[#This Row],[Precio Descontado]]*Tabla4[[#This Row],[Cantidad]]</f>
        <v>3294.8739295999999</v>
      </c>
      <c r="Q1466" s="282" t="e">
        <f>(INDEX(Tabla6[#All],MATCH(Tabla4[[#This Row],[Producto]],Tabla6[[#All],[PRODUCTO]],0),MATCH(Tabla4[[#This Row],[Mes]],Tabla6[#Headers],0)))</f>
        <v>#N/A</v>
      </c>
      <c r="R1466" s="282" t="e">
        <f>++Tabla4[[#This Row],[Precio Unitario Neto]]-Tabla4[[#This Row],[20.85%]]-Tabla4[[#This Row],[Costo]]</f>
        <v>#N/A</v>
      </c>
      <c r="S1466" s="282" t="e">
        <f>++Tabla4[[#This Row],[U. Bruta Uni]]*Tabla4[[#This Row],[Cantidad]]</f>
        <v>#N/A</v>
      </c>
      <c r="T1466" s="369" t="str">
        <f>VLOOKUP(Tabla4[[#This Row],[Producto]],Tabla6[#All],14,FALSE)</f>
        <v>Termico Solar</v>
      </c>
      <c r="U1466" s="284" t="e">
        <f>(IF(Tabla4[[#This Row],[Familia]]="termico solar",Tabla4[[#This Row],[Utilidad Total]]*6%,Tabla4[[#This Row],[Utilidad Total]]*11.5%))/Tabla4[[#This Row],[Total]]</f>
        <v>#N/A</v>
      </c>
      <c r="V1466" s="282" t="e">
        <f>+Tabla4[[#This Row],[Comisión Calculada]]*Tabla4[[#This Row],[Total]]</f>
        <v>#N/A</v>
      </c>
    </row>
    <row r="1467" spans="1:22" hidden="1" x14ac:dyDescent="0.25">
      <c r="A1467" s="100">
        <v>45747</v>
      </c>
      <c r="B1467" t="str">
        <f t="shared" si="70"/>
        <v>March</v>
      </c>
      <c r="C1467" s="46" t="s">
        <v>280</v>
      </c>
      <c r="F1467" s="366" t="s">
        <v>1276</v>
      </c>
      <c r="G1467" s="46" t="s">
        <v>555</v>
      </c>
      <c r="H1467" s="46">
        <v>8</v>
      </c>
      <c r="I1467" s="51">
        <v>389.47</v>
      </c>
      <c r="J1467" s="281">
        <f>++Tabla4[[#This Row],[Precio Bruto]]*1.16</f>
        <v>451.78519999999997</v>
      </c>
      <c r="K1467" s="281">
        <f>+Tabla4[[#This Row],[Precio Unitario Neto]]*Tabla4[[#Headers],[20.85%]]</f>
        <v>94.197214199999991</v>
      </c>
      <c r="L1467" s="282">
        <f>++Tabla4[[#This Row],[Precio Unitario Neto]]-Tabla4[[#This Row],[20.85%]]</f>
        <v>357.58798579999996</v>
      </c>
      <c r="M1467" s="282" t="e">
        <f>(INDEX(Tabla6[#All],MATCH(Tabla4[[#This Row],[Producto]],Tabla6[[#All],[PRODUCTO]],0),MATCH(Tabla4[[#This Row],[Mes]],Tabla6[#Headers],0)))*(1+Catalogos!$L$2)</f>
        <v>#N/A</v>
      </c>
      <c r="N1467" s="283" t="e">
        <f>+(Tabla4[[#This Row],[Precio Descontado]]-Tabla4[[#This Row],[Precio Base]])*Tabla4[[#This Row],[Cantidad]]</f>
        <v>#N/A</v>
      </c>
      <c r="O1467" s="284" t="e">
        <f>++Tabla4[[#This Row],[Utilidad Total]]/Tabla4[[#This Row],[Total]]</f>
        <v>#N/A</v>
      </c>
      <c r="P1467" s="282">
        <f>++Tabla4[[#This Row],[Precio Descontado]]*Tabla4[[#This Row],[Cantidad]]</f>
        <v>2860.7038863999996</v>
      </c>
      <c r="Q1467" s="282" t="e">
        <f>(INDEX(Tabla6[#All],MATCH(Tabla4[[#This Row],[Producto]],Tabla6[[#All],[PRODUCTO]],0),MATCH(Tabla4[[#This Row],[Mes]],Tabla6[#Headers],0)))</f>
        <v>#N/A</v>
      </c>
      <c r="R1467" s="282" t="e">
        <f>++Tabla4[[#This Row],[Precio Unitario Neto]]-Tabla4[[#This Row],[20.85%]]-Tabla4[[#This Row],[Costo]]</f>
        <v>#N/A</v>
      </c>
      <c r="S1467" s="282" t="e">
        <f>++Tabla4[[#This Row],[U. Bruta Uni]]*Tabla4[[#This Row],[Cantidad]]</f>
        <v>#N/A</v>
      </c>
      <c r="T1467" s="369" t="str">
        <f>VLOOKUP(Tabla4[[#This Row],[Producto]],Tabla6[#All],14,FALSE)</f>
        <v>Termico Solar</v>
      </c>
      <c r="U1467" s="284" t="e">
        <f>(IF(Tabla4[[#This Row],[Familia]]="termico solar",Tabla4[[#This Row],[Utilidad Total]]*6%,Tabla4[[#This Row],[Utilidad Total]]*11.5%))/Tabla4[[#This Row],[Total]]</f>
        <v>#N/A</v>
      </c>
      <c r="V1467" s="282" t="e">
        <f>+Tabla4[[#This Row],[Comisión Calculada]]*Tabla4[[#This Row],[Total]]</f>
        <v>#N/A</v>
      </c>
    </row>
    <row r="1468" spans="1:22" hidden="1" x14ac:dyDescent="0.25">
      <c r="A1468" s="100">
        <v>45747</v>
      </c>
      <c r="B1468" t="str">
        <f t="shared" si="70"/>
        <v>March</v>
      </c>
      <c r="C1468" s="46" t="s">
        <v>280</v>
      </c>
      <c r="F1468" s="366" t="s">
        <v>1276</v>
      </c>
      <c r="G1468" s="46" t="s">
        <v>208</v>
      </c>
      <c r="H1468" s="46">
        <v>2</v>
      </c>
      <c r="I1468" s="51">
        <v>189.75</v>
      </c>
      <c r="J1468" s="281">
        <f>++Tabla4[[#This Row],[Precio Bruto]]*1.16</f>
        <v>220.10999999999999</v>
      </c>
      <c r="K1468" s="281">
        <f>+Tabla4[[#This Row],[Precio Unitario Neto]]*Tabla4[[#Headers],[20.85%]]</f>
        <v>45.892934999999994</v>
      </c>
      <c r="L1468" s="282">
        <f>++Tabla4[[#This Row],[Precio Unitario Neto]]-Tabla4[[#This Row],[20.85%]]</f>
        <v>174.21706499999999</v>
      </c>
      <c r="M1468" s="282" t="e">
        <f>(INDEX(Tabla6[#All],MATCH(Tabla4[[#This Row],[Producto]],Tabla6[[#All],[PRODUCTO]],0),MATCH(Tabla4[[#This Row],[Mes]],Tabla6[#Headers],0)))*(1+Catalogos!$L$2)</f>
        <v>#N/A</v>
      </c>
      <c r="N1468" s="283" t="e">
        <f>+(Tabla4[[#This Row],[Precio Descontado]]-Tabla4[[#This Row],[Precio Base]])*Tabla4[[#This Row],[Cantidad]]</f>
        <v>#N/A</v>
      </c>
      <c r="O1468" s="284" t="e">
        <f>++Tabla4[[#This Row],[Utilidad Total]]/Tabla4[[#This Row],[Total]]</f>
        <v>#N/A</v>
      </c>
      <c r="P1468" s="282">
        <f>++Tabla4[[#This Row],[Precio Descontado]]*Tabla4[[#This Row],[Cantidad]]</f>
        <v>348.43412999999998</v>
      </c>
      <c r="Q1468" s="282" t="e">
        <f>(INDEX(Tabla6[#All],MATCH(Tabla4[[#This Row],[Producto]],Tabla6[[#All],[PRODUCTO]],0),MATCH(Tabla4[[#This Row],[Mes]],Tabla6[#Headers],0)))</f>
        <v>#N/A</v>
      </c>
      <c r="R1468" s="282" t="e">
        <f>++Tabla4[[#This Row],[Precio Unitario Neto]]-Tabla4[[#This Row],[20.85%]]-Tabla4[[#This Row],[Costo]]</f>
        <v>#N/A</v>
      </c>
      <c r="S1468" s="282" t="e">
        <f>++Tabla4[[#This Row],[U. Bruta Uni]]*Tabla4[[#This Row],[Cantidad]]</f>
        <v>#N/A</v>
      </c>
      <c r="T1468" s="369" t="str">
        <f>VLOOKUP(Tabla4[[#This Row],[Producto]],Tabla6[#All],14,FALSE)</f>
        <v>Termico Solar</v>
      </c>
      <c r="U1468" s="284" t="e">
        <f>(IF(Tabla4[[#This Row],[Familia]]="termico solar",Tabla4[[#This Row],[Utilidad Total]]*6%,Tabla4[[#This Row],[Utilidad Total]]*11.5%))/Tabla4[[#This Row],[Total]]</f>
        <v>#N/A</v>
      </c>
      <c r="V1468" s="282" t="e">
        <f>+Tabla4[[#This Row],[Comisión Calculada]]*Tabla4[[#This Row],[Total]]</f>
        <v>#N/A</v>
      </c>
    </row>
    <row r="1469" spans="1:22" hidden="1" x14ac:dyDescent="0.25">
      <c r="A1469" s="100">
        <v>45747</v>
      </c>
      <c r="B1469" t="str">
        <f t="shared" si="70"/>
        <v>March</v>
      </c>
      <c r="C1469" s="46" t="s">
        <v>280</v>
      </c>
      <c r="F1469" s="366" t="s">
        <v>1277</v>
      </c>
      <c r="G1469" s="46" t="s">
        <v>17</v>
      </c>
      <c r="H1469" s="46">
        <v>2</v>
      </c>
      <c r="I1469" s="51">
        <v>4622.28</v>
      </c>
      <c r="J1469" s="281">
        <f>++Tabla4[[#This Row],[Precio Bruto]]*1.16</f>
        <v>5361.8447999999989</v>
      </c>
      <c r="K1469" s="281">
        <f>+Tabla4[[#This Row],[Precio Unitario Neto]]*Tabla4[[#Headers],[20.85%]]</f>
        <v>1117.9446407999997</v>
      </c>
      <c r="L1469" s="282">
        <f>++Tabla4[[#This Row],[Precio Unitario Neto]]-Tabla4[[#This Row],[20.85%]]</f>
        <v>4243.9001591999995</v>
      </c>
      <c r="M1469" s="282" t="e">
        <f>(INDEX(Tabla6[#All],MATCH(Tabla4[[#This Row],[Producto]],Tabla6[[#All],[PRODUCTO]],0),MATCH(Tabla4[[#This Row],[Mes]],Tabla6[#Headers],0)))*(1+Catalogos!$L$2)</f>
        <v>#N/A</v>
      </c>
      <c r="N1469" s="283" t="e">
        <f>+(Tabla4[[#This Row],[Precio Descontado]]-Tabla4[[#This Row],[Precio Base]])*Tabla4[[#This Row],[Cantidad]]</f>
        <v>#N/A</v>
      </c>
      <c r="O1469" s="284" t="e">
        <f>++Tabla4[[#This Row],[Utilidad Total]]/Tabla4[[#This Row],[Total]]</f>
        <v>#N/A</v>
      </c>
      <c r="P1469" s="282">
        <f>++Tabla4[[#This Row],[Precio Descontado]]*Tabla4[[#This Row],[Cantidad]]</f>
        <v>8487.800318399999</v>
      </c>
      <c r="Q1469" s="282" t="e">
        <f>(INDEX(Tabla6[#All],MATCH(Tabla4[[#This Row],[Producto]],Tabla6[[#All],[PRODUCTO]],0),MATCH(Tabla4[[#This Row],[Mes]],Tabla6[#Headers],0)))</f>
        <v>#N/A</v>
      </c>
      <c r="R1469" s="282" t="e">
        <f>++Tabla4[[#This Row],[Precio Unitario Neto]]-Tabla4[[#This Row],[20.85%]]-Tabla4[[#This Row],[Costo]]</f>
        <v>#N/A</v>
      </c>
      <c r="S1469" s="282" t="e">
        <f>++Tabla4[[#This Row],[U. Bruta Uni]]*Tabla4[[#This Row],[Cantidad]]</f>
        <v>#N/A</v>
      </c>
      <c r="T1469" s="369" t="str">
        <f>VLOOKUP(Tabla4[[#This Row],[Producto]],Tabla6[#All],14,FALSE)</f>
        <v>Termico Solar</v>
      </c>
      <c r="U1469" s="284" t="e">
        <f>(IF(Tabla4[[#This Row],[Familia]]="termico solar",Tabla4[[#This Row],[Utilidad Total]]*6%,Tabla4[[#This Row],[Utilidad Total]]*11.5%))/Tabla4[[#This Row],[Total]]</f>
        <v>#N/A</v>
      </c>
      <c r="V1469" s="282" t="e">
        <f>+Tabla4[[#This Row],[Comisión Calculada]]*Tabla4[[#This Row],[Total]]</f>
        <v>#N/A</v>
      </c>
    </row>
    <row r="1470" spans="1:22" hidden="1" x14ac:dyDescent="0.25">
      <c r="A1470" s="100">
        <v>45747</v>
      </c>
      <c r="B1470" t="str">
        <f t="shared" si="70"/>
        <v>March</v>
      </c>
      <c r="C1470" s="46" t="s">
        <v>280</v>
      </c>
      <c r="F1470" s="366" t="s">
        <v>1277</v>
      </c>
      <c r="G1470" s="46" t="s">
        <v>18</v>
      </c>
      <c r="H1470" s="46">
        <v>5</v>
      </c>
      <c r="I1470" s="51">
        <v>5367.65</v>
      </c>
      <c r="J1470" s="281">
        <f>++Tabla4[[#This Row],[Precio Bruto]]*1.16</f>
        <v>6226.4739999999993</v>
      </c>
      <c r="K1470" s="281">
        <f>+Tabla4[[#This Row],[Precio Unitario Neto]]*Tabla4[[#Headers],[20.85%]]</f>
        <v>1298.2198289999999</v>
      </c>
      <c r="L1470" s="282">
        <f>++Tabla4[[#This Row],[Precio Unitario Neto]]-Tabla4[[#This Row],[20.85%]]</f>
        <v>4928.2541709999996</v>
      </c>
      <c r="M1470" s="282" t="e">
        <f>(INDEX(Tabla6[#All],MATCH(Tabla4[[#This Row],[Producto]],Tabla6[[#All],[PRODUCTO]],0),MATCH(Tabla4[[#This Row],[Mes]],Tabla6[#Headers],0)))*(1+Catalogos!$L$2)</f>
        <v>#N/A</v>
      </c>
      <c r="N1470" s="283" t="e">
        <f>+(Tabla4[[#This Row],[Precio Descontado]]-Tabla4[[#This Row],[Precio Base]])*Tabla4[[#This Row],[Cantidad]]</f>
        <v>#N/A</v>
      </c>
      <c r="O1470" s="284" t="e">
        <f>++Tabla4[[#This Row],[Utilidad Total]]/Tabla4[[#This Row],[Total]]</f>
        <v>#N/A</v>
      </c>
      <c r="P1470" s="282">
        <f>++Tabla4[[#This Row],[Precio Descontado]]*Tabla4[[#This Row],[Cantidad]]</f>
        <v>24641.270854999999</v>
      </c>
      <c r="Q1470" s="282" t="e">
        <f>(INDEX(Tabla6[#All],MATCH(Tabla4[[#This Row],[Producto]],Tabla6[[#All],[PRODUCTO]],0),MATCH(Tabla4[[#This Row],[Mes]],Tabla6[#Headers],0)))</f>
        <v>#N/A</v>
      </c>
      <c r="R1470" s="282" t="e">
        <f>++Tabla4[[#This Row],[Precio Unitario Neto]]-Tabla4[[#This Row],[20.85%]]-Tabla4[[#This Row],[Costo]]</f>
        <v>#N/A</v>
      </c>
      <c r="S1470" s="282" t="e">
        <f>++Tabla4[[#This Row],[U. Bruta Uni]]*Tabla4[[#This Row],[Cantidad]]</f>
        <v>#N/A</v>
      </c>
      <c r="T1470" s="369" t="str">
        <f>VLOOKUP(Tabla4[[#This Row],[Producto]],Tabla6[#All],14,FALSE)</f>
        <v>Termico Solar</v>
      </c>
      <c r="U1470" s="284" t="e">
        <f>(IF(Tabla4[[#This Row],[Familia]]="termico solar",Tabla4[[#This Row],[Utilidad Total]]*6%,Tabla4[[#This Row],[Utilidad Total]]*11.5%))/Tabla4[[#This Row],[Total]]</f>
        <v>#N/A</v>
      </c>
      <c r="V1470" s="282" t="e">
        <f>+Tabla4[[#This Row],[Comisión Calculada]]*Tabla4[[#This Row],[Total]]</f>
        <v>#N/A</v>
      </c>
    </row>
    <row r="1471" spans="1:22" hidden="1" x14ac:dyDescent="0.25">
      <c r="A1471" s="100">
        <v>45747</v>
      </c>
      <c r="B1471" t="str">
        <f t="shared" si="70"/>
        <v>March</v>
      </c>
      <c r="C1471" s="46" t="s">
        <v>280</v>
      </c>
      <c r="F1471" s="366" t="s">
        <v>1278</v>
      </c>
      <c r="G1471" s="46" t="s">
        <v>18</v>
      </c>
      <c r="H1471" s="46">
        <v>2</v>
      </c>
      <c r="I1471" s="51">
        <v>5367.65</v>
      </c>
      <c r="J1471" s="281">
        <f>++Tabla4[[#This Row],[Precio Bruto]]*1.16</f>
        <v>6226.4739999999993</v>
      </c>
      <c r="K1471" s="281">
        <f>+Tabla4[[#This Row],[Precio Unitario Neto]]*Tabla4[[#Headers],[20.85%]]</f>
        <v>1298.2198289999999</v>
      </c>
      <c r="L1471" s="282">
        <f>++Tabla4[[#This Row],[Precio Unitario Neto]]-Tabla4[[#This Row],[20.85%]]</f>
        <v>4928.2541709999996</v>
      </c>
      <c r="M1471" s="282" t="e">
        <f>(INDEX(Tabla6[#All],MATCH(Tabla4[[#This Row],[Producto]],Tabla6[[#All],[PRODUCTO]],0),MATCH(Tabla4[[#This Row],[Mes]],Tabla6[#Headers],0)))*(1+Catalogos!$L$2)</f>
        <v>#N/A</v>
      </c>
      <c r="N1471" s="283" t="e">
        <f>+(Tabla4[[#This Row],[Precio Descontado]]-Tabla4[[#This Row],[Precio Base]])*Tabla4[[#This Row],[Cantidad]]</f>
        <v>#N/A</v>
      </c>
      <c r="O1471" s="284" t="e">
        <f>++Tabla4[[#This Row],[Utilidad Total]]/Tabla4[[#This Row],[Total]]</f>
        <v>#N/A</v>
      </c>
      <c r="P1471" s="282">
        <f>++Tabla4[[#This Row],[Precio Descontado]]*Tabla4[[#This Row],[Cantidad]]</f>
        <v>9856.5083419999992</v>
      </c>
      <c r="Q1471" s="282" t="e">
        <f>(INDEX(Tabla6[#All],MATCH(Tabla4[[#This Row],[Producto]],Tabla6[[#All],[PRODUCTO]],0),MATCH(Tabla4[[#This Row],[Mes]],Tabla6[#Headers],0)))</f>
        <v>#N/A</v>
      </c>
      <c r="R1471" s="282" t="e">
        <f>++Tabla4[[#This Row],[Precio Unitario Neto]]-Tabla4[[#This Row],[20.85%]]-Tabla4[[#This Row],[Costo]]</f>
        <v>#N/A</v>
      </c>
      <c r="S1471" s="282" t="e">
        <f>++Tabla4[[#This Row],[U. Bruta Uni]]*Tabla4[[#This Row],[Cantidad]]</f>
        <v>#N/A</v>
      </c>
      <c r="T1471" s="369" t="str">
        <f>VLOOKUP(Tabla4[[#This Row],[Producto]],Tabla6[#All],14,FALSE)</f>
        <v>Termico Solar</v>
      </c>
      <c r="U1471" s="284" t="e">
        <f>(IF(Tabla4[[#This Row],[Familia]]="termico solar",Tabla4[[#This Row],[Utilidad Total]]*6%,Tabla4[[#This Row],[Utilidad Total]]*11.5%))/Tabla4[[#This Row],[Total]]</f>
        <v>#N/A</v>
      </c>
      <c r="V1471" s="282" t="e">
        <f>+Tabla4[[#This Row],[Comisión Calculada]]*Tabla4[[#This Row],[Total]]</f>
        <v>#N/A</v>
      </c>
    </row>
    <row r="1472" spans="1:22" hidden="1" x14ac:dyDescent="0.25">
      <c r="A1472" s="100">
        <v>45747</v>
      </c>
      <c r="B1472" t="str">
        <f t="shared" si="70"/>
        <v>March</v>
      </c>
      <c r="C1472" s="46" t="s">
        <v>280</v>
      </c>
      <c r="F1472" s="366" t="s">
        <v>1279</v>
      </c>
      <c r="G1472" s="46" t="s">
        <v>83</v>
      </c>
      <c r="H1472" s="46">
        <v>1</v>
      </c>
      <c r="I1472" s="51">
        <v>8858.76</v>
      </c>
      <c r="J1472" s="281">
        <f>++Tabla4[[#This Row],[Precio Bruto]]*1.16</f>
        <v>10276.161599999999</v>
      </c>
      <c r="K1472" s="281">
        <f>+Tabla4[[#This Row],[Precio Unitario Neto]]*Tabla4[[#Headers],[20.85%]]</f>
        <v>2142.5796935999997</v>
      </c>
      <c r="L1472" s="282">
        <f>++Tabla4[[#This Row],[Precio Unitario Neto]]-Tabla4[[#This Row],[20.85%]]</f>
        <v>8133.5819063999998</v>
      </c>
      <c r="M1472" s="282" t="e">
        <f>(INDEX(Tabla6[#All],MATCH(Tabla4[[#This Row],[Producto]],Tabla6[[#All],[PRODUCTO]],0),MATCH(Tabla4[[#This Row],[Mes]],Tabla6[#Headers],0)))*(1+Catalogos!$L$2)</f>
        <v>#N/A</v>
      </c>
      <c r="N1472" s="283" t="e">
        <f>+(Tabla4[[#This Row],[Precio Descontado]]-Tabla4[[#This Row],[Precio Base]])*Tabla4[[#This Row],[Cantidad]]</f>
        <v>#N/A</v>
      </c>
      <c r="O1472" s="284" t="e">
        <f>++Tabla4[[#This Row],[Utilidad Total]]/Tabla4[[#This Row],[Total]]</f>
        <v>#N/A</v>
      </c>
      <c r="P1472" s="282">
        <f>++Tabla4[[#This Row],[Precio Descontado]]*Tabla4[[#This Row],[Cantidad]]</f>
        <v>8133.5819063999998</v>
      </c>
      <c r="Q1472" s="282" t="e">
        <f>(INDEX(Tabla6[#All],MATCH(Tabla4[[#This Row],[Producto]],Tabla6[[#All],[PRODUCTO]],0),MATCH(Tabla4[[#This Row],[Mes]],Tabla6[#Headers],0)))</f>
        <v>#N/A</v>
      </c>
      <c r="R1472" s="282" t="e">
        <f>++Tabla4[[#This Row],[Precio Unitario Neto]]-Tabla4[[#This Row],[20.85%]]-Tabla4[[#This Row],[Costo]]</f>
        <v>#N/A</v>
      </c>
      <c r="S1472" s="282" t="e">
        <f>++Tabla4[[#This Row],[U. Bruta Uni]]*Tabla4[[#This Row],[Cantidad]]</f>
        <v>#N/A</v>
      </c>
      <c r="T1472" s="369" t="str">
        <f>VLOOKUP(Tabla4[[#This Row],[Producto]],Tabla6[#All],14,FALSE)</f>
        <v>Termico Solar</v>
      </c>
      <c r="U1472" s="284" t="e">
        <f>(IF(Tabla4[[#This Row],[Familia]]="termico solar",Tabla4[[#This Row],[Utilidad Total]]*6%,Tabla4[[#This Row],[Utilidad Total]]*11.5%))/Tabla4[[#This Row],[Total]]</f>
        <v>#N/A</v>
      </c>
      <c r="V1472" s="282" t="e">
        <f>+Tabla4[[#This Row],[Comisión Calculada]]*Tabla4[[#This Row],[Total]]</f>
        <v>#N/A</v>
      </c>
    </row>
    <row r="1473" spans="1:22" hidden="1" x14ac:dyDescent="0.25">
      <c r="A1473" s="100">
        <v>45747</v>
      </c>
      <c r="B1473" t="str">
        <f t="shared" si="70"/>
        <v>March</v>
      </c>
      <c r="C1473" s="46" t="s">
        <v>280</v>
      </c>
      <c r="F1473" s="366" t="s">
        <v>1279</v>
      </c>
      <c r="G1473" s="46" t="s">
        <v>17</v>
      </c>
      <c r="H1473" s="46">
        <v>2</v>
      </c>
      <c r="I1473" s="51">
        <v>4622.28</v>
      </c>
      <c r="J1473" s="281">
        <f>++Tabla4[[#This Row],[Precio Bruto]]*1.16</f>
        <v>5361.8447999999989</v>
      </c>
      <c r="K1473" s="281">
        <f>+Tabla4[[#This Row],[Precio Unitario Neto]]*Tabla4[[#Headers],[20.85%]]</f>
        <v>1117.9446407999997</v>
      </c>
      <c r="L1473" s="282">
        <f>++Tabla4[[#This Row],[Precio Unitario Neto]]-Tabla4[[#This Row],[20.85%]]</f>
        <v>4243.9001591999995</v>
      </c>
      <c r="M1473" s="282" t="e">
        <f>(INDEX(Tabla6[#All],MATCH(Tabla4[[#This Row],[Producto]],Tabla6[[#All],[PRODUCTO]],0),MATCH(Tabla4[[#This Row],[Mes]],Tabla6[#Headers],0)))*(1+Catalogos!$L$2)</f>
        <v>#N/A</v>
      </c>
      <c r="N1473" s="283" t="e">
        <f>+(Tabla4[[#This Row],[Precio Descontado]]-Tabla4[[#This Row],[Precio Base]])*Tabla4[[#This Row],[Cantidad]]</f>
        <v>#N/A</v>
      </c>
      <c r="O1473" s="284" t="e">
        <f>++Tabla4[[#This Row],[Utilidad Total]]/Tabla4[[#This Row],[Total]]</f>
        <v>#N/A</v>
      </c>
      <c r="P1473" s="282">
        <f>++Tabla4[[#This Row],[Precio Descontado]]*Tabla4[[#This Row],[Cantidad]]</f>
        <v>8487.800318399999</v>
      </c>
      <c r="Q1473" s="282" t="e">
        <f>(INDEX(Tabla6[#All],MATCH(Tabla4[[#This Row],[Producto]],Tabla6[[#All],[PRODUCTO]],0),MATCH(Tabla4[[#This Row],[Mes]],Tabla6[#Headers],0)))</f>
        <v>#N/A</v>
      </c>
      <c r="R1473" s="282" t="e">
        <f>++Tabla4[[#This Row],[Precio Unitario Neto]]-Tabla4[[#This Row],[20.85%]]-Tabla4[[#This Row],[Costo]]</f>
        <v>#N/A</v>
      </c>
      <c r="S1473" s="282" t="e">
        <f>++Tabla4[[#This Row],[U. Bruta Uni]]*Tabla4[[#This Row],[Cantidad]]</f>
        <v>#N/A</v>
      </c>
      <c r="T1473" s="369" t="str">
        <f>VLOOKUP(Tabla4[[#This Row],[Producto]],Tabla6[#All],14,FALSE)</f>
        <v>Termico Solar</v>
      </c>
      <c r="U1473" s="284" t="e">
        <f>(IF(Tabla4[[#This Row],[Familia]]="termico solar",Tabla4[[#This Row],[Utilidad Total]]*6%,Tabla4[[#This Row],[Utilidad Total]]*11.5%))/Tabla4[[#This Row],[Total]]</f>
        <v>#N/A</v>
      </c>
      <c r="V1473" s="282" t="e">
        <f>+Tabla4[[#This Row],[Comisión Calculada]]*Tabla4[[#This Row],[Total]]</f>
        <v>#N/A</v>
      </c>
    </row>
    <row r="1474" spans="1:22" hidden="1" x14ac:dyDescent="0.25">
      <c r="A1474" s="100">
        <v>45747</v>
      </c>
      <c r="B1474" t="str">
        <f t="shared" si="70"/>
        <v>March</v>
      </c>
      <c r="C1474" s="46" t="s">
        <v>280</v>
      </c>
      <c r="F1474" s="366" t="s">
        <v>1280</v>
      </c>
      <c r="G1474" s="46" t="s">
        <v>18</v>
      </c>
      <c r="H1474" s="46">
        <v>3</v>
      </c>
      <c r="I1474" s="51">
        <v>5367.6500000000005</v>
      </c>
      <c r="J1474" s="281">
        <f>++Tabla4[[#This Row],[Precio Bruto]]*1.16</f>
        <v>6226.4740000000002</v>
      </c>
      <c r="K1474" s="281">
        <f>+Tabla4[[#This Row],[Precio Unitario Neto]]*Tabla4[[#Headers],[20.85%]]</f>
        <v>1298.2198289999999</v>
      </c>
      <c r="L1474" s="282">
        <f>++Tabla4[[#This Row],[Precio Unitario Neto]]-Tabla4[[#This Row],[20.85%]]</f>
        <v>4928.2541710000005</v>
      </c>
      <c r="M1474" s="282" t="e">
        <f>(INDEX(Tabla6[#All],MATCH(Tabla4[[#This Row],[Producto]],Tabla6[[#All],[PRODUCTO]],0),MATCH(Tabla4[[#This Row],[Mes]],Tabla6[#Headers],0)))*(1+Catalogos!$L$2)</f>
        <v>#N/A</v>
      </c>
      <c r="N1474" s="283" t="e">
        <f>+(Tabla4[[#This Row],[Precio Descontado]]-Tabla4[[#This Row],[Precio Base]])*Tabla4[[#This Row],[Cantidad]]</f>
        <v>#N/A</v>
      </c>
      <c r="O1474" s="284" t="e">
        <f>++Tabla4[[#This Row],[Utilidad Total]]/Tabla4[[#This Row],[Total]]</f>
        <v>#N/A</v>
      </c>
      <c r="P1474" s="282">
        <f>++Tabla4[[#This Row],[Precio Descontado]]*Tabla4[[#This Row],[Cantidad]]</f>
        <v>14784.762513000001</v>
      </c>
      <c r="Q1474" s="282" t="e">
        <f>(INDEX(Tabla6[#All],MATCH(Tabla4[[#This Row],[Producto]],Tabla6[[#All],[PRODUCTO]],0),MATCH(Tabla4[[#This Row],[Mes]],Tabla6[#Headers],0)))</f>
        <v>#N/A</v>
      </c>
      <c r="R1474" s="282" t="e">
        <f>++Tabla4[[#This Row],[Precio Unitario Neto]]-Tabla4[[#This Row],[20.85%]]-Tabla4[[#This Row],[Costo]]</f>
        <v>#N/A</v>
      </c>
      <c r="S1474" s="282" t="e">
        <f>++Tabla4[[#This Row],[U. Bruta Uni]]*Tabla4[[#This Row],[Cantidad]]</f>
        <v>#N/A</v>
      </c>
      <c r="T1474" s="369" t="str">
        <f>VLOOKUP(Tabla4[[#This Row],[Producto]],Tabla6[#All],14,FALSE)</f>
        <v>Termico Solar</v>
      </c>
      <c r="U1474" s="284" t="e">
        <f>(IF(Tabla4[[#This Row],[Familia]]="termico solar",Tabla4[[#This Row],[Utilidad Total]]*6%,Tabla4[[#This Row],[Utilidad Total]]*11.5%))/Tabla4[[#This Row],[Total]]</f>
        <v>#N/A</v>
      </c>
      <c r="V1474" s="282" t="e">
        <f>+Tabla4[[#This Row],[Comisión Calculada]]*Tabla4[[#This Row],[Total]]</f>
        <v>#N/A</v>
      </c>
    </row>
    <row r="1475" spans="1:22" hidden="1" x14ac:dyDescent="0.25">
      <c r="A1475" s="100">
        <v>45747</v>
      </c>
      <c r="B1475" t="str">
        <f t="shared" si="70"/>
        <v>March</v>
      </c>
      <c r="C1475" s="46" t="s">
        <v>280</v>
      </c>
      <c r="F1475" s="366" t="s">
        <v>1280</v>
      </c>
      <c r="G1475" s="46" t="s">
        <v>19</v>
      </c>
      <c r="H1475" s="46">
        <v>1</v>
      </c>
      <c r="I1475" s="51">
        <v>6412.03</v>
      </c>
      <c r="J1475" s="281">
        <f>++Tabla4[[#This Row],[Precio Bruto]]*1.16</f>
        <v>7437.9547999999995</v>
      </c>
      <c r="K1475" s="281">
        <f>+Tabla4[[#This Row],[Precio Unitario Neto]]*Tabla4[[#Headers],[20.85%]]</f>
        <v>1550.8135757999999</v>
      </c>
      <c r="L1475" s="282">
        <f>++Tabla4[[#This Row],[Precio Unitario Neto]]-Tabla4[[#This Row],[20.85%]]</f>
        <v>5887.1412241999997</v>
      </c>
      <c r="M1475" s="282" t="e">
        <f>(INDEX(Tabla6[#All],MATCH(Tabla4[[#This Row],[Producto]],Tabla6[[#All],[PRODUCTO]],0),MATCH(Tabla4[[#This Row],[Mes]],Tabla6[#Headers],0)))*(1+Catalogos!$L$2)</f>
        <v>#N/A</v>
      </c>
      <c r="N1475" s="283" t="e">
        <f>+(Tabla4[[#This Row],[Precio Descontado]]-Tabla4[[#This Row],[Precio Base]])*Tabla4[[#This Row],[Cantidad]]</f>
        <v>#N/A</v>
      </c>
      <c r="O1475" s="284" t="e">
        <f>++Tabla4[[#This Row],[Utilidad Total]]/Tabla4[[#This Row],[Total]]</f>
        <v>#N/A</v>
      </c>
      <c r="P1475" s="282">
        <f>++Tabla4[[#This Row],[Precio Descontado]]*Tabla4[[#This Row],[Cantidad]]</f>
        <v>5887.1412241999997</v>
      </c>
      <c r="Q1475" s="282" t="e">
        <f>(INDEX(Tabla6[#All],MATCH(Tabla4[[#This Row],[Producto]],Tabla6[[#All],[PRODUCTO]],0),MATCH(Tabla4[[#This Row],[Mes]],Tabla6[#Headers],0)))</f>
        <v>#N/A</v>
      </c>
      <c r="R1475" s="282" t="e">
        <f>++Tabla4[[#This Row],[Precio Unitario Neto]]-Tabla4[[#This Row],[20.85%]]-Tabla4[[#This Row],[Costo]]</f>
        <v>#N/A</v>
      </c>
      <c r="S1475" s="282" t="e">
        <f>++Tabla4[[#This Row],[U. Bruta Uni]]*Tabla4[[#This Row],[Cantidad]]</f>
        <v>#N/A</v>
      </c>
      <c r="T1475" s="369" t="str">
        <f>VLOOKUP(Tabla4[[#This Row],[Producto]],Tabla6[#All],14,FALSE)</f>
        <v>Termico Solar</v>
      </c>
      <c r="U1475" s="284" t="e">
        <f>(IF(Tabla4[[#This Row],[Familia]]="termico solar",Tabla4[[#This Row],[Utilidad Total]]*6%,Tabla4[[#This Row],[Utilidad Total]]*11.5%))/Tabla4[[#This Row],[Total]]</f>
        <v>#N/A</v>
      </c>
      <c r="V1475" s="282" t="e">
        <f>+Tabla4[[#This Row],[Comisión Calculada]]*Tabla4[[#This Row],[Total]]</f>
        <v>#N/A</v>
      </c>
    </row>
    <row r="1476" spans="1:22" hidden="1" x14ac:dyDescent="0.25">
      <c r="A1476" s="100">
        <v>45747</v>
      </c>
      <c r="B1476" t="str">
        <f t="shared" si="70"/>
        <v>March</v>
      </c>
      <c r="C1476" s="46" t="s">
        <v>280</v>
      </c>
      <c r="F1476" s="366" t="s">
        <v>1280</v>
      </c>
      <c r="G1476" s="46" t="s">
        <v>208</v>
      </c>
      <c r="H1476" s="46">
        <v>2</v>
      </c>
      <c r="I1476" s="51">
        <v>189.75</v>
      </c>
      <c r="J1476" s="281">
        <f>++Tabla4[[#This Row],[Precio Bruto]]*1.16</f>
        <v>220.10999999999999</v>
      </c>
      <c r="K1476" s="281">
        <f>+Tabla4[[#This Row],[Precio Unitario Neto]]*Tabla4[[#Headers],[20.85%]]</f>
        <v>45.892934999999994</v>
      </c>
      <c r="L1476" s="282">
        <f>++Tabla4[[#This Row],[Precio Unitario Neto]]-Tabla4[[#This Row],[20.85%]]</f>
        <v>174.21706499999999</v>
      </c>
      <c r="M1476" s="282" t="e">
        <f>(INDEX(Tabla6[#All],MATCH(Tabla4[[#This Row],[Producto]],Tabla6[[#All],[PRODUCTO]],0),MATCH(Tabla4[[#This Row],[Mes]],Tabla6[#Headers],0)))*(1+Catalogos!$L$2)</f>
        <v>#N/A</v>
      </c>
      <c r="N1476" s="283" t="e">
        <f>+(Tabla4[[#This Row],[Precio Descontado]]-Tabla4[[#This Row],[Precio Base]])*Tabla4[[#This Row],[Cantidad]]</f>
        <v>#N/A</v>
      </c>
      <c r="O1476" s="284" t="e">
        <f>++Tabla4[[#This Row],[Utilidad Total]]/Tabla4[[#This Row],[Total]]</f>
        <v>#N/A</v>
      </c>
      <c r="P1476" s="282">
        <f>++Tabla4[[#This Row],[Precio Descontado]]*Tabla4[[#This Row],[Cantidad]]</f>
        <v>348.43412999999998</v>
      </c>
      <c r="Q1476" s="282" t="e">
        <f>(INDEX(Tabla6[#All],MATCH(Tabla4[[#This Row],[Producto]],Tabla6[[#All],[PRODUCTO]],0),MATCH(Tabla4[[#This Row],[Mes]],Tabla6[#Headers],0)))</f>
        <v>#N/A</v>
      </c>
      <c r="R1476" s="282" t="e">
        <f>++Tabla4[[#This Row],[Precio Unitario Neto]]-Tabla4[[#This Row],[20.85%]]-Tabla4[[#This Row],[Costo]]</f>
        <v>#N/A</v>
      </c>
      <c r="S1476" s="282" t="e">
        <f>++Tabla4[[#This Row],[U. Bruta Uni]]*Tabla4[[#This Row],[Cantidad]]</f>
        <v>#N/A</v>
      </c>
      <c r="T1476" s="369" t="str">
        <f>VLOOKUP(Tabla4[[#This Row],[Producto]],Tabla6[#All],14,FALSE)</f>
        <v>Termico Solar</v>
      </c>
      <c r="U1476" s="284" t="e">
        <f>(IF(Tabla4[[#This Row],[Familia]]="termico solar",Tabla4[[#This Row],[Utilidad Total]]*6%,Tabla4[[#This Row],[Utilidad Total]]*11.5%))/Tabla4[[#This Row],[Total]]</f>
        <v>#N/A</v>
      </c>
      <c r="V1476" s="282" t="e">
        <f>+Tabla4[[#This Row],[Comisión Calculada]]*Tabla4[[#This Row],[Total]]</f>
        <v>#N/A</v>
      </c>
    </row>
    <row r="1477" spans="1:22" hidden="1" x14ac:dyDescent="0.25">
      <c r="A1477" s="100">
        <v>45747</v>
      </c>
      <c r="B1477" t="str">
        <f t="shared" si="70"/>
        <v>March</v>
      </c>
      <c r="C1477" s="46" t="s">
        <v>280</v>
      </c>
      <c r="F1477" s="366" t="s">
        <v>1281</v>
      </c>
      <c r="G1477" s="46" t="s">
        <v>208</v>
      </c>
      <c r="H1477" s="46">
        <v>15</v>
      </c>
      <c r="I1477" s="51">
        <v>140.63</v>
      </c>
      <c r="J1477" s="281">
        <f>++Tabla4[[#This Row],[Precio Bruto]]*1.16</f>
        <v>163.13079999999999</v>
      </c>
      <c r="K1477" s="281">
        <f>+Tabla4[[#This Row],[Precio Unitario Neto]]*Tabla4[[#Headers],[20.85%]]</f>
        <v>34.012771799999996</v>
      </c>
      <c r="L1477" s="282">
        <f>++Tabla4[[#This Row],[Precio Unitario Neto]]-Tabla4[[#This Row],[20.85%]]</f>
        <v>129.1180282</v>
      </c>
      <c r="M1477" s="282" t="e">
        <f>(INDEX(Tabla6[#All],MATCH(Tabla4[[#This Row],[Producto]],Tabla6[[#All],[PRODUCTO]],0),MATCH(Tabla4[[#This Row],[Mes]],Tabla6[#Headers],0)))*(1+Catalogos!$L$2)</f>
        <v>#N/A</v>
      </c>
      <c r="N1477" s="283" t="e">
        <f>+(Tabla4[[#This Row],[Precio Descontado]]-Tabla4[[#This Row],[Precio Base]])*Tabla4[[#This Row],[Cantidad]]</f>
        <v>#N/A</v>
      </c>
      <c r="O1477" s="284" t="e">
        <f>++Tabla4[[#This Row],[Utilidad Total]]/Tabla4[[#This Row],[Total]]</f>
        <v>#N/A</v>
      </c>
      <c r="P1477" s="282">
        <f>++Tabla4[[#This Row],[Precio Descontado]]*Tabla4[[#This Row],[Cantidad]]</f>
        <v>1936.7704229999999</v>
      </c>
      <c r="Q1477" s="282" t="e">
        <f>(INDEX(Tabla6[#All],MATCH(Tabla4[[#This Row],[Producto]],Tabla6[[#All],[PRODUCTO]],0),MATCH(Tabla4[[#This Row],[Mes]],Tabla6[#Headers],0)))</f>
        <v>#N/A</v>
      </c>
      <c r="R1477" s="282" t="e">
        <f>++Tabla4[[#This Row],[Precio Unitario Neto]]-Tabla4[[#This Row],[20.85%]]-Tabla4[[#This Row],[Costo]]</f>
        <v>#N/A</v>
      </c>
      <c r="S1477" s="282" t="e">
        <f>++Tabla4[[#This Row],[U. Bruta Uni]]*Tabla4[[#This Row],[Cantidad]]</f>
        <v>#N/A</v>
      </c>
      <c r="T1477" s="369" t="str">
        <f>VLOOKUP(Tabla4[[#This Row],[Producto]],Tabla6[#All],14,FALSE)</f>
        <v>Termico Solar</v>
      </c>
      <c r="U1477" s="284" t="e">
        <f>(IF(Tabla4[[#This Row],[Familia]]="termico solar",Tabla4[[#This Row],[Utilidad Total]]*6%,Tabla4[[#This Row],[Utilidad Total]]*11.5%))/Tabla4[[#This Row],[Total]]</f>
        <v>#N/A</v>
      </c>
      <c r="V1477" s="282" t="e">
        <f>+Tabla4[[#This Row],[Comisión Calculada]]*Tabla4[[#This Row],[Total]]</f>
        <v>#N/A</v>
      </c>
    </row>
    <row r="1478" spans="1:22" hidden="1" x14ac:dyDescent="0.25">
      <c r="A1478" s="100">
        <v>45747</v>
      </c>
      <c r="B1478" t="str">
        <f t="shared" ref="B1478:B1483" si="71">TEXT(A1478, "mmmm")</f>
        <v>March</v>
      </c>
      <c r="C1478" s="46" t="s">
        <v>280</v>
      </c>
      <c r="F1478" s="366" t="s">
        <v>1282</v>
      </c>
      <c r="G1478" s="46" t="s">
        <v>17</v>
      </c>
      <c r="H1478" s="46">
        <v>1</v>
      </c>
      <c r="I1478" s="51">
        <v>4622.28</v>
      </c>
      <c r="J1478" s="281">
        <f>++Tabla4[[#This Row],[Precio Bruto]]*1.16</f>
        <v>5361.8447999999989</v>
      </c>
      <c r="K1478" s="281">
        <f>+Tabla4[[#This Row],[Precio Unitario Neto]]*Tabla4[[#Headers],[20.85%]]</f>
        <v>1117.9446407999997</v>
      </c>
      <c r="L1478" s="282">
        <f>++Tabla4[[#This Row],[Precio Unitario Neto]]-Tabla4[[#This Row],[20.85%]]</f>
        <v>4243.9001591999995</v>
      </c>
      <c r="M1478" s="282" t="e">
        <f>(INDEX(Tabla6[#All],MATCH(Tabla4[[#This Row],[Producto]],Tabla6[[#All],[PRODUCTO]],0),MATCH(Tabla4[[#This Row],[Mes]],Tabla6[#Headers],0)))*(1+Catalogos!$L$2)</f>
        <v>#N/A</v>
      </c>
      <c r="N1478" s="283" t="e">
        <f>+(Tabla4[[#This Row],[Precio Descontado]]-Tabla4[[#This Row],[Precio Base]])*Tabla4[[#This Row],[Cantidad]]</f>
        <v>#N/A</v>
      </c>
      <c r="O1478" s="284" t="e">
        <f>++Tabla4[[#This Row],[Utilidad Total]]/Tabla4[[#This Row],[Total]]</f>
        <v>#N/A</v>
      </c>
      <c r="P1478" s="282">
        <f>++Tabla4[[#This Row],[Precio Descontado]]*Tabla4[[#This Row],[Cantidad]]</f>
        <v>4243.9001591999995</v>
      </c>
      <c r="Q1478" s="282" t="e">
        <f>(INDEX(Tabla6[#All],MATCH(Tabla4[[#This Row],[Producto]],Tabla6[[#All],[PRODUCTO]],0),MATCH(Tabla4[[#This Row],[Mes]],Tabla6[#Headers],0)))</f>
        <v>#N/A</v>
      </c>
      <c r="R1478" s="282" t="e">
        <f>++Tabla4[[#This Row],[Precio Unitario Neto]]-Tabla4[[#This Row],[20.85%]]-Tabla4[[#This Row],[Costo]]</f>
        <v>#N/A</v>
      </c>
      <c r="S1478" s="282" t="e">
        <f>++Tabla4[[#This Row],[U. Bruta Uni]]*Tabla4[[#This Row],[Cantidad]]</f>
        <v>#N/A</v>
      </c>
      <c r="T1478" s="369" t="str">
        <f>VLOOKUP(Tabla4[[#This Row],[Producto]],Tabla6[#All],14,FALSE)</f>
        <v>Termico Solar</v>
      </c>
      <c r="U1478" s="284" t="e">
        <f>(IF(Tabla4[[#This Row],[Familia]]="termico solar",Tabla4[[#This Row],[Utilidad Total]]*6%,Tabla4[[#This Row],[Utilidad Total]]*11.5%))/Tabla4[[#This Row],[Total]]</f>
        <v>#N/A</v>
      </c>
      <c r="V1478" s="282" t="e">
        <f>+Tabla4[[#This Row],[Comisión Calculada]]*Tabla4[[#This Row],[Total]]</f>
        <v>#N/A</v>
      </c>
    </row>
    <row r="1479" spans="1:22" hidden="1" x14ac:dyDescent="0.25">
      <c r="A1479" s="100">
        <v>45747</v>
      </c>
      <c r="B1479" t="str">
        <f t="shared" si="71"/>
        <v>March</v>
      </c>
      <c r="C1479" s="46" t="s">
        <v>280</v>
      </c>
      <c r="F1479" s="366" t="s">
        <v>1282</v>
      </c>
      <c r="G1479" s="46" t="s">
        <v>18</v>
      </c>
      <c r="H1479" s="46">
        <v>2</v>
      </c>
      <c r="I1479" s="51">
        <v>5367.65</v>
      </c>
      <c r="J1479" s="281">
        <f>++Tabla4[[#This Row],[Precio Bruto]]*1.16</f>
        <v>6226.4739999999993</v>
      </c>
      <c r="K1479" s="281">
        <f>+Tabla4[[#This Row],[Precio Unitario Neto]]*Tabla4[[#Headers],[20.85%]]</f>
        <v>1298.2198289999999</v>
      </c>
      <c r="L1479" s="282">
        <f>++Tabla4[[#This Row],[Precio Unitario Neto]]-Tabla4[[#This Row],[20.85%]]</f>
        <v>4928.2541709999996</v>
      </c>
      <c r="M1479" s="282" t="e">
        <f>(INDEX(Tabla6[#All],MATCH(Tabla4[[#This Row],[Producto]],Tabla6[[#All],[PRODUCTO]],0),MATCH(Tabla4[[#This Row],[Mes]],Tabla6[#Headers],0)))*(1+Catalogos!$L$2)</f>
        <v>#N/A</v>
      </c>
      <c r="N1479" s="283" t="e">
        <f>+(Tabla4[[#This Row],[Precio Descontado]]-Tabla4[[#This Row],[Precio Base]])*Tabla4[[#This Row],[Cantidad]]</f>
        <v>#N/A</v>
      </c>
      <c r="O1479" s="284" t="e">
        <f>++Tabla4[[#This Row],[Utilidad Total]]/Tabla4[[#This Row],[Total]]</f>
        <v>#N/A</v>
      </c>
      <c r="P1479" s="282">
        <f>++Tabla4[[#This Row],[Precio Descontado]]*Tabla4[[#This Row],[Cantidad]]</f>
        <v>9856.5083419999992</v>
      </c>
      <c r="Q1479" s="282" t="e">
        <f>(INDEX(Tabla6[#All],MATCH(Tabla4[[#This Row],[Producto]],Tabla6[[#All],[PRODUCTO]],0),MATCH(Tabla4[[#This Row],[Mes]],Tabla6[#Headers],0)))</f>
        <v>#N/A</v>
      </c>
      <c r="R1479" s="282" t="e">
        <f>++Tabla4[[#This Row],[Precio Unitario Neto]]-Tabla4[[#This Row],[20.85%]]-Tabla4[[#This Row],[Costo]]</f>
        <v>#N/A</v>
      </c>
      <c r="S1479" s="282" t="e">
        <f>++Tabla4[[#This Row],[U. Bruta Uni]]*Tabla4[[#This Row],[Cantidad]]</f>
        <v>#N/A</v>
      </c>
      <c r="T1479" s="369" t="str">
        <f>VLOOKUP(Tabla4[[#This Row],[Producto]],Tabla6[#All],14,FALSE)</f>
        <v>Termico Solar</v>
      </c>
      <c r="U1479" s="284" t="e">
        <f>(IF(Tabla4[[#This Row],[Familia]]="termico solar",Tabla4[[#This Row],[Utilidad Total]]*6%,Tabla4[[#This Row],[Utilidad Total]]*11.5%))/Tabla4[[#This Row],[Total]]</f>
        <v>#N/A</v>
      </c>
      <c r="V1479" s="282" t="e">
        <f>+Tabla4[[#This Row],[Comisión Calculada]]*Tabla4[[#This Row],[Total]]</f>
        <v>#N/A</v>
      </c>
    </row>
    <row r="1480" spans="1:22" hidden="1" x14ac:dyDescent="0.25">
      <c r="A1480" s="100">
        <v>45747</v>
      </c>
      <c r="B1480" t="str">
        <f t="shared" si="71"/>
        <v>March</v>
      </c>
      <c r="C1480" s="46" t="s">
        <v>280</v>
      </c>
      <c r="F1480" s="366" t="s">
        <v>1282</v>
      </c>
      <c r="G1480" s="46" t="s">
        <v>19</v>
      </c>
      <c r="H1480" s="46">
        <v>2</v>
      </c>
      <c r="I1480" s="51">
        <v>6412.03</v>
      </c>
      <c r="J1480" s="281">
        <f>++Tabla4[[#This Row],[Precio Bruto]]*1.16</f>
        <v>7437.9547999999995</v>
      </c>
      <c r="K1480" s="281">
        <f>+Tabla4[[#This Row],[Precio Unitario Neto]]*Tabla4[[#Headers],[20.85%]]</f>
        <v>1550.8135757999999</v>
      </c>
      <c r="L1480" s="282">
        <f>++Tabla4[[#This Row],[Precio Unitario Neto]]-Tabla4[[#This Row],[20.85%]]</f>
        <v>5887.1412241999997</v>
      </c>
      <c r="M1480" s="282" t="e">
        <f>(INDEX(Tabla6[#All],MATCH(Tabla4[[#This Row],[Producto]],Tabla6[[#All],[PRODUCTO]],0),MATCH(Tabla4[[#This Row],[Mes]],Tabla6[#Headers],0)))*(1+Catalogos!$L$2)</f>
        <v>#N/A</v>
      </c>
      <c r="N1480" s="283" t="e">
        <f>+(Tabla4[[#This Row],[Precio Descontado]]-Tabla4[[#This Row],[Precio Base]])*Tabla4[[#This Row],[Cantidad]]</f>
        <v>#N/A</v>
      </c>
      <c r="O1480" s="284" t="e">
        <f>++Tabla4[[#This Row],[Utilidad Total]]/Tabla4[[#This Row],[Total]]</f>
        <v>#N/A</v>
      </c>
      <c r="P1480" s="282">
        <f>++Tabla4[[#This Row],[Precio Descontado]]*Tabla4[[#This Row],[Cantidad]]</f>
        <v>11774.282448399999</v>
      </c>
      <c r="Q1480" s="282" t="e">
        <f>(INDEX(Tabla6[#All],MATCH(Tabla4[[#This Row],[Producto]],Tabla6[[#All],[PRODUCTO]],0),MATCH(Tabla4[[#This Row],[Mes]],Tabla6[#Headers],0)))</f>
        <v>#N/A</v>
      </c>
      <c r="R1480" s="282" t="e">
        <f>++Tabla4[[#This Row],[Precio Unitario Neto]]-Tabla4[[#This Row],[20.85%]]-Tabla4[[#This Row],[Costo]]</f>
        <v>#N/A</v>
      </c>
      <c r="S1480" s="282" t="e">
        <f>++Tabla4[[#This Row],[U. Bruta Uni]]*Tabla4[[#This Row],[Cantidad]]</f>
        <v>#N/A</v>
      </c>
      <c r="T1480" s="369" t="str">
        <f>VLOOKUP(Tabla4[[#This Row],[Producto]],Tabla6[#All],14,FALSE)</f>
        <v>Termico Solar</v>
      </c>
      <c r="U1480" s="284" t="e">
        <f>(IF(Tabla4[[#This Row],[Familia]]="termico solar",Tabla4[[#This Row],[Utilidad Total]]*6%,Tabla4[[#This Row],[Utilidad Total]]*11.5%))/Tabla4[[#This Row],[Total]]</f>
        <v>#N/A</v>
      </c>
      <c r="V1480" s="282" t="e">
        <f>+Tabla4[[#This Row],[Comisión Calculada]]*Tabla4[[#This Row],[Total]]</f>
        <v>#N/A</v>
      </c>
    </row>
    <row r="1481" spans="1:22" hidden="1" x14ac:dyDescent="0.25">
      <c r="A1481" s="100">
        <v>45747</v>
      </c>
      <c r="B1481" t="str">
        <f t="shared" si="71"/>
        <v>March</v>
      </c>
      <c r="C1481" s="46" t="s">
        <v>280</v>
      </c>
      <c r="F1481" s="366" t="s">
        <v>1282</v>
      </c>
      <c r="G1481" s="46" t="s">
        <v>208</v>
      </c>
      <c r="H1481" s="46">
        <v>15</v>
      </c>
      <c r="I1481" s="51">
        <v>140.63</v>
      </c>
      <c r="J1481" s="281">
        <f>++Tabla4[[#This Row],[Precio Bruto]]*1.16</f>
        <v>163.13079999999999</v>
      </c>
      <c r="K1481" s="281">
        <f>+Tabla4[[#This Row],[Precio Unitario Neto]]*Tabla4[[#Headers],[20.85%]]</f>
        <v>34.012771799999996</v>
      </c>
      <c r="L1481" s="282">
        <f>++Tabla4[[#This Row],[Precio Unitario Neto]]-Tabla4[[#This Row],[20.85%]]</f>
        <v>129.1180282</v>
      </c>
      <c r="M1481" s="282" t="e">
        <f>(INDEX(Tabla6[#All],MATCH(Tabla4[[#This Row],[Producto]],Tabla6[[#All],[PRODUCTO]],0),MATCH(Tabla4[[#This Row],[Mes]],Tabla6[#Headers],0)))*(1+Catalogos!$L$2)</f>
        <v>#N/A</v>
      </c>
      <c r="N1481" s="283" t="e">
        <f>+(Tabla4[[#This Row],[Precio Descontado]]-Tabla4[[#This Row],[Precio Base]])*Tabla4[[#This Row],[Cantidad]]</f>
        <v>#N/A</v>
      </c>
      <c r="O1481" s="284" t="e">
        <f>++Tabla4[[#This Row],[Utilidad Total]]/Tabla4[[#This Row],[Total]]</f>
        <v>#N/A</v>
      </c>
      <c r="P1481" s="282">
        <f>++Tabla4[[#This Row],[Precio Descontado]]*Tabla4[[#This Row],[Cantidad]]</f>
        <v>1936.7704229999999</v>
      </c>
      <c r="Q1481" s="282" t="e">
        <f>(INDEX(Tabla6[#All],MATCH(Tabla4[[#This Row],[Producto]],Tabla6[[#All],[PRODUCTO]],0),MATCH(Tabla4[[#This Row],[Mes]],Tabla6[#Headers],0)))</f>
        <v>#N/A</v>
      </c>
      <c r="R1481" s="282" t="e">
        <f>++Tabla4[[#This Row],[Precio Unitario Neto]]-Tabla4[[#This Row],[20.85%]]-Tabla4[[#This Row],[Costo]]</f>
        <v>#N/A</v>
      </c>
      <c r="S1481" s="282" t="e">
        <f>++Tabla4[[#This Row],[U. Bruta Uni]]*Tabla4[[#This Row],[Cantidad]]</f>
        <v>#N/A</v>
      </c>
      <c r="T1481" s="369" t="str">
        <f>VLOOKUP(Tabla4[[#This Row],[Producto]],Tabla6[#All],14,FALSE)</f>
        <v>Termico Solar</v>
      </c>
      <c r="U1481" s="284" t="e">
        <f>(IF(Tabla4[[#This Row],[Familia]]="termico solar",Tabla4[[#This Row],[Utilidad Total]]*6%,Tabla4[[#This Row],[Utilidad Total]]*11.5%))/Tabla4[[#This Row],[Total]]</f>
        <v>#N/A</v>
      </c>
      <c r="V1481" s="282" t="e">
        <f>+Tabla4[[#This Row],[Comisión Calculada]]*Tabla4[[#This Row],[Total]]</f>
        <v>#N/A</v>
      </c>
    </row>
    <row r="1482" spans="1:22" hidden="1" x14ac:dyDescent="0.25">
      <c r="A1482" s="100">
        <v>45747</v>
      </c>
      <c r="B1482" t="str">
        <f t="shared" si="71"/>
        <v>March</v>
      </c>
      <c r="C1482" s="46" t="s">
        <v>280</v>
      </c>
      <c r="F1482" s="366" t="s">
        <v>1282</v>
      </c>
      <c r="G1482" s="46" t="s">
        <v>394</v>
      </c>
      <c r="H1482" s="46">
        <v>16</v>
      </c>
      <c r="I1482" s="51">
        <v>224.29</v>
      </c>
      <c r="J1482" s="281">
        <f>++Tabla4[[#This Row],[Precio Bruto]]*1.16</f>
        <v>260.1764</v>
      </c>
      <c r="K1482" s="281">
        <f>+Tabla4[[#This Row],[Precio Unitario Neto]]*Tabla4[[#Headers],[20.85%]]</f>
        <v>54.246779400000001</v>
      </c>
      <c r="L1482" s="282">
        <f>++Tabla4[[#This Row],[Precio Unitario Neto]]-Tabla4[[#This Row],[20.85%]]</f>
        <v>205.92962059999999</v>
      </c>
      <c r="M1482" s="282" t="e">
        <f>(INDEX(Tabla6[#All],MATCH(Tabla4[[#This Row],[Producto]],Tabla6[[#All],[PRODUCTO]],0),MATCH(Tabla4[[#This Row],[Mes]],Tabla6[#Headers],0)))*(1+Catalogos!$L$2)</f>
        <v>#N/A</v>
      </c>
      <c r="N1482" s="283" t="e">
        <f>+(Tabla4[[#This Row],[Precio Descontado]]-Tabla4[[#This Row],[Precio Base]])*Tabla4[[#This Row],[Cantidad]]</f>
        <v>#N/A</v>
      </c>
      <c r="O1482" s="284" t="e">
        <f>++Tabla4[[#This Row],[Utilidad Total]]/Tabla4[[#This Row],[Total]]</f>
        <v>#N/A</v>
      </c>
      <c r="P1482" s="282">
        <f>++Tabla4[[#This Row],[Precio Descontado]]*Tabla4[[#This Row],[Cantidad]]</f>
        <v>3294.8739295999999</v>
      </c>
      <c r="Q1482" s="282" t="e">
        <f>(INDEX(Tabla6[#All],MATCH(Tabla4[[#This Row],[Producto]],Tabla6[[#All],[PRODUCTO]],0),MATCH(Tabla4[[#This Row],[Mes]],Tabla6[#Headers],0)))</f>
        <v>#N/A</v>
      </c>
      <c r="R1482" s="282" t="e">
        <f>++Tabla4[[#This Row],[Precio Unitario Neto]]-Tabla4[[#This Row],[20.85%]]-Tabla4[[#This Row],[Costo]]</f>
        <v>#N/A</v>
      </c>
      <c r="S1482" s="282" t="e">
        <f>++Tabla4[[#This Row],[U. Bruta Uni]]*Tabla4[[#This Row],[Cantidad]]</f>
        <v>#N/A</v>
      </c>
      <c r="T1482" s="369" t="str">
        <f>VLOOKUP(Tabla4[[#This Row],[Producto]],Tabla6[#All],14,FALSE)</f>
        <v>Termico Solar</v>
      </c>
      <c r="U1482" s="284" t="e">
        <f>(IF(Tabla4[[#This Row],[Familia]]="termico solar",Tabla4[[#This Row],[Utilidad Total]]*6%,Tabla4[[#This Row],[Utilidad Total]]*11.5%))/Tabla4[[#This Row],[Total]]</f>
        <v>#N/A</v>
      </c>
      <c r="V1482" s="282" t="e">
        <f>+Tabla4[[#This Row],[Comisión Calculada]]*Tabla4[[#This Row],[Total]]</f>
        <v>#N/A</v>
      </c>
    </row>
    <row r="1483" spans="1:22" hidden="1" x14ac:dyDescent="0.25">
      <c r="A1483" s="100">
        <v>45747</v>
      </c>
      <c r="B1483" t="str">
        <f t="shared" si="71"/>
        <v>March</v>
      </c>
      <c r="C1483" s="46" t="s">
        <v>280</v>
      </c>
      <c r="F1483" s="366" t="s">
        <v>1282</v>
      </c>
      <c r="G1483" s="46" t="s">
        <v>208</v>
      </c>
      <c r="H1483" s="46">
        <v>1</v>
      </c>
      <c r="I1483" s="51">
        <v>189.75</v>
      </c>
      <c r="J1483" s="281">
        <f>++Tabla4[[#This Row],[Precio Bruto]]*1.16</f>
        <v>220.10999999999999</v>
      </c>
      <c r="K1483" s="281">
        <f>+Tabla4[[#This Row],[Precio Unitario Neto]]*Tabla4[[#Headers],[20.85%]]</f>
        <v>45.892934999999994</v>
      </c>
      <c r="L1483" s="282">
        <f>++Tabla4[[#This Row],[Precio Unitario Neto]]-Tabla4[[#This Row],[20.85%]]</f>
        <v>174.21706499999999</v>
      </c>
      <c r="M1483" s="282" t="e">
        <f>(INDEX(Tabla6[#All],MATCH(Tabla4[[#This Row],[Producto]],Tabla6[[#All],[PRODUCTO]],0),MATCH(Tabla4[[#This Row],[Mes]],Tabla6[#Headers],0)))*(1+Catalogos!$L$2)</f>
        <v>#N/A</v>
      </c>
      <c r="N1483" s="283" t="e">
        <f>+(Tabla4[[#This Row],[Precio Descontado]]-Tabla4[[#This Row],[Precio Base]])*Tabla4[[#This Row],[Cantidad]]</f>
        <v>#N/A</v>
      </c>
      <c r="O1483" s="284" t="e">
        <f>++Tabla4[[#This Row],[Utilidad Total]]/Tabla4[[#This Row],[Total]]</f>
        <v>#N/A</v>
      </c>
      <c r="P1483" s="282">
        <f>++Tabla4[[#This Row],[Precio Descontado]]*Tabla4[[#This Row],[Cantidad]]</f>
        <v>174.21706499999999</v>
      </c>
      <c r="Q1483" s="282" t="e">
        <f>(INDEX(Tabla6[#All],MATCH(Tabla4[[#This Row],[Producto]],Tabla6[[#All],[PRODUCTO]],0),MATCH(Tabla4[[#This Row],[Mes]],Tabla6[#Headers],0)))</f>
        <v>#N/A</v>
      </c>
      <c r="R1483" s="282" t="e">
        <f>++Tabla4[[#This Row],[Precio Unitario Neto]]-Tabla4[[#This Row],[20.85%]]-Tabla4[[#This Row],[Costo]]</f>
        <v>#N/A</v>
      </c>
      <c r="S1483" s="282" t="e">
        <f>++Tabla4[[#This Row],[U. Bruta Uni]]*Tabla4[[#This Row],[Cantidad]]</f>
        <v>#N/A</v>
      </c>
      <c r="T1483" s="369" t="str">
        <f>VLOOKUP(Tabla4[[#This Row],[Producto]],Tabla6[#All],14,FALSE)</f>
        <v>Termico Solar</v>
      </c>
      <c r="U1483" s="284" t="e">
        <f>(IF(Tabla4[[#This Row],[Familia]]="termico solar",Tabla4[[#This Row],[Utilidad Total]]*6%,Tabla4[[#This Row],[Utilidad Total]]*11.5%))/Tabla4[[#This Row],[Total]]</f>
        <v>#N/A</v>
      </c>
      <c r="V1483" s="282" t="e">
        <f>+Tabla4[[#This Row],[Comisión Calculada]]*Tabla4[[#This Row],[Total]]</f>
        <v>#N/A</v>
      </c>
    </row>
    <row r="1484" spans="1:22" hidden="1" x14ac:dyDescent="0.25">
      <c r="A1484" s="100">
        <v>45747</v>
      </c>
      <c r="B1484" t="str">
        <f t="shared" ref="B1484:B1521" si="72">TEXT(A1484, "mmmm")</f>
        <v>March</v>
      </c>
      <c r="C1484" s="46" t="s">
        <v>280</v>
      </c>
      <c r="F1484" s="366" t="s">
        <v>1283</v>
      </c>
      <c r="G1484" s="46" t="s">
        <v>16</v>
      </c>
      <c r="H1484" s="46">
        <v>2</v>
      </c>
      <c r="I1484" s="51">
        <v>4103.8500000000004</v>
      </c>
      <c r="J1484" s="281">
        <f>++Tabla4[[#This Row],[Precio Bruto]]*1.16</f>
        <v>4760.4660000000003</v>
      </c>
      <c r="K1484" s="281">
        <f>+Tabla4[[#This Row],[Precio Unitario Neto]]*Tabla4[[#Headers],[20.85%]]</f>
        <v>992.55716100000006</v>
      </c>
      <c r="L1484" s="282">
        <f>++Tabla4[[#This Row],[Precio Unitario Neto]]-Tabla4[[#This Row],[20.85%]]</f>
        <v>3767.9088390000002</v>
      </c>
      <c r="M1484" s="282" t="e">
        <f>(INDEX(Tabla6[#All],MATCH(Tabla4[[#This Row],[Producto]],Tabla6[[#All],[PRODUCTO]],0),MATCH(Tabla4[[#This Row],[Mes]],Tabla6[#Headers],0)))*(1+Catalogos!$L$2)</f>
        <v>#N/A</v>
      </c>
      <c r="N1484" s="283" t="e">
        <f>+(Tabla4[[#This Row],[Precio Descontado]]-Tabla4[[#This Row],[Precio Base]])*Tabla4[[#This Row],[Cantidad]]</f>
        <v>#N/A</v>
      </c>
      <c r="O1484" s="284" t="e">
        <f>++Tabla4[[#This Row],[Utilidad Total]]/Tabla4[[#This Row],[Total]]</f>
        <v>#N/A</v>
      </c>
      <c r="P1484" s="282">
        <f>++Tabla4[[#This Row],[Precio Descontado]]*Tabla4[[#This Row],[Cantidad]]</f>
        <v>7535.8176780000003</v>
      </c>
      <c r="Q1484" s="282" t="e">
        <f>(INDEX(Tabla6[#All],MATCH(Tabla4[[#This Row],[Producto]],Tabla6[[#All],[PRODUCTO]],0),MATCH(Tabla4[[#This Row],[Mes]],Tabla6[#Headers],0)))</f>
        <v>#N/A</v>
      </c>
      <c r="R1484" s="282" t="e">
        <f>++Tabla4[[#This Row],[Precio Unitario Neto]]-Tabla4[[#This Row],[20.85%]]-Tabla4[[#This Row],[Costo]]</f>
        <v>#N/A</v>
      </c>
      <c r="S1484" s="282" t="e">
        <f>++Tabla4[[#This Row],[U. Bruta Uni]]*Tabla4[[#This Row],[Cantidad]]</f>
        <v>#N/A</v>
      </c>
      <c r="T1484" s="369" t="str">
        <f>VLOOKUP(Tabla4[[#This Row],[Producto]],Tabla6[#All],14,FALSE)</f>
        <v>Termico Solar</v>
      </c>
      <c r="U1484" s="284" t="e">
        <f>(IF(Tabla4[[#This Row],[Familia]]="termico solar",Tabla4[[#This Row],[Utilidad Total]]*6%,Tabla4[[#This Row],[Utilidad Total]]*11.5%))/Tabla4[[#This Row],[Total]]</f>
        <v>#N/A</v>
      </c>
      <c r="V1484" s="282" t="e">
        <f>+Tabla4[[#This Row],[Comisión Calculada]]*Tabla4[[#This Row],[Total]]</f>
        <v>#N/A</v>
      </c>
    </row>
    <row r="1485" spans="1:22" hidden="1" x14ac:dyDescent="0.25">
      <c r="A1485" s="100">
        <v>45747</v>
      </c>
      <c r="B1485" t="str">
        <f t="shared" si="72"/>
        <v>March</v>
      </c>
      <c r="C1485" s="46" t="s">
        <v>280</v>
      </c>
      <c r="F1485" s="366" t="s">
        <v>1284</v>
      </c>
      <c r="G1485" s="46" t="s">
        <v>17</v>
      </c>
      <c r="H1485" s="46">
        <v>2</v>
      </c>
      <c r="I1485" s="51">
        <v>4622.28</v>
      </c>
      <c r="J1485" s="281">
        <f>++Tabla4[[#This Row],[Precio Bruto]]*1.16</f>
        <v>5361.8447999999989</v>
      </c>
      <c r="K1485" s="281">
        <f>+Tabla4[[#This Row],[Precio Unitario Neto]]*Tabla4[[#Headers],[20.85%]]</f>
        <v>1117.9446407999997</v>
      </c>
      <c r="L1485" s="282">
        <f>++Tabla4[[#This Row],[Precio Unitario Neto]]-Tabla4[[#This Row],[20.85%]]</f>
        <v>4243.9001591999995</v>
      </c>
      <c r="M1485" s="282" t="e">
        <f>(INDEX(Tabla6[#All],MATCH(Tabla4[[#This Row],[Producto]],Tabla6[[#All],[PRODUCTO]],0),MATCH(Tabla4[[#This Row],[Mes]],Tabla6[#Headers],0)))*(1+Catalogos!$L$2)</f>
        <v>#N/A</v>
      </c>
      <c r="N1485" s="283" t="e">
        <f>+(Tabla4[[#This Row],[Precio Descontado]]-Tabla4[[#This Row],[Precio Base]])*Tabla4[[#This Row],[Cantidad]]</f>
        <v>#N/A</v>
      </c>
      <c r="O1485" s="284" t="e">
        <f>++Tabla4[[#This Row],[Utilidad Total]]/Tabla4[[#This Row],[Total]]</f>
        <v>#N/A</v>
      </c>
      <c r="P1485" s="282">
        <f>++Tabla4[[#This Row],[Precio Descontado]]*Tabla4[[#This Row],[Cantidad]]</f>
        <v>8487.800318399999</v>
      </c>
      <c r="Q1485" s="282" t="e">
        <f>(INDEX(Tabla6[#All],MATCH(Tabla4[[#This Row],[Producto]],Tabla6[[#All],[PRODUCTO]],0),MATCH(Tabla4[[#This Row],[Mes]],Tabla6[#Headers],0)))</f>
        <v>#N/A</v>
      </c>
      <c r="R1485" s="282" t="e">
        <f>++Tabla4[[#This Row],[Precio Unitario Neto]]-Tabla4[[#This Row],[20.85%]]-Tabla4[[#This Row],[Costo]]</f>
        <v>#N/A</v>
      </c>
      <c r="S1485" s="282" t="e">
        <f>++Tabla4[[#This Row],[U. Bruta Uni]]*Tabla4[[#This Row],[Cantidad]]</f>
        <v>#N/A</v>
      </c>
      <c r="T1485" s="369" t="str">
        <f>VLOOKUP(Tabla4[[#This Row],[Producto]],Tabla6[#All],14,FALSE)</f>
        <v>Termico Solar</v>
      </c>
      <c r="U1485" s="284" t="e">
        <f>(IF(Tabla4[[#This Row],[Familia]]="termico solar",Tabla4[[#This Row],[Utilidad Total]]*6%,Tabla4[[#This Row],[Utilidad Total]]*11.5%))/Tabla4[[#This Row],[Total]]</f>
        <v>#N/A</v>
      </c>
      <c r="V1485" s="282" t="e">
        <f>+Tabla4[[#This Row],[Comisión Calculada]]*Tabla4[[#This Row],[Total]]</f>
        <v>#N/A</v>
      </c>
    </row>
    <row r="1486" spans="1:22" hidden="1" x14ac:dyDescent="0.25">
      <c r="A1486" s="100">
        <v>45747</v>
      </c>
      <c r="B1486" t="str">
        <f t="shared" si="72"/>
        <v>March</v>
      </c>
      <c r="C1486" s="46" t="s">
        <v>280</v>
      </c>
      <c r="F1486" s="366" t="s">
        <v>1284</v>
      </c>
      <c r="G1486" s="46" t="s">
        <v>566</v>
      </c>
      <c r="H1486" s="46">
        <v>1</v>
      </c>
      <c r="I1486" s="51">
        <v>2109.4499999999998</v>
      </c>
      <c r="J1486" s="281">
        <f>++Tabla4[[#This Row],[Precio Bruto]]*1.16</f>
        <v>2446.9619999999995</v>
      </c>
      <c r="K1486" s="281">
        <f>+Tabla4[[#This Row],[Precio Unitario Neto]]*Tabla4[[#Headers],[20.85%]]</f>
        <v>510.19157699999988</v>
      </c>
      <c r="L1486" s="282">
        <f>++Tabla4[[#This Row],[Precio Unitario Neto]]-Tabla4[[#This Row],[20.85%]]</f>
        <v>1936.7704229999997</v>
      </c>
      <c r="M1486" s="282" t="e">
        <f>(INDEX(Tabla6[#All],MATCH(Tabla4[[#This Row],[Producto]],Tabla6[[#All],[PRODUCTO]],0),MATCH(Tabla4[[#This Row],[Mes]],Tabla6[#Headers],0)))*(1+Catalogos!$L$2)</f>
        <v>#N/A</v>
      </c>
      <c r="N1486" s="283" t="e">
        <f>+(Tabla4[[#This Row],[Precio Descontado]]-Tabla4[[#This Row],[Precio Base]])*Tabla4[[#This Row],[Cantidad]]</f>
        <v>#N/A</v>
      </c>
      <c r="O1486" s="284" t="e">
        <f>++Tabla4[[#This Row],[Utilidad Total]]/Tabla4[[#This Row],[Total]]</f>
        <v>#N/A</v>
      </c>
      <c r="P1486" s="282">
        <f>++Tabla4[[#This Row],[Precio Descontado]]*Tabla4[[#This Row],[Cantidad]]</f>
        <v>1936.7704229999997</v>
      </c>
      <c r="Q1486" s="282" t="e">
        <f>(INDEX(Tabla6[#All],MATCH(Tabla4[[#This Row],[Producto]],Tabla6[[#All],[PRODUCTO]],0),MATCH(Tabla4[[#This Row],[Mes]],Tabla6[#Headers],0)))</f>
        <v>#N/A</v>
      </c>
      <c r="R1486" s="282" t="e">
        <f>++Tabla4[[#This Row],[Precio Unitario Neto]]-Tabla4[[#This Row],[20.85%]]-Tabla4[[#This Row],[Costo]]</f>
        <v>#N/A</v>
      </c>
      <c r="S1486" s="282" t="e">
        <f>++Tabla4[[#This Row],[U. Bruta Uni]]*Tabla4[[#This Row],[Cantidad]]</f>
        <v>#N/A</v>
      </c>
      <c r="T1486" s="369" t="str">
        <f>VLOOKUP(Tabla4[[#This Row],[Producto]],Tabla6[#All],14,FALSE)</f>
        <v>Termico Solar</v>
      </c>
      <c r="U1486" s="284" t="e">
        <f>(IF(Tabla4[[#This Row],[Familia]]="termico solar",Tabla4[[#This Row],[Utilidad Total]]*6%,Tabla4[[#This Row],[Utilidad Total]]*11.5%))/Tabla4[[#This Row],[Total]]</f>
        <v>#N/A</v>
      </c>
      <c r="V1486" s="282" t="e">
        <f>+Tabla4[[#This Row],[Comisión Calculada]]*Tabla4[[#This Row],[Total]]</f>
        <v>#N/A</v>
      </c>
    </row>
    <row r="1487" spans="1:22" hidden="1" x14ac:dyDescent="0.25">
      <c r="A1487" s="100">
        <v>45747</v>
      </c>
      <c r="B1487" t="str">
        <f t="shared" si="72"/>
        <v>March</v>
      </c>
      <c r="C1487" s="46" t="s">
        <v>280</v>
      </c>
      <c r="F1487" s="366" t="s">
        <v>1284</v>
      </c>
      <c r="G1487" s="46" t="s">
        <v>208</v>
      </c>
      <c r="H1487" s="46">
        <v>1</v>
      </c>
      <c r="I1487" s="51">
        <v>189.75</v>
      </c>
      <c r="J1487" s="281">
        <f>++Tabla4[[#This Row],[Precio Bruto]]*1.16</f>
        <v>220.10999999999999</v>
      </c>
      <c r="K1487" s="281">
        <f>+Tabla4[[#This Row],[Precio Unitario Neto]]*Tabla4[[#Headers],[20.85%]]</f>
        <v>45.892934999999994</v>
      </c>
      <c r="L1487" s="282">
        <f>++Tabla4[[#This Row],[Precio Unitario Neto]]-Tabla4[[#This Row],[20.85%]]</f>
        <v>174.21706499999999</v>
      </c>
      <c r="M1487" s="282" t="e">
        <f>(INDEX(Tabla6[#All],MATCH(Tabla4[[#This Row],[Producto]],Tabla6[[#All],[PRODUCTO]],0),MATCH(Tabla4[[#This Row],[Mes]],Tabla6[#Headers],0)))*(1+Catalogos!$L$2)</f>
        <v>#N/A</v>
      </c>
      <c r="N1487" s="283" t="e">
        <f>+(Tabla4[[#This Row],[Precio Descontado]]-Tabla4[[#This Row],[Precio Base]])*Tabla4[[#This Row],[Cantidad]]</f>
        <v>#N/A</v>
      </c>
      <c r="O1487" s="284" t="e">
        <f>++Tabla4[[#This Row],[Utilidad Total]]/Tabla4[[#This Row],[Total]]</f>
        <v>#N/A</v>
      </c>
      <c r="P1487" s="282">
        <f>++Tabla4[[#This Row],[Precio Descontado]]*Tabla4[[#This Row],[Cantidad]]</f>
        <v>174.21706499999999</v>
      </c>
      <c r="Q1487" s="282" t="e">
        <f>(INDEX(Tabla6[#All],MATCH(Tabla4[[#This Row],[Producto]],Tabla6[[#All],[PRODUCTO]],0),MATCH(Tabla4[[#This Row],[Mes]],Tabla6[#Headers],0)))</f>
        <v>#N/A</v>
      </c>
      <c r="R1487" s="282" t="e">
        <f>++Tabla4[[#This Row],[Precio Unitario Neto]]-Tabla4[[#This Row],[20.85%]]-Tabla4[[#This Row],[Costo]]</f>
        <v>#N/A</v>
      </c>
      <c r="S1487" s="282" t="e">
        <f>++Tabla4[[#This Row],[U. Bruta Uni]]*Tabla4[[#This Row],[Cantidad]]</f>
        <v>#N/A</v>
      </c>
      <c r="T1487" s="369" t="str">
        <f>VLOOKUP(Tabla4[[#This Row],[Producto]],Tabla6[#All],14,FALSE)</f>
        <v>Termico Solar</v>
      </c>
      <c r="U1487" s="284" t="e">
        <f>(IF(Tabla4[[#This Row],[Familia]]="termico solar",Tabla4[[#This Row],[Utilidad Total]]*6%,Tabla4[[#This Row],[Utilidad Total]]*11.5%))/Tabla4[[#This Row],[Total]]</f>
        <v>#N/A</v>
      </c>
      <c r="V1487" s="282" t="e">
        <f>+Tabla4[[#This Row],[Comisión Calculada]]*Tabla4[[#This Row],[Total]]</f>
        <v>#N/A</v>
      </c>
    </row>
    <row r="1488" spans="1:22" hidden="1" x14ac:dyDescent="0.25">
      <c r="A1488" s="100">
        <v>45747</v>
      </c>
      <c r="B1488" t="str">
        <f t="shared" si="72"/>
        <v>March</v>
      </c>
      <c r="C1488" s="46" t="s">
        <v>280</v>
      </c>
      <c r="F1488" s="366" t="s">
        <v>1285</v>
      </c>
      <c r="G1488" s="46" t="s">
        <v>566</v>
      </c>
      <c r="H1488" s="46">
        <v>1</v>
      </c>
      <c r="I1488" s="51">
        <v>2109.4499999999998</v>
      </c>
      <c r="J1488" s="281">
        <f>++Tabla4[[#This Row],[Precio Bruto]]*1.16</f>
        <v>2446.9619999999995</v>
      </c>
      <c r="K1488" s="281">
        <f>+Tabla4[[#This Row],[Precio Unitario Neto]]*Tabla4[[#Headers],[20.85%]]</f>
        <v>510.19157699999988</v>
      </c>
      <c r="L1488" s="282">
        <f>++Tabla4[[#This Row],[Precio Unitario Neto]]-Tabla4[[#This Row],[20.85%]]</f>
        <v>1936.7704229999997</v>
      </c>
      <c r="M1488" s="282" t="e">
        <f>(INDEX(Tabla6[#All],MATCH(Tabla4[[#This Row],[Producto]],Tabla6[[#All],[PRODUCTO]],0),MATCH(Tabla4[[#This Row],[Mes]],Tabla6[#Headers],0)))*(1+Catalogos!$L$2)</f>
        <v>#N/A</v>
      </c>
      <c r="N1488" s="283" t="e">
        <f>+(Tabla4[[#This Row],[Precio Descontado]]-Tabla4[[#This Row],[Precio Base]])*Tabla4[[#This Row],[Cantidad]]</f>
        <v>#N/A</v>
      </c>
      <c r="O1488" s="284" t="e">
        <f>++Tabla4[[#This Row],[Utilidad Total]]/Tabla4[[#This Row],[Total]]</f>
        <v>#N/A</v>
      </c>
      <c r="P1488" s="282">
        <f>++Tabla4[[#This Row],[Precio Descontado]]*Tabla4[[#This Row],[Cantidad]]</f>
        <v>1936.7704229999997</v>
      </c>
      <c r="Q1488" s="282" t="e">
        <f>(INDEX(Tabla6[#All],MATCH(Tabla4[[#This Row],[Producto]],Tabla6[[#All],[PRODUCTO]],0),MATCH(Tabla4[[#This Row],[Mes]],Tabla6[#Headers],0)))</f>
        <v>#N/A</v>
      </c>
      <c r="R1488" s="282" t="e">
        <f>++Tabla4[[#This Row],[Precio Unitario Neto]]-Tabla4[[#This Row],[20.85%]]-Tabla4[[#This Row],[Costo]]</f>
        <v>#N/A</v>
      </c>
      <c r="S1488" s="282" t="e">
        <f>++Tabla4[[#This Row],[U. Bruta Uni]]*Tabla4[[#This Row],[Cantidad]]</f>
        <v>#N/A</v>
      </c>
      <c r="T1488" s="369" t="str">
        <f>VLOOKUP(Tabla4[[#This Row],[Producto]],Tabla6[#All],14,FALSE)</f>
        <v>Termico Solar</v>
      </c>
      <c r="U1488" s="284" t="e">
        <f>(IF(Tabla4[[#This Row],[Familia]]="termico solar",Tabla4[[#This Row],[Utilidad Total]]*6%,Tabla4[[#This Row],[Utilidad Total]]*11.5%))/Tabla4[[#This Row],[Total]]</f>
        <v>#N/A</v>
      </c>
      <c r="V1488" s="282" t="e">
        <f>+Tabla4[[#This Row],[Comisión Calculada]]*Tabla4[[#This Row],[Total]]</f>
        <v>#N/A</v>
      </c>
    </row>
    <row r="1489" spans="1:22" hidden="1" x14ac:dyDescent="0.25">
      <c r="A1489" s="100">
        <v>45747</v>
      </c>
      <c r="B1489" t="str">
        <f t="shared" si="72"/>
        <v>March</v>
      </c>
      <c r="C1489" s="46" t="s">
        <v>280</v>
      </c>
      <c r="F1489" s="366" t="s">
        <v>1286</v>
      </c>
      <c r="G1489" s="46" t="s">
        <v>16</v>
      </c>
      <c r="H1489" s="46">
        <v>2</v>
      </c>
      <c r="I1489" s="51">
        <v>4103.8500000000004</v>
      </c>
      <c r="J1489" s="281">
        <f>++Tabla4[[#This Row],[Precio Bruto]]*1.16</f>
        <v>4760.4660000000003</v>
      </c>
      <c r="K1489" s="281">
        <f>+Tabla4[[#This Row],[Precio Unitario Neto]]*Tabla4[[#Headers],[20.85%]]</f>
        <v>992.55716100000006</v>
      </c>
      <c r="L1489" s="282">
        <f>++Tabla4[[#This Row],[Precio Unitario Neto]]-Tabla4[[#This Row],[20.85%]]</f>
        <v>3767.9088390000002</v>
      </c>
      <c r="M1489" s="282" t="e">
        <f>(INDEX(Tabla6[#All],MATCH(Tabla4[[#This Row],[Producto]],Tabla6[[#All],[PRODUCTO]],0),MATCH(Tabla4[[#This Row],[Mes]],Tabla6[#Headers],0)))*(1+Catalogos!$L$2)</f>
        <v>#N/A</v>
      </c>
      <c r="N1489" s="283" t="e">
        <f>+(Tabla4[[#This Row],[Precio Descontado]]-Tabla4[[#This Row],[Precio Base]])*Tabla4[[#This Row],[Cantidad]]</f>
        <v>#N/A</v>
      </c>
      <c r="O1489" s="284" t="e">
        <f>++Tabla4[[#This Row],[Utilidad Total]]/Tabla4[[#This Row],[Total]]</f>
        <v>#N/A</v>
      </c>
      <c r="P1489" s="282">
        <f>++Tabla4[[#This Row],[Precio Descontado]]*Tabla4[[#This Row],[Cantidad]]</f>
        <v>7535.8176780000003</v>
      </c>
      <c r="Q1489" s="282" t="e">
        <f>(INDEX(Tabla6[#All],MATCH(Tabla4[[#This Row],[Producto]],Tabla6[[#All],[PRODUCTO]],0),MATCH(Tabla4[[#This Row],[Mes]],Tabla6[#Headers],0)))</f>
        <v>#N/A</v>
      </c>
      <c r="R1489" s="282" t="e">
        <f>++Tabla4[[#This Row],[Precio Unitario Neto]]-Tabla4[[#This Row],[20.85%]]-Tabla4[[#This Row],[Costo]]</f>
        <v>#N/A</v>
      </c>
      <c r="S1489" s="282" t="e">
        <f>++Tabla4[[#This Row],[U. Bruta Uni]]*Tabla4[[#This Row],[Cantidad]]</f>
        <v>#N/A</v>
      </c>
      <c r="T1489" s="369" t="str">
        <f>VLOOKUP(Tabla4[[#This Row],[Producto]],Tabla6[#All],14,FALSE)</f>
        <v>Termico Solar</v>
      </c>
      <c r="U1489" s="284" t="e">
        <f>(IF(Tabla4[[#This Row],[Familia]]="termico solar",Tabla4[[#This Row],[Utilidad Total]]*6%,Tabla4[[#This Row],[Utilidad Total]]*11.5%))/Tabla4[[#This Row],[Total]]</f>
        <v>#N/A</v>
      </c>
      <c r="V1489" s="282" t="e">
        <f>+Tabla4[[#This Row],[Comisión Calculada]]*Tabla4[[#This Row],[Total]]</f>
        <v>#N/A</v>
      </c>
    </row>
    <row r="1490" spans="1:22" hidden="1" x14ac:dyDescent="0.25">
      <c r="A1490" s="100">
        <v>45747</v>
      </c>
      <c r="B1490" t="str">
        <f t="shared" si="72"/>
        <v>March</v>
      </c>
      <c r="C1490" s="46" t="s">
        <v>280</v>
      </c>
      <c r="F1490" s="366" t="s">
        <v>1286</v>
      </c>
      <c r="G1490" s="46" t="s">
        <v>394</v>
      </c>
      <c r="H1490" s="46">
        <v>16</v>
      </c>
      <c r="I1490" s="51">
        <v>224.29</v>
      </c>
      <c r="J1490" s="281">
        <f>++Tabla4[[#This Row],[Precio Bruto]]*1.16</f>
        <v>260.1764</v>
      </c>
      <c r="K1490" s="281">
        <f>+Tabla4[[#This Row],[Precio Unitario Neto]]*Tabla4[[#Headers],[20.85%]]</f>
        <v>54.246779400000001</v>
      </c>
      <c r="L1490" s="282">
        <f>++Tabla4[[#This Row],[Precio Unitario Neto]]-Tabla4[[#This Row],[20.85%]]</f>
        <v>205.92962059999999</v>
      </c>
      <c r="M1490" s="282" t="e">
        <f>(INDEX(Tabla6[#All],MATCH(Tabla4[[#This Row],[Producto]],Tabla6[[#All],[PRODUCTO]],0),MATCH(Tabla4[[#This Row],[Mes]],Tabla6[#Headers],0)))*(1+Catalogos!$L$2)</f>
        <v>#N/A</v>
      </c>
      <c r="N1490" s="283" t="e">
        <f>+(Tabla4[[#This Row],[Precio Descontado]]-Tabla4[[#This Row],[Precio Base]])*Tabla4[[#This Row],[Cantidad]]</f>
        <v>#N/A</v>
      </c>
      <c r="O1490" s="284" t="e">
        <f>++Tabla4[[#This Row],[Utilidad Total]]/Tabla4[[#This Row],[Total]]</f>
        <v>#N/A</v>
      </c>
      <c r="P1490" s="282">
        <f>++Tabla4[[#This Row],[Precio Descontado]]*Tabla4[[#This Row],[Cantidad]]</f>
        <v>3294.8739295999999</v>
      </c>
      <c r="Q1490" s="282" t="e">
        <f>(INDEX(Tabla6[#All],MATCH(Tabla4[[#This Row],[Producto]],Tabla6[[#All],[PRODUCTO]],0),MATCH(Tabla4[[#This Row],[Mes]],Tabla6[#Headers],0)))</f>
        <v>#N/A</v>
      </c>
      <c r="R1490" s="282" t="e">
        <f>++Tabla4[[#This Row],[Precio Unitario Neto]]-Tabla4[[#This Row],[20.85%]]-Tabla4[[#This Row],[Costo]]</f>
        <v>#N/A</v>
      </c>
      <c r="S1490" s="282" t="e">
        <f>++Tabla4[[#This Row],[U. Bruta Uni]]*Tabla4[[#This Row],[Cantidad]]</f>
        <v>#N/A</v>
      </c>
      <c r="T1490" s="369" t="str">
        <f>VLOOKUP(Tabla4[[#This Row],[Producto]],Tabla6[#All],14,FALSE)</f>
        <v>Termico Solar</v>
      </c>
      <c r="U1490" s="284" t="e">
        <f>(IF(Tabla4[[#This Row],[Familia]]="termico solar",Tabla4[[#This Row],[Utilidad Total]]*6%,Tabla4[[#This Row],[Utilidad Total]]*11.5%))/Tabla4[[#This Row],[Total]]</f>
        <v>#N/A</v>
      </c>
      <c r="V1490" s="282" t="e">
        <f>+Tabla4[[#This Row],[Comisión Calculada]]*Tabla4[[#This Row],[Total]]</f>
        <v>#N/A</v>
      </c>
    </row>
    <row r="1491" spans="1:22" hidden="1" x14ac:dyDescent="0.25">
      <c r="A1491" s="100">
        <v>45747</v>
      </c>
      <c r="B1491" t="str">
        <f t="shared" si="72"/>
        <v>March</v>
      </c>
      <c r="C1491" s="46" t="s">
        <v>280</v>
      </c>
      <c r="F1491" s="366" t="s">
        <v>1286</v>
      </c>
      <c r="G1491" s="46" t="s">
        <v>208</v>
      </c>
      <c r="H1491" s="46">
        <v>1</v>
      </c>
      <c r="I1491" s="51">
        <v>189.75</v>
      </c>
      <c r="J1491" s="281">
        <f>++Tabla4[[#This Row],[Precio Bruto]]*1.16</f>
        <v>220.10999999999999</v>
      </c>
      <c r="K1491" s="281">
        <f>+Tabla4[[#This Row],[Precio Unitario Neto]]*Tabla4[[#Headers],[20.85%]]</f>
        <v>45.892934999999994</v>
      </c>
      <c r="L1491" s="282">
        <f>++Tabla4[[#This Row],[Precio Unitario Neto]]-Tabla4[[#This Row],[20.85%]]</f>
        <v>174.21706499999999</v>
      </c>
      <c r="M1491" s="282" t="e">
        <f>(INDEX(Tabla6[#All],MATCH(Tabla4[[#This Row],[Producto]],Tabla6[[#All],[PRODUCTO]],0),MATCH(Tabla4[[#This Row],[Mes]],Tabla6[#Headers],0)))*(1+Catalogos!$L$2)</f>
        <v>#N/A</v>
      </c>
      <c r="N1491" s="283" t="e">
        <f>+(Tabla4[[#This Row],[Precio Descontado]]-Tabla4[[#This Row],[Precio Base]])*Tabla4[[#This Row],[Cantidad]]</f>
        <v>#N/A</v>
      </c>
      <c r="O1491" s="284" t="e">
        <f>++Tabla4[[#This Row],[Utilidad Total]]/Tabla4[[#This Row],[Total]]</f>
        <v>#N/A</v>
      </c>
      <c r="P1491" s="282">
        <f>++Tabla4[[#This Row],[Precio Descontado]]*Tabla4[[#This Row],[Cantidad]]</f>
        <v>174.21706499999999</v>
      </c>
      <c r="Q1491" s="282" t="e">
        <f>(INDEX(Tabla6[#All],MATCH(Tabla4[[#This Row],[Producto]],Tabla6[[#All],[PRODUCTO]],0),MATCH(Tabla4[[#This Row],[Mes]],Tabla6[#Headers],0)))</f>
        <v>#N/A</v>
      </c>
      <c r="R1491" s="282" t="e">
        <f>++Tabla4[[#This Row],[Precio Unitario Neto]]-Tabla4[[#This Row],[20.85%]]-Tabla4[[#This Row],[Costo]]</f>
        <v>#N/A</v>
      </c>
      <c r="S1491" s="282" t="e">
        <f>++Tabla4[[#This Row],[U. Bruta Uni]]*Tabla4[[#This Row],[Cantidad]]</f>
        <v>#N/A</v>
      </c>
      <c r="T1491" s="369" t="str">
        <f>VLOOKUP(Tabla4[[#This Row],[Producto]],Tabla6[#All],14,FALSE)</f>
        <v>Termico Solar</v>
      </c>
      <c r="U1491" s="284" t="e">
        <f>(IF(Tabla4[[#This Row],[Familia]]="termico solar",Tabla4[[#This Row],[Utilidad Total]]*6%,Tabla4[[#This Row],[Utilidad Total]]*11.5%))/Tabla4[[#This Row],[Total]]</f>
        <v>#N/A</v>
      </c>
      <c r="V1491" s="282" t="e">
        <f>+Tabla4[[#This Row],[Comisión Calculada]]*Tabla4[[#This Row],[Total]]</f>
        <v>#N/A</v>
      </c>
    </row>
    <row r="1492" spans="1:22" hidden="1" x14ac:dyDescent="0.25">
      <c r="A1492" s="100">
        <v>45747</v>
      </c>
      <c r="B1492" t="str">
        <f t="shared" si="72"/>
        <v>March</v>
      </c>
      <c r="C1492" s="46" t="s">
        <v>280</v>
      </c>
      <c r="F1492" s="366" t="s">
        <v>1287</v>
      </c>
      <c r="G1492" s="46" t="s">
        <v>18</v>
      </c>
      <c r="H1492" s="46">
        <v>1</v>
      </c>
      <c r="I1492" s="51">
        <v>5367.65</v>
      </c>
      <c r="J1492" s="281">
        <f>++Tabla4[[#This Row],[Precio Bruto]]*1.16</f>
        <v>6226.4739999999993</v>
      </c>
      <c r="K1492" s="281">
        <f>+Tabla4[[#This Row],[Precio Unitario Neto]]*Tabla4[[#Headers],[20.85%]]</f>
        <v>1298.2198289999999</v>
      </c>
      <c r="L1492" s="282">
        <f>++Tabla4[[#This Row],[Precio Unitario Neto]]-Tabla4[[#This Row],[20.85%]]</f>
        <v>4928.2541709999996</v>
      </c>
      <c r="M1492" s="282" t="e">
        <f>(INDEX(Tabla6[#All],MATCH(Tabla4[[#This Row],[Producto]],Tabla6[[#All],[PRODUCTO]],0),MATCH(Tabla4[[#This Row],[Mes]],Tabla6[#Headers],0)))*(1+Catalogos!$L$2)</f>
        <v>#N/A</v>
      </c>
      <c r="N1492" s="283" t="e">
        <f>+(Tabla4[[#This Row],[Precio Descontado]]-Tabla4[[#This Row],[Precio Base]])*Tabla4[[#This Row],[Cantidad]]</f>
        <v>#N/A</v>
      </c>
      <c r="O1492" s="284" t="e">
        <f>++Tabla4[[#This Row],[Utilidad Total]]/Tabla4[[#This Row],[Total]]</f>
        <v>#N/A</v>
      </c>
      <c r="P1492" s="282">
        <f>++Tabla4[[#This Row],[Precio Descontado]]*Tabla4[[#This Row],[Cantidad]]</f>
        <v>4928.2541709999996</v>
      </c>
      <c r="Q1492" s="282" t="e">
        <f>(INDEX(Tabla6[#All],MATCH(Tabla4[[#This Row],[Producto]],Tabla6[[#All],[PRODUCTO]],0),MATCH(Tabla4[[#This Row],[Mes]],Tabla6[#Headers],0)))</f>
        <v>#N/A</v>
      </c>
      <c r="R1492" s="282" t="e">
        <f>++Tabla4[[#This Row],[Precio Unitario Neto]]-Tabla4[[#This Row],[20.85%]]-Tabla4[[#This Row],[Costo]]</f>
        <v>#N/A</v>
      </c>
      <c r="S1492" s="282" t="e">
        <f>++Tabla4[[#This Row],[U. Bruta Uni]]*Tabla4[[#This Row],[Cantidad]]</f>
        <v>#N/A</v>
      </c>
      <c r="T1492" s="369" t="str">
        <f>VLOOKUP(Tabla4[[#This Row],[Producto]],Tabla6[#All],14,FALSE)</f>
        <v>Termico Solar</v>
      </c>
      <c r="U1492" s="284" t="e">
        <f>(IF(Tabla4[[#This Row],[Familia]]="termico solar",Tabla4[[#This Row],[Utilidad Total]]*6%,Tabla4[[#This Row],[Utilidad Total]]*11.5%))/Tabla4[[#This Row],[Total]]</f>
        <v>#N/A</v>
      </c>
      <c r="V1492" s="282" t="e">
        <f>+Tabla4[[#This Row],[Comisión Calculada]]*Tabla4[[#This Row],[Total]]</f>
        <v>#N/A</v>
      </c>
    </row>
    <row r="1493" spans="1:22" hidden="1" x14ac:dyDescent="0.25">
      <c r="A1493" s="100">
        <v>45747</v>
      </c>
      <c r="B1493" t="str">
        <f t="shared" si="72"/>
        <v>March</v>
      </c>
      <c r="C1493" s="46" t="s">
        <v>280</v>
      </c>
      <c r="F1493" s="366" t="s">
        <v>1287</v>
      </c>
      <c r="G1493" s="46" t="s">
        <v>208</v>
      </c>
      <c r="H1493" s="46">
        <v>1</v>
      </c>
      <c r="I1493" s="51">
        <v>189.75</v>
      </c>
      <c r="J1493" s="281">
        <f>++Tabla4[[#This Row],[Precio Bruto]]*1.16</f>
        <v>220.10999999999999</v>
      </c>
      <c r="K1493" s="281">
        <f>+Tabla4[[#This Row],[Precio Unitario Neto]]*Tabla4[[#Headers],[20.85%]]</f>
        <v>45.892934999999994</v>
      </c>
      <c r="L1493" s="282">
        <f>++Tabla4[[#This Row],[Precio Unitario Neto]]-Tabla4[[#This Row],[20.85%]]</f>
        <v>174.21706499999999</v>
      </c>
      <c r="M1493" s="282" t="e">
        <f>(INDEX(Tabla6[#All],MATCH(Tabla4[[#This Row],[Producto]],Tabla6[[#All],[PRODUCTO]],0),MATCH(Tabla4[[#This Row],[Mes]],Tabla6[#Headers],0)))*(1+Catalogos!$L$2)</f>
        <v>#N/A</v>
      </c>
      <c r="N1493" s="283" t="e">
        <f>+(Tabla4[[#This Row],[Precio Descontado]]-Tabla4[[#This Row],[Precio Base]])*Tabla4[[#This Row],[Cantidad]]</f>
        <v>#N/A</v>
      </c>
      <c r="O1493" s="284" t="e">
        <f>++Tabla4[[#This Row],[Utilidad Total]]/Tabla4[[#This Row],[Total]]</f>
        <v>#N/A</v>
      </c>
      <c r="P1493" s="282">
        <f>++Tabla4[[#This Row],[Precio Descontado]]*Tabla4[[#This Row],[Cantidad]]</f>
        <v>174.21706499999999</v>
      </c>
      <c r="Q1493" s="282" t="e">
        <f>(INDEX(Tabla6[#All],MATCH(Tabla4[[#This Row],[Producto]],Tabla6[[#All],[PRODUCTO]],0),MATCH(Tabla4[[#This Row],[Mes]],Tabla6[#Headers],0)))</f>
        <v>#N/A</v>
      </c>
      <c r="R1493" s="282" t="e">
        <f>++Tabla4[[#This Row],[Precio Unitario Neto]]-Tabla4[[#This Row],[20.85%]]-Tabla4[[#This Row],[Costo]]</f>
        <v>#N/A</v>
      </c>
      <c r="S1493" s="282" t="e">
        <f>++Tabla4[[#This Row],[U. Bruta Uni]]*Tabla4[[#This Row],[Cantidad]]</f>
        <v>#N/A</v>
      </c>
      <c r="T1493" s="369" t="str">
        <f>VLOOKUP(Tabla4[[#This Row],[Producto]],Tabla6[#All],14,FALSE)</f>
        <v>Termico Solar</v>
      </c>
      <c r="U1493" s="284" t="e">
        <f>(IF(Tabla4[[#This Row],[Familia]]="termico solar",Tabla4[[#This Row],[Utilidad Total]]*6%,Tabla4[[#This Row],[Utilidad Total]]*11.5%))/Tabla4[[#This Row],[Total]]</f>
        <v>#N/A</v>
      </c>
      <c r="V1493" s="282" t="e">
        <f>+Tabla4[[#This Row],[Comisión Calculada]]*Tabla4[[#This Row],[Total]]</f>
        <v>#N/A</v>
      </c>
    </row>
    <row r="1494" spans="1:22" hidden="1" x14ac:dyDescent="0.25">
      <c r="A1494" s="100">
        <v>45747</v>
      </c>
      <c r="B1494" t="str">
        <f t="shared" si="72"/>
        <v>March</v>
      </c>
      <c r="C1494" s="46" t="s">
        <v>280</v>
      </c>
      <c r="F1494" s="366" t="s">
        <v>1288</v>
      </c>
      <c r="G1494" s="46" t="s">
        <v>17</v>
      </c>
      <c r="H1494" s="46">
        <v>1</v>
      </c>
      <c r="I1494" s="51">
        <v>4622.28</v>
      </c>
      <c r="J1494" s="281">
        <f>++Tabla4[[#This Row],[Precio Bruto]]*1.16</f>
        <v>5361.8447999999989</v>
      </c>
      <c r="K1494" s="281">
        <f>+Tabla4[[#This Row],[Precio Unitario Neto]]*Tabla4[[#Headers],[20.85%]]</f>
        <v>1117.9446407999997</v>
      </c>
      <c r="L1494" s="282">
        <f>++Tabla4[[#This Row],[Precio Unitario Neto]]-Tabla4[[#This Row],[20.85%]]</f>
        <v>4243.9001591999995</v>
      </c>
      <c r="M1494" s="282" t="e">
        <f>(INDEX(Tabla6[#All],MATCH(Tabla4[[#This Row],[Producto]],Tabla6[[#All],[PRODUCTO]],0),MATCH(Tabla4[[#This Row],[Mes]],Tabla6[#Headers],0)))*(1+Catalogos!$L$2)</f>
        <v>#N/A</v>
      </c>
      <c r="N1494" s="283" t="e">
        <f>+(Tabla4[[#This Row],[Precio Descontado]]-Tabla4[[#This Row],[Precio Base]])*Tabla4[[#This Row],[Cantidad]]</f>
        <v>#N/A</v>
      </c>
      <c r="O1494" s="284" t="e">
        <f>++Tabla4[[#This Row],[Utilidad Total]]/Tabla4[[#This Row],[Total]]</f>
        <v>#N/A</v>
      </c>
      <c r="P1494" s="282">
        <f>++Tabla4[[#This Row],[Precio Descontado]]*Tabla4[[#This Row],[Cantidad]]</f>
        <v>4243.9001591999995</v>
      </c>
      <c r="Q1494" s="282" t="e">
        <f>(INDEX(Tabla6[#All],MATCH(Tabla4[[#This Row],[Producto]],Tabla6[[#All],[PRODUCTO]],0),MATCH(Tabla4[[#This Row],[Mes]],Tabla6[#Headers],0)))</f>
        <v>#N/A</v>
      </c>
      <c r="R1494" s="282" t="e">
        <f>++Tabla4[[#This Row],[Precio Unitario Neto]]-Tabla4[[#This Row],[20.85%]]-Tabla4[[#This Row],[Costo]]</f>
        <v>#N/A</v>
      </c>
      <c r="S1494" s="282" t="e">
        <f>++Tabla4[[#This Row],[U. Bruta Uni]]*Tabla4[[#This Row],[Cantidad]]</f>
        <v>#N/A</v>
      </c>
      <c r="T1494" s="369" t="str">
        <f>VLOOKUP(Tabla4[[#This Row],[Producto]],Tabla6[#All],14,FALSE)</f>
        <v>Termico Solar</v>
      </c>
      <c r="U1494" s="284" t="e">
        <f>(IF(Tabla4[[#This Row],[Familia]]="termico solar",Tabla4[[#This Row],[Utilidad Total]]*6%,Tabla4[[#This Row],[Utilidad Total]]*11.5%))/Tabla4[[#This Row],[Total]]</f>
        <v>#N/A</v>
      </c>
      <c r="V1494" s="282" t="e">
        <f>+Tabla4[[#This Row],[Comisión Calculada]]*Tabla4[[#This Row],[Total]]</f>
        <v>#N/A</v>
      </c>
    </row>
    <row r="1495" spans="1:22" hidden="1" x14ac:dyDescent="0.25">
      <c r="A1495" s="100">
        <v>45747</v>
      </c>
      <c r="B1495" t="str">
        <f t="shared" si="72"/>
        <v>March</v>
      </c>
      <c r="C1495" s="46" t="s">
        <v>280</v>
      </c>
      <c r="F1495" s="366" t="s">
        <v>1289</v>
      </c>
      <c r="G1495" s="46" t="s">
        <v>83</v>
      </c>
      <c r="H1495" s="46">
        <v>1</v>
      </c>
      <c r="I1495" s="51">
        <v>8858.76</v>
      </c>
      <c r="J1495" s="281">
        <f>++Tabla4[[#This Row],[Precio Bruto]]*1.16</f>
        <v>10276.161599999999</v>
      </c>
      <c r="K1495" s="281">
        <f>+Tabla4[[#This Row],[Precio Unitario Neto]]*Tabla4[[#Headers],[20.85%]]</f>
        <v>2142.5796935999997</v>
      </c>
      <c r="L1495" s="282">
        <f>++Tabla4[[#This Row],[Precio Unitario Neto]]-Tabla4[[#This Row],[20.85%]]</f>
        <v>8133.5819063999998</v>
      </c>
      <c r="M1495" s="282" t="e">
        <f>(INDEX(Tabla6[#All],MATCH(Tabla4[[#This Row],[Producto]],Tabla6[[#All],[PRODUCTO]],0),MATCH(Tabla4[[#This Row],[Mes]],Tabla6[#Headers],0)))*(1+Catalogos!$L$2)</f>
        <v>#N/A</v>
      </c>
      <c r="N1495" s="283" t="e">
        <f>+(Tabla4[[#This Row],[Precio Descontado]]-Tabla4[[#This Row],[Precio Base]])*Tabla4[[#This Row],[Cantidad]]</f>
        <v>#N/A</v>
      </c>
      <c r="O1495" s="284" t="e">
        <f>++Tabla4[[#This Row],[Utilidad Total]]/Tabla4[[#This Row],[Total]]</f>
        <v>#N/A</v>
      </c>
      <c r="P1495" s="282">
        <f>++Tabla4[[#This Row],[Precio Descontado]]*Tabla4[[#This Row],[Cantidad]]</f>
        <v>8133.5819063999998</v>
      </c>
      <c r="Q1495" s="282" t="e">
        <f>(INDEX(Tabla6[#All],MATCH(Tabla4[[#This Row],[Producto]],Tabla6[[#All],[PRODUCTO]],0),MATCH(Tabla4[[#This Row],[Mes]],Tabla6[#Headers],0)))</f>
        <v>#N/A</v>
      </c>
      <c r="R1495" s="282" t="e">
        <f>++Tabla4[[#This Row],[Precio Unitario Neto]]-Tabla4[[#This Row],[20.85%]]-Tabla4[[#This Row],[Costo]]</f>
        <v>#N/A</v>
      </c>
      <c r="S1495" s="282" t="e">
        <f>++Tabla4[[#This Row],[U. Bruta Uni]]*Tabla4[[#This Row],[Cantidad]]</f>
        <v>#N/A</v>
      </c>
      <c r="T1495" s="369" t="str">
        <f>VLOOKUP(Tabla4[[#This Row],[Producto]],Tabla6[#All],14,FALSE)</f>
        <v>Termico Solar</v>
      </c>
      <c r="U1495" s="284" t="e">
        <f>(IF(Tabla4[[#This Row],[Familia]]="termico solar",Tabla4[[#This Row],[Utilidad Total]]*6%,Tabla4[[#This Row],[Utilidad Total]]*11.5%))/Tabla4[[#This Row],[Total]]</f>
        <v>#N/A</v>
      </c>
      <c r="V1495" s="282" t="e">
        <f>+Tabla4[[#This Row],[Comisión Calculada]]*Tabla4[[#This Row],[Total]]</f>
        <v>#N/A</v>
      </c>
    </row>
    <row r="1496" spans="1:22" hidden="1" x14ac:dyDescent="0.25">
      <c r="A1496" s="100">
        <v>45747</v>
      </c>
      <c r="B1496" t="str">
        <f t="shared" si="72"/>
        <v>March</v>
      </c>
      <c r="C1496" s="46" t="s">
        <v>280</v>
      </c>
      <c r="F1496" s="366" t="s">
        <v>1289</v>
      </c>
      <c r="G1496" s="46" t="s">
        <v>17</v>
      </c>
      <c r="H1496" s="46">
        <v>2</v>
      </c>
      <c r="I1496" s="51">
        <v>4622.28</v>
      </c>
      <c r="J1496" s="281">
        <f>++Tabla4[[#This Row],[Precio Bruto]]*1.16</f>
        <v>5361.8447999999989</v>
      </c>
      <c r="K1496" s="281">
        <f>+Tabla4[[#This Row],[Precio Unitario Neto]]*Tabla4[[#Headers],[20.85%]]</f>
        <v>1117.9446407999997</v>
      </c>
      <c r="L1496" s="282">
        <f>++Tabla4[[#This Row],[Precio Unitario Neto]]-Tabla4[[#This Row],[20.85%]]</f>
        <v>4243.9001591999995</v>
      </c>
      <c r="M1496" s="282" t="e">
        <f>(INDEX(Tabla6[#All],MATCH(Tabla4[[#This Row],[Producto]],Tabla6[[#All],[PRODUCTO]],0),MATCH(Tabla4[[#This Row],[Mes]],Tabla6[#Headers],0)))*(1+Catalogos!$L$2)</f>
        <v>#N/A</v>
      </c>
      <c r="N1496" s="283" t="e">
        <f>+(Tabla4[[#This Row],[Precio Descontado]]-Tabla4[[#This Row],[Precio Base]])*Tabla4[[#This Row],[Cantidad]]</f>
        <v>#N/A</v>
      </c>
      <c r="O1496" s="284" t="e">
        <f>++Tabla4[[#This Row],[Utilidad Total]]/Tabla4[[#This Row],[Total]]</f>
        <v>#N/A</v>
      </c>
      <c r="P1496" s="282">
        <f>++Tabla4[[#This Row],[Precio Descontado]]*Tabla4[[#This Row],[Cantidad]]</f>
        <v>8487.800318399999</v>
      </c>
      <c r="Q1496" s="282" t="e">
        <f>(INDEX(Tabla6[#All],MATCH(Tabla4[[#This Row],[Producto]],Tabla6[[#All],[PRODUCTO]],0),MATCH(Tabla4[[#This Row],[Mes]],Tabla6[#Headers],0)))</f>
        <v>#N/A</v>
      </c>
      <c r="R1496" s="282" t="e">
        <f>++Tabla4[[#This Row],[Precio Unitario Neto]]-Tabla4[[#This Row],[20.85%]]-Tabla4[[#This Row],[Costo]]</f>
        <v>#N/A</v>
      </c>
      <c r="S1496" s="282" t="e">
        <f>++Tabla4[[#This Row],[U. Bruta Uni]]*Tabla4[[#This Row],[Cantidad]]</f>
        <v>#N/A</v>
      </c>
      <c r="T1496" s="369" t="str">
        <f>VLOOKUP(Tabla4[[#This Row],[Producto]],Tabla6[#All],14,FALSE)</f>
        <v>Termico Solar</v>
      </c>
      <c r="U1496" s="284" t="e">
        <f>(IF(Tabla4[[#This Row],[Familia]]="termico solar",Tabla4[[#This Row],[Utilidad Total]]*6%,Tabla4[[#This Row],[Utilidad Total]]*11.5%))/Tabla4[[#This Row],[Total]]</f>
        <v>#N/A</v>
      </c>
      <c r="V1496" s="282" t="e">
        <f>+Tabla4[[#This Row],[Comisión Calculada]]*Tabla4[[#This Row],[Total]]</f>
        <v>#N/A</v>
      </c>
    </row>
    <row r="1497" spans="1:22" hidden="1" x14ac:dyDescent="0.25">
      <c r="A1497" s="100">
        <v>45747</v>
      </c>
      <c r="B1497" t="str">
        <f t="shared" si="72"/>
        <v>March</v>
      </c>
      <c r="C1497" s="46" t="s">
        <v>280</v>
      </c>
      <c r="F1497" s="366" t="s">
        <v>1289</v>
      </c>
      <c r="G1497" s="46" t="s">
        <v>18</v>
      </c>
      <c r="H1497" s="46">
        <v>2</v>
      </c>
      <c r="I1497" s="51">
        <v>5367.65</v>
      </c>
      <c r="J1497" s="281">
        <f>++Tabla4[[#This Row],[Precio Bruto]]*1.16</f>
        <v>6226.4739999999993</v>
      </c>
      <c r="K1497" s="281">
        <f>+Tabla4[[#This Row],[Precio Unitario Neto]]*Tabla4[[#Headers],[20.85%]]</f>
        <v>1298.2198289999999</v>
      </c>
      <c r="L1497" s="282">
        <f>++Tabla4[[#This Row],[Precio Unitario Neto]]-Tabla4[[#This Row],[20.85%]]</f>
        <v>4928.2541709999996</v>
      </c>
      <c r="M1497" s="282" t="e">
        <f>(INDEX(Tabla6[#All],MATCH(Tabla4[[#This Row],[Producto]],Tabla6[[#All],[PRODUCTO]],0),MATCH(Tabla4[[#This Row],[Mes]],Tabla6[#Headers],0)))*(1+Catalogos!$L$2)</f>
        <v>#N/A</v>
      </c>
      <c r="N1497" s="283" t="e">
        <f>+(Tabla4[[#This Row],[Precio Descontado]]-Tabla4[[#This Row],[Precio Base]])*Tabla4[[#This Row],[Cantidad]]</f>
        <v>#N/A</v>
      </c>
      <c r="O1497" s="284" t="e">
        <f>++Tabla4[[#This Row],[Utilidad Total]]/Tabla4[[#This Row],[Total]]</f>
        <v>#N/A</v>
      </c>
      <c r="P1497" s="282">
        <f>++Tabla4[[#This Row],[Precio Descontado]]*Tabla4[[#This Row],[Cantidad]]</f>
        <v>9856.5083419999992</v>
      </c>
      <c r="Q1497" s="282" t="e">
        <f>(INDEX(Tabla6[#All],MATCH(Tabla4[[#This Row],[Producto]],Tabla6[[#All],[PRODUCTO]],0),MATCH(Tabla4[[#This Row],[Mes]],Tabla6[#Headers],0)))</f>
        <v>#N/A</v>
      </c>
      <c r="R1497" s="282" t="e">
        <f>++Tabla4[[#This Row],[Precio Unitario Neto]]-Tabla4[[#This Row],[20.85%]]-Tabla4[[#This Row],[Costo]]</f>
        <v>#N/A</v>
      </c>
      <c r="S1497" s="282" t="e">
        <f>++Tabla4[[#This Row],[U. Bruta Uni]]*Tabla4[[#This Row],[Cantidad]]</f>
        <v>#N/A</v>
      </c>
      <c r="T1497" s="369" t="str">
        <f>VLOOKUP(Tabla4[[#This Row],[Producto]],Tabla6[#All],14,FALSE)</f>
        <v>Termico Solar</v>
      </c>
      <c r="U1497" s="284" t="e">
        <f>(IF(Tabla4[[#This Row],[Familia]]="termico solar",Tabla4[[#This Row],[Utilidad Total]]*6%,Tabla4[[#This Row],[Utilidad Total]]*11.5%))/Tabla4[[#This Row],[Total]]</f>
        <v>#N/A</v>
      </c>
      <c r="V1497" s="282" t="e">
        <f>+Tabla4[[#This Row],[Comisión Calculada]]*Tabla4[[#This Row],[Total]]</f>
        <v>#N/A</v>
      </c>
    </row>
    <row r="1498" spans="1:22" hidden="1" x14ac:dyDescent="0.25">
      <c r="A1498" s="100">
        <v>45747</v>
      </c>
      <c r="B1498" t="str">
        <f t="shared" si="72"/>
        <v>March</v>
      </c>
      <c r="C1498" s="46" t="s">
        <v>280</v>
      </c>
      <c r="F1498" s="366" t="s">
        <v>1290</v>
      </c>
      <c r="G1498" s="46" t="s">
        <v>16</v>
      </c>
      <c r="H1498" s="46">
        <v>2</v>
      </c>
      <c r="I1498" s="51">
        <v>4103.8500000000004</v>
      </c>
      <c r="J1498" s="281">
        <f>++Tabla4[[#This Row],[Precio Bruto]]*1.16</f>
        <v>4760.4660000000003</v>
      </c>
      <c r="K1498" s="281">
        <f>+Tabla4[[#This Row],[Precio Unitario Neto]]*Tabla4[[#Headers],[20.85%]]</f>
        <v>992.55716100000006</v>
      </c>
      <c r="L1498" s="282">
        <f>++Tabla4[[#This Row],[Precio Unitario Neto]]-Tabla4[[#This Row],[20.85%]]</f>
        <v>3767.9088390000002</v>
      </c>
      <c r="M1498" s="282" t="e">
        <f>(INDEX(Tabla6[#All],MATCH(Tabla4[[#This Row],[Producto]],Tabla6[[#All],[PRODUCTO]],0),MATCH(Tabla4[[#This Row],[Mes]],Tabla6[#Headers],0)))*(1+Catalogos!$L$2)</f>
        <v>#N/A</v>
      </c>
      <c r="N1498" s="283" t="e">
        <f>+(Tabla4[[#This Row],[Precio Descontado]]-Tabla4[[#This Row],[Precio Base]])*Tabla4[[#This Row],[Cantidad]]</f>
        <v>#N/A</v>
      </c>
      <c r="O1498" s="284" t="e">
        <f>++Tabla4[[#This Row],[Utilidad Total]]/Tabla4[[#This Row],[Total]]</f>
        <v>#N/A</v>
      </c>
      <c r="P1498" s="282">
        <f>++Tabla4[[#This Row],[Precio Descontado]]*Tabla4[[#This Row],[Cantidad]]</f>
        <v>7535.8176780000003</v>
      </c>
      <c r="Q1498" s="282" t="e">
        <f>(INDEX(Tabla6[#All],MATCH(Tabla4[[#This Row],[Producto]],Tabla6[[#All],[PRODUCTO]],0),MATCH(Tabla4[[#This Row],[Mes]],Tabla6[#Headers],0)))</f>
        <v>#N/A</v>
      </c>
      <c r="R1498" s="282" t="e">
        <f>++Tabla4[[#This Row],[Precio Unitario Neto]]-Tabla4[[#This Row],[20.85%]]-Tabla4[[#This Row],[Costo]]</f>
        <v>#N/A</v>
      </c>
      <c r="S1498" s="282" t="e">
        <f>++Tabla4[[#This Row],[U. Bruta Uni]]*Tabla4[[#This Row],[Cantidad]]</f>
        <v>#N/A</v>
      </c>
      <c r="T1498" s="369" t="str">
        <f>VLOOKUP(Tabla4[[#This Row],[Producto]],Tabla6[#All],14,FALSE)</f>
        <v>Termico Solar</v>
      </c>
      <c r="U1498" s="284" t="e">
        <f>(IF(Tabla4[[#This Row],[Familia]]="termico solar",Tabla4[[#This Row],[Utilidad Total]]*6%,Tabla4[[#This Row],[Utilidad Total]]*11.5%))/Tabla4[[#This Row],[Total]]</f>
        <v>#N/A</v>
      </c>
      <c r="V1498" s="282" t="e">
        <f>+Tabla4[[#This Row],[Comisión Calculada]]*Tabla4[[#This Row],[Total]]</f>
        <v>#N/A</v>
      </c>
    </row>
    <row r="1499" spans="1:22" hidden="1" x14ac:dyDescent="0.25">
      <c r="A1499" s="100">
        <v>45747</v>
      </c>
      <c r="B1499" t="str">
        <f t="shared" si="72"/>
        <v>March</v>
      </c>
      <c r="C1499" s="46" t="s">
        <v>280</v>
      </c>
      <c r="F1499" s="366" t="s">
        <v>1291</v>
      </c>
      <c r="G1499" s="46" t="s">
        <v>83</v>
      </c>
      <c r="H1499" s="46">
        <v>1</v>
      </c>
      <c r="I1499" s="51">
        <v>8858.76</v>
      </c>
      <c r="J1499" s="281">
        <f>++Tabla4[[#This Row],[Precio Bruto]]*1.16</f>
        <v>10276.161599999999</v>
      </c>
      <c r="K1499" s="281">
        <f>+Tabla4[[#This Row],[Precio Unitario Neto]]*Tabla4[[#Headers],[20.85%]]</f>
        <v>2142.5796935999997</v>
      </c>
      <c r="L1499" s="282">
        <f>++Tabla4[[#This Row],[Precio Unitario Neto]]-Tabla4[[#This Row],[20.85%]]</f>
        <v>8133.5819063999998</v>
      </c>
      <c r="M1499" s="282" t="e">
        <f>(INDEX(Tabla6[#All],MATCH(Tabla4[[#This Row],[Producto]],Tabla6[[#All],[PRODUCTO]],0),MATCH(Tabla4[[#This Row],[Mes]],Tabla6[#Headers],0)))*(1+Catalogos!$L$2)</f>
        <v>#N/A</v>
      </c>
      <c r="N1499" s="283" t="e">
        <f>+(Tabla4[[#This Row],[Precio Descontado]]-Tabla4[[#This Row],[Precio Base]])*Tabla4[[#This Row],[Cantidad]]</f>
        <v>#N/A</v>
      </c>
      <c r="O1499" s="284" t="e">
        <f>++Tabla4[[#This Row],[Utilidad Total]]/Tabla4[[#This Row],[Total]]</f>
        <v>#N/A</v>
      </c>
      <c r="P1499" s="282">
        <f>++Tabla4[[#This Row],[Precio Descontado]]*Tabla4[[#This Row],[Cantidad]]</f>
        <v>8133.5819063999998</v>
      </c>
      <c r="Q1499" s="282" t="e">
        <f>(INDEX(Tabla6[#All],MATCH(Tabla4[[#This Row],[Producto]],Tabla6[[#All],[PRODUCTO]],0),MATCH(Tabla4[[#This Row],[Mes]],Tabla6[#Headers],0)))</f>
        <v>#N/A</v>
      </c>
      <c r="R1499" s="282" t="e">
        <f>++Tabla4[[#This Row],[Precio Unitario Neto]]-Tabla4[[#This Row],[20.85%]]-Tabla4[[#This Row],[Costo]]</f>
        <v>#N/A</v>
      </c>
      <c r="S1499" s="282" t="e">
        <f>++Tabla4[[#This Row],[U. Bruta Uni]]*Tabla4[[#This Row],[Cantidad]]</f>
        <v>#N/A</v>
      </c>
      <c r="T1499" s="369" t="str">
        <f>VLOOKUP(Tabla4[[#This Row],[Producto]],Tabla6[#All],14,FALSE)</f>
        <v>Termico Solar</v>
      </c>
      <c r="U1499" s="284" t="e">
        <f>(IF(Tabla4[[#This Row],[Familia]]="termico solar",Tabla4[[#This Row],[Utilidad Total]]*6%,Tabla4[[#This Row],[Utilidad Total]]*11.5%))/Tabla4[[#This Row],[Total]]</f>
        <v>#N/A</v>
      </c>
      <c r="V1499" s="282" t="e">
        <f>+Tabla4[[#This Row],[Comisión Calculada]]*Tabla4[[#This Row],[Total]]</f>
        <v>#N/A</v>
      </c>
    </row>
    <row r="1500" spans="1:22" hidden="1" x14ac:dyDescent="0.25">
      <c r="A1500" s="100">
        <v>45747</v>
      </c>
      <c r="B1500" t="str">
        <f t="shared" si="72"/>
        <v>March</v>
      </c>
      <c r="C1500" s="46" t="s">
        <v>280</v>
      </c>
      <c r="F1500" s="366" t="s">
        <v>1291</v>
      </c>
      <c r="G1500" s="46" t="s">
        <v>566</v>
      </c>
      <c r="H1500" s="46">
        <v>1</v>
      </c>
      <c r="I1500" s="51">
        <v>2109.4499999999998</v>
      </c>
      <c r="J1500" s="281">
        <f>++Tabla4[[#This Row],[Precio Bruto]]*1.16</f>
        <v>2446.9619999999995</v>
      </c>
      <c r="K1500" s="281">
        <f>+Tabla4[[#This Row],[Precio Unitario Neto]]*Tabla4[[#Headers],[20.85%]]</f>
        <v>510.19157699999988</v>
      </c>
      <c r="L1500" s="282">
        <f>++Tabla4[[#This Row],[Precio Unitario Neto]]-Tabla4[[#This Row],[20.85%]]</f>
        <v>1936.7704229999997</v>
      </c>
      <c r="M1500" s="282" t="e">
        <f>(INDEX(Tabla6[#All],MATCH(Tabla4[[#This Row],[Producto]],Tabla6[[#All],[PRODUCTO]],0),MATCH(Tabla4[[#This Row],[Mes]],Tabla6[#Headers],0)))*(1+Catalogos!$L$2)</f>
        <v>#N/A</v>
      </c>
      <c r="N1500" s="283" t="e">
        <f>+(Tabla4[[#This Row],[Precio Descontado]]-Tabla4[[#This Row],[Precio Base]])*Tabla4[[#This Row],[Cantidad]]</f>
        <v>#N/A</v>
      </c>
      <c r="O1500" s="284" t="e">
        <f>++Tabla4[[#This Row],[Utilidad Total]]/Tabla4[[#This Row],[Total]]</f>
        <v>#N/A</v>
      </c>
      <c r="P1500" s="282">
        <f>++Tabla4[[#This Row],[Precio Descontado]]*Tabla4[[#This Row],[Cantidad]]</f>
        <v>1936.7704229999997</v>
      </c>
      <c r="Q1500" s="282" t="e">
        <f>(INDEX(Tabla6[#All],MATCH(Tabla4[[#This Row],[Producto]],Tabla6[[#All],[PRODUCTO]],0),MATCH(Tabla4[[#This Row],[Mes]],Tabla6[#Headers],0)))</f>
        <v>#N/A</v>
      </c>
      <c r="R1500" s="282" t="e">
        <f>++Tabla4[[#This Row],[Precio Unitario Neto]]-Tabla4[[#This Row],[20.85%]]-Tabla4[[#This Row],[Costo]]</f>
        <v>#N/A</v>
      </c>
      <c r="S1500" s="282" t="e">
        <f>++Tabla4[[#This Row],[U. Bruta Uni]]*Tabla4[[#This Row],[Cantidad]]</f>
        <v>#N/A</v>
      </c>
      <c r="T1500" s="369" t="str">
        <f>VLOOKUP(Tabla4[[#This Row],[Producto]],Tabla6[#All],14,FALSE)</f>
        <v>Termico Solar</v>
      </c>
      <c r="U1500" s="284" t="e">
        <f>(IF(Tabla4[[#This Row],[Familia]]="termico solar",Tabla4[[#This Row],[Utilidad Total]]*6%,Tabla4[[#This Row],[Utilidad Total]]*11.5%))/Tabla4[[#This Row],[Total]]</f>
        <v>#N/A</v>
      </c>
      <c r="V1500" s="282" t="e">
        <f>+Tabla4[[#This Row],[Comisión Calculada]]*Tabla4[[#This Row],[Total]]</f>
        <v>#N/A</v>
      </c>
    </row>
    <row r="1501" spans="1:22" hidden="1" x14ac:dyDescent="0.25">
      <c r="A1501" s="100">
        <v>45747</v>
      </c>
      <c r="B1501" t="str">
        <f t="shared" si="72"/>
        <v>March</v>
      </c>
      <c r="C1501" s="46" t="s">
        <v>280</v>
      </c>
      <c r="F1501" s="366" t="s">
        <v>1291</v>
      </c>
      <c r="G1501" s="46" t="s">
        <v>208</v>
      </c>
      <c r="H1501" s="46">
        <v>2</v>
      </c>
      <c r="I1501" s="51">
        <v>189.75</v>
      </c>
      <c r="J1501" s="281">
        <f>++Tabla4[[#This Row],[Precio Bruto]]*1.16</f>
        <v>220.10999999999999</v>
      </c>
      <c r="K1501" s="281">
        <f>+Tabla4[[#This Row],[Precio Unitario Neto]]*Tabla4[[#Headers],[20.85%]]</f>
        <v>45.892934999999994</v>
      </c>
      <c r="L1501" s="282">
        <f>++Tabla4[[#This Row],[Precio Unitario Neto]]-Tabla4[[#This Row],[20.85%]]</f>
        <v>174.21706499999999</v>
      </c>
      <c r="M1501" s="282" t="e">
        <f>(INDEX(Tabla6[#All],MATCH(Tabla4[[#This Row],[Producto]],Tabla6[[#All],[PRODUCTO]],0),MATCH(Tabla4[[#This Row],[Mes]],Tabla6[#Headers],0)))*(1+Catalogos!$L$2)</f>
        <v>#N/A</v>
      </c>
      <c r="N1501" s="283" t="e">
        <f>+(Tabla4[[#This Row],[Precio Descontado]]-Tabla4[[#This Row],[Precio Base]])*Tabla4[[#This Row],[Cantidad]]</f>
        <v>#N/A</v>
      </c>
      <c r="O1501" s="284" t="e">
        <f>++Tabla4[[#This Row],[Utilidad Total]]/Tabla4[[#This Row],[Total]]</f>
        <v>#N/A</v>
      </c>
      <c r="P1501" s="282">
        <f>++Tabla4[[#This Row],[Precio Descontado]]*Tabla4[[#This Row],[Cantidad]]</f>
        <v>348.43412999999998</v>
      </c>
      <c r="Q1501" s="282" t="e">
        <f>(INDEX(Tabla6[#All],MATCH(Tabla4[[#This Row],[Producto]],Tabla6[[#All],[PRODUCTO]],0),MATCH(Tabla4[[#This Row],[Mes]],Tabla6[#Headers],0)))</f>
        <v>#N/A</v>
      </c>
      <c r="R1501" s="282" t="e">
        <f>++Tabla4[[#This Row],[Precio Unitario Neto]]-Tabla4[[#This Row],[20.85%]]-Tabla4[[#This Row],[Costo]]</f>
        <v>#N/A</v>
      </c>
      <c r="S1501" s="282" t="e">
        <f>++Tabla4[[#This Row],[U. Bruta Uni]]*Tabla4[[#This Row],[Cantidad]]</f>
        <v>#N/A</v>
      </c>
      <c r="T1501" s="369" t="str">
        <f>VLOOKUP(Tabla4[[#This Row],[Producto]],Tabla6[#All],14,FALSE)</f>
        <v>Termico Solar</v>
      </c>
      <c r="U1501" s="284" t="e">
        <f>(IF(Tabla4[[#This Row],[Familia]]="termico solar",Tabla4[[#This Row],[Utilidad Total]]*6%,Tabla4[[#This Row],[Utilidad Total]]*11.5%))/Tabla4[[#This Row],[Total]]</f>
        <v>#N/A</v>
      </c>
      <c r="V1501" s="282" t="e">
        <f>+Tabla4[[#This Row],[Comisión Calculada]]*Tabla4[[#This Row],[Total]]</f>
        <v>#N/A</v>
      </c>
    </row>
    <row r="1502" spans="1:22" hidden="1" x14ac:dyDescent="0.25">
      <c r="A1502" s="100">
        <v>45747</v>
      </c>
      <c r="B1502" t="str">
        <f t="shared" si="72"/>
        <v>March</v>
      </c>
      <c r="C1502" s="46" t="s">
        <v>280</v>
      </c>
      <c r="F1502" s="366" t="s">
        <v>1292</v>
      </c>
      <c r="G1502" s="46" t="s">
        <v>566</v>
      </c>
      <c r="H1502" s="46">
        <v>1</v>
      </c>
      <c r="I1502" s="51">
        <v>2109.4499999999998</v>
      </c>
      <c r="J1502" s="281">
        <f>++Tabla4[[#This Row],[Precio Bruto]]*1.16</f>
        <v>2446.9619999999995</v>
      </c>
      <c r="K1502" s="281">
        <f>+Tabla4[[#This Row],[Precio Unitario Neto]]*Tabla4[[#Headers],[20.85%]]</f>
        <v>510.19157699999988</v>
      </c>
      <c r="L1502" s="282">
        <f>++Tabla4[[#This Row],[Precio Unitario Neto]]-Tabla4[[#This Row],[20.85%]]</f>
        <v>1936.7704229999997</v>
      </c>
      <c r="M1502" s="282" t="e">
        <f>(INDEX(Tabla6[#All],MATCH(Tabla4[[#This Row],[Producto]],Tabla6[[#All],[PRODUCTO]],0),MATCH(Tabla4[[#This Row],[Mes]],Tabla6[#Headers],0)))*(1+Catalogos!$L$2)</f>
        <v>#N/A</v>
      </c>
      <c r="N1502" s="283" t="e">
        <f>+(Tabla4[[#This Row],[Precio Descontado]]-Tabla4[[#This Row],[Precio Base]])*Tabla4[[#This Row],[Cantidad]]</f>
        <v>#N/A</v>
      </c>
      <c r="O1502" s="284" t="e">
        <f>++Tabla4[[#This Row],[Utilidad Total]]/Tabla4[[#This Row],[Total]]</f>
        <v>#N/A</v>
      </c>
      <c r="P1502" s="282">
        <f>++Tabla4[[#This Row],[Precio Descontado]]*Tabla4[[#This Row],[Cantidad]]</f>
        <v>1936.7704229999997</v>
      </c>
      <c r="Q1502" s="282" t="e">
        <f>(INDEX(Tabla6[#All],MATCH(Tabla4[[#This Row],[Producto]],Tabla6[[#All],[PRODUCTO]],0),MATCH(Tabla4[[#This Row],[Mes]],Tabla6[#Headers],0)))</f>
        <v>#N/A</v>
      </c>
      <c r="R1502" s="282" t="e">
        <f>++Tabla4[[#This Row],[Precio Unitario Neto]]-Tabla4[[#This Row],[20.85%]]-Tabla4[[#This Row],[Costo]]</f>
        <v>#N/A</v>
      </c>
      <c r="S1502" s="282" t="e">
        <f>++Tabla4[[#This Row],[U. Bruta Uni]]*Tabla4[[#This Row],[Cantidad]]</f>
        <v>#N/A</v>
      </c>
      <c r="T1502" s="369" t="str">
        <f>VLOOKUP(Tabla4[[#This Row],[Producto]],Tabla6[#All],14,FALSE)</f>
        <v>Termico Solar</v>
      </c>
      <c r="U1502" s="284" t="e">
        <f>(IF(Tabla4[[#This Row],[Familia]]="termico solar",Tabla4[[#This Row],[Utilidad Total]]*6%,Tabla4[[#This Row],[Utilidad Total]]*11.5%))/Tabla4[[#This Row],[Total]]</f>
        <v>#N/A</v>
      </c>
      <c r="V1502" s="282" t="e">
        <f>+Tabla4[[#This Row],[Comisión Calculada]]*Tabla4[[#This Row],[Total]]</f>
        <v>#N/A</v>
      </c>
    </row>
    <row r="1503" spans="1:22" hidden="1" x14ac:dyDescent="0.25">
      <c r="A1503" s="100">
        <v>45747</v>
      </c>
      <c r="B1503" t="str">
        <f t="shared" si="72"/>
        <v>March</v>
      </c>
      <c r="C1503" s="46" t="s">
        <v>280</v>
      </c>
      <c r="F1503" s="366" t="s">
        <v>1292</v>
      </c>
      <c r="G1503" s="46" t="s">
        <v>208</v>
      </c>
      <c r="H1503" s="46">
        <v>3</v>
      </c>
      <c r="I1503" s="51">
        <v>189.75</v>
      </c>
      <c r="J1503" s="281">
        <f>++Tabla4[[#This Row],[Precio Bruto]]*1.16</f>
        <v>220.10999999999999</v>
      </c>
      <c r="K1503" s="281">
        <f>+Tabla4[[#This Row],[Precio Unitario Neto]]*Tabla4[[#Headers],[20.85%]]</f>
        <v>45.892934999999994</v>
      </c>
      <c r="L1503" s="282">
        <f>++Tabla4[[#This Row],[Precio Unitario Neto]]-Tabla4[[#This Row],[20.85%]]</f>
        <v>174.21706499999999</v>
      </c>
      <c r="M1503" s="282" t="e">
        <f>(INDEX(Tabla6[#All],MATCH(Tabla4[[#This Row],[Producto]],Tabla6[[#All],[PRODUCTO]],0),MATCH(Tabla4[[#This Row],[Mes]],Tabla6[#Headers],0)))*(1+Catalogos!$L$2)</f>
        <v>#N/A</v>
      </c>
      <c r="N1503" s="283" t="e">
        <f>+(Tabla4[[#This Row],[Precio Descontado]]-Tabla4[[#This Row],[Precio Base]])*Tabla4[[#This Row],[Cantidad]]</f>
        <v>#N/A</v>
      </c>
      <c r="O1503" s="284" t="e">
        <f>++Tabla4[[#This Row],[Utilidad Total]]/Tabla4[[#This Row],[Total]]</f>
        <v>#N/A</v>
      </c>
      <c r="P1503" s="282">
        <f>++Tabla4[[#This Row],[Precio Descontado]]*Tabla4[[#This Row],[Cantidad]]</f>
        <v>522.65119499999992</v>
      </c>
      <c r="Q1503" s="282" t="e">
        <f>(INDEX(Tabla6[#All],MATCH(Tabla4[[#This Row],[Producto]],Tabla6[[#All],[PRODUCTO]],0),MATCH(Tabla4[[#This Row],[Mes]],Tabla6[#Headers],0)))</f>
        <v>#N/A</v>
      </c>
      <c r="R1503" s="282" t="e">
        <f>++Tabla4[[#This Row],[Precio Unitario Neto]]-Tabla4[[#This Row],[20.85%]]-Tabla4[[#This Row],[Costo]]</f>
        <v>#N/A</v>
      </c>
      <c r="S1503" s="282" t="e">
        <f>++Tabla4[[#This Row],[U. Bruta Uni]]*Tabla4[[#This Row],[Cantidad]]</f>
        <v>#N/A</v>
      </c>
      <c r="T1503" s="369" t="str">
        <f>VLOOKUP(Tabla4[[#This Row],[Producto]],Tabla6[#All],14,FALSE)</f>
        <v>Termico Solar</v>
      </c>
      <c r="U1503" s="284" t="e">
        <f>(IF(Tabla4[[#This Row],[Familia]]="termico solar",Tabla4[[#This Row],[Utilidad Total]]*6%,Tabla4[[#This Row],[Utilidad Total]]*11.5%))/Tabla4[[#This Row],[Total]]</f>
        <v>#N/A</v>
      </c>
      <c r="V1503" s="282" t="e">
        <f>+Tabla4[[#This Row],[Comisión Calculada]]*Tabla4[[#This Row],[Total]]</f>
        <v>#N/A</v>
      </c>
    </row>
    <row r="1504" spans="1:22" hidden="1" x14ac:dyDescent="0.25">
      <c r="A1504" s="100">
        <v>45747</v>
      </c>
      <c r="B1504" t="str">
        <f t="shared" si="72"/>
        <v>March</v>
      </c>
      <c r="C1504" s="46" t="s">
        <v>280</v>
      </c>
      <c r="F1504" s="366" t="s">
        <v>1293</v>
      </c>
      <c r="G1504" s="46" t="s">
        <v>18</v>
      </c>
      <c r="H1504" s="46">
        <v>4</v>
      </c>
      <c r="I1504" s="51">
        <v>5367.65</v>
      </c>
      <c r="J1504" s="281">
        <f>++Tabla4[[#This Row],[Precio Bruto]]*1.16</f>
        <v>6226.4739999999993</v>
      </c>
      <c r="K1504" s="281">
        <f>+Tabla4[[#This Row],[Precio Unitario Neto]]*Tabla4[[#Headers],[20.85%]]</f>
        <v>1298.2198289999999</v>
      </c>
      <c r="L1504" s="282">
        <f>++Tabla4[[#This Row],[Precio Unitario Neto]]-Tabla4[[#This Row],[20.85%]]</f>
        <v>4928.2541709999996</v>
      </c>
      <c r="M1504" s="282" t="e">
        <f>(INDEX(Tabla6[#All],MATCH(Tabla4[[#This Row],[Producto]],Tabla6[[#All],[PRODUCTO]],0),MATCH(Tabla4[[#This Row],[Mes]],Tabla6[#Headers],0)))*(1+Catalogos!$L$2)</f>
        <v>#N/A</v>
      </c>
      <c r="N1504" s="283" t="e">
        <f>+(Tabla4[[#This Row],[Precio Descontado]]-Tabla4[[#This Row],[Precio Base]])*Tabla4[[#This Row],[Cantidad]]</f>
        <v>#N/A</v>
      </c>
      <c r="O1504" s="284" t="e">
        <f>++Tabla4[[#This Row],[Utilidad Total]]/Tabla4[[#This Row],[Total]]</f>
        <v>#N/A</v>
      </c>
      <c r="P1504" s="282">
        <f>++Tabla4[[#This Row],[Precio Descontado]]*Tabla4[[#This Row],[Cantidad]]</f>
        <v>19713.016683999998</v>
      </c>
      <c r="Q1504" s="282" t="e">
        <f>(INDEX(Tabla6[#All],MATCH(Tabla4[[#This Row],[Producto]],Tabla6[[#All],[PRODUCTO]],0),MATCH(Tabla4[[#This Row],[Mes]],Tabla6[#Headers],0)))</f>
        <v>#N/A</v>
      </c>
      <c r="R1504" s="282" t="e">
        <f>++Tabla4[[#This Row],[Precio Unitario Neto]]-Tabla4[[#This Row],[20.85%]]-Tabla4[[#This Row],[Costo]]</f>
        <v>#N/A</v>
      </c>
      <c r="S1504" s="282" t="e">
        <f>++Tabla4[[#This Row],[U. Bruta Uni]]*Tabla4[[#This Row],[Cantidad]]</f>
        <v>#N/A</v>
      </c>
      <c r="T1504" s="369" t="str">
        <f>VLOOKUP(Tabla4[[#This Row],[Producto]],Tabla6[#All],14,FALSE)</f>
        <v>Termico Solar</v>
      </c>
      <c r="U1504" s="284" t="e">
        <f>(IF(Tabla4[[#This Row],[Familia]]="termico solar",Tabla4[[#This Row],[Utilidad Total]]*6%,Tabla4[[#This Row],[Utilidad Total]]*11.5%))/Tabla4[[#This Row],[Total]]</f>
        <v>#N/A</v>
      </c>
      <c r="V1504" s="282" t="e">
        <f>+Tabla4[[#This Row],[Comisión Calculada]]*Tabla4[[#This Row],[Total]]</f>
        <v>#N/A</v>
      </c>
    </row>
    <row r="1505" spans="1:22" hidden="1" x14ac:dyDescent="0.25">
      <c r="A1505" s="100">
        <v>45747</v>
      </c>
      <c r="B1505" t="str">
        <f t="shared" si="72"/>
        <v>March</v>
      </c>
      <c r="C1505" s="46" t="s">
        <v>280</v>
      </c>
      <c r="F1505" s="366" t="s">
        <v>1293</v>
      </c>
      <c r="G1505" s="46" t="s">
        <v>16</v>
      </c>
      <c r="H1505" s="46">
        <v>4</v>
      </c>
      <c r="I1505" s="51">
        <v>4103.8500000000004</v>
      </c>
      <c r="J1505" s="281">
        <f>++Tabla4[[#This Row],[Precio Bruto]]*1.16</f>
        <v>4760.4660000000003</v>
      </c>
      <c r="K1505" s="281">
        <f>+Tabla4[[#This Row],[Precio Unitario Neto]]*Tabla4[[#Headers],[20.85%]]</f>
        <v>992.55716100000006</v>
      </c>
      <c r="L1505" s="282">
        <f>++Tabla4[[#This Row],[Precio Unitario Neto]]-Tabla4[[#This Row],[20.85%]]</f>
        <v>3767.9088390000002</v>
      </c>
      <c r="M1505" s="282" t="e">
        <f>(INDEX(Tabla6[#All],MATCH(Tabla4[[#This Row],[Producto]],Tabla6[[#All],[PRODUCTO]],0),MATCH(Tabla4[[#This Row],[Mes]],Tabla6[#Headers],0)))*(1+Catalogos!$L$2)</f>
        <v>#N/A</v>
      </c>
      <c r="N1505" s="283" t="e">
        <f>+(Tabla4[[#This Row],[Precio Descontado]]-Tabla4[[#This Row],[Precio Base]])*Tabla4[[#This Row],[Cantidad]]</f>
        <v>#N/A</v>
      </c>
      <c r="O1505" s="284" t="e">
        <f>++Tabla4[[#This Row],[Utilidad Total]]/Tabla4[[#This Row],[Total]]</f>
        <v>#N/A</v>
      </c>
      <c r="P1505" s="282">
        <f>++Tabla4[[#This Row],[Precio Descontado]]*Tabla4[[#This Row],[Cantidad]]</f>
        <v>15071.635356000001</v>
      </c>
      <c r="Q1505" s="282" t="e">
        <f>(INDEX(Tabla6[#All],MATCH(Tabla4[[#This Row],[Producto]],Tabla6[[#All],[PRODUCTO]],0),MATCH(Tabla4[[#This Row],[Mes]],Tabla6[#Headers],0)))</f>
        <v>#N/A</v>
      </c>
      <c r="R1505" s="282" t="e">
        <f>++Tabla4[[#This Row],[Precio Unitario Neto]]-Tabla4[[#This Row],[20.85%]]-Tabla4[[#This Row],[Costo]]</f>
        <v>#N/A</v>
      </c>
      <c r="S1505" s="282" t="e">
        <f>++Tabla4[[#This Row],[U. Bruta Uni]]*Tabla4[[#This Row],[Cantidad]]</f>
        <v>#N/A</v>
      </c>
      <c r="T1505" s="369" t="str">
        <f>VLOOKUP(Tabla4[[#This Row],[Producto]],Tabla6[#All],14,FALSE)</f>
        <v>Termico Solar</v>
      </c>
      <c r="U1505" s="284" t="e">
        <f>(IF(Tabla4[[#This Row],[Familia]]="termico solar",Tabla4[[#This Row],[Utilidad Total]]*6%,Tabla4[[#This Row],[Utilidad Total]]*11.5%))/Tabla4[[#This Row],[Total]]</f>
        <v>#N/A</v>
      </c>
      <c r="V1505" s="282" t="e">
        <f>+Tabla4[[#This Row],[Comisión Calculada]]*Tabla4[[#This Row],[Total]]</f>
        <v>#N/A</v>
      </c>
    </row>
    <row r="1506" spans="1:22" hidden="1" x14ac:dyDescent="0.25">
      <c r="A1506" s="100">
        <v>45747</v>
      </c>
      <c r="B1506" t="str">
        <f t="shared" si="72"/>
        <v>March</v>
      </c>
      <c r="C1506" s="46" t="s">
        <v>280</v>
      </c>
      <c r="F1506" s="366" t="s">
        <v>1294</v>
      </c>
      <c r="G1506" s="46" t="s">
        <v>17</v>
      </c>
      <c r="H1506" s="46">
        <v>1</v>
      </c>
      <c r="I1506" s="51">
        <v>4622.28</v>
      </c>
      <c r="J1506" s="281">
        <f>++Tabla4[[#This Row],[Precio Bruto]]*1.16</f>
        <v>5361.8447999999989</v>
      </c>
      <c r="K1506" s="281">
        <f>+Tabla4[[#This Row],[Precio Unitario Neto]]*Tabla4[[#Headers],[20.85%]]</f>
        <v>1117.9446407999997</v>
      </c>
      <c r="L1506" s="282">
        <f>++Tabla4[[#This Row],[Precio Unitario Neto]]-Tabla4[[#This Row],[20.85%]]</f>
        <v>4243.9001591999995</v>
      </c>
      <c r="M1506" s="282" t="e">
        <f>(INDEX(Tabla6[#All],MATCH(Tabla4[[#This Row],[Producto]],Tabla6[[#All],[PRODUCTO]],0),MATCH(Tabla4[[#This Row],[Mes]],Tabla6[#Headers],0)))*(1+Catalogos!$L$2)</f>
        <v>#N/A</v>
      </c>
      <c r="N1506" s="283" t="e">
        <f>+(Tabla4[[#This Row],[Precio Descontado]]-Tabla4[[#This Row],[Precio Base]])*Tabla4[[#This Row],[Cantidad]]</f>
        <v>#N/A</v>
      </c>
      <c r="O1506" s="284" t="e">
        <f>++Tabla4[[#This Row],[Utilidad Total]]/Tabla4[[#This Row],[Total]]</f>
        <v>#N/A</v>
      </c>
      <c r="P1506" s="282">
        <f>++Tabla4[[#This Row],[Precio Descontado]]*Tabla4[[#This Row],[Cantidad]]</f>
        <v>4243.9001591999995</v>
      </c>
      <c r="Q1506" s="282" t="e">
        <f>(INDEX(Tabla6[#All],MATCH(Tabla4[[#This Row],[Producto]],Tabla6[[#All],[PRODUCTO]],0),MATCH(Tabla4[[#This Row],[Mes]],Tabla6[#Headers],0)))</f>
        <v>#N/A</v>
      </c>
      <c r="R1506" s="282" t="e">
        <f>++Tabla4[[#This Row],[Precio Unitario Neto]]-Tabla4[[#This Row],[20.85%]]-Tabla4[[#This Row],[Costo]]</f>
        <v>#N/A</v>
      </c>
      <c r="S1506" s="282" t="e">
        <f>++Tabla4[[#This Row],[U. Bruta Uni]]*Tabla4[[#This Row],[Cantidad]]</f>
        <v>#N/A</v>
      </c>
      <c r="T1506" s="369" t="str">
        <f>VLOOKUP(Tabla4[[#This Row],[Producto]],Tabla6[#All],14,FALSE)</f>
        <v>Termico Solar</v>
      </c>
      <c r="U1506" s="284" t="e">
        <f>(IF(Tabla4[[#This Row],[Familia]]="termico solar",Tabla4[[#This Row],[Utilidad Total]]*6%,Tabla4[[#This Row],[Utilidad Total]]*11.5%))/Tabla4[[#This Row],[Total]]</f>
        <v>#N/A</v>
      </c>
      <c r="V1506" s="282" t="e">
        <f>+Tabla4[[#This Row],[Comisión Calculada]]*Tabla4[[#This Row],[Total]]</f>
        <v>#N/A</v>
      </c>
    </row>
    <row r="1507" spans="1:22" hidden="1" x14ac:dyDescent="0.25">
      <c r="A1507" s="100">
        <v>45747</v>
      </c>
      <c r="B1507" t="str">
        <f t="shared" si="72"/>
        <v>March</v>
      </c>
      <c r="C1507" s="46" t="s">
        <v>280</v>
      </c>
      <c r="F1507" s="366" t="s">
        <v>1294</v>
      </c>
      <c r="G1507" s="46" t="s">
        <v>18</v>
      </c>
      <c r="H1507" s="46">
        <v>5</v>
      </c>
      <c r="I1507" s="51">
        <v>5367.65</v>
      </c>
      <c r="J1507" s="281">
        <f>++Tabla4[[#This Row],[Precio Bruto]]*1.16</f>
        <v>6226.4739999999993</v>
      </c>
      <c r="K1507" s="281">
        <f>+Tabla4[[#This Row],[Precio Unitario Neto]]*Tabla4[[#Headers],[20.85%]]</f>
        <v>1298.2198289999999</v>
      </c>
      <c r="L1507" s="282">
        <f>++Tabla4[[#This Row],[Precio Unitario Neto]]-Tabla4[[#This Row],[20.85%]]</f>
        <v>4928.2541709999996</v>
      </c>
      <c r="M1507" s="282" t="e">
        <f>(INDEX(Tabla6[#All],MATCH(Tabla4[[#This Row],[Producto]],Tabla6[[#All],[PRODUCTO]],0),MATCH(Tabla4[[#This Row],[Mes]],Tabla6[#Headers],0)))*(1+Catalogos!$L$2)</f>
        <v>#N/A</v>
      </c>
      <c r="N1507" s="283" t="e">
        <f>+(Tabla4[[#This Row],[Precio Descontado]]-Tabla4[[#This Row],[Precio Base]])*Tabla4[[#This Row],[Cantidad]]</f>
        <v>#N/A</v>
      </c>
      <c r="O1507" s="284" t="e">
        <f>++Tabla4[[#This Row],[Utilidad Total]]/Tabla4[[#This Row],[Total]]</f>
        <v>#N/A</v>
      </c>
      <c r="P1507" s="282">
        <f>++Tabla4[[#This Row],[Precio Descontado]]*Tabla4[[#This Row],[Cantidad]]</f>
        <v>24641.270854999999</v>
      </c>
      <c r="Q1507" s="282" t="e">
        <f>(INDEX(Tabla6[#All],MATCH(Tabla4[[#This Row],[Producto]],Tabla6[[#All],[PRODUCTO]],0),MATCH(Tabla4[[#This Row],[Mes]],Tabla6[#Headers],0)))</f>
        <v>#N/A</v>
      </c>
      <c r="R1507" s="282" t="e">
        <f>++Tabla4[[#This Row],[Precio Unitario Neto]]-Tabla4[[#This Row],[20.85%]]-Tabla4[[#This Row],[Costo]]</f>
        <v>#N/A</v>
      </c>
      <c r="S1507" s="282" t="e">
        <f>++Tabla4[[#This Row],[U. Bruta Uni]]*Tabla4[[#This Row],[Cantidad]]</f>
        <v>#N/A</v>
      </c>
      <c r="T1507" s="369" t="str">
        <f>VLOOKUP(Tabla4[[#This Row],[Producto]],Tabla6[#All],14,FALSE)</f>
        <v>Termico Solar</v>
      </c>
      <c r="U1507" s="284" t="e">
        <f>(IF(Tabla4[[#This Row],[Familia]]="termico solar",Tabla4[[#This Row],[Utilidad Total]]*6%,Tabla4[[#This Row],[Utilidad Total]]*11.5%))/Tabla4[[#This Row],[Total]]</f>
        <v>#N/A</v>
      </c>
      <c r="V1507" s="282" t="e">
        <f>+Tabla4[[#This Row],[Comisión Calculada]]*Tabla4[[#This Row],[Total]]</f>
        <v>#N/A</v>
      </c>
    </row>
    <row r="1508" spans="1:22" hidden="1" x14ac:dyDescent="0.25">
      <c r="A1508" s="100">
        <v>45747</v>
      </c>
      <c r="B1508" t="str">
        <f t="shared" si="72"/>
        <v>March</v>
      </c>
      <c r="C1508" s="46" t="s">
        <v>280</v>
      </c>
      <c r="F1508" s="366" t="s">
        <v>1294</v>
      </c>
      <c r="G1508" s="46" t="s">
        <v>208</v>
      </c>
      <c r="H1508" s="46">
        <v>15</v>
      </c>
      <c r="I1508" s="51">
        <v>140.63</v>
      </c>
      <c r="J1508" s="281">
        <f>++Tabla4[[#This Row],[Precio Bruto]]*1.16</f>
        <v>163.13079999999999</v>
      </c>
      <c r="K1508" s="281">
        <f>+Tabla4[[#This Row],[Precio Unitario Neto]]*Tabla4[[#Headers],[20.85%]]</f>
        <v>34.012771799999996</v>
      </c>
      <c r="L1508" s="282">
        <f>++Tabla4[[#This Row],[Precio Unitario Neto]]-Tabla4[[#This Row],[20.85%]]</f>
        <v>129.1180282</v>
      </c>
      <c r="M1508" s="282" t="e">
        <f>(INDEX(Tabla6[#All],MATCH(Tabla4[[#This Row],[Producto]],Tabla6[[#All],[PRODUCTO]],0),MATCH(Tabla4[[#This Row],[Mes]],Tabla6[#Headers],0)))*(1+Catalogos!$L$2)</f>
        <v>#N/A</v>
      </c>
      <c r="N1508" s="283" t="e">
        <f>+(Tabla4[[#This Row],[Precio Descontado]]-Tabla4[[#This Row],[Precio Base]])*Tabla4[[#This Row],[Cantidad]]</f>
        <v>#N/A</v>
      </c>
      <c r="O1508" s="284" t="e">
        <f>++Tabla4[[#This Row],[Utilidad Total]]/Tabla4[[#This Row],[Total]]</f>
        <v>#N/A</v>
      </c>
      <c r="P1508" s="282">
        <f>++Tabla4[[#This Row],[Precio Descontado]]*Tabla4[[#This Row],[Cantidad]]</f>
        <v>1936.7704229999999</v>
      </c>
      <c r="Q1508" s="282" t="e">
        <f>(INDEX(Tabla6[#All],MATCH(Tabla4[[#This Row],[Producto]],Tabla6[[#All],[PRODUCTO]],0),MATCH(Tabla4[[#This Row],[Mes]],Tabla6[#Headers],0)))</f>
        <v>#N/A</v>
      </c>
      <c r="R1508" s="282" t="e">
        <f>++Tabla4[[#This Row],[Precio Unitario Neto]]-Tabla4[[#This Row],[20.85%]]-Tabla4[[#This Row],[Costo]]</f>
        <v>#N/A</v>
      </c>
      <c r="S1508" s="282" t="e">
        <f>++Tabla4[[#This Row],[U. Bruta Uni]]*Tabla4[[#This Row],[Cantidad]]</f>
        <v>#N/A</v>
      </c>
      <c r="T1508" s="369" t="str">
        <f>VLOOKUP(Tabla4[[#This Row],[Producto]],Tabla6[#All],14,FALSE)</f>
        <v>Termico Solar</v>
      </c>
      <c r="U1508" s="284" t="e">
        <f>(IF(Tabla4[[#This Row],[Familia]]="termico solar",Tabla4[[#This Row],[Utilidad Total]]*6%,Tabla4[[#This Row],[Utilidad Total]]*11.5%))/Tabla4[[#This Row],[Total]]</f>
        <v>#N/A</v>
      </c>
      <c r="V1508" s="282" t="e">
        <f>+Tabla4[[#This Row],[Comisión Calculada]]*Tabla4[[#This Row],[Total]]</f>
        <v>#N/A</v>
      </c>
    </row>
    <row r="1509" spans="1:22" hidden="1" x14ac:dyDescent="0.25">
      <c r="A1509" s="100">
        <v>45747</v>
      </c>
      <c r="B1509" t="str">
        <f t="shared" si="72"/>
        <v>March</v>
      </c>
      <c r="C1509" s="46" t="s">
        <v>280</v>
      </c>
      <c r="F1509" s="366" t="s">
        <v>1295</v>
      </c>
      <c r="G1509" s="46" t="s">
        <v>83</v>
      </c>
      <c r="H1509" s="46">
        <v>1</v>
      </c>
      <c r="I1509" s="51">
        <v>8858.76</v>
      </c>
      <c r="J1509" s="281">
        <f>++Tabla4[[#This Row],[Precio Bruto]]*1.16</f>
        <v>10276.161599999999</v>
      </c>
      <c r="K1509" s="281">
        <f>+Tabla4[[#This Row],[Precio Unitario Neto]]*Tabla4[[#Headers],[20.85%]]</f>
        <v>2142.5796935999997</v>
      </c>
      <c r="L1509" s="282">
        <f>++Tabla4[[#This Row],[Precio Unitario Neto]]-Tabla4[[#This Row],[20.85%]]</f>
        <v>8133.5819063999998</v>
      </c>
      <c r="M1509" s="282" t="e">
        <f>(INDEX(Tabla6[#All],MATCH(Tabla4[[#This Row],[Producto]],Tabla6[[#All],[PRODUCTO]],0),MATCH(Tabla4[[#This Row],[Mes]],Tabla6[#Headers],0)))*(1+Catalogos!$L$2)</f>
        <v>#N/A</v>
      </c>
      <c r="N1509" s="283" t="e">
        <f>+(Tabla4[[#This Row],[Precio Descontado]]-Tabla4[[#This Row],[Precio Base]])*Tabla4[[#This Row],[Cantidad]]</f>
        <v>#N/A</v>
      </c>
      <c r="O1509" s="284" t="e">
        <f>++Tabla4[[#This Row],[Utilidad Total]]/Tabla4[[#This Row],[Total]]</f>
        <v>#N/A</v>
      </c>
      <c r="P1509" s="282">
        <f>++Tabla4[[#This Row],[Precio Descontado]]*Tabla4[[#This Row],[Cantidad]]</f>
        <v>8133.5819063999998</v>
      </c>
      <c r="Q1509" s="282" t="e">
        <f>(INDEX(Tabla6[#All],MATCH(Tabla4[[#This Row],[Producto]],Tabla6[[#All],[PRODUCTO]],0),MATCH(Tabla4[[#This Row],[Mes]],Tabla6[#Headers],0)))</f>
        <v>#N/A</v>
      </c>
      <c r="R1509" s="282" t="e">
        <f>++Tabla4[[#This Row],[Precio Unitario Neto]]-Tabla4[[#This Row],[20.85%]]-Tabla4[[#This Row],[Costo]]</f>
        <v>#N/A</v>
      </c>
      <c r="S1509" s="282" t="e">
        <f>++Tabla4[[#This Row],[U. Bruta Uni]]*Tabla4[[#This Row],[Cantidad]]</f>
        <v>#N/A</v>
      </c>
      <c r="T1509" s="369" t="str">
        <f>VLOOKUP(Tabla4[[#This Row],[Producto]],Tabla6[#All],14,FALSE)</f>
        <v>Termico Solar</v>
      </c>
      <c r="U1509" s="284" t="e">
        <f>(IF(Tabla4[[#This Row],[Familia]]="termico solar",Tabla4[[#This Row],[Utilidad Total]]*6%,Tabla4[[#This Row],[Utilidad Total]]*11.5%))/Tabla4[[#This Row],[Total]]</f>
        <v>#N/A</v>
      </c>
      <c r="V1509" s="282" t="e">
        <f>+Tabla4[[#This Row],[Comisión Calculada]]*Tabla4[[#This Row],[Total]]</f>
        <v>#N/A</v>
      </c>
    </row>
    <row r="1510" spans="1:22" hidden="1" x14ac:dyDescent="0.25">
      <c r="A1510" s="100">
        <v>45747</v>
      </c>
      <c r="B1510" t="str">
        <f t="shared" si="72"/>
        <v>March</v>
      </c>
      <c r="C1510" s="46" t="s">
        <v>280</v>
      </c>
      <c r="F1510" s="366" t="s">
        <v>1295</v>
      </c>
      <c r="G1510" s="46" t="s">
        <v>17</v>
      </c>
      <c r="H1510" s="46">
        <v>3</v>
      </c>
      <c r="I1510" s="51">
        <v>4622.28</v>
      </c>
      <c r="J1510" s="281">
        <f>++Tabla4[[#This Row],[Precio Bruto]]*1.16</f>
        <v>5361.8447999999989</v>
      </c>
      <c r="K1510" s="281">
        <f>+Tabla4[[#This Row],[Precio Unitario Neto]]*Tabla4[[#Headers],[20.85%]]</f>
        <v>1117.9446407999997</v>
      </c>
      <c r="L1510" s="282">
        <f>++Tabla4[[#This Row],[Precio Unitario Neto]]-Tabla4[[#This Row],[20.85%]]</f>
        <v>4243.9001591999995</v>
      </c>
      <c r="M1510" s="282" t="e">
        <f>(INDEX(Tabla6[#All],MATCH(Tabla4[[#This Row],[Producto]],Tabla6[[#All],[PRODUCTO]],0),MATCH(Tabla4[[#This Row],[Mes]],Tabla6[#Headers],0)))*(1+Catalogos!$L$2)</f>
        <v>#N/A</v>
      </c>
      <c r="N1510" s="283" t="e">
        <f>+(Tabla4[[#This Row],[Precio Descontado]]-Tabla4[[#This Row],[Precio Base]])*Tabla4[[#This Row],[Cantidad]]</f>
        <v>#N/A</v>
      </c>
      <c r="O1510" s="284" t="e">
        <f>++Tabla4[[#This Row],[Utilidad Total]]/Tabla4[[#This Row],[Total]]</f>
        <v>#N/A</v>
      </c>
      <c r="P1510" s="282">
        <f>++Tabla4[[#This Row],[Precio Descontado]]*Tabla4[[#This Row],[Cantidad]]</f>
        <v>12731.700477599999</v>
      </c>
      <c r="Q1510" s="282" t="e">
        <f>(INDEX(Tabla6[#All],MATCH(Tabla4[[#This Row],[Producto]],Tabla6[[#All],[PRODUCTO]],0),MATCH(Tabla4[[#This Row],[Mes]],Tabla6[#Headers],0)))</f>
        <v>#N/A</v>
      </c>
      <c r="R1510" s="282" t="e">
        <f>++Tabla4[[#This Row],[Precio Unitario Neto]]-Tabla4[[#This Row],[20.85%]]-Tabla4[[#This Row],[Costo]]</f>
        <v>#N/A</v>
      </c>
      <c r="S1510" s="282" t="e">
        <f>++Tabla4[[#This Row],[U. Bruta Uni]]*Tabla4[[#This Row],[Cantidad]]</f>
        <v>#N/A</v>
      </c>
      <c r="T1510" s="369" t="str">
        <f>VLOOKUP(Tabla4[[#This Row],[Producto]],Tabla6[#All],14,FALSE)</f>
        <v>Termico Solar</v>
      </c>
      <c r="U1510" s="284" t="e">
        <f>(IF(Tabla4[[#This Row],[Familia]]="termico solar",Tabla4[[#This Row],[Utilidad Total]]*6%,Tabla4[[#This Row],[Utilidad Total]]*11.5%))/Tabla4[[#This Row],[Total]]</f>
        <v>#N/A</v>
      </c>
      <c r="V1510" s="282" t="e">
        <f>+Tabla4[[#This Row],[Comisión Calculada]]*Tabla4[[#This Row],[Total]]</f>
        <v>#N/A</v>
      </c>
    </row>
    <row r="1511" spans="1:22" hidden="1" x14ac:dyDescent="0.25">
      <c r="A1511" s="100">
        <v>45747</v>
      </c>
      <c r="B1511" t="str">
        <f t="shared" si="72"/>
        <v>March</v>
      </c>
      <c r="C1511" s="46" t="s">
        <v>280</v>
      </c>
      <c r="F1511" s="366" t="s">
        <v>1295</v>
      </c>
      <c r="G1511" s="46" t="s">
        <v>18</v>
      </c>
      <c r="H1511" s="46">
        <v>2</v>
      </c>
      <c r="I1511" s="51">
        <v>5367.65</v>
      </c>
      <c r="J1511" s="281">
        <f>++Tabla4[[#This Row],[Precio Bruto]]*1.16</f>
        <v>6226.4739999999993</v>
      </c>
      <c r="K1511" s="281">
        <f>+Tabla4[[#This Row],[Precio Unitario Neto]]*Tabla4[[#Headers],[20.85%]]</f>
        <v>1298.2198289999999</v>
      </c>
      <c r="L1511" s="282">
        <f>++Tabla4[[#This Row],[Precio Unitario Neto]]-Tabla4[[#This Row],[20.85%]]</f>
        <v>4928.2541709999996</v>
      </c>
      <c r="M1511" s="282" t="e">
        <f>(INDEX(Tabla6[#All],MATCH(Tabla4[[#This Row],[Producto]],Tabla6[[#All],[PRODUCTO]],0),MATCH(Tabla4[[#This Row],[Mes]],Tabla6[#Headers],0)))*(1+Catalogos!$L$2)</f>
        <v>#N/A</v>
      </c>
      <c r="N1511" s="283" t="e">
        <f>+(Tabla4[[#This Row],[Precio Descontado]]-Tabla4[[#This Row],[Precio Base]])*Tabla4[[#This Row],[Cantidad]]</f>
        <v>#N/A</v>
      </c>
      <c r="O1511" s="284" t="e">
        <f>++Tabla4[[#This Row],[Utilidad Total]]/Tabla4[[#This Row],[Total]]</f>
        <v>#N/A</v>
      </c>
      <c r="P1511" s="282">
        <f>++Tabla4[[#This Row],[Precio Descontado]]*Tabla4[[#This Row],[Cantidad]]</f>
        <v>9856.5083419999992</v>
      </c>
      <c r="Q1511" s="282" t="e">
        <f>(INDEX(Tabla6[#All],MATCH(Tabla4[[#This Row],[Producto]],Tabla6[[#All],[PRODUCTO]],0),MATCH(Tabla4[[#This Row],[Mes]],Tabla6[#Headers],0)))</f>
        <v>#N/A</v>
      </c>
      <c r="R1511" s="282" t="e">
        <f>++Tabla4[[#This Row],[Precio Unitario Neto]]-Tabla4[[#This Row],[20.85%]]-Tabla4[[#This Row],[Costo]]</f>
        <v>#N/A</v>
      </c>
      <c r="S1511" s="282" t="e">
        <f>++Tabla4[[#This Row],[U. Bruta Uni]]*Tabla4[[#This Row],[Cantidad]]</f>
        <v>#N/A</v>
      </c>
      <c r="T1511" s="369" t="str">
        <f>VLOOKUP(Tabla4[[#This Row],[Producto]],Tabla6[#All],14,FALSE)</f>
        <v>Termico Solar</v>
      </c>
      <c r="U1511" s="284" t="e">
        <f>(IF(Tabla4[[#This Row],[Familia]]="termico solar",Tabla4[[#This Row],[Utilidad Total]]*6%,Tabla4[[#This Row],[Utilidad Total]]*11.5%))/Tabla4[[#This Row],[Total]]</f>
        <v>#N/A</v>
      </c>
      <c r="V1511" s="282" t="e">
        <f>+Tabla4[[#This Row],[Comisión Calculada]]*Tabla4[[#This Row],[Total]]</f>
        <v>#N/A</v>
      </c>
    </row>
    <row r="1512" spans="1:22" hidden="1" x14ac:dyDescent="0.25">
      <c r="A1512" s="100">
        <v>45747</v>
      </c>
      <c r="B1512" t="str">
        <f t="shared" si="72"/>
        <v>March</v>
      </c>
      <c r="C1512" s="46" t="s">
        <v>280</v>
      </c>
      <c r="F1512" s="366" t="s">
        <v>1296</v>
      </c>
      <c r="G1512" s="46" t="s">
        <v>18</v>
      </c>
      <c r="H1512" s="46">
        <v>3</v>
      </c>
      <c r="I1512" s="51">
        <v>5367.6500000000005</v>
      </c>
      <c r="J1512" s="281">
        <f>++Tabla4[[#This Row],[Precio Bruto]]*1.16</f>
        <v>6226.4740000000002</v>
      </c>
      <c r="K1512" s="281">
        <f>+Tabla4[[#This Row],[Precio Unitario Neto]]*Tabla4[[#Headers],[20.85%]]</f>
        <v>1298.2198289999999</v>
      </c>
      <c r="L1512" s="282">
        <f>++Tabla4[[#This Row],[Precio Unitario Neto]]-Tabla4[[#This Row],[20.85%]]</f>
        <v>4928.2541710000005</v>
      </c>
      <c r="M1512" s="282" t="e">
        <f>(INDEX(Tabla6[#All],MATCH(Tabla4[[#This Row],[Producto]],Tabla6[[#All],[PRODUCTO]],0),MATCH(Tabla4[[#This Row],[Mes]],Tabla6[#Headers],0)))*(1+Catalogos!$L$2)</f>
        <v>#N/A</v>
      </c>
      <c r="N1512" s="283" t="e">
        <f>+(Tabla4[[#This Row],[Precio Descontado]]-Tabla4[[#This Row],[Precio Base]])*Tabla4[[#This Row],[Cantidad]]</f>
        <v>#N/A</v>
      </c>
      <c r="O1512" s="284" t="e">
        <f>++Tabla4[[#This Row],[Utilidad Total]]/Tabla4[[#This Row],[Total]]</f>
        <v>#N/A</v>
      </c>
      <c r="P1512" s="282">
        <f>++Tabla4[[#This Row],[Precio Descontado]]*Tabla4[[#This Row],[Cantidad]]</f>
        <v>14784.762513000001</v>
      </c>
      <c r="Q1512" s="282" t="e">
        <f>(INDEX(Tabla6[#All],MATCH(Tabla4[[#This Row],[Producto]],Tabla6[[#All],[PRODUCTO]],0),MATCH(Tabla4[[#This Row],[Mes]],Tabla6[#Headers],0)))</f>
        <v>#N/A</v>
      </c>
      <c r="R1512" s="282" t="e">
        <f>++Tabla4[[#This Row],[Precio Unitario Neto]]-Tabla4[[#This Row],[20.85%]]-Tabla4[[#This Row],[Costo]]</f>
        <v>#N/A</v>
      </c>
      <c r="S1512" s="282" t="e">
        <f>++Tabla4[[#This Row],[U. Bruta Uni]]*Tabla4[[#This Row],[Cantidad]]</f>
        <v>#N/A</v>
      </c>
      <c r="T1512" s="369" t="str">
        <f>VLOOKUP(Tabla4[[#This Row],[Producto]],Tabla6[#All],14,FALSE)</f>
        <v>Termico Solar</v>
      </c>
      <c r="U1512" s="284" t="e">
        <f>(IF(Tabla4[[#This Row],[Familia]]="termico solar",Tabla4[[#This Row],[Utilidad Total]]*6%,Tabla4[[#This Row],[Utilidad Total]]*11.5%))/Tabla4[[#This Row],[Total]]</f>
        <v>#N/A</v>
      </c>
      <c r="V1512" s="282" t="e">
        <f>+Tabla4[[#This Row],[Comisión Calculada]]*Tabla4[[#This Row],[Total]]</f>
        <v>#N/A</v>
      </c>
    </row>
    <row r="1513" spans="1:22" hidden="1" x14ac:dyDescent="0.25">
      <c r="A1513" s="100">
        <v>45747</v>
      </c>
      <c r="B1513" t="str">
        <f t="shared" si="72"/>
        <v>March</v>
      </c>
      <c r="C1513" s="46" t="s">
        <v>280</v>
      </c>
      <c r="F1513" s="366" t="s">
        <v>1297</v>
      </c>
      <c r="G1513" s="46" t="s">
        <v>17</v>
      </c>
      <c r="H1513" s="46">
        <v>1</v>
      </c>
      <c r="I1513" s="51">
        <v>4622.28</v>
      </c>
      <c r="J1513" s="281">
        <f>++Tabla4[[#This Row],[Precio Bruto]]*1.16</f>
        <v>5361.8447999999989</v>
      </c>
      <c r="K1513" s="281">
        <f>+Tabla4[[#This Row],[Precio Unitario Neto]]*Tabla4[[#Headers],[20.85%]]</f>
        <v>1117.9446407999997</v>
      </c>
      <c r="L1513" s="282">
        <f>++Tabla4[[#This Row],[Precio Unitario Neto]]-Tabla4[[#This Row],[20.85%]]</f>
        <v>4243.9001591999995</v>
      </c>
      <c r="M1513" s="282" t="e">
        <f>(INDEX(Tabla6[#All],MATCH(Tabla4[[#This Row],[Producto]],Tabla6[[#All],[PRODUCTO]],0),MATCH(Tabla4[[#This Row],[Mes]],Tabla6[#Headers],0)))*(1+Catalogos!$L$2)</f>
        <v>#N/A</v>
      </c>
      <c r="N1513" s="283" t="e">
        <f>+(Tabla4[[#This Row],[Precio Descontado]]-Tabla4[[#This Row],[Precio Base]])*Tabla4[[#This Row],[Cantidad]]</f>
        <v>#N/A</v>
      </c>
      <c r="O1513" s="284" t="e">
        <f>++Tabla4[[#This Row],[Utilidad Total]]/Tabla4[[#This Row],[Total]]</f>
        <v>#N/A</v>
      </c>
      <c r="P1513" s="282">
        <f>++Tabla4[[#This Row],[Precio Descontado]]*Tabla4[[#This Row],[Cantidad]]</f>
        <v>4243.9001591999995</v>
      </c>
      <c r="Q1513" s="282" t="e">
        <f>(INDEX(Tabla6[#All],MATCH(Tabla4[[#This Row],[Producto]],Tabla6[[#All],[PRODUCTO]],0),MATCH(Tabla4[[#This Row],[Mes]],Tabla6[#Headers],0)))</f>
        <v>#N/A</v>
      </c>
      <c r="R1513" s="282" t="e">
        <f>++Tabla4[[#This Row],[Precio Unitario Neto]]-Tabla4[[#This Row],[20.85%]]-Tabla4[[#This Row],[Costo]]</f>
        <v>#N/A</v>
      </c>
      <c r="S1513" s="282" t="e">
        <f>++Tabla4[[#This Row],[U. Bruta Uni]]*Tabla4[[#This Row],[Cantidad]]</f>
        <v>#N/A</v>
      </c>
      <c r="T1513" s="369" t="str">
        <f>VLOOKUP(Tabla4[[#This Row],[Producto]],Tabla6[#All],14,FALSE)</f>
        <v>Termico Solar</v>
      </c>
      <c r="U1513" s="284" t="e">
        <f>(IF(Tabla4[[#This Row],[Familia]]="termico solar",Tabla4[[#This Row],[Utilidad Total]]*6%,Tabla4[[#This Row],[Utilidad Total]]*11.5%))/Tabla4[[#This Row],[Total]]</f>
        <v>#N/A</v>
      </c>
      <c r="V1513" s="282" t="e">
        <f>+Tabla4[[#This Row],[Comisión Calculada]]*Tabla4[[#This Row],[Total]]</f>
        <v>#N/A</v>
      </c>
    </row>
    <row r="1514" spans="1:22" hidden="1" x14ac:dyDescent="0.25">
      <c r="A1514" s="100">
        <v>45747</v>
      </c>
      <c r="B1514" t="str">
        <f t="shared" si="72"/>
        <v>March</v>
      </c>
      <c r="C1514" s="46" t="s">
        <v>280</v>
      </c>
      <c r="F1514" s="366" t="s">
        <v>1297</v>
      </c>
      <c r="G1514" s="46" t="s">
        <v>18</v>
      </c>
      <c r="H1514" s="46">
        <v>2</v>
      </c>
      <c r="I1514" s="51">
        <v>5367.65</v>
      </c>
      <c r="J1514" s="281">
        <f>++Tabla4[[#This Row],[Precio Bruto]]*1.16</f>
        <v>6226.4739999999993</v>
      </c>
      <c r="K1514" s="281">
        <f>+Tabla4[[#This Row],[Precio Unitario Neto]]*Tabla4[[#Headers],[20.85%]]</f>
        <v>1298.2198289999999</v>
      </c>
      <c r="L1514" s="282">
        <f>++Tabla4[[#This Row],[Precio Unitario Neto]]-Tabla4[[#This Row],[20.85%]]</f>
        <v>4928.2541709999996</v>
      </c>
      <c r="M1514" s="282" t="e">
        <f>(INDEX(Tabla6[#All],MATCH(Tabla4[[#This Row],[Producto]],Tabla6[[#All],[PRODUCTO]],0),MATCH(Tabla4[[#This Row],[Mes]],Tabla6[#Headers],0)))*(1+Catalogos!$L$2)</f>
        <v>#N/A</v>
      </c>
      <c r="N1514" s="283" t="e">
        <f>+(Tabla4[[#This Row],[Precio Descontado]]-Tabla4[[#This Row],[Precio Base]])*Tabla4[[#This Row],[Cantidad]]</f>
        <v>#N/A</v>
      </c>
      <c r="O1514" s="284" t="e">
        <f>++Tabla4[[#This Row],[Utilidad Total]]/Tabla4[[#This Row],[Total]]</f>
        <v>#N/A</v>
      </c>
      <c r="P1514" s="282">
        <f>++Tabla4[[#This Row],[Precio Descontado]]*Tabla4[[#This Row],[Cantidad]]</f>
        <v>9856.5083419999992</v>
      </c>
      <c r="Q1514" s="282" t="e">
        <f>(INDEX(Tabla6[#All],MATCH(Tabla4[[#This Row],[Producto]],Tabla6[[#All],[PRODUCTO]],0),MATCH(Tabla4[[#This Row],[Mes]],Tabla6[#Headers],0)))</f>
        <v>#N/A</v>
      </c>
      <c r="R1514" s="282" t="e">
        <f>++Tabla4[[#This Row],[Precio Unitario Neto]]-Tabla4[[#This Row],[20.85%]]-Tabla4[[#This Row],[Costo]]</f>
        <v>#N/A</v>
      </c>
      <c r="S1514" s="282" t="e">
        <f>++Tabla4[[#This Row],[U. Bruta Uni]]*Tabla4[[#This Row],[Cantidad]]</f>
        <v>#N/A</v>
      </c>
      <c r="T1514" s="369" t="str">
        <f>VLOOKUP(Tabla4[[#This Row],[Producto]],Tabla6[#All],14,FALSE)</f>
        <v>Termico Solar</v>
      </c>
      <c r="U1514" s="284" t="e">
        <f>(IF(Tabla4[[#This Row],[Familia]]="termico solar",Tabla4[[#This Row],[Utilidad Total]]*6%,Tabla4[[#This Row],[Utilidad Total]]*11.5%))/Tabla4[[#This Row],[Total]]</f>
        <v>#N/A</v>
      </c>
      <c r="V1514" s="282" t="e">
        <f>+Tabla4[[#This Row],[Comisión Calculada]]*Tabla4[[#This Row],[Total]]</f>
        <v>#N/A</v>
      </c>
    </row>
    <row r="1515" spans="1:22" hidden="1" x14ac:dyDescent="0.25">
      <c r="A1515" s="100">
        <v>45747</v>
      </c>
      <c r="B1515" t="str">
        <f t="shared" si="72"/>
        <v>March</v>
      </c>
      <c r="C1515" s="46" t="s">
        <v>280</v>
      </c>
      <c r="F1515" s="366" t="s">
        <v>1297</v>
      </c>
      <c r="G1515" s="46" t="s">
        <v>19</v>
      </c>
      <c r="H1515" s="46">
        <v>2</v>
      </c>
      <c r="I1515" s="51">
        <v>6412.03</v>
      </c>
      <c r="J1515" s="281">
        <f>++Tabla4[[#This Row],[Precio Bruto]]*1.16</f>
        <v>7437.9547999999995</v>
      </c>
      <c r="K1515" s="281">
        <f>+Tabla4[[#This Row],[Precio Unitario Neto]]*Tabla4[[#Headers],[20.85%]]</f>
        <v>1550.8135757999999</v>
      </c>
      <c r="L1515" s="282">
        <f>++Tabla4[[#This Row],[Precio Unitario Neto]]-Tabla4[[#This Row],[20.85%]]</f>
        <v>5887.1412241999997</v>
      </c>
      <c r="M1515" s="282" t="e">
        <f>(INDEX(Tabla6[#All],MATCH(Tabla4[[#This Row],[Producto]],Tabla6[[#All],[PRODUCTO]],0),MATCH(Tabla4[[#This Row],[Mes]],Tabla6[#Headers],0)))*(1+Catalogos!$L$2)</f>
        <v>#N/A</v>
      </c>
      <c r="N1515" s="283" t="e">
        <f>+(Tabla4[[#This Row],[Precio Descontado]]-Tabla4[[#This Row],[Precio Base]])*Tabla4[[#This Row],[Cantidad]]</f>
        <v>#N/A</v>
      </c>
      <c r="O1515" s="284" t="e">
        <f>++Tabla4[[#This Row],[Utilidad Total]]/Tabla4[[#This Row],[Total]]</f>
        <v>#N/A</v>
      </c>
      <c r="P1515" s="282">
        <f>++Tabla4[[#This Row],[Precio Descontado]]*Tabla4[[#This Row],[Cantidad]]</f>
        <v>11774.282448399999</v>
      </c>
      <c r="Q1515" s="282" t="e">
        <f>(INDEX(Tabla6[#All],MATCH(Tabla4[[#This Row],[Producto]],Tabla6[[#All],[PRODUCTO]],0),MATCH(Tabla4[[#This Row],[Mes]],Tabla6[#Headers],0)))</f>
        <v>#N/A</v>
      </c>
      <c r="R1515" s="282" t="e">
        <f>++Tabla4[[#This Row],[Precio Unitario Neto]]-Tabla4[[#This Row],[20.85%]]-Tabla4[[#This Row],[Costo]]</f>
        <v>#N/A</v>
      </c>
      <c r="S1515" s="282" t="e">
        <f>++Tabla4[[#This Row],[U. Bruta Uni]]*Tabla4[[#This Row],[Cantidad]]</f>
        <v>#N/A</v>
      </c>
      <c r="T1515" s="369" t="str">
        <f>VLOOKUP(Tabla4[[#This Row],[Producto]],Tabla6[#All],14,FALSE)</f>
        <v>Termico Solar</v>
      </c>
      <c r="U1515" s="284" t="e">
        <f>(IF(Tabla4[[#This Row],[Familia]]="termico solar",Tabla4[[#This Row],[Utilidad Total]]*6%,Tabla4[[#This Row],[Utilidad Total]]*11.5%))/Tabla4[[#This Row],[Total]]</f>
        <v>#N/A</v>
      </c>
      <c r="V1515" s="282" t="e">
        <f>+Tabla4[[#This Row],[Comisión Calculada]]*Tabla4[[#This Row],[Total]]</f>
        <v>#N/A</v>
      </c>
    </row>
    <row r="1516" spans="1:22" hidden="1" x14ac:dyDescent="0.25">
      <c r="A1516" s="100">
        <v>45747</v>
      </c>
      <c r="B1516" t="str">
        <f t="shared" si="72"/>
        <v>March</v>
      </c>
      <c r="C1516" s="46" t="s">
        <v>280</v>
      </c>
      <c r="F1516" s="366" t="s">
        <v>1297</v>
      </c>
      <c r="G1516" s="46" t="s">
        <v>208</v>
      </c>
      <c r="H1516" s="46">
        <v>15</v>
      </c>
      <c r="I1516" s="51">
        <v>140.63</v>
      </c>
      <c r="J1516" s="281">
        <f>++Tabla4[[#This Row],[Precio Bruto]]*1.16</f>
        <v>163.13079999999999</v>
      </c>
      <c r="K1516" s="281">
        <f>+Tabla4[[#This Row],[Precio Unitario Neto]]*Tabla4[[#Headers],[20.85%]]</f>
        <v>34.012771799999996</v>
      </c>
      <c r="L1516" s="282">
        <f>++Tabla4[[#This Row],[Precio Unitario Neto]]-Tabla4[[#This Row],[20.85%]]</f>
        <v>129.1180282</v>
      </c>
      <c r="M1516" s="282" t="e">
        <f>(INDEX(Tabla6[#All],MATCH(Tabla4[[#This Row],[Producto]],Tabla6[[#All],[PRODUCTO]],0),MATCH(Tabla4[[#This Row],[Mes]],Tabla6[#Headers],0)))*(1+Catalogos!$L$2)</f>
        <v>#N/A</v>
      </c>
      <c r="N1516" s="283" t="e">
        <f>+(Tabla4[[#This Row],[Precio Descontado]]-Tabla4[[#This Row],[Precio Base]])*Tabla4[[#This Row],[Cantidad]]</f>
        <v>#N/A</v>
      </c>
      <c r="O1516" s="284" t="e">
        <f>++Tabla4[[#This Row],[Utilidad Total]]/Tabla4[[#This Row],[Total]]</f>
        <v>#N/A</v>
      </c>
      <c r="P1516" s="282">
        <f>++Tabla4[[#This Row],[Precio Descontado]]*Tabla4[[#This Row],[Cantidad]]</f>
        <v>1936.7704229999999</v>
      </c>
      <c r="Q1516" s="282" t="e">
        <f>(INDEX(Tabla6[#All],MATCH(Tabla4[[#This Row],[Producto]],Tabla6[[#All],[PRODUCTO]],0),MATCH(Tabla4[[#This Row],[Mes]],Tabla6[#Headers],0)))</f>
        <v>#N/A</v>
      </c>
      <c r="R1516" s="282" t="e">
        <f>++Tabla4[[#This Row],[Precio Unitario Neto]]-Tabla4[[#This Row],[20.85%]]-Tabla4[[#This Row],[Costo]]</f>
        <v>#N/A</v>
      </c>
      <c r="S1516" s="282" t="e">
        <f>++Tabla4[[#This Row],[U. Bruta Uni]]*Tabla4[[#This Row],[Cantidad]]</f>
        <v>#N/A</v>
      </c>
      <c r="T1516" s="369" t="str">
        <f>VLOOKUP(Tabla4[[#This Row],[Producto]],Tabla6[#All],14,FALSE)</f>
        <v>Termico Solar</v>
      </c>
      <c r="U1516" s="284" t="e">
        <f>(IF(Tabla4[[#This Row],[Familia]]="termico solar",Tabla4[[#This Row],[Utilidad Total]]*6%,Tabla4[[#This Row],[Utilidad Total]]*11.5%))/Tabla4[[#This Row],[Total]]</f>
        <v>#N/A</v>
      </c>
      <c r="V1516" s="282" t="e">
        <f>+Tabla4[[#This Row],[Comisión Calculada]]*Tabla4[[#This Row],[Total]]</f>
        <v>#N/A</v>
      </c>
    </row>
    <row r="1517" spans="1:22" hidden="1" x14ac:dyDescent="0.25">
      <c r="A1517" s="100">
        <v>45747</v>
      </c>
      <c r="B1517" t="str">
        <f t="shared" si="72"/>
        <v>March</v>
      </c>
      <c r="C1517" s="46" t="s">
        <v>280</v>
      </c>
      <c r="F1517" s="366" t="s">
        <v>1298</v>
      </c>
      <c r="G1517" s="46" t="s">
        <v>83</v>
      </c>
      <c r="H1517" s="46">
        <v>4</v>
      </c>
      <c r="I1517" s="51">
        <v>8858.76</v>
      </c>
      <c r="J1517" s="281">
        <f>++Tabla4[[#This Row],[Precio Bruto]]*1.16</f>
        <v>10276.161599999999</v>
      </c>
      <c r="K1517" s="281">
        <f>+Tabla4[[#This Row],[Precio Unitario Neto]]*Tabla4[[#Headers],[20.85%]]</f>
        <v>2142.5796935999997</v>
      </c>
      <c r="L1517" s="282">
        <f>++Tabla4[[#This Row],[Precio Unitario Neto]]-Tabla4[[#This Row],[20.85%]]</f>
        <v>8133.5819063999998</v>
      </c>
      <c r="M1517" s="282" t="e">
        <f>(INDEX(Tabla6[#All],MATCH(Tabla4[[#This Row],[Producto]],Tabla6[[#All],[PRODUCTO]],0),MATCH(Tabla4[[#This Row],[Mes]],Tabla6[#Headers],0)))*(1+Catalogos!$L$2)</f>
        <v>#N/A</v>
      </c>
      <c r="N1517" s="283" t="e">
        <f>+(Tabla4[[#This Row],[Precio Descontado]]-Tabla4[[#This Row],[Precio Base]])*Tabla4[[#This Row],[Cantidad]]</f>
        <v>#N/A</v>
      </c>
      <c r="O1517" s="284" t="e">
        <f>++Tabla4[[#This Row],[Utilidad Total]]/Tabla4[[#This Row],[Total]]</f>
        <v>#N/A</v>
      </c>
      <c r="P1517" s="282">
        <f>++Tabla4[[#This Row],[Precio Descontado]]*Tabla4[[#This Row],[Cantidad]]</f>
        <v>32534.327625599999</v>
      </c>
      <c r="Q1517" s="282" t="e">
        <f>(INDEX(Tabla6[#All],MATCH(Tabla4[[#This Row],[Producto]],Tabla6[[#All],[PRODUCTO]],0),MATCH(Tabla4[[#This Row],[Mes]],Tabla6[#Headers],0)))</f>
        <v>#N/A</v>
      </c>
      <c r="R1517" s="282" t="e">
        <f>++Tabla4[[#This Row],[Precio Unitario Neto]]-Tabla4[[#This Row],[20.85%]]-Tabla4[[#This Row],[Costo]]</f>
        <v>#N/A</v>
      </c>
      <c r="S1517" s="282" t="e">
        <f>++Tabla4[[#This Row],[U. Bruta Uni]]*Tabla4[[#This Row],[Cantidad]]</f>
        <v>#N/A</v>
      </c>
      <c r="T1517" s="369" t="str">
        <f>VLOOKUP(Tabla4[[#This Row],[Producto]],Tabla6[#All],14,FALSE)</f>
        <v>Termico Solar</v>
      </c>
      <c r="U1517" s="284" t="e">
        <f>(IF(Tabla4[[#This Row],[Familia]]="termico solar",Tabla4[[#This Row],[Utilidad Total]]*6%,Tabla4[[#This Row],[Utilidad Total]]*11.5%))/Tabla4[[#This Row],[Total]]</f>
        <v>#N/A</v>
      </c>
      <c r="V1517" s="282" t="e">
        <f>+Tabla4[[#This Row],[Comisión Calculada]]*Tabla4[[#This Row],[Total]]</f>
        <v>#N/A</v>
      </c>
    </row>
    <row r="1518" spans="1:22" hidden="1" x14ac:dyDescent="0.25">
      <c r="A1518" s="100">
        <v>45747</v>
      </c>
      <c r="B1518" t="str">
        <f t="shared" si="72"/>
        <v>March</v>
      </c>
      <c r="C1518" s="46" t="s">
        <v>280</v>
      </c>
      <c r="F1518" s="366" t="s">
        <v>1298</v>
      </c>
      <c r="G1518" s="46" t="s">
        <v>17</v>
      </c>
      <c r="H1518" s="46">
        <v>1</v>
      </c>
      <c r="I1518" s="51">
        <v>4622.28</v>
      </c>
      <c r="J1518" s="281">
        <f>++Tabla4[[#This Row],[Precio Bruto]]*1.16</f>
        <v>5361.8447999999989</v>
      </c>
      <c r="K1518" s="281">
        <f>+Tabla4[[#This Row],[Precio Unitario Neto]]*Tabla4[[#Headers],[20.85%]]</f>
        <v>1117.9446407999997</v>
      </c>
      <c r="L1518" s="282">
        <f>++Tabla4[[#This Row],[Precio Unitario Neto]]-Tabla4[[#This Row],[20.85%]]</f>
        <v>4243.9001591999995</v>
      </c>
      <c r="M1518" s="282" t="e">
        <f>(INDEX(Tabla6[#All],MATCH(Tabla4[[#This Row],[Producto]],Tabla6[[#All],[PRODUCTO]],0),MATCH(Tabla4[[#This Row],[Mes]],Tabla6[#Headers],0)))*(1+Catalogos!$L$2)</f>
        <v>#N/A</v>
      </c>
      <c r="N1518" s="283" t="e">
        <f>+(Tabla4[[#This Row],[Precio Descontado]]-Tabla4[[#This Row],[Precio Base]])*Tabla4[[#This Row],[Cantidad]]</f>
        <v>#N/A</v>
      </c>
      <c r="O1518" s="284" t="e">
        <f>++Tabla4[[#This Row],[Utilidad Total]]/Tabla4[[#This Row],[Total]]</f>
        <v>#N/A</v>
      </c>
      <c r="P1518" s="282">
        <f>++Tabla4[[#This Row],[Precio Descontado]]*Tabla4[[#This Row],[Cantidad]]</f>
        <v>4243.9001591999995</v>
      </c>
      <c r="Q1518" s="282" t="e">
        <f>(INDEX(Tabla6[#All],MATCH(Tabla4[[#This Row],[Producto]],Tabla6[[#All],[PRODUCTO]],0),MATCH(Tabla4[[#This Row],[Mes]],Tabla6[#Headers],0)))</f>
        <v>#N/A</v>
      </c>
      <c r="R1518" s="282" t="e">
        <f>++Tabla4[[#This Row],[Precio Unitario Neto]]-Tabla4[[#This Row],[20.85%]]-Tabla4[[#This Row],[Costo]]</f>
        <v>#N/A</v>
      </c>
      <c r="S1518" s="282" t="e">
        <f>++Tabla4[[#This Row],[U. Bruta Uni]]*Tabla4[[#This Row],[Cantidad]]</f>
        <v>#N/A</v>
      </c>
      <c r="T1518" s="369" t="str">
        <f>VLOOKUP(Tabla4[[#This Row],[Producto]],Tabla6[#All],14,FALSE)</f>
        <v>Termico Solar</v>
      </c>
      <c r="U1518" s="284" t="e">
        <f>(IF(Tabla4[[#This Row],[Familia]]="termico solar",Tabla4[[#This Row],[Utilidad Total]]*6%,Tabla4[[#This Row],[Utilidad Total]]*11.5%))/Tabla4[[#This Row],[Total]]</f>
        <v>#N/A</v>
      </c>
      <c r="V1518" s="282" t="e">
        <f>+Tabla4[[#This Row],[Comisión Calculada]]*Tabla4[[#This Row],[Total]]</f>
        <v>#N/A</v>
      </c>
    </row>
    <row r="1519" spans="1:22" hidden="1" x14ac:dyDescent="0.25">
      <c r="A1519" s="100">
        <v>45747</v>
      </c>
      <c r="B1519" t="str">
        <f t="shared" si="72"/>
        <v>March</v>
      </c>
      <c r="C1519" s="46" t="s">
        <v>280</v>
      </c>
      <c r="F1519" s="366" t="s">
        <v>1298</v>
      </c>
      <c r="G1519" s="46" t="s">
        <v>208</v>
      </c>
      <c r="H1519" s="46">
        <v>15</v>
      </c>
      <c r="I1519" s="51">
        <v>140.63</v>
      </c>
      <c r="J1519" s="281">
        <f>++Tabla4[[#This Row],[Precio Bruto]]*1.16</f>
        <v>163.13079999999999</v>
      </c>
      <c r="K1519" s="281">
        <f>+Tabla4[[#This Row],[Precio Unitario Neto]]*Tabla4[[#Headers],[20.85%]]</f>
        <v>34.012771799999996</v>
      </c>
      <c r="L1519" s="282">
        <f>++Tabla4[[#This Row],[Precio Unitario Neto]]-Tabla4[[#This Row],[20.85%]]</f>
        <v>129.1180282</v>
      </c>
      <c r="M1519" s="282" t="e">
        <f>(INDEX(Tabla6[#All],MATCH(Tabla4[[#This Row],[Producto]],Tabla6[[#All],[PRODUCTO]],0),MATCH(Tabla4[[#This Row],[Mes]],Tabla6[#Headers],0)))*(1+Catalogos!$L$2)</f>
        <v>#N/A</v>
      </c>
      <c r="N1519" s="283" t="e">
        <f>+(Tabla4[[#This Row],[Precio Descontado]]-Tabla4[[#This Row],[Precio Base]])*Tabla4[[#This Row],[Cantidad]]</f>
        <v>#N/A</v>
      </c>
      <c r="O1519" s="284" t="e">
        <f>++Tabla4[[#This Row],[Utilidad Total]]/Tabla4[[#This Row],[Total]]</f>
        <v>#N/A</v>
      </c>
      <c r="P1519" s="282">
        <f>++Tabla4[[#This Row],[Precio Descontado]]*Tabla4[[#This Row],[Cantidad]]</f>
        <v>1936.7704229999999</v>
      </c>
      <c r="Q1519" s="282" t="e">
        <f>(INDEX(Tabla6[#All],MATCH(Tabla4[[#This Row],[Producto]],Tabla6[[#All],[PRODUCTO]],0),MATCH(Tabla4[[#This Row],[Mes]],Tabla6[#Headers],0)))</f>
        <v>#N/A</v>
      </c>
      <c r="R1519" s="282" t="e">
        <f>++Tabla4[[#This Row],[Precio Unitario Neto]]-Tabla4[[#This Row],[20.85%]]-Tabla4[[#This Row],[Costo]]</f>
        <v>#N/A</v>
      </c>
      <c r="S1519" s="282" t="e">
        <f>++Tabla4[[#This Row],[U. Bruta Uni]]*Tabla4[[#This Row],[Cantidad]]</f>
        <v>#N/A</v>
      </c>
      <c r="T1519" s="369" t="str">
        <f>VLOOKUP(Tabla4[[#This Row],[Producto]],Tabla6[#All],14,FALSE)</f>
        <v>Termico Solar</v>
      </c>
      <c r="U1519" s="284" t="e">
        <f>(IF(Tabla4[[#This Row],[Familia]]="termico solar",Tabla4[[#This Row],[Utilidad Total]]*6%,Tabla4[[#This Row],[Utilidad Total]]*11.5%))/Tabla4[[#This Row],[Total]]</f>
        <v>#N/A</v>
      </c>
      <c r="V1519" s="282" t="e">
        <f>+Tabla4[[#This Row],[Comisión Calculada]]*Tabla4[[#This Row],[Total]]</f>
        <v>#N/A</v>
      </c>
    </row>
    <row r="1520" spans="1:22" hidden="1" x14ac:dyDescent="0.25">
      <c r="A1520" s="100">
        <v>45747</v>
      </c>
      <c r="B1520" t="str">
        <f t="shared" si="72"/>
        <v>March</v>
      </c>
      <c r="C1520" s="46" t="s">
        <v>280</v>
      </c>
      <c r="F1520" s="366" t="s">
        <v>1299</v>
      </c>
      <c r="G1520" s="46" t="s">
        <v>18</v>
      </c>
      <c r="H1520" s="46">
        <v>5</v>
      </c>
      <c r="I1520" s="51">
        <v>5367.65</v>
      </c>
      <c r="J1520" s="281">
        <f>++Tabla4[[#This Row],[Precio Bruto]]*1.16</f>
        <v>6226.4739999999993</v>
      </c>
      <c r="K1520" s="281">
        <f>+Tabla4[[#This Row],[Precio Unitario Neto]]*Tabla4[[#Headers],[20.85%]]</f>
        <v>1298.2198289999999</v>
      </c>
      <c r="L1520" s="282">
        <f>++Tabla4[[#This Row],[Precio Unitario Neto]]-Tabla4[[#This Row],[20.85%]]</f>
        <v>4928.2541709999996</v>
      </c>
      <c r="M1520" s="282" t="e">
        <f>(INDEX(Tabla6[#All],MATCH(Tabla4[[#This Row],[Producto]],Tabla6[[#All],[PRODUCTO]],0),MATCH(Tabla4[[#This Row],[Mes]],Tabla6[#Headers],0)))*(1+Catalogos!$L$2)</f>
        <v>#N/A</v>
      </c>
      <c r="N1520" s="283" t="e">
        <f>+(Tabla4[[#This Row],[Precio Descontado]]-Tabla4[[#This Row],[Precio Base]])*Tabla4[[#This Row],[Cantidad]]</f>
        <v>#N/A</v>
      </c>
      <c r="O1520" s="284" t="e">
        <f>++Tabla4[[#This Row],[Utilidad Total]]/Tabla4[[#This Row],[Total]]</f>
        <v>#N/A</v>
      </c>
      <c r="P1520" s="282">
        <f>++Tabla4[[#This Row],[Precio Descontado]]*Tabla4[[#This Row],[Cantidad]]</f>
        <v>24641.270854999999</v>
      </c>
      <c r="Q1520" s="282" t="e">
        <f>(INDEX(Tabla6[#All],MATCH(Tabla4[[#This Row],[Producto]],Tabla6[[#All],[PRODUCTO]],0),MATCH(Tabla4[[#This Row],[Mes]],Tabla6[#Headers],0)))</f>
        <v>#N/A</v>
      </c>
      <c r="R1520" s="282" t="e">
        <f>++Tabla4[[#This Row],[Precio Unitario Neto]]-Tabla4[[#This Row],[20.85%]]-Tabla4[[#This Row],[Costo]]</f>
        <v>#N/A</v>
      </c>
      <c r="S1520" s="282" t="e">
        <f>++Tabla4[[#This Row],[U. Bruta Uni]]*Tabla4[[#This Row],[Cantidad]]</f>
        <v>#N/A</v>
      </c>
      <c r="T1520" s="369" t="str">
        <f>VLOOKUP(Tabla4[[#This Row],[Producto]],Tabla6[#All],14,FALSE)</f>
        <v>Termico Solar</v>
      </c>
      <c r="U1520" s="284" t="e">
        <f>(IF(Tabla4[[#This Row],[Familia]]="termico solar",Tabla4[[#This Row],[Utilidad Total]]*6%,Tabla4[[#This Row],[Utilidad Total]]*11.5%))/Tabla4[[#This Row],[Total]]</f>
        <v>#N/A</v>
      </c>
      <c r="V1520" s="282" t="e">
        <f>+Tabla4[[#This Row],[Comisión Calculada]]*Tabla4[[#This Row],[Total]]</f>
        <v>#N/A</v>
      </c>
    </row>
    <row r="1521" spans="1:22" hidden="1" x14ac:dyDescent="0.25">
      <c r="A1521" s="100">
        <v>45747</v>
      </c>
      <c r="B1521" t="str">
        <f t="shared" si="72"/>
        <v>March</v>
      </c>
      <c r="C1521" s="46" t="s">
        <v>280</v>
      </c>
      <c r="F1521" s="366" t="s">
        <v>1300</v>
      </c>
      <c r="G1521" s="46" t="s">
        <v>18</v>
      </c>
      <c r="H1521" s="46">
        <v>6</v>
      </c>
      <c r="I1521" s="51">
        <v>5367.6500000000005</v>
      </c>
      <c r="J1521" s="281">
        <f>++Tabla4[[#This Row],[Precio Bruto]]*1.16</f>
        <v>6226.4740000000002</v>
      </c>
      <c r="K1521" s="281">
        <f>+Tabla4[[#This Row],[Precio Unitario Neto]]*Tabla4[[#Headers],[20.85%]]</f>
        <v>1298.2198289999999</v>
      </c>
      <c r="L1521" s="282">
        <f>++Tabla4[[#This Row],[Precio Unitario Neto]]-Tabla4[[#This Row],[20.85%]]</f>
        <v>4928.2541710000005</v>
      </c>
      <c r="M1521" s="282" t="e">
        <f>(INDEX(Tabla6[#All],MATCH(Tabla4[[#This Row],[Producto]],Tabla6[[#All],[PRODUCTO]],0),MATCH(Tabla4[[#This Row],[Mes]],Tabla6[#Headers],0)))*(1+Catalogos!$L$2)</f>
        <v>#N/A</v>
      </c>
      <c r="N1521" s="283" t="e">
        <f>+(Tabla4[[#This Row],[Precio Descontado]]-Tabla4[[#This Row],[Precio Base]])*Tabla4[[#This Row],[Cantidad]]</f>
        <v>#N/A</v>
      </c>
      <c r="O1521" s="284" t="e">
        <f>++Tabla4[[#This Row],[Utilidad Total]]/Tabla4[[#This Row],[Total]]</f>
        <v>#N/A</v>
      </c>
      <c r="P1521" s="282">
        <f>++Tabla4[[#This Row],[Precio Descontado]]*Tabla4[[#This Row],[Cantidad]]</f>
        <v>29569.525026000003</v>
      </c>
      <c r="Q1521" s="282" t="e">
        <f>(INDEX(Tabla6[#All],MATCH(Tabla4[[#This Row],[Producto]],Tabla6[[#All],[PRODUCTO]],0),MATCH(Tabla4[[#This Row],[Mes]],Tabla6[#Headers],0)))</f>
        <v>#N/A</v>
      </c>
      <c r="R1521" s="282" t="e">
        <f>++Tabla4[[#This Row],[Precio Unitario Neto]]-Tabla4[[#This Row],[20.85%]]-Tabla4[[#This Row],[Costo]]</f>
        <v>#N/A</v>
      </c>
      <c r="S1521" s="282" t="e">
        <f>++Tabla4[[#This Row],[U. Bruta Uni]]*Tabla4[[#This Row],[Cantidad]]</f>
        <v>#N/A</v>
      </c>
      <c r="T1521" s="369" t="str">
        <f>VLOOKUP(Tabla4[[#This Row],[Producto]],Tabla6[#All],14,FALSE)</f>
        <v>Termico Solar</v>
      </c>
      <c r="U1521" s="284" t="e">
        <f>(IF(Tabla4[[#This Row],[Familia]]="termico solar",Tabla4[[#This Row],[Utilidad Total]]*6%,Tabla4[[#This Row],[Utilidad Total]]*11.5%))/Tabla4[[#This Row],[Total]]</f>
        <v>#N/A</v>
      </c>
      <c r="V1521" s="282" t="e">
        <f>+Tabla4[[#This Row],[Comisión Calculada]]*Tabla4[[#This Row],[Total]]</f>
        <v>#N/A</v>
      </c>
    </row>
    <row r="1522" spans="1:22" hidden="1" x14ac:dyDescent="0.25">
      <c r="A1522" s="100">
        <v>45747</v>
      </c>
      <c r="B1522" t="str">
        <f t="shared" ref="B1522:B1527" si="73">TEXT(A1522, "mmmm")</f>
        <v>March</v>
      </c>
      <c r="C1522" s="46" t="s">
        <v>280</v>
      </c>
      <c r="F1522" s="366" t="s">
        <v>1301</v>
      </c>
      <c r="G1522" s="46" t="s">
        <v>83</v>
      </c>
      <c r="H1522" s="46">
        <v>2</v>
      </c>
      <c r="I1522" s="51">
        <v>8858.76</v>
      </c>
      <c r="J1522" s="281">
        <f>++Tabla4[[#This Row],[Precio Bruto]]*1.16</f>
        <v>10276.161599999999</v>
      </c>
      <c r="K1522" s="281">
        <f>+Tabla4[[#This Row],[Precio Unitario Neto]]*Tabla4[[#Headers],[20.85%]]</f>
        <v>2142.5796935999997</v>
      </c>
      <c r="L1522" s="282">
        <f>++Tabla4[[#This Row],[Precio Unitario Neto]]-Tabla4[[#This Row],[20.85%]]</f>
        <v>8133.5819063999998</v>
      </c>
      <c r="M1522" s="282" t="e">
        <f>(INDEX(Tabla6[#All],MATCH(Tabla4[[#This Row],[Producto]],Tabla6[[#All],[PRODUCTO]],0),MATCH(Tabla4[[#This Row],[Mes]],Tabla6[#Headers],0)))*(1+Catalogos!$L$2)</f>
        <v>#N/A</v>
      </c>
      <c r="N1522" s="283" t="e">
        <f>+(Tabla4[[#This Row],[Precio Descontado]]-Tabla4[[#This Row],[Precio Base]])*Tabla4[[#This Row],[Cantidad]]</f>
        <v>#N/A</v>
      </c>
      <c r="O1522" s="284" t="e">
        <f>++Tabla4[[#This Row],[Utilidad Total]]/Tabla4[[#This Row],[Total]]</f>
        <v>#N/A</v>
      </c>
      <c r="P1522" s="282">
        <f>++Tabla4[[#This Row],[Precio Descontado]]*Tabla4[[#This Row],[Cantidad]]</f>
        <v>16267.1638128</v>
      </c>
      <c r="Q1522" s="282" t="e">
        <f>(INDEX(Tabla6[#All],MATCH(Tabla4[[#This Row],[Producto]],Tabla6[[#All],[PRODUCTO]],0),MATCH(Tabla4[[#This Row],[Mes]],Tabla6[#Headers],0)))</f>
        <v>#N/A</v>
      </c>
      <c r="R1522" s="282" t="e">
        <f>++Tabla4[[#This Row],[Precio Unitario Neto]]-Tabla4[[#This Row],[20.85%]]-Tabla4[[#This Row],[Costo]]</f>
        <v>#N/A</v>
      </c>
      <c r="S1522" s="282" t="e">
        <f>++Tabla4[[#This Row],[U. Bruta Uni]]*Tabla4[[#This Row],[Cantidad]]</f>
        <v>#N/A</v>
      </c>
      <c r="T1522" s="369" t="str">
        <f>VLOOKUP(Tabla4[[#This Row],[Producto]],Tabla6[#All],14,FALSE)</f>
        <v>Termico Solar</v>
      </c>
      <c r="U1522" s="284" t="e">
        <f>(IF(Tabla4[[#This Row],[Familia]]="termico solar",Tabla4[[#This Row],[Utilidad Total]]*6%,Tabla4[[#This Row],[Utilidad Total]]*11.5%))/Tabla4[[#This Row],[Total]]</f>
        <v>#N/A</v>
      </c>
      <c r="V1522" s="282" t="e">
        <f>+Tabla4[[#This Row],[Comisión Calculada]]*Tabla4[[#This Row],[Total]]</f>
        <v>#N/A</v>
      </c>
    </row>
    <row r="1523" spans="1:22" hidden="1" x14ac:dyDescent="0.25">
      <c r="A1523" s="100">
        <v>45747</v>
      </c>
      <c r="B1523" t="str">
        <f t="shared" si="73"/>
        <v>March</v>
      </c>
      <c r="C1523" s="46" t="s">
        <v>280</v>
      </c>
      <c r="F1523" s="366" t="s">
        <v>1301</v>
      </c>
      <c r="G1523" s="46" t="s">
        <v>17</v>
      </c>
      <c r="H1523" s="46">
        <v>9</v>
      </c>
      <c r="I1523" s="51">
        <v>4622.28</v>
      </c>
      <c r="J1523" s="281">
        <f>++Tabla4[[#This Row],[Precio Bruto]]*1.16</f>
        <v>5361.8447999999989</v>
      </c>
      <c r="K1523" s="281">
        <f>+Tabla4[[#This Row],[Precio Unitario Neto]]*Tabla4[[#Headers],[20.85%]]</f>
        <v>1117.9446407999997</v>
      </c>
      <c r="L1523" s="282">
        <f>++Tabla4[[#This Row],[Precio Unitario Neto]]-Tabla4[[#This Row],[20.85%]]</f>
        <v>4243.9001591999995</v>
      </c>
      <c r="M1523" s="282" t="e">
        <f>(INDEX(Tabla6[#All],MATCH(Tabla4[[#This Row],[Producto]],Tabla6[[#All],[PRODUCTO]],0),MATCH(Tabla4[[#This Row],[Mes]],Tabla6[#Headers],0)))*(1+Catalogos!$L$2)</f>
        <v>#N/A</v>
      </c>
      <c r="N1523" s="283" t="e">
        <f>+(Tabla4[[#This Row],[Precio Descontado]]-Tabla4[[#This Row],[Precio Base]])*Tabla4[[#This Row],[Cantidad]]</f>
        <v>#N/A</v>
      </c>
      <c r="O1523" s="284" t="e">
        <f>++Tabla4[[#This Row],[Utilidad Total]]/Tabla4[[#This Row],[Total]]</f>
        <v>#N/A</v>
      </c>
      <c r="P1523" s="282">
        <f>++Tabla4[[#This Row],[Precio Descontado]]*Tabla4[[#This Row],[Cantidad]]</f>
        <v>38195.101432799995</v>
      </c>
      <c r="Q1523" s="282" t="e">
        <f>(INDEX(Tabla6[#All],MATCH(Tabla4[[#This Row],[Producto]],Tabla6[[#All],[PRODUCTO]],0),MATCH(Tabla4[[#This Row],[Mes]],Tabla6[#Headers],0)))</f>
        <v>#N/A</v>
      </c>
      <c r="R1523" s="282" t="e">
        <f>++Tabla4[[#This Row],[Precio Unitario Neto]]-Tabla4[[#This Row],[20.85%]]-Tabla4[[#This Row],[Costo]]</f>
        <v>#N/A</v>
      </c>
      <c r="S1523" s="282" t="e">
        <f>++Tabla4[[#This Row],[U. Bruta Uni]]*Tabla4[[#This Row],[Cantidad]]</f>
        <v>#N/A</v>
      </c>
      <c r="T1523" s="369" t="str">
        <f>VLOOKUP(Tabla4[[#This Row],[Producto]],Tabla6[#All],14,FALSE)</f>
        <v>Termico Solar</v>
      </c>
      <c r="U1523" s="284" t="e">
        <f>(IF(Tabla4[[#This Row],[Familia]]="termico solar",Tabla4[[#This Row],[Utilidad Total]]*6%,Tabla4[[#This Row],[Utilidad Total]]*11.5%))/Tabla4[[#This Row],[Total]]</f>
        <v>#N/A</v>
      </c>
      <c r="V1523" s="282" t="e">
        <f>+Tabla4[[#This Row],[Comisión Calculada]]*Tabla4[[#This Row],[Total]]</f>
        <v>#N/A</v>
      </c>
    </row>
    <row r="1524" spans="1:22" hidden="1" x14ac:dyDescent="0.25">
      <c r="A1524" s="100">
        <v>45747</v>
      </c>
      <c r="B1524" t="str">
        <f t="shared" si="73"/>
        <v>March</v>
      </c>
      <c r="C1524" s="46" t="s">
        <v>280</v>
      </c>
      <c r="F1524" s="366" t="s">
        <v>1301</v>
      </c>
      <c r="G1524" s="46" t="s">
        <v>18</v>
      </c>
      <c r="H1524" s="46">
        <v>4</v>
      </c>
      <c r="I1524" s="51">
        <v>5367.65</v>
      </c>
      <c r="J1524" s="281">
        <f>++Tabla4[[#This Row],[Precio Bruto]]*1.16</f>
        <v>6226.4739999999993</v>
      </c>
      <c r="K1524" s="281">
        <f>+Tabla4[[#This Row],[Precio Unitario Neto]]*Tabla4[[#Headers],[20.85%]]</f>
        <v>1298.2198289999999</v>
      </c>
      <c r="L1524" s="282">
        <f>++Tabla4[[#This Row],[Precio Unitario Neto]]-Tabla4[[#This Row],[20.85%]]</f>
        <v>4928.2541709999996</v>
      </c>
      <c r="M1524" s="282" t="e">
        <f>(INDEX(Tabla6[#All],MATCH(Tabla4[[#This Row],[Producto]],Tabla6[[#All],[PRODUCTO]],0),MATCH(Tabla4[[#This Row],[Mes]],Tabla6[#Headers],0)))*(1+Catalogos!$L$2)</f>
        <v>#N/A</v>
      </c>
      <c r="N1524" s="283" t="e">
        <f>+(Tabla4[[#This Row],[Precio Descontado]]-Tabla4[[#This Row],[Precio Base]])*Tabla4[[#This Row],[Cantidad]]</f>
        <v>#N/A</v>
      </c>
      <c r="O1524" s="284" t="e">
        <f>++Tabla4[[#This Row],[Utilidad Total]]/Tabla4[[#This Row],[Total]]</f>
        <v>#N/A</v>
      </c>
      <c r="P1524" s="282">
        <f>++Tabla4[[#This Row],[Precio Descontado]]*Tabla4[[#This Row],[Cantidad]]</f>
        <v>19713.016683999998</v>
      </c>
      <c r="Q1524" s="282" t="e">
        <f>(INDEX(Tabla6[#All],MATCH(Tabla4[[#This Row],[Producto]],Tabla6[[#All],[PRODUCTO]],0),MATCH(Tabla4[[#This Row],[Mes]],Tabla6[#Headers],0)))</f>
        <v>#N/A</v>
      </c>
      <c r="R1524" s="282" t="e">
        <f>++Tabla4[[#This Row],[Precio Unitario Neto]]-Tabla4[[#This Row],[20.85%]]-Tabla4[[#This Row],[Costo]]</f>
        <v>#N/A</v>
      </c>
      <c r="S1524" s="282" t="e">
        <f>++Tabla4[[#This Row],[U. Bruta Uni]]*Tabla4[[#This Row],[Cantidad]]</f>
        <v>#N/A</v>
      </c>
      <c r="T1524" s="369" t="str">
        <f>VLOOKUP(Tabla4[[#This Row],[Producto]],Tabla6[#All],14,FALSE)</f>
        <v>Termico Solar</v>
      </c>
      <c r="U1524" s="284" t="e">
        <f>(IF(Tabla4[[#This Row],[Familia]]="termico solar",Tabla4[[#This Row],[Utilidad Total]]*6%,Tabla4[[#This Row],[Utilidad Total]]*11.5%))/Tabla4[[#This Row],[Total]]</f>
        <v>#N/A</v>
      </c>
      <c r="V1524" s="282" t="e">
        <f>+Tabla4[[#This Row],[Comisión Calculada]]*Tabla4[[#This Row],[Total]]</f>
        <v>#N/A</v>
      </c>
    </row>
    <row r="1525" spans="1:22" hidden="1" x14ac:dyDescent="0.25">
      <c r="A1525" s="100">
        <v>45747</v>
      </c>
      <c r="B1525" t="str">
        <f t="shared" si="73"/>
        <v>March</v>
      </c>
      <c r="C1525" s="46" t="s">
        <v>280</v>
      </c>
      <c r="F1525" s="366" t="s">
        <v>1301</v>
      </c>
      <c r="G1525" s="46" t="s">
        <v>208</v>
      </c>
      <c r="H1525" s="46">
        <v>15</v>
      </c>
      <c r="I1525" s="51">
        <v>140.63</v>
      </c>
      <c r="J1525" s="281">
        <f>++Tabla4[[#This Row],[Precio Bruto]]*1.16</f>
        <v>163.13079999999999</v>
      </c>
      <c r="K1525" s="281">
        <f>+Tabla4[[#This Row],[Precio Unitario Neto]]*Tabla4[[#Headers],[20.85%]]</f>
        <v>34.012771799999996</v>
      </c>
      <c r="L1525" s="282">
        <f>++Tabla4[[#This Row],[Precio Unitario Neto]]-Tabla4[[#This Row],[20.85%]]</f>
        <v>129.1180282</v>
      </c>
      <c r="M1525" s="282" t="e">
        <f>(INDEX(Tabla6[#All],MATCH(Tabla4[[#This Row],[Producto]],Tabla6[[#All],[PRODUCTO]],0),MATCH(Tabla4[[#This Row],[Mes]],Tabla6[#Headers],0)))*(1+Catalogos!$L$2)</f>
        <v>#N/A</v>
      </c>
      <c r="N1525" s="283" t="e">
        <f>+(Tabla4[[#This Row],[Precio Descontado]]-Tabla4[[#This Row],[Precio Base]])*Tabla4[[#This Row],[Cantidad]]</f>
        <v>#N/A</v>
      </c>
      <c r="O1525" s="284" t="e">
        <f>++Tabla4[[#This Row],[Utilidad Total]]/Tabla4[[#This Row],[Total]]</f>
        <v>#N/A</v>
      </c>
      <c r="P1525" s="282">
        <f>++Tabla4[[#This Row],[Precio Descontado]]*Tabla4[[#This Row],[Cantidad]]</f>
        <v>1936.7704229999999</v>
      </c>
      <c r="Q1525" s="282" t="e">
        <f>(INDEX(Tabla6[#All],MATCH(Tabla4[[#This Row],[Producto]],Tabla6[[#All],[PRODUCTO]],0),MATCH(Tabla4[[#This Row],[Mes]],Tabla6[#Headers],0)))</f>
        <v>#N/A</v>
      </c>
      <c r="R1525" s="282" t="e">
        <f>++Tabla4[[#This Row],[Precio Unitario Neto]]-Tabla4[[#This Row],[20.85%]]-Tabla4[[#This Row],[Costo]]</f>
        <v>#N/A</v>
      </c>
      <c r="S1525" s="282" t="e">
        <f>++Tabla4[[#This Row],[U. Bruta Uni]]*Tabla4[[#This Row],[Cantidad]]</f>
        <v>#N/A</v>
      </c>
      <c r="T1525" s="369" t="str">
        <f>VLOOKUP(Tabla4[[#This Row],[Producto]],Tabla6[#All],14,FALSE)</f>
        <v>Termico Solar</v>
      </c>
      <c r="U1525" s="284" t="e">
        <f>(IF(Tabla4[[#This Row],[Familia]]="termico solar",Tabla4[[#This Row],[Utilidad Total]]*6%,Tabla4[[#This Row],[Utilidad Total]]*11.5%))/Tabla4[[#This Row],[Total]]</f>
        <v>#N/A</v>
      </c>
      <c r="V1525" s="282" t="e">
        <f>+Tabla4[[#This Row],[Comisión Calculada]]*Tabla4[[#This Row],[Total]]</f>
        <v>#N/A</v>
      </c>
    </row>
    <row r="1526" spans="1:22" hidden="1" x14ac:dyDescent="0.25">
      <c r="A1526" s="100">
        <v>45747</v>
      </c>
      <c r="B1526" t="str">
        <f t="shared" si="73"/>
        <v>March</v>
      </c>
      <c r="C1526" s="46" t="s">
        <v>280</v>
      </c>
      <c r="F1526" s="366" t="s">
        <v>1301</v>
      </c>
      <c r="G1526" s="46" t="s">
        <v>555</v>
      </c>
      <c r="H1526" s="46">
        <v>8</v>
      </c>
      <c r="I1526" s="51">
        <v>389.47</v>
      </c>
      <c r="J1526" s="281">
        <f>++Tabla4[[#This Row],[Precio Bruto]]*1.16</f>
        <v>451.78519999999997</v>
      </c>
      <c r="K1526" s="281">
        <f>+Tabla4[[#This Row],[Precio Unitario Neto]]*Tabla4[[#Headers],[20.85%]]</f>
        <v>94.197214199999991</v>
      </c>
      <c r="L1526" s="282">
        <f>++Tabla4[[#This Row],[Precio Unitario Neto]]-Tabla4[[#This Row],[20.85%]]</f>
        <v>357.58798579999996</v>
      </c>
      <c r="M1526" s="282" t="e">
        <f>(INDEX(Tabla6[#All],MATCH(Tabla4[[#This Row],[Producto]],Tabla6[[#All],[PRODUCTO]],0),MATCH(Tabla4[[#This Row],[Mes]],Tabla6[#Headers],0)))*(1+Catalogos!$L$2)</f>
        <v>#N/A</v>
      </c>
      <c r="N1526" s="283" t="e">
        <f>+(Tabla4[[#This Row],[Precio Descontado]]-Tabla4[[#This Row],[Precio Base]])*Tabla4[[#This Row],[Cantidad]]</f>
        <v>#N/A</v>
      </c>
      <c r="O1526" s="284" t="e">
        <f>++Tabla4[[#This Row],[Utilidad Total]]/Tabla4[[#This Row],[Total]]</f>
        <v>#N/A</v>
      </c>
      <c r="P1526" s="282">
        <f>++Tabla4[[#This Row],[Precio Descontado]]*Tabla4[[#This Row],[Cantidad]]</f>
        <v>2860.7038863999996</v>
      </c>
      <c r="Q1526" s="282" t="e">
        <f>(INDEX(Tabla6[#All],MATCH(Tabla4[[#This Row],[Producto]],Tabla6[[#All],[PRODUCTO]],0),MATCH(Tabla4[[#This Row],[Mes]],Tabla6[#Headers],0)))</f>
        <v>#N/A</v>
      </c>
      <c r="R1526" s="282" t="e">
        <f>++Tabla4[[#This Row],[Precio Unitario Neto]]-Tabla4[[#This Row],[20.85%]]-Tabla4[[#This Row],[Costo]]</f>
        <v>#N/A</v>
      </c>
      <c r="S1526" s="282" t="e">
        <f>++Tabla4[[#This Row],[U. Bruta Uni]]*Tabla4[[#This Row],[Cantidad]]</f>
        <v>#N/A</v>
      </c>
      <c r="T1526" s="369" t="str">
        <f>VLOOKUP(Tabla4[[#This Row],[Producto]],Tabla6[#All],14,FALSE)</f>
        <v>Termico Solar</v>
      </c>
      <c r="U1526" s="284" t="e">
        <f>(IF(Tabla4[[#This Row],[Familia]]="termico solar",Tabla4[[#This Row],[Utilidad Total]]*6%,Tabla4[[#This Row],[Utilidad Total]]*11.5%))/Tabla4[[#This Row],[Total]]</f>
        <v>#N/A</v>
      </c>
      <c r="V1526" s="282" t="e">
        <f>+Tabla4[[#This Row],[Comisión Calculada]]*Tabla4[[#This Row],[Total]]</f>
        <v>#N/A</v>
      </c>
    </row>
    <row r="1527" spans="1:22" hidden="1" x14ac:dyDescent="0.25">
      <c r="A1527" s="100">
        <v>45747</v>
      </c>
      <c r="B1527" t="str">
        <f t="shared" si="73"/>
        <v>March</v>
      </c>
      <c r="C1527" s="46" t="s">
        <v>280</v>
      </c>
      <c r="F1527" s="366" t="s">
        <v>1301</v>
      </c>
      <c r="G1527" s="46" t="s">
        <v>208</v>
      </c>
      <c r="H1527" s="46">
        <v>1</v>
      </c>
      <c r="I1527" s="51">
        <v>189.75</v>
      </c>
      <c r="J1527" s="281">
        <f>++Tabla4[[#This Row],[Precio Bruto]]*1.16</f>
        <v>220.10999999999999</v>
      </c>
      <c r="K1527" s="281">
        <f>+Tabla4[[#This Row],[Precio Unitario Neto]]*Tabla4[[#Headers],[20.85%]]</f>
        <v>45.892934999999994</v>
      </c>
      <c r="L1527" s="282">
        <f>++Tabla4[[#This Row],[Precio Unitario Neto]]-Tabla4[[#This Row],[20.85%]]</f>
        <v>174.21706499999999</v>
      </c>
      <c r="M1527" s="282" t="e">
        <f>(INDEX(Tabla6[#All],MATCH(Tabla4[[#This Row],[Producto]],Tabla6[[#All],[PRODUCTO]],0),MATCH(Tabla4[[#This Row],[Mes]],Tabla6[#Headers],0)))*(1+Catalogos!$L$2)</f>
        <v>#N/A</v>
      </c>
      <c r="N1527" s="283" t="e">
        <f>+(Tabla4[[#This Row],[Precio Descontado]]-Tabla4[[#This Row],[Precio Base]])*Tabla4[[#This Row],[Cantidad]]</f>
        <v>#N/A</v>
      </c>
      <c r="O1527" s="284" t="e">
        <f>++Tabla4[[#This Row],[Utilidad Total]]/Tabla4[[#This Row],[Total]]</f>
        <v>#N/A</v>
      </c>
      <c r="P1527" s="282">
        <f>++Tabla4[[#This Row],[Precio Descontado]]*Tabla4[[#This Row],[Cantidad]]</f>
        <v>174.21706499999999</v>
      </c>
      <c r="Q1527" s="282" t="e">
        <f>(INDEX(Tabla6[#All],MATCH(Tabla4[[#This Row],[Producto]],Tabla6[[#All],[PRODUCTO]],0),MATCH(Tabla4[[#This Row],[Mes]],Tabla6[#Headers],0)))</f>
        <v>#N/A</v>
      </c>
      <c r="R1527" s="282" t="e">
        <f>++Tabla4[[#This Row],[Precio Unitario Neto]]-Tabla4[[#This Row],[20.85%]]-Tabla4[[#This Row],[Costo]]</f>
        <v>#N/A</v>
      </c>
      <c r="S1527" s="282" t="e">
        <f>++Tabla4[[#This Row],[U. Bruta Uni]]*Tabla4[[#This Row],[Cantidad]]</f>
        <v>#N/A</v>
      </c>
      <c r="T1527" s="369" t="str">
        <f>VLOOKUP(Tabla4[[#This Row],[Producto]],Tabla6[#All],14,FALSE)</f>
        <v>Termico Solar</v>
      </c>
      <c r="U1527" s="284" t="e">
        <f>(IF(Tabla4[[#This Row],[Familia]]="termico solar",Tabla4[[#This Row],[Utilidad Total]]*6%,Tabla4[[#This Row],[Utilidad Total]]*11.5%))/Tabla4[[#This Row],[Total]]</f>
        <v>#N/A</v>
      </c>
      <c r="V1527" s="282" t="e">
        <f>+Tabla4[[#This Row],[Comisión Calculada]]*Tabla4[[#This Row],[Total]]</f>
        <v>#N/A</v>
      </c>
    </row>
    <row r="1528" spans="1:22" hidden="1" x14ac:dyDescent="0.25">
      <c r="A1528" s="100">
        <v>45747</v>
      </c>
      <c r="B1528" t="str">
        <f t="shared" ref="B1528:B1555" si="74">TEXT(A1528, "mmmm")</f>
        <v>March</v>
      </c>
      <c r="C1528" s="46" t="s">
        <v>280</v>
      </c>
      <c r="F1528" s="366" t="s">
        <v>1302</v>
      </c>
      <c r="G1528" s="46" t="s">
        <v>83</v>
      </c>
      <c r="H1528" s="46">
        <v>15</v>
      </c>
      <c r="I1528" s="51">
        <v>8858.76</v>
      </c>
      <c r="J1528" s="281">
        <f>++Tabla4[[#This Row],[Precio Bruto]]*1.16</f>
        <v>10276.161599999999</v>
      </c>
      <c r="K1528" s="281">
        <f>+Tabla4[[#This Row],[Precio Unitario Neto]]*Tabla4[[#Headers],[20.85%]]</f>
        <v>2142.5796935999997</v>
      </c>
      <c r="L1528" s="282">
        <f>++Tabla4[[#This Row],[Precio Unitario Neto]]-Tabla4[[#This Row],[20.85%]]</f>
        <v>8133.5819063999998</v>
      </c>
      <c r="M1528" s="282" t="e">
        <f>(INDEX(Tabla6[#All],MATCH(Tabla4[[#This Row],[Producto]],Tabla6[[#All],[PRODUCTO]],0),MATCH(Tabla4[[#This Row],[Mes]],Tabla6[#Headers],0)))*(1+Catalogos!$L$2)</f>
        <v>#N/A</v>
      </c>
      <c r="N1528" s="283" t="e">
        <f>+(Tabla4[[#This Row],[Precio Descontado]]-Tabla4[[#This Row],[Precio Base]])*Tabla4[[#This Row],[Cantidad]]</f>
        <v>#N/A</v>
      </c>
      <c r="O1528" s="284" t="e">
        <f>++Tabla4[[#This Row],[Utilidad Total]]/Tabla4[[#This Row],[Total]]</f>
        <v>#N/A</v>
      </c>
      <c r="P1528" s="282">
        <f>++Tabla4[[#This Row],[Precio Descontado]]*Tabla4[[#This Row],[Cantidad]]</f>
        <v>122003.728596</v>
      </c>
      <c r="Q1528" s="282" t="e">
        <f>(INDEX(Tabla6[#All],MATCH(Tabla4[[#This Row],[Producto]],Tabla6[[#All],[PRODUCTO]],0),MATCH(Tabla4[[#This Row],[Mes]],Tabla6[#Headers],0)))</f>
        <v>#N/A</v>
      </c>
      <c r="R1528" s="282" t="e">
        <f>++Tabla4[[#This Row],[Precio Unitario Neto]]-Tabla4[[#This Row],[20.85%]]-Tabla4[[#This Row],[Costo]]</f>
        <v>#N/A</v>
      </c>
      <c r="S1528" s="282" t="e">
        <f>++Tabla4[[#This Row],[U. Bruta Uni]]*Tabla4[[#This Row],[Cantidad]]</f>
        <v>#N/A</v>
      </c>
      <c r="T1528" s="369" t="str">
        <f>VLOOKUP(Tabla4[[#This Row],[Producto]],Tabla6[#All],14,FALSE)</f>
        <v>Termico Solar</v>
      </c>
      <c r="U1528" s="284" t="e">
        <f>(IF(Tabla4[[#This Row],[Familia]]="termico solar",Tabla4[[#This Row],[Utilidad Total]]*6%,Tabla4[[#This Row],[Utilidad Total]]*11.5%))/Tabla4[[#This Row],[Total]]</f>
        <v>#N/A</v>
      </c>
      <c r="V1528" s="282" t="e">
        <f>+Tabla4[[#This Row],[Comisión Calculada]]*Tabla4[[#This Row],[Total]]</f>
        <v>#N/A</v>
      </c>
    </row>
    <row r="1529" spans="1:22" hidden="1" x14ac:dyDescent="0.25">
      <c r="A1529" s="100">
        <v>45747</v>
      </c>
      <c r="B1529" t="str">
        <f t="shared" si="74"/>
        <v>March</v>
      </c>
      <c r="C1529" s="46" t="s">
        <v>280</v>
      </c>
      <c r="F1529" s="366" t="s">
        <v>1302</v>
      </c>
      <c r="G1529" s="46" t="s">
        <v>17</v>
      </c>
      <c r="H1529" s="46">
        <v>1</v>
      </c>
      <c r="I1529" s="51">
        <v>4622.28</v>
      </c>
      <c r="J1529" s="281">
        <f>++Tabla4[[#This Row],[Precio Bruto]]*1.16</f>
        <v>5361.8447999999989</v>
      </c>
      <c r="K1529" s="281">
        <f>+Tabla4[[#This Row],[Precio Unitario Neto]]*Tabla4[[#Headers],[20.85%]]</f>
        <v>1117.9446407999997</v>
      </c>
      <c r="L1529" s="282">
        <f>++Tabla4[[#This Row],[Precio Unitario Neto]]-Tabla4[[#This Row],[20.85%]]</f>
        <v>4243.9001591999995</v>
      </c>
      <c r="M1529" s="282" t="e">
        <f>(INDEX(Tabla6[#All],MATCH(Tabla4[[#This Row],[Producto]],Tabla6[[#All],[PRODUCTO]],0),MATCH(Tabla4[[#This Row],[Mes]],Tabla6[#Headers],0)))*(1+Catalogos!$L$2)</f>
        <v>#N/A</v>
      </c>
      <c r="N1529" s="283" t="e">
        <f>+(Tabla4[[#This Row],[Precio Descontado]]-Tabla4[[#This Row],[Precio Base]])*Tabla4[[#This Row],[Cantidad]]</f>
        <v>#N/A</v>
      </c>
      <c r="O1529" s="284" t="e">
        <f>++Tabla4[[#This Row],[Utilidad Total]]/Tabla4[[#This Row],[Total]]</f>
        <v>#N/A</v>
      </c>
      <c r="P1529" s="282">
        <f>++Tabla4[[#This Row],[Precio Descontado]]*Tabla4[[#This Row],[Cantidad]]</f>
        <v>4243.9001591999995</v>
      </c>
      <c r="Q1529" s="282" t="e">
        <f>(INDEX(Tabla6[#All],MATCH(Tabla4[[#This Row],[Producto]],Tabla6[[#All],[PRODUCTO]],0),MATCH(Tabla4[[#This Row],[Mes]],Tabla6[#Headers],0)))</f>
        <v>#N/A</v>
      </c>
      <c r="R1529" s="282" t="e">
        <f>++Tabla4[[#This Row],[Precio Unitario Neto]]-Tabla4[[#This Row],[20.85%]]-Tabla4[[#This Row],[Costo]]</f>
        <v>#N/A</v>
      </c>
      <c r="S1529" s="282" t="e">
        <f>++Tabla4[[#This Row],[U. Bruta Uni]]*Tabla4[[#This Row],[Cantidad]]</f>
        <v>#N/A</v>
      </c>
      <c r="T1529" s="369" t="str">
        <f>VLOOKUP(Tabla4[[#This Row],[Producto]],Tabla6[#All],14,FALSE)</f>
        <v>Termico Solar</v>
      </c>
      <c r="U1529" s="284" t="e">
        <f>(IF(Tabla4[[#This Row],[Familia]]="termico solar",Tabla4[[#This Row],[Utilidad Total]]*6%,Tabla4[[#This Row],[Utilidad Total]]*11.5%))/Tabla4[[#This Row],[Total]]</f>
        <v>#N/A</v>
      </c>
      <c r="V1529" s="282" t="e">
        <f>+Tabla4[[#This Row],[Comisión Calculada]]*Tabla4[[#This Row],[Total]]</f>
        <v>#N/A</v>
      </c>
    </row>
    <row r="1530" spans="1:22" hidden="1" x14ac:dyDescent="0.25">
      <c r="A1530" s="100">
        <v>45747</v>
      </c>
      <c r="B1530" t="str">
        <f t="shared" si="74"/>
        <v>March</v>
      </c>
      <c r="C1530" s="46" t="s">
        <v>280</v>
      </c>
      <c r="F1530" s="366" t="s">
        <v>1302</v>
      </c>
      <c r="G1530" s="46" t="s">
        <v>18</v>
      </c>
      <c r="H1530" s="46">
        <v>2</v>
      </c>
      <c r="I1530" s="51">
        <v>5367.65</v>
      </c>
      <c r="J1530" s="281">
        <f>++Tabla4[[#This Row],[Precio Bruto]]*1.16</f>
        <v>6226.4739999999993</v>
      </c>
      <c r="K1530" s="281">
        <f>+Tabla4[[#This Row],[Precio Unitario Neto]]*Tabla4[[#Headers],[20.85%]]</f>
        <v>1298.2198289999999</v>
      </c>
      <c r="L1530" s="282">
        <f>++Tabla4[[#This Row],[Precio Unitario Neto]]-Tabla4[[#This Row],[20.85%]]</f>
        <v>4928.2541709999996</v>
      </c>
      <c r="M1530" s="282" t="e">
        <f>(INDEX(Tabla6[#All],MATCH(Tabla4[[#This Row],[Producto]],Tabla6[[#All],[PRODUCTO]],0),MATCH(Tabla4[[#This Row],[Mes]],Tabla6[#Headers],0)))*(1+Catalogos!$L$2)</f>
        <v>#N/A</v>
      </c>
      <c r="N1530" s="283" t="e">
        <f>+(Tabla4[[#This Row],[Precio Descontado]]-Tabla4[[#This Row],[Precio Base]])*Tabla4[[#This Row],[Cantidad]]</f>
        <v>#N/A</v>
      </c>
      <c r="O1530" s="284" t="e">
        <f>++Tabla4[[#This Row],[Utilidad Total]]/Tabla4[[#This Row],[Total]]</f>
        <v>#N/A</v>
      </c>
      <c r="P1530" s="282">
        <f>++Tabla4[[#This Row],[Precio Descontado]]*Tabla4[[#This Row],[Cantidad]]</f>
        <v>9856.5083419999992</v>
      </c>
      <c r="Q1530" s="282" t="e">
        <f>(INDEX(Tabla6[#All],MATCH(Tabla4[[#This Row],[Producto]],Tabla6[[#All],[PRODUCTO]],0),MATCH(Tabla4[[#This Row],[Mes]],Tabla6[#Headers],0)))</f>
        <v>#N/A</v>
      </c>
      <c r="R1530" s="282" t="e">
        <f>++Tabla4[[#This Row],[Precio Unitario Neto]]-Tabla4[[#This Row],[20.85%]]-Tabla4[[#This Row],[Costo]]</f>
        <v>#N/A</v>
      </c>
      <c r="S1530" s="282" t="e">
        <f>++Tabla4[[#This Row],[U. Bruta Uni]]*Tabla4[[#This Row],[Cantidad]]</f>
        <v>#N/A</v>
      </c>
      <c r="T1530" s="369" t="str">
        <f>VLOOKUP(Tabla4[[#This Row],[Producto]],Tabla6[#All],14,FALSE)</f>
        <v>Termico Solar</v>
      </c>
      <c r="U1530" s="284" t="e">
        <f>(IF(Tabla4[[#This Row],[Familia]]="termico solar",Tabla4[[#This Row],[Utilidad Total]]*6%,Tabla4[[#This Row],[Utilidad Total]]*11.5%))/Tabla4[[#This Row],[Total]]</f>
        <v>#N/A</v>
      </c>
      <c r="V1530" s="282" t="e">
        <f>+Tabla4[[#This Row],[Comisión Calculada]]*Tabla4[[#This Row],[Total]]</f>
        <v>#N/A</v>
      </c>
    </row>
    <row r="1531" spans="1:22" hidden="1" x14ac:dyDescent="0.25">
      <c r="A1531" s="100">
        <v>45747</v>
      </c>
      <c r="B1531" t="str">
        <f t="shared" si="74"/>
        <v>March</v>
      </c>
      <c r="C1531" s="46" t="s">
        <v>280</v>
      </c>
      <c r="F1531" s="366" t="s">
        <v>1302</v>
      </c>
      <c r="G1531" s="46" t="s">
        <v>394</v>
      </c>
      <c r="H1531" s="46">
        <v>16</v>
      </c>
      <c r="I1531" s="51">
        <v>224.29</v>
      </c>
      <c r="J1531" s="281">
        <f>++Tabla4[[#This Row],[Precio Bruto]]*1.16</f>
        <v>260.1764</v>
      </c>
      <c r="K1531" s="281">
        <f>+Tabla4[[#This Row],[Precio Unitario Neto]]*Tabla4[[#Headers],[20.85%]]</f>
        <v>54.246779400000001</v>
      </c>
      <c r="L1531" s="282">
        <f>++Tabla4[[#This Row],[Precio Unitario Neto]]-Tabla4[[#This Row],[20.85%]]</f>
        <v>205.92962059999999</v>
      </c>
      <c r="M1531" s="282" t="e">
        <f>(INDEX(Tabla6[#All],MATCH(Tabla4[[#This Row],[Producto]],Tabla6[[#All],[PRODUCTO]],0),MATCH(Tabla4[[#This Row],[Mes]],Tabla6[#Headers],0)))*(1+Catalogos!$L$2)</f>
        <v>#N/A</v>
      </c>
      <c r="N1531" s="283" t="e">
        <f>+(Tabla4[[#This Row],[Precio Descontado]]-Tabla4[[#This Row],[Precio Base]])*Tabla4[[#This Row],[Cantidad]]</f>
        <v>#N/A</v>
      </c>
      <c r="O1531" s="284" t="e">
        <f>++Tabla4[[#This Row],[Utilidad Total]]/Tabla4[[#This Row],[Total]]</f>
        <v>#N/A</v>
      </c>
      <c r="P1531" s="282">
        <f>++Tabla4[[#This Row],[Precio Descontado]]*Tabla4[[#This Row],[Cantidad]]</f>
        <v>3294.8739295999999</v>
      </c>
      <c r="Q1531" s="282" t="e">
        <f>(INDEX(Tabla6[#All],MATCH(Tabla4[[#This Row],[Producto]],Tabla6[[#All],[PRODUCTO]],0),MATCH(Tabla4[[#This Row],[Mes]],Tabla6[#Headers],0)))</f>
        <v>#N/A</v>
      </c>
      <c r="R1531" s="282" t="e">
        <f>++Tabla4[[#This Row],[Precio Unitario Neto]]-Tabla4[[#This Row],[20.85%]]-Tabla4[[#This Row],[Costo]]</f>
        <v>#N/A</v>
      </c>
      <c r="S1531" s="282" t="e">
        <f>++Tabla4[[#This Row],[U. Bruta Uni]]*Tabla4[[#This Row],[Cantidad]]</f>
        <v>#N/A</v>
      </c>
      <c r="T1531" s="369" t="str">
        <f>VLOOKUP(Tabla4[[#This Row],[Producto]],Tabla6[#All],14,FALSE)</f>
        <v>Termico Solar</v>
      </c>
      <c r="U1531" s="284" t="e">
        <f>(IF(Tabla4[[#This Row],[Familia]]="termico solar",Tabla4[[#This Row],[Utilidad Total]]*6%,Tabla4[[#This Row],[Utilidad Total]]*11.5%))/Tabla4[[#This Row],[Total]]</f>
        <v>#N/A</v>
      </c>
      <c r="V1531" s="282" t="e">
        <f>+Tabla4[[#This Row],[Comisión Calculada]]*Tabla4[[#This Row],[Total]]</f>
        <v>#N/A</v>
      </c>
    </row>
    <row r="1532" spans="1:22" hidden="1" x14ac:dyDescent="0.25">
      <c r="A1532" s="100">
        <v>45747</v>
      </c>
      <c r="B1532" t="str">
        <f t="shared" si="74"/>
        <v>March</v>
      </c>
      <c r="C1532" s="46" t="s">
        <v>280</v>
      </c>
      <c r="F1532" s="366" t="s">
        <v>1303</v>
      </c>
      <c r="G1532" s="46" t="s">
        <v>394</v>
      </c>
      <c r="H1532" s="46">
        <v>16</v>
      </c>
      <c r="I1532" s="51">
        <v>224.29</v>
      </c>
      <c r="J1532" s="281">
        <f>++Tabla4[[#This Row],[Precio Bruto]]*1.16</f>
        <v>260.1764</v>
      </c>
      <c r="K1532" s="281">
        <f>+Tabla4[[#This Row],[Precio Unitario Neto]]*Tabla4[[#Headers],[20.85%]]</f>
        <v>54.246779400000001</v>
      </c>
      <c r="L1532" s="282">
        <f>++Tabla4[[#This Row],[Precio Unitario Neto]]-Tabla4[[#This Row],[20.85%]]</f>
        <v>205.92962059999999</v>
      </c>
      <c r="M1532" s="282" t="e">
        <f>(INDEX(Tabla6[#All],MATCH(Tabla4[[#This Row],[Producto]],Tabla6[[#All],[PRODUCTO]],0),MATCH(Tabla4[[#This Row],[Mes]],Tabla6[#Headers],0)))*(1+Catalogos!$L$2)</f>
        <v>#N/A</v>
      </c>
      <c r="N1532" s="283" t="e">
        <f>+(Tabla4[[#This Row],[Precio Descontado]]-Tabla4[[#This Row],[Precio Base]])*Tabla4[[#This Row],[Cantidad]]</f>
        <v>#N/A</v>
      </c>
      <c r="O1532" s="284" t="e">
        <f>++Tabla4[[#This Row],[Utilidad Total]]/Tabla4[[#This Row],[Total]]</f>
        <v>#N/A</v>
      </c>
      <c r="P1532" s="282">
        <f>++Tabla4[[#This Row],[Precio Descontado]]*Tabla4[[#This Row],[Cantidad]]</f>
        <v>3294.8739295999999</v>
      </c>
      <c r="Q1532" s="282" t="e">
        <f>(INDEX(Tabla6[#All],MATCH(Tabla4[[#This Row],[Producto]],Tabla6[[#All],[PRODUCTO]],0),MATCH(Tabla4[[#This Row],[Mes]],Tabla6[#Headers],0)))</f>
        <v>#N/A</v>
      </c>
      <c r="R1532" s="282" t="e">
        <f>++Tabla4[[#This Row],[Precio Unitario Neto]]-Tabla4[[#This Row],[20.85%]]-Tabla4[[#This Row],[Costo]]</f>
        <v>#N/A</v>
      </c>
      <c r="S1532" s="282" t="e">
        <f>++Tabla4[[#This Row],[U. Bruta Uni]]*Tabla4[[#This Row],[Cantidad]]</f>
        <v>#N/A</v>
      </c>
      <c r="T1532" s="369" t="str">
        <f>VLOOKUP(Tabla4[[#This Row],[Producto]],Tabla6[#All],14,FALSE)</f>
        <v>Termico Solar</v>
      </c>
      <c r="U1532" s="284" t="e">
        <f>(IF(Tabla4[[#This Row],[Familia]]="termico solar",Tabla4[[#This Row],[Utilidad Total]]*6%,Tabla4[[#This Row],[Utilidad Total]]*11.5%))/Tabla4[[#This Row],[Total]]</f>
        <v>#N/A</v>
      </c>
      <c r="V1532" s="282" t="e">
        <f>+Tabla4[[#This Row],[Comisión Calculada]]*Tabla4[[#This Row],[Total]]</f>
        <v>#N/A</v>
      </c>
    </row>
    <row r="1533" spans="1:22" hidden="1" x14ac:dyDescent="0.25">
      <c r="A1533" s="100">
        <v>45747</v>
      </c>
      <c r="B1533" t="str">
        <f t="shared" si="74"/>
        <v>March</v>
      </c>
      <c r="C1533" s="46" t="s">
        <v>280</v>
      </c>
      <c r="F1533" s="366" t="s">
        <v>1303</v>
      </c>
      <c r="G1533" s="46" t="s">
        <v>555</v>
      </c>
      <c r="H1533" s="46">
        <v>8</v>
      </c>
      <c r="I1533" s="51">
        <v>389.47</v>
      </c>
      <c r="J1533" s="281">
        <f>++Tabla4[[#This Row],[Precio Bruto]]*1.16</f>
        <v>451.78519999999997</v>
      </c>
      <c r="K1533" s="281">
        <f>+Tabla4[[#This Row],[Precio Unitario Neto]]*Tabla4[[#Headers],[20.85%]]</f>
        <v>94.197214199999991</v>
      </c>
      <c r="L1533" s="282">
        <f>++Tabla4[[#This Row],[Precio Unitario Neto]]-Tabla4[[#This Row],[20.85%]]</f>
        <v>357.58798579999996</v>
      </c>
      <c r="M1533" s="282" t="e">
        <f>(INDEX(Tabla6[#All],MATCH(Tabla4[[#This Row],[Producto]],Tabla6[[#All],[PRODUCTO]],0),MATCH(Tabla4[[#This Row],[Mes]],Tabla6[#Headers],0)))*(1+Catalogos!$L$2)</f>
        <v>#N/A</v>
      </c>
      <c r="N1533" s="283" t="e">
        <f>+(Tabla4[[#This Row],[Precio Descontado]]-Tabla4[[#This Row],[Precio Base]])*Tabla4[[#This Row],[Cantidad]]</f>
        <v>#N/A</v>
      </c>
      <c r="O1533" s="284" t="e">
        <f>++Tabla4[[#This Row],[Utilidad Total]]/Tabla4[[#This Row],[Total]]</f>
        <v>#N/A</v>
      </c>
      <c r="P1533" s="282">
        <f>++Tabla4[[#This Row],[Precio Descontado]]*Tabla4[[#This Row],[Cantidad]]</f>
        <v>2860.7038863999996</v>
      </c>
      <c r="Q1533" s="282" t="e">
        <f>(INDEX(Tabla6[#All],MATCH(Tabla4[[#This Row],[Producto]],Tabla6[[#All],[PRODUCTO]],0),MATCH(Tabla4[[#This Row],[Mes]],Tabla6[#Headers],0)))</f>
        <v>#N/A</v>
      </c>
      <c r="R1533" s="282" t="e">
        <f>++Tabla4[[#This Row],[Precio Unitario Neto]]-Tabla4[[#This Row],[20.85%]]-Tabla4[[#This Row],[Costo]]</f>
        <v>#N/A</v>
      </c>
      <c r="S1533" s="282" t="e">
        <f>++Tabla4[[#This Row],[U. Bruta Uni]]*Tabla4[[#This Row],[Cantidad]]</f>
        <v>#N/A</v>
      </c>
      <c r="T1533" s="369" t="str">
        <f>VLOOKUP(Tabla4[[#This Row],[Producto]],Tabla6[#All],14,FALSE)</f>
        <v>Termico Solar</v>
      </c>
      <c r="U1533" s="284" t="e">
        <f>(IF(Tabla4[[#This Row],[Familia]]="termico solar",Tabla4[[#This Row],[Utilidad Total]]*6%,Tabla4[[#This Row],[Utilidad Total]]*11.5%))/Tabla4[[#This Row],[Total]]</f>
        <v>#N/A</v>
      </c>
      <c r="V1533" s="282" t="e">
        <f>+Tabla4[[#This Row],[Comisión Calculada]]*Tabla4[[#This Row],[Total]]</f>
        <v>#N/A</v>
      </c>
    </row>
    <row r="1534" spans="1:22" hidden="1" x14ac:dyDescent="0.25">
      <c r="A1534" s="100">
        <v>45747</v>
      </c>
      <c r="B1534" t="str">
        <f t="shared" si="74"/>
        <v>March</v>
      </c>
      <c r="C1534" s="46" t="s">
        <v>280</v>
      </c>
      <c r="F1534" s="366" t="s">
        <v>1303</v>
      </c>
      <c r="G1534" s="46" t="s">
        <v>208</v>
      </c>
      <c r="H1534" s="46">
        <v>2</v>
      </c>
      <c r="I1534" s="51">
        <v>189.75</v>
      </c>
      <c r="J1534" s="281">
        <f>++Tabla4[[#This Row],[Precio Bruto]]*1.16</f>
        <v>220.10999999999999</v>
      </c>
      <c r="K1534" s="281">
        <f>+Tabla4[[#This Row],[Precio Unitario Neto]]*Tabla4[[#Headers],[20.85%]]</f>
        <v>45.892934999999994</v>
      </c>
      <c r="L1534" s="282">
        <f>++Tabla4[[#This Row],[Precio Unitario Neto]]-Tabla4[[#This Row],[20.85%]]</f>
        <v>174.21706499999999</v>
      </c>
      <c r="M1534" s="282" t="e">
        <f>(INDEX(Tabla6[#All],MATCH(Tabla4[[#This Row],[Producto]],Tabla6[[#All],[PRODUCTO]],0),MATCH(Tabla4[[#This Row],[Mes]],Tabla6[#Headers],0)))*(1+Catalogos!$L$2)</f>
        <v>#N/A</v>
      </c>
      <c r="N1534" s="283" t="e">
        <f>+(Tabla4[[#This Row],[Precio Descontado]]-Tabla4[[#This Row],[Precio Base]])*Tabla4[[#This Row],[Cantidad]]</f>
        <v>#N/A</v>
      </c>
      <c r="O1534" s="284" t="e">
        <f>++Tabla4[[#This Row],[Utilidad Total]]/Tabla4[[#This Row],[Total]]</f>
        <v>#N/A</v>
      </c>
      <c r="P1534" s="282">
        <f>++Tabla4[[#This Row],[Precio Descontado]]*Tabla4[[#This Row],[Cantidad]]</f>
        <v>348.43412999999998</v>
      </c>
      <c r="Q1534" s="282" t="e">
        <f>(INDEX(Tabla6[#All],MATCH(Tabla4[[#This Row],[Producto]],Tabla6[[#All],[PRODUCTO]],0),MATCH(Tabla4[[#This Row],[Mes]],Tabla6[#Headers],0)))</f>
        <v>#N/A</v>
      </c>
      <c r="R1534" s="282" t="e">
        <f>++Tabla4[[#This Row],[Precio Unitario Neto]]-Tabla4[[#This Row],[20.85%]]-Tabla4[[#This Row],[Costo]]</f>
        <v>#N/A</v>
      </c>
      <c r="S1534" s="282" t="e">
        <f>++Tabla4[[#This Row],[U. Bruta Uni]]*Tabla4[[#This Row],[Cantidad]]</f>
        <v>#N/A</v>
      </c>
      <c r="T1534" s="369" t="str">
        <f>VLOOKUP(Tabla4[[#This Row],[Producto]],Tabla6[#All],14,FALSE)</f>
        <v>Termico Solar</v>
      </c>
      <c r="U1534" s="284" t="e">
        <f>(IF(Tabla4[[#This Row],[Familia]]="termico solar",Tabla4[[#This Row],[Utilidad Total]]*6%,Tabla4[[#This Row],[Utilidad Total]]*11.5%))/Tabla4[[#This Row],[Total]]</f>
        <v>#N/A</v>
      </c>
      <c r="V1534" s="282" t="e">
        <f>+Tabla4[[#This Row],[Comisión Calculada]]*Tabla4[[#This Row],[Total]]</f>
        <v>#N/A</v>
      </c>
    </row>
    <row r="1535" spans="1:22" hidden="1" x14ac:dyDescent="0.25">
      <c r="A1535" s="100">
        <v>45747</v>
      </c>
      <c r="B1535" t="str">
        <f t="shared" si="74"/>
        <v>March</v>
      </c>
      <c r="C1535" s="46" t="s">
        <v>280</v>
      </c>
      <c r="F1535" s="366" t="s">
        <v>1304</v>
      </c>
      <c r="G1535" s="46" t="s">
        <v>17</v>
      </c>
      <c r="H1535" s="46">
        <v>5</v>
      </c>
      <c r="I1535" s="51">
        <v>4622.2800000000007</v>
      </c>
      <c r="J1535" s="281">
        <f>++Tabla4[[#This Row],[Precio Bruto]]*1.16</f>
        <v>5361.8448000000008</v>
      </c>
      <c r="K1535" s="281">
        <f>+Tabla4[[#This Row],[Precio Unitario Neto]]*Tabla4[[#Headers],[20.85%]]</f>
        <v>1117.9446408000001</v>
      </c>
      <c r="L1535" s="282">
        <f>++Tabla4[[#This Row],[Precio Unitario Neto]]-Tabla4[[#This Row],[20.85%]]</f>
        <v>4243.9001592000004</v>
      </c>
      <c r="M1535" s="282" t="e">
        <f>(INDEX(Tabla6[#All],MATCH(Tabla4[[#This Row],[Producto]],Tabla6[[#All],[PRODUCTO]],0),MATCH(Tabla4[[#This Row],[Mes]],Tabla6[#Headers],0)))*(1+Catalogos!$L$2)</f>
        <v>#N/A</v>
      </c>
      <c r="N1535" s="283" t="e">
        <f>+(Tabla4[[#This Row],[Precio Descontado]]-Tabla4[[#This Row],[Precio Base]])*Tabla4[[#This Row],[Cantidad]]</f>
        <v>#N/A</v>
      </c>
      <c r="O1535" s="284" t="e">
        <f>++Tabla4[[#This Row],[Utilidad Total]]/Tabla4[[#This Row],[Total]]</f>
        <v>#N/A</v>
      </c>
      <c r="P1535" s="282">
        <f>++Tabla4[[#This Row],[Precio Descontado]]*Tabla4[[#This Row],[Cantidad]]</f>
        <v>21219.500796</v>
      </c>
      <c r="Q1535" s="282" t="e">
        <f>(INDEX(Tabla6[#All],MATCH(Tabla4[[#This Row],[Producto]],Tabla6[[#All],[PRODUCTO]],0),MATCH(Tabla4[[#This Row],[Mes]],Tabla6[#Headers],0)))</f>
        <v>#N/A</v>
      </c>
      <c r="R1535" s="282" t="e">
        <f>++Tabla4[[#This Row],[Precio Unitario Neto]]-Tabla4[[#This Row],[20.85%]]-Tabla4[[#This Row],[Costo]]</f>
        <v>#N/A</v>
      </c>
      <c r="S1535" s="282" t="e">
        <f>++Tabla4[[#This Row],[U. Bruta Uni]]*Tabla4[[#This Row],[Cantidad]]</f>
        <v>#N/A</v>
      </c>
      <c r="T1535" s="369" t="str">
        <f>VLOOKUP(Tabla4[[#This Row],[Producto]],Tabla6[#All],14,FALSE)</f>
        <v>Termico Solar</v>
      </c>
      <c r="U1535" s="284" t="e">
        <f>(IF(Tabla4[[#This Row],[Familia]]="termico solar",Tabla4[[#This Row],[Utilidad Total]]*6%,Tabla4[[#This Row],[Utilidad Total]]*11.5%))/Tabla4[[#This Row],[Total]]</f>
        <v>#N/A</v>
      </c>
      <c r="V1535" s="282" t="e">
        <f>+Tabla4[[#This Row],[Comisión Calculada]]*Tabla4[[#This Row],[Total]]</f>
        <v>#N/A</v>
      </c>
    </row>
    <row r="1536" spans="1:22" hidden="1" x14ac:dyDescent="0.25">
      <c r="A1536" s="100">
        <v>45747</v>
      </c>
      <c r="B1536" t="str">
        <f t="shared" si="74"/>
        <v>March</v>
      </c>
      <c r="C1536" s="46" t="s">
        <v>280</v>
      </c>
      <c r="F1536" s="366" t="s">
        <v>1304</v>
      </c>
      <c r="G1536" s="46" t="s">
        <v>18</v>
      </c>
      <c r="H1536" s="46">
        <v>4</v>
      </c>
      <c r="I1536" s="51">
        <v>5367.65</v>
      </c>
      <c r="J1536" s="281">
        <f>++Tabla4[[#This Row],[Precio Bruto]]*1.16</f>
        <v>6226.4739999999993</v>
      </c>
      <c r="K1536" s="281">
        <f>+Tabla4[[#This Row],[Precio Unitario Neto]]*Tabla4[[#Headers],[20.85%]]</f>
        <v>1298.2198289999999</v>
      </c>
      <c r="L1536" s="282">
        <f>++Tabla4[[#This Row],[Precio Unitario Neto]]-Tabla4[[#This Row],[20.85%]]</f>
        <v>4928.2541709999996</v>
      </c>
      <c r="M1536" s="282" t="e">
        <f>(INDEX(Tabla6[#All],MATCH(Tabla4[[#This Row],[Producto]],Tabla6[[#All],[PRODUCTO]],0),MATCH(Tabla4[[#This Row],[Mes]],Tabla6[#Headers],0)))*(1+Catalogos!$L$2)</f>
        <v>#N/A</v>
      </c>
      <c r="N1536" s="283" t="e">
        <f>+(Tabla4[[#This Row],[Precio Descontado]]-Tabla4[[#This Row],[Precio Base]])*Tabla4[[#This Row],[Cantidad]]</f>
        <v>#N/A</v>
      </c>
      <c r="O1536" s="284" t="e">
        <f>++Tabla4[[#This Row],[Utilidad Total]]/Tabla4[[#This Row],[Total]]</f>
        <v>#N/A</v>
      </c>
      <c r="P1536" s="282">
        <f>++Tabla4[[#This Row],[Precio Descontado]]*Tabla4[[#This Row],[Cantidad]]</f>
        <v>19713.016683999998</v>
      </c>
      <c r="Q1536" s="282" t="e">
        <f>(INDEX(Tabla6[#All],MATCH(Tabla4[[#This Row],[Producto]],Tabla6[[#All],[PRODUCTO]],0),MATCH(Tabla4[[#This Row],[Mes]],Tabla6[#Headers],0)))</f>
        <v>#N/A</v>
      </c>
      <c r="R1536" s="282" t="e">
        <f>++Tabla4[[#This Row],[Precio Unitario Neto]]-Tabla4[[#This Row],[20.85%]]-Tabla4[[#This Row],[Costo]]</f>
        <v>#N/A</v>
      </c>
      <c r="S1536" s="282" t="e">
        <f>++Tabla4[[#This Row],[U. Bruta Uni]]*Tabla4[[#This Row],[Cantidad]]</f>
        <v>#N/A</v>
      </c>
      <c r="T1536" s="369" t="str">
        <f>VLOOKUP(Tabla4[[#This Row],[Producto]],Tabla6[#All],14,FALSE)</f>
        <v>Termico Solar</v>
      </c>
      <c r="U1536" s="284" t="e">
        <f>(IF(Tabla4[[#This Row],[Familia]]="termico solar",Tabla4[[#This Row],[Utilidad Total]]*6%,Tabla4[[#This Row],[Utilidad Total]]*11.5%))/Tabla4[[#This Row],[Total]]</f>
        <v>#N/A</v>
      </c>
      <c r="V1536" s="282" t="e">
        <f>+Tabla4[[#This Row],[Comisión Calculada]]*Tabla4[[#This Row],[Total]]</f>
        <v>#N/A</v>
      </c>
    </row>
    <row r="1537" spans="1:22" hidden="1" x14ac:dyDescent="0.25">
      <c r="A1537" s="100">
        <v>45747</v>
      </c>
      <c r="B1537" t="str">
        <f t="shared" si="74"/>
        <v>March</v>
      </c>
      <c r="C1537" s="46" t="s">
        <v>280</v>
      </c>
      <c r="F1537" s="366" t="s">
        <v>1304</v>
      </c>
      <c r="G1537" s="46" t="s">
        <v>19</v>
      </c>
      <c r="H1537" s="46">
        <v>1</v>
      </c>
      <c r="I1537" s="51">
        <v>6412.03</v>
      </c>
      <c r="J1537" s="281">
        <f>++Tabla4[[#This Row],[Precio Bruto]]*1.16</f>
        <v>7437.9547999999995</v>
      </c>
      <c r="K1537" s="281">
        <f>+Tabla4[[#This Row],[Precio Unitario Neto]]*Tabla4[[#Headers],[20.85%]]</f>
        <v>1550.8135757999999</v>
      </c>
      <c r="L1537" s="282">
        <f>++Tabla4[[#This Row],[Precio Unitario Neto]]-Tabla4[[#This Row],[20.85%]]</f>
        <v>5887.1412241999997</v>
      </c>
      <c r="M1537" s="282" t="e">
        <f>(INDEX(Tabla6[#All],MATCH(Tabla4[[#This Row],[Producto]],Tabla6[[#All],[PRODUCTO]],0),MATCH(Tabla4[[#This Row],[Mes]],Tabla6[#Headers],0)))*(1+Catalogos!$L$2)</f>
        <v>#N/A</v>
      </c>
      <c r="N1537" s="283" t="e">
        <f>+(Tabla4[[#This Row],[Precio Descontado]]-Tabla4[[#This Row],[Precio Base]])*Tabla4[[#This Row],[Cantidad]]</f>
        <v>#N/A</v>
      </c>
      <c r="O1537" s="284" t="e">
        <f>++Tabla4[[#This Row],[Utilidad Total]]/Tabla4[[#This Row],[Total]]</f>
        <v>#N/A</v>
      </c>
      <c r="P1537" s="282">
        <f>++Tabla4[[#This Row],[Precio Descontado]]*Tabla4[[#This Row],[Cantidad]]</f>
        <v>5887.1412241999997</v>
      </c>
      <c r="Q1537" s="282" t="e">
        <f>(INDEX(Tabla6[#All],MATCH(Tabla4[[#This Row],[Producto]],Tabla6[[#All],[PRODUCTO]],0),MATCH(Tabla4[[#This Row],[Mes]],Tabla6[#Headers],0)))</f>
        <v>#N/A</v>
      </c>
      <c r="R1537" s="282" t="e">
        <f>++Tabla4[[#This Row],[Precio Unitario Neto]]-Tabla4[[#This Row],[20.85%]]-Tabla4[[#This Row],[Costo]]</f>
        <v>#N/A</v>
      </c>
      <c r="S1537" s="282" t="e">
        <f>++Tabla4[[#This Row],[U. Bruta Uni]]*Tabla4[[#This Row],[Cantidad]]</f>
        <v>#N/A</v>
      </c>
      <c r="T1537" s="369" t="str">
        <f>VLOOKUP(Tabla4[[#This Row],[Producto]],Tabla6[#All],14,FALSE)</f>
        <v>Termico Solar</v>
      </c>
      <c r="U1537" s="284" t="e">
        <f>(IF(Tabla4[[#This Row],[Familia]]="termico solar",Tabla4[[#This Row],[Utilidad Total]]*6%,Tabla4[[#This Row],[Utilidad Total]]*11.5%))/Tabla4[[#This Row],[Total]]</f>
        <v>#N/A</v>
      </c>
      <c r="V1537" s="282" t="e">
        <f>+Tabla4[[#This Row],[Comisión Calculada]]*Tabla4[[#This Row],[Total]]</f>
        <v>#N/A</v>
      </c>
    </row>
    <row r="1538" spans="1:22" hidden="1" x14ac:dyDescent="0.25">
      <c r="A1538" s="100">
        <v>45747</v>
      </c>
      <c r="B1538" t="str">
        <f t="shared" si="74"/>
        <v>March</v>
      </c>
      <c r="C1538" s="46" t="s">
        <v>280</v>
      </c>
      <c r="F1538" s="366" t="s">
        <v>1304</v>
      </c>
      <c r="G1538" s="46" t="s">
        <v>16</v>
      </c>
      <c r="H1538" s="46">
        <v>2</v>
      </c>
      <c r="I1538" s="51">
        <v>4103.8500000000004</v>
      </c>
      <c r="J1538" s="281">
        <f>++Tabla4[[#This Row],[Precio Bruto]]*1.16</f>
        <v>4760.4660000000003</v>
      </c>
      <c r="K1538" s="281">
        <f>+Tabla4[[#This Row],[Precio Unitario Neto]]*Tabla4[[#Headers],[20.85%]]</f>
        <v>992.55716100000006</v>
      </c>
      <c r="L1538" s="282">
        <f>++Tabla4[[#This Row],[Precio Unitario Neto]]-Tabla4[[#This Row],[20.85%]]</f>
        <v>3767.9088390000002</v>
      </c>
      <c r="M1538" s="282" t="e">
        <f>(INDEX(Tabla6[#All],MATCH(Tabla4[[#This Row],[Producto]],Tabla6[[#All],[PRODUCTO]],0),MATCH(Tabla4[[#This Row],[Mes]],Tabla6[#Headers],0)))*(1+Catalogos!$L$2)</f>
        <v>#N/A</v>
      </c>
      <c r="N1538" s="283" t="e">
        <f>+(Tabla4[[#This Row],[Precio Descontado]]-Tabla4[[#This Row],[Precio Base]])*Tabla4[[#This Row],[Cantidad]]</f>
        <v>#N/A</v>
      </c>
      <c r="O1538" s="284" t="e">
        <f>++Tabla4[[#This Row],[Utilidad Total]]/Tabla4[[#This Row],[Total]]</f>
        <v>#N/A</v>
      </c>
      <c r="P1538" s="282">
        <f>++Tabla4[[#This Row],[Precio Descontado]]*Tabla4[[#This Row],[Cantidad]]</f>
        <v>7535.8176780000003</v>
      </c>
      <c r="Q1538" s="282" t="e">
        <f>(INDEX(Tabla6[#All],MATCH(Tabla4[[#This Row],[Producto]],Tabla6[[#All],[PRODUCTO]],0),MATCH(Tabla4[[#This Row],[Mes]],Tabla6[#Headers],0)))</f>
        <v>#N/A</v>
      </c>
      <c r="R1538" s="282" t="e">
        <f>++Tabla4[[#This Row],[Precio Unitario Neto]]-Tabla4[[#This Row],[20.85%]]-Tabla4[[#This Row],[Costo]]</f>
        <v>#N/A</v>
      </c>
      <c r="S1538" s="282" t="e">
        <f>++Tabla4[[#This Row],[U. Bruta Uni]]*Tabla4[[#This Row],[Cantidad]]</f>
        <v>#N/A</v>
      </c>
      <c r="T1538" s="369" t="str">
        <f>VLOOKUP(Tabla4[[#This Row],[Producto]],Tabla6[#All],14,FALSE)</f>
        <v>Termico Solar</v>
      </c>
      <c r="U1538" s="284" t="e">
        <f>(IF(Tabla4[[#This Row],[Familia]]="termico solar",Tabla4[[#This Row],[Utilidad Total]]*6%,Tabla4[[#This Row],[Utilidad Total]]*11.5%))/Tabla4[[#This Row],[Total]]</f>
        <v>#N/A</v>
      </c>
      <c r="V1538" s="282" t="e">
        <f>+Tabla4[[#This Row],[Comisión Calculada]]*Tabla4[[#This Row],[Total]]</f>
        <v>#N/A</v>
      </c>
    </row>
    <row r="1539" spans="1:22" hidden="1" x14ac:dyDescent="0.25">
      <c r="A1539" s="100">
        <v>45747</v>
      </c>
      <c r="B1539" t="str">
        <f t="shared" si="74"/>
        <v>March</v>
      </c>
      <c r="C1539" s="46" t="s">
        <v>280</v>
      </c>
      <c r="F1539" s="366" t="s">
        <v>1305</v>
      </c>
      <c r="G1539" s="46" t="s">
        <v>208</v>
      </c>
      <c r="H1539" s="46">
        <v>15</v>
      </c>
      <c r="I1539" s="51">
        <v>140.63</v>
      </c>
      <c r="J1539" s="281">
        <f>++Tabla4[[#This Row],[Precio Bruto]]*1.16</f>
        <v>163.13079999999999</v>
      </c>
      <c r="K1539" s="281">
        <f>+Tabla4[[#This Row],[Precio Unitario Neto]]*Tabla4[[#Headers],[20.85%]]</f>
        <v>34.012771799999996</v>
      </c>
      <c r="L1539" s="282">
        <f>++Tabla4[[#This Row],[Precio Unitario Neto]]-Tabla4[[#This Row],[20.85%]]</f>
        <v>129.1180282</v>
      </c>
      <c r="M1539" s="282" t="e">
        <f>(INDEX(Tabla6[#All],MATCH(Tabla4[[#This Row],[Producto]],Tabla6[[#All],[PRODUCTO]],0),MATCH(Tabla4[[#This Row],[Mes]],Tabla6[#Headers],0)))*(1+Catalogos!$L$2)</f>
        <v>#N/A</v>
      </c>
      <c r="N1539" s="283" t="e">
        <f>+(Tabla4[[#This Row],[Precio Descontado]]-Tabla4[[#This Row],[Precio Base]])*Tabla4[[#This Row],[Cantidad]]</f>
        <v>#N/A</v>
      </c>
      <c r="O1539" s="284" t="e">
        <f>++Tabla4[[#This Row],[Utilidad Total]]/Tabla4[[#This Row],[Total]]</f>
        <v>#N/A</v>
      </c>
      <c r="P1539" s="282">
        <f>++Tabla4[[#This Row],[Precio Descontado]]*Tabla4[[#This Row],[Cantidad]]</f>
        <v>1936.7704229999999</v>
      </c>
      <c r="Q1539" s="282" t="e">
        <f>(INDEX(Tabla6[#All],MATCH(Tabla4[[#This Row],[Producto]],Tabla6[[#All],[PRODUCTO]],0),MATCH(Tabla4[[#This Row],[Mes]],Tabla6[#Headers],0)))</f>
        <v>#N/A</v>
      </c>
      <c r="R1539" s="282" t="e">
        <f>++Tabla4[[#This Row],[Precio Unitario Neto]]-Tabla4[[#This Row],[20.85%]]-Tabla4[[#This Row],[Costo]]</f>
        <v>#N/A</v>
      </c>
      <c r="S1539" s="282" t="e">
        <f>++Tabla4[[#This Row],[U. Bruta Uni]]*Tabla4[[#This Row],[Cantidad]]</f>
        <v>#N/A</v>
      </c>
      <c r="T1539" s="369" t="str">
        <f>VLOOKUP(Tabla4[[#This Row],[Producto]],Tabla6[#All],14,FALSE)</f>
        <v>Termico Solar</v>
      </c>
      <c r="U1539" s="284" t="e">
        <f>(IF(Tabla4[[#This Row],[Familia]]="termico solar",Tabla4[[#This Row],[Utilidad Total]]*6%,Tabla4[[#This Row],[Utilidad Total]]*11.5%))/Tabla4[[#This Row],[Total]]</f>
        <v>#N/A</v>
      </c>
      <c r="V1539" s="282" t="e">
        <f>+Tabla4[[#This Row],[Comisión Calculada]]*Tabla4[[#This Row],[Total]]</f>
        <v>#N/A</v>
      </c>
    </row>
    <row r="1540" spans="1:22" hidden="1" x14ac:dyDescent="0.25">
      <c r="A1540" s="100">
        <v>45747</v>
      </c>
      <c r="B1540" t="str">
        <f t="shared" si="74"/>
        <v>March</v>
      </c>
      <c r="C1540" s="46" t="s">
        <v>280</v>
      </c>
      <c r="F1540" s="366" t="s">
        <v>1305</v>
      </c>
      <c r="G1540" s="46" t="s">
        <v>16</v>
      </c>
      <c r="H1540" s="46">
        <v>2</v>
      </c>
      <c r="I1540" s="51">
        <v>4103.8500000000004</v>
      </c>
      <c r="J1540" s="281">
        <f>++Tabla4[[#This Row],[Precio Bruto]]*1.16</f>
        <v>4760.4660000000003</v>
      </c>
      <c r="K1540" s="281">
        <f>+Tabla4[[#This Row],[Precio Unitario Neto]]*Tabla4[[#Headers],[20.85%]]</f>
        <v>992.55716100000006</v>
      </c>
      <c r="L1540" s="282">
        <f>++Tabla4[[#This Row],[Precio Unitario Neto]]-Tabla4[[#This Row],[20.85%]]</f>
        <v>3767.9088390000002</v>
      </c>
      <c r="M1540" s="282" t="e">
        <f>(INDEX(Tabla6[#All],MATCH(Tabla4[[#This Row],[Producto]],Tabla6[[#All],[PRODUCTO]],0),MATCH(Tabla4[[#This Row],[Mes]],Tabla6[#Headers],0)))*(1+Catalogos!$L$2)</f>
        <v>#N/A</v>
      </c>
      <c r="N1540" s="283" t="e">
        <f>+(Tabla4[[#This Row],[Precio Descontado]]-Tabla4[[#This Row],[Precio Base]])*Tabla4[[#This Row],[Cantidad]]</f>
        <v>#N/A</v>
      </c>
      <c r="O1540" s="284" t="e">
        <f>++Tabla4[[#This Row],[Utilidad Total]]/Tabla4[[#This Row],[Total]]</f>
        <v>#N/A</v>
      </c>
      <c r="P1540" s="282">
        <f>++Tabla4[[#This Row],[Precio Descontado]]*Tabla4[[#This Row],[Cantidad]]</f>
        <v>7535.8176780000003</v>
      </c>
      <c r="Q1540" s="282" t="e">
        <f>(INDEX(Tabla6[#All],MATCH(Tabla4[[#This Row],[Producto]],Tabla6[[#All],[PRODUCTO]],0),MATCH(Tabla4[[#This Row],[Mes]],Tabla6[#Headers],0)))</f>
        <v>#N/A</v>
      </c>
      <c r="R1540" s="282" t="e">
        <f>++Tabla4[[#This Row],[Precio Unitario Neto]]-Tabla4[[#This Row],[20.85%]]-Tabla4[[#This Row],[Costo]]</f>
        <v>#N/A</v>
      </c>
      <c r="S1540" s="282" t="e">
        <f>++Tabla4[[#This Row],[U. Bruta Uni]]*Tabla4[[#This Row],[Cantidad]]</f>
        <v>#N/A</v>
      </c>
      <c r="T1540" s="369" t="str">
        <f>VLOOKUP(Tabla4[[#This Row],[Producto]],Tabla6[#All],14,FALSE)</f>
        <v>Termico Solar</v>
      </c>
      <c r="U1540" s="284" t="e">
        <f>(IF(Tabla4[[#This Row],[Familia]]="termico solar",Tabla4[[#This Row],[Utilidad Total]]*6%,Tabla4[[#This Row],[Utilidad Total]]*11.5%))/Tabla4[[#This Row],[Total]]</f>
        <v>#N/A</v>
      </c>
      <c r="V1540" s="282" t="e">
        <f>+Tabla4[[#This Row],[Comisión Calculada]]*Tabla4[[#This Row],[Total]]</f>
        <v>#N/A</v>
      </c>
    </row>
    <row r="1541" spans="1:22" hidden="1" x14ac:dyDescent="0.25">
      <c r="A1541" s="100">
        <v>45747</v>
      </c>
      <c r="B1541" t="str">
        <f t="shared" si="74"/>
        <v>March</v>
      </c>
      <c r="C1541" s="46" t="s">
        <v>280</v>
      </c>
      <c r="F1541" s="366" t="s">
        <v>1306</v>
      </c>
      <c r="G1541" s="46" t="s">
        <v>18</v>
      </c>
      <c r="H1541" s="46">
        <v>3</v>
      </c>
      <c r="I1541" s="51">
        <v>5367.6500000000005</v>
      </c>
      <c r="J1541" s="281">
        <f>++Tabla4[[#This Row],[Precio Bruto]]*1.16</f>
        <v>6226.4740000000002</v>
      </c>
      <c r="K1541" s="281">
        <f>+Tabla4[[#This Row],[Precio Unitario Neto]]*Tabla4[[#Headers],[20.85%]]</f>
        <v>1298.2198289999999</v>
      </c>
      <c r="L1541" s="282">
        <f>++Tabla4[[#This Row],[Precio Unitario Neto]]-Tabla4[[#This Row],[20.85%]]</f>
        <v>4928.2541710000005</v>
      </c>
      <c r="M1541" s="282" t="e">
        <f>(INDEX(Tabla6[#All],MATCH(Tabla4[[#This Row],[Producto]],Tabla6[[#All],[PRODUCTO]],0),MATCH(Tabla4[[#This Row],[Mes]],Tabla6[#Headers],0)))*(1+Catalogos!$L$2)</f>
        <v>#N/A</v>
      </c>
      <c r="N1541" s="283" t="e">
        <f>+(Tabla4[[#This Row],[Precio Descontado]]-Tabla4[[#This Row],[Precio Base]])*Tabla4[[#This Row],[Cantidad]]</f>
        <v>#N/A</v>
      </c>
      <c r="O1541" s="284" t="e">
        <f>++Tabla4[[#This Row],[Utilidad Total]]/Tabla4[[#This Row],[Total]]</f>
        <v>#N/A</v>
      </c>
      <c r="P1541" s="282">
        <f>++Tabla4[[#This Row],[Precio Descontado]]*Tabla4[[#This Row],[Cantidad]]</f>
        <v>14784.762513000001</v>
      </c>
      <c r="Q1541" s="282" t="e">
        <f>(INDEX(Tabla6[#All],MATCH(Tabla4[[#This Row],[Producto]],Tabla6[[#All],[PRODUCTO]],0),MATCH(Tabla4[[#This Row],[Mes]],Tabla6[#Headers],0)))</f>
        <v>#N/A</v>
      </c>
      <c r="R1541" s="282" t="e">
        <f>++Tabla4[[#This Row],[Precio Unitario Neto]]-Tabla4[[#This Row],[20.85%]]-Tabla4[[#This Row],[Costo]]</f>
        <v>#N/A</v>
      </c>
      <c r="S1541" s="282" t="e">
        <f>++Tabla4[[#This Row],[U. Bruta Uni]]*Tabla4[[#This Row],[Cantidad]]</f>
        <v>#N/A</v>
      </c>
      <c r="T1541" s="369" t="str">
        <f>VLOOKUP(Tabla4[[#This Row],[Producto]],Tabla6[#All],14,FALSE)</f>
        <v>Termico Solar</v>
      </c>
      <c r="U1541" s="284" t="e">
        <f>(IF(Tabla4[[#This Row],[Familia]]="termico solar",Tabla4[[#This Row],[Utilidad Total]]*6%,Tabla4[[#This Row],[Utilidad Total]]*11.5%))/Tabla4[[#This Row],[Total]]</f>
        <v>#N/A</v>
      </c>
      <c r="V1541" s="282" t="e">
        <f>+Tabla4[[#This Row],[Comisión Calculada]]*Tabla4[[#This Row],[Total]]</f>
        <v>#N/A</v>
      </c>
    </row>
    <row r="1542" spans="1:22" hidden="1" x14ac:dyDescent="0.25">
      <c r="A1542" s="100">
        <v>45747</v>
      </c>
      <c r="B1542" t="str">
        <f t="shared" si="74"/>
        <v>March</v>
      </c>
      <c r="C1542" s="46" t="s">
        <v>280</v>
      </c>
      <c r="F1542" s="366" t="s">
        <v>1306</v>
      </c>
      <c r="G1542" s="46" t="s">
        <v>566</v>
      </c>
      <c r="H1542" s="46">
        <v>1</v>
      </c>
      <c r="I1542" s="51">
        <v>2109.4499999999998</v>
      </c>
      <c r="J1542" s="281">
        <f>++Tabla4[[#This Row],[Precio Bruto]]*1.16</f>
        <v>2446.9619999999995</v>
      </c>
      <c r="K1542" s="281">
        <f>+Tabla4[[#This Row],[Precio Unitario Neto]]*Tabla4[[#Headers],[20.85%]]</f>
        <v>510.19157699999988</v>
      </c>
      <c r="L1542" s="282">
        <f>++Tabla4[[#This Row],[Precio Unitario Neto]]-Tabla4[[#This Row],[20.85%]]</f>
        <v>1936.7704229999997</v>
      </c>
      <c r="M1542" s="282" t="e">
        <f>(INDEX(Tabla6[#All],MATCH(Tabla4[[#This Row],[Producto]],Tabla6[[#All],[PRODUCTO]],0),MATCH(Tabla4[[#This Row],[Mes]],Tabla6[#Headers],0)))*(1+Catalogos!$L$2)</f>
        <v>#N/A</v>
      </c>
      <c r="N1542" s="283" t="e">
        <f>+(Tabla4[[#This Row],[Precio Descontado]]-Tabla4[[#This Row],[Precio Base]])*Tabla4[[#This Row],[Cantidad]]</f>
        <v>#N/A</v>
      </c>
      <c r="O1542" s="284" t="e">
        <f>++Tabla4[[#This Row],[Utilidad Total]]/Tabla4[[#This Row],[Total]]</f>
        <v>#N/A</v>
      </c>
      <c r="P1542" s="282">
        <f>++Tabla4[[#This Row],[Precio Descontado]]*Tabla4[[#This Row],[Cantidad]]</f>
        <v>1936.7704229999997</v>
      </c>
      <c r="Q1542" s="282" t="e">
        <f>(INDEX(Tabla6[#All],MATCH(Tabla4[[#This Row],[Producto]],Tabla6[[#All],[PRODUCTO]],0),MATCH(Tabla4[[#This Row],[Mes]],Tabla6[#Headers],0)))</f>
        <v>#N/A</v>
      </c>
      <c r="R1542" s="282" t="e">
        <f>++Tabla4[[#This Row],[Precio Unitario Neto]]-Tabla4[[#This Row],[20.85%]]-Tabla4[[#This Row],[Costo]]</f>
        <v>#N/A</v>
      </c>
      <c r="S1542" s="282" t="e">
        <f>++Tabla4[[#This Row],[U. Bruta Uni]]*Tabla4[[#This Row],[Cantidad]]</f>
        <v>#N/A</v>
      </c>
      <c r="T1542" s="369" t="str">
        <f>VLOOKUP(Tabla4[[#This Row],[Producto]],Tabla6[#All],14,FALSE)</f>
        <v>Termico Solar</v>
      </c>
      <c r="U1542" s="284" t="e">
        <f>(IF(Tabla4[[#This Row],[Familia]]="termico solar",Tabla4[[#This Row],[Utilidad Total]]*6%,Tabla4[[#This Row],[Utilidad Total]]*11.5%))/Tabla4[[#This Row],[Total]]</f>
        <v>#N/A</v>
      </c>
      <c r="V1542" s="282" t="e">
        <f>+Tabla4[[#This Row],[Comisión Calculada]]*Tabla4[[#This Row],[Total]]</f>
        <v>#N/A</v>
      </c>
    </row>
    <row r="1543" spans="1:22" hidden="1" x14ac:dyDescent="0.25">
      <c r="A1543" s="100">
        <v>45747</v>
      </c>
      <c r="B1543" t="str">
        <f t="shared" si="74"/>
        <v>March</v>
      </c>
      <c r="C1543" s="46" t="s">
        <v>280</v>
      </c>
      <c r="F1543" s="366" t="s">
        <v>1307</v>
      </c>
      <c r="G1543" s="46" t="s">
        <v>18</v>
      </c>
      <c r="H1543" s="46">
        <v>3</v>
      </c>
      <c r="I1543" s="51">
        <v>5367.6500000000005</v>
      </c>
      <c r="J1543" s="281">
        <f>++Tabla4[[#This Row],[Precio Bruto]]*1.16</f>
        <v>6226.4740000000002</v>
      </c>
      <c r="K1543" s="281">
        <f>+Tabla4[[#This Row],[Precio Unitario Neto]]*Tabla4[[#Headers],[20.85%]]</f>
        <v>1298.2198289999999</v>
      </c>
      <c r="L1543" s="282">
        <f>++Tabla4[[#This Row],[Precio Unitario Neto]]-Tabla4[[#This Row],[20.85%]]</f>
        <v>4928.2541710000005</v>
      </c>
      <c r="M1543" s="282" t="e">
        <f>(INDEX(Tabla6[#All],MATCH(Tabla4[[#This Row],[Producto]],Tabla6[[#All],[PRODUCTO]],0),MATCH(Tabla4[[#This Row],[Mes]],Tabla6[#Headers],0)))*(1+Catalogos!$L$2)</f>
        <v>#N/A</v>
      </c>
      <c r="N1543" s="283" t="e">
        <f>+(Tabla4[[#This Row],[Precio Descontado]]-Tabla4[[#This Row],[Precio Base]])*Tabla4[[#This Row],[Cantidad]]</f>
        <v>#N/A</v>
      </c>
      <c r="O1543" s="284" t="e">
        <f>++Tabla4[[#This Row],[Utilidad Total]]/Tabla4[[#This Row],[Total]]</f>
        <v>#N/A</v>
      </c>
      <c r="P1543" s="282">
        <f>++Tabla4[[#This Row],[Precio Descontado]]*Tabla4[[#This Row],[Cantidad]]</f>
        <v>14784.762513000001</v>
      </c>
      <c r="Q1543" s="282" t="e">
        <f>(INDEX(Tabla6[#All],MATCH(Tabla4[[#This Row],[Producto]],Tabla6[[#All],[PRODUCTO]],0),MATCH(Tabla4[[#This Row],[Mes]],Tabla6[#Headers],0)))</f>
        <v>#N/A</v>
      </c>
      <c r="R1543" s="282" t="e">
        <f>++Tabla4[[#This Row],[Precio Unitario Neto]]-Tabla4[[#This Row],[20.85%]]-Tabla4[[#This Row],[Costo]]</f>
        <v>#N/A</v>
      </c>
      <c r="S1543" s="282" t="e">
        <f>++Tabla4[[#This Row],[U. Bruta Uni]]*Tabla4[[#This Row],[Cantidad]]</f>
        <v>#N/A</v>
      </c>
      <c r="T1543" s="369" t="str">
        <f>VLOOKUP(Tabla4[[#This Row],[Producto]],Tabla6[#All],14,FALSE)</f>
        <v>Termico Solar</v>
      </c>
      <c r="U1543" s="284" t="e">
        <f>(IF(Tabla4[[#This Row],[Familia]]="termico solar",Tabla4[[#This Row],[Utilidad Total]]*6%,Tabla4[[#This Row],[Utilidad Total]]*11.5%))/Tabla4[[#This Row],[Total]]</f>
        <v>#N/A</v>
      </c>
      <c r="V1543" s="282" t="e">
        <f>+Tabla4[[#This Row],[Comisión Calculada]]*Tabla4[[#This Row],[Total]]</f>
        <v>#N/A</v>
      </c>
    </row>
    <row r="1544" spans="1:22" hidden="1" x14ac:dyDescent="0.25">
      <c r="A1544" s="100">
        <v>45747</v>
      </c>
      <c r="B1544" t="str">
        <f t="shared" si="74"/>
        <v>March</v>
      </c>
      <c r="C1544" s="46" t="s">
        <v>280</v>
      </c>
      <c r="F1544" s="366" t="s">
        <v>1307</v>
      </c>
      <c r="G1544" s="46" t="s">
        <v>566</v>
      </c>
      <c r="H1544" s="46">
        <v>1</v>
      </c>
      <c r="I1544" s="51">
        <v>2109.4499999999998</v>
      </c>
      <c r="J1544" s="281">
        <f>++Tabla4[[#This Row],[Precio Bruto]]*1.16</f>
        <v>2446.9619999999995</v>
      </c>
      <c r="K1544" s="281">
        <f>+Tabla4[[#This Row],[Precio Unitario Neto]]*Tabla4[[#Headers],[20.85%]]</f>
        <v>510.19157699999988</v>
      </c>
      <c r="L1544" s="282">
        <f>++Tabla4[[#This Row],[Precio Unitario Neto]]-Tabla4[[#This Row],[20.85%]]</f>
        <v>1936.7704229999997</v>
      </c>
      <c r="M1544" s="282" t="e">
        <f>(INDEX(Tabla6[#All],MATCH(Tabla4[[#This Row],[Producto]],Tabla6[[#All],[PRODUCTO]],0),MATCH(Tabla4[[#This Row],[Mes]],Tabla6[#Headers],0)))*(1+Catalogos!$L$2)</f>
        <v>#N/A</v>
      </c>
      <c r="N1544" s="283" t="e">
        <f>+(Tabla4[[#This Row],[Precio Descontado]]-Tabla4[[#This Row],[Precio Base]])*Tabla4[[#This Row],[Cantidad]]</f>
        <v>#N/A</v>
      </c>
      <c r="O1544" s="284" t="e">
        <f>++Tabla4[[#This Row],[Utilidad Total]]/Tabla4[[#This Row],[Total]]</f>
        <v>#N/A</v>
      </c>
      <c r="P1544" s="282">
        <f>++Tabla4[[#This Row],[Precio Descontado]]*Tabla4[[#This Row],[Cantidad]]</f>
        <v>1936.7704229999997</v>
      </c>
      <c r="Q1544" s="282" t="e">
        <f>(INDEX(Tabla6[#All],MATCH(Tabla4[[#This Row],[Producto]],Tabla6[[#All],[PRODUCTO]],0),MATCH(Tabla4[[#This Row],[Mes]],Tabla6[#Headers],0)))</f>
        <v>#N/A</v>
      </c>
      <c r="R1544" s="282" t="e">
        <f>++Tabla4[[#This Row],[Precio Unitario Neto]]-Tabla4[[#This Row],[20.85%]]-Tabla4[[#This Row],[Costo]]</f>
        <v>#N/A</v>
      </c>
      <c r="S1544" s="282" t="e">
        <f>++Tabla4[[#This Row],[U. Bruta Uni]]*Tabla4[[#This Row],[Cantidad]]</f>
        <v>#N/A</v>
      </c>
      <c r="T1544" s="369" t="str">
        <f>VLOOKUP(Tabla4[[#This Row],[Producto]],Tabla6[#All],14,FALSE)</f>
        <v>Termico Solar</v>
      </c>
      <c r="U1544" s="284" t="e">
        <f>(IF(Tabla4[[#This Row],[Familia]]="termico solar",Tabla4[[#This Row],[Utilidad Total]]*6%,Tabla4[[#This Row],[Utilidad Total]]*11.5%))/Tabla4[[#This Row],[Total]]</f>
        <v>#N/A</v>
      </c>
      <c r="V1544" s="282" t="e">
        <f>+Tabla4[[#This Row],[Comisión Calculada]]*Tabla4[[#This Row],[Total]]</f>
        <v>#N/A</v>
      </c>
    </row>
    <row r="1545" spans="1:22" hidden="1" x14ac:dyDescent="0.25">
      <c r="A1545" s="100">
        <v>45747</v>
      </c>
      <c r="B1545" t="str">
        <f t="shared" si="74"/>
        <v>March</v>
      </c>
      <c r="C1545" s="46" t="s">
        <v>280</v>
      </c>
      <c r="F1545" s="366" t="s">
        <v>1307</v>
      </c>
      <c r="G1545" s="46" t="s">
        <v>16</v>
      </c>
      <c r="H1545" s="46">
        <v>2</v>
      </c>
      <c r="I1545" s="51">
        <v>4103.8500000000004</v>
      </c>
      <c r="J1545" s="281">
        <f>++Tabla4[[#This Row],[Precio Bruto]]*1.16</f>
        <v>4760.4660000000003</v>
      </c>
      <c r="K1545" s="281">
        <f>+Tabla4[[#This Row],[Precio Unitario Neto]]*Tabla4[[#Headers],[20.85%]]</f>
        <v>992.55716100000006</v>
      </c>
      <c r="L1545" s="282">
        <f>++Tabla4[[#This Row],[Precio Unitario Neto]]-Tabla4[[#This Row],[20.85%]]</f>
        <v>3767.9088390000002</v>
      </c>
      <c r="M1545" s="282" t="e">
        <f>(INDEX(Tabla6[#All],MATCH(Tabla4[[#This Row],[Producto]],Tabla6[[#All],[PRODUCTO]],0),MATCH(Tabla4[[#This Row],[Mes]],Tabla6[#Headers],0)))*(1+Catalogos!$L$2)</f>
        <v>#N/A</v>
      </c>
      <c r="N1545" s="283" t="e">
        <f>+(Tabla4[[#This Row],[Precio Descontado]]-Tabla4[[#This Row],[Precio Base]])*Tabla4[[#This Row],[Cantidad]]</f>
        <v>#N/A</v>
      </c>
      <c r="O1545" s="284" t="e">
        <f>++Tabla4[[#This Row],[Utilidad Total]]/Tabla4[[#This Row],[Total]]</f>
        <v>#N/A</v>
      </c>
      <c r="P1545" s="282">
        <f>++Tabla4[[#This Row],[Precio Descontado]]*Tabla4[[#This Row],[Cantidad]]</f>
        <v>7535.8176780000003</v>
      </c>
      <c r="Q1545" s="282" t="e">
        <f>(INDEX(Tabla6[#All],MATCH(Tabla4[[#This Row],[Producto]],Tabla6[[#All],[PRODUCTO]],0),MATCH(Tabla4[[#This Row],[Mes]],Tabla6[#Headers],0)))</f>
        <v>#N/A</v>
      </c>
      <c r="R1545" s="282" t="e">
        <f>++Tabla4[[#This Row],[Precio Unitario Neto]]-Tabla4[[#This Row],[20.85%]]-Tabla4[[#This Row],[Costo]]</f>
        <v>#N/A</v>
      </c>
      <c r="S1545" s="282" t="e">
        <f>++Tabla4[[#This Row],[U. Bruta Uni]]*Tabla4[[#This Row],[Cantidad]]</f>
        <v>#N/A</v>
      </c>
      <c r="T1545" s="369" t="str">
        <f>VLOOKUP(Tabla4[[#This Row],[Producto]],Tabla6[#All],14,FALSE)</f>
        <v>Termico Solar</v>
      </c>
      <c r="U1545" s="284" t="e">
        <f>(IF(Tabla4[[#This Row],[Familia]]="termico solar",Tabla4[[#This Row],[Utilidad Total]]*6%,Tabla4[[#This Row],[Utilidad Total]]*11.5%))/Tabla4[[#This Row],[Total]]</f>
        <v>#N/A</v>
      </c>
      <c r="V1545" s="282" t="e">
        <f>+Tabla4[[#This Row],[Comisión Calculada]]*Tabla4[[#This Row],[Total]]</f>
        <v>#N/A</v>
      </c>
    </row>
    <row r="1546" spans="1:22" hidden="1" x14ac:dyDescent="0.25">
      <c r="A1546" s="100">
        <v>45747</v>
      </c>
      <c r="B1546" t="str">
        <f t="shared" si="74"/>
        <v>March</v>
      </c>
      <c r="C1546" s="46" t="s">
        <v>280</v>
      </c>
      <c r="F1546" s="366" t="s">
        <v>1308</v>
      </c>
      <c r="G1546" s="46" t="s">
        <v>17</v>
      </c>
      <c r="H1546" s="46">
        <v>1</v>
      </c>
      <c r="I1546" s="51">
        <v>4622.28</v>
      </c>
      <c r="J1546" s="281">
        <f>++Tabla4[[#This Row],[Precio Bruto]]*1.16</f>
        <v>5361.8447999999989</v>
      </c>
      <c r="K1546" s="281">
        <f>+Tabla4[[#This Row],[Precio Unitario Neto]]*Tabla4[[#Headers],[20.85%]]</f>
        <v>1117.9446407999997</v>
      </c>
      <c r="L1546" s="282">
        <f>++Tabla4[[#This Row],[Precio Unitario Neto]]-Tabla4[[#This Row],[20.85%]]</f>
        <v>4243.9001591999995</v>
      </c>
      <c r="M1546" s="282" t="e">
        <f>(INDEX(Tabla6[#All],MATCH(Tabla4[[#This Row],[Producto]],Tabla6[[#All],[PRODUCTO]],0),MATCH(Tabla4[[#This Row],[Mes]],Tabla6[#Headers],0)))*(1+Catalogos!$L$2)</f>
        <v>#N/A</v>
      </c>
      <c r="N1546" s="283" t="e">
        <f>+(Tabla4[[#This Row],[Precio Descontado]]-Tabla4[[#This Row],[Precio Base]])*Tabla4[[#This Row],[Cantidad]]</f>
        <v>#N/A</v>
      </c>
      <c r="O1546" s="284" t="e">
        <f>++Tabla4[[#This Row],[Utilidad Total]]/Tabla4[[#This Row],[Total]]</f>
        <v>#N/A</v>
      </c>
      <c r="P1546" s="282">
        <f>++Tabla4[[#This Row],[Precio Descontado]]*Tabla4[[#This Row],[Cantidad]]</f>
        <v>4243.9001591999995</v>
      </c>
      <c r="Q1546" s="282" t="e">
        <f>(INDEX(Tabla6[#All],MATCH(Tabla4[[#This Row],[Producto]],Tabla6[[#All],[PRODUCTO]],0),MATCH(Tabla4[[#This Row],[Mes]],Tabla6[#Headers],0)))</f>
        <v>#N/A</v>
      </c>
      <c r="R1546" s="282" t="e">
        <f>++Tabla4[[#This Row],[Precio Unitario Neto]]-Tabla4[[#This Row],[20.85%]]-Tabla4[[#This Row],[Costo]]</f>
        <v>#N/A</v>
      </c>
      <c r="S1546" s="282" t="e">
        <f>++Tabla4[[#This Row],[U. Bruta Uni]]*Tabla4[[#This Row],[Cantidad]]</f>
        <v>#N/A</v>
      </c>
      <c r="T1546" s="369" t="str">
        <f>VLOOKUP(Tabla4[[#This Row],[Producto]],Tabla6[#All],14,FALSE)</f>
        <v>Termico Solar</v>
      </c>
      <c r="U1546" s="284" t="e">
        <f>(IF(Tabla4[[#This Row],[Familia]]="termico solar",Tabla4[[#This Row],[Utilidad Total]]*6%,Tabla4[[#This Row],[Utilidad Total]]*11.5%))/Tabla4[[#This Row],[Total]]</f>
        <v>#N/A</v>
      </c>
      <c r="V1546" s="282" t="e">
        <f>+Tabla4[[#This Row],[Comisión Calculada]]*Tabla4[[#This Row],[Total]]</f>
        <v>#N/A</v>
      </c>
    </row>
    <row r="1547" spans="1:22" hidden="1" x14ac:dyDescent="0.25">
      <c r="A1547" s="100">
        <v>45747</v>
      </c>
      <c r="B1547" t="str">
        <f t="shared" si="74"/>
        <v>March</v>
      </c>
      <c r="C1547" s="46" t="s">
        <v>280</v>
      </c>
      <c r="F1547" s="366" t="s">
        <v>1308</v>
      </c>
      <c r="G1547" s="46" t="s">
        <v>18</v>
      </c>
      <c r="H1547" s="46">
        <v>1</v>
      </c>
      <c r="I1547" s="51">
        <v>5367.65</v>
      </c>
      <c r="J1547" s="281">
        <f>++Tabla4[[#This Row],[Precio Bruto]]*1.16</f>
        <v>6226.4739999999993</v>
      </c>
      <c r="K1547" s="281">
        <f>+Tabla4[[#This Row],[Precio Unitario Neto]]*Tabla4[[#Headers],[20.85%]]</f>
        <v>1298.2198289999999</v>
      </c>
      <c r="L1547" s="282">
        <f>++Tabla4[[#This Row],[Precio Unitario Neto]]-Tabla4[[#This Row],[20.85%]]</f>
        <v>4928.2541709999996</v>
      </c>
      <c r="M1547" s="282" t="e">
        <f>(INDEX(Tabla6[#All],MATCH(Tabla4[[#This Row],[Producto]],Tabla6[[#All],[PRODUCTO]],0),MATCH(Tabla4[[#This Row],[Mes]],Tabla6[#Headers],0)))*(1+Catalogos!$L$2)</f>
        <v>#N/A</v>
      </c>
      <c r="N1547" s="283" t="e">
        <f>+(Tabla4[[#This Row],[Precio Descontado]]-Tabla4[[#This Row],[Precio Base]])*Tabla4[[#This Row],[Cantidad]]</f>
        <v>#N/A</v>
      </c>
      <c r="O1547" s="284" t="e">
        <f>++Tabla4[[#This Row],[Utilidad Total]]/Tabla4[[#This Row],[Total]]</f>
        <v>#N/A</v>
      </c>
      <c r="P1547" s="282">
        <f>++Tabla4[[#This Row],[Precio Descontado]]*Tabla4[[#This Row],[Cantidad]]</f>
        <v>4928.2541709999996</v>
      </c>
      <c r="Q1547" s="282" t="e">
        <f>(INDEX(Tabla6[#All],MATCH(Tabla4[[#This Row],[Producto]],Tabla6[[#All],[PRODUCTO]],0),MATCH(Tabla4[[#This Row],[Mes]],Tabla6[#Headers],0)))</f>
        <v>#N/A</v>
      </c>
      <c r="R1547" s="282" t="e">
        <f>++Tabla4[[#This Row],[Precio Unitario Neto]]-Tabla4[[#This Row],[20.85%]]-Tabla4[[#This Row],[Costo]]</f>
        <v>#N/A</v>
      </c>
      <c r="S1547" s="282" t="e">
        <f>++Tabla4[[#This Row],[U. Bruta Uni]]*Tabla4[[#This Row],[Cantidad]]</f>
        <v>#N/A</v>
      </c>
      <c r="T1547" s="369" t="str">
        <f>VLOOKUP(Tabla4[[#This Row],[Producto]],Tabla6[#All],14,FALSE)</f>
        <v>Termico Solar</v>
      </c>
      <c r="U1547" s="284" t="e">
        <f>(IF(Tabla4[[#This Row],[Familia]]="termico solar",Tabla4[[#This Row],[Utilidad Total]]*6%,Tabla4[[#This Row],[Utilidad Total]]*11.5%))/Tabla4[[#This Row],[Total]]</f>
        <v>#N/A</v>
      </c>
      <c r="V1547" s="282" t="e">
        <f>+Tabla4[[#This Row],[Comisión Calculada]]*Tabla4[[#This Row],[Total]]</f>
        <v>#N/A</v>
      </c>
    </row>
    <row r="1548" spans="1:22" hidden="1" x14ac:dyDescent="0.25">
      <c r="A1548" s="100">
        <v>45747</v>
      </c>
      <c r="B1548" t="str">
        <f t="shared" si="74"/>
        <v>March</v>
      </c>
      <c r="C1548" s="46" t="s">
        <v>280</v>
      </c>
      <c r="F1548" s="366" t="s">
        <v>1309</v>
      </c>
      <c r="G1548" s="46" t="s">
        <v>17</v>
      </c>
      <c r="H1548" s="46">
        <v>2</v>
      </c>
      <c r="I1548" s="51">
        <v>4622.28</v>
      </c>
      <c r="J1548" s="281">
        <f>++Tabla4[[#This Row],[Precio Bruto]]*1.16</f>
        <v>5361.8447999999989</v>
      </c>
      <c r="K1548" s="281">
        <f>+Tabla4[[#This Row],[Precio Unitario Neto]]*Tabla4[[#Headers],[20.85%]]</f>
        <v>1117.9446407999997</v>
      </c>
      <c r="L1548" s="282">
        <f>++Tabla4[[#This Row],[Precio Unitario Neto]]-Tabla4[[#This Row],[20.85%]]</f>
        <v>4243.9001591999995</v>
      </c>
      <c r="M1548" s="282" t="e">
        <f>(INDEX(Tabla6[#All],MATCH(Tabla4[[#This Row],[Producto]],Tabla6[[#All],[PRODUCTO]],0),MATCH(Tabla4[[#This Row],[Mes]],Tabla6[#Headers],0)))*(1+Catalogos!$L$2)</f>
        <v>#N/A</v>
      </c>
      <c r="N1548" s="283" t="e">
        <f>+(Tabla4[[#This Row],[Precio Descontado]]-Tabla4[[#This Row],[Precio Base]])*Tabla4[[#This Row],[Cantidad]]</f>
        <v>#N/A</v>
      </c>
      <c r="O1548" s="284" t="e">
        <f>++Tabla4[[#This Row],[Utilidad Total]]/Tabla4[[#This Row],[Total]]</f>
        <v>#N/A</v>
      </c>
      <c r="P1548" s="282">
        <f>++Tabla4[[#This Row],[Precio Descontado]]*Tabla4[[#This Row],[Cantidad]]</f>
        <v>8487.800318399999</v>
      </c>
      <c r="Q1548" s="282" t="e">
        <f>(INDEX(Tabla6[#All],MATCH(Tabla4[[#This Row],[Producto]],Tabla6[[#All],[PRODUCTO]],0),MATCH(Tabla4[[#This Row],[Mes]],Tabla6[#Headers],0)))</f>
        <v>#N/A</v>
      </c>
      <c r="R1548" s="282" t="e">
        <f>++Tabla4[[#This Row],[Precio Unitario Neto]]-Tabla4[[#This Row],[20.85%]]-Tabla4[[#This Row],[Costo]]</f>
        <v>#N/A</v>
      </c>
      <c r="S1548" s="282" t="e">
        <f>++Tabla4[[#This Row],[U. Bruta Uni]]*Tabla4[[#This Row],[Cantidad]]</f>
        <v>#N/A</v>
      </c>
      <c r="T1548" s="369" t="str">
        <f>VLOOKUP(Tabla4[[#This Row],[Producto]],Tabla6[#All],14,FALSE)</f>
        <v>Termico Solar</v>
      </c>
      <c r="U1548" s="284" t="e">
        <f>(IF(Tabla4[[#This Row],[Familia]]="termico solar",Tabla4[[#This Row],[Utilidad Total]]*6%,Tabla4[[#This Row],[Utilidad Total]]*11.5%))/Tabla4[[#This Row],[Total]]</f>
        <v>#N/A</v>
      </c>
      <c r="V1548" s="282" t="e">
        <f>+Tabla4[[#This Row],[Comisión Calculada]]*Tabla4[[#This Row],[Total]]</f>
        <v>#N/A</v>
      </c>
    </row>
    <row r="1549" spans="1:22" hidden="1" x14ac:dyDescent="0.25">
      <c r="A1549" s="100">
        <v>45747</v>
      </c>
      <c r="B1549" t="str">
        <f t="shared" si="74"/>
        <v>March</v>
      </c>
      <c r="C1549" s="46" t="s">
        <v>280</v>
      </c>
      <c r="F1549" s="366" t="s">
        <v>1309</v>
      </c>
      <c r="G1549" s="46" t="s">
        <v>18</v>
      </c>
      <c r="H1549" s="46">
        <v>5</v>
      </c>
      <c r="I1549" s="51">
        <v>5367.65</v>
      </c>
      <c r="J1549" s="281">
        <f>++Tabla4[[#This Row],[Precio Bruto]]*1.16</f>
        <v>6226.4739999999993</v>
      </c>
      <c r="K1549" s="281">
        <f>+Tabla4[[#This Row],[Precio Unitario Neto]]*Tabla4[[#Headers],[20.85%]]</f>
        <v>1298.2198289999999</v>
      </c>
      <c r="L1549" s="282">
        <f>++Tabla4[[#This Row],[Precio Unitario Neto]]-Tabla4[[#This Row],[20.85%]]</f>
        <v>4928.2541709999996</v>
      </c>
      <c r="M1549" s="282" t="e">
        <f>(INDEX(Tabla6[#All],MATCH(Tabla4[[#This Row],[Producto]],Tabla6[[#All],[PRODUCTO]],0),MATCH(Tabla4[[#This Row],[Mes]],Tabla6[#Headers],0)))*(1+Catalogos!$L$2)</f>
        <v>#N/A</v>
      </c>
      <c r="N1549" s="283" t="e">
        <f>+(Tabla4[[#This Row],[Precio Descontado]]-Tabla4[[#This Row],[Precio Base]])*Tabla4[[#This Row],[Cantidad]]</f>
        <v>#N/A</v>
      </c>
      <c r="O1549" s="284" t="e">
        <f>++Tabla4[[#This Row],[Utilidad Total]]/Tabla4[[#This Row],[Total]]</f>
        <v>#N/A</v>
      </c>
      <c r="P1549" s="282">
        <f>++Tabla4[[#This Row],[Precio Descontado]]*Tabla4[[#This Row],[Cantidad]]</f>
        <v>24641.270854999999</v>
      </c>
      <c r="Q1549" s="282" t="e">
        <f>(INDEX(Tabla6[#All],MATCH(Tabla4[[#This Row],[Producto]],Tabla6[[#All],[PRODUCTO]],0),MATCH(Tabla4[[#This Row],[Mes]],Tabla6[#Headers],0)))</f>
        <v>#N/A</v>
      </c>
      <c r="R1549" s="282" t="e">
        <f>++Tabla4[[#This Row],[Precio Unitario Neto]]-Tabla4[[#This Row],[20.85%]]-Tabla4[[#This Row],[Costo]]</f>
        <v>#N/A</v>
      </c>
      <c r="S1549" s="282" t="e">
        <f>++Tabla4[[#This Row],[U. Bruta Uni]]*Tabla4[[#This Row],[Cantidad]]</f>
        <v>#N/A</v>
      </c>
      <c r="T1549" s="369" t="str">
        <f>VLOOKUP(Tabla4[[#This Row],[Producto]],Tabla6[#All],14,FALSE)</f>
        <v>Termico Solar</v>
      </c>
      <c r="U1549" s="284" t="e">
        <f>(IF(Tabla4[[#This Row],[Familia]]="termico solar",Tabla4[[#This Row],[Utilidad Total]]*6%,Tabla4[[#This Row],[Utilidad Total]]*11.5%))/Tabla4[[#This Row],[Total]]</f>
        <v>#N/A</v>
      </c>
      <c r="V1549" s="282" t="e">
        <f>+Tabla4[[#This Row],[Comisión Calculada]]*Tabla4[[#This Row],[Total]]</f>
        <v>#N/A</v>
      </c>
    </row>
    <row r="1550" spans="1:22" hidden="1" x14ac:dyDescent="0.25">
      <c r="A1550" s="100">
        <v>45747</v>
      </c>
      <c r="B1550" t="str">
        <f t="shared" si="74"/>
        <v>March</v>
      </c>
      <c r="C1550" s="46" t="s">
        <v>280</v>
      </c>
      <c r="F1550" s="366" t="s">
        <v>1309</v>
      </c>
      <c r="G1550" s="46" t="s">
        <v>19</v>
      </c>
      <c r="H1550" s="46">
        <v>1</v>
      </c>
      <c r="I1550" s="51">
        <v>6412.03</v>
      </c>
      <c r="J1550" s="281">
        <f>++Tabla4[[#This Row],[Precio Bruto]]*1.16</f>
        <v>7437.9547999999995</v>
      </c>
      <c r="K1550" s="281">
        <f>+Tabla4[[#This Row],[Precio Unitario Neto]]*Tabla4[[#Headers],[20.85%]]</f>
        <v>1550.8135757999999</v>
      </c>
      <c r="L1550" s="282">
        <f>++Tabla4[[#This Row],[Precio Unitario Neto]]-Tabla4[[#This Row],[20.85%]]</f>
        <v>5887.1412241999997</v>
      </c>
      <c r="M1550" s="282" t="e">
        <f>(INDEX(Tabla6[#All],MATCH(Tabla4[[#This Row],[Producto]],Tabla6[[#All],[PRODUCTO]],0),MATCH(Tabla4[[#This Row],[Mes]],Tabla6[#Headers],0)))*(1+Catalogos!$L$2)</f>
        <v>#N/A</v>
      </c>
      <c r="N1550" s="283" t="e">
        <f>+(Tabla4[[#This Row],[Precio Descontado]]-Tabla4[[#This Row],[Precio Base]])*Tabla4[[#This Row],[Cantidad]]</f>
        <v>#N/A</v>
      </c>
      <c r="O1550" s="284" t="e">
        <f>++Tabla4[[#This Row],[Utilidad Total]]/Tabla4[[#This Row],[Total]]</f>
        <v>#N/A</v>
      </c>
      <c r="P1550" s="282">
        <f>++Tabla4[[#This Row],[Precio Descontado]]*Tabla4[[#This Row],[Cantidad]]</f>
        <v>5887.1412241999997</v>
      </c>
      <c r="Q1550" s="282" t="e">
        <f>(INDEX(Tabla6[#All],MATCH(Tabla4[[#This Row],[Producto]],Tabla6[[#All],[PRODUCTO]],0),MATCH(Tabla4[[#This Row],[Mes]],Tabla6[#Headers],0)))</f>
        <v>#N/A</v>
      </c>
      <c r="R1550" s="282" t="e">
        <f>++Tabla4[[#This Row],[Precio Unitario Neto]]-Tabla4[[#This Row],[20.85%]]-Tabla4[[#This Row],[Costo]]</f>
        <v>#N/A</v>
      </c>
      <c r="S1550" s="282" t="e">
        <f>++Tabla4[[#This Row],[U. Bruta Uni]]*Tabla4[[#This Row],[Cantidad]]</f>
        <v>#N/A</v>
      </c>
      <c r="T1550" s="369" t="str">
        <f>VLOOKUP(Tabla4[[#This Row],[Producto]],Tabla6[#All],14,FALSE)</f>
        <v>Termico Solar</v>
      </c>
      <c r="U1550" s="284" t="e">
        <f>(IF(Tabla4[[#This Row],[Familia]]="termico solar",Tabla4[[#This Row],[Utilidad Total]]*6%,Tabla4[[#This Row],[Utilidad Total]]*11.5%))/Tabla4[[#This Row],[Total]]</f>
        <v>#N/A</v>
      </c>
      <c r="V1550" s="282" t="e">
        <f>+Tabla4[[#This Row],[Comisión Calculada]]*Tabla4[[#This Row],[Total]]</f>
        <v>#N/A</v>
      </c>
    </row>
    <row r="1551" spans="1:22" hidden="1" x14ac:dyDescent="0.25">
      <c r="A1551" s="100">
        <v>45747</v>
      </c>
      <c r="B1551" t="str">
        <f t="shared" si="74"/>
        <v>March</v>
      </c>
      <c r="C1551" s="46" t="s">
        <v>280</v>
      </c>
      <c r="F1551" s="366" t="s">
        <v>1309</v>
      </c>
      <c r="G1551" s="46" t="s">
        <v>566</v>
      </c>
      <c r="H1551" s="46">
        <v>1</v>
      </c>
      <c r="I1551" s="51">
        <v>2109.4499999999998</v>
      </c>
      <c r="J1551" s="281">
        <f>++Tabla4[[#This Row],[Precio Bruto]]*1.16</f>
        <v>2446.9619999999995</v>
      </c>
      <c r="K1551" s="281">
        <f>+Tabla4[[#This Row],[Precio Unitario Neto]]*Tabla4[[#Headers],[20.85%]]</f>
        <v>510.19157699999988</v>
      </c>
      <c r="L1551" s="282">
        <f>++Tabla4[[#This Row],[Precio Unitario Neto]]-Tabla4[[#This Row],[20.85%]]</f>
        <v>1936.7704229999997</v>
      </c>
      <c r="M1551" s="282" t="e">
        <f>(INDEX(Tabla6[#All],MATCH(Tabla4[[#This Row],[Producto]],Tabla6[[#All],[PRODUCTO]],0),MATCH(Tabla4[[#This Row],[Mes]],Tabla6[#Headers],0)))*(1+Catalogos!$L$2)</f>
        <v>#N/A</v>
      </c>
      <c r="N1551" s="283" t="e">
        <f>+(Tabla4[[#This Row],[Precio Descontado]]-Tabla4[[#This Row],[Precio Base]])*Tabla4[[#This Row],[Cantidad]]</f>
        <v>#N/A</v>
      </c>
      <c r="O1551" s="284" t="e">
        <f>++Tabla4[[#This Row],[Utilidad Total]]/Tabla4[[#This Row],[Total]]</f>
        <v>#N/A</v>
      </c>
      <c r="P1551" s="282">
        <f>++Tabla4[[#This Row],[Precio Descontado]]*Tabla4[[#This Row],[Cantidad]]</f>
        <v>1936.7704229999997</v>
      </c>
      <c r="Q1551" s="282" t="e">
        <f>(INDEX(Tabla6[#All],MATCH(Tabla4[[#This Row],[Producto]],Tabla6[[#All],[PRODUCTO]],0),MATCH(Tabla4[[#This Row],[Mes]],Tabla6[#Headers],0)))</f>
        <v>#N/A</v>
      </c>
      <c r="R1551" s="282" t="e">
        <f>++Tabla4[[#This Row],[Precio Unitario Neto]]-Tabla4[[#This Row],[20.85%]]-Tabla4[[#This Row],[Costo]]</f>
        <v>#N/A</v>
      </c>
      <c r="S1551" s="282" t="e">
        <f>++Tabla4[[#This Row],[U. Bruta Uni]]*Tabla4[[#This Row],[Cantidad]]</f>
        <v>#N/A</v>
      </c>
      <c r="T1551" s="369" t="str">
        <f>VLOOKUP(Tabla4[[#This Row],[Producto]],Tabla6[#All],14,FALSE)</f>
        <v>Termico Solar</v>
      </c>
      <c r="U1551" s="284" t="e">
        <f>(IF(Tabla4[[#This Row],[Familia]]="termico solar",Tabla4[[#This Row],[Utilidad Total]]*6%,Tabla4[[#This Row],[Utilidad Total]]*11.5%))/Tabla4[[#This Row],[Total]]</f>
        <v>#N/A</v>
      </c>
      <c r="V1551" s="282" t="e">
        <f>+Tabla4[[#This Row],[Comisión Calculada]]*Tabla4[[#This Row],[Total]]</f>
        <v>#N/A</v>
      </c>
    </row>
    <row r="1552" spans="1:22" hidden="1" x14ac:dyDescent="0.25">
      <c r="A1552" s="100">
        <v>45747</v>
      </c>
      <c r="B1552" t="str">
        <f t="shared" si="74"/>
        <v>March</v>
      </c>
      <c r="C1552" s="46" t="s">
        <v>280</v>
      </c>
      <c r="F1552" s="366" t="s">
        <v>1309</v>
      </c>
      <c r="G1552" s="46" t="s">
        <v>16</v>
      </c>
      <c r="H1552" s="46">
        <v>2</v>
      </c>
      <c r="I1552" s="51">
        <v>4103.8500000000004</v>
      </c>
      <c r="J1552" s="281">
        <f>++Tabla4[[#This Row],[Precio Bruto]]*1.16</f>
        <v>4760.4660000000003</v>
      </c>
      <c r="K1552" s="281">
        <f>+Tabla4[[#This Row],[Precio Unitario Neto]]*Tabla4[[#Headers],[20.85%]]</f>
        <v>992.55716100000006</v>
      </c>
      <c r="L1552" s="282">
        <f>++Tabla4[[#This Row],[Precio Unitario Neto]]-Tabla4[[#This Row],[20.85%]]</f>
        <v>3767.9088390000002</v>
      </c>
      <c r="M1552" s="282" t="e">
        <f>(INDEX(Tabla6[#All],MATCH(Tabla4[[#This Row],[Producto]],Tabla6[[#All],[PRODUCTO]],0),MATCH(Tabla4[[#This Row],[Mes]],Tabla6[#Headers],0)))*(1+Catalogos!$L$2)</f>
        <v>#N/A</v>
      </c>
      <c r="N1552" s="283" t="e">
        <f>+(Tabla4[[#This Row],[Precio Descontado]]-Tabla4[[#This Row],[Precio Base]])*Tabla4[[#This Row],[Cantidad]]</f>
        <v>#N/A</v>
      </c>
      <c r="O1552" s="284" t="e">
        <f>++Tabla4[[#This Row],[Utilidad Total]]/Tabla4[[#This Row],[Total]]</f>
        <v>#N/A</v>
      </c>
      <c r="P1552" s="282">
        <f>++Tabla4[[#This Row],[Precio Descontado]]*Tabla4[[#This Row],[Cantidad]]</f>
        <v>7535.8176780000003</v>
      </c>
      <c r="Q1552" s="282" t="e">
        <f>(INDEX(Tabla6[#All],MATCH(Tabla4[[#This Row],[Producto]],Tabla6[[#All],[PRODUCTO]],0),MATCH(Tabla4[[#This Row],[Mes]],Tabla6[#Headers],0)))</f>
        <v>#N/A</v>
      </c>
      <c r="R1552" s="282" t="e">
        <f>++Tabla4[[#This Row],[Precio Unitario Neto]]-Tabla4[[#This Row],[20.85%]]-Tabla4[[#This Row],[Costo]]</f>
        <v>#N/A</v>
      </c>
      <c r="S1552" s="282" t="e">
        <f>++Tabla4[[#This Row],[U. Bruta Uni]]*Tabla4[[#This Row],[Cantidad]]</f>
        <v>#N/A</v>
      </c>
      <c r="T1552" s="369" t="str">
        <f>VLOOKUP(Tabla4[[#This Row],[Producto]],Tabla6[#All],14,FALSE)</f>
        <v>Termico Solar</v>
      </c>
      <c r="U1552" s="284" t="e">
        <f>(IF(Tabla4[[#This Row],[Familia]]="termico solar",Tabla4[[#This Row],[Utilidad Total]]*6%,Tabla4[[#This Row],[Utilidad Total]]*11.5%))/Tabla4[[#This Row],[Total]]</f>
        <v>#N/A</v>
      </c>
      <c r="V1552" s="282" t="e">
        <f>+Tabla4[[#This Row],[Comisión Calculada]]*Tabla4[[#This Row],[Total]]</f>
        <v>#N/A</v>
      </c>
    </row>
    <row r="1553" spans="1:22" hidden="1" x14ac:dyDescent="0.25">
      <c r="A1553" s="100">
        <v>45747</v>
      </c>
      <c r="B1553" t="str">
        <f t="shared" si="74"/>
        <v>March</v>
      </c>
      <c r="C1553" s="46" t="s">
        <v>280</v>
      </c>
      <c r="F1553" s="366" t="s">
        <v>1310</v>
      </c>
      <c r="G1553" s="46" t="s">
        <v>18</v>
      </c>
      <c r="H1553" s="46">
        <v>4</v>
      </c>
      <c r="I1553" s="51">
        <v>5367.65</v>
      </c>
      <c r="J1553" s="281">
        <f>++Tabla4[[#This Row],[Precio Bruto]]*1.16</f>
        <v>6226.4739999999993</v>
      </c>
      <c r="K1553" s="281">
        <f>+Tabla4[[#This Row],[Precio Unitario Neto]]*Tabla4[[#Headers],[20.85%]]</f>
        <v>1298.2198289999999</v>
      </c>
      <c r="L1553" s="282">
        <f>++Tabla4[[#This Row],[Precio Unitario Neto]]-Tabla4[[#This Row],[20.85%]]</f>
        <v>4928.2541709999996</v>
      </c>
      <c r="M1553" s="282" t="e">
        <f>(INDEX(Tabla6[#All],MATCH(Tabla4[[#This Row],[Producto]],Tabla6[[#All],[PRODUCTO]],0),MATCH(Tabla4[[#This Row],[Mes]],Tabla6[#Headers],0)))*(1+Catalogos!$L$2)</f>
        <v>#N/A</v>
      </c>
      <c r="N1553" s="283" t="e">
        <f>+(Tabla4[[#This Row],[Precio Descontado]]-Tabla4[[#This Row],[Precio Base]])*Tabla4[[#This Row],[Cantidad]]</f>
        <v>#N/A</v>
      </c>
      <c r="O1553" s="284" t="e">
        <f>++Tabla4[[#This Row],[Utilidad Total]]/Tabla4[[#This Row],[Total]]</f>
        <v>#N/A</v>
      </c>
      <c r="P1553" s="282">
        <f>++Tabla4[[#This Row],[Precio Descontado]]*Tabla4[[#This Row],[Cantidad]]</f>
        <v>19713.016683999998</v>
      </c>
      <c r="Q1553" s="282" t="e">
        <f>(INDEX(Tabla6[#All],MATCH(Tabla4[[#This Row],[Producto]],Tabla6[[#All],[PRODUCTO]],0),MATCH(Tabla4[[#This Row],[Mes]],Tabla6[#Headers],0)))</f>
        <v>#N/A</v>
      </c>
      <c r="R1553" s="282" t="e">
        <f>++Tabla4[[#This Row],[Precio Unitario Neto]]-Tabla4[[#This Row],[20.85%]]-Tabla4[[#This Row],[Costo]]</f>
        <v>#N/A</v>
      </c>
      <c r="S1553" s="282" t="e">
        <f>++Tabla4[[#This Row],[U. Bruta Uni]]*Tabla4[[#This Row],[Cantidad]]</f>
        <v>#N/A</v>
      </c>
      <c r="T1553" s="369" t="str">
        <f>VLOOKUP(Tabla4[[#This Row],[Producto]],Tabla6[#All],14,FALSE)</f>
        <v>Termico Solar</v>
      </c>
      <c r="U1553" s="284" t="e">
        <f>(IF(Tabla4[[#This Row],[Familia]]="termico solar",Tabla4[[#This Row],[Utilidad Total]]*6%,Tabla4[[#This Row],[Utilidad Total]]*11.5%))/Tabla4[[#This Row],[Total]]</f>
        <v>#N/A</v>
      </c>
      <c r="V1553" s="282" t="e">
        <f>+Tabla4[[#This Row],[Comisión Calculada]]*Tabla4[[#This Row],[Total]]</f>
        <v>#N/A</v>
      </c>
    </row>
    <row r="1554" spans="1:22" hidden="1" x14ac:dyDescent="0.25">
      <c r="A1554" s="100">
        <v>45747</v>
      </c>
      <c r="B1554" t="str">
        <f t="shared" si="74"/>
        <v>March</v>
      </c>
      <c r="C1554" s="46" t="s">
        <v>280</v>
      </c>
      <c r="F1554" s="366" t="s">
        <v>1310</v>
      </c>
      <c r="G1554" s="46" t="s">
        <v>566</v>
      </c>
      <c r="H1554" s="46">
        <v>2</v>
      </c>
      <c r="I1554" s="51">
        <v>2109.4499999999998</v>
      </c>
      <c r="J1554" s="281">
        <f>++Tabla4[[#This Row],[Precio Bruto]]*1.16</f>
        <v>2446.9619999999995</v>
      </c>
      <c r="K1554" s="281">
        <f>+Tabla4[[#This Row],[Precio Unitario Neto]]*Tabla4[[#Headers],[20.85%]]</f>
        <v>510.19157699999988</v>
      </c>
      <c r="L1554" s="282">
        <f>++Tabla4[[#This Row],[Precio Unitario Neto]]-Tabla4[[#This Row],[20.85%]]</f>
        <v>1936.7704229999997</v>
      </c>
      <c r="M1554" s="282" t="e">
        <f>(INDEX(Tabla6[#All],MATCH(Tabla4[[#This Row],[Producto]],Tabla6[[#All],[PRODUCTO]],0),MATCH(Tabla4[[#This Row],[Mes]],Tabla6[#Headers],0)))*(1+Catalogos!$L$2)</f>
        <v>#N/A</v>
      </c>
      <c r="N1554" s="283" t="e">
        <f>+(Tabla4[[#This Row],[Precio Descontado]]-Tabla4[[#This Row],[Precio Base]])*Tabla4[[#This Row],[Cantidad]]</f>
        <v>#N/A</v>
      </c>
      <c r="O1554" s="284" t="e">
        <f>++Tabla4[[#This Row],[Utilidad Total]]/Tabla4[[#This Row],[Total]]</f>
        <v>#N/A</v>
      </c>
      <c r="P1554" s="282">
        <f>++Tabla4[[#This Row],[Precio Descontado]]*Tabla4[[#This Row],[Cantidad]]</f>
        <v>3873.5408459999994</v>
      </c>
      <c r="Q1554" s="282" t="e">
        <f>(INDEX(Tabla6[#All],MATCH(Tabla4[[#This Row],[Producto]],Tabla6[[#All],[PRODUCTO]],0),MATCH(Tabla4[[#This Row],[Mes]],Tabla6[#Headers],0)))</f>
        <v>#N/A</v>
      </c>
      <c r="R1554" s="282" t="e">
        <f>++Tabla4[[#This Row],[Precio Unitario Neto]]-Tabla4[[#This Row],[20.85%]]-Tabla4[[#This Row],[Costo]]</f>
        <v>#N/A</v>
      </c>
      <c r="S1554" s="282" t="e">
        <f>++Tabla4[[#This Row],[U. Bruta Uni]]*Tabla4[[#This Row],[Cantidad]]</f>
        <v>#N/A</v>
      </c>
      <c r="T1554" s="369" t="str">
        <f>VLOOKUP(Tabla4[[#This Row],[Producto]],Tabla6[#All],14,FALSE)</f>
        <v>Termico Solar</v>
      </c>
      <c r="U1554" s="284" t="e">
        <f>(IF(Tabla4[[#This Row],[Familia]]="termico solar",Tabla4[[#This Row],[Utilidad Total]]*6%,Tabla4[[#This Row],[Utilidad Total]]*11.5%))/Tabla4[[#This Row],[Total]]</f>
        <v>#N/A</v>
      </c>
      <c r="V1554" s="282" t="e">
        <f>+Tabla4[[#This Row],[Comisión Calculada]]*Tabla4[[#This Row],[Total]]</f>
        <v>#N/A</v>
      </c>
    </row>
    <row r="1555" spans="1:22" hidden="1" x14ac:dyDescent="0.25">
      <c r="A1555" s="100">
        <v>45747</v>
      </c>
      <c r="B1555" t="str">
        <f t="shared" si="74"/>
        <v>March</v>
      </c>
      <c r="C1555" s="46" t="s">
        <v>280</v>
      </c>
      <c r="F1555" s="366" t="s">
        <v>1311</v>
      </c>
      <c r="G1555" s="46" t="s">
        <v>45</v>
      </c>
      <c r="H1555" s="46">
        <v>2</v>
      </c>
      <c r="I1555" s="51">
        <v>811.24</v>
      </c>
      <c r="J1555" s="281">
        <f>++Tabla4[[#This Row],[Precio Bruto]]*1.16</f>
        <v>941.03839999999991</v>
      </c>
      <c r="K1555" s="281">
        <f>+Tabla4[[#This Row],[Precio Unitario Neto]]*Tabla4[[#Headers],[20.85%]]</f>
        <v>196.20650639999997</v>
      </c>
      <c r="L1555" s="282">
        <f>++Tabla4[[#This Row],[Precio Unitario Neto]]-Tabla4[[#This Row],[20.85%]]</f>
        <v>744.83189359999994</v>
      </c>
      <c r="M1555" s="282" t="e">
        <f>(INDEX(Tabla6[#All],MATCH(Tabla4[[#This Row],[Producto]],Tabla6[[#All],[PRODUCTO]],0),MATCH(Tabla4[[#This Row],[Mes]],Tabla6[#Headers],0)))*(1+Catalogos!$L$2)</f>
        <v>#N/A</v>
      </c>
      <c r="N1555" s="283" t="e">
        <f>+(Tabla4[[#This Row],[Precio Descontado]]-Tabla4[[#This Row],[Precio Base]])*Tabla4[[#This Row],[Cantidad]]</f>
        <v>#N/A</v>
      </c>
      <c r="O1555" s="284" t="e">
        <f>++Tabla4[[#This Row],[Utilidad Total]]/Tabla4[[#This Row],[Total]]</f>
        <v>#N/A</v>
      </c>
      <c r="P1555" s="282">
        <f>++Tabla4[[#This Row],[Precio Descontado]]*Tabla4[[#This Row],[Cantidad]]</f>
        <v>1489.6637871999999</v>
      </c>
      <c r="Q1555" s="282" t="e">
        <f>(INDEX(Tabla6[#All],MATCH(Tabla4[[#This Row],[Producto]],Tabla6[[#All],[PRODUCTO]],0),MATCH(Tabla4[[#This Row],[Mes]],Tabla6[#Headers],0)))</f>
        <v>#N/A</v>
      </c>
      <c r="R1555" s="282" t="e">
        <f>++Tabla4[[#This Row],[Precio Unitario Neto]]-Tabla4[[#This Row],[20.85%]]-Tabla4[[#This Row],[Costo]]</f>
        <v>#N/A</v>
      </c>
      <c r="S1555" s="282" t="e">
        <f>++Tabla4[[#This Row],[U. Bruta Uni]]*Tabla4[[#This Row],[Cantidad]]</f>
        <v>#N/A</v>
      </c>
      <c r="T1555" s="369" t="str">
        <f>VLOOKUP(Tabla4[[#This Row],[Producto]],Tabla6[#All],14,FALSE)</f>
        <v>Termico Solar</v>
      </c>
      <c r="U1555" s="284" t="e">
        <f>(IF(Tabla4[[#This Row],[Familia]]="termico solar",Tabla4[[#This Row],[Utilidad Total]]*6%,Tabla4[[#This Row],[Utilidad Total]]*11.5%))/Tabla4[[#This Row],[Total]]</f>
        <v>#N/A</v>
      </c>
      <c r="V1555" s="282" t="e">
        <f>+Tabla4[[#This Row],[Comisión Calculada]]*Tabla4[[#This Row],[Total]]</f>
        <v>#N/A</v>
      </c>
    </row>
    <row r="1556" spans="1:22" hidden="1" x14ac:dyDescent="0.25">
      <c r="A1556" s="100">
        <v>45747</v>
      </c>
      <c r="B1556" t="str">
        <f t="shared" ref="B1556:B1561" si="75">TEXT(A1556, "mmmm")</f>
        <v>March</v>
      </c>
      <c r="C1556" s="46" t="s">
        <v>280</v>
      </c>
      <c r="F1556" s="366" t="s">
        <v>1312</v>
      </c>
      <c r="G1556" s="46" t="s">
        <v>17</v>
      </c>
      <c r="H1556" s="46">
        <v>10</v>
      </c>
      <c r="I1556" s="51">
        <v>4622.2800000000007</v>
      </c>
      <c r="J1556" s="281">
        <f>++Tabla4[[#This Row],[Precio Bruto]]*1.16</f>
        <v>5361.8448000000008</v>
      </c>
      <c r="K1556" s="281">
        <f>+Tabla4[[#This Row],[Precio Unitario Neto]]*Tabla4[[#Headers],[20.85%]]</f>
        <v>1117.9446408000001</v>
      </c>
      <c r="L1556" s="282">
        <f>++Tabla4[[#This Row],[Precio Unitario Neto]]-Tabla4[[#This Row],[20.85%]]</f>
        <v>4243.9001592000004</v>
      </c>
      <c r="M1556" s="282" t="e">
        <f>(INDEX(Tabla6[#All],MATCH(Tabla4[[#This Row],[Producto]],Tabla6[[#All],[PRODUCTO]],0),MATCH(Tabla4[[#This Row],[Mes]],Tabla6[#Headers],0)))*(1+Catalogos!$L$2)</f>
        <v>#N/A</v>
      </c>
      <c r="N1556" s="283" t="e">
        <f>+(Tabla4[[#This Row],[Precio Descontado]]-Tabla4[[#This Row],[Precio Base]])*Tabla4[[#This Row],[Cantidad]]</f>
        <v>#N/A</v>
      </c>
      <c r="O1556" s="284" t="e">
        <f>++Tabla4[[#This Row],[Utilidad Total]]/Tabla4[[#This Row],[Total]]</f>
        <v>#N/A</v>
      </c>
      <c r="P1556" s="282">
        <f>++Tabla4[[#This Row],[Precio Descontado]]*Tabla4[[#This Row],[Cantidad]]</f>
        <v>42439.001592000001</v>
      </c>
      <c r="Q1556" s="282" t="e">
        <f>(INDEX(Tabla6[#All],MATCH(Tabla4[[#This Row],[Producto]],Tabla6[[#All],[PRODUCTO]],0),MATCH(Tabla4[[#This Row],[Mes]],Tabla6[#Headers],0)))</f>
        <v>#N/A</v>
      </c>
      <c r="R1556" s="282" t="e">
        <f>++Tabla4[[#This Row],[Precio Unitario Neto]]-Tabla4[[#This Row],[20.85%]]-Tabla4[[#This Row],[Costo]]</f>
        <v>#N/A</v>
      </c>
      <c r="S1556" s="282" t="e">
        <f>++Tabla4[[#This Row],[U. Bruta Uni]]*Tabla4[[#This Row],[Cantidad]]</f>
        <v>#N/A</v>
      </c>
      <c r="T1556" s="369" t="str">
        <f>VLOOKUP(Tabla4[[#This Row],[Producto]],Tabla6[#All],14,FALSE)</f>
        <v>Termico Solar</v>
      </c>
      <c r="U1556" s="284" t="e">
        <f>(IF(Tabla4[[#This Row],[Familia]]="termico solar",Tabla4[[#This Row],[Utilidad Total]]*6%,Tabla4[[#This Row],[Utilidad Total]]*11.5%))/Tabla4[[#This Row],[Total]]</f>
        <v>#N/A</v>
      </c>
      <c r="V1556" s="282" t="e">
        <f>+Tabla4[[#This Row],[Comisión Calculada]]*Tabla4[[#This Row],[Total]]</f>
        <v>#N/A</v>
      </c>
    </row>
    <row r="1557" spans="1:22" hidden="1" x14ac:dyDescent="0.25">
      <c r="A1557" s="100">
        <v>45747</v>
      </c>
      <c r="B1557" t="str">
        <f t="shared" si="75"/>
        <v>March</v>
      </c>
      <c r="C1557" s="46" t="s">
        <v>280</v>
      </c>
      <c r="F1557" s="366" t="s">
        <v>1312</v>
      </c>
      <c r="G1557" s="46" t="s">
        <v>566</v>
      </c>
      <c r="H1557" s="46">
        <v>2</v>
      </c>
      <c r="I1557" s="51">
        <v>2109.4499999999998</v>
      </c>
      <c r="J1557" s="281">
        <f>++Tabla4[[#This Row],[Precio Bruto]]*1.16</f>
        <v>2446.9619999999995</v>
      </c>
      <c r="K1557" s="281">
        <f>+Tabla4[[#This Row],[Precio Unitario Neto]]*Tabla4[[#Headers],[20.85%]]</f>
        <v>510.19157699999988</v>
      </c>
      <c r="L1557" s="282">
        <f>++Tabla4[[#This Row],[Precio Unitario Neto]]-Tabla4[[#This Row],[20.85%]]</f>
        <v>1936.7704229999997</v>
      </c>
      <c r="M1557" s="282" t="e">
        <f>(INDEX(Tabla6[#All],MATCH(Tabla4[[#This Row],[Producto]],Tabla6[[#All],[PRODUCTO]],0),MATCH(Tabla4[[#This Row],[Mes]],Tabla6[#Headers],0)))*(1+Catalogos!$L$2)</f>
        <v>#N/A</v>
      </c>
      <c r="N1557" s="283" t="e">
        <f>+(Tabla4[[#This Row],[Precio Descontado]]-Tabla4[[#This Row],[Precio Base]])*Tabla4[[#This Row],[Cantidad]]</f>
        <v>#N/A</v>
      </c>
      <c r="O1557" s="284" t="e">
        <f>++Tabla4[[#This Row],[Utilidad Total]]/Tabla4[[#This Row],[Total]]</f>
        <v>#N/A</v>
      </c>
      <c r="P1557" s="282">
        <f>++Tabla4[[#This Row],[Precio Descontado]]*Tabla4[[#This Row],[Cantidad]]</f>
        <v>3873.5408459999994</v>
      </c>
      <c r="Q1557" s="282" t="e">
        <f>(INDEX(Tabla6[#All],MATCH(Tabla4[[#This Row],[Producto]],Tabla6[[#All],[PRODUCTO]],0),MATCH(Tabla4[[#This Row],[Mes]],Tabla6[#Headers],0)))</f>
        <v>#N/A</v>
      </c>
      <c r="R1557" s="282" t="e">
        <f>++Tabla4[[#This Row],[Precio Unitario Neto]]-Tabla4[[#This Row],[20.85%]]-Tabla4[[#This Row],[Costo]]</f>
        <v>#N/A</v>
      </c>
      <c r="S1557" s="282" t="e">
        <f>++Tabla4[[#This Row],[U. Bruta Uni]]*Tabla4[[#This Row],[Cantidad]]</f>
        <v>#N/A</v>
      </c>
      <c r="T1557" s="369" t="str">
        <f>VLOOKUP(Tabla4[[#This Row],[Producto]],Tabla6[#All],14,FALSE)</f>
        <v>Termico Solar</v>
      </c>
      <c r="U1557" s="284" t="e">
        <f>(IF(Tabla4[[#This Row],[Familia]]="termico solar",Tabla4[[#This Row],[Utilidad Total]]*6%,Tabla4[[#This Row],[Utilidad Total]]*11.5%))/Tabla4[[#This Row],[Total]]</f>
        <v>#N/A</v>
      </c>
      <c r="V1557" s="282" t="e">
        <f>+Tabla4[[#This Row],[Comisión Calculada]]*Tabla4[[#This Row],[Total]]</f>
        <v>#N/A</v>
      </c>
    </row>
    <row r="1558" spans="1:22" hidden="1" x14ac:dyDescent="0.25">
      <c r="A1558" s="100">
        <v>45747</v>
      </c>
      <c r="B1558" t="str">
        <f t="shared" si="75"/>
        <v>March</v>
      </c>
      <c r="C1558" s="46" t="s">
        <v>280</v>
      </c>
      <c r="F1558" s="366" t="s">
        <v>1312</v>
      </c>
      <c r="G1558" s="46" t="s">
        <v>16</v>
      </c>
      <c r="H1558" s="46">
        <v>2</v>
      </c>
      <c r="I1558" s="51">
        <v>4103.8500000000004</v>
      </c>
      <c r="J1558" s="281">
        <f>++Tabla4[[#This Row],[Precio Bruto]]*1.16</f>
        <v>4760.4660000000003</v>
      </c>
      <c r="K1558" s="281">
        <f>+Tabla4[[#This Row],[Precio Unitario Neto]]*Tabla4[[#Headers],[20.85%]]</f>
        <v>992.55716100000006</v>
      </c>
      <c r="L1558" s="282">
        <f>++Tabla4[[#This Row],[Precio Unitario Neto]]-Tabla4[[#This Row],[20.85%]]</f>
        <v>3767.9088390000002</v>
      </c>
      <c r="M1558" s="282" t="e">
        <f>(INDEX(Tabla6[#All],MATCH(Tabla4[[#This Row],[Producto]],Tabla6[[#All],[PRODUCTO]],0),MATCH(Tabla4[[#This Row],[Mes]],Tabla6[#Headers],0)))*(1+Catalogos!$L$2)</f>
        <v>#N/A</v>
      </c>
      <c r="N1558" s="283" t="e">
        <f>+(Tabla4[[#This Row],[Precio Descontado]]-Tabla4[[#This Row],[Precio Base]])*Tabla4[[#This Row],[Cantidad]]</f>
        <v>#N/A</v>
      </c>
      <c r="O1558" s="284" t="e">
        <f>++Tabla4[[#This Row],[Utilidad Total]]/Tabla4[[#This Row],[Total]]</f>
        <v>#N/A</v>
      </c>
      <c r="P1558" s="282">
        <f>++Tabla4[[#This Row],[Precio Descontado]]*Tabla4[[#This Row],[Cantidad]]</f>
        <v>7535.8176780000003</v>
      </c>
      <c r="Q1558" s="282" t="e">
        <f>(INDEX(Tabla6[#All],MATCH(Tabla4[[#This Row],[Producto]],Tabla6[[#All],[PRODUCTO]],0),MATCH(Tabla4[[#This Row],[Mes]],Tabla6[#Headers],0)))</f>
        <v>#N/A</v>
      </c>
      <c r="R1558" s="282" t="e">
        <f>++Tabla4[[#This Row],[Precio Unitario Neto]]-Tabla4[[#This Row],[20.85%]]-Tabla4[[#This Row],[Costo]]</f>
        <v>#N/A</v>
      </c>
      <c r="S1558" s="282" t="e">
        <f>++Tabla4[[#This Row],[U. Bruta Uni]]*Tabla4[[#This Row],[Cantidad]]</f>
        <v>#N/A</v>
      </c>
      <c r="T1558" s="369" t="str">
        <f>VLOOKUP(Tabla4[[#This Row],[Producto]],Tabla6[#All],14,FALSE)</f>
        <v>Termico Solar</v>
      </c>
      <c r="U1558" s="284" t="e">
        <f>(IF(Tabla4[[#This Row],[Familia]]="termico solar",Tabla4[[#This Row],[Utilidad Total]]*6%,Tabla4[[#This Row],[Utilidad Total]]*11.5%))/Tabla4[[#This Row],[Total]]</f>
        <v>#N/A</v>
      </c>
      <c r="V1558" s="282" t="e">
        <f>+Tabla4[[#This Row],[Comisión Calculada]]*Tabla4[[#This Row],[Total]]</f>
        <v>#N/A</v>
      </c>
    </row>
    <row r="1559" spans="1:22" hidden="1" x14ac:dyDescent="0.25">
      <c r="A1559" s="100">
        <v>45747</v>
      </c>
      <c r="B1559" t="str">
        <f t="shared" si="75"/>
        <v>March</v>
      </c>
      <c r="C1559" s="46" t="s">
        <v>280</v>
      </c>
      <c r="F1559" s="366" t="s">
        <v>1312</v>
      </c>
      <c r="G1559" s="46" t="s">
        <v>394</v>
      </c>
      <c r="H1559" s="46">
        <v>16</v>
      </c>
      <c r="I1559" s="51">
        <v>224.29</v>
      </c>
      <c r="J1559" s="281">
        <f>++Tabla4[[#This Row],[Precio Bruto]]*1.16</f>
        <v>260.1764</v>
      </c>
      <c r="K1559" s="281">
        <f>+Tabla4[[#This Row],[Precio Unitario Neto]]*Tabla4[[#Headers],[20.85%]]</f>
        <v>54.246779400000001</v>
      </c>
      <c r="L1559" s="282">
        <f>++Tabla4[[#This Row],[Precio Unitario Neto]]-Tabla4[[#This Row],[20.85%]]</f>
        <v>205.92962059999999</v>
      </c>
      <c r="M1559" s="282" t="e">
        <f>(INDEX(Tabla6[#All],MATCH(Tabla4[[#This Row],[Producto]],Tabla6[[#All],[PRODUCTO]],0),MATCH(Tabla4[[#This Row],[Mes]],Tabla6[#Headers],0)))*(1+Catalogos!$L$2)</f>
        <v>#N/A</v>
      </c>
      <c r="N1559" s="283" t="e">
        <f>+(Tabla4[[#This Row],[Precio Descontado]]-Tabla4[[#This Row],[Precio Base]])*Tabla4[[#This Row],[Cantidad]]</f>
        <v>#N/A</v>
      </c>
      <c r="O1559" s="284" t="e">
        <f>++Tabla4[[#This Row],[Utilidad Total]]/Tabla4[[#This Row],[Total]]</f>
        <v>#N/A</v>
      </c>
      <c r="P1559" s="282">
        <f>++Tabla4[[#This Row],[Precio Descontado]]*Tabla4[[#This Row],[Cantidad]]</f>
        <v>3294.8739295999999</v>
      </c>
      <c r="Q1559" s="282" t="e">
        <f>(INDEX(Tabla6[#All],MATCH(Tabla4[[#This Row],[Producto]],Tabla6[[#All],[PRODUCTO]],0),MATCH(Tabla4[[#This Row],[Mes]],Tabla6[#Headers],0)))</f>
        <v>#N/A</v>
      </c>
      <c r="R1559" s="282" t="e">
        <f>++Tabla4[[#This Row],[Precio Unitario Neto]]-Tabla4[[#This Row],[20.85%]]-Tabla4[[#This Row],[Costo]]</f>
        <v>#N/A</v>
      </c>
      <c r="S1559" s="282" t="e">
        <f>++Tabla4[[#This Row],[U. Bruta Uni]]*Tabla4[[#This Row],[Cantidad]]</f>
        <v>#N/A</v>
      </c>
      <c r="T1559" s="369" t="str">
        <f>VLOOKUP(Tabla4[[#This Row],[Producto]],Tabla6[#All],14,FALSE)</f>
        <v>Termico Solar</v>
      </c>
      <c r="U1559" s="284" t="e">
        <f>(IF(Tabla4[[#This Row],[Familia]]="termico solar",Tabla4[[#This Row],[Utilidad Total]]*6%,Tabla4[[#This Row],[Utilidad Total]]*11.5%))/Tabla4[[#This Row],[Total]]</f>
        <v>#N/A</v>
      </c>
      <c r="V1559" s="282" t="e">
        <f>+Tabla4[[#This Row],[Comisión Calculada]]*Tabla4[[#This Row],[Total]]</f>
        <v>#N/A</v>
      </c>
    </row>
    <row r="1560" spans="1:22" hidden="1" x14ac:dyDescent="0.25">
      <c r="A1560" s="100">
        <v>45747</v>
      </c>
      <c r="B1560" t="str">
        <f t="shared" si="75"/>
        <v>March</v>
      </c>
      <c r="C1560" s="46" t="s">
        <v>280</v>
      </c>
      <c r="F1560" s="366" t="s">
        <v>1312</v>
      </c>
      <c r="G1560" s="46" t="s">
        <v>555</v>
      </c>
      <c r="H1560" s="46">
        <v>8</v>
      </c>
      <c r="I1560" s="51">
        <v>389.47</v>
      </c>
      <c r="J1560" s="281">
        <f>++Tabla4[[#This Row],[Precio Bruto]]*1.16</f>
        <v>451.78519999999997</v>
      </c>
      <c r="K1560" s="281">
        <f>+Tabla4[[#This Row],[Precio Unitario Neto]]*Tabla4[[#Headers],[20.85%]]</f>
        <v>94.197214199999991</v>
      </c>
      <c r="L1560" s="282">
        <f>++Tabla4[[#This Row],[Precio Unitario Neto]]-Tabla4[[#This Row],[20.85%]]</f>
        <v>357.58798579999996</v>
      </c>
      <c r="M1560" s="282" t="e">
        <f>(INDEX(Tabla6[#All],MATCH(Tabla4[[#This Row],[Producto]],Tabla6[[#All],[PRODUCTO]],0),MATCH(Tabla4[[#This Row],[Mes]],Tabla6[#Headers],0)))*(1+Catalogos!$L$2)</f>
        <v>#N/A</v>
      </c>
      <c r="N1560" s="283" t="e">
        <f>+(Tabla4[[#This Row],[Precio Descontado]]-Tabla4[[#This Row],[Precio Base]])*Tabla4[[#This Row],[Cantidad]]</f>
        <v>#N/A</v>
      </c>
      <c r="O1560" s="284" t="e">
        <f>++Tabla4[[#This Row],[Utilidad Total]]/Tabla4[[#This Row],[Total]]</f>
        <v>#N/A</v>
      </c>
      <c r="P1560" s="282">
        <f>++Tabla4[[#This Row],[Precio Descontado]]*Tabla4[[#This Row],[Cantidad]]</f>
        <v>2860.7038863999996</v>
      </c>
      <c r="Q1560" s="282" t="e">
        <f>(INDEX(Tabla6[#All],MATCH(Tabla4[[#This Row],[Producto]],Tabla6[[#All],[PRODUCTO]],0),MATCH(Tabla4[[#This Row],[Mes]],Tabla6[#Headers],0)))</f>
        <v>#N/A</v>
      </c>
      <c r="R1560" s="282" t="e">
        <f>++Tabla4[[#This Row],[Precio Unitario Neto]]-Tabla4[[#This Row],[20.85%]]-Tabla4[[#This Row],[Costo]]</f>
        <v>#N/A</v>
      </c>
      <c r="S1560" s="282" t="e">
        <f>++Tabla4[[#This Row],[U. Bruta Uni]]*Tabla4[[#This Row],[Cantidad]]</f>
        <v>#N/A</v>
      </c>
      <c r="T1560" s="369" t="str">
        <f>VLOOKUP(Tabla4[[#This Row],[Producto]],Tabla6[#All],14,FALSE)</f>
        <v>Termico Solar</v>
      </c>
      <c r="U1560" s="284" t="e">
        <f>(IF(Tabla4[[#This Row],[Familia]]="termico solar",Tabla4[[#This Row],[Utilidad Total]]*6%,Tabla4[[#This Row],[Utilidad Total]]*11.5%))/Tabla4[[#This Row],[Total]]</f>
        <v>#N/A</v>
      </c>
      <c r="V1560" s="282" t="e">
        <f>+Tabla4[[#This Row],[Comisión Calculada]]*Tabla4[[#This Row],[Total]]</f>
        <v>#N/A</v>
      </c>
    </row>
    <row r="1561" spans="1:22" hidden="1" x14ac:dyDescent="0.25">
      <c r="A1561" s="100">
        <v>45747</v>
      </c>
      <c r="B1561" t="str">
        <f t="shared" si="75"/>
        <v>March</v>
      </c>
      <c r="C1561" s="46" t="s">
        <v>280</v>
      </c>
      <c r="F1561" s="366" t="s">
        <v>1312</v>
      </c>
      <c r="G1561" s="46" t="s">
        <v>208</v>
      </c>
      <c r="H1561" s="46">
        <v>2</v>
      </c>
      <c r="I1561" s="51">
        <v>189.75</v>
      </c>
      <c r="J1561" s="281">
        <f>++Tabla4[[#This Row],[Precio Bruto]]*1.16</f>
        <v>220.10999999999999</v>
      </c>
      <c r="K1561" s="281">
        <f>+Tabla4[[#This Row],[Precio Unitario Neto]]*Tabla4[[#Headers],[20.85%]]</f>
        <v>45.892934999999994</v>
      </c>
      <c r="L1561" s="282">
        <f>++Tabla4[[#This Row],[Precio Unitario Neto]]-Tabla4[[#This Row],[20.85%]]</f>
        <v>174.21706499999999</v>
      </c>
      <c r="M1561" s="282" t="e">
        <f>(INDEX(Tabla6[#All],MATCH(Tabla4[[#This Row],[Producto]],Tabla6[[#All],[PRODUCTO]],0),MATCH(Tabla4[[#This Row],[Mes]],Tabla6[#Headers],0)))*(1+Catalogos!$L$2)</f>
        <v>#N/A</v>
      </c>
      <c r="N1561" s="283" t="e">
        <f>+(Tabla4[[#This Row],[Precio Descontado]]-Tabla4[[#This Row],[Precio Base]])*Tabla4[[#This Row],[Cantidad]]</f>
        <v>#N/A</v>
      </c>
      <c r="O1561" s="284" t="e">
        <f>++Tabla4[[#This Row],[Utilidad Total]]/Tabla4[[#This Row],[Total]]</f>
        <v>#N/A</v>
      </c>
      <c r="P1561" s="282">
        <f>++Tabla4[[#This Row],[Precio Descontado]]*Tabla4[[#This Row],[Cantidad]]</f>
        <v>348.43412999999998</v>
      </c>
      <c r="Q1561" s="282" t="e">
        <f>(INDEX(Tabla6[#All],MATCH(Tabla4[[#This Row],[Producto]],Tabla6[[#All],[PRODUCTO]],0),MATCH(Tabla4[[#This Row],[Mes]],Tabla6[#Headers],0)))</f>
        <v>#N/A</v>
      </c>
      <c r="R1561" s="282" t="e">
        <f>++Tabla4[[#This Row],[Precio Unitario Neto]]-Tabla4[[#This Row],[20.85%]]-Tabla4[[#This Row],[Costo]]</f>
        <v>#N/A</v>
      </c>
      <c r="S1561" s="282" t="e">
        <f>++Tabla4[[#This Row],[U. Bruta Uni]]*Tabla4[[#This Row],[Cantidad]]</f>
        <v>#N/A</v>
      </c>
      <c r="T1561" s="369" t="str">
        <f>VLOOKUP(Tabla4[[#This Row],[Producto]],Tabla6[#All],14,FALSE)</f>
        <v>Termico Solar</v>
      </c>
      <c r="U1561" s="284" t="e">
        <f>(IF(Tabla4[[#This Row],[Familia]]="termico solar",Tabla4[[#This Row],[Utilidad Total]]*6%,Tabla4[[#This Row],[Utilidad Total]]*11.5%))/Tabla4[[#This Row],[Total]]</f>
        <v>#N/A</v>
      </c>
      <c r="V1561" s="282" t="e">
        <f>+Tabla4[[#This Row],[Comisión Calculada]]*Tabla4[[#This Row],[Total]]</f>
        <v>#N/A</v>
      </c>
    </row>
    <row r="1562" spans="1:22" hidden="1" x14ac:dyDescent="0.25">
      <c r="A1562" s="100">
        <v>45747</v>
      </c>
      <c r="B1562" t="str">
        <f t="shared" ref="B1562:B1602" si="76">TEXT(A1562, "mmmm")</f>
        <v>March</v>
      </c>
      <c r="C1562" s="46" t="s">
        <v>280</v>
      </c>
      <c r="F1562" s="366" t="s">
        <v>1313</v>
      </c>
      <c r="G1562" s="46" t="s">
        <v>83</v>
      </c>
      <c r="H1562" s="46">
        <v>3</v>
      </c>
      <c r="I1562" s="51">
        <v>8858.76</v>
      </c>
      <c r="J1562" s="281">
        <f>++Tabla4[[#This Row],[Precio Bruto]]*1.16</f>
        <v>10276.161599999999</v>
      </c>
      <c r="K1562" s="281">
        <f>+Tabla4[[#This Row],[Precio Unitario Neto]]*Tabla4[[#Headers],[20.85%]]</f>
        <v>2142.5796935999997</v>
      </c>
      <c r="L1562" s="282">
        <f>++Tabla4[[#This Row],[Precio Unitario Neto]]-Tabla4[[#This Row],[20.85%]]</f>
        <v>8133.5819063999998</v>
      </c>
      <c r="M1562" s="282" t="e">
        <f>(INDEX(Tabla6[#All],MATCH(Tabla4[[#This Row],[Producto]],Tabla6[[#All],[PRODUCTO]],0),MATCH(Tabla4[[#This Row],[Mes]],Tabla6[#Headers],0)))*(1+Catalogos!$L$2)</f>
        <v>#N/A</v>
      </c>
      <c r="N1562" s="283" t="e">
        <f>+(Tabla4[[#This Row],[Precio Descontado]]-Tabla4[[#This Row],[Precio Base]])*Tabla4[[#This Row],[Cantidad]]</f>
        <v>#N/A</v>
      </c>
      <c r="O1562" s="284" t="e">
        <f>++Tabla4[[#This Row],[Utilidad Total]]/Tabla4[[#This Row],[Total]]</f>
        <v>#N/A</v>
      </c>
      <c r="P1562" s="282">
        <f>++Tabla4[[#This Row],[Precio Descontado]]*Tabla4[[#This Row],[Cantidad]]</f>
        <v>24400.7457192</v>
      </c>
      <c r="Q1562" s="282" t="e">
        <f>(INDEX(Tabla6[#All],MATCH(Tabla4[[#This Row],[Producto]],Tabla6[[#All],[PRODUCTO]],0),MATCH(Tabla4[[#This Row],[Mes]],Tabla6[#Headers],0)))</f>
        <v>#N/A</v>
      </c>
      <c r="R1562" s="282" t="e">
        <f>++Tabla4[[#This Row],[Precio Unitario Neto]]-Tabla4[[#This Row],[20.85%]]-Tabla4[[#This Row],[Costo]]</f>
        <v>#N/A</v>
      </c>
      <c r="S1562" s="282" t="e">
        <f>++Tabla4[[#This Row],[U. Bruta Uni]]*Tabla4[[#This Row],[Cantidad]]</f>
        <v>#N/A</v>
      </c>
      <c r="T1562" s="369" t="str">
        <f>VLOOKUP(Tabla4[[#This Row],[Producto]],Tabla6[#All],14,FALSE)</f>
        <v>Termico Solar</v>
      </c>
      <c r="U1562" s="284" t="e">
        <f>(IF(Tabla4[[#This Row],[Familia]]="termico solar",Tabla4[[#This Row],[Utilidad Total]]*6%,Tabla4[[#This Row],[Utilidad Total]]*11.5%))/Tabla4[[#This Row],[Total]]</f>
        <v>#N/A</v>
      </c>
      <c r="V1562" s="282" t="e">
        <f>+Tabla4[[#This Row],[Comisión Calculada]]*Tabla4[[#This Row],[Total]]</f>
        <v>#N/A</v>
      </c>
    </row>
    <row r="1563" spans="1:22" hidden="1" x14ac:dyDescent="0.25">
      <c r="A1563" s="100">
        <v>45747</v>
      </c>
      <c r="B1563" t="str">
        <f t="shared" si="76"/>
        <v>March</v>
      </c>
      <c r="C1563" s="46" t="s">
        <v>280</v>
      </c>
      <c r="F1563" s="366" t="s">
        <v>1313</v>
      </c>
      <c r="G1563" s="46" t="s">
        <v>18</v>
      </c>
      <c r="H1563" s="46">
        <v>3</v>
      </c>
      <c r="I1563" s="51">
        <v>5367.6500000000005</v>
      </c>
      <c r="J1563" s="281">
        <f>++Tabla4[[#This Row],[Precio Bruto]]*1.16</f>
        <v>6226.4740000000002</v>
      </c>
      <c r="K1563" s="281">
        <f>+Tabla4[[#This Row],[Precio Unitario Neto]]*Tabla4[[#Headers],[20.85%]]</f>
        <v>1298.2198289999999</v>
      </c>
      <c r="L1563" s="282">
        <f>++Tabla4[[#This Row],[Precio Unitario Neto]]-Tabla4[[#This Row],[20.85%]]</f>
        <v>4928.2541710000005</v>
      </c>
      <c r="M1563" s="282" t="e">
        <f>(INDEX(Tabla6[#All],MATCH(Tabla4[[#This Row],[Producto]],Tabla6[[#All],[PRODUCTO]],0),MATCH(Tabla4[[#This Row],[Mes]],Tabla6[#Headers],0)))*(1+Catalogos!$L$2)</f>
        <v>#N/A</v>
      </c>
      <c r="N1563" s="283" t="e">
        <f>+(Tabla4[[#This Row],[Precio Descontado]]-Tabla4[[#This Row],[Precio Base]])*Tabla4[[#This Row],[Cantidad]]</f>
        <v>#N/A</v>
      </c>
      <c r="O1563" s="284" t="e">
        <f>++Tabla4[[#This Row],[Utilidad Total]]/Tabla4[[#This Row],[Total]]</f>
        <v>#N/A</v>
      </c>
      <c r="P1563" s="282">
        <f>++Tabla4[[#This Row],[Precio Descontado]]*Tabla4[[#This Row],[Cantidad]]</f>
        <v>14784.762513000001</v>
      </c>
      <c r="Q1563" s="282" t="e">
        <f>(INDEX(Tabla6[#All],MATCH(Tabla4[[#This Row],[Producto]],Tabla6[[#All],[PRODUCTO]],0),MATCH(Tabla4[[#This Row],[Mes]],Tabla6[#Headers],0)))</f>
        <v>#N/A</v>
      </c>
      <c r="R1563" s="282" t="e">
        <f>++Tabla4[[#This Row],[Precio Unitario Neto]]-Tabla4[[#This Row],[20.85%]]-Tabla4[[#This Row],[Costo]]</f>
        <v>#N/A</v>
      </c>
      <c r="S1563" s="282" t="e">
        <f>++Tabla4[[#This Row],[U. Bruta Uni]]*Tabla4[[#This Row],[Cantidad]]</f>
        <v>#N/A</v>
      </c>
      <c r="T1563" s="369" t="str">
        <f>VLOOKUP(Tabla4[[#This Row],[Producto]],Tabla6[#All],14,FALSE)</f>
        <v>Termico Solar</v>
      </c>
      <c r="U1563" s="284" t="e">
        <f>(IF(Tabla4[[#This Row],[Familia]]="termico solar",Tabla4[[#This Row],[Utilidad Total]]*6%,Tabla4[[#This Row],[Utilidad Total]]*11.5%))/Tabla4[[#This Row],[Total]]</f>
        <v>#N/A</v>
      </c>
      <c r="V1563" s="282" t="e">
        <f>+Tabla4[[#This Row],[Comisión Calculada]]*Tabla4[[#This Row],[Total]]</f>
        <v>#N/A</v>
      </c>
    </row>
    <row r="1564" spans="1:22" hidden="1" x14ac:dyDescent="0.25">
      <c r="A1564" s="100">
        <v>45747</v>
      </c>
      <c r="B1564" t="str">
        <f t="shared" si="76"/>
        <v>March</v>
      </c>
      <c r="C1564" s="46" t="s">
        <v>280</v>
      </c>
      <c r="F1564" s="366" t="s">
        <v>1314</v>
      </c>
      <c r="G1564" s="46" t="s">
        <v>17</v>
      </c>
      <c r="H1564" s="46">
        <v>3</v>
      </c>
      <c r="I1564" s="51">
        <v>4622.28</v>
      </c>
      <c r="J1564" s="281">
        <f>++Tabla4[[#This Row],[Precio Bruto]]*1.16</f>
        <v>5361.8447999999989</v>
      </c>
      <c r="K1564" s="281">
        <f>+Tabla4[[#This Row],[Precio Unitario Neto]]*Tabla4[[#Headers],[20.85%]]</f>
        <v>1117.9446407999997</v>
      </c>
      <c r="L1564" s="282">
        <f>++Tabla4[[#This Row],[Precio Unitario Neto]]-Tabla4[[#This Row],[20.85%]]</f>
        <v>4243.9001591999995</v>
      </c>
      <c r="M1564" s="282" t="e">
        <f>(INDEX(Tabla6[#All],MATCH(Tabla4[[#This Row],[Producto]],Tabla6[[#All],[PRODUCTO]],0),MATCH(Tabla4[[#This Row],[Mes]],Tabla6[#Headers],0)))*(1+Catalogos!$L$2)</f>
        <v>#N/A</v>
      </c>
      <c r="N1564" s="283" t="e">
        <f>+(Tabla4[[#This Row],[Precio Descontado]]-Tabla4[[#This Row],[Precio Base]])*Tabla4[[#This Row],[Cantidad]]</f>
        <v>#N/A</v>
      </c>
      <c r="O1564" s="284" t="e">
        <f>++Tabla4[[#This Row],[Utilidad Total]]/Tabla4[[#This Row],[Total]]</f>
        <v>#N/A</v>
      </c>
      <c r="P1564" s="282">
        <f>++Tabla4[[#This Row],[Precio Descontado]]*Tabla4[[#This Row],[Cantidad]]</f>
        <v>12731.700477599999</v>
      </c>
      <c r="Q1564" s="282" t="e">
        <f>(INDEX(Tabla6[#All],MATCH(Tabla4[[#This Row],[Producto]],Tabla6[[#All],[PRODUCTO]],0),MATCH(Tabla4[[#This Row],[Mes]],Tabla6[#Headers],0)))</f>
        <v>#N/A</v>
      </c>
      <c r="R1564" s="282" t="e">
        <f>++Tabla4[[#This Row],[Precio Unitario Neto]]-Tabla4[[#This Row],[20.85%]]-Tabla4[[#This Row],[Costo]]</f>
        <v>#N/A</v>
      </c>
      <c r="S1564" s="282" t="e">
        <f>++Tabla4[[#This Row],[U. Bruta Uni]]*Tabla4[[#This Row],[Cantidad]]</f>
        <v>#N/A</v>
      </c>
      <c r="T1564" s="369" t="str">
        <f>VLOOKUP(Tabla4[[#This Row],[Producto]],Tabla6[#All],14,FALSE)</f>
        <v>Termico Solar</v>
      </c>
      <c r="U1564" s="284" t="e">
        <f>(IF(Tabla4[[#This Row],[Familia]]="termico solar",Tabla4[[#This Row],[Utilidad Total]]*6%,Tabla4[[#This Row],[Utilidad Total]]*11.5%))/Tabla4[[#This Row],[Total]]</f>
        <v>#N/A</v>
      </c>
      <c r="V1564" s="282" t="e">
        <f>+Tabla4[[#This Row],[Comisión Calculada]]*Tabla4[[#This Row],[Total]]</f>
        <v>#N/A</v>
      </c>
    </row>
    <row r="1565" spans="1:22" hidden="1" x14ac:dyDescent="0.25">
      <c r="A1565" s="100">
        <v>45747</v>
      </c>
      <c r="B1565" t="str">
        <f t="shared" si="76"/>
        <v>March</v>
      </c>
      <c r="C1565" s="46" t="s">
        <v>280</v>
      </c>
      <c r="F1565" s="366" t="s">
        <v>1314</v>
      </c>
      <c r="G1565" s="46" t="s">
        <v>20</v>
      </c>
      <c r="H1565" s="46">
        <v>1</v>
      </c>
      <c r="I1565" s="51">
        <v>7751.98</v>
      </c>
      <c r="J1565" s="281">
        <f>++Tabla4[[#This Row],[Precio Bruto]]*1.16</f>
        <v>8992.2967999999983</v>
      </c>
      <c r="K1565" s="281">
        <f>+Tabla4[[#This Row],[Precio Unitario Neto]]*Tabla4[[#Headers],[20.85%]]</f>
        <v>1874.8938827999996</v>
      </c>
      <c r="L1565" s="282">
        <f>++Tabla4[[#This Row],[Precio Unitario Neto]]-Tabla4[[#This Row],[20.85%]]</f>
        <v>7117.4029171999991</v>
      </c>
      <c r="M1565" s="282" t="e">
        <f>(INDEX(Tabla6[#All],MATCH(Tabla4[[#This Row],[Producto]],Tabla6[[#All],[PRODUCTO]],0),MATCH(Tabla4[[#This Row],[Mes]],Tabla6[#Headers],0)))*(1+Catalogos!$L$2)</f>
        <v>#N/A</v>
      </c>
      <c r="N1565" s="283" t="e">
        <f>+(Tabla4[[#This Row],[Precio Descontado]]-Tabla4[[#This Row],[Precio Base]])*Tabla4[[#This Row],[Cantidad]]</f>
        <v>#N/A</v>
      </c>
      <c r="O1565" s="284" t="e">
        <f>++Tabla4[[#This Row],[Utilidad Total]]/Tabla4[[#This Row],[Total]]</f>
        <v>#N/A</v>
      </c>
      <c r="P1565" s="282">
        <f>++Tabla4[[#This Row],[Precio Descontado]]*Tabla4[[#This Row],[Cantidad]]</f>
        <v>7117.4029171999991</v>
      </c>
      <c r="Q1565" s="282" t="e">
        <f>(INDEX(Tabla6[#All],MATCH(Tabla4[[#This Row],[Producto]],Tabla6[[#All],[PRODUCTO]],0),MATCH(Tabla4[[#This Row],[Mes]],Tabla6[#Headers],0)))</f>
        <v>#N/A</v>
      </c>
      <c r="R1565" s="282" t="e">
        <f>++Tabla4[[#This Row],[Precio Unitario Neto]]-Tabla4[[#This Row],[20.85%]]-Tabla4[[#This Row],[Costo]]</f>
        <v>#N/A</v>
      </c>
      <c r="S1565" s="282" t="e">
        <f>++Tabla4[[#This Row],[U. Bruta Uni]]*Tabla4[[#This Row],[Cantidad]]</f>
        <v>#N/A</v>
      </c>
      <c r="T1565" s="369" t="str">
        <f>VLOOKUP(Tabla4[[#This Row],[Producto]],Tabla6[#All],14,FALSE)</f>
        <v>Termico Solar</v>
      </c>
      <c r="U1565" s="284" t="e">
        <f>(IF(Tabla4[[#This Row],[Familia]]="termico solar",Tabla4[[#This Row],[Utilidad Total]]*6%,Tabla4[[#This Row],[Utilidad Total]]*11.5%))/Tabla4[[#This Row],[Total]]</f>
        <v>#N/A</v>
      </c>
      <c r="V1565" s="282" t="e">
        <f>+Tabla4[[#This Row],[Comisión Calculada]]*Tabla4[[#This Row],[Total]]</f>
        <v>#N/A</v>
      </c>
    </row>
    <row r="1566" spans="1:22" hidden="1" x14ac:dyDescent="0.25">
      <c r="A1566" s="100">
        <v>45747</v>
      </c>
      <c r="B1566" t="str">
        <f t="shared" si="76"/>
        <v>March</v>
      </c>
      <c r="C1566" s="46" t="s">
        <v>280</v>
      </c>
      <c r="F1566" s="366" t="s">
        <v>1314</v>
      </c>
      <c r="G1566" s="46" t="s">
        <v>16</v>
      </c>
      <c r="H1566" s="46">
        <v>2</v>
      </c>
      <c r="I1566" s="51">
        <v>4103.8500000000004</v>
      </c>
      <c r="J1566" s="281">
        <f>++Tabla4[[#This Row],[Precio Bruto]]*1.16</f>
        <v>4760.4660000000003</v>
      </c>
      <c r="K1566" s="281">
        <f>+Tabla4[[#This Row],[Precio Unitario Neto]]*Tabla4[[#Headers],[20.85%]]</f>
        <v>992.55716100000006</v>
      </c>
      <c r="L1566" s="282">
        <f>++Tabla4[[#This Row],[Precio Unitario Neto]]-Tabla4[[#This Row],[20.85%]]</f>
        <v>3767.9088390000002</v>
      </c>
      <c r="M1566" s="282" t="e">
        <f>(INDEX(Tabla6[#All],MATCH(Tabla4[[#This Row],[Producto]],Tabla6[[#All],[PRODUCTO]],0),MATCH(Tabla4[[#This Row],[Mes]],Tabla6[#Headers],0)))*(1+Catalogos!$L$2)</f>
        <v>#N/A</v>
      </c>
      <c r="N1566" s="283" t="e">
        <f>+(Tabla4[[#This Row],[Precio Descontado]]-Tabla4[[#This Row],[Precio Base]])*Tabla4[[#This Row],[Cantidad]]</f>
        <v>#N/A</v>
      </c>
      <c r="O1566" s="284" t="e">
        <f>++Tabla4[[#This Row],[Utilidad Total]]/Tabla4[[#This Row],[Total]]</f>
        <v>#N/A</v>
      </c>
      <c r="P1566" s="282">
        <f>++Tabla4[[#This Row],[Precio Descontado]]*Tabla4[[#This Row],[Cantidad]]</f>
        <v>7535.8176780000003</v>
      </c>
      <c r="Q1566" s="282" t="e">
        <f>(INDEX(Tabla6[#All],MATCH(Tabla4[[#This Row],[Producto]],Tabla6[[#All],[PRODUCTO]],0),MATCH(Tabla4[[#This Row],[Mes]],Tabla6[#Headers],0)))</f>
        <v>#N/A</v>
      </c>
      <c r="R1566" s="282" t="e">
        <f>++Tabla4[[#This Row],[Precio Unitario Neto]]-Tabla4[[#This Row],[20.85%]]-Tabla4[[#This Row],[Costo]]</f>
        <v>#N/A</v>
      </c>
      <c r="S1566" s="282" t="e">
        <f>++Tabla4[[#This Row],[U. Bruta Uni]]*Tabla4[[#This Row],[Cantidad]]</f>
        <v>#N/A</v>
      </c>
      <c r="T1566" s="369" t="str">
        <f>VLOOKUP(Tabla4[[#This Row],[Producto]],Tabla6[#All],14,FALSE)</f>
        <v>Termico Solar</v>
      </c>
      <c r="U1566" s="284" t="e">
        <f>(IF(Tabla4[[#This Row],[Familia]]="termico solar",Tabla4[[#This Row],[Utilidad Total]]*6%,Tabla4[[#This Row],[Utilidad Total]]*11.5%))/Tabla4[[#This Row],[Total]]</f>
        <v>#N/A</v>
      </c>
      <c r="V1566" s="282" t="e">
        <f>+Tabla4[[#This Row],[Comisión Calculada]]*Tabla4[[#This Row],[Total]]</f>
        <v>#N/A</v>
      </c>
    </row>
    <row r="1567" spans="1:22" hidden="1" x14ac:dyDescent="0.25">
      <c r="A1567" s="100">
        <v>45747</v>
      </c>
      <c r="B1567" t="str">
        <f t="shared" si="76"/>
        <v>March</v>
      </c>
      <c r="C1567" s="46" t="s">
        <v>280</v>
      </c>
      <c r="F1567" s="366" t="s">
        <v>1315</v>
      </c>
      <c r="G1567" s="46" t="s">
        <v>83</v>
      </c>
      <c r="H1567" s="46">
        <v>7</v>
      </c>
      <c r="I1567" s="51">
        <v>8858.76</v>
      </c>
      <c r="J1567" s="281">
        <f>++Tabla4[[#This Row],[Precio Bruto]]*1.16</f>
        <v>10276.161599999999</v>
      </c>
      <c r="K1567" s="281">
        <f>+Tabla4[[#This Row],[Precio Unitario Neto]]*Tabla4[[#Headers],[20.85%]]</f>
        <v>2142.5796935999997</v>
      </c>
      <c r="L1567" s="282">
        <f>++Tabla4[[#This Row],[Precio Unitario Neto]]-Tabla4[[#This Row],[20.85%]]</f>
        <v>8133.5819063999998</v>
      </c>
      <c r="M1567" s="282" t="e">
        <f>(INDEX(Tabla6[#All],MATCH(Tabla4[[#This Row],[Producto]],Tabla6[[#All],[PRODUCTO]],0),MATCH(Tabla4[[#This Row],[Mes]],Tabla6[#Headers],0)))*(1+Catalogos!$L$2)</f>
        <v>#N/A</v>
      </c>
      <c r="N1567" s="283" t="e">
        <f>+(Tabla4[[#This Row],[Precio Descontado]]-Tabla4[[#This Row],[Precio Base]])*Tabla4[[#This Row],[Cantidad]]</f>
        <v>#N/A</v>
      </c>
      <c r="O1567" s="284" t="e">
        <f>++Tabla4[[#This Row],[Utilidad Total]]/Tabla4[[#This Row],[Total]]</f>
        <v>#N/A</v>
      </c>
      <c r="P1567" s="282">
        <f>++Tabla4[[#This Row],[Precio Descontado]]*Tabla4[[#This Row],[Cantidad]]</f>
        <v>56935.073344799996</v>
      </c>
      <c r="Q1567" s="282" t="e">
        <f>(INDEX(Tabla6[#All],MATCH(Tabla4[[#This Row],[Producto]],Tabla6[[#All],[PRODUCTO]],0),MATCH(Tabla4[[#This Row],[Mes]],Tabla6[#Headers],0)))</f>
        <v>#N/A</v>
      </c>
      <c r="R1567" s="282" t="e">
        <f>++Tabla4[[#This Row],[Precio Unitario Neto]]-Tabla4[[#This Row],[20.85%]]-Tabla4[[#This Row],[Costo]]</f>
        <v>#N/A</v>
      </c>
      <c r="S1567" s="282" t="e">
        <f>++Tabla4[[#This Row],[U. Bruta Uni]]*Tabla4[[#This Row],[Cantidad]]</f>
        <v>#N/A</v>
      </c>
      <c r="T1567" s="369" t="str">
        <f>VLOOKUP(Tabla4[[#This Row],[Producto]],Tabla6[#All],14,FALSE)</f>
        <v>Termico Solar</v>
      </c>
      <c r="U1567" s="284" t="e">
        <f>(IF(Tabla4[[#This Row],[Familia]]="termico solar",Tabla4[[#This Row],[Utilidad Total]]*6%,Tabla4[[#This Row],[Utilidad Total]]*11.5%))/Tabla4[[#This Row],[Total]]</f>
        <v>#N/A</v>
      </c>
      <c r="V1567" s="282" t="e">
        <f>+Tabla4[[#This Row],[Comisión Calculada]]*Tabla4[[#This Row],[Total]]</f>
        <v>#N/A</v>
      </c>
    </row>
    <row r="1568" spans="1:22" hidden="1" x14ac:dyDescent="0.25">
      <c r="A1568" s="100">
        <v>45747</v>
      </c>
      <c r="B1568" t="str">
        <f t="shared" si="76"/>
        <v>March</v>
      </c>
      <c r="C1568" s="46" t="s">
        <v>280</v>
      </c>
      <c r="F1568" s="366" t="s">
        <v>1315</v>
      </c>
      <c r="G1568" s="46" t="s">
        <v>555</v>
      </c>
      <c r="H1568" s="46">
        <v>8</v>
      </c>
      <c r="I1568" s="51">
        <v>389.47</v>
      </c>
      <c r="J1568" s="281">
        <f>++Tabla4[[#This Row],[Precio Bruto]]*1.16</f>
        <v>451.78519999999997</v>
      </c>
      <c r="K1568" s="281">
        <f>+Tabla4[[#This Row],[Precio Unitario Neto]]*Tabla4[[#Headers],[20.85%]]</f>
        <v>94.197214199999991</v>
      </c>
      <c r="L1568" s="282">
        <f>++Tabla4[[#This Row],[Precio Unitario Neto]]-Tabla4[[#This Row],[20.85%]]</f>
        <v>357.58798579999996</v>
      </c>
      <c r="M1568" s="282" t="e">
        <f>(INDEX(Tabla6[#All],MATCH(Tabla4[[#This Row],[Producto]],Tabla6[[#All],[PRODUCTO]],0),MATCH(Tabla4[[#This Row],[Mes]],Tabla6[#Headers],0)))*(1+Catalogos!$L$2)</f>
        <v>#N/A</v>
      </c>
      <c r="N1568" s="283" t="e">
        <f>+(Tabla4[[#This Row],[Precio Descontado]]-Tabla4[[#This Row],[Precio Base]])*Tabla4[[#This Row],[Cantidad]]</f>
        <v>#N/A</v>
      </c>
      <c r="O1568" s="284" t="e">
        <f>++Tabla4[[#This Row],[Utilidad Total]]/Tabla4[[#This Row],[Total]]</f>
        <v>#N/A</v>
      </c>
      <c r="P1568" s="282">
        <f>++Tabla4[[#This Row],[Precio Descontado]]*Tabla4[[#This Row],[Cantidad]]</f>
        <v>2860.7038863999996</v>
      </c>
      <c r="Q1568" s="282" t="e">
        <f>(INDEX(Tabla6[#All],MATCH(Tabla4[[#This Row],[Producto]],Tabla6[[#All],[PRODUCTO]],0),MATCH(Tabla4[[#This Row],[Mes]],Tabla6[#Headers],0)))</f>
        <v>#N/A</v>
      </c>
      <c r="R1568" s="282" t="e">
        <f>++Tabla4[[#This Row],[Precio Unitario Neto]]-Tabla4[[#This Row],[20.85%]]-Tabla4[[#This Row],[Costo]]</f>
        <v>#N/A</v>
      </c>
      <c r="S1568" s="282" t="e">
        <f>++Tabla4[[#This Row],[U. Bruta Uni]]*Tabla4[[#This Row],[Cantidad]]</f>
        <v>#N/A</v>
      </c>
      <c r="T1568" s="369" t="str">
        <f>VLOOKUP(Tabla4[[#This Row],[Producto]],Tabla6[#All],14,FALSE)</f>
        <v>Termico Solar</v>
      </c>
      <c r="U1568" s="284" t="e">
        <f>(IF(Tabla4[[#This Row],[Familia]]="termico solar",Tabla4[[#This Row],[Utilidad Total]]*6%,Tabla4[[#This Row],[Utilidad Total]]*11.5%))/Tabla4[[#This Row],[Total]]</f>
        <v>#N/A</v>
      </c>
      <c r="V1568" s="282" t="e">
        <f>+Tabla4[[#This Row],[Comisión Calculada]]*Tabla4[[#This Row],[Total]]</f>
        <v>#N/A</v>
      </c>
    </row>
    <row r="1569" spans="1:22" hidden="1" x14ac:dyDescent="0.25">
      <c r="A1569" s="100">
        <v>45747</v>
      </c>
      <c r="B1569" t="str">
        <f t="shared" si="76"/>
        <v>March</v>
      </c>
      <c r="C1569" s="46" t="s">
        <v>280</v>
      </c>
      <c r="F1569" s="366" t="s">
        <v>1315</v>
      </c>
      <c r="G1569" s="46" t="s">
        <v>208</v>
      </c>
      <c r="H1569" s="46">
        <v>2</v>
      </c>
      <c r="I1569" s="51">
        <v>189.75</v>
      </c>
      <c r="J1569" s="281">
        <f>++Tabla4[[#This Row],[Precio Bruto]]*1.16</f>
        <v>220.10999999999999</v>
      </c>
      <c r="K1569" s="281">
        <f>+Tabla4[[#This Row],[Precio Unitario Neto]]*Tabla4[[#Headers],[20.85%]]</f>
        <v>45.892934999999994</v>
      </c>
      <c r="L1569" s="282">
        <f>++Tabla4[[#This Row],[Precio Unitario Neto]]-Tabla4[[#This Row],[20.85%]]</f>
        <v>174.21706499999999</v>
      </c>
      <c r="M1569" s="282" t="e">
        <f>(INDEX(Tabla6[#All],MATCH(Tabla4[[#This Row],[Producto]],Tabla6[[#All],[PRODUCTO]],0),MATCH(Tabla4[[#This Row],[Mes]],Tabla6[#Headers],0)))*(1+Catalogos!$L$2)</f>
        <v>#N/A</v>
      </c>
      <c r="N1569" s="283" t="e">
        <f>+(Tabla4[[#This Row],[Precio Descontado]]-Tabla4[[#This Row],[Precio Base]])*Tabla4[[#This Row],[Cantidad]]</f>
        <v>#N/A</v>
      </c>
      <c r="O1569" s="284" t="e">
        <f>++Tabla4[[#This Row],[Utilidad Total]]/Tabla4[[#This Row],[Total]]</f>
        <v>#N/A</v>
      </c>
      <c r="P1569" s="282">
        <f>++Tabla4[[#This Row],[Precio Descontado]]*Tabla4[[#This Row],[Cantidad]]</f>
        <v>348.43412999999998</v>
      </c>
      <c r="Q1569" s="282" t="e">
        <f>(INDEX(Tabla6[#All],MATCH(Tabla4[[#This Row],[Producto]],Tabla6[[#All],[PRODUCTO]],0),MATCH(Tabla4[[#This Row],[Mes]],Tabla6[#Headers],0)))</f>
        <v>#N/A</v>
      </c>
      <c r="R1569" s="282" t="e">
        <f>++Tabla4[[#This Row],[Precio Unitario Neto]]-Tabla4[[#This Row],[20.85%]]-Tabla4[[#This Row],[Costo]]</f>
        <v>#N/A</v>
      </c>
      <c r="S1569" s="282" t="e">
        <f>++Tabla4[[#This Row],[U. Bruta Uni]]*Tabla4[[#This Row],[Cantidad]]</f>
        <v>#N/A</v>
      </c>
      <c r="T1569" s="369" t="str">
        <f>VLOOKUP(Tabla4[[#This Row],[Producto]],Tabla6[#All],14,FALSE)</f>
        <v>Termico Solar</v>
      </c>
      <c r="U1569" s="284" t="e">
        <f>(IF(Tabla4[[#This Row],[Familia]]="termico solar",Tabla4[[#This Row],[Utilidad Total]]*6%,Tabla4[[#This Row],[Utilidad Total]]*11.5%))/Tabla4[[#This Row],[Total]]</f>
        <v>#N/A</v>
      </c>
      <c r="V1569" s="282" t="e">
        <f>+Tabla4[[#This Row],[Comisión Calculada]]*Tabla4[[#This Row],[Total]]</f>
        <v>#N/A</v>
      </c>
    </row>
    <row r="1570" spans="1:22" hidden="1" x14ac:dyDescent="0.25">
      <c r="A1570" s="100">
        <v>45747</v>
      </c>
      <c r="B1570" t="str">
        <f t="shared" si="76"/>
        <v>March</v>
      </c>
      <c r="C1570" s="46" t="s">
        <v>280</v>
      </c>
      <c r="F1570" s="366" t="s">
        <v>1316</v>
      </c>
      <c r="G1570" s="46" t="s">
        <v>83</v>
      </c>
      <c r="H1570" s="46">
        <v>1</v>
      </c>
      <c r="I1570" s="51">
        <v>8858.76</v>
      </c>
      <c r="J1570" s="281">
        <f>++Tabla4[[#This Row],[Precio Bruto]]*1.16</f>
        <v>10276.161599999999</v>
      </c>
      <c r="K1570" s="281">
        <f>+Tabla4[[#This Row],[Precio Unitario Neto]]*Tabla4[[#Headers],[20.85%]]</f>
        <v>2142.5796935999997</v>
      </c>
      <c r="L1570" s="282">
        <f>++Tabla4[[#This Row],[Precio Unitario Neto]]-Tabla4[[#This Row],[20.85%]]</f>
        <v>8133.5819063999998</v>
      </c>
      <c r="M1570" s="282" t="e">
        <f>(INDEX(Tabla6[#All],MATCH(Tabla4[[#This Row],[Producto]],Tabla6[[#All],[PRODUCTO]],0),MATCH(Tabla4[[#This Row],[Mes]],Tabla6[#Headers],0)))*(1+Catalogos!$L$2)</f>
        <v>#N/A</v>
      </c>
      <c r="N1570" s="283" t="e">
        <f>+(Tabla4[[#This Row],[Precio Descontado]]-Tabla4[[#This Row],[Precio Base]])*Tabla4[[#This Row],[Cantidad]]</f>
        <v>#N/A</v>
      </c>
      <c r="O1570" s="284" t="e">
        <f>++Tabla4[[#This Row],[Utilidad Total]]/Tabla4[[#This Row],[Total]]</f>
        <v>#N/A</v>
      </c>
      <c r="P1570" s="282">
        <f>++Tabla4[[#This Row],[Precio Descontado]]*Tabla4[[#This Row],[Cantidad]]</f>
        <v>8133.5819063999998</v>
      </c>
      <c r="Q1570" s="282" t="e">
        <f>(INDEX(Tabla6[#All],MATCH(Tabla4[[#This Row],[Producto]],Tabla6[[#All],[PRODUCTO]],0),MATCH(Tabla4[[#This Row],[Mes]],Tabla6[#Headers],0)))</f>
        <v>#N/A</v>
      </c>
      <c r="R1570" s="282" t="e">
        <f>++Tabla4[[#This Row],[Precio Unitario Neto]]-Tabla4[[#This Row],[20.85%]]-Tabla4[[#This Row],[Costo]]</f>
        <v>#N/A</v>
      </c>
      <c r="S1570" s="282" t="e">
        <f>++Tabla4[[#This Row],[U. Bruta Uni]]*Tabla4[[#This Row],[Cantidad]]</f>
        <v>#N/A</v>
      </c>
      <c r="T1570" s="369" t="str">
        <f>VLOOKUP(Tabla4[[#This Row],[Producto]],Tabla6[#All],14,FALSE)</f>
        <v>Termico Solar</v>
      </c>
      <c r="U1570" s="284" t="e">
        <f>(IF(Tabla4[[#This Row],[Familia]]="termico solar",Tabla4[[#This Row],[Utilidad Total]]*6%,Tabla4[[#This Row],[Utilidad Total]]*11.5%))/Tabla4[[#This Row],[Total]]</f>
        <v>#N/A</v>
      </c>
      <c r="V1570" s="282" t="e">
        <f>+Tabla4[[#This Row],[Comisión Calculada]]*Tabla4[[#This Row],[Total]]</f>
        <v>#N/A</v>
      </c>
    </row>
    <row r="1571" spans="1:22" hidden="1" x14ac:dyDescent="0.25">
      <c r="A1571" s="100">
        <v>45747</v>
      </c>
      <c r="B1571" t="str">
        <f t="shared" si="76"/>
        <v>March</v>
      </c>
      <c r="C1571" s="46" t="s">
        <v>280</v>
      </c>
      <c r="F1571" s="366" t="s">
        <v>1317</v>
      </c>
      <c r="G1571" s="46" t="s">
        <v>17</v>
      </c>
      <c r="H1571" s="46">
        <v>1</v>
      </c>
      <c r="I1571" s="51">
        <v>4622.28</v>
      </c>
      <c r="J1571" s="281">
        <f>++Tabla4[[#This Row],[Precio Bruto]]*1.16</f>
        <v>5361.8447999999989</v>
      </c>
      <c r="K1571" s="281">
        <f>+Tabla4[[#This Row],[Precio Unitario Neto]]*Tabla4[[#Headers],[20.85%]]</f>
        <v>1117.9446407999997</v>
      </c>
      <c r="L1571" s="282">
        <f>++Tabla4[[#This Row],[Precio Unitario Neto]]-Tabla4[[#This Row],[20.85%]]</f>
        <v>4243.9001591999995</v>
      </c>
      <c r="M1571" s="282" t="e">
        <f>(INDEX(Tabla6[#All],MATCH(Tabla4[[#This Row],[Producto]],Tabla6[[#All],[PRODUCTO]],0),MATCH(Tabla4[[#This Row],[Mes]],Tabla6[#Headers],0)))*(1+Catalogos!$L$2)</f>
        <v>#N/A</v>
      </c>
      <c r="N1571" s="283" t="e">
        <f>+(Tabla4[[#This Row],[Precio Descontado]]-Tabla4[[#This Row],[Precio Base]])*Tabla4[[#This Row],[Cantidad]]</f>
        <v>#N/A</v>
      </c>
      <c r="O1571" s="284" t="e">
        <f>++Tabla4[[#This Row],[Utilidad Total]]/Tabla4[[#This Row],[Total]]</f>
        <v>#N/A</v>
      </c>
      <c r="P1571" s="282">
        <f>++Tabla4[[#This Row],[Precio Descontado]]*Tabla4[[#This Row],[Cantidad]]</f>
        <v>4243.9001591999995</v>
      </c>
      <c r="Q1571" s="282" t="e">
        <f>(INDEX(Tabla6[#All],MATCH(Tabla4[[#This Row],[Producto]],Tabla6[[#All],[PRODUCTO]],0),MATCH(Tabla4[[#This Row],[Mes]],Tabla6[#Headers],0)))</f>
        <v>#N/A</v>
      </c>
      <c r="R1571" s="282" t="e">
        <f>++Tabla4[[#This Row],[Precio Unitario Neto]]-Tabla4[[#This Row],[20.85%]]-Tabla4[[#This Row],[Costo]]</f>
        <v>#N/A</v>
      </c>
      <c r="S1571" s="282" t="e">
        <f>++Tabla4[[#This Row],[U. Bruta Uni]]*Tabla4[[#This Row],[Cantidad]]</f>
        <v>#N/A</v>
      </c>
      <c r="T1571" s="369" t="str">
        <f>VLOOKUP(Tabla4[[#This Row],[Producto]],Tabla6[#All],14,FALSE)</f>
        <v>Termico Solar</v>
      </c>
      <c r="U1571" s="284" t="e">
        <f>(IF(Tabla4[[#This Row],[Familia]]="termico solar",Tabla4[[#This Row],[Utilidad Total]]*6%,Tabla4[[#This Row],[Utilidad Total]]*11.5%))/Tabla4[[#This Row],[Total]]</f>
        <v>#N/A</v>
      </c>
      <c r="V1571" s="282" t="e">
        <f>+Tabla4[[#This Row],[Comisión Calculada]]*Tabla4[[#This Row],[Total]]</f>
        <v>#N/A</v>
      </c>
    </row>
    <row r="1572" spans="1:22" hidden="1" x14ac:dyDescent="0.25">
      <c r="A1572" s="100">
        <v>45747</v>
      </c>
      <c r="B1572" t="str">
        <f t="shared" si="76"/>
        <v>March</v>
      </c>
      <c r="C1572" s="46" t="s">
        <v>280</v>
      </c>
      <c r="F1572" s="366" t="s">
        <v>1317</v>
      </c>
      <c r="G1572" s="46" t="s">
        <v>18</v>
      </c>
      <c r="H1572" s="46">
        <v>1</v>
      </c>
      <c r="I1572" s="51">
        <v>5367.65</v>
      </c>
      <c r="J1572" s="281">
        <f>++Tabla4[[#This Row],[Precio Bruto]]*1.16</f>
        <v>6226.4739999999993</v>
      </c>
      <c r="K1572" s="281">
        <f>+Tabla4[[#This Row],[Precio Unitario Neto]]*Tabla4[[#Headers],[20.85%]]</f>
        <v>1298.2198289999999</v>
      </c>
      <c r="L1572" s="282">
        <f>++Tabla4[[#This Row],[Precio Unitario Neto]]-Tabla4[[#This Row],[20.85%]]</f>
        <v>4928.2541709999996</v>
      </c>
      <c r="M1572" s="282" t="e">
        <f>(INDEX(Tabla6[#All],MATCH(Tabla4[[#This Row],[Producto]],Tabla6[[#All],[PRODUCTO]],0),MATCH(Tabla4[[#This Row],[Mes]],Tabla6[#Headers],0)))*(1+Catalogos!$L$2)</f>
        <v>#N/A</v>
      </c>
      <c r="N1572" s="283" t="e">
        <f>+(Tabla4[[#This Row],[Precio Descontado]]-Tabla4[[#This Row],[Precio Base]])*Tabla4[[#This Row],[Cantidad]]</f>
        <v>#N/A</v>
      </c>
      <c r="O1572" s="284" t="e">
        <f>++Tabla4[[#This Row],[Utilidad Total]]/Tabla4[[#This Row],[Total]]</f>
        <v>#N/A</v>
      </c>
      <c r="P1572" s="282">
        <f>++Tabla4[[#This Row],[Precio Descontado]]*Tabla4[[#This Row],[Cantidad]]</f>
        <v>4928.2541709999996</v>
      </c>
      <c r="Q1572" s="282" t="e">
        <f>(INDEX(Tabla6[#All],MATCH(Tabla4[[#This Row],[Producto]],Tabla6[[#All],[PRODUCTO]],0),MATCH(Tabla4[[#This Row],[Mes]],Tabla6[#Headers],0)))</f>
        <v>#N/A</v>
      </c>
      <c r="R1572" s="282" t="e">
        <f>++Tabla4[[#This Row],[Precio Unitario Neto]]-Tabla4[[#This Row],[20.85%]]-Tabla4[[#This Row],[Costo]]</f>
        <v>#N/A</v>
      </c>
      <c r="S1572" s="282" t="e">
        <f>++Tabla4[[#This Row],[U. Bruta Uni]]*Tabla4[[#This Row],[Cantidad]]</f>
        <v>#N/A</v>
      </c>
      <c r="T1572" s="369" t="str">
        <f>VLOOKUP(Tabla4[[#This Row],[Producto]],Tabla6[#All],14,FALSE)</f>
        <v>Termico Solar</v>
      </c>
      <c r="U1572" s="284" t="e">
        <f>(IF(Tabla4[[#This Row],[Familia]]="termico solar",Tabla4[[#This Row],[Utilidad Total]]*6%,Tabla4[[#This Row],[Utilidad Total]]*11.5%))/Tabla4[[#This Row],[Total]]</f>
        <v>#N/A</v>
      </c>
      <c r="V1572" s="282" t="e">
        <f>+Tabla4[[#This Row],[Comisión Calculada]]*Tabla4[[#This Row],[Total]]</f>
        <v>#N/A</v>
      </c>
    </row>
    <row r="1573" spans="1:22" hidden="1" x14ac:dyDescent="0.25">
      <c r="A1573" s="100">
        <v>45747</v>
      </c>
      <c r="B1573" t="str">
        <f t="shared" si="76"/>
        <v>March</v>
      </c>
      <c r="C1573" s="46" t="s">
        <v>280</v>
      </c>
      <c r="F1573" s="366" t="s">
        <v>1317</v>
      </c>
      <c r="G1573" s="46" t="s">
        <v>16</v>
      </c>
      <c r="H1573" s="46">
        <v>1</v>
      </c>
      <c r="I1573" s="51">
        <v>4103.8500000000004</v>
      </c>
      <c r="J1573" s="281">
        <f>++Tabla4[[#This Row],[Precio Bruto]]*1.16</f>
        <v>4760.4660000000003</v>
      </c>
      <c r="K1573" s="281">
        <f>+Tabla4[[#This Row],[Precio Unitario Neto]]*Tabla4[[#Headers],[20.85%]]</f>
        <v>992.55716100000006</v>
      </c>
      <c r="L1573" s="282">
        <f>++Tabla4[[#This Row],[Precio Unitario Neto]]-Tabla4[[#This Row],[20.85%]]</f>
        <v>3767.9088390000002</v>
      </c>
      <c r="M1573" s="282" t="e">
        <f>(INDEX(Tabla6[#All],MATCH(Tabla4[[#This Row],[Producto]],Tabla6[[#All],[PRODUCTO]],0),MATCH(Tabla4[[#This Row],[Mes]],Tabla6[#Headers],0)))*(1+Catalogos!$L$2)</f>
        <v>#N/A</v>
      </c>
      <c r="N1573" s="283" t="e">
        <f>+(Tabla4[[#This Row],[Precio Descontado]]-Tabla4[[#This Row],[Precio Base]])*Tabla4[[#This Row],[Cantidad]]</f>
        <v>#N/A</v>
      </c>
      <c r="O1573" s="284" t="e">
        <f>++Tabla4[[#This Row],[Utilidad Total]]/Tabla4[[#This Row],[Total]]</f>
        <v>#N/A</v>
      </c>
      <c r="P1573" s="282">
        <f>++Tabla4[[#This Row],[Precio Descontado]]*Tabla4[[#This Row],[Cantidad]]</f>
        <v>3767.9088390000002</v>
      </c>
      <c r="Q1573" s="282" t="e">
        <f>(INDEX(Tabla6[#All],MATCH(Tabla4[[#This Row],[Producto]],Tabla6[[#All],[PRODUCTO]],0),MATCH(Tabla4[[#This Row],[Mes]],Tabla6[#Headers],0)))</f>
        <v>#N/A</v>
      </c>
      <c r="R1573" s="282" t="e">
        <f>++Tabla4[[#This Row],[Precio Unitario Neto]]-Tabla4[[#This Row],[20.85%]]-Tabla4[[#This Row],[Costo]]</f>
        <v>#N/A</v>
      </c>
      <c r="S1573" s="282" t="e">
        <f>++Tabla4[[#This Row],[U. Bruta Uni]]*Tabla4[[#This Row],[Cantidad]]</f>
        <v>#N/A</v>
      </c>
      <c r="T1573" s="369" t="str">
        <f>VLOOKUP(Tabla4[[#This Row],[Producto]],Tabla6[#All],14,FALSE)</f>
        <v>Termico Solar</v>
      </c>
      <c r="U1573" s="284" t="e">
        <f>(IF(Tabla4[[#This Row],[Familia]]="termico solar",Tabla4[[#This Row],[Utilidad Total]]*6%,Tabla4[[#This Row],[Utilidad Total]]*11.5%))/Tabla4[[#This Row],[Total]]</f>
        <v>#N/A</v>
      </c>
      <c r="V1573" s="282" t="e">
        <f>+Tabla4[[#This Row],[Comisión Calculada]]*Tabla4[[#This Row],[Total]]</f>
        <v>#N/A</v>
      </c>
    </row>
    <row r="1574" spans="1:22" hidden="1" x14ac:dyDescent="0.25">
      <c r="A1574" s="100">
        <v>45747</v>
      </c>
      <c r="B1574" t="str">
        <f t="shared" si="76"/>
        <v>March</v>
      </c>
      <c r="C1574" s="46" t="s">
        <v>280</v>
      </c>
      <c r="F1574" s="366" t="s">
        <v>1317</v>
      </c>
      <c r="G1574" s="46" t="s">
        <v>209</v>
      </c>
      <c r="H1574" s="46">
        <v>1</v>
      </c>
      <c r="I1574" s="51">
        <v>347.48</v>
      </c>
      <c r="J1574" s="281">
        <f>++Tabla4[[#This Row],[Precio Bruto]]*1.16</f>
        <v>403.07679999999999</v>
      </c>
      <c r="K1574" s="281">
        <f>+Tabla4[[#This Row],[Precio Unitario Neto]]*Tabla4[[#Headers],[20.85%]]</f>
        <v>84.041512799999992</v>
      </c>
      <c r="L1574" s="282">
        <f>++Tabla4[[#This Row],[Precio Unitario Neto]]-Tabla4[[#This Row],[20.85%]]</f>
        <v>319.03528719999997</v>
      </c>
      <c r="M1574" s="282" t="e">
        <f>(INDEX(Tabla6[#All],MATCH(Tabla4[[#This Row],[Producto]],Tabla6[[#All],[PRODUCTO]],0),MATCH(Tabla4[[#This Row],[Mes]],Tabla6[#Headers],0)))*(1+Catalogos!$L$2)</f>
        <v>#N/A</v>
      </c>
      <c r="N1574" s="283" t="e">
        <f>+(Tabla4[[#This Row],[Precio Descontado]]-Tabla4[[#This Row],[Precio Base]])*Tabla4[[#This Row],[Cantidad]]</f>
        <v>#N/A</v>
      </c>
      <c r="O1574" s="284" t="e">
        <f>++Tabla4[[#This Row],[Utilidad Total]]/Tabla4[[#This Row],[Total]]</f>
        <v>#N/A</v>
      </c>
      <c r="P1574" s="282">
        <f>++Tabla4[[#This Row],[Precio Descontado]]*Tabla4[[#This Row],[Cantidad]]</f>
        <v>319.03528719999997</v>
      </c>
      <c r="Q1574" s="282" t="e">
        <f>(INDEX(Tabla6[#All],MATCH(Tabla4[[#This Row],[Producto]],Tabla6[[#All],[PRODUCTO]],0),MATCH(Tabla4[[#This Row],[Mes]],Tabla6[#Headers],0)))</f>
        <v>#N/A</v>
      </c>
      <c r="R1574" s="282" t="e">
        <f>++Tabla4[[#This Row],[Precio Unitario Neto]]-Tabla4[[#This Row],[20.85%]]-Tabla4[[#This Row],[Costo]]</f>
        <v>#N/A</v>
      </c>
      <c r="S1574" s="282" t="e">
        <f>++Tabla4[[#This Row],[U. Bruta Uni]]*Tabla4[[#This Row],[Cantidad]]</f>
        <v>#N/A</v>
      </c>
      <c r="T1574" s="369" t="str">
        <f>VLOOKUP(Tabla4[[#This Row],[Producto]],Tabla6[#All],14,FALSE)</f>
        <v>Termico Solar</v>
      </c>
      <c r="U1574" s="284" t="e">
        <f>(IF(Tabla4[[#This Row],[Familia]]="termico solar",Tabla4[[#This Row],[Utilidad Total]]*6%,Tabla4[[#This Row],[Utilidad Total]]*11.5%))/Tabla4[[#This Row],[Total]]</f>
        <v>#N/A</v>
      </c>
      <c r="V1574" s="282" t="e">
        <f>+Tabla4[[#This Row],[Comisión Calculada]]*Tabla4[[#This Row],[Total]]</f>
        <v>#N/A</v>
      </c>
    </row>
    <row r="1575" spans="1:22" hidden="1" x14ac:dyDescent="0.25">
      <c r="A1575" s="100">
        <v>45747</v>
      </c>
      <c r="B1575" t="str">
        <f t="shared" si="76"/>
        <v>March</v>
      </c>
      <c r="C1575" s="46" t="s">
        <v>280</v>
      </c>
      <c r="F1575" s="366" t="s">
        <v>1318</v>
      </c>
      <c r="G1575" s="46" t="s">
        <v>16</v>
      </c>
      <c r="H1575" s="46">
        <v>2</v>
      </c>
      <c r="I1575" s="51">
        <v>4103.8500000000004</v>
      </c>
      <c r="J1575" s="281">
        <f>++Tabla4[[#This Row],[Precio Bruto]]*1.16</f>
        <v>4760.4660000000003</v>
      </c>
      <c r="K1575" s="281">
        <f>+Tabla4[[#This Row],[Precio Unitario Neto]]*Tabla4[[#Headers],[20.85%]]</f>
        <v>992.55716100000006</v>
      </c>
      <c r="L1575" s="282">
        <f>++Tabla4[[#This Row],[Precio Unitario Neto]]-Tabla4[[#This Row],[20.85%]]</f>
        <v>3767.9088390000002</v>
      </c>
      <c r="M1575" s="282" t="e">
        <f>(INDEX(Tabla6[#All],MATCH(Tabla4[[#This Row],[Producto]],Tabla6[[#All],[PRODUCTO]],0),MATCH(Tabla4[[#This Row],[Mes]],Tabla6[#Headers],0)))*(1+Catalogos!$L$2)</f>
        <v>#N/A</v>
      </c>
      <c r="N1575" s="283" t="e">
        <f>+(Tabla4[[#This Row],[Precio Descontado]]-Tabla4[[#This Row],[Precio Base]])*Tabla4[[#This Row],[Cantidad]]</f>
        <v>#N/A</v>
      </c>
      <c r="O1575" s="284" t="e">
        <f>++Tabla4[[#This Row],[Utilidad Total]]/Tabla4[[#This Row],[Total]]</f>
        <v>#N/A</v>
      </c>
      <c r="P1575" s="282">
        <f>++Tabla4[[#This Row],[Precio Descontado]]*Tabla4[[#This Row],[Cantidad]]</f>
        <v>7535.8176780000003</v>
      </c>
      <c r="Q1575" s="282" t="e">
        <f>(INDEX(Tabla6[#All],MATCH(Tabla4[[#This Row],[Producto]],Tabla6[[#All],[PRODUCTO]],0),MATCH(Tabla4[[#This Row],[Mes]],Tabla6[#Headers],0)))</f>
        <v>#N/A</v>
      </c>
      <c r="R1575" s="282" t="e">
        <f>++Tabla4[[#This Row],[Precio Unitario Neto]]-Tabla4[[#This Row],[20.85%]]-Tabla4[[#This Row],[Costo]]</f>
        <v>#N/A</v>
      </c>
      <c r="S1575" s="282" t="e">
        <f>++Tabla4[[#This Row],[U. Bruta Uni]]*Tabla4[[#This Row],[Cantidad]]</f>
        <v>#N/A</v>
      </c>
      <c r="T1575" s="369" t="str">
        <f>VLOOKUP(Tabla4[[#This Row],[Producto]],Tabla6[#All],14,FALSE)</f>
        <v>Termico Solar</v>
      </c>
      <c r="U1575" s="284" t="e">
        <f>(IF(Tabla4[[#This Row],[Familia]]="termico solar",Tabla4[[#This Row],[Utilidad Total]]*6%,Tabla4[[#This Row],[Utilidad Total]]*11.5%))/Tabla4[[#This Row],[Total]]</f>
        <v>#N/A</v>
      </c>
      <c r="V1575" s="282" t="e">
        <f>+Tabla4[[#This Row],[Comisión Calculada]]*Tabla4[[#This Row],[Total]]</f>
        <v>#N/A</v>
      </c>
    </row>
    <row r="1576" spans="1:22" hidden="1" x14ac:dyDescent="0.25">
      <c r="A1576" s="100">
        <v>45747</v>
      </c>
      <c r="B1576" t="str">
        <f t="shared" si="76"/>
        <v>March</v>
      </c>
      <c r="C1576" s="46" t="s">
        <v>280</v>
      </c>
      <c r="F1576" s="366" t="s">
        <v>1318</v>
      </c>
      <c r="G1576" s="46" t="s">
        <v>208</v>
      </c>
      <c r="H1576" s="46">
        <v>2</v>
      </c>
      <c r="I1576" s="51">
        <v>189.75</v>
      </c>
      <c r="J1576" s="281">
        <f>++Tabla4[[#This Row],[Precio Bruto]]*1.16</f>
        <v>220.10999999999999</v>
      </c>
      <c r="K1576" s="281">
        <f>+Tabla4[[#This Row],[Precio Unitario Neto]]*Tabla4[[#Headers],[20.85%]]</f>
        <v>45.892934999999994</v>
      </c>
      <c r="L1576" s="282">
        <f>++Tabla4[[#This Row],[Precio Unitario Neto]]-Tabla4[[#This Row],[20.85%]]</f>
        <v>174.21706499999999</v>
      </c>
      <c r="M1576" s="282" t="e">
        <f>(INDEX(Tabla6[#All],MATCH(Tabla4[[#This Row],[Producto]],Tabla6[[#All],[PRODUCTO]],0),MATCH(Tabla4[[#This Row],[Mes]],Tabla6[#Headers],0)))*(1+Catalogos!$L$2)</f>
        <v>#N/A</v>
      </c>
      <c r="N1576" s="283" t="e">
        <f>+(Tabla4[[#This Row],[Precio Descontado]]-Tabla4[[#This Row],[Precio Base]])*Tabla4[[#This Row],[Cantidad]]</f>
        <v>#N/A</v>
      </c>
      <c r="O1576" s="284" t="e">
        <f>++Tabla4[[#This Row],[Utilidad Total]]/Tabla4[[#This Row],[Total]]</f>
        <v>#N/A</v>
      </c>
      <c r="P1576" s="282">
        <f>++Tabla4[[#This Row],[Precio Descontado]]*Tabla4[[#This Row],[Cantidad]]</f>
        <v>348.43412999999998</v>
      </c>
      <c r="Q1576" s="282" t="e">
        <f>(INDEX(Tabla6[#All],MATCH(Tabla4[[#This Row],[Producto]],Tabla6[[#All],[PRODUCTO]],0),MATCH(Tabla4[[#This Row],[Mes]],Tabla6[#Headers],0)))</f>
        <v>#N/A</v>
      </c>
      <c r="R1576" s="282" t="e">
        <f>++Tabla4[[#This Row],[Precio Unitario Neto]]-Tabla4[[#This Row],[20.85%]]-Tabla4[[#This Row],[Costo]]</f>
        <v>#N/A</v>
      </c>
      <c r="S1576" s="282" t="e">
        <f>++Tabla4[[#This Row],[U. Bruta Uni]]*Tabla4[[#This Row],[Cantidad]]</f>
        <v>#N/A</v>
      </c>
      <c r="T1576" s="369" t="str">
        <f>VLOOKUP(Tabla4[[#This Row],[Producto]],Tabla6[#All],14,FALSE)</f>
        <v>Termico Solar</v>
      </c>
      <c r="U1576" s="284" t="e">
        <f>(IF(Tabla4[[#This Row],[Familia]]="termico solar",Tabla4[[#This Row],[Utilidad Total]]*6%,Tabla4[[#This Row],[Utilidad Total]]*11.5%))/Tabla4[[#This Row],[Total]]</f>
        <v>#N/A</v>
      </c>
      <c r="V1576" s="282" t="e">
        <f>+Tabla4[[#This Row],[Comisión Calculada]]*Tabla4[[#This Row],[Total]]</f>
        <v>#N/A</v>
      </c>
    </row>
    <row r="1577" spans="1:22" hidden="1" x14ac:dyDescent="0.25">
      <c r="A1577" s="100">
        <v>45747</v>
      </c>
      <c r="B1577" t="str">
        <f t="shared" si="76"/>
        <v>March</v>
      </c>
      <c r="C1577" s="46" t="s">
        <v>280</v>
      </c>
      <c r="F1577" s="366" t="s">
        <v>1318</v>
      </c>
      <c r="G1577" s="46" t="s">
        <v>209</v>
      </c>
      <c r="H1577" s="46">
        <v>1</v>
      </c>
      <c r="I1577" s="51">
        <v>347.48</v>
      </c>
      <c r="J1577" s="281">
        <f>++Tabla4[[#This Row],[Precio Bruto]]*1.16</f>
        <v>403.07679999999999</v>
      </c>
      <c r="K1577" s="281">
        <f>+Tabla4[[#This Row],[Precio Unitario Neto]]*Tabla4[[#Headers],[20.85%]]</f>
        <v>84.041512799999992</v>
      </c>
      <c r="L1577" s="282">
        <f>++Tabla4[[#This Row],[Precio Unitario Neto]]-Tabla4[[#This Row],[20.85%]]</f>
        <v>319.03528719999997</v>
      </c>
      <c r="M1577" s="282" t="e">
        <f>(INDEX(Tabla6[#All],MATCH(Tabla4[[#This Row],[Producto]],Tabla6[[#All],[PRODUCTO]],0),MATCH(Tabla4[[#This Row],[Mes]],Tabla6[#Headers],0)))*(1+Catalogos!$L$2)</f>
        <v>#N/A</v>
      </c>
      <c r="N1577" s="283" t="e">
        <f>+(Tabla4[[#This Row],[Precio Descontado]]-Tabla4[[#This Row],[Precio Base]])*Tabla4[[#This Row],[Cantidad]]</f>
        <v>#N/A</v>
      </c>
      <c r="O1577" s="284" t="e">
        <f>++Tabla4[[#This Row],[Utilidad Total]]/Tabla4[[#This Row],[Total]]</f>
        <v>#N/A</v>
      </c>
      <c r="P1577" s="282">
        <f>++Tabla4[[#This Row],[Precio Descontado]]*Tabla4[[#This Row],[Cantidad]]</f>
        <v>319.03528719999997</v>
      </c>
      <c r="Q1577" s="282" t="e">
        <f>(INDEX(Tabla6[#All],MATCH(Tabla4[[#This Row],[Producto]],Tabla6[[#All],[PRODUCTO]],0),MATCH(Tabla4[[#This Row],[Mes]],Tabla6[#Headers],0)))</f>
        <v>#N/A</v>
      </c>
      <c r="R1577" s="282" t="e">
        <f>++Tabla4[[#This Row],[Precio Unitario Neto]]-Tabla4[[#This Row],[20.85%]]-Tabla4[[#This Row],[Costo]]</f>
        <v>#N/A</v>
      </c>
      <c r="S1577" s="282" t="e">
        <f>++Tabla4[[#This Row],[U. Bruta Uni]]*Tabla4[[#This Row],[Cantidad]]</f>
        <v>#N/A</v>
      </c>
      <c r="T1577" s="369" t="str">
        <f>VLOOKUP(Tabla4[[#This Row],[Producto]],Tabla6[#All],14,FALSE)</f>
        <v>Termico Solar</v>
      </c>
      <c r="U1577" s="284" t="e">
        <f>(IF(Tabla4[[#This Row],[Familia]]="termico solar",Tabla4[[#This Row],[Utilidad Total]]*6%,Tabla4[[#This Row],[Utilidad Total]]*11.5%))/Tabla4[[#This Row],[Total]]</f>
        <v>#N/A</v>
      </c>
      <c r="V1577" s="282" t="e">
        <f>+Tabla4[[#This Row],[Comisión Calculada]]*Tabla4[[#This Row],[Total]]</f>
        <v>#N/A</v>
      </c>
    </row>
    <row r="1578" spans="1:22" hidden="1" x14ac:dyDescent="0.25">
      <c r="A1578" s="100">
        <v>45747</v>
      </c>
      <c r="B1578" t="str">
        <f t="shared" si="76"/>
        <v>March</v>
      </c>
      <c r="C1578" s="46" t="s">
        <v>280</v>
      </c>
      <c r="F1578" s="366" t="s">
        <v>1319</v>
      </c>
      <c r="G1578" s="46" t="s">
        <v>83</v>
      </c>
      <c r="H1578" s="46">
        <v>2</v>
      </c>
      <c r="I1578" s="51">
        <v>8858.76</v>
      </c>
      <c r="J1578" s="281">
        <f>++Tabla4[[#This Row],[Precio Bruto]]*1.16</f>
        <v>10276.161599999999</v>
      </c>
      <c r="K1578" s="281">
        <f>+Tabla4[[#This Row],[Precio Unitario Neto]]*Tabla4[[#Headers],[20.85%]]</f>
        <v>2142.5796935999997</v>
      </c>
      <c r="L1578" s="282">
        <f>++Tabla4[[#This Row],[Precio Unitario Neto]]-Tabla4[[#This Row],[20.85%]]</f>
        <v>8133.5819063999998</v>
      </c>
      <c r="M1578" s="282" t="e">
        <f>(INDEX(Tabla6[#All],MATCH(Tabla4[[#This Row],[Producto]],Tabla6[[#All],[PRODUCTO]],0),MATCH(Tabla4[[#This Row],[Mes]],Tabla6[#Headers],0)))*(1+Catalogos!$L$2)</f>
        <v>#N/A</v>
      </c>
      <c r="N1578" s="283" t="e">
        <f>+(Tabla4[[#This Row],[Precio Descontado]]-Tabla4[[#This Row],[Precio Base]])*Tabla4[[#This Row],[Cantidad]]</f>
        <v>#N/A</v>
      </c>
      <c r="O1578" s="284" t="e">
        <f>++Tabla4[[#This Row],[Utilidad Total]]/Tabla4[[#This Row],[Total]]</f>
        <v>#N/A</v>
      </c>
      <c r="P1578" s="282">
        <f>++Tabla4[[#This Row],[Precio Descontado]]*Tabla4[[#This Row],[Cantidad]]</f>
        <v>16267.1638128</v>
      </c>
      <c r="Q1578" s="282" t="e">
        <f>(INDEX(Tabla6[#All],MATCH(Tabla4[[#This Row],[Producto]],Tabla6[[#All],[PRODUCTO]],0),MATCH(Tabla4[[#This Row],[Mes]],Tabla6[#Headers],0)))</f>
        <v>#N/A</v>
      </c>
      <c r="R1578" s="282" t="e">
        <f>++Tabla4[[#This Row],[Precio Unitario Neto]]-Tabla4[[#This Row],[20.85%]]-Tabla4[[#This Row],[Costo]]</f>
        <v>#N/A</v>
      </c>
      <c r="S1578" s="282" t="e">
        <f>++Tabla4[[#This Row],[U. Bruta Uni]]*Tabla4[[#This Row],[Cantidad]]</f>
        <v>#N/A</v>
      </c>
      <c r="T1578" s="369" t="str">
        <f>VLOOKUP(Tabla4[[#This Row],[Producto]],Tabla6[#All],14,FALSE)</f>
        <v>Termico Solar</v>
      </c>
      <c r="U1578" s="284" t="e">
        <f>(IF(Tabla4[[#This Row],[Familia]]="termico solar",Tabla4[[#This Row],[Utilidad Total]]*6%,Tabla4[[#This Row],[Utilidad Total]]*11.5%))/Tabla4[[#This Row],[Total]]</f>
        <v>#N/A</v>
      </c>
      <c r="V1578" s="282" t="e">
        <f>+Tabla4[[#This Row],[Comisión Calculada]]*Tabla4[[#This Row],[Total]]</f>
        <v>#N/A</v>
      </c>
    </row>
    <row r="1579" spans="1:22" hidden="1" x14ac:dyDescent="0.25">
      <c r="A1579" s="100">
        <v>45747</v>
      </c>
      <c r="B1579" t="str">
        <f t="shared" si="76"/>
        <v>March</v>
      </c>
      <c r="C1579" s="46" t="s">
        <v>280</v>
      </c>
      <c r="F1579" s="366" t="s">
        <v>1319</v>
      </c>
      <c r="G1579" s="46" t="s">
        <v>18</v>
      </c>
      <c r="H1579" s="46">
        <v>4</v>
      </c>
      <c r="I1579" s="51">
        <v>5367.65</v>
      </c>
      <c r="J1579" s="281">
        <f>++Tabla4[[#This Row],[Precio Bruto]]*1.16</f>
        <v>6226.4739999999993</v>
      </c>
      <c r="K1579" s="281">
        <f>+Tabla4[[#This Row],[Precio Unitario Neto]]*Tabla4[[#Headers],[20.85%]]</f>
        <v>1298.2198289999999</v>
      </c>
      <c r="L1579" s="282">
        <f>++Tabla4[[#This Row],[Precio Unitario Neto]]-Tabla4[[#This Row],[20.85%]]</f>
        <v>4928.2541709999996</v>
      </c>
      <c r="M1579" s="282" t="e">
        <f>(INDEX(Tabla6[#All],MATCH(Tabla4[[#This Row],[Producto]],Tabla6[[#All],[PRODUCTO]],0),MATCH(Tabla4[[#This Row],[Mes]],Tabla6[#Headers],0)))*(1+Catalogos!$L$2)</f>
        <v>#N/A</v>
      </c>
      <c r="N1579" s="283" t="e">
        <f>+(Tabla4[[#This Row],[Precio Descontado]]-Tabla4[[#This Row],[Precio Base]])*Tabla4[[#This Row],[Cantidad]]</f>
        <v>#N/A</v>
      </c>
      <c r="O1579" s="284" t="e">
        <f>++Tabla4[[#This Row],[Utilidad Total]]/Tabla4[[#This Row],[Total]]</f>
        <v>#N/A</v>
      </c>
      <c r="P1579" s="282">
        <f>++Tabla4[[#This Row],[Precio Descontado]]*Tabla4[[#This Row],[Cantidad]]</f>
        <v>19713.016683999998</v>
      </c>
      <c r="Q1579" s="282" t="e">
        <f>(INDEX(Tabla6[#All],MATCH(Tabla4[[#This Row],[Producto]],Tabla6[[#All],[PRODUCTO]],0),MATCH(Tabla4[[#This Row],[Mes]],Tabla6[#Headers],0)))</f>
        <v>#N/A</v>
      </c>
      <c r="R1579" s="282" t="e">
        <f>++Tabla4[[#This Row],[Precio Unitario Neto]]-Tabla4[[#This Row],[20.85%]]-Tabla4[[#This Row],[Costo]]</f>
        <v>#N/A</v>
      </c>
      <c r="S1579" s="282" t="e">
        <f>++Tabla4[[#This Row],[U. Bruta Uni]]*Tabla4[[#This Row],[Cantidad]]</f>
        <v>#N/A</v>
      </c>
      <c r="T1579" s="369" t="str">
        <f>VLOOKUP(Tabla4[[#This Row],[Producto]],Tabla6[#All],14,FALSE)</f>
        <v>Termico Solar</v>
      </c>
      <c r="U1579" s="284" t="e">
        <f>(IF(Tabla4[[#This Row],[Familia]]="termico solar",Tabla4[[#This Row],[Utilidad Total]]*6%,Tabla4[[#This Row],[Utilidad Total]]*11.5%))/Tabla4[[#This Row],[Total]]</f>
        <v>#N/A</v>
      </c>
      <c r="V1579" s="282" t="e">
        <f>+Tabla4[[#This Row],[Comisión Calculada]]*Tabla4[[#This Row],[Total]]</f>
        <v>#N/A</v>
      </c>
    </row>
    <row r="1580" spans="1:22" hidden="1" x14ac:dyDescent="0.25">
      <c r="A1580" s="100">
        <v>45747</v>
      </c>
      <c r="B1580" t="str">
        <f t="shared" si="76"/>
        <v>March</v>
      </c>
      <c r="C1580" s="46" t="s">
        <v>280</v>
      </c>
      <c r="F1580" s="366" t="s">
        <v>1319</v>
      </c>
      <c r="G1580" s="46" t="s">
        <v>208</v>
      </c>
      <c r="H1580" s="46">
        <v>15</v>
      </c>
      <c r="I1580" s="51">
        <v>140.63</v>
      </c>
      <c r="J1580" s="281">
        <f>++Tabla4[[#This Row],[Precio Bruto]]*1.16</f>
        <v>163.13079999999999</v>
      </c>
      <c r="K1580" s="281">
        <f>+Tabla4[[#This Row],[Precio Unitario Neto]]*Tabla4[[#Headers],[20.85%]]</f>
        <v>34.012771799999996</v>
      </c>
      <c r="L1580" s="282">
        <f>++Tabla4[[#This Row],[Precio Unitario Neto]]-Tabla4[[#This Row],[20.85%]]</f>
        <v>129.1180282</v>
      </c>
      <c r="M1580" s="282" t="e">
        <f>(INDEX(Tabla6[#All],MATCH(Tabla4[[#This Row],[Producto]],Tabla6[[#All],[PRODUCTO]],0),MATCH(Tabla4[[#This Row],[Mes]],Tabla6[#Headers],0)))*(1+Catalogos!$L$2)</f>
        <v>#N/A</v>
      </c>
      <c r="N1580" s="283" t="e">
        <f>+(Tabla4[[#This Row],[Precio Descontado]]-Tabla4[[#This Row],[Precio Base]])*Tabla4[[#This Row],[Cantidad]]</f>
        <v>#N/A</v>
      </c>
      <c r="O1580" s="284" t="e">
        <f>++Tabla4[[#This Row],[Utilidad Total]]/Tabla4[[#This Row],[Total]]</f>
        <v>#N/A</v>
      </c>
      <c r="P1580" s="282">
        <f>++Tabla4[[#This Row],[Precio Descontado]]*Tabla4[[#This Row],[Cantidad]]</f>
        <v>1936.7704229999999</v>
      </c>
      <c r="Q1580" s="282" t="e">
        <f>(INDEX(Tabla6[#All],MATCH(Tabla4[[#This Row],[Producto]],Tabla6[[#All],[PRODUCTO]],0),MATCH(Tabla4[[#This Row],[Mes]],Tabla6[#Headers],0)))</f>
        <v>#N/A</v>
      </c>
      <c r="R1580" s="282" t="e">
        <f>++Tabla4[[#This Row],[Precio Unitario Neto]]-Tabla4[[#This Row],[20.85%]]-Tabla4[[#This Row],[Costo]]</f>
        <v>#N/A</v>
      </c>
      <c r="S1580" s="282" t="e">
        <f>++Tabla4[[#This Row],[U. Bruta Uni]]*Tabla4[[#This Row],[Cantidad]]</f>
        <v>#N/A</v>
      </c>
      <c r="T1580" s="369" t="str">
        <f>VLOOKUP(Tabla4[[#This Row],[Producto]],Tabla6[#All],14,FALSE)</f>
        <v>Termico Solar</v>
      </c>
      <c r="U1580" s="284" t="e">
        <f>(IF(Tabla4[[#This Row],[Familia]]="termico solar",Tabla4[[#This Row],[Utilidad Total]]*6%,Tabla4[[#This Row],[Utilidad Total]]*11.5%))/Tabla4[[#This Row],[Total]]</f>
        <v>#N/A</v>
      </c>
      <c r="V1580" s="282" t="e">
        <f>+Tabla4[[#This Row],[Comisión Calculada]]*Tabla4[[#This Row],[Total]]</f>
        <v>#N/A</v>
      </c>
    </row>
    <row r="1581" spans="1:22" hidden="1" x14ac:dyDescent="0.25">
      <c r="A1581" s="100">
        <v>45747</v>
      </c>
      <c r="B1581" t="str">
        <f t="shared" si="76"/>
        <v>March</v>
      </c>
      <c r="C1581" s="46" t="s">
        <v>280</v>
      </c>
      <c r="F1581" s="366" t="s">
        <v>1320</v>
      </c>
      <c r="G1581" s="46" t="s">
        <v>83</v>
      </c>
      <c r="H1581" s="46">
        <v>2</v>
      </c>
      <c r="I1581" s="51">
        <v>8858.76</v>
      </c>
      <c r="J1581" s="281">
        <f>++Tabla4[[#This Row],[Precio Bruto]]*1.16</f>
        <v>10276.161599999999</v>
      </c>
      <c r="K1581" s="281">
        <f>+Tabla4[[#This Row],[Precio Unitario Neto]]*Tabla4[[#Headers],[20.85%]]</f>
        <v>2142.5796935999997</v>
      </c>
      <c r="L1581" s="282">
        <f>++Tabla4[[#This Row],[Precio Unitario Neto]]-Tabla4[[#This Row],[20.85%]]</f>
        <v>8133.5819063999998</v>
      </c>
      <c r="M1581" s="282" t="e">
        <f>(INDEX(Tabla6[#All],MATCH(Tabla4[[#This Row],[Producto]],Tabla6[[#All],[PRODUCTO]],0),MATCH(Tabla4[[#This Row],[Mes]],Tabla6[#Headers],0)))*(1+Catalogos!$L$2)</f>
        <v>#N/A</v>
      </c>
      <c r="N1581" s="283" t="e">
        <f>+(Tabla4[[#This Row],[Precio Descontado]]-Tabla4[[#This Row],[Precio Base]])*Tabla4[[#This Row],[Cantidad]]</f>
        <v>#N/A</v>
      </c>
      <c r="O1581" s="284" t="e">
        <f>++Tabla4[[#This Row],[Utilidad Total]]/Tabla4[[#This Row],[Total]]</f>
        <v>#N/A</v>
      </c>
      <c r="P1581" s="282">
        <f>++Tabla4[[#This Row],[Precio Descontado]]*Tabla4[[#This Row],[Cantidad]]</f>
        <v>16267.1638128</v>
      </c>
      <c r="Q1581" s="282" t="e">
        <f>(INDEX(Tabla6[#All],MATCH(Tabla4[[#This Row],[Producto]],Tabla6[[#All],[PRODUCTO]],0),MATCH(Tabla4[[#This Row],[Mes]],Tabla6[#Headers],0)))</f>
        <v>#N/A</v>
      </c>
      <c r="R1581" s="282" t="e">
        <f>++Tabla4[[#This Row],[Precio Unitario Neto]]-Tabla4[[#This Row],[20.85%]]-Tabla4[[#This Row],[Costo]]</f>
        <v>#N/A</v>
      </c>
      <c r="S1581" s="282" t="e">
        <f>++Tabla4[[#This Row],[U. Bruta Uni]]*Tabla4[[#This Row],[Cantidad]]</f>
        <v>#N/A</v>
      </c>
      <c r="T1581" s="369" t="str">
        <f>VLOOKUP(Tabla4[[#This Row],[Producto]],Tabla6[#All],14,FALSE)</f>
        <v>Termico Solar</v>
      </c>
      <c r="U1581" s="284" t="e">
        <f>(IF(Tabla4[[#This Row],[Familia]]="termico solar",Tabla4[[#This Row],[Utilidad Total]]*6%,Tabla4[[#This Row],[Utilidad Total]]*11.5%))/Tabla4[[#This Row],[Total]]</f>
        <v>#N/A</v>
      </c>
      <c r="V1581" s="282" t="e">
        <f>+Tabla4[[#This Row],[Comisión Calculada]]*Tabla4[[#This Row],[Total]]</f>
        <v>#N/A</v>
      </c>
    </row>
    <row r="1582" spans="1:22" hidden="1" x14ac:dyDescent="0.25">
      <c r="A1582" s="100">
        <v>45747</v>
      </c>
      <c r="B1582" t="str">
        <f t="shared" si="76"/>
        <v>March</v>
      </c>
      <c r="C1582" s="46" t="s">
        <v>280</v>
      </c>
      <c r="F1582" s="366" t="s">
        <v>1320</v>
      </c>
      <c r="G1582" s="46" t="s">
        <v>208</v>
      </c>
      <c r="H1582" s="46">
        <v>15</v>
      </c>
      <c r="I1582" s="51">
        <v>140.63</v>
      </c>
      <c r="J1582" s="281">
        <f>++Tabla4[[#This Row],[Precio Bruto]]*1.16</f>
        <v>163.13079999999999</v>
      </c>
      <c r="K1582" s="281">
        <f>+Tabla4[[#This Row],[Precio Unitario Neto]]*Tabla4[[#Headers],[20.85%]]</f>
        <v>34.012771799999996</v>
      </c>
      <c r="L1582" s="282">
        <f>++Tabla4[[#This Row],[Precio Unitario Neto]]-Tabla4[[#This Row],[20.85%]]</f>
        <v>129.1180282</v>
      </c>
      <c r="M1582" s="282" t="e">
        <f>(INDEX(Tabla6[#All],MATCH(Tabla4[[#This Row],[Producto]],Tabla6[[#All],[PRODUCTO]],0),MATCH(Tabla4[[#This Row],[Mes]],Tabla6[#Headers],0)))*(1+Catalogos!$L$2)</f>
        <v>#N/A</v>
      </c>
      <c r="N1582" s="283" t="e">
        <f>+(Tabla4[[#This Row],[Precio Descontado]]-Tabla4[[#This Row],[Precio Base]])*Tabla4[[#This Row],[Cantidad]]</f>
        <v>#N/A</v>
      </c>
      <c r="O1582" s="284" t="e">
        <f>++Tabla4[[#This Row],[Utilidad Total]]/Tabla4[[#This Row],[Total]]</f>
        <v>#N/A</v>
      </c>
      <c r="P1582" s="282">
        <f>++Tabla4[[#This Row],[Precio Descontado]]*Tabla4[[#This Row],[Cantidad]]</f>
        <v>1936.7704229999999</v>
      </c>
      <c r="Q1582" s="282" t="e">
        <f>(INDEX(Tabla6[#All],MATCH(Tabla4[[#This Row],[Producto]],Tabla6[[#All],[PRODUCTO]],0),MATCH(Tabla4[[#This Row],[Mes]],Tabla6[#Headers],0)))</f>
        <v>#N/A</v>
      </c>
      <c r="R1582" s="282" t="e">
        <f>++Tabla4[[#This Row],[Precio Unitario Neto]]-Tabla4[[#This Row],[20.85%]]-Tabla4[[#This Row],[Costo]]</f>
        <v>#N/A</v>
      </c>
      <c r="S1582" s="282" t="e">
        <f>++Tabla4[[#This Row],[U. Bruta Uni]]*Tabla4[[#This Row],[Cantidad]]</f>
        <v>#N/A</v>
      </c>
      <c r="T1582" s="369" t="str">
        <f>VLOOKUP(Tabla4[[#This Row],[Producto]],Tabla6[#All],14,FALSE)</f>
        <v>Termico Solar</v>
      </c>
      <c r="U1582" s="284" t="e">
        <f>(IF(Tabla4[[#This Row],[Familia]]="termico solar",Tabla4[[#This Row],[Utilidad Total]]*6%,Tabla4[[#This Row],[Utilidad Total]]*11.5%))/Tabla4[[#This Row],[Total]]</f>
        <v>#N/A</v>
      </c>
      <c r="V1582" s="282" t="e">
        <f>+Tabla4[[#This Row],[Comisión Calculada]]*Tabla4[[#This Row],[Total]]</f>
        <v>#N/A</v>
      </c>
    </row>
    <row r="1583" spans="1:22" hidden="1" x14ac:dyDescent="0.25">
      <c r="A1583" s="100">
        <v>45747</v>
      </c>
      <c r="B1583" t="str">
        <f t="shared" si="76"/>
        <v>March</v>
      </c>
      <c r="C1583" s="46" t="s">
        <v>280</v>
      </c>
      <c r="F1583" s="366" t="s">
        <v>1321</v>
      </c>
      <c r="G1583" s="46" t="s">
        <v>83</v>
      </c>
      <c r="H1583" s="46">
        <v>3</v>
      </c>
      <c r="I1583" s="51">
        <v>8858.76</v>
      </c>
      <c r="J1583" s="281">
        <f>++Tabla4[[#This Row],[Precio Bruto]]*1.16</f>
        <v>10276.161599999999</v>
      </c>
      <c r="K1583" s="281">
        <f>+Tabla4[[#This Row],[Precio Unitario Neto]]*Tabla4[[#Headers],[20.85%]]</f>
        <v>2142.5796935999997</v>
      </c>
      <c r="L1583" s="282">
        <f>++Tabla4[[#This Row],[Precio Unitario Neto]]-Tabla4[[#This Row],[20.85%]]</f>
        <v>8133.5819063999998</v>
      </c>
      <c r="M1583" s="282" t="e">
        <f>(INDEX(Tabla6[#All],MATCH(Tabla4[[#This Row],[Producto]],Tabla6[[#All],[PRODUCTO]],0),MATCH(Tabla4[[#This Row],[Mes]],Tabla6[#Headers],0)))*(1+Catalogos!$L$2)</f>
        <v>#N/A</v>
      </c>
      <c r="N1583" s="283" t="e">
        <f>+(Tabla4[[#This Row],[Precio Descontado]]-Tabla4[[#This Row],[Precio Base]])*Tabla4[[#This Row],[Cantidad]]</f>
        <v>#N/A</v>
      </c>
      <c r="O1583" s="284" t="e">
        <f>++Tabla4[[#This Row],[Utilidad Total]]/Tabla4[[#This Row],[Total]]</f>
        <v>#N/A</v>
      </c>
      <c r="P1583" s="282">
        <f>++Tabla4[[#This Row],[Precio Descontado]]*Tabla4[[#This Row],[Cantidad]]</f>
        <v>24400.7457192</v>
      </c>
      <c r="Q1583" s="282" t="e">
        <f>(INDEX(Tabla6[#All],MATCH(Tabla4[[#This Row],[Producto]],Tabla6[[#All],[PRODUCTO]],0),MATCH(Tabla4[[#This Row],[Mes]],Tabla6[#Headers],0)))</f>
        <v>#N/A</v>
      </c>
      <c r="R1583" s="282" t="e">
        <f>++Tabla4[[#This Row],[Precio Unitario Neto]]-Tabla4[[#This Row],[20.85%]]-Tabla4[[#This Row],[Costo]]</f>
        <v>#N/A</v>
      </c>
      <c r="S1583" s="282" t="e">
        <f>++Tabla4[[#This Row],[U. Bruta Uni]]*Tabla4[[#This Row],[Cantidad]]</f>
        <v>#N/A</v>
      </c>
      <c r="T1583" s="369" t="str">
        <f>VLOOKUP(Tabla4[[#This Row],[Producto]],Tabla6[#All],14,FALSE)</f>
        <v>Termico Solar</v>
      </c>
      <c r="U1583" s="284" t="e">
        <f>(IF(Tabla4[[#This Row],[Familia]]="termico solar",Tabla4[[#This Row],[Utilidad Total]]*6%,Tabla4[[#This Row],[Utilidad Total]]*11.5%))/Tabla4[[#This Row],[Total]]</f>
        <v>#N/A</v>
      </c>
      <c r="V1583" s="282" t="e">
        <f>+Tabla4[[#This Row],[Comisión Calculada]]*Tabla4[[#This Row],[Total]]</f>
        <v>#N/A</v>
      </c>
    </row>
    <row r="1584" spans="1:22" hidden="1" x14ac:dyDescent="0.25">
      <c r="A1584" s="100">
        <v>45747</v>
      </c>
      <c r="B1584" t="str">
        <f t="shared" si="76"/>
        <v>March</v>
      </c>
      <c r="C1584" s="46" t="s">
        <v>280</v>
      </c>
      <c r="F1584" s="366" t="s">
        <v>1321</v>
      </c>
      <c r="G1584" s="46" t="s">
        <v>17</v>
      </c>
      <c r="H1584" s="46">
        <v>2</v>
      </c>
      <c r="I1584" s="51">
        <v>4622.28</v>
      </c>
      <c r="J1584" s="281">
        <f>++Tabla4[[#This Row],[Precio Bruto]]*1.16</f>
        <v>5361.8447999999989</v>
      </c>
      <c r="K1584" s="281">
        <f>+Tabla4[[#This Row],[Precio Unitario Neto]]*Tabla4[[#Headers],[20.85%]]</f>
        <v>1117.9446407999997</v>
      </c>
      <c r="L1584" s="282">
        <f>++Tabla4[[#This Row],[Precio Unitario Neto]]-Tabla4[[#This Row],[20.85%]]</f>
        <v>4243.9001591999995</v>
      </c>
      <c r="M1584" s="282" t="e">
        <f>(INDEX(Tabla6[#All],MATCH(Tabla4[[#This Row],[Producto]],Tabla6[[#All],[PRODUCTO]],0),MATCH(Tabla4[[#This Row],[Mes]],Tabla6[#Headers],0)))*(1+Catalogos!$L$2)</f>
        <v>#N/A</v>
      </c>
      <c r="N1584" s="283" t="e">
        <f>+(Tabla4[[#This Row],[Precio Descontado]]-Tabla4[[#This Row],[Precio Base]])*Tabla4[[#This Row],[Cantidad]]</f>
        <v>#N/A</v>
      </c>
      <c r="O1584" s="284" t="e">
        <f>++Tabla4[[#This Row],[Utilidad Total]]/Tabla4[[#This Row],[Total]]</f>
        <v>#N/A</v>
      </c>
      <c r="P1584" s="282">
        <f>++Tabla4[[#This Row],[Precio Descontado]]*Tabla4[[#This Row],[Cantidad]]</f>
        <v>8487.800318399999</v>
      </c>
      <c r="Q1584" s="282" t="e">
        <f>(INDEX(Tabla6[#All],MATCH(Tabla4[[#This Row],[Producto]],Tabla6[[#All],[PRODUCTO]],0),MATCH(Tabla4[[#This Row],[Mes]],Tabla6[#Headers],0)))</f>
        <v>#N/A</v>
      </c>
      <c r="R1584" s="282" t="e">
        <f>++Tabla4[[#This Row],[Precio Unitario Neto]]-Tabla4[[#This Row],[20.85%]]-Tabla4[[#This Row],[Costo]]</f>
        <v>#N/A</v>
      </c>
      <c r="S1584" s="282" t="e">
        <f>++Tabla4[[#This Row],[U. Bruta Uni]]*Tabla4[[#This Row],[Cantidad]]</f>
        <v>#N/A</v>
      </c>
      <c r="T1584" s="369" t="str">
        <f>VLOOKUP(Tabla4[[#This Row],[Producto]],Tabla6[#All],14,FALSE)</f>
        <v>Termico Solar</v>
      </c>
      <c r="U1584" s="284" t="e">
        <f>(IF(Tabla4[[#This Row],[Familia]]="termico solar",Tabla4[[#This Row],[Utilidad Total]]*6%,Tabla4[[#This Row],[Utilidad Total]]*11.5%))/Tabla4[[#This Row],[Total]]</f>
        <v>#N/A</v>
      </c>
      <c r="V1584" s="282" t="e">
        <f>+Tabla4[[#This Row],[Comisión Calculada]]*Tabla4[[#This Row],[Total]]</f>
        <v>#N/A</v>
      </c>
    </row>
    <row r="1585" spans="1:22" hidden="1" x14ac:dyDescent="0.25">
      <c r="A1585" s="100">
        <v>45747</v>
      </c>
      <c r="B1585" t="str">
        <f t="shared" si="76"/>
        <v>March</v>
      </c>
      <c r="C1585" s="46" t="s">
        <v>280</v>
      </c>
      <c r="F1585" s="366" t="s">
        <v>1322</v>
      </c>
      <c r="G1585" s="46" t="s">
        <v>83</v>
      </c>
      <c r="H1585" s="46">
        <v>1</v>
      </c>
      <c r="I1585" s="51">
        <v>8858.76</v>
      </c>
      <c r="J1585" s="281">
        <f>++Tabla4[[#This Row],[Precio Bruto]]*1.16</f>
        <v>10276.161599999999</v>
      </c>
      <c r="K1585" s="281">
        <f>+Tabla4[[#This Row],[Precio Unitario Neto]]*Tabla4[[#Headers],[20.85%]]</f>
        <v>2142.5796935999997</v>
      </c>
      <c r="L1585" s="282">
        <f>++Tabla4[[#This Row],[Precio Unitario Neto]]-Tabla4[[#This Row],[20.85%]]</f>
        <v>8133.5819063999998</v>
      </c>
      <c r="M1585" s="282" t="e">
        <f>(INDEX(Tabla6[#All],MATCH(Tabla4[[#This Row],[Producto]],Tabla6[[#All],[PRODUCTO]],0),MATCH(Tabla4[[#This Row],[Mes]],Tabla6[#Headers],0)))*(1+Catalogos!$L$2)</f>
        <v>#N/A</v>
      </c>
      <c r="N1585" s="283" t="e">
        <f>+(Tabla4[[#This Row],[Precio Descontado]]-Tabla4[[#This Row],[Precio Base]])*Tabla4[[#This Row],[Cantidad]]</f>
        <v>#N/A</v>
      </c>
      <c r="O1585" s="284" t="e">
        <f>++Tabla4[[#This Row],[Utilidad Total]]/Tabla4[[#This Row],[Total]]</f>
        <v>#N/A</v>
      </c>
      <c r="P1585" s="282">
        <f>++Tabla4[[#This Row],[Precio Descontado]]*Tabla4[[#This Row],[Cantidad]]</f>
        <v>8133.5819063999998</v>
      </c>
      <c r="Q1585" s="282" t="e">
        <f>(INDEX(Tabla6[#All],MATCH(Tabla4[[#This Row],[Producto]],Tabla6[[#All],[PRODUCTO]],0),MATCH(Tabla4[[#This Row],[Mes]],Tabla6[#Headers],0)))</f>
        <v>#N/A</v>
      </c>
      <c r="R1585" s="282" t="e">
        <f>++Tabla4[[#This Row],[Precio Unitario Neto]]-Tabla4[[#This Row],[20.85%]]-Tabla4[[#This Row],[Costo]]</f>
        <v>#N/A</v>
      </c>
      <c r="S1585" s="282" t="e">
        <f>++Tabla4[[#This Row],[U. Bruta Uni]]*Tabla4[[#This Row],[Cantidad]]</f>
        <v>#N/A</v>
      </c>
      <c r="T1585" s="369" t="str">
        <f>VLOOKUP(Tabla4[[#This Row],[Producto]],Tabla6[#All],14,FALSE)</f>
        <v>Termico Solar</v>
      </c>
      <c r="U1585" s="284" t="e">
        <f>(IF(Tabla4[[#This Row],[Familia]]="termico solar",Tabla4[[#This Row],[Utilidad Total]]*6%,Tabla4[[#This Row],[Utilidad Total]]*11.5%))/Tabla4[[#This Row],[Total]]</f>
        <v>#N/A</v>
      </c>
      <c r="V1585" s="282" t="e">
        <f>+Tabla4[[#This Row],[Comisión Calculada]]*Tabla4[[#This Row],[Total]]</f>
        <v>#N/A</v>
      </c>
    </row>
    <row r="1586" spans="1:22" hidden="1" x14ac:dyDescent="0.25">
      <c r="A1586" s="100">
        <v>45747</v>
      </c>
      <c r="B1586" t="str">
        <f t="shared" si="76"/>
        <v>March</v>
      </c>
      <c r="C1586" s="46" t="s">
        <v>280</v>
      </c>
      <c r="F1586" s="366" t="s">
        <v>1322</v>
      </c>
      <c r="G1586" s="46" t="s">
        <v>18</v>
      </c>
      <c r="H1586" s="46">
        <v>1</v>
      </c>
      <c r="I1586" s="51">
        <v>5367.65</v>
      </c>
      <c r="J1586" s="281">
        <f>++Tabla4[[#This Row],[Precio Bruto]]*1.16</f>
        <v>6226.4739999999993</v>
      </c>
      <c r="K1586" s="281">
        <f>+Tabla4[[#This Row],[Precio Unitario Neto]]*Tabla4[[#Headers],[20.85%]]</f>
        <v>1298.2198289999999</v>
      </c>
      <c r="L1586" s="282">
        <f>++Tabla4[[#This Row],[Precio Unitario Neto]]-Tabla4[[#This Row],[20.85%]]</f>
        <v>4928.2541709999996</v>
      </c>
      <c r="M1586" s="282" t="e">
        <f>(INDEX(Tabla6[#All],MATCH(Tabla4[[#This Row],[Producto]],Tabla6[[#All],[PRODUCTO]],0),MATCH(Tabla4[[#This Row],[Mes]],Tabla6[#Headers],0)))*(1+Catalogos!$L$2)</f>
        <v>#N/A</v>
      </c>
      <c r="N1586" s="283" t="e">
        <f>+(Tabla4[[#This Row],[Precio Descontado]]-Tabla4[[#This Row],[Precio Base]])*Tabla4[[#This Row],[Cantidad]]</f>
        <v>#N/A</v>
      </c>
      <c r="O1586" s="284" t="e">
        <f>++Tabla4[[#This Row],[Utilidad Total]]/Tabla4[[#This Row],[Total]]</f>
        <v>#N/A</v>
      </c>
      <c r="P1586" s="282">
        <f>++Tabla4[[#This Row],[Precio Descontado]]*Tabla4[[#This Row],[Cantidad]]</f>
        <v>4928.2541709999996</v>
      </c>
      <c r="Q1586" s="282" t="e">
        <f>(INDEX(Tabla6[#All],MATCH(Tabla4[[#This Row],[Producto]],Tabla6[[#All],[PRODUCTO]],0),MATCH(Tabla4[[#This Row],[Mes]],Tabla6[#Headers],0)))</f>
        <v>#N/A</v>
      </c>
      <c r="R1586" s="282" t="e">
        <f>++Tabla4[[#This Row],[Precio Unitario Neto]]-Tabla4[[#This Row],[20.85%]]-Tabla4[[#This Row],[Costo]]</f>
        <v>#N/A</v>
      </c>
      <c r="S1586" s="282" t="e">
        <f>++Tabla4[[#This Row],[U. Bruta Uni]]*Tabla4[[#This Row],[Cantidad]]</f>
        <v>#N/A</v>
      </c>
      <c r="T1586" s="369" t="str">
        <f>VLOOKUP(Tabla4[[#This Row],[Producto]],Tabla6[#All],14,FALSE)</f>
        <v>Termico Solar</v>
      </c>
      <c r="U1586" s="284" t="e">
        <f>(IF(Tabla4[[#This Row],[Familia]]="termico solar",Tabla4[[#This Row],[Utilidad Total]]*6%,Tabla4[[#This Row],[Utilidad Total]]*11.5%))/Tabla4[[#This Row],[Total]]</f>
        <v>#N/A</v>
      </c>
      <c r="V1586" s="282" t="e">
        <f>+Tabla4[[#This Row],[Comisión Calculada]]*Tabla4[[#This Row],[Total]]</f>
        <v>#N/A</v>
      </c>
    </row>
    <row r="1587" spans="1:22" hidden="1" x14ac:dyDescent="0.25">
      <c r="A1587" s="100">
        <v>45747</v>
      </c>
      <c r="B1587" t="str">
        <f t="shared" si="76"/>
        <v>March</v>
      </c>
      <c r="C1587" s="46" t="s">
        <v>280</v>
      </c>
      <c r="F1587" s="366" t="s">
        <v>1323</v>
      </c>
      <c r="G1587" s="46" t="s">
        <v>17</v>
      </c>
      <c r="H1587" s="46">
        <v>2</v>
      </c>
      <c r="I1587" s="51">
        <v>4622.28</v>
      </c>
      <c r="J1587" s="281">
        <f>++Tabla4[[#This Row],[Precio Bruto]]*1.16</f>
        <v>5361.8447999999989</v>
      </c>
      <c r="K1587" s="281">
        <f>+Tabla4[[#This Row],[Precio Unitario Neto]]*Tabla4[[#Headers],[20.85%]]</f>
        <v>1117.9446407999997</v>
      </c>
      <c r="L1587" s="282">
        <f>++Tabla4[[#This Row],[Precio Unitario Neto]]-Tabla4[[#This Row],[20.85%]]</f>
        <v>4243.9001591999995</v>
      </c>
      <c r="M1587" s="282" t="e">
        <f>(INDEX(Tabla6[#All],MATCH(Tabla4[[#This Row],[Producto]],Tabla6[[#All],[PRODUCTO]],0),MATCH(Tabla4[[#This Row],[Mes]],Tabla6[#Headers],0)))*(1+Catalogos!$L$2)</f>
        <v>#N/A</v>
      </c>
      <c r="N1587" s="283" t="e">
        <f>+(Tabla4[[#This Row],[Precio Descontado]]-Tabla4[[#This Row],[Precio Base]])*Tabla4[[#This Row],[Cantidad]]</f>
        <v>#N/A</v>
      </c>
      <c r="O1587" s="284" t="e">
        <f>++Tabla4[[#This Row],[Utilidad Total]]/Tabla4[[#This Row],[Total]]</f>
        <v>#N/A</v>
      </c>
      <c r="P1587" s="282">
        <f>++Tabla4[[#This Row],[Precio Descontado]]*Tabla4[[#This Row],[Cantidad]]</f>
        <v>8487.800318399999</v>
      </c>
      <c r="Q1587" s="282" t="e">
        <f>(INDEX(Tabla6[#All],MATCH(Tabla4[[#This Row],[Producto]],Tabla6[[#All],[PRODUCTO]],0),MATCH(Tabla4[[#This Row],[Mes]],Tabla6[#Headers],0)))</f>
        <v>#N/A</v>
      </c>
      <c r="R1587" s="282" t="e">
        <f>++Tabla4[[#This Row],[Precio Unitario Neto]]-Tabla4[[#This Row],[20.85%]]-Tabla4[[#This Row],[Costo]]</f>
        <v>#N/A</v>
      </c>
      <c r="S1587" s="282" t="e">
        <f>++Tabla4[[#This Row],[U. Bruta Uni]]*Tabla4[[#This Row],[Cantidad]]</f>
        <v>#N/A</v>
      </c>
      <c r="T1587" s="369" t="str">
        <f>VLOOKUP(Tabla4[[#This Row],[Producto]],Tabla6[#All],14,FALSE)</f>
        <v>Termico Solar</v>
      </c>
      <c r="U1587" s="284" t="e">
        <f>(IF(Tabla4[[#This Row],[Familia]]="termico solar",Tabla4[[#This Row],[Utilidad Total]]*6%,Tabla4[[#This Row],[Utilidad Total]]*11.5%))/Tabla4[[#This Row],[Total]]</f>
        <v>#N/A</v>
      </c>
      <c r="V1587" s="282" t="e">
        <f>+Tabla4[[#This Row],[Comisión Calculada]]*Tabla4[[#This Row],[Total]]</f>
        <v>#N/A</v>
      </c>
    </row>
    <row r="1588" spans="1:22" hidden="1" x14ac:dyDescent="0.25">
      <c r="A1588" s="100">
        <v>45747</v>
      </c>
      <c r="B1588" t="str">
        <f t="shared" si="76"/>
        <v>March</v>
      </c>
      <c r="C1588" s="46" t="s">
        <v>280</v>
      </c>
      <c r="F1588" s="366" t="s">
        <v>1323</v>
      </c>
      <c r="G1588" s="46" t="s">
        <v>18</v>
      </c>
      <c r="H1588" s="46">
        <v>2</v>
      </c>
      <c r="I1588" s="51">
        <v>5367.65</v>
      </c>
      <c r="J1588" s="281">
        <f>++Tabla4[[#This Row],[Precio Bruto]]*1.16</f>
        <v>6226.4739999999993</v>
      </c>
      <c r="K1588" s="281">
        <f>+Tabla4[[#This Row],[Precio Unitario Neto]]*Tabla4[[#Headers],[20.85%]]</f>
        <v>1298.2198289999999</v>
      </c>
      <c r="L1588" s="282">
        <f>++Tabla4[[#This Row],[Precio Unitario Neto]]-Tabla4[[#This Row],[20.85%]]</f>
        <v>4928.2541709999996</v>
      </c>
      <c r="M1588" s="282" t="e">
        <f>(INDEX(Tabla6[#All],MATCH(Tabla4[[#This Row],[Producto]],Tabla6[[#All],[PRODUCTO]],0),MATCH(Tabla4[[#This Row],[Mes]],Tabla6[#Headers],0)))*(1+Catalogos!$L$2)</f>
        <v>#N/A</v>
      </c>
      <c r="N1588" s="283" t="e">
        <f>+(Tabla4[[#This Row],[Precio Descontado]]-Tabla4[[#This Row],[Precio Base]])*Tabla4[[#This Row],[Cantidad]]</f>
        <v>#N/A</v>
      </c>
      <c r="O1588" s="284" t="e">
        <f>++Tabla4[[#This Row],[Utilidad Total]]/Tabla4[[#This Row],[Total]]</f>
        <v>#N/A</v>
      </c>
      <c r="P1588" s="282">
        <f>++Tabla4[[#This Row],[Precio Descontado]]*Tabla4[[#This Row],[Cantidad]]</f>
        <v>9856.5083419999992</v>
      </c>
      <c r="Q1588" s="282" t="e">
        <f>(INDEX(Tabla6[#All],MATCH(Tabla4[[#This Row],[Producto]],Tabla6[[#All],[PRODUCTO]],0),MATCH(Tabla4[[#This Row],[Mes]],Tabla6[#Headers],0)))</f>
        <v>#N/A</v>
      </c>
      <c r="R1588" s="282" t="e">
        <f>++Tabla4[[#This Row],[Precio Unitario Neto]]-Tabla4[[#This Row],[20.85%]]-Tabla4[[#This Row],[Costo]]</f>
        <v>#N/A</v>
      </c>
      <c r="S1588" s="282" t="e">
        <f>++Tabla4[[#This Row],[U. Bruta Uni]]*Tabla4[[#This Row],[Cantidad]]</f>
        <v>#N/A</v>
      </c>
      <c r="T1588" s="369" t="str">
        <f>VLOOKUP(Tabla4[[#This Row],[Producto]],Tabla6[#All],14,FALSE)</f>
        <v>Termico Solar</v>
      </c>
      <c r="U1588" s="284" t="e">
        <f>(IF(Tabla4[[#This Row],[Familia]]="termico solar",Tabla4[[#This Row],[Utilidad Total]]*6%,Tabla4[[#This Row],[Utilidad Total]]*11.5%))/Tabla4[[#This Row],[Total]]</f>
        <v>#N/A</v>
      </c>
      <c r="V1588" s="282" t="e">
        <f>+Tabla4[[#This Row],[Comisión Calculada]]*Tabla4[[#This Row],[Total]]</f>
        <v>#N/A</v>
      </c>
    </row>
    <row r="1589" spans="1:22" hidden="1" x14ac:dyDescent="0.25">
      <c r="A1589" s="100">
        <v>45747</v>
      </c>
      <c r="B1589" t="str">
        <f t="shared" si="76"/>
        <v>March</v>
      </c>
      <c r="C1589" s="46" t="s">
        <v>280</v>
      </c>
      <c r="F1589" s="366" t="s">
        <v>1324</v>
      </c>
      <c r="G1589" s="46" t="s">
        <v>83</v>
      </c>
      <c r="H1589" s="46">
        <v>1</v>
      </c>
      <c r="I1589" s="51">
        <v>8858.76</v>
      </c>
      <c r="J1589" s="281">
        <f>++Tabla4[[#This Row],[Precio Bruto]]*1.16</f>
        <v>10276.161599999999</v>
      </c>
      <c r="K1589" s="281">
        <f>+Tabla4[[#This Row],[Precio Unitario Neto]]*Tabla4[[#Headers],[20.85%]]</f>
        <v>2142.5796935999997</v>
      </c>
      <c r="L1589" s="282">
        <f>++Tabla4[[#This Row],[Precio Unitario Neto]]-Tabla4[[#This Row],[20.85%]]</f>
        <v>8133.5819063999998</v>
      </c>
      <c r="M1589" s="282" t="e">
        <f>(INDEX(Tabla6[#All],MATCH(Tabla4[[#This Row],[Producto]],Tabla6[[#All],[PRODUCTO]],0),MATCH(Tabla4[[#This Row],[Mes]],Tabla6[#Headers],0)))*(1+Catalogos!$L$2)</f>
        <v>#N/A</v>
      </c>
      <c r="N1589" s="283" t="e">
        <f>+(Tabla4[[#This Row],[Precio Descontado]]-Tabla4[[#This Row],[Precio Base]])*Tabla4[[#This Row],[Cantidad]]</f>
        <v>#N/A</v>
      </c>
      <c r="O1589" s="284" t="e">
        <f>++Tabla4[[#This Row],[Utilidad Total]]/Tabla4[[#This Row],[Total]]</f>
        <v>#N/A</v>
      </c>
      <c r="P1589" s="282">
        <f>++Tabla4[[#This Row],[Precio Descontado]]*Tabla4[[#This Row],[Cantidad]]</f>
        <v>8133.5819063999998</v>
      </c>
      <c r="Q1589" s="282" t="e">
        <f>(INDEX(Tabla6[#All],MATCH(Tabla4[[#This Row],[Producto]],Tabla6[[#All],[PRODUCTO]],0),MATCH(Tabla4[[#This Row],[Mes]],Tabla6[#Headers],0)))</f>
        <v>#N/A</v>
      </c>
      <c r="R1589" s="282" t="e">
        <f>++Tabla4[[#This Row],[Precio Unitario Neto]]-Tabla4[[#This Row],[20.85%]]-Tabla4[[#This Row],[Costo]]</f>
        <v>#N/A</v>
      </c>
      <c r="S1589" s="282" t="e">
        <f>++Tabla4[[#This Row],[U. Bruta Uni]]*Tabla4[[#This Row],[Cantidad]]</f>
        <v>#N/A</v>
      </c>
      <c r="T1589" s="369" t="str">
        <f>VLOOKUP(Tabla4[[#This Row],[Producto]],Tabla6[#All],14,FALSE)</f>
        <v>Termico Solar</v>
      </c>
      <c r="U1589" s="284" t="e">
        <f>(IF(Tabla4[[#This Row],[Familia]]="termico solar",Tabla4[[#This Row],[Utilidad Total]]*6%,Tabla4[[#This Row],[Utilidad Total]]*11.5%))/Tabla4[[#This Row],[Total]]</f>
        <v>#N/A</v>
      </c>
      <c r="V1589" s="282" t="e">
        <f>+Tabla4[[#This Row],[Comisión Calculada]]*Tabla4[[#This Row],[Total]]</f>
        <v>#N/A</v>
      </c>
    </row>
    <row r="1590" spans="1:22" hidden="1" x14ac:dyDescent="0.25">
      <c r="A1590" s="100">
        <v>45747</v>
      </c>
      <c r="B1590" t="str">
        <f t="shared" si="76"/>
        <v>March</v>
      </c>
      <c r="C1590" s="46" t="s">
        <v>280</v>
      </c>
      <c r="F1590" s="366" t="s">
        <v>1325</v>
      </c>
      <c r="G1590" s="46" t="s">
        <v>83</v>
      </c>
      <c r="H1590" s="46">
        <v>2</v>
      </c>
      <c r="I1590" s="51">
        <v>8858.76</v>
      </c>
      <c r="J1590" s="281">
        <f>++Tabla4[[#This Row],[Precio Bruto]]*1.16</f>
        <v>10276.161599999999</v>
      </c>
      <c r="K1590" s="281">
        <f>+Tabla4[[#This Row],[Precio Unitario Neto]]*Tabla4[[#Headers],[20.85%]]</f>
        <v>2142.5796935999997</v>
      </c>
      <c r="L1590" s="282">
        <f>++Tabla4[[#This Row],[Precio Unitario Neto]]-Tabla4[[#This Row],[20.85%]]</f>
        <v>8133.5819063999998</v>
      </c>
      <c r="M1590" s="282" t="e">
        <f>(INDEX(Tabla6[#All],MATCH(Tabla4[[#This Row],[Producto]],Tabla6[[#All],[PRODUCTO]],0),MATCH(Tabla4[[#This Row],[Mes]],Tabla6[#Headers],0)))*(1+Catalogos!$L$2)</f>
        <v>#N/A</v>
      </c>
      <c r="N1590" s="283" t="e">
        <f>+(Tabla4[[#This Row],[Precio Descontado]]-Tabla4[[#This Row],[Precio Base]])*Tabla4[[#This Row],[Cantidad]]</f>
        <v>#N/A</v>
      </c>
      <c r="O1590" s="284" t="e">
        <f>++Tabla4[[#This Row],[Utilidad Total]]/Tabla4[[#This Row],[Total]]</f>
        <v>#N/A</v>
      </c>
      <c r="P1590" s="282">
        <f>++Tabla4[[#This Row],[Precio Descontado]]*Tabla4[[#This Row],[Cantidad]]</f>
        <v>16267.1638128</v>
      </c>
      <c r="Q1590" s="282" t="e">
        <f>(INDEX(Tabla6[#All],MATCH(Tabla4[[#This Row],[Producto]],Tabla6[[#All],[PRODUCTO]],0),MATCH(Tabla4[[#This Row],[Mes]],Tabla6[#Headers],0)))</f>
        <v>#N/A</v>
      </c>
      <c r="R1590" s="282" t="e">
        <f>++Tabla4[[#This Row],[Precio Unitario Neto]]-Tabla4[[#This Row],[20.85%]]-Tabla4[[#This Row],[Costo]]</f>
        <v>#N/A</v>
      </c>
      <c r="S1590" s="282" t="e">
        <f>++Tabla4[[#This Row],[U. Bruta Uni]]*Tabla4[[#This Row],[Cantidad]]</f>
        <v>#N/A</v>
      </c>
      <c r="T1590" s="369" t="str">
        <f>VLOOKUP(Tabla4[[#This Row],[Producto]],Tabla6[#All],14,FALSE)</f>
        <v>Termico Solar</v>
      </c>
      <c r="U1590" s="284" t="e">
        <f>(IF(Tabla4[[#This Row],[Familia]]="termico solar",Tabla4[[#This Row],[Utilidad Total]]*6%,Tabla4[[#This Row],[Utilidad Total]]*11.5%))/Tabla4[[#This Row],[Total]]</f>
        <v>#N/A</v>
      </c>
      <c r="V1590" s="282" t="e">
        <f>+Tabla4[[#This Row],[Comisión Calculada]]*Tabla4[[#This Row],[Total]]</f>
        <v>#N/A</v>
      </c>
    </row>
    <row r="1591" spans="1:22" hidden="1" x14ac:dyDescent="0.25">
      <c r="A1591" s="100">
        <v>45747</v>
      </c>
      <c r="B1591" t="str">
        <f t="shared" si="76"/>
        <v>March</v>
      </c>
      <c r="C1591" s="46" t="s">
        <v>280</v>
      </c>
      <c r="F1591" s="366" t="s">
        <v>1325</v>
      </c>
      <c r="G1591" s="46" t="s">
        <v>17</v>
      </c>
      <c r="H1591" s="46">
        <v>1</v>
      </c>
      <c r="I1591" s="51">
        <v>4622.28</v>
      </c>
      <c r="J1591" s="281">
        <f>++Tabla4[[#This Row],[Precio Bruto]]*1.16</f>
        <v>5361.8447999999989</v>
      </c>
      <c r="K1591" s="281">
        <f>+Tabla4[[#This Row],[Precio Unitario Neto]]*Tabla4[[#Headers],[20.85%]]</f>
        <v>1117.9446407999997</v>
      </c>
      <c r="L1591" s="282">
        <f>++Tabla4[[#This Row],[Precio Unitario Neto]]-Tabla4[[#This Row],[20.85%]]</f>
        <v>4243.9001591999995</v>
      </c>
      <c r="M1591" s="282" t="e">
        <f>(INDEX(Tabla6[#All],MATCH(Tabla4[[#This Row],[Producto]],Tabla6[[#All],[PRODUCTO]],0),MATCH(Tabla4[[#This Row],[Mes]],Tabla6[#Headers],0)))*(1+Catalogos!$L$2)</f>
        <v>#N/A</v>
      </c>
      <c r="N1591" s="283" t="e">
        <f>+(Tabla4[[#This Row],[Precio Descontado]]-Tabla4[[#This Row],[Precio Base]])*Tabla4[[#This Row],[Cantidad]]</f>
        <v>#N/A</v>
      </c>
      <c r="O1591" s="284" t="e">
        <f>++Tabla4[[#This Row],[Utilidad Total]]/Tabla4[[#This Row],[Total]]</f>
        <v>#N/A</v>
      </c>
      <c r="P1591" s="282">
        <f>++Tabla4[[#This Row],[Precio Descontado]]*Tabla4[[#This Row],[Cantidad]]</f>
        <v>4243.9001591999995</v>
      </c>
      <c r="Q1591" s="282" t="e">
        <f>(INDEX(Tabla6[#All],MATCH(Tabla4[[#This Row],[Producto]],Tabla6[[#All],[PRODUCTO]],0),MATCH(Tabla4[[#This Row],[Mes]],Tabla6[#Headers],0)))</f>
        <v>#N/A</v>
      </c>
      <c r="R1591" s="282" t="e">
        <f>++Tabla4[[#This Row],[Precio Unitario Neto]]-Tabla4[[#This Row],[20.85%]]-Tabla4[[#This Row],[Costo]]</f>
        <v>#N/A</v>
      </c>
      <c r="S1591" s="282" t="e">
        <f>++Tabla4[[#This Row],[U. Bruta Uni]]*Tabla4[[#This Row],[Cantidad]]</f>
        <v>#N/A</v>
      </c>
      <c r="T1591" s="369" t="str">
        <f>VLOOKUP(Tabla4[[#This Row],[Producto]],Tabla6[#All],14,FALSE)</f>
        <v>Termico Solar</v>
      </c>
      <c r="U1591" s="284" t="e">
        <f>(IF(Tabla4[[#This Row],[Familia]]="termico solar",Tabla4[[#This Row],[Utilidad Total]]*6%,Tabla4[[#This Row],[Utilidad Total]]*11.5%))/Tabla4[[#This Row],[Total]]</f>
        <v>#N/A</v>
      </c>
      <c r="V1591" s="282" t="e">
        <f>+Tabla4[[#This Row],[Comisión Calculada]]*Tabla4[[#This Row],[Total]]</f>
        <v>#N/A</v>
      </c>
    </row>
    <row r="1592" spans="1:22" hidden="1" x14ac:dyDescent="0.25">
      <c r="A1592" s="100">
        <v>45747</v>
      </c>
      <c r="B1592" t="str">
        <f t="shared" si="76"/>
        <v>March</v>
      </c>
      <c r="C1592" s="46" t="s">
        <v>280</v>
      </c>
      <c r="F1592" s="366" t="s">
        <v>1325</v>
      </c>
      <c r="G1592" s="46" t="s">
        <v>208</v>
      </c>
      <c r="H1592" s="46">
        <v>30</v>
      </c>
      <c r="I1592" s="51">
        <v>140.63</v>
      </c>
      <c r="J1592" s="281">
        <f>++Tabla4[[#This Row],[Precio Bruto]]*1.16</f>
        <v>163.13079999999999</v>
      </c>
      <c r="K1592" s="281">
        <f>+Tabla4[[#This Row],[Precio Unitario Neto]]*Tabla4[[#Headers],[20.85%]]</f>
        <v>34.012771799999996</v>
      </c>
      <c r="L1592" s="282">
        <f>++Tabla4[[#This Row],[Precio Unitario Neto]]-Tabla4[[#This Row],[20.85%]]</f>
        <v>129.1180282</v>
      </c>
      <c r="M1592" s="282" t="e">
        <f>(INDEX(Tabla6[#All],MATCH(Tabla4[[#This Row],[Producto]],Tabla6[[#All],[PRODUCTO]],0),MATCH(Tabla4[[#This Row],[Mes]],Tabla6[#Headers],0)))*(1+Catalogos!$L$2)</f>
        <v>#N/A</v>
      </c>
      <c r="N1592" s="283" t="e">
        <f>+(Tabla4[[#This Row],[Precio Descontado]]-Tabla4[[#This Row],[Precio Base]])*Tabla4[[#This Row],[Cantidad]]</f>
        <v>#N/A</v>
      </c>
      <c r="O1592" s="284" t="e">
        <f>++Tabla4[[#This Row],[Utilidad Total]]/Tabla4[[#This Row],[Total]]</f>
        <v>#N/A</v>
      </c>
      <c r="P1592" s="282">
        <f>++Tabla4[[#This Row],[Precio Descontado]]*Tabla4[[#This Row],[Cantidad]]</f>
        <v>3873.5408459999999</v>
      </c>
      <c r="Q1592" s="282" t="e">
        <f>(INDEX(Tabla6[#All],MATCH(Tabla4[[#This Row],[Producto]],Tabla6[[#All],[PRODUCTO]],0),MATCH(Tabla4[[#This Row],[Mes]],Tabla6[#Headers],0)))</f>
        <v>#N/A</v>
      </c>
      <c r="R1592" s="282" t="e">
        <f>++Tabla4[[#This Row],[Precio Unitario Neto]]-Tabla4[[#This Row],[20.85%]]-Tabla4[[#This Row],[Costo]]</f>
        <v>#N/A</v>
      </c>
      <c r="S1592" s="282" t="e">
        <f>++Tabla4[[#This Row],[U. Bruta Uni]]*Tabla4[[#This Row],[Cantidad]]</f>
        <v>#N/A</v>
      </c>
      <c r="T1592" s="369" t="str">
        <f>VLOOKUP(Tabla4[[#This Row],[Producto]],Tabla6[#All],14,FALSE)</f>
        <v>Termico Solar</v>
      </c>
      <c r="U1592" s="284" t="e">
        <f>(IF(Tabla4[[#This Row],[Familia]]="termico solar",Tabla4[[#This Row],[Utilidad Total]]*6%,Tabla4[[#This Row],[Utilidad Total]]*11.5%))/Tabla4[[#This Row],[Total]]</f>
        <v>#N/A</v>
      </c>
      <c r="V1592" s="282" t="e">
        <f>+Tabla4[[#This Row],[Comisión Calculada]]*Tabla4[[#This Row],[Total]]</f>
        <v>#N/A</v>
      </c>
    </row>
    <row r="1593" spans="1:22" hidden="1" x14ac:dyDescent="0.25">
      <c r="A1593" s="100">
        <v>45747</v>
      </c>
      <c r="B1593" t="str">
        <f t="shared" si="76"/>
        <v>March</v>
      </c>
      <c r="C1593" s="46" t="s">
        <v>280</v>
      </c>
      <c r="F1593" s="366" t="s">
        <v>1325</v>
      </c>
      <c r="G1593" s="46" t="s">
        <v>16</v>
      </c>
      <c r="H1593" s="46">
        <v>2</v>
      </c>
      <c r="I1593" s="51">
        <v>4103.8500000000004</v>
      </c>
      <c r="J1593" s="281">
        <f>++Tabla4[[#This Row],[Precio Bruto]]*1.16</f>
        <v>4760.4660000000003</v>
      </c>
      <c r="K1593" s="281">
        <f>+Tabla4[[#This Row],[Precio Unitario Neto]]*Tabla4[[#Headers],[20.85%]]</f>
        <v>992.55716100000006</v>
      </c>
      <c r="L1593" s="282">
        <f>++Tabla4[[#This Row],[Precio Unitario Neto]]-Tabla4[[#This Row],[20.85%]]</f>
        <v>3767.9088390000002</v>
      </c>
      <c r="M1593" s="282" t="e">
        <f>(INDEX(Tabla6[#All],MATCH(Tabla4[[#This Row],[Producto]],Tabla6[[#All],[PRODUCTO]],0),MATCH(Tabla4[[#This Row],[Mes]],Tabla6[#Headers],0)))*(1+Catalogos!$L$2)</f>
        <v>#N/A</v>
      </c>
      <c r="N1593" s="283" t="e">
        <f>+(Tabla4[[#This Row],[Precio Descontado]]-Tabla4[[#This Row],[Precio Base]])*Tabla4[[#This Row],[Cantidad]]</f>
        <v>#N/A</v>
      </c>
      <c r="O1593" s="284" t="e">
        <f>++Tabla4[[#This Row],[Utilidad Total]]/Tabla4[[#This Row],[Total]]</f>
        <v>#N/A</v>
      </c>
      <c r="P1593" s="282">
        <f>++Tabla4[[#This Row],[Precio Descontado]]*Tabla4[[#This Row],[Cantidad]]</f>
        <v>7535.8176780000003</v>
      </c>
      <c r="Q1593" s="282" t="e">
        <f>(INDEX(Tabla6[#All],MATCH(Tabla4[[#This Row],[Producto]],Tabla6[[#All],[PRODUCTO]],0),MATCH(Tabla4[[#This Row],[Mes]],Tabla6[#Headers],0)))</f>
        <v>#N/A</v>
      </c>
      <c r="R1593" s="282" t="e">
        <f>++Tabla4[[#This Row],[Precio Unitario Neto]]-Tabla4[[#This Row],[20.85%]]-Tabla4[[#This Row],[Costo]]</f>
        <v>#N/A</v>
      </c>
      <c r="S1593" s="282" t="e">
        <f>++Tabla4[[#This Row],[U. Bruta Uni]]*Tabla4[[#This Row],[Cantidad]]</f>
        <v>#N/A</v>
      </c>
      <c r="T1593" s="369" t="str">
        <f>VLOOKUP(Tabla4[[#This Row],[Producto]],Tabla6[#All],14,FALSE)</f>
        <v>Termico Solar</v>
      </c>
      <c r="U1593" s="284" t="e">
        <f>(IF(Tabla4[[#This Row],[Familia]]="termico solar",Tabla4[[#This Row],[Utilidad Total]]*6%,Tabla4[[#This Row],[Utilidad Total]]*11.5%))/Tabla4[[#This Row],[Total]]</f>
        <v>#N/A</v>
      </c>
      <c r="V1593" s="282" t="e">
        <f>+Tabla4[[#This Row],[Comisión Calculada]]*Tabla4[[#This Row],[Total]]</f>
        <v>#N/A</v>
      </c>
    </row>
    <row r="1594" spans="1:22" hidden="1" x14ac:dyDescent="0.25">
      <c r="A1594" s="100">
        <v>45747</v>
      </c>
      <c r="B1594" t="str">
        <f t="shared" si="76"/>
        <v>March</v>
      </c>
      <c r="C1594" s="46" t="s">
        <v>280</v>
      </c>
      <c r="F1594" s="366" t="s">
        <v>1326</v>
      </c>
      <c r="G1594" s="46" t="s">
        <v>18</v>
      </c>
      <c r="H1594" s="46">
        <v>1</v>
      </c>
      <c r="I1594" s="51">
        <v>5367.65</v>
      </c>
      <c r="J1594" s="281">
        <f>++Tabla4[[#This Row],[Precio Bruto]]*1.16</f>
        <v>6226.4739999999993</v>
      </c>
      <c r="K1594" s="281">
        <f>+Tabla4[[#This Row],[Precio Unitario Neto]]*Tabla4[[#Headers],[20.85%]]</f>
        <v>1298.2198289999999</v>
      </c>
      <c r="L1594" s="282">
        <f>++Tabla4[[#This Row],[Precio Unitario Neto]]-Tabla4[[#This Row],[20.85%]]</f>
        <v>4928.2541709999996</v>
      </c>
      <c r="M1594" s="282" t="e">
        <f>(INDEX(Tabla6[#All],MATCH(Tabla4[[#This Row],[Producto]],Tabla6[[#All],[PRODUCTO]],0),MATCH(Tabla4[[#This Row],[Mes]],Tabla6[#Headers],0)))*(1+Catalogos!$L$2)</f>
        <v>#N/A</v>
      </c>
      <c r="N1594" s="283" t="e">
        <f>+(Tabla4[[#This Row],[Precio Descontado]]-Tabla4[[#This Row],[Precio Base]])*Tabla4[[#This Row],[Cantidad]]</f>
        <v>#N/A</v>
      </c>
      <c r="O1594" s="284" t="e">
        <f>++Tabla4[[#This Row],[Utilidad Total]]/Tabla4[[#This Row],[Total]]</f>
        <v>#N/A</v>
      </c>
      <c r="P1594" s="282">
        <f>++Tabla4[[#This Row],[Precio Descontado]]*Tabla4[[#This Row],[Cantidad]]</f>
        <v>4928.2541709999996</v>
      </c>
      <c r="Q1594" s="282" t="e">
        <f>(INDEX(Tabla6[#All],MATCH(Tabla4[[#This Row],[Producto]],Tabla6[[#All],[PRODUCTO]],0),MATCH(Tabla4[[#This Row],[Mes]],Tabla6[#Headers],0)))</f>
        <v>#N/A</v>
      </c>
      <c r="R1594" s="282" t="e">
        <f>++Tabla4[[#This Row],[Precio Unitario Neto]]-Tabla4[[#This Row],[20.85%]]-Tabla4[[#This Row],[Costo]]</f>
        <v>#N/A</v>
      </c>
      <c r="S1594" s="282" t="e">
        <f>++Tabla4[[#This Row],[U. Bruta Uni]]*Tabla4[[#This Row],[Cantidad]]</f>
        <v>#N/A</v>
      </c>
      <c r="T1594" s="369" t="str">
        <f>VLOOKUP(Tabla4[[#This Row],[Producto]],Tabla6[#All],14,FALSE)</f>
        <v>Termico Solar</v>
      </c>
      <c r="U1594" s="284" t="e">
        <f>(IF(Tabla4[[#This Row],[Familia]]="termico solar",Tabla4[[#This Row],[Utilidad Total]]*6%,Tabla4[[#This Row],[Utilidad Total]]*11.5%))/Tabla4[[#This Row],[Total]]</f>
        <v>#N/A</v>
      </c>
      <c r="V1594" s="282" t="e">
        <f>+Tabla4[[#This Row],[Comisión Calculada]]*Tabla4[[#This Row],[Total]]</f>
        <v>#N/A</v>
      </c>
    </row>
    <row r="1595" spans="1:22" hidden="1" x14ac:dyDescent="0.25">
      <c r="A1595" s="100">
        <v>45747</v>
      </c>
      <c r="B1595" t="str">
        <f t="shared" si="76"/>
        <v>March</v>
      </c>
      <c r="C1595" s="46" t="s">
        <v>280</v>
      </c>
      <c r="F1595" s="366" t="s">
        <v>1326</v>
      </c>
      <c r="G1595" s="46" t="s">
        <v>208</v>
      </c>
      <c r="H1595" s="46">
        <v>15</v>
      </c>
      <c r="I1595" s="51">
        <v>140.63</v>
      </c>
      <c r="J1595" s="281">
        <f>++Tabla4[[#This Row],[Precio Bruto]]*1.16</f>
        <v>163.13079999999999</v>
      </c>
      <c r="K1595" s="281">
        <f>+Tabla4[[#This Row],[Precio Unitario Neto]]*Tabla4[[#Headers],[20.85%]]</f>
        <v>34.012771799999996</v>
      </c>
      <c r="L1595" s="282">
        <f>++Tabla4[[#This Row],[Precio Unitario Neto]]-Tabla4[[#This Row],[20.85%]]</f>
        <v>129.1180282</v>
      </c>
      <c r="M1595" s="282" t="e">
        <f>(INDEX(Tabla6[#All],MATCH(Tabla4[[#This Row],[Producto]],Tabla6[[#All],[PRODUCTO]],0),MATCH(Tabla4[[#This Row],[Mes]],Tabla6[#Headers],0)))*(1+Catalogos!$L$2)</f>
        <v>#N/A</v>
      </c>
      <c r="N1595" s="283" t="e">
        <f>+(Tabla4[[#This Row],[Precio Descontado]]-Tabla4[[#This Row],[Precio Base]])*Tabla4[[#This Row],[Cantidad]]</f>
        <v>#N/A</v>
      </c>
      <c r="O1595" s="284" t="e">
        <f>++Tabla4[[#This Row],[Utilidad Total]]/Tabla4[[#This Row],[Total]]</f>
        <v>#N/A</v>
      </c>
      <c r="P1595" s="282">
        <f>++Tabla4[[#This Row],[Precio Descontado]]*Tabla4[[#This Row],[Cantidad]]</f>
        <v>1936.7704229999999</v>
      </c>
      <c r="Q1595" s="282" t="e">
        <f>(INDEX(Tabla6[#All],MATCH(Tabla4[[#This Row],[Producto]],Tabla6[[#All],[PRODUCTO]],0),MATCH(Tabla4[[#This Row],[Mes]],Tabla6[#Headers],0)))</f>
        <v>#N/A</v>
      </c>
      <c r="R1595" s="282" t="e">
        <f>++Tabla4[[#This Row],[Precio Unitario Neto]]-Tabla4[[#This Row],[20.85%]]-Tabla4[[#This Row],[Costo]]</f>
        <v>#N/A</v>
      </c>
      <c r="S1595" s="282" t="e">
        <f>++Tabla4[[#This Row],[U. Bruta Uni]]*Tabla4[[#This Row],[Cantidad]]</f>
        <v>#N/A</v>
      </c>
      <c r="T1595" s="369" t="str">
        <f>VLOOKUP(Tabla4[[#This Row],[Producto]],Tabla6[#All],14,FALSE)</f>
        <v>Termico Solar</v>
      </c>
      <c r="U1595" s="284" t="e">
        <f>(IF(Tabla4[[#This Row],[Familia]]="termico solar",Tabla4[[#This Row],[Utilidad Total]]*6%,Tabla4[[#This Row],[Utilidad Total]]*11.5%))/Tabla4[[#This Row],[Total]]</f>
        <v>#N/A</v>
      </c>
      <c r="V1595" s="282" t="e">
        <f>+Tabla4[[#This Row],[Comisión Calculada]]*Tabla4[[#This Row],[Total]]</f>
        <v>#N/A</v>
      </c>
    </row>
    <row r="1596" spans="1:22" hidden="1" x14ac:dyDescent="0.25">
      <c r="A1596" s="100">
        <v>45747</v>
      </c>
      <c r="B1596" t="str">
        <f t="shared" si="76"/>
        <v>March</v>
      </c>
      <c r="C1596" s="46" t="s">
        <v>280</v>
      </c>
      <c r="F1596" s="366" t="s">
        <v>1327</v>
      </c>
      <c r="G1596" s="46" t="s">
        <v>83</v>
      </c>
      <c r="H1596" s="46">
        <v>1</v>
      </c>
      <c r="I1596" s="51">
        <v>8858.76</v>
      </c>
      <c r="J1596" s="281">
        <f>++Tabla4[[#This Row],[Precio Bruto]]*1.16</f>
        <v>10276.161599999999</v>
      </c>
      <c r="K1596" s="281">
        <f>+Tabla4[[#This Row],[Precio Unitario Neto]]*Tabla4[[#Headers],[20.85%]]</f>
        <v>2142.5796935999997</v>
      </c>
      <c r="L1596" s="282">
        <f>++Tabla4[[#This Row],[Precio Unitario Neto]]-Tabla4[[#This Row],[20.85%]]</f>
        <v>8133.5819063999998</v>
      </c>
      <c r="M1596" s="282" t="e">
        <f>(INDEX(Tabla6[#All],MATCH(Tabla4[[#This Row],[Producto]],Tabla6[[#All],[PRODUCTO]],0),MATCH(Tabla4[[#This Row],[Mes]],Tabla6[#Headers],0)))*(1+Catalogos!$L$2)</f>
        <v>#N/A</v>
      </c>
      <c r="N1596" s="283" t="e">
        <f>+(Tabla4[[#This Row],[Precio Descontado]]-Tabla4[[#This Row],[Precio Base]])*Tabla4[[#This Row],[Cantidad]]</f>
        <v>#N/A</v>
      </c>
      <c r="O1596" s="284" t="e">
        <f>++Tabla4[[#This Row],[Utilidad Total]]/Tabla4[[#This Row],[Total]]</f>
        <v>#N/A</v>
      </c>
      <c r="P1596" s="282">
        <f>++Tabla4[[#This Row],[Precio Descontado]]*Tabla4[[#This Row],[Cantidad]]</f>
        <v>8133.5819063999998</v>
      </c>
      <c r="Q1596" s="282" t="e">
        <f>(INDEX(Tabla6[#All],MATCH(Tabla4[[#This Row],[Producto]],Tabla6[[#All],[PRODUCTO]],0),MATCH(Tabla4[[#This Row],[Mes]],Tabla6[#Headers],0)))</f>
        <v>#N/A</v>
      </c>
      <c r="R1596" s="282" t="e">
        <f>++Tabla4[[#This Row],[Precio Unitario Neto]]-Tabla4[[#This Row],[20.85%]]-Tabla4[[#This Row],[Costo]]</f>
        <v>#N/A</v>
      </c>
      <c r="S1596" s="282" t="e">
        <f>++Tabla4[[#This Row],[U. Bruta Uni]]*Tabla4[[#This Row],[Cantidad]]</f>
        <v>#N/A</v>
      </c>
      <c r="T1596" s="369" t="str">
        <f>VLOOKUP(Tabla4[[#This Row],[Producto]],Tabla6[#All],14,FALSE)</f>
        <v>Termico Solar</v>
      </c>
      <c r="U1596" s="284" t="e">
        <f>(IF(Tabla4[[#This Row],[Familia]]="termico solar",Tabla4[[#This Row],[Utilidad Total]]*6%,Tabla4[[#This Row],[Utilidad Total]]*11.5%))/Tabla4[[#This Row],[Total]]</f>
        <v>#N/A</v>
      </c>
      <c r="V1596" s="282" t="e">
        <f>+Tabla4[[#This Row],[Comisión Calculada]]*Tabla4[[#This Row],[Total]]</f>
        <v>#N/A</v>
      </c>
    </row>
    <row r="1597" spans="1:22" hidden="1" x14ac:dyDescent="0.25">
      <c r="A1597" s="100">
        <v>45747</v>
      </c>
      <c r="B1597" t="str">
        <f t="shared" si="76"/>
        <v>March</v>
      </c>
      <c r="C1597" s="46" t="s">
        <v>280</v>
      </c>
      <c r="F1597" s="366" t="s">
        <v>1327</v>
      </c>
      <c r="G1597" s="46" t="s">
        <v>208</v>
      </c>
      <c r="H1597" s="46">
        <v>15</v>
      </c>
      <c r="I1597" s="51">
        <v>140.63</v>
      </c>
      <c r="J1597" s="281">
        <f>++Tabla4[[#This Row],[Precio Bruto]]*1.16</f>
        <v>163.13079999999999</v>
      </c>
      <c r="K1597" s="281">
        <f>+Tabla4[[#This Row],[Precio Unitario Neto]]*Tabla4[[#Headers],[20.85%]]</f>
        <v>34.012771799999996</v>
      </c>
      <c r="L1597" s="282">
        <f>++Tabla4[[#This Row],[Precio Unitario Neto]]-Tabla4[[#This Row],[20.85%]]</f>
        <v>129.1180282</v>
      </c>
      <c r="M1597" s="282" t="e">
        <f>(INDEX(Tabla6[#All],MATCH(Tabla4[[#This Row],[Producto]],Tabla6[[#All],[PRODUCTO]],0),MATCH(Tabla4[[#This Row],[Mes]],Tabla6[#Headers],0)))*(1+Catalogos!$L$2)</f>
        <v>#N/A</v>
      </c>
      <c r="N1597" s="283" t="e">
        <f>+(Tabla4[[#This Row],[Precio Descontado]]-Tabla4[[#This Row],[Precio Base]])*Tabla4[[#This Row],[Cantidad]]</f>
        <v>#N/A</v>
      </c>
      <c r="O1597" s="284" t="e">
        <f>++Tabla4[[#This Row],[Utilidad Total]]/Tabla4[[#This Row],[Total]]</f>
        <v>#N/A</v>
      </c>
      <c r="P1597" s="282">
        <f>++Tabla4[[#This Row],[Precio Descontado]]*Tabla4[[#This Row],[Cantidad]]</f>
        <v>1936.7704229999999</v>
      </c>
      <c r="Q1597" s="282" t="e">
        <f>(INDEX(Tabla6[#All],MATCH(Tabla4[[#This Row],[Producto]],Tabla6[[#All],[PRODUCTO]],0),MATCH(Tabla4[[#This Row],[Mes]],Tabla6[#Headers],0)))</f>
        <v>#N/A</v>
      </c>
      <c r="R1597" s="282" t="e">
        <f>++Tabla4[[#This Row],[Precio Unitario Neto]]-Tabla4[[#This Row],[20.85%]]-Tabla4[[#This Row],[Costo]]</f>
        <v>#N/A</v>
      </c>
      <c r="S1597" s="282" t="e">
        <f>++Tabla4[[#This Row],[U. Bruta Uni]]*Tabla4[[#This Row],[Cantidad]]</f>
        <v>#N/A</v>
      </c>
      <c r="T1597" s="369" t="str">
        <f>VLOOKUP(Tabla4[[#This Row],[Producto]],Tabla6[#All],14,FALSE)</f>
        <v>Termico Solar</v>
      </c>
      <c r="U1597" s="284" t="e">
        <f>(IF(Tabla4[[#This Row],[Familia]]="termico solar",Tabla4[[#This Row],[Utilidad Total]]*6%,Tabla4[[#This Row],[Utilidad Total]]*11.5%))/Tabla4[[#This Row],[Total]]</f>
        <v>#N/A</v>
      </c>
      <c r="V1597" s="282" t="e">
        <f>+Tabla4[[#This Row],[Comisión Calculada]]*Tabla4[[#This Row],[Total]]</f>
        <v>#N/A</v>
      </c>
    </row>
    <row r="1598" spans="1:22" hidden="1" x14ac:dyDescent="0.25">
      <c r="A1598" s="100">
        <v>45747</v>
      </c>
      <c r="B1598" t="str">
        <f t="shared" si="76"/>
        <v>March</v>
      </c>
      <c r="C1598" s="46" t="s">
        <v>280</v>
      </c>
      <c r="F1598" s="366" t="s">
        <v>1327</v>
      </c>
      <c r="G1598" s="46" t="s">
        <v>16</v>
      </c>
      <c r="H1598" s="46">
        <v>1</v>
      </c>
      <c r="I1598" s="51">
        <v>4103.8500000000004</v>
      </c>
      <c r="J1598" s="281">
        <f>++Tabla4[[#This Row],[Precio Bruto]]*1.16</f>
        <v>4760.4660000000003</v>
      </c>
      <c r="K1598" s="281">
        <f>+Tabla4[[#This Row],[Precio Unitario Neto]]*Tabla4[[#Headers],[20.85%]]</f>
        <v>992.55716100000006</v>
      </c>
      <c r="L1598" s="282">
        <f>++Tabla4[[#This Row],[Precio Unitario Neto]]-Tabla4[[#This Row],[20.85%]]</f>
        <v>3767.9088390000002</v>
      </c>
      <c r="M1598" s="282" t="e">
        <f>(INDEX(Tabla6[#All],MATCH(Tabla4[[#This Row],[Producto]],Tabla6[[#All],[PRODUCTO]],0),MATCH(Tabla4[[#This Row],[Mes]],Tabla6[#Headers],0)))*(1+Catalogos!$L$2)</f>
        <v>#N/A</v>
      </c>
      <c r="N1598" s="283" t="e">
        <f>+(Tabla4[[#This Row],[Precio Descontado]]-Tabla4[[#This Row],[Precio Base]])*Tabla4[[#This Row],[Cantidad]]</f>
        <v>#N/A</v>
      </c>
      <c r="O1598" s="284" t="e">
        <f>++Tabla4[[#This Row],[Utilidad Total]]/Tabla4[[#This Row],[Total]]</f>
        <v>#N/A</v>
      </c>
      <c r="P1598" s="282">
        <f>++Tabla4[[#This Row],[Precio Descontado]]*Tabla4[[#This Row],[Cantidad]]</f>
        <v>3767.9088390000002</v>
      </c>
      <c r="Q1598" s="282" t="e">
        <f>(INDEX(Tabla6[#All],MATCH(Tabla4[[#This Row],[Producto]],Tabla6[[#All],[PRODUCTO]],0),MATCH(Tabla4[[#This Row],[Mes]],Tabla6[#Headers],0)))</f>
        <v>#N/A</v>
      </c>
      <c r="R1598" s="282" t="e">
        <f>++Tabla4[[#This Row],[Precio Unitario Neto]]-Tabla4[[#This Row],[20.85%]]-Tabla4[[#This Row],[Costo]]</f>
        <v>#N/A</v>
      </c>
      <c r="S1598" s="282" t="e">
        <f>++Tabla4[[#This Row],[U. Bruta Uni]]*Tabla4[[#This Row],[Cantidad]]</f>
        <v>#N/A</v>
      </c>
      <c r="T1598" s="369" t="str">
        <f>VLOOKUP(Tabla4[[#This Row],[Producto]],Tabla6[#All],14,FALSE)</f>
        <v>Termico Solar</v>
      </c>
      <c r="U1598" s="284" t="e">
        <f>(IF(Tabla4[[#This Row],[Familia]]="termico solar",Tabla4[[#This Row],[Utilidad Total]]*6%,Tabla4[[#This Row],[Utilidad Total]]*11.5%))/Tabla4[[#This Row],[Total]]</f>
        <v>#N/A</v>
      </c>
      <c r="V1598" s="282" t="e">
        <f>+Tabla4[[#This Row],[Comisión Calculada]]*Tabla4[[#This Row],[Total]]</f>
        <v>#N/A</v>
      </c>
    </row>
    <row r="1599" spans="1:22" hidden="1" x14ac:dyDescent="0.25">
      <c r="A1599" s="100">
        <v>45747</v>
      </c>
      <c r="B1599" t="str">
        <f t="shared" si="76"/>
        <v>March</v>
      </c>
      <c r="C1599" s="46" t="s">
        <v>280</v>
      </c>
      <c r="F1599" s="366" t="s">
        <v>1328</v>
      </c>
      <c r="G1599" s="46" t="s">
        <v>83</v>
      </c>
      <c r="H1599" s="46">
        <v>2</v>
      </c>
      <c r="I1599" s="51">
        <v>8858.76</v>
      </c>
      <c r="J1599" s="281">
        <f>++Tabla4[[#This Row],[Precio Bruto]]*1.16</f>
        <v>10276.161599999999</v>
      </c>
      <c r="K1599" s="281">
        <f>+Tabla4[[#This Row],[Precio Unitario Neto]]*Tabla4[[#Headers],[20.85%]]</f>
        <v>2142.5796935999997</v>
      </c>
      <c r="L1599" s="282">
        <f>++Tabla4[[#This Row],[Precio Unitario Neto]]-Tabla4[[#This Row],[20.85%]]</f>
        <v>8133.5819063999998</v>
      </c>
      <c r="M1599" s="282" t="e">
        <f>(INDEX(Tabla6[#All],MATCH(Tabla4[[#This Row],[Producto]],Tabla6[[#All],[PRODUCTO]],0),MATCH(Tabla4[[#This Row],[Mes]],Tabla6[#Headers],0)))*(1+Catalogos!$L$2)</f>
        <v>#N/A</v>
      </c>
      <c r="N1599" s="283" t="e">
        <f>+(Tabla4[[#This Row],[Precio Descontado]]-Tabla4[[#This Row],[Precio Base]])*Tabla4[[#This Row],[Cantidad]]</f>
        <v>#N/A</v>
      </c>
      <c r="O1599" s="284" t="e">
        <f>++Tabla4[[#This Row],[Utilidad Total]]/Tabla4[[#This Row],[Total]]</f>
        <v>#N/A</v>
      </c>
      <c r="P1599" s="282">
        <f>++Tabla4[[#This Row],[Precio Descontado]]*Tabla4[[#This Row],[Cantidad]]</f>
        <v>16267.1638128</v>
      </c>
      <c r="Q1599" s="282" t="e">
        <f>(INDEX(Tabla6[#All],MATCH(Tabla4[[#This Row],[Producto]],Tabla6[[#All],[PRODUCTO]],0),MATCH(Tabla4[[#This Row],[Mes]],Tabla6[#Headers],0)))</f>
        <v>#N/A</v>
      </c>
      <c r="R1599" s="282" t="e">
        <f>++Tabla4[[#This Row],[Precio Unitario Neto]]-Tabla4[[#This Row],[20.85%]]-Tabla4[[#This Row],[Costo]]</f>
        <v>#N/A</v>
      </c>
      <c r="S1599" s="282" t="e">
        <f>++Tabla4[[#This Row],[U. Bruta Uni]]*Tabla4[[#This Row],[Cantidad]]</f>
        <v>#N/A</v>
      </c>
      <c r="T1599" s="369" t="str">
        <f>VLOOKUP(Tabla4[[#This Row],[Producto]],Tabla6[#All],14,FALSE)</f>
        <v>Termico Solar</v>
      </c>
      <c r="U1599" s="284" t="e">
        <f>(IF(Tabla4[[#This Row],[Familia]]="termico solar",Tabla4[[#This Row],[Utilidad Total]]*6%,Tabla4[[#This Row],[Utilidad Total]]*11.5%))/Tabla4[[#This Row],[Total]]</f>
        <v>#N/A</v>
      </c>
      <c r="V1599" s="282" t="e">
        <f>+Tabla4[[#This Row],[Comisión Calculada]]*Tabla4[[#This Row],[Total]]</f>
        <v>#N/A</v>
      </c>
    </row>
    <row r="1600" spans="1:22" hidden="1" x14ac:dyDescent="0.25">
      <c r="A1600" s="100">
        <v>45747</v>
      </c>
      <c r="B1600" t="str">
        <f t="shared" si="76"/>
        <v>March</v>
      </c>
      <c r="C1600" s="46" t="s">
        <v>280</v>
      </c>
      <c r="F1600" s="366" t="s">
        <v>1328</v>
      </c>
      <c r="G1600" s="46" t="s">
        <v>17</v>
      </c>
      <c r="H1600" s="46">
        <v>4</v>
      </c>
      <c r="I1600" s="51">
        <v>4622.28</v>
      </c>
      <c r="J1600" s="281">
        <f>++Tabla4[[#This Row],[Precio Bruto]]*1.16</f>
        <v>5361.8447999999989</v>
      </c>
      <c r="K1600" s="281">
        <f>+Tabla4[[#This Row],[Precio Unitario Neto]]*Tabla4[[#Headers],[20.85%]]</f>
        <v>1117.9446407999997</v>
      </c>
      <c r="L1600" s="282">
        <f>++Tabla4[[#This Row],[Precio Unitario Neto]]-Tabla4[[#This Row],[20.85%]]</f>
        <v>4243.9001591999995</v>
      </c>
      <c r="M1600" s="282" t="e">
        <f>(INDEX(Tabla6[#All],MATCH(Tabla4[[#This Row],[Producto]],Tabla6[[#All],[PRODUCTO]],0),MATCH(Tabla4[[#This Row],[Mes]],Tabla6[#Headers],0)))*(1+Catalogos!$L$2)</f>
        <v>#N/A</v>
      </c>
      <c r="N1600" s="283" t="e">
        <f>+(Tabla4[[#This Row],[Precio Descontado]]-Tabla4[[#This Row],[Precio Base]])*Tabla4[[#This Row],[Cantidad]]</f>
        <v>#N/A</v>
      </c>
      <c r="O1600" s="284" t="e">
        <f>++Tabla4[[#This Row],[Utilidad Total]]/Tabla4[[#This Row],[Total]]</f>
        <v>#N/A</v>
      </c>
      <c r="P1600" s="282">
        <f>++Tabla4[[#This Row],[Precio Descontado]]*Tabla4[[#This Row],[Cantidad]]</f>
        <v>16975.600636799998</v>
      </c>
      <c r="Q1600" s="282" t="e">
        <f>(INDEX(Tabla6[#All],MATCH(Tabla4[[#This Row],[Producto]],Tabla6[[#All],[PRODUCTO]],0),MATCH(Tabla4[[#This Row],[Mes]],Tabla6[#Headers],0)))</f>
        <v>#N/A</v>
      </c>
      <c r="R1600" s="282" t="e">
        <f>++Tabla4[[#This Row],[Precio Unitario Neto]]-Tabla4[[#This Row],[20.85%]]-Tabla4[[#This Row],[Costo]]</f>
        <v>#N/A</v>
      </c>
      <c r="S1600" s="282" t="e">
        <f>++Tabla4[[#This Row],[U. Bruta Uni]]*Tabla4[[#This Row],[Cantidad]]</f>
        <v>#N/A</v>
      </c>
      <c r="T1600" s="369" t="str">
        <f>VLOOKUP(Tabla4[[#This Row],[Producto]],Tabla6[#All],14,FALSE)</f>
        <v>Termico Solar</v>
      </c>
      <c r="U1600" s="284" t="e">
        <f>(IF(Tabla4[[#This Row],[Familia]]="termico solar",Tabla4[[#This Row],[Utilidad Total]]*6%,Tabla4[[#This Row],[Utilidad Total]]*11.5%))/Tabla4[[#This Row],[Total]]</f>
        <v>#N/A</v>
      </c>
      <c r="V1600" s="282" t="e">
        <f>+Tabla4[[#This Row],[Comisión Calculada]]*Tabla4[[#This Row],[Total]]</f>
        <v>#N/A</v>
      </c>
    </row>
    <row r="1601" spans="1:22" hidden="1" x14ac:dyDescent="0.25">
      <c r="A1601" s="100">
        <v>45747</v>
      </c>
      <c r="B1601" t="str">
        <f t="shared" si="76"/>
        <v>March</v>
      </c>
      <c r="C1601" s="46" t="s">
        <v>280</v>
      </c>
      <c r="F1601" s="366" t="s">
        <v>1328</v>
      </c>
      <c r="G1601" s="46" t="s">
        <v>18</v>
      </c>
      <c r="H1601" s="46">
        <v>1</v>
      </c>
      <c r="I1601" s="51">
        <v>5367.65</v>
      </c>
      <c r="J1601" s="281">
        <f>++Tabla4[[#This Row],[Precio Bruto]]*1.16</f>
        <v>6226.4739999999993</v>
      </c>
      <c r="K1601" s="281">
        <f>+Tabla4[[#This Row],[Precio Unitario Neto]]*Tabla4[[#Headers],[20.85%]]</f>
        <v>1298.2198289999999</v>
      </c>
      <c r="L1601" s="282">
        <f>++Tabla4[[#This Row],[Precio Unitario Neto]]-Tabla4[[#This Row],[20.85%]]</f>
        <v>4928.2541709999996</v>
      </c>
      <c r="M1601" s="282" t="e">
        <f>(INDEX(Tabla6[#All],MATCH(Tabla4[[#This Row],[Producto]],Tabla6[[#All],[PRODUCTO]],0),MATCH(Tabla4[[#This Row],[Mes]],Tabla6[#Headers],0)))*(1+Catalogos!$L$2)</f>
        <v>#N/A</v>
      </c>
      <c r="N1601" s="283" t="e">
        <f>+(Tabla4[[#This Row],[Precio Descontado]]-Tabla4[[#This Row],[Precio Base]])*Tabla4[[#This Row],[Cantidad]]</f>
        <v>#N/A</v>
      </c>
      <c r="O1601" s="284" t="e">
        <f>++Tabla4[[#This Row],[Utilidad Total]]/Tabla4[[#This Row],[Total]]</f>
        <v>#N/A</v>
      </c>
      <c r="P1601" s="282">
        <f>++Tabla4[[#This Row],[Precio Descontado]]*Tabla4[[#This Row],[Cantidad]]</f>
        <v>4928.2541709999996</v>
      </c>
      <c r="Q1601" s="282" t="e">
        <f>(INDEX(Tabla6[#All],MATCH(Tabla4[[#This Row],[Producto]],Tabla6[[#All],[PRODUCTO]],0),MATCH(Tabla4[[#This Row],[Mes]],Tabla6[#Headers],0)))</f>
        <v>#N/A</v>
      </c>
      <c r="R1601" s="282" t="e">
        <f>++Tabla4[[#This Row],[Precio Unitario Neto]]-Tabla4[[#This Row],[20.85%]]-Tabla4[[#This Row],[Costo]]</f>
        <v>#N/A</v>
      </c>
      <c r="S1601" s="282" t="e">
        <f>++Tabla4[[#This Row],[U. Bruta Uni]]*Tabla4[[#This Row],[Cantidad]]</f>
        <v>#N/A</v>
      </c>
      <c r="T1601" s="369" t="str">
        <f>VLOOKUP(Tabla4[[#This Row],[Producto]],Tabla6[#All],14,FALSE)</f>
        <v>Termico Solar</v>
      </c>
      <c r="U1601" s="284" t="e">
        <f>(IF(Tabla4[[#This Row],[Familia]]="termico solar",Tabla4[[#This Row],[Utilidad Total]]*6%,Tabla4[[#This Row],[Utilidad Total]]*11.5%))/Tabla4[[#This Row],[Total]]</f>
        <v>#N/A</v>
      </c>
      <c r="V1601" s="282" t="e">
        <f>+Tabla4[[#This Row],[Comisión Calculada]]*Tabla4[[#This Row],[Total]]</f>
        <v>#N/A</v>
      </c>
    </row>
    <row r="1602" spans="1:22" hidden="1" x14ac:dyDescent="0.25">
      <c r="A1602" s="100">
        <v>45747</v>
      </c>
      <c r="B1602" t="str">
        <f t="shared" si="76"/>
        <v>March</v>
      </c>
      <c r="C1602" s="46" t="s">
        <v>280</v>
      </c>
      <c r="F1602" s="366" t="s">
        <v>1329</v>
      </c>
      <c r="G1602" s="46" t="s">
        <v>16</v>
      </c>
      <c r="H1602" s="46">
        <v>2</v>
      </c>
      <c r="I1602" s="51">
        <v>4103.8500000000004</v>
      </c>
      <c r="J1602" s="281">
        <f>++Tabla4[[#This Row],[Precio Bruto]]*1.16</f>
        <v>4760.4660000000003</v>
      </c>
      <c r="K1602" s="281">
        <f>+Tabla4[[#This Row],[Precio Unitario Neto]]*Tabla4[[#Headers],[20.85%]]</f>
        <v>992.55716100000006</v>
      </c>
      <c r="L1602" s="282">
        <f>++Tabla4[[#This Row],[Precio Unitario Neto]]-Tabla4[[#This Row],[20.85%]]</f>
        <v>3767.9088390000002</v>
      </c>
      <c r="M1602" s="282" t="e">
        <f>(INDEX(Tabla6[#All],MATCH(Tabla4[[#This Row],[Producto]],Tabla6[[#All],[PRODUCTO]],0),MATCH(Tabla4[[#This Row],[Mes]],Tabla6[#Headers],0)))*(1+Catalogos!$L$2)</f>
        <v>#N/A</v>
      </c>
      <c r="N1602" s="283" t="e">
        <f>+(Tabla4[[#This Row],[Precio Descontado]]-Tabla4[[#This Row],[Precio Base]])*Tabla4[[#This Row],[Cantidad]]</f>
        <v>#N/A</v>
      </c>
      <c r="O1602" s="284" t="e">
        <f>++Tabla4[[#This Row],[Utilidad Total]]/Tabla4[[#This Row],[Total]]</f>
        <v>#N/A</v>
      </c>
      <c r="P1602" s="282">
        <f>++Tabla4[[#This Row],[Precio Descontado]]*Tabla4[[#This Row],[Cantidad]]</f>
        <v>7535.8176780000003</v>
      </c>
      <c r="Q1602" s="282" t="e">
        <f>(INDEX(Tabla6[#All],MATCH(Tabla4[[#This Row],[Producto]],Tabla6[[#All],[PRODUCTO]],0),MATCH(Tabla4[[#This Row],[Mes]],Tabla6[#Headers],0)))</f>
        <v>#N/A</v>
      </c>
      <c r="R1602" s="282" t="e">
        <f>++Tabla4[[#This Row],[Precio Unitario Neto]]-Tabla4[[#This Row],[20.85%]]-Tabla4[[#This Row],[Costo]]</f>
        <v>#N/A</v>
      </c>
      <c r="S1602" s="282" t="e">
        <f>++Tabla4[[#This Row],[U. Bruta Uni]]*Tabla4[[#This Row],[Cantidad]]</f>
        <v>#N/A</v>
      </c>
      <c r="T1602" s="369" t="str">
        <f>VLOOKUP(Tabla4[[#This Row],[Producto]],Tabla6[#All],14,FALSE)</f>
        <v>Termico Solar</v>
      </c>
      <c r="U1602" s="284" t="e">
        <f>(IF(Tabla4[[#This Row],[Familia]]="termico solar",Tabla4[[#This Row],[Utilidad Total]]*6%,Tabla4[[#This Row],[Utilidad Total]]*11.5%))/Tabla4[[#This Row],[Total]]</f>
        <v>#N/A</v>
      </c>
      <c r="V1602" s="282" t="e">
        <f>+Tabla4[[#This Row],[Comisión Calculada]]*Tabla4[[#This Row],[Total]]</f>
        <v>#N/A</v>
      </c>
    </row>
    <row r="1603" spans="1:22" hidden="1" x14ac:dyDescent="0.25">
      <c r="A1603" s="100">
        <v>45747</v>
      </c>
      <c r="B1603" t="str">
        <f t="shared" ref="B1603:B1608" si="77">TEXT(A1603, "mmmm")</f>
        <v>March</v>
      </c>
      <c r="C1603" s="46" t="s">
        <v>280</v>
      </c>
      <c r="F1603" s="366" t="s">
        <v>1330</v>
      </c>
      <c r="G1603" s="46" t="s">
        <v>83</v>
      </c>
      <c r="H1603" s="46">
        <v>5</v>
      </c>
      <c r="I1603" s="51">
        <v>8858.76</v>
      </c>
      <c r="J1603" s="281">
        <f>++Tabla4[[#This Row],[Precio Bruto]]*1.16</f>
        <v>10276.161599999999</v>
      </c>
      <c r="K1603" s="281">
        <f>+Tabla4[[#This Row],[Precio Unitario Neto]]*Tabla4[[#Headers],[20.85%]]</f>
        <v>2142.5796935999997</v>
      </c>
      <c r="L1603" s="282">
        <f>++Tabla4[[#This Row],[Precio Unitario Neto]]-Tabla4[[#This Row],[20.85%]]</f>
        <v>8133.5819063999998</v>
      </c>
      <c r="M1603" s="282" t="e">
        <f>(INDEX(Tabla6[#All],MATCH(Tabla4[[#This Row],[Producto]],Tabla6[[#All],[PRODUCTO]],0),MATCH(Tabla4[[#This Row],[Mes]],Tabla6[#Headers],0)))*(1+Catalogos!$L$2)</f>
        <v>#N/A</v>
      </c>
      <c r="N1603" s="283" t="e">
        <f>+(Tabla4[[#This Row],[Precio Descontado]]-Tabla4[[#This Row],[Precio Base]])*Tabla4[[#This Row],[Cantidad]]</f>
        <v>#N/A</v>
      </c>
      <c r="O1603" s="284" t="e">
        <f>++Tabla4[[#This Row],[Utilidad Total]]/Tabla4[[#This Row],[Total]]</f>
        <v>#N/A</v>
      </c>
      <c r="P1603" s="282">
        <f>++Tabla4[[#This Row],[Precio Descontado]]*Tabla4[[#This Row],[Cantidad]]</f>
        <v>40667.909531999998</v>
      </c>
      <c r="Q1603" s="282" t="e">
        <f>(INDEX(Tabla6[#All],MATCH(Tabla4[[#This Row],[Producto]],Tabla6[[#All],[PRODUCTO]],0),MATCH(Tabla4[[#This Row],[Mes]],Tabla6[#Headers],0)))</f>
        <v>#N/A</v>
      </c>
      <c r="R1603" s="282" t="e">
        <f>++Tabla4[[#This Row],[Precio Unitario Neto]]-Tabla4[[#This Row],[20.85%]]-Tabla4[[#This Row],[Costo]]</f>
        <v>#N/A</v>
      </c>
      <c r="S1603" s="282" t="e">
        <f>++Tabla4[[#This Row],[U. Bruta Uni]]*Tabla4[[#This Row],[Cantidad]]</f>
        <v>#N/A</v>
      </c>
      <c r="T1603" s="369" t="str">
        <f>VLOOKUP(Tabla4[[#This Row],[Producto]],Tabla6[#All],14,FALSE)</f>
        <v>Termico Solar</v>
      </c>
      <c r="U1603" s="284" t="e">
        <f>(IF(Tabla4[[#This Row],[Familia]]="termico solar",Tabla4[[#This Row],[Utilidad Total]]*6%,Tabla4[[#This Row],[Utilidad Total]]*11.5%))/Tabla4[[#This Row],[Total]]</f>
        <v>#N/A</v>
      </c>
      <c r="V1603" s="282" t="e">
        <f>+Tabla4[[#This Row],[Comisión Calculada]]*Tabla4[[#This Row],[Total]]</f>
        <v>#N/A</v>
      </c>
    </row>
    <row r="1604" spans="1:22" hidden="1" x14ac:dyDescent="0.25">
      <c r="A1604" s="100">
        <v>45747</v>
      </c>
      <c r="B1604" t="str">
        <f t="shared" si="77"/>
        <v>March</v>
      </c>
      <c r="C1604" s="46" t="s">
        <v>280</v>
      </c>
      <c r="F1604" s="366" t="s">
        <v>1330</v>
      </c>
      <c r="G1604" s="46" t="s">
        <v>18</v>
      </c>
      <c r="H1604" s="46">
        <v>1</v>
      </c>
      <c r="I1604" s="51">
        <v>5367.65</v>
      </c>
      <c r="J1604" s="281">
        <f>++Tabla4[[#This Row],[Precio Bruto]]*1.16</f>
        <v>6226.4739999999993</v>
      </c>
      <c r="K1604" s="281">
        <f>+Tabla4[[#This Row],[Precio Unitario Neto]]*Tabla4[[#Headers],[20.85%]]</f>
        <v>1298.2198289999999</v>
      </c>
      <c r="L1604" s="282">
        <f>++Tabla4[[#This Row],[Precio Unitario Neto]]-Tabla4[[#This Row],[20.85%]]</f>
        <v>4928.2541709999996</v>
      </c>
      <c r="M1604" s="282" t="e">
        <f>(INDEX(Tabla6[#All],MATCH(Tabla4[[#This Row],[Producto]],Tabla6[[#All],[PRODUCTO]],0),MATCH(Tabla4[[#This Row],[Mes]],Tabla6[#Headers],0)))*(1+Catalogos!$L$2)</f>
        <v>#N/A</v>
      </c>
      <c r="N1604" s="283" t="e">
        <f>+(Tabla4[[#This Row],[Precio Descontado]]-Tabla4[[#This Row],[Precio Base]])*Tabla4[[#This Row],[Cantidad]]</f>
        <v>#N/A</v>
      </c>
      <c r="O1604" s="284" t="e">
        <f>++Tabla4[[#This Row],[Utilidad Total]]/Tabla4[[#This Row],[Total]]</f>
        <v>#N/A</v>
      </c>
      <c r="P1604" s="282">
        <f>++Tabla4[[#This Row],[Precio Descontado]]*Tabla4[[#This Row],[Cantidad]]</f>
        <v>4928.2541709999996</v>
      </c>
      <c r="Q1604" s="282" t="e">
        <f>(INDEX(Tabla6[#All],MATCH(Tabla4[[#This Row],[Producto]],Tabla6[[#All],[PRODUCTO]],0),MATCH(Tabla4[[#This Row],[Mes]],Tabla6[#Headers],0)))</f>
        <v>#N/A</v>
      </c>
      <c r="R1604" s="282" t="e">
        <f>++Tabla4[[#This Row],[Precio Unitario Neto]]-Tabla4[[#This Row],[20.85%]]-Tabla4[[#This Row],[Costo]]</f>
        <v>#N/A</v>
      </c>
      <c r="S1604" s="282" t="e">
        <f>++Tabla4[[#This Row],[U. Bruta Uni]]*Tabla4[[#This Row],[Cantidad]]</f>
        <v>#N/A</v>
      </c>
      <c r="T1604" s="369" t="str">
        <f>VLOOKUP(Tabla4[[#This Row],[Producto]],Tabla6[#All],14,FALSE)</f>
        <v>Termico Solar</v>
      </c>
      <c r="U1604" s="284" t="e">
        <f>(IF(Tabla4[[#This Row],[Familia]]="termico solar",Tabla4[[#This Row],[Utilidad Total]]*6%,Tabla4[[#This Row],[Utilidad Total]]*11.5%))/Tabla4[[#This Row],[Total]]</f>
        <v>#N/A</v>
      </c>
      <c r="V1604" s="282" t="e">
        <f>+Tabla4[[#This Row],[Comisión Calculada]]*Tabla4[[#This Row],[Total]]</f>
        <v>#N/A</v>
      </c>
    </row>
    <row r="1605" spans="1:22" hidden="1" x14ac:dyDescent="0.25">
      <c r="A1605" s="100">
        <v>45747</v>
      </c>
      <c r="B1605" t="str">
        <f t="shared" si="77"/>
        <v>March</v>
      </c>
      <c r="C1605" s="46" t="s">
        <v>280</v>
      </c>
      <c r="F1605" s="366" t="s">
        <v>1330</v>
      </c>
      <c r="G1605" s="46" t="s">
        <v>208</v>
      </c>
      <c r="H1605" s="46">
        <v>15</v>
      </c>
      <c r="I1605" s="51">
        <v>140.63</v>
      </c>
      <c r="J1605" s="281">
        <f>++Tabla4[[#This Row],[Precio Bruto]]*1.16</f>
        <v>163.13079999999999</v>
      </c>
      <c r="K1605" s="281">
        <f>+Tabla4[[#This Row],[Precio Unitario Neto]]*Tabla4[[#Headers],[20.85%]]</f>
        <v>34.012771799999996</v>
      </c>
      <c r="L1605" s="282">
        <f>++Tabla4[[#This Row],[Precio Unitario Neto]]-Tabla4[[#This Row],[20.85%]]</f>
        <v>129.1180282</v>
      </c>
      <c r="M1605" s="282" t="e">
        <f>(INDEX(Tabla6[#All],MATCH(Tabla4[[#This Row],[Producto]],Tabla6[[#All],[PRODUCTO]],0),MATCH(Tabla4[[#This Row],[Mes]],Tabla6[#Headers],0)))*(1+Catalogos!$L$2)</f>
        <v>#N/A</v>
      </c>
      <c r="N1605" s="283" t="e">
        <f>+(Tabla4[[#This Row],[Precio Descontado]]-Tabla4[[#This Row],[Precio Base]])*Tabla4[[#This Row],[Cantidad]]</f>
        <v>#N/A</v>
      </c>
      <c r="O1605" s="284" t="e">
        <f>++Tabla4[[#This Row],[Utilidad Total]]/Tabla4[[#This Row],[Total]]</f>
        <v>#N/A</v>
      </c>
      <c r="P1605" s="282">
        <f>++Tabla4[[#This Row],[Precio Descontado]]*Tabla4[[#This Row],[Cantidad]]</f>
        <v>1936.7704229999999</v>
      </c>
      <c r="Q1605" s="282" t="e">
        <f>(INDEX(Tabla6[#All],MATCH(Tabla4[[#This Row],[Producto]],Tabla6[[#All],[PRODUCTO]],0),MATCH(Tabla4[[#This Row],[Mes]],Tabla6[#Headers],0)))</f>
        <v>#N/A</v>
      </c>
      <c r="R1605" s="282" t="e">
        <f>++Tabla4[[#This Row],[Precio Unitario Neto]]-Tabla4[[#This Row],[20.85%]]-Tabla4[[#This Row],[Costo]]</f>
        <v>#N/A</v>
      </c>
      <c r="S1605" s="282" t="e">
        <f>++Tabla4[[#This Row],[U. Bruta Uni]]*Tabla4[[#This Row],[Cantidad]]</f>
        <v>#N/A</v>
      </c>
      <c r="T1605" s="369" t="str">
        <f>VLOOKUP(Tabla4[[#This Row],[Producto]],Tabla6[#All],14,FALSE)</f>
        <v>Termico Solar</v>
      </c>
      <c r="U1605" s="284" t="e">
        <f>(IF(Tabla4[[#This Row],[Familia]]="termico solar",Tabla4[[#This Row],[Utilidad Total]]*6%,Tabla4[[#This Row],[Utilidad Total]]*11.5%))/Tabla4[[#This Row],[Total]]</f>
        <v>#N/A</v>
      </c>
      <c r="V1605" s="282" t="e">
        <f>+Tabla4[[#This Row],[Comisión Calculada]]*Tabla4[[#This Row],[Total]]</f>
        <v>#N/A</v>
      </c>
    </row>
    <row r="1606" spans="1:22" hidden="1" x14ac:dyDescent="0.25">
      <c r="A1606" s="100">
        <v>45747</v>
      </c>
      <c r="B1606" t="str">
        <f t="shared" si="77"/>
        <v>March</v>
      </c>
      <c r="C1606" s="46" t="s">
        <v>280</v>
      </c>
      <c r="F1606" s="366" t="s">
        <v>1330</v>
      </c>
      <c r="G1606" s="46" t="s">
        <v>394</v>
      </c>
      <c r="H1606" s="46">
        <v>16</v>
      </c>
      <c r="I1606" s="51">
        <v>224.29</v>
      </c>
      <c r="J1606" s="281">
        <f>++Tabla4[[#This Row],[Precio Bruto]]*1.16</f>
        <v>260.1764</v>
      </c>
      <c r="K1606" s="281">
        <f>+Tabla4[[#This Row],[Precio Unitario Neto]]*Tabla4[[#Headers],[20.85%]]</f>
        <v>54.246779400000001</v>
      </c>
      <c r="L1606" s="282">
        <f>++Tabla4[[#This Row],[Precio Unitario Neto]]-Tabla4[[#This Row],[20.85%]]</f>
        <v>205.92962059999999</v>
      </c>
      <c r="M1606" s="282" t="e">
        <f>(INDEX(Tabla6[#All],MATCH(Tabla4[[#This Row],[Producto]],Tabla6[[#All],[PRODUCTO]],0),MATCH(Tabla4[[#This Row],[Mes]],Tabla6[#Headers],0)))*(1+Catalogos!$L$2)</f>
        <v>#N/A</v>
      </c>
      <c r="N1606" s="283" t="e">
        <f>+(Tabla4[[#This Row],[Precio Descontado]]-Tabla4[[#This Row],[Precio Base]])*Tabla4[[#This Row],[Cantidad]]</f>
        <v>#N/A</v>
      </c>
      <c r="O1606" s="284" t="e">
        <f>++Tabla4[[#This Row],[Utilidad Total]]/Tabla4[[#This Row],[Total]]</f>
        <v>#N/A</v>
      </c>
      <c r="P1606" s="282">
        <f>++Tabla4[[#This Row],[Precio Descontado]]*Tabla4[[#This Row],[Cantidad]]</f>
        <v>3294.8739295999999</v>
      </c>
      <c r="Q1606" s="282" t="e">
        <f>(INDEX(Tabla6[#All],MATCH(Tabla4[[#This Row],[Producto]],Tabla6[[#All],[PRODUCTO]],0),MATCH(Tabla4[[#This Row],[Mes]],Tabla6[#Headers],0)))</f>
        <v>#N/A</v>
      </c>
      <c r="R1606" s="282" t="e">
        <f>++Tabla4[[#This Row],[Precio Unitario Neto]]-Tabla4[[#This Row],[20.85%]]-Tabla4[[#This Row],[Costo]]</f>
        <v>#N/A</v>
      </c>
      <c r="S1606" s="282" t="e">
        <f>++Tabla4[[#This Row],[U. Bruta Uni]]*Tabla4[[#This Row],[Cantidad]]</f>
        <v>#N/A</v>
      </c>
      <c r="T1606" s="369" t="str">
        <f>VLOOKUP(Tabla4[[#This Row],[Producto]],Tabla6[#All],14,FALSE)</f>
        <v>Termico Solar</v>
      </c>
      <c r="U1606" s="284" t="e">
        <f>(IF(Tabla4[[#This Row],[Familia]]="termico solar",Tabla4[[#This Row],[Utilidad Total]]*6%,Tabla4[[#This Row],[Utilidad Total]]*11.5%))/Tabla4[[#This Row],[Total]]</f>
        <v>#N/A</v>
      </c>
      <c r="V1606" s="282" t="e">
        <f>+Tabla4[[#This Row],[Comisión Calculada]]*Tabla4[[#This Row],[Total]]</f>
        <v>#N/A</v>
      </c>
    </row>
    <row r="1607" spans="1:22" hidden="1" x14ac:dyDescent="0.25">
      <c r="A1607" s="100">
        <v>45747</v>
      </c>
      <c r="B1607" t="str">
        <f t="shared" si="77"/>
        <v>March</v>
      </c>
      <c r="C1607" s="46" t="s">
        <v>280</v>
      </c>
      <c r="F1607" s="366" t="s">
        <v>1330</v>
      </c>
      <c r="G1607" s="46" t="s">
        <v>555</v>
      </c>
      <c r="H1607" s="46">
        <v>8</v>
      </c>
      <c r="I1607" s="51">
        <v>389.47</v>
      </c>
      <c r="J1607" s="281">
        <f>++Tabla4[[#This Row],[Precio Bruto]]*1.16</f>
        <v>451.78519999999997</v>
      </c>
      <c r="K1607" s="281">
        <f>+Tabla4[[#This Row],[Precio Unitario Neto]]*Tabla4[[#Headers],[20.85%]]</f>
        <v>94.197214199999991</v>
      </c>
      <c r="L1607" s="282">
        <f>++Tabla4[[#This Row],[Precio Unitario Neto]]-Tabla4[[#This Row],[20.85%]]</f>
        <v>357.58798579999996</v>
      </c>
      <c r="M1607" s="282" t="e">
        <f>(INDEX(Tabla6[#All],MATCH(Tabla4[[#This Row],[Producto]],Tabla6[[#All],[PRODUCTO]],0),MATCH(Tabla4[[#This Row],[Mes]],Tabla6[#Headers],0)))*(1+Catalogos!$L$2)</f>
        <v>#N/A</v>
      </c>
      <c r="N1607" s="283" t="e">
        <f>+(Tabla4[[#This Row],[Precio Descontado]]-Tabla4[[#This Row],[Precio Base]])*Tabla4[[#This Row],[Cantidad]]</f>
        <v>#N/A</v>
      </c>
      <c r="O1607" s="284" t="e">
        <f>++Tabla4[[#This Row],[Utilidad Total]]/Tabla4[[#This Row],[Total]]</f>
        <v>#N/A</v>
      </c>
      <c r="P1607" s="282">
        <f>++Tabla4[[#This Row],[Precio Descontado]]*Tabla4[[#This Row],[Cantidad]]</f>
        <v>2860.7038863999996</v>
      </c>
      <c r="Q1607" s="282" t="e">
        <f>(INDEX(Tabla6[#All],MATCH(Tabla4[[#This Row],[Producto]],Tabla6[[#All],[PRODUCTO]],0),MATCH(Tabla4[[#This Row],[Mes]],Tabla6[#Headers],0)))</f>
        <v>#N/A</v>
      </c>
      <c r="R1607" s="282" t="e">
        <f>++Tabla4[[#This Row],[Precio Unitario Neto]]-Tabla4[[#This Row],[20.85%]]-Tabla4[[#This Row],[Costo]]</f>
        <v>#N/A</v>
      </c>
      <c r="S1607" s="282" t="e">
        <f>++Tabla4[[#This Row],[U. Bruta Uni]]*Tabla4[[#This Row],[Cantidad]]</f>
        <v>#N/A</v>
      </c>
      <c r="T1607" s="369" t="str">
        <f>VLOOKUP(Tabla4[[#This Row],[Producto]],Tabla6[#All],14,FALSE)</f>
        <v>Termico Solar</v>
      </c>
      <c r="U1607" s="284" t="e">
        <f>(IF(Tabla4[[#This Row],[Familia]]="termico solar",Tabla4[[#This Row],[Utilidad Total]]*6%,Tabla4[[#This Row],[Utilidad Total]]*11.5%))/Tabla4[[#This Row],[Total]]</f>
        <v>#N/A</v>
      </c>
      <c r="V1607" s="282" t="e">
        <f>+Tabla4[[#This Row],[Comisión Calculada]]*Tabla4[[#This Row],[Total]]</f>
        <v>#N/A</v>
      </c>
    </row>
    <row r="1608" spans="1:22" hidden="1" x14ac:dyDescent="0.25">
      <c r="A1608" s="100">
        <v>45747</v>
      </c>
      <c r="B1608" t="str">
        <f t="shared" si="77"/>
        <v>March</v>
      </c>
      <c r="C1608" s="46" t="s">
        <v>280</v>
      </c>
      <c r="F1608" s="366" t="s">
        <v>1330</v>
      </c>
      <c r="G1608" s="46" t="s">
        <v>208</v>
      </c>
      <c r="H1608" s="46">
        <v>2</v>
      </c>
      <c r="I1608" s="51">
        <v>189.75</v>
      </c>
      <c r="J1608" s="281">
        <f>++Tabla4[[#This Row],[Precio Bruto]]*1.16</f>
        <v>220.10999999999999</v>
      </c>
      <c r="K1608" s="281">
        <f>+Tabla4[[#This Row],[Precio Unitario Neto]]*Tabla4[[#Headers],[20.85%]]</f>
        <v>45.892934999999994</v>
      </c>
      <c r="L1608" s="282">
        <f>++Tabla4[[#This Row],[Precio Unitario Neto]]-Tabla4[[#This Row],[20.85%]]</f>
        <v>174.21706499999999</v>
      </c>
      <c r="M1608" s="282" t="e">
        <f>(INDEX(Tabla6[#All],MATCH(Tabla4[[#This Row],[Producto]],Tabla6[[#All],[PRODUCTO]],0),MATCH(Tabla4[[#This Row],[Mes]],Tabla6[#Headers],0)))*(1+Catalogos!$L$2)</f>
        <v>#N/A</v>
      </c>
      <c r="N1608" s="283" t="e">
        <f>+(Tabla4[[#This Row],[Precio Descontado]]-Tabla4[[#This Row],[Precio Base]])*Tabla4[[#This Row],[Cantidad]]</f>
        <v>#N/A</v>
      </c>
      <c r="O1608" s="284" t="e">
        <f>++Tabla4[[#This Row],[Utilidad Total]]/Tabla4[[#This Row],[Total]]</f>
        <v>#N/A</v>
      </c>
      <c r="P1608" s="282">
        <f>++Tabla4[[#This Row],[Precio Descontado]]*Tabla4[[#This Row],[Cantidad]]</f>
        <v>348.43412999999998</v>
      </c>
      <c r="Q1608" s="282" t="e">
        <f>(INDEX(Tabla6[#All],MATCH(Tabla4[[#This Row],[Producto]],Tabla6[[#All],[PRODUCTO]],0),MATCH(Tabla4[[#This Row],[Mes]],Tabla6[#Headers],0)))</f>
        <v>#N/A</v>
      </c>
      <c r="R1608" s="282" t="e">
        <f>++Tabla4[[#This Row],[Precio Unitario Neto]]-Tabla4[[#This Row],[20.85%]]-Tabla4[[#This Row],[Costo]]</f>
        <v>#N/A</v>
      </c>
      <c r="S1608" s="282" t="e">
        <f>++Tabla4[[#This Row],[U. Bruta Uni]]*Tabla4[[#This Row],[Cantidad]]</f>
        <v>#N/A</v>
      </c>
      <c r="T1608" s="369" t="str">
        <f>VLOOKUP(Tabla4[[#This Row],[Producto]],Tabla6[#All],14,FALSE)</f>
        <v>Termico Solar</v>
      </c>
      <c r="U1608" s="284" t="e">
        <f>(IF(Tabla4[[#This Row],[Familia]]="termico solar",Tabla4[[#This Row],[Utilidad Total]]*6%,Tabla4[[#This Row],[Utilidad Total]]*11.5%))/Tabla4[[#This Row],[Total]]</f>
        <v>#N/A</v>
      </c>
      <c r="V1608" s="282" t="e">
        <f>+Tabla4[[#This Row],[Comisión Calculada]]*Tabla4[[#This Row],[Total]]</f>
        <v>#N/A</v>
      </c>
    </row>
    <row r="1609" spans="1:22" hidden="1" x14ac:dyDescent="0.25">
      <c r="A1609" s="100">
        <v>45747</v>
      </c>
      <c r="B1609" t="str">
        <f t="shared" ref="B1609:B1614" si="78">TEXT(A1609, "mmmm")</f>
        <v>March</v>
      </c>
      <c r="C1609" s="46" t="s">
        <v>280</v>
      </c>
      <c r="F1609" s="366" t="s">
        <v>1331</v>
      </c>
      <c r="G1609" s="46" t="s">
        <v>83</v>
      </c>
      <c r="H1609" s="46">
        <v>3</v>
      </c>
      <c r="I1609" s="51">
        <v>8858.76</v>
      </c>
      <c r="J1609" s="281">
        <f>++Tabla4[[#This Row],[Precio Bruto]]*1.16</f>
        <v>10276.161599999999</v>
      </c>
      <c r="K1609" s="281">
        <f>+Tabla4[[#This Row],[Precio Unitario Neto]]*Tabla4[[#Headers],[20.85%]]</f>
        <v>2142.5796935999997</v>
      </c>
      <c r="L1609" s="282">
        <f>++Tabla4[[#This Row],[Precio Unitario Neto]]-Tabla4[[#This Row],[20.85%]]</f>
        <v>8133.5819063999998</v>
      </c>
      <c r="M1609" s="282" t="e">
        <f>(INDEX(Tabla6[#All],MATCH(Tabla4[[#This Row],[Producto]],Tabla6[[#All],[PRODUCTO]],0),MATCH(Tabla4[[#This Row],[Mes]],Tabla6[#Headers],0)))*(1+Catalogos!$L$2)</f>
        <v>#N/A</v>
      </c>
      <c r="N1609" s="283" t="e">
        <f>+(Tabla4[[#This Row],[Precio Descontado]]-Tabla4[[#This Row],[Precio Base]])*Tabla4[[#This Row],[Cantidad]]</f>
        <v>#N/A</v>
      </c>
      <c r="O1609" s="284" t="e">
        <f>++Tabla4[[#This Row],[Utilidad Total]]/Tabla4[[#This Row],[Total]]</f>
        <v>#N/A</v>
      </c>
      <c r="P1609" s="282">
        <f>++Tabla4[[#This Row],[Precio Descontado]]*Tabla4[[#This Row],[Cantidad]]</f>
        <v>24400.7457192</v>
      </c>
      <c r="Q1609" s="282" t="e">
        <f>(INDEX(Tabla6[#All],MATCH(Tabla4[[#This Row],[Producto]],Tabla6[[#All],[PRODUCTO]],0),MATCH(Tabla4[[#This Row],[Mes]],Tabla6[#Headers],0)))</f>
        <v>#N/A</v>
      </c>
      <c r="R1609" s="282" t="e">
        <f>++Tabla4[[#This Row],[Precio Unitario Neto]]-Tabla4[[#This Row],[20.85%]]-Tabla4[[#This Row],[Costo]]</f>
        <v>#N/A</v>
      </c>
      <c r="S1609" s="282" t="e">
        <f>++Tabla4[[#This Row],[U. Bruta Uni]]*Tabla4[[#This Row],[Cantidad]]</f>
        <v>#N/A</v>
      </c>
      <c r="T1609" s="369" t="str">
        <f>VLOOKUP(Tabla4[[#This Row],[Producto]],Tabla6[#All],14,FALSE)</f>
        <v>Termico Solar</v>
      </c>
      <c r="U1609" s="284" t="e">
        <f>(IF(Tabla4[[#This Row],[Familia]]="termico solar",Tabla4[[#This Row],[Utilidad Total]]*6%,Tabla4[[#This Row],[Utilidad Total]]*11.5%))/Tabla4[[#This Row],[Total]]</f>
        <v>#N/A</v>
      </c>
      <c r="V1609" s="282" t="e">
        <f>+Tabla4[[#This Row],[Comisión Calculada]]*Tabla4[[#This Row],[Total]]</f>
        <v>#N/A</v>
      </c>
    </row>
    <row r="1610" spans="1:22" hidden="1" x14ac:dyDescent="0.25">
      <c r="A1610" s="100">
        <v>45747</v>
      </c>
      <c r="B1610" t="str">
        <f t="shared" si="78"/>
        <v>March</v>
      </c>
      <c r="C1610" s="46" t="s">
        <v>280</v>
      </c>
      <c r="F1610" s="366" t="s">
        <v>1331</v>
      </c>
      <c r="G1610" s="46" t="s">
        <v>17</v>
      </c>
      <c r="H1610" s="46">
        <v>1</v>
      </c>
      <c r="I1610" s="51">
        <v>4622.28</v>
      </c>
      <c r="J1610" s="281">
        <f>++Tabla4[[#This Row],[Precio Bruto]]*1.16</f>
        <v>5361.8447999999989</v>
      </c>
      <c r="K1610" s="281">
        <f>+Tabla4[[#This Row],[Precio Unitario Neto]]*Tabla4[[#Headers],[20.85%]]</f>
        <v>1117.9446407999997</v>
      </c>
      <c r="L1610" s="282">
        <f>++Tabla4[[#This Row],[Precio Unitario Neto]]-Tabla4[[#This Row],[20.85%]]</f>
        <v>4243.9001591999995</v>
      </c>
      <c r="M1610" s="282" t="e">
        <f>(INDEX(Tabla6[#All],MATCH(Tabla4[[#This Row],[Producto]],Tabla6[[#All],[PRODUCTO]],0),MATCH(Tabla4[[#This Row],[Mes]],Tabla6[#Headers],0)))*(1+Catalogos!$L$2)</f>
        <v>#N/A</v>
      </c>
      <c r="N1610" s="283" t="e">
        <f>+(Tabla4[[#This Row],[Precio Descontado]]-Tabla4[[#This Row],[Precio Base]])*Tabla4[[#This Row],[Cantidad]]</f>
        <v>#N/A</v>
      </c>
      <c r="O1610" s="284" t="e">
        <f>++Tabla4[[#This Row],[Utilidad Total]]/Tabla4[[#This Row],[Total]]</f>
        <v>#N/A</v>
      </c>
      <c r="P1610" s="282">
        <f>++Tabla4[[#This Row],[Precio Descontado]]*Tabla4[[#This Row],[Cantidad]]</f>
        <v>4243.9001591999995</v>
      </c>
      <c r="Q1610" s="282" t="e">
        <f>(INDEX(Tabla6[#All],MATCH(Tabla4[[#This Row],[Producto]],Tabla6[[#All],[PRODUCTO]],0),MATCH(Tabla4[[#This Row],[Mes]],Tabla6[#Headers],0)))</f>
        <v>#N/A</v>
      </c>
      <c r="R1610" s="282" t="e">
        <f>++Tabla4[[#This Row],[Precio Unitario Neto]]-Tabla4[[#This Row],[20.85%]]-Tabla4[[#This Row],[Costo]]</f>
        <v>#N/A</v>
      </c>
      <c r="S1610" s="282" t="e">
        <f>++Tabla4[[#This Row],[U. Bruta Uni]]*Tabla4[[#This Row],[Cantidad]]</f>
        <v>#N/A</v>
      </c>
      <c r="T1610" s="369" t="str">
        <f>VLOOKUP(Tabla4[[#This Row],[Producto]],Tabla6[#All],14,FALSE)</f>
        <v>Termico Solar</v>
      </c>
      <c r="U1610" s="284" t="e">
        <f>(IF(Tabla4[[#This Row],[Familia]]="termico solar",Tabla4[[#This Row],[Utilidad Total]]*6%,Tabla4[[#This Row],[Utilidad Total]]*11.5%))/Tabla4[[#This Row],[Total]]</f>
        <v>#N/A</v>
      </c>
      <c r="V1610" s="282" t="e">
        <f>+Tabla4[[#This Row],[Comisión Calculada]]*Tabla4[[#This Row],[Total]]</f>
        <v>#N/A</v>
      </c>
    </row>
    <row r="1611" spans="1:22" hidden="1" x14ac:dyDescent="0.25">
      <c r="A1611" s="100">
        <v>45747</v>
      </c>
      <c r="B1611" t="str">
        <f t="shared" si="78"/>
        <v>March</v>
      </c>
      <c r="C1611" s="46" t="s">
        <v>280</v>
      </c>
      <c r="F1611" s="366" t="s">
        <v>1331</v>
      </c>
      <c r="G1611" s="46" t="s">
        <v>18</v>
      </c>
      <c r="H1611" s="46">
        <v>2</v>
      </c>
      <c r="I1611" s="51">
        <v>5367.65</v>
      </c>
      <c r="J1611" s="281">
        <f>++Tabla4[[#This Row],[Precio Bruto]]*1.16</f>
        <v>6226.4739999999993</v>
      </c>
      <c r="K1611" s="281">
        <f>+Tabla4[[#This Row],[Precio Unitario Neto]]*Tabla4[[#Headers],[20.85%]]</f>
        <v>1298.2198289999999</v>
      </c>
      <c r="L1611" s="282">
        <f>++Tabla4[[#This Row],[Precio Unitario Neto]]-Tabla4[[#This Row],[20.85%]]</f>
        <v>4928.2541709999996</v>
      </c>
      <c r="M1611" s="282" t="e">
        <f>(INDEX(Tabla6[#All],MATCH(Tabla4[[#This Row],[Producto]],Tabla6[[#All],[PRODUCTO]],0),MATCH(Tabla4[[#This Row],[Mes]],Tabla6[#Headers],0)))*(1+Catalogos!$L$2)</f>
        <v>#N/A</v>
      </c>
      <c r="N1611" s="283" t="e">
        <f>+(Tabla4[[#This Row],[Precio Descontado]]-Tabla4[[#This Row],[Precio Base]])*Tabla4[[#This Row],[Cantidad]]</f>
        <v>#N/A</v>
      </c>
      <c r="O1611" s="284" t="e">
        <f>++Tabla4[[#This Row],[Utilidad Total]]/Tabla4[[#This Row],[Total]]</f>
        <v>#N/A</v>
      </c>
      <c r="P1611" s="282">
        <f>++Tabla4[[#This Row],[Precio Descontado]]*Tabla4[[#This Row],[Cantidad]]</f>
        <v>9856.5083419999992</v>
      </c>
      <c r="Q1611" s="282" t="e">
        <f>(INDEX(Tabla6[#All],MATCH(Tabla4[[#This Row],[Producto]],Tabla6[[#All],[PRODUCTO]],0),MATCH(Tabla4[[#This Row],[Mes]],Tabla6[#Headers],0)))</f>
        <v>#N/A</v>
      </c>
      <c r="R1611" s="282" t="e">
        <f>++Tabla4[[#This Row],[Precio Unitario Neto]]-Tabla4[[#This Row],[20.85%]]-Tabla4[[#This Row],[Costo]]</f>
        <v>#N/A</v>
      </c>
      <c r="S1611" s="282" t="e">
        <f>++Tabla4[[#This Row],[U. Bruta Uni]]*Tabla4[[#This Row],[Cantidad]]</f>
        <v>#N/A</v>
      </c>
      <c r="T1611" s="369" t="str">
        <f>VLOOKUP(Tabla4[[#This Row],[Producto]],Tabla6[#All],14,FALSE)</f>
        <v>Termico Solar</v>
      </c>
      <c r="U1611" s="284" t="e">
        <f>(IF(Tabla4[[#This Row],[Familia]]="termico solar",Tabla4[[#This Row],[Utilidad Total]]*6%,Tabla4[[#This Row],[Utilidad Total]]*11.5%))/Tabla4[[#This Row],[Total]]</f>
        <v>#N/A</v>
      </c>
      <c r="V1611" s="282" t="e">
        <f>+Tabla4[[#This Row],[Comisión Calculada]]*Tabla4[[#This Row],[Total]]</f>
        <v>#N/A</v>
      </c>
    </row>
    <row r="1612" spans="1:22" hidden="1" x14ac:dyDescent="0.25">
      <c r="A1612" s="100">
        <v>45747</v>
      </c>
      <c r="B1612" t="str">
        <f t="shared" si="78"/>
        <v>March</v>
      </c>
      <c r="C1612" s="46" t="s">
        <v>280</v>
      </c>
      <c r="F1612" s="366" t="s">
        <v>1331</v>
      </c>
      <c r="G1612" s="46" t="s">
        <v>16</v>
      </c>
      <c r="H1612" s="46">
        <v>2</v>
      </c>
      <c r="I1612" s="51">
        <v>4103.8500000000004</v>
      </c>
      <c r="J1612" s="281">
        <f>++Tabla4[[#This Row],[Precio Bruto]]*1.16</f>
        <v>4760.4660000000003</v>
      </c>
      <c r="K1612" s="281">
        <f>+Tabla4[[#This Row],[Precio Unitario Neto]]*Tabla4[[#Headers],[20.85%]]</f>
        <v>992.55716100000006</v>
      </c>
      <c r="L1612" s="282">
        <f>++Tabla4[[#This Row],[Precio Unitario Neto]]-Tabla4[[#This Row],[20.85%]]</f>
        <v>3767.9088390000002</v>
      </c>
      <c r="M1612" s="282" t="e">
        <f>(INDEX(Tabla6[#All],MATCH(Tabla4[[#This Row],[Producto]],Tabla6[[#All],[PRODUCTO]],0),MATCH(Tabla4[[#This Row],[Mes]],Tabla6[#Headers],0)))*(1+Catalogos!$L$2)</f>
        <v>#N/A</v>
      </c>
      <c r="N1612" s="283" t="e">
        <f>+(Tabla4[[#This Row],[Precio Descontado]]-Tabla4[[#This Row],[Precio Base]])*Tabla4[[#This Row],[Cantidad]]</f>
        <v>#N/A</v>
      </c>
      <c r="O1612" s="284" t="e">
        <f>++Tabla4[[#This Row],[Utilidad Total]]/Tabla4[[#This Row],[Total]]</f>
        <v>#N/A</v>
      </c>
      <c r="P1612" s="282">
        <f>++Tabla4[[#This Row],[Precio Descontado]]*Tabla4[[#This Row],[Cantidad]]</f>
        <v>7535.8176780000003</v>
      </c>
      <c r="Q1612" s="282" t="e">
        <f>(INDEX(Tabla6[#All],MATCH(Tabla4[[#This Row],[Producto]],Tabla6[[#All],[PRODUCTO]],0),MATCH(Tabla4[[#This Row],[Mes]],Tabla6[#Headers],0)))</f>
        <v>#N/A</v>
      </c>
      <c r="R1612" s="282" t="e">
        <f>++Tabla4[[#This Row],[Precio Unitario Neto]]-Tabla4[[#This Row],[20.85%]]-Tabla4[[#This Row],[Costo]]</f>
        <v>#N/A</v>
      </c>
      <c r="S1612" s="282" t="e">
        <f>++Tabla4[[#This Row],[U. Bruta Uni]]*Tabla4[[#This Row],[Cantidad]]</f>
        <v>#N/A</v>
      </c>
      <c r="T1612" s="369" t="str">
        <f>VLOOKUP(Tabla4[[#This Row],[Producto]],Tabla6[#All],14,FALSE)</f>
        <v>Termico Solar</v>
      </c>
      <c r="U1612" s="284" t="e">
        <f>(IF(Tabla4[[#This Row],[Familia]]="termico solar",Tabla4[[#This Row],[Utilidad Total]]*6%,Tabla4[[#This Row],[Utilidad Total]]*11.5%))/Tabla4[[#This Row],[Total]]</f>
        <v>#N/A</v>
      </c>
      <c r="V1612" s="282" t="e">
        <f>+Tabla4[[#This Row],[Comisión Calculada]]*Tabla4[[#This Row],[Total]]</f>
        <v>#N/A</v>
      </c>
    </row>
    <row r="1613" spans="1:22" hidden="1" x14ac:dyDescent="0.25">
      <c r="A1613" s="100">
        <v>45747</v>
      </c>
      <c r="B1613" t="str">
        <f t="shared" si="78"/>
        <v>March</v>
      </c>
      <c r="C1613" s="46" t="s">
        <v>280</v>
      </c>
      <c r="F1613" s="366" t="s">
        <v>1332</v>
      </c>
      <c r="G1613" s="46" t="s">
        <v>83</v>
      </c>
      <c r="H1613" s="46">
        <v>1</v>
      </c>
      <c r="I1613" s="51">
        <v>8858.76</v>
      </c>
      <c r="J1613" s="281">
        <f>++Tabla4[[#This Row],[Precio Bruto]]*1.16</f>
        <v>10276.161599999999</v>
      </c>
      <c r="K1613" s="281">
        <f>+Tabla4[[#This Row],[Precio Unitario Neto]]*Tabla4[[#Headers],[20.85%]]</f>
        <v>2142.5796935999997</v>
      </c>
      <c r="L1613" s="282">
        <f>++Tabla4[[#This Row],[Precio Unitario Neto]]-Tabla4[[#This Row],[20.85%]]</f>
        <v>8133.5819063999998</v>
      </c>
      <c r="M1613" s="282" t="e">
        <f>(INDEX(Tabla6[#All],MATCH(Tabla4[[#This Row],[Producto]],Tabla6[[#All],[PRODUCTO]],0),MATCH(Tabla4[[#This Row],[Mes]],Tabla6[#Headers],0)))*(1+Catalogos!$L$2)</f>
        <v>#N/A</v>
      </c>
      <c r="N1613" s="283" t="e">
        <f>+(Tabla4[[#This Row],[Precio Descontado]]-Tabla4[[#This Row],[Precio Base]])*Tabla4[[#This Row],[Cantidad]]</f>
        <v>#N/A</v>
      </c>
      <c r="O1613" s="284" t="e">
        <f>++Tabla4[[#This Row],[Utilidad Total]]/Tabla4[[#This Row],[Total]]</f>
        <v>#N/A</v>
      </c>
      <c r="P1613" s="282">
        <f>++Tabla4[[#This Row],[Precio Descontado]]*Tabla4[[#This Row],[Cantidad]]</f>
        <v>8133.5819063999998</v>
      </c>
      <c r="Q1613" s="282" t="e">
        <f>(INDEX(Tabla6[#All],MATCH(Tabla4[[#This Row],[Producto]],Tabla6[[#All],[PRODUCTO]],0),MATCH(Tabla4[[#This Row],[Mes]],Tabla6[#Headers],0)))</f>
        <v>#N/A</v>
      </c>
      <c r="R1613" s="282" t="e">
        <f>++Tabla4[[#This Row],[Precio Unitario Neto]]-Tabla4[[#This Row],[20.85%]]-Tabla4[[#This Row],[Costo]]</f>
        <v>#N/A</v>
      </c>
      <c r="S1613" s="282" t="e">
        <f>++Tabla4[[#This Row],[U. Bruta Uni]]*Tabla4[[#This Row],[Cantidad]]</f>
        <v>#N/A</v>
      </c>
      <c r="T1613" s="369" t="str">
        <f>VLOOKUP(Tabla4[[#This Row],[Producto]],Tabla6[#All],14,FALSE)</f>
        <v>Termico Solar</v>
      </c>
      <c r="U1613" s="284" t="e">
        <f>(IF(Tabla4[[#This Row],[Familia]]="termico solar",Tabla4[[#This Row],[Utilidad Total]]*6%,Tabla4[[#This Row],[Utilidad Total]]*11.5%))/Tabla4[[#This Row],[Total]]</f>
        <v>#N/A</v>
      </c>
      <c r="V1613" s="282" t="e">
        <f>+Tabla4[[#This Row],[Comisión Calculada]]*Tabla4[[#This Row],[Total]]</f>
        <v>#N/A</v>
      </c>
    </row>
    <row r="1614" spans="1:22" hidden="1" x14ac:dyDescent="0.25">
      <c r="A1614" s="100">
        <v>45747</v>
      </c>
      <c r="B1614" t="str">
        <f t="shared" si="78"/>
        <v>March</v>
      </c>
      <c r="C1614" s="46" t="s">
        <v>280</v>
      </c>
      <c r="F1614" s="366" t="s">
        <v>1332</v>
      </c>
      <c r="G1614" s="46" t="s">
        <v>17</v>
      </c>
      <c r="H1614" s="46">
        <v>2</v>
      </c>
      <c r="I1614" s="51">
        <v>4622.28</v>
      </c>
      <c r="J1614" s="281">
        <f>++Tabla4[[#This Row],[Precio Bruto]]*1.16</f>
        <v>5361.8447999999989</v>
      </c>
      <c r="K1614" s="281">
        <f>+Tabla4[[#This Row],[Precio Unitario Neto]]*Tabla4[[#Headers],[20.85%]]</f>
        <v>1117.9446407999997</v>
      </c>
      <c r="L1614" s="282">
        <f>++Tabla4[[#This Row],[Precio Unitario Neto]]-Tabla4[[#This Row],[20.85%]]</f>
        <v>4243.9001591999995</v>
      </c>
      <c r="M1614" s="282" t="e">
        <f>(INDEX(Tabla6[#All],MATCH(Tabla4[[#This Row],[Producto]],Tabla6[[#All],[PRODUCTO]],0),MATCH(Tabla4[[#This Row],[Mes]],Tabla6[#Headers],0)))*(1+Catalogos!$L$2)</f>
        <v>#N/A</v>
      </c>
      <c r="N1614" s="283" t="e">
        <f>+(Tabla4[[#This Row],[Precio Descontado]]-Tabla4[[#This Row],[Precio Base]])*Tabla4[[#This Row],[Cantidad]]</f>
        <v>#N/A</v>
      </c>
      <c r="O1614" s="284" t="e">
        <f>++Tabla4[[#This Row],[Utilidad Total]]/Tabla4[[#This Row],[Total]]</f>
        <v>#N/A</v>
      </c>
      <c r="P1614" s="282">
        <f>++Tabla4[[#This Row],[Precio Descontado]]*Tabla4[[#This Row],[Cantidad]]</f>
        <v>8487.800318399999</v>
      </c>
      <c r="Q1614" s="282" t="e">
        <f>(INDEX(Tabla6[#All],MATCH(Tabla4[[#This Row],[Producto]],Tabla6[[#All],[PRODUCTO]],0),MATCH(Tabla4[[#This Row],[Mes]],Tabla6[#Headers],0)))</f>
        <v>#N/A</v>
      </c>
      <c r="R1614" s="282" t="e">
        <f>++Tabla4[[#This Row],[Precio Unitario Neto]]-Tabla4[[#This Row],[20.85%]]-Tabla4[[#This Row],[Costo]]</f>
        <v>#N/A</v>
      </c>
      <c r="S1614" s="282" t="e">
        <f>++Tabla4[[#This Row],[U. Bruta Uni]]*Tabla4[[#This Row],[Cantidad]]</f>
        <v>#N/A</v>
      </c>
      <c r="T1614" s="369" t="str">
        <f>VLOOKUP(Tabla4[[#This Row],[Producto]],Tabla6[#All],14,FALSE)</f>
        <v>Termico Solar</v>
      </c>
      <c r="U1614" s="284" t="e">
        <f>(IF(Tabla4[[#This Row],[Familia]]="termico solar",Tabla4[[#This Row],[Utilidad Total]]*6%,Tabla4[[#This Row],[Utilidad Total]]*11.5%))/Tabla4[[#This Row],[Total]]</f>
        <v>#N/A</v>
      </c>
      <c r="V1614" s="282" t="e">
        <f>+Tabla4[[#This Row],[Comisión Calculada]]*Tabla4[[#This Row],[Total]]</f>
        <v>#N/A</v>
      </c>
    </row>
    <row r="1615" spans="1:22" hidden="1" x14ac:dyDescent="0.25">
      <c r="A1615" s="100">
        <v>45747</v>
      </c>
      <c r="B1615" t="str">
        <f t="shared" ref="B1615:B1620" si="79">TEXT(A1615, "mmmm")</f>
        <v>March</v>
      </c>
      <c r="C1615" s="46" t="s">
        <v>280</v>
      </c>
      <c r="F1615" s="366" t="s">
        <v>1333</v>
      </c>
      <c r="G1615" s="46" t="s">
        <v>83</v>
      </c>
      <c r="H1615" s="46">
        <v>1</v>
      </c>
      <c r="I1615" s="51">
        <v>8858.76</v>
      </c>
      <c r="J1615" s="281">
        <f>++Tabla4[[#This Row],[Precio Bruto]]*1.16</f>
        <v>10276.161599999999</v>
      </c>
      <c r="K1615" s="281">
        <f>+Tabla4[[#This Row],[Precio Unitario Neto]]*Tabla4[[#Headers],[20.85%]]</f>
        <v>2142.5796935999997</v>
      </c>
      <c r="L1615" s="282">
        <f>++Tabla4[[#This Row],[Precio Unitario Neto]]-Tabla4[[#This Row],[20.85%]]</f>
        <v>8133.5819063999998</v>
      </c>
      <c r="M1615" s="282" t="e">
        <f>(INDEX(Tabla6[#All],MATCH(Tabla4[[#This Row],[Producto]],Tabla6[[#All],[PRODUCTO]],0),MATCH(Tabla4[[#This Row],[Mes]],Tabla6[#Headers],0)))*(1+Catalogos!$L$2)</f>
        <v>#N/A</v>
      </c>
      <c r="N1615" s="283" t="e">
        <f>+(Tabla4[[#This Row],[Precio Descontado]]-Tabla4[[#This Row],[Precio Base]])*Tabla4[[#This Row],[Cantidad]]</f>
        <v>#N/A</v>
      </c>
      <c r="O1615" s="284" t="e">
        <f>++Tabla4[[#This Row],[Utilidad Total]]/Tabla4[[#This Row],[Total]]</f>
        <v>#N/A</v>
      </c>
      <c r="P1615" s="282">
        <f>++Tabla4[[#This Row],[Precio Descontado]]*Tabla4[[#This Row],[Cantidad]]</f>
        <v>8133.5819063999998</v>
      </c>
      <c r="Q1615" s="282" t="e">
        <f>(INDEX(Tabla6[#All],MATCH(Tabla4[[#This Row],[Producto]],Tabla6[[#All],[PRODUCTO]],0),MATCH(Tabla4[[#This Row],[Mes]],Tabla6[#Headers],0)))</f>
        <v>#N/A</v>
      </c>
      <c r="R1615" s="282" t="e">
        <f>++Tabla4[[#This Row],[Precio Unitario Neto]]-Tabla4[[#This Row],[20.85%]]-Tabla4[[#This Row],[Costo]]</f>
        <v>#N/A</v>
      </c>
      <c r="S1615" s="282" t="e">
        <f>++Tabla4[[#This Row],[U. Bruta Uni]]*Tabla4[[#This Row],[Cantidad]]</f>
        <v>#N/A</v>
      </c>
      <c r="T1615" s="369" t="str">
        <f>VLOOKUP(Tabla4[[#This Row],[Producto]],Tabla6[#All],14,FALSE)</f>
        <v>Termico Solar</v>
      </c>
      <c r="U1615" s="284" t="e">
        <f>(IF(Tabla4[[#This Row],[Familia]]="termico solar",Tabla4[[#This Row],[Utilidad Total]]*6%,Tabla4[[#This Row],[Utilidad Total]]*11.5%))/Tabla4[[#This Row],[Total]]</f>
        <v>#N/A</v>
      </c>
      <c r="V1615" s="282" t="e">
        <f>+Tabla4[[#This Row],[Comisión Calculada]]*Tabla4[[#This Row],[Total]]</f>
        <v>#N/A</v>
      </c>
    </row>
    <row r="1616" spans="1:22" hidden="1" x14ac:dyDescent="0.25">
      <c r="A1616" s="100">
        <v>45747</v>
      </c>
      <c r="B1616" t="str">
        <f t="shared" si="79"/>
        <v>March</v>
      </c>
      <c r="C1616" s="46" t="s">
        <v>280</v>
      </c>
      <c r="F1616" s="366" t="s">
        <v>1333</v>
      </c>
      <c r="G1616" s="46" t="s">
        <v>208</v>
      </c>
      <c r="H1616" s="46">
        <v>30</v>
      </c>
      <c r="I1616" s="51">
        <v>140.63</v>
      </c>
      <c r="J1616" s="281">
        <f>++Tabla4[[#This Row],[Precio Bruto]]*1.16</f>
        <v>163.13079999999999</v>
      </c>
      <c r="K1616" s="281">
        <f>+Tabla4[[#This Row],[Precio Unitario Neto]]*Tabla4[[#Headers],[20.85%]]</f>
        <v>34.012771799999996</v>
      </c>
      <c r="L1616" s="282">
        <f>++Tabla4[[#This Row],[Precio Unitario Neto]]-Tabla4[[#This Row],[20.85%]]</f>
        <v>129.1180282</v>
      </c>
      <c r="M1616" s="282" t="e">
        <f>(INDEX(Tabla6[#All],MATCH(Tabla4[[#This Row],[Producto]],Tabla6[[#All],[PRODUCTO]],0),MATCH(Tabla4[[#This Row],[Mes]],Tabla6[#Headers],0)))*(1+Catalogos!$L$2)</f>
        <v>#N/A</v>
      </c>
      <c r="N1616" s="283" t="e">
        <f>+(Tabla4[[#This Row],[Precio Descontado]]-Tabla4[[#This Row],[Precio Base]])*Tabla4[[#This Row],[Cantidad]]</f>
        <v>#N/A</v>
      </c>
      <c r="O1616" s="284" t="e">
        <f>++Tabla4[[#This Row],[Utilidad Total]]/Tabla4[[#This Row],[Total]]</f>
        <v>#N/A</v>
      </c>
      <c r="P1616" s="282">
        <f>++Tabla4[[#This Row],[Precio Descontado]]*Tabla4[[#This Row],[Cantidad]]</f>
        <v>3873.5408459999999</v>
      </c>
      <c r="Q1616" s="282" t="e">
        <f>(INDEX(Tabla6[#All],MATCH(Tabla4[[#This Row],[Producto]],Tabla6[[#All],[PRODUCTO]],0),MATCH(Tabla4[[#This Row],[Mes]],Tabla6[#Headers],0)))</f>
        <v>#N/A</v>
      </c>
      <c r="R1616" s="282" t="e">
        <f>++Tabla4[[#This Row],[Precio Unitario Neto]]-Tabla4[[#This Row],[20.85%]]-Tabla4[[#This Row],[Costo]]</f>
        <v>#N/A</v>
      </c>
      <c r="S1616" s="282" t="e">
        <f>++Tabla4[[#This Row],[U. Bruta Uni]]*Tabla4[[#This Row],[Cantidad]]</f>
        <v>#N/A</v>
      </c>
      <c r="T1616" s="369" t="str">
        <f>VLOOKUP(Tabla4[[#This Row],[Producto]],Tabla6[#All],14,FALSE)</f>
        <v>Termico Solar</v>
      </c>
      <c r="U1616" s="284" t="e">
        <f>(IF(Tabla4[[#This Row],[Familia]]="termico solar",Tabla4[[#This Row],[Utilidad Total]]*6%,Tabla4[[#This Row],[Utilidad Total]]*11.5%))/Tabla4[[#This Row],[Total]]</f>
        <v>#N/A</v>
      </c>
      <c r="V1616" s="282" t="e">
        <f>+Tabla4[[#This Row],[Comisión Calculada]]*Tabla4[[#This Row],[Total]]</f>
        <v>#N/A</v>
      </c>
    </row>
    <row r="1617" spans="1:22" hidden="1" x14ac:dyDescent="0.25">
      <c r="A1617" s="100">
        <v>45747</v>
      </c>
      <c r="B1617" t="str">
        <f t="shared" si="79"/>
        <v>March</v>
      </c>
      <c r="C1617" s="46" t="s">
        <v>280</v>
      </c>
      <c r="F1617" s="366" t="s">
        <v>1333</v>
      </c>
      <c r="G1617" s="46" t="s">
        <v>16</v>
      </c>
      <c r="H1617" s="46">
        <v>2</v>
      </c>
      <c r="I1617" s="51">
        <v>4103.8500000000004</v>
      </c>
      <c r="J1617" s="281">
        <f>++Tabla4[[#This Row],[Precio Bruto]]*1.16</f>
        <v>4760.4660000000003</v>
      </c>
      <c r="K1617" s="281">
        <f>+Tabla4[[#This Row],[Precio Unitario Neto]]*Tabla4[[#Headers],[20.85%]]</f>
        <v>992.55716100000006</v>
      </c>
      <c r="L1617" s="282">
        <f>++Tabla4[[#This Row],[Precio Unitario Neto]]-Tabla4[[#This Row],[20.85%]]</f>
        <v>3767.9088390000002</v>
      </c>
      <c r="M1617" s="282" t="e">
        <f>(INDEX(Tabla6[#All],MATCH(Tabla4[[#This Row],[Producto]],Tabla6[[#All],[PRODUCTO]],0),MATCH(Tabla4[[#This Row],[Mes]],Tabla6[#Headers],0)))*(1+Catalogos!$L$2)</f>
        <v>#N/A</v>
      </c>
      <c r="N1617" s="283" t="e">
        <f>+(Tabla4[[#This Row],[Precio Descontado]]-Tabla4[[#This Row],[Precio Base]])*Tabla4[[#This Row],[Cantidad]]</f>
        <v>#N/A</v>
      </c>
      <c r="O1617" s="284" t="e">
        <f>++Tabla4[[#This Row],[Utilidad Total]]/Tabla4[[#This Row],[Total]]</f>
        <v>#N/A</v>
      </c>
      <c r="P1617" s="282">
        <f>++Tabla4[[#This Row],[Precio Descontado]]*Tabla4[[#This Row],[Cantidad]]</f>
        <v>7535.8176780000003</v>
      </c>
      <c r="Q1617" s="282" t="e">
        <f>(INDEX(Tabla6[#All],MATCH(Tabla4[[#This Row],[Producto]],Tabla6[[#All],[PRODUCTO]],0),MATCH(Tabla4[[#This Row],[Mes]],Tabla6[#Headers],0)))</f>
        <v>#N/A</v>
      </c>
      <c r="R1617" s="282" t="e">
        <f>++Tabla4[[#This Row],[Precio Unitario Neto]]-Tabla4[[#This Row],[20.85%]]-Tabla4[[#This Row],[Costo]]</f>
        <v>#N/A</v>
      </c>
      <c r="S1617" s="282" t="e">
        <f>++Tabla4[[#This Row],[U. Bruta Uni]]*Tabla4[[#This Row],[Cantidad]]</f>
        <v>#N/A</v>
      </c>
      <c r="T1617" s="369" t="str">
        <f>VLOOKUP(Tabla4[[#This Row],[Producto]],Tabla6[#All],14,FALSE)</f>
        <v>Termico Solar</v>
      </c>
      <c r="U1617" s="284" t="e">
        <f>(IF(Tabla4[[#This Row],[Familia]]="termico solar",Tabla4[[#This Row],[Utilidad Total]]*6%,Tabla4[[#This Row],[Utilidad Total]]*11.5%))/Tabla4[[#This Row],[Total]]</f>
        <v>#N/A</v>
      </c>
      <c r="V1617" s="282" t="e">
        <f>+Tabla4[[#This Row],[Comisión Calculada]]*Tabla4[[#This Row],[Total]]</f>
        <v>#N/A</v>
      </c>
    </row>
    <row r="1618" spans="1:22" hidden="1" x14ac:dyDescent="0.25">
      <c r="A1618" s="100">
        <v>45747</v>
      </c>
      <c r="B1618" t="str">
        <f t="shared" si="79"/>
        <v>March</v>
      </c>
      <c r="C1618" s="46" t="s">
        <v>280</v>
      </c>
      <c r="F1618" s="366" t="s">
        <v>1333</v>
      </c>
      <c r="G1618" s="46" t="s">
        <v>394</v>
      </c>
      <c r="H1618" s="46">
        <v>16</v>
      </c>
      <c r="I1618" s="51">
        <v>224.29</v>
      </c>
      <c r="J1618" s="281">
        <f>++Tabla4[[#This Row],[Precio Bruto]]*1.16</f>
        <v>260.1764</v>
      </c>
      <c r="K1618" s="281">
        <f>+Tabla4[[#This Row],[Precio Unitario Neto]]*Tabla4[[#Headers],[20.85%]]</f>
        <v>54.246779400000001</v>
      </c>
      <c r="L1618" s="282">
        <f>++Tabla4[[#This Row],[Precio Unitario Neto]]-Tabla4[[#This Row],[20.85%]]</f>
        <v>205.92962059999999</v>
      </c>
      <c r="M1618" s="282" t="e">
        <f>(INDEX(Tabla6[#All],MATCH(Tabla4[[#This Row],[Producto]],Tabla6[[#All],[PRODUCTO]],0),MATCH(Tabla4[[#This Row],[Mes]],Tabla6[#Headers],0)))*(1+Catalogos!$L$2)</f>
        <v>#N/A</v>
      </c>
      <c r="N1618" s="283" t="e">
        <f>+(Tabla4[[#This Row],[Precio Descontado]]-Tabla4[[#This Row],[Precio Base]])*Tabla4[[#This Row],[Cantidad]]</f>
        <v>#N/A</v>
      </c>
      <c r="O1618" s="284" t="e">
        <f>++Tabla4[[#This Row],[Utilidad Total]]/Tabla4[[#This Row],[Total]]</f>
        <v>#N/A</v>
      </c>
      <c r="P1618" s="282">
        <f>++Tabla4[[#This Row],[Precio Descontado]]*Tabla4[[#This Row],[Cantidad]]</f>
        <v>3294.8739295999999</v>
      </c>
      <c r="Q1618" s="282" t="e">
        <f>(INDEX(Tabla6[#All],MATCH(Tabla4[[#This Row],[Producto]],Tabla6[[#All],[PRODUCTO]],0),MATCH(Tabla4[[#This Row],[Mes]],Tabla6[#Headers],0)))</f>
        <v>#N/A</v>
      </c>
      <c r="R1618" s="282" t="e">
        <f>++Tabla4[[#This Row],[Precio Unitario Neto]]-Tabla4[[#This Row],[20.85%]]-Tabla4[[#This Row],[Costo]]</f>
        <v>#N/A</v>
      </c>
      <c r="S1618" s="282" t="e">
        <f>++Tabla4[[#This Row],[U. Bruta Uni]]*Tabla4[[#This Row],[Cantidad]]</f>
        <v>#N/A</v>
      </c>
      <c r="T1618" s="369" t="str">
        <f>VLOOKUP(Tabla4[[#This Row],[Producto]],Tabla6[#All],14,FALSE)</f>
        <v>Termico Solar</v>
      </c>
      <c r="U1618" s="284" t="e">
        <f>(IF(Tabla4[[#This Row],[Familia]]="termico solar",Tabla4[[#This Row],[Utilidad Total]]*6%,Tabla4[[#This Row],[Utilidad Total]]*11.5%))/Tabla4[[#This Row],[Total]]</f>
        <v>#N/A</v>
      </c>
      <c r="V1618" s="282" t="e">
        <f>+Tabla4[[#This Row],[Comisión Calculada]]*Tabla4[[#This Row],[Total]]</f>
        <v>#N/A</v>
      </c>
    </row>
    <row r="1619" spans="1:22" hidden="1" x14ac:dyDescent="0.25">
      <c r="A1619" s="100">
        <v>45747</v>
      </c>
      <c r="B1619" t="str">
        <f t="shared" si="79"/>
        <v>March</v>
      </c>
      <c r="C1619" s="46" t="s">
        <v>280</v>
      </c>
      <c r="F1619" s="366" t="s">
        <v>1333</v>
      </c>
      <c r="G1619" s="46" t="s">
        <v>555</v>
      </c>
      <c r="H1619" s="46">
        <v>8</v>
      </c>
      <c r="I1619" s="51">
        <v>389.47</v>
      </c>
      <c r="J1619" s="281">
        <f>++Tabla4[[#This Row],[Precio Bruto]]*1.16</f>
        <v>451.78519999999997</v>
      </c>
      <c r="K1619" s="281">
        <f>+Tabla4[[#This Row],[Precio Unitario Neto]]*Tabla4[[#Headers],[20.85%]]</f>
        <v>94.197214199999991</v>
      </c>
      <c r="L1619" s="282">
        <f>++Tabla4[[#This Row],[Precio Unitario Neto]]-Tabla4[[#This Row],[20.85%]]</f>
        <v>357.58798579999996</v>
      </c>
      <c r="M1619" s="282" t="e">
        <f>(INDEX(Tabla6[#All],MATCH(Tabla4[[#This Row],[Producto]],Tabla6[[#All],[PRODUCTO]],0),MATCH(Tabla4[[#This Row],[Mes]],Tabla6[#Headers],0)))*(1+Catalogos!$L$2)</f>
        <v>#N/A</v>
      </c>
      <c r="N1619" s="283" t="e">
        <f>+(Tabla4[[#This Row],[Precio Descontado]]-Tabla4[[#This Row],[Precio Base]])*Tabla4[[#This Row],[Cantidad]]</f>
        <v>#N/A</v>
      </c>
      <c r="O1619" s="284" t="e">
        <f>++Tabla4[[#This Row],[Utilidad Total]]/Tabla4[[#This Row],[Total]]</f>
        <v>#N/A</v>
      </c>
      <c r="P1619" s="282">
        <f>++Tabla4[[#This Row],[Precio Descontado]]*Tabla4[[#This Row],[Cantidad]]</f>
        <v>2860.7038863999996</v>
      </c>
      <c r="Q1619" s="282" t="e">
        <f>(INDEX(Tabla6[#All],MATCH(Tabla4[[#This Row],[Producto]],Tabla6[[#All],[PRODUCTO]],0),MATCH(Tabla4[[#This Row],[Mes]],Tabla6[#Headers],0)))</f>
        <v>#N/A</v>
      </c>
      <c r="R1619" s="282" t="e">
        <f>++Tabla4[[#This Row],[Precio Unitario Neto]]-Tabla4[[#This Row],[20.85%]]-Tabla4[[#This Row],[Costo]]</f>
        <v>#N/A</v>
      </c>
      <c r="S1619" s="282" t="e">
        <f>++Tabla4[[#This Row],[U. Bruta Uni]]*Tabla4[[#This Row],[Cantidad]]</f>
        <v>#N/A</v>
      </c>
      <c r="T1619" s="369" t="str">
        <f>VLOOKUP(Tabla4[[#This Row],[Producto]],Tabla6[#All],14,FALSE)</f>
        <v>Termico Solar</v>
      </c>
      <c r="U1619" s="284" t="e">
        <f>(IF(Tabla4[[#This Row],[Familia]]="termico solar",Tabla4[[#This Row],[Utilidad Total]]*6%,Tabla4[[#This Row],[Utilidad Total]]*11.5%))/Tabla4[[#This Row],[Total]]</f>
        <v>#N/A</v>
      </c>
      <c r="V1619" s="282" t="e">
        <f>+Tabla4[[#This Row],[Comisión Calculada]]*Tabla4[[#This Row],[Total]]</f>
        <v>#N/A</v>
      </c>
    </row>
    <row r="1620" spans="1:22" hidden="1" x14ac:dyDescent="0.25">
      <c r="A1620" s="100">
        <v>45747</v>
      </c>
      <c r="B1620" t="str">
        <f t="shared" si="79"/>
        <v>March</v>
      </c>
      <c r="C1620" s="46" t="s">
        <v>280</v>
      </c>
      <c r="F1620" s="366" t="s">
        <v>1333</v>
      </c>
      <c r="G1620" s="46" t="s">
        <v>208</v>
      </c>
      <c r="H1620" s="46">
        <v>2</v>
      </c>
      <c r="I1620" s="51">
        <v>189.75</v>
      </c>
      <c r="J1620" s="281">
        <f>++Tabla4[[#This Row],[Precio Bruto]]*1.16</f>
        <v>220.10999999999999</v>
      </c>
      <c r="K1620" s="281">
        <f>+Tabla4[[#This Row],[Precio Unitario Neto]]*Tabla4[[#Headers],[20.85%]]</f>
        <v>45.892934999999994</v>
      </c>
      <c r="L1620" s="282">
        <f>++Tabla4[[#This Row],[Precio Unitario Neto]]-Tabla4[[#This Row],[20.85%]]</f>
        <v>174.21706499999999</v>
      </c>
      <c r="M1620" s="282" t="e">
        <f>(INDEX(Tabla6[#All],MATCH(Tabla4[[#This Row],[Producto]],Tabla6[[#All],[PRODUCTO]],0),MATCH(Tabla4[[#This Row],[Mes]],Tabla6[#Headers],0)))*(1+Catalogos!$L$2)</f>
        <v>#N/A</v>
      </c>
      <c r="N1620" s="283" t="e">
        <f>+(Tabla4[[#This Row],[Precio Descontado]]-Tabla4[[#This Row],[Precio Base]])*Tabla4[[#This Row],[Cantidad]]</f>
        <v>#N/A</v>
      </c>
      <c r="O1620" s="284" t="e">
        <f>++Tabla4[[#This Row],[Utilidad Total]]/Tabla4[[#This Row],[Total]]</f>
        <v>#N/A</v>
      </c>
      <c r="P1620" s="282">
        <f>++Tabla4[[#This Row],[Precio Descontado]]*Tabla4[[#This Row],[Cantidad]]</f>
        <v>348.43412999999998</v>
      </c>
      <c r="Q1620" s="282" t="e">
        <f>(INDEX(Tabla6[#All],MATCH(Tabla4[[#This Row],[Producto]],Tabla6[[#All],[PRODUCTO]],0),MATCH(Tabla4[[#This Row],[Mes]],Tabla6[#Headers],0)))</f>
        <v>#N/A</v>
      </c>
      <c r="R1620" s="282" t="e">
        <f>++Tabla4[[#This Row],[Precio Unitario Neto]]-Tabla4[[#This Row],[20.85%]]-Tabla4[[#This Row],[Costo]]</f>
        <v>#N/A</v>
      </c>
      <c r="S1620" s="282" t="e">
        <f>++Tabla4[[#This Row],[U. Bruta Uni]]*Tabla4[[#This Row],[Cantidad]]</f>
        <v>#N/A</v>
      </c>
      <c r="T1620" s="369" t="str">
        <f>VLOOKUP(Tabla4[[#This Row],[Producto]],Tabla6[#All],14,FALSE)</f>
        <v>Termico Solar</v>
      </c>
      <c r="U1620" s="284" t="e">
        <f>(IF(Tabla4[[#This Row],[Familia]]="termico solar",Tabla4[[#This Row],[Utilidad Total]]*6%,Tabla4[[#This Row],[Utilidad Total]]*11.5%))/Tabla4[[#This Row],[Total]]</f>
        <v>#N/A</v>
      </c>
      <c r="V1620" s="282" t="e">
        <f>+Tabla4[[#This Row],[Comisión Calculada]]*Tabla4[[#This Row],[Total]]</f>
        <v>#N/A</v>
      </c>
    </row>
    <row r="1621" spans="1:22" hidden="1" x14ac:dyDescent="0.25">
      <c r="A1621" s="100">
        <v>45747</v>
      </c>
      <c r="B1621" t="str">
        <f>TEXT(A1621, "mmmm")</f>
        <v>March</v>
      </c>
      <c r="C1621" s="46" t="s">
        <v>280</v>
      </c>
      <c r="F1621" s="366" t="s">
        <v>1334</v>
      </c>
      <c r="G1621" s="46" t="s">
        <v>394</v>
      </c>
      <c r="H1621" s="46">
        <v>16</v>
      </c>
      <c r="I1621" s="51">
        <v>224.29</v>
      </c>
      <c r="J1621" s="281">
        <f>++Tabla4[[#This Row],[Precio Bruto]]*1.16</f>
        <v>260.1764</v>
      </c>
      <c r="K1621" s="281">
        <f>+Tabla4[[#This Row],[Precio Unitario Neto]]*Tabla4[[#Headers],[20.85%]]</f>
        <v>54.246779400000001</v>
      </c>
      <c r="L1621" s="282">
        <f>++Tabla4[[#This Row],[Precio Unitario Neto]]-Tabla4[[#This Row],[20.85%]]</f>
        <v>205.92962059999999</v>
      </c>
      <c r="M1621" s="282" t="e">
        <f>(INDEX(Tabla6[#All],MATCH(Tabla4[[#This Row],[Producto]],Tabla6[[#All],[PRODUCTO]],0),MATCH(Tabla4[[#This Row],[Mes]],Tabla6[#Headers],0)))*(1+Catalogos!$L$2)</f>
        <v>#N/A</v>
      </c>
      <c r="N1621" s="283" t="e">
        <f>+(Tabla4[[#This Row],[Precio Descontado]]-Tabla4[[#This Row],[Precio Base]])*Tabla4[[#This Row],[Cantidad]]</f>
        <v>#N/A</v>
      </c>
      <c r="O1621" s="284" t="e">
        <f>++Tabla4[[#This Row],[Utilidad Total]]/Tabla4[[#This Row],[Total]]</f>
        <v>#N/A</v>
      </c>
      <c r="P1621" s="282">
        <f>++Tabla4[[#This Row],[Precio Descontado]]*Tabla4[[#This Row],[Cantidad]]</f>
        <v>3294.8739295999999</v>
      </c>
      <c r="Q1621" s="282" t="e">
        <f>(INDEX(Tabla6[#All],MATCH(Tabla4[[#This Row],[Producto]],Tabla6[[#All],[PRODUCTO]],0),MATCH(Tabla4[[#This Row],[Mes]],Tabla6[#Headers],0)))</f>
        <v>#N/A</v>
      </c>
      <c r="R1621" s="282" t="e">
        <f>++Tabla4[[#This Row],[Precio Unitario Neto]]-Tabla4[[#This Row],[20.85%]]-Tabla4[[#This Row],[Costo]]</f>
        <v>#N/A</v>
      </c>
      <c r="S1621" s="282" t="e">
        <f>++Tabla4[[#This Row],[U. Bruta Uni]]*Tabla4[[#This Row],[Cantidad]]</f>
        <v>#N/A</v>
      </c>
      <c r="T1621" s="369" t="str">
        <f>VLOOKUP(Tabla4[[#This Row],[Producto]],Tabla6[#All],14,FALSE)</f>
        <v>Termico Solar</v>
      </c>
      <c r="U1621" s="284" t="e">
        <f>(IF(Tabla4[[#This Row],[Familia]]="termico solar",Tabla4[[#This Row],[Utilidad Total]]*6%,Tabla4[[#This Row],[Utilidad Total]]*11.5%))/Tabla4[[#This Row],[Total]]</f>
        <v>#N/A</v>
      </c>
      <c r="V1621" s="282" t="e">
        <f>+Tabla4[[#This Row],[Comisión Calculada]]*Tabla4[[#This Row],[Total]]</f>
        <v>#N/A</v>
      </c>
    </row>
    <row r="1622" spans="1:22" hidden="1" x14ac:dyDescent="0.25">
      <c r="A1622" s="100">
        <v>45747</v>
      </c>
      <c r="B1622" t="str">
        <f>TEXT(A1622, "mmmm")</f>
        <v>March</v>
      </c>
      <c r="C1622" s="46" t="s">
        <v>280</v>
      </c>
      <c r="F1622" s="366" t="s">
        <v>1334</v>
      </c>
      <c r="G1622" s="46" t="s">
        <v>555</v>
      </c>
      <c r="H1622" s="46">
        <v>8</v>
      </c>
      <c r="I1622" s="51">
        <v>389.47</v>
      </c>
      <c r="J1622" s="281">
        <f>++Tabla4[[#This Row],[Precio Bruto]]*1.16</f>
        <v>451.78519999999997</v>
      </c>
      <c r="K1622" s="281">
        <f>+Tabla4[[#This Row],[Precio Unitario Neto]]*Tabla4[[#Headers],[20.85%]]</f>
        <v>94.197214199999991</v>
      </c>
      <c r="L1622" s="282">
        <f>++Tabla4[[#This Row],[Precio Unitario Neto]]-Tabla4[[#This Row],[20.85%]]</f>
        <v>357.58798579999996</v>
      </c>
      <c r="M1622" s="282" t="e">
        <f>(INDEX(Tabla6[#All],MATCH(Tabla4[[#This Row],[Producto]],Tabla6[[#All],[PRODUCTO]],0),MATCH(Tabla4[[#This Row],[Mes]],Tabla6[#Headers],0)))*(1+Catalogos!$L$2)</f>
        <v>#N/A</v>
      </c>
      <c r="N1622" s="283" t="e">
        <f>+(Tabla4[[#This Row],[Precio Descontado]]-Tabla4[[#This Row],[Precio Base]])*Tabla4[[#This Row],[Cantidad]]</f>
        <v>#N/A</v>
      </c>
      <c r="O1622" s="284" t="e">
        <f>++Tabla4[[#This Row],[Utilidad Total]]/Tabla4[[#This Row],[Total]]</f>
        <v>#N/A</v>
      </c>
      <c r="P1622" s="282">
        <f>++Tabla4[[#This Row],[Precio Descontado]]*Tabla4[[#This Row],[Cantidad]]</f>
        <v>2860.7038863999996</v>
      </c>
      <c r="Q1622" s="282" t="e">
        <f>(INDEX(Tabla6[#All],MATCH(Tabla4[[#This Row],[Producto]],Tabla6[[#All],[PRODUCTO]],0),MATCH(Tabla4[[#This Row],[Mes]],Tabla6[#Headers],0)))</f>
        <v>#N/A</v>
      </c>
      <c r="R1622" s="282" t="e">
        <f>++Tabla4[[#This Row],[Precio Unitario Neto]]-Tabla4[[#This Row],[20.85%]]-Tabla4[[#This Row],[Costo]]</f>
        <v>#N/A</v>
      </c>
      <c r="S1622" s="282" t="e">
        <f>++Tabla4[[#This Row],[U. Bruta Uni]]*Tabla4[[#This Row],[Cantidad]]</f>
        <v>#N/A</v>
      </c>
      <c r="T1622" s="369" t="str">
        <f>VLOOKUP(Tabla4[[#This Row],[Producto]],Tabla6[#All],14,FALSE)</f>
        <v>Termico Solar</v>
      </c>
      <c r="U1622" s="284" t="e">
        <f>(IF(Tabla4[[#This Row],[Familia]]="termico solar",Tabla4[[#This Row],[Utilidad Total]]*6%,Tabla4[[#This Row],[Utilidad Total]]*11.5%))/Tabla4[[#This Row],[Total]]</f>
        <v>#N/A</v>
      </c>
      <c r="V1622" s="282" t="e">
        <f>+Tabla4[[#This Row],[Comisión Calculada]]*Tabla4[[#This Row],[Total]]</f>
        <v>#N/A</v>
      </c>
    </row>
    <row r="1623" spans="1:22" hidden="1" x14ac:dyDescent="0.25">
      <c r="A1623" s="100">
        <v>45747</v>
      </c>
      <c r="B1623" t="str">
        <f>TEXT(A1623, "mmmm")</f>
        <v>March</v>
      </c>
      <c r="C1623" s="46" t="s">
        <v>280</v>
      </c>
      <c r="F1623" s="366" t="s">
        <v>1334</v>
      </c>
      <c r="G1623" s="46" t="s">
        <v>208</v>
      </c>
      <c r="H1623" s="46">
        <v>2</v>
      </c>
      <c r="I1623" s="51">
        <v>189.75</v>
      </c>
      <c r="J1623" s="281">
        <f>++Tabla4[[#This Row],[Precio Bruto]]*1.16</f>
        <v>220.10999999999999</v>
      </c>
      <c r="K1623" s="281">
        <f>+Tabla4[[#This Row],[Precio Unitario Neto]]*Tabla4[[#Headers],[20.85%]]</f>
        <v>45.892934999999994</v>
      </c>
      <c r="L1623" s="282">
        <f>++Tabla4[[#This Row],[Precio Unitario Neto]]-Tabla4[[#This Row],[20.85%]]</f>
        <v>174.21706499999999</v>
      </c>
      <c r="M1623" s="282" t="e">
        <f>(INDEX(Tabla6[#All],MATCH(Tabla4[[#This Row],[Producto]],Tabla6[[#All],[PRODUCTO]],0),MATCH(Tabla4[[#This Row],[Mes]],Tabla6[#Headers],0)))*(1+Catalogos!$L$2)</f>
        <v>#N/A</v>
      </c>
      <c r="N1623" s="283" t="e">
        <f>+(Tabla4[[#This Row],[Precio Descontado]]-Tabla4[[#This Row],[Precio Base]])*Tabla4[[#This Row],[Cantidad]]</f>
        <v>#N/A</v>
      </c>
      <c r="O1623" s="284" t="e">
        <f>++Tabla4[[#This Row],[Utilidad Total]]/Tabla4[[#This Row],[Total]]</f>
        <v>#N/A</v>
      </c>
      <c r="P1623" s="282">
        <f>++Tabla4[[#This Row],[Precio Descontado]]*Tabla4[[#This Row],[Cantidad]]</f>
        <v>348.43412999999998</v>
      </c>
      <c r="Q1623" s="282" t="e">
        <f>(INDEX(Tabla6[#All],MATCH(Tabla4[[#This Row],[Producto]],Tabla6[[#All],[PRODUCTO]],0),MATCH(Tabla4[[#This Row],[Mes]],Tabla6[#Headers],0)))</f>
        <v>#N/A</v>
      </c>
      <c r="R1623" s="282" t="e">
        <f>++Tabla4[[#This Row],[Precio Unitario Neto]]-Tabla4[[#This Row],[20.85%]]-Tabla4[[#This Row],[Costo]]</f>
        <v>#N/A</v>
      </c>
      <c r="S1623" s="282" t="e">
        <f>++Tabla4[[#This Row],[U. Bruta Uni]]*Tabla4[[#This Row],[Cantidad]]</f>
        <v>#N/A</v>
      </c>
      <c r="T1623" s="369" t="str">
        <f>VLOOKUP(Tabla4[[#This Row],[Producto]],Tabla6[#All],14,FALSE)</f>
        <v>Termico Solar</v>
      </c>
      <c r="U1623" s="284" t="e">
        <f>(IF(Tabla4[[#This Row],[Familia]]="termico solar",Tabla4[[#This Row],[Utilidad Total]]*6%,Tabla4[[#This Row],[Utilidad Total]]*11.5%))/Tabla4[[#This Row],[Total]]</f>
        <v>#N/A</v>
      </c>
      <c r="V1623" s="282" t="e">
        <f>+Tabla4[[#This Row],[Comisión Calculada]]*Tabla4[[#This Row],[Total]]</f>
        <v>#N/A</v>
      </c>
    </row>
    <row r="1624" spans="1:22" hidden="1" x14ac:dyDescent="0.25">
      <c r="A1624" s="100">
        <v>45747</v>
      </c>
      <c r="B1624" t="str">
        <f t="shared" ref="B1624:B1630" si="80">TEXT(A1624, "mmmm")</f>
        <v>March</v>
      </c>
      <c r="C1624" s="46" t="s">
        <v>280</v>
      </c>
      <c r="F1624" s="366" t="s">
        <v>1335</v>
      </c>
      <c r="G1624" s="46" t="s">
        <v>83</v>
      </c>
      <c r="H1624" s="46">
        <v>1</v>
      </c>
      <c r="I1624" s="51">
        <v>8858.76</v>
      </c>
      <c r="J1624" s="281">
        <f>++Tabla4[[#This Row],[Precio Bruto]]*1.16</f>
        <v>10276.161599999999</v>
      </c>
      <c r="K1624" s="281">
        <f>+Tabla4[[#This Row],[Precio Unitario Neto]]*Tabla4[[#Headers],[20.85%]]</f>
        <v>2142.5796935999997</v>
      </c>
      <c r="L1624" s="282">
        <f>++Tabla4[[#This Row],[Precio Unitario Neto]]-Tabla4[[#This Row],[20.85%]]</f>
        <v>8133.5819063999998</v>
      </c>
      <c r="M1624" s="282" t="e">
        <f>(INDEX(Tabla6[#All],MATCH(Tabla4[[#This Row],[Producto]],Tabla6[[#All],[PRODUCTO]],0),MATCH(Tabla4[[#This Row],[Mes]],Tabla6[#Headers],0)))*(1+Catalogos!$L$2)</f>
        <v>#N/A</v>
      </c>
      <c r="N1624" s="283" t="e">
        <f>+(Tabla4[[#This Row],[Precio Descontado]]-Tabla4[[#This Row],[Precio Base]])*Tabla4[[#This Row],[Cantidad]]</f>
        <v>#N/A</v>
      </c>
      <c r="O1624" s="284" t="e">
        <f>++Tabla4[[#This Row],[Utilidad Total]]/Tabla4[[#This Row],[Total]]</f>
        <v>#N/A</v>
      </c>
      <c r="P1624" s="282">
        <f>++Tabla4[[#This Row],[Precio Descontado]]*Tabla4[[#This Row],[Cantidad]]</f>
        <v>8133.5819063999998</v>
      </c>
      <c r="Q1624" s="282" t="e">
        <f>(INDEX(Tabla6[#All],MATCH(Tabla4[[#This Row],[Producto]],Tabla6[[#All],[PRODUCTO]],0),MATCH(Tabla4[[#This Row],[Mes]],Tabla6[#Headers],0)))</f>
        <v>#N/A</v>
      </c>
      <c r="R1624" s="282" t="e">
        <f>++Tabla4[[#This Row],[Precio Unitario Neto]]-Tabla4[[#This Row],[20.85%]]-Tabla4[[#This Row],[Costo]]</f>
        <v>#N/A</v>
      </c>
      <c r="S1624" s="282" t="e">
        <f>++Tabla4[[#This Row],[U. Bruta Uni]]*Tabla4[[#This Row],[Cantidad]]</f>
        <v>#N/A</v>
      </c>
      <c r="T1624" s="369" t="str">
        <f>VLOOKUP(Tabla4[[#This Row],[Producto]],Tabla6[#All],14,FALSE)</f>
        <v>Termico Solar</v>
      </c>
      <c r="U1624" s="284" t="e">
        <f>(IF(Tabla4[[#This Row],[Familia]]="termico solar",Tabla4[[#This Row],[Utilidad Total]]*6%,Tabla4[[#This Row],[Utilidad Total]]*11.5%))/Tabla4[[#This Row],[Total]]</f>
        <v>#N/A</v>
      </c>
      <c r="V1624" s="282" t="e">
        <f>+Tabla4[[#This Row],[Comisión Calculada]]*Tabla4[[#This Row],[Total]]</f>
        <v>#N/A</v>
      </c>
    </row>
    <row r="1625" spans="1:22" hidden="1" x14ac:dyDescent="0.25">
      <c r="A1625" s="100">
        <v>45747</v>
      </c>
      <c r="B1625" t="str">
        <f t="shared" si="80"/>
        <v>March</v>
      </c>
      <c r="C1625" s="46" t="s">
        <v>280</v>
      </c>
      <c r="F1625" s="366" t="s">
        <v>1335</v>
      </c>
      <c r="G1625" s="46" t="s">
        <v>17</v>
      </c>
      <c r="H1625" s="46">
        <v>2</v>
      </c>
      <c r="I1625" s="51">
        <v>4622.28</v>
      </c>
      <c r="J1625" s="281">
        <f>++Tabla4[[#This Row],[Precio Bruto]]*1.16</f>
        <v>5361.8447999999989</v>
      </c>
      <c r="K1625" s="281">
        <f>+Tabla4[[#This Row],[Precio Unitario Neto]]*Tabla4[[#Headers],[20.85%]]</f>
        <v>1117.9446407999997</v>
      </c>
      <c r="L1625" s="282">
        <f>++Tabla4[[#This Row],[Precio Unitario Neto]]-Tabla4[[#This Row],[20.85%]]</f>
        <v>4243.9001591999995</v>
      </c>
      <c r="M1625" s="282" t="e">
        <f>(INDEX(Tabla6[#All],MATCH(Tabla4[[#This Row],[Producto]],Tabla6[[#All],[PRODUCTO]],0),MATCH(Tabla4[[#This Row],[Mes]],Tabla6[#Headers],0)))*(1+Catalogos!$L$2)</f>
        <v>#N/A</v>
      </c>
      <c r="N1625" s="283" t="e">
        <f>+(Tabla4[[#This Row],[Precio Descontado]]-Tabla4[[#This Row],[Precio Base]])*Tabla4[[#This Row],[Cantidad]]</f>
        <v>#N/A</v>
      </c>
      <c r="O1625" s="284" t="e">
        <f>++Tabla4[[#This Row],[Utilidad Total]]/Tabla4[[#This Row],[Total]]</f>
        <v>#N/A</v>
      </c>
      <c r="P1625" s="282">
        <f>++Tabla4[[#This Row],[Precio Descontado]]*Tabla4[[#This Row],[Cantidad]]</f>
        <v>8487.800318399999</v>
      </c>
      <c r="Q1625" s="282" t="e">
        <f>(INDEX(Tabla6[#All],MATCH(Tabla4[[#This Row],[Producto]],Tabla6[[#All],[PRODUCTO]],0),MATCH(Tabla4[[#This Row],[Mes]],Tabla6[#Headers],0)))</f>
        <v>#N/A</v>
      </c>
      <c r="R1625" s="282" t="e">
        <f>++Tabla4[[#This Row],[Precio Unitario Neto]]-Tabla4[[#This Row],[20.85%]]-Tabla4[[#This Row],[Costo]]</f>
        <v>#N/A</v>
      </c>
      <c r="S1625" s="282" t="e">
        <f>++Tabla4[[#This Row],[U. Bruta Uni]]*Tabla4[[#This Row],[Cantidad]]</f>
        <v>#N/A</v>
      </c>
      <c r="T1625" s="369" t="str">
        <f>VLOOKUP(Tabla4[[#This Row],[Producto]],Tabla6[#All],14,FALSE)</f>
        <v>Termico Solar</v>
      </c>
      <c r="U1625" s="284" t="e">
        <f>(IF(Tabla4[[#This Row],[Familia]]="termico solar",Tabla4[[#This Row],[Utilidad Total]]*6%,Tabla4[[#This Row],[Utilidad Total]]*11.5%))/Tabla4[[#This Row],[Total]]</f>
        <v>#N/A</v>
      </c>
      <c r="V1625" s="282" t="e">
        <f>+Tabla4[[#This Row],[Comisión Calculada]]*Tabla4[[#This Row],[Total]]</f>
        <v>#N/A</v>
      </c>
    </row>
    <row r="1626" spans="1:22" hidden="1" x14ac:dyDescent="0.25">
      <c r="A1626" s="100">
        <v>45747</v>
      </c>
      <c r="B1626" t="str">
        <f t="shared" si="80"/>
        <v>March</v>
      </c>
      <c r="C1626" s="46" t="s">
        <v>280</v>
      </c>
      <c r="F1626" s="366" t="s">
        <v>1335</v>
      </c>
      <c r="G1626" s="46" t="s">
        <v>208</v>
      </c>
      <c r="H1626" s="46">
        <v>15</v>
      </c>
      <c r="I1626" s="51">
        <v>140.63</v>
      </c>
      <c r="J1626" s="281">
        <f>++Tabla4[[#This Row],[Precio Bruto]]*1.16</f>
        <v>163.13079999999999</v>
      </c>
      <c r="K1626" s="281">
        <f>+Tabla4[[#This Row],[Precio Unitario Neto]]*Tabla4[[#Headers],[20.85%]]</f>
        <v>34.012771799999996</v>
      </c>
      <c r="L1626" s="282">
        <f>++Tabla4[[#This Row],[Precio Unitario Neto]]-Tabla4[[#This Row],[20.85%]]</f>
        <v>129.1180282</v>
      </c>
      <c r="M1626" s="282" t="e">
        <f>(INDEX(Tabla6[#All],MATCH(Tabla4[[#This Row],[Producto]],Tabla6[[#All],[PRODUCTO]],0),MATCH(Tabla4[[#This Row],[Mes]],Tabla6[#Headers],0)))*(1+Catalogos!$L$2)</f>
        <v>#N/A</v>
      </c>
      <c r="N1626" s="283" t="e">
        <f>+(Tabla4[[#This Row],[Precio Descontado]]-Tabla4[[#This Row],[Precio Base]])*Tabla4[[#This Row],[Cantidad]]</f>
        <v>#N/A</v>
      </c>
      <c r="O1626" s="284" t="e">
        <f>++Tabla4[[#This Row],[Utilidad Total]]/Tabla4[[#This Row],[Total]]</f>
        <v>#N/A</v>
      </c>
      <c r="P1626" s="282">
        <f>++Tabla4[[#This Row],[Precio Descontado]]*Tabla4[[#This Row],[Cantidad]]</f>
        <v>1936.7704229999999</v>
      </c>
      <c r="Q1626" s="282" t="e">
        <f>(INDEX(Tabla6[#All],MATCH(Tabla4[[#This Row],[Producto]],Tabla6[[#All],[PRODUCTO]],0),MATCH(Tabla4[[#This Row],[Mes]],Tabla6[#Headers],0)))</f>
        <v>#N/A</v>
      </c>
      <c r="R1626" s="282" t="e">
        <f>++Tabla4[[#This Row],[Precio Unitario Neto]]-Tabla4[[#This Row],[20.85%]]-Tabla4[[#This Row],[Costo]]</f>
        <v>#N/A</v>
      </c>
      <c r="S1626" s="282" t="e">
        <f>++Tabla4[[#This Row],[U. Bruta Uni]]*Tabla4[[#This Row],[Cantidad]]</f>
        <v>#N/A</v>
      </c>
      <c r="T1626" s="369" t="str">
        <f>VLOOKUP(Tabla4[[#This Row],[Producto]],Tabla6[#All],14,FALSE)</f>
        <v>Termico Solar</v>
      </c>
      <c r="U1626" s="284" t="e">
        <f>(IF(Tabla4[[#This Row],[Familia]]="termico solar",Tabla4[[#This Row],[Utilidad Total]]*6%,Tabla4[[#This Row],[Utilidad Total]]*11.5%))/Tabla4[[#This Row],[Total]]</f>
        <v>#N/A</v>
      </c>
      <c r="V1626" s="282" t="e">
        <f>+Tabla4[[#This Row],[Comisión Calculada]]*Tabla4[[#This Row],[Total]]</f>
        <v>#N/A</v>
      </c>
    </row>
    <row r="1627" spans="1:22" hidden="1" x14ac:dyDescent="0.25">
      <c r="A1627" s="100">
        <v>45747</v>
      </c>
      <c r="B1627" t="str">
        <f t="shared" si="80"/>
        <v>March</v>
      </c>
      <c r="C1627" s="46" t="s">
        <v>280</v>
      </c>
      <c r="F1627" s="366" t="s">
        <v>1335</v>
      </c>
      <c r="G1627" s="46" t="s">
        <v>16</v>
      </c>
      <c r="H1627" s="46">
        <v>4</v>
      </c>
      <c r="I1627" s="51">
        <v>4103.8500000000004</v>
      </c>
      <c r="J1627" s="281">
        <f>++Tabla4[[#This Row],[Precio Bruto]]*1.16</f>
        <v>4760.4660000000003</v>
      </c>
      <c r="K1627" s="281">
        <f>+Tabla4[[#This Row],[Precio Unitario Neto]]*Tabla4[[#Headers],[20.85%]]</f>
        <v>992.55716100000006</v>
      </c>
      <c r="L1627" s="282">
        <f>++Tabla4[[#This Row],[Precio Unitario Neto]]-Tabla4[[#This Row],[20.85%]]</f>
        <v>3767.9088390000002</v>
      </c>
      <c r="M1627" s="282" t="e">
        <f>(INDEX(Tabla6[#All],MATCH(Tabla4[[#This Row],[Producto]],Tabla6[[#All],[PRODUCTO]],0),MATCH(Tabla4[[#This Row],[Mes]],Tabla6[#Headers],0)))*(1+Catalogos!$L$2)</f>
        <v>#N/A</v>
      </c>
      <c r="N1627" s="283" t="e">
        <f>+(Tabla4[[#This Row],[Precio Descontado]]-Tabla4[[#This Row],[Precio Base]])*Tabla4[[#This Row],[Cantidad]]</f>
        <v>#N/A</v>
      </c>
      <c r="O1627" s="284" t="e">
        <f>++Tabla4[[#This Row],[Utilidad Total]]/Tabla4[[#This Row],[Total]]</f>
        <v>#N/A</v>
      </c>
      <c r="P1627" s="282">
        <f>++Tabla4[[#This Row],[Precio Descontado]]*Tabla4[[#This Row],[Cantidad]]</f>
        <v>15071.635356000001</v>
      </c>
      <c r="Q1627" s="282" t="e">
        <f>(INDEX(Tabla6[#All],MATCH(Tabla4[[#This Row],[Producto]],Tabla6[[#All],[PRODUCTO]],0),MATCH(Tabla4[[#This Row],[Mes]],Tabla6[#Headers],0)))</f>
        <v>#N/A</v>
      </c>
      <c r="R1627" s="282" t="e">
        <f>++Tabla4[[#This Row],[Precio Unitario Neto]]-Tabla4[[#This Row],[20.85%]]-Tabla4[[#This Row],[Costo]]</f>
        <v>#N/A</v>
      </c>
      <c r="S1627" s="282" t="e">
        <f>++Tabla4[[#This Row],[U. Bruta Uni]]*Tabla4[[#This Row],[Cantidad]]</f>
        <v>#N/A</v>
      </c>
      <c r="T1627" s="369" t="str">
        <f>VLOOKUP(Tabla4[[#This Row],[Producto]],Tabla6[#All],14,FALSE)</f>
        <v>Termico Solar</v>
      </c>
      <c r="U1627" s="284" t="e">
        <f>(IF(Tabla4[[#This Row],[Familia]]="termico solar",Tabla4[[#This Row],[Utilidad Total]]*6%,Tabla4[[#This Row],[Utilidad Total]]*11.5%))/Tabla4[[#This Row],[Total]]</f>
        <v>#N/A</v>
      </c>
      <c r="V1627" s="282" t="e">
        <f>+Tabla4[[#This Row],[Comisión Calculada]]*Tabla4[[#This Row],[Total]]</f>
        <v>#N/A</v>
      </c>
    </row>
    <row r="1628" spans="1:22" hidden="1" x14ac:dyDescent="0.25">
      <c r="A1628" s="100">
        <v>45747</v>
      </c>
      <c r="B1628" t="str">
        <f t="shared" si="80"/>
        <v>March</v>
      </c>
      <c r="C1628" s="46" t="s">
        <v>280</v>
      </c>
      <c r="F1628" s="366" t="s">
        <v>1335</v>
      </c>
      <c r="G1628" s="46" t="s">
        <v>394</v>
      </c>
      <c r="H1628" s="46">
        <v>16</v>
      </c>
      <c r="I1628" s="51">
        <v>224.29</v>
      </c>
      <c r="J1628" s="281">
        <f>++Tabla4[[#This Row],[Precio Bruto]]*1.16</f>
        <v>260.1764</v>
      </c>
      <c r="K1628" s="281">
        <f>+Tabla4[[#This Row],[Precio Unitario Neto]]*Tabla4[[#Headers],[20.85%]]</f>
        <v>54.246779400000001</v>
      </c>
      <c r="L1628" s="282">
        <f>++Tabla4[[#This Row],[Precio Unitario Neto]]-Tabla4[[#This Row],[20.85%]]</f>
        <v>205.92962059999999</v>
      </c>
      <c r="M1628" s="282" t="e">
        <f>(INDEX(Tabla6[#All],MATCH(Tabla4[[#This Row],[Producto]],Tabla6[[#All],[PRODUCTO]],0),MATCH(Tabla4[[#This Row],[Mes]],Tabla6[#Headers],0)))*(1+Catalogos!$L$2)</f>
        <v>#N/A</v>
      </c>
      <c r="N1628" s="283" t="e">
        <f>+(Tabla4[[#This Row],[Precio Descontado]]-Tabla4[[#This Row],[Precio Base]])*Tabla4[[#This Row],[Cantidad]]</f>
        <v>#N/A</v>
      </c>
      <c r="O1628" s="284" t="e">
        <f>++Tabla4[[#This Row],[Utilidad Total]]/Tabla4[[#This Row],[Total]]</f>
        <v>#N/A</v>
      </c>
      <c r="P1628" s="282">
        <f>++Tabla4[[#This Row],[Precio Descontado]]*Tabla4[[#This Row],[Cantidad]]</f>
        <v>3294.8739295999999</v>
      </c>
      <c r="Q1628" s="282" t="e">
        <f>(INDEX(Tabla6[#All],MATCH(Tabla4[[#This Row],[Producto]],Tabla6[[#All],[PRODUCTO]],0),MATCH(Tabla4[[#This Row],[Mes]],Tabla6[#Headers],0)))</f>
        <v>#N/A</v>
      </c>
      <c r="R1628" s="282" t="e">
        <f>++Tabla4[[#This Row],[Precio Unitario Neto]]-Tabla4[[#This Row],[20.85%]]-Tabla4[[#This Row],[Costo]]</f>
        <v>#N/A</v>
      </c>
      <c r="S1628" s="282" t="e">
        <f>++Tabla4[[#This Row],[U. Bruta Uni]]*Tabla4[[#This Row],[Cantidad]]</f>
        <v>#N/A</v>
      </c>
      <c r="T1628" s="369" t="str">
        <f>VLOOKUP(Tabla4[[#This Row],[Producto]],Tabla6[#All],14,FALSE)</f>
        <v>Termico Solar</v>
      </c>
      <c r="U1628" s="284" t="e">
        <f>(IF(Tabla4[[#This Row],[Familia]]="termico solar",Tabla4[[#This Row],[Utilidad Total]]*6%,Tabla4[[#This Row],[Utilidad Total]]*11.5%))/Tabla4[[#This Row],[Total]]</f>
        <v>#N/A</v>
      </c>
      <c r="V1628" s="282" t="e">
        <f>+Tabla4[[#This Row],[Comisión Calculada]]*Tabla4[[#This Row],[Total]]</f>
        <v>#N/A</v>
      </c>
    </row>
    <row r="1629" spans="1:22" hidden="1" x14ac:dyDescent="0.25">
      <c r="A1629" s="100">
        <v>45747</v>
      </c>
      <c r="B1629" t="str">
        <f t="shared" si="80"/>
        <v>March</v>
      </c>
      <c r="C1629" s="46" t="s">
        <v>280</v>
      </c>
      <c r="F1629" s="366" t="s">
        <v>1335</v>
      </c>
      <c r="G1629" s="46" t="s">
        <v>555</v>
      </c>
      <c r="H1629" s="46">
        <v>8</v>
      </c>
      <c r="I1629" s="51">
        <v>389.47</v>
      </c>
      <c r="J1629" s="281">
        <f>++Tabla4[[#This Row],[Precio Bruto]]*1.16</f>
        <v>451.78519999999997</v>
      </c>
      <c r="K1629" s="281">
        <f>+Tabla4[[#This Row],[Precio Unitario Neto]]*Tabla4[[#Headers],[20.85%]]</f>
        <v>94.197214199999991</v>
      </c>
      <c r="L1629" s="282">
        <f>++Tabla4[[#This Row],[Precio Unitario Neto]]-Tabla4[[#This Row],[20.85%]]</f>
        <v>357.58798579999996</v>
      </c>
      <c r="M1629" s="282" t="e">
        <f>(INDEX(Tabla6[#All],MATCH(Tabla4[[#This Row],[Producto]],Tabla6[[#All],[PRODUCTO]],0),MATCH(Tabla4[[#This Row],[Mes]],Tabla6[#Headers],0)))*(1+Catalogos!$L$2)</f>
        <v>#N/A</v>
      </c>
      <c r="N1629" s="283" t="e">
        <f>+(Tabla4[[#This Row],[Precio Descontado]]-Tabla4[[#This Row],[Precio Base]])*Tabla4[[#This Row],[Cantidad]]</f>
        <v>#N/A</v>
      </c>
      <c r="O1629" s="284" t="e">
        <f>++Tabla4[[#This Row],[Utilidad Total]]/Tabla4[[#This Row],[Total]]</f>
        <v>#N/A</v>
      </c>
      <c r="P1629" s="282">
        <f>++Tabla4[[#This Row],[Precio Descontado]]*Tabla4[[#This Row],[Cantidad]]</f>
        <v>2860.7038863999996</v>
      </c>
      <c r="Q1629" s="282" t="e">
        <f>(INDEX(Tabla6[#All],MATCH(Tabla4[[#This Row],[Producto]],Tabla6[[#All],[PRODUCTO]],0),MATCH(Tabla4[[#This Row],[Mes]],Tabla6[#Headers],0)))</f>
        <v>#N/A</v>
      </c>
      <c r="R1629" s="282" t="e">
        <f>++Tabla4[[#This Row],[Precio Unitario Neto]]-Tabla4[[#This Row],[20.85%]]-Tabla4[[#This Row],[Costo]]</f>
        <v>#N/A</v>
      </c>
      <c r="S1629" s="282" t="e">
        <f>++Tabla4[[#This Row],[U. Bruta Uni]]*Tabla4[[#This Row],[Cantidad]]</f>
        <v>#N/A</v>
      </c>
      <c r="T1629" s="369" t="str">
        <f>VLOOKUP(Tabla4[[#This Row],[Producto]],Tabla6[#All],14,FALSE)</f>
        <v>Termico Solar</v>
      </c>
      <c r="U1629" s="284" t="e">
        <f>(IF(Tabla4[[#This Row],[Familia]]="termico solar",Tabla4[[#This Row],[Utilidad Total]]*6%,Tabla4[[#This Row],[Utilidad Total]]*11.5%))/Tabla4[[#This Row],[Total]]</f>
        <v>#N/A</v>
      </c>
      <c r="V1629" s="282" t="e">
        <f>+Tabla4[[#This Row],[Comisión Calculada]]*Tabla4[[#This Row],[Total]]</f>
        <v>#N/A</v>
      </c>
    </row>
    <row r="1630" spans="1:22" hidden="1" x14ac:dyDescent="0.25">
      <c r="A1630" s="100">
        <v>45747</v>
      </c>
      <c r="B1630" t="str">
        <f t="shared" si="80"/>
        <v>March</v>
      </c>
      <c r="C1630" s="46" t="s">
        <v>280</v>
      </c>
      <c r="F1630" s="366" t="s">
        <v>1335</v>
      </c>
      <c r="G1630" s="46" t="s">
        <v>208</v>
      </c>
      <c r="H1630" s="46">
        <v>2</v>
      </c>
      <c r="I1630" s="51">
        <v>189.75</v>
      </c>
      <c r="J1630" s="281">
        <f>++Tabla4[[#This Row],[Precio Bruto]]*1.16</f>
        <v>220.10999999999999</v>
      </c>
      <c r="K1630" s="281">
        <f>+Tabla4[[#This Row],[Precio Unitario Neto]]*Tabla4[[#Headers],[20.85%]]</f>
        <v>45.892934999999994</v>
      </c>
      <c r="L1630" s="282">
        <f>++Tabla4[[#This Row],[Precio Unitario Neto]]-Tabla4[[#This Row],[20.85%]]</f>
        <v>174.21706499999999</v>
      </c>
      <c r="M1630" s="282" t="e">
        <f>(INDEX(Tabla6[#All],MATCH(Tabla4[[#This Row],[Producto]],Tabla6[[#All],[PRODUCTO]],0),MATCH(Tabla4[[#This Row],[Mes]],Tabla6[#Headers],0)))*(1+Catalogos!$L$2)</f>
        <v>#N/A</v>
      </c>
      <c r="N1630" s="283" t="e">
        <f>+(Tabla4[[#This Row],[Precio Descontado]]-Tabla4[[#This Row],[Precio Base]])*Tabla4[[#This Row],[Cantidad]]</f>
        <v>#N/A</v>
      </c>
      <c r="O1630" s="284" t="e">
        <f>++Tabla4[[#This Row],[Utilidad Total]]/Tabla4[[#This Row],[Total]]</f>
        <v>#N/A</v>
      </c>
      <c r="P1630" s="282">
        <f>++Tabla4[[#This Row],[Precio Descontado]]*Tabla4[[#This Row],[Cantidad]]</f>
        <v>348.43412999999998</v>
      </c>
      <c r="Q1630" s="282" t="e">
        <f>(INDEX(Tabla6[#All],MATCH(Tabla4[[#This Row],[Producto]],Tabla6[[#All],[PRODUCTO]],0),MATCH(Tabla4[[#This Row],[Mes]],Tabla6[#Headers],0)))</f>
        <v>#N/A</v>
      </c>
      <c r="R1630" s="282" t="e">
        <f>++Tabla4[[#This Row],[Precio Unitario Neto]]-Tabla4[[#This Row],[20.85%]]-Tabla4[[#This Row],[Costo]]</f>
        <v>#N/A</v>
      </c>
      <c r="S1630" s="282" t="e">
        <f>++Tabla4[[#This Row],[U. Bruta Uni]]*Tabla4[[#This Row],[Cantidad]]</f>
        <v>#N/A</v>
      </c>
      <c r="T1630" s="369" t="str">
        <f>VLOOKUP(Tabla4[[#This Row],[Producto]],Tabla6[#All],14,FALSE)</f>
        <v>Termico Solar</v>
      </c>
      <c r="U1630" s="284" t="e">
        <f>(IF(Tabla4[[#This Row],[Familia]]="termico solar",Tabla4[[#This Row],[Utilidad Total]]*6%,Tabla4[[#This Row],[Utilidad Total]]*11.5%))/Tabla4[[#This Row],[Total]]</f>
        <v>#N/A</v>
      </c>
      <c r="V1630" s="282" t="e">
        <f>+Tabla4[[#This Row],[Comisión Calculada]]*Tabla4[[#This Row],[Total]]</f>
        <v>#N/A</v>
      </c>
    </row>
    <row r="1631" spans="1:22" hidden="1" x14ac:dyDescent="0.25">
      <c r="A1631" s="100">
        <v>45747</v>
      </c>
      <c r="B1631" t="str">
        <f t="shared" ref="B1631:B1638" si="81">TEXT(A1631, "mmmm")</f>
        <v>March</v>
      </c>
      <c r="C1631" s="46" t="s">
        <v>280</v>
      </c>
      <c r="F1631" s="366" t="s">
        <v>1336</v>
      </c>
      <c r="G1631" s="46" t="s">
        <v>83</v>
      </c>
      <c r="H1631" s="46">
        <v>2</v>
      </c>
      <c r="I1631" s="51">
        <v>8858.76</v>
      </c>
      <c r="J1631" s="281">
        <f>++Tabla4[[#This Row],[Precio Bruto]]*1.16</f>
        <v>10276.161599999999</v>
      </c>
      <c r="K1631" s="281">
        <f>+Tabla4[[#This Row],[Precio Unitario Neto]]*Tabla4[[#Headers],[20.85%]]</f>
        <v>2142.5796935999997</v>
      </c>
      <c r="L1631" s="282">
        <f>++Tabla4[[#This Row],[Precio Unitario Neto]]-Tabla4[[#This Row],[20.85%]]</f>
        <v>8133.5819063999998</v>
      </c>
      <c r="M1631" s="282" t="e">
        <f>(INDEX(Tabla6[#All],MATCH(Tabla4[[#This Row],[Producto]],Tabla6[[#All],[PRODUCTO]],0),MATCH(Tabla4[[#This Row],[Mes]],Tabla6[#Headers],0)))*(1+Catalogos!$L$2)</f>
        <v>#N/A</v>
      </c>
      <c r="N1631" s="283" t="e">
        <f>+(Tabla4[[#This Row],[Precio Descontado]]-Tabla4[[#This Row],[Precio Base]])*Tabla4[[#This Row],[Cantidad]]</f>
        <v>#N/A</v>
      </c>
      <c r="O1631" s="284" t="e">
        <f>++Tabla4[[#This Row],[Utilidad Total]]/Tabla4[[#This Row],[Total]]</f>
        <v>#N/A</v>
      </c>
      <c r="P1631" s="282">
        <f>++Tabla4[[#This Row],[Precio Descontado]]*Tabla4[[#This Row],[Cantidad]]</f>
        <v>16267.1638128</v>
      </c>
      <c r="Q1631" s="282" t="e">
        <f>(INDEX(Tabla6[#All],MATCH(Tabla4[[#This Row],[Producto]],Tabla6[[#All],[PRODUCTO]],0),MATCH(Tabla4[[#This Row],[Mes]],Tabla6[#Headers],0)))</f>
        <v>#N/A</v>
      </c>
      <c r="R1631" s="282" t="e">
        <f>++Tabla4[[#This Row],[Precio Unitario Neto]]-Tabla4[[#This Row],[20.85%]]-Tabla4[[#This Row],[Costo]]</f>
        <v>#N/A</v>
      </c>
      <c r="S1631" s="282" t="e">
        <f>++Tabla4[[#This Row],[U. Bruta Uni]]*Tabla4[[#This Row],[Cantidad]]</f>
        <v>#N/A</v>
      </c>
      <c r="T1631" s="369" t="str">
        <f>VLOOKUP(Tabla4[[#This Row],[Producto]],Tabla6[#All],14,FALSE)</f>
        <v>Termico Solar</v>
      </c>
      <c r="U1631" s="284" t="e">
        <f>(IF(Tabla4[[#This Row],[Familia]]="termico solar",Tabla4[[#This Row],[Utilidad Total]]*6%,Tabla4[[#This Row],[Utilidad Total]]*11.5%))/Tabla4[[#This Row],[Total]]</f>
        <v>#N/A</v>
      </c>
      <c r="V1631" s="282" t="e">
        <f>+Tabla4[[#This Row],[Comisión Calculada]]*Tabla4[[#This Row],[Total]]</f>
        <v>#N/A</v>
      </c>
    </row>
    <row r="1632" spans="1:22" hidden="1" x14ac:dyDescent="0.25">
      <c r="A1632" s="100">
        <v>45747</v>
      </c>
      <c r="B1632" t="str">
        <f t="shared" si="81"/>
        <v>March</v>
      </c>
      <c r="C1632" s="46" t="s">
        <v>280</v>
      </c>
      <c r="F1632" s="366" t="s">
        <v>1336</v>
      </c>
      <c r="G1632" s="46" t="s">
        <v>16</v>
      </c>
      <c r="H1632" s="46">
        <v>1</v>
      </c>
      <c r="I1632" s="51">
        <v>4103.8500000000004</v>
      </c>
      <c r="J1632" s="281">
        <f>++Tabla4[[#This Row],[Precio Bruto]]*1.16</f>
        <v>4760.4660000000003</v>
      </c>
      <c r="K1632" s="281">
        <f>+Tabla4[[#This Row],[Precio Unitario Neto]]*Tabla4[[#Headers],[20.85%]]</f>
        <v>992.55716100000006</v>
      </c>
      <c r="L1632" s="282">
        <f>++Tabla4[[#This Row],[Precio Unitario Neto]]-Tabla4[[#This Row],[20.85%]]</f>
        <v>3767.9088390000002</v>
      </c>
      <c r="M1632" s="282" t="e">
        <f>(INDEX(Tabla6[#All],MATCH(Tabla4[[#This Row],[Producto]],Tabla6[[#All],[PRODUCTO]],0),MATCH(Tabla4[[#This Row],[Mes]],Tabla6[#Headers],0)))*(1+Catalogos!$L$2)</f>
        <v>#N/A</v>
      </c>
      <c r="N1632" s="283" t="e">
        <f>+(Tabla4[[#This Row],[Precio Descontado]]-Tabla4[[#This Row],[Precio Base]])*Tabla4[[#This Row],[Cantidad]]</f>
        <v>#N/A</v>
      </c>
      <c r="O1632" s="284" t="e">
        <f>++Tabla4[[#This Row],[Utilidad Total]]/Tabla4[[#This Row],[Total]]</f>
        <v>#N/A</v>
      </c>
      <c r="P1632" s="282">
        <f>++Tabla4[[#This Row],[Precio Descontado]]*Tabla4[[#This Row],[Cantidad]]</f>
        <v>3767.9088390000002</v>
      </c>
      <c r="Q1632" s="282" t="e">
        <f>(INDEX(Tabla6[#All],MATCH(Tabla4[[#This Row],[Producto]],Tabla6[[#All],[PRODUCTO]],0),MATCH(Tabla4[[#This Row],[Mes]],Tabla6[#Headers],0)))</f>
        <v>#N/A</v>
      </c>
      <c r="R1632" s="282" t="e">
        <f>++Tabla4[[#This Row],[Precio Unitario Neto]]-Tabla4[[#This Row],[20.85%]]-Tabla4[[#This Row],[Costo]]</f>
        <v>#N/A</v>
      </c>
      <c r="S1632" s="282" t="e">
        <f>++Tabla4[[#This Row],[U. Bruta Uni]]*Tabla4[[#This Row],[Cantidad]]</f>
        <v>#N/A</v>
      </c>
      <c r="T1632" s="369" t="str">
        <f>VLOOKUP(Tabla4[[#This Row],[Producto]],Tabla6[#All],14,FALSE)</f>
        <v>Termico Solar</v>
      </c>
      <c r="U1632" s="284" t="e">
        <f>(IF(Tabla4[[#This Row],[Familia]]="termico solar",Tabla4[[#This Row],[Utilidad Total]]*6%,Tabla4[[#This Row],[Utilidad Total]]*11.5%))/Tabla4[[#This Row],[Total]]</f>
        <v>#N/A</v>
      </c>
      <c r="V1632" s="282" t="e">
        <f>+Tabla4[[#This Row],[Comisión Calculada]]*Tabla4[[#This Row],[Total]]</f>
        <v>#N/A</v>
      </c>
    </row>
    <row r="1633" spans="1:22" hidden="1" x14ac:dyDescent="0.25">
      <c r="A1633" s="100">
        <v>45747</v>
      </c>
      <c r="B1633" t="str">
        <f t="shared" si="81"/>
        <v>March</v>
      </c>
      <c r="C1633" s="46" t="s">
        <v>280</v>
      </c>
      <c r="F1633" s="366" t="s">
        <v>1337</v>
      </c>
      <c r="G1633" s="46" t="s">
        <v>83</v>
      </c>
      <c r="H1633" s="46">
        <v>3</v>
      </c>
      <c r="I1633" s="51">
        <v>8858.76</v>
      </c>
      <c r="J1633" s="281">
        <f>++Tabla4[[#This Row],[Precio Bruto]]*1.16</f>
        <v>10276.161599999999</v>
      </c>
      <c r="K1633" s="281">
        <f>+Tabla4[[#This Row],[Precio Unitario Neto]]*Tabla4[[#Headers],[20.85%]]</f>
        <v>2142.5796935999997</v>
      </c>
      <c r="L1633" s="282">
        <f>++Tabla4[[#This Row],[Precio Unitario Neto]]-Tabla4[[#This Row],[20.85%]]</f>
        <v>8133.5819063999998</v>
      </c>
      <c r="M1633" s="282" t="e">
        <f>(INDEX(Tabla6[#All],MATCH(Tabla4[[#This Row],[Producto]],Tabla6[[#All],[PRODUCTO]],0),MATCH(Tabla4[[#This Row],[Mes]],Tabla6[#Headers],0)))*(1+Catalogos!$L$2)</f>
        <v>#N/A</v>
      </c>
      <c r="N1633" s="283" t="e">
        <f>+(Tabla4[[#This Row],[Precio Descontado]]-Tabla4[[#This Row],[Precio Base]])*Tabla4[[#This Row],[Cantidad]]</f>
        <v>#N/A</v>
      </c>
      <c r="O1633" s="284" t="e">
        <f>++Tabla4[[#This Row],[Utilidad Total]]/Tabla4[[#This Row],[Total]]</f>
        <v>#N/A</v>
      </c>
      <c r="P1633" s="282">
        <f>++Tabla4[[#This Row],[Precio Descontado]]*Tabla4[[#This Row],[Cantidad]]</f>
        <v>24400.7457192</v>
      </c>
      <c r="Q1633" s="282" t="e">
        <f>(INDEX(Tabla6[#All],MATCH(Tabla4[[#This Row],[Producto]],Tabla6[[#All],[PRODUCTO]],0),MATCH(Tabla4[[#This Row],[Mes]],Tabla6[#Headers],0)))</f>
        <v>#N/A</v>
      </c>
      <c r="R1633" s="282" t="e">
        <f>++Tabla4[[#This Row],[Precio Unitario Neto]]-Tabla4[[#This Row],[20.85%]]-Tabla4[[#This Row],[Costo]]</f>
        <v>#N/A</v>
      </c>
      <c r="S1633" s="282" t="e">
        <f>++Tabla4[[#This Row],[U. Bruta Uni]]*Tabla4[[#This Row],[Cantidad]]</f>
        <v>#N/A</v>
      </c>
      <c r="T1633" s="369" t="str">
        <f>VLOOKUP(Tabla4[[#This Row],[Producto]],Tabla6[#All],14,FALSE)</f>
        <v>Termico Solar</v>
      </c>
      <c r="U1633" s="284" t="e">
        <f>(IF(Tabla4[[#This Row],[Familia]]="termico solar",Tabla4[[#This Row],[Utilidad Total]]*6%,Tabla4[[#This Row],[Utilidad Total]]*11.5%))/Tabla4[[#This Row],[Total]]</f>
        <v>#N/A</v>
      </c>
      <c r="V1633" s="282" t="e">
        <f>+Tabla4[[#This Row],[Comisión Calculada]]*Tabla4[[#This Row],[Total]]</f>
        <v>#N/A</v>
      </c>
    </row>
    <row r="1634" spans="1:22" hidden="1" x14ac:dyDescent="0.25">
      <c r="A1634" s="100">
        <v>45747</v>
      </c>
      <c r="B1634" t="str">
        <f t="shared" si="81"/>
        <v>March</v>
      </c>
      <c r="C1634" s="46" t="s">
        <v>280</v>
      </c>
      <c r="F1634" s="366" t="s">
        <v>1337</v>
      </c>
      <c r="G1634" s="46" t="s">
        <v>17</v>
      </c>
      <c r="H1634" s="46">
        <v>3</v>
      </c>
      <c r="I1634" s="51">
        <v>4622.28</v>
      </c>
      <c r="J1634" s="281">
        <f>++Tabla4[[#This Row],[Precio Bruto]]*1.16</f>
        <v>5361.8447999999989</v>
      </c>
      <c r="K1634" s="281">
        <f>+Tabla4[[#This Row],[Precio Unitario Neto]]*Tabla4[[#Headers],[20.85%]]</f>
        <v>1117.9446407999997</v>
      </c>
      <c r="L1634" s="282">
        <f>++Tabla4[[#This Row],[Precio Unitario Neto]]-Tabla4[[#This Row],[20.85%]]</f>
        <v>4243.9001591999995</v>
      </c>
      <c r="M1634" s="282" t="e">
        <f>(INDEX(Tabla6[#All],MATCH(Tabla4[[#This Row],[Producto]],Tabla6[[#All],[PRODUCTO]],0),MATCH(Tabla4[[#This Row],[Mes]],Tabla6[#Headers],0)))*(1+Catalogos!$L$2)</f>
        <v>#N/A</v>
      </c>
      <c r="N1634" s="283" t="e">
        <f>+(Tabla4[[#This Row],[Precio Descontado]]-Tabla4[[#This Row],[Precio Base]])*Tabla4[[#This Row],[Cantidad]]</f>
        <v>#N/A</v>
      </c>
      <c r="O1634" s="284" t="e">
        <f>++Tabla4[[#This Row],[Utilidad Total]]/Tabla4[[#This Row],[Total]]</f>
        <v>#N/A</v>
      </c>
      <c r="P1634" s="282">
        <f>++Tabla4[[#This Row],[Precio Descontado]]*Tabla4[[#This Row],[Cantidad]]</f>
        <v>12731.700477599999</v>
      </c>
      <c r="Q1634" s="282" t="e">
        <f>(INDEX(Tabla6[#All],MATCH(Tabla4[[#This Row],[Producto]],Tabla6[[#All],[PRODUCTO]],0),MATCH(Tabla4[[#This Row],[Mes]],Tabla6[#Headers],0)))</f>
        <v>#N/A</v>
      </c>
      <c r="R1634" s="282" t="e">
        <f>++Tabla4[[#This Row],[Precio Unitario Neto]]-Tabla4[[#This Row],[20.85%]]-Tabla4[[#This Row],[Costo]]</f>
        <v>#N/A</v>
      </c>
      <c r="S1634" s="282" t="e">
        <f>++Tabla4[[#This Row],[U. Bruta Uni]]*Tabla4[[#This Row],[Cantidad]]</f>
        <v>#N/A</v>
      </c>
      <c r="T1634" s="369" t="str">
        <f>VLOOKUP(Tabla4[[#This Row],[Producto]],Tabla6[#All],14,FALSE)</f>
        <v>Termico Solar</v>
      </c>
      <c r="U1634" s="284" t="e">
        <f>(IF(Tabla4[[#This Row],[Familia]]="termico solar",Tabla4[[#This Row],[Utilidad Total]]*6%,Tabla4[[#This Row],[Utilidad Total]]*11.5%))/Tabla4[[#This Row],[Total]]</f>
        <v>#N/A</v>
      </c>
      <c r="V1634" s="282" t="e">
        <f>+Tabla4[[#This Row],[Comisión Calculada]]*Tabla4[[#This Row],[Total]]</f>
        <v>#N/A</v>
      </c>
    </row>
    <row r="1635" spans="1:22" hidden="1" x14ac:dyDescent="0.25">
      <c r="A1635" s="100">
        <v>45747</v>
      </c>
      <c r="B1635" t="str">
        <f t="shared" si="81"/>
        <v>March</v>
      </c>
      <c r="C1635" s="46" t="s">
        <v>280</v>
      </c>
      <c r="F1635" s="366" t="s">
        <v>1337</v>
      </c>
      <c r="G1635" s="46" t="s">
        <v>209</v>
      </c>
      <c r="H1635" s="46">
        <v>12</v>
      </c>
      <c r="I1635" s="51">
        <v>270.07</v>
      </c>
      <c r="J1635" s="281">
        <f>++Tabla4[[#This Row],[Precio Bruto]]*1.16</f>
        <v>313.28119999999996</v>
      </c>
      <c r="K1635" s="281">
        <f>+Tabla4[[#This Row],[Precio Unitario Neto]]*Tabla4[[#Headers],[20.85%]]</f>
        <v>65.319130199999989</v>
      </c>
      <c r="L1635" s="282">
        <f>++Tabla4[[#This Row],[Precio Unitario Neto]]-Tabla4[[#This Row],[20.85%]]</f>
        <v>247.96206979999997</v>
      </c>
      <c r="M1635" s="282" t="e">
        <f>(INDEX(Tabla6[#All],MATCH(Tabla4[[#This Row],[Producto]],Tabla6[[#All],[PRODUCTO]],0),MATCH(Tabla4[[#This Row],[Mes]],Tabla6[#Headers],0)))*(1+Catalogos!$L$2)</f>
        <v>#N/A</v>
      </c>
      <c r="N1635" s="283" t="e">
        <f>+(Tabla4[[#This Row],[Precio Descontado]]-Tabla4[[#This Row],[Precio Base]])*Tabla4[[#This Row],[Cantidad]]</f>
        <v>#N/A</v>
      </c>
      <c r="O1635" s="284" t="e">
        <f>++Tabla4[[#This Row],[Utilidad Total]]/Tabla4[[#This Row],[Total]]</f>
        <v>#N/A</v>
      </c>
      <c r="P1635" s="282">
        <f>++Tabla4[[#This Row],[Precio Descontado]]*Tabla4[[#This Row],[Cantidad]]</f>
        <v>2975.5448375999995</v>
      </c>
      <c r="Q1635" s="282" t="e">
        <f>(INDEX(Tabla6[#All],MATCH(Tabla4[[#This Row],[Producto]],Tabla6[[#All],[PRODUCTO]],0),MATCH(Tabla4[[#This Row],[Mes]],Tabla6[#Headers],0)))</f>
        <v>#N/A</v>
      </c>
      <c r="R1635" s="282" t="e">
        <f>++Tabla4[[#This Row],[Precio Unitario Neto]]-Tabla4[[#This Row],[20.85%]]-Tabla4[[#This Row],[Costo]]</f>
        <v>#N/A</v>
      </c>
      <c r="S1635" s="282" t="e">
        <f>++Tabla4[[#This Row],[U. Bruta Uni]]*Tabla4[[#This Row],[Cantidad]]</f>
        <v>#N/A</v>
      </c>
      <c r="T1635" s="369" t="str">
        <f>VLOOKUP(Tabla4[[#This Row],[Producto]],Tabla6[#All],14,FALSE)</f>
        <v>Termico Solar</v>
      </c>
      <c r="U1635" s="284" t="e">
        <f>(IF(Tabla4[[#This Row],[Familia]]="termico solar",Tabla4[[#This Row],[Utilidad Total]]*6%,Tabla4[[#This Row],[Utilidad Total]]*11.5%))/Tabla4[[#This Row],[Total]]</f>
        <v>#N/A</v>
      </c>
      <c r="V1635" s="282" t="e">
        <f>+Tabla4[[#This Row],[Comisión Calculada]]*Tabla4[[#This Row],[Total]]</f>
        <v>#N/A</v>
      </c>
    </row>
    <row r="1636" spans="1:22" hidden="1" x14ac:dyDescent="0.25">
      <c r="A1636" s="100">
        <v>45747</v>
      </c>
      <c r="B1636" t="str">
        <f t="shared" si="81"/>
        <v>March</v>
      </c>
      <c r="C1636" s="46" t="s">
        <v>280</v>
      </c>
      <c r="F1636" s="366" t="s">
        <v>1337</v>
      </c>
      <c r="G1636" s="46" t="s">
        <v>16</v>
      </c>
      <c r="H1636" s="46">
        <v>2</v>
      </c>
      <c r="I1636" s="51">
        <v>4103.8500000000004</v>
      </c>
      <c r="J1636" s="281">
        <f>++Tabla4[[#This Row],[Precio Bruto]]*1.16</f>
        <v>4760.4660000000003</v>
      </c>
      <c r="K1636" s="281">
        <f>+Tabla4[[#This Row],[Precio Unitario Neto]]*Tabla4[[#Headers],[20.85%]]</f>
        <v>992.55716100000006</v>
      </c>
      <c r="L1636" s="282">
        <f>++Tabla4[[#This Row],[Precio Unitario Neto]]-Tabla4[[#This Row],[20.85%]]</f>
        <v>3767.9088390000002</v>
      </c>
      <c r="M1636" s="282" t="e">
        <f>(INDEX(Tabla6[#All],MATCH(Tabla4[[#This Row],[Producto]],Tabla6[[#All],[PRODUCTO]],0),MATCH(Tabla4[[#This Row],[Mes]],Tabla6[#Headers],0)))*(1+Catalogos!$L$2)</f>
        <v>#N/A</v>
      </c>
      <c r="N1636" s="283" t="e">
        <f>+(Tabla4[[#This Row],[Precio Descontado]]-Tabla4[[#This Row],[Precio Base]])*Tabla4[[#This Row],[Cantidad]]</f>
        <v>#N/A</v>
      </c>
      <c r="O1636" s="284" t="e">
        <f>++Tabla4[[#This Row],[Utilidad Total]]/Tabla4[[#This Row],[Total]]</f>
        <v>#N/A</v>
      </c>
      <c r="P1636" s="282">
        <f>++Tabla4[[#This Row],[Precio Descontado]]*Tabla4[[#This Row],[Cantidad]]</f>
        <v>7535.8176780000003</v>
      </c>
      <c r="Q1636" s="282" t="e">
        <f>(INDEX(Tabla6[#All],MATCH(Tabla4[[#This Row],[Producto]],Tabla6[[#All],[PRODUCTO]],0),MATCH(Tabla4[[#This Row],[Mes]],Tabla6[#Headers],0)))</f>
        <v>#N/A</v>
      </c>
      <c r="R1636" s="282" t="e">
        <f>++Tabla4[[#This Row],[Precio Unitario Neto]]-Tabla4[[#This Row],[20.85%]]-Tabla4[[#This Row],[Costo]]</f>
        <v>#N/A</v>
      </c>
      <c r="S1636" s="282" t="e">
        <f>++Tabla4[[#This Row],[U. Bruta Uni]]*Tabla4[[#This Row],[Cantidad]]</f>
        <v>#N/A</v>
      </c>
      <c r="T1636" s="369" t="str">
        <f>VLOOKUP(Tabla4[[#This Row],[Producto]],Tabla6[#All],14,FALSE)</f>
        <v>Termico Solar</v>
      </c>
      <c r="U1636" s="284" t="e">
        <f>(IF(Tabla4[[#This Row],[Familia]]="termico solar",Tabla4[[#This Row],[Utilidad Total]]*6%,Tabla4[[#This Row],[Utilidad Total]]*11.5%))/Tabla4[[#This Row],[Total]]</f>
        <v>#N/A</v>
      </c>
      <c r="V1636" s="282" t="e">
        <f>+Tabla4[[#This Row],[Comisión Calculada]]*Tabla4[[#This Row],[Total]]</f>
        <v>#N/A</v>
      </c>
    </row>
    <row r="1637" spans="1:22" hidden="1" x14ac:dyDescent="0.25">
      <c r="A1637" s="100">
        <v>45747</v>
      </c>
      <c r="B1637" t="str">
        <f t="shared" si="81"/>
        <v>March</v>
      </c>
      <c r="C1637" s="46" t="s">
        <v>280</v>
      </c>
      <c r="F1637" s="366" t="s">
        <v>1338</v>
      </c>
      <c r="G1637" s="46" t="s">
        <v>83</v>
      </c>
      <c r="H1637" s="46">
        <v>1</v>
      </c>
      <c r="I1637" s="51">
        <v>8858.76</v>
      </c>
      <c r="J1637" s="281">
        <f>++Tabla4[[#This Row],[Precio Bruto]]*1.16</f>
        <v>10276.161599999999</v>
      </c>
      <c r="K1637" s="281">
        <f>+Tabla4[[#This Row],[Precio Unitario Neto]]*Tabla4[[#Headers],[20.85%]]</f>
        <v>2142.5796935999997</v>
      </c>
      <c r="L1637" s="282">
        <f>++Tabla4[[#This Row],[Precio Unitario Neto]]-Tabla4[[#This Row],[20.85%]]</f>
        <v>8133.5819063999998</v>
      </c>
      <c r="M1637" s="282" t="e">
        <f>(INDEX(Tabla6[#All],MATCH(Tabla4[[#This Row],[Producto]],Tabla6[[#All],[PRODUCTO]],0),MATCH(Tabla4[[#This Row],[Mes]],Tabla6[#Headers],0)))*(1+Catalogos!$L$2)</f>
        <v>#N/A</v>
      </c>
      <c r="N1637" s="283" t="e">
        <f>+(Tabla4[[#This Row],[Precio Descontado]]-Tabla4[[#This Row],[Precio Base]])*Tabla4[[#This Row],[Cantidad]]</f>
        <v>#N/A</v>
      </c>
      <c r="O1637" s="284" t="e">
        <f>++Tabla4[[#This Row],[Utilidad Total]]/Tabla4[[#This Row],[Total]]</f>
        <v>#N/A</v>
      </c>
      <c r="P1637" s="282">
        <f>++Tabla4[[#This Row],[Precio Descontado]]*Tabla4[[#This Row],[Cantidad]]</f>
        <v>8133.5819063999998</v>
      </c>
      <c r="Q1637" s="282" t="e">
        <f>(INDEX(Tabla6[#All],MATCH(Tabla4[[#This Row],[Producto]],Tabla6[[#All],[PRODUCTO]],0),MATCH(Tabla4[[#This Row],[Mes]],Tabla6[#Headers],0)))</f>
        <v>#N/A</v>
      </c>
      <c r="R1637" s="282" t="e">
        <f>++Tabla4[[#This Row],[Precio Unitario Neto]]-Tabla4[[#This Row],[20.85%]]-Tabla4[[#This Row],[Costo]]</f>
        <v>#N/A</v>
      </c>
      <c r="S1637" s="282" t="e">
        <f>++Tabla4[[#This Row],[U. Bruta Uni]]*Tabla4[[#This Row],[Cantidad]]</f>
        <v>#N/A</v>
      </c>
      <c r="T1637" s="369" t="str">
        <f>VLOOKUP(Tabla4[[#This Row],[Producto]],Tabla6[#All],14,FALSE)</f>
        <v>Termico Solar</v>
      </c>
      <c r="U1637" s="284" t="e">
        <f>(IF(Tabla4[[#This Row],[Familia]]="termico solar",Tabla4[[#This Row],[Utilidad Total]]*6%,Tabla4[[#This Row],[Utilidad Total]]*11.5%))/Tabla4[[#This Row],[Total]]</f>
        <v>#N/A</v>
      </c>
      <c r="V1637" s="282" t="e">
        <f>+Tabla4[[#This Row],[Comisión Calculada]]*Tabla4[[#This Row],[Total]]</f>
        <v>#N/A</v>
      </c>
    </row>
    <row r="1638" spans="1:22" hidden="1" x14ac:dyDescent="0.25">
      <c r="A1638" s="100">
        <v>45747</v>
      </c>
      <c r="B1638" t="str">
        <f t="shared" si="81"/>
        <v>March</v>
      </c>
      <c r="C1638" s="46" t="s">
        <v>280</v>
      </c>
      <c r="F1638" s="366" t="s">
        <v>1338</v>
      </c>
      <c r="G1638" s="46" t="s">
        <v>17</v>
      </c>
      <c r="H1638" s="46">
        <v>2</v>
      </c>
      <c r="I1638" s="51">
        <v>4622.28</v>
      </c>
      <c r="J1638" s="281">
        <f>++Tabla4[[#This Row],[Precio Bruto]]*1.16</f>
        <v>5361.8447999999989</v>
      </c>
      <c r="K1638" s="281">
        <f>+Tabla4[[#This Row],[Precio Unitario Neto]]*Tabla4[[#Headers],[20.85%]]</f>
        <v>1117.9446407999997</v>
      </c>
      <c r="L1638" s="282">
        <f>++Tabla4[[#This Row],[Precio Unitario Neto]]-Tabla4[[#This Row],[20.85%]]</f>
        <v>4243.9001591999995</v>
      </c>
      <c r="M1638" s="282" t="e">
        <f>(INDEX(Tabla6[#All],MATCH(Tabla4[[#This Row],[Producto]],Tabla6[[#All],[PRODUCTO]],0),MATCH(Tabla4[[#This Row],[Mes]],Tabla6[#Headers],0)))*(1+Catalogos!$L$2)</f>
        <v>#N/A</v>
      </c>
      <c r="N1638" s="283" t="e">
        <f>+(Tabla4[[#This Row],[Precio Descontado]]-Tabla4[[#This Row],[Precio Base]])*Tabla4[[#This Row],[Cantidad]]</f>
        <v>#N/A</v>
      </c>
      <c r="O1638" s="284" t="e">
        <f>++Tabla4[[#This Row],[Utilidad Total]]/Tabla4[[#This Row],[Total]]</f>
        <v>#N/A</v>
      </c>
      <c r="P1638" s="282">
        <f>++Tabla4[[#This Row],[Precio Descontado]]*Tabla4[[#This Row],[Cantidad]]</f>
        <v>8487.800318399999</v>
      </c>
      <c r="Q1638" s="282" t="e">
        <f>(INDEX(Tabla6[#All],MATCH(Tabla4[[#This Row],[Producto]],Tabla6[[#All],[PRODUCTO]],0),MATCH(Tabla4[[#This Row],[Mes]],Tabla6[#Headers],0)))</f>
        <v>#N/A</v>
      </c>
      <c r="R1638" s="282" t="e">
        <f>++Tabla4[[#This Row],[Precio Unitario Neto]]-Tabla4[[#This Row],[20.85%]]-Tabla4[[#This Row],[Costo]]</f>
        <v>#N/A</v>
      </c>
      <c r="S1638" s="282" t="e">
        <f>++Tabla4[[#This Row],[U. Bruta Uni]]*Tabla4[[#This Row],[Cantidad]]</f>
        <v>#N/A</v>
      </c>
      <c r="T1638" s="369" t="str">
        <f>VLOOKUP(Tabla4[[#This Row],[Producto]],Tabla6[#All],14,FALSE)</f>
        <v>Termico Solar</v>
      </c>
      <c r="U1638" s="284" t="e">
        <f>(IF(Tabla4[[#This Row],[Familia]]="termico solar",Tabla4[[#This Row],[Utilidad Total]]*6%,Tabla4[[#This Row],[Utilidad Total]]*11.5%))/Tabla4[[#This Row],[Total]]</f>
        <v>#N/A</v>
      </c>
      <c r="V1638" s="282" t="e">
        <f>+Tabla4[[#This Row],[Comisión Calculada]]*Tabla4[[#This Row],[Total]]</f>
        <v>#N/A</v>
      </c>
    </row>
    <row r="1639" spans="1:22" hidden="1" x14ac:dyDescent="0.25">
      <c r="A1639" s="100">
        <v>45747</v>
      </c>
      <c r="B1639" t="str">
        <f t="shared" ref="B1639:B1644" si="82">TEXT(A1639, "mmmm")</f>
        <v>March</v>
      </c>
      <c r="C1639" s="46" t="s">
        <v>280</v>
      </c>
      <c r="F1639" s="366" t="s">
        <v>1339</v>
      </c>
      <c r="G1639" s="46" t="s">
        <v>394</v>
      </c>
      <c r="H1639" s="46">
        <v>16</v>
      </c>
      <c r="I1639" s="51">
        <v>224.29</v>
      </c>
      <c r="J1639" s="281">
        <f>++Tabla4[[#This Row],[Precio Bruto]]*1.16</f>
        <v>260.1764</v>
      </c>
      <c r="K1639" s="281">
        <f>+Tabla4[[#This Row],[Precio Unitario Neto]]*Tabla4[[#Headers],[20.85%]]</f>
        <v>54.246779400000001</v>
      </c>
      <c r="L1639" s="282">
        <f>++Tabla4[[#This Row],[Precio Unitario Neto]]-Tabla4[[#This Row],[20.85%]]</f>
        <v>205.92962059999999</v>
      </c>
      <c r="M1639" s="282" t="e">
        <f>(INDEX(Tabla6[#All],MATCH(Tabla4[[#This Row],[Producto]],Tabla6[[#All],[PRODUCTO]],0),MATCH(Tabla4[[#This Row],[Mes]],Tabla6[#Headers],0)))*(1+Catalogos!$L$2)</f>
        <v>#N/A</v>
      </c>
      <c r="N1639" s="283" t="e">
        <f>+(Tabla4[[#This Row],[Precio Descontado]]-Tabla4[[#This Row],[Precio Base]])*Tabla4[[#This Row],[Cantidad]]</f>
        <v>#N/A</v>
      </c>
      <c r="O1639" s="284" t="e">
        <f>++Tabla4[[#This Row],[Utilidad Total]]/Tabla4[[#This Row],[Total]]</f>
        <v>#N/A</v>
      </c>
      <c r="P1639" s="282">
        <f>++Tabla4[[#This Row],[Precio Descontado]]*Tabla4[[#This Row],[Cantidad]]</f>
        <v>3294.8739295999999</v>
      </c>
      <c r="Q1639" s="282" t="e">
        <f>(INDEX(Tabla6[#All],MATCH(Tabla4[[#This Row],[Producto]],Tabla6[[#All],[PRODUCTO]],0),MATCH(Tabla4[[#This Row],[Mes]],Tabla6[#Headers],0)))</f>
        <v>#N/A</v>
      </c>
      <c r="R1639" s="282" t="e">
        <f>++Tabla4[[#This Row],[Precio Unitario Neto]]-Tabla4[[#This Row],[20.85%]]-Tabla4[[#This Row],[Costo]]</f>
        <v>#N/A</v>
      </c>
      <c r="S1639" s="282" t="e">
        <f>++Tabla4[[#This Row],[U. Bruta Uni]]*Tabla4[[#This Row],[Cantidad]]</f>
        <v>#N/A</v>
      </c>
      <c r="T1639" s="369" t="str">
        <f>VLOOKUP(Tabla4[[#This Row],[Producto]],Tabla6[#All],14,FALSE)</f>
        <v>Termico Solar</v>
      </c>
      <c r="U1639" s="284" t="e">
        <f>(IF(Tabla4[[#This Row],[Familia]]="termico solar",Tabla4[[#This Row],[Utilidad Total]]*6%,Tabla4[[#This Row],[Utilidad Total]]*11.5%))/Tabla4[[#This Row],[Total]]</f>
        <v>#N/A</v>
      </c>
      <c r="V1639" s="282" t="e">
        <f>+Tabla4[[#This Row],[Comisión Calculada]]*Tabla4[[#This Row],[Total]]</f>
        <v>#N/A</v>
      </c>
    </row>
    <row r="1640" spans="1:22" hidden="1" x14ac:dyDescent="0.25">
      <c r="A1640" s="100">
        <v>45747</v>
      </c>
      <c r="B1640" t="str">
        <f t="shared" si="82"/>
        <v>March</v>
      </c>
      <c r="C1640" s="46" t="s">
        <v>280</v>
      </c>
      <c r="F1640" s="366" t="s">
        <v>1339</v>
      </c>
      <c r="G1640" s="46" t="s">
        <v>200</v>
      </c>
      <c r="H1640" s="46">
        <v>12</v>
      </c>
      <c r="I1640" s="51">
        <v>393.22</v>
      </c>
      <c r="J1640" s="281">
        <f>++Tabla4[[#This Row],[Precio Bruto]]*1.16</f>
        <v>456.1352</v>
      </c>
      <c r="K1640" s="281">
        <f>+Tabla4[[#This Row],[Precio Unitario Neto]]*Tabla4[[#Headers],[20.85%]]</f>
        <v>95.104189199999993</v>
      </c>
      <c r="L1640" s="282">
        <f>++Tabla4[[#This Row],[Precio Unitario Neto]]-Tabla4[[#This Row],[20.85%]]</f>
        <v>361.03101079999999</v>
      </c>
      <c r="M1640" s="282" t="e">
        <f>(INDEX(Tabla6[#All],MATCH(Tabla4[[#This Row],[Producto]],Tabla6[[#All],[PRODUCTO]],0),MATCH(Tabla4[[#This Row],[Mes]],Tabla6[#Headers],0)))*(1+Catalogos!$L$2)</f>
        <v>#N/A</v>
      </c>
      <c r="N1640" s="283" t="e">
        <f>+(Tabla4[[#This Row],[Precio Descontado]]-Tabla4[[#This Row],[Precio Base]])*Tabla4[[#This Row],[Cantidad]]</f>
        <v>#N/A</v>
      </c>
      <c r="O1640" s="284" t="e">
        <f>++Tabla4[[#This Row],[Utilidad Total]]/Tabla4[[#This Row],[Total]]</f>
        <v>#N/A</v>
      </c>
      <c r="P1640" s="282">
        <f>++Tabla4[[#This Row],[Precio Descontado]]*Tabla4[[#This Row],[Cantidad]]</f>
        <v>4332.3721296000003</v>
      </c>
      <c r="Q1640" s="282" t="e">
        <f>(INDEX(Tabla6[#All],MATCH(Tabla4[[#This Row],[Producto]],Tabla6[[#All],[PRODUCTO]],0),MATCH(Tabla4[[#This Row],[Mes]],Tabla6[#Headers],0)))</f>
        <v>#N/A</v>
      </c>
      <c r="R1640" s="282" t="e">
        <f>++Tabla4[[#This Row],[Precio Unitario Neto]]-Tabla4[[#This Row],[20.85%]]-Tabla4[[#This Row],[Costo]]</f>
        <v>#N/A</v>
      </c>
      <c r="S1640" s="282" t="e">
        <f>++Tabla4[[#This Row],[U. Bruta Uni]]*Tabla4[[#This Row],[Cantidad]]</f>
        <v>#N/A</v>
      </c>
      <c r="T1640" s="369" t="str">
        <f>VLOOKUP(Tabla4[[#This Row],[Producto]],Tabla6[#All],14,FALSE)</f>
        <v>Termico Solar</v>
      </c>
      <c r="U1640" s="284" t="e">
        <f>(IF(Tabla4[[#This Row],[Familia]]="termico solar",Tabla4[[#This Row],[Utilidad Total]]*6%,Tabla4[[#This Row],[Utilidad Total]]*11.5%))/Tabla4[[#This Row],[Total]]</f>
        <v>#N/A</v>
      </c>
      <c r="V1640" s="282" t="e">
        <f>+Tabla4[[#This Row],[Comisión Calculada]]*Tabla4[[#This Row],[Total]]</f>
        <v>#N/A</v>
      </c>
    </row>
    <row r="1641" spans="1:22" hidden="1" x14ac:dyDescent="0.25">
      <c r="A1641" s="100">
        <v>45747</v>
      </c>
      <c r="B1641" t="str">
        <f t="shared" si="82"/>
        <v>March</v>
      </c>
      <c r="C1641" s="46" t="s">
        <v>280</v>
      </c>
      <c r="F1641" s="366" t="s">
        <v>1339</v>
      </c>
      <c r="G1641" s="46" t="s">
        <v>555</v>
      </c>
      <c r="H1641" s="46">
        <v>8</v>
      </c>
      <c r="I1641" s="51">
        <v>389.47</v>
      </c>
      <c r="J1641" s="281">
        <f>++Tabla4[[#This Row],[Precio Bruto]]*1.16</f>
        <v>451.78519999999997</v>
      </c>
      <c r="K1641" s="281">
        <f>+Tabla4[[#This Row],[Precio Unitario Neto]]*Tabla4[[#Headers],[20.85%]]</f>
        <v>94.197214199999991</v>
      </c>
      <c r="L1641" s="282">
        <f>++Tabla4[[#This Row],[Precio Unitario Neto]]-Tabla4[[#This Row],[20.85%]]</f>
        <v>357.58798579999996</v>
      </c>
      <c r="M1641" s="282" t="e">
        <f>(INDEX(Tabla6[#All],MATCH(Tabla4[[#This Row],[Producto]],Tabla6[[#All],[PRODUCTO]],0),MATCH(Tabla4[[#This Row],[Mes]],Tabla6[#Headers],0)))*(1+Catalogos!$L$2)</f>
        <v>#N/A</v>
      </c>
      <c r="N1641" s="283" t="e">
        <f>+(Tabla4[[#This Row],[Precio Descontado]]-Tabla4[[#This Row],[Precio Base]])*Tabla4[[#This Row],[Cantidad]]</f>
        <v>#N/A</v>
      </c>
      <c r="O1641" s="284" t="e">
        <f>++Tabla4[[#This Row],[Utilidad Total]]/Tabla4[[#This Row],[Total]]</f>
        <v>#N/A</v>
      </c>
      <c r="P1641" s="282">
        <f>++Tabla4[[#This Row],[Precio Descontado]]*Tabla4[[#This Row],[Cantidad]]</f>
        <v>2860.7038863999996</v>
      </c>
      <c r="Q1641" s="282" t="e">
        <f>(INDEX(Tabla6[#All],MATCH(Tabla4[[#This Row],[Producto]],Tabla6[[#All],[PRODUCTO]],0),MATCH(Tabla4[[#This Row],[Mes]],Tabla6[#Headers],0)))</f>
        <v>#N/A</v>
      </c>
      <c r="R1641" s="282" t="e">
        <f>++Tabla4[[#This Row],[Precio Unitario Neto]]-Tabla4[[#This Row],[20.85%]]-Tabla4[[#This Row],[Costo]]</f>
        <v>#N/A</v>
      </c>
      <c r="S1641" s="282" t="e">
        <f>++Tabla4[[#This Row],[U. Bruta Uni]]*Tabla4[[#This Row],[Cantidad]]</f>
        <v>#N/A</v>
      </c>
      <c r="T1641" s="369" t="str">
        <f>VLOOKUP(Tabla4[[#This Row],[Producto]],Tabla6[#All],14,FALSE)</f>
        <v>Termico Solar</v>
      </c>
      <c r="U1641" s="284" t="e">
        <f>(IF(Tabla4[[#This Row],[Familia]]="termico solar",Tabla4[[#This Row],[Utilidad Total]]*6%,Tabla4[[#This Row],[Utilidad Total]]*11.5%))/Tabla4[[#This Row],[Total]]</f>
        <v>#N/A</v>
      </c>
      <c r="V1641" s="282" t="e">
        <f>+Tabla4[[#This Row],[Comisión Calculada]]*Tabla4[[#This Row],[Total]]</f>
        <v>#N/A</v>
      </c>
    </row>
    <row r="1642" spans="1:22" hidden="1" x14ac:dyDescent="0.25">
      <c r="A1642" s="100">
        <v>45747</v>
      </c>
      <c r="B1642" t="str">
        <f t="shared" si="82"/>
        <v>March</v>
      </c>
      <c r="C1642" s="46" t="s">
        <v>280</v>
      </c>
      <c r="F1642" s="366" t="s">
        <v>1339</v>
      </c>
      <c r="G1642" s="46" t="s">
        <v>545</v>
      </c>
      <c r="H1642" s="46">
        <v>24</v>
      </c>
      <c r="I1642" s="51">
        <v>304.32</v>
      </c>
      <c r="J1642" s="281">
        <f>++Tabla4[[#This Row],[Precio Bruto]]*1.16</f>
        <v>353.01119999999997</v>
      </c>
      <c r="K1642" s="281">
        <f>+Tabla4[[#This Row],[Precio Unitario Neto]]*Tabla4[[#Headers],[20.85%]]</f>
        <v>73.602835199999987</v>
      </c>
      <c r="L1642" s="282">
        <f>++Tabla4[[#This Row],[Precio Unitario Neto]]-Tabla4[[#This Row],[20.85%]]</f>
        <v>279.40836479999996</v>
      </c>
      <c r="M1642" s="282" t="e">
        <f>(INDEX(Tabla6[#All],MATCH(Tabla4[[#This Row],[Producto]],Tabla6[[#All],[PRODUCTO]],0),MATCH(Tabla4[[#This Row],[Mes]],Tabla6[#Headers],0)))*(1+Catalogos!$L$2)</f>
        <v>#N/A</v>
      </c>
      <c r="N1642" s="283" t="e">
        <f>+(Tabla4[[#This Row],[Precio Descontado]]-Tabla4[[#This Row],[Precio Base]])*Tabla4[[#This Row],[Cantidad]]</f>
        <v>#N/A</v>
      </c>
      <c r="O1642" s="284" t="e">
        <f>++Tabla4[[#This Row],[Utilidad Total]]/Tabla4[[#This Row],[Total]]</f>
        <v>#N/A</v>
      </c>
      <c r="P1642" s="282">
        <f>++Tabla4[[#This Row],[Precio Descontado]]*Tabla4[[#This Row],[Cantidad]]</f>
        <v>6705.800755199999</v>
      </c>
      <c r="Q1642" s="282" t="e">
        <f>(INDEX(Tabla6[#All],MATCH(Tabla4[[#This Row],[Producto]],Tabla6[[#All],[PRODUCTO]],0),MATCH(Tabla4[[#This Row],[Mes]],Tabla6[#Headers],0)))</f>
        <v>#N/A</v>
      </c>
      <c r="R1642" s="282" t="e">
        <f>++Tabla4[[#This Row],[Precio Unitario Neto]]-Tabla4[[#This Row],[20.85%]]-Tabla4[[#This Row],[Costo]]</f>
        <v>#N/A</v>
      </c>
      <c r="S1642" s="282" t="e">
        <f>++Tabla4[[#This Row],[U. Bruta Uni]]*Tabla4[[#This Row],[Cantidad]]</f>
        <v>#N/A</v>
      </c>
      <c r="T1642" s="369" t="str">
        <f>VLOOKUP(Tabla4[[#This Row],[Producto]],Tabla6[#All],14,FALSE)</f>
        <v>Termico Solar</v>
      </c>
      <c r="U1642" s="284" t="e">
        <f>(IF(Tabla4[[#This Row],[Familia]]="termico solar",Tabla4[[#This Row],[Utilidad Total]]*6%,Tabla4[[#This Row],[Utilidad Total]]*11.5%))/Tabla4[[#This Row],[Total]]</f>
        <v>#N/A</v>
      </c>
      <c r="V1642" s="282" t="e">
        <f>+Tabla4[[#This Row],[Comisión Calculada]]*Tabla4[[#This Row],[Total]]</f>
        <v>#N/A</v>
      </c>
    </row>
    <row r="1643" spans="1:22" hidden="1" x14ac:dyDescent="0.25">
      <c r="A1643" s="100">
        <v>45747</v>
      </c>
      <c r="B1643" t="str">
        <f t="shared" si="82"/>
        <v>March</v>
      </c>
      <c r="C1643" s="46" t="s">
        <v>280</v>
      </c>
      <c r="F1643" s="366" t="s">
        <v>1339</v>
      </c>
      <c r="G1643" s="46" t="s">
        <v>208</v>
      </c>
      <c r="H1643" s="46">
        <v>2</v>
      </c>
      <c r="I1643" s="51">
        <v>189.75</v>
      </c>
      <c r="J1643" s="281">
        <f>++Tabla4[[#This Row],[Precio Bruto]]*1.16</f>
        <v>220.10999999999999</v>
      </c>
      <c r="K1643" s="281">
        <f>+Tabla4[[#This Row],[Precio Unitario Neto]]*Tabla4[[#Headers],[20.85%]]</f>
        <v>45.892934999999994</v>
      </c>
      <c r="L1643" s="282">
        <f>++Tabla4[[#This Row],[Precio Unitario Neto]]-Tabla4[[#This Row],[20.85%]]</f>
        <v>174.21706499999999</v>
      </c>
      <c r="M1643" s="282" t="e">
        <f>(INDEX(Tabla6[#All],MATCH(Tabla4[[#This Row],[Producto]],Tabla6[[#All],[PRODUCTO]],0),MATCH(Tabla4[[#This Row],[Mes]],Tabla6[#Headers],0)))*(1+Catalogos!$L$2)</f>
        <v>#N/A</v>
      </c>
      <c r="N1643" s="283" t="e">
        <f>+(Tabla4[[#This Row],[Precio Descontado]]-Tabla4[[#This Row],[Precio Base]])*Tabla4[[#This Row],[Cantidad]]</f>
        <v>#N/A</v>
      </c>
      <c r="O1643" s="284" t="e">
        <f>++Tabla4[[#This Row],[Utilidad Total]]/Tabla4[[#This Row],[Total]]</f>
        <v>#N/A</v>
      </c>
      <c r="P1643" s="282">
        <f>++Tabla4[[#This Row],[Precio Descontado]]*Tabla4[[#This Row],[Cantidad]]</f>
        <v>348.43412999999998</v>
      </c>
      <c r="Q1643" s="282" t="e">
        <f>(INDEX(Tabla6[#All],MATCH(Tabla4[[#This Row],[Producto]],Tabla6[[#All],[PRODUCTO]],0),MATCH(Tabla4[[#This Row],[Mes]],Tabla6[#Headers],0)))</f>
        <v>#N/A</v>
      </c>
      <c r="R1643" s="282" t="e">
        <f>++Tabla4[[#This Row],[Precio Unitario Neto]]-Tabla4[[#This Row],[20.85%]]-Tabla4[[#This Row],[Costo]]</f>
        <v>#N/A</v>
      </c>
      <c r="S1643" s="282" t="e">
        <f>++Tabla4[[#This Row],[U. Bruta Uni]]*Tabla4[[#This Row],[Cantidad]]</f>
        <v>#N/A</v>
      </c>
      <c r="T1643" s="369" t="str">
        <f>VLOOKUP(Tabla4[[#This Row],[Producto]],Tabla6[#All],14,FALSE)</f>
        <v>Termico Solar</v>
      </c>
      <c r="U1643" s="284" t="e">
        <f>(IF(Tabla4[[#This Row],[Familia]]="termico solar",Tabla4[[#This Row],[Utilidad Total]]*6%,Tabla4[[#This Row],[Utilidad Total]]*11.5%))/Tabla4[[#This Row],[Total]]</f>
        <v>#N/A</v>
      </c>
      <c r="V1643" s="282" t="e">
        <f>+Tabla4[[#This Row],[Comisión Calculada]]*Tabla4[[#This Row],[Total]]</f>
        <v>#N/A</v>
      </c>
    </row>
    <row r="1644" spans="1:22" hidden="1" x14ac:dyDescent="0.25">
      <c r="A1644" s="100">
        <v>45747</v>
      </c>
      <c r="B1644" t="str">
        <f t="shared" si="82"/>
        <v>March</v>
      </c>
      <c r="C1644" s="46" t="s">
        <v>280</v>
      </c>
      <c r="F1644" s="366" t="s">
        <v>1339</v>
      </c>
      <c r="G1644" s="46" t="s">
        <v>209</v>
      </c>
      <c r="H1644" s="46">
        <v>2</v>
      </c>
      <c r="I1644" s="51">
        <v>347.48</v>
      </c>
      <c r="J1644" s="281">
        <f>++Tabla4[[#This Row],[Precio Bruto]]*1.16</f>
        <v>403.07679999999999</v>
      </c>
      <c r="K1644" s="281">
        <f>+Tabla4[[#This Row],[Precio Unitario Neto]]*Tabla4[[#Headers],[20.85%]]</f>
        <v>84.041512799999992</v>
      </c>
      <c r="L1644" s="282">
        <f>++Tabla4[[#This Row],[Precio Unitario Neto]]-Tabla4[[#This Row],[20.85%]]</f>
        <v>319.03528719999997</v>
      </c>
      <c r="M1644" s="282" t="e">
        <f>(INDEX(Tabla6[#All],MATCH(Tabla4[[#This Row],[Producto]],Tabla6[[#All],[PRODUCTO]],0),MATCH(Tabla4[[#This Row],[Mes]],Tabla6[#Headers],0)))*(1+Catalogos!$L$2)</f>
        <v>#N/A</v>
      </c>
      <c r="N1644" s="283" t="e">
        <f>+(Tabla4[[#This Row],[Precio Descontado]]-Tabla4[[#This Row],[Precio Base]])*Tabla4[[#This Row],[Cantidad]]</f>
        <v>#N/A</v>
      </c>
      <c r="O1644" s="284" t="e">
        <f>++Tabla4[[#This Row],[Utilidad Total]]/Tabla4[[#This Row],[Total]]</f>
        <v>#N/A</v>
      </c>
      <c r="P1644" s="282">
        <f>++Tabla4[[#This Row],[Precio Descontado]]*Tabla4[[#This Row],[Cantidad]]</f>
        <v>638.07057439999994</v>
      </c>
      <c r="Q1644" s="282" t="e">
        <f>(INDEX(Tabla6[#All],MATCH(Tabla4[[#This Row],[Producto]],Tabla6[[#All],[PRODUCTO]],0),MATCH(Tabla4[[#This Row],[Mes]],Tabla6[#Headers],0)))</f>
        <v>#N/A</v>
      </c>
      <c r="R1644" s="282" t="e">
        <f>++Tabla4[[#This Row],[Precio Unitario Neto]]-Tabla4[[#This Row],[20.85%]]-Tabla4[[#This Row],[Costo]]</f>
        <v>#N/A</v>
      </c>
      <c r="S1644" s="282" t="e">
        <f>++Tabla4[[#This Row],[U. Bruta Uni]]*Tabla4[[#This Row],[Cantidad]]</f>
        <v>#N/A</v>
      </c>
      <c r="T1644" s="369" t="str">
        <f>VLOOKUP(Tabla4[[#This Row],[Producto]],Tabla6[#All],14,FALSE)</f>
        <v>Termico Solar</v>
      </c>
      <c r="U1644" s="284" t="e">
        <f>(IF(Tabla4[[#This Row],[Familia]]="termico solar",Tabla4[[#This Row],[Utilidad Total]]*6%,Tabla4[[#This Row],[Utilidad Total]]*11.5%))/Tabla4[[#This Row],[Total]]</f>
        <v>#N/A</v>
      </c>
      <c r="V1644" s="282" t="e">
        <f>+Tabla4[[#This Row],[Comisión Calculada]]*Tabla4[[#This Row],[Total]]</f>
        <v>#N/A</v>
      </c>
    </row>
    <row r="1645" spans="1:22" ht="17.25" hidden="1" customHeight="1" x14ac:dyDescent="0.25">
      <c r="A1645" s="100">
        <v>45747</v>
      </c>
      <c r="B1645" t="str">
        <f t="shared" ref="B1645:B1676" si="83">TEXT(A1645, "mmmm")</f>
        <v>March</v>
      </c>
      <c r="C1645" s="46" t="s">
        <v>280</v>
      </c>
      <c r="F1645" s="366" t="s">
        <v>1340</v>
      </c>
      <c r="G1645" s="46" t="s">
        <v>83</v>
      </c>
      <c r="H1645" s="46">
        <v>3</v>
      </c>
      <c r="I1645" s="51">
        <v>8858.76</v>
      </c>
      <c r="J1645" s="281">
        <f>++Tabla4[[#This Row],[Precio Bruto]]*1.16</f>
        <v>10276.161599999999</v>
      </c>
      <c r="K1645" s="281">
        <f>+Tabla4[[#This Row],[Precio Unitario Neto]]*Tabla4[[#Headers],[20.85%]]</f>
        <v>2142.5796935999997</v>
      </c>
      <c r="L1645" s="282">
        <f>++Tabla4[[#This Row],[Precio Unitario Neto]]-Tabla4[[#This Row],[20.85%]]</f>
        <v>8133.5819063999998</v>
      </c>
      <c r="M1645" s="282" t="e">
        <f>(INDEX(Tabla6[#All],MATCH(Tabla4[[#This Row],[Producto]],Tabla6[[#All],[PRODUCTO]],0),MATCH(Tabla4[[#This Row],[Mes]],Tabla6[#Headers],0)))*(1+Catalogos!$L$2)</f>
        <v>#N/A</v>
      </c>
      <c r="N1645" s="283" t="e">
        <f>+(Tabla4[[#This Row],[Precio Descontado]]-Tabla4[[#This Row],[Precio Base]])*Tabla4[[#This Row],[Cantidad]]</f>
        <v>#N/A</v>
      </c>
      <c r="O1645" s="284" t="e">
        <f>++Tabla4[[#This Row],[Utilidad Total]]/Tabla4[[#This Row],[Total]]</f>
        <v>#N/A</v>
      </c>
      <c r="P1645" s="282">
        <f>++Tabla4[[#This Row],[Precio Descontado]]*Tabla4[[#This Row],[Cantidad]]</f>
        <v>24400.7457192</v>
      </c>
      <c r="Q1645" s="282" t="e">
        <f>(INDEX(Tabla6[#All],MATCH(Tabla4[[#This Row],[Producto]],Tabla6[[#All],[PRODUCTO]],0),MATCH(Tabla4[[#This Row],[Mes]],Tabla6[#Headers],0)))</f>
        <v>#N/A</v>
      </c>
      <c r="R1645" s="282" t="e">
        <f>++Tabla4[[#This Row],[Precio Unitario Neto]]-Tabla4[[#This Row],[20.85%]]-Tabla4[[#This Row],[Costo]]</f>
        <v>#N/A</v>
      </c>
      <c r="S1645" s="282" t="e">
        <f>++Tabla4[[#This Row],[U. Bruta Uni]]*Tabla4[[#This Row],[Cantidad]]</f>
        <v>#N/A</v>
      </c>
      <c r="T1645" s="369" t="str">
        <f>VLOOKUP(Tabla4[[#This Row],[Producto]],Tabla6[#All],14,FALSE)</f>
        <v>Termico Solar</v>
      </c>
      <c r="U1645" s="284" t="e">
        <f>(IF(Tabla4[[#This Row],[Familia]]="termico solar",Tabla4[[#This Row],[Utilidad Total]]*6%,Tabla4[[#This Row],[Utilidad Total]]*11.5%))/Tabla4[[#This Row],[Total]]</f>
        <v>#N/A</v>
      </c>
      <c r="V1645" s="282" t="e">
        <f>+Tabla4[[#This Row],[Comisión Calculada]]*Tabla4[[#This Row],[Total]]</f>
        <v>#N/A</v>
      </c>
    </row>
    <row r="1646" spans="1:22" hidden="1" x14ac:dyDescent="0.25">
      <c r="A1646" s="100">
        <v>45747</v>
      </c>
      <c r="B1646" t="str">
        <f t="shared" si="83"/>
        <v>March</v>
      </c>
      <c r="C1646" s="46" t="s">
        <v>280</v>
      </c>
      <c r="F1646" s="366" t="s">
        <v>1340</v>
      </c>
      <c r="G1646" s="46" t="s">
        <v>17</v>
      </c>
      <c r="H1646" s="46">
        <v>2</v>
      </c>
      <c r="I1646" s="51">
        <v>4622.28</v>
      </c>
      <c r="J1646" s="281">
        <f>++Tabla4[[#This Row],[Precio Bruto]]*1.16</f>
        <v>5361.8447999999989</v>
      </c>
      <c r="K1646" s="281">
        <f>+Tabla4[[#This Row],[Precio Unitario Neto]]*Tabla4[[#Headers],[20.85%]]</f>
        <v>1117.9446407999997</v>
      </c>
      <c r="L1646" s="282">
        <f>++Tabla4[[#This Row],[Precio Unitario Neto]]-Tabla4[[#This Row],[20.85%]]</f>
        <v>4243.9001591999995</v>
      </c>
      <c r="M1646" s="282" t="e">
        <f>(INDEX(Tabla6[#All],MATCH(Tabla4[[#This Row],[Producto]],Tabla6[[#All],[PRODUCTO]],0),MATCH(Tabla4[[#This Row],[Mes]],Tabla6[#Headers],0)))*(1+Catalogos!$L$2)</f>
        <v>#N/A</v>
      </c>
      <c r="N1646" s="283" t="e">
        <f>+(Tabla4[[#This Row],[Precio Descontado]]-Tabla4[[#This Row],[Precio Base]])*Tabla4[[#This Row],[Cantidad]]</f>
        <v>#N/A</v>
      </c>
      <c r="O1646" s="284" t="e">
        <f>++Tabla4[[#This Row],[Utilidad Total]]/Tabla4[[#This Row],[Total]]</f>
        <v>#N/A</v>
      </c>
      <c r="P1646" s="282">
        <f>++Tabla4[[#This Row],[Precio Descontado]]*Tabla4[[#This Row],[Cantidad]]</f>
        <v>8487.800318399999</v>
      </c>
      <c r="Q1646" s="282" t="e">
        <f>(INDEX(Tabla6[#All],MATCH(Tabla4[[#This Row],[Producto]],Tabla6[[#All],[PRODUCTO]],0),MATCH(Tabla4[[#This Row],[Mes]],Tabla6[#Headers],0)))</f>
        <v>#N/A</v>
      </c>
      <c r="R1646" s="282" t="e">
        <f>++Tabla4[[#This Row],[Precio Unitario Neto]]-Tabla4[[#This Row],[20.85%]]-Tabla4[[#This Row],[Costo]]</f>
        <v>#N/A</v>
      </c>
      <c r="S1646" s="282" t="e">
        <f>++Tabla4[[#This Row],[U. Bruta Uni]]*Tabla4[[#This Row],[Cantidad]]</f>
        <v>#N/A</v>
      </c>
      <c r="T1646" s="369" t="str">
        <f>VLOOKUP(Tabla4[[#This Row],[Producto]],Tabla6[#All],14,FALSE)</f>
        <v>Termico Solar</v>
      </c>
      <c r="U1646" s="284" t="e">
        <f>(IF(Tabla4[[#This Row],[Familia]]="termico solar",Tabla4[[#This Row],[Utilidad Total]]*6%,Tabla4[[#This Row],[Utilidad Total]]*11.5%))/Tabla4[[#This Row],[Total]]</f>
        <v>#N/A</v>
      </c>
      <c r="V1646" s="282" t="e">
        <f>+Tabla4[[#This Row],[Comisión Calculada]]*Tabla4[[#This Row],[Total]]</f>
        <v>#N/A</v>
      </c>
    </row>
    <row r="1647" spans="1:22" hidden="1" x14ac:dyDescent="0.25">
      <c r="A1647" s="100">
        <v>45747</v>
      </c>
      <c r="B1647" t="str">
        <f t="shared" si="83"/>
        <v>March</v>
      </c>
      <c r="C1647" s="46" t="s">
        <v>280</v>
      </c>
      <c r="F1647" s="366" t="s">
        <v>1340</v>
      </c>
      <c r="G1647" s="46" t="s">
        <v>18</v>
      </c>
      <c r="H1647" s="46">
        <v>3</v>
      </c>
      <c r="I1647" s="51">
        <v>5367.6500000000005</v>
      </c>
      <c r="J1647" s="281">
        <f>++Tabla4[[#This Row],[Precio Bruto]]*1.16</f>
        <v>6226.4740000000002</v>
      </c>
      <c r="K1647" s="281">
        <f>+Tabla4[[#This Row],[Precio Unitario Neto]]*Tabla4[[#Headers],[20.85%]]</f>
        <v>1298.2198289999999</v>
      </c>
      <c r="L1647" s="282">
        <f>++Tabla4[[#This Row],[Precio Unitario Neto]]-Tabla4[[#This Row],[20.85%]]</f>
        <v>4928.2541710000005</v>
      </c>
      <c r="M1647" s="282" t="e">
        <f>(INDEX(Tabla6[#All],MATCH(Tabla4[[#This Row],[Producto]],Tabla6[[#All],[PRODUCTO]],0),MATCH(Tabla4[[#This Row],[Mes]],Tabla6[#Headers],0)))*(1+Catalogos!$L$2)</f>
        <v>#N/A</v>
      </c>
      <c r="N1647" s="283" t="e">
        <f>+(Tabla4[[#This Row],[Precio Descontado]]-Tabla4[[#This Row],[Precio Base]])*Tabla4[[#This Row],[Cantidad]]</f>
        <v>#N/A</v>
      </c>
      <c r="O1647" s="284" t="e">
        <f>++Tabla4[[#This Row],[Utilidad Total]]/Tabla4[[#This Row],[Total]]</f>
        <v>#N/A</v>
      </c>
      <c r="P1647" s="282">
        <f>++Tabla4[[#This Row],[Precio Descontado]]*Tabla4[[#This Row],[Cantidad]]</f>
        <v>14784.762513000001</v>
      </c>
      <c r="Q1647" s="282" t="e">
        <f>(INDEX(Tabla6[#All],MATCH(Tabla4[[#This Row],[Producto]],Tabla6[[#All],[PRODUCTO]],0),MATCH(Tabla4[[#This Row],[Mes]],Tabla6[#Headers],0)))</f>
        <v>#N/A</v>
      </c>
      <c r="R1647" s="282" t="e">
        <f>++Tabla4[[#This Row],[Precio Unitario Neto]]-Tabla4[[#This Row],[20.85%]]-Tabla4[[#This Row],[Costo]]</f>
        <v>#N/A</v>
      </c>
      <c r="S1647" s="282" t="e">
        <f>++Tabla4[[#This Row],[U. Bruta Uni]]*Tabla4[[#This Row],[Cantidad]]</f>
        <v>#N/A</v>
      </c>
      <c r="T1647" s="369" t="str">
        <f>VLOOKUP(Tabla4[[#This Row],[Producto]],Tabla6[#All],14,FALSE)</f>
        <v>Termico Solar</v>
      </c>
      <c r="U1647" s="284" t="e">
        <f>(IF(Tabla4[[#This Row],[Familia]]="termico solar",Tabla4[[#This Row],[Utilidad Total]]*6%,Tabla4[[#This Row],[Utilidad Total]]*11.5%))/Tabla4[[#This Row],[Total]]</f>
        <v>#N/A</v>
      </c>
      <c r="V1647" s="282" t="e">
        <f>+Tabla4[[#This Row],[Comisión Calculada]]*Tabla4[[#This Row],[Total]]</f>
        <v>#N/A</v>
      </c>
    </row>
    <row r="1648" spans="1:22" hidden="1" x14ac:dyDescent="0.25">
      <c r="A1648" s="100">
        <v>45747</v>
      </c>
      <c r="B1648" t="str">
        <f t="shared" si="83"/>
        <v>March</v>
      </c>
      <c r="C1648" s="46" t="s">
        <v>280</v>
      </c>
      <c r="F1648" s="366" t="s">
        <v>1340</v>
      </c>
      <c r="G1648" s="46" t="s">
        <v>566</v>
      </c>
      <c r="H1648" s="46">
        <v>2</v>
      </c>
      <c r="I1648" s="51">
        <v>2109.4499999999998</v>
      </c>
      <c r="J1648" s="281">
        <f>++Tabla4[[#This Row],[Precio Bruto]]*1.16</f>
        <v>2446.9619999999995</v>
      </c>
      <c r="K1648" s="281">
        <f>+Tabla4[[#This Row],[Precio Unitario Neto]]*Tabla4[[#Headers],[20.85%]]</f>
        <v>510.19157699999988</v>
      </c>
      <c r="L1648" s="282">
        <f>++Tabla4[[#This Row],[Precio Unitario Neto]]-Tabla4[[#This Row],[20.85%]]</f>
        <v>1936.7704229999997</v>
      </c>
      <c r="M1648" s="282" t="e">
        <f>(INDEX(Tabla6[#All],MATCH(Tabla4[[#This Row],[Producto]],Tabla6[[#All],[PRODUCTO]],0),MATCH(Tabla4[[#This Row],[Mes]],Tabla6[#Headers],0)))*(1+Catalogos!$L$2)</f>
        <v>#N/A</v>
      </c>
      <c r="N1648" s="283" t="e">
        <f>+(Tabla4[[#This Row],[Precio Descontado]]-Tabla4[[#This Row],[Precio Base]])*Tabla4[[#This Row],[Cantidad]]</f>
        <v>#N/A</v>
      </c>
      <c r="O1648" s="284" t="e">
        <f>++Tabla4[[#This Row],[Utilidad Total]]/Tabla4[[#This Row],[Total]]</f>
        <v>#N/A</v>
      </c>
      <c r="P1648" s="282">
        <f>++Tabla4[[#This Row],[Precio Descontado]]*Tabla4[[#This Row],[Cantidad]]</f>
        <v>3873.5408459999994</v>
      </c>
      <c r="Q1648" s="282" t="e">
        <f>(INDEX(Tabla6[#All],MATCH(Tabla4[[#This Row],[Producto]],Tabla6[[#All],[PRODUCTO]],0),MATCH(Tabla4[[#This Row],[Mes]],Tabla6[#Headers],0)))</f>
        <v>#N/A</v>
      </c>
      <c r="R1648" s="282" t="e">
        <f>++Tabla4[[#This Row],[Precio Unitario Neto]]-Tabla4[[#This Row],[20.85%]]-Tabla4[[#This Row],[Costo]]</f>
        <v>#N/A</v>
      </c>
      <c r="S1648" s="282" t="e">
        <f>++Tabla4[[#This Row],[U. Bruta Uni]]*Tabla4[[#This Row],[Cantidad]]</f>
        <v>#N/A</v>
      </c>
      <c r="T1648" s="369" t="str">
        <f>VLOOKUP(Tabla4[[#This Row],[Producto]],Tabla6[#All],14,FALSE)</f>
        <v>Termico Solar</v>
      </c>
      <c r="U1648" s="284" t="e">
        <f>(IF(Tabla4[[#This Row],[Familia]]="termico solar",Tabla4[[#This Row],[Utilidad Total]]*6%,Tabla4[[#This Row],[Utilidad Total]]*11.5%))/Tabla4[[#This Row],[Total]]</f>
        <v>#N/A</v>
      </c>
      <c r="V1648" s="282" t="e">
        <f>+Tabla4[[#This Row],[Comisión Calculada]]*Tabla4[[#This Row],[Total]]</f>
        <v>#N/A</v>
      </c>
    </row>
    <row r="1649" spans="1:22" hidden="1" x14ac:dyDescent="0.25">
      <c r="A1649" s="100">
        <v>45747</v>
      </c>
      <c r="B1649" t="str">
        <f t="shared" si="83"/>
        <v>March</v>
      </c>
      <c r="C1649" s="46" t="s">
        <v>280</v>
      </c>
      <c r="F1649" s="366" t="s">
        <v>1340</v>
      </c>
      <c r="G1649" s="46" t="s">
        <v>16</v>
      </c>
      <c r="H1649" s="46">
        <v>2</v>
      </c>
      <c r="I1649" s="51">
        <v>4103.8500000000004</v>
      </c>
      <c r="J1649" s="281">
        <f>++Tabla4[[#This Row],[Precio Bruto]]*1.16</f>
        <v>4760.4660000000003</v>
      </c>
      <c r="K1649" s="281">
        <f>+Tabla4[[#This Row],[Precio Unitario Neto]]*Tabla4[[#Headers],[20.85%]]</f>
        <v>992.55716100000006</v>
      </c>
      <c r="L1649" s="282">
        <f>++Tabla4[[#This Row],[Precio Unitario Neto]]-Tabla4[[#This Row],[20.85%]]</f>
        <v>3767.9088390000002</v>
      </c>
      <c r="M1649" s="282" t="e">
        <f>(INDEX(Tabla6[#All],MATCH(Tabla4[[#This Row],[Producto]],Tabla6[[#All],[PRODUCTO]],0),MATCH(Tabla4[[#This Row],[Mes]],Tabla6[#Headers],0)))*(1+Catalogos!$L$2)</f>
        <v>#N/A</v>
      </c>
      <c r="N1649" s="283" t="e">
        <f>+(Tabla4[[#This Row],[Precio Descontado]]-Tabla4[[#This Row],[Precio Base]])*Tabla4[[#This Row],[Cantidad]]</f>
        <v>#N/A</v>
      </c>
      <c r="O1649" s="284" t="e">
        <f>++Tabla4[[#This Row],[Utilidad Total]]/Tabla4[[#This Row],[Total]]</f>
        <v>#N/A</v>
      </c>
      <c r="P1649" s="282">
        <f>++Tabla4[[#This Row],[Precio Descontado]]*Tabla4[[#This Row],[Cantidad]]</f>
        <v>7535.8176780000003</v>
      </c>
      <c r="Q1649" s="282" t="e">
        <f>(INDEX(Tabla6[#All],MATCH(Tabla4[[#This Row],[Producto]],Tabla6[[#All],[PRODUCTO]],0),MATCH(Tabla4[[#This Row],[Mes]],Tabla6[#Headers],0)))</f>
        <v>#N/A</v>
      </c>
      <c r="R1649" s="282" t="e">
        <f>++Tabla4[[#This Row],[Precio Unitario Neto]]-Tabla4[[#This Row],[20.85%]]-Tabla4[[#This Row],[Costo]]</f>
        <v>#N/A</v>
      </c>
      <c r="S1649" s="282" t="e">
        <f>++Tabla4[[#This Row],[U. Bruta Uni]]*Tabla4[[#This Row],[Cantidad]]</f>
        <v>#N/A</v>
      </c>
      <c r="T1649" s="369" t="str">
        <f>VLOOKUP(Tabla4[[#This Row],[Producto]],Tabla6[#All],14,FALSE)</f>
        <v>Termico Solar</v>
      </c>
      <c r="U1649" s="284" t="e">
        <f>(IF(Tabla4[[#This Row],[Familia]]="termico solar",Tabla4[[#This Row],[Utilidad Total]]*6%,Tabla4[[#This Row],[Utilidad Total]]*11.5%))/Tabla4[[#This Row],[Total]]</f>
        <v>#N/A</v>
      </c>
      <c r="V1649" s="282" t="e">
        <f>+Tabla4[[#This Row],[Comisión Calculada]]*Tabla4[[#This Row],[Total]]</f>
        <v>#N/A</v>
      </c>
    </row>
    <row r="1650" spans="1:22" hidden="1" x14ac:dyDescent="0.25">
      <c r="A1650" s="100">
        <v>45747</v>
      </c>
      <c r="B1650" t="str">
        <f t="shared" si="83"/>
        <v>March</v>
      </c>
      <c r="C1650" s="46" t="s">
        <v>280</v>
      </c>
      <c r="F1650" s="366" t="s">
        <v>1341</v>
      </c>
      <c r="G1650" s="46" t="s">
        <v>209</v>
      </c>
      <c r="H1650" s="46">
        <v>1</v>
      </c>
      <c r="I1650" s="51">
        <v>347.48</v>
      </c>
      <c r="J1650" s="281">
        <f>++Tabla4[[#This Row],[Precio Bruto]]*1.16</f>
        <v>403.07679999999999</v>
      </c>
      <c r="K1650" s="281">
        <f>+Tabla4[[#This Row],[Precio Unitario Neto]]*Tabla4[[#Headers],[20.85%]]</f>
        <v>84.041512799999992</v>
      </c>
      <c r="L1650" s="282">
        <f>++Tabla4[[#This Row],[Precio Unitario Neto]]-Tabla4[[#This Row],[20.85%]]</f>
        <v>319.03528719999997</v>
      </c>
      <c r="M1650" s="282" t="e">
        <f>(INDEX(Tabla6[#All],MATCH(Tabla4[[#This Row],[Producto]],Tabla6[[#All],[PRODUCTO]],0),MATCH(Tabla4[[#This Row],[Mes]],Tabla6[#Headers],0)))*(1+Catalogos!$L$2)</f>
        <v>#N/A</v>
      </c>
      <c r="N1650" s="283" t="e">
        <f>+(Tabla4[[#This Row],[Precio Descontado]]-Tabla4[[#This Row],[Precio Base]])*Tabla4[[#This Row],[Cantidad]]</f>
        <v>#N/A</v>
      </c>
      <c r="O1650" s="284" t="e">
        <f>++Tabla4[[#This Row],[Utilidad Total]]/Tabla4[[#This Row],[Total]]</f>
        <v>#N/A</v>
      </c>
      <c r="P1650" s="282">
        <f>++Tabla4[[#This Row],[Precio Descontado]]*Tabla4[[#This Row],[Cantidad]]</f>
        <v>319.03528719999997</v>
      </c>
      <c r="Q1650" s="282" t="e">
        <f>(INDEX(Tabla6[#All],MATCH(Tabla4[[#This Row],[Producto]],Tabla6[[#All],[PRODUCTO]],0),MATCH(Tabla4[[#This Row],[Mes]],Tabla6[#Headers],0)))</f>
        <v>#N/A</v>
      </c>
      <c r="R1650" s="282" t="e">
        <f>++Tabla4[[#This Row],[Precio Unitario Neto]]-Tabla4[[#This Row],[20.85%]]-Tabla4[[#This Row],[Costo]]</f>
        <v>#N/A</v>
      </c>
      <c r="S1650" s="282" t="e">
        <f>++Tabla4[[#This Row],[U. Bruta Uni]]*Tabla4[[#This Row],[Cantidad]]</f>
        <v>#N/A</v>
      </c>
      <c r="T1650" s="369" t="str">
        <f>VLOOKUP(Tabla4[[#This Row],[Producto]],Tabla6[#All],14,FALSE)</f>
        <v>Termico Solar</v>
      </c>
      <c r="U1650" s="284" t="e">
        <f>(IF(Tabla4[[#This Row],[Familia]]="termico solar",Tabla4[[#This Row],[Utilidad Total]]*6%,Tabla4[[#This Row],[Utilidad Total]]*11.5%))/Tabla4[[#This Row],[Total]]</f>
        <v>#N/A</v>
      </c>
      <c r="V1650" s="282" t="e">
        <f>+Tabla4[[#This Row],[Comisión Calculada]]*Tabla4[[#This Row],[Total]]</f>
        <v>#N/A</v>
      </c>
    </row>
    <row r="1651" spans="1:22" hidden="1" x14ac:dyDescent="0.25">
      <c r="A1651" s="100">
        <v>45747</v>
      </c>
      <c r="B1651" t="str">
        <f t="shared" si="83"/>
        <v>March</v>
      </c>
      <c r="C1651" s="46" t="s">
        <v>280</v>
      </c>
      <c r="F1651" s="366" t="s">
        <v>1342</v>
      </c>
      <c r="G1651" s="46" t="s">
        <v>83</v>
      </c>
      <c r="H1651" s="46">
        <v>1</v>
      </c>
      <c r="I1651" s="51">
        <v>8858.76</v>
      </c>
      <c r="J1651" s="281">
        <f>++Tabla4[[#This Row],[Precio Bruto]]*1.16</f>
        <v>10276.161599999999</v>
      </c>
      <c r="K1651" s="281">
        <f>+Tabla4[[#This Row],[Precio Unitario Neto]]*Tabla4[[#Headers],[20.85%]]</f>
        <v>2142.5796935999997</v>
      </c>
      <c r="L1651" s="282">
        <f>++Tabla4[[#This Row],[Precio Unitario Neto]]-Tabla4[[#This Row],[20.85%]]</f>
        <v>8133.5819063999998</v>
      </c>
      <c r="M1651" s="282" t="e">
        <f>(INDEX(Tabla6[#All],MATCH(Tabla4[[#This Row],[Producto]],Tabla6[[#All],[PRODUCTO]],0),MATCH(Tabla4[[#This Row],[Mes]],Tabla6[#Headers],0)))*(1+Catalogos!$L$2)</f>
        <v>#N/A</v>
      </c>
      <c r="N1651" s="283" t="e">
        <f>+(Tabla4[[#This Row],[Precio Descontado]]-Tabla4[[#This Row],[Precio Base]])*Tabla4[[#This Row],[Cantidad]]</f>
        <v>#N/A</v>
      </c>
      <c r="O1651" s="284" t="e">
        <f>++Tabla4[[#This Row],[Utilidad Total]]/Tabla4[[#This Row],[Total]]</f>
        <v>#N/A</v>
      </c>
      <c r="P1651" s="282">
        <f>++Tabla4[[#This Row],[Precio Descontado]]*Tabla4[[#This Row],[Cantidad]]</f>
        <v>8133.5819063999998</v>
      </c>
      <c r="Q1651" s="282" t="e">
        <f>(INDEX(Tabla6[#All],MATCH(Tabla4[[#This Row],[Producto]],Tabla6[[#All],[PRODUCTO]],0),MATCH(Tabla4[[#This Row],[Mes]],Tabla6[#Headers],0)))</f>
        <v>#N/A</v>
      </c>
      <c r="R1651" s="282" t="e">
        <f>++Tabla4[[#This Row],[Precio Unitario Neto]]-Tabla4[[#This Row],[20.85%]]-Tabla4[[#This Row],[Costo]]</f>
        <v>#N/A</v>
      </c>
      <c r="S1651" s="282" t="e">
        <f>++Tabla4[[#This Row],[U. Bruta Uni]]*Tabla4[[#This Row],[Cantidad]]</f>
        <v>#N/A</v>
      </c>
      <c r="T1651" s="369" t="str">
        <f>VLOOKUP(Tabla4[[#This Row],[Producto]],Tabla6[#All],14,FALSE)</f>
        <v>Termico Solar</v>
      </c>
      <c r="U1651" s="284" t="e">
        <f>(IF(Tabla4[[#This Row],[Familia]]="termico solar",Tabla4[[#This Row],[Utilidad Total]]*6%,Tabla4[[#This Row],[Utilidad Total]]*11.5%))/Tabla4[[#This Row],[Total]]</f>
        <v>#N/A</v>
      </c>
      <c r="V1651" s="282" t="e">
        <f>+Tabla4[[#This Row],[Comisión Calculada]]*Tabla4[[#This Row],[Total]]</f>
        <v>#N/A</v>
      </c>
    </row>
    <row r="1652" spans="1:22" hidden="1" x14ac:dyDescent="0.25">
      <c r="A1652" s="100">
        <v>45747</v>
      </c>
      <c r="B1652" t="str">
        <f t="shared" si="83"/>
        <v>March</v>
      </c>
      <c r="C1652" s="46" t="s">
        <v>280</v>
      </c>
      <c r="F1652" s="366" t="s">
        <v>1343</v>
      </c>
      <c r="G1652" s="46" t="s">
        <v>83</v>
      </c>
      <c r="H1652" s="46">
        <v>1</v>
      </c>
      <c r="I1652" s="51">
        <v>8858.76</v>
      </c>
      <c r="J1652" s="281">
        <f>++Tabla4[[#This Row],[Precio Bruto]]*1.16</f>
        <v>10276.161599999999</v>
      </c>
      <c r="K1652" s="281">
        <f>+Tabla4[[#This Row],[Precio Unitario Neto]]*Tabla4[[#Headers],[20.85%]]</f>
        <v>2142.5796935999997</v>
      </c>
      <c r="L1652" s="282">
        <f>++Tabla4[[#This Row],[Precio Unitario Neto]]-Tabla4[[#This Row],[20.85%]]</f>
        <v>8133.5819063999998</v>
      </c>
      <c r="M1652" s="282" t="e">
        <f>(INDEX(Tabla6[#All],MATCH(Tabla4[[#This Row],[Producto]],Tabla6[[#All],[PRODUCTO]],0),MATCH(Tabla4[[#This Row],[Mes]],Tabla6[#Headers],0)))*(1+Catalogos!$L$2)</f>
        <v>#N/A</v>
      </c>
      <c r="N1652" s="283" t="e">
        <f>+(Tabla4[[#This Row],[Precio Descontado]]-Tabla4[[#This Row],[Precio Base]])*Tabla4[[#This Row],[Cantidad]]</f>
        <v>#N/A</v>
      </c>
      <c r="O1652" s="284" t="e">
        <f>++Tabla4[[#This Row],[Utilidad Total]]/Tabla4[[#This Row],[Total]]</f>
        <v>#N/A</v>
      </c>
      <c r="P1652" s="282">
        <f>++Tabla4[[#This Row],[Precio Descontado]]*Tabla4[[#This Row],[Cantidad]]</f>
        <v>8133.5819063999998</v>
      </c>
      <c r="Q1652" s="282" t="e">
        <f>(INDEX(Tabla6[#All],MATCH(Tabla4[[#This Row],[Producto]],Tabla6[[#All],[PRODUCTO]],0),MATCH(Tabla4[[#This Row],[Mes]],Tabla6[#Headers],0)))</f>
        <v>#N/A</v>
      </c>
      <c r="R1652" s="282" t="e">
        <f>++Tabla4[[#This Row],[Precio Unitario Neto]]-Tabla4[[#This Row],[20.85%]]-Tabla4[[#This Row],[Costo]]</f>
        <v>#N/A</v>
      </c>
      <c r="S1652" s="282" t="e">
        <f>++Tabla4[[#This Row],[U. Bruta Uni]]*Tabla4[[#This Row],[Cantidad]]</f>
        <v>#N/A</v>
      </c>
      <c r="T1652" s="369" t="str">
        <f>VLOOKUP(Tabla4[[#This Row],[Producto]],Tabla6[#All],14,FALSE)</f>
        <v>Termico Solar</v>
      </c>
      <c r="U1652" s="284" t="e">
        <f>(IF(Tabla4[[#This Row],[Familia]]="termico solar",Tabla4[[#This Row],[Utilidad Total]]*6%,Tabla4[[#This Row],[Utilidad Total]]*11.5%))/Tabla4[[#This Row],[Total]]</f>
        <v>#N/A</v>
      </c>
      <c r="V1652" s="282" t="e">
        <f>+Tabla4[[#This Row],[Comisión Calculada]]*Tabla4[[#This Row],[Total]]</f>
        <v>#N/A</v>
      </c>
    </row>
    <row r="1653" spans="1:22" hidden="1" x14ac:dyDescent="0.25">
      <c r="A1653" s="100">
        <v>45747</v>
      </c>
      <c r="B1653" t="str">
        <f t="shared" si="83"/>
        <v>March</v>
      </c>
      <c r="C1653" s="46" t="s">
        <v>280</v>
      </c>
      <c r="F1653" s="366" t="s">
        <v>1343</v>
      </c>
      <c r="G1653" s="46" t="s">
        <v>18</v>
      </c>
      <c r="H1653" s="46">
        <v>2</v>
      </c>
      <c r="I1653" s="51">
        <v>5367.65</v>
      </c>
      <c r="J1653" s="281">
        <f>++Tabla4[[#This Row],[Precio Bruto]]*1.16</f>
        <v>6226.4739999999993</v>
      </c>
      <c r="K1653" s="281">
        <f>+Tabla4[[#This Row],[Precio Unitario Neto]]*Tabla4[[#Headers],[20.85%]]</f>
        <v>1298.2198289999999</v>
      </c>
      <c r="L1653" s="282">
        <f>++Tabla4[[#This Row],[Precio Unitario Neto]]-Tabla4[[#This Row],[20.85%]]</f>
        <v>4928.2541709999996</v>
      </c>
      <c r="M1653" s="282" t="e">
        <f>(INDEX(Tabla6[#All],MATCH(Tabla4[[#This Row],[Producto]],Tabla6[[#All],[PRODUCTO]],0),MATCH(Tabla4[[#This Row],[Mes]],Tabla6[#Headers],0)))*(1+Catalogos!$L$2)</f>
        <v>#N/A</v>
      </c>
      <c r="N1653" s="283" t="e">
        <f>+(Tabla4[[#This Row],[Precio Descontado]]-Tabla4[[#This Row],[Precio Base]])*Tabla4[[#This Row],[Cantidad]]</f>
        <v>#N/A</v>
      </c>
      <c r="O1653" s="284" t="e">
        <f>++Tabla4[[#This Row],[Utilidad Total]]/Tabla4[[#This Row],[Total]]</f>
        <v>#N/A</v>
      </c>
      <c r="P1653" s="282">
        <f>++Tabla4[[#This Row],[Precio Descontado]]*Tabla4[[#This Row],[Cantidad]]</f>
        <v>9856.5083419999992</v>
      </c>
      <c r="Q1653" s="282" t="e">
        <f>(INDEX(Tabla6[#All],MATCH(Tabla4[[#This Row],[Producto]],Tabla6[[#All],[PRODUCTO]],0),MATCH(Tabla4[[#This Row],[Mes]],Tabla6[#Headers],0)))</f>
        <v>#N/A</v>
      </c>
      <c r="R1653" s="282" t="e">
        <f>++Tabla4[[#This Row],[Precio Unitario Neto]]-Tabla4[[#This Row],[20.85%]]-Tabla4[[#This Row],[Costo]]</f>
        <v>#N/A</v>
      </c>
      <c r="S1653" s="282" t="e">
        <f>++Tabla4[[#This Row],[U. Bruta Uni]]*Tabla4[[#This Row],[Cantidad]]</f>
        <v>#N/A</v>
      </c>
      <c r="T1653" s="369" t="str">
        <f>VLOOKUP(Tabla4[[#This Row],[Producto]],Tabla6[#All],14,FALSE)</f>
        <v>Termico Solar</v>
      </c>
      <c r="U1653" s="284" t="e">
        <f>(IF(Tabla4[[#This Row],[Familia]]="termico solar",Tabla4[[#This Row],[Utilidad Total]]*6%,Tabla4[[#This Row],[Utilidad Total]]*11.5%))/Tabla4[[#This Row],[Total]]</f>
        <v>#N/A</v>
      </c>
      <c r="V1653" s="282" t="e">
        <f>+Tabla4[[#This Row],[Comisión Calculada]]*Tabla4[[#This Row],[Total]]</f>
        <v>#N/A</v>
      </c>
    </row>
    <row r="1654" spans="1:22" hidden="1" x14ac:dyDescent="0.25">
      <c r="A1654" s="100">
        <v>45747</v>
      </c>
      <c r="B1654" t="str">
        <f t="shared" si="83"/>
        <v>March</v>
      </c>
      <c r="C1654" s="46" t="s">
        <v>280</v>
      </c>
      <c r="F1654" s="366" t="s">
        <v>1343</v>
      </c>
      <c r="G1654" s="46" t="s">
        <v>208</v>
      </c>
      <c r="H1654" s="46">
        <v>30</v>
      </c>
      <c r="I1654" s="51">
        <v>140.63</v>
      </c>
      <c r="J1654" s="281">
        <f>++Tabla4[[#This Row],[Precio Bruto]]*1.16</f>
        <v>163.13079999999999</v>
      </c>
      <c r="K1654" s="281">
        <f>+Tabla4[[#This Row],[Precio Unitario Neto]]*Tabla4[[#Headers],[20.85%]]</f>
        <v>34.012771799999996</v>
      </c>
      <c r="L1654" s="282">
        <f>++Tabla4[[#This Row],[Precio Unitario Neto]]-Tabla4[[#This Row],[20.85%]]</f>
        <v>129.1180282</v>
      </c>
      <c r="M1654" s="282" t="e">
        <f>(INDEX(Tabla6[#All],MATCH(Tabla4[[#This Row],[Producto]],Tabla6[[#All],[PRODUCTO]],0),MATCH(Tabla4[[#This Row],[Mes]],Tabla6[#Headers],0)))*(1+Catalogos!$L$2)</f>
        <v>#N/A</v>
      </c>
      <c r="N1654" s="283" t="e">
        <f>+(Tabla4[[#This Row],[Precio Descontado]]-Tabla4[[#This Row],[Precio Base]])*Tabla4[[#This Row],[Cantidad]]</f>
        <v>#N/A</v>
      </c>
      <c r="O1654" s="284" t="e">
        <f>++Tabla4[[#This Row],[Utilidad Total]]/Tabla4[[#This Row],[Total]]</f>
        <v>#N/A</v>
      </c>
      <c r="P1654" s="282">
        <f>++Tabla4[[#This Row],[Precio Descontado]]*Tabla4[[#This Row],[Cantidad]]</f>
        <v>3873.5408459999999</v>
      </c>
      <c r="Q1654" s="282" t="e">
        <f>(INDEX(Tabla6[#All],MATCH(Tabla4[[#This Row],[Producto]],Tabla6[[#All],[PRODUCTO]],0),MATCH(Tabla4[[#This Row],[Mes]],Tabla6[#Headers],0)))</f>
        <v>#N/A</v>
      </c>
      <c r="R1654" s="282" t="e">
        <f>++Tabla4[[#This Row],[Precio Unitario Neto]]-Tabla4[[#This Row],[20.85%]]-Tabla4[[#This Row],[Costo]]</f>
        <v>#N/A</v>
      </c>
      <c r="S1654" s="282" t="e">
        <f>++Tabla4[[#This Row],[U. Bruta Uni]]*Tabla4[[#This Row],[Cantidad]]</f>
        <v>#N/A</v>
      </c>
      <c r="T1654" s="369" t="str">
        <f>VLOOKUP(Tabla4[[#This Row],[Producto]],Tabla6[#All],14,FALSE)</f>
        <v>Termico Solar</v>
      </c>
      <c r="U1654" s="284" t="e">
        <f>(IF(Tabla4[[#This Row],[Familia]]="termico solar",Tabla4[[#This Row],[Utilidad Total]]*6%,Tabla4[[#This Row],[Utilidad Total]]*11.5%))/Tabla4[[#This Row],[Total]]</f>
        <v>#N/A</v>
      </c>
      <c r="V1654" s="282" t="e">
        <f>+Tabla4[[#This Row],[Comisión Calculada]]*Tabla4[[#This Row],[Total]]</f>
        <v>#N/A</v>
      </c>
    </row>
    <row r="1655" spans="1:22" hidden="1" x14ac:dyDescent="0.25">
      <c r="A1655" s="100">
        <v>45747</v>
      </c>
      <c r="B1655" t="str">
        <f t="shared" si="83"/>
        <v>March</v>
      </c>
      <c r="C1655" s="46" t="s">
        <v>280</v>
      </c>
      <c r="F1655" s="366" t="s">
        <v>1344</v>
      </c>
      <c r="G1655" s="46" t="s">
        <v>17</v>
      </c>
      <c r="H1655" s="46">
        <v>1</v>
      </c>
      <c r="I1655" s="51">
        <v>4622.28</v>
      </c>
      <c r="J1655" s="281">
        <f>++Tabla4[[#This Row],[Precio Bruto]]*1.16</f>
        <v>5361.8447999999989</v>
      </c>
      <c r="K1655" s="281">
        <f>+Tabla4[[#This Row],[Precio Unitario Neto]]*Tabla4[[#Headers],[20.85%]]</f>
        <v>1117.9446407999997</v>
      </c>
      <c r="L1655" s="282">
        <f>++Tabla4[[#This Row],[Precio Unitario Neto]]-Tabla4[[#This Row],[20.85%]]</f>
        <v>4243.9001591999995</v>
      </c>
      <c r="M1655" s="282" t="e">
        <f>(INDEX(Tabla6[#All],MATCH(Tabla4[[#This Row],[Producto]],Tabla6[[#All],[PRODUCTO]],0),MATCH(Tabla4[[#This Row],[Mes]],Tabla6[#Headers],0)))*(1+Catalogos!$L$2)</f>
        <v>#N/A</v>
      </c>
      <c r="N1655" s="283" t="e">
        <f>+(Tabla4[[#This Row],[Precio Descontado]]-Tabla4[[#This Row],[Precio Base]])*Tabla4[[#This Row],[Cantidad]]</f>
        <v>#N/A</v>
      </c>
      <c r="O1655" s="284" t="e">
        <f>++Tabla4[[#This Row],[Utilidad Total]]/Tabla4[[#This Row],[Total]]</f>
        <v>#N/A</v>
      </c>
      <c r="P1655" s="282">
        <f>++Tabla4[[#This Row],[Precio Descontado]]*Tabla4[[#This Row],[Cantidad]]</f>
        <v>4243.9001591999995</v>
      </c>
      <c r="Q1655" s="282" t="e">
        <f>(INDEX(Tabla6[#All],MATCH(Tabla4[[#This Row],[Producto]],Tabla6[[#All],[PRODUCTO]],0),MATCH(Tabla4[[#This Row],[Mes]],Tabla6[#Headers],0)))</f>
        <v>#N/A</v>
      </c>
      <c r="R1655" s="282" t="e">
        <f>++Tabla4[[#This Row],[Precio Unitario Neto]]-Tabla4[[#This Row],[20.85%]]-Tabla4[[#This Row],[Costo]]</f>
        <v>#N/A</v>
      </c>
      <c r="S1655" s="282" t="e">
        <f>++Tabla4[[#This Row],[U. Bruta Uni]]*Tabla4[[#This Row],[Cantidad]]</f>
        <v>#N/A</v>
      </c>
      <c r="T1655" s="369" t="str">
        <f>VLOOKUP(Tabla4[[#This Row],[Producto]],Tabla6[#All],14,FALSE)</f>
        <v>Termico Solar</v>
      </c>
      <c r="U1655" s="284" t="e">
        <f>(IF(Tabla4[[#This Row],[Familia]]="termico solar",Tabla4[[#This Row],[Utilidad Total]]*6%,Tabla4[[#This Row],[Utilidad Total]]*11.5%))/Tabla4[[#This Row],[Total]]</f>
        <v>#N/A</v>
      </c>
      <c r="V1655" s="282" t="e">
        <f>+Tabla4[[#This Row],[Comisión Calculada]]*Tabla4[[#This Row],[Total]]</f>
        <v>#N/A</v>
      </c>
    </row>
    <row r="1656" spans="1:22" hidden="1" x14ac:dyDescent="0.25">
      <c r="A1656" s="100">
        <v>45747</v>
      </c>
      <c r="B1656" t="str">
        <f t="shared" si="83"/>
        <v>March</v>
      </c>
      <c r="C1656" s="46" t="s">
        <v>280</v>
      </c>
      <c r="F1656" s="366" t="s">
        <v>1345</v>
      </c>
      <c r="G1656" s="46" t="s">
        <v>82</v>
      </c>
      <c r="H1656" s="46">
        <v>7</v>
      </c>
      <c r="I1656" s="51">
        <v>7690</v>
      </c>
      <c r="J1656" s="281">
        <f>++Tabla4[[#This Row],[Precio Bruto]]*1.16</f>
        <v>8920.4</v>
      </c>
      <c r="K1656" s="281">
        <f>+Tabla4[[#This Row],[Precio Unitario Neto]]*Tabla4[[#Headers],[20.85%]]</f>
        <v>1859.9033999999999</v>
      </c>
      <c r="L1656" s="282">
        <f>++Tabla4[[#This Row],[Precio Unitario Neto]]-Tabla4[[#This Row],[20.85%]]</f>
        <v>7060.4965999999995</v>
      </c>
      <c r="M1656" s="282" t="e">
        <f>(INDEX(Tabla6[#All],MATCH(Tabla4[[#This Row],[Producto]],Tabla6[[#All],[PRODUCTO]],0),MATCH(Tabla4[[#This Row],[Mes]],Tabla6[#Headers],0)))*(1+Catalogos!$L$2)</f>
        <v>#N/A</v>
      </c>
      <c r="N1656" s="283" t="e">
        <f>+(Tabla4[[#This Row],[Precio Descontado]]-Tabla4[[#This Row],[Precio Base]])*Tabla4[[#This Row],[Cantidad]]</f>
        <v>#N/A</v>
      </c>
      <c r="O1656" s="284" t="e">
        <f>++Tabla4[[#This Row],[Utilidad Total]]/Tabla4[[#This Row],[Total]]</f>
        <v>#N/A</v>
      </c>
      <c r="P1656" s="282">
        <f>++Tabla4[[#This Row],[Precio Descontado]]*Tabla4[[#This Row],[Cantidad]]</f>
        <v>49423.476199999997</v>
      </c>
      <c r="Q1656" s="282" t="e">
        <f>(INDEX(Tabla6[#All],MATCH(Tabla4[[#This Row],[Producto]],Tabla6[[#All],[PRODUCTO]],0),MATCH(Tabla4[[#This Row],[Mes]],Tabla6[#Headers],0)))</f>
        <v>#N/A</v>
      </c>
      <c r="R1656" s="282" t="e">
        <f>++Tabla4[[#This Row],[Precio Unitario Neto]]-Tabla4[[#This Row],[20.85%]]-Tabla4[[#This Row],[Costo]]</f>
        <v>#N/A</v>
      </c>
      <c r="S1656" s="282" t="e">
        <f>++Tabla4[[#This Row],[U. Bruta Uni]]*Tabla4[[#This Row],[Cantidad]]</f>
        <v>#N/A</v>
      </c>
      <c r="T1656" s="369" t="str">
        <f>VLOOKUP(Tabla4[[#This Row],[Producto]],Tabla6[#All],14,FALSE)</f>
        <v>Termico Solar</v>
      </c>
      <c r="U1656" s="284" t="e">
        <f>(IF(Tabla4[[#This Row],[Familia]]="termico solar",Tabla4[[#This Row],[Utilidad Total]]*6%,Tabla4[[#This Row],[Utilidad Total]]*11.5%))/Tabla4[[#This Row],[Total]]</f>
        <v>#N/A</v>
      </c>
      <c r="V1656" s="282" t="e">
        <f>+Tabla4[[#This Row],[Comisión Calculada]]*Tabla4[[#This Row],[Total]]</f>
        <v>#N/A</v>
      </c>
    </row>
    <row r="1657" spans="1:22" hidden="1" x14ac:dyDescent="0.25">
      <c r="A1657" s="100">
        <v>45747</v>
      </c>
      <c r="B1657" t="str">
        <f t="shared" si="83"/>
        <v>March</v>
      </c>
      <c r="C1657" s="46" t="s">
        <v>280</v>
      </c>
      <c r="F1657" s="366" t="s">
        <v>1345</v>
      </c>
      <c r="G1657" s="46" t="s">
        <v>255</v>
      </c>
      <c r="H1657" s="46">
        <v>7</v>
      </c>
      <c r="I1657" s="51">
        <v>1200</v>
      </c>
      <c r="J1657" s="281">
        <f>++Tabla4[[#This Row],[Precio Bruto]]*1.16</f>
        <v>1392</v>
      </c>
      <c r="K1657" s="281">
        <f>+Tabla4[[#This Row],[Precio Unitario Neto]]*Tabla4[[#Headers],[20.85%]]</f>
        <v>290.23199999999997</v>
      </c>
      <c r="L1657" s="282">
        <f>++Tabla4[[#This Row],[Precio Unitario Neto]]-Tabla4[[#This Row],[20.85%]]</f>
        <v>1101.768</v>
      </c>
      <c r="M1657" s="282" t="e">
        <f>(INDEX(Tabla6[#All],MATCH(Tabla4[[#This Row],[Producto]],Tabla6[[#All],[PRODUCTO]],0),MATCH(Tabla4[[#This Row],[Mes]],Tabla6[#Headers],0)))*(1+Catalogos!$L$2)</f>
        <v>#N/A</v>
      </c>
      <c r="N1657" s="283" t="e">
        <f>+(Tabla4[[#This Row],[Precio Descontado]]-Tabla4[[#This Row],[Precio Base]])*Tabla4[[#This Row],[Cantidad]]</f>
        <v>#N/A</v>
      </c>
      <c r="O1657" s="284" t="e">
        <f>++Tabla4[[#This Row],[Utilidad Total]]/Tabla4[[#This Row],[Total]]</f>
        <v>#N/A</v>
      </c>
      <c r="P1657" s="282">
        <f>++Tabla4[[#This Row],[Precio Descontado]]*Tabla4[[#This Row],[Cantidad]]</f>
        <v>7712.3760000000002</v>
      </c>
      <c r="Q1657" s="282" t="e">
        <f>(INDEX(Tabla6[#All],MATCH(Tabla4[[#This Row],[Producto]],Tabla6[[#All],[PRODUCTO]],0),MATCH(Tabla4[[#This Row],[Mes]],Tabla6[#Headers],0)))</f>
        <v>#N/A</v>
      </c>
      <c r="R1657" s="282" t="e">
        <f>++Tabla4[[#This Row],[Precio Unitario Neto]]-Tabla4[[#This Row],[20.85%]]-Tabla4[[#This Row],[Costo]]</f>
        <v>#N/A</v>
      </c>
      <c r="S1657" s="282" t="e">
        <f>++Tabla4[[#This Row],[U. Bruta Uni]]*Tabla4[[#This Row],[Cantidad]]</f>
        <v>#N/A</v>
      </c>
      <c r="T1657" s="369" t="str">
        <f>VLOOKUP(Tabla4[[#This Row],[Producto]],Tabla6[#All],14,FALSE)</f>
        <v>Termico Solar</v>
      </c>
      <c r="U1657" s="284" t="e">
        <f>(IF(Tabla4[[#This Row],[Familia]]="termico solar",Tabla4[[#This Row],[Utilidad Total]]*6%,Tabla4[[#This Row],[Utilidad Total]]*11.5%))/Tabla4[[#This Row],[Total]]</f>
        <v>#N/A</v>
      </c>
      <c r="V1657" s="282" t="e">
        <f>+Tabla4[[#This Row],[Comisión Calculada]]*Tabla4[[#This Row],[Total]]</f>
        <v>#N/A</v>
      </c>
    </row>
    <row r="1658" spans="1:22" hidden="1" x14ac:dyDescent="0.25">
      <c r="A1658" s="100">
        <v>45747</v>
      </c>
      <c r="B1658" t="str">
        <f t="shared" si="83"/>
        <v>March</v>
      </c>
      <c r="C1658" s="46" t="s">
        <v>280</v>
      </c>
      <c r="F1658" s="366" t="s">
        <v>1346</v>
      </c>
      <c r="G1658" s="46" t="s">
        <v>83</v>
      </c>
      <c r="H1658" s="46">
        <v>1</v>
      </c>
      <c r="I1658" s="51">
        <v>8858.76</v>
      </c>
      <c r="J1658" s="281">
        <f>++Tabla4[[#This Row],[Precio Bruto]]*1.16</f>
        <v>10276.161599999999</v>
      </c>
      <c r="K1658" s="281">
        <f>+Tabla4[[#This Row],[Precio Unitario Neto]]*Tabla4[[#Headers],[20.85%]]</f>
        <v>2142.5796935999997</v>
      </c>
      <c r="L1658" s="282">
        <f>++Tabla4[[#This Row],[Precio Unitario Neto]]-Tabla4[[#This Row],[20.85%]]</f>
        <v>8133.5819063999998</v>
      </c>
      <c r="M1658" s="282" t="e">
        <f>(INDEX(Tabla6[#All],MATCH(Tabla4[[#This Row],[Producto]],Tabla6[[#All],[PRODUCTO]],0),MATCH(Tabla4[[#This Row],[Mes]],Tabla6[#Headers],0)))*(1+Catalogos!$L$2)</f>
        <v>#N/A</v>
      </c>
      <c r="N1658" s="283" t="e">
        <f>+(Tabla4[[#This Row],[Precio Descontado]]-Tabla4[[#This Row],[Precio Base]])*Tabla4[[#This Row],[Cantidad]]</f>
        <v>#N/A</v>
      </c>
      <c r="O1658" s="284" t="e">
        <f>++Tabla4[[#This Row],[Utilidad Total]]/Tabla4[[#This Row],[Total]]</f>
        <v>#N/A</v>
      </c>
      <c r="P1658" s="282">
        <f>++Tabla4[[#This Row],[Precio Descontado]]*Tabla4[[#This Row],[Cantidad]]</f>
        <v>8133.5819063999998</v>
      </c>
      <c r="Q1658" s="282" t="e">
        <f>(INDEX(Tabla6[#All],MATCH(Tabla4[[#This Row],[Producto]],Tabla6[[#All],[PRODUCTO]],0),MATCH(Tabla4[[#This Row],[Mes]],Tabla6[#Headers],0)))</f>
        <v>#N/A</v>
      </c>
      <c r="R1658" s="282" t="e">
        <f>++Tabla4[[#This Row],[Precio Unitario Neto]]-Tabla4[[#This Row],[20.85%]]-Tabla4[[#This Row],[Costo]]</f>
        <v>#N/A</v>
      </c>
      <c r="S1658" s="282" t="e">
        <f>++Tabla4[[#This Row],[U. Bruta Uni]]*Tabla4[[#This Row],[Cantidad]]</f>
        <v>#N/A</v>
      </c>
      <c r="T1658" s="369" t="str">
        <f>VLOOKUP(Tabla4[[#This Row],[Producto]],Tabla6[#All],14,FALSE)</f>
        <v>Termico Solar</v>
      </c>
      <c r="U1658" s="284" t="e">
        <f>(IF(Tabla4[[#This Row],[Familia]]="termico solar",Tabla4[[#This Row],[Utilidad Total]]*6%,Tabla4[[#This Row],[Utilidad Total]]*11.5%))/Tabla4[[#This Row],[Total]]</f>
        <v>#N/A</v>
      </c>
      <c r="V1658" s="282" t="e">
        <f>+Tabla4[[#This Row],[Comisión Calculada]]*Tabla4[[#This Row],[Total]]</f>
        <v>#N/A</v>
      </c>
    </row>
    <row r="1659" spans="1:22" hidden="1" x14ac:dyDescent="0.25">
      <c r="A1659" s="100">
        <v>45747</v>
      </c>
      <c r="B1659" t="str">
        <f t="shared" si="83"/>
        <v>March</v>
      </c>
      <c r="C1659" s="46" t="s">
        <v>280</v>
      </c>
      <c r="F1659" s="366" t="s">
        <v>1346</v>
      </c>
      <c r="G1659" s="46" t="s">
        <v>17</v>
      </c>
      <c r="H1659" s="46">
        <v>4</v>
      </c>
      <c r="I1659" s="51">
        <v>4622.28</v>
      </c>
      <c r="J1659" s="281">
        <f>++Tabla4[[#This Row],[Precio Bruto]]*1.16</f>
        <v>5361.8447999999989</v>
      </c>
      <c r="K1659" s="281">
        <f>+Tabla4[[#This Row],[Precio Unitario Neto]]*Tabla4[[#Headers],[20.85%]]</f>
        <v>1117.9446407999997</v>
      </c>
      <c r="L1659" s="282">
        <f>++Tabla4[[#This Row],[Precio Unitario Neto]]-Tabla4[[#This Row],[20.85%]]</f>
        <v>4243.9001591999995</v>
      </c>
      <c r="M1659" s="282" t="e">
        <f>(INDEX(Tabla6[#All],MATCH(Tabla4[[#This Row],[Producto]],Tabla6[[#All],[PRODUCTO]],0),MATCH(Tabla4[[#This Row],[Mes]],Tabla6[#Headers],0)))*(1+Catalogos!$L$2)</f>
        <v>#N/A</v>
      </c>
      <c r="N1659" s="283" t="e">
        <f>+(Tabla4[[#This Row],[Precio Descontado]]-Tabla4[[#This Row],[Precio Base]])*Tabla4[[#This Row],[Cantidad]]</f>
        <v>#N/A</v>
      </c>
      <c r="O1659" s="284" t="e">
        <f>++Tabla4[[#This Row],[Utilidad Total]]/Tabla4[[#This Row],[Total]]</f>
        <v>#N/A</v>
      </c>
      <c r="P1659" s="282">
        <f>++Tabla4[[#This Row],[Precio Descontado]]*Tabla4[[#This Row],[Cantidad]]</f>
        <v>16975.600636799998</v>
      </c>
      <c r="Q1659" s="282" t="e">
        <f>(INDEX(Tabla6[#All],MATCH(Tabla4[[#This Row],[Producto]],Tabla6[[#All],[PRODUCTO]],0),MATCH(Tabla4[[#This Row],[Mes]],Tabla6[#Headers],0)))</f>
        <v>#N/A</v>
      </c>
      <c r="R1659" s="282" t="e">
        <f>++Tabla4[[#This Row],[Precio Unitario Neto]]-Tabla4[[#This Row],[20.85%]]-Tabla4[[#This Row],[Costo]]</f>
        <v>#N/A</v>
      </c>
      <c r="S1659" s="282" t="e">
        <f>++Tabla4[[#This Row],[U. Bruta Uni]]*Tabla4[[#This Row],[Cantidad]]</f>
        <v>#N/A</v>
      </c>
      <c r="T1659" s="369" t="str">
        <f>VLOOKUP(Tabla4[[#This Row],[Producto]],Tabla6[#All],14,FALSE)</f>
        <v>Termico Solar</v>
      </c>
      <c r="U1659" s="284" t="e">
        <f>(IF(Tabla4[[#This Row],[Familia]]="termico solar",Tabla4[[#This Row],[Utilidad Total]]*6%,Tabla4[[#This Row],[Utilidad Total]]*11.5%))/Tabla4[[#This Row],[Total]]</f>
        <v>#N/A</v>
      </c>
      <c r="V1659" s="282" t="e">
        <f>+Tabla4[[#This Row],[Comisión Calculada]]*Tabla4[[#This Row],[Total]]</f>
        <v>#N/A</v>
      </c>
    </row>
    <row r="1660" spans="1:22" hidden="1" x14ac:dyDescent="0.25">
      <c r="A1660" s="100">
        <v>45747</v>
      </c>
      <c r="B1660" t="str">
        <f t="shared" si="83"/>
        <v>March</v>
      </c>
      <c r="C1660" s="46" t="s">
        <v>280</v>
      </c>
      <c r="F1660" s="366" t="s">
        <v>1346</v>
      </c>
      <c r="G1660" s="46" t="s">
        <v>18</v>
      </c>
      <c r="H1660" s="46">
        <v>7</v>
      </c>
      <c r="I1660" s="51">
        <v>5367.6500000000005</v>
      </c>
      <c r="J1660" s="281">
        <f>++Tabla4[[#This Row],[Precio Bruto]]*1.16</f>
        <v>6226.4740000000002</v>
      </c>
      <c r="K1660" s="281">
        <f>+Tabla4[[#This Row],[Precio Unitario Neto]]*Tabla4[[#Headers],[20.85%]]</f>
        <v>1298.2198289999999</v>
      </c>
      <c r="L1660" s="282">
        <f>++Tabla4[[#This Row],[Precio Unitario Neto]]-Tabla4[[#This Row],[20.85%]]</f>
        <v>4928.2541710000005</v>
      </c>
      <c r="M1660" s="282" t="e">
        <f>(INDEX(Tabla6[#All],MATCH(Tabla4[[#This Row],[Producto]],Tabla6[[#All],[PRODUCTO]],0),MATCH(Tabla4[[#This Row],[Mes]],Tabla6[#Headers],0)))*(1+Catalogos!$L$2)</f>
        <v>#N/A</v>
      </c>
      <c r="N1660" s="283" t="e">
        <f>+(Tabla4[[#This Row],[Precio Descontado]]-Tabla4[[#This Row],[Precio Base]])*Tabla4[[#This Row],[Cantidad]]</f>
        <v>#N/A</v>
      </c>
      <c r="O1660" s="284" t="e">
        <f>++Tabla4[[#This Row],[Utilidad Total]]/Tabla4[[#This Row],[Total]]</f>
        <v>#N/A</v>
      </c>
      <c r="P1660" s="282">
        <f>++Tabla4[[#This Row],[Precio Descontado]]*Tabla4[[#This Row],[Cantidad]]</f>
        <v>34497.779197000003</v>
      </c>
      <c r="Q1660" s="282" t="e">
        <f>(INDEX(Tabla6[#All],MATCH(Tabla4[[#This Row],[Producto]],Tabla6[[#All],[PRODUCTO]],0),MATCH(Tabla4[[#This Row],[Mes]],Tabla6[#Headers],0)))</f>
        <v>#N/A</v>
      </c>
      <c r="R1660" s="282" t="e">
        <f>++Tabla4[[#This Row],[Precio Unitario Neto]]-Tabla4[[#This Row],[20.85%]]-Tabla4[[#This Row],[Costo]]</f>
        <v>#N/A</v>
      </c>
      <c r="S1660" s="282" t="e">
        <f>++Tabla4[[#This Row],[U. Bruta Uni]]*Tabla4[[#This Row],[Cantidad]]</f>
        <v>#N/A</v>
      </c>
      <c r="T1660" s="369" t="str">
        <f>VLOOKUP(Tabla4[[#This Row],[Producto]],Tabla6[#All],14,FALSE)</f>
        <v>Termico Solar</v>
      </c>
      <c r="U1660" s="284" t="e">
        <f>(IF(Tabla4[[#This Row],[Familia]]="termico solar",Tabla4[[#This Row],[Utilidad Total]]*6%,Tabla4[[#This Row],[Utilidad Total]]*11.5%))/Tabla4[[#This Row],[Total]]</f>
        <v>#N/A</v>
      </c>
      <c r="V1660" s="282" t="e">
        <f>+Tabla4[[#This Row],[Comisión Calculada]]*Tabla4[[#This Row],[Total]]</f>
        <v>#N/A</v>
      </c>
    </row>
    <row r="1661" spans="1:22" hidden="1" x14ac:dyDescent="0.25">
      <c r="A1661" s="100">
        <v>45747</v>
      </c>
      <c r="B1661" t="str">
        <f t="shared" si="83"/>
        <v>March</v>
      </c>
      <c r="C1661" s="46" t="s">
        <v>280</v>
      </c>
      <c r="F1661" s="366" t="s">
        <v>1346</v>
      </c>
      <c r="G1661" s="46" t="s">
        <v>208</v>
      </c>
      <c r="H1661" s="46">
        <v>15</v>
      </c>
      <c r="I1661" s="51">
        <v>140.63</v>
      </c>
      <c r="J1661" s="281">
        <f>++Tabla4[[#This Row],[Precio Bruto]]*1.16</f>
        <v>163.13079999999999</v>
      </c>
      <c r="K1661" s="281">
        <f>+Tabla4[[#This Row],[Precio Unitario Neto]]*Tabla4[[#Headers],[20.85%]]</f>
        <v>34.012771799999996</v>
      </c>
      <c r="L1661" s="282">
        <f>++Tabla4[[#This Row],[Precio Unitario Neto]]-Tabla4[[#This Row],[20.85%]]</f>
        <v>129.1180282</v>
      </c>
      <c r="M1661" s="282" t="e">
        <f>(INDEX(Tabla6[#All],MATCH(Tabla4[[#This Row],[Producto]],Tabla6[[#All],[PRODUCTO]],0),MATCH(Tabla4[[#This Row],[Mes]],Tabla6[#Headers],0)))*(1+Catalogos!$L$2)</f>
        <v>#N/A</v>
      </c>
      <c r="N1661" s="283" t="e">
        <f>+(Tabla4[[#This Row],[Precio Descontado]]-Tabla4[[#This Row],[Precio Base]])*Tabla4[[#This Row],[Cantidad]]</f>
        <v>#N/A</v>
      </c>
      <c r="O1661" s="284" t="e">
        <f>++Tabla4[[#This Row],[Utilidad Total]]/Tabla4[[#This Row],[Total]]</f>
        <v>#N/A</v>
      </c>
      <c r="P1661" s="282">
        <f>++Tabla4[[#This Row],[Precio Descontado]]*Tabla4[[#This Row],[Cantidad]]</f>
        <v>1936.7704229999999</v>
      </c>
      <c r="Q1661" s="282" t="e">
        <f>(INDEX(Tabla6[#All],MATCH(Tabla4[[#This Row],[Producto]],Tabla6[[#All],[PRODUCTO]],0),MATCH(Tabla4[[#This Row],[Mes]],Tabla6[#Headers],0)))</f>
        <v>#N/A</v>
      </c>
      <c r="R1661" s="282" t="e">
        <f>++Tabla4[[#This Row],[Precio Unitario Neto]]-Tabla4[[#This Row],[20.85%]]-Tabla4[[#This Row],[Costo]]</f>
        <v>#N/A</v>
      </c>
      <c r="S1661" s="282" t="e">
        <f>++Tabla4[[#This Row],[U. Bruta Uni]]*Tabla4[[#This Row],[Cantidad]]</f>
        <v>#N/A</v>
      </c>
      <c r="T1661" s="369" t="str">
        <f>VLOOKUP(Tabla4[[#This Row],[Producto]],Tabla6[#All],14,FALSE)</f>
        <v>Termico Solar</v>
      </c>
      <c r="U1661" s="284" t="e">
        <f>(IF(Tabla4[[#This Row],[Familia]]="termico solar",Tabla4[[#This Row],[Utilidad Total]]*6%,Tabla4[[#This Row],[Utilidad Total]]*11.5%))/Tabla4[[#This Row],[Total]]</f>
        <v>#N/A</v>
      </c>
      <c r="V1661" s="282" t="e">
        <f>+Tabla4[[#This Row],[Comisión Calculada]]*Tabla4[[#This Row],[Total]]</f>
        <v>#N/A</v>
      </c>
    </row>
    <row r="1662" spans="1:22" hidden="1" x14ac:dyDescent="0.25">
      <c r="A1662" s="100">
        <v>45747</v>
      </c>
      <c r="B1662" t="str">
        <f t="shared" si="83"/>
        <v>March</v>
      </c>
      <c r="C1662" s="46" t="s">
        <v>280</v>
      </c>
      <c r="F1662" s="366" t="s">
        <v>1347</v>
      </c>
      <c r="G1662" s="46" t="s">
        <v>18</v>
      </c>
      <c r="H1662" s="46">
        <v>1</v>
      </c>
      <c r="I1662" s="51">
        <v>5367.65</v>
      </c>
      <c r="J1662" s="281">
        <f>++Tabla4[[#This Row],[Precio Bruto]]*1.16</f>
        <v>6226.4739999999993</v>
      </c>
      <c r="K1662" s="281">
        <f>+Tabla4[[#This Row],[Precio Unitario Neto]]*Tabla4[[#Headers],[20.85%]]</f>
        <v>1298.2198289999999</v>
      </c>
      <c r="L1662" s="282">
        <f>++Tabla4[[#This Row],[Precio Unitario Neto]]-Tabla4[[#This Row],[20.85%]]</f>
        <v>4928.2541709999996</v>
      </c>
      <c r="M1662" s="282" t="e">
        <f>(INDEX(Tabla6[#All],MATCH(Tabla4[[#This Row],[Producto]],Tabla6[[#All],[PRODUCTO]],0),MATCH(Tabla4[[#This Row],[Mes]],Tabla6[#Headers],0)))*(1+Catalogos!$L$2)</f>
        <v>#N/A</v>
      </c>
      <c r="N1662" s="283" t="e">
        <f>+(Tabla4[[#This Row],[Precio Descontado]]-Tabla4[[#This Row],[Precio Base]])*Tabla4[[#This Row],[Cantidad]]</f>
        <v>#N/A</v>
      </c>
      <c r="O1662" s="284" t="e">
        <f>++Tabla4[[#This Row],[Utilidad Total]]/Tabla4[[#This Row],[Total]]</f>
        <v>#N/A</v>
      </c>
      <c r="P1662" s="282">
        <f>++Tabla4[[#This Row],[Precio Descontado]]*Tabla4[[#This Row],[Cantidad]]</f>
        <v>4928.2541709999996</v>
      </c>
      <c r="Q1662" s="282" t="e">
        <f>(INDEX(Tabla6[#All],MATCH(Tabla4[[#This Row],[Producto]],Tabla6[[#All],[PRODUCTO]],0),MATCH(Tabla4[[#This Row],[Mes]],Tabla6[#Headers],0)))</f>
        <v>#N/A</v>
      </c>
      <c r="R1662" s="282" t="e">
        <f>++Tabla4[[#This Row],[Precio Unitario Neto]]-Tabla4[[#This Row],[20.85%]]-Tabla4[[#This Row],[Costo]]</f>
        <v>#N/A</v>
      </c>
      <c r="S1662" s="282" t="e">
        <f>++Tabla4[[#This Row],[U. Bruta Uni]]*Tabla4[[#This Row],[Cantidad]]</f>
        <v>#N/A</v>
      </c>
      <c r="T1662" s="369" t="str">
        <f>VLOOKUP(Tabla4[[#This Row],[Producto]],Tabla6[#All],14,FALSE)</f>
        <v>Termico Solar</v>
      </c>
      <c r="U1662" s="284" t="e">
        <f>(IF(Tabla4[[#This Row],[Familia]]="termico solar",Tabla4[[#This Row],[Utilidad Total]]*6%,Tabla4[[#This Row],[Utilidad Total]]*11.5%))/Tabla4[[#This Row],[Total]]</f>
        <v>#N/A</v>
      </c>
      <c r="V1662" s="282" t="e">
        <f>+Tabla4[[#This Row],[Comisión Calculada]]*Tabla4[[#This Row],[Total]]</f>
        <v>#N/A</v>
      </c>
    </row>
    <row r="1663" spans="1:22" hidden="1" x14ac:dyDescent="0.25">
      <c r="A1663" s="100">
        <v>45747</v>
      </c>
      <c r="B1663" t="str">
        <f t="shared" si="83"/>
        <v>March</v>
      </c>
      <c r="C1663" s="46" t="s">
        <v>280</v>
      </c>
      <c r="F1663" s="366" t="s">
        <v>1347</v>
      </c>
      <c r="G1663" s="46" t="s">
        <v>16</v>
      </c>
      <c r="H1663" s="46">
        <v>2</v>
      </c>
      <c r="I1663" s="51">
        <v>4103.8500000000004</v>
      </c>
      <c r="J1663" s="281">
        <f>++Tabla4[[#This Row],[Precio Bruto]]*1.16</f>
        <v>4760.4660000000003</v>
      </c>
      <c r="K1663" s="281">
        <f>+Tabla4[[#This Row],[Precio Unitario Neto]]*Tabla4[[#Headers],[20.85%]]</f>
        <v>992.55716100000006</v>
      </c>
      <c r="L1663" s="282">
        <f>++Tabla4[[#This Row],[Precio Unitario Neto]]-Tabla4[[#This Row],[20.85%]]</f>
        <v>3767.9088390000002</v>
      </c>
      <c r="M1663" s="282" t="e">
        <f>(INDEX(Tabla6[#All],MATCH(Tabla4[[#This Row],[Producto]],Tabla6[[#All],[PRODUCTO]],0),MATCH(Tabla4[[#This Row],[Mes]],Tabla6[#Headers],0)))*(1+Catalogos!$L$2)</f>
        <v>#N/A</v>
      </c>
      <c r="N1663" s="283" t="e">
        <f>+(Tabla4[[#This Row],[Precio Descontado]]-Tabla4[[#This Row],[Precio Base]])*Tabla4[[#This Row],[Cantidad]]</f>
        <v>#N/A</v>
      </c>
      <c r="O1663" s="284" t="e">
        <f>++Tabla4[[#This Row],[Utilidad Total]]/Tabla4[[#This Row],[Total]]</f>
        <v>#N/A</v>
      </c>
      <c r="P1663" s="282">
        <f>++Tabla4[[#This Row],[Precio Descontado]]*Tabla4[[#This Row],[Cantidad]]</f>
        <v>7535.8176780000003</v>
      </c>
      <c r="Q1663" s="282" t="e">
        <f>(INDEX(Tabla6[#All],MATCH(Tabla4[[#This Row],[Producto]],Tabla6[[#All],[PRODUCTO]],0),MATCH(Tabla4[[#This Row],[Mes]],Tabla6[#Headers],0)))</f>
        <v>#N/A</v>
      </c>
      <c r="R1663" s="282" t="e">
        <f>++Tabla4[[#This Row],[Precio Unitario Neto]]-Tabla4[[#This Row],[20.85%]]-Tabla4[[#This Row],[Costo]]</f>
        <v>#N/A</v>
      </c>
      <c r="S1663" s="282" t="e">
        <f>++Tabla4[[#This Row],[U. Bruta Uni]]*Tabla4[[#This Row],[Cantidad]]</f>
        <v>#N/A</v>
      </c>
      <c r="T1663" s="369" t="str">
        <f>VLOOKUP(Tabla4[[#This Row],[Producto]],Tabla6[#All],14,FALSE)</f>
        <v>Termico Solar</v>
      </c>
      <c r="U1663" s="284" t="e">
        <f>(IF(Tabla4[[#This Row],[Familia]]="termico solar",Tabla4[[#This Row],[Utilidad Total]]*6%,Tabla4[[#This Row],[Utilidad Total]]*11.5%))/Tabla4[[#This Row],[Total]]</f>
        <v>#N/A</v>
      </c>
      <c r="V1663" s="282" t="e">
        <f>+Tabla4[[#This Row],[Comisión Calculada]]*Tabla4[[#This Row],[Total]]</f>
        <v>#N/A</v>
      </c>
    </row>
    <row r="1664" spans="1:22" hidden="1" x14ac:dyDescent="0.25">
      <c r="A1664" s="100">
        <v>45747</v>
      </c>
      <c r="B1664" t="str">
        <f t="shared" si="83"/>
        <v>March</v>
      </c>
      <c r="C1664" s="46" t="s">
        <v>280</v>
      </c>
      <c r="F1664" s="366" t="s">
        <v>1348</v>
      </c>
      <c r="G1664" s="46" t="s">
        <v>83</v>
      </c>
      <c r="H1664" s="46">
        <v>7</v>
      </c>
      <c r="I1664" s="51">
        <v>8858.76</v>
      </c>
      <c r="J1664" s="281">
        <f>++Tabla4[[#This Row],[Precio Bruto]]*1.16</f>
        <v>10276.161599999999</v>
      </c>
      <c r="K1664" s="281">
        <f>+Tabla4[[#This Row],[Precio Unitario Neto]]*Tabla4[[#Headers],[20.85%]]</f>
        <v>2142.5796935999997</v>
      </c>
      <c r="L1664" s="282">
        <f>++Tabla4[[#This Row],[Precio Unitario Neto]]-Tabla4[[#This Row],[20.85%]]</f>
        <v>8133.5819063999998</v>
      </c>
      <c r="M1664" s="282" t="e">
        <f>(INDEX(Tabla6[#All],MATCH(Tabla4[[#This Row],[Producto]],Tabla6[[#All],[PRODUCTO]],0),MATCH(Tabla4[[#This Row],[Mes]],Tabla6[#Headers],0)))*(1+Catalogos!$L$2)</f>
        <v>#N/A</v>
      </c>
      <c r="N1664" s="283" t="e">
        <f>+(Tabla4[[#This Row],[Precio Descontado]]-Tabla4[[#This Row],[Precio Base]])*Tabla4[[#This Row],[Cantidad]]</f>
        <v>#N/A</v>
      </c>
      <c r="O1664" s="284" t="e">
        <f>++Tabla4[[#This Row],[Utilidad Total]]/Tabla4[[#This Row],[Total]]</f>
        <v>#N/A</v>
      </c>
      <c r="P1664" s="282">
        <f>++Tabla4[[#This Row],[Precio Descontado]]*Tabla4[[#This Row],[Cantidad]]</f>
        <v>56935.073344799996</v>
      </c>
      <c r="Q1664" s="282" t="e">
        <f>(INDEX(Tabla6[#All],MATCH(Tabla4[[#This Row],[Producto]],Tabla6[[#All],[PRODUCTO]],0),MATCH(Tabla4[[#This Row],[Mes]],Tabla6[#Headers],0)))</f>
        <v>#N/A</v>
      </c>
      <c r="R1664" s="282" t="e">
        <f>++Tabla4[[#This Row],[Precio Unitario Neto]]-Tabla4[[#This Row],[20.85%]]-Tabla4[[#This Row],[Costo]]</f>
        <v>#N/A</v>
      </c>
      <c r="S1664" s="282" t="e">
        <f>++Tabla4[[#This Row],[U. Bruta Uni]]*Tabla4[[#This Row],[Cantidad]]</f>
        <v>#N/A</v>
      </c>
      <c r="T1664" s="369" t="str">
        <f>VLOOKUP(Tabla4[[#This Row],[Producto]],Tabla6[#All],14,FALSE)</f>
        <v>Termico Solar</v>
      </c>
      <c r="U1664" s="284" t="e">
        <f>(IF(Tabla4[[#This Row],[Familia]]="termico solar",Tabla4[[#This Row],[Utilidad Total]]*6%,Tabla4[[#This Row],[Utilidad Total]]*11.5%))/Tabla4[[#This Row],[Total]]</f>
        <v>#N/A</v>
      </c>
      <c r="V1664" s="282" t="e">
        <f>+Tabla4[[#This Row],[Comisión Calculada]]*Tabla4[[#This Row],[Total]]</f>
        <v>#N/A</v>
      </c>
    </row>
    <row r="1665" spans="1:22" hidden="1" x14ac:dyDescent="0.25">
      <c r="A1665" s="100">
        <v>45747</v>
      </c>
      <c r="B1665" t="str">
        <f t="shared" si="83"/>
        <v>March</v>
      </c>
      <c r="C1665" s="46" t="s">
        <v>280</v>
      </c>
      <c r="F1665" s="366" t="s">
        <v>1348</v>
      </c>
      <c r="G1665" s="46" t="s">
        <v>17</v>
      </c>
      <c r="H1665" s="46">
        <v>3</v>
      </c>
      <c r="I1665" s="51">
        <v>4622.28</v>
      </c>
      <c r="J1665" s="281">
        <f>++Tabla4[[#This Row],[Precio Bruto]]*1.16</f>
        <v>5361.8447999999989</v>
      </c>
      <c r="K1665" s="281">
        <f>+Tabla4[[#This Row],[Precio Unitario Neto]]*Tabla4[[#Headers],[20.85%]]</f>
        <v>1117.9446407999997</v>
      </c>
      <c r="L1665" s="282">
        <f>++Tabla4[[#This Row],[Precio Unitario Neto]]-Tabla4[[#This Row],[20.85%]]</f>
        <v>4243.9001591999995</v>
      </c>
      <c r="M1665" s="282" t="e">
        <f>(INDEX(Tabla6[#All],MATCH(Tabla4[[#This Row],[Producto]],Tabla6[[#All],[PRODUCTO]],0),MATCH(Tabla4[[#This Row],[Mes]],Tabla6[#Headers],0)))*(1+Catalogos!$L$2)</f>
        <v>#N/A</v>
      </c>
      <c r="N1665" s="283" t="e">
        <f>+(Tabla4[[#This Row],[Precio Descontado]]-Tabla4[[#This Row],[Precio Base]])*Tabla4[[#This Row],[Cantidad]]</f>
        <v>#N/A</v>
      </c>
      <c r="O1665" s="284" t="e">
        <f>++Tabla4[[#This Row],[Utilidad Total]]/Tabla4[[#This Row],[Total]]</f>
        <v>#N/A</v>
      </c>
      <c r="P1665" s="282">
        <f>++Tabla4[[#This Row],[Precio Descontado]]*Tabla4[[#This Row],[Cantidad]]</f>
        <v>12731.700477599999</v>
      </c>
      <c r="Q1665" s="282" t="e">
        <f>(INDEX(Tabla6[#All],MATCH(Tabla4[[#This Row],[Producto]],Tabla6[[#All],[PRODUCTO]],0),MATCH(Tabla4[[#This Row],[Mes]],Tabla6[#Headers],0)))</f>
        <v>#N/A</v>
      </c>
      <c r="R1665" s="282" t="e">
        <f>++Tabla4[[#This Row],[Precio Unitario Neto]]-Tabla4[[#This Row],[20.85%]]-Tabla4[[#This Row],[Costo]]</f>
        <v>#N/A</v>
      </c>
      <c r="S1665" s="282" t="e">
        <f>++Tabla4[[#This Row],[U. Bruta Uni]]*Tabla4[[#This Row],[Cantidad]]</f>
        <v>#N/A</v>
      </c>
      <c r="T1665" s="369" t="str">
        <f>VLOOKUP(Tabla4[[#This Row],[Producto]],Tabla6[#All],14,FALSE)</f>
        <v>Termico Solar</v>
      </c>
      <c r="U1665" s="284" t="e">
        <f>(IF(Tabla4[[#This Row],[Familia]]="termico solar",Tabla4[[#This Row],[Utilidad Total]]*6%,Tabla4[[#This Row],[Utilidad Total]]*11.5%))/Tabla4[[#This Row],[Total]]</f>
        <v>#N/A</v>
      </c>
      <c r="V1665" s="282" t="e">
        <f>+Tabla4[[#This Row],[Comisión Calculada]]*Tabla4[[#This Row],[Total]]</f>
        <v>#N/A</v>
      </c>
    </row>
    <row r="1666" spans="1:22" hidden="1" x14ac:dyDescent="0.25">
      <c r="A1666" s="100">
        <v>45747</v>
      </c>
      <c r="B1666" t="str">
        <f t="shared" si="83"/>
        <v>March</v>
      </c>
      <c r="C1666" s="46" t="s">
        <v>280</v>
      </c>
      <c r="F1666" s="366" t="s">
        <v>1348</v>
      </c>
      <c r="G1666" s="46" t="s">
        <v>18</v>
      </c>
      <c r="H1666" s="46">
        <v>3</v>
      </c>
      <c r="I1666" s="51">
        <v>5367.6500000000005</v>
      </c>
      <c r="J1666" s="281">
        <f>++Tabla4[[#This Row],[Precio Bruto]]*1.16</f>
        <v>6226.4740000000002</v>
      </c>
      <c r="K1666" s="281">
        <f>+Tabla4[[#This Row],[Precio Unitario Neto]]*Tabla4[[#Headers],[20.85%]]</f>
        <v>1298.2198289999999</v>
      </c>
      <c r="L1666" s="282">
        <f>++Tabla4[[#This Row],[Precio Unitario Neto]]-Tabla4[[#This Row],[20.85%]]</f>
        <v>4928.2541710000005</v>
      </c>
      <c r="M1666" s="282" t="e">
        <f>(INDEX(Tabla6[#All],MATCH(Tabla4[[#This Row],[Producto]],Tabla6[[#All],[PRODUCTO]],0),MATCH(Tabla4[[#This Row],[Mes]],Tabla6[#Headers],0)))*(1+Catalogos!$L$2)</f>
        <v>#N/A</v>
      </c>
      <c r="N1666" s="283" t="e">
        <f>+(Tabla4[[#This Row],[Precio Descontado]]-Tabla4[[#This Row],[Precio Base]])*Tabla4[[#This Row],[Cantidad]]</f>
        <v>#N/A</v>
      </c>
      <c r="O1666" s="284" t="e">
        <f>++Tabla4[[#This Row],[Utilidad Total]]/Tabla4[[#This Row],[Total]]</f>
        <v>#N/A</v>
      </c>
      <c r="P1666" s="282">
        <f>++Tabla4[[#This Row],[Precio Descontado]]*Tabla4[[#This Row],[Cantidad]]</f>
        <v>14784.762513000001</v>
      </c>
      <c r="Q1666" s="282" t="e">
        <f>(INDEX(Tabla6[#All],MATCH(Tabla4[[#This Row],[Producto]],Tabla6[[#All],[PRODUCTO]],0),MATCH(Tabla4[[#This Row],[Mes]],Tabla6[#Headers],0)))</f>
        <v>#N/A</v>
      </c>
      <c r="R1666" s="282" t="e">
        <f>++Tabla4[[#This Row],[Precio Unitario Neto]]-Tabla4[[#This Row],[20.85%]]-Tabla4[[#This Row],[Costo]]</f>
        <v>#N/A</v>
      </c>
      <c r="S1666" s="282" t="e">
        <f>++Tabla4[[#This Row],[U. Bruta Uni]]*Tabla4[[#This Row],[Cantidad]]</f>
        <v>#N/A</v>
      </c>
      <c r="T1666" s="369" t="str">
        <f>VLOOKUP(Tabla4[[#This Row],[Producto]],Tabla6[#All],14,FALSE)</f>
        <v>Termico Solar</v>
      </c>
      <c r="U1666" s="284" t="e">
        <f>(IF(Tabla4[[#This Row],[Familia]]="termico solar",Tabla4[[#This Row],[Utilidad Total]]*6%,Tabla4[[#This Row],[Utilidad Total]]*11.5%))/Tabla4[[#This Row],[Total]]</f>
        <v>#N/A</v>
      </c>
      <c r="V1666" s="282" t="e">
        <f>+Tabla4[[#This Row],[Comisión Calculada]]*Tabla4[[#This Row],[Total]]</f>
        <v>#N/A</v>
      </c>
    </row>
    <row r="1667" spans="1:22" hidden="1" x14ac:dyDescent="0.25">
      <c r="A1667" s="100">
        <v>45747</v>
      </c>
      <c r="B1667" t="str">
        <f t="shared" si="83"/>
        <v>March</v>
      </c>
      <c r="C1667" s="46" t="s">
        <v>280</v>
      </c>
      <c r="F1667" s="366" t="s">
        <v>1349</v>
      </c>
      <c r="G1667" s="46" t="s">
        <v>83</v>
      </c>
      <c r="H1667" s="46">
        <v>4</v>
      </c>
      <c r="I1667" s="51">
        <v>8858.76</v>
      </c>
      <c r="J1667" s="281">
        <f>++Tabla4[[#This Row],[Precio Bruto]]*1.16</f>
        <v>10276.161599999999</v>
      </c>
      <c r="K1667" s="281">
        <f>+Tabla4[[#This Row],[Precio Unitario Neto]]*Tabla4[[#Headers],[20.85%]]</f>
        <v>2142.5796935999997</v>
      </c>
      <c r="L1667" s="282">
        <f>++Tabla4[[#This Row],[Precio Unitario Neto]]-Tabla4[[#This Row],[20.85%]]</f>
        <v>8133.5819063999998</v>
      </c>
      <c r="M1667" s="282" t="e">
        <f>(INDEX(Tabla6[#All],MATCH(Tabla4[[#This Row],[Producto]],Tabla6[[#All],[PRODUCTO]],0),MATCH(Tabla4[[#This Row],[Mes]],Tabla6[#Headers],0)))*(1+Catalogos!$L$2)</f>
        <v>#N/A</v>
      </c>
      <c r="N1667" s="283" t="e">
        <f>+(Tabla4[[#This Row],[Precio Descontado]]-Tabla4[[#This Row],[Precio Base]])*Tabla4[[#This Row],[Cantidad]]</f>
        <v>#N/A</v>
      </c>
      <c r="O1667" s="284" t="e">
        <f>++Tabla4[[#This Row],[Utilidad Total]]/Tabla4[[#This Row],[Total]]</f>
        <v>#N/A</v>
      </c>
      <c r="P1667" s="282">
        <f>++Tabla4[[#This Row],[Precio Descontado]]*Tabla4[[#This Row],[Cantidad]]</f>
        <v>32534.327625599999</v>
      </c>
      <c r="Q1667" s="282" t="e">
        <f>(INDEX(Tabla6[#All],MATCH(Tabla4[[#This Row],[Producto]],Tabla6[[#All],[PRODUCTO]],0),MATCH(Tabla4[[#This Row],[Mes]],Tabla6[#Headers],0)))</f>
        <v>#N/A</v>
      </c>
      <c r="R1667" s="282" t="e">
        <f>++Tabla4[[#This Row],[Precio Unitario Neto]]-Tabla4[[#This Row],[20.85%]]-Tabla4[[#This Row],[Costo]]</f>
        <v>#N/A</v>
      </c>
      <c r="S1667" s="282" t="e">
        <f>++Tabla4[[#This Row],[U. Bruta Uni]]*Tabla4[[#This Row],[Cantidad]]</f>
        <v>#N/A</v>
      </c>
      <c r="T1667" s="369" t="str">
        <f>VLOOKUP(Tabla4[[#This Row],[Producto]],Tabla6[#All],14,FALSE)</f>
        <v>Termico Solar</v>
      </c>
      <c r="U1667" s="284" t="e">
        <f>(IF(Tabla4[[#This Row],[Familia]]="termico solar",Tabla4[[#This Row],[Utilidad Total]]*6%,Tabla4[[#This Row],[Utilidad Total]]*11.5%))/Tabla4[[#This Row],[Total]]</f>
        <v>#N/A</v>
      </c>
      <c r="V1667" s="282" t="e">
        <f>+Tabla4[[#This Row],[Comisión Calculada]]*Tabla4[[#This Row],[Total]]</f>
        <v>#N/A</v>
      </c>
    </row>
    <row r="1668" spans="1:22" hidden="1" x14ac:dyDescent="0.25">
      <c r="A1668" s="100">
        <v>45747</v>
      </c>
      <c r="B1668" t="str">
        <f t="shared" si="83"/>
        <v>March</v>
      </c>
      <c r="C1668" s="46" t="s">
        <v>280</v>
      </c>
      <c r="F1668" s="366" t="s">
        <v>1349</v>
      </c>
      <c r="G1668" s="46" t="s">
        <v>555</v>
      </c>
      <c r="H1668" s="46">
        <v>8</v>
      </c>
      <c r="I1668" s="51">
        <v>389.47</v>
      </c>
      <c r="J1668" s="281">
        <f>++Tabla4[[#This Row],[Precio Bruto]]*1.16</f>
        <v>451.78519999999997</v>
      </c>
      <c r="K1668" s="281">
        <f>+Tabla4[[#This Row],[Precio Unitario Neto]]*Tabla4[[#Headers],[20.85%]]</f>
        <v>94.197214199999991</v>
      </c>
      <c r="L1668" s="282">
        <f>++Tabla4[[#This Row],[Precio Unitario Neto]]-Tabla4[[#This Row],[20.85%]]</f>
        <v>357.58798579999996</v>
      </c>
      <c r="M1668" s="282" t="e">
        <f>(INDEX(Tabla6[#All],MATCH(Tabla4[[#This Row],[Producto]],Tabla6[[#All],[PRODUCTO]],0),MATCH(Tabla4[[#This Row],[Mes]],Tabla6[#Headers],0)))*(1+Catalogos!$L$2)</f>
        <v>#N/A</v>
      </c>
      <c r="N1668" s="283" t="e">
        <f>+(Tabla4[[#This Row],[Precio Descontado]]-Tabla4[[#This Row],[Precio Base]])*Tabla4[[#This Row],[Cantidad]]</f>
        <v>#N/A</v>
      </c>
      <c r="O1668" s="284" t="e">
        <f>++Tabla4[[#This Row],[Utilidad Total]]/Tabla4[[#This Row],[Total]]</f>
        <v>#N/A</v>
      </c>
      <c r="P1668" s="282">
        <f>++Tabla4[[#This Row],[Precio Descontado]]*Tabla4[[#This Row],[Cantidad]]</f>
        <v>2860.7038863999996</v>
      </c>
      <c r="Q1668" s="282" t="e">
        <f>(INDEX(Tabla6[#All],MATCH(Tabla4[[#This Row],[Producto]],Tabla6[[#All],[PRODUCTO]],0),MATCH(Tabla4[[#This Row],[Mes]],Tabla6[#Headers],0)))</f>
        <v>#N/A</v>
      </c>
      <c r="R1668" s="282" t="e">
        <f>++Tabla4[[#This Row],[Precio Unitario Neto]]-Tabla4[[#This Row],[20.85%]]-Tabla4[[#This Row],[Costo]]</f>
        <v>#N/A</v>
      </c>
      <c r="S1668" s="282" t="e">
        <f>++Tabla4[[#This Row],[U. Bruta Uni]]*Tabla4[[#This Row],[Cantidad]]</f>
        <v>#N/A</v>
      </c>
      <c r="T1668" s="369" t="str">
        <f>VLOOKUP(Tabla4[[#This Row],[Producto]],Tabla6[#All],14,FALSE)</f>
        <v>Termico Solar</v>
      </c>
      <c r="U1668" s="284" t="e">
        <f>(IF(Tabla4[[#This Row],[Familia]]="termico solar",Tabla4[[#This Row],[Utilidad Total]]*6%,Tabla4[[#This Row],[Utilidad Total]]*11.5%))/Tabla4[[#This Row],[Total]]</f>
        <v>#N/A</v>
      </c>
      <c r="V1668" s="282" t="e">
        <f>+Tabla4[[#This Row],[Comisión Calculada]]*Tabla4[[#This Row],[Total]]</f>
        <v>#N/A</v>
      </c>
    </row>
    <row r="1669" spans="1:22" hidden="1" x14ac:dyDescent="0.25">
      <c r="A1669" s="100">
        <v>45747</v>
      </c>
      <c r="B1669" t="str">
        <f t="shared" si="83"/>
        <v>March</v>
      </c>
      <c r="C1669" s="46" t="s">
        <v>280</v>
      </c>
      <c r="F1669" s="366" t="s">
        <v>1349</v>
      </c>
      <c r="G1669" s="46" t="s">
        <v>208</v>
      </c>
      <c r="H1669" s="46">
        <v>8</v>
      </c>
      <c r="I1669" s="51">
        <v>189.75</v>
      </c>
      <c r="J1669" s="281">
        <f>++Tabla4[[#This Row],[Precio Bruto]]*1.16</f>
        <v>220.10999999999999</v>
      </c>
      <c r="K1669" s="281">
        <f>+Tabla4[[#This Row],[Precio Unitario Neto]]*Tabla4[[#Headers],[20.85%]]</f>
        <v>45.892934999999994</v>
      </c>
      <c r="L1669" s="282">
        <f>++Tabla4[[#This Row],[Precio Unitario Neto]]-Tabla4[[#This Row],[20.85%]]</f>
        <v>174.21706499999999</v>
      </c>
      <c r="M1669" s="282" t="e">
        <f>(INDEX(Tabla6[#All],MATCH(Tabla4[[#This Row],[Producto]],Tabla6[[#All],[PRODUCTO]],0),MATCH(Tabla4[[#This Row],[Mes]],Tabla6[#Headers],0)))*(1+Catalogos!$L$2)</f>
        <v>#N/A</v>
      </c>
      <c r="N1669" s="283" t="e">
        <f>+(Tabla4[[#This Row],[Precio Descontado]]-Tabla4[[#This Row],[Precio Base]])*Tabla4[[#This Row],[Cantidad]]</f>
        <v>#N/A</v>
      </c>
      <c r="O1669" s="284" t="e">
        <f>++Tabla4[[#This Row],[Utilidad Total]]/Tabla4[[#This Row],[Total]]</f>
        <v>#N/A</v>
      </c>
      <c r="P1669" s="282">
        <f>++Tabla4[[#This Row],[Precio Descontado]]*Tabla4[[#This Row],[Cantidad]]</f>
        <v>1393.7365199999999</v>
      </c>
      <c r="Q1669" s="282" t="e">
        <f>(INDEX(Tabla6[#All],MATCH(Tabla4[[#This Row],[Producto]],Tabla6[[#All],[PRODUCTO]],0),MATCH(Tabla4[[#This Row],[Mes]],Tabla6[#Headers],0)))</f>
        <v>#N/A</v>
      </c>
      <c r="R1669" s="282" t="e">
        <f>++Tabla4[[#This Row],[Precio Unitario Neto]]-Tabla4[[#This Row],[20.85%]]-Tabla4[[#This Row],[Costo]]</f>
        <v>#N/A</v>
      </c>
      <c r="S1669" s="282" t="e">
        <f>++Tabla4[[#This Row],[U. Bruta Uni]]*Tabla4[[#This Row],[Cantidad]]</f>
        <v>#N/A</v>
      </c>
      <c r="T1669" s="369" t="str">
        <f>VLOOKUP(Tabla4[[#This Row],[Producto]],Tabla6[#All],14,FALSE)</f>
        <v>Termico Solar</v>
      </c>
      <c r="U1669" s="284" t="e">
        <f>(IF(Tabla4[[#This Row],[Familia]]="termico solar",Tabla4[[#This Row],[Utilidad Total]]*6%,Tabla4[[#This Row],[Utilidad Total]]*11.5%))/Tabla4[[#This Row],[Total]]</f>
        <v>#N/A</v>
      </c>
      <c r="V1669" s="282" t="e">
        <f>+Tabla4[[#This Row],[Comisión Calculada]]*Tabla4[[#This Row],[Total]]</f>
        <v>#N/A</v>
      </c>
    </row>
    <row r="1670" spans="1:22" hidden="1" x14ac:dyDescent="0.25">
      <c r="A1670" s="100">
        <v>45747</v>
      </c>
      <c r="B1670" t="str">
        <f t="shared" si="83"/>
        <v>March</v>
      </c>
      <c r="C1670" s="46" t="s">
        <v>280</v>
      </c>
      <c r="F1670" s="366" t="s">
        <v>1350</v>
      </c>
      <c r="G1670" s="46" t="s">
        <v>83</v>
      </c>
      <c r="H1670" s="46">
        <v>3</v>
      </c>
      <c r="I1670" s="51">
        <v>8858.76</v>
      </c>
      <c r="J1670" s="281">
        <f>++Tabla4[[#This Row],[Precio Bruto]]*1.16</f>
        <v>10276.161599999999</v>
      </c>
      <c r="K1670" s="281">
        <f>+Tabla4[[#This Row],[Precio Unitario Neto]]*Tabla4[[#Headers],[20.85%]]</f>
        <v>2142.5796935999997</v>
      </c>
      <c r="L1670" s="282">
        <f>++Tabla4[[#This Row],[Precio Unitario Neto]]-Tabla4[[#This Row],[20.85%]]</f>
        <v>8133.5819063999998</v>
      </c>
      <c r="M1670" s="282" t="e">
        <f>(INDEX(Tabla6[#All],MATCH(Tabla4[[#This Row],[Producto]],Tabla6[[#All],[PRODUCTO]],0),MATCH(Tabla4[[#This Row],[Mes]],Tabla6[#Headers],0)))*(1+Catalogos!$L$2)</f>
        <v>#N/A</v>
      </c>
      <c r="N1670" s="283" t="e">
        <f>+(Tabla4[[#This Row],[Precio Descontado]]-Tabla4[[#This Row],[Precio Base]])*Tabla4[[#This Row],[Cantidad]]</f>
        <v>#N/A</v>
      </c>
      <c r="O1670" s="284" t="e">
        <f>++Tabla4[[#This Row],[Utilidad Total]]/Tabla4[[#This Row],[Total]]</f>
        <v>#N/A</v>
      </c>
      <c r="P1670" s="282">
        <f>++Tabla4[[#This Row],[Precio Descontado]]*Tabla4[[#This Row],[Cantidad]]</f>
        <v>24400.7457192</v>
      </c>
      <c r="Q1670" s="282" t="e">
        <f>(INDEX(Tabla6[#All],MATCH(Tabla4[[#This Row],[Producto]],Tabla6[[#All],[PRODUCTO]],0),MATCH(Tabla4[[#This Row],[Mes]],Tabla6[#Headers],0)))</f>
        <v>#N/A</v>
      </c>
      <c r="R1670" s="282" t="e">
        <f>++Tabla4[[#This Row],[Precio Unitario Neto]]-Tabla4[[#This Row],[20.85%]]-Tabla4[[#This Row],[Costo]]</f>
        <v>#N/A</v>
      </c>
      <c r="S1670" s="282" t="e">
        <f>++Tabla4[[#This Row],[U. Bruta Uni]]*Tabla4[[#This Row],[Cantidad]]</f>
        <v>#N/A</v>
      </c>
      <c r="T1670" s="369" t="str">
        <f>VLOOKUP(Tabla4[[#This Row],[Producto]],Tabla6[#All],14,FALSE)</f>
        <v>Termico Solar</v>
      </c>
      <c r="U1670" s="284" t="e">
        <f>(IF(Tabla4[[#This Row],[Familia]]="termico solar",Tabla4[[#This Row],[Utilidad Total]]*6%,Tabla4[[#This Row],[Utilidad Total]]*11.5%))/Tabla4[[#This Row],[Total]]</f>
        <v>#N/A</v>
      </c>
      <c r="V1670" s="282" t="e">
        <f>+Tabla4[[#This Row],[Comisión Calculada]]*Tabla4[[#This Row],[Total]]</f>
        <v>#N/A</v>
      </c>
    </row>
    <row r="1671" spans="1:22" hidden="1" x14ac:dyDescent="0.25">
      <c r="A1671" s="100">
        <v>45747</v>
      </c>
      <c r="B1671" t="str">
        <f t="shared" si="83"/>
        <v>March</v>
      </c>
      <c r="C1671" s="46" t="s">
        <v>280</v>
      </c>
      <c r="F1671" s="366" t="s">
        <v>1350</v>
      </c>
      <c r="G1671" s="46" t="s">
        <v>18</v>
      </c>
      <c r="H1671" s="46">
        <v>2</v>
      </c>
      <c r="I1671" s="51">
        <v>5367.65</v>
      </c>
      <c r="J1671" s="281">
        <f>++Tabla4[[#This Row],[Precio Bruto]]*1.16</f>
        <v>6226.4739999999993</v>
      </c>
      <c r="K1671" s="281">
        <f>+Tabla4[[#This Row],[Precio Unitario Neto]]*Tabla4[[#Headers],[20.85%]]</f>
        <v>1298.2198289999999</v>
      </c>
      <c r="L1671" s="282">
        <f>++Tabla4[[#This Row],[Precio Unitario Neto]]-Tabla4[[#This Row],[20.85%]]</f>
        <v>4928.2541709999996</v>
      </c>
      <c r="M1671" s="282" t="e">
        <f>(INDEX(Tabla6[#All],MATCH(Tabla4[[#This Row],[Producto]],Tabla6[[#All],[PRODUCTO]],0),MATCH(Tabla4[[#This Row],[Mes]],Tabla6[#Headers],0)))*(1+Catalogos!$L$2)</f>
        <v>#N/A</v>
      </c>
      <c r="N1671" s="283" t="e">
        <f>+(Tabla4[[#This Row],[Precio Descontado]]-Tabla4[[#This Row],[Precio Base]])*Tabla4[[#This Row],[Cantidad]]</f>
        <v>#N/A</v>
      </c>
      <c r="O1671" s="284" t="e">
        <f>++Tabla4[[#This Row],[Utilidad Total]]/Tabla4[[#This Row],[Total]]</f>
        <v>#N/A</v>
      </c>
      <c r="P1671" s="282">
        <f>++Tabla4[[#This Row],[Precio Descontado]]*Tabla4[[#This Row],[Cantidad]]</f>
        <v>9856.5083419999992</v>
      </c>
      <c r="Q1671" s="282" t="e">
        <f>(INDEX(Tabla6[#All],MATCH(Tabla4[[#This Row],[Producto]],Tabla6[[#All],[PRODUCTO]],0),MATCH(Tabla4[[#This Row],[Mes]],Tabla6[#Headers],0)))</f>
        <v>#N/A</v>
      </c>
      <c r="R1671" s="282" t="e">
        <f>++Tabla4[[#This Row],[Precio Unitario Neto]]-Tabla4[[#This Row],[20.85%]]-Tabla4[[#This Row],[Costo]]</f>
        <v>#N/A</v>
      </c>
      <c r="S1671" s="282" t="e">
        <f>++Tabla4[[#This Row],[U. Bruta Uni]]*Tabla4[[#This Row],[Cantidad]]</f>
        <v>#N/A</v>
      </c>
      <c r="T1671" s="369" t="str">
        <f>VLOOKUP(Tabla4[[#This Row],[Producto]],Tabla6[#All],14,FALSE)</f>
        <v>Termico Solar</v>
      </c>
      <c r="U1671" s="284" t="e">
        <f>(IF(Tabla4[[#This Row],[Familia]]="termico solar",Tabla4[[#This Row],[Utilidad Total]]*6%,Tabla4[[#This Row],[Utilidad Total]]*11.5%))/Tabla4[[#This Row],[Total]]</f>
        <v>#N/A</v>
      </c>
      <c r="V1671" s="282" t="e">
        <f>+Tabla4[[#This Row],[Comisión Calculada]]*Tabla4[[#This Row],[Total]]</f>
        <v>#N/A</v>
      </c>
    </row>
    <row r="1672" spans="1:22" hidden="1" x14ac:dyDescent="0.25">
      <c r="A1672" s="100">
        <v>45747</v>
      </c>
      <c r="B1672" t="str">
        <f t="shared" si="83"/>
        <v>March</v>
      </c>
      <c r="C1672" s="46" t="s">
        <v>280</v>
      </c>
      <c r="F1672" s="366" t="s">
        <v>1350</v>
      </c>
      <c r="G1672" s="46" t="s">
        <v>16</v>
      </c>
      <c r="H1672" s="46">
        <v>4</v>
      </c>
      <c r="I1672" s="51">
        <v>4103.8500000000004</v>
      </c>
      <c r="J1672" s="281">
        <f>++Tabla4[[#This Row],[Precio Bruto]]*1.16</f>
        <v>4760.4660000000003</v>
      </c>
      <c r="K1672" s="281">
        <f>+Tabla4[[#This Row],[Precio Unitario Neto]]*Tabla4[[#Headers],[20.85%]]</f>
        <v>992.55716100000006</v>
      </c>
      <c r="L1672" s="282">
        <f>++Tabla4[[#This Row],[Precio Unitario Neto]]-Tabla4[[#This Row],[20.85%]]</f>
        <v>3767.9088390000002</v>
      </c>
      <c r="M1672" s="282" t="e">
        <f>(INDEX(Tabla6[#All],MATCH(Tabla4[[#This Row],[Producto]],Tabla6[[#All],[PRODUCTO]],0),MATCH(Tabla4[[#This Row],[Mes]],Tabla6[#Headers],0)))*(1+Catalogos!$L$2)</f>
        <v>#N/A</v>
      </c>
      <c r="N1672" s="283" t="e">
        <f>+(Tabla4[[#This Row],[Precio Descontado]]-Tabla4[[#This Row],[Precio Base]])*Tabla4[[#This Row],[Cantidad]]</f>
        <v>#N/A</v>
      </c>
      <c r="O1672" s="284" t="e">
        <f>++Tabla4[[#This Row],[Utilidad Total]]/Tabla4[[#This Row],[Total]]</f>
        <v>#N/A</v>
      </c>
      <c r="P1672" s="282">
        <f>++Tabla4[[#This Row],[Precio Descontado]]*Tabla4[[#This Row],[Cantidad]]</f>
        <v>15071.635356000001</v>
      </c>
      <c r="Q1672" s="282" t="e">
        <f>(INDEX(Tabla6[#All],MATCH(Tabla4[[#This Row],[Producto]],Tabla6[[#All],[PRODUCTO]],0),MATCH(Tabla4[[#This Row],[Mes]],Tabla6[#Headers],0)))</f>
        <v>#N/A</v>
      </c>
      <c r="R1672" s="282" t="e">
        <f>++Tabla4[[#This Row],[Precio Unitario Neto]]-Tabla4[[#This Row],[20.85%]]-Tabla4[[#This Row],[Costo]]</f>
        <v>#N/A</v>
      </c>
      <c r="S1672" s="282" t="e">
        <f>++Tabla4[[#This Row],[U. Bruta Uni]]*Tabla4[[#This Row],[Cantidad]]</f>
        <v>#N/A</v>
      </c>
      <c r="T1672" s="369" t="str">
        <f>VLOOKUP(Tabla4[[#This Row],[Producto]],Tabla6[#All],14,FALSE)</f>
        <v>Termico Solar</v>
      </c>
      <c r="U1672" s="284" t="e">
        <f>(IF(Tabla4[[#This Row],[Familia]]="termico solar",Tabla4[[#This Row],[Utilidad Total]]*6%,Tabla4[[#This Row],[Utilidad Total]]*11.5%))/Tabla4[[#This Row],[Total]]</f>
        <v>#N/A</v>
      </c>
      <c r="V1672" s="282" t="e">
        <f>+Tabla4[[#This Row],[Comisión Calculada]]*Tabla4[[#This Row],[Total]]</f>
        <v>#N/A</v>
      </c>
    </row>
    <row r="1673" spans="1:22" hidden="1" x14ac:dyDescent="0.25">
      <c r="A1673" s="100">
        <v>45747</v>
      </c>
      <c r="B1673" t="str">
        <f t="shared" si="83"/>
        <v>March</v>
      </c>
      <c r="C1673" s="46" t="s">
        <v>280</v>
      </c>
      <c r="F1673" s="366" t="s">
        <v>1351</v>
      </c>
      <c r="G1673" s="46" t="s">
        <v>83</v>
      </c>
      <c r="H1673" s="46">
        <v>1</v>
      </c>
      <c r="I1673" s="51">
        <v>8858.76</v>
      </c>
      <c r="J1673" s="281">
        <f>++Tabla4[[#This Row],[Precio Bruto]]*1.16</f>
        <v>10276.161599999999</v>
      </c>
      <c r="K1673" s="281">
        <f>+Tabla4[[#This Row],[Precio Unitario Neto]]*Tabla4[[#Headers],[20.85%]]</f>
        <v>2142.5796935999997</v>
      </c>
      <c r="L1673" s="282">
        <f>++Tabla4[[#This Row],[Precio Unitario Neto]]-Tabla4[[#This Row],[20.85%]]</f>
        <v>8133.5819063999998</v>
      </c>
      <c r="M1673" s="282" t="e">
        <f>(INDEX(Tabla6[#All],MATCH(Tabla4[[#This Row],[Producto]],Tabla6[[#All],[PRODUCTO]],0),MATCH(Tabla4[[#This Row],[Mes]],Tabla6[#Headers],0)))*(1+Catalogos!$L$2)</f>
        <v>#N/A</v>
      </c>
      <c r="N1673" s="283" t="e">
        <f>+(Tabla4[[#This Row],[Precio Descontado]]-Tabla4[[#This Row],[Precio Base]])*Tabla4[[#This Row],[Cantidad]]</f>
        <v>#N/A</v>
      </c>
      <c r="O1673" s="284" t="e">
        <f>++Tabla4[[#This Row],[Utilidad Total]]/Tabla4[[#This Row],[Total]]</f>
        <v>#N/A</v>
      </c>
      <c r="P1673" s="282">
        <f>++Tabla4[[#This Row],[Precio Descontado]]*Tabla4[[#This Row],[Cantidad]]</f>
        <v>8133.5819063999998</v>
      </c>
      <c r="Q1673" s="282" t="e">
        <f>(INDEX(Tabla6[#All],MATCH(Tabla4[[#This Row],[Producto]],Tabla6[[#All],[PRODUCTO]],0),MATCH(Tabla4[[#This Row],[Mes]],Tabla6[#Headers],0)))</f>
        <v>#N/A</v>
      </c>
      <c r="R1673" s="282" t="e">
        <f>++Tabla4[[#This Row],[Precio Unitario Neto]]-Tabla4[[#This Row],[20.85%]]-Tabla4[[#This Row],[Costo]]</f>
        <v>#N/A</v>
      </c>
      <c r="S1673" s="282" t="e">
        <f>++Tabla4[[#This Row],[U. Bruta Uni]]*Tabla4[[#This Row],[Cantidad]]</f>
        <v>#N/A</v>
      </c>
      <c r="T1673" s="369" t="str">
        <f>VLOOKUP(Tabla4[[#This Row],[Producto]],Tabla6[#All],14,FALSE)</f>
        <v>Termico Solar</v>
      </c>
      <c r="U1673" s="284" t="e">
        <f>(IF(Tabla4[[#This Row],[Familia]]="termico solar",Tabla4[[#This Row],[Utilidad Total]]*6%,Tabla4[[#This Row],[Utilidad Total]]*11.5%))/Tabla4[[#This Row],[Total]]</f>
        <v>#N/A</v>
      </c>
      <c r="V1673" s="282" t="e">
        <f>+Tabla4[[#This Row],[Comisión Calculada]]*Tabla4[[#This Row],[Total]]</f>
        <v>#N/A</v>
      </c>
    </row>
    <row r="1674" spans="1:22" hidden="1" x14ac:dyDescent="0.25">
      <c r="A1674" s="100">
        <v>45747</v>
      </c>
      <c r="B1674" t="str">
        <f t="shared" si="83"/>
        <v>March</v>
      </c>
      <c r="C1674" s="46" t="s">
        <v>280</v>
      </c>
      <c r="F1674" s="366" t="s">
        <v>1351</v>
      </c>
      <c r="G1674" s="46" t="s">
        <v>17</v>
      </c>
      <c r="H1674" s="46">
        <v>1</v>
      </c>
      <c r="I1674" s="51">
        <v>4622.28</v>
      </c>
      <c r="J1674" s="281">
        <f>++Tabla4[[#This Row],[Precio Bruto]]*1.16</f>
        <v>5361.8447999999989</v>
      </c>
      <c r="K1674" s="281">
        <f>+Tabla4[[#This Row],[Precio Unitario Neto]]*Tabla4[[#Headers],[20.85%]]</f>
        <v>1117.9446407999997</v>
      </c>
      <c r="L1674" s="282">
        <f>++Tabla4[[#This Row],[Precio Unitario Neto]]-Tabla4[[#This Row],[20.85%]]</f>
        <v>4243.9001591999995</v>
      </c>
      <c r="M1674" s="282" t="e">
        <f>(INDEX(Tabla6[#All],MATCH(Tabla4[[#This Row],[Producto]],Tabla6[[#All],[PRODUCTO]],0),MATCH(Tabla4[[#This Row],[Mes]],Tabla6[#Headers],0)))*(1+Catalogos!$L$2)</f>
        <v>#N/A</v>
      </c>
      <c r="N1674" s="283" t="e">
        <f>+(Tabla4[[#This Row],[Precio Descontado]]-Tabla4[[#This Row],[Precio Base]])*Tabla4[[#This Row],[Cantidad]]</f>
        <v>#N/A</v>
      </c>
      <c r="O1674" s="284" t="e">
        <f>++Tabla4[[#This Row],[Utilidad Total]]/Tabla4[[#This Row],[Total]]</f>
        <v>#N/A</v>
      </c>
      <c r="P1674" s="282">
        <f>++Tabla4[[#This Row],[Precio Descontado]]*Tabla4[[#This Row],[Cantidad]]</f>
        <v>4243.9001591999995</v>
      </c>
      <c r="Q1674" s="282" t="e">
        <f>(INDEX(Tabla6[#All],MATCH(Tabla4[[#This Row],[Producto]],Tabla6[[#All],[PRODUCTO]],0),MATCH(Tabla4[[#This Row],[Mes]],Tabla6[#Headers],0)))</f>
        <v>#N/A</v>
      </c>
      <c r="R1674" s="282" t="e">
        <f>++Tabla4[[#This Row],[Precio Unitario Neto]]-Tabla4[[#This Row],[20.85%]]-Tabla4[[#This Row],[Costo]]</f>
        <v>#N/A</v>
      </c>
      <c r="S1674" s="282" t="e">
        <f>++Tabla4[[#This Row],[U. Bruta Uni]]*Tabla4[[#This Row],[Cantidad]]</f>
        <v>#N/A</v>
      </c>
      <c r="T1674" s="369" t="str">
        <f>VLOOKUP(Tabla4[[#This Row],[Producto]],Tabla6[#All],14,FALSE)</f>
        <v>Termico Solar</v>
      </c>
      <c r="U1674" s="284" t="e">
        <f>(IF(Tabla4[[#This Row],[Familia]]="termico solar",Tabla4[[#This Row],[Utilidad Total]]*6%,Tabla4[[#This Row],[Utilidad Total]]*11.5%))/Tabla4[[#This Row],[Total]]</f>
        <v>#N/A</v>
      </c>
      <c r="V1674" s="282" t="e">
        <f>+Tabla4[[#This Row],[Comisión Calculada]]*Tabla4[[#This Row],[Total]]</f>
        <v>#N/A</v>
      </c>
    </row>
    <row r="1675" spans="1:22" hidden="1" x14ac:dyDescent="0.25">
      <c r="A1675" s="100">
        <v>45747</v>
      </c>
      <c r="B1675" t="str">
        <f t="shared" si="83"/>
        <v>March</v>
      </c>
      <c r="C1675" s="46" t="s">
        <v>280</v>
      </c>
      <c r="F1675" s="366" t="s">
        <v>1351</v>
      </c>
      <c r="G1675" s="46" t="s">
        <v>394</v>
      </c>
      <c r="H1675" s="46">
        <v>16</v>
      </c>
      <c r="I1675" s="51">
        <v>224.29</v>
      </c>
      <c r="J1675" s="281">
        <f>++Tabla4[[#This Row],[Precio Bruto]]*1.16</f>
        <v>260.1764</v>
      </c>
      <c r="K1675" s="281">
        <f>+Tabla4[[#This Row],[Precio Unitario Neto]]*Tabla4[[#Headers],[20.85%]]</f>
        <v>54.246779400000001</v>
      </c>
      <c r="L1675" s="282">
        <f>++Tabla4[[#This Row],[Precio Unitario Neto]]-Tabla4[[#This Row],[20.85%]]</f>
        <v>205.92962059999999</v>
      </c>
      <c r="M1675" s="282" t="e">
        <f>(INDEX(Tabla6[#All],MATCH(Tabla4[[#This Row],[Producto]],Tabla6[[#All],[PRODUCTO]],0),MATCH(Tabla4[[#This Row],[Mes]],Tabla6[#Headers],0)))*(1+Catalogos!$L$2)</f>
        <v>#N/A</v>
      </c>
      <c r="N1675" s="283" t="e">
        <f>+(Tabla4[[#This Row],[Precio Descontado]]-Tabla4[[#This Row],[Precio Base]])*Tabla4[[#This Row],[Cantidad]]</f>
        <v>#N/A</v>
      </c>
      <c r="O1675" s="284" t="e">
        <f>++Tabla4[[#This Row],[Utilidad Total]]/Tabla4[[#This Row],[Total]]</f>
        <v>#N/A</v>
      </c>
      <c r="P1675" s="282">
        <f>++Tabla4[[#This Row],[Precio Descontado]]*Tabla4[[#This Row],[Cantidad]]</f>
        <v>3294.8739295999999</v>
      </c>
      <c r="Q1675" s="282" t="e">
        <f>(INDEX(Tabla6[#All],MATCH(Tabla4[[#This Row],[Producto]],Tabla6[[#All],[PRODUCTO]],0),MATCH(Tabla4[[#This Row],[Mes]],Tabla6[#Headers],0)))</f>
        <v>#N/A</v>
      </c>
      <c r="R1675" s="282" t="e">
        <f>++Tabla4[[#This Row],[Precio Unitario Neto]]-Tabla4[[#This Row],[20.85%]]-Tabla4[[#This Row],[Costo]]</f>
        <v>#N/A</v>
      </c>
      <c r="S1675" s="282" t="e">
        <f>++Tabla4[[#This Row],[U. Bruta Uni]]*Tabla4[[#This Row],[Cantidad]]</f>
        <v>#N/A</v>
      </c>
      <c r="T1675" s="369" t="str">
        <f>VLOOKUP(Tabla4[[#This Row],[Producto]],Tabla6[#All],14,FALSE)</f>
        <v>Termico Solar</v>
      </c>
      <c r="U1675" s="284" t="e">
        <f>(IF(Tabla4[[#This Row],[Familia]]="termico solar",Tabla4[[#This Row],[Utilidad Total]]*6%,Tabla4[[#This Row],[Utilidad Total]]*11.5%))/Tabla4[[#This Row],[Total]]</f>
        <v>#N/A</v>
      </c>
      <c r="V1675" s="282" t="e">
        <f>+Tabla4[[#This Row],[Comisión Calculada]]*Tabla4[[#This Row],[Total]]</f>
        <v>#N/A</v>
      </c>
    </row>
    <row r="1676" spans="1:22" hidden="1" x14ac:dyDescent="0.25">
      <c r="A1676" s="100">
        <v>45747</v>
      </c>
      <c r="B1676" t="str">
        <f t="shared" si="83"/>
        <v>March</v>
      </c>
      <c r="C1676" s="46" t="s">
        <v>280</v>
      </c>
      <c r="F1676" s="366" t="s">
        <v>1351</v>
      </c>
      <c r="G1676" s="46" t="s">
        <v>555</v>
      </c>
      <c r="H1676" s="46">
        <v>8</v>
      </c>
      <c r="I1676" s="51">
        <v>389.47</v>
      </c>
      <c r="J1676" s="281">
        <f>++Tabla4[[#This Row],[Precio Bruto]]*1.16</f>
        <v>451.78519999999997</v>
      </c>
      <c r="K1676" s="281">
        <f>+Tabla4[[#This Row],[Precio Unitario Neto]]*Tabla4[[#Headers],[20.85%]]</f>
        <v>94.197214199999991</v>
      </c>
      <c r="L1676" s="282">
        <f>++Tabla4[[#This Row],[Precio Unitario Neto]]-Tabla4[[#This Row],[20.85%]]</f>
        <v>357.58798579999996</v>
      </c>
      <c r="M1676" s="282" t="e">
        <f>(INDEX(Tabla6[#All],MATCH(Tabla4[[#This Row],[Producto]],Tabla6[[#All],[PRODUCTO]],0),MATCH(Tabla4[[#This Row],[Mes]],Tabla6[#Headers],0)))*(1+Catalogos!$L$2)</f>
        <v>#N/A</v>
      </c>
      <c r="N1676" s="283" t="e">
        <f>+(Tabla4[[#This Row],[Precio Descontado]]-Tabla4[[#This Row],[Precio Base]])*Tabla4[[#This Row],[Cantidad]]</f>
        <v>#N/A</v>
      </c>
      <c r="O1676" s="284" t="e">
        <f>++Tabla4[[#This Row],[Utilidad Total]]/Tabla4[[#This Row],[Total]]</f>
        <v>#N/A</v>
      </c>
      <c r="P1676" s="282">
        <f>++Tabla4[[#This Row],[Precio Descontado]]*Tabla4[[#This Row],[Cantidad]]</f>
        <v>2860.7038863999996</v>
      </c>
      <c r="Q1676" s="282" t="e">
        <f>(INDEX(Tabla6[#All],MATCH(Tabla4[[#This Row],[Producto]],Tabla6[[#All],[PRODUCTO]],0),MATCH(Tabla4[[#This Row],[Mes]],Tabla6[#Headers],0)))</f>
        <v>#N/A</v>
      </c>
      <c r="R1676" s="282" t="e">
        <f>++Tabla4[[#This Row],[Precio Unitario Neto]]-Tabla4[[#This Row],[20.85%]]-Tabla4[[#This Row],[Costo]]</f>
        <v>#N/A</v>
      </c>
      <c r="S1676" s="282" t="e">
        <f>++Tabla4[[#This Row],[U. Bruta Uni]]*Tabla4[[#This Row],[Cantidad]]</f>
        <v>#N/A</v>
      </c>
      <c r="T1676" s="369" t="str">
        <f>VLOOKUP(Tabla4[[#This Row],[Producto]],Tabla6[#All],14,FALSE)</f>
        <v>Termico Solar</v>
      </c>
      <c r="U1676" s="284" t="e">
        <f>(IF(Tabla4[[#This Row],[Familia]]="termico solar",Tabla4[[#This Row],[Utilidad Total]]*6%,Tabla4[[#This Row],[Utilidad Total]]*11.5%))/Tabla4[[#This Row],[Total]]</f>
        <v>#N/A</v>
      </c>
      <c r="V1676" s="282" t="e">
        <f>+Tabla4[[#This Row],[Comisión Calculada]]*Tabla4[[#This Row],[Total]]</f>
        <v>#N/A</v>
      </c>
    </row>
    <row r="1677" spans="1:22" hidden="1" x14ac:dyDescent="0.25">
      <c r="A1677" s="100">
        <v>45747</v>
      </c>
      <c r="B1677" t="str">
        <f t="shared" ref="B1677:B1708" si="84">TEXT(A1677, "mmmm")</f>
        <v>March</v>
      </c>
      <c r="C1677" s="46" t="s">
        <v>280</v>
      </c>
      <c r="F1677" s="366" t="s">
        <v>1351</v>
      </c>
      <c r="G1677" s="46" t="s">
        <v>208</v>
      </c>
      <c r="H1677" s="46">
        <v>1</v>
      </c>
      <c r="I1677" s="51">
        <v>189.75</v>
      </c>
      <c r="J1677" s="281">
        <f>++Tabla4[[#This Row],[Precio Bruto]]*1.16</f>
        <v>220.10999999999999</v>
      </c>
      <c r="K1677" s="281">
        <f>+Tabla4[[#This Row],[Precio Unitario Neto]]*Tabla4[[#Headers],[20.85%]]</f>
        <v>45.892934999999994</v>
      </c>
      <c r="L1677" s="282">
        <f>++Tabla4[[#This Row],[Precio Unitario Neto]]-Tabla4[[#This Row],[20.85%]]</f>
        <v>174.21706499999999</v>
      </c>
      <c r="M1677" s="282" t="e">
        <f>(INDEX(Tabla6[#All],MATCH(Tabla4[[#This Row],[Producto]],Tabla6[[#All],[PRODUCTO]],0),MATCH(Tabla4[[#This Row],[Mes]],Tabla6[#Headers],0)))*(1+Catalogos!$L$2)</f>
        <v>#N/A</v>
      </c>
      <c r="N1677" s="283" t="e">
        <f>+(Tabla4[[#This Row],[Precio Descontado]]-Tabla4[[#This Row],[Precio Base]])*Tabla4[[#This Row],[Cantidad]]</f>
        <v>#N/A</v>
      </c>
      <c r="O1677" s="284" t="e">
        <f>++Tabla4[[#This Row],[Utilidad Total]]/Tabla4[[#This Row],[Total]]</f>
        <v>#N/A</v>
      </c>
      <c r="P1677" s="282">
        <f>++Tabla4[[#This Row],[Precio Descontado]]*Tabla4[[#This Row],[Cantidad]]</f>
        <v>174.21706499999999</v>
      </c>
      <c r="Q1677" s="282" t="e">
        <f>(INDEX(Tabla6[#All],MATCH(Tabla4[[#This Row],[Producto]],Tabla6[[#All],[PRODUCTO]],0),MATCH(Tabla4[[#This Row],[Mes]],Tabla6[#Headers],0)))</f>
        <v>#N/A</v>
      </c>
      <c r="R1677" s="282" t="e">
        <f>++Tabla4[[#This Row],[Precio Unitario Neto]]-Tabla4[[#This Row],[20.85%]]-Tabla4[[#This Row],[Costo]]</f>
        <v>#N/A</v>
      </c>
      <c r="S1677" s="282" t="e">
        <f>++Tabla4[[#This Row],[U. Bruta Uni]]*Tabla4[[#This Row],[Cantidad]]</f>
        <v>#N/A</v>
      </c>
      <c r="T1677" s="369" t="str">
        <f>VLOOKUP(Tabla4[[#This Row],[Producto]],Tabla6[#All],14,FALSE)</f>
        <v>Termico Solar</v>
      </c>
      <c r="U1677" s="284" t="e">
        <f>(IF(Tabla4[[#This Row],[Familia]]="termico solar",Tabla4[[#This Row],[Utilidad Total]]*6%,Tabla4[[#This Row],[Utilidad Total]]*11.5%))/Tabla4[[#This Row],[Total]]</f>
        <v>#N/A</v>
      </c>
      <c r="V1677" s="282" t="e">
        <f>+Tabla4[[#This Row],[Comisión Calculada]]*Tabla4[[#This Row],[Total]]</f>
        <v>#N/A</v>
      </c>
    </row>
    <row r="1678" spans="1:22" hidden="1" x14ac:dyDescent="0.25">
      <c r="A1678" s="100">
        <v>45747</v>
      </c>
      <c r="B1678" t="str">
        <f t="shared" si="84"/>
        <v>March</v>
      </c>
      <c r="C1678" s="46" t="s">
        <v>280</v>
      </c>
      <c r="F1678" s="366" t="s">
        <v>1352</v>
      </c>
      <c r="G1678" s="46" t="s">
        <v>83</v>
      </c>
      <c r="H1678" s="46">
        <v>1</v>
      </c>
      <c r="I1678" s="51">
        <v>8858.76</v>
      </c>
      <c r="J1678" s="281">
        <f>++Tabla4[[#This Row],[Precio Bruto]]*1.16</f>
        <v>10276.161599999999</v>
      </c>
      <c r="K1678" s="281">
        <f>+Tabla4[[#This Row],[Precio Unitario Neto]]*Tabla4[[#Headers],[20.85%]]</f>
        <v>2142.5796935999997</v>
      </c>
      <c r="L1678" s="282">
        <f>++Tabla4[[#This Row],[Precio Unitario Neto]]-Tabla4[[#This Row],[20.85%]]</f>
        <v>8133.5819063999998</v>
      </c>
      <c r="M1678" s="282" t="e">
        <f>(INDEX(Tabla6[#All],MATCH(Tabla4[[#This Row],[Producto]],Tabla6[[#All],[PRODUCTO]],0),MATCH(Tabla4[[#This Row],[Mes]],Tabla6[#Headers],0)))*(1+Catalogos!$L$2)</f>
        <v>#N/A</v>
      </c>
      <c r="N1678" s="283" t="e">
        <f>+(Tabla4[[#This Row],[Precio Descontado]]-Tabla4[[#This Row],[Precio Base]])*Tabla4[[#This Row],[Cantidad]]</f>
        <v>#N/A</v>
      </c>
      <c r="O1678" s="284" t="e">
        <f>++Tabla4[[#This Row],[Utilidad Total]]/Tabla4[[#This Row],[Total]]</f>
        <v>#N/A</v>
      </c>
      <c r="P1678" s="282">
        <f>++Tabla4[[#This Row],[Precio Descontado]]*Tabla4[[#This Row],[Cantidad]]</f>
        <v>8133.5819063999998</v>
      </c>
      <c r="Q1678" s="282" t="e">
        <f>(INDEX(Tabla6[#All],MATCH(Tabla4[[#This Row],[Producto]],Tabla6[[#All],[PRODUCTO]],0),MATCH(Tabla4[[#This Row],[Mes]],Tabla6[#Headers],0)))</f>
        <v>#N/A</v>
      </c>
      <c r="R1678" s="282" t="e">
        <f>++Tabla4[[#This Row],[Precio Unitario Neto]]-Tabla4[[#This Row],[20.85%]]-Tabla4[[#This Row],[Costo]]</f>
        <v>#N/A</v>
      </c>
      <c r="S1678" s="282" t="e">
        <f>++Tabla4[[#This Row],[U. Bruta Uni]]*Tabla4[[#This Row],[Cantidad]]</f>
        <v>#N/A</v>
      </c>
      <c r="T1678" s="369" t="str">
        <f>VLOOKUP(Tabla4[[#This Row],[Producto]],Tabla6[#All],14,FALSE)</f>
        <v>Termico Solar</v>
      </c>
      <c r="U1678" s="284" t="e">
        <f>(IF(Tabla4[[#This Row],[Familia]]="termico solar",Tabla4[[#This Row],[Utilidad Total]]*6%,Tabla4[[#This Row],[Utilidad Total]]*11.5%))/Tabla4[[#This Row],[Total]]</f>
        <v>#N/A</v>
      </c>
      <c r="V1678" s="282" t="e">
        <f>+Tabla4[[#This Row],[Comisión Calculada]]*Tabla4[[#This Row],[Total]]</f>
        <v>#N/A</v>
      </c>
    </row>
    <row r="1679" spans="1:22" hidden="1" x14ac:dyDescent="0.25">
      <c r="A1679" s="100">
        <v>45747</v>
      </c>
      <c r="B1679" t="str">
        <f t="shared" si="84"/>
        <v>March</v>
      </c>
      <c r="C1679" s="46" t="s">
        <v>280</v>
      </c>
      <c r="F1679" s="366" t="s">
        <v>1352</v>
      </c>
      <c r="G1679" s="46" t="s">
        <v>200</v>
      </c>
      <c r="H1679" s="46">
        <v>12</v>
      </c>
      <c r="I1679" s="51">
        <v>393.22</v>
      </c>
      <c r="J1679" s="281">
        <f>++Tabla4[[#This Row],[Precio Bruto]]*1.16</f>
        <v>456.1352</v>
      </c>
      <c r="K1679" s="281">
        <f>+Tabla4[[#This Row],[Precio Unitario Neto]]*Tabla4[[#Headers],[20.85%]]</f>
        <v>95.104189199999993</v>
      </c>
      <c r="L1679" s="282">
        <f>++Tabla4[[#This Row],[Precio Unitario Neto]]-Tabla4[[#This Row],[20.85%]]</f>
        <v>361.03101079999999</v>
      </c>
      <c r="M1679" s="282" t="e">
        <f>(INDEX(Tabla6[#All],MATCH(Tabla4[[#This Row],[Producto]],Tabla6[[#All],[PRODUCTO]],0),MATCH(Tabla4[[#This Row],[Mes]],Tabla6[#Headers],0)))*(1+Catalogos!$L$2)</f>
        <v>#N/A</v>
      </c>
      <c r="N1679" s="283" t="e">
        <f>+(Tabla4[[#This Row],[Precio Descontado]]-Tabla4[[#This Row],[Precio Base]])*Tabla4[[#This Row],[Cantidad]]</f>
        <v>#N/A</v>
      </c>
      <c r="O1679" s="284" t="e">
        <f>++Tabla4[[#This Row],[Utilidad Total]]/Tabla4[[#This Row],[Total]]</f>
        <v>#N/A</v>
      </c>
      <c r="P1679" s="282">
        <f>++Tabla4[[#This Row],[Precio Descontado]]*Tabla4[[#This Row],[Cantidad]]</f>
        <v>4332.3721296000003</v>
      </c>
      <c r="Q1679" s="282" t="e">
        <f>(INDEX(Tabla6[#All],MATCH(Tabla4[[#This Row],[Producto]],Tabla6[[#All],[PRODUCTO]],0),MATCH(Tabla4[[#This Row],[Mes]],Tabla6[#Headers],0)))</f>
        <v>#N/A</v>
      </c>
      <c r="R1679" s="282" t="e">
        <f>++Tabla4[[#This Row],[Precio Unitario Neto]]-Tabla4[[#This Row],[20.85%]]-Tabla4[[#This Row],[Costo]]</f>
        <v>#N/A</v>
      </c>
      <c r="S1679" s="282" t="e">
        <f>++Tabla4[[#This Row],[U. Bruta Uni]]*Tabla4[[#This Row],[Cantidad]]</f>
        <v>#N/A</v>
      </c>
      <c r="T1679" s="369" t="str">
        <f>VLOOKUP(Tabla4[[#This Row],[Producto]],Tabla6[#All],14,FALSE)</f>
        <v>Termico Solar</v>
      </c>
      <c r="U1679" s="284" t="e">
        <f>(IF(Tabla4[[#This Row],[Familia]]="termico solar",Tabla4[[#This Row],[Utilidad Total]]*6%,Tabla4[[#This Row],[Utilidad Total]]*11.5%))/Tabla4[[#This Row],[Total]]</f>
        <v>#N/A</v>
      </c>
      <c r="V1679" s="282" t="e">
        <f>+Tabla4[[#This Row],[Comisión Calculada]]*Tabla4[[#This Row],[Total]]</f>
        <v>#N/A</v>
      </c>
    </row>
    <row r="1680" spans="1:22" hidden="1" x14ac:dyDescent="0.25">
      <c r="A1680" s="100">
        <v>45747</v>
      </c>
      <c r="B1680" t="str">
        <f t="shared" si="84"/>
        <v>March</v>
      </c>
      <c r="C1680" s="46" t="s">
        <v>280</v>
      </c>
      <c r="F1680" s="366" t="s">
        <v>1352</v>
      </c>
      <c r="G1680" s="46" t="s">
        <v>208</v>
      </c>
      <c r="H1680" s="46">
        <v>2</v>
      </c>
      <c r="I1680" s="51">
        <v>189.75</v>
      </c>
      <c r="J1680" s="281">
        <f>++Tabla4[[#This Row],[Precio Bruto]]*1.16</f>
        <v>220.10999999999999</v>
      </c>
      <c r="K1680" s="281">
        <f>+Tabla4[[#This Row],[Precio Unitario Neto]]*Tabla4[[#Headers],[20.85%]]</f>
        <v>45.892934999999994</v>
      </c>
      <c r="L1680" s="282">
        <f>++Tabla4[[#This Row],[Precio Unitario Neto]]-Tabla4[[#This Row],[20.85%]]</f>
        <v>174.21706499999999</v>
      </c>
      <c r="M1680" s="282" t="e">
        <f>(INDEX(Tabla6[#All],MATCH(Tabla4[[#This Row],[Producto]],Tabla6[[#All],[PRODUCTO]],0),MATCH(Tabla4[[#This Row],[Mes]],Tabla6[#Headers],0)))*(1+Catalogos!$L$2)</f>
        <v>#N/A</v>
      </c>
      <c r="N1680" s="283" t="e">
        <f>+(Tabla4[[#This Row],[Precio Descontado]]-Tabla4[[#This Row],[Precio Base]])*Tabla4[[#This Row],[Cantidad]]</f>
        <v>#N/A</v>
      </c>
      <c r="O1680" s="284" t="e">
        <f>++Tabla4[[#This Row],[Utilidad Total]]/Tabla4[[#This Row],[Total]]</f>
        <v>#N/A</v>
      </c>
      <c r="P1680" s="282">
        <f>++Tabla4[[#This Row],[Precio Descontado]]*Tabla4[[#This Row],[Cantidad]]</f>
        <v>348.43412999999998</v>
      </c>
      <c r="Q1680" s="282" t="e">
        <f>(INDEX(Tabla6[#All],MATCH(Tabla4[[#This Row],[Producto]],Tabla6[[#All],[PRODUCTO]],0),MATCH(Tabla4[[#This Row],[Mes]],Tabla6[#Headers],0)))</f>
        <v>#N/A</v>
      </c>
      <c r="R1680" s="282" t="e">
        <f>++Tabla4[[#This Row],[Precio Unitario Neto]]-Tabla4[[#This Row],[20.85%]]-Tabla4[[#This Row],[Costo]]</f>
        <v>#N/A</v>
      </c>
      <c r="S1680" s="282" t="e">
        <f>++Tabla4[[#This Row],[U. Bruta Uni]]*Tabla4[[#This Row],[Cantidad]]</f>
        <v>#N/A</v>
      </c>
      <c r="T1680" s="369" t="str">
        <f>VLOOKUP(Tabla4[[#This Row],[Producto]],Tabla6[#All],14,FALSE)</f>
        <v>Termico Solar</v>
      </c>
      <c r="U1680" s="284" t="e">
        <f>(IF(Tabla4[[#This Row],[Familia]]="termico solar",Tabla4[[#This Row],[Utilidad Total]]*6%,Tabla4[[#This Row],[Utilidad Total]]*11.5%))/Tabla4[[#This Row],[Total]]</f>
        <v>#N/A</v>
      </c>
      <c r="V1680" s="282" t="e">
        <f>+Tabla4[[#This Row],[Comisión Calculada]]*Tabla4[[#This Row],[Total]]</f>
        <v>#N/A</v>
      </c>
    </row>
    <row r="1681" spans="1:22" hidden="1" x14ac:dyDescent="0.25">
      <c r="A1681" s="100">
        <v>45747</v>
      </c>
      <c r="B1681" t="str">
        <f t="shared" si="84"/>
        <v>March</v>
      </c>
      <c r="C1681" s="46" t="s">
        <v>280</v>
      </c>
      <c r="F1681" s="366" t="s">
        <v>1353</v>
      </c>
      <c r="G1681" s="46" t="s">
        <v>208</v>
      </c>
      <c r="H1681" s="46">
        <v>15</v>
      </c>
      <c r="I1681" s="51">
        <v>140.63</v>
      </c>
      <c r="J1681" s="281">
        <f>++Tabla4[[#This Row],[Precio Bruto]]*1.16</f>
        <v>163.13079999999999</v>
      </c>
      <c r="K1681" s="281">
        <f>+Tabla4[[#This Row],[Precio Unitario Neto]]*Tabla4[[#Headers],[20.85%]]</f>
        <v>34.012771799999996</v>
      </c>
      <c r="L1681" s="282">
        <f>++Tabla4[[#This Row],[Precio Unitario Neto]]-Tabla4[[#This Row],[20.85%]]</f>
        <v>129.1180282</v>
      </c>
      <c r="M1681" s="282" t="e">
        <f>(INDEX(Tabla6[#All],MATCH(Tabla4[[#This Row],[Producto]],Tabla6[[#All],[PRODUCTO]],0),MATCH(Tabla4[[#This Row],[Mes]],Tabla6[#Headers],0)))*(1+Catalogos!$L$2)</f>
        <v>#N/A</v>
      </c>
      <c r="N1681" s="283" t="e">
        <f>+(Tabla4[[#This Row],[Precio Descontado]]-Tabla4[[#This Row],[Precio Base]])*Tabla4[[#This Row],[Cantidad]]</f>
        <v>#N/A</v>
      </c>
      <c r="O1681" s="284" t="e">
        <f>++Tabla4[[#This Row],[Utilidad Total]]/Tabla4[[#This Row],[Total]]</f>
        <v>#N/A</v>
      </c>
      <c r="P1681" s="282">
        <f>++Tabla4[[#This Row],[Precio Descontado]]*Tabla4[[#This Row],[Cantidad]]</f>
        <v>1936.7704229999999</v>
      </c>
      <c r="Q1681" s="282" t="e">
        <f>(INDEX(Tabla6[#All],MATCH(Tabla4[[#This Row],[Producto]],Tabla6[[#All],[PRODUCTO]],0),MATCH(Tabla4[[#This Row],[Mes]],Tabla6[#Headers],0)))</f>
        <v>#N/A</v>
      </c>
      <c r="R1681" s="282" t="e">
        <f>++Tabla4[[#This Row],[Precio Unitario Neto]]-Tabla4[[#This Row],[20.85%]]-Tabla4[[#This Row],[Costo]]</f>
        <v>#N/A</v>
      </c>
      <c r="S1681" s="282" t="e">
        <f>++Tabla4[[#This Row],[U. Bruta Uni]]*Tabla4[[#This Row],[Cantidad]]</f>
        <v>#N/A</v>
      </c>
      <c r="T1681" s="369" t="str">
        <f>VLOOKUP(Tabla4[[#This Row],[Producto]],Tabla6[#All],14,FALSE)</f>
        <v>Termico Solar</v>
      </c>
      <c r="U1681" s="284" t="e">
        <f>(IF(Tabla4[[#This Row],[Familia]]="termico solar",Tabla4[[#This Row],[Utilidad Total]]*6%,Tabla4[[#This Row],[Utilidad Total]]*11.5%))/Tabla4[[#This Row],[Total]]</f>
        <v>#N/A</v>
      </c>
      <c r="V1681" s="282" t="e">
        <f>+Tabla4[[#This Row],[Comisión Calculada]]*Tabla4[[#This Row],[Total]]</f>
        <v>#N/A</v>
      </c>
    </row>
    <row r="1682" spans="1:22" hidden="1" x14ac:dyDescent="0.25">
      <c r="A1682" s="100">
        <v>45747</v>
      </c>
      <c r="B1682" t="str">
        <f t="shared" si="84"/>
        <v>March</v>
      </c>
      <c r="C1682" s="46" t="s">
        <v>280</v>
      </c>
      <c r="F1682" s="366" t="s">
        <v>1354</v>
      </c>
      <c r="G1682" s="46" t="s">
        <v>208</v>
      </c>
      <c r="H1682" s="46">
        <v>1</v>
      </c>
      <c r="I1682" s="51">
        <v>189.75</v>
      </c>
      <c r="J1682" s="281">
        <f>++Tabla4[[#This Row],[Precio Bruto]]*1.16</f>
        <v>220.10999999999999</v>
      </c>
      <c r="K1682" s="281">
        <f>+Tabla4[[#This Row],[Precio Unitario Neto]]*Tabla4[[#Headers],[20.85%]]</f>
        <v>45.892934999999994</v>
      </c>
      <c r="L1682" s="282">
        <f>++Tabla4[[#This Row],[Precio Unitario Neto]]-Tabla4[[#This Row],[20.85%]]</f>
        <v>174.21706499999999</v>
      </c>
      <c r="M1682" s="282" t="e">
        <f>(INDEX(Tabla6[#All],MATCH(Tabla4[[#This Row],[Producto]],Tabla6[[#All],[PRODUCTO]],0),MATCH(Tabla4[[#This Row],[Mes]],Tabla6[#Headers],0)))*(1+Catalogos!$L$2)</f>
        <v>#N/A</v>
      </c>
      <c r="N1682" s="283" t="e">
        <f>+(Tabla4[[#This Row],[Precio Descontado]]-Tabla4[[#This Row],[Precio Base]])*Tabla4[[#This Row],[Cantidad]]</f>
        <v>#N/A</v>
      </c>
      <c r="O1682" s="284" t="e">
        <f>++Tabla4[[#This Row],[Utilidad Total]]/Tabla4[[#This Row],[Total]]</f>
        <v>#N/A</v>
      </c>
      <c r="P1682" s="282">
        <f>++Tabla4[[#This Row],[Precio Descontado]]*Tabla4[[#This Row],[Cantidad]]</f>
        <v>174.21706499999999</v>
      </c>
      <c r="Q1682" s="282" t="e">
        <f>(INDEX(Tabla6[#All],MATCH(Tabla4[[#This Row],[Producto]],Tabla6[[#All],[PRODUCTO]],0),MATCH(Tabla4[[#This Row],[Mes]],Tabla6[#Headers],0)))</f>
        <v>#N/A</v>
      </c>
      <c r="R1682" s="282" t="e">
        <f>++Tabla4[[#This Row],[Precio Unitario Neto]]-Tabla4[[#This Row],[20.85%]]-Tabla4[[#This Row],[Costo]]</f>
        <v>#N/A</v>
      </c>
      <c r="S1682" s="282" t="e">
        <f>++Tabla4[[#This Row],[U. Bruta Uni]]*Tabla4[[#This Row],[Cantidad]]</f>
        <v>#N/A</v>
      </c>
      <c r="T1682" s="369" t="str">
        <f>VLOOKUP(Tabla4[[#This Row],[Producto]],Tabla6[#All],14,FALSE)</f>
        <v>Termico Solar</v>
      </c>
      <c r="U1682" s="284" t="e">
        <f>(IF(Tabla4[[#This Row],[Familia]]="termico solar",Tabla4[[#This Row],[Utilidad Total]]*6%,Tabla4[[#This Row],[Utilidad Total]]*11.5%))/Tabla4[[#This Row],[Total]]</f>
        <v>#N/A</v>
      </c>
      <c r="V1682" s="282" t="e">
        <f>+Tabla4[[#This Row],[Comisión Calculada]]*Tabla4[[#This Row],[Total]]</f>
        <v>#N/A</v>
      </c>
    </row>
    <row r="1683" spans="1:22" hidden="1" x14ac:dyDescent="0.25">
      <c r="A1683" s="100">
        <v>45747</v>
      </c>
      <c r="B1683" t="str">
        <f t="shared" si="84"/>
        <v>March</v>
      </c>
      <c r="C1683" s="46" t="s">
        <v>280</v>
      </c>
      <c r="F1683" s="366" t="s">
        <v>1355</v>
      </c>
      <c r="G1683" s="46" t="s">
        <v>18</v>
      </c>
      <c r="H1683" s="46">
        <v>1</v>
      </c>
      <c r="I1683" s="51">
        <v>5367.65</v>
      </c>
      <c r="J1683" s="281">
        <f>++Tabla4[[#This Row],[Precio Bruto]]*1.16</f>
        <v>6226.4739999999993</v>
      </c>
      <c r="K1683" s="281">
        <f>+Tabla4[[#This Row],[Precio Unitario Neto]]*Tabla4[[#Headers],[20.85%]]</f>
        <v>1298.2198289999999</v>
      </c>
      <c r="L1683" s="282">
        <f>++Tabla4[[#This Row],[Precio Unitario Neto]]-Tabla4[[#This Row],[20.85%]]</f>
        <v>4928.2541709999996</v>
      </c>
      <c r="M1683" s="282" t="e">
        <f>(INDEX(Tabla6[#All],MATCH(Tabla4[[#This Row],[Producto]],Tabla6[[#All],[PRODUCTO]],0),MATCH(Tabla4[[#This Row],[Mes]],Tabla6[#Headers],0)))*(1+Catalogos!$L$2)</f>
        <v>#N/A</v>
      </c>
      <c r="N1683" s="283" t="e">
        <f>+(Tabla4[[#This Row],[Precio Descontado]]-Tabla4[[#This Row],[Precio Base]])*Tabla4[[#This Row],[Cantidad]]</f>
        <v>#N/A</v>
      </c>
      <c r="O1683" s="284" t="e">
        <f>++Tabla4[[#This Row],[Utilidad Total]]/Tabla4[[#This Row],[Total]]</f>
        <v>#N/A</v>
      </c>
      <c r="P1683" s="282">
        <f>++Tabla4[[#This Row],[Precio Descontado]]*Tabla4[[#This Row],[Cantidad]]</f>
        <v>4928.2541709999996</v>
      </c>
      <c r="Q1683" s="282" t="e">
        <f>(INDEX(Tabla6[#All],MATCH(Tabla4[[#This Row],[Producto]],Tabla6[[#All],[PRODUCTO]],0),MATCH(Tabla4[[#This Row],[Mes]],Tabla6[#Headers],0)))</f>
        <v>#N/A</v>
      </c>
      <c r="R1683" s="282" t="e">
        <f>++Tabla4[[#This Row],[Precio Unitario Neto]]-Tabla4[[#This Row],[20.85%]]-Tabla4[[#This Row],[Costo]]</f>
        <v>#N/A</v>
      </c>
      <c r="S1683" s="282" t="e">
        <f>++Tabla4[[#This Row],[U. Bruta Uni]]*Tabla4[[#This Row],[Cantidad]]</f>
        <v>#N/A</v>
      </c>
      <c r="T1683" s="369" t="str">
        <f>VLOOKUP(Tabla4[[#This Row],[Producto]],Tabla6[#All],14,FALSE)</f>
        <v>Termico Solar</v>
      </c>
      <c r="U1683" s="284" t="e">
        <f>(IF(Tabla4[[#This Row],[Familia]]="termico solar",Tabla4[[#This Row],[Utilidad Total]]*6%,Tabla4[[#This Row],[Utilidad Total]]*11.5%))/Tabla4[[#This Row],[Total]]</f>
        <v>#N/A</v>
      </c>
      <c r="V1683" s="282" t="e">
        <f>+Tabla4[[#This Row],[Comisión Calculada]]*Tabla4[[#This Row],[Total]]</f>
        <v>#N/A</v>
      </c>
    </row>
    <row r="1684" spans="1:22" hidden="1" x14ac:dyDescent="0.25">
      <c r="A1684" s="100">
        <v>45747</v>
      </c>
      <c r="B1684" t="str">
        <f t="shared" si="84"/>
        <v>March</v>
      </c>
      <c r="C1684" s="46" t="s">
        <v>280</v>
      </c>
      <c r="F1684" s="366" t="s">
        <v>1355</v>
      </c>
      <c r="G1684" s="46" t="s">
        <v>566</v>
      </c>
      <c r="H1684" s="46">
        <v>1</v>
      </c>
      <c r="I1684" s="51">
        <v>2109.4499999999998</v>
      </c>
      <c r="J1684" s="281">
        <f>++Tabla4[[#This Row],[Precio Bruto]]*1.16</f>
        <v>2446.9619999999995</v>
      </c>
      <c r="K1684" s="281">
        <f>+Tabla4[[#This Row],[Precio Unitario Neto]]*Tabla4[[#Headers],[20.85%]]</f>
        <v>510.19157699999988</v>
      </c>
      <c r="L1684" s="282">
        <f>++Tabla4[[#This Row],[Precio Unitario Neto]]-Tabla4[[#This Row],[20.85%]]</f>
        <v>1936.7704229999997</v>
      </c>
      <c r="M1684" s="282" t="e">
        <f>(INDEX(Tabla6[#All],MATCH(Tabla4[[#This Row],[Producto]],Tabla6[[#All],[PRODUCTO]],0),MATCH(Tabla4[[#This Row],[Mes]],Tabla6[#Headers],0)))*(1+Catalogos!$L$2)</f>
        <v>#N/A</v>
      </c>
      <c r="N1684" s="283" t="e">
        <f>+(Tabla4[[#This Row],[Precio Descontado]]-Tabla4[[#This Row],[Precio Base]])*Tabla4[[#This Row],[Cantidad]]</f>
        <v>#N/A</v>
      </c>
      <c r="O1684" s="284" t="e">
        <f>++Tabla4[[#This Row],[Utilidad Total]]/Tabla4[[#This Row],[Total]]</f>
        <v>#N/A</v>
      </c>
      <c r="P1684" s="282">
        <f>++Tabla4[[#This Row],[Precio Descontado]]*Tabla4[[#This Row],[Cantidad]]</f>
        <v>1936.7704229999997</v>
      </c>
      <c r="Q1684" s="282" t="e">
        <f>(INDEX(Tabla6[#All],MATCH(Tabla4[[#This Row],[Producto]],Tabla6[[#All],[PRODUCTO]],0),MATCH(Tabla4[[#This Row],[Mes]],Tabla6[#Headers],0)))</f>
        <v>#N/A</v>
      </c>
      <c r="R1684" s="282" t="e">
        <f>++Tabla4[[#This Row],[Precio Unitario Neto]]-Tabla4[[#This Row],[20.85%]]-Tabla4[[#This Row],[Costo]]</f>
        <v>#N/A</v>
      </c>
      <c r="S1684" s="282" t="e">
        <f>++Tabla4[[#This Row],[U. Bruta Uni]]*Tabla4[[#This Row],[Cantidad]]</f>
        <v>#N/A</v>
      </c>
      <c r="T1684" s="369" t="str">
        <f>VLOOKUP(Tabla4[[#This Row],[Producto]],Tabla6[#All],14,FALSE)</f>
        <v>Termico Solar</v>
      </c>
      <c r="U1684" s="284" t="e">
        <f>(IF(Tabla4[[#This Row],[Familia]]="termico solar",Tabla4[[#This Row],[Utilidad Total]]*6%,Tabla4[[#This Row],[Utilidad Total]]*11.5%))/Tabla4[[#This Row],[Total]]</f>
        <v>#N/A</v>
      </c>
      <c r="V1684" s="282" t="e">
        <f>+Tabla4[[#This Row],[Comisión Calculada]]*Tabla4[[#This Row],[Total]]</f>
        <v>#N/A</v>
      </c>
    </row>
    <row r="1685" spans="1:22" hidden="1" x14ac:dyDescent="0.25">
      <c r="A1685" s="100">
        <v>45747</v>
      </c>
      <c r="B1685" t="str">
        <f t="shared" si="84"/>
        <v>March</v>
      </c>
      <c r="C1685" s="46" t="s">
        <v>280</v>
      </c>
      <c r="F1685" s="366" t="s">
        <v>1355</v>
      </c>
      <c r="G1685" s="46" t="s">
        <v>16</v>
      </c>
      <c r="H1685" s="46">
        <v>1</v>
      </c>
      <c r="I1685" s="51">
        <v>4103.8500000000004</v>
      </c>
      <c r="J1685" s="281">
        <f>++Tabla4[[#This Row],[Precio Bruto]]*1.16</f>
        <v>4760.4660000000003</v>
      </c>
      <c r="K1685" s="281">
        <f>+Tabla4[[#This Row],[Precio Unitario Neto]]*Tabla4[[#Headers],[20.85%]]</f>
        <v>992.55716100000006</v>
      </c>
      <c r="L1685" s="282">
        <f>++Tabla4[[#This Row],[Precio Unitario Neto]]-Tabla4[[#This Row],[20.85%]]</f>
        <v>3767.9088390000002</v>
      </c>
      <c r="M1685" s="282" t="e">
        <f>(INDEX(Tabla6[#All],MATCH(Tabla4[[#This Row],[Producto]],Tabla6[[#All],[PRODUCTO]],0),MATCH(Tabla4[[#This Row],[Mes]],Tabla6[#Headers],0)))*(1+Catalogos!$L$2)</f>
        <v>#N/A</v>
      </c>
      <c r="N1685" s="283" t="e">
        <f>+(Tabla4[[#This Row],[Precio Descontado]]-Tabla4[[#This Row],[Precio Base]])*Tabla4[[#This Row],[Cantidad]]</f>
        <v>#N/A</v>
      </c>
      <c r="O1685" s="284" t="e">
        <f>++Tabla4[[#This Row],[Utilidad Total]]/Tabla4[[#This Row],[Total]]</f>
        <v>#N/A</v>
      </c>
      <c r="P1685" s="282">
        <f>++Tabla4[[#This Row],[Precio Descontado]]*Tabla4[[#This Row],[Cantidad]]</f>
        <v>3767.9088390000002</v>
      </c>
      <c r="Q1685" s="282" t="e">
        <f>(INDEX(Tabla6[#All],MATCH(Tabla4[[#This Row],[Producto]],Tabla6[[#All],[PRODUCTO]],0),MATCH(Tabla4[[#This Row],[Mes]],Tabla6[#Headers],0)))</f>
        <v>#N/A</v>
      </c>
      <c r="R1685" s="282" t="e">
        <f>++Tabla4[[#This Row],[Precio Unitario Neto]]-Tabla4[[#This Row],[20.85%]]-Tabla4[[#This Row],[Costo]]</f>
        <v>#N/A</v>
      </c>
      <c r="S1685" s="282" t="e">
        <f>++Tabla4[[#This Row],[U. Bruta Uni]]*Tabla4[[#This Row],[Cantidad]]</f>
        <v>#N/A</v>
      </c>
      <c r="T1685" s="369" t="str">
        <f>VLOOKUP(Tabla4[[#This Row],[Producto]],Tabla6[#All],14,FALSE)</f>
        <v>Termico Solar</v>
      </c>
      <c r="U1685" s="284" t="e">
        <f>(IF(Tabla4[[#This Row],[Familia]]="termico solar",Tabla4[[#This Row],[Utilidad Total]]*6%,Tabla4[[#This Row],[Utilidad Total]]*11.5%))/Tabla4[[#This Row],[Total]]</f>
        <v>#N/A</v>
      </c>
      <c r="V1685" s="282" t="e">
        <f>+Tabla4[[#This Row],[Comisión Calculada]]*Tabla4[[#This Row],[Total]]</f>
        <v>#N/A</v>
      </c>
    </row>
    <row r="1686" spans="1:22" hidden="1" x14ac:dyDescent="0.25">
      <c r="A1686" s="100">
        <v>45747</v>
      </c>
      <c r="B1686" t="str">
        <f t="shared" si="84"/>
        <v>March</v>
      </c>
      <c r="C1686" s="46" t="s">
        <v>280</v>
      </c>
      <c r="F1686" s="366" t="s">
        <v>1356</v>
      </c>
      <c r="G1686" s="46" t="s">
        <v>83</v>
      </c>
      <c r="H1686" s="46">
        <v>13</v>
      </c>
      <c r="I1686" s="51">
        <v>8858.76</v>
      </c>
      <c r="J1686" s="281">
        <f>++Tabla4[[#This Row],[Precio Bruto]]*1.16</f>
        <v>10276.161599999999</v>
      </c>
      <c r="K1686" s="281">
        <f>+Tabla4[[#This Row],[Precio Unitario Neto]]*Tabla4[[#Headers],[20.85%]]</f>
        <v>2142.5796935999997</v>
      </c>
      <c r="L1686" s="282">
        <f>++Tabla4[[#This Row],[Precio Unitario Neto]]-Tabla4[[#This Row],[20.85%]]</f>
        <v>8133.5819063999998</v>
      </c>
      <c r="M1686" s="282" t="e">
        <f>(INDEX(Tabla6[#All],MATCH(Tabla4[[#This Row],[Producto]],Tabla6[[#All],[PRODUCTO]],0),MATCH(Tabla4[[#This Row],[Mes]],Tabla6[#Headers],0)))*(1+Catalogos!$L$2)</f>
        <v>#N/A</v>
      </c>
      <c r="N1686" s="283" t="e">
        <f>+(Tabla4[[#This Row],[Precio Descontado]]-Tabla4[[#This Row],[Precio Base]])*Tabla4[[#This Row],[Cantidad]]</f>
        <v>#N/A</v>
      </c>
      <c r="O1686" s="284" t="e">
        <f>++Tabla4[[#This Row],[Utilidad Total]]/Tabla4[[#This Row],[Total]]</f>
        <v>#N/A</v>
      </c>
      <c r="P1686" s="282">
        <f>++Tabla4[[#This Row],[Precio Descontado]]*Tabla4[[#This Row],[Cantidad]]</f>
        <v>105736.5647832</v>
      </c>
      <c r="Q1686" s="282" t="e">
        <f>(INDEX(Tabla6[#All],MATCH(Tabla4[[#This Row],[Producto]],Tabla6[[#All],[PRODUCTO]],0),MATCH(Tabla4[[#This Row],[Mes]],Tabla6[#Headers],0)))</f>
        <v>#N/A</v>
      </c>
      <c r="R1686" s="282" t="e">
        <f>++Tabla4[[#This Row],[Precio Unitario Neto]]-Tabla4[[#This Row],[20.85%]]-Tabla4[[#This Row],[Costo]]</f>
        <v>#N/A</v>
      </c>
      <c r="S1686" s="282" t="e">
        <f>++Tabla4[[#This Row],[U. Bruta Uni]]*Tabla4[[#This Row],[Cantidad]]</f>
        <v>#N/A</v>
      </c>
      <c r="T1686" s="369" t="str">
        <f>VLOOKUP(Tabla4[[#This Row],[Producto]],Tabla6[#All],14,FALSE)</f>
        <v>Termico Solar</v>
      </c>
      <c r="U1686" s="284" t="e">
        <f>(IF(Tabla4[[#This Row],[Familia]]="termico solar",Tabla4[[#This Row],[Utilidad Total]]*6%,Tabla4[[#This Row],[Utilidad Total]]*11.5%))/Tabla4[[#This Row],[Total]]</f>
        <v>#N/A</v>
      </c>
      <c r="V1686" s="282" t="e">
        <f>+Tabla4[[#This Row],[Comisión Calculada]]*Tabla4[[#This Row],[Total]]</f>
        <v>#N/A</v>
      </c>
    </row>
    <row r="1687" spans="1:22" hidden="1" x14ac:dyDescent="0.25">
      <c r="A1687" s="100">
        <v>45747</v>
      </c>
      <c r="B1687" t="str">
        <f t="shared" si="84"/>
        <v>March</v>
      </c>
      <c r="C1687" s="46" t="s">
        <v>280</v>
      </c>
      <c r="F1687" s="366" t="s">
        <v>1356</v>
      </c>
      <c r="G1687" s="46" t="s">
        <v>18</v>
      </c>
      <c r="H1687" s="46">
        <v>2</v>
      </c>
      <c r="I1687" s="51">
        <v>5367.65</v>
      </c>
      <c r="J1687" s="281">
        <f>++Tabla4[[#This Row],[Precio Bruto]]*1.16</f>
        <v>6226.4739999999993</v>
      </c>
      <c r="K1687" s="281">
        <f>+Tabla4[[#This Row],[Precio Unitario Neto]]*Tabla4[[#Headers],[20.85%]]</f>
        <v>1298.2198289999999</v>
      </c>
      <c r="L1687" s="282">
        <f>++Tabla4[[#This Row],[Precio Unitario Neto]]-Tabla4[[#This Row],[20.85%]]</f>
        <v>4928.2541709999996</v>
      </c>
      <c r="M1687" s="282" t="e">
        <f>(INDEX(Tabla6[#All],MATCH(Tabla4[[#This Row],[Producto]],Tabla6[[#All],[PRODUCTO]],0),MATCH(Tabla4[[#This Row],[Mes]],Tabla6[#Headers],0)))*(1+Catalogos!$L$2)</f>
        <v>#N/A</v>
      </c>
      <c r="N1687" s="283" t="e">
        <f>+(Tabla4[[#This Row],[Precio Descontado]]-Tabla4[[#This Row],[Precio Base]])*Tabla4[[#This Row],[Cantidad]]</f>
        <v>#N/A</v>
      </c>
      <c r="O1687" s="284" t="e">
        <f>++Tabla4[[#This Row],[Utilidad Total]]/Tabla4[[#This Row],[Total]]</f>
        <v>#N/A</v>
      </c>
      <c r="P1687" s="282">
        <f>++Tabla4[[#This Row],[Precio Descontado]]*Tabla4[[#This Row],[Cantidad]]</f>
        <v>9856.5083419999992</v>
      </c>
      <c r="Q1687" s="282" t="e">
        <f>(INDEX(Tabla6[#All],MATCH(Tabla4[[#This Row],[Producto]],Tabla6[[#All],[PRODUCTO]],0),MATCH(Tabla4[[#This Row],[Mes]],Tabla6[#Headers],0)))</f>
        <v>#N/A</v>
      </c>
      <c r="R1687" s="282" t="e">
        <f>++Tabla4[[#This Row],[Precio Unitario Neto]]-Tabla4[[#This Row],[20.85%]]-Tabla4[[#This Row],[Costo]]</f>
        <v>#N/A</v>
      </c>
      <c r="S1687" s="282" t="e">
        <f>++Tabla4[[#This Row],[U. Bruta Uni]]*Tabla4[[#This Row],[Cantidad]]</f>
        <v>#N/A</v>
      </c>
      <c r="T1687" s="369" t="str">
        <f>VLOOKUP(Tabla4[[#This Row],[Producto]],Tabla6[#All],14,FALSE)</f>
        <v>Termico Solar</v>
      </c>
      <c r="U1687" s="284" t="e">
        <f>(IF(Tabla4[[#This Row],[Familia]]="termico solar",Tabla4[[#This Row],[Utilidad Total]]*6%,Tabla4[[#This Row],[Utilidad Total]]*11.5%))/Tabla4[[#This Row],[Total]]</f>
        <v>#N/A</v>
      </c>
      <c r="V1687" s="282" t="e">
        <f>+Tabla4[[#This Row],[Comisión Calculada]]*Tabla4[[#This Row],[Total]]</f>
        <v>#N/A</v>
      </c>
    </row>
    <row r="1688" spans="1:22" hidden="1" x14ac:dyDescent="0.25">
      <c r="A1688" s="100">
        <v>45747</v>
      </c>
      <c r="B1688" t="str">
        <f t="shared" si="84"/>
        <v>March</v>
      </c>
      <c r="C1688" s="46" t="s">
        <v>280</v>
      </c>
      <c r="F1688" s="366" t="s">
        <v>1357</v>
      </c>
      <c r="G1688" s="46" t="s">
        <v>18</v>
      </c>
      <c r="H1688" s="46">
        <v>1</v>
      </c>
      <c r="I1688" s="51">
        <v>5367.65</v>
      </c>
      <c r="J1688" s="281">
        <f>++Tabla4[[#This Row],[Precio Bruto]]*1.16</f>
        <v>6226.4739999999993</v>
      </c>
      <c r="K1688" s="281">
        <f>+Tabla4[[#This Row],[Precio Unitario Neto]]*Tabla4[[#Headers],[20.85%]]</f>
        <v>1298.2198289999999</v>
      </c>
      <c r="L1688" s="282">
        <f>++Tabla4[[#This Row],[Precio Unitario Neto]]-Tabla4[[#This Row],[20.85%]]</f>
        <v>4928.2541709999996</v>
      </c>
      <c r="M1688" s="282" t="e">
        <f>(INDEX(Tabla6[#All],MATCH(Tabla4[[#This Row],[Producto]],Tabla6[[#All],[PRODUCTO]],0),MATCH(Tabla4[[#This Row],[Mes]],Tabla6[#Headers],0)))*(1+Catalogos!$L$2)</f>
        <v>#N/A</v>
      </c>
      <c r="N1688" s="283" t="e">
        <f>+(Tabla4[[#This Row],[Precio Descontado]]-Tabla4[[#This Row],[Precio Base]])*Tabla4[[#This Row],[Cantidad]]</f>
        <v>#N/A</v>
      </c>
      <c r="O1688" s="284" t="e">
        <f>++Tabla4[[#This Row],[Utilidad Total]]/Tabla4[[#This Row],[Total]]</f>
        <v>#N/A</v>
      </c>
      <c r="P1688" s="282">
        <f>++Tabla4[[#This Row],[Precio Descontado]]*Tabla4[[#This Row],[Cantidad]]</f>
        <v>4928.2541709999996</v>
      </c>
      <c r="Q1688" s="282" t="e">
        <f>(INDEX(Tabla6[#All],MATCH(Tabla4[[#This Row],[Producto]],Tabla6[[#All],[PRODUCTO]],0),MATCH(Tabla4[[#This Row],[Mes]],Tabla6[#Headers],0)))</f>
        <v>#N/A</v>
      </c>
      <c r="R1688" s="282" t="e">
        <f>++Tabla4[[#This Row],[Precio Unitario Neto]]-Tabla4[[#This Row],[20.85%]]-Tabla4[[#This Row],[Costo]]</f>
        <v>#N/A</v>
      </c>
      <c r="S1688" s="282" t="e">
        <f>++Tabla4[[#This Row],[U. Bruta Uni]]*Tabla4[[#This Row],[Cantidad]]</f>
        <v>#N/A</v>
      </c>
      <c r="T1688" s="369" t="str">
        <f>VLOOKUP(Tabla4[[#This Row],[Producto]],Tabla6[#All],14,FALSE)</f>
        <v>Termico Solar</v>
      </c>
      <c r="U1688" s="284" t="e">
        <f>(IF(Tabla4[[#This Row],[Familia]]="termico solar",Tabla4[[#This Row],[Utilidad Total]]*6%,Tabla4[[#This Row],[Utilidad Total]]*11.5%))/Tabla4[[#This Row],[Total]]</f>
        <v>#N/A</v>
      </c>
      <c r="V1688" s="282" t="e">
        <f>+Tabla4[[#This Row],[Comisión Calculada]]*Tabla4[[#This Row],[Total]]</f>
        <v>#N/A</v>
      </c>
    </row>
    <row r="1689" spans="1:22" hidden="1" x14ac:dyDescent="0.25">
      <c r="A1689" s="100">
        <v>45747</v>
      </c>
      <c r="B1689" t="str">
        <f t="shared" si="84"/>
        <v>March</v>
      </c>
      <c r="C1689" s="46" t="s">
        <v>280</v>
      </c>
      <c r="F1689" s="366" t="s">
        <v>1358</v>
      </c>
      <c r="G1689" s="46" t="s">
        <v>83</v>
      </c>
      <c r="H1689" s="46">
        <v>1</v>
      </c>
      <c r="I1689" s="51">
        <v>8858.76</v>
      </c>
      <c r="J1689" s="281">
        <f>++Tabla4[[#This Row],[Precio Bruto]]*1.16</f>
        <v>10276.161599999999</v>
      </c>
      <c r="K1689" s="281">
        <f>+Tabla4[[#This Row],[Precio Unitario Neto]]*Tabla4[[#Headers],[20.85%]]</f>
        <v>2142.5796935999997</v>
      </c>
      <c r="L1689" s="282">
        <f>++Tabla4[[#This Row],[Precio Unitario Neto]]-Tabla4[[#This Row],[20.85%]]</f>
        <v>8133.5819063999998</v>
      </c>
      <c r="M1689" s="282" t="e">
        <f>(INDEX(Tabla6[#All],MATCH(Tabla4[[#This Row],[Producto]],Tabla6[[#All],[PRODUCTO]],0),MATCH(Tabla4[[#This Row],[Mes]],Tabla6[#Headers],0)))*(1+Catalogos!$L$2)</f>
        <v>#N/A</v>
      </c>
      <c r="N1689" s="283" t="e">
        <f>+(Tabla4[[#This Row],[Precio Descontado]]-Tabla4[[#This Row],[Precio Base]])*Tabla4[[#This Row],[Cantidad]]</f>
        <v>#N/A</v>
      </c>
      <c r="O1689" s="284" t="e">
        <f>++Tabla4[[#This Row],[Utilidad Total]]/Tabla4[[#This Row],[Total]]</f>
        <v>#N/A</v>
      </c>
      <c r="P1689" s="282">
        <f>++Tabla4[[#This Row],[Precio Descontado]]*Tabla4[[#This Row],[Cantidad]]</f>
        <v>8133.5819063999998</v>
      </c>
      <c r="Q1689" s="282" t="e">
        <f>(INDEX(Tabla6[#All],MATCH(Tabla4[[#This Row],[Producto]],Tabla6[[#All],[PRODUCTO]],0),MATCH(Tabla4[[#This Row],[Mes]],Tabla6[#Headers],0)))</f>
        <v>#N/A</v>
      </c>
      <c r="R1689" s="282" t="e">
        <f>++Tabla4[[#This Row],[Precio Unitario Neto]]-Tabla4[[#This Row],[20.85%]]-Tabla4[[#This Row],[Costo]]</f>
        <v>#N/A</v>
      </c>
      <c r="S1689" s="282" t="e">
        <f>++Tabla4[[#This Row],[U. Bruta Uni]]*Tabla4[[#This Row],[Cantidad]]</f>
        <v>#N/A</v>
      </c>
      <c r="T1689" s="369" t="str">
        <f>VLOOKUP(Tabla4[[#This Row],[Producto]],Tabla6[#All],14,FALSE)</f>
        <v>Termico Solar</v>
      </c>
      <c r="U1689" s="284" t="e">
        <f>(IF(Tabla4[[#This Row],[Familia]]="termico solar",Tabla4[[#This Row],[Utilidad Total]]*6%,Tabla4[[#This Row],[Utilidad Total]]*11.5%))/Tabla4[[#This Row],[Total]]</f>
        <v>#N/A</v>
      </c>
      <c r="V1689" s="282" t="e">
        <f>+Tabla4[[#This Row],[Comisión Calculada]]*Tabla4[[#This Row],[Total]]</f>
        <v>#N/A</v>
      </c>
    </row>
    <row r="1690" spans="1:22" hidden="1" x14ac:dyDescent="0.25">
      <c r="A1690" s="100">
        <v>45747</v>
      </c>
      <c r="B1690" t="str">
        <f t="shared" si="84"/>
        <v>March</v>
      </c>
      <c r="C1690" s="46" t="s">
        <v>280</v>
      </c>
      <c r="F1690" s="366" t="s">
        <v>1358</v>
      </c>
      <c r="G1690" s="46" t="s">
        <v>17</v>
      </c>
      <c r="H1690" s="46">
        <v>1</v>
      </c>
      <c r="I1690" s="51">
        <v>4622.28</v>
      </c>
      <c r="J1690" s="281">
        <f>++Tabla4[[#This Row],[Precio Bruto]]*1.16</f>
        <v>5361.8447999999989</v>
      </c>
      <c r="K1690" s="281">
        <f>+Tabla4[[#This Row],[Precio Unitario Neto]]*Tabla4[[#Headers],[20.85%]]</f>
        <v>1117.9446407999997</v>
      </c>
      <c r="L1690" s="282">
        <f>++Tabla4[[#This Row],[Precio Unitario Neto]]-Tabla4[[#This Row],[20.85%]]</f>
        <v>4243.9001591999995</v>
      </c>
      <c r="M1690" s="282" t="e">
        <f>(INDEX(Tabla6[#All],MATCH(Tabla4[[#This Row],[Producto]],Tabla6[[#All],[PRODUCTO]],0),MATCH(Tabla4[[#This Row],[Mes]],Tabla6[#Headers],0)))*(1+Catalogos!$L$2)</f>
        <v>#N/A</v>
      </c>
      <c r="N1690" s="283" t="e">
        <f>+(Tabla4[[#This Row],[Precio Descontado]]-Tabla4[[#This Row],[Precio Base]])*Tabla4[[#This Row],[Cantidad]]</f>
        <v>#N/A</v>
      </c>
      <c r="O1690" s="284" t="e">
        <f>++Tabla4[[#This Row],[Utilidad Total]]/Tabla4[[#This Row],[Total]]</f>
        <v>#N/A</v>
      </c>
      <c r="P1690" s="282">
        <f>++Tabla4[[#This Row],[Precio Descontado]]*Tabla4[[#This Row],[Cantidad]]</f>
        <v>4243.9001591999995</v>
      </c>
      <c r="Q1690" s="282" t="e">
        <f>(INDEX(Tabla6[#All],MATCH(Tabla4[[#This Row],[Producto]],Tabla6[[#All],[PRODUCTO]],0),MATCH(Tabla4[[#This Row],[Mes]],Tabla6[#Headers],0)))</f>
        <v>#N/A</v>
      </c>
      <c r="R1690" s="282" t="e">
        <f>++Tabla4[[#This Row],[Precio Unitario Neto]]-Tabla4[[#This Row],[20.85%]]-Tabla4[[#This Row],[Costo]]</f>
        <v>#N/A</v>
      </c>
      <c r="S1690" s="282" t="e">
        <f>++Tabla4[[#This Row],[U. Bruta Uni]]*Tabla4[[#This Row],[Cantidad]]</f>
        <v>#N/A</v>
      </c>
      <c r="T1690" s="369" t="str">
        <f>VLOOKUP(Tabla4[[#This Row],[Producto]],Tabla6[#All],14,FALSE)</f>
        <v>Termico Solar</v>
      </c>
      <c r="U1690" s="284" t="e">
        <f>(IF(Tabla4[[#This Row],[Familia]]="termico solar",Tabla4[[#This Row],[Utilidad Total]]*6%,Tabla4[[#This Row],[Utilidad Total]]*11.5%))/Tabla4[[#This Row],[Total]]</f>
        <v>#N/A</v>
      </c>
      <c r="V1690" s="282" t="e">
        <f>+Tabla4[[#This Row],[Comisión Calculada]]*Tabla4[[#This Row],[Total]]</f>
        <v>#N/A</v>
      </c>
    </row>
    <row r="1691" spans="1:22" hidden="1" x14ac:dyDescent="0.25">
      <c r="A1691" s="100">
        <v>45747</v>
      </c>
      <c r="B1691" t="str">
        <f t="shared" si="84"/>
        <v>March</v>
      </c>
      <c r="C1691" s="46" t="s">
        <v>280</v>
      </c>
      <c r="F1691" s="366" t="s">
        <v>1358</v>
      </c>
      <c r="G1691" s="46" t="s">
        <v>394</v>
      </c>
      <c r="H1691" s="46">
        <v>9</v>
      </c>
      <c r="I1691" s="51">
        <v>108.1</v>
      </c>
      <c r="J1691" s="281">
        <f>++Tabla4[[#This Row],[Precio Bruto]]*1.16</f>
        <v>125.39599999999999</v>
      </c>
      <c r="K1691" s="281">
        <f>+Tabla4[[#This Row],[Precio Unitario Neto]]*Tabla4[[#Headers],[20.85%]]</f>
        <v>26.145065999999996</v>
      </c>
      <c r="L1691" s="282">
        <f>++Tabla4[[#This Row],[Precio Unitario Neto]]-Tabla4[[#This Row],[20.85%]]</f>
        <v>99.250933999999987</v>
      </c>
      <c r="M1691" s="282" t="e">
        <f>(INDEX(Tabla6[#All],MATCH(Tabla4[[#This Row],[Producto]],Tabla6[[#All],[PRODUCTO]],0),MATCH(Tabla4[[#This Row],[Mes]],Tabla6[#Headers],0)))*(1+Catalogos!$L$2)</f>
        <v>#N/A</v>
      </c>
      <c r="N1691" s="283" t="e">
        <f>+(Tabla4[[#This Row],[Precio Descontado]]-Tabla4[[#This Row],[Precio Base]])*Tabla4[[#This Row],[Cantidad]]</f>
        <v>#N/A</v>
      </c>
      <c r="O1691" s="284" t="e">
        <f>++Tabla4[[#This Row],[Utilidad Total]]/Tabla4[[#This Row],[Total]]</f>
        <v>#N/A</v>
      </c>
      <c r="P1691" s="282">
        <f>++Tabla4[[#This Row],[Precio Descontado]]*Tabla4[[#This Row],[Cantidad]]</f>
        <v>893.25840599999992</v>
      </c>
      <c r="Q1691" s="282" t="e">
        <f>(INDEX(Tabla6[#All],MATCH(Tabla4[[#This Row],[Producto]],Tabla6[[#All],[PRODUCTO]],0),MATCH(Tabla4[[#This Row],[Mes]],Tabla6[#Headers],0)))</f>
        <v>#N/A</v>
      </c>
      <c r="R1691" s="282" t="e">
        <f>++Tabla4[[#This Row],[Precio Unitario Neto]]-Tabla4[[#This Row],[20.85%]]-Tabla4[[#This Row],[Costo]]</f>
        <v>#N/A</v>
      </c>
      <c r="S1691" s="282" t="e">
        <f>++Tabla4[[#This Row],[U. Bruta Uni]]*Tabla4[[#This Row],[Cantidad]]</f>
        <v>#N/A</v>
      </c>
      <c r="T1691" s="369" t="str">
        <f>VLOOKUP(Tabla4[[#This Row],[Producto]],Tabla6[#All],14,FALSE)</f>
        <v>Termico Solar</v>
      </c>
      <c r="U1691" s="284" t="e">
        <f>(IF(Tabla4[[#This Row],[Familia]]="termico solar",Tabla4[[#This Row],[Utilidad Total]]*6%,Tabla4[[#This Row],[Utilidad Total]]*11.5%))/Tabla4[[#This Row],[Total]]</f>
        <v>#N/A</v>
      </c>
      <c r="V1691" s="282" t="e">
        <f>+Tabla4[[#This Row],[Comisión Calculada]]*Tabla4[[#This Row],[Total]]</f>
        <v>#N/A</v>
      </c>
    </row>
    <row r="1692" spans="1:22" hidden="1" x14ac:dyDescent="0.25">
      <c r="A1692" s="100">
        <v>45747</v>
      </c>
      <c r="B1692" t="str">
        <f t="shared" si="84"/>
        <v>March</v>
      </c>
      <c r="C1692" s="46" t="s">
        <v>280</v>
      </c>
      <c r="F1692" s="366" t="s">
        <v>1359</v>
      </c>
      <c r="G1692" s="46" t="s">
        <v>83</v>
      </c>
      <c r="H1692" s="46">
        <v>7</v>
      </c>
      <c r="I1692" s="51">
        <v>8858.76</v>
      </c>
      <c r="J1692" s="281">
        <f>++Tabla4[[#This Row],[Precio Bruto]]*1.16</f>
        <v>10276.161599999999</v>
      </c>
      <c r="K1692" s="281">
        <f>+Tabla4[[#This Row],[Precio Unitario Neto]]*Tabla4[[#Headers],[20.85%]]</f>
        <v>2142.5796935999997</v>
      </c>
      <c r="L1692" s="282">
        <f>++Tabla4[[#This Row],[Precio Unitario Neto]]-Tabla4[[#This Row],[20.85%]]</f>
        <v>8133.5819063999998</v>
      </c>
      <c r="M1692" s="282" t="e">
        <f>(INDEX(Tabla6[#All],MATCH(Tabla4[[#This Row],[Producto]],Tabla6[[#All],[PRODUCTO]],0),MATCH(Tabla4[[#This Row],[Mes]],Tabla6[#Headers],0)))*(1+Catalogos!$L$2)</f>
        <v>#N/A</v>
      </c>
      <c r="N1692" s="283" t="e">
        <f>+(Tabla4[[#This Row],[Precio Descontado]]-Tabla4[[#This Row],[Precio Base]])*Tabla4[[#This Row],[Cantidad]]</f>
        <v>#N/A</v>
      </c>
      <c r="O1692" s="284" t="e">
        <f>++Tabla4[[#This Row],[Utilidad Total]]/Tabla4[[#This Row],[Total]]</f>
        <v>#N/A</v>
      </c>
      <c r="P1692" s="282">
        <f>++Tabla4[[#This Row],[Precio Descontado]]*Tabla4[[#This Row],[Cantidad]]</f>
        <v>56935.073344799996</v>
      </c>
      <c r="Q1692" s="282" t="e">
        <f>(INDEX(Tabla6[#All],MATCH(Tabla4[[#This Row],[Producto]],Tabla6[[#All],[PRODUCTO]],0),MATCH(Tabla4[[#This Row],[Mes]],Tabla6[#Headers],0)))</f>
        <v>#N/A</v>
      </c>
      <c r="R1692" s="282" t="e">
        <f>++Tabla4[[#This Row],[Precio Unitario Neto]]-Tabla4[[#This Row],[20.85%]]-Tabla4[[#This Row],[Costo]]</f>
        <v>#N/A</v>
      </c>
      <c r="S1692" s="282" t="e">
        <f>++Tabla4[[#This Row],[U. Bruta Uni]]*Tabla4[[#This Row],[Cantidad]]</f>
        <v>#N/A</v>
      </c>
      <c r="T1692" s="369" t="str">
        <f>VLOOKUP(Tabla4[[#This Row],[Producto]],Tabla6[#All],14,FALSE)</f>
        <v>Termico Solar</v>
      </c>
      <c r="U1692" s="284" t="e">
        <f>(IF(Tabla4[[#This Row],[Familia]]="termico solar",Tabla4[[#This Row],[Utilidad Total]]*6%,Tabla4[[#This Row],[Utilidad Total]]*11.5%))/Tabla4[[#This Row],[Total]]</f>
        <v>#N/A</v>
      </c>
      <c r="V1692" s="282" t="e">
        <f>+Tabla4[[#This Row],[Comisión Calculada]]*Tabla4[[#This Row],[Total]]</f>
        <v>#N/A</v>
      </c>
    </row>
    <row r="1693" spans="1:22" hidden="1" x14ac:dyDescent="0.25">
      <c r="A1693" s="100">
        <v>45747</v>
      </c>
      <c r="B1693" t="str">
        <f t="shared" si="84"/>
        <v>March</v>
      </c>
      <c r="C1693" s="46" t="s">
        <v>280</v>
      </c>
      <c r="F1693" s="366" t="s">
        <v>1359</v>
      </c>
      <c r="G1693" s="46" t="s">
        <v>17</v>
      </c>
      <c r="H1693" s="46">
        <v>10</v>
      </c>
      <c r="I1693" s="51">
        <v>4622.2800000000007</v>
      </c>
      <c r="J1693" s="281">
        <f>++Tabla4[[#This Row],[Precio Bruto]]*1.16</f>
        <v>5361.8448000000008</v>
      </c>
      <c r="K1693" s="281">
        <f>+Tabla4[[#This Row],[Precio Unitario Neto]]*Tabla4[[#Headers],[20.85%]]</f>
        <v>1117.9446408000001</v>
      </c>
      <c r="L1693" s="282">
        <f>++Tabla4[[#This Row],[Precio Unitario Neto]]-Tabla4[[#This Row],[20.85%]]</f>
        <v>4243.9001592000004</v>
      </c>
      <c r="M1693" s="282" t="e">
        <f>(INDEX(Tabla6[#All],MATCH(Tabla4[[#This Row],[Producto]],Tabla6[[#All],[PRODUCTO]],0),MATCH(Tabla4[[#This Row],[Mes]],Tabla6[#Headers],0)))*(1+Catalogos!$L$2)</f>
        <v>#N/A</v>
      </c>
      <c r="N1693" s="283" t="e">
        <f>+(Tabla4[[#This Row],[Precio Descontado]]-Tabla4[[#This Row],[Precio Base]])*Tabla4[[#This Row],[Cantidad]]</f>
        <v>#N/A</v>
      </c>
      <c r="O1693" s="284" t="e">
        <f>++Tabla4[[#This Row],[Utilidad Total]]/Tabla4[[#This Row],[Total]]</f>
        <v>#N/A</v>
      </c>
      <c r="P1693" s="282">
        <f>++Tabla4[[#This Row],[Precio Descontado]]*Tabla4[[#This Row],[Cantidad]]</f>
        <v>42439.001592000001</v>
      </c>
      <c r="Q1693" s="282" t="e">
        <f>(INDEX(Tabla6[#All],MATCH(Tabla4[[#This Row],[Producto]],Tabla6[[#All],[PRODUCTO]],0),MATCH(Tabla4[[#This Row],[Mes]],Tabla6[#Headers],0)))</f>
        <v>#N/A</v>
      </c>
      <c r="R1693" s="282" t="e">
        <f>++Tabla4[[#This Row],[Precio Unitario Neto]]-Tabla4[[#This Row],[20.85%]]-Tabla4[[#This Row],[Costo]]</f>
        <v>#N/A</v>
      </c>
      <c r="S1693" s="282" t="e">
        <f>++Tabla4[[#This Row],[U. Bruta Uni]]*Tabla4[[#This Row],[Cantidad]]</f>
        <v>#N/A</v>
      </c>
      <c r="T1693" s="369" t="str">
        <f>VLOOKUP(Tabla4[[#This Row],[Producto]],Tabla6[#All],14,FALSE)</f>
        <v>Termico Solar</v>
      </c>
      <c r="U1693" s="284" t="e">
        <f>(IF(Tabla4[[#This Row],[Familia]]="termico solar",Tabla4[[#This Row],[Utilidad Total]]*6%,Tabla4[[#This Row],[Utilidad Total]]*11.5%))/Tabla4[[#This Row],[Total]]</f>
        <v>#N/A</v>
      </c>
      <c r="V1693" s="282" t="e">
        <f>+Tabla4[[#This Row],[Comisión Calculada]]*Tabla4[[#This Row],[Total]]</f>
        <v>#N/A</v>
      </c>
    </row>
    <row r="1694" spans="1:22" hidden="1" x14ac:dyDescent="0.25">
      <c r="A1694" s="100">
        <v>45747</v>
      </c>
      <c r="B1694" t="str">
        <f t="shared" si="84"/>
        <v>March</v>
      </c>
      <c r="C1694" s="46" t="s">
        <v>280</v>
      </c>
      <c r="F1694" s="366" t="s">
        <v>1359</v>
      </c>
      <c r="G1694" s="46" t="s">
        <v>18</v>
      </c>
      <c r="H1694" s="46">
        <v>9</v>
      </c>
      <c r="I1694" s="51">
        <v>5367.65</v>
      </c>
      <c r="J1694" s="281">
        <f>++Tabla4[[#This Row],[Precio Bruto]]*1.16</f>
        <v>6226.4739999999993</v>
      </c>
      <c r="K1694" s="281">
        <f>+Tabla4[[#This Row],[Precio Unitario Neto]]*Tabla4[[#Headers],[20.85%]]</f>
        <v>1298.2198289999999</v>
      </c>
      <c r="L1694" s="282">
        <f>++Tabla4[[#This Row],[Precio Unitario Neto]]-Tabla4[[#This Row],[20.85%]]</f>
        <v>4928.2541709999996</v>
      </c>
      <c r="M1694" s="282" t="e">
        <f>(INDEX(Tabla6[#All],MATCH(Tabla4[[#This Row],[Producto]],Tabla6[[#All],[PRODUCTO]],0),MATCH(Tabla4[[#This Row],[Mes]],Tabla6[#Headers],0)))*(1+Catalogos!$L$2)</f>
        <v>#N/A</v>
      </c>
      <c r="N1694" s="283" t="e">
        <f>+(Tabla4[[#This Row],[Precio Descontado]]-Tabla4[[#This Row],[Precio Base]])*Tabla4[[#This Row],[Cantidad]]</f>
        <v>#N/A</v>
      </c>
      <c r="O1694" s="284" t="e">
        <f>++Tabla4[[#This Row],[Utilidad Total]]/Tabla4[[#This Row],[Total]]</f>
        <v>#N/A</v>
      </c>
      <c r="P1694" s="282">
        <f>++Tabla4[[#This Row],[Precio Descontado]]*Tabla4[[#This Row],[Cantidad]]</f>
        <v>44354.287538999997</v>
      </c>
      <c r="Q1694" s="282" t="e">
        <f>(INDEX(Tabla6[#All],MATCH(Tabla4[[#This Row],[Producto]],Tabla6[[#All],[PRODUCTO]],0),MATCH(Tabla4[[#This Row],[Mes]],Tabla6[#Headers],0)))</f>
        <v>#N/A</v>
      </c>
      <c r="R1694" s="282" t="e">
        <f>++Tabla4[[#This Row],[Precio Unitario Neto]]-Tabla4[[#This Row],[20.85%]]-Tabla4[[#This Row],[Costo]]</f>
        <v>#N/A</v>
      </c>
      <c r="S1694" s="282" t="e">
        <f>++Tabla4[[#This Row],[U. Bruta Uni]]*Tabla4[[#This Row],[Cantidad]]</f>
        <v>#N/A</v>
      </c>
      <c r="T1694" s="369" t="str">
        <f>VLOOKUP(Tabla4[[#This Row],[Producto]],Tabla6[#All],14,FALSE)</f>
        <v>Termico Solar</v>
      </c>
      <c r="U1694" s="284" t="e">
        <f>(IF(Tabla4[[#This Row],[Familia]]="termico solar",Tabla4[[#This Row],[Utilidad Total]]*6%,Tabla4[[#This Row],[Utilidad Total]]*11.5%))/Tabla4[[#This Row],[Total]]</f>
        <v>#N/A</v>
      </c>
      <c r="V1694" s="282" t="e">
        <f>+Tabla4[[#This Row],[Comisión Calculada]]*Tabla4[[#This Row],[Total]]</f>
        <v>#N/A</v>
      </c>
    </row>
    <row r="1695" spans="1:22" hidden="1" x14ac:dyDescent="0.25">
      <c r="A1695" s="100">
        <v>45747</v>
      </c>
      <c r="B1695" t="str">
        <f t="shared" si="84"/>
        <v>March</v>
      </c>
      <c r="C1695" s="46" t="s">
        <v>280</v>
      </c>
      <c r="F1695" s="366" t="s">
        <v>1359</v>
      </c>
      <c r="G1695" s="46" t="s">
        <v>16</v>
      </c>
      <c r="H1695" s="46">
        <v>4</v>
      </c>
      <c r="I1695" s="51">
        <v>4103.8500000000004</v>
      </c>
      <c r="J1695" s="281">
        <f>++Tabla4[[#This Row],[Precio Bruto]]*1.16</f>
        <v>4760.4660000000003</v>
      </c>
      <c r="K1695" s="281">
        <f>+Tabla4[[#This Row],[Precio Unitario Neto]]*Tabla4[[#Headers],[20.85%]]</f>
        <v>992.55716100000006</v>
      </c>
      <c r="L1695" s="282">
        <f>++Tabla4[[#This Row],[Precio Unitario Neto]]-Tabla4[[#This Row],[20.85%]]</f>
        <v>3767.9088390000002</v>
      </c>
      <c r="M1695" s="282" t="e">
        <f>(INDEX(Tabla6[#All],MATCH(Tabla4[[#This Row],[Producto]],Tabla6[[#All],[PRODUCTO]],0),MATCH(Tabla4[[#This Row],[Mes]],Tabla6[#Headers],0)))*(1+Catalogos!$L$2)</f>
        <v>#N/A</v>
      </c>
      <c r="N1695" s="283" t="e">
        <f>+(Tabla4[[#This Row],[Precio Descontado]]-Tabla4[[#This Row],[Precio Base]])*Tabla4[[#This Row],[Cantidad]]</f>
        <v>#N/A</v>
      </c>
      <c r="O1695" s="284" t="e">
        <f>++Tabla4[[#This Row],[Utilidad Total]]/Tabla4[[#This Row],[Total]]</f>
        <v>#N/A</v>
      </c>
      <c r="P1695" s="282">
        <f>++Tabla4[[#This Row],[Precio Descontado]]*Tabla4[[#This Row],[Cantidad]]</f>
        <v>15071.635356000001</v>
      </c>
      <c r="Q1695" s="282" t="e">
        <f>(INDEX(Tabla6[#All],MATCH(Tabla4[[#This Row],[Producto]],Tabla6[[#All],[PRODUCTO]],0),MATCH(Tabla4[[#This Row],[Mes]],Tabla6[#Headers],0)))</f>
        <v>#N/A</v>
      </c>
      <c r="R1695" s="282" t="e">
        <f>++Tabla4[[#This Row],[Precio Unitario Neto]]-Tabla4[[#This Row],[20.85%]]-Tabla4[[#This Row],[Costo]]</f>
        <v>#N/A</v>
      </c>
      <c r="S1695" s="282" t="e">
        <f>++Tabla4[[#This Row],[U. Bruta Uni]]*Tabla4[[#This Row],[Cantidad]]</f>
        <v>#N/A</v>
      </c>
      <c r="T1695" s="369" t="str">
        <f>VLOOKUP(Tabla4[[#This Row],[Producto]],Tabla6[#All],14,FALSE)</f>
        <v>Termico Solar</v>
      </c>
      <c r="U1695" s="284" t="e">
        <f>(IF(Tabla4[[#This Row],[Familia]]="termico solar",Tabla4[[#This Row],[Utilidad Total]]*6%,Tabla4[[#This Row],[Utilidad Total]]*11.5%))/Tabla4[[#This Row],[Total]]</f>
        <v>#N/A</v>
      </c>
      <c r="V1695" s="282" t="e">
        <f>+Tabla4[[#This Row],[Comisión Calculada]]*Tabla4[[#This Row],[Total]]</f>
        <v>#N/A</v>
      </c>
    </row>
    <row r="1696" spans="1:22" hidden="1" x14ac:dyDescent="0.25">
      <c r="A1696" s="100">
        <v>45747</v>
      </c>
      <c r="B1696" t="str">
        <f t="shared" si="84"/>
        <v>March</v>
      </c>
      <c r="C1696" s="46" t="s">
        <v>280</v>
      </c>
      <c r="F1696" s="366" t="s">
        <v>1360</v>
      </c>
      <c r="G1696" s="46" t="s">
        <v>18</v>
      </c>
      <c r="H1696" s="46">
        <v>1</v>
      </c>
      <c r="I1696" s="51">
        <v>5367.65</v>
      </c>
      <c r="J1696" s="281">
        <f>++Tabla4[[#This Row],[Precio Bruto]]*1.16</f>
        <v>6226.4739999999993</v>
      </c>
      <c r="K1696" s="281">
        <f>+Tabla4[[#This Row],[Precio Unitario Neto]]*Tabla4[[#Headers],[20.85%]]</f>
        <v>1298.2198289999999</v>
      </c>
      <c r="L1696" s="282">
        <f>++Tabla4[[#This Row],[Precio Unitario Neto]]-Tabla4[[#This Row],[20.85%]]</f>
        <v>4928.2541709999996</v>
      </c>
      <c r="M1696" s="282" t="e">
        <f>(INDEX(Tabla6[#All],MATCH(Tabla4[[#This Row],[Producto]],Tabla6[[#All],[PRODUCTO]],0),MATCH(Tabla4[[#This Row],[Mes]],Tabla6[#Headers],0)))*(1+Catalogos!$L$2)</f>
        <v>#N/A</v>
      </c>
      <c r="N1696" s="283" t="e">
        <f>+(Tabla4[[#This Row],[Precio Descontado]]-Tabla4[[#This Row],[Precio Base]])*Tabla4[[#This Row],[Cantidad]]</f>
        <v>#N/A</v>
      </c>
      <c r="O1696" s="284" t="e">
        <f>++Tabla4[[#This Row],[Utilidad Total]]/Tabla4[[#This Row],[Total]]</f>
        <v>#N/A</v>
      </c>
      <c r="P1696" s="282">
        <f>++Tabla4[[#This Row],[Precio Descontado]]*Tabla4[[#This Row],[Cantidad]]</f>
        <v>4928.2541709999996</v>
      </c>
      <c r="Q1696" s="282" t="e">
        <f>(INDEX(Tabla6[#All],MATCH(Tabla4[[#This Row],[Producto]],Tabla6[[#All],[PRODUCTO]],0),MATCH(Tabla4[[#This Row],[Mes]],Tabla6[#Headers],0)))</f>
        <v>#N/A</v>
      </c>
      <c r="R1696" s="282" t="e">
        <f>++Tabla4[[#This Row],[Precio Unitario Neto]]-Tabla4[[#This Row],[20.85%]]-Tabla4[[#This Row],[Costo]]</f>
        <v>#N/A</v>
      </c>
      <c r="S1696" s="282" t="e">
        <f>++Tabla4[[#This Row],[U. Bruta Uni]]*Tabla4[[#This Row],[Cantidad]]</f>
        <v>#N/A</v>
      </c>
      <c r="T1696" s="369" t="str">
        <f>VLOOKUP(Tabla4[[#This Row],[Producto]],Tabla6[#All],14,FALSE)</f>
        <v>Termico Solar</v>
      </c>
      <c r="U1696" s="284" t="e">
        <f>(IF(Tabla4[[#This Row],[Familia]]="termico solar",Tabla4[[#This Row],[Utilidad Total]]*6%,Tabla4[[#This Row],[Utilidad Total]]*11.5%))/Tabla4[[#This Row],[Total]]</f>
        <v>#N/A</v>
      </c>
      <c r="V1696" s="282" t="e">
        <f>+Tabla4[[#This Row],[Comisión Calculada]]*Tabla4[[#This Row],[Total]]</f>
        <v>#N/A</v>
      </c>
    </row>
    <row r="1697" spans="1:22" hidden="1" x14ac:dyDescent="0.25">
      <c r="A1697" s="100">
        <v>45747</v>
      </c>
      <c r="B1697" t="str">
        <f t="shared" si="84"/>
        <v>March</v>
      </c>
      <c r="C1697" s="46" t="s">
        <v>280</v>
      </c>
      <c r="F1697" s="366" t="s">
        <v>1361</v>
      </c>
      <c r="G1697" s="46" t="s">
        <v>83</v>
      </c>
      <c r="H1697" s="46">
        <v>1</v>
      </c>
      <c r="I1697" s="51">
        <v>8858.76</v>
      </c>
      <c r="J1697" s="281">
        <f>++Tabla4[[#This Row],[Precio Bruto]]*1.16</f>
        <v>10276.161599999999</v>
      </c>
      <c r="K1697" s="281">
        <f>+Tabla4[[#This Row],[Precio Unitario Neto]]*Tabla4[[#Headers],[20.85%]]</f>
        <v>2142.5796935999997</v>
      </c>
      <c r="L1697" s="282">
        <f>++Tabla4[[#This Row],[Precio Unitario Neto]]-Tabla4[[#This Row],[20.85%]]</f>
        <v>8133.5819063999998</v>
      </c>
      <c r="M1697" s="282" t="e">
        <f>(INDEX(Tabla6[#All],MATCH(Tabla4[[#This Row],[Producto]],Tabla6[[#All],[PRODUCTO]],0),MATCH(Tabla4[[#This Row],[Mes]],Tabla6[#Headers],0)))*(1+Catalogos!$L$2)</f>
        <v>#N/A</v>
      </c>
      <c r="N1697" s="283" t="e">
        <f>+(Tabla4[[#This Row],[Precio Descontado]]-Tabla4[[#This Row],[Precio Base]])*Tabla4[[#This Row],[Cantidad]]</f>
        <v>#N/A</v>
      </c>
      <c r="O1697" s="284" t="e">
        <f>++Tabla4[[#This Row],[Utilidad Total]]/Tabla4[[#This Row],[Total]]</f>
        <v>#N/A</v>
      </c>
      <c r="P1697" s="282">
        <f>++Tabla4[[#This Row],[Precio Descontado]]*Tabla4[[#This Row],[Cantidad]]</f>
        <v>8133.5819063999998</v>
      </c>
      <c r="Q1697" s="282" t="e">
        <f>(INDEX(Tabla6[#All],MATCH(Tabla4[[#This Row],[Producto]],Tabla6[[#All],[PRODUCTO]],0),MATCH(Tabla4[[#This Row],[Mes]],Tabla6[#Headers],0)))</f>
        <v>#N/A</v>
      </c>
      <c r="R1697" s="282" t="e">
        <f>++Tabla4[[#This Row],[Precio Unitario Neto]]-Tabla4[[#This Row],[20.85%]]-Tabla4[[#This Row],[Costo]]</f>
        <v>#N/A</v>
      </c>
      <c r="S1697" s="282" t="e">
        <f>++Tabla4[[#This Row],[U. Bruta Uni]]*Tabla4[[#This Row],[Cantidad]]</f>
        <v>#N/A</v>
      </c>
      <c r="T1697" s="369" t="str">
        <f>VLOOKUP(Tabla4[[#This Row],[Producto]],Tabla6[#All],14,FALSE)</f>
        <v>Termico Solar</v>
      </c>
      <c r="U1697" s="284" t="e">
        <f>(IF(Tabla4[[#This Row],[Familia]]="termico solar",Tabla4[[#This Row],[Utilidad Total]]*6%,Tabla4[[#This Row],[Utilidad Total]]*11.5%))/Tabla4[[#This Row],[Total]]</f>
        <v>#N/A</v>
      </c>
      <c r="V1697" s="282" t="e">
        <f>+Tabla4[[#This Row],[Comisión Calculada]]*Tabla4[[#This Row],[Total]]</f>
        <v>#N/A</v>
      </c>
    </row>
    <row r="1698" spans="1:22" hidden="1" x14ac:dyDescent="0.25">
      <c r="A1698" s="100">
        <v>45747</v>
      </c>
      <c r="B1698" t="str">
        <f t="shared" si="84"/>
        <v>March</v>
      </c>
      <c r="C1698" s="46" t="s">
        <v>280</v>
      </c>
      <c r="F1698" s="366" t="s">
        <v>1361</v>
      </c>
      <c r="G1698" s="46" t="s">
        <v>17</v>
      </c>
      <c r="H1698" s="46">
        <v>2</v>
      </c>
      <c r="I1698" s="51">
        <v>4622.28</v>
      </c>
      <c r="J1698" s="281">
        <f>++Tabla4[[#This Row],[Precio Bruto]]*1.16</f>
        <v>5361.8447999999989</v>
      </c>
      <c r="K1698" s="281">
        <f>+Tabla4[[#This Row],[Precio Unitario Neto]]*Tabla4[[#Headers],[20.85%]]</f>
        <v>1117.9446407999997</v>
      </c>
      <c r="L1698" s="282">
        <f>++Tabla4[[#This Row],[Precio Unitario Neto]]-Tabla4[[#This Row],[20.85%]]</f>
        <v>4243.9001591999995</v>
      </c>
      <c r="M1698" s="282" t="e">
        <f>(INDEX(Tabla6[#All],MATCH(Tabla4[[#This Row],[Producto]],Tabla6[[#All],[PRODUCTO]],0),MATCH(Tabla4[[#This Row],[Mes]],Tabla6[#Headers],0)))*(1+Catalogos!$L$2)</f>
        <v>#N/A</v>
      </c>
      <c r="N1698" s="283" t="e">
        <f>+(Tabla4[[#This Row],[Precio Descontado]]-Tabla4[[#This Row],[Precio Base]])*Tabla4[[#This Row],[Cantidad]]</f>
        <v>#N/A</v>
      </c>
      <c r="O1698" s="284" t="e">
        <f>++Tabla4[[#This Row],[Utilidad Total]]/Tabla4[[#This Row],[Total]]</f>
        <v>#N/A</v>
      </c>
      <c r="P1698" s="282">
        <f>++Tabla4[[#This Row],[Precio Descontado]]*Tabla4[[#This Row],[Cantidad]]</f>
        <v>8487.800318399999</v>
      </c>
      <c r="Q1698" s="282" t="e">
        <f>(INDEX(Tabla6[#All],MATCH(Tabla4[[#This Row],[Producto]],Tabla6[[#All],[PRODUCTO]],0),MATCH(Tabla4[[#This Row],[Mes]],Tabla6[#Headers],0)))</f>
        <v>#N/A</v>
      </c>
      <c r="R1698" s="282" t="e">
        <f>++Tabla4[[#This Row],[Precio Unitario Neto]]-Tabla4[[#This Row],[20.85%]]-Tabla4[[#This Row],[Costo]]</f>
        <v>#N/A</v>
      </c>
      <c r="S1698" s="282" t="e">
        <f>++Tabla4[[#This Row],[U. Bruta Uni]]*Tabla4[[#This Row],[Cantidad]]</f>
        <v>#N/A</v>
      </c>
      <c r="T1698" s="369" t="str">
        <f>VLOOKUP(Tabla4[[#This Row],[Producto]],Tabla6[#All],14,FALSE)</f>
        <v>Termico Solar</v>
      </c>
      <c r="U1698" s="284" t="e">
        <f>(IF(Tabla4[[#This Row],[Familia]]="termico solar",Tabla4[[#This Row],[Utilidad Total]]*6%,Tabla4[[#This Row],[Utilidad Total]]*11.5%))/Tabla4[[#This Row],[Total]]</f>
        <v>#N/A</v>
      </c>
      <c r="V1698" s="282" t="e">
        <f>+Tabla4[[#This Row],[Comisión Calculada]]*Tabla4[[#This Row],[Total]]</f>
        <v>#N/A</v>
      </c>
    </row>
    <row r="1699" spans="1:22" hidden="1" x14ac:dyDescent="0.25">
      <c r="A1699" s="100">
        <v>45747</v>
      </c>
      <c r="B1699" t="str">
        <f t="shared" si="84"/>
        <v>March</v>
      </c>
      <c r="C1699" s="46" t="s">
        <v>280</v>
      </c>
      <c r="F1699" s="366" t="s">
        <v>1361</v>
      </c>
      <c r="G1699" s="46" t="s">
        <v>18</v>
      </c>
      <c r="H1699" s="46">
        <v>2</v>
      </c>
      <c r="I1699" s="51">
        <v>5367.65</v>
      </c>
      <c r="J1699" s="281">
        <f>++Tabla4[[#This Row],[Precio Bruto]]*1.16</f>
        <v>6226.4739999999993</v>
      </c>
      <c r="K1699" s="281">
        <f>+Tabla4[[#This Row],[Precio Unitario Neto]]*Tabla4[[#Headers],[20.85%]]</f>
        <v>1298.2198289999999</v>
      </c>
      <c r="L1699" s="282">
        <f>++Tabla4[[#This Row],[Precio Unitario Neto]]-Tabla4[[#This Row],[20.85%]]</f>
        <v>4928.2541709999996</v>
      </c>
      <c r="M1699" s="282" t="e">
        <f>(INDEX(Tabla6[#All],MATCH(Tabla4[[#This Row],[Producto]],Tabla6[[#All],[PRODUCTO]],0),MATCH(Tabla4[[#This Row],[Mes]],Tabla6[#Headers],0)))*(1+Catalogos!$L$2)</f>
        <v>#N/A</v>
      </c>
      <c r="N1699" s="283" t="e">
        <f>+(Tabla4[[#This Row],[Precio Descontado]]-Tabla4[[#This Row],[Precio Base]])*Tabla4[[#This Row],[Cantidad]]</f>
        <v>#N/A</v>
      </c>
      <c r="O1699" s="284" t="e">
        <f>++Tabla4[[#This Row],[Utilidad Total]]/Tabla4[[#This Row],[Total]]</f>
        <v>#N/A</v>
      </c>
      <c r="P1699" s="282">
        <f>++Tabla4[[#This Row],[Precio Descontado]]*Tabla4[[#This Row],[Cantidad]]</f>
        <v>9856.5083419999992</v>
      </c>
      <c r="Q1699" s="282" t="e">
        <f>(INDEX(Tabla6[#All],MATCH(Tabla4[[#This Row],[Producto]],Tabla6[[#All],[PRODUCTO]],0),MATCH(Tabla4[[#This Row],[Mes]],Tabla6[#Headers],0)))</f>
        <v>#N/A</v>
      </c>
      <c r="R1699" s="282" t="e">
        <f>++Tabla4[[#This Row],[Precio Unitario Neto]]-Tabla4[[#This Row],[20.85%]]-Tabla4[[#This Row],[Costo]]</f>
        <v>#N/A</v>
      </c>
      <c r="S1699" s="282" t="e">
        <f>++Tabla4[[#This Row],[U. Bruta Uni]]*Tabla4[[#This Row],[Cantidad]]</f>
        <v>#N/A</v>
      </c>
      <c r="T1699" s="369" t="str">
        <f>VLOOKUP(Tabla4[[#This Row],[Producto]],Tabla6[#All],14,FALSE)</f>
        <v>Termico Solar</v>
      </c>
      <c r="U1699" s="284" t="e">
        <f>(IF(Tabla4[[#This Row],[Familia]]="termico solar",Tabla4[[#This Row],[Utilidad Total]]*6%,Tabla4[[#This Row],[Utilidad Total]]*11.5%))/Tabla4[[#This Row],[Total]]</f>
        <v>#N/A</v>
      </c>
      <c r="V1699" s="282" t="e">
        <f>+Tabla4[[#This Row],[Comisión Calculada]]*Tabla4[[#This Row],[Total]]</f>
        <v>#N/A</v>
      </c>
    </row>
    <row r="1700" spans="1:22" hidden="1" x14ac:dyDescent="0.25">
      <c r="A1700" s="100">
        <v>45747</v>
      </c>
      <c r="B1700" t="str">
        <f t="shared" si="84"/>
        <v>March</v>
      </c>
      <c r="C1700" s="46" t="s">
        <v>280</v>
      </c>
      <c r="F1700" s="366" t="s">
        <v>1361</v>
      </c>
      <c r="G1700" s="46" t="s">
        <v>566</v>
      </c>
      <c r="H1700" s="46">
        <v>1</v>
      </c>
      <c r="I1700" s="51">
        <v>2109.4499999999998</v>
      </c>
      <c r="J1700" s="281">
        <f>++Tabla4[[#This Row],[Precio Bruto]]*1.16</f>
        <v>2446.9619999999995</v>
      </c>
      <c r="K1700" s="281">
        <f>+Tabla4[[#This Row],[Precio Unitario Neto]]*Tabla4[[#Headers],[20.85%]]</f>
        <v>510.19157699999988</v>
      </c>
      <c r="L1700" s="282">
        <f>++Tabla4[[#This Row],[Precio Unitario Neto]]-Tabla4[[#This Row],[20.85%]]</f>
        <v>1936.7704229999997</v>
      </c>
      <c r="M1700" s="282" t="e">
        <f>(INDEX(Tabla6[#All],MATCH(Tabla4[[#This Row],[Producto]],Tabla6[[#All],[PRODUCTO]],0),MATCH(Tabla4[[#This Row],[Mes]],Tabla6[#Headers],0)))*(1+Catalogos!$L$2)</f>
        <v>#N/A</v>
      </c>
      <c r="N1700" s="283" t="e">
        <f>+(Tabla4[[#This Row],[Precio Descontado]]-Tabla4[[#This Row],[Precio Base]])*Tabla4[[#This Row],[Cantidad]]</f>
        <v>#N/A</v>
      </c>
      <c r="O1700" s="284" t="e">
        <f>++Tabla4[[#This Row],[Utilidad Total]]/Tabla4[[#This Row],[Total]]</f>
        <v>#N/A</v>
      </c>
      <c r="P1700" s="282">
        <f>++Tabla4[[#This Row],[Precio Descontado]]*Tabla4[[#This Row],[Cantidad]]</f>
        <v>1936.7704229999997</v>
      </c>
      <c r="Q1700" s="282" t="e">
        <f>(INDEX(Tabla6[#All],MATCH(Tabla4[[#This Row],[Producto]],Tabla6[[#All],[PRODUCTO]],0),MATCH(Tabla4[[#This Row],[Mes]],Tabla6[#Headers],0)))</f>
        <v>#N/A</v>
      </c>
      <c r="R1700" s="282" t="e">
        <f>++Tabla4[[#This Row],[Precio Unitario Neto]]-Tabla4[[#This Row],[20.85%]]-Tabla4[[#This Row],[Costo]]</f>
        <v>#N/A</v>
      </c>
      <c r="S1700" s="282" t="e">
        <f>++Tabla4[[#This Row],[U. Bruta Uni]]*Tabla4[[#This Row],[Cantidad]]</f>
        <v>#N/A</v>
      </c>
      <c r="T1700" s="369" t="str">
        <f>VLOOKUP(Tabla4[[#This Row],[Producto]],Tabla6[#All],14,FALSE)</f>
        <v>Termico Solar</v>
      </c>
      <c r="U1700" s="284" t="e">
        <f>(IF(Tabla4[[#This Row],[Familia]]="termico solar",Tabla4[[#This Row],[Utilidad Total]]*6%,Tabla4[[#This Row],[Utilidad Total]]*11.5%))/Tabla4[[#This Row],[Total]]</f>
        <v>#N/A</v>
      </c>
      <c r="V1700" s="282" t="e">
        <f>+Tabla4[[#This Row],[Comisión Calculada]]*Tabla4[[#This Row],[Total]]</f>
        <v>#N/A</v>
      </c>
    </row>
    <row r="1701" spans="1:22" hidden="1" x14ac:dyDescent="0.25">
      <c r="A1701" s="100">
        <v>45747</v>
      </c>
      <c r="B1701" t="str">
        <f t="shared" si="84"/>
        <v>March</v>
      </c>
      <c r="C1701" s="46" t="s">
        <v>280</v>
      </c>
      <c r="F1701" s="366" t="s">
        <v>1361</v>
      </c>
      <c r="G1701" s="46" t="s">
        <v>16</v>
      </c>
      <c r="H1701" s="46">
        <v>2</v>
      </c>
      <c r="I1701" s="51">
        <v>4103.8500000000004</v>
      </c>
      <c r="J1701" s="281">
        <f>++Tabla4[[#This Row],[Precio Bruto]]*1.16</f>
        <v>4760.4660000000003</v>
      </c>
      <c r="K1701" s="281">
        <f>+Tabla4[[#This Row],[Precio Unitario Neto]]*Tabla4[[#Headers],[20.85%]]</f>
        <v>992.55716100000006</v>
      </c>
      <c r="L1701" s="282">
        <f>++Tabla4[[#This Row],[Precio Unitario Neto]]-Tabla4[[#This Row],[20.85%]]</f>
        <v>3767.9088390000002</v>
      </c>
      <c r="M1701" s="282" t="e">
        <f>(INDEX(Tabla6[#All],MATCH(Tabla4[[#This Row],[Producto]],Tabla6[[#All],[PRODUCTO]],0),MATCH(Tabla4[[#This Row],[Mes]],Tabla6[#Headers],0)))*(1+Catalogos!$L$2)</f>
        <v>#N/A</v>
      </c>
      <c r="N1701" s="283" t="e">
        <f>+(Tabla4[[#This Row],[Precio Descontado]]-Tabla4[[#This Row],[Precio Base]])*Tabla4[[#This Row],[Cantidad]]</f>
        <v>#N/A</v>
      </c>
      <c r="O1701" s="284" t="e">
        <f>++Tabla4[[#This Row],[Utilidad Total]]/Tabla4[[#This Row],[Total]]</f>
        <v>#N/A</v>
      </c>
      <c r="P1701" s="282">
        <f>++Tabla4[[#This Row],[Precio Descontado]]*Tabla4[[#This Row],[Cantidad]]</f>
        <v>7535.8176780000003</v>
      </c>
      <c r="Q1701" s="282" t="e">
        <f>(INDEX(Tabla6[#All],MATCH(Tabla4[[#This Row],[Producto]],Tabla6[[#All],[PRODUCTO]],0),MATCH(Tabla4[[#This Row],[Mes]],Tabla6[#Headers],0)))</f>
        <v>#N/A</v>
      </c>
      <c r="R1701" s="282" t="e">
        <f>++Tabla4[[#This Row],[Precio Unitario Neto]]-Tabla4[[#This Row],[20.85%]]-Tabla4[[#This Row],[Costo]]</f>
        <v>#N/A</v>
      </c>
      <c r="S1701" s="282" t="e">
        <f>++Tabla4[[#This Row],[U. Bruta Uni]]*Tabla4[[#This Row],[Cantidad]]</f>
        <v>#N/A</v>
      </c>
      <c r="T1701" s="369" t="str">
        <f>VLOOKUP(Tabla4[[#This Row],[Producto]],Tabla6[#All],14,FALSE)</f>
        <v>Termico Solar</v>
      </c>
      <c r="U1701" s="284" t="e">
        <f>(IF(Tabla4[[#This Row],[Familia]]="termico solar",Tabla4[[#This Row],[Utilidad Total]]*6%,Tabla4[[#This Row],[Utilidad Total]]*11.5%))/Tabla4[[#This Row],[Total]]</f>
        <v>#N/A</v>
      </c>
      <c r="V1701" s="282" t="e">
        <f>+Tabla4[[#This Row],[Comisión Calculada]]*Tabla4[[#This Row],[Total]]</f>
        <v>#N/A</v>
      </c>
    </row>
    <row r="1702" spans="1:22" hidden="1" x14ac:dyDescent="0.25">
      <c r="A1702" s="100">
        <v>45747</v>
      </c>
      <c r="B1702" t="str">
        <f t="shared" si="84"/>
        <v>March</v>
      </c>
      <c r="C1702" s="46" t="s">
        <v>280</v>
      </c>
      <c r="F1702" s="366" t="s">
        <v>1362</v>
      </c>
      <c r="G1702" s="46" t="s">
        <v>83</v>
      </c>
      <c r="H1702" s="46">
        <v>6</v>
      </c>
      <c r="I1702" s="51">
        <v>8858.76</v>
      </c>
      <c r="J1702" s="281">
        <f>++Tabla4[[#This Row],[Precio Bruto]]*1.16</f>
        <v>10276.161599999999</v>
      </c>
      <c r="K1702" s="281">
        <f>+Tabla4[[#This Row],[Precio Unitario Neto]]*Tabla4[[#Headers],[20.85%]]</f>
        <v>2142.5796935999997</v>
      </c>
      <c r="L1702" s="282">
        <f>++Tabla4[[#This Row],[Precio Unitario Neto]]-Tabla4[[#This Row],[20.85%]]</f>
        <v>8133.5819063999998</v>
      </c>
      <c r="M1702" s="282" t="e">
        <f>(INDEX(Tabla6[#All],MATCH(Tabla4[[#This Row],[Producto]],Tabla6[[#All],[PRODUCTO]],0),MATCH(Tabla4[[#This Row],[Mes]],Tabla6[#Headers],0)))*(1+Catalogos!$L$2)</f>
        <v>#N/A</v>
      </c>
      <c r="N1702" s="283" t="e">
        <f>+(Tabla4[[#This Row],[Precio Descontado]]-Tabla4[[#This Row],[Precio Base]])*Tabla4[[#This Row],[Cantidad]]</f>
        <v>#N/A</v>
      </c>
      <c r="O1702" s="284" t="e">
        <f>++Tabla4[[#This Row],[Utilidad Total]]/Tabla4[[#This Row],[Total]]</f>
        <v>#N/A</v>
      </c>
      <c r="P1702" s="282">
        <f>++Tabla4[[#This Row],[Precio Descontado]]*Tabla4[[#This Row],[Cantidad]]</f>
        <v>48801.4914384</v>
      </c>
      <c r="Q1702" s="282" t="e">
        <f>(INDEX(Tabla6[#All],MATCH(Tabla4[[#This Row],[Producto]],Tabla6[[#All],[PRODUCTO]],0),MATCH(Tabla4[[#This Row],[Mes]],Tabla6[#Headers],0)))</f>
        <v>#N/A</v>
      </c>
      <c r="R1702" s="282" t="e">
        <f>++Tabla4[[#This Row],[Precio Unitario Neto]]-Tabla4[[#This Row],[20.85%]]-Tabla4[[#This Row],[Costo]]</f>
        <v>#N/A</v>
      </c>
      <c r="S1702" s="282" t="e">
        <f>++Tabla4[[#This Row],[U. Bruta Uni]]*Tabla4[[#This Row],[Cantidad]]</f>
        <v>#N/A</v>
      </c>
      <c r="T1702" s="369" t="str">
        <f>VLOOKUP(Tabla4[[#This Row],[Producto]],Tabla6[#All],14,FALSE)</f>
        <v>Termico Solar</v>
      </c>
      <c r="U1702" s="284" t="e">
        <f>(IF(Tabla4[[#This Row],[Familia]]="termico solar",Tabla4[[#This Row],[Utilidad Total]]*6%,Tabla4[[#This Row],[Utilidad Total]]*11.5%))/Tabla4[[#This Row],[Total]]</f>
        <v>#N/A</v>
      </c>
      <c r="V1702" s="282" t="e">
        <f>+Tabla4[[#This Row],[Comisión Calculada]]*Tabla4[[#This Row],[Total]]</f>
        <v>#N/A</v>
      </c>
    </row>
    <row r="1703" spans="1:22" hidden="1" x14ac:dyDescent="0.25">
      <c r="A1703" s="100">
        <v>45747</v>
      </c>
      <c r="B1703" t="str">
        <f t="shared" si="84"/>
        <v>March</v>
      </c>
      <c r="C1703" s="46" t="s">
        <v>280</v>
      </c>
      <c r="F1703" s="366" t="s">
        <v>1362</v>
      </c>
      <c r="G1703" s="46" t="s">
        <v>16</v>
      </c>
      <c r="H1703" s="46">
        <v>2</v>
      </c>
      <c r="I1703" s="51">
        <v>4103.8500000000004</v>
      </c>
      <c r="J1703" s="281">
        <f>++Tabla4[[#This Row],[Precio Bruto]]*1.16</f>
        <v>4760.4660000000003</v>
      </c>
      <c r="K1703" s="281">
        <f>+Tabla4[[#This Row],[Precio Unitario Neto]]*Tabla4[[#Headers],[20.85%]]</f>
        <v>992.55716100000006</v>
      </c>
      <c r="L1703" s="282">
        <f>++Tabla4[[#This Row],[Precio Unitario Neto]]-Tabla4[[#This Row],[20.85%]]</f>
        <v>3767.9088390000002</v>
      </c>
      <c r="M1703" s="282" t="e">
        <f>(INDEX(Tabla6[#All],MATCH(Tabla4[[#This Row],[Producto]],Tabla6[[#All],[PRODUCTO]],0),MATCH(Tabla4[[#This Row],[Mes]],Tabla6[#Headers],0)))*(1+Catalogos!$L$2)</f>
        <v>#N/A</v>
      </c>
      <c r="N1703" s="283" t="e">
        <f>+(Tabla4[[#This Row],[Precio Descontado]]-Tabla4[[#This Row],[Precio Base]])*Tabla4[[#This Row],[Cantidad]]</f>
        <v>#N/A</v>
      </c>
      <c r="O1703" s="284" t="e">
        <f>++Tabla4[[#This Row],[Utilidad Total]]/Tabla4[[#This Row],[Total]]</f>
        <v>#N/A</v>
      </c>
      <c r="P1703" s="282">
        <f>++Tabla4[[#This Row],[Precio Descontado]]*Tabla4[[#This Row],[Cantidad]]</f>
        <v>7535.8176780000003</v>
      </c>
      <c r="Q1703" s="282" t="e">
        <f>(INDEX(Tabla6[#All],MATCH(Tabla4[[#This Row],[Producto]],Tabla6[[#All],[PRODUCTO]],0),MATCH(Tabla4[[#This Row],[Mes]],Tabla6[#Headers],0)))</f>
        <v>#N/A</v>
      </c>
      <c r="R1703" s="282" t="e">
        <f>++Tabla4[[#This Row],[Precio Unitario Neto]]-Tabla4[[#This Row],[20.85%]]-Tabla4[[#This Row],[Costo]]</f>
        <v>#N/A</v>
      </c>
      <c r="S1703" s="282" t="e">
        <f>++Tabla4[[#This Row],[U. Bruta Uni]]*Tabla4[[#This Row],[Cantidad]]</f>
        <v>#N/A</v>
      </c>
      <c r="T1703" s="369" t="str">
        <f>VLOOKUP(Tabla4[[#This Row],[Producto]],Tabla6[#All],14,FALSE)</f>
        <v>Termico Solar</v>
      </c>
      <c r="U1703" s="284" t="e">
        <f>(IF(Tabla4[[#This Row],[Familia]]="termico solar",Tabla4[[#This Row],[Utilidad Total]]*6%,Tabla4[[#This Row],[Utilidad Total]]*11.5%))/Tabla4[[#This Row],[Total]]</f>
        <v>#N/A</v>
      </c>
      <c r="V1703" s="282" t="e">
        <f>+Tabla4[[#This Row],[Comisión Calculada]]*Tabla4[[#This Row],[Total]]</f>
        <v>#N/A</v>
      </c>
    </row>
    <row r="1704" spans="1:22" hidden="1" x14ac:dyDescent="0.25">
      <c r="A1704" s="100">
        <v>45747</v>
      </c>
      <c r="B1704" t="str">
        <f t="shared" si="84"/>
        <v>March</v>
      </c>
      <c r="C1704" s="46" t="s">
        <v>280</v>
      </c>
      <c r="F1704" s="366" t="s">
        <v>1362</v>
      </c>
      <c r="G1704" s="46" t="s">
        <v>208</v>
      </c>
      <c r="H1704" s="46">
        <v>2</v>
      </c>
      <c r="I1704" s="51">
        <v>189.75</v>
      </c>
      <c r="J1704" s="281">
        <f>++Tabla4[[#This Row],[Precio Bruto]]*1.16</f>
        <v>220.10999999999999</v>
      </c>
      <c r="K1704" s="281">
        <f>+Tabla4[[#This Row],[Precio Unitario Neto]]*Tabla4[[#Headers],[20.85%]]</f>
        <v>45.892934999999994</v>
      </c>
      <c r="L1704" s="282">
        <f>++Tabla4[[#This Row],[Precio Unitario Neto]]-Tabla4[[#This Row],[20.85%]]</f>
        <v>174.21706499999999</v>
      </c>
      <c r="M1704" s="282" t="e">
        <f>(INDEX(Tabla6[#All],MATCH(Tabla4[[#This Row],[Producto]],Tabla6[[#All],[PRODUCTO]],0),MATCH(Tabla4[[#This Row],[Mes]],Tabla6[#Headers],0)))*(1+Catalogos!$L$2)</f>
        <v>#N/A</v>
      </c>
      <c r="N1704" s="283" t="e">
        <f>+(Tabla4[[#This Row],[Precio Descontado]]-Tabla4[[#This Row],[Precio Base]])*Tabla4[[#This Row],[Cantidad]]</f>
        <v>#N/A</v>
      </c>
      <c r="O1704" s="284" t="e">
        <f>++Tabla4[[#This Row],[Utilidad Total]]/Tabla4[[#This Row],[Total]]</f>
        <v>#N/A</v>
      </c>
      <c r="P1704" s="282">
        <f>++Tabla4[[#This Row],[Precio Descontado]]*Tabla4[[#This Row],[Cantidad]]</f>
        <v>348.43412999999998</v>
      </c>
      <c r="Q1704" s="282" t="e">
        <f>(INDEX(Tabla6[#All],MATCH(Tabla4[[#This Row],[Producto]],Tabla6[[#All],[PRODUCTO]],0),MATCH(Tabla4[[#This Row],[Mes]],Tabla6[#Headers],0)))</f>
        <v>#N/A</v>
      </c>
      <c r="R1704" s="282" t="e">
        <f>++Tabla4[[#This Row],[Precio Unitario Neto]]-Tabla4[[#This Row],[20.85%]]-Tabla4[[#This Row],[Costo]]</f>
        <v>#N/A</v>
      </c>
      <c r="S1704" s="282" t="e">
        <f>++Tabla4[[#This Row],[U. Bruta Uni]]*Tabla4[[#This Row],[Cantidad]]</f>
        <v>#N/A</v>
      </c>
      <c r="T1704" s="369" t="str">
        <f>VLOOKUP(Tabla4[[#This Row],[Producto]],Tabla6[#All],14,FALSE)</f>
        <v>Termico Solar</v>
      </c>
      <c r="U1704" s="284" t="e">
        <f>(IF(Tabla4[[#This Row],[Familia]]="termico solar",Tabla4[[#This Row],[Utilidad Total]]*6%,Tabla4[[#This Row],[Utilidad Total]]*11.5%))/Tabla4[[#This Row],[Total]]</f>
        <v>#N/A</v>
      </c>
      <c r="V1704" s="282" t="e">
        <f>+Tabla4[[#This Row],[Comisión Calculada]]*Tabla4[[#This Row],[Total]]</f>
        <v>#N/A</v>
      </c>
    </row>
    <row r="1705" spans="1:22" hidden="1" x14ac:dyDescent="0.25">
      <c r="A1705" s="100">
        <v>45747</v>
      </c>
      <c r="B1705" t="str">
        <f t="shared" si="84"/>
        <v>March</v>
      </c>
      <c r="C1705" s="46" t="s">
        <v>280</v>
      </c>
      <c r="F1705" s="366" t="s">
        <v>1363</v>
      </c>
      <c r="G1705" s="46" t="s">
        <v>18</v>
      </c>
      <c r="H1705" s="46">
        <v>1</v>
      </c>
      <c r="I1705" s="51">
        <v>5367.65</v>
      </c>
      <c r="J1705" s="281">
        <f>++Tabla4[[#This Row],[Precio Bruto]]*1.16</f>
        <v>6226.4739999999993</v>
      </c>
      <c r="K1705" s="281">
        <f>+Tabla4[[#This Row],[Precio Unitario Neto]]*Tabla4[[#Headers],[20.85%]]</f>
        <v>1298.2198289999999</v>
      </c>
      <c r="L1705" s="282">
        <f>++Tabla4[[#This Row],[Precio Unitario Neto]]-Tabla4[[#This Row],[20.85%]]</f>
        <v>4928.2541709999996</v>
      </c>
      <c r="M1705" s="282" t="e">
        <f>(INDEX(Tabla6[#All],MATCH(Tabla4[[#This Row],[Producto]],Tabla6[[#All],[PRODUCTO]],0),MATCH(Tabla4[[#This Row],[Mes]],Tabla6[#Headers],0)))*(1+Catalogos!$L$2)</f>
        <v>#N/A</v>
      </c>
      <c r="N1705" s="283" t="e">
        <f>+(Tabla4[[#This Row],[Precio Descontado]]-Tabla4[[#This Row],[Precio Base]])*Tabla4[[#This Row],[Cantidad]]</f>
        <v>#N/A</v>
      </c>
      <c r="O1705" s="284" t="e">
        <f>++Tabla4[[#This Row],[Utilidad Total]]/Tabla4[[#This Row],[Total]]</f>
        <v>#N/A</v>
      </c>
      <c r="P1705" s="282">
        <f>++Tabla4[[#This Row],[Precio Descontado]]*Tabla4[[#This Row],[Cantidad]]</f>
        <v>4928.2541709999996</v>
      </c>
      <c r="Q1705" s="282" t="e">
        <f>(INDEX(Tabla6[#All],MATCH(Tabla4[[#This Row],[Producto]],Tabla6[[#All],[PRODUCTO]],0),MATCH(Tabla4[[#This Row],[Mes]],Tabla6[#Headers],0)))</f>
        <v>#N/A</v>
      </c>
      <c r="R1705" s="282" t="e">
        <f>++Tabla4[[#This Row],[Precio Unitario Neto]]-Tabla4[[#This Row],[20.85%]]-Tabla4[[#This Row],[Costo]]</f>
        <v>#N/A</v>
      </c>
      <c r="S1705" s="282" t="e">
        <f>++Tabla4[[#This Row],[U. Bruta Uni]]*Tabla4[[#This Row],[Cantidad]]</f>
        <v>#N/A</v>
      </c>
      <c r="T1705" s="369" t="str">
        <f>VLOOKUP(Tabla4[[#This Row],[Producto]],Tabla6[#All],14,FALSE)</f>
        <v>Termico Solar</v>
      </c>
      <c r="U1705" s="284" t="e">
        <f>(IF(Tabla4[[#This Row],[Familia]]="termico solar",Tabla4[[#This Row],[Utilidad Total]]*6%,Tabla4[[#This Row],[Utilidad Total]]*11.5%))/Tabla4[[#This Row],[Total]]</f>
        <v>#N/A</v>
      </c>
      <c r="V1705" s="282" t="e">
        <f>+Tabla4[[#This Row],[Comisión Calculada]]*Tabla4[[#This Row],[Total]]</f>
        <v>#N/A</v>
      </c>
    </row>
    <row r="1706" spans="1:22" hidden="1" x14ac:dyDescent="0.25">
      <c r="A1706" s="100">
        <v>45747</v>
      </c>
      <c r="B1706" t="str">
        <f t="shared" si="84"/>
        <v>March</v>
      </c>
      <c r="C1706" s="46" t="s">
        <v>280</v>
      </c>
      <c r="F1706" s="366" t="s">
        <v>1363</v>
      </c>
      <c r="G1706" s="46" t="s">
        <v>566</v>
      </c>
      <c r="H1706" s="46">
        <v>1</v>
      </c>
      <c r="I1706" s="51">
        <v>2109.4499999999998</v>
      </c>
      <c r="J1706" s="281">
        <f>++Tabla4[[#This Row],[Precio Bruto]]*1.16</f>
        <v>2446.9619999999995</v>
      </c>
      <c r="K1706" s="281">
        <f>+Tabla4[[#This Row],[Precio Unitario Neto]]*Tabla4[[#Headers],[20.85%]]</f>
        <v>510.19157699999988</v>
      </c>
      <c r="L1706" s="282">
        <f>++Tabla4[[#This Row],[Precio Unitario Neto]]-Tabla4[[#This Row],[20.85%]]</f>
        <v>1936.7704229999997</v>
      </c>
      <c r="M1706" s="282" t="e">
        <f>(INDEX(Tabla6[#All],MATCH(Tabla4[[#This Row],[Producto]],Tabla6[[#All],[PRODUCTO]],0),MATCH(Tabla4[[#This Row],[Mes]],Tabla6[#Headers],0)))*(1+Catalogos!$L$2)</f>
        <v>#N/A</v>
      </c>
      <c r="N1706" s="283" t="e">
        <f>+(Tabla4[[#This Row],[Precio Descontado]]-Tabla4[[#This Row],[Precio Base]])*Tabla4[[#This Row],[Cantidad]]</f>
        <v>#N/A</v>
      </c>
      <c r="O1706" s="284" t="e">
        <f>++Tabla4[[#This Row],[Utilidad Total]]/Tabla4[[#This Row],[Total]]</f>
        <v>#N/A</v>
      </c>
      <c r="P1706" s="282">
        <f>++Tabla4[[#This Row],[Precio Descontado]]*Tabla4[[#This Row],[Cantidad]]</f>
        <v>1936.7704229999997</v>
      </c>
      <c r="Q1706" s="282" t="e">
        <f>(INDEX(Tabla6[#All],MATCH(Tabla4[[#This Row],[Producto]],Tabla6[[#All],[PRODUCTO]],0),MATCH(Tabla4[[#This Row],[Mes]],Tabla6[#Headers],0)))</f>
        <v>#N/A</v>
      </c>
      <c r="R1706" s="282" t="e">
        <f>++Tabla4[[#This Row],[Precio Unitario Neto]]-Tabla4[[#This Row],[20.85%]]-Tabla4[[#This Row],[Costo]]</f>
        <v>#N/A</v>
      </c>
      <c r="S1706" s="282" t="e">
        <f>++Tabla4[[#This Row],[U. Bruta Uni]]*Tabla4[[#This Row],[Cantidad]]</f>
        <v>#N/A</v>
      </c>
      <c r="T1706" s="369" t="str">
        <f>VLOOKUP(Tabla4[[#This Row],[Producto]],Tabla6[#All],14,FALSE)</f>
        <v>Termico Solar</v>
      </c>
      <c r="U1706" s="284" t="e">
        <f>(IF(Tabla4[[#This Row],[Familia]]="termico solar",Tabla4[[#This Row],[Utilidad Total]]*6%,Tabla4[[#This Row],[Utilidad Total]]*11.5%))/Tabla4[[#This Row],[Total]]</f>
        <v>#N/A</v>
      </c>
      <c r="V1706" s="282" t="e">
        <f>+Tabla4[[#This Row],[Comisión Calculada]]*Tabla4[[#This Row],[Total]]</f>
        <v>#N/A</v>
      </c>
    </row>
    <row r="1707" spans="1:22" hidden="1" x14ac:dyDescent="0.25">
      <c r="A1707" s="100">
        <v>45747</v>
      </c>
      <c r="B1707" t="str">
        <f t="shared" si="84"/>
        <v>March</v>
      </c>
      <c r="C1707" s="46" t="s">
        <v>280</v>
      </c>
      <c r="F1707" s="366" t="s">
        <v>1363</v>
      </c>
      <c r="G1707" s="46" t="s">
        <v>412</v>
      </c>
      <c r="H1707" s="46">
        <v>1</v>
      </c>
      <c r="I1707" s="51">
        <v>3240.84</v>
      </c>
      <c r="J1707" s="281">
        <f>++Tabla4[[#This Row],[Precio Bruto]]*1.16</f>
        <v>3759.3743999999997</v>
      </c>
      <c r="K1707" s="281">
        <f>+Tabla4[[#This Row],[Precio Unitario Neto]]*Tabla4[[#Headers],[20.85%]]</f>
        <v>783.82956239999987</v>
      </c>
      <c r="L1707" s="282">
        <f>++Tabla4[[#This Row],[Precio Unitario Neto]]-Tabla4[[#This Row],[20.85%]]</f>
        <v>2975.5448375999999</v>
      </c>
      <c r="M1707" s="282" t="e">
        <f>(INDEX(Tabla6[#All],MATCH(Tabla4[[#This Row],[Producto]],Tabla6[[#All],[PRODUCTO]],0),MATCH(Tabla4[[#This Row],[Mes]],Tabla6[#Headers],0)))*(1+Catalogos!$L$2)</f>
        <v>#N/A</v>
      </c>
      <c r="N1707" s="283" t="e">
        <f>+(Tabla4[[#This Row],[Precio Descontado]]-Tabla4[[#This Row],[Precio Base]])*Tabla4[[#This Row],[Cantidad]]</f>
        <v>#N/A</v>
      </c>
      <c r="O1707" s="284" t="e">
        <f>++Tabla4[[#This Row],[Utilidad Total]]/Tabla4[[#This Row],[Total]]</f>
        <v>#N/A</v>
      </c>
      <c r="P1707" s="282">
        <f>++Tabla4[[#This Row],[Precio Descontado]]*Tabla4[[#This Row],[Cantidad]]</f>
        <v>2975.5448375999999</v>
      </c>
      <c r="Q1707" s="282" t="e">
        <f>(INDEX(Tabla6[#All],MATCH(Tabla4[[#This Row],[Producto]],Tabla6[[#All],[PRODUCTO]],0),MATCH(Tabla4[[#This Row],[Mes]],Tabla6[#Headers],0)))</f>
        <v>#N/A</v>
      </c>
      <c r="R1707" s="282" t="e">
        <f>++Tabla4[[#This Row],[Precio Unitario Neto]]-Tabla4[[#This Row],[20.85%]]-Tabla4[[#This Row],[Costo]]</f>
        <v>#N/A</v>
      </c>
      <c r="S1707" s="282" t="e">
        <f>++Tabla4[[#This Row],[U. Bruta Uni]]*Tabla4[[#This Row],[Cantidad]]</f>
        <v>#N/A</v>
      </c>
      <c r="T1707" s="369" t="str">
        <f>VLOOKUP(Tabla4[[#This Row],[Producto]],Tabla6[#All],14,FALSE)</f>
        <v>Termico Solar</v>
      </c>
      <c r="U1707" s="284" t="e">
        <f>(IF(Tabla4[[#This Row],[Familia]]="termico solar",Tabla4[[#This Row],[Utilidad Total]]*6%,Tabla4[[#This Row],[Utilidad Total]]*11.5%))/Tabla4[[#This Row],[Total]]</f>
        <v>#N/A</v>
      </c>
      <c r="V1707" s="282" t="e">
        <f>+Tabla4[[#This Row],[Comisión Calculada]]*Tabla4[[#This Row],[Total]]</f>
        <v>#N/A</v>
      </c>
    </row>
    <row r="1708" spans="1:22" hidden="1" x14ac:dyDescent="0.25">
      <c r="A1708" s="100">
        <v>45747</v>
      </c>
      <c r="B1708" t="str">
        <f t="shared" si="84"/>
        <v>March</v>
      </c>
      <c r="C1708" s="46" t="s">
        <v>280</v>
      </c>
      <c r="F1708" s="366" t="s">
        <v>1364</v>
      </c>
      <c r="G1708" s="46" t="s">
        <v>83</v>
      </c>
      <c r="H1708" s="46">
        <v>2</v>
      </c>
      <c r="I1708" s="51">
        <v>8858.76</v>
      </c>
      <c r="J1708" s="281">
        <f>++Tabla4[[#This Row],[Precio Bruto]]*1.16</f>
        <v>10276.161599999999</v>
      </c>
      <c r="K1708" s="281">
        <f>+Tabla4[[#This Row],[Precio Unitario Neto]]*Tabla4[[#Headers],[20.85%]]</f>
        <v>2142.5796935999997</v>
      </c>
      <c r="L1708" s="282">
        <f>++Tabla4[[#This Row],[Precio Unitario Neto]]-Tabla4[[#This Row],[20.85%]]</f>
        <v>8133.5819063999998</v>
      </c>
      <c r="M1708" s="282" t="e">
        <f>(INDEX(Tabla6[#All],MATCH(Tabla4[[#This Row],[Producto]],Tabla6[[#All],[PRODUCTO]],0),MATCH(Tabla4[[#This Row],[Mes]],Tabla6[#Headers],0)))*(1+Catalogos!$L$2)</f>
        <v>#N/A</v>
      </c>
      <c r="N1708" s="283" t="e">
        <f>+(Tabla4[[#This Row],[Precio Descontado]]-Tabla4[[#This Row],[Precio Base]])*Tabla4[[#This Row],[Cantidad]]</f>
        <v>#N/A</v>
      </c>
      <c r="O1708" s="284" t="e">
        <f>++Tabla4[[#This Row],[Utilidad Total]]/Tabla4[[#This Row],[Total]]</f>
        <v>#N/A</v>
      </c>
      <c r="P1708" s="282">
        <f>++Tabla4[[#This Row],[Precio Descontado]]*Tabla4[[#This Row],[Cantidad]]</f>
        <v>16267.1638128</v>
      </c>
      <c r="Q1708" s="282" t="e">
        <f>(INDEX(Tabla6[#All],MATCH(Tabla4[[#This Row],[Producto]],Tabla6[[#All],[PRODUCTO]],0),MATCH(Tabla4[[#This Row],[Mes]],Tabla6[#Headers],0)))</f>
        <v>#N/A</v>
      </c>
      <c r="R1708" s="282" t="e">
        <f>++Tabla4[[#This Row],[Precio Unitario Neto]]-Tabla4[[#This Row],[20.85%]]-Tabla4[[#This Row],[Costo]]</f>
        <v>#N/A</v>
      </c>
      <c r="S1708" s="282" t="e">
        <f>++Tabla4[[#This Row],[U. Bruta Uni]]*Tabla4[[#This Row],[Cantidad]]</f>
        <v>#N/A</v>
      </c>
      <c r="T1708" s="369" t="str">
        <f>VLOOKUP(Tabla4[[#This Row],[Producto]],Tabla6[#All],14,FALSE)</f>
        <v>Termico Solar</v>
      </c>
      <c r="U1708" s="284" t="e">
        <f>(IF(Tabla4[[#This Row],[Familia]]="termico solar",Tabla4[[#This Row],[Utilidad Total]]*6%,Tabla4[[#This Row],[Utilidad Total]]*11.5%))/Tabla4[[#This Row],[Total]]</f>
        <v>#N/A</v>
      </c>
      <c r="V1708" s="282" t="e">
        <f>+Tabla4[[#This Row],[Comisión Calculada]]*Tabla4[[#This Row],[Total]]</f>
        <v>#N/A</v>
      </c>
    </row>
    <row r="1709" spans="1:22" hidden="1" x14ac:dyDescent="0.25">
      <c r="A1709" s="100">
        <v>45747</v>
      </c>
      <c r="B1709" t="str">
        <f t="shared" ref="B1709:B1740" si="85">TEXT(A1709, "mmmm")</f>
        <v>March</v>
      </c>
      <c r="C1709" s="46" t="s">
        <v>280</v>
      </c>
      <c r="F1709" s="366" t="s">
        <v>1364</v>
      </c>
      <c r="G1709" s="46" t="s">
        <v>18</v>
      </c>
      <c r="H1709" s="46">
        <v>2</v>
      </c>
      <c r="I1709" s="51">
        <v>5367.65</v>
      </c>
      <c r="J1709" s="281">
        <f>++Tabla4[[#This Row],[Precio Bruto]]*1.16</f>
        <v>6226.4739999999993</v>
      </c>
      <c r="K1709" s="281">
        <f>+Tabla4[[#This Row],[Precio Unitario Neto]]*Tabla4[[#Headers],[20.85%]]</f>
        <v>1298.2198289999999</v>
      </c>
      <c r="L1709" s="282">
        <f>++Tabla4[[#This Row],[Precio Unitario Neto]]-Tabla4[[#This Row],[20.85%]]</f>
        <v>4928.2541709999996</v>
      </c>
      <c r="M1709" s="282" t="e">
        <f>(INDEX(Tabla6[#All],MATCH(Tabla4[[#This Row],[Producto]],Tabla6[[#All],[PRODUCTO]],0),MATCH(Tabla4[[#This Row],[Mes]],Tabla6[#Headers],0)))*(1+Catalogos!$L$2)</f>
        <v>#N/A</v>
      </c>
      <c r="N1709" s="283" t="e">
        <f>+(Tabla4[[#This Row],[Precio Descontado]]-Tabla4[[#This Row],[Precio Base]])*Tabla4[[#This Row],[Cantidad]]</f>
        <v>#N/A</v>
      </c>
      <c r="O1709" s="284" t="e">
        <f>++Tabla4[[#This Row],[Utilidad Total]]/Tabla4[[#This Row],[Total]]</f>
        <v>#N/A</v>
      </c>
      <c r="P1709" s="282">
        <f>++Tabla4[[#This Row],[Precio Descontado]]*Tabla4[[#This Row],[Cantidad]]</f>
        <v>9856.5083419999992</v>
      </c>
      <c r="Q1709" s="282" t="e">
        <f>(INDEX(Tabla6[#All],MATCH(Tabla4[[#This Row],[Producto]],Tabla6[[#All],[PRODUCTO]],0),MATCH(Tabla4[[#This Row],[Mes]],Tabla6[#Headers],0)))</f>
        <v>#N/A</v>
      </c>
      <c r="R1709" s="282" t="e">
        <f>++Tabla4[[#This Row],[Precio Unitario Neto]]-Tabla4[[#This Row],[20.85%]]-Tabla4[[#This Row],[Costo]]</f>
        <v>#N/A</v>
      </c>
      <c r="S1709" s="282" t="e">
        <f>++Tabla4[[#This Row],[U. Bruta Uni]]*Tabla4[[#This Row],[Cantidad]]</f>
        <v>#N/A</v>
      </c>
      <c r="T1709" s="369" t="str">
        <f>VLOOKUP(Tabla4[[#This Row],[Producto]],Tabla6[#All],14,FALSE)</f>
        <v>Termico Solar</v>
      </c>
      <c r="U1709" s="284" t="e">
        <f>(IF(Tabla4[[#This Row],[Familia]]="termico solar",Tabla4[[#This Row],[Utilidad Total]]*6%,Tabla4[[#This Row],[Utilidad Total]]*11.5%))/Tabla4[[#This Row],[Total]]</f>
        <v>#N/A</v>
      </c>
      <c r="V1709" s="282" t="e">
        <f>+Tabla4[[#This Row],[Comisión Calculada]]*Tabla4[[#This Row],[Total]]</f>
        <v>#N/A</v>
      </c>
    </row>
    <row r="1710" spans="1:22" hidden="1" x14ac:dyDescent="0.25">
      <c r="A1710" s="100">
        <v>45747</v>
      </c>
      <c r="B1710" t="str">
        <f t="shared" si="85"/>
        <v>March</v>
      </c>
      <c r="C1710" s="46" t="s">
        <v>280</v>
      </c>
      <c r="F1710" s="366" t="s">
        <v>1365</v>
      </c>
      <c r="G1710" s="46" t="s">
        <v>83</v>
      </c>
      <c r="H1710" s="46">
        <v>7</v>
      </c>
      <c r="I1710" s="51">
        <v>8858.76</v>
      </c>
      <c r="J1710" s="281">
        <f>++Tabla4[[#This Row],[Precio Bruto]]*1.16</f>
        <v>10276.161599999999</v>
      </c>
      <c r="K1710" s="281">
        <f>+Tabla4[[#This Row],[Precio Unitario Neto]]*Tabla4[[#Headers],[20.85%]]</f>
        <v>2142.5796935999997</v>
      </c>
      <c r="L1710" s="282">
        <f>++Tabla4[[#This Row],[Precio Unitario Neto]]-Tabla4[[#This Row],[20.85%]]</f>
        <v>8133.5819063999998</v>
      </c>
      <c r="M1710" s="282" t="e">
        <f>(INDEX(Tabla6[#All],MATCH(Tabla4[[#This Row],[Producto]],Tabla6[[#All],[PRODUCTO]],0),MATCH(Tabla4[[#This Row],[Mes]],Tabla6[#Headers],0)))*(1+Catalogos!$L$2)</f>
        <v>#N/A</v>
      </c>
      <c r="N1710" s="283" t="e">
        <f>+(Tabla4[[#This Row],[Precio Descontado]]-Tabla4[[#This Row],[Precio Base]])*Tabla4[[#This Row],[Cantidad]]</f>
        <v>#N/A</v>
      </c>
      <c r="O1710" s="284" t="e">
        <f>++Tabla4[[#This Row],[Utilidad Total]]/Tabla4[[#This Row],[Total]]</f>
        <v>#N/A</v>
      </c>
      <c r="P1710" s="282">
        <f>++Tabla4[[#This Row],[Precio Descontado]]*Tabla4[[#This Row],[Cantidad]]</f>
        <v>56935.073344799996</v>
      </c>
      <c r="Q1710" s="282" t="e">
        <f>(INDEX(Tabla6[#All],MATCH(Tabla4[[#This Row],[Producto]],Tabla6[[#All],[PRODUCTO]],0),MATCH(Tabla4[[#This Row],[Mes]],Tabla6[#Headers],0)))</f>
        <v>#N/A</v>
      </c>
      <c r="R1710" s="282" t="e">
        <f>++Tabla4[[#This Row],[Precio Unitario Neto]]-Tabla4[[#This Row],[20.85%]]-Tabla4[[#This Row],[Costo]]</f>
        <v>#N/A</v>
      </c>
      <c r="S1710" s="282" t="e">
        <f>++Tabla4[[#This Row],[U. Bruta Uni]]*Tabla4[[#This Row],[Cantidad]]</f>
        <v>#N/A</v>
      </c>
      <c r="T1710" s="369" t="str">
        <f>VLOOKUP(Tabla4[[#This Row],[Producto]],Tabla6[#All],14,FALSE)</f>
        <v>Termico Solar</v>
      </c>
      <c r="U1710" s="284" t="e">
        <f>(IF(Tabla4[[#This Row],[Familia]]="termico solar",Tabla4[[#This Row],[Utilidad Total]]*6%,Tabla4[[#This Row],[Utilidad Total]]*11.5%))/Tabla4[[#This Row],[Total]]</f>
        <v>#N/A</v>
      </c>
      <c r="V1710" s="282" t="e">
        <f>+Tabla4[[#This Row],[Comisión Calculada]]*Tabla4[[#This Row],[Total]]</f>
        <v>#N/A</v>
      </c>
    </row>
    <row r="1711" spans="1:22" hidden="1" x14ac:dyDescent="0.25">
      <c r="A1711" s="100">
        <v>45747</v>
      </c>
      <c r="B1711" t="str">
        <f t="shared" si="85"/>
        <v>March</v>
      </c>
      <c r="C1711" s="46" t="s">
        <v>280</v>
      </c>
      <c r="F1711" s="366" t="s">
        <v>1365</v>
      </c>
      <c r="G1711" s="46" t="s">
        <v>17</v>
      </c>
      <c r="H1711" s="46">
        <v>30</v>
      </c>
      <c r="I1711" s="51">
        <v>4622.28</v>
      </c>
      <c r="J1711" s="281">
        <f>++Tabla4[[#This Row],[Precio Bruto]]*1.16</f>
        <v>5361.8447999999989</v>
      </c>
      <c r="K1711" s="281">
        <f>+Tabla4[[#This Row],[Precio Unitario Neto]]*Tabla4[[#Headers],[20.85%]]</f>
        <v>1117.9446407999997</v>
      </c>
      <c r="L1711" s="282">
        <f>++Tabla4[[#This Row],[Precio Unitario Neto]]-Tabla4[[#This Row],[20.85%]]</f>
        <v>4243.9001591999995</v>
      </c>
      <c r="M1711" s="282" t="e">
        <f>(INDEX(Tabla6[#All],MATCH(Tabla4[[#This Row],[Producto]],Tabla6[[#All],[PRODUCTO]],0),MATCH(Tabla4[[#This Row],[Mes]],Tabla6[#Headers],0)))*(1+Catalogos!$L$2)</f>
        <v>#N/A</v>
      </c>
      <c r="N1711" s="283" t="e">
        <f>+(Tabla4[[#This Row],[Precio Descontado]]-Tabla4[[#This Row],[Precio Base]])*Tabla4[[#This Row],[Cantidad]]</f>
        <v>#N/A</v>
      </c>
      <c r="O1711" s="284" t="e">
        <f>++Tabla4[[#This Row],[Utilidad Total]]/Tabla4[[#This Row],[Total]]</f>
        <v>#N/A</v>
      </c>
      <c r="P1711" s="282">
        <f>++Tabla4[[#This Row],[Precio Descontado]]*Tabla4[[#This Row],[Cantidad]]</f>
        <v>127317.00477599999</v>
      </c>
      <c r="Q1711" s="282" t="e">
        <f>(INDEX(Tabla6[#All],MATCH(Tabla4[[#This Row],[Producto]],Tabla6[[#All],[PRODUCTO]],0),MATCH(Tabla4[[#This Row],[Mes]],Tabla6[#Headers],0)))</f>
        <v>#N/A</v>
      </c>
      <c r="R1711" s="282" t="e">
        <f>++Tabla4[[#This Row],[Precio Unitario Neto]]-Tabla4[[#This Row],[20.85%]]-Tabla4[[#This Row],[Costo]]</f>
        <v>#N/A</v>
      </c>
      <c r="S1711" s="282" t="e">
        <f>++Tabla4[[#This Row],[U. Bruta Uni]]*Tabla4[[#This Row],[Cantidad]]</f>
        <v>#N/A</v>
      </c>
      <c r="T1711" s="369" t="str">
        <f>VLOOKUP(Tabla4[[#This Row],[Producto]],Tabla6[#All],14,FALSE)</f>
        <v>Termico Solar</v>
      </c>
      <c r="U1711" s="284" t="e">
        <f>(IF(Tabla4[[#This Row],[Familia]]="termico solar",Tabla4[[#This Row],[Utilidad Total]]*6%,Tabla4[[#This Row],[Utilidad Total]]*11.5%))/Tabla4[[#This Row],[Total]]</f>
        <v>#N/A</v>
      </c>
      <c r="V1711" s="282" t="e">
        <f>+Tabla4[[#This Row],[Comisión Calculada]]*Tabla4[[#This Row],[Total]]</f>
        <v>#N/A</v>
      </c>
    </row>
    <row r="1712" spans="1:22" hidden="1" x14ac:dyDescent="0.25">
      <c r="A1712" s="100">
        <v>45747</v>
      </c>
      <c r="B1712" t="str">
        <f t="shared" si="85"/>
        <v>March</v>
      </c>
      <c r="C1712" s="46" t="s">
        <v>280</v>
      </c>
      <c r="F1712" s="366" t="s">
        <v>1365</v>
      </c>
      <c r="G1712" s="46" t="s">
        <v>18</v>
      </c>
      <c r="H1712" s="46">
        <v>32</v>
      </c>
      <c r="I1712" s="51">
        <v>5367.65</v>
      </c>
      <c r="J1712" s="281">
        <f>++Tabla4[[#This Row],[Precio Bruto]]*1.16</f>
        <v>6226.4739999999993</v>
      </c>
      <c r="K1712" s="281">
        <f>+Tabla4[[#This Row],[Precio Unitario Neto]]*Tabla4[[#Headers],[20.85%]]</f>
        <v>1298.2198289999999</v>
      </c>
      <c r="L1712" s="282">
        <f>++Tabla4[[#This Row],[Precio Unitario Neto]]-Tabla4[[#This Row],[20.85%]]</f>
        <v>4928.2541709999996</v>
      </c>
      <c r="M1712" s="282" t="e">
        <f>(INDEX(Tabla6[#All],MATCH(Tabla4[[#This Row],[Producto]],Tabla6[[#All],[PRODUCTO]],0),MATCH(Tabla4[[#This Row],[Mes]],Tabla6[#Headers],0)))*(1+Catalogos!$L$2)</f>
        <v>#N/A</v>
      </c>
      <c r="N1712" s="283" t="e">
        <f>+(Tabla4[[#This Row],[Precio Descontado]]-Tabla4[[#This Row],[Precio Base]])*Tabla4[[#This Row],[Cantidad]]</f>
        <v>#N/A</v>
      </c>
      <c r="O1712" s="284" t="e">
        <f>++Tabla4[[#This Row],[Utilidad Total]]/Tabla4[[#This Row],[Total]]</f>
        <v>#N/A</v>
      </c>
      <c r="P1712" s="282">
        <f>++Tabla4[[#This Row],[Precio Descontado]]*Tabla4[[#This Row],[Cantidad]]</f>
        <v>157704.13347199999</v>
      </c>
      <c r="Q1712" s="282" t="e">
        <f>(INDEX(Tabla6[#All],MATCH(Tabla4[[#This Row],[Producto]],Tabla6[[#All],[PRODUCTO]],0),MATCH(Tabla4[[#This Row],[Mes]],Tabla6[#Headers],0)))</f>
        <v>#N/A</v>
      </c>
      <c r="R1712" s="282" t="e">
        <f>++Tabla4[[#This Row],[Precio Unitario Neto]]-Tabla4[[#This Row],[20.85%]]-Tabla4[[#This Row],[Costo]]</f>
        <v>#N/A</v>
      </c>
      <c r="S1712" s="282" t="e">
        <f>++Tabla4[[#This Row],[U. Bruta Uni]]*Tabla4[[#This Row],[Cantidad]]</f>
        <v>#N/A</v>
      </c>
      <c r="T1712" s="369" t="str">
        <f>VLOOKUP(Tabla4[[#This Row],[Producto]],Tabla6[#All],14,FALSE)</f>
        <v>Termico Solar</v>
      </c>
      <c r="U1712" s="284" t="e">
        <f>(IF(Tabla4[[#This Row],[Familia]]="termico solar",Tabla4[[#This Row],[Utilidad Total]]*6%,Tabla4[[#This Row],[Utilidad Total]]*11.5%))/Tabla4[[#This Row],[Total]]</f>
        <v>#N/A</v>
      </c>
      <c r="V1712" s="282" t="e">
        <f>+Tabla4[[#This Row],[Comisión Calculada]]*Tabla4[[#This Row],[Total]]</f>
        <v>#N/A</v>
      </c>
    </row>
    <row r="1713" spans="1:22" hidden="1" x14ac:dyDescent="0.25">
      <c r="A1713" s="100">
        <v>45747</v>
      </c>
      <c r="B1713" t="str">
        <f t="shared" si="85"/>
        <v>March</v>
      </c>
      <c r="C1713" s="46" t="s">
        <v>280</v>
      </c>
      <c r="F1713" s="366" t="s">
        <v>1365</v>
      </c>
      <c r="G1713" s="46" t="s">
        <v>16</v>
      </c>
      <c r="H1713" s="46">
        <v>17</v>
      </c>
      <c r="I1713" s="51">
        <v>4103.8499999999995</v>
      </c>
      <c r="J1713" s="281">
        <f>++Tabla4[[#This Row],[Precio Bruto]]*1.16</f>
        <v>4760.4659999999994</v>
      </c>
      <c r="K1713" s="281">
        <f>+Tabla4[[#This Row],[Precio Unitario Neto]]*Tabla4[[#Headers],[20.85%]]</f>
        <v>992.55716099999984</v>
      </c>
      <c r="L1713" s="282">
        <f>++Tabla4[[#This Row],[Precio Unitario Neto]]-Tabla4[[#This Row],[20.85%]]</f>
        <v>3767.9088389999997</v>
      </c>
      <c r="M1713" s="282" t="e">
        <f>(INDEX(Tabla6[#All],MATCH(Tabla4[[#This Row],[Producto]],Tabla6[[#All],[PRODUCTO]],0),MATCH(Tabla4[[#This Row],[Mes]],Tabla6[#Headers],0)))*(1+Catalogos!$L$2)</f>
        <v>#N/A</v>
      </c>
      <c r="N1713" s="283" t="e">
        <f>+(Tabla4[[#This Row],[Precio Descontado]]-Tabla4[[#This Row],[Precio Base]])*Tabla4[[#This Row],[Cantidad]]</f>
        <v>#N/A</v>
      </c>
      <c r="O1713" s="284" t="e">
        <f>++Tabla4[[#This Row],[Utilidad Total]]/Tabla4[[#This Row],[Total]]</f>
        <v>#N/A</v>
      </c>
      <c r="P1713" s="282">
        <f>++Tabla4[[#This Row],[Precio Descontado]]*Tabla4[[#This Row],[Cantidad]]</f>
        <v>64054.450262999992</v>
      </c>
      <c r="Q1713" s="282" t="e">
        <f>(INDEX(Tabla6[#All],MATCH(Tabla4[[#This Row],[Producto]],Tabla6[[#All],[PRODUCTO]],0),MATCH(Tabla4[[#This Row],[Mes]],Tabla6[#Headers],0)))</f>
        <v>#N/A</v>
      </c>
      <c r="R1713" s="282" t="e">
        <f>++Tabla4[[#This Row],[Precio Unitario Neto]]-Tabla4[[#This Row],[20.85%]]-Tabla4[[#This Row],[Costo]]</f>
        <v>#N/A</v>
      </c>
      <c r="S1713" s="282" t="e">
        <f>++Tabla4[[#This Row],[U. Bruta Uni]]*Tabla4[[#This Row],[Cantidad]]</f>
        <v>#N/A</v>
      </c>
      <c r="T1713" s="369" t="str">
        <f>VLOOKUP(Tabla4[[#This Row],[Producto]],Tabla6[#All],14,FALSE)</f>
        <v>Termico Solar</v>
      </c>
      <c r="U1713" s="284" t="e">
        <f>(IF(Tabla4[[#This Row],[Familia]]="termico solar",Tabla4[[#This Row],[Utilidad Total]]*6%,Tabla4[[#This Row],[Utilidad Total]]*11.5%))/Tabla4[[#This Row],[Total]]</f>
        <v>#N/A</v>
      </c>
      <c r="V1713" s="282" t="e">
        <f>+Tabla4[[#This Row],[Comisión Calculada]]*Tabla4[[#This Row],[Total]]</f>
        <v>#N/A</v>
      </c>
    </row>
    <row r="1714" spans="1:22" hidden="1" x14ac:dyDescent="0.25">
      <c r="A1714" s="100">
        <v>45747</v>
      </c>
      <c r="B1714" t="str">
        <f t="shared" si="85"/>
        <v>March</v>
      </c>
      <c r="C1714" s="46" t="s">
        <v>280</v>
      </c>
      <c r="F1714" s="366" t="s">
        <v>1366</v>
      </c>
      <c r="G1714" s="46" t="s">
        <v>18</v>
      </c>
      <c r="H1714" s="46">
        <v>4</v>
      </c>
      <c r="I1714" s="51">
        <v>5367.65</v>
      </c>
      <c r="J1714" s="281">
        <f>++Tabla4[[#This Row],[Precio Bruto]]*1.16</f>
        <v>6226.4739999999993</v>
      </c>
      <c r="K1714" s="281">
        <f>+Tabla4[[#This Row],[Precio Unitario Neto]]*Tabla4[[#Headers],[20.85%]]</f>
        <v>1298.2198289999999</v>
      </c>
      <c r="L1714" s="282">
        <f>++Tabla4[[#This Row],[Precio Unitario Neto]]-Tabla4[[#This Row],[20.85%]]</f>
        <v>4928.2541709999996</v>
      </c>
      <c r="M1714" s="282" t="e">
        <f>(INDEX(Tabla6[#All],MATCH(Tabla4[[#This Row],[Producto]],Tabla6[[#All],[PRODUCTO]],0),MATCH(Tabla4[[#This Row],[Mes]],Tabla6[#Headers],0)))*(1+Catalogos!$L$2)</f>
        <v>#N/A</v>
      </c>
      <c r="N1714" s="283" t="e">
        <f>+(Tabla4[[#This Row],[Precio Descontado]]-Tabla4[[#This Row],[Precio Base]])*Tabla4[[#This Row],[Cantidad]]</f>
        <v>#N/A</v>
      </c>
      <c r="O1714" s="284" t="e">
        <f>++Tabla4[[#This Row],[Utilidad Total]]/Tabla4[[#This Row],[Total]]</f>
        <v>#N/A</v>
      </c>
      <c r="P1714" s="282">
        <f>++Tabla4[[#This Row],[Precio Descontado]]*Tabla4[[#This Row],[Cantidad]]</f>
        <v>19713.016683999998</v>
      </c>
      <c r="Q1714" s="282" t="e">
        <f>(INDEX(Tabla6[#All],MATCH(Tabla4[[#This Row],[Producto]],Tabla6[[#All],[PRODUCTO]],0),MATCH(Tabla4[[#This Row],[Mes]],Tabla6[#Headers],0)))</f>
        <v>#N/A</v>
      </c>
      <c r="R1714" s="282" t="e">
        <f>++Tabla4[[#This Row],[Precio Unitario Neto]]-Tabla4[[#This Row],[20.85%]]-Tabla4[[#This Row],[Costo]]</f>
        <v>#N/A</v>
      </c>
      <c r="S1714" s="282" t="e">
        <f>++Tabla4[[#This Row],[U. Bruta Uni]]*Tabla4[[#This Row],[Cantidad]]</f>
        <v>#N/A</v>
      </c>
      <c r="T1714" s="369" t="str">
        <f>VLOOKUP(Tabla4[[#This Row],[Producto]],Tabla6[#All],14,FALSE)</f>
        <v>Termico Solar</v>
      </c>
      <c r="U1714" s="284" t="e">
        <f>(IF(Tabla4[[#This Row],[Familia]]="termico solar",Tabla4[[#This Row],[Utilidad Total]]*6%,Tabla4[[#This Row],[Utilidad Total]]*11.5%))/Tabla4[[#This Row],[Total]]</f>
        <v>#N/A</v>
      </c>
      <c r="V1714" s="282" t="e">
        <f>+Tabla4[[#This Row],[Comisión Calculada]]*Tabla4[[#This Row],[Total]]</f>
        <v>#N/A</v>
      </c>
    </row>
    <row r="1715" spans="1:22" hidden="1" x14ac:dyDescent="0.25">
      <c r="A1715" s="100">
        <v>45747</v>
      </c>
      <c r="B1715" t="str">
        <f t="shared" si="85"/>
        <v>March</v>
      </c>
      <c r="C1715" s="46" t="s">
        <v>280</v>
      </c>
      <c r="F1715" s="366" t="s">
        <v>1367</v>
      </c>
      <c r="G1715" s="46" t="s">
        <v>20</v>
      </c>
      <c r="H1715" s="46">
        <v>1</v>
      </c>
      <c r="I1715" s="51">
        <v>7751.98</v>
      </c>
      <c r="J1715" s="281">
        <f>++Tabla4[[#This Row],[Precio Bruto]]*1.16</f>
        <v>8992.2967999999983</v>
      </c>
      <c r="K1715" s="281">
        <f>+Tabla4[[#This Row],[Precio Unitario Neto]]*Tabla4[[#Headers],[20.85%]]</f>
        <v>1874.8938827999996</v>
      </c>
      <c r="L1715" s="282">
        <f>++Tabla4[[#This Row],[Precio Unitario Neto]]-Tabla4[[#This Row],[20.85%]]</f>
        <v>7117.4029171999991</v>
      </c>
      <c r="M1715" s="282" t="e">
        <f>(INDEX(Tabla6[#All],MATCH(Tabla4[[#This Row],[Producto]],Tabla6[[#All],[PRODUCTO]],0),MATCH(Tabla4[[#This Row],[Mes]],Tabla6[#Headers],0)))*(1+Catalogos!$L$2)</f>
        <v>#N/A</v>
      </c>
      <c r="N1715" s="283" t="e">
        <f>+(Tabla4[[#This Row],[Precio Descontado]]-Tabla4[[#This Row],[Precio Base]])*Tabla4[[#This Row],[Cantidad]]</f>
        <v>#N/A</v>
      </c>
      <c r="O1715" s="284" t="e">
        <f>++Tabla4[[#This Row],[Utilidad Total]]/Tabla4[[#This Row],[Total]]</f>
        <v>#N/A</v>
      </c>
      <c r="P1715" s="282">
        <f>++Tabla4[[#This Row],[Precio Descontado]]*Tabla4[[#This Row],[Cantidad]]</f>
        <v>7117.4029171999991</v>
      </c>
      <c r="Q1715" s="282" t="e">
        <f>(INDEX(Tabla6[#All],MATCH(Tabla4[[#This Row],[Producto]],Tabla6[[#All],[PRODUCTO]],0),MATCH(Tabla4[[#This Row],[Mes]],Tabla6[#Headers],0)))</f>
        <v>#N/A</v>
      </c>
      <c r="R1715" s="282" t="e">
        <f>++Tabla4[[#This Row],[Precio Unitario Neto]]-Tabla4[[#This Row],[20.85%]]-Tabla4[[#This Row],[Costo]]</f>
        <v>#N/A</v>
      </c>
      <c r="S1715" s="282" t="e">
        <f>++Tabla4[[#This Row],[U. Bruta Uni]]*Tabla4[[#This Row],[Cantidad]]</f>
        <v>#N/A</v>
      </c>
      <c r="T1715" s="369" t="str">
        <f>VLOOKUP(Tabla4[[#This Row],[Producto]],Tabla6[#All],14,FALSE)</f>
        <v>Termico Solar</v>
      </c>
      <c r="U1715" s="284" t="e">
        <f>(IF(Tabla4[[#This Row],[Familia]]="termico solar",Tabla4[[#This Row],[Utilidad Total]]*6%,Tabla4[[#This Row],[Utilidad Total]]*11.5%))/Tabla4[[#This Row],[Total]]</f>
        <v>#N/A</v>
      </c>
      <c r="V1715" s="282" t="e">
        <f>+Tabla4[[#This Row],[Comisión Calculada]]*Tabla4[[#This Row],[Total]]</f>
        <v>#N/A</v>
      </c>
    </row>
    <row r="1716" spans="1:22" hidden="1" x14ac:dyDescent="0.25">
      <c r="A1716" s="100">
        <v>45747</v>
      </c>
      <c r="B1716" t="str">
        <f t="shared" si="85"/>
        <v>March</v>
      </c>
      <c r="C1716" s="46" t="s">
        <v>280</v>
      </c>
      <c r="F1716" s="366" t="s">
        <v>1367</v>
      </c>
      <c r="G1716" s="46" t="s">
        <v>394</v>
      </c>
      <c r="H1716" s="46">
        <v>16</v>
      </c>
      <c r="I1716" s="51">
        <v>224.29</v>
      </c>
      <c r="J1716" s="281">
        <f>++Tabla4[[#This Row],[Precio Bruto]]*1.16</f>
        <v>260.1764</v>
      </c>
      <c r="K1716" s="281">
        <f>+Tabla4[[#This Row],[Precio Unitario Neto]]*Tabla4[[#Headers],[20.85%]]</f>
        <v>54.246779400000001</v>
      </c>
      <c r="L1716" s="282">
        <f>++Tabla4[[#This Row],[Precio Unitario Neto]]-Tabla4[[#This Row],[20.85%]]</f>
        <v>205.92962059999999</v>
      </c>
      <c r="M1716" s="282" t="e">
        <f>(INDEX(Tabla6[#All],MATCH(Tabla4[[#This Row],[Producto]],Tabla6[[#All],[PRODUCTO]],0),MATCH(Tabla4[[#This Row],[Mes]],Tabla6[#Headers],0)))*(1+Catalogos!$L$2)</f>
        <v>#N/A</v>
      </c>
      <c r="N1716" s="283" t="e">
        <f>+(Tabla4[[#This Row],[Precio Descontado]]-Tabla4[[#This Row],[Precio Base]])*Tabla4[[#This Row],[Cantidad]]</f>
        <v>#N/A</v>
      </c>
      <c r="O1716" s="284" t="e">
        <f>++Tabla4[[#This Row],[Utilidad Total]]/Tabla4[[#This Row],[Total]]</f>
        <v>#N/A</v>
      </c>
      <c r="P1716" s="282">
        <f>++Tabla4[[#This Row],[Precio Descontado]]*Tabla4[[#This Row],[Cantidad]]</f>
        <v>3294.8739295999999</v>
      </c>
      <c r="Q1716" s="282" t="e">
        <f>(INDEX(Tabla6[#All],MATCH(Tabla4[[#This Row],[Producto]],Tabla6[[#All],[PRODUCTO]],0),MATCH(Tabla4[[#This Row],[Mes]],Tabla6[#Headers],0)))</f>
        <v>#N/A</v>
      </c>
      <c r="R1716" s="282" t="e">
        <f>++Tabla4[[#This Row],[Precio Unitario Neto]]-Tabla4[[#This Row],[20.85%]]-Tabla4[[#This Row],[Costo]]</f>
        <v>#N/A</v>
      </c>
      <c r="S1716" s="282" t="e">
        <f>++Tabla4[[#This Row],[U. Bruta Uni]]*Tabla4[[#This Row],[Cantidad]]</f>
        <v>#N/A</v>
      </c>
      <c r="T1716" s="369" t="str">
        <f>VLOOKUP(Tabla4[[#This Row],[Producto]],Tabla6[#All],14,FALSE)</f>
        <v>Termico Solar</v>
      </c>
      <c r="U1716" s="284" t="e">
        <f>(IF(Tabla4[[#This Row],[Familia]]="termico solar",Tabla4[[#This Row],[Utilidad Total]]*6%,Tabla4[[#This Row],[Utilidad Total]]*11.5%))/Tabla4[[#This Row],[Total]]</f>
        <v>#N/A</v>
      </c>
      <c r="V1716" s="282" t="e">
        <f>+Tabla4[[#This Row],[Comisión Calculada]]*Tabla4[[#This Row],[Total]]</f>
        <v>#N/A</v>
      </c>
    </row>
    <row r="1717" spans="1:22" hidden="1" x14ac:dyDescent="0.25">
      <c r="A1717" s="100">
        <v>45747</v>
      </c>
      <c r="B1717" t="str">
        <f t="shared" si="85"/>
        <v>March</v>
      </c>
      <c r="C1717" s="46" t="s">
        <v>280</v>
      </c>
      <c r="F1717" s="366" t="s">
        <v>1367</v>
      </c>
      <c r="G1717" s="46" t="s">
        <v>555</v>
      </c>
      <c r="H1717" s="46">
        <v>8</v>
      </c>
      <c r="I1717" s="51">
        <v>389.47</v>
      </c>
      <c r="J1717" s="281">
        <f>++Tabla4[[#This Row],[Precio Bruto]]*1.16</f>
        <v>451.78519999999997</v>
      </c>
      <c r="K1717" s="281">
        <f>+Tabla4[[#This Row],[Precio Unitario Neto]]*Tabla4[[#Headers],[20.85%]]</f>
        <v>94.197214199999991</v>
      </c>
      <c r="L1717" s="282">
        <f>++Tabla4[[#This Row],[Precio Unitario Neto]]-Tabla4[[#This Row],[20.85%]]</f>
        <v>357.58798579999996</v>
      </c>
      <c r="M1717" s="282" t="e">
        <f>(INDEX(Tabla6[#All],MATCH(Tabla4[[#This Row],[Producto]],Tabla6[[#All],[PRODUCTO]],0),MATCH(Tabla4[[#This Row],[Mes]],Tabla6[#Headers],0)))*(1+Catalogos!$L$2)</f>
        <v>#N/A</v>
      </c>
      <c r="N1717" s="283" t="e">
        <f>+(Tabla4[[#This Row],[Precio Descontado]]-Tabla4[[#This Row],[Precio Base]])*Tabla4[[#This Row],[Cantidad]]</f>
        <v>#N/A</v>
      </c>
      <c r="O1717" s="284" t="e">
        <f>++Tabla4[[#This Row],[Utilidad Total]]/Tabla4[[#This Row],[Total]]</f>
        <v>#N/A</v>
      </c>
      <c r="P1717" s="282">
        <f>++Tabla4[[#This Row],[Precio Descontado]]*Tabla4[[#This Row],[Cantidad]]</f>
        <v>2860.7038863999996</v>
      </c>
      <c r="Q1717" s="282" t="e">
        <f>(INDEX(Tabla6[#All],MATCH(Tabla4[[#This Row],[Producto]],Tabla6[[#All],[PRODUCTO]],0),MATCH(Tabla4[[#This Row],[Mes]],Tabla6[#Headers],0)))</f>
        <v>#N/A</v>
      </c>
      <c r="R1717" s="282" t="e">
        <f>++Tabla4[[#This Row],[Precio Unitario Neto]]-Tabla4[[#This Row],[20.85%]]-Tabla4[[#This Row],[Costo]]</f>
        <v>#N/A</v>
      </c>
      <c r="S1717" s="282" t="e">
        <f>++Tabla4[[#This Row],[U. Bruta Uni]]*Tabla4[[#This Row],[Cantidad]]</f>
        <v>#N/A</v>
      </c>
      <c r="T1717" s="369" t="str">
        <f>VLOOKUP(Tabla4[[#This Row],[Producto]],Tabla6[#All],14,FALSE)</f>
        <v>Termico Solar</v>
      </c>
      <c r="U1717" s="284" t="e">
        <f>(IF(Tabla4[[#This Row],[Familia]]="termico solar",Tabla4[[#This Row],[Utilidad Total]]*6%,Tabla4[[#This Row],[Utilidad Total]]*11.5%))/Tabla4[[#This Row],[Total]]</f>
        <v>#N/A</v>
      </c>
      <c r="V1717" s="282" t="e">
        <f>+Tabla4[[#This Row],[Comisión Calculada]]*Tabla4[[#This Row],[Total]]</f>
        <v>#N/A</v>
      </c>
    </row>
    <row r="1718" spans="1:22" hidden="1" x14ac:dyDescent="0.25">
      <c r="A1718" s="100">
        <v>45747</v>
      </c>
      <c r="B1718" t="str">
        <f t="shared" si="85"/>
        <v>March</v>
      </c>
      <c r="C1718" s="46" t="s">
        <v>280</v>
      </c>
      <c r="F1718" s="366" t="s">
        <v>1367</v>
      </c>
      <c r="G1718" s="46" t="s">
        <v>208</v>
      </c>
      <c r="H1718" s="46">
        <v>2</v>
      </c>
      <c r="I1718" s="51">
        <v>189.75</v>
      </c>
      <c r="J1718" s="281">
        <f>++Tabla4[[#This Row],[Precio Bruto]]*1.16</f>
        <v>220.10999999999999</v>
      </c>
      <c r="K1718" s="281">
        <f>+Tabla4[[#This Row],[Precio Unitario Neto]]*Tabla4[[#Headers],[20.85%]]</f>
        <v>45.892934999999994</v>
      </c>
      <c r="L1718" s="282">
        <f>++Tabla4[[#This Row],[Precio Unitario Neto]]-Tabla4[[#This Row],[20.85%]]</f>
        <v>174.21706499999999</v>
      </c>
      <c r="M1718" s="282" t="e">
        <f>(INDEX(Tabla6[#All],MATCH(Tabla4[[#This Row],[Producto]],Tabla6[[#All],[PRODUCTO]],0),MATCH(Tabla4[[#This Row],[Mes]],Tabla6[#Headers],0)))*(1+Catalogos!$L$2)</f>
        <v>#N/A</v>
      </c>
      <c r="N1718" s="283" t="e">
        <f>+(Tabla4[[#This Row],[Precio Descontado]]-Tabla4[[#This Row],[Precio Base]])*Tabla4[[#This Row],[Cantidad]]</f>
        <v>#N/A</v>
      </c>
      <c r="O1718" s="284" t="e">
        <f>++Tabla4[[#This Row],[Utilidad Total]]/Tabla4[[#This Row],[Total]]</f>
        <v>#N/A</v>
      </c>
      <c r="P1718" s="282">
        <f>++Tabla4[[#This Row],[Precio Descontado]]*Tabla4[[#This Row],[Cantidad]]</f>
        <v>348.43412999999998</v>
      </c>
      <c r="Q1718" s="282" t="e">
        <f>(INDEX(Tabla6[#All],MATCH(Tabla4[[#This Row],[Producto]],Tabla6[[#All],[PRODUCTO]],0),MATCH(Tabla4[[#This Row],[Mes]],Tabla6[#Headers],0)))</f>
        <v>#N/A</v>
      </c>
      <c r="R1718" s="282" t="e">
        <f>++Tabla4[[#This Row],[Precio Unitario Neto]]-Tabla4[[#This Row],[20.85%]]-Tabla4[[#This Row],[Costo]]</f>
        <v>#N/A</v>
      </c>
      <c r="S1718" s="282" t="e">
        <f>++Tabla4[[#This Row],[U. Bruta Uni]]*Tabla4[[#This Row],[Cantidad]]</f>
        <v>#N/A</v>
      </c>
      <c r="T1718" s="369" t="str">
        <f>VLOOKUP(Tabla4[[#This Row],[Producto]],Tabla6[#All],14,FALSE)</f>
        <v>Termico Solar</v>
      </c>
      <c r="U1718" s="284" t="e">
        <f>(IF(Tabla4[[#This Row],[Familia]]="termico solar",Tabla4[[#This Row],[Utilidad Total]]*6%,Tabla4[[#This Row],[Utilidad Total]]*11.5%))/Tabla4[[#This Row],[Total]]</f>
        <v>#N/A</v>
      </c>
      <c r="V1718" s="282" t="e">
        <f>+Tabla4[[#This Row],[Comisión Calculada]]*Tabla4[[#This Row],[Total]]</f>
        <v>#N/A</v>
      </c>
    </row>
    <row r="1719" spans="1:22" hidden="1" x14ac:dyDescent="0.25">
      <c r="A1719" s="100">
        <v>45747</v>
      </c>
      <c r="B1719" t="str">
        <f t="shared" si="85"/>
        <v>March</v>
      </c>
      <c r="C1719" s="46" t="s">
        <v>280</v>
      </c>
      <c r="F1719" s="366" t="s">
        <v>1368</v>
      </c>
      <c r="G1719" s="46" t="s">
        <v>18</v>
      </c>
      <c r="H1719" s="46">
        <v>1</v>
      </c>
      <c r="I1719" s="51">
        <v>5367.65</v>
      </c>
      <c r="J1719" s="281">
        <f>++Tabla4[[#This Row],[Precio Bruto]]*1.16</f>
        <v>6226.4739999999993</v>
      </c>
      <c r="K1719" s="281">
        <f>+Tabla4[[#This Row],[Precio Unitario Neto]]*Tabla4[[#Headers],[20.85%]]</f>
        <v>1298.2198289999999</v>
      </c>
      <c r="L1719" s="282">
        <f>++Tabla4[[#This Row],[Precio Unitario Neto]]-Tabla4[[#This Row],[20.85%]]</f>
        <v>4928.2541709999996</v>
      </c>
      <c r="M1719" s="282" t="e">
        <f>(INDEX(Tabla6[#All],MATCH(Tabla4[[#This Row],[Producto]],Tabla6[[#All],[PRODUCTO]],0),MATCH(Tabla4[[#This Row],[Mes]],Tabla6[#Headers],0)))*(1+Catalogos!$L$2)</f>
        <v>#N/A</v>
      </c>
      <c r="N1719" s="283" t="e">
        <f>+(Tabla4[[#This Row],[Precio Descontado]]-Tabla4[[#This Row],[Precio Base]])*Tabla4[[#This Row],[Cantidad]]</f>
        <v>#N/A</v>
      </c>
      <c r="O1719" s="284" t="e">
        <f>++Tabla4[[#This Row],[Utilidad Total]]/Tabla4[[#This Row],[Total]]</f>
        <v>#N/A</v>
      </c>
      <c r="P1719" s="282">
        <f>++Tabla4[[#This Row],[Precio Descontado]]*Tabla4[[#This Row],[Cantidad]]</f>
        <v>4928.2541709999996</v>
      </c>
      <c r="Q1719" s="282" t="e">
        <f>(INDEX(Tabla6[#All],MATCH(Tabla4[[#This Row],[Producto]],Tabla6[[#All],[PRODUCTO]],0),MATCH(Tabla4[[#This Row],[Mes]],Tabla6[#Headers],0)))</f>
        <v>#N/A</v>
      </c>
      <c r="R1719" s="282" t="e">
        <f>++Tabla4[[#This Row],[Precio Unitario Neto]]-Tabla4[[#This Row],[20.85%]]-Tabla4[[#This Row],[Costo]]</f>
        <v>#N/A</v>
      </c>
      <c r="S1719" s="282" t="e">
        <f>++Tabla4[[#This Row],[U. Bruta Uni]]*Tabla4[[#This Row],[Cantidad]]</f>
        <v>#N/A</v>
      </c>
      <c r="T1719" s="369" t="str">
        <f>VLOOKUP(Tabla4[[#This Row],[Producto]],Tabla6[#All],14,FALSE)</f>
        <v>Termico Solar</v>
      </c>
      <c r="U1719" s="284" t="e">
        <f>(IF(Tabla4[[#This Row],[Familia]]="termico solar",Tabla4[[#This Row],[Utilidad Total]]*6%,Tabla4[[#This Row],[Utilidad Total]]*11.5%))/Tabla4[[#This Row],[Total]]</f>
        <v>#N/A</v>
      </c>
      <c r="V1719" s="282" t="e">
        <f>+Tabla4[[#This Row],[Comisión Calculada]]*Tabla4[[#This Row],[Total]]</f>
        <v>#N/A</v>
      </c>
    </row>
    <row r="1720" spans="1:22" hidden="1" x14ac:dyDescent="0.25">
      <c r="A1720" s="100">
        <v>45747</v>
      </c>
      <c r="B1720" t="str">
        <f t="shared" si="85"/>
        <v>March</v>
      </c>
      <c r="C1720" s="46" t="s">
        <v>280</v>
      </c>
      <c r="F1720" s="366" t="s">
        <v>1368</v>
      </c>
      <c r="G1720" s="46" t="s">
        <v>394</v>
      </c>
      <c r="H1720" s="46">
        <v>16</v>
      </c>
      <c r="I1720" s="51">
        <v>224.29</v>
      </c>
      <c r="J1720" s="281">
        <f>++Tabla4[[#This Row],[Precio Bruto]]*1.16</f>
        <v>260.1764</v>
      </c>
      <c r="K1720" s="281">
        <f>+Tabla4[[#This Row],[Precio Unitario Neto]]*Tabla4[[#Headers],[20.85%]]</f>
        <v>54.246779400000001</v>
      </c>
      <c r="L1720" s="282">
        <f>++Tabla4[[#This Row],[Precio Unitario Neto]]-Tabla4[[#This Row],[20.85%]]</f>
        <v>205.92962059999999</v>
      </c>
      <c r="M1720" s="282" t="e">
        <f>(INDEX(Tabla6[#All],MATCH(Tabla4[[#This Row],[Producto]],Tabla6[[#All],[PRODUCTO]],0),MATCH(Tabla4[[#This Row],[Mes]],Tabla6[#Headers],0)))*(1+Catalogos!$L$2)</f>
        <v>#N/A</v>
      </c>
      <c r="N1720" s="283" t="e">
        <f>+(Tabla4[[#This Row],[Precio Descontado]]-Tabla4[[#This Row],[Precio Base]])*Tabla4[[#This Row],[Cantidad]]</f>
        <v>#N/A</v>
      </c>
      <c r="O1720" s="284" t="e">
        <f>++Tabla4[[#This Row],[Utilidad Total]]/Tabla4[[#This Row],[Total]]</f>
        <v>#N/A</v>
      </c>
      <c r="P1720" s="282">
        <f>++Tabla4[[#This Row],[Precio Descontado]]*Tabla4[[#This Row],[Cantidad]]</f>
        <v>3294.8739295999999</v>
      </c>
      <c r="Q1720" s="282" t="e">
        <f>(INDEX(Tabla6[#All],MATCH(Tabla4[[#This Row],[Producto]],Tabla6[[#All],[PRODUCTO]],0),MATCH(Tabla4[[#This Row],[Mes]],Tabla6[#Headers],0)))</f>
        <v>#N/A</v>
      </c>
      <c r="R1720" s="282" t="e">
        <f>++Tabla4[[#This Row],[Precio Unitario Neto]]-Tabla4[[#This Row],[20.85%]]-Tabla4[[#This Row],[Costo]]</f>
        <v>#N/A</v>
      </c>
      <c r="S1720" s="282" t="e">
        <f>++Tabla4[[#This Row],[U. Bruta Uni]]*Tabla4[[#This Row],[Cantidad]]</f>
        <v>#N/A</v>
      </c>
      <c r="T1720" s="369" t="str">
        <f>VLOOKUP(Tabla4[[#This Row],[Producto]],Tabla6[#All],14,FALSE)</f>
        <v>Termico Solar</v>
      </c>
      <c r="U1720" s="284" t="e">
        <f>(IF(Tabla4[[#This Row],[Familia]]="termico solar",Tabla4[[#This Row],[Utilidad Total]]*6%,Tabla4[[#This Row],[Utilidad Total]]*11.5%))/Tabla4[[#This Row],[Total]]</f>
        <v>#N/A</v>
      </c>
      <c r="V1720" s="282" t="e">
        <f>+Tabla4[[#This Row],[Comisión Calculada]]*Tabla4[[#This Row],[Total]]</f>
        <v>#N/A</v>
      </c>
    </row>
    <row r="1721" spans="1:22" hidden="1" x14ac:dyDescent="0.25">
      <c r="A1721" s="100">
        <v>45747</v>
      </c>
      <c r="B1721" t="str">
        <f t="shared" si="85"/>
        <v>March</v>
      </c>
      <c r="C1721" s="46" t="s">
        <v>280</v>
      </c>
      <c r="F1721" s="366" t="s">
        <v>1368</v>
      </c>
      <c r="G1721" s="46" t="s">
        <v>555</v>
      </c>
      <c r="H1721" s="46">
        <v>8</v>
      </c>
      <c r="I1721" s="51">
        <v>389.47</v>
      </c>
      <c r="J1721" s="281">
        <f>++Tabla4[[#This Row],[Precio Bruto]]*1.16</f>
        <v>451.78519999999997</v>
      </c>
      <c r="K1721" s="281">
        <f>+Tabla4[[#This Row],[Precio Unitario Neto]]*Tabla4[[#Headers],[20.85%]]</f>
        <v>94.197214199999991</v>
      </c>
      <c r="L1721" s="282">
        <f>++Tabla4[[#This Row],[Precio Unitario Neto]]-Tabla4[[#This Row],[20.85%]]</f>
        <v>357.58798579999996</v>
      </c>
      <c r="M1721" s="282" t="e">
        <f>(INDEX(Tabla6[#All],MATCH(Tabla4[[#This Row],[Producto]],Tabla6[[#All],[PRODUCTO]],0),MATCH(Tabla4[[#This Row],[Mes]],Tabla6[#Headers],0)))*(1+Catalogos!$L$2)</f>
        <v>#N/A</v>
      </c>
      <c r="N1721" s="283" t="e">
        <f>+(Tabla4[[#This Row],[Precio Descontado]]-Tabla4[[#This Row],[Precio Base]])*Tabla4[[#This Row],[Cantidad]]</f>
        <v>#N/A</v>
      </c>
      <c r="O1721" s="284" t="e">
        <f>++Tabla4[[#This Row],[Utilidad Total]]/Tabla4[[#This Row],[Total]]</f>
        <v>#N/A</v>
      </c>
      <c r="P1721" s="282">
        <f>++Tabla4[[#This Row],[Precio Descontado]]*Tabla4[[#This Row],[Cantidad]]</f>
        <v>2860.7038863999996</v>
      </c>
      <c r="Q1721" s="282" t="e">
        <f>(INDEX(Tabla6[#All],MATCH(Tabla4[[#This Row],[Producto]],Tabla6[[#All],[PRODUCTO]],0),MATCH(Tabla4[[#This Row],[Mes]],Tabla6[#Headers],0)))</f>
        <v>#N/A</v>
      </c>
      <c r="R1721" s="282" t="e">
        <f>++Tabla4[[#This Row],[Precio Unitario Neto]]-Tabla4[[#This Row],[20.85%]]-Tabla4[[#This Row],[Costo]]</f>
        <v>#N/A</v>
      </c>
      <c r="S1721" s="282" t="e">
        <f>++Tabla4[[#This Row],[U. Bruta Uni]]*Tabla4[[#This Row],[Cantidad]]</f>
        <v>#N/A</v>
      </c>
      <c r="T1721" s="369" t="str">
        <f>VLOOKUP(Tabla4[[#This Row],[Producto]],Tabla6[#All],14,FALSE)</f>
        <v>Termico Solar</v>
      </c>
      <c r="U1721" s="284" t="e">
        <f>(IF(Tabla4[[#This Row],[Familia]]="termico solar",Tabla4[[#This Row],[Utilidad Total]]*6%,Tabla4[[#This Row],[Utilidad Total]]*11.5%))/Tabla4[[#This Row],[Total]]</f>
        <v>#N/A</v>
      </c>
      <c r="V1721" s="282" t="e">
        <f>+Tabla4[[#This Row],[Comisión Calculada]]*Tabla4[[#This Row],[Total]]</f>
        <v>#N/A</v>
      </c>
    </row>
    <row r="1722" spans="1:22" hidden="1" x14ac:dyDescent="0.25">
      <c r="A1722" s="100">
        <v>45747</v>
      </c>
      <c r="B1722" t="str">
        <f t="shared" si="85"/>
        <v>March</v>
      </c>
      <c r="C1722" s="46" t="s">
        <v>280</v>
      </c>
      <c r="F1722" s="366" t="s">
        <v>1368</v>
      </c>
      <c r="G1722" s="46" t="s">
        <v>208</v>
      </c>
      <c r="H1722" s="46">
        <v>2</v>
      </c>
      <c r="I1722" s="51">
        <v>189.75</v>
      </c>
      <c r="J1722" s="281">
        <f>++Tabla4[[#This Row],[Precio Bruto]]*1.16</f>
        <v>220.10999999999999</v>
      </c>
      <c r="K1722" s="281">
        <f>+Tabla4[[#This Row],[Precio Unitario Neto]]*Tabla4[[#Headers],[20.85%]]</f>
        <v>45.892934999999994</v>
      </c>
      <c r="L1722" s="282">
        <f>++Tabla4[[#This Row],[Precio Unitario Neto]]-Tabla4[[#This Row],[20.85%]]</f>
        <v>174.21706499999999</v>
      </c>
      <c r="M1722" s="282" t="e">
        <f>(INDEX(Tabla6[#All],MATCH(Tabla4[[#This Row],[Producto]],Tabla6[[#All],[PRODUCTO]],0),MATCH(Tabla4[[#This Row],[Mes]],Tabla6[#Headers],0)))*(1+Catalogos!$L$2)</f>
        <v>#N/A</v>
      </c>
      <c r="N1722" s="283" t="e">
        <f>+(Tabla4[[#This Row],[Precio Descontado]]-Tabla4[[#This Row],[Precio Base]])*Tabla4[[#This Row],[Cantidad]]</f>
        <v>#N/A</v>
      </c>
      <c r="O1722" s="284" t="e">
        <f>++Tabla4[[#This Row],[Utilidad Total]]/Tabla4[[#This Row],[Total]]</f>
        <v>#N/A</v>
      </c>
      <c r="P1722" s="282">
        <f>++Tabla4[[#This Row],[Precio Descontado]]*Tabla4[[#This Row],[Cantidad]]</f>
        <v>348.43412999999998</v>
      </c>
      <c r="Q1722" s="282" t="e">
        <f>(INDEX(Tabla6[#All],MATCH(Tabla4[[#This Row],[Producto]],Tabla6[[#All],[PRODUCTO]],0),MATCH(Tabla4[[#This Row],[Mes]],Tabla6[#Headers],0)))</f>
        <v>#N/A</v>
      </c>
      <c r="R1722" s="282" t="e">
        <f>++Tabla4[[#This Row],[Precio Unitario Neto]]-Tabla4[[#This Row],[20.85%]]-Tabla4[[#This Row],[Costo]]</f>
        <v>#N/A</v>
      </c>
      <c r="S1722" s="282" t="e">
        <f>++Tabla4[[#This Row],[U. Bruta Uni]]*Tabla4[[#This Row],[Cantidad]]</f>
        <v>#N/A</v>
      </c>
      <c r="T1722" s="369" t="str">
        <f>VLOOKUP(Tabla4[[#This Row],[Producto]],Tabla6[#All],14,FALSE)</f>
        <v>Termico Solar</v>
      </c>
      <c r="U1722" s="284" t="e">
        <f>(IF(Tabla4[[#This Row],[Familia]]="termico solar",Tabla4[[#This Row],[Utilidad Total]]*6%,Tabla4[[#This Row],[Utilidad Total]]*11.5%))/Tabla4[[#This Row],[Total]]</f>
        <v>#N/A</v>
      </c>
      <c r="V1722" s="282" t="e">
        <f>+Tabla4[[#This Row],[Comisión Calculada]]*Tabla4[[#This Row],[Total]]</f>
        <v>#N/A</v>
      </c>
    </row>
    <row r="1723" spans="1:22" hidden="1" x14ac:dyDescent="0.25">
      <c r="A1723" s="100">
        <v>45747</v>
      </c>
      <c r="B1723" t="str">
        <f t="shared" si="85"/>
        <v>March</v>
      </c>
      <c r="C1723" s="46" t="s">
        <v>280</v>
      </c>
      <c r="F1723" s="366" t="s">
        <v>1369</v>
      </c>
      <c r="G1723" s="46" t="s">
        <v>17</v>
      </c>
      <c r="H1723" s="46">
        <v>1</v>
      </c>
      <c r="I1723" s="51">
        <v>4622.28</v>
      </c>
      <c r="J1723" s="281">
        <f>++Tabla4[[#This Row],[Precio Bruto]]*1.16</f>
        <v>5361.8447999999989</v>
      </c>
      <c r="K1723" s="281">
        <f>+Tabla4[[#This Row],[Precio Unitario Neto]]*Tabla4[[#Headers],[20.85%]]</f>
        <v>1117.9446407999997</v>
      </c>
      <c r="L1723" s="282">
        <f>++Tabla4[[#This Row],[Precio Unitario Neto]]-Tabla4[[#This Row],[20.85%]]</f>
        <v>4243.9001591999995</v>
      </c>
      <c r="M1723" s="282" t="e">
        <f>(INDEX(Tabla6[#All],MATCH(Tabla4[[#This Row],[Producto]],Tabla6[[#All],[PRODUCTO]],0),MATCH(Tabla4[[#This Row],[Mes]],Tabla6[#Headers],0)))*(1+Catalogos!$L$2)</f>
        <v>#N/A</v>
      </c>
      <c r="N1723" s="283" t="e">
        <f>+(Tabla4[[#This Row],[Precio Descontado]]-Tabla4[[#This Row],[Precio Base]])*Tabla4[[#This Row],[Cantidad]]</f>
        <v>#N/A</v>
      </c>
      <c r="O1723" s="284" t="e">
        <f>++Tabla4[[#This Row],[Utilidad Total]]/Tabla4[[#This Row],[Total]]</f>
        <v>#N/A</v>
      </c>
      <c r="P1723" s="282">
        <f>++Tabla4[[#This Row],[Precio Descontado]]*Tabla4[[#This Row],[Cantidad]]</f>
        <v>4243.9001591999995</v>
      </c>
      <c r="Q1723" s="282" t="e">
        <f>(INDEX(Tabla6[#All],MATCH(Tabla4[[#This Row],[Producto]],Tabla6[[#All],[PRODUCTO]],0),MATCH(Tabla4[[#This Row],[Mes]],Tabla6[#Headers],0)))</f>
        <v>#N/A</v>
      </c>
      <c r="R1723" s="282" t="e">
        <f>++Tabla4[[#This Row],[Precio Unitario Neto]]-Tabla4[[#This Row],[20.85%]]-Tabla4[[#This Row],[Costo]]</f>
        <v>#N/A</v>
      </c>
      <c r="S1723" s="282" t="e">
        <f>++Tabla4[[#This Row],[U. Bruta Uni]]*Tabla4[[#This Row],[Cantidad]]</f>
        <v>#N/A</v>
      </c>
      <c r="T1723" s="369" t="str">
        <f>VLOOKUP(Tabla4[[#This Row],[Producto]],Tabla6[#All],14,FALSE)</f>
        <v>Termico Solar</v>
      </c>
      <c r="U1723" s="284" t="e">
        <f>(IF(Tabla4[[#This Row],[Familia]]="termico solar",Tabla4[[#This Row],[Utilidad Total]]*6%,Tabla4[[#This Row],[Utilidad Total]]*11.5%))/Tabla4[[#This Row],[Total]]</f>
        <v>#N/A</v>
      </c>
      <c r="V1723" s="282" t="e">
        <f>+Tabla4[[#This Row],[Comisión Calculada]]*Tabla4[[#This Row],[Total]]</f>
        <v>#N/A</v>
      </c>
    </row>
    <row r="1724" spans="1:22" hidden="1" x14ac:dyDescent="0.25">
      <c r="A1724" s="100">
        <v>45747</v>
      </c>
      <c r="B1724" t="str">
        <f t="shared" si="85"/>
        <v>March</v>
      </c>
      <c r="C1724" s="46" t="s">
        <v>280</v>
      </c>
      <c r="F1724" s="366" t="s">
        <v>1369</v>
      </c>
      <c r="G1724" s="46" t="s">
        <v>208</v>
      </c>
      <c r="H1724" s="46">
        <v>15</v>
      </c>
      <c r="I1724" s="51">
        <v>140.63</v>
      </c>
      <c r="J1724" s="281">
        <f>++Tabla4[[#This Row],[Precio Bruto]]*1.16</f>
        <v>163.13079999999999</v>
      </c>
      <c r="K1724" s="281">
        <f>+Tabla4[[#This Row],[Precio Unitario Neto]]*Tabla4[[#Headers],[20.85%]]</f>
        <v>34.012771799999996</v>
      </c>
      <c r="L1724" s="282">
        <f>++Tabla4[[#This Row],[Precio Unitario Neto]]-Tabla4[[#This Row],[20.85%]]</f>
        <v>129.1180282</v>
      </c>
      <c r="M1724" s="282" t="e">
        <f>(INDEX(Tabla6[#All],MATCH(Tabla4[[#This Row],[Producto]],Tabla6[[#All],[PRODUCTO]],0),MATCH(Tabla4[[#This Row],[Mes]],Tabla6[#Headers],0)))*(1+Catalogos!$L$2)</f>
        <v>#N/A</v>
      </c>
      <c r="N1724" s="283" t="e">
        <f>+(Tabla4[[#This Row],[Precio Descontado]]-Tabla4[[#This Row],[Precio Base]])*Tabla4[[#This Row],[Cantidad]]</f>
        <v>#N/A</v>
      </c>
      <c r="O1724" s="284" t="e">
        <f>++Tabla4[[#This Row],[Utilidad Total]]/Tabla4[[#This Row],[Total]]</f>
        <v>#N/A</v>
      </c>
      <c r="P1724" s="282">
        <f>++Tabla4[[#This Row],[Precio Descontado]]*Tabla4[[#This Row],[Cantidad]]</f>
        <v>1936.7704229999999</v>
      </c>
      <c r="Q1724" s="282" t="e">
        <f>(INDEX(Tabla6[#All],MATCH(Tabla4[[#This Row],[Producto]],Tabla6[[#All],[PRODUCTO]],0),MATCH(Tabla4[[#This Row],[Mes]],Tabla6[#Headers],0)))</f>
        <v>#N/A</v>
      </c>
      <c r="R1724" s="282" t="e">
        <f>++Tabla4[[#This Row],[Precio Unitario Neto]]-Tabla4[[#This Row],[20.85%]]-Tabla4[[#This Row],[Costo]]</f>
        <v>#N/A</v>
      </c>
      <c r="S1724" s="282" t="e">
        <f>++Tabla4[[#This Row],[U. Bruta Uni]]*Tabla4[[#This Row],[Cantidad]]</f>
        <v>#N/A</v>
      </c>
      <c r="T1724" s="369" t="str">
        <f>VLOOKUP(Tabla4[[#This Row],[Producto]],Tabla6[#All],14,FALSE)</f>
        <v>Termico Solar</v>
      </c>
      <c r="U1724" s="284" t="e">
        <f>(IF(Tabla4[[#This Row],[Familia]]="termico solar",Tabla4[[#This Row],[Utilidad Total]]*6%,Tabla4[[#This Row],[Utilidad Total]]*11.5%))/Tabla4[[#This Row],[Total]]</f>
        <v>#N/A</v>
      </c>
      <c r="V1724" s="282" t="e">
        <f>+Tabla4[[#This Row],[Comisión Calculada]]*Tabla4[[#This Row],[Total]]</f>
        <v>#N/A</v>
      </c>
    </row>
    <row r="1725" spans="1:22" hidden="1" x14ac:dyDescent="0.25">
      <c r="A1725" s="100">
        <v>45747</v>
      </c>
      <c r="B1725" t="str">
        <f t="shared" si="85"/>
        <v>March</v>
      </c>
      <c r="C1725" s="46" t="s">
        <v>280</v>
      </c>
      <c r="F1725" s="366" t="s">
        <v>1370</v>
      </c>
      <c r="G1725" s="46" t="s">
        <v>83</v>
      </c>
      <c r="H1725" s="46">
        <v>2</v>
      </c>
      <c r="I1725" s="51">
        <v>8858.76</v>
      </c>
      <c r="J1725" s="281">
        <f>++Tabla4[[#This Row],[Precio Bruto]]*1.16</f>
        <v>10276.161599999999</v>
      </c>
      <c r="K1725" s="281">
        <f>+Tabla4[[#This Row],[Precio Unitario Neto]]*Tabla4[[#Headers],[20.85%]]</f>
        <v>2142.5796935999997</v>
      </c>
      <c r="L1725" s="282">
        <f>++Tabla4[[#This Row],[Precio Unitario Neto]]-Tabla4[[#This Row],[20.85%]]</f>
        <v>8133.5819063999998</v>
      </c>
      <c r="M1725" s="282" t="e">
        <f>(INDEX(Tabla6[#All],MATCH(Tabla4[[#This Row],[Producto]],Tabla6[[#All],[PRODUCTO]],0),MATCH(Tabla4[[#This Row],[Mes]],Tabla6[#Headers],0)))*(1+Catalogos!$L$2)</f>
        <v>#N/A</v>
      </c>
      <c r="N1725" s="283" t="e">
        <f>+(Tabla4[[#This Row],[Precio Descontado]]-Tabla4[[#This Row],[Precio Base]])*Tabla4[[#This Row],[Cantidad]]</f>
        <v>#N/A</v>
      </c>
      <c r="O1725" s="284" t="e">
        <f>++Tabla4[[#This Row],[Utilidad Total]]/Tabla4[[#This Row],[Total]]</f>
        <v>#N/A</v>
      </c>
      <c r="P1725" s="282">
        <f>++Tabla4[[#This Row],[Precio Descontado]]*Tabla4[[#This Row],[Cantidad]]</f>
        <v>16267.1638128</v>
      </c>
      <c r="Q1725" s="282" t="e">
        <f>(INDEX(Tabla6[#All],MATCH(Tabla4[[#This Row],[Producto]],Tabla6[[#All],[PRODUCTO]],0),MATCH(Tabla4[[#This Row],[Mes]],Tabla6[#Headers],0)))</f>
        <v>#N/A</v>
      </c>
      <c r="R1725" s="282" t="e">
        <f>++Tabla4[[#This Row],[Precio Unitario Neto]]-Tabla4[[#This Row],[20.85%]]-Tabla4[[#This Row],[Costo]]</f>
        <v>#N/A</v>
      </c>
      <c r="S1725" s="282" t="e">
        <f>++Tabla4[[#This Row],[U. Bruta Uni]]*Tabla4[[#This Row],[Cantidad]]</f>
        <v>#N/A</v>
      </c>
      <c r="T1725" s="369" t="str">
        <f>VLOOKUP(Tabla4[[#This Row],[Producto]],Tabla6[#All],14,FALSE)</f>
        <v>Termico Solar</v>
      </c>
      <c r="U1725" s="284" t="e">
        <f>(IF(Tabla4[[#This Row],[Familia]]="termico solar",Tabla4[[#This Row],[Utilidad Total]]*6%,Tabla4[[#This Row],[Utilidad Total]]*11.5%))/Tabla4[[#This Row],[Total]]</f>
        <v>#N/A</v>
      </c>
      <c r="V1725" s="282" t="e">
        <f>+Tabla4[[#This Row],[Comisión Calculada]]*Tabla4[[#This Row],[Total]]</f>
        <v>#N/A</v>
      </c>
    </row>
    <row r="1726" spans="1:22" hidden="1" x14ac:dyDescent="0.25">
      <c r="A1726" s="100">
        <v>45747</v>
      </c>
      <c r="B1726" t="str">
        <f t="shared" si="85"/>
        <v>March</v>
      </c>
      <c r="C1726" s="46" t="s">
        <v>280</v>
      </c>
      <c r="F1726" s="366" t="s">
        <v>1370</v>
      </c>
      <c r="G1726" s="46" t="s">
        <v>18</v>
      </c>
      <c r="H1726" s="46">
        <v>3</v>
      </c>
      <c r="I1726" s="51">
        <v>5367.6500000000005</v>
      </c>
      <c r="J1726" s="281">
        <f>++Tabla4[[#This Row],[Precio Bruto]]*1.16</f>
        <v>6226.4740000000002</v>
      </c>
      <c r="K1726" s="281">
        <f>+Tabla4[[#This Row],[Precio Unitario Neto]]*Tabla4[[#Headers],[20.85%]]</f>
        <v>1298.2198289999999</v>
      </c>
      <c r="L1726" s="282">
        <f>++Tabla4[[#This Row],[Precio Unitario Neto]]-Tabla4[[#This Row],[20.85%]]</f>
        <v>4928.2541710000005</v>
      </c>
      <c r="M1726" s="282" t="e">
        <f>(INDEX(Tabla6[#All],MATCH(Tabla4[[#This Row],[Producto]],Tabla6[[#All],[PRODUCTO]],0),MATCH(Tabla4[[#This Row],[Mes]],Tabla6[#Headers],0)))*(1+Catalogos!$L$2)</f>
        <v>#N/A</v>
      </c>
      <c r="N1726" s="283" t="e">
        <f>+(Tabla4[[#This Row],[Precio Descontado]]-Tabla4[[#This Row],[Precio Base]])*Tabla4[[#This Row],[Cantidad]]</f>
        <v>#N/A</v>
      </c>
      <c r="O1726" s="284" t="e">
        <f>++Tabla4[[#This Row],[Utilidad Total]]/Tabla4[[#This Row],[Total]]</f>
        <v>#N/A</v>
      </c>
      <c r="P1726" s="282">
        <f>++Tabla4[[#This Row],[Precio Descontado]]*Tabla4[[#This Row],[Cantidad]]</f>
        <v>14784.762513000001</v>
      </c>
      <c r="Q1726" s="282" t="e">
        <f>(INDEX(Tabla6[#All],MATCH(Tabla4[[#This Row],[Producto]],Tabla6[[#All],[PRODUCTO]],0),MATCH(Tabla4[[#This Row],[Mes]],Tabla6[#Headers],0)))</f>
        <v>#N/A</v>
      </c>
      <c r="R1726" s="282" t="e">
        <f>++Tabla4[[#This Row],[Precio Unitario Neto]]-Tabla4[[#This Row],[20.85%]]-Tabla4[[#This Row],[Costo]]</f>
        <v>#N/A</v>
      </c>
      <c r="S1726" s="282" t="e">
        <f>++Tabla4[[#This Row],[U. Bruta Uni]]*Tabla4[[#This Row],[Cantidad]]</f>
        <v>#N/A</v>
      </c>
      <c r="T1726" s="369" t="str">
        <f>VLOOKUP(Tabla4[[#This Row],[Producto]],Tabla6[#All],14,FALSE)</f>
        <v>Termico Solar</v>
      </c>
      <c r="U1726" s="284" t="e">
        <f>(IF(Tabla4[[#This Row],[Familia]]="termico solar",Tabla4[[#This Row],[Utilidad Total]]*6%,Tabla4[[#This Row],[Utilidad Total]]*11.5%))/Tabla4[[#This Row],[Total]]</f>
        <v>#N/A</v>
      </c>
      <c r="V1726" s="282" t="e">
        <f>+Tabla4[[#This Row],[Comisión Calculada]]*Tabla4[[#This Row],[Total]]</f>
        <v>#N/A</v>
      </c>
    </row>
    <row r="1727" spans="1:22" hidden="1" x14ac:dyDescent="0.25">
      <c r="A1727" s="100">
        <v>45747</v>
      </c>
      <c r="B1727" t="str">
        <f t="shared" si="85"/>
        <v>March</v>
      </c>
      <c r="C1727" s="46" t="s">
        <v>280</v>
      </c>
      <c r="F1727" s="366" t="s">
        <v>1370</v>
      </c>
      <c r="G1727" s="46" t="s">
        <v>16</v>
      </c>
      <c r="H1727" s="46">
        <v>2</v>
      </c>
      <c r="I1727" s="51">
        <v>4103.8500000000004</v>
      </c>
      <c r="J1727" s="281">
        <f>++Tabla4[[#This Row],[Precio Bruto]]*1.16</f>
        <v>4760.4660000000003</v>
      </c>
      <c r="K1727" s="281">
        <f>+Tabla4[[#This Row],[Precio Unitario Neto]]*Tabla4[[#Headers],[20.85%]]</f>
        <v>992.55716100000006</v>
      </c>
      <c r="L1727" s="282">
        <f>++Tabla4[[#This Row],[Precio Unitario Neto]]-Tabla4[[#This Row],[20.85%]]</f>
        <v>3767.9088390000002</v>
      </c>
      <c r="M1727" s="282" t="e">
        <f>(INDEX(Tabla6[#All],MATCH(Tabla4[[#This Row],[Producto]],Tabla6[[#All],[PRODUCTO]],0),MATCH(Tabla4[[#This Row],[Mes]],Tabla6[#Headers],0)))*(1+Catalogos!$L$2)</f>
        <v>#N/A</v>
      </c>
      <c r="N1727" s="283" t="e">
        <f>+(Tabla4[[#This Row],[Precio Descontado]]-Tabla4[[#This Row],[Precio Base]])*Tabla4[[#This Row],[Cantidad]]</f>
        <v>#N/A</v>
      </c>
      <c r="O1727" s="284" t="e">
        <f>++Tabla4[[#This Row],[Utilidad Total]]/Tabla4[[#This Row],[Total]]</f>
        <v>#N/A</v>
      </c>
      <c r="P1727" s="282">
        <f>++Tabla4[[#This Row],[Precio Descontado]]*Tabla4[[#This Row],[Cantidad]]</f>
        <v>7535.8176780000003</v>
      </c>
      <c r="Q1727" s="282" t="e">
        <f>(INDEX(Tabla6[#All],MATCH(Tabla4[[#This Row],[Producto]],Tabla6[[#All],[PRODUCTO]],0),MATCH(Tabla4[[#This Row],[Mes]],Tabla6[#Headers],0)))</f>
        <v>#N/A</v>
      </c>
      <c r="R1727" s="282" t="e">
        <f>++Tabla4[[#This Row],[Precio Unitario Neto]]-Tabla4[[#This Row],[20.85%]]-Tabla4[[#This Row],[Costo]]</f>
        <v>#N/A</v>
      </c>
      <c r="S1727" s="282" t="e">
        <f>++Tabla4[[#This Row],[U. Bruta Uni]]*Tabla4[[#This Row],[Cantidad]]</f>
        <v>#N/A</v>
      </c>
      <c r="T1727" s="369" t="str">
        <f>VLOOKUP(Tabla4[[#This Row],[Producto]],Tabla6[#All],14,FALSE)</f>
        <v>Termico Solar</v>
      </c>
      <c r="U1727" s="284" t="e">
        <f>(IF(Tabla4[[#This Row],[Familia]]="termico solar",Tabla4[[#This Row],[Utilidad Total]]*6%,Tabla4[[#This Row],[Utilidad Total]]*11.5%))/Tabla4[[#This Row],[Total]]</f>
        <v>#N/A</v>
      </c>
      <c r="V1727" s="282" t="e">
        <f>+Tabla4[[#This Row],[Comisión Calculada]]*Tabla4[[#This Row],[Total]]</f>
        <v>#N/A</v>
      </c>
    </row>
    <row r="1728" spans="1:22" hidden="1" x14ac:dyDescent="0.25">
      <c r="A1728" s="100">
        <v>45747</v>
      </c>
      <c r="B1728" t="str">
        <f t="shared" si="85"/>
        <v>March</v>
      </c>
      <c r="C1728" s="46" t="s">
        <v>280</v>
      </c>
      <c r="F1728" s="366" t="s">
        <v>1371</v>
      </c>
      <c r="G1728" s="46" t="s">
        <v>83</v>
      </c>
      <c r="H1728" s="46">
        <v>4</v>
      </c>
      <c r="I1728" s="51">
        <v>8858.76</v>
      </c>
      <c r="J1728" s="281">
        <f>++Tabla4[[#This Row],[Precio Bruto]]*1.16</f>
        <v>10276.161599999999</v>
      </c>
      <c r="K1728" s="281">
        <f>+Tabla4[[#This Row],[Precio Unitario Neto]]*Tabla4[[#Headers],[20.85%]]</f>
        <v>2142.5796935999997</v>
      </c>
      <c r="L1728" s="282">
        <f>++Tabla4[[#This Row],[Precio Unitario Neto]]-Tabla4[[#This Row],[20.85%]]</f>
        <v>8133.5819063999998</v>
      </c>
      <c r="M1728" s="282" t="e">
        <f>(INDEX(Tabla6[#All],MATCH(Tabla4[[#This Row],[Producto]],Tabla6[[#All],[PRODUCTO]],0),MATCH(Tabla4[[#This Row],[Mes]],Tabla6[#Headers],0)))*(1+Catalogos!$L$2)</f>
        <v>#N/A</v>
      </c>
      <c r="N1728" s="283" t="e">
        <f>+(Tabla4[[#This Row],[Precio Descontado]]-Tabla4[[#This Row],[Precio Base]])*Tabla4[[#This Row],[Cantidad]]</f>
        <v>#N/A</v>
      </c>
      <c r="O1728" s="284" t="e">
        <f>++Tabla4[[#This Row],[Utilidad Total]]/Tabla4[[#This Row],[Total]]</f>
        <v>#N/A</v>
      </c>
      <c r="P1728" s="282">
        <f>++Tabla4[[#This Row],[Precio Descontado]]*Tabla4[[#This Row],[Cantidad]]</f>
        <v>32534.327625599999</v>
      </c>
      <c r="Q1728" s="282" t="e">
        <f>(INDEX(Tabla6[#All],MATCH(Tabla4[[#This Row],[Producto]],Tabla6[[#All],[PRODUCTO]],0),MATCH(Tabla4[[#This Row],[Mes]],Tabla6[#Headers],0)))</f>
        <v>#N/A</v>
      </c>
      <c r="R1728" s="282" t="e">
        <f>++Tabla4[[#This Row],[Precio Unitario Neto]]-Tabla4[[#This Row],[20.85%]]-Tabla4[[#This Row],[Costo]]</f>
        <v>#N/A</v>
      </c>
      <c r="S1728" s="282" t="e">
        <f>++Tabla4[[#This Row],[U. Bruta Uni]]*Tabla4[[#This Row],[Cantidad]]</f>
        <v>#N/A</v>
      </c>
      <c r="T1728" s="369" t="str">
        <f>VLOOKUP(Tabla4[[#This Row],[Producto]],Tabla6[#All],14,FALSE)</f>
        <v>Termico Solar</v>
      </c>
      <c r="U1728" s="284" t="e">
        <f>(IF(Tabla4[[#This Row],[Familia]]="termico solar",Tabla4[[#This Row],[Utilidad Total]]*6%,Tabla4[[#This Row],[Utilidad Total]]*11.5%))/Tabla4[[#This Row],[Total]]</f>
        <v>#N/A</v>
      </c>
      <c r="V1728" s="282" t="e">
        <f>+Tabla4[[#This Row],[Comisión Calculada]]*Tabla4[[#This Row],[Total]]</f>
        <v>#N/A</v>
      </c>
    </row>
    <row r="1729" spans="1:22" hidden="1" x14ac:dyDescent="0.25">
      <c r="A1729" s="100">
        <v>45747</v>
      </c>
      <c r="B1729" t="str">
        <f t="shared" si="85"/>
        <v>March</v>
      </c>
      <c r="C1729" s="46" t="s">
        <v>280</v>
      </c>
      <c r="F1729" s="366" t="s">
        <v>1371</v>
      </c>
      <c r="G1729" s="46" t="s">
        <v>17</v>
      </c>
      <c r="H1729" s="46">
        <v>5</v>
      </c>
      <c r="I1729" s="51">
        <v>4622.2800000000007</v>
      </c>
      <c r="J1729" s="281">
        <f>++Tabla4[[#This Row],[Precio Bruto]]*1.16</f>
        <v>5361.8448000000008</v>
      </c>
      <c r="K1729" s="281">
        <f>+Tabla4[[#This Row],[Precio Unitario Neto]]*Tabla4[[#Headers],[20.85%]]</f>
        <v>1117.9446408000001</v>
      </c>
      <c r="L1729" s="282">
        <f>++Tabla4[[#This Row],[Precio Unitario Neto]]-Tabla4[[#This Row],[20.85%]]</f>
        <v>4243.9001592000004</v>
      </c>
      <c r="M1729" s="282" t="e">
        <f>(INDEX(Tabla6[#All],MATCH(Tabla4[[#This Row],[Producto]],Tabla6[[#All],[PRODUCTO]],0),MATCH(Tabla4[[#This Row],[Mes]],Tabla6[#Headers],0)))*(1+Catalogos!$L$2)</f>
        <v>#N/A</v>
      </c>
      <c r="N1729" s="283" t="e">
        <f>+(Tabla4[[#This Row],[Precio Descontado]]-Tabla4[[#This Row],[Precio Base]])*Tabla4[[#This Row],[Cantidad]]</f>
        <v>#N/A</v>
      </c>
      <c r="O1729" s="284" t="e">
        <f>++Tabla4[[#This Row],[Utilidad Total]]/Tabla4[[#This Row],[Total]]</f>
        <v>#N/A</v>
      </c>
      <c r="P1729" s="282">
        <f>++Tabla4[[#This Row],[Precio Descontado]]*Tabla4[[#This Row],[Cantidad]]</f>
        <v>21219.500796</v>
      </c>
      <c r="Q1729" s="282" t="e">
        <f>(INDEX(Tabla6[#All],MATCH(Tabla4[[#This Row],[Producto]],Tabla6[[#All],[PRODUCTO]],0),MATCH(Tabla4[[#This Row],[Mes]],Tabla6[#Headers],0)))</f>
        <v>#N/A</v>
      </c>
      <c r="R1729" s="282" t="e">
        <f>++Tabla4[[#This Row],[Precio Unitario Neto]]-Tabla4[[#This Row],[20.85%]]-Tabla4[[#This Row],[Costo]]</f>
        <v>#N/A</v>
      </c>
      <c r="S1729" s="282" t="e">
        <f>++Tabla4[[#This Row],[U. Bruta Uni]]*Tabla4[[#This Row],[Cantidad]]</f>
        <v>#N/A</v>
      </c>
      <c r="T1729" s="369" t="str">
        <f>VLOOKUP(Tabla4[[#This Row],[Producto]],Tabla6[#All],14,FALSE)</f>
        <v>Termico Solar</v>
      </c>
      <c r="U1729" s="284" t="e">
        <f>(IF(Tabla4[[#This Row],[Familia]]="termico solar",Tabla4[[#This Row],[Utilidad Total]]*6%,Tabla4[[#This Row],[Utilidad Total]]*11.5%))/Tabla4[[#This Row],[Total]]</f>
        <v>#N/A</v>
      </c>
      <c r="V1729" s="282" t="e">
        <f>+Tabla4[[#This Row],[Comisión Calculada]]*Tabla4[[#This Row],[Total]]</f>
        <v>#N/A</v>
      </c>
    </row>
    <row r="1730" spans="1:22" ht="15.75" hidden="1" customHeight="1" x14ac:dyDescent="0.25">
      <c r="A1730" s="100">
        <v>45747</v>
      </c>
      <c r="B1730" t="str">
        <f t="shared" si="85"/>
        <v>March</v>
      </c>
      <c r="C1730" s="46" t="s">
        <v>280</v>
      </c>
      <c r="F1730" s="366" t="s">
        <v>1371</v>
      </c>
      <c r="G1730" s="46" t="s">
        <v>18</v>
      </c>
      <c r="H1730" s="46">
        <v>5</v>
      </c>
      <c r="I1730" s="51">
        <v>5367.65</v>
      </c>
      <c r="J1730" s="281">
        <f>++Tabla4[[#This Row],[Precio Bruto]]*1.16</f>
        <v>6226.4739999999993</v>
      </c>
      <c r="K1730" s="281">
        <f>+Tabla4[[#This Row],[Precio Unitario Neto]]*Tabla4[[#Headers],[20.85%]]</f>
        <v>1298.2198289999999</v>
      </c>
      <c r="L1730" s="282">
        <f>++Tabla4[[#This Row],[Precio Unitario Neto]]-Tabla4[[#This Row],[20.85%]]</f>
        <v>4928.2541709999996</v>
      </c>
      <c r="M1730" s="282" t="e">
        <f>(INDEX(Tabla6[#All],MATCH(Tabla4[[#This Row],[Producto]],Tabla6[[#All],[PRODUCTO]],0),MATCH(Tabla4[[#This Row],[Mes]],Tabla6[#Headers],0)))*(1+Catalogos!$L$2)</f>
        <v>#N/A</v>
      </c>
      <c r="N1730" s="283" t="e">
        <f>+(Tabla4[[#This Row],[Precio Descontado]]-Tabla4[[#This Row],[Precio Base]])*Tabla4[[#This Row],[Cantidad]]</f>
        <v>#N/A</v>
      </c>
      <c r="O1730" s="284" t="e">
        <f>++Tabla4[[#This Row],[Utilidad Total]]/Tabla4[[#This Row],[Total]]</f>
        <v>#N/A</v>
      </c>
      <c r="P1730" s="282">
        <f>++Tabla4[[#This Row],[Precio Descontado]]*Tabla4[[#This Row],[Cantidad]]</f>
        <v>24641.270854999999</v>
      </c>
      <c r="Q1730" s="282" t="e">
        <f>(INDEX(Tabla6[#All],MATCH(Tabla4[[#This Row],[Producto]],Tabla6[[#All],[PRODUCTO]],0),MATCH(Tabla4[[#This Row],[Mes]],Tabla6[#Headers],0)))</f>
        <v>#N/A</v>
      </c>
      <c r="R1730" s="282" t="e">
        <f>++Tabla4[[#This Row],[Precio Unitario Neto]]-Tabla4[[#This Row],[20.85%]]-Tabla4[[#This Row],[Costo]]</f>
        <v>#N/A</v>
      </c>
      <c r="S1730" s="282" t="e">
        <f>++Tabla4[[#This Row],[U. Bruta Uni]]*Tabla4[[#This Row],[Cantidad]]</f>
        <v>#N/A</v>
      </c>
      <c r="T1730" s="369" t="str">
        <f>VLOOKUP(Tabla4[[#This Row],[Producto]],Tabla6[#All],14,FALSE)</f>
        <v>Termico Solar</v>
      </c>
      <c r="U1730" s="284" t="e">
        <f>(IF(Tabla4[[#This Row],[Familia]]="termico solar",Tabla4[[#This Row],[Utilidad Total]]*6%,Tabla4[[#This Row],[Utilidad Total]]*11.5%))/Tabla4[[#This Row],[Total]]</f>
        <v>#N/A</v>
      </c>
      <c r="V1730" s="282" t="e">
        <f>+Tabla4[[#This Row],[Comisión Calculada]]*Tabla4[[#This Row],[Total]]</f>
        <v>#N/A</v>
      </c>
    </row>
    <row r="1731" spans="1:22" hidden="1" x14ac:dyDescent="0.25">
      <c r="A1731" s="100">
        <v>45747</v>
      </c>
      <c r="B1731" t="str">
        <f t="shared" si="85"/>
        <v>March</v>
      </c>
      <c r="C1731" s="46" t="s">
        <v>280</v>
      </c>
      <c r="F1731" s="366" t="s">
        <v>1371</v>
      </c>
      <c r="G1731" s="46" t="s">
        <v>16</v>
      </c>
      <c r="H1731" s="46">
        <v>2</v>
      </c>
      <c r="I1731" s="51">
        <v>4103.8500000000004</v>
      </c>
      <c r="J1731" s="281">
        <f>++Tabla4[[#This Row],[Precio Bruto]]*1.16</f>
        <v>4760.4660000000003</v>
      </c>
      <c r="K1731" s="281">
        <f>+Tabla4[[#This Row],[Precio Unitario Neto]]*Tabla4[[#Headers],[20.85%]]</f>
        <v>992.55716100000006</v>
      </c>
      <c r="L1731" s="282">
        <f>++Tabla4[[#This Row],[Precio Unitario Neto]]-Tabla4[[#This Row],[20.85%]]</f>
        <v>3767.9088390000002</v>
      </c>
      <c r="M1731" s="282" t="e">
        <f>(INDEX(Tabla6[#All],MATCH(Tabla4[[#This Row],[Producto]],Tabla6[[#All],[PRODUCTO]],0),MATCH(Tabla4[[#This Row],[Mes]],Tabla6[#Headers],0)))*(1+Catalogos!$L$2)</f>
        <v>#N/A</v>
      </c>
      <c r="N1731" s="283" t="e">
        <f>+(Tabla4[[#This Row],[Precio Descontado]]-Tabla4[[#This Row],[Precio Base]])*Tabla4[[#This Row],[Cantidad]]</f>
        <v>#N/A</v>
      </c>
      <c r="O1731" s="284" t="e">
        <f>++Tabla4[[#This Row],[Utilidad Total]]/Tabla4[[#This Row],[Total]]</f>
        <v>#N/A</v>
      </c>
      <c r="P1731" s="282">
        <f>++Tabla4[[#This Row],[Precio Descontado]]*Tabla4[[#This Row],[Cantidad]]</f>
        <v>7535.8176780000003</v>
      </c>
      <c r="Q1731" s="282" t="e">
        <f>(INDEX(Tabla6[#All],MATCH(Tabla4[[#This Row],[Producto]],Tabla6[[#All],[PRODUCTO]],0),MATCH(Tabla4[[#This Row],[Mes]],Tabla6[#Headers],0)))</f>
        <v>#N/A</v>
      </c>
      <c r="R1731" s="282" t="e">
        <f>++Tabla4[[#This Row],[Precio Unitario Neto]]-Tabla4[[#This Row],[20.85%]]-Tabla4[[#This Row],[Costo]]</f>
        <v>#N/A</v>
      </c>
      <c r="S1731" s="282" t="e">
        <f>++Tabla4[[#This Row],[U. Bruta Uni]]*Tabla4[[#This Row],[Cantidad]]</f>
        <v>#N/A</v>
      </c>
      <c r="T1731" s="369" t="str">
        <f>VLOOKUP(Tabla4[[#This Row],[Producto]],Tabla6[#All],14,FALSE)</f>
        <v>Termico Solar</v>
      </c>
      <c r="U1731" s="284" t="e">
        <f>(IF(Tabla4[[#This Row],[Familia]]="termico solar",Tabla4[[#This Row],[Utilidad Total]]*6%,Tabla4[[#This Row],[Utilidad Total]]*11.5%))/Tabla4[[#This Row],[Total]]</f>
        <v>#N/A</v>
      </c>
      <c r="V1731" s="282" t="e">
        <f>+Tabla4[[#This Row],[Comisión Calculada]]*Tabla4[[#This Row],[Total]]</f>
        <v>#N/A</v>
      </c>
    </row>
    <row r="1732" spans="1:22" hidden="1" x14ac:dyDescent="0.25">
      <c r="A1732" s="100">
        <v>45747</v>
      </c>
      <c r="B1732" t="str">
        <f t="shared" si="85"/>
        <v>March</v>
      </c>
      <c r="C1732" s="46" t="s">
        <v>280</v>
      </c>
      <c r="F1732" s="366" t="s">
        <v>1372</v>
      </c>
      <c r="G1732" s="46" t="s">
        <v>18</v>
      </c>
      <c r="H1732" s="46">
        <v>1</v>
      </c>
      <c r="I1732" s="51">
        <v>5367.65</v>
      </c>
      <c r="J1732" s="281">
        <f>++Tabla4[[#This Row],[Precio Bruto]]*1.16</f>
        <v>6226.4739999999993</v>
      </c>
      <c r="K1732" s="281">
        <f>+Tabla4[[#This Row],[Precio Unitario Neto]]*Tabla4[[#Headers],[20.85%]]</f>
        <v>1298.2198289999999</v>
      </c>
      <c r="L1732" s="282">
        <f>++Tabla4[[#This Row],[Precio Unitario Neto]]-Tabla4[[#This Row],[20.85%]]</f>
        <v>4928.2541709999996</v>
      </c>
      <c r="M1732" s="282" t="e">
        <f>(INDEX(Tabla6[#All],MATCH(Tabla4[[#This Row],[Producto]],Tabla6[[#All],[PRODUCTO]],0),MATCH(Tabla4[[#This Row],[Mes]],Tabla6[#Headers],0)))*(1+Catalogos!$L$2)</f>
        <v>#N/A</v>
      </c>
      <c r="N1732" s="283" t="e">
        <f>+(Tabla4[[#This Row],[Precio Descontado]]-Tabla4[[#This Row],[Precio Base]])*Tabla4[[#This Row],[Cantidad]]</f>
        <v>#N/A</v>
      </c>
      <c r="O1732" s="284" t="e">
        <f>++Tabla4[[#This Row],[Utilidad Total]]/Tabla4[[#This Row],[Total]]</f>
        <v>#N/A</v>
      </c>
      <c r="P1732" s="282">
        <f>++Tabla4[[#This Row],[Precio Descontado]]*Tabla4[[#This Row],[Cantidad]]</f>
        <v>4928.2541709999996</v>
      </c>
      <c r="Q1732" s="282" t="e">
        <f>(INDEX(Tabla6[#All],MATCH(Tabla4[[#This Row],[Producto]],Tabla6[[#All],[PRODUCTO]],0),MATCH(Tabla4[[#This Row],[Mes]],Tabla6[#Headers],0)))</f>
        <v>#N/A</v>
      </c>
      <c r="R1732" s="282" t="e">
        <f>++Tabla4[[#This Row],[Precio Unitario Neto]]-Tabla4[[#This Row],[20.85%]]-Tabla4[[#This Row],[Costo]]</f>
        <v>#N/A</v>
      </c>
      <c r="S1732" s="282" t="e">
        <f>++Tabla4[[#This Row],[U. Bruta Uni]]*Tabla4[[#This Row],[Cantidad]]</f>
        <v>#N/A</v>
      </c>
      <c r="T1732" s="369" t="str">
        <f>VLOOKUP(Tabla4[[#This Row],[Producto]],Tabla6[#All],14,FALSE)</f>
        <v>Termico Solar</v>
      </c>
      <c r="U1732" s="284" t="e">
        <f>(IF(Tabla4[[#This Row],[Familia]]="termico solar",Tabla4[[#This Row],[Utilidad Total]]*6%,Tabla4[[#This Row],[Utilidad Total]]*11.5%))/Tabla4[[#This Row],[Total]]</f>
        <v>#N/A</v>
      </c>
      <c r="V1732" s="282" t="e">
        <f>+Tabla4[[#This Row],[Comisión Calculada]]*Tabla4[[#This Row],[Total]]</f>
        <v>#N/A</v>
      </c>
    </row>
    <row r="1733" spans="1:22" hidden="1" x14ac:dyDescent="0.25">
      <c r="A1733" s="100">
        <v>45747</v>
      </c>
      <c r="B1733" t="str">
        <f t="shared" si="85"/>
        <v>March</v>
      </c>
      <c r="C1733" s="46" t="s">
        <v>280</v>
      </c>
      <c r="F1733" s="366" t="s">
        <v>1372</v>
      </c>
      <c r="G1733" s="46" t="s">
        <v>20</v>
      </c>
      <c r="H1733" s="46">
        <v>1</v>
      </c>
      <c r="I1733" s="51">
        <v>7751.98</v>
      </c>
      <c r="J1733" s="281">
        <f>++Tabla4[[#This Row],[Precio Bruto]]*1.16</f>
        <v>8992.2967999999983</v>
      </c>
      <c r="K1733" s="281">
        <f>+Tabla4[[#This Row],[Precio Unitario Neto]]*Tabla4[[#Headers],[20.85%]]</f>
        <v>1874.8938827999996</v>
      </c>
      <c r="L1733" s="282">
        <f>++Tabla4[[#This Row],[Precio Unitario Neto]]-Tabla4[[#This Row],[20.85%]]</f>
        <v>7117.4029171999991</v>
      </c>
      <c r="M1733" s="282" t="e">
        <f>(INDEX(Tabla6[#All],MATCH(Tabla4[[#This Row],[Producto]],Tabla6[[#All],[PRODUCTO]],0),MATCH(Tabla4[[#This Row],[Mes]],Tabla6[#Headers],0)))*(1+Catalogos!$L$2)</f>
        <v>#N/A</v>
      </c>
      <c r="N1733" s="283" t="e">
        <f>+(Tabla4[[#This Row],[Precio Descontado]]-Tabla4[[#This Row],[Precio Base]])*Tabla4[[#This Row],[Cantidad]]</f>
        <v>#N/A</v>
      </c>
      <c r="O1733" s="284" t="e">
        <f>++Tabla4[[#This Row],[Utilidad Total]]/Tabla4[[#This Row],[Total]]</f>
        <v>#N/A</v>
      </c>
      <c r="P1733" s="282">
        <f>++Tabla4[[#This Row],[Precio Descontado]]*Tabla4[[#This Row],[Cantidad]]</f>
        <v>7117.4029171999991</v>
      </c>
      <c r="Q1733" s="282" t="e">
        <f>(INDEX(Tabla6[#All],MATCH(Tabla4[[#This Row],[Producto]],Tabla6[[#All],[PRODUCTO]],0),MATCH(Tabla4[[#This Row],[Mes]],Tabla6[#Headers],0)))</f>
        <v>#N/A</v>
      </c>
      <c r="R1733" s="282" t="e">
        <f>++Tabla4[[#This Row],[Precio Unitario Neto]]-Tabla4[[#This Row],[20.85%]]-Tabla4[[#This Row],[Costo]]</f>
        <v>#N/A</v>
      </c>
      <c r="S1733" s="282" t="e">
        <f>++Tabla4[[#This Row],[U. Bruta Uni]]*Tabla4[[#This Row],[Cantidad]]</f>
        <v>#N/A</v>
      </c>
      <c r="T1733" s="369" t="str">
        <f>VLOOKUP(Tabla4[[#This Row],[Producto]],Tabla6[#All],14,FALSE)</f>
        <v>Termico Solar</v>
      </c>
      <c r="U1733" s="284" t="e">
        <f>(IF(Tabla4[[#This Row],[Familia]]="termico solar",Tabla4[[#This Row],[Utilidad Total]]*6%,Tabla4[[#This Row],[Utilidad Total]]*11.5%))/Tabla4[[#This Row],[Total]]</f>
        <v>#N/A</v>
      </c>
      <c r="V1733" s="282" t="e">
        <f>+Tabla4[[#This Row],[Comisión Calculada]]*Tabla4[[#This Row],[Total]]</f>
        <v>#N/A</v>
      </c>
    </row>
    <row r="1734" spans="1:22" hidden="1" x14ac:dyDescent="0.25">
      <c r="A1734" s="100">
        <v>45747</v>
      </c>
      <c r="B1734" t="str">
        <f t="shared" si="85"/>
        <v>March</v>
      </c>
      <c r="C1734" s="46" t="s">
        <v>280</v>
      </c>
      <c r="F1734" s="366" t="s">
        <v>1372</v>
      </c>
      <c r="G1734" s="46" t="s">
        <v>208</v>
      </c>
      <c r="H1734" s="46">
        <v>15</v>
      </c>
      <c r="I1734" s="51">
        <v>140.63</v>
      </c>
      <c r="J1734" s="281">
        <f>++Tabla4[[#This Row],[Precio Bruto]]*1.16</f>
        <v>163.13079999999999</v>
      </c>
      <c r="K1734" s="281">
        <f>+Tabla4[[#This Row],[Precio Unitario Neto]]*Tabla4[[#Headers],[20.85%]]</f>
        <v>34.012771799999996</v>
      </c>
      <c r="L1734" s="282">
        <f>++Tabla4[[#This Row],[Precio Unitario Neto]]-Tabla4[[#This Row],[20.85%]]</f>
        <v>129.1180282</v>
      </c>
      <c r="M1734" s="282" t="e">
        <f>(INDEX(Tabla6[#All],MATCH(Tabla4[[#This Row],[Producto]],Tabla6[[#All],[PRODUCTO]],0),MATCH(Tabla4[[#This Row],[Mes]],Tabla6[#Headers],0)))*(1+Catalogos!$L$2)</f>
        <v>#N/A</v>
      </c>
      <c r="N1734" s="283" t="e">
        <f>+(Tabla4[[#This Row],[Precio Descontado]]-Tabla4[[#This Row],[Precio Base]])*Tabla4[[#This Row],[Cantidad]]</f>
        <v>#N/A</v>
      </c>
      <c r="O1734" s="284" t="e">
        <f>++Tabla4[[#This Row],[Utilidad Total]]/Tabla4[[#This Row],[Total]]</f>
        <v>#N/A</v>
      </c>
      <c r="P1734" s="282">
        <f>++Tabla4[[#This Row],[Precio Descontado]]*Tabla4[[#This Row],[Cantidad]]</f>
        <v>1936.7704229999999</v>
      </c>
      <c r="Q1734" s="282" t="e">
        <f>(INDEX(Tabla6[#All],MATCH(Tabla4[[#This Row],[Producto]],Tabla6[[#All],[PRODUCTO]],0),MATCH(Tabla4[[#This Row],[Mes]],Tabla6[#Headers],0)))</f>
        <v>#N/A</v>
      </c>
      <c r="R1734" s="282" t="e">
        <f>++Tabla4[[#This Row],[Precio Unitario Neto]]-Tabla4[[#This Row],[20.85%]]-Tabla4[[#This Row],[Costo]]</f>
        <v>#N/A</v>
      </c>
      <c r="S1734" s="282" t="e">
        <f>++Tabla4[[#This Row],[U. Bruta Uni]]*Tabla4[[#This Row],[Cantidad]]</f>
        <v>#N/A</v>
      </c>
      <c r="T1734" s="369" t="str">
        <f>VLOOKUP(Tabla4[[#This Row],[Producto]],Tabla6[#All],14,FALSE)</f>
        <v>Termico Solar</v>
      </c>
      <c r="U1734" s="284" t="e">
        <f>(IF(Tabla4[[#This Row],[Familia]]="termico solar",Tabla4[[#This Row],[Utilidad Total]]*6%,Tabla4[[#This Row],[Utilidad Total]]*11.5%))/Tabla4[[#This Row],[Total]]</f>
        <v>#N/A</v>
      </c>
      <c r="V1734" s="282" t="e">
        <f>+Tabla4[[#This Row],[Comisión Calculada]]*Tabla4[[#This Row],[Total]]</f>
        <v>#N/A</v>
      </c>
    </row>
    <row r="1735" spans="1:22" hidden="1" x14ac:dyDescent="0.25">
      <c r="A1735" s="100">
        <v>45747</v>
      </c>
      <c r="B1735" t="str">
        <f t="shared" si="85"/>
        <v>March</v>
      </c>
      <c r="C1735" s="46" t="s">
        <v>280</v>
      </c>
      <c r="F1735" s="366" t="s">
        <v>1373</v>
      </c>
      <c r="G1735" s="46" t="s">
        <v>18</v>
      </c>
      <c r="H1735" s="46">
        <v>1</v>
      </c>
      <c r="I1735" s="51">
        <v>5367.65</v>
      </c>
      <c r="J1735" s="281">
        <f>++Tabla4[[#This Row],[Precio Bruto]]*1.16</f>
        <v>6226.4739999999993</v>
      </c>
      <c r="K1735" s="281">
        <f>+Tabla4[[#This Row],[Precio Unitario Neto]]*Tabla4[[#Headers],[20.85%]]</f>
        <v>1298.2198289999999</v>
      </c>
      <c r="L1735" s="282">
        <f>++Tabla4[[#This Row],[Precio Unitario Neto]]-Tabla4[[#This Row],[20.85%]]</f>
        <v>4928.2541709999996</v>
      </c>
      <c r="M1735" s="282" t="e">
        <f>(INDEX(Tabla6[#All],MATCH(Tabla4[[#This Row],[Producto]],Tabla6[[#All],[PRODUCTO]],0),MATCH(Tabla4[[#This Row],[Mes]],Tabla6[#Headers],0)))*(1+Catalogos!$L$2)</f>
        <v>#N/A</v>
      </c>
      <c r="N1735" s="283" t="e">
        <f>+(Tabla4[[#This Row],[Precio Descontado]]-Tabla4[[#This Row],[Precio Base]])*Tabla4[[#This Row],[Cantidad]]</f>
        <v>#N/A</v>
      </c>
      <c r="O1735" s="284" t="e">
        <f>++Tabla4[[#This Row],[Utilidad Total]]/Tabla4[[#This Row],[Total]]</f>
        <v>#N/A</v>
      </c>
      <c r="P1735" s="282">
        <f>++Tabla4[[#This Row],[Precio Descontado]]*Tabla4[[#This Row],[Cantidad]]</f>
        <v>4928.2541709999996</v>
      </c>
      <c r="Q1735" s="282" t="e">
        <f>(INDEX(Tabla6[#All],MATCH(Tabla4[[#This Row],[Producto]],Tabla6[[#All],[PRODUCTO]],0),MATCH(Tabla4[[#This Row],[Mes]],Tabla6[#Headers],0)))</f>
        <v>#N/A</v>
      </c>
      <c r="R1735" s="282" t="e">
        <f>++Tabla4[[#This Row],[Precio Unitario Neto]]-Tabla4[[#This Row],[20.85%]]-Tabla4[[#This Row],[Costo]]</f>
        <v>#N/A</v>
      </c>
      <c r="S1735" s="282" t="e">
        <f>++Tabla4[[#This Row],[U. Bruta Uni]]*Tabla4[[#This Row],[Cantidad]]</f>
        <v>#N/A</v>
      </c>
      <c r="T1735" s="369" t="str">
        <f>VLOOKUP(Tabla4[[#This Row],[Producto]],Tabla6[#All],14,FALSE)</f>
        <v>Termico Solar</v>
      </c>
      <c r="U1735" s="284" t="e">
        <f>(IF(Tabla4[[#This Row],[Familia]]="termico solar",Tabla4[[#This Row],[Utilidad Total]]*6%,Tabla4[[#This Row],[Utilidad Total]]*11.5%))/Tabla4[[#This Row],[Total]]</f>
        <v>#N/A</v>
      </c>
      <c r="V1735" s="282" t="e">
        <f>+Tabla4[[#This Row],[Comisión Calculada]]*Tabla4[[#This Row],[Total]]</f>
        <v>#N/A</v>
      </c>
    </row>
    <row r="1736" spans="1:22" hidden="1" x14ac:dyDescent="0.25">
      <c r="A1736" s="100">
        <v>45747</v>
      </c>
      <c r="B1736" t="str">
        <f t="shared" si="85"/>
        <v>March</v>
      </c>
      <c r="C1736" s="46" t="s">
        <v>280</v>
      </c>
      <c r="F1736" s="366" t="s">
        <v>1373</v>
      </c>
      <c r="G1736" s="46" t="s">
        <v>19</v>
      </c>
      <c r="H1736" s="46">
        <v>1</v>
      </c>
      <c r="I1736" s="51">
        <v>6412.03</v>
      </c>
      <c r="J1736" s="281">
        <f>++Tabla4[[#This Row],[Precio Bruto]]*1.16</f>
        <v>7437.9547999999995</v>
      </c>
      <c r="K1736" s="281">
        <f>+Tabla4[[#This Row],[Precio Unitario Neto]]*Tabla4[[#Headers],[20.85%]]</f>
        <v>1550.8135757999999</v>
      </c>
      <c r="L1736" s="282">
        <f>++Tabla4[[#This Row],[Precio Unitario Neto]]-Tabla4[[#This Row],[20.85%]]</f>
        <v>5887.1412241999997</v>
      </c>
      <c r="M1736" s="282" t="e">
        <f>(INDEX(Tabla6[#All],MATCH(Tabla4[[#This Row],[Producto]],Tabla6[[#All],[PRODUCTO]],0),MATCH(Tabla4[[#This Row],[Mes]],Tabla6[#Headers],0)))*(1+Catalogos!$L$2)</f>
        <v>#N/A</v>
      </c>
      <c r="N1736" s="283" t="e">
        <f>+(Tabla4[[#This Row],[Precio Descontado]]-Tabla4[[#This Row],[Precio Base]])*Tabla4[[#This Row],[Cantidad]]</f>
        <v>#N/A</v>
      </c>
      <c r="O1736" s="284" t="e">
        <f>++Tabla4[[#This Row],[Utilidad Total]]/Tabla4[[#This Row],[Total]]</f>
        <v>#N/A</v>
      </c>
      <c r="P1736" s="282">
        <f>++Tabla4[[#This Row],[Precio Descontado]]*Tabla4[[#This Row],[Cantidad]]</f>
        <v>5887.1412241999997</v>
      </c>
      <c r="Q1736" s="282" t="e">
        <f>(INDEX(Tabla6[#All],MATCH(Tabla4[[#This Row],[Producto]],Tabla6[[#All],[PRODUCTO]],0),MATCH(Tabla4[[#This Row],[Mes]],Tabla6[#Headers],0)))</f>
        <v>#N/A</v>
      </c>
      <c r="R1736" s="282" t="e">
        <f>++Tabla4[[#This Row],[Precio Unitario Neto]]-Tabla4[[#This Row],[20.85%]]-Tabla4[[#This Row],[Costo]]</f>
        <v>#N/A</v>
      </c>
      <c r="S1736" s="282" t="e">
        <f>++Tabla4[[#This Row],[U. Bruta Uni]]*Tabla4[[#This Row],[Cantidad]]</f>
        <v>#N/A</v>
      </c>
      <c r="T1736" s="369" t="str">
        <f>VLOOKUP(Tabla4[[#This Row],[Producto]],Tabla6[#All],14,FALSE)</f>
        <v>Termico Solar</v>
      </c>
      <c r="U1736" s="284" t="e">
        <f>(IF(Tabla4[[#This Row],[Familia]]="termico solar",Tabla4[[#This Row],[Utilidad Total]]*6%,Tabla4[[#This Row],[Utilidad Total]]*11.5%))/Tabla4[[#This Row],[Total]]</f>
        <v>#N/A</v>
      </c>
      <c r="V1736" s="282" t="e">
        <f>+Tabla4[[#This Row],[Comisión Calculada]]*Tabla4[[#This Row],[Total]]</f>
        <v>#N/A</v>
      </c>
    </row>
    <row r="1737" spans="1:22" hidden="1" x14ac:dyDescent="0.25">
      <c r="A1737" s="100">
        <v>45747</v>
      </c>
      <c r="B1737" t="str">
        <f t="shared" si="85"/>
        <v>March</v>
      </c>
      <c r="C1737" s="46" t="s">
        <v>280</v>
      </c>
      <c r="F1737" s="366" t="s">
        <v>1373</v>
      </c>
      <c r="G1737" s="46" t="s">
        <v>566</v>
      </c>
      <c r="H1737" s="46">
        <v>1</v>
      </c>
      <c r="I1737" s="51">
        <v>2109.4499999999998</v>
      </c>
      <c r="J1737" s="281">
        <f>++Tabla4[[#This Row],[Precio Bruto]]*1.16</f>
        <v>2446.9619999999995</v>
      </c>
      <c r="K1737" s="281">
        <f>+Tabla4[[#This Row],[Precio Unitario Neto]]*Tabla4[[#Headers],[20.85%]]</f>
        <v>510.19157699999988</v>
      </c>
      <c r="L1737" s="282">
        <f>++Tabla4[[#This Row],[Precio Unitario Neto]]-Tabla4[[#This Row],[20.85%]]</f>
        <v>1936.7704229999997</v>
      </c>
      <c r="M1737" s="282" t="e">
        <f>(INDEX(Tabla6[#All],MATCH(Tabla4[[#This Row],[Producto]],Tabla6[[#All],[PRODUCTO]],0),MATCH(Tabla4[[#This Row],[Mes]],Tabla6[#Headers],0)))*(1+Catalogos!$L$2)</f>
        <v>#N/A</v>
      </c>
      <c r="N1737" s="283" t="e">
        <f>+(Tabla4[[#This Row],[Precio Descontado]]-Tabla4[[#This Row],[Precio Base]])*Tabla4[[#This Row],[Cantidad]]</f>
        <v>#N/A</v>
      </c>
      <c r="O1737" s="284" t="e">
        <f>++Tabla4[[#This Row],[Utilidad Total]]/Tabla4[[#This Row],[Total]]</f>
        <v>#N/A</v>
      </c>
      <c r="P1737" s="282">
        <f>++Tabla4[[#This Row],[Precio Descontado]]*Tabla4[[#This Row],[Cantidad]]</f>
        <v>1936.7704229999997</v>
      </c>
      <c r="Q1737" s="282" t="e">
        <f>(INDEX(Tabla6[#All],MATCH(Tabla4[[#This Row],[Producto]],Tabla6[[#All],[PRODUCTO]],0),MATCH(Tabla4[[#This Row],[Mes]],Tabla6[#Headers],0)))</f>
        <v>#N/A</v>
      </c>
      <c r="R1737" s="282" t="e">
        <f>++Tabla4[[#This Row],[Precio Unitario Neto]]-Tabla4[[#This Row],[20.85%]]-Tabla4[[#This Row],[Costo]]</f>
        <v>#N/A</v>
      </c>
      <c r="S1737" s="282" t="e">
        <f>++Tabla4[[#This Row],[U. Bruta Uni]]*Tabla4[[#This Row],[Cantidad]]</f>
        <v>#N/A</v>
      </c>
      <c r="T1737" s="369" t="str">
        <f>VLOOKUP(Tabla4[[#This Row],[Producto]],Tabla6[#All],14,FALSE)</f>
        <v>Termico Solar</v>
      </c>
      <c r="U1737" s="284" t="e">
        <f>(IF(Tabla4[[#This Row],[Familia]]="termico solar",Tabla4[[#This Row],[Utilidad Total]]*6%,Tabla4[[#This Row],[Utilidad Total]]*11.5%))/Tabla4[[#This Row],[Total]]</f>
        <v>#N/A</v>
      </c>
      <c r="V1737" s="282" t="e">
        <f>+Tabla4[[#This Row],[Comisión Calculada]]*Tabla4[[#This Row],[Total]]</f>
        <v>#N/A</v>
      </c>
    </row>
    <row r="1738" spans="1:22" hidden="1" x14ac:dyDescent="0.25">
      <c r="A1738" s="100">
        <v>45747</v>
      </c>
      <c r="B1738" t="str">
        <f t="shared" si="85"/>
        <v>March</v>
      </c>
      <c r="C1738" s="46" t="s">
        <v>280</v>
      </c>
      <c r="F1738" s="366" t="s">
        <v>1374</v>
      </c>
      <c r="G1738" s="46" t="s">
        <v>83</v>
      </c>
      <c r="H1738" s="46">
        <v>1</v>
      </c>
      <c r="I1738" s="51">
        <v>8858.76</v>
      </c>
      <c r="J1738" s="281">
        <f>++Tabla4[[#This Row],[Precio Bruto]]*1.16</f>
        <v>10276.161599999999</v>
      </c>
      <c r="K1738" s="281">
        <f>+Tabla4[[#This Row],[Precio Unitario Neto]]*Tabla4[[#Headers],[20.85%]]</f>
        <v>2142.5796935999997</v>
      </c>
      <c r="L1738" s="282">
        <f>++Tabla4[[#This Row],[Precio Unitario Neto]]-Tabla4[[#This Row],[20.85%]]</f>
        <v>8133.5819063999998</v>
      </c>
      <c r="M1738" s="282" t="e">
        <f>(INDEX(Tabla6[#All],MATCH(Tabla4[[#This Row],[Producto]],Tabla6[[#All],[PRODUCTO]],0),MATCH(Tabla4[[#This Row],[Mes]],Tabla6[#Headers],0)))*(1+Catalogos!$L$2)</f>
        <v>#N/A</v>
      </c>
      <c r="N1738" s="283" t="e">
        <f>+(Tabla4[[#This Row],[Precio Descontado]]-Tabla4[[#This Row],[Precio Base]])*Tabla4[[#This Row],[Cantidad]]</f>
        <v>#N/A</v>
      </c>
      <c r="O1738" s="284" t="e">
        <f>++Tabla4[[#This Row],[Utilidad Total]]/Tabla4[[#This Row],[Total]]</f>
        <v>#N/A</v>
      </c>
      <c r="P1738" s="282">
        <f>++Tabla4[[#This Row],[Precio Descontado]]*Tabla4[[#This Row],[Cantidad]]</f>
        <v>8133.5819063999998</v>
      </c>
      <c r="Q1738" s="282" t="e">
        <f>(INDEX(Tabla6[#All],MATCH(Tabla4[[#This Row],[Producto]],Tabla6[[#All],[PRODUCTO]],0),MATCH(Tabla4[[#This Row],[Mes]],Tabla6[#Headers],0)))</f>
        <v>#N/A</v>
      </c>
      <c r="R1738" s="282" t="e">
        <f>++Tabla4[[#This Row],[Precio Unitario Neto]]-Tabla4[[#This Row],[20.85%]]-Tabla4[[#This Row],[Costo]]</f>
        <v>#N/A</v>
      </c>
      <c r="S1738" s="282" t="e">
        <f>++Tabla4[[#This Row],[U. Bruta Uni]]*Tabla4[[#This Row],[Cantidad]]</f>
        <v>#N/A</v>
      </c>
      <c r="T1738" s="369" t="str">
        <f>VLOOKUP(Tabla4[[#This Row],[Producto]],Tabla6[#All],14,FALSE)</f>
        <v>Termico Solar</v>
      </c>
      <c r="U1738" s="284" t="e">
        <f>(IF(Tabla4[[#This Row],[Familia]]="termico solar",Tabla4[[#This Row],[Utilidad Total]]*6%,Tabla4[[#This Row],[Utilidad Total]]*11.5%))/Tabla4[[#This Row],[Total]]</f>
        <v>#N/A</v>
      </c>
      <c r="V1738" s="282" t="e">
        <f>+Tabla4[[#This Row],[Comisión Calculada]]*Tabla4[[#This Row],[Total]]</f>
        <v>#N/A</v>
      </c>
    </row>
    <row r="1739" spans="1:22" hidden="1" x14ac:dyDescent="0.25">
      <c r="A1739" s="100">
        <v>45747</v>
      </c>
      <c r="B1739" t="str">
        <f t="shared" si="85"/>
        <v>March</v>
      </c>
      <c r="C1739" s="46" t="s">
        <v>280</v>
      </c>
      <c r="F1739" s="366" t="s">
        <v>1374</v>
      </c>
      <c r="G1739" s="46" t="s">
        <v>566</v>
      </c>
      <c r="H1739" s="46">
        <v>1</v>
      </c>
      <c r="I1739" s="51">
        <v>2109.4499999999998</v>
      </c>
      <c r="J1739" s="281">
        <f>++Tabla4[[#This Row],[Precio Bruto]]*1.16</f>
        <v>2446.9619999999995</v>
      </c>
      <c r="K1739" s="281">
        <f>+Tabla4[[#This Row],[Precio Unitario Neto]]*Tabla4[[#Headers],[20.85%]]</f>
        <v>510.19157699999988</v>
      </c>
      <c r="L1739" s="282">
        <f>++Tabla4[[#This Row],[Precio Unitario Neto]]-Tabla4[[#This Row],[20.85%]]</f>
        <v>1936.7704229999997</v>
      </c>
      <c r="M1739" s="282" t="e">
        <f>(INDEX(Tabla6[#All],MATCH(Tabla4[[#This Row],[Producto]],Tabla6[[#All],[PRODUCTO]],0),MATCH(Tabla4[[#This Row],[Mes]],Tabla6[#Headers],0)))*(1+Catalogos!$L$2)</f>
        <v>#N/A</v>
      </c>
      <c r="N1739" s="283" t="e">
        <f>+(Tabla4[[#This Row],[Precio Descontado]]-Tabla4[[#This Row],[Precio Base]])*Tabla4[[#This Row],[Cantidad]]</f>
        <v>#N/A</v>
      </c>
      <c r="O1739" s="284" t="e">
        <f>++Tabla4[[#This Row],[Utilidad Total]]/Tabla4[[#This Row],[Total]]</f>
        <v>#N/A</v>
      </c>
      <c r="P1739" s="282">
        <f>++Tabla4[[#This Row],[Precio Descontado]]*Tabla4[[#This Row],[Cantidad]]</f>
        <v>1936.7704229999997</v>
      </c>
      <c r="Q1739" s="282" t="e">
        <f>(INDEX(Tabla6[#All],MATCH(Tabla4[[#This Row],[Producto]],Tabla6[[#All],[PRODUCTO]],0),MATCH(Tabla4[[#This Row],[Mes]],Tabla6[#Headers],0)))</f>
        <v>#N/A</v>
      </c>
      <c r="R1739" s="282" t="e">
        <f>++Tabla4[[#This Row],[Precio Unitario Neto]]-Tabla4[[#This Row],[20.85%]]-Tabla4[[#This Row],[Costo]]</f>
        <v>#N/A</v>
      </c>
      <c r="S1739" s="282" t="e">
        <f>++Tabla4[[#This Row],[U. Bruta Uni]]*Tabla4[[#This Row],[Cantidad]]</f>
        <v>#N/A</v>
      </c>
      <c r="T1739" s="369" t="str">
        <f>VLOOKUP(Tabla4[[#This Row],[Producto]],Tabla6[#All],14,FALSE)</f>
        <v>Termico Solar</v>
      </c>
      <c r="U1739" s="284" t="e">
        <f>(IF(Tabla4[[#This Row],[Familia]]="termico solar",Tabla4[[#This Row],[Utilidad Total]]*6%,Tabla4[[#This Row],[Utilidad Total]]*11.5%))/Tabla4[[#This Row],[Total]]</f>
        <v>#N/A</v>
      </c>
      <c r="V1739" s="282" t="e">
        <f>+Tabla4[[#This Row],[Comisión Calculada]]*Tabla4[[#This Row],[Total]]</f>
        <v>#N/A</v>
      </c>
    </row>
    <row r="1740" spans="1:22" hidden="1" x14ac:dyDescent="0.25">
      <c r="A1740" s="100">
        <v>45747</v>
      </c>
      <c r="B1740" t="str">
        <f t="shared" si="85"/>
        <v>March</v>
      </c>
      <c r="C1740" s="46" t="s">
        <v>280</v>
      </c>
      <c r="F1740" s="366" t="s">
        <v>1375</v>
      </c>
      <c r="G1740" s="46" t="s">
        <v>18</v>
      </c>
      <c r="H1740" s="46">
        <v>4</v>
      </c>
      <c r="I1740" s="51">
        <v>5367.65</v>
      </c>
      <c r="J1740" s="281">
        <f>++Tabla4[[#This Row],[Precio Bruto]]*1.16</f>
        <v>6226.4739999999993</v>
      </c>
      <c r="K1740" s="281">
        <f>+Tabla4[[#This Row],[Precio Unitario Neto]]*Tabla4[[#Headers],[20.85%]]</f>
        <v>1298.2198289999999</v>
      </c>
      <c r="L1740" s="282">
        <f>++Tabla4[[#This Row],[Precio Unitario Neto]]-Tabla4[[#This Row],[20.85%]]</f>
        <v>4928.2541709999996</v>
      </c>
      <c r="M1740" s="282" t="e">
        <f>(INDEX(Tabla6[#All],MATCH(Tabla4[[#This Row],[Producto]],Tabla6[[#All],[PRODUCTO]],0),MATCH(Tabla4[[#This Row],[Mes]],Tabla6[#Headers],0)))*(1+Catalogos!$L$2)</f>
        <v>#N/A</v>
      </c>
      <c r="N1740" s="283" t="e">
        <f>+(Tabla4[[#This Row],[Precio Descontado]]-Tabla4[[#This Row],[Precio Base]])*Tabla4[[#This Row],[Cantidad]]</f>
        <v>#N/A</v>
      </c>
      <c r="O1740" s="284" t="e">
        <f>++Tabla4[[#This Row],[Utilidad Total]]/Tabla4[[#This Row],[Total]]</f>
        <v>#N/A</v>
      </c>
      <c r="P1740" s="282">
        <f>++Tabla4[[#This Row],[Precio Descontado]]*Tabla4[[#This Row],[Cantidad]]</f>
        <v>19713.016683999998</v>
      </c>
      <c r="Q1740" s="282" t="e">
        <f>(INDEX(Tabla6[#All],MATCH(Tabla4[[#This Row],[Producto]],Tabla6[[#All],[PRODUCTO]],0),MATCH(Tabla4[[#This Row],[Mes]],Tabla6[#Headers],0)))</f>
        <v>#N/A</v>
      </c>
      <c r="R1740" s="282" t="e">
        <f>++Tabla4[[#This Row],[Precio Unitario Neto]]-Tabla4[[#This Row],[20.85%]]-Tabla4[[#This Row],[Costo]]</f>
        <v>#N/A</v>
      </c>
      <c r="S1740" s="282" t="e">
        <f>++Tabla4[[#This Row],[U. Bruta Uni]]*Tabla4[[#This Row],[Cantidad]]</f>
        <v>#N/A</v>
      </c>
      <c r="T1740" s="369" t="str">
        <f>VLOOKUP(Tabla4[[#This Row],[Producto]],Tabla6[#All],14,FALSE)</f>
        <v>Termico Solar</v>
      </c>
      <c r="U1740" s="284" t="e">
        <f>(IF(Tabla4[[#This Row],[Familia]]="termico solar",Tabla4[[#This Row],[Utilidad Total]]*6%,Tabla4[[#This Row],[Utilidad Total]]*11.5%))/Tabla4[[#This Row],[Total]]</f>
        <v>#N/A</v>
      </c>
      <c r="V1740" s="282" t="e">
        <f>+Tabla4[[#This Row],[Comisión Calculada]]*Tabla4[[#This Row],[Total]]</f>
        <v>#N/A</v>
      </c>
    </row>
    <row r="1741" spans="1:22" hidden="1" x14ac:dyDescent="0.25">
      <c r="A1741" s="100">
        <v>45747</v>
      </c>
      <c r="B1741" t="str">
        <f t="shared" ref="B1741:B1772" si="86">TEXT(A1741, "mmmm")</f>
        <v>March</v>
      </c>
      <c r="C1741" s="46" t="s">
        <v>280</v>
      </c>
      <c r="F1741" s="366" t="s">
        <v>1375</v>
      </c>
      <c r="G1741" s="46" t="s">
        <v>566</v>
      </c>
      <c r="H1741" s="46">
        <v>1</v>
      </c>
      <c r="I1741" s="51">
        <v>2109.4499999999998</v>
      </c>
      <c r="J1741" s="281">
        <f>++Tabla4[[#This Row],[Precio Bruto]]*1.16</f>
        <v>2446.9619999999995</v>
      </c>
      <c r="K1741" s="281">
        <f>+Tabla4[[#This Row],[Precio Unitario Neto]]*Tabla4[[#Headers],[20.85%]]</f>
        <v>510.19157699999988</v>
      </c>
      <c r="L1741" s="282">
        <f>++Tabla4[[#This Row],[Precio Unitario Neto]]-Tabla4[[#This Row],[20.85%]]</f>
        <v>1936.7704229999997</v>
      </c>
      <c r="M1741" s="282" t="e">
        <f>(INDEX(Tabla6[#All],MATCH(Tabla4[[#This Row],[Producto]],Tabla6[[#All],[PRODUCTO]],0),MATCH(Tabla4[[#This Row],[Mes]],Tabla6[#Headers],0)))*(1+Catalogos!$L$2)</f>
        <v>#N/A</v>
      </c>
      <c r="N1741" s="283" t="e">
        <f>+(Tabla4[[#This Row],[Precio Descontado]]-Tabla4[[#This Row],[Precio Base]])*Tabla4[[#This Row],[Cantidad]]</f>
        <v>#N/A</v>
      </c>
      <c r="O1741" s="284" t="e">
        <f>++Tabla4[[#This Row],[Utilidad Total]]/Tabla4[[#This Row],[Total]]</f>
        <v>#N/A</v>
      </c>
      <c r="P1741" s="282">
        <f>++Tabla4[[#This Row],[Precio Descontado]]*Tabla4[[#This Row],[Cantidad]]</f>
        <v>1936.7704229999997</v>
      </c>
      <c r="Q1741" s="282" t="e">
        <f>(INDEX(Tabla6[#All],MATCH(Tabla4[[#This Row],[Producto]],Tabla6[[#All],[PRODUCTO]],0),MATCH(Tabla4[[#This Row],[Mes]],Tabla6[#Headers],0)))</f>
        <v>#N/A</v>
      </c>
      <c r="R1741" s="282" t="e">
        <f>++Tabla4[[#This Row],[Precio Unitario Neto]]-Tabla4[[#This Row],[20.85%]]-Tabla4[[#This Row],[Costo]]</f>
        <v>#N/A</v>
      </c>
      <c r="S1741" s="282" t="e">
        <f>++Tabla4[[#This Row],[U. Bruta Uni]]*Tabla4[[#This Row],[Cantidad]]</f>
        <v>#N/A</v>
      </c>
      <c r="T1741" s="369" t="str">
        <f>VLOOKUP(Tabla4[[#This Row],[Producto]],Tabla6[#All],14,FALSE)</f>
        <v>Termico Solar</v>
      </c>
      <c r="U1741" s="284" t="e">
        <f>(IF(Tabla4[[#This Row],[Familia]]="termico solar",Tabla4[[#This Row],[Utilidad Total]]*6%,Tabla4[[#This Row],[Utilidad Total]]*11.5%))/Tabla4[[#This Row],[Total]]</f>
        <v>#N/A</v>
      </c>
      <c r="V1741" s="282" t="e">
        <f>+Tabla4[[#This Row],[Comisión Calculada]]*Tabla4[[#This Row],[Total]]</f>
        <v>#N/A</v>
      </c>
    </row>
    <row r="1742" spans="1:22" hidden="1" x14ac:dyDescent="0.25">
      <c r="A1742" s="100">
        <v>45747</v>
      </c>
      <c r="B1742" t="str">
        <f t="shared" si="86"/>
        <v>March</v>
      </c>
      <c r="C1742" s="46" t="s">
        <v>280</v>
      </c>
      <c r="F1742" s="366" t="s">
        <v>1376</v>
      </c>
      <c r="G1742" s="46" t="s">
        <v>83</v>
      </c>
      <c r="H1742" s="46">
        <v>1</v>
      </c>
      <c r="I1742" s="51">
        <v>8858.76</v>
      </c>
      <c r="J1742" s="281">
        <f>++Tabla4[[#This Row],[Precio Bruto]]*1.16</f>
        <v>10276.161599999999</v>
      </c>
      <c r="K1742" s="281">
        <f>+Tabla4[[#This Row],[Precio Unitario Neto]]*Tabla4[[#Headers],[20.85%]]</f>
        <v>2142.5796935999997</v>
      </c>
      <c r="L1742" s="282">
        <f>++Tabla4[[#This Row],[Precio Unitario Neto]]-Tabla4[[#This Row],[20.85%]]</f>
        <v>8133.5819063999998</v>
      </c>
      <c r="M1742" s="282" t="e">
        <f>(INDEX(Tabla6[#All],MATCH(Tabla4[[#This Row],[Producto]],Tabla6[[#All],[PRODUCTO]],0),MATCH(Tabla4[[#This Row],[Mes]],Tabla6[#Headers],0)))*(1+Catalogos!$L$2)</f>
        <v>#N/A</v>
      </c>
      <c r="N1742" s="283" t="e">
        <f>+(Tabla4[[#This Row],[Precio Descontado]]-Tabla4[[#This Row],[Precio Base]])*Tabla4[[#This Row],[Cantidad]]</f>
        <v>#N/A</v>
      </c>
      <c r="O1742" s="284" t="e">
        <f>++Tabla4[[#This Row],[Utilidad Total]]/Tabla4[[#This Row],[Total]]</f>
        <v>#N/A</v>
      </c>
      <c r="P1742" s="282">
        <f>++Tabla4[[#This Row],[Precio Descontado]]*Tabla4[[#This Row],[Cantidad]]</f>
        <v>8133.5819063999998</v>
      </c>
      <c r="Q1742" s="282" t="e">
        <f>(INDEX(Tabla6[#All],MATCH(Tabla4[[#This Row],[Producto]],Tabla6[[#All],[PRODUCTO]],0),MATCH(Tabla4[[#This Row],[Mes]],Tabla6[#Headers],0)))</f>
        <v>#N/A</v>
      </c>
      <c r="R1742" s="282" t="e">
        <f>++Tabla4[[#This Row],[Precio Unitario Neto]]-Tabla4[[#This Row],[20.85%]]-Tabla4[[#This Row],[Costo]]</f>
        <v>#N/A</v>
      </c>
      <c r="S1742" s="282" t="e">
        <f>++Tabla4[[#This Row],[U. Bruta Uni]]*Tabla4[[#This Row],[Cantidad]]</f>
        <v>#N/A</v>
      </c>
      <c r="T1742" s="369" t="str">
        <f>VLOOKUP(Tabla4[[#This Row],[Producto]],Tabla6[#All],14,FALSE)</f>
        <v>Termico Solar</v>
      </c>
      <c r="U1742" s="284" t="e">
        <f>(IF(Tabla4[[#This Row],[Familia]]="termico solar",Tabla4[[#This Row],[Utilidad Total]]*6%,Tabla4[[#This Row],[Utilidad Total]]*11.5%))/Tabla4[[#This Row],[Total]]</f>
        <v>#N/A</v>
      </c>
      <c r="V1742" s="282" t="e">
        <f>+Tabla4[[#This Row],[Comisión Calculada]]*Tabla4[[#This Row],[Total]]</f>
        <v>#N/A</v>
      </c>
    </row>
    <row r="1743" spans="1:22" hidden="1" x14ac:dyDescent="0.25">
      <c r="A1743" s="100">
        <v>45747</v>
      </c>
      <c r="B1743" t="str">
        <f t="shared" si="86"/>
        <v>March</v>
      </c>
      <c r="C1743" s="46" t="s">
        <v>280</v>
      </c>
      <c r="F1743" s="366" t="s">
        <v>1376</v>
      </c>
      <c r="G1743" s="46" t="s">
        <v>18</v>
      </c>
      <c r="H1743" s="46">
        <v>1</v>
      </c>
      <c r="I1743" s="51">
        <v>5367.65</v>
      </c>
      <c r="J1743" s="281">
        <f>++Tabla4[[#This Row],[Precio Bruto]]*1.16</f>
        <v>6226.4739999999993</v>
      </c>
      <c r="K1743" s="281">
        <f>+Tabla4[[#This Row],[Precio Unitario Neto]]*Tabla4[[#Headers],[20.85%]]</f>
        <v>1298.2198289999999</v>
      </c>
      <c r="L1743" s="282">
        <f>++Tabla4[[#This Row],[Precio Unitario Neto]]-Tabla4[[#This Row],[20.85%]]</f>
        <v>4928.2541709999996</v>
      </c>
      <c r="M1743" s="282" t="e">
        <f>(INDEX(Tabla6[#All],MATCH(Tabla4[[#This Row],[Producto]],Tabla6[[#All],[PRODUCTO]],0),MATCH(Tabla4[[#This Row],[Mes]],Tabla6[#Headers],0)))*(1+Catalogos!$L$2)</f>
        <v>#N/A</v>
      </c>
      <c r="N1743" s="283" t="e">
        <f>+(Tabla4[[#This Row],[Precio Descontado]]-Tabla4[[#This Row],[Precio Base]])*Tabla4[[#This Row],[Cantidad]]</f>
        <v>#N/A</v>
      </c>
      <c r="O1743" s="284" t="e">
        <f>++Tabla4[[#This Row],[Utilidad Total]]/Tabla4[[#This Row],[Total]]</f>
        <v>#N/A</v>
      </c>
      <c r="P1743" s="282">
        <f>++Tabla4[[#This Row],[Precio Descontado]]*Tabla4[[#This Row],[Cantidad]]</f>
        <v>4928.2541709999996</v>
      </c>
      <c r="Q1743" s="282" t="e">
        <f>(INDEX(Tabla6[#All],MATCH(Tabla4[[#This Row],[Producto]],Tabla6[[#All],[PRODUCTO]],0),MATCH(Tabla4[[#This Row],[Mes]],Tabla6[#Headers],0)))</f>
        <v>#N/A</v>
      </c>
      <c r="R1743" s="282" t="e">
        <f>++Tabla4[[#This Row],[Precio Unitario Neto]]-Tabla4[[#This Row],[20.85%]]-Tabla4[[#This Row],[Costo]]</f>
        <v>#N/A</v>
      </c>
      <c r="S1743" s="282" t="e">
        <f>++Tabla4[[#This Row],[U. Bruta Uni]]*Tabla4[[#This Row],[Cantidad]]</f>
        <v>#N/A</v>
      </c>
      <c r="T1743" s="369" t="str">
        <f>VLOOKUP(Tabla4[[#This Row],[Producto]],Tabla6[#All],14,FALSE)</f>
        <v>Termico Solar</v>
      </c>
      <c r="U1743" s="284" t="e">
        <f>(IF(Tabla4[[#This Row],[Familia]]="termico solar",Tabla4[[#This Row],[Utilidad Total]]*6%,Tabla4[[#This Row],[Utilidad Total]]*11.5%))/Tabla4[[#This Row],[Total]]</f>
        <v>#N/A</v>
      </c>
      <c r="V1743" s="282" t="e">
        <f>+Tabla4[[#This Row],[Comisión Calculada]]*Tabla4[[#This Row],[Total]]</f>
        <v>#N/A</v>
      </c>
    </row>
    <row r="1744" spans="1:22" hidden="1" x14ac:dyDescent="0.25">
      <c r="A1744" s="100">
        <v>45747</v>
      </c>
      <c r="B1744" t="str">
        <f t="shared" si="86"/>
        <v>March</v>
      </c>
      <c r="C1744" s="46" t="s">
        <v>280</v>
      </c>
      <c r="F1744" s="366" t="s">
        <v>1376</v>
      </c>
      <c r="G1744" s="46" t="s">
        <v>16</v>
      </c>
      <c r="H1744" s="46">
        <v>2</v>
      </c>
      <c r="I1744" s="51">
        <v>4103.8500000000004</v>
      </c>
      <c r="J1744" s="281">
        <f>++Tabla4[[#This Row],[Precio Bruto]]*1.16</f>
        <v>4760.4660000000003</v>
      </c>
      <c r="K1744" s="281">
        <f>+Tabla4[[#This Row],[Precio Unitario Neto]]*Tabla4[[#Headers],[20.85%]]</f>
        <v>992.55716100000006</v>
      </c>
      <c r="L1744" s="282">
        <f>++Tabla4[[#This Row],[Precio Unitario Neto]]-Tabla4[[#This Row],[20.85%]]</f>
        <v>3767.9088390000002</v>
      </c>
      <c r="M1744" s="282" t="e">
        <f>(INDEX(Tabla6[#All],MATCH(Tabla4[[#This Row],[Producto]],Tabla6[[#All],[PRODUCTO]],0),MATCH(Tabla4[[#This Row],[Mes]],Tabla6[#Headers],0)))*(1+Catalogos!$L$2)</f>
        <v>#N/A</v>
      </c>
      <c r="N1744" s="283" t="e">
        <f>+(Tabla4[[#This Row],[Precio Descontado]]-Tabla4[[#This Row],[Precio Base]])*Tabla4[[#This Row],[Cantidad]]</f>
        <v>#N/A</v>
      </c>
      <c r="O1744" s="284" t="e">
        <f>++Tabla4[[#This Row],[Utilidad Total]]/Tabla4[[#This Row],[Total]]</f>
        <v>#N/A</v>
      </c>
      <c r="P1744" s="282">
        <f>++Tabla4[[#This Row],[Precio Descontado]]*Tabla4[[#This Row],[Cantidad]]</f>
        <v>7535.8176780000003</v>
      </c>
      <c r="Q1744" s="282" t="e">
        <f>(INDEX(Tabla6[#All],MATCH(Tabla4[[#This Row],[Producto]],Tabla6[[#All],[PRODUCTO]],0),MATCH(Tabla4[[#This Row],[Mes]],Tabla6[#Headers],0)))</f>
        <v>#N/A</v>
      </c>
      <c r="R1744" s="282" t="e">
        <f>++Tabla4[[#This Row],[Precio Unitario Neto]]-Tabla4[[#This Row],[20.85%]]-Tabla4[[#This Row],[Costo]]</f>
        <v>#N/A</v>
      </c>
      <c r="S1744" s="282" t="e">
        <f>++Tabla4[[#This Row],[U. Bruta Uni]]*Tabla4[[#This Row],[Cantidad]]</f>
        <v>#N/A</v>
      </c>
      <c r="T1744" s="369" t="str">
        <f>VLOOKUP(Tabla4[[#This Row],[Producto]],Tabla6[#All],14,FALSE)</f>
        <v>Termico Solar</v>
      </c>
      <c r="U1744" s="284" t="e">
        <f>(IF(Tabla4[[#This Row],[Familia]]="termico solar",Tabla4[[#This Row],[Utilidad Total]]*6%,Tabla4[[#This Row],[Utilidad Total]]*11.5%))/Tabla4[[#This Row],[Total]]</f>
        <v>#N/A</v>
      </c>
      <c r="V1744" s="282" t="e">
        <f>+Tabla4[[#This Row],[Comisión Calculada]]*Tabla4[[#This Row],[Total]]</f>
        <v>#N/A</v>
      </c>
    </row>
    <row r="1745" spans="1:22" hidden="1" x14ac:dyDescent="0.25">
      <c r="A1745" s="100">
        <v>45747</v>
      </c>
      <c r="B1745" t="str">
        <f t="shared" si="86"/>
        <v>March</v>
      </c>
      <c r="C1745" s="46" t="s">
        <v>280</v>
      </c>
      <c r="F1745" s="366" t="s">
        <v>1377</v>
      </c>
      <c r="G1745" s="46" t="s">
        <v>83</v>
      </c>
      <c r="H1745" s="46">
        <v>2</v>
      </c>
      <c r="I1745" s="51">
        <v>8858.76</v>
      </c>
      <c r="J1745" s="281">
        <f>++Tabla4[[#This Row],[Precio Bruto]]*1.16</f>
        <v>10276.161599999999</v>
      </c>
      <c r="K1745" s="281">
        <f>+Tabla4[[#This Row],[Precio Unitario Neto]]*Tabla4[[#Headers],[20.85%]]</f>
        <v>2142.5796935999997</v>
      </c>
      <c r="L1745" s="282">
        <f>++Tabla4[[#This Row],[Precio Unitario Neto]]-Tabla4[[#This Row],[20.85%]]</f>
        <v>8133.5819063999998</v>
      </c>
      <c r="M1745" s="282" t="e">
        <f>(INDEX(Tabla6[#All],MATCH(Tabla4[[#This Row],[Producto]],Tabla6[[#All],[PRODUCTO]],0),MATCH(Tabla4[[#This Row],[Mes]],Tabla6[#Headers],0)))*(1+Catalogos!$L$2)</f>
        <v>#N/A</v>
      </c>
      <c r="N1745" s="283" t="e">
        <f>+(Tabla4[[#This Row],[Precio Descontado]]-Tabla4[[#This Row],[Precio Base]])*Tabla4[[#This Row],[Cantidad]]</f>
        <v>#N/A</v>
      </c>
      <c r="O1745" s="284" t="e">
        <f>++Tabla4[[#This Row],[Utilidad Total]]/Tabla4[[#This Row],[Total]]</f>
        <v>#N/A</v>
      </c>
      <c r="P1745" s="282">
        <f>++Tabla4[[#This Row],[Precio Descontado]]*Tabla4[[#This Row],[Cantidad]]</f>
        <v>16267.1638128</v>
      </c>
      <c r="Q1745" s="282" t="e">
        <f>(INDEX(Tabla6[#All],MATCH(Tabla4[[#This Row],[Producto]],Tabla6[[#All],[PRODUCTO]],0),MATCH(Tabla4[[#This Row],[Mes]],Tabla6[#Headers],0)))</f>
        <v>#N/A</v>
      </c>
      <c r="R1745" s="282" t="e">
        <f>++Tabla4[[#This Row],[Precio Unitario Neto]]-Tabla4[[#This Row],[20.85%]]-Tabla4[[#This Row],[Costo]]</f>
        <v>#N/A</v>
      </c>
      <c r="S1745" s="282" t="e">
        <f>++Tabla4[[#This Row],[U. Bruta Uni]]*Tabla4[[#This Row],[Cantidad]]</f>
        <v>#N/A</v>
      </c>
      <c r="T1745" s="369" t="str">
        <f>VLOOKUP(Tabla4[[#This Row],[Producto]],Tabla6[#All],14,FALSE)</f>
        <v>Termico Solar</v>
      </c>
      <c r="U1745" s="284" t="e">
        <f>(IF(Tabla4[[#This Row],[Familia]]="termico solar",Tabla4[[#This Row],[Utilidad Total]]*6%,Tabla4[[#This Row],[Utilidad Total]]*11.5%))/Tabla4[[#This Row],[Total]]</f>
        <v>#N/A</v>
      </c>
      <c r="V1745" s="282" t="e">
        <f>+Tabla4[[#This Row],[Comisión Calculada]]*Tabla4[[#This Row],[Total]]</f>
        <v>#N/A</v>
      </c>
    </row>
    <row r="1746" spans="1:22" hidden="1" x14ac:dyDescent="0.25">
      <c r="A1746" s="100">
        <v>45747</v>
      </c>
      <c r="B1746" t="str">
        <f t="shared" si="86"/>
        <v>March</v>
      </c>
      <c r="C1746" s="46" t="s">
        <v>280</v>
      </c>
      <c r="F1746" s="366" t="s">
        <v>1377</v>
      </c>
      <c r="G1746" s="46" t="s">
        <v>18</v>
      </c>
      <c r="H1746" s="46">
        <v>2</v>
      </c>
      <c r="I1746" s="51">
        <v>5367.65</v>
      </c>
      <c r="J1746" s="281">
        <f>++Tabla4[[#This Row],[Precio Bruto]]*1.16</f>
        <v>6226.4739999999993</v>
      </c>
      <c r="K1746" s="281">
        <f>+Tabla4[[#This Row],[Precio Unitario Neto]]*Tabla4[[#Headers],[20.85%]]</f>
        <v>1298.2198289999999</v>
      </c>
      <c r="L1746" s="282">
        <f>++Tabla4[[#This Row],[Precio Unitario Neto]]-Tabla4[[#This Row],[20.85%]]</f>
        <v>4928.2541709999996</v>
      </c>
      <c r="M1746" s="282" t="e">
        <f>(INDEX(Tabla6[#All],MATCH(Tabla4[[#This Row],[Producto]],Tabla6[[#All],[PRODUCTO]],0),MATCH(Tabla4[[#This Row],[Mes]],Tabla6[#Headers],0)))*(1+Catalogos!$L$2)</f>
        <v>#N/A</v>
      </c>
      <c r="N1746" s="283" t="e">
        <f>+(Tabla4[[#This Row],[Precio Descontado]]-Tabla4[[#This Row],[Precio Base]])*Tabla4[[#This Row],[Cantidad]]</f>
        <v>#N/A</v>
      </c>
      <c r="O1746" s="284" t="e">
        <f>++Tabla4[[#This Row],[Utilidad Total]]/Tabla4[[#This Row],[Total]]</f>
        <v>#N/A</v>
      </c>
      <c r="P1746" s="282">
        <f>++Tabla4[[#This Row],[Precio Descontado]]*Tabla4[[#This Row],[Cantidad]]</f>
        <v>9856.5083419999992</v>
      </c>
      <c r="Q1746" s="282" t="e">
        <f>(INDEX(Tabla6[#All],MATCH(Tabla4[[#This Row],[Producto]],Tabla6[[#All],[PRODUCTO]],0),MATCH(Tabla4[[#This Row],[Mes]],Tabla6[#Headers],0)))</f>
        <v>#N/A</v>
      </c>
      <c r="R1746" s="282" t="e">
        <f>++Tabla4[[#This Row],[Precio Unitario Neto]]-Tabla4[[#This Row],[20.85%]]-Tabla4[[#This Row],[Costo]]</f>
        <v>#N/A</v>
      </c>
      <c r="S1746" s="282" t="e">
        <f>++Tabla4[[#This Row],[U. Bruta Uni]]*Tabla4[[#This Row],[Cantidad]]</f>
        <v>#N/A</v>
      </c>
      <c r="T1746" s="369" t="str">
        <f>VLOOKUP(Tabla4[[#This Row],[Producto]],Tabla6[#All],14,FALSE)</f>
        <v>Termico Solar</v>
      </c>
      <c r="U1746" s="284" t="e">
        <f>(IF(Tabla4[[#This Row],[Familia]]="termico solar",Tabla4[[#This Row],[Utilidad Total]]*6%,Tabla4[[#This Row],[Utilidad Total]]*11.5%))/Tabla4[[#This Row],[Total]]</f>
        <v>#N/A</v>
      </c>
      <c r="V1746" s="282" t="e">
        <f>+Tabla4[[#This Row],[Comisión Calculada]]*Tabla4[[#This Row],[Total]]</f>
        <v>#N/A</v>
      </c>
    </row>
    <row r="1747" spans="1:22" hidden="1" x14ac:dyDescent="0.25">
      <c r="A1747" s="100">
        <v>45747</v>
      </c>
      <c r="B1747" t="str">
        <f t="shared" si="86"/>
        <v>March</v>
      </c>
      <c r="C1747" s="46" t="s">
        <v>280</v>
      </c>
      <c r="F1747" s="366" t="s">
        <v>1377</v>
      </c>
      <c r="G1747" s="46" t="s">
        <v>566</v>
      </c>
      <c r="H1747" s="46">
        <v>1</v>
      </c>
      <c r="I1747" s="51">
        <v>2109.4499999999998</v>
      </c>
      <c r="J1747" s="281">
        <f>++Tabla4[[#This Row],[Precio Bruto]]*1.16</f>
        <v>2446.9619999999995</v>
      </c>
      <c r="K1747" s="281">
        <f>+Tabla4[[#This Row],[Precio Unitario Neto]]*Tabla4[[#Headers],[20.85%]]</f>
        <v>510.19157699999988</v>
      </c>
      <c r="L1747" s="282">
        <f>++Tabla4[[#This Row],[Precio Unitario Neto]]-Tabla4[[#This Row],[20.85%]]</f>
        <v>1936.7704229999997</v>
      </c>
      <c r="M1747" s="282" t="e">
        <f>(INDEX(Tabla6[#All],MATCH(Tabla4[[#This Row],[Producto]],Tabla6[[#All],[PRODUCTO]],0),MATCH(Tabla4[[#This Row],[Mes]],Tabla6[#Headers],0)))*(1+Catalogos!$L$2)</f>
        <v>#N/A</v>
      </c>
      <c r="N1747" s="283" t="e">
        <f>+(Tabla4[[#This Row],[Precio Descontado]]-Tabla4[[#This Row],[Precio Base]])*Tabla4[[#This Row],[Cantidad]]</f>
        <v>#N/A</v>
      </c>
      <c r="O1747" s="284" t="e">
        <f>++Tabla4[[#This Row],[Utilidad Total]]/Tabla4[[#This Row],[Total]]</f>
        <v>#N/A</v>
      </c>
      <c r="P1747" s="282">
        <f>++Tabla4[[#This Row],[Precio Descontado]]*Tabla4[[#This Row],[Cantidad]]</f>
        <v>1936.7704229999997</v>
      </c>
      <c r="Q1747" s="282" t="e">
        <f>(INDEX(Tabla6[#All],MATCH(Tabla4[[#This Row],[Producto]],Tabla6[[#All],[PRODUCTO]],0),MATCH(Tabla4[[#This Row],[Mes]],Tabla6[#Headers],0)))</f>
        <v>#N/A</v>
      </c>
      <c r="R1747" s="282" t="e">
        <f>++Tabla4[[#This Row],[Precio Unitario Neto]]-Tabla4[[#This Row],[20.85%]]-Tabla4[[#This Row],[Costo]]</f>
        <v>#N/A</v>
      </c>
      <c r="S1747" s="282" t="e">
        <f>++Tabla4[[#This Row],[U. Bruta Uni]]*Tabla4[[#This Row],[Cantidad]]</f>
        <v>#N/A</v>
      </c>
      <c r="T1747" s="369" t="str">
        <f>VLOOKUP(Tabla4[[#This Row],[Producto]],Tabla6[#All],14,FALSE)</f>
        <v>Termico Solar</v>
      </c>
      <c r="U1747" s="284" t="e">
        <f>(IF(Tabla4[[#This Row],[Familia]]="termico solar",Tabla4[[#This Row],[Utilidad Total]]*6%,Tabla4[[#This Row],[Utilidad Total]]*11.5%))/Tabla4[[#This Row],[Total]]</f>
        <v>#N/A</v>
      </c>
      <c r="V1747" s="282" t="e">
        <f>+Tabla4[[#This Row],[Comisión Calculada]]*Tabla4[[#This Row],[Total]]</f>
        <v>#N/A</v>
      </c>
    </row>
    <row r="1748" spans="1:22" hidden="1" x14ac:dyDescent="0.25">
      <c r="A1748" s="100">
        <v>45747</v>
      </c>
      <c r="B1748" t="str">
        <f t="shared" si="86"/>
        <v>March</v>
      </c>
      <c r="C1748" s="46" t="s">
        <v>280</v>
      </c>
      <c r="F1748" s="366" t="s">
        <v>1378</v>
      </c>
      <c r="G1748" s="46" t="s">
        <v>566</v>
      </c>
      <c r="H1748" s="46">
        <v>1</v>
      </c>
      <c r="I1748" s="51">
        <v>2109.4499999999998</v>
      </c>
      <c r="J1748" s="281">
        <f>++Tabla4[[#This Row],[Precio Bruto]]*1.16</f>
        <v>2446.9619999999995</v>
      </c>
      <c r="K1748" s="281">
        <f>+Tabla4[[#This Row],[Precio Unitario Neto]]*Tabla4[[#Headers],[20.85%]]</f>
        <v>510.19157699999988</v>
      </c>
      <c r="L1748" s="282">
        <f>++Tabla4[[#This Row],[Precio Unitario Neto]]-Tabla4[[#This Row],[20.85%]]</f>
        <v>1936.7704229999997</v>
      </c>
      <c r="M1748" s="282" t="e">
        <f>(INDEX(Tabla6[#All],MATCH(Tabla4[[#This Row],[Producto]],Tabla6[[#All],[PRODUCTO]],0),MATCH(Tabla4[[#This Row],[Mes]],Tabla6[#Headers],0)))*(1+Catalogos!$L$2)</f>
        <v>#N/A</v>
      </c>
      <c r="N1748" s="283" t="e">
        <f>+(Tabla4[[#This Row],[Precio Descontado]]-Tabla4[[#This Row],[Precio Base]])*Tabla4[[#This Row],[Cantidad]]</f>
        <v>#N/A</v>
      </c>
      <c r="O1748" s="284" t="e">
        <f>++Tabla4[[#This Row],[Utilidad Total]]/Tabla4[[#This Row],[Total]]</f>
        <v>#N/A</v>
      </c>
      <c r="P1748" s="282">
        <f>++Tabla4[[#This Row],[Precio Descontado]]*Tabla4[[#This Row],[Cantidad]]</f>
        <v>1936.7704229999997</v>
      </c>
      <c r="Q1748" s="282" t="e">
        <f>(INDEX(Tabla6[#All],MATCH(Tabla4[[#This Row],[Producto]],Tabla6[[#All],[PRODUCTO]],0),MATCH(Tabla4[[#This Row],[Mes]],Tabla6[#Headers],0)))</f>
        <v>#N/A</v>
      </c>
      <c r="R1748" s="282" t="e">
        <f>++Tabla4[[#This Row],[Precio Unitario Neto]]-Tabla4[[#This Row],[20.85%]]-Tabla4[[#This Row],[Costo]]</f>
        <v>#N/A</v>
      </c>
      <c r="S1748" s="282" t="e">
        <f>++Tabla4[[#This Row],[U. Bruta Uni]]*Tabla4[[#This Row],[Cantidad]]</f>
        <v>#N/A</v>
      </c>
      <c r="T1748" s="369" t="str">
        <f>VLOOKUP(Tabla4[[#This Row],[Producto]],Tabla6[#All],14,FALSE)</f>
        <v>Termico Solar</v>
      </c>
      <c r="U1748" s="284" t="e">
        <f>(IF(Tabla4[[#This Row],[Familia]]="termico solar",Tabla4[[#This Row],[Utilidad Total]]*6%,Tabla4[[#This Row],[Utilidad Total]]*11.5%))/Tabla4[[#This Row],[Total]]</f>
        <v>#N/A</v>
      </c>
      <c r="V1748" s="282" t="e">
        <f>+Tabla4[[#This Row],[Comisión Calculada]]*Tabla4[[#This Row],[Total]]</f>
        <v>#N/A</v>
      </c>
    </row>
    <row r="1749" spans="1:22" hidden="1" x14ac:dyDescent="0.25">
      <c r="A1749" s="100">
        <v>45747</v>
      </c>
      <c r="B1749" t="str">
        <f t="shared" si="86"/>
        <v>March</v>
      </c>
      <c r="C1749" s="46" t="s">
        <v>280</v>
      </c>
      <c r="F1749" s="366" t="s">
        <v>1378</v>
      </c>
      <c r="G1749" s="46" t="s">
        <v>16</v>
      </c>
      <c r="H1749" s="46">
        <v>1</v>
      </c>
      <c r="I1749" s="51">
        <v>4103.8500000000004</v>
      </c>
      <c r="J1749" s="281">
        <f>++Tabla4[[#This Row],[Precio Bruto]]*1.16</f>
        <v>4760.4660000000003</v>
      </c>
      <c r="K1749" s="281">
        <f>+Tabla4[[#This Row],[Precio Unitario Neto]]*Tabla4[[#Headers],[20.85%]]</f>
        <v>992.55716100000006</v>
      </c>
      <c r="L1749" s="282">
        <f>++Tabla4[[#This Row],[Precio Unitario Neto]]-Tabla4[[#This Row],[20.85%]]</f>
        <v>3767.9088390000002</v>
      </c>
      <c r="M1749" s="282" t="e">
        <f>(INDEX(Tabla6[#All],MATCH(Tabla4[[#This Row],[Producto]],Tabla6[[#All],[PRODUCTO]],0),MATCH(Tabla4[[#This Row],[Mes]],Tabla6[#Headers],0)))*(1+Catalogos!$L$2)</f>
        <v>#N/A</v>
      </c>
      <c r="N1749" s="283" t="e">
        <f>+(Tabla4[[#This Row],[Precio Descontado]]-Tabla4[[#This Row],[Precio Base]])*Tabla4[[#This Row],[Cantidad]]</f>
        <v>#N/A</v>
      </c>
      <c r="O1749" s="284" t="e">
        <f>++Tabla4[[#This Row],[Utilidad Total]]/Tabla4[[#This Row],[Total]]</f>
        <v>#N/A</v>
      </c>
      <c r="P1749" s="282">
        <f>++Tabla4[[#This Row],[Precio Descontado]]*Tabla4[[#This Row],[Cantidad]]</f>
        <v>3767.9088390000002</v>
      </c>
      <c r="Q1749" s="282" t="e">
        <f>(INDEX(Tabla6[#All],MATCH(Tabla4[[#This Row],[Producto]],Tabla6[[#All],[PRODUCTO]],0),MATCH(Tabla4[[#This Row],[Mes]],Tabla6[#Headers],0)))</f>
        <v>#N/A</v>
      </c>
      <c r="R1749" s="282" t="e">
        <f>++Tabla4[[#This Row],[Precio Unitario Neto]]-Tabla4[[#This Row],[20.85%]]-Tabla4[[#This Row],[Costo]]</f>
        <v>#N/A</v>
      </c>
      <c r="S1749" s="282" t="e">
        <f>++Tabla4[[#This Row],[U. Bruta Uni]]*Tabla4[[#This Row],[Cantidad]]</f>
        <v>#N/A</v>
      </c>
      <c r="T1749" s="369" t="str">
        <f>VLOOKUP(Tabla4[[#This Row],[Producto]],Tabla6[#All],14,FALSE)</f>
        <v>Termico Solar</v>
      </c>
      <c r="U1749" s="284" t="e">
        <f>(IF(Tabla4[[#This Row],[Familia]]="termico solar",Tabla4[[#This Row],[Utilidad Total]]*6%,Tabla4[[#This Row],[Utilidad Total]]*11.5%))/Tabla4[[#This Row],[Total]]</f>
        <v>#N/A</v>
      </c>
      <c r="V1749" s="282" t="e">
        <f>+Tabla4[[#This Row],[Comisión Calculada]]*Tabla4[[#This Row],[Total]]</f>
        <v>#N/A</v>
      </c>
    </row>
    <row r="1750" spans="1:22" hidden="1" x14ac:dyDescent="0.25">
      <c r="A1750" s="100">
        <v>45747</v>
      </c>
      <c r="B1750" t="str">
        <f t="shared" si="86"/>
        <v>March</v>
      </c>
      <c r="C1750" s="46" t="s">
        <v>280</v>
      </c>
      <c r="F1750" s="366" t="s">
        <v>1379</v>
      </c>
      <c r="G1750" s="46" t="s">
        <v>83</v>
      </c>
      <c r="H1750" s="46">
        <v>1</v>
      </c>
      <c r="I1750" s="51">
        <v>8858.76</v>
      </c>
      <c r="J1750" s="281">
        <f>++Tabla4[[#This Row],[Precio Bruto]]*1.16</f>
        <v>10276.161599999999</v>
      </c>
      <c r="K1750" s="281">
        <f>+Tabla4[[#This Row],[Precio Unitario Neto]]*Tabla4[[#Headers],[20.85%]]</f>
        <v>2142.5796935999997</v>
      </c>
      <c r="L1750" s="282">
        <f>++Tabla4[[#This Row],[Precio Unitario Neto]]-Tabla4[[#This Row],[20.85%]]</f>
        <v>8133.5819063999998</v>
      </c>
      <c r="M1750" s="282" t="e">
        <f>(INDEX(Tabla6[#All],MATCH(Tabla4[[#This Row],[Producto]],Tabla6[[#All],[PRODUCTO]],0),MATCH(Tabla4[[#This Row],[Mes]],Tabla6[#Headers],0)))*(1+Catalogos!$L$2)</f>
        <v>#N/A</v>
      </c>
      <c r="N1750" s="283" t="e">
        <f>+(Tabla4[[#This Row],[Precio Descontado]]-Tabla4[[#This Row],[Precio Base]])*Tabla4[[#This Row],[Cantidad]]</f>
        <v>#N/A</v>
      </c>
      <c r="O1750" s="284" t="e">
        <f>++Tabla4[[#This Row],[Utilidad Total]]/Tabla4[[#This Row],[Total]]</f>
        <v>#N/A</v>
      </c>
      <c r="P1750" s="282">
        <f>++Tabla4[[#This Row],[Precio Descontado]]*Tabla4[[#This Row],[Cantidad]]</f>
        <v>8133.5819063999998</v>
      </c>
      <c r="Q1750" s="282" t="e">
        <f>(INDEX(Tabla6[#All],MATCH(Tabla4[[#This Row],[Producto]],Tabla6[[#All],[PRODUCTO]],0),MATCH(Tabla4[[#This Row],[Mes]],Tabla6[#Headers],0)))</f>
        <v>#N/A</v>
      </c>
      <c r="R1750" s="282" t="e">
        <f>++Tabla4[[#This Row],[Precio Unitario Neto]]-Tabla4[[#This Row],[20.85%]]-Tabla4[[#This Row],[Costo]]</f>
        <v>#N/A</v>
      </c>
      <c r="S1750" s="282" t="e">
        <f>++Tabla4[[#This Row],[U. Bruta Uni]]*Tabla4[[#This Row],[Cantidad]]</f>
        <v>#N/A</v>
      </c>
      <c r="T1750" s="369" t="str">
        <f>VLOOKUP(Tabla4[[#This Row],[Producto]],Tabla6[#All],14,FALSE)</f>
        <v>Termico Solar</v>
      </c>
      <c r="U1750" s="284" t="e">
        <f>(IF(Tabla4[[#This Row],[Familia]]="termico solar",Tabla4[[#This Row],[Utilidad Total]]*6%,Tabla4[[#This Row],[Utilidad Total]]*11.5%))/Tabla4[[#This Row],[Total]]</f>
        <v>#N/A</v>
      </c>
      <c r="V1750" s="282" t="e">
        <f>+Tabla4[[#This Row],[Comisión Calculada]]*Tabla4[[#This Row],[Total]]</f>
        <v>#N/A</v>
      </c>
    </row>
    <row r="1751" spans="1:22" hidden="1" x14ac:dyDescent="0.25">
      <c r="A1751" s="100">
        <v>45747</v>
      </c>
      <c r="B1751" t="str">
        <f t="shared" si="86"/>
        <v>March</v>
      </c>
      <c r="C1751" s="46" t="s">
        <v>280</v>
      </c>
      <c r="F1751" s="366" t="s">
        <v>1379</v>
      </c>
      <c r="G1751" s="46" t="s">
        <v>17</v>
      </c>
      <c r="H1751" s="46">
        <v>2</v>
      </c>
      <c r="I1751" s="51">
        <v>4622.28</v>
      </c>
      <c r="J1751" s="281">
        <f>++Tabla4[[#This Row],[Precio Bruto]]*1.16</f>
        <v>5361.8447999999989</v>
      </c>
      <c r="K1751" s="281">
        <f>+Tabla4[[#This Row],[Precio Unitario Neto]]*Tabla4[[#Headers],[20.85%]]</f>
        <v>1117.9446407999997</v>
      </c>
      <c r="L1751" s="282">
        <f>++Tabla4[[#This Row],[Precio Unitario Neto]]-Tabla4[[#This Row],[20.85%]]</f>
        <v>4243.9001591999995</v>
      </c>
      <c r="M1751" s="282" t="e">
        <f>(INDEX(Tabla6[#All],MATCH(Tabla4[[#This Row],[Producto]],Tabla6[[#All],[PRODUCTO]],0),MATCH(Tabla4[[#This Row],[Mes]],Tabla6[#Headers],0)))*(1+Catalogos!$L$2)</f>
        <v>#N/A</v>
      </c>
      <c r="N1751" s="283" t="e">
        <f>+(Tabla4[[#This Row],[Precio Descontado]]-Tabla4[[#This Row],[Precio Base]])*Tabla4[[#This Row],[Cantidad]]</f>
        <v>#N/A</v>
      </c>
      <c r="O1751" s="284" t="e">
        <f>++Tabla4[[#This Row],[Utilidad Total]]/Tabla4[[#This Row],[Total]]</f>
        <v>#N/A</v>
      </c>
      <c r="P1751" s="282">
        <f>++Tabla4[[#This Row],[Precio Descontado]]*Tabla4[[#This Row],[Cantidad]]</f>
        <v>8487.800318399999</v>
      </c>
      <c r="Q1751" s="282" t="e">
        <f>(INDEX(Tabla6[#All],MATCH(Tabla4[[#This Row],[Producto]],Tabla6[[#All],[PRODUCTO]],0),MATCH(Tabla4[[#This Row],[Mes]],Tabla6[#Headers],0)))</f>
        <v>#N/A</v>
      </c>
      <c r="R1751" s="282" t="e">
        <f>++Tabla4[[#This Row],[Precio Unitario Neto]]-Tabla4[[#This Row],[20.85%]]-Tabla4[[#This Row],[Costo]]</f>
        <v>#N/A</v>
      </c>
      <c r="S1751" s="282" t="e">
        <f>++Tabla4[[#This Row],[U. Bruta Uni]]*Tabla4[[#This Row],[Cantidad]]</f>
        <v>#N/A</v>
      </c>
      <c r="T1751" s="369" t="str">
        <f>VLOOKUP(Tabla4[[#This Row],[Producto]],Tabla6[#All],14,FALSE)</f>
        <v>Termico Solar</v>
      </c>
      <c r="U1751" s="284" t="e">
        <f>(IF(Tabla4[[#This Row],[Familia]]="termico solar",Tabla4[[#This Row],[Utilidad Total]]*6%,Tabla4[[#This Row],[Utilidad Total]]*11.5%))/Tabla4[[#This Row],[Total]]</f>
        <v>#N/A</v>
      </c>
      <c r="V1751" s="282" t="e">
        <f>+Tabla4[[#This Row],[Comisión Calculada]]*Tabla4[[#This Row],[Total]]</f>
        <v>#N/A</v>
      </c>
    </row>
    <row r="1752" spans="1:22" hidden="1" x14ac:dyDescent="0.25">
      <c r="A1752" s="100">
        <v>45747</v>
      </c>
      <c r="B1752" t="str">
        <f t="shared" si="86"/>
        <v>March</v>
      </c>
      <c r="C1752" s="46" t="s">
        <v>280</v>
      </c>
      <c r="F1752" s="366" t="s">
        <v>1379</v>
      </c>
      <c r="G1752" s="46" t="s">
        <v>18</v>
      </c>
      <c r="H1752" s="46">
        <v>3</v>
      </c>
      <c r="I1752" s="51">
        <v>5367.6500000000005</v>
      </c>
      <c r="J1752" s="281">
        <f>++Tabla4[[#This Row],[Precio Bruto]]*1.16</f>
        <v>6226.4740000000002</v>
      </c>
      <c r="K1752" s="281">
        <f>+Tabla4[[#This Row],[Precio Unitario Neto]]*Tabla4[[#Headers],[20.85%]]</f>
        <v>1298.2198289999999</v>
      </c>
      <c r="L1752" s="282">
        <f>++Tabla4[[#This Row],[Precio Unitario Neto]]-Tabla4[[#This Row],[20.85%]]</f>
        <v>4928.2541710000005</v>
      </c>
      <c r="M1752" s="282" t="e">
        <f>(INDEX(Tabla6[#All],MATCH(Tabla4[[#This Row],[Producto]],Tabla6[[#All],[PRODUCTO]],0),MATCH(Tabla4[[#This Row],[Mes]],Tabla6[#Headers],0)))*(1+Catalogos!$L$2)</f>
        <v>#N/A</v>
      </c>
      <c r="N1752" s="283" t="e">
        <f>+(Tabla4[[#This Row],[Precio Descontado]]-Tabla4[[#This Row],[Precio Base]])*Tabla4[[#This Row],[Cantidad]]</f>
        <v>#N/A</v>
      </c>
      <c r="O1752" s="284" t="e">
        <f>++Tabla4[[#This Row],[Utilidad Total]]/Tabla4[[#This Row],[Total]]</f>
        <v>#N/A</v>
      </c>
      <c r="P1752" s="282">
        <f>++Tabla4[[#This Row],[Precio Descontado]]*Tabla4[[#This Row],[Cantidad]]</f>
        <v>14784.762513000001</v>
      </c>
      <c r="Q1752" s="282" t="e">
        <f>(INDEX(Tabla6[#All],MATCH(Tabla4[[#This Row],[Producto]],Tabla6[[#All],[PRODUCTO]],0),MATCH(Tabla4[[#This Row],[Mes]],Tabla6[#Headers],0)))</f>
        <v>#N/A</v>
      </c>
      <c r="R1752" s="282" t="e">
        <f>++Tabla4[[#This Row],[Precio Unitario Neto]]-Tabla4[[#This Row],[20.85%]]-Tabla4[[#This Row],[Costo]]</f>
        <v>#N/A</v>
      </c>
      <c r="S1752" s="282" t="e">
        <f>++Tabla4[[#This Row],[U. Bruta Uni]]*Tabla4[[#This Row],[Cantidad]]</f>
        <v>#N/A</v>
      </c>
      <c r="T1752" s="369" t="str">
        <f>VLOOKUP(Tabla4[[#This Row],[Producto]],Tabla6[#All],14,FALSE)</f>
        <v>Termico Solar</v>
      </c>
      <c r="U1752" s="284" t="e">
        <f>(IF(Tabla4[[#This Row],[Familia]]="termico solar",Tabla4[[#This Row],[Utilidad Total]]*6%,Tabla4[[#This Row],[Utilidad Total]]*11.5%))/Tabla4[[#This Row],[Total]]</f>
        <v>#N/A</v>
      </c>
      <c r="V1752" s="282" t="e">
        <f>+Tabla4[[#This Row],[Comisión Calculada]]*Tabla4[[#This Row],[Total]]</f>
        <v>#N/A</v>
      </c>
    </row>
    <row r="1753" spans="1:22" hidden="1" x14ac:dyDescent="0.25">
      <c r="A1753" s="100">
        <v>45747</v>
      </c>
      <c r="B1753" t="str">
        <f t="shared" si="86"/>
        <v>March</v>
      </c>
      <c r="C1753" s="46" t="s">
        <v>280</v>
      </c>
      <c r="F1753" s="366" t="s">
        <v>1380</v>
      </c>
      <c r="G1753" s="46" t="s">
        <v>83</v>
      </c>
      <c r="H1753" s="46">
        <v>1</v>
      </c>
      <c r="I1753" s="51">
        <v>8858.76</v>
      </c>
      <c r="J1753" s="281">
        <f>++Tabla4[[#This Row],[Precio Bruto]]*1.16</f>
        <v>10276.161599999999</v>
      </c>
      <c r="K1753" s="281">
        <f>+Tabla4[[#This Row],[Precio Unitario Neto]]*Tabla4[[#Headers],[20.85%]]</f>
        <v>2142.5796935999997</v>
      </c>
      <c r="L1753" s="282">
        <f>++Tabla4[[#This Row],[Precio Unitario Neto]]-Tabla4[[#This Row],[20.85%]]</f>
        <v>8133.5819063999998</v>
      </c>
      <c r="M1753" s="282" t="e">
        <f>(INDEX(Tabla6[#All],MATCH(Tabla4[[#This Row],[Producto]],Tabla6[[#All],[PRODUCTO]],0),MATCH(Tabla4[[#This Row],[Mes]],Tabla6[#Headers],0)))*(1+Catalogos!$L$2)</f>
        <v>#N/A</v>
      </c>
      <c r="N1753" s="283" t="e">
        <f>+(Tabla4[[#This Row],[Precio Descontado]]-Tabla4[[#This Row],[Precio Base]])*Tabla4[[#This Row],[Cantidad]]</f>
        <v>#N/A</v>
      </c>
      <c r="O1753" s="284" t="e">
        <f>++Tabla4[[#This Row],[Utilidad Total]]/Tabla4[[#This Row],[Total]]</f>
        <v>#N/A</v>
      </c>
      <c r="P1753" s="282">
        <f>++Tabla4[[#This Row],[Precio Descontado]]*Tabla4[[#This Row],[Cantidad]]</f>
        <v>8133.5819063999998</v>
      </c>
      <c r="Q1753" s="282" t="e">
        <f>(INDEX(Tabla6[#All],MATCH(Tabla4[[#This Row],[Producto]],Tabla6[[#All],[PRODUCTO]],0),MATCH(Tabla4[[#This Row],[Mes]],Tabla6[#Headers],0)))</f>
        <v>#N/A</v>
      </c>
      <c r="R1753" s="282" t="e">
        <f>++Tabla4[[#This Row],[Precio Unitario Neto]]-Tabla4[[#This Row],[20.85%]]-Tabla4[[#This Row],[Costo]]</f>
        <v>#N/A</v>
      </c>
      <c r="S1753" s="282" t="e">
        <f>++Tabla4[[#This Row],[U. Bruta Uni]]*Tabla4[[#This Row],[Cantidad]]</f>
        <v>#N/A</v>
      </c>
      <c r="T1753" s="369" t="str">
        <f>VLOOKUP(Tabla4[[#This Row],[Producto]],Tabla6[#All],14,FALSE)</f>
        <v>Termico Solar</v>
      </c>
      <c r="U1753" s="284" t="e">
        <f>(IF(Tabla4[[#This Row],[Familia]]="termico solar",Tabla4[[#This Row],[Utilidad Total]]*6%,Tabla4[[#This Row],[Utilidad Total]]*11.5%))/Tabla4[[#This Row],[Total]]</f>
        <v>#N/A</v>
      </c>
      <c r="V1753" s="282" t="e">
        <f>+Tabla4[[#This Row],[Comisión Calculada]]*Tabla4[[#This Row],[Total]]</f>
        <v>#N/A</v>
      </c>
    </row>
    <row r="1754" spans="1:22" hidden="1" x14ac:dyDescent="0.25">
      <c r="A1754" s="100">
        <v>45747</v>
      </c>
      <c r="B1754" t="str">
        <f t="shared" si="86"/>
        <v>March</v>
      </c>
      <c r="C1754" s="46" t="s">
        <v>280</v>
      </c>
      <c r="F1754" s="366" t="s">
        <v>1380</v>
      </c>
      <c r="G1754" s="46" t="s">
        <v>208</v>
      </c>
      <c r="H1754" s="46">
        <v>15</v>
      </c>
      <c r="I1754" s="51">
        <v>140.63</v>
      </c>
      <c r="J1754" s="281">
        <f>++Tabla4[[#This Row],[Precio Bruto]]*1.16</f>
        <v>163.13079999999999</v>
      </c>
      <c r="K1754" s="281">
        <f>+Tabla4[[#This Row],[Precio Unitario Neto]]*Tabla4[[#Headers],[20.85%]]</f>
        <v>34.012771799999996</v>
      </c>
      <c r="L1754" s="282">
        <f>++Tabla4[[#This Row],[Precio Unitario Neto]]-Tabla4[[#This Row],[20.85%]]</f>
        <v>129.1180282</v>
      </c>
      <c r="M1754" s="282" t="e">
        <f>(INDEX(Tabla6[#All],MATCH(Tabla4[[#This Row],[Producto]],Tabla6[[#All],[PRODUCTO]],0),MATCH(Tabla4[[#This Row],[Mes]],Tabla6[#Headers],0)))*(1+Catalogos!$L$2)</f>
        <v>#N/A</v>
      </c>
      <c r="N1754" s="283" t="e">
        <f>+(Tabla4[[#This Row],[Precio Descontado]]-Tabla4[[#This Row],[Precio Base]])*Tabla4[[#This Row],[Cantidad]]</f>
        <v>#N/A</v>
      </c>
      <c r="O1754" s="284" t="e">
        <f>++Tabla4[[#This Row],[Utilidad Total]]/Tabla4[[#This Row],[Total]]</f>
        <v>#N/A</v>
      </c>
      <c r="P1754" s="282">
        <f>++Tabla4[[#This Row],[Precio Descontado]]*Tabla4[[#This Row],[Cantidad]]</f>
        <v>1936.7704229999999</v>
      </c>
      <c r="Q1754" s="282" t="e">
        <f>(INDEX(Tabla6[#All],MATCH(Tabla4[[#This Row],[Producto]],Tabla6[[#All],[PRODUCTO]],0),MATCH(Tabla4[[#This Row],[Mes]],Tabla6[#Headers],0)))</f>
        <v>#N/A</v>
      </c>
      <c r="R1754" s="282" t="e">
        <f>++Tabla4[[#This Row],[Precio Unitario Neto]]-Tabla4[[#This Row],[20.85%]]-Tabla4[[#This Row],[Costo]]</f>
        <v>#N/A</v>
      </c>
      <c r="S1754" s="282" t="e">
        <f>++Tabla4[[#This Row],[U. Bruta Uni]]*Tabla4[[#This Row],[Cantidad]]</f>
        <v>#N/A</v>
      </c>
      <c r="T1754" s="369" t="str">
        <f>VLOOKUP(Tabla4[[#This Row],[Producto]],Tabla6[#All],14,FALSE)</f>
        <v>Termico Solar</v>
      </c>
      <c r="U1754" s="284" t="e">
        <f>(IF(Tabla4[[#This Row],[Familia]]="termico solar",Tabla4[[#This Row],[Utilidad Total]]*6%,Tabla4[[#This Row],[Utilidad Total]]*11.5%))/Tabla4[[#This Row],[Total]]</f>
        <v>#N/A</v>
      </c>
      <c r="V1754" s="282" t="e">
        <f>+Tabla4[[#This Row],[Comisión Calculada]]*Tabla4[[#This Row],[Total]]</f>
        <v>#N/A</v>
      </c>
    </row>
    <row r="1755" spans="1:22" hidden="1" x14ac:dyDescent="0.25">
      <c r="A1755" s="100">
        <v>45747</v>
      </c>
      <c r="B1755" t="str">
        <f t="shared" si="86"/>
        <v>March</v>
      </c>
      <c r="C1755" s="46" t="s">
        <v>280</v>
      </c>
      <c r="F1755" s="366" t="s">
        <v>1381</v>
      </c>
      <c r="G1755" s="46" t="s">
        <v>83</v>
      </c>
      <c r="H1755" s="46">
        <v>2</v>
      </c>
      <c r="I1755" s="51">
        <v>8858.76</v>
      </c>
      <c r="J1755" s="281">
        <f>++Tabla4[[#This Row],[Precio Bruto]]*1.16</f>
        <v>10276.161599999999</v>
      </c>
      <c r="K1755" s="281">
        <f>+Tabla4[[#This Row],[Precio Unitario Neto]]*Tabla4[[#Headers],[20.85%]]</f>
        <v>2142.5796935999997</v>
      </c>
      <c r="L1755" s="282">
        <f>++Tabla4[[#This Row],[Precio Unitario Neto]]-Tabla4[[#This Row],[20.85%]]</f>
        <v>8133.5819063999998</v>
      </c>
      <c r="M1755" s="282" t="e">
        <f>(INDEX(Tabla6[#All],MATCH(Tabla4[[#This Row],[Producto]],Tabla6[[#All],[PRODUCTO]],0),MATCH(Tabla4[[#This Row],[Mes]],Tabla6[#Headers],0)))*(1+Catalogos!$L$2)</f>
        <v>#N/A</v>
      </c>
      <c r="N1755" s="283" t="e">
        <f>+(Tabla4[[#This Row],[Precio Descontado]]-Tabla4[[#This Row],[Precio Base]])*Tabla4[[#This Row],[Cantidad]]</f>
        <v>#N/A</v>
      </c>
      <c r="O1755" s="284" t="e">
        <f>++Tabla4[[#This Row],[Utilidad Total]]/Tabla4[[#This Row],[Total]]</f>
        <v>#N/A</v>
      </c>
      <c r="P1755" s="282">
        <f>++Tabla4[[#This Row],[Precio Descontado]]*Tabla4[[#This Row],[Cantidad]]</f>
        <v>16267.1638128</v>
      </c>
      <c r="Q1755" s="282" t="e">
        <f>(INDEX(Tabla6[#All],MATCH(Tabla4[[#This Row],[Producto]],Tabla6[[#All],[PRODUCTO]],0),MATCH(Tabla4[[#This Row],[Mes]],Tabla6[#Headers],0)))</f>
        <v>#N/A</v>
      </c>
      <c r="R1755" s="282" t="e">
        <f>++Tabla4[[#This Row],[Precio Unitario Neto]]-Tabla4[[#This Row],[20.85%]]-Tabla4[[#This Row],[Costo]]</f>
        <v>#N/A</v>
      </c>
      <c r="S1755" s="282" t="e">
        <f>++Tabla4[[#This Row],[U. Bruta Uni]]*Tabla4[[#This Row],[Cantidad]]</f>
        <v>#N/A</v>
      </c>
      <c r="T1755" s="369" t="str">
        <f>VLOOKUP(Tabla4[[#This Row],[Producto]],Tabla6[#All],14,FALSE)</f>
        <v>Termico Solar</v>
      </c>
      <c r="U1755" s="284" t="e">
        <f>(IF(Tabla4[[#This Row],[Familia]]="termico solar",Tabla4[[#This Row],[Utilidad Total]]*6%,Tabla4[[#This Row],[Utilidad Total]]*11.5%))/Tabla4[[#This Row],[Total]]</f>
        <v>#N/A</v>
      </c>
      <c r="V1755" s="282" t="e">
        <f>+Tabla4[[#This Row],[Comisión Calculada]]*Tabla4[[#This Row],[Total]]</f>
        <v>#N/A</v>
      </c>
    </row>
    <row r="1756" spans="1:22" hidden="1" x14ac:dyDescent="0.25">
      <c r="A1756" s="100">
        <v>45747</v>
      </c>
      <c r="B1756" t="str">
        <f t="shared" si="86"/>
        <v>March</v>
      </c>
      <c r="C1756" s="46" t="s">
        <v>280</v>
      </c>
      <c r="F1756" s="366" t="s">
        <v>1381</v>
      </c>
      <c r="G1756" s="46" t="s">
        <v>17</v>
      </c>
      <c r="H1756" s="46">
        <v>3</v>
      </c>
      <c r="I1756" s="51">
        <v>4622.28</v>
      </c>
      <c r="J1756" s="281">
        <f>++Tabla4[[#This Row],[Precio Bruto]]*1.16</f>
        <v>5361.8447999999989</v>
      </c>
      <c r="K1756" s="281">
        <f>+Tabla4[[#This Row],[Precio Unitario Neto]]*Tabla4[[#Headers],[20.85%]]</f>
        <v>1117.9446407999997</v>
      </c>
      <c r="L1756" s="282">
        <f>++Tabla4[[#This Row],[Precio Unitario Neto]]-Tabla4[[#This Row],[20.85%]]</f>
        <v>4243.9001591999995</v>
      </c>
      <c r="M1756" s="282" t="e">
        <f>(INDEX(Tabla6[#All],MATCH(Tabla4[[#This Row],[Producto]],Tabla6[[#All],[PRODUCTO]],0),MATCH(Tabla4[[#This Row],[Mes]],Tabla6[#Headers],0)))*(1+Catalogos!$L$2)</f>
        <v>#N/A</v>
      </c>
      <c r="N1756" s="283" t="e">
        <f>+(Tabla4[[#This Row],[Precio Descontado]]-Tabla4[[#This Row],[Precio Base]])*Tabla4[[#This Row],[Cantidad]]</f>
        <v>#N/A</v>
      </c>
      <c r="O1756" s="284" t="e">
        <f>++Tabla4[[#This Row],[Utilidad Total]]/Tabla4[[#This Row],[Total]]</f>
        <v>#N/A</v>
      </c>
      <c r="P1756" s="282">
        <f>++Tabla4[[#This Row],[Precio Descontado]]*Tabla4[[#This Row],[Cantidad]]</f>
        <v>12731.700477599999</v>
      </c>
      <c r="Q1756" s="282" t="e">
        <f>(INDEX(Tabla6[#All],MATCH(Tabla4[[#This Row],[Producto]],Tabla6[[#All],[PRODUCTO]],0),MATCH(Tabla4[[#This Row],[Mes]],Tabla6[#Headers],0)))</f>
        <v>#N/A</v>
      </c>
      <c r="R1756" s="282" t="e">
        <f>++Tabla4[[#This Row],[Precio Unitario Neto]]-Tabla4[[#This Row],[20.85%]]-Tabla4[[#This Row],[Costo]]</f>
        <v>#N/A</v>
      </c>
      <c r="S1756" s="282" t="e">
        <f>++Tabla4[[#This Row],[U. Bruta Uni]]*Tabla4[[#This Row],[Cantidad]]</f>
        <v>#N/A</v>
      </c>
      <c r="T1756" s="369" t="str">
        <f>VLOOKUP(Tabla4[[#This Row],[Producto]],Tabla6[#All],14,FALSE)</f>
        <v>Termico Solar</v>
      </c>
      <c r="U1756" s="284" t="e">
        <f>(IF(Tabla4[[#This Row],[Familia]]="termico solar",Tabla4[[#This Row],[Utilidad Total]]*6%,Tabla4[[#This Row],[Utilidad Total]]*11.5%))/Tabla4[[#This Row],[Total]]</f>
        <v>#N/A</v>
      </c>
      <c r="V1756" s="282" t="e">
        <f>+Tabla4[[#This Row],[Comisión Calculada]]*Tabla4[[#This Row],[Total]]</f>
        <v>#N/A</v>
      </c>
    </row>
    <row r="1757" spans="1:22" hidden="1" x14ac:dyDescent="0.25">
      <c r="A1757" s="100">
        <v>45747</v>
      </c>
      <c r="B1757" t="str">
        <f t="shared" si="86"/>
        <v>March</v>
      </c>
      <c r="C1757" s="46" t="s">
        <v>280</v>
      </c>
      <c r="F1757" s="366" t="s">
        <v>1381</v>
      </c>
      <c r="G1757" s="46" t="s">
        <v>16</v>
      </c>
      <c r="H1757" s="46">
        <v>4</v>
      </c>
      <c r="I1757" s="51">
        <v>4103.8500000000004</v>
      </c>
      <c r="J1757" s="281">
        <f>++Tabla4[[#This Row],[Precio Bruto]]*1.16</f>
        <v>4760.4660000000003</v>
      </c>
      <c r="K1757" s="281">
        <f>+Tabla4[[#This Row],[Precio Unitario Neto]]*Tabla4[[#Headers],[20.85%]]</f>
        <v>992.55716100000006</v>
      </c>
      <c r="L1757" s="282">
        <f>++Tabla4[[#This Row],[Precio Unitario Neto]]-Tabla4[[#This Row],[20.85%]]</f>
        <v>3767.9088390000002</v>
      </c>
      <c r="M1757" s="282" t="e">
        <f>(INDEX(Tabla6[#All],MATCH(Tabla4[[#This Row],[Producto]],Tabla6[[#All],[PRODUCTO]],0),MATCH(Tabla4[[#This Row],[Mes]],Tabla6[#Headers],0)))*(1+Catalogos!$L$2)</f>
        <v>#N/A</v>
      </c>
      <c r="N1757" s="283" t="e">
        <f>+(Tabla4[[#This Row],[Precio Descontado]]-Tabla4[[#This Row],[Precio Base]])*Tabla4[[#This Row],[Cantidad]]</f>
        <v>#N/A</v>
      </c>
      <c r="O1757" s="284" t="e">
        <f>++Tabla4[[#This Row],[Utilidad Total]]/Tabla4[[#This Row],[Total]]</f>
        <v>#N/A</v>
      </c>
      <c r="P1757" s="282">
        <f>++Tabla4[[#This Row],[Precio Descontado]]*Tabla4[[#This Row],[Cantidad]]</f>
        <v>15071.635356000001</v>
      </c>
      <c r="Q1757" s="282" t="e">
        <f>(INDEX(Tabla6[#All],MATCH(Tabla4[[#This Row],[Producto]],Tabla6[[#All],[PRODUCTO]],0),MATCH(Tabla4[[#This Row],[Mes]],Tabla6[#Headers],0)))</f>
        <v>#N/A</v>
      </c>
      <c r="R1757" s="282" t="e">
        <f>++Tabla4[[#This Row],[Precio Unitario Neto]]-Tabla4[[#This Row],[20.85%]]-Tabla4[[#This Row],[Costo]]</f>
        <v>#N/A</v>
      </c>
      <c r="S1757" s="282" t="e">
        <f>++Tabla4[[#This Row],[U. Bruta Uni]]*Tabla4[[#This Row],[Cantidad]]</f>
        <v>#N/A</v>
      </c>
      <c r="T1757" s="369" t="str">
        <f>VLOOKUP(Tabla4[[#This Row],[Producto]],Tabla6[#All],14,FALSE)</f>
        <v>Termico Solar</v>
      </c>
      <c r="U1757" s="284" t="e">
        <f>(IF(Tabla4[[#This Row],[Familia]]="termico solar",Tabla4[[#This Row],[Utilidad Total]]*6%,Tabla4[[#This Row],[Utilidad Total]]*11.5%))/Tabla4[[#This Row],[Total]]</f>
        <v>#N/A</v>
      </c>
      <c r="V1757" s="282" t="e">
        <f>+Tabla4[[#This Row],[Comisión Calculada]]*Tabla4[[#This Row],[Total]]</f>
        <v>#N/A</v>
      </c>
    </row>
    <row r="1758" spans="1:22" hidden="1" x14ac:dyDescent="0.25">
      <c r="A1758" s="100">
        <v>45747</v>
      </c>
      <c r="B1758" t="str">
        <f t="shared" si="86"/>
        <v>March</v>
      </c>
      <c r="C1758" s="46" t="s">
        <v>280</v>
      </c>
      <c r="F1758" s="366" t="s">
        <v>1382</v>
      </c>
      <c r="G1758" s="46" t="s">
        <v>18</v>
      </c>
      <c r="H1758" s="46">
        <v>5</v>
      </c>
      <c r="I1758" s="51">
        <v>5367.65</v>
      </c>
      <c r="J1758" s="281">
        <f>++Tabla4[[#This Row],[Precio Bruto]]*1.16</f>
        <v>6226.4739999999993</v>
      </c>
      <c r="K1758" s="281">
        <f>+Tabla4[[#This Row],[Precio Unitario Neto]]*Tabla4[[#Headers],[20.85%]]</f>
        <v>1298.2198289999999</v>
      </c>
      <c r="L1758" s="282">
        <f>++Tabla4[[#This Row],[Precio Unitario Neto]]-Tabla4[[#This Row],[20.85%]]</f>
        <v>4928.2541709999996</v>
      </c>
      <c r="M1758" s="282" t="e">
        <f>(INDEX(Tabla6[#All],MATCH(Tabla4[[#This Row],[Producto]],Tabla6[[#All],[PRODUCTO]],0),MATCH(Tabla4[[#This Row],[Mes]],Tabla6[#Headers],0)))*(1+Catalogos!$L$2)</f>
        <v>#N/A</v>
      </c>
      <c r="N1758" s="283" t="e">
        <f>+(Tabla4[[#This Row],[Precio Descontado]]-Tabla4[[#This Row],[Precio Base]])*Tabla4[[#This Row],[Cantidad]]</f>
        <v>#N/A</v>
      </c>
      <c r="O1758" s="284" t="e">
        <f>++Tabla4[[#This Row],[Utilidad Total]]/Tabla4[[#This Row],[Total]]</f>
        <v>#N/A</v>
      </c>
      <c r="P1758" s="282">
        <f>++Tabla4[[#This Row],[Precio Descontado]]*Tabla4[[#This Row],[Cantidad]]</f>
        <v>24641.270854999999</v>
      </c>
      <c r="Q1758" s="282" t="e">
        <f>(INDEX(Tabla6[#All],MATCH(Tabla4[[#This Row],[Producto]],Tabla6[[#All],[PRODUCTO]],0),MATCH(Tabla4[[#This Row],[Mes]],Tabla6[#Headers],0)))</f>
        <v>#N/A</v>
      </c>
      <c r="R1758" s="282" t="e">
        <f>++Tabla4[[#This Row],[Precio Unitario Neto]]-Tabla4[[#This Row],[20.85%]]-Tabla4[[#This Row],[Costo]]</f>
        <v>#N/A</v>
      </c>
      <c r="S1758" s="282" t="e">
        <f>++Tabla4[[#This Row],[U. Bruta Uni]]*Tabla4[[#This Row],[Cantidad]]</f>
        <v>#N/A</v>
      </c>
      <c r="T1758" s="369" t="str">
        <f>VLOOKUP(Tabla4[[#This Row],[Producto]],Tabla6[#All],14,FALSE)</f>
        <v>Termico Solar</v>
      </c>
      <c r="U1758" s="284" t="e">
        <f>(IF(Tabla4[[#This Row],[Familia]]="termico solar",Tabla4[[#This Row],[Utilidad Total]]*6%,Tabla4[[#This Row],[Utilidad Total]]*11.5%))/Tabla4[[#This Row],[Total]]</f>
        <v>#N/A</v>
      </c>
      <c r="V1758" s="282" t="e">
        <f>+Tabla4[[#This Row],[Comisión Calculada]]*Tabla4[[#This Row],[Total]]</f>
        <v>#N/A</v>
      </c>
    </row>
    <row r="1759" spans="1:22" hidden="1" x14ac:dyDescent="0.25">
      <c r="A1759" s="100">
        <v>45747</v>
      </c>
      <c r="B1759" t="str">
        <f t="shared" si="86"/>
        <v>March</v>
      </c>
      <c r="C1759" s="46" t="s">
        <v>280</v>
      </c>
      <c r="F1759" s="366" t="s">
        <v>1382</v>
      </c>
      <c r="G1759" s="46" t="s">
        <v>208</v>
      </c>
      <c r="H1759" s="46">
        <v>15</v>
      </c>
      <c r="I1759" s="51">
        <v>140.63</v>
      </c>
      <c r="J1759" s="281">
        <f>++Tabla4[[#This Row],[Precio Bruto]]*1.16</f>
        <v>163.13079999999999</v>
      </c>
      <c r="K1759" s="281">
        <f>+Tabla4[[#This Row],[Precio Unitario Neto]]*Tabla4[[#Headers],[20.85%]]</f>
        <v>34.012771799999996</v>
      </c>
      <c r="L1759" s="282">
        <f>++Tabla4[[#This Row],[Precio Unitario Neto]]-Tabla4[[#This Row],[20.85%]]</f>
        <v>129.1180282</v>
      </c>
      <c r="M1759" s="282" t="e">
        <f>(INDEX(Tabla6[#All],MATCH(Tabla4[[#This Row],[Producto]],Tabla6[[#All],[PRODUCTO]],0),MATCH(Tabla4[[#This Row],[Mes]],Tabla6[#Headers],0)))*(1+Catalogos!$L$2)</f>
        <v>#N/A</v>
      </c>
      <c r="N1759" s="283" t="e">
        <f>+(Tabla4[[#This Row],[Precio Descontado]]-Tabla4[[#This Row],[Precio Base]])*Tabla4[[#This Row],[Cantidad]]</f>
        <v>#N/A</v>
      </c>
      <c r="O1759" s="284" t="e">
        <f>++Tabla4[[#This Row],[Utilidad Total]]/Tabla4[[#This Row],[Total]]</f>
        <v>#N/A</v>
      </c>
      <c r="P1759" s="282">
        <f>++Tabla4[[#This Row],[Precio Descontado]]*Tabla4[[#This Row],[Cantidad]]</f>
        <v>1936.7704229999999</v>
      </c>
      <c r="Q1759" s="282" t="e">
        <f>(INDEX(Tabla6[#All],MATCH(Tabla4[[#This Row],[Producto]],Tabla6[[#All],[PRODUCTO]],0),MATCH(Tabla4[[#This Row],[Mes]],Tabla6[#Headers],0)))</f>
        <v>#N/A</v>
      </c>
      <c r="R1759" s="282" t="e">
        <f>++Tabla4[[#This Row],[Precio Unitario Neto]]-Tabla4[[#This Row],[20.85%]]-Tabla4[[#This Row],[Costo]]</f>
        <v>#N/A</v>
      </c>
      <c r="S1759" s="282" t="e">
        <f>++Tabla4[[#This Row],[U. Bruta Uni]]*Tabla4[[#This Row],[Cantidad]]</f>
        <v>#N/A</v>
      </c>
      <c r="T1759" s="369" t="str">
        <f>VLOOKUP(Tabla4[[#This Row],[Producto]],Tabla6[#All],14,FALSE)</f>
        <v>Termico Solar</v>
      </c>
      <c r="U1759" s="284" t="e">
        <f>(IF(Tabla4[[#This Row],[Familia]]="termico solar",Tabla4[[#This Row],[Utilidad Total]]*6%,Tabla4[[#This Row],[Utilidad Total]]*11.5%))/Tabla4[[#This Row],[Total]]</f>
        <v>#N/A</v>
      </c>
      <c r="V1759" s="282" t="e">
        <f>+Tabla4[[#This Row],[Comisión Calculada]]*Tabla4[[#This Row],[Total]]</f>
        <v>#N/A</v>
      </c>
    </row>
    <row r="1760" spans="1:22" hidden="1" x14ac:dyDescent="0.25">
      <c r="A1760" s="100">
        <v>45747</v>
      </c>
      <c r="B1760" t="str">
        <f t="shared" si="86"/>
        <v>March</v>
      </c>
      <c r="C1760" s="46" t="s">
        <v>280</v>
      </c>
      <c r="F1760" s="366" t="s">
        <v>1382</v>
      </c>
      <c r="G1760" s="46" t="s">
        <v>16</v>
      </c>
      <c r="H1760" s="46">
        <v>6</v>
      </c>
      <c r="I1760" s="51">
        <v>4103.8499999999995</v>
      </c>
      <c r="J1760" s="281">
        <f>++Tabla4[[#This Row],[Precio Bruto]]*1.16</f>
        <v>4760.4659999999994</v>
      </c>
      <c r="K1760" s="281">
        <f>+Tabla4[[#This Row],[Precio Unitario Neto]]*Tabla4[[#Headers],[20.85%]]</f>
        <v>992.55716099999984</v>
      </c>
      <c r="L1760" s="282">
        <f>++Tabla4[[#This Row],[Precio Unitario Neto]]-Tabla4[[#This Row],[20.85%]]</f>
        <v>3767.9088389999997</v>
      </c>
      <c r="M1760" s="282" t="e">
        <f>(INDEX(Tabla6[#All],MATCH(Tabla4[[#This Row],[Producto]],Tabla6[[#All],[PRODUCTO]],0),MATCH(Tabla4[[#This Row],[Mes]],Tabla6[#Headers],0)))*(1+Catalogos!$L$2)</f>
        <v>#N/A</v>
      </c>
      <c r="N1760" s="283" t="e">
        <f>+(Tabla4[[#This Row],[Precio Descontado]]-Tabla4[[#This Row],[Precio Base]])*Tabla4[[#This Row],[Cantidad]]</f>
        <v>#N/A</v>
      </c>
      <c r="O1760" s="284" t="e">
        <f>++Tabla4[[#This Row],[Utilidad Total]]/Tabla4[[#This Row],[Total]]</f>
        <v>#N/A</v>
      </c>
      <c r="P1760" s="282">
        <f>++Tabla4[[#This Row],[Precio Descontado]]*Tabla4[[#This Row],[Cantidad]]</f>
        <v>22607.453033999998</v>
      </c>
      <c r="Q1760" s="282" t="e">
        <f>(INDEX(Tabla6[#All],MATCH(Tabla4[[#This Row],[Producto]],Tabla6[[#All],[PRODUCTO]],0),MATCH(Tabla4[[#This Row],[Mes]],Tabla6[#Headers],0)))</f>
        <v>#N/A</v>
      </c>
      <c r="R1760" s="282" t="e">
        <f>++Tabla4[[#This Row],[Precio Unitario Neto]]-Tabla4[[#This Row],[20.85%]]-Tabla4[[#This Row],[Costo]]</f>
        <v>#N/A</v>
      </c>
      <c r="S1760" s="282" t="e">
        <f>++Tabla4[[#This Row],[U. Bruta Uni]]*Tabla4[[#This Row],[Cantidad]]</f>
        <v>#N/A</v>
      </c>
      <c r="T1760" s="369" t="str">
        <f>VLOOKUP(Tabla4[[#This Row],[Producto]],Tabla6[#All],14,FALSE)</f>
        <v>Termico Solar</v>
      </c>
      <c r="U1760" s="284" t="e">
        <f>(IF(Tabla4[[#This Row],[Familia]]="termico solar",Tabla4[[#This Row],[Utilidad Total]]*6%,Tabla4[[#This Row],[Utilidad Total]]*11.5%))/Tabla4[[#This Row],[Total]]</f>
        <v>#N/A</v>
      </c>
      <c r="V1760" s="282" t="e">
        <f>+Tabla4[[#This Row],[Comisión Calculada]]*Tabla4[[#This Row],[Total]]</f>
        <v>#N/A</v>
      </c>
    </row>
    <row r="1761" spans="1:22" hidden="1" x14ac:dyDescent="0.25">
      <c r="A1761" s="100">
        <v>45747</v>
      </c>
      <c r="B1761" t="str">
        <f t="shared" si="86"/>
        <v>March</v>
      </c>
      <c r="C1761" s="46" t="s">
        <v>280</v>
      </c>
      <c r="F1761" s="366" t="s">
        <v>1383</v>
      </c>
      <c r="G1761" s="46" t="s">
        <v>17</v>
      </c>
      <c r="H1761" s="46">
        <v>1</v>
      </c>
      <c r="I1761" s="51">
        <v>4622.28</v>
      </c>
      <c r="J1761" s="281">
        <f>++Tabla4[[#This Row],[Precio Bruto]]*1.16</f>
        <v>5361.8447999999989</v>
      </c>
      <c r="K1761" s="281">
        <f>+Tabla4[[#This Row],[Precio Unitario Neto]]*Tabla4[[#Headers],[20.85%]]</f>
        <v>1117.9446407999997</v>
      </c>
      <c r="L1761" s="282">
        <f>++Tabla4[[#This Row],[Precio Unitario Neto]]-Tabla4[[#This Row],[20.85%]]</f>
        <v>4243.9001591999995</v>
      </c>
      <c r="M1761" s="282" t="e">
        <f>(INDEX(Tabla6[#All],MATCH(Tabla4[[#This Row],[Producto]],Tabla6[[#All],[PRODUCTO]],0),MATCH(Tabla4[[#This Row],[Mes]],Tabla6[#Headers],0)))*(1+Catalogos!$L$2)</f>
        <v>#N/A</v>
      </c>
      <c r="N1761" s="283" t="e">
        <f>+(Tabla4[[#This Row],[Precio Descontado]]-Tabla4[[#This Row],[Precio Base]])*Tabla4[[#This Row],[Cantidad]]</f>
        <v>#N/A</v>
      </c>
      <c r="O1761" s="284" t="e">
        <f>++Tabla4[[#This Row],[Utilidad Total]]/Tabla4[[#This Row],[Total]]</f>
        <v>#N/A</v>
      </c>
      <c r="P1761" s="282">
        <f>++Tabla4[[#This Row],[Precio Descontado]]*Tabla4[[#This Row],[Cantidad]]</f>
        <v>4243.9001591999995</v>
      </c>
      <c r="Q1761" s="282" t="e">
        <f>(INDEX(Tabla6[#All],MATCH(Tabla4[[#This Row],[Producto]],Tabla6[[#All],[PRODUCTO]],0),MATCH(Tabla4[[#This Row],[Mes]],Tabla6[#Headers],0)))</f>
        <v>#N/A</v>
      </c>
      <c r="R1761" s="282" t="e">
        <f>++Tabla4[[#This Row],[Precio Unitario Neto]]-Tabla4[[#This Row],[20.85%]]-Tabla4[[#This Row],[Costo]]</f>
        <v>#N/A</v>
      </c>
      <c r="S1761" s="282" t="e">
        <f>++Tabla4[[#This Row],[U. Bruta Uni]]*Tabla4[[#This Row],[Cantidad]]</f>
        <v>#N/A</v>
      </c>
      <c r="T1761" s="369" t="str">
        <f>VLOOKUP(Tabla4[[#This Row],[Producto]],Tabla6[#All],14,FALSE)</f>
        <v>Termico Solar</v>
      </c>
      <c r="U1761" s="284" t="e">
        <f>(IF(Tabla4[[#This Row],[Familia]]="termico solar",Tabla4[[#This Row],[Utilidad Total]]*6%,Tabla4[[#This Row],[Utilidad Total]]*11.5%))/Tabla4[[#This Row],[Total]]</f>
        <v>#N/A</v>
      </c>
      <c r="V1761" s="282" t="e">
        <f>+Tabla4[[#This Row],[Comisión Calculada]]*Tabla4[[#This Row],[Total]]</f>
        <v>#N/A</v>
      </c>
    </row>
    <row r="1762" spans="1:22" hidden="1" x14ac:dyDescent="0.25">
      <c r="A1762" s="100">
        <v>45747</v>
      </c>
      <c r="B1762" t="str">
        <f t="shared" si="86"/>
        <v>March</v>
      </c>
      <c r="C1762" s="46" t="s">
        <v>280</v>
      </c>
      <c r="F1762" s="366" t="s">
        <v>1383</v>
      </c>
      <c r="G1762" s="46" t="s">
        <v>208</v>
      </c>
      <c r="H1762" s="46">
        <v>15</v>
      </c>
      <c r="I1762" s="51">
        <v>140.63</v>
      </c>
      <c r="J1762" s="281">
        <f>++Tabla4[[#This Row],[Precio Bruto]]*1.16</f>
        <v>163.13079999999999</v>
      </c>
      <c r="K1762" s="281">
        <f>+Tabla4[[#This Row],[Precio Unitario Neto]]*Tabla4[[#Headers],[20.85%]]</f>
        <v>34.012771799999996</v>
      </c>
      <c r="L1762" s="282">
        <f>++Tabla4[[#This Row],[Precio Unitario Neto]]-Tabla4[[#This Row],[20.85%]]</f>
        <v>129.1180282</v>
      </c>
      <c r="M1762" s="282" t="e">
        <f>(INDEX(Tabla6[#All],MATCH(Tabla4[[#This Row],[Producto]],Tabla6[[#All],[PRODUCTO]],0),MATCH(Tabla4[[#This Row],[Mes]],Tabla6[#Headers],0)))*(1+Catalogos!$L$2)</f>
        <v>#N/A</v>
      </c>
      <c r="N1762" s="283" t="e">
        <f>+(Tabla4[[#This Row],[Precio Descontado]]-Tabla4[[#This Row],[Precio Base]])*Tabla4[[#This Row],[Cantidad]]</f>
        <v>#N/A</v>
      </c>
      <c r="O1762" s="284" t="e">
        <f>++Tabla4[[#This Row],[Utilidad Total]]/Tabla4[[#This Row],[Total]]</f>
        <v>#N/A</v>
      </c>
      <c r="P1762" s="282">
        <f>++Tabla4[[#This Row],[Precio Descontado]]*Tabla4[[#This Row],[Cantidad]]</f>
        <v>1936.7704229999999</v>
      </c>
      <c r="Q1762" s="282" t="e">
        <f>(INDEX(Tabla6[#All],MATCH(Tabla4[[#This Row],[Producto]],Tabla6[[#All],[PRODUCTO]],0),MATCH(Tabla4[[#This Row],[Mes]],Tabla6[#Headers],0)))</f>
        <v>#N/A</v>
      </c>
      <c r="R1762" s="282" t="e">
        <f>++Tabla4[[#This Row],[Precio Unitario Neto]]-Tabla4[[#This Row],[20.85%]]-Tabla4[[#This Row],[Costo]]</f>
        <v>#N/A</v>
      </c>
      <c r="S1762" s="282" t="e">
        <f>++Tabla4[[#This Row],[U. Bruta Uni]]*Tabla4[[#This Row],[Cantidad]]</f>
        <v>#N/A</v>
      </c>
      <c r="T1762" s="369" t="str">
        <f>VLOOKUP(Tabla4[[#This Row],[Producto]],Tabla6[#All],14,FALSE)</f>
        <v>Termico Solar</v>
      </c>
      <c r="U1762" s="284" t="e">
        <f>(IF(Tabla4[[#This Row],[Familia]]="termico solar",Tabla4[[#This Row],[Utilidad Total]]*6%,Tabla4[[#This Row],[Utilidad Total]]*11.5%))/Tabla4[[#This Row],[Total]]</f>
        <v>#N/A</v>
      </c>
      <c r="V1762" s="282" t="e">
        <f>+Tabla4[[#This Row],[Comisión Calculada]]*Tabla4[[#This Row],[Total]]</f>
        <v>#N/A</v>
      </c>
    </row>
    <row r="1763" spans="1:22" hidden="1" x14ac:dyDescent="0.25">
      <c r="A1763" s="100">
        <v>45747</v>
      </c>
      <c r="B1763" t="str">
        <f t="shared" si="86"/>
        <v>March</v>
      </c>
      <c r="C1763" s="46" t="s">
        <v>280</v>
      </c>
      <c r="F1763" s="366" t="s">
        <v>1383</v>
      </c>
      <c r="G1763" s="46" t="s">
        <v>16</v>
      </c>
      <c r="H1763" s="46">
        <v>1</v>
      </c>
      <c r="I1763" s="51">
        <v>4103.8500000000004</v>
      </c>
      <c r="J1763" s="281">
        <f>++Tabla4[[#This Row],[Precio Bruto]]*1.16</f>
        <v>4760.4660000000003</v>
      </c>
      <c r="K1763" s="281">
        <f>+Tabla4[[#This Row],[Precio Unitario Neto]]*Tabla4[[#Headers],[20.85%]]</f>
        <v>992.55716100000006</v>
      </c>
      <c r="L1763" s="282">
        <f>++Tabla4[[#This Row],[Precio Unitario Neto]]-Tabla4[[#This Row],[20.85%]]</f>
        <v>3767.9088390000002</v>
      </c>
      <c r="M1763" s="282" t="e">
        <f>(INDEX(Tabla6[#All],MATCH(Tabla4[[#This Row],[Producto]],Tabla6[[#All],[PRODUCTO]],0),MATCH(Tabla4[[#This Row],[Mes]],Tabla6[#Headers],0)))*(1+Catalogos!$L$2)</f>
        <v>#N/A</v>
      </c>
      <c r="N1763" s="283" t="e">
        <f>+(Tabla4[[#This Row],[Precio Descontado]]-Tabla4[[#This Row],[Precio Base]])*Tabla4[[#This Row],[Cantidad]]</f>
        <v>#N/A</v>
      </c>
      <c r="O1763" s="284" t="e">
        <f>++Tabla4[[#This Row],[Utilidad Total]]/Tabla4[[#This Row],[Total]]</f>
        <v>#N/A</v>
      </c>
      <c r="P1763" s="282">
        <f>++Tabla4[[#This Row],[Precio Descontado]]*Tabla4[[#This Row],[Cantidad]]</f>
        <v>3767.9088390000002</v>
      </c>
      <c r="Q1763" s="282" t="e">
        <f>(INDEX(Tabla6[#All],MATCH(Tabla4[[#This Row],[Producto]],Tabla6[[#All],[PRODUCTO]],0),MATCH(Tabla4[[#This Row],[Mes]],Tabla6[#Headers],0)))</f>
        <v>#N/A</v>
      </c>
      <c r="R1763" s="282" t="e">
        <f>++Tabla4[[#This Row],[Precio Unitario Neto]]-Tabla4[[#This Row],[20.85%]]-Tabla4[[#This Row],[Costo]]</f>
        <v>#N/A</v>
      </c>
      <c r="S1763" s="282" t="e">
        <f>++Tabla4[[#This Row],[U. Bruta Uni]]*Tabla4[[#This Row],[Cantidad]]</f>
        <v>#N/A</v>
      </c>
      <c r="T1763" s="369" t="str">
        <f>VLOOKUP(Tabla4[[#This Row],[Producto]],Tabla6[#All],14,FALSE)</f>
        <v>Termico Solar</v>
      </c>
      <c r="U1763" s="284" t="e">
        <f>(IF(Tabla4[[#This Row],[Familia]]="termico solar",Tabla4[[#This Row],[Utilidad Total]]*6%,Tabla4[[#This Row],[Utilidad Total]]*11.5%))/Tabla4[[#This Row],[Total]]</f>
        <v>#N/A</v>
      </c>
      <c r="V1763" s="282" t="e">
        <f>+Tabla4[[#This Row],[Comisión Calculada]]*Tabla4[[#This Row],[Total]]</f>
        <v>#N/A</v>
      </c>
    </row>
    <row r="1764" spans="1:22" hidden="1" x14ac:dyDescent="0.25">
      <c r="A1764" s="100">
        <v>45747</v>
      </c>
      <c r="B1764" t="str">
        <f t="shared" si="86"/>
        <v>March</v>
      </c>
      <c r="C1764" s="46" t="s">
        <v>280</v>
      </c>
      <c r="F1764" s="366" t="s">
        <v>1384</v>
      </c>
      <c r="G1764" s="46" t="s">
        <v>83</v>
      </c>
      <c r="H1764" s="46">
        <v>1</v>
      </c>
      <c r="I1764" s="51">
        <v>8858.76</v>
      </c>
      <c r="J1764" s="281">
        <f>++Tabla4[[#This Row],[Precio Bruto]]*1.16</f>
        <v>10276.161599999999</v>
      </c>
      <c r="K1764" s="281">
        <f>+Tabla4[[#This Row],[Precio Unitario Neto]]*Tabla4[[#Headers],[20.85%]]</f>
        <v>2142.5796935999997</v>
      </c>
      <c r="L1764" s="282">
        <f>++Tabla4[[#This Row],[Precio Unitario Neto]]-Tabla4[[#This Row],[20.85%]]</f>
        <v>8133.5819063999998</v>
      </c>
      <c r="M1764" s="282" t="e">
        <f>(INDEX(Tabla6[#All],MATCH(Tabla4[[#This Row],[Producto]],Tabla6[[#All],[PRODUCTO]],0),MATCH(Tabla4[[#This Row],[Mes]],Tabla6[#Headers],0)))*(1+Catalogos!$L$2)</f>
        <v>#N/A</v>
      </c>
      <c r="N1764" s="283" t="e">
        <f>+(Tabla4[[#This Row],[Precio Descontado]]-Tabla4[[#This Row],[Precio Base]])*Tabla4[[#This Row],[Cantidad]]</f>
        <v>#N/A</v>
      </c>
      <c r="O1764" s="284" t="e">
        <f>++Tabla4[[#This Row],[Utilidad Total]]/Tabla4[[#This Row],[Total]]</f>
        <v>#N/A</v>
      </c>
      <c r="P1764" s="282">
        <f>++Tabla4[[#This Row],[Precio Descontado]]*Tabla4[[#This Row],[Cantidad]]</f>
        <v>8133.5819063999998</v>
      </c>
      <c r="Q1764" s="282" t="e">
        <f>(INDEX(Tabla6[#All],MATCH(Tabla4[[#This Row],[Producto]],Tabla6[[#All],[PRODUCTO]],0),MATCH(Tabla4[[#This Row],[Mes]],Tabla6[#Headers],0)))</f>
        <v>#N/A</v>
      </c>
      <c r="R1764" s="282" t="e">
        <f>++Tabla4[[#This Row],[Precio Unitario Neto]]-Tabla4[[#This Row],[20.85%]]-Tabla4[[#This Row],[Costo]]</f>
        <v>#N/A</v>
      </c>
      <c r="S1764" s="282" t="e">
        <f>++Tabla4[[#This Row],[U. Bruta Uni]]*Tabla4[[#This Row],[Cantidad]]</f>
        <v>#N/A</v>
      </c>
      <c r="T1764" s="369" t="str">
        <f>VLOOKUP(Tabla4[[#This Row],[Producto]],Tabla6[#All],14,FALSE)</f>
        <v>Termico Solar</v>
      </c>
      <c r="U1764" s="284" t="e">
        <f>(IF(Tabla4[[#This Row],[Familia]]="termico solar",Tabla4[[#This Row],[Utilidad Total]]*6%,Tabla4[[#This Row],[Utilidad Total]]*11.5%))/Tabla4[[#This Row],[Total]]</f>
        <v>#N/A</v>
      </c>
      <c r="V1764" s="282" t="e">
        <f>+Tabla4[[#This Row],[Comisión Calculada]]*Tabla4[[#This Row],[Total]]</f>
        <v>#N/A</v>
      </c>
    </row>
    <row r="1765" spans="1:22" hidden="1" x14ac:dyDescent="0.25">
      <c r="A1765" s="100">
        <v>45747</v>
      </c>
      <c r="B1765" t="str">
        <f t="shared" si="86"/>
        <v>March</v>
      </c>
      <c r="C1765" s="46" t="s">
        <v>280</v>
      </c>
      <c r="F1765" s="366" t="s">
        <v>1384</v>
      </c>
      <c r="G1765" s="46" t="s">
        <v>17</v>
      </c>
      <c r="H1765" s="46">
        <v>2</v>
      </c>
      <c r="I1765" s="51">
        <v>4622.28</v>
      </c>
      <c r="J1765" s="281">
        <f>++Tabla4[[#This Row],[Precio Bruto]]*1.16</f>
        <v>5361.8447999999989</v>
      </c>
      <c r="K1765" s="281">
        <f>+Tabla4[[#This Row],[Precio Unitario Neto]]*Tabla4[[#Headers],[20.85%]]</f>
        <v>1117.9446407999997</v>
      </c>
      <c r="L1765" s="282">
        <f>++Tabla4[[#This Row],[Precio Unitario Neto]]-Tabla4[[#This Row],[20.85%]]</f>
        <v>4243.9001591999995</v>
      </c>
      <c r="M1765" s="282" t="e">
        <f>(INDEX(Tabla6[#All],MATCH(Tabla4[[#This Row],[Producto]],Tabla6[[#All],[PRODUCTO]],0),MATCH(Tabla4[[#This Row],[Mes]],Tabla6[#Headers],0)))*(1+Catalogos!$L$2)</f>
        <v>#N/A</v>
      </c>
      <c r="N1765" s="283" t="e">
        <f>+(Tabla4[[#This Row],[Precio Descontado]]-Tabla4[[#This Row],[Precio Base]])*Tabla4[[#This Row],[Cantidad]]</f>
        <v>#N/A</v>
      </c>
      <c r="O1765" s="284" t="e">
        <f>++Tabla4[[#This Row],[Utilidad Total]]/Tabla4[[#This Row],[Total]]</f>
        <v>#N/A</v>
      </c>
      <c r="P1765" s="282">
        <f>++Tabla4[[#This Row],[Precio Descontado]]*Tabla4[[#This Row],[Cantidad]]</f>
        <v>8487.800318399999</v>
      </c>
      <c r="Q1765" s="282" t="e">
        <f>(INDEX(Tabla6[#All],MATCH(Tabla4[[#This Row],[Producto]],Tabla6[[#All],[PRODUCTO]],0),MATCH(Tabla4[[#This Row],[Mes]],Tabla6[#Headers],0)))</f>
        <v>#N/A</v>
      </c>
      <c r="R1765" s="282" t="e">
        <f>++Tabla4[[#This Row],[Precio Unitario Neto]]-Tabla4[[#This Row],[20.85%]]-Tabla4[[#This Row],[Costo]]</f>
        <v>#N/A</v>
      </c>
      <c r="S1765" s="282" t="e">
        <f>++Tabla4[[#This Row],[U. Bruta Uni]]*Tabla4[[#This Row],[Cantidad]]</f>
        <v>#N/A</v>
      </c>
      <c r="T1765" s="369" t="str">
        <f>VLOOKUP(Tabla4[[#This Row],[Producto]],Tabla6[#All],14,FALSE)</f>
        <v>Termico Solar</v>
      </c>
      <c r="U1765" s="284" t="e">
        <f>(IF(Tabla4[[#This Row],[Familia]]="termico solar",Tabla4[[#This Row],[Utilidad Total]]*6%,Tabla4[[#This Row],[Utilidad Total]]*11.5%))/Tabla4[[#This Row],[Total]]</f>
        <v>#N/A</v>
      </c>
      <c r="V1765" s="282" t="e">
        <f>+Tabla4[[#This Row],[Comisión Calculada]]*Tabla4[[#This Row],[Total]]</f>
        <v>#N/A</v>
      </c>
    </row>
    <row r="1766" spans="1:22" hidden="1" x14ac:dyDescent="0.25">
      <c r="A1766" s="100">
        <v>45747</v>
      </c>
      <c r="B1766" t="str">
        <f t="shared" si="86"/>
        <v>March</v>
      </c>
      <c r="C1766" s="46" t="s">
        <v>280</v>
      </c>
      <c r="F1766" s="366" t="s">
        <v>1384</v>
      </c>
      <c r="G1766" s="46" t="s">
        <v>208</v>
      </c>
      <c r="H1766" s="46">
        <v>15</v>
      </c>
      <c r="I1766" s="51">
        <v>140.63</v>
      </c>
      <c r="J1766" s="281">
        <f>++Tabla4[[#This Row],[Precio Bruto]]*1.16</f>
        <v>163.13079999999999</v>
      </c>
      <c r="K1766" s="281">
        <f>+Tabla4[[#This Row],[Precio Unitario Neto]]*Tabla4[[#Headers],[20.85%]]</f>
        <v>34.012771799999996</v>
      </c>
      <c r="L1766" s="282">
        <f>++Tabla4[[#This Row],[Precio Unitario Neto]]-Tabla4[[#This Row],[20.85%]]</f>
        <v>129.1180282</v>
      </c>
      <c r="M1766" s="282" t="e">
        <f>(INDEX(Tabla6[#All],MATCH(Tabla4[[#This Row],[Producto]],Tabla6[[#All],[PRODUCTO]],0),MATCH(Tabla4[[#This Row],[Mes]],Tabla6[#Headers],0)))*(1+Catalogos!$L$2)</f>
        <v>#N/A</v>
      </c>
      <c r="N1766" s="283" t="e">
        <f>+(Tabla4[[#This Row],[Precio Descontado]]-Tabla4[[#This Row],[Precio Base]])*Tabla4[[#This Row],[Cantidad]]</f>
        <v>#N/A</v>
      </c>
      <c r="O1766" s="284" t="e">
        <f>++Tabla4[[#This Row],[Utilidad Total]]/Tabla4[[#This Row],[Total]]</f>
        <v>#N/A</v>
      </c>
      <c r="P1766" s="282">
        <f>++Tabla4[[#This Row],[Precio Descontado]]*Tabla4[[#This Row],[Cantidad]]</f>
        <v>1936.7704229999999</v>
      </c>
      <c r="Q1766" s="282" t="e">
        <f>(INDEX(Tabla6[#All],MATCH(Tabla4[[#This Row],[Producto]],Tabla6[[#All],[PRODUCTO]],0),MATCH(Tabla4[[#This Row],[Mes]],Tabla6[#Headers],0)))</f>
        <v>#N/A</v>
      </c>
      <c r="R1766" s="282" t="e">
        <f>++Tabla4[[#This Row],[Precio Unitario Neto]]-Tabla4[[#This Row],[20.85%]]-Tabla4[[#This Row],[Costo]]</f>
        <v>#N/A</v>
      </c>
      <c r="S1766" s="282" t="e">
        <f>++Tabla4[[#This Row],[U. Bruta Uni]]*Tabla4[[#This Row],[Cantidad]]</f>
        <v>#N/A</v>
      </c>
      <c r="T1766" s="369" t="str">
        <f>VLOOKUP(Tabla4[[#This Row],[Producto]],Tabla6[#All],14,FALSE)</f>
        <v>Termico Solar</v>
      </c>
      <c r="U1766" s="284" t="e">
        <f>(IF(Tabla4[[#This Row],[Familia]]="termico solar",Tabla4[[#This Row],[Utilidad Total]]*6%,Tabla4[[#This Row],[Utilidad Total]]*11.5%))/Tabla4[[#This Row],[Total]]</f>
        <v>#N/A</v>
      </c>
      <c r="V1766" s="282" t="e">
        <f>+Tabla4[[#This Row],[Comisión Calculada]]*Tabla4[[#This Row],[Total]]</f>
        <v>#N/A</v>
      </c>
    </row>
    <row r="1767" spans="1:22" hidden="1" x14ac:dyDescent="0.25">
      <c r="A1767" s="100">
        <v>45747</v>
      </c>
      <c r="B1767" t="str">
        <f t="shared" si="86"/>
        <v>March</v>
      </c>
      <c r="C1767" s="46" t="s">
        <v>280</v>
      </c>
      <c r="F1767" s="366" t="s">
        <v>1385</v>
      </c>
      <c r="G1767" s="46" t="s">
        <v>83</v>
      </c>
      <c r="H1767" s="46">
        <v>3</v>
      </c>
      <c r="I1767" s="51">
        <v>8858.76</v>
      </c>
      <c r="J1767" s="281">
        <f>++Tabla4[[#This Row],[Precio Bruto]]*1.16</f>
        <v>10276.161599999999</v>
      </c>
      <c r="K1767" s="281">
        <f>+Tabla4[[#This Row],[Precio Unitario Neto]]*Tabla4[[#Headers],[20.85%]]</f>
        <v>2142.5796935999997</v>
      </c>
      <c r="L1767" s="282">
        <f>++Tabla4[[#This Row],[Precio Unitario Neto]]-Tabla4[[#This Row],[20.85%]]</f>
        <v>8133.5819063999998</v>
      </c>
      <c r="M1767" s="282" t="e">
        <f>(INDEX(Tabla6[#All],MATCH(Tabla4[[#This Row],[Producto]],Tabla6[[#All],[PRODUCTO]],0),MATCH(Tabla4[[#This Row],[Mes]],Tabla6[#Headers],0)))*(1+Catalogos!$L$2)</f>
        <v>#N/A</v>
      </c>
      <c r="N1767" s="283" t="e">
        <f>+(Tabla4[[#This Row],[Precio Descontado]]-Tabla4[[#This Row],[Precio Base]])*Tabla4[[#This Row],[Cantidad]]</f>
        <v>#N/A</v>
      </c>
      <c r="O1767" s="284" t="e">
        <f>++Tabla4[[#This Row],[Utilidad Total]]/Tabla4[[#This Row],[Total]]</f>
        <v>#N/A</v>
      </c>
      <c r="P1767" s="282">
        <f>++Tabla4[[#This Row],[Precio Descontado]]*Tabla4[[#This Row],[Cantidad]]</f>
        <v>24400.7457192</v>
      </c>
      <c r="Q1767" s="282" t="e">
        <f>(INDEX(Tabla6[#All],MATCH(Tabla4[[#This Row],[Producto]],Tabla6[[#All],[PRODUCTO]],0),MATCH(Tabla4[[#This Row],[Mes]],Tabla6[#Headers],0)))</f>
        <v>#N/A</v>
      </c>
      <c r="R1767" s="282" t="e">
        <f>++Tabla4[[#This Row],[Precio Unitario Neto]]-Tabla4[[#This Row],[20.85%]]-Tabla4[[#This Row],[Costo]]</f>
        <v>#N/A</v>
      </c>
      <c r="S1767" s="282" t="e">
        <f>++Tabla4[[#This Row],[U. Bruta Uni]]*Tabla4[[#This Row],[Cantidad]]</f>
        <v>#N/A</v>
      </c>
      <c r="T1767" s="369" t="str">
        <f>VLOOKUP(Tabla4[[#This Row],[Producto]],Tabla6[#All],14,FALSE)</f>
        <v>Termico Solar</v>
      </c>
      <c r="U1767" s="284" t="e">
        <f>(IF(Tabla4[[#This Row],[Familia]]="termico solar",Tabla4[[#This Row],[Utilidad Total]]*6%,Tabla4[[#This Row],[Utilidad Total]]*11.5%))/Tabla4[[#This Row],[Total]]</f>
        <v>#N/A</v>
      </c>
      <c r="V1767" s="282" t="e">
        <f>+Tabla4[[#This Row],[Comisión Calculada]]*Tabla4[[#This Row],[Total]]</f>
        <v>#N/A</v>
      </c>
    </row>
    <row r="1768" spans="1:22" hidden="1" x14ac:dyDescent="0.25">
      <c r="A1768" s="100">
        <v>45747</v>
      </c>
      <c r="B1768" t="str">
        <f t="shared" si="86"/>
        <v>March</v>
      </c>
      <c r="C1768" s="46" t="s">
        <v>280</v>
      </c>
      <c r="F1768" s="366" t="s">
        <v>1385</v>
      </c>
      <c r="G1768" s="46" t="s">
        <v>18</v>
      </c>
      <c r="H1768" s="46">
        <v>4</v>
      </c>
      <c r="I1768" s="51">
        <v>5367.65</v>
      </c>
      <c r="J1768" s="281">
        <f>++Tabla4[[#This Row],[Precio Bruto]]*1.16</f>
        <v>6226.4739999999993</v>
      </c>
      <c r="K1768" s="281">
        <f>+Tabla4[[#This Row],[Precio Unitario Neto]]*Tabla4[[#Headers],[20.85%]]</f>
        <v>1298.2198289999999</v>
      </c>
      <c r="L1768" s="282">
        <f>++Tabla4[[#This Row],[Precio Unitario Neto]]-Tabla4[[#This Row],[20.85%]]</f>
        <v>4928.2541709999996</v>
      </c>
      <c r="M1768" s="282" t="e">
        <f>(INDEX(Tabla6[#All],MATCH(Tabla4[[#This Row],[Producto]],Tabla6[[#All],[PRODUCTO]],0),MATCH(Tabla4[[#This Row],[Mes]],Tabla6[#Headers],0)))*(1+Catalogos!$L$2)</f>
        <v>#N/A</v>
      </c>
      <c r="N1768" s="283" t="e">
        <f>+(Tabla4[[#This Row],[Precio Descontado]]-Tabla4[[#This Row],[Precio Base]])*Tabla4[[#This Row],[Cantidad]]</f>
        <v>#N/A</v>
      </c>
      <c r="O1768" s="284" t="e">
        <f>++Tabla4[[#This Row],[Utilidad Total]]/Tabla4[[#This Row],[Total]]</f>
        <v>#N/A</v>
      </c>
      <c r="P1768" s="282">
        <f>++Tabla4[[#This Row],[Precio Descontado]]*Tabla4[[#This Row],[Cantidad]]</f>
        <v>19713.016683999998</v>
      </c>
      <c r="Q1768" s="282" t="e">
        <f>(INDEX(Tabla6[#All],MATCH(Tabla4[[#This Row],[Producto]],Tabla6[[#All],[PRODUCTO]],0),MATCH(Tabla4[[#This Row],[Mes]],Tabla6[#Headers],0)))</f>
        <v>#N/A</v>
      </c>
      <c r="R1768" s="282" t="e">
        <f>++Tabla4[[#This Row],[Precio Unitario Neto]]-Tabla4[[#This Row],[20.85%]]-Tabla4[[#This Row],[Costo]]</f>
        <v>#N/A</v>
      </c>
      <c r="S1768" s="282" t="e">
        <f>++Tabla4[[#This Row],[U. Bruta Uni]]*Tabla4[[#This Row],[Cantidad]]</f>
        <v>#N/A</v>
      </c>
      <c r="T1768" s="369" t="str">
        <f>VLOOKUP(Tabla4[[#This Row],[Producto]],Tabla6[#All],14,FALSE)</f>
        <v>Termico Solar</v>
      </c>
      <c r="U1768" s="284" t="e">
        <f>(IF(Tabla4[[#This Row],[Familia]]="termico solar",Tabla4[[#This Row],[Utilidad Total]]*6%,Tabla4[[#This Row],[Utilidad Total]]*11.5%))/Tabla4[[#This Row],[Total]]</f>
        <v>#N/A</v>
      </c>
      <c r="V1768" s="282" t="e">
        <f>+Tabla4[[#This Row],[Comisión Calculada]]*Tabla4[[#This Row],[Total]]</f>
        <v>#N/A</v>
      </c>
    </row>
    <row r="1769" spans="1:22" hidden="1" x14ac:dyDescent="0.25">
      <c r="A1769" s="100">
        <v>45747</v>
      </c>
      <c r="B1769" t="str">
        <f t="shared" si="86"/>
        <v>March</v>
      </c>
      <c r="C1769" s="46" t="s">
        <v>280</v>
      </c>
      <c r="F1769" s="366" t="s">
        <v>1386</v>
      </c>
      <c r="G1769" s="46" t="s">
        <v>17</v>
      </c>
      <c r="H1769" s="46">
        <v>3</v>
      </c>
      <c r="I1769" s="51">
        <v>4622.28</v>
      </c>
      <c r="J1769" s="281">
        <f>++Tabla4[[#This Row],[Precio Bruto]]*1.16</f>
        <v>5361.8447999999989</v>
      </c>
      <c r="K1769" s="281">
        <f>+Tabla4[[#This Row],[Precio Unitario Neto]]*Tabla4[[#Headers],[20.85%]]</f>
        <v>1117.9446407999997</v>
      </c>
      <c r="L1769" s="282">
        <f>++Tabla4[[#This Row],[Precio Unitario Neto]]-Tabla4[[#This Row],[20.85%]]</f>
        <v>4243.9001591999995</v>
      </c>
      <c r="M1769" s="282" t="e">
        <f>(INDEX(Tabla6[#All],MATCH(Tabla4[[#This Row],[Producto]],Tabla6[[#All],[PRODUCTO]],0),MATCH(Tabla4[[#This Row],[Mes]],Tabla6[#Headers],0)))*(1+Catalogos!$L$2)</f>
        <v>#N/A</v>
      </c>
      <c r="N1769" s="283" t="e">
        <f>+(Tabla4[[#This Row],[Precio Descontado]]-Tabla4[[#This Row],[Precio Base]])*Tabla4[[#This Row],[Cantidad]]</f>
        <v>#N/A</v>
      </c>
      <c r="O1769" s="284" t="e">
        <f>++Tabla4[[#This Row],[Utilidad Total]]/Tabla4[[#This Row],[Total]]</f>
        <v>#N/A</v>
      </c>
      <c r="P1769" s="282">
        <f>++Tabla4[[#This Row],[Precio Descontado]]*Tabla4[[#This Row],[Cantidad]]</f>
        <v>12731.700477599999</v>
      </c>
      <c r="Q1769" s="282" t="e">
        <f>(INDEX(Tabla6[#All],MATCH(Tabla4[[#This Row],[Producto]],Tabla6[[#All],[PRODUCTO]],0),MATCH(Tabla4[[#This Row],[Mes]],Tabla6[#Headers],0)))</f>
        <v>#N/A</v>
      </c>
      <c r="R1769" s="282" t="e">
        <f>++Tabla4[[#This Row],[Precio Unitario Neto]]-Tabla4[[#This Row],[20.85%]]-Tabla4[[#This Row],[Costo]]</f>
        <v>#N/A</v>
      </c>
      <c r="S1769" s="282" t="e">
        <f>++Tabla4[[#This Row],[U. Bruta Uni]]*Tabla4[[#This Row],[Cantidad]]</f>
        <v>#N/A</v>
      </c>
      <c r="T1769" s="369" t="str">
        <f>VLOOKUP(Tabla4[[#This Row],[Producto]],Tabla6[#All],14,FALSE)</f>
        <v>Termico Solar</v>
      </c>
      <c r="U1769" s="284" t="e">
        <f>(IF(Tabla4[[#This Row],[Familia]]="termico solar",Tabla4[[#This Row],[Utilidad Total]]*6%,Tabla4[[#This Row],[Utilidad Total]]*11.5%))/Tabla4[[#This Row],[Total]]</f>
        <v>#N/A</v>
      </c>
      <c r="V1769" s="282" t="e">
        <f>+Tabla4[[#This Row],[Comisión Calculada]]*Tabla4[[#This Row],[Total]]</f>
        <v>#N/A</v>
      </c>
    </row>
    <row r="1770" spans="1:22" hidden="1" x14ac:dyDescent="0.25">
      <c r="A1770" s="100">
        <v>45747</v>
      </c>
      <c r="B1770" t="str">
        <f t="shared" si="86"/>
        <v>March</v>
      </c>
      <c r="C1770" s="46" t="s">
        <v>280</v>
      </c>
      <c r="F1770" s="366" t="s">
        <v>1386</v>
      </c>
      <c r="G1770" s="46" t="s">
        <v>18</v>
      </c>
      <c r="H1770" s="46">
        <v>6</v>
      </c>
      <c r="I1770" s="51">
        <v>5367.6500000000005</v>
      </c>
      <c r="J1770" s="281">
        <f>++Tabla4[[#This Row],[Precio Bruto]]*1.16</f>
        <v>6226.4740000000002</v>
      </c>
      <c r="K1770" s="281">
        <f>+Tabla4[[#This Row],[Precio Unitario Neto]]*Tabla4[[#Headers],[20.85%]]</f>
        <v>1298.2198289999999</v>
      </c>
      <c r="L1770" s="282">
        <f>++Tabla4[[#This Row],[Precio Unitario Neto]]-Tabla4[[#This Row],[20.85%]]</f>
        <v>4928.2541710000005</v>
      </c>
      <c r="M1770" s="282" t="e">
        <f>(INDEX(Tabla6[#All],MATCH(Tabla4[[#This Row],[Producto]],Tabla6[[#All],[PRODUCTO]],0),MATCH(Tabla4[[#This Row],[Mes]],Tabla6[#Headers],0)))*(1+Catalogos!$L$2)</f>
        <v>#N/A</v>
      </c>
      <c r="N1770" s="283" t="e">
        <f>+(Tabla4[[#This Row],[Precio Descontado]]-Tabla4[[#This Row],[Precio Base]])*Tabla4[[#This Row],[Cantidad]]</f>
        <v>#N/A</v>
      </c>
      <c r="O1770" s="284" t="e">
        <f>++Tabla4[[#This Row],[Utilidad Total]]/Tabla4[[#This Row],[Total]]</f>
        <v>#N/A</v>
      </c>
      <c r="P1770" s="282">
        <f>++Tabla4[[#This Row],[Precio Descontado]]*Tabla4[[#This Row],[Cantidad]]</f>
        <v>29569.525026000003</v>
      </c>
      <c r="Q1770" s="282" t="e">
        <f>(INDEX(Tabla6[#All],MATCH(Tabla4[[#This Row],[Producto]],Tabla6[[#All],[PRODUCTO]],0),MATCH(Tabla4[[#This Row],[Mes]],Tabla6[#Headers],0)))</f>
        <v>#N/A</v>
      </c>
      <c r="R1770" s="282" t="e">
        <f>++Tabla4[[#This Row],[Precio Unitario Neto]]-Tabla4[[#This Row],[20.85%]]-Tabla4[[#This Row],[Costo]]</f>
        <v>#N/A</v>
      </c>
      <c r="S1770" s="282" t="e">
        <f>++Tabla4[[#This Row],[U. Bruta Uni]]*Tabla4[[#This Row],[Cantidad]]</f>
        <v>#N/A</v>
      </c>
      <c r="T1770" s="369" t="str">
        <f>VLOOKUP(Tabla4[[#This Row],[Producto]],Tabla6[#All],14,FALSE)</f>
        <v>Termico Solar</v>
      </c>
      <c r="U1770" s="284" t="e">
        <f>(IF(Tabla4[[#This Row],[Familia]]="termico solar",Tabla4[[#This Row],[Utilidad Total]]*6%,Tabla4[[#This Row],[Utilidad Total]]*11.5%))/Tabla4[[#This Row],[Total]]</f>
        <v>#N/A</v>
      </c>
      <c r="V1770" s="282" t="e">
        <f>+Tabla4[[#This Row],[Comisión Calculada]]*Tabla4[[#This Row],[Total]]</f>
        <v>#N/A</v>
      </c>
    </row>
    <row r="1771" spans="1:22" hidden="1" x14ac:dyDescent="0.25">
      <c r="A1771" s="100">
        <v>45747</v>
      </c>
      <c r="B1771" t="str">
        <f t="shared" si="86"/>
        <v>March</v>
      </c>
      <c r="C1771" s="46" t="s">
        <v>280</v>
      </c>
      <c r="F1771" s="366" t="s">
        <v>1386</v>
      </c>
      <c r="G1771" s="46" t="s">
        <v>394</v>
      </c>
      <c r="H1771" s="46">
        <v>16</v>
      </c>
      <c r="I1771" s="51">
        <v>224.29</v>
      </c>
      <c r="J1771" s="281">
        <f>++Tabla4[[#This Row],[Precio Bruto]]*1.16</f>
        <v>260.1764</v>
      </c>
      <c r="K1771" s="281">
        <f>+Tabla4[[#This Row],[Precio Unitario Neto]]*Tabla4[[#Headers],[20.85%]]</f>
        <v>54.246779400000001</v>
      </c>
      <c r="L1771" s="282">
        <f>++Tabla4[[#This Row],[Precio Unitario Neto]]-Tabla4[[#This Row],[20.85%]]</f>
        <v>205.92962059999999</v>
      </c>
      <c r="M1771" s="282" t="e">
        <f>(INDEX(Tabla6[#All],MATCH(Tabla4[[#This Row],[Producto]],Tabla6[[#All],[PRODUCTO]],0),MATCH(Tabla4[[#This Row],[Mes]],Tabla6[#Headers],0)))*(1+Catalogos!$L$2)</f>
        <v>#N/A</v>
      </c>
      <c r="N1771" s="283" t="e">
        <f>+(Tabla4[[#This Row],[Precio Descontado]]-Tabla4[[#This Row],[Precio Base]])*Tabla4[[#This Row],[Cantidad]]</f>
        <v>#N/A</v>
      </c>
      <c r="O1771" s="284" t="e">
        <f>++Tabla4[[#This Row],[Utilidad Total]]/Tabla4[[#This Row],[Total]]</f>
        <v>#N/A</v>
      </c>
      <c r="P1771" s="282">
        <f>++Tabla4[[#This Row],[Precio Descontado]]*Tabla4[[#This Row],[Cantidad]]</f>
        <v>3294.8739295999999</v>
      </c>
      <c r="Q1771" s="282" t="e">
        <f>(INDEX(Tabla6[#All],MATCH(Tabla4[[#This Row],[Producto]],Tabla6[[#All],[PRODUCTO]],0),MATCH(Tabla4[[#This Row],[Mes]],Tabla6[#Headers],0)))</f>
        <v>#N/A</v>
      </c>
      <c r="R1771" s="282" t="e">
        <f>++Tabla4[[#This Row],[Precio Unitario Neto]]-Tabla4[[#This Row],[20.85%]]-Tabla4[[#This Row],[Costo]]</f>
        <v>#N/A</v>
      </c>
      <c r="S1771" s="282" t="e">
        <f>++Tabla4[[#This Row],[U. Bruta Uni]]*Tabla4[[#This Row],[Cantidad]]</f>
        <v>#N/A</v>
      </c>
      <c r="T1771" s="369" t="str">
        <f>VLOOKUP(Tabla4[[#This Row],[Producto]],Tabla6[#All],14,FALSE)</f>
        <v>Termico Solar</v>
      </c>
      <c r="U1771" s="284" t="e">
        <f>(IF(Tabla4[[#This Row],[Familia]]="termico solar",Tabla4[[#This Row],[Utilidad Total]]*6%,Tabla4[[#This Row],[Utilidad Total]]*11.5%))/Tabla4[[#This Row],[Total]]</f>
        <v>#N/A</v>
      </c>
      <c r="V1771" s="282" t="e">
        <f>+Tabla4[[#This Row],[Comisión Calculada]]*Tabla4[[#This Row],[Total]]</f>
        <v>#N/A</v>
      </c>
    </row>
    <row r="1772" spans="1:22" hidden="1" x14ac:dyDescent="0.25">
      <c r="A1772" s="100">
        <v>45747</v>
      </c>
      <c r="B1772" t="str">
        <f t="shared" si="86"/>
        <v>March</v>
      </c>
      <c r="C1772" s="46" t="s">
        <v>280</v>
      </c>
      <c r="F1772" s="366" t="s">
        <v>1386</v>
      </c>
      <c r="G1772" s="46" t="s">
        <v>555</v>
      </c>
      <c r="H1772" s="46">
        <v>8</v>
      </c>
      <c r="I1772" s="51">
        <v>389.47</v>
      </c>
      <c r="J1772" s="281">
        <f>++Tabla4[[#This Row],[Precio Bruto]]*1.16</f>
        <v>451.78519999999997</v>
      </c>
      <c r="K1772" s="281">
        <f>+Tabla4[[#This Row],[Precio Unitario Neto]]*Tabla4[[#Headers],[20.85%]]</f>
        <v>94.197214199999991</v>
      </c>
      <c r="L1772" s="282">
        <f>++Tabla4[[#This Row],[Precio Unitario Neto]]-Tabla4[[#This Row],[20.85%]]</f>
        <v>357.58798579999996</v>
      </c>
      <c r="M1772" s="282" t="e">
        <f>(INDEX(Tabla6[#All],MATCH(Tabla4[[#This Row],[Producto]],Tabla6[[#All],[PRODUCTO]],0),MATCH(Tabla4[[#This Row],[Mes]],Tabla6[#Headers],0)))*(1+Catalogos!$L$2)</f>
        <v>#N/A</v>
      </c>
      <c r="N1772" s="283" t="e">
        <f>+(Tabla4[[#This Row],[Precio Descontado]]-Tabla4[[#This Row],[Precio Base]])*Tabla4[[#This Row],[Cantidad]]</f>
        <v>#N/A</v>
      </c>
      <c r="O1772" s="284" t="e">
        <f>++Tabla4[[#This Row],[Utilidad Total]]/Tabla4[[#This Row],[Total]]</f>
        <v>#N/A</v>
      </c>
      <c r="P1772" s="282">
        <f>++Tabla4[[#This Row],[Precio Descontado]]*Tabla4[[#This Row],[Cantidad]]</f>
        <v>2860.7038863999996</v>
      </c>
      <c r="Q1772" s="282" t="e">
        <f>(INDEX(Tabla6[#All],MATCH(Tabla4[[#This Row],[Producto]],Tabla6[[#All],[PRODUCTO]],0),MATCH(Tabla4[[#This Row],[Mes]],Tabla6[#Headers],0)))</f>
        <v>#N/A</v>
      </c>
      <c r="R1772" s="282" t="e">
        <f>++Tabla4[[#This Row],[Precio Unitario Neto]]-Tabla4[[#This Row],[20.85%]]-Tabla4[[#This Row],[Costo]]</f>
        <v>#N/A</v>
      </c>
      <c r="S1772" s="282" t="e">
        <f>++Tabla4[[#This Row],[U. Bruta Uni]]*Tabla4[[#This Row],[Cantidad]]</f>
        <v>#N/A</v>
      </c>
      <c r="T1772" s="369" t="str">
        <f>VLOOKUP(Tabla4[[#This Row],[Producto]],Tabla6[#All],14,FALSE)</f>
        <v>Termico Solar</v>
      </c>
      <c r="U1772" s="284" t="e">
        <f>(IF(Tabla4[[#This Row],[Familia]]="termico solar",Tabla4[[#This Row],[Utilidad Total]]*6%,Tabla4[[#This Row],[Utilidad Total]]*11.5%))/Tabla4[[#This Row],[Total]]</f>
        <v>#N/A</v>
      </c>
      <c r="V1772" s="282" t="e">
        <f>+Tabla4[[#This Row],[Comisión Calculada]]*Tabla4[[#This Row],[Total]]</f>
        <v>#N/A</v>
      </c>
    </row>
    <row r="1773" spans="1:22" hidden="1" x14ac:dyDescent="0.25">
      <c r="A1773" s="100">
        <v>45747</v>
      </c>
      <c r="B1773" t="str">
        <f t="shared" ref="B1773:B1778" si="87">TEXT(A1773, "mmmm")</f>
        <v>March</v>
      </c>
      <c r="C1773" s="46" t="s">
        <v>280</v>
      </c>
      <c r="F1773" s="366" t="s">
        <v>1386</v>
      </c>
      <c r="G1773" s="46" t="s">
        <v>208</v>
      </c>
      <c r="H1773" s="46">
        <v>2</v>
      </c>
      <c r="I1773" s="51">
        <v>189.75</v>
      </c>
      <c r="J1773" s="281">
        <f>++Tabla4[[#This Row],[Precio Bruto]]*1.16</f>
        <v>220.10999999999999</v>
      </c>
      <c r="K1773" s="281">
        <f>+Tabla4[[#This Row],[Precio Unitario Neto]]*Tabla4[[#Headers],[20.85%]]</f>
        <v>45.892934999999994</v>
      </c>
      <c r="L1773" s="282">
        <f>++Tabla4[[#This Row],[Precio Unitario Neto]]-Tabla4[[#This Row],[20.85%]]</f>
        <v>174.21706499999999</v>
      </c>
      <c r="M1773" s="282" t="e">
        <f>(INDEX(Tabla6[#All],MATCH(Tabla4[[#This Row],[Producto]],Tabla6[[#All],[PRODUCTO]],0),MATCH(Tabla4[[#This Row],[Mes]],Tabla6[#Headers],0)))*(1+Catalogos!$L$2)</f>
        <v>#N/A</v>
      </c>
      <c r="N1773" s="283" t="e">
        <f>+(Tabla4[[#This Row],[Precio Descontado]]-Tabla4[[#This Row],[Precio Base]])*Tabla4[[#This Row],[Cantidad]]</f>
        <v>#N/A</v>
      </c>
      <c r="O1773" s="284" t="e">
        <f>++Tabla4[[#This Row],[Utilidad Total]]/Tabla4[[#This Row],[Total]]</f>
        <v>#N/A</v>
      </c>
      <c r="P1773" s="282">
        <f>++Tabla4[[#This Row],[Precio Descontado]]*Tabla4[[#This Row],[Cantidad]]</f>
        <v>348.43412999999998</v>
      </c>
      <c r="Q1773" s="282" t="e">
        <f>(INDEX(Tabla6[#All],MATCH(Tabla4[[#This Row],[Producto]],Tabla6[[#All],[PRODUCTO]],0),MATCH(Tabla4[[#This Row],[Mes]],Tabla6[#Headers],0)))</f>
        <v>#N/A</v>
      </c>
      <c r="R1773" s="282" t="e">
        <f>++Tabla4[[#This Row],[Precio Unitario Neto]]-Tabla4[[#This Row],[20.85%]]-Tabla4[[#This Row],[Costo]]</f>
        <v>#N/A</v>
      </c>
      <c r="S1773" s="282" t="e">
        <f>++Tabla4[[#This Row],[U. Bruta Uni]]*Tabla4[[#This Row],[Cantidad]]</f>
        <v>#N/A</v>
      </c>
      <c r="T1773" s="369" t="str">
        <f>VLOOKUP(Tabla4[[#This Row],[Producto]],Tabla6[#All],14,FALSE)</f>
        <v>Termico Solar</v>
      </c>
      <c r="U1773" s="284" t="e">
        <f>(IF(Tabla4[[#This Row],[Familia]]="termico solar",Tabla4[[#This Row],[Utilidad Total]]*6%,Tabla4[[#This Row],[Utilidad Total]]*11.5%))/Tabla4[[#This Row],[Total]]</f>
        <v>#N/A</v>
      </c>
      <c r="V1773" s="282" t="e">
        <f>+Tabla4[[#This Row],[Comisión Calculada]]*Tabla4[[#This Row],[Total]]</f>
        <v>#N/A</v>
      </c>
    </row>
    <row r="1774" spans="1:22" hidden="1" x14ac:dyDescent="0.25">
      <c r="A1774" s="100">
        <v>45747</v>
      </c>
      <c r="B1774" t="str">
        <f t="shared" si="87"/>
        <v>March</v>
      </c>
      <c r="C1774" s="46" t="s">
        <v>280</v>
      </c>
      <c r="F1774" s="366" t="s">
        <v>1387</v>
      </c>
      <c r="G1774" s="46" t="s">
        <v>83</v>
      </c>
      <c r="H1774" s="46">
        <v>1</v>
      </c>
      <c r="I1774" s="51">
        <v>8858.76</v>
      </c>
      <c r="J1774" s="281">
        <f>++Tabla4[[#This Row],[Precio Bruto]]*1.16</f>
        <v>10276.161599999999</v>
      </c>
      <c r="K1774" s="281">
        <f>+Tabla4[[#This Row],[Precio Unitario Neto]]*Tabla4[[#Headers],[20.85%]]</f>
        <v>2142.5796935999997</v>
      </c>
      <c r="L1774" s="282">
        <f>++Tabla4[[#This Row],[Precio Unitario Neto]]-Tabla4[[#This Row],[20.85%]]</f>
        <v>8133.5819063999998</v>
      </c>
      <c r="M1774" s="282" t="e">
        <f>(INDEX(Tabla6[#All],MATCH(Tabla4[[#This Row],[Producto]],Tabla6[[#All],[PRODUCTO]],0),MATCH(Tabla4[[#This Row],[Mes]],Tabla6[#Headers],0)))*(1+Catalogos!$L$2)</f>
        <v>#N/A</v>
      </c>
      <c r="N1774" s="283" t="e">
        <f>+(Tabla4[[#This Row],[Precio Descontado]]-Tabla4[[#This Row],[Precio Base]])*Tabla4[[#This Row],[Cantidad]]</f>
        <v>#N/A</v>
      </c>
      <c r="O1774" s="284" t="e">
        <f>++Tabla4[[#This Row],[Utilidad Total]]/Tabla4[[#This Row],[Total]]</f>
        <v>#N/A</v>
      </c>
      <c r="P1774" s="282">
        <f>++Tabla4[[#This Row],[Precio Descontado]]*Tabla4[[#This Row],[Cantidad]]</f>
        <v>8133.5819063999998</v>
      </c>
      <c r="Q1774" s="282" t="e">
        <f>(INDEX(Tabla6[#All],MATCH(Tabla4[[#This Row],[Producto]],Tabla6[[#All],[PRODUCTO]],0),MATCH(Tabla4[[#This Row],[Mes]],Tabla6[#Headers],0)))</f>
        <v>#N/A</v>
      </c>
      <c r="R1774" s="282" t="e">
        <f>++Tabla4[[#This Row],[Precio Unitario Neto]]-Tabla4[[#This Row],[20.85%]]-Tabla4[[#This Row],[Costo]]</f>
        <v>#N/A</v>
      </c>
      <c r="S1774" s="282" t="e">
        <f>++Tabla4[[#This Row],[U. Bruta Uni]]*Tabla4[[#This Row],[Cantidad]]</f>
        <v>#N/A</v>
      </c>
      <c r="T1774" s="369" t="str">
        <f>VLOOKUP(Tabla4[[#This Row],[Producto]],Tabla6[#All],14,FALSE)</f>
        <v>Termico Solar</v>
      </c>
      <c r="U1774" s="284" t="e">
        <f>(IF(Tabla4[[#This Row],[Familia]]="termico solar",Tabla4[[#This Row],[Utilidad Total]]*6%,Tabla4[[#This Row],[Utilidad Total]]*11.5%))/Tabla4[[#This Row],[Total]]</f>
        <v>#N/A</v>
      </c>
      <c r="V1774" s="282" t="e">
        <f>+Tabla4[[#This Row],[Comisión Calculada]]*Tabla4[[#This Row],[Total]]</f>
        <v>#N/A</v>
      </c>
    </row>
    <row r="1775" spans="1:22" hidden="1" x14ac:dyDescent="0.25">
      <c r="A1775" s="100">
        <v>45747</v>
      </c>
      <c r="B1775" t="str">
        <f t="shared" si="87"/>
        <v>March</v>
      </c>
      <c r="C1775" s="46" t="s">
        <v>280</v>
      </c>
      <c r="F1775" s="366" t="s">
        <v>1387</v>
      </c>
      <c r="G1775" s="46" t="s">
        <v>18</v>
      </c>
      <c r="H1775" s="46">
        <v>7</v>
      </c>
      <c r="I1775" s="51">
        <v>5367.6500000000005</v>
      </c>
      <c r="J1775" s="281">
        <f>++Tabla4[[#This Row],[Precio Bruto]]*1.16</f>
        <v>6226.4740000000002</v>
      </c>
      <c r="K1775" s="281">
        <f>+Tabla4[[#This Row],[Precio Unitario Neto]]*Tabla4[[#Headers],[20.85%]]</f>
        <v>1298.2198289999999</v>
      </c>
      <c r="L1775" s="282">
        <f>++Tabla4[[#This Row],[Precio Unitario Neto]]-Tabla4[[#This Row],[20.85%]]</f>
        <v>4928.2541710000005</v>
      </c>
      <c r="M1775" s="282" t="e">
        <f>(INDEX(Tabla6[#All],MATCH(Tabla4[[#This Row],[Producto]],Tabla6[[#All],[PRODUCTO]],0),MATCH(Tabla4[[#This Row],[Mes]],Tabla6[#Headers],0)))*(1+Catalogos!$L$2)</f>
        <v>#N/A</v>
      </c>
      <c r="N1775" s="283" t="e">
        <f>+(Tabla4[[#This Row],[Precio Descontado]]-Tabla4[[#This Row],[Precio Base]])*Tabla4[[#This Row],[Cantidad]]</f>
        <v>#N/A</v>
      </c>
      <c r="O1775" s="284" t="e">
        <f>++Tabla4[[#This Row],[Utilidad Total]]/Tabla4[[#This Row],[Total]]</f>
        <v>#N/A</v>
      </c>
      <c r="P1775" s="282">
        <f>++Tabla4[[#This Row],[Precio Descontado]]*Tabla4[[#This Row],[Cantidad]]</f>
        <v>34497.779197000003</v>
      </c>
      <c r="Q1775" s="282" t="e">
        <f>(INDEX(Tabla6[#All],MATCH(Tabla4[[#This Row],[Producto]],Tabla6[[#All],[PRODUCTO]],0),MATCH(Tabla4[[#This Row],[Mes]],Tabla6[#Headers],0)))</f>
        <v>#N/A</v>
      </c>
      <c r="R1775" s="282" t="e">
        <f>++Tabla4[[#This Row],[Precio Unitario Neto]]-Tabla4[[#This Row],[20.85%]]-Tabla4[[#This Row],[Costo]]</f>
        <v>#N/A</v>
      </c>
      <c r="S1775" s="282" t="e">
        <f>++Tabla4[[#This Row],[U. Bruta Uni]]*Tabla4[[#This Row],[Cantidad]]</f>
        <v>#N/A</v>
      </c>
      <c r="T1775" s="369" t="str">
        <f>VLOOKUP(Tabla4[[#This Row],[Producto]],Tabla6[#All],14,FALSE)</f>
        <v>Termico Solar</v>
      </c>
      <c r="U1775" s="284" t="e">
        <f>(IF(Tabla4[[#This Row],[Familia]]="termico solar",Tabla4[[#This Row],[Utilidad Total]]*6%,Tabla4[[#This Row],[Utilidad Total]]*11.5%))/Tabla4[[#This Row],[Total]]</f>
        <v>#N/A</v>
      </c>
      <c r="V1775" s="282" t="e">
        <f>+Tabla4[[#This Row],[Comisión Calculada]]*Tabla4[[#This Row],[Total]]</f>
        <v>#N/A</v>
      </c>
    </row>
    <row r="1776" spans="1:22" hidden="1" x14ac:dyDescent="0.25">
      <c r="A1776" s="100">
        <v>45747</v>
      </c>
      <c r="B1776" t="str">
        <f t="shared" si="87"/>
        <v>March</v>
      </c>
      <c r="C1776" s="46" t="s">
        <v>280</v>
      </c>
      <c r="F1776" s="366" t="s">
        <v>1387</v>
      </c>
      <c r="G1776" s="46" t="s">
        <v>16</v>
      </c>
      <c r="H1776" s="46">
        <v>2</v>
      </c>
      <c r="I1776" s="51">
        <v>4103.8500000000004</v>
      </c>
      <c r="J1776" s="281">
        <f>++Tabla4[[#This Row],[Precio Bruto]]*1.16</f>
        <v>4760.4660000000003</v>
      </c>
      <c r="K1776" s="281">
        <f>+Tabla4[[#This Row],[Precio Unitario Neto]]*Tabla4[[#Headers],[20.85%]]</f>
        <v>992.55716100000006</v>
      </c>
      <c r="L1776" s="282">
        <f>++Tabla4[[#This Row],[Precio Unitario Neto]]-Tabla4[[#This Row],[20.85%]]</f>
        <v>3767.9088390000002</v>
      </c>
      <c r="M1776" s="282" t="e">
        <f>(INDEX(Tabla6[#All],MATCH(Tabla4[[#This Row],[Producto]],Tabla6[[#All],[PRODUCTO]],0),MATCH(Tabla4[[#This Row],[Mes]],Tabla6[#Headers],0)))*(1+Catalogos!$L$2)</f>
        <v>#N/A</v>
      </c>
      <c r="N1776" s="283" t="e">
        <f>+(Tabla4[[#This Row],[Precio Descontado]]-Tabla4[[#This Row],[Precio Base]])*Tabla4[[#This Row],[Cantidad]]</f>
        <v>#N/A</v>
      </c>
      <c r="O1776" s="284" t="e">
        <f>++Tabla4[[#This Row],[Utilidad Total]]/Tabla4[[#This Row],[Total]]</f>
        <v>#N/A</v>
      </c>
      <c r="P1776" s="282">
        <f>++Tabla4[[#This Row],[Precio Descontado]]*Tabla4[[#This Row],[Cantidad]]</f>
        <v>7535.8176780000003</v>
      </c>
      <c r="Q1776" s="282" t="e">
        <f>(INDEX(Tabla6[#All],MATCH(Tabla4[[#This Row],[Producto]],Tabla6[[#All],[PRODUCTO]],0),MATCH(Tabla4[[#This Row],[Mes]],Tabla6[#Headers],0)))</f>
        <v>#N/A</v>
      </c>
      <c r="R1776" s="282" t="e">
        <f>++Tabla4[[#This Row],[Precio Unitario Neto]]-Tabla4[[#This Row],[20.85%]]-Tabla4[[#This Row],[Costo]]</f>
        <v>#N/A</v>
      </c>
      <c r="S1776" s="282" t="e">
        <f>++Tabla4[[#This Row],[U. Bruta Uni]]*Tabla4[[#This Row],[Cantidad]]</f>
        <v>#N/A</v>
      </c>
      <c r="T1776" s="369" t="str">
        <f>VLOOKUP(Tabla4[[#This Row],[Producto]],Tabla6[#All],14,FALSE)</f>
        <v>Termico Solar</v>
      </c>
      <c r="U1776" s="284" t="e">
        <f>(IF(Tabla4[[#This Row],[Familia]]="termico solar",Tabla4[[#This Row],[Utilidad Total]]*6%,Tabla4[[#This Row],[Utilidad Total]]*11.5%))/Tabla4[[#This Row],[Total]]</f>
        <v>#N/A</v>
      </c>
      <c r="V1776" s="282" t="e">
        <f>+Tabla4[[#This Row],[Comisión Calculada]]*Tabla4[[#This Row],[Total]]</f>
        <v>#N/A</v>
      </c>
    </row>
    <row r="1777" spans="1:22" hidden="1" x14ac:dyDescent="0.25">
      <c r="A1777" s="100">
        <v>45747</v>
      </c>
      <c r="B1777" t="str">
        <f t="shared" si="87"/>
        <v>March</v>
      </c>
      <c r="C1777" s="46" t="s">
        <v>280</v>
      </c>
      <c r="F1777" s="366" t="s">
        <v>1387</v>
      </c>
      <c r="G1777" s="46" t="s">
        <v>555</v>
      </c>
      <c r="H1777" s="46">
        <v>8</v>
      </c>
      <c r="I1777" s="51">
        <v>389.47</v>
      </c>
      <c r="J1777" s="281">
        <f>++Tabla4[[#This Row],[Precio Bruto]]*1.16</f>
        <v>451.78519999999997</v>
      </c>
      <c r="K1777" s="281">
        <f>+Tabla4[[#This Row],[Precio Unitario Neto]]*Tabla4[[#Headers],[20.85%]]</f>
        <v>94.197214199999991</v>
      </c>
      <c r="L1777" s="282">
        <f>++Tabla4[[#This Row],[Precio Unitario Neto]]-Tabla4[[#This Row],[20.85%]]</f>
        <v>357.58798579999996</v>
      </c>
      <c r="M1777" s="282" t="e">
        <f>(INDEX(Tabla6[#All],MATCH(Tabla4[[#This Row],[Producto]],Tabla6[[#All],[PRODUCTO]],0),MATCH(Tabla4[[#This Row],[Mes]],Tabla6[#Headers],0)))*(1+Catalogos!$L$2)</f>
        <v>#N/A</v>
      </c>
      <c r="N1777" s="283" t="e">
        <f>+(Tabla4[[#This Row],[Precio Descontado]]-Tabla4[[#This Row],[Precio Base]])*Tabla4[[#This Row],[Cantidad]]</f>
        <v>#N/A</v>
      </c>
      <c r="O1777" s="284" t="e">
        <f>++Tabla4[[#This Row],[Utilidad Total]]/Tabla4[[#This Row],[Total]]</f>
        <v>#N/A</v>
      </c>
      <c r="P1777" s="282">
        <f>++Tabla4[[#This Row],[Precio Descontado]]*Tabla4[[#This Row],[Cantidad]]</f>
        <v>2860.7038863999996</v>
      </c>
      <c r="Q1777" s="282" t="e">
        <f>(INDEX(Tabla6[#All],MATCH(Tabla4[[#This Row],[Producto]],Tabla6[[#All],[PRODUCTO]],0),MATCH(Tabla4[[#This Row],[Mes]],Tabla6[#Headers],0)))</f>
        <v>#N/A</v>
      </c>
      <c r="R1777" s="282" t="e">
        <f>++Tabla4[[#This Row],[Precio Unitario Neto]]-Tabla4[[#This Row],[20.85%]]-Tabla4[[#This Row],[Costo]]</f>
        <v>#N/A</v>
      </c>
      <c r="S1777" s="282" t="e">
        <f>++Tabla4[[#This Row],[U. Bruta Uni]]*Tabla4[[#This Row],[Cantidad]]</f>
        <v>#N/A</v>
      </c>
      <c r="T1777" s="369" t="str">
        <f>VLOOKUP(Tabla4[[#This Row],[Producto]],Tabla6[#All],14,FALSE)</f>
        <v>Termico Solar</v>
      </c>
      <c r="U1777" s="284" t="e">
        <f>(IF(Tabla4[[#This Row],[Familia]]="termico solar",Tabla4[[#This Row],[Utilidad Total]]*6%,Tabla4[[#This Row],[Utilidad Total]]*11.5%))/Tabla4[[#This Row],[Total]]</f>
        <v>#N/A</v>
      </c>
      <c r="V1777" s="282" t="e">
        <f>+Tabla4[[#This Row],[Comisión Calculada]]*Tabla4[[#This Row],[Total]]</f>
        <v>#N/A</v>
      </c>
    </row>
    <row r="1778" spans="1:22" hidden="1" x14ac:dyDescent="0.25">
      <c r="A1778" s="100">
        <v>45747</v>
      </c>
      <c r="B1778" t="str">
        <f t="shared" si="87"/>
        <v>March</v>
      </c>
      <c r="C1778" s="46" t="s">
        <v>280</v>
      </c>
      <c r="F1778" s="366" t="s">
        <v>1387</v>
      </c>
      <c r="G1778" s="46" t="s">
        <v>208</v>
      </c>
      <c r="H1778" s="46">
        <v>2</v>
      </c>
      <c r="I1778" s="51">
        <v>189.75</v>
      </c>
      <c r="J1778" s="281">
        <f>++Tabla4[[#This Row],[Precio Bruto]]*1.16</f>
        <v>220.10999999999999</v>
      </c>
      <c r="K1778" s="281">
        <f>+Tabla4[[#This Row],[Precio Unitario Neto]]*Tabla4[[#Headers],[20.85%]]</f>
        <v>45.892934999999994</v>
      </c>
      <c r="L1778" s="282">
        <f>++Tabla4[[#This Row],[Precio Unitario Neto]]-Tabla4[[#This Row],[20.85%]]</f>
        <v>174.21706499999999</v>
      </c>
      <c r="M1778" s="282" t="e">
        <f>(INDEX(Tabla6[#All],MATCH(Tabla4[[#This Row],[Producto]],Tabla6[[#All],[PRODUCTO]],0),MATCH(Tabla4[[#This Row],[Mes]],Tabla6[#Headers],0)))*(1+Catalogos!$L$2)</f>
        <v>#N/A</v>
      </c>
      <c r="N1778" s="283" t="e">
        <f>+(Tabla4[[#This Row],[Precio Descontado]]-Tabla4[[#This Row],[Precio Base]])*Tabla4[[#This Row],[Cantidad]]</f>
        <v>#N/A</v>
      </c>
      <c r="O1778" s="284" t="e">
        <f>++Tabla4[[#This Row],[Utilidad Total]]/Tabla4[[#This Row],[Total]]</f>
        <v>#N/A</v>
      </c>
      <c r="P1778" s="282">
        <f>++Tabla4[[#This Row],[Precio Descontado]]*Tabla4[[#This Row],[Cantidad]]</f>
        <v>348.43412999999998</v>
      </c>
      <c r="Q1778" s="282" t="e">
        <f>(INDEX(Tabla6[#All],MATCH(Tabla4[[#This Row],[Producto]],Tabla6[[#All],[PRODUCTO]],0),MATCH(Tabla4[[#This Row],[Mes]],Tabla6[#Headers],0)))</f>
        <v>#N/A</v>
      </c>
      <c r="R1778" s="282" t="e">
        <f>++Tabla4[[#This Row],[Precio Unitario Neto]]-Tabla4[[#This Row],[20.85%]]-Tabla4[[#This Row],[Costo]]</f>
        <v>#N/A</v>
      </c>
      <c r="S1778" s="282" t="e">
        <f>++Tabla4[[#This Row],[U. Bruta Uni]]*Tabla4[[#This Row],[Cantidad]]</f>
        <v>#N/A</v>
      </c>
      <c r="T1778" s="369" t="str">
        <f>VLOOKUP(Tabla4[[#This Row],[Producto]],Tabla6[#All],14,FALSE)</f>
        <v>Termico Solar</v>
      </c>
      <c r="U1778" s="284" t="e">
        <f>(IF(Tabla4[[#This Row],[Familia]]="termico solar",Tabla4[[#This Row],[Utilidad Total]]*6%,Tabla4[[#This Row],[Utilidad Total]]*11.5%))/Tabla4[[#This Row],[Total]]</f>
        <v>#N/A</v>
      </c>
      <c r="V1778" s="282" t="e">
        <f>+Tabla4[[#This Row],[Comisión Calculada]]*Tabla4[[#This Row],[Total]]</f>
        <v>#N/A</v>
      </c>
    </row>
    <row r="1779" spans="1:22" hidden="1" x14ac:dyDescent="0.25">
      <c r="A1779" s="100">
        <v>45747</v>
      </c>
      <c r="B1779" t="str">
        <f t="shared" ref="B1779:B1785" si="88">TEXT(A1779, "mmmm")</f>
        <v>March</v>
      </c>
      <c r="C1779" s="46" t="s">
        <v>280</v>
      </c>
      <c r="F1779" s="366" t="s">
        <v>1388</v>
      </c>
      <c r="G1779" s="46" t="s">
        <v>83</v>
      </c>
      <c r="H1779" s="46">
        <v>1</v>
      </c>
      <c r="I1779" s="51">
        <v>8858.76</v>
      </c>
      <c r="J1779" s="281">
        <f>++Tabla4[[#This Row],[Precio Bruto]]*1.16</f>
        <v>10276.161599999999</v>
      </c>
      <c r="K1779" s="281">
        <f>+Tabla4[[#This Row],[Precio Unitario Neto]]*Tabla4[[#Headers],[20.85%]]</f>
        <v>2142.5796935999997</v>
      </c>
      <c r="L1779" s="282">
        <f>++Tabla4[[#This Row],[Precio Unitario Neto]]-Tabla4[[#This Row],[20.85%]]</f>
        <v>8133.5819063999998</v>
      </c>
      <c r="M1779" s="282" t="e">
        <f>(INDEX(Tabla6[#All],MATCH(Tabla4[[#This Row],[Producto]],Tabla6[[#All],[PRODUCTO]],0),MATCH(Tabla4[[#This Row],[Mes]],Tabla6[#Headers],0)))*(1+Catalogos!$L$2)</f>
        <v>#N/A</v>
      </c>
      <c r="N1779" s="283" t="e">
        <f>+(Tabla4[[#This Row],[Precio Descontado]]-Tabla4[[#This Row],[Precio Base]])*Tabla4[[#This Row],[Cantidad]]</f>
        <v>#N/A</v>
      </c>
      <c r="O1779" s="284" t="e">
        <f>++Tabla4[[#This Row],[Utilidad Total]]/Tabla4[[#This Row],[Total]]</f>
        <v>#N/A</v>
      </c>
      <c r="P1779" s="282">
        <f>++Tabla4[[#This Row],[Precio Descontado]]*Tabla4[[#This Row],[Cantidad]]</f>
        <v>8133.5819063999998</v>
      </c>
      <c r="Q1779" s="282" t="e">
        <f>(INDEX(Tabla6[#All],MATCH(Tabla4[[#This Row],[Producto]],Tabla6[[#All],[PRODUCTO]],0),MATCH(Tabla4[[#This Row],[Mes]],Tabla6[#Headers],0)))</f>
        <v>#N/A</v>
      </c>
      <c r="R1779" s="282" t="e">
        <f>++Tabla4[[#This Row],[Precio Unitario Neto]]-Tabla4[[#This Row],[20.85%]]-Tabla4[[#This Row],[Costo]]</f>
        <v>#N/A</v>
      </c>
      <c r="S1779" s="282" t="e">
        <f>++Tabla4[[#This Row],[U. Bruta Uni]]*Tabla4[[#This Row],[Cantidad]]</f>
        <v>#N/A</v>
      </c>
      <c r="T1779" s="369" t="str">
        <f>VLOOKUP(Tabla4[[#This Row],[Producto]],Tabla6[#All],14,FALSE)</f>
        <v>Termico Solar</v>
      </c>
      <c r="U1779" s="284" t="e">
        <f>(IF(Tabla4[[#This Row],[Familia]]="termico solar",Tabla4[[#This Row],[Utilidad Total]]*6%,Tabla4[[#This Row],[Utilidad Total]]*11.5%))/Tabla4[[#This Row],[Total]]</f>
        <v>#N/A</v>
      </c>
      <c r="V1779" s="282" t="e">
        <f>+Tabla4[[#This Row],[Comisión Calculada]]*Tabla4[[#This Row],[Total]]</f>
        <v>#N/A</v>
      </c>
    </row>
    <row r="1780" spans="1:22" hidden="1" x14ac:dyDescent="0.25">
      <c r="A1780" s="100">
        <v>45747</v>
      </c>
      <c r="B1780" t="str">
        <f t="shared" si="88"/>
        <v>March</v>
      </c>
      <c r="C1780" s="46" t="s">
        <v>280</v>
      </c>
      <c r="F1780" s="366" t="s">
        <v>1388</v>
      </c>
      <c r="G1780" s="46" t="s">
        <v>17</v>
      </c>
      <c r="H1780" s="46">
        <v>3</v>
      </c>
      <c r="I1780" s="51">
        <v>4622.28</v>
      </c>
      <c r="J1780" s="281">
        <f>++Tabla4[[#This Row],[Precio Bruto]]*1.16</f>
        <v>5361.8447999999989</v>
      </c>
      <c r="K1780" s="281">
        <f>+Tabla4[[#This Row],[Precio Unitario Neto]]*Tabla4[[#Headers],[20.85%]]</f>
        <v>1117.9446407999997</v>
      </c>
      <c r="L1780" s="282">
        <f>++Tabla4[[#This Row],[Precio Unitario Neto]]-Tabla4[[#This Row],[20.85%]]</f>
        <v>4243.9001591999995</v>
      </c>
      <c r="M1780" s="282" t="e">
        <f>(INDEX(Tabla6[#All],MATCH(Tabla4[[#This Row],[Producto]],Tabla6[[#All],[PRODUCTO]],0),MATCH(Tabla4[[#This Row],[Mes]],Tabla6[#Headers],0)))*(1+Catalogos!$L$2)</f>
        <v>#N/A</v>
      </c>
      <c r="N1780" s="283" t="e">
        <f>+(Tabla4[[#This Row],[Precio Descontado]]-Tabla4[[#This Row],[Precio Base]])*Tabla4[[#This Row],[Cantidad]]</f>
        <v>#N/A</v>
      </c>
      <c r="O1780" s="284" t="e">
        <f>++Tabla4[[#This Row],[Utilidad Total]]/Tabla4[[#This Row],[Total]]</f>
        <v>#N/A</v>
      </c>
      <c r="P1780" s="282">
        <f>++Tabla4[[#This Row],[Precio Descontado]]*Tabla4[[#This Row],[Cantidad]]</f>
        <v>12731.700477599999</v>
      </c>
      <c r="Q1780" s="282" t="e">
        <f>(INDEX(Tabla6[#All],MATCH(Tabla4[[#This Row],[Producto]],Tabla6[[#All],[PRODUCTO]],0),MATCH(Tabla4[[#This Row],[Mes]],Tabla6[#Headers],0)))</f>
        <v>#N/A</v>
      </c>
      <c r="R1780" s="282" t="e">
        <f>++Tabla4[[#This Row],[Precio Unitario Neto]]-Tabla4[[#This Row],[20.85%]]-Tabla4[[#This Row],[Costo]]</f>
        <v>#N/A</v>
      </c>
      <c r="S1780" s="282" t="e">
        <f>++Tabla4[[#This Row],[U. Bruta Uni]]*Tabla4[[#This Row],[Cantidad]]</f>
        <v>#N/A</v>
      </c>
      <c r="T1780" s="369" t="str">
        <f>VLOOKUP(Tabla4[[#This Row],[Producto]],Tabla6[#All],14,FALSE)</f>
        <v>Termico Solar</v>
      </c>
      <c r="U1780" s="284" t="e">
        <f>(IF(Tabla4[[#This Row],[Familia]]="termico solar",Tabla4[[#This Row],[Utilidad Total]]*6%,Tabla4[[#This Row],[Utilidad Total]]*11.5%))/Tabla4[[#This Row],[Total]]</f>
        <v>#N/A</v>
      </c>
      <c r="V1780" s="282" t="e">
        <f>+Tabla4[[#This Row],[Comisión Calculada]]*Tabla4[[#This Row],[Total]]</f>
        <v>#N/A</v>
      </c>
    </row>
    <row r="1781" spans="1:22" hidden="1" x14ac:dyDescent="0.25">
      <c r="A1781" s="100">
        <v>45747</v>
      </c>
      <c r="B1781" t="str">
        <f t="shared" si="88"/>
        <v>March</v>
      </c>
      <c r="C1781" s="46" t="s">
        <v>280</v>
      </c>
      <c r="F1781" s="366" t="s">
        <v>1388</v>
      </c>
      <c r="G1781" s="46" t="s">
        <v>208</v>
      </c>
      <c r="H1781" s="46">
        <v>15</v>
      </c>
      <c r="I1781" s="51">
        <v>140.63</v>
      </c>
      <c r="J1781" s="281">
        <f>++Tabla4[[#This Row],[Precio Bruto]]*1.16</f>
        <v>163.13079999999999</v>
      </c>
      <c r="K1781" s="281">
        <f>+Tabla4[[#This Row],[Precio Unitario Neto]]*Tabla4[[#Headers],[20.85%]]</f>
        <v>34.012771799999996</v>
      </c>
      <c r="L1781" s="282">
        <f>++Tabla4[[#This Row],[Precio Unitario Neto]]-Tabla4[[#This Row],[20.85%]]</f>
        <v>129.1180282</v>
      </c>
      <c r="M1781" s="282" t="e">
        <f>(INDEX(Tabla6[#All],MATCH(Tabla4[[#This Row],[Producto]],Tabla6[[#All],[PRODUCTO]],0),MATCH(Tabla4[[#This Row],[Mes]],Tabla6[#Headers],0)))*(1+Catalogos!$L$2)</f>
        <v>#N/A</v>
      </c>
      <c r="N1781" s="283" t="e">
        <f>+(Tabla4[[#This Row],[Precio Descontado]]-Tabla4[[#This Row],[Precio Base]])*Tabla4[[#This Row],[Cantidad]]</f>
        <v>#N/A</v>
      </c>
      <c r="O1781" s="284" t="e">
        <f>++Tabla4[[#This Row],[Utilidad Total]]/Tabla4[[#This Row],[Total]]</f>
        <v>#N/A</v>
      </c>
      <c r="P1781" s="282">
        <f>++Tabla4[[#This Row],[Precio Descontado]]*Tabla4[[#This Row],[Cantidad]]</f>
        <v>1936.7704229999999</v>
      </c>
      <c r="Q1781" s="282" t="e">
        <f>(INDEX(Tabla6[#All],MATCH(Tabla4[[#This Row],[Producto]],Tabla6[[#All],[PRODUCTO]],0),MATCH(Tabla4[[#This Row],[Mes]],Tabla6[#Headers],0)))</f>
        <v>#N/A</v>
      </c>
      <c r="R1781" s="282" t="e">
        <f>++Tabla4[[#This Row],[Precio Unitario Neto]]-Tabla4[[#This Row],[20.85%]]-Tabla4[[#This Row],[Costo]]</f>
        <v>#N/A</v>
      </c>
      <c r="S1781" s="282" t="e">
        <f>++Tabla4[[#This Row],[U. Bruta Uni]]*Tabla4[[#This Row],[Cantidad]]</f>
        <v>#N/A</v>
      </c>
      <c r="T1781" s="369" t="str">
        <f>VLOOKUP(Tabla4[[#This Row],[Producto]],Tabla6[#All],14,FALSE)</f>
        <v>Termico Solar</v>
      </c>
      <c r="U1781" s="284" t="e">
        <f>(IF(Tabla4[[#This Row],[Familia]]="termico solar",Tabla4[[#This Row],[Utilidad Total]]*6%,Tabla4[[#This Row],[Utilidad Total]]*11.5%))/Tabla4[[#This Row],[Total]]</f>
        <v>#N/A</v>
      </c>
      <c r="V1781" s="282" t="e">
        <f>+Tabla4[[#This Row],[Comisión Calculada]]*Tabla4[[#This Row],[Total]]</f>
        <v>#N/A</v>
      </c>
    </row>
    <row r="1782" spans="1:22" hidden="1" x14ac:dyDescent="0.25">
      <c r="A1782" s="100">
        <v>45747</v>
      </c>
      <c r="B1782" t="str">
        <f t="shared" si="88"/>
        <v>March</v>
      </c>
      <c r="C1782" s="46" t="s">
        <v>280</v>
      </c>
      <c r="F1782" s="366" t="s">
        <v>1388</v>
      </c>
      <c r="G1782" s="46" t="s">
        <v>16</v>
      </c>
      <c r="H1782" s="46">
        <v>1</v>
      </c>
      <c r="I1782" s="51">
        <v>4103.8500000000004</v>
      </c>
      <c r="J1782" s="281">
        <f>++Tabla4[[#This Row],[Precio Bruto]]*1.16</f>
        <v>4760.4660000000003</v>
      </c>
      <c r="K1782" s="281">
        <f>+Tabla4[[#This Row],[Precio Unitario Neto]]*Tabla4[[#Headers],[20.85%]]</f>
        <v>992.55716100000006</v>
      </c>
      <c r="L1782" s="282">
        <f>++Tabla4[[#This Row],[Precio Unitario Neto]]-Tabla4[[#This Row],[20.85%]]</f>
        <v>3767.9088390000002</v>
      </c>
      <c r="M1782" s="282" t="e">
        <f>(INDEX(Tabla6[#All],MATCH(Tabla4[[#This Row],[Producto]],Tabla6[[#All],[PRODUCTO]],0),MATCH(Tabla4[[#This Row],[Mes]],Tabla6[#Headers],0)))*(1+Catalogos!$L$2)</f>
        <v>#N/A</v>
      </c>
      <c r="N1782" s="283" t="e">
        <f>+(Tabla4[[#This Row],[Precio Descontado]]-Tabla4[[#This Row],[Precio Base]])*Tabla4[[#This Row],[Cantidad]]</f>
        <v>#N/A</v>
      </c>
      <c r="O1782" s="284" t="e">
        <f>++Tabla4[[#This Row],[Utilidad Total]]/Tabla4[[#This Row],[Total]]</f>
        <v>#N/A</v>
      </c>
      <c r="P1782" s="282">
        <f>++Tabla4[[#This Row],[Precio Descontado]]*Tabla4[[#This Row],[Cantidad]]</f>
        <v>3767.9088390000002</v>
      </c>
      <c r="Q1782" s="282" t="e">
        <f>(INDEX(Tabla6[#All],MATCH(Tabla4[[#This Row],[Producto]],Tabla6[[#All],[PRODUCTO]],0),MATCH(Tabla4[[#This Row],[Mes]],Tabla6[#Headers],0)))</f>
        <v>#N/A</v>
      </c>
      <c r="R1782" s="282" t="e">
        <f>++Tabla4[[#This Row],[Precio Unitario Neto]]-Tabla4[[#This Row],[20.85%]]-Tabla4[[#This Row],[Costo]]</f>
        <v>#N/A</v>
      </c>
      <c r="S1782" s="282" t="e">
        <f>++Tabla4[[#This Row],[U. Bruta Uni]]*Tabla4[[#This Row],[Cantidad]]</f>
        <v>#N/A</v>
      </c>
      <c r="T1782" s="369" t="str">
        <f>VLOOKUP(Tabla4[[#This Row],[Producto]],Tabla6[#All],14,FALSE)</f>
        <v>Termico Solar</v>
      </c>
      <c r="U1782" s="284" t="e">
        <f>(IF(Tabla4[[#This Row],[Familia]]="termico solar",Tabla4[[#This Row],[Utilidad Total]]*6%,Tabla4[[#This Row],[Utilidad Total]]*11.5%))/Tabla4[[#This Row],[Total]]</f>
        <v>#N/A</v>
      </c>
      <c r="V1782" s="282" t="e">
        <f>+Tabla4[[#This Row],[Comisión Calculada]]*Tabla4[[#This Row],[Total]]</f>
        <v>#N/A</v>
      </c>
    </row>
    <row r="1783" spans="1:22" hidden="1" x14ac:dyDescent="0.25">
      <c r="A1783" s="100">
        <v>45747</v>
      </c>
      <c r="B1783" t="str">
        <f t="shared" si="88"/>
        <v>March</v>
      </c>
      <c r="C1783" s="46" t="s">
        <v>280</v>
      </c>
      <c r="F1783" s="366" t="s">
        <v>1388</v>
      </c>
      <c r="G1783" s="46" t="s">
        <v>394</v>
      </c>
      <c r="H1783" s="46">
        <v>16</v>
      </c>
      <c r="I1783" s="51">
        <v>224.29</v>
      </c>
      <c r="J1783" s="281">
        <f>++Tabla4[[#This Row],[Precio Bruto]]*1.16</f>
        <v>260.1764</v>
      </c>
      <c r="K1783" s="281">
        <f>+Tabla4[[#This Row],[Precio Unitario Neto]]*Tabla4[[#Headers],[20.85%]]</f>
        <v>54.246779400000001</v>
      </c>
      <c r="L1783" s="282">
        <f>++Tabla4[[#This Row],[Precio Unitario Neto]]-Tabla4[[#This Row],[20.85%]]</f>
        <v>205.92962059999999</v>
      </c>
      <c r="M1783" s="282" t="e">
        <f>(INDEX(Tabla6[#All],MATCH(Tabla4[[#This Row],[Producto]],Tabla6[[#All],[PRODUCTO]],0),MATCH(Tabla4[[#This Row],[Mes]],Tabla6[#Headers],0)))*(1+Catalogos!$L$2)</f>
        <v>#N/A</v>
      </c>
      <c r="N1783" s="283" t="e">
        <f>+(Tabla4[[#This Row],[Precio Descontado]]-Tabla4[[#This Row],[Precio Base]])*Tabla4[[#This Row],[Cantidad]]</f>
        <v>#N/A</v>
      </c>
      <c r="O1783" s="284" t="e">
        <f>++Tabla4[[#This Row],[Utilidad Total]]/Tabla4[[#This Row],[Total]]</f>
        <v>#N/A</v>
      </c>
      <c r="P1783" s="282">
        <f>++Tabla4[[#This Row],[Precio Descontado]]*Tabla4[[#This Row],[Cantidad]]</f>
        <v>3294.8739295999999</v>
      </c>
      <c r="Q1783" s="282" t="e">
        <f>(INDEX(Tabla6[#All],MATCH(Tabla4[[#This Row],[Producto]],Tabla6[[#All],[PRODUCTO]],0),MATCH(Tabla4[[#This Row],[Mes]],Tabla6[#Headers],0)))</f>
        <v>#N/A</v>
      </c>
      <c r="R1783" s="282" t="e">
        <f>++Tabla4[[#This Row],[Precio Unitario Neto]]-Tabla4[[#This Row],[20.85%]]-Tabla4[[#This Row],[Costo]]</f>
        <v>#N/A</v>
      </c>
      <c r="S1783" s="282" t="e">
        <f>++Tabla4[[#This Row],[U. Bruta Uni]]*Tabla4[[#This Row],[Cantidad]]</f>
        <v>#N/A</v>
      </c>
      <c r="T1783" s="369" t="str">
        <f>VLOOKUP(Tabla4[[#This Row],[Producto]],Tabla6[#All],14,FALSE)</f>
        <v>Termico Solar</v>
      </c>
      <c r="U1783" s="284" t="e">
        <f>(IF(Tabla4[[#This Row],[Familia]]="termico solar",Tabla4[[#This Row],[Utilidad Total]]*6%,Tabla4[[#This Row],[Utilidad Total]]*11.5%))/Tabla4[[#This Row],[Total]]</f>
        <v>#N/A</v>
      </c>
      <c r="V1783" s="282" t="e">
        <f>+Tabla4[[#This Row],[Comisión Calculada]]*Tabla4[[#This Row],[Total]]</f>
        <v>#N/A</v>
      </c>
    </row>
    <row r="1784" spans="1:22" hidden="1" x14ac:dyDescent="0.25">
      <c r="A1784" s="100">
        <v>45747</v>
      </c>
      <c r="B1784" t="str">
        <f t="shared" si="88"/>
        <v>March</v>
      </c>
      <c r="C1784" s="46" t="s">
        <v>280</v>
      </c>
      <c r="F1784" s="366" t="s">
        <v>1388</v>
      </c>
      <c r="G1784" s="46" t="s">
        <v>555</v>
      </c>
      <c r="H1784" s="46">
        <v>8</v>
      </c>
      <c r="I1784" s="51">
        <v>389.47</v>
      </c>
      <c r="J1784" s="281">
        <f>++Tabla4[[#This Row],[Precio Bruto]]*1.16</f>
        <v>451.78519999999997</v>
      </c>
      <c r="K1784" s="281">
        <f>+Tabla4[[#This Row],[Precio Unitario Neto]]*Tabla4[[#Headers],[20.85%]]</f>
        <v>94.197214199999991</v>
      </c>
      <c r="L1784" s="282">
        <f>++Tabla4[[#This Row],[Precio Unitario Neto]]-Tabla4[[#This Row],[20.85%]]</f>
        <v>357.58798579999996</v>
      </c>
      <c r="M1784" s="282" t="e">
        <f>(INDEX(Tabla6[#All],MATCH(Tabla4[[#This Row],[Producto]],Tabla6[[#All],[PRODUCTO]],0),MATCH(Tabla4[[#This Row],[Mes]],Tabla6[#Headers],0)))*(1+Catalogos!$L$2)</f>
        <v>#N/A</v>
      </c>
      <c r="N1784" s="283" t="e">
        <f>+(Tabla4[[#This Row],[Precio Descontado]]-Tabla4[[#This Row],[Precio Base]])*Tabla4[[#This Row],[Cantidad]]</f>
        <v>#N/A</v>
      </c>
      <c r="O1784" s="284" t="e">
        <f>++Tabla4[[#This Row],[Utilidad Total]]/Tabla4[[#This Row],[Total]]</f>
        <v>#N/A</v>
      </c>
      <c r="P1784" s="282">
        <f>++Tabla4[[#This Row],[Precio Descontado]]*Tabla4[[#This Row],[Cantidad]]</f>
        <v>2860.7038863999996</v>
      </c>
      <c r="Q1784" s="282" t="e">
        <f>(INDEX(Tabla6[#All],MATCH(Tabla4[[#This Row],[Producto]],Tabla6[[#All],[PRODUCTO]],0),MATCH(Tabla4[[#This Row],[Mes]],Tabla6[#Headers],0)))</f>
        <v>#N/A</v>
      </c>
      <c r="R1784" s="282" t="e">
        <f>++Tabla4[[#This Row],[Precio Unitario Neto]]-Tabla4[[#This Row],[20.85%]]-Tabla4[[#This Row],[Costo]]</f>
        <v>#N/A</v>
      </c>
      <c r="S1784" s="282" t="e">
        <f>++Tabla4[[#This Row],[U. Bruta Uni]]*Tabla4[[#This Row],[Cantidad]]</f>
        <v>#N/A</v>
      </c>
      <c r="T1784" s="369" t="str">
        <f>VLOOKUP(Tabla4[[#This Row],[Producto]],Tabla6[#All],14,FALSE)</f>
        <v>Termico Solar</v>
      </c>
      <c r="U1784" s="284" t="e">
        <f>(IF(Tabla4[[#This Row],[Familia]]="termico solar",Tabla4[[#This Row],[Utilidad Total]]*6%,Tabla4[[#This Row],[Utilidad Total]]*11.5%))/Tabla4[[#This Row],[Total]]</f>
        <v>#N/A</v>
      </c>
      <c r="V1784" s="282" t="e">
        <f>+Tabla4[[#This Row],[Comisión Calculada]]*Tabla4[[#This Row],[Total]]</f>
        <v>#N/A</v>
      </c>
    </row>
    <row r="1785" spans="1:22" hidden="1" x14ac:dyDescent="0.25">
      <c r="A1785" s="100">
        <v>45747</v>
      </c>
      <c r="B1785" t="str">
        <f t="shared" si="88"/>
        <v>March</v>
      </c>
      <c r="C1785" s="46" t="s">
        <v>280</v>
      </c>
      <c r="F1785" s="366" t="s">
        <v>1388</v>
      </c>
      <c r="G1785" s="46" t="s">
        <v>208</v>
      </c>
      <c r="H1785" s="46">
        <v>2</v>
      </c>
      <c r="I1785" s="51">
        <v>189.75</v>
      </c>
      <c r="J1785" s="281">
        <f>++Tabla4[[#This Row],[Precio Bruto]]*1.16</f>
        <v>220.10999999999999</v>
      </c>
      <c r="K1785" s="281">
        <f>+Tabla4[[#This Row],[Precio Unitario Neto]]*Tabla4[[#Headers],[20.85%]]</f>
        <v>45.892934999999994</v>
      </c>
      <c r="L1785" s="282">
        <f>++Tabla4[[#This Row],[Precio Unitario Neto]]-Tabla4[[#This Row],[20.85%]]</f>
        <v>174.21706499999999</v>
      </c>
      <c r="M1785" s="282" t="e">
        <f>(INDEX(Tabla6[#All],MATCH(Tabla4[[#This Row],[Producto]],Tabla6[[#All],[PRODUCTO]],0),MATCH(Tabla4[[#This Row],[Mes]],Tabla6[#Headers],0)))*(1+Catalogos!$L$2)</f>
        <v>#N/A</v>
      </c>
      <c r="N1785" s="283" t="e">
        <f>+(Tabla4[[#This Row],[Precio Descontado]]-Tabla4[[#This Row],[Precio Base]])*Tabla4[[#This Row],[Cantidad]]</f>
        <v>#N/A</v>
      </c>
      <c r="O1785" s="284" t="e">
        <f>++Tabla4[[#This Row],[Utilidad Total]]/Tabla4[[#This Row],[Total]]</f>
        <v>#N/A</v>
      </c>
      <c r="P1785" s="282">
        <f>++Tabla4[[#This Row],[Precio Descontado]]*Tabla4[[#This Row],[Cantidad]]</f>
        <v>348.43412999999998</v>
      </c>
      <c r="Q1785" s="282" t="e">
        <f>(INDEX(Tabla6[#All],MATCH(Tabla4[[#This Row],[Producto]],Tabla6[[#All],[PRODUCTO]],0),MATCH(Tabla4[[#This Row],[Mes]],Tabla6[#Headers],0)))</f>
        <v>#N/A</v>
      </c>
      <c r="R1785" s="282" t="e">
        <f>++Tabla4[[#This Row],[Precio Unitario Neto]]-Tabla4[[#This Row],[20.85%]]-Tabla4[[#This Row],[Costo]]</f>
        <v>#N/A</v>
      </c>
      <c r="S1785" s="282" t="e">
        <f>++Tabla4[[#This Row],[U. Bruta Uni]]*Tabla4[[#This Row],[Cantidad]]</f>
        <v>#N/A</v>
      </c>
      <c r="T1785" s="369" t="str">
        <f>VLOOKUP(Tabla4[[#This Row],[Producto]],Tabla6[#All],14,FALSE)</f>
        <v>Termico Solar</v>
      </c>
      <c r="U1785" s="284" t="e">
        <f>(IF(Tabla4[[#This Row],[Familia]]="termico solar",Tabla4[[#This Row],[Utilidad Total]]*6%,Tabla4[[#This Row],[Utilidad Total]]*11.5%))/Tabla4[[#This Row],[Total]]</f>
        <v>#N/A</v>
      </c>
      <c r="V1785" s="282" t="e">
        <f>+Tabla4[[#This Row],[Comisión Calculada]]*Tabla4[[#This Row],[Total]]</f>
        <v>#N/A</v>
      </c>
    </row>
    <row r="1786" spans="1:22" hidden="1" x14ac:dyDescent="0.25">
      <c r="A1786" s="100">
        <v>45747</v>
      </c>
      <c r="B1786" t="str">
        <f t="shared" ref="B1786:B1795" si="89">TEXT(A1786, "mmmm")</f>
        <v>March</v>
      </c>
      <c r="C1786" s="46" t="s">
        <v>280</v>
      </c>
      <c r="F1786" s="366" t="s">
        <v>1389</v>
      </c>
      <c r="G1786" s="46" t="s">
        <v>83</v>
      </c>
      <c r="H1786" s="46">
        <v>3</v>
      </c>
      <c r="I1786" s="51">
        <v>8858.76</v>
      </c>
      <c r="J1786" s="281">
        <f>++Tabla4[[#This Row],[Precio Bruto]]*1.16</f>
        <v>10276.161599999999</v>
      </c>
      <c r="K1786" s="281">
        <f>+Tabla4[[#This Row],[Precio Unitario Neto]]*Tabla4[[#Headers],[20.85%]]</f>
        <v>2142.5796935999997</v>
      </c>
      <c r="L1786" s="282">
        <f>++Tabla4[[#This Row],[Precio Unitario Neto]]-Tabla4[[#This Row],[20.85%]]</f>
        <v>8133.5819063999998</v>
      </c>
      <c r="M1786" s="282" t="e">
        <f>(INDEX(Tabla6[#All],MATCH(Tabla4[[#This Row],[Producto]],Tabla6[[#All],[PRODUCTO]],0),MATCH(Tabla4[[#This Row],[Mes]],Tabla6[#Headers],0)))*(1+Catalogos!$L$2)</f>
        <v>#N/A</v>
      </c>
      <c r="N1786" s="283" t="e">
        <f>+(Tabla4[[#This Row],[Precio Descontado]]-Tabla4[[#This Row],[Precio Base]])*Tabla4[[#This Row],[Cantidad]]</f>
        <v>#N/A</v>
      </c>
      <c r="O1786" s="284" t="e">
        <f>++Tabla4[[#This Row],[Utilidad Total]]/Tabla4[[#This Row],[Total]]</f>
        <v>#N/A</v>
      </c>
      <c r="P1786" s="282">
        <f>++Tabla4[[#This Row],[Precio Descontado]]*Tabla4[[#This Row],[Cantidad]]</f>
        <v>24400.7457192</v>
      </c>
      <c r="Q1786" s="282" t="e">
        <f>(INDEX(Tabla6[#All],MATCH(Tabla4[[#This Row],[Producto]],Tabla6[[#All],[PRODUCTO]],0),MATCH(Tabla4[[#This Row],[Mes]],Tabla6[#Headers],0)))</f>
        <v>#N/A</v>
      </c>
      <c r="R1786" s="282" t="e">
        <f>++Tabla4[[#This Row],[Precio Unitario Neto]]-Tabla4[[#This Row],[20.85%]]-Tabla4[[#This Row],[Costo]]</f>
        <v>#N/A</v>
      </c>
      <c r="S1786" s="282" t="e">
        <f>++Tabla4[[#This Row],[U. Bruta Uni]]*Tabla4[[#This Row],[Cantidad]]</f>
        <v>#N/A</v>
      </c>
      <c r="T1786" s="369" t="str">
        <f>VLOOKUP(Tabla4[[#This Row],[Producto]],Tabla6[#All],14,FALSE)</f>
        <v>Termico Solar</v>
      </c>
      <c r="U1786" s="284" t="e">
        <f>(IF(Tabla4[[#This Row],[Familia]]="termico solar",Tabla4[[#This Row],[Utilidad Total]]*6%,Tabla4[[#This Row],[Utilidad Total]]*11.5%))/Tabla4[[#This Row],[Total]]</f>
        <v>#N/A</v>
      </c>
      <c r="V1786" s="282" t="e">
        <f>+Tabla4[[#This Row],[Comisión Calculada]]*Tabla4[[#This Row],[Total]]</f>
        <v>#N/A</v>
      </c>
    </row>
    <row r="1787" spans="1:22" hidden="1" x14ac:dyDescent="0.25">
      <c r="A1787" s="100">
        <v>45747</v>
      </c>
      <c r="B1787" t="str">
        <f t="shared" si="89"/>
        <v>March</v>
      </c>
      <c r="C1787" s="46" t="s">
        <v>280</v>
      </c>
      <c r="F1787" s="366" t="s">
        <v>1389</v>
      </c>
      <c r="G1787" s="46" t="s">
        <v>208</v>
      </c>
      <c r="H1787" s="46">
        <v>15</v>
      </c>
      <c r="I1787" s="51">
        <v>140.63</v>
      </c>
      <c r="J1787" s="281">
        <f>++Tabla4[[#This Row],[Precio Bruto]]*1.16</f>
        <v>163.13079999999999</v>
      </c>
      <c r="K1787" s="281">
        <f>+Tabla4[[#This Row],[Precio Unitario Neto]]*Tabla4[[#Headers],[20.85%]]</f>
        <v>34.012771799999996</v>
      </c>
      <c r="L1787" s="282">
        <f>++Tabla4[[#This Row],[Precio Unitario Neto]]-Tabla4[[#This Row],[20.85%]]</f>
        <v>129.1180282</v>
      </c>
      <c r="M1787" s="282" t="e">
        <f>(INDEX(Tabla6[#All],MATCH(Tabla4[[#This Row],[Producto]],Tabla6[[#All],[PRODUCTO]],0),MATCH(Tabla4[[#This Row],[Mes]],Tabla6[#Headers],0)))*(1+Catalogos!$L$2)</f>
        <v>#N/A</v>
      </c>
      <c r="N1787" s="283" t="e">
        <f>+(Tabla4[[#This Row],[Precio Descontado]]-Tabla4[[#This Row],[Precio Base]])*Tabla4[[#This Row],[Cantidad]]</f>
        <v>#N/A</v>
      </c>
      <c r="O1787" s="284" t="e">
        <f>++Tabla4[[#This Row],[Utilidad Total]]/Tabla4[[#This Row],[Total]]</f>
        <v>#N/A</v>
      </c>
      <c r="P1787" s="282">
        <f>++Tabla4[[#This Row],[Precio Descontado]]*Tabla4[[#This Row],[Cantidad]]</f>
        <v>1936.7704229999999</v>
      </c>
      <c r="Q1787" s="282" t="e">
        <f>(INDEX(Tabla6[#All],MATCH(Tabla4[[#This Row],[Producto]],Tabla6[[#All],[PRODUCTO]],0),MATCH(Tabla4[[#This Row],[Mes]],Tabla6[#Headers],0)))</f>
        <v>#N/A</v>
      </c>
      <c r="R1787" s="282" t="e">
        <f>++Tabla4[[#This Row],[Precio Unitario Neto]]-Tabla4[[#This Row],[20.85%]]-Tabla4[[#This Row],[Costo]]</f>
        <v>#N/A</v>
      </c>
      <c r="S1787" s="282" t="e">
        <f>++Tabla4[[#This Row],[U. Bruta Uni]]*Tabla4[[#This Row],[Cantidad]]</f>
        <v>#N/A</v>
      </c>
      <c r="T1787" s="369" t="str">
        <f>VLOOKUP(Tabla4[[#This Row],[Producto]],Tabla6[#All],14,FALSE)</f>
        <v>Termico Solar</v>
      </c>
      <c r="U1787" s="284" t="e">
        <f>(IF(Tabla4[[#This Row],[Familia]]="termico solar",Tabla4[[#This Row],[Utilidad Total]]*6%,Tabla4[[#This Row],[Utilidad Total]]*11.5%))/Tabla4[[#This Row],[Total]]</f>
        <v>#N/A</v>
      </c>
      <c r="V1787" s="282" t="e">
        <f>+Tabla4[[#This Row],[Comisión Calculada]]*Tabla4[[#This Row],[Total]]</f>
        <v>#N/A</v>
      </c>
    </row>
    <row r="1788" spans="1:22" hidden="1" x14ac:dyDescent="0.25">
      <c r="A1788" s="100">
        <v>45747</v>
      </c>
      <c r="B1788" t="str">
        <f t="shared" si="89"/>
        <v>March</v>
      </c>
      <c r="C1788" s="46" t="s">
        <v>280</v>
      </c>
      <c r="F1788" s="366" t="s">
        <v>1389</v>
      </c>
      <c r="G1788" s="46" t="s">
        <v>16</v>
      </c>
      <c r="H1788" s="46">
        <v>2</v>
      </c>
      <c r="I1788" s="51">
        <v>4103.8500000000004</v>
      </c>
      <c r="J1788" s="281">
        <f>++Tabla4[[#This Row],[Precio Bruto]]*1.16</f>
        <v>4760.4660000000003</v>
      </c>
      <c r="K1788" s="281">
        <f>+Tabla4[[#This Row],[Precio Unitario Neto]]*Tabla4[[#Headers],[20.85%]]</f>
        <v>992.55716100000006</v>
      </c>
      <c r="L1788" s="282">
        <f>++Tabla4[[#This Row],[Precio Unitario Neto]]-Tabla4[[#This Row],[20.85%]]</f>
        <v>3767.9088390000002</v>
      </c>
      <c r="M1788" s="282" t="e">
        <f>(INDEX(Tabla6[#All],MATCH(Tabla4[[#This Row],[Producto]],Tabla6[[#All],[PRODUCTO]],0),MATCH(Tabla4[[#This Row],[Mes]],Tabla6[#Headers],0)))*(1+Catalogos!$L$2)</f>
        <v>#N/A</v>
      </c>
      <c r="N1788" s="283" t="e">
        <f>+(Tabla4[[#This Row],[Precio Descontado]]-Tabla4[[#This Row],[Precio Base]])*Tabla4[[#This Row],[Cantidad]]</f>
        <v>#N/A</v>
      </c>
      <c r="O1788" s="284" t="e">
        <f>++Tabla4[[#This Row],[Utilidad Total]]/Tabla4[[#This Row],[Total]]</f>
        <v>#N/A</v>
      </c>
      <c r="P1788" s="282">
        <f>++Tabla4[[#This Row],[Precio Descontado]]*Tabla4[[#This Row],[Cantidad]]</f>
        <v>7535.8176780000003</v>
      </c>
      <c r="Q1788" s="282" t="e">
        <f>(INDEX(Tabla6[#All],MATCH(Tabla4[[#This Row],[Producto]],Tabla6[[#All],[PRODUCTO]],0),MATCH(Tabla4[[#This Row],[Mes]],Tabla6[#Headers],0)))</f>
        <v>#N/A</v>
      </c>
      <c r="R1788" s="282" t="e">
        <f>++Tabla4[[#This Row],[Precio Unitario Neto]]-Tabla4[[#This Row],[20.85%]]-Tabla4[[#This Row],[Costo]]</f>
        <v>#N/A</v>
      </c>
      <c r="S1788" s="282" t="e">
        <f>++Tabla4[[#This Row],[U. Bruta Uni]]*Tabla4[[#This Row],[Cantidad]]</f>
        <v>#N/A</v>
      </c>
      <c r="T1788" s="369" t="str">
        <f>VLOOKUP(Tabla4[[#This Row],[Producto]],Tabla6[#All],14,FALSE)</f>
        <v>Termico Solar</v>
      </c>
      <c r="U1788" s="284" t="e">
        <f>(IF(Tabla4[[#This Row],[Familia]]="termico solar",Tabla4[[#This Row],[Utilidad Total]]*6%,Tabla4[[#This Row],[Utilidad Total]]*11.5%))/Tabla4[[#This Row],[Total]]</f>
        <v>#N/A</v>
      </c>
      <c r="V1788" s="282" t="e">
        <f>+Tabla4[[#This Row],[Comisión Calculada]]*Tabla4[[#This Row],[Total]]</f>
        <v>#N/A</v>
      </c>
    </row>
    <row r="1789" spans="1:22" hidden="1" x14ac:dyDescent="0.25">
      <c r="A1789" s="100">
        <v>45747</v>
      </c>
      <c r="B1789" t="str">
        <f t="shared" si="89"/>
        <v>March</v>
      </c>
      <c r="C1789" s="46" t="s">
        <v>280</v>
      </c>
      <c r="F1789" s="366" t="s">
        <v>1390</v>
      </c>
      <c r="G1789" s="46" t="s">
        <v>17</v>
      </c>
      <c r="H1789" s="46">
        <v>2</v>
      </c>
      <c r="I1789" s="51">
        <v>4622.28</v>
      </c>
      <c r="J1789" s="281">
        <f>++Tabla4[[#This Row],[Precio Bruto]]*1.16</f>
        <v>5361.8447999999989</v>
      </c>
      <c r="K1789" s="281">
        <f>+Tabla4[[#This Row],[Precio Unitario Neto]]*Tabla4[[#Headers],[20.85%]]</f>
        <v>1117.9446407999997</v>
      </c>
      <c r="L1789" s="282">
        <f>++Tabla4[[#This Row],[Precio Unitario Neto]]-Tabla4[[#This Row],[20.85%]]</f>
        <v>4243.9001591999995</v>
      </c>
      <c r="M1789" s="282" t="e">
        <f>(INDEX(Tabla6[#All],MATCH(Tabla4[[#This Row],[Producto]],Tabla6[[#All],[PRODUCTO]],0),MATCH(Tabla4[[#This Row],[Mes]],Tabla6[#Headers],0)))*(1+Catalogos!$L$2)</f>
        <v>#N/A</v>
      </c>
      <c r="N1789" s="283" t="e">
        <f>+(Tabla4[[#This Row],[Precio Descontado]]-Tabla4[[#This Row],[Precio Base]])*Tabla4[[#This Row],[Cantidad]]</f>
        <v>#N/A</v>
      </c>
      <c r="O1789" s="284" t="e">
        <f>++Tabla4[[#This Row],[Utilidad Total]]/Tabla4[[#This Row],[Total]]</f>
        <v>#N/A</v>
      </c>
      <c r="P1789" s="282">
        <f>++Tabla4[[#This Row],[Precio Descontado]]*Tabla4[[#This Row],[Cantidad]]</f>
        <v>8487.800318399999</v>
      </c>
      <c r="Q1789" s="282" t="e">
        <f>(INDEX(Tabla6[#All],MATCH(Tabla4[[#This Row],[Producto]],Tabla6[[#All],[PRODUCTO]],0),MATCH(Tabla4[[#This Row],[Mes]],Tabla6[#Headers],0)))</f>
        <v>#N/A</v>
      </c>
      <c r="R1789" s="282" t="e">
        <f>++Tabla4[[#This Row],[Precio Unitario Neto]]-Tabla4[[#This Row],[20.85%]]-Tabla4[[#This Row],[Costo]]</f>
        <v>#N/A</v>
      </c>
      <c r="S1789" s="282" t="e">
        <f>++Tabla4[[#This Row],[U. Bruta Uni]]*Tabla4[[#This Row],[Cantidad]]</f>
        <v>#N/A</v>
      </c>
      <c r="T1789" s="369" t="str">
        <f>VLOOKUP(Tabla4[[#This Row],[Producto]],Tabla6[#All],14,FALSE)</f>
        <v>Termico Solar</v>
      </c>
      <c r="U1789" s="284" t="e">
        <f>(IF(Tabla4[[#This Row],[Familia]]="termico solar",Tabla4[[#This Row],[Utilidad Total]]*6%,Tabla4[[#This Row],[Utilidad Total]]*11.5%))/Tabla4[[#This Row],[Total]]</f>
        <v>#N/A</v>
      </c>
      <c r="V1789" s="282" t="e">
        <f>+Tabla4[[#This Row],[Comisión Calculada]]*Tabla4[[#This Row],[Total]]</f>
        <v>#N/A</v>
      </c>
    </row>
    <row r="1790" spans="1:22" hidden="1" x14ac:dyDescent="0.25">
      <c r="A1790" s="100">
        <v>45747</v>
      </c>
      <c r="B1790" t="str">
        <f t="shared" si="89"/>
        <v>March</v>
      </c>
      <c r="C1790" s="46" t="s">
        <v>280</v>
      </c>
      <c r="F1790" s="366" t="s">
        <v>1390</v>
      </c>
      <c r="G1790" s="46" t="s">
        <v>208</v>
      </c>
      <c r="H1790" s="46">
        <v>15</v>
      </c>
      <c r="I1790" s="51">
        <v>140.63</v>
      </c>
      <c r="J1790" s="281">
        <f>++Tabla4[[#This Row],[Precio Bruto]]*1.16</f>
        <v>163.13079999999999</v>
      </c>
      <c r="K1790" s="281">
        <f>+Tabla4[[#This Row],[Precio Unitario Neto]]*Tabla4[[#Headers],[20.85%]]</f>
        <v>34.012771799999996</v>
      </c>
      <c r="L1790" s="282">
        <f>++Tabla4[[#This Row],[Precio Unitario Neto]]-Tabla4[[#This Row],[20.85%]]</f>
        <v>129.1180282</v>
      </c>
      <c r="M1790" s="282" t="e">
        <f>(INDEX(Tabla6[#All],MATCH(Tabla4[[#This Row],[Producto]],Tabla6[[#All],[PRODUCTO]],0),MATCH(Tabla4[[#This Row],[Mes]],Tabla6[#Headers],0)))*(1+Catalogos!$L$2)</f>
        <v>#N/A</v>
      </c>
      <c r="N1790" s="283" t="e">
        <f>+(Tabla4[[#This Row],[Precio Descontado]]-Tabla4[[#This Row],[Precio Base]])*Tabla4[[#This Row],[Cantidad]]</f>
        <v>#N/A</v>
      </c>
      <c r="O1790" s="284" t="e">
        <f>++Tabla4[[#This Row],[Utilidad Total]]/Tabla4[[#This Row],[Total]]</f>
        <v>#N/A</v>
      </c>
      <c r="P1790" s="282">
        <f>++Tabla4[[#This Row],[Precio Descontado]]*Tabla4[[#This Row],[Cantidad]]</f>
        <v>1936.7704229999999</v>
      </c>
      <c r="Q1790" s="282" t="e">
        <f>(INDEX(Tabla6[#All],MATCH(Tabla4[[#This Row],[Producto]],Tabla6[[#All],[PRODUCTO]],0),MATCH(Tabla4[[#This Row],[Mes]],Tabla6[#Headers],0)))</f>
        <v>#N/A</v>
      </c>
      <c r="R1790" s="282" t="e">
        <f>++Tabla4[[#This Row],[Precio Unitario Neto]]-Tabla4[[#This Row],[20.85%]]-Tabla4[[#This Row],[Costo]]</f>
        <v>#N/A</v>
      </c>
      <c r="S1790" s="282" t="e">
        <f>++Tabla4[[#This Row],[U. Bruta Uni]]*Tabla4[[#This Row],[Cantidad]]</f>
        <v>#N/A</v>
      </c>
      <c r="T1790" s="369" t="str">
        <f>VLOOKUP(Tabla4[[#This Row],[Producto]],Tabla6[#All],14,FALSE)</f>
        <v>Termico Solar</v>
      </c>
      <c r="U1790" s="284" t="e">
        <f>(IF(Tabla4[[#This Row],[Familia]]="termico solar",Tabla4[[#This Row],[Utilidad Total]]*6%,Tabla4[[#This Row],[Utilidad Total]]*11.5%))/Tabla4[[#This Row],[Total]]</f>
        <v>#N/A</v>
      </c>
      <c r="V1790" s="282" t="e">
        <f>+Tabla4[[#This Row],[Comisión Calculada]]*Tabla4[[#This Row],[Total]]</f>
        <v>#N/A</v>
      </c>
    </row>
    <row r="1791" spans="1:22" hidden="1" x14ac:dyDescent="0.25">
      <c r="A1791" s="100">
        <v>45747</v>
      </c>
      <c r="B1791" t="str">
        <f t="shared" si="89"/>
        <v>March</v>
      </c>
      <c r="C1791" s="46" t="s">
        <v>280</v>
      </c>
      <c r="F1791" s="366" t="s">
        <v>1390</v>
      </c>
      <c r="G1791" s="46" t="s">
        <v>16</v>
      </c>
      <c r="H1791" s="46">
        <v>1</v>
      </c>
      <c r="I1791" s="51">
        <v>4103.8500000000004</v>
      </c>
      <c r="J1791" s="281">
        <f>++Tabla4[[#This Row],[Precio Bruto]]*1.16</f>
        <v>4760.4660000000003</v>
      </c>
      <c r="K1791" s="281">
        <f>+Tabla4[[#This Row],[Precio Unitario Neto]]*Tabla4[[#Headers],[20.85%]]</f>
        <v>992.55716100000006</v>
      </c>
      <c r="L1791" s="282">
        <f>++Tabla4[[#This Row],[Precio Unitario Neto]]-Tabla4[[#This Row],[20.85%]]</f>
        <v>3767.9088390000002</v>
      </c>
      <c r="M1791" s="282" t="e">
        <f>(INDEX(Tabla6[#All],MATCH(Tabla4[[#This Row],[Producto]],Tabla6[[#All],[PRODUCTO]],0),MATCH(Tabla4[[#This Row],[Mes]],Tabla6[#Headers],0)))*(1+Catalogos!$L$2)</f>
        <v>#N/A</v>
      </c>
      <c r="N1791" s="283" t="e">
        <f>+(Tabla4[[#This Row],[Precio Descontado]]-Tabla4[[#This Row],[Precio Base]])*Tabla4[[#This Row],[Cantidad]]</f>
        <v>#N/A</v>
      </c>
      <c r="O1791" s="284" t="e">
        <f>++Tabla4[[#This Row],[Utilidad Total]]/Tabla4[[#This Row],[Total]]</f>
        <v>#N/A</v>
      </c>
      <c r="P1791" s="282">
        <f>++Tabla4[[#This Row],[Precio Descontado]]*Tabla4[[#This Row],[Cantidad]]</f>
        <v>3767.9088390000002</v>
      </c>
      <c r="Q1791" s="282" t="e">
        <f>(INDEX(Tabla6[#All],MATCH(Tabla4[[#This Row],[Producto]],Tabla6[[#All],[PRODUCTO]],0),MATCH(Tabla4[[#This Row],[Mes]],Tabla6[#Headers],0)))</f>
        <v>#N/A</v>
      </c>
      <c r="R1791" s="282" t="e">
        <f>++Tabla4[[#This Row],[Precio Unitario Neto]]-Tabla4[[#This Row],[20.85%]]-Tabla4[[#This Row],[Costo]]</f>
        <v>#N/A</v>
      </c>
      <c r="S1791" s="282" t="e">
        <f>++Tabla4[[#This Row],[U. Bruta Uni]]*Tabla4[[#This Row],[Cantidad]]</f>
        <v>#N/A</v>
      </c>
      <c r="T1791" s="369" t="str">
        <f>VLOOKUP(Tabla4[[#This Row],[Producto]],Tabla6[#All],14,FALSE)</f>
        <v>Termico Solar</v>
      </c>
      <c r="U1791" s="284" t="e">
        <f>(IF(Tabla4[[#This Row],[Familia]]="termico solar",Tabla4[[#This Row],[Utilidad Total]]*6%,Tabla4[[#This Row],[Utilidad Total]]*11.5%))/Tabla4[[#This Row],[Total]]</f>
        <v>#N/A</v>
      </c>
      <c r="V1791" s="282" t="e">
        <f>+Tabla4[[#This Row],[Comisión Calculada]]*Tabla4[[#This Row],[Total]]</f>
        <v>#N/A</v>
      </c>
    </row>
    <row r="1792" spans="1:22" hidden="1" x14ac:dyDescent="0.25">
      <c r="A1792" s="100">
        <v>45747</v>
      </c>
      <c r="B1792" t="str">
        <f t="shared" si="89"/>
        <v>March</v>
      </c>
      <c r="C1792" s="46" t="s">
        <v>280</v>
      </c>
      <c r="F1792" s="366" t="s">
        <v>1391</v>
      </c>
      <c r="G1792" s="46" t="s">
        <v>17</v>
      </c>
      <c r="H1792" s="46">
        <v>3</v>
      </c>
      <c r="I1792" s="51">
        <v>4622.28</v>
      </c>
      <c r="J1792" s="281">
        <f>++Tabla4[[#This Row],[Precio Bruto]]*1.16</f>
        <v>5361.8447999999989</v>
      </c>
      <c r="K1792" s="281">
        <f>+Tabla4[[#This Row],[Precio Unitario Neto]]*Tabla4[[#Headers],[20.85%]]</f>
        <v>1117.9446407999997</v>
      </c>
      <c r="L1792" s="282">
        <f>++Tabla4[[#This Row],[Precio Unitario Neto]]-Tabla4[[#This Row],[20.85%]]</f>
        <v>4243.9001591999995</v>
      </c>
      <c r="M1792" s="282" t="e">
        <f>(INDEX(Tabla6[#All],MATCH(Tabla4[[#This Row],[Producto]],Tabla6[[#All],[PRODUCTO]],0),MATCH(Tabla4[[#This Row],[Mes]],Tabla6[#Headers],0)))*(1+Catalogos!$L$2)</f>
        <v>#N/A</v>
      </c>
      <c r="N1792" s="283" t="e">
        <f>+(Tabla4[[#This Row],[Precio Descontado]]-Tabla4[[#This Row],[Precio Base]])*Tabla4[[#This Row],[Cantidad]]</f>
        <v>#N/A</v>
      </c>
      <c r="O1792" s="284" t="e">
        <f>++Tabla4[[#This Row],[Utilidad Total]]/Tabla4[[#This Row],[Total]]</f>
        <v>#N/A</v>
      </c>
      <c r="P1792" s="282">
        <f>++Tabla4[[#This Row],[Precio Descontado]]*Tabla4[[#This Row],[Cantidad]]</f>
        <v>12731.700477599999</v>
      </c>
      <c r="Q1792" s="282" t="e">
        <f>(INDEX(Tabla6[#All],MATCH(Tabla4[[#This Row],[Producto]],Tabla6[[#All],[PRODUCTO]],0),MATCH(Tabla4[[#This Row],[Mes]],Tabla6[#Headers],0)))</f>
        <v>#N/A</v>
      </c>
      <c r="R1792" s="282" t="e">
        <f>++Tabla4[[#This Row],[Precio Unitario Neto]]-Tabla4[[#This Row],[20.85%]]-Tabla4[[#This Row],[Costo]]</f>
        <v>#N/A</v>
      </c>
      <c r="S1792" s="282" t="e">
        <f>++Tabla4[[#This Row],[U. Bruta Uni]]*Tabla4[[#This Row],[Cantidad]]</f>
        <v>#N/A</v>
      </c>
      <c r="T1792" s="369" t="str">
        <f>VLOOKUP(Tabla4[[#This Row],[Producto]],Tabla6[#All],14,FALSE)</f>
        <v>Termico Solar</v>
      </c>
      <c r="U1792" s="284" t="e">
        <f>(IF(Tabla4[[#This Row],[Familia]]="termico solar",Tabla4[[#This Row],[Utilidad Total]]*6%,Tabla4[[#This Row],[Utilidad Total]]*11.5%))/Tabla4[[#This Row],[Total]]</f>
        <v>#N/A</v>
      </c>
      <c r="V1792" s="282" t="e">
        <f>+Tabla4[[#This Row],[Comisión Calculada]]*Tabla4[[#This Row],[Total]]</f>
        <v>#N/A</v>
      </c>
    </row>
    <row r="1793" spans="1:22" hidden="1" x14ac:dyDescent="0.25">
      <c r="A1793" s="100">
        <v>45747</v>
      </c>
      <c r="B1793" t="str">
        <f t="shared" si="89"/>
        <v>March</v>
      </c>
      <c r="C1793" s="46" t="s">
        <v>280</v>
      </c>
      <c r="F1793" s="366" t="s">
        <v>1391</v>
      </c>
      <c r="G1793" s="46" t="s">
        <v>18</v>
      </c>
      <c r="H1793" s="46">
        <v>1</v>
      </c>
      <c r="I1793" s="51">
        <v>5367.65</v>
      </c>
      <c r="J1793" s="281">
        <f>++Tabla4[[#This Row],[Precio Bruto]]*1.16</f>
        <v>6226.4739999999993</v>
      </c>
      <c r="K1793" s="281">
        <f>+Tabla4[[#This Row],[Precio Unitario Neto]]*Tabla4[[#Headers],[20.85%]]</f>
        <v>1298.2198289999999</v>
      </c>
      <c r="L1793" s="282">
        <f>++Tabla4[[#This Row],[Precio Unitario Neto]]-Tabla4[[#This Row],[20.85%]]</f>
        <v>4928.2541709999996</v>
      </c>
      <c r="M1793" s="282" t="e">
        <f>(INDEX(Tabla6[#All],MATCH(Tabla4[[#This Row],[Producto]],Tabla6[[#All],[PRODUCTO]],0),MATCH(Tabla4[[#This Row],[Mes]],Tabla6[#Headers],0)))*(1+Catalogos!$L$2)</f>
        <v>#N/A</v>
      </c>
      <c r="N1793" s="283" t="e">
        <f>+(Tabla4[[#This Row],[Precio Descontado]]-Tabla4[[#This Row],[Precio Base]])*Tabla4[[#This Row],[Cantidad]]</f>
        <v>#N/A</v>
      </c>
      <c r="O1793" s="284" t="e">
        <f>++Tabla4[[#This Row],[Utilidad Total]]/Tabla4[[#This Row],[Total]]</f>
        <v>#N/A</v>
      </c>
      <c r="P1793" s="282">
        <f>++Tabla4[[#This Row],[Precio Descontado]]*Tabla4[[#This Row],[Cantidad]]</f>
        <v>4928.2541709999996</v>
      </c>
      <c r="Q1793" s="282" t="e">
        <f>(INDEX(Tabla6[#All],MATCH(Tabla4[[#This Row],[Producto]],Tabla6[[#All],[PRODUCTO]],0),MATCH(Tabla4[[#This Row],[Mes]],Tabla6[#Headers],0)))</f>
        <v>#N/A</v>
      </c>
      <c r="R1793" s="282" t="e">
        <f>++Tabla4[[#This Row],[Precio Unitario Neto]]-Tabla4[[#This Row],[20.85%]]-Tabla4[[#This Row],[Costo]]</f>
        <v>#N/A</v>
      </c>
      <c r="S1793" s="282" t="e">
        <f>++Tabla4[[#This Row],[U. Bruta Uni]]*Tabla4[[#This Row],[Cantidad]]</f>
        <v>#N/A</v>
      </c>
      <c r="T1793" s="369" t="str">
        <f>VLOOKUP(Tabla4[[#This Row],[Producto]],Tabla6[#All],14,FALSE)</f>
        <v>Termico Solar</v>
      </c>
      <c r="U1793" s="284" t="e">
        <f>(IF(Tabla4[[#This Row],[Familia]]="termico solar",Tabla4[[#This Row],[Utilidad Total]]*6%,Tabla4[[#This Row],[Utilidad Total]]*11.5%))/Tabla4[[#This Row],[Total]]</f>
        <v>#N/A</v>
      </c>
      <c r="V1793" s="282" t="e">
        <f>+Tabla4[[#This Row],[Comisión Calculada]]*Tabla4[[#This Row],[Total]]</f>
        <v>#N/A</v>
      </c>
    </row>
    <row r="1794" spans="1:22" hidden="1" x14ac:dyDescent="0.25">
      <c r="A1794" s="100">
        <v>45747</v>
      </c>
      <c r="B1794" t="str">
        <f t="shared" si="89"/>
        <v>March</v>
      </c>
      <c r="C1794" s="46" t="s">
        <v>280</v>
      </c>
      <c r="F1794" s="366" t="s">
        <v>1391</v>
      </c>
      <c r="G1794" s="46" t="s">
        <v>208</v>
      </c>
      <c r="H1794" s="46">
        <v>30</v>
      </c>
      <c r="I1794" s="51">
        <v>140.63</v>
      </c>
      <c r="J1794" s="281">
        <f>++Tabla4[[#This Row],[Precio Bruto]]*1.16</f>
        <v>163.13079999999999</v>
      </c>
      <c r="K1794" s="281">
        <f>+Tabla4[[#This Row],[Precio Unitario Neto]]*Tabla4[[#Headers],[20.85%]]</f>
        <v>34.012771799999996</v>
      </c>
      <c r="L1794" s="282">
        <f>++Tabla4[[#This Row],[Precio Unitario Neto]]-Tabla4[[#This Row],[20.85%]]</f>
        <v>129.1180282</v>
      </c>
      <c r="M1794" s="282" t="e">
        <f>(INDEX(Tabla6[#All],MATCH(Tabla4[[#This Row],[Producto]],Tabla6[[#All],[PRODUCTO]],0),MATCH(Tabla4[[#This Row],[Mes]],Tabla6[#Headers],0)))*(1+Catalogos!$L$2)</f>
        <v>#N/A</v>
      </c>
      <c r="N1794" s="283" t="e">
        <f>+(Tabla4[[#This Row],[Precio Descontado]]-Tabla4[[#This Row],[Precio Base]])*Tabla4[[#This Row],[Cantidad]]</f>
        <v>#N/A</v>
      </c>
      <c r="O1794" s="284" t="e">
        <f>++Tabla4[[#This Row],[Utilidad Total]]/Tabla4[[#This Row],[Total]]</f>
        <v>#N/A</v>
      </c>
      <c r="P1794" s="282">
        <f>++Tabla4[[#This Row],[Precio Descontado]]*Tabla4[[#This Row],[Cantidad]]</f>
        <v>3873.5408459999999</v>
      </c>
      <c r="Q1794" s="282" t="e">
        <f>(INDEX(Tabla6[#All],MATCH(Tabla4[[#This Row],[Producto]],Tabla6[[#All],[PRODUCTO]],0),MATCH(Tabla4[[#This Row],[Mes]],Tabla6[#Headers],0)))</f>
        <v>#N/A</v>
      </c>
      <c r="R1794" s="282" t="e">
        <f>++Tabla4[[#This Row],[Precio Unitario Neto]]-Tabla4[[#This Row],[20.85%]]-Tabla4[[#This Row],[Costo]]</f>
        <v>#N/A</v>
      </c>
      <c r="S1794" s="282" t="e">
        <f>++Tabla4[[#This Row],[U. Bruta Uni]]*Tabla4[[#This Row],[Cantidad]]</f>
        <v>#N/A</v>
      </c>
      <c r="T1794" s="369" t="str">
        <f>VLOOKUP(Tabla4[[#This Row],[Producto]],Tabla6[#All],14,FALSE)</f>
        <v>Termico Solar</v>
      </c>
      <c r="U1794" s="284" t="e">
        <f>(IF(Tabla4[[#This Row],[Familia]]="termico solar",Tabla4[[#This Row],[Utilidad Total]]*6%,Tabla4[[#This Row],[Utilidad Total]]*11.5%))/Tabla4[[#This Row],[Total]]</f>
        <v>#N/A</v>
      </c>
      <c r="V1794" s="282" t="e">
        <f>+Tabla4[[#This Row],[Comisión Calculada]]*Tabla4[[#This Row],[Total]]</f>
        <v>#N/A</v>
      </c>
    </row>
    <row r="1795" spans="1:22" hidden="1" x14ac:dyDescent="0.25">
      <c r="A1795" s="100">
        <v>45747</v>
      </c>
      <c r="B1795" t="str">
        <f t="shared" si="89"/>
        <v>March</v>
      </c>
      <c r="C1795" s="46" t="s">
        <v>280</v>
      </c>
      <c r="F1795" s="366" t="s">
        <v>1391</v>
      </c>
      <c r="G1795" s="46" t="s">
        <v>16</v>
      </c>
      <c r="H1795" s="46">
        <v>2</v>
      </c>
      <c r="I1795" s="51">
        <v>4103.8500000000004</v>
      </c>
      <c r="J1795" s="281">
        <f>++Tabla4[[#This Row],[Precio Bruto]]*1.16</f>
        <v>4760.4660000000003</v>
      </c>
      <c r="K1795" s="281">
        <f>+Tabla4[[#This Row],[Precio Unitario Neto]]*Tabla4[[#Headers],[20.85%]]</f>
        <v>992.55716100000006</v>
      </c>
      <c r="L1795" s="282">
        <f>++Tabla4[[#This Row],[Precio Unitario Neto]]-Tabla4[[#This Row],[20.85%]]</f>
        <v>3767.9088390000002</v>
      </c>
      <c r="M1795" s="282" t="e">
        <f>(INDEX(Tabla6[#All],MATCH(Tabla4[[#This Row],[Producto]],Tabla6[[#All],[PRODUCTO]],0),MATCH(Tabla4[[#This Row],[Mes]],Tabla6[#Headers],0)))*(1+Catalogos!$L$2)</f>
        <v>#N/A</v>
      </c>
      <c r="N1795" s="283" t="e">
        <f>+(Tabla4[[#This Row],[Precio Descontado]]-Tabla4[[#This Row],[Precio Base]])*Tabla4[[#This Row],[Cantidad]]</f>
        <v>#N/A</v>
      </c>
      <c r="O1795" s="284" t="e">
        <f>++Tabla4[[#This Row],[Utilidad Total]]/Tabla4[[#This Row],[Total]]</f>
        <v>#N/A</v>
      </c>
      <c r="P1795" s="282">
        <f>++Tabla4[[#This Row],[Precio Descontado]]*Tabla4[[#This Row],[Cantidad]]</f>
        <v>7535.8176780000003</v>
      </c>
      <c r="Q1795" s="282" t="e">
        <f>(INDEX(Tabla6[#All],MATCH(Tabla4[[#This Row],[Producto]],Tabla6[[#All],[PRODUCTO]],0),MATCH(Tabla4[[#This Row],[Mes]],Tabla6[#Headers],0)))</f>
        <v>#N/A</v>
      </c>
      <c r="R1795" s="282" t="e">
        <f>++Tabla4[[#This Row],[Precio Unitario Neto]]-Tabla4[[#This Row],[20.85%]]-Tabla4[[#This Row],[Costo]]</f>
        <v>#N/A</v>
      </c>
      <c r="S1795" s="282" t="e">
        <f>++Tabla4[[#This Row],[U. Bruta Uni]]*Tabla4[[#This Row],[Cantidad]]</f>
        <v>#N/A</v>
      </c>
      <c r="T1795" s="369" t="str">
        <f>VLOOKUP(Tabla4[[#This Row],[Producto]],Tabla6[#All],14,FALSE)</f>
        <v>Termico Solar</v>
      </c>
      <c r="U1795" s="284" t="e">
        <f>(IF(Tabla4[[#This Row],[Familia]]="termico solar",Tabla4[[#This Row],[Utilidad Total]]*6%,Tabla4[[#This Row],[Utilidad Total]]*11.5%))/Tabla4[[#This Row],[Total]]</f>
        <v>#N/A</v>
      </c>
      <c r="V1795" s="282" t="e">
        <f>+Tabla4[[#This Row],[Comisión Calculada]]*Tabla4[[#This Row],[Total]]</f>
        <v>#N/A</v>
      </c>
    </row>
    <row r="1796" spans="1:22" hidden="1" x14ac:dyDescent="0.25">
      <c r="A1796" s="100">
        <v>45747</v>
      </c>
      <c r="B1796" t="str">
        <f t="shared" ref="B1796:B1801" si="90">TEXT(A1796, "mmmm")</f>
        <v>March</v>
      </c>
      <c r="C1796" s="46" t="s">
        <v>280</v>
      </c>
      <c r="F1796" s="366" t="s">
        <v>1392</v>
      </c>
      <c r="G1796" s="46" t="s">
        <v>83</v>
      </c>
      <c r="H1796" s="46">
        <v>2</v>
      </c>
      <c r="I1796" s="51">
        <v>8858.76</v>
      </c>
      <c r="J1796" s="281">
        <f>++Tabla4[[#This Row],[Precio Bruto]]*1.16</f>
        <v>10276.161599999999</v>
      </c>
      <c r="K1796" s="281">
        <f>+Tabla4[[#This Row],[Precio Unitario Neto]]*Tabla4[[#Headers],[20.85%]]</f>
        <v>2142.5796935999997</v>
      </c>
      <c r="L1796" s="282">
        <f>++Tabla4[[#This Row],[Precio Unitario Neto]]-Tabla4[[#This Row],[20.85%]]</f>
        <v>8133.5819063999998</v>
      </c>
      <c r="M1796" s="282" t="e">
        <f>(INDEX(Tabla6[#All],MATCH(Tabla4[[#This Row],[Producto]],Tabla6[[#All],[PRODUCTO]],0),MATCH(Tabla4[[#This Row],[Mes]],Tabla6[#Headers],0)))*(1+Catalogos!$L$2)</f>
        <v>#N/A</v>
      </c>
      <c r="N1796" s="283" t="e">
        <f>+(Tabla4[[#This Row],[Precio Descontado]]-Tabla4[[#This Row],[Precio Base]])*Tabla4[[#This Row],[Cantidad]]</f>
        <v>#N/A</v>
      </c>
      <c r="O1796" s="284" t="e">
        <f>++Tabla4[[#This Row],[Utilidad Total]]/Tabla4[[#This Row],[Total]]</f>
        <v>#N/A</v>
      </c>
      <c r="P1796" s="282">
        <f>++Tabla4[[#This Row],[Precio Descontado]]*Tabla4[[#This Row],[Cantidad]]</f>
        <v>16267.1638128</v>
      </c>
      <c r="Q1796" s="282" t="e">
        <f>(INDEX(Tabla6[#All],MATCH(Tabla4[[#This Row],[Producto]],Tabla6[[#All],[PRODUCTO]],0),MATCH(Tabla4[[#This Row],[Mes]],Tabla6[#Headers],0)))</f>
        <v>#N/A</v>
      </c>
      <c r="R1796" s="282" t="e">
        <f>++Tabla4[[#This Row],[Precio Unitario Neto]]-Tabla4[[#This Row],[20.85%]]-Tabla4[[#This Row],[Costo]]</f>
        <v>#N/A</v>
      </c>
      <c r="S1796" s="282" t="e">
        <f>++Tabla4[[#This Row],[U. Bruta Uni]]*Tabla4[[#This Row],[Cantidad]]</f>
        <v>#N/A</v>
      </c>
      <c r="T1796" s="369" t="str">
        <f>VLOOKUP(Tabla4[[#This Row],[Producto]],Tabla6[#All],14,FALSE)</f>
        <v>Termico Solar</v>
      </c>
      <c r="U1796" s="284" t="e">
        <f>(IF(Tabla4[[#This Row],[Familia]]="termico solar",Tabla4[[#This Row],[Utilidad Total]]*6%,Tabla4[[#This Row],[Utilidad Total]]*11.5%))/Tabla4[[#This Row],[Total]]</f>
        <v>#N/A</v>
      </c>
      <c r="V1796" s="282" t="e">
        <f>+Tabla4[[#This Row],[Comisión Calculada]]*Tabla4[[#This Row],[Total]]</f>
        <v>#N/A</v>
      </c>
    </row>
    <row r="1797" spans="1:22" hidden="1" x14ac:dyDescent="0.25">
      <c r="A1797" s="100">
        <v>45747</v>
      </c>
      <c r="B1797" t="str">
        <f t="shared" si="90"/>
        <v>March</v>
      </c>
      <c r="C1797" s="46" t="s">
        <v>280</v>
      </c>
      <c r="F1797" s="366" t="s">
        <v>1392</v>
      </c>
      <c r="G1797" s="46" t="s">
        <v>17</v>
      </c>
      <c r="H1797" s="46">
        <v>4</v>
      </c>
      <c r="I1797" s="51">
        <v>4622.28</v>
      </c>
      <c r="J1797" s="281">
        <f>++Tabla4[[#This Row],[Precio Bruto]]*1.16</f>
        <v>5361.8447999999989</v>
      </c>
      <c r="K1797" s="281">
        <f>+Tabla4[[#This Row],[Precio Unitario Neto]]*Tabla4[[#Headers],[20.85%]]</f>
        <v>1117.9446407999997</v>
      </c>
      <c r="L1797" s="282">
        <f>++Tabla4[[#This Row],[Precio Unitario Neto]]-Tabla4[[#This Row],[20.85%]]</f>
        <v>4243.9001591999995</v>
      </c>
      <c r="M1797" s="282" t="e">
        <f>(INDEX(Tabla6[#All],MATCH(Tabla4[[#This Row],[Producto]],Tabla6[[#All],[PRODUCTO]],0),MATCH(Tabla4[[#This Row],[Mes]],Tabla6[#Headers],0)))*(1+Catalogos!$L$2)</f>
        <v>#N/A</v>
      </c>
      <c r="N1797" s="283" t="e">
        <f>+(Tabla4[[#This Row],[Precio Descontado]]-Tabla4[[#This Row],[Precio Base]])*Tabla4[[#This Row],[Cantidad]]</f>
        <v>#N/A</v>
      </c>
      <c r="O1797" s="284" t="e">
        <f>++Tabla4[[#This Row],[Utilidad Total]]/Tabla4[[#This Row],[Total]]</f>
        <v>#N/A</v>
      </c>
      <c r="P1797" s="282">
        <f>++Tabla4[[#This Row],[Precio Descontado]]*Tabla4[[#This Row],[Cantidad]]</f>
        <v>16975.600636799998</v>
      </c>
      <c r="Q1797" s="282" t="e">
        <f>(INDEX(Tabla6[#All],MATCH(Tabla4[[#This Row],[Producto]],Tabla6[[#All],[PRODUCTO]],0),MATCH(Tabla4[[#This Row],[Mes]],Tabla6[#Headers],0)))</f>
        <v>#N/A</v>
      </c>
      <c r="R1797" s="282" t="e">
        <f>++Tabla4[[#This Row],[Precio Unitario Neto]]-Tabla4[[#This Row],[20.85%]]-Tabla4[[#This Row],[Costo]]</f>
        <v>#N/A</v>
      </c>
      <c r="S1797" s="282" t="e">
        <f>++Tabla4[[#This Row],[U. Bruta Uni]]*Tabla4[[#This Row],[Cantidad]]</f>
        <v>#N/A</v>
      </c>
      <c r="T1797" s="369" t="str">
        <f>VLOOKUP(Tabla4[[#This Row],[Producto]],Tabla6[#All],14,FALSE)</f>
        <v>Termico Solar</v>
      </c>
      <c r="U1797" s="284" t="e">
        <f>(IF(Tabla4[[#This Row],[Familia]]="termico solar",Tabla4[[#This Row],[Utilidad Total]]*6%,Tabla4[[#This Row],[Utilidad Total]]*11.5%))/Tabla4[[#This Row],[Total]]</f>
        <v>#N/A</v>
      </c>
      <c r="V1797" s="282" t="e">
        <f>+Tabla4[[#This Row],[Comisión Calculada]]*Tabla4[[#This Row],[Total]]</f>
        <v>#N/A</v>
      </c>
    </row>
    <row r="1798" spans="1:22" hidden="1" x14ac:dyDescent="0.25">
      <c r="A1798" s="100">
        <v>45747</v>
      </c>
      <c r="B1798" t="str">
        <f t="shared" si="90"/>
        <v>March</v>
      </c>
      <c r="C1798" s="46" t="s">
        <v>280</v>
      </c>
      <c r="F1798" s="366" t="s">
        <v>1392</v>
      </c>
      <c r="G1798" s="46" t="s">
        <v>208</v>
      </c>
      <c r="H1798" s="46">
        <v>15</v>
      </c>
      <c r="I1798" s="51">
        <v>140.63</v>
      </c>
      <c r="J1798" s="281">
        <f>++Tabla4[[#This Row],[Precio Bruto]]*1.16</f>
        <v>163.13079999999999</v>
      </c>
      <c r="K1798" s="281">
        <f>+Tabla4[[#This Row],[Precio Unitario Neto]]*Tabla4[[#Headers],[20.85%]]</f>
        <v>34.012771799999996</v>
      </c>
      <c r="L1798" s="282">
        <f>++Tabla4[[#This Row],[Precio Unitario Neto]]-Tabla4[[#This Row],[20.85%]]</f>
        <v>129.1180282</v>
      </c>
      <c r="M1798" s="282" t="e">
        <f>(INDEX(Tabla6[#All],MATCH(Tabla4[[#This Row],[Producto]],Tabla6[[#All],[PRODUCTO]],0),MATCH(Tabla4[[#This Row],[Mes]],Tabla6[#Headers],0)))*(1+Catalogos!$L$2)</f>
        <v>#N/A</v>
      </c>
      <c r="N1798" s="283" t="e">
        <f>+(Tabla4[[#This Row],[Precio Descontado]]-Tabla4[[#This Row],[Precio Base]])*Tabla4[[#This Row],[Cantidad]]</f>
        <v>#N/A</v>
      </c>
      <c r="O1798" s="284" t="e">
        <f>++Tabla4[[#This Row],[Utilidad Total]]/Tabla4[[#This Row],[Total]]</f>
        <v>#N/A</v>
      </c>
      <c r="P1798" s="282">
        <f>++Tabla4[[#This Row],[Precio Descontado]]*Tabla4[[#This Row],[Cantidad]]</f>
        <v>1936.7704229999999</v>
      </c>
      <c r="Q1798" s="282" t="e">
        <f>(INDEX(Tabla6[#All],MATCH(Tabla4[[#This Row],[Producto]],Tabla6[[#All],[PRODUCTO]],0),MATCH(Tabla4[[#This Row],[Mes]],Tabla6[#Headers],0)))</f>
        <v>#N/A</v>
      </c>
      <c r="R1798" s="282" t="e">
        <f>++Tabla4[[#This Row],[Precio Unitario Neto]]-Tabla4[[#This Row],[20.85%]]-Tabla4[[#This Row],[Costo]]</f>
        <v>#N/A</v>
      </c>
      <c r="S1798" s="282" t="e">
        <f>++Tabla4[[#This Row],[U. Bruta Uni]]*Tabla4[[#This Row],[Cantidad]]</f>
        <v>#N/A</v>
      </c>
      <c r="T1798" s="369" t="str">
        <f>VLOOKUP(Tabla4[[#This Row],[Producto]],Tabla6[#All],14,FALSE)</f>
        <v>Termico Solar</v>
      </c>
      <c r="U1798" s="284" t="e">
        <f>(IF(Tabla4[[#This Row],[Familia]]="termico solar",Tabla4[[#This Row],[Utilidad Total]]*6%,Tabla4[[#This Row],[Utilidad Total]]*11.5%))/Tabla4[[#This Row],[Total]]</f>
        <v>#N/A</v>
      </c>
      <c r="V1798" s="282" t="e">
        <f>+Tabla4[[#This Row],[Comisión Calculada]]*Tabla4[[#This Row],[Total]]</f>
        <v>#N/A</v>
      </c>
    </row>
    <row r="1799" spans="1:22" hidden="1" x14ac:dyDescent="0.25">
      <c r="A1799" s="100">
        <v>45747</v>
      </c>
      <c r="B1799" t="str">
        <f t="shared" si="90"/>
        <v>March</v>
      </c>
      <c r="C1799" s="46" t="s">
        <v>280</v>
      </c>
      <c r="F1799" s="366" t="s">
        <v>1392</v>
      </c>
      <c r="G1799" s="46" t="s">
        <v>394</v>
      </c>
      <c r="H1799" s="46">
        <v>16</v>
      </c>
      <c r="I1799" s="51">
        <v>224.29</v>
      </c>
      <c r="J1799" s="281">
        <f>++Tabla4[[#This Row],[Precio Bruto]]*1.16</f>
        <v>260.1764</v>
      </c>
      <c r="K1799" s="281">
        <f>+Tabla4[[#This Row],[Precio Unitario Neto]]*Tabla4[[#Headers],[20.85%]]</f>
        <v>54.246779400000001</v>
      </c>
      <c r="L1799" s="282">
        <f>++Tabla4[[#This Row],[Precio Unitario Neto]]-Tabla4[[#This Row],[20.85%]]</f>
        <v>205.92962059999999</v>
      </c>
      <c r="M1799" s="282" t="e">
        <f>(INDEX(Tabla6[#All],MATCH(Tabla4[[#This Row],[Producto]],Tabla6[[#All],[PRODUCTO]],0),MATCH(Tabla4[[#This Row],[Mes]],Tabla6[#Headers],0)))*(1+Catalogos!$L$2)</f>
        <v>#N/A</v>
      </c>
      <c r="N1799" s="283" t="e">
        <f>+(Tabla4[[#This Row],[Precio Descontado]]-Tabla4[[#This Row],[Precio Base]])*Tabla4[[#This Row],[Cantidad]]</f>
        <v>#N/A</v>
      </c>
      <c r="O1799" s="284" t="e">
        <f>++Tabla4[[#This Row],[Utilidad Total]]/Tabla4[[#This Row],[Total]]</f>
        <v>#N/A</v>
      </c>
      <c r="P1799" s="282">
        <f>++Tabla4[[#This Row],[Precio Descontado]]*Tabla4[[#This Row],[Cantidad]]</f>
        <v>3294.8739295999999</v>
      </c>
      <c r="Q1799" s="282" t="e">
        <f>(INDEX(Tabla6[#All],MATCH(Tabla4[[#This Row],[Producto]],Tabla6[[#All],[PRODUCTO]],0),MATCH(Tabla4[[#This Row],[Mes]],Tabla6[#Headers],0)))</f>
        <v>#N/A</v>
      </c>
      <c r="R1799" s="282" t="e">
        <f>++Tabla4[[#This Row],[Precio Unitario Neto]]-Tabla4[[#This Row],[20.85%]]-Tabla4[[#This Row],[Costo]]</f>
        <v>#N/A</v>
      </c>
      <c r="S1799" s="282" t="e">
        <f>++Tabla4[[#This Row],[U. Bruta Uni]]*Tabla4[[#This Row],[Cantidad]]</f>
        <v>#N/A</v>
      </c>
      <c r="T1799" s="369" t="str">
        <f>VLOOKUP(Tabla4[[#This Row],[Producto]],Tabla6[#All],14,FALSE)</f>
        <v>Termico Solar</v>
      </c>
      <c r="U1799" s="284" t="e">
        <f>(IF(Tabla4[[#This Row],[Familia]]="termico solar",Tabla4[[#This Row],[Utilidad Total]]*6%,Tabla4[[#This Row],[Utilidad Total]]*11.5%))/Tabla4[[#This Row],[Total]]</f>
        <v>#N/A</v>
      </c>
      <c r="V1799" s="282" t="e">
        <f>+Tabla4[[#This Row],[Comisión Calculada]]*Tabla4[[#This Row],[Total]]</f>
        <v>#N/A</v>
      </c>
    </row>
    <row r="1800" spans="1:22" hidden="1" x14ac:dyDescent="0.25">
      <c r="A1800" s="100">
        <v>45747</v>
      </c>
      <c r="B1800" t="str">
        <f t="shared" si="90"/>
        <v>March</v>
      </c>
      <c r="C1800" s="46" t="s">
        <v>280</v>
      </c>
      <c r="F1800" s="366" t="s">
        <v>1392</v>
      </c>
      <c r="G1800" s="46" t="s">
        <v>555</v>
      </c>
      <c r="H1800" s="46">
        <v>8</v>
      </c>
      <c r="I1800" s="51">
        <v>389.47</v>
      </c>
      <c r="J1800" s="281">
        <f>++Tabla4[[#This Row],[Precio Bruto]]*1.16</f>
        <v>451.78519999999997</v>
      </c>
      <c r="K1800" s="281">
        <f>+Tabla4[[#This Row],[Precio Unitario Neto]]*Tabla4[[#Headers],[20.85%]]</f>
        <v>94.197214199999991</v>
      </c>
      <c r="L1800" s="282">
        <f>++Tabla4[[#This Row],[Precio Unitario Neto]]-Tabla4[[#This Row],[20.85%]]</f>
        <v>357.58798579999996</v>
      </c>
      <c r="M1800" s="282" t="e">
        <f>(INDEX(Tabla6[#All],MATCH(Tabla4[[#This Row],[Producto]],Tabla6[[#All],[PRODUCTO]],0),MATCH(Tabla4[[#This Row],[Mes]],Tabla6[#Headers],0)))*(1+Catalogos!$L$2)</f>
        <v>#N/A</v>
      </c>
      <c r="N1800" s="283" t="e">
        <f>+(Tabla4[[#This Row],[Precio Descontado]]-Tabla4[[#This Row],[Precio Base]])*Tabla4[[#This Row],[Cantidad]]</f>
        <v>#N/A</v>
      </c>
      <c r="O1800" s="284" t="e">
        <f>++Tabla4[[#This Row],[Utilidad Total]]/Tabla4[[#This Row],[Total]]</f>
        <v>#N/A</v>
      </c>
      <c r="P1800" s="282">
        <f>++Tabla4[[#This Row],[Precio Descontado]]*Tabla4[[#This Row],[Cantidad]]</f>
        <v>2860.7038863999996</v>
      </c>
      <c r="Q1800" s="282" t="e">
        <f>(INDEX(Tabla6[#All],MATCH(Tabla4[[#This Row],[Producto]],Tabla6[[#All],[PRODUCTO]],0),MATCH(Tabla4[[#This Row],[Mes]],Tabla6[#Headers],0)))</f>
        <v>#N/A</v>
      </c>
      <c r="R1800" s="282" t="e">
        <f>++Tabla4[[#This Row],[Precio Unitario Neto]]-Tabla4[[#This Row],[20.85%]]-Tabla4[[#This Row],[Costo]]</f>
        <v>#N/A</v>
      </c>
      <c r="S1800" s="282" t="e">
        <f>++Tabla4[[#This Row],[U. Bruta Uni]]*Tabla4[[#This Row],[Cantidad]]</f>
        <v>#N/A</v>
      </c>
      <c r="T1800" s="369" t="str">
        <f>VLOOKUP(Tabla4[[#This Row],[Producto]],Tabla6[#All],14,FALSE)</f>
        <v>Termico Solar</v>
      </c>
      <c r="U1800" s="284" t="e">
        <f>(IF(Tabla4[[#This Row],[Familia]]="termico solar",Tabla4[[#This Row],[Utilidad Total]]*6%,Tabla4[[#This Row],[Utilidad Total]]*11.5%))/Tabla4[[#This Row],[Total]]</f>
        <v>#N/A</v>
      </c>
      <c r="V1800" s="282" t="e">
        <f>+Tabla4[[#This Row],[Comisión Calculada]]*Tabla4[[#This Row],[Total]]</f>
        <v>#N/A</v>
      </c>
    </row>
    <row r="1801" spans="1:22" hidden="1" x14ac:dyDescent="0.25">
      <c r="A1801" s="100">
        <v>45747</v>
      </c>
      <c r="B1801" t="str">
        <f t="shared" si="90"/>
        <v>March</v>
      </c>
      <c r="C1801" s="46" t="s">
        <v>280</v>
      </c>
      <c r="F1801" s="366" t="s">
        <v>1392</v>
      </c>
      <c r="G1801" s="46" t="s">
        <v>208</v>
      </c>
      <c r="H1801" s="46">
        <v>2</v>
      </c>
      <c r="I1801" s="51">
        <v>189.75</v>
      </c>
      <c r="J1801" s="281">
        <f>++Tabla4[[#This Row],[Precio Bruto]]*1.16</f>
        <v>220.10999999999999</v>
      </c>
      <c r="K1801" s="281">
        <f>+Tabla4[[#This Row],[Precio Unitario Neto]]*Tabla4[[#Headers],[20.85%]]</f>
        <v>45.892934999999994</v>
      </c>
      <c r="L1801" s="282">
        <f>++Tabla4[[#This Row],[Precio Unitario Neto]]-Tabla4[[#This Row],[20.85%]]</f>
        <v>174.21706499999999</v>
      </c>
      <c r="M1801" s="282" t="e">
        <f>(INDEX(Tabla6[#All],MATCH(Tabla4[[#This Row],[Producto]],Tabla6[[#All],[PRODUCTO]],0),MATCH(Tabla4[[#This Row],[Mes]],Tabla6[#Headers],0)))*(1+Catalogos!$L$2)</f>
        <v>#N/A</v>
      </c>
      <c r="N1801" s="283" t="e">
        <f>+(Tabla4[[#This Row],[Precio Descontado]]-Tabla4[[#This Row],[Precio Base]])*Tabla4[[#This Row],[Cantidad]]</f>
        <v>#N/A</v>
      </c>
      <c r="O1801" s="284" t="e">
        <f>++Tabla4[[#This Row],[Utilidad Total]]/Tabla4[[#This Row],[Total]]</f>
        <v>#N/A</v>
      </c>
      <c r="P1801" s="282">
        <f>++Tabla4[[#This Row],[Precio Descontado]]*Tabla4[[#This Row],[Cantidad]]</f>
        <v>348.43412999999998</v>
      </c>
      <c r="Q1801" s="282" t="e">
        <f>(INDEX(Tabla6[#All],MATCH(Tabla4[[#This Row],[Producto]],Tabla6[[#All],[PRODUCTO]],0),MATCH(Tabla4[[#This Row],[Mes]],Tabla6[#Headers],0)))</f>
        <v>#N/A</v>
      </c>
      <c r="R1801" s="282" t="e">
        <f>++Tabla4[[#This Row],[Precio Unitario Neto]]-Tabla4[[#This Row],[20.85%]]-Tabla4[[#This Row],[Costo]]</f>
        <v>#N/A</v>
      </c>
      <c r="S1801" s="282" t="e">
        <f>++Tabla4[[#This Row],[U. Bruta Uni]]*Tabla4[[#This Row],[Cantidad]]</f>
        <v>#N/A</v>
      </c>
      <c r="T1801" s="369" t="str">
        <f>VLOOKUP(Tabla4[[#This Row],[Producto]],Tabla6[#All],14,FALSE)</f>
        <v>Termico Solar</v>
      </c>
      <c r="U1801" s="284" t="e">
        <f>(IF(Tabla4[[#This Row],[Familia]]="termico solar",Tabla4[[#This Row],[Utilidad Total]]*6%,Tabla4[[#This Row],[Utilidad Total]]*11.5%))/Tabla4[[#This Row],[Total]]</f>
        <v>#N/A</v>
      </c>
      <c r="V1801" s="282" t="e">
        <f>+Tabla4[[#This Row],[Comisión Calculada]]*Tabla4[[#This Row],[Total]]</f>
        <v>#N/A</v>
      </c>
    </row>
    <row r="1802" spans="1:22" hidden="1" x14ac:dyDescent="0.25">
      <c r="A1802" s="100">
        <v>45762</v>
      </c>
      <c r="B1802" t="str">
        <f t="shared" ref="B1802:B1807" si="91">TEXT(A1802, "mmmm")</f>
        <v>April</v>
      </c>
      <c r="C1802" s="46" t="s">
        <v>280</v>
      </c>
      <c r="F1802" s="366" t="s">
        <v>1396</v>
      </c>
      <c r="G1802" s="46" t="s">
        <v>394</v>
      </c>
      <c r="H1802" s="46">
        <v>16</v>
      </c>
      <c r="I1802" s="51">
        <v>224.29</v>
      </c>
      <c r="J1802" s="281">
        <f>++Tabla4[[#This Row],[Precio Bruto]]*1.16</f>
        <v>260.1764</v>
      </c>
      <c r="K1802" s="281">
        <f>+Tabla4[[#This Row],[Precio Unitario Neto]]*Tabla4[[#Headers],[20.85%]]</f>
        <v>54.246779400000001</v>
      </c>
      <c r="L1802" s="282">
        <f>++Tabla4[[#This Row],[Precio Unitario Neto]]-Tabla4[[#This Row],[20.85%]]</f>
        <v>205.92962059999999</v>
      </c>
      <c r="M1802" s="282" t="e">
        <f>(INDEX(Tabla6[#All],MATCH(Tabla4[[#This Row],[Producto]],Tabla6[[#All],[PRODUCTO]],0),MATCH(Tabla4[[#This Row],[Mes]],Tabla6[#Headers],0)))*(1+Catalogos!$L$2)</f>
        <v>#N/A</v>
      </c>
      <c r="N1802" s="283" t="e">
        <f>+(Tabla4[[#This Row],[Precio Descontado]]-Tabla4[[#This Row],[Precio Base]])*Tabla4[[#This Row],[Cantidad]]</f>
        <v>#N/A</v>
      </c>
      <c r="O1802" s="284" t="e">
        <f>++Tabla4[[#This Row],[Utilidad Total]]/Tabla4[[#This Row],[Total]]</f>
        <v>#N/A</v>
      </c>
      <c r="P1802" s="282">
        <f>++Tabla4[[#This Row],[Precio Descontado]]*Tabla4[[#This Row],[Cantidad]]</f>
        <v>3294.8739295999999</v>
      </c>
      <c r="Q1802" s="282" t="e">
        <f>(INDEX(Tabla6[#All],MATCH(Tabla4[[#This Row],[Producto]],Tabla6[[#All],[PRODUCTO]],0),MATCH(Tabla4[[#This Row],[Mes]],Tabla6[#Headers],0)))</f>
        <v>#N/A</v>
      </c>
      <c r="R1802" s="282" t="e">
        <f>++Tabla4[[#This Row],[Precio Unitario Neto]]-Tabla4[[#This Row],[20.85%]]-Tabla4[[#This Row],[Costo]]</f>
        <v>#N/A</v>
      </c>
      <c r="S1802" s="282" t="e">
        <f>++Tabla4[[#This Row],[U. Bruta Uni]]*Tabla4[[#This Row],[Cantidad]]</f>
        <v>#N/A</v>
      </c>
      <c r="T1802" s="369" t="str">
        <f>VLOOKUP(Tabla4[[#This Row],[Producto]],Tabla6[#All],14,FALSE)</f>
        <v>Termico Solar</v>
      </c>
      <c r="U1802" s="284" t="e">
        <f>(IF(Tabla4[[#This Row],[Familia]]="termico solar",Tabla4[[#This Row],[Utilidad Total]]*6%,Tabla4[[#This Row],[Utilidad Total]]*11.5%))/Tabla4[[#This Row],[Total]]</f>
        <v>#N/A</v>
      </c>
      <c r="V1802" s="282" t="e">
        <f>+Tabla4[[#This Row],[Comisión Calculada]]*Tabla4[[#This Row],[Total]]</f>
        <v>#N/A</v>
      </c>
    </row>
    <row r="1803" spans="1:22" hidden="1" x14ac:dyDescent="0.25">
      <c r="A1803" s="100">
        <v>45762</v>
      </c>
      <c r="B1803" t="str">
        <f t="shared" si="91"/>
        <v>April</v>
      </c>
      <c r="C1803" s="46" t="s">
        <v>280</v>
      </c>
      <c r="F1803" s="366" t="s">
        <v>1396</v>
      </c>
      <c r="G1803" s="46" t="s">
        <v>200</v>
      </c>
      <c r="H1803" s="46">
        <v>15</v>
      </c>
      <c r="I1803" s="51">
        <v>393.22</v>
      </c>
      <c r="J1803" s="281">
        <f>++Tabla4[[#This Row],[Precio Bruto]]*1.16</f>
        <v>456.1352</v>
      </c>
      <c r="K1803" s="281">
        <f>+Tabla4[[#This Row],[Precio Unitario Neto]]*Tabla4[[#Headers],[20.85%]]</f>
        <v>95.104189199999993</v>
      </c>
      <c r="L1803" s="282">
        <f>++Tabla4[[#This Row],[Precio Unitario Neto]]-Tabla4[[#This Row],[20.85%]]</f>
        <v>361.03101079999999</v>
      </c>
      <c r="M1803" s="282" t="e">
        <f>(INDEX(Tabla6[#All],MATCH(Tabla4[[#This Row],[Producto]],Tabla6[[#All],[PRODUCTO]],0),MATCH(Tabla4[[#This Row],[Mes]],Tabla6[#Headers],0)))*(1+Catalogos!$L$2)</f>
        <v>#N/A</v>
      </c>
      <c r="N1803" s="283" t="e">
        <f>+(Tabla4[[#This Row],[Precio Descontado]]-Tabla4[[#This Row],[Precio Base]])*Tabla4[[#This Row],[Cantidad]]</f>
        <v>#N/A</v>
      </c>
      <c r="O1803" s="284" t="e">
        <f>++Tabla4[[#This Row],[Utilidad Total]]/Tabla4[[#This Row],[Total]]</f>
        <v>#N/A</v>
      </c>
      <c r="P1803" s="282">
        <f>++Tabla4[[#This Row],[Precio Descontado]]*Tabla4[[#This Row],[Cantidad]]</f>
        <v>5415.4651619999995</v>
      </c>
      <c r="Q1803" s="282" t="e">
        <f>(INDEX(Tabla6[#All],MATCH(Tabla4[[#This Row],[Producto]],Tabla6[[#All],[PRODUCTO]],0),MATCH(Tabla4[[#This Row],[Mes]],Tabla6[#Headers],0)))</f>
        <v>#N/A</v>
      </c>
      <c r="R1803" s="282" t="e">
        <f>++Tabla4[[#This Row],[Precio Unitario Neto]]-Tabla4[[#This Row],[20.85%]]-Tabla4[[#This Row],[Costo]]</f>
        <v>#N/A</v>
      </c>
      <c r="S1803" s="282" t="e">
        <f>++Tabla4[[#This Row],[U. Bruta Uni]]*Tabla4[[#This Row],[Cantidad]]</f>
        <v>#N/A</v>
      </c>
      <c r="T1803" s="369" t="str">
        <f>VLOOKUP(Tabla4[[#This Row],[Producto]],Tabla6[#All],14,FALSE)</f>
        <v>Termico Solar</v>
      </c>
      <c r="U1803" s="284" t="e">
        <f>(IF(Tabla4[[#This Row],[Familia]]="termico solar",Tabla4[[#This Row],[Utilidad Total]]*6%,Tabla4[[#This Row],[Utilidad Total]]*11.5%))/Tabla4[[#This Row],[Total]]</f>
        <v>#N/A</v>
      </c>
      <c r="V1803" s="282" t="e">
        <f>+Tabla4[[#This Row],[Comisión Calculada]]*Tabla4[[#This Row],[Total]]</f>
        <v>#N/A</v>
      </c>
    </row>
    <row r="1804" spans="1:22" hidden="1" x14ac:dyDescent="0.25">
      <c r="A1804" s="100">
        <v>45762</v>
      </c>
      <c r="B1804" t="str">
        <f t="shared" si="91"/>
        <v>April</v>
      </c>
      <c r="C1804" s="46" t="s">
        <v>280</v>
      </c>
      <c r="F1804" s="366" t="s">
        <v>1396</v>
      </c>
      <c r="G1804" s="46" t="s">
        <v>555</v>
      </c>
      <c r="H1804" s="46">
        <v>8</v>
      </c>
      <c r="I1804" s="51">
        <v>389.47</v>
      </c>
      <c r="J1804" s="281">
        <f>++Tabla4[[#This Row],[Precio Bruto]]*1.16</f>
        <v>451.78519999999997</v>
      </c>
      <c r="K1804" s="281">
        <f>+Tabla4[[#This Row],[Precio Unitario Neto]]*Tabla4[[#Headers],[20.85%]]</f>
        <v>94.197214199999991</v>
      </c>
      <c r="L1804" s="282">
        <f>++Tabla4[[#This Row],[Precio Unitario Neto]]-Tabla4[[#This Row],[20.85%]]</f>
        <v>357.58798579999996</v>
      </c>
      <c r="M1804" s="282" t="e">
        <f>(INDEX(Tabla6[#All],MATCH(Tabla4[[#This Row],[Producto]],Tabla6[[#All],[PRODUCTO]],0),MATCH(Tabla4[[#This Row],[Mes]],Tabla6[#Headers],0)))*(1+Catalogos!$L$2)</f>
        <v>#N/A</v>
      </c>
      <c r="N1804" s="283" t="e">
        <f>+(Tabla4[[#This Row],[Precio Descontado]]-Tabla4[[#This Row],[Precio Base]])*Tabla4[[#This Row],[Cantidad]]</f>
        <v>#N/A</v>
      </c>
      <c r="O1804" s="284" t="e">
        <f>++Tabla4[[#This Row],[Utilidad Total]]/Tabla4[[#This Row],[Total]]</f>
        <v>#N/A</v>
      </c>
      <c r="P1804" s="282">
        <f>++Tabla4[[#This Row],[Precio Descontado]]*Tabla4[[#This Row],[Cantidad]]</f>
        <v>2860.7038863999996</v>
      </c>
      <c r="Q1804" s="282" t="e">
        <f>(INDEX(Tabla6[#All],MATCH(Tabla4[[#This Row],[Producto]],Tabla6[[#All],[PRODUCTO]],0),MATCH(Tabla4[[#This Row],[Mes]],Tabla6[#Headers],0)))</f>
        <v>#N/A</v>
      </c>
      <c r="R1804" s="282" t="e">
        <f>++Tabla4[[#This Row],[Precio Unitario Neto]]-Tabla4[[#This Row],[20.85%]]-Tabla4[[#This Row],[Costo]]</f>
        <v>#N/A</v>
      </c>
      <c r="S1804" s="282" t="e">
        <f>++Tabla4[[#This Row],[U. Bruta Uni]]*Tabla4[[#This Row],[Cantidad]]</f>
        <v>#N/A</v>
      </c>
      <c r="T1804" s="369" t="str">
        <f>VLOOKUP(Tabla4[[#This Row],[Producto]],Tabla6[#All],14,FALSE)</f>
        <v>Termico Solar</v>
      </c>
      <c r="U1804" s="284" t="e">
        <f>(IF(Tabla4[[#This Row],[Familia]]="termico solar",Tabla4[[#This Row],[Utilidad Total]]*6%,Tabla4[[#This Row],[Utilidad Total]]*11.5%))/Tabla4[[#This Row],[Total]]</f>
        <v>#N/A</v>
      </c>
      <c r="V1804" s="282" t="e">
        <f>+Tabla4[[#This Row],[Comisión Calculada]]*Tabla4[[#This Row],[Total]]</f>
        <v>#N/A</v>
      </c>
    </row>
    <row r="1805" spans="1:22" hidden="1" x14ac:dyDescent="0.25">
      <c r="A1805" s="100">
        <v>45762</v>
      </c>
      <c r="B1805" t="str">
        <f t="shared" si="91"/>
        <v>April</v>
      </c>
      <c r="C1805" s="46" t="s">
        <v>280</v>
      </c>
      <c r="F1805" s="366" t="s">
        <v>1396</v>
      </c>
      <c r="G1805" s="46" t="s">
        <v>545</v>
      </c>
      <c r="H1805" s="46">
        <v>24</v>
      </c>
      <c r="I1805" s="51">
        <v>304.32</v>
      </c>
      <c r="J1805" s="281">
        <f>++Tabla4[[#This Row],[Precio Bruto]]*1.16</f>
        <v>353.01119999999997</v>
      </c>
      <c r="K1805" s="281">
        <f>+Tabla4[[#This Row],[Precio Unitario Neto]]*Tabla4[[#Headers],[20.85%]]</f>
        <v>73.602835199999987</v>
      </c>
      <c r="L1805" s="282">
        <f>++Tabla4[[#This Row],[Precio Unitario Neto]]-Tabla4[[#This Row],[20.85%]]</f>
        <v>279.40836479999996</v>
      </c>
      <c r="M1805" s="282" t="e">
        <f>(INDEX(Tabla6[#All],MATCH(Tabla4[[#This Row],[Producto]],Tabla6[[#All],[PRODUCTO]],0),MATCH(Tabla4[[#This Row],[Mes]],Tabla6[#Headers],0)))*(1+Catalogos!$L$2)</f>
        <v>#N/A</v>
      </c>
      <c r="N1805" s="283" t="e">
        <f>+(Tabla4[[#This Row],[Precio Descontado]]-Tabla4[[#This Row],[Precio Base]])*Tabla4[[#This Row],[Cantidad]]</f>
        <v>#N/A</v>
      </c>
      <c r="O1805" s="284" t="e">
        <f>++Tabla4[[#This Row],[Utilidad Total]]/Tabla4[[#This Row],[Total]]</f>
        <v>#N/A</v>
      </c>
      <c r="P1805" s="282">
        <f>++Tabla4[[#This Row],[Precio Descontado]]*Tabla4[[#This Row],[Cantidad]]</f>
        <v>6705.800755199999</v>
      </c>
      <c r="Q1805" s="282" t="e">
        <f>(INDEX(Tabla6[#All],MATCH(Tabla4[[#This Row],[Producto]],Tabla6[[#All],[PRODUCTO]],0),MATCH(Tabla4[[#This Row],[Mes]],Tabla6[#Headers],0)))</f>
        <v>#N/A</v>
      </c>
      <c r="R1805" s="282" t="e">
        <f>++Tabla4[[#This Row],[Precio Unitario Neto]]-Tabla4[[#This Row],[20.85%]]-Tabla4[[#This Row],[Costo]]</f>
        <v>#N/A</v>
      </c>
      <c r="S1805" s="282" t="e">
        <f>++Tabla4[[#This Row],[U. Bruta Uni]]*Tabla4[[#This Row],[Cantidad]]</f>
        <v>#N/A</v>
      </c>
      <c r="T1805" s="369" t="str">
        <f>VLOOKUP(Tabla4[[#This Row],[Producto]],Tabla6[#All],14,FALSE)</f>
        <v>Termico Solar</v>
      </c>
      <c r="U1805" s="284" t="e">
        <f>(IF(Tabla4[[#This Row],[Familia]]="termico solar",Tabla4[[#This Row],[Utilidad Total]]*6%,Tabla4[[#This Row],[Utilidad Total]]*11.5%))/Tabla4[[#This Row],[Total]]</f>
        <v>#N/A</v>
      </c>
      <c r="V1805" s="282" t="e">
        <f>+Tabla4[[#This Row],[Comisión Calculada]]*Tabla4[[#This Row],[Total]]</f>
        <v>#N/A</v>
      </c>
    </row>
    <row r="1806" spans="1:22" hidden="1" x14ac:dyDescent="0.25">
      <c r="A1806" s="100">
        <v>45762</v>
      </c>
      <c r="B1806" t="str">
        <f t="shared" si="91"/>
        <v>April</v>
      </c>
      <c r="C1806" s="46" t="s">
        <v>280</v>
      </c>
      <c r="F1806" s="366" t="s">
        <v>1396</v>
      </c>
      <c r="G1806" s="46" t="s">
        <v>208</v>
      </c>
      <c r="H1806" s="46">
        <v>12</v>
      </c>
      <c r="I1806" s="51">
        <v>189.75</v>
      </c>
      <c r="J1806" s="281">
        <f>++Tabla4[[#This Row],[Precio Bruto]]*1.16</f>
        <v>220.10999999999999</v>
      </c>
      <c r="K1806" s="281">
        <f>+Tabla4[[#This Row],[Precio Unitario Neto]]*Tabla4[[#Headers],[20.85%]]</f>
        <v>45.892934999999994</v>
      </c>
      <c r="L1806" s="282">
        <f>++Tabla4[[#This Row],[Precio Unitario Neto]]-Tabla4[[#This Row],[20.85%]]</f>
        <v>174.21706499999999</v>
      </c>
      <c r="M1806" s="282" t="e">
        <f>(INDEX(Tabla6[#All],MATCH(Tabla4[[#This Row],[Producto]],Tabla6[[#All],[PRODUCTO]],0),MATCH(Tabla4[[#This Row],[Mes]],Tabla6[#Headers],0)))*(1+Catalogos!$L$2)</f>
        <v>#N/A</v>
      </c>
      <c r="N1806" s="283" t="e">
        <f>+(Tabla4[[#This Row],[Precio Descontado]]-Tabla4[[#This Row],[Precio Base]])*Tabla4[[#This Row],[Cantidad]]</f>
        <v>#N/A</v>
      </c>
      <c r="O1806" s="284" t="e">
        <f>++Tabla4[[#This Row],[Utilidad Total]]/Tabla4[[#This Row],[Total]]</f>
        <v>#N/A</v>
      </c>
      <c r="P1806" s="282">
        <f>++Tabla4[[#This Row],[Precio Descontado]]*Tabla4[[#This Row],[Cantidad]]</f>
        <v>2090.6047799999997</v>
      </c>
      <c r="Q1806" s="282" t="e">
        <f>(INDEX(Tabla6[#All],MATCH(Tabla4[[#This Row],[Producto]],Tabla6[[#All],[PRODUCTO]],0),MATCH(Tabla4[[#This Row],[Mes]],Tabla6[#Headers],0)))</f>
        <v>#N/A</v>
      </c>
      <c r="R1806" s="282" t="e">
        <f>++Tabla4[[#This Row],[Precio Unitario Neto]]-Tabla4[[#This Row],[20.85%]]-Tabla4[[#This Row],[Costo]]</f>
        <v>#N/A</v>
      </c>
      <c r="S1806" s="282" t="e">
        <f>++Tabla4[[#This Row],[U. Bruta Uni]]*Tabla4[[#This Row],[Cantidad]]</f>
        <v>#N/A</v>
      </c>
      <c r="T1806" s="369" t="str">
        <f>VLOOKUP(Tabla4[[#This Row],[Producto]],Tabla6[#All],14,FALSE)</f>
        <v>Termico Solar</v>
      </c>
      <c r="U1806" s="284" t="e">
        <f>(IF(Tabla4[[#This Row],[Familia]]="termico solar",Tabla4[[#This Row],[Utilidad Total]]*6%,Tabla4[[#This Row],[Utilidad Total]]*11.5%))/Tabla4[[#This Row],[Total]]</f>
        <v>#N/A</v>
      </c>
      <c r="V1806" s="282" t="e">
        <f>+Tabla4[[#This Row],[Comisión Calculada]]*Tabla4[[#This Row],[Total]]</f>
        <v>#N/A</v>
      </c>
    </row>
    <row r="1807" spans="1:22" hidden="1" x14ac:dyDescent="0.25">
      <c r="A1807" s="100">
        <v>45762</v>
      </c>
      <c r="B1807" t="str">
        <f t="shared" si="91"/>
        <v>April</v>
      </c>
      <c r="C1807" s="46" t="s">
        <v>280</v>
      </c>
      <c r="F1807" s="366" t="s">
        <v>1396</v>
      </c>
      <c r="G1807" s="46" t="s">
        <v>209</v>
      </c>
      <c r="H1807" s="46">
        <v>12</v>
      </c>
      <c r="I1807" s="51">
        <v>347.48</v>
      </c>
      <c r="J1807" s="281">
        <f>++Tabla4[[#This Row],[Precio Bruto]]*1.16</f>
        <v>403.07679999999999</v>
      </c>
      <c r="K1807" s="281">
        <f>+Tabla4[[#This Row],[Precio Unitario Neto]]*Tabla4[[#Headers],[20.85%]]</f>
        <v>84.041512799999992</v>
      </c>
      <c r="L1807" s="282">
        <f>++Tabla4[[#This Row],[Precio Unitario Neto]]-Tabla4[[#This Row],[20.85%]]</f>
        <v>319.03528719999997</v>
      </c>
      <c r="M1807" s="282" t="e">
        <f>(INDEX(Tabla6[#All],MATCH(Tabla4[[#This Row],[Producto]],Tabla6[[#All],[PRODUCTO]],0),MATCH(Tabla4[[#This Row],[Mes]],Tabla6[#Headers],0)))*(1+Catalogos!$L$2)</f>
        <v>#N/A</v>
      </c>
      <c r="N1807" s="283" t="e">
        <f>+(Tabla4[[#This Row],[Precio Descontado]]-Tabla4[[#This Row],[Precio Base]])*Tabla4[[#This Row],[Cantidad]]</f>
        <v>#N/A</v>
      </c>
      <c r="O1807" s="284" t="e">
        <f>++Tabla4[[#This Row],[Utilidad Total]]/Tabla4[[#This Row],[Total]]</f>
        <v>#N/A</v>
      </c>
      <c r="P1807" s="282">
        <f>++Tabla4[[#This Row],[Precio Descontado]]*Tabla4[[#This Row],[Cantidad]]</f>
        <v>3828.4234463999996</v>
      </c>
      <c r="Q1807" s="282" t="e">
        <f>(INDEX(Tabla6[#All],MATCH(Tabla4[[#This Row],[Producto]],Tabla6[[#All],[PRODUCTO]],0),MATCH(Tabla4[[#This Row],[Mes]],Tabla6[#Headers],0)))</f>
        <v>#N/A</v>
      </c>
      <c r="R1807" s="282" t="e">
        <f>++Tabla4[[#This Row],[Precio Unitario Neto]]-Tabla4[[#This Row],[20.85%]]-Tabla4[[#This Row],[Costo]]</f>
        <v>#N/A</v>
      </c>
      <c r="S1807" s="282" t="e">
        <f>++Tabla4[[#This Row],[U. Bruta Uni]]*Tabla4[[#This Row],[Cantidad]]</f>
        <v>#N/A</v>
      </c>
      <c r="T1807" s="369" t="str">
        <f>VLOOKUP(Tabla4[[#This Row],[Producto]],Tabla6[#All],14,FALSE)</f>
        <v>Termico Solar</v>
      </c>
      <c r="U1807" s="284" t="e">
        <f>(IF(Tabla4[[#This Row],[Familia]]="termico solar",Tabla4[[#This Row],[Utilidad Total]]*6%,Tabla4[[#This Row],[Utilidad Total]]*11.5%))/Tabla4[[#This Row],[Total]]</f>
        <v>#N/A</v>
      </c>
      <c r="V1807" s="282" t="e">
        <f>+Tabla4[[#This Row],[Comisión Calculada]]*Tabla4[[#This Row],[Total]]</f>
        <v>#N/A</v>
      </c>
    </row>
    <row r="1808" spans="1:22" hidden="1" x14ac:dyDescent="0.25">
      <c r="A1808" s="100">
        <v>45762</v>
      </c>
      <c r="B1808" t="str">
        <f>TEXT(A1808, "mmmm")</f>
        <v>April</v>
      </c>
      <c r="C1808" s="46" t="s">
        <v>280</v>
      </c>
      <c r="F1808" s="366" t="s">
        <v>1397</v>
      </c>
      <c r="G1808" s="46" t="s">
        <v>83</v>
      </c>
      <c r="H1808" s="46">
        <v>5</v>
      </c>
      <c r="I1808" s="51">
        <v>8858.76</v>
      </c>
      <c r="J1808" s="281">
        <f>++Tabla4[[#This Row],[Precio Bruto]]*1.16</f>
        <v>10276.161599999999</v>
      </c>
      <c r="K1808" s="281">
        <f>+Tabla4[[#This Row],[Precio Unitario Neto]]*Tabla4[[#Headers],[20.85%]]</f>
        <v>2142.5796935999997</v>
      </c>
      <c r="L1808" s="282">
        <f>++Tabla4[[#This Row],[Precio Unitario Neto]]-Tabla4[[#This Row],[20.85%]]</f>
        <v>8133.5819063999998</v>
      </c>
      <c r="M1808" s="282" t="e">
        <f>(INDEX(Tabla6[#All],MATCH(Tabla4[[#This Row],[Producto]],Tabla6[[#All],[PRODUCTO]],0),MATCH(Tabla4[[#This Row],[Mes]],Tabla6[#Headers],0)))*(1+Catalogos!$L$2)</f>
        <v>#N/A</v>
      </c>
      <c r="N1808" s="283" t="e">
        <f>+(Tabla4[[#This Row],[Precio Descontado]]-Tabla4[[#This Row],[Precio Base]])*Tabla4[[#This Row],[Cantidad]]</f>
        <v>#N/A</v>
      </c>
      <c r="O1808" s="284" t="e">
        <f>++Tabla4[[#This Row],[Utilidad Total]]/Tabla4[[#This Row],[Total]]</f>
        <v>#N/A</v>
      </c>
      <c r="P1808" s="282">
        <f>++Tabla4[[#This Row],[Precio Descontado]]*Tabla4[[#This Row],[Cantidad]]</f>
        <v>40667.909531999998</v>
      </c>
      <c r="Q1808" s="282" t="e">
        <f>(INDEX(Tabla6[#All],MATCH(Tabla4[[#This Row],[Producto]],Tabla6[[#All],[PRODUCTO]],0),MATCH(Tabla4[[#This Row],[Mes]],Tabla6[#Headers],0)))</f>
        <v>#N/A</v>
      </c>
      <c r="R1808" s="282" t="e">
        <f>++Tabla4[[#This Row],[Precio Unitario Neto]]-Tabla4[[#This Row],[20.85%]]-Tabla4[[#This Row],[Costo]]</f>
        <v>#N/A</v>
      </c>
      <c r="S1808" s="282" t="e">
        <f>++Tabla4[[#This Row],[U. Bruta Uni]]*Tabla4[[#This Row],[Cantidad]]</f>
        <v>#N/A</v>
      </c>
      <c r="T1808" s="369" t="str">
        <f>VLOOKUP(Tabla4[[#This Row],[Producto]],Tabla6[#All],14,FALSE)</f>
        <v>Termico Solar</v>
      </c>
      <c r="U1808" s="284" t="e">
        <f>(IF(Tabla4[[#This Row],[Familia]]="termico solar",Tabla4[[#This Row],[Utilidad Total]]*6%,Tabla4[[#This Row],[Utilidad Total]]*11.5%))/Tabla4[[#This Row],[Total]]</f>
        <v>#N/A</v>
      </c>
      <c r="V1808" s="282" t="e">
        <f>+Tabla4[[#This Row],[Comisión Calculada]]*Tabla4[[#This Row],[Total]]</f>
        <v>#N/A</v>
      </c>
    </row>
    <row r="1809" spans="1:22" hidden="1" x14ac:dyDescent="0.25">
      <c r="A1809" s="100">
        <v>45762</v>
      </c>
      <c r="B1809" t="str">
        <f>TEXT(A1809, "mmmm")</f>
        <v>April</v>
      </c>
      <c r="C1809" s="46" t="s">
        <v>280</v>
      </c>
      <c r="F1809" s="366" t="s">
        <v>1397</v>
      </c>
      <c r="G1809" s="46" t="s">
        <v>18</v>
      </c>
      <c r="H1809" s="46">
        <v>5</v>
      </c>
      <c r="I1809" s="51">
        <v>5367.65</v>
      </c>
      <c r="J1809" s="281">
        <f>++Tabla4[[#This Row],[Precio Bruto]]*1.16</f>
        <v>6226.4739999999993</v>
      </c>
      <c r="K1809" s="281">
        <f>+Tabla4[[#This Row],[Precio Unitario Neto]]*Tabla4[[#Headers],[20.85%]]</f>
        <v>1298.2198289999999</v>
      </c>
      <c r="L1809" s="282">
        <f>++Tabla4[[#This Row],[Precio Unitario Neto]]-Tabla4[[#This Row],[20.85%]]</f>
        <v>4928.2541709999996</v>
      </c>
      <c r="M1809" s="282" t="e">
        <f>(INDEX(Tabla6[#All],MATCH(Tabla4[[#This Row],[Producto]],Tabla6[[#All],[PRODUCTO]],0),MATCH(Tabla4[[#This Row],[Mes]],Tabla6[#Headers],0)))*(1+Catalogos!$L$2)</f>
        <v>#N/A</v>
      </c>
      <c r="N1809" s="283" t="e">
        <f>+(Tabla4[[#This Row],[Precio Descontado]]-Tabla4[[#This Row],[Precio Base]])*Tabla4[[#This Row],[Cantidad]]</f>
        <v>#N/A</v>
      </c>
      <c r="O1809" s="284" t="e">
        <f>++Tabla4[[#This Row],[Utilidad Total]]/Tabla4[[#This Row],[Total]]</f>
        <v>#N/A</v>
      </c>
      <c r="P1809" s="282">
        <f>++Tabla4[[#This Row],[Precio Descontado]]*Tabla4[[#This Row],[Cantidad]]</f>
        <v>24641.270854999999</v>
      </c>
      <c r="Q1809" s="282" t="e">
        <f>(INDEX(Tabla6[#All],MATCH(Tabla4[[#This Row],[Producto]],Tabla6[[#All],[PRODUCTO]],0),MATCH(Tabla4[[#This Row],[Mes]],Tabla6[#Headers],0)))</f>
        <v>#N/A</v>
      </c>
      <c r="R1809" s="282" t="e">
        <f>++Tabla4[[#This Row],[Precio Unitario Neto]]-Tabla4[[#This Row],[20.85%]]-Tabla4[[#This Row],[Costo]]</f>
        <v>#N/A</v>
      </c>
      <c r="S1809" s="282" t="e">
        <f>++Tabla4[[#This Row],[U. Bruta Uni]]*Tabla4[[#This Row],[Cantidad]]</f>
        <v>#N/A</v>
      </c>
      <c r="T1809" s="369" t="str">
        <f>VLOOKUP(Tabla4[[#This Row],[Producto]],Tabla6[#All],14,FALSE)</f>
        <v>Termico Solar</v>
      </c>
      <c r="U1809" s="284" t="e">
        <f>(IF(Tabla4[[#This Row],[Familia]]="termico solar",Tabla4[[#This Row],[Utilidad Total]]*6%,Tabla4[[#This Row],[Utilidad Total]]*11.5%))/Tabla4[[#This Row],[Total]]</f>
        <v>#N/A</v>
      </c>
      <c r="V1809" s="282" t="e">
        <f>+Tabla4[[#This Row],[Comisión Calculada]]*Tabla4[[#This Row],[Total]]</f>
        <v>#N/A</v>
      </c>
    </row>
    <row r="1810" spans="1:22" hidden="1" x14ac:dyDescent="0.25">
      <c r="A1810" s="100">
        <v>45762</v>
      </c>
      <c r="B1810" t="str">
        <f>TEXT(A1810, "mmmm")</f>
        <v>April</v>
      </c>
      <c r="C1810" s="46" t="s">
        <v>280</v>
      </c>
      <c r="F1810" s="366" t="s">
        <v>1397</v>
      </c>
      <c r="G1810" s="46" t="s">
        <v>84</v>
      </c>
      <c r="H1810" s="46">
        <v>4</v>
      </c>
      <c r="I1810" s="51">
        <v>16601.830000000002</v>
      </c>
      <c r="J1810" s="281">
        <f>++Tabla4[[#This Row],[Precio Bruto]]*1.16</f>
        <v>19258.122800000001</v>
      </c>
      <c r="K1810" s="281">
        <f>+Tabla4[[#This Row],[Precio Unitario Neto]]*Tabla4[[#Headers],[20.85%]]</f>
        <v>4015.3186037999999</v>
      </c>
      <c r="L1810" s="282">
        <f>++Tabla4[[#This Row],[Precio Unitario Neto]]-Tabla4[[#This Row],[20.85%]]</f>
        <v>15242.804196200001</v>
      </c>
      <c r="M1810" s="282" t="e">
        <f>(INDEX(Tabla6[#All],MATCH(Tabla4[[#This Row],[Producto]],Tabla6[[#All],[PRODUCTO]],0),MATCH(Tabla4[[#This Row],[Mes]],Tabla6[#Headers],0)))*(1+Catalogos!$L$2)</f>
        <v>#N/A</v>
      </c>
      <c r="N1810" s="283" t="e">
        <f>+(Tabla4[[#This Row],[Precio Descontado]]-Tabla4[[#This Row],[Precio Base]])*Tabla4[[#This Row],[Cantidad]]</f>
        <v>#N/A</v>
      </c>
      <c r="O1810" s="284" t="e">
        <f>++Tabla4[[#This Row],[Utilidad Total]]/Tabla4[[#This Row],[Total]]</f>
        <v>#N/A</v>
      </c>
      <c r="P1810" s="282">
        <f>++Tabla4[[#This Row],[Precio Descontado]]*Tabla4[[#This Row],[Cantidad]]</f>
        <v>60971.216784800003</v>
      </c>
      <c r="Q1810" s="282" t="e">
        <f>(INDEX(Tabla6[#All],MATCH(Tabla4[[#This Row],[Producto]],Tabla6[[#All],[PRODUCTO]],0),MATCH(Tabla4[[#This Row],[Mes]],Tabla6[#Headers],0)))</f>
        <v>#N/A</v>
      </c>
      <c r="R1810" s="282" t="e">
        <f>++Tabla4[[#This Row],[Precio Unitario Neto]]-Tabla4[[#This Row],[20.85%]]-Tabla4[[#This Row],[Costo]]</f>
        <v>#N/A</v>
      </c>
      <c r="S1810" s="282" t="e">
        <f>++Tabla4[[#This Row],[U. Bruta Uni]]*Tabla4[[#This Row],[Cantidad]]</f>
        <v>#N/A</v>
      </c>
      <c r="T1810" s="369" t="str">
        <f>VLOOKUP(Tabla4[[#This Row],[Producto]],Tabla6[#All],14,FALSE)</f>
        <v>Termico Solar</v>
      </c>
      <c r="U1810" s="284" t="e">
        <f>(IF(Tabla4[[#This Row],[Familia]]="termico solar",Tabla4[[#This Row],[Utilidad Total]]*6%,Tabla4[[#This Row],[Utilidad Total]]*11.5%))/Tabla4[[#This Row],[Total]]</f>
        <v>#N/A</v>
      </c>
      <c r="V1810" s="282" t="e">
        <f>+Tabla4[[#This Row],[Comisión Calculada]]*Tabla4[[#This Row],[Total]]</f>
        <v>#N/A</v>
      </c>
    </row>
    <row r="1811" spans="1:22" hidden="1" x14ac:dyDescent="0.25">
      <c r="A1811" s="100">
        <v>45762</v>
      </c>
      <c r="B1811" t="str">
        <f>TEXT(A1811, "mmmm")</f>
        <v>April</v>
      </c>
      <c r="C1811" s="46" t="s">
        <v>280</v>
      </c>
      <c r="F1811" s="366" t="s">
        <v>1397</v>
      </c>
      <c r="G1811" s="46" t="s">
        <v>209</v>
      </c>
      <c r="H1811" s="46">
        <v>12</v>
      </c>
      <c r="I1811" s="51">
        <v>270.07</v>
      </c>
      <c r="J1811" s="281">
        <f>++Tabla4[[#This Row],[Precio Bruto]]*1.16</f>
        <v>313.28119999999996</v>
      </c>
      <c r="K1811" s="281">
        <f>+Tabla4[[#This Row],[Precio Unitario Neto]]*Tabla4[[#Headers],[20.85%]]</f>
        <v>65.319130199999989</v>
      </c>
      <c r="L1811" s="282">
        <f>++Tabla4[[#This Row],[Precio Unitario Neto]]-Tabla4[[#This Row],[20.85%]]</f>
        <v>247.96206979999997</v>
      </c>
      <c r="M1811" s="282" t="e">
        <f>(INDEX(Tabla6[#All],MATCH(Tabla4[[#This Row],[Producto]],Tabla6[[#All],[PRODUCTO]],0),MATCH(Tabla4[[#This Row],[Mes]],Tabla6[#Headers],0)))*(1+Catalogos!$L$2)</f>
        <v>#N/A</v>
      </c>
      <c r="N1811" s="283" t="e">
        <f>+(Tabla4[[#This Row],[Precio Descontado]]-Tabla4[[#This Row],[Precio Base]])*Tabla4[[#This Row],[Cantidad]]</f>
        <v>#N/A</v>
      </c>
      <c r="O1811" s="284" t="e">
        <f>++Tabla4[[#This Row],[Utilidad Total]]/Tabla4[[#This Row],[Total]]</f>
        <v>#N/A</v>
      </c>
      <c r="P1811" s="282">
        <f>++Tabla4[[#This Row],[Precio Descontado]]*Tabla4[[#This Row],[Cantidad]]</f>
        <v>2975.5448375999995</v>
      </c>
      <c r="Q1811" s="282" t="e">
        <f>(INDEX(Tabla6[#All],MATCH(Tabla4[[#This Row],[Producto]],Tabla6[[#All],[PRODUCTO]],0),MATCH(Tabla4[[#This Row],[Mes]],Tabla6[#Headers],0)))</f>
        <v>#N/A</v>
      </c>
      <c r="R1811" s="282" t="e">
        <f>++Tabla4[[#This Row],[Precio Unitario Neto]]-Tabla4[[#This Row],[20.85%]]-Tabla4[[#This Row],[Costo]]</f>
        <v>#N/A</v>
      </c>
      <c r="S1811" s="282" t="e">
        <f>++Tabla4[[#This Row],[U. Bruta Uni]]*Tabla4[[#This Row],[Cantidad]]</f>
        <v>#N/A</v>
      </c>
      <c r="T1811" s="369" t="str">
        <f>VLOOKUP(Tabla4[[#This Row],[Producto]],Tabla6[#All],14,FALSE)</f>
        <v>Termico Solar</v>
      </c>
      <c r="U1811" s="284" t="e">
        <f>(IF(Tabla4[[#This Row],[Familia]]="termico solar",Tabla4[[#This Row],[Utilidad Total]]*6%,Tabla4[[#This Row],[Utilidad Total]]*11.5%))/Tabla4[[#This Row],[Total]]</f>
        <v>#N/A</v>
      </c>
      <c r="V1811" s="282" t="e">
        <f>+Tabla4[[#This Row],[Comisión Calculada]]*Tabla4[[#This Row],[Total]]</f>
        <v>#N/A</v>
      </c>
    </row>
    <row r="1812" spans="1:22" hidden="1" x14ac:dyDescent="0.25">
      <c r="A1812" s="100">
        <v>45762</v>
      </c>
      <c r="B1812" t="str">
        <f t="shared" ref="B1812:B1819" si="92">TEXT(A1812, "mmmm")</f>
        <v>April</v>
      </c>
      <c r="C1812" s="46" t="s">
        <v>280</v>
      </c>
      <c r="F1812" s="366" t="s">
        <v>1398</v>
      </c>
      <c r="G1812" s="46" t="s">
        <v>18</v>
      </c>
      <c r="H1812" s="46">
        <v>18</v>
      </c>
      <c r="I1812" s="51">
        <v>5367.65</v>
      </c>
      <c r="J1812" s="281">
        <f>++Tabla4[[#This Row],[Precio Bruto]]*1.16</f>
        <v>6226.4739999999993</v>
      </c>
      <c r="K1812" s="281">
        <f>+Tabla4[[#This Row],[Precio Unitario Neto]]*Tabla4[[#Headers],[20.85%]]</f>
        <v>1298.2198289999999</v>
      </c>
      <c r="L1812" s="282">
        <f>++Tabla4[[#This Row],[Precio Unitario Neto]]-Tabla4[[#This Row],[20.85%]]</f>
        <v>4928.2541709999996</v>
      </c>
      <c r="M1812" s="282" t="e">
        <f>(INDEX(Tabla6[#All],MATCH(Tabla4[[#This Row],[Producto]],Tabla6[[#All],[PRODUCTO]],0),MATCH(Tabla4[[#This Row],[Mes]],Tabla6[#Headers],0)))*(1+Catalogos!$L$2)</f>
        <v>#N/A</v>
      </c>
      <c r="N1812" s="283" t="e">
        <f>+(Tabla4[[#This Row],[Precio Descontado]]-Tabla4[[#This Row],[Precio Base]])*Tabla4[[#This Row],[Cantidad]]</f>
        <v>#N/A</v>
      </c>
      <c r="O1812" s="284" t="e">
        <f>++Tabla4[[#This Row],[Utilidad Total]]/Tabla4[[#This Row],[Total]]</f>
        <v>#N/A</v>
      </c>
      <c r="P1812" s="282">
        <f>++Tabla4[[#This Row],[Precio Descontado]]*Tabla4[[#This Row],[Cantidad]]</f>
        <v>88708.575077999994</v>
      </c>
      <c r="Q1812" s="282" t="e">
        <f>(INDEX(Tabla6[#All],MATCH(Tabla4[[#This Row],[Producto]],Tabla6[[#All],[PRODUCTO]],0),MATCH(Tabla4[[#This Row],[Mes]],Tabla6[#Headers],0)))</f>
        <v>#N/A</v>
      </c>
      <c r="R1812" s="282" t="e">
        <f>++Tabla4[[#This Row],[Precio Unitario Neto]]-Tabla4[[#This Row],[20.85%]]-Tabla4[[#This Row],[Costo]]</f>
        <v>#N/A</v>
      </c>
      <c r="S1812" s="282" t="e">
        <f>++Tabla4[[#This Row],[U. Bruta Uni]]*Tabla4[[#This Row],[Cantidad]]</f>
        <v>#N/A</v>
      </c>
      <c r="T1812" s="369" t="str">
        <f>VLOOKUP(Tabla4[[#This Row],[Producto]],Tabla6[#All],14,FALSE)</f>
        <v>Termico Solar</v>
      </c>
      <c r="U1812" s="284" t="e">
        <f>(IF(Tabla4[[#This Row],[Familia]]="termico solar",Tabla4[[#This Row],[Utilidad Total]]*6%,Tabla4[[#This Row],[Utilidad Total]]*11.5%))/Tabla4[[#This Row],[Total]]</f>
        <v>#N/A</v>
      </c>
      <c r="V1812" s="282" t="e">
        <f>+Tabla4[[#This Row],[Comisión Calculada]]*Tabla4[[#This Row],[Total]]</f>
        <v>#N/A</v>
      </c>
    </row>
    <row r="1813" spans="1:22" hidden="1" x14ac:dyDescent="0.25">
      <c r="A1813" s="100">
        <v>45762</v>
      </c>
      <c r="B1813" t="str">
        <f t="shared" si="92"/>
        <v>April</v>
      </c>
      <c r="C1813" s="46" t="s">
        <v>280</v>
      </c>
      <c r="F1813" s="366" t="s">
        <v>1398</v>
      </c>
      <c r="G1813" s="46" t="s">
        <v>19</v>
      </c>
      <c r="H1813" s="46">
        <v>5</v>
      </c>
      <c r="I1813" s="51">
        <v>6412.0300000000007</v>
      </c>
      <c r="J1813" s="281">
        <f>++Tabla4[[#This Row],[Precio Bruto]]*1.16</f>
        <v>7437.9548000000004</v>
      </c>
      <c r="K1813" s="281">
        <f>+Tabla4[[#This Row],[Precio Unitario Neto]]*Tabla4[[#Headers],[20.85%]]</f>
        <v>1550.8135758000001</v>
      </c>
      <c r="L1813" s="282">
        <f>++Tabla4[[#This Row],[Precio Unitario Neto]]-Tabla4[[#This Row],[20.85%]]</f>
        <v>5887.1412242000006</v>
      </c>
      <c r="M1813" s="282" t="e">
        <f>(INDEX(Tabla6[#All],MATCH(Tabla4[[#This Row],[Producto]],Tabla6[[#All],[PRODUCTO]],0),MATCH(Tabla4[[#This Row],[Mes]],Tabla6[#Headers],0)))*(1+Catalogos!$L$2)</f>
        <v>#N/A</v>
      </c>
      <c r="N1813" s="283" t="e">
        <f>+(Tabla4[[#This Row],[Precio Descontado]]-Tabla4[[#This Row],[Precio Base]])*Tabla4[[#This Row],[Cantidad]]</f>
        <v>#N/A</v>
      </c>
      <c r="O1813" s="284" t="e">
        <f>++Tabla4[[#This Row],[Utilidad Total]]/Tabla4[[#This Row],[Total]]</f>
        <v>#N/A</v>
      </c>
      <c r="P1813" s="282">
        <f>++Tabla4[[#This Row],[Precio Descontado]]*Tabla4[[#This Row],[Cantidad]]</f>
        <v>29435.706121000003</v>
      </c>
      <c r="Q1813" s="282" t="e">
        <f>(INDEX(Tabla6[#All],MATCH(Tabla4[[#This Row],[Producto]],Tabla6[[#All],[PRODUCTO]],0),MATCH(Tabla4[[#This Row],[Mes]],Tabla6[#Headers],0)))</f>
        <v>#N/A</v>
      </c>
      <c r="R1813" s="282" t="e">
        <f>++Tabla4[[#This Row],[Precio Unitario Neto]]-Tabla4[[#This Row],[20.85%]]-Tabla4[[#This Row],[Costo]]</f>
        <v>#N/A</v>
      </c>
      <c r="S1813" s="282" t="e">
        <f>++Tabla4[[#This Row],[U. Bruta Uni]]*Tabla4[[#This Row],[Cantidad]]</f>
        <v>#N/A</v>
      </c>
      <c r="T1813" s="369" t="str">
        <f>VLOOKUP(Tabla4[[#This Row],[Producto]],Tabla6[#All],14,FALSE)</f>
        <v>Termico Solar</v>
      </c>
      <c r="U1813" s="284" t="e">
        <f>(IF(Tabla4[[#This Row],[Familia]]="termico solar",Tabla4[[#This Row],[Utilidad Total]]*6%,Tabla4[[#This Row],[Utilidad Total]]*11.5%))/Tabla4[[#This Row],[Total]]</f>
        <v>#N/A</v>
      </c>
      <c r="V1813" s="282" t="e">
        <f>+Tabla4[[#This Row],[Comisión Calculada]]*Tabla4[[#This Row],[Total]]</f>
        <v>#N/A</v>
      </c>
    </row>
    <row r="1814" spans="1:22" hidden="1" x14ac:dyDescent="0.25">
      <c r="A1814" s="100">
        <v>45762</v>
      </c>
      <c r="B1814" t="str">
        <f t="shared" si="92"/>
        <v>April</v>
      </c>
      <c r="C1814" s="46" t="s">
        <v>280</v>
      </c>
      <c r="F1814" s="366" t="s">
        <v>1398</v>
      </c>
      <c r="G1814" s="46" t="s">
        <v>20</v>
      </c>
      <c r="H1814" s="46">
        <v>2</v>
      </c>
      <c r="I1814" s="51">
        <v>7751.98</v>
      </c>
      <c r="J1814" s="281">
        <f>++Tabla4[[#This Row],[Precio Bruto]]*1.16</f>
        <v>8992.2967999999983</v>
      </c>
      <c r="K1814" s="281">
        <f>+Tabla4[[#This Row],[Precio Unitario Neto]]*Tabla4[[#Headers],[20.85%]]</f>
        <v>1874.8938827999996</v>
      </c>
      <c r="L1814" s="282">
        <f>++Tabla4[[#This Row],[Precio Unitario Neto]]-Tabla4[[#This Row],[20.85%]]</f>
        <v>7117.4029171999991</v>
      </c>
      <c r="M1814" s="282" t="e">
        <f>(INDEX(Tabla6[#All],MATCH(Tabla4[[#This Row],[Producto]],Tabla6[[#All],[PRODUCTO]],0),MATCH(Tabla4[[#This Row],[Mes]],Tabla6[#Headers],0)))*(1+Catalogos!$L$2)</f>
        <v>#N/A</v>
      </c>
      <c r="N1814" s="283" t="e">
        <f>+(Tabla4[[#This Row],[Precio Descontado]]-Tabla4[[#This Row],[Precio Base]])*Tabla4[[#This Row],[Cantidad]]</f>
        <v>#N/A</v>
      </c>
      <c r="O1814" s="284" t="e">
        <f>++Tabla4[[#This Row],[Utilidad Total]]/Tabla4[[#This Row],[Total]]</f>
        <v>#N/A</v>
      </c>
      <c r="P1814" s="282">
        <f>++Tabla4[[#This Row],[Precio Descontado]]*Tabla4[[#This Row],[Cantidad]]</f>
        <v>14234.805834399998</v>
      </c>
      <c r="Q1814" s="282" t="e">
        <f>(INDEX(Tabla6[#All],MATCH(Tabla4[[#This Row],[Producto]],Tabla6[[#All],[PRODUCTO]],0),MATCH(Tabla4[[#This Row],[Mes]],Tabla6[#Headers],0)))</f>
        <v>#N/A</v>
      </c>
      <c r="R1814" s="282" t="e">
        <f>++Tabla4[[#This Row],[Precio Unitario Neto]]-Tabla4[[#This Row],[20.85%]]-Tabla4[[#This Row],[Costo]]</f>
        <v>#N/A</v>
      </c>
      <c r="S1814" s="282" t="e">
        <f>++Tabla4[[#This Row],[U. Bruta Uni]]*Tabla4[[#This Row],[Cantidad]]</f>
        <v>#N/A</v>
      </c>
      <c r="T1814" s="369" t="str">
        <f>VLOOKUP(Tabla4[[#This Row],[Producto]],Tabla6[#All],14,FALSE)</f>
        <v>Termico Solar</v>
      </c>
      <c r="U1814" s="284" t="e">
        <f>(IF(Tabla4[[#This Row],[Familia]]="termico solar",Tabla4[[#This Row],[Utilidad Total]]*6%,Tabla4[[#This Row],[Utilidad Total]]*11.5%))/Tabla4[[#This Row],[Total]]</f>
        <v>#N/A</v>
      </c>
      <c r="V1814" s="282" t="e">
        <f>+Tabla4[[#This Row],[Comisión Calculada]]*Tabla4[[#This Row],[Total]]</f>
        <v>#N/A</v>
      </c>
    </row>
    <row r="1815" spans="1:22" hidden="1" x14ac:dyDescent="0.25">
      <c r="A1815" s="100">
        <v>45762</v>
      </c>
      <c r="B1815" t="str">
        <f t="shared" si="92"/>
        <v>April</v>
      </c>
      <c r="C1815" s="46" t="s">
        <v>280</v>
      </c>
      <c r="F1815" s="366" t="s">
        <v>1398</v>
      </c>
      <c r="G1815" s="46" t="s">
        <v>21</v>
      </c>
      <c r="H1815" s="46">
        <v>3</v>
      </c>
      <c r="I1815" s="51">
        <v>9282.19</v>
      </c>
      <c r="J1815" s="281">
        <f>++Tabla4[[#This Row],[Precio Bruto]]*1.16</f>
        <v>10767.340399999999</v>
      </c>
      <c r="K1815" s="281">
        <f>+Tabla4[[#This Row],[Precio Unitario Neto]]*Tabla4[[#Headers],[20.85%]]</f>
        <v>2244.9904733999997</v>
      </c>
      <c r="L1815" s="282">
        <f>++Tabla4[[#This Row],[Precio Unitario Neto]]-Tabla4[[#This Row],[20.85%]]</f>
        <v>8522.3499265999999</v>
      </c>
      <c r="M1815" s="282" t="e">
        <f>(INDEX(Tabla6[#All],MATCH(Tabla4[[#This Row],[Producto]],Tabla6[[#All],[PRODUCTO]],0),MATCH(Tabla4[[#This Row],[Mes]],Tabla6[#Headers],0)))*(1+Catalogos!$L$2)</f>
        <v>#N/A</v>
      </c>
      <c r="N1815" s="283" t="e">
        <f>+(Tabla4[[#This Row],[Precio Descontado]]-Tabla4[[#This Row],[Precio Base]])*Tabla4[[#This Row],[Cantidad]]</f>
        <v>#N/A</v>
      </c>
      <c r="O1815" s="284" t="e">
        <f>++Tabla4[[#This Row],[Utilidad Total]]/Tabla4[[#This Row],[Total]]</f>
        <v>#N/A</v>
      </c>
      <c r="P1815" s="282">
        <f>++Tabla4[[#This Row],[Precio Descontado]]*Tabla4[[#This Row],[Cantidad]]</f>
        <v>25567.0497798</v>
      </c>
      <c r="Q1815" s="282" t="e">
        <f>(INDEX(Tabla6[#All],MATCH(Tabla4[[#This Row],[Producto]],Tabla6[[#All],[PRODUCTO]],0),MATCH(Tabla4[[#This Row],[Mes]],Tabla6[#Headers],0)))</f>
        <v>#N/A</v>
      </c>
      <c r="R1815" s="282" t="e">
        <f>++Tabla4[[#This Row],[Precio Unitario Neto]]-Tabla4[[#This Row],[20.85%]]-Tabla4[[#This Row],[Costo]]</f>
        <v>#N/A</v>
      </c>
      <c r="S1815" s="282" t="e">
        <f>++Tabla4[[#This Row],[U. Bruta Uni]]*Tabla4[[#This Row],[Cantidad]]</f>
        <v>#N/A</v>
      </c>
      <c r="T1815" s="369" t="str">
        <f>VLOOKUP(Tabla4[[#This Row],[Producto]],Tabla6[#All],14,FALSE)</f>
        <v>Termico Solar</v>
      </c>
      <c r="U1815" s="284" t="e">
        <f>(IF(Tabla4[[#This Row],[Familia]]="termico solar",Tabla4[[#This Row],[Utilidad Total]]*6%,Tabla4[[#This Row],[Utilidad Total]]*11.5%))/Tabla4[[#This Row],[Total]]</f>
        <v>#N/A</v>
      </c>
      <c r="V1815" s="282" t="e">
        <f>+Tabla4[[#This Row],[Comisión Calculada]]*Tabla4[[#This Row],[Total]]</f>
        <v>#N/A</v>
      </c>
    </row>
    <row r="1816" spans="1:22" hidden="1" x14ac:dyDescent="0.25">
      <c r="A1816" s="100">
        <v>45762</v>
      </c>
      <c r="B1816" t="str">
        <f t="shared" si="92"/>
        <v>April</v>
      </c>
      <c r="C1816" s="46" t="s">
        <v>280</v>
      </c>
      <c r="F1816" s="366" t="s">
        <v>1398</v>
      </c>
      <c r="G1816" s="46" t="s">
        <v>22</v>
      </c>
      <c r="H1816" s="46">
        <v>7</v>
      </c>
      <c r="I1816" s="51">
        <v>13355.75</v>
      </c>
      <c r="J1816" s="281">
        <f>++Tabla4[[#This Row],[Precio Bruto]]*1.16</f>
        <v>15492.669999999998</v>
      </c>
      <c r="K1816" s="281">
        <f>+Tabla4[[#This Row],[Precio Unitario Neto]]*Tabla4[[#Headers],[20.85%]]</f>
        <v>3230.2216949999993</v>
      </c>
      <c r="L1816" s="282">
        <f>++Tabla4[[#This Row],[Precio Unitario Neto]]-Tabla4[[#This Row],[20.85%]]</f>
        <v>12262.448304999998</v>
      </c>
      <c r="M1816" s="282" t="e">
        <f>(INDEX(Tabla6[#All],MATCH(Tabla4[[#This Row],[Producto]],Tabla6[[#All],[PRODUCTO]],0),MATCH(Tabla4[[#This Row],[Mes]],Tabla6[#Headers],0)))*(1+Catalogos!$L$2)</f>
        <v>#N/A</v>
      </c>
      <c r="N1816" s="283" t="e">
        <f>+(Tabla4[[#This Row],[Precio Descontado]]-Tabla4[[#This Row],[Precio Base]])*Tabla4[[#This Row],[Cantidad]]</f>
        <v>#N/A</v>
      </c>
      <c r="O1816" s="284" t="e">
        <f>++Tabla4[[#This Row],[Utilidad Total]]/Tabla4[[#This Row],[Total]]</f>
        <v>#N/A</v>
      </c>
      <c r="P1816" s="282">
        <f>++Tabla4[[#This Row],[Precio Descontado]]*Tabla4[[#This Row],[Cantidad]]</f>
        <v>85837.138134999987</v>
      </c>
      <c r="Q1816" s="282" t="e">
        <f>(INDEX(Tabla6[#All],MATCH(Tabla4[[#This Row],[Producto]],Tabla6[[#All],[PRODUCTO]],0),MATCH(Tabla4[[#This Row],[Mes]],Tabla6[#Headers],0)))</f>
        <v>#N/A</v>
      </c>
      <c r="R1816" s="282" t="e">
        <f>++Tabla4[[#This Row],[Precio Unitario Neto]]-Tabla4[[#This Row],[20.85%]]-Tabla4[[#This Row],[Costo]]</f>
        <v>#N/A</v>
      </c>
      <c r="S1816" s="282" t="e">
        <f>++Tabla4[[#This Row],[U. Bruta Uni]]*Tabla4[[#This Row],[Cantidad]]</f>
        <v>#N/A</v>
      </c>
      <c r="T1816" s="369" t="str">
        <f>VLOOKUP(Tabla4[[#This Row],[Producto]],Tabla6[#All],14,FALSE)</f>
        <v>Termico Solar</v>
      </c>
      <c r="U1816" s="284" t="e">
        <f>(IF(Tabla4[[#This Row],[Familia]]="termico solar",Tabla4[[#This Row],[Utilidad Total]]*6%,Tabla4[[#This Row],[Utilidad Total]]*11.5%))/Tabla4[[#This Row],[Total]]</f>
        <v>#N/A</v>
      </c>
      <c r="V1816" s="282" t="e">
        <f>+Tabla4[[#This Row],[Comisión Calculada]]*Tabla4[[#This Row],[Total]]</f>
        <v>#N/A</v>
      </c>
    </row>
    <row r="1817" spans="1:22" hidden="1" x14ac:dyDescent="0.25">
      <c r="A1817" s="100">
        <v>45762</v>
      </c>
      <c r="B1817" t="str">
        <f t="shared" si="92"/>
        <v>April</v>
      </c>
      <c r="C1817" s="46" t="s">
        <v>280</v>
      </c>
      <c r="F1817" s="366" t="s">
        <v>1398</v>
      </c>
      <c r="G1817" s="46" t="s">
        <v>208</v>
      </c>
      <c r="H1817" s="46">
        <v>15</v>
      </c>
      <c r="I1817" s="51">
        <v>140.63</v>
      </c>
      <c r="J1817" s="281">
        <f>++Tabla4[[#This Row],[Precio Bruto]]*1.16</f>
        <v>163.13079999999999</v>
      </c>
      <c r="K1817" s="281">
        <f>+Tabla4[[#This Row],[Precio Unitario Neto]]*Tabla4[[#Headers],[20.85%]]</f>
        <v>34.012771799999996</v>
      </c>
      <c r="L1817" s="282">
        <f>++Tabla4[[#This Row],[Precio Unitario Neto]]-Tabla4[[#This Row],[20.85%]]</f>
        <v>129.1180282</v>
      </c>
      <c r="M1817" s="282" t="e">
        <f>(INDEX(Tabla6[#All],MATCH(Tabla4[[#This Row],[Producto]],Tabla6[[#All],[PRODUCTO]],0),MATCH(Tabla4[[#This Row],[Mes]],Tabla6[#Headers],0)))*(1+Catalogos!$L$2)</f>
        <v>#N/A</v>
      </c>
      <c r="N1817" s="283" t="e">
        <f>+(Tabla4[[#This Row],[Precio Descontado]]-Tabla4[[#This Row],[Precio Base]])*Tabla4[[#This Row],[Cantidad]]</f>
        <v>#N/A</v>
      </c>
      <c r="O1817" s="284" t="e">
        <f>++Tabla4[[#This Row],[Utilidad Total]]/Tabla4[[#This Row],[Total]]</f>
        <v>#N/A</v>
      </c>
      <c r="P1817" s="282">
        <f>++Tabla4[[#This Row],[Precio Descontado]]*Tabla4[[#This Row],[Cantidad]]</f>
        <v>1936.7704229999999</v>
      </c>
      <c r="Q1817" s="282" t="e">
        <f>(INDEX(Tabla6[#All],MATCH(Tabla4[[#This Row],[Producto]],Tabla6[[#All],[PRODUCTO]],0),MATCH(Tabla4[[#This Row],[Mes]],Tabla6[#Headers],0)))</f>
        <v>#N/A</v>
      </c>
      <c r="R1817" s="282" t="e">
        <f>++Tabla4[[#This Row],[Precio Unitario Neto]]-Tabla4[[#This Row],[20.85%]]-Tabla4[[#This Row],[Costo]]</f>
        <v>#N/A</v>
      </c>
      <c r="S1817" s="282" t="e">
        <f>++Tabla4[[#This Row],[U. Bruta Uni]]*Tabla4[[#This Row],[Cantidad]]</f>
        <v>#N/A</v>
      </c>
      <c r="T1817" s="369" t="str">
        <f>VLOOKUP(Tabla4[[#This Row],[Producto]],Tabla6[#All],14,FALSE)</f>
        <v>Termico Solar</v>
      </c>
      <c r="U1817" s="284" t="e">
        <f>(IF(Tabla4[[#This Row],[Familia]]="termico solar",Tabla4[[#This Row],[Utilidad Total]]*6%,Tabla4[[#This Row],[Utilidad Total]]*11.5%))/Tabla4[[#This Row],[Total]]</f>
        <v>#N/A</v>
      </c>
      <c r="V1817" s="282" t="e">
        <f>+Tabla4[[#This Row],[Comisión Calculada]]*Tabla4[[#This Row],[Total]]</f>
        <v>#N/A</v>
      </c>
    </row>
    <row r="1818" spans="1:22" hidden="1" x14ac:dyDescent="0.25">
      <c r="A1818" s="100">
        <v>45762</v>
      </c>
      <c r="B1818" t="str">
        <f t="shared" si="92"/>
        <v>April</v>
      </c>
      <c r="C1818" s="46" t="s">
        <v>280</v>
      </c>
      <c r="F1818" s="366" t="s">
        <v>1398</v>
      </c>
      <c r="G1818" s="46" t="s">
        <v>394</v>
      </c>
      <c r="H1818" s="46">
        <v>45</v>
      </c>
      <c r="I1818" s="51">
        <v>108.1</v>
      </c>
      <c r="J1818" s="281">
        <f>++Tabla4[[#This Row],[Precio Bruto]]*1.16</f>
        <v>125.39599999999999</v>
      </c>
      <c r="K1818" s="281">
        <f>+Tabla4[[#This Row],[Precio Unitario Neto]]*Tabla4[[#Headers],[20.85%]]</f>
        <v>26.145065999999996</v>
      </c>
      <c r="L1818" s="282">
        <f>++Tabla4[[#This Row],[Precio Unitario Neto]]-Tabla4[[#This Row],[20.85%]]</f>
        <v>99.250933999999987</v>
      </c>
      <c r="M1818" s="282" t="e">
        <f>(INDEX(Tabla6[#All],MATCH(Tabla4[[#This Row],[Producto]],Tabla6[[#All],[PRODUCTO]],0),MATCH(Tabla4[[#This Row],[Mes]],Tabla6[#Headers],0)))*(1+Catalogos!$L$2)</f>
        <v>#N/A</v>
      </c>
      <c r="N1818" s="283" t="e">
        <f>+(Tabla4[[#This Row],[Precio Descontado]]-Tabla4[[#This Row],[Precio Base]])*Tabla4[[#This Row],[Cantidad]]</f>
        <v>#N/A</v>
      </c>
      <c r="O1818" s="284" t="e">
        <f>++Tabla4[[#This Row],[Utilidad Total]]/Tabla4[[#This Row],[Total]]</f>
        <v>#N/A</v>
      </c>
      <c r="P1818" s="282">
        <f>++Tabla4[[#This Row],[Precio Descontado]]*Tabla4[[#This Row],[Cantidad]]</f>
        <v>4466.2920299999996</v>
      </c>
      <c r="Q1818" s="282" t="e">
        <f>(INDEX(Tabla6[#All],MATCH(Tabla4[[#This Row],[Producto]],Tabla6[[#All],[PRODUCTO]],0),MATCH(Tabla4[[#This Row],[Mes]],Tabla6[#Headers],0)))</f>
        <v>#N/A</v>
      </c>
      <c r="R1818" s="282" t="e">
        <f>++Tabla4[[#This Row],[Precio Unitario Neto]]-Tabla4[[#This Row],[20.85%]]-Tabla4[[#This Row],[Costo]]</f>
        <v>#N/A</v>
      </c>
      <c r="S1818" s="282" t="e">
        <f>++Tabla4[[#This Row],[U. Bruta Uni]]*Tabla4[[#This Row],[Cantidad]]</f>
        <v>#N/A</v>
      </c>
      <c r="T1818" s="369" t="str">
        <f>VLOOKUP(Tabla4[[#This Row],[Producto]],Tabla6[#All],14,FALSE)</f>
        <v>Termico Solar</v>
      </c>
      <c r="U1818" s="284" t="e">
        <f>(IF(Tabla4[[#This Row],[Familia]]="termico solar",Tabla4[[#This Row],[Utilidad Total]]*6%,Tabla4[[#This Row],[Utilidad Total]]*11.5%))/Tabla4[[#This Row],[Total]]</f>
        <v>#N/A</v>
      </c>
      <c r="V1818" s="282" t="e">
        <f>+Tabla4[[#This Row],[Comisión Calculada]]*Tabla4[[#This Row],[Total]]</f>
        <v>#N/A</v>
      </c>
    </row>
    <row r="1819" spans="1:22" hidden="1" x14ac:dyDescent="0.25">
      <c r="A1819" s="100">
        <v>45762</v>
      </c>
      <c r="B1819" t="str">
        <f t="shared" si="92"/>
        <v>April</v>
      </c>
      <c r="C1819" s="46" t="s">
        <v>280</v>
      </c>
      <c r="F1819" s="366" t="s">
        <v>1398</v>
      </c>
      <c r="G1819" s="46" t="s">
        <v>16</v>
      </c>
      <c r="H1819" s="46">
        <v>2</v>
      </c>
      <c r="I1819" s="51">
        <v>4103.8</v>
      </c>
      <c r="J1819" s="281">
        <f>++Tabla4[[#This Row],[Precio Bruto]]*1.16</f>
        <v>4760.4079999999994</v>
      </c>
      <c r="K1819" s="281">
        <f>+Tabla4[[#This Row],[Precio Unitario Neto]]*Tabla4[[#Headers],[20.85%]]</f>
        <v>992.54506799999979</v>
      </c>
      <c r="L1819" s="282">
        <f>++Tabla4[[#This Row],[Precio Unitario Neto]]-Tabla4[[#This Row],[20.85%]]</f>
        <v>3767.8629319999995</v>
      </c>
      <c r="M1819" s="282" t="e">
        <f>(INDEX(Tabla6[#All],MATCH(Tabla4[[#This Row],[Producto]],Tabla6[[#All],[PRODUCTO]],0),MATCH(Tabla4[[#This Row],[Mes]],Tabla6[#Headers],0)))*(1+Catalogos!$L$2)</f>
        <v>#N/A</v>
      </c>
      <c r="N1819" s="283" t="e">
        <f>+(Tabla4[[#This Row],[Precio Descontado]]-Tabla4[[#This Row],[Precio Base]])*Tabla4[[#This Row],[Cantidad]]</f>
        <v>#N/A</v>
      </c>
      <c r="O1819" s="284" t="e">
        <f>++Tabla4[[#This Row],[Utilidad Total]]/Tabla4[[#This Row],[Total]]</f>
        <v>#N/A</v>
      </c>
      <c r="P1819" s="282">
        <f>++Tabla4[[#This Row],[Precio Descontado]]*Tabla4[[#This Row],[Cantidad]]</f>
        <v>7535.7258639999991</v>
      </c>
      <c r="Q1819" s="282" t="e">
        <f>(INDEX(Tabla6[#All],MATCH(Tabla4[[#This Row],[Producto]],Tabla6[[#All],[PRODUCTO]],0),MATCH(Tabla4[[#This Row],[Mes]],Tabla6[#Headers],0)))</f>
        <v>#N/A</v>
      </c>
      <c r="R1819" s="282" t="e">
        <f>++Tabla4[[#This Row],[Precio Unitario Neto]]-Tabla4[[#This Row],[20.85%]]-Tabla4[[#This Row],[Costo]]</f>
        <v>#N/A</v>
      </c>
      <c r="S1819" s="282" t="e">
        <f>++Tabla4[[#This Row],[U. Bruta Uni]]*Tabla4[[#This Row],[Cantidad]]</f>
        <v>#N/A</v>
      </c>
      <c r="T1819" s="369" t="str">
        <f>VLOOKUP(Tabla4[[#This Row],[Producto]],Tabla6[#All],14,FALSE)</f>
        <v>Termico Solar</v>
      </c>
      <c r="U1819" s="284" t="e">
        <f>(IF(Tabla4[[#This Row],[Familia]]="termico solar",Tabla4[[#This Row],[Utilidad Total]]*6%,Tabla4[[#This Row],[Utilidad Total]]*11.5%))/Tabla4[[#This Row],[Total]]</f>
        <v>#N/A</v>
      </c>
      <c r="V1819" s="282" t="e">
        <f>+Tabla4[[#This Row],[Comisión Calculada]]*Tabla4[[#This Row],[Total]]</f>
        <v>#N/A</v>
      </c>
    </row>
    <row r="1820" spans="1:22" hidden="1" x14ac:dyDescent="0.25">
      <c r="A1820" s="100">
        <v>45762</v>
      </c>
      <c r="B1820" t="str">
        <f t="shared" ref="B1820:B1825" si="93">TEXT(A1820, "mmmm")</f>
        <v>April</v>
      </c>
      <c r="C1820" s="46" t="s">
        <v>280</v>
      </c>
      <c r="F1820" s="366" t="s">
        <v>1399</v>
      </c>
      <c r="G1820" s="46" t="s">
        <v>394</v>
      </c>
      <c r="H1820" s="46">
        <v>16</v>
      </c>
      <c r="I1820" s="51">
        <v>224.29</v>
      </c>
      <c r="J1820" s="281">
        <f>++Tabla4[[#This Row],[Precio Bruto]]*1.16</f>
        <v>260.1764</v>
      </c>
      <c r="K1820" s="281">
        <f>+Tabla4[[#This Row],[Precio Unitario Neto]]*Tabla4[[#Headers],[20.85%]]</f>
        <v>54.246779400000001</v>
      </c>
      <c r="L1820" s="282">
        <f>++Tabla4[[#This Row],[Precio Unitario Neto]]-Tabla4[[#This Row],[20.85%]]</f>
        <v>205.92962059999999</v>
      </c>
      <c r="M1820" s="282" t="e">
        <f>(INDEX(Tabla6[#All],MATCH(Tabla4[[#This Row],[Producto]],Tabla6[[#All],[PRODUCTO]],0),MATCH(Tabla4[[#This Row],[Mes]],Tabla6[#Headers],0)))*(1+Catalogos!$L$2)</f>
        <v>#N/A</v>
      </c>
      <c r="N1820" s="283" t="e">
        <f>+(Tabla4[[#This Row],[Precio Descontado]]-Tabla4[[#This Row],[Precio Base]])*Tabla4[[#This Row],[Cantidad]]</f>
        <v>#N/A</v>
      </c>
      <c r="O1820" s="284" t="e">
        <f>++Tabla4[[#This Row],[Utilidad Total]]/Tabla4[[#This Row],[Total]]</f>
        <v>#N/A</v>
      </c>
      <c r="P1820" s="282">
        <f>++Tabla4[[#This Row],[Precio Descontado]]*Tabla4[[#This Row],[Cantidad]]</f>
        <v>3294.8739295999999</v>
      </c>
      <c r="Q1820" s="282" t="e">
        <f>(INDEX(Tabla6[#All],MATCH(Tabla4[[#This Row],[Producto]],Tabla6[[#All],[PRODUCTO]],0),MATCH(Tabla4[[#This Row],[Mes]],Tabla6[#Headers],0)))</f>
        <v>#N/A</v>
      </c>
      <c r="R1820" s="282" t="e">
        <f>++Tabla4[[#This Row],[Precio Unitario Neto]]-Tabla4[[#This Row],[20.85%]]-Tabla4[[#This Row],[Costo]]</f>
        <v>#N/A</v>
      </c>
      <c r="S1820" s="282" t="e">
        <f>++Tabla4[[#This Row],[U. Bruta Uni]]*Tabla4[[#This Row],[Cantidad]]</f>
        <v>#N/A</v>
      </c>
      <c r="T1820" s="369" t="str">
        <f>VLOOKUP(Tabla4[[#This Row],[Producto]],Tabla6[#All],14,FALSE)</f>
        <v>Termico Solar</v>
      </c>
      <c r="U1820" s="284" t="e">
        <f>(IF(Tabla4[[#This Row],[Familia]]="termico solar",Tabla4[[#This Row],[Utilidad Total]]*6%,Tabla4[[#This Row],[Utilidad Total]]*11.5%))/Tabla4[[#This Row],[Total]]</f>
        <v>#N/A</v>
      </c>
      <c r="V1820" s="282" t="e">
        <f>+Tabla4[[#This Row],[Comisión Calculada]]*Tabla4[[#This Row],[Total]]</f>
        <v>#N/A</v>
      </c>
    </row>
    <row r="1821" spans="1:22" hidden="1" x14ac:dyDescent="0.25">
      <c r="A1821" s="100">
        <v>45762</v>
      </c>
      <c r="B1821" t="str">
        <f t="shared" si="93"/>
        <v>April</v>
      </c>
      <c r="C1821" s="46" t="s">
        <v>280</v>
      </c>
      <c r="F1821" s="366" t="s">
        <v>1399</v>
      </c>
      <c r="G1821" s="46" t="s">
        <v>200</v>
      </c>
      <c r="H1821" s="46">
        <v>12</v>
      </c>
      <c r="I1821" s="51">
        <v>393.22</v>
      </c>
      <c r="J1821" s="281">
        <f>++Tabla4[[#This Row],[Precio Bruto]]*1.16</f>
        <v>456.1352</v>
      </c>
      <c r="K1821" s="281">
        <f>+Tabla4[[#This Row],[Precio Unitario Neto]]*Tabla4[[#Headers],[20.85%]]</f>
        <v>95.104189199999993</v>
      </c>
      <c r="L1821" s="282">
        <f>++Tabla4[[#This Row],[Precio Unitario Neto]]-Tabla4[[#This Row],[20.85%]]</f>
        <v>361.03101079999999</v>
      </c>
      <c r="M1821" s="282" t="e">
        <f>(INDEX(Tabla6[#All],MATCH(Tabla4[[#This Row],[Producto]],Tabla6[[#All],[PRODUCTO]],0),MATCH(Tabla4[[#This Row],[Mes]],Tabla6[#Headers],0)))*(1+Catalogos!$L$2)</f>
        <v>#N/A</v>
      </c>
      <c r="N1821" s="283" t="e">
        <f>+(Tabla4[[#This Row],[Precio Descontado]]-Tabla4[[#This Row],[Precio Base]])*Tabla4[[#This Row],[Cantidad]]</f>
        <v>#N/A</v>
      </c>
      <c r="O1821" s="284" t="e">
        <f>++Tabla4[[#This Row],[Utilidad Total]]/Tabla4[[#This Row],[Total]]</f>
        <v>#N/A</v>
      </c>
      <c r="P1821" s="282">
        <f>++Tabla4[[#This Row],[Precio Descontado]]*Tabla4[[#This Row],[Cantidad]]</f>
        <v>4332.3721296000003</v>
      </c>
      <c r="Q1821" s="282" t="e">
        <f>(INDEX(Tabla6[#All],MATCH(Tabla4[[#This Row],[Producto]],Tabla6[[#All],[PRODUCTO]],0),MATCH(Tabla4[[#This Row],[Mes]],Tabla6[#Headers],0)))</f>
        <v>#N/A</v>
      </c>
      <c r="R1821" s="282" t="e">
        <f>++Tabla4[[#This Row],[Precio Unitario Neto]]-Tabla4[[#This Row],[20.85%]]-Tabla4[[#This Row],[Costo]]</f>
        <v>#N/A</v>
      </c>
      <c r="S1821" s="282" t="e">
        <f>++Tabla4[[#This Row],[U. Bruta Uni]]*Tabla4[[#This Row],[Cantidad]]</f>
        <v>#N/A</v>
      </c>
      <c r="T1821" s="369" t="str">
        <f>VLOOKUP(Tabla4[[#This Row],[Producto]],Tabla6[#All],14,FALSE)</f>
        <v>Termico Solar</v>
      </c>
      <c r="U1821" s="284" t="e">
        <f>(IF(Tabla4[[#This Row],[Familia]]="termico solar",Tabla4[[#This Row],[Utilidad Total]]*6%,Tabla4[[#This Row],[Utilidad Total]]*11.5%))/Tabla4[[#This Row],[Total]]</f>
        <v>#N/A</v>
      </c>
      <c r="V1821" s="282" t="e">
        <f>+Tabla4[[#This Row],[Comisión Calculada]]*Tabla4[[#This Row],[Total]]</f>
        <v>#N/A</v>
      </c>
    </row>
    <row r="1822" spans="1:22" hidden="1" x14ac:dyDescent="0.25">
      <c r="A1822" s="100">
        <v>45762</v>
      </c>
      <c r="B1822" t="str">
        <f t="shared" si="93"/>
        <v>April</v>
      </c>
      <c r="C1822" s="46" t="s">
        <v>280</v>
      </c>
      <c r="F1822" s="366" t="s">
        <v>1399</v>
      </c>
      <c r="G1822" s="46" t="s">
        <v>555</v>
      </c>
      <c r="H1822" s="46">
        <v>8</v>
      </c>
      <c r="I1822" s="51">
        <v>389.47</v>
      </c>
      <c r="J1822" s="281">
        <f>++Tabla4[[#This Row],[Precio Bruto]]*1.16</f>
        <v>451.78519999999997</v>
      </c>
      <c r="K1822" s="281">
        <f>+Tabla4[[#This Row],[Precio Unitario Neto]]*Tabla4[[#Headers],[20.85%]]</f>
        <v>94.197214199999991</v>
      </c>
      <c r="L1822" s="282">
        <f>++Tabla4[[#This Row],[Precio Unitario Neto]]-Tabla4[[#This Row],[20.85%]]</f>
        <v>357.58798579999996</v>
      </c>
      <c r="M1822" s="282" t="e">
        <f>(INDEX(Tabla6[#All],MATCH(Tabla4[[#This Row],[Producto]],Tabla6[[#All],[PRODUCTO]],0),MATCH(Tabla4[[#This Row],[Mes]],Tabla6[#Headers],0)))*(1+Catalogos!$L$2)</f>
        <v>#N/A</v>
      </c>
      <c r="N1822" s="283" t="e">
        <f>+(Tabla4[[#This Row],[Precio Descontado]]-Tabla4[[#This Row],[Precio Base]])*Tabla4[[#This Row],[Cantidad]]</f>
        <v>#N/A</v>
      </c>
      <c r="O1822" s="284" t="e">
        <f>++Tabla4[[#This Row],[Utilidad Total]]/Tabla4[[#This Row],[Total]]</f>
        <v>#N/A</v>
      </c>
      <c r="P1822" s="282">
        <f>++Tabla4[[#This Row],[Precio Descontado]]*Tabla4[[#This Row],[Cantidad]]</f>
        <v>2860.7038863999996</v>
      </c>
      <c r="Q1822" s="282" t="e">
        <f>(INDEX(Tabla6[#All],MATCH(Tabla4[[#This Row],[Producto]],Tabla6[[#All],[PRODUCTO]],0),MATCH(Tabla4[[#This Row],[Mes]],Tabla6[#Headers],0)))</f>
        <v>#N/A</v>
      </c>
      <c r="R1822" s="282" t="e">
        <f>++Tabla4[[#This Row],[Precio Unitario Neto]]-Tabla4[[#This Row],[20.85%]]-Tabla4[[#This Row],[Costo]]</f>
        <v>#N/A</v>
      </c>
      <c r="S1822" s="282" t="e">
        <f>++Tabla4[[#This Row],[U. Bruta Uni]]*Tabla4[[#This Row],[Cantidad]]</f>
        <v>#N/A</v>
      </c>
      <c r="T1822" s="369" t="str">
        <f>VLOOKUP(Tabla4[[#This Row],[Producto]],Tabla6[#All],14,FALSE)</f>
        <v>Termico Solar</v>
      </c>
      <c r="U1822" s="284" t="e">
        <f>(IF(Tabla4[[#This Row],[Familia]]="termico solar",Tabla4[[#This Row],[Utilidad Total]]*6%,Tabla4[[#This Row],[Utilidad Total]]*11.5%))/Tabla4[[#This Row],[Total]]</f>
        <v>#N/A</v>
      </c>
      <c r="V1822" s="282" t="e">
        <f>+Tabla4[[#This Row],[Comisión Calculada]]*Tabla4[[#This Row],[Total]]</f>
        <v>#N/A</v>
      </c>
    </row>
    <row r="1823" spans="1:22" hidden="1" x14ac:dyDescent="0.25">
      <c r="A1823" s="100">
        <v>45762</v>
      </c>
      <c r="B1823" t="str">
        <f t="shared" si="93"/>
        <v>April</v>
      </c>
      <c r="C1823" s="46" t="s">
        <v>280</v>
      </c>
      <c r="F1823" s="366" t="s">
        <v>1399</v>
      </c>
      <c r="G1823" s="46" t="s">
        <v>545</v>
      </c>
      <c r="H1823" s="46">
        <v>24</v>
      </c>
      <c r="I1823" s="51">
        <v>304.32</v>
      </c>
      <c r="J1823" s="281">
        <f>++Tabla4[[#This Row],[Precio Bruto]]*1.16</f>
        <v>353.01119999999997</v>
      </c>
      <c r="K1823" s="281">
        <f>+Tabla4[[#This Row],[Precio Unitario Neto]]*Tabla4[[#Headers],[20.85%]]</f>
        <v>73.602835199999987</v>
      </c>
      <c r="L1823" s="282">
        <f>++Tabla4[[#This Row],[Precio Unitario Neto]]-Tabla4[[#This Row],[20.85%]]</f>
        <v>279.40836479999996</v>
      </c>
      <c r="M1823" s="282" t="e">
        <f>(INDEX(Tabla6[#All],MATCH(Tabla4[[#This Row],[Producto]],Tabla6[[#All],[PRODUCTO]],0),MATCH(Tabla4[[#This Row],[Mes]],Tabla6[#Headers],0)))*(1+Catalogos!$L$2)</f>
        <v>#N/A</v>
      </c>
      <c r="N1823" s="283" t="e">
        <f>+(Tabla4[[#This Row],[Precio Descontado]]-Tabla4[[#This Row],[Precio Base]])*Tabla4[[#This Row],[Cantidad]]</f>
        <v>#N/A</v>
      </c>
      <c r="O1823" s="284" t="e">
        <f>++Tabla4[[#This Row],[Utilidad Total]]/Tabla4[[#This Row],[Total]]</f>
        <v>#N/A</v>
      </c>
      <c r="P1823" s="282">
        <f>++Tabla4[[#This Row],[Precio Descontado]]*Tabla4[[#This Row],[Cantidad]]</f>
        <v>6705.800755199999</v>
      </c>
      <c r="Q1823" s="282" t="e">
        <f>(INDEX(Tabla6[#All],MATCH(Tabla4[[#This Row],[Producto]],Tabla6[[#All],[PRODUCTO]],0),MATCH(Tabla4[[#This Row],[Mes]],Tabla6[#Headers],0)))</f>
        <v>#N/A</v>
      </c>
      <c r="R1823" s="282" t="e">
        <f>++Tabla4[[#This Row],[Precio Unitario Neto]]-Tabla4[[#This Row],[20.85%]]-Tabla4[[#This Row],[Costo]]</f>
        <v>#N/A</v>
      </c>
      <c r="S1823" s="282" t="e">
        <f>++Tabla4[[#This Row],[U. Bruta Uni]]*Tabla4[[#This Row],[Cantidad]]</f>
        <v>#N/A</v>
      </c>
      <c r="T1823" s="369" t="str">
        <f>VLOOKUP(Tabla4[[#This Row],[Producto]],Tabla6[#All],14,FALSE)</f>
        <v>Termico Solar</v>
      </c>
      <c r="U1823" s="284" t="e">
        <f>(IF(Tabla4[[#This Row],[Familia]]="termico solar",Tabla4[[#This Row],[Utilidad Total]]*6%,Tabla4[[#This Row],[Utilidad Total]]*11.5%))/Tabla4[[#This Row],[Total]]</f>
        <v>#N/A</v>
      </c>
      <c r="V1823" s="282" t="e">
        <f>+Tabla4[[#This Row],[Comisión Calculada]]*Tabla4[[#This Row],[Total]]</f>
        <v>#N/A</v>
      </c>
    </row>
    <row r="1824" spans="1:22" hidden="1" x14ac:dyDescent="0.25">
      <c r="A1824" s="100">
        <v>45762</v>
      </c>
      <c r="B1824" t="str">
        <f t="shared" si="93"/>
        <v>April</v>
      </c>
      <c r="C1824" s="46" t="s">
        <v>280</v>
      </c>
      <c r="F1824" s="366" t="s">
        <v>1399</v>
      </c>
      <c r="G1824" s="46" t="s">
        <v>208</v>
      </c>
      <c r="H1824" s="46">
        <v>10</v>
      </c>
      <c r="I1824" s="51">
        <v>189.75</v>
      </c>
      <c r="J1824" s="281">
        <f>++Tabla4[[#This Row],[Precio Bruto]]*1.16</f>
        <v>220.10999999999999</v>
      </c>
      <c r="K1824" s="281">
        <f>+Tabla4[[#This Row],[Precio Unitario Neto]]*Tabla4[[#Headers],[20.85%]]</f>
        <v>45.892934999999994</v>
      </c>
      <c r="L1824" s="282">
        <f>++Tabla4[[#This Row],[Precio Unitario Neto]]-Tabla4[[#This Row],[20.85%]]</f>
        <v>174.21706499999999</v>
      </c>
      <c r="M1824" s="282" t="e">
        <f>(INDEX(Tabla6[#All],MATCH(Tabla4[[#This Row],[Producto]],Tabla6[[#All],[PRODUCTO]],0),MATCH(Tabla4[[#This Row],[Mes]],Tabla6[#Headers],0)))*(1+Catalogos!$L$2)</f>
        <v>#N/A</v>
      </c>
      <c r="N1824" s="283" t="e">
        <f>+(Tabla4[[#This Row],[Precio Descontado]]-Tabla4[[#This Row],[Precio Base]])*Tabla4[[#This Row],[Cantidad]]</f>
        <v>#N/A</v>
      </c>
      <c r="O1824" s="284" t="e">
        <f>++Tabla4[[#This Row],[Utilidad Total]]/Tabla4[[#This Row],[Total]]</f>
        <v>#N/A</v>
      </c>
      <c r="P1824" s="282">
        <f>++Tabla4[[#This Row],[Precio Descontado]]*Tabla4[[#This Row],[Cantidad]]</f>
        <v>1742.17065</v>
      </c>
      <c r="Q1824" s="282" t="e">
        <f>(INDEX(Tabla6[#All],MATCH(Tabla4[[#This Row],[Producto]],Tabla6[[#All],[PRODUCTO]],0),MATCH(Tabla4[[#This Row],[Mes]],Tabla6[#Headers],0)))</f>
        <v>#N/A</v>
      </c>
      <c r="R1824" s="282" t="e">
        <f>++Tabla4[[#This Row],[Precio Unitario Neto]]-Tabla4[[#This Row],[20.85%]]-Tabla4[[#This Row],[Costo]]</f>
        <v>#N/A</v>
      </c>
      <c r="S1824" s="282" t="e">
        <f>++Tabla4[[#This Row],[U. Bruta Uni]]*Tabla4[[#This Row],[Cantidad]]</f>
        <v>#N/A</v>
      </c>
      <c r="T1824" s="369" t="str">
        <f>VLOOKUP(Tabla4[[#This Row],[Producto]],Tabla6[#All],14,FALSE)</f>
        <v>Termico Solar</v>
      </c>
      <c r="U1824" s="284" t="e">
        <f>(IF(Tabla4[[#This Row],[Familia]]="termico solar",Tabla4[[#This Row],[Utilidad Total]]*6%,Tabla4[[#This Row],[Utilidad Total]]*11.5%))/Tabla4[[#This Row],[Total]]</f>
        <v>#N/A</v>
      </c>
      <c r="V1824" s="282" t="e">
        <f>+Tabla4[[#This Row],[Comisión Calculada]]*Tabla4[[#This Row],[Total]]</f>
        <v>#N/A</v>
      </c>
    </row>
    <row r="1825" spans="1:22" hidden="1" x14ac:dyDescent="0.25">
      <c r="A1825" s="100">
        <v>45762</v>
      </c>
      <c r="B1825" t="str">
        <f t="shared" si="93"/>
        <v>April</v>
      </c>
      <c r="C1825" s="46" t="s">
        <v>280</v>
      </c>
      <c r="F1825" s="366" t="s">
        <v>1399</v>
      </c>
      <c r="G1825" s="46" t="s">
        <v>209</v>
      </c>
      <c r="H1825" s="46">
        <v>10</v>
      </c>
      <c r="I1825" s="51">
        <v>347.48</v>
      </c>
      <c r="J1825" s="281">
        <f>++Tabla4[[#This Row],[Precio Bruto]]*1.16</f>
        <v>403.07679999999999</v>
      </c>
      <c r="K1825" s="281">
        <f>+Tabla4[[#This Row],[Precio Unitario Neto]]*Tabla4[[#Headers],[20.85%]]</f>
        <v>84.041512799999992</v>
      </c>
      <c r="L1825" s="282">
        <f>++Tabla4[[#This Row],[Precio Unitario Neto]]-Tabla4[[#This Row],[20.85%]]</f>
        <v>319.03528719999997</v>
      </c>
      <c r="M1825" s="282" t="e">
        <f>(INDEX(Tabla6[#All],MATCH(Tabla4[[#This Row],[Producto]],Tabla6[[#All],[PRODUCTO]],0),MATCH(Tabla4[[#This Row],[Mes]],Tabla6[#Headers],0)))*(1+Catalogos!$L$2)</f>
        <v>#N/A</v>
      </c>
      <c r="N1825" s="283" t="e">
        <f>+(Tabla4[[#This Row],[Precio Descontado]]-Tabla4[[#This Row],[Precio Base]])*Tabla4[[#This Row],[Cantidad]]</f>
        <v>#N/A</v>
      </c>
      <c r="O1825" s="284" t="e">
        <f>++Tabla4[[#This Row],[Utilidad Total]]/Tabla4[[#This Row],[Total]]</f>
        <v>#N/A</v>
      </c>
      <c r="P1825" s="282">
        <f>++Tabla4[[#This Row],[Precio Descontado]]*Tabla4[[#This Row],[Cantidad]]</f>
        <v>3190.3528719999995</v>
      </c>
      <c r="Q1825" s="282" t="e">
        <f>(INDEX(Tabla6[#All],MATCH(Tabla4[[#This Row],[Producto]],Tabla6[[#All],[PRODUCTO]],0),MATCH(Tabla4[[#This Row],[Mes]],Tabla6[#Headers],0)))</f>
        <v>#N/A</v>
      </c>
      <c r="R1825" s="282" t="e">
        <f>++Tabla4[[#This Row],[Precio Unitario Neto]]-Tabla4[[#This Row],[20.85%]]-Tabla4[[#This Row],[Costo]]</f>
        <v>#N/A</v>
      </c>
      <c r="S1825" s="282" t="e">
        <f>++Tabla4[[#This Row],[U. Bruta Uni]]*Tabla4[[#This Row],[Cantidad]]</f>
        <v>#N/A</v>
      </c>
      <c r="T1825" s="369" t="str">
        <f>VLOOKUP(Tabla4[[#This Row],[Producto]],Tabla6[#All],14,FALSE)</f>
        <v>Termico Solar</v>
      </c>
      <c r="U1825" s="284" t="e">
        <f>(IF(Tabla4[[#This Row],[Familia]]="termico solar",Tabla4[[#This Row],[Utilidad Total]]*6%,Tabla4[[#This Row],[Utilidad Total]]*11.5%))/Tabla4[[#This Row],[Total]]</f>
        <v>#N/A</v>
      </c>
      <c r="V1825" s="282" t="e">
        <f>+Tabla4[[#This Row],[Comisión Calculada]]*Tabla4[[#This Row],[Total]]</f>
        <v>#N/A</v>
      </c>
    </row>
    <row r="1826" spans="1:22" hidden="1" x14ac:dyDescent="0.25">
      <c r="A1826" s="100">
        <v>45762</v>
      </c>
      <c r="B1826" t="str">
        <f t="shared" ref="B1826:B1845" si="94">TEXT(A1826, "mmmm")</f>
        <v>April</v>
      </c>
      <c r="C1826" s="46" t="s">
        <v>280</v>
      </c>
      <c r="F1826" s="366" t="s">
        <v>1400</v>
      </c>
      <c r="G1826" s="46" t="s">
        <v>83</v>
      </c>
      <c r="H1826" s="46">
        <v>3</v>
      </c>
      <c r="I1826" s="51">
        <v>8858.76</v>
      </c>
      <c r="J1826" s="281">
        <f>++Tabla4[[#This Row],[Precio Bruto]]*1.16</f>
        <v>10276.161599999999</v>
      </c>
      <c r="K1826" s="281">
        <f>+Tabla4[[#This Row],[Precio Unitario Neto]]*Tabla4[[#Headers],[20.85%]]</f>
        <v>2142.5796935999997</v>
      </c>
      <c r="L1826" s="282">
        <f>++Tabla4[[#This Row],[Precio Unitario Neto]]-Tabla4[[#This Row],[20.85%]]</f>
        <v>8133.5819063999998</v>
      </c>
      <c r="M1826" s="282" t="e">
        <f>(INDEX(Tabla6[#All],MATCH(Tabla4[[#This Row],[Producto]],Tabla6[[#All],[PRODUCTO]],0),MATCH(Tabla4[[#This Row],[Mes]],Tabla6[#Headers],0)))*(1+Catalogos!$L$2)</f>
        <v>#N/A</v>
      </c>
      <c r="N1826" s="283" t="e">
        <f>+(Tabla4[[#This Row],[Precio Descontado]]-Tabla4[[#This Row],[Precio Base]])*Tabla4[[#This Row],[Cantidad]]</f>
        <v>#N/A</v>
      </c>
      <c r="O1826" s="284" t="e">
        <f>++Tabla4[[#This Row],[Utilidad Total]]/Tabla4[[#This Row],[Total]]</f>
        <v>#N/A</v>
      </c>
      <c r="P1826" s="282">
        <f>++Tabla4[[#This Row],[Precio Descontado]]*Tabla4[[#This Row],[Cantidad]]</f>
        <v>24400.7457192</v>
      </c>
      <c r="Q1826" s="282" t="e">
        <f>(INDEX(Tabla6[#All],MATCH(Tabla4[[#This Row],[Producto]],Tabla6[[#All],[PRODUCTO]],0),MATCH(Tabla4[[#This Row],[Mes]],Tabla6[#Headers],0)))</f>
        <v>#N/A</v>
      </c>
      <c r="R1826" s="282" t="e">
        <f>++Tabla4[[#This Row],[Precio Unitario Neto]]-Tabla4[[#This Row],[20.85%]]-Tabla4[[#This Row],[Costo]]</f>
        <v>#N/A</v>
      </c>
      <c r="S1826" s="282" t="e">
        <f>++Tabla4[[#This Row],[U. Bruta Uni]]*Tabla4[[#This Row],[Cantidad]]</f>
        <v>#N/A</v>
      </c>
      <c r="T1826" s="369" t="str">
        <f>VLOOKUP(Tabla4[[#This Row],[Producto]],Tabla6[#All],14,FALSE)</f>
        <v>Termico Solar</v>
      </c>
      <c r="U1826" s="284" t="e">
        <f>(IF(Tabla4[[#This Row],[Familia]]="termico solar",Tabla4[[#This Row],[Utilidad Total]]*6%,Tabla4[[#This Row],[Utilidad Total]]*11.5%))/Tabla4[[#This Row],[Total]]</f>
        <v>#N/A</v>
      </c>
      <c r="V1826" s="282" t="e">
        <f>+Tabla4[[#This Row],[Comisión Calculada]]*Tabla4[[#This Row],[Total]]</f>
        <v>#N/A</v>
      </c>
    </row>
    <row r="1827" spans="1:22" hidden="1" x14ac:dyDescent="0.25">
      <c r="A1827" s="100">
        <v>45762</v>
      </c>
      <c r="B1827" t="str">
        <f t="shared" si="94"/>
        <v>April</v>
      </c>
      <c r="C1827" s="46" t="s">
        <v>280</v>
      </c>
      <c r="F1827" s="366" t="s">
        <v>1400</v>
      </c>
      <c r="G1827" s="46" t="s">
        <v>17</v>
      </c>
      <c r="H1827" s="46">
        <v>5</v>
      </c>
      <c r="I1827" s="51">
        <v>4622.2800000000007</v>
      </c>
      <c r="J1827" s="281">
        <f>++Tabla4[[#This Row],[Precio Bruto]]*1.16</f>
        <v>5361.8448000000008</v>
      </c>
      <c r="K1827" s="281">
        <f>+Tabla4[[#This Row],[Precio Unitario Neto]]*Tabla4[[#Headers],[20.85%]]</f>
        <v>1117.9446408000001</v>
      </c>
      <c r="L1827" s="282">
        <f>++Tabla4[[#This Row],[Precio Unitario Neto]]-Tabla4[[#This Row],[20.85%]]</f>
        <v>4243.9001592000004</v>
      </c>
      <c r="M1827" s="282" t="e">
        <f>(INDEX(Tabla6[#All],MATCH(Tabla4[[#This Row],[Producto]],Tabla6[[#All],[PRODUCTO]],0),MATCH(Tabla4[[#This Row],[Mes]],Tabla6[#Headers],0)))*(1+Catalogos!$L$2)</f>
        <v>#N/A</v>
      </c>
      <c r="N1827" s="283" t="e">
        <f>+(Tabla4[[#This Row],[Precio Descontado]]-Tabla4[[#This Row],[Precio Base]])*Tabla4[[#This Row],[Cantidad]]</f>
        <v>#N/A</v>
      </c>
      <c r="O1827" s="284" t="e">
        <f>++Tabla4[[#This Row],[Utilidad Total]]/Tabla4[[#This Row],[Total]]</f>
        <v>#N/A</v>
      </c>
      <c r="P1827" s="282">
        <f>++Tabla4[[#This Row],[Precio Descontado]]*Tabla4[[#This Row],[Cantidad]]</f>
        <v>21219.500796</v>
      </c>
      <c r="Q1827" s="282" t="e">
        <f>(INDEX(Tabla6[#All],MATCH(Tabla4[[#This Row],[Producto]],Tabla6[[#All],[PRODUCTO]],0),MATCH(Tabla4[[#This Row],[Mes]],Tabla6[#Headers],0)))</f>
        <v>#N/A</v>
      </c>
      <c r="R1827" s="282" t="e">
        <f>++Tabla4[[#This Row],[Precio Unitario Neto]]-Tabla4[[#This Row],[20.85%]]-Tabla4[[#This Row],[Costo]]</f>
        <v>#N/A</v>
      </c>
      <c r="S1827" s="282" t="e">
        <f>++Tabla4[[#This Row],[U. Bruta Uni]]*Tabla4[[#This Row],[Cantidad]]</f>
        <v>#N/A</v>
      </c>
      <c r="T1827" s="369" t="str">
        <f>VLOOKUP(Tabla4[[#This Row],[Producto]],Tabla6[#All],14,FALSE)</f>
        <v>Termico Solar</v>
      </c>
      <c r="U1827" s="284" t="e">
        <f>(IF(Tabla4[[#This Row],[Familia]]="termico solar",Tabla4[[#This Row],[Utilidad Total]]*6%,Tabla4[[#This Row],[Utilidad Total]]*11.5%))/Tabla4[[#This Row],[Total]]</f>
        <v>#N/A</v>
      </c>
      <c r="V1827" s="282" t="e">
        <f>+Tabla4[[#This Row],[Comisión Calculada]]*Tabla4[[#This Row],[Total]]</f>
        <v>#N/A</v>
      </c>
    </row>
    <row r="1828" spans="1:22" hidden="1" x14ac:dyDescent="0.25">
      <c r="A1828" s="100">
        <v>45762</v>
      </c>
      <c r="B1828" t="str">
        <f t="shared" si="94"/>
        <v>April</v>
      </c>
      <c r="C1828" s="46" t="s">
        <v>280</v>
      </c>
      <c r="F1828" s="366" t="s">
        <v>1400</v>
      </c>
      <c r="G1828" s="46" t="s">
        <v>20</v>
      </c>
      <c r="H1828" s="46">
        <v>1</v>
      </c>
      <c r="I1828" s="51">
        <v>7751.98</v>
      </c>
      <c r="J1828" s="281">
        <f>++Tabla4[[#This Row],[Precio Bruto]]*1.16</f>
        <v>8992.2967999999983</v>
      </c>
      <c r="K1828" s="281">
        <f>+Tabla4[[#This Row],[Precio Unitario Neto]]*Tabla4[[#Headers],[20.85%]]</f>
        <v>1874.8938827999996</v>
      </c>
      <c r="L1828" s="282">
        <f>++Tabla4[[#This Row],[Precio Unitario Neto]]-Tabla4[[#This Row],[20.85%]]</f>
        <v>7117.4029171999991</v>
      </c>
      <c r="M1828" s="282" t="e">
        <f>(INDEX(Tabla6[#All],MATCH(Tabla4[[#This Row],[Producto]],Tabla6[[#All],[PRODUCTO]],0),MATCH(Tabla4[[#This Row],[Mes]],Tabla6[#Headers],0)))*(1+Catalogos!$L$2)</f>
        <v>#N/A</v>
      </c>
      <c r="N1828" s="283" t="e">
        <f>+(Tabla4[[#This Row],[Precio Descontado]]-Tabla4[[#This Row],[Precio Base]])*Tabla4[[#This Row],[Cantidad]]</f>
        <v>#N/A</v>
      </c>
      <c r="O1828" s="284" t="e">
        <f>++Tabla4[[#This Row],[Utilidad Total]]/Tabla4[[#This Row],[Total]]</f>
        <v>#N/A</v>
      </c>
      <c r="P1828" s="282">
        <f>++Tabla4[[#This Row],[Precio Descontado]]*Tabla4[[#This Row],[Cantidad]]</f>
        <v>7117.4029171999991</v>
      </c>
      <c r="Q1828" s="282" t="e">
        <f>(INDEX(Tabla6[#All],MATCH(Tabla4[[#This Row],[Producto]],Tabla6[[#All],[PRODUCTO]],0),MATCH(Tabla4[[#This Row],[Mes]],Tabla6[#Headers],0)))</f>
        <v>#N/A</v>
      </c>
      <c r="R1828" s="282" t="e">
        <f>++Tabla4[[#This Row],[Precio Unitario Neto]]-Tabla4[[#This Row],[20.85%]]-Tabla4[[#This Row],[Costo]]</f>
        <v>#N/A</v>
      </c>
      <c r="S1828" s="282" t="e">
        <f>++Tabla4[[#This Row],[U. Bruta Uni]]*Tabla4[[#This Row],[Cantidad]]</f>
        <v>#N/A</v>
      </c>
      <c r="T1828" s="369" t="str">
        <f>VLOOKUP(Tabla4[[#This Row],[Producto]],Tabla6[#All],14,FALSE)</f>
        <v>Termico Solar</v>
      </c>
      <c r="U1828" s="284" t="e">
        <f>(IF(Tabla4[[#This Row],[Familia]]="termico solar",Tabla4[[#This Row],[Utilidad Total]]*6%,Tabla4[[#This Row],[Utilidad Total]]*11.5%))/Tabla4[[#This Row],[Total]]</f>
        <v>#N/A</v>
      </c>
      <c r="V1828" s="282" t="e">
        <f>+Tabla4[[#This Row],[Comisión Calculada]]*Tabla4[[#This Row],[Total]]</f>
        <v>#N/A</v>
      </c>
    </row>
    <row r="1829" spans="1:22" hidden="1" x14ac:dyDescent="0.25">
      <c r="A1829" s="100">
        <v>45762</v>
      </c>
      <c r="B1829" t="str">
        <f t="shared" si="94"/>
        <v>April</v>
      </c>
      <c r="C1829" s="46" t="s">
        <v>280</v>
      </c>
      <c r="F1829" s="366" t="s">
        <v>1400</v>
      </c>
      <c r="G1829" s="46" t="s">
        <v>394</v>
      </c>
      <c r="H1829" s="46">
        <v>9</v>
      </c>
      <c r="I1829" s="51">
        <v>108.1</v>
      </c>
      <c r="J1829" s="281">
        <f>++Tabla4[[#This Row],[Precio Bruto]]*1.16</f>
        <v>125.39599999999999</v>
      </c>
      <c r="K1829" s="281">
        <f>+Tabla4[[#This Row],[Precio Unitario Neto]]*Tabla4[[#Headers],[20.85%]]</f>
        <v>26.145065999999996</v>
      </c>
      <c r="L1829" s="282">
        <f>++Tabla4[[#This Row],[Precio Unitario Neto]]-Tabla4[[#This Row],[20.85%]]</f>
        <v>99.250933999999987</v>
      </c>
      <c r="M1829" s="282" t="e">
        <f>(INDEX(Tabla6[#All],MATCH(Tabla4[[#This Row],[Producto]],Tabla6[[#All],[PRODUCTO]],0),MATCH(Tabla4[[#This Row],[Mes]],Tabla6[#Headers],0)))*(1+Catalogos!$L$2)</f>
        <v>#N/A</v>
      </c>
      <c r="N1829" s="283" t="e">
        <f>+(Tabla4[[#This Row],[Precio Descontado]]-Tabla4[[#This Row],[Precio Base]])*Tabla4[[#This Row],[Cantidad]]</f>
        <v>#N/A</v>
      </c>
      <c r="O1829" s="284" t="e">
        <f>++Tabla4[[#This Row],[Utilidad Total]]/Tabla4[[#This Row],[Total]]</f>
        <v>#N/A</v>
      </c>
      <c r="P1829" s="282">
        <f>++Tabla4[[#This Row],[Precio Descontado]]*Tabla4[[#This Row],[Cantidad]]</f>
        <v>893.25840599999992</v>
      </c>
      <c r="Q1829" s="282" t="e">
        <f>(INDEX(Tabla6[#All],MATCH(Tabla4[[#This Row],[Producto]],Tabla6[[#All],[PRODUCTO]],0),MATCH(Tabla4[[#This Row],[Mes]],Tabla6[#Headers],0)))</f>
        <v>#N/A</v>
      </c>
      <c r="R1829" s="282" t="e">
        <f>++Tabla4[[#This Row],[Precio Unitario Neto]]-Tabla4[[#This Row],[20.85%]]-Tabla4[[#This Row],[Costo]]</f>
        <v>#N/A</v>
      </c>
      <c r="S1829" s="282" t="e">
        <f>++Tabla4[[#This Row],[U. Bruta Uni]]*Tabla4[[#This Row],[Cantidad]]</f>
        <v>#N/A</v>
      </c>
      <c r="T1829" s="369" t="str">
        <f>VLOOKUP(Tabla4[[#This Row],[Producto]],Tabla6[#All],14,FALSE)</f>
        <v>Termico Solar</v>
      </c>
      <c r="U1829" s="284" t="e">
        <f>(IF(Tabla4[[#This Row],[Familia]]="termico solar",Tabla4[[#This Row],[Utilidad Total]]*6%,Tabla4[[#This Row],[Utilidad Total]]*11.5%))/Tabla4[[#This Row],[Total]]</f>
        <v>#N/A</v>
      </c>
      <c r="V1829" s="282" t="e">
        <f>+Tabla4[[#This Row],[Comisión Calculada]]*Tabla4[[#This Row],[Total]]</f>
        <v>#N/A</v>
      </c>
    </row>
    <row r="1830" spans="1:22" hidden="1" x14ac:dyDescent="0.25">
      <c r="A1830" s="100">
        <v>45762</v>
      </c>
      <c r="B1830" t="str">
        <f t="shared" si="94"/>
        <v>April</v>
      </c>
      <c r="C1830" s="46" t="s">
        <v>280</v>
      </c>
      <c r="F1830" s="366" t="s">
        <v>1400</v>
      </c>
      <c r="G1830" s="46" t="s">
        <v>16</v>
      </c>
      <c r="H1830" s="46">
        <v>2</v>
      </c>
      <c r="I1830" s="51">
        <v>4103.8500000000004</v>
      </c>
      <c r="J1830" s="281">
        <f>++Tabla4[[#This Row],[Precio Bruto]]*1.16</f>
        <v>4760.4660000000003</v>
      </c>
      <c r="K1830" s="281">
        <f>+Tabla4[[#This Row],[Precio Unitario Neto]]*Tabla4[[#Headers],[20.85%]]</f>
        <v>992.55716100000006</v>
      </c>
      <c r="L1830" s="282">
        <f>++Tabla4[[#This Row],[Precio Unitario Neto]]-Tabla4[[#This Row],[20.85%]]</f>
        <v>3767.9088390000002</v>
      </c>
      <c r="M1830" s="282" t="e">
        <f>(INDEX(Tabla6[#All],MATCH(Tabla4[[#This Row],[Producto]],Tabla6[[#All],[PRODUCTO]],0),MATCH(Tabla4[[#This Row],[Mes]],Tabla6[#Headers],0)))*(1+Catalogos!$L$2)</f>
        <v>#N/A</v>
      </c>
      <c r="N1830" s="283" t="e">
        <f>+(Tabla4[[#This Row],[Precio Descontado]]-Tabla4[[#This Row],[Precio Base]])*Tabla4[[#This Row],[Cantidad]]</f>
        <v>#N/A</v>
      </c>
      <c r="O1830" s="284" t="e">
        <f>++Tabla4[[#This Row],[Utilidad Total]]/Tabla4[[#This Row],[Total]]</f>
        <v>#N/A</v>
      </c>
      <c r="P1830" s="282">
        <f>++Tabla4[[#This Row],[Precio Descontado]]*Tabla4[[#This Row],[Cantidad]]</f>
        <v>7535.8176780000003</v>
      </c>
      <c r="Q1830" s="282" t="e">
        <f>(INDEX(Tabla6[#All],MATCH(Tabla4[[#This Row],[Producto]],Tabla6[[#All],[PRODUCTO]],0),MATCH(Tabla4[[#This Row],[Mes]],Tabla6[#Headers],0)))</f>
        <v>#N/A</v>
      </c>
      <c r="R1830" s="282" t="e">
        <f>++Tabla4[[#This Row],[Precio Unitario Neto]]-Tabla4[[#This Row],[20.85%]]-Tabla4[[#This Row],[Costo]]</f>
        <v>#N/A</v>
      </c>
      <c r="S1830" s="282" t="e">
        <f>++Tabla4[[#This Row],[U. Bruta Uni]]*Tabla4[[#This Row],[Cantidad]]</f>
        <v>#N/A</v>
      </c>
      <c r="T1830" s="369" t="str">
        <f>VLOOKUP(Tabla4[[#This Row],[Producto]],Tabla6[#All],14,FALSE)</f>
        <v>Termico Solar</v>
      </c>
      <c r="U1830" s="284" t="e">
        <f>(IF(Tabla4[[#This Row],[Familia]]="termico solar",Tabla4[[#This Row],[Utilidad Total]]*6%,Tabla4[[#This Row],[Utilidad Total]]*11.5%))/Tabla4[[#This Row],[Total]]</f>
        <v>#N/A</v>
      </c>
      <c r="V1830" s="282" t="e">
        <f>+Tabla4[[#This Row],[Comisión Calculada]]*Tabla4[[#This Row],[Total]]</f>
        <v>#N/A</v>
      </c>
    </row>
    <row r="1831" spans="1:22" hidden="1" x14ac:dyDescent="0.25">
      <c r="A1831" s="100">
        <v>45762</v>
      </c>
      <c r="B1831" t="str">
        <f t="shared" si="94"/>
        <v>April</v>
      </c>
      <c r="C1831" s="46" t="s">
        <v>280</v>
      </c>
      <c r="F1831" s="366" t="s">
        <v>1401</v>
      </c>
      <c r="G1831" s="46" t="s">
        <v>83</v>
      </c>
      <c r="H1831" s="46">
        <v>1</v>
      </c>
      <c r="I1831" s="51">
        <v>8858.76</v>
      </c>
      <c r="J1831" s="281">
        <f>++Tabla4[[#This Row],[Precio Bruto]]*1.16</f>
        <v>10276.161599999999</v>
      </c>
      <c r="K1831" s="281">
        <f>+Tabla4[[#This Row],[Precio Unitario Neto]]*Tabla4[[#Headers],[20.85%]]</f>
        <v>2142.5796935999997</v>
      </c>
      <c r="L1831" s="282">
        <f>++Tabla4[[#This Row],[Precio Unitario Neto]]-Tabla4[[#This Row],[20.85%]]</f>
        <v>8133.5819063999998</v>
      </c>
      <c r="M1831" s="282" t="e">
        <f>(INDEX(Tabla6[#All],MATCH(Tabla4[[#This Row],[Producto]],Tabla6[[#All],[PRODUCTO]],0),MATCH(Tabla4[[#This Row],[Mes]],Tabla6[#Headers],0)))*(1+Catalogos!$L$2)</f>
        <v>#N/A</v>
      </c>
      <c r="N1831" s="283" t="e">
        <f>+(Tabla4[[#This Row],[Precio Descontado]]-Tabla4[[#This Row],[Precio Base]])*Tabla4[[#This Row],[Cantidad]]</f>
        <v>#N/A</v>
      </c>
      <c r="O1831" s="284" t="e">
        <f>++Tabla4[[#This Row],[Utilidad Total]]/Tabla4[[#This Row],[Total]]</f>
        <v>#N/A</v>
      </c>
      <c r="P1831" s="282">
        <f>++Tabla4[[#This Row],[Precio Descontado]]*Tabla4[[#This Row],[Cantidad]]</f>
        <v>8133.5819063999998</v>
      </c>
      <c r="Q1831" s="282" t="e">
        <f>(INDEX(Tabla6[#All],MATCH(Tabla4[[#This Row],[Producto]],Tabla6[[#All],[PRODUCTO]],0),MATCH(Tabla4[[#This Row],[Mes]],Tabla6[#Headers],0)))</f>
        <v>#N/A</v>
      </c>
      <c r="R1831" s="282" t="e">
        <f>++Tabla4[[#This Row],[Precio Unitario Neto]]-Tabla4[[#This Row],[20.85%]]-Tabla4[[#This Row],[Costo]]</f>
        <v>#N/A</v>
      </c>
      <c r="S1831" s="282" t="e">
        <f>++Tabla4[[#This Row],[U. Bruta Uni]]*Tabla4[[#This Row],[Cantidad]]</f>
        <v>#N/A</v>
      </c>
      <c r="T1831" s="369" t="str">
        <f>VLOOKUP(Tabla4[[#This Row],[Producto]],Tabla6[#All],14,FALSE)</f>
        <v>Termico Solar</v>
      </c>
      <c r="U1831" s="284" t="e">
        <f>(IF(Tabla4[[#This Row],[Familia]]="termico solar",Tabla4[[#This Row],[Utilidad Total]]*6%,Tabla4[[#This Row],[Utilidad Total]]*11.5%))/Tabla4[[#This Row],[Total]]</f>
        <v>#N/A</v>
      </c>
      <c r="V1831" s="282" t="e">
        <f>+Tabla4[[#This Row],[Comisión Calculada]]*Tabla4[[#This Row],[Total]]</f>
        <v>#N/A</v>
      </c>
    </row>
    <row r="1832" spans="1:22" hidden="1" x14ac:dyDescent="0.25">
      <c r="A1832" s="100">
        <v>45762</v>
      </c>
      <c r="B1832" t="str">
        <f t="shared" si="94"/>
        <v>April</v>
      </c>
      <c r="C1832" s="46" t="s">
        <v>280</v>
      </c>
      <c r="F1832" s="366" t="s">
        <v>1401</v>
      </c>
      <c r="G1832" s="46" t="s">
        <v>18</v>
      </c>
      <c r="H1832" s="46">
        <v>2</v>
      </c>
      <c r="I1832" s="51">
        <v>5367.65</v>
      </c>
      <c r="J1832" s="281">
        <f>++Tabla4[[#This Row],[Precio Bruto]]*1.16</f>
        <v>6226.4739999999993</v>
      </c>
      <c r="K1832" s="281">
        <f>+Tabla4[[#This Row],[Precio Unitario Neto]]*Tabla4[[#Headers],[20.85%]]</f>
        <v>1298.2198289999999</v>
      </c>
      <c r="L1832" s="282">
        <f>++Tabla4[[#This Row],[Precio Unitario Neto]]-Tabla4[[#This Row],[20.85%]]</f>
        <v>4928.2541709999996</v>
      </c>
      <c r="M1832" s="282" t="e">
        <f>(INDEX(Tabla6[#All],MATCH(Tabla4[[#This Row],[Producto]],Tabla6[[#All],[PRODUCTO]],0),MATCH(Tabla4[[#This Row],[Mes]],Tabla6[#Headers],0)))*(1+Catalogos!$L$2)</f>
        <v>#N/A</v>
      </c>
      <c r="N1832" s="283" t="e">
        <f>+(Tabla4[[#This Row],[Precio Descontado]]-Tabla4[[#This Row],[Precio Base]])*Tabla4[[#This Row],[Cantidad]]</f>
        <v>#N/A</v>
      </c>
      <c r="O1832" s="284" t="e">
        <f>++Tabla4[[#This Row],[Utilidad Total]]/Tabla4[[#This Row],[Total]]</f>
        <v>#N/A</v>
      </c>
      <c r="P1832" s="282">
        <f>++Tabla4[[#This Row],[Precio Descontado]]*Tabla4[[#This Row],[Cantidad]]</f>
        <v>9856.5083419999992</v>
      </c>
      <c r="Q1832" s="282" t="e">
        <f>(INDEX(Tabla6[#All],MATCH(Tabla4[[#This Row],[Producto]],Tabla6[[#All],[PRODUCTO]],0),MATCH(Tabla4[[#This Row],[Mes]],Tabla6[#Headers],0)))</f>
        <v>#N/A</v>
      </c>
      <c r="R1832" s="282" t="e">
        <f>++Tabla4[[#This Row],[Precio Unitario Neto]]-Tabla4[[#This Row],[20.85%]]-Tabla4[[#This Row],[Costo]]</f>
        <v>#N/A</v>
      </c>
      <c r="S1832" s="282" t="e">
        <f>++Tabla4[[#This Row],[U. Bruta Uni]]*Tabla4[[#This Row],[Cantidad]]</f>
        <v>#N/A</v>
      </c>
      <c r="T1832" s="369" t="str">
        <f>VLOOKUP(Tabla4[[#This Row],[Producto]],Tabla6[#All],14,FALSE)</f>
        <v>Termico Solar</v>
      </c>
      <c r="U1832" s="284" t="e">
        <f>(IF(Tabla4[[#This Row],[Familia]]="termico solar",Tabla4[[#This Row],[Utilidad Total]]*6%,Tabla4[[#This Row],[Utilidad Total]]*11.5%))/Tabla4[[#This Row],[Total]]</f>
        <v>#N/A</v>
      </c>
      <c r="V1832" s="282" t="e">
        <f>+Tabla4[[#This Row],[Comisión Calculada]]*Tabla4[[#This Row],[Total]]</f>
        <v>#N/A</v>
      </c>
    </row>
    <row r="1833" spans="1:22" hidden="1" x14ac:dyDescent="0.25">
      <c r="A1833" s="100">
        <v>45762</v>
      </c>
      <c r="B1833" t="str">
        <f t="shared" si="94"/>
        <v>April</v>
      </c>
      <c r="C1833" s="46" t="s">
        <v>280</v>
      </c>
      <c r="F1833" s="366" t="s">
        <v>1401</v>
      </c>
      <c r="G1833" s="46" t="s">
        <v>16</v>
      </c>
      <c r="H1833" s="46">
        <v>2</v>
      </c>
      <c r="I1833" s="51">
        <v>4103.8500000000004</v>
      </c>
      <c r="J1833" s="281">
        <f>++Tabla4[[#This Row],[Precio Bruto]]*1.16</f>
        <v>4760.4660000000003</v>
      </c>
      <c r="K1833" s="281">
        <f>+Tabla4[[#This Row],[Precio Unitario Neto]]*Tabla4[[#Headers],[20.85%]]</f>
        <v>992.55716100000006</v>
      </c>
      <c r="L1833" s="282">
        <f>++Tabla4[[#This Row],[Precio Unitario Neto]]-Tabla4[[#This Row],[20.85%]]</f>
        <v>3767.9088390000002</v>
      </c>
      <c r="M1833" s="282" t="e">
        <f>(INDEX(Tabla6[#All],MATCH(Tabla4[[#This Row],[Producto]],Tabla6[[#All],[PRODUCTO]],0),MATCH(Tabla4[[#This Row],[Mes]],Tabla6[#Headers],0)))*(1+Catalogos!$L$2)</f>
        <v>#N/A</v>
      </c>
      <c r="N1833" s="283" t="e">
        <f>+(Tabla4[[#This Row],[Precio Descontado]]-Tabla4[[#This Row],[Precio Base]])*Tabla4[[#This Row],[Cantidad]]</f>
        <v>#N/A</v>
      </c>
      <c r="O1833" s="284" t="e">
        <f>++Tabla4[[#This Row],[Utilidad Total]]/Tabla4[[#This Row],[Total]]</f>
        <v>#N/A</v>
      </c>
      <c r="P1833" s="282">
        <f>++Tabla4[[#This Row],[Precio Descontado]]*Tabla4[[#This Row],[Cantidad]]</f>
        <v>7535.8176780000003</v>
      </c>
      <c r="Q1833" s="282" t="e">
        <f>(INDEX(Tabla6[#All],MATCH(Tabla4[[#This Row],[Producto]],Tabla6[[#All],[PRODUCTO]],0),MATCH(Tabla4[[#This Row],[Mes]],Tabla6[#Headers],0)))</f>
        <v>#N/A</v>
      </c>
      <c r="R1833" s="282" t="e">
        <f>++Tabla4[[#This Row],[Precio Unitario Neto]]-Tabla4[[#This Row],[20.85%]]-Tabla4[[#This Row],[Costo]]</f>
        <v>#N/A</v>
      </c>
      <c r="S1833" s="282" t="e">
        <f>++Tabla4[[#This Row],[U. Bruta Uni]]*Tabla4[[#This Row],[Cantidad]]</f>
        <v>#N/A</v>
      </c>
      <c r="T1833" s="369" t="str">
        <f>VLOOKUP(Tabla4[[#This Row],[Producto]],Tabla6[#All],14,FALSE)</f>
        <v>Termico Solar</v>
      </c>
      <c r="U1833" s="284" t="e">
        <f>(IF(Tabla4[[#This Row],[Familia]]="termico solar",Tabla4[[#This Row],[Utilidad Total]]*6%,Tabla4[[#This Row],[Utilidad Total]]*11.5%))/Tabla4[[#This Row],[Total]]</f>
        <v>#N/A</v>
      </c>
      <c r="V1833" s="282" t="e">
        <f>+Tabla4[[#This Row],[Comisión Calculada]]*Tabla4[[#This Row],[Total]]</f>
        <v>#N/A</v>
      </c>
    </row>
    <row r="1834" spans="1:22" hidden="1" x14ac:dyDescent="0.25">
      <c r="A1834" s="100">
        <v>45762</v>
      </c>
      <c r="B1834" t="str">
        <f t="shared" si="94"/>
        <v>April</v>
      </c>
      <c r="C1834" s="46" t="s">
        <v>280</v>
      </c>
      <c r="F1834" s="366" t="s">
        <v>1401</v>
      </c>
      <c r="G1834" s="46" t="s">
        <v>208</v>
      </c>
      <c r="H1834" s="46">
        <v>1</v>
      </c>
      <c r="I1834" s="51">
        <v>189.75</v>
      </c>
      <c r="J1834" s="281">
        <f>++Tabla4[[#This Row],[Precio Bruto]]*1.16</f>
        <v>220.10999999999999</v>
      </c>
      <c r="K1834" s="281">
        <f>+Tabla4[[#This Row],[Precio Unitario Neto]]*Tabla4[[#Headers],[20.85%]]</f>
        <v>45.892934999999994</v>
      </c>
      <c r="L1834" s="282">
        <f>++Tabla4[[#This Row],[Precio Unitario Neto]]-Tabla4[[#This Row],[20.85%]]</f>
        <v>174.21706499999999</v>
      </c>
      <c r="M1834" s="282" t="e">
        <f>(INDEX(Tabla6[#All],MATCH(Tabla4[[#This Row],[Producto]],Tabla6[[#All],[PRODUCTO]],0),MATCH(Tabla4[[#This Row],[Mes]],Tabla6[#Headers],0)))*(1+Catalogos!$L$2)</f>
        <v>#N/A</v>
      </c>
      <c r="N1834" s="283" t="e">
        <f>+(Tabla4[[#This Row],[Precio Descontado]]-Tabla4[[#This Row],[Precio Base]])*Tabla4[[#This Row],[Cantidad]]</f>
        <v>#N/A</v>
      </c>
      <c r="O1834" s="284" t="e">
        <f>++Tabla4[[#This Row],[Utilidad Total]]/Tabla4[[#This Row],[Total]]</f>
        <v>#N/A</v>
      </c>
      <c r="P1834" s="282">
        <f>++Tabla4[[#This Row],[Precio Descontado]]*Tabla4[[#This Row],[Cantidad]]</f>
        <v>174.21706499999999</v>
      </c>
      <c r="Q1834" s="282" t="e">
        <f>(INDEX(Tabla6[#All],MATCH(Tabla4[[#This Row],[Producto]],Tabla6[[#All],[PRODUCTO]],0),MATCH(Tabla4[[#This Row],[Mes]],Tabla6[#Headers],0)))</f>
        <v>#N/A</v>
      </c>
      <c r="R1834" s="282" t="e">
        <f>++Tabla4[[#This Row],[Precio Unitario Neto]]-Tabla4[[#This Row],[20.85%]]-Tabla4[[#This Row],[Costo]]</f>
        <v>#N/A</v>
      </c>
      <c r="S1834" s="282" t="e">
        <f>++Tabla4[[#This Row],[U. Bruta Uni]]*Tabla4[[#This Row],[Cantidad]]</f>
        <v>#N/A</v>
      </c>
      <c r="T1834" s="369" t="str">
        <f>VLOOKUP(Tabla4[[#This Row],[Producto]],Tabla6[#All],14,FALSE)</f>
        <v>Termico Solar</v>
      </c>
      <c r="U1834" s="284" t="e">
        <f>(IF(Tabla4[[#This Row],[Familia]]="termico solar",Tabla4[[#This Row],[Utilidad Total]]*6%,Tabla4[[#This Row],[Utilidad Total]]*11.5%))/Tabla4[[#This Row],[Total]]</f>
        <v>#N/A</v>
      </c>
      <c r="V1834" s="282" t="e">
        <f>+Tabla4[[#This Row],[Comisión Calculada]]*Tabla4[[#This Row],[Total]]</f>
        <v>#N/A</v>
      </c>
    </row>
    <row r="1835" spans="1:22" hidden="1" x14ac:dyDescent="0.25">
      <c r="A1835" s="100">
        <v>45762</v>
      </c>
      <c r="B1835" t="str">
        <f t="shared" si="94"/>
        <v>April</v>
      </c>
      <c r="C1835" s="46" t="s">
        <v>280</v>
      </c>
      <c r="F1835" s="366" t="s">
        <v>1401</v>
      </c>
      <c r="G1835" s="46" t="s">
        <v>209</v>
      </c>
      <c r="H1835" s="46">
        <v>1</v>
      </c>
      <c r="I1835" s="51">
        <v>347.48</v>
      </c>
      <c r="J1835" s="281">
        <f>++Tabla4[[#This Row],[Precio Bruto]]*1.16</f>
        <v>403.07679999999999</v>
      </c>
      <c r="K1835" s="281">
        <f>+Tabla4[[#This Row],[Precio Unitario Neto]]*Tabla4[[#Headers],[20.85%]]</f>
        <v>84.041512799999992</v>
      </c>
      <c r="L1835" s="282">
        <f>++Tabla4[[#This Row],[Precio Unitario Neto]]-Tabla4[[#This Row],[20.85%]]</f>
        <v>319.03528719999997</v>
      </c>
      <c r="M1835" s="282" t="e">
        <f>(INDEX(Tabla6[#All],MATCH(Tabla4[[#This Row],[Producto]],Tabla6[[#All],[PRODUCTO]],0),MATCH(Tabla4[[#This Row],[Mes]],Tabla6[#Headers],0)))*(1+Catalogos!$L$2)</f>
        <v>#N/A</v>
      </c>
      <c r="N1835" s="283" t="e">
        <f>+(Tabla4[[#This Row],[Precio Descontado]]-Tabla4[[#This Row],[Precio Base]])*Tabla4[[#This Row],[Cantidad]]</f>
        <v>#N/A</v>
      </c>
      <c r="O1835" s="284" t="e">
        <f>++Tabla4[[#This Row],[Utilidad Total]]/Tabla4[[#This Row],[Total]]</f>
        <v>#N/A</v>
      </c>
      <c r="P1835" s="282">
        <f>++Tabla4[[#This Row],[Precio Descontado]]*Tabla4[[#This Row],[Cantidad]]</f>
        <v>319.03528719999997</v>
      </c>
      <c r="Q1835" s="282" t="e">
        <f>(INDEX(Tabla6[#All],MATCH(Tabla4[[#This Row],[Producto]],Tabla6[[#All],[PRODUCTO]],0),MATCH(Tabla4[[#This Row],[Mes]],Tabla6[#Headers],0)))</f>
        <v>#N/A</v>
      </c>
      <c r="R1835" s="282" t="e">
        <f>++Tabla4[[#This Row],[Precio Unitario Neto]]-Tabla4[[#This Row],[20.85%]]-Tabla4[[#This Row],[Costo]]</f>
        <v>#N/A</v>
      </c>
      <c r="S1835" s="282" t="e">
        <f>++Tabla4[[#This Row],[U. Bruta Uni]]*Tabla4[[#This Row],[Cantidad]]</f>
        <v>#N/A</v>
      </c>
      <c r="T1835" s="369" t="str">
        <f>VLOOKUP(Tabla4[[#This Row],[Producto]],Tabla6[#All],14,FALSE)</f>
        <v>Termico Solar</v>
      </c>
      <c r="U1835" s="284" t="e">
        <f>(IF(Tabla4[[#This Row],[Familia]]="termico solar",Tabla4[[#This Row],[Utilidad Total]]*6%,Tabla4[[#This Row],[Utilidad Total]]*11.5%))/Tabla4[[#This Row],[Total]]</f>
        <v>#N/A</v>
      </c>
      <c r="V1835" s="282" t="e">
        <f>+Tabla4[[#This Row],[Comisión Calculada]]*Tabla4[[#This Row],[Total]]</f>
        <v>#N/A</v>
      </c>
    </row>
    <row r="1836" spans="1:22" hidden="1" x14ac:dyDescent="0.25">
      <c r="A1836" s="100">
        <v>45762</v>
      </c>
      <c r="B1836" t="str">
        <f t="shared" si="94"/>
        <v>April</v>
      </c>
      <c r="C1836" s="46" t="s">
        <v>280</v>
      </c>
      <c r="F1836" s="366" t="s">
        <v>1402</v>
      </c>
      <c r="G1836" s="46" t="s">
        <v>83</v>
      </c>
      <c r="H1836" s="46">
        <v>3</v>
      </c>
      <c r="I1836" s="51">
        <v>8858.76</v>
      </c>
      <c r="J1836" s="281">
        <f>++Tabla4[[#This Row],[Precio Bruto]]*1.16</f>
        <v>10276.161599999999</v>
      </c>
      <c r="K1836" s="281">
        <f>+Tabla4[[#This Row],[Precio Unitario Neto]]*Tabla4[[#Headers],[20.85%]]</f>
        <v>2142.5796935999997</v>
      </c>
      <c r="L1836" s="282">
        <f>++Tabla4[[#This Row],[Precio Unitario Neto]]-Tabla4[[#This Row],[20.85%]]</f>
        <v>8133.5819063999998</v>
      </c>
      <c r="M1836" s="282" t="e">
        <f>(INDEX(Tabla6[#All],MATCH(Tabla4[[#This Row],[Producto]],Tabla6[[#All],[PRODUCTO]],0),MATCH(Tabla4[[#This Row],[Mes]],Tabla6[#Headers],0)))*(1+Catalogos!$L$2)</f>
        <v>#N/A</v>
      </c>
      <c r="N1836" s="283" t="e">
        <f>+(Tabla4[[#This Row],[Precio Descontado]]-Tabla4[[#This Row],[Precio Base]])*Tabla4[[#This Row],[Cantidad]]</f>
        <v>#N/A</v>
      </c>
      <c r="O1836" s="284" t="e">
        <f>++Tabla4[[#This Row],[Utilidad Total]]/Tabla4[[#This Row],[Total]]</f>
        <v>#N/A</v>
      </c>
      <c r="P1836" s="282">
        <f>++Tabla4[[#This Row],[Precio Descontado]]*Tabla4[[#This Row],[Cantidad]]</f>
        <v>24400.7457192</v>
      </c>
      <c r="Q1836" s="282" t="e">
        <f>(INDEX(Tabla6[#All],MATCH(Tabla4[[#This Row],[Producto]],Tabla6[[#All],[PRODUCTO]],0),MATCH(Tabla4[[#This Row],[Mes]],Tabla6[#Headers],0)))</f>
        <v>#N/A</v>
      </c>
      <c r="R1836" s="282" t="e">
        <f>++Tabla4[[#This Row],[Precio Unitario Neto]]-Tabla4[[#This Row],[20.85%]]-Tabla4[[#This Row],[Costo]]</f>
        <v>#N/A</v>
      </c>
      <c r="S1836" s="282" t="e">
        <f>++Tabla4[[#This Row],[U. Bruta Uni]]*Tabla4[[#This Row],[Cantidad]]</f>
        <v>#N/A</v>
      </c>
      <c r="T1836" s="369" t="str">
        <f>VLOOKUP(Tabla4[[#This Row],[Producto]],Tabla6[#All],14,FALSE)</f>
        <v>Termico Solar</v>
      </c>
      <c r="U1836" s="284" t="e">
        <f>(IF(Tabla4[[#This Row],[Familia]]="termico solar",Tabla4[[#This Row],[Utilidad Total]]*6%,Tabla4[[#This Row],[Utilidad Total]]*11.5%))/Tabla4[[#This Row],[Total]]</f>
        <v>#N/A</v>
      </c>
      <c r="V1836" s="282" t="e">
        <f>+Tabla4[[#This Row],[Comisión Calculada]]*Tabla4[[#This Row],[Total]]</f>
        <v>#N/A</v>
      </c>
    </row>
    <row r="1837" spans="1:22" hidden="1" x14ac:dyDescent="0.25">
      <c r="A1837" s="100">
        <v>45762</v>
      </c>
      <c r="B1837" t="str">
        <f t="shared" si="94"/>
        <v>April</v>
      </c>
      <c r="C1837" s="46" t="s">
        <v>280</v>
      </c>
      <c r="F1837" s="366" t="s">
        <v>1402</v>
      </c>
      <c r="G1837" s="46" t="s">
        <v>18</v>
      </c>
      <c r="H1837" s="46">
        <v>3</v>
      </c>
      <c r="I1837" s="51">
        <v>5367.6500000000005</v>
      </c>
      <c r="J1837" s="281">
        <f>++Tabla4[[#This Row],[Precio Bruto]]*1.16</f>
        <v>6226.4740000000002</v>
      </c>
      <c r="K1837" s="281">
        <f>+Tabla4[[#This Row],[Precio Unitario Neto]]*Tabla4[[#Headers],[20.85%]]</f>
        <v>1298.2198289999999</v>
      </c>
      <c r="L1837" s="282">
        <f>++Tabla4[[#This Row],[Precio Unitario Neto]]-Tabla4[[#This Row],[20.85%]]</f>
        <v>4928.2541710000005</v>
      </c>
      <c r="M1837" s="282" t="e">
        <f>(INDEX(Tabla6[#All],MATCH(Tabla4[[#This Row],[Producto]],Tabla6[[#All],[PRODUCTO]],0),MATCH(Tabla4[[#This Row],[Mes]],Tabla6[#Headers],0)))*(1+Catalogos!$L$2)</f>
        <v>#N/A</v>
      </c>
      <c r="N1837" s="283" t="e">
        <f>+(Tabla4[[#This Row],[Precio Descontado]]-Tabla4[[#This Row],[Precio Base]])*Tabla4[[#This Row],[Cantidad]]</f>
        <v>#N/A</v>
      </c>
      <c r="O1837" s="284" t="e">
        <f>++Tabla4[[#This Row],[Utilidad Total]]/Tabla4[[#This Row],[Total]]</f>
        <v>#N/A</v>
      </c>
      <c r="P1837" s="282">
        <f>++Tabla4[[#This Row],[Precio Descontado]]*Tabla4[[#This Row],[Cantidad]]</f>
        <v>14784.762513000001</v>
      </c>
      <c r="Q1837" s="282" t="e">
        <f>(INDEX(Tabla6[#All],MATCH(Tabla4[[#This Row],[Producto]],Tabla6[[#All],[PRODUCTO]],0),MATCH(Tabla4[[#This Row],[Mes]],Tabla6[#Headers],0)))</f>
        <v>#N/A</v>
      </c>
      <c r="R1837" s="282" t="e">
        <f>++Tabla4[[#This Row],[Precio Unitario Neto]]-Tabla4[[#This Row],[20.85%]]-Tabla4[[#This Row],[Costo]]</f>
        <v>#N/A</v>
      </c>
      <c r="S1837" s="282" t="e">
        <f>++Tabla4[[#This Row],[U. Bruta Uni]]*Tabla4[[#This Row],[Cantidad]]</f>
        <v>#N/A</v>
      </c>
      <c r="T1837" s="369" t="str">
        <f>VLOOKUP(Tabla4[[#This Row],[Producto]],Tabla6[#All],14,FALSE)</f>
        <v>Termico Solar</v>
      </c>
      <c r="U1837" s="284" t="e">
        <f>(IF(Tabla4[[#This Row],[Familia]]="termico solar",Tabla4[[#This Row],[Utilidad Total]]*6%,Tabla4[[#This Row],[Utilidad Total]]*11.5%))/Tabla4[[#This Row],[Total]]</f>
        <v>#N/A</v>
      </c>
      <c r="V1837" s="282" t="e">
        <f>+Tabla4[[#This Row],[Comisión Calculada]]*Tabla4[[#This Row],[Total]]</f>
        <v>#N/A</v>
      </c>
    </row>
    <row r="1838" spans="1:22" hidden="1" x14ac:dyDescent="0.25">
      <c r="A1838" s="100">
        <v>45762</v>
      </c>
      <c r="B1838" t="str">
        <f t="shared" si="94"/>
        <v>April</v>
      </c>
      <c r="C1838" s="46" t="s">
        <v>280</v>
      </c>
      <c r="F1838" s="366" t="s">
        <v>1402</v>
      </c>
      <c r="G1838" s="46" t="s">
        <v>566</v>
      </c>
      <c r="H1838" s="46">
        <v>1</v>
      </c>
      <c r="I1838" s="51">
        <v>2109.4499999999998</v>
      </c>
      <c r="J1838" s="281">
        <f>++Tabla4[[#This Row],[Precio Bruto]]*1.16</f>
        <v>2446.9619999999995</v>
      </c>
      <c r="K1838" s="281">
        <f>+Tabla4[[#This Row],[Precio Unitario Neto]]*Tabla4[[#Headers],[20.85%]]</f>
        <v>510.19157699999988</v>
      </c>
      <c r="L1838" s="282">
        <f>++Tabla4[[#This Row],[Precio Unitario Neto]]-Tabla4[[#This Row],[20.85%]]</f>
        <v>1936.7704229999997</v>
      </c>
      <c r="M1838" s="282" t="e">
        <f>(INDEX(Tabla6[#All],MATCH(Tabla4[[#This Row],[Producto]],Tabla6[[#All],[PRODUCTO]],0),MATCH(Tabla4[[#This Row],[Mes]],Tabla6[#Headers],0)))*(1+Catalogos!$L$2)</f>
        <v>#N/A</v>
      </c>
      <c r="N1838" s="283" t="e">
        <f>+(Tabla4[[#This Row],[Precio Descontado]]-Tabla4[[#This Row],[Precio Base]])*Tabla4[[#This Row],[Cantidad]]</f>
        <v>#N/A</v>
      </c>
      <c r="O1838" s="284" t="e">
        <f>++Tabla4[[#This Row],[Utilidad Total]]/Tabla4[[#This Row],[Total]]</f>
        <v>#N/A</v>
      </c>
      <c r="P1838" s="282">
        <f>++Tabla4[[#This Row],[Precio Descontado]]*Tabla4[[#This Row],[Cantidad]]</f>
        <v>1936.7704229999997</v>
      </c>
      <c r="Q1838" s="282" t="e">
        <f>(INDEX(Tabla6[#All],MATCH(Tabla4[[#This Row],[Producto]],Tabla6[[#All],[PRODUCTO]],0),MATCH(Tabla4[[#This Row],[Mes]],Tabla6[#Headers],0)))</f>
        <v>#N/A</v>
      </c>
      <c r="R1838" s="282" t="e">
        <f>++Tabla4[[#This Row],[Precio Unitario Neto]]-Tabla4[[#This Row],[20.85%]]-Tabla4[[#This Row],[Costo]]</f>
        <v>#N/A</v>
      </c>
      <c r="S1838" s="282" t="e">
        <f>++Tabla4[[#This Row],[U. Bruta Uni]]*Tabla4[[#This Row],[Cantidad]]</f>
        <v>#N/A</v>
      </c>
      <c r="T1838" s="369" t="str">
        <f>VLOOKUP(Tabla4[[#This Row],[Producto]],Tabla6[#All],14,FALSE)</f>
        <v>Termico Solar</v>
      </c>
      <c r="U1838" s="284" t="e">
        <f>(IF(Tabla4[[#This Row],[Familia]]="termico solar",Tabla4[[#This Row],[Utilidad Total]]*6%,Tabla4[[#This Row],[Utilidad Total]]*11.5%))/Tabla4[[#This Row],[Total]]</f>
        <v>#N/A</v>
      </c>
      <c r="V1838" s="282" t="e">
        <f>+Tabla4[[#This Row],[Comisión Calculada]]*Tabla4[[#This Row],[Total]]</f>
        <v>#N/A</v>
      </c>
    </row>
    <row r="1839" spans="1:22" hidden="1" x14ac:dyDescent="0.25">
      <c r="A1839" s="100">
        <v>45762</v>
      </c>
      <c r="B1839" t="str">
        <f t="shared" si="94"/>
        <v>April</v>
      </c>
      <c r="C1839" s="46" t="s">
        <v>280</v>
      </c>
      <c r="F1839" s="366" t="s">
        <v>1403</v>
      </c>
      <c r="G1839" s="46" t="s">
        <v>83</v>
      </c>
      <c r="H1839" s="46">
        <v>1</v>
      </c>
      <c r="I1839" s="51">
        <v>8858.76</v>
      </c>
      <c r="J1839" s="281">
        <f>++Tabla4[[#This Row],[Precio Bruto]]*1.16</f>
        <v>10276.161599999999</v>
      </c>
      <c r="K1839" s="281">
        <f>+Tabla4[[#This Row],[Precio Unitario Neto]]*Tabla4[[#Headers],[20.85%]]</f>
        <v>2142.5796935999997</v>
      </c>
      <c r="L1839" s="282">
        <f>++Tabla4[[#This Row],[Precio Unitario Neto]]-Tabla4[[#This Row],[20.85%]]</f>
        <v>8133.5819063999998</v>
      </c>
      <c r="M1839" s="282" t="e">
        <f>(INDEX(Tabla6[#All],MATCH(Tabla4[[#This Row],[Producto]],Tabla6[[#All],[PRODUCTO]],0),MATCH(Tabla4[[#This Row],[Mes]],Tabla6[#Headers],0)))*(1+Catalogos!$L$2)</f>
        <v>#N/A</v>
      </c>
      <c r="N1839" s="283" t="e">
        <f>+(Tabla4[[#This Row],[Precio Descontado]]-Tabla4[[#This Row],[Precio Base]])*Tabla4[[#This Row],[Cantidad]]</f>
        <v>#N/A</v>
      </c>
      <c r="O1839" s="284" t="e">
        <f>++Tabla4[[#This Row],[Utilidad Total]]/Tabla4[[#This Row],[Total]]</f>
        <v>#N/A</v>
      </c>
      <c r="P1839" s="282">
        <f>++Tabla4[[#This Row],[Precio Descontado]]*Tabla4[[#This Row],[Cantidad]]</f>
        <v>8133.5819063999998</v>
      </c>
      <c r="Q1839" s="282" t="e">
        <f>(INDEX(Tabla6[#All],MATCH(Tabla4[[#This Row],[Producto]],Tabla6[[#All],[PRODUCTO]],0),MATCH(Tabla4[[#This Row],[Mes]],Tabla6[#Headers],0)))</f>
        <v>#N/A</v>
      </c>
      <c r="R1839" s="282" t="e">
        <f>++Tabla4[[#This Row],[Precio Unitario Neto]]-Tabla4[[#This Row],[20.85%]]-Tabla4[[#This Row],[Costo]]</f>
        <v>#N/A</v>
      </c>
      <c r="S1839" s="282" t="e">
        <f>++Tabla4[[#This Row],[U. Bruta Uni]]*Tabla4[[#This Row],[Cantidad]]</f>
        <v>#N/A</v>
      </c>
      <c r="T1839" s="369" t="str">
        <f>VLOOKUP(Tabla4[[#This Row],[Producto]],Tabla6[#All],14,FALSE)</f>
        <v>Termico Solar</v>
      </c>
      <c r="U1839" s="284" t="e">
        <f>(IF(Tabla4[[#This Row],[Familia]]="termico solar",Tabla4[[#This Row],[Utilidad Total]]*6%,Tabla4[[#This Row],[Utilidad Total]]*11.5%))/Tabla4[[#This Row],[Total]]</f>
        <v>#N/A</v>
      </c>
      <c r="V1839" s="282" t="e">
        <f>+Tabla4[[#This Row],[Comisión Calculada]]*Tabla4[[#This Row],[Total]]</f>
        <v>#N/A</v>
      </c>
    </row>
    <row r="1840" spans="1:22" hidden="1" x14ac:dyDescent="0.25">
      <c r="A1840" s="100">
        <v>45762</v>
      </c>
      <c r="B1840" t="str">
        <f t="shared" si="94"/>
        <v>April</v>
      </c>
      <c r="C1840" s="46" t="s">
        <v>280</v>
      </c>
      <c r="F1840" s="366" t="s">
        <v>1403</v>
      </c>
      <c r="G1840" s="46" t="s">
        <v>17</v>
      </c>
      <c r="H1840" s="46">
        <v>2</v>
      </c>
      <c r="I1840" s="51">
        <v>4622.28</v>
      </c>
      <c r="J1840" s="281">
        <f>++Tabla4[[#This Row],[Precio Bruto]]*1.16</f>
        <v>5361.8447999999989</v>
      </c>
      <c r="K1840" s="281">
        <f>+Tabla4[[#This Row],[Precio Unitario Neto]]*Tabla4[[#Headers],[20.85%]]</f>
        <v>1117.9446407999997</v>
      </c>
      <c r="L1840" s="282">
        <f>++Tabla4[[#This Row],[Precio Unitario Neto]]-Tabla4[[#This Row],[20.85%]]</f>
        <v>4243.9001591999995</v>
      </c>
      <c r="M1840" s="282" t="e">
        <f>(INDEX(Tabla6[#All],MATCH(Tabla4[[#This Row],[Producto]],Tabla6[[#All],[PRODUCTO]],0),MATCH(Tabla4[[#This Row],[Mes]],Tabla6[#Headers],0)))*(1+Catalogos!$L$2)</f>
        <v>#N/A</v>
      </c>
      <c r="N1840" s="283" t="e">
        <f>+(Tabla4[[#This Row],[Precio Descontado]]-Tabla4[[#This Row],[Precio Base]])*Tabla4[[#This Row],[Cantidad]]</f>
        <v>#N/A</v>
      </c>
      <c r="O1840" s="284" t="e">
        <f>++Tabla4[[#This Row],[Utilidad Total]]/Tabla4[[#This Row],[Total]]</f>
        <v>#N/A</v>
      </c>
      <c r="P1840" s="282">
        <f>++Tabla4[[#This Row],[Precio Descontado]]*Tabla4[[#This Row],[Cantidad]]</f>
        <v>8487.800318399999</v>
      </c>
      <c r="Q1840" s="282" t="e">
        <f>(INDEX(Tabla6[#All],MATCH(Tabla4[[#This Row],[Producto]],Tabla6[[#All],[PRODUCTO]],0),MATCH(Tabla4[[#This Row],[Mes]],Tabla6[#Headers],0)))</f>
        <v>#N/A</v>
      </c>
      <c r="R1840" s="282" t="e">
        <f>++Tabla4[[#This Row],[Precio Unitario Neto]]-Tabla4[[#This Row],[20.85%]]-Tabla4[[#This Row],[Costo]]</f>
        <v>#N/A</v>
      </c>
      <c r="S1840" s="282" t="e">
        <f>++Tabla4[[#This Row],[U. Bruta Uni]]*Tabla4[[#This Row],[Cantidad]]</f>
        <v>#N/A</v>
      </c>
      <c r="T1840" s="369" t="str">
        <f>VLOOKUP(Tabla4[[#This Row],[Producto]],Tabla6[#All],14,FALSE)</f>
        <v>Termico Solar</v>
      </c>
      <c r="U1840" s="284" t="e">
        <f>(IF(Tabla4[[#This Row],[Familia]]="termico solar",Tabla4[[#This Row],[Utilidad Total]]*6%,Tabla4[[#This Row],[Utilidad Total]]*11.5%))/Tabla4[[#This Row],[Total]]</f>
        <v>#N/A</v>
      </c>
      <c r="V1840" s="282" t="e">
        <f>+Tabla4[[#This Row],[Comisión Calculada]]*Tabla4[[#This Row],[Total]]</f>
        <v>#N/A</v>
      </c>
    </row>
    <row r="1841" spans="1:22" hidden="1" x14ac:dyDescent="0.25">
      <c r="A1841" s="100">
        <v>45762</v>
      </c>
      <c r="B1841" t="str">
        <f t="shared" si="94"/>
        <v>April</v>
      </c>
      <c r="C1841" s="46" t="s">
        <v>280</v>
      </c>
      <c r="F1841" s="366" t="s">
        <v>1403</v>
      </c>
      <c r="G1841" s="46" t="s">
        <v>18</v>
      </c>
      <c r="H1841" s="46">
        <v>1</v>
      </c>
      <c r="I1841" s="51">
        <v>5367.65</v>
      </c>
      <c r="J1841" s="281">
        <f>++Tabla4[[#This Row],[Precio Bruto]]*1.16</f>
        <v>6226.4739999999993</v>
      </c>
      <c r="K1841" s="281">
        <f>+Tabla4[[#This Row],[Precio Unitario Neto]]*Tabla4[[#Headers],[20.85%]]</f>
        <v>1298.2198289999999</v>
      </c>
      <c r="L1841" s="282">
        <f>++Tabla4[[#This Row],[Precio Unitario Neto]]-Tabla4[[#This Row],[20.85%]]</f>
        <v>4928.2541709999996</v>
      </c>
      <c r="M1841" s="282" t="e">
        <f>(INDEX(Tabla6[#All],MATCH(Tabla4[[#This Row],[Producto]],Tabla6[[#All],[PRODUCTO]],0),MATCH(Tabla4[[#This Row],[Mes]],Tabla6[#Headers],0)))*(1+Catalogos!$L$2)</f>
        <v>#N/A</v>
      </c>
      <c r="N1841" s="283" t="e">
        <f>+(Tabla4[[#This Row],[Precio Descontado]]-Tabla4[[#This Row],[Precio Base]])*Tabla4[[#This Row],[Cantidad]]</f>
        <v>#N/A</v>
      </c>
      <c r="O1841" s="284" t="e">
        <f>++Tabla4[[#This Row],[Utilidad Total]]/Tabla4[[#This Row],[Total]]</f>
        <v>#N/A</v>
      </c>
      <c r="P1841" s="282">
        <f>++Tabla4[[#This Row],[Precio Descontado]]*Tabla4[[#This Row],[Cantidad]]</f>
        <v>4928.2541709999996</v>
      </c>
      <c r="Q1841" s="282" t="e">
        <f>(INDEX(Tabla6[#All],MATCH(Tabla4[[#This Row],[Producto]],Tabla6[[#All],[PRODUCTO]],0),MATCH(Tabla4[[#This Row],[Mes]],Tabla6[#Headers],0)))</f>
        <v>#N/A</v>
      </c>
      <c r="R1841" s="282" t="e">
        <f>++Tabla4[[#This Row],[Precio Unitario Neto]]-Tabla4[[#This Row],[20.85%]]-Tabla4[[#This Row],[Costo]]</f>
        <v>#N/A</v>
      </c>
      <c r="S1841" s="282" t="e">
        <f>++Tabla4[[#This Row],[U. Bruta Uni]]*Tabla4[[#This Row],[Cantidad]]</f>
        <v>#N/A</v>
      </c>
      <c r="T1841" s="369" t="str">
        <f>VLOOKUP(Tabla4[[#This Row],[Producto]],Tabla6[#All],14,FALSE)</f>
        <v>Termico Solar</v>
      </c>
      <c r="U1841" s="284" t="e">
        <f>(IF(Tabla4[[#This Row],[Familia]]="termico solar",Tabla4[[#This Row],[Utilidad Total]]*6%,Tabla4[[#This Row],[Utilidad Total]]*11.5%))/Tabla4[[#This Row],[Total]]</f>
        <v>#N/A</v>
      </c>
      <c r="V1841" s="282" t="e">
        <f>+Tabla4[[#This Row],[Comisión Calculada]]*Tabla4[[#This Row],[Total]]</f>
        <v>#N/A</v>
      </c>
    </row>
    <row r="1842" spans="1:22" hidden="1" x14ac:dyDescent="0.25">
      <c r="A1842" s="100">
        <v>45762</v>
      </c>
      <c r="B1842" t="str">
        <f t="shared" si="94"/>
        <v>April</v>
      </c>
      <c r="C1842" s="46" t="s">
        <v>280</v>
      </c>
      <c r="F1842" s="366" t="s">
        <v>1403</v>
      </c>
      <c r="G1842" s="46" t="s">
        <v>16</v>
      </c>
      <c r="H1842" s="46">
        <v>1</v>
      </c>
      <c r="I1842" s="51">
        <v>4103.8500000000004</v>
      </c>
      <c r="J1842" s="281">
        <f>++Tabla4[[#This Row],[Precio Bruto]]*1.16</f>
        <v>4760.4660000000003</v>
      </c>
      <c r="K1842" s="281">
        <f>+Tabla4[[#This Row],[Precio Unitario Neto]]*Tabla4[[#Headers],[20.85%]]</f>
        <v>992.55716100000006</v>
      </c>
      <c r="L1842" s="282">
        <f>++Tabla4[[#This Row],[Precio Unitario Neto]]-Tabla4[[#This Row],[20.85%]]</f>
        <v>3767.9088390000002</v>
      </c>
      <c r="M1842" s="282" t="e">
        <f>(INDEX(Tabla6[#All],MATCH(Tabla4[[#This Row],[Producto]],Tabla6[[#All],[PRODUCTO]],0),MATCH(Tabla4[[#This Row],[Mes]],Tabla6[#Headers],0)))*(1+Catalogos!$L$2)</f>
        <v>#N/A</v>
      </c>
      <c r="N1842" s="283" t="e">
        <f>+(Tabla4[[#This Row],[Precio Descontado]]-Tabla4[[#This Row],[Precio Base]])*Tabla4[[#This Row],[Cantidad]]</f>
        <v>#N/A</v>
      </c>
      <c r="O1842" s="284" t="e">
        <f>++Tabla4[[#This Row],[Utilidad Total]]/Tabla4[[#This Row],[Total]]</f>
        <v>#N/A</v>
      </c>
      <c r="P1842" s="282">
        <f>++Tabla4[[#This Row],[Precio Descontado]]*Tabla4[[#This Row],[Cantidad]]</f>
        <v>3767.9088390000002</v>
      </c>
      <c r="Q1842" s="282" t="e">
        <f>(INDEX(Tabla6[#All],MATCH(Tabla4[[#This Row],[Producto]],Tabla6[[#All],[PRODUCTO]],0),MATCH(Tabla4[[#This Row],[Mes]],Tabla6[#Headers],0)))</f>
        <v>#N/A</v>
      </c>
      <c r="R1842" s="282" t="e">
        <f>++Tabla4[[#This Row],[Precio Unitario Neto]]-Tabla4[[#This Row],[20.85%]]-Tabla4[[#This Row],[Costo]]</f>
        <v>#N/A</v>
      </c>
      <c r="S1842" s="282" t="e">
        <f>++Tabla4[[#This Row],[U. Bruta Uni]]*Tabla4[[#This Row],[Cantidad]]</f>
        <v>#N/A</v>
      </c>
      <c r="T1842" s="369" t="str">
        <f>VLOOKUP(Tabla4[[#This Row],[Producto]],Tabla6[#All],14,FALSE)</f>
        <v>Termico Solar</v>
      </c>
      <c r="U1842" s="284" t="e">
        <f>(IF(Tabla4[[#This Row],[Familia]]="termico solar",Tabla4[[#This Row],[Utilidad Total]]*6%,Tabla4[[#This Row],[Utilidad Total]]*11.5%))/Tabla4[[#This Row],[Total]]</f>
        <v>#N/A</v>
      </c>
      <c r="V1842" s="282" t="e">
        <f>+Tabla4[[#This Row],[Comisión Calculada]]*Tabla4[[#This Row],[Total]]</f>
        <v>#N/A</v>
      </c>
    </row>
    <row r="1843" spans="1:22" hidden="1" x14ac:dyDescent="0.25">
      <c r="A1843" s="100">
        <v>45762</v>
      </c>
      <c r="B1843" t="str">
        <f t="shared" si="94"/>
        <v>April</v>
      </c>
      <c r="C1843" s="46" t="s">
        <v>280</v>
      </c>
      <c r="F1843" s="366" t="s">
        <v>1404</v>
      </c>
      <c r="G1843" s="46" t="s">
        <v>83</v>
      </c>
      <c r="H1843" s="46">
        <v>4</v>
      </c>
      <c r="I1843" s="51">
        <v>8858.76</v>
      </c>
      <c r="J1843" s="281">
        <f>++Tabla4[[#This Row],[Precio Bruto]]*1.16</f>
        <v>10276.161599999999</v>
      </c>
      <c r="K1843" s="281">
        <f>+Tabla4[[#This Row],[Precio Unitario Neto]]*Tabla4[[#Headers],[20.85%]]</f>
        <v>2142.5796935999997</v>
      </c>
      <c r="L1843" s="282">
        <f>++Tabla4[[#This Row],[Precio Unitario Neto]]-Tabla4[[#This Row],[20.85%]]</f>
        <v>8133.5819063999998</v>
      </c>
      <c r="M1843" s="282" t="e">
        <f>(INDEX(Tabla6[#All],MATCH(Tabla4[[#This Row],[Producto]],Tabla6[[#All],[PRODUCTO]],0),MATCH(Tabla4[[#This Row],[Mes]],Tabla6[#Headers],0)))*(1+Catalogos!$L$2)</f>
        <v>#N/A</v>
      </c>
      <c r="N1843" s="283" t="e">
        <f>+(Tabla4[[#This Row],[Precio Descontado]]-Tabla4[[#This Row],[Precio Base]])*Tabla4[[#This Row],[Cantidad]]</f>
        <v>#N/A</v>
      </c>
      <c r="O1843" s="284" t="e">
        <f>++Tabla4[[#This Row],[Utilidad Total]]/Tabla4[[#This Row],[Total]]</f>
        <v>#N/A</v>
      </c>
      <c r="P1843" s="282">
        <f>++Tabla4[[#This Row],[Precio Descontado]]*Tabla4[[#This Row],[Cantidad]]</f>
        <v>32534.327625599999</v>
      </c>
      <c r="Q1843" s="282" t="e">
        <f>(INDEX(Tabla6[#All],MATCH(Tabla4[[#This Row],[Producto]],Tabla6[[#All],[PRODUCTO]],0),MATCH(Tabla4[[#This Row],[Mes]],Tabla6[#Headers],0)))</f>
        <v>#N/A</v>
      </c>
      <c r="R1843" s="282" t="e">
        <f>++Tabla4[[#This Row],[Precio Unitario Neto]]-Tabla4[[#This Row],[20.85%]]-Tabla4[[#This Row],[Costo]]</f>
        <v>#N/A</v>
      </c>
      <c r="S1843" s="282" t="e">
        <f>++Tabla4[[#This Row],[U. Bruta Uni]]*Tabla4[[#This Row],[Cantidad]]</f>
        <v>#N/A</v>
      </c>
      <c r="T1843" s="369" t="str">
        <f>VLOOKUP(Tabla4[[#This Row],[Producto]],Tabla6[#All],14,FALSE)</f>
        <v>Termico Solar</v>
      </c>
      <c r="U1843" s="284" t="e">
        <f>(IF(Tabla4[[#This Row],[Familia]]="termico solar",Tabla4[[#This Row],[Utilidad Total]]*6%,Tabla4[[#This Row],[Utilidad Total]]*11.5%))/Tabla4[[#This Row],[Total]]</f>
        <v>#N/A</v>
      </c>
      <c r="V1843" s="282" t="e">
        <f>+Tabla4[[#This Row],[Comisión Calculada]]*Tabla4[[#This Row],[Total]]</f>
        <v>#N/A</v>
      </c>
    </row>
    <row r="1844" spans="1:22" hidden="1" x14ac:dyDescent="0.25">
      <c r="A1844" s="100">
        <v>45762</v>
      </c>
      <c r="B1844" t="str">
        <f t="shared" si="94"/>
        <v>April</v>
      </c>
      <c r="C1844" s="46" t="s">
        <v>280</v>
      </c>
      <c r="F1844" s="366" t="s">
        <v>1404</v>
      </c>
      <c r="G1844" s="46" t="s">
        <v>18</v>
      </c>
      <c r="H1844" s="46">
        <v>2</v>
      </c>
      <c r="I1844" s="51">
        <v>5367.65</v>
      </c>
      <c r="J1844" s="281">
        <f>++Tabla4[[#This Row],[Precio Bruto]]*1.16</f>
        <v>6226.4739999999993</v>
      </c>
      <c r="K1844" s="281">
        <f>+Tabla4[[#This Row],[Precio Unitario Neto]]*Tabla4[[#Headers],[20.85%]]</f>
        <v>1298.2198289999999</v>
      </c>
      <c r="L1844" s="282">
        <f>++Tabla4[[#This Row],[Precio Unitario Neto]]-Tabla4[[#This Row],[20.85%]]</f>
        <v>4928.2541709999996</v>
      </c>
      <c r="M1844" s="282" t="e">
        <f>(INDEX(Tabla6[#All],MATCH(Tabla4[[#This Row],[Producto]],Tabla6[[#All],[PRODUCTO]],0),MATCH(Tabla4[[#This Row],[Mes]],Tabla6[#Headers],0)))*(1+Catalogos!$L$2)</f>
        <v>#N/A</v>
      </c>
      <c r="N1844" s="283" t="e">
        <f>+(Tabla4[[#This Row],[Precio Descontado]]-Tabla4[[#This Row],[Precio Base]])*Tabla4[[#This Row],[Cantidad]]</f>
        <v>#N/A</v>
      </c>
      <c r="O1844" s="284" t="e">
        <f>++Tabla4[[#This Row],[Utilidad Total]]/Tabla4[[#This Row],[Total]]</f>
        <v>#N/A</v>
      </c>
      <c r="P1844" s="282">
        <f>++Tabla4[[#This Row],[Precio Descontado]]*Tabla4[[#This Row],[Cantidad]]</f>
        <v>9856.5083419999992</v>
      </c>
      <c r="Q1844" s="282" t="e">
        <f>(INDEX(Tabla6[#All],MATCH(Tabla4[[#This Row],[Producto]],Tabla6[[#All],[PRODUCTO]],0),MATCH(Tabla4[[#This Row],[Mes]],Tabla6[#Headers],0)))</f>
        <v>#N/A</v>
      </c>
      <c r="R1844" s="282" t="e">
        <f>++Tabla4[[#This Row],[Precio Unitario Neto]]-Tabla4[[#This Row],[20.85%]]-Tabla4[[#This Row],[Costo]]</f>
        <v>#N/A</v>
      </c>
      <c r="S1844" s="282" t="e">
        <f>++Tabla4[[#This Row],[U. Bruta Uni]]*Tabla4[[#This Row],[Cantidad]]</f>
        <v>#N/A</v>
      </c>
      <c r="T1844" s="369" t="str">
        <f>VLOOKUP(Tabla4[[#This Row],[Producto]],Tabla6[#All],14,FALSE)</f>
        <v>Termico Solar</v>
      </c>
      <c r="U1844" s="284" t="e">
        <f>(IF(Tabla4[[#This Row],[Familia]]="termico solar",Tabla4[[#This Row],[Utilidad Total]]*6%,Tabla4[[#This Row],[Utilidad Total]]*11.5%))/Tabla4[[#This Row],[Total]]</f>
        <v>#N/A</v>
      </c>
      <c r="V1844" s="282" t="e">
        <f>+Tabla4[[#This Row],[Comisión Calculada]]*Tabla4[[#This Row],[Total]]</f>
        <v>#N/A</v>
      </c>
    </row>
    <row r="1845" spans="1:22" hidden="1" x14ac:dyDescent="0.25">
      <c r="A1845" s="100">
        <v>45762</v>
      </c>
      <c r="B1845" t="str">
        <f t="shared" si="94"/>
        <v>April</v>
      </c>
      <c r="C1845" s="46" t="s">
        <v>280</v>
      </c>
      <c r="F1845" s="366" t="s">
        <v>1404</v>
      </c>
      <c r="G1845" s="46" t="s">
        <v>16</v>
      </c>
      <c r="H1845" s="46">
        <v>2</v>
      </c>
      <c r="I1845" s="51">
        <v>4103.8500000000004</v>
      </c>
      <c r="J1845" s="281">
        <f>++Tabla4[[#This Row],[Precio Bruto]]*1.16</f>
        <v>4760.4660000000003</v>
      </c>
      <c r="K1845" s="281">
        <f>+Tabla4[[#This Row],[Precio Unitario Neto]]*Tabla4[[#Headers],[20.85%]]</f>
        <v>992.55716100000006</v>
      </c>
      <c r="L1845" s="282">
        <f>++Tabla4[[#This Row],[Precio Unitario Neto]]-Tabla4[[#This Row],[20.85%]]</f>
        <v>3767.9088390000002</v>
      </c>
      <c r="M1845" s="282" t="e">
        <f>(INDEX(Tabla6[#All],MATCH(Tabla4[[#This Row],[Producto]],Tabla6[[#All],[PRODUCTO]],0),MATCH(Tabla4[[#This Row],[Mes]],Tabla6[#Headers],0)))*(1+Catalogos!$L$2)</f>
        <v>#N/A</v>
      </c>
      <c r="N1845" s="283" t="e">
        <f>+(Tabla4[[#This Row],[Precio Descontado]]-Tabla4[[#This Row],[Precio Base]])*Tabla4[[#This Row],[Cantidad]]</f>
        <v>#N/A</v>
      </c>
      <c r="O1845" s="284" t="e">
        <f>++Tabla4[[#This Row],[Utilidad Total]]/Tabla4[[#This Row],[Total]]</f>
        <v>#N/A</v>
      </c>
      <c r="P1845" s="282">
        <f>++Tabla4[[#This Row],[Precio Descontado]]*Tabla4[[#This Row],[Cantidad]]</f>
        <v>7535.8176780000003</v>
      </c>
      <c r="Q1845" s="282" t="e">
        <f>(INDEX(Tabla6[#All],MATCH(Tabla4[[#This Row],[Producto]],Tabla6[[#All],[PRODUCTO]],0),MATCH(Tabla4[[#This Row],[Mes]],Tabla6[#Headers],0)))</f>
        <v>#N/A</v>
      </c>
      <c r="R1845" s="282" t="e">
        <f>++Tabla4[[#This Row],[Precio Unitario Neto]]-Tabla4[[#This Row],[20.85%]]-Tabla4[[#This Row],[Costo]]</f>
        <v>#N/A</v>
      </c>
      <c r="S1845" s="282" t="e">
        <f>++Tabla4[[#This Row],[U. Bruta Uni]]*Tabla4[[#This Row],[Cantidad]]</f>
        <v>#N/A</v>
      </c>
      <c r="T1845" s="369" t="str">
        <f>VLOOKUP(Tabla4[[#This Row],[Producto]],Tabla6[#All],14,FALSE)</f>
        <v>Termico Solar</v>
      </c>
      <c r="U1845" s="284" t="e">
        <f>(IF(Tabla4[[#This Row],[Familia]]="termico solar",Tabla4[[#This Row],[Utilidad Total]]*6%,Tabla4[[#This Row],[Utilidad Total]]*11.5%))/Tabla4[[#This Row],[Total]]</f>
        <v>#N/A</v>
      </c>
      <c r="V1845" s="282" t="e">
        <f>+Tabla4[[#This Row],[Comisión Calculada]]*Tabla4[[#This Row],[Total]]</f>
        <v>#N/A</v>
      </c>
    </row>
    <row r="1846" spans="1:22" hidden="1" x14ac:dyDescent="0.25">
      <c r="A1846" s="100">
        <v>45762</v>
      </c>
      <c r="B1846" t="str">
        <f t="shared" ref="B1846:B1852" si="95">TEXT(A1846, "mmmm")</f>
        <v>April</v>
      </c>
      <c r="C1846" s="46" t="s">
        <v>280</v>
      </c>
      <c r="F1846" s="366" t="s">
        <v>1405</v>
      </c>
      <c r="G1846" s="46" t="s">
        <v>83</v>
      </c>
      <c r="H1846" s="46">
        <v>6</v>
      </c>
      <c r="I1846" s="51">
        <v>8858.76</v>
      </c>
      <c r="J1846" s="281">
        <f>++Tabla4[[#This Row],[Precio Bruto]]*1.16</f>
        <v>10276.161599999999</v>
      </c>
      <c r="K1846" s="281">
        <f>+Tabla4[[#This Row],[Precio Unitario Neto]]*Tabla4[[#Headers],[20.85%]]</f>
        <v>2142.5796935999997</v>
      </c>
      <c r="L1846" s="282">
        <f>++Tabla4[[#This Row],[Precio Unitario Neto]]-Tabla4[[#This Row],[20.85%]]</f>
        <v>8133.5819063999998</v>
      </c>
      <c r="M1846" s="282" t="e">
        <f>(INDEX(Tabla6[#All],MATCH(Tabla4[[#This Row],[Producto]],Tabla6[[#All],[PRODUCTO]],0),MATCH(Tabla4[[#This Row],[Mes]],Tabla6[#Headers],0)))*(1+Catalogos!$L$2)</f>
        <v>#N/A</v>
      </c>
      <c r="N1846" s="283" t="e">
        <f>+(Tabla4[[#This Row],[Precio Descontado]]-Tabla4[[#This Row],[Precio Base]])*Tabla4[[#This Row],[Cantidad]]</f>
        <v>#N/A</v>
      </c>
      <c r="O1846" s="284" t="e">
        <f>++Tabla4[[#This Row],[Utilidad Total]]/Tabla4[[#This Row],[Total]]</f>
        <v>#N/A</v>
      </c>
      <c r="P1846" s="282">
        <f>++Tabla4[[#This Row],[Precio Descontado]]*Tabla4[[#This Row],[Cantidad]]</f>
        <v>48801.4914384</v>
      </c>
      <c r="Q1846" s="282" t="e">
        <f>(INDEX(Tabla6[#All],MATCH(Tabla4[[#This Row],[Producto]],Tabla6[[#All],[PRODUCTO]],0),MATCH(Tabla4[[#This Row],[Mes]],Tabla6[#Headers],0)))</f>
        <v>#N/A</v>
      </c>
      <c r="R1846" s="282" t="e">
        <f>++Tabla4[[#This Row],[Precio Unitario Neto]]-Tabla4[[#This Row],[20.85%]]-Tabla4[[#This Row],[Costo]]</f>
        <v>#N/A</v>
      </c>
      <c r="S1846" s="282" t="e">
        <f>++Tabla4[[#This Row],[U. Bruta Uni]]*Tabla4[[#This Row],[Cantidad]]</f>
        <v>#N/A</v>
      </c>
      <c r="T1846" s="369" t="str">
        <f>VLOOKUP(Tabla4[[#This Row],[Producto]],Tabla6[#All],14,FALSE)</f>
        <v>Termico Solar</v>
      </c>
      <c r="U1846" s="284" t="e">
        <f>(IF(Tabla4[[#This Row],[Familia]]="termico solar",Tabla4[[#This Row],[Utilidad Total]]*6%,Tabla4[[#This Row],[Utilidad Total]]*11.5%))/Tabla4[[#This Row],[Total]]</f>
        <v>#N/A</v>
      </c>
      <c r="V1846" s="282" t="e">
        <f>+Tabla4[[#This Row],[Comisión Calculada]]*Tabla4[[#This Row],[Total]]</f>
        <v>#N/A</v>
      </c>
    </row>
    <row r="1847" spans="1:22" hidden="1" x14ac:dyDescent="0.25">
      <c r="A1847" s="100">
        <v>45762</v>
      </c>
      <c r="B1847" t="str">
        <f t="shared" si="95"/>
        <v>April</v>
      </c>
      <c r="C1847" s="46" t="s">
        <v>280</v>
      </c>
      <c r="F1847" s="366" t="s">
        <v>1405</v>
      </c>
      <c r="G1847" s="46" t="s">
        <v>18</v>
      </c>
      <c r="H1847" s="46">
        <v>3</v>
      </c>
      <c r="I1847" s="51">
        <v>5367.6500000000005</v>
      </c>
      <c r="J1847" s="281">
        <f>++Tabla4[[#This Row],[Precio Bruto]]*1.16</f>
        <v>6226.4740000000002</v>
      </c>
      <c r="K1847" s="281">
        <f>+Tabla4[[#This Row],[Precio Unitario Neto]]*Tabla4[[#Headers],[20.85%]]</f>
        <v>1298.2198289999999</v>
      </c>
      <c r="L1847" s="282">
        <f>++Tabla4[[#This Row],[Precio Unitario Neto]]-Tabla4[[#This Row],[20.85%]]</f>
        <v>4928.2541710000005</v>
      </c>
      <c r="M1847" s="282" t="e">
        <f>(INDEX(Tabla6[#All],MATCH(Tabla4[[#This Row],[Producto]],Tabla6[[#All],[PRODUCTO]],0),MATCH(Tabla4[[#This Row],[Mes]],Tabla6[#Headers],0)))*(1+Catalogos!$L$2)</f>
        <v>#N/A</v>
      </c>
      <c r="N1847" s="283" t="e">
        <f>+(Tabla4[[#This Row],[Precio Descontado]]-Tabla4[[#This Row],[Precio Base]])*Tabla4[[#This Row],[Cantidad]]</f>
        <v>#N/A</v>
      </c>
      <c r="O1847" s="284" t="e">
        <f>++Tabla4[[#This Row],[Utilidad Total]]/Tabla4[[#This Row],[Total]]</f>
        <v>#N/A</v>
      </c>
      <c r="P1847" s="282">
        <f>++Tabla4[[#This Row],[Precio Descontado]]*Tabla4[[#This Row],[Cantidad]]</f>
        <v>14784.762513000001</v>
      </c>
      <c r="Q1847" s="282" t="e">
        <f>(INDEX(Tabla6[#All],MATCH(Tabla4[[#This Row],[Producto]],Tabla6[[#All],[PRODUCTO]],0),MATCH(Tabla4[[#This Row],[Mes]],Tabla6[#Headers],0)))</f>
        <v>#N/A</v>
      </c>
      <c r="R1847" s="282" t="e">
        <f>++Tabla4[[#This Row],[Precio Unitario Neto]]-Tabla4[[#This Row],[20.85%]]-Tabla4[[#This Row],[Costo]]</f>
        <v>#N/A</v>
      </c>
      <c r="S1847" s="282" t="e">
        <f>++Tabla4[[#This Row],[U. Bruta Uni]]*Tabla4[[#This Row],[Cantidad]]</f>
        <v>#N/A</v>
      </c>
      <c r="T1847" s="369" t="str">
        <f>VLOOKUP(Tabla4[[#This Row],[Producto]],Tabla6[#All],14,FALSE)</f>
        <v>Termico Solar</v>
      </c>
      <c r="U1847" s="284" t="e">
        <f>(IF(Tabla4[[#This Row],[Familia]]="termico solar",Tabla4[[#This Row],[Utilidad Total]]*6%,Tabla4[[#This Row],[Utilidad Total]]*11.5%))/Tabla4[[#This Row],[Total]]</f>
        <v>#N/A</v>
      </c>
      <c r="V1847" s="282" t="e">
        <f>+Tabla4[[#This Row],[Comisión Calculada]]*Tabla4[[#This Row],[Total]]</f>
        <v>#N/A</v>
      </c>
    </row>
    <row r="1848" spans="1:22" hidden="1" x14ac:dyDescent="0.25">
      <c r="A1848" s="100">
        <v>45762</v>
      </c>
      <c r="B1848" t="str">
        <f t="shared" si="95"/>
        <v>April</v>
      </c>
      <c r="C1848" s="46" t="s">
        <v>280</v>
      </c>
      <c r="F1848" s="366" t="s">
        <v>1405</v>
      </c>
      <c r="G1848" s="46" t="s">
        <v>208</v>
      </c>
      <c r="H1848" s="46">
        <v>30</v>
      </c>
      <c r="I1848" s="51">
        <v>140.63</v>
      </c>
      <c r="J1848" s="281">
        <f>++Tabla4[[#This Row],[Precio Bruto]]*1.16</f>
        <v>163.13079999999999</v>
      </c>
      <c r="K1848" s="281">
        <f>+Tabla4[[#This Row],[Precio Unitario Neto]]*Tabla4[[#Headers],[20.85%]]</f>
        <v>34.012771799999996</v>
      </c>
      <c r="L1848" s="282">
        <f>++Tabla4[[#This Row],[Precio Unitario Neto]]-Tabla4[[#This Row],[20.85%]]</f>
        <v>129.1180282</v>
      </c>
      <c r="M1848" s="282" t="e">
        <f>(INDEX(Tabla6[#All],MATCH(Tabla4[[#This Row],[Producto]],Tabla6[[#All],[PRODUCTO]],0),MATCH(Tabla4[[#This Row],[Mes]],Tabla6[#Headers],0)))*(1+Catalogos!$L$2)</f>
        <v>#N/A</v>
      </c>
      <c r="N1848" s="283" t="e">
        <f>+(Tabla4[[#This Row],[Precio Descontado]]-Tabla4[[#This Row],[Precio Base]])*Tabla4[[#This Row],[Cantidad]]</f>
        <v>#N/A</v>
      </c>
      <c r="O1848" s="284" t="e">
        <f>++Tabla4[[#This Row],[Utilidad Total]]/Tabla4[[#This Row],[Total]]</f>
        <v>#N/A</v>
      </c>
      <c r="P1848" s="282">
        <f>++Tabla4[[#This Row],[Precio Descontado]]*Tabla4[[#This Row],[Cantidad]]</f>
        <v>3873.5408459999999</v>
      </c>
      <c r="Q1848" s="282" t="e">
        <f>(INDEX(Tabla6[#All],MATCH(Tabla4[[#This Row],[Producto]],Tabla6[[#All],[PRODUCTO]],0),MATCH(Tabla4[[#This Row],[Mes]],Tabla6[#Headers],0)))</f>
        <v>#N/A</v>
      </c>
      <c r="R1848" s="282" t="e">
        <f>++Tabla4[[#This Row],[Precio Unitario Neto]]-Tabla4[[#This Row],[20.85%]]-Tabla4[[#This Row],[Costo]]</f>
        <v>#N/A</v>
      </c>
      <c r="S1848" s="282" t="e">
        <f>++Tabla4[[#This Row],[U. Bruta Uni]]*Tabla4[[#This Row],[Cantidad]]</f>
        <v>#N/A</v>
      </c>
      <c r="T1848" s="369" t="str">
        <f>VLOOKUP(Tabla4[[#This Row],[Producto]],Tabla6[#All],14,FALSE)</f>
        <v>Termico Solar</v>
      </c>
      <c r="U1848" s="284" t="e">
        <f>(IF(Tabla4[[#This Row],[Familia]]="termico solar",Tabla4[[#This Row],[Utilidad Total]]*6%,Tabla4[[#This Row],[Utilidad Total]]*11.5%))/Tabla4[[#This Row],[Total]]</f>
        <v>#N/A</v>
      </c>
      <c r="V1848" s="282" t="e">
        <f>+Tabla4[[#This Row],[Comisión Calculada]]*Tabla4[[#This Row],[Total]]</f>
        <v>#N/A</v>
      </c>
    </row>
    <row r="1849" spans="1:22" hidden="1" x14ac:dyDescent="0.25">
      <c r="A1849" s="100">
        <v>45762</v>
      </c>
      <c r="B1849" t="str">
        <f t="shared" si="95"/>
        <v>April</v>
      </c>
      <c r="C1849" s="46" t="s">
        <v>280</v>
      </c>
      <c r="F1849" s="366" t="s">
        <v>1405</v>
      </c>
      <c r="G1849" s="46" t="s">
        <v>16</v>
      </c>
      <c r="H1849" s="46">
        <v>2</v>
      </c>
      <c r="I1849" s="51">
        <v>4103.8500000000004</v>
      </c>
      <c r="J1849" s="281">
        <f>++Tabla4[[#This Row],[Precio Bruto]]*1.16</f>
        <v>4760.4660000000003</v>
      </c>
      <c r="K1849" s="281">
        <f>+Tabla4[[#This Row],[Precio Unitario Neto]]*Tabla4[[#Headers],[20.85%]]</f>
        <v>992.55716100000006</v>
      </c>
      <c r="L1849" s="282">
        <f>++Tabla4[[#This Row],[Precio Unitario Neto]]-Tabla4[[#This Row],[20.85%]]</f>
        <v>3767.9088390000002</v>
      </c>
      <c r="M1849" s="282" t="e">
        <f>(INDEX(Tabla6[#All],MATCH(Tabla4[[#This Row],[Producto]],Tabla6[[#All],[PRODUCTO]],0),MATCH(Tabla4[[#This Row],[Mes]],Tabla6[#Headers],0)))*(1+Catalogos!$L$2)</f>
        <v>#N/A</v>
      </c>
      <c r="N1849" s="283" t="e">
        <f>+(Tabla4[[#This Row],[Precio Descontado]]-Tabla4[[#This Row],[Precio Base]])*Tabla4[[#This Row],[Cantidad]]</f>
        <v>#N/A</v>
      </c>
      <c r="O1849" s="284" t="e">
        <f>++Tabla4[[#This Row],[Utilidad Total]]/Tabla4[[#This Row],[Total]]</f>
        <v>#N/A</v>
      </c>
      <c r="P1849" s="282">
        <f>++Tabla4[[#This Row],[Precio Descontado]]*Tabla4[[#This Row],[Cantidad]]</f>
        <v>7535.8176780000003</v>
      </c>
      <c r="Q1849" s="282" t="e">
        <f>(INDEX(Tabla6[#All],MATCH(Tabla4[[#This Row],[Producto]],Tabla6[[#All],[PRODUCTO]],0),MATCH(Tabla4[[#This Row],[Mes]],Tabla6[#Headers],0)))</f>
        <v>#N/A</v>
      </c>
      <c r="R1849" s="282" t="e">
        <f>++Tabla4[[#This Row],[Precio Unitario Neto]]-Tabla4[[#This Row],[20.85%]]-Tabla4[[#This Row],[Costo]]</f>
        <v>#N/A</v>
      </c>
      <c r="S1849" s="282" t="e">
        <f>++Tabla4[[#This Row],[U. Bruta Uni]]*Tabla4[[#This Row],[Cantidad]]</f>
        <v>#N/A</v>
      </c>
      <c r="T1849" s="369" t="str">
        <f>VLOOKUP(Tabla4[[#This Row],[Producto]],Tabla6[#All],14,FALSE)</f>
        <v>Termico Solar</v>
      </c>
      <c r="U1849" s="284" t="e">
        <f>(IF(Tabla4[[#This Row],[Familia]]="termico solar",Tabla4[[#This Row],[Utilidad Total]]*6%,Tabla4[[#This Row],[Utilidad Total]]*11.5%))/Tabla4[[#This Row],[Total]]</f>
        <v>#N/A</v>
      </c>
      <c r="V1849" s="282" t="e">
        <f>+Tabla4[[#This Row],[Comisión Calculada]]*Tabla4[[#This Row],[Total]]</f>
        <v>#N/A</v>
      </c>
    </row>
    <row r="1850" spans="1:22" hidden="1" x14ac:dyDescent="0.25">
      <c r="A1850" s="100">
        <v>45762</v>
      </c>
      <c r="B1850" t="str">
        <f t="shared" si="95"/>
        <v>April</v>
      </c>
      <c r="C1850" s="46" t="s">
        <v>280</v>
      </c>
      <c r="F1850" s="366" t="s">
        <v>1405</v>
      </c>
      <c r="G1850" s="46" t="s">
        <v>394</v>
      </c>
      <c r="H1850" s="46">
        <v>16</v>
      </c>
      <c r="I1850" s="51">
        <v>224.29</v>
      </c>
      <c r="J1850" s="281">
        <f>++Tabla4[[#This Row],[Precio Bruto]]*1.16</f>
        <v>260.1764</v>
      </c>
      <c r="K1850" s="281">
        <f>+Tabla4[[#This Row],[Precio Unitario Neto]]*Tabla4[[#Headers],[20.85%]]</f>
        <v>54.246779400000001</v>
      </c>
      <c r="L1850" s="282">
        <f>++Tabla4[[#This Row],[Precio Unitario Neto]]-Tabla4[[#This Row],[20.85%]]</f>
        <v>205.92962059999999</v>
      </c>
      <c r="M1850" s="282" t="e">
        <f>(INDEX(Tabla6[#All],MATCH(Tabla4[[#This Row],[Producto]],Tabla6[[#All],[PRODUCTO]],0),MATCH(Tabla4[[#This Row],[Mes]],Tabla6[#Headers],0)))*(1+Catalogos!$L$2)</f>
        <v>#N/A</v>
      </c>
      <c r="N1850" s="283" t="e">
        <f>+(Tabla4[[#This Row],[Precio Descontado]]-Tabla4[[#This Row],[Precio Base]])*Tabla4[[#This Row],[Cantidad]]</f>
        <v>#N/A</v>
      </c>
      <c r="O1850" s="284" t="e">
        <f>++Tabla4[[#This Row],[Utilidad Total]]/Tabla4[[#This Row],[Total]]</f>
        <v>#N/A</v>
      </c>
      <c r="P1850" s="282">
        <f>++Tabla4[[#This Row],[Precio Descontado]]*Tabla4[[#This Row],[Cantidad]]</f>
        <v>3294.8739295999999</v>
      </c>
      <c r="Q1850" s="282" t="e">
        <f>(INDEX(Tabla6[#All],MATCH(Tabla4[[#This Row],[Producto]],Tabla6[[#All],[PRODUCTO]],0),MATCH(Tabla4[[#This Row],[Mes]],Tabla6[#Headers],0)))</f>
        <v>#N/A</v>
      </c>
      <c r="R1850" s="282" t="e">
        <f>++Tabla4[[#This Row],[Precio Unitario Neto]]-Tabla4[[#This Row],[20.85%]]-Tabla4[[#This Row],[Costo]]</f>
        <v>#N/A</v>
      </c>
      <c r="S1850" s="282" t="e">
        <f>++Tabla4[[#This Row],[U. Bruta Uni]]*Tabla4[[#This Row],[Cantidad]]</f>
        <v>#N/A</v>
      </c>
      <c r="T1850" s="369" t="str">
        <f>VLOOKUP(Tabla4[[#This Row],[Producto]],Tabla6[#All],14,FALSE)</f>
        <v>Termico Solar</v>
      </c>
      <c r="U1850" s="284" t="e">
        <f>(IF(Tabla4[[#This Row],[Familia]]="termico solar",Tabla4[[#This Row],[Utilidad Total]]*6%,Tabla4[[#This Row],[Utilidad Total]]*11.5%))/Tabla4[[#This Row],[Total]]</f>
        <v>#N/A</v>
      </c>
      <c r="V1850" s="282" t="e">
        <f>+Tabla4[[#This Row],[Comisión Calculada]]*Tabla4[[#This Row],[Total]]</f>
        <v>#N/A</v>
      </c>
    </row>
    <row r="1851" spans="1:22" hidden="1" x14ac:dyDescent="0.25">
      <c r="A1851" s="100">
        <v>45762</v>
      </c>
      <c r="B1851" t="str">
        <f t="shared" si="95"/>
        <v>April</v>
      </c>
      <c r="C1851" s="46" t="s">
        <v>280</v>
      </c>
      <c r="F1851" s="366" t="s">
        <v>1405</v>
      </c>
      <c r="G1851" s="46" t="s">
        <v>555</v>
      </c>
      <c r="H1851" s="46">
        <v>8</v>
      </c>
      <c r="I1851" s="51">
        <v>389.47</v>
      </c>
      <c r="J1851" s="281">
        <f>++Tabla4[[#This Row],[Precio Bruto]]*1.16</f>
        <v>451.78519999999997</v>
      </c>
      <c r="K1851" s="281">
        <f>+Tabla4[[#This Row],[Precio Unitario Neto]]*Tabla4[[#Headers],[20.85%]]</f>
        <v>94.197214199999991</v>
      </c>
      <c r="L1851" s="282">
        <f>++Tabla4[[#This Row],[Precio Unitario Neto]]-Tabla4[[#This Row],[20.85%]]</f>
        <v>357.58798579999996</v>
      </c>
      <c r="M1851" s="282" t="e">
        <f>(INDEX(Tabla6[#All],MATCH(Tabla4[[#This Row],[Producto]],Tabla6[[#All],[PRODUCTO]],0),MATCH(Tabla4[[#This Row],[Mes]],Tabla6[#Headers],0)))*(1+Catalogos!$L$2)</f>
        <v>#N/A</v>
      </c>
      <c r="N1851" s="283" t="e">
        <f>+(Tabla4[[#This Row],[Precio Descontado]]-Tabla4[[#This Row],[Precio Base]])*Tabla4[[#This Row],[Cantidad]]</f>
        <v>#N/A</v>
      </c>
      <c r="O1851" s="284" t="e">
        <f>++Tabla4[[#This Row],[Utilidad Total]]/Tabla4[[#This Row],[Total]]</f>
        <v>#N/A</v>
      </c>
      <c r="P1851" s="282">
        <f>++Tabla4[[#This Row],[Precio Descontado]]*Tabla4[[#This Row],[Cantidad]]</f>
        <v>2860.7038863999996</v>
      </c>
      <c r="Q1851" s="282" t="e">
        <f>(INDEX(Tabla6[#All],MATCH(Tabla4[[#This Row],[Producto]],Tabla6[[#All],[PRODUCTO]],0),MATCH(Tabla4[[#This Row],[Mes]],Tabla6[#Headers],0)))</f>
        <v>#N/A</v>
      </c>
      <c r="R1851" s="282" t="e">
        <f>++Tabla4[[#This Row],[Precio Unitario Neto]]-Tabla4[[#This Row],[20.85%]]-Tabla4[[#This Row],[Costo]]</f>
        <v>#N/A</v>
      </c>
      <c r="S1851" s="282" t="e">
        <f>++Tabla4[[#This Row],[U. Bruta Uni]]*Tabla4[[#This Row],[Cantidad]]</f>
        <v>#N/A</v>
      </c>
      <c r="T1851" s="369" t="str">
        <f>VLOOKUP(Tabla4[[#This Row],[Producto]],Tabla6[#All],14,FALSE)</f>
        <v>Termico Solar</v>
      </c>
      <c r="U1851" s="284" t="e">
        <f>(IF(Tabla4[[#This Row],[Familia]]="termico solar",Tabla4[[#This Row],[Utilidad Total]]*6%,Tabla4[[#This Row],[Utilidad Total]]*11.5%))/Tabla4[[#This Row],[Total]]</f>
        <v>#N/A</v>
      </c>
      <c r="V1851" s="282" t="e">
        <f>+Tabla4[[#This Row],[Comisión Calculada]]*Tabla4[[#This Row],[Total]]</f>
        <v>#N/A</v>
      </c>
    </row>
    <row r="1852" spans="1:22" hidden="1" x14ac:dyDescent="0.25">
      <c r="A1852" s="100">
        <v>45762</v>
      </c>
      <c r="B1852" t="str">
        <f t="shared" si="95"/>
        <v>April</v>
      </c>
      <c r="C1852" s="46" t="s">
        <v>280</v>
      </c>
      <c r="F1852" s="366" t="s">
        <v>1405</v>
      </c>
      <c r="G1852" s="46" t="s">
        <v>208</v>
      </c>
      <c r="H1852" s="46">
        <v>2</v>
      </c>
      <c r="I1852" s="51">
        <v>189.75</v>
      </c>
      <c r="J1852" s="281">
        <f>++Tabla4[[#This Row],[Precio Bruto]]*1.16</f>
        <v>220.10999999999999</v>
      </c>
      <c r="K1852" s="281">
        <f>+Tabla4[[#This Row],[Precio Unitario Neto]]*Tabla4[[#Headers],[20.85%]]</f>
        <v>45.892934999999994</v>
      </c>
      <c r="L1852" s="282">
        <f>++Tabla4[[#This Row],[Precio Unitario Neto]]-Tabla4[[#This Row],[20.85%]]</f>
        <v>174.21706499999999</v>
      </c>
      <c r="M1852" s="282" t="e">
        <f>(INDEX(Tabla6[#All],MATCH(Tabla4[[#This Row],[Producto]],Tabla6[[#All],[PRODUCTO]],0),MATCH(Tabla4[[#This Row],[Mes]],Tabla6[#Headers],0)))*(1+Catalogos!$L$2)</f>
        <v>#N/A</v>
      </c>
      <c r="N1852" s="283" t="e">
        <f>+(Tabla4[[#This Row],[Precio Descontado]]-Tabla4[[#This Row],[Precio Base]])*Tabla4[[#This Row],[Cantidad]]</f>
        <v>#N/A</v>
      </c>
      <c r="O1852" s="284" t="e">
        <f>++Tabla4[[#This Row],[Utilidad Total]]/Tabla4[[#This Row],[Total]]</f>
        <v>#N/A</v>
      </c>
      <c r="P1852" s="282">
        <f>++Tabla4[[#This Row],[Precio Descontado]]*Tabla4[[#This Row],[Cantidad]]</f>
        <v>348.43412999999998</v>
      </c>
      <c r="Q1852" s="282" t="e">
        <f>(INDEX(Tabla6[#All],MATCH(Tabla4[[#This Row],[Producto]],Tabla6[[#All],[PRODUCTO]],0),MATCH(Tabla4[[#This Row],[Mes]],Tabla6[#Headers],0)))</f>
        <v>#N/A</v>
      </c>
      <c r="R1852" s="282" t="e">
        <f>++Tabla4[[#This Row],[Precio Unitario Neto]]-Tabla4[[#This Row],[20.85%]]-Tabla4[[#This Row],[Costo]]</f>
        <v>#N/A</v>
      </c>
      <c r="S1852" s="282" t="e">
        <f>++Tabla4[[#This Row],[U. Bruta Uni]]*Tabla4[[#This Row],[Cantidad]]</f>
        <v>#N/A</v>
      </c>
      <c r="T1852" s="369" t="str">
        <f>VLOOKUP(Tabla4[[#This Row],[Producto]],Tabla6[#All],14,FALSE)</f>
        <v>Termico Solar</v>
      </c>
      <c r="U1852" s="284" t="e">
        <f>(IF(Tabla4[[#This Row],[Familia]]="termico solar",Tabla4[[#This Row],[Utilidad Total]]*6%,Tabla4[[#This Row],[Utilidad Total]]*11.5%))/Tabla4[[#This Row],[Total]]</f>
        <v>#N/A</v>
      </c>
      <c r="V1852" s="282" t="e">
        <f>+Tabla4[[#This Row],[Comisión Calculada]]*Tabla4[[#This Row],[Total]]</f>
        <v>#N/A</v>
      </c>
    </row>
    <row r="1853" spans="1:22" hidden="1" x14ac:dyDescent="0.25">
      <c r="A1853" s="100">
        <v>45762</v>
      </c>
      <c r="B1853" t="str">
        <f>TEXT(A1853, "mmmm")</f>
        <v>April</v>
      </c>
      <c r="C1853" s="46" t="s">
        <v>280</v>
      </c>
      <c r="F1853" s="366" t="s">
        <v>1406</v>
      </c>
      <c r="G1853" s="46" t="s">
        <v>17</v>
      </c>
      <c r="H1853" s="46">
        <v>7</v>
      </c>
      <c r="I1853" s="51">
        <v>4622.28</v>
      </c>
      <c r="J1853" s="281">
        <f>++Tabla4[[#This Row],[Precio Bruto]]*1.16</f>
        <v>5361.8447999999989</v>
      </c>
      <c r="K1853" s="281">
        <f>+Tabla4[[#This Row],[Precio Unitario Neto]]*Tabla4[[#Headers],[20.85%]]</f>
        <v>1117.9446407999997</v>
      </c>
      <c r="L1853" s="282">
        <f>++Tabla4[[#This Row],[Precio Unitario Neto]]-Tabla4[[#This Row],[20.85%]]</f>
        <v>4243.9001591999995</v>
      </c>
      <c r="M1853" s="282" t="e">
        <f>(INDEX(Tabla6[#All],MATCH(Tabla4[[#This Row],[Producto]],Tabla6[[#All],[PRODUCTO]],0),MATCH(Tabla4[[#This Row],[Mes]],Tabla6[#Headers],0)))*(1+Catalogos!$L$2)</f>
        <v>#N/A</v>
      </c>
      <c r="N1853" s="283" t="e">
        <f>+(Tabla4[[#This Row],[Precio Descontado]]-Tabla4[[#This Row],[Precio Base]])*Tabla4[[#This Row],[Cantidad]]</f>
        <v>#N/A</v>
      </c>
      <c r="O1853" s="284" t="e">
        <f>++Tabla4[[#This Row],[Utilidad Total]]/Tabla4[[#This Row],[Total]]</f>
        <v>#N/A</v>
      </c>
      <c r="P1853" s="282">
        <f>++Tabla4[[#This Row],[Precio Descontado]]*Tabla4[[#This Row],[Cantidad]]</f>
        <v>29707.301114399997</v>
      </c>
      <c r="Q1853" s="282" t="e">
        <f>(INDEX(Tabla6[#All],MATCH(Tabla4[[#This Row],[Producto]],Tabla6[[#All],[PRODUCTO]],0),MATCH(Tabla4[[#This Row],[Mes]],Tabla6[#Headers],0)))</f>
        <v>#N/A</v>
      </c>
      <c r="R1853" s="282" t="e">
        <f>++Tabla4[[#This Row],[Precio Unitario Neto]]-Tabla4[[#This Row],[20.85%]]-Tabla4[[#This Row],[Costo]]</f>
        <v>#N/A</v>
      </c>
      <c r="S1853" s="282" t="e">
        <f>++Tabla4[[#This Row],[U. Bruta Uni]]*Tabla4[[#This Row],[Cantidad]]</f>
        <v>#N/A</v>
      </c>
      <c r="T1853" s="369" t="str">
        <f>VLOOKUP(Tabla4[[#This Row],[Producto]],Tabla6[#All],14,FALSE)</f>
        <v>Termico Solar</v>
      </c>
      <c r="U1853" s="284" t="e">
        <f>(IF(Tabla4[[#This Row],[Familia]]="termico solar",Tabla4[[#This Row],[Utilidad Total]]*6%,Tabla4[[#This Row],[Utilidad Total]]*11.5%))/Tabla4[[#This Row],[Total]]</f>
        <v>#N/A</v>
      </c>
      <c r="V1853" s="282" t="e">
        <f>+Tabla4[[#This Row],[Comisión Calculada]]*Tabla4[[#This Row],[Total]]</f>
        <v>#N/A</v>
      </c>
    </row>
    <row r="1854" spans="1:22" hidden="1" x14ac:dyDescent="0.25">
      <c r="A1854" s="100">
        <v>45762</v>
      </c>
      <c r="B1854" t="str">
        <f>TEXT(A1854, "mmmm")</f>
        <v>April</v>
      </c>
      <c r="C1854" s="46" t="s">
        <v>280</v>
      </c>
      <c r="F1854" s="366" t="s">
        <v>1406</v>
      </c>
      <c r="G1854" s="46" t="s">
        <v>16</v>
      </c>
      <c r="H1854" s="46">
        <v>1</v>
      </c>
      <c r="I1854" s="51">
        <v>4103.8500000000004</v>
      </c>
      <c r="J1854" s="281">
        <f>++Tabla4[[#This Row],[Precio Bruto]]*1.16</f>
        <v>4760.4660000000003</v>
      </c>
      <c r="K1854" s="281">
        <f>+Tabla4[[#This Row],[Precio Unitario Neto]]*Tabla4[[#Headers],[20.85%]]</f>
        <v>992.55716100000006</v>
      </c>
      <c r="L1854" s="282">
        <f>++Tabla4[[#This Row],[Precio Unitario Neto]]-Tabla4[[#This Row],[20.85%]]</f>
        <v>3767.9088390000002</v>
      </c>
      <c r="M1854" s="282" t="e">
        <f>(INDEX(Tabla6[#All],MATCH(Tabla4[[#This Row],[Producto]],Tabla6[[#All],[PRODUCTO]],0),MATCH(Tabla4[[#This Row],[Mes]],Tabla6[#Headers],0)))*(1+Catalogos!$L$2)</f>
        <v>#N/A</v>
      </c>
      <c r="N1854" s="283" t="e">
        <f>+(Tabla4[[#This Row],[Precio Descontado]]-Tabla4[[#This Row],[Precio Base]])*Tabla4[[#This Row],[Cantidad]]</f>
        <v>#N/A</v>
      </c>
      <c r="O1854" s="284" t="e">
        <f>++Tabla4[[#This Row],[Utilidad Total]]/Tabla4[[#This Row],[Total]]</f>
        <v>#N/A</v>
      </c>
      <c r="P1854" s="282">
        <f>++Tabla4[[#This Row],[Precio Descontado]]*Tabla4[[#This Row],[Cantidad]]</f>
        <v>3767.9088390000002</v>
      </c>
      <c r="Q1854" s="282" t="e">
        <f>(INDEX(Tabla6[#All],MATCH(Tabla4[[#This Row],[Producto]],Tabla6[[#All],[PRODUCTO]],0),MATCH(Tabla4[[#This Row],[Mes]],Tabla6[#Headers],0)))</f>
        <v>#N/A</v>
      </c>
      <c r="R1854" s="282" t="e">
        <f>++Tabla4[[#This Row],[Precio Unitario Neto]]-Tabla4[[#This Row],[20.85%]]-Tabla4[[#This Row],[Costo]]</f>
        <v>#N/A</v>
      </c>
      <c r="S1854" s="282" t="e">
        <f>++Tabla4[[#This Row],[U. Bruta Uni]]*Tabla4[[#This Row],[Cantidad]]</f>
        <v>#N/A</v>
      </c>
      <c r="T1854" s="369" t="str">
        <f>VLOOKUP(Tabla4[[#This Row],[Producto]],Tabla6[#All],14,FALSE)</f>
        <v>Termico Solar</v>
      </c>
      <c r="U1854" s="284" t="e">
        <f>(IF(Tabla4[[#This Row],[Familia]]="termico solar",Tabla4[[#This Row],[Utilidad Total]]*6%,Tabla4[[#This Row],[Utilidad Total]]*11.5%))/Tabla4[[#This Row],[Total]]</f>
        <v>#N/A</v>
      </c>
      <c r="V1854" s="282" t="e">
        <f>+Tabla4[[#This Row],[Comisión Calculada]]*Tabla4[[#This Row],[Total]]</f>
        <v>#N/A</v>
      </c>
    </row>
    <row r="1855" spans="1:22" hidden="1" x14ac:dyDescent="0.25">
      <c r="A1855" s="100">
        <v>45762</v>
      </c>
      <c r="B1855" t="str">
        <f t="shared" ref="B1855:B1860" si="96">TEXT(A1855, "mmmm")</f>
        <v>April</v>
      </c>
      <c r="C1855" s="46" t="s">
        <v>280</v>
      </c>
      <c r="F1855" s="366" t="s">
        <v>1407</v>
      </c>
      <c r="G1855" s="46" t="s">
        <v>394</v>
      </c>
      <c r="H1855" s="46">
        <v>16</v>
      </c>
      <c r="I1855" s="51">
        <v>224.29</v>
      </c>
      <c r="J1855" s="281">
        <f>++Tabla4[[#This Row],[Precio Bruto]]*1.16</f>
        <v>260.1764</v>
      </c>
      <c r="K1855" s="281">
        <f>+Tabla4[[#This Row],[Precio Unitario Neto]]*Tabla4[[#Headers],[20.85%]]</f>
        <v>54.246779400000001</v>
      </c>
      <c r="L1855" s="282">
        <f>++Tabla4[[#This Row],[Precio Unitario Neto]]-Tabla4[[#This Row],[20.85%]]</f>
        <v>205.92962059999999</v>
      </c>
      <c r="M1855" s="282" t="e">
        <f>(INDEX(Tabla6[#All],MATCH(Tabla4[[#This Row],[Producto]],Tabla6[[#All],[PRODUCTO]],0),MATCH(Tabla4[[#This Row],[Mes]],Tabla6[#Headers],0)))*(1+Catalogos!$L$2)</f>
        <v>#N/A</v>
      </c>
      <c r="N1855" s="283" t="e">
        <f>+(Tabla4[[#This Row],[Precio Descontado]]-Tabla4[[#This Row],[Precio Base]])*Tabla4[[#This Row],[Cantidad]]</f>
        <v>#N/A</v>
      </c>
      <c r="O1855" s="284" t="e">
        <f>++Tabla4[[#This Row],[Utilidad Total]]/Tabla4[[#This Row],[Total]]</f>
        <v>#N/A</v>
      </c>
      <c r="P1855" s="282">
        <f>++Tabla4[[#This Row],[Precio Descontado]]*Tabla4[[#This Row],[Cantidad]]</f>
        <v>3294.8739295999999</v>
      </c>
      <c r="Q1855" s="282" t="e">
        <f>(INDEX(Tabla6[#All],MATCH(Tabla4[[#This Row],[Producto]],Tabla6[[#All],[PRODUCTO]],0),MATCH(Tabla4[[#This Row],[Mes]],Tabla6[#Headers],0)))</f>
        <v>#N/A</v>
      </c>
      <c r="R1855" s="282" t="e">
        <f>++Tabla4[[#This Row],[Precio Unitario Neto]]-Tabla4[[#This Row],[20.85%]]-Tabla4[[#This Row],[Costo]]</f>
        <v>#N/A</v>
      </c>
      <c r="S1855" s="282" t="e">
        <f>++Tabla4[[#This Row],[U. Bruta Uni]]*Tabla4[[#This Row],[Cantidad]]</f>
        <v>#N/A</v>
      </c>
      <c r="T1855" s="369" t="str">
        <f>VLOOKUP(Tabla4[[#This Row],[Producto]],Tabla6[#All],14,FALSE)</f>
        <v>Termico Solar</v>
      </c>
      <c r="U1855" s="284" t="e">
        <f>(IF(Tabla4[[#This Row],[Familia]]="termico solar",Tabla4[[#This Row],[Utilidad Total]]*6%,Tabla4[[#This Row],[Utilidad Total]]*11.5%))/Tabla4[[#This Row],[Total]]</f>
        <v>#N/A</v>
      </c>
      <c r="V1855" s="282" t="e">
        <f>+Tabla4[[#This Row],[Comisión Calculada]]*Tabla4[[#This Row],[Total]]</f>
        <v>#N/A</v>
      </c>
    </row>
    <row r="1856" spans="1:22" hidden="1" x14ac:dyDescent="0.25">
      <c r="A1856" s="100">
        <v>45762</v>
      </c>
      <c r="B1856" t="str">
        <f t="shared" si="96"/>
        <v>April</v>
      </c>
      <c r="C1856" s="46" t="s">
        <v>280</v>
      </c>
      <c r="F1856" s="366" t="s">
        <v>1407</v>
      </c>
      <c r="G1856" s="46" t="s">
        <v>200</v>
      </c>
      <c r="H1856" s="46">
        <v>12</v>
      </c>
      <c r="I1856" s="51">
        <v>393.22</v>
      </c>
      <c r="J1856" s="281">
        <f>++Tabla4[[#This Row],[Precio Bruto]]*1.16</f>
        <v>456.1352</v>
      </c>
      <c r="K1856" s="281">
        <f>+Tabla4[[#This Row],[Precio Unitario Neto]]*Tabla4[[#Headers],[20.85%]]</f>
        <v>95.104189199999993</v>
      </c>
      <c r="L1856" s="282">
        <f>++Tabla4[[#This Row],[Precio Unitario Neto]]-Tabla4[[#This Row],[20.85%]]</f>
        <v>361.03101079999999</v>
      </c>
      <c r="M1856" s="282" t="e">
        <f>(INDEX(Tabla6[#All],MATCH(Tabla4[[#This Row],[Producto]],Tabla6[[#All],[PRODUCTO]],0),MATCH(Tabla4[[#This Row],[Mes]],Tabla6[#Headers],0)))*(1+Catalogos!$L$2)</f>
        <v>#N/A</v>
      </c>
      <c r="N1856" s="283" t="e">
        <f>+(Tabla4[[#This Row],[Precio Descontado]]-Tabla4[[#This Row],[Precio Base]])*Tabla4[[#This Row],[Cantidad]]</f>
        <v>#N/A</v>
      </c>
      <c r="O1856" s="284" t="e">
        <f>++Tabla4[[#This Row],[Utilidad Total]]/Tabla4[[#This Row],[Total]]</f>
        <v>#N/A</v>
      </c>
      <c r="P1856" s="282">
        <f>++Tabla4[[#This Row],[Precio Descontado]]*Tabla4[[#This Row],[Cantidad]]</f>
        <v>4332.3721296000003</v>
      </c>
      <c r="Q1856" s="282" t="e">
        <f>(INDEX(Tabla6[#All],MATCH(Tabla4[[#This Row],[Producto]],Tabla6[[#All],[PRODUCTO]],0),MATCH(Tabla4[[#This Row],[Mes]],Tabla6[#Headers],0)))</f>
        <v>#N/A</v>
      </c>
      <c r="R1856" s="282" t="e">
        <f>++Tabla4[[#This Row],[Precio Unitario Neto]]-Tabla4[[#This Row],[20.85%]]-Tabla4[[#This Row],[Costo]]</f>
        <v>#N/A</v>
      </c>
      <c r="S1856" s="282" t="e">
        <f>++Tabla4[[#This Row],[U. Bruta Uni]]*Tabla4[[#This Row],[Cantidad]]</f>
        <v>#N/A</v>
      </c>
      <c r="T1856" s="369" t="str">
        <f>VLOOKUP(Tabla4[[#This Row],[Producto]],Tabla6[#All],14,FALSE)</f>
        <v>Termico Solar</v>
      </c>
      <c r="U1856" s="284" t="e">
        <f>(IF(Tabla4[[#This Row],[Familia]]="termico solar",Tabla4[[#This Row],[Utilidad Total]]*6%,Tabla4[[#This Row],[Utilidad Total]]*11.5%))/Tabla4[[#This Row],[Total]]</f>
        <v>#N/A</v>
      </c>
      <c r="V1856" s="282" t="e">
        <f>+Tabla4[[#This Row],[Comisión Calculada]]*Tabla4[[#This Row],[Total]]</f>
        <v>#N/A</v>
      </c>
    </row>
    <row r="1857" spans="1:22" hidden="1" x14ac:dyDescent="0.25">
      <c r="A1857" s="100">
        <v>45762</v>
      </c>
      <c r="B1857" t="str">
        <f t="shared" si="96"/>
        <v>April</v>
      </c>
      <c r="C1857" s="46" t="s">
        <v>280</v>
      </c>
      <c r="F1857" s="366" t="s">
        <v>1407</v>
      </c>
      <c r="G1857" s="46" t="s">
        <v>555</v>
      </c>
      <c r="H1857" s="46">
        <v>8</v>
      </c>
      <c r="I1857" s="51">
        <v>389.47</v>
      </c>
      <c r="J1857" s="281">
        <f>++Tabla4[[#This Row],[Precio Bruto]]*1.16</f>
        <v>451.78519999999997</v>
      </c>
      <c r="K1857" s="281">
        <f>+Tabla4[[#This Row],[Precio Unitario Neto]]*Tabla4[[#Headers],[20.85%]]</f>
        <v>94.197214199999991</v>
      </c>
      <c r="L1857" s="282">
        <f>++Tabla4[[#This Row],[Precio Unitario Neto]]-Tabla4[[#This Row],[20.85%]]</f>
        <v>357.58798579999996</v>
      </c>
      <c r="M1857" s="282" t="e">
        <f>(INDEX(Tabla6[#All],MATCH(Tabla4[[#This Row],[Producto]],Tabla6[[#All],[PRODUCTO]],0),MATCH(Tabla4[[#This Row],[Mes]],Tabla6[#Headers],0)))*(1+Catalogos!$L$2)</f>
        <v>#N/A</v>
      </c>
      <c r="N1857" s="283" t="e">
        <f>+(Tabla4[[#This Row],[Precio Descontado]]-Tabla4[[#This Row],[Precio Base]])*Tabla4[[#This Row],[Cantidad]]</f>
        <v>#N/A</v>
      </c>
      <c r="O1857" s="284" t="e">
        <f>++Tabla4[[#This Row],[Utilidad Total]]/Tabla4[[#This Row],[Total]]</f>
        <v>#N/A</v>
      </c>
      <c r="P1857" s="282">
        <f>++Tabla4[[#This Row],[Precio Descontado]]*Tabla4[[#This Row],[Cantidad]]</f>
        <v>2860.7038863999996</v>
      </c>
      <c r="Q1857" s="282" t="e">
        <f>(INDEX(Tabla6[#All],MATCH(Tabla4[[#This Row],[Producto]],Tabla6[[#All],[PRODUCTO]],0),MATCH(Tabla4[[#This Row],[Mes]],Tabla6[#Headers],0)))</f>
        <v>#N/A</v>
      </c>
      <c r="R1857" s="282" t="e">
        <f>++Tabla4[[#This Row],[Precio Unitario Neto]]-Tabla4[[#This Row],[20.85%]]-Tabla4[[#This Row],[Costo]]</f>
        <v>#N/A</v>
      </c>
      <c r="S1857" s="282" t="e">
        <f>++Tabla4[[#This Row],[U. Bruta Uni]]*Tabla4[[#This Row],[Cantidad]]</f>
        <v>#N/A</v>
      </c>
      <c r="T1857" s="369" t="str">
        <f>VLOOKUP(Tabla4[[#This Row],[Producto]],Tabla6[#All],14,FALSE)</f>
        <v>Termico Solar</v>
      </c>
      <c r="U1857" s="284" t="e">
        <f>(IF(Tabla4[[#This Row],[Familia]]="termico solar",Tabla4[[#This Row],[Utilidad Total]]*6%,Tabla4[[#This Row],[Utilidad Total]]*11.5%))/Tabla4[[#This Row],[Total]]</f>
        <v>#N/A</v>
      </c>
      <c r="V1857" s="282" t="e">
        <f>+Tabla4[[#This Row],[Comisión Calculada]]*Tabla4[[#This Row],[Total]]</f>
        <v>#N/A</v>
      </c>
    </row>
    <row r="1858" spans="1:22" hidden="1" x14ac:dyDescent="0.25">
      <c r="A1858" s="100">
        <v>45762</v>
      </c>
      <c r="B1858" t="str">
        <f t="shared" si="96"/>
        <v>April</v>
      </c>
      <c r="C1858" s="46" t="s">
        <v>280</v>
      </c>
      <c r="F1858" s="366" t="s">
        <v>1407</v>
      </c>
      <c r="G1858" s="46" t="s">
        <v>545</v>
      </c>
      <c r="H1858" s="46">
        <v>24</v>
      </c>
      <c r="I1858" s="51">
        <v>304.32</v>
      </c>
      <c r="J1858" s="281">
        <f>++Tabla4[[#This Row],[Precio Bruto]]*1.16</f>
        <v>353.01119999999997</v>
      </c>
      <c r="K1858" s="281">
        <f>+Tabla4[[#This Row],[Precio Unitario Neto]]*Tabla4[[#Headers],[20.85%]]</f>
        <v>73.602835199999987</v>
      </c>
      <c r="L1858" s="282">
        <f>++Tabla4[[#This Row],[Precio Unitario Neto]]-Tabla4[[#This Row],[20.85%]]</f>
        <v>279.40836479999996</v>
      </c>
      <c r="M1858" s="282" t="e">
        <f>(INDEX(Tabla6[#All],MATCH(Tabla4[[#This Row],[Producto]],Tabla6[[#All],[PRODUCTO]],0),MATCH(Tabla4[[#This Row],[Mes]],Tabla6[#Headers],0)))*(1+Catalogos!$L$2)</f>
        <v>#N/A</v>
      </c>
      <c r="N1858" s="283" t="e">
        <f>+(Tabla4[[#This Row],[Precio Descontado]]-Tabla4[[#This Row],[Precio Base]])*Tabla4[[#This Row],[Cantidad]]</f>
        <v>#N/A</v>
      </c>
      <c r="O1858" s="284" t="e">
        <f>++Tabla4[[#This Row],[Utilidad Total]]/Tabla4[[#This Row],[Total]]</f>
        <v>#N/A</v>
      </c>
      <c r="P1858" s="282">
        <f>++Tabla4[[#This Row],[Precio Descontado]]*Tabla4[[#This Row],[Cantidad]]</f>
        <v>6705.800755199999</v>
      </c>
      <c r="Q1858" s="282" t="e">
        <f>(INDEX(Tabla6[#All],MATCH(Tabla4[[#This Row],[Producto]],Tabla6[[#All],[PRODUCTO]],0),MATCH(Tabla4[[#This Row],[Mes]],Tabla6[#Headers],0)))</f>
        <v>#N/A</v>
      </c>
      <c r="R1858" s="282" t="e">
        <f>++Tabla4[[#This Row],[Precio Unitario Neto]]-Tabla4[[#This Row],[20.85%]]-Tabla4[[#This Row],[Costo]]</f>
        <v>#N/A</v>
      </c>
      <c r="S1858" s="282" t="e">
        <f>++Tabla4[[#This Row],[U. Bruta Uni]]*Tabla4[[#This Row],[Cantidad]]</f>
        <v>#N/A</v>
      </c>
      <c r="T1858" s="369" t="str">
        <f>VLOOKUP(Tabla4[[#This Row],[Producto]],Tabla6[#All],14,FALSE)</f>
        <v>Termico Solar</v>
      </c>
      <c r="U1858" s="284" t="e">
        <f>(IF(Tabla4[[#This Row],[Familia]]="termico solar",Tabla4[[#This Row],[Utilidad Total]]*6%,Tabla4[[#This Row],[Utilidad Total]]*11.5%))/Tabla4[[#This Row],[Total]]</f>
        <v>#N/A</v>
      </c>
      <c r="V1858" s="282" t="e">
        <f>+Tabla4[[#This Row],[Comisión Calculada]]*Tabla4[[#This Row],[Total]]</f>
        <v>#N/A</v>
      </c>
    </row>
    <row r="1859" spans="1:22" hidden="1" x14ac:dyDescent="0.25">
      <c r="A1859" s="100">
        <v>45762</v>
      </c>
      <c r="B1859" t="str">
        <f t="shared" si="96"/>
        <v>April</v>
      </c>
      <c r="C1859" s="46" t="s">
        <v>280</v>
      </c>
      <c r="F1859" s="366" t="s">
        <v>1407</v>
      </c>
      <c r="G1859" s="46" t="s">
        <v>208</v>
      </c>
      <c r="H1859" s="46">
        <v>4</v>
      </c>
      <c r="I1859" s="51">
        <v>189.75</v>
      </c>
      <c r="J1859" s="281">
        <f>++Tabla4[[#This Row],[Precio Bruto]]*1.16</f>
        <v>220.10999999999999</v>
      </c>
      <c r="K1859" s="281">
        <f>+Tabla4[[#This Row],[Precio Unitario Neto]]*Tabla4[[#Headers],[20.85%]]</f>
        <v>45.892934999999994</v>
      </c>
      <c r="L1859" s="282">
        <f>++Tabla4[[#This Row],[Precio Unitario Neto]]-Tabla4[[#This Row],[20.85%]]</f>
        <v>174.21706499999999</v>
      </c>
      <c r="M1859" s="282" t="e">
        <f>(INDEX(Tabla6[#All],MATCH(Tabla4[[#This Row],[Producto]],Tabla6[[#All],[PRODUCTO]],0),MATCH(Tabla4[[#This Row],[Mes]],Tabla6[#Headers],0)))*(1+Catalogos!$L$2)</f>
        <v>#N/A</v>
      </c>
      <c r="N1859" s="283" t="e">
        <f>+(Tabla4[[#This Row],[Precio Descontado]]-Tabla4[[#This Row],[Precio Base]])*Tabla4[[#This Row],[Cantidad]]</f>
        <v>#N/A</v>
      </c>
      <c r="O1859" s="284" t="e">
        <f>++Tabla4[[#This Row],[Utilidad Total]]/Tabla4[[#This Row],[Total]]</f>
        <v>#N/A</v>
      </c>
      <c r="P1859" s="282">
        <f>++Tabla4[[#This Row],[Precio Descontado]]*Tabla4[[#This Row],[Cantidad]]</f>
        <v>696.86825999999996</v>
      </c>
      <c r="Q1859" s="282" t="e">
        <f>(INDEX(Tabla6[#All],MATCH(Tabla4[[#This Row],[Producto]],Tabla6[[#All],[PRODUCTO]],0),MATCH(Tabla4[[#This Row],[Mes]],Tabla6[#Headers],0)))</f>
        <v>#N/A</v>
      </c>
      <c r="R1859" s="282" t="e">
        <f>++Tabla4[[#This Row],[Precio Unitario Neto]]-Tabla4[[#This Row],[20.85%]]-Tabla4[[#This Row],[Costo]]</f>
        <v>#N/A</v>
      </c>
      <c r="S1859" s="282" t="e">
        <f>++Tabla4[[#This Row],[U. Bruta Uni]]*Tabla4[[#This Row],[Cantidad]]</f>
        <v>#N/A</v>
      </c>
      <c r="T1859" s="369" t="str">
        <f>VLOOKUP(Tabla4[[#This Row],[Producto]],Tabla6[#All],14,FALSE)</f>
        <v>Termico Solar</v>
      </c>
      <c r="U1859" s="284" t="e">
        <f>(IF(Tabla4[[#This Row],[Familia]]="termico solar",Tabla4[[#This Row],[Utilidad Total]]*6%,Tabla4[[#This Row],[Utilidad Total]]*11.5%))/Tabla4[[#This Row],[Total]]</f>
        <v>#N/A</v>
      </c>
      <c r="V1859" s="282" t="e">
        <f>+Tabla4[[#This Row],[Comisión Calculada]]*Tabla4[[#This Row],[Total]]</f>
        <v>#N/A</v>
      </c>
    </row>
    <row r="1860" spans="1:22" hidden="1" x14ac:dyDescent="0.25">
      <c r="A1860" s="100">
        <v>45762</v>
      </c>
      <c r="B1860" t="str">
        <f t="shared" si="96"/>
        <v>April</v>
      </c>
      <c r="C1860" s="46" t="s">
        <v>280</v>
      </c>
      <c r="F1860" s="366" t="s">
        <v>1407</v>
      </c>
      <c r="G1860" s="46" t="s">
        <v>209</v>
      </c>
      <c r="H1860" s="46">
        <v>4</v>
      </c>
      <c r="I1860" s="51">
        <v>347.48</v>
      </c>
      <c r="J1860" s="281">
        <f>++Tabla4[[#This Row],[Precio Bruto]]*1.16</f>
        <v>403.07679999999999</v>
      </c>
      <c r="K1860" s="281">
        <f>+Tabla4[[#This Row],[Precio Unitario Neto]]*Tabla4[[#Headers],[20.85%]]</f>
        <v>84.041512799999992</v>
      </c>
      <c r="L1860" s="282">
        <f>++Tabla4[[#This Row],[Precio Unitario Neto]]-Tabla4[[#This Row],[20.85%]]</f>
        <v>319.03528719999997</v>
      </c>
      <c r="M1860" s="282" t="e">
        <f>(INDEX(Tabla6[#All],MATCH(Tabla4[[#This Row],[Producto]],Tabla6[[#All],[PRODUCTO]],0),MATCH(Tabla4[[#This Row],[Mes]],Tabla6[#Headers],0)))*(1+Catalogos!$L$2)</f>
        <v>#N/A</v>
      </c>
      <c r="N1860" s="283" t="e">
        <f>+(Tabla4[[#This Row],[Precio Descontado]]-Tabla4[[#This Row],[Precio Base]])*Tabla4[[#This Row],[Cantidad]]</f>
        <v>#N/A</v>
      </c>
      <c r="O1860" s="284" t="e">
        <f>++Tabla4[[#This Row],[Utilidad Total]]/Tabla4[[#This Row],[Total]]</f>
        <v>#N/A</v>
      </c>
      <c r="P1860" s="282">
        <f>++Tabla4[[#This Row],[Precio Descontado]]*Tabla4[[#This Row],[Cantidad]]</f>
        <v>1276.1411487999999</v>
      </c>
      <c r="Q1860" s="282" t="e">
        <f>(INDEX(Tabla6[#All],MATCH(Tabla4[[#This Row],[Producto]],Tabla6[[#All],[PRODUCTO]],0),MATCH(Tabla4[[#This Row],[Mes]],Tabla6[#Headers],0)))</f>
        <v>#N/A</v>
      </c>
      <c r="R1860" s="282" t="e">
        <f>++Tabla4[[#This Row],[Precio Unitario Neto]]-Tabla4[[#This Row],[20.85%]]-Tabla4[[#This Row],[Costo]]</f>
        <v>#N/A</v>
      </c>
      <c r="S1860" s="282" t="e">
        <f>++Tabla4[[#This Row],[U. Bruta Uni]]*Tabla4[[#This Row],[Cantidad]]</f>
        <v>#N/A</v>
      </c>
      <c r="T1860" s="369" t="str">
        <f>VLOOKUP(Tabla4[[#This Row],[Producto]],Tabla6[#All],14,FALSE)</f>
        <v>Termico Solar</v>
      </c>
      <c r="U1860" s="284" t="e">
        <f>(IF(Tabla4[[#This Row],[Familia]]="termico solar",Tabla4[[#This Row],[Utilidad Total]]*6%,Tabla4[[#This Row],[Utilidad Total]]*11.5%))/Tabla4[[#This Row],[Total]]</f>
        <v>#N/A</v>
      </c>
      <c r="V1860" s="282" t="e">
        <f>+Tabla4[[#This Row],[Comisión Calculada]]*Tabla4[[#This Row],[Total]]</f>
        <v>#N/A</v>
      </c>
    </row>
    <row r="1861" spans="1:22" hidden="1" x14ac:dyDescent="0.25">
      <c r="A1861" s="100">
        <v>45762</v>
      </c>
      <c r="B1861" t="str">
        <f t="shared" ref="B1861:B1866" si="97">TEXT(A1861, "mmmm")</f>
        <v>April</v>
      </c>
      <c r="C1861" s="46" t="s">
        <v>280</v>
      </c>
      <c r="F1861" s="366" t="s">
        <v>1408</v>
      </c>
      <c r="G1861" s="46" t="s">
        <v>394</v>
      </c>
      <c r="H1861" s="46">
        <v>16</v>
      </c>
      <c r="I1861" s="51">
        <v>224.29</v>
      </c>
      <c r="J1861" s="281">
        <f>++Tabla4[[#This Row],[Precio Bruto]]*1.16</f>
        <v>260.1764</v>
      </c>
      <c r="K1861" s="281">
        <f>+Tabla4[[#This Row],[Precio Unitario Neto]]*Tabla4[[#Headers],[20.85%]]</f>
        <v>54.246779400000001</v>
      </c>
      <c r="L1861" s="282">
        <f>++Tabla4[[#This Row],[Precio Unitario Neto]]-Tabla4[[#This Row],[20.85%]]</f>
        <v>205.92962059999999</v>
      </c>
      <c r="M1861" s="282" t="e">
        <f>(INDEX(Tabla6[#All],MATCH(Tabla4[[#This Row],[Producto]],Tabla6[[#All],[PRODUCTO]],0),MATCH(Tabla4[[#This Row],[Mes]],Tabla6[#Headers],0)))*(1+Catalogos!$L$2)</f>
        <v>#N/A</v>
      </c>
      <c r="N1861" s="283" t="e">
        <f>+(Tabla4[[#This Row],[Precio Descontado]]-Tabla4[[#This Row],[Precio Base]])*Tabla4[[#This Row],[Cantidad]]</f>
        <v>#N/A</v>
      </c>
      <c r="O1861" s="284" t="e">
        <f>++Tabla4[[#This Row],[Utilidad Total]]/Tabla4[[#This Row],[Total]]</f>
        <v>#N/A</v>
      </c>
      <c r="P1861" s="282">
        <f>++Tabla4[[#This Row],[Precio Descontado]]*Tabla4[[#This Row],[Cantidad]]</f>
        <v>3294.8739295999999</v>
      </c>
      <c r="Q1861" s="282" t="e">
        <f>(INDEX(Tabla6[#All],MATCH(Tabla4[[#This Row],[Producto]],Tabla6[[#All],[PRODUCTO]],0),MATCH(Tabla4[[#This Row],[Mes]],Tabla6[#Headers],0)))</f>
        <v>#N/A</v>
      </c>
      <c r="R1861" s="282" t="e">
        <f>++Tabla4[[#This Row],[Precio Unitario Neto]]-Tabla4[[#This Row],[20.85%]]-Tabla4[[#This Row],[Costo]]</f>
        <v>#N/A</v>
      </c>
      <c r="S1861" s="282" t="e">
        <f>++Tabla4[[#This Row],[U. Bruta Uni]]*Tabla4[[#This Row],[Cantidad]]</f>
        <v>#N/A</v>
      </c>
      <c r="T1861" s="369" t="str">
        <f>VLOOKUP(Tabla4[[#This Row],[Producto]],Tabla6[#All],14,FALSE)</f>
        <v>Termico Solar</v>
      </c>
      <c r="U1861" s="284" t="e">
        <f>(IF(Tabla4[[#This Row],[Familia]]="termico solar",Tabla4[[#This Row],[Utilidad Total]]*6%,Tabla4[[#This Row],[Utilidad Total]]*11.5%))/Tabla4[[#This Row],[Total]]</f>
        <v>#N/A</v>
      </c>
      <c r="V1861" s="282" t="e">
        <f>+Tabla4[[#This Row],[Comisión Calculada]]*Tabla4[[#This Row],[Total]]</f>
        <v>#N/A</v>
      </c>
    </row>
    <row r="1862" spans="1:22" hidden="1" x14ac:dyDescent="0.25">
      <c r="A1862" s="100">
        <v>45762</v>
      </c>
      <c r="B1862" t="str">
        <f t="shared" si="97"/>
        <v>April</v>
      </c>
      <c r="C1862" s="46" t="s">
        <v>280</v>
      </c>
      <c r="F1862" s="366" t="s">
        <v>1408</v>
      </c>
      <c r="G1862" s="46" t="s">
        <v>200</v>
      </c>
      <c r="H1862" s="46">
        <v>12</v>
      </c>
      <c r="I1862" s="51">
        <v>393.22</v>
      </c>
      <c r="J1862" s="281">
        <f>++Tabla4[[#This Row],[Precio Bruto]]*1.16</f>
        <v>456.1352</v>
      </c>
      <c r="K1862" s="281">
        <f>+Tabla4[[#This Row],[Precio Unitario Neto]]*Tabla4[[#Headers],[20.85%]]</f>
        <v>95.104189199999993</v>
      </c>
      <c r="L1862" s="282">
        <f>++Tabla4[[#This Row],[Precio Unitario Neto]]-Tabla4[[#This Row],[20.85%]]</f>
        <v>361.03101079999999</v>
      </c>
      <c r="M1862" s="282" t="e">
        <f>(INDEX(Tabla6[#All],MATCH(Tabla4[[#This Row],[Producto]],Tabla6[[#All],[PRODUCTO]],0),MATCH(Tabla4[[#This Row],[Mes]],Tabla6[#Headers],0)))*(1+Catalogos!$L$2)</f>
        <v>#N/A</v>
      </c>
      <c r="N1862" s="283" t="e">
        <f>+(Tabla4[[#This Row],[Precio Descontado]]-Tabla4[[#This Row],[Precio Base]])*Tabla4[[#This Row],[Cantidad]]</f>
        <v>#N/A</v>
      </c>
      <c r="O1862" s="284" t="e">
        <f>++Tabla4[[#This Row],[Utilidad Total]]/Tabla4[[#This Row],[Total]]</f>
        <v>#N/A</v>
      </c>
      <c r="P1862" s="282">
        <f>++Tabla4[[#This Row],[Precio Descontado]]*Tabla4[[#This Row],[Cantidad]]</f>
        <v>4332.3721296000003</v>
      </c>
      <c r="Q1862" s="282" t="e">
        <f>(INDEX(Tabla6[#All],MATCH(Tabla4[[#This Row],[Producto]],Tabla6[[#All],[PRODUCTO]],0),MATCH(Tabla4[[#This Row],[Mes]],Tabla6[#Headers],0)))</f>
        <v>#N/A</v>
      </c>
      <c r="R1862" s="282" t="e">
        <f>++Tabla4[[#This Row],[Precio Unitario Neto]]-Tabla4[[#This Row],[20.85%]]-Tabla4[[#This Row],[Costo]]</f>
        <v>#N/A</v>
      </c>
      <c r="S1862" s="282" t="e">
        <f>++Tabla4[[#This Row],[U. Bruta Uni]]*Tabla4[[#This Row],[Cantidad]]</f>
        <v>#N/A</v>
      </c>
      <c r="T1862" s="369" t="str">
        <f>VLOOKUP(Tabla4[[#This Row],[Producto]],Tabla6[#All],14,FALSE)</f>
        <v>Termico Solar</v>
      </c>
      <c r="U1862" s="284" t="e">
        <f>(IF(Tabla4[[#This Row],[Familia]]="termico solar",Tabla4[[#This Row],[Utilidad Total]]*6%,Tabla4[[#This Row],[Utilidad Total]]*11.5%))/Tabla4[[#This Row],[Total]]</f>
        <v>#N/A</v>
      </c>
      <c r="V1862" s="282" t="e">
        <f>+Tabla4[[#This Row],[Comisión Calculada]]*Tabla4[[#This Row],[Total]]</f>
        <v>#N/A</v>
      </c>
    </row>
    <row r="1863" spans="1:22" ht="17.25" hidden="1" customHeight="1" x14ac:dyDescent="0.25">
      <c r="A1863" s="100">
        <v>45762</v>
      </c>
      <c r="B1863" t="str">
        <f t="shared" si="97"/>
        <v>April</v>
      </c>
      <c r="C1863" s="46" t="s">
        <v>280</v>
      </c>
      <c r="F1863" s="366" t="s">
        <v>1408</v>
      </c>
      <c r="G1863" s="46" t="s">
        <v>555</v>
      </c>
      <c r="H1863" s="46">
        <v>8</v>
      </c>
      <c r="I1863" s="51">
        <v>389.47</v>
      </c>
      <c r="J1863" s="281">
        <f>++Tabla4[[#This Row],[Precio Bruto]]*1.16</f>
        <v>451.78519999999997</v>
      </c>
      <c r="K1863" s="281">
        <f>+Tabla4[[#This Row],[Precio Unitario Neto]]*Tabla4[[#Headers],[20.85%]]</f>
        <v>94.197214199999991</v>
      </c>
      <c r="L1863" s="282">
        <f>++Tabla4[[#This Row],[Precio Unitario Neto]]-Tabla4[[#This Row],[20.85%]]</f>
        <v>357.58798579999996</v>
      </c>
      <c r="M1863" s="282" t="e">
        <f>(INDEX(Tabla6[#All],MATCH(Tabla4[[#This Row],[Producto]],Tabla6[[#All],[PRODUCTO]],0),MATCH(Tabla4[[#This Row],[Mes]],Tabla6[#Headers],0)))*(1+Catalogos!$L$2)</f>
        <v>#N/A</v>
      </c>
      <c r="N1863" s="283" t="e">
        <f>+(Tabla4[[#This Row],[Precio Descontado]]-Tabla4[[#This Row],[Precio Base]])*Tabla4[[#This Row],[Cantidad]]</f>
        <v>#N/A</v>
      </c>
      <c r="O1863" s="284" t="e">
        <f>++Tabla4[[#This Row],[Utilidad Total]]/Tabla4[[#This Row],[Total]]</f>
        <v>#N/A</v>
      </c>
      <c r="P1863" s="282">
        <f>++Tabla4[[#This Row],[Precio Descontado]]*Tabla4[[#This Row],[Cantidad]]</f>
        <v>2860.7038863999996</v>
      </c>
      <c r="Q1863" s="282" t="e">
        <f>(INDEX(Tabla6[#All],MATCH(Tabla4[[#This Row],[Producto]],Tabla6[[#All],[PRODUCTO]],0),MATCH(Tabla4[[#This Row],[Mes]],Tabla6[#Headers],0)))</f>
        <v>#N/A</v>
      </c>
      <c r="R1863" s="282" t="e">
        <f>++Tabla4[[#This Row],[Precio Unitario Neto]]-Tabla4[[#This Row],[20.85%]]-Tabla4[[#This Row],[Costo]]</f>
        <v>#N/A</v>
      </c>
      <c r="S1863" s="282" t="e">
        <f>++Tabla4[[#This Row],[U. Bruta Uni]]*Tabla4[[#This Row],[Cantidad]]</f>
        <v>#N/A</v>
      </c>
      <c r="T1863" s="369" t="str">
        <f>VLOOKUP(Tabla4[[#This Row],[Producto]],Tabla6[#All],14,FALSE)</f>
        <v>Termico Solar</v>
      </c>
      <c r="U1863" s="284" t="e">
        <f>(IF(Tabla4[[#This Row],[Familia]]="termico solar",Tabla4[[#This Row],[Utilidad Total]]*6%,Tabla4[[#This Row],[Utilidad Total]]*11.5%))/Tabla4[[#This Row],[Total]]</f>
        <v>#N/A</v>
      </c>
      <c r="V1863" s="282" t="e">
        <f>+Tabla4[[#This Row],[Comisión Calculada]]*Tabla4[[#This Row],[Total]]</f>
        <v>#N/A</v>
      </c>
    </row>
    <row r="1864" spans="1:22" ht="17.25" hidden="1" customHeight="1" x14ac:dyDescent="0.25">
      <c r="A1864" s="100">
        <v>45762</v>
      </c>
      <c r="B1864" t="str">
        <f t="shared" si="97"/>
        <v>April</v>
      </c>
      <c r="C1864" s="46" t="s">
        <v>280</v>
      </c>
      <c r="F1864" s="366" t="s">
        <v>1408</v>
      </c>
      <c r="G1864" s="46" t="s">
        <v>545</v>
      </c>
      <c r="H1864" s="46">
        <v>24</v>
      </c>
      <c r="I1864" s="51">
        <v>304.32</v>
      </c>
      <c r="J1864" s="281">
        <f>++Tabla4[[#This Row],[Precio Bruto]]*1.16</f>
        <v>353.01119999999997</v>
      </c>
      <c r="K1864" s="281">
        <f>+Tabla4[[#This Row],[Precio Unitario Neto]]*Tabla4[[#Headers],[20.85%]]</f>
        <v>73.602835199999987</v>
      </c>
      <c r="L1864" s="282">
        <f>++Tabla4[[#This Row],[Precio Unitario Neto]]-Tabla4[[#This Row],[20.85%]]</f>
        <v>279.40836479999996</v>
      </c>
      <c r="M1864" s="282" t="e">
        <f>(INDEX(Tabla6[#All],MATCH(Tabla4[[#This Row],[Producto]],Tabla6[[#All],[PRODUCTO]],0),MATCH(Tabla4[[#This Row],[Mes]],Tabla6[#Headers],0)))*(1+Catalogos!$L$2)</f>
        <v>#N/A</v>
      </c>
      <c r="N1864" s="283" t="e">
        <f>+(Tabla4[[#This Row],[Precio Descontado]]-Tabla4[[#This Row],[Precio Base]])*Tabla4[[#This Row],[Cantidad]]</f>
        <v>#N/A</v>
      </c>
      <c r="O1864" s="284" t="e">
        <f>++Tabla4[[#This Row],[Utilidad Total]]/Tabla4[[#This Row],[Total]]</f>
        <v>#N/A</v>
      </c>
      <c r="P1864" s="282">
        <f>++Tabla4[[#This Row],[Precio Descontado]]*Tabla4[[#This Row],[Cantidad]]</f>
        <v>6705.800755199999</v>
      </c>
      <c r="Q1864" s="282" t="e">
        <f>(INDEX(Tabla6[#All],MATCH(Tabla4[[#This Row],[Producto]],Tabla6[[#All],[PRODUCTO]],0),MATCH(Tabla4[[#This Row],[Mes]],Tabla6[#Headers],0)))</f>
        <v>#N/A</v>
      </c>
      <c r="R1864" s="282" t="e">
        <f>++Tabla4[[#This Row],[Precio Unitario Neto]]-Tabla4[[#This Row],[20.85%]]-Tabla4[[#This Row],[Costo]]</f>
        <v>#N/A</v>
      </c>
      <c r="S1864" s="282" t="e">
        <f>++Tabla4[[#This Row],[U. Bruta Uni]]*Tabla4[[#This Row],[Cantidad]]</f>
        <v>#N/A</v>
      </c>
      <c r="T1864" s="369" t="str">
        <f>VLOOKUP(Tabla4[[#This Row],[Producto]],Tabla6[#All],14,FALSE)</f>
        <v>Termico Solar</v>
      </c>
      <c r="U1864" s="284" t="e">
        <f>(IF(Tabla4[[#This Row],[Familia]]="termico solar",Tabla4[[#This Row],[Utilidad Total]]*6%,Tabla4[[#This Row],[Utilidad Total]]*11.5%))/Tabla4[[#This Row],[Total]]</f>
        <v>#N/A</v>
      </c>
      <c r="V1864" s="282" t="e">
        <f>+Tabla4[[#This Row],[Comisión Calculada]]*Tabla4[[#This Row],[Total]]</f>
        <v>#N/A</v>
      </c>
    </row>
    <row r="1865" spans="1:22" ht="17.25" hidden="1" customHeight="1" x14ac:dyDescent="0.25">
      <c r="A1865" s="100">
        <v>45762</v>
      </c>
      <c r="B1865" t="str">
        <f t="shared" si="97"/>
        <v>April</v>
      </c>
      <c r="C1865" s="46" t="s">
        <v>280</v>
      </c>
      <c r="F1865" s="366" t="s">
        <v>1408</v>
      </c>
      <c r="G1865" s="46" t="s">
        <v>208</v>
      </c>
      <c r="H1865" s="46">
        <v>4</v>
      </c>
      <c r="I1865" s="51">
        <v>189.75</v>
      </c>
      <c r="J1865" s="281">
        <f>++Tabla4[[#This Row],[Precio Bruto]]*1.16</f>
        <v>220.10999999999999</v>
      </c>
      <c r="K1865" s="281">
        <f>+Tabla4[[#This Row],[Precio Unitario Neto]]*Tabla4[[#Headers],[20.85%]]</f>
        <v>45.892934999999994</v>
      </c>
      <c r="L1865" s="282">
        <f>++Tabla4[[#This Row],[Precio Unitario Neto]]-Tabla4[[#This Row],[20.85%]]</f>
        <v>174.21706499999999</v>
      </c>
      <c r="M1865" s="282" t="e">
        <f>(INDEX(Tabla6[#All],MATCH(Tabla4[[#This Row],[Producto]],Tabla6[[#All],[PRODUCTO]],0),MATCH(Tabla4[[#This Row],[Mes]],Tabla6[#Headers],0)))*(1+Catalogos!$L$2)</f>
        <v>#N/A</v>
      </c>
      <c r="N1865" s="283" t="e">
        <f>+(Tabla4[[#This Row],[Precio Descontado]]-Tabla4[[#This Row],[Precio Base]])*Tabla4[[#This Row],[Cantidad]]</f>
        <v>#N/A</v>
      </c>
      <c r="O1865" s="284" t="e">
        <f>++Tabla4[[#This Row],[Utilidad Total]]/Tabla4[[#This Row],[Total]]</f>
        <v>#N/A</v>
      </c>
      <c r="P1865" s="282">
        <f>++Tabla4[[#This Row],[Precio Descontado]]*Tabla4[[#This Row],[Cantidad]]</f>
        <v>696.86825999999996</v>
      </c>
      <c r="Q1865" s="282" t="e">
        <f>(INDEX(Tabla6[#All],MATCH(Tabla4[[#This Row],[Producto]],Tabla6[[#All],[PRODUCTO]],0),MATCH(Tabla4[[#This Row],[Mes]],Tabla6[#Headers],0)))</f>
        <v>#N/A</v>
      </c>
      <c r="R1865" s="282" t="e">
        <f>++Tabla4[[#This Row],[Precio Unitario Neto]]-Tabla4[[#This Row],[20.85%]]-Tabla4[[#This Row],[Costo]]</f>
        <v>#N/A</v>
      </c>
      <c r="S1865" s="282" t="e">
        <f>++Tabla4[[#This Row],[U. Bruta Uni]]*Tabla4[[#This Row],[Cantidad]]</f>
        <v>#N/A</v>
      </c>
      <c r="T1865" s="369" t="str">
        <f>VLOOKUP(Tabla4[[#This Row],[Producto]],Tabla6[#All],14,FALSE)</f>
        <v>Termico Solar</v>
      </c>
      <c r="U1865" s="284" t="e">
        <f>(IF(Tabla4[[#This Row],[Familia]]="termico solar",Tabla4[[#This Row],[Utilidad Total]]*6%,Tabla4[[#This Row],[Utilidad Total]]*11.5%))/Tabla4[[#This Row],[Total]]</f>
        <v>#N/A</v>
      </c>
      <c r="V1865" s="282" t="e">
        <f>+Tabla4[[#This Row],[Comisión Calculada]]*Tabla4[[#This Row],[Total]]</f>
        <v>#N/A</v>
      </c>
    </row>
    <row r="1866" spans="1:22" hidden="1" x14ac:dyDescent="0.25">
      <c r="A1866" s="100">
        <v>45762</v>
      </c>
      <c r="B1866" t="str">
        <f t="shared" si="97"/>
        <v>April</v>
      </c>
      <c r="C1866" s="46" t="s">
        <v>280</v>
      </c>
      <c r="F1866" s="366" t="s">
        <v>1408</v>
      </c>
      <c r="G1866" s="46" t="s">
        <v>209</v>
      </c>
      <c r="H1866" s="46">
        <v>4</v>
      </c>
      <c r="I1866" s="51">
        <v>347.48</v>
      </c>
      <c r="J1866" s="281">
        <f>++Tabla4[[#This Row],[Precio Bruto]]*1.16</f>
        <v>403.07679999999999</v>
      </c>
      <c r="K1866" s="281">
        <f>+Tabla4[[#This Row],[Precio Unitario Neto]]*Tabla4[[#Headers],[20.85%]]</f>
        <v>84.041512799999992</v>
      </c>
      <c r="L1866" s="282">
        <f>++Tabla4[[#This Row],[Precio Unitario Neto]]-Tabla4[[#This Row],[20.85%]]</f>
        <v>319.03528719999997</v>
      </c>
      <c r="M1866" s="282" t="e">
        <f>(INDEX(Tabla6[#All],MATCH(Tabla4[[#This Row],[Producto]],Tabla6[[#All],[PRODUCTO]],0),MATCH(Tabla4[[#This Row],[Mes]],Tabla6[#Headers],0)))*(1+Catalogos!$L$2)</f>
        <v>#N/A</v>
      </c>
      <c r="N1866" s="283" t="e">
        <f>+(Tabla4[[#This Row],[Precio Descontado]]-Tabla4[[#This Row],[Precio Base]])*Tabla4[[#This Row],[Cantidad]]</f>
        <v>#N/A</v>
      </c>
      <c r="O1866" s="284" t="e">
        <f>++Tabla4[[#This Row],[Utilidad Total]]/Tabla4[[#This Row],[Total]]</f>
        <v>#N/A</v>
      </c>
      <c r="P1866" s="282">
        <f>++Tabla4[[#This Row],[Precio Descontado]]*Tabla4[[#This Row],[Cantidad]]</f>
        <v>1276.1411487999999</v>
      </c>
      <c r="Q1866" s="282" t="e">
        <f>(INDEX(Tabla6[#All],MATCH(Tabla4[[#This Row],[Producto]],Tabla6[[#All],[PRODUCTO]],0),MATCH(Tabla4[[#This Row],[Mes]],Tabla6[#Headers],0)))</f>
        <v>#N/A</v>
      </c>
      <c r="R1866" s="282" t="e">
        <f>++Tabla4[[#This Row],[Precio Unitario Neto]]-Tabla4[[#This Row],[20.85%]]-Tabla4[[#This Row],[Costo]]</f>
        <v>#N/A</v>
      </c>
      <c r="S1866" s="282" t="e">
        <f>++Tabla4[[#This Row],[U. Bruta Uni]]*Tabla4[[#This Row],[Cantidad]]</f>
        <v>#N/A</v>
      </c>
      <c r="T1866" s="369" t="str">
        <f>VLOOKUP(Tabla4[[#This Row],[Producto]],Tabla6[#All],14,FALSE)</f>
        <v>Termico Solar</v>
      </c>
      <c r="U1866" s="284" t="e">
        <f>(IF(Tabla4[[#This Row],[Familia]]="termico solar",Tabla4[[#This Row],[Utilidad Total]]*6%,Tabla4[[#This Row],[Utilidad Total]]*11.5%))/Tabla4[[#This Row],[Total]]</f>
        <v>#N/A</v>
      </c>
      <c r="V1866" s="282" t="e">
        <f>+Tabla4[[#This Row],[Comisión Calculada]]*Tabla4[[#This Row],[Total]]</f>
        <v>#N/A</v>
      </c>
    </row>
    <row r="1867" spans="1:22" hidden="1" x14ac:dyDescent="0.25">
      <c r="A1867" s="100">
        <v>45762</v>
      </c>
      <c r="B1867" t="str">
        <f t="shared" ref="B1867:B1898" si="98">TEXT(A1867, "mmmm")</f>
        <v>April</v>
      </c>
      <c r="C1867" s="46" t="s">
        <v>280</v>
      </c>
      <c r="F1867" s="366" t="s">
        <v>1409</v>
      </c>
      <c r="G1867" s="46" t="s">
        <v>18</v>
      </c>
      <c r="H1867" s="46">
        <v>1</v>
      </c>
      <c r="I1867" s="51">
        <v>5367.65</v>
      </c>
      <c r="J1867" s="281">
        <f>++Tabla4[[#This Row],[Precio Bruto]]*1.16</f>
        <v>6226.4739999999993</v>
      </c>
      <c r="K1867" s="281">
        <f>+Tabla4[[#This Row],[Precio Unitario Neto]]*Tabla4[[#Headers],[20.85%]]</f>
        <v>1298.2198289999999</v>
      </c>
      <c r="L1867" s="282">
        <f>++Tabla4[[#This Row],[Precio Unitario Neto]]-Tabla4[[#This Row],[20.85%]]</f>
        <v>4928.2541709999996</v>
      </c>
      <c r="M1867" s="282" t="e">
        <f>(INDEX(Tabla6[#All],MATCH(Tabla4[[#This Row],[Producto]],Tabla6[[#All],[PRODUCTO]],0),MATCH(Tabla4[[#This Row],[Mes]],Tabla6[#Headers],0)))*(1+Catalogos!$L$2)</f>
        <v>#N/A</v>
      </c>
      <c r="N1867" s="283" t="e">
        <f>+(Tabla4[[#This Row],[Precio Descontado]]-Tabla4[[#This Row],[Precio Base]])*Tabla4[[#This Row],[Cantidad]]</f>
        <v>#N/A</v>
      </c>
      <c r="O1867" s="284" t="e">
        <f>++Tabla4[[#This Row],[Utilidad Total]]/Tabla4[[#This Row],[Total]]</f>
        <v>#N/A</v>
      </c>
      <c r="P1867" s="282">
        <f>++Tabla4[[#This Row],[Precio Descontado]]*Tabla4[[#This Row],[Cantidad]]</f>
        <v>4928.2541709999996</v>
      </c>
      <c r="Q1867" s="282" t="e">
        <f>(INDEX(Tabla6[#All],MATCH(Tabla4[[#This Row],[Producto]],Tabla6[[#All],[PRODUCTO]],0),MATCH(Tabla4[[#This Row],[Mes]],Tabla6[#Headers],0)))</f>
        <v>#N/A</v>
      </c>
      <c r="R1867" s="282" t="e">
        <f>++Tabla4[[#This Row],[Precio Unitario Neto]]-Tabla4[[#This Row],[20.85%]]-Tabla4[[#This Row],[Costo]]</f>
        <v>#N/A</v>
      </c>
      <c r="S1867" s="282" t="e">
        <f>++Tabla4[[#This Row],[U. Bruta Uni]]*Tabla4[[#This Row],[Cantidad]]</f>
        <v>#N/A</v>
      </c>
      <c r="T1867" s="369" t="str">
        <f>VLOOKUP(Tabla4[[#This Row],[Producto]],Tabla6[#All],14,FALSE)</f>
        <v>Termico Solar</v>
      </c>
      <c r="U1867" s="284" t="e">
        <f>(IF(Tabla4[[#This Row],[Familia]]="termico solar",Tabla4[[#This Row],[Utilidad Total]]*6%,Tabla4[[#This Row],[Utilidad Total]]*11.5%))/Tabla4[[#This Row],[Total]]</f>
        <v>#N/A</v>
      </c>
      <c r="V1867" s="282" t="e">
        <f>+Tabla4[[#This Row],[Comisión Calculada]]*Tabla4[[#This Row],[Total]]</f>
        <v>#N/A</v>
      </c>
    </row>
    <row r="1868" spans="1:22" hidden="1" x14ac:dyDescent="0.25">
      <c r="A1868" s="100">
        <v>45762</v>
      </c>
      <c r="B1868" t="str">
        <f t="shared" si="98"/>
        <v>April</v>
      </c>
      <c r="C1868" s="46" t="s">
        <v>280</v>
      </c>
      <c r="F1868" s="366" t="s">
        <v>1410</v>
      </c>
      <c r="G1868" s="46" t="s">
        <v>566</v>
      </c>
      <c r="H1868" s="46">
        <v>1</v>
      </c>
      <c r="I1868" s="51">
        <v>2109.4499999999998</v>
      </c>
      <c r="J1868" s="281">
        <f>++Tabla4[[#This Row],[Precio Bruto]]*1.16</f>
        <v>2446.9619999999995</v>
      </c>
      <c r="K1868" s="281">
        <f>+Tabla4[[#This Row],[Precio Unitario Neto]]*Tabla4[[#Headers],[20.85%]]</f>
        <v>510.19157699999988</v>
      </c>
      <c r="L1868" s="282">
        <f>++Tabla4[[#This Row],[Precio Unitario Neto]]-Tabla4[[#This Row],[20.85%]]</f>
        <v>1936.7704229999997</v>
      </c>
      <c r="M1868" s="282" t="e">
        <f>(INDEX(Tabla6[#All],MATCH(Tabla4[[#This Row],[Producto]],Tabla6[[#All],[PRODUCTO]],0),MATCH(Tabla4[[#This Row],[Mes]],Tabla6[#Headers],0)))*(1+Catalogos!$L$2)</f>
        <v>#N/A</v>
      </c>
      <c r="N1868" s="283" t="e">
        <f>+(Tabla4[[#This Row],[Precio Descontado]]-Tabla4[[#This Row],[Precio Base]])*Tabla4[[#This Row],[Cantidad]]</f>
        <v>#N/A</v>
      </c>
      <c r="O1868" s="284" t="e">
        <f>++Tabla4[[#This Row],[Utilidad Total]]/Tabla4[[#This Row],[Total]]</f>
        <v>#N/A</v>
      </c>
      <c r="P1868" s="282">
        <f>++Tabla4[[#This Row],[Precio Descontado]]*Tabla4[[#This Row],[Cantidad]]</f>
        <v>1936.7704229999997</v>
      </c>
      <c r="Q1868" s="282" t="e">
        <f>(INDEX(Tabla6[#All],MATCH(Tabla4[[#This Row],[Producto]],Tabla6[[#All],[PRODUCTO]],0),MATCH(Tabla4[[#This Row],[Mes]],Tabla6[#Headers],0)))</f>
        <v>#N/A</v>
      </c>
      <c r="R1868" s="282" t="e">
        <f>++Tabla4[[#This Row],[Precio Unitario Neto]]-Tabla4[[#This Row],[20.85%]]-Tabla4[[#This Row],[Costo]]</f>
        <v>#N/A</v>
      </c>
      <c r="S1868" s="282" t="e">
        <f>++Tabla4[[#This Row],[U. Bruta Uni]]*Tabla4[[#This Row],[Cantidad]]</f>
        <v>#N/A</v>
      </c>
      <c r="T1868" s="369" t="str">
        <f>VLOOKUP(Tabla4[[#This Row],[Producto]],Tabla6[#All],14,FALSE)</f>
        <v>Termico Solar</v>
      </c>
      <c r="U1868" s="284" t="e">
        <f>(IF(Tabla4[[#This Row],[Familia]]="termico solar",Tabla4[[#This Row],[Utilidad Total]]*6%,Tabla4[[#This Row],[Utilidad Total]]*11.5%))/Tabla4[[#This Row],[Total]]</f>
        <v>#N/A</v>
      </c>
      <c r="V1868" s="282" t="e">
        <f>+Tabla4[[#This Row],[Comisión Calculada]]*Tabla4[[#This Row],[Total]]</f>
        <v>#N/A</v>
      </c>
    </row>
    <row r="1869" spans="1:22" hidden="1" x14ac:dyDescent="0.25">
      <c r="A1869" s="100">
        <v>45762</v>
      </c>
      <c r="B1869" t="str">
        <f t="shared" si="98"/>
        <v>April</v>
      </c>
      <c r="C1869" s="46" t="s">
        <v>280</v>
      </c>
      <c r="F1869" s="366" t="s">
        <v>1410</v>
      </c>
      <c r="G1869" s="46" t="s">
        <v>208</v>
      </c>
      <c r="H1869" s="46">
        <v>1</v>
      </c>
      <c r="I1869" s="51">
        <v>189.75</v>
      </c>
      <c r="J1869" s="281">
        <f>++Tabla4[[#This Row],[Precio Bruto]]*1.16</f>
        <v>220.10999999999999</v>
      </c>
      <c r="K1869" s="281">
        <f>+Tabla4[[#This Row],[Precio Unitario Neto]]*Tabla4[[#Headers],[20.85%]]</f>
        <v>45.892934999999994</v>
      </c>
      <c r="L1869" s="282">
        <f>++Tabla4[[#This Row],[Precio Unitario Neto]]-Tabla4[[#This Row],[20.85%]]</f>
        <v>174.21706499999999</v>
      </c>
      <c r="M1869" s="282" t="e">
        <f>(INDEX(Tabla6[#All],MATCH(Tabla4[[#This Row],[Producto]],Tabla6[[#All],[PRODUCTO]],0),MATCH(Tabla4[[#This Row],[Mes]],Tabla6[#Headers],0)))*(1+Catalogos!$L$2)</f>
        <v>#N/A</v>
      </c>
      <c r="N1869" s="283" t="e">
        <f>+(Tabla4[[#This Row],[Precio Descontado]]-Tabla4[[#This Row],[Precio Base]])*Tabla4[[#This Row],[Cantidad]]</f>
        <v>#N/A</v>
      </c>
      <c r="O1869" s="284" t="e">
        <f>++Tabla4[[#This Row],[Utilidad Total]]/Tabla4[[#This Row],[Total]]</f>
        <v>#N/A</v>
      </c>
      <c r="P1869" s="282">
        <f>++Tabla4[[#This Row],[Precio Descontado]]*Tabla4[[#This Row],[Cantidad]]</f>
        <v>174.21706499999999</v>
      </c>
      <c r="Q1869" s="282" t="e">
        <f>(INDEX(Tabla6[#All],MATCH(Tabla4[[#This Row],[Producto]],Tabla6[[#All],[PRODUCTO]],0),MATCH(Tabla4[[#This Row],[Mes]],Tabla6[#Headers],0)))</f>
        <v>#N/A</v>
      </c>
      <c r="R1869" s="282" t="e">
        <f>++Tabla4[[#This Row],[Precio Unitario Neto]]-Tabla4[[#This Row],[20.85%]]-Tabla4[[#This Row],[Costo]]</f>
        <v>#N/A</v>
      </c>
      <c r="S1869" s="282" t="e">
        <f>++Tabla4[[#This Row],[U. Bruta Uni]]*Tabla4[[#This Row],[Cantidad]]</f>
        <v>#N/A</v>
      </c>
      <c r="T1869" s="369" t="str">
        <f>VLOOKUP(Tabla4[[#This Row],[Producto]],Tabla6[#All],14,FALSE)</f>
        <v>Termico Solar</v>
      </c>
      <c r="U1869" s="284" t="e">
        <f>(IF(Tabla4[[#This Row],[Familia]]="termico solar",Tabla4[[#This Row],[Utilidad Total]]*6%,Tabla4[[#This Row],[Utilidad Total]]*11.5%))/Tabla4[[#This Row],[Total]]</f>
        <v>#N/A</v>
      </c>
      <c r="V1869" s="282" t="e">
        <f>+Tabla4[[#This Row],[Comisión Calculada]]*Tabla4[[#This Row],[Total]]</f>
        <v>#N/A</v>
      </c>
    </row>
    <row r="1870" spans="1:22" hidden="1" x14ac:dyDescent="0.25">
      <c r="A1870" s="100">
        <v>45762</v>
      </c>
      <c r="B1870" t="str">
        <f t="shared" si="98"/>
        <v>April</v>
      </c>
      <c r="C1870" s="46" t="s">
        <v>280</v>
      </c>
      <c r="F1870" s="366" t="s">
        <v>1411</v>
      </c>
      <c r="G1870" s="46" t="s">
        <v>17</v>
      </c>
      <c r="H1870" s="46">
        <v>1</v>
      </c>
      <c r="I1870" s="51">
        <v>4622.28</v>
      </c>
      <c r="J1870" s="281">
        <f>++Tabla4[[#This Row],[Precio Bruto]]*1.16</f>
        <v>5361.8447999999989</v>
      </c>
      <c r="K1870" s="281">
        <f>+Tabla4[[#This Row],[Precio Unitario Neto]]*Tabla4[[#Headers],[20.85%]]</f>
        <v>1117.9446407999997</v>
      </c>
      <c r="L1870" s="282">
        <f>++Tabla4[[#This Row],[Precio Unitario Neto]]-Tabla4[[#This Row],[20.85%]]</f>
        <v>4243.9001591999995</v>
      </c>
      <c r="M1870" s="282" t="e">
        <f>(INDEX(Tabla6[#All],MATCH(Tabla4[[#This Row],[Producto]],Tabla6[[#All],[PRODUCTO]],0),MATCH(Tabla4[[#This Row],[Mes]],Tabla6[#Headers],0)))*(1+Catalogos!$L$2)</f>
        <v>#N/A</v>
      </c>
      <c r="N1870" s="283" t="e">
        <f>+(Tabla4[[#This Row],[Precio Descontado]]-Tabla4[[#This Row],[Precio Base]])*Tabla4[[#This Row],[Cantidad]]</f>
        <v>#N/A</v>
      </c>
      <c r="O1870" s="284" t="e">
        <f>++Tabla4[[#This Row],[Utilidad Total]]/Tabla4[[#This Row],[Total]]</f>
        <v>#N/A</v>
      </c>
      <c r="P1870" s="282">
        <f>++Tabla4[[#This Row],[Precio Descontado]]*Tabla4[[#This Row],[Cantidad]]</f>
        <v>4243.9001591999995</v>
      </c>
      <c r="Q1870" s="282" t="e">
        <f>(INDEX(Tabla6[#All],MATCH(Tabla4[[#This Row],[Producto]],Tabla6[[#All],[PRODUCTO]],0),MATCH(Tabla4[[#This Row],[Mes]],Tabla6[#Headers],0)))</f>
        <v>#N/A</v>
      </c>
      <c r="R1870" s="282" t="e">
        <f>++Tabla4[[#This Row],[Precio Unitario Neto]]-Tabla4[[#This Row],[20.85%]]-Tabla4[[#This Row],[Costo]]</f>
        <v>#N/A</v>
      </c>
      <c r="S1870" s="282" t="e">
        <f>++Tabla4[[#This Row],[U. Bruta Uni]]*Tabla4[[#This Row],[Cantidad]]</f>
        <v>#N/A</v>
      </c>
      <c r="T1870" s="369" t="str">
        <f>VLOOKUP(Tabla4[[#This Row],[Producto]],Tabla6[#All],14,FALSE)</f>
        <v>Termico Solar</v>
      </c>
      <c r="U1870" s="284" t="e">
        <f>(IF(Tabla4[[#This Row],[Familia]]="termico solar",Tabla4[[#This Row],[Utilidad Total]]*6%,Tabla4[[#This Row],[Utilidad Total]]*11.5%))/Tabla4[[#This Row],[Total]]</f>
        <v>#N/A</v>
      </c>
      <c r="V1870" s="282" t="e">
        <f>+Tabla4[[#This Row],[Comisión Calculada]]*Tabla4[[#This Row],[Total]]</f>
        <v>#N/A</v>
      </c>
    </row>
    <row r="1871" spans="1:22" hidden="1" x14ac:dyDescent="0.25">
      <c r="A1871" s="100">
        <v>45762</v>
      </c>
      <c r="B1871" t="str">
        <f t="shared" si="98"/>
        <v>April</v>
      </c>
      <c r="C1871" s="46" t="s">
        <v>280</v>
      </c>
      <c r="F1871" s="366" t="s">
        <v>1411</v>
      </c>
      <c r="G1871" s="46" t="s">
        <v>16</v>
      </c>
      <c r="H1871" s="46">
        <v>2</v>
      </c>
      <c r="I1871" s="51">
        <v>4103.8500000000004</v>
      </c>
      <c r="J1871" s="281">
        <f>++Tabla4[[#This Row],[Precio Bruto]]*1.16</f>
        <v>4760.4660000000003</v>
      </c>
      <c r="K1871" s="281">
        <f>+Tabla4[[#This Row],[Precio Unitario Neto]]*Tabla4[[#Headers],[20.85%]]</f>
        <v>992.55716100000006</v>
      </c>
      <c r="L1871" s="282">
        <f>++Tabla4[[#This Row],[Precio Unitario Neto]]-Tabla4[[#This Row],[20.85%]]</f>
        <v>3767.9088390000002</v>
      </c>
      <c r="M1871" s="282" t="e">
        <f>(INDEX(Tabla6[#All],MATCH(Tabla4[[#This Row],[Producto]],Tabla6[[#All],[PRODUCTO]],0),MATCH(Tabla4[[#This Row],[Mes]],Tabla6[#Headers],0)))*(1+Catalogos!$L$2)</f>
        <v>#N/A</v>
      </c>
      <c r="N1871" s="283" t="e">
        <f>+(Tabla4[[#This Row],[Precio Descontado]]-Tabla4[[#This Row],[Precio Base]])*Tabla4[[#This Row],[Cantidad]]</f>
        <v>#N/A</v>
      </c>
      <c r="O1871" s="284" t="e">
        <f>++Tabla4[[#This Row],[Utilidad Total]]/Tabla4[[#This Row],[Total]]</f>
        <v>#N/A</v>
      </c>
      <c r="P1871" s="282">
        <f>++Tabla4[[#This Row],[Precio Descontado]]*Tabla4[[#This Row],[Cantidad]]</f>
        <v>7535.8176780000003</v>
      </c>
      <c r="Q1871" s="282" t="e">
        <f>(INDEX(Tabla6[#All],MATCH(Tabla4[[#This Row],[Producto]],Tabla6[[#All],[PRODUCTO]],0),MATCH(Tabla4[[#This Row],[Mes]],Tabla6[#Headers],0)))</f>
        <v>#N/A</v>
      </c>
      <c r="R1871" s="282" t="e">
        <f>++Tabla4[[#This Row],[Precio Unitario Neto]]-Tabla4[[#This Row],[20.85%]]-Tabla4[[#This Row],[Costo]]</f>
        <v>#N/A</v>
      </c>
      <c r="S1871" s="282" t="e">
        <f>++Tabla4[[#This Row],[U. Bruta Uni]]*Tabla4[[#This Row],[Cantidad]]</f>
        <v>#N/A</v>
      </c>
      <c r="T1871" s="369" t="str">
        <f>VLOOKUP(Tabla4[[#This Row],[Producto]],Tabla6[#All],14,FALSE)</f>
        <v>Termico Solar</v>
      </c>
      <c r="U1871" s="284" t="e">
        <f>(IF(Tabla4[[#This Row],[Familia]]="termico solar",Tabla4[[#This Row],[Utilidad Total]]*6%,Tabla4[[#This Row],[Utilidad Total]]*11.5%))/Tabla4[[#This Row],[Total]]</f>
        <v>#N/A</v>
      </c>
      <c r="V1871" s="282" t="e">
        <f>+Tabla4[[#This Row],[Comisión Calculada]]*Tabla4[[#This Row],[Total]]</f>
        <v>#N/A</v>
      </c>
    </row>
    <row r="1872" spans="1:22" hidden="1" x14ac:dyDescent="0.25">
      <c r="A1872" s="100">
        <v>45762</v>
      </c>
      <c r="B1872" t="str">
        <f t="shared" si="98"/>
        <v>April</v>
      </c>
      <c r="C1872" s="46" t="s">
        <v>280</v>
      </c>
      <c r="F1872" s="366" t="s">
        <v>1412</v>
      </c>
      <c r="G1872" s="46" t="s">
        <v>18</v>
      </c>
      <c r="H1872" s="46">
        <v>2</v>
      </c>
      <c r="I1872" s="51">
        <v>5367.65</v>
      </c>
      <c r="J1872" s="281">
        <f>++Tabla4[[#This Row],[Precio Bruto]]*1.16</f>
        <v>6226.4739999999993</v>
      </c>
      <c r="K1872" s="281">
        <f>+Tabla4[[#This Row],[Precio Unitario Neto]]*Tabla4[[#Headers],[20.85%]]</f>
        <v>1298.2198289999999</v>
      </c>
      <c r="L1872" s="282">
        <f>++Tabla4[[#This Row],[Precio Unitario Neto]]-Tabla4[[#This Row],[20.85%]]</f>
        <v>4928.2541709999996</v>
      </c>
      <c r="M1872" s="282" t="e">
        <f>(INDEX(Tabla6[#All],MATCH(Tabla4[[#This Row],[Producto]],Tabla6[[#All],[PRODUCTO]],0),MATCH(Tabla4[[#This Row],[Mes]],Tabla6[#Headers],0)))*(1+Catalogos!$L$2)</f>
        <v>#N/A</v>
      </c>
      <c r="N1872" s="283" t="e">
        <f>+(Tabla4[[#This Row],[Precio Descontado]]-Tabla4[[#This Row],[Precio Base]])*Tabla4[[#This Row],[Cantidad]]</f>
        <v>#N/A</v>
      </c>
      <c r="O1872" s="284" t="e">
        <f>++Tabla4[[#This Row],[Utilidad Total]]/Tabla4[[#This Row],[Total]]</f>
        <v>#N/A</v>
      </c>
      <c r="P1872" s="282">
        <f>++Tabla4[[#This Row],[Precio Descontado]]*Tabla4[[#This Row],[Cantidad]]</f>
        <v>9856.5083419999992</v>
      </c>
      <c r="Q1872" s="282" t="e">
        <f>(INDEX(Tabla6[#All],MATCH(Tabla4[[#This Row],[Producto]],Tabla6[[#All],[PRODUCTO]],0),MATCH(Tabla4[[#This Row],[Mes]],Tabla6[#Headers],0)))</f>
        <v>#N/A</v>
      </c>
      <c r="R1872" s="282" t="e">
        <f>++Tabla4[[#This Row],[Precio Unitario Neto]]-Tabla4[[#This Row],[20.85%]]-Tabla4[[#This Row],[Costo]]</f>
        <v>#N/A</v>
      </c>
      <c r="S1872" s="282" t="e">
        <f>++Tabla4[[#This Row],[U. Bruta Uni]]*Tabla4[[#This Row],[Cantidad]]</f>
        <v>#N/A</v>
      </c>
      <c r="T1872" s="369" t="str">
        <f>VLOOKUP(Tabla4[[#This Row],[Producto]],Tabla6[#All],14,FALSE)</f>
        <v>Termico Solar</v>
      </c>
      <c r="U1872" s="284" t="e">
        <f>(IF(Tabla4[[#This Row],[Familia]]="termico solar",Tabla4[[#This Row],[Utilidad Total]]*6%,Tabla4[[#This Row],[Utilidad Total]]*11.5%))/Tabla4[[#This Row],[Total]]</f>
        <v>#N/A</v>
      </c>
      <c r="V1872" s="282" t="e">
        <f>+Tabla4[[#This Row],[Comisión Calculada]]*Tabla4[[#This Row],[Total]]</f>
        <v>#N/A</v>
      </c>
    </row>
    <row r="1873" spans="1:22" hidden="1" x14ac:dyDescent="0.25">
      <c r="A1873" s="100">
        <v>45762</v>
      </c>
      <c r="B1873" t="str">
        <f t="shared" si="98"/>
        <v>April</v>
      </c>
      <c r="C1873" s="46" t="s">
        <v>280</v>
      </c>
      <c r="F1873" s="366" t="s">
        <v>1413</v>
      </c>
      <c r="G1873" s="46" t="s">
        <v>17</v>
      </c>
      <c r="H1873" s="46">
        <v>3</v>
      </c>
      <c r="I1873" s="51">
        <v>4622.28</v>
      </c>
      <c r="J1873" s="281">
        <f>++Tabla4[[#This Row],[Precio Bruto]]*1.16</f>
        <v>5361.8447999999989</v>
      </c>
      <c r="K1873" s="281">
        <f>+Tabla4[[#This Row],[Precio Unitario Neto]]*Tabla4[[#Headers],[20.85%]]</f>
        <v>1117.9446407999997</v>
      </c>
      <c r="L1873" s="282">
        <f>++Tabla4[[#This Row],[Precio Unitario Neto]]-Tabla4[[#This Row],[20.85%]]</f>
        <v>4243.9001591999995</v>
      </c>
      <c r="M1873" s="282" t="e">
        <f>(INDEX(Tabla6[#All],MATCH(Tabla4[[#This Row],[Producto]],Tabla6[[#All],[PRODUCTO]],0),MATCH(Tabla4[[#This Row],[Mes]],Tabla6[#Headers],0)))*(1+Catalogos!$L$2)</f>
        <v>#N/A</v>
      </c>
      <c r="N1873" s="283" t="e">
        <f>+(Tabla4[[#This Row],[Precio Descontado]]-Tabla4[[#This Row],[Precio Base]])*Tabla4[[#This Row],[Cantidad]]</f>
        <v>#N/A</v>
      </c>
      <c r="O1873" s="284" t="e">
        <f>++Tabla4[[#This Row],[Utilidad Total]]/Tabla4[[#This Row],[Total]]</f>
        <v>#N/A</v>
      </c>
      <c r="P1873" s="282">
        <f>++Tabla4[[#This Row],[Precio Descontado]]*Tabla4[[#This Row],[Cantidad]]</f>
        <v>12731.700477599999</v>
      </c>
      <c r="Q1873" s="282" t="e">
        <f>(INDEX(Tabla6[#All],MATCH(Tabla4[[#This Row],[Producto]],Tabla6[[#All],[PRODUCTO]],0),MATCH(Tabla4[[#This Row],[Mes]],Tabla6[#Headers],0)))</f>
        <v>#N/A</v>
      </c>
      <c r="R1873" s="282" t="e">
        <f>++Tabla4[[#This Row],[Precio Unitario Neto]]-Tabla4[[#This Row],[20.85%]]-Tabla4[[#This Row],[Costo]]</f>
        <v>#N/A</v>
      </c>
      <c r="S1873" s="282" t="e">
        <f>++Tabla4[[#This Row],[U. Bruta Uni]]*Tabla4[[#This Row],[Cantidad]]</f>
        <v>#N/A</v>
      </c>
      <c r="T1873" s="369" t="str">
        <f>VLOOKUP(Tabla4[[#This Row],[Producto]],Tabla6[#All],14,FALSE)</f>
        <v>Termico Solar</v>
      </c>
      <c r="U1873" s="284" t="e">
        <f>(IF(Tabla4[[#This Row],[Familia]]="termico solar",Tabla4[[#This Row],[Utilidad Total]]*6%,Tabla4[[#This Row],[Utilidad Total]]*11.5%))/Tabla4[[#This Row],[Total]]</f>
        <v>#N/A</v>
      </c>
      <c r="V1873" s="282" t="e">
        <f>+Tabla4[[#This Row],[Comisión Calculada]]*Tabla4[[#This Row],[Total]]</f>
        <v>#N/A</v>
      </c>
    </row>
    <row r="1874" spans="1:22" hidden="1" x14ac:dyDescent="0.25">
      <c r="A1874" s="100">
        <v>45762</v>
      </c>
      <c r="B1874" t="str">
        <f t="shared" si="98"/>
        <v>April</v>
      </c>
      <c r="C1874" s="46" t="s">
        <v>280</v>
      </c>
      <c r="F1874" s="366" t="s">
        <v>1413</v>
      </c>
      <c r="G1874" s="46" t="s">
        <v>566</v>
      </c>
      <c r="H1874" s="46">
        <v>1</v>
      </c>
      <c r="I1874" s="51">
        <v>2109.4499999999998</v>
      </c>
      <c r="J1874" s="281">
        <f>++Tabla4[[#This Row],[Precio Bruto]]*1.16</f>
        <v>2446.9619999999995</v>
      </c>
      <c r="K1874" s="281">
        <f>+Tabla4[[#This Row],[Precio Unitario Neto]]*Tabla4[[#Headers],[20.85%]]</f>
        <v>510.19157699999988</v>
      </c>
      <c r="L1874" s="282">
        <f>++Tabla4[[#This Row],[Precio Unitario Neto]]-Tabla4[[#This Row],[20.85%]]</f>
        <v>1936.7704229999997</v>
      </c>
      <c r="M1874" s="282" t="e">
        <f>(INDEX(Tabla6[#All],MATCH(Tabla4[[#This Row],[Producto]],Tabla6[[#All],[PRODUCTO]],0),MATCH(Tabla4[[#This Row],[Mes]],Tabla6[#Headers],0)))*(1+Catalogos!$L$2)</f>
        <v>#N/A</v>
      </c>
      <c r="N1874" s="283" t="e">
        <f>+(Tabla4[[#This Row],[Precio Descontado]]-Tabla4[[#This Row],[Precio Base]])*Tabla4[[#This Row],[Cantidad]]</f>
        <v>#N/A</v>
      </c>
      <c r="O1874" s="284" t="e">
        <f>++Tabla4[[#This Row],[Utilidad Total]]/Tabla4[[#This Row],[Total]]</f>
        <v>#N/A</v>
      </c>
      <c r="P1874" s="282">
        <f>++Tabla4[[#This Row],[Precio Descontado]]*Tabla4[[#This Row],[Cantidad]]</f>
        <v>1936.7704229999997</v>
      </c>
      <c r="Q1874" s="282" t="e">
        <f>(INDEX(Tabla6[#All],MATCH(Tabla4[[#This Row],[Producto]],Tabla6[[#All],[PRODUCTO]],0),MATCH(Tabla4[[#This Row],[Mes]],Tabla6[#Headers],0)))</f>
        <v>#N/A</v>
      </c>
      <c r="R1874" s="282" t="e">
        <f>++Tabla4[[#This Row],[Precio Unitario Neto]]-Tabla4[[#This Row],[20.85%]]-Tabla4[[#This Row],[Costo]]</f>
        <v>#N/A</v>
      </c>
      <c r="S1874" s="282" t="e">
        <f>++Tabla4[[#This Row],[U. Bruta Uni]]*Tabla4[[#This Row],[Cantidad]]</f>
        <v>#N/A</v>
      </c>
      <c r="T1874" s="369" t="str">
        <f>VLOOKUP(Tabla4[[#This Row],[Producto]],Tabla6[#All],14,FALSE)</f>
        <v>Termico Solar</v>
      </c>
      <c r="U1874" s="284" t="e">
        <f>(IF(Tabla4[[#This Row],[Familia]]="termico solar",Tabla4[[#This Row],[Utilidad Total]]*6%,Tabla4[[#This Row],[Utilidad Total]]*11.5%))/Tabla4[[#This Row],[Total]]</f>
        <v>#N/A</v>
      </c>
      <c r="V1874" s="282" t="e">
        <f>+Tabla4[[#This Row],[Comisión Calculada]]*Tabla4[[#This Row],[Total]]</f>
        <v>#N/A</v>
      </c>
    </row>
    <row r="1875" spans="1:22" hidden="1" x14ac:dyDescent="0.25">
      <c r="A1875" s="100">
        <v>45762</v>
      </c>
      <c r="B1875" t="str">
        <f t="shared" si="98"/>
        <v>April</v>
      </c>
      <c r="C1875" s="46" t="s">
        <v>280</v>
      </c>
      <c r="F1875" s="366" t="s">
        <v>1413</v>
      </c>
      <c r="G1875" s="46" t="s">
        <v>208</v>
      </c>
      <c r="H1875" s="46">
        <v>2</v>
      </c>
      <c r="I1875" s="51">
        <v>189.75</v>
      </c>
      <c r="J1875" s="281">
        <f>++Tabla4[[#This Row],[Precio Bruto]]*1.16</f>
        <v>220.10999999999999</v>
      </c>
      <c r="K1875" s="281">
        <f>+Tabla4[[#This Row],[Precio Unitario Neto]]*Tabla4[[#Headers],[20.85%]]</f>
        <v>45.892934999999994</v>
      </c>
      <c r="L1875" s="282">
        <f>++Tabla4[[#This Row],[Precio Unitario Neto]]-Tabla4[[#This Row],[20.85%]]</f>
        <v>174.21706499999999</v>
      </c>
      <c r="M1875" s="282" t="e">
        <f>(INDEX(Tabla6[#All],MATCH(Tabla4[[#This Row],[Producto]],Tabla6[[#All],[PRODUCTO]],0),MATCH(Tabla4[[#This Row],[Mes]],Tabla6[#Headers],0)))*(1+Catalogos!$L$2)</f>
        <v>#N/A</v>
      </c>
      <c r="N1875" s="283" t="e">
        <f>+(Tabla4[[#This Row],[Precio Descontado]]-Tabla4[[#This Row],[Precio Base]])*Tabla4[[#This Row],[Cantidad]]</f>
        <v>#N/A</v>
      </c>
      <c r="O1875" s="284" t="e">
        <f>++Tabla4[[#This Row],[Utilidad Total]]/Tabla4[[#This Row],[Total]]</f>
        <v>#N/A</v>
      </c>
      <c r="P1875" s="282">
        <f>++Tabla4[[#This Row],[Precio Descontado]]*Tabla4[[#This Row],[Cantidad]]</f>
        <v>348.43412999999998</v>
      </c>
      <c r="Q1875" s="282" t="e">
        <f>(INDEX(Tabla6[#All],MATCH(Tabla4[[#This Row],[Producto]],Tabla6[[#All],[PRODUCTO]],0),MATCH(Tabla4[[#This Row],[Mes]],Tabla6[#Headers],0)))</f>
        <v>#N/A</v>
      </c>
      <c r="R1875" s="282" t="e">
        <f>++Tabla4[[#This Row],[Precio Unitario Neto]]-Tabla4[[#This Row],[20.85%]]-Tabla4[[#This Row],[Costo]]</f>
        <v>#N/A</v>
      </c>
      <c r="S1875" s="282" t="e">
        <f>++Tabla4[[#This Row],[U. Bruta Uni]]*Tabla4[[#This Row],[Cantidad]]</f>
        <v>#N/A</v>
      </c>
      <c r="T1875" s="369" t="str">
        <f>VLOOKUP(Tabla4[[#This Row],[Producto]],Tabla6[#All],14,FALSE)</f>
        <v>Termico Solar</v>
      </c>
      <c r="U1875" s="284" t="e">
        <f>(IF(Tabla4[[#This Row],[Familia]]="termico solar",Tabla4[[#This Row],[Utilidad Total]]*6%,Tabla4[[#This Row],[Utilidad Total]]*11.5%))/Tabla4[[#This Row],[Total]]</f>
        <v>#N/A</v>
      </c>
      <c r="V1875" s="282" t="e">
        <f>+Tabla4[[#This Row],[Comisión Calculada]]*Tabla4[[#This Row],[Total]]</f>
        <v>#N/A</v>
      </c>
    </row>
    <row r="1876" spans="1:22" hidden="1" x14ac:dyDescent="0.25">
      <c r="A1876" s="100">
        <v>45762</v>
      </c>
      <c r="B1876" t="str">
        <f t="shared" si="98"/>
        <v>April</v>
      </c>
      <c r="C1876" s="46" t="s">
        <v>280</v>
      </c>
      <c r="F1876" s="366" t="s">
        <v>1414</v>
      </c>
      <c r="G1876" s="46" t="s">
        <v>566</v>
      </c>
      <c r="H1876" s="46">
        <v>1</v>
      </c>
      <c r="I1876" s="51">
        <v>2109.4499999999998</v>
      </c>
      <c r="J1876" s="281">
        <f>++Tabla4[[#This Row],[Precio Bruto]]*1.16</f>
        <v>2446.9619999999995</v>
      </c>
      <c r="K1876" s="281">
        <f>+Tabla4[[#This Row],[Precio Unitario Neto]]*Tabla4[[#Headers],[20.85%]]</f>
        <v>510.19157699999988</v>
      </c>
      <c r="L1876" s="282">
        <f>++Tabla4[[#This Row],[Precio Unitario Neto]]-Tabla4[[#This Row],[20.85%]]</f>
        <v>1936.7704229999997</v>
      </c>
      <c r="M1876" s="282" t="e">
        <f>(INDEX(Tabla6[#All],MATCH(Tabla4[[#This Row],[Producto]],Tabla6[[#All],[PRODUCTO]],0),MATCH(Tabla4[[#This Row],[Mes]],Tabla6[#Headers],0)))*(1+Catalogos!$L$2)</f>
        <v>#N/A</v>
      </c>
      <c r="N1876" s="283" t="e">
        <f>+(Tabla4[[#This Row],[Precio Descontado]]-Tabla4[[#This Row],[Precio Base]])*Tabla4[[#This Row],[Cantidad]]</f>
        <v>#N/A</v>
      </c>
      <c r="O1876" s="284" t="e">
        <f>++Tabla4[[#This Row],[Utilidad Total]]/Tabla4[[#This Row],[Total]]</f>
        <v>#N/A</v>
      </c>
      <c r="P1876" s="282">
        <f>++Tabla4[[#This Row],[Precio Descontado]]*Tabla4[[#This Row],[Cantidad]]</f>
        <v>1936.7704229999997</v>
      </c>
      <c r="Q1876" s="282" t="e">
        <f>(INDEX(Tabla6[#All],MATCH(Tabla4[[#This Row],[Producto]],Tabla6[[#All],[PRODUCTO]],0),MATCH(Tabla4[[#This Row],[Mes]],Tabla6[#Headers],0)))</f>
        <v>#N/A</v>
      </c>
      <c r="R1876" s="282" t="e">
        <f>++Tabla4[[#This Row],[Precio Unitario Neto]]-Tabla4[[#This Row],[20.85%]]-Tabla4[[#This Row],[Costo]]</f>
        <v>#N/A</v>
      </c>
      <c r="S1876" s="282" t="e">
        <f>++Tabla4[[#This Row],[U. Bruta Uni]]*Tabla4[[#This Row],[Cantidad]]</f>
        <v>#N/A</v>
      </c>
      <c r="T1876" s="369" t="str">
        <f>VLOOKUP(Tabla4[[#This Row],[Producto]],Tabla6[#All],14,FALSE)</f>
        <v>Termico Solar</v>
      </c>
      <c r="U1876" s="284" t="e">
        <f>(IF(Tabla4[[#This Row],[Familia]]="termico solar",Tabla4[[#This Row],[Utilidad Total]]*6%,Tabla4[[#This Row],[Utilidad Total]]*11.5%))/Tabla4[[#This Row],[Total]]</f>
        <v>#N/A</v>
      </c>
      <c r="V1876" s="282" t="e">
        <f>+Tabla4[[#This Row],[Comisión Calculada]]*Tabla4[[#This Row],[Total]]</f>
        <v>#N/A</v>
      </c>
    </row>
    <row r="1877" spans="1:22" hidden="1" x14ac:dyDescent="0.25">
      <c r="A1877" s="100">
        <v>45762</v>
      </c>
      <c r="B1877" t="str">
        <f t="shared" si="98"/>
        <v>April</v>
      </c>
      <c r="C1877" s="46" t="s">
        <v>280</v>
      </c>
      <c r="F1877" s="366" t="s">
        <v>1414</v>
      </c>
      <c r="G1877" s="46" t="s">
        <v>16</v>
      </c>
      <c r="H1877" s="46">
        <v>1</v>
      </c>
      <c r="I1877" s="51">
        <v>4103.8500000000004</v>
      </c>
      <c r="J1877" s="281">
        <f>++Tabla4[[#This Row],[Precio Bruto]]*1.16</f>
        <v>4760.4660000000003</v>
      </c>
      <c r="K1877" s="281">
        <f>+Tabla4[[#This Row],[Precio Unitario Neto]]*Tabla4[[#Headers],[20.85%]]</f>
        <v>992.55716100000006</v>
      </c>
      <c r="L1877" s="282">
        <f>++Tabla4[[#This Row],[Precio Unitario Neto]]-Tabla4[[#This Row],[20.85%]]</f>
        <v>3767.9088390000002</v>
      </c>
      <c r="M1877" s="282" t="e">
        <f>(INDEX(Tabla6[#All],MATCH(Tabla4[[#This Row],[Producto]],Tabla6[[#All],[PRODUCTO]],0),MATCH(Tabla4[[#This Row],[Mes]],Tabla6[#Headers],0)))*(1+Catalogos!$L$2)</f>
        <v>#N/A</v>
      </c>
      <c r="N1877" s="283" t="e">
        <f>+(Tabla4[[#This Row],[Precio Descontado]]-Tabla4[[#This Row],[Precio Base]])*Tabla4[[#This Row],[Cantidad]]</f>
        <v>#N/A</v>
      </c>
      <c r="O1877" s="284" t="e">
        <f>++Tabla4[[#This Row],[Utilidad Total]]/Tabla4[[#This Row],[Total]]</f>
        <v>#N/A</v>
      </c>
      <c r="P1877" s="282">
        <f>++Tabla4[[#This Row],[Precio Descontado]]*Tabla4[[#This Row],[Cantidad]]</f>
        <v>3767.9088390000002</v>
      </c>
      <c r="Q1877" s="282" t="e">
        <f>(INDEX(Tabla6[#All],MATCH(Tabla4[[#This Row],[Producto]],Tabla6[[#All],[PRODUCTO]],0),MATCH(Tabla4[[#This Row],[Mes]],Tabla6[#Headers],0)))</f>
        <v>#N/A</v>
      </c>
      <c r="R1877" s="282" t="e">
        <f>++Tabla4[[#This Row],[Precio Unitario Neto]]-Tabla4[[#This Row],[20.85%]]-Tabla4[[#This Row],[Costo]]</f>
        <v>#N/A</v>
      </c>
      <c r="S1877" s="282" t="e">
        <f>++Tabla4[[#This Row],[U. Bruta Uni]]*Tabla4[[#This Row],[Cantidad]]</f>
        <v>#N/A</v>
      </c>
      <c r="T1877" s="369" t="str">
        <f>VLOOKUP(Tabla4[[#This Row],[Producto]],Tabla6[#All],14,FALSE)</f>
        <v>Termico Solar</v>
      </c>
      <c r="U1877" s="284" t="e">
        <f>(IF(Tabla4[[#This Row],[Familia]]="termico solar",Tabla4[[#This Row],[Utilidad Total]]*6%,Tabla4[[#This Row],[Utilidad Total]]*11.5%))/Tabla4[[#This Row],[Total]]</f>
        <v>#N/A</v>
      </c>
      <c r="V1877" s="282" t="e">
        <f>+Tabla4[[#This Row],[Comisión Calculada]]*Tabla4[[#This Row],[Total]]</f>
        <v>#N/A</v>
      </c>
    </row>
    <row r="1878" spans="1:22" hidden="1" x14ac:dyDescent="0.25">
      <c r="A1878" s="100">
        <v>45762</v>
      </c>
      <c r="B1878" t="str">
        <f t="shared" si="98"/>
        <v>April</v>
      </c>
      <c r="C1878" s="46" t="s">
        <v>280</v>
      </c>
      <c r="F1878" s="366" t="s">
        <v>1415</v>
      </c>
      <c r="G1878" s="46" t="s">
        <v>83</v>
      </c>
      <c r="H1878" s="46">
        <v>1</v>
      </c>
      <c r="I1878" s="51">
        <v>8858.76</v>
      </c>
      <c r="J1878" s="281">
        <f>++Tabla4[[#This Row],[Precio Bruto]]*1.16</f>
        <v>10276.161599999999</v>
      </c>
      <c r="K1878" s="281">
        <f>+Tabla4[[#This Row],[Precio Unitario Neto]]*Tabla4[[#Headers],[20.85%]]</f>
        <v>2142.5796935999997</v>
      </c>
      <c r="L1878" s="282">
        <f>++Tabla4[[#This Row],[Precio Unitario Neto]]-Tabla4[[#This Row],[20.85%]]</f>
        <v>8133.5819063999998</v>
      </c>
      <c r="M1878" s="282" t="e">
        <f>(INDEX(Tabla6[#All],MATCH(Tabla4[[#This Row],[Producto]],Tabla6[[#All],[PRODUCTO]],0),MATCH(Tabla4[[#This Row],[Mes]],Tabla6[#Headers],0)))*(1+Catalogos!$L$2)</f>
        <v>#N/A</v>
      </c>
      <c r="N1878" s="283" t="e">
        <f>+(Tabla4[[#This Row],[Precio Descontado]]-Tabla4[[#This Row],[Precio Base]])*Tabla4[[#This Row],[Cantidad]]</f>
        <v>#N/A</v>
      </c>
      <c r="O1878" s="284" t="e">
        <f>++Tabla4[[#This Row],[Utilidad Total]]/Tabla4[[#This Row],[Total]]</f>
        <v>#N/A</v>
      </c>
      <c r="P1878" s="282">
        <f>++Tabla4[[#This Row],[Precio Descontado]]*Tabla4[[#This Row],[Cantidad]]</f>
        <v>8133.5819063999998</v>
      </c>
      <c r="Q1878" s="282" t="e">
        <f>(INDEX(Tabla6[#All],MATCH(Tabla4[[#This Row],[Producto]],Tabla6[[#All],[PRODUCTO]],0),MATCH(Tabla4[[#This Row],[Mes]],Tabla6[#Headers],0)))</f>
        <v>#N/A</v>
      </c>
      <c r="R1878" s="282" t="e">
        <f>++Tabla4[[#This Row],[Precio Unitario Neto]]-Tabla4[[#This Row],[20.85%]]-Tabla4[[#This Row],[Costo]]</f>
        <v>#N/A</v>
      </c>
      <c r="S1878" s="282" t="e">
        <f>++Tabla4[[#This Row],[U. Bruta Uni]]*Tabla4[[#This Row],[Cantidad]]</f>
        <v>#N/A</v>
      </c>
      <c r="T1878" s="369" t="str">
        <f>VLOOKUP(Tabla4[[#This Row],[Producto]],Tabla6[#All],14,FALSE)</f>
        <v>Termico Solar</v>
      </c>
      <c r="U1878" s="284" t="e">
        <f>(IF(Tabla4[[#This Row],[Familia]]="termico solar",Tabla4[[#This Row],[Utilidad Total]]*6%,Tabla4[[#This Row],[Utilidad Total]]*11.5%))/Tabla4[[#This Row],[Total]]</f>
        <v>#N/A</v>
      </c>
      <c r="V1878" s="282" t="e">
        <f>+Tabla4[[#This Row],[Comisión Calculada]]*Tabla4[[#This Row],[Total]]</f>
        <v>#N/A</v>
      </c>
    </row>
    <row r="1879" spans="1:22" hidden="1" x14ac:dyDescent="0.25">
      <c r="A1879" s="100">
        <v>45762</v>
      </c>
      <c r="B1879" t="str">
        <f t="shared" si="98"/>
        <v>April</v>
      </c>
      <c r="C1879" s="46" t="s">
        <v>280</v>
      </c>
      <c r="F1879" s="366" t="s">
        <v>1416</v>
      </c>
      <c r="G1879" s="46" t="s">
        <v>83</v>
      </c>
      <c r="H1879" s="46">
        <v>1</v>
      </c>
      <c r="I1879" s="51">
        <v>8858.76</v>
      </c>
      <c r="J1879" s="281">
        <f>++Tabla4[[#This Row],[Precio Bruto]]*1.16</f>
        <v>10276.161599999999</v>
      </c>
      <c r="K1879" s="281">
        <f>+Tabla4[[#This Row],[Precio Unitario Neto]]*Tabla4[[#Headers],[20.85%]]</f>
        <v>2142.5796935999997</v>
      </c>
      <c r="L1879" s="282">
        <f>++Tabla4[[#This Row],[Precio Unitario Neto]]-Tabla4[[#This Row],[20.85%]]</f>
        <v>8133.5819063999998</v>
      </c>
      <c r="M1879" s="282" t="e">
        <f>(INDEX(Tabla6[#All],MATCH(Tabla4[[#This Row],[Producto]],Tabla6[[#All],[PRODUCTO]],0),MATCH(Tabla4[[#This Row],[Mes]],Tabla6[#Headers],0)))*(1+Catalogos!$L$2)</f>
        <v>#N/A</v>
      </c>
      <c r="N1879" s="283" t="e">
        <f>+(Tabla4[[#This Row],[Precio Descontado]]-Tabla4[[#This Row],[Precio Base]])*Tabla4[[#This Row],[Cantidad]]</f>
        <v>#N/A</v>
      </c>
      <c r="O1879" s="284" t="e">
        <f>++Tabla4[[#This Row],[Utilidad Total]]/Tabla4[[#This Row],[Total]]</f>
        <v>#N/A</v>
      </c>
      <c r="P1879" s="282">
        <f>++Tabla4[[#This Row],[Precio Descontado]]*Tabla4[[#This Row],[Cantidad]]</f>
        <v>8133.5819063999998</v>
      </c>
      <c r="Q1879" s="282" t="e">
        <f>(INDEX(Tabla6[#All],MATCH(Tabla4[[#This Row],[Producto]],Tabla6[[#All],[PRODUCTO]],0),MATCH(Tabla4[[#This Row],[Mes]],Tabla6[#Headers],0)))</f>
        <v>#N/A</v>
      </c>
      <c r="R1879" s="282" t="e">
        <f>++Tabla4[[#This Row],[Precio Unitario Neto]]-Tabla4[[#This Row],[20.85%]]-Tabla4[[#This Row],[Costo]]</f>
        <v>#N/A</v>
      </c>
      <c r="S1879" s="282" t="e">
        <f>++Tabla4[[#This Row],[U. Bruta Uni]]*Tabla4[[#This Row],[Cantidad]]</f>
        <v>#N/A</v>
      </c>
      <c r="T1879" s="369" t="str">
        <f>VLOOKUP(Tabla4[[#This Row],[Producto]],Tabla6[#All],14,FALSE)</f>
        <v>Termico Solar</v>
      </c>
      <c r="U1879" s="284" t="e">
        <f>(IF(Tabla4[[#This Row],[Familia]]="termico solar",Tabla4[[#This Row],[Utilidad Total]]*6%,Tabla4[[#This Row],[Utilidad Total]]*11.5%))/Tabla4[[#This Row],[Total]]</f>
        <v>#N/A</v>
      </c>
      <c r="V1879" s="282" t="e">
        <f>+Tabla4[[#This Row],[Comisión Calculada]]*Tabla4[[#This Row],[Total]]</f>
        <v>#N/A</v>
      </c>
    </row>
    <row r="1880" spans="1:22" hidden="1" x14ac:dyDescent="0.25">
      <c r="A1880" s="100">
        <v>45762</v>
      </c>
      <c r="B1880" t="str">
        <f t="shared" si="98"/>
        <v>April</v>
      </c>
      <c r="C1880" s="46" t="s">
        <v>280</v>
      </c>
      <c r="F1880" s="366" t="s">
        <v>1416</v>
      </c>
      <c r="G1880" s="46" t="s">
        <v>16</v>
      </c>
      <c r="H1880" s="46">
        <v>2</v>
      </c>
      <c r="I1880" s="51">
        <v>4103.8500000000004</v>
      </c>
      <c r="J1880" s="281">
        <f>++Tabla4[[#This Row],[Precio Bruto]]*1.16</f>
        <v>4760.4660000000003</v>
      </c>
      <c r="K1880" s="281">
        <f>+Tabla4[[#This Row],[Precio Unitario Neto]]*Tabla4[[#Headers],[20.85%]]</f>
        <v>992.55716100000006</v>
      </c>
      <c r="L1880" s="282">
        <f>++Tabla4[[#This Row],[Precio Unitario Neto]]-Tabla4[[#This Row],[20.85%]]</f>
        <v>3767.9088390000002</v>
      </c>
      <c r="M1880" s="282" t="e">
        <f>(INDEX(Tabla6[#All],MATCH(Tabla4[[#This Row],[Producto]],Tabla6[[#All],[PRODUCTO]],0),MATCH(Tabla4[[#This Row],[Mes]],Tabla6[#Headers],0)))*(1+Catalogos!$L$2)</f>
        <v>#N/A</v>
      </c>
      <c r="N1880" s="283" t="e">
        <f>+(Tabla4[[#This Row],[Precio Descontado]]-Tabla4[[#This Row],[Precio Base]])*Tabla4[[#This Row],[Cantidad]]</f>
        <v>#N/A</v>
      </c>
      <c r="O1880" s="284" t="e">
        <f>++Tabla4[[#This Row],[Utilidad Total]]/Tabla4[[#This Row],[Total]]</f>
        <v>#N/A</v>
      </c>
      <c r="P1880" s="282">
        <f>++Tabla4[[#This Row],[Precio Descontado]]*Tabla4[[#This Row],[Cantidad]]</f>
        <v>7535.8176780000003</v>
      </c>
      <c r="Q1880" s="282" t="e">
        <f>(INDEX(Tabla6[#All],MATCH(Tabla4[[#This Row],[Producto]],Tabla6[[#All],[PRODUCTO]],0),MATCH(Tabla4[[#This Row],[Mes]],Tabla6[#Headers],0)))</f>
        <v>#N/A</v>
      </c>
      <c r="R1880" s="282" t="e">
        <f>++Tabla4[[#This Row],[Precio Unitario Neto]]-Tabla4[[#This Row],[20.85%]]-Tabla4[[#This Row],[Costo]]</f>
        <v>#N/A</v>
      </c>
      <c r="S1880" s="282" t="e">
        <f>++Tabla4[[#This Row],[U. Bruta Uni]]*Tabla4[[#This Row],[Cantidad]]</f>
        <v>#N/A</v>
      </c>
      <c r="T1880" s="369" t="str">
        <f>VLOOKUP(Tabla4[[#This Row],[Producto]],Tabla6[#All],14,FALSE)</f>
        <v>Termico Solar</v>
      </c>
      <c r="U1880" s="284" t="e">
        <f>(IF(Tabla4[[#This Row],[Familia]]="termico solar",Tabla4[[#This Row],[Utilidad Total]]*6%,Tabla4[[#This Row],[Utilidad Total]]*11.5%))/Tabla4[[#This Row],[Total]]</f>
        <v>#N/A</v>
      </c>
      <c r="V1880" s="282" t="e">
        <f>+Tabla4[[#This Row],[Comisión Calculada]]*Tabla4[[#This Row],[Total]]</f>
        <v>#N/A</v>
      </c>
    </row>
    <row r="1881" spans="1:22" hidden="1" x14ac:dyDescent="0.25">
      <c r="A1881" s="100">
        <v>45762</v>
      </c>
      <c r="B1881" t="str">
        <f t="shared" si="98"/>
        <v>April</v>
      </c>
      <c r="C1881" s="46" t="s">
        <v>280</v>
      </c>
      <c r="F1881" s="366" t="s">
        <v>1417</v>
      </c>
      <c r="G1881" s="46" t="s">
        <v>208</v>
      </c>
      <c r="H1881" s="46">
        <v>2</v>
      </c>
      <c r="I1881" s="51">
        <v>189.75</v>
      </c>
      <c r="J1881" s="281">
        <f>++Tabla4[[#This Row],[Precio Bruto]]*1.16</f>
        <v>220.10999999999999</v>
      </c>
      <c r="K1881" s="281">
        <f>+Tabla4[[#This Row],[Precio Unitario Neto]]*Tabla4[[#Headers],[20.85%]]</f>
        <v>45.892934999999994</v>
      </c>
      <c r="L1881" s="282">
        <f>++Tabla4[[#This Row],[Precio Unitario Neto]]-Tabla4[[#This Row],[20.85%]]</f>
        <v>174.21706499999999</v>
      </c>
      <c r="M1881" s="282" t="e">
        <f>(INDEX(Tabla6[#All],MATCH(Tabla4[[#This Row],[Producto]],Tabla6[[#All],[PRODUCTO]],0),MATCH(Tabla4[[#This Row],[Mes]],Tabla6[#Headers],0)))*(1+Catalogos!$L$2)</f>
        <v>#N/A</v>
      </c>
      <c r="N1881" s="283" t="e">
        <f>+(Tabla4[[#This Row],[Precio Descontado]]-Tabla4[[#This Row],[Precio Base]])*Tabla4[[#This Row],[Cantidad]]</f>
        <v>#N/A</v>
      </c>
      <c r="O1881" s="284" t="e">
        <f>++Tabla4[[#This Row],[Utilidad Total]]/Tabla4[[#This Row],[Total]]</f>
        <v>#N/A</v>
      </c>
      <c r="P1881" s="282">
        <f>++Tabla4[[#This Row],[Precio Descontado]]*Tabla4[[#This Row],[Cantidad]]</f>
        <v>348.43412999999998</v>
      </c>
      <c r="Q1881" s="282" t="e">
        <f>(INDEX(Tabla6[#All],MATCH(Tabla4[[#This Row],[Producto]],Tabla6[[#All],[PRODUCTO]],0),MATCH(Tabla4[[#This Row],[Mes]],Tabla6[#Headers],0)))</f>
        <v>#N/A</v>
      </c>
      <c r="R1881" s="282" t="e">
        <f>++Tabla4[[#This Row],[Precio Unitario Neto]]-Tabla4[[#This Row],[20.85%]]-Tabla4[[#This Row],[Costo]]</f>
        <v>#N/A</v>
      </c>
      <c r="S1881" s="282" t="e">
        <f>++Tabla4[[#This Row],[U. Bruta Uni]]*Tabla4[[#This Row],[Cantidad]]</f>
        <v>#N/A</v>
      </c>
      <c r="T1881" s="369" t="str">
        <f>VLOOKUP(Tabla4[[#This Row],[Producto]],Tabla6[#All],14,FALSE)</f>
        <v>Termico Solar</v>
      </c>
      <c r="U1881" s="284" t="e">
        <f>(IF(Tabla4[[#This Row],[Familia]]="termico solar",Tabla4[[#This Row],[Utilidad Total]]*6%,Tabla4[[#This Row],[Utilidad Total]]*11.5%))/Tabla4[[#This Row],[Total]]</f>
        <v>#N/A</v>
      </c>
      <c r="V1881" s="282" t="e">
        <f>+Tabla4[[#This Row],[Comisión Calculada]]*Tabla4[[#This Row],[Total]]</f>
        <v>#N/A</v>
      </c>
    </row>
    <row r="1882" spans="1:22" hidden="1" x14ac:dyDescent="0.25">
      <c r="A1882" s="100">
        <v>45762</v>
      </c>
      <c r="B1882" t="str">
        <f t="shared" si="98"/>
        <v>April</v>
      </c>
      <c r="C1882" s="46" t="s">
        <v>280</v>
      </c>
      <c r="F1882" s="366" t="s">
        <v>1418</v>
      </c>
      <c r="G1882" s="46" t="s">
        <v>17</v>
      </c>
      <c r="H1882" s="46">
        <v>1</v>
      </c>
      <c r="I1882" s="51">
        <v>4622.28</v>
      </c>
      <c r="J1882" s="281">
        <f>++Tabla4[[#This Row],[Precio Bruto]]*1.16</f>
        <v>5361.8447999999989</v>
      </c>
      <c r="K1882" s="281">
        <f>+Tabla4[[#This Row],[Precio Unitario Neto]]*Tabla4[[#Headers],[20.85%]]</f>
        <v>1117.9446407999997</v>
      </c>
      <c r="L1882" s="282">
        <f>++Tabla4[[#This Row],[Precio Unitario Neto]]-Tabla4[[#This Row],[20.85%]]</f>
        <v>4243.9001591999995</v>
      </c>
      <c r="M1882" s="282" t="e">
        <f>(INDEX(Tabla6[#All],MATCH(Tabla4[[#This Row],[Producto]],Tabla6[[#All],[PRODUCTO]],0),MATCH(Tabla4[[#This Row],[Mes]],Tabla6[#Headers],0)))*(1+Catalogos!$L$2)</f>
        <v>#N/A</v>
      </c>
      <c r="N1882" s="283" t="e">
        <f>+(Tabla4[[#This Row],[Precio Descontado]]-Tabla4[[#This Row],[Precio Base]])*Tabla4[[#This Row],[Cantidad]]</f>
        <v>#N/A</v>
      </c>
      <c r="O1882" s="284" t="e">
        <f>++Tabla4[[#This Row],[Utilidad Total]]/Tabla4[[#This Row],[Total]]</f>
        <v>#N/A</v>
      </c>
      <c r="P1882" s="282">
        <f>++Tabla4[[#This Row],[Precio Descontado]]*Tabla4[[#This Row],[Cantidad]]</f>
        <v>4243.9001591999995</v>
      </c>
      <c r="Q1882" s="282" t="e">
        <f>(INDEX(Tabla6[#All],MATCH(Tabla4[[#This Row],[Producto]],Tabla6[[#All],[PRODUCTO]],0),MATCH(Tabla4[[#This Row],[Mes]],Tabla6[#Headers],0)))</f>
        <v>#N/A</v>
      </c>
      <c r="R1882" s="282" t="e">
        <f>++Tabla4[[#This Row],[Precio Unitario Neto]]-Tabla4[[#This Row],[20.85%]]-Tabla4[[#This Row],[Costo]]</f>
        <v>#N/A</v>
      </c>
      <c r="S1882" s="282" t="e">
        <f>++Tabla4[[#This Row],[U. Bruta Uni]]*Tabla4[[#This Row],[Cantidad]]</f>
        <v>#N/A</v>
      </c>
      <c r="T1882" s="369" t="str">
        <f>VLOOKUP(Tabla4[[#This Row],[Producto]],Tabla6[#All],14,FALSE)</f>
        <v>Termico Solar</v>
      </c>
      <c r="U1882" s="284" t="e">
        <f>(IF(Tabla4[[#This Row],[Familia]]="termico solar",Tabla4[[#This Row],[Utilidad Total]]*6%,Tabla4[[#This Row],[Utilidad Total]]*11.5%))/Tabla4[[#This Row],[Total]]</f>
        <v>#N/A</v>
      </c>
      <c r="V1882" s="282" t="e">
        <f>+Tabla4[[#This Row],[Comisión Calculada]]*Tabla4[[#This Row],[Total]]</f>
        <v>#N/A</v>
      </c>
    </row>
    <row r="1883" spans="1:22" hidden="1" x14ac:dyDescent="0.25">
      <c r="A1883" s="100">
        <v>45762</v>
      </c>
      <c r="B1883" t="str">
        <f t="shared" si="98"/>
        <v>April</v>
      </c>
      <c r="C1883" s="46" t="s">
        <v>280</v>
      </c>
      <c r="F1883" s="366" t="s">
        <v>1418</v>
      </c>
      <c r="G1883" s="46" t="s">
        <v>208</v>
      </c>
      <c r="H1883" s="46">
        <v>3</v>
      </c>
      <c r="I1883" s="51">
        <v>189.75</v>
      </c>
      <c r="J1883" s="281">
        <f>++Tabla4[[#This Row],[Precio Bruto]]*1.16</f>
        <v>220.10999999999999</v>
      </c>
      <c r="K1883" s="281">
        <f>+Tabla4[[#This Row],[Precio Unitario Neto]]*Tabla4[[#Headers],[20.85%]]</f>
        <v>45.892934999999994</v>
      </c>
      <c r="L1883" s="282">
        <f>++Tabla4[[#This Row],[Precio Unitario Neto]]-Tabla4[[#This Row],[20.85%]]</f>
        <v>174.21706499999999</v>
      </c>
      <c r="M1883" s="282" t="e">
        <f>(INDEX(Tabla6[#All],MATCH(Tabla4[[#This Row],[Producto]],Tabla6[[#All],[PRODUCTO]],0),MATCH(Tabla4[[#This Row],[Mes]],Tabla6[#Headers],0)))*(1+Catalogos!$L$2)</f>
        <v>#N/A</v>
      </c>
      <c r="N1883" s="283" t="e">
        <f>+(Tabla4[[#This Row],[Precio Descontado]]-Tabla4[[#This Row],[Precio Base]])*Tabla4[[#This Row],[Cantidad]]</f>
        <v>#N/A</v>
      </c>
      <c r="O1883" s="284" t="e">
        <f>++Tabla4[[#This Row],[Utilidad Total]]/Tabla4[[#This Row],[Total]]</f>
        <v>#N/A</v>
      </c>
      <c r="P1883" s="282">
        <f>++Tabla4[[#This Row],[Precio Descontado]]*Tabla4[[#This Row],[Cantidad]]</f>
        <v>522.65119499999992</v>
      </c>
      <c r="Q1883" s="282" t="e">
        <f>(INDEX(Tabla6[#All],MATCH(Tabla4[[#This Row],[Producto]],Tabla6[[#All],[PRODUCTO]],0),MATCH(Tabla4[[#This Row],[Mes]],Tabla6[#Headers],0)))</f>
        <v>#N/A</v>
      </c>
      <c r="R1883" s="282" t="e">
        <f>++Tabla4[[#This Row],[Precio Unitario Neto]]-Tabla4[[#This Row],[20.85%]]-Tabla4[[#This Row],[Costo]]</f>
        <v>#N/A</v>
      </c>
      <c r="S1883" s="282" t="e">
        <f>++Tabla4[[#This Row],[U. Bruta Uni]]*Tabla4[[#This Row],[Cantidad]]</f>
        <v>#N/A</v>
      </c>
      <c r="T1883" s="369" t="str">
        <f>VLOOKUP(Tabla4[[#This Row],[Producto]],Tabla6[#All],14,FALSE)</f>
        <v>Termico Solar</v>
      </c>
      <c r="U1883" s="284" t="e">
        <f>(IF(Tabla4[[#This Row],[Familia]]="termico solar",Tabla4[[#This Row],[Utilidad Total]]*6%,Tabla4[[#This Row],[Utilidad Total]]*11.5%))/Tabla4[[#This Row],[Total]]</f>
        <v>#N/A</v>
      </c>
      <c r="V1883" s="282" t="e">
        <f>+Tabla4[[#This Row],[Comisión Calculada]]*Tabla4[[#This Row],[Total]]</f>
        <v>#N/A</v>
      </c>
    </row>
    <row r="1884" spans="1:22" hidden="1" x14ac:dyDescent="0.25">
      <c r="A1884" s="100">
        <v>45762</v>
      </c>
      <c r="B1884" t="str">
        <f t="shared" si="98"/>
        <v>April</v>
      </c>
      <c r="C1884" s="46" t="s">
        <v>280</v>
      </c>
      <c r="F1884" s="366" t="s">
        <v>1419</v>
      </c>
      <c r="G1884" s="46" t="s">
        <v>566</v>
      </c>
      <c r="H1884" s="46">
        <v>1</v>
      </c>
      <c r="I1884" s="51">
        <v>2109.4499999999998</v>
      </c>
      <c r="J1884" s="281">
        <f>++Tabla4[[#This Row],[Precio Bruto]]*1.16</f>
        <v>2446.9619999999995</v>
      </c>
      <c r="K1884" s="281">
        <f>+Tabla4[[#This Row],[Precio Unitario Neto]]*Tabla4[[#Headers],[20.85%]]</f>
        <v>510.19157699999988</v>
      </c>
      <c r="L1884" s="282">
        <f>++Tabla4[[#This Row],[Precio Unitario Neto]]-Tabla4[[#This Row],[20.85%]]</f>
        <v>1936.7704229999997</v>
      </c>
      <c r="M1884" s="282" t="e">
        <f>(INDEX(Tabla6[#All],MATCH(Tabla4[[#This Row],[Producto]],Tabla6[[#All],[PRODUCTO]],0),MATCH(Tabla4[[#This Row],[Mes]],Tabla6[#Headers],0)))*(1+Catalogos!$L$2)</f>
        <v>#N/A</v>
      </c>
      <c r="N1884" s="283" t="e">
        <f>+(Tabla4[[#This Row],[Precio Descontado]]-Tabla4[[#This Row],[Precio Base]])*Tabla4[[#This Row],[Cantidad]]</f>
        <v>#N/A</v>
      </c>
      <c r="O1884" s="284" t="e">
        <f>++Tabla4[[#This Row],[Utilidad Total]]/Tabla4[[#This Row],[Total]]</f>
        <v>#N/A</v>
      </c>
      <c r="P1884" s="282">
        <f>++Tabla4[[#This Row],[Precio Descontado]]*Tabla4[[#This Row],[Cantidad]]</f>
        <v>1936.7704229999997</v>
      </c>
      <c r="Q1884" s="282" t="e">
        <f>(INDEX(Tabla6[#All],MATCH(Tabla4[[#This Row],[Producto]],Tabla6[[#All],[PRODUCTO]],0),MATCH(Tabla4[[#This Row],[Mes]],Tabla6[#Headers],0)))</f>
        <v>#N/A</v>
      </c>
      <c r="R1884" s="282" t="e">
        <f>++Tabla4[[#This Row],[Precio Unitario Neto]]-Tabla4[[#This Row],[20.85%]]-Tabla4[[#This Row],[Costo]]</f>
        <v>#N/A</v>
      </c>
      <c r="S1884" s="282" t="e">
        <f>++Tabla4[[#This Row],[U. Bruta Uni]]*Tabla4[[#This Row],[Cantidad]]</f>
        <v>#N/A</v>
      </c>
      <c r="T1884" s="369" t="str">
        <f>VLOOKUP(Tabla4[[#This Row],[Producto]],Tabla6[#All],14,FALSE)</f>
        <v>Termico Solar</v>
      </c>
      <c r="U1884" s="284" t="e">
        <f>(IF(Tabla4[[#This Row],[Familia]]="termico solar",Tabla4[[#This Row],[Utilidad Total]]*6%,Tabla4[[#This Row],[Utilidad Total]]*11.5%))/Tabla4[[#This Row],[Total]]</f>
        <v>#N/A</v>
      </c>
      <c r="V1884" s="282" t="e">
        <f>+Tabla4[[#This Row],[Comisión Calculada]]*Tabla4[[#This Row],[Total]]</f>
        <v>#N/A</v>
      </c>
    </row>
    <row r="1885" spans="1:22" hidden="1" x14ac:dyDescent="0.25">
      <c r="A1885" s="100">
        <v>45762</v>
      </c>
      <c r="B1885" t="str">
        <f t="shared" si="98"/>
        <v>April</v>
      </c>
      <c r="C1885" s="46" t="s">
        <v>280</v>
      </c>
      <c r="F1885" s="366" t="s">
        <v>1420</v>
      </c>
      <c r="G1885" s="46" t="s">
        <v>566</v>
      </c>
      <c r="H1885" s="46">
        <v>1</v>
      </c>
      <c r="I1885" s="51">
        <v>2109.4499999999998</v>
      </c>
      <c r="J1885" s="281">
        <f>++Tabla4[[#This Row],[Precio Bruto]]*1.16</f>
        <v>2446.9619999999995</v>
      </c>
      <c r="K1885" s="281">
        <f>+Tabla4[[#This Row],[Precio Unitario Neto]]*Tabla4[[#Headers],[20.85%]]</f>
        <v>510.19157699999988</v>
      </c>
      <c r="L1885" s="282">
        <f>++Tabla4[[#This Row],[Precio Unitario Neto]]-Tabla4[[#This Row],[20.85%]]</f>
        <v>1936.7704229999997</v>
      </c>
      <c r="M1885" s="282" t="e">
        <f>(INDEX(Tabla6[#All],MATCH(Tabla4[[#This Row],[Producto]],Tabla6[[#All],[PRODUCTO]],0),MATCH(Tabla4[[#This Row],[Mes]],Tabla6[#Headers],0)))*(1+Catalogos!$L$2)</f>
        <v>#N/A</v>
      </c>
      <c r="N1885" s="283" t="e">
        <f>+(Tabla4[[#This Row],[Precio Descontado]]-Tabla4[[#This Row],[Precio Base]])*Tabla4[[#This Row],[Cantidad]]</f>
        <v>#N/A</v>
      </c>
      <c r="O1885" s="284" t="e">
        <f>++Tabla4[[#This Row],[Utilidad Total]]/Tabla4[[#This Row],[Total]]</f>
        <v>#N/A</v>
      </c>
      <c r="P1885" s="282">
        <f>++Tabla4[[#This Row],[Precio Descontado]]*Tabla4[[#This Row],[Cantidad]]</f>
        <v>1936.7704229999997</v>
      </c>
      <c r="Q1885" s="282" t="e">
        <f>(INDEX(Tabla6[#All],MATCH(Tabla4[[#This Row],[Producto]],Tabla6[[#All],[PRODUCTO]],0),MATCH(Tabla4[[#This Row],[Mes]],Tabla6[#Headers],0)))</f>
        <v>#N/A</v>
      </c>
      <c r="R1885" s="282" t="e">
        <f>++Tabla4[[#This Row],[Precio Unitario Neto]]-Tabla4[[#This Row],[20.85%]]-Tabla4[[#This Row],[Costo]]</f>
        <v>#N/A</v>
      </c>
      <c r="S1885" s="282" t="e">
        <f>++Tabla4[[#This Row],[U. Bruta Uni]]*Tabla4[[#This Row],[Cantidad]]</f>
        <v>#N/A</v>
      </c>
      <c r="T1885" s="369" t="str">
        <f>VLOOKUP(Tabla4[[#This Row],[Producto]],Tabla6[#All],14,FALSE)</f>
        <v>Termico Solar</v>
      </c>
      <c r="U1885" s="284" t="e">
        <f>(IF(Tabla4[[#This Row],[Familia]]="termico solar",Tabla4[[#This Row],[Utilidad Total]]*6%,Tabla4[[#This Row],[Utilidad Total]]*11.5%))/Tabla4[[#This Row],[Total]]</f>
        <v>#N/A</v>
      </c>
      <c r="V1885" s="282" t="e">
        <f>+Tabla4[[#This Row],[Comisión Calculada]]*Tabla4[[#This Row],[Total]]</f>
        <v>#N/A</v>
      </c>
    </row>
    <row r="1886" spans="1:22" hidden="1" x14ac:dyDescent="0.25">
      <c r="A1886" s="100">
        <v>45762</v>
      </c>
      <c r="B1886" t="str">
        <f t="shared" si="98"/>
        <v>April</v>
      </c>
      <c r="C1886" s="46" t="s">
        <v>280</v>
      </c>
      <c r="F1886" s="366" t="s">
        <v>1421</v>
      </c>
      <c r="G1886" s="46" t="s">
        <v>17</v>
      </c>
      <c r="H1886" s="46">
        <v>3</v>
      </c>
      <c r="I1886" s="51">
        <v>4622.28</v>
      </c>
      <c r="J1886" s="281">
        <f>++Tabla4[[#This Row],[Precio Bruto]]*1.16</f>
        <v>5361.8447999999989</v>
      </c>
      <c r="K1886" s="281">
        <f>+Tabla4[[#This Row],[Precio Unitario Neto]]*Tabla4[[#Headers],[20.85%]]</f>
        <v>1117.9446407999997</v>
      </c>
      <c r="L1886" s="282">
        <f>++Tabla4[[#This Row],[Precio Unitario Neto]]-Tabla4[[#This Row],[20.85%]]</f>
        <v>4243.9001591999995</v>
      </c>
      <c r="M1886" s="282" t="e">
        <f>(INDEX(Tabla6[#All],MATCH(Tabla4[[#This Row],[Producto]],Tabla6[[#All],[PRODUCTO]],0),MATCH(Tabla4[[#This Row],[Mes]],Tabla6[#Headers],0)))*(1+Catalogos!$L$2)</f>
        <v>#N/A</v>
      </c>
      <c r="N1886" s="283" t="e">
        <f>+(Tabla4[[#This Row],[Precio Descontado]]-Tabla4[[#This Row],[Precio Base]])*Tabla4[[#This Row],[Cantidad]]</f>
        <v>#N/A</v>
      </c>
      <c r="O1886" s="284" t="e">
        <f>++Tabla4[[#This Row],[Utilidad Total]]/Tabla4[[#This Row],[Total]]</f>
        <v>#N/A</v>
      </c>
      <c r="P1886" s="282">
        <f>++Tabla4[[#This Row],[Precio Descontado]]*Tabla4[[#This Row],[Cantidad]]</f>
        <v>12731.700477599999</v>
      </c>
      <c r="Q1886" s="282" t="e">
        <f>(INDEX(Tabla6[#All],MATCH(Tabla4[[#This Row],[Producto]],Tabla6[[#All],[PRODUCTO]],0),MATCH(Tabla4[[#This Row],[Mes]],Tabla6[#Headers],0)))</f>
        <v>#N/A</v>
      </c>
      <c r="R1886" s="282" t="e">
        <f>++Tabla4[[#This Row],[Precio Unitario Neto]]-Tabla4[[#This Row],[20.85%]]-Tabla4[[#This Row],[Costo]]</f>
        <v>#N/A</v>
      </c>
      <c r="S1886" s="282" t="e">
        <f>++Tabla4[[#This Row],[U. Bruta Uni]]*Tabla4[[#This Row],[Cantidad]]</f>
        <v>#N/A</v>
      </c>
      <c r="T1886" s="369" t="str">
        <f>VLOOKUP(Tabla4[[#This Row],[Producto]],Tabla6[#All],14,FALSE)</f>
        <v>Termico Solar</v>
      </c>
      <c r="U1886" s="284" t="e">
        <f>(IF(Tabla4[[#This Row],[Familia]]="termico solar",Tabla4[[#This Row],[Utilidad Total]]*6%,Tabla4[[#This Row],[Utilidad Total]]*11.5%))/Tabla4[[#This Row],[Total]]</f>
        <v>#N/A</v>
      </c>
      <c r="V1886" s="282" t="e">
        <f>+Tabla4[[#This Row],[Comisión Calculada]]*Tabla4[[#This Row],[Total]]</f>
        <v>#N/A</v>
      </c>
    </row>
    <row r="1887" spans="1:22" hidden="1" x14ac:dyDescent="0.25">
      <c r="A1887" s="100">
        <v>45762</v>
      </c>
      <c r="B1887" t="str">
        <f t="shared" si="98"/>
        <v>April</v>
      </c>
      <c r="C1887" s="46" t="s">
        <v>280</v>
      </c>
      <c r="F1887" s="366" t="s">
        <v>1421</v>
      </c>
      <c r="G1887" s="46" t="s">
        <v>20</v>
      </c>
      <c r="H1887" s="46">
        <v>1</v>
      </c>
      <c r="I1887" s="51">
        <v>7751.98</v>
      </c>
      <c r="J1887" s="281">
        <f>++Tabla4[[#This Row],[Precio Bruto]]*1.16</f>
        <v>8992.2967999999983</v>
      </c>
      <c r="K1887" s="281">
        <f>+Tabla4[[#This Row],[Precio Unitario Neto]]*Tabla4[[#Headers],[20.85%]]</f>
        <v>1874.8938827999996</v>
      </c>
      <c r="L1887" s="282">
        <f>++Tabla4[[#This Row],[Precio Unitario Neto]]-Tabla4[[#This Row],[20.85%]]</f>
        <v>7117.4029171999991</v>
      </c>
      <c r="M1887" s="282" t="e">
        <f>(INDEX(Tabla6[#All],MATCH(Tabla4[[#This Row],[Producto]],Tabla6[[#All],[PRODUCTO]],0),MATCH(Tabla4[[#This Row],[Mes]],Tabla6[#Headers],0)))*(1+Catalogos!$L$2)</f>
        <v>#N/A</v>
      </c>
      <c r="N1887" s="283" t="e">
        <f>+(Tabla4[[#This Row],[Precio Descontado]]-Tabla4[[#This Row],[Precio Base]])*Tabla4[[#This Row],[Cantidad]]</f>
        <v>#N/A</v>
      </c>
      <c r="O1887" s="284" t="e">
        <f>++Tabla4[[#This Row],[Utilidad Total]]/Tabla4[[#This Row],[Total]]</f>
        <v>#N/A</v>
      </c>
      <c r="P1887" s="282">
        <f>++Tabla4[[#This Row],[Precio Descontado]]*Tabla4[[#This Row],[Cantidad]]</f>
        <v>7117.4029171999991</v>
      </c>
      <c r="Q1887" s="282" t="e">
        <f>(INDEX(Tabla6[#All],MATCH(Tabla4[[#This Row],[Producto]],Tabla6[[#All],[PRODUCTO]],0),MATCH(Tabla4[[#This Row],[Mes]],Tabla6[#Headers],0)))</f>
        <v>#N/A</v>
      </c>
      <c r="R1887" s="282" t="e">
        <f>++Tabla4[[#This Row],[Precio Unitario Neto]]-Tabla4[[#This Row],[20.85%]]-Tabla4[[#This Row],[Costo]]</f>
        <v>#N/A</v>
      </c>
      <c r="S1887" s="282" t="e">
        <f>++Tabla4[[#This Row],[U. Bruta Uni]]*Tabla4[[#This Row],[Cantidad]]</f>
        <v>#N/A</v>
      </c>
      <c r="T1887" s="369" t="str">
        <f>VLOOKUP(Tabla4[[#This Row],[Producto]],Tabla6[#All],14,FALSE)</f>
        <v>Termico Solar</v>
      </c>
      <c r="U1887" s="284" t="e">
        <f>(IF(Tabla4[[#This Row],[Familia]]="termico solar",Tabla4[[#This Row],[Utilidad Total]]*6%,Tabla4[[#This Row],[Utilidad Total]]*11.5%))/Tabla4[[#This Row],[Total]]</f>
        <v>#N/A</v>
      </c>
      <c r="V1887" s="282" t="e">
        <f>+Tabla4[[#This Row],[Comisión Calculada]]*Tabla4[[#This Row],[Total]]</f>
        <v>#N/A</v>
      </c>
    </row>
    <row r="1888" spans="1:22" hidden="1" x14ac:dyDescent="0.25">
      <c r="A1888" s="100">
        <v>45762</v>
      </c>
      <c r="B1888" t="str">
        <f t="shared" si="98"/>
        <v>April</v>
      </c>
      <c r="C1888" s="46" t="s">
        <v>280</v>
      </c>
      <c r="F1888" s="366" t="s">
        <v>1421</v>
      </c>
      <c r="G1888" s="46" t="s">
        <v>208</v>
      </c>
      <c r="H1888" s="46">
        <v>1</v>
      </c>
      <c r="I1888" s="51">
        <v>189.75</v>
      </c>
      <c r="J1888" s="281">
        <f>++Tabla4[[#This Row],[Precio Bruto]]*1.16</f>
        <v>220.10999999999999</v>
      </c>
      <c r="K1888" s="281">
        <f>+Tabla4[[#This Row],[Precio Unitario Neto]]*Tabla4[[#Headers],[20.85%]]</f>
        <v>45.892934999999994</v>
      </c>
      <c r="L1888" s="282">
        <f>++Tabla4[[#This Row],[Precio Unitario Neto]]-Tabla4[[#This Row],[20.85%]]</f>
        <v>174.21706499999999</v>
      </c>
      <c r="M1888" s="282" t="e">
        <f>(INDEX(Tabla6[#All],MATCH(Tabla4[[#This Row],[Producto]],Tabla6[[#All],[PRODUCTO]],0),MATCH(Tabla4[[#This Row],[Mes]],Tabla6[#Headers],0)))*(1+Catalogos!$L$2)</f>
        <v>#N/A</v>
      </c>
      <c r="N1888" s="283" t="e">
        <f>+(Tabla4[[#This Row],[Precio Descontado]]-Tabla4[[#This Row],[Precio Base]])*Tabla4[[#This Row],[Cantidad]]</f>
        <v>#N/A</v>
      </c>
      <c r="O1888" s="284" t="e">
        <f>++Tabla4[[#This Row],[Utilidad Total]]/Tabla4[[#This Row],[Total]]</f>
        <v>#N/A</v>
      </c>
      <c r="P1888" s="282">
        <f>++Tabla4[[#This Row],[Precio Descontado]]*Tabla4[[#This Row],[Cantidad]]</f>
        <v>174.21706499999999</v>
      </c>
      <c r="Q1888" s="282" t="e">
        <f>(INDEX(Tabla6[#All],MATCH(Tabla4[[#This Row],[Producto]],Tabla6[[#All],[PRODUCTO]],0),MATCH(Tabla4[[#This Row],[Mes]],Tabla6[#Headers],0)))</f>
        <v>#N/A</v>
      </c>
      <c r="R1888" s="282" t="e">
        <f>++Tabla4[[#This Row],[Precio Unitario Neto]]-Tabla4[[#This Row],[20.85%]]-Tabla4[[#This Row],[Costo]]</f>
        <v>#N/A</v>
      </c>
      <c r="S1888" s="282" t="e">
        <f>++Tabla4[[#This Row],[U. Bruta Uni]]*Tabla4[[#This Row],[Cantidad]]</f>
        <v>#N/A</v>
      </c>
      <c r="T1888" s="369" t="str">
        <f>VLOOKUP(Tabla4[[#This Row],[Producto]],Tabla6[#All],14,FALSE)</f>
        <v>Termico Solar</v>
      </c>
      <c r="U1888" s="284" t="e">
        <f>(IF(Tabla4[[#This Row],[Familia]]="termico solar",Tabla4[[#This Row],[Utilidad Total]]*6%,Tabla4[[#This Row],[Utilidad Total]]*11.5%))/Tabla4[[#This Row],[Total]]</f>
        <v>#N/A</v>
      </c>
      <c r="V1888" s="282" t="e">
        <f>+Tabla4[[#This Row],[Comisión Calculada]]*Tabla4[[#This Row],[Total]]</f>
        <v>#N/A</v>
      </c>
    </row>
    <row r="1889" spans="1:22" hidden="1" x14ac:dyDescent="0.25">
      <c r="A1889" s="100">
        <v>45762</v>
      </c>
      <c r="B1889" t="str">
        <f t="shared" si="98"/>
        <v>April</v>
      </c>
      <c r="C1889" s="46" t="s">
        <v>280</v>
      </c>
      <c r="F1889" s="366" t="s">
        <v>1422</v>
      </c>
      <c r="G1889" s="46" t="s">
        <v>566</v>
      </c>
      <c r="H1889" s="46">
        <v>1</v>
      </c>
      <c r="I1889" s="51">
        <v>2109.4499999999998</v>
      </c>
      <c r="J1889" s="281">
        <f>++Tabla4[[#This Row],[Precio Bruto]]*1.16</f>
        <v>2446.9619999999995</v>
      </c>
      <c r="K1889" s="281">
        <f>+Tabla4[[#This Row],[Precio Unitario Neto]]*Tabla4[[#Headers],[20.85%]]</f>
        <v>510.19157699999988</v>
      </c>
      <c r="L1889" s="282">
        <f>++Tabla4[[#This Row],[Precio Unitario Neto]]-Tabla4[[#This Row],[20.85%]]</f>
        <v>1936.7704229999997</v>
      </c>
      <c r="M1889" s="282" t="e">
        <f>(INDEX(Tabla6[#All],MATCH(Tabla4[[#This Row],[Producto]],Tabla6[[#All],[PRODUCTO]],0),MATCH(Tabla4[[#This Row],[Mes]],Tabla6[#Headers],0)))*(1+Catalogos!$L$2)</f>
        <v>#N/A</v>
      </c>
      <c r="N1889" s="283" t="e">
        <f>+(Tabla4[[#This Row],[Precio Descontado]]-Tabla4[[#This Row],[Precio Base]])*Tabla4[[#This Row],[Cantidad]]</f>
        <v>#N/A</v>
      </c>
      <c r="O1889" s="284" t="e">
        <f>++Tabla4[[#This Row],[Utilidad Total]]/Tabla4[[#This Row],[Total]]</f>
        <v>#N/A</v>
      </c>
      <c r="P1889" s="282">
        <f>++Tabla4[[#This Row],[Precio Descontado]]*Tabla4[[#This Row],[Cantidad]]</f>
        <v>1936.7704229999997</v>
      </c>
      <c r="Q1889" s="282" t="e">
        <f>(INDEX(Tabla6[#All],MATCH(Tabla4[[#This Row],[Producto]],Tabla6[[#All],[PRODUCTO]],0),MATCH(Tabla4[[#This Row],[Mes]],Tabla6[#Headers],0)))</f>
        <v>#N/A</v>
      </c>
      <c r="R1889" s="282" t="e">
        <f>++Tabla4[[#This Row],[Precio Unitario Neto]]-Tabla4[[#This Row],[20.85%]]-Tabla4[[#This Row],[Costo]]</f>
        <v>#N/A</v>
      </c>
      <c r="S1889" s="282" t="e">
        <f>++Tabla4[[#This Row],[U. Bruta Uni]]*Tabla4[[#This Row],[Cantidad]]</f>
        <v>#N/A</v>
      </c>
      <c r="T1889" s="369" t="str">
        <f>VLOOKUP(Tabla4[[#This Row],[Producto]],Tabla6[#All],14,FALSE)</f>
        <v>Termico Solar</v>
      </c>
      <c r="U1889" s="284" t="e">
        <f>(IF(Tabla4[[#This Row],[Familia]]="termico solar",Tabla4[[#This Row],[Utilidad Total]]*6%,Tabla4[[#This Row],[Utilidad Total]]*11.5%))/Tabla4[[#This Row],[Total]]</f>
        <v>#N/A</v>
      </c>
      <c r="V1889" s="282" t="e">
        <f>+Tabla4[[#This Row],[Comisión Calculada]]*Tabla4[[#This Row],[Total]]</f>
        <v>#N/A</v>
      </c>
    </row>
    <row r="1890" spans="1:22" hidden="1" x14ac:dyDescent="0.25">
      <c r="A1890" s="100">
        <v>45762</v>
      </c>
      <c r="B1890" t="str">
        <f t="shared" si="98"/>
        <v>April</v>
      </c>
      <c r="C1890" s="46" t="s">
        <v>280</v>
      </c>
      <c r="F1890" s="366" t="s">
        <v>1422</v>
      </c>
      <c r="G1890" s="46" t="s">
        <v>208</v>
      </c>
      <c r="H1890" s="46">
        <v>1</v>
      </c>
      <c r="I1890" s="51">
        <v>189.75</v>
      </c>
      <c r="J1890" s="281">
        <f>++Tabla4[[#This Row],[Precio Bruto]]*1.16</f>
        <v>220.10999999999999</v>
      </c>
      <c r="K1890" s="281">
        <f>+Tabla4[[#This Row],[Precio Unitario Neto]]*Tabla4[[#Headers],[20.85%]]</f>
        <v>45.892934999999994</v>
      </c>
      <c r="L1890" s="282">
        <f>++Tabla4[[#This Row],[Precio Unitario Neto]]-Tabla4[[#This Row],[20.85%]]</f>
        <v>174.21706499999999</v>
      </c>
      <c r="M1890" s="282" t="e">
        <f>(INDEX(Tabla6[#All],MATCH(Tabla4[[#This Row],[Producto]],Tabla6[[#All],[PRODUCTO]],0),MATCH(Tabla4[[#This Row],[Mes]],Tabla6[#Headers],0)))*(1+Catalogos!$L$2)</f>
        <v>#N/A</v>
      </c>
      <c r="N1890" s="283" t="e">
        <f>+(Tabla4[[#This Row],[Precio Descontado]]-Tabla4[[#This Row],[Precio Base]])*Tabla4[[#This Row],[Cantidad]]</f>
        <v>#N/A</v>
      </c>
      <c r="O1890" s="284" t="e">
        <f>++Tabla4[[#This Row],[Utilidad Total]]/Tabla4[[#This Row],[Total]]</f>
        <v>#N/A</v>
      </c>
      <c r="P1890" s="282">
        <f>++Tabla4[[#This Row],[Precio Descontado]]*Tabla4[[#This Row],[Cantidad]]</f>
        <v>174.21706499999999</v>
      </c>
      <c r="Q1890" s="282" t="e">
        <f>(INDEX(Tabla6[#All],MATCH(Tabla4[[#This Row],[Producto]],Tabla6[[#All],[PRODUCTO]],0),MATCH(Tabla4[[#This Row],[Mes]],Tabla6[#Headers],0)))</f>
        <v>#N/A</v>
      </c>
      <c r="R1890" s="282" t="e">
        <f>++Tabla4[[#This Row],[Precio Unitario Neto]]-Tabla4[[#This Row],[20.85%]]-Tabla4[[#This Row],[Costo]]</f>
        <v>#N/A</v>
      </c>
      <c r="S1890" s="282" t="e">
        <f>++Tabla4[[#This Row],[U. Bruta Uni]]*Tabla4[[#This Row],[Cantidad]]</f>
        <v>#N/A</v>
      </c>
      <c r="T1890" s="369" t="str">
        <f>VLOOKUP(Tabla4[[#This Row],[Producto]],Tabla6[#All],14,FALSE)</f>
        <v>Termico Solar</v>
      </c>
      <c r="U1890" s="284" t="e">
        <f>(IF(Tabla4[[#This Row],[Familia]]="termico solar",Tabla4[[#This Row],[Utilidad Total]]*6%,Tabla4[[#This Row],[Utilidad Total]]*11.5%))/Tabla4[[#This Row],[Total]]</f>
        <v>#N/A</v>
      </c>
      <c r="V1890" s="282" t="e">
        <f>+Tabla4[[#This Row],[Comisión Calculada]]*Tabla4[[#This Row],[Total]]</f>
        <v>#N/A</v>
      </c>
    </row>
    <row r="1891" spans="1:22" hidden="1" x14ac:dyDescent="0.25">
      <c r="A1891" s="100">
        <v>45762</v>
      </c>
      <c r="B1891" t="str">
        <f t="shared" si="98"/>
        <v>April</v>
      </c>
      <c r="C1891" s="46" t="s">
        <v>280</v>
      </c>
      <c r="F1891" s="366" t="s">
        <v>1423</v>
      </c>
      <c r="G1891" s="46" t="s">
        <v>208</v>
      </c>
      <c r="H1891" s="46">
        <v>2</v>
      </c>
      <c r="I1891" s="51">
        <v>189.75</v>
      </c>
      <c r="J1891" s="281">
        <f>++Tabla4[[#This Row],[Precio Bruto]]*1.16</f>
        <v>220.10999999999999</v>
      </c>
      <c r="K1891" s="281">
        <f>+Tabla4[[#This Row],[Precio Unitario Neto]]*Tabla4[[#Headers],[20.85%]]</f>
        <v>45.892934999999994</v>
      </c>
      <c r="L1891" s="282">
        <f>++Tabla4[[#This Row],[Precio Unitario Neto]]-Tabla4[[#This Row],[20.85%]]</f>
        <v>174.21706499999999</v>
      </c>
      <c r="M1891" s="282" t="e">
        <f>(INDEX(Tabla6[#All],MATCH(Tabla4[[#This Row],[Producto]],Tabla6[[#All],[PRODUCTO]],0),MATCH(Tabla4[[#This Row],[Mes]],Tabla6[#Headers],0)))*(1+Catalogos!$L$2)</f>
        <v>#N/A</v>
      </c>
      <c r="N1891" s="283" t="e">
        <f>+(Tabla4[[#This Row],[Precio Descontado]]-Tabla4[[#This Row],[Precio Base]])*Tabla4[[#This Row],[Cantidad]]</f>
        <v>#N/A</v>
      </c>
      <c r="O1891" s="284" t="e">
        <f>++Tabla4[[#This Row],[Utilidad Total]]/Tabla4[[#This Row],[Total]]</f>
        <v>#N/A</v>
      </c>
      <c r="P1891" s="282">
        <f>++Tabla4[[#This Row],[Precio Descontado]]*Tabla4[[#This Row],[Cantidad]]</f>
        <v>348.43412999999998</v>
      </c>
      <c r="Q1891" s="282" t="e">
        <f>(INDEX(Tabla6[#All],MATCH(Tabla4[[#This Row],[Producto]],Tabla6[[#All],[PRODUCTO]],0),MATCH(Tabla4[[#This Row],[Mes]],Tabla6[#Headers],0)))</f>
        <v>#N/A</v>
      </c>
      <c r="R1891" s="282" t="e">
        <f>++Tabla4[[#This Row],[Precio Unitario Neto]]-Tabla4[[#This Row],[20.85%]]-Tabla4[[#This Row],[Costo]]</f>
        <v>#N/A</v>
      </c>
      <c r="S1891" s="282" t="e">
        <f>++Tabla4[[#This Row],[U. Bruta Uni]]*Tabla4[[#This Row],[Cantidad]]</f>
        <v>#N/A</v>
      </c>
      <c r="T1891" s="369" t="str">
        <f>VLOOKUP(Tabla4[[#This Row],[Producto]],Tabla6[#All],14,FALSE)</f>
        <v>Termico Solar</v>
      </c>
      <c r="U1891" s="284" t="e">
        <f>(IF(Tabla4[[#This Row],[Familia]]="termico solar",Tabla4[[#This Row],[Utilidad Total]]*6%,Tabla4[[#This Row],[Utilidad Total]]*11.5%))/Tabla4[[#This Row],[Total]]</f>
        <v>#N/A</v>
      </c>
      <c r="V1891" s="282" t="e">
        <f>+Tabla4[[#This Row],[Comisión Calculada]]*Tabla4[[#This Row],[Total]]</f>
        <v>#N/A</v>
      </c>
    </row>
    <row r="1892" spans="1:22" hidden="1" x14ac:dyDescent="0.25">
      <c r="A1892" s="100">
        <v>45762</v>
      </c>
      <c r="B1892" t="str">
        <f t="shared" si="98"/>
        <v>April</v>
      </c>
      <c r="C1892" s="46" t="s">
        <v>280</v>
      </c>
      <c r="F1892" s="366" t="s">
        <v>1424</v>
      </c>
      <c r="G1892" s="46" t="s">
        <v>19</v>
      </c>
      <c r="H1892" s="46">
        <v>3</v>
      </c>
      <c r="I1892" s="51">
        <v>6412.03</v>
      </c>
      <c r="J1892" s="281">
        <f>++Tabla4[[#This Row],[Precio Bruto]]*1.16</f>
        <v>7437.9547999999995</v>
      </c>
      <c r="K1892" s="281">
        <f>+Tabla4[[#This Row],[Precio Unitario Neto]]*Tabla4[[#Headers],[20.85%]]</f>
        <v>1550.8135757999999</v>
      </c>
      <c r="L1892" s="282">
        <f>++Tabla4[[#This Row],[Precio Unitario Neto]]-Tabla4[[#This Row],[20.85%]]</f>
        <v>5887.1412241999997</v>
      </c>
      <c r="M1892" s="282" t="e">
        <f>(INDEX(Tabla6[#All],MATCH(Tabla4[[#This Row],[Producto]],Tabla6[[#All],[PRODUCTO]],0),MATCH(Tabla4[[#This Row],[Mes]],Tabla6[#Headers],0)))*(1+Catalogos!$L$2)</f>
        <v>#N/A</v>
      </c>
      <c r="N1892" s="283" t="e">
        <f>+(Tabla4[[#This Row],[Precio Descontado]]-Tabla4[[#This Row],[Precio Base]])*Tabla4[[#This Row],[Cantidad]]</f>
        <v>#N/A</v>
      </c>
      <c r="O1892" s="284" t="e">
        <f>++Tabla4[[#This Row],[Utilidad Total]]/Tabla4[[#This Row],[Total]]</f>
        <v>#N/A</v>
      </c>
      <c r="P1892" s="282">
        <f>++Tabla4[[#This Row],[Precio Descontado]]*Tabla4[[#This Row],[Cantidad]]</f>
        <v>17661.423672599998</v>
      </c>
      <c r="Q1892" s="282" t="e">
        <f>(INDEX(Tabla6[#All],MATCH(Tabla4[[#This Row],[Producto]],Tabla6[[#All],[PRODUCTO]],0),MATCH(Tabla4[[#This Row],[Mes]],Tabla6[#Headers],0)))</f>
        <v>#N/A</v>
      </c>
      <c r="R1892" s="282" t="e">
        <f>++Tabla4[[#This Row],[Precio Unitario Neto]]-Tabla4[[#This Row],[20.85%]]-Tabla4[[#This Row],[Costo]]</f>
        <v>#N/A</v>
      </c>
      <c r="S1892" s="282" t="e">
        <f>++Tabla4[[#This Row],[U. Bruta Uni]]*Tabla4[[#This Row],[Cantidad]]</f>
        <v>#N/A</v>
      </c>
      <c r="T1892" s="369" t="str">
        <f>VLOOKUP(Tabla4[[#This Row],[Producto]],Tabla6[#All],14,FALSE)</f>
        <v>Termico Solar</v>
      </c>
      <c r="U1892" s="284" t="e">
        <f>(IF(Tabla4[[#This Row],[Familia]]="termico solar",Tabla4[[#This Row],[Utilidad Total]]*6%,Tabla4[[#This Row],[Utilidad Total]]*11.5%))/Tabla4[[#This Row],[Total]]</f>
        <v>#N/A</v>
      </c>
      <c r="V1892" s="282" t="e">
        <f>+Tabla4[[#This Row],[Comisión Calculada]]*Tabla4[[#This Row],[Total]]</f>
        <v>#N/A</v>
      </c>
    </row>
    <row r="1893" spans="1:22" hidden="1" x14ac:dyDescent="0.25">
      <c r="A1893" s="100">
        <v>45762</v>
      </c>
      <c r="B1893" t="str">
        <f t="shared" si="98"/>
        <v>April</v>
      </c>
      <c r="C1893" s="46" t="s">
        <v>280</v>
      </c>
      <c r="F1893" s="366" t="s">
        <v>1424</v>
      </c>
      <c r="G1893" s="46" t="s">
        <v>566</v>
      </c>
      <c r="H1893" s="46">
        <v>1</v>
      </c>
      <c r="I1893" s="51">
        <v>2109.4499999999998</v>
      </c>
      <c r="J1893" s="281">
        <f>++Tabla4[[#This Row],[Precio Bruto]]*1.16</f>
        <v>2446.9619999999995</v>
      </c>
      <c r="K1893" s="281">
        <f>+Tabla4[[#This Row],[Precio Unitario Neto]]*Tabla4[[#Headers],[20.85%]]</f>
        <v>510.19157699999988</v>
      </c>
      <c r="L1893" s="282">
        <f>++Tabla4[[#This Row],[Precio Unitario Neto]]-Tabla4[[#This Row],[20.85%]]</f>
        <v>1936.7704229999997</v>
      </c>
      <c r="M1893" s="282" t="e">
        <f>(INDEX(Tabla6[#All],MATCH(Tabla4[[#This Row],[Producto]],Tabla6[[#All],[PRODUCTO]],0),MATCH(Tabla4[[#This Row],[Mes]],Tabla6[#Headers],0)))*(1+Catalogos!$L$2)</f>
        <v>#N/A</v>
      </c>
      <c r="N1893" s="283" t="e">
        <f>+(Tabla4[[#This Row],[Precio Descontado]]-Tabla4[[#This Row],[Precio Base]])*Tabla4[[#This Row],[Cantidad]]</f>
        <v>#N/A</v>
      </c>
      <c r="O1893" s="284" t="e">
        <f>++Tabla4[[#This Row],[Utilidad Total]]/Tabla4[[#This Row],[Total]]</f>
        <v>#N/A</v>
      </c>
      <c r="P1893" s="282">
        <f>++Tabla4[[#This Row],[Precio Descontado]]*Tabla4[[#This Row],[Cantidad]]</f>
        <v>1936.7704229999997</v>
      </c>
      <c r="Q1893" s="282" t="e">
        <f>(INDEX(Tabla6[#All],MATCH(Tabla4[[#This Row],[Producto]],Tabla6[[#All],[PRODUCTO]],0),MATCH(Tabla4[[#This Row],[Mes]],Tabla6[#Headers],0)))</f>
        <v>#N/A</v>
      </c>
      <c r="R1893" s="282" t="e">
        <f>++Tabla4[[#This Row],[Precio Unitario Neto]]-Tabla4[[#This Row],[20.85%]]-Tabla4[[#This Row],[Costo]]</f>
        <v>#N/A</v>
      </c>
      <c r="S1893" s="282" t="e">
        <f>++Tabla4[[#This Row],[U. Bruta Uni]]*Tabla4[[#This Row],[Cantidad]]</f>
        <v>#N/A</v>
      </c>
      <c r="T1893" s="369" t="str">
        <f>VLOOKUP(Tabla4[[#This Row],[Producto]],Tabla6[#All],14,FALSE)</f>
        <v>Termico Solar</v>
      </c>
      <c r="U1893" s="284" t="e">
        <f>(IF(Tabla4[[#This Row],[Familia]]="termico solar",Tabla4[[#This Row],[Utilidad Total]]*6%,Tabla4[[#This Row],[Utilidad Total]]*11.5%))/Tabla4[[#This Row],[Total]]</f>
        <v>#N/A</v>
      </c>
      <c r="V1893" s="282" t="e">
        <f>+Tabla4[[#This Row],[Comisión Calculada]]*Tabla4[[#This Row],[Total]]</f>
        <v>#N/A</v>
      </c>
    </row>
    <row r="1894" spans="1:22" hidden="1" x14ac:dyDescent="0.25">
      <c r="A1894" s="100">
        <v>45762</v>
      </c>
      <c r="B1894" t="str">
        <f t="shared" si="98"/>
        <v>April</v>
      </c>
      <c r="C1894" s="46" t="s">
        <v>280</v>
      </c>
      <c r="F1894" s="366" t="s">
        <v>1424</v>
      </c>
      <c r="G1894" s="46" t="s">
        <v>208</v>
      </c>
      <c r="H1894" s="46">
        <v>2</v>
      </c>
      <c r="I1894" s="51">
        <v>189.75</v>
      </c>
      <c r="J1894" s="281">
        <f>++Tabla4[[#This Row],[Precio Bruto]]*1.16</f>
        <v>220.10999999999999</v>
      </c>
      <c r="K1894" s="281">
        <f>+Tabla4[[#This Row],[Precio Unitario Neto]]*Tabla4[[#Headers],[20.85%]]</f>
        <v>45.892934999999994</v>
      </c>
      <c r="L1894" s="282">
        <f>++Tabla4[[#This Row],[Precio Unitario Neto]]-Tabla4[[#This Row],[20.85%]]</f>
        <v>174.21706499999999</v>
      </c>
      <c r="M1894" s="282" t="e">
        <f>(INDEX(Tabla6[#All],MATCH(Tabla4[[#This Row],[Producto]],Tabla6[[#All],[PRODUCTO]],0),MATCH(Tabla4[[#This Row],[Mes]],Tabla6[#Headers],0)))*(1+Catalogos!$L$2)</f>
        <v>#N/A</v>
      </c>
      <c r="N1894" s="283" t="e">
        <f>+(Tabla4[[#This Row],[Precio Descontado]]-Tabla4[[#This Row],[Precio Base]])*Tabla4[[#This Row],[Cantidad]]</f>
        <v>#N/A</v>
      </c>
      <c r="O1894" s="284" t="e">
        <f>++Tabla4[[#This Row],[Utilidad Total]]/Tabla4[[#This Row],[Total]]</f>
        <v>#N/A</v>
      </c>
      <c r="P1894" s="282">
        <f>++Tabla4[[#This Row],[Precio Descontado]]*Tabla4[[#This Row],[Cantidad]]</f>
        <v>348.43412999999998</v>
      </c>
      <c r="Q1894" s="282" t="e">
        <f>(INDEX(Tabla6[#All],MATCH(Tabla4[[#This Row],[Producto]],Tabla6[[#All],[PRODUCTO]],0),MATCH(Tabla4[[#This Row],[Mes]],Tabla6[#Headers],0)))</f>
        <v>#N/A</v>
      </c>
      <c r="R1894" s="282" t="e">
        <f>++Tabla4[[#This Row],[Precio Unitario Neto]]-Tabla4[[#This Row],[20.85%]]-Tabla4[[#This Row],[Costo]]</f>
        <v>#N/A</v>
      </c>
      <c r="S1894" s="282" t="e">
        <f>++Tabla4[[#This Row],[U. Bruta Uni]]*Tabla4[[#This Row],[Cantidad]]</f>
        <v>#N/A</v>
      </c>
      <c r="T1894" s="369" t="str">
        <f>VLOOKUP(Tabla4[[#This Row],[Producto]],Tabla6[#All],14,FALSE)</f>
        <v>Termico Solar</v>
      </c>
      <c r="U1894" s="284" t="e">
        <f>(IF(Tabla4[[#This Row],[Familia]]="termico solar",Tabla4[[#This Row],[Utilidad Total]]*6%,Tabla4[[#This Row],[Utilidad Total]]*11.5%))/Tabla4[[#This Row],[Total]]</f>
        <v>#N/A</v>
      </c>
      <c r="V1894" s="282" t="e">
        <f>+Tabla4[[#This Row],[Comisión Calculada]]*Tabla4[[#This Row],[Total]]</f>
        <v>#N/A</v>
      </c>
    </row>
    <row r="1895" spans="1:22" hidden="1" x14ac:dyDescent="0.25">
      <c r="A1895" s="100">
        <v>45762</v>
      </c>
      <c r="B1895" t="str">
        <f t="shared" si="98"/>
        <v>April</v>
      </c>
      <c r="C1895" s="46" t="s">
        <v>280</v>
      </c>
      <c r="F1895" s="366" t="s">
        <v>1425</v>
      </c>
      <c r="G1895" s="46" t="s">
        <v>566</v>
      </c>
      <c r="H1895" s="46">
        <v>1</v>
      </c>
      <c r="I1895" s="51">
        <v>2109.4499999999998</v>
      </c>
      <c r="J1895" s="281">
        <f>++Tabla4[[#This Row],[Precio Bruto]]*1.16</f>
        <v>2446.9619999999995</v>
      </c>
      <c r="K1895" s="281">
        <f>+Tabla4[[#This Row],[Precio Unitario Neto]]*Tabla4[[#Headers],[20.85%]]</f>
        <v>510.19157699999988</v>
      </c>
      <c r="L1895" s="282">
        <f>++Tabla4[[#This Row],[Precio Unitario Neto]]-Tabla4[[#This Row],[20.85%]]</f>
        <v>1936.7704229999997</v>
      </c>
      <c r="M1895" s="282" t="e">
        <f>(INDEX(Tabla6[#All],MATCH(Tabla4[[#This Row],[Producto]],Tabla6[[#All],[PRODUCTO]],0),MATCH(Tabla4[[#This Row],[Mes]],Tabla6[#Headers],0)))*(1+Catalogos!$L$2)</f>
        <v>#N/A</v>
      </c>
      <c r="N1895" s="283" t="e">
        <f>+(Tabla4[[#This Row],[Precio Descontado]]-Tabla4[[#This Row],[Precio Base]])*Tabla4[[#This Row],[Cantidad]]</f>
        <v>#N/A</v>
      </c>
      <c r="O1895" s="284" t="e">
        <f>++Tabla4[[#This Row],[Utilidad Total]]/Tabla4[[#This Row],[Total]]</f>
        <v>#N/A</v>
      </c>
      <c r="P1895" s="282">
        <f>++Tabla4[[#This Row],[Precio Descontado]]*Tabla4[[#This Row],[Cantidad]]</f>
        <v>1936.7704229999997</v>
      </c>
      <c r="Q1895" s="282" t="e">
        <f>(INDEX(Tabla6[#All],MATCH(Tabla4[[#This Row],[Producto]],Tabla6[[#All],[PRODUCTO]],0),MATCH(Tabla4[[#This Row],[Mes]],Tabla6[#Headers],0)))</f>
        <v>#N/A</v>
      </c>
      <c r="R1895" s="282" t="e">
        <f>++Tabla4[[#This Row],[Precio Unitario Neto]]-Tabla4[[#This Row],[20.85%]]-Tabla4[[#This Row],[Costo]]</f>
        <v>#N/A</v>
      </c>
      <c r="S1895" s="282" t="e">
        <f>++Tabla4[[#This Row],[U. Bruta Uni]]*Tabla4[[#This Row],[Cantidad]]</f>
        <v>#N/A</v>
      </c>
      <c r="T1895" s="369" t="str">
        <f>VLOOKUP(Tabla4[[#This Row],[Producto]],Tabla6[#All],14,FALSE)</f>
        <v>Termico Solar</v>
      </c>
      <c r="U1895" s="284" t="e">
        <f>(IF(Tabla4[[#This Row],[Familia]]="termico solar",Tabla4[[#This Row],[Utilidad Total]]*6%,Tabla4[[#This Row],[Utilidad Total]]*11.5%))/Tabla4[[#This Row],[Total]]</f>
        <v>#N/A</v>
      </c>
      <c r="V1895" s="282" t="e">
        <f>+Tabla4[[#This Row],[Comisión Calculada]]*Tabla4[[#This Row],[Total]]</f>
        <v>#N/A</v>
      </c>
    </row>
    <row r="1896" spans="1:22" hidden="1" x14ac:dyDescent="0.25">
      <c r="A1896" s="100">
        <v>45762</v>
      </c>
      <c r="B1896" t="str">
        <f t="shared" si="98"/>
        <v>April</v>
      </c>
      <c r="C1896" s="46" t="s">
        <v>280</v>
      </c>
      <c r="F1896" s="366" t="s">
        <v>1425</v>
      </c>
      <c r="G1896" s="46" t="s">
        <v>16</v>
      </c>
      <c r="H1896" s="46">
        <v>2</v>
      </c>
      <c r="I1896" s="51">
        <v>4103.8500000000004</v>
      </c>
      <c r="J1896" s="281">
        <f>++Tabla4[[#This Row],[Precio Bruto]]*1.16</f>
        <v>4760.4660000000003</v>
      </c>
      <c r="K1896" s="281">
        <f>+Tabla4[[#This Row],[Precio Unitario Neto]]*Tabla4[[#Headers],[20.85%]]</f>
        <v>992.55716100000006</v>
      </c>
      <c r="L1896" s="282">
        <f>++Tabla4[[#This Row],[Precio Unitario Neto]]-Tabla4[[#This Row],[20.85%]]</f>
        <v>3767.9088390000002</v>
      </c>
      <c r="M1896" s="282" t="e">
        <f>(INDEX(Tabla6[#All],MATCH(Tabla4[[#This Row],[Producto]],Tabla6[[#All],[PRODUCTO]],0),MATCH(Tabla4[[#This Row],[Mes]],Tabla6[#Headers],0)))*(1+Catalogos!$L$2)</f>
        <v>#N/A</v>
      </c>
      <c r="N1896" s="283" t="e">
        <f>+(Tabla4[[#This Row],[Precio Descontado]]-Tabla4[[#This Row],[Precio Base]])*Tabla4[[#This Row],[Cantidad]]</f>
        <v>#N/A</v>
      </c>
      <c r="O1896" s="284" t="e">
        <f>++Tabla4[[#This Row],[Utilidad Total]]/Tabla4[[#This Row],[Total]]</f>
        <v>#N/A</v>
      </c>
      <c r="P1896" s="282">
        <f>++Tabla4[[#This Row],[Precio Descontado]]*Tabla4[[#This Row],[Cantidad]]</f>
        <v>7535.8176780000003</v>
      </c>
      <c r="Q1896" s="282" t="e">
        <f>(INDEX(Tabla6[#All],MATCH(Tabla4[[#This Row],[Producto]],Tabla6[[#All],[PRODUCTO]],0),MATCH(Tabla4[[#This Row],[Mes]],Tabla6[#Headers],0)))</f>
        <v>#N/A</v>
      </c>
      <c r="R1896" s="282" t="e">
        <f>++Tabla4[[#This Row],[Precio Unitario Neto]]-Tabla4[[#This Row],[20.85%]]-Tabla4[[#This Row],[Costo]]</f>
        <v>#N/A</v>
      </c>
      <c r="S1896" s="282" t="e">
        <f>++Tabla4[[#This Row],[U. Bruta Uni]]*Tabla4[[#This Row],[Cantidad]]</f>
        <v>#N/A</v>
      </c>
      <c r="T1896" s="369" t="str">
        <f>VLOOKUP(Tabla4[[#This Row],[Producto]],Tabla6[#All],14,FALSE)</f>
        <v>Termico Solar</v>
      </c>
      <c r="U1896" s="284" t="e">
        <f>(IF(Tabla4[[#This Row],[Familia]]="termico solar",Tabla4[[#This Row],[Utilidad Total]]*6%,Tabla4[[#This Row],[Utilidad Total]]*11.5%))/Tabla4[[#This Row],[Total]]</f>
        <v>#N/A</v>
      </c>
      <c r="V1896" s="282" t="e">
        <f>+Tabla4[[#This Row],[Comisión Calculada]]*Tabla4[[#This Row],[Total]]</f>
        <v>#N/A</v>
      </c>
    </row>
    <row r="1897" spans="1:22" hidden="1" x14ac:dyDescent="0.25">
      <c r="A1897" s="100">
        <v>45762</v>
      </c>
      <c r="B1897" t="str">
        <f t="shared" si="98"/>
        <v>April</v>
      </c>
      <c r="C1897" s="46" t="s">
        <v>280</v>
      </c>
      <c r="F1897" s="366" t="s">
        <v>1425</v>
      </c>
      <c r="G1897" s="46" t="s">
        <v>208</v>
      </c>
      <c r="H1897" s="46">
        <v>1</v>
      </c>
      <c r="I1897" s="51">
        <v>189.75</v>
      </c>
      <c r="J1897" s="281">
        <f>++Tabla4[[#This Row],[Precio Bruto]]*1.16</f>
        <v>220.10999999999999</v>
      </c>
      <c r="K1897" s="281">
        <f>+Tabla4[[#This Row],[Precio Unitario Neto]]*Tabla4[[#Headers],[20.85%]]</f>
        <v>45.892934999999994</v>
      </c>
      <c r="L1897" s="282">
        <f>++Tabla4[[#This Row],[Precio Unitario Neto]]-Tabla4[[#This Row],[20.85%]]</f>
        <v>174.21706499999999</v>
      </c>
      <c r="M1897" s="282" t="e">
        <f>(INDEX(Tabla6[#All],MATCH(Tabla4[[#This Row],[Producto]],Tabla6[[#All],[PRODUCTO]],0),MATCH(Tabla4[[#This Row],[Mes]],Tabla6[#Headers],0)))*(1+Catalogos!$L$2)</f>
        <v>#N/A</v>
      </c>
      <c r="N1897" s="283" t="e">
        <f>+(Tabla4[[#This Row],[Precio Descontado]]-Tabla4[[#This Row],[Precio Base]])*Tabla4[[#This Row],[Cantidad]]</f>
        <v>#N/A</v>
      </c>
      <c r="O1897" s="284" t="e">
        <f>++Tabla4[[#This Row],[Utilidad Total]]/Tabla4[[#This Row],[Total]]</f>
        <v>#N/A</v>
      </c>
      <c r="P1897" s="282">
        <f>++Tabla4[[#This Row],[Precio Descontado]]*Tabla4[[#This Row],[Cantidad]]</f>
        <v>174.21706499999999</v>
      </c>
      <c r="Q1897" s="282" t="e">
        <f>(INDEX(Tabla6[#All],MATCH(Tabla4[[#This Row],[Producto]],Tabla6[[#All],[PRODUCTO]],0),MATCH(Tabla4[[#This Row],[Mes]],Tabla6[#Headers],0)))</f>
        <v>#N/A</v>
      </c>
      <c r="R1897" s="282" t="e">
        <f>++Tabla4[[#This Row],[Precio Unitario Neto]]-Tabla4[[#This Row],[20.85%]]-Tabla4[[#This Row],[Costo]]</f>
        <v>#N/A</v>
      </c>
      <c r="S1897" s="282" t="e">
        <f>++Tabla4[[#This Row],[U. Bruta Uni]]*Tabla4[[#This Row],[Cantidad]]</f>
        <v>#N/A</v>
      </c>
      <c r="T1897" s="369" t="str">
        <f>VLOOKUP(Tabla4[[#This Row],[Producto]],Tabla6[#All],14,FALSE)</f>
        <v>Termico Solar</v>
      </c>
      <c r="U1897" s="284" t="e">
        <f>(IF(Tabla4[[#This Row],[Familia]]="termico solar",Tabla4[[#This Row],[Utilidad Total]]*6%,Tabla4[[#This Row],[Utilidad Total]]*11.5%))/Tabla4[[#This Row],[Total]]</f>
        <v>#N/A</v>
      </c>
      <c r="V1897" s="282" t="e">
        <f>+Tabla4[[#This Row],[Comisión Calculada]]*Tabla4[[#This Row],[Total]]</f>
        <v>#N/A</v>
      </c>
    </row>
    <row r="1898" spans="1:22" hidden="1" x14ac:dyDescent="0.25">
      <c r="A1898" s="100">
        <v>45762</v>
      </c>
      <c r="B1898" t="str">
        <f t="shared" si="98"/>
        <v>April</v>
      </c>
      <c r="C1898" s="46" t="s">
        <v>280</v>
      </c>
      <c r="F1898" s="366" t="s">
        <v>1426</v>
      </c>
      <c r="G1898" s="46" t="s">
        <v>17</v>
      </c>
      <c r="H1898" s="46">
        <v>2</v>
      </c>
      <c r="I1898" s="51">
        <v>4622.28</v>
      </c>
      <c r="J1898" s="281">
        <f>++Tabla4[[#This Row],[Precio Bruto]]*1.16</f>
        <v>5361.8447999999989</v>
      </c>
      <c r="K1898" s="281">
        <f>+Tabla4[[#This Row],[Precio Unitario Neto]]*Tabla4[[#Headers],[20.85%]]</f>
        <v>1117.9446407999997</v>
      </c>
      <c r="L1898" s="282">
        <f>++Tabla4[[#This Row],[Precio Unitario Neto]]-Tabla4[[#This Row],[20.85%]]</f>
        <v>4243.9001591999995</v>
      </c>
      <c r="M1898" s="282" t="e">
        <f>(INDEX(Tabla6[#All],MATCH(Tabla4[[#This Row],[Producto]],Tabla6[[#All],[PRODUCTO]],0),MATCH(Tabla4[[#This Row],[Mes]],Tabla6[#Headers],0)))*(1+Catalogos!$L$2)</f>
        <v>#N/A</v>
      </c>
      <c r="N1898" s="283" t="e">
        <f>+(Tabla4[[#This Row],[Precio Descontado]]-Tabla4[[#This Row],[Precio Base]])*Tabla4[[#This Row],[Cantidad]]</f>
        <v>#N/A</v>
      </c>
      <c r="O1898" s="284" t="e">
        <f>++Tabla4[[#This Row],[Utilidad Total]]/Tabla4[[#This Row],[Total]]</f>
        <v>#N/A</v>
      </c>
      <c r="P1898" s="282">
        <f>++Tabla4[[#This Row],[Precio Descontado]]*Tabla4[[#This Row],[Cantidad]]</f>
        <v>8487.800318399999</v>
      </c>
      <c r="Q1898" s="282" t="e">
        <f>(INDEX(Tabla6[#All],MATCH(Tabla4[[#This Row],[Producto]],Tabla6[[#All],[PRODUCTO]],0),MATCH(Tabla4[[#This Row],[Mes]],Tabla6[#Headers],0)))</f>
        <v>#N/A</v>
      </c>
      <c r="R1898" s="282" t="e">
        <f>++Tabla4[[#This Row],[Precio Unitario Neto]]-Tabla4[[#This Row],[20.85%]]-Tabla4[[#This Row],[Costo]]</f>
        <v>#N/A</v>
      </c>
      <c r="S1898" s="282" t="e">
        <f>++Tabla4[[#This Row],[U. Bruta Uni]]*Tabla4[[#This Row],[Cantidad]]</f>
        <v>#N/A</v>
      </c>
      <c r="T1898" s="369" t="str">
        <f>VLOOKUP(Tabla4[[#This Row],[Producto]],Tabla6[#All],14,FALSE)</f>
        <v>Termico Solar</v>
      </c>
      <c r="U1898" s="284" t="e">
        <f>(IF(Tabla4[[#This Row],[Familia]]="termico solar",Tabla4[[#This Row],[Utilidad Total]]*6%,Tabla4[[#This Row],[Utilidad Total]]*11.5%))/Tabla4[[#This Row],[Total]]</f>
        <v>#N/A</v>
      </c>
      <c r="V1898" s="282" t="e">
        <f>+Tabla4[[#This Row],[Comisión Calculada]]*Tabla4[[#This Row],[Total]]</f>
        <v>#N/A</v>
      </c>
    </row>
    <row r="1899" spans="1:22" hidden="1" x14ac:dyDescent="0.25">
      <c r="A1899" s="100">
        <v>45762</v>
      </c>
      <c r="B1899" t="str">
        <f t="shared" ref="B1899:B1930" si="99">TEXT(A1899, "mmmm")</f>
        <v>April</v>
      </c>
      <c r="C1899" s="46" t="s">
        <v>280</v>
      </c>
      <c r="F1899" s="366" t="s">
        <v>1426</v>
      </c>
      <c r="G1899" s="46" t="s">
        <v>18</v>
      </c>
      <c r="H1899" s="46">
        <v>3</v>
      </c>
      <c r="I1899" s="51">
        <v>5367.6500000000005</v>
      </c>
      <c r="J1899" s="281">
        <f>++Tabla4[[#This Row],[Precio Bruto]]*1.16</f>
        <v>6226.4740000000002</v>
      </c>
      <c r="K1899" s="281">
        <f>+Tabla4[[#This Row],[Precio Unitario Neto]]*Tabla4[[#Headers],[20.85%]]</f>
        <v>1298.2198289999999</v>
      </c>
      <c r="L1899" s="282">
        <f>++Tabla4[[#This Row],[Precio Unitario Neto]]-Tabla4[[#This Row],[20.85%]]</f>
        <v>4928.2541710000005</v>
      </c>
      <c r="M1899" s="282" t="e">
        <f>(INDEX(Tabla6[#All],MATCH(Tabla4[[#This Row],[Producto]],Tabla6[[#All],[PRODUCTO]],0),MATCH(Tabla4[[#This Row],[Mes]],Tabla6[#Headers],0)))*(1+Catalogos!$L$2)</f>
        <v>#N/A</v>
      </c>
      <c r="N1899" s="283" t="e">
        <f>+(Tabla4[[#This Row],[Precio Descontado]]-Tabla4[[#This Row],[Precio Base]])*Tabla4[[#This Row],[Cantidad]]</f>
        <v>#N/A</v>
      </c>
      <c r="O1899" s="284" t="e">
        <f>++Tabla4[[#This Row],[Utilidad Total]]/Tabla4[[#This Row],[Total]]</f>
        <v>#N/A</v>
      </c>
      <c r="P1899" s="282">
        <f>++Tabla4[[#This Row],[Precio Descontado]]*Tabla4[[#This Row],[Cantidad]]</f>
        <v>14784.762513000001</v>
      </c>
      <c r="Q1899" s="282" t="e">
        <f>(INDEX(Tabla6[#All],MATCH(Tabla4[[#This Row],[Producto]],Tabla6[[#All],[PRODUCTO]],0),MATCH(Tabla4[[#This Row],[Mes]],Tabla6[#Headers],0)))</f>
        <v>#N/A</v>
      </c>
      <c r="R1899" s="282" t="e">
        <f>++Tabla4[[#This Row],[Precio Unitario Neto]]-Tabla4[[#This Row],[20.85%]]-Tabla4[[#This Row],[Costo]]</f>
        <v>#N/A</v>
      </c>
      <c r="S1899" s="282" t="e">
        <f>++Tabla4[[#This Row],[U. Bruta Uni]]*Tabla4[[#This Row],[Cantidad]]</f>
        <v>#N/A</v>
      </c>
      <c r="T1899" s="369" t="str">
        <f>VLOOKUP(Tabla4[[#This Row],[Producto]],Tabla6[#All],14,FALSE)</f>
        <v>Termico Solar</v>
      </c>
      <c r="U1899" s="284" t="e">
        <f>(IF(Tabla4[[#This Row],[Familia]]="termico solar",Tabla4[[#This Row],[Utilidad Total]]*6%,Tabla4[[#This Row],[Utilidad Total]]*11.5%))/Tabla4[[#This Row],[Total]]</f>
        <v>#N/A</v>
      </c>
      <c r="V1899" s="282" t="e">
        <f>+Tabla4[[#This Row],[Comisión Calculada]]*Tabla4[[#This Row],[Total]]</f>
        <v>#N/A</v>
      </c>
    </row>
    <row r="1900" spans="1:22" hidden="1" x14ac:dyDescent="0.25">
      <c r="A1900" s="100">
        <v>45762</v>
      </c>
      <c r="B1900" t="str">
        <f t="shared" si="99"/>
        <v>April</v>
      </c>
      <c r="C1900" s="46" t="s">
        <v>280</v>
      </c>
      <c r="F1900" s="366" t="s">
        <v>1426</v>
      </c>
      <c r="G1900" s="46" t="s">
        <v>19</v>
      </c>
      <c r="H1900" s="46">
        <v>1</v>
      </c>
      <c r="I1900" s="51">
        <v>6412.03</v>
      </c>
      <c r="J1900" s="281">
        <f>++Tabla4[[#This Row],[Precio Bruto]]*1.16</f>
        <v>7437.9547999999995</v>
      </c>
      <c r="K1900" s="281">
        <f>+Tabla4[[#This Row],[Precio Unitario Neto]]*Tabla4[[#Headers],[20.85%]]</f>
        <v>1550.8135757999999</v>
      </c>
      <c r="L1900" s="282">
        <f>++Tabla4[[#This Row],[Precio Unitario Neto]]-Tabla4[[#This Row],[20.85%]]</f>
        <v>5887.1412241999997</v>
      </c>
      <c r="M1900" s="282" t="e">
        <f>(INDEX(Tabla6[#All],MATCH(Tabla4[[#This Row],[Producto]],Tabla6[[#All],[PRODUCTO]],0),MATCH(Tabla4[[#This Row],[Mes]],Tabla6[#Headers],0)))*(1+Catalogos!$L$2)</f>
        <v>#N/A</v>
      </c>
      <c r="N1900" s="283" t="e">
        <f>+(Tabla4[[#This Row],[Precio Descontado]]-Tabla4[[#This Row],[Precio Base]])*Tabla4[[#This Row],[Cantidad]]</f>
        <v>#N/A</v>
      </c>
      <c r="O1900" s="284" t="e">
        <f>++Tabla4[[#This Row],[Utilidad Total]]/Tabla4[[#This Row],[Total]]</f>
        <v>#N/A</v>
      </c>
      <c r="P1900" s="282">
        <f>++Tabla4[[#This Row],[Precio Descontado]]*Tabla4[[#This Row],[Cantidad]]</f>
        <v>5887.1412241999997</v>
      </c>
      <c r="Q1900" s="282" t="e">
        <f>(INDEX(Tabla6[#All],MATCH(Tabla4[[#This Row],[Producto]],Tabla6[[#All],[PRODUCTO]],0),MATCH(Tabla4[[#This Row],[Mes]],Tabla6[#Headers],0)))</f>
        <v>#N/A</v>
      </c>
      <c r="R1900" s="282" t="e">
        <f>++Tabla4[[#This Row],[Precio Unitario Neto]]-Tabla4[[#This Row],[20.85%]]-Tabla4[[#This Row],[Costo]]</f>
        <v>#N/A</v>
      </c>
      <c r="S1900" s="282" t="e">
        <f>++Tabla4[[#This Row],[U. Bruta Uni]]*Tabla4[[#This Row],[Cantidad]]</f>
        <v>#N/A</v>
      </c>
      <c r="T1900" s="369" t="str">
        <f>VLOOKUP(Tabla4[[#This Row],[Producto]],Tabla6[#All],14,FALSE)</f>
        <v>Termico Solar</v>
      </c>
      <c r="U1900" s="284" t="e">
        <f>(IF(Tabla4[[#This Row],[Familia]]="termico solar",Tabla4[[#This Row],[Utilidad Total]]*6%,Tabla4[[#This Row],[Utilidad Total]]*11.5%))/Tabla4[[#This Row],[Total]]</f>
        <v>#N/A</v>
      </c>
      <c r="V1900" s="282" t="e">
        <f>+Tabla4[[#This Row],[Comisión Calculada]]*Tabla4[[#This Row],[Total]]</f>
        <v>#N/A</v>
      </c>
    </row>
    <row r="1901" spans="1:22" hidden="1" x14ac:dyDescent="0.25">
      <c r="A1901" s="100">
        <v>45762</v>
      </c>
      <c r="B1901" t="str">
        <f t="shared" si="99"/>
        <v>April</v>
      </c>
      <c r="C1901" s="46" t="s">
        <v>280</v>
      </c>
      <c r="F1901" s="366" t="s">
        <v>1426</v>
      </c>
      <c r="G1901" s="46" t="s">
        <v>208</v>
      </c>
      <c r="H1901" s="46">
        <v>15</v>
      </c>
      <c r="I1901" s="51">
        <v>140.63</v>
      </c>
      <c r="J1901" s="281">
        <f>++Tabla4[[#This Row],[Precio Bruto]]*1.16</f>
        <v>163.13079999999999</v>
      </c>
      <c r="K1901" s="281">
        <f>+Tabla4[[#This Row],[Precio Unitario Neto]]*Tabla4[[#Headers],[20.85%]]</f>
        <v>34.012771799999996</v>
      </c>
      <c r="L1901" s="282">
        <f>++Tabla4[[#This Row],[Precio Unitario Neto]]-Tabla4[[#This Row],[20.85%]]</f>
        <v>129.1180282</v>
      </c>
      <c r="M1901" s="282" t="e">
        <f>(INDEX(Tabla6[#All],MATCH(Tabla4[[#This Row],[Producto]],Tabla6[[#All],[PRODUCTO]],0),MATCH(Tabla4[[#This Row],[Mes]],Tabla6[#Headers],0)))*(1+Catalogos!$L$2)</f>
        <v>#N/A</v>
      </c>
      <c r="N1901" s="283" t="e">
        <f>+(Tabla4[[#This Row],[Precio Descontado]]-Tabla4[[#This Row],[Precio Base]])*Tabla4[[#This Row],[Cantidad]]</f>
        <v>#N/A</v>
      </c>
      <c r="O1901" s="284" t="e">
        <f>++Tabla4[[#This Row],[Utilidad Total]]/Tabla4[[#This Row],[Total]]</f>
        <v>#N/A</v>
      </c>
      <c r="P1901" s="282">
        <f>++Tabla4[[#This Row],[Precio Descontado]]*Tabla4[[#This Row],[Cantidad]]</f>
        <v>1936.7704229999999</v>
      </c>
      <c r="Q1901" s="282" t="e">
        <f>(INDEX(Tabla6[#All],MATCH(Tabla4[[#This Row],[Producto]],Tabla6[[#All],[PRODUCTO]],0),MATCH(Tabla4[[#This Row],[Mes]],Tabla6[#Headers],0)))</f>
        <v>#N/A</v>
      </c>
      <c r="R1901" s="282" t="e">
        <f>++Tabla4[[#This Row],[Precio Unitario Neto]]-Tabla4[[#This Row],[20.85%]]-Tabla4[[#This Row],[Costo]]</f>
        <v>#N/A</v>
      </c>
      <c r="S1901" s="282" t="e">
        <f>++Tabla4[[#This Row],[U. Bruta Uni]]*Tabla4[[#This Row],[Cantidad]]</f>
        <v>#N/A</v>
      </c>
      <c r="T1901" s="369" t="str">
        <f>VLOOKUP(Tabla4[[#This Row],[Producto]],Tabla6[#All],14,FALSE)</f>
        <v>Termico Solar</v>
      </c>
      <c r="U1901" s="284" t="e">
        <f>(IF(Tabla4[[#This Row],[Familia]]="termico solar",Tabla4[[#This Row],[Utilidad Total]]*6%,Tabla4[[#This Row],[Utilidad Total]]*11.5%))/Tabla4[[#This Row],[Total]]</f>
        <v>#N/A</v>
      </c>
      <c r="V1901" s="282" t="e">
        <f>+Tabla4[[#This Row],[Comisión Calculada]]*Tabla4[[#This Row],[Total]]</f>
        <v>#N/A</v>
      </c>
    </row>
    <row r="1902" spans="1:22" hidden="1" x14ac:dyDescent="0.25">
      <c r="A1902" s="100">
        <v>45762</v>
      </c>
      <c r="B1902" t="str">
        <f t="shared" si="99"/>
        <v>April</v>
      </c>
      <c r="C1902" s="46" t="s">
        <v>280</v>
      </c>
      <c r="F1902" s="366" t="s">
        <v>1427</v>
      </c>
      <c r="G1902" s="46" t="s">
        <v>17</v>
      </c>
      <c r="H1902" s="46">
        <v>2</v>
      </c>
      <c r="I1902" s="51">
        <v>4622.28</v>
      </c>
      <c r="J1902" s="281">
        <f>++Tabla4[[#This Row],[Precio Bruto]]*1.16</f>
        <v>5361.8447999999989</v>
      </c>
      <c r="K1902" s="281">
        <f>+Tabla4[[#This Row],[Precio Unitario Neto]]*Tabla4[[#Headers],[20.85%]]</f>
        <v>1117.9446407999997</v>
      </c>
      <c r="L1902" s="282">
        <f>++Tabla4[[#This Row],[Precio Unitario Neto]]-Tabla4[[#This Row],[20.85%]]</f>
        <v>4243.9001591999995</v>
      </c>
      <c r="M1902" s="282" t="e">
        <f>(INDEX(Tabla6[#All],MATCH(Tabla4[[#This Row],[Producto]],Tabla6[[#All],[PRODUCTO]],0),MATCH(Tabla4[[#This Row],[Mes]],Tabla6[#Headers],0)))*(1+Catalogos!$L$2)</f>
        <v>#N/A</v>
      </c>
      <c r="N1902" s="283" t="e">
        <f>+(Tabla4[[#This Row],[Precio Descontado]]-Tabla4[[#This Row],[Precio Base]])*Tabla4[[#This Row],[Cantidad]]</f>
        <v>#N/A</v>
      </c>
      <c r="O1902" s="284" t="e">
        <f>++Tabla4[[#This Row],[Utilidad Total]]/Tabla4[[#This Row],[Total]]</f>
        <v>#N/A</v>
      </c>
      <c r="P1902" s="282">
        <f>++Tabla4[[#This Row],[Precio Descontado]]*Tabla4[[#This Row],[Cantidad]]</f>
        <v>8487.800318399999</v>
      </c>
      <c r="Q1902" s="282" t="e">
        <f>(INDEX(Tabla6[#All],MATCH(Tabla4[[#This Row],[Producto]],Tabla6[[#All],[PRODUCTO]],0),MATCH(Tabla4[[#This Row],[Mes]],Tabla6[#Headers],0)))</f>
        <v>#N/A</v>
      </c>
      <c r="R1902" s="282" t="e">
        <f>++Tabla4[[#This Row],[Precio Unitario Neto]]-Tabla4[[#This Row],[20.85%]]-Tabla4[[#This Row],[Costo]]</f>
        <v>#N/A</v>
      </c>
      <c r="S1902" s="282" t="e">
        <f>++Tabla4[[#This Row],[U. Bruta Uni]]*Tabla4[[#This Row],[Cantidad]]</f>
        <v>#N/A</v>
      </c>
      <c r="T1902" s="369" t="str">
        <f>VLOOKUP(Tabla4[[#This Row],[Producto]],Tabla6[#All],14,FALSE)</f>
        <v>Termico Solar</v>
      </c>
      <c r="U1902" s="284" t="e">
        <f>(IF(Tabla4[[#This Row],[Familia]]="termico solar",Tabla4[[#This Row],[Utilidad Total]]*6%,Tabla4[[#This Row],[Utilidad Total]]*11.5%))/Tabla4[[#This Row],[Total]]</f>
        <v>#N/A</v>
      </c>
      <c r="V1902" s="282" t="e">
        <f>+Tabla4[[#This Row],[Comisión Calculada]]*Tabla4[[#This Row],[Total]]</f>
        <v>#N/A</v>
      </c>
    </row>
    <row r="1903" spans="1:22" hidden="1" x14ac:dyDescent="0.25">
      <c r="A1903" s="100">
        <v>45762</v>
      </c>
      <c r="B1903" t="str">
        <f t="shared" si="99"/>
        <v>April</v>
      </c>
      <c r="C1903" s="46" t="s">
        <v>280</v>
      </c>
      <c r="F1903" s="366" t="s">
        <v>1428</v>
      </c>
      <c r="G1903" s="46" t="s">
        <v>83</v>
      </c>
      <c r="H1903" s="46">
        <v>1</v>
      </c>
      <c r="I1903" s="51">
        <v>8858.76</v>
      </c>
      <c r="J1903" s="281">
        <f>++Tabla4[[#This Row],[Precio Bruto]]*1.16</f>
        <v>10276.161599999999</v>
      </c>
      <c r="K1903" s="281">
        <f>+Tabla4[[#This Row],[Precio Unitario Neto]]*Tabla4[[#Headers],[20.85%]]</f>
        <v>2142.5796935999997</v>
      </c>
      <c r="L1903" s="282">
        <f>++Tabla4[[#This Row],[Precio Unitario Neto]]-Tabla4[[#This Row],[20.85%]]</f>
        <v>8133.5819063999998</v>
      </c>
      <c r="M1903" s="282" t="e">
        <f>(INDEX(Tabla6[#All],MATCH(Tabla4[[#This Row],[Producto]],Tabla6[[#All],[PRODUCTO]],0),MATCH(Tabla4[[#This Row],[Mes]],Tabla6[#Headers],0)))*(1+Catalogos!$L$2)</f>
        <v>#N/A</v>
      </c>
      <c r="N1903" s="283" t="e">
        <f>+(Tabla4[[#This Row],[Precio Descontado]]-Tabla4[[#This Row],[Precio Base]])*Tabla4[[#This Row],[Cantidad]]</f>
        <v>#N/A</v>
      </c>
      <c r="O1903" s="284" t="e">
        <f>++Tabla4[[#This Row],[Utilidad Total]]/Tabla4[[#This Row],[Total]]</f>
        <v>#N/A</v>
      </c>
      <c r="P1903" s="282">
        <f>++Tabla4[[#This Row],[Precio Descontado]]*Tabla4[[#This Row],[Cantidad]]</f>
        <v>8133.5819063999998</v>
      </c>
      <c r="Q1903" s="282" t="e">
        <f>(INDEX(Tabla6[#All],MATCH(Tabla4[[#This Row],[Producto]],Tabla6[[#All],[PRODUCTO]],0),MATCH(Tabla4[[#This Row],[Mes]],Tabla6[#Headers],0)))</f>
        <v>#N/A</v>
      </c>
      <c r="R1903" s="282" t="e">
        <f>++Tabla4[[#This Row],[Precio Unitario Neto]]-Tabla4[[#This Row],[20.85%]]-Tabla4[[#This Row],[Costo]]</f>
        <v>#N/A</v>
      </c>
      <c r="S1903" s="282" t="e">
        <f>++Tabla4[[#This Row],[U. Bruta Uni]]*Tabla4[[#This Row],[Cantidad]]</f>
        <v>#N/A</v>
      </c>
      <c r="T1903" s="369" t="str">
        <f>VLOOKUP(Tabla4[[#This Row],[Producto]],Tabla6[#All],14,FALSE)</f>
        <v>Termico Solar</v>
      </c>
      <c r="U1903" s="284" t="e">
        <f>(IF(Tabla4[[#This Row],[Familia]]="termico solar",Tabla4[[#This Row],[Utilidad Total]]*6%,Tabla4[[#This Row],[Utilidad Total]]*11.5%))/Tabla4[[#This Row],[Total]]</f>
        <v>#N/A</v>
      </c>
      <c r="V1903" s="282" t="e">
        <f>+Tabla4[[#This Row],[Comisión Calculada]]*Tabla4[[#This Row],[Total]]</f>
        <v>#N/A</v>
      </c>
    </row>
    <row r="1904" spans="1:22" hidden="1" x14ac:dyDescent="0.25">
      <c r="A1904" s="100">
        <v>45762</v>
      </c>
      <c r="B1904" t="str">
        <f t="shared" si="99"/>
        <v>April</v>
      </c>
      <c r="C1904" s="46" t="s">
        <v>280</v>
      </c>
      <c r="F1904" s="366" t="s">
        <v>1428</v>
      </c>
      <c r="G1904" s="46" t="s">
        <v>18</v>
      </c>
      <c r="H1904" s="46">
        <v>8</v>
      </c>
      <c r="I1904" s="51">
        <v>5367.65</v>
      </c>
      <c r="J1904" s="281">
        <f>++Tabla4[[#This Row],[Precio Bruto]]*1.16</f>
        <v>6226.4739999999993</v>
      </c>
      <c r="K1904" s="281">
        <f>+Tabla4[[#This Row],[Precio Unitario Neto]]*Tabla4[[#Headers],[20.85%]]</f>
        <v>1298.2198289999999</v>
      </c>
      <c r="L1904" s="282">
        <f>++Tabla4[[#This Row],[Precio Unitario Neto]]-Tabla4[[#This Row],[20.85%]]</f>
        <v>4928.2541709999996</v>
      </c>
      <c r="M1904" s="282" t="e">
        <f>(INDEX(Tabla6[#All],MATCH(Tabla4[[#This Row],[Producto]],Tabla6[[#All],[PRODUCTO]],0),MATCH(Tabla4[[#This Row],[Mes]],Tabla6[#Headers],0)))*(1+Catalogos!$L$2)</f>
        <v>#N/A</v>
      </c>
      <c r="N1904" s="283" t="e">
        <f>+(Tabla4[[#This Row],[Precio Descontado]]-Tabla4[[#This Row],[Precio Base]])*Tabla4[[#This Row],[Cantidad]]</f>
        <v>#N/A</v>
      </c>
      <c r="O1904" s="284" t="e">
        <f>++Tabla4[[#This Row],[Utilidad Total]]/Tabla4[[#This Row],[Total]]</f>
        <v>#N/A</v>
      </c>
      <c r="P1904" s="282">
        <f>++Tabla4[[#This Row],[Precio Descontado]]*Tabla4[[#This Row],[Cantidad]]</f>
        <v>39426.033367999997</v>
      </c>
      <c r="Q1904" s="282" t="e">
        <f>(INDEX(Tabla6[#All],MATCH(Tabla4[[#This Row],[Producto]],Tabla6[[#All],[PRODUCTO]],0),MATCH(Tabla4[[#This Row],[Mes]],Tabla6[#Headers],0)))</f>
        <v>#N/A</v>
      </c>
      <c r="R1904" s="282" t="e">
        <f>++Tabla4[[#This Row],[Precio Unitario Neto]]-Tabla4[[#This Row],[20.85%]]-Tabla4[[#This Row],[Costo]]</f>
        <v>#N/A</v>
      </c>
      <c r="S1904" s="282" t="e">
        <f>++Tabla4[[#This Row],[U. Bruta Uni]]*Tabla4[[#This Row],[Cantidad]]</f>
        <v>#N/A</v>
      </c>
      <c r="T1904" s="369" t="str">
        <f>VLOOKUP(Tabla4[[#This Row],[Producto]],Tabla6[#All],14,FALSE)</f>
        <v>Termico Solar</v>
      </c>
      <c r="U1904" s="284" t="e">
        <f>(IF(Tabla4[[#This Row],[Familia]]="termico solar",Tabla4[[#This Row],[Utilidad Total]]*6%,Tabla4[[#This Row],[Utilidad Total]]*11.5%))/Tabla4[[#This Row],[Total]]</f>
        <v>#N/A</v>
      </c>
      <c r="V1904" s="282" t="e">
        <f>+Tabla4[[#This Row],[Comisión Calculada]]*Tabla4[[#This Row],[Total]]</f>
        <v>#N/A</v>
      </c>
    </row>
    <row r="1905" spans="1:22" hidden="1" x14ac:dyDescent="0.25">
      <c r="A1905" s="100">
        <v>45762</v>
      </c>
      <c r="B1905" t="str">
        <f t="shared" si="99"/>
        <v>April</v>
      </c>
      <c r="C1905" s="46" t="s">
        <v>280</v>
      </c>
      <c r="F1905" s="366" t="s">
        <v>1429</v>
      </c>
      <c r="G1905" s="46" t="s">
        <v>17</v>
      </c>
      <c r="H1905" s="46">
        <v>1</v>
      </c>
      <c r="I1905" s="51">
        <v>4622.28</v>
      </c>
      <c r="J1905" s="281">
        <f>++Tabla4[[#This Row],[Precio Bruto]]*1.16</f>
        <v>5361.8447999999989</v>
      </c>
      <c r="K1905" s="281">
        <f>+Tabla4[[#This Row],[Precio Unitario Neto]]*Tabla4[[#Headers],[20.85%]]</f>
        <v>1117.9446407999997</v>
      </c>
      <c r="L1905" s="282">
        <f>++Tabla4[[#This Row],[Precio Unitario Neto]]-Tabla4[[#This Row],[20.85%]]</f>
        <v>4243.9001591999995</v>
      </c>
      <c r="M1905" s="282" t="e">
        <f>(INDEX(Tabla6[#All],MATCH(Tabla4[[#This Row],[Producto]],Tabla6[[#All],[PRODUCTO]],0),MATCH(Tabla4[[#This Row],[Mes]],Tabla6[#Headers],0)))*(1+Catalogos!$L$2)</f>
        <v>#N/A</v>
      </c>
      <c r="N1905" s="283" t="e">
        <f>+(Tabla4[[#This Row],[Precio Descontado]]-Tabla4[[#This Row],[Precio Base]])*Tabla4[[#This Row],[Cantidad]]</f>
        <v>#N/A</v>
      </c>
      <c r="O1905" s="284" t="e">
        <f>++Tabla4[[#This Row],[Utilidad Total]]/Tabla4[[#This Row],[Total]]</f>
        <v>#N/A</v>
      </c>
      <c r="P1905" s="282">
        <f>++Tabla4[[#This Row],[Precio Descontado]]*Tabla4[[#This Row],[Cantidad]]</f>
        <v>4243.9001591999995</v>
      </c>
      <c r="Q1905" s="282" t="e">
        <f>(INDEX(Tabla6[#All],MATCH(Tabla4[[#This Row],[Producto]],Tabla6[[#All],[PRODUCTO]],0),MATCH(Tabla4[[#This Row],[Mes]],Tabla6[#Headers],0)))</f>
        <v>#N/A</v>
      </c>
      <c r="R1905" s="282" t="e">
        <f>++Tabla4[[#This Row],[Precio Unitario Neto]]-Tabla4[[#This Row],[20.85%]]-Tabla4[[#This Row],[Costo]]</f>
        <v>#N/A</v>
      </c>
      <c r="S1905" s="282" t="e">
        <f>++Tabla4[[#This Row],[U. Bruta Uni]]*Tabla4[[#This Row],[Cantidad]]</f>
        <v>#N/A</v>
      </c>
      <c r="T1905" s="369" t="str">
        <f>VLOOKUP(Tabla4[[#This Row],[Producto]],Tabla6[#All],14,FALSE)</f>
        <v>Termico Solar</v>
      </c>
      <c r="U1905" s="284" t="e">
        <f>(IF(Tabla4[[#This Row],[Familia]]="termico solar",Tabla4[[#This Row],[Utilidad Total]]*6%,Tabla4[[#This Row],[Utilidad Total]]*11.5%))/Tabla4[[#This Row],[Total]]</f>
        <v>#N/A</v>
      </c>
      <c r="V1905" s="282" t="e">
        <f>+Tabla4[[#This Row],[Comisión Calculada]]*Tabla4[[#This Row],[Total]]</f>
        <v>#N/A</v>
      </c>
    </row>
    <row r="1906" spans="1:22" hidden="1" x14ac:dyDescent="0.25">
      <c r="A1906" s="100">
        <v>45762</v>
      </c>
      <c r="B1906" t="str">
        <f t="shared" si="99"/>
        <v>April</v>
      </c>
      <c r="C1906" s="46" t="s">
        <v>280</v>
      </c>
      <c r="F1906" s="366" t="s">
        <v>1430</v>
      </c>
      <c r="G1906" s="46" t="s">
        <v>208</v>
      </c>
      <c r="H1906" s="46">
        <v>3</v>
      </c>
      <c r="I1906" s="51">
        <v>189.75</v>
      </c>
      <c r="J1906" s="281">
        <f>++Tabla4[[#This Row],[Precio Bruto]]*1.16</f>
        <v>220.10999999999999</v>
      </c>
      <c r="K1906" s="281">
        <f>+Tabla4[[#This Row],[Precio Unitario Neto]]*Tabla4[[#Headers],[20.85%]]</f>
        <v>45.892934999999994</v>
      </c>
      <c r="L1906" s="282">
        <f>++Tabla4[[#This Row],[Precio Unitario Neto]]-Tabla4[[#This Row],[20.85%]]</f>
        <v>174.21706499999999</v>
      </c>
      <c r="M1906" s="282" t="e">
        <f>(INDEX(Tabla6[#All],MATCH(Tabla4[[#This Row],[Producto]],Tabla6[[#All],[PRODUCTO]],0),MATCH(Tabla4[[#This Row],[Mes]],Tabla6[#Headers],0)))*(1+Catalogos!$L$2)</f>
        <v>#N/A</v>
      </c>
      <c r="N1906" s="283" t="e">
        <f>+(Tabla4[[#This Row],[Precio Descontado]]-Tabla4[[#This Row],[Precio Base]])*Tabla4[[#This Row],[Cantidad]]</f>
        <v>#N/A</v>
      </c>
      <c r="O1906" s="284" t="e">
        <f>++Tabla4[[#This Row],[Utilidad Total]]/Tabla4[[#This Row],[Total]]</f>
        <v>#N/A</v>
      </c>
      <c r="P1906" s="282">
        <f>++Tabla4[[#This Row],[Precio Descontado]]*Tabla4[[#This Row],[Cantidad]]</f>
        <v>522.65119499999992</v>
      </c>
      <c r="Q1906" s="282" t="e">
        <f>(INDEX(Tabla6[#All],MATCH(Tabla4[[#This Row],[Producto]],Tabla6[[#All],[PRODUCTO]],0),MATCH(Tabla4[[#This Row],[Mes]],Tabla6[#Headers],0)))</f>
        <v>#N/A</v>
      </c>
      <c r="R1906" s="282" t="e">
        <f>++Tabla4[[#This Row],[Precio Unitario Neto]]-Tabla4[[#This Row],[20.85%]]-Tabla4[[#This Row],[Costo]]</f>
        <v>#N/A</v>
      </c>
      <c r="S1906" s="282" t="e">
        <f>++Tabla4[[#This Row],[U. Bruta Uni]]*Tabla4[[#This Row],[Cantidad]]</f>
        <v>#N/A</v>
      </c>
      <c r="T1906" s="369" t="str">
        <f>VLOOKUP(Tabla4[[#This Row],[Producto]],Tabla6[#All],14,FALSE)</f>
        <v>Termico Solar</v>
      </c>
      <c r="U1906" s="284" t="e">
        <f>(IF(Tabla4[[#This Row],[Familia]]="termico solar",Tabla4[[#This Row],[Utilidad Total]]*6%,Tabla4[[#This Row],[Utilidad Total]]*11.5%))/Tabla4[[#This Row],[Total]]</f>
        <v>#N/A</v>
      </c>
      <c r="V1906" s="282" t="e">
        <f>+Tabla4[[#This Row],[Comisión Calculada]]*Tabla4[[#This Row],[Total]]</f>
        <v>#N/A</v>
      </c>
    </row>
    <row r="1907" spans="1:22" hidden="1" x14ac:dyDescent="0.25">
      <c r="A1907" s="100">
        <v>45762</v>
      </c>
      <c r="B1907" t="str">
        <f t="shared" si="99"/>
        <v>April</v>
      </c>
      <c r="C1907" s="46" t="s">
        <v>280</v>
      </c>
      <c r="F1907" s="366" t="s">
        <v>1431</v>
      </c>
      <c r="G1907" s="46" t="s">
        <v>17</v>
      </c>
      <c r="H1907" s="46">
        <v>1</v>
      </c>
      <c r="I1907" s="51">
        <v>4622.28</v>
      </c>
      <c r="J1907" s="281">
        <f>++Tabla4[[#This Row],[Precio Bruto]]*1.16</f>
        <v>5361.8447999999989</v>
      </c>
      <c r="K1907" s="281">
        <f>+Tabla4[[#This Row],[Precio Unitario Neto]]*Tabla4[[#Headers],[20.85%]]</f>
        <v>1117.9446407999997</v>
      </c>
      <c r="L1907" s="282">
        <f>++Tabla4[[#This Row],[Precio Unitario Neto]]-Tabla4[[#This Row],[20.85%]]</f>
        <v>4243.9001591999995</v>
      </c>
      <c r="M1907" s="282" t="e">
        <f>(INDEX(Tabla6[#All],MATCH(Tabla4[[#This Row],[Producto]],Tabla6[[#All],[PRODUCTO]],0),MATCH(Tabla4[[#This Row],[Mes]],Tabla6[#Headers],0)))*(1+Catalogos!$L$2)</f>
        <v>#N/A</v>
      </c>
      <c r="N1907" s="283" t="e">
        <f>+(Tabla4[[#This Row],[Precio Descontado]]-Tabla4[[#This Row],[Precio Base]])*Tabla4[[#This Row],[Cantidad]]</f>
        <v>#N/A</v>
      </c>
      <c r="O1907" s="284" t="e">
        <f>++Tabla4[[#This Row],[Utilidad Total]]/Tabla4[[#This Row],[Total]]</f>
        <v>#N/A</v>
      </c>
      <c r="P1907" s="282">
        <f>++Tabla4[[#This Row],[Precio Descontado]]*Tabla4[[#This Row],[Cantidad]]</f>
        <v>4243.9001591999995</v>
      </c>
      <c r="Q1907" s="282" t="e">
        <f>(INDEX(Tabla6[#All],MATCH(Tabla4[[#This Row],[Producto]],Tabla6[[#All],[PRODUCTO]],0),MATCH(Tabla4[[#This Row],[Mes]],Tabla6[#Headers],0)))</f>
        <v>#N/A</v>
      </c>
      <c r="R1907" s="282" t="e">
        <f>++Tabla4[[#This Row],[Precio Unitario Neto]]-Tabla4[[#This Row],[20.85%]]-Tabla4[[#This Row],[Costo]]</f>
        <v>#N/A</v>
      </c>
      <c r="S1907" s="282" t="e">
        <f>++Tabla4[[#This Row],[U. Bruta Uni]]*Tabla4[[#This Row],[Cantidad]]</f>
        <v>#N/A</v>
      </c>
      <c r="T1907" s="369" t="str">
        <f>VLOOKUP(Tabla4[[#This Row],[Producto]],Tabla6[#All],14,FALSE)</f>
        <v>Termico Solar</v>
      </c>
      <c r="U1907" s="284" t="e">
        <f>(IF(Tabla4[[#This Row],[Familia]]="termico solar",Tabla4[[#This Row],[Utilidad Total]]*6%,Tabla4[[#This Row],[Utilidad Total]]*11.5%))/Tabla4[[#This Row],[Total]]</f>
        <v>#N/A</v>
      </c>
      <c r="V1907" s="282" t="e">
        <f>+Tabla4[[#This Row],[Comisión Calculada]]*Tabla4[[#This Row],[Total]]</f>
        <v>#N/A</v>
      </c>
    </row>
    <row r="1908" spans="1:22" hidden="1" x14ac:dyDescent="0.25">
      <c r="A1908" s="100">
        <v>45762</v>
      </c>
      <c r="B1908" t="str">
        <f t="shared" si="99"/>
        <v>April</v>
      </c>
      <c r="C1908" s="46" t="s">
        <v>280</v>
      </c>
      <c r="F1908" s="366" t="s">
        <v>1431</v>
      </c>
      <c r="G1908" s="46" t="s">
        <v>18</v>
      </c>
      <c r="H1908" s="46">
        <v>1</v>
      </c>
      <c r="I1908" s="51">
        <v>5367.65</v>
      </c>
      <c r="J1908" s="281">
        <f>++Tabla4[[#This Row],[Precio Bruto]]*1.16</f>
        <v>6226.4739999999993</v>
      </c>
      <c r="K1908" s="281">
        <f>+Tabla4[[#This Row],[Precio Unitario Neto]]*Tabla4[[#Headers],[20.85%]]</f>
        <v>1298.2198289999999</v>
      </c>
      <c r="L1908" s="282">
        <f>++Tabla4[[#This Row],[Precio Unitario Neto]]-Tabla4[[#This Row],[20.85%]]</f>
        <v>4928.2541709999996</v>
      </c>
      <c r="M1908" s="282" t="e">
        <f>(INDEX(Tabla6[#All],MATCH(Tabla4[[#This Row],[Producto]],Tabla6[[#All],[PRODUCTO]],0),MATCH(Tabla4[[#This Row],[Mes]],Tabla6[#Headers],0)))*(1+Catalogos!$L$2)</f>
        <v>#N/A</v>
      </c>
      <c r="N1908" s="283" t="e">
        <f>+(Tabla4[[#This Row],[Precio Descontado]]-Tabla4[[#This Row],[Precio Base]])*Tabla4[[#This Row],[Cantidad]]</f>
        <v>#N/A</v>
      </c>
      <c r="O1908" s="284" t="e">
        <f>++Tabla4[[#This Row],[Utilidad Total]]/Tabla4[[#This Row],[Total]]</f>
        <v>#N/A</v>
      </c>
      <c r="P1908" s="282">
        <f>++Tabla4[[#This Row],[Precio Descontado]]*Tabla4[[#This Row],[Cantidad]]</f>
        <v>4928.2541709999996</v>
      </c>
      <c r="Q1908" s="282" t="e">
        <f>(INDEX(Tabla6[#All],MATCH(Tabla4[[#This Row],[Producto]],Tabla6[[#All],[PRODUCTO]],0),MATCH(Tabla4[[#This Row],[Mes]],Tabla6[#Headers],0)))</f>
        <v>#N/A</v>
      </c>
      <c r="R1908" s="282" t="e">
        <f>++Tabla4[[#This Row],[Precio Unitario Neto]]-Tabla4[[#This Row],[20.85%]]-Tabla4[[#This Row],[Costo]]</f>
        <v>#N/A</v>
      </c>
      <c r="S1908" s="282" t="e">
        <f>++Tabla4[[#This Row],[U. Bruta Uni]]*Tabla4[[#This Row],[Cantidad]]</f>
        <v>#N/A</v>
      </c>
      <c r="T1908" s="369" t="str">
        <f>VLOOKUP(Tabla4[[#This Row],[Producto]],Tabla6[#All],14,FALSE)</f>
        <v>Termico Solar</v>
      </c>
      <c r="U1908" s="284" t="e">
        <f>(IF(Tabla4[[#This Row],[Familia]]="termico solar",Tabla4[[#This Row],[Utilidad Total]]*6%,Tabla4[[#This Row],[Utilidad Total]]*11.5%))/Tabla4[[#This Row],[Total]]</f>
        <v>#N/A</v>
      </c>
      <c r="V1908" s="282" t="e">
        <f>+Tabla4[[#This Row],[Comisión Calculada]]*Tabla4[[#This Row],[Total]]</f>
        <v>#N/A</v>
      </c>
    </row>
    <row r="1909" spans="1:22" hidden="1" x14ac:dyDescent="0.25">
      <c r="A1909" s="100">
        <v>45762</v>
      </c>
      <c r="B1909" t="str">
        <f t="shared" si="99"/>
        <v>April</v>
      </c>
      <c r="C1909" s="46" t="s">
        <v>280</v>
      </c>
      <c r="F1909" s="366" t="s">
        <v>1431</v>
      </c>
      <c r="G1909" s="46" t="s">
        <v>394</v>
      </c>
      <c r="H1909" s="46">
        <v>9</v>
      </c>
      <c r="I1909" s="51">
        <v>108.1</v>
      </c>
      <c r="J1909" s="281">
        <f>++Tabla4[[#This Row],[Precio Bruto]]*1.16</f>
        <v>125.39599999999999</v>
      </c>
      <c r="K1909" s="281">
        <f>+Tabla4[[#This Row],[Precio Unitario Neto]]*Tabla4[[#Headers],[20.85%]]</f>
        <v>26.145065999999996</v>
      </c>
      <c r="L1909" s="282">
        <f>++Tabla4[[#This Row],[Precio Unitario Neto]]-Tabla4[[#This Row],[20.85%]]</f>
        <v>99.250933999999987</v>
      </c>
      <c r="M1909" s="282" t="e">
        <f>(INDEX(Tabla6[#All],MATCH(Tabla4[[#This Row],[Producto]],Tabla6[[#All],[PRODUCTO]],0),MATCH(Tabla4[[#This Row],[Mes]],Tabla6[#Headers],0)))*(1+Catalogos!$L$2)</f>
        <v>#N/A</v>
      </c>
      <c r="N1909" s="283" t="e">
        <f>+(Tabla4[[#This Row],[Precio Descontado]]-Tabla4[[#This Row],[Precio Base]])*Tabla4[[#This Row],[Cantidad]]</f>
        <v>#N/A</v>
      </c>
      <c r="O1909" s="284" t="e">
        <f>++Tabla4[[#This Row],[Utilidad Total]]/Tabla4[[#This Row],[Total]]</f>
        <v>#N/A</v>
      </c>
      <c r="P1909" s="282">
        <f>++Tabla4[[#This Row],[Precio Descontado]]*Tabla4[[#This Row],[Cantidad]]</f>
        <v>893.25840599999992</v>
      </c>
      <c r="Q1909" s="282" t="e">
        <f>(INDEX(Tabla6[#All],MATCH(Tabla4[[#This Row],[Producto]],Tabla6[[#All],[PRODUCTO]],0),MATCH(Tabla4[[#This Row],[Mes]],Tabla6[#Headers],0)))</f>
        <v>#N/A</v>
      </c>
      <c r="R1909" s="282" t="e">
        <f>++Tabla4[[#This Row],[Precio Unitario Neto]]-Tabla4[[#This Row],[20.85%]]-Tabla4[[#This Row],[Costo]]</f>
        <v>#N/A</v>
      </c>
      <c r="S1909" s="282" t="e">
        <f>++Tabla4[[#This Row],[U. Bruta Uni]]*Tabla4[[#This Row],[Cantidad]]</f>
        <v>#N/A</v>
      </c>
      <c r="T1909" s="369" t="str">
        <f>VLOOKUP(Tabla4[[#This Row],[Producto]],Tabla6[#All],14,FALSE)</f>
        <v>Termico Solar</v>
      </c>
      <c r="U1909" s="284" t="e">
        <f>(IF(Tabla4[[#This Row],[Familia]]="termico solar",Tabla4[[#This Row],[Utilidad Total]]*6%,Tabla4[[#This Row],[Utilidad Total]]*11.5%))/Tabla4[[#This Row],[Total]]</f>
        <v>#N/A</v>
      </c>
      <c r="V1909" s="282" t="e">
        <f>+Tabla4[[#This Row],[Comisión Calculada]]*Tabla4[[#This Row],[Total]]</f>
        <v>#N/A</v>
      </c>
    </row>
    <row r="1910" spans="1:22" hidden="1" x14ac:dyDescent="0.25">
      <c r="A1910" s="100">
        <v>45762</v>
      </c>
      <c r="B1910" t="str">
        <f t="shared" si="99"/>
        <v>April</v>
      </c>
      <c r="C1910" s="46" t="s">
        <v>280</v>
      </c>
      <c r="F1910" s="366" t="s">
        <v>1431</v>
      </c>
      <c r="G1910" s="46" t="s">
        <v>209</v>
      </c>
      <c r="H1910" s="46">
        <v>2</v>
      </c>
      <c r="I1910" s="51">
        <v>347.48</v>
      </c>
      <c r="J1910" s="281">
        <f>++Tabla4[[#This Row],[Precio Bruto]]*1.16</f>
        <v>403.07679999999999</v>
      </c>
      <c r="K1910" s="281">
        <f>+Tabla4[[#This Row],[Precio Unitario Neto]]*Tabla4[[#Headers],[20.85%]]</f>
        <v>84.041512799999992</v>
      </c>
      <c r="L1910" s="282">
        <f>++Tabla4[[#This Row],[Precio Unitario Neto]]-Tabla4[[#This Row],[20.85%]]</f>
        <v>319.03528719999997</v>
      </c>
      <c r="M1910" s="282" t="e">
        <f>(INDEX(Tabla6[#All],MATCH(Tabla4[[#This Row],[Producto]],Tabla6[[#All],[PRODUCTO]],0),MATCH(Tabla4[[#This Row],[Mes]],Tabla6[#Headers],0)))*(1+Catalogos!$L$2)</f>
        <v>#N/A</v>
      </c>
      <c r="N1910" s="283" t="e">
        <f>+(Tabla4[[#This Row],[Precio Descontado]]-Tabla4[[#This Row],[Precio Base]])*Tabla4[[#This Row],[Cantidad]]</f>
        <v>#N/A</v>
      </c>
      <c r="O1910" s="284" t="e">
        <f>++Tabla4[[#This Row],[Utilidad Total]]/Tabla4[[#This Row],[Total]]</f>
        <v>#N/A</v>
      </c>
      <c r="P1910" s="282">
        <f>++Tabla4[[#This Row],[Precio Descontado]]*Tabla4[[#This Row],[Cantidad]]</f>
        <v>638.07057439999994</v>
      </c>
      <c r="Q1910" s="282" t="e">
        <f>(INDEX(Tabla6[#All],MATCH(Tabla4[[#This Row],[Producto]],Tabla6[[#All],[PRODUCTO]],0),MATCH(Tabla4[[#This Row],[Mes]],Tabla6[#Headers],0)))</f>
        <v>#N/A</v>
      </c>
      <c r="R1910" s="282" t="e">
        <f>++Tabla4[[#This Row],[Precio Unitario Neto]]-Tabla4[[#This Row],[20.85%]]-Tabla4[[#This Row],[Costo]]</f>
        <v>#N/A</v>
      </c>
      <c r="S1910" s="282" t="e">
        <f>++Tabla4[[#This Row],[U. Bruta Uni]]*Tabla4[[#This Row],[Cantidad]]</f>
        <v>#N/A</v>
      </c>
      <c r="T1910" s="369" t="str">
        <f>VLOOKUP(Tabla4[[#This Row],[Producto]],Tabla6[#All],14,FALSE)</f>
        <v>Termico Solar</v>
      </c>
      <c r="U1910" s="284" t="e">
        <f>(IF(Tabla4[[#This Row],[Familia]]="termico solar",Tabla4[[#This Row],[Utilidad Total]]*6%,Tabla4[[#This Row],[Utilidad Total]]*11.5%))/Tabla4[[#This Row],[Total]]</f>
        <v>#N/A</v>
      </c>
      <c r="V1910" s="282" t="e">
        <f>+Tabla4[[#This Row],[Comisión Calculada]]*Tabla4[[#This Row],[Total]]</f>
        <v>#N/A</v>
      </c>
    </row>
    <row r="1911" spans="1:22" hidden="1" x14ac:dyDescent="0.25">
      <c r="A1911" s="100">
        <v>45762</v>
      </c>
      <c r="B1911" t="str">
        <f t="shared" si="99"/>
        <v>April</v>
      </c>
      <c r="C1911" s="46" t="s">
        <v>280</v>
      </c>
      <c r="F1911" s="366" t="s">
        <v>1432</v>
      </c>
      <c r="G1911" s="46" t="s">
        <v>17</v>
      </c>
      <c r="H1911" s="46">
        <v>1</v>
      </c>
      <c r="I1911" s="51">
        <v>4622.28</v>
      </c>
      <c r="J1911" s="281">
        <f>++Tabla4[[#This Row],[Precio Bruto]]*1.16</f>
        <v>5361.8447999999989</v>
      </c>
      <c r="K1911" s="281">
        <f>+Tabla4[[#This Row],[Precio Unitario Neto]]*Tabla4[[#Headers],[20.85%]]</f>
        <v>1117.9446407999997</v>
      </c>
      <c r="L1911" s="282">
        <f>++Tabla4[[#This Row],[Precio Unitario Neto]]-Tabla4[[#This Row],[20.85%]]</f>
        <v>4243.9001591999995</v>
      </c>
      <c r="M1911" s="282" t="e">
        <f>(INDEX(Tabla6[#All],MATCH(Tabla4[[#This Row],[Producto]],Tabla6[[#All],[PRODUCTO]],0),MATCH(Tabla4[[#This Row],[Mes]],Tabla6[#Headers],0)))*(1+Catalogos!$L$2)</f>
        <v>#N/A</v>
      </c>
      <c r="N1911" s="283" t="e">
        <f>+(Tabla4[[#This Row],[Precio Descontado]]-Tabla4[[#This Row],[Precio Base]])*Tabla4[[#This Row],[Cantidad]]</f>
        <v>#N/A</v>
      </c>
      <c r="O1911" s="284" t="e">
        <f>++Tabla4[[#This Row],[Utilidad Total]]/Tabla4[[#This Row],[Total]]</f>
        <v>#N/A</v>
      </c>
      <c r="P1911" s="282">
        <f>++Tabla4[[#This Row],[Precio Descontado]]*Tabla4[[#This Row],[Cantidad]]</f>
        <v>4243.9001591999995</v>
      </c>
      <c r="Q1911" s="282" t="e">
        <f>(INDEX(Tabla6[#All],MATCH(Tabla4[[#This Row],[Producto]],Tabla6[[#All],[PRODUCTO]],0),MATCH(Tabla4[[#This Row],[Mes]],Tabla6[#Headers],0)))</f>
        <v>#N/A</v>
      </c>
      <c r="R1911" s="282" t="e">
        <f>++Tabla4[[#This Row],[Precio Unitario Neto]]-Tabla4[[#This Row],[20.85%]]-Tabla4[[#This Row],[Costo]]</f>
        <v>#N/A</v>
      </c>
      <c r="S1911" s="282" t="e">
        <f>++Tabla4[[#This Row],[U. Bruta Uni]]*Tabla4[[#This Row],[Cantidad]]</f>
        <v>#N/A</v>
      </c>
      <c r="T1911" s="369" t="str">
        <f>VLOOKUP(Tabla4[[#This Row],[Producto]],Tabla6[#All],14,FALSE)</f>
        <v>Termico Solar</v>
      </c>
      <c r="U1911" s="284" t="e">
        <f>(IF(Tabla4[[#This Row],[Familia]]="termico solar",Tabla4[[#This Row],[Utilidad Total]]*6%,Tabla4[[#This Row],[Utilidad Total]]*11.5%))/Tabla4[[#This Row],[Total]]</f>
        <v>#N/A</v>
      </c>
      <c r="V1911" s="282" t="e">
        <f>+Tabla4[[#This Row],[Comisión Calculada]]*Tabla4[[#This Row],[Total]]</f>
        <v>#N/A</v>
      </c>
    </row>
    <row r="1912" spans="1:22" hidden="1" x14ac:dyDescent="0.25">
      <c r="A1912" s="100">
        <v>45762</v>
      </c>
      <c r="B1912" t="str">
        <f t="shared" si="99"/>
        <v>April</v>
      </c>
      <c r="C1912" s="46" t="s">
        <v>280</v>
      </c>
      <c r="F1912" s="366" t="s">
        <v>1433</v>
      </c>
      <c r="G1912" s="46" t="s">
        <v>83</v>
      </c>
      <c r="H1912" s="46">
        <v>1</v>
      </c>
      <c r="I1912" s="51">
        <v>8858.76</v>
      </c>
      <c r="J1912" s="281">
        <f>++Tabla4[[#This Row],[Precio Bruto]]*1.16</f>
        <v>10276.161599999999</v>
      </c>
      <c r="K1912" s="281">
        <f>+Tabla4[[#This Row],[Precio Unitario Neto]]*Tabla4[[#Headers],[20.85%]]</f>
        <v>2142.5796935999997</v>
      </c>
      <c r="L1912" s="282">
        <f>++Tabla4[[#This Row],[Precio Unitario Neto]]-Tabla4[[#This Row],[20.85%]]</f>
        <v>8133.5819063999998</v>
      </c>
      <c r="M1912" s="282" t="e">
        <f>(INDEX(Tabla6[#All],MATCH(Tabla4[[#This Row],[Producto]],Tabla6[[#All],[PRODUCTO]],0),MATCH(Tabla4[[#This Row],[Mes]],Tabla6[#Headers],0)))*(1+Catalogos!$L$2)</f>
        <v>#N/A</v>
      </c>
      <c r="N1912" s="283" t="e">
        <f>+(Tabla4[[#This Row],[Precio Descontado]]-Tabla4[[#This Row],[Precio Base]])*Tabla4[[#This Row],[Cantidad]]</f>
        <v>#N/A</v>
      </c>
      <c r="O1912" s="284" t="e">
        <f>++Tabla4[[#This Row],[Utilidad Total]]/Tabla4[[#This Row],[Total]]</f>
        <v>#N/A</v>
      </c>
      <c r="P1912" s="282">
        <f>++Tabla4[[#This Row],[Precio Descontado]]*Tabla4[[#This Row],[Cantidad]]</f>
        <v>8133.5819063999998</v>
      </c>
      <c r="Q1912" s="282" t="e">
        <f>(INDEX(Tabla6[#All],MATCH(Tabla4[[#This Row],[Producto]],Tabla6[[#All],[PRODUCTO]],0),MATCH(Tabla4[[#This Row],[Mes]],Tabla6[#Headers],0)))</f>
        <v>#N/A</v>
      </c>
      <c r="R1912" s="282" t="e">
        <f>++Tabla4[[#This Row],[Precio Unitario Neto]]-Tabla4[[#This Row],[20.85%]]-Tabla4[[#This Row],[Costo]]</f>
        <v>#N/A</v>
      </c>
      <c r="S1912" s="282" t="e">
        <f>++Tabla4[[#This Row],[U. Bruta Uni]]*Tabla4[[#This Row],[Cantidad]]</f>
        <v>#N/A</v>
      </c>
      <c r="T1912" s="369" t="str">
        <f>VLOOKUP(Tabla4[[#This Row],[Producto]],Tabla6[#All],14,FALSE)</f>
        <v>Termico Solar</v>
      </c>
      <c r="U1912" s="284" t="e">
        <f>(IF(Tabla4[[#This Row],[Familia]]="termico solar",Tabla4[[#This Row],[Utilidad Total]]*6%,Tabla4[[#This Row],[Utilidad Total]]*11.5%))/Tabla4[[#This Row],[Total]]</f>
        <v>#N/A</v>
      </c>
      <c r="V1912" s="282" t="e">
        <f>+Tabla4[[#This Row],[Comisión Calculada]]*Tabla4[[#This Row],[Total]]</f>
        <v>#N/A</v>
      </c>
    </row>
    <row r="1913" spans="1:22" hidden="1" x14ac:dyDescent="0.25">
      <c r="A1913" s="100">
        <v>45762</v>
      </c>
      <c r="B1913" t="str">
        <f t="shared" si="99"/>
        <v>April</v>
      </c>
      <c r="C1913" s="46" t="s">
        <v>280</v>
      </c>
      <c r="F1913" s="366" t="s">
        <v>1433</v>
      </c>
      <c r="G1913" s="46" t="s">
        <v>17</v>
      </c>
      <c r="H1913" s="46">
        <v>3</v>
      </c>
      <c r="I1913" s="51">
        <v>4622.28</v>
      </c>
      <c r="J1913" s="281">
        <f>++Tabla4[[#This Row],[Precio Bruto]]*1.16</f>
        <v>5361.8447999999989</v>
      </c>
      <c r="K1913" s="281">
        <f>+Tabla4[[#This Row],[Precio Unitario Neto]]*Tabla4[[#Headers],[20.85%]]</f>
        <v>1117.9446407999997</v>
      </c>
      <c r="L1913" s="282">
        <f>++Tabla4[[#This Row],[Precio Unitario Neto]]-Tabla4[[#This Row],[20.85%]]</f>
        <v>4243.9001591999995</v>
      </c>
      <c r="M1913" s="282" t="e">
        <f>(INDEX(Tabla6[#All],MATCH(Tabla4[[#This Row],[Producto]],Tabla6[[#All],[PRODUCTO]],0),MATCH(Tabla4[[#This Row],[Mes]],Tabla6[#Headers],0)))*(1+Catalogos!$L$2)</f>
        <v>#N/A</v>
      </c>
      <c r="N1913" s="283" t="e">
        <f>+(Tabla4[[#This Row],[Precio Descontado]]-Tabla4[[#This Row],[Precio Base]])*Tabla4[[#This Row],[Cantidad]]</f>
        <v>#N/A</v>
      </c>
      <c r="O1913" s="284" t="e">
        <f>++Tabla4[[#This Row],[Utilidad Total]]/Tabla4[[#This Row],[Total]]</f>
        <v>#N/A</v>
      </c>
      <c r="P1913" s="282">
        <f>++Tabla4[[#This Row],[Precio Descontado]]*Tabla4[[#This Row],[Cantidad]]</f>
        <v>12731.700477599999</v>
      </c>
      <c r="Q1913" s="282" t="e">
        <f>(INDEX(Tabla6[#All],MATCH(Tabla4[[#This Row],[Producto]],Tabla6[[#All],[PRODUCTO]],0),MATCH(Tabla4[[#This Row],[Mes]],Tabla6[#Headers],0)))</f>
        <v>#N/A</v>
      </c>
      <c r="R1913" s="282" t="e">
        <f>++Tabla4[[#This Row],[Precio Unitario Neto]]-Tabla4[[#This Row],[20.85%]]-Tabla4[[#This Row],[Costo]]</f>
        <v>#N/A</v>
      </c>
      <c r="S1913" s="282" t="e">
        <f>++Tabla4[[#This Row],[U. Bruta Uni]]*Tabla4[[#This Row],[Cantidad]]</f>
        <v>#N/A</v>
      </c>
      <c r="T1913" s="369" t="str">
        <f>VLOOKUP(Tabla4[[#This Row],[Producto]],Tabla6[#All],14,FALSE)</f>
        <v>Termico Solar</v>
      </c>
      <c r="U1913" s="284" t="e">
        <f>(IF(Tabla4[[#This Row],[Familia]]="termico solar",Tabla4[[#This Row],[Utilidad Total]]*6%,Tabla4[[#This Row],[Utilidad Total]]*11.5%))/Tabla4[[#This Row],[Total]]</f>
        <v>#N/A</v>
      </c>
      <c r="V1913" s="282" t="e">
        <f>+Tabla4[[#This Row],[Comisión Calculada]]*Tabla4[[#This Row],[Total]]</f>
        <v>#N/A</v>
      </c>
    </row>
    <row r="1914" spans="1:22" hidden="1" x14ac:dyDescent="0.25">
      <c r="A1914" s="100">
        <v>45762</v>
      </c>
      <c r="B1914" t="str">
        <f t="shared" si="99"/>
        <v>April</v>
      </c>
      <c r="C1914" s="46" t="s">
        <v>280</v>
      </c>
      <c r="F1914" s="366" t="s">
        <v>1434</v>
      </c>
      <c r="G1914" s="46" t="s">
        <v>208</v>
      </c>
      <c r="H1914" s="46">
        <v>15</v>
      </c>
      <c r="I1914" s="51">
        <v>140.63</v>
      </c>
      <c r="J1914" s="281">
        <f>++Tabla4[[#This Row],[Precio Bruto]]*1.16</f>
        <v>163.13079999999999</v>
      </c>
      <c r="K1914" s="281">
        <f>+Tabla4[[#This Row],[Precio Unitario Neto]]*Tabla4[[#Headers],[20.85%]]</f>
        <v>34.012771799999996</v>
      </c>
      <c r="L1914" s="282">
        <f>++Tabla4[[#This Row],[Precio Unitario Neto]]-Tabla4[[#This Row],[20.85%]]</f>
        <v>129.1180282</v>
      </c>
      <c r="M1914" s="282" t="e">
        <f>(INDEX(Tabla6[#All],MATCH(Tabla4[[#This Row],[Producto]],Tabla6[[#All],[PRODUCTO]],0),MATCH(Tabla4[[#This Row],[Mes]],Tabla6[#Headers],0)))*(1+Catalogos!$L$2)</f>
        <v>#N/A</v>
      </c>
      <c r="N1914" s="283" t="e">
        <f>+(Tabla4[[#This Row],[Precio Descontado]]-Tabla4[[#This Row],[Precio Base]])*Tabla4[[#This Row],[Cantidad]]</f>
        <v>#N/A</v>
      </c>
      <c r="O1914" s="284" t="e">
        <f>++Tabla4[[#This Row],[Utilidad Total]]/Tabla4[[#This Row],[Total]]</f>
        <v>#N/A</v>
      </c>
      <c r="P1914" s="282">
        <f>++Tabla4[[#This Row],[Precio Descontado]]*Tabla4[[#This Row],[Cantidad]]</f>
        <v>1936.7704229999999</v>
      </c>
      <c r="Q1914" s="282" t="e">
        <f>(INDEX(Tabla6[#All],MATCH(Tabla4[[#This Row],[Producto]],Tabla6[[#All],[PRODUCTO]],0),MATCH(Tabla4[[#This Row],[Mes]],Tabla6[#Headers],0)))</f>
        <v>#N/A</v>
      </c>
      <c r="R1914" s="282" t="e">
        <f>++Tabla4[[#This Row],[Precio Unitario Neto]]-Tabla4[[#This Row],[20.85%]]-Tabla4[[#This Row],[Costo]]</f>
        <v>#N/A</v>
      </c>
      <c r="S1914" s="282" t="e">
        <f>++Tabla4[[#This Row],[U. Bruta Uni]]*Tabla4[[#This Row],[Cantidad]]</f>
        <v>#N/A</v>
      </c>
      <c r="T1914" s="369" t="str">
        <f>VLOOKUP(Tabla4[[#This Row],[Producto]],Tabla6[#All],14,FALSE)</f>
        <v>Termico Solar</v>
      </c>
      <c r="U1914" s="284" t="e">
        <f>(IF(Tabla4[[#This Row],[Familia]]="termico solar",Tabla4[[#This Row],[Utilidad Total]]*6%,Tabla4[[#This Row],[Utilidad Total]]*11.5%))/Tabla4[[#This Row],[Total]]</f>
        <v>#N/A</v>
      </c>
      <c r="V1914" s="282" t="e">
        <f>+Tabla4[[#This Row],[Comisión Calculada]]*Tabla4[[#This Row],[Total]]</f>
        <v>#N/A</v>
      </c>
    </row>
    <row r="1915" spans="1:22" hidden="1" x14ac:dyDescent="0.25">
      <c r="A1915" s="100">
        <v>45762</v>
      </c>
      <c r="B1915" t="str">
        <f t="shared" si="99"/>
        <v>April</v>
      </c>
      <c r="C1915" s="46" t="s">
        <v>280</v>
      </c>
      <c r="F1915" s="366" t="s">
        <v>1434</v>
      </c>
      <c r="G1915" s="46" t="s">
        <v>16</v>
      </c>
      <c r="H1915" s="46">
        <v>2</v>
      </c>
      <c r="I1915" s="51">
        <v>4103.8500000000004</v>
      </c>
      <c r="J1915" s="281">
        <f>++Tabla4[[#This Row],[Precio Bruto]]*1.16</f>
        <v>4760.4660000000003</v>
      </c>
      <c r="K1915" s="281">
        <f>+Tabla4[[#This Row],[Precio Unitario Neto]]*Tabla4[[#Headers],[20.85%]]</f>
        <v>992.55716100000006</v>
      </c>
      <c r="L1915" s="282">
        <f>++Tabla4[[#This Row],[Precio Unitario Neto]]-Tabla4[[#This Row],[20.85%]]</f>
        <v>3767.9088390000002</v>
      </c>
      <c r="M1915" s="282" t="e">
        <f>(INDEX(Tabla6[#All],MATCH(Tabla4[[#This Row],[Producto]],Tabla6[[#All],[PRODUCTO]],0),MATCH(Tabla4[[#This Row],[Mes]],Tabla6[#Headers],0)))*(1+Catalogos!$L$2)</f>
        <v>#N/A</v>
      </c>
      <c r="N1915" s="283" t="e">
        <f>+(Tabla4[[#This Row],[Precio Descontado]]-Tabla4[[#This Row],[Precio Base]])*Tabla4[[#This Row],[Cantidad]]</f>
        <v>#N/A</v>
      </c>
      <c r="O1915" s="284" t="e">
        <f>++Tabla4[[#This Row],[Utilidad Total]]/Tabla4[[#This Row],[Total]]</f>
        <v>#N/A</v>
      </c>
      <c r="P1915" s="282">
        <f>++Tabla4[[#This Row],[Precio Descontado]]*Tabla4[[#This Row],[Cantidad]]</f>
        <v>7535.8176780000003</v>
      </c>
      <c r="Q1915" s="282" t="e">
        <f>(INDEX(Tabla6[#All],MATCH(Tabla4[[#This Row],[Producto]],Tabla6[[#All],[PRODUCTO]],0),MATCH(Tabla4[[#This Row],[Mes]],Tabla6[#Headers],0)))</f>
        <v>#N/A</v>
      </c>
      <c r="R1915" s="282" t="e">
        <f>++Tabla4[[#This Row],[Precio Unitario Neto]]-Tabla4[[#This Row],[20.85%]]-Tabla4[[#This Row],[Costo]]</f>
        <v>#N/A</v>
      </c>
      <c r="S1915" s="282" t="e">
        <f>++Tabla4[[#This Row],[U. Bruta Uni]]*Tabla4[[#This Row],[Cantidad]]</f>
        <v>#N/A</v>
      </c>
      <c r="T1915" s="369" t="str">
        <f>VLOOKUP(Tabla4[[#This Row],[Producto]],Tabla6[#All],14,FALSE)</f>
        <v>Termico Solar</v>
      </c>
      <c r="U1915" s="284" t="e">
        <f>(IF(Tabla4[[#This Row],[Familia]]="termico solar",Tabla4[[#This Row],[Utilidad Total]]*6%,Tabla4[[#This Row],[Utilidad Total]]*11.5%))/Tabla4[[#This Row],[Total]]</f>
        <v>#N/A</v>
      </c>
      <c r="V1915" s="282" t="e">
        <f>+Tabla4[[#This Row],[Comisión Calculada]]*Tabla4[[#This Row],[Total]]</f>
        <v>#N/A</v>
      </c>
    </row>
    <row r="1916" spans="1:22" hidden="1" x14ac:dyDescent="0.25">
      <c r="A1916" s="100">
        <v>45762</v>
      </c>
      <c r="B1916" t="str">
        <f t="shared" si="99"/>
        <v>April</v>
      </c>
      <c r="C1916" s="46" t="s">
        <v>280</v>
      </c>
      <c r="F1916" s="366" t="s">
        <v>1434</v>
      </c>
      <c r="G1916" s="46" t="s">
        <v>208</v>
      </c>
      <c r="H1916" s="46">
        <v>1</v>
      </c>
      <c r="I1916" s="51">
        <v>189.75</v>
      </c>
      <c r="J1916" s="281">
        <f>++Tabla4[[#This Row],[Precio Bruto]]*1.16</f>
        <v>220.10999999999999</v>
      </c>
      <c r="K1916" s="281">
        <f>+Tabla4[[#This Row],[Precio Unitario Neto]]*Tabla4[[#Headers],[20.85%]]</f>
        <v>45.892934999999994</v>
      </c>
      <c r="L1916" s="282">
        <f>++Tabla4[[#This Row],[Precio Unitario Neto]]-Tabla4[[#This Row],[20.85%]]</f>
        <v>174.21706499999999</v>
      </c>
      <c r="M1916" s="282" t="e">
        <f>(INDEX(Tabla6[#All],MATCH(Tabla4[[#This Row],[Producto]],Tabla6[[#All],[PRODUCTO]],0),MATCH(Tabla4[[#This Row],[Mes]],Tabla6[#Headers],0)))*(1+Catalogos!$L$2)</f>
        <v>#N/A</v>
      </c>
      <c r="N1916" s="283" t="e">
        <f>+(Tabla4[[#This Row],[Precio Descontado]]-Tabla4[[#This Row],[Precio Base]])*Tabla4[[#This Row],[Cantidad]]</f>
        <v>#N/A</v>
      </c>
      <c r="O1916" s="284" t="e">
        <f>++Tabla4[[#This Row],[Utilidad Total]]/Tabla4[[#This Row],[Total]]</f>
        <v>#N/A</v>
      </c>
      <c r="P1916" s="282">
        <f>++Tabla4[[#This Row],[Precio Descontado]]*Tabla4[[#This Row],[Cantidad]]</f>
        <v>174.21706499999999</v>
      </c>
      <c r="Q1916" s="282" t="e">
        <f>(INDEX(Tabla6[#All],MATCH(Tabla4[[#This Row],[Producto]],Tabla6[[#All],[PRODUCTO]],0),MATCH(Tabla4[[#This Row],[Mes]],Tabla6[#Headers],0)))</f>
        <v>#N/A</v>
      </c>
      <c r="R1916" s="282" t="e">
        <f>++Tabla4[[#This Row],[Precio Unitario Neto]]-Tabla4[[#This Row],[20.85%]]-Tabla4[[#This Row],[Costo]]</f>
        <v>#N/A</v>
      </c>
      <c r="S1916" s="282" t="e">
        <f>++Tabla4[[#This Row],[U. Bruta Uni]]*Tabla4[[#This Row],[Cantidad]]</f>
        <v>#N/A</v>
      </c>
      <c r="T1916" s="369" t="str">
        <f>VLOOKUP(Tabla4[[#This Row],[Producto]],Tabla6[#All],14,FALSE)</f>
        <v>Termico Solar</v>
      </c>
      <c r="U1916" s="284" t="e">
        <f>(IF(Tabla4[[#This Row],[Familia]]="termico solar",Tabla4[[#This Row],[Utilidad Total]]*6%,Tabla4[[#This Row],[Utilidad Total]]*11.5%))/Tabla4[[#This Row],[Total]]</f>
        <v>#N/A</v>
      </c>
      <c r="V1916" s="282" t="e">
        <f>+Tabla4[[#This Row],[Comisión Calculada]]*Tabla4[[#This Row],[Total]]</f>
        <v>#N/A</v>
      </c>
    </row>
    <row r="1917" spans="1:22" hidden="1" x14ac:dyDescent="0.25">
      <c r="A1917" s="100">
        <v>45762</v>
      </c>
      <c r="B1917" t="str">
        <f t="shared" si="99"/>
        <v>April</v>
      </c>
      <c r="C1917" s="46" t="s">
        <v>280</v>
      </c>
      <c r="F1917" s="366" t="s">
        <v>1435</v>
      </c>
      <c r="G1917" s="46" t="s">
        <v>17</v>
      </c>
      <c r="H1917" s="46">
        <v>1</v>
      </c>
      <c r="I1917" s="51">
        <v>4622.28</v>
      </c>
      <c r="J1917" s="281">
        <f>++Tabla4[[#This Row],[Precio Bruto]]*1.16</f>
        <v>5361.8447999999989</v>
      </c>
      <c r="K1917" s="281">
        <f>+Tabla4[[#This Row],[Precio Unitario Neto]]*Tabla4[[#Headers],[20.85%]]</f>
        <v>1117.9446407999997</v>
      </c>
      <c r="L1917" s="282">
        <f>++Tabla4[[#This Row],[Precio Unitario Neto]]-Tabla4[[#This Row],[20.85%]]</f>
        <v>4243.9001591999995</v>
      </c>
      <c r="M1917" s="282" t="e">
        <f>(INDEX(Tabla6[#All],MATCH(Tabla4[[#This Row],[Producto]],Tabla6[[#All],[PRODUCTO]],0),MATCH(Tabla4[[#This Row],[Mes]],Tabla6[#Headers],0)))*(1+Catalogos!$L$2)</f>
        <v>#N/A</v>
      </c>
      <c r="N1917" s="283" t="e">
        <f>+(Tabla4[[#This Row],[Precio Descontado]]-Tabla4[[#This Row],[Precio Base]])*Tabla4[[#This Row],[Cantidad]]</f>
        <v>#N/A</v>
      </c>
      <c r="O1917" s="284" t="e">
        <f>++Tabla4[[#This Row],[Utilidad Total]]/Tabla4[[#This Row],[Total]]</f>
        <v>#N/A</v>
      </c>
      <c r="P1917" s="282">
        <f>++Tabla4[[#This Row],[Precio Descontado]]*Tabla4[[#This Row],[Cantidad]]</f>
        <v>4243.9001591999995</v>
      </c>
      <c r="Q1917" s="282" t="e">
        <f>(INDEX(Tabla6[#All],MATCH(Tabla4[[#This Row],[Producto]],Tabla6[[#All],[PRODUCTO]],0),MATCH(Tabla4[[#This Row],[Mes]],Tabla6[#Headers],0)))</f>
        <v>#N/A</v>
      </c>
      <c r="R1917" s="282" t="e">
        <f>++Tabla4[[#This Row],[Precio Unitario Neto]]-Tabla4[[#This Row],[20.85%]]-Tabla4[[#This Row],[Costo]]</f>
        <v>#N/A</v>
      </c>
      <c r="S1917" s="282" t="e">
        <f>++Tabla4[[#This Row],[U. Bruta Uni]]*Tabla4[[#This Row],[Cantidad]]</f>
        <v>#N/A</v>
      </c>
      <c r="T1917" s="369" t="str">
        <f>VLOOKUP(Tabla4[[#This Row],[Producto]],Tabla6[#All],14,FALSE)</f>
        <v>Termico Solar</v>
      </c>
      <c r="U1917" s="284" t="e">
        <f>(IF(Tabla4[[#This Row],[Familia]]="termico solar",Tabla4[[#This Row],[Utilidad Total]]*6%,Tabla4[[#This Row],[Utilidad Total]]*11.5%))/Tabla4[[#This Row],[Total]]</f>
        <v>#N/A</v>
      </c>
      <c r="V1917" s="282" t="e">
        <f>+Tabla4[[#This Row],[Comisión Calculada]]*Tabla4[[#This Row],[Total]]</f>
        <v>#N/A</v>
      </c>
    </row>
    <row r="1918" spans="1:22" hidden="1" x14ac:dyDescent="0.25">
      <c r="A1918" s="100">
        <v>45762</v>
      </c>
      <c r="B1918" t="str">
        <f t="shared" si="99"/>
        <v>April</v>
      </c>
      <c r="C1918" s="46" t="s">
        <v>280</v>
      </c>
      <c r="F1918" s="366" t="s">
        <v>1435</v>
      </c>
      <c r="G1918" s="46" t="s">
        <v>16</v>
      </c>
      <c r="H1918" s="46">
        <v>2</v>
      </c>
      <c r="I1918" s="51">
        <v>4103.8500000000004</v>
      </c>
      <c r="J1918" s="281">
        <f>++Tabla4[[#This Row],[Precio Bruto]]*1.16</f>
        <v>4760.4660000000003</v>
      </c>
      <c r="K1918" s="281">
        <f>+Tabla4[[#This Row],[Precio Unitario Neto]]*Tabla4[[#Headers],[20.85%]]</f>
        <v>992.55716100000006</v>
      </c>
      <c r="L1918" s="282">
        <f>++Tabla4[[#This Row],[Precio Unitario Neto]]-Tabla4[[#This Row],[20.85%]]</f>
        <v>3767.9088390000002</v>
      </c>
      <c r="M1918" s="282" t="e">
        <f>(INDEX(Tabla6[#All],MATCH(Tabla4[[#This Row],[Producto]],Tabla6[[#All],[PRODUCTO]],0),MATCH(Tabla4[[#This Row],[Mes]],Tabla6[#Headers],0)))*(1+Catalogos!$L$2)</f>
        <v>#N/A</v>
      </c>
      <c r="N1918" s="283" t="e">
        <f>+(Tabla4[[#This Row],[Precio Descontado]]-Tabla4[[#This Row],[Precio Base]])*Tabla4[[#This Row],[Cantidad]]</f>
        <v>#N/A</v>
      </c>
      <c r="O1918" s="284" t="e">
        <f>++Tabla4[[#This Row],[Utilidad Total]]/Tabla4[[#This Row],[Total]]</f>
        <v>#N/A</v>
      </c>
      <c r="P1918" s="282">
        <f>++Tabla4[[#This Row],[Precio Descontado]]*Tabla4[[#This Row],[Cantidad]]</f>
        <v>7535.8176780000003</v>
      </c>
      <c r="Q1918" s="282" t="e">
        <f>(INDEX(Tabla6[#All],MATCH(Tabla4[[#This Row],[Producto]],Tabla6[[#All],[PRODUCTO]],0),MATCH(Tabla4[[#This Row],[Mes]],Tabla6[#Headers],0)))</f>
        <v>#N/A</v>
      </c>
      <c r="R1918" s="282" t="e">
        <f>++Tabla4[[#This Row],[Precio Unitario Neto]]-Tabla4[[#This Row],[20.85%]]-Tabla4[[#This Row],[Costo]]</f>
        <v>#N/A</v>
      </c>
      <c r="S1918" s="282" t="e">
        <f>++Tabla4[[#This Row],[U. Bruta Uni]]*Tabla4[[#This Row],[Cantidad]]</f>
        <v>#N/A</v>
      </c>
      <c r="T1918" s="369" t="str">
        <f>VLOOKUP(Tabla4[[#This Row],[Producto]],Tabla6[#All],14,FALSE)</f>
        <v>Termico Solar</v>
      </c>
      <c r="U1918" s="284" t="e">
        <f>(IF(Tabla4[[#This Row],[Familia]]="termico solar",Tabla4[[#This Row],[Utilidad Total]]*6%,Tabla4[[#This Row],[Utilidad Total]]*11.5%))/Tabla4[[#This Row],[Total]]</f>
        <v>#N/A</v>
      </c>
      <c r="V1918" s="282" t="e">
        <f>+Tabla4[[#This Row],[Comisión Calculada]]*Tabla4[[#This Row],[Total]]</f>
        <v>#N/A</v>
      </c>
    </row>
    <row r="1919" spans="1:22" hidden="1" x14ac:dyDescent="0.25">
      <c r="A1919" s="100">
        <v>45762</v>
      </c>
      <c r="B1919" t="str">
        <f t="shared" si="99"/>
        <v>April</v>
      </c>
      <c r="C1919" s="46" t="s">
        <v>280</v>
      </c>
      <c r="F1919" s="366" t="s">
        <v>1436</v>
      </c>
      <c r="G1919" s="46" t="s">
        <v>208</v>
      </c>
      <c r="H1919" s="46">
        <v>1</v>
      </c>
      <c r="I1919" s="51">
        <v>189.75</v>
      </c>
      <c r="J1919" s="281">
        <f>++Tabla4[[#This Row],[Precio Bruto]]*1.16</f>
        <v>220.10999999999999</v>
      </c>
      <c r="K1919" s="281">
        <f>+Tabla4[[#This Row],[Precio Unitario Neto]]*Tabla4[[#Headers],[20.85%]]</f>
        <v>45.892934999999994</v>
      </c>
      <c r="L1919" s="282">
        <f>++Tabla4[[#This Row],[Precio Unitario Neto]]-Tabla4[[#This Row],[20.85%]]</f>
        <v>174.21706499999999</v>
      </c>
      <c r="M1919" s="282" t="e">
        <f>(INDEX(Tabla6[#All],MATCH(Tabla4[[#This Row],[Producto]],Tabla6[[#All],[PRODUCTO]],0),MATCH(Tabla4[[#This Row],[Mes]],Tabla6[#Headers],0)))*(1+Catalogos!$L$2)</f>
        <v>#N/A</v>
      </c>
      <c r="N1919" s="283" t="e">
        <f>+(Tabla4[[#This Row],[Precio Descontado]]-Tabla4[[#This Row],[Precio Base]])*Tabla4[[#This Row],[Cantidad]]</f>
        <v>#N/A</v>
      </c>
      <c r="O1919" s="284" t="e">
        <f>++Tabla4[[#This Row],[Utilidad Total]]/Tabla4[[#This Row],[Total]]</f>
        <v>#N/A</v>
      </c>
      <c r="P1919" s="282">
        <f>++Tabla4[[#This Row],[Precio Descontado]]*Tabla4[[#This Row],[Cantidad]]</f>
        <v>174.21706499999999</v>
      </c>
      <c r="Q1919" s="282" t="e">
        <f>(INDEX(Tabla6[#All],MATCH(Tabla4[[#This Row],[Producto]],Tabla6[[#All],[PRODUCTO]],0),MATCH(Tabla4[[#This Row],[Mes]],Tabla6[#Headers],0)))</f>
        <v>#N/A</v>
      </c>
      <c r="R1919" s="282" t="e">
        <f>++Tabla4[[#This Row],[Precio Unitario Neto]]-Tabla4[[#This Row],[20.85%]]-Tabla4[[#This Row],[Costo]]</f>
        <v>#N/A</v>
      </c>
      <c r="S1919" s="282" t="e">
        <f>++Tabla4[[#This Row],[U. Bruta Uni]]*Tabla4[[#This Row],[Cantidad]]</f>
        <v>#N/A</v>
      </c>
      <c r="T1919" s="369" t="str">
        <f>VLOOKUP(Tabla4[[#This Row],[Producto]],Tabla6[#All],14,FALSE)</f>
        <v>Termico Solar</v>
      </c>
      <c r="U1919" s="284" t="e">
        <f>(IF(Tabla4[[#This Row],[Familia]]="termico solar",Tabla4[[#This Row],[Utilidad Total]]*6%,Tabla4[[#This Row],[Utilidad Total]]*11.5%))/Tabla4[[#This Row],[Total]]</f>
        <v>#N/A</v>
      </c>
      <c r="V1919" s="282" t="e">
        <f>+Tabla4[[#This Row],[Comisión Calculada]]*Tabla4[[#This Row],[Total]]</f>
        <v>#N/A</v>
      </c>
    </row>
    <row r="1920" spans="1:22" hidden="1" x14ac:dyDescent="0.25">
      <c r="A1920" s="100">
        <v>45762</v>
      </c>
      <c r="B1920" t="str">
        <f t="shared" si="99"/>
        <v>April</v>
      </c>
      <c r="C1920" s="46" t="s">
        <v>280</v>
      </c>
      <c r="F1920" s="366" t="s">
        <v>1437</v>
      </c>
      <c r="G1920" s="46" t="s">
        <v>19</v>
      </c>
      <c r="H1920" s="46">
        <v>1</v>
      </c>
      <c r="I1920" s="51">
        <v>6412.03</v>
      </c>
      <c r="J1920" s="281">
        <f>++Tabla4[[#This Row],[Precio Bruto]]*1.16</f>
        <v>7437.9547999999995</v>
      </c>
      <c r="K1920" s="281">
        <f>+Tabla4[[#This Row],[Precio Unitario Neto]]*Tabla4[[#Headers],[20.85%]]</f>
        <v>1550.8135757999999</v>
      </c>
      <c r="L1920" s="282">
        <f>++Tabla4[[#This Row],[Precio Unitario Neto]]-Tabla4[[#This Row],[20.85%]]</f>
        <v>5887.1412241999997</v>
      </c>
      <c r="M1920" s="282" t="e">
        <f>(INDEX(Tabla6[#All],MATCH(Tabla4[[#This Row],[Producto]],Tabla6[[#All],[PRODUCTO]],0),MATCH(Tabla4[[#This Row],[Mes]],Tabla6[#Headers],0)))*(1+Catalogos!$L$2)</f>
        <v>#N/A</v>
      </c>
      <c r="N1920" s="283" t="e">
        <f>+(Tabla4[[#This Row],[Precio Descontado]]-Tabla4[[#This Row],[Precio Base]])*Tabla4[[#This Row],[Cantidad]]</f>
        <v>#N/A</v>
      </c>
      <c r="O1920" s="284" t="e">
        <f>++Tabla4[[#This Row],[Utilidad Total]]/Tabla4[[#This Row],[Total]]</f>
        <v>#N/A</v>
      </c>
      <c r="P1920" s="282">
        <f>++Tabla4[[#This Row],[Precio Descontado]]*Tabla4[[#This Row],[Cantidad]]</f>
        <v>5887.1412241999997</v>
      </c>
      <c r="Q1920" s="282" t="e">
        <f>(INDEX(Tabla6[#All],MATCH(Tabla4[[#This Row],[Producto]],Tabla6[[#All],[PRODUCTO]],0),MATCH(Tabla4[[#This Row],[Mes]],Tabla6[#Headers],0)))</f>
        <v>#N/A</v>
      </c>
      <c r="R1920" s="282" t="e">
        <f>++Tabla4[[#This Row],[Precio Unitario Neto]]-Tabla4[[#This Row],[20.85%]]-Tabla4[[#This Row],[Costo]]</f>
        <v>#N/A</v>
      </c>
      <c r="S1920" s="282" t="e">
        <f>++Tabla4[[#This Row],[U. Bruta Uni]]*Tabla4[[#This Row],[Cantidad]]</f>
        <v>#N/A</v>
      </c>
      <c r="T1920" s="369" t="str">
        <f>VLOOKUP(Tabla4[[#This Row],[Producto]],Tabla6[#All],14,FALSE)</f>
        <v>Termico Solar</v>
      </c>
      <c r="U1920" s="284" t="e">
        <f>(IF(Tabla4[[#This Row],[Familia]]="termico solar",Tabla4[[#This Row],[Utilidad Total]]*6%,Tabla4[[#This Row],[Utilidad Total]]*11.5%))/Tabla4[[#This Row],[Total]]</f>
        <v>#N/A</v>
      </c>
      <c r="V1920" s="282" t="e">
        <f>+Tabla4[[#This Row],[Comisión Calculada]]*Tabla4[[#This Row],[Total]]</f>
        <v>#N/A</v>
      </c>
    </row>
    <row r="1921" spans="1:22" hidden="1" x14ac:dyDescent="0.25">
      <c r="A1921" s="100">
        <v>45762</v>
      </c>
      <c r="B1921" t="str">
        <f t="shared" si="99"/>
        <v>April</v>
      </c>
      <c r="C1921" s="46" t="s">
        <v>280</v>
      </c>
      <c r="F1921" s="366" t="s">
        <v>1437</v>
      </c>
      <c r="G1921" s="46" t="s">
        <v>208</v>
      </c>
      <c r="H1921" s="46">
        <v>15</v>
      </c>
      <c r="I1921" s="51">
        <v>140.63</v>
      </c>
      <c r="J1921" s="281">
        <f>++Tabla4[[#This Row],[Precio Bruto]]*1.16</f>
        <v>163.13079999999999</v>
      </c>
      <c r="K1921" s="281">
        <f>+Tabla4[[#This Row],[Precio Unitario Neto]]*Tabla4[[#Headers],[20.85%]]</f>
        <v>34.012771799999996</v>
      </c>
      <c r="L1921" s="282">
        <f>++Tabla4[[#This Row],[Precio Unitario Neto]]-Tabla4[[#This Row],[20.85%]]</f>
        <v>129.1180282</v>
      </c>
      <c r="M1921" s="282" t="e">
        <f>(INDEX(Tabla6[#All],MATCH(Tabla4[[#This Row],[Producto]],Tabla6[[#All],[PRODUCTO]],0),MATCH(Tabla4[[#This Row],[Mes]],Tabla6[#Headers],0)))*(1+Catalogos!$L$2)</f>
        <v>#N/A</v>
      </c>
      <c r="N1921" s="283" t="e">
        <f>+(Tabla4[[#This Row],[Precio Descontado]]-Tabla4[[#This Row],[Precio Base]])*Tabla4[[#This Row],[Cantidad]]</f>
        <v>#N/A</v>
      </c>
      <c r="O1921" s="284" t="e">
        <f>++Tabla4[[#This Row],[Utilidad Total]]/Tabla4[[#This Row],[Total]]</f>
        <v>#N/A</v>
      </c>
      <c r="P1921" s="282">
        <f>++Tabla4[[#This Row],[Precio Descontado]]*Tabla4[[#This Row],[Cantidad]]</f>
        <v>1936.7704229999999</v>
      </c>
      <c r="Q1921" s="282" t="e">
        <f>(INDEX(Tabla6[#All],MATCH(Tabla4[[#This Row],[Producto]],Tabla6[[#All],[PRODUCTO]],0),MATCH(Tabla4[[#This Row],[Mes]],Tabla6[#Headers],0)))</f>
        <v>#N/A</v>
      </c>
      <c r="R1921" s="282" t="e">
        <f>++Tabla4[[#This Row],[Precio Unitario Neto]]-Tabla4[[#This Row],[20.85%]]-Tabla4[[#This Row],[Costo]]</f>
        <v>#N/A</v>
      </c>
      <c r="S1921" s="282" t="e">
        <f>++Tabla4[[#This Row],[U. Bruta Uni]]*Tabla4[[#This Row],[Cantidad]]</f>
        <v>#N/A</v>
      </c>
      <c r="T1921" s="369" t="str">
        <f>VLOOKUP(Tabla4[[#This Row],[Producto]],Tabla6[#All],14,FALSE)</f>
        <v>Termico Solar</v>
      </c>
      <c r="U1921" s="284" t="e">
        <f>(IF(Tabla4[[#This Row],[Familia]]="termico solar",Tabla4[[#This Row],[Utilidad Total]]*6%,Tabla4[[#This Row],[Utilidad Total]]*11.5%))/Tabla4[[#This Row],[Total]]</f>
        <v>#N/A</v>
      </c>
      <c r="V1921" s="282" t="e">
        <f>+Tabla4[[#This Row],[Comisión Calculada]]*Tabla4[[#This Row],[Total]]</f>
        <v>#N/A</v>
      </c>
    </row>
    <row r="1922" spans="1:22" hidden="1" x14ac:dyDescent="0.25">
      <c r="A1922" s="100">
        <v>45762</v>
      </c>
      <c r="B1922" t="str">
        <f t="shared" si="99"/>
        <v>April</v>
      </c>
      <c r="C1922" s="46" t="s">
        <v>280</v>
      </c>
      <c r="F1922" s="366" t="s">
        <v>1437</v>
      </c>
      <c r="G1922" s="46" t="s">
        <v>394</v>
      </c>
      <c r="H1922" s="46">
        <v>16</v>
      </c>
      <c r="I1922" s="51">
        <v>224.29</v>
      </c>
      <c r="J1922" s="281">
        <f>++Tabla4[[#This Row],[Precio Bruto]]*1.16</f>
        <v>260.1764</v>
      </c>
      <c r="K1922" s="281">
        <f>+Tabla4[[#This Row],[Precio Unitario Neto]]*Tabla4[[#Headers],[20.85%]]</f>
        <v>54.246779400000001</v>
      </c>
      <c r="L1922" s="282">
        <f>++Tabla4[[#This Row],[Precio Unitario Neto]]-Tabla4[[#This Row],[20.85%]]</f>
        <v>205.92962059999999</v>
      </c>
      <c r="M1922" s="282" t="e">
        <f>(INDEX(Tabla6[#All],MATCH(Tabla4[[#This Row],[Producto]],Tabla6[[#All],[PRODUCTO]],0),MATCH(Tabla4[[#This Row],[Mes]],Tabla6[#Headers],0)))*(1+Catalogos!$L$2)</f>
        <v>#N/A</v>
      </c>
      <c r="N1922" s="283" t="e">
        <f>+(Tabla4[[#This Row],[Precio Descontado]]-Tabla4[[#This Row],[Precio Base]])*Tabla4[[#This Row],[Cantidad]]</f>
        <v>#N/A</v>
      </c>
      <c r="O1922" s="284" t="e">
        <f>++Tabla4[[#This Row],[Utilidad Total]]/Tabla4[[#This Row],[Total]]</f>
        <v>#N/A</v>
      </c>
      <c r="P1922" s="282">
        <f>++Tabla4[[#This Row],[Precio Descontado]]*Tabla4[[#This Row],[Cantidad]]</f>
        <v>3294.8739295999999</v>
      </c>
      <c r="Q1922" s="282" t="e">
        <f>(INDEX(Tabla6[#All],MATCH(Tabla4[[#This Row],[Producto]],Tabla6[[#All],[PRODUCTO]],0),MATCH(Tabla4[[#This Row],[Mes]],Tabla6[#Headers],0)))</f>
        <v>#N/A</v>
      </c>
      <c r="R1922" s="282" t="e">
        <f>++Tabla4[[#This Row],[Precio Unitario Neto]]-Tabla4[[#This Row],[20.85%]]-Tabla4[[#This Row],[Costo]]</f>
        <v>#N/A</v>
      </c>
      <c r="S1922" s="282" t="e">
        <f>++Tabla4[[#This Row],[U. Bruta Uni]]*Tabla4[[#This Row],[Cantidad]]</f>
        <v>#N/A</v>
      </c>
      <c r="T1922" s="369" t="str">
        <f>VLOOKUP(Tabla4[[#This Row],[Producto]],Tabla6[#All],14,FALSE)</f>
        <v>Termico Solar</v>
      </c>
      <c r="U1922" s="284" t="e">
        <f>(IF(Tabla4[[#This Row],[Familia]]="termico solar",Tabla4[[#This Row],[Utilidad Total]]*6%,Tabla4[[#This Row],[Utilidad Total]]*11.5%))/Tabla4[[#This Row],[Total]]</f>
        <v>#N/A</v>
      </c>
      <c r="V1922" s="282" t="e">
        <f>+Tabla4[[#This Row],[Comisión Calculada]]*Tabla4[[#This Row],[Total]]</f>
        <v>#N/A</v>
      </c>
    </row>
    <row r="1923" spans="1:22" hidden="1" x14ac:dyDescent="0.25">
      <c r="A1923" s="100">
        <v>45762</v>
      </c>
      <c r="B1923" t="str">
        <f t="shared" si="99"/>
        <v>April</v>
      </c>
      <c r="C1923" s="46" t="s">
        <v>280</v>
      </c>
      <c r="F1923" s="366" t="s">
        <v>1437</v>
      </c>
      <c r="G1923" s="46" t="s">
        <v>208</v>
      </c>
      <c r="H1923" s="46">
        <v>6</v>
      </c>
      <c r="I1923" s="51">
        <v>189.75</v>
      </c>
      <c r="J1923" s="281">
        <f>++Tabla4[[#This Row],[Precio Bruto]]*1.16</f>
        <v>220.10999999999999</v>
      </c>
      <c r="K1923" s="281">
        <f>+Tabla4[[#This Row],[Precio Unitario Neto]]*Tabla4[[#Headers],[20.85%]]</f>
        <v>45.892934999999994</v>
      </c>
      <c r="L1923" s="282">
        <f>++Tabla4[[#This Row],[Precio Unitario Neto]]-Tabla4[[#This Row],[20.85%]]</f>
        <v>174.21706499999999</v>
      </c>
      <c r="M1923" s="282" t="e">
        <f>(INDEX(Tabla6[#All],MATCH(Tabla4[[#This Row],[Producto]],Tabla6[[#All],[PRODUCTO]],0),MATCH(Tabla4[[#This Row],[Mes]],Tabla6[#Headers],0)))*(1+Catalogos!$L$2)</f>
        <v>#N/A</v>
      </c>
      <c r="N1923" s="283" t="e">
        <f>+(Tabla4[[#This Row],[Precio Descontado]]-Tabla4[[#This Row],[Precio Base]])*Tabla4[[#This Row],[Cantidad]]</f>
        <v>#N/A</v>
      </c>
      <c r="O1923" s="284" t="e">
        <f>++Tabla4[[#This Row],[Utilidad Total]]/Tabla4[[#This Row],[Total]]</f>
        <v>#N/A</v>
      </c>
      <c r="P1923" s="282">
        <f>++Tabla4[[#This Row],[Precio Descontado]]*Tabla4[[#This Row],[Cantidad]]</f>
        <v>1045.3023899999998</v>
      </c>
      <c r="Q1923" s="282" t="e">
        <f>(INDEX(Tabla6[#All],MATCH(Tabla4[[#This Row],[Producto]],Tabla6[[#All],[PRODUCTO]],0),MATCH(Tabla4[[#This Row],[Mes]],Tabla6[#Headers],0)))</f>
        <v>#N/A</v>
      </c>
      <c r="R1923" s="282" t="e">
        <f>++Tabla4[[#This Row],[Precio Unitario Neto]]-Tabla4[[#This Row],[20.85%]]-Tabla4[[#This Row],[Costo]]</f>
        <v>#N/A</v>
      </c>
      <c r="S1923" s="282" t="e">
        <f>++Tabla4[[#This Row],[U. Bruta Uni]]*Tabla4[[#This Row],[Cantidad]]</f>
        <v>#N/A</v>
      </c>
      <c r="T1923" s="369" t="str">
        <f>VLOOKUP(Tabla4[[#This Row],[Producto]],Tabla6[#All],14,FALSE)</f>
        <v>Termico Solar</v>
      </c>
      <c r="U1923" s="284" t="e">
        <f>(IF(Tabla4[[#This Row],[Familia]]="termico solar",Tabla4[[#This Row],[Utilidad Total]]*6%,Tabla4[[#This Row],[Utilidad Total]]*11.5%))/Tabla4[[#This Row],[Total]]</f>
        <v>#N/A</v>
      </c>
      <c r="V1923" s="282" t="e">
        <f>+Tabla4[[#This Row],[Comisión Calculada]]*Tabla4[[#This Row],[Total]]</f>
        <v>#N/A</v>
      </c>
    </row>
    <row r="1924" spans="1:22" hidden="1" x14ac:dyDescent="0.25">
      <c r="A1924" s="100">
        <v>45762</v>
      </c>
      <c r="B1924" t="str">
        <f t="shared" si="99"/>
        <v>April</v>
      </c>
      <c r="C1924" s="46" t="s">
        <v>280</v>
      </c>
      <c r="F1924" s="366" t="s">
        <v>1438</v>
      </c>
      <c r="G1924" s="46" t="s">
        <v>17</v>
      </c>
      <c r="H1924" s="46">
        <v>1</v>
      </c>
      <c r="I1924" s="51">
        <v>4622.28</v>
      </c>
      <c r="J1924" s="281">
        <f>++Tabla4[[#This Row],[Precio Bruto]]*1.16</f>
        <v>5361.8447999999989</v>
      </c>
      <c r="K1924" s="281">
        <f>+Tabla4[[#This Row],[Precio Unitario Neto]]*Tabla4[[#Headers],[20.85%]]</f>
        <v>1117.9446407999997</v>
      </c>
      <c r="L1924" s="282">
        <f>++Tabla4[[#This Row],[Precio Unitario Neto]]-Tabla4[[#This Row],[20.85%]]</f>
        <v>4243.9001591999995</v>
      </c>
      <c r="M1924" s="282" t="e">
        <f>(INDEX(Tabla6[#All],MATCH(Tabla4[[#This Row],[Producto]],Tabla6[[#All],[PRODUCTO]],0),MATCH(Tabla4[[#This Row],[Mes]],Tabla6[#Headers],0)))*(1+Catalogos!$L$2)</f>
        <v>#N/A</v>
      </c>
      <c r="N1924" s="283" t="e">
        <f>+(Tabla4[[#This Row],[Precio Descontado]]-Tabla4[[#This Row],[Precio Base]])*Tabla4[[#This Row],[Cantidad]]</f>
        <v>#N/A</v>
      </c>
      <c r="O1924" s="284" t="e">
        <f>++Tabla4[[#This Row],[Utilidad Total]]/Tabla4[[#This Row],[Total]]</f>
        <v>#N/A</v>
      </c>
      <c r="P1924" s="282">
        <f>++Tabla4[[#This Row],[Precio Descontado]]*Tabla4[[#This Row],[Cantidad]]</f>
        <v>4243.9001591999995</v>
      </c>
      <c r="Q1924" s="282" t="e">
        <f>(INDEX(Tabla6[#All],MATCH(Tabla4[[#This Row],[Producto]],Tabla6[[#All],[PRODUCTO]],0),MATCH(Tabla4[[#This Row],[Mes]],Tabla6[#Headers],0)))</f>
        <v>#N/A</v>
      </c>
      <c r="R1924" s="282" t="e">
        <f>++Tabla4[[#This Row],[Precio Unitario Neto]]-Tabla4[[#This Row],[20.85%]]-Tabla4[[#This Row],[Costo]]</f>
        <v>#N/A</v>
      </c>
      <c r="S1924" s="282" t="e">
        <f>++Tabla4[[#This Row],[U. Bruta Uni]]*Tabla4[[#This Row],[Cantidad]]</f>
        <v>#N/A</v>
      </c>
      <c r="T1924" s="369" t="str">
        <f>VLOOKUP(Tabla4[[#This Row],[Producto]],Tabla6[#All],14,FALSE)</f>
        <v>Termico Solar</v>
      </c>
      <c r="U1924" s="284" t="e">
        <f>(IF(Tabla4[[#This Row],[Familia]]="termico solar",Tabla4[[#This Row],[Utilidad Total]]*6%,Tabla4[[#This Row],[Utilidad Total]]*11.5%))/Tabla4[[#This Row],[Total]]</f>
        <v>#N/A</v>
      </c>
      <c r="V1924" s="282" t="e">
        <f>+Tabla4[[#This Row],[Comisión Calculada]]*Tabla4[[#This Row],[Total]]</f>
        <v>#N/A</v>
      </c>
    </row>
    <row r="1925" spans="1:22" hidden="1" x14ac:dyDescent="0.25">
      <c r="A1925" s="100">
        <v>45762</v>
      </c>
      <c r="B1925" t="str">
        <f t="shared" si="99"/>
        <v>April</v>
      </c>
      <c r="C1925" s="46" t="s">
        <v>280</v>
      </c>
      <c r="F1925" s="366" t="s">
        <v>1439</v>
      </c>
      <c r="G1925" s="46" t="s">
        <v>17</v>
      </c>
      <c r="H1925" s="46">
        <v>1</v>
      </c>
      <c r="I1925" s="51">
        <v>4622.28</v>
      </c>
      <c r="J1925" s="281">
        <f>++Tabla4[[#This Row],[Precio Bruto]]*1.16</f>
        <v>5361.8447999999989</v>
      </c>
      <c r="K1925" s="281">
        <f>+Tabla4[[#This Row],[Precio Unitario Neto]]*Tabla4[[#Headers],[20.85%]]</f>
        <v>1117.9446407999997</v>
      </c>
      <c r="L1925" s="282">
        <f>++Tabla4[[#This Row],[Precio Unitario Neto]]-Tabla4[[#This Row],[20.85%]]</f>
        <v>4243.9001591999995</v>
      </c>
      <c r="M1925" s="282" t="e">
        <f>(INDEX(Tabla6[#All],MATCH(Tabla4[[#This Row],[Producto]],Tabla6[[#All],[PRODUCTO]],0),MATCH(Tabla4[[#This Row],[Mes]],Tabla6[#Headers],0)))*(1+Catalogos!$L$2)</f>
        <v>#N/A</v>
      </c>
      <c r="N1925" s="283" t="e">
        <f>+(Tabla4[[#This Row],[Precio Descontado]]-Tabla4[[#This Row],[Precio Base]])*Tabla4[[#This Row],[Cantidad]]</f>
        <v>#N/A</v>
      </c>
      <c r="O1925" s="284" t="e">
        <f>++Tabla4[[#This Row],[Utilidad Total]]/Tabla4[[#This Row],[Total]]</f>
        <v>#N/A</v>
      </c>
      <c r="P1925" s="282">
        <f>++Tabla4[[#This Row],[Precio Descontado]]*Tabla4[[#This Row],[Cantidad]]</f>
        <v>4243.9001591999995</v>
      </c>
      <c r="Q1925" s="282" t="e">
        <f>(INDEX(Tabla6[#All],MATCH(Tabla4[[#This Row],[Producto]],Tabla6[[#All],[PRODUCTO]],0),MATCH(Tabla4[[#This Row],[Mes]],Tabla6[#Headers],0)))</f>
        <v>#N/A</v>
      </c>
      <c r="R1925" s="282" t="e">
        <f>++Tabla4[[#This Row],[Precio Unitario Neto]]-Tabla4[[#This Row],[20.85%]]-Tabla4[[#This Row],[Costo]]</f>
        <v>#N/A</v>
      </c>
      <c r="S1925" s="282" t="e">
        <f>++Tabla4[[#This Row],[U. Bruta Uni]]*Tabla4[[#This Row],[Cantidad]]</f>
        <v>#N/A</v>
      </c>
      <c r="T1925" s="369" t="str">
        <f>VLOOKUP(Tabla4[[#This Row],[Producto]],Tabla6[#All],14,FALSE)</f>
        <v>Termico Solar</v>
      </c>
      <c r="U1925" s="284" t="e">
        <f>(IF(Tabla4[[#This Row],[Familia]]="termico solar",Tabla4[[#This Row],[Utilidad Total]]*6%,Tabla4[[#This Row],[Utilidad Total]]*11.5%))/Tabla4[[#This Row],[Total]]</f>
        <v>#N/A</v>
      </c>
      <c r="V1925" s="282" t="e">
        <f>+Tabla4[[#This Row],[Comisión Calculada]]*Tabla4[[#This Row],[Total]]</f>
        <v>#N/A</v>
      </c>
    </row>
    <row r="1926" spans="1:22" hidden="1" x14ac:dyDescent="0.25">
      <c r="A1926" s="100">
        <v>45762</v>
      </c>
      <c r="B1926" t="str">
        <f t="shared" si="99"/>
        <v>April</v>
      </c>
      <c r="C1926" s="46" t="s">
        <v>280</v>
      </c>
      <c r="F1926" s="366" t="s">
        <v>1439</v>
      </c>
      <c r="G1926" s="46" t="s">
        <v>16</v>
      </c>
      <c r="H1926" s="46">
        <v>2</v>
      </c>
      <c r="I1926" s="51">
        <v>4103.8500000000004</v>
      </c>
      <c r="J1926" s="281">
        <f>++Tabla4[[#This Row],[Precio Bruto]]*1.16</f>
        <v>4760.4660000000003</v>
      </c>
      <c r="K1926" s="281">
        <f>+Tabla4[[#This Row],[Precio Unitario Neto]]*Tabla4[[#Headers],[20.85%]]</f>
        <v>992.55716100000006</v>
      </c>
      <c r="L1926" s="282">
        <f>++Tabla4[[#This Row],[Precio Unitario Neto]]-Tabla4[[#This Row],[20.85%]]</f>
        <v>3767.9088390000002</v>
      </c>
      <c r="M1926" s="282" t="e">
        <f>(INDEX(Tabla6[#All],MATCH(Tabla4[[#This Row],[Producto]],Tabla6[[#All],[PRODUCTO]],0),MATCH(Tabla4[[#This Row],[Mes]],Tabla6[#Headers],0)))*(1+Catalogos!$L$2)</f>
        <v>#N/A</v>
      </c>
      <c r="N1926" s="283" t="e">
        <f>+(Tabla4[[#This Row],[Precio Descontado]]-Tabla4[[#This Row],[Precio Base]])*Tabla4[[#This Row],[Cantidad]]</f>
        <v>#N/A</v>
      </c>
      <c r="O1926" s="284" t="e">
        <f>++Tabla4[[#This Row],[Utilidad Total]]/Tabla4[[#This Row],[Total]]</f>
        <v>#N/A</v>
      </c>
      <c r="P1926" s="282">
        <f>++Tabla4[[#This Row],[Precio Descontado]]*Tabla4[[#This Row],[Cantidad]]</f>
        <v>7535.8176780000003</v>
      </c>
      <c r="Q1926" s="282" t="e">
        <f>(INDEX(Tabla6[#All],MATCH(Tabla4[[#This Row],[Producto]],Tabla6[[#All],[PRODUCTO]],0),MATCH(Tabla4[[#This Row],[Mes]],Tabla6[#Headers],0)))</f>
        <v>#N/A</v>
      </c>
      <c r="R1926" s="282" t="e">
        <f>++Tabla4[[#This Row],[Precio Unitario Neto]]-Tabla4[[#This Row],[20.85%]]-Tabla4[[#This Row],[Costo]]</f>
        <v>#N/A</v>
      </c>
      <c r="S1926" s="282" t="e">
        <f>++Tabla4[[#This Row],[U. Bruta Uni]]*Tabla4[[#This Row],[Cantidad]]</f>
        <v>#N/A</v>
      </c>
      <c r="T1926" s="369" t="str">
        <f>VLOOKUP(Tabla4[[#This Row],[Producto]],Tabla6[#All],14,FALSE)</f>
        <v>Termico Solar</v>
      </c>
      <c r="U1926" s="284" t="e">
        <f>(IF(Tabla4[[#This Row],[Familia]]="termico solar",Tabla4[[#This Row],[Utilidad Total]]*6%,Tabla4[[#This Row],[Utilidad Total]]*11.5%))/Tabla4[[#This Row],[Total]]</f>
        <v>#N/A</v>
      </c>
      <c r="V1926" s="282" t="e">
        <f>+Tabla4[[#This Row],[Comisión Calculada]]*Tabla4[[#This Row],[Total]]</f>
        <v>#N/A</v>
      </c>
    </row>
    <row r="1927" spans="1:22" hidden="1" x14ac:dyDescent="0.25">
      <c r="A1927" s="100">
        <v>45762</v>
      </c>
      <c r="B1927" t="str">
        <f t="shared" si="99"/>
        <v>April</v>
      </c>
      <c r="C1927" s="46" t="s">
        <v>280</v>
      </c>
      <c r="F1927" s="366" t="s">
        <v>1440</v>
      </c>
      <c r="G1927" s="46" t="s">
        <v>208</v>
      </c>
      <c r="H1927" s="46">
        <v>60</v>
      </c>
      <c r="I1927" s="51">
        <v>140.63</v>
      </c>
      <c r="J1927" s="281">
        <f>++Tabla4[[#This Row],[Precio Bruto]]*1.16</f>
        <v>163.13079999999999</v>
      </c>
      <c r="K1927" s="281">
        <f>+Tabla4[[#This Row],[Precio Unitario Neto]]*Tabla4[[#Headers],[20.85%]]</f>
        <v>34.012771799999996</v>
      </c>
      <c r="L1927" s="282">
        <f>++Tabla4[[#This Row],[Precio Unitario Neto]]-Tabla4[[#This Row],[20.85%]]</f>
        <v>129.1180282</v>
      </c>
      <c r="M1927" s="282" t="e">
        <f>(INDEX(Tabla6[#All],MATCH(Tabla4[[#This Row],[Producto]],Tabla6[[#All],[PRODUCTO]],0),MATCH(Tabla4[[#This Row],[Mes]],Tabla6[#Headers],0)))*(1+Catalogos!$L$2)</f>
        <v>#N/A</v>
      </c>
      <c r="N1927" s="283" t="e">
        <f>+(Tabla4[[#This Row],[Precio Descontado]]-Tabla4[[#This Row],[Precio Base]])*Tabla4[[#This Row],[Cantidad]]</f>
        <v>#N/A</v>
      </c>
      <c r="O1927" s="284" t="e">
        <f>++Tabla4[[#This Row],[Utilidad Total]]/Tabla4[[#This Row],[Total]]</f>
        <v>#N/A</v>
      </c>
      <c r="P1927" s="282">
        <f>++Tabla4[[#This Row],[Precio Descontado]]*Tabla4[[#This Row],[Cantidad]]</f>
        <v>7747.0816919999997</v>
      </c>
      <c r="Q1927" s="282" t="e">
        <f>(INDEX(Tabla6[#All],MATCH(Tabla4[[#This Row],[Producto]],Tabla6[[#All],[PRODUCTO]],0),MATCH(Tabla4[[#This Row],[Mes]],Tabla6[#Headers],0)))</f>
        <v>#N/A</v>
      </c>
      <c r="R1927" s="282" t="e">
        <f>++Tabla4[[#This Row],[Precio Unitario Neto]]-Tabla4[[#This Row],[20.85%]]-Tabla4[[#This Row],[Costo]]</f>
        <v>#N/A</v>
      </c>
      <c r="S1927" s="282" t="e">
        <f>++Tabla4[[#This Row],[U. Bruta Uni]]*Tabla4[[#This Row],[Cantidad]]</f>
        <v>#N/A</v>
      </c>
      <c r="T1927" s="369" t="str">
        <f>VLOOKUP(Tabla4[[#This Row],[Producto]],Tabla6[#All],14,FALSE)</f>
        <v>Termico Solar</v>
      </c>
      <c r="U1927" s="284" t="e">
        <f>(IF(Tabla4[[#This Row],[Familia]]="termico solar",Tabla4[[#This Row],[Utilidad Total]]*6%,Tabla4[[#This Row],[Utilidad Total]]*11.5%))/Tabla4[[#This Row],[Total]]</f>
        <v>#N/A</v>
      </c>
      <c r="V1927" s="282" t="e">
        <f>+Tabla4[[#This Row],[Comisión Calculada]]*Tabla4[[#This Row],[Total]]</f>
        <v>#N/A</v>
      </c>
    </row>
    <row r="1928" spans="1:22" hidden="1" x14ac:dyDescent="0.25">
      <c r="A1928" s="100">
        <v>45762</v>
      </c>
      <c r="B1928" t="str">
        <f t="shared" si="99"/>
        <v>April</v>
      </c>
      <c r="C1928" s="46" t="s">
        <v>280</v>
      </c>
      <c r="F1928" s="366" t="s">
        <v>1440</v>
      </c>
      <c r="G1928" s="46" t="s">
        <v>208</v>
      </c>
      <c r="H1928" s="46">
        <v>1</v>
      </c>
      <c r="I1928" s="51">
        <v>189.75</v>
      </c>
      <c r="J1928" s="281">
        <f>++Tabla4[[#This Row],[Precio Bruto]]*1.16</f>
        <v>220.10999999999999</v>
      </c>
      <c r="K1928" s="281">
        <f>+Tabla4[[#This Row],[Precio Unitario Neto]]*Tabla4[[#Headers],[20.85%]]</f>
        <v>45.892934999999994</v>
      </c>
      <c r="L1928" s="282">
        <f>++Tabla4[[#This Row],[Precio Unitario Neto]]-Tabla4[[#This Row],[20.85%]]</f>
        <v>174.21706499999999</v>
      </c>
      <c r="M1928" s="282" t="e">
        <f>(INDEX(Tabla6[#All],MATCH(Tabla4[[#This Row],[Producto]],Tabla6[[#All],[PRODUCTO]],0),MATCH(Tabla4[[#This Row],[Mes]],Tabla6[#Headers],0)))*(1+Catalogos!$L$2)</f>
        <v>#N/A</v>
      </c>
      <c r="N1928" s="283" t="e">
        <f>+(Tabla4[[#This Row],[Precio Descontado]]-Tabla4[[#This Row],[Precio Base]])*Tabla4[[#This Row],[Cantidad]]</f>
        <v>#N/A</v>
      </c>
      <c r="O1928" s="284" t="e">
        <f>++Tabla4[[#This Row],[Utilidad Total]]/Tabla4[[#This Row],[Total]]</f>
        <v>#N/A</v>
      </c>
      <c r="P1928" s="282">
        <f>++Tabla4[[#This Row],[Precio Descontado]]*Tabla4[[#This Row],[Cantidad]]</f>
        <v>174.21706499999999</v>
      </c>
      <c r="Q1928" s="282" t="e">
        <f>(INDEX(Tabla6[#All],MATCH(Tabla4[[#This Row],[Producto]],Tabla6[[#All],[PRODUCTO]],0),MATCH(Tabla4[[#This Row],[Mes]],Tabla6[#Headers],0)))</f>
        <v>#N/A</v>
      </c>
      <c r="R1928" s="282" t="e">
        <f>++Tabla4[[#This Row],[Precio Unitario Neto]]-Tabla4[[#This Row],[20.85%]]-Tabla4[[#This Row],[Costo]]</f>
        <v>#N/A</v>
      </c>
      <c r="S1928" s="282" t="e">
        <f>++Tabla4[[#This Row],[U. Bruta Uni]]*Tabla4[[#This Row],[Cantidad]]</f>
        <v>#N/A</v>
      </c>
      <c r="T1928" s="369" t="str">
        <f>VLOOKUP(Tabla4[[#This Row],[Producto]],Tabla6[#All],14,FALSE)</f>
        <v>Termico Solar</v>
      </c>
      <c r="U1928" s="284" t="e">
        <f>(IF(Tabla4[[#This Row],[Familia]]="termico solar",Tabla4[[#This Row],[Utilidad Total]]*6%,Tabla4[[#This Row],[Utilidad Total]]*11.5%))/Tabla4[[#This Row],[Total]]</f>
        <v>#N/A</v>
      </c>
      <c r="V1928" s="282" t="e">
        <f>+Tabla4[[#This Row],[Comisión Calculada]]*Tabla4[[#This Row],[Total]]</f>
        <v>#N/A</v>
      </c>
    </row>
    <row r="1929" spans="1:22" hidden="1" x14ac:dyDescent="0.25">
      <c r="A1929" s="100">
        <v>45762</v>
      </c>
      <c r="B1929" t="str">
        <f t="shared" si="99"/>
        <v>April</v>
      </c>
      <c r="C1929" s="46" t="s">
        <v>280</v>
      </c>
      <c r="F1929" s="366" t="s">
        <v>1441</v>
      </c>
      <c r="G1929" s="46" t="s">
        <v>17</v>
      </c>
      <c r="H1929" s="46">
        <v>3</v>
      </c>
      <c r="I1929" s="51">
        <v>4622.28</v>
      </c>
      <c r="J1929" s="281">
        <f>++Tabla4[[#This Row],[Precio Bruto]]*1.16</f>
        <v>5361.8447999999989</v>
      </c>
      <c r="K1929" s="281">
        <f>+Tabla4[[#This Row],[Precio Unitario Neto]]*Tabla4[[#Headers],[20.85%]]</f>
        <v>1117.9446407999997</v>
      </c>
      <c r="L1929" s="282">
        <f>++Tabla4[[#This Row],[Precio Unitario Neto]]-Tabla4[[#This Row],[20.85%]]</f>
        <v>4243.9001591999995</v>
      </c>
      <c r="M1929" s="282" t="e">
        <f>(INDEX(Tabla6[#All],MATCH(Tabla4[[#This Row],[Producto]],Tabla6[[#All],[PRODUCTO]],0),MATCH(Tabla4[[#This Row],[Mes]],Tabla6[#Headers],0)))*(1+Catalogos!$L$2)</f>
        <v>#N/A</v>
      </c>
      <c r="N1929" s="283" t="e">
        <f>+(Tabla4[[#This Row],[Precio Descontado]]-Tabla4[[#This Row],[Precio Base]])*Tabla4[[#This Row],[Cantidad]]</f>
        <v>#N/A</v>
      </c>
      <c r="O1929" s="284" t="e">
        <f>++Tabla4[[#This Row],[Utilidad Total]]/Tabla4[[#This Row],[Total]]</f>
        <v>#N/A</v>
      </c>
      <c r="P1929" s="282">
        <f>++Tabla4[[#This Row],[Precio Descontado]]*Tabla4[[#This Row],[Cantidad]]</f>
        <v>12731.700477599999</v>
      </c>
      <c r="Q1929" s="282" t="e">
        <f>(INDEX(Tabla6[#All],MATCH(Tabla4[[#This Row],[Producto]],Tabla6[[#All],[PRODUCTO]],0),MATCH(Tabla4[[#This Row],[Mes]],Tabla6[#Headers],0)))</f>
        <v>#N/A</v>
      </c>
      <c r="R1929" s="282" t="e">
        <f>++Tabla4[[#This Row],[Precio Unitario Neto]]-Tabla4[[#This Row],[20.85%]]-Tabla4[[#This Row],[Costo]]</f>
        <v>#N/A</v>
      </c>
      <c r="S1929" s="282" t="e">
        <f>++Tabla4[[#This Row],[U. Bruta Uni]]*Tabla4[[#This Row],[Cantidad]]</f>
        <v>#N/A</v>
      </c>
      <c r="T1929" s="369" t="str">
        <f>VLOOKUP(Tabla4[[#This Row],[Producto]],Tabla6[#All],14,FALSE)</f>
        <v>Termico Solar</v>
      </c>
      <c r="U1929" s="284" t="e">
        <f>(IF(Tabla4[[#This Row],[Familia]]="termico solar",Tabla4[[#This Row],[Utilidad Total]]*6%,Tabla4[[#This Row],[Utilidad Total]]*11.5%))/Tabla4[[#This Row],[Total]]</f>
        <v>#N/A</v>
      </c>
      <c r="V1929" s="282" t="e">
        <f>+Tabla4[[#This Row],[Comisión Calculada]]*Tabla4[[#This Row],[Total]]</f>
        <v>#N/A</v>
      </c>
    </row>
    <row r="1930" spans="1:22" hidden="1" x14ac:dyDescent="0.25">
      <c r="A1930" s="100">
        <v>45762</v>
      </c>
      <c r="B1930" t="str">
        <f t="shared" si="99"/>
        <v>April</v>
      </c>
      <c r="C1930" s="46" t="s">
        <v>280</v>
      </c>
      <c r="F1930" s="366" t="s">
        <v>1442</v>
      </c>
      <c r="G1930" s="46" t="s">
        <v>208</v>
      </c>
      <c r="H1930" s="46">
        <v>30</v>
      </c>
      <c r="I1930" s="51">
        <v>140.63</v>
      </c>
      <c r="J1930" s="281">
        <f>++Tabla4[[#This Row],[Precio Bruto]]*1.16</f>
        <v>163.13079999999999</v>
      </c>
      <c r="K1930" s="281">
        <f>+Tabla4[[#This Row],[Precio Unitario Neto]]*Tabla4[[#Headers],[20.85%]]</f>
        <v>34.012771799999996</v>
      </c>
      <c r="L1930" s="282">
        <f>++Tabla4[[#This Row],[Precio Unitario Neto]]-Tabla4[[#This Row],[20.85%]]</f>
        <v>129.1180282</v>
      </c>
      <c r="M1930" s="282" t="e">
        <f>(INDEX(Tabla6[#All],MATCH(Tabla4[[#This Row],[Producto]],Tabla6[[#All],[PRODUCTO]],0),MATCH(Tabla4[[#This Row],[Mes]],Tabla6[#Headers],0)))*(1+Catalogos!$L$2)</f>
        <v>#N/A</v>
      </c>
      <c r="N1930" s="283" t="e">
        <f>+(Tabla4[[#This Row],[Precio Descontado]]-Tabla4[[#This Row],[Precio Base]])*Tabla4[[#This Row],[Cantidad]]</f>
        <v>#N/A</v>
      </c>
      <c r="O1930" s="284" t="e">
        <f>++Tabla4[[#This Row],[Utilidad Total]]/Tabla4[[#This Row],[Total]]</f>
        <v>#N/A</v>
      </c>
      <c r="P1930" s="282">
        <f>++Tabla4[[#This Row],[Precio Descontado]]*Tabla4[[#This Row],[Cantidad]]</f>
        <v>3873.5408459999999</v>
      </c>
      <c r="Q1930" s="282" t="e">
        <f>(INDEX(Tabla6[#All],MATCH(Tabla4[[#This Row],[Producto]],Tabla6[[#All],[PRODUCTO]],0),MATCH(Tabla4[[#This Row],[Mes]],Tabla6[#Headers],0)))</f>
        <v>#N/A</v>
      </c>
      <c r="R1930" s="282" t="e">
        <f>++Tabla4[[#This Row],[Precio Unitario Neto]]-Tabla4[[#This Row],[20.85%]]-Tabla4[[#This Row],[Costo]]</f>
        <v>#N/A</v>
      </c>
      <c r="S1930" s="282" t="e">
        <f>++Tabla4[[#This Row],[U. Bruta Uni]]*Tabla4[[#This Row],[Cantidad]]</f>
        <v>#N/A</v>
      </c>
      <c r="T1930" s="369" t="str">
        <f>VLOOKUP(Tabla4[[#This Row],[Producto]],Tabla6[#All],14,FALSE)</f>
        <v>Termico Solar</v>
      </c>
      <c r="U1930" s="284" t="e">
        <f>(IF(Tabla4[[#This Row],[Familia]]="termico solar",Tabla4[[#This Row],[Utilidad Total]]*6%,Tabla4[[#This Row],[Utilidad Total]]*11.5%))/Tabla4[[#This Row],[Total]]</f>
        <v>#N/A</v>
      </c>
      <c r="V1930" s="282" t="e">
        <f>+Tabla4[[#This Row],[Comisión Calculada]]*Tabla4[[#This Row],[Total]]</f>
        <v>#N/A</v>
      </c>
    </row>
    <row r="1931" spans="1:22" hidden="1" x14ac:dyDescent="0.25">
      <c r="A1931" s="100">
        <v>45762</v>
      </c>
      <c r="B1931" t="str">
        <f t="shared" ref="B1931:B1936" si="100">TEXT(A1931, "mmmm")</f>
        <v>April</v>
      </c>
      <c r="C1931" s="46" t="s">
        <v>280</v>
      </c>
      <c r="F1931" s="366" t="s">
        <v>1443</v>
      </c>
      <c r="G1931" s="46" t="s">
        <v>83</v>
      </c>
      <c r="H1931" s="46">
        <v>1</v>
      </c>
      <c r="I1931" s="51">
        <v>8858.76</v>
      </c>
      <c r="J1931" s="281">
        <f>++Tabla4[[#This Row],[Precio Bruto]]*1.16</f>
        <v>10276.161599999999</v>
      </c>
      <c r="K1931" s="281">
        <f>+Tabla4[[#This Row],[Precio Unitario Neto]]*Tabla4[[#Headers],[20.85%]]</f>
        <v>2142.5796935999997</v>
      </c>
      <c r="L1931" s="282">
        <f>++Tabla4[[#This Row],[Precio Unitario Neto]]-Tabla4[[#This Row],[20.85%]]</f>
        <v>8133.5819063999998</v>
      </c>
      <c r="M1931" s="282" t="e">
        <f>(INDEX(Tabla6[#All],MATCH(Tabla4[[#This Row],[Producto]],Tabla6[[#All],[PRODUCTO]],0),MATCH(Tabla4[[#This Row],[Mes]],Tabla6[#Headers],0)))*(1+Catalogos!$L$2)</f>
        <v>#N/A</v>
      </c>
      <c r="N1931" s="283" t="e">
        <f>+(Tabla4[[#This Row],[Precio Descontado]]-Tabla4[[#This Row],[Precio Base]])*Tabla4[[#This Row],[Cantidad]]</f>
        <v>#N/A</v>
      </c>
      <c r="O1931" s="284" t="e">
        <f>++Tabla4[[#This Row],[Utilidad Total]]/Tabla4[[#This Row],[Total]]</f>
        <v>#N/A</v>
      </c>
      <c r="P1931" s="282">
        <f>++Tabla4[[#This Row],[Precio Descontado]]*Tabla4[[#This Row],[Cantidad]]</f>
        <v>8133.5819063999998</v>
      </c>
      <c r="Q1931" s="282" t="e">
        <f>(INDEX(Tabla6[#All],MATCH(Tabla4[[#This Row],[Producto]],Tabla6[[#All],[PRODUCTO]],0),MATCH(Tabla4[[#This Row],[Mes]],Tabla6[#Headers],0)))</f>
        <v>#N/A</v>
      </c>
      <c r="R1931" s="282" t="e">
        <f>++Tabla4[[#This Row],[Precio Unitario Neto]]-Tabla4[[#This Row],[20.85%]]-Tabla4[[#This Row],[Costo]]</f>
        <v>#N/A</v>
      </c>
      <c r="S1931" s="282" t="e">
        <f>++Tabla4[[#This Row],[U. Bruta Uni]]*Tabla4[[#This Row],[Cantidad]]</f>
        <v>#N/A</v>
      </c>
      <c r="T1931" s="369" t="str">
        <f>VLOOKUP(Tabla4[[#This Row],[Producto]],Tabla6[#All],14,FALSE)</f>
        <v>Termico Solar</v>
      </c>
      <c r="U1931" s="284" t="e">
        <f>(IF(Tabla4[[#This Row],[Familia]]="termico solar",Tabla4[[#This Row],[Utilidad Total]]*6%,Tabla4[[#This Row],[Utilidad Total]]*11.5%))/Tabla4[[#This Row],[Total]]</f>
        <v>#N/A</v>
      </c>
      <c r="V1931" s="282" t="e">
        <f>+Tabla4[[#This Row],[Comisión Calculada]]*Tabla4[[#This Row],[Total]]</f>
        <v>#N/A</v>
      </c>
    </row>
    <row r="1932" spans="1:22" hidden="1" x14ac:dyDescent="0.25">
      <c r="A1932" s="100">
        <v>45762</v>
      </c>
      <c r="B1932" t="str">
        <f t="shared" si="100"/>
        <v>April</v>
      </c>
      <c r="C1932" s="46" t="s">
        <v>280</v>
      </c>
      <c r="F1932" s="366" t="s">
        <v>1443</v>
      </c>
      <c r="G1932" s="46" t="s">
        <v>17</v>
      </c>
      <c r="H1932" s="46">
        <v>1</v>
      </c>
      <c r="I1932" s="51">
        <v>4622.28</v>
      </c>
      <c r="J1932" s="281">
        <f>++Tabla4[[#This Row],[Precio Bruto]]*1.16</f>
        <v>5361.8447999999989</v>
      </c>
      <c r="K1932" s="281">
        <f>+Tabla4[[#This Row],[Precio Unitario Neto]]*Tabla4[[#Headers],[20.85%]]</f>
        <v>1117.9446407999997</v>
      </c>
      <c r="L1932" s="282">
        <f>++Tabla4[[#This Row],[Precio Unitario Neto]]-Tabla4[[#This Row],[20.85%]]</f>
        <v>4243.9001591999995</v>
      </c>
      <c r="M1932" s="282" t="e">
        <f>(INDEX(Tabla6[#All],MATCH(Tabla4[[#This Row],[Producto]],Tabla6[[#All],[PRODUCTO]],0),MATCH(Tabla4[[#This Row],[Mes]],Tabla6[#Headers],0)))*(1+Catalogos!$L$2)</f>
        <v>#N/A</v>
      </c>
      <c r="N1932" s="283" t="e">
        <f>+(Tabla4[[#This Row],[Precio Descontado]]-Tabla4[[#This Row],[Precio Base]])*Tabla4[[#This Row],[Cantidad]]</f>
        <v>#N/A</v>
      </c>
      <c r="O1932" s="284" t="e">
        <f>++Tabla4[[#This Row],[Utilidad Total]]/Tabla4[[#This Row],[Total]]</f>
        <v>#N/A</v>
      </c>
      <c r="P1932" s="282">
        <f>++Tabla4[[#This Row],[Precio Descontado]]*Tabla4[[#This Row],[Cantidad]]</f>
        <v>4243.9001591999995</v>
      </c>
      <c r="Q1932" s="282" t="e">
        <f>(INDEX(Tabla6[#All],MATCH(Tabla4[[#This Row],[Producto]],Tabla6[[#All],[PRODUCTO]],0),MATCH(Tabla4[[#This Row],[Mes]],Tabla6[#Headers],0)))</f>
        <v>#N/A</v>
      </c>
      <c r="R1932" s="282" t="e">
        <f>++Tabla4[[#This Row],[Precio Unitario Neto]]-Tabla4[[#This Row],[20.85%]]-Tabla4[[#This Row],[Costo]]</f>
        <v>#N/A</v>
      </c>
      <c r="S1932" s="282" t="e">
        <f>++Tabla4[[#This Row],[U. Bruta Uni]]*Tabla4[[#This Row],[Cantidad]]</f>
        <v>#N/A</v>
      </c>
      <c r="T1932" s="369" t="str">
        <f>VLOOKUP(Tabla4[[#This Row],[Producto]],Tabla6[#All],14,FALSE)</f>
        <v>Termico Solar</v>
      </c>
      <c r="U1932" s="284" t="e">
        <f>(IF(Tabla4[[#This Row],[Familia]]="termico solar",Tabla4[[#This Row],[Utilidad Total]]*6%,Tabla4[[#This Row],[Utilidad Total]]*11.5%))/Tabla4[[#This Row],[Total]]</f>
        <v>#N/A</v>
      </c>
      <c r="V1932" s="282" t="e">
        <f>+Tabla4[[#This Row],[Comisión Calculada]]*Tabla4[[#This Row],[Total]]</f>
        <v>#N/A</v>
      </c>
    </row>
    <row r="1933" spans="1:22" hidden="1" x14ac:dyDescent="0.25">
      <c r="A1933" s="100">
        <v>45762</v>
      </c>
      <c r="B1933" t="str">
        <f t="shared" si="100"/>
        <v>April</v>
      </c>
      <c r="C1933" s="46" t="s">
        <v>280</v>
      </c>
      <c r="F1933" s="366" t="s">
        <v>1443</v>
      </c>
      <c r="G1933" s="46" t="s">
        <v>18</v>
      </c>
      <c r="H1933" s="46">
        <v>1</v>
      </c>
      <c r="I1933" s="51">
        <v>5367.65</v>
      </c>
      <c r="J1933" s="281">
        <f>++Tabla4[[#This Row],[Precio Bruto]]*1.16</f>
        <v>6226.4739999999993</v>
      </c>
      <c r="K1933" s="281">
        <f>+Tabla4[[#This Row],[Precio Unitario Neto]]*Tabla4[[#Headers],[20.85%]]</f>
        <v>1298.2198289999999</v>
      </c>
      <c r="L1933" s="282">
        <f>++Tabla4[[#This Row],[Precio Unitario Neto]]-Tabla4[[#This Row],[20.85%]]</f>
        <v>4928.2541709999996</v>
      </c>
      <c r="M1933" s="282" t="e">
        <f>(INDEX(Tabla6[#All],MATCH(Tabla4[[#This Row],[Producto]],Tabla6[[#All],[PRODUCTO]],0),MATCH(Tabla4[[#This Row],[Mes]],Tabla6[#Headers],0)))*(1+Catalogos!$L$2)</f>
        <v>#N/A</v>
      </c>
      <c r="N1933" s="283" t="e">
        <f>+(Tabla4[[#This Row],[Precio Descontado]]-Tabla4[[#This Row],[Precio Base]])*Tabla4[[#This Row],[Cantidad]]</f>
        <v>#N/A</v>
      </c>
      <c r="O1933" s="284" t="e">
        <f>++Tabla4[[#This Row],[Utilidad Total]]/Tabla4[[#This Row],[Total]]</f>
        <v>#N/A</v>
      </c>
      <c r="P1933" s="282">
        <f>++Tabla4[[#This Row],[Precio Descontado]]*Tabla4[[#This Row],[Cantidad]]</f>
        <v>4928.2541709999996</v>
      </c>
      <c r="Q1933" s="282" t="e">
        <f>(INDEX(Tabla6[#All],MATCH(Tabla4[[#This Row],[Producto]],Tabla6[[#All],[PRODUCTO]],0),MATCH(Tabla4[[#This Row],[Mes]],Tabla6[#Headers],0)))</f>
        <v>#N/A</v>
      </c>
      <c r="R1933" s="282" t="e">
        <f>++Tabla4[[#This Row],[Precio Unitario Neto]]-Tabla4[[#This Row],[20.85%]]-Tabla4[[#This Row],[Costo]]</f>
        <v>#N/A</v>
      </c>
      <c r="S1933" s="282" t="e">
        <f>++Tabla4[[#This Row],[U. Bruta Uni]]*Tabla4[[#This Row],[Cantidad]]</f>
        <v>#N/A</v>
      </c>
      <c r="T1933" s="369" t="str">
        <f>VLOOKUP(Tabla4[[#This Row],[Producto]],Tabla6[#All],14,FALSE)</f>
        <v>Termico Solar</v>
      </c>
      <c r="U1933" s="284" t="e">
        <f>(IF(Tabla4[[#This Row],[Familia]]="termico solar",Tabla4[[#This Row],[Utilidad Total]]*6%,Tabla4[[#This Row],[Utilidad Total]]*11.5%))/Tabla4[[#This Row],[Total]]</f>
        <v>#N/A</v>
      </c>
      <c r="V1933" s="282" t="e">
        <f>+Tabla4[[#This Row],[Comisión Calculada]]*Tabla4[[#This Row],[Total]]</f>
        <v>#N/A</v>
      </c>
    </row>
    <row r="1934" spans="1:22" hidden="1" x14ac:dyDescent="0.25">
      <c r="A1934" s="100">
        <v>45762</v>
      </c>
      <c r="B1934" t="str">
        <f t="shared" si="100"/>
        <v>April</v>
      </c>
      <c r="C1934" s="46" t="s">
        <v>280</v>
      </c>
      <c r="F1934" s="366" t="s">
        <v>1443</v>
      </c>
      <c r="G1934" s="46" t="s">
        <v>394</v>
      </c>
      <c r="H1934" s="46">
        <v>16</v>
      </c>
      <c r="I1934" s="51">
        <v>224.29</v>
      </c>
      <c r="J1934" s="281">
        <f>++Tabla4[[#This Row],[Precio Bruto]]*1.16</f>
        <v>260.1764</v>
      </c>
      <c r="K1934" s="281">
        <f>+Tabla4[[#This Row],[Precio Unitario Neto]]*Tabla4[[#Headers],[20.85%]]</f>
        <v>54.246779400000001</v>
      </c>
      <c r="L1934" s="282">
        <f>++Tabla4[[#This Row],[Precio Unitario Neto]]-Tabla4[[#This Row],[20.85%]]</f>
        <v>205.92962059999999</v>
      </c>
      <c r="M1934" s="282" t="e">
        <f>(INDEX(Tabla6[#All],MATCH(Tabla4[[#This Row],[Producto]],Tabla6[[#All],[PRODUCTO]],0),MATCH(Tabla4[[#This Row],[Mes]],Tabla6[#Headers],0)))*(1+Catalogos!$L$2)</f>
        <v>#N/A</v>
      </c>
      <c r="N1934" s="283" t="e">
        <f>+(Tabla4[[#This Row],[Precio Descontado]]-Tabla4[[#This Row],[Precio Base]])*Tabla4[[#This Row],[Cantidad]]</f>
        <v>#N/A</v>
      </c>
      <c r="O1934" s="284" t="e">
        <f>++Tabla4[[#This Row],[Utilidad Total]]/Tabla4[[#This Row],[Total]]</f>
        <v>#N/A</v>
      </c>
      <c r="P1934" s="282">
        <f>++Tabla4[[#This Row],[Precio Descontado]]*Tabla4[[#This Row],[Cantidad]]</f>
        <v>3294.8739295999999</v>
      </c>
      <c r="Q1934" s="282" t="e">
        <f>(INDEX(Tabla6[#All],MATCH(Tabla4[[#This Row],[Producto]],Tabla6[[#All],[PRODUCTO]],0),MATCH(Tabla4[[#This Row],[Mes]],Tabla6[#Headers],0)))</f>
        <v>#N/A</v>
      </c>
      <c r="R1934" s="282" t="e">
        <f>++Tabla4[[#This Row],[Precio Unitario Neto]]-Tabla4[[#This Row],[20.85%]]-Tabla4[[#This Row],[Costo]]</f>
        <v>#N/A</v>
      </c>
      <c r="S1934" s="282" t="e">
        <f>++Tabla4[[#This Row],[U. Bruta Uni]]*Tabla4[[#This Row],[Cantidad]]</f>
        <v>#N/A</v>
      </c>
      <c r="T1934" s="369" t="str">
        <f>VLOOKUP(Tabla4[[#This Row],[Producto]],Tabla6[#All],14,FALSE)</f>
        <v>Termico Solar</v>
      </c>
      <c r="U1934" s="284" t="e">
        <f>(IF(Tabla4[[#This Row],[Familia]]="termico solar",Tabla4[[#This Row],[Utilidad Total]]*6%,Tabla4[[#This Row],[Utilidad Total]]*11.5%))/Tabla4[[#This Row],[Total]]</f>
        <v>#N/A</v>
      </c>
      <c r="V1934" s="282" t="e">
        <f>+Tabla4[[#This Row],[Comisión Calculada]]*Tabla4[[#This Row],[Total]]</f>
        <v>#N/A</v>
      </c>
    </row>
    <row r="1935" spans="1:22" hidden="1" x14ac:dyDescent="0.25">
      <c r="A1935" s="100">
        <v>45762</v>
      </c>
      <c r="B1935" t="str">
        <f t="shared" si="100"/>
        <v>April</v>
      </c>
      <c r="C1935" s="46" t="s">
        <v>280</v>
      </c>
      <c r="F1935" s="366" t="s">
        <v>1443</v>
      </c>
      <c r="G1935" s="46" t="s">
        <v>555</v>
      </c>
      <c r="H1935" s="46">
        <v>8</v>
      </c>
      <c r="I1935" s="51">
        <v>389.47</v>
      </c>
      <c r="J1935" s="281">
        <f>++Tabla4[[#This Row],[Precio Bruto]]*1.16</f>
        <v>451.78519999999997</v>
      </c>
      <c r="K1935" s="281">
        <f>+Tabla4[[#This Row],[Precio Unitario Neto]]*Tabla4[[#Headers],[20.85%]]</f>
        <v>94.197214199999991</v>
      </c>
      <c r="L1935" s="282">
        <f>++Tabla4[[#This Row],[Precio Unitario Neto]]-Tabla4[[#This Row],[20.85%]]</f>
        <v>357.58798579999996</v>
      </c>
      <c r="M1935" s="282" t="e">
        <f>(INDEX(Tabla6[#All],MATCH(Tabla4[[#This Row],[Producto]],Tabla6[[#All],[PRODUCTO]],0),MATCH(Tabla4[[#This Row],[Mes]],Tabla6[#Headers],0)))*(1+Catalogos!$L$2)</f>
        <v>#N/A</v>
      </c>
      <c r="N1935" s="283" t="e">
        <f>+(Tabla4[[#This Row],[Precio Descontado]]-Tabla4[[#This Row],[Precio Base]])*Tabla4[[#This Row],[Cantidad]]</f>
        <v>#N/A</v>
      </c>
      <c r="O1935" s="284" t="e">
        <f>++Tabla4[[#This Row],[Utilidad Total]]/Tabla4[[#This Row],[Total]]</f>
        <v>#N/A</v>
      </c>
      <c r="P1935" s="282">
        <f>++Tabla4[[#This Row],[Precio Descontado]]*Tabla4[[#This Row],[Cantidad]]</f>
        <v>2860.7038863999996</v>
      </c>
      <c r="Q1935" s="282" t="e">
        <f>(INDEX(Tabla6[#All],MATCH(Tabla4[[#This Row],[Producto]],Tabla6[[#All],[PRODUCTO]],0),MATCH(Tabla4[[#This Row],[Mes]],Tabla6[#Headers],0)))</f>
        <v>#N/A</v>
      </c>
      <c r="R1935" s="282" t="e">
        <f>++Tabla4[[#This Row],[Precio Unitario Neto]]-Tabla4[[#This Row],[20.85%]]-Tabla4[[#This Row],[Costo]]</f>
        <v>#N/A</v>
      </c>
      <c r="S1935" s="282" t="e">
        <f>++Tabla4[[#This Row],[U. Bruta Uni]]*Tabla4[[#This Row],[Cantidad]]</f>
        <v>#N/A</v>
      </c>
      <c r="T1935" s="369" t="str">
        <f>VLOOKUP(Tabla4[[#This Row],[Producto]],Tabla6[#All],14,FALSE)</f>
        <v>Termico Solar</v>
      </c>
      <c r="U1935" s="284" t="e">
        <f>(IF(Tabla4[[#This Row],[Familia]]="termico solar",Tabla4[[#This Row],[Utilidad Total]]*6%,Tabla4[[#This Row],[Utilidad Total]]*11.5%))/Tabla4[[#This Row],[Total]]</f>
        <v>#N/A</v>
      </c>
      <c r="V1935" s="282" t="e">
        <f>+Tabla4[[#This Row],[Comisión Calculada]]*Tabla4[[#This Row],[Total]]</f>
        <v>#N/A</v>
      </c>
    </row>
    <row r="1936" spans="1:22" hidden="1" x14ac:dyDescent="0.25">
      <c r="A1936" s="100">
        <v>45762</v>
      </c>
      <c r="B1936" t="str">
        <f t="shared" si="100"/>
        <v>April</v>
      </c>
      <c r="C1936" s="46" t="s">
        <v>280</v>
      </c>
      <c r="F1936" s="366" t="s">
        <v>1443</v>
      </c>
      <c r="G1936" s="46" t="s">
        <v>208</v>
      </c>
      <c r="H1936" s="46">
        <v>2</v>
      </c>
      <c r="I1936" s="51">
        <v>189.75</v>
      </c>
      <c r="J1936" s="281">
        <f>++Tabla4[[#This Row],[Precio Bruto]]*1.16</f>
        <v>220.10999999999999</v>
      </c>
      <c r="K1936" s="281">
        <f>+Tabla4[[#This Row],[Precio Unitario Neto]]*Tabla4[[#Headers],[20.85%]]</f>
        <v>45.892934999999994</v>
      </c>
      <c r="L1936" s="282">
        <f>++Tabla4[[#This Row],[Precio Unitario Neto]]-Tabla4[[#This Row],[20.85%]]</f>
        <v>174.21706499999999</v>
      </c>
      <c r="M1936" s="282" t="e">
        <f>(INDEX(Tabla6[#All],MATCH(Tabla4[[#This Row],[Producto]],Tabla6[[#All],[PRODUCTO]],0),MATCH(Tabla4[[#This Row],[Mes]],Tabla6[#Headers],0)))*(1+Catalogos!$L$2)</f>
        <v>#N/A</v>
      </c>
      <c r="N1936" s="283" t="e">
        <f>+(Tabla4[[#This Row],[Precio Descontado]]-Tabla4[[#This Row],[Precio Base]])*Tabla4[[#This Row],[Cantidad]]</f>
        <v>#N/A</v>
      </c>
      <c r="O1936" s="284" t="e">
        <f>++Tabla4[[#This Row],[Utilidad Total]]/Tabla4[[#This Row],[Total]]</f>
        <v>#N/A</v>
      </c>
      <c r="P1936" s="282">
        <f>++Tabla4[[#This Row],[Precio Descontado]]*Tabla4[[#This Row],[Cantidad]]</f>
        <v>348.43412999999998</v>
      </c>
      <c r="Q1936" s="282" t="e">
        <f>(INDEX(Tabla6[#All],MATCH(Tabla4[[#This Row],[Producto]],Tabla6[[#All],[PRODUCTO]],0),MATCH(Tabla4[[#This Row],[Mes]],Tabla6[#Headers],0)))</f>
        <v>#N/A</v>
      </c>
      <c r="R1936" s="282" t="e">
        <f>++Tabla4[[#This Row],[Precio Unitario Neto]]-Tabla4[[#This Row],[20.85%]]-Tabla4[[#This Row],[Costo]]</f>
        <v>#N/A</v>
      </c>
      <c r="S1936" s="282" t="e">
        <f>++Tabla4[[#This Row],[U. Bruta Uni]]*Tabla4[[#This Row],[Cantidad]]</f>
        <v>#N/A</v>
      </c>
      <c r="T1936" s="369" t="str">
        <f>VLOOKUP(Tabla4[[#This Row],[Producto]],Tabla6[#All],14,FALSE)</f>
        <v>Termico Solar</v>
      </c>
      <c r="U1936" s="284" t="e">
        <f>(IF(Tabla4[[#This Row],[Familia]]="termico solar",Tabla4[[#This Row],[Utilidad Total]]*6%,Tabla4[[#This Row],[Utilidad Total]]*11.5%))/Tabla4[[#This Row],[Total]]</f>
        <v>#N/A</v>
      </c>
      <c r="V1936" s="282" t="e">
        <f>+Tabla4[[#This Row],[Comisión Calculada]]*Tabla4[[#This Row],[Total]]</f>
        <v>#N/A</v>
      </c>
    </row>
    <row r="1937" spans="1:22" hidden="1" x14ac:dyDescent="0.25">
      <c r="A1937" s="100">
        <v>45762</v>
      </c>
      <c r="B1937" t="str">
        <f t="shared" ref="B1937:B1943" si="101">TEXT(A1937, "mmmm")</f>
        <v>April</v>
      </c>
      <c r="C1937" s="46" t="s">
        <v>280</v>
      </c>
      <c r="F1937" s="366" t="s">
        <v>1444</v>
      </c>
      <c r="G1937" s="46" t="s">
        <v>83</v>
      </c>
      <c r="H1937" s="46">
        <v>3</v>
      </c>
      <c r="I1937" s="51">
        <v>8858.76</v>
      </c>
      <c r="J1937" s="281">
        <f>++Tabla4[[#This Row],[Precio Bruto]]*1.16</f>
        <v>10276.161599999999</v>
      </c>
      <c r="K1937" s="281">
        <f>+Tabla4[[#This Row],[Precio Unitario Neto]]*Tabla4[[#Headers],[20.85%]]</f>
        <v>2142.5796935999997</v>
      </c>
      <c r="L1937" s="282">
        <f>++Tabla4[[#This Row],[Precio Unitario Neto]]-Tabla4[[#This Row],[20.85%]]</f>
        <v>8133.5819063999998</v>
      </c>
      <c r="M1937" s="282" t="e">
        <f>(INDEX(Tabla6[#All],MATCH(Tabla4[[#This Row],[Producto]],Tabla6[[#All],[PRODUCTO]],0),MATCH(Tabla4[[#This Row],[Mes]],Tabla6[#Headers],0)))*(1+Catalogos!$L$2)</f>
        <v>#N/A</v>
      </c>
      <c r="N1937" s="283" t="e">
        <f>+(Tabla4[[#This Row],[Precio Descontado]]-Tabla4[[#This Row],[Precio Base]])*Tabla4[[#This Row],[Cantidad]]</f>
        <v>#N/A</v>
      </c>
      <c r="O1937" s="284" t="e">
        <f>++Tabla4[[#This Row],[Utilidad Total]]/Tabla4[[#This Row],[Total]]</f>
        <v>#N/A</v>
      </c>
      <c r="P1937" s="282">
        <f>++Tabla4[[#This Row],[Precio Descontado]]*Tabla4[[#This Row],[Cantidad]]</f>
        <v>24400.7457192</v>
      </c>
      <c r="Q1937" s="282" t="e">
        <f>(INDEX(Tabla6[#All],MATCH(Tabla4[[#This Row],[Producto]],Tabla6[[#All],[PRODUCTO]],0),MATCH(Tabla4[[#This Row],[Mes]],Tabla6[#Headers],0)))</f>
        <v>#N/A</v>
      </c>
      <c r="R1937" s="282" t="e">
        <f>++Tabla4[[#This Row],[Precio Unitario Neto]]-Tabla4[[#This Row],[20.85%]]-Tabla4[[#This Row],[Costo]]</f>
        <v>#N/A</v>
      </c>
      <c r="S1937" s="282" t="e">
        <f>++Tabla4[[#This Row],[U. Bruta Uni]]*Tabla4[[#This Row],[Cantidad]]</f>
        <v>#N/A</v>
      </c>
      <c r="T1937" s="369" t="str">
        <f>VLOOKUP(Tabla4[[#This Row],[Producto]],Tabla6[#All],14,FALSE)</f>
        <v>Termico Solar</v>
      </c>
      <c r="U1937" s="284" t="e">
        <f>(IF(Tabla4[[#This Row],[Familia]]="termico solar",Tabla4[[#This Row],[Utilidad Total]]*6%,Tabla4[[#This Row],[Utilidad Total]]*11.5%))/Tabla4[[#This Row],[Total]]</f>
        <v>#N/A</v>
      </c>
      <c r="V1937" s="282" t="e">
        <f>+Tabla4[[#This Row],[Comisión Calculada]]*Tabla4[[#This Row],[Total]]</f>
        <v>#N/A</v>
      </c>
    </row>
    <row r="1938" spans="1:22" hidden="1" x14ac:dyDescent="0.25">
      <c r="A1938" s="100">
        <v>45762</v>
      </c>
      <c r="B1938" t="str">
        <f t="shared" si="101"/>
        <v>April</v>
      </c>
      <c r="C1938" s="46" t="s">
        <v>280</v>
      </c>
      <c r="F1938" s="366" t="s">
        <v>1444</v>
      </c>
      <c r="G1938" s="46" t="s">
        <v>17</v>
      </c>
      <c r="H1938" s="46">
        <v>2</v>
      </c>
      <c r="I1938" s="51">
        <v>4622.28</v>
      </c>
      <c r="J1938" s="281">
        <f>++Tabla4[[#This Row],[Precio Bruto]]*1.16</f>
        <v>5361.8447999999989</v>
      </c>
      <c r="K1938" s="281">
        <f>+Tabla4[[#This Row],[Precio Unitario Neto]]*Tabla4[[#Headers],[20.85%]]</f>
        <v>1117.9446407999997</v>
      </c>
      <c r="L1938" s="282">
        <f>++Tabla4[[#This Row],[Precio Unitario Neto]]-Tabla4[[#This Row],[20.85%]]</f>
        <v>4243.9001591999995</v>
      </c>
      <c r="M1938" s="282" t="e">
        <f>(INDEX(Tabla6[#All],MATCH(Tabla4[[#This Row],[Producto]],Tabla6[[#All],[PRODUCTO]],0),MATCH(Tabla4[[#This Row],[Mes]],Tabla6[#Headers],0)))*(1+Catalogos!$L$2)</f>
        <v>#N/A</v>
      </c>
      <c r="N1938" s="283" t="e">
        <f>+(Tabla4[[#This Row],[Precio Descontado]]-Tabla4[[#This Row],[Precio Base]])*Tabla4[[#This Row],[Cantidad]]</f>
        <v>#N/A</v>
      </c>
      <c r="O1938" s="284" t="e">
        <f>++Tabla4[[#This Row],[Utilidad Total]]/Tabla4[[#This Row],[Total]]</f>
        <v>#N/A</v>
      </c>
      <c r="P1938" s="282">
        <f>++Tabla4[[#This Row],[Precio Descontado]]*Tabla4[[#This Row],[Cantidad]]</f>
        <v>8487.800318399999</v>
      </c>
      <c r="Q1938" s="282" t="e">
        <f>(INDEX(Tabla6[#All],MATCH(Tabla4[[#This Row],[Producto]],Tabla6[[#All],[PRODUCTO]],0),MATCH(Tabla4[[#This Row],[Mes]],Tabla6[#Headers],0)))</f>
        <v>#N/A</v>
      </c>
      <c r="R1938" s="282" t="e">
        <f>++Tabla4[[#This Row],[Precio Unitario Neto]]-Tabla4[[#This Row],[20.85%]]-Tabla4[[#This Row],[Costo]]</f>
        <v>#N/A</v>
      </c>
      <c r="S1938" s="282" t="e">
        <f>++Tabla4[[#This Row],[U. Bruta Uni]]*Tabla4[[#This Row],[Cantidad]]</f>
        <v>#N/A</v>
      </c>
      <c r="T1938" s="369" t="str">
        <f>VLOOKUP(Tabla4[[#This Row],[Producto]],Tabla6[#All],14,FALSE)</f>
        <v>Termico Solar</v>
      </c>
      <c r="U1938" s="284" t="e">
        <f>(IF(Tabla4[[#This Row],[Familia]]="termico solar",Tabla4[[#This Row],[Utilidad Total]]*6%,Tabla4[[#This Row],[Utilidad Total]]*11.5%))/Tabla4[[#This Row],[Total]]</f>
        <v>#N/A</v>
      </c>
      <c r="V1938" s="282" t="e">
        <f>+Tabla4[[#This Row],[Comisión Calculada]]*Tabla4[[#This Row],[Total]]</f>
        <v>#N/A</v>
      </c>
    </row>
    <row r="1939" spans="1:22" hidden="1" x14ac:dyDescent="0.25">
      <c r="A1939" s="100">
        <v>45762</v>
      </c>
      <c r="B1939" t="str">
        <f t="shared" si="101"/>
        <v>April</v>
      </c>
      <c r="C1939" s="46" t="s">
        <v>280</v>
      </c>
      <c r="F1939" s="366" t="s">
        <v>1444</v>
      </c>
      <c r="G1939" s="46" t="s">
        <v>18</v>
      </c>
      <c r="H1939" s="46">
        <v>1</v>
      </c>
      <c r="I1939" s="51">
        <v>5367.65</v>
      </c>
      <c r="J1939" s="281">
        <f>++Tabla4[[#This Row],[Precio Bruto]]*1.16</f>
        <v>6226.4739999999993</v>
      </c>
      <c r="K1939" s="281">
        <f>+Tabla4[[#This Row],[Precio Unitario Neto]]*Tabla4[[#Headers],[20.85%]]</f>
        <v>1298.2198289999999</v>
      </c>
      <c r="L1939" s="282">
        <f>++Tabla4[[#This Row],[Precio Unitario Neto]]-Tabla4[[#This Row],[20.85%]]</f>
        <v>4928.2541709999996</v>
      </c>
      <c r="M1939" s="282" t="e">
        <f>(INDEX(Tabla6[#All],MATCH(Tabla4[[#This Row],[Producto]],Tabla6[[#All],[PRODUCTO]],0),MATCH(Tabla4[[#This Row],[Mes]],Tabla6[#Headers],0)))*(1+Catalogos!$L$2)</f>
        <v>#N/A</v>
      </c>
      <c r="N1939" s="283" t="e">
        <f>+(Tabla4[[#This Row],[Precio Descontado]]-Tabla4[[#This Row],[Precio Base]])*Tabla4[[#This Row],[Cantidad]]</f>
        <v>#N/A</v>
      </c>
      <c r="O1939" s="284" t="e">
        <f>++Tabla4[[#This Row],[Utilidad Total]]/Tabla4[[#This Row],[Total]]</f>
        <v>#N/A</v>
      </c>
      <c r="P1939" s="282">
        <f>++Tabla4[[#This Row],[Precio Descontado]]*Tabla4[[#This Row],[Cantidad]]</f>
        <v>4928.2541709999996</v>
      </c>
      <c r="Q1939" s="282" t="e">
        <f>(INDEX(Tabla6[#All],MATCH(Tabla4[[#This Row],[Producto]],Tabla6[[#All],[PRODUCTO]],0),MATCH(Tabla4[[#This Row],[Mes]],Tabla6[#Headers],0)))</f>
        <v>#N/A</v>
      </c>
      <c r="R1939" s="282" t="e">
        <f>++Tabla4[[#This Row],[Precio Unitario Neto]]-Tabla4[[#This Row],[20.85%]]-Tabla4[[#This Row],[Costo]]</f>
        <v>#N/A</v>
      </c>
      <c r="S1939" s="282" t="e">
        <f>++Tabla4[[#This Row],[U. Bruta Uni]]*Tabla4[[#This Row],[Cantidad]]</f>
        <v>#N/A</v>
      </c>
      <c r="T1939" s="369" t="str">
        <f>VLOOKUP(Tabla4[[#This Row],[Producto]],Tabla6[#All],14,FALSE)</f>
        <v>Termico Solar</v>
      </c>
      <c r="U1939" s="284" t="e">
        <f>(IF(Tabla4[[#This Row],[Familia]]="termico solar",Tabla4[[#This Row],[Utilidad Total]]*6%,Tabla4[[#This Row],[Utilidad Total]]*11.5%))/Tabla4[[#This Row],[Total]]</f>
        <v>#N/A</v>
      </c>
      <c r="V1939" s="282" t="e">
        <f>+Tabla4[[#This Row],[Comisión Calculada]]*Tabla4[[#This Row],[Total]]</f>
        <v>#N/A</v>
      </c>
    </row>
    <row r="1940" spans="1:22" hidden="1" x14ac:dyDescent="0.25">
      <c r="A1940" s="100">
        <v>45762</v>
      </c>
      <c r="B1940" t="str">
        <f t="shared" si="101"/>
        <v>April</v>
      </c>
      <c r="C1940" s="46" t="s">
        <v>280</v>
      </c>
      <c r="F1940" s="366" t="s">
        <v>1444</v>
      </c>
      <c r="G1940" s="46" t="s">
        <v>16</v>
      </c>
      <c r="H1940" s="46">
        <v>4</v>
      </c>
      <c r="I1940" s="51">
        <v>4103.8500000000004</v>
      </c>
      <c r="J1940" s="281">
        <f>++Tabla4[[#This Row],[Precio Bruto]]*1.16</f>
        <v>4760.4660000000003</v>
      </c>
      <c r="K1940" s="281">
        <f>+Tabla4[[#This Row],[Precio Unitario Neto]]*Tabla4[[#Headers],[20.85%]]</f>
        <v>992.55716100000006</v>
      </c>
      <c r="L1940" s="282">
        <f>++Tabla4[[#This Row],[Precio Unitario Neto]]-Tabla4[[#This Row],[20.85%]]</f>
        <v>3767.9088390000002</v>
      </c>
      <c r="M1940" s="282" t="e">
        <f>(INDEX(Tabla6[#All],MATCH(Tabla4[[#This Row],[Producto]],Tabla6[[#All],[PRODUCTO]],0),MATCH(Tabla4[[#This Row],[Mes]],Tabla6[#Headers],0)))*(1+Catalogos!$L$2)</f>
        <v>#N/A</v>
      </c>
      <c r="N1940" s="283" t="e">
        <f>+(Tabla4[[#This Row],[Precio Descontado]]-Tabla4[[#This Row],[Precio Base]])*Tabla4[[#This Row],[Cantidad]]</f>
        <v>#N/A</v>
      </c>
      <c r="O1940" s="284" t="e">
        <f>++Tabla4[[#This Row],[Utilidad Total]]/Tabla4[[#This Row],[Total]]</f>
        <v>#N/A</v>
      </c>
      <c r="P1940" s="282">
        <f>++Tabla4[[#This Row],[Precio Descontado]]*Tabla4[[#This Row],[Cantidad]]</f>
        <v>15071.635356000001</v>
      </c>
      <c r="Q1940" s="282" t="e">
        <f>(INDEX(Tabla6[#All],MATCH(Tabla4[[#This Row],[Producto]],Tabla6[[#All],[PRODUCTO]],0),MATCH(Tabla4[[#This Row],[Mes]],Tabla6[#Headers],0)))</f>
        <v>#N/A</v>
      </c>
      <c r="R1940" s="282" t="e">
        <f>++Tabla4[[#This Row],[Precio Unitario Neto]]-Tabla4[[#This Row],[20.85%]]-Tabla4[[#This Row],[Costo]]</f>
        <v>#N/A</v>
      </c>
      <c r="S1940" s="282" t="e">
        <f>++Tabla4[[#This Row],[U. Bruta Uni]]*Tabla4[[#This Row],[Cantidad]]</f>
        <v>#N/A</v>
      </c>
      <c r="T1940" s="369" t="str">
        <f>VLOOKUP(Tabla4[[#This Row],[Producto]],Tabla6[#All],14,FALSE)</f>
        <v>Termico Solar</v>
      </c>
      <c r="U1940" s="284" t="e">
        <f>(IF(Tabla4[[#This Row],[Familia]]="termico solar",Tabla4[[#This Row],[Utilidad Total]]*6%,Tabla4[[#This Row],[Utilidad Total]]*11.5%))/Tabla4[[#This Row],[Total]]</f>
        <v>#N/A</v>
      </c>
      <c r="V1940" s="282" t="e">
        <f>+Tabla4[[#This Row],[Comisión Calculada]]*Tabla4[[#This Row],[Total]]</f>
        <v>#N/A</v>
      </c>
    </row>
    <row r="1941" spans="1:22" hidden="1" x14ac:dyDescent="0.25">
      <c r="A1941" s="100">
        <v>45762</v>
      </c>
      <c r="B1941" t="str">
        <f t="shared" si="101"/>
        <v>April</v>
      </c>
      <c r="C1941" s="46" t="s">
        <v>280</v>
      </c>
      <c r="F1941" s="366" t="s">
        <v>1444</v>
      </c>
      <c r="G1941" s="46" t="s">
        <v>394</v>
      </c>
      <c r="H1941" s="46">
        <v>16</v>
      </c>
      <c r="I1941" s="51">
        <v>224.29</v>
      </c>
      <c r="J1941" s="281">
        <f>++Tabla4[[#This Row],[Precio Bruto]]*1.16</f>
        <v>260.1764</v>
      </c>
      <c r="K1941" s="281">
        <f>+Tabla4[[#This Row],[Precio Unitario Neto]]*Tabla4[[#Headers],[20.85%]]</f>
        <v>54.246779400000001</v>
      </c>
      <c r="L1941" s="282">
        <f>++Tabla4[[#This Row],[Precio Unitario Neto]]-Tabla4[[#This Row],[20.85%]]</f>
        <v>205.92962059999999</v>
      </c>
      <c r="M1941" s="282" t="e">
        <f>(INDEX(Tabla6[#All],MATCH(Tabla4[[#This Row],[Producto]],Tabla6[[#All],[PRODUCTO]],0),MATCH(Tabla4[[#This Row],[Mes]],Tabla6[#Headers],0)))*(1+Catalogos!$L$2)</f>
        <v>#N/A</v>
      </c>
      <c r="N1941" s="283" t="e">
        <f>+(Tabla4[[#This Row],[Precio Descontado]]-Tabla4[[#This Row],[Precio Base]])*Tabla4[[#This Row],[Cantidad]]</f>
        <v>#N/A</v>
      </c>
      <c r="O1941" s="284" t="e">
        <f>++Tabla4[[#This Row],[Utilidad Total]]/Tabla4[[#This Row],[Total]]</f>
        <v>#N/A</v>
      </c>
      <c r="P1941" s="282">
        <f>++Tabla4[[#This Row],[Precio Descontado]]*Tabla4[[#This Row],[Cantidad]]</f>
        <v>3294.8739295999999</v>
      </c>
      <c r="Q1941" s="282" t="e">
        <f>(INDEX(Tabla6[#All],MATCH(Tabla4[[#This Row],[Producto]],Tabla6[[#All],[PRODUCTO]],0),MATCH(Tabla4[[#This Row],[Mes]],Tabla6[#Headers],0)))</f>
        <v>#N/A</v>
      </c>
      <c r="R1941" s="282" t="e">
        <f>++Tabla4[[#This Row],[Precio Unitario Neto]]-Tabla4[[#This Row],[20.85%]]-Tabla4[[#This Row],[Costo]]</f>
        <v>#N/A</v>
      </c>
      <c r="S1941" s="282" t="e">
        <f>++Tabla4[[#This Row],[U. Bruta Uni]]*Tabla4[[#This Row],[Cantidad]]</f>
        <v>#N/A</v>
      </c>
      <c r="T1941" s="369" t="str">
        <f>VLOOKUP(Tabla4[[#This Row],[Producto]],Tabla6[#All],14,FALSE)</f>
        <v>Termico Solar</v>
      </c>
      <c r="U1941" s="284" t="e">
        <f>(IF(Tabla4[[#This Row],[Familia]]="termico solar",Tabla4[[#This Row],[Utilidad Total]]*6%,Tabla4[[#This Row],[Utilidad Total]]*11.5%))/Tabla4[[#This Row],[Total]]</f>
        <v>#N/A</v>
      </c>
      <c r="V1941" s="282" t="e">
        <f>+Tabla4[[#This Row],[Comisión Calculada]]*Tabla4[[#This Row],[Total]]</f>
        <v>#N/A</v>
      </c>
    </row>
    <row r="1942" spans="1:22" hidden="1" x14ac:dyDescent="0.25">
      <c r="A1942" s="100">
        <v>45762</v>
      </c>
      <c r="B1942" t="str">
        <f t="shared" si="101"/>
        <v>April</v>
      </c>
      <c r="C1942" s="46" t="s">
        <v>280</v>
      </c>
      <c r="F1942" s="366" t="s">
        <v>1444</v>
      </c>
      <c r="G1942" s="46" t="s">
        <v>555</v>
      </c>
      <c r="H1942" s="46">
        <v>8</v>
      </c>
      <c r="I1942" s="51">
        <v>389.47</v>
      </c>
      <c r="J1942" s="281">
        <f>++Tabla4[[#This Row],[Precio Bruto]]*1.16</f>
        <v>451.78519999999997</v>
      </c>
      <c r="K1942" s="281">
        <f>+Tabla4[[#This Row],[Precio Unitario Neto]]*Tabla4[[#Headers],[20.85%]]</f>
        <v>94.197214199999991</v>
      </c>
      <c r="L1942" s="282">
        <f>++Tabla4[[#This Row],[Precio Unitario Neto]]-Tabla4[[#This Row],[20.85%]]</f>
        <v>357.58798579999996</v>
      </c>
      <c r="M1942" s="282" t="e">
        <f>(INDEX(Tabla6[#All],MATCH(Tabla4[[#This Row],[Producto]],Tabla6[[#All],[PRODUCTO]],0),MATCH(Tabla4[[#This Row],[Mes]],Tabla6[#Headers],0)))*(1+Catalogos!$L$2)</f>
        <v>#N/A</v>
      </c>
      <c r="N1942" s="283" t="e">
        <f>+(Tabla4[[#This Row],[Precio Descontado]]-Tabla4[[#This Row],[Precio Base]])*Tabla4[[#This Row],[Cantidad]]</f>
        <v>#N/A</v>
      </c>
      <c r="O1942" s="284" t="e">
        <f>++Tabla4[[#This Row],[Utilidad Total]]/Tabla4[[#This Row],[Total]]</f>
        <v>#N/A</v>
      </c>
      <c r="P1942" s="282">
        <f>++Tabla4[[#This Row],[Precio Descontado]]*Tabla4[[#This Row],[Cantidad]]</f>
        <v>2860.7038863999996</v>
      </c>
      <c r="Q1942" s="282" t="e">
        <f>(INDEX(Tabla6[#All],MATCH(Tabla4[[#This Row],[Producto]],Tabla6[[#All],[PRODUCTO]],0),MATCH(Tabla4[[#This Row],[Mes]],Tabla6[#Headers],0)))</f>
        <v>#N/A</v>
      </c>
      <c r="R1942" s="282" t="e">
        <f>++Tabla4[[#This Row],[Precio Unitario Neto]]-Tabla4[[#This Row],[20.85%]]-Tabla4[[#This Row],[Costo]]</f>
        <v>#N/A</v>
      </c>
      <c r="S1942" s="282" t="e">
        <f>++Tabla4[[#This Row],[U. Bruta Uni]]*Tabla4[[#This Row],[Cantidad]]</f>
        <v>#N/A</v>
      </c>
      <c r="T1942" s="369" t="str">
        <f>VLOOKUP(Tabla4[[#This Row],[Producto]],Tabla6[#All],14,FALSE)</f>
        <v>Termico Solar</v>
      </c>
      <c r="U1942" s="284" t="e">
        <f>(IF(Tabla4[[#This Row],[Familia]]="termico solar",Tabla4[[#This Row],[Utilidad Total]]*6%,Tabla4[[#This Row],[Utilidad Total]]*11.5%))/Tabla4[[#This Row],[Total]]</f>
        <v>#N/A</v>
      </c>
      <c r="V1942" s="282" t="e">
        <f>+Tabla4[[#This Row],[Comisión Calculada]]*Tabla4[[#This Row],[Total]]</f>
        <v>#N/A</v>
      </c>
    </row>
    <row r="1943" spans="1:22" hidden="1" x14ac:dyDescent="0.25">
      <c r="A1943" s="100">
        <v>45762</v>
      </c>
      <c r="B1943" t="str">
        <f t="shared" si="101"/>
        <v>April</v>
      </c>
      <c r="C1943" s="46" t="s">
        <v>280</v>
      </c>
      <c r="F1943" s="366" t="s">
        <v>1444</v>
      </c>
      <c r="G1943" s="46" t="s">
        <v>208</v>
      </c>
      <c r="H1943" s="46">
        <v>2</v>
      </c>
      <c r="I1943" s="51">
        <v>189.75</v>
      </c>
      <c r="J1943" s="281">
        <f>++Tabla4[[#This Row],[Precio Bruto]]*1.16</f>
        <v>220.10999999999999</v>
      </c>
      <c r="K1943" s="281">
        <f>+Tabla4[[#This Row],[Precio Unitario Neto]]*Tabla4[[#Headers],[20.85%]]</f>
        <v>45.892934999999994</v>
      </c>
      <c r="L1943" s="282">
        <f>++Tabla4[[#This Row],[Precio Unitario Neto]]-Tabla4[[#This Row],[20.85%]]</f>
        <v>174.21706499999999</v>
      </c>
      <c r="M1943" s="282" t="e">
        <f>(INDEX(Tabla6[#All],MATCH(Tabla4[[#This Row],[Producto]],Tabla6[[#All],[PRODUCTO]],0),MATCH(Tabla4[[#This Row],[Mes]],Tabla6[#Headers],0)))*(1+Catalogos!$L$2)</f>
        <v>#N/A</v>
      </c>
      <c r="N1943" s="283" t="e">
        <f>+(Tabla4[[#This Row],[Precio Descontado]]-Tabla4[[#This Row],[Precio Base]])*Tabla4[[#This Row],[Cantidad]]</f>
        <v>#N/A</v>
      </c>
      <c r="O1943" s="284" t="e">
        <f>++Tabla4[[#This Row],[Utilidad Total]]/Tabla4[[#This Row],[Total]]</f>
        <v>#N/A</v>
      </c>
      <c r="P1943" s="282">
        <f>++Tabla4[[#This Row],[Precio Descontado]]*Tabla4[[#This Row],[Cantidad]]</f>
        <v>348.43412999999998</v>
      </c>
      <c r="Q1943" s="282" t="e">
        <f>(INDEX(Tabla6[#All],MATCH(Tabla4[[#This Row],[Producto]],Tabla6[[#All],[PRODUCTO]],0),MATCH(Tabla4[[#This Row],[Mes]],Tabla6[#Headers],0)))</f>
        <v>#N/A</v>
      </c>
      <c r="R1943" s="282" t="e">
        <f>++Tabla4[[#This Row],[Precio Unitario Neto]]-Tabla4[[#This Row],[20.85%]]-Tabla4[[#This Row],[Costo]]</f>
        <v>#N/A</v>
      </c>
      <c r="S1943" s="282" t="e">
        <f>++Tabla4[[#This Row],[U. Bruta Uni]]*Tabla4[[#This Row],[Cantidad]]</f>
        <v>#N/A</v>
      </c>
      <c r="T1943" s="369" t="str">
        <f>VLOOKUP(Tabla4[[#This Row],[Producto]],Tabla6[#All],14,FALSE)</f>
        <v>Termico Solar</v>
      </c>
      <c r="U1943" s="284" t="e">
        <f>(IF(Tabla4[[#This Row],[Familia]]="termico solar",Tabla4[[#This Row],[Utilidad Total]]*6%,Tabla4[[#This Row],[Utilidad Total]]*11.5%))/Tabla4[[#This Row],[Total]]</f>
        <v>#N/A</v>
      </c>
      <c r="V1943" s="282" t="e">
        <f>+Tabla4[[#This Row],[Comisión Calculada]]*Tabla4[[#This Row],[Total]]</f>
        <v>#N/A</v>
      </c>
    </row>
    <row r="1944" spans="1:22" hidden="1" x14ac:dyDescent="0.25">
      <c r="A1944" s="100">
        <v>45762</v>
      </c>
      <c r="B1944" t="str">
        <f t="shared" ref="B1944:B1975" si="102">TEXT(A1944, "mmmm")</f>
        <v>April</v>
      </c>
      <c r="C1944" s="46" t="s">
        <v>280</v>
      </c>
      <c r="F1944" s="366" t="s">
        <v>1445</v>
      </c>
      <c r="G1944" s="46" t="s">
        <v>394</v>
      </c>
      <c r="H1944" s="46">
        <v>16</v>
      </c>
      <c r="I1944" s="51">
        <v>224.29</v>
      </c>
      <c r="J1944" s="281">
        <f>++Tabla4[[#This Row],[Precio Bruto]]*1.16</f>
        <v>260.1764</v>
      </c>
      <c r="K1944" s="281">
        <f>+Tabla4[[#This Row],[Precio Unitario Neto]]*Tabla4[[#Headers],[20.85%]]</f>
        <v>54.246779400000001</v>
      </c>
      <c r="L1944" s="282">
        <f>++Tabla4[[#This Row],[Precio Unitario Neto]]-Tabla4[[#This Row],[20.85%]]</f>
        <v>205.92962059999999</v>
      </c>
      <c r="M1944" s="282" t="e">
        <f>(INDEX(Tabla6[#All],MATCH(Tabla4[[#This Row],[Producto]],Tabla6[[#All],[PRODUCTO]],0),MATCH(Tabla4[[#This Row],[Mes]],Tabla6[#Headers],0)))*(1+Catalogos!$L$2)</f>
        <v>#N/A</v>
      </c>
      <c r="N1944" s="283" t="e">
        <f>+(Tabla4[[#This Row],[Precio Descontado]]-Tabla4[[#This Row],[Precio Base]])*Tabla4[[#This Row],[Cantidad]]</f>
        <v>#N/A</v>
      </c>
      <c r="O1944" s="284" t="e">
        <f>++Tabla4[[#This Row],[Utilidad Total]]/Tabla4[[#This Row],[Total]]</f>
        <v>#N/A</v>
      </c>
      <c r="P1944" s="282">
        <f>++Tabla4[[#This Row],[Precio Descontado]]*Tabla4[[#This Row],[Cantidad]]</f>
        <v>3294.8739295999999</v>
      </c>
      <c r="Q1944" s="282" t="e">
        <f>(INDEX(Tabla6[#All],MATCH(Tabla4[[#This Row],[Producto]],Tabla6[[#All],[PRODUCTO]],0),MATCH(Tabla4[[#This Row],[Mes]],Tabla6[#Headers],0)))</f>
        <v>#N/A</v>
      </c>
      <c r="R1944" s="282" t="e">
        <f>++Tabla4[[#This Row],[Precio Unitario Neto]]-Tabla4[[#This Row],[20.85%]]-Tabla4[[#This Row],[Costo]]</f>
        <v>#N/A</v>
      </c>
      <c r="S1944" s="282" t="e">
        <f>++Tabla4[[#This Row],[U. Bruta Uni]]*Tabla4[[#This Row],[Cantidad]]</f>
        <v>#N/A</v>
      </c>
      <c r="T1944" s="369" t="str">
        <f>VLOOKUP(Tabla4[[#This Row],[Producto]],Tabla6[#All],14,FALSE)</f>
        <v>Termico Solar</v>
      </c>
      <c r="U1944" s="284" t="e">
        <f>(IF(Tabla4[[#This Row],[Familia]]="termico solar",Tabla4[[#This Row],[Utilidad Total]]*6%,Tabla4[[#This Row],[Utilidad Total]]*11.5%))/Tabla4[[#This Row],[Total]]</f>
        <v>#N/A</v>
      </c>
      <c r="V1944" s="282" t="e">
        <f>+Tabla4[[#This Row],[Comisión Calculada]]*Tabla4[[#This Row],[Total]]</f>
        <v>#N/A</v>
      </c>
    </row>
    <row r="1945" spans="1:22" hidden="1" x14ac:dyDescent="0.25">
      <c r="A1945" s="100">
        <v>45762</v>
      </c>
      <c r="B1945" t="str">
        <f t="shared" si="102"/>
        <v>April</v>
      </c>
      <c r="C1945" s="46" t="s">
        <v>280</v>
      </c>
      <c r="F1945" s="366" t="s">
        <v>1445</v>
      </c>
      <c r="G1945" s="46" t="s">
        <v>555</v>
      </c>
      <c r="H1945" s="46">
        <v>8</v>
      </c>
      <c r="I1945" s="51">
        <v>389.47</v>
      </c>
      <c r="J1945" s="281">
        <f>++Tabla4[[#This Row],[Precio Bruto]]*1.16</f>
        <v>451.78519999999997</v>
      </c>
      <c r="K1945" s="281">
        <f>+Tabla4[[#This Row],[Precio Unitario Neto]]*Tabla4[[#Headers],[20.85%]]</f>
        <v>94.197214199999991</v>
      </c>
      <c r="L1945" s="282">
        <f>++Tabla4[[#This Row],[Precio Unitario Neto]]-Tabla4[[#This Row],[20.85%]]</f>
        <v>357.58798579999996</v>
      </c>
      <c r="M1945" s="282" t="e">
        <f>(INDEX(Tabla6[#All],MATCH(Tabla4[[#This Row],[Producto]],Tabla6[[#All],[PRODUCTO]],0),MATCH(Tabla4[[#This Row],[Mes]],Tabla6[#Headers],0)))*(1+Catalogos!$L$2)</f>
        <v>#N/A</v>
      </c>
      <c r="N1945" s="283" t="e">
        <f>+(Tabla4[[#This Row],[Precio Descontado]]-Tabla4[[#This Row],[Precio Base]])*Tabla4[[#This Row],[Cantidad]]</f>
        <v>#N/A</v>
      </c>
      <c r="O1945" s="284" t="e">
        <f>++Tabla4[[#This Row],[Utilidad Total]]/Tabla4[[#This Row],[Total]]</f>
        <v>#N/A</v>
      </c>
      <c r="P1945" s="282">
        <f>++Tabla4[[#This Row],[Precio Descontado]]*Tabla4[[#This Row],[Cantidad]]</f>
        <v>2860.7038863999996</v>
      </c>
      <c r="Q1945" s="282" t="e">
        <f>(INDEX(Tabla6[#All],MATCH(Tabla4[[#This Row],[Producto]],Tabla6[[#All],[PRODUCTO]],0),MATCH(Tabla4[[#This Row],[Mes]],Tabla6[#Headers],0)))</f>
        <v>#N/A</v>
      </c>
      <c r="R1945" s="282" t="e">
        <f>++Tabla4[[#This Row],[Precio Unitario Neto]]-Tabla4[[#This Row],[20.85%]]-Tabla4[[#This Row],[Costo]]</f>
        <v>#N/A</v>
      </c>
      <c r="S1945" s="282" t="e">
        <f>++Tabla4[[#This Row],[U. Bruta Uni]]*Tabla4[[#This Row],[Cantidad]]</f>
        <v>#N/A</v>
      </c>
      <c r="T1945" s="369" t="str">
        <f>VLOOKUP(Tabla4[[#This Row],[Producto]],Tabla6[#All],14,FALSE)</f>
        <v>Termico Solar</v>
      </c>
      <c r="U1945" s="284" t="e">
        <f>(IF(Tabla4[[#This Row],[Familia]]="termico solar",Tabla4[[#This Row],[Utilidad Total]]*6%,Tabla4[[#This Row],[Utilidad Total]]*11.5%))/Tabla4[[#This Row],[Total]]</f>
        <v>#N/A</v>
      </c>
      <c r="V1945" s="282" t="e">
        <f>+Tabla4[[#This Row],[Comisión Calculada]]*Tabla4[[#This Row],[Total]]</f>
        <v>#N/A</v>
      </c>
    </row>
    <row r="1946" spans="1:22" hidden="1" x14ac:dyDescent="0.25">
      <c r="A1946" s="100">
        <v>45762</v>
      </c>
      <c r="B1946" t="str">
        <f t="shared" si="102"/>
        <v>April</v>
      </c>
      <c r="C1946" s="46" t="s">
        <v>280</v>
      </c>
      <c r="F1946" s="366" t="s">
        <v>1445</v>
      </c>
      <c r="G1946" s="46" t="s">
        <v>208</v>
      </c>
      <c r="H1946" s="46">
        <v>2</v>
      </c>
      <c r="I1946" s="51">
        <v>189.75</v>
      </c>
      <c r="J1946" s="281">
        <f>++Tabla4[[#This Row],[Precio Bruto]]*1.16</f>
        <v>220.10999999999999</v>
      </c>
      <c r="K1946" s="281">
        <f>+Tabla4[[#This Row],[Precio Unitario Neto]]*Tabla4[[#Headers],[20.85%]]</f>
        <v>45.892934999999994</v>
      </c>
      <c r="L1946" s="282">
        <f>++Tabla4[[#This Row],[Precio Unitario Neto]]-Tabla4[[#This Row],[20.85%]]</f>
        <v>174.21706499999999</v>
      </c>
      <c r="M1946" s="282" t="e">
        <f>(INDEX(Tabla6[#All],MATCH(Tabla4[[#This Row],[Producto]],Tabla6[[#All],[PRODUCTO]],0),MATCH(Tabla4[[#This Row],[Mes]],Tabla6[#Headers],0)))*(1+Catalogos!$L$2)</f>
        <v>#N/A</v>
      </c>
      <c r="N1946" s="283" t="e">
        <f>+(Tabla4[[#This Row],[Precio Descontado]]-Tabla4[[#This Row],[Precio Base]])*Tabla4[[#This Row],[Cantidad]]</f>
        <v>#N/A</v>
      </c>
      <c r="O1946" s="284" t="e">
        <f>++Tabla4[[#This Row],[Utilidad Total]]/Tabla4[[#This Row],[Total]]</f>
        <v>#N/A</v>
      </c>
      <c r="P1946" s="282">
        <f>++Tabla4[[#This Row],[Precio Descontado]]*Tabla4[[#This Row],[Cantidad]]</f>
        <v>348.43412999999998</v>
      </c>
      <c r="Q1946" s="282" t="e">
        <f>(INDEX(Tabla6[#All],MATCH(Tabla4[[#This Row],[Producto]],Tabla6[[#All],[PRODUCTO]],0),MATCH(Tabla4[[#This Row],[Mes]],Tabla6[#Headers],0)))</f>
        <v>#N/A</v>
      </c>
      <c r="R1946" s="282" t="e">
        <f>++Tabla4[[#This Row],[Precio Unitario Neto]]-Tabla4[[#This Row],[20.85%]]-Tabla4[[#This Row],[Costo]]</f>
        <v>#N/A</v>
      </c>
      <c r="S1946" s="282" t="e">
        <f>++Tabla4[[#This Row],[U. Bruta Uni]]*Tabla4[[#This Row],[Cantidad]]</f>
        <v>#N/A</v>
      </c>
      <c r="T1946" s="369" t="str">
        <f>VLOOKUP(Tabla4[[#This Row],[Producto]],Tabla6[#All],14,FALSE)</f>
        <v>Termico Solar</v>
      </c>
      <c r="U1946" s="284" t="e">
        <f>(IF(Tabla4[[#This Row],[Familia]]="termico solar",Tabla4[[#This Row],[Utilidad Total]]*6%,Tabla4[[#This Row],[Utilidad Total]]*11.5%))/Tabla4[[#This Row],[Total]]</f>
        <v>#N/A</v>
      </c>
      <c r="V1946" s="282" t="e">
        <f>+Tabla4[[#This Row],[Comisión Calculada]]*Tabla4[[#This Row],[Total]]</f>
        <v>#N/A</v>
      </c>
    </row>
    <row r="1947" spans="1:22" hidden="1" x14ac:dyDescent="0.25">
      <c r="A1947" s="100">
        <v>45762</v>
      </c>
      <c r="B1947" t="str">
        <f t="shared" si="102"/>
        <v>April</v>
      </c>
      <c r="C1947" s="46" t="s">
        <v>280</v>
      </c>
      <c r="F1947" s="366" t="s">
        <v>1446</v>
      </c>
      <c r="G1947" s="46" t="s">
        <v>208</v>
      </c>
      <c r="H1947" s="46">
        <v>3</v>
      </c>
      <c r="I1947" s="51">
        <v>189.75</v>
      </c>
      <c r="J1947" s="281">
        <f>++Tabla4[[#This Row],[Precio Bruto]]*1.16</f>
        <v>220.10999999999999</v>
      </c>
      <c r="K1947" s="281">
        <f>+Tabla4[[#This Row],[Precio Unitario Neto]]*Tabla4[[#Headers],[20.85%]]</f>
        <v>45.892934999999994</v>
      </c>
      <c r="L1947" s="282">
        <f>++Tabla4[[#This Row],[Precio Unitario Neto]]-Tabla4[[#This Row],[20.85%]]</f>
        <v>174.21706499999999</v>
      </c>
      <c r="M1947" s="282" t="e">
        <f>(INDEX(Tabla6[#All],MATCH(Tabla4[[#This Row],[Producto]],Tabla6[[#All],[PRODUCTO]],0),MATCH(Tabla4[[#This Row],[Mes]],Tabla6[#Headers],0)))*(1+Catalogos!$L$2)</f>
        <v>#N/A</v>
      </c>
      <c r="N1947" s="283" t="e">
        <f>+(Tabla4[[#This Row],[Precio Descontado]]-Tabla4[[#This Row],[Precio Base]])*Tabla4[[#This Row],[Cantidad]]</f>
        <v>#N/A</v>
      </c>
      <c r="O1947" s="284" t="e">
        <f>++Tabla4[[#This Row],[Utilidad Total]]/Tabla4[[#This Row],[Total]]</f>
        <v>#N/A</v>
      </c>
      <c r="P1947" s="282">
        <f>++Tabla4[[#This Row],[Precio Descontado]]*Tabla4[[#This Row],[Cantidad]]</f>
        <v>522.65119499999992</v>
      </c>
      <c r="Q1947" s="282" t="e">
        <f>(INDEX(Tabla6[#All],MATCH(Tabla4[[#This Row],[Producto]],Tabla6[[#All],[PRODUCTO]],0),MATCH(Tabla4[[#This Row],[Mes]],Tabla6[#Headers],0)))</f>
        <v>#N/A</v>
      </c>
      <c r="R1947" s="282" t="e">
        <f>++Tabla4[[#This Row],[Precio Unitario Neto]]-Tabla4[[#This Row],[20.85%]]-Tabla4[[#This Row],[Costo]]</f>
        <v>#N/A</v>
      </c>
      <c r="S1947" s="282" t="e">
        <f>++Tabla4[[#This Row],[U. Bruta Uni]]*Tabla4[[#This Row],[Cantidad]]</f>
        <v>#N/A</v>
      </c>
      <c r="T1947" s="369" t="str">
        <f>VLOOKUP(Tabla4[[#This Row],[Producto]],Tabla6[#All],14,FALSE)</f>
        <v>Termico Solar</v>
      </c>
      <c r="U1947" s="284" t="e">
        <f>(IF(Tabla4[[#This Row],[Familia]]="termico solar",Tabla4[[#This Row],[Utilidad Total]]*6%,Tabla4[[#This Row],[Utilidad Total]]*11.5%))/Tabla4[[#This Row],[Total]]</f>
        <v>#N/A</v>
      </c>
      <c r="V1947" s="282" t="e">
        <f>+Tabla4[[#This Row],[Comisión Calculada]]*Tabla4[[#This Row],[Total]]</f>
        <v>#N/A</v>
      </c>
    </row>
    <row r="1948" spans="1:22" hidden="1" x14ac:dyDescent="0.25">
      <c r="A1948" s="100">
        <v>45762</v>
      </c>
      <c r="B1948" t="str">
        <f t="shared" si="102"/>
        <v>April</v>
      </c>
      <c r="C1948" s="46" t="s">
        <v>280</v>
      </c>
      <c r="F1948" s="366" t="s">
        <v>1447</v>
      </c>
      <c r="G1948" s="46" t="s">
        <v>394</v>
      </c>
      <c r="H1948" s="46">
        <v>16</v>
      </c>
      <c r="I1948" s="51">
        <v>224.29</v>
      </c>
      <c r="J1948" s="281">
        <f>++Tabla4[[#This Row],[Precio Bruto]]*1.16</f>
        <v>260.1764</v>
      </c>
      <c r="K1948" s="281">
        <f>+Tabla4[[#This Row],[Precio Unitario Neto]]*Tabla4[[#Headers],[20.85%]]</f>
        <v>54.246779400000001</v>
      </c>
      <c r="L1948" s="282">
        <f>++Tabla4[[#This Row],[Precio Unitario Neto]]-Tabla4[[#This Row],[20.85%]]</f>
        <v>205.92962059999999</v>
      </c>
      <c r="M1948" s="282" t="e">
        <f>(INDEX(Tabla6[#All],MATCH(Tabla4[[#This Row],[Producto]],Tabla6[[#All],[PRODUCTO]],0),MATCH(Tabla4[[#This Row],[Mes]],Tabla6[#Headers],0)))*(1+Catalogos!$L$2)</f>
        <v>#N/A</v>
      </c>
      <c r="N1948" s="283" t="e">
        <f>+(Tabla4[[#This Row],[Precio Descontado]]-Tabla4[[#This Row],[Precio Base]])*Tabla4[[#This Row],[Cantidad]]</f>
        <v>#N/A</v>
      </c>
      <c r="O1948" s="284" t="e">
        <f>++Tabla4[[#This Row],[Utilidad Total]]/Tabla4[[#This Row],[Total]]</f>
        <v>#N/A</v>
      </c>
      <c r="P1948" s="282">
        <f>++Tabla4[[#This Row],[Precio Descontado]]*Tabla4[[#This Row],[Cantidad]]</f>
        <v>3294.8739295999999</v>
      </c>
      <c r="Q1948" s="282" t="e">
        <f>(INDEX(Tabla6[#All],MATCH(Tabla4[[#This Row],[Producto]],Tabla6[[#All],[PRODUCTO]],0),MATCH(Tabla4[[#This Row],[Mes]],Tabla6[#Headers],0)))</f>
        <v>#N/A</v>
      </c>
      <c r="R1948" s="282" t="e">
        <f>++Tabla4[[#This Row],[Precio Unitario Neto]]-Tabla4[[#This Row],[20.85%]]-Tabla4[[#This Row],[Costo]]</f>
        <v>#N/A</v>
      </c>
      <c r="S1948" s="282" t="e">
        <f>++Tabla4[[#This Row],[U. Bruta Uni]]*Tabla4[[#This Row],[Cantidad]]</f>
        <v>#N/A</v>
      </c>
      <c r="T1948" s="369" t="str">
        <f>VLOOKUP(Tabla4[[#This Row],[Producto]],Tabla6[#All],14,FALSE)</f>
        <v>Termico Solar</v>
      </c>
      <c r="U1948" s="284" t="e">
        <f>(IF(Tabla4[[#This Row],[Familia]]="termico solar",Tabla4[[#This Row],[Utilidad Total]]*6%,Tabla4[[#This Row],[Utilidad Total]]*11.5%))/Tabla4[[#This Row],[Total]]</f>
        <v>#N/A</v>
      </c>
      <c r="V1948" s="282" t="e">
        <f>+Tabla4[[#This Row],[Comisión Calculada]]*Tabla4[[#This Row],[Total]]</f>
        <v>#N/A</v>
      </c>
    </row>
    <row r="1949" spans="1:22" hidden="1" x14ac:dyDescent="0.25">
      <c r="A1949" s="100">
        <v>45762</v>
      </c>
      <c r="B1949" t="str">
        <f t="shared" si="102"/>
        <v>April</v>
      </c>
      <c r="C1949" s="46" t="s">
        <v>280</v>
      </c>
      <c r="F1949" s="366" t="s">
        <v>1447</v>
      </c>
      <c r="G1949" s="46" t="s">
        <v>555</v>
      </c>
      <c r="H1949" s="46">
        <v>8</v>
      </c>
      <c r="I1949" s="51">
        <v>389.47</v>
      </c>
      <c r="J1949" s="281">
        <f>++Tabla4[[#This Row],[Precio Bruto]]*1.16</f>
        <v>451.78519999999997</v>
      </c>
      <c r="K1949" s="281">
        <f>+Tabla4[[#This Row],[Precio Unitario Neto]]*Tabla4[[#Headers],[20.85%]]</f>
        <v>94.197214199999991</v>
      </c>
      <c r="L1949" s="282">
        <f>++Tabla4[[#This Row],[Precio Unitario Neto]]-Tabla4[[#This Row],[20.85%]]</f>
        <v>357.58798579999996</v>
      </c>
      <c r="M1949" s="282" t="e">
        <f>(INDEX(Tabla6[#All],MATCH(Tabla4[[#This Row],[Producto]],Tabla6[[#All],[PRODUCTO]],0),MATCH(Tabla4[[#This Row],[Mes]],Tabla6[#Headers],0)))*(1+Catalogos!$L$2)</f>
        <v>#N/A</v>
      </c>
      <c r="N1949" s="283" t="e">
        <f>+(Tabla4[[#This Row],[Precio Descontado]]-Tabla4[[#This Row],[Precio Base]])*Tabla4[[#This Row],[Cantidad]]</f>
        <v>#N/A</v>
      </c>
      <c r="O1949" s="284" t="e">
        <f>++Tabla4[[#This Row],[Utilidad Total]]/Tabla4[[#This Row],[Total]]</f>
        <v>#N/A</v>
      </c>
      <c r="P1949" s="282">
        <f>++Tabla4[[#This Row],[Precio Descontado]]*Tabla4[[#This Row],[Cantidad]]</f>
        <v>2860.7038863999996</v>
      </c>
      <c r="Q1949" s="282" t="e">
        <f>(INDEX(Tabla6[#All],MATCH(Tabla4[[#This Row],[Producto]],Tabla6[[#All],[PRODUCTO]],0),MATCH(Tabla4[[#This Row],[Mes]],Tabla6[#Headers],0)))</f>
        <v>#N/A</v>
      </c>
      <c r="R1949" s="282" t="e">
        <f>++Tabla4[[#This Row],[Precio Unitario Neto]]-Tabla4[[#This Row],[20.85%]]-Tabla4[[#This Row],[Costo]]</f>
        <v>#N/A</v>
      </c>
      <c r="S1949" s="282" t="e">
        <f>++Tabla4[[#This Row],[U. Bruta Uni]]*Tabla4[[#This Row],[Cantidad]]</f>
        <v>#N/A</v>
      </c>
      <c r="T1949" s="369" t="str">
        <f>VLOOKUP(Tabla4[[#This Row],[Producto]],Tabla6[#All],14,FALSE)</f>
        <v>Termico Solar</v>
      </c>
      <c r="U1949" s="284" t="e">
        <f>(IF(Tabla4[[#This Row],[Familia]]="termico solar",Tabla4[[#This Row],[Utilidad Total]]*6%,Tabla4[[#This Row],[Utilidad Total]]*11.5%))/Tabla4[[#This Row],[Total]]</f>
        <v>#N/A</v>
      </c>
      <c r="V1949" s="282" t="e">
        <f>+Tabla4[[#This Row],[Comisión Calculada]]*Tabla4[[#This Row],[Total]]</f>
        <v>#N/A</v>
      </c>
    </row>
    <row r="1950" spans="1:22" hidden="1" x14ac:dyDescent="0.25">
      <c r="A1950" s="100">
        <v>45762</v>
      </c>
      <c r="B1950" t="str">
        <f t="shared" si="102"/>
        <v>April</v>
      </c>
      <c r="C1950" s="46" t="s">
        <v>280</v>
      </c>
      <c r="F1950" s="366" t="s">
        <v>1447</v>
      </c>
      <c r="G1950" s="46" t="s">
        <v>208</v>
      </c>
      <c r="H1950" s="46">
        <v>2</v>
      </c>
      <c r="I1950" s="51">
        <v>189.75</v>
      </c>
      <c r="J1950" s="281">
        <f>++Tabla4[[#This Row],[Precio Bruto]]*1.16</f>
        <v>220.10999999999999</v>
      </c>
      <c r="K1950" s="281">
        <f>+Tabla4[[#This Row],[Precio Unitario Neto]]*Tabla4[[#Headers],[20.85%]]</f>
        <v>45.892934999999994</v>
      </c>
      <c r="L1950" s="282">
        <f>++Tabla4[[#This Row],[Precio Unitario Neto]]-Tabla4[[#This Row],[20.85%]]</f>
        <v>174.21706499999999</v>
      </c>
      <c r="M1950" s="282" t="e">
        <f>(INDEX(Tabla6[#All],MATCH(Tabla4[[#This Row],[Producto]],Tabla6[[#All],[PRODUCTO]],0),MATCH(Tabla4[[#This Row],[Mes]],Tabla6[#Headers],0)))*(1+Catalogos!$L$2)</f>
        <v>#N/A</v>
      </c>
      <c r="N1950" s="283" t="e">
        <f>+(Tabla4[[#This Row],[Precio Descontado]]-Tabla4[[#This Row],[Precio Base]])*Tabla4[[#This Row],[Cantidad]]</f>
        <v>#N/A</v>
      </c>
      <c r="O1950" s="284" t="e">
        <f>++Tabla4[[#This Row],[Utilidad Total]]/Tabla4[[#This Row],[Total]]</f>
        <v>#N/A</v>
      </c>
      <c r="P1950" s="282">
        <f>++Tabla4[[#This Row],[Precio Descontado]]*Tabla4[[#This Row],[Cantidad]]</f>
        <v>348.43412999999998</v>
      </c>
      <c r="Q1950" s="282" t="e">
        <f>(INDEX(Tabla6[#All],MATCH(Tabla4[[#This Row],[Producto]],Tabla6[[#All],[PRODUCTO]],0),MATCH(Tabla4[[#This Row],[Mes]],Tabla6[#Headers],0)))</f>
        <v>#N/A</v>
      </c>
      <c r="R1950" s="282" t="e">
        <f>++Tabla4[[#This Row],[Precio Unitario Neto]]-Tabla4[[#This Row],[20.85%]]-Tabla4[[#This Row],[Costo]]</f>
        <v>#N/A</v>
      </c>
      <c r="S1950" s="282" t="e">
        <f>++Tabla4[[#This Row],[U. Bruta Uni]]*Tabla4[[#This Row],[Cantidad]]</f>
        <v>#N/A</v>
      </c>
      <c r="T1950" s="369" t="str">
        <f>VLOOKUP(Tabla4[[#This Row],[Producto]],Tabla6[#All],14,FALSE)</f>
        <v>Termico Solar</v>
      </c>
      <c r="U1950" s="284" t="e">
        <f>(IF(Tabla4[[#This Row],[Familia]]="termico solar",Tabla4[[#This Row],[Utilidad Total]]*6%,Tabla4[[#This Row],[Utilidad Total]]*11.5%))/Tabla4[[#This Row],[Total]]</f>
        <v>#N/A</v>
      </c>
      <c r="V1950" s="282" t="e">
        <f>+Tabla4[[#This Row],[Comisión Calculada]]*Tabla4[[#This Row],[Total]]</f>
        <v>#N/A</v>
      </c>
    </row>
    <row r="1951" spans="1:22" hidden="1" x14ac:dyDescent="0.25">
      <c r="A1951" s="100">
        <v>45762</v>
      </c>
      <c r="B1951" t="str">
        <f t="shared" si="102"/>
        <v>April</v>
      </c>
      <c r="C1951" s="46" t="s">
        <v>280</v>
      </c>
      <c r="F1951" s="366" t="s">
        <v>1448</v>
      </c>
      <c r="G1951" s="46" t="s">
        <v>208</v>
      </c>
      <c r="H1951" s="46">
        <v>15</v>
      </c>
      <c r="I1951" s="51">
        <v>140.63</v>
      </c>
      <c r="J1951" s="281">
        <f>++Tabla4[[#This Row],[Precio Bruto]]*1.16</f>
        <v>163.13079999999999</v>
      </c>
      <c r="K1951" s="281">
        <f>+Tabla4[[#This Row],[Precio Unitario Neto]]*Tabla4[[#Headers],[20.85%]]</f>
        <v>34.012771799999996</v>
      </c>
      <c r="L1951" s="282">
        <f>++Tabla4[[#This Row],[Precio Unitario Neto]]-Tabla4[[#This Row],[20.85%]]</f>
        <v>129.1180282</v>
      </c>
      <c r="M1951" s="282" t="e">
        <f>(INDEX(Tabla6[#All],MATCH(Tabla4[[#This Row],[Producto]],Tabla6[[#All],[PRODUCTO]],0),MATCH(Tabla4[[#This Row],[Mes]],Tabla6[#Headers],0)))*(1+Catalogos!$L$2)</f>
        <v>#N/A</v>
      </c>
      <c r="N1951" s="283" t="e">
        <f>+(Tabla4[[#This Row],[Precio Descontado]]-Tabla4[[#This Row],[Precio Base]])*Tabla4[[#This Row],[Cantidad]]</f>
        <v>#N/A</v>
      </c>
      <c r="O1951" s="284" t="e">
        <f>++Tabla4[[#This Row],[Utilidad Total]]/Tabla4[[#This Row],[Total]]</f>
        <v>#N/A</v>
      </c>
      <c r="P1951" s="282">
        <f>++Tabla4[[#This Row],[Precio Descontado]]*Tabla4[[#This Row],[Cantidad]]</f>
        <v>1936.7704229999999</v>
      </c>
      <c r="Q1951" s="282" t="e">
        <f>(INDEX(Tabla6[#All],MATCH(Tabla4[[#This Row],[Producto]],Tabla6[[#All],[PRODUCTO]],0),MATCH(Tabla4[[#This Row],[Mes]],Tabla6[#Headers],0)))</f>
        <v>#N/A</v>
      </c>
      <c r="R1951" s="282" t="e">
        <f>++Tabla4[[#This Row],[Precio Unitario Neto]]-Tabla4[[#This Row],[20.85%]]-Tabla4[[#This Row],[Costo]]</f>
        <v>#N/A</v>
      </c>
      <c r="S1951" s="282" t="e">
        <f>++Tabla4[[#This Row],[U. Bruta Uni]]*Tabla4[[#This Row],[Cantidad]]</f>
        <v>#N/A</v>
      </c>
      <c r="T1951" s="369" t="str">
        <f>VLOOKUP(Tabla4[[#This Row],[Producto]],Tabla6[#All],14,FALSE)</f>
        <v>Termico Solar</v>
      </c>
      <c r="U1951" s="284" t="e">
        <f>(IF(Tabla4[[#This Row],[Familia]]="termico solar",Tabla4[[#This Row],[Utilidad Total]]*6%,Tabla4[[#This Row],[Utilidad Total]]*11.5%))/Tabla4[[#This Row],[Total]]</f>
        <v>#N/A</v>
      </c>
      <c r="V1951" s="282" t="e">
        <f>+Tabla4[[#This Row],[Comisión Calculada]]*Tabla4[[#This Row],[Total]]</f>
        <v>#N/A</v>
      </c>
    </row>
    <row r="1952" spans="1:22" hidden="1" x14ac:dyDescent="0.25">
      <c r="A1952" s="100">
        <v>45762</v>
      </c>
      <c r="B1952" t="str">
        <f t="shared" si="102"/>
        <v>April</v>
      </c>
      <c r="C1952" s="46" t="s">
        <v>280</v>
      </c>
      <c r="F1952" s="366" t="s">
        <v>1448</v>
      </c>
      <c r="G1952" s="46" t="s">
        <v>394</v>
      </c>
      <c r="H1952" s="46">
        <v>16</v>
      </c>
      <c r="I1952" s="51">
        <v>224.29</v>
      </c>
      <c r="J1952" s="281">
        <f>++Tabla4[[#This Row],[Precio Bruto]]*1.16</f>
        <v>260.1764</v>
      </c>
      <c r="K1952" s="281">
        <f>+Tabla4[[#This Row],[Precio Unitario Neto]]*Tabla4[[#Headers],[20.85%]]</f>
        <v>54.246779400000001</v>
      </c>
      <c r="L1952" s="282">
        <f>++Tabla4[[#This Row],[Precio Unitario Neto]]-Tabla4[[#This Row],[20.85%]]</f>
        <v>205.92962059999999</v>
      </c>
      <c r="M1952" s="282" t="e">
        <f>(INDEX(Tabla6[#All],MATCH(Tabla4[[#This Row],[Producto]],Tabla6[[#All],[PRODUCTO]],0),MATCH(Tabla4[[#This Row],[Mes]],Tabla6[#Headers],0)))*(1+Catalogos!$L$2)</f>
        <v>#N/A</v>
      </c>
      <c r="N1952" s="283" t="e">
        <f>+(Tabla4[[#This Row],[Precio Descontado]]-Tabla4[[#This Row],[Precio Base]])*Tabla4[[#This Row],[Cantidad]]</f>
        <v>#N/A</v>
      </c>
      <c r="O1952" s="284" t="e">
        <f>++Tabla4[[#This Row],[Utilidad Total]]/Tabla4[[#This Row],[Total]]</f>
        <v>#N/A</v>
      </c>
      <c r="P1952" s="282">
        <f>++Tabla4[[#This Row],[Precio Descontado]]*Tabla4[[#This Row],[Cantidad]]</f>
        <v>3294.8739295999999</v>
      </c>
      <c r="Q1952" s="282" t="e">
        <f>(INDEX(Tabla6[#All],MATCH(Tabla4[[#This Row],[Producto]],Tabla6[[#All],[PRODUCTO]],0),MATCH(Tabla4[[#This Row],[Mes]],Tabla6[#Headers],0)))</f>
        <v>#N/A</v>
      </c>
      <c r="R1952" s="282" t="e">
        <f>++Tabla4[[#This Row],[Precio Unitario Neto]]-Tabla4[[#This Row],[20.85%]]-Tabla4[[#This Row],[Costo]]</f>
        <v>#N/A</v>
      </c>
      <c r="S1952" s="282" t="e">
        <f>++Tabla4[[#This Row],[U. Bruta Uni]]*Tabla4[[#This Row],[Cantidad]]</f>
        <v>#N/A</v>
      </c>
      <c r="T1952" s="369" t="str">
        <f>VLOOKUP(Tabla4[[#This Row],[Producto]],Tabla6[#All],14,FALSE)</f>
        <v>Termico Solar</v>
      </c>
      <c r="U1952" s="284" t="e">
        <f>(IF(Tabla4[[#This Row],[Familia]]="termico solar",Tabla4[[#This Row],[Utilidad Total]]*6%,Tabla4[[#This Row],[Utilidad Total]]*11.5%))/Tabla4[[#This Row],[Total]]</f>
        <v>#N/A</v>
      </c>
      <c r="V1952" s="282" t="e">
        <f>+Tabla4[[#This Row],[Comisión Calculada]]*Tabla4[[#This Row],[Total]]</f>
        <v>#N/A</v>
      </c>
    </row>
    <row r="1953" spans="1:22" hidden="1" x14ac:dyDescent="0.25">
      <c r="A1953" s="100">
        <v>45762</v>
      </c>
      <c r="B1953" t="str">
        <f t="shared" si="102"/>
        <v>April</v>
      </c>
      <c r="C1953" s="46" t="s">
        <v>280</v>
      </c>
      <c r="F1953" s="366" t="s">
        <v>1448</v>
      </c>
      <c r="G1953" s="46" t="s">
        <v>555</v>
      </c>
      <c r="H1953" s="46">
        <v>8</v>
      </c>
      <c r="I1953" s="51">
        <v>389.47</v>
      </c>
      <c r="J1953" s="281">
        <f>++Tabla4[[#This Row],[Precio Bruto]]*1.16</f>
        <v>451.78519999999997</v>
      </c>
      <c r="K1953" s="281">
        <f>+Tabla4[[#This Row],[Precio Unitario Neto]]*Tabla4[[#Headers],[20.85%]]</f>
        <v>94.197214199999991</v>
      </c>
      <c r="L1953" s="282">
        <f>++Tabla4[[#This Row],[Precio Unitario Neto]]-Tabla4[[#This Row],[20.85%]]</f>
        <v>357.58798579999996</v>
      </c>
      <c r="M1953" s="282" t="e">
        <f>(INDEX(Tabla6[#All],MATCH(Tabla4[[#This Row],[Producto]],Tabla6[[#All],[PRODUCTO]],0),MATCH(Tabla4[[#This Row],[Mes]],Tabla6[#Headers],0)))*(1+Catalogos!$L$2)</f>
        <v>#N/A</v>
      </c>
      <c r="N1953" s="283" t="e">
        <f>+(Tabla4[[#This Row],[Precio Descontado]]-Tabla4[[#This Row],[Precio Base]])*Tabla4[[#This Row],[Cantidad]]</f>
        <v>#N/A</v>
      </c>
      <c r="O1953" s="284" t="e">
        <f>++Tabla4[[#This Row],[Utilidad Total]]/Tabla4[[#This Row],[Total]]</f>
        <v>#N/A</v>
      </c>
      <c r="P1953" s="282">
        <f>++Tabla4[[#This Row],[Precio Descontado]]*Tabla4[[#This Row],[Cantidad]]</f>
        <v>2860.7038863999996</v>
      </c>
      <c r="Q1953" s="282" t="e">
        <f>(INDEX(Tabla6[#All],MATCH(Tabla4[[#This Row],[Producto]],Tabla6[[#All],[PRODUCTO]],0),MATCH(Tabla4[[#This Row],[Mes]],Tabla6[#Headers],0)))</f>
        <v>#N/A</v>
      </c>
      <c r="R1953" s="282" t="e">
        <f>++Tabla4[[#This Row],[Precio Unitario Neto]]-Tabla4[[#This Row],[20.85%]]-Tabla4[[#This Row],[Costo]]</f>
        <v>#N/A</v>
      </c>
      <c r="S1953" s="282" t="e">
        <f>++Tabla4[[#This Row],[U. Bruta Uni]]*Tabla4[[#This Row],[Cantidad]]</f>
        <v>#N/A</v>
      </c>
      <c r="T1953" s="369" t="str">
        <f>VLOOKUP(Tabla4[[#This Row],[Producto]],Tabla6[#All],14,FALSE)</f>
        <v>Termico Solar</v>
      </c>
      <c r="U1953" s="284" t="e">
        <f>(IF(Tabla4[[#This Row],[Familia]]="termico solar",Tabla4[[#This Row],[Utilidad Total]]*6%,Tabla4[[#This Row],[Utilidad Total]]*11.5%))/Tabla4[[#This Row],[Total]]</f>
        <v>#N/A</v>
      </c>
      <c r="V1953" s="282" t="e">
        <f>+Tabla4[[#This Row],[Comisión Calculada]]*Tabla4[[#This Row],[Total]]</f>
        <v>#N/A</v>
      </c>
    </row>
    <row r="1954" spans="1:22" hidden="1" x14ac:dyDescent="0.25">
      <c r="A1954" s="100">
        <v>45762</v>
      </c>
      <c r="B1954" t="str">
        <f t="shared" si="102"/>
        <v>April</v>
      </c>
      <c r="C1954" s="46" t="s">
        <v>280</v>
      </c>
      <c r="F1954" s="366" t="s">
        <v>1449</v>
      </c>
      <c r="G1954" s="46" t="s">
        <v>18</v>
      </c>
      <c r="H1954" s="46">
        <v>5</v>
      </c>
      <c r="I1954" s="51">
        <v>5367.65</v>
      </c>
      <c r="J1954" s="281">
        <f>++Tabla4[[#This Row],[Precio Bruto]]*1.16</f>
        <v>6226.4739999999993</v>
      </c>
      <c r="K1954" s="281">
        <f>+Tabla4[[#This Row],[Precio Unitario Neto]]*Tabla4[[#Headers],[20.85%]]</f>
        <v>1298.2198289999999</v>
      </c>
      <c r="L1954" s="282">
        <f>++Tabla4[[#This Row],[Precio Unitario Neto]]-Tabla4[[#This Row],[20.85%]]</f>
        <v>4928.2541709999996</v>
      </c>
      <c r="M1954" s="282" t="e">
        <f>(INDEX(Tabla6[#All],MATCH(Tabla4[[#This Row],[Producto]],Tabla6[[#All],[PRODUCTO]],0),MATCH(Tabla4[[#This Row],[Mes]],Tabla6[#Headers],0)))*(1+Catalogos!$L$2)</f>
        <v>#N/A</v>
      </c>
      <c r="N1954" s="283" t="e">
        <f>+(Tabla4[[#This Row],[Precio Descontado]]-Tabla4[[#This Row],[Precio Base]])*Tabla4[[#This Row],[Cantidad]]</f>
        <v>#N/A</v>
      </c>
      <c r="O1954" s="284" t="e">
        <f>++Tabla4[[#This Row],[Utilidad Total]]/Tabla4[[#This Row],[Total]]</f>
        <v>#N/A</v>
      </c>
      <c r="P1954" s="282">
        <f>++Tabla4[[#This Row],[Precio Descontado]]*Tabla4[[#This Row],[Cantidad]]</f>
        <v>24641.270854999999</v>
      </c>
      <c r="Q1954" s="282" t="e">
        <f>(INDEX(Tabla6[#All],MATCH(Tabla4[[#This Row],[Producto]],Tabla6[[#All],[PRODUCTO]],0),MATCH(Tabla4[[#This Row],[Mes]],Tabla6[#Headers],0)))</f>
        <v>#N/A</v>
      </c>
      <c r="R1954" s="282" t="e">
        <f>++Tabla4[[#This Row],[Precio Unitario Neto]]-Tabla4[[#This Row],[20.85%]]-Tabla4[[#This Row],[Costo]]</f>
        <v>#N/A</v>
      </c>
      <c r="S1954" s="282" t="e">
        <f>++Tabla4[[#This Row],[U. Bruta Uni]]*Tabla4[[#This Row],[Cantidad]]</f>
        <v>#N/A</v>
      </c>
      <c r="T1954" s="369" t="str">
        <f>VLOOKUP(Tabla4[[#This Row],[Producto]],Tabla6[#All],14,FALSE)</f>
        <v>Termico Solar</v>
      </c>
      <c r="U1954" s="284" t="e">
        <f>(IF(Tabla4[[#This Row],[Familia]]="termico solar",Tabla4[[#This Row],[Utilidad Total]]*6%,Tabla4[[#This Row],[Utilidad Total]]*11.5%))/Tabla4[[#This Row],[Total]]</f>
        <v>#N/A</v>
      </c>
      <c r="V1954" s="282" t="e">
        <f>+Tabla4[[#This Row],[Comisión Calculada]]*Tabla4[[#This Row],[Total]]</f>
        <v>#N/A</v>
      </c>
    </row>
    <row r="1955" spans="1:22" hidden="1" x14ac:dyDescent="0.25">
      <c r="A1955" s="100">
        <v>45762</v>
      </c>
      <c r="B1955" t="str">
        <f t="shared" si="102"/>
        <v>April</v>
      </c>
      <c r="C1955" s="46" t="s">
        <v>280</v>
      </c>
      <c r="F1955" s="366" t="s">
        <v>1449</v>
      </c>
      <c r="G1955" s="46" t="s">
        <v>394</v>
      </c>
      <c r="H1955" s="46">
        <v>16</v>
      </c>
      <c r="I1955" s="51">
        <v>224.29</v>
      </c>
      <c r="J1955" s="281">
        <f>++Tabla4[[#This Row],[Precio Bruto]]*1.16</f>
        <v>260.1764</v>
      </c>
      <c r="K1955" s="281">
        <f>+Tabla4[[#This Row],[Precio Unitario Neto]]*Tabla4[[#Headers],[20.85%]]</f>
        <v>54.246779400000001</v>
      </c>
      <c r="L1955" s="282">
        <f>++Tabla4[[#This Row],[Precio Unitario Neto]]-Tabla4[[#This Row],[20.85%]]</f>
        <v>205.92962059999999</v>
      </c>
      <c r="M1955" s="282" t="e">
        <f>(INDEX(Tabla6[#All],MATCH(Tabla4[[#This Row],[Producto]],Tabla6[[#All],[PRODUCTO]],0),MATCH(Tabla4[[#This Row],[Mes]],Tabla6[#Headers],0)))*(1+Catalogos!$L$2)</f>
        <v>#N/A</v>
      </c>
      <c r="N1955" s="283" t="e">
        <f>+(Tabla4[[#This Row],[Precio Descontado]]-Tabla4[[#This Row],[Precio Base]])*Tabla4[[#This Row],[Cantidad]]</f>
        <v>#N/A</v>
      </c>
      <c r="O1955" s="284" t="e">
        <f>++Tabla4[[#This Row],[Utilidad Total]]/Tabla4[[#This Row],[Total]]</f>
        <v>#N/A</v>
      </c>
      <c r="P1955" s="282">
        <f>++Tabla4[[#This Row],[Precio Descontado]]*Tabla4[[#This Row],[Cantidad]]</f>
        <v>3294.8739295999999</v>
      </c>
      <c r="Q1955" s="282" t="e">
        <f>(INDEX(Tabla6[#All],MATCH(Tabla4[[#This Row],[Producto]],Tabla6[[#All],[PRODUCTO]],0),MATCH(Tabla4[[#This Row],[Mes]],Tabla6[#Headers],0)))</f>
        <v>#N/A</v>
      </c>
      <c r="R1955" s="282" t="e">
        <f>++Tabla4[[#This Row],[Precio Unitario Neto]]-Tabla4[[#This Row],[20.85%]]-Tabla4[[#This Row],[Costo]]</f>
        <v>#N/A</v>
      </c>
      <c r="S1955" s="282" t="e">
        <f>++Tabla4[[#This Row],[U. Bruta Uni]]*Tabla4[[#This Row],[Cantidad]]</f>
        <v>#N/A</v>
      </c>
      <c r="T1955" s="369" t="str">
        <f>VLOOKUP(Tabla4[[#This Row],[Producto]],Tabla6[#All],14,FALSE)</f>
        <v>Termico Solar</v>
      </c>
      <c r="U1955" s="284" t="e">
        <f>(IF(Tabla4[[#This Row],[Familia]]="termico solar",Tabla4[[#This Row],[Utilidad Total]]*6%,Tabla4[[#This Row],[Utilidad Total]]*11.5%))/Tabla4[[#This Row],[Total]]</f>
        <v>#N/A</v>
      </c>
      <c r="V1955" s="282" t="e">
        <f>+Tabla4[[#This Row],[Comisión Calculada]]*Tabla4[[#This Row],[Total]]</f>
        <v>#N/A</v>
      </c>
    </row>
    <row r="1956" spans="1:22" hidden="1" x14ac:dyDescent="0.25">
      <c r="A1956" s="100">
        <v>45762</v>
      </c>
      <c r="B1956" t="str">
        <f t="shared" si="102"/>
        <v>April</v>
      </c>
      <c r="C1956" s="46" t="s">
        <v>280</v>
      </c>
      <c r="F1956" s="366" t="s">
        <v>1450</v>
      </c>
      <c r="G1956" s="46" t="s">
        <v>83</v>
      </c>
      <c r="H1956" s="46">
        <v>1</v>
      </c>
      <c r="I1956" s="51">
        <v>8858.76</v>
      </c>
      <c r="J1956" s="281">
        <f>++Tabla4[[#This Row],[Precio Bruto]]*1.16</f>
        <v>10276.161599999999</v>
      </c>
      <c r="K1956" s="281">
        <f>+Tabla4[[#This Row],[Precio Unitario Neto]]*Tabla4[[#Headers],[20.85%]]</f>
        <v>2142.5796935999997</v>
      </c>
      <c r="L1956" s="282">
        <f>++Tabla4[[#This Row],[Precio Unitario Neto]]-Tabla4[[#This Row],[20.85%]]</f>
        <v>8133.5819063999998</v>
      </c>
      <c r="M1956" s="282" t="e">
        <f>(INDEX(Tabla6[#All],MATCH(Tabla4[[#This Row],[Producto]],Tabla6[[#All],[PRODUCTO]],0),MATCH(Tabla4[[#This Row],[Mes]],Tabla6[#Headers],0)))*(1+Catalogos!$L$2)</f>
        <v>#N/A</v>
      </c>
      <c r="N1956" s="283" t="e">
        <f>+(Tabla4[[#This Row],[Precio Descontado]]-Tabla4[[#This Row],[Precio Base]])*Tabla4[[#This Row],[Cantidad]]</f>
        <v>#N/A</v>
      </c>
      <c r="O1956" s="284" t="e">
        <f>++Tabla4[[#This Row],[Utilidad Total]]/Tabla4[[#This Row],[Total]]</f>
        <v>#N/A</v>
      </c>
      <c r="P1956" s="282">
        <f>++Tabla4[[#This Row],[Precio Descontado]]*Tabla4[[#This Row],[Cantidad]]</f>
        <v>8133.5819063999998</v>
      </c>
      <c r="Q1956" s="282" t="e">
        <f>(INDEX(Tabla6[#All],MATCH(Tabla4[[#This Row],[Producto]],Tabla6[[#All],[PRODUCTO]],0),MATCH(Tabla4[[#This Row],[Mes]],Tabla6[#Headers],0)))</f>
        <v>#N/A</v>
      </c>
      <c r="R1956" s="282" t="e">
        <f>++Tabla4[[#This Row],[Precio Unitario Neto]]-Tabla4[[#This Row],[20.85%]]-Tabla4[[#This Row],[Costo]]</f>
        <v>#N/A</v>
      </c>
      <c r="S1956" s="282" t="e">
        <f>++Tabla4[[#This Row],[U. Bruta Uni]]*Tabla4[[#This Row],[Cantidad]]</f>
        <v>#N/A</v>
      </c>
      <c r="T1956" s="369" t="str">
        <f>VLOOKUP(Tabla4[[#This Row],[Producto]],Tabla6[#All],14,FALSE)</f>
        <v>Termico Solar</v>
      </c>
      <c r="U1956" s="284" t="e">
        <f>(IF(Tabla4[[#This Row],[Familia]]="termico solar",Tabla4[[#This Row],[Utilidad Total]]*6%,Tabla4[[#This Row],[Utilidad Total]]*11.5%))/Tabla4[[#This Row],[Total]]</f>
        <v>#N/A</v>
      </c>
      <c r="V1956" s="282" t="e">
        <f>+Tabla4[[#This Row],[Comisión Calculada]]*Tabla4[[#This Row],[Total]]</f>
        <v>#N/A</v>
      </c>
    </row>
    <row r="1957" spans="1:22" hidden="1" x14ac:dyDescent="0.25">
      <c r="A1957" s="100">
        <v>45762</v>
      </c>
      <c r="B1957" t="str">
        <f t="shared" si="102"/>
        <v>April</v>
      </c>
      <c r="C1957" s="46" t="s">
        <v>280</v>
      </c>
      <c r="F1957" s="366" t="s">
        <v>1450</v>
      </c>
      <c r="G1957" s="46" t="s">
        <v>394</v>
      </c>
      <c r="H1957" s="46">
        <v>16</v>
      </c>
      <c r="I1957" s="51">
        <v>224.29</v>
      </c>
      <c r="J1957" s="281">
        <f>++Tabla4[[#This Row],[Precio Bruto]]*1.16</f>
        <v>260.1764</v>
      </c>
      <c r="K1957" s="281">
        <f>+Tabla4[[#This Row],[Precio Unitario Neto]]*Tabla4[[#Headers],[20.85%]]</f>
        <v>54.246779400000001</v>
      </c>
      <c r="L1957" s="282">
        <f>++Tabla4[[#This Row],[Precio Unitario Neto]]-Tabla4[[#This Row],[20.85%]]</f>
        <v>205.92962059999999</v>
      </c>
      <c r="M1957" s="282" t="e">
        <f>(INDEX(Tabla6[#All],MATCH(Tabla4[[#This Row],[Producto]],Tabla6[[#All],[PRODUCTO]],0),MATCH(Tabla4[[#This Row],[Mes]],Tabla6[#Headers],0)))*(1+Catalogos!$L$2)</f>
        <v>#N/A</v>
      </c>
      <c r="N1957" s="283" t="e">
        <f>+(Tabla4[[#This Row],[Precio Descontado]]-Tabla4[[#This Row],[Precio Base]])*Tabla4[[#This Row],[Cantidad]]</f>
        <v>#N/A</v>
      </c>
      <c r="O1957" s="284" t="e">
        <f>++Tabla4[[#This Row],[Utilidad Total]]/Tabla4[[#This Row],[Total]]</f>
        <v>#N/A</v>
      </c>
      <c r="P1957" s="282">
        <f>++Tabla4[[#This Row],[Precio Descontado]]*Tabla4[[#This Row],[Cantidad]]</f>
        <v>3294.8739295999999</v>
      </c>
      <c r="Q1957" s="282" t="e">
        <f>(INDEX(Tabla6[#All],MATCH(Tabla4[[#This Row],[Producto]],Tabla6[[#All],[PRODUCTO]],0),MATCH(Tabla4[[#This Row],[Mes]],Tabla6[#Headers],0)))</f>
        <v>#N/A</v>
      </c>
      <c r="R1957" s="282" t="e">
        <f>++Tabla4[[#This Row],[Precio Unitario Neto]]-Tabla4[[#This Row],[20.85%]]-Tabla4[[#This Row],[Costo]]</f>
        <v>#N/A</v>
      </c>
      <c r="S1957" s="282" t="e">
        <f>++Tabla4[[#This Row],[U. Bruta Uni]]*Tabla4[[#This Row],[Cantidad]]</f>
        <v>#N/A</v>
      </c>
      <c r="T1957" s="369" t="str">
        <f>VLOOKUP(Tabla4[[#This Row],[Producto]],Tabla6[#All],14,FALSE)</f>
        <v>Termico Solar</v>
      </c>
      <c r="U1957" s="284" t="e">
        <f>(IF(Tabla4[[#This Row],[Familia]]="termico solar",Tabla4[[#This Row],[Utilidad Total]]*6%,Tabla4[[#This Row],[Utilidad Total]]*11.5%))/Tabla4[[#This Row],[Total]]</f>
        <v>#N/A</v>
      </c>
      <c r="V1957" s="282" t="e">
        <f>+Tabla4[[#This Row],[Comisión Calculada]]*Tabla4[[#This Row],[Total]]</f>
        <v>#N/A</v>
      </c>
    </row>
    <row r="1958" spans="1:22" hidden="1" x14ac:dyDescent="0.25">
      <c r="A1958" s="100">
        <v>45762</v>
      </c>
      <c r="B1958" t="str">
        <f t="shared" si="102"/>
        <v>April</v>
      </c>
      <c r="C1958" s="46" t="s">
        <v>280</v>
      </c>
      <c r="F1958" s="366" t="s">
        <v>1450</v>
      </c>
      <c r="G1958" s="46" t="s">
        <v>555</v>
      </c>
      <c r="H1958" s="46">
        <v>8</v>
      </c>
      <c r="I1958" s="51">
        <v>389.47</v>
      </c>
      <c r="J1958" s="281">
        <f>++Tabla4[[#This Row],[Precio Bruto]]*1.16</f>
        <v>451.78519999999997</v>
      </c>
      <c r="K1958" s="281">
        <f>+Tabla4[[#This Row],[Precio Unitario Neto]]*Tabla4[[#Headers],[20.85%]]</f>
        <v>94.197214199999991</v>
      </c>
      <c r="L1958" s="282">
        <f>++Tabla4[[#This Row],[Precio Unitario Neto]]-Tabla4[[#This Row],[20.85%]]</f>
        <v>357.58798579999996</v>
      </c>
      <c r="M1958" s="282" t="e">
        <f>(INDEX(Tabla6[#All],MATCH(Tabla4[[#This Row],[Producto]],Tabla6[[#All],[PRODUCTO]],0),MATCH(Tabla4[[#This Row],[Mes]],Tabla6[#Headers],0)))*(1+Catalogos!$L$2)</f>
        <v>#N/A</v>
      </c>
      <c r="N1958" s="283" t="e">
        <f>+(Tabla4[[#This Row],[Precio Descontado]]-Tabla4[[#This Row],[Precio Base]])*Tabla4[[#This Row],[Cantidad]]</f>
        <v>#N/A</v>
      </c>
      <c r="O1958" s="284" t="e">
        <f>++Tabla4[[#This Row],[Utilidad Total]]/Tabla4[[#This Row],[Total]]</f>
        <v>#N/A</v>
      </c>
      <c r="P1958" s="282">
        <f>++Tabla4[[#This Row],[Precio Descontado]]*Tabla4[[#This Row],[Cantidad]]</f>
        <v>2860.7038863999996</v>
      </c>
      <c r="Q1958" s="282" t="e">
        <f>(INDEX(Tabla6[#All],MATCH(Tabla4[[#This Row],[Producto]],Tabla6[[#All],[PRODUCTO]],0),MATCH(Tabla4[[#This Row],[Mes]],Tabla6[#Headers],0)))</f>
        <v>#N/A</v>
      </c>
      <c r="R1958" s="282" t="e">
        <f>++Tabla4[[#This Row],[Precio Unitario Neto]]-Tabla4[[#This Row],[20.85%]]-Tabla4[[#This Row],[Costo]]</f>
        <v>#N/A</v>
      </c>
      <c r="S1958" s="282" t="e">
        <f>++Tabla4[[#This Row],[U. Bruta Uni]]*Tabla4[[#This Row],[Cantidad]]</f>
        <v>#N/A</v>
      </c>
      <c r="T1958" s="369" t="str">
        <f>VLOOKUP(Tabla4[[#This Row],[Producto]],Tabla6[#All],14,FALSE)</f>
        <v>Termico Solar</v>
      </c>
      <c r="U1958" s="284" t="e">
        <f>(IF(Tabla4[[#This Row],[Familia]]="termico solar",Tabla4[[#This Row],[Utilidad Total]]*6%,Tabla4[[#This Row],[Utilidad Total]]*11.5%))/Tabla4[[#This Row],[Total]]</f>
        <v>#N/A</v>
      </c>
      <c r="V1958" s="282" t="e">
        <f>+Tabla4[[#This Row],[Comisión Calculada]]*Tabla4[[#This Row],[Total]]</f>
        <v>#N/A</v>
      </c>
    </row>
    <row r="1959" spans="1:22" hidden="1" x14ac:dyDescent="0.25">
      <c r="A1959" s="100">
        <v>45762</v>
      </c>
      <c r="B1959" t="str">
        <f t="shared" si="102"/>
        <v>April</v>
      </c>
      <c r="C1959" s="46" t="s">
        <v>280</v>
      </c>
      <c r="F1959" s="366" t="s">
        <v>1450</v>
      </c>
      <c r="G1959" s="46" t="s">
        <v>208</v>
      </c>
      <c r="H1959" s="46">
        <v>1</v>
      </c>
      <c r="I1959" s="51">
        <v>189.75</v>
      </c>
      <c r="J1959" s="281">
        <f>++Tabla4[[#This Row],[Precio Bruto]]*1.16</f>
        <v>220.10999999999999</v>
      </c>
      <c r="K1959" s="281">
        <f>+Tabla4[[#This Row],[Precio Unitario Neto]]*Tabla4[[#Headers],[20.85%]]</f>
        <v>45.892934999999994</v>
      </c>
      <c r="L1959" s="282">
        <f>++Tabla4[[#This Row],[Precio Unitario Neto]]-Tabla4[[#This Row],[20.85%]]</f>
        <v>174.21706499999999</v>
      </c>
      <c r="M1959" s="282" t="e">
        <f>(INDEX(Tabla6[#All],MATCH(Tabla4[[#This Row],[Producto]],Tabla6[[#All],[PRODUCTO]],0),MATCH(Tabla4[[#This Row],[Mes]],Tabla6[#Headers],0)))*(1+Catalogos!$L$2)</f>
        <v>#N/A</v>
      </c>
      <c r="N1959" s="283" t="e">
        <f>+(Tabla4[[#This Row],[Precio Descontado]]-Tabla4[[#This Row],[Precio Base]])*Tabla4[[#This Row],[Cantidad]]</f>
        <v>#N/A</v>
      </c>
      <c r="O1959" s="284" t="e">
        <f>++Tabla4[[#This Row],[Utilidad Total]]/Tabla4[[#This Row],[Total]]</f>
        <v>#N/A</v>
      </c>
      <c r="P1959" s="282">
        <f>++Tabla4[[#This Row],[Precio Descontado]]*Tabla4[[#This Row],[Cantidad]]</f>
        <v>174.21706499999999</v>
      </c>
      <c r="Q1959" s="282" t="e">
        <f>(INDEX(Tabla6[#All],MATCH(Tabla4[[#This Row],[Producto]],Tabla6[[#All],[PRODUCTO]],0),MATCH(Tabla4[[#This Row],[Mes]],Tabla6[#Headers],0)))</f>
        <v>#N/A</v>
      </c>
      <c r="R1959" s="282" t="e">
        <f>++Tabla4[[#This Row],[Precio Unitario Neto]]-Tabla4[[#This Row],[20.85%]]-Tabla4[[#This Row],[Costo]]</f>
        <v>#N/A</v>
      </c>
      <c r="S1959" s="282" t="e">
        <f>++Tabla4[[#This Row],[U. Bruta Uni]]*Tabla4[[#This Row],[Cantidad]]</f>
        <v>#N/A</v>
      </c>
      <c r="T1959" s="369" t="str">
        <f>VLOOKUP(Tabla4[[#This Row],[Producto]],Tabla6[#All],14,FALSE)</f>
        <v>Termico Solar</v>
      </c>
      <c r="U1959" s="284" t="e">
        <f>(IF(Tabla4[[#This Row],[Familia]]="termico solar",Tabla4[[#This Row],[Utilidad Total]]*6%,Tabla4[[#This Row],[Utilidad Total]]*11.5%))/Tabla4[[#This Row],[Total]]</f>
        <v>#N/A</v>
      </c>
      <c r="V1959" s="282" t="e">
        <f>+Tabla4[[#This Row],[Comisión Calculada]]*Tabla4[[#This Row],[Total]]</f>
        <v>#N/A</v>
      </c>
    </row>
    <row r="1960" spans="1:22" hidden="1" x14ac:dyDescent="0.25">
      <c r="A1960" s="100">
        <v>45762</v>
      </c>
      <c r="B1960" t="str">
        <f t="shared" si="102"/>
        <v>April</v>
      </c>
      <c r="C1960" s="46" t="s">
        <v>280</v>
      </c>
      <c r="F1960" s="366" t="s">
        <v>1451</v>
      </c>
      <c r="G1960" s="46" t="s">
        <v>19</v>
      </c>
      <c r="H1960" s="46">
        <v>1</v>
      </c>
      <c r="I1960" s="51">
        <v>6412.03</v>
      </c>
      <c r="J1960" s="281">
        <f>++Tabla4[[#This Row],[Precio Bruto]]*1.16</f>
        <v>7437.9547999999995</v>
      </c>
      <c r="K1960" s="281">
        <f>+Tabla4[[#This Row],[Precio Unitario Neto]]*Tabla4[[#Headers],[20.85%]]</f>
        <v>1550.8135757999999</v>
      </c>
      <c r="L1960" s="282">
        <f>++Tabla4[[#This Row],[Precio Unitario Neto]]-Tabla4[[#This Row],[20.85%]]</f>
        <v>5887.1412241999997</v>
      </c>
      <c r="M1960" s="282" t="e">
        <f>(INDEX(Tabla6[#All],MATCH(Tabla4[[#This Row],[Producto]],Tabla6[[#All],[PRODUCTO]],0),MATCH(Tabla4[[#This Row],[Mes]],Tabla6[#Headers],0)))*(1+Catalogos!$L$2)</f>
        <v>#N/A</v>
      </c>
      <c r="N1960" s="283" t="e">
        <f>+(Tabla4[[#This Row],[Precio Descontado]]-Tabla4[[#This Row],[Precio Base]])*Tabla4[[#This Row],[Cantidad]]</f>
        <v>#N/A</v>
      </c>
      <c r="O1960" s="284" t="e">
        <f>++Tabla4[[#This Row],[Utilidad Total]]/Tabla4[[#This Row],[Total]]</f>
        <v>#N/A</v>
      </c>
      <c r="P1960" s="282">
        <f>++Tabla4[[#This Row],[Precio Descontado]]*Tabla4[[#This Row],[Cantidad]]</f>
        <v>5887.1412241999997</v>
      </c>
      <c r="Q1960" s="282" t="e">
        <f>(INDEX(Tabla6[#All],MATCH(Tabla4[[#This Row],[Producto]],Tabla6[[#All],[PRODUCTO]],0),MATCH(Tabla4[[#This Row],[Mes]],Tabla6[#Headers],0)))</f>
        <v>#N/A</v>
      </c>
      <c r="R1960" s="282" t="e">
        <f>++Tabla4[[#This Row],[Precio Unitario Neto]]-Tabla4[[#This Row],[20.85%]]-Tabla4[[#This Row],[Costo]]</f>
        <v>#N/A</v>
      </c>
      <c r="S1960" s="282" t="e">
        <f>++Tabla4[[#This Row],[U. Bruta Uni]]*Tabla4[[#This Row],[Cantidad]]</f>
        <v>#N/A</v>
      </c>
      <c r="T1960" s="369" t="str">
        <f>VLOOKUP(Tabla4[[#This Row],[Producto]],Tabla6[#All],14,FALSE)</f>
        <v>Termico Solar</v>
      </c>
      <c r="U1960" s="284" t="e">
        <f>(IF(Tabla4[[#This Row],[Familia]]="termico solar",Tabla4[[#This Row],[Utilidad Total]]*6%,Tabla4[[#This Row],[Utilidad Total]]*11.5%))/Tabla4[[#This Row],[Total]]</f>
        <v>#N/A</v>
      </c>
      <c r="V1960" s="282" t="e">
        <f>+Tabla4[[#This Row],[Comisión Calculada]]*Tabla4[[#This Row],[Total]]</f>
        <v>#N/A</v>
      </c>
    </row>
    <row r="1961" spans="1:22" hidden="1" x14ac:dyDescent="0.25">
      <c r="A1961" s="100">
        <v>45762</v>
      </c>
      <c r="B1961" t="str">
        <f t="shared" si="102"/>
        <v>April</v>
      </c>
      <c r="C1961" s="46" t="s">
        <v>280</v>
      </c>
      <c r="F1961" s="366" t="s">
        <v>1451</v>
      </c>
      <c r="G1961" s="46" t="s">
        <v>208</v>
      </c>
      <c r="H1961" s="46">
        <v>15</v>
      </c>
      <c r="I1961" s="51">
        <v>140.63</v>
      </c>
      <c r="J1961" s="281">
        <f>++Tabla4[[#This Row],[Precio Bruto]]*1.16</f>
        <v>163.13079999999999</v>
      </c>
      <c r="K1961" s="281">
        <f>+Tabla4[[#This Row],[Precio Unitario Neto]]*Tabla4[[#Headers],[20.85%]]</f>
        <v>34.012771799999996</v>
      </c>
      <c r="L1961" s="282">
        <f>++Tabla4[[#This Row],[Precio Unitario Neto]]-Tabla4[[#This Row],[20.85%]]</f>
        <v>129.1180282</v>
      </c>
      <c r="M1961" s="282" t="e">
        <f>(INDEX(Tabla6[#All],MATCH(Tabla4[[#This Row],[Producto]],Tabla6[[#All],[PRODUCTO]],0),MATCH(Tabla4[[#This Row],[Mes]],Tabla6[#Headers],0)))*(1+Catalogos!$L$2)</f>
        <v>#N/A</v>
      </c>
      <c r="N1961" s="283" t="e">
        <f>+(Tabla4[[#This Row],[Precio Descontado]]-Tabla4[[#This Row],[Precio Base]])*Tabla4[[#This Row],[Cantidad]]</f>
        <v>#N/A</v>
      </c>
      <c r="O1961" s="284" t="e">
        <f>++Tabla4[[#This Row],[Utilidad Total]]/Tabla4[[#This Row],[Total]]</f>
        <v>#N/A</v>
      </c>
      <c r="P1961" s="282">
        <f>++Tabla4[[#This Row],[Precio Descontado]]*Tabla4[[#This Row],[Cantidad]]</f>
        <v>1936.7704229999999</v>
      </c>
      <c r="Q1961" s="282" t="e">
        <f>(INDEX(Tabla6[#All],MATCH(Tabla4[[#This Row],[Producto]],Tabla6[[#All],[PRODUCTO]],0),MATCH(Tabla4[[#This Row],[Mes]],Tabla6[#Headers],0)))</f>
        <v>#N/A</v>
      </c>
      <c r="R1961" s="282" t="e">
        <f>++Tabla4[[#This Row],[Precio Unitario Neto]]-Tabla4[[#This Row],[20.85%]]-Tabla4[[#This Row],[Costo]]</f>
        <v>#N/A</v>
      </c>
      <c r="S1961" s="282" t="e">
        <f>++Tabla4[[#This Row],[U. Bruta Uni]]*Tabla4[[#This Row],[Cantidad]]</f>
        <v>#N/A</v>
      </c>
      <c r="T1961" s="369" t="str">
        <f>VLOOKUP(Tabla4[[#This Row],[Producto]],Tabla6[#All],14,FALSE)</f>
        <v>Termico Solar</v>
      </c>
      <c r="U1961" s="284" t="e">
        <f>(IF(Tabla4[[#This Row],[Familia]]="termico solar",Tabla4[[#This Row],[Utilidad Total]]*6%,Tabla4[[#This Row],[Utilidad Total]]*11.5%))/Tabla4[[#This Row],[Total]]</f>
        <v>#N/A</v>
      </c>
      <c r="V1961" s="282" t="e">
        <f>+Tabla4[[#This Row],[Comisión Calculada]]*Tabla4[[#This Row],[Total]]</f>
        <v>#N/A</v>
      </c>
    </row>
    <row r="1962" spans="1:22" hidden="1" x14ac:dyDescent="0.25">
      <c r="A1962" s="100">
        <v>45762</v>
      </c>
      <c r="B1962" t="str">
        <f t="shared" si="102"/>
        <v>April</v>
      </c>
      <c r="C1962" s="46" t="s">
        <v>280</v>
      </c>
      <c r="F1962" s="366" t="s">
        <v>1452</v>
      </c>
      <c r="G1962" s="46" t="s">
        <v>19</v>
      </c>
      <c r="H1962" s="46">
        <v>1</v>
      </c>
      <c r="I1962" s="51">
        <v>6412.03</v>
      </c>
      <c r="J1962" s="281">
        <f>++Tabla4[[#This Row],[Precio Bruto]]*1.16</f>
        <v>7437.9547999999995</v>
      </c>
      <c r="K1962" s="281">
        <f>+Tabla4[[#This Row],[Precio Unitario Neto]]*Tabla4[[#Headers],[20.85%]]</f>
        <v>1550.8135757999999</v>
      </c>
      <c r="L1962" s="282">
        <f>++Tabla4[[#This Row],[Precio Unitario Neto]]-Tabla4[[#This Row],[20.85%]]</f>
        <v>5887.1412241999997</v>
      </c>
      <c r="M1962" s="282" t="e">
        <f>(INDEX(Tabla6[#All],MATCH(Tabla4[[#This Row],[Producto]],Tabla6[[#All],[PRODUCTO]],0),MATCH(Tabla4[[#This Row],[Mes]],Tabla6[#Headers],0)))*(1+Catalogos!$L$2)</f>
        <v>#N/A</v>
      </c>
      <c r="N1962" s="283" t="e">
        <f>+(Tabla4[[#This Row],[Precio Descontado]]-Tabla4[[#This Row],[Precio Base]])*Tabla4[[#This Row],[Cantidad]]</f>
        <v>#N/A</v>
      </c>
      <c r="O1962" s="284" t="e">
        <f>++Tabla4[[#This Row],[Utilidad Total]]/Tabla4[[#This Row],[Total]]</f>
        <v>#N/A</v>
      </c>
      <c r="P1962" s="282">
        <f>++Tabla4[[#This Row],[Precio Descontado]]*Tabla4[[#This Row],[Cantidad]]</f>
        <v>5887.1412241999997</v>
      </c>
      <c r="Q1962" s="282" t="e">
        <f>(INDEX(Tabla6[#All],MATCH(Tabla4[[#This Row],[Producto]],Tabla6[[#All],[PRODUCTO]],0),MATCH(Tabla4[[#This Row],[Mes]],Tabla6[#Headers],0)))</f>
        <v>#N/A</v>
      </c>
      <c r="R1962" s="282" t="e">
        <f>++Tabla4[[#This Row],[Precio Unitario Neto]]-Tabla4[[#This Row],[20.85%]]-Tabla4[[#This Row],[Costo]]</f>
        <v>#N/A</v>
      </c>
      <c r="S1962" s="282" t="e">
        <f>++Tabla4[[#This Row],[U. Bruta Uni]]*Tabla4[[#This Row],[Cantidad]]</f>
        <v>#N/A</v>
      </c>
      <c r="T1962" s="369" t="str">
        <f>VLOOKUP(Tabla4[[#This Row],[Producto]],Tabla6[#All],14,FALSE)</f>
        <v>Termico Solar</v>
      </c>
      <c r="U1962" s="284" t="e">
        <f>(IF(Tabla4[[#This Row],[Familia]]="termico solar",Tabla4[[#This Row],[Utilidad Total]]*6%,Tabla4[[#This Row],[Utilidad Total]]*11.5%))/Tabla4[[#This Row],[Total]]</f>
        <v>#N/A</v>
      </c>
      <c r="V1962" s="282" t="e">
        <f>+Tabla4[[#This Row],[Comisión Calculada]]*Tabla4[[#This Row],[Total]]</f>
        <v>#N/A</v>
      </c>
    </row>
    <row r="1963" spans="1:22" hidden="1" x14ac:dyDescent="0.25">
      <c r="A1963" s="100">
        <v>45762</v>
      </c>
      <c r="B1963" t="str">
        <f t="shared" si="102"/>
        <v>April</v>
      </c>
      <c r="C1963" s="46" t="s">
        <v>280</v>
      </c>
      <c r="F1963" s="366" t="s">
        <v>1452</v>
      </c>
      <c r="G1963" s="46" t="s">
        <v>208</v>
      </c>
      <c r="H1963" s="46">
        <v>15</v>
      </c>
      <c r="I1963" s="51">
        <v>140.63</v>
      </c>
      <c r="J1963" s="281">
        <f>++Tabla4[[#This Row],[Precio Bruto]]*1.16</f>
        <v>163.13079999999999</v>
      </c>
      <c r="K1963" s="281">
        <f>+Tabla4[[#This Row],[Precio Unitario Neto]]*Tabla4[[#Headers],[20.85%]]</f>
        <v>34.012771799999996</v>
      </c>
      <c r="L1963" s="282">
        <f>++Tabla4[[#This Row],[Precio Unitario Neto]]-Tabla4[[#This Row],[20.85%]]</f>
        <v>129.1180282</v>
      </c>
      <c r="M1963" s="282" t="e">
        <f>(INDEX(Tabla6[#All],MATCH(Tabla4[[#This Row],[Producto]],Tabla6[[#All],[PRODUCTO]],0),MATCH(Tabla4[[#This Row],[Mes]],Tabla6[#Headers],0)))*(1+Catalogos!$L$2)</f>
        <v>#N/A</v>
      </c>
      <c r="N1963" s="283" t="e">
        <f>+(Tabla4[[#This Row],[Precio Descontado]]-Tabla4[[#This Row],[Precio Base]])*Tabla4[[#This Row],[Cantidad]]</f>
        <v>#N/A</v>
      </c>
      <c r="O1963" s="284" t="e">
        <f>++Tabla4[[#This Row],[Utilidad Total]]/Tabla4[[#This Row],[Total]]</f>
        <v>#N/A</v>
      </c>
      <c r="P1963" s="282">
        <f>++Tabla4[[#This Row],[Precio Descontado]]*Tabla4[[#This Row],[Cantidad]]</f>
        <v>1936.7704229999999</v>
      </c>
      <c r="Q1963" s="282" t="e">
        <f>(INDEX(Tabla6[#All],MATCH(Tabla4[[#This Row],[Producto]],Tabla6[[#All],[PRODUCTO]],0),MATCH(Tabla4[[#This Row],[Mes]],Tabla6[#Headers],0)))</f>
        <v>#N/A</v>
      </c>
      <c r="R1963" s="282" t="e">
        <f>++Tabla4[[#This Row],[Precio Unitario Neto]]-Tabla4[[#This Row],[20.85%]]-Tabla4[[#This Row],[Costo]]</f>
        <v>#N/A</v>
      </c>
      <c r="S1963" s="282" t="e">
        <f>++Tabla4[[#This Row],[U. Bruta Uni]]*Tabla4[[#This Row],[Cantidad]]</f>
        <v>#N/A</v>
      </c>
      <c r="T1963" s="369" t="str">
        <f>VLOOKUP(Tabla4[[#This Row],[Producto]],Tabla6[#All],14,FALSE)</f>
        <v>Termico Solar</v>
      </c>
      <c r="U1963" s="284" t="e">
        <f>(IF(Tabla4[[#This Row],[Familia]]="termico solar",Tabla4[[#This Row],[Utilidad Total]]*6%,Tabla4[[#This Row],[Utilidad Total]]*11.5%))/Tabla4[[#This Row],[Total]]</f>
        <v>#N/A</v>
      </c>
      <c r="V1963" s="282" t="e">
        <f>+Tabla4[[#This Row],[Comisión Calculada]]*Tabla4[[#This Row],[Total]]</f>
        <v>#N/A</v>
      </c>
    </row>
    <row r="1964" spans="1:22" hidden="1" x14ac:dyDescent="0.25">
      <c r="A1964" s="100">
        <v>45762</v>
      </c>
      <c r="B1964" t="str">
        <f t="shared" si="102"/>
        <v>April</v>
      </c>
      <c r="C1964" s="46" t="s">
        <v>280</v>
      </c>
      <c r="F1964" s="366" t="s">
        <v>1452</v>
      </c>
      <c r="G1964" s="46" t="s">
        <v>208</v>
      </c>
      <c r="H1964" s="46">
        <v>4</v>
      </c>
      <c r="I1964" s="51">
        <v>189.75</v>
      </c>
      <c r="J1964" s="281">
        <f>++Tabla4[[#This Row],[Precio Bruto]]*1.16</f>
        <v>220.10999999999999</v>
      </c>
      <c r="K1964" s="281">
        <f>+Tabla4[[#This Row],[Precio Unitario Neto]]*Tabla4[[#Headers],[20.85%]]</f>
        <v>45.892934999999994</v>
      </c>
      <c r="L1964" s="282">
        <f>++Tabla4[[#This Row],[Precio Unitario Neto]]-Tabla4[[#This Row],[20.85%]]</f>
        <v>174.21706499999999</v>
      </c>
      <c r="M1964" s="282" t="e">
        <f>(INDEX(Tabla6[#All],MATCH(Tabla4[[#This Row],[Producto]],Tabla6[[#All],[PRODUCTO]],0),MATCH(Tabla4[[#This Row],[Mes]],Tabla6[#Headers],0)))*(1+Catalogos!$L$2)</f>
        <v>#N/A</v>
      </c>
      <c r="N1964" s="283" t="e">
        <f>+(Tabla4[[#This Row],[Precio Descontado]]-Tabla4[[#This Row],[Precio Base]])*Tabla4[[#This Row],[Cantidad]]</f>
        <v>#N/A</v>
      </c>
      <c r="O1964" s="284" t="e">
        <f>++Tabla4[[#This Row],[Utilidad Total]]/Tabla4[[#This Row],[Total]]</f>
        <v>#N/A</v>
      </c>
      <c r="P1964" s="282">
        <f>++Tabla4[[#This Row],[Precio Descontado]]*Tabla4[[#This Row],[Cantidad]]</f>
        <v>696.86825999999996</v>
      </c>
      <c r="Q1964" s="282" t="e">
        <f>(INDEX(Tabla6[#All],MATCH(Tabla4[[#This Row],[Producto]],Tabla6[[#All],[PRODUCTO]],0),MATCH(Tabla4[[#This Row],[Mes]],Tabla6[#Headers],0)))</f>
        <v>#N/A</v>
      </c>
      <c r="R1964" s="282" t="e">
        <f>++Tabla4[[#This Row],[Precio Unitario Neto]]-Tabla4[[#This Row],[20.85%]]-Tabla4[[#This Row],[Costo]]</f>
        <v>#N/A</v>
      </c>
      <c r="S1964" s="282" t="e">
        <f>++Tabla4[[#This Row],[U. Bruta Uni]]*Tabla4[[#This Row],[Cantidad]]</f>
        <v>#N/A</v>
      </c>
      <c r="T1964" s="369" t="str">
        <f>VLOOKUP(Tabla4[[#This Row],[Producto]],Tabla6[#All],14,FALSE)</f>
        <v>Termico Solar</v>
      </c>
      <c r="U1964" s="284" t="e">
        <f>(IF(Tabla4[[#This Row],[Familia]]="termico solar",Tabla4[[#This Row],[Utilidad Total]]*6%,Tabla4[[#This Row],[Utilidad Total]]*11.5%))/Tabla4[[#This Row],[Total]]</f>
        <v>#N/A</v>
      </c>
      <c r="V1964" s="282" t="e">
        <f>+Tabla4[[#This Row],[Comisión Calculada]]*Tabla4[[#This Row],[Total]]</f>
        <v>#N/A</v>
      </c>
    </row>
    <row r="1965" spans="1:22" hidden="1" x14ac:dyDescent="0.25">
      <c r="A1965" s="100">
        <v>45762</v>
      </c>
      <c r="B1965" t="str">
        <f t="shared" si="102"/>
        <v>April</v>
      </c>
      <c r="C1965" s="46" t="s">
        <v>280</v>
      </c>
      <c r="F1965" s="366" t="s">
        <v>1453</v>
      </c>
      <c r="G1965" s="46" t="s">
        <v>17</v>
      </c>
      <c r="H1965" s="46">
        <v>1</v>
      </c>
      <c r="I1965" s="51">
        <v>4622.28</v>
      </c>
      <c r="J1965" s="281">
        <f>++Tabla4[[#This Row],[Precio Bruto]]*1.16</f>
        <v>5361.8447999999989</v>
      </c>
      <c r="K1965" s="281">
        <f>+Tabla4[[#This Row],[Precio Unitario Neto]]*Tabla4[[#Headers],[20.85%]]</f>
        <v>1117.9446407999997</v>
      </c>
      <c r="L1965" s="282">
        <f>++Tabla4[[#This Row],[Precio Unitario Neto]]-Tabla4[[#This Row],[20.85%]]</f>
        <v>4243.9001591999995</v>
      </c>
      <c r="M1965" s="282" t="e">
        <f>(INDEX(Tabla6[#All],MATCH(Tabla4[[#This Row],[Producto]],Tabla6[[#All],[PRODUCTO]],0),MATCH(Tabla4[[#This Row],[Mes]],Tabla6[#Headers],0)))*(1+Catalogos!$L$2)</f>
        <v>#N/A</v>
      </c>
      <c r="N1965" s="283" t="e">
        <f>+(Tabla4[[#This Row],[Precio Descontado]]-Tabla4[[#This Row],[Precio Base]])*Tabla4[[#This Row],[Cantidad]]</f>
        <v>#N/A</v>
      </c>
      <c r="O1965" s="284" t="e">
        <f>++Tabla4[[#This Row],[Utilidad Total]]/Tabla4[[#This Row],[Total]]</f>
        <v>#N/A</v>
      </c>
      <c r="P1965" s="282">
        <f>++Tabla4[[#This Row],[Precio Descontado]]*Tabla4[[#This Row],[Cantidad]]</f>
        <v>4243.9001591999995</v>
      </c>
      <c r="Q1965" s="282" t="e">
        <f>(INDEX(Tabla6[#All],MATCH(Tabla4[[#This Row],[Producto]],Tabla6[[#All],[PRODUCTO]],0),MATCH(Tabla4[[#This Row],[Mes]],Tabla6[#Headers],0)))</f>
        <v>#N/A</v>
      </c>
      <c r="R1965" s="282" t="e">
        <f>++Tabla4[[#This Row],[Precio Unitario Neto]]-Tabla4[[#This Row],[20.85%]]-Tabla4[[#This Row],[Costo]]</f>
        <v>#N/A</v>
      </c>
      <c r="S1965" s="282" t="e">
        <f>++Tabla4[[#This Row],[U. Bruta Uni]]*Tabla4[[#This Row],[Cantidad]]</f>
        <v>#N/A</v>
      </c>
      <c r="T1965" s="369" t="str">
        <f>VLOOKUP(Tabla4[[#This Row],[Producto]],Tabla6[#All],14,FALSE)</f>
        <v>Termico Solar</v>
      </c>
      <c r="U1965" s="284" t="e">
        <f>(IF(Tabla4[[#This Row],[Familia]]="termico solar",Tabla4[[#This Row],[Utilidad Total]]*6%,Tabla4[[#This Row],[Utilidad Total]]*11.5%))/Tabla4[[#This Row],[Total]]</f>
        <v>#N/A</v>
      </c>
      <c r="V1965" s="282" t="e">
        <f>+Tabla4[[#This Row],[Comisión Calculada]]*Tabla4[[#This Row],[Total]]</f>
        <v>#N/A</v>
      </c>
    </row>
    <row r="1966" spans="1:22" hidden="1" x14ac:dyDescent="0.25">
      <c r="A1966" s="100">
        <v>45762</v>
      </c>
      <c r="B1966" t="str">
        <f t="shared" si="102"/>
        <v>April</v>
      </c>
      <c r="C1966" s="46" t="s">
        <v>280</v>
      </c>
      <c r="F1966" s="366" t="s">
        <v>1454</v>
      </c>
      <c r="G1966" s="46" t="s">
        <v>83</v>
      </c>
      <c r="H1966" s="46">
        <v>1</v>
      </c>
      <c r="I1966" s="51">
        <v>8858.76</v>
      </c>
      <c r="J1966" s="281">
        <f>++Tabla4[[#This Row],[Precio Bruto]]*1.16</f>
        <v>10276.161599999999</v>
      </c>
      <c r="K1966" s="281">
        <f>+Tabla4[[#This Row],[Precio Unitario Neto]]*Tabla4[[#Headers],[20.85%]]</f>
        <v>2142.5796935999997</v>
      </c>
      <c r="L1966" s="282">
        <f>++Tabla4[[#This Row],[Precio Unitario Neto]]-Tabla4[[#This Row],[20.85%]]</f>
        <v>8133.5819063999998</v>
      </c>
      <c r="M1966" s="282" t="e">
        <f>(INDEX(Tabla6[#All],MATCH(Tabla4[[#This Row],[Producto]],Tabla6[[#All],[PRODUCTO]],0),MATCH(Tabla4[[#This Row],[Mes]],Tabla6[#Headers],0)))*(1+Catalogos!$L$2)</f>
        <v>#N/A</v>
      </c>
      <c r="N1966" s="283" t="e">
        <f>+(Tabla4[[#This Row],[Precio Descontado]]-Tabla4[[#This Row],[Precio Base]])*Tabla4[[#This Row],[Cantidad]]</f>
        <v>#N/A</v>
      </c>
      <c r="O1966" s="284" t="e">
        <f>++Tabla4[[#This Row],[Utilidad Total]]/Tabla4[[#This Row],[Total]]</f>
        <v>#N/A</v>
      </c>
      <c r="P1966" s="282">
        <f>++Tabla4[[#This Row],[Precio Descontado]]*Tabla4[[#This Row],[Cantidad]]</f>
        <v>8133.5819063999998</v>
      </c>
      <c r="Q1966" s="282" t="e">
        <f>(INDEX(Tabla6[#All],MATCH(Tabla4[[#This Row],[Producto]],Tabla6[[#All],[PRODUCTO]],0),MATCH(Tabla4[[#This Row],[Mes]],Tabla6[#Headers],0)))</f>
        <v>#N/A</v>
      </c>
      <c r="R1966" s="282" t="e">
        <f>++Tabla4[[#This Row],[Precio Unitario Neto]]-Tabla4[[#This Row],[20.85%]]-Tabla4[[#This Row],[Costo]]</f>
        <v>#N/A</v>
      </c>
      <c r="S1966" s="282" t="e">
        <f>++Tabla4[[#This Row],[U. Bruta Uni]]*Tabla4[[#This Row],[Cantidad]]</f>
        <v>#N/A</v>
      </c>
      <c r="T1966" s="369" t="str">
        <f>VLOOKUP(Tabla4[[#This Row],[Producto]],Tabla6[#All],14,FALSE)</f>
        <v>Termico Solar</v>
      </c>
      <c r="U1966" s="284" t="e">
        <f>(IF(Tabla4[[#This Row],[Familia]]="termico solar",Tabla4[[#This Row],[Utilidad Total]]*6%,Tabla4[[#This Row],[Utilidad Total]]*11.5%))/Tabla4[[#This Row],[Total]]</f>
        <v>#N/A</v>
      </c>
      <c r="V1966" s="282" t="e">
        <f>+Tabla4[[#This Row],[Comisión Calculada]]*Tabla4[[#This Row],[Total]]</f>
        <v>#N/A</v>
      </c>
    </row>
    <row r="1967" spans="1:22" hidden="1" x14ac:dyDescent="0.25">
      <c r="A1967" s="100">
        <v>45762</v>
      </c>
      <c r="B1967" t="str">
        <f t="shared" si="102"/>
        <v>April</v>
      </c>
      <c r="C1967" s="46" t="s">
        <v>280</v>
      </c>
      <c r="F1967" s="366" t="s">
        <v>1455</v>
      </c>
      <c r="G1967" s="46" t="s">
        <v>394</v>
      </c>
      <c r="H1967" s="46">
        <v>16</v>
      </c>
      <c r="I1967" s="51">
        <v>224.29</v>
      </c>
      <c r="J1967" s="281">
        <f>++Tabla4[[#This Row],[Precio Bruto]]*1.16</f>
        <v>260.1764</v>
      </c>
      <c r="K1967" s="281">
        <f>+Tabla4[[#This Row],[Precio Unitario Neto]]*Tabla4[[#Headers],[20.85%]]</f>
        <v>54.246779400000001</v>
      </c>
      <c r="L1967" s="282">
        <f>++Tabla4[[#This Row],[Precio Unitario Neto]]-Tabla4[[#This Row],[20.85%]]</f>
        <v>205.92962059999999</v>
      </c>
      <c r="M1967" s="282" t="e">
        <f>(INDEX(Tabla6[#All],MATCH(Tabla4[[#This Row],[Producto]],Tabla6[[#All],[PRODUCTO]],0),MATCH(Tabla4[[#This Row],[Mes]],Tabla6[#Headers],0)))*(1+Catalogos!$L$2)</f>
        <v>#N/A</v>
      </c>
      <c r="N1967" s="283" t="e">
        <f>+(Tabla4[[#This Row],[Precio Descontado]]-Tabla4[[#This Row],[Precio Base]])*Tabla4[[#This Row],[Cantidad]]</f>
        <v>#N/A</v>
      </c>
      <c r="O1967" s="284" t="e">
        <f>++Tabla4[[#This Row],[Utilidad Total]]/Tabla4[[#This Row],[Total]]</f>
        <v>#N/A</v>
      </c>
      <c r="P1967" s="282">
        <f>++Tabla4[[#This Row],[Precio Descontado]]*Tabla4[[#This Row],[Cantidad]]</f>
        <v>3294.8739295999999</v>
      </c>
      <c r="Q1967" s="282" t="e">
        <f>(INDEX(Tabla6[#All],MATCH(Tabla4[[#This Row],[Producto]],Tabla6[[#All],[PRODUCTO]],0),MATCH(Tabla4[[#This Row],[Mes]],Tabla6[#Headers],0)))</f>
        <v>#N/A</v>
      </c>
      <c r="R1967" s="282" t="e">
        <f>++Tabla4[[#This Row],[Precio Unitario Neto]]-Tabla4[[#This Row],[20.85%]]-Tabla4[[#This Row],[Costo]]</f>
        <v>#N/A</v>
      </c>
      <c r="S1967" s="282" t="e">
        <f>++Tabla4[[#This Row],[U. Bruta Uni]]*Tabla4[[#This Row],[Cantidad]]</f>
        <v>#N/A</v>
      </c>
      <c r="T1967" s="369" t="str">
        <f>VLOOKUP(Tabla4[[#This Row],[Producto]],Tabla6[#All],14,FALSE)</f>
        <v>Termico Solar</v>
      </c>
      <c r="U1967" s="284" t="e">
        <f>(IF(Tabla4[[#This Row],[Familia]]="termico solar",Tabla4[[#This Row],[Utilidad Total]]*6%,Tabla4[[#This Row],[Utilidad Total]]*11.5%))/Tabla4[[#This Row],[Total]]</f>
        <v>#N/A</v>
      </c>
      <c r="V1967" s="282" t="e">
        <f>+Tabla4[[#This Row],[Comisión Calculada]]*Tabla4[[#This Row],[Total]]</f>
        <v>#N/A</v>
      </c>
    </row>
    <row r="1968" spans="1:22" hidden="1" x14ac:dyDescent="0.25">
      <c r="A1968" s="100">
        <v>45762</v>
      </c>
      <c r="B1968" t="str">
        <f t="shared" si="102"/>
        <v>April</v>
      </c>
      <c r="C1968" s="46" t="s">
        <v>280</v>
      </c>
      <c r="F1968" s="366" t="s">
        <v>1455</v>
      </c>
      <c r="G1968" s="46" t="s">
        <v>555</v>
      </c>
      <c r="H1968" s="46">
        <v>8</v>
      </c>
      <c r="I1968" s="51">
        <v>389.47</v>
      </c>
      <c r="J1968" s="281">
        <f>++Tabla4[[#This Row],[Precio Bruto]]*1.16</f>
        <v>451.78519999999997</v>
      </c>
      <c r="K1968" s="281">
        <f>+Tabla4[[#This Row],[Precio Unitario Neto]]*Tabla4[[#Headers],[20.85%]]</f>
        <v>94.197214199999991</v>
      </c>
      <c r="L1968" s="282">
        <f>++Tabla4[[#This Row],[Precio Unitario Neto]]-Tabla4[[#This Row],[20.85%]]</f>
        <v>357.58798579999996</v>
      </c>
      <c r="M1968" s="282" t="e">
        <f>(INDEX(Tabla6[#All],MATCH(Tabla4[[#This Row],[Producto]],Tabla6[[#All],[PRODUCTO]],0),MATCH(Tabla4[[#This Row],[Mes]],Tabla6[#Headers],0)))*(1+Catalogos!$L$2)</f>
        <v>#N/A</v>
      </c>
      <c r="N1968" s="283" t="e">
        <f>+(Tabla4[[#This Row],[Precio Descontado]]-Tabla4[[#This Row],[Precio Base]])*Tabla4[[#This Row],[Cantidad]]</f>
        <v>#N/A</v>
      </c>
      <c r="O1968" s="284" t="e">
        <f>++Tabla4[[#This Row],[Utilidad Total]]/Tabla4[[#This Row],[Total]]</f>
        <v>#N/A</v>
      </c>
      <c r="P1968" s="282">
        <f>++Tabla4[[#This Row],[Precio Descontado]]*Tabla4[[#This Row],[Cantidad]]</f>
        <v>2860.7038863999996</v>
      </c>
      <c r="Q1968" s="282" t="e">
        <f>(INDEX(Tabla6[#All],MATCH(Tabla4[[#This Row],[Producto]],Tabla6[[#All],[PRODUCTO]],0),MATCH(Tabla4[[#This Row],[Mes]],Tabla6[#Headers],0)))</f>
        <v>#N/A</v>
      </c>
      <c r="R1968" s="282" t="e">
        <f>++Tabla4[[#This Row],[Precio Unitario Neto]]-Tabla4[[#This Row],[20.85%]]-Tabla4[[#This Row],[Costo]]</f>
        <v>#N/A</v>
      </c>
      <c r="S1968" s="282" t="e">
        <f>++Tabla4[[#This Row],[U. Bruta Uni]]*Tabla4[[#This Row],[Cantidad]]</f>
        <v>#N/A</v>
      </c>
      <c r="T1968" s="369" t="str">
        <f>VLOOKUP(Tabla4[[#This Row],[Producto]],Tabla6[#All],14,FALSE)</f>
        <v>Termico Solar</v>
      </c>
      <c r="U1968" s="284" t="e">
        <f>(IF(Tabla4[[#This Row],[Familia]]="termico solar",Tabla4[[#This Row],[Utilidad Total]]*6%,Tabla4[[#This Row],[Utilidad Total]]*11.5%))/Tabla4[[#This Row],[Total]]</f>
        <v>#N/A</v>
      </c>
      <c r="V1968" s="282" t="e">
        <f>+Tabla4[[#This Row],[Comisión Calculada]]*Tabla4[[#This Row],[Total]]</f>
        <v>#N/A</v>
      </c>
    </row>
    <row r="1969" spans="1:22" hidden="1" x14ac:dyDescent="0.25">
      <c r="A1969" s="100">
        <v>45762</v>
      </c>
      <c r="B1969" t="str">
        <f t="shared" si="102"/>
        <v>April</v>
      </c>
      <c r="C1969" s="46" t="s">
        <v>280</v>
      </c>
      <c r="F1969" s="366" t="s">
        <v>1455</v>
      </c>
      <c r="G1969" s="46" t="s">
        <v>208</v>
      </c>
      <c r="H1969" s="46">
        <v>2</v>
      </c>
      <c r="I1969" s="51">
        <v>189.75</v>
      </c>
      <c r="J1969" s="281">
        <f>++Tabla4[[#This Row],[Precio Bruto]]*1.16</f>
        <v>220.10999999999999</v>
      </c>
      <c r="K1969" s="281">
        <f>+Tabla4[[#This Row],[Precio Unitario Neto]]*Tabla4[[#Headers],[20.85%]]</f>
        <v>45.892934999999994</v>
      </c>
      <c r="L1969" s="282">
        <f>++Tabla4[[#This Row],[Precio Unitario Neto]]-Tabla4[[#This Row],[20.85%]]</f>
        <v>174.21706499999999</v>
      </c>
      <c r="M1969" s="282" t="e">
        <f>(INDEX(Tabla6[#All],MATCH(Tabla4[[#This Row],[Producto]],Tabla6[[#All],[PRODUCTO]],0),MATCH(Tabla4[[#This Row],[Mes]],Tabla6[#Headers],0)))*(1+Catalogos!$L$2)</f>
        <v>#N/A</v>
      </c>
      <c r="N1969" s="283" t="e">
        <f>+(Tabla4[[#This Row],[Precio Descontado]]-Tabla4[[#This Row],[Precio Base]])*Tabla4[[#This Row],[Cantidad]]</f>
        <v>#N/A</v>
      </c>
      <c r="O1969" s="284" t="e">
        <f>++Tabla4[[#This Row],[Utilidad Total]]/Tabla4[[#This Row],[Total]]</f>
        <v>#N/A</v>
      </c>
      <c r="P1969" s="282">
        <f>++Tabla4[[#This Row],[Precio Descontado]]*Tabla4[[#This Row],[Cantidad]]</f>
        <v>348.43412999999998</v>
      </c>
      <c r="Q1969" s="282" t="e">
        <f>(INDEX(Tabla6[#All],MATCH(Tabla4[[#This Row],[Producto]],Tabla6[[#All],[PRODUCTO]],0),MATCH(Tabla4[[#This Row],[Mes]],Tabla6[#Headers],0)))</f>
        <v>#N/A</v>
      </c>
      <c r="R1969" s="282" t="e">
        <f>++Tabla4[[#This Row],[Precio Unitario Neto]]-Tabla4[[#This Row],[20.85%]]-Tabla4[[#This Row],[Costo]]</f>
        <v>#N/A</v>
      </c>
      <c r="S1969" s="282" t="e">
        <f>++Tabla4[[#This Row],[U. Bruta Uni]]*Tabla4[[#This Row],[Cantidad]]</f>
        <v>#N/A</v>
      </c>
      <c r="T1969" s="369" t="str">
        <f>VLOOKUP(Tabla4[[#This Row],[Producto]],Tabla6[#All],14,FALSE)</f>
        <v>Termico Solar</v>
      </c>
      <c r="U1969" s="284" t="e">
        <f>(IF(Tabla4[[#This Row],[Familia]]="termico solar",Tabla4[[#This Row],[Utilidad Total]]*6%,Tabla4[[#This Row],[Utilidad Total]]*11.5%))/Tabla4[[#This Row],[Total]]</f>
        <v>#N/A</v>
      </c>
      <c r="V1969" s="282" t="e">
        <f>+Tabla4[[#This Row],[Comisión Calculada]]*Tabla4[[#This Row],[Total]]</f>
        <v>#N/A</v>
      </c>
    </row>
    <row r="1970" spans="1:22" hidden="1" x14ac:dyDescent="0.25">
      <c r="A1970" s="100">
        <v>45762</v>
      </c>
      <c r="B1970" t="str">
        <f t="shared" si="102"/>
        <v>April</v>
      </c>
      <c r="C1970" s="46" t="s">
        <v>280</v>
      </c>
      <c r="F1970" s="366" t="s">
        <v>1456</v>
      </c>
      <c r="G1970" s="46" t="s">
        <v>394</v>
      </c>
      <c r="H1970" s="46">
        <v>16</v>
      </c>
      <c r="I1970" s="51">
        <v>224.29</v>
      </c>
      <c r="J1970" s="281">
        <f>++Tabla4[[#This Row],[Precio Bruto]]*1.16</f>
        <v>260.1764</v>
      </c>
      <c r="K1970" s="281">
        <f>+Tabla4[[#This Row],[Precio Unitario Neto]]*Tabla4[[#Headers],[20.85%]]</f>
        <v>54.246779400000001</v>
      </c>
      <c r="L1970" s="282">
        <f>++Tabla4[[#This Row],[Precio Unitario Neto]]-Tabla4[[#This Row],[20.85%]]</f>
        <v>205.92962059999999</v>
      </c>
      <c r="M1970" s="282" t="e">
        <f>(INDEX(Tabla6[#All],MATCH(Tabla4[[#This Row],[Producto]],Tabla6[[#All],[PRODUCTO]],0),MATCH(Tabla4[[#This Row],[Mes]],Tabla6[#Headers],0)))*(1+Catalogos!$L$2)</f>
        <v>#N/A</v>
      </c>
      <c r="N1970" s="283" t="e">
        <f>+(Tabla4[[#This Row],[Precio Descontado]]-Tabla4[[#This Row],[Precio Base]])*Tabla4[[#This Row],[Cantidad]]</f>
        <v>#N/A</v>
      </c>
      <c r="O1970" s="284" t="e">
        <f>++Tabla4[[#This Row],[Utilidad Total]]/Tabla4[[#This Row],[Total]]</f>
        <v>#N/A</v>
      </c>
      <c r="P1970" s="282">
        <f>++Tabla4[[#This Row],[Precio Descontado]]*Tabla4[[#This Row],[Cantidad]]</f>
        <v>3294.8739295999999</v>
      </c>
      <c r="Q1970" s="282" t="e">
        <f>(INDEX(Tabla6[#All],MATCH(Tabla4[[#This Row],[Producto]],Tabla6[[#All],[PRODUCTO]],0),MATCH(Tabla4[[#This Row],[Mes]],Tabla6[#Headers],0)))</f>
        <v>#N/A</v>
      </c>
      <c r="R1970" s="282" t="e">
        <f>++Tabla4[[#This Row],[Precio Unitario Neto]]-Tabla4[[#This Row],[20.85%]]-Tabla4[[#This Row],[Costo]]</f>
        <v>#N/A</v>
      </c>
      <c r="S1970" s="282" t="e">
        <f>++Tabla4[[#This Row],[U. Bruta Uni]]*Tabla4[[#This Row],[Cantidad]]</f>
        <v>#N/A</v>
      </c>
      <c r="T1970" s="369" t="str">
        <f>VLOOKUP(Tabla4[[#This Row],[Producto]],Tabla6[#All],14,FALSE)</f>
        <v>Termico Solar</v>
      </c>
      <c r="U1970" s="284" t="e">
        <f>(IF(Tabla4[[#This Row],[Familia]]="termico solar",Tabla4[[#This Row],[Utilidad Total]]*6%,Tabla4[[#This Row],[Utilidad Total]]*11.5%))/Tabla4[[#This Row],[Total]]</f>
        <v>#N/A</v>
      </c>
      <c r="V1970" s="282" t="e">
        <f>+Tabla4[[#This Row],[Comisión Calculada]]*Tabla4[[#This Row],[Total]]</f>
        <v>#N/A</v>
      </c>
    </row>
    <row r="1971" spans="1:22" hidden="1" x14ac:dyDescent="0.25">
      <c r="A1971" s="100">
        <v>45762</v>
      </c>
      <c r="B1971" t="str">
        <f t="shared" si="102"/>
        <v>April</v>
      </c>
      <c r="C1971" s="46" t="s">
        <v>280</v>
      </c>
      <c r="F1971" s="366" t="s">
        <v>1456</v>
      </c>
      <c r="G1971" s="46" t="s">
        <v>555</v>
      </c>
      <c r="H1971" s="46">
        <v>8</v>
      </c>
      <c r="I1971" s="51">
        <v>389.47</v>
      </c>
      <c r="J1971" s="281">
        <f>++Tabla4[[#This Row],[Precio Bruto]]*1.16</f>
        <v>451.78519999999997</v>
      </c>
      <c r="K1971" s="281">
        <f>+Tabla4[[#This Row],[Precio Unitario Neto]]*Tabla4[[#Headers],[20.85%]]</f>
        <v>94.197214199999991</v>
      </c>
      <c r="L1971" s="282">
        <f>++Tabla4[[#This Row],[Precio Unitario Neto]]-Tabla4[[#This Row],[20.85%]]</f>
        <v>357.58798579999996</v>
      </c>
      <c r="M1971" s="282" t="e">
        <f>(INDEX(Tabla6[#All],MATCH(Tabla4[[#This Row],[Producto]],Tabla6[[#All],[PRODUCTO]],0),MATCH(Tabla4[[#This Row],[Mes]],Tabla6[#Headers],0)))*(1+Catalogos!$L$2)</f>
        <v>#N/A</v>
      </c>
      <c r="N1971" s="283" t="e">
        <f>+(Tabla4[[#This Row],[Precio Descontado]]-Tabla4[[#This Row],[Precio Base]])*Tabla4[[#This Row],[Cantidad]]</f>
        <v>#N/A</v>
      </c>
      <c r="O1971" s="284" t="e">
        <f>++Tabla4[[#This Row],[Utilidad Total]]/Tabla4[[#This Row],[Total]]</f>
        <v>#N/A</v>
      </c>
      <c r="P1971" s="282">
        <f>++Tabla4[[#This Row],[Precio Descontado]]*Tabla4[[#This Row],[Cantidad]]</f>
        <v>2860.7038863999996</v>
      </c>
      <c r="Q1971" s="282" t="e">
        <f>(INDEX(Tabla6[#All],MATCH(Tabla4[[#This Row],[Producto]],Tabla6[[#All],[PRODUCTO]],0),MATCH(Tabla4[[#This Row],[Mes]],Tabla6[#Headers],0)))</f>
        <v>#N/A</v>
      </c>
      <c r="R1971" s="282" t="e">
        <f>++Tabla4[[#This Row],[Precio Unitario Neto]]-Tabla4[[#This Row],[20.85%]]-Tabla4[[#This Row],[Costo]]</f>
        <v>#N/A</v>
      </c>
      <c r="S1971" s="282" t="e">
        <f>++Tabla4[[#This Row],[U. Bruta Uni]]*Tabla4[[#This Row],[Cantidad]]</f>
        <v>#N/A</v>
      </c>
      <c r="T1971" s="369" t="str">
        <f>VLOOKUP(Tabla4[[#This Row],[Producto]],Tabla6[#All],14,FALSE)</f>
        <v>Termico Solar</v>
      </c>
      <c r="U1971" s="284" t="e">
        <f>(IF(Tabla4[[#This Row],[Familia]]="termico solar",Tabla4[[#This Row],[Utilidad Total]]*6%,Tabla4[[#This Row],[Utilidad Total]]*11.5%))/Tabla4[[#This Row],[Total]]</f>
        <v>#N/A</v>
      </c>
      <c r="V1971" s="282" t="e">
        <f>+Tabla4[[#This Row],[Comisión Calculada]]*Tabla4[[#This Row],[Total]]</f>
        <v>#N/A</v>
      </c>
    </row>
    <row r="1972" spans="1:22" hidden="1" x14ac:dyDescent="0.25">
      <c r="A1972" s="100">
        <v>45762</v>
      </c>
      <c r="B1972" t="str">
        <f t="shared" si="102"/>
        <v>April</v>
      </c>
      <c r="C1972" s="46" t="s">
        <v>280</v>
      </c>
      <c r="F1972" s="366" t="s">
        <v>1456</v>
      </c>
      <c r="G1972" s="46" t="s">
        <v>208</v>
      </c>
      <c r="H1972" s="46">
        <v>2</v>
      </c>
      <c r="I1972" s="51">
        <v>189.75</v>
      </c>
      <c r="J1972" s="281">
        <f>++Tabla4[[#This Row],[Precio Bruto]]*1.16</f>
        <v>220.10999999999999</v>
      </c>
      <c r="K1972" s="281">
        <f>+Tabla4[[#This Row],[Precio Unitario Neto]]*Tabla4[[#Headers],[20.85%]]</f>
        <v>45.892934999999994</v>
      </c>
      <c r="L1972" s="282">
        <f>++Tabla4[[#This Row],[Precio Unitario Neto]]-Tabla4[[#This Row],[20.85%]]</f>
        <v>174.21706499999999</v>
      </c>
      <c r="M1972" s="282" t="e">
        <f>(INDEX(Tabla6[#All],MATCH(Tabla4[[#This Row],[Producto]],Tabla6[[#All],[PRODUCTO]],0),MATCH(Tabla4[[#This Row],[Mes]],Tabla6[#Headers],0)))*(1+Catalogos!$L$2)</f>
        <v>#N/A</v>
      </c>
      <c r="N1972" s="283" t="e">
        <f>+(Tabla4[[#This Row],[Precio Descontado]]-Tabla4[[#This Row],[Precio Base]])*Tabla4[[#This Row],[Cantidad]]</f>
        <v>#N/A</v>
      </c>
      <c r="O1972" s="284" t="e">
        <f>++Tabla4[[#This Row],[Utilidad Total]]/Tabla4[[#This Row],[Total]]</f>
        <v>#N/A</v>
      </c>
      <c r="P1972" s="282">
        <f>++Tabla4[[#This Row],[Precio Descontado]]*Tabla4[[#This Row],[Cantidad]]</f>
        <v>348.43412999999998</v>
      </c>
      <c r="Q1972" s="282" t="e">
        <f>(INDEX(Tabla6[#All],MATCH(Tabla4[[#This Row],[Producto]],Tabla6[[#All],[PRODUCTO]],0),MATCH(Tabla4[[#This Row],[Mes]],Tabla6[#Headers],0)))</f>
        <v>#N/A</v>
      </c>
      <c r="R1972" s="282" t="e">
        <f>++Tabla4[[#This Row],[Precio Unitario Neto]]-Tabla4[[#This Row],[20.85%]]-Tabla4[[#This Row],[Costo]]</f>
        <v>#N/A</v>
      </c>
      <c r="S1972" s="282" t="e">
        <f>++Tabla4[[#This Row],[U. Bruta Uni]]*Tabla4[[#This Row],[Cantidad]]</f>
        <v>#N/A</v>
      </c>
      <c r="T1972" s="369" t="str">
        <f>VLOOKUP(Tabla4[[#This Row],[Producto]],Tabla6[#All],14,FALSE)</f>
        <v>Termico Solar</v>
      </c>
      <c r="U1972" s="284" t="e">
        <f>(IF(Tabla4[[#This Row],[Familia]]="termico solar",Tabla4[[#This Row],[Utilidad Total]]*6%,Tabla4[[#This Row],[Utilidad Total]]*11.5%))/Tabla4[[#This Row],[Total]]</f>
        <v>#N/A</v>
      </c>
      <c r="V1972" s="282" t="e">
        <f>+Tabla4[[#This Row],[Comisión Calculada]]*Tabla4[[#This Row],[Total]]</f>
        <v>#N/A</v>
      </c>
    </row>
    <row r="1973" spans="1:22" hidden="1" x14ac:dyDescent="0.25">
      <c r="A1973" s="100">
        <v>45762</v>
      </c>
      <c r="B1973" t="str">
        <f t="shared" si="102"/>
        <v>April</v>
      </c>
      <c r="C1973" s="46" t="s">
        <v>280</v>
      </c>
      <c r="F1973" s="366" t="s">
        <v>1457</v>
      </c>
      <c r="G1973" s="46" t="s">
        <v>394</v>
      </c>
      <c r="H1973" s="46">
        <v>16</v>
      </c>
      <c r="I1973" s="51">
        <v>224.29</v>
      </c>
      <c r="J1973" s="281">
        <f>++Tabla4[[#This Row],[Precio Bruto]]*1.16</f>
        <v>260.1764</v>
      </c>
      <c r="K1973" s="281">
        <f>+Tabla4[[#This Row],[Precio Unitario Neto]]*Tabla4[[#Headers],[20.85%]]</f>
        <v>54.246779400000001</v>
      </c>
      <c r="L1973" s="282">
        <f>++Tabla4[[#This Row],[Precio Unitario Neto]]-Tabla4[[#This Row],[20.85%]]</f>
        <v>205.92962059999999</v>
      </c>
      <c r="M1973" s="282" t="e">
        <f>(INDEX(Tabla6[#All],MATCH(Tabla4[[#This Row],[Producto]],Tabla6[[#All],[PRODUCTO]],0),MATCH(Tabla4[[#This Row],[Mes]],Tabla6[#Headers],0)))*(1+Catalogos!$L$2)</f>
        <v>#N/A</v>
      </c>
      <c r="N1973" s="283" t="e">
        <f>+(Tabla4[[#This Row],[Precio Descontado]]-Tabla4[[#This Row],[Precio Base]])*Tabla4[[#This Row],[Cantidad]]</f>
        <v>#N/A</v>
      </c>
      <c r="O1973" s="284" t="e">
        <f>++Tabla4[[#This Row],[Utilidad Total]]/Tabla4[[#This Row],[Total]]</f>
        <v>#N/A</v>
      </c>
      <c r="P1973" s="282">
        <f>++Tabla4[[#This Row],[Precio Descontado]]*Tabla4[[#This Row],[Cantidad]]</f>
        <v>3294.8739295999999</v>
      </c>
      <c r="Q1973" s="282" t="e">
        <f>(INDEX(Tabla6[#All],MATCH(Tabla4[[#This Row],[Producto]],Tabla6[[#All],[PRODUCTO]],0),MATCH(Tabla4[[#This Row],[Mes]],Tabla6[#Headers],0)))</f>
        <v>#N/A</v>
      </c>
      <c r="R1973" s="282" t="e">
        <f>++Tabla4[[#This Row],[Precio Unitario Neto]]-Tabla4[[#This Row],[20.85%]]-Tabla4[[#This Row],[Costo]]</f>
        <v>#N/A</v>
      </c>
      <c r="S1973" s="282" t="e">
        <f>++Tabla4[[#This Row],[U. Bruta Uni]]*Tabla4[[#This Row],[Cantidad]]</f>
        <v>#N/A</v>
      </c>
      <c r="T1973" s="369" t="str">
        <f>VLOOKUP(Tabla4[[#This Row],[Producto]],Tabla6[#All],14,FALSE)</f>
        <v>Termico Solar</v>
      </c>
      <c r="U1973" s="284" t="e">
        <f>(IF(Tabla4[[#This Row],[Familia]]="termico solar",Tabla4[[#This Row],[Utilidad Total]]*6%,Tabla4[[#This Row],[Utilidad Total]]*11.5%))/Tabla4[[#This Row],[Total]]</f>
        <v>#N/A</v>
      </c>
      <c r="V1973" s="282" t="e">
        <f>+Tabla4[[#This Row],[Comisión Calculada]]*Tabla4[[#This Row],[Total]]</f>
        <v>#N/A</v>
      </c>
    </row>
    <row r="1974" spans="1:22" hidden="1" x14ac:dyDescent="0.25">
      <c r="A1974" s="100">
        <v>45762</v>
      </c>
      <c r="B1974" t="str">
        <f t="shared" si="102"/>
        <v>April</v>
      </c>
      <c r="C1974" s="46" t="s">
        <v>280</v>
      </c>
      <c r="F1974" s="366" t="s">
        <v>1457</v>
      </c>
      <c r="G1974" s="46" t="s">
        <v>555</v>
      </c>
      <c r="H1974" s="46">
        <v>8</v>
      </c>
      <c r="I1974" s="51">
        <v>389.47</v>
      </c>
      <c r="J1974" s="281">
        <f>++Tabla4[[#This Row],[Precio Bruto]]*1.16</f>
        <v>451.78519999999997</v>
      </c>
      <c r="K1974" s="281">
        <f>+Tabla4[[#This Row],[Precio Unitario Neto]]*Tabla4[[#Headers],[20.85%]]</f>
        <v>94.197214199999991</v>
      </c>
      <c r="L1974" s="282">
        <f>++Tabla4[[#This Row],[Precio Unitario Neto]]-Tabla4[[#This Row],[20.85%]]</f>
        <v>357.58798579999996</v>
      </c>
      <c r="M1974" s="282" t="e">
        <f>(INDEX(Tabla6[#All],MATCH(Tabla4[[#This Row],[Producto]],Tabla6[[#All],[PRODUCTO]],0),MATCH(Tabla4[[#This Row],[Mes]],Tabla6[#Headers],0)))*(1+Catalogos!$L$2)</f>
        <v>#N/A</v>
      </c>
      <c r="N1974" s="283" t="e">
        <f>+(Tabla4[[#This Row],[Precio Descontado]]-Tabla4[[#This Row],[Precio Base]])*Tabla4[[#This Row],[Cantidad]]</f>
        <v>#N/A</v>
      </c>
      <c r="O1974" s="284" t="e">
        <f>++Tabla4[[#This Row],[Utilidad Total]]/Tabla4[[#This Row],[Total]]</f>
        <v>#N/A</v>
      </c>
      <c r="P1974" s="282">
        <f>++Tabla4[[#This Row],[Precio Descontado]]*Tabla4[[#This Row],[Cantidad]]</f>
        <v>2860.7038863999996</v>
      </c>
      <c r="Q1974" s="282" t="e">
        <f>(INDEX(Tabla6[#All],MATCH(Tabla4[[#This Row],[Producto]],Tabla6[[#All],[PRODUCTO]],0),MATCH(Tabla4[[#This Row],[Mes]],Tabla6[#Headers],0)))</f>
        <v>#N/A</v>
      </c>
      <c r="R1974" s="282" t="e">
        <f>++Tabla4[[#This Row],[Precio Unitario Neto]]-Tabla4[[#This Row],[20.85%]]-Tabla4[[#This Row],[Costo]]</f>
        <v>#N/A</v>
      </c>
      <c r="S1974" s="282" t="e">
        <f>++Tabla4[[#This Row],[U. Bruta Uni]]*Tabla4[[#This Row],[Cantidad]]</f>
        <v>#N/A</v>
      </c>
      <c r="T1974" s="369" t="str">
        <f>VLOOKUP(Tabla4[[#This Row],[Producto]],Tabla6[#All],14,FALSE)</f>
        <v>Termico Solar</v>
      </c>
      <c r="U1974" s="284" t="e">
        <f>(IF(Tabla4[[#This Row],[Familia]]="termico solar",Tabla4[[#This Row],[Utilidad Total]]*6%,Tabla4[[#This Row],[Utilidad Total]]*11.5%))/Tabla4[[#This Row],[Total]]</f>
        <v>#N/A</v>
      </c>
      <c r="V1974" s="282" t="e">
        <f>+Tabla4[[#This Row],[Comisión Calculada]]*Tabla4[[#This Row],[Total]]</f>
        <v>#N/A</v>
      </c>
    </row>
    <row r="1975" spans="1:22" hidden="1" x14ac:dyDescent="0.25">
      <c r="A1975" s="100">
        <v>45762</v>
      </c>
      <c r="B1975" t="str">
        <f t="shared" si="102"/>
        <v>April</v>
      </c>
      <c r="C1975" s="46" t="s">
        <v>280</v>
      </c>
      <c r="F1975" s="366" t="s">
        <v>1457</v>
      </c>
      <c r="G1975" s="46" t="s">
        <v>208</v>
      </c>
      <c r="H1975" s="46">
        <v>2</v>
      </c>
      <c r="I1975" s="51">
        <v>189.75</v>
      </c>
      <c r="J1975" s="281">
        <f>++Tabla4[[#This Row],[Precio Bruto]]*1.16</f>
        <v>220.10999999999999</v>
      </c>
      <c r="K1975" s="281">
        <f>+Tabla4[[#This Row],[Precio Unitario Neto]]*Tabla4[[#Headers],[20.85%]]</f>
        <v>45.892934999999994</v>
      </c>
      <c r="L1975" s="282">
        <f>++Tabla4[[#This Row],[Precio Unitario Neto]]-Tabla4[[#This Row],[20.85%]]</f>
        <v>174.21706499999999</v>
      </c>
      <c r="M1975" s="282" t="e">
        <f>(INDEX(Tabla6[#All],MATCH(Tabla4[[#This Row],[Producto]],Tabla6[[#All],[PRODUCTO]],0),MATCH(Tabla4[[#This Row],[Mes]],Tabla6[#Headers],0)))*(1+Catalogos!$L$2)</f>
        <v>#N/A</v>
      </c>
      <c r="N1975" s="283" t="e">
        <f>+(Tabla4[[#This Row],[Precio Descontado]]-Tabla4[[#This Row],[Precio Base]])*Tabla4[[#This Row],[Cantidad]]</f>
        <v>#N/A</v>
      </c>
      <c r="O1975" s="284" t="e">
        <f>++Tabla4[[#This Row],[Utilidad Total]]/Tabla4[[#This Row],[Total]]</f>
        <v>#N/A</v>
      </c>
      <c r="P1975" s="282">
        <f>++Tabla4[[#This Row],[Precio Descontado]]*Tabla4[[#This Row],[Cantidad]]</f>
        <v>348.43412999999998</v>
      </c>
      <c r="Q1975" s="282" t="e">
        <f>(INDEX(Tabla6[#All],MATCH(Tabla4[[#This Row],[Producto]],Tabla6[[#All],[PRODUCTO]],0),MATCH(Tabla4[[#This Row],[Mes]],Tabla6[#Headers],0)))</f>
        <v>#N/A</v>
      </c>
      <c r="R1975" s="282" t="e">
        <f>++Tabla4[[#This Row],[Precio Unitario Neto]]-Tabla4[[#This Row],[20.85%]]-Tabla4[[#This Row],[Costo]]</f>
        <v>#N/A</v>
      </c>
      <c r="S1975" s="282" t="e">
        <f>++Tabla4[[#This Row],[U. Bruta Uni]]*Tabla4[[#This Row],[Cantidad]]</f>
        <v>#N/A</v>
      </c>
      <c r="T1975" s="369" t="str">
        <f>VLOOKUP(Tabla4[[#This Row],[Producto]],Tabla6[#All],14,FALSE)</f>
        <v>Termico Solar</v>
      </c>
      <c r="U1975" s="284" t="e">
        <f>(IF(Tabla4[[#This Row],[Familia]]="termico solar",Tabla4[[#This Row],[Utilidad Total]]*6%,Tabla4[[#This Row],[Utilidad Total]]*11.5%))/Tabla4[[#This Row],[Total]]</f>
        <v>#N/A</v>
      </c>
      <c r="V1975" s="282" t="e">
        <f>+Tabla4[[#This Row],[Comisión Calculada]]*Tabla4[[#This Row],[Total]]</f>
        <v>#N/A</v>
      </c>
    </row>
    <row r="1976" spans="1:22" hidden="1" x14ac:dyDescent="0.25">
      <c r="A1976" s="100">
        <v>45762</v>
      </c>
      <c r="B1976" t="str">
        <f t="shared" ref="B1976:B2007" si="103">TEXT(A1976, "mmmm")</f>
        <v>April</v>
      </c>
      <c r="C1976" s="46" t="s">
        <v>280</v>
      </c>
      <c r="F1976" s="366" t="s">
        <v>1458</v>
      </c>
      <c r="G1976" s="46" t="s">
        <v>394</v>
      </c>
      <c r="H1976" s="46">
        <v>16</v>
      </c>
      <c r="I1976" s="51">
        <v>224.29</v>
      </c>
      <c r="J1976" s="281">
        <f>++Tabla4[[#This Row],[Precio Bruto]]*1.16</f>
        <v>260.1764</v>
      </c>
      <c r="K1976" s="281">
        <f>+Tabla4[[#This Row],[Precio Unitario Neto]]*Tabla4[[#Headers],[20.85%]]</f>
        <v>54.246779400000001</v>
      </c>
      <c r="L1976" s="282">
        <f>++Tabla4[[#This Row],[Precio Unitario Neto]]-Tabla4[[#This Row],[20.85%]]</f>
        <v>205.92962059999999</v>
      </c>
      <c r="M1976" s="282" t="e">
        <f>(INDEX(Tabla6[#All],MATCH(Tabla4[[#This Row],[Producto]],Tabla6[[#All],[PRODUCTO]],0),MATCH(Tabla4[[#This Row],[Mes]],Tabla6[#Headers],0)))*(1+Catalogos!$L$2)</f>
        <v>#N/A</v>
      </c>
      <c r="N1976" s="283" t="e">
        <f>+(Tabla4[[#This Row],[Precio Descontado]]-Tabla4[[#This Row],[Precio Base]])*Tabla4[[#This Row],[Cantidad]]</f>
        <v>#N/A</v>
      </c>
      <c r="O1976" s="284" t="e">
        <f>++Tabla4[[#This Row],[Utilidad Total]]/Tabla4[[#This Row],[Total]]</f>
        <v>#N/A</v>
      </c>
      <c r="P1976" s="282">
        <f>++Tabla4[[#This Row],[Precio Descontado]]*Tabla4[[#This Row],[Cantidad]]</f>
        <v>3294.8739295999999</v>
      </c>
      <c r="Q1976" s="282" t="e">
        <f>(INDEX(Tabla6[#All],MATCH(Tabla4[[#This Row],[Producto]],Tabla6[[#All],[PRODUCTO]],0),MATCH(Tabla4[[#This Row],[Mes]],Tabla6[#Headers],0)))</f>
        <v>#N/A</v>
      </c>
      <c r="R1976" s="282" t="e">
        <f>++Tabla4[[#This Row],[Precio Unitario Neto]]-Tabla4[[#This Row],[20.85%]]-Tabla4[[#This Row],[Costo]]</f>
        <v>#N/A</v>
      </c>
      <c r="S1976" s="282" t="e">
        <f>++Tabla4[[#This Row],[U. Bruta Uni]]*Tabla4[[#This Row],[Cantidad]]</f>
        <v>#N/A</v>
      </c>
      <c r="T1976" s="369" t="str">
        <f>VLOOKUP(Tabla4[[#This Row],[Producto]],Tabla6[#All],14,FALSE)</f>
        <v>Termico Solar</v>
      </c>
      <c r="U1976" s="284" t="e">
        <f>(IF(Tabla4[[#This Row],[Familia]]="termico solar",Tabla4[[#This Row],[Utilidad Total]]*6%,Tabla4[[#This Row],[Utilidad Total]]*11.5%))/Tabla4[[#This Row],[Total]]</f>
        <v>#N/A</v>
      </c>
      <c r="V1976" s="282" t="e">
        <f>+Tabla4[[#This Row],[Comisión Calculada]]*Tabla4[[#This Row],[Total]]</f>
        <v>#N/A</v>
      </c>
    </row>
    <row r="1977" spans="1:22" hidden="1" x14ac:dyDescent="0.25">
      <c r="A1977" s="100">
        <v>45762</v>
      </c>
      <c r="B1977" t="str">
        <f t="shared" si="103"/>
        <v>April</v>
      </c>
      <c r="C1977" s="46" t="s">
        <v>280</v>
      </c>
      <c r="F1977" s="366" t="s">
        <v>1458</v>
      </c>
      <c r="G1977" s="46" t="s">
        <v>555</v>
      </c>
      <c r="H1977" s="46">
        <v>8</v>
      </c>
      <c r="I1977" s="51">
        <v>389.47</v>
      </c>
      <c r="J1977" s="281">
        <f>++Tabla4[[#This Row],[Precio Bruto]]*1.16</f>
        <v>451.78519999999997</v>
      </c>
      <c r="K1977" s="281">
        <f>+Tabla4[[#This Row],[Precio Unitario Neto]]*Tabla4[[#Headers],[20.85%]]</f>
        <v>94.197214199999991</v>
      </c>
      <c r="L1977" s="282">
        <f>++Tabla4[[#This Row],[Precio Unitario Neto]]-Tabla4[[#This Row],[20.85%]]</f>
        <v>357.58798579999996</v>
      </c>
      <c r="M1977" s="282" t="e">
        <f>(INDEX(Tabla6[#All],MATCH(Tabla4[[#This Row],[Producto]],Tabla6[[#All],[PRODUCTO]],0),MATCH(Tabla4[[#This Row],[Mes]],Tabla6[#Headers],0)))*(1+Catalogos!$L$2)</f>
        <v>#N/A</v>
      </c>
      <c r="N1977" s="283" t="e">
        <f>+(Tabla4[[#This Row],[Precio Descontado]]-Tabla4[[#This Row],[Precio Base]])*Tabla4[[#This Row],[Cantidad]]</f>
        <v>#N/A</v>
      </c>
      <c r="O1977" s="284" t="e">
        <f>++Tabla4[[#This Row],[Utilidad Total]]/Tabla4[[#This Row],[Total]]</f>
        <v>#N/A</v>
      </c>
      <c r="P1977" s="282">
        <f>++Tabla4[[#This Row],[Precio Descontado]]*Tabla4[[#This Row],[Cantidad]]</f>
        <v>2860.7038863999996</v>
      </c>
      <c r="Q1977" s="282" t="e">
        <f>(INDEX(Tabla6[#All],MATCH(Tabla4[[#This Row],[Producto]],Tabla6[[#All],[PRODUCTO]],0),MATCH(Tabla4[[#This Row],[Mes]],Tabla6[#Headers],0)))</f>
        <v>#N/A</v>
      </c>
      <c r="R1977" s="282" t="e">
        <f>++Tabla4[[#This Row],[Precio Unitario Neto]]-Tabla4[[#This Row],[20.85%]]-Tabla4[[#This Row],[Costo]]</f>
        <v>#N/A</v>
      </c>
      <c r="S1977" s="282" t="e">
        <f>++Tabla4[[#This Row],[U. Bruta Uni]]*Tabla4[[#This Row],[Cantidad]]</f>
        <v>#N/A</v>
      </c>
      <c r="T1977" s="369" t="str">
        <f>VLOOKUP(Tabla4[[#This Row],[Producto]],Tabla6[#All],14,FALSE)</f>
        <v>Termico Solar</v>
      </c>
      <c r="U1977" s="284" t="e">
        <f>(IF(Tabla4[[#This Row],[Familia]]="termico solar",Tabla4[[#This Row],[Utilidad Total]]*6%,Tabla4[[#This Row],[Utilidad Total]]*11.5%))/Tabla4[[#This Row],[Total]]</f>
        <v>#N/A</v>
      </c>
      <c r="V1977" s="282" t="e">
        <f>+Tabla4[[#This Row],[Comisión Calculada]]*Tabla4[[#This Row],[Total]]</f>
        <v>#N/A</v>
      </c>
    </row>
    <row r="1978" spans="1:22" hidden="1" x14ac:dyDescent="0.25">
      <c r="A1978" s="100">
        <v>45762</v>
      </c>
      <c r="B1978" t="str">
        <f t="shared" si="103"/>
        <v>April</v>
      </c>
      <c r="C1978" s="46" t="s">
        <v>280</v>
      </c>
      <c r="F1978" s="366" t="s">
        <v>1458</v>
      </c>
      <c r="G1978" s="46" t="s">
        <v>208</v>
      </c>
      <c r="H1978" s="46">
        <v>2</v>
      </c>
      <c r="I1978" s="51">
        <v>189.75</v>
      </c>
      <c r="J1978" s="281">
        <f>++Tabla4[[#This Row],[Precio Bruto]]*1.16</f>
        <v>220.10999999999999</v>
      </c>
      <c r="K1978" s="281">
        <f>+Tabla4[[#This Row],[Precio Unitario Neto]]*Tabla4[[#Headers],[20.85%]]</f>
        <v>45.892934999999994</v>
      </c>
      <c r="L1978" s="282">
        <f>++Tabla4[[#This Row],[Precio Unitario Neto]]-Tabla4[[#This Row],[20.85%]]</f>
        <v>174.21706499999999</v>
      </c>
      <c r="M1978" s="282" t="e">
        <f>(INDEX(Tabla6[#All],MATCH(Tabla4[[#This Row],[Producto]],Tabla6[[#All],[PRODUCTO]],0),MATCH(Tabla4[[#This Row],[Mes]],Tabla6[#Headers],0)))*(1+Catalogos!$L$2)</f>
        <v>#N/A</v>
      </c>
      <c r="N1978" s="283" t="e">
        <f>+(Tabla4[[#This Row],[Precio Descontado]]-Tabla4[[#This Row],[Precio Base]])*Tabla4[[#This Row],[Cantidad]]</f>
        <v>#N/A</v>
      </c>
      <c r="O1978" s="284" t="e">
        <f>++Tabla4[[#This Row],[Utilidad Total]]/Tabla4[[#This Row],[Total]]</f>
        <v>#N/A</v>
      </c>
      <c r="P1978" s="282">
        <f>++Tabla4[[#This Row],[Precio Descontado]]*Tabla4[[#This Row],[Cantidad]]</f>
        <v>348.43412999999998</v>
      </c>
      <c r="Q1978" s="282" t="e">
        <f>(INDEX(Tabla6[#All],MATCH(Tabla4[[#This Row],[Producto]],Tabla6[[#All],[PRODUCTO]],0),MATCH(Tabla4[[#This Row],[Mes]],Tabla6[#Headers],0)))</f>
        <v>#N/A</v>
      </c>
      <c r="R1978" s="282" t="e">
        <f>++Tabla4[[#This Row],[Precio Unitario Neto]]-Tabla4[[#This Row],[20.85%]]-Tabla4[[#This Row],[Costo]]</f>
        <v>#N/A</v>
      </c>
      <c r="S1978" s="282" t="e">
        <f>++Tabla4[[#This Row],[U. Bruta Uni]]*Tabla4[[#This Row],[Cantidad]]</f>
        <v>#N/A</v>
      </c>
      <c r="T1978" s="369" t="str">
        <f>VLOOKUP(Tabla4[[#This Row],[Producto]],Tabla6[#All],14,FALSE)</f>
        <v>Termico Solar</v>
      </c>
      <c r="U1978" s="284" t="e">
        <f>(IF(Tabla4[[#This Row],[Familia]]="termico solar",Tabla4[[#This Row],[Utilidad Total]]*6%,Tabla4[[#This Row],[Utilidad Total]]*11.5%))/Tabla4[[#This Row],[Total]]</f>
        <v>#N/A</v>
      </c>
      <c r="V1978" s="282" t="e">
        <f>+Tabla4[[#This Row],[Comisión Calculada]]*Tabla4[[#This Row],[Total]]</f>
        <v>#N/A</v>
      </c>
    </row>
    <row r="1979" spans="1:22" hidden="1" x14ac:dyDescent="0.25">
      <c r="A1979" s="100">
        <v>45762</v>
      </c>
      <c r="B1979" t="str">
        <f t="shared" si="103"/>
        <v>April</v>
      </c>
      <c r="C1979" s="46" t="s">
        <v>280</v>
      </c>
      <c r="F1979" s="366" t="s">
        <v>1459</v>
      </c>
      <c r="G1979" s="46" t="s">
        <v>394</v>
      </c>
      <c r="H1979" s="46">
        <v>16</v>
      </c>
      <c r="I1979" s="51">
        <v>224.29</v>
      </c>
      <c r="J1979" s="281">
        <f>++Tabla4[[#This Row],[Precio Bruto]]*1.16</f>
        <v>260.1764</v>
      </c>
      <c r="K1979" s="281">
        <f>+Tabla4[[#This Row],[Precio Unitario Neto]]*Tabla4[[#Headers],[20.85%]]</f>
        <v>54.246779400000001</v>
      </c>
      <c r="L1979" s="282">
        <f>++Tabla4[[#This Row],[Precio Unitario Neto]]-Tabla4[[#This Row],[20.85%]]</f>
        <v>205.92962059999999</v>
      </c>
      <c r="M1979" s="282" t="e">
        <f>(INDEX(Tabla6[#All],MATCH(Tabla4[[#This Row],[Producto]],Tabla6[[#All],[PRODUCTO]],0),MATCH(Tabla4[[#This Row],[Mes]],Tabla6[#Headers],0)))*(1+Catalogos!$L$2)</f>
        <v>#N/A</v>
      </c>
      <c r="N1979" s="283" t="e">
        <f>+(Tabla4[[#This Row],[Precio Descontado]]-Tabla4[[#This Row],[Precio Base]])*Tabla4[[#This Row],[Cantidad]]</f>
        <v>#N/A</v>
      </c>
      <c r="O1979" s="284" t="e">
        <f>++Tabla4[[#This Row],[Utilidad Total]]/Tabla4[[#This Row],[Total]]</f>
        <v>#N/A</v>
      </c>
      <c r="P1979" s="282">
        <f>++Tabla4[[#This Row],[Precio Descontado]]*Tabla4[[#This Row],[Cantidad]]</f>
        <v>3294.8739295999999</v>
      </c>
      <c r="Q1979" s="282" t="e">
        <f>(INDEX(Tabla6[#All],MATCH(Tabla4[[#This Row],[Producto]],Tabla6[[#All],[PRODUCTO]],0),MATCH(Tabla4[[#This Row],[Mes]],Tabla6[#Headers],0)))</f>
        <v>#N/A</v>
      </c>
      <c r="R1979" s="282" t="e">
        <f>++Tabla4[[#This Row],[Precio Unitario Neto]]-Tabla4[[#This Row],[20.85%]]-Tabla4[[#This Row],[Costo]]</f>
        <v>#N/A</v>
      </c>
      <c r="S1979" s="282" t="e">
        <f>++Tabla4[[#This Row],[U. Bruta Uni]]*Tabla4[[#This Row],[Cantidad]]</f>
        <v>#N/A</v>
      </c>
      <c r="T1979" s="369" t="str">
        <f>VLOOKUP(Tabla4[[#This Row],[Producto]],Tabla6[#All],14,FALSE)</f>
        <v>Termico Solar</v>
      </c>
      <c r="U1979" s="284" t="e">
        <f>(IF(Tabla4[[#This Row],[Familia]]="termico solar",Tabla4[[#This Row],[Utilidad Total]]*6%,Tabla4[[#This Row],[Utilidad Total]]*11.5%))/Tabla4[[#This Row],[Total]]</f>
        <v>#N/A</v>
      </c>
      <c r="V1979" s="282" t="e">
        <f>+Tabla4[[#This Row],[Comisión Calculada]]*Tabla4[[#This Row],[Total]]</f>
        <v>#N/A</v>
      </c>
    </row>
    <row r="1980" spans="1:22" hidden="1" x14ac:dyDescent="0.25">
      <c r="A1980" s="100">
        <v>45762</v>
      </c>
      <c r="B1980" t="str">
        <f t="shared" si="103"/>
        <v>April</v>
      </c>
      <c r="C1980" s="46" t="s">
        <v>280</v>
      </c>
      <c r="F1980" s="366" t="s">
        <v>1459</v>
      </c>
      <c r="G1980" s="46" t="s">
        <v>555</v>
      </c>
      <c r="H1980" s="46">
        <v>8</v>
      </c>
      <c r="I1980" s="51">
        <v>389.47</v>
      </c>
      <c r="J1980" s="281">
        <f>++Tabla4[[#This Row],[Precio Bruto]]*1.16</f>
        <v>451.78519999999997</v>
      </c>
      <c r="K1980" s="281">
        <f>+Tabla4[[#This Row],[Precio Unitario Neto]]*Tabla4[[#Headers],[20.85%]]</f>
        <v>94.197214199999991</v>
      </c>
      <c r="L1980" s="282">
        <f>++Tabla4[[#This Row],[Precio Unitario Neto]]-Tabla4[[#This Row],[20.85%]]</f>
        <v>357.58798579999996</v>
      </c>
      <c r="M1980" s="282" t="e">
        <f>(INDEX(Tabla6[#All],MATCH(Tabla4[[#This Row],[Producto]],Tabla6[[#All],[PRODUCTO]],0),MATCH(Tabla4[[#This Row],[Mes]],Tabla6[#Headers],0)))*(1+Catalogos!$L$2)</f>
        <v>#N/A</v>
      </c>
      <c r="N1980" s="283" t="e">
        <f>+(Tabla4[[#This Row],[Precio Descontado]]-Tabla4[[#This Row],[Precio Base]])*Tabla4[[#This Row],[Cantidad]]</f>
        <v>#N/A</v>
      </c>
      <c r="O1980" s="284" t="e">
        <f>++Tabla4[[#This Row],[Utilidad Total]]/Tabla4[[#This Row],[Total]]</f>
        <v>#N/A</v>
      </c>
      <c r="P1980" s="282">
        <f>++Tabla4[[#This Row],[Precio Descontado]]*Tabla4[[#This Row],[Cantidad]]</f>
        <v>2860.7038863999996</v>
      </c>
      <c r="Q1980" s="282" t="e">
        <f>(INDEX(Tabla6[#All],MATCH(Tabla4[[#This Row],[Producto]],Tabla6[[#All],[PRODUCTO]],0),MATCH(Tabla4[[#This Row],[Mes]],Tabla6[#Headers],0)))</f>
        <v>#N/A</v>
      </c>
      <c r="R1980" s="282" t="e">
        <f>++Tabla4[[#This Row],[Precio Unitario Neto]]-Tabla4[[#This Row],[20.85%]]-Tabla4[[#This Row],[Costo]]</f>
        <v>#N/A</v>
      </c>
      <c r="S1980" s="282" t="e">
        <f>++Tabla4[[#This Row],[U. Bruta Uni]]*Tabla4[[#This Row],[Cantidad]]</f>
        <v>#N/A</v>
      </c>
      <c r="T1980" s="369" t="str">
        <f>VLOOKUP(Tabla4[[#This Row],[Producto]],Tabla6[#All],14,FALSE)</f>
        <v>Termico Solar</v>
      </c>
      <c r="U1980" s="284" t="e">
        <f>(IF(Tabla4[[#This Row],[Familia]]="termico solar",Tabla4[[#This Row],[Utilidad Total]]*6%,Tabla4[[#This Row],[Utilidad Total]]*11.5%))/Tabla4[[#This Row],[Total]]</f>
        <v>#N/A</v>
      </c>
      <c r="V1980" s="282" t="e">
        <f>+Tabla4[[#This Row],[Comisión Calculada]]*Tabla4[[#This Row],[Total]]</f>
        <v>#N/A</v>
      </c>
    </row>
    <row r="1981" spans="1:22" hidden="1" x14ac:dyDescent="0.25">
      <c r="A1981" s="100">
        <v>45762</v>
      </c>
      <c r="B1981" t="str">
        <f t="shared" si="103"/>
        <v>April</v>
      </c>
      <c r="C1981" s="46" t="s">
        <v>280</v>
      </c>
      <c r="F1981" s="366" t="s">
        <v>1459</v>
      </c>
      <c r="G1981" s="46" t="s">
        <v>208</v>
      </c>
      <c r="H1981" s="46">
        <v>1</v>
      </c>
      <c r="I1981" s="51">
        <v>189.75</v>
      </c>
      <c r="J1981" s="281">
        <f>++Tabla4[[#This Row],[Precio Bruto]]*1.16</f>
        <v>220.10999999999999</v>
      </c>
      <c r="K1981" s="281">
        <f>+Tabla4[[#This Row],[Precio Unitario Neto]]*Tabla4[[#Headers],[20.85%]]</f>
        <v>45.892934999999994</v>
      </c>
      <c r="L1981" s="282">
        <f>++Tabla4[[#This Row],[Precio Unitario Neto]]-Tabla4[[#This Row],[20.85%]]</f>
        <v>174.21706499999999</v>
      </c>
      <c r="M1981" s="282" t="e">
        <f>(INDEX(Tabla6[#All],MATCH(Tabla4[[#This Row],[Producto]],Tabla6[[#All],[PRODUCTO]],0),MATCH(Tabla4[[#This Row],[Mes]],Tabla6[#Headers],0)))*(1+Catalogos!$L$2)</f>
        <v>#N/A</v>
      </c>
      <c r="N1981" s="283" t="e">
        <f>+(Tabla4[[#This Row],[Precio Descontado]]-Tabla4[[#This Row],[Precio Base]])*Tabla4[[#This Row],[Cantidad]]</f>
        <v>#N/A</v>
      </c>
      <c r="O1981" s="284" t="e">
        <f>++Tabla4[[#This Row],[Utilidad Total]]/Tabla4[[#This Row],[Total]]</f>
        <v>#N/A</v>
      </c>
      <c r="P1981" s="282">
        <f>++Tabla4[[#This Row],[Precio Descontado]]*Tabla4[[#This Row],[Cantidad]]</f>
        <v>174.21706499999999</v>
      </c>
      <c r="Q1981" s="282" t="e">
        <f>(INDEX(Tabla6[#All],MATCH(Tabla4[[#This Row],[Producto]],Tabla6[[#All],[PRODUCTO]],0),MATCH(Tabla4[[#This Row],[Mes]],Tabla6[#Headers],0)))</f>
        <v>#N/A</v>
      </c>
      <c r="R1981" s="282" t="e">
        <f>++Tabla4[[#This Row],[Precio Unitario Neto]]-Tabla4[[#This Row],[20.85%]]-Tabla4[[#This Row],[Costo]]</f>
        <v>#N/A</v>
      </c>
      <c r="S1981" s="282" t="e">
        <f>++Tabla4[[#This Row],[U. Bruta Uni]]*Tabla4[[#This Row],[Cantidad]]</f>
        <v>#N/A</v>
      </c>
      <c r="T1981" s="369" t="str">
        <f>VLOOKUP(Tabla4[[#This Row],[Producto]],Tabla6[#All],14,FALSE)</f>
        <v>Termico Solar</v>
      </c>
      <c r="U1981" s="284" t="e">
        <f>(IF(Tabla4[[#This Row],[Familia]]="termico solar",Tabla4[[#This Row],[Utilidad Total]]*6%,Tabla4[[#This Row],[Utilidad Total]]*11.5%))/Tabla4[[#This Row],[Total]]</f>
        <v>#N/A</v>
      </c>
      <c r="V1981" s="282" t="e">
        <f>+Tabla4[[#This Row],[Comisión Calculada]]*Tabla4[[#This Row],[Total]]</f>
        <v>#N/A</v>
      </c>
    </row>
    <row r="1982" spans="1:22" hidden="1" x14ac:dyDescent="0.25">
      <c r="A1982" s="100">
        <v>45762</v>
      </c>
      <c r="B1982" t="str">
        <f t="shared" si="103"/>
        <v>April</v>
      </c>
      <c r="C1982" s="46" t="s">
        <v>280</v>
      </c>
      <c r="F1982" s="366" t="s">
        <v>1460</v>
      </c>
      <c r="G1982" s="46" t="s">
        <v>394</v>
      </c>
      <c r="H1982" s="46">
        <v>16</v>
      </c>
      <c r="I1982" s="51">
        <v>224.29</v>
      </c>
      <c r="J1982" s="281">
        <f>++Tabla4[[#This Row],[Precio Bruto]]*1.16</f>
        <v>260.1764</v>
      </c>
      <c r="K1982" s="281">
        <f>+Tabla4[[#This Row],[Precio Unitario Neto]]*Tabla4[[#Headers],[20.85%]]</f>
        <v>54.246779400000001</v>
      </c>
      <c r="L1982" s="282">
        <f>++Tabla4[[#This Row],[Precio Unitario Neto]]-Tabla4[[#This Row],[20.85%]]</f>
        <v>205.92962059999999</v>
      </c>
      <c r="M1982" s="282" t="e">
        <f>(INDEX(Tabla6[#All],MATCH(Tabla4[[#This Row],[Producto]],Tabla6[[#All],[PRODUCTO]],0),MATCH(Tabla4[[#This Row],[Mes]],Tabla6[#Headers],0)))*(1+Catalogos!$L$2)</f>
        <v>#N/A</v>
      </c>
      <c r="N1982" s="283" t="e">
        <f>+(Tabla4[[#This Row],[Precio Descontado]]-Tabla4[[#This Row],[Precio Base]])*Tabla4[[#This Row],[Cantidad]]</f>
        <v>#N/A</v>
      </c>
      <c r="O1982" s="284" t="e">
        <f>++Tabla4[[#This Row],[Utilidad Total]]/Tabla4[[#This Row],[Total]]</f>
        <v>#N/A</v>
      </c>
      <c r="P1982" s="282">
        <f>++Tabla4[[#This Row],[Precio Descontado]]*Tabla4[[#This Row],[Cantidad]]</f>
        <v>3294.8739295999999</v>
      </c>
      <c r="Q1982" s="282" t="e">
        <f>(INDEX(Tabla6[#All],MATCH(Tabla4[[#This Row],[Producto]],Tabla6[[#All],[PRODUCTO]],0),MATCH(Tabla4[[#This Row],[Mes]],Tabla6[#Headers],0)))</f>
        <v>#N/A</v>
      </c>
      <c r="R1982" s="282" t="e">
        <f>++Tabla4[[#This Row],[Precio Unitario Neto]]-Tabla4[[#This Row],[20.85%]]-Tabla4[[#This Row],[Costo]]</f>
        <v>#N/A</v>
      </c>
      <c r="S1982" s="282" t="e">
        <f>++Tabla4[[#This Row],[U. Bruta Uni]]*Tabla4[[#This Row],[Cantidad]]</f>
        <v>#N/A</v>
      </c>
      <c r="T1982" s="369" t="str">
        <f>VLOOKUP(Tabla4[[#This Row],[Producto]],Tabla6[#All],14,FALSE)</f>
        <v>Termico Solar</v>
      </c>
      <c r="U1982" s="284" t="e">
        <f>(IF(Tabla4[[#This Row],[Familia]]="termico solar",Tabla4[[#This Row],[Utilidad Total]]*6%,Tabla4[[#This Row],[Utilidad Total]]*11.5%))/Tabla4[[#This Row],[Total]]</f>
        <v>#N/A</v>
      </c>
      <c r="V1982" s="282" t="e">
        <f>+Tabla4[[#This Row],[Comisión Calculada]]*Tabla4[[#This Row],[Total]]</f>
        <v>#N/A</v>
      </c>
    </row>
    <row r="1983" spans="1:22" hidden="1" x14ac:dyDescent="0.25">
      <c r="A1983" s="100">
        <v>45762</v>
      </c>
      <c r="B1983" t="str">
        <f t="shared" si="103"/>
        <v>April</v>
      </c>
      <c r="C1983" s="46" t="s">
        <v>280</v>
      </c>
      <c r="F1983" s="366" t="s">
        <v>1460</v>
      </c>
      <c r="G1983" s="46" t="s">
        <v>555</v>
      </c>
      <c r="H1983" s="46">
        <v>8</v>
      </c>
      <c r="I1983" s="51">
        <v>389.47</v>
      </c>
      <c r="J1983" s="281">
        <f>++Tabla4[[#This Row],[Precio Bruto]]*1.16</f>
        <v>451.78519999999997</v>
      </c>
      <c r="K1983" s="281">
        <f>+Tabla4[[#This Row],[Precio Unitario Neto]]*Tabla4[[#Headers],[20.85%]]</f>
        <v>94.197214199999991</v>
      </c>
      <c r="L1983" s="282">
        <f>++Tabla4[[#This Row],[Precio Unitario Neto]]-Tabla4[[#This Row],[20.85%]]</f>
        <v>357.58798579999996</v>
      </c>
      <c r="M1983" s="282" t="e">
        <f>(INDEX(Tabla6[#All],MATCH(Tabla4[[#This Row],[Producto]],Tabla6[[#All],[PRODUCTO]],0),MATCH(Tabla4[[#This Row],[Mes]],Tabla6[#Headers],0)))*(1+Catalogos!$L$2)</f>
        <v>#N/A</v>
      </c>
      <c r="N1983" s="283" t="e">
        <f>+(Tabla4[[#This Row],[Precio Descontado]]-Tabla4[[#This Row],[Precio Base]])*Tabla4[[#This Row],[Cantidad]]</f>
        <v>#N/A</v>
      </c>
      <c r="O1983" s="284" t="e">
        <f>++Tabla4[[#This Row],[Utilidad Total]]/Tabla4[[#This Row],[Total]]</f>
        <v>#N/A</v>
      </c>
      <c r="P1983" s="282">
        <f>++Tabla4[[#This Row],[Precio Descontado]]*Tabla4[[#This Row],[Cantidad]]</f>
        <v>2860.7038863999996</v>
      </c>
      <c r="Q1983" s="282" t="e">
        <f>(INDEX(Tabla6[#All],MATCH(Tabla4[[#This Row],[Producto]],Tabla6[[#All],[PRODUCTO]],0),MATCH(Tabla4[[#This Row],[Mes]],Tabla6[#Headers],0)))</f>
        <v>#N/A</v>
      </c>
      <c r="R1983" s="282" t="e">
        <f>++Tabla4[[#This Row],[Precio Unitario Neto]]-Tabla4[[#This Row],[20.85%]]-Tabla4[[#This Row],[Costo]]</f>
        <v>#N/A</v>
      </c>
      <c r="S1983" s="282" t="e">
        <f>++Tabla4[[#This Row],[U. Bruta Uni]]*Tabla4[[#This Row],[Cantidad]]</f>
        <v>#N/A</v>
      </c>
      <c r="T1983" s="369" t="str">
        <f>VLOOKUP(Tabla4[[#This Row],[Producto]],Tabla6[#All],14,FALSE)</f>
        <v>Termico Solar</v>
      </c>
      <c r="U1983" s="284" t="e">
        <f>(IF(Tabla4[[#This Row],[Familia]]="termico solar",Tabla4[[#This Row],[Utilidad Total]]*6%,Tabla4[[#This Row],[Utilidad Total]]*11.5%))/Tabla4[[#This Row],[Total]]</f>
        <v>#N/A</v>
      </c>
      <c r="V1983" s="282" t="e">
        <f>+Tabla4[[#This Row],[Comisión Calculada]]*Tabla4[[#This Row],[Total]]</f>
        <v>#N/A</v>
      </c>
    </row>
    <row r="1984" spans="1:22" hidden="1" x14ac:dyDescent="0.25">
      <c r="A1984" s="100">
        <v>45762</v>
      </c>
      <c r="B1984" t="str">
        <f t="shared" si="103"/>
        <v>April</v>
      </c>
      <c r="C1984" s="46" t="s">
        <v>280</v>
      </c>
      <c r="F1984" s="366" t="s">
        <v>1460</v>
      </c>
      <c r="G1984" s="46" t="s">
        <v>208</v>
      </c>
      <c r="H1984" s="46">
        <v>2</v>
      </c>
      <c r="I1984" s="51">
        <v>189.75</v>
      </c>
      <c r="J1984" s="281">
        <f>++Tabla4[[#This Row],[Precio Bruto]]*1.16</f>
        <v>220.10999999999999</v>
      </c>
      <c r="K1984" s="281">
        <f>+Tabla4[[#This Row],[Precio Unitario Neto]]*Tabla4[[#Headers],[20.85%]]</f>
        <v>45.892934999999994</v>
      </c>
      <c r="L1984" s="282">
        <f>++Tabla4[[#This Row],[Precio Unitario Neto]]-Tabla4[[#This Row],[20.85%]]</f>
        <v>174.21706499999999</v>
      </c>
      <c r="M1984" s="282" t="e">
        <f>(INDEX(Tabla6[#All],MATCH(Tabla4[[#This Row],[Producto]],Tabla6[[#All],[PRODUCTO]],0),MATCH(Tabla4[[#This Row],[Mes]],Tabla6[#Headers],0)))*(1+Catalogos!$L$2)</f>
        <v>#N/A</v>
      </c>
      <c r="N1984" s="283" t="e">
        <f>+(Tabla4[[#This Row],[Precio Descontado]]-Tabla4[[#This Row],[Precio Base]])*Tabla4[[#This Row],[Cantidad]]</f>
        <v>#N/A</v>
      </c>
      <c r="O1984" s="284" t="e">
        <f>++Tabla4[[#This Row],[Utilidad Total]]/Tabla4[[#This Row],[Total]]</f>
        <v>#N/A</v>
      </c>
      <c r="P1984" s="282">
        <f>++Tabla4[[#This Row],[Precio Descontado]]*Tabla4[[#This Row],[Cantidad]]</f>
        <v>348.43412999999998</v>
      </c>
      <c r="Q1984" s="282" t="e">
        <f>(INDEX(Tabla6[#All],MATCH(Tabla4[[#This Row],[Producto]],Tabla6[[#All],[PRODUCTO]],0),MATCH(Tabla4[[#This Row],[Mes]],Tabla6[#Headers],0)))</f>
        <v>#N/A</v>
      </c>
      <c r="R1984" s="282" t="e">
        <f>++Tabla4[[#This Row],[Precio Unitario Neto]]-Tabla4[[#This Row],[20.85%]]-Tabla4[[#This Row],[Costo]]</f>
        <v>#N/A</v>
      </c>
      <c r="S1984" s="282" t="e">
        <f>++Tabla4[[#This Row],[U. Bruta Uni]]*Tabla4[[#This Row],[Cantidad]]</f>
        <v>#N/A</v>
      </c>
      <c r="T1984" s="369" t="str">
        <f>VLOOKUP(Tabla4[[#This Row],[Producto]],Tabla6[#All],14,FALSE)</f>
        <v>Termico Solar</v>
      </c>
      <c r="U1984" s="284" t="e">
        <f>(IF(Tabla4[[#This Row],[Familia]]="termico solar",Tabla4[[#This Row],[Utilidad Total]]*6%,Tabla4[[#This Row],[Utilidad Total]]*11.5%))/Tabla4[[#This Row],[Total]]</f>
        <v>#N/A</v>
      </c>
      <c r="V1984" s="282" t="e">
        <f>+Tabla4[[#This Row],[Comisión Calculada]]*Tabla4[[#This Row],[Total]]</f>
        <v>#N/A</v>
      </c>
    </row>
    <row r="1985" spans="1:22" hidden="1" x14ac:dyDescent="0.25">
      <c r="A1985" s="100">
        <v>45762</v>
      </c>
      <c r="B1985" t="str">
        <f t="shared" si="103"/>
        <v>April</v>
      </c>
      <c r="C1985" s="46" t="s">
        <v>280</v>
      </c>
      <c r="F1985" s="366" t="s">
        <v>1461</v>
      </c>
      <c r="G1985" s="46" t="s">
        <v>17</v>
      </c>
      <c r="H1985" s="46">
        <v>2</v>
      </c>
      <c r="I1985" s="51">
        <v>4622.28</v>
      </c>
      <c r="J1985" s="281">
        <f>++Tabla4[[#This Row],[Precio Bruto]]*1.16</f>
        <v>5361.8447999999989</v>
      </c>
      <c r="K1985" s="281">
        <f>+Tabla4[[#This Row],[Precio Unitario Neto]]*Tabla4[[#Headers],[20.85%]]</f>
        <v>1117.9446407999997</v>
      </c>
      <c r="L1985" s="282">
        <f>++Tabla4[[#This Row],[Precio Unitario Neto]]-Tabla4[[#This Row],[20.85%]]</f>
        <v>4243.9001591999995</v>
      </c>
      <c r="M1985" s="282" t="e">
        <f>(INDEX(Tabla6[#All],MATCH(Tabla4[[#This Row],[Producto]],Tabla6[[#All],[PRODUCTO]],0),MATCH(Tabla4[[#This Row],[Mes]],Tabla6[#Headers],0)))*(1+Catalogos!$L$2)</f>
        <v>#N/A</v>
      </c>
      <c r="N1985" s="283" t="e">
        <f>+(Tabla4[[#This Row],[Precio Descontado]]-Tabla4[[#This Row],[Precio Base]])*Tabla4[[#This Row],[Cantidad]]</f>
        <v>#N/A</v>
      </c>
      <c r="O1985" s="284" t="e">
        <f>++Tabla4[[#This Row],[Utilidad Total]]/Tabla4[[#This Row],[Total]]</f>
        <v>#N/A</v>
      </c>
      <c r="P1985" s="282">
        <f>++Tabla4[[#This Row],[Precio Descontado]]*Tabla4[[#This Row],[Cantidad]]</f>
        <v>8487.800318399999</v>
      </c>
      <c r="Q1985" s="282" t="e">
        <f>(INDEX(Tabla6[#All],MATCH(Tabla4[[#This Row],[Producto]],Tabla6[[#All],[PRODUCTO]],0),MATCH(Tabla4[[#This Row],[Mes]],Tabla6[#Headers],0)))</f>
        <v>#N/A</v>
      </c>
      <c r="R1985" s="282" t="e">
        <f>++Tabla4[[#This Row],[Precio Unitario Neto]]-Tabla4[[#This Row],[20.85%]]-Tabla4[[#This Row],[Costo]]</f>
        <v>#N/A</v>
      </c>
      <c r="S1985" s="282" t="e">
        <f>++Tabla4[[#This Row],[U. Bruta Uni]]*Tabla4[[#This Row],[Cantidad]]</f>
        <v>#N/A</v>
      </c>
      <c r="T1985" s="369" t="str">
        <f>VLOOKUP(Tabla4[[#This Row],[Producto]],Tabla6[#All],14,FALSE)</f>
        <v>Termico Solar</v>
      </c>
      <c r="U1985" s="284" t="e">
        <f>(IF(Tabla4[[#This Row],[Familia]]="termico solar",Tabla4[[#This Row],[Utilidad Total]]*6%,Tabla4[[#This Row],[Utilidad Total]]*11.5%))/Tabla4[[#This Row],[Total]]</f>
        <v>#N/A</v>
      </c>
      <c r="V1985" s="282" t="e">
        <f>+Tabla4[[#This Row],[Comisión Calculada]]*Tabla4[[#This Row],[Total]]</f>
        <v>#N/A</v>
      </c>
    </row>
    <row r="1986" spans="1:22" hidden="1" x14ac:dyDescent="0.25">
      <c r="A1986" s="100">
        <v>45762</v>
      </c>
      <c r="B1986" t="str">
        <f t="shared" si="103"/>
        <v>April</v>
      </c>
      <c r="C1986" s="46" t="s">
        <v>280</v>
      </c>
      <c r="F1986" s="366" t="s">
        <v>1462</v>
      </c>
      <c r="G1986" s="46" t="s">
        <v>208</v>
      </c>
      <c r="H1986" s="46">
        <v>15</v>
      </c>
      <c r="I1986" s="51">
        <v>140.63</v>
      </c>
      <c r="J1986" s="281">
        <f>++Tabla4[[#This Row],[Precio Bruto]]*1.16</f>
        <v>163.13079999999999</v>
      </c>
      <c r="K1986" s="281">
        <f>+Tabla4[[#This Row],[Precio Unitario Neto]]*Tabla4[[#Headers],[20.85%]]</f>
        <v>34.012771799999996</v>
      </c>
      <c r="L1986" s="282">
        <f>++Tabla4[[#This Row],[Precio Unitario Neto]]-Tabla4[[#This Row],[20.85%]]</f>
        <v>129.1180282</v>
      </c>
      <c r="M1986" s="282" t="e">
        <f>(INDEX(Tabla6[#All],MATCH(Tabla4[[#This Row],[Producto]],Tabla6[[#All],[PRODUCTO]],0),MATCH(Tabla4[[#This Row],[Mes]],Tabla6[#Headers],0)))*(1+Catalogos!$L$2)</f>
        <v>#N/A</v>
      </c>
      <c r="N1986" s="283" t="e">
        <f>+(Tabla4[[#This Row],[Precio Descontado]]-Tabla4[[#This Row],[Precio Base]])*Tabla4[[#This Row],[Cantidad]]</f>
        <v>#N/A</v>
      </c>
      <c r="O1986" s="284" t="e">
        <f>++Tabla4[[#This Row],[Utilidad Total]]/Tabla4[[#This Row],[Total]]</f>
        <v>#N/A</v>
      </c>
      <c r="P1986" s="282">
        <f>++Tabla4[[#This Row],[Precio Descontado]]*Tabla4[[#This Row],[Cantidad]]</f>
        <v>1936.7704229999999</v>
      </c>
      <c r="Q1986" s="282" t="e">
        <f>(INDEX(Tabla6[#All],MATCH(Tabla4[[#This Row],[Producto]],Tabla6[[#All],[PRODUCTO]],0),MATCH(Tabla4[[#This Row],[Mes]],Tabla6[#Headers],0)))</f>
        <v>#N/A</v>
      </c>
      <c r="R1986" s="282" t="e">
        <f>++Tabla4[[#This Row],[Precio Unitario Neto]]-Tabla4[[#This Row],[20.85%]]-Tabla4[[#This Row],[Costo]]</f>
        <v>#N/A</v>
      </c>
      <c r="S1986" s="282" t="e">
        <f>++Tabla4[[#This Row],[U. Bruta Uni]]*Tabla4[[#This Row],[Cantidad]]</f>
        <v>#N/A</v>
      </c>
      <c r="T1986" s="369" t="str">
        <f>VLOOKUP(Tabla4[[#This Row],[Producto]],Tabla6[#All],14,FALSE)</f>
        <v>Termico Solar</v>
      </c>
      <c r="U1986" s="284" t="e">
        <f>(IF(Tabla4[[#This Row],[Familia]]="termico solar",Tabla4[[#This Row],[Utilidad Total]]*6%,Tabla4[[#This Row],[Utilidad Total]]*11.5%))/Tabla4[[#This Row],[Total]]</f>
        <v>#N/A</v>
      </c>
      <c r="V1986" s="282" t="e">
        <f>+Tabla4[[#This Row],[Comisión Calculada]]*Tabla4[[#This Row],[Total]]</f>
        <v>#N/A</v>
      </c>
    </row>
    <row r="1987" spans="1:22" hidden="1" x14ac:dyDescent="0.25">
      <c r="A1987" s="100">
        <v>45762</v>
      </c>
      <c r="B1987" t="str">
        <f t="shared" si="103"/>
        <v>April</v>
      </c>
      <c r="C1987" s="46" t="s">
        <v>280</v>
      </c>
      <c r="F1987" s="366" t="s">
        <v>1462</v>
      </c>
      <c r="G1987" s="46" t="s">
        <v>16</v>
      </c>
      <c r="H1987" s="46">
        <v>2</v>
      </c>
      <c r="I1987" s="51">
        <v>4103.8500000000004</v>
      </c>
      <c r="J1987" s="281">
        <f>++Tabla4[[#This Row],[Precio Bruto]]*1.16</f>
        <v>4760.4660000000003</v>
      </c>
      <c r="K1987" s="281">
        <f>+Tabla4[[#This Row],[Precio Unitario Neto]]*Tabla4[[#Headers],[20.85%]]</f>
        <v>992.55716100000006</v>
      </c>
      <c r="L1987" s="282">
        <f>++Tabla4[[#This Row],[Precio Unitario Neto]]-Tabla4[[#This Row],[20.85%]]</f>
        <v>3767.9088390000002</v>
      </c>
      <c r="M1987" s="282" t="e">
        <f>(INDEX(Tabla6[#All],MATCH(Tabla4[[#This Row],[Producto]],Tabla6[[#All],[PRODUCTO]],0),MATCH(Tabla4[[#This Row],[Mes]],Tabla6[#Headers],0)))*(1+Catalogos!$L$2)</f>
        <v>#N/A</v>
      </c>
      <c r="N1987" s="283" t="e">
        <f>+(Tabla4[[#This Row],[Precio Descontado]]-Tabla4[[#This Row],[Precio Base]])*Tabla4[[#This Row],[Cantidad]]</f>
        <v>#N/A</v>
      </c>
      <c r="O1987" s="284" t="e">
        <f>++Tabla4[[#This Row],[Utilidad Total]]/Tabla4[[#This Row],[Total]]</f>
        <v>#N/A</v>
      </c>
      <c r="P1987" s="282">
        <f>++Tabla4[[#This Row],[Precio Descontado]]*Tabla4[[#This Row],[Cantidad]]</f>
        <v>7535.8176780000003</v>
      </c>
      <c r="Q1987" s="282" t="e">
        <f>(INDEX(Tabla6[#All],MATCH(Tabla4[[#This Row],[Producto]],Tabla6[[#All],[PRODUCTO]],0),MATCH(Tabla4[[#This Row],[Mes]],Tabla6[#Headers],0)))</f>
        <v>#N/A</v>
      </c>
      <c r="R1987" s="282" t="e">
        <f>++Tabla4[[#This Row],[Precio Unitario Neto]]-Tabla4[[#This Row],[20.85%]]-Tabla4[[#This Row],[Costo]]</f>
        <v>#N/A</v>
      </c>
      <c r="S1987" s="282" t="e">
        <f>++Tabla4[[#This Row],[U. Bruta Uni]]*Tabla4[[#This Row],[Cantidad]]</f>
        <v>#N/A</v>
      </c>
      <c r="T1987" s="369" t="str">
        <f>VLOOKUP(Tabla4[[#This Row],[Producto]],Tabla6[#All],14,FALSE)</f>
        <v>Termico Solar</v>
      </c>
      <c r="U1987" s="284" t="e">
        <f>(IF(Tabla4[[#This Row],[Familia]]="termico solar",Tabla4[[#This Row],[Utilidad Total]]*6%,Tabla4[[#This Row],[Utilidad Total]]*11.5%))/Tabla4[[#This Row],[Total]]</f>
        <v>#N/A</v>
      </c>
      <c r="V1987" s="282" t="e">
        <f>+Tabla4[[#This Row],[Comisión Calculada]]*Tabla4[[#This Row],[Total]]</f>
        <v>#N/A</v>
      </c>
    </row>
    <row r="1988" spans="1:22" hidden="1" x14ac:dyDescent="0.25">
      <c r="A1988" s="100">
        <v>45762</v>
      </c>
      <c r="B1988" t="str">
        <f t="shared" si="103"/>
        <v>April</v>
      </c>
      <c r="C1988" s="46" t="s">
        <v>280</v>
      </c>
      <c r="F1988" s="366" t="s">
        <v>1463</v>
      </c>
      <c r="G1988" s="46" t="s">
        <v>18</v>
      </c>
      <c r="H1988" s="46">
        <v>3</v>
      </c>
      <c r="I1988" s="51">
        <v>5367.6500000000005</v>
      </c>
      <c r="J1988" s="281">
        <f>++Tabla4[[#This Row],[Precio Bruto]]*1.16</f>
        <v>6226.4740000000002</v>
      </c>
      <c r="K1988" s="281">
        <f>+Tabla4[[#This Row],[Precio Unitario Neto]]*Tabla4[[#Headers],[20.85%]]</f>
        <v>1298.2198289999999</v>
      </c>
      <c r="L1988" s="282">
        <f>++Tabla4[[#This Row],[Precio Unitario Neto]]-Tabla4[[#This Row],[20.85%]]</f>
        <v>4928.2541710000005</v>
      </c>
      <c r="M1988" s="282" t="e">
        <f>(INDEX(Tabla6[#All],MATCH(Tabla4[[#This Row],[Producto]],Tabla6[[#All],[PRODUCTO]],0),MATCH(Tabla4[[#This Row],[Mes]],Tabla6[#Headers],0)))*(1+Catalogos!$L$2)</f>
        <v>#N/A</v>
      </c>
      <c r="N1988" s="283" t="e">
        <f>+(Tabla4[[#This Row],[Precio Descontado]]-Tabla4[[#This Row],[Precio Base]])*Tabla4[[#This Row],[Cantidad]]</f>
        <v>#N/A</v>
      </c>
      <c r="O1988" s="284" t="e">
        <f>++Tabla4[[#This Row],[Utilidad Total]]/Tabla4[[#This Row],[Total]]</f>
        <v>#N/A</v>
      </c>
      <c r="P1988" s="282">
        <f>++Tabla4[[#This Row],[Precio Descontado]]*Tabla4[[#This Row],[Cantidad]]</f>
        <v>14784.762513000001</v>
      </c>
      <c r="Q1988" s="282" t="e">
        <f>(INDEX(Tabla6[#All],MATCH(Tabla4[[#This Row],[Producto]],Tabla6[[#All],[PRODUCTO]],0),MATCH(Tabla4[[#This Row],[Mes]],Tabla6[#Headers],0)))</f>
        <v>#N/A</v>
      </c>
      <c r="R1988" s="282" t="e">
        <f>++Tabla4[[#This Row],[Precio Unitario Neto]]-Tabla4[[#This Row],[20.85%]]-Tabla4[[#This Row],[Costo]]</f>
        <v>#N/A</v>
      </c>
      <c r="S1988" s="282" t="e">
        <f>++Tabla4[[#This Row],[U. Bruta Uni]]*Tabla4[[#This Row],[Cantidad]]</f>
        <v>#N/A</v>
      </c>
      <c r="T1988" s="369" t="str">
        <f>VLOOKUP(Tabla4[[#This Row],[Producto]],Tabla6[#All],14,FALSE)</f>
        <v>Termico Solar</v>
      </c>
      <c r="U1988" s="284" t="e">
        <f>(IF(Tabla4[[#This Row],[Familia]]="termico solar",Tabla4[[#This Row],[Utilidad Total]]*6%,Tabla4[[#This Row],[Utilidad Total]]*11.5%))/Tabla4[[#This Row],[Total]]</f>
        <v>#N/A</v>
      </c>
      <c r="V1988" s="282" t="e">
        <f>+Tabla4[[#This Row],[Comisión Calculada]]*Tabla4[[#This Row],[Total]]</f>
        <v>#N/A</v>
      </c>
    </row>
    <row r="1989" spans="1:22" hidden="1" x14ac:dyDescent="0.25">
      <c r="A1989" s="100">
        <v>45762</v>
      </c>
      <c r="B1989" t="str">
        <f t="shared" si="103"/>
        <v>April</v>
      </c>
      <c r="C1989" s="46" t="s">
        <v>280</v>
      </c>
      <c r="F1989" s="366" t="s">
        <v>1463</v>
      </c>
      <c r="G1989" s="46" t="s">
        <v>394</v>
      </c>
      <c r="H1989" s="46">
        <v>16</v>
      </c>
      <c r="I1989" s="51">
        <v>224.29</v>
      </c>
      <c r="J1989" s="281">
        <f>++Tabla4[[#This Row],[Precio Bruto]]*1.16</f>
        <v>260.1764</v>
      </c>
      <c r="K1989" s="281">
        <f>+Tabla4[[#This Row],[Precio Unitario Neto]]*Tabla4[[#Headers],[20.85%]]</f>
        <v>54.246779400000001</v>
      </c>
      <c r="L1989" s="282">
        <f>++Tabla4[[#This Row],[Precio Unitario Neto]]-Tabla4[[#This Row],[20.85%]]</f>
        <v>205.92962059999999</v>
      </c>
      <c r="M1989" s="282" t="e">
        <f>(INDEX(Tabla6[#All],MATCH(Tabla4[[#This Row],[Producto]],Tabla6[[#All],[PRODUCTO]],0),MATCH(Tabla4[[#This Row],[Mes]],Tabla6[#Headers],0)))*(1+Catalogos!$L$2)</f>
        <v>#N/A</v>
      </c>
      <c r="N1989" s="283" t="e">
        <f>+(Tabla4[[#This Row],[Precio Descontado]]-Tabla4[[#This Row],[Precio Base]])*Tabla4[[#This Row],[Cantidad]]</f>
        <v>#N/A</v>
      </c>
      <c r="O1989" s="284" t="e">
        <f>++Tabla4[[#This Row],[Utilidad Total]]/Tabla4[[#This Row],[Total]]</f>
        <v>#N/A</v>
      </c>
      <c r="P1989" s="282">
        <f>++Tabla4[[#This Row],[Precio Descontado]]*Tabla4[[#This Row],[Cantidad]]</f>
        <v>3294.8739295999999</v>
      </c>
      <c r="Q1989" s="282" t="e">
        <f>(INDEX(Tabla6[#All],MATCH(Tabla4[[#This Row],[Producto]],Tabla6[[#All],[PRODUCTO]],0),MATCH(Tabla4[[#This Row],[Mes]],Tabla6[#Headers],0)))</f>
        <v>#N/A</v>
      </c>
      <c r="R1989" s="282" t="e">
        <f>++Tabla4[[#This Row],[Precio Unitario Neto]]-Tabla4[[#This Row],[20.85%]]-Tabla4[[#This Row],[Costo]]</f>
        <v>#N/A</v>
      </c>
      <c r="S1989" s="282" t="e">
        <f>++Tabla4[[#This Row],[U. Bruta Uni]]*Tabla4[[#This Row],[Cantidad]]</f>
        <v>#N/A</v>
      </c>
      <c r="T1989" s="369" t="str">
        <f>VLOOKUP(Tabla4[[#This Row],[Producto]],Tabla6[#All],14,FALSE)</f>
        <v>Termico Solar</v>
      </c>
      <c r="U1989" s="284" t="e">
        <f>(IF(Tabla4[[#This Row],[Familia]]="termico solar",Tabla4[[#This Row],[Utilidad Total]]*6%,Tabla4[[#This Row],[Utilidad Total]]*11.5%))/Tabla4[[#This Row],[Total]]</f>
        <v>#N/A</v>
      </c>
      <c r="V1989" s="282" t="e">
        <f>+Tabla4[[#This Row],[Comisión Calculada]]*Tabla4[[#This Row],[Total]]</f>
        <v>#N/A</v>
      </c>
    </row>
    <row r="1990" spans="1:22" hidden="1" x14ac:dyDescent="0.25">
      <c r="A1990" s="100">
        <v>45762</v>
      </c>
      <c r="B1990" t="str">
        <f t="shared" si="103"/>
        <v>April</v>
      </c>
      <c r="C1990" s="46" t="s">
        <v>280</v>
      </c>
      <c r="F1990" s="366" t="s">
        <v>1463</v>
      </c>
      <c r="G1990" s="46" t="s">
        <v>555</v>
      </c>
      <c r="H1990" s="46">
        <v>8</v>
      </c>
      <c r="I1990" s="51">
        <v>389.47</v>
      </c>
      <c r="J1990" s="281">
        <f>++Tabla4[[#This Row],[Precio Bruto]]*1.16</f>
        <v>451.78519999999997</v>
      </c>
      <c r="K1990" s="281">
        <f>+Tabla4[[#This Row],[Precio Unitario Neto]]*Tabla4[[#Headers],[20.85%]]</f>
        <v>94.197214199999991</v>
      </c>
      <c r="L1990" s="282">
        <f>++Tabla4[[#This Row],[Precio Unitario Neto]]-Tabla4[[#This Row],[20.85%]]</f>
        <v>357.58798579999996</v>
      </c>
      <c r="M1990" s="282" t="e">
        <f>(INDEX(Tabla6[#All],MATCH(Tabla4[[#This Row],[Producto]],Tabla6[[#All],[PRODUCTO]],0),MATCH(Tabla4[[#This Row],[Mes]],Tabla6[#Headers],0)))*(1+Catalogos!$L$2)</f>
        <v>#N/A</v>
      </c>
      <c r="N1990" s="283" t="e">
        <f>+(Tabla4[[#This Row],[Precio Descontado]]-Tabla4[[#This Row],[Precio Base]])*Tabla4[[#This Row],[Cantidad]]</f>
        <v>#N/A</v>
      </c>
      <c r="O1990" s="284" t="e">
        <f>++Tabla4[[#This Row],[Utilidad Total]]/Tabla4[[#This Row],[Total]]</f>
        <v>#N/A</v>
      </c>
      <c r="P1990" s="282">
        <f>++Tabla4[[#This Row],[Precio Descontado]]*Tabla4[[#This Row],[Cantidad]]</f>
        <v>2860.7038863999996</v>
      </c>
      <c r="Q1990" s="282" t="e">
        <f>(INDEX(Tabla6[#All],MATCH(Tabla4[[#This Row],[Producto]],Tabla6[[#All],[PRODUCTO]],0),MATCH(Tabla4[[#This Row],[Mes]],Tabla6[#Headers],0)))</f>
        <v>#N/A</v>
      </c>
      <c r="R1990" s="282" t="e">
        <f>++Tabla4[[#This Row],[Precio Unitario Neto]]-Tabla4[[#This Row],[20.85%]]-Tabla4[[#This Row],[Costo]]</f>
        <v>#N/A</v>
      </c>
      <c r="S1990" s="282" t="e">
        <f>++Tabla4[[#This Row],[U. Bruta Uni]]*Tabla4[[#This Row],[Cantidad]]</f>
        <v>#N/A</v>
      </c>
      <c r="T1990" s="369" t="str">
        <f>VLOOKUP(Tabla4[[#This Row],[Producto]],Tabla6[#All],14,FALSE)</f>
        <v>Termico Solar</v>
      </c>
      <c r="U1990" s="284" t="e">
        <f>(IF(Tabla4[[#This Row],[Familia]]="termico solar",Tabla4[[#This Row],[Utilidad Total]]*6%,Tabla4[[#This Row],[Utilidad Total]]*11.5%))/Tabla4[[#This Row],[Total]]</f>
        <v>#N/A</v>
      </c>
      <c r="V1990" s="282" t="e">
        <f>+Tabla4[[#This Row],[Comisión Calculada]]*Tabla4[[#This Row],[Total]]</f>
        <v>#N/A</v>
      </c>
    </row>
    <row r="1991" spans="1:22" hidden="1" x14ac:dyDescent="0.25">
      <c r="A1991" s="100">
        <v>45762</v>
      </c>
      <c r="B1991" t="str">
        <f t="shared" si="103"/>
        <v>April</v>
      </c>
      <c r="C1991" s="46" t="s">
        <v>280</v>
      </c>
      <c r="F1991" s="366" t="s">
        <v>1463</v>
      </c>
      <c r="G1991" s="46" t="s">
        <v>208</v>
      </c>
      <c r="H1991" s="46">
        <v>2</v>
      </c>
      <c r="I1991" s="51">
        <v>189.75</v>
      </c>
      <c r="J1991" s="281">
        <f>++Tabla4[[#This Row],[Precio Bruto]]*1.16</f>
        <v>220.10999999999999</v>
      </c>
      <c r="K1991" s="281">
        <f>+Tabla4[[#This Row],[Precio Unitario Neto]]*Tabla4[[#Headers],[20.85%]]</f>
        <v>45.892934999999994</v>
      </c>
      <c r="L1991" s="282">
        <f>++Tabla4[[#This Row],[Precio Unitario Neto]]-Tabla4[[#This Row],[20.85%]]</f>
        <v>174.21706499999999</v>
      </c>
      <c r="M1991" s="282" t="e">
        <f>(INDEX(Tabla6[#All],MATCH(Tabla4[[#This Row],[Producto]],Tabla6[[#All],[PRODUCTO]],0),MATCH(Tabla4[[#This Row],[Mes]],Tabla6[#Headers],0)))*(1+Catalogos!$L$2)</f>
        <v>#N/A</v>
      </c>
      <c r="N1991" s="283" t="e">
        <f>+(Tabla4[[#This Row],[Precio Descontado]]-Tabla4[[#This Row],[Precio Base]])*Tabla4[[#This Row],[Cantidad]]</f>
        <v>#N/A</v>
      </c>
      <c r="O1991" s="284" t="e">
        <f>++Tabla4[[#This Row],[Utilidad Total]]/Tabla4[[#This Row],[Total]]</f>
        <v>#N/A</v>
      </c>
      <c r="P1991" s="282">
        <f>++Tabla4[[#This Row],[Precio Descontado]]*Tabla4[[#This Row],[Cantidad]]</f>
        <v>348.43412999999998</v>
      </c>
      <c r="Q1991" s="282" t="e">
        <f>(INDEX(Tabla6[#All],MATCH(Tabla4[[#This Row],[Producto]],Tabla6[[#All],[PRODUCTO]],0),MATCH(Tabla4[[#This Row],[Mes]],Tabla6[#Headers],0)))</f>
        <v>#N/A</v>
      </c>
      <c r="R1991" s="282" t="e">
        <f>++Tabla4[[#This Row],[Precio Unitario Neto]]-Tabla4[[#This Row],[20.85%]]-Tabla4[[#This Row],[Costo]]</f>
        <v>#N/A</v>
      </c>
      <c r="S1991" s="282" t="e">
        <f>++Tabla4[[#This Row],[U. Bruta Uni]]*Tabla4[[#This Row],[Cantidad]]</f>
        <v>#N/A</v>
      </c>
      <c r="T1991" s="369" t="str">
        <f>VLOOKUP(Tabla4[[#This Row],[Producto]],Tabla6[#All],14,FALSE)</f>
        <v>Termico Solar</v>
      </c>
      <c r="U1991" s="284" t="e">
        <f>(IF(Tabla4[[#This Row],[Familia]]="termico solar",Tabla4[[#This Row],[Utilidad Total]]*6%,Tabla4[[#This Row],[Utilidad Total]]*11.5%))/Tabla4[[#This Row],[Total]]</f>
        <v>#N/A</v>
      </c>
      <c r="V1991" s="282" t="e">
        <f>+Tabla4[[#This Row],[Comisión Calculada]]*Tabla4[[#This Row],[Total]]</f>
        <v>#N/A</v>
      </c>
    </row>
    <row r="1992" spans="1:22" hidden="1" x14ac:dyDescent="0.25">
      <c r="A1992" s="100">
        <v>45762</v>
      </c>
      <c r="B1992" t="str">
        <f t="shared" si="103"/>
        <v>April</v>
      </c>
      <c r="C1992" s="46" t="s">
        <v>280</v>
      </c>
      <c r="F1992" s="366" t="s">
        <v>1464</v>
      </c>
      <c r="G1992" s="46" t="s">
        <v>17</v>
      </c>
      <c r="H1992" s="46">
        <v>5</v>
      </c>
      <c r="I1992" s="51">
        <v>4622.2800000000007</v>
      </c>
      <c r="J1992" s="281">
        <f>++Tabla4[[#This Row],[Precio Bruto]]*1.16</f>
        <v>5361.8448000000008</v>
      </c>
      <c r="K1992" s="281">
        <f>+Tabla4[[#This Row],[Precio Unitario Neto]]*Tabla4[[#Headers],[20.85%]]</f>
        <v>1117.9446408000001</v>
      </c>
      <c r="L1992" s="282">
        <f>++Tabla4[[#This Row],[Precio Unitario Neto]]-Tabla4[[#This Row],[20.85%]]</f>
        <v>4243.9001592000004</v>
      </c>
      <c r="M1992" s="282" t="e">
        <f>(INDEX(Tabla6[#All],MATCH(Tabla4[[#This Row],[Producto]],Tabla6[[#All],[PRODUCTO]],0),MATCH(Tabla4[[#This Row],[Mes]],Tabla6[#Headers],0)))*(1+Catalogos!$L$2)</f>
        <v>#N/A</v>
      </c>
      <c r="N1992" s="283" t="e">
        <f>+(Tabla4[[#This Row],[Precio Descontado]]-Tabla4[[#This Row],[Precio Base]])*Tabla4[[#This Row],[Cantidad]]</f>
        <v>#N/A</v>
      </c>
      <c r="O1992" s="284" t="e">
        <f>++Tabla4[[#This Row],[Utilidad Total]]/Tabla4[[#This Row],[Total]]</f>
        <v>#N/A</v>
      </c>
      <c r="P1992" s="282">
        <f>++Tabla4[[#This Row],[Precio Descontado]]*Tabla4[[#This Row],[Cantidad]]</f>
        <v>21219.500796</v>
      </c>
      <c r="Q1992" s="282" t="e">
        <f>(INDEX(Tabla6[#All],MATCH(Tabla4[[#This Row],[Producto]],Tabla6[[#All],[PRODUCTO]],0),MATCH(Tabla4[[#This Row],[Mes]],Tabla6[#Headers],0)))</f>
        <v>#N/A</v>
      </c>
      <c r="R1992" s="282" t="e">
        <f>++Tabla4[[#This Row],[Precio Unitario Neto]]-Tabla4[[#This Row],[20.85%]]-Tabla4[[#This Row],[Costo]]</f>
        <v>#N/A</v>
      </c>
      <c r="S1992" s="282" t="e">
        <f>++Tabla4[[#This Row],[U. Bruta Uni]]*Tabla4[[#This Row],[Cantidad]]</f>
        <v>#N/A</v>
      </c>
      <c r="T1992" s="369" t="str">
        <f>VLOOKUP(Tabla4[[#This Row],[Producto]],Tabla6[#All],14,FALSE)</f>
        <v>Termico Solar</v>
      </c>
      <c r="U1992" s="284" t="e">
        <f>(IF(Tabla4[[#This Row],[Familia]]="termico solar",Tabla4[[#This Row],[Utilidad Total]]*6%,Tabla4[[#This Row],[Utilidad Total]]*11.5%))/Tabla4[[#This Row],[Total]]</f>
        <v>#N/A</v>
      </c>
      <c r="V1992" s="282" t="e">
        <f>+Tabla4[[#This Row],[Comisión Calculada]]*Tabla4[[#This Row],[Total]]</f>
        <v>#N/A</v>
      </c>
    </row>
    <row r="1993" spans="1:22" hidden="1" x14ac:dyDescent="0.25">
      <c r="A1993" s="100">
        <v>45762</v>
      </c>
      <c r="B1993" t="str">
        <f t="shared" si="103"/>
        <v>April</v>
      </c>
      <c r="C1993" s="46" t="s">
        <v>280</v>
      </c>
      <c r="F1993" s="366" t="s">
        <v>1464</v>
      </c>
      <c r="G1993" s="46" t="s">
        <v>18</v>
      </c>
      <c r="H1993" s="46">
        <v>1</v>
      </c>
      <c r="I1993" s="51">
        <v>5367.65</v>
      </c>
      <c r="J1993" s="281">
        <f>++Tabla4[[#This Row],[Precio Bruto]]*1.16</f>
        <v>6226.4739999999993</v>
      </c>
      <c r="K1993" s="281">
        <f>+Tabla4[[#This Row],[Precio Unitario Neto]]*Tabla4[[#Headers],[20.85%]]</f>
        <v>1298.2198289999999</v>
      </c>
      <c r="L1993" s="282">
        <f>++Tabla4[[#This Row],[Precio Unitario Neto]]-Tabla4[[#This Row],[20.85%]]</f>
        <v>4928.2541709999996</v>
      </c>
      <c r="M1993" s="282" t="e">
        <f>(INDEX(Tabla6[#All],MATCH(Tabla4[[#This Row],[Producto]],Tabla6[[#All],[PRODUCTO]],0),MATCH(Tabla4[[#This Row],[Mes]],Tabla6[#Headers],0)))*(1+Catalogos!$L$2)</f>
        <v>#N/A</v>
      </c>
      <c r="N1993" s="283" t="e">
        <f>+(Tabla4[[#This Row],[Precio Descontado]]-Tabla4[[#This Row],[Precio Base]])*Tabla4[[#This Row],[Cantidad]]</f>
        <v>#N/A</v>
      </c>
      <c r="O1993" s="284" t="e">
        <f>++Tabla4[[#This Row],[Utilidad Total]]/Tabla4[[#This Row],[Total]]</f>
        <v>#N/A</v>
      </c>
      <c r="P1993" s="282">
        <f>++Tabla4[[#This Row],[Precio Descontado]]*Tabla4[[#This Row],[Cantidad]]</f>
        <v>4928.2541709999996</v>
      </c>
      <c r="Q1993" s="282" t="e">
        <f>(INDEX(Tabla6[#All],MATCH(Tabla4[[#This Row],[Producto]],Tabla6[[#All],[PRODUCTO]],0),MATCH(Tabla4[[#This Row],[Mes]],Tabla6[#Headers],0)))</f>
        <v>#N/A</v>
      </c>
      <c r="R1993" s="282" t="e">
        <f>++Tabla4[[#This Row],[Precio Unitario Neto]]-Tabla4[[#This Row],[20.85%]]-Tabla4[[#This Row],[Costo]]</f>
        <v>#N/A</v>
      </c>
      <c r="S1993" s="282" t="e">
        <f>++Tabla4[[#This Row],[U. Bruta Uni]]*Tabla4[[#This Row],[Cantidad]]</f>
        <v>#N/A</v>
      </c>
      <c r="T1993" s="369" t="str">
        <f>VLOOKUP(Tabla4[[#This Row],[Producto]],Tabla6[#All],14,FALSE)</f>
        <v>Termico Solar</v>
      </c>
      <c r="U1993" s="284" t="e">
        <f>(IF(Tabla4[[#This Row],[Familia]]="termico solar",Tabla4[[#This Row],[Utilidad Total]]*6%,Tabla4[[#This Row],[Utilidad Total]]*11.5%))/Tabla4[[#This Row],[Total]]</f>
        <v>#N/A</v>
      </c>
      <c r="V1993" s="282" t="e">
        <f>+Tabla4[[#This Row],[Comisión Calculada]]*Tabla4[[#This Row],[Total]]</f>
        <v>#N/A</v>
      </c>
    </row>
    <row r="1994" spans="1:22" hidden="1" x14ac:dyDescent="0.25">
      <c r="A1994" s="100">
        <v>45762</v>
      </c>
      <c r="B1994" t="str">
        <f t="shared" si="103"/>
        <v>April</v>
      </c>
      <c r="C1994" s="46" t="s">
        <v>280</v>
      </c>
      <c r="F1994" s="366" t="s">
        <v>1465</v>
      </c>
      <c r="G1994" s="46" t="s">
        <v>17</v>
      </c>
      <c r="H1994" s="46">
        <v>1</v>
      </c>
      <c r="I1994" s="51">
        <v>4622.28</v>
      </c>
      <c r="J1994" s="281">
        <f>++Tabla4[[#This Row],[Precio Bruto]]*1.16</f>
        <v>5361.8447999999989</v>
      </c>
      <c r="K1994" s="281">
        <f>+Tabla4[[#This Row],[Precio Unitario Neto]]*Tabla4[[#Headers],[20.85%]]</f>
        <v>1117.9446407999997</v>
      </c>
      <c r="L1994" s="282">
        <f>++Tabla4[[#This Row],[Precio Unitario Neto]]-Tabla4[[#This Row],[20.85%]]</f>
        <v>4243.9001591999995</v>
      </c>
      <c r="M1994" s="282" t="e">
        <f>(INDEX(Tabla6[#All],MATCH(Tabla4[[#This Row],[Producto]],Tabla6[[#All],[PRODUCTO]],0),MATCH(Tabla4[[#This Row],[Mes]],Tabla6[#Headers],0)))*(1+Catalogos!$L$2)</f>
        <v>#N/A</v>
      </c>
      <c r="N1994" s="283" t="e">
        <f>+(Tabla4[[#This Row],[Precio Descontado]]-Tabla4[[#This Row],[Precio Base]])*Tabla4[[#This Row],[Cantidad]]</f>
        <v>#N/A</v>
      </c>
      <c r="O1994" s="284" t="e">
        <f>++Tabla4[[#This Row],[Utilidad Total]]/Tabla4[[#This Row],[Total]]</f>
        <v>#N/A</v>
      </c>
      <c r="P1994" s="282">
        <f>++Tabla4[[#This Row],[Precio Descontado]]*Tabla4[[#This Row],[Cantidad]]</f>
        <v>4243.9001591999995</v>
      </c>
      <c r="Q1994" s="282" t="e">
        <f>(INDEX(Tabla6[#All],MATCH(Tabla4[[#This Row],[Producto]],Tabla6[[#All],[PRODUCTO]],0),MATCH(Tabla4[[#This Row],[Mes]],Tabla6[#Headers],0)))</f>
        <v>#N/A</v>
      </c>
      <c r="R1994" s="282" t="e">
        <f>++Tabla4[[#This Row],[Precio Unitario Neto]]-Tabla4[[#This Row],[20.85%]]-Tabla4[[#This Row],[Costo]]</f>
        <v>#N/A</v>
      </c>
      <c r="S1994" s="282" t="e">
        <f>++Tabla4[[#This Row],[U. Bruta Uni]]*Tabla4[[#This Row],[Cantidad]]</f>
        <v>#N/A</v>
      </c>
      <c r="T1994" s="369" t="str">
        <f>VLOOKUP(Tabla4[[#This Row],[Producto]],Tabla6[#All],14,FALSE)</f>
        <v>Termico Solar</v>
      </c>
      <c r="U1994" s="284" t="e">
        <f>(IF(Tabla4[[#This Row],[Familia]]="termico solar",Tabla4[[#This Row],[Utilidad Total]]*6%,Tabla4[[#This Row],[Utilidad Total]]*11.5%))/Tabla4[[#This Row],[Total]]</f>
        <v>#N/A</v>
      </c>
      <c r="V1994" s="282" t="e">
        <f>+Tabla4[[#This Row],[Comisión Calculada]]*Tabla4[[#This Row],[Total]]</f>
        <v>#N/A</v>
      </c>
    </row>
    <row r="1995" spans="1:22" hidden="1" x14ac:dyDescent="0.25">
      <c r="A1995" s="100">
        <v>45762</v>
      </c>
      <c r="B1995" t="str">
        <f t="shared" si="103"/>
        <v>April</v>
      </c>
      <c r="C1995" s="46" t="s">
        <v>280</v>
      </c>
      <c r="F1995" s="366" t="s">
        <v>1465</v>
      </c>
      <c r="G1995" s="46" t="s">
        <v>208</v>
      </c>
      <c r="H1995" s="46">
        <v>15</v>
      </c>
      <c r="I1995" s="51">
        <v>140.63</v>
      </c>
      <c r="J1995" s="281">
        <f>++Tabla4[[#This Row],[Precio Bruto]]*1.16</f>
        <v>163.13079999999999</v>
      </c>
      <c r="K1995" s="281">
        <f>+Tabla4[[#This Row],[Precio Unitario Neto]]*Tabla4[[#Headers],[20.85%]]</f>
        <v>34.012771799999996</v>
      </c>
      <c r="L1995" s="282">
        <f>++Tabla4[[#This Row],[Precio Unitario Neto]]-Tabla4[[#This Row],[20.85%]]</f>
        <v>129.1180282</v>
      </c>
      <c r="M1995" s="282" t="e">
        <f>(INDEX(Tabla6[#All],MATCH(Tabla4[[#This Row],[Producto]],Tabla6[[#All],[PRODUCTO]],0),MATCH(Tabla4[[#This Row],[Mes]],Tabla6[#Headers],0)))*(1+Catalogos!$L$2)</f>
        <v>#N/A</v>
      </c>
      <c r="N1995" s="283" t="e">
        <f>+(Tabla4[[#This Row],[Precio Descontado]]-Tabla4[[#This Row],[Precio Base]])*Tabla4[[#This Row],[Cantidad]]</f>
        <v>#N/A</v>
      </c>
      <c r="O1995" s="284" t="e">
        <f>++Tabla4[[#This Row],[Utilidad Total]]/Tabla4[[#This Row],[Total]]</f>
        <v>#N/A</v>
      </c>
      <c r="P1995" s="282">
        <f>++Tabla4[[#This Row],[Precio Descontado]]*Tabla4[[#This Row],[Cantidad]]</f>
        <v>1936.7704229999999</v>
      </c>
      <c r="Q1995" s="282" t="e">
        <f>(INDEX(Tabla6[#All],MATCH(Tabla4[[#This Row],[Producto]],Tabla6[[#All],[PRODUCTO]],0),MATCH(Tabla4[[#This Row],[Mes]],Tabla6[#Headers],0)))</f>
        <v>#N/A</v>
      </c>
      <c r="R1995" s="282" t="e">
        <f>++Tabla4[[#This Row],[Precio Unitario Neto]]-Tabla4[[#This Row],[20.85%]]-Tabla4[[#This Row],[Costo]]</f>
        <v>#N/A</v>
      </c>
      <c r="S1995" s="282" t="e">
        <f>++Tabla4[[#This Row],[U. Bruta Uni]]*Tabla4[[#This Row],[Cantidad]]</f>
        <v>#N/A</v>
      </c>
      <c r="T1995" s="369" t="str">
        <f>VLOOKUP(Tabla4[[#This Row],[Producto]],Tabla6[#All],14,FALSE)</f>
        <v>Termico Solar</v>
      </c>
      <c r="U1995" s="284" t="e">
        <f>(IF(Tabla4[[#This Row],[Familia]]="termico solar",Tabla4[[#This Row],[Utilidad Total]]*6%,Tabla4[[#This Row],[Utilidad Total]]*11.5%))/Tabla4[[#This Row],[Total]]</f>
        <v>#N/A</v>
      </c>
      <c r="V1995" s="282" t="e">
        <f>+Tabla4[[#This Row],[Comisión Calculada]]*Tabla4[[#This Row],[Total]]</f>
        <v>#N/A</v>
      </c>
    </row>
    <row r="1996" spans="1:22" hidden="1" x14ac:dyDescent="0.25">
      <c r="A1996" s="100">
        <v>45762</v>
      </c>
      <c r="B1996" t="str">
        <f t="shared" si="103"/>
        <v>April</v>
      </c>
      <c r="C1996" s="46" t="s">
        <v>280</v>
      </c>
      <c r="F1996" s="366" t="s">
        <v>1466</v>
      </c>
      <c r="G1996" s="46" t="s">
        <v>17</v>
      </c>
      <c r="H1996" s="46">
        <v>3</v>
      </c>
      <c r="I1996" s="51">
        <v>4622.28</v>
      </c>
      <c r="J1996" s="281">
        <f>++Tabla4[[#This Row],[Precio Bruto]]*1.16</f>
        <v>5361.8447999999989</v>
      </c>
      <c r="K1996" s="281">
        <f>+Tabla4[[#This Row],[Precio Unitario Neto]]*Tabla4[[#Headers],[20.85%]]</f>
        <v>1117.9446407999997</v>
      </c>
      <c r="L1996" s="282">
        <f>++Tabla4[[#This Row],[Precio Unitario Neto]]-Tabla4[[#This Row],[20.85%]]</f>
        <v>4243.9001591999995</v>
      </c>
      <c r="M1996" s="282" t="e">
        <f>(INDEX(Tabla6[#All],MATCH(Tabla4[[#This Row],[Producto]],Tabla6[[#All],[PRODUCTO]],0),MATCH(Tabla4[[#This Row],[Mes]],Tabla6[#Headers],0)))*(1+Catalogos!$L$2)</f>
        <v>#N/A</v>
      </c>
      <c r="N1996" s="283" t="e">
        <f>+(Tabla4[[#This Row],[Precio Descontado]]-Tabla4[[#This Row],[Precio Base]])*Tabla4[[#This Row],[Cantidad]]</f>
        <v>#N/A</v>
      </c>
      <c r="O1996" s="284" t="e">
        <f>++Tabla4[[#This Row],[Utilidad Total]]/Tabla4[[#This Row],[Total]]</f>
        <v>#N/A</v>
      </c>
      <c r="P1996" s="282">
        <f>++Tabla4[[#This Row],[Precio Descontado]]*Tabla4[[#This Row],[Cantidad]]</f>
        <v>12731.700477599999</v>
      </c>
      <c r="Q1996" s="282" t="e">
        <f>(INDEX(Tabla6[#All],MATCH(Tabla4[[#This Row],[Producto]],Tabla6[[#All],[PRODUCTO]],0),MATCH(Tabla4[[#This Row],[Mes]],Tabla6[#Headers],0)))</f>
        <v>#N/A</v>
      </c>
      <c r="R1996" s="282" t="e">
        <f>++Tabla4[[#This Row],[Precio Unitario Neto]]-Tabla4[[#This Row],[20.85%]]-Tabla4[[#This Row],[Costo]]</f>
        <v>#N/A</v>
      </c>
      <c r="S1996" s="282" t="e">
        <f>++Tabla4[[#This Row],[U. Bruta Uni]]*Tabla4[[#This Row],[Cantidad]]</f>
        <v>#N/A</v>
      </c>
      <c r="T1996" s="369" t="str">
        <f>VLOOKUP(Tabla4[[#This Row],[Producto]],Tabla6[#All],14,FALSE)</f>
        <v>Termico Solar</v>
      </c>
      <c r="U1996" s="284" t="e">
        <f>(IF(Tabla4[[#This Row],[Familia]]="termico solar",Tabla4[[#This Row],[Utilidad Total]]*6%,Tabla4[[#This Row],[Utilidad Total]]*11.5%))/Tabla4[[#This Row],[Total]]</f>
        <v>#N/A</v>
      </c>
      <c r="V1996" s="282" t="e">
        <f>+Tabla4[[#This Row],[Comisión Calculada]]*Tabla4[[#This Row],[Total]]</f>
        <v>#N/A</v>
      </c>
    </row>
    <row r="1997" spans="1:22" hidden="1" x14ac:dyDescent="0.25">
      <c r="A1997" s="100">
        <v>45762</v>
      </c>
      <c r="B1997" t="str">
        <f t="shared" si="103"/>
        <v>April</v>
      </c>
      <c r="C1997" s="46" t="s">
        <v>280</v>
      </c>
      <c r="F1997" s="366" t="s">
        <v>1466</v>
      </c>
      <c r="G1997" s="46" t="s">
        <v>208</v>
      </c>
      <c r="H1997" s="46">
        <v>15</v>
      </c>
      <c r="I1997" s="51">
        <v>140.63</v>
      </c>
      <c r="J1997" s="281">
        <f>++Tabla4[[#This Row],[Precio Bruto]]*1.16</f>
        <v>163.13079999999999</v>
      </c>
      <c r="K1997" s="281">
        <f>+Tabla4[[#This Row],[Precio Unitario Neto]]*Tabla4[[#Headers],[20.85%]]</f>
        <v>34.012771799999996</v>
      </c>
      <c r="L1997" s="282">
        <f>++Tabla4[[#This Row],[Precio Unitario Neto]]-Tabla4[[#This Row],[20.85%]]</f>
        <v>129.1180282</v>
      </c>
      <c r="M1997" s="282" t="e">
        <f>(INDEX(Tabla6[#All],MATCH(Tabla4[[#This Row],[Producto]],Tabla6[[#All],[PRODUCTO]],0),MATCH(Tabla4[[#This Row],[Mes]],Tabla6[#Headers],0)))*(1+Catalogos!$L$2)</f>
        <v>#N/A</v>
      </c>
      <c r="N1997" s="283" t="e">
        <f>+(Tabla4[[#This Row],[Precio Descontado]]-Tabla4[[#This Row],[Precio Base]])*Tabla4[[#This Row],[Cantidad]]</f>
        <v>#N/A</v>
      </c>
      <c r="O1997" s="284" t="e">
        <f>++Tabla4[[#This Row],[Utilidad Total]]/Tabla4[[#This Row],[Total]]</f>
        <v>#N/A</v>
      </c>
      <c r="P1997" s="282">
        <f>++Tabla4[[#This Row],[Precio Descontado]]*Tabla4[[#This Row],[Cantidad]]</f>
        <v>1936.7704229999999</v>
      </c>
      <c r="Q1997" s="282" t="e">
        <f>(INDEX(Tabla6[#All],MATCH(Tabla4[[#This Row],[Producto]],Tabla6[[#All],[PRODUCTO]],0),MATCH(Tabla4[[#This Row],[Mes]],Tabla6[#Headers],0)))</f>
        <v>#N/A</v>
      </c>
      <c r="R1997" s="282" t="e">
        <f>++Tabla4[[#This Row],[Precio Unitario Neto]]-Tabla4[[#This Row],[20.85%]]-Tabla4[[#This Row],[Costo]]</f>
        <v>#N/A</v>
      </c>
      <c r="S1997" s="282" t="e">
        <f>++Tabla4[[#This Row],[U. Bruta Uni]]*Tabla4[[#This Row],[Cantidad]]</f>
        <v>#N/A</v>
      </c>
      <c r="T1997" s="369" t="str">
        <f>VLOOKUP(Tabla4[[#This Row],[Producto]],Tabla6[#All],14,FALSE)</f>
        <v>Termico Solar</v>
      </c>
      <c r="U1997" s="284" t="e">
        <f>(IF(Tabla4[[#This Row],[Familia]]="termico solar",Tabla4[[#This Row],[Utilidad Total]]*6%,Tabla4[[#This Row],[Utilidad Total]]*11.5%))/Tabla4[[#This Row],[Total]]</f>
        <v>#N/A</v>
      </c>
      <c r="V1997" s="282" t="e">
        <f>+Tabla4[[#This Row],[Comisión Calculada]]*Tabla4[[#This Row],[Total]]</f>
        <v>#N/A</v>
      </c>
    </row>
    <row r="1998" spans="1:22" hidden="1" x14ac:dyDescent="0.25">
      <c r="A1998" s="100">
        <v>45762</v>
      </c>
      <c r="B1998" t="str">
        <f t="shared" si="103"/>
        <v>April</v>
      </c>
      <c r="C1998" s="46" t="s">
        <v>280</v>
      </c>
      <c r="F1998" s="366" t="s">
        <v>1467</v>
      </c>
      <c r="G1998" s="46" t="s">
        <v>566</v>
      </c>
      <c r="H1998" s="46">
        <v>1</v>
      </c>
      <c r="I1998" s="51">
        <v>2109.4499999999998</v>
      </c>
      <c r="J1998" s="281">
        <f>++Tabla4[[#This Row],[Precio Bruto]]*1.16</f>
        <v>2446.9619999999995</v>
      </c>
      <c r="K1998" s="281">
        <f>+Tabla4[[#This Row],[Precio Unitario Neto]]*Tabla4[[#Headers],[20.85%]]</f>
        <v>510.19157699999988</v>
      </c>
      <c r="L1998" s="282">
        <f>++Tabla4[[#This Row],[Precio Unitario Neto]]-Tabla4[[#This Row],[20.85%]]</f>
        <v>1936.7704229999997</v>
      </c>
      <c r="M1998" s="282" t="e">
        <f>(INDEX(Tabla6[#All],MATCH(Tabla4[[#This Row],[Producto]],Tabla6[[#All],[PRODUCTO]],0),MATCH(Tabla4[[#This Row],[Mes]],Tabla6[#Headers],0)))*(1+Catalogos!$L$2)</f>
        <v>#N/A</v>
      </c>
      <c r="N1998" s="283" t="e">
        <f>+(Tabla4[[#This Row],[Precio Descontado]]-Tabla4[[#This Row],[Precio Base]])*Tabla4[[#This Row],[Cantidad]]</f>
        <v>#N/A</v>
      </c>
      <c r="O1998" s="284" t="e">
        <f>++Tabla4[[#This Row],[Utilidad Total]]/Tabla4[[#This Row],[Total]]</f>
        <v>#N/A</v>
      </c>
      <c r="P1998" s="282">
        <f>++Tabla4[[#This Row],[Precio Descontado]]*Tabla4[[#This Row],[Cantidad]]</f>
        <v>1936.7704229999997</v>
      </c>
      <c r="Q1998" s="282" t="e">
        <f>(INDEX(Tabla6[#All],MATCH(Tabla4[[#This Row],[Producto]],Tabla6[[#All],[PRODUCTO]],0),MATCH(Tabla4[[#This Row],[Mes]],Tabla6[#Headers],0)))</f>
        <v>#N/A</v>
      </c>
      <c r="R1998" s="282" t="e">
        <f>++Tabla4[[#This Row],[Precio Unitario Neto]]-Tabla4[[#This Row],[20.85%]]-Tabla4[[#This Row],[Costo]]</f>
        <v>#N/A</v>
      </c>
      <c r="S1998" s="282" t="e">
        <f>++Tabla4[[#This Row],[U. Bruta Uni]]*Tabla4[[#This Row],[Cantidad]]</f>
        <v>#N/A</v>
      </c>
      <c r="T1998" s="369" t="str">
        <f>VLOOKUP(Tabla4[[#This Row],[Producto]],Tabla6[#All],14,FALSE)</f>
        <v>Termico Solar</v>
      </c>
      <c r="U1998" s="284" t="e">
        <f>(IF(Tabla4[[#This Row],[Familia]]="termico solar",Tabla4[[#This Row],[Utilidad Total]]*6%,Tabla4[[#This Row],[Utilidad Total]]*11.5%))/Tabla4[[#This Row],[Total]]</f>
        <v>#N/A</v>
      </c>
      <c r="V1998" s="282" t="e">
        <f>+Tabla4[[#This Row],[Comisión Calculada]]*Tabla4[[#This Row],[Total]]</f>
        <v>#N/A</v>
      </c>
    </row>
    <row r="1999" spans="1:22" hidden="1" x14ac:dyDescent="0.25">
      <c r="A1999" s="100">
        <v>45762</v>
      </c>
      <c r="B1999" t="str">
        <f t="shared" si="103"/>
        <v>April</v>
      </c>
      <c r="C1999" s="46" t="s">
        <v>280</v>
      </c>
      <c r="F1999" s="366" t="s">
        <v>1468</v>
      </c>
      <c r="G1999" s="46" t="s">
        <v>394</v>
      </c>
      <c r="H1999" s="46">
        <v>16</v>
      </c>
      <c r="I1999" s="51">
        <v>224.29</v>
      </c>
      <c r="J1999" s="281">
        <f>++Tabla4[[#This Row],[Precio Bruto]]*1.16</f>
        <v>260.1764</v>
      </c>
      <c r="K1999" s="281">
        <f>+Tabla4[[#This Row],[Precio Unitario Neto]]*Tabla4[[#Headers],[20.85%]]</f>
        <v>54.246779400000001</v>
      </c>
      <c r="L1999" s="282">
        <f>++Tabla4[[#This Row],[Precio Unitario Neto]]-Tabla4[[#This Row],[20.85%]]</f>
        <v>205.92962059999999</v>
      </c>
      <c r="M1999" s="282" t="e">
        <f>(INDEX(Tabla6[#All],MATCH(Tabla4[[#This Row],[Producto]],Tabla6[[#All],[PRODUCTO]],0),MATCH(Tabla4[[#This Row],[Mes]],Tabla6[#Headers],0)))*(1+Catalogos!$L$2)</f>
        <v>#N/A</v>
      </c>
      <c r="N1999" s="283" t="e">
        <f>+(Tabla4[[#This Row],[Precio Descontado]]-Tabla4[[#This Row],[Precio Base]])*Tabla4[[#This Row],[Cantidad]]</f>
        <v>#N/A</v>
      </c>
      <c r="O1999" s="284" t="e">
        <f>++Tabla4[[#This Row],[Utilidad Total]]/Tabla4[[#This Row],[Total]]</f>
        <v>#N/A</v>
      </c>
      <c r="P1999" s="282">
        <f>++Tabla4[[#This Row],[Precio Descontado]]*Tabla4[[#This Row],[Cantidad]]</f>
        <v>3294.8739295999999</v>
      </c>
      <c r="Q1999" s="282" t="e">
        <f>(INDEX(Tabla6[#All],MATCH(Tabla4[[#This Row],[Producto]],Tabla6[[#All],[PRODUCTO]],0),MATCH(Tabla4[[#This Row],[Mes]],Tabla6[#Headers],0)))</f>
        <v>#N/A</v>
      </c>
      <c r="R1999" s="282" t="e">
        <f>++Tabla4[[#This Row],[Precio Unitario Neto]]-Tabla4[[#This Row],[20.85%]]-Tabla4[[#This Row],[Costo]]</f>
        <v>#N/A</v>
      </c>
      <c r="S1999" s="282" t="e">
        <f>++Tabla4[[#This Row],[U. Bruta Uni]]*Tabla4[[#This Row],[Cantidad]]</f>
        <v>#N/A</v>
      </c>
      <c r="T1999" s="369" t="str">
        <f>VLOOKUP(Tabla4[[#This Row],[Producto]],Tabla6[#All],14,FALSE)</f>
        <v>Termico Solar</v>
      </c>
      <c r="U1999" s="284" t="e">
        <f>(IF(Tabla4[[#This Row],[Familia]]="termico solar",Tabla4[[#This Row],[Utilidad Total]]*6%,Tabla4[[#This Row],[Utilidad Total]]*11.5%))/Tabla4[[#This Row],[Total]]</f>
        <v>#N/A</v>
      </c>
      <c r="V1999" s="282" t="e">
        <f>+Tabla4[[#This Row],[Comisión Calculada]]*Tabla4[[#This Row],[Total]]</f>
        <v>#N/A</v>
      </c>
    </row>
    <row r="2000" spans="1:22" hidden="1" x14ac:dyDescent="0.25">
      <c r="A2000" s="100">
        <v>45762</v>
      </c>
      <c r="B2000" t="str">
        <f t="shared" si="103"/>
        <v>April</v>
      </c>
      <c r="C2000" s="46" t="s">
        <v>280</v>
      </c>
      <c r="F2000" s="366" t="s">
        <v>1468</v>
      </c>
      <c r="G2000" s="46" t="s">
        <v>555</v>
      </c>
      <c r="H2000" s="46">
        <v>8</v>
      </c>
      <c r="I2000" s="51">
        <v>389.47</v>
      </c>
      <c r="J2000" s="281">
        <f>++Tabla4[[#This Row],[Precio Bruto]]*1.16</f>
        <v>451.78519999999997</v>
      </c>
      <c r="K2000" s="281">
        <f>+Tabla4[[#This Row],[Precio Unitario Neto]]*Tabla4[[#Headers],[20.85%]]</f>
        <v>94.197214199999991</v>
      </c>
      <c r="L2000" s="282">
        <f>++Tabla4[[#This Row],[Precio Unitario Neto]]-Tabla4[[#This Row],[20.85%]]</f>
        <v>357.58798579999996</v>
      </c>
      <c r="M2000" s="282" t="e">
        <f>(INDEX(Tabla6[#All],MATCH(Tabla4[[#This Row],[Producto]],Tabla6[[#All],[PRODUCTO]],0),MATCH(Tabla4[[#This Row],[Mes]],Tabla6[#Headers],0)))*(1+Catalogos!$L$2)</f>
        <v>#N/A</v>
      </c>
      <c r="N2000" s="283" t="e">
        <f>+(Tabla4[[#This Row],[Precio Descontado]]-Tabla4[[#This Row],[Precio Base]])*Tabla4[[#This Row],[Cantidad]]</f>
        <v>#N/A</v>
      </c>
      <c r="O2000" s="284" t="e">
        <f>++Tabla4[[#This Row],[Utilidad Total]]/Tabla4[[#This Row],[Total]]</f>
        <v>#N/A</v>
      </c>
      <c r="P2000" s="282">
        <f>++Tabla4[[#This Row],[Precio Descontado]]*Tabla4[[#This Row],[Cantidad]]</f>
        <v>2860.7038863999996</v>
      </c>
      <c r="Q2000" s="282" t="e">
        <f>(INDEX(Tabla6[#All],MATCH(Tabla4[[#This Row],[Producto]],Tabla6[[#All],[PRODUCTO]],0),MATCH(Tabla4[[#This Row],[Mes]],Tabla6[#Headers],0)))</f>
        <v>#N/A</v>
      </c>
      <c r="R2000" s="282" t="e">
        <f>++Tabla4[[#This Row],[Precio Unitario Neto]]-Tabla4[[#This Row],[20.85%]]-Tabla4[[#This Row],[Costo]]</f>
        <v>#N/A</v>
      </c>
      <c r="S2000" s="282" t="e">
        <f>++Tabla4[[#This Row],[U. Bruta Uni]]*Tabla4[[#This Row],[Cantidad]]</f>
        <v>#N/A</v>
      </c>
      <c r="T2000" s="369" t="str">
        <f>VLOOKUP(Tabla4[[#This Row],[Producto]],Tabla6[#All],14,FALSE)</f>
        <v>Termico Solar</v>
      </c>
      <c r="U2000" s="284" t="e">
        <f>(IF(Tabla4[[#This Row],[Familia]]="termico solar",Tabla4[[#This Row],[Utilidad Total]]*6%,Tabla4[[#This Row],[Utilidad Total]]*11.5%))/Tabla4[[#This Row],[Total]]</f>
        <v>#N/A</v>
      </c>
      <c r="V2000" s="282" t="e">
        <f>+Tabla4[[#This Row],[Comisión Calculada]]*Tabla4[[#This Row],[Total]]</f>
        <v>#N/A</v>
      </c>
    </row>
    <row r="2001" spans="1:22" hidden="1" x14ac:dyDescent="0.25">
      <c r="A2001" s="100">
        <v>45762</v>
      </c>
      <c r="B2001" t="str">
        <f t="shared" si="103"/>
        <v>April</v>
      </c>
      <c r="C2001" s="46" t="s">
        <v>280</v>
      </c>
      <c r="F2001" s="366" t="s">
        <v>1468</v>
      </c>
      <c r="G2001" s="46" t="s">
        <v>208</v>
      </c>
      <c r="H2001" s="46">
        <v>2</v>
      </c>
      <c r="I2001" s="51">
        <v>189.75</v>
      </c>
      <c r="J2001" s="281">
        <f>++Tabla4[[#This Row],[Precio Bruto]]*1.16</f>
        <v>220.10999999999999</v>
      </c>
      <c r="K2001" s="281">
        <f>+Tabla4[[#This Row],[Precio Unitario Neto]]*Tabla4[[#Headers],[20.85%]]</f>
        <v>45.892934999999994</v>
      </c>
      <c r="L2001" s="282">
        <f>++Tabla4[[#This Row],[Precio Unitario Neto]]-Tabla4[[#This Row],[20.85%]]</f>
        <v>174.21706499999999</v>
      </c>
      <c r="M2001" s="282" t="e">
        <f>(INDEX(Tabla6[#All],MATCH(Tabla4[[#This Row],[Producto]],Tabla6[[#All],[PRODUCTO]],0),MATCH(Tabla4[[#This Row],[Mes]],Tabla6[#Headers],0)))*(1+Catalogos!$L$2)</f>
        <v>#N/A</v>
      </c>
      <c r="N2001" s="283" t="e">
        <f>+(Tabla4[[#This Row],[Precio Descontado]]-Tabla4[[#This Row],[Precio Base]])*Tabla4[[#This Row],[Cantidad]]</f>
        <v>#N/A</v>
      </c>
      <c r="O2001" s="284" t="e">
        <f>++Tabla4[[#This Row],[Utilidad Total]]/Tabla4[[#This Row],[Total]]</f>
        <v>#N/A</v>
      </c>
      <c r="P2001" s="282">
        <f>++Tabla4[[#This Row],[Precio Descontado]]*Tabla4[[#This Row],[Cantidad]]</f>
        <v>348.43412999999998</v>
      </c>
      <c r="Q2001" s="282" t="e">
        <f>(INDEX(Tabla6[#All],MATCH(Tabla4[[#This Row],[Producto]],Tabla6[[#All],[PRODUCTO]],0),MATCH(Tabla4[[#This Row],[Mes]],Tabla6[#Headers],0)))</f>
        <v>#N/A</v>
      </c>
      <c r="R2001" s="282" t="e">
        <f>++Tabla4[[#This Row],[Precio Unitario Neto]]-Tabla4[[#This Row],[20.85%]]-Tabla4[[#This Row],[Costo]]</f>
        <v>#N/A</v>
      </c>
      <c r="S2001" s="282" t="e">
        <f>++Tabla4[[#This Row],[U. Bruta Uni]]*Tabla4[[#This Row],[Cantidad]]</f>
        <v>#N/A</v>
      </c>
      <c r="T2001" s="369" t="str">
        <f>VLOOKUP(Tabla4[[#This Row],[Producto]],Tabla6[#All],14,FALSE)</f>
        <v>Termico Solar</v>
      </c>
      <c r="U2001" s="284" t="e">
        <f>(IF(Tabla4[[#This Row],[Familia]]="termico solar",Tabla4[[#This Row],[Utilidad Total]]*6%,Tabla4[[#This Row],[Utilidad Total]]*11.5%))/Tabla4[[#This Row],[Total]]</f>
        <v>#N/A</v>
      </c>
      <c r="V2001" s="282" t="e">
        <f>+Tabla4[[#This Row],[Comisión Calculada]]*Tabla4[[#This Row],[Total]]</f>
        <v>#N/A</v>
      </c>
    </row>
    <row r="2002" spans="1:22" hidden="1" x14ac:dyDescent="0.25">
      <c r="A2002" s="100">
        <v>45762</v>
      </c>
      <c r="B2002" t="str">
        <f t="shared" si="103"/>
        <v>April</v>
      </c>
      <c r="C2002" s="46" t="s">
        <v>280</v>
      </c>
      <c r="F2002" s="366" t="s">
        <v>1469</v>
      </c>
      <c r="G2002" s="46" t="s">
        <v>208</v>
      </c>
      <c r="H2002" s="46">
        <v>2</v>
      </c>
      <c r="I2002" s="51">
        <v>189.75</v>
      </c>
      <c r="J2002" s="281">
        <f>++Tabla4[[#This Row],[Precio Bruto]]*1.16</f>
        <v>220.10999999999999</v>
      </c>
      <c r="K2002" s="281">
        <f>+Tabla4[[#This Row],[Precio Unitario Neto]]*Tabla4[[#Headers],[20.85%]]</f>
        <v>45.892934999999994</v>
      </c>
      <c r="L2002" s="282">
        <f>++Tabla4[[#This Row],[Precio Unitario Neto]]-Tabla4[[#This Row],[20.85%]]</f>
        <v>174.21706499999999</v>
      </c>
      <c r="M2002" s="282" t="e">
        <f>(INDEX(Tabla6[#All],MATCH(Tabla4[[#This Row],[Producto]],Tabla6[[#All],[PRODUCTO]],0),MATCH(Tabla4[[#This Row],[Mes]],Tabla6[#Headers],0)))*(1+Catalogos!$L$2)</f>
        <v>#N/A</v>
      </c>
      <c r="N2002" s="283" t="e">
        <f>+(Tabla4[[#This Row],[Precio Descontado]]-Tabla4[[#This Row],[Precio Base]])*Tabla4[[#This Row],[Cantidad]]</f>
        <v>#N/A</v>
      </c>
      <c r="O2002" s="284" t="e">
        <f>++Tabla4[[#This Row],[Utilidad Total]]/Tabla4[[#This Row],[Total]]</f>
        <v>#N/A</v>
      </c>
      <c r="P2002" s="282">
        <f>++Tabla4[[#This Row],[Precio Descontado]]*Tabla4[[#This Row],[Cantidad]]</f>
        <v>348.43412999999998</v>
      </c>
      <c r="Q2002" s="282" t="e">
        <f>(INDEX(Tabla6[#All],MATCH(Tabla4[[#This Row],[Producto]],Tabla6[[#All],[PRODUCTO]],0),MATCH(Tabla4[[#This Row],[Mes]],Tabla6[#Headers],0)))</f>
        <v>#N/A</v>
      </c>
      <c r="R2002" s="282" t="e">
        <f>++Tabla4[[#This Row],[Precio Unitario Neto]]-Tabla4[[#This Row],[20.85%]]-Tabla4[[#This Row],[Costo]]</f>
        <v>#N/A</v>
      </c>
      <c r="S2002" s="282" t="e">
        <f>++Tabla4[[#This Row],[U. Bruta Uni]]*Tabla4[[#This Row],[Cantidad]]</f>
        <v>#N/A</v>
      </c>
      <c r="T2002" s="369" t="str">
        <f>VLOOKUP(Tabla4[[#This Row],[Producto]],Tabla6[#All],14,FALSE)</f>
        <v>Termico Solar</v>
      </c>
      <c r="U2002" s="284" t="e">
        <f>(IF(Tabla4[[#This Row],[Familia]]="termico solar",Tabla4[[#This Row],[Utilidad Total]]*6%,Tabla4[[#This Row],[Utilidad Total]]*11.5%))/Tabla4[[#This Row],[Total]]</f>
        <v>#N/A</v>
      </c>
      <c r="V2002" s="282" t="e">
        <f>+Tabla4[[#This Row],[Comisión Calculada]]*Tabla4[[#This Row],[Total]]</f>
        <v>#N/A</v>
      </c>
    </row>
    <row r="2003" spans="1:22" hidden="1" x14ac:dyDescent="0.25">
      <c r="A2003" s="100">
        <v>45762</v>
      </c>
      <c r="B2003" t="str">
        <f t="shared" si="103"/>
        <v>April</v>
      </c>
      <c r="C2003" s="46" t="s">
        <v>280</v>
      </c>
      <c r="F2003" s="366" t="s">
        <v>1469</v>
      </c>
      <c r="G2003" s="46" t="s">
        <v>18</v>
      </c>
      <c r="H2003" s="46">
        <v>4</v>
      </c>
      <c r="I2003" s="51">
        <v>5367.65</v>
      </c>
      <c r="J2003" s="281">
        <f>++Tabla4[[#This Row],[Precio Bruto]]*1.16</f>
        <v>6226.4739999999993</v>
      </c>
      <c r="K2003" s="281">
        <f>+Tabla4[[#This Row],[Precio Unitario Neto]]*Tabla4[[#Headers],[20.85%]]</f>
        <v>1298.2198289999999</v>
      </c>
      <c r="L2003" s="282">
        <f>++Tabla4[[#This Row],[Precio Unitario Neto]]-Tabla4[[#This Row],[20.85%]]</f>
        <v>4928.2541709999996</v>
      </c>
      <c r="M2003" s="282" t="e">
        <f>(INDEX(Tabla6[#All],MATCH(Tabla4[[#This Row],[Producto]],Tabla6[[#All],[PRODUCTO]],0),MATCH(Tabla4[[#This Row],[Mes]],Tabla6[#Headers],0)))*(1+Catalogos!$L$2)</f>
        <v>#N/A</v>
      </c>
      <c r="N2003" s="283" t="e">
        <f>+(Tabla4[[#This Row],[Precio Descontado]]-Tabla4[[#This Row],[Precio Base]])*Tabla4[[#This Row],[Cantidad]]</f>
        <v>#N/A</v>
      </c>
      <c r="O2003" s="284" t="e">
        <f>++Tabla4[[#This Row],[Utilidad Total]]/Tabla4[[#This Row],[Total]]</f>
        <v>#N/A</v>
      </c>
      <c r="P2003" s="282">
        <f>++Tabla4[[#This Row],[Precio Descontado]]*Tabla4[[#This Row],[Cantidad]]</f>
        <v>19713.016683999998</v>
      </c>
      <c r="Q2003" s="282" t="e">
        <f>(INDEX(Tabla6[#All],MATCH(Tabla4[[#This Row],[Producto]],Tabla6[[#All],[PRODUCTO]],0),MATCH(Tabla4[[#This Row],[Mes]],Tabla6[#Headers],0)))</f>
        <v>#N/A</v>
      </c>
      <c r="R2003" s="282" t="e">
        <f>++Tabla4[[#This Row],[Precio Unitario Neto]]-Tabla4[[#This Row],[20.85%]]-Tabla4[[#This Row],[Costo]]</f>
        <v>#N/A</v>
      </c>
      <c r="S2003" s="282" t="e">
        <f>++Tabla4[[#This Row],[U. Bruta Uni]]*Tabla4[[#This Row],[Cantidad]]</f>
        <v>#N/A</v>
      </c>
      <c r="T2003" s="369" t="str">
        <f>VLOOKUP(Tabla4[[#This Row],[Producto]],Tabla6[#All],14,FALSE)</f>
        <v>Termico Solar</v>
      </c>
      <c r="U2003" s="284" t="e">
        <f>(IF(Tabla4[[#This Row],[Familia]]="termico solar",Tabla4[[#This Row],[Utilidad Total]]*6%,Tabla4[[#This Row],[Utilidad Total]]*11.5%))/Tabla4[[#This Row],[Total]]</f>
        <v>#N/A</v>
      </c>
      <c r="V2003" s="282" t="e">
        <f>+Tabla4[[#This Row],[Comisión Calculada]]*Tabla4[[#This Row],[Total]]</f>
        <v>#N/A</v>
      </c>
    </row>
    <row r="2004" spans="1:22" hidden="1" x14ac:dyDescent="0.25">
      <c r="A2004" s="100">
        <v>45762</v>
      </c>
      <c r="B2004" t="str">
        <f t="shared" si="103"/>
        <v>April</v>
      </c>
      <c r="C2004" s="46" t="s">
        <v>280</v>
      </c>
      <c r="F2004" s="366" t="s">
        <v>1470</v>
      </c>
      <c r="G2004" s="46" t="s">
        <v>17</v>
      </c>
      <c r="H2004" s="46">
        <v>1</v>
      </c>
      <c r="I2004" s="51">
        <v>4622.28</v>
      </c>
      <c r="J2004" s="281">
        <f>++Tabla4[[#This Row],[Precio Bruto]]*1.16</f>
        <v>5361.8447999999989</v>
      </c>
      <c r="K2004" s="281">
        <f>+Tabla4[[#This Row],[Precio Unitario Neto]]*Tabla4[[#Headers],[20.85%]]</f>
        <v>1117.9446407999997</v>
      </c>
      <c r="L2004" s="282">
        <f>++Tabla4[[#This Row],[Precio Unitario Neto]]-Tabla4[[#This Row],[20.85%]]</f>
        <v>4243.9001591999995</v>
      </c>
      <c r="M2004" s="282" t="e">
        <f>(INDEX(Tabla6[#All],MATCH(Tabla4[[#This Row],[Producto]],Tabla6[[#All],[PRODUCTO]],0),MATCH(Tabla4[[#This Row],[Mes]],Tabla6[#Headers],0)))*(1+Catalogos!$L$2)</f>
        <v>#N/A</v>
      </c>
      <c r="N2004" s="283" t="e">
        <f>+(Tabla4[[#This Row],[Precio Descontado]]-Tabla4[[#This Row],[Precio Base]])*Tabla4[[#This Row],[Cantidad]]</f>
        <v>#N/A</v>
      </c>
      <c r="O2004" s="284" t="e">
        <f>++Tabla4[[#This Row],[Utilidad Total]]/Tabla4[[#This Row],[Total]]</f>
        <v>#N/A</v>
      </c>
      <c r="P2004" s="282">
        <f>++Tabla4[[#This Row],[Precio Descontado]]*Tabla4[[#This Row],[Cantidad]]</f>
        <v>4243.9001591999995</v>
      </c>
      <c r="Q2004" s="282" t="e">
        <f>(INDEX(Tabla6[#All],MATCH(Tabla4[[#This Row],[Producto]],Tabla6[[#All],[PRODUCTO]],0),MATCH(Tabla4[[#This Row],[Mes]],Tabla6[#Headers],0)))</f>
        <v>#N/A</v>
      </c>
      <c r="R2004" s="282" t="e">
        <f>++Tabla4[[#This Row],[Precio Unitario Neto]]-Tabla4[[#This Row],[20.85%]]-Tabla4[[#This Row],[Costo]]</f>
        <v>#N/A</v>
      </c>
      <c r="S2004" s="282" t="e">
        <f>++Tabla4[[#This Row],[U. Bruta Uni]]*Tabla4[[#This Row],[Cantidad]]</f>
        <v>#N/A</v>
      </c>
      <c r="T2004" s="369" t="str">
        <f>VLOOKUP(Tabla4[[#This Row],[Producto]],Tabla6[#All],14,FALSE)</f>
        <v>Termico Solar</v>
      </c>
      <c r="U2004" s="284" t="e">
        <f>(IF(Tabla4[[#This Row],[Familia]]="termico solar",Tabla4[[#This Row],[Utilidad Total]]*6%,Tabla4[[#This Row],[Utilidad Total]]*11.5%))/Tabla4[[#This Row],[Total]]</f>
        <v>#N/A</v>
      </c>
      <c r="V2004" s="282" t="e">
        <f>+Tabla4[[#This Row],[Comisión Calculada]]*Tabla4[[#This Row],[Total]]</f>
        <v>#N/A</v>
      </c>
    </row>
    <row r="2005" spans="1:22" hidden="1" x14ac:dyDescent="0.25">
      <c r="A2005" s="100">
        <v>45762</v>
      </c>
      <c r="B2005" t="str">
        <f t="shared" si="103"/>
        <v>April</v>
      </c>
      <c r="C2005" s="46" t="s">
        <v>280</v>
      </c>
      <c r="F2005" s="366" t="s">
        <v>1470</v>
      </c>
      <c r="G2005" s="46" t="s">
        <v>18</v>
      </c>
      <c r="H2005" s="46">
        <v>1</v>
      </c>
      <c r="I2005" s="51">
        <v>5367.65</v>
      </c>
      <c r="J2005" s="281">
        <f>++Tabla4[[#This Row],[Precio Bruto]]*1.16</f>
        <v>6226.4739999999993</v>
      </c>
      <c r="K2005" s="281">
        <f>+Tabla4[[#This Row],[Precio Unitario Neto]]*Tabla4[[#Headers],[20.85%]]</f>
        <v>1298.2198289999999</v>
      </c>
      <c r="L2005" s="282">
        <f>++Tabla4[[#This Row],[Precio Unitario Neto]]-Tabla4[[#This Row],[20.85%]]</f>
        <v>4928.2541709999996</v>
      </c>
      <c r="M2005" s="282" t="e">
        <f>(INDEX(Tabla6[#All],MATCH(Tabla4[[#This Row],[Producto]],Tabla6[[#All],[PRODUCTO]],0),MATCH(Tabla4[[#This Row],[Mes]],Tabla6[#Headers],0)))*(1+Catalogos!$L$2)</f>
        <v>#N/A</v>
      </c>
      <c r="N2005" s="283" t="e">
        <f>+(Tabla4[[#This Row],[Precio Descontado]]-Tabla4[[#This Row],[Precio Base]])*Tabla4[[#This Row],[Cantidad]]</f>
        <v>#N/A</v>
      </c>
      <c r="O2005" s="284" t="e">
        <f>++Tabla4[[#This Row],[Utilidad Total]]/Tabla4[[#This Row],[Total]]</f>
        <v>#N/A</v>
      </c>
      <c r="P2005" s="282">
        <f>++Tabla4[[#This Row],[Precio Descontado]]*Tabla4[[#This Row],[Cantidad]]</f>
        <v>4928.2541709999996</v>
      </c>
      <c r="Q2005" s="282" t="e">
        <f>(INDEX(Tabla6[#All],MATCH(Tabla4[[#This Row],[Producto]],Tabla6[[#All],[PRODUCTO]],0),MATCH(Tabla4[[#This Row],[Mes]],Tabla6[#Headers],0)))</f>
        <v>#N/A</v>
      </c>
      <c r="R2005" s="282" t="e">
        <f>++Tabla4[[#This Row],[Precio Unitario Neto]]-Tabla4[[#This Row],[20.85%]]-Tabla4[[#This Row],[Costo]]</f>
        <v>#N/A</v>
      </c>
      <c r="S2005" s="282" t="e">
        <f>++Tabla4[[#This Row],[U. Bruta Uni]]*Tabla4[[#This Row],[Cantidad]]</f>
        <v>#N/A</v>
      </c>
      <c r="T2005" s="369" t="str">
        <f>VLOOKUP(Tabla4[[#This Row],[Producto]],Tabla6[#All],14,FALSE)</f>
        <v>Termico Solar</v>
      </c>
      <c r="U2005" s="284" t="e">
        <f>(IF(Tabla4[[#This Row],[Familia]]="termico solar",Tabla4[[#This Row],[Utilidad Total]]*6%,Tabla4[[#This Row],[Utilidad Total]]*11.5%))/Tabla4[[#This Row],[Total]]</f>
        <v>#N/A</v>
      </c>
      <c r="V2005" s="282" t="e">
        <f>+Tabla4[[#This Row],[Comisión Calculada]]*Tabla4[[#This Row],[Total]]</f>
        <v>#N/A</v>
      </c>
    </row>
    <row r="2006" spans="1:22" hidden="1" x14ac:dyDescent="0.25">
      <c r="A2006" s="100">
        <v>45762</v>
      </c>
      <c r="B2006" t="str">
        <f t="shared" si="103"/>
        <v>April</v>
      </c>
      <c r="C2006" s="46" t="s">
        <v>280</v>
      </c>
      <c r="F2006" s="366" t="s">
        <v>1471</v>
      </c>
      <c r="G2006" s="46" t="s">
        <v>18</v>
      </c>
      <c r="H2006" s="46">
        <v>3</v>
      </c>
      <c r="I2006" s="51">
        <v>5367.6500000000005</v>
      </c>
      <c r="J2006" s="281">
        <f>++Tabla4[[#This Row],[Precio Bruto]]*1.16</f>
        <v>6226.4740000000002</v>
      </c>
      <c r="K2006" s="281">
        <f>+Tabla4[[#This Row],[Precio Unitario Neto]]*Tabla4[[#Headers],[20.85%]]</f>
        <v>1298.2198289999999</v>
      </c>
      <c r="L2006" s="282">
        <f>++Tabla4[[#This Row],[Precio Unitario Neto]]-Tabla4[[#This Row],[20.85%]]</f>
        <v>4928.2541710000005</v>
      </c>
      <c r="M2006" s="282" t="e">
        <f>(INDEX(Tabla6[#All],MATCH(Tabla4[[#This Row],[Producto]],Tabla6[[#All],[PRODUCTO]],0),MATCH(Tabla4[[#This Row],[Mes]],Tabla6[#Headers],0)))*(1+Catalogos!$L$2)</f>
        <v>#N/A</v>
      </c>
      <c r="N2006" s="283" t="e">
        <f>+(Tabla4[[#This Row],[Precio Descontado]]-Tabla4[[#This Row],[Precio Base]])*Tabla4[[#This Row],[Cantidad]]</f>
        <v>#N/A</v>
      </c>
      <c r="O2006" s="284" t="e">
        <f>++Tabla4[[#This Row],[Utilidad Total]]/Tabla4[[#This Row],[Total]]</f>
        <v>#N/A</v>
      </c>
      <c r="P2006" s="282">
        <f>++Tabla4[[#This Row],[Precio Descontado]]*Tabla4[[#This Row],[Cantidad]]</f>
        <v>14784.762513000001</v>
      </c>
      <c r="Q2006" s="282" t="e">
        <f>(INDEX(Tabla6[#All],MATCH(Tabla4[[#This Row],[Producto]],Tabla6[[#All],[PRODUCTO]],0),MATCH(Tabla4[[#This Row],[Mes]],Tabla6[#Headers],0)))</f>
        <v>#N/A</v>
      </c>
      <c r="R2006" s="282" t="e">
        <f>++Tabla4[[#This Row],[Precio Unitario Neto]]-Tabla4[[#This Row],[20.85%]]-Tabla4[[#This Row],[Costo]]</f>
        <v>#N/A</v>
      </c>
      <c r="S2006" s="282" t="e">
        <f>++Tabla4[[#This Row],[U. Bruta Uni]]*Tabla4[[#This Row],[Cantidad]]</f>
        <v>#N/A</v>
      </c>
      <c r="T2006" s="369" t="str">
        <f>VLOOKUP(Tabla4[[#This Row],[Producto]],Tabla6[#All],14,FALSE)</f>
        <v>Termico Solar</v>
      </c>
      <c r="U2006" s="284" t="e">
        <f>(IF(Tabla4[[#This Row],[Familia]]="termico solar",Tabla4[[#This Row],[Utilidad Total]]*6%,Tabla4[[#This Row],[Utilidad Total]]*11.5%))/Tabla4[[#This Row],[Total]]</f>
        <v>#N/A</v>
      </c>
      <c r="V2006" s="282" t="e">
        <f>+Tabla4[[#This Row],[Comisión Calculada]]*Tabla4[[#This Row],[Total]]</f>
        <v>#N/A</v>
      </c>
    </row>
    <row r="2007" spans="1:22" hidden="1" x14ac:dyDescent="0.25">
      <c r="A2007" s="100">
        <v>45762</v>
      </c>
      <c r="B2007" t="str">
        <f t="shared" si="103"/>
        <v>April</v>
      </c>
      <c r="C2007" s="46" t="s">
        <v>280</v>
      </c>
      <c r="F2007" s="366" t="s">
        <v>1472</v>
      </c>
      <c r="G2007" s="46" t="s">
        <v>566</v>
      </c>
      <c r="H2007" s="46">
        <v>1</v>
      </c>
      <c r="I2007" s="51">
        <v>2109.4499999999998</v>
      </c>
      <c r="J2007" s="281">
        <f>++Tabla4[[#This Row],[Precio Bruto]]*1.16</f>
        <v>2446.9619999999995</v>
      </c>
      <c r="K2007" s="281">
        <f>+Tabla4[[#This Row],[Precio Unitario Neto]]*Tabla4[[#Headers],[20.85%]]</f>
        <v>510.19157699999988</v>
      </c>
      <c r="L2007" s="282">
        <f>++Tabla4[[#This Row],[Precio Unitario Neto]]-Tabla4[[#This Row],[20.85%]]</f>
        <v>1936.7704229999997</v>
      </c>
      <c r="M2007" s="282" t="e">
        <f>(INDEX(Tabla6[#All],MATCH(Tabla4[[#This Row],[Producto]],Tabla6[[#All],[PRODUCTO]],0),MATCH(Tabla4[[#This Row],[Mes]],Tabla6[#Headers],0)))*(1+Catalogos!$L$2)</f>
        <v>#N/A</v>
      </c>
      <c r="N2007" s="283" t="e">
        <f>+(Tabla4[[#This Row],[Precio Descontado]]-Tabla4[[#This Row],[Precio Base]])*Tabla4[[#This Row],[Cantidad]]</f>
        <v>#N/A</v>
      </c>
      <c r="O2007" s="284" t="e">
        <f>++Tabla4[[#This Row],[Utilidad Total]]/Tabla4[[#This Row],[Total]]</f>
        <v>#N/A</v>
      </c>
      <c r="P2007" s="282">
        <f>++Tabla4[[#This Row],[Precio Descontado]]*Tabla4[[#This Row],[Cantidad]]</f>
        <v>1936.7704229999997</v>
      </c>
      <c r="Q2007" s="282" t="e">
        <f>(INDEX(Tabla6[#All],MATCH(Tabla4[[#This Row],[Producto]],Tabla6[[#All],[PRODUCTO]],0),MATCH(Tabla4[[#This Row],[Mes]],Tabla6[#Headers],0)))</f>
        <v>#N/A</v>
      </c>
      <c r="R2007" s="282" t="e">
        <f>++Tabla4[[#This Row],[Precio Unitario Neto]]-Tabla4[[#This Row],[20.85%]]-Tabla4[[#This Row],[Costo]]</f>
        <v>#N/A</v>
      </c>
      <c r="S2007" s="282" t="e">
        <f>++Tabla4[[#This Row],[U. Bruta Uni]]*Tabla4[[#This Row],[Cantidad]]</f>
        <v>#N/A</v>
      </c>
      <c r="T2007" s="369" t="str">
        <f>VLOOKUP(Tabla4[[#This Row],[Producto]],Tabla6[#All],14,FALSE)</f>
        <v>Termico Solar</v>
      </c>
      <c r="U2007" s="284" t="e">
        <f>(IF(Tabla4[[#This Row],[Familia]]="termico solar",Tabla4[[#This Row],[Utilidad Total]]*6%,Tabla4[[#This Row],[Utilidad Total]]*11.5%))/Tabla4[[#This Row],[Total]]</f>
        <v>#N/A</v>
      </c>
      <c r="V2007" s="282" t="e">
        <f>+Tabla4[[#This Row],[Comisión Calculada]]*Tabla4[[#This Row],[Total]]</f>
        <v>#N/A</v>
      </c>
    </row>
    <row r="2008" spans="1:22" hidden="1" x14ac:dyDescent="0.25">
      <c r="A2008" s="100">
        <v>45762</v>
      </c>
      <c r="B2008" t="str">
        <f t="shared" ref="B2008:B2039" si="104">TEXT(A2008, "mmmm")</f>
        <v>April</v>
      </c>
      <c r="C2008" s="46" t="s">
        <v>280</v>
      </c>
      <c r="F2008" s="366" t="s">
        <v>1473</v>
      </c>
      <c r="G2008" s="46" t="s">
        <v>16</v>
      </c>
      <c r="H2008" s="46">
        <v>2</v>
      </c>
      <c r="I2008" s="51">
        <v>4103.8500000000004</v>
      </c>
      <c r="J2008" s="281">
        <f>++Tabla4[[#This Row],[Precio Bruto]]*1.16</f>
        <v>4760.4660000000003</v>
      </c>
      <c r="K2008" s="281">
        <f>+Tabla4[[#This Row],[Precio Unitario Neto]]*Tabla4[[#Headers],[20.85%]]</f>
        <v>992.55716100000006</v>
      </c>
      <c r="L2008" s="282">
        <f>++Tabla4[[#This Row],[Precio Unitario Neto]]-Tabla4[[#This Row],[20.85%]]</f>
        <v>3767.9088390000002</v>
      </c>
      <c r="M2008" s="282" t="e">
        <f>(INDEX(Tabla6[#All],MATCH(Tabla4[[#This Row],[Producto]],Tabla6[[#All],[PRODUCTO]],0),MATCH(Tabla4[[#This Row],[Mes]],Tabla6[#Headers],0)))*(1+Catalogos!$L$2)</f>
        <v>#N/A</v>
      </c>
      <c r="N2008" s="283" t="e">
        <f>+(Tabla4[[#This Row],[Precio Descontado]]-Tabla4[[#This Row],[Precio Base]])*Tabla4[[#This Row],[Cantidad]]</f>
        <v>#N/A</v>
      </c>
      <c r="O2008" s="284" t="e">
        <f>++Tabla4[[#This Row],[Utilidad Total]]/Tabla4[[#This Row],[Total]]</f>
        <v>#N/A</v>
      </c>
      <c r="P2008" s="282">
        <f>++Tabla4[[#This Row],[Precio Descontado]]*Tabla4[[#This Row],[Cantidad]]</f>
        <v>7535.8176780000003</v>
      </c>
      <c r="Q2008" s="282" t="e">
        <f>(INDEX(Tabla6[#All],MATCH(Tabla4[[#This Row],[Producto]],Tabla6[[#All],[PRODUCTO]],0),MATCH(Tabla4[[#This Row],[Mes]],Tabla6[#Headers],0)))</f>
        <v>#N/A</v>
      </c>
      <c r="R2008" s="282" t="e">
        <f>++Tabla4[[#This Row],[Precio Unitario Neto]]-Tabla4[[#This Row],[20.85%]]-Tabla4[[#This Row],[Costo]]</f>
        <v>#N/A</v>
      </c>
      <c r="S2008" s="282" t="e">
        <f>++Tabla4[[#This Row],[U. Bruta Uni]]*Tabla4[[#This Row],[Cantidad]]</f>
        <v>#N/A</v>
      </c>
      <c r="T2008" s="369" t="str">
        <f>VLOOKUP(Tabla4[[#This Row],[Producto]],Tabla6[#All],14,FALSE)</f>
        <v>Termico Solar</v>
      </c>
      <c r="U2008" s="284" t="e">
        <f>(IF(Tabla4[[#This Row],[Familia]]="termico solar",Tabla4[[#This Row],[Utilidad Total]]*6%,Tabla4[[#This Row],[Utilidad Total]]*11.5%))/Tabla4[[#This Row],[Total]]</f>
        <v>#N/A</v>
      </c>
      <c r="V2008" s="282" t="e">
        <f>+Tabla4[[#This Row],[Comisión Calculada]]*Tabla4[[#This Row],[Total]]</f>
        <v>#N/A</v>
      </c>
    </row>
    <row r="2009" spans="1:22" hidden="1" x14ac:dyDescent="0.25">
      <c r="A2009" s="100">
        <v>45762</v>
      </c>
      <c r="B2009" t="str">
        <f t="shared" si="104"/>
        <v>April</v>
      </c>
      <c r="C2009" s="46" t="s">
        <v>280</v>
      </c>
      <c r="F2009" s="366" t="s">
        <v>1473</v>
      </c>
      <c r="G2009" s="46" t="s">
        <v>208</v>
      </c>
      <c r="H2009" s="46">
        <v>1</v>
      </c>
      <c r="I2009" s="51">
        <v>189.75</v>
      </c>
      <c r="J2009" s="281">
        <f>++Tabla4[[#This Row],[Precio Bruto]]*1.16</f>
        <v>220.10999999999999</v>
      </c>
      <c r="K2009" s="281">
        <f>+Tabla4[[#This Row],[Precio Unitario Neto]]*Tabla4[[#Headers],[20.85%]]</f>
        <v>45.892934999999994</v>
      </c>
      <c r="L2009" s="282">
        <f>++Tabla4[[#This Row],[Precio Unitario Neto]]-Tabla4[[#This Row],[20.85%]]</f>
        <v>174.21706499999999</v>
      </c>
      <c r="M2009" s="282" t="e">
        <f>(INDEX(Tabla6[#All],MATCH(Tabla4[[#This Row],[Producto]],Tabla6[[#All],[PRODUCTO]],0),MATCH(Tabla4[[#This Row],[Mes]],Tabla6[#Headers],0)))*(1+Catalogos!$L$2)</f>
        <v>#N/A</v>
      </c>
      <c r="N2009" s="283" t="e">
        <f>+(Tabla4[[#This Row],[Precio Descontado]]-Tabla4[[#This Row],[Precio Base]])*Tabla4[[#This Row],[Cantidad]]</f>
        <v>#N/A</v>
      </c>
      <c r="O2009" s="284" t="e">
        <f>++Tabla4[[#This Row],[Utilidad Total]]/Tabla4[[#This Row],[Total]]</f>
        <v>#N/A</v>
      </c>
      <c r="P2009" s="282">
        <f>++Tabla4[[#This Row],[Precio Descontado]]*Tabla4[[#This Row],[Cantidad]]</f>
        <v>174.21706499999999</v>
      </c>
      <c r="Q2009" s="282" t="e">
        <f>(INDEX(Tabla6[#All],MATCH(Tabla4[[#This Row],[Producto]],Tabla6[[#All],[PRODUCTO]],0),MATCH(Tabla4[[#This Row],[Mes]],Tabla6[#Headers],0)))</f>
        <v>#N/A</v>
      </c>
      <c r="R2009" s="282" t="e">
        <f>++Tabla4[[#This Row],[Precio Unitario Neto]]-Tabla4[[#This Row],[20.85%]]-Tabla4[[#This Row],[Costo]]</f>
        <v>#N/A</v>
      </c>
      <c r="S2009" s="282" t="e">
        <f>++Tabla4[[#This Row],[U. Bruta Uni]]*Tabla4[[#This Row],[Cantidad]]</f>
        <v>#N/A</v>
      </c>
      <c r="T2009" s="369" t="str">
        <f>VLOOKUP(Tabla4[[#This Row],[Producto]],Tabla6[#All],14,FALSE)</f>
        <v>Termico Solar</v>
      </c>
      <c r="U2009" s="284" t="e">
        <f>(IF(Tabla4[[#This Row],[Familia]]="termico solar",Tabla4[[#This Row],[Utilidad Total]]*6%,Tabla4[[#This Row],[Utilidad Total]]*11.5%))/Tabla4[[#This Row],[Total]]</f>
        <v>#N/A</v>
      </c>
      <c r="V2009" s="282" t="e">
        <f>+Tabla4[[#This Row],[Comisión Calculada]]*Tabla4[[#This Row],[Total]]</f>
        <v>#N/A</v>
      </c>
    </row>
    <row r="2010" spans="1:22" hidden="1" x14ac:dyDescent="0.25">
      <c r="A2010" s="100">
        <v>45762</v>
      </c>
      <c r="B2010" t="str">
        <f t="shared" si="104"/>
        <v>April</v>
      </c>
      <c r="C2010" s="46" t="s">
        <v>280</v>
      </c>
      <c r="F2010" s="366" t="s">
        <v>1474</v>
      </c>
      <c r="G2010" s="46" t="s">
        <v>18</v>
      </c>
      <c r="H2010" s="46">
        <v>2</v>
      </c>
      <c r="I2010" s="51">
        <v>5367.65</v>
      </c>
      <c r="J2010" s="281">
        <f>++Tabla4[[#This Row],[Precio Bruto]]*1.16</f>
        <v>6226.4739999999993</v>
      </c>
      <c r="K2010" s="281">
        <f>+Tabla4[[#This Row],[Precio Unitario Neto]]*Tabla4[[#Headers],[20.85%]]</f>
        <v>1298.2198289999999</v>
      </c>
      <c r="L2010" s="282">
        <f>++Tabla4[[#This Row],[Precio Unitario Neto]]-Tabla4[[#This Row],[20.85%]]</f>
        <v>4928.2541709999996</v>
      </c>
      <c r="M2010" s="282" t="e">
        <f>(INDEX(Tabla6[#All],MATCH(Tabla4[[#This Row],[Producto]],Tabla6[[#All],[PRODUCTO]],0),MATCH(Tabla4[[#This Row],[Mes]],Tabla6[#Headers],0)))*(1+Catalogos!$L$2)</f>
        <v>#N/A</v>
      </c>
      <c r="N2010" s="283" t="e">
        <f>+(Tabla4[[#This Row],[Precio Descontado]]-Tabla4[[#This Row],[Precio Base]])*Tabla4[[#This Row],[Cantidad]]</f>
        <v>#N/A</v>
      </c>
      <c r="O2010" s="284" t="e">
        <f>++Tabla4[[#This Row],[Utilidad Total]]/Tabla4[[#This Row],[Total]]</f>
        <v>#N/A</v>
      </c>
      <c r="P2010" s="282">
        <f>++Tabla4[[#This Row],[Precio Descontado]]*Tabla4[[#This Row],[Cantidad]]</f>
        <v>9856.5083419999992</v>
      </c>
      <c r="Q2010" s="282" t="e">
        <f>(INDEX(Tabla6[#All],MATCH(Tabla4[[#This Row],[Producto]],Tabla6[[#All],[PRODUCTO]],0),MATCH(Tabla4[[#This Row],[Mes]],Tabla6[#Headers],0)))</f>
        <v>#N/A</v>
      </c>
      <c r="R2010" s="282" t="e">
        <f>++Tabla4[[#This Row],[Precio Unitario Neto]]-Tabla4[[#This Row],[20.85%]]-Tabla4[[#This Row],[Costo]]</f>
        <v>#N/A</v>
      </c>
      <c r="S2010" s="282" t="e">
        <f>++Tabla4[[#This Row],[U. Bruta Uni]]*Tabla4[[#This Row],[Cantidad]]</f>
        <v>#N/A</v>
      </c>
      <c r="T2010" s="369" t="str">
        <f>VLOOKUP(Tabla4[[#This Row],[Producto]],Tabla6[#All],14,FALSE)</f>
        <v>Termico Solar</v>
      </c>
      <c r="U2010" s="284" t="e">
        <f>(IF(Tabla4[[#This Row],[Familia]]="termico solar",Tabla4[[#This Row],[Utilidad Total]]*6%,Tabla4[[#This Row],[Utilidad Total]]*11.5%))/Tabla4[[#This Row],[Total]]</f>
        <v>#N/A</v>
      </c>
      <c r="V2010" s="282" t="e">
        <f>+Tabla4[[#This Row],[Comisión Calculada]]*Tabla4[[#This Row],[Total]]</f>
        <v>#N/A</v>
      </c>
    </row>
    <row r="2011" spans="1:22" hidden="1" x14ac:dyDescent="0.25">
      <c r="A2011" s="100">
        <v>45762</v>
      </c>
      <c r="B2011" t="str">
        <f t="shared" si="104"/>
        <v>April</v>
      </c>
      <c r="C2011" s="46" t="s">
        <v>280</v>
      </c>
      <c r="F2011" s="366" t="s">
        <v>1474</v>
      </c>
      <c r="G2011" s="46" t="s">
        <v>16</v>
      </c>
      <c r="H2011" s="46">
        <v>2</v>
      </c>
      <c r="I2011" s="51">
        <v>4103.8500000000004</v>
      </c>
      <c r="J2011" s="281">
        <f>++Tabla4[[#This Row],[Precio Bruto]]*1.16</f>
        <v>4760.4660000000003</v>
      </c>
      <c r="K2011" s="281">
        <f>+Tabla4[[#This Row],[Precio Unitario Neto]]*Tabla4[[#Headers],[20.85%]]</f>
        <v>992.55716100000006</v>
      </c>
      <c r="L2011" s="282">
        <f>++Tabla4[[#This Row],[Precio Unitario Neto]]-Tabla4[[#This Row],[20.85%]]</f>
        <v>3767.9088390000002</v>
      </c>
      <c r="M2011" s="282" t="e">
        <f>(INDEX(Tabla6[#All],MATCH(Tabla4[[#This Row],[Producto]],Tabla6[[#All],[PRODUCTO]],0),MATCH(Tabla4[[#This Row],[Mes]],Tabla6[#Headers],0)))*(1+Catalogos!$L$2)</f>
        <v>#N/A</v>
      </c>
      <c r="N2011" s="283" t="e">
        <f>+(Tabla4[[#This Row],[Precio Descontado]]-Tabla4[[#This Row],[Precio Base]])*Tabla4[[#This Row],[Cantidad]]</f>
        <v>#N/A</v>
      </c>
      <c r="O2011" s="284" t="e">
        <f>++Tabla4[[#This Row],[Utilidad Total]]/Tabla4[[#This Row],[Total]]</f>
        <v>#N/A</v>
      </c>
      <c r="P2011" s="282">
        <f>++Tabla4[[#This Row],[Precio Descontado]]*Tabla4[[#This Row],[Cantidad]]</f>
        <v>7535.8176780000003</v>
      </c>
      <c r="Q2011" s="282" t="e">
        <f>(INDEX(Tabla6[#All],MATCH(Tabla4[[#This Row],[Producto]],Tabla6[[#All],[PRODUCTO]],0),MATCH(Tabla4[[#This Row],[Mes]],Tabla6[#Headers],0)))</f>
        <v>#N/A</v>
      </c>
      <c r="R2011" s="282" t="e">
        <f>++Tabla4[[#This Row],[Precio Unitario Neto]]-Tabla4[[#This Row],[20.85%]]-Tabla4[[#This Row],[Costo]]</f>
        <v>#N/A</v>
      </c>
      <c r="S2011" s="282" t="e">
        <f>++Tabla4[[#This Row],[U. Bruta Uni]]*Tabla4[[#This Row],[Cantidad]]</f>
        <v>#N/A</v>
      </c>
      <c r="T2011" s="369" t="str">
        <f>VLOOKUP(Tabla4[[#This Row],[Producto]],Tabla6[#All],14,FALSE)</f>
        <v>Termico Solar</v>
      </c>
      <c r="U2011" s="284" t="e">
        <f>(IF(Tabla4[[#This Row],[Familia]]="termico solar",Tabla4[[#This Row],[Utilidad Total]]*6%,Tabla4[[#This Row],[Utilidad Total]]*11.5%))/Tabla4[[#This Row],[Total]]</f>
        <v>#N/A</v>
      </c>
      <c r="V2011" s="282" t="e">
        <f>+Tabla4[[#This Row],[Comisión Calculada]]*Tabla4[[#This Row],[Total]]</f>
        <v>#N/A</v>
      </c>
    </row>
    <row r="2012" spans="1:22" hidden="1" x14ac:dyDescent="0.25">
      <c r="A2012" s="100">
        <v>45762</v>
      </c>
      <c r="B2012" t="str">
        <f t="shared" si="104"/>
        <v>April</v>
      </c>
      <c r="C2012" s="46" t="s">
        <v>280</v>
      </c>
      <c r="F2012" s="366" t="s">
        <v>1475</v>
      </c>
      <c r="G2012" s="46" t="s">
        <v>19</v>
      </c>
      <c r="H2012" s="46">
        <v>1</v>
      </c>
      <c r="I2012" s="51">
        <v>6412.03</v>
      </c>
      <c r="J2012" s="281">
        <f>++Tabla4[[#This Row],[Precio Bruto]]*1.16</f>
        <v>7437.9547999999995</v>
      </c>
      <c r="K2012" s="281">
        <f>+Tabla4[[#This Row],[Precio Unitario Neto]]*Tabla4[[#Headers],[20.85%]]</f>
        <v>1550.8135757999999</v>
      </c>
      <c r="L2012" s="282">
        <f>++Tabla4[[#This Row],[Precio Unitario Neto]]-Tabla4[[#This Row],[20.85%]]</f>
        <v>5887.1412241999997</v>
      </c>
      <c r="M2012" s="282" t="e">
        <f>(INDEX(Tabla6[#All],MATCH(Tabla4[[#This Row],[Producto]],Tabla6[[#All],[PRODUCTO]],0),MATCH(Tabla4[[#This Row],[Mes]],Tabla6[#Headers],0)))*(1+Catalogos!$L$2)</f>
        <v>#N/A</v>
      </c>
      <c r="N2012" s="283" t="e">
        <f>+(Tabla4[[#This Row],[Precio Descontado]]-Tabla4[[#This Row],[Precio Base]])*Tabla4[[#This Row],[Cantidad]]</f>
        <v>#N/A</v>
      </c>
      <c r="O2012" s="284" t="e">
        <f>++Tabla4[[#This Row],[Utilidad Total]]/Tabla4[[#This Row],[Total]]</f>
        <v>#N/A</v>
      </c>
      <c r="P2012" s="282">
        <f>++Tabla4[[#This Row],[Precio Descontado]]*Tabla4[[#This Row],[Cantidad]]</f>
        <v>5887.1412241999997</v>
      </c>
      <c r="Q2012" s="282" t="e">
        <f>(INDEX(Tabla6[#All],MATCH(Tabla4[[#This Row],[Producto]],Tabla6[[#All],[PRODUCTO]],0),MATCH(Tabla4[[#This Row],[Mes]],Tabla6[#Headers],0)))</f>
        <v>#N/A</v>
      </c>
      <c r="R2012" s="282" t="e">
        <f>++Tabla4[[#This Row],[Precio Unitario Neto]]-Tabla4[[#This Row],[20.85%]]-Tabla4[[#This Row],[Costo]]</f>
        <v>#N/A</v>
      </c>
      <c r="S2012" s="282" t="e">
        <f>++Tabla4[[#This Row],[U. Bruta Uni]]*Tabla4[[#This Row],[Cantidad]]</f>
        <v>#N/A</v>
      </c>
      <c r="T2012" s="369" t="str">
        <f>VLOOKUP(Tabla4[[#This Row],[Producto]],Tabla6[#All],14,FALSE)</f>
        <v>Termico Solar</v>
      </c>
      <c r="U2012" s="284" t="e">
        <f>(IF(Tabla4[[#This Row],[Familia]]="termico solar",Tabla4[[#This Row],[Utilidad Total]]*6%,Tabla4[[#This Row],[Utilidad Total]]*11.5%))/Tabla4[[#This Row],[Total]]</f>
        <v>#N/A</v>
      </c>
      <c r="V2012" s="282" t="e">
        <f>+Tabla4[[#This Row],[Comisión Calculada]]*Tabla4[[#This Row],[Total]]</f>
        <v>#N/A</v>
      </c>
    </row>
    <row r="2013" spans="1:22" hidden="1" x14ac:dyDescent="0.25">
      <c r="A2013" s="100">
        <v>45762</v>
      </c>
      <c r="B2013" t="str">
        <f t="shared" si="104"/>
        <v>April</v>
      </c>
      <c r="C2013" s="46" t="s">
        <v>280</v>
      </c>
      <c r="F2013" s="366" t="s">
        <v>1475</v>
      </c>
      <c r="G2013" s="46" t="s">
        <v>16</v>
      </c>
      <c r="H2013" s="46">
        <v>2</v>
      </c>
      <c r="I2013" s="51">
        <v>4103.8500000000004</v>
      </c>
      <c r="J2013" s="281">
        <f>++Tabla4[[#This Row],[Precio Bruto]]*1.16</f>
        <v>4760.4660000000003</v>
      </c>
      <c r="K2013" s="281">
        <f>+Tabla4[[#This Row],[Precio Unitario Neto]]*Tabla4[[#Headers],[20.85%]]</f>
        <v>992.55716100000006</v>
      </c>
      <c r="L2013" s="282">
        <f>++Tabla4[[#This Row],[Precio Unitario Neto]]-Tabla4[[#This Row],[20.85%]]</f>
        <v>3767.9088390000002</v>
      </c>
      <c r="M2013" s="282" t="e">
        <f>(INDEX(Tabla6[#All],MATCH(Tabla4[[#This Row],[Producto]],Tabla6[[#All],[PRODUCTO]],0),MATCH(Tabla4[[#This Row],[Mes]],Tabla6[#Headers],0)))*(1+Catalogos!$L$2)</f>
        <v>#N/A</v>
      </c>
      <c r="N2013" s="283" t="e">
        <f>+(Tabla4[[#This Row],[Precio Descontado]]-Tabla4[[#This Row],[Precio Base]])*Tabla4[[#This Row],[Cantidad]]</f>
        <v>#N/A</v>
      </c>
      <c r="O2013" s="284" t="e">
        <f>++Tabla4[[#This Row],[Utilidad Total]]/Tabla4[[#This Row],[Total]]</f>
        <v>#N/A</v>
      </c>
      <c r="P2013" s="282">
        <f>++Tabla4[[#This Row],[Precio Descontado]]*Tabla4[[#This Row],[Cantidad]]</f>
        <v>7535.8176780000003</v>
      </c>
      <c r="Q2013" s="282" t="e">
        <f>(INDEX(Tabla6[#All],MATCH(Tabla4[[#This Row],[Producto]],Tabla6[[#All],[PRODUCTO]],0),MATCH(Tabla4[[#This Row],[Mes]],Tabla6[#Headers],0)))</f>
        <v>#N/A</v>
      </c>
      <c r="R2013" s="282" t="e">
        <f>++Tabla4[[#This Row],[Precio Unitario Neto]]-Tabla4[[#This Row],[20.85%]]-Tabla4[[#This Row],[Costo]]</f>
        <v>#N/A</v>
      </c>
      <c r="S2013" s="282" t="e">
        <f>++Tabla4[[#This Row],[U. Bruta Uni]]*Tabla4[[#This Row],[Cantidad]]</f>
        <v>#N/A</v>
      </c>
      <c r="T2013" s="369" t="str">
        <f>VLOOKUP(Tabla4[[#This Row],[Producto]],Tabla6[#All],14,FALSE)</f>
        <v>Termico Solar</v>
      </c>
      <c r="U2013" s="284" t="e">
        <f>(IF(Tabla4[[#This Row],[Familia]]="termico solar",Tabla4[[#This Row],[Utilidad Total]]*6%,Tabla4[[#This Row],[Utilidad Total]]*11.5%))/Tabla4[[#This Row],[Total]]</f>
        <v>#N/A</v>
      </c>
      <c r="V2013" s="282" t="e">
        <f>+Tabla4[[#This Row],[Comisión Calculada]]*Tabla4[[#This Row],[Total]]</f>
        <v>#N/A</v>
      </c>
    </row>
    <row r="2014" spans="1:22" hidden="1" x14ac:dyDescent="0.25">
      <c r="A2014" s="100">
        <v>45762</v>
      </c>
      <c r="B2014" t="str">
        <f t="shared" si="104"/>
        <v>April</v>
      </c>
      <c r="C2014" s="46" t="s">
        <v>280</v>
      </c>
      <c r="F2014" s="366" t="s">
        <v>1475</v>
      </c>
      <c r="G2014" s="46" t="s">
        <v>208</v>
      </c>
      <c r="H2014" s="46">
        <v>2</v>
      </c>
      <c r="I2014" s="51">
        <v>189.75</v>
      </c>
      <c r="J2014" s="281">
        <f>++Tabla4[[#This Row],[Precio Bruto]]*1.16</f>
        <v>220.10999999999999</v>
      </c>
      <c r="K2014" s="281">
        <f>+Tabla4[[#This Row],[Precio Unitario Neto]]*Tabla4[[#Headers],[20.85%]]</f>
        <v>45.892934999999994</v>
      </c>
      <c r="L2014" s="282">
        <f>++Tabla4[[#This Row],[Precio Unitario Neto]]-Tabla4[[#This Row],[20.85%]]</f>
        <v>174.21706499999999</v>
      </c>
      <c r="M2014" s="282" t="e">
        <f>(INDEX(Tabla6[#All],MATCH(Tabla4[[#This Row],[Producto]],Tabla6[[#All],[PRODUCTO]],0),MATCH(Tabla4[[#This Row],[Mes]],Tabla6[#Headers],0)))*(1+Catalogos!$L$2)</f>
        <v>#N/A</v>
      </c>
      <c r="N2014" s="283" t="e">
        <f>+(Tabla4[[#This Row],[Precio Descontado]]-Tabla4[[#This Row],[Precio Base]])*Tabla4[[#This Row],[Cantidad]]</f>
        <v>#N/A</v>
      </c>
      <c r="O2014" s="284" t="e">
        <f>++Tabla4[[#This Row],[Utilidad Total]]/Tabla4[[#This Row],[Total]]</f>
        <v>#N/A</v>
      </c>
      <c r="P2014" s="282">
        <f>++Tabla4[[#This Row],[Precio Descontado]]*Tabla4[[#This Row],[Cantidad]]</f>
        <v>348.43412999999998</v>
      </c>
      <c r="Q2014" s="282" t="e">
        <f>(INDEX(Tabla6[#All],MATCH(Tabla4[[#This Row],[Producto]],Tabla6[[#All],[PRODUCTO]],0),MATCH(Tabla4[[#This Row],[Mes]],Tabla6[#Headers],0)))</f>
        <v>#N/A</v>
      </c>
      <c r="R2014" s="282" t="e">
        <f>++Tabla4[[#This Row],[Precio Unitario Neto]]-Tabla4[[#This Row],[20.85%]]-Tabla4[[#This Row],[Costo]]</f>
        <v>#N/A</v>
      </c>
      <c r="S2014" s="282" t="e">
        <f>++Tabla4[[#This Row],[U. Bruta Uni]]*Tabla4[[#This Row],[Cantidad]]</f>
        <v>#N/A</v>
      </c>
      <c r="T2014" s="369" t="str">
        <f>VLOOKUP(Tabla4[[#This Row],[Producto]],Tabla6[#All],14,FALSE)</f>
        <v>Termico Solar</v>
      </c>
      <c r="U2014" s="284" t="e">
        <f>(IF(Tabla4[[#This Row],[Familia]]="termico solar",Tabla4[[#This Row],[Utilidad Total]]*6%,Tabla4[[#This Row],[Utilidad Total]]*11.5%))/Tabla4[[#This Row],[Total]]</f>
        <v>#N/A</v>
      </c>
      <c r="V2014" s="282" t="e">
        <f>+Tabla4[[#This Row],[Comisión Calculada]]*Tabla4[[#This Row],[Total]]</f>
        <v>#N/A</v>
      </c>
    </row>
    <row r="2015" spans="1:22" hidden="1" x14ac:dyDescent="0.25">
      <c r="A2015" s="100">
        <v>45762</v>
      </c>
      <c r="B2015" t="str">
        <f t="shared" si="104"/>
        <v>April</v>
      </c>
      <c r="C2015" s="46" t="s">
        <v>280</v>
      </c>
      <c r="F2015" s="366" t="s">
        <v>1476</v>
      </c>
      <c r="G2015" s="46" t="s">
        <v>394</v>
      </c>
      <c r="H2015" s="46">
        <v>16</v>
      </c>
      <c r="I2015" s="51">
        <v>224.29</v>
      </c>
      <c r="J2015" s="281">
        <f>++Tabla4[[#This Row],[Precio Bruto]]*1.16</f>
        <v>260.1764</v>
      </c>
      <c r="K2015" s="281">
        <f>+Tabla4[[#This Row],[Precio Unitario Neto]]*Tabla4[[#Headers],[20.85%]]</f>
        <v>54.246779400000001</v>
      </c>
      <c r="L2015" s="282">
        <f>++Tabla4[[#This Row],[Precio Unitario Neto]]-Tabla4[[#This Row],[20.85%]]</f>
        <v>205.92962059999999</v>
      </c>
      <c r="M2015" s="282" t="e">
        <f>(INDEX(Tabla6[#All],MATCH(Tabla4[[#This Row],[Producto]],Tabla6[[#All],[PRODUCTO]],0),MATCH(Tabla4[[#This Row],[Mes]],Tabla6[#Headers],0)))*(1+Catalogos!$L$2)</f>
        <v>#N/A</v>
      </c>
      <c r="N2015" s="283" t="e">
        <f>+(Tabla4[[#This Row],[Precio Descontado]]-Tabla4[[#This Row],[Precio Base]])*Tabla4[[#This Row],[Cantidad]]</f>
        <v>#N/A</v>
      </c>
      <c r="O2015" s="284" t="e">
        <f>++Tabla4[[#This Row],[Utilidad Total]]/Tabla4[[#This Row],[Total]]</f>
        <v>#N/A</v>
      </c>
      <c r="P2015" s="282">
        <f>++Tabla4[[#This Row],[Precio Descontado]]*Tabla4[[#This Row],[Cantidad]]</f>
        <v>3294.8739295999999</v>
      </c>
      <c r="Q2015" s="282" t="e">
        <f>(INDEX(Tabla6[#All],MATCH(Tabla4[[#This Row],[Producto]],Tabla6[[#All],[PRODUCTO]],0),MATCH(Tabla4[[#This Row],[Mes]],Tabla6[#Headers],0)))</f>
        <v>#N/A</v>
      </c>
      <c r="R2015" s="282" t="e">
        <f>++Tabla4[[#This Row],[Precio Unitario Neto]]-Tabla4[[#This Row],[20.85%]]-Tabla4[[#This Row],[Costo]]</f>
        <v>#N/A</v>
      </c>
      <c r="S2015" s="282" t="e">
        <f>++Tabla4[[#This Row],[U. Bruta Uni]]*Tabla4[[#This Row],[Cantidad]]</f>
        <v>#N/A</v>
      </c>
      <c r="T2015" s="369" t="str">
        <f>VLOOKUP(Tabla4[[#This Row],[Producto]],Tabla6[#All],14,FALSE)</f>
        <v>Termico Solar</v>
      </c>
      <c r="U2015" s="284" t="e">
        <f>(IF(Tabla4[[#This Row],[Familia]]="termico solar",Tabla4[[#This Row],[Utilidad Total]]*6%,Tabla4[[#This Row],[Utilidad Total]]*11.5%))/Tabla4[[#This Row],[Total]]</f>
        <v>#N/A</v>
      </c>
      <c r="V2015" s="282" t="e">
        <f>+Tabla4[[#This Row],[Comisión Calculada]]*Tabla4[[#This Row],[Total]]</f>
        <v>#N/A</v>
      </c>
    </row>
    <row r="2016" spans="1:22" hidden="1" x14ac:dyDescent="0.25">
      <c r="A2016" s="100">
        <v>45762</v>
      </c>
      <c r="B2016" t="str">
        <f t="shared" si="104"/>
        <v>April</v>
      </c>
      <c r="C2016" s="46" t="s">
        <v>280</v>
      </c>
      <c r="F2016" s="366" t="s">
        <v>1476</v>
      </c>
      <c r="G2016" s="46" t="s">
        <v>208</v>
      </c>
      <c r="H2016" s="46">
        <v>3</v>
      </c>
      <c r="I2016" s="51">
        <v>189.75</v>
      </c>
      <c r="J2016" s="281">
        <f>++Tabla4[[#This Row],[Precio Bruto]]*1.16</f>
        <v>220.10999999999999</v>
      </c>
      <c r="K2016" s="281">
        <f>+Tabla4[[#This Row],[Precio Unitario Neto]]*Tabla4[[#Headers],[20.85%]]</f>
        <v>45.892934999999994</v>
      </c>
      <c r="L2016" s="282">
        <f>++Tabla4[[#This Row],[Precio Unitario Neto]]-Tabla4[[#This Row],[20.85%]]</f>
        <v>174.21706499999999</v>
      </c>
      <c r="M2016" s="282" t="e">
        <f>(INDEX(Tabla6[#All],MATCH(Tabla4[[#This Row],[Producto]],Tabla6[[#All],[PRODUCTO]],0),MATCH(Tabla4[[#This Row],[Mes]],Tabla6[#Headers],0)))*(1+Catalogos!$L$2)</f>
        <v>#N/A</v>
      </c>
      <c r="N2016" s="283" t="e">
        <f>+(Tabla4[[#This Row],[Precio Descontado]]-Tabla4[[#This Row],[Precio Base]])*Tabla4[[#This Row],[Cantidad]]</f>
        <v>#N/A</v>
      </c>
      <c r="O2016" s="284" t="e">
        <f>++Tabla4[[#This Row],[Utilidad Total]]/Tabla4[[#This Row],[Total]]</f>
        <v>#N/A</v>
      </c>
      <c r="P2016" s="282">
        <f>++Tabla4[[#This Row],[Precio Descontado]]*Tabla4[[#This Row],[Cantidad]]</f>
        <v>522.65119499999992</v>
      </c>
      <c r="Q2016" s="282" t="e">
        <f>(INDEX(Tabla6[#All],MATCH(Tabla4[[#This Row],[Producto]],Tabla6[[#All],[PRODUCTO]],0),MATCH(Tabla4[[#This Row],[Mes]],Tabla6[#Headers],0)))</f>
        <v>#N/A</v>
      </c>
      <c r="R2016" s="282" t="e">
        <f>++Tabla4[[#This Row],[Precio Unitario Neto]]-Tabla4[[#This Row],[20.85%]]-Tabla4[[#This Row],[Costo]]</f>
        <v>#N/A</v>
      </c>
      <c r="S2016" s="282" t="e">
        <f>++Tabla4[[#This Row],[U. Bruta Uni]]*Tabla4[[#This Row],[Cantidad]]</f>
        <v>#N/A</v>
      </c>
      <c r="T2016" s="369" t="str">
        <f>VLOOKUP(Tabla4[[#This Row],[Producto]],Tabla6[#All],14,FALSE)</f>
        <v>Termico Solar</v>
      </c>
      <c r="U2016" s="284" t="e">
        <f>(IF(Tabla4[[#This Row],[Familia]]="termico solar",Tabla4[[#This Row],[Utilidad Total]]*6%,Tabla4[[#This Row],[Utilidad Total]]*11.5%))/Tabla4[[#This Row],[Total]]</f>
        <v>#N/A</v>
      </c>
      <c r="V2016" s="282" t="e">
        <f>+Tabla4[[#This Row],[Comisión Calculada]]*Tabla4[[#This Row],[Total]]</f>
        <v>#N/A</v>
      </c>
    </row>
    <row r="2017" spans="1:22" hidden="1" x14ac:dyDescent="0.25">
      <c r="A2017" s="100">
        <v>45762</v>
      </c>
      <c r="B2017" t="str">
        <f t="shared" si="104"/>
        <v>April</v>
      </c>
      <c r="C2017" s="46" t="s">
        <v>280</v>
      </c>
      <c r="F2017" s="366" t="s">
        <v>1476</v>
      </c>
      <c r="G2017" s="46" t="s">
        <v>209</v>
      </c>
      <c r="H2017" s="46">
        <v>1</v>
      </c>
      <c r="I2017" s="51">
        <v>347.48</v>
      </c>
      <c r="J2017" s="281">
        <f>++Tabla4[[#This Row],[Precio Bruto]]*1.16</f>
        <v>403.07679999999999</v>
      </c>
      <c r="K2017" s="281">
        <f>+Tabla4[[#This Row],[Precio Unitario Neto]]*Tabla4[[#Headers],[20.85%]]</f>
        <v>84.041512799999992</v>
      </c>
      <c r="L2017" s="282">
        <f>++Tabla4[[#This Row],[Precio Unitario Neto]]-Tabla4[[#This Row],[20.85%]]</f>
        <v>319.03528719999997</v>
      </c>
      <c r="M2017" s="282" t="e">
        <f>(INDEX(Tabla6[#All],MATCH(Tabla4[[#This Row],[Producto]],Tabla6[[#All],[PRODUCTO]],0),MATCH(Tabla4[[#This Row],[Mes]],Tabla6[#Headers],0)))*(1+Catalogos!$L$2)</f>
        <v>#N/A</v>
      </c>
      <c r="N2017" s="283" t="e">
        <f>+(Tabla4[[#This Row],[Precio Descontado]]-Tabla4[[#This Row],[Precio Base]])*Tabla4[[#This Row],[Cantidad]]</f>
        <v>#N/A</v>
      </c>
      <c r="O2017" s="284" t="e">
        <f>++Tabla4[[#This Row],[Utilidad Total]]/Tabla4[[#This Row],[Total]]</f>
        <v>#N/A</v>
      </c>
      <c r="P2017" s="282">
        <f>++Tabla4[[#This Row],[Precio Descontado]]*Tabla4[[#This Row],[Cantidad]]</f>
        <v>319.03528719999997</v>
      </c>
      <c r="Q2017" s="282" t="e">
        <f>(INDEX(Tabla6[#All],MATCH(Tabla4[[#This Row],[Producto]],Tabla6[[#All],[PRODUCTO]],0),MATCH(Tabla4[[#This Row],[Mes]],Tabla6[#Headers],0)))</f>
        <v>#N/A</v>
      </c>
      <c r="R2017" s="282" t="e">
        <f>++Tabla4[[#This Row],[Precio Unitario Neto]]-Tabla4[[#This Row],[20.85%]]-Tabla4[[#This Row],[Costo]]</f>
        <v>#N/A</v>
      </c>
      <c r="S2017" s="282" t="e">
        <f>++Tabla4[[#This Row],[U. Bruta Uni]]*Tabla4[[#This Row],[Cantidad]]</f>
        <v>#N/A</v>
      </c>
      <c r="T2017" s="369" t="str">
        <f>VLOOKUP(Tabla4[[#This Row],[Producto]],Tabla6[#All],14,FALSE)</f>
        <v>Termico Solar</v>
      </c>
      <c r="U2017" s="284" t="e">
        <f>(IF(Tabla4[[#This Row],[Familia]]="termico solar",Tabla4[[#This Row],[Utilidad Total]]*6%,Tabla4[[#This Row],[Utilidad Total]]*11.5%))/Tabla4[[#This Row],[Total]]</f>
        <v>#N/A</v>
      </c>
      <c r="V2017" s="282" t="e">
        <f>+Tabla4[[#This Row],[Comisión Calculada]]*Tabla4[[#This Row],[Total]]</f>
        <v>#N/A</v>
      </c>
    </row>
    <row r="2018" spans="1:22" hidden="1" x14ac:dyDescent="0.25">
      <c r="A2018" s="100">
        <v>45762</v>
      </c>
      <c r="B2018" t="str">
        <f t="shared" si="104"/>
        <v>April</v>
      </c>
      <c r="C2018" s="46" t="s">
        <v>280</v>
      </c>
      <c r="F2018" s="366" t="s">
        <v>1477</v>
      </c>
      <c r="G2018" s="46" t="s">
        <v>208</v>
      </c>
      <c r="H2018" s="46">
        <v>30</v>
      </c>
      <c r="I2018" s="51">
        <v>140.63</v>
      </c>
      <c r="J2018" s="281">
        <f>++Tabla4[[#This Row],[Precio Bruto]]*1.16</f>
        <v>163.13079999999999</v>
      </c>
      <c r="K2018" s="281">
        <f>+Tabla4[[#This Row],[Precio Unitario Neto]]*Tabla4[[#Headers],[20.85%]]</f>
        <v>34.012771799999996</v>
      </c>
      <c r="L2018" s="282">
        <f>++Tabla4[[#This Row],[Precio Unitario Neto]]-Tabla4[[#This Row],[20.85%]]</f>
        <v>129.1180282</v>
      </c>
      <c r="M2018" s="282" t="e">
        <f>(INDEX(Tabla6[#All],MATCH(Tabla4[[#This Row],[Producto]],Tabla6[[#All],[PRODUCTO]],0),MATCH(Tabla4[[#This Row],[Mes]],Tabla6[#Headers],0)))*(1+Catalogos!$L$2)</f>
        <v>#N/A</v>
      </c>
      <c r="N2018" s="283" t="e">
        <f>+(Tabla4[[#This Row],[Precio Descontado]]-Tabla4[[#This Row],[Precio Base]])*Tabla4[[#This Row],[Cantidad]]</f>
        <v>#N/A</v>
      </c>
      <c r="O2018" s="284" t="e">
        <f>++Tabla4[[#This Row],[Utilidad Total]]/Tabla4[[#This Row],[Total]]</f>
        <v>#N/A</v>
      </c>
      <c r="P2018" s="282">
        <f>++Tabla4[[#This Row],[Precio Descontado]]*Tabla4[[#This Row],[Cantidad]]</f>
        <v>3873.5408459999999</v>
      </c>
      <c r="Q2018" s="282" t="e">
        <f>(INDEX(Tabla6[#All],MATCH(Tabla4[[#This Row],[Producto]],Tabla6[[#All],[PRODUCTO]],0),MATCH(Tabla4[[#This Row],[Mes]],Tabla6[#Headers],0)))</f>
        <v>#N/A</v>
      </c>
      <c r="R2018" s="282" t="e">
        <f>++Tabla4[[#This Row],[Precio Unitario Neto]]-Tabla4[[#This Row],[20.85%]]-Tabla4[[#This Row],[Costo]]</f>
        <v>#N/A</v>
      </c>
      <c r="S2018" s="282" t="e">
        <f>++Tabla4[[#This Row],[U. Bruta Uni]]*Tabla4[[#This Row],[Cantidad]]</f>
        <v>#N/A</v>
      </c>
      <c r="T2018" s="369" t="str">
        <f>VLOOKUP(Tabla4[[#This Row],[Producto]],Tabla6[#All],14,FALSE)</f>
        <v>Termico Solar</v>
      </c>
      <c r="U2018" s="284" t="e">
        <f>(IF(Tabla4[[#This Row],[Familia]]="termico solar",Tabla4[[#This Row],[Utilidad Total]]*6%,Tabla4[[#This Row],[Utilidad Total]]*11.5%))/Tabla4[[#This Row],[Total]]</f>
        <v>#N/A</v>
      </c>
      <c r="V2018" s="282" t="e">
        <f>+Tabla4[[#This Row],[Comisión Calculada]]*Tabla4[[#This Row],[Total]]</f>
        <v>#N/A</v>
      </c>
    </row>
    <row r="2019" spans="1:22" hidden="1" x14ac:dyDescent="0.25">
      <c r="A2019" s="100">
        <v>45762</v>
      </c>
      <c r="B2019" t="str">
        <f t="shared" si="104"/>
        <v>April</v>
      </c>
      <c r="C2019" s="46" t="s">
        <v>280</v>
      </c>
      <c r="F2019" s="366" t="s">
        <v>1478</v>
      </c>
      <c r="G2019" s="46" t="s">
        <v>19</v>
      </c>
      <c r="H2019" s="46">
        <v>1</v>
      </c>
      <c r="I2019" s="51">
        <v>6412.03</v>
      </c>
      <c r="J2019" s="281">
        <f>++Tabla4[[#This Row],[Precio Bruto]]*1.16</f>
        <v>7437.9547999999995</v>
      </c>
      <c r="K2019" s="281">
        <f>+Tabla4[[#This Row],[Precio Unitario Neto]]*Tabla4[[#Headers],[20.85%]]</f>
        <v>1550.8135757999999</v>
      </c>
      <c r="L2019" s="282">
        <f>++Tabla4[[#This Row],[Precio Unitario Neto]]-Tabla4[[#This Row],[20.85%]]</f>
        <v>5887.1412241999997</v>
      </c>
      <c r="M2019" s="282" t="e">
        <f>(INDEX(Tabla6[#All],MATCH(Tabla4[[#This Row],[Producto]],Tabla6[[#All],[PRODUCTO]],0),MATCH(Tabla4[[#This Row],[Mes]],Tabla6[#Headers],0)))*(1+Catalogos!$L$2)</f>
        <v>#N/A</v>
      </c>
      <c r="N2019" s="283" t="e">
        <f>+(Tabla4[[#This Row],[Precio Descontado]]-Tabla4[[#This Row],[Precio Base]])*Tabla4[[#This Row],[Cantidad]]</f>
        <v>#N/A</v>
      </c>
      <c r="O2019" s="284" t="e">
        <f>++Tabla4[[#This Row],[Utilidad Total]]/Tabla4[[#This Row],[Total]]</f>
        <v>#N/A</v>
      </c>
      <c r="P2019" s="282">
        <f>++Tabla4[[#This Row],[Precio Descontado]]*Tabla4[[#This Row],[Cantidad]]</f>
        <v>5887.1412241999997</v>
      </c>
      <c r="Q2019" s="282" t="e">
        <f>(INDEX(Tabla6[#All],MATCH(Tabla4[[#This Row],[Producto]],Tabla6[[#All],[PRODUCTO]],0),MATCH(Tabla4[[#This Row],[Mes]],Tabla6[#Headers],0)))</f>
        <v>#N/A</v>
      </c>
      <c r="R2019" s="282" t="e">
        <f>++Tabla4[[#This Row],[Precio Unitario Neto]]-Tabla4[[#This Row],[20.85%]]-Tabla4[[#This Row],[Costo]]</f>
        <v>#N/A</v>
      </c>
      <c r="S2019" s="282" t="e">
        <f>++Tabla4[[#This Row],[U. Bruta Uni]]*Tabla4[[#This Row],[Cantidad]]</f>
        <v>#N/A</v>
      </c>
      <c r="T2019" s="369" t="str">
        <f>VLOOKUP(Tabla4[[#This Row],[Producto]],Tabla6[#All],14,FALSE)</f>
        <v>Termico Solar</v>
      </c>
      <c r="U2019" s="284" t="e">
        <f>(IF(Tabla4[[#This Row],[Familia]]="termico solar",Tabla4[[#This Row],[Utilidad Total]]*6%,Tabla4[[#This Row],[Utilidad Total]]*11.5%))/Tabla4[[#This Row],[Total]]</f>
        <v>#N/A</v>
      </c>
      <c r="V2019" s="282" t="e">
        <f>+Tabla4[[#This Row],[Comisión Calculada]]*Tabla4[[#This Row],[Total]]</f>
        <v>#N/A</v>
      </c>
    </row>
    <row r="2020" spans="1:22" hidden="1" x14ac:dyDescent="0.25">
      <c r="A2020" s="100">
        <v>45762</v>
      </c>
      <c r="B2020" t="str">
        <f t="shared" si="104"/>
        <v>April</v>
      </c>
      <c r="C2020" s="46" t="s">
        <v>280</v>
      </c>
      <c r="F2020" s="366" t="s">
        <v>1478</v>
      </c>
      <c r="G2020" s="46" t="s">
        <v>16</v>
      </c>
      <c r="H2020" s="46">
        <v>2</v>
      </c>
      <c r="I2020" s="51">
        <v>4103.8500000000004</v>
      </c>
      <c r="J2020" s="281">
        <f>++Tabla4[[#This Row],[Precio Bruto]]*1.16</f>
        <v>4760.4660000000003</v>
      </c>
      <c r="K2020" s="281">
        <f>+Tabla4[[#This Row],[Precio Unitario Neto]]*Tabla4[[#Headers],[20.85%]]</f>
        <v>992.55716100000006</v>
      </c>
      <c r="L2020" s="282">
        <f>++Tabla4[[#This Row],[Precio Unitario Neto]]-Tabla4[[#This Row],[20.85%]]</f>
        <v>3767.9088390000002</v>
      </c>
      <c r="M2020" s="282" t="e">
        <f>(INDEX(Tabla6[#All],MATCH(Tabla4[[#This Row],[Producto]],Tabla6[[#All],[PRODUCTO]],0),MATCH(Tabla4[[#This Row],[Mes]],Tabla6[#Headers],0)))*(1+Catalogos!$L$2)</f>
        <v>#N/A</v>
      </c>
      <c r="N2020" s="283" t="e">
        <f>+(Tabla4[[#This Row],[Precio Descontado]]-Tabla4[[#This Row],[Precio Base]])*Tabla4[[#This Row],[Cantidad]]</f>
        <v>#N/A</v>
      </c>
      <c r="O2020" s="284" t="e">
        <f>++Tabla4[[#This Row],[Utilidad Total]]/Tabla4[[#This Row],[Total]]</f>
        <v>#N/A</v>
      </c>
      <c r="P2020" s="282">
        <f>++Tabla4[[#This Row],[Precio Descontado]]*Tabla4[[#This Row],[Cantidad]]</f>
        <v>7535.8176780000003</v>
      </c>
      <c r="Q2020" s="282" t="e">
        <f>(INDEX(Tabla6[#All],MATCH(Tabla4[[#This Row],[Producto]],Tabla6[[#All],[PRODUCTO]],0),MATCH(Tabla4[[#This Row],[Mes]],Tabla6[#Headers],0)))</f>
        <v>#N/A</v>
      </c>
      <c r="R2020" s="282" t="e">
        <f>++Tabla4[[#This Row],[Precio Unitario Neto]]-Tabla4[[#This Row],[20.85%]]-Tabla4[[#This Row],[Costo]]</f>
        <v>#N/A</v>
      </c>
      <c r="S2020" s="282" t="e">
        <f>++Tabla4[[#This Row],[U. Bruta Uni]]*Tabla4[[#This Row],[Cantidad]]</f>
        <v>#N/A</v>
      </c>
      <c r="T2020" s="369" t="str">
        <f>VLOOKUP(Tabla4[[#This Row],[Producto]],Tabla6[#All],14,FALSE)</f>
        <v>Termico Solar</v>
      </c>
      <c r="U2020" s="284" t="e">
        <f>(IF(Tabla4[[#This Row],[Familia]]="termico solar",Tabla4[[#This Row],[Utilidad Total]]*6%,Tabla4[[#This Row],[Utilidad Total]]*11.5%))/Tabla4[[#This Row],[Total]]</f>
        <v>#N/A</v>
      </c>
      <c r="V2020" s="282" t="e">
        <f>+Tabla4[[#This Row],[Comisión Calculada]]*Tabla4[[#This Row],[Total]]</f>
        <v>#N/A</v>
      </c>
    </row>
    <row r="2021" spans="1:22" hidden="1" x14ac:dyDescent="0.25">
      <c r="A2021" s="100">
        <v>45762</v>
      </c>
      <c r="B2021" t="str">
        <f t="shared" si="104"/>
        <v>April</v>
      </c>
      <c r="C2021" s="46" t="s">
        <v>280</v>
      </c>
      <c r="F2021" s="366" t="s">
        <v>1479</v>
      </c>
      <c r="G2021" s="46" t="s">
        <v>208</v>
      </c>
      <c r="H2021" s="46">
        <v>15</v>
      </c>
      <c r="I2021" s="51">
        <v>140.63</v>
      </c>
      <c r="J2021" s="281">
        <f>++Tabla4[[#This Row],[Precio Bruto]]*1.16</f>
        <v>163.13079999999999</v>
      </c>
      <c r="K2021" s="281">
        <f>+Tabla4[[#This Row],[Precio Unitario Neto]]*Tabla4[[#Headers],[20.85%]]</f>
        <v>34.012771799999996</v>
      </c>
      <c r="L2021" s="282">
        <f>++Tabla4[[#This Row],[Precio Unitario Neto]]-Tabla4[[#This Row],[20.85%]]</f>
        <v>129.1180282</v>
      </c>
      <c r="M2021" s="282" t="e">
        <f>(INDEX(Tabla6[#All],MATCH(Tabla4[[#This Row],[Producto]],Tabla6[[#All],[PRODUCTO]],0),MATCH(Tabla4[[#This Row],[Mes]],Tabla6[#Headers],0)))*(1+Catalogos!$L$2)</f>
        <v>#N/A</v>
      </c>
      <c r="N2021" s="283" t="e">
        <f>+(Tabla4[[#This Row],[Precio Descontado]]-Tabla4[[#This Row],[Precio Base]])*Tabla4[[#This Row],[Cantidad]]</f>
        <v>#N/A</v>
      </c>
      <c r="O2021" s="284" t="e">
        <f>++Tabla4[[#This Row],[Utilidad Total]]/Tabla4[[#This Row],[Total]]</f>
        <v>#N/A</v>
      </c>
      <c r="P2021" s="282">
        <f>++Tabla4[[#This Row],[Precio Descontado]]*Tabla4[[#This Row],[Cantidad]]</f>
        <v>1936.7704229999999</v>
      </c>
      <c r="Q2021" s="282" t="e">
        <f>(INDEX(Tabla6[#All],MATCH(Tabla4[[#This Row],[Producto]],Tabla6[[#All],[PRODUCTO]],0),MATCH(Tabla4[[#This Row],[Mes]],Tabla6[#Headers],0)))</f>
        <v>#N/A</v>
      </c>
      <c r="R2021" s="282" t="e">
        <f>++Tabla4[[#This Row],[Precio Unitario Neto]]-Tabla4[[#This Row],[20.85%]]-Tabla4[[#This Row],[Costo]]</f>
        <v>#N/A</v>
      </c>
      <c r="S2021" s="282" t="e">
        <f>++Tabla4[[#This Row],[U. Bruta Uni]]*Tabla4[[#This Row],[Cantidad]]</f>
        <v>#N/A</v>
      </c>
      <c r="T2021" s="369" t="str">
        <f>VLOOKUP(Tabla4[[#This Row],[Producto]],Tabla6[#All],14,FALSE)</f>
        <v>Termico Solar</v>
      </c>
      <c r="U2021" s="284" t="e">
        <f>(IF(Tabla4[[#This Row],[Familia]]="termico solar",Tabla4[[#This Row],[Utilidad Total]]*6%,Tabla4[[#This Row],[Utilidad Total]]*11.5%))/Tabla4[[#This Row],[Total]]</f>
        <v>#N/A</v>
      </c>
      <c r="V2021" s="282" t="e">
        <f>+Tabla4[[#This Row],[Comisión Calculada]]*Tabla4[[#This Row],[Total]]</f>
        <v>#N/A</v>
      </c>
    </row>
    <row r="2022" spans="1:22" hidden="1" x14ac:dyDescent="0.25">
      <c r="A2022" s="100">
        <v>45762</v>
      </c>
      <c r="B2022" t="str">
        <f t="shared" si="104"/>
        <v>April</v>
      </c>
      <c r="C2022" s="46" t="s">
        <v>280</v>
      </c>
      <c r="F2022" s="366" t="s">
        <v>1479</v>
      </c>
      <c r="G2022" s="46" t="s">
        <v>208</v>
      </c>
      <c r="H2022" s="46">
        <v>1</v>
      </c>
      <c r="I2022" s="51">
        <v>189.75</v>
      </c>
      <c r="J2022" s="281">
        <f>++Tabla4[[#This Row],[Precio Bruto]]*1.16</f>
        <v>220.10999999999999</v>
      </c>
      <c r="K2022" s="281">
        <f>+Tabla4[[#This Row],[Precio Unitario Neto]]*Tabla4[[#Headers],[20.85%]]</f>
        <v>45.892934999999994</v>
      </c>
      <c r="L2022" s="282">
        <f>++Tabla4[[#This Row],[Precio Unitario Neto]]-Tabla4[[#This Row],[20.85%]]</f>
        <v>174.21706499999999</v>
      </c>
      <c r="M2022" s="282" t="e">
        <f>(INDEX(Tabla6[#All],MATCH(Tabla4[[#This Row],[Producto]],Tabla6[[#All],[PRODUCTO]],0),MATCH(Tabla4[[#This Row],[Mes]],Tabla6[#Headers],0)))*(1+Catalogos!$L$2)</f>
        <v>#N/A</v>
      </c>
      <c r="N2022" s="283" t="e">
        <f>+(Tabla4[[#This Row],[Precio Descontado]]-Tabla4[[#This Row],[Precio Base]])*Tabla4[[#This Row],[Cantidad]]</f>
        <v>#N/A</v>
      </c>
      <c r="O2022" s="284" t="e">
        <f>++Tabla4[[#This Row],[Utilidad Total]]/Tabla4[[#This Row],[Total]]</f>
        <v>#N/A</v>
      </c>
      <c r="P2022" s="282">
        <f>++Tabla4[[#This Row],[Precio Descontado]]*Tabla4[[#This Row],[Cantidad]]</f>
        <v>174.21706499999999</v>
      </c>
      <c r="Q2022" s="282" t="e">
        <f>(INDEX(Tabla6[#All],MATCH(Tabla4[[#This Row],[Producto]],Tabla6[[#All],[PRODUCTO]],0),MATCH(Tabla4[[#This Row],[Mes]],Tabla6[#Headers],0)))</f>
        <v>#N/A</v>
      </c>
      <c r="R2022" s="282" t="e">
        <f>++Tabla4[[#This Row],[Precio Unitario Neto]]-Tabla4[[#This Row],[20.85%]]-Tabla4[[#This Row],[Costo]]</f>
        <v>#N/A</v>
      </c>
      <c r="S2022" s="282" t="e">
        <f>++Tabla4[[#This Row],[U. Bruta Uni]]*Tabla4[[#This Row],[Cantidad]]</f>
        <v>#N/A</v>
      </c>
      <c r="T2022" s="369" t="str">
        <f>VLOOKUP(Tabla4[[#This Row],[Producto]],Tabla6[#All],14,FALSE)</f>
        <v>Termico Solar</v>
      </c>
      <c r="U2022" s="284" t="e">
        <f>(IF(Tabla4[[#This Row],[Familia]]="termico solar",Tabla4[[#This Row],[Utilidad Total]]*6%,Tabla4[[#This Row],[Utilidad Total]]*11.5%))/Tabla4[[#This Row],[Total]]</f>
        <v>#N/A</v>
      </c>
      <c r="V2022" s="282" t="e">
        <f>+Tabla4[[#This Row],[Comisión Calculada]]*Tabla4[[#This Row],[Total]]</f>
        <v>#N/A</v>
      </c>
    </row>
    <row r="2023" spans="1:22" hidden="1" x14ac:dyDescent="0.25">
      <c r="A2023" s="100">
        <v>45762</v>
      </c>
      <c r="B2023" t="str">
        <f t="shared" si="104"/>
        <v>April</v>
      </c>
      <c r="C2023" s="46" t="s">
        <v>280</v>
      </c>
      <c r="F2023" s="366" t="s">
        <v>1480</v>
      </c>
      <c r="G2023" s="46" t="s">
        <v>208</v>
      </c>
      <c r="H2023" s="46">
        <v>30</v>
      </c>
      <c r="I2023" s="51">
        <v>140.63</v>
      </c>
      <c r="J2023" s="281">
        <f>++Tabla4[[#This Row],[Precio Bruto]]*1.16</f>
        <v>163.13079999999999</v>
      </c>
      <c r="K2023" s="281">
        <f>+Tabla4[[#This Row],[Precio Unitario Neto]]*Tabla4[[#Headers],[20.85%]]</f>
        <v>34.012771799999996</v>
      </c>
      <c r="L2023" s="282">
        <f>++Tabla4[[#This Row],[Precio Unitario Neto]]-Tabla4[[#This Row],[20.85%]]</f>
        <v>129.1180282</v>
      </c>
      <c r="M2023" s="282" t="e">
        <f>(INDEX(Tabla6[#All],MATCH(Tabla4[[#This Row],[Producto]],Tabla6[[#All],[PRODUCTO]],0),MATCH(Tabla4[[#This Row],[Mes]],Tabla6[#Headers],0)))*(1+Catalogos!$L$2)</f>
        <v>#N/A</v>
      </c>
      <c r="N2023" s="283" t="e">
        <f>+(Tabla4[[#This Row],[Precio Descontado]]-Tabla4[[#This Row],[Precio Base]])*Tabla4[[#This Row],[Cantidad]]</f>
        <v>#N/A</v>
      </c>
      <c r="O2023" s="284" t="e">
        <f>++Tabla4[[#This Row],[Utilidad Total]]/Tabla4[[#This Row],[Total]]</f>
        <v>#N/A</v>
      </c>
      <c r="P2023" s="282">
        <f>++Tabla4[[#This Row],[Precio Descontado]]*Tabla4[[#This Row],[Cantidad]]</f>
        <v>3873.5408459999999</v>
      </c>
      <c r="Q2023" s="282" t="e">
        <f>(INDEX(Tabla6[#All],MATCH(Tabla4[[#This Row],[Producto]],Tabla6[[#All],[PRODUCTO]],0),MATCH(Tabla4[[#This Row],[Mes]],Tabla6[#Headers],0)))</f>
        <v>#N/A</v>
      </c>
      <c r="R2023" s="282" t="e">
        <f>++Tabla4[[#This Row],[Precio Unitario Neto]]-Tabla4[[#This Row],[20.85%]]-Tabla4[[#This Row],[Costo]]</f>
        <v>#N/A</v>
      </c>
      <c r="S2023" s="282" t="e">
        <f>++Tabla4[[#This Row],[U. Bruta Uni]]*Tabla4[[#This Row],[Cantidad]]</f>
        <v>#N/A</v>
      </c>
      <c r="T2023" s="369" t="str">
        <f>VLOOKUP(Tabla4[[#This Row],[Producto]],Tabla6[#All],14,FALSE)</f>
        <v>Termico Solar</v>
      </c>
      <c r="U2023" s="284" t="e">
        <f>(IF(Tabla4[[#This Row],[Familia]]="termico solar",Tabla4[[#This Row],[Utilidad Total]]*6%,Tabla4[[#This Row],[Utilidad Total]]*11.5%))/Tabla4[[#This Row],[Total]]</f>
        <v>#N/A</v>
      </c>
      <c r="V2023" s="282" t="e">
        <f>+Tabla4[[#This Row],[Comisión Calculada]]*Tabla4[[#This Row],[Total]]</f>
        <v>#N/A</v>
      </c>
    </row>
    <row r="2024" spans="1:22" hidden="1" x14ac:dyDescent="0.25">
      <c r="A2024" s="100">
        <v>45762</v>
      </c>
      <c r="B2024" t="str">
        <f t="shared" si="104"/>
        <v>April</v>
      </c>
      <c r="C2024" s="46" t="s">
        <v>280</v>
      </c>
      <c r="F2024" s="366" t="s">
        <v>1480</v>
      </c>
      <c r="G2024" s="46" t="s">
        <v>208</v>
      </c>
      <c r="H2024" s="46">
        <v>1</v>
      </c>
      <c r="I2024" s="51">
        <v>189.75</v>
      </c>
      <c r="J2024" s="281">
        <f>++Tabla4[[#This Row],[Precio Bruto]]*1.16</f>
        <v>220.10999999999999</v>
      </c>
      <c r="K2024" s="281">
        <f>+Tabla4[[#This Row],[Precio Unitario Neto]]*Tabla4[[#Headers],[20.85%]]</f>
        <v>45.892934999999994</v>
      </c>
      <c r="L2024" s="282">
        <f>++Tabla4[[#This Row],[Precio Unitario Neto]]-Tabla4[[#This Row],[20.85%]]</f>
        <v>174.21706499999999</v>
      </c>
      <c r="M2024" s="282" t="e">
        <f>(INDEX(Tabla6[#All],MATCH(Tabla4[[#This Row],[Producto]],Tabla6[[#All],[PRODUCTO]],0),MATCH(Tabla4[[#This Row],[Mes]],Tabla6[#Headers],0)))*(1+Catalogos!$L$2)</f>
        <v>#N/A</v>
      </c>
      <c r="N2024" s="283" t="e">
        <f>+(Tabla4[[#This Row],[Precio Descontado]]-Tabla4[[#This Row],[Precio Base]])*Tabla4[[#This Row],[Cantidad]]</f>
        <v>#N/A</v>
      </c>
      <c r="O2024" s="284" t="e">
        <f>++Tabla4[[#This Row],[Utilidad Total]]/Tabla4[[#This Row],[Total]]</f>
        <v>#N/A</v>
      </c>
      <c r="P2024" s="282">
        <f>++Tabla4[[#This Row],[Precio Descontado]]*Tabla4[[#This Row],[Cantidad]]</f>
        <v>174.21706499999999</v>
      </c>
      <c r="Q2024" s="282" t="e">
        <f>(INDEX(Tabla6[#All],MATCH(Tabla4[[#This Row],[Producto]],Tabla6[[#All],[PRODUCTO]],0),MATCH(Tabla4[[#This Row],[Mes]],Tabla6[#Headers],0)))</f>
        <v>#N/A</v>
      </c>
      <c r="R2024" s="282" t="e">
        <f>++Tabla4[[#This Row],[Precio Unitario Neto]]-Tabla4[[#This Row],[20.85%]]-Tabla4[[#This Row],[Costo]]</f>
        <v>#N/A</v>
      </c>
      <c r="S2024" s="282" t="e">
        <f>++Tabla4[[#This Row],[U. Bruta Uni]]*Tabla4[[#This Row],[Cantidad]]</f>
        <v>#N/A</v>
      </c>
      <c r="T2024" s="369" t="str">
        <f>VLOOKUP(Tabla4[[#This Row],[Producto]],Tabla6[#All],14,FALSE)</f>
        <v>Termico Solar</v>
      </c>
      <c r="U2024" s="284" t="e">
        <f>(IF(Tabla4[[#This Row],[Familia]]="termico solar",Tabla4[[#This Row],[Utilidad Total]]*6%,Tabla4[[#This Row],[Utilidad Total]]*11.5%))/Tabla4[[#This Row],[Total]]</f>
        <v>#N/A</v>
      </c>
      <c r="V2024" s="282" t="e">
        <f>+Tabla4[[#This Row],[Comisión Calculada]]*Tabla4[[#This Row],[Total]]</f>
        <v>#N/A</v>
      </c>
    </row>
    <row r="2025" spans="1:22" hidden="1" x14ac:dyDescent="0.25">
      <c r="A2025" s="100">
        <v>45762</v>
      </c>
      <c r="B2025" t="str">
        <f t="shared" si="104"/>
        <v>April</v>
      </c>
      <c r="C2025" s="46" t="s">
        <v>280</v>
      </c>
      <c r="F2025" s="366" t="s">
        <v>1480</v>
      </c>
      <c r="G2025" s="46" t="s">
        <v>209</v>
      </c>
      <c r="H2025" s="46">
        <v>1</v>
      </c>
      <c r="I2025" s="51">
        <v>347.48</v>
      </c>
      <c r="J2025" s="281">
        <f>++Tabla4[[#This Row],[Precio Bruto]]*1.16</f>
        <v>403.07679999999999</v>
      </c>
      <c r="K2025" s="281">
        <f>+Tabla4[[#This Row],[Precio Unitario Neto]]*Tabla4[[#Headers],[20.85%]]</f>
        <v>84.041512799999992</v>
      </c>
      <c r="L2025" s="282">
        <f>++Tabla4[[#This Row],[Precio Unitario Neto]]-Tabla4[[#This Row],[20.85%]]</f>
        <v>319.03528719999997</v>
      </c>
      <c r="M2025" s="282" t="e">
        <f>(INDEX(Tabla6[#All],MATCH(Tabla4[[#This Row],[Producto]],Tabla6[[#All],[PRODUCTO]],0),MATCH(Tabla4[[#This Row],[Mes]],Tabla6[#Headers],0)))*(1+Catalogos!$L$2)</f>
        <v>#N/A</v>
      </c>
      <c r="N2025" s="283" t="e">
        <f>+(Tabla4[[#This Row],[Precio Descontado]]-Tabla4[[#This Row],[Precio Base]])*Tabla4[[#This Row],[Cantidad]]</f>
        <v>#N/A</v>
      </c>
      <c r="O2025" s="284" t="e">
        <f>++Tabla4[[#This Row],[Utilidad Total]]/Tabla4[[#This Row],[Total]]</f>
        <v>#N/A</v>
      </c>
      <c r="P2025" s="282">
        <f>++Tabla4[[#This Row],[Precio Descontado]]*Tabla4[[#This Row],[Cantidad]]</f>
        <v>319.03528719999997</v>
      </c>
      <c r="Q2025" s="282" t="e">
        <f>(INDEX(Tabla6[#All],MATCH(Tabla4[[#This Row],[Producto]],Tabla6[[#All],[PRODUCTO]],0),MATCH(Tabla4[[#This Row],[Mes]],Tabla6[#Headers],0)))</f>
        <v>#N/A</v>
      </c>
      <c r="R2025" s="282" t="e">
        <f>++Tabla4[[#This Row],[Precio Unitario Neto]]-Tabla4[[#This Row],[20.85%]]-Tabla4[[#This Row],[Costo]]</f>
        <v>#N/A</v>
      </c>
      <c r="S2025" s="282" t="e">
        <f>++Tabla4[[#This Row],[U. Bruta Uni]]*Tabla4[[#This Row],[Cantidad]]</f>
        <v>#N/A</v>
      </c>
      <c r="T2025" s="369" t="str">
        <f>VLOOKUP(Tabla4[[#This Row],[Producto]],Tabla6[#All],14,FALSE)</f>
        <v>Termico Solar</v>
      </c>
      <c r="U2025" s="284" t="e">
        <f>(IF(Tabla4[[#This Row],[Familia]]="termico solar",Tabla4[[#This Row],[Utilidad Total]]*6%,Tabla4[[#This Row],[Utilidad Total]]*11.5%))/Tabla4[[#This Row],[Total]]</f>
        <v>#N/A</v>
      </c>
      <c r="V2025" s="282" t="e">
        <f>+Tabla4[[#This Row],[Comisión Calculada]]*Tabla4[[#This Row],[Total]]</f>
        <v>#N/A</v>
      </c>
    </row>
    <row r="2026" spans="1:22" hidden="1" x14ac:dyDescent="0.25">
      <c r="A2026" s="100">
        <v>45762</v>
      </c>
      <c r="B2026" t="str">
        <f t="shared" si="104"/>
        <v>April</v>
      </c>
      <c r="C2026" s="46" t="s">
        <v>280</v>
      </c>
      <c r="F2026" s="366" t="s">
        <v>1481</v>
      </c>
      <c r="G2026" s="46" t="s">
        <v>83</v>
      </c>
      <c r="H2026" s="46">
        <v>1</v>
      </c>
      <c r="I2026" s="51">
        <v>8858.76</v>
      </c>
      <c r="J2026" s="281">
        <f>++Tabla4[[#This Row],[Precio Bruto]]*1.16</f>
        <v>10276.161599999999</v>
      </c>
      <c r="K2026" s="281">
        <f>+Tabla4[[#This Row],[Precio Unitario Neto]]*Tabla4[[#Headers],[20.85%]]</f>
        <v>2142.5796935999997</v>
      </c>
      <c r="L2026" s="282">
        <f>++Tabla4[[#This Row],[Precio Unitario Neto]]-Tabla4[[#This Row],[20.85%]]</f>
        <v>8133.5819063999998</v>
      </c>
      <c r="M2026" s="282" t="e">
        <f>(INDEX(Tabla6[#All],MATCH(Tabla4[[#This Row],[Producto]],Tabla6[[#All],[PRODUCTO]],0),MATCH(Tabla4[[#This Row],[Mes]],Tabla6[#Headers],0)))*(1+Catalogos!$L$2)</f>
        <v>#N/A</v>
      </c>
      <c r="N2026" s="283" t="e">
        <f>+(Tabla4[[#This Row],[Precio Descontado]]-Tabla4[[#This Row],[Precio Base]])*Tabla4[[#This Row],[Cantidad]]</f>
        <v>#N/A</v>
      </c>
      <c r="O2026" s="284" t="e">
        <f>++Tabla4[[#This Row],[Utilidad Total]]/Tabla4[[#This Row],[Total]]</f>
        <v>#N/A</v>
      </c>
      <c r="P2026" s="282">
        <f>++Tabla4[[#This Row],[Precio Descontado]]*Tabla4[[#This Row],[Cantidad]]</f>
        <v>8133.5819063999998</v>
      </c>
      <c r="Q2026" s="282" t="e">
        <f>(INDEX(Tabla6[#All],MATCH(Tabla4[[#This Row],[Producto]],Tabla6[[#All],[PRODUCTO]],0),MATCH(Tabla4[[#This Row],[Mes]],Tabla6[#Headers],0)))</f>
        <v>#N/A</v>
      </c>
      <c r="R2026" s="282" t="e">
        <f>++Tabla4[[#This Row],[Precio Unitario Neto]]-Tabla4[[#This Row],[20.85%]]-Tabla4[[#This Row],[Costo]]</f>
        <v>#N/A</v>
      </c>
      <c r="S2026" s="282" t="e">
        <f>++Tabla4[[#This Row],[U. Bruta Uni]]*Tabla4[[#This Row],[Cantidad]]</f>
        <v>#N/A</v>
      </c>
      <c r="T2026" s="369" t="str">
        <f>VLOOKUP(Tabla4[[#This Row],[Producto]],Tabla6[#All],14,FALSE)</f>
        <v>Termico Solar</v>
      </c>
      <c r="U2026" s="284" t="e">
        <f>(IF(Tabla4[[#This Row],[Familia]]="termico solar",Tabla4[[#This Row],[Utilidad Total]]*6%,Tabla4[[#This Row],[Utilidad Total]]*11.5%))/Tabla4[[#This Row],[Total]]</f>
        <v>#N/A</v>
      </c>
      <c r="V2026" s="282" t="e">
        <f>+Tabla4[[#This Row],[Comisión Calculada]]*Tabla4[[#This Row],[Total]]</f>
        <v>#N/A</v>
      </c>
    </row>
    <row r="2027" spans="1:22" hidden="1" x14ac:dyDescent="0.25">
      <c r="A2027" s="100">
        <v>45762</v>
      </c>
      <c r="B2027" t="str">
        <f t="shared" si="104"/>
        <v>April</v>
      </c>
      <c r="C2027" s="46" t="s">
        <v>280</v>
      </c>
      <c r="F2027" s="366" t="s">
        <v>1481</v>
      </c>
      <c r="G2027" s="46" t="s">
        <v>208</v>
      </c>
      <c r="H2027" s="46">
        <v>15</v>
      </c>
      <c r="I2027" s="51">
        <v>140.63</v>
      </c>
      <c r="J2027" s="281">
        <f>++Tabla4[[#This Row],[Precio Bruto]]*1.16</f>
        <v>163.13079999999999</v>
      </c>
      <c r="K2027" s="281">
        <f>+Tabla4[[#This Row],[Precio Unitario Neto]]*Tabla4[[#Headers],[20.85%]]</f>
        <v>34.012771799999996</v>
      </c>
      <c r="L2027" s="282">
        <f>++Tabla4[[#This Row],[Precio Unitario Neto]]-Tabla4[[#This Row],[20.85%]]</f>
        <v>129.1180282</v>
      </c>
      <c r="M2027" s="282" t="e">
        <f>(INDEX(Tabla6[#All],MATCH(Tabla4[[#This Row],[Producto]],Tabla6[[#All],[PRODUCTO]],0),MATCH(Tabla4[[#This Row],[Mes]],Tabla6[#Headers],0)))*(1+Catalogos!$L$2)</f>
        <v>#N/A</v>
      </c>
      <c r="N2027" s="283" t="e">
        <f>+(Tabla4[[#This Row],[Precio Descontado]]-Tabla4[[#This Row],[Precio Base]])*Tabla4[[#This Row],[Cantidad]]</f>
        <v>#N/A</v>
      </c>
      <c r="O2027" s="284" t="e">
        <f>++Tabla4[[#This Row],[Utilidad Total]]/Tabla4[[#This Row],[Total]]</f>
        <v>#N/A</v>
      </c>
      <c r="P2027" s="282">
        <f>++Tabla4[[#This Row],[Precio Descontado]]*Tabla4[[#This Row],[Cantidad]]</f>
        <v>1936.7704229999999</v>
      </c>
      <c r="Q2027" s="282" t="e">
        <f>(INDEX(Tabla6[#All],MATCH(Tabla4[[#This Row],[Producto]],Tabla6[[#All],[PRODUCTO]],0),MATCH(Tabla4[[#This Row],[Mes]],Tabla6[#Headers],0)))</f>
        <v>#N/A</v>
      </c>
      <c r="R2027" s="282" t="e">
        <f>++Tabla4[[#This Row],[Precio Unitario Neto]]-Tabla4[[#This Row],[20.85%]]-Tabla4[[#This Row],[Costo]]</f>
        <v>#N/A</v>
      </c>
      <c r="S2027" s="282" t="e">
        <f>++Tabla4[[#This Row],[U. Bruta Uni]]*Tabla4[[#This Row],[Cantidad]]</f>
        <v>#N/A</v>
      </c>
      <c r="T2027" s="369" t="str">
        <f>VLOOKUP(Tabla4[[#This Row],[Producto]],Tabla6[#All],14,FALSE)</f>
        <v>Termico Solar</v>
      </c>
      <c r="U2027" s="284" t="e">
        <f>(IF(Tabla4[[#This Row],[Familia]]="termico solar",Tabla4[[#This Row],[Utilidad Total]]*6%,Tabla4[[#This Row],[Utilidad Total]]*11.5%))/Tabla4[[#This Row],[Total]]</f>
        <v>#N/A</v>
      </c>
      <c r="V2027" s="282" t="e">
        <f>+Tabla4[[#This Row],[Comisión Calculada]]*Tabla4[[#This Row],[Total]]</f>
        <v>#N/A</v>
      </c>
    </row>
    <row r="2028" spans="1:22" hidden="1" x14ac:dyDescent="0.25">
      <c r="A2028" s="100">
        <v>45762</v>
      </c>
      <c r="B2028" t="str">
        <f t="shared" si="104"/>
        <v>April</v>
      </c>
      <c r="C2028" s="46" t="s">
        <v>280</v>
      </c>
      <c r="F2028" s="366" t="s">
        <v>1482</v>
      </c>
      <c r="G2028" s="46" t="s">
        <v>83</v>
      </c>
      <c r="H2028" s="46">
        <v>4</v>
      </c>
      <c r="I2028" s="51">
        <v>8858.76</v>
      </c>
      <c r="J2028" s="281">
        <f>++Tabla4[[#This Row],[Precio Bruto]]*1.16</f>
        <v>10276.161599999999</v>
      </c>
      <c r="K2028" s="281">
        <f>+Tabla4[[#This Row],[Precio Unitario Neto]]*Tabla4[[#Headers],[20.85%]]</f>
        <v>2142.5796935999997</v>
      </c>
      <c r="L2028" s="282">
        <f>++Tabla4[[#This Row],[Precio Unitario Neto]]-Tabla4[[#This Row],[20.85%]]</f>
        <v>8133.5819063999998</v>
      </c>
      <c r="M2028" s="282" t="e">
        <f>(INDEX(Tabla6[#All],MATCH(Tabla4[[#This Row],[Producto]],Tabla6[[#All],[PRODUCTO]],0),MATCH(Tabla4[[#This Row],[Mes]],Tabla6[#Headers],0)))*(1+Catalogos!$L$2)</f>
        <v>#N/A</v>
      </c>
      <c r="N2028" s="283" t="e">
        <f>+(Tabla4[[#This Row],[Precio Descontado]]-Tabla4[[#This Row],[Precio Base]])*Tabla4[[#This Row],[Cantidad]]</f>
        <v>#N/A</v>
      </c>
      <c r="O2028" s="284" t="e">
        <f>++Tabla4[[#This Row],[Utilidad Total]]/Tabla4[[#This Row],[Total]]</f>
        <v>#N/A</v>
      </c>
      <c r="P2028" s="282">
        <f>++Tabla4[[#This Row],[Precio Descontado]]*Tabla4[[#This Row],[Cantidad]]</f>
        <v>32534.327625599999</v>
      </c>
      <c r="Q2028" s="282" t="e">
        <f>(INDEX(Tabla6[#All],MATCH(Tabla4[[#This Row],[Producto]],Tabla6[[#All],[PRODUCTO]],0),MATCH(Tabla4[[#This Row],[Mes]],Tabla6[#Headers],0)))</f>
        <v>#N/A</v>
      </c>
      <c r="R2028" s="282" t="e">
        <f>++Tabla4[[#This Row],[Precio Unitario Neto]]-Tabla4[[#This Row],[20.85%]]-Tabla4[[#This Row],[Costo]]</f>
        <v>#N/A</v>
      </c>
      <c r="S2028" s="282" t="e">
        <f>++Tabla4[[#This Row],[U. Bruta Uni]]*Tabla4[[#This Row],[Cantidad]]</f>
        <v>#N/A</v>
      </c>
      <c r="T2028" s="369" t="str">
        <f>VLOOKUP(Tabla4[[#This Row],[Producto]],Tabla6[#All],14,FALSE)</f>
        <v>Termico Solar</v>
      </c>
      <c r="U2028" s="284" t="e">
        <f>(IF(Tabla4[[#This Row],[Familia]]="termico solar",Tabla4[[#This Row],[Utilidad Total]]*6%,Tabla4[[#This Row],[Utilidad Total]]*11.5%))/Tabla4[[#This Row],[Total]]</f>
        <v>#N/A</v>
      </c>
      <c r="V2028" s="282" t="e">
        <f>+Tabla4[[#This Row],[Comisión Calculada]]*Tabla4[[#This Row],[Total]]</f>
        <v>#N/A</v>
      </c>
    </row>
    <row r="2029" spans="1:22" hidden="1" x14ac:dyDescent="0.25">
      <c r="A2029" s="100">
        <v>45762</v>
      </c>
      <c r="B2029" t="str">
        <f t="shared" si="104"/>
        <v>April</v>
      </c>
      <c r="C2029" s="46" t="s">
        <v>280</v>
      </c>
      <c r="F2029" s="366" t="s">
        <v>1482</v>
      </c>
      <c r="G2029" s="46" t="s">
        <v>566</v>
      </c>
      <c r="H2029" s="46">
        <v>1</v>
      </c>
      <c r="I2029" s="51">
        <v>2109.4499999999998</v>
      </c>
      <c r="J2029" s="281">
        <f>++Tabla4[[#This Row],[Precio Bruto]]*1.16</f>
        <v>2446.9619999999995</v>
      </c>
      <c r="K2029" s="281">
        <f>+Tabla4[[#This Row],[Precio Unitario Neto]]*Tabla4[[#Headers],[20.85%]]</f>
        <v>510.19157699999988</v>
      </c>
      <c r="L2029" s="282">
        <f>++Tabla4[[#This Row],[Precio Unitario Neto]]-Tabla4[[#This Row],[20.85%]]</f>
        <v>1936.7704229999997</v>
      </c>
      <c r="M2029" s="282" t="e">
        <f>(INDEX(Tabla6[#All],MATCH(Tabla4[[#This Row],[Producto]],Tabla6[[#All],[PRODUCTO]],0),MATCH(Tabla4[[#This Row],[Mes]],Tabla6[#Headers],0)))*(1+Catalogos!$L$2)</f>
        <v>#N/A</v>
      </c>
      <c r="N2029" s="283" t="e">
        <f>+(Tabla4[[#This Row],[Precio Descontado]]-Tabla4[[#This Row],[Precio Base]])*Tabla4[[#This Row],[Cantidad]]</f>
        <v>#N/A</v>
      </c>
      <c r="O2029" s="284" t="e">
        <f>++Tabla4[[#This Row],[Utilidad Total]]/Tabla4[[#This Row],[Total]]</f>
        <v>#N/A</v>
      </c>
      <c r="P2029" s="282">
        <f>++Tabla4[[#This Row],[Precio Descontado]]*Tabla4[[#This Row],[Cantidad]]</f>
        <v>1936.7704229999997</v>
      </c>
      <c r="Q2029" s="282" t="e">
        <f>(INDEX(Tabla6[#All],MATCH(Tabla4[[#This Row],[Producto]],Tabla6[[#All],[PRODUCTO]],0),MATCH(Tabla4[[#This Row],[Mes]],Tabla6[#Headers],0)))</f>
        <v>#N/A</v>
      </c>
      <c r="R2029" s="282" t="e">
        <f>++Tabla4[[#This Row],[Precio Unitario Neto]]-Tabla4[[#This Row],[20.85%]]-Tabla4[[#This Row],[Costo]]</f>
        <v>#N/A</v>
      </c>
      <c r="S2029" s="282" t="e">
        <f>++Tabla4[[#This Row],[U. Bruta Uni]]*Tabla4[[#This Row],[Cantidad]]</f>
        <v>#N/A</v>
      </c>
      <c r="T2029" s="369" t="str">
        <f>VLOOKUP(Tabla4[[#This Row],[Producto]],Tabla6[#All],14,FALSE)</f>
        <v>Termico Solar</v>
      </c>
      <c r="U2029" s="284" t="e">
        <f>(IF(Tabla4[[#This Row],[Familia]]="termico solar",Tabla4[[#This Row],[Utilidad Total]]*6%,Tabla4[[#This Row],[Utilidad Total]]*11.5%))/Tabla4[[#This Row],[Total]]</f>
        <v>#N/A</v>
      </c>
      <c r="V2029" s="282" t="e">
        <f>+Tabla4[[#This Row],[Comisión Calculada]]*Tabla4[[#This Row],[Total]]</f>
        <v>#N/A</v>
      </c>
    </row>
    <row r="2030" spans="1:22" hidden="1" x14ac:dyDescent="0.25">
      <c r="A2030" s="100">
        <v>45762</v>
      </c>
      <c r="B2030" t="str">
        <f t="shared" si="104"/>
        <v>April</v>
      </c>
      <c r="C2030" s="46" t="s">
        <v>280</v>
      </c>
      <c r="F2030" s="366" t="s">
        <v>1482</v>
      </c>
      <c r="G2030" s="46" t="s">
        <v>16</v>
      </c>
      <c r="H2030" s="46">
        <v>4</v>
      </c>
      <c r="I2030" s="51">
        <v>4103.8500000000004</v>
      </c>
      <c r="J2030" s="281">
        <f>++Tabla4[[#This Row],[Precio Bruto]]*1.16</f>
        <v>4760.4660000000003</v>
      </c>
      <c r="K2030" s="281">
        <f>+Tabla4[[#This Row],[Precio Unitario Neto]]*Tabla4[[#Headers],[20.85%]]</f>
        <v>992.55716100000006</v>
      </c>
      <c r="L2030" s="282">
        <f>++Tabla4[[#This Row],[Precio Unitario Neto]]-Tabla4[[#This Row],[20.85%]]</f>
        <v>3767.9088390000002</v>
      </c>
      <c r="M2030" s="282" t="e">
        <f>(INDEX(Tabla6[#All],MATCH(Tabla4[[#This Row],[Producto]],Tabla6[[#All],[PRODUCTO]],0),MATCH(Tabla4[[#This Row],[Mes]],Tabla6[#Headers],0)))*(1+Catalogos!$L$2)</f>
        <v>#N/A</v>
      </c>
      <c r="N2030" s="283" t="e">
        <f>+(Tabla4[[#This Row],[Precio Descontado]]-Tabla4[[#This Row],[Precio Base]])*Tabla4[[#This Row],[Cantidad]]</f>
        <v>#N/A</v>
      </c>
      <c r="O2030" s="284" t="e">
        <f>++Tabla4[[#This Row],[Utilidad Total]]/Tabla4[[#This Row],[Total]]</f>
        <v>#N/A</v>
      </c>
      <c r="P2030" s="282">
        <f>++Tabla4[[#This Row],[Precio Descontado]]*Tabla4[[#This Row],[Cantidad]]</f>
        <v>15071.635356000001</v>
      </c>
      <c r="Q2030" s="282" t="e">
        <f>(INDEX(Tabla6[#All],MATCH(Tabla4[[#This Row],[Producto]],Tabla6[[#All],[PRODUCTO]],0),MATCH(Tabla4[[#This Row],[Mes]],Tabla6[#Headers],0)))</f>
        <v>#N/A</v>
      </c>
      <c r="R2030" s="282" t="e">
        <f>++Tabla4[[#This Row],[Precio Unitario Neto]]-Tabla4[[#This Row],[20.85%]]-Tabla4[[#This Row],[Costo]]</f>
        <v>#N/A</v>
      </c>
      <c r="S2030" s="282" t="e">
        <f>++Tabla4[[#This Row],[U. Bruta Uni]]*Tabla4[[#This Row],[Cantidad]]</f>
        <v>#N/A</v>
      </c>
      <c r="T2030" s="369" t="str">
        <f>VLOOKUP(Tabla4[[#This Row],[Producto]],Tabla6[#All],14,FALSE)</f>
        <v>Termico Solar</v>
      </c>
      <c r="U2030" s="284" t="e">
        <f>(IF(Tabla4[[#This Row],[Familia]]="termico solar",Tabla4[[#This Row],[Utilidad Total]]*6%,Tabla4[[#This Row],[Utilidad Total]]*11.5%))/Tabla4[[#This Row],[Total]]</f>
        <v>#N/A</v>
      </c>
      <c r="V2030" s="282" t="e">
        <f>+Tabla4[[#This Row],[Comisión Calculada]]*Tabla4[[#This Row],[Total]]</f>
        <v>#N/A</v>
      </c>
    </row>
    <row r="2031" spans="1:22" hidden="1" x14ac:dyDescent="0.25">
      <c r="A2031" s="100">
        <v>45762</v>
      </c>
      <c r="B2031" t="str">
        <f t="shared" si="104"/>
        <v>April</v>
      </c>
      <c r="C2031" s="46" t="s">
        <v>280</v>
      </c>
      <c r="F2031" s="366" t="s">
        <v>1483</v>
      </c>
      <c r="G2031" s="46" t="s">
        <v>83</v>
      </c>
      <c r="H2031" s="46">
        <v>2</v>
      </c>
      <c r="I2031" s="51">
        <v>8858.76</v>
      </c>
      <c r="J2031" s="281">
        <f>++Tabla4[[#This Row],[Precio Bruto]]*1.16</f>
        <v>10276.161599999999</v>
      </c>
      <c r="K2031" s="281">
        <f>+Tabla4[[#This Row],[Precio Unitario Neto]]*Tabla4[[#Headers],[20.85%]]</f>
        <v>2142.5796935999997</v>
      </c>
      <c r="L2031" s="282">
        <f>++Tabla4[[#This Row],[Precio Unitario Neto]]-Tabla4[[#This Row],[20.85%]]</f>
        <v>8133.5819063999998</v>
      </c>
      <c r="M2031" s="282" t="e">
        <f>(INDEX(Tabla6[#All],MATCH(Tabla4[[#This Row],[Producto]],Tabla6[[#All],[PRODUCTO]],0),MATCH(Tabla4[[#This Row],[Mes]],Tabla6[#Headers],0)))*(1+Catalogos!$L$2)</f>
        <v>#N/A</v>
      </c>
      <c r="N2031" s="283" t="e">
        <f>+(Tabla4[[#This Row],[Precio Descontado]]-Tabla4[[#This Row],[Precio Base]])*Tabla4[[#This Row],[Cantidad]]</f>
        <v>#N/A</v>
      </c>
      <c r="O2031" s="284" t="e">
        <f>++Tabla4[[#This Row],[Utilidad Total]]/Tabla4[[#This Row],[Total]]</f>
        <v>#N/A</v>
      </c>
      <c r="P2031" s="282">
        <f>++Tabla4[[#This Row],[Precio Descontado]]*Tabla4[[#This Row],[Cantidad]]</f>
        <v>16267.1638128</v>
      </c>
      <c r="Q2031" s="282" t="e">
        <f>(INDEX(Tabla6[#All],MATCH(Tabla4[[#This Row],[Producto]],Tabla6[[#All],[PRODUCTO]],0),MATCH(Tabla4[[#This Row],[Mes]],Tabla6[#Headers],0)))</f>
        <v>#N/A</v>
      </c>
      <c r="R2031" s="282" t="e">
        <f>++Tabla4[[#This Row],[Precio Unitario Neto]]-Tabla4[[#This Row],[20.85%]]-Tabla4[[#This Row],[Costo]]</f>
        <v>#N/A</v>
      </c>
      <c r="S2031" s="282" t="e">
        <f>++Tabla4[[#This Row],[U. Bruta Uni]]*Tabla4[[#This Row],[Cantidad]]</f>
        <v>#N/A</v>
      </c>
      <c r="T2031" s="369" t="str">
        <f>VLOOKUP(Tabla4[[#This Row],[Producto]],Tabla6[#All],14,FALSE)</f>
        <v>Termico Solar</v>
      </c>
      <c r="U2031" s="284" t="e">
        <f>(IF(Tabla4[[#This Row],[Familia]]="termico solar",Tabla4[[#This Row],[Utilidad Total]]*6%,Tabla4[[#This Row],[Utilidad Total]]*11.5%))/Tabla4[[#This Row],[Total]]</f>
        <v>#N/A</v>
      </c>
      <c r="V2031" s="282" t="e">
        <f>+Tabla4[[#This Row],[Comisión Calculada]]*Tabla4[[#This Row],[Total]]</f>
        <v>#N/A</v>
      </c>
    </row>
    <row r="2032" spans="1:22" hidden="1" x14ac:dyDescent="0.25">
      <c r="A2032" s="100">
        <v>45762</v>
      </c>
      <c r="B2032" t="str">
        <f t="shared" si="104"/>
        <v>April</v>
      </c>
      <c r="C2032" s="46" t="s">
        <v>280</v>
      </c>
      <c r="F2032" s="366" t="s">
        <v>1483</v>
      </c>
      <c r="G2032" s="46" t="s">
        <v>17</v>
      </c>
      <c r="H2032" s="46">
        <v>2</v>
      </c>
      <c r="I2032" s="51">
        <v>4622.28</v>
      </c>
      <c r="J2032" s="281">
        <f>++Tabla4[[#This Row],[Precio Bruto]]*1.16</f>
        <v>5361.8447999999989</v>
      </c>
      <c r="K2032" s="281">
        <f>+Tabla4[[#This Row],[Precio Unitario Neto]]*Tabla4[[#Headers],[20.85%]]</f>
        <v>1117.9446407999997</v>
      </c>
      <c r="L2032" s="282">
        <f>++Tabla4[[#This Row],[Precio Unitario Neto]]-Tabla4[[#This Row],[20.85%]]</f>
        <v>4243.9001591999995</v>
      </c>
      <c r="M2032" s="282" t="e">
        <f>(INDEX(Tabla6[#All],MATCH(Tabla4[[#This Row],[Producto]],Tabla6[[#All],[PRODUCTO]],0),MATCH(Tabla4[[#This Row],[Mes]],Tabla6[#Headers],0)))*(1+Catalogos!$L$2)</f>
        <v>#N/A</v>
      </c>
      <c r="N2032" s="283" t="e">
        <f>+(Tabla4[[#This Row],[Precio Descontado]]-Tabla4[[#This Row],[Precio Base]])*Tabla4[[#This Row],[Cantidad]]</f>
        <v>#N/A</v>
      </c>
      <c r="O2032" s="284" t="e">
        <f>++Tabla4[[#This Row],[Utilidad Total]]/Tabla4[[#This Row],[Total]]</f>
        <v>#N/A</v>
      </c>
      <c r="P2032" s="282">
        <f>++Tabla4[[#This Row],[Precio Descontado]]*Tabla4[[#This Row],[Cantidad]]</f>
        <v>8487.800318399999</v>
      </c>
      <c r="Q2032" s="282" t="e">
        <f>(INDEX(Tabla6[#All],MATCH(Tabla4[[#This Row],[Producto]],Tabla6[[#All],[PRODUCTO]],0),MATCH(Tabla4[[#This Row],[Mes]],Tabla6[#Headers],0)))</f>
        <v>#N/A</v>
      </c>
      <c r="R2032" s="282" t="e">
        <f>++Tabla4[[#This Row],[Precio Unitario Neto]]-Tabla4[[#This Row],[20.85%]]-Tabla4[[#This Row],[Costo]]</f>
        <v>#N/A</v>
      </c>
      <c r="S2032" s="282" t="e">
        <f>++Tabla4[[#This Row],[U. Bruta Uni]]*Tabla4[[#This Row],[Cantidad]]</f>
        <v>#N/A</v>
      </c>
      <c r="T2032" s="369" t="str">
        <f>VLOOKUP(Tabla4[[#This Row],[Producto]],Tabla6[#All],14,FALSE)</f>
        <v>Termico Solar</v>
      </c>
      <c r="U2032" s="284" t="e">
        <f>(IF(Tabla4[[#This Row],[Familia]]="termico solar",Tabla4[[#This Row],[Utilidad Total]]*6%,Tabla4[[#This Row],[Utilidad Total]]*11.5%))/Tabla4[[#This Row],[Total]]</f>
        <v>#N/A</v>
      </c>
      <c r="V2032" s="282" t="e">
        <f>+Tabla4[[#This Row],[Comisión Calculada]]*Tabla4[[#This Row],[Total]]</f>
        <v>#N/A</v>
      </c>
    </row>
    <row r="2033" spans="1:22" hidden="1" x14ac:dyDescent="0.25">
      <c r="A2033" s="100">
        <v>45762</v>
      </c>
      <c r="B2033" t="str">
        <f t="shared" si="104"/>
        <v>April</v>
      </c>
      <c r="C2033" s="46" t="s">
        <v>280</v>
      </c>
      <c r="F2033" s="366" t="s">
        <v>1483</v>
      </c>
      <c r="G2033" s="46" t="s">
        <v>18</v>
      </c>
      <c r="H2033" s="46">
        <v>4</v>
      </c>
      <c r="I2033" s="51">
        <v>5367.65</v>
      </c>
      <c r="J2033" s="281">
        <f>++Tabla4[[#This Row],[Precio Bruto]]*1.16</f>
        <v>6226.4739999999993</v>
      </c>
      <c r="K2033" s="281">
        <f>+Tabla4[[#This Row],[Precio Unitario Neto]]*Tabla4[[#Headers],[20.85%]]</f>
        <v>1298.2198289999999</v>
      </c>
      <c r="L2033" s="282">
        <f>++Tabla4[[#This Row],[Precio Unitario Neto]]-Tabla4[[#This Row],[20.85%]]</f>
        <v>4928.2541709999996</v>
      </c>
      <c r="M2033" s="282" t="e">
        <f>(INDEX(Tabla6[#All],MATCH(Tabla4[[#This Row],[Producto]],Tabla6[[#All],[PRODUCTO]],0),MATCH(Tabla4[[#This Row],[Mes]],Tabla6[#Headers],0)))*(1+Catalogos!$L$2)</f>
        <v>#N/A</v>
      </c>
      <c r="N2033" s="283" t="e">
        <f>+(Tabla4[[#This Row],[Precio Descontado]]-Tabla4[[#This Row],[Precio Base]])*Tabla4[[#This Row],[Cantidad]]</f>
        <v>#N/A</v>
      </c>
      <c r="O2033" s="284" t="e">
        <f>++Tabla4[[#This Row],[Utilidad Total]]/Tabla4[[#This Row],[Total]]</f>
        <v>#N/A</v>
      </c>
      <c r="P2033" s="282">
        <f>++Tabla4[[#This Row],[Precio Descontado]]*Tabla4[[#This Row],[Cantidad]]</f>
        <v>19713.016683999998</v>
      </c>
      <c r="Q2033" s="282" t="e">
        <f>(INDEX(Tabla6[#All],MATCH(Tabla4[[#This Row],[Producto]],Tabla6[[#All],[PRODUCTO]],0),MATCH(Tabla4[[#This Row],[Mes]],Tabla6[#Headers],0)))</f>
        <v>#N/A</v>
      </c>
      <c r="R2033" s="282" t="e">
        <f>++Tabla4[[#This Row],[Precio Unitario Neto]]-Tabla4[[#This Row],[20.85%]]-Tabla4[[#This Row],[Costo]]</f>
        <v>#N/A</v>
      </c>
      <c r="S2033" s="282" t="e">
        <f>++Tabla4[[#This Row],[U. Bruta Uni]]*Tabla4[[#This Row],[Cantidad]]</f>
        <v>#N/A</v>
      </c>
      <c r="T2033" s="369" t="str">
        <f>VLOOKUP(Tabla4[[#This Row],[Producto]],Tabla6[#All],14,FALSE)</f>
        <v>Termico Solar</v>
      </c>
      <c r="U2033" s="284" t="e">
        <f>(IF(Tabla4[[#This Row],[Familia]]="termico solar",Tabla4[[#This Row],[Utilidad Total]]*6%,Tabla4[[#This Row],[Utilidad Total]]*11.5%))/Tabla4[[#This Row],[Total]]</f>
        <v>#N/A</v>
      </c>
      <c r="V2033" s="282" t="e">
        <f>+Tabla4[[#This Row],[Comisión Calculada]]*Tabla4[[#This Row],[Total]]</f>
        <v>#N/A</v>
      </c>
    </row>
    <row r="2034" spans="1:22" hidden="1" x14ac:dyDescent="0.25">
      <c r="A2034" s="100">
        <v>45762</v>
      </c>
      <c r="B2034" t="str">
        <f t="shared" si="104"/>
        <v>April</v>
      </c>
      <c r="C2034" s="46" t="s">
        <v>280</v>
      </c>
      <c r="F2034" s="366" t="s">
        <v>1484</v>
      </c>
      <c r="G2034" s="46" t="s">
        <v>83</v>
      </c>
      <c r="H2034" s="46">
        <v>4</v>
      </c>
      <c r="I2034" s="51">
        <v>8858.76</v>
      </c>
      <c r="J2034" s="281">
        <f>++Tabla4[[#This Row],[Precio Bruto]]*1.16</f>
        <v>10276.161599999999</v>
      </c>
      <c r="K2034" s="281">
        <f>+Tabla4[[#This Row],[Precio Unitario Neto]]*Tabla4[[#Headers],[20.85%]]</f>
        <v>2142.5796935999997</v>
      </c>
      <c r="L2034" s="282">
        <f>++Tabla4[[#This Row],[Precio Unitario Neto]]-Tabla4[[#This Row],[20.85%]]</f>
        <v>8133.5819063999998</v>
      </c>
      <c r="M2034" s="282" t="e">
        <f>(INDEX(Tabla6[#All],MATCH(Tabla4[[#This Row],[Producto]],Tabla6[[#All],[PRODUCTO]],0),MATCH(Tabla4[[#This Row],[Mes]],Tabla6[#Headers],0)))*(1+Catalogos!$L$2)</f>
        <v>#N/A</v>
      </c>
      <c r="N2034" s="283" t="e">
        <f>+(Tabla4[[#This Row],[Precio Descontado]]-Tabla4[[#This Row],[Precio Base]])*Tabla4[[#This Row],[Cantidad]]</f>
        <v>#N/A</v>
      </c>
      <c r="O2034" s="284" t="e">
        <f>++Tabla4[[#This Row],[Utilidad Total]]/Tabla4[[#This Row],[Total]]</f>
        <v>#N/A</v>
      </c>
      <c r="P2034" s="282">
        <f>++Tabla4[[#This Row],[Precio Descontado]]*Tabla4[[#This Row],[Cantidad]]</f>
        <v>32534.327625599999</v>
      </c>
      <c r="Q2034" s="282" t="e">
        <f>(INDEX(Tabla6[#All],MATCH(Tabla4[[#This Row],[Producto]],Tabla6[[#All],[PRODUCTO]],0),MATCH(Tabla4[[#This Row],[Mes]],Tabla6[#Headers],0)))</f>
        <v>#N/A</v>
      </c>
      <c r="R2034" s="282" t="e">
        <f>++Tabla4[[#This Row],[Precio Unitario Neto]]-Tabla4[[#This Row],[20.85%]]-Tabla4[[#This Row],[Costo]]</f>
        <v>#N/A</v>
      </c>
      <c r="S2034" s="282" t="e">
        <f>++Tabla4[[#This Row],[U. Bruta Uni]]*Tabla4[[#This Row],[Cantidad]]</f>
        <v>#N/A</v>
      </c>
      <c r="T2034" s="369" t="str">
        <f>VLOOKUP(Tabla4[[#This Row],[Producto]],Tabla6[#All],14,FALSE)</f>
        <v>Termico Solar</v>
      </c>
      <c r="U2034" s="284" t="e">
        <f>(IF(Tabla4[[#This Row],[Familia]]="termico solar",Tabla4[[#This Row],[Utilidad Total]]*6%,Tabla4[[#This Row],[Utilidad Total]]*11.5%))/Tabla4[[#This Row],[Total]]</f>
        <v>#N/A</v>
      </c>
      <c r="V2034" s="282" t="e">
        <f>+Tabla4[[#This Row],[Comisión Calculada]]*Tabla4[[#This Row],[Total]]</f>
        <v>#N/A</v>
      </c>
    </row>
    <row r="2035" spans="1:22" hidden="1" x14ac:dyDescent="0.25">
      <c r="A2035" s="100">
        <v>45762</v>
      </c>
      <c r="B2035" t="str">
        <f t="shared" si="104"/>
        <v>April</v>
      </c>
      <c r="C2035" s="46" t="s">
        <v>280</v>
      </c>
      <c r="F2035" s="366" t="s">
        <v>1484</v>
      </c>
      <c r="G2035" s="46" t="s">
        <v>566</v>
      </c>
      <c r="H2035" s="46">
        <v>1</v>
      </c>
      <c r="I2035" s="51">
        <v>2109.4499999999998</v>
      </c>
      <c r="J2035" s="281">
        <f>++Tabla4[[#This Row],[Precio Bruto]]*1.16</f>
        <v>2446.9619999999995</v>
      </c>
      <c r="K2035" s="281">
        <f>+Tabla4[[#This Row],[Precio Unitario Neto]]*Tabla4[[#Headers],[20.85%]]</f>
        <v>510.19157699999988</v>
      </c>
      <c r="L2035" s="282">
        <f>++Tabla4[[#This Row],[Precio Unitario Neto]]-Tabla4[[#This Row],[20.85%]]</f>
        <v>1936.7704229999997</v>
      </c>
      <c r="M2035" s="282" t="e">
        <f>(INDEX(Tabla6[#All],MATCH(Tabla4[[#This Row],[Producto]],Tabla6[[#All],[PRODUCTO]],0),MATCH(Tabla4[[#This Row],[Mes]],Tabla6[#Headers],0)))*(1+Catalogos!$L$2)</f>
        <v>#N/A</v>
      </c>
      <c r="N2035" s="283" t="e">
        <f>+(Tabla4[[#This Row],[Precio Descontado]]-Tabla4[[#This Row],[Precio Base]])*Tabla4[[#This Row],[Cantidad]]</f>
        <v>#N/A</v>
      </c>
      <c r="O2035" s="284" t="e">
        <f>++Tabla4[[#This Row],[Utilidad Total]]/Tabla4[[#This Row],[Total]]</f>
        <v>#N/A</v>
      </c>
      <c r="P2035" s="282">
        <f>++Tabla4[[#This Row],[Precio Descontado]]*Tabla4[[#This Row],[Cantidad]]</f>
        <v>1936.7704229999997</v>
      </c>
      <c r="Q2035" s="282" t="e">
        <f>(INDEX(Tabla6[#All],MATCH(Tabla4[[#This Row],[Producto]],Tabla6[[#All],[PRODUCTO]],0),MATCH(Tabla4[[#This Row],[Mes]],Tabla6[#Headers],0)))</f>
        <v>#N/A</v>
      </c>
      <c r="R2035" s="282" t="e">
        <f>++Tabla4[[#This Row],[Precio Unitario Neto]]-Tabla4[[#This Row],[20.85%]]-Tabla4[[#This Row],[Costo]]</f>
        <v>#N/A</v>
      </c>
      <c r="S2035" s="282" t="e">
        <f>++Tabla4[[#This Row],[U. Bruta Uni]]*Tabla4[[#This Row],[Cantidad]]</f>
        <v>#N/A</v>
      </c>
      <c r="T2035" s="369" t="str">
        <f>VLOOKUP(Tabla4[[#This Row],[Producto]],Tabla6[#All],14,FALSE)</f>
        <v>Termico Solar</v>
      </c>
      <c r="U2035" s="284" t="e">
        <f>(IF(Tabla4[[#This Row],[Familia]]="termico solar",Tabla4[[#This Row],[Utilidad Total]]*6%,Tabla4[[#This Row],[Utilidad Total]]*11.5%))/Tabla4[[#This Row],[Total]]</f>
        <v>#N/A</v>
      </c>
      <c r="V2035" s="282" t="e">
        <f>+Tabla4[[#This Row],[Comisión Calculada]]*Tabla4[[#This Row],[Total]]</f>
        <v>#N/A</v>
      </c>
    </row>
    <row r="2036" spans="1:22" hidden="1" x14ac:dyDescent="0.25">
      <c r="A2036" s="100">
        <v>45762</v>
      </c>
      <c r="B2036" t="str">
        <f t="shared" si="104"/>
        <v>April</v>
      </c>
      <c r="C2036" s="46" t="s">
        <v>280</v>
      </c>
      <c r="F2036" s="366" t="s">
        <v>1484</v>
      </c>
      <c r="G2036" s="46" t="s">
        <v>16</v>
      </c>
      <c r="H2036" s="46">
        <v>2</v>
      </c>
      <c r="I2036" s="51">
        <v>4103.8500000000004</v>
      </c>
      <c r="J2036" s="281">
        <f>++Tabla4[[#This Row],[Precio Bruto]]*1.16</f>
        <v>4760.4660000000003</v>
      </c>
      <c r="K2036" s="281">
        <f>+Tabla4[[#This Row],[Precio Unitario Neto]]*Tabla4[[#Headers],[20.85%]]</f>
        <v>992.55716100000006</v>
      </c>
      <c r="L2036" s="282">
        <f>++Tabla4[[#This Row],[Precio Unitario Neto]]-Tabla4[[#This Row],[20.85%]]</f>
        <v>3767.9088390000002</v>
      </c>
      <c r="M2036" s="282" t="e">
        <f>(INDEX(Tabla6[#All],MATCH(Tabla4[[#This Row],[Producto]],Tabla6[[#All],[PRODUCTO]],0),MATCH(Tabla4[[#This Row],[Mes]],Tabla6[#Headers],0)))*(1+Catalogos!$L$2)</f>
        <v>#N/A</v>
      </c>
      <c r="N2036" s="283" t="e">
        <f>+(Tabla4[[#This Row],[Precio Descontado]]-Tabla4[[#This Row],[Precio Base]])*Tabla4[[#This Row],[Cantidad]]</f>
        <v>#N/A</v>
      </c>
      <c r="O2036" s="284" t="e">
        <f>++Tabla4[[#This Row],[Utilidad Total]]/Tabla4[[#This Row],[Total]]</f>
        <v>#N/A</v>
      </c>
      <c r="P2036" s="282">
        <f>++Tabla4[[#This Row],[Precio Descontado]]*Tabla4[[#This Row],[Cantidad]]</f>
        <v>7535.8176780000003</v>
      </c>
      <c r="Q2036" s="282" t="e">
        <f>(INDEX(Tabla6[#All],MATCH(Tabla4[[#This Row],[Producto]],Tabla6[[#All],[PRODUCTO]],0),MATCH(Tabla4[[#This Row],[Mes]],Tabla6[#Headers],0)))</f>
        <v>#N/A</v>
      </c>
      <c r="R2036" s="282" t="e">
        <f>++Tabla4[[#This Row],[Precio Unitario Neto]]-Tabla4[[#This Row],[20.85%]]-Tabla4[[#This Row],[Costo]]</f>
        <v>#N/A</v>
      </c>
      <c r="S2036" s="282" t="e">
        <f>++Tabla4[[#This Row],[U. Bruta Uni]]*Tabla4[[#This Row],[Cantidad]]</f>
        <v>#N/A</v>
      </c>
      <c r="T2036" s="369" t="str">
        <f>VLOOKUP(Tabla4[[#This Row],[Producto]],Tabla6[#All],14,FALSE)</f>
        <v>Termico Solar</v>
      </c>
      <c r="U2036" s="284" t="e">
        <f>(IF(Tabla4[[#This Row],[Familia]]="termico solar",Tabla4[[#This Row],[Utilidad Total]]*6%,Tabla4[[#This Row],[Utilidad Total]]*11.5%))/Tabla4[[#This Row],[Total]]</f>
        <v>#N/A</v>
      </c>
      <c r="V2036" s="282" t="e">
        <f>+Tabla4[[#This Row],[Comisión Calculada]]*Tabla4[[#This Row],[Total]]</f>
        <v>#N/A</v>
      </c>
    </row>
    <row r="2037" spans="1:22" hidden="1" x14ac:dyDescent="0.25">
      <c r="A2037" s="100">
        <v>45762</v>
      </c>
      <c r="B2037" t="str">
        <f t="shared" si="104"/>
        <v>April</v>
      </c>
      <c r="C2037" s="46" t="s">
        <v>280</v>
      </c>
      <c r="F2037" s="366" t="s">
        <v>1485</v>
      </c>
      <c r="G2037" s="46" t="s">
        <v>18</v>
      </c>
      <c r="H2037" s="46">
        <v>1</v>
      </c>
      <c r="I2037" s="51">
        <v>5367.65</v>
      </c>
      <c r="J2037" s="281">
        <f>++Tabla4[[#This Row],[Precio Bruto]]*1.16</f>
        <v>6226.4739999999993</v>
      </c>
      <c r="K2037" s="281">
        <f>+Tabla4[[#This Row],[Precio Unitario Neto]]*Tabla4[[#Headers],[20.85%]]</f>
        <v>1298.2198289999999</v>
      </c>
      <c r="L2037" s="282">
        <f>++Tabla4[[#This Row],[Precio Unitario Neto]]-Tabla4[[#This Row],[20.85%]]</f>
        <v>4928.2541709999996</v>
      </c>
      <c r="M2037" s="282" t="e">
        <f>(INDEX(Tabla6[#All],MATCH(Tabla4[[#This Row],[Producto]],Tabla6[[#All],[PRODUCTO]],0),MATCH(Tabla4[[#This Row],[Mes]],Tabla6[#Headers],0)))*(1+Catalogos!$L$2)</f>
        <v>#N/A</v>
      </c>
      <c r="N2037" s="283" t="e">
        <f>+(Tabla4[[#This Row],[Precio Descontado]]-Tabla4[[#This Row],[Precio Base]])*Tabla4[[#This Row],[Cantidad]]</f>
        <v>#N/A</v>
      </c>
      <c r="O2037" s="284" t="e">
        <f>++Tabla4[[#This Row],[Utilidad Total]]/Tabla4[[#This Row],[Total]]</f>
        <v>#N/A</v>
      </c>
      <c r="P2037" s="282">
        <f>++Tabla4[[#This Row],[Precio Descontado]]*Tabla4[[#This Row],[Cantidad]]</f>
        <v>4928.2541709999996</v>
      </c>
      <c r="Q2037" s="282" t="e">
        <f>(INDEX(Tabla6[#All],MATCH(Tabla4[[#This Row],[Producto]],Tabla6[[#All],[PRODUCTO]],0),MATCH(Tabla4[[#This Row],[Mes]],Tabla6[#Headers],0)))</f>
        <v>#N/A</v>
      </c>
      <c r="R2037" s="282" t="e">
        <f>++Tabla4[[#This Row],[Precio Unitario Neto]]-Tabla4[[#This Row],[20.85%]]-Tabla4[[#This Row],[Costo]]</f>
        <v>#N/A</v>
      </c>
      <c r="S2037" s="282" t="e">
        <f>++Tabla4[[#This Row],[U. Bruta Uni]]*Tabla4[[#This Row],[Cantidad]]</f>
        <v>#N/A</v>
      </c>
      <c r="T2037" s="369" t="str">
        <f>VLOOKUP(Tabla4[[#This Row],[Producto]],Tabla6[#All],14,FALSE)</f>
        <v>Termico Solar</v>
      </c>
      <c r="U2037" s="284" t="e">
        <f>(IF(Tabla4[[#This Row],[Familia]]="termico solar",Tabla4[[#This Row],[Utilidad Total]]*6%,Tabla4[[#This Row],[Utilidad Total]]*11.5%))/Tabla4[[#This Row],[Total]]</f>
        <v>#N/A</v>
      </c>
      <c r="V2037" s="282" t="e">
        <f>+Tabla4[[#This Row],[Comisión Calculada]]*Tabla4[[#This Row],[Total]]</f>
        <v>#N/A</v>
      </c>
    </row>
    <row r="2038" spans="1:22" hidden="1" x14ac:dyDescent="0.25">
      <c r="A2038" s="100">
        <v>45762</v>
      </c>
      <c r="B2038" t="str">
        <f t="shared" si="104"/>
        <v>April</v>
      </c>
      <c r="C2038" s="46" t="s">
        <v>280</v>
      </c>
      <c r="F2038" s="366" t="s">
        <v>1486</v>
      </c>
      <c r="G2038" s="46" t="s">
        <v>83</v>
      </c>
      <c r="H2038" s="46">
        <v>4</v>
      </c>
      <c r="I2038" s="51">
        <v>8858.76</v>
      </c>
      <c r="J2038" s="281">
        <f>++Tabla4[[#This Row],[Precio Bruto]]*1.16</f>
        <v>10276.161599999999</v>
      </c>
      <c r="K2038" s="281">
        <f>+Tabla4[[#This Row],[Precio Unitario Neto]]*Tabla4[[#Headers],[20.85%]]</f>
        <v>2142.5796935999997</v>
      </c>
      <c r="L2038" s="282">
        <f>++Tabla4[[#This Row],[Precio Unitario Neto]]-Tabla4[[#This Row],[20.85%]]</f>
        <v>8133.5819063999998</v>
      </c>
      <c r="M2038" s="282" t="e">
        <f>(INDEX(Tabla6[#All],MATCH(Tabla4[[#This Row],[Producto]],Tabla6[[#All],[PRODUCTO]],0),MATCH(Tabla4[[#This Row],[Mes]],Tabla6[#Headers],0)))*(1+Catalogos!$L$2)</f>
        <v>#N/A</v>
      </c>
      <c r="N2038" s="283" t="e">
        <f>+(Tabla4[[#This Row],[Precio Descontado]]-Tabla4[[#This Row],[Precio Base]])*Tabla4[[#This Row],[Cantidad]]</f>
        <v>#N/A</v>
      </c>
      <c r="O2038" s="284" t="e">
        <f>++Tabla4[[#This Row],[Utilidad Total]]/Tabla4[[#This Row],[Total]]</f>
        <v>#N/A</v>
      </c>
      <c r="P2038" s="282">
        <f>++Tabla4[[#This Row],[Precio Descontado]]*Tabla4[[#This Row],[Cantidad]]</f>
        <v>32534.327625599999</v>
      </c>
      <c r="Q2038" s="282" t="e">
        <f>(INDEX(Tabla6[#All],MATCH(Tabla4[[#This Row],[Producto]],Tabla6[[#All],[PRODUCTO]],0),MATCH(Tabla4[[#This Row],[Mes]],Tabla6[#Headers],0)))</f>
        <v>#N/A</v>
      </c>
      <c r="R2038" s="282" t="e">
        <f>++Tabla4[[#This Row],[Precio Unitario Neto]]-Tabla4[[#This Row],[20.85%]]-Tabla4[[#This Row],[Costo]]</f>
        <v>#N/A</v>
      </c>
      <c r="S2038" s="282" t="e">
        <f>++Tabla4[[#This Row],[U. Bruta Uni]]*Tabla4[[#This Row],[Cantidad]]</f>
        <v>#N/A</v>
      </c>
      <c r="T2038" s="369" t="str">
        <f>VLOOKUP(Tabla4[[#This Row],[Producto]],Tabla6[#All],14,FALSE)</f>
        <v>Termico Solar</v>
      </c>
      <c r="U2038" s="284" t="e">
        <f>(IF(Tabla4[[#This Row],[Familia]]="termico solar",Tabla4[[#This Row],[Utilidad Total]]*6%,Tabla4[[#This Row],[Utilidad Total]]*11.5%))/Tabla4[[#This Row],[Total]]</f>
        <v>#N/A</v>
      </c>
      <c r="V2038" s="282" t="e">
        <f>+Tabla4[[#This Row],[Comisión Calculada]]*Tabla4[[#This Row],[Total]]</f>
        <v>#N/A</v>
      </c>
    </row>
    <row r="2039" spans="1:22" hidden="1" x14ac:dyDescent="0.25">
      <c r="A2039" s="100">
        <v>45762</v>
      </c>
      <c r="B2039" t="str">
        <f t="shared" si="104"/>
        <v>April</v>
      </c>
      <c r="C2039" s="46" t="s">
        <v>280</v>
      </c>
      <c r="F2039" s="366" t="s">
        <v>1486</v>
      </c>
      <c r="G2039" s="46" t="s">
        <v>566</v>
      </c>
      <c r="H2039" s="46">
        <v>1</v>
      </c>
      <c r="I2039" s="51">
        <v>2109.4499999999998</v>
      </c>
      <c r="J2039" s="281">
        <f>++Tabla4[[#This Row],[Precio Bruto]]*1.16</f>
        <v>2446.9619999999995</v>
      </c>
      <c r="K2039" s="281">
        <f>+Tabla4[[#This Row],[Precio Unitario Neto]]*Tabla4[[#Headers],[20.85%]]</f>
        <v>510.19157699999988</v>
      </c>
      <c r="L2039" s="282">
        <f>++Tabla4[[#This Row],[Precio Unitario Neto]]-Tabla4[[#This Row],[20.85%]]</f>
        <v>1936.7704229999997</v>
      </c>
      <c r="M2039" s="282" t="e">
        <f>(INDEX(Tabla6[#All],MATCH(Tabla4[[#This Row],[Producto]],Tabla6[[#All],[PRODUCTO]],0),MATCH(Tabla4[[#This Row],[Mes]],Tabla6[#Headers],0)))*(1+Catalogos!$L$2)</f>
        <v>#N/A</v>
      </c>
      <c r="N2039" s="283" t="e">
        <f>+(Tabla4[[#This Row],[Precio Descontado]]-Tabla4[[#This Row],[Precio Base]])*Tabla4[[#This Row],[Cantidad]]</f>
        <v>#N/A</v>
      </c>
      <c r="O2039" s="284" t="e">
        <f>++Tabla4[[#This Row],[Utilidad Total]]/Tabla4[[#This Row],[Total]]</f>
        <v>#N/A</v>
      </c>
      <c r="P2039" s="282">
        <f>++Tabla4[[#This Row],[Precio Descontado]]*Tabla4[[#This Row],[Cantidad]]</f>
        <v>1936.7704229999997</v>
      </c>
      <c r="Q2039" s="282" t="e">
        <f>(INDEX(Tabla6[#All],MATCH(Tabla4[[#This Row],[Producto]],Tabla6[[#All],[PRODUCTO]],0),MATCH(Tabla4[[#This Row],[Mes]],Tabla6[#Headers],0)))</f>
        <v>#N/A</v>
      </c>
      <c r="R2039" s="282" t="e">
        <f>++Tabla4[[#This Row],[Precio Unitario Neto]]-Tabla4[[#This Row],[20.85%]]-Tabla4[[#This Row],[Costo]]</f>
        <v>#N/A</v>
      </c>
      <c r="S2039" s="282" t="e">
        <f>++Tabla4[[#This Row],[U. Bruta Uni]]*Tabla4[[#This Row],[Cantidad]]</f>
        <v>#N/A</v>
      </c>
      <c r="T2039" s="369" t="str">
        <f>VLOOKUP(Tabla4[[#This Row],[Producto]],Tabla6[#All],14,FALSE)</f>
        <v>Termico Solar</v>
      </c>
      <c r="U2039" s="284" t="e">
        <f>(IF(Tabla4[[#This Row],[Familia]]="termico solar",Tabla4[[#This Row],[Utilidad Total]]*6%,Tabla4[[#This Row],[Utilidad Total]]*11.5%))/Tabla4[[#This Row],[Total]]</f>
        <v>#N/A</v>
      </c>
      <c r="V2039" s="282" t="e">
        <f>+Tabla4[[#This Row],[Comisión Calculada]]*Tabla4[[#This Row],[Total]]</f>
        <v>#N/A</v>
      </c>
    </row>
    <row r="2040" spans="1:22" hidden="1" x14ac:dyDescent="0.25">
      <c r="A2040" s="100">
        <v>45762</v>
      </c>
      <c r="B2040" t="str">
        <f t="shared" ref="B2040:B2071" si="105">TEXT(A2040, "mmmm")</f>
        <v>April</v>
      </c>
      <c r="C2040" s="46" t="s">
        <v>280</v>
      </c>
      <c r="F2040" s="366" t="s">
        <v>1487</v>
      </c>
      <c r="G2040" s="46" t="s">
        <v>83</v>
      </c>
      <c r="H2040" s="46">
        <v>2</v>
      </c>
      <c r="I2040" s="51">
        <v>8858.76</v>
      </c>
      <c r="J2040" s="281">
        <f>++Tabla4[[#This Row],[Precio Bruto]]*1.16</f>
        <v>10276.161599999999</v>
      </c>
      <c r="K2040" s="281">
        <f>+Tabla4[[#This Row],[Precio Unitario Neto]]*Tabla4[[#Headers],[20.85%]]</f>
        <v>2142.5796935999997</v>
      </c>
      <c r="L2040" s="282">
        <f>++Tabla4[[#This Row],[Precio Unitario Neto]]-Tabla4[[#This Row],[20.85%]]</f>
        <v>8133.5819063999998</v>
      </c>
      <c r="M2040" s="282" t="e">
        <f>(INDEX(Tabla6[#All],MATCH(Tabla4[[#This Row],[Producto]],Tabla6[[#All],[PRODUCTO]],0),MATCH(Tabla4[[#This Row],[Mes]],Tabla6[#Headers],0)))*(1+Catalogos!$L$2)</f>
        <v>#N/A</v>
      </c>
      <c r="N2040" s="283" t="e">
        <f>+(Tabla4[[#This Row],[Precio Descontado]]-Tabla4[[#This Row],[Precio Base]])*Tabla4[[#This Row],[Cantidad]]</f>
        <v>#N/A</v>
      </c>
      <c r="O2040" s="284" t="e">
        <f>++Tabla4[[#This Row],[Utilidad Total]]/Tabla4[[#This Row],[Total]]</f>
        <v>#N/A</v>
      </c>
      <c r="P2040" s="282">
        <f>++Tabla4[[#This Row],[Precio Descontado]]*Tabla4[[#This Row],[Cantidad]]</f>
        <v>16267.1638128</v>
      </c>
      <c r="Q2040" s="282" t="e">
        <f>(INDEX(Tabla6[#All],MATCH(Tabla4[[#This Row],[Producto]],Tabla6[[#All],[PRODUCTO]],0),MATCH(Tabla4[[#This Row],[Mes]],Tabla6[#Headers],0)))</f>
        <v>#N/A</v>
      </c>
      <c r="R2040" s="282" t="e">
        <f>++Tabla4[[#This Row],[Precio Unitario Neto]]-Tabla4[[#This Row],[20.85%]]-Tabla4[[#This Row],[Costo]]</f>
        <v>#N/A</v>
      </c>
      <c r="S2040" s="282" t="e">
        <f>++Tabla4[[#This Row],[U. Bruta Uni]]*Tabla4[[#This Row],[Cantidad]]</f>
        <v>#N/A</v>
      </c>
      <c r="T2040" s="369" t="str">
        <f>VLOOKUP(Tabla4[[#This Row],[Producto]],Tabla6[#All],14,FALSE)</f>
        <v>Termico Solar</v>
      </c>
      <c r="U2040" s="284" t="e">
        <f>(IF(Tabla4[[#This Row],[Familia]]="termico solar",Tabla4[[#This Row],[Utilidad Total]]*6%,Tabla4[[#This Row],[Utilidad Total]]*11.5%))/Tabla4[[#This Row],[Total]]</f>
        <v>#N/A</v>
      </c>
      <c r="V2040" s="282" t="e">
        <f>+Tabla4[[#This Row],[Comisión Calculada]]*Tabla4[[#This Row],[Total]]</f>
        <v>#N/A</v>
      </c>
    </row>
    <row r="2041" spans="1:22" hidden="1" x14ac:dyDescent="0.25">
      <c r="A2041" s="100">
        <v>45762</v>
      </c>
      <c r="B2041" t="str">
        <f t="shared" si="105"/>
        <v>April</v>
      </c>
      <c r="C2041" s="46" t="s">
        <v>280</v>
      </c>
      <c r="F2041" s="366" t="s">
        <v>1487</v>
      </c>
      <c r="G2041" s="46" t="s">
        <v>18</v>
      </c>
      <c r="H2041" s="46">
        <v>2</v>
      </c>
      <c r="I2041" s="51">
        <v>5367.65</v>
      </c>
      <c r="J2041" s="281">
        <f>++Tabla4[[#This Row],[Precio Bruto]]*1.16</f>
        <v>6226.4739999999993</v>
      </c>
      <c r="K2041" s="281">
        <f>+Tabla4[[#This Row],[Precio Unitario Neto]]*Tabla4[[#Headers],[20.85%]]</f>
        <v>1298.2198289999999</v>
      </c>
      <c r="L2041" s="282">
        <f>++Tabla4[[#This Row],[Precio Unitario Neto]]-Tabla4[[#This Row],[20.85%]]</f>
        <v>4928.2541709999996</v>
      </c>
      <c r="M2041" s="282" t="e">
        <f>(INDEX(Tabla6[#All],MATCH(Tabla4[[#This Row],[Producto]],Tabla6[[#All],[PRODUCTO]],0),MATCH(Tabla4[[#This Row],[Mes]],Tabla6[#Headers],0)))*(1+Catalogos!$L$2)</f>
        <v>#N/A</v>
      </c>
      <c r="N2041" s="283" t="e">
        <f>+(Tabla4[[#This Row],[Precio Descontado]]-Tabla4[[#This Row],[Precio Base]])*Tabla4[[#This Row],[Cantidad]]</f>
        <v>#N/A</v>
      </c>
      <c r="O2041" s="284" t="e">
        <f>++Tabla4[[#This Row],[Utilidad Total]]/Tabla4[[#This Row],[Total]]</f>
        <v>#N/A</v>
      </c>
      <c r="P2041" s="282">
        <f>++Tabla4[[#This Row],[Precio Descontado]]*Tabla4[[#This Row],[Cantidad]]</f>
        <v>9856.5083419999992</v>
      </c>
      <c r="Q2041" s="282" t="e">
        <f>(INDEX(Tabla6[#All],MATCH(Tabla4[[#This Row],[Producto]],Tabla6[[#All],[PRODUCTO]],0),MATCH(Tabla4[[#This Row],[Mes]],Tabla6[#Headers],0)))</f>
        <v>#N/A</v>
      </c>
      <c r="R2041" s="282" t="e">
        <f>++Tabla4[[#This Row],[Precio Unitario Neto]]-Tabla4[[#This Row],[20.85%]]-Tabla4[[#This Row],[Costo]]</f>
        <v>#N/A</v>
      </c>
      <c r="S2041" s="282" t="e">
        <f>++Tabla4[[#This Row],[U. Bruta Uni]]*Tabla4[[#This Row],[Cantidad]]</f>
        <v>#N/A</v>
      </c>
      <c r="T2041" s="369" t="str">
        <f>VLOOKUP(Tabla4[[#This Row],[Producto]],Tabla6[#All],14,FALSE)</f>
        <v>Termico Solar</v>
      </c>
      <c r="U2041" s="284" t="e">
        <f>(IF(Tabla4[[#This Row],[Familia]]="termico solar",Tabla4[[#This Row],[Utilidad Total]]*6%,Tabla4[[#This Row],[Utilidad Total]]*11.5%))/Tabla4[[#This Row],[Total]]</f>
        <v>#N/A</v>
      </c>
      <c r="V2041" s="282" t="e">
        <f>+Tabla4[[#This Row],[Comisión Calculada]]*Tabla4[[#This Row],[Total]]</f>
        <v>#N/A</v>
      </c>
    </row>
    <row r="2042" spans="1:22" hidden="1" x14ac:dyDescent="0.25">
      <c r="A2042" s="100">
        <v>45762</v>
      </c>
      <c r="B2042" t="str">
        <f t="shared" si="105"/>
        <v>April</v>
      </c>
      <c r="C2042" s="46" t="s">
        <v>280</v>
      </c>
      <c r="F2042" s="366" t="s">
        <v>1488</v>
      </c>
      <c r="G2042" s="46" t="s">
        <v>83</v>
      </c>
      <c r="H2042" s="46">
        <v>1</v>
      </c>
      <c r="I2042" s="51">
        <v>8858.76</v>
      </c>
      <c r="J2042" s="281">
        <f>++Tabla4[[#This Row],[Precio Bruto]]*1.16</f>
        <v>10276.161599999999</v>
      </c>
      <c r="K2042" s="281">
        <f>+Tabla4[[#This Row],[Precio Unitario Neto]]*Tabla4[[#Headers],[20.85%]]</f>
        <v>2142.5796935999997</v>
      </c>
      <c r="L2042" s="282">
        <f>++Tabla4[[#This Row],[Precio Unitario Neto]]-Tabla4[[#This Row],[20.85%]]</f>
        <v>8133.5819063999998</v>
      </c>
      <c r="M2042" s="282" t="e">
        <f>(INDEX(Tabla6[#All],MATCH(Tabla4[[#This Row],[Producto]],Tabla6[[#All],[PRODUCTO]],0),MATCH(Tabla4[[#This Row],[Mes]],Tabla6[#Headers],0)))*(1+Catalogos!$L$2)</f>
        <v>#N/A</v>
      </c>
      <c r="N2042" s="283" t="e">
        <f>+(Tabla4[[#This Row],[Precio Descontado]]-Tabla4[[#This Row],[Precio Base]])*Tabla4[[#This Row],[Cantidad]]</f>
        <v>#N/A</v>
      </c>
      <c r="O2042" s="284" t="e">
        <f>++Tabla4[[#This Row],[Utilidad Total]]/Tabla4[[#This Row],[Total]]</f>
        <v>#N/A</v>
      </c>
      <c r="P2042" s="282">
        <f>++Tabla4[[#This Row],[Precio Descontado]]*Tabla4[[#This Row],[Cantidad]]</f>
        <v>8133.5819063999998</v>
      </c>
      <c r="Q2042" s="282" t="e">
        <f>(INDEX(Tabla6[#All],MATCH(Tabla4[[#This Row],[Producto]],Tabla6[[#All],[PRODUCTO]],0),MATCH(Tabla4[[#This Row],[Mes]],Tabla6[#Headers],0)))</f>
        <v>#N/A</v>
      </c>
      <c r="R2042" s="282" t="e">
        <f>++Tabla4[[#This Row],[Precio Unitario Neto]]-Tabla4[[#This Row],[20.85%]]-Tabla4[[#This Row],[Costo]]</f>
        <v>#N/A</v>
      </c>
      <c r="S2042" s="282" t="e">
        <f>++Tabla4[[#This Row],[U. Bruta Uni]]*Tabla4[[#This Row],[Cantidad]]</f>
        <v>#N/A</v>
      </c>
      <c r="T2042" s="369" t="str">
        <f>VLOOKUP(Tabla4[[#This Row],[Producto]],Tabla6[#All],14,FALSE)</f>
        <v>Termico Solar</v>
      </c>
      <c r="U2042" s="284" t="e">
        <f>(IF(Tabla4[[#This Row],[Familia]]="termico solar",Tabla4[[#This Row],[Utilidad Total]]*6%,Tabla4[[#This Row],[Utilidad Total]]*11.5%))/Tabla4[[#This Row],[Total]]</f>
        <v>#N/A</v>
      </c>
      <c r="V2042" s="282" t="e">
        <f>+Tabla4[[#This Row],[Comisión Calculada]]*Tabla4[[#This Row],[Total]]</f>
        <v>#N/A</v>
      </c>
    </row>
    <row r="2043" spans="1:22" hidden="1" x14ac:dyDescent="0.25">
      <c r="A2043" s="100">
        <v>45762</v>
      </c>
      <c r="B2043" t="str">
        <f t="shared" si="105"/>
        <v>April</v>
      </c>
      <c r="C2043" s="46" t="s">
        <v>280</v>
      </c>
      <c r="F2043" s="366" t="s">
        <v>1488</v>
      </c>
      <c r="G2043" s="46" t="s">
        <v>18</v>
      </c>
      <c r="H2043" s="46">
        <v>1</v>
      </c>
      <c r="I2043" s="51">
        <v>5367.65</v>
      </c>
      <c r="J2043" s="281">
        <f>++Tabla4[[#This Row],[Precio Bruto]]*1.16</f>
        <v>6226.4739999999993</v>
      </c>
      <c r="K2043" s="281">
        <f>+Tabla4[[#This Row],[Precio Unitario Neto]]*Tabla4[[#Headers],[20.85%]]</f>
        <v>1298.2198289999999</v>
      </c>
      <c r="L2043" s="282">
        <f>++Tabla4[[#This Row],[Precio Unitario Neto]]-Tabla4[[#This Row],[20.85%]]</f>
        <v>4928.2541709999996</v>
      </c>
      <c r="M2043" s="282" t="e">
        <f>(INDEX(Tabla6[#All],MATCH(Tabla4[[#This Row],[Producto]],Tabla6[[#All],[PRODUCTO]],0),MATCH(Tabla4[[#This Row],[Mes]],Tabla6[#Headers],0)))*(1+Catalogos!$L$2)</f>
        <v>#N/A</v>
      </c>
      <c r="N2043" s="283" t="e">
        <f>+(Tabla4[[#This Row],[Precio Descontado]]-Tabla4[[#This Row],[Precio Base]])*Tabla4[[#This Row],[Cantidad]]</f>
        <v>#N/A</v>
      </c>
      <c r="O2043" s="284" t="e">
        <f>++Tabla4[[#This Row],[Utilidad Total]]/Tabla4[[#This Row],[Total]]</f>
        <v>#N/A</v>
      </c>
      <c r="P2043" s="282">
        <f>++Tabla4[[#This Row],[Precio Descontado]]*Tabla4[[#This Row],[Cantidad]]</f>
        <v>4928.2541709999996</v>
      </c>
      <c r="Q2043" s="282" t="e">
        <f>(INDEX(Tabla6[#All],MATCH(Tabla4[[#This Row],[Producto]],Tabla6[[#All],[PRODUCTO]],0),MATCH(Tabla4[[#This Row],[Mes]],Tabla6[#Headers],0)))</f>
        <v>#N/A</v>
      </c>
      <c r="R2043" s="282" t="e">
        <f>++Tabla4[[#This Row],[Precio Unitario Neto]]-Tabla4[[#This Row],[20.85%]]-Tabla4[[#This Row],[Costo]]</f>
        <v>#N/A</v>
      </c>
      <c r="S2043" s="282" t="e">
        <f>++Tabla4[[#This Row],[U. Bruta Uni]]*Tabla4[[#This Row],[Cantidad]]</f>
        <v>#N/A</v>
      </c>
      <c r="T2043" s="369" t="str">
        <f>VLOOKUP(Tabla4[[#This Row],[Producto]],Tabla6[#All],14,FALSE)</f>
        <v>Termico Solar</v>
      </c>
      <c r="U2043" s="284" t="e">
        <f>(IF(Tabla4[[#This Row],[Familia]]="termico solar",Tabla4[[#This Row],[Utilidad Total]]*6%,Tabla4[[#This Row],[Utilidad Total]]*11.5%))/Tabla4[[#This Row],[Total]]</f>
        <v>#N/A</v>
      </c>
      <c r="V2043" s="282" t="e">
        <f>+Tabla4[[#This Row],[Comisión Calculada]]*Tabla4[[#This Row],[Total]]</f>
        <v>#N/A</v>
      </c>
    </row>
    <row r="2044" spans="1:22" hidden="1" x14ac:dyDescent="0.25">
      <c r="A2044" s="100">
        <v>45762</v>
      </c>
      <c r="B2044" t="str">
        <f t="shared" si="105"/>
        <v>April</v>
      </c>
      <c r="C2044" s="46" t="s">
        <v>280</v>
      </c>
      <c r="F2044" s="366" t="s">
        <v>1488</v>
      </c>
      <c r="G2044" s="46" t="s">
        <v>208</v>
      </c>
      <c r="H2044" s="46">
        <v>2</v>
      </c>
      <c r="I2044" s="51">
        <v>189.75</v>
      </c>
      <c r="J2044" s="281">
        <f>++Tabla4[[#This Row],[Precio Bruto]]*1.16</f>
        <v>220.10999999999999</v>
      </c>
      <c r="K2044" s="281">
        <f>+Tabla4[[#This Row],[Precio Unitario Neto]]*Tabla4[[#Headers],[20.85%]]</f>
        <v>45.892934999999994</v>
      </c>
      <c r="L2044" s="282">
        <f>++Tabla4[[#This Row],[Precio Unitario Neto]]-Tabla4[[#This Row],[20.85%]]</f>
        <v>174.21706499999999</v>
      </c>
      <c r="M2044" s="282" t="e">
        <f>(INDEX(Tabla6[#All],MATCH(Tabla4[[#This Row],[Producto]],Tabla6[[#All],[PRODUCTO]],0),MATCH(Tabla4[[#This Row],[Mes]],Tabla6[#Headers],0)))*(1+Catalogos!$L$2)</f>
        <v>#N/A</v>
      </c>
      <c r="N2044" s="283" t="e">
        <f>+(Tabla4[[#This Row],[Precio Descontado]]-Tabla4[[#This Row],[Precio Base]])*Tabla4[[#This Row],[Cantidad]]</f>
        <v>#N/A</v>
      </c>
      <c r="O2044" s="284" t="e">
        <f>++Tabla4[[#This Row],[Utilidad Total]]/Tabla4[[#This Row],[Total]]</f>
        <v>#N/A</v>
      </c>
      <c r="P2044" s="282">
        <f>++Tabla4[[#This Row],[Precio Descontado]]*Tabla4[[#This Row],[Cantidad]]</f>
        <v>348.43412999999998</v>
      </c>
      <c r="Q2044" s="282" t="e">
        <f>(INDEX(Tabla6[#All],MATCH(Tabla4[[#This Row],[Producto]],Tabla6[[#All],[PRODUCTO]],0),MATCH(Tabla4[[#This Row],[Mes]],Tabla6[#Headers],0)))</f>
        <v>#N/A</v>
      </c>
      <c r="R2044" s="282" t="e">
        <f>++Tabla4[[#This Row],[Precio Unitario Neto]]-Tabla4[[#This Row],[20.85%]]-Tabla4[[#This Row],[Costo]]</f>
        <v>#N/A</v>
      </c>
      <c r="S2044" s="282" t="e">
        <f>++Tabla4[[#This Row],[U. Bruta Uni]]*Tabla4[[#This Row],[Cantidad]]</f>
        <v>#N/A</v>
      </c>
      <c r="T2044" s="369" t="str">
        <f>VLOOKUP(Tabla4[[#This Row],[Producto]],Tabla6[#All],14,FALSE)</f>
        <v>Termico Solar</v>
      </c>
      <c r="U2044" s="284" t="e">
        <f>(IF(Tabla4[[#This Row],[Familia]]="termico solar",Tabla4[[#This Row],[Utilidad Total]]*6%,Tabla4[[#This Row],[Utilidad Total]]*11.5%))/Tabla4[[#This Row],[Total]]</f>
        <v>#N/A</v>
      </c>
      <c r="V2044" s="282" t="e">
        <f>+Tabla4[[#This Row],[Comisión Calculada]]*Tabla4[[#This Row],[Total]]</f>
        <v>#N/A</v>
      </c>
    </row>
    <row r="2045" spans="1:22" hidden="1" x14ac:dyDescent="0.25">
      <c r="A2045" s="100">
        <v>45762</v>
      </c>
      <c r="B2045" t="str">
        <f t="shared" si="105"/>
        <v>April</v>
      </c>
      <c r="C2045" s="46" t="s">
        <v>280</v>
      </c>
      <c r="F2045" s="366" t="s">
        <v>1488</v>
      </c>
      <c r="G2045" s="46" t="s">
        <v>209</v>
      </c>
      <c r="H2045" s="46">
        <v>1</v>
      </c>
      <c r="I2045" s="51">
        <v>347.48</v>
      </c>
      <c r="J2045" s="281">
        <f>++Tabla4[[#This Row],[Precio Bruto]]*1.16</f>
        <v>403.07679999999999</v>
      </c>
      <c r="K2045" s="281">
        <f>+Tabla4[[#This Row],[Precio Unitario Neto]]*Tabla4[[#Headers],[20.85%]]</f>
        <v>84.041512799999992</v>
      </c>
      <c r="L2045" s="282">
        <f>++Tabla4[[#This Row],[Precio Unitario Neto]]-Tabla4[[#This Row],[20.85%]]</f>
        <v>319.03528719999997</v>
      </c>
      <c r="M2045" s="282" t="e">
        <f>(INDEX(Tabla6[#All],MATCH(Tabla4[[#This Row],[Producto]],Tabla6[[#All],[PRODUCTO]],0),MATCH(Tabla4[[#This Row],[Mes]],Tabla6[#Headers],0)))*(1+Catalogos!$L$2)</f>
        <v>#N/A</v>
      </c>
      <c r="N2045" s="283" t="e">
        <f>+(Tabla4[[#This Row],[Precio Descontado]]-Tabla4[[#This Row],[Precio Base]])*Tabla4[[#This Row],[Cantidad]]</f>
        <v>#N/A</v>
      </c>
      <c r="O2045" s="284" t="e">
        <f>++Tabla4[[#This Row],[Utilidad Total]]/Tabla4[[#This Row],[Total]]</f>
        <v>#N/A</v>
      </c>
      <c r="P2045" s="282">
        <f>++Tabla4[[#This Row],[Precio Descontado]]*Tabla4[[#This Row],[Cantidad]]</f>
        <v>319.03528719999997</v>
      </c>
      <c r="Q2045" s="282" t="e">
        <f>(INDEX(Tabla6[#All],MATCH(Tabla4[[#This Row],[Producto]],Tabla6[[#All],[PRODUCTO]],0),MATCH(Tabla4[[#This Row],[Mes]],Tabla6[#Headers],0)))</f>
        <v>#N/A</v>
      </c>
      <c r="R2045" s="282" t="e">
        <f>++Tabla4[[#This Row],[Precio Unitario Neto]]-Tabla4[[#This Row],[20.85%]]-Tabla4[[#This Row],[Costo]]</f>
        <v>#N/A</v>
      </c>
      <c r="S2045" s="282" t="e">
        <f>++Tabla4[[#This Row],[U. Bruta Uni]]*Tabla4[[#This Row],[Cantidad]]</f>
        <v>#N/A</v>
      </c>
      <c r="T2045" s="369" t="str">
        <f>VLOOKUP(Tabla4[[#This Row],[Producto]],Tabla6[#All],14,FALSE)</f>
        <v>Termico Solar</v>
      </c>
      <c r="U2045" s="284" t="e">
        <f>(IF(Tabla4[[#This Row],[Familia]]="termico solar",Tabla4[[#This Row],[Utilidad Total]]*6%,Tabla4[[#This Row],[Utilidad Total]]*11.5%))/Tabla4[[#This Row],[Total]]</f>
        <v>#N/A</v>
      </c>
      <c r="V2045" s="282" t="e">
        <f>+Tabla4[[#This Row],[Comisión Calculada]]*Tabla4[[#This Row],[Total]]</f>
        <v>#N/A</v>
      </c>
    </row>
    <row r="2046" spans="1:22" hidden="1" x14ac:dyDescent="0.25">
      <c r="A2046" s="100">
        <v>45762</v>
      </c>
      <c r="B2046" t="str">
        <f t="shared" si="105"/>
        <v>April</v>
      </c>
      <c r="C2046" s="46" t="s">
        <v>280</v>
      </c>
      <c r="F2046" s="366" t="s">
        <v>1489</v>
      </c>
      <c r="G2046" s="46" t="s">
        <v>17</v>
      </c>
      <c r="H2046" s="46">
        <v>2</v>
      </c>
      <c r="I2046" s="51">
        <v>4622.28</v>
      </c>
      <c r="J2046" s="281">
        <f>++Tabla4[[#This Row],[Precio Bruto]]*1.16</f>
        <v>5361.8447999999989</v>
      </c>
      <c r="K2046" s="281">
        <f>+Tabla4[[#This Row],[Precio Unitario Neto]]*Tabla4[[#Headers],[20.85%]]</f>
        <v>1117.9446407999997</v>
      </c>
      <c r="L2046" s="282">
        <f>++Tabla4[[#This Row],[Precio Unitario Neto]]-Tabla4[[#This Row],[20.85%]]</f>
        <v>4243.9001591999995</v>
      </c>
      <c r="M2046" s="282" t="e">
        <f>(INDEX(Tabla6[#All],MATCH(Tabla4[[#This Row],[Producto]],Tabla6[[#All],[PRODUCTO]],0),MATCH(Tabla4[[#This Row],[Mes]],Tabla6[#Headers],0)))*(1+Catalogos!$L$2)</f>
        <v>#N/A</v>
      </c>
      <c r="N2046" s="283" t="e">
        <f>+(Tabla4[[#This Row],[Precio Descontado]]-Tabla4[[#This Row],[Precio Base]])*Tabla4[[#This Row],[Cantidad]]</f>
        <v>#N/A</v>
      </c>
      <c r="O2046" s="284" t="e">
        <f>++Tabla4[[#This Row],[Utilidad Total]]/Tabla4[[#This Row],[Total]]</f>
        <v>#N/A</v>
      </c>
      <c r="P2046" s="282">
        <f>++Tabla4[[#This Row],[Precio Descontado]]*Tabla4[[#This Row],[Cantidad]]</f>
        <v>8487.800318399999</v>
      </c>
      <c r="Q2046" s="282" t="e">
        <f>(INDEX(Tabla6[#All],MATCH(Tabla4[[#This Row],[Producto]],Tabla6[[#All],[PRODUCTO]],0),MATCH(Tabla4[[#This Row],[Mes]],Tabla6[#Headers],0)))</f>
        <v>#N/A</v>
      </c>
      <c r="R2046" s="282" t="e">
        <f>++Tabla4[[#This Row],[Precio Unitario Neto]]-Tabla4[[#This Row],[20.85%]]-Tabla4[[#This Row],[Costo]]</f>
        <v>#N/A</v>
      </c>
      <c r="S2046" s="282" t="e">
        <f>++Tabla4[[#This Row],[U. Bruta Uni]]*Tabla4[[#This Row],[Cantidad]]</f>
        <v>#N/A</v>
      </c>
      <c r="T2046" s="369" t="str">
        <f>VLOOKUP(Tabla4[[#This Row],[Producto]],Tabla6[#All],14,FALSE)</f>
        <v>Termico Solar</v>
      </c>
      <c r="U2046" s="284" t="e">
        <f>(IF(Tabla4[[#This Row],[Familia]]="termico solar",Tabla4[[#This Row],[Utilidad Total]]*6%,Tabla4[[#This Row],[Utilidad Total]]*11.5%))/Tabla4[[#This Row],[Total]]</f>
        <v>#N/A</v>
      </c>
      <c r="V2046" s="282" t="e">
        <f>+Tabla4[[#This Row],[Comisión Calculada]]*Tabla4[[#This Row],[Total]]</f>
        <v>#N/A</v>
      </c>
    </row>
    <row r="2047" spans="1:22" hidden="1" x14ac:dyDescent="0.25">
      <c r="A2047" s="100">
        <v>45762</v>
      </c>
      <c r="B2047" t="str">
        <f t="shared" si="105"/>
        <v>April</v>
      </c>
      <c r="C2047" s="46" t="s">
        <v>280</v>
      </c>
      <c r="F2047" s="366" t="s">
        <v>1490</v>
      </c>
      <c r="G2047" s="46" t="s">
        <v>83</v>
      </c>
      <c r="H2047" s="46">
        <v>1</v>
      </c>
      <c r="I2047" s="51">
        <v>8858.76</v>
      </c>
      <c r="J2047" s="281">
        <f>++Tabla4[[#This Row],[Precio Bruto]]*1.16</f>
        <v>10276.161599999999</v>
      </c>
      <c r="K2047" s="281">
        <f>+Tabla4[[#This Row],[Precio Unitario Neto]]*Tabla4[[#Headers],[20.85%]]</f>
        <v>2142.5796935999997</v>
      </c>
      <c r="L2047" s="282">
        <f>++Tabla4[[#This Row],[Precio Unitario Neto]]-Tabla4[[#This Row],[20.85%]]</f>
        <v>8133.5819063999998</v>
      </c>
      <c r="M2047" s="282" t="e">
        <f>(INDEX(Tabla6[#All],MATCH(Tabla4[[#This Row],[Producto]],Tabla6[[#All],[PRODUCTO]],0),MATCH(Tabla4[[#This Row],[Mes]],Tabla6[#Headers],0)))*(1+Catalogos!$L$2)</f>
        <v>#N/A</v>
      </c>
      <c r="N2047" s="283" t="e">
        <f>+(Tabla4[[#This Row],[Precio Descontado]]-Tabla4[[#This Row],[Precio Base]])*Tabla4[[#This Row],[Cantidad]]</f>
        <v>#N/A</v>
      </c>
      <c r="O2047" s="284" t="e">
        <f>++Tabla4[[#This Row],[Utilidad Total]]/Tabla4[[#This Row],[Total]]</f>
        <v>#N/A</v>
      </c>
      <c r="P2047" s="282">
        <f>++Tabla4[[#This Row],[Precio Descontado]]*Tabla4[[#This Row],[Cantidad]]</f>
        <v>8133.5819063999998</v>
      </c>
      <c r="Q2047" s="282" t="e">
        <f>(INDEX(Tabla6[#All],MATCH(Tabla4[[#This Row],[Producto]],Tabla6[[#All],[PRODUCTO]],0),MATCH(Tabla4[[#This Row],[Mes]],Tabla6[#Headers],0)))</f>
        <v>#N/A</v>
      </c>
      <c r="R2047" s="282" t="e">
        <f>++Tabla4[[#This Row],[Precio Unitario Neto]]-Tabla4[[#This Row],[20.85%]]-Tabla4[[#This Row],[Costo]]</f>
        <v>#N/A</v>
      </c>
      <c r="S2047" s="282" t="e">
        <f>++Tabla4[[#This Row],[U. Bruta Uni]]*Tabla4[[#This Row],[Cantidad]]</f>
        <v>#N/A</v>
      </c>
      <c r="T2047" s="369" t="str">
        <f>VLOOKUP(Tabla4[[#This Row],[Producto]],Tabla6[#All],14,FALSE)</f>
        <v>Termico Solar</v>
      </c>
      <c r="U2047" s="284" t="e">
        <f>(IF(Tabla4[[#This Row],[Familia]]="termico solar",Tabla4[[#This Row],[Utilidad Total]]*6%,Tabla4[[#This Row],[Utilidad Total]]*11.5%))/Tabla4[[#This Row],[Total]]</f>
        <v>#N/A</v>
      </c>
      <c r="V2047" s="282" t="e">
        <f>+Tabla4[[#This Row],[Comisión Calculada]]*Tabla4[[#This Row],[Total]]</f>
        <v>#N/A</v>
      </c>
    </row>
    <row r="2048" spans="1:22" hidden="1" x14ac:dyDescent="0.25">
      <c r="A2048" s="100">
        <v>45762</v>
      </c>
      <c r="B2048" t="str">
        <f t="shared" si="105"/>
        <v>April</v>
      </c>
      <c r="C2048" s="46" t="s">
        <v>280</v>
      </c>
      <c r="F2048" s="366" t="s">
        <v>1490</v>
      </c>
      <c r="G2048" s="46" t="s">
        <v>18</v>
      </c>
      <c r="H2048" s="46">
        <v>1</v>
      </c>
      <c r="I2048" s="51">
        <v>5367.65</v>
      </c>
      <c r="J2048" s="281">
        <f>++Tabla4[[#This Row],[Precio Bruto]]*1.16</f>
        <v>6226.4739999999993</v>
      </c>
      <c r="K2048" s="281">
        <f>+Tabla4[[#This Row],[Precio Unitario Neto]]*Tabla4[[#Headers],[20.85%]]</f>
        <v>1298.2198289999999</v>
      </c>
      <c r="L2048" s="282">
        <f>++Tabla4[[#This Row],[Precio Unitario Neto]]-Tabla4[[#This Row],[20.85%]]</f>
        <v>4928.2541709999996</v>
      </c>
      <c r="M2048" s="282" t="e">
        <f>(INDEX(Tabla6[#All],MATCH(Tabla4[[#This Row],[Producto]],Tabla6[[#All],[PRODUCTO]],0),MATCH(Tabla4[[#This Row],[Mes]],Tabla6[#Headers],0)))*(1+Catalogos!$L$2)</f>
        <v>#N/A</v>
      </c>
      <c r="N2048" s="283" t="e">
        <f>+(Tabla4[[#This Row],[Precio Descontado]]-Tabla4[[#This Row],[Precio Base]])*Tabla4[[#This Row],[Cantidad]]</f>
        <v>#N/A</v>
      </c>
      <c r="O2048" s="284" t="e">
        <f>++Tabla4[[#This Row],[Utilidad Total]]/Tabla4[[#This Row],[Total]]</f>
        <v>#N/A</v>
      </c>
      <c r="P2048" s="282">
        <f>++Tabla4[[#This Row],[Precio Descontado]]*Tabla4[[#This Row],[Cantidad]]</f>
        <v>4928.2541709999996</v>
      </c>
      <c r="Q2048" s="282" t="e">
        <f>(INDEX(Tabla6[#All],MATCH(Tabla4[[#This Row],[Producto]],Tabla6[[#All],[PRODUCTO]],0),MATCH(Tabla4[[#This Row],[Mes]],Tabla6[#Headers],0)))</f>
        <v>#N/A</v>
      </c>
      <c r="R2048" s="282" t="e">
        <f>++Tabla4[[#This Row],[Precio Unitario Neto]]-Tabla4[[#This Row],[20.85%]]-Tabla4[[#This Row],[Costo]]</f>
        <v>#N/A</v>
      </c>
      <c r="S2048" s="282" t="e">
        <f>++Tabla4[[#This Row],[U. Bruta Uni]]*Tabla4[[#This Row],[Cantidad]]</f>
        <v>#N/A</v>
      </c>
      <c r="T2048" s="369" t="str">
        <f>VLOOKUP(Tabla4[[#This Row],[Producto]],Tabla6[#All],14,FALSE)</f>
        <v>Termico Solar</v>
      </c>
      <c r="U2048" s="284" t="e">
        <f>(IF(Tabla4[[#This Row],[Familia]]="termico solar",Tabla4[[#This Row],[Utilidad Total]]*6%,Tabla4[[#This Row],[Utilidad Total]]*11.5%))/Tabla4[[#This Row],[Total]]</f>
        <v>#N/A</v>
      </c>
      <c r="V2048" s="282" t="e">
        <f>+Tabla4[[#This Row],[Comisión Calculada]]*Tabla4[[#This Row],[Total]]</f>
        <v>#N/A</v>
      </c>
    </row>
    <row r="2049" spans="1:22" hidden="1" x14ac:dyDescent="0.25">
      <c r="A2049" s="100">
        <v>45762</v>
      </c>
      <c r="B2049" t="str">
        <f t="shared" si="105"/>
        <v>April</v>
      </c>
      <c r="C2049" s="46" t="s">
        <v>280</v>
      </c>
      <c r="F2049" s="366" t="s">
        <v>1490</v>
      </c>
      <c r="G2049" s="46" t="s">
        <v>566</v>
      </c>
      <c r="H2049" s="46">
        <v>2</v>
      </c>
      <c r="I2049" s="51">
        <v>2109.4499999999998</v>
      </c>
      <c r="J2049" s="281">
        <f>++Tabla4[[#This Row],[Precio Bruto]]*1.16</f>
        <v>2446.9619999999995</v>
      </c>
      <c r="K2049" s="281">
        <f>+Tabla4[[#This Row],[Precio Unitario Neto]]*Tabla4[[#Headers],[20.85%]]</f>
        <v>510.19157699999988</v>
      </c>
      <c r="L2049" s="282">
        <f>++Tabla4[[#This Row],[Precio Unitario Neto]]-Tabla4[[#This Row],[20.85%]]</f>
        <v>1936.7704229999997</v>
      </c>
      <c r="M2049" s="282" t="e">
        <f>(INDEX(Tabla6[#All],MATCH(Tabla4[[#This Row],[Producto]],Tabla6[[#All],[PRODUCTO]],0),MATCH(Tabla4[[#This Row],[Mes]],Tabla6[#Headers],0)))*(1+Catalogos!$L$2)</f>
        <v>#N/A</v>
      </c>
      <c r="N2049" s="283" t="e">
        <f>+(Tabla4[[#This Row],[Precio Descontado]]-Tabla4[[#This Row],[Precio Base]])*Tabla4[[#This Row],[Cantidad]]</f>
        <v>#N/A</v>
      </c>
      <c r="O2049" s="284" t="e">
        <f>++Tabla4[[#This Row],[Utilidad Total]]/Tabla4[[#This Row],[Total]]</f>
        <v>#N/A</v>
      </c>
      <c r="P2049" s="282">
        <f>++Tabla4[[#This Row],[Precio Descontado]]*Tabla4[[#This Row],[Cantidad]]</f>
        <v>3873.5408459999994</v>
      </c>
      <c r="Q2049" s="282" t="e">
        <f>(INDEX(Tabla6[#All],MATCH(Tabla4[[#This Row],[Producto]],Tabla6[[#All],[PRODUCTO]],0),MATCH(Tabla4[[#This Row],[Mes]],Tabla6[#Headers],0)))</f>
        <v>#N/A</v>
      </c>
      <c r="R2049" s="282" t="e">
        <f>++Tabla4[[#This Row],[Precio Unitario Neto]]-Tabla4[[#This Row],[20.85%]]-Tabla4[[#This Row],[Costo]]</f>
        <v>#N/A</v>
      </c>
      <c r="S2049" s="282" t="e">
        <f>++Tabla4[[#This Row],[U. Bruta Uni]]*Tabla4[[#This Row],[Cantidad]]</f>
        <v>#N/A</v>
      </c>
      <c r="T2049" s="369" t="str">
        <f>VLOOKUP(Tabla4[[#This Row],[Producto]],Tabla6[#All],14,FALSE)</f>
        <v>Termico Solar</v>
      </c>
      <c r="U2049" s="284" t="e">
        <f>(IF(Tabla4[[#This Row],[Familia]]="termico solar",Tabla4[[#This Row],[Utilidad Total]]*6%,Tabla4[[#This Row],[Utilidad Total]]*11.5%))/Tabla4[[#This Row],[Total]]</f>
        <v>#N/A</v>
      </c>
      <c r="V2049" s="282" t="e">
        <f>+Tabla4[[#This Row],[Comisión Calculada]]*Tabla4[[#This Row],[Total]]</f>
        <v>#N/A</v>
      </c>
    </row>
    <row r="2050" spans="1:22" hidden="1" x14ac:dyDescent="0.25">
      <c r="A2050" s="100">
        <v>45762</v>
      </c>
      <c r="B2050" t="str">
        <f t="shared" si="105"/>
        <v>April</v>
      </c>
      <c r="C2050" s="46" t="s">
        <v>280</v>
      </c>
      <c r="F2050" s="366" t="s">
        <v>1491</v>
      </c>
      <c r="G2050" s="46" t="s">
        <v>83</v>
      </c>
      <c r="H2050" s="46">
        <v>1</v>
      </c>
      <c r="I2050" s="51">
        <v>8858.76</v>
      </c>
      <c r="J2050" s="281">
        <f>++Tabla4[[#This Row],[Precio Bruto]]*1.16</f>
        <v>10276.161599999999</v>
      </c>
      <c r="K2050" s="281">
        <f>+Tabla4[[#This Row],[Precio Unitario Neto]]*Tabla4[[#Headers],[20.85%]]</f>
        <v>2142.5796935999997</v>
      </c>
      <c r="L2050" s="282">
        <f>++Tabla4[[#This Row],[Precio Unitario Neto]]-Tabla4[[#This Row],[20.85%]]</f>
        <v>8133.5819063999998</v>
      </c>
      <c r="M2050" s="282" t="e">
        <f>(INDEX(Tabla6[#All],MATCH(Tabla4[[#This Row],[Producto]],Tabla6[[#All],[PRODUCTO]],0),MATCH(Tabla4[[#This Row],[Mes]],Tabla6[#Headers],0)))*(1+Catalogos!$L$2)</f>
        <v>#N/A</v>
      </c>
      <c r="N2050" s="283" t="e">
        <f>+(Tabla4[[#This Row],[Precio Descontado]]-Tabla4[[#This Row],[Precio Base]])*Tabla4[[#This Row],[Cantidad]]</f>
        <v>#N/A</v>
      </c>
      <c r="O2050" s="284" t="e">
        <f>++Tabla4[[#This Row],[Utilidad Total]]/Tabla4[[#This Row],[Total]]</f>
        <v>#N/A</v>
      </c>
      <c r="P2050" s="282">
        <f>++Tabla4[[#This Row],[Precio Descontado]]*Tabla4[[#This Row],[Cantidad]]</f>
        <v>8133.5819063999998</v>
      </c>
      <c r="Q2050" s="282" t="e">
        <f>(INDEX(Tabla6[#All],MATCH(Tabla4[[#This Row],[Producto]],Tabla6[[#All],[PRODUCTO]],0),MATCH(Tabla4[[#This Row],[Mes]],Tabla6[#Headers],0)))</f>
        <v>#N/A</v>
      </c>
      <c r="R2050" s="282" t="e">
        <f>++Tabla4[[#This Row],[Precio Unitario Neto]]-Tabla4[[#This Row],[20.85%]]-Tabla4[[#This Row],[Costo]]</f>
        <v>#N/A</v>
      </c>
      <c r="S2050" s="282" t="e">
        <f>++Tabla4[[#This Row],[U. Bruta Uni]]*Tabla4[[#This Row],[Cantidad]]</f>
        <v>#N/A</v>
      </c>
      <c r="T2050" s="369" t="str">
        <f>VLOOKUP(Tabla4[[#This Row],[Producto]],Tabla6[#All],14,FALSE)</f>
        <v>Termico Solar</v>
      </c>
      <c r="U2050" s="284" t="e">
        <f>(IF(Tabla4[[#This Row],[Familia]]="termico solar",Tabla4[[#This Row],[Utilidad Total]]*6%,Tabla4[[#This Row],[Utilidad Total]]*11.5%))/Tabla4[[#This Row],[Total]]</f>
        <v>#N/A</v>
      </c>
      <c r="V2050" s="282" t="e">
        <f>+Tabla4[[#This Row],[Comisión Calculada]]*Tabla4[[#This Row],[Total]]</f>
        <v>#N/A</v>
      </c>
    </row>
    <row r="2051" spans="1:22" hidden="1" x14ac:dyDescent="0.25">
      <c r="A2051" s="100">
        <v>45762</v>
      </c>
      <c r="B2051" t="str">
        <f t="shared" si="105"/>
        <v>April</v>
      </c>
      <c r="C2051" s="46" t="s">
        <v>280</v>
      </c>
      <c r="F2051" s="366" t="s">
        <v>1491</v>
      </c>
      <c r="G2051" s="46" t="s">
        <v>18</v>
      </c>
      <c r="H2051" s="46">
        <v>3</v>
      </c>
      <c r="I2051" s="51">
        <v>5367.6500000000005</v>
      </c>
      <c r="J2051" s="281">
        <f>++Tabla4[[#This Row],[Precio Bruto]]*1.16</f>
        <v>6226.4740000000002</v>
      </c>
      <c r="K2051" s="281">
        <f>+Tabla4[[#This Row],[Precio Unitario Neto]]*Tabla4[[#Headers],[20.85%]]</f>
        <v>1298.2198289999999</v>
      </c>
      <c r="L2051" s="282">
        <f>++Tabla4[[#This Row],[Precio Unitario Neto]]-Tabla4[[#This Row],[20.85%]]</f>
        <v>4928.2541710000005</v>
      </c>
      <c r="M2051" s="282" t="e">
        <f>(INDEX(Tabla6[#All],MATCH(Tabla4[[#This Row],[Producto]],Tabla6[[#All],[PRODUCTO]],0),MATCH(Tabla4[[#This Row],[Mes]],Tabla6[#Headers],0)))*(1+Catalogos!$L$2)</f>
        <v>#N/A</v>
      </c>
      <c r="N2051" s="283" t="e">
        <f>+(Tabla4[[#This Row],[Precio Descontado]]-Tabla4[[#This Row],[Precio Base]])*Tabla4[[#This Row],[Cantidad]]</f>
        <v>#N/A</v>
      </c>
      <c r="O2051" s="284" t="e">
        <f>++Tabla4[[#This Row],[Utilidad Total]]/Tabla4[[#This Row],[Total]]</f>
        <v>#N/A</v>
      </c>
      <c r="P2051" s="282">
        <f>++Tabla4[[#This Row],[Precio Descontado]]*Tabla4[[#This Row],[Cantidad]]</f>
        <v>14784.762513000001</v>
      </c>
      <c r="Q2051" s="282" t="e">
        <f>(INDEX(Tabla6[#All],MATCH(Tabla4[[#This Row],[Producto]],Tabla6[[#All],[PRODUCTO]],0),MATCH(Tabla4[[#This Row],[Mes]],Tabla6[#Headers],0)))</f>
        <v>#N/A</v>
      </c>
      <c r="R2051" s="282" t="e">
        <f>++Tabla4[[#This Row],[Precio Unitario Neto]]-Tabla4[[#This Row],[20.85%]]-Tabla4[[#This Row],[Costo]]</f>
        <v>#N/A</v>
      </c>
      <c r="S2051" s="282" t="e">
        <f>++Tabla4[[#This Row],[U. Bruta Uni]]*Tabla4[[#This Row],[Cantidad]]</f>
        <v>#N/A</v>
      </c>
      <c r="T2051" s="369" t="str">
        <f>VLOOKUP(Tabla4[[#This Row],[Producto]],Tabla6[#All],14,FALSE)</f>
        <v>Termico Solar</v>
      </c>
      <c r="U2051" s="284" t="e">
        <f>(IF(Tabla4[[#This Row],[Familia]]="termico solar",Tabla4[[#This Row],[Utilidad Total]]*6%,Tabla4[[#This Row],[Utilidad Total]]*11.5%))/Tabla4[[#This Row],[Total]]</f>
        <v>#N/A</v>
      </c>
      <c r="V2051" s="282" t="e">
        <f>+Tabla4[[#This Row],[Comisión Calculada]]*Tabla4[[#This Row],[Total]]</f>
        <v>#N/A</v>
      </c>
    </row>
    <row r="2052" spans="1:22" hidden="1" x14ac:dyDescent="0.25">
      <c r="A2052" s="100">
        <v>45762</v>
      </c>
      <c r="B2052" t="str">
        <f t="shared" si="105"/>
        <v>April</v>
      </c>
      <c r="C2052" s="46" t="s">
        <v>280</v>
      </c>
      <c r="F2052" s="366" t="s">
        <v>1491</v>
      </c>
      <c r="G2052" s="46" t="s">
        <v>566</v>
      </c>
      <c r="H2052" s="46">
        <v>1</v>
      </c>
      <c r="I2052" s="51">
        <v>2109.4499999999998</v>
      </c>
      <c r="J2052" s="281">
        <f>++Tabla4[[#This Row],[Precio Bruto]]*1.16</f>
        <v>2446.9619999999995</v>
      </c>
      <c r="K2052" s="281">
        <f>+Tabla4[[#This Row],[Precio Unitario Neto]]*Tabla4[[#Headers],[20.85%]]</f>
        <v>510.19157699999988</v>
      </c>
      <c r="L2052" s="282">
        <f>++Tabla4[[#This Row],[Precio Unitario Neto]]-Tabla4[[#This Row],[20.85%]]</f>
        <v>1936.7704229999997</v>
      </c>
      <c r="M2052" s="282" t="e">
        <f>(INDEX(Tabla6[#All],MATCH(Tabla4[[#This Row],[Producto]],Tabla6[[#All],[PRODUCTO]],0),MATCH(Tabla4[[#This Row],[Mes]],Tabla6[#Headers],0)))*(1+Catalogos!$L$2)</f>
        <v>#N/A</v>
      </c>
      <c r="N2052" s="283" t="e">
        <f>+(Tabla4[[#This Row],[Precio Descontado]]-Tabla4[[#This Row],[Precio Base]])*Tabla4[[#This Row],[Cantidad]]</f>
        <v>#N/A</v>
      </c>
      <c r="O2052" s="284" t="e">
        <f>++Tabla4[[#This Row],[Utilidad Total]]/Tabla4[[#This Row],[Total]]</f>
        <v>#N/A</v>
      </c>
      <c r="P2052" s="282">
        <f>++Tabla4[[#This Row],[Precio Descontado]]*Tabla4[[#This Row],[Cantidad]]</f>
        <v>1936.7704229999997</v>
      </c>
      <c r="Q2052" s="282" t="e">
        <f>(INDEX(Tabla6[#All],MATCH(Tabla4[[#This Row],[Producto]],Tabla6[[#All],[PRODUCTO]],0),MATCH(Tabla4[[#This Row],[Mes]],Tabla6[#Headers],0)))</f>
        <v>#N/A</v>
      </c>
      <c r="R2052" s="282" t="e">
        <f>++Tabla4[[#This Row],[Precio Unitario Neto]]-Tabla4[[#This Row],[20.85%]]-Tabla4[[#This Row],[Costo]]</f>
        <v>#N/A</v>
      </c>
      <c r="S2052" s="282" t="e">
        <f>++Tabla4[[#This Row],[U. Bruta Uni]]*Tabla4[[#This Row],[Cantidad]]</f>
        <v>#N/A</v>
      </c>
      <c r="T2052" s="369" t="str">
        <f>VLOOKUP(Tabla4[[#This Row],[Producto]],Tabla6[#All],14,FALSE)</f>
        <v>Termico Solar</v>
      </c>
      <c r="U2052" s="284" t="e">
        <f>(IF(Tabla4[[#This Row],[Familia]]="termico solar",Tabla4[[#This Row],[Utilidad Total]]*6%,Tabla4[[#This Row],[Utilidad Total]]*11.5%))/Tabla4[[#This Row],[Total]]</f>
        <v>#N/A</v>
      </c>
      <c r="V2052" s="282" t="e">
        <f>+Tabla4[[#This Row],[Comisión Calculada]]*Tabla4[[#This Row],[Total]]</f>
        <v>#N/A</v>
      </c>
    </row>
    <row r="2053" spans="1:22" hidden="1" x14ac:dyDescent="0.25">
      <c r="A2053" s="100">
        <v>45762</v>
      </c>
      <c r="B2053" t="str">
        <f t="shared" si="105"/>
        <v>April</v>
      </c>
      <c r="C2053" s="46" t="s">
        <v>280</v>
      </c>
      <c r="F2053" s="366" t="s">
        <v>1491</v>
      </c>
      <c r="G2053" s="46" t="s">
        <v>16</v>
      </c>
      <c r="H2053" s="46">
        <v>4</v>
      </c>
      <c r="I2053" s="51">
        <v>4103.8500000000004</v>
      </c>
      <c r="J2053" s="281">
        <f>++Tabla4[[#This Row],[Precio Bruto]]*1.16</f>
        <v>4760.4660000000003</v>
      </c>
      <c r="K2053" s="281">
        <f>+Tabla4[[#This Row],[Precio Unitario Neto]]*Tabla4[[#Headers],[20.85%]]</f>
        <v>992.55716100000006</v>
      </c>
      <c r="L2053" s="282">
        <f>++Tabla4[[#This Row],[Precio Unitario Neto]]-Tabla4[[#This Row],[20.85%]]</f>
        <v>3767.9088390000002</v>
      </c>
      <c r="M2053" s="282" t="e">
        <f>(INDEX(Tabla6[#All],MATCH(Tabla4[[#This Row],[Producto]],Tabla6[[#All],[PRODUCTO]],0),MATCH(Tabla4[[#This Row],[Mes]],Tabla6[#Headers],0)))*(1+Catalogos!$L$2)</f>
        <v>#N/A</v>
      </c>
      <c r="N2053" s="283" t="e">
        <f>+(Tabla4[[#This Row],[Precio Descontado]]-Tabla4[[#This Row],[Precio Base]])*Tabla4[[#This Row],[Cantidad]]</f>
        <v>#N/A</v>
      </c>
      <c r="O2053" s="284" t="e">
        <f>++Tabla4[[#This Row],[Utilidad Total]]/Tabla4[[#This Row],[Total]]</f>
        <v>#N/A</v>
      </c>
      <c r="P2053" s="282">
        <f>++Tabla4[[#This Row],[Precio Descontado]]*Tabla4[[#This Row],[Cantidad]]</f>
        <v>15071.635356000001</v>
      </c>
      <c r="Q2053" s="282" t="e">
        <f>(INDEX(Tabla6[#All],MATCH(Tabla4[[#This Row],[Producto]],Tabla6[[#All],[PRODUCTO]],0),MATCH(Tabla4[[#This Row],[Mes]],Tabla6[#Headers],0)))</f>
        <v>#N/A</v>
      </c>
      <c r="R2053" s="282" t="e">
        <f>++Tabla4[[#This Row],[Precio Unitario Neto]]-Tabla4[[#This Row],[20.85%]]-Tabla4[[#This Row],[Costo]]</f>
        <v>#N/A</v>
      </c>
      <c r="S2053" s="282" t="e">
        <f>++Tabla4[[#This Row],[U. Bruta Uni]]*Tabla4[[#This Row],[Cantidad]]</f>
        <v>#N/A</v>
      </c>
      <c r="T2053" s="369" t="str">
        <f>VLOOKUP(Tabla4[[#This Row],[Producto]],Tabla6[#All],14,FALSE)</f>
        <v>Termico Solar</v>
      </c>
      <c r="U2053" s="284" t="e">
        <f>(IF(Tabla4[[#This Row],[Familia]]="termico solar",Tabla4[[#This Row],[Utilidad Total]]*6%,Tabla4[[#This Row],[Utilidad Total]]*11.5%))/Tabla4[[#This Row],[Total]]</f>
        <v>#N/A</v>
      </c>
      <c r="V2053" s="282" t="e">
        <f>+Tabla4[[#This Row],[Comisión Calculada]]*Tabla4[[#This Row],[Total]]</f>
        <v>#N/A</v>
      </c>
    </row>
    <row r="2054" spans="1:22" hidden="1" x14ac:dyDescent="0.25">
      <c r="A2054" s="100">
        <v>45762</v>
      </c>
      <c r="B2054" t="str">
        <f t="shared" si="105"/>
        <v>April</v>
      </c>
      <c r="C2054" s="46" t="s">
        <v>280</v>
      </c>
      <c r="F2054" s="366" t="s">
        <v>1492</v>
      </c>
      <c r="G2054" s="46" t="s">
        <v>17</v>
      </c>
      <c r="H2054" s="46">
        <v>1</v>
      </c>
      <c r="I2054" s="51">
        <v>4622.28</v>
      </c>
      <c r="J2054" s="281">
        <f>++Tabla4[[#This Row],[Precio Bruto]]*1.16</f>
        <v>5361.8447999999989</v>
      </c>
      <c r="K2054" s="281">
        <f>+Tabla4[[#This Row],[Precio Unitario Neto]]*Tabla4[[#Headers],[20.85%]]</f>
        <v>1117.9446407999997</v>
      </c>
      <c r="L2054" s="282">
        <f>++Tabla4[[#This Row],[Precio Unitario Neto]]-Tabla4[[#This Row],[20.85%]]</f>
        <v>4243.9001591999995</v>
      </c>
      <c r="M2054" s="282" t="e">
        <f>(INDEX(Tabla6[#All],MATCH(Tabla4[[#This Row],[Producto]],Tabla6[[#All],[PRODUCTO]],0),MATCH(Tabla4[[#This Row],[Mes]],Tabla6[#Headers],0)))*(1+Catalogos!$L$2)</f>
        <v>#N/A</v>
      </c>
      <c r="N2054" s="283" t="e">
        <f>+(Tabla4[[#This Row],[Precio Descontado]]-Tabla4[[#This Row],[Precio Base]])*Tabla4[[#This Row],[Cantidad]]</f>
        <v>#N/A</v>
      </c>
      <c r="O2054" s="284" t="e">
        <f>++Tabla4[[#This Row],[Utilidad Total]]/Tabla4[[#This Row],[Total]]</f>
        <v>#N/A</v>
      </c>
      <c r="P2054" s="282">
        <f>++Tabla4[[#This Row],[Precio Descontado]]*Tabla4[[#This Row],[Cantidad]]</f>
        <v>4243.9001591999995</v>
      </c>
      <c r="Q2054" s="282" t="e">
        <f>(INDEX(Tabla6[#All],MATCH(Tabla4[[#This Row],[Producto]],Tabla6[[#All],[PRODUCTO]],0),MATCH(Tabla4[[#This Row],[Mes]],Tabla6[#Headers],0)))</f>
        <v>#N/A</v>
      </c>
      <c r="R2054" s="282" t="e">
        <f>++Tabla4[[#This Row],[Precio Unitario Neto]]-Tabla4[[#This Row],[20.85%]]-Tabla4[[#This Row],[Costo]]</f>
        <v>#N/A</v>
      </c>
      <c r="S2054" s="282" t="e">
        <f>++Tabla4[[#This Row],[U. Bruta Uni]]*Tabla4[[#This Row],[Cantidad]]</f>
        <v>#N/A</v>
      </c>
      <c r="T2054" s="369" t="str">
        <f>VLOOKUP(Tabla4[[#This Row],[Producto]],Tabla6[#All],14,FALSE)</f>
        <v>Termico Solar</v>
      </c>
      <c r="U2054" s="284" t="e">
        <f>(IF(Tabla4[[#This Row],[Familia]]="termico solar",Tabla4[[#This Row],[Utilidad Total]]*6%,Tabla4[[#This Row],[Utilidad Total]]*11.5%))/Tabla4[[#This Row],[Total]]</f>
        <v>#N/A</v>
      </c>
      <c r="V2054" s="282" t="e">
        <f>+Tabla4[[#This Row],[Comisión Calculada]]*Tabla4[[#This Row],[Total]]</f>
        <v>#N/A</v>
      </c>
    </row>
    <row r="2055" spans="1:22" hidden="1" x14ac:dyDescent="0.25">
      <c r="A2055" s="100">
        <v>45762</v>
      </c>
      <c r="B2055" t="str">
        <f t="shared" si="105"/>
        <v>April</v>
      </c>
      <c r="C2055" s="46" t="s">
        <v>280</v>
      </c>
      <c r="F2055" s="366" t="s">
        <v>1492</v>
      </c>
      <c r="G2055" s="46" t="s">
        <v>18</v>
      </c>
      <c r="H2055" s="46">
        <v>2</v>
      </c>
      <c r="I2055" s="51">
        <v>5367.65</v>
      </c>
      <c r="J2055" s="281">
        <f>++Tabla4[[#This Row],[Precio Bruto]]*1.16</f>
        <v>6226.4739999999993</v>
      </c>
      <c r="K2055" s="281">
        <f>+Tabla4[[#This Row],[Precio Unitario Neto]]*Tabla4[[#Headers],[20.85%]]</f>
        <v>1298.2198289999999</v>
      </c>
      <c r="L2055" s="282">
        <f>++Tabla4[[#This Row],[Precio Unitario Neto]]-Tabla4[[#This Row],[20.85%]]</f>
        <v>4928.2541709999996</v>
      </c>
      <c r="M2055" s="282" t="e">
        <f>(INDEX(Tabla6[#All],MATCH(Tabla4[[#This Row],[Producto]],Tabla6[[#All],[PRODUCTO]],0),MATCH(Tabla4[[#This Row],[Mes]],Tabla6[#Headers],0)))*(1+Catalogos!$L$2)</f>
        <v>#N/A</v>
      </c>
      <c r="N2055" s="283" t="e">
        <f>+(Tabla4[[#This Row],[Precio Descontado]]-Tabla4[[#This Row],[Precio Base]])*Tabla4[[#This Row],[Cantidad]]</f>
        <v>#N/A</v>
      </c>
      <c r="O2055" s="284" t="e">
        <f>++Tabla4[[#This Row],[Utilidad Total]]/Tabla4[[#This Row],[Total]]</f>
        <v>#N/A</v>
      </c>
      <c r="P2055" s="282">
        <f>++Tabla4[[#This Row],[Precio Descontado]]*Tabla4[[#This Row],[Cantidad]]</f>
        <v>9856.5083419999992</v>
      </c>
      <c r="Q2055" s="282" t="e">
        <f>(INDEX(Tabla6[#All],MATCH(Tabla4[[#This Row],[Producto]],Tabla6[[#All],[PRODUCTO]],0),MATCH(Tabla4[[#This Row],[Mes]],Tabla6[#Headers],0)))</f>
        <v>#N/A</v>
      </c>
      <c r="R2055" s="282" t="e">
        <f>++Tabla4[[#This Row],[Precio Unitario Neto]]-Tabla4[[#This Row],[20.85%]]-Tabla4[[#This Row],[Costo]]</f>
        <v>#N/A</v>
      </c>
      <c r="S2055" s="282" t="e">
        <f>++Tabla4[[#This Row],[U. Bruta Uni]]*Tabla4[[#This Row],[Cantidad]]</f>
        <v>#N/A</v>
      </c>
      <c r="T2055" s="369" t="str">
        <f>VLOOKUP(Tabla4[[#This Row],[Producto]],Tabla6[#All],14,FALSE)</f>
        <v>Termico Solar</v>
      </c>
      <c r="U2055" s="284" t="e">
        <f>(IF(Tabla4[[#This Row],[Familia]]="termico solar",Tabla4[[#This Row],[Utilidad Total]]*6%,Tabla4[[#This Row],[Utilidad Total]]*11.5%))/Tabla4[[#This Row],[Total]]</f>
        <v>#N/A</v>
      </c>
      <c r="V2055" s="282" t="e">
        <f>+Tabla4[[#This Row],[Comisión Calculada]]*Tabla4[[#This Row],[Total]]</f>
        <v>#N/A</v>
      </c>
    </row>
    <row r="2056" spans="1:22" hidden="1" x14ac:dyDescent="0.25">
      <c r="A2056" s="100">
        <v>45762</v>
      </c>
      <c r="B2056" t="str">
        <f t="shared" si="105"/>
        <v>April</v>
      </c>
      <c r="C2056" s="46" t="s">
        <v>280</v>
      </c>
      <c r="F2056" s="366" t="s">
        <v>1492</v>
      </c>
      <c r="G2056" s="46" t="s">
        <v>16</v>
      </c>
      <c r="H2056" s="46">
        <v>2</v>
      </c>
      <c r="I2056" s="51">
        <v>4103.8500000000004</v>
      </c>
      <c r="J2056" s="281">
        <f>++Tabla4[[#This Row],[Precio Bruto]]*1.16</f>
        <v>4760.4660000000003</v>
      </c>
      <c r="K2056" s="281">
        <f>+Tabla4[[#This Row],[Precio Unitario Neto]]*Tabla4[[#Headers],[20.85%]]</f>
        <v>992.55716100000006</v>
      </c>
      <c r="L2056" s="282">
        <f>++Tabla4[[#This Row],[Precio Unitario Neto]]-Tabla4[[#This Row],[20.85%]]</f>
        <v>3767.9088390000002</v>
      </c>
      <c r="M2056" s="282" t="e">
        <f>(INDEX(Tabla6[#All],MATCH(Tabla4[[#This Row],[Producto]],Tabla6[[#All],[PRODUCTO]],0),MATCH(Tabla4[[#This Row],[Mes]],Tabla6[#Headers],0)))*(1+Catalogos!$L$2)</f>
        <v>#N/A</v>
      </c>
      <c r="N2056" s="283" t="e">
        <f>+(Tabla4[[#This Row],[Precio Descontado]]-Tabla4[[#This Row],[Precio Base]])*Tabla4[[#This Row],[Cantidad]]</f>
        <v>#N/A</v>
      </c>
      <c r="O2056" s="284" t="e">
        <f>++Tabla4[[#This Row],[Utilidad Total]]/Tabla4[[#This Row],[Total]]</f>
        <v>#N/A</v>
      </c>
      <c r="P2056" s="282">
        <f>++Tabla4[[#This Row],[Precio Descontado]]*Tabla4[[#This Row],[Cantidad]]</f>
        <v>7535.8176780000003</v>
      </c>
      <c r="Q2056" s="282" t="e">
        <f>(INDEX(Tabla6[#All],MATCH(Tabla4[[#This Row],[Producto]],Tabla6[[#All],[PRODUCTO]],0),MATCH(Tabla4[[#This Row],[Mes]],Tabla6[#Headers],0)))</f>
        <v>#N/A</v>
      </c>
      <c r="R2056" s="282" t="e">
        <f>++Tabla4[[#This Row],[Precio Unitario Neto]]-Tabla4[[#This Row],[20.85%]]-Tabla4[[#This Row],[Costo]]</f>
        <v>#N/A</v>
      </c>
      <c r="S2056" s="282" t="e">
        <f>++Tabla4[[#This Row],[U. Bruta Uni]]*Tabla4[[#This Row],[Cantidad]]</f>
        <v>#N/A</v>
      </c>
      <c r="T2056" s="369" t="str">
        <f>VLOOKUP(Tabla4[[#This Row],[Producto]],Tabla6[#All],14,FALSE)</f>
        <v>Termico Solar</v>
      </c>
      <c r="U2056" s="284" t="e">
        <f>(IF(Tabla4[[#This Row],[Familia]]="termico solar",Tabla4[[#This Row],[Utilidad Total]]*6%,Tabla4[[#This Row],[Utilidad Total]]*11.5%))/Tabla4[[#This Row],[Total]]</f>
        <v>#N/A</v>
      </c>
      <c r="V2056" s="282" t="e">
        <f>+Tabla4[[#This Row],[Comisión Calculada]]*Tabla4[[#This Row],[Total]]</f>
        <v>#N/A</v>
      </c>
    </row>
    <row r="2057" spans="1:22" hidden="1" x14ac:dyDescent="0.25">
      <c r="A2057" s="100">
        <v>45762</v>
      </c>
      <c r="B2057" t="str">
        <f t="shared" si="105"/>
        <v>April</v>
      </c>
      <c r="C2057" s="46" t="s">
        <v>280</v>
      </c>
      <c r="F2057" s="366" t="s">
        <v>1493</v>
      </c>
      <c r="G2057" s="46" t="s">
        <v>17</v>
      </c>
      <c r="H2057" s="46">
        <v>2</v>
      </c>
      <c r="I2057" s="51">
        <v>4622.28</v>
      </c>
      <c r="J2057" s="281">
        <f>++Tabla4[[#This Row],[Precio Bruto]]*1.16</f>
        <v>5361.8447999999989</v>
      </c>
      <c r="K2057" s="281">
        <f>+Tabla4[[#This Row],[Precio Unitario Neto]]*Tabla4[[#Headers],[20.85%]]</f>
        <v>1117.9446407999997</v>
      </c>
      <c r="L2057" s="282">
        <f>++Tabla4[[#This Row],[Precio Unitario Neto]]-Tabla4[[#This Row],[20.85%]]</f>
        <v>4243.9001591999995</v>
      </c>
      <c r="M2057" s="282" t="e">
        <f>(INDEX(Tabla6[#All],MATCH(Tabla4[[#This Row],[Producto]],Tabla6[[#All],[PRODUCTO]],0),MATCH(Tabla4[[#This Row],[Mes]],Tabla6[#Headers],0)))*(1+Catalogos!$L$2)</f>
        <v>#N/A</v>
      </c>
      <c r="N2057" s="283" t="e">
        <f>+(Tabla4[[#This Row],[Precio Descontado]]-Tabla4[[#This Row],[Precio Base]])*Tabla4[[#This Row],[Cantidad]]</f>
        <v>#N/A</v>
      </c>
      <c r="O2057" s="284" t="e">
        <f>++Tabla4[[#This Row],[Utilidad Total]]/Tabla4[[#This Row],[Total]]</f>
        <v>#N/A</v>
      </c>
      <c r="P2057" s="282">
        <f>++Tabla4[[#This Row],[Precio Descontado]]*Tabla4[[#This Row],[Cantidad]]</f>
        <v>8487.800318399999</v>
      </c>
      <c r="Q2057" s="282" t="e">
        <f>(INDEX(Tabla6[#All],MATCH(Tabla4[[#This Row],[Producto]],Tabla6[[#All],[PRODUCTO]],0),MATCH(Tabla4[[#This Row],[Mes]],Tabla6[#Headers],0)))</f>
        <v>#N/A</v>
      </c>
      <c r="R2057" s="282" t="e">
        <f>++Tabla4[[#This Row],[Precio Unitario Neto]]-Tabla4[[#This Row],[20.85%]]-Tabla4[[#This Row],[Costo]]</f>
        <v>#N/A</v>
      </c>
      <c r="S2057" s="282" t="e">
        <f>++Tabla4[[#This Row],[U. Bruta Uni]]*Tabla4[[#This Row],[Cantidad]]</f>
        <v>#N/A</v>
      </c>
      <c r="T2057" s="369" t="str">
        <f>VLOOKUP(Tabla4[[#This Row],[Producto]],Tabla6[#All],14,FALSE)</f>
        <v>Termico Solar</v>
      </c>
      <c r="U2057" s="284" t="e">
        <f>(IF(Tabla4[[#This Row],[Familia]]="termico solar",Tabla4[[#This Row],[Utilidad Total]]*6%,Tabla4[[#This Row],[Utilidad Total]]*11.5%))/Tabla4[[#This Row],[Total]]</f>
        <v>#N/A</v>
      </c>
      <c r="V2057" s="282" t="e">
        <f>+Tabla4[[#This Row],[Comisión Calculada]]*Tabla4[[#This Row],[Total]]</f>
        <v>#N/A</v>
      </c>
    </row>
    <row r="2058" spans="1:22" hidden="1" x14ac:dyDescent="0.25">
      <c r="A2058" s="100">
        <v>45762</v>
      </c>
      <c r="B2058" t="str">
        <f t="shared" si="105"/>
        <v>April</v>
      </c>
      <c r="C2058" s="46" t="s">
        <v>280</v>
      </c>
      <c r="F2058" s="366" t="s">
        <v>1493</v>
      </c>
      <c r="G2058" s="46" t="s">
        <v>208</v>
      </c>
      <c r="H2058" s="46">
        <v>1</v>
      </c>
      <c r="I2058" s="51">
        <v>189.75</v>
      </c>
      <c r="J2058" s="281">
        <f>++Tabla4[[#This Row],[Precio Bruto]]*1.16</f>
        <v>220.10999999999999</v>
      </c>
      <c r="K2058" s="281">
        <f>+Tabla4[[#This Row],[Precio Unitario Neto]]*Tabla4[[#Headers],[20.85%]]</f>
        <v>45.892934999999994</v>
      </c>
      <c r="L2058" s="282">
        <f>++Tabla4[[#This Row],[Precio Unitario Neto]]-Tabla4[[#This Row],[20.85%]]</f>
        <v>174.21706499999999</v>
      </c>
      <c r="M2058" s="282" t="e">
        <f>(INDEX(Tabla6[#All],MATCH(Tabla4[[#This Row],[Producto]],Tabla6[[#All],[PRODUCTO]],0),MATCH(Tabla4[[#This Row],[Mes]],Tabla6[#Headers],0)))*(1+Catalogos!$L$2)</f>
        <v>#N/A</v>
      </c>
      <c r="N2058" s="283" t="e">
        <f>+(Tabla4[[#This Row],[Precio Descontado]]-Tabla4[[#This Row],[Precio Base]])*Tabla4[[#This Row],[Cantidad]]</f>
        <v>#N/A</v>
      </c>
      <c r="O2058" s="284" t="e">
        <f>++Tabla4[[#This Row],[Utilidad Total]]/Tabla4[[#This Row],[Total]]</f>
        <v>#N/A</v>
      </c>
      <c r="P2058" s="282">
        <f>++Tabla4[[#This Row],[Precio Descontado]]*Tabla4[[#This Row],[Cantidad]]</f>
        <v>174.21706499999999</v>
      </c>
      <c r="Q2058" s="282" t="e">
        <f>(INDEX(Tabla6[#All],MATCH(Tabla4[[#This Row],[Producto]],Tabla6[[#All],[PRODUCTO]],0),MATCH(Tabla4[[#This Row],[Mes]],Tabla6[#Headers],0)))</f>
        <v>#N/A</v>
      </c>
      <c r="R2058" s="282" t="e">
        <f>++Tabla4[[#This Row],[Precio Unitario Neto]]-Tabla4[[#This Row],[20.85%]]-Tabla4[[#This Row],[Costo]]</f>
        <v>#N/A</v>
      </c>
      <c r="S2058" s="282" t="e">
        <f>++Tabla4[[#This Row],[U. Bruta Uni]]*Tabla4[[#This Row],[Cantidad]]</f>
        <v>#N/A</v>
      </c>
      <c r="T2058" s="369" t="str">
        <f>VLOOKUP(Tabla4[[#This Row],[Producto]],Tabla6[#All],14,FALSE)</f>
        <v>Termico Solar</v>
      </c>
      <c r="U2058" s="284" t="e">
        <f>(IF(Tabla4[[#This Row],[Familia]]="termico solar",Tabla4[[#This Row],[Utilidad Total]]*6%,Tabla4[[#This Row],[Utilidad Total]]*11.5%))/Tabla4[[#This Row],[Total]]</f>
        <v>#N/A</v>
      </c>
      <c r="V2058" s="282" t="e">
        <f>+Tabla4[[#This Row],[Comisión Calculada]]*Tabla4[[#This Row],[Total]]</f>
        <v>#N/A</v>
      </c>
    </row>
    <row r="2059" spans="1:22" hidden="1" x14ac:dyDescent="0.25">
      <c r="A2059" s="100">
        <v>45762</v>
      </c>
      <c r="B2059" t="str">
        <f t="shared" si="105"/>
        <v>April</v>
      </c>
      <c r="C2059" s="46" t="s">
        <v>280</v>
      </c>
      <c r="F2059" s="366" t="s">
        <v>1494</v>
      </c>
      <c r="G2059" s="46" t="s">
        <v>83</v>
      </c>
      <c r="H2059" s="46">
        <v>1</v>
      </c>
      <c r="I2059" s="51">
        <v>8858.76</v>
      </c>
      <c r="J2059" s="281">
        <f>++Tabla4[[#This Row],[Precio Bruto]]*1.16</f>
        <v>10276.161599999999</v>
      </c>
      <c r="K2059" s="281">
        <f>+Tabla4[[#This Row],[Precio Unitario Neto]]*Tabla4[[#Headers],[20.85%]]</f>
        <v>2142.5796935999997</v>
      </c>
      <c r="L2059" s="282">
        <f>++Tabla4[[#This Row],[Precio Unitario Neto]]-Tabla4[[#This Row],[20.85%]]</f>
        <v>8133.5819063999998</v>
      </c>
      <c r="M2059" s="282" t="e">
        <f>(INDEX(Tabla6[#All],MATCH(Tabla4[[#This Row],[Producto]],Tabla6[[#All],[PRODUCTO]],0),MATCH(Tabla4[[#This Row],[Mes]],Tabla6[#Headers],0)))*(1+Catalogos!$L$2)</f>
        <v>#N/A</v>
      </c>
      <c r="N2059" s="283" t="e">
        <f>+(Tabla4[[#This Row],[Precio Descontado]]-Tabla4[[#This Row],[Precio Base]])*Tabla4[[#This Row],[Cantidad]]</f>
        <v>#N/A</v>
      </c>
      <c r="O2059" s="284" t="e">
        <f>++Tabla4[[#This Row],[Utilidad Total]]/Tabla4[[#This Row],[Total]]</f>
        <v>#N/A</v>
      </c>
      <c r="P2059" s="282">
        <f>++Tabla4[[#This Row],[Precio Descontado]]*Tabla4[[#This Row],[Cantidad]]</f>
        <v>8133.5819063999998</v>
      </c>
      <c r="Q2059" s="282" t="e">
        <f>(INDEX(Tabla6[#All],MATCH(Tabla4[[#This Row],[Producto]],Tabla6[[#All],[PRODUCTO]],0),MATCH(Tabla4[[#This Row],[Mes]],Tabla6[#Headers],0)))</f>
        <v>#N/A</v>
      </c>
      <c r="R2059" s="282" t="e">
        <f>++Tabla4[[#This Row],[Precio Unitario Neto]]-Tabla4[[#This Row],[20.85%]]-Tabla4[[#This Row],[Costo]]</f>
        <v>#N/A</v>
      </c>
      <c r="S2059" s="282" t="e">
        <f>++Tabla4[[#This Row],[U. Bruta Uni]]*Tabla4[[#This Row],[Cantidad]]</f>
        <v>#N/A</v>
      </c>
      <c r="T2059" s="369" t="str">
        <f>VLOOKUP(Tabla4[[#This Row],[Producto]],Tabla6[#All],14,FALSE)</f>
        <v>Termico Solar</v>
      </c>
      <c r="U2059" s="284" t="e">
        <f>(IF(Tabla4[[#This Row],[Familia]]="termico solar",Tabla4[[#This Row],[Utilidad Total]]*6%,Tabla4[[#This Row],[Utilidad Total]]*11.5%))/Tabla4[[#This Row],[Total]]</f>
        <v>#N/A</v>
      </c>
      <c r="V2059" s="282" t="e">
        <f>+Tabla4[[#This Row],[Comisión Calculada]]*Tabla4[[#This Row],[Total]]</f>
        <v>#N/A</v>
      </c>
    </row>
    <row r="2060" spans="1:22" hidden="1" x14ac:dyDescent="0.25">
      <c r="A2060" s="100">
        <v>45762</v>
      </c>
      <c r="B2060" t="str">
        <f t="shared" si="105"/>
        <v>April</v>
      </c>
      <c r="C2060" s="46" t="s">
        <v>280</v>
      </c>
      <c r="F2060" s="366" t="s">
        <v>1494</v>
      </c>
      <c r="G2060" s="46" t="s">
        <v>18</v>
      </c>
      <c r="H2060" s="46">
        <v>2</v>
      </c>
      <c r="I2060" s="51">
        <v>5367.65</v>
      </c>
      <c r="J2060" s="281">
        <f>++Tabla4[[#This Row],[Precio Bruto]]*1.16</f>
        <v>6226.4739999999993</v>
      </c>
      <c r="K2060" s="281">
        <f>+Tabla4[[#This Row],[Precio Unitario Neto]]*Tabla4[[#Headers],[20.85%]]</f>
        <v>1298.2198289999999</v>
      </c>
      <c r="L2060" s="282">
        <f>++Tabla4[[#This Row],[Precio Unitario Neto]]-Tabla4[[#This Row],[20.85%]]</f>
        <v>4928.2541709999996</v>
      </c>
      <c r="M2060" s="282" t="e">
        <f>(INDEX(Tabla6[#All],MATCH(Tabla4[[#This Row],[Producto]],Tabla6[[#All],[PRODUCTO]],0),MATCH(Tabla4[[#This Row],[Mes]],Tabla6[#Headers],0)))*(1+Catalogos!$L$2)</f>
        <v>#N/A</v>
      </c>
      <c r="N2060" s="283" t="e">
        <f>+(Tabla4[[#This Row],[Precio Descontado]]-Tabla4[[#This Row],[Precio Base]])*Tabla4[[#This Row],[Cantidad]]</f>
        <v>#N/A</v>
      </c>
      <c r="O2060" s="284" t="e">
        <f>++Tabla4[[#This Row],[Utilidad Total]]/Tabla4[[#This Row],[Total]]</f>
        <v>#N/A</v>
      </c>
      <c r="P2060" s="282">
        <f>++Tabla4[[#This Row],[Precio Descontado]]*Tabla4[[#This Row],[Cantidad]]</f>
        <v>9856.5083419999992</v>
      </c>
      <c r="Q2060" s="282" t="e">
        <f>(INDEX(Tabla6[#All],MATCH(Tabla4[[#This Row],[Producto]],Tabla6[[#All],[PRODUCTO]],0),MATCH(Tabla4[[#This Row],[Mes]],Tabla6[#Headers],0)))</f>
        <v>#N/A</v>
      </c>
      <c r="R2060" s="282" t="e">
        <f>++Tabla4[[#This Row],[Precio Unitario Neto]]-Tabla4[[#This Row],[20.85%]]-Tabla4[[#This Row],[Costo]]</f>
        <v>#N/A</v>
      </c>
      <c r="S2060" s="282" t="e">
        <f>++Tabla4[[#This Row],[U. Bruta Uni]]*Tabla4[[#This Row],[Cantidad]]</f>
        <v>#N/A</v>
      </c>
      <c r="T2060" s="369" t="str">
        <f>VLOOKUP(Tabla4[[#This Row],[Producto]],Tabla6[#All],14,FALSE)</f>
        <v>Termico Solar</v>
      </c>
      <c r="U2060" s="284" t="e">
        <f>(IF(Tabla4[[#This Row],[Familia]]="termico solar",Tabla4[[#This Row],[Utilidad Total]]*6%,Tabla4[[#This Row],[Utilidad Total]]*11.5%))/Tabla4[[#This Row],[Total]]</f>
        <v>#N/A</v>
      </c>
      <c r="V2060" s="282" t="e">
        <f>+Tabla4[[#This Row],[Comisión Calculada]]*Tabla4[[#This Row],[Total]]</f>
        <v>#N/A</v>
      </c>
    </row>
    <row r="2061" spans="1:22" hidden="1" x14ac:dyDescent="0.25">
      <c r="A2061" s="100">
        <v>45762</v>
      </c>
      <c r="B2061" t="str">
        <f t="shared" si="105"/>
        <v>April</v>
      </c>
      <c r="C2061" s="46" t="s">
        <v>280</v>
      </c>
      <c r="F2061" s="366" t="s">
        <v>1494</v>
      </c>
      <c r="G2061" s="46" t="s">
        <v>208</v>
      </c>
      <c r="H2061" s="46">
        <v>1</v>
      </c>
      <c r="I2061" s="51">
        <v>189.75</v>
      </c>
      <c r="J2061" s="281">
        <f>++Tabla4[[#This Row],[Precio Bruto]]*1.16</f>
        <v>220.10999999999999</v>
      </c>
      <c r="K2061" s="281">
        <f>+Tabla4[[#This Row],[Precio Unitario Neto]]*Tabla4[[#Headers],[20.85%]]</f>
        <v>45.892934999999994</v>
      </c>
      <c r="L2061" s="282">
        <f>++Tabla4[[#This Row],[Precio Unitario Neto]]-Tabla4[[#This Row],[20.85%]]</f>
        <v>174.21706499999999</v>
      </c>
      <c r="M2061" s="282" t="e">
        <f>(INDEX(Tabla6[#All],MATCH(Tabla4[[#This Row],[Producto]],Tabla6[[#All],[PRODUCTO]],0),MATCH(Tabla4[[#This Row],[Mes]],Tabla6[#Headers],0)))*(1+Catalogos!$L$2)</f>
        <v>#N/A</v>
      </c>
      <c r="N2061" s="283" t="e">
        <f>+(Tabla4[[#This Row],[Precio Descontado]]-Tabla4[[#This Row],[Precio Base]])*Tabla4[[#This Row],[Cantidad]]</f>
        <v>#N/A</v>
      </c>
      <c r="O2061" s="284" t="e">
        <f>++Tabla4[[#This Row],[Utilidad Total]]/Tabla4[[#This Row],[Total]]</f>
        <v>#N/A</v>
      </c>
      <c r="P2061" s="282">
        <f>++Tabla4[[#This Row],[Precio Descontado]]*Tabla4[[#This Row],[Cantidad]]</f>
        <v>174.21706499999999</v>
      </c>
      <c r="Q2061" s="282" t="e">
        <f>(INDEX(Tabla6[#All],MATCH(Tabla4[[#This Row],[Producto]],Tabla6[[#All],[PRODUCTO]],0),MATCH(Tabla4[[#This Row],[Mes]],Tabla6[#Headers],0)))</f>
        <v>#N/A</v>
      </c>
      <c r="R2061" s="282" t="e">
        <f>++Tabla4[[#This Row],[Precio Unitario Neto]]-Tabla4[[#This Row],[20.85%]]-Tabla4[[#This Row],[Costo]]</f>
        <v>#N/A</v>
      </c>
      <c r="S2061" s="282" t="e">
        <f>++Tabla4[[#This Row],[U. Bruta Uni]]*Tabla4[[#This Row],[Cantidad]]</f>
        <v>#N/A</v>
      </c>
      <c r="T2061" s="369" t="str">
        <f>VLOOKUP(Tabla4[[#This Row],[Producto]],Tabla6[#All],14,FALSE)</f>
        <v>Termico Solar</v>
      </c>
      <c r="U2061" s="284" t="e">
        <f>(IF(Tabla4[[#This Row],[Familia]]="termico solar",Tabla4[[#This Row],[Utilidad Total]]*6%,Tabla4[[#This Row],[Utilidad Total]]*11.5%))/Tabla4[[#This Row],[Total]]</f>
        <v>#N/A</v>
      </c>
      <c r="V2061" s="282" t="e">
        <f>+Tabla4[[#This Row],[Comisión Calculada]]*Tabla4[[#This Row],[Total]]</f>
        <v>#N/A</v>
      </c>
    </row>
    <row r="2062" spans="1:22" hidden="1" x14ac:dyDescent="0.25">
      <c r="A2062" s="100">
        <v>45762</v>
      </c>
      <c r="B2062" t="str">
        <f t="shared" si="105"/>
        <v>April</v>
      </c>
      <c r="C2062" s="46" t="s">
        <v>280</v>
      </c>
      <c r="F2062" s="366" t="s">
        <v>1495</v>
      </c>
      <c r="G2062" s="46" t="s">
        <v>83</v>
      </c>
      <c r="H2062" s="46">
        <v>2</v>
      </c>
      <c r="I2062" s="51">
        <v>8858.76</v>
      </c>
      <c r="J2062" s="281">
        <f>++Tabla4[[#This Row],[Precio Bruto]]*1.16</f>
        <v>10276.161599999999</v>
      </c>
      <c r="K2062" s="281">
        <f>+Tabla4[[#This Row],[Precio Unitario Neto]]*Tabla4[[#Headers],[20.85%]]</f>
        <v>2142.5796935999997</v>
      </c>
      <c r="L2062" s="282">
        <f>++Tabla4[[#This Row],[Precio Unitario Neto]]-Tabla4[[#This Row],[20.85%]]</f>
        <v>8133.5819063999998</v>
      </c>
      <c r="M2062" s="282" t="e">
        <f>(INDEX(Tabla6[#All],MATCH(Tabla4[[#This Row],[Producto]],Tabla6[[#All],[PRODUCTO]],0),MATCH(Tabla4[[#This Row],[Mes]],Tabla6[#Headers],0)))*(1+Catalogos!$L$2)</f>
        <v>#N/A</v>
      </c>
      <c r="N2062" s="283" t="e">
        <f>+(Tabla4[[#This Row],[Precio Descontado]]-Tabla4[[#This Row],[Precio Base]])*Tabla4[[#This Row],[Cantidad]]</f>
        <v>#N/A</v>
      </c>
      <c r="O2062" s="284" t="e">
        <f>++Tabla4[[#This Row],[Utilidad Total]]/Tabla4[[#This Row],[Total]]</f>
        <v>#N/A</v>
      </c>
      <c r="P2062" s="282">
        <f>++Tabla4[[#This Row],[Precio Descontado]]*Tabla4[[#This Row],[Cantidad]]</f>
        <v>16267.1638128</v>
      </c>
      <c r="Q2062" s="282" t="e">
        <f>(INDEX(Tabla6[#All],MATCH(Tabla4[[#This Row],[Producto]],Tabla6[[#All],[PRODUCTO]],0),MATCH(Tabla4[[#This Row],[Mes]],Tabla6[#Headers],0)))</f>
        <v>#N/A</v>
      </c>
      <c r="R2062" s="282" t="e">
        <f>++Tabla4[[#This Row],[Precio Unitario Neto]]-Tabla4[[#This Row],[20.85%]]-Tabla4[[#This Row],[Costo]]</f>
        <v>#N/A</v>
      </c>
      <c r="S2062" s="282" t="e">
        <f>++Tabla4[[#This Row],[U. Bruta Uni]]*Tabla4[[#This Row],[Cantidad]]</f>
        <v>#N/A</v>
      </c>
      <c r="T2062" s="369" t="str">
        <f>VLOOKUP(Tabla4[[#This Row],[Producto]],Tabla6[#All],14,FALSE)</f>
        <v>Termico Solar</v>
      </c>
      <c r="U2062" s="284" t="e">
        <f>(IF(Tabla4[[#This Row],[Familia]]="termico solar",Tabla4[[#This Row],[Utilidad Total]]*6%,Tabla4[[#This Row],[Utilidad Total]]*11.5%))/Tabla4[[#This Row],[Total]]</f>
        <v>#N/A</v>
      </c>
      <c r="V2062" s="282" t="e">
        <f>+Tabla4[[#This Row],[Comisión Calculada]]*Tabla4[[#This Row],[Total]]</f>
        <v>#N/A</v>
      </c>
    </row>
    <row r="2063" spans="1:22" hidden="1" x14ac:dyDescent="0.25">
      <c r="A2063" s="100">
        <v>45762</v>
      </c>
      <c r="B2063" t="str">
        <f t="shared" si="105"/>
        <v>April</v>
      </c>
      <c r="C2063" s="46" t="s">
        <v>280</v>
      </c>
      <c r="F2063" s="366" t="s">
        <v>1495</v>
      </c>
      <c r="G2063" s="46" t="s">
        <v>412</v>
      </c>
      <c r="H2063" s="46">
        <v>1</v>
      </c>
      <c r="I2063" s="51">
        <v>3240.84</v>
      </c>
      <c r="J2063" s="281">
        <f>++Tabla4[[#This Row],[Precio Bruto]]*1.16</f>
        <v>3759.3743999999997</v>
      </c>
      <c r="K2063" s="281">
        <f>+Tabla4[[#This Row],[Precio Unitario Neto]]*Tabla4[[#Headers],[20.85%]]</f>
        <v>783.82956239999987</v>
      </c>
      <c r="L2063" s="282">
        <f>++Tabla4[[#This Row],[Precio Unitario Neto]]-Tabla4[[#This Row],[20.85%]]</f>
        <v>2975.5448375999999</v>
      </c>
      <c r="M2063" s="282" t="e">
        <f>(INDEX(Tabla6[#All],MATCH(Tabla4[[#This Row],[Producto]],Tabla6[[#All],[PRODUCTO]],0),MATCH(Tabla4[[#This Row],[Mes]],Tabla6[#Headers],0)))*(1+Catalogos!$L$2)</f>
        <v>#N/A</v>
      </c>
      <c r="N2063" s="283" t="e">
        <f>+(Tabla4[[#This Row],[Precio Descontado]]-Tabla4[[#This Row],[Precio Base]])*Tabla4[[#This Row],[Cantidad]]</f>
        <v>#N/A</v>
      </c>
      <c r="O2063" s="284" t="e">
        <f>++Tabla4[[#This Row],[Utilidad Total]]/Tabla4[[#This Row],[Total]]</f>
        <v>#N/A</v>
      </c>
      <c r="P2063" s="282">
        <f>++Tabla4[[#This Row],[Precio Descontado]]*Tabla4[[#This Row],[Cantidad]]</f>
        <v>2975.5448375999999</v>
      </c>
      <c r="Q2063" s="282" t="e">
        <f>(INDEX(Tabla6[#All],MATCH(Tabla4[[#This Row],[Producto]],Tabla6[[#All],[PRODUCTO]],0),MATCH(Tabla4[[#This Row],[Mes]],Tabla6[#Headers],0)))</f>
        <v>#N/A</v>
      </c>
      <c r="R2063" s="282" t="e">
        <f>++Tabla4[[#This Row],[Precio Unitario Neto]]-Tabla4[[#This Row],[20.85%]]-Tabla4[[#This Row],[Costo]]</f>
        <v>#N/A</v>
      </c>
      <c r="S2063" s="282" t="e">
        <f>++Tabla4[[#This Row],[U. Bruta Uni]]*Tabla4[[#This Row],[Cantidad]]</f>
        <v>#N/A</v>
      </c>
      <c r="T2063" s="369" t="str">
        <f>VLOOKUP(Tabla4[[#This Row],[Producto]],Tabla6[#All],14,FALSE)</f>
        <v>Termico Solar</v>
      </c>
      <c r="U2063" s="284" t="e">
        <f>(IF(Tabla4[[#This Row],[Familia]]="termico solar",Tabla4[[#This Row],[Utilidad Total]]*6%,Tabla4[[#This Row],[Utilidad Total]]*11.5%))/Tabla4[[#This Row],[Total]]</f>
        <v>#N/A</v>
      </c>
      <c r="V2063" s="282" t="e">
        <f>+Tabla4[[#This Row],[Comisión Calculada]]*Tabla4[[#This Row],[Total]]</f>
        <v>#N/A</v>
      </c>
    </row>
    <row r="2064" spans="1:22" hidden="1" x14ac:dyDescent="0.25">
      <c r="A2064" s="100">
        <v>45762</v>
      </c>
      <c r="B2064" t="str">
        <f t="shared" si="105"/>
        <v>April</v>
      </c>
      <c r="C2064" s="46" t="s">
        <v>280</v>
      </c>
      <c r="F2064" s="366" t="s">
        <v>1495</v>
      </c>
      <c r="G2064" s="46" t="s">
        <v>394</v>
      </c>
      <c r="H2064" s="46">
        <v>9</v>
      </c>
      <c r="I2064" s="51">
        <v>108.1</v>
      </c>
      <c r="J2064" s="281">
        <f>++Tabla4[[#This Row],[Precio Bruto]]*1.16</f>
        <v>125.39599999999999</v>
      </c>
      <c r="K2064" s="281">
        <f>+Tabla4[[#This Row],[Precio Unitario Neto]]*Tabla4[[#Headers],[20.85%]]</f>
        <v>26.145065999999996</v>
      </c>
      <c r="L2064" s="282">
        <f>++Tabla4[[#This Row],[Precio Unitario Neto]]-Tabla4[[#This Row],[20.85%]]</f>
        <v>99.250933999999987</v>
      </c>
      <c r="M2064" s="282" t="e">
        <f>(INDEX(Tabla6[#All],MATCH(Tabla4[[#This Row],[Producto]],Tabla6[[#All],[PRODUCTO]],0),MATCH(Tabla4[[#This Row],[Mes]],Tabla6[#Headers],0)))*(1+Catalogos!$L$2)</f>
        <v>#N/A</v>
      </c>
      <c r="N2064" s="283" t="e">
        <f>+(Tabla4[[#This Row],[Precio Descontado]]-Tabla4[[#This Row],[Precio Base]])*Tabla4[[#This Row],[Cantidad]]</f>
        <v>#N/A</v>
      </c>
      <c r="O2064" s="284" t="e">
        <f>++Tabla4[[#This Row],[Utilidad Total]]/Tabla4[[#This Row],[Total]]</f>
        <v>#N/A</v>
      </c>
      <c r="P2064" s="282">
        <f>++Tabla4[[#This Row],[Precio Descontado]]*Tabla4[[#This Row],[Cantidad]]</f>
        <v>893.25840599999992</v>
      </c>
      <c r="Q2064" s="282" t="e">
        <f>(INDEX(Tabla6[#All],MATCH(Tabla4[[#This Row],[Producto]],Tabla6[[#All],[PRODUCTO]],0),MATCH(Tabla4[[#This Row],[Mes]],Tabla6[#Headers],0)))</f>
        <v>#N/A</v>
      </c>
      <c r="R2064" s="282" t="e">
        <f>++Tabla4[[#This Row],[Precio Unitario Neto]]-Tabla4[[#This Row],[20.85%]]-Tabla4[[#This Row],[Costo]]</f>
        <v>#N/A</v>
      </c>
      <c r="S2064" s="282" t="e">
        <f>++Tabla4[[#This Row],[U. Bruta Uni]]*Tabla4[[#This Row],[Cantidad]]</f>
        <v>#N/A</v>
      </c>
      <c r="T2064" s="369" t="str">
        <f>VLOOKUP(Tabla4[[#This Row],[Producto]],Tabla6[#All],14,FALSE)</f>
        <v>Termico Solar</v>
      </c>
      <c r="U2064" s="284" t="e">
        <f>(IF(Tabla4[[#This Row],[Familia]]="termico solar",Tabla4[[#This Row],[Utilidad Total]]*6%,Tabla4[[#This Row],[Utilidad Total]]*11.5%))/Tabla4[[#This Row],[Total]]</f>
        <v>#N/A</v>
      </c>
      <c r="V2064" s="282" t="e">
        <f>+Tabla4[[#This Row],[Comisión Calculada]]*Tabla4[[#This Row],[Total]]</f>
        <v>#N/A</v>
      </c>
    </row>
    <row r="2065" spans="1:22" hidden="1" x14ac:dyDescent="0.25">
      <c r="A2065" s="100">
        <v>45762</v>
      </c>
      <c r="B2065" t="str">
        <f t="shared" si="105"/>
        <v>April</v>
      </c>
      <c r="C2065" s="46" t="s">
        <v>280</v>
      </c>
      <c r="F2065" s="366" t="s">
        <v>1496</v>
      </c>
      <c r="G2065" s="46" t="s">
        <v>83</v>
      </c>
      <c r="H2065" s="46">
        <v>3</v>
      </c>
      <c r="I2065" s="51">
        <v>8858.76</v>
      </c>
      <c r="J2065" s="281">
        <f>++Tabla4[[#This Row],[Precio Bruto]]*1.16</f>
        <v>10276.161599999999</v>
      </c>
      <c r="K2065" s="281">
        <f>+Tabla4[[#This Row],[Precio Unitario Neto]]*Tabla4[[#Headers],[20.85%]]</f>
        <v>2142.5796935999997</v>
      </c>
      <c r="L2065" s="282">
        <f>++Tabla4[[#This Row],[Precio Unitario Neto]]-Tabla4[[#This Row],[20.85%]]</f>
        <v>8133.5819063999998</v>
      </c>
      <c r="M2065" s="282" t="e">
        <f>(INDEX(Tabla6[#All],MATCH(Tabla4[[#This Row],[Producto]],Tabla6[[#All],[PRODUCTO]],0),MATCH(Tabla4[[#This Row],[Mes]],Tabla6[#Headers],0)))*(1+Catalogos!$L$2)</f>
        <v>#N/A</v>
      </c>
      <c r="N2065" s="283" t="e">
        <f>+(Tabla4[[#This Row],[Precio Descontado]]-Tabla4[[#This Row],[Precio Base]])*Tabla4[[#This Row],[Cantidad]]</f>
        <v>#N/A</v>
      </c>
      <c r="O2065" s="284" t="e">
        <f>++Tabla4[[#This Row],[Utilidad Total]]/Tabla4[[#This Row],[Total]]</f>
        <v>#N/A</v>
      </c>
      <c r="P2065" s="282">
        <f>++Tabla4[[#This Row],[Precio Descontado]]*Tabla4[[#This Row],[Cantidad]]</f>
        <v>24400.7457192</v>
      </c>
      <c r="Q2065" s="282" t="e">
        <f>(INDEX(Tabla6[#All],MATCH(Tabla4[[#This Row],[Producto]],Tabla6[[#All],[PRODUCTO]],0),MATCH(Tabla4[[#This Row],[Mes]],Tabla6[#Headers],0)))</f>
        <v>#N/A</v>
      </c>
      <c r="R2065" s="282" t="e">
        <f>++Tabla4[[#This Row],[Precio Unitario Neto]]-Tabla4[[#This Row],[20.85%]]-Tabla4[[#This Row],[Costo]]</f>
        <v>#N/A</v>
      </c>
      <c r="S2065" s="282" t="e">
        <f>++Tabla4[[#This Row],[U. Bruta Uni]]*Tabla4[[#This Row],[Cantidad]]</f>
        <v>#N/A</v>
      </c>
      <c r="T2065" s="369" t="str">
        <f>VLOOKUP(Tabla4[[#This Row],[Producto]],Tabla6[#All],14,FALSE)</f>
        <v>Termico Solar</v>
      </c>
      <c r="U2065" s="284" t="e">
        <f>(IF(Tabla4[[#This Row],[Familia]]="termico solar",Tabla4[[#This Row],[Utilidad Total]]*6%,Tabla4[[#This Row],[Utilidad Total]]*11.5%))/Tabla4[[#This Row],[Total]]</f>
        <v>#N/A</v>
      </c>
      <c r="V2065" s="282" t="e">
        <f>+Tabla4[[#This Row],[Comisión Calculada]]*Tabla4[[#This Row],[Total]]</f>
        <v>#N/A</v>
      </c>
    </row>
    <row r="2066" spans="1:22" hidden="1" x14ac:dyDescent="0.25">
      <c r="A2066" s="100">
        <v>45762</v>
      </c>
      <c r="B2066" t="str">
        <f t="shared" si="105"/>
        <v>April</v>
      </c>
      <c r="C2066" s="46" t="s">
        <v>280</v>
      </c>
      <c r="F2066" s="366" t="s">
        <v>1496</v>
      </c>
      <c r="G2066" s="46" t="s">
        <v>17</v>
      </c>
      <c r="H2066" s="46">
        <v>2</v>
      </c>
      <c r="I2066" s="51">
        <v>4622.28</v>
      </c>
      <c r="J2066" s="281">
        <f>++Tabla4[[#This Row],[Precio Bruto]]*1.16</f>
        <v>5361.8447999999989</v>
      </c>
      <c r="K2066" s="281">
        <f>+Tabla4[[#This Row],[Precio Unitario Neto]]*Tabla4[[#Headers],[20.85%]]</f>
        <v>1117.9446407999997</v>
      </c>
      <c r="L2066" s="282">
        <f>++Tabla4[[#This Row],[Precio Unitario Neto]]-Tabla4[[#This Row],[20.85%]]</f>
        <v>4243.9001591999995</v>
      </c>
      <c r="M2066" s="282" t="e">
        <f>(INDEX(Tabla6[#All],MATCH(Tabla4[[#This Row],[Producto]],Tabla6[[#All],[PRODUCTO]],0),MATCH(Tabla4[[#This Row],[Mes]],Tabla6[#Headers],0)))*(1+Catalogos!$L$2)</f>
        <v>#N/A</v>
      </c>
      <c r="N2066" s="283" t="e">
        <f>+(Tabla4[[#This Row],[Precio Descontado]]-Tabla4[[#This Row],[Precio Base]])*Tabla4[[#This Row],[Cantidad]]</f>
        <v>#N/A</v>
      </c>
      <c r="O2066" s="284" t="e">
        <f>++Tabla4[[#This Row],[Utilidad Total]]/Tabla4[[#This Row],[Total]]</f>
        <v>#N/A</v>
      </c>
      <c r="P2066" s="282">
        <f>++Tabla4[[#This Row],[Precio Descontado]]*Tabla4[[#This Row],[Cantidad]]</f>
        <v>8487.800318399999</v>
      </c>
      <c r="Q2066" s="282" t="e">
        <f>(INDEX(Tabla6[#All],MATCH(Tabla4[[#This Row],[Producto]],Tabla6[[#All],[PRODUCTO]],0),MATCH(Tabla4[[#This Row],[Mes]],Tabla6[#Headers],0)))</f>
        <v>#N/A</v>
      </c>
      <c r="R2066" s="282" t="e">
        <f>++Tabla4[[#This Row],[Precio Unitario Neto]]-Tabla4[[#This Row],[20.85%]]-Tabla4[[#This Row],[Costo]]</f>
        <v>#N/A</v>
      </c>
      <c r="S2066" s="282" t="e">
        <f>++Tabla4[[#This Row],[U. Bruta Uni]]*Tabla4[[#This Row],[Cantidad]]</f>
        <v>#N/A</v>
      </c>
      <c r="T2066" s="369" t="str">
        <f>VLOOKUP(Tabla4[[#This Row],[Producto]],Tabla6[#All],14,FALSE)</f>
        <v>Termico Solar</v>
      </c>
      <c r="U2066" s="284" t="e">
        <f>(IF(Tabla4[[#This Row],[Familia]]="termico solar",Tabla4[[#This Row],[Utilidad Total]]*6%,Tabla4[[#This Row],[Utilidad Total]]*11.5%))/Tabla4[[#This Row],[Total]]</f>
        <v>#N/A</v>
      </c>
      <c r="V2066" s="282" t="e">
        <f>+Tabla4[[#This Row],[Comisión Calculada]]*Tabla4[[#This Row],[Total]]</f>
        <v>#N/A</v>
      </c>
    </row>
    <row r="2067" spans="1:22" hidden="1" x14ac:dyDescent="0.25">
      <c r="A2067" s="100">
        <v>45762</v>
      </c>
      <c r="B2067" t="str">
        <f t="shared" si="105"/>
        <v>April</v>
      </c>
      <c r="C2067" s="46" t="s">
        <v>280</v>
      </c>
      <c r="F2067" s="366" t="s">
        <v>1496</v>
      </c>
      <c r="G2067" s="46" t="s">
        <v>208</v>
      </c>
      <c r="H2067" s="46">
        <v>1</v>
      </c>
      <c r="I2067" s="51">
        <v>189.75</v>
      </c>
      <c r="J2067" s="281">
        <f>++Tabla4[[#This Row],[Precio Bruto]]*1.16</f>
        <v>220.10999999999999</v>
      </c>
      <c r="K2067" s="281">
        <f>+Tabla4[[#This Row],[Precio Unitario Neto]]*Tabla4[[#Headers],[20.85%]]</f>
        <v>45.892934999999994</v>
      </c>
      <c r="L2067" s="282">
        <f>++Tabla4[[#This Row],[Precio Unitario Neto]]-Tabla4[[#This Row],[20.85%]]</f>
        <v>174.21706499999999</v>
      </c>
      <c r="M2067" s="282" t="e">
        <f>(INDEX(Tabla6[#All],MATCH(Tabla4[[#This Row],[Producto]],Tabla6[[#All],[PRODUCTO]],0),MATCH(Tabla4[[#This Row],[Mes]],Tabla6[#Headers],0)))*(1+Catalogos!$L$2)</f>
        <v>#N/A</v>
      </c>
      <c r="N2067" s="283" t="e">
        <f>+(Tabla4[[#This Row],[Precio Descontado]]-Tabla4[[#This Row],[Precio Base]])*Tabla4[[#This Row],[Cantidad]]</f>
        <v>#N/A</v>
      </c>
      <c r="O2067" s="284" t="e">
        <f>++Tabla4[[#This Row],[Utilidad Total]]/Tabla4[[#This Row],[Total]]</f>
        <v>#N/A</v>
      </c>
      <c r="P2067" s="282">
        <f>++Tabla4[[#This Row],[Precio Descontado]]*Tabla4[[#This Row],[Cantidad]]</f>
        <v>174.21706499999999</v>
      </c>
      <c r="Q2067" s="282" t="e">
        <f>(INDEX(Tabla6[#All],MATCH(Tabla4[[#This Row],[Producto]],Tabla6[[#All],[PRODUCTO]],0),MATCH(Tabla4[[#This Row],[Mes]],Tabla6[#Headers],0)))</f>
        <v>#N/A</v>
      </c>
      <c r="R2067" s="282" t="e">
        <f>++Tabla4[[#This Row],[Precio Unitario Neto]]-Tabla4[[#This Row],[20.85%]]-Tabla4[[#This Row],[Costo]]</f>
        <v>#N/A</v>
      </c>
      <c r="S2067" s="282" t="e">
        <f>++Tabla4[[#This Row],[U. Bruta Uni]]*Tabla4[[#This Row],[Cantidad]]</f>
        <v>#N/A</v>
      </c>
      <c r="T2067" s="369" t="str">
        <f>VLOOKUP(Tabla4[[#This Row],[Producto]],Tabla6[#All],14,FALSE)</f>
        <v>Termico Solar</v>
      </c>
      <c r="U2067" s="284" t="e">
        <f>(IF(Tabla4[[#This Row],[Familia]]="termico solar",Tabla4[[#This Row],[Utilidad Total]]*6%,Tabla4[[#This Row],[Utilidad Total]]*11.5%))/Tabla4[[#This Row],[Total]]</f>
        <v>#N/A</v>
      </c>
      <c r="V2067" s="282" t="e">
        <f>+Tabla4[[#This Row],[Comisión Calculada]]*Tabla4[[#This Row],[Total]]</f>
        <v>#N/A</v>
      </c>
    </row>
    <row r="2068" spans="1:22" hidden="1" x14ac:dyDescent="0.25">
      <c r="A2068" s="100">
        <v>45762</v>
      </c>
      <c r="B2068" t="str">
        <f t="shared" si="105"/>
        <v>April</v>
      </c>
      <c r="C2068" s="46" t="s">
        <v>280</v>
      </c>
      <c r="F2068" s="366" t="s">
        <v>1497</v>
      </c>
      <c r="G2068" s="46" t="s">
        <v>83</v>
      </c>
      <c r="H2068" s="46">
        <v>2</v>
      </c>
      <c r="I2068" s="51">
        <v>8858.76</v>
      </c>
      <c r="J2068" s="281">
        <f>++Tabla4[[#This Row],[Precio Bruto]]*1.16</f>
        <v>10276.161599999999</v>
      </c>
      <c r="K2068" s="281">
        <f>+Tabla4[[#This Row],[Precio Unitario Neto]]*Tabla4[[#Headers],[20.85%]]</f>
        <v>2142.5796935999997</v>
      </c>
      <c r="L2068" s="282">
        <f>++Tabla4[[#This Row],[Precio Unitario Neto]]-Tabla4[[#This Row],[20.85%]]</f>
        <v>8133.5819063999998</v>
      </c>
      <c r="M2068" s="282" t="e">
        <f>(INDEX(Tabla6[#All],MATCH(Tabla4[[#This Row],[Producto]],Tabla6[[#All],[PRODUCTO]],0),MATCH(Tabla4[[#This Row],[Mes]],Tabla6[#Headers],0)))*(1+Catalogos!$L$2)</f>
        <v>#N/A</v>
      </c>
      <c r="N2068" s="283" t="e">
        <f>+(Tabla4[[#This Row],[Precio Descontado]]-Tabla4[[#This Row],[Precio Base]])*Tabla4[[#This Row],[Cantidad]]</f>
        <v>#N/A</v>
      </c>
      <c r="O2068" s="284" t="e">
        <f>++Tabla4[[#This Row],[Utilidad Total]]/Tabla4[[#This Row],[Total]]</f>
        <v>#N/A</v>
      </c>
      <c r="P2068" s="282">
        <f>++Tabla4[[#This Row],[Precio Descontado]]*Tabla4[[#This Row],[Cantidad]]</f>
        <v>16267.1638128</v>
      </c>
      <c r="Q2068" s="282" t="e">
        <f>(INDEX(Tabla6[#All],MATCH(Tabla4[[#This Row],[Producto]],Tabla6[[#All],[PRODUCTO]],0),MATCH(Tabla4[[#This Row],[Mes]],Tabla6[#Headers],0)))</f>
        <v>#N/A</v>
      </c>
      <c r="R2068" s="282" t="e">
        <f>++Tabla4[[#This Row],[Precio Unitario Neto]]-Tabla4[[#This Row],[20.85%]]-Tabla4[[#This Row],[Costo]]</f>
        <v>#N/A</v>
      </c>
      <c r="S2068" s="282" t="e">
        <f>++Tabla4[[#This Row],[U. Bruta Uni]]*Tabla4[[#This Row],[Cantidad]]</f>
        <v>#N/A</v>
      </c>
      <c r="T2068" s="369" t="str">
        <f>VLOOKUP(Tabla4[[#This Row],[Producto]],Tabla6[#All],14,FALSE)</f>
        <v>Termico Solar</v>
      </c>
      <c r="U2068" s="284" t="e">
        <f>(IF(Tabla4[[#This Row],[Familia]]="termico solar",Tabla4[[#This Row],[Utilidad Total]]*6%,Tabla4[[#This Row],[Utilidad Total]]*11.5%))/Tabla4[[#This Row],[Total]]</f>
        <v>#N/A</v>
      </c>
      <c r="V2068" s="282" t="e">
        <f>+Tabla4[[#This Row],[Comisión Calculada]]*Tabla4[[#This Row],[Total]]</f>
        <v>#N/A</v>
      </c>
    </row>
    <row r="2069" spans="1:22" hidden="1" x14ac:dyDescent="0.25">
      <c r="A2069" s="100">
        <v>45762</v>
      </c>
      <c r="B2069" t="str">
        <f t="shared" si="105"/>
        <v>April</v>
      </c>
      <c r="C2069" s="46" t="s">
        <v>280</v>
      </c>
      <c r="F2069" s="366" t="s">
        <v>1497</v>
      </c>
      <c r="G2069" s="46" t="s">
        <v>208</v>
      </c>
      <c r="H2069" s="46">
        <v>7</v>
      </c>
      <c r="I2069" s="51">
        <v>189.75</v>
      </c>
      <c r="J2069" s="281">
        <f>++Tabla4[[#This Row],[Precio Bruto]]*1.16</f>
        <v>220.10999999999999</v>
      </c>
      <c r="K2069" s="281">
        <f>+Tabla4[[#This Row],[Precio Unitario Neto]]*Tabla4[[#Headers],[20.85%]]</f>
        <v>45.892934999999994</v>
      </c>
      <c r="L2069" s="282">
        <f>++Tabla4[[#This Row],[Precio Unitario Neto]]-Tabla4[[#This Row],[20.85%]]</f>
        <v>174.21706499999999</v>
      </c>
      <c r="M2069" s="282" t="e">
        <f>(INDEX(Tabla6[#All],MATCH(Tabla4[[#This Row],[Producto]],Tabla6[[#All],[PRODUCTO]],0),MATCH(Tabla4[[#This Row],[Mes]],Tabla6[#Headers],0)))*(1+Catalogos!$L$2)</f>
        <v>#N/A</v>
      </c>
      <c r="N2069" s="283" t="e">
        <f>+(Tabla4[[#This Row],[Precio Descontado]]-Tabla4[[#This Row],[Precio Base]])*Tabla4[[#This Row],[Cantidad]]</f>
        <v>#N/A</v>
      </c>
      <c r="O2069" s="284" t="e">
        <f>++Tabla4[[#This Row],[Utilidad Total]]/Tabla4[[#This Row],[Total]]</f>
        <v>#N/A</v>
      </c>
      <c r="P2069" s="282">
        <f>++Tabla4[[#This Row],[Precio Descontado]]*Tabla4[[#This Row],[Cantidad]]</f>
        <v>1219.5194549999999</v>
      </c>
      <c r="Q2069" s="282" t="e">
        <f>(INDEX(Tabla6[#All],MATCH(Tabla4[[#This Row],[Producto]],Tabla6[[#All],[PRODUCTO]],0),MATCH(Tabla4[[#This Row],[Mes]],Tabla6[#Headers],0)))</f>
        <v>#N/A</v>
      </c>
      <c r="R2069" s="282" t="e">
        <f>++Tabla4[[#This Row],[Precio Unitario Neto]]-Tabla4[[#This Row],[20.85%]]-Tabla4[[#This Row],[Costo]]</f>
        <v>#N/A</v>
      </c>
      <c r="S2069" s="282" t="e">
        <f>++Tabla4[[#This Row],[U. Bruta Uni]]*Tabla4[[#This Row],[Cantidad]]</f>
        <v>#N/A</v>
      </c>
      <c r="T2069" s="369" t="str">
        <f>VLOOKUP(Tabla4[[#This Row],[Producto]],Tabla6[#All],14,FALSE)</f>
        <v>Termico Solar</v>
      </c>
      <c r="U2069" s="284" t="e">
        <f>(IF(Tabla4[[#This Row],[Familia]]="termico solar",Tabla4[[#This Row],[Utilidad Total]]*6%,Tabla4[[#This Row],[Utilidad Total]]*11.5%))/Tabla4[[#This Row],[Total]]</f>
        <v>#N/A</v>
      </c>
      <c r="V2069" s="282" t="e">
        <f>+Tabla4[[#This Row],[Comisión Calculada]]*Tabla4[[#This Row],[Total]]</f>
        <v>#N/A</v>
      </c>
    </row>
    <row r="2070" spans="1:22" hidden="1" x14ac:dyDescent="0.25">
      <c r="A2070" s="100">
        <v>45762</v>
      </c>
      <c r="B2070" t="str">
        <f t="shared" si="105"/>
        <v>April</v>
      </c>
      <c r="C2070" s="46" t="s">
        <v>280</v>
      </c>
      <c r="F2070" s="366" t="s">
        <v>1498</v>
      </c>
      <c r="G2070" s="46" t="s">
        <v>83</v>
      </c>
      <c r="H2070" s="46">
        <v>3</v>
      </c>
      <c r="I2070" s="51">
        <v>8858.76</v>
      </c>
      <c r="J2070" s="281">
        <f>++Tabla4[[#This Row],[Precio Bruto]]*1.16</f>
        <v>10276.161599999999</v>
      </c>
      <c r="K2070" s="281">
        <f>+Tabla4[[#This Row],[Precio Unitario Neto]]*Tabla4[[#Headers],[20.85%]]</f>
        <v>2142.5796935999997</v>
      </c>
      <c r="L2070" s="282">
        <f>++Tabla4[[#This Row],[Precio Unitario Neto]]-Tabla4[[#This Row],[20.85%]]</f>
        <v>8133.5819063999998</v>
      </c>
      <c r="M2070" s="282" t="e">
        <f>(INDEX(Tabla6[#All],MATCH(Tabla4[[#This Row],[Producto]],Tabla6[[#All],[PRODUCTO]],0),MATCH(Tabla4[[#This Row],[Mes]],Tabla6[#Headers],0)))*(1+Catalogos!$L$2)</f>
        <v>#N/A</v>
      </c>
      <c r="N2070" s="283" t="e">
        <f>+(Tabla4[[#This Row],[Precio Descontado]]-Tabla4[[#This Row],[Precio Base]])*Tabla4[[#This Row],[Cantidad]]</f>
        <v>#N/A</v>
      </c>
      <c r="O2070" s="284" t="e">
        <f>++Tabla4[[#This Row],[Utilidad Total]]/Tabla4[[#This Row],[Total]]</f>
        <v>#N/A</v>
      </c>
      <c r="P2070" s="282">
        <f>++Tabla4[[#This Row],[Precio Descontado]]*Tabla4[[#This Row],[Cantidad]]</f>
        <v>24400.7457192</v>
      </c>
      <c r="Q2070" s="282" t="e">
        <f>(INDEX(Tabla6[#All],MATCH(Tabla4[[#This Row],[Producto]],Tabla6[[#All],[PRODUCTO]],0),MATCH(Tabla4[[#This Row],[Mes]],Tabla6[#Headers],0)))</f>
        <v>#N/A</v>
      </c>
      <c r="R2070" s="282" t="e">
        <f>++Tabla4[[#This Row],[Precio Unitario Neto]]-Tabla4[[#This Row],[20.85%]]-Tabla4[[#This Row],[Costo]]</f>
        <v>#N/A</v>
      </c>
      <c r="S2070" s="282" t="e">
        <f>++Tabla4[[#This Row],[U. Bruta Uni]]*Tabla4[[#This Row],[Cantidad]]</f>
        <v>#N/A</v>
      </c>
      <c r="T2070" s="369" t="str">
        <f>VLOOKUP(Tabla4[[#This Row],[Producto]],Tabla6[#All],14,FALSE)</f>
        <v>Termico Solar</v>
      </c>
      <c r="U2070" s="284" t="e">
        <f>(IF(Tabla4[[#This Row],[Familia]]="termico solar",Tabla4[[#This Row],[Utilidad Total]]*6%,Tabla4[[#This Row],[Utilidad Total]]*11.5%))/Tabla4[[#This Row],[Total]]</f>
        <v>#N/A</v>
      </c>
      <c r="V2070" s="282" t="e">
        <f>+Tabla4[[#This Row],[Comisión Calculada]]*Tabla4[[#This Row],[Total]]</f>
        <v>#N/A</v>
      </c>
    </row>
    <row r="2071" spans="1:22" hidden="1" x14ac:dyDescent="0.25">
      <c r="A2071" s="100">
        <v>45762</v>
      </c>
      <c r="B2071" t="str">
        <f t="shared" si="105"/>
        <v>April</v>
      </c>
      <c r="C2071" s="46" t="s">
        <v>280</v>
      </c>
      <c r="F2071" s="366" t="s">
        <v>1498</v>
      </c>
      <c r="G2071" s="46" t="s">
        <v>17</v>
      </c>
      <c r="H2071" s="46">
        <v>3</v>
      </c>
      <c r="I2071" s="51">
        <v>4622.28</v>
      </c>
      <c r="J2071" s="281">
        <f>++Tabla4[[#This Row],[Precio Bruto]]*1.16</f>
        <v>5361.8447999999989</v>
      </c>
      <c r="K2071" s="281">
        <f>+Tabla4[[#This Row],[Precio Unitario Neto]]*Tabla4[[#Headers],[20.85%]]</f>
        <v>1117.9446407999997</v>
      </c>
      <c r="L2071" s="282">
        <f>++Tabla4[[#This Row],[Precio Unitario Neto]]-Tabla4[[#This Row],[20.85%]]</f>
        <v>4243.9001591999995</v>
      </c>
      <c r="M2071" s="282" t="e">
        <f>(INDEX(Tabla6[#All],MATCH(Tabla4[[#This Row],[Producto]],Tabla6[[#All],[PRODUCTO]],0),MATCH(Tabla4[[#This Row],[Mes]],Tabla6[#Headers],0)))*(1+Catalogos!$L$2)</f>
        <v>#N/A</v>
      </c>
      <c r="N2071" s="283" t="e">
        <f>+(Tabla4[[#This Row],[Precio Descontado]]-Tabla4[[#This Row],[Precio Base]])*Tabla4[[#This Row],[Cantidad]]</f>
        <v>#N/A</v>
      </c>
      <c r="O2071" s="284" t="e">
        <f>++Tabla4[[#This Row],[Utilidad Total]]/Tabla4[[#This Row],[Total]]</f>
        <v>#N/A</v>
      </c>
      <c r="P2071" s="282">
        <f>++Tabla4[[#This Row],[Precio Descontado]]*Tabla4[[#This Row],[Cantidad]]</f>
        <v>12731.700477599999</v>
      </c>
      <c r="Q2071" s="282" t="e">
        <f>(INDEX(Tabla6[#All],MATCH(Tabla4[[#This Row],[Producto]],Tabla6[[#All],[PRODUCTO]],0),MATCH(Tabla4[[#This Row],[Mes]],Tabla6[#Headers],0)))</f>
        <v>#N/A</v>
      </c>
      <c r="R2071" s="282" t="e">
        <f>++Tabla4[[#This Row],[Precio Unitario Neto]]-Tabla4[[#This Row],[20.85%]]-Tabla4[[#This Row],[Costo]]</f>
        <v>#N/A</v>
      </c>
      <c r="S2071" s="282" t="e">
        <f>++Tabla4[[#This Row],[U. Bruta Uni]]*Tabla4[[#This Row],[Cantidad]]</f>
        <v>#N/A</v>
      </c>
      <c r="T2071" s="369" t="str">
        <f>VLOOKUP(Tabla4[[#This Row],[Producto]],Tabla6[#All],14,FALSE)</f>
        <v>Termico Solar</v>
      </c>
      <c r="U2071" s="284" t="e">
        <f>(IF(Tabla4[[#This Row],[Familia]]="termico solar",Tabla4[[#This Row],[Utilidad Total]]*6%,Tabla4[[#This Row],[Utilidad Total]]*11.5%))/Tabla4[[#This Row],[Total]]</f>
        <v>#N/A</v>
      </c>
      <c r="V2071" s="282" t="e">
        <f>+Tabla4[[#This Row],[Comisión Calculada]]*Tabla4[[#This Row],[Total]]</f>
        <v>#N/A</v>
      </c>
    </row>
    <row r="2072" spans="1:22" hidden="1" x14ac:dyDescent="0.25">
      <c r="A2072" s="100">
        <v>45762</v>
      </c>
      <c r="B2072" t="str">
        <f t="shared" ref="B2072:B2103" si="106">TEXT(A2072, "mmmm")</f>
        <v>April</v>
      </c>
      <c r="C2072" s="46" t="s">
        <v>280</v>
      </c>
      <c r="F2072" s="366" t="s">
        <v>1498</v>
      </c>
      <c r="G2072" s="46" t="s">
        <v>18</v>
      </c>
      <c r="H2072" s="46">
        <v>1</v>
      </c>
      <c r="I2072" s="51">
        <v>5367.65</v>
      </c>
      <c r="J2072" s="281">
        <f>++Tabla4[[#This Row],[Precio Bruto]]*1.16</f>
        <v>6226.4739999999993</v>
      </c>
      <c r="K2072" s="281">
        <f>+Tabla4[[#This Row],[Precio Unitario Neto]]*Tabla4[[#Headers],[20.85%]]</f>
        <v>1298.2198289999999</v>
      </c>
      <c r="L2072" s="282">
        <f>++Tabla4[[#This Row],[Precio Unitario Neto]]-Tabla4[[#This Row],[20.85%]]</f>
        <v>4928.2541709999996</v>
      </c>
      <c r="M2072" s="282" t="e">
        <f>(INDEX(Tabla6[#All],MATCH(Tabla4[[#This Row],[Producto]],Tabla6[[#All],[PRODUCTO]],0),MATCH(Tabla4[[#This Row],[Mes]],Tabla6[#Headers],0)))*(1+Catalogos!$L$2)</f>
        <v>#N/A</v>
      </c>
      <c r="N2072" s="283" t="e">
        <f>+(Tabla4[[#This Row],[Precio Descontado]]-Tabla4[[#This Row],[Precio Base]])*Tabla4[[#This Row],[Cantidad]]</f>
        <v>#N/A</v>
      </c>
      <c r="O2072" s="284" t="e">
        <f>++Tabla4[[#This Row],[Utilidad Total]]/Tabla4[[#This Row],[Total]]</f>
        <v>#N/A</v>
      </c>
      <c r="P2072" s="282">
        <f>++Tabla4[[#This Row],[Precio Descontado]]*Tabla4[[#This Row],[Cantidad]]</f>
        <v>4928.2541709999996</v>
      </c>
      <c r="Q2072" s="282" t="e">
        <f>(INDEX(Tabla6[#All],MATCH(Tabla4[[#This Row],[Producto]],Tabla6[[#All],[PRODUCTO]],0),MATCH(Tabla4[[#This Row],[Mes]],Tabla6[#Headers],0)))</f>
        <v>#N/A</v>
      </c>
      <c r="R2072" s="282" t="e">
        <f>++Tabla4[[#This Row],[Precio Unitario Neto]]-Tabla4[[#This Row],[20.85%]]-Tabla4[[#This Row],[Costo]]</f>
        <v>#N/A</v>
      </c>
      <c r="S2072" s="282" t="e">
        <f>++Tabla4[[#This Row],[U. Bruta Uni]]*Tabla4[[#This Row],[Cantidad]]</f>
        <v>#N/A</v>
      </c>
      <c r="T2072" s="369" t="str">
        <f>VLOOKUP(Tabla4[[#This Row],[Producto]],Tabla6[#All],14,FALSE)</f>
        <v>Termico Solar</v>
      </c>
      <c r="U2072" s="284" t="e">
        <f>(IF(Tabla4[[#This Row],[Familia]]="termico solar",Tabla4[[#This Row],[Utilidad Total]]*6%,Tabla4[[#This Row],[Utilidad Total]]*11.5%))/Tabla4[[#This Row],[Total]]</f>
        <v>#N/A</v>
      </c>
      <c r="V2072" s="282" t="e">
        <f>+Tabla4[[#This Row],[Comisión Calculada]]*Tabla4[[#This Row],[Total]]</f>
        <v>#N/A</v>
      </c>
    </row>
    <row r="2073" spans="1:22" hidden="1" x14ac:dyDescent="0.25">
      <c r="A2073" s="100">
        <v>45762</v>
      </c>
      <c r="B2073" t="str">
        <f t="shared" si="106"/>
        <v>April</v>
      </c>
      <c r="C2073" s="46" t="s">
        <v>280</v>
      </c>
      <c r="F2073" s="366" t="s">
        <v>1498</v>
      </c>
      <c r="G2073" s="46" t="s">
        <v>16</v>
      </c>
      <c r="H2073" s="46">
        <v>2</v>
      </c>
      <c r="I2073" s="51">
        <v>4103.8500000000004</v>
      </c>
      <c r="J2073" s="281">
        <f>++Tabla4[[#This Row],[Precio Bruto]]*1.16</f>
        <v>4760.4660000000003</v>
      </c>
      <c r="K2073" s="281">
        <f>+Tabla4[[#This Row],[Precio Unitario Neto]]*Tabla4[[#Headers],[20.85%]]</f>
        <v>992.55716100000006</v>
      </c>
      <c r="L2073" s="282">
        <f>++Tabla4[[#This Row],[Precio Unitario Neto]]-Tabla4[[#This Row],[20.85%]]</f>
        <v>3767.9088390000002</v>
      </c>
      <c r="M2073" s="282" t="e">
        <f>(INDEX(Tabla6[#All],MATCH(Tabla4[[#This Row],[Producto]],Tabla6[[#All],[PRODUCTO]],0),MATCH(Tabla4[[#This Row],[Mes]],Tabla6[#Headers],0)))*(1+Catalogos!$L$2)</f>
        <v>#N/A</v>
      </c>
      <c r="N2073" s="283" t="e">
        <f>+(Tabla4[[#This Row],[Precio Descontado]]-Tabla4[[#This Row],[Precio Base]])*Tabla4[[#This Row],[Cantidad]]</f>
        <v>#N/A</v>
      </c>
      <c r="O2073" s="284" t="e">
        <f>++Tabla4[[#This Row],[Utilidad Total]]/Tabla4[[#This Row],[Total]]</f>
        <v>#N/A</v>
      </c>
      <c r="P2073" s="282">
        <f>++Tabla4[[#This Row],[Precio Descontado]]*Tabla4[[#This Row],[Cantidad]]</f>
        <v>7535.8176780000003</v>
      </c>
      <c r="Q2073" s="282" t="e">
        <f>(INDEX(Tabla6[#All],MATCH(Tabla4[[#This Row],[Producto]],Tabla6[[#All],[PRODUCTO]],0),MATCH(Tabla4[[#This Row],[Mes]],Tabla6[#Headers],0)))</f>
        <v>#N/A</v>
      </c>
      <c r="R2073" s="282" t="e">
        <f>++Tabla4[[#This Row],[Precio Unitario Neto]]-Tabla4[[#This Row],[20.85%]]-Tabla4[[#This Row],[Costo]]</f>
        <v>#N/A</v>
      </c>
      <c r="S2073" s="282" t="e">
        <f>++Tabla4[[#This Row],[U. Bruta Uni]]*Tabla4[[#This Row],[Cantidad]]</f>
        <v>#N/A</v>
      </c>
      <c r="T2073" s="369" t="str">
        <f>VLOOKUP(Tabla4[[#This Row],[Producto]],Tabla6[#All],14,FALSE)</f>
        <v>Termico Solar</v>
      </c>
      <c r="U2073" s="284" t="e">
        <f>(IF(Tabla4[[#This Row],[Familia]]="termico solar",Tabla4[[#This Row],[Utilidad Total]]*6%,Tabla4[[#This Row],[Utilidad Total]]*11.5%))/Tabla4[[#This Row],[Total]]</f>
        <v>#N/A</v>
      </c>
      <c r="V2073" s="282" t="e">
        <f>+Tabla4[[#This Row],[Comisión Calculada]]*Tabla4[[#This Row],[Total]]</f>
        <v>#N/A</v>
      </c>
    </row>
    <row r="2074" spans="1:22" hidden="1" x14ac:dyDescent="0.25">
      <c r="A2074" s="100">
        <v>45762</v>
      </c>
      <c r="B2074" t="str">
        <f t="shared" si="106"/>
        <v>April</v>
      </c>
      <c r="C2074" s="46" t="s">
        <v>280</v>
      </c>
      <c r="F2074" s="366" t="s">
        <v>1498</v>
      </c>
      <c r="G2074" s="46" t="s">
        <v>208</v>
      </c>
      <c r="H2074" s="46">
        <v>2</v>
      </c>
      <c r="I2074" s="51">
        <v>189.75</v>
      </c>
      <c r="J2074" s="281">
        <f>++Tabla4[[#This Row],[Precio Bruto]]*1.16</f>
        <v>220.10999999999999</v>
      </c>
      <c r="K2074" s="281">
        <f>+Tabla4[[#This Row],[Precio Unitario Neto]]*Tabla4[[#Headers],[20.85%]]</f>
        <v>45.892934999999994</v>
      </c>
      <c r="L2074" s="282">
        <f>++Tabla4[[#This Row],[Precio Unitario Neto]]-Tabla4[[#This Row],[20.85%]]</f>
        <v>174.21706499999999</v>
      </c>
      <c r="M2074" s="282" t="e">
        <f>(INDEX(Tabla6[#All],MATCH(Tabla4[[#This Row],[Producto]],Tabla6[[#All],[PRODUCTO]],0),MATCH(Tabla4[[#This Row],[Mes]],Tabla6[#Headers],0)))*(1+Catalogos!$L$2)</f>
        <v>#N/A</v>
      </c>
      <c r="N2074" s="283" t="e">
        <f>+(Tabla4[[#This Row],[Precio Descontado]]-Tabla4[[#This Row],[Precio Base]])*Tabla4[[#This Row],[Cantidad]]</f>
        <v>#N/A</v>
      </c>
      <c r="O2074" s="284" t="e">
        <f>++Tabla4[[#This Row],[Utilidad Total]]/Tabla4[[#This Row],[Total]]</f>
        <v>#N/A</v>
      </c>
      <c r="P2074" s="282">
        <f>++Tabla4[[#This Row],[Precio Descontado]]*Tabla4[[#This Row],[Cantidad]]</f>
        <v>348.43412999999998</v>
      </c>
      <c r="Q2074" s="282" t="e">
        <f>(INDEX(Tabla6[#All],MATCH(Tabla4[[#This Row],[Producto]],Tabla6[[#All],[PRODUCTO]],0),MATCH(Tabla4[[#This Row],[Mes]],Tabla6[#Headers],0)))</f>
        <v>#N/A</v>
      </c>
      <c r="R2074" s="282" t="e">
        <f>++Tabla4[[#This Row],[Precio Unitario Neto]]-Tabla4[[#This Row],[20.85%]]-Tabla4[[#This Row],[Costo]]</f>
        <v>#N/A</v>
      </c>
      <c r="S2074" s="282" t="e">
        <f>++Tabla4[[#This Row],[U. Bruta Uni]]*Tabla4[[#This Row],[Cantidad]]</f>
        <v>#N/A</v>
      </c>
      <c r="T2074" s="369" t="str">
        <f>VLOOKUP(Tabla4[[#This Row],[Producto]],Tabla6[#All],14,FALSE)</f>
        <v>Termico Solar</v>
      </c>
      <c r="U2074" s="284" t="e">
        <f>(IF(Tabla4[[#This Row],[Familia]]="termico solar",Tabla4[[#This Row],[Utilidad Total]]*6%,Tabla4[[#This Row],[Utilidad Total]]*11.5%))/Tabla4[[#This Row],[Total]]</f>
        <v>#N/A</v>
      </c>
      <c r="V2074" s="282" t="e">
        <f>+Tabla4[[#This Row],[Comisión Calculada]]*Tabla4[[#This Row],[Total]]</f>
        <v>#N/A</v>
      </c>
    </row>
    <row r="2075" spans="1:22" hidden="1" x14ac:dyDescent="0.25">
      <c r="A2075" s="100">
        <v>45762</v>
      </c>
      <c r="B2075" t="str">
        <f t="shared" si="106"/>
        <v>April</v>
      </c>
      <c r="C2075" s="46" t="s">
        <v>280</v>
      </c>
      <c r="F2075" s="366" t="s">
        <v>1499</v>
      </c>
      <c r="G2075" s="46" t="s">
        <v>83</v>
      </c>
      <c r="H2075" s="46">
        <v>2</v>
      </c>
      <c r="I2075" s="51">
        <v>8858.76</v>
      </c>
      <c r="J2075" s="281">
        <f>++Tabla4[[#This Row],[Precio Bruto]]*1.16</f>
        <v>10276.161599999999</v>
      </c>
      <c r="K2075" s="281">
        <f>+Tabla4[[#This Row],[Precio Unitario Neto]]*Tabla4[[#Headers],[20.85%]]</f>
        <v>2142.5796935999997</v>
      </c>
      <c r="L2075" s="282">
        <f>++Tabla4[[#This Row],[Precio Unitario Neto]]-Tabla4[[#This Row],[20.85%]]</f>
        <v>8133.5819063999998</v>
      </c>
      <c r="M2075" s="282" t="e">
        <f>(INDEX(Tabla6[#All],MATCH(Tabla4[[#This Row],[Producto]],Tabla6[[#All],[PRODUCTO]],0),MATCH(Tabla4[[#This Row],[Mes]],Tabla6[#Headers],0)))*(1+Catalogos!$L$2)</f>
        <v>#N/A</v>
      </c>
      <c r="N2075" s="283" t="e">
        <f>+(Tabla4[[#This Row],[Precio Descontado]]-Tabla4[[#This Row],[Precio Base]])*Tabla4[[#This Row],[Cantidad]]</f>
        <v>#N/A</v>
      </c>
      <c r="O2075" s="284" t="e">
        <f>++Tabla4[[#This Row],[Utilidad Total]]/Tabla4[[#This Row],[Total]]</f>
        <v>#N/A</v>
      </c>
      <c r="P2075" s="282">
        <f>++Tabla4[[#This Row],[Precio Descontado]]*Tabla4[[#This Row],[Cantidad]]</f>
        <v>16267.1638128</v>
      </c>
      <c r="Q2075" s="282" t="e">
        <f>(INDEX(Tabla6[#All],MATCH(Tabla4[[#This Row],[Producto]],Tabla6[[#All],[PRODUCTO]],0),MATCH(Tabla4[[#This Row],[Mes]],Tabla6[#Headers],0)))</f>
        <v>#N/A</v>
      </c>
      <c r="R2075" s="282" t="e">
        <f>++Tabla4[[#This Row],[Precio Unitario Neto]]-Tabla4[[#This Row],[20.85%]]-Tabla4[[#This Row],[Costo]]</f>
        <v>#N/A</v>
      </c>
      <c r="S2075" s="282" t="e">
        <f>++Tabla4[[#This Row],[U. Bruta Uni]]*Tabla4[[#This Row],[Cantidad]]</f>
        <v>#N/A</v>
      </c>
      <c r="T2075" s="369" t="str">
        <f>VLOOKUP(Tabla4[[#This Row],[Producto]],Tabla6[#All],14,FALSE)</f>
        <v>Termico Solar</v>
      </c>
      <c r="U2075" s="284" t="e">
        <f>(IF(Tabla4[[#This Row],[Familia]]="termico solar",Tabla4[[#This Row],[Utilidad Total]]*6%,Tabla4[[#This Row],[Utilidad Total]]*11.5%))/Tabla4[[#This Row],[Total]]</f>
        <v>#N/A</v>
      </c>
      <c r="V2075" s="282" t="e">
        <f>+Tabla4[[#This Row],[Comisión Calculada]]*Tabla4[[#This Row],[Total]]</f>
        <v>#N/A</v>
      </c>
    </row>
    <row r="2076" spans="1:22" hidden="1" x14ac:dyDescent="0.25">
      <c r="A2076" s="100">
        <v>45762</v>
      </c>
      <c r="B2076" t="str">
        <f t="shared" si="106"/>
        <v>April</v>
      </c>
      <c r="C2076" s="46" t="s">
        <v>280</v>
      </c>
      <c r="F2076" s="366" t="s">
        <v>1499</v>
      </c>
      <c r="G2076" s="46" t="s">
        <v>17</v>
      </c>
      <c r="H2076" s="46">
        <v>3</v>
      </c>
      <c r="I2076" s="51">
        <v>4622.28</v>
      </c>
      <c r="J2076" s="281">
        <f>++Tabla4[[#This Row],[Precio Bruto]]*1.16</f>
        <v>5361.8447999999989</v>
      </c>
      <c r="K2076" s="281">
        <f>+Tabla4[[#This Row],[Precio Unitario Neto]]*Tabla4[[#Headers],[20.85%]]</f>
        <v>1117.9446407999997</v>
      </c>
      <c r="L2076" s="282">
        <f>++Tabla4[[#This Row],[Precio Unitario Neto]]-Tabla4[[#This Row],[20.85%]]</f>
        <v>4243.9001591999995</v>
      </c>
      <c r="M2076" s="282" t="e">
        <f>(INDEX(Tabla6[#All],MATCH(Tabla4[[#This Row],[Producto]],Tabla6[[#All],[PRODUCTO]],0),MATCH(Tabla4[[#This Row],[Mes]],Tabla6[#Headers],0)))*(1+Catalogos!$L$2)</f>
        <v>#N/A</v>
      </c>
      <c r="N2076" s="283" t="e">
        <f>+(Tabla4[[#This Row],[Precio Descontado]]-Tabla4[[#This Row],[Precio Base]])*Tabla4[[#This Row],[Cantidad]]</f>
        <v>#N/A</v>
      </c>
      <c r="O2076" s="284" t="e">
        <f>++Tabla4[[#This Row],[Utilidad Total]]/Tabla4[[#This Row],[Total]]</f>
        <v>#N/A</v>
      </c>
      <c r="P2076" s="282">
        <f>++Tabla4[[#This Row],[Precio Descontado]]*Tabla4[[#This Row],[Cantidad]]</f>
        <v>12731.700477599999</v>
      </c>
      <c r="Q2076" s="282" t="e">
        <f>(INDEX(Tabla6[#All],MATCH(Tabla4[[#This Row],[Producto]],Tabla6[[#All],[PRODUCTO]],0),MATCH(Tabla4[[#This Row],[Mes]],Tabla6[#Headers],0)))</f>
        <v>#N/A</v>
      </c>
      <c r="R2076" s="282" t="e">
        <f>++Tabla4[[#This Row],[Precio Unitario Neto]]-Tabla4[[#This Row],[20.85%]]-Tabla4[[#This Row],[Costo]]</f>
        <v>#N/A</v>
      </c>
      <c r="S2076" s="282" t="e">
        <f>++Tabla4[[#This Row],[U. Bruta Uni]]*Tabla4[[#This Row],[Cantidad]]</f>
        <v>#N/A</v>
      </c>
      <c r="T2076" s="369" t="str">
        <f>VLOOKUP(Tabla4[[#This Row],[Producto]],Tabla6[#All],14,FALSE)</f>
        <v>Termico Solar</v>
      </c>
      <c r="U2076" s="284" t="e">
        <f>(IF(Tabla4[[#This Row],[Familia]]="termico solar",Tabla4[[#This Row],[Utilidad Total]]*6%,Tabla4[[#This Row],[Utilidad Total]]*11.5%))/Tabla4[[#This Row],[Total]]</f>
        <v>#N/A</v>
      </c>
      <c r="V2076" s="282" t="e">
        <f>+Tabla4[[#This Row],[Comisión Calculada]]*Tabla4[[#This Row],[Total]]</f>
        <v>#N/A</v>
      </c>
    </row>
    <row r="2077" spans="1:22" hidden="1" x14ac:dyDescent="0.25">
      <c r="A2077" s="100">
        <v>45762</v>
      </c>
      <c r="B2077" t="str">
        <f t="shared" si="106"/>
        <v>April</v>
      </c>
      <c r="C2077" s="46" t="s">
        <v>280</v>
      </c>
      <c r="F2077" s="366" t="s">
        <v>1499</v>
      </c>
      <c r="G2077" s="46" t="s">
        <v>18</v>
      </c>
      <c r="H2077" s="46">
        <v>2</v>
      </c>
      <c r="I2077" s="51">
        <v>5367.65</v>
      </c>
      <c r="J2077" s="281">
        <f>++Tabla4[[#This Row],[Precio Bruto]]*1.16</f>
        <v>6226.4739999999993</v>
      </c>
      <c r="K2077" s="281">
        <f>+Tabla4[[#This Row],[Precio Unitario Neto]]*Tabla4[[#Headers],[20.85%]]</f>
        <v>1298.2198289999999</v>
      </c>
      <c r="L2077" s="282">
        <f>++Tabla4[[#This Row],[Precio Unitario Neto]]-Tabla4[[#This Row],[20.85%]]</f>
        <v>4928.2541709999996</v>
      </c>
      <c r="M2077" s="282" t="e">
        <f>(INDEX(Tabla6[#All],MATCH(Tabla4[[#This Row],[Producto]],Tabla6[[#All],[PRODUCTO]],0),MATCH(Tabla4[[#This Row],[Mes]],Tabla6[#Headers],0)))*(1+Catalogos!$L$2)</f>
        <v>#N/A</v>
      </c>
      <c r="N2077" s="283" t="e">
        <f>+(Tabla4[[#This Row],[Precio Descontado]]-Tabla4[[#This Row],[Precio Base]])*Tabla4[[#This Row],[Cantidad]]</f>
        <v>#N/A</v>
      </c>
      <c r="O2077" s="284" t="e">
        <f>++Tabla4[[#This Row],[Utilidad Total]]/Tabla4[[#This Row],[Total]]</f>
        <v>#N/A</v>
      </c>
      <c r="P2077" s="282">
        <f>++Tabla4[[#This Row],[Precio Descontado]]*Tabla4[[#This Row],[Cantidad]]</f>
        <v>9856.5083419999992</v>
      </c>
      <c r="Q2077" s="282" t="e">
        <f>(INDEX(Tabla6[#All],MATCH(Tabla4[[#This Row],[Producto]],Tabla6[[#All],[PRODUCTO]],0),MATCH(Tabla4[[#This Row],[Mes]],Tabla6[#Headers],0)))</f>
        <v>#N/A</v>
      </c>
      <c r="R2077" s="282" t="e">
        <f>++Tabla4[[#This Row],[Precio Unitario Neto]]-Tabla4[[#This Row],[20.85%]]-Tabla4[[#This Row],[Costo]]</f>
        <v>#N/A</v>
      </c>
      <c r="S2077" s="282" t="e">
        <f>++Tabla4[[#This Row],[U. Bruta Uni]]*Tabla4[[#This Row],[Cantidad]]</f>
        <v>#N/A</v>
      </c>
      <c r="T2077" s="369" t="str">
        <f>VLOOKUP(Tabla4[[#This Row],[Producto]],Tabla6[#All],14,FALSE)</f>
        <v>Termico Solar</v>
      </c>
      <c r="U2077" s="284" t="e">
        <f>(IF(Tabla4[[#This Row],[Familia]]="termico solar",Tabla4[[#This Row],[Utilidad Total]]*6%,Tabla4[[#This Row],[Utilidad Total]]*11.5%))/Tabla4[[#This Row],[Total]]</f>
        <v>#N/A</v>
      </c>
      <c r="V2077" s="282" t="e">
        <f>+Tabla4[[#This Row],[Comisión Calculada]]*Tabla4[[#This Row],[Total]]</f>
        <v>#N/A</v>
      </c>
    </row>
    <row r="2078" spans="1:22" hidden="1" x14ac:dyDescent="0.25">
      <c r="A2078" s="100">
        <v>45762</v>
      </c>
      <c r="B2078" t="str">
        <f t="shared" si="106"/>
        <v>April</v>
      </c>
      <c r="C2078" s="46" t="s">
        <v>280</v>
      </c>
      <c r="F2078" s="366" t="s">
        <v>1499</v>
      </c>
      <c r="G2078" s="46" t="s">
        <v>16</v>
      </c>
      <c r="H2078" s="46">
        <v>1</v>
      </c>
      <c r="I2078" s="51">
        <v>4103.8500000000004</v>
      </c>
      <c r="J2078" s="281">
        <f>++Tabla4[[#This Row],[Precio Bruto]]*1.16</f>
        <v>4760.4660000000003</v>
      </c>
      <c r="K2078" s="281">
        <f>+Tabla4[[#This Row],[Precio Unitario Neto]]*Tabla4[[#Headers],[20.85%]]</f>
        <v>992.55716100000006</v>
      </c>
      <c r="L2078" s="282">
        <f>++Tabla4[[#This Row],[Precio Unitario Neto]]-Tabla4[[#This Row],[20.85%]]</f>
        <v>3767.9088390000002</v>
      </c>
      <c r="M2078" s="282" t="e">
        <f>(INDEX(Tabla6[#All],MATCH(Tabla4[[#This Row],[Producto]],Tabla6[[#All],[PRODUCTO]],0),MATCH(Tabla4[[#This Row],[Mes]],Tabla6[#Headers],0)))*(1+Catalogos!$L$2)</f>
        <v>#N/A</v>
      </c>
      <c r="N2078" s="283" t="e">
        <f>+(Tabla4[[#This Row],[Precio Descontado]]-Tabla4[[#This Row],[Precio Base]])*Tabla4[[#This Row],[Cantidad]]</f>
        <v>#N/A</v>
      </c>
      <c r="O2078" s="284" t="e">
        <f>++Tabla4[[#This Row],[Utilidad Total]]/Tabla4[[#This Row],[Total]]</f>
        <v>#N/A</v>
      </c>
      <c r="P2078" s="282">
        <f>++Tabla4[[#This Row],[Precio Descontado]]*Tabla4[[#This Row],[Cantidad]]</f>
        <v>3767.9088390000002</v>
      </c>
      <c r="Q2078" s="282" t="e">
        <f>(INDEX(Tabla6[#All],MATCH(Tabla4[[#This Row],[Producto]],Tabla6[[#All],[PRODUCTO]],0),MATCH(Tabla4[[#This Row],[Mes]],Tabla6[#Headers],0)))</f>
        <v>#N/A</v>
      </c>
      <c r="R2078" s="282" t="e">
        <f>++Tabla4[[#This Row],[Precio Unitario Neto]]-Tabla4[[#This Row],[20.85%]]-Tabla4[[#This Row],[Costo]]</f>
        <v>#N/A</v>
      </c>
      <c r="S2078" s="282" t="e">
        <f>++Tabla4[[#This Row],[U. Bruta Uni]]*Tabla4[[#This Row],[Cantidad]]</f>
        <v>#N/A</v>
      </c>
      <c r="T2078" s="369" t="str">
        <f>VLOOKUP(Tabla4[[#This Row],[Producto]],Tabla6[#All],14,FALSE)</f>
        <v>Termico Solar</v>
      </c>
      <c r="U2078" s="284" t="e">
        <f>(IF(Tabla4[[#This Row],[Familia]]="termico solar",Tabla4[[#This Row],[Utilidad Total]]*6%,Tabla4[[#This Row],[Utilidad Total]]*11.5%))/Tabla4[[#This Row],[Total]]</f>
        <v>#N/A</v>
      </c>
      <c r="V2078" s="282" t="e">
        <f>+Tabla4[[#This Row],[Comisión Calculada]]*Tabla4[[#This Row],[Total]]</f>
        <v>#N/A</v>
      </c>
    </row>
    <row r="2079" spans="1:22" hidden="1" x14ac:dyDescent="0.25">
      <c r="A2079" s="100">
        <v>45762</v>
      </c>
      <c r="B2079" t="str">
        <f t="shared" si="106"/>
        <v>April</v>
      </c>
      <c r="C2079" s="46" t="s">
        <v>280</v>
      </c>
      <c r="F2079" s="366" t="s">
        <v>1500</v>
      </c>
      <c r="G2079" s="46" t="s">
        <v>83</v>
      </c>
      <c r="H2079" s="46">
        <v>3</v>
      </c>
      <c r="I2079" s="51">
        <v>8858.76</v>
      </c>
      <c r="J2079" s="281">
        <f>++Tabla4[[#This Row],[Precio Bruto]]*1.16</f>
        <v>10276.161599999999</v>
      </c>
      <c r="K2079" s="281">
        <f>+Tabla4[[#This Row],[Precio Unitario Neto]]*Tabla4[[#Headers],[20.85%]]</f>
        <v>2142.5796935999997</v>
      </c>
      <c r="L2079" s="282">
        <f>++Tabla4[[#This Row],[Precio Unitario Neto]]-Tabla4[[#This Row],[20.85%]]</f>
        <v>8133.5819063999998</v>
      </c>
      <c r="M2079" s="282" t="e">
        <f>(INDEX(Tabla6[#All],MATCH(Tabla4[[#This Row],[Producto]],Tabla6[[#All],[PRODUCTO]],0),MATCH(Tabla4[[#This Row],[Mes]],Tabla6[#Headers],0)))*(1+Catalogos!$L$2)</f>
        <v>#N/A</v>
      </c>
      <c r="N2079" s="283" t="e">
        <f>+(Tabla4[[#This Row],[Precio Descontado]]-Tabla4[[#This Row],[Precio Base]])*Tabla4[[#This Row],[Cantidad]]</f>
        <v>#N/A</v>
      </c>
      <c r="O2079" s="284" t="e">
        <f>++Tabla4[[#This Row],[Utilidad Total]]/Tabla4[[#This Row],[Total]]</f>
        <v>#N/A</v>
      </c>
      <c r="P2079" s="282">
        <f>++Tabla4[[#This Row],[Precio Descontado]]*Tabla4[[#This Row],[Cantidad]]</f>
        <v>24400.7457192</v>
      </c>
      <c r="Q2079" s="282" t="e">
        <f>(INDEX(Tabla6[#All],MATCH(Tabla4[[#This Row],[Producto]],Tabla6[[#All],[PRODUCTO]],0),MATCH(Tabla4[[#This Row],[Mes]],Tabla6[#Headers],0)))</f>
        <v>#N/A</v>
      </c>
      <c r="R2079" s="282" t="e">
        <f>++Tabla4[[#This Row],[Precio Unitario Neto]]-Tabla4[[#This Row],[20.85%]]-Tabla4[[#This Row],[Costo]]</f>
        <v>#N/A</v>
      </c>
      <c r="S2079" s="282" t="e">
        <f>++Tabla4[[#This Row],[U. Bruta Uni]]*Tabla4[[#This Row],[Cantidad]]</f>
        <v>#N/A</v>
      </c>
      <c r="T2079" s="369" t="str">
        <f>VLOOKUP(Tabla4[[#This Row],[Producto]],Tabla6[#All],14,FALSE)</f>
        <v>Termico Solar</v>
      </c>
      <c r="U2079" s="284" t="e">
        <f>(IF(Tabla4[[#This Row],[Familia]]="termico solar",Tabla4[[#This Row],[Utilidad Total]]*6%,Tabla4[[#This Row],[Utilidad Total]]*11.5%))/Tabla4[[#This Row],[Total]]</f>
        <v>#N/A</v>
      </c>
      <c r="V2079" s="282" t="e">
        <f>+Tabla4[[#This Row],[Comisión Calculada]]*Tabla4[[#This Row],[Total]]</f>
        <v>#N/A</v>
      </c>
    </row>
    <row r="2080" spans="1:22" hidden="1" x14ac:dyDescent="0.25">
      <c r="A2080" s="100">
        <v>45762</v>
      </c>
      <c r="B2080" t="str">
        <f t="shared" si="106"/>
        <v>April</v>
      </c>
      <c r="C2080" s="46" t="s">
        <v>280</v>
      </c>
      <c r="F2080" s="366" t="s">
        <v>1500</v>
      </c>
      <c r="G2080" s="46" t="s">
        <v>566</v>
      </c>
      <c r="H2080" s="46">
        <v>1</v>
      </c>
      <c r="I2080" s="51">
        <v>2109.4499999999998</v>
      </c>
      <c r="J2080" s="281">
        <f>++Tabla4[[#This Row],[Precio Bruto]]*1.16</f>
        <v>2446.9619999999995</v>
      </c>
      <c r="K2080" s="281">
        <f>+Tabla4[[#This Row],[Precio Unitario Neto]]*Tabla4[[#Headers],[20.85%]]</f>
        <v>510.19157699999988</v>
      </c>
      <c r="L2080" s="282">
        <f>++Tabla4[[#This Row],[Precio Unitario Neto]]-Tabla4[[#This Row],[20.85%]]</f>
        <v>1936.7704229999997</v>
      </c>
      <c r="M2080" s="282" t="e">
        <f>(INDEX(Tabla6[#All],MATCH(Tabla4[[#This Row],[Producto]],Tabla6[[#All],[PRODUCTO]],0),MATCH(Tabla4[[#This Row],[Mes]],Tabla6[#Headers],0)))*(1+Catalogos!$L$2)</f>
        <v>#N/A</v>
      </c>
      <c r="N2080" s="283" t="e">
        <f>+(Tabla4[[#This Row],[Precio Descontado]]-Tabla4[[#This Row],[Precio Base]])*Tabla4[[#This Row],[Cantidad]]</f>
        <v>#N/A</v>
      </c>
      <c r="O2080" s="284" t="e">
        <f>++Tabla4[[#This Row],[Utilidad Total]]/Tabla4[[#This Row],[Total]]</f>
        <v>#N/A</v>
      </c>
      <c r="P2080" s="282">
        <f>++Tabla4[[#This Row],[Precio Descontado]]*Tabla4[[#This Row],[Cantidad]]</f>
        <v>1936.7704229999997</v>
      </c>
      <c r="Q2080" s="282" t="e">
        <f>(INDEX(Tabla6[#All],MATCH(Tabla4[[#This Row],[Producto]],Tabla6[[#All],[PRODUCTO]],0),MATCH(Tabla4[[#This Row],[Mes]],Tabla6[#Headers],0)))</f>
        <v>#N/A</v>
      </c>
      <c r="R2080" s="282" t="e">
        <f>++Tabla4[[#This Row],[Precio Unitario Neto]]-Tabla4[[#This Row],[20.85%]]-Tabla4[[#This Row],[Costo]]</f>
        <v>#N/A</v>
      </c>
      <c r="S2080" s="282" t="e">
        <f>++Tabla4[[#This Row],[U. Bruta Uni]]*Tabla4[[#This Row],[Cantidad]]</f>
        <v>#N/A</v>
      </c>
      <c r="T2080" s="369" t="str">
        <f>VLOOKUP(Tabla4[[#This Row],[Producto]],Tabla6[#All],14,FALSE)</f>
        <v>Termico Solar</v>
      </c>
      <c r="U2080" s="284" t="e">
        <f>(IF(Tabla4[[#This Row],[Familia]]="termico solar",Tabla4[[#This Row],[Utilidad Total]]*6%,Tabla4[[#This Row],[Utilidad Total]]*11.5%))/Tabla4[[#This Row],[Total]]</f>
        <v>#N/A</v>
      </c>
      <c r="V2080" s="282" t="e">
        <f>+Tabla4[[#This Row],[Comisión Calculada]]*Tabla4[[#This Row],[Total]]</f>
        <v>#N/A</v>
      </c>
    </row>
    <row r="2081" spans="1:22" hidden="1" x14ac:dyDescent="0.25">
      <c r="A2081" s="100">
        <v>45762</v>
      </c>
      <c r="B2081" t="str">
        <f t="shared" si="106"/>
        <v>April</v>
      </c>
      <c r="C2081" s="46" t="s">
        <v>280</v>
      </c>
      <c r="F2081" s="366" t="s">
        <v>1501</v>
      </c>
      <c r="G2081" s="46" t="s">
        <v>83</v>
      </c>
      <c r="H2081" s="46">
        <v>2</v>
      </c>
      <c r="I2081" s="51">
        <v>8858.76</v>
      </c>
      <c r="J2081" s="281">
        <f>++Tabla4[[#This Row],[Precio Bruto]]*1.16</f>
        <v>10276.161599999999</v>
      </c>
      <c r="K2081" s="281">
        <f>+Tabla4[[#This Row],[Precio Unitario Neto]]*Tabla4[[#Headers],[20.85%]]</f>
        <v>2142.5796935999997</v>
      </c>
      <c r="L2081" s="282">
        <f>++Tabla4[[#This Row],[Precio Unitario Neto]]-Tabla4[[#This Row],[20.85%]]</f>
        <v>8133.5819063999998</v>
      </c>
      <c r="M2081" s="282" t="e">
        <f>(INDEX(Tabla6[#All],MATCH(Tabla4[[#This Row],[Producto]],Tabla6[[#All],[PRODUCTO]],0),MATCH(Tabla4[[#This Row],[Mes]],Tabla6[#Headers],0)))*(1+Catalogos!$L$2)</f>
        <v>#N/A</v>
      </c>
      <c r="N2081" s="283" t="e">
        <f>+(Tabla4[[#This Row],[Precio Descontado]]-Tabla4[[#This Row],[Precio Base]])*Tabla4[[#This Row],[Cantidad]]</f>
        <v>#N/A</v>
      </c>
      <c r="O2081" s="284" t="e">
        <f>++Tabla4[[#This Row],[Utilidad Total]]/Tabla4[[#This Row],[Total]]</f>
        <v>#N/A</v>
      </c>
      <c r="P2081" s="282">
        <f>++Tabla4[[#This Row],[Precio Descontado]]*Tabla4[[#This Row],[Cantidad]]</f>
        <v>16267.1638128</v>
      </c>
      <c r="Q2081" s="282" t="e">
        <f>(INDEX(Tabla6[#All],MATCH(Tabla4[[#This Row],[Producto]],Tabla6[[#All],[PRODUCTO]],0),MATCH(Tabla4[[#This Row],[Mes]],Tabla6[#Headers],0)))</f>
        <v>#N/A</v>
      </c>
      <c r="R2081" s="282" t="e">
        <f>++Tabla4[[#This Row],[Precio Unitario Neto]]-Tabla4[[#This Row],[20.85%]]-Tabla4[[#This Row],[Costo]]</f>
        <v>#N/A</v>
      </c>
      <c r="S2081" s="282" t="e">
        <f>++Tabla4[[#This Row],[U. Bruta Uni]]*Tabla4[[#This Row],[Cantidad]]</f>
        <v>#N/A</v>
      </c>
      <c r="T2081" s="369" t="str">
        <f>VLOOKUP(Tabla4[[#This Row],[Producto]],Tabla6[#All],14,FALSE)</f>
        <v>Termico Solar</v>
      </c>
      <c r="U2081" s="284" t="e">
        <f>(IF(Tabla4[[#This Row],[Familia]]="termico solar",Tabla4[[#This Row],[Utilidad Total]]*6%,Tabla4[[#This Row],[Utilidad Total]]*11.5%))/Tabla4[[#This Row],[Total]]</f>
        <v>#N/A</v>
      </c>
      <c r="V2081" s="282" t="e">
        <f>+Tabla4[[#This Row],[Comisión Calculada]]*Tabla4[[#This Row],[Total]]</f>
        <v>#N/A</v>
      </c>
    </row>
    <row r="2082" spans="1:22" hidden="1" x14ac:dyDescent="0.25">
      <c r="A2082" s="100">
        <v>45762</v>
      </c>
      <c r="B2082" t="str">
        <f t="shared" si="106"/>
        <v>April</v>
      </c>
      <c r="C2082" s="46" t="s">
        <v>280</v>
      </c>
      <c r="F2082" s="366" t="s">
        <v>1501</v>
      </c>
      <c r="G2082" s="46" t="s">
        <v>17</v>
      </c>
      <c r="H2082" s="46">
        <v>3</v>
      </c>
      <c r="I2082" s="51">
        <v>4622.28</v>
      </c>
      <c r="J2082" s="281">
        <f>++Tabla4[[#This Row],[Precio Bruto]]*1.16</f>
        <v>5361.8447999999989</v>
      </c>
      <c r="K2082" s="281">
        <f>+Tabla4[[#This Row],[Precio Unitario Neto]]*Tabla4[[#Headers],[20.85%]]</f>
        <v>1117.9446407999997</v>
      </c>
      <c r="L2082" s="282">
        <f>++Tabla4[[#This Row],[Precio Unitario Neto]]-Tabla4[[#This Row],[20.85%]]</f>
        <v>4243.9001591999995</v>
      </c>
      <c r="M2082" s="282" t="e">
        <f>(INDEX(Tabla6[#All],MATCH(Tabla4[[#This Row],[Producto]],Tabla6[[#All],[PRODUCTO]],0),MATCH(Tabla4[[#This Row],[Mes]],Tabla6[#Headers],0)))*(1+Catalogos!$L$2)</f>
        <v>#N/A</v>
      </c>
      <c r="N2082" s="283" t="e">
        <f>+(Tabla4[[#This Row],[Precio Descontado]]-Tabla4[[#This Row],[Precio Base]])*Tabla4[[#This Row],[Cantidad]]</f>
        <v>#N/A</v>
      </c>
      <c r="O2082" s="284" t="e">
        <f>++Tabla4[[#This Row],[Utilidad Total]]/Tabla4[[#This Row],[Total]]</f>
        <v>#N/A</v>
      </c>
      <c r="P2082" s="282">
        <f>++Tabla4[[#This Row],[Precio Descontado]]*Tabla4[[#This Row],[Cantidad]]</f>
        <v>12731.700477599999</v>
      </c>
      <c r="Q2082" s="282" t="e">
        <f>(INDEX(Tabla6[#All],MATCH(Tabla4[[#This Row],[Producto]],Tabla6[[#All],[PRODUCTO]],0),MATCH(Tabla4[[#This Row],[Mes]],Tabla6[#Headers],0)))</f>
        <v>#N/A</v>
      </c>
      <c r="R2082" s="282" t="e">
        <f>++Tabla4[[#This Row],[Precio Unitario Neto]]-Tabla4[[#This Row],[20.85%]]-Tabla4[[#This Row],[Costo]]</f>
        <v>#N/A</v>
      </c>
      <c r="S2082" s="282" t="e">
        <f>++Tabla4[[#This Row],[U. Bruta Uni]]*Tabla4[[#This Row],[Cantidad]]</f>
        <v>#N/A</v>
      </c>
      <c r="T2082" s="369" t="str">
        <f>VLOOKUP(Tabla4[[#This Row],[Producto]],Tabla6[#All],14,FALSE)</f>
        <v>Termico Solar</v>
      </c>
      <c r="U2082" s="284" t="e">
        <f>(IF(Tabla4[[#This Row],[Familia]]="termico solar",Tabla4[[#This Row],[Utilidad Total]]*6%,Tabla4[[#This Row],[Utilidad Total]]*11.5%))/Tabla4[[#This Row],[Total]]</f>
        <v>#N/A</v>
      </c>
      <c r="V2082" s="282" t="e">
        <f>+Tabla4[[#This Row],[Comisión Calculada]]*Tabla4[[#This Row],[Total]]</f>
        <v>#N/A</v>
      </c>
    </row>
    <row r="2083" spans="1:22" hidden="1" x14ac:dyDescent="0.25">
      <c r="A2083" s="100">
        <v>45762</v>
      </c>
      <c r="B2083" t="str">
        <f t="shared" si="106"/>
        <v>April</v>
      </c>
      <c r="C2083" s="46" t="s">
        <v>280</v>
      </c>
      <c r="F2083" s="366" t="s">
        <v>1501</v>
      </c>
      <c r="G2083" s="46" t="s">
        <v>18</v>
      </c>
      <c r="H2083" s="46">
        <v>1</v>
      </c>
      <c r="I2083" s="51">
        <v>5367.65</v>
      </c>
      <c r="J2083" s="281">
        <f>++Tabla4[[#This Row],[Precio Bruto]]*1.16</f>
        <v>6226.4739999999993</v>
      </c>
      <c r="K2083" s="281">
        <f>+Tabla4[[#This Row],[Precio Unitario Neto]]*Tabla4[[#Headers],[20.85%]]</f>
        <v>1298.2198289999999</v>
      </c>
      <c r="L2083" s="282">
        <f>++Tabla4[[#This Row],[Precio Unitario Neto]]-Tabla4[[#This Row],[20.85%]]</f>
        <v>4928.2541709999996</v>
      </c>
      <c r="M2083" s="282" t="e">
        <f>(INDEX(Tabla6[#All],MATCH(Tabla4[[#This Row],[Producto]],Tabla6[[#All],[PRODUCTO]],0),MATCH(Tabla4[[#This Row],[Mes]],Tabla6[#Headers],0)))*(1+Catalogos!$L$2)</f>
        <v>#N/A</v>
      </c>
      <c r="N2083" s="283" t="e">
        <f>+(Tabla4[[#This Row],[Precio Descontado]]-Tabla4[[#This Row],[Precio Base]])*Tabla4[[#This Row],[Cantidad]]</f>
        <v>#N/A</v>
      </c>
      <c r="O2083" s="284" t="e">
        <f>++Tabla4[[#This Row],[Utilidad Total]]/Tabla4[[#This Row],[Total]]</f>
        <v>#N/A</v>
      </c>
      <c r="P2083" s="282">
        <f>++Tabla4[[#This Row],[Precio Descontado]]*Tabla4[[#This Row],[Cantidad]]</f>
        <v>4928.2541709999996</v>
      </c>
      <c r="Q2083" s="282" t="e">
        <f>(INDEX(Tabla6[#All],MATCH(Tabla4[[#This Row],[Producto]],Tabla6[[#All],[PRODUCTO]],0),MATCH(Tabla4[[#This Row],[Mes]],Tabla6[#Headers],0)))</f>
        <v>#N/A</v>
      </c>
      <c r="R2083" s="282" t="e">
        <f>++Tabla4[[#This Row],[Precio Unitario Neto]]-Tabla4[[#This Row],[20.85%]]-Tabla4[[#This Row],[Costo]]</f>
        <v>#N/A</v>
      </c>
      <c r="S2083" s="282" t="e">
        <f>++Tabla4[[#This Row],[U. Bruta Uni]]*Tabla4[[#This Row],[Cantidad]]</f>
        <v>#N/A</v>
      </c>
      <c r="T2083" s="369" t="str">
        <f>VLOOKUP(Tabla4[[#This Row],[Producto]],Tabla6[#All],14,FALSE)</f>
        <v>Termico Solar</v>
      </c>
      <c r="U2083" s="284" t="e">
        <f>(IF(Tabla4[[#This Row],[Familia]]="termico solar",Tabla4[[#This Row],[Utilidad Total]]*6%,Tabla4[[#This Row],[Utilidad Total]]*11.5%))/Tabla4[[#This Row],[Total]]</f>
        <v>#N/A</v>
      </c>
      <c r="V2083" s="282" t="e">
        <f>+Tabla4[[#This Row],[Comisión Calculada]]*Tabla4[[#This Row],[Total]]</f>
        <v>#N/A</v>
      </c>
    </row>
    <row r="2084" spans="1:22" hidden="1" x14ac:dyDescent="0.25">
      <c r="A2084" s="100">
        <v>45762</v>
      </c>
      <c r="B2084" t="str">
        <f t="shared" si="106"/>
        <v>April</v>
      </c>
      <c r="C2084" s="46" t="s">
        <v>280</v>
      </c>
      <c r="F2084" s="366" t="s">
        <v>1501</v>
      </c>
      <c r="G2084" s="46" t="s">
        <v>412</v>
      </c>
      <c r="H2084" s="46">
        <v>1</v>
      </c>
      <c r="I2084" s="51">
        <v>3240.84</v>
      </c>
      <c r="J2084" s="281">
        <f>++Tabla4[[#This Row],[Precio Bruto]]*1.16</f>
        <v>3759.3743999999997</v>
      </c>
      <c r="K2084" s="281">
        <f>+Tabla4[[#This Row],[Precio Unitario Neto]]*Tabla4[[#Headers],[20.85%]]</f>
        <v>783.82956239999987</v>
      </c>
      <c r="L2084" s="282">
        <f>++Tabla4[[#This Row],[Precio Unitario Neto]]-Tabla4[[#This Row],[20.85%]]</f>
        <v>2975.5448375999999</v>
      </c>
      <c r="M2084" s="282" t="e">
        <f>(INDEX(Tabla6[#All],MATCH(Tabla4[[#This Row],[Producto]],Tabla6[[#All],[PRODUCTO]],0),MATCH(Tabla4[[#This Row],[Mes]],Tabla6[#Headers],0)))*(1+Catalogos!$L$2)</f>
        <v>#N/A</v>
      </c>
      <c r="N2084" s="283" t="e">
        <f>+(Tabla4[[#This Row],[Precio Descontado]]-Tabla4[[#This Row],[Precio Base]])*Tabla4[[#This Row],[Cantidad]]</f>
        <v>#N/A</v>
      </c>
      <c r="O2084" s="284" t="e">
        <f>++Tabla4[[#This Row],[Utilidad Total]]/Tabla4[[#This Row],[Total]]</f>
        <v>#N/A</v>
      </c>
      <c r="P2084" s="282">
        <f>++Tabla4[[#This Row],[Precio Descontado]]*Tabla4[[#This Row],[Cantidad]]</f>
        <v>2975.5448375999999</v>
      </c>
      <c r="Q2084" s="282" t="e">
        <f>(INDEX(Tabla6[#All],MATCH(Tabla4[[#This Row],[Producto]],Tabla6[[#All],[PRODUCTO]],0),MATCH(Tabla4[[#This Row],[Mes]],Tabla6[#Headers],0)))</f>
        <v>#N/A</v>
      </c>
      <c r="R2084" s="282" t="e">
        <f>++Tabla4[[#This Row],[Precio Unitario Neto]]-Tabla4[[#This Row],[20.85%]]-Tabla4[[#This Row],[Costo]]</f>
        <v>#N/A</v>
      </c>
      <c r="S2084" s="282" t="e">
        <f>++Tabla4[[#This Row],[U. Bruta Uni]]*Tabla4[[#This Row],[Cantidad]]</f>
        <v>#N/A</v>
      </c>
      <c r="T2084" s="369" t="str">
        <f>VLOOKUP(Tabla4[[#This Row],[Producto]],Tabla6[#All],14,FALSE)</f>
        <v>Termico Solar</v>
      </c>
      <c r="U2084" s="284" t="e">
        <f>(IF(Tabla4[[#This Row],[Familia]]="termico solar",Tabla4[[#This Row],[Utilidad Total]]*6%,Tabla4[[#This Row],[Utilidad Total]]*11.5%))/Tabla4[[#This Row],[Total]]</f>
        <v>#N/A</v>
      </c>
      <c r="V2084" s="282" t="e">
        <f>+Tabla4[[#This Row],[Comisión Calculada]]*Tabla4[[#This Row],[Total]]</f>
        <v>#N/A</v>
      </c>
    </row>
    <row r="2085" spans="1:22" hidden="1" x14ac:dyDescent="0.25">
      <c r="A2085" s="100">
        <v>45762</v>
      </c>
      <c r="B2085" t="str">
        <f t="shared" si="106"/>
        <v>April</v>
      </c>
      <c r="C2085" s="46" t="s">
        <v>280</v>
      </c>
      <c r="F2085" s="366" t="s">
        <v>1501</v>
      </c>
      <c r="G2085" s="46" t="s">
        <v>16</v>
      </c>
      <c r="H2085" s="46">
        <v>1</v>
      </c>
      <c r="I2085" s="51">
        <v>4103.8500000000004</v>
      </c>
      <c r="J2085" s="281">
        <f>++Tabla4[[#This Row],[Precio Bruto]]*1.16</f>
        <v>4760.4660000000003</v>
      </c>
      <c r="K2085" s="281">
        <f>+Tabla4[[#This Row],[Precio Unitario Neto]]*Tabla4[[#Headers],[20.85%]]</f>
        <v>992.55716100000006</v>
      </c>
      <c r="L2085" s="282">
        <f>++Tabla4[[#This Row],[Precio Unitario Neto]]-Tabla4[[#This Row],[20.85%]]</f>
        <v>3767.9088390000002</v>
      </c>
      <c r="M2085" s="282" t="e">
        <f>(INDEX(Tabla6[#All],MATCH(Tabla4[[#This Row],[Producto]],Tabla6[[#All],[PRODUCTO]],0),MATCH(Tabla4[[#This Row],[Mes]],Tabla6[#Headers],0)))*(1+Catalogos!$L$2)</f>
        <v>#N/A</v>
      </c>
      <c r="N2085" s="283" t="e">
        <f>+(Tabla4[[#This Row],[Precio Descontado]]-Tabla4[[#This Row],[Precio Base]])*Tabla4[[#This Row],[Cantidad]]</f>
        <v>#N/A</v>
      </c>
      <c r="O2085" s="284" t="e">
        <f>++Tabla4[[#This Row],[Utilidad Total]]/Tabla4[[#This Row],[Total]]</f>
        <v>#N/A</v>
      </c>
      <c r="P2085" s="282">
        <f>++Tabla4[[#This Row],[Precio Descontado]]*Tabla4[[#This Row],[Cantidad]]</f>
        <v>3767.9088390000002</v>
      </c>
      <c r="Q2085" s="282" t="e">
        <f>(INDEX(Tabla6[#All],MATCH(Tabla4[[#This Row],[Producto]],Tabla6[[#All],[PRODUCTO]],0),MATCH(Tabla4[[#This Row],[Mes]],Tabla6[#Headers],0)))</f>
        <v>#N/A</v>
      </c>
      <c r="R2085" s="282" t="e">
        <f>++Tabla4[[#This Row],[Precio Unitario Neto]]-Tabla4[[#This Row],[20.85%]]-Tabla4[[#This Row],[Costo]]</f>
        <v>#N/A</v>
      </c>
      <c r="S2085" s="282" t="e">
        <f>++Tabla4[[#This Row],[U. Bruta Uni]]*Tabla4[[#This Row],[Cantidad]]</f>
        <v>#N/A</v>
      </c>
      <c r="T2085" s="369" t="str">
        <f>VLOOKUP(Tabla4[[#This Row],[Producto]],Tabla6[#All],14,FALSE)</f>
        <v>Termico Solar</v>
      </c>
      <c r="U2085" s="284" t="e">
        <f>(IF(Tabla4[[#This Row],[Familia]]="termico solar",Tabla4[[#This Row],[Utilidad Total]]*6%,Tabla4[[#This Row],[Utilidad Total]]*11.5%))/Tabla4[[#This Row],[Total]]</f>
        <v>#N/A</v>
      </c>
      <c r="V2085" s="282" t="e">
        <f>+Tabla4[[#This Row],[Comisión Calculada]]*Tabla4[[#This Row],[Total]]</f>
        <v>#N/A</v>
      </c>
    </row>
    <row r="2086" spans="1:22" hidden="1" x14ac:dyDescent="0.25">
      <c r="A2086" s="100">
        <v>45762</v>
      </c>
      <c r="B2086" t="str">
        <f t="shared" si="106"/>
        <v>April</v>
      </c>
      <c r="C2086" s="46" t="s">
        <v>280</v>
      </c>
      <c r="F2086" s="366" t="s">
        <v>1502</v>
      </c>
      <c r="G2086" s="46" t="s">
        <v>83</v>
      </c>
      <c r="H2086" s="46">
        <v>4</v>
      </c>
      <c r="I2086" s="51">
        <v>8858.76</v>
      </c>
      <c r="J2086" s="281">
        <f>++Tabla4[[#This Row],[Precio Bruto]]*1.16</f>
        <v>10276.161599999999</v>
      </c>
      <c r="K2086" s="281">
        <f>+Tabla4[[#This Row],[Precio Unitario Neto]]*Tabla4[[#Headers],[20.85%]]</f>
        <v>2142.5796935999997</v>
      </c>
      <c r="L2086" s="282">
        <f>++Tabla4[[#This Row],[Precio Unitario Neto]]-Tabla4[[#This Row],[20.85%]]</f>
        <v>8133.5819063999998</v>
      </c>
      <c r="M2086" s="282" t="e">
        <f>(INDEX(Tabla6[#All],MATCH(Tabla4[[#This Row],[Producto]],Tabla6[[#All],[PRODUCTO]],0),MATCH(Tabla4[[#This Row],[Mes]],Tabla6[#Headers],0)))*(1+Catalogos!$L$2)</f>
        <v>#N/A</v>
      </c>
      <c r="N2086" s="283" t="e">
        <f>+(Tabla4[[#This Row],[Precio Descontado]]-Tabla4[[#This Row],[Precio Base]])*Tabla4[[#This Row],[Cantidad]]</f>
        <v>#N/A</v>
      </c>
      <c r="O2086" s="284" t="e">
        <f>++Tabla4[[#This Row],[Utilidad Total]]/Tabla4[[#This Row],[Total]]</f>
        <v>#N/A</v>
      </c>
      <c r="P2086" s="282">
        <f>++Tabla4[[#This Row],[Precio Descontado]]*Tabla4[[#This Row],[Cantidad]]</f>
        <v>32534.327625599999</v>
      </c>
      <c r="Q2086" s="282" t="e">
        <f>(INDEX(Tabla6[#All],MATCH(Tabla4[[#This Row],[Producto]],Tabla6[[#All],[PRODUCTO]],0),MATCH(Tabla4[[#This Row],[Mes]],Tabla6[#Headers],0)))</f>
        <v>#N/A</v>
      </c>
      <c r="R2086" s="282" t="e">
        <f>++Tabla4[[#This Row],[Precio Unitario Neto]]-Tabla4[[#This Row],[20.85%]]-Tabla4[[#This Row],[Costo]]</f>
        <v>#N/A</v>
      </c>
      <c r="S2086" s="282" t="e">
        <f>++Tabla4[[#This Row],[U. Bruta Uni]]*Tabla4[[#This Row],[Cantidad]]</f>
        <v>#N/A</v>
      </c>
      <c r="T2086" s="369" t="str">
        <f>VLOOKUP(Tabla4[[#This Row],[Producto]],Tabla6[#All],14,FALSE)</f>
        <v>Termico Solar</v>
      </c>
      <c r="U2086" s="284" t="e">
        <f>(IF(Tabla4[[#This Row],[Familia]]="termico solar",Tabla4[[#This Row],[Utilidad Total]]*6%,Tabla4[[#This Row],[Utilidad Total]]*11.5%))/Tabla4[[#This Row],[Total]]</f>
        <v>#N/A</v>
      </c>
      <c r="V2086" s="282" t="e">
        <f>+Tabla4[[#This Row],[Comisión Calculada]]*Tabla4[[#This Row],[Total]]</f>
        <v>#N/A</v>
      </c>
    </row>
    <row r="2087" spans="1:22" hidden="1" x14ac:dyDescent="0.25">
      <c r="A2087" s="100">
        <v>45762</v>
      </c>
      <c r="B2087" t="str">
        <f t="shared" si="106"/>
        <v>April</v>
      </c>
      <c r="C2087" s="46" t="s">
        <v>280</v>
      </c>
      <c r="F2087" s="366" t="s">
        <v>1502</v>
      </c>
      <c r="G2087" s="46" t="s">
        <v>17</v>
      </c>
      <c r="H2087" s="46">
        <v>2</v>
      </c>
      <c r="I2087" s="51">
        <v>4622.28</v>
      </c>
      <c r="J2087" s="281">
        <f>++Tabla4[[#This Row],[Precio Bruto]]*1.16</f>
        <v>5361.8447999999989</v>
      </c>
      <c r="K2087" s="281">
        <f>+Tabla4[[#This Row],[Precio Unitario Neto]]*Tabla4[[#Headers],[20.85%]]</f>
        <v>1117.9446407999997</v>
      </c>
      <c r="L2087" s="282">
        <f>++Tabla4[[#This Row],[Precio Unitario Neto]]-Tabla4[[#This Row],[20.85%]]</f>
        <v>4243.9001591999995</v>
      </c>
      <c r="M2087" s="282" t="e">
        <f>(INDEX(Tabla6[#All],MATCH(Tabla4[[#This Row],[Producto]],Tabla6[[#All],[PRODUCTO]],0),MATCH(Tabla4[[#This Row],[Mes]],Tabla6[#Headers],0)))*(1+Catalogos!$L$2)</f>
        <v>#N/A</v>
      </c>
      <c r="N2087" s="283" t="e">
        <f>+(Tabla4[[#This Row],[Precio Descontado]]-Tabla4[[#This Row],[Precio Base]])*Tabla4[[#This Row],[Cantidad]]</f>
        <v>#N/A</v>
      </c>
      <c r="O2087" s="284" t="e">
        <f>++Tabla4[[#This Row],[Utilidad Total]]/Tabla4[[#This Row],[Total]]</f>
        <v>#N/A</v>
      </c>
      <c r="P2087" s="282">
        <f>++Tabla4[[#This Row],[Precio Descontado]]*Tabla4[[#This Row],[Cantidad]]</f>
        <v>8487.800318399999</v>
      </c>
      <c r="Q2087" s="282" t="e">
        <f>(INDEX(Tabla6[#All],MATCH(Tabla4[[#This Row],[Producto]],Tabla6[[#All],[PRODUCTO]],0),MATCH(Tabla4[[#This Row],[Mes]],Tabla6[#Headers],0)))</f>
        <v>#N/A</v>
      </c>
      <c r="R2087" s="282" t="e">
        <f>++Tabla4[[#This Row],[Precio Unitario Neto]]-Tabla4[[#This Row],[20.85%]]-Tabla4[[#This Row],[Costo]]</f>
        <v>#N/A</v>
      </c>
      <c r="S2087" s="282" t="e">
        <f>++Tabla4[[#This Row],[U. Bruta Uni]]*Tabla4[[#This Row],[Cantidad]]</f>
        <v>#N/A</v>
      </c>
      <c r="T2087" s="369" t="str">
        <f>VLOOKUP(Tabla4[[#This Row],[Producto]],Tabla6[#All],14,FALSE)</f>
        <v>Termico Solar</v>
      </c>
      <c r="U2087" s="284" t="e">
        <f>(IF(Tabla4[[#This Row],[Familia]]="termico solar",Tabla4[[#This Row],[Utilidad Total]]*6%,Tabla4[[#This Row],[Utilidad Total]]*11.5%))/Tabla4[[#This Row],[Total]]</f>
        <v>#N/A</v>
      </c>
      <c r="V2087" s="282" t="e">
        <f>+Tabla4[[#This Row],[Comisión Calculada]]*Tabla4[[#This Row],[Total]]</f>
        <v>#N/A</v>
      </c>
    </row>
    <row r="2088" spans="1:22" hidden="1" x14ac:dyDescent="0.25">
      <c r="A2088" s="100">
        <v>45762</v>
      </c>
      <c r="B2088" t="str">
        <f t="shared" si="106"/>
        <v>April</v>
      </c>
      <c r="C2088" s="46" t="s">
        <v>280</v>
      </c>
      <c r="F2088" s="366" t="s">
        <v>1502</v>
      </c>
      <c r="G2088" s="46" t="s">
        <v>18</v>
      </c>
      <c r="H2088" s="46">
        <v>1</v>
      </c>
      <c r="I2088" s="51">
        <v>5367.65</v>
      </c>
      <c r="J2088" s="281">
        <f>++Tabla4[[#This Row],[Precio Bruto]]*1.16</f>
        <v>6226.4739999999993</v>
      </c>
      <c r="K2088" s="281">
        <f>+Tabla4[[#This Row],[Precio Unitario Neto]]*Tabla4[[#Headers],[20.85%]]</f>
        <v>1298.2198289999999</v>
      </c>
      <c r="L2088" s="282">
        <f>++Tabla4[[#This Row],[Precio Unitario Neto]]-Tabla4[[#This Row],[20.85%]]</f>
        <v>4928.2541709999996</v>
      </c>
      <c r="M2088" s="282" t="e">
        <f>(INDEX(Tabla6[#All],MATCH(Tabla4[[#This Row],[Producto]],Tabla6[[#All],[PRODUCTO]],0),MATCH(Tabla4[[#This Row],[Mes]],Tabla6[#Headers],0)))*(1+Catalogos!$L$2)</f>
        <v>#N/A</v>
      </c>
      <c r="N2088" s="283" t="e">
        <f>+(Tabla4[[#This Row],[Precio Descontado]]-Tabla4[[#This Row],[Precio Base]])*Tabla4[[#This Row],[Cantidad]]</f>
        <v>#N/A</v>
      </c>
      <c r="O2088" s="284" t="e">
        <f>++Tabla4[[#This Row],[Utilidad Total]]/Tabla4[[#This Row],[Total]]</f>
        <v>#N/A</v>
      </c>
      <c r="P2088" s="282">
        <f>++Tabla4[[#This Row],[Precio Descontado]]*Tabla4[[#This Row],[Cantidad]]</f>
        <v>4928.2541709999996</v>
      </c>
      <c r="Q2088" s="282" t="e">
        <f>(INDEX(Tabla6[#All],MATCH(Tabla4[[#This Row],[Producto]],Tabla6[[#All],[PRODUCTO]],0),MATCH(Tabla4[[#This Row],[Mes]],Tabla6[#Headers],0)))</f>
        <v>#N/A</v>
      </c>
      <c r="R2088" s="282" t="e">
        <f>++Tabla4[[#This Row],[Precio Unitario Neto]]-Tabla4[[#This Row],[20.85%]]-Tabla4[[#This Row],[Costo]]</f>
        <v>#N/A</v>
      </c>
      <c r="S2088" s="282" t="e">
        <f>++Tabla4[[#This Row],[U. Bruta Uni]]*Tabla4[[#This Row],[Cantidad]]</f>
        <v>#N/A</v>
      </c>
      <c r="T2088" s="369" t="str">
        <f>VLOOKUP(Tabla4[[#This Row],[Producto]],Tabla6[#All],14,FALSE)</f>
        <v>Termico Solar</v>
      </c>
      <c r="U2088" s="284" t="e">
        <f>(IF(Tabla4[[#This Row],[Familia]]="termico solar",Tabla4[[#This Row],[Utilidad Total]]*6%,Tabla4[[#This Row],[Utilidad Total]]*11.5%))/Tabla4[[#This Row],[Total]]</f>
        <v>#N/A</v>
      </c>
      <c r="V2088" s="282" t="e">
        <f>+Tabla4[[#This Row],[Comisión Calculada]]*Tabla4[[#This Row],[Total]]</f>
        <v>#N/A</v>
      </c>
    </row>
    <row r="2089" spans="1:22" hidden="1" x14ac:dyDescent="0.25">
      <c r="A2089" s="100">
        <v>45762</v>
      </c>
      <c r="B2089" t="str">
        <f t="shared" si="106"/>
        <v>April</v>
      </c>
      <c r="C2089" s="46" t="s">
        <v>280</v>
      </c>
      <c r="F2089" s="366" t="s">
        <v>1503</v>
      </c>
      <c r="G2089" s="46" t="s">
        <v>83</v>
      </c>
      <c r="H2089" s="46">
        <v>1</v>
      </c>
      <c r="I2089" s="51">
        <v>8858.76</v>
      </c>
      <c r="J2089" s="281">
        <f>++Tabla4[[#This Row],[Precio Bruto]]*1.16</f>
        <v>10276.161599999999</v>
      </c>
      <c r="K2089" s="281">
        <f>+Tabla4[[#This Row],[Precio Unitario Neto]]*Tabla4[[#Headers],[20.85%]]</f>
        <v>2142.5796935999997</v>
      </c>
      <c r="L2089" s="282">
        <f>++Tabla4[[#This Row],[Precio Unitario Neto]]-Tabla4[[#This Row],[20.85%]]</f>
        <v>8133.5819063999998</v>
      </c>
      <c r="M2089" s="282" t="e">
        <f>(INDEX(Tabla6[#All],MATCH(Tabla4[[#This Row],[Producto]],Tabla6[[#All],[PRODUCTO]],0),MATCH(Tabla4[[#This Row],[Mes]],Tabla6[#Headers],0)))*(1+Catalogos!$L$2)</f>
        <v>#N/A</v>
      </c>
      <c r="N2089" s="283" t="e">
        <f>+(Tabla4[[#This Row],[Precio Descontado]]-Tabla4[[#This Row],[Precio Base]])*Tabla4[[#This Row],[Cantidad]]</f>
        <v>#N/A</v>
      </c>
      <c r="O2089" s="284" t="e">
        <f>++Tabla4[[#This Row],[Utilidad Total]]/Tabla4[[#This Row],[Total]]</f>
        <v>#N/A</v>
      </c>
      <c r="P2089" s="282">
        <f>++Tabla4[[#This Row],[Precio Descontado]]*Tabla4[[#This Row],[Cantidad]]</f>
        <v>8133.5819063999998</v>
      </c>
      <c r="Q2089" s="282" t="e">
        <f>(INDEX(Tabla6[#All],MATCH(Tabla4[[#This Row],[Producto]],Tabla6[[#All],[PRODUCTO]],0),MATCH(Tabla4[[#This Row],[Mes]],Tabla6[#Headers],0)))</f>
        <v>#N/A</v>
      </c>
      <c r="R2089" s="282" t="e">
        <f>++Tabla4[[#This Row],[Precio Unitario Neto]]-Tabla4[[#This Row],[20.85%]]-Tabla4[[#This Row],[Costo]]</f>
        <v>#N/A</v>
      </c>
      <c r="S2089" s="282" t="e">
        <f>++Tabla4[[#This Row],[U. Bruta Uni]]*Tabla4[[#This Row],[Cantidad]]</f>
        <v>#N/A</v>
      </c>
      <c r="T2089" s="369" t="str">
        <f>VLOOKUP(Tabla4[[#This Row],[Producto]],Tabla6[#All],14,FALSE)</f>
        <v>Termico Solar</v>
      </c>
      <c r="U2089" s="284" t="e">
        <f>(IF(Tabla4[[#This Row],[Familia]]="termico solar",Tabla4[[#This Row],[Utilidad Total]]*6%,Tabla4[[#This Row],[Utilidad Total]]*11.5%))/Tabla4[[#This Row],[Total]]</f>
        <v>#N/A</v>
      </c>
      <c r="V2089" s="282" t="e">
        <f>+Tabla4[[#This Row],[Comisión Calculada]]*Tabla4[[#This Row],[Total]]</f>
        <v>#N/A</v>
      </c>
    </row>
    <row r="2090" spans="1:22" hidden="1" x14ac:dyDescent="0.25">
      <c r="A2090" s="100">
        <v>45762</v>
      </c>
      <c r="B2090" t="str">
        <f t="shared" si="106"/>
        <v>April</v>
      </c>
      <c r="C2090" s="46" t="s">
        <v>280</v>
      </c>
      <c r="F2090" s="366" t="s">
        <v>1503</v>
      </c>
      <c r="G2090" s="46" t="s">
        <v>17</v>
      </c>
      <c r="H2090" s="46">
        <v>3</v>
      </c>
      <c r="I2090" s="51">
        <v>4622.28</v>
      </c>
      <c r="J2090" s="281">
        <f>++Tabla4[[#This Row],[Precio Bruto]]*1.16</f>
        <v>5361.8447999999989</v>
      </c>
      <c r="K2090" s="281">
        <f>+Tabla4[[#This Row],[Precio Unitario Neto]]*Tabla4[[#Headers],[20.85%]]</f>
        <v>1117.9446407999997</v>
      </c>
      <c r="L2090" s="282">
        <f>++Tabla4[[#This Row],[Precio Unitario Neto]]-Tabla4[[#This Row],[20.85%]]</f>
        <v>4243.9001591999995</v>
      </c>
      <c r="M2090" s="282" t="e">
        <f>(INDEX(Tabla6[#All],MATCH(Tabla4[[#This Row],[Producto]],Tabla6[[#All],[PRODUCTO]],0),MATCH(Tabla4[[#This Row],[Mes]],Tabla6[#Headers],0)))*(1+Catalogos!$L$2)</f>
        <v>#N/A</v>
      </c>
      <c r="N2090" s="283" t="e">
        <f>+(Tabla4[[#This Row],[Precio Descontado]]-Tabla4[[#This Row],[Precio Base]])*Tabla4[[#This Row],[Cantidad]]</f>
        <v>#N/A</v>
      </c>
      <c r="O2090" s="284" t="e">
        <f>++Tabla4[[#This Row],[Utilidad Total]]/Tabla4[[#This Row],[Total]]</f>
        <v>#N/A</v>
      </c>
      <c r="P2090" s="282">
        <f>++Tabla4[[#This Row],[Precio Descontado]]*Tabla4[[#This Row],[Cantidad]]</f>
        <v>12731.700477599999</v>
      </c>
      <c r="Q2090" s="282" t="e">
        <f>(INDEX(Tabla6[#All],MATCH(Tabla4[[#This Row],[Producto]],Tabla6[[#All],[PRODUCTO]],0),MATCH(Tabla4[[#This Row],[Mes]],Tabla6[#Headers],0)))</f>
        <v>#N/A</v>
      </c>
      <c r="R2090" s="282" t="e">
        <f>++Tabla4[[#This Row],[Precio Unitario Neto]]-Tabla4[[#This Row],[20.85%]]-Tabla4[[#This Row],[Costo]]</f>
        <v>#N/A</v>
      </c>
      <c r="S2090" s="282" t="e">
        <f>++Tabla4[[#This Row],[U. Bruta Uni]]*Tabla4[[#This Row],[Cantidad]]</f>
        <v>#N/A</v>
      </c>
      <c r="T2090" s="369" t="str">
        <f>VLOOKUP(Tabla4[[#This Row],[Producto]],Tabla6[#All],14,FALSE)</f>
        <v>Termico Solar</v>
      </c>
      <c r="U2090" s="284" t="e">
        <f>(IF(Tabla4[[#This Row],[Familia]]="termico solar",Tabla4[[#This Row],[Utilidad Total]]*6%,Tabla4[[#This Row],[Utilidad Total]]*11.5%))/Tabla4[[#This Row],[Total]]</f>
        <v>#N/A</v>
      </c>
      <c r="V2090" s="282" t="e">
        <f>+Tabla4[[#This Row],[Comisión Calculada]]*Tabla4[[#This Row],[Total]]</f>
        <v>#N/A</v>
      </c>
    </row>
    <row r="2091" spans="1:22" hidden="1" x14ac:dyDescent="0.25">
      <c r="A2091" s="100">
        <v>45762</v>
      </c>
      <c r="B2091" t="str">
        <f t="shared" si="106"/>
        <v>April</v>
      </c>
      <c r="C2091" s="46" t="s">
        <v>280</v>
      </c>
      <c r="F2091" s="366" t="s">
        <v>1503</v>
      </c>
      <c r="G2091" s="46" t="s">
        <v>208</v>
      </c>
      <c r="H2091" s="46">
        <v>1</v>
      </c>
      <c r="I2091" s="51">
        <v>189.75</v>
      </c>
      <c r="J2091" s="281">
        <f>++Tabla4[[#This Row],[Precio Bruto]]*1.16</f>
        <v>220.10999999999999</v>
      </c>
      <c r="K2091" s="281">
        <f>+Tabla4[[#This Row],[Precio Unitario Neto]]*Tabla4[[#Headers],[20.85%]]</f>
        <v>45.892934999999994</v>
      </c>
      <c r="L2091" s="282">
        <f>++Tabla4[[#This Row],[Precio Unitario Neto]]-Tabla4[[#This Row],[20.85%]]</f>
        <v>174.21706499999999</v>
      </c>
      <c r="M2091" s="282" t="e">
        <f>(INDEX(Tabla6[#All],MATCH(Tabla4[[#This Row],[Producto]],Tabla6[[#All],[PRODUCTO]],0),MATCH(Tabla4[[#This Row],[Mes]],Tabla6[#Headers],0)))*(1+Catalogos!$L$2)</f>
        <v>#N/A</v>
      </c>
      <c r="N2091" s="283" t="e">
        <f>+(Tabla4[[#This Row],[Precio Descontado]]-Tabla4[[#This Row],[Precio Base]])*Tabla4[[#This Row],[Cantidad]]</f>
        <v>#N/A</v>
      </c>
      <c r="O2091" s="284" t="e">
        <f>++Tabla4[[#This Row],[Utilidad Total]]/Tabla4[[#This Row],[Total]]</f>
        <v>#N/A</v>
      </c>
      <c r="P2091" s="282">
        <f>++Tabla4[[#This Row],[Precio Descontado]]*Tabla4[[#This Row],[Cantidad]]</f>
        <v>174.21706499999999</v>
      </c>
      <c r="Q2091" s="282" t="e">
        <f>(INDEX(Tabla6[#All],MATCH(Tabla4[[#This Row],[Producto]],Tabla6[[#All],[PRODUCTO]],0),MATCH(Tabla4[[#This Row],[Mes]],Tabla6[#Headers],0)))</f>
        <v>#N/A</v>
      </c>
      <c r="R2091" s="282" t="e">
        <f>++Tabla4[[#This Row],[Precio Unitario Neto]]-Tabla4[[#This Row],[20.85%]]-Tabla4[[#This Row],[Costo]]</f>
        <v>#N/A</v>
      </c>
      <c r="S2091" s="282" t="e">
        <f>++Tabla4[[#This Row],[U. Bruta Uni]]*Tabla4[[#This Row],[Cantidad]]</f>
        <v>#N/A</v>
      </c>
      <c r="T2091" s="369" t="str">
        <f>VLOOKUP(Tabla4[[#This Row],[Producto]],Tabla6[#All],14,FALSE)</f>
        <v>Termico Solar</v>
      </c>
      <c r="U2091" s="284" t="e">
        <f>(IF(Tabla4[[#This Row],[Familia]]="termico solar",Tabla4[[#This Row],[Utilidad Total]]*6%,Tabla4[[#This Row],[Utilidad Total]]*11.5%))/Tabla4[[#This Row],[Total]]</f>
        <v>#N/A</v>
      </c>
      <c r="V2091" s="282" t="e">
        <f>+Tabla4[[#This Row],[Comisión Calculada]]*Tabla4[[#This Row],[Total]]</f>
        <v>#N/A</v>
      </c>
    </row>
    <row r="2092" spans="1:22" hidden="1" x14ac:dyDescent="0.25">
      <c r="A2092" s="100">
        <v>45762</v>
      </c>
      <c r="B2092" t="str">
        <f t="shared" si="106"/>
        <v>April</v>
      </c>
      <c r="C2092" s="46" t="s">
        <v>280</v>
      </c>
      <c r="F2092" s="366" t="s">
        <v>1504</v>
      </c>
      <c r="G2092" s="46" t="s">
        <v>83</v>
      </c>
      <c r="H2092" s="46">
        <v>1</v>
      </c>
      <c r="I2092" s="51">
        <v>8858.76</v>
      </c>
      <c r="J2092" s="281">
        <f>++Tabla4[[#This Row],[Precio Bruto]]*1.16</f>
        <v>10276.161599999999</v>
      </c>
      <c r="K2092" s="281">
        <f>+Tabla4[[#This Row],[Precio Unitario Neto]]*Tabla4[[#Headers],[20.85%]]</f>
        <v>2142.5796935999997</v>
      </c>
      <c r="L2092" s="282">
        <f>++Tabla4[[#This Row],[Precio Unitario Neto]]-Tabla4[[#This Row],[20.85%]]</f>
        <v>8133.5819063999998</v>
      </c>
      <c r="M2092" s="282" t="e">
        <f>(INDEX(Tabla6[#All],MATCH(Tabla4[[#This Row],[Producto]],Tabla6[[#All],[PRODUCTO]],0),MATCH(Tabla4[[#This Row],[Mes]],Tabla6[#Headers],0)))*(1+Catalogos!$L$2)</f>
        <v>#N/A</v>
      </c>
      <c r="N2092" s="283" t="e">
        <f>+(Tabla4[[#This Row],[Precio Descontado]]-Tabla4[[#This Row],[Precio Base]])*Tabla4[[#This Row],[Cantidad]]</f>
        <v>#N/A</v>
      </c>
      <c r="O2092" s="284" t="e">
        <f>++Tabla4[[#This Row],[Utilidad Total]]/Tabla4[[#This Row],[Total]]</f>
        <v>#N/A</v>
      </c>
      <c r="P2092" s="282">
        <f>++Tabla4[[#This Row],[Precio Descontado]]*Tabla4[[#This Row],[Cantidad]]</f>
        <v>8133.5819063999998</v>
      </c>
      <c r="Q2092" s="282" t="e">
        <f>(INDEX(Tabla6[#All],MATCH(Tabla4[[#This Row],[Producto]],Tabla6[[#All],[PRODUCTO]],0),MATCH(Tabla4[[#This Row],[Mes]],Tabla6[#Headers],0)))</f>
        <v>#N/A</v>
      </c>
      <c r="R2092" s="282" t="e">
        <f>++Tabla4[[#This Row],[Precio Unitario Neto]]-Tabla4[[#This Row],[20.85%]]-Tabla4[[#This Row],[Costo]]</f>
        <v>#N/A</v>
      </c>
      <c r="S2092" s="282" t="e">
        <f>++Tabla4[[#This Row],[U. Bruta Uni]]*Tabla4[[#This Row],[Cantidad]]</f>
        <v>#N/A</v>
      </c>
      <c r="T2092" s="369" t="str">
        <f>VLOOKUP(Tabla4[[#This Row],[Producto]],Tabla6[#All],14,FALSE)</f>
        <v>Termico Solar</v>
      </c>
      <c r="U2092" s="284" t="e">
        <f>(IF(Tabla4[[#This Row],[Familia]]="termico solar",Tabla4[[#This Row],[Utilidad Total]]*6%,Tabla4[[#This Row],[Utilidad Total]]*11.5%))/Tabla4[[#This Row],[Total]]</f>
        <v>#N/A</v>
      </c>
      <c r="V2092" s="282" t="e">
        <f>+Tabla4[[#This Row],[Comisión Calculada]]*Tabla4[[#This Row],[Total]]</f>
        <v>#N/A</v>
      </c>
    </row>
    <row r="2093" spans="1:22" hidden="1" x14ac:dyDescent="0.25">
      <c r="A2093" s="100">
        <v>45762</v>
      </c>
      <c r="B2093" t="str">
        <f t="shared" si="106"/>
        <v>April</v>
      </c>
      <c r="C2093" s="46" t="s">
        <v>280</v>
      </c>
      <c r="F2093" s="366" t="s">
        <v>1504</v>
      </c>
      <c r="G2093" s="46" t="s">
        <v>18</v>
      </c>
      <c r="H2093" s="46">
        <v>5</v>
      </c>
      <c r="I2093" s="51">
        <v>5367.65</v>
      </c>
      <c r="J2093" s="281">
        <f>++Tabla4[[#This Row],[Precio Bruto]]*1.16</f>
        <v>6226.4739999999993</v>
      </c>
      <c r="K2093" s="281">
        <f>+Tabla4[[#This Row],[Precio Unitario Neto]]*Tabla4[[#Headers],[20.85%]]</f>
        <v>1298.2198289999999</v>
      </c>
      <c r="L2093" s="282">
        <f>++Tabla4[[#This Row],[Precio Unitario Neto]]-Tabla4[[#This Row],[20.85%]]</f>
        <v>4928.2541709999996</v>
      </c>
      <c r="M2093" s="282" t="e">
        <f>(INDEX(Tabla6[#All],MATCH(Tabla4[[#This Row],[Producto]],Tabla6[[#All],[PRODUCTO]],0),MATCH(Tabla4[[#This Row],[Mes]],Tabla6[#Headers],0)))*(1+Catalogos!$L$2)</f>
        <v>#N/A</v>
      </c>
      <c r="N2093" s="283" t="e">
        <f>+(Tabla4[[#This Row],[Precio Descontado]]-Tabla4[[#This Row],[Precio Base]])*Tabla4[[#This Row],[Cantidad]]</f>
        <v>#N/A</v>
      </c>
      <c r="O2093" s="284" t="e">
        <f>++Tabla4[[#This Row],[Utilidad Total]]/Tabla4[[#This Row],[Total]]</f>
        <v>#N/A</v>
      </c>
      <c r="P2093" s="282">
        <f>++Tabla4[[#This Row],[Precio Descontado]]*Tabla4[[#This Row],[Cantidad]]</f>
        <v>24641.270854999999</v>
      </c>
      <c r="Q2093" s="282" t="e">
        <f>(INDEX(Tabla6[#All],MATCH(Tabla4[[#This Row],[Producto]],Tabla6[[#All],[PRODUCTO]],0),MATCH(Tabla4[[#This Row],[Mes]],Tabla6[#Headers],0)))</f>
        <v>#N/A</v>
      </c>
      <c r="R2093" s="282" t="e">
        <f>++Tabla4[[#This Row],[Precio Unitario Neto]]-Tabla4[[#This Row],[20.85%]]-Tabla4[[#This Row],[Costo]]</f>
        <v>#N/A</v>
      </c>
      <c r="S2093" s="282" t="e">
        <f>++Tabla4[[#This Row],[U. Bruta Uni]]*Tabla4[[#This Row],[Cantidad]]</f>
        <v>#N/A</v>
      </c>
      <c r="T2093" s="369" t="str">
        <f>VLOOKUP(Tabla4[[#This Row],[Producto]],Tabla6[#All],14,FALSE)</f>
        <v>Termico Solar</v>
      </c>
      <c r="U2093" s="284" t="e">
        <f>(IF(Tabla4[[#This Row],[Familia]]="termico solar",Tabla4[[#This Row],[Utilidad Total]]*6%,Tabla4[[#This Row],[Utilidad Total]]*11.5%))/Tabla4[[#This Row],[Total]]</f>
        <v>#N/A</v>
      </c>
      <c r="V2093" s="282" t="e">
        <f>+Tabla4[[#This Row],[Comisión Calculada]]*Tabla4[[#This Row],[Total]]</f>
        <v>#N/A</v>
      </c>
    </row>
    <row r="2094" spans="1:22" hidden="1" x14ac:dyDescent="0.25">
      <c r="A2094" s="100">
        <v>45762</v>
      </c>
      <c r="B2094" t="str">
        <f t="shared" si="106"/>
        <v>April</v>
      </c>
      <c r="C2094" s="46" t="s">
        <v>280</v>
      </c>
      <c r="F2094" s="366" t="s">
        <v>1505</v>
      </c>
      <c r="G2094" s="46" t="s">
        <v>83</v>
      </c>
      <c r="H2094" s="46">
        <v>4</v>
      </c>
      <c r="I2094" s="51">
        <v>8858.76</v>
      </c>
      <c r="J2094" s="281">
        <f>++Tabla4[[#This Row],[Precio Bruto]]*1.16</f>
        <v>10276.161599999999</v>
      </c>
      <c r="K2094" s="281">
        <f>+Tabla4[[#This Row],[Precio Unitario Neto]]*Tabla4[[#Headers],[20.85%]]</f>
        <v>2142.5796935999997</v>
      </c>
      <c r="L2094" s="282">
        <f>++Tabla4[[#This Row],[Precio Unitario Neto]]-Tabla4[[#This Row],[20.85%]]</f>
        <v>8133.5819063999998</v>
      </c>
      <c r="M2094" s="282" t="e">
        <f>(INDEX(Tabla6[#All],MATCH(Tabla4[[#This Row],[Producto]],Tabla6[[#All],[PRODUCTO]],0),MATCH(Tabla4[[#This Row],[Mes]],Tabla6[#Headers],0)))*(1+Catalogos!$L$2)</f>
        <v>#N/A</v>
      </c>
      <c r="N2094" s="283" t="e">
        <f>+(Tabla4[[#This Row],[Precio Descontado]]-Tabla4[[#This Row],[Precio Base]])*Tabla4[[#This Row],[Cantidad]]</f>
        <v>#N/A</v>
      </c>
      <c r="O2094" s="284" t="e">
        <f>++Tabla4[[#This Row],[Utilidad Total]]/Tabla4[[#This Row],[Total]]</f>
        <v>#N/A</v>
      </c>
      <c r="P2094" s="282">
        <f>++Tabla4[[#This Row],[Precio Descontado]]*Tabla4[[#This Row],[Cantidad]]</f>
        <v>32534.327625599999</v>
      </c>
      <c r="Q2094" s="282" t="e">
        <f>(INDEX(Tabla6[#All],MATCH(Tabla4[[#This Row],[Producto]],Tabla6[[#All],[PRODUCTO]],0),MATCH(Tabla4[[#This Row],[Mes]],Tabla6[#Headers],0)))</f>
        <v>#N/A</v>
      </c>
      <c r="R2094" s="282" t="e">
        <f>++Tabla4[[#This Row],[Precio Unitario Neto]]-Tabla4[[#This Row],[20.85%]]-Tabla4[[#This Row],[Costo]]</f>
        <v>#N/A</v>
      </c>
      <c r="S2094" s="282" t="e">
        <f>++Tabla4[[#This Row],[U. Bruta Uni]]*Tabla4[[#This Row],[Cantidad]]</f>
        <v>#N/A</v>
      </c>
      <c r="T2094" s="369" t="str">
        <f>VLOOKUP(Tabla4[[#This Row],[Producto]],Tabla6[#All],14,FALSE)</f>
        <v>Termico Solar</v>
      </c>
      <c r="U2094" s="284" t="e">
        <f>(IF(Tabla4[[#This Row],[Familia]]="termico solar",Tabla4[[#This Row],[Utilidad Total]]*6%,Tabla4[[#This Row],[Utilidad Total]]*11.5%))/Tabla4[[#This Row],[Total]]</f>
        <v>#N/A</v>
      </c>
      <c r="V2094" s="282" t="e">
        <f>+Tabla4[[#This Row],[Comisión Calculada]]*Tabla4[[#This Row],[Total]]</f>
        <v>#N/A</v>
      </c>
    </row>
    <row r="2095" spans="1:22" hidden="1" x14ac:dyDescent="0.25">
      <c r="A2095" s="100">
        <v>45762</v>
      </c>
      <c r="B2095" t="str">
        <f t="shared" si="106"/>
        <v>April</v>
      </c>
      <c r="C2095" s="46" t="s">
        <v>280</v>
      </c>
      <c r="F2095" s="366" t="s">
        <v>1505</v>
      </c>
      <c r="G2095" s="46" t="s">
        <v>17</v>
      </c>
      <c r="H2095" s="46">
        <v>1</v>
      </c>
      <c r="I2095" s="51">
        <v>4622.28</v>
      </c>
      <c r="J2095" s="281">
        <f>++Tabla4[[#This Row],[Precio Bruto]]*1.16</f>
        <v>5361.8447999999989</v>
      </c>
      <c r="K2095" s="281">
        <f>+Tabla4[[#This Row],[Precio Unitario Neto]]*Tabla4[[#Headers],[20.85%]]</f>
        <v>1117.9446407999997</v>
      </c>
      <c r="L2095" s="282">
        <f>++Tabla4[[#This Row],[Precio Unitario Neto]]-Tabla4[[#This Row],[20.85%]]</f>
        <v>4243.9001591999995</v>
      </c>
      <c r="M2095" s="282" t="e">
        <f>(INDEX(Tabla6[#All],MATCH(Tabla4[[#This Row],[Producto]],Tabla6[[#All],[PRODUCTO]],0),MATCH(Tabla4[[#This Row],[Mes]],Tabla6[#Headers],0)))*(1+Catalogos!$L$2)</f>
        <v>#N/A</v>
      </c>
      <c r="N2095" s="283" t="e">
        <f>+(Tabla4[[#This Row],[Precio Descontado]]-Tabla4[[#This Row],[Precio Base]])*Tabla4[[#This Row],[Cantidad]]</f>
        <v>#N/A</v>
      </c>
      <c r="O2095" s="284" t="e">
        <f>++Tabla4[[#This Row],[Utilidad Total]]/Tabla4[[#This Row],[Total]]</f>
        <v>#N/A</v>
      </c>
      <c r="P2095" s="282">
        <f>++Tabla4[[#This Row],[Precio Descontado]]*Tabla4[[#This Row],[Cantidad]]</f>
        <v>4243.9001591999995</v>
      </c>
      <c r="Q2095" s="282" t="e">
        <f>(INDEX(Tabla6[#All],MATCH(Tabla4[[#This Row],[Producto]],Tabla6[[#All],[PRODUCTO]],0),MATCH(Tabla4[[#This Row],[Mes]],Tabla6[#Headers],0)))</f>
        <v>#N/A</v>
      </c>
      <c r="R2095" s="282" t="e">
        <f>++Tabla4[[#This Row],[Precio Unitario Neto]]-Tabla4[[#This Row],[20.85%]]-Tabla4[[#This Row],[Costo]]</f>
        <v>#N/A</v>
      </c>
      <c r="S2095" s="282" t="e">
        <f>++Tabla4[[#This Row],[U. Bruta Uni]]*Tabla4[[#This Row],[Cantidad]]</f>
        <v>#N/A</v>
      </c>
      <c r="T2095" s="369" t="str">
        <f>VLOOKUP(Tabla4[[#This Row],[Producto]],Tabla6[#All],14,FALSE)</f>
        <v>Termico Solar</v>
      </c>
      <c r="U2095" s="284" t="e">
        <f>(IF(Tabla4[[#This Row],[Familia]]="termico solar",Tabla4[[#This Row],[Utilidad Total]]*6%,Tabla4[[#This Row],[Utilidad Total]]*11.5%))/Tabla4[[#This Row],[Total]]</f>
        <v>#N/A</v>
      </c>
      <c r="V2095" s="282" t="e">
        <f>+Tabla4[[#This Row],[Comisión Calculada]]*Tabla4[[#This Row],[Total]]</f>
        <v>#N/A</v>
      </c>
    </row>
    <row r="2096" spans="1:22" hidden="1" x14ac:dyDescent="0.25">
      <c r="A2096" s="100">
        <v>45762</v>
      </c>
      <c r="B2096" t="str">
        <f t="shared" si="106"/>
        <v>April</v>
      </c>
      <c r="C2096" s="46" t="s">
        <v>280</v>
      </c>
      <c r="F2096" s="366" t="s">
        <v>1505</v>
      </c>
      <c r="G2096" s="46" t="s">
        <v>18</v>
      </c>
      <c r="H2096" s="46">
        <v>1</v>
      </c>
      <c r="I2096" s="51">
        <v>5367.65</v>
      </c>
      <c r="J2096" s="281">
        <f>++Tabla4[[#This Row],[Precio Bruto]]*1.16</f>
        <v>6226.4739999999993</v>
      </c>
      <c r="K2096" s="281">
        <f>+Tabla4[[#This Row],[Precio Unitario Neto]]*Tabla4[[#Headers],[20.85%]]</f>
        <v>1298.2198289999999</v>
      </c>
      <c r="L2096" s="282">
        <f>++Tabla4[[#This Row],[Precio Unitario Neto]]-Tabla4[[#This Row],[20.85%]]</f>
        <v>4928.2541709999996</v>
      </c>
      <c r="M2096" s="282" t="e">
        <f>(INDEX(Tabla6[#All],MATCH(Tabla4[[#This Row],[Producto]],Tabla6[[#All],[PRODUCTO]],0),MATCH(Tabla4[[#This Row],[Mes]],Tabla6[#Headers],0)))*(1+Catalogos!$L$2)</f>
        <v>#N/A</v>
      </c>
      <c r="N2096" s="283" t="e">
        <f>+(Tabla4[[#This Row],[Precio Descontado]]-Tabla4[[#This Row],[Precio Base]])*Tabla4[[#This Row],[Cantidad]]</f>
        <v>#N/A</v>
      </c>
      <c r="O2096" s="284" t="e">
        <f>++Tabla4[[#This Row],[Utilidad Total]]/Tabla4[[#This Row],[Total]]</f>
        <v>#N/A</v>
      </c>
      <c r="P2096" s="282">
        <f>++Tabla4[[#This Row],[Precio Descontado]]*Tabla4[[#This Row],[Cantidad]]</f>
        <v>4928.2541709999996</v>
      </c>
      <c r="Q2096" s="282" t="e">
        <f>(INDEX(Tabla6[#All],MATCH(Tabla4[[#This Row],[Producto]],Tabla6[[#All],[PRODUCTO]],0),MATCH(Tabla4[[#This Row],[Mes]],Tabla6[#Headers],0)))</f>
        <v>#N/A</v>
      </c>
      <c r="R2096" s="282" t="e">
        <f>++Tabla4[[#This Row],[Precio Unitario Neto]]-Tabla4[[#This Row],[20.85%]]-Tabla4[[#This Row],[Costo]]</f>
        <v>#N/A</v>
      </c>
      <c r="S2096" s="282" t="e">
        <f>++Tabla4[[#This Row],[U. Bruta Uni]]*Tabla4[[#This Row],[Cantidad]]</f>
        <v>#N/A</v>
      </c>
      <c r="T2096" s="369" t="str">
        <f>VLOOKUP(Tabla4[[#This Row],[Producto]],Tabla6[#All],14,FALSE)</f>
        <v>Termico Solar</v>
      </c>
      <c r="U2096" s="284" t="e">
        <f>(IF(Tabla4[[#This Row],[Familia]]="termico solar",Tabla4[[#This Row],[Utilidad Total]]*6%,Tabla4[[#This Row],[Utilidad Total]]*11.5%))/Tabla4[[#This Row],[Total]]</f>
        <v>#N/A</v>
      </c>
      <c r="V2096" s="282" t="e">
        <f>+Tabla4[[#This Row],[Comisión Calculada]]*Tabla4[[#This Row],[Total]]</f>
        <v>#N/A</v>
      </c>
    </row>
    <row r="2097" spans="1:22" hidden="1" x14ac:dyDescent="0.25">
      <c r="A2097" s="100">
        <v>45762</v>
      </c>
      <c r="B2097" t="str">
        <f t="shared" si="106"/>
        <v>April</v>
      </c>
      <c r="C2097" s="46" t="s">
        <v>280</v>
      </c>
      <c r="F2097" s="366" t="s">
        <v>1505</v>
      </c>
      <c r="G2097" s="46" t="s">
        <v>19</v>
      </c>
      <c r="H2097" s="46">
        <v>1</v>
      </c>
      <c r="I2097" s="51">
        <v>6412.03</v>
      </c>
      <c r="J2097" s="281">
        <f>++Tabla4[[#This Row],[Precio Bruto]]*1.16</f>
        <v>7437.9547999999995</v>
      </c>
      <c r="K2097" s="281">
        <f>+Tabla4[[#This Row],[Precio Unitario Neto]]*Tabla4[[#Headers],[20.85%]]</f>
        <v>1550.8135757999999</v>
      </c>
      <c r="L2097" s="282">
        <f>++Tabla4[[#This Row],[Precio Unitario Neto]]-Tabla4[[#This Row],[20.85%]]</f>
        <v>5887.1412241999997</v>
      </c>
      <c r="M2097" s="282" t="e">
        <f>(INDEX(Tabla6[#All],MATCH(Tabla4[[#This Row],[Producto]],Tabla6[[#All],[PRODUCTO]],0),MATCH(Tabla4[[#This Row],[Mes]],Tabla6[#Headers],0)))*(1+Catalogos!$L$2)</f>
        <v>#N/A</v>
      </c>
      <c r="N2097" s="283" t="e">
        <f>+(Tabla4[[#This Row],[Precio Descontado]]-Tabla4[[#This Row],[Precio Base]])*Tabla4[[#This Row],[Cantidad]]</f>
        <v>#N/A</v>
      </c>
      <c r="O2097" s="284" t="e">
        <f>++Tabla4[[#This Row],[Utilidad Total]]/Tabla4[[#This Row],[Total]]</f>
        <v>#N/A</v>
      </c>
      <c r="P2097" s="282">
        <f>++Tabla4[[#This Row],[Precio Descontado]]*Tabla4[[#This Row],[Cantidad]]</f>
        <v>5887.1412241999997</v>
      </c>
      <c r="Q2097" s="282" t="e">
        <f>(INDEX(Tabla6[#All],MATCH(Tabla4[[#This Row],[Producto]],Tabla6[[#All],[PRODUCTO]],0),MATCH(Tabla4[[#This Row],[Mes]],Tabla6[#Headers],0)))</f>
        <v>#N/A</v>
      </c>
      <c r="R2097" s="282" t="e">
        <f>++Tabla4[[#This Row],[Precio Unitario Neto]]-Tabla4[[#This Row],[20.85%]]-Tabla4[[#This Row],[Costo]]</f>
        <v>#N/A</v>
      </c>
      <c r="S2097" s="282" t="e">
        <f>++Tabla4[[#This Row],[U. Bruta Uni]]*Tabla4[[#This Row],[Cantidad]]</f>
        <v>#N/A</v>
      </c>
      <c r="T2097" s="369" t="str">
        <f>VLOOKUP(Tabla4[[#This Row],[Producto]],Tabla6[#All],14,FALSE)</f>
        <v>Termico Solar</v>
      </c>
      <c r="U2097" s="284" t="e">
        <f>(IF(Tabla4[[#This Row],[Familia]]="termico solar",Tabla4[[#This Row],[Utilidad Total]]*6%,Tabla4[[#This Row],[Utilidad Total]]*11.5%))/Tabla4[[#This Row],[Total]]</f>
        <v>#N/A</v>
      </c>
      <c r="V2097" s="282" t="e">
        <f>+Tabla4[[#This Row],[Comisión Calculada]]*Tabla4[[#This Row],[Total]]</f>
        <v>#N/A</v>
      </c>
    </row>
    <row r="2098" spans="1:22" hidden="1" x14ac:dyDescent="0.25">
      <c r="A2098" s="100">
        <v>45762</v>
      </c>
      <c r="B2098" t="str">
        <f t="shared" si="106"/>
        <v>April</v>
      </c>
      <c r="C2098" s="46" t="s">
        <v>280</v>
      </c>
      <c r="F2098" s="366" t="s">
        <v>1505</v>
      </c>
      <c r="G2098" s="46" t="s">
        <v>16</v>
      </c>
      <c r="H2098" s="46">
        <v>2</v>
      </c>
      <c r="I2098" s="51">
        <v>4103.8500000000004</v>
      </c>
      <c r="J2098" s="281">
        <f>++Tabla4[[#This Row],[Precio Bruto]]*1.16</f>
        <v>4760.4660000000003</v>
      </c>
      <c r="K2098" s="281">
        <f>+Tabla4[[#This Row],[Precio Unitario Neto]]*Tabla4[[#Headers],[20.85%]]</f>
        <v>992.55716100000006</v>
      </c>
      <c r="L2098" s="282">
        <f>++Tabla4[[#This Row],[Precio Unitario Neto]]-Tabla4[[#This Row],[20.85%]]</f>
        <v>3767.9088390000002</v>
      </c>
      <c r="M2098" s="282" t="e">
        <f>(INDEX(Tabla6[#All],MATCH(Tabla4[[#This Row],[Producto]],Tabla6[[#All],[PRODUCTO]],0),MATCH(Tabla4[[#This Row],[Mes]],Tabla6[#Headers],0)))*(1+Catalogos!$L$2)</f>
        <v>#N/A</v>
      </c>
      <c r="N2098" s="283" t="e">
        <f>+(Tabla4[[#This Row],[Precio Descontado]]-Tabla4[[#This Row],[Precio Base]])*Tabla4[[#This Row],[Cantidad]]</f>
        <v>#N/A</v>
      </c>
      <c r="O2098" s="284" t="e">
        <f>++Tabla4[[#This Row],[Utilidad Total]]/Tabla4[[#This Row],[Total]]</f>
        <v>#N/A</v>
      </c>
      <c r="P2098" s="282">
        <f>++Tabla4[[#This Row],[Precio Descontado]]*Tabla4[[#This Row],[Cantidad]]</f>
        <v>7535.8176780000003</v>
      </c>
      <c r="Q2098" s="282" t="e">
        <f>(INDEX(Tabla6[#All],MATCH(Tabla4[[#This Row],[Producto]],Tabla6[[#All],[PRODUCTO]],0),MATCH(Tabla4[[#This Row],[Mes]],Tabla6[#Headers],0)))</f>
        <v>#N/A</v>
      </c>
      <c r="R2098" s="282" t="e">
        <f>++Tabla4[[#This Row],[Precio Unitario Neto]]-Tabla4[[#This Row],[20.85%]]-Tabla4[[#This Row],[Costo]]</f>
        <v>#N/A</v>
      </c>
      <c r="S2098" s="282" t="e">
        <f>++Tabla4[[#This Row],[U. Bruta Uni]]*Tabla4[[#This Row],[Cantidad]]</f>
        <v>#N/A</v>
      </c>
      <c r="T2098" s="369" t="str">
        <f>VLOOKUP(Tabla4[[#This Row],[Producto]],Tabla6[#All],14,FALSE)</f>
        <v>Termico Solar</v>
      </c>
      <c r="U2098" s="284" t="e">
        <f>(IF(Tabla4[[#This Row],[Familia]]="termico solar",Tabla4[[#This Row],[Utilidad Total]]*6%,Tabla4[[#This Row],[Utilidad Total]]*11.5%))/Tabla4[[#This Row],[Total]]</f>
        <v>#N/A</v>
      </c>
      <c r="V2098" s="282" t="e">
        <f>+Tabla4[[#This Row],[Comisión Calculada]]*Tabla4[[#This Row],[Total]]</f>
        <v>#N/A</v>
      </c>
    </row>
    <row r="2099" spans="1:22" hidden="1" x14ac:dyDescent="0.25">
      <c r="A2099" s="100">
        <v>45762</v>
      </c>
      <c r="B2099" t="str">
        <f t="shared" si="106"/>
        <v>April</v>
      </c>
      <c r="C2099" s="46" t="s">
        <v>280</v>
      </c>
      <c r="F2099" s="366" t="s">
        <v>1506</v>
      </c>
      <c r="G2099" s="46" t="s">
        <v>83</v>
      </c>
      <c r="H2099" s="46">
        <v>1</v>
      </c>
      <c r="I2099" s="51">
        <v>8858.76</v>
      </c>
      <c r="J2099" s="281">
        <f>++Tabla4[[#This Row],[Precio Bruto]]*1.16</f>
        <v>10276.161599999999</v>
      </c>
      <c r="K2099" s="281">
        <f>+Tabla4[[#This Row],[Precio Unitario Neto]]*Tabla4[[#Headers],[20.85%]]</f>
        <v>2142.5796935999997</v>
      </c>
      <c r="L2099" s="282">
        <f>++Tabla4[[#This Row],[Precio Unitario Neto]]-Tabla4[[#This Row],[20.85%]]</f>
        <v>8133.5819063999998</v>
      </c>
      <c r="M2099" s="282" t="e">
        <f>(INDEX(Tabla6[#All],MATCH(Tabla4[[#This Row],[Producto]],Tabla6[[#All],[PRODUCTO]],0),MATCH(Tabla4[[#This Row],[Mes]],Tabla6[#Headers],0)))*(1+Catalogos!$L$2)</f>
        <v>#N/A</v>
      </c>
      <c r="N2099" s="283" t="e">
        <f>+(Tabla4[[#This Row],[Precio Descontado]]-Tabla4[[#This Row],[Precio Base]])*Tabla4[[#This Row],[Cantidad]]</f>
        <v>#N/A</v>
      </c>
      <c r="O2099" s="284" t="e">
        <f>++Tabla4[[#This Row],[Utilidad Total]]/Tabla4[[#This Row],[Total]]</f>
        <v>#N/A</v>
      </c>
      <c r="P2099" s="282">
        <f>++Tabla4[[#This Row],[Precio Descontado]]*Tabla4[[#This Row],[Cantidad]]</f>
        <v>8133.5819063999998</v>
      </c>
      <c r="Q2099" s="282" t="e">
        <f>(INDEX(Tabla6[#All],MATCH(Tabla4[[#This Row],[Producto]],Tabla6[[#All],[PRODUCTO]],0),MATCH(Tabla4[[#This Row],[Mes]],Tabla6[#Headers],0)))</f>
        <v>#N/A</v>
      </c>
      <c r="R2099" s="282" t="e">
        <f>++Tabla4[[#This Row],[Precio Unitario Neto]]-Tabla4[[#This Row],[20.85%]]-Tabla4[[#This Row],[Costo]]</f>
        <v>#N/A</v>
      </c>
      <c r="S2099" s="282" t="e">
        <f>++Tabla4[[#This Row],[U. Bruta Uni]]*Tabla4[[#This Row],[Cantidad]]</f>
        <v>#N/A</v>
      </c>
      <c r="T2099" s="369" t="str">
        <f>VLOOKUP(Tabla4[[#This Row],[Producto]],Tabla6[#All],14,FALSE)</f>
        <v>Termico Solar</v>
      </c>
      <c r="U2099" s="284" t="e">
        <f>(IF(Tabla4[[#This Row],[Familia]]="termico solar",Tabla4[[#This Row],[Utilidad Total]]*6%,Tabla4[[#This Row],[Utilidad Total]]*11.5%))/Tabla4[[#This Row],[Total]]</f>
        <v>#N/A</v>
      </c>
      <c r="V2099" s="282" t="e">
        <f>+Tabla4[[#This Row],[Comisión Calculada]]*Tabla4[[#This Row],[Total]]</f>
        <v>#N/A</v>
      </c>
    </row>
    <row r="2100" spans="1:22" hidden="1" x14ac:dyDescent="0.25">
      <c r="A2100" s="100">
        <v>45762</v>
      </c>
      <c r="B2100" t="str">
        <f t="shared" si="106"/>
        <v>April</v>
      </c>
      <c r="C2100" s="46" t="s">
        <v>280</v>
      </c>
      <c r="F2100" s="366" t="s">
        <v>1506</v>
      </c>
      <c r="G2100" s="46" t="s">
        <v>17</v>
      </c>
      <c r="H2100" s="46">
        <v>2</v>
      </c>
      <c r="I2100" s="51">
        <v>4622.28</v>
      </c>
      <c r="J2100" s="281">
        <f>++Tabla4[[#This Row],[Precio Bruto]]*1.16</f>
        <v>5361.8447999999989</v>
      </c>
      <c r="K2100" s="281">
        <f>+Tabla4[[#This Row],[Precio Unitario Neto]]*Tabla4[[#Headers],[20.85%]]</f>
        <v>1117.9446407999997</v>
      </c>
      <c r="L2100" s="282">
        <f>++Tabla4[[#This Row],[Precio Unitario Neto]]-Tabla4[[#This Row],[20.85%]]</f>
        <v>4243.9001591999995</v>
      </c>
      <c r="M2100" s="282" t="e">
        <f>(INDEX(Tabla6[#All],MATCH(Tabla4[[#This Row],[Producto]],Tabla6[[#All],[PRODUCTO]],0),MATCH(Tabla4[[#This Row],[Mes]],Tabla6[#Headers],0)))*(1+Catalogos!$L$2)</f>
        <v>#N/A</v>
      </c>
      <c r="N2100" s="283" t="e">
        <f>+(Tabla4[[#This Row],[Precio Descontado]]-Tabla4[[#This Row],[Precio Base]])*Tabla4[[#This Row],[Cantidad]]</f>
        <v>#N/A</v>
      </c>
      <c r="O2100" s="284" t="e">
        <f>++Tabla4[[#This Row],[Utilidad Total]]/Tabla4[[#This Row],[Total]]</f>
        <v>#N/A</v>
      </c>
      <c r="P2100" s="282">
        <f>++Tabla4[[#This Row],[Precio Descontado]]*Tabla4[[#This Row],[Cantidad]]</f>
        <v>8487.800318399999</v>
      </c>
      <c r="Q2100" s="282" t="e">
        <f>(INDEX(Tabla6[#All],MATCH(Tabla4[[#This Row],[Producto]],Tabla6[[#All],[PRODUCTO]],0),MATCH(Tabla4[[#This Row],[Mes]],Tabla6[#Headers],0)))</f>
        <v>#N/A</v>
      </c>
      <c r="R2100" s="282" t="e">
        <f>++Tabla4[[#This Row],[Precio Unitario Neto]]-Tabla4[[#This Row],[20.85%]]-Tabla4[[#This Row],[Costo]]</f>
        <v>#N/A</v>
      </c>
      <c r="S2100" s="282" t="e">
        <f>++Tabla4[[#This Row],[U. Bruta Uni]]*Tabla4[[#This Row],[Cantidad]]</f>
        <v>#N/A</v>
      </c>
      <c r="T2100" s="369" t="str">
        <f>VLOOKUP(Tabla4[[#This Row],[Producto]],Tabla6[#All],14,FALSE)</f>
        <v>Termico Solar</v>
      </c>
      <c r="U2100" s="284" t="e">
        <f>(IF(Tabla4[[#This Row],[Familia]]="termico solar",Tabla4[[#This Row],[Utilidad Total]]*6%,Tabla4[[#This Row],[Utilidad Total]]*11.5%))/Tabla4[[#This Row],[Total]]</f>
        <v>#N/A</v>
      </c>
      <c r="V2100" s="282" t="e">
        <f>+Tabla4[[#This Row],[Comisión Calculada]]*Tabla4[[#This Row],[Total]]</f>
        <v>#N/A</v>
      </c>
    </row>
    <row r="2101" spans="1:22" hidden="1" x14ac:dyDescent="0.25">
      <c r="A2101" s="100">
        <v>45762</v>
      </c>
      <c r="B2101" t="str">
        <f t="shared" si="106"/>
        <v>April</v>
      </c>
      <c r="C2101" s="46" t="s">
        <v>280</v>
      </c>
      <c r="F2101" s="366" t="s">
        <v>1506</v>
      </c>
      <c r="G2101" s="46" t="s">
        <v>19</v>
      </c>
      <c r="H2101" s="46">
        <v>1</v>
      </c>
      <c r="I2101" s="51">
        <v>6412.03</v>
      </c>
      <c r="J2101" s="281">
        <f>++Tabla4[[#This Row],[Precio Bruto]]*1.16</f>
        <v>7437.9547999999995</v>
      </c>
      <c r="K2101" s="281">
        <f>+Tabla4[[#This Row],[Precio Unitario Neto]]*Tabla4[[#Headers],[20.85%]]</f>
        <v>1550.8135757999999</v>
      </c>
      <c r="L2101" s="282">
        <f>++Tabla4[[#This Row],[Precio Unitario Neto]]-Tabla4[[#This Row],[20.85%]]</f>
        <v>5887.1412241999997</v>
      </c>
      <c r="M2101" s="282" t="e">
        <f>(INDEX(Tabla6[#All],MATCH(Tabla4[[#This Row],[Producto]],Tabla6[[#All],[PRODUCTO]],0),MATCH(Tabla4[[#This Row],[Mes]],Tabla6[#Headers],0)))*(1+Catalogos!$L$2)</f>
        <v>#N/A</v>
      </c>
      <c r="N2101" s="283" t="e">
        <f>+(Tabla4[[#This Row],[Precio Descontado]]-Tabla4[[#This Row],[Precio Base]])*Tabla4[[#This Row],[Cantidad]]</f>
        <v>#N/A</v>
      </c>
      <c r="O2101" s="284" t="e">
        <f>++Tabla4[[#This Row],[Utilidad Total]]/Tabla4[[#This Row],[Total]]</f>
        <v>#N/A</v>
      </c>
      <c r="P2101" s="282">
        <f>++Tabla4[[#This Row],[Precio Descontado]]*Tabla4[[#This Row],[Cantidad]]</f>
        <v>5887.1412241999997</v>
      </c>
      <c r="Q2101" s="282" t="e">
        <f>(INDEX(Tabla6[#All],MATCH(Tabla4[[#This Row],[Producto]],Tabla6[[#All],[PRODUCTO]],0),MATCH(Tabla4[[#This Row],[Mes]],Tabla6[#Headers],0)))</f>
        <v>#N/A</v>
      </c>
      <c r="R2101" s="282" t="e">
        <f>++Tabla4[[#This Row],[Precio Unitario Neto]]-Tabla4[[#This Row],[20.85%]]-Tabla4[[#This Row],[Costo]]</f>
        <v>#N/A</v>
      </c>
      <c r="S2101" s="282" t="e">
        <f>++Tabla4[[#This Row],[U. Bruta Uni]]*Tabla4[[#This Row],[Cantidad]]</f>
        <v>#N/A</v>
      </c>
      <c r="T2101" s="369" t="str">
        <f>VLOOKUP(Tabla4[[#This Row],[Producto]],Tabla6[#All],14,FALSE)</f>
        <v>Termico Solar</v>
      </c>
      <c r="U2101" s="284" t="e">
        <f>(IF(Tabla4[[#This Row],[Familia]]="termico solar",Tabla4[[#This Row],[Utilidad Total]]*6%,Tabla4[[#This Row],[Utilidad Total]]*11.5%))/Tabla4[[#This Row],[Total]]</f>
        <v>#N/A</v>
      </c>
      <c r="V2101" s="282" t="e">
        <f>+Tabla4[[#This Row],[Comisión Calculada]]*Tabla4[[#This Row],[Total]]</f>
        <v>#N/A</v>
      </c>
    </row>
    <row r="2102" spans="1:22" hidden="1" x14ac:dyDescent="0.25">
      <c r="A2102" s="100">
        <v>45762</v>
      </c>
      <c r="B2102" t="str">
        <f t="shared" si="106"/>
        <v>April</v>
      </c>
      <c r="C2102" s="46" t="s">
        <v>280</v>
      </c>
      <c r="F2102" s="366" t="s">
        <v>1507</v>
      </c>
      <c r="G2102" s="46" t="s">
        <v>18</v>
      </c>
      <c r="H2102" s="46">
        <v>6</v>
      </c>
      <c r="I2102" s="51">
        <v>5367.6500000000005</v>
      </c>
      <c r="J2102" s="281">
        <f>++Tabla4[[#This Row],[Precio Bruto]]*1.16</f>
        <v>6226.4740000000002</v>
      </c>
      <c r="K2102" s="281">
        <f>+Tabla4[[#This Row],[Precio Unitario Neto]]*Tabla4[[#Headers],[20.85%]]</f>
        <v>1298.2198289999999</v>
      </c>
      <c r="L2102" s="282">
        <f>++Tabla4[[#This Row],[Precio Unitario Neto]]-Tabla4[[#This Row],[20.85%]]</f>
        <v>4928.2541710000005</v>
      </c>
      <c r="M2102" s="282" t="e">
        <f>(INDEX(Tabla6[#All],MATCH(Tabla4[[#This Row],[Producto]],Tabla6[[#All],[PRODUCTO]],0),MATCH(Tabla4[[#This Row],[Mes]],Tabla6[#Headers],0)))*(1+Catalogos!$L$2)</f>
        <v>#N/A</v>
      </c>
      <c r="N2102" s="283" t="e">
        <f>+(Tabla4[[#This Row],[Precio Descontado]]-Tabla4[[#This Row],[Precio Base]])*Tabla4[[#This Row],[Cantidad]]</f>
        <v>#N/A</v>
      </c>
      <c r="O2102" s="284" t="e">
        <f>++Tabla4[[#This Row],[Utilidad Total]]/Tabla4[[#This Row],[Total]]</f>
        <v>#N/A</v>
      </c>
      <c r="P2102" s="282">
        <f>++Tabla4[[#This Row],[Precio Descontado]]*Tabla4[[#This Row],[Cantidad]]</f>
        <v>29569.525026000003</v>
      </c>
      <c r="Q2102" s="282" t="e">
        <f>(INDEX(Tabla6[#All],MATCH(Tabla4[[#This Row],[Producto]],Tabla6[[#All],[PRODUCTO]],0),MATCH(Tabla4[[#This Row],[Mes]],Tabla6[#Headers],0)))</f>
        <v>#N/A</v>
      </c>
      <c r="R2102" s="282" t="e">
        <f>++Tabla4[[#This Row],[Precio Unitario Neto]]-Tabla4[[#This Row],[20.85%]]-Tabla4[[#This Row],[Costo]]</f>
        <v>#N/A</v>
      </c>
      <c r="S2102" s="282" t="e">
        <f>++Tabla4[[#This Row],[U. Bruta Uni]]*Tabla4[[#This Row],[Cantidad]]</f>
        <v>#N/A</v>
      </c>
      <c r="T2102" s="369" t="str">
        <f>VLOOKUP(Tabla4[[#This Row],[Producto]],Tabla6[#All],14,FALSE)</f>
        <v>Termico Solar</v>
      </c>
      <c r="U2102" s="284" t="e">
        <f>(IF(Tabla4[[#This Row],[Familia]]="termico solar",Tabla4[[#This Row],[Utilidad Total]]*6%,Tabla4[[#This Row],[Utilidad Total]]*11.5%))/Tabla4[[#This Row],[Total]]</f>
        <v>#N/A</v>
      </c>
      <c r="V2102" s="282" t="e">
        <f>+Tabla4[[#This Row],[Comisión Calculada]]*Tabla4[[#This Row],[Total]]</f>
        <v>#N/A</v>
      </c>
    </row>
    <row r="2103" spans="1:22" hidden="1" x14ac:dyDescent="0.25">
      <c r="A2103" s="100">
        <v>45762</v>
      </c>
      <c r="B2103" t="str">
        <f t="shared" si="106"/>
        <v>April</v>
      </c>
      <c r="C2103" s="46" t="s">
        <v>280</v>
      </c>
      <c r="F2103" s="366" t="s">
        <v>1508</v>
      </c>
      <c r="G2103" s="46" t="s">
        <v>18</v>
      </c>
      <c r="H2103" s="46">
        <v>5</v>
      </c>
      <c r="I2103" s="51">
        <v>5367.65</v>
      </c>
      <c r="J2103" s="281">
        <f>++Tabla4[[#This Row],[Precio Bruto]]*1.16</f>
        <v>6226.4739999999993</v>
      </c>
      <c r="K2103" s="281">
        <f>+Tabla4[[#This Row],[Precio Unitario Neto]]*Tabla4[[#Headers],[20.85%]]</f>
        <v>1298.2198289999999</v>
      </c>
      <c r="L2103" s="282">
        <f>++Tabla4[[#This Row],[Precio Unitario Neto]]-Tabla4[[#This Row],[20.85%]]</f>
        <v>4928.2541709999996</v>
      </c>
      <c r="M2103" s="282" t="e">
        <f>(INDEX(Tabla6[#All],MATCH(Tabla4[[#This Row],[Producto]],Tabla6[[#All],[PRODUCTO]],0),MATCH(Tabla4[[#This Row],[Mes]],Tabla6[#Headers],0)))*(1+Catalogos!$L$2)</f>
        <v>#N/A</v>
      </c>
      <c r="N2103" s="283" t="e">
        <f>+(Tabla4[[#This Row],[Precio Descontado]]-Tabla4[[#This Row],[Precio Base]])*Tabla4[[#This Row],[Cantidad]]</f>
        <v>#N/A</v>
      </c>
      <c r="O2103" s="284" t="e">
        <f>++Tabla4[[#This Row],[Utilidad Total]]/Tabla4[[#This Row],[Total]]</f>
        <v>#N/A</v>
      </c>
      <c r="P2103" s="282">
        <f>++Tabla4[[#This Row],[Precio Descontado]]*Tabla4[[#This Row],[Cantidad]]</f>
        <v>24641.270854999999</v>
      </c>
      <c r="Q2103" s="282" t="e">
        <f>(INDEX(Tabla6[#All],MATCH(Tabla4[[#This Row],[Producto]],Tabla6[[#All],[PRODUCTO]],0),MATCH(Tabla4[[#This Row],[Mes]],Tabla6[#Headers],0)))</f>
        <v>#N/A</v>
      </c>
      <c r="R2103" s="282" t="e">
        <f>++Tabla4[[#This Row],[Precio Unitario Neto]]-Tabla4[[#This Row],[20.85%]]-Tabla4[[#This Row],[Costo]]</f>
        <v>#N/A</v>
      </c>
      <c r="S2103" s="282" t="e">
        <f>++Tabla4[[#This Row],[U. Bruta Uni]]*Tabla4[[#This Row],[Cantidad]]</f>
        <v>#N/A</v>
      </c>
      <c r="T2103" s="369" t="str">
        <f>VLOOKUP(Tabla4[[#This Row],[Producto]],Tabla6[#All],14,FALSE)</f>
        <v>Termico Solar</v>
      </c>
      <c r="U2103" s="284" t="e">
        <f>(IF(Tabla4[[#This Row],[Familia]]="termico solar",Tabla4[[#This Row],[Utilidad Total]]*6%,Tabla4[[#This Row],[Utilidad Total]]*11.5%))/Tabla4[[#This Row],[Total]]</f>
        <v>#N/A</v>
      </c>
      <c r="V2103" s="282" t="e">
        <f>+Tabla4[[#This Row],[Comisión Calculada]]*Tabla4[[#This Row],[Total]]</f>
        <v>#N/A</v>
      </c>
    </row>
    <row r="2104" spans="1:22" hidden="1" x14ac:dyDescent="0.25">
      <c r="A2104" s="100">
        <v>45762</v>
      </c>
      <c r="B2104" t="str">
        <f t="shared" ref="B2104:B2118" si="107">TEXT(A2104, "mmmm")</f>
        <v>April</v>
      </c>
      <c r="C2104" s="46" t="s">
        <v>280</v>
      </c>
      <c r="F2104" s="366" t="s">
        <v>1509</v>
      </c>
      <c r="G2104" s="46" t="s">
        <v>18</v>
      </c>
      <c r="H2104" s="46">
        <v>1</v>
      </c>
      <c r="I2104" s="51">
        <v>5367.65</v>
      </c>
      <c r="J2104" s="281">
        <f>++Tabla4[[#This Row],[Precio Bruto]]*1.16</f>
        <v>6226.4739999999993</v>
      </c>
      <c r="K2104" s="281">
        <f>+Tabla4[[#This Row],[Precio Unitario Neto]]*Tabla4[[#Headers],[20.85%]]</f>
        <v>1298.2198289999999</v>
      </c>
      <c r="L2104" s="282">
        <f>++Tabla4[[#This Row],[Precio Unitario Neto]]-Tabla4[[#This Row],[20.85%]]</f>
        <v>4928.2541709999996</v>
      </c>
      <c r="M2104" s="282" t="e">
        <f>(INDEX(Tabla6[#All],MATCH(Tabla4[[#This Row],[Producto]],Tabla6[[#All],[PRODUCTO]],0),MATCH(Tabla4[[#This Row],[Mes]],Tabla6[#Headers],0)))*(1+Catalogos!$L$2)</f>
        <v>#N/A</v>
      </c>
      <c r="N2104" s="283" t="e">
        <f>+(Tabla4[[#This Row],[Precio Descontado]]-Tabla4[[#This Row],[Precio Base]])*Tabla4[[#This Row],[Cantidad]]</f>
        <v>#N/A</v>
      </c>
      <c r="O2104" s="284" t="e">
        <f>++Tabla4[[#This Row],[Utilidad Total]]/Tabla4[[#This Row],[Total]]</f>
        <v>#N/A</v>
      </c>
      <c r="P2104" s="282">
        <f>++Tabla4[[#This Row],[Precio Descontado]]*Tabla4[[#This Row],[Cantidad]]</f>
        <v>4928.2541709999996</v>
      </c>
      <c r="Q2104" s="282" t="e">
        <f>(INDEX(Tabla6[#All],MATCH(Tabla4[[#This Row],[Producto]],Tabla6[[#All],[PRODUCTO]],0),MATCH(Tabla4[[#This Row],[Mes]],Tabla6[#Headers],0)))</f>
        <v>#N/A</v>
      </c>
      <c r="R2104" s="282" t="e">
        <f>++Tabla4[[#This Row],[Precio Unitario Neto]]-Tabla4[[#This Row],[20.85%]]-Tabla4[[#This Row],[Costo]]</f>
        <v>#N/A</v>
      </c>
      <c r="S2104" s="282" t="e">
        <f>++Tabla4[[#This Row],[U. Bruta Uni]]*Tabla4[[#This Row],[Cantidad]]</f>
        <v>#N/A</v>
      </c>
      <c r="T2104" s="369" t="str">
        <f>VLOOKUP(Tabla4[[#This Row],[Producto]],Tabla6[#All],14,FALSE)</f>
        <v>Termico Solar</v>
      </c>
      <c r="U2104" s="284" t="e">
        <f>(IF(Tabla4[[#This Row],[Familia]]="termico solar",Tabla4[[#This Row],[Utilidad Total]]*6%,Tabla4[[#This Row],[Utilidad Total]]*11.5%))/Tabla4[[#This Row],[Total]]</f>
        <v>#N/A</v>
      </c>
      <c r="V2104" s="282" t="e">
        <f>+Tabla4[[#This Row],[Comisión Calculada]]*Tabla4[[#This Row],[Total]]</f>
        <v>#N/A</v>
      </c>
    </row>
    <row r="2105" spans="1:22" hidden="1" x14ac:dyDescent="0.25">
      <c r="A2105" s="100">
        <v>45762</v>
      </c>
      <c r="B2105" t="str">
        <f t="shared" si="107"/>
        <v>April</v>
      </c>
      <c r="C2105" s="46" t="s">
        <v>280</v>
      </c>
      <c r="F2105" s="366" t="s">
        <v>1509</v>
      </c>
      <c r="G2105" s="46" t="s">
        <v>566</v>
      </c>
      <c r="H2105" s="46">
        <v>1</v>
      </c>
      <c r="I2105" s="51">
        <v>2109.4499999999998</v>
      </c>
      <c r="J2105" s="281">
        <f>++Tabla4[[#This Row],[Precio Bruto]]*1.16</f>
        <v>2446.9619999999995</v>
      </c>
      <c r="K2105" s="281">
        <f>+Tabla4[[#This Row],[Precio Unitario Neto]]*Tabla4[[#Headers],[20.85%]]</f>
        <v>510.19157699999988</v>
      </c>
      <c r="L2105" s="282">
        <f>++Tabla4[[#This Row],[Precio Unitario Neto]]-Tabla4[[#This Row],[20.85%]]</f>
        <v>1936.7704229999997</v>
      </c>
      <c r="M2105" s="282" t="e">
        <f>(INDEX(Tabla6[#All],MATCH(Tabla4[[#This Row],[Producto]],Tabla6[[#All],[PRODUCTO]],0),MATCH(Tabla4[[#This Row],[Mes]],Tabla6[#Headers],0)))*(1+Catalogos!$L$2)</f>
        <v>#N/A</v>
      </c>
      <c r="N2105" s="283" t="e">
        <f>+(Tabla4[[#This Row],[Precio Descontado]]-Tabla4[[#This Row],[Precio Base]])*Tabla4[[#This Row],[Cantidad]]</f>
        <v>#N/A</v>
      </c>
      <c r="O2105" s="284" t="e">
        <f>++Tabla4[[#This Row],[Utilidad Total]]/Tabla4[[#This Row],[Total]]</f>
        <v>#N/A</v>
      </c>
      <c r="P2105" s="282">
        <f>++Tabla4[[#This Row],[Precio Descontado]]*Tabla4[[#This Row],[Cantidad]]</f>
        <v>1936.7704229999997</v>
      </c>
      <c r="Q2105" s="282" t="e">
        <f>(INDEX(Tabla6[#All],MATCH(Tabla4[[#This Row],[Producto]],Tabla6[[#All],[PRODUCTO]],0),MATCH(Tabla4[[#This Row],[Mes]],Tabla6[#Headers],0)))</f>
        <v>#N/A</v>
      </c>
      <c r="R2105" s="282" t="e">
        <f>++Tabla4[[#This Row],[Precio Unitario Neto]]-Tabla4[[#This Row],[20.85%]]-Tabla4[[#This Row],[Costo]]</f>
        <v>#N/A</v>
      </c>
      <c r="S2105" s="282" t="e">
        <f>++Tabla4[[#This Row],[U. Bruta Uni]]*Tabla4[[#This Row],[Cantidad]]</f>
        <v>#N/A</v>
      </c>
      <c r="T2105" s="369" t="str">
        <f>VLOOKUP(Tabla4[[#This Row],[Producto]],Tabla6[#All],14,FALSE)</f>
        <v>Termico Solar</v>
      </c>
      <c r="U2105" s="284" t="e">
        <f>(IF(Tabla4[[#This Row],[Familia]]="termico solar",Tabla4[[#This Row],[Utilidad Total]]*6%,Tabla4[[#This Row],[Utilidad Total]]*11.5%))/Tabla4[[#This Row],[Total]]</f>
        <v>#N/A</v>
      </c>
      <c r="V2105" s="282" t="e">
        <f>+Tabla4[[#This Row],[Comisión Calculada]]*Tabla4[[#This Row],[Total]]</f>
        <v>#N/A</v>
      </c>
    </row>
    <row r="2106" spans="1:22" hidden="1" x14ac:dyDescent="0.25">
      <c r="A2106" s="100">
        <v>45762</v>
      </c>
      <c r="B2106" t="str">
        <f t="shared" si="107"/>
        <v>April</v>
      </c>
      <c r="C2106" s="46" t="s">
        <v>280</v>
      </c>
      <c r="F2106" s="366" t="s">
        <v>1509</v>
      </c>
      <c r="G2106" s="46" t="s">
        <v>16</v>
      </c>
      <c r="H2106" s="46">
        <v>2</v>
      </c>
      <c r="I2106" s="51">
        <v>4103.8500000000004</v>
      </c>
      <c r="J2106" s="281">
        <f>++Tabla4[[#This Row],[Precio Bruto]]*1.16</f>
        <v>4760.4660000000003</v>
      </c>
      <c r="K2106" s="281">
        <f>+Tabla4[[#This Row],[Precio Unitario Neto]]*Tabla4[[#Headers],[20.85%]]</f>
        <v>992.55716100000006</v>
      </c>
      <c r="L2106" s="282">
        <f>++Tabla4[[#This Row],[Precio Unitario Neto]]-Tabla4[[#This Row],[20.85%]]</f>
        <v>3767.9088390000002</v>
      </c>
      <c r="M2106" s="282" t="e">
        <f>(INDEX(Tabla6[#All],MATCH(Tabla4[[#This Row],[Producto]],Tabla6[[#All],[PRODUCTO]],0),MATCH(Tabla4[[#This Row],[Mes]],Tabla6[#Headers],0)))*(1+Catalogos!$L$2)</f>
        <v>#N/A</v>
      </c>
      <c r="N2106" s="283" t="e">
        <f>+(Tabla4[[#This Row],[Precio Descontado]]-Tabla4[[#This Row],[Precio Base]])*Tabla4[[#This Row],[Cantidad]]</f>
        <v>#N/A</v>
      </c>
      <c r="O2106" s="284" t="e">
        <f>++Tabla4[[#This Row],[Utilidad Total]]/Tabla4[[#This Row],[Total]]</f>
        <v>#N/A</v>
      </c>
      <c r="P2106" s="282">
        <f>++Tabla4[[#This Row],[Precio Descontado]]*Tabla4[[#This Row],[Cantidad]]</f>
        <v>7535.8176780000003</v>
      </c>
      <c r="Q2106" s="282" t="e">
        <f>(INDEX(Tabla6[#All],MATCH(Tabla4[[#This Row],[Producto]],Tabla6[[#All],[PRODUCTO]],0),MATCH(Tabla4[[#This Row],[Mes]],Tabla6[#Headers],0)))</f>
        <v>#N/A</v>
      </c>
      <c r="R2106" s="282" t="e">
        <f>++Tabla4[[#This Row],[Precio Unitario Neto]]-Tabla4[[#This Row],[20.85%]]-Tabla4[[#This Row],[Costo]]</f>
        <v>#N/A</v>
      </c>
      <c r="S2106" s="282" t="e">
        <f>++Tabla4[[#This Row],[U. Bruta Uni]]*Tabla4[[#This Row],[Cantidad]]</f>
        <v>#N/A</v>
      </c>
      <c r="T2106" s="369" t="str">
        <f>VLOOKUP(Tabla4[[#This Row],[Producto]],Tabla6[#All],14,FALSE)</f>
        <v>Termico Solar</v>
      </c>
      <c r="U2106" s="284" t="e">
        <f>(IF(Tabla4[[#This Row],[Familia]]="termico solar",Tabla4[[#This Row],[Utilidad Total]]*6%,Tabla4[[#This Row],[Utilidad Total]]*11.5%))/Tabla4[[#This Row],[Total]]</f>
        <v>#N/A</v>
      </c>
      <c r="V2106" s="282" t="e">
        <f>+Tabla4[[#This Row],[Comisión Calculada]]*Tabla4[[#This Row],[Total]]</f>
        <v>#N/A</v>
      </c>
    </row>
    <row r="2107" spans="1:22" hidden="1" x14ac:dyDescent="0.25">
      <c r="A2107" s="100">
        <v>45762</v>
      </c>
      <c r="B2107" t="str">
        <f t="shared" si="107"/>
        <v>April</v>
      </c>
      <c r="C2107" s="46" t="s">
        <v>280</v>
      </c>
      <c r="F2107" s="366" t="s">
        <v>1510</v>
      </c>
      <c r="G2107" s="46" t="s">
        <v>18</v>
      </c>
      <c r="H2107" s="46">
        <v>2</v>
      </c>
      <c r="I2107" s="51">
        <v>5367.65</v>
      </c>
      <c r="J2107" s="281">
        <f>++Tabla4[[#This Row],[Precio Bruto]]*1.16</f>
        <v>6226.4739999999993</v>
      </c>
      <c r="K2107" s="281">
        <f>+Tabla4[[#This Row],[Precio Unitario Neto]]*Tabla4[[#Headers],[20.85%]]</f>
        <v>1298.2198289999999</v>
      </c>
      <c r="L2107" s="282">
        <f>++Tabla4[[#This Row],[Precio Unitario Neto]]-Tabla4[[#This Row],[20.85%]]</f>
        <v>4928.2541709999996</v>
      </c>
      <c r="M2107" s="282" t="e">
        <f>(INDEX(Tabla6[#All],MATCH(Tabla4[[#This Row],[Producto]],Tabla6[[#All],[PRODUCTO]],0),MATCH(Tabla4[[#This Row],[Mes]],Tabla6[#Headers],0)))*(1+Catalogos!$L$2)</f>
        <v>#N/A</v>
      </c>
      <c r="N2107" s="283" t="e">
        <f>+(Tabla4[[#This Row],[Precio Descontado]]-Tabla4[[#This Row],[Precio Base]])*Tabla4[[#This Row],[Cantidad]]</f>
        <v>#N/A</v>
      </c>
      <c r="O2107" s="284" t="e">
        <f>++Tabla4[[#This Row],[Utilidad Total]]/Tabla4[[#This Row],[Total]]</f>
        <v>#N/A</v>
      </c>
      <c r="P2107" s="282">
        <f>++Tabla4[[#This Row],[Precio Descontado]]*Tabla4[[#This Row],[Cantidad]]</f>
        <v>9856.5083419999992</v>
      </c>
      <c r="Q2107" s="282" t="e">
        <f>(INDEX(Tabla6[#All],MATCH(Tabla4[[#This Row],[Producto]],Tabla6[[#All],[PRODUCTO]],0),MATCH(Tabla4[[#This Row],[Mes]],Tabla6[#Headers],0)))</f>
        <v>#N/A</v>
      </c>
      <c r="R2107" s="282" t="e">
        <f>++Tabla4[[#This Row],[Precio Unitario Neto]]-Tabla4[[#This Row],[20.85%]]-Tabla4[[#This Row],[Costo]]</f>
        <v>#N/A</v>
      </c>
      <c r="S2107" s="282" t="e">
        <f>++Tabla4[[#This Row],[U. Bruta Uni]]*Tabla4[[#This Row],[Cantidad]]</f>
        <v>#N/A</v>
      </c>
      <c r="T2107" s="369" t="str">
        <f>VLOOKUP(Tabla4[[#This Row],[Producto]],Tabla6[#All],14,FALSE)</f>
        <v>Termico Solar</v>
      </c>
      <c r="U2107" s="284" t="e">
        <f>(IF(Tabla4[[#This Row],[Familia]]="termico solar",Tabla4[[#This Row],[Utilidad Total]]*6%,Tabla4[[#This Row],[Utilidad Total]]*11.5%))/Tabla4[[#This Row],[Total]]</f>
        <v>#N/A</v>
      </c>
      <c r="V2107" s="282" t="e">
        <f>+Tabla4[[#This Row],[Comisión Calculada]]*Tabla4[[#This Row],[Total]]</f>
        <v>#N/A</v>
      </c>
    </row>
    <row r="2108" spans="1:22" hidden="1" x14ac:dyDescent="0.25">
      <c r="A2108" s="100">
        <v>45762</v>
      </c>
      <c r="B2108" t="str">
        <f t="shared" si="107"/>
        <v>April</v>
      </c>
      <c r="C2108" s="46" t="s">
        <v>280</v>
      </c>
      <c r="F2108" s="366" t="s">
        <v>1510</v>
      </c>
      <c r="G2108" s="46" t="s">
        <v>566</v>
      </c>
      <c r="H2108" s="46">
        <v>1</v>
      </c>
      <c r="I2108" s="51">
        <v>2109.4499999999998</v>
      </c>
      <c r="J2108" s="281">
        <f>++Tabla4[[#This Row],[Precio Bruto]]*1.16</f>
        <v>2446.9619999999995</v>
      </c>
      <c r="K2108" s="281">
        <f>+Tabla4[[#This Row],[Precio Unitario Neto]]*Tabla4[[#Headers],[20.85%]]</f>
        <v>510.19157699999988</v>
      </c>
      <c r="L2108" s="282">
        <f>++Tabla4[[#This Row],[Precio Unitario Neto]]-Tabla4[[#This Row],[20.85%]]</f>
        <v>1936.7704229999997</v>
      </c>
      <c r="M2108" s="282" t="e">
        <f>(INDEX(Tabla6[#All],MATCH(Tabla4[[#This Row],[Producto]],Tabla6[[#All],[PRODUCTO]],0),MATCH(Tabla4[[#This Row],[Mes]],Tabla6[#Headers],0)))*(1+Catalogos!$L$2)</f>
        <v>#N/A</v>
      </c>
      <c r="N2108" s="283" t="e">
        <f>+(Tabla4[[#This Row],[Precio Descontado]]-Tabla4[[#This Row],[Precio Base]])*Tabla4[[#This Row],[Cantidad]]</f>
        <v>#N/A</v>
      </c>
      <c r="O2108" s="284" t="e">
        <f>++Tabla4[[#This Row],[Utilidad Total]]/Tabla4[[#This Row],[Total]]</f>
        <v>#N/A</v>
      </c>
      <c r="P2108" s="282">
        <f>++Tabla4[[#This Row],[Precio Descontado]]*Tabla4[[#This Row],[Cantidad]]</f>
        <v>1936.7704229999997</v>
      </c>
      <c r="Q2108" s="282" t="e">
        <f>(INDEX(Tabla6[#All],MATCH(Tabla4[[#This Row],[Producto]],Tabla6[[#All],[PRODUCTO]],0),MATCH(Tabla4[[#This Row],[Mes]],Tabla6[#Headers],0)))</f>
        <v>#N/A</v>
      </c>
      <c r="R2108" s="282" t="e">
        <f>++Tabla4[[#This Row],[Precio Unitario Neto]]-Tabla4[[#This Row],[20.85%]]-Tabla4[[#This Row],[Costo]]</f>
        <v>#N/A</v>
      </c>
      <c r="S2108" s="282" t="e">
        <f>++Tabla4[[#This Row],[U. Bruta Uni]]*Tabla4[[#This Row],[Cantidad]]</f>
        <v>#N/A</v>
      </c>
      <c r="T2108" s="369" t="str">
        <f>VLOOKUP(Tabla4[[#This Row],[Producto]],Tabla6[#All],14,FALSE)</f>
        <v>Termico Solar</v>
      </c>
      <c r="U2108" s="284" t="e">
        <f>(IF(Tabla4[[#This Row],[Familia]]="termico solar",Tabla4[[#This Row],[Utilidad Total]]*6%,Tabla4[[#This Row],[Utilidad Total]]*11.5%))/Tabla4[[#This Row],[Total]]</f>
        <v>#N/A</v>
      </c>
      <c r="V2108" s="282" t="e">
        <f>+Tabla4[[#This Row],[Comisión Calculada]]*Tabla4[[#This Row],[Total]]</f>
        <v>#N/A</v>
      </c>
    </row>
    <row r="2109" spans="1:22" hidden="1" x14ac:dyDescent="0.25">
      <c r="A2109" s="100">
        <v>45762</v>
      </c>
      <c r="B2109" t="str">
        <f t="shared" si="107"/>
        <v>April</v>
      </c>
      <c r="C2109" s="46" t="s">
        <v>280</v>
      </c>
      <c r="F2109" s="366" t="s">
        <v>1511</v>
      </c>
      <c r="G2109" s="46" t="s">
        <v>566</v>
      </c>
      <c r="H2109" s="46">
        <v>2</v>
      </c>
      <c r="I2109" s="51">
        <v>2109.4499999999998</v>
      </c>
      <c r="J2109" s="281">
        <f>++Tabla4[[#This Row],[Precio Bruto]]*1.16</f>
        <v>2446.9619999999995</v>
      </c>
      <c r="K2109" s="281">
        <f>+Tabla4[[#This Row],[Precio Unitario Neto]]*Tabla4[[#Headers],[20.85%]]</f>
        <v>510.19157699999988</v>
      </c>
      <c r="L2109" s="282">
        <f>++Tabla4[[#This Row],[Precio Unitario Neto]]-Tabla4[[#This Row],[20.85%]]</f>
        <v>1936.7704229999997</v>
      </c>
      <c r="M2109" s="282" t="e">
        <f>(INDEX(Tabla6[#All],MATCH(Tabla4[[#This Row],[Producto]],Tabla6[[#All],[PRODUCTO]],0),MATCH(Tabla4[[#This Row],[Mes]],Tabla6[#Headers],0)))*(1+Catalogos!$L$2)</f>
        <v>#N/A</v>
      </c>
      <c r="N2109" s="283" t="e">
        <f>+(Tabla4[[#This Row],[Precio Descontado]]-Tabla4[[#This Row],[Precio Base]])*Tabla4[[#This Row],[Cantidad]]</f>
        <v>#N/A</v>
      </c>
      <c r="O2109" s="284" t="e">
        <f>++Tabla4[[#This Row],[Utilidad Total]]/Tabla4[[#This Row],[Total]]</f>
        <v>#N/A</v>
      </c>
      <c r="P2109" s="282">
        <f>++Tabla4[[#This Row],[Precio Descontado]]*Tabla4[[#This Row],[Cantidad]]</f>
        <v>3873.5408459999994</v>
      </c>
      <c r="Q2109" s="282" t="e">
        <f>(INDEX(Tabla6[#All],MATCH(Tabla4[[#This Row],[Producto]],Tabla6[[#All],[PRODUCTO]],0),MATCH(Tabla4[[#This Row],[Mes]],Tabla6[#Headers],0)))</f>
        <v>#N/A</v>
      </c>
      <c r="R2109" s="282" t="e">
        <f>++Tabla4[[#This Row],[Precio Unitario Neto]]-Tabla4[[#This Row],[20.85%]]-Tabla4[[#This Row],[Costo]]</f>
        <v>#N/A</v>
      </c>
      <c r="S2109" s="282" t="e">
        <f>++Tabla4[[#This Row],[U. Bruta Uni]]*Tabla4[[#This Row],[Cantidad]]</f>
        <v>#N/A</v>
      </c>
      <c r="T2109" s="369" t="str">
        <f>VLOOKUP(Tabla4[[#This Row],[Producto]],Tabla6[#All],14,FALSE)</f>
        <v>Termico Solar</v>
      </c>
      <c r="U2109" s="284" t="e">
        <f>(IF(Tabla4[[#This Row],[Familia]]="termico solar",Tabla4[[#This Row],[Utilidad Total]]*6%,Tabla4[[#This Row],[Utilidad Total]]*11.5%))/Tabla4[[#This Row],[Total]]</f>
        <v>#N/A</v>
      </c>
      <c r="V2109" s="282" t="e">
        <f>+Tabla4[[#This Row],[Comisión Calculada]]*Tabla4[[#This Row],[Total]]</f>
        <v>#N/A</v>
      </c>
    </row>
    <row r="2110" spans="1:22" hidden="1" x14ac:dyDescent="0.25">
      <c r="A2110" s="100">
        <v>45762</v>
      </c>
      <c r="B2110" t="str">
        <f t="shared" si="107"/>
        <v>April</v>
      </c>
      <c r="C2110" s="46" t="s">
        <v>280</v>
      </c>
      <c r="F2110" s="366" t="s">
        <v>1511</v>
      </c>
      <c r="G2110" s="46" t="s">
        <v>16</v>
      </c>
      <c r="H2110" s="46">
        <v>2</v>
      </c>
      <c r="I2110" s="51">
        <v>4103.8500000000004</v>
      </c>
      <c r="J2110" s="281">
        <f>++Tabla4[[#This Row],[Precio Bruto]]*1.16</f>
        <v>4760.4660000000003</v>
      </c>
      <c r="K2110" s="281">
        <f>+Tabla4[[#This Row],[Precio Unitario Neto]]*Tabla4[[#Headers],[20.85%]]</f>
        <v>992.55716100000006</v>
      </c>
      <c r="L2110" s="282">
        <f>++Tabla4[[#This Row],[Precio Unitario Neto]]-Tabla4[[#This Row],[20.85%]]</f>
        <v>3767.9088390000002</v>
      </c>
      <c r="M2110" s="282" t="e">
        <f>(INDEX(Tabla6[#All],MATCH(Tabla4[[#This Row],[Producto]],Tabla6[[#All],[PRODUCTO]],0),MATCH(Tabla4[[#This Row],[Mes]],Tabla6[#Headers],0)))*(1+Catalogos!$L$2)</f>
        <v>#N/A</v>
      </c>
      <c r="N2110" s="283" t="e">
        <f>+(Tabla4[[#This Row],[Precio Descontado]]-Tabla4[[#This Row],[Precio Base]])*Tabla4[[#This Row],[Cantidad]]</f>
        <v>#N/A</v>
      </c>
      <c r="O2110" s="284" t="e">
        <f>++Tabla4[[#This Row],[Utilidad Total]]/Tabla4[[#This Row],[Total]]</f>
        <v>#N/A</v>
      </c>
      <c r="P2110" s="282">
        <f>++Tabla4[[#This Row],[Precio Descontado]]*Tabla4[[#This Row],[Cantidad]]</f>
        <v>7535.8176780000003</v>
      </c>
      <c r="Q2110" s="282" t="e">
        <f>(INDEX(Tabla6[#All],MATCH(Tabla4[[#This Row],[Producto]],Tabla6[[#All],[PRODUCTO]],0),MATCH(Tabla4[[#This Row],[Mes]],Tabla6[#Headers],0)))</f>
        <v>#N/A</v>
      </c>
      <c r="R2110" s="282" t="e">
        <f>++Tabla4[[#This Row],[Precio Unitario Neto]]-Tabla4[[#This Row],[20.85%]]-Tabla4[[#This Row],[Costo]]</f>
        <v>#N/A</v>
      </c>
      <c r="S2110" s="282" t="e">
        <f>++Tabla4[[#This Row],[U. Bruta Uni]]*Tabla4[[#This Row],[Cantidad]]</f>
        <v>#N/A</v>
      </c>
      <c r="T2110" s="369" t="str">
        <f>VLOOKUP(Tabla4[[#This Row],[Producto]],Tabla6[#All],14,FALSE)</f>
        <v>Termico Solar</v>
      </c>
      <c r="U2110" s="284" t="e">
        <f>(IF(Tabla4[[#This Row],[Familia]]="termico solar",Tabla4[[#This Row],[Utilidad Total]]*6%,Tabla4[[#This Row],[Utilidad Total]]*11.5%))/Tabla4[[#This Row],[Total]]</f>
        <v>#N/A</v>
      </c>
      <c r="V2110" s="282" t="e">
        <f>+Tabla4[[#This Row],[Comisión Calculada]]*Tabla4[[#This Row],[Total]]</f>
        <v>#N/A</v>
      </c>
    </row>
    <row r="2111" spans="1:22" hidden="1" x14ac:dyDescent="0.25">
      <c r="A2111" s="100">
        <v>45762</v>
      </c>
      <c r="B2111" t="str">
        <f t="shared" si="107"/>
        <v>April</v>
      </c>
      <c r="C2111" s="46" t="s">
        <v>280</v>
      </c>
      <c r="F2111" s="366" t="s">
        <v>1512</v>
      </c>
      <c r="G2111" s="46" t="s">
        <v>83</v>
      </c>
      <c r="H2111" s="46">
        <v>4</v>
      </c>
      <c r="I2111" s="51">
        <v>8858.76</v>
      </c>
      <c r="J2111" s="281">
        <f>++Tabla4[[#This Row],[Precio Bruto]]*1.16</f>
        <v>10276.161599999999</v>
      </c>
      <c r="K2111" s="281">
        <f>+Tabla4[[#This Row],[Precio Unitario Neto]]*Tabla4[[#Headers],[20.85%]]</f>
        <v>2142.5796935999997</v>
      </c>
      <c r="L2111" s="282">
        <f>++Tabla4[[#This Row],[Precio Unitario Neto]]-Tabla4[[#This Row],[20.85%]]</f>
        <v>8133.5819063999998</v>
      </c>
      <c r="M2111" s="282" t="e">
        <f>(INDEX(Tabla6[#All],MATCH(Tabla4[[#This Row],[Producto]],Tabla6[[#All],[PRODUCTO]],0),MATCH(Tabla4[[#This Row],[Mes]],Tabla6[#Headers],0)))*(1+Catalogos!$L$2)</f>
        <v>#N/A</v>
      </c>
      <c r="N2111" s="283" t="e">
        <f>+(Tabla4[[#This Row],[Precio Descontado]]-Tabla4[[#This Row],[Precio Base]])*Tabla4[[#This Row],[Cantidad]]</f>
        <v>#N/A</v>
      </c>
      <c r="O2111" s="284" t="e">
        <f>++Tabla4[[#This Row],[Utilidad Total]]/Tabla4[[#This Row],[Total]]</f>
        <v>#N/A</v>
      </c>
      <c r="P2111" s="282">
        <f>++Tabla4[[#This Row],[Precio Descontado]]*Tabla4[[#This Row],[Cantidad]]</f>
        <v>32534.327625599999</v>
      </c>
      <c r="Q2111" s="282" t="e">
        <f>(INDEX(Tabla6[#All],MATCH(Tabla4[[#This Row],[Producto]],Tabla6[[#All],[PRODUCTO]],0),MATCH(Tabla4[[#This Row],[Mes]],Tabla6[#Headers],0)))</f>
        <v>#N/A</v>
      </c>
      <c r="R2111" s="282" t="e">
        <f>++Tabla4[[#This Row],[Precio Unitario Neto]]-Tabla4[[#This Row],[20.85%]]-Tabla4[[#This Row],[Costo]]</f>
        <v>#N/A</v>
      </c>
      <c r="S2111" s="282" t="e">
        <f>++Tabla4[[#This Row],[U. Bruta Uni]]*Tabla4[[#This Row],[Cantidad]]</f>
        <v>#N/A</v>
      </c>
      <c r="T2111" s="369" t="str">
        <f>VLOOKUP(Tabla4[[#This Row],[Producto]],Tabla6[#All],14,FALSE)</f>
        <v>Termico Solar</v>
      </c>
      <c r="U2111" s="284" t="e">
        <f>(IF(Tabla4[[#This Row],[Familia]]="termico solar",Tabla4[[#This Row],[Utilidad Total]]*6%,Tabla4[[#This Row],[Utilidad Total]]*11.5%))/Tabla4[[#This Row],[Total]]</f>
        <v>#N/A</v>
      </c>
      <c r="V2111" s="282" t="e">
        <f>+Tabla4[[#This Row],[Comisión Calculada]]*Tabla4[[#This Row],[Total]]</f>
        <v>#N/A</v>
      </c>
    </row>
    <row r="2112" spans="1:22" hidden="1" x14ac:dyDescent="0.25">
      <c r="A2112" s="100">
        <v>45762</v>
      </c>
      <c r="B2112" t="str">
        <f t="shared" si="107"/>
        <v>April</v>
      </c>
      <c r="C2112" s="46" t="s">
        <v>280</v>
      </c>
      <c r="F2112" s="366" t="s">
        <v>1512</v>
      </c>
      <c r="G2112" s="46" t="s">
        <v>17</v>
      </c>
      <c r="H2112" s="46">
        <v>5</v>
      </c>
      <c r="I2112" s="51">
        <v>4622.2800000000007</v>
      </c>
      <c r="J2112" s="281">
        <f>++Tabla4[[#This Row],[Precio Bruto]]*1.16</f>
        <v>5361.8448000000008</v>
      </c>
      <c r="K2112" s="281">
        <f>+Tabla4[[#This Row],[Precio Unitario Neto]]*Tabla4[[#Headers],[20.85%]]</f>
        <v>1117.9446408000001</v>
      </c>
      <c r="L2112" s="282">
        <f>++Tabla4[[#This Row],[Precio Unitario Neto]]-Tabla4[[#This Row],[20.85%]]</f>
        <v>4243.9001592000004</v>
      </c>
      <c r="M2112" s="282" t="e">
        <f>(INDEX(Tabla6[#All],MATCH(Tabla4[[#This Row],[Producto]],Tabla6[[#All],[PRODUCTO]],0),MATCH(Tabla4[[#This Row],[Mes]],Tabla6[#Headers],0)))*(1+Catalogos!$L$2)</f>
        <v>#N/A</v>
      </c>
      <c r="N2112" s="283" t="e">
        <f>+(Tabla4[[#This Row],[Precio Descontado]]-Tabla4[[#This Row],[Precio Base]])*Tabla4[[#This Row],[Cantidad]]</f>
        <v>#N/A</v>
      </c>
      <c r="O2112" s="284" t="e">
        <f>++Tabla4[[#This Row],[Utilidad Total]]/Tabla4[[#This Row],[Total]]</f>
        <v>#N/A</v>
      </c>
      <c r="P2112" s="282">
        <f>++Tabla4[[#This Row],[Precio Descontado]]*Tabla4[[#This Row],[Cantidad]]</f>
        <v>21219.500796</v>
      </c>
      <c r="Q2112" s="282" t="e">
        <f>(INDEX(Tabla6[#All],MATCH(Tabla4[[#This Row],[Producto]],Tabla6[[#All],[PRODUCTO]],0),MATCH(Tabla4[[#This Row],[Mes]],Tabla6[#Headers],0)))</f>
        <v>#N/A</v>
      </c>
      <c r="R2112" s="282" t="e">
        <f>++Tabla4[[#This Row],[Precio Unitario Neto]]-Tabla4[[#This Row],[20.85%]]-Tabla4[[#This Row],[Costo]]</f>
        <v>#N/A</v>
      </c>
      <c r="S2112" s="282" t="e">
        <f>++Tabla4[[#This Row],[U. Bruta Uni]]*Tabla4[[#This Row],[Cantidad]]</f>
        <v>#N/A</v>
      </c>
      <c r="T2112" s="369" t="str">
        <f>VLOOKUP(Tabla4[[#This Row],[Producto]],Tabla6[#All],14,FALSE)</f>
        <v>Termico Solar</v>
      </c>
      <c r="U2112" s="284" t="e">
        <f>(IF(Tabla4[[#This Row],[Familia]]="termico solar",Tabla4[[#This Row],[Utilidad Total]]*6%,Tabla4[[#This Row],[Utilidad Total]]*11.5%))/Tabla4[[#This Row],[Total]]</f>
        <v>#N/A</v>
      </c>
      <c r="V2112" s="282" t="e">
        <f>+Tabla4[[#This Row],[Comisión Calculada]]*Tabla4[[#This Row],[Total]]</f>
        <v>#N/A</v>
      </c>
    </row>
    <row r="2113" spans="1:22" hidden="1" x14ac:dyDescent="0.25">
      <c r="A2113" s="100">
        <v>45762</v>
      </c>
      <c r="B2113" t="str">
        <f t="shared" si="107"/>
        <v>April</v>
      </c>
      <c r="C2113" s="46" t="s">
        <v>280</v>
      </c>
      <c r="F2113" s="366" t="s">
        <v>1512</v>
      </c>
      <c r="G2113" s="46" t="s">
        <v>208</v>
      </c>
      <c r="H2113" s="46">
        <v>1</v>
      </c>
      <c r="I2113" s="51">
        <v>189.75</v>
      </c>
      <c r="J2113" s="281">
        <f>++Tabla4[[#This Row],[Precio Bruto]]*1.16</f>
        <v>220.10999999999999</v>
      </c>
      <c r="K2113" s="281">
        <f>+Tabla4[[#This Row],[Precio Unitario Neto]]*Tabla4[[#Headers],[20.85%]]</f>
        <v>45.892934999999994</v>
      </c>
      <c r="L2113" s="282">
        <f>++Tabla4[[#This Row],[Precio Unitario Neto]]-Tabla4[[#This Row],[20.85%]]</f>
        <v>174.21706499999999</v>
      </c>
      <c r="M2113" s="282" t="e">
        <f>(INDEX(Tabla6[#All],MATCH(Tabla4[[#This Row],[Producto]],Tabla6[[#All],[PRODUCTO]],0),MATCH(Tabla4[[#This Row],[Mes]],Tabla6[#Headers],0)))*(1+Catalogos!$L$2)</f>
        <v>#N/A</v>
      </c>
      <c r="N2113" s="283" t="e">
        <f>+(Tabla4[[#This Row],[Precio Descontado]]-Tabla4[[#This Row],[Precio Base]])*Tabla4[[#This Row],[Cantidad]]</f>
        <v>#N/A</v>
      </c>
      <c r="O2113" s="284" t="e">
        <f>++Tabla4[[#This Row],[Utilidad Total]]/Tabla4[[#This Row],[Total]]</f>
        <v>#N/A</v>
      </c>
      <c r="P2113" s="282">
        <f>++Tabla4[[#This Row],[Precio Descontado]]*Tabla4[[#This Row],[Cantidad]]</f>
        <v>174.21706499999999</v>
      </c>
      <c r="Q2113" s="282" t="e">
        <f>(INDEX(Tabla6[#All],MATCH(Tabla4[[#This Row],[Producto]],Tabla6[[#All],[PRODUCTO]],0),MATCH(Tabla4[[#This Row],[Mes]],Tabla6[#Headers],0)))</f>
        <v>#N/A</v>
      </c>
      <c r="R2113" s="282" t="e">
        <f>++Tabla4[[#This Row],[Precio Unitario Neto]]-Tabla4[[#This Row],[20.85%]]-Tabla4[[#This Row],[Costo]]</f>
        <v>#N/A</v>
      </c>
      <c r="S2113" s="282" t="e">
        <f>++Tabla4[[#This Row],[U. Bruta Uni]]*Tabla4[[#This Row],[Cantidad]]</f>
        <v>#N/A</v>
      </c>
      <c r="T2113" s="369" t="str">
        <f>VLOOKUP(Tabla4[[#This Row],[Producto]],Tabla6[#All],14,FALSE)</f>
        <v>Termico Solar</v>
      </c>
      <c r="U2113" s="284" t="e">
        <f>(IF(Tabla4[[#This Row],[Familia]]="termico solar",Tabla4[[#This Row],[Utilidad Total]]*6%,Tabla4[[#This Row],[Utilidad Total]]*11.5%))/Tabla4[[#This Row],[Total]]</f>
        <v>#N/A</v>
      </c>
      <c r="V2113" s="282" t="e">
        <f>+Tabla4[[#This Row],[Comisión Calculada]]*Tabla4[[#This Row],[Total]]</f>
        <v>#N/A</v>
      </c>
    </row>
    <row r="2114" spans="1:22" hidden="1" x14ac:dyDescent="0.25">
      <c r="A2114" s="100">
        <v>45762</v>
      </c>
      <c r="B2114" t="str">
        <f t="shared" si="107"/>
        <v>April</v>
      </c>
      <c r="C2114" s="46" t="s">
        <v>280</v>
      </c>
      <c r="F2114" s="366" t="s">
        <v>1513</v>
      </c>
      <c r="G2114" s="46" t="s">
        <v>18</v>
      </c>
      <c r="H2114" s="46">
        <v>2</v>
      </c>
      <c r="I2114" s="51">
        <v>5367.65</v>
      </c>
      <c r="J2114" s="281">
        <f>++Tabla4[[#This Row],[Precio Bruto]]*1.16</f>
        <v>6226.4739999999993</v>
      </c>
      <c r="K2114" s="281">
        <f>+Tabla4[[#This Row],[Precio Unitario Neto]]*Tabla4[[#Headers],[20.85%]]</f>
        <v>1298.2198289999999</v>
      </c>
      <c r="L2114" s="282">
        <f>++Tabla4[[#This Row],[Precio Unitario Neto]]-Tabla4[[#This Row],[20.85%]]</f>
        <v>4928.2541709999996</v>
      </c>
      <c r="M2114" s="282" t="e">
        <f>(INDEX(Tabla6[#All],MATCH(Tabla4[[#This Row],[Producto]],Tabla6[[#All],[PRODUCTO]],0),MATCH(Tabla4[[#This Row],[Mes]],Tabla6[#Headers],0)))*(1+Catalogos!$L$2)</f>
        <v>#N/A</v>
      </c>
      <c r="N2114" s="283" t="e">
        <f>+(Tabla4[[#This Row],[Precio Descontado]]-Tabla4[[#This Row],[Precio Base]])*Tabla4[[#This Row],[Cantidad]]</f>
        <v>#N/A</v>
      </c>
      <c r="O2114" s="284" t="e">
        <f>++Tabla4[[#This Row],[Utilidad Total]]/Tabla4[[#This Row],[Total]]</f>
        <v>#N/A</v>
      </c>
      <c r="P2114" s="282">
        <f>++Tabla4[[#This Row],[Precio Descontado]]*Tabla4[[#This Row],[Cantidad]]</f>
        <v>9856.5083419999992</v>
      </c>
      <c r="Q2114" s="282" t="e">
        <f>(INDEX(Tabla6[#All],MATCH(Tabla4[[#This Row],[Producto]],Tabla6[[#All],[PRODUCTO]],0),MATCH(Tabla4[[#This Row],[Mes]],Tabla6[#Headers],0)))</f>
        <v>#N/A</v>
      </c>
      <c r="R2114" s="282" t="e">
        <f>++Tabla4[[#This Row],[Precio Unitario Neto]]-Tabla4[[#This Row],[20.85%]]-Tabla4[[#This Row],[Costo]]</f>
        <v>#N/A</v>
      </c>
      <c r="S2114" s="282" t="e">
        <f>++Tabla4[[#This Row],[U. Bruta Uni]]*Tabla4[[#This Row],[Cantidad]]</f>
        <v>#N/A</v>
      </c>
      <c r="T2114" s="369" t="str">
        <f>VLOOKUP(Tabla4[[#This Row],[Producto]],Tabla6[#All],14,FALSE)</f>
        <v>Termico Solar</v>
      </c>
      <c r="U2114" s="284" t="e">
        <f>(IF(Tabla4[[#This Row],[Familia]]="termico solar",Tabla4[[#This Row],[Utilidad Total]]*6%,Tabla4[[#This Row],[Utilidad Total]]*11.5%))/Tabla4[[#This Row],[Total]]</f>
        <v>#N/A</v>
      </c>
      <c r="V2114" s="282" t="e">
        <f>+Tabla4[[#This Row],[Comisión Calculada]]*Tabla4[[#This Row],[Total]]</f>
        <v>#N/A</v>
      </c>
    </row>
    <row r="2115" spans="1:22" hidden="1" x14ac:dyDescent="0.25">
      <c r="A2115" s="100">
        <v>45762</v>
      </c>
      <c r="B2115" t="str">
        <f t="shared" si="107"/>
        <v>April</v>
      </c>
      <c r="C2115" s="46" t="s">
        <v>280</v>
      </c>
      <c r="F2115" s="366" t="s">
        <v>1513</v>
      </c>
      <c r="G2115" s="46" t="s">
        <v>566</v>
      </c>
      <c r="H2115" s="46">
        <v>1</v>
      </c>
      <c r="I2115" s="51">
        <v>2109.4499999999998</v>
      </c>
      <c r="J2115" s="281">
        <f>++Tabla4[[#This Row],[Precio Bruto]]*1.16</f>
        <v>2446.9619999999995</v>
      </c>
      <c r="K2115" s="281">
        <f>+Tabla4[[#This Row],[Precio Unitario Neto]]*Tabla4[[#Headers],[20.85%]]</f>
        <v>510.19157699999988</v>
      </c>
      <c r="L2115" s="282">
        <f>++Tabla4[[#This Row],[Precio Unitario Neto]]-Tabla4[[#This Row],[20.85%]]</f>
        <v>1936.7704229999997</v>
      </c>
      <c r="M2115" s="282" t="e">
        <f>(INDEX(Tabla6[#All],MATCH(Tabla4[[#This Row],[Producto]],Tabla6[[#All],[PRODUCTO]],0),MATCH(Tabla4[[#This Row],[Mes]],Tabla6[#Headers],0)))*(1+Catalogos!$L$2)</f>
        <v>#N/A</v>
      </c>
      <c r="N2115" s="283" t="e">
        <f>+(Tabla4[[#This Row],[Precio Descontado]]-Tabla4[[#This Row],[Precio Base]])*Tabla4[[#This Row],[Cantidad]]</f>
        <v>#N/A</v>
      </c>
      <c r="O2115" s="284" t="e">
        <f>++Tabla4[[#This Row],[Utilidad Total]]/Tabla4[[#This Row],[Total]]</f>
        <v>#N/A</v>
      </c>
      <c r="P2115" s="282">
        <f>++Tabla4[[#This Row],[Precio Descontado]]*Tabla4[[#This Row],[Cantidad]]</f>
        <v>1936.7704229999997</v>
      </c>
      <c r="Q2115" s="282" t="e">
        <f>(INDEX(Tabla6[#All],MATCH(Tabla4[[#This Row],[Producto]],Tabla6[[#All],[PRODUCTO]],0),MATCH(Tabla4[[#This Row],[Mes]],Tabla6[#Headers],0)))</f>
        <v>#N/A</v>
      </c>
      <c r="R2115" s="282" t="e">
        <f>++Tabla4[[#This Row],[Precio Unitario Neto]]-Tabla4[[#This Row],[20.85%]]-Tabla4[[#This Row],[Costo]]</f>
        <v>#N/A</v>
      </c>
      <c r="S2115" s="282" t="e">
        <f>++Tabla4[[#This Row],[U. Bruta Uni]]*Tabla4[[#This Row],[Cantidad]]</f>
        <v>#N/A</v>
      </c>
      <c r="T2115" s="369" t="str">
        <f>VLOOKUP(Tabla4[[#This Row],[Producto]],Tabla6[#All],14,FALSE)</f>
        <v>Termico Solar</v>
      </c>
      <c r="U2115" s="284" t="e">
        <f>(IF(Tabla4[[#This Row],[Familia]]="termico solar",Tabla4[[#This Row],[Utilidad Total]]*6%,Tabla4[[#This Row],[Utilidad Total]]*11.5%))/Tabla4[[#This Row],[Total]]</f>
        <v>#N/A</v>
      </c>
      <c r="V2115" s="282" t="e">
        <f>+Tabla4[[#This Row],[Comisión Calculada]]*Tabla4[[#This Row],[Total]]</f>
        <v>#N/A</v>
      </c>
    </row>
    <row r="2116" spans="1:22" hidden="1" x14ac:dyDescent="0.25">
      <c r="A2116" s="100">
        <v>45762</v>
      </c>
      <c r="B2116" t="str">
        <f t="shared" si="107"/>
        <v>April</v>
      </c>
      <c r="C2116" s="46" t="s">
        <v>280</v>
      </c>
      <c r="F2116" s="366" t="s">
        <v>1513</v>
      </c>
      <c r="G2116" s="46" t="s">
        <v>208</v>
      </c>
      <c r="H2116" s="46">
        <v>1</v>
      </c>
      <c r="I2116" s="51">
        <v>189.75</v>
      </c>
      <c r="J2116" s="281">
        <f>++Tabla4[[#This Row],[Precio Bruto]]*1.16</f>
        <v>220.10999999999999</v>
      </c>
      <c r="K2116" s="281">
        <f>+Tabla4[[#This Row],[Precio Unitario Neto]]*Tabla4[[#Headers],[20.85%]]</f>
        <v>45.892934999999994</v>
      </c>
      <c r="L2116" s="282">
        <f>++Tabla4[[#This Row],[Precio Unitario Neto]]-Tabla4[[#This Row],[20.85%]]</f>
        <v>174.21706499999999</v>
      </c>
      <c r="M2116" s="282" t="e">
        <f>(INDEX(Tabla6[#All],MATCH(Tabla4[[#This Row],[Producto]],Tabla6[[#All],[PRODUCTO]],0),MATCH(Tabla4[[#This Row],[Mes]],Tabla6[#Headers],0)))*(1+Catalogos!$L$2)</f>
        <v>#N/A</v>
      </c>
      <c r="N2116" s="283" t="e">
        <f>+(Tabla4[[#This Row],[Precio Descontado]]-Tabla4[[#This Row],[Precio Base]])*Tabla4[[#This Row],[Cantidad]]</f>
        <v>#N/A</v>
      </c>
      <c r="O2116" s="284" t="e">
        <f>++Tabla4[[#This Row],[Utilidad Total]]/Tabla4[[#This Row],[Total]]</f>
        <v>#N/A</v>
      </c>
      <c r="P2116" s="282">
        <f>++Tabla4[[#This Row],[Precio Descontado]]*Tabla4[[#This Row],[Cantidad]]</f>
        <v>174.21706499999999</v>
      </c>
      <c r="Q2116" s="282" t="e">
        <f>(INDEX(Tabla6[#All],MATCH(Tabla4[[#This Row],[Producto]],Tabla6[[#All],[PRODUCTO]],0),MATCH(Tabla4[[#This Row],[Mes]],Tabla6[#Headers],0)))</f>
        <v>#N/A</v>
      </c>
      <c r="R2116" s="282" t="e">
        <f>++Tabla4[[#This Row],[Precio Unitario Neto]]-Tabla4[[#This Row],[20.85%]]-Tabla4[[#This Row],[Costo]]</f>
        <v>#N/A</v>
      </c>
      <c r="S2116" s="282" t="e">
        <f>++Tabla4[[#This Row],[U. Bruta Uni]]*Tabla4[[#This Row],[Cantidad]]</f>
        <v>#N/A</v>
      </c>
      <c r="T2116" s="369" t="str">
        <f>VLOOKUP(Tabla4[[#This Row],[Producto]],Tabla6[#All],14,FALSE)</f>
        <v>Termico Solar</v>
      </c>
      <c r="U2116" s="284" t="e">
        <f>(IF(Tabla4[[#This Row],[Familia]]="termico solar",Tabla4[[#This Row],[Utilidad Total]]*6%,Tabla4[[#This Row],[Utilidad Total]]*11.5%))/Tabla4[[#This Row],[Total]]</f>
        <v>#N/A</v>
      </c>
      <c r="V2116" s="282" t="e">
        <f>+Tabla4[[#This Row],[Comisión Calculada]]*Tabla4[[#This Row],[Total]]</f>
        <v>#N/A</v>
      </c>
    </row>
    <row r="2117" spans="1:22" hidden="1" x14ac:dyDescent="0.25">
      <c r="A2117" s="100">
        <v>45762</v>
      </c>
      <c r="B2117" t="str">
        <f t="shared" si="107"/>
        <v>April</v>
      </c>
      <c r="C2117" s="46" t="s">
        <v>280</v>
      </c>
      <c r="F2117" s="366" t="s">
        <v>1514</v>
      </c>
      <c r="G2117" s="46" t="s">
        <v>83</v>
      </c>
      <c r="H2117" s="46">
        <v>2</v>
      </c>
      <c r="I2117" s="51">
        <v>8858.76</v>
      </c>
      <c r="J2117" s="281">
        <f>++Tabla4[[#This Row],[Precio Bruto]]*1.16</f>
        <v>10276.161599999999</v>
      </c>
      <c r="K2117" s="281">
        <f>+Tabla4[[#This Row],[Precio Unitario Neto]]*Tabla4[[#Headers],[20.85%]]</f>
        <v>2142.5796935999997</v>
      </c>
      <c r="L2117" s="282">
        <f>++Tabla4[[#This Row],[Precio Unitario Neto]]-Tabla4[[#This Row],[20.85%]]</f>
        <v>8133.5819063999998</v>
      </c>
      <c r="M2117" s="282" t="e">
        <f>(INDEX(Tabla6[#All],MATCH(Tabla4[[#This Row],[Producto]],Tabla6[[#All],[PRODUCTO]],0),MATCH(Tabla4[[#This Row],[Mes]],Tabla6[#Headers],0)))*(1+Catalogos!$L$2)</f>
        <v>#N/A</v>
      </c>
      <c r="N2117" s="283" t="e">
        <f>+(Tabla4[[#This Row],[Precio Descontado]]-Tabla4[[#This Row],[Precio Base]])*Tabla4[[#This Row],[Cantidad]]</f>
        <v>#N/A</v>
      </c>
      <c r="O2117" s="284" t="e">
        <f>++Tabla4[[#This Row],[Utilidad Total]]/Tabla4[[#This Row],[Total]]</f>
        <v>#N/A</v>
      </c>
      <c r="P2117" s="282">
        <f>++Tabla4[[#This Row],[Precio Descontado]]*Tabla4[[#This Row],[Cantidad]]</f>
        <v>16267.1638128</v>
      </c>
      <c r="Q2117" s="282" t="e">
        <f>(INDEX(Tabla6[#All],MATCH(Tabla4[[#This Row],[Producto]],Tabla6[[#All],[PRODUCTO]],0),MATCH(Tabla4[[#This Row],[Mes]],Tabla6[#Headers],0)))</f>
        <v>#N/A</v>
      </c>
      <c r="R2117" s="282" t="e">
        <f>++Tabla4[[#This Row],[Precio Unitario Neto]]-Tabla4[[#This Row],[20.85%]]-Tabla4[[#This Row],[Costo]]</f>
        <v>#N/A</v>
      </c>
      <c r="S2117" s="282" t="e">
        <f>++Tabla4[[#This Row],[U. Bruta Uni]]*Tabla4[[#This Row],[Cantidad]]</f>
        <v>#N/A</v>
      </c>
      <c r="T2117" s="369" t="str">
        <f>VLOOKUP(Tabla4[[#This Row],[Producto]],Tabla6[#All],14,FALSE)</f>
        <v>Termico Solar</v>
      </c>
      <c r="U2117" s="284" t="e">
        <f>(IF(Tabla4[[#This Row],[Familia]]="termico solar",Tabla4[[#This Row],[Utilidad Total]]*6%,Tabla4[[#This Row],[Utilidad Total]]*11.5%))/Tabla4[[#This Row],[Total]]</f>
        <v>#N/A</v>
      </c>
      <c r="V2117" s="282" t="e">
        <f>+Tabla4[[#This Row],[Comisión Calculada]]*Tabla4[[#This Row],[Total]]</f>
        <v>#N/A</v>
      </c>
    </row>
    <row r="2118" spans="1:22" hidden="1" x14ac:dyDescent="0.25">
      <c r="A2118" s="100">
        <v>45762</v>
      </c>
      <c r="B2118" t="str">
        <f t="shared" si="107"/>
        <v>April</v>
      </c>
      <c r="C2118" s="46" t="s">
        <v>280</v>
      </c>
      <c r="F2118" s="366" t="s">
        <v>1514</v>
      </c>
      <c r="G2118" s="46" t="s">
        <v>16</v>
      </c>
      <c r="H2118" s="46">
        <v>2</v>
      </c>
      <c r="I2118" s="51">
        <v>4103.8500000000004</v>
      </c>
      <c r="J2118" s="281">
        <f>++Tabla4[[#This Row],[Precio Bruto]]*1.16</f>
        <v>4760.4660000000003</v>
      </c>
      <c r="K2118" s="281">
        <f>+Tabla4[[#This Row],[Precio Unitario Neto]]*Tabla4[[#Headers],[20.85%]]</f>
        <v>992.55716100000006</v>
      </c>
      <c r="L2118" s="282">
        <f>++Tabla4[[#This Row],[Precio Unitario Neto]]-Tabla4[[#This Row],[20.85%]]</f>
        <v>3767.9088390000002</v>
      </c>
      <c r="M2118" s="282" t="e">
        <f>(INDEX(Tabla6[#All],MATCH(Tabla4[[#This Row],[Producto]],Tabla6[[#All],[PRODUCTO]],0),MATCH(Tabla4[[#This Row],[Mes]],Tabla6[#Headers],0)))*(1+Catalogos!$L$2)</f>
        <v>#N/A</v>
      </c>
      <c r="N2118" s="283" t="e">
        <f>+(Tabla4[[#This Row],[Precio Descontado]]-Tabla4[[#This Row],[Precio Base]])*Tabla4[[#This Row],[Cantidad]]</f>
        <v>#N/A</v>
      </c>
      <c r="O2118" s="284" t="e">
        <f>++Tabla4[[#This Row],[Utilidad Total]]/Tabla4[[#This Row],[Total]]</f>
        <v>#N/A</v>
      </c>
      <c r="P2118" s="282">
        <f>++Tabla4[[#This Row],[Precio Descontado]]*Tabla4[[#This Row],[Cantidad]]</f>
        <v>7535.8176780000003</v>
      </c>
      <c r="Q2118" s="282" t="e">
        <f>(INDEX(Tabla6[#All],MATCH(Tabla4[[#This Row],[Producto]],Tabla6[[#All],[PRODUCTO]],0),MATCH(Tabla4[[#This Row],[Mes]],Tabla6[#Headers],0)))</f>
        <v>#N/A</v>
      </c>
      <c r="R2118" s="282" t="e">
        <f>++Tabla4[[#This Row],[Precio Unitario Neto]]-Tabla4[[#This Row],[20.85%]]-Tabla4[[#This Row],[Costo]]</f>
        <v>#N/A</v>
      </c>
      <c r="S2118" s="282" t="e">
        <f>++Tabla4[[#This Row],[U. Bruta Uni]]*Tabla4[[#This Row],[Cantidad]]</f>
        <v>#N/A</v>
      </c>
      <c r="T2118" s="369" t="str">
        <f>VLOOKUP(Tabla4[[#This Row],[Producto]],Tabla6[#All],14,FALSE)</f>
        <v>Termico Solar</v>
      </c>
      <c r="U2118" s="284" t="e">
        <f>(IF(Tabla4[[#This Row],[Familia]]="termico solar",Tabla4[[#This Row],[Utilidad Total]]*6%,Tabla4[[#This Row],[Utilidad Total]]*11.5%))/Tabla4[[#This Row],[Total]]</f>
        <v>#N/A</v>
      </c>
      <c r="V2118" s="282" t="e">
        <f>+Tabla4[[#This Row],[Comisión Calculada]]*Tabla4[[#This Row],[Total]]</f>
        <v>#N/A</v>
      </c>
    </row>
    <row r="2119" spans="1:22" hidden="1" x14ac:dyDescent="0.25">
      <c r="A2119" s="100">
        <v>45762</v>
      </c>
      <c r="B2119" t="str">
        <f t="shared" ref="B2119:B2124" si="108">TEXT(A2119, "mmmm")</f>
        <v>April</v>
      </c>
      <c r="C2119" s="46" t="s">
        <v>280</v>
      </c>
      <c r="F2119" s="366" t="s">
        <v>1515</v>
      </c>
      <c r="G2119" s="46" t="s">
        <v>17</v>
      </c>
      <c r="H2119" s="46">
        <v>1</v>
      </c>
      <c r="I2119" s="51">
        <v>4622.28</v>
      </c>
      <c r="J2119" s="281">
        <f>++Tabla4[[#This Row],[Precio Bruto]]*1.16</f>
        <v>5361.8447999999989</v>
      </c>
      <c r="K2119" s="281">
        <f>+Tabla4[[#This Row],[Precio Unitario Neto]]*Tabla4[[#Headers],[20.85%]]</f>
        <v>1117.9446407999997</v>
      </c>
      <c r="L2119" s="282">
        <f>++Tabla4[[#This Row],[Precio Unitario Neto]]-Tabla4[[#This Row],[20.85%]]</f>
        <v>4243.9001591999995</v>
      </c>
      <c r="M2119" s="282" t="e">
        <f>(INDEX(Tabla6[#All],MATCH(Tabla4[[#This Row],[Producto]],Tabla6[[#All],[PRODUCTO]],0),MATCH(Tabla4[[#This Row],[Mes]],Tabla6[#Headers],0)))*(1+Catalogos!$L$2)</f>
        <v>#N/A</v>
      </c>
      <c r="N2119" s="283" t="e">
        <f>+(Tabla4[[#This Row],[Precio Descontado]]-Tabla4[[#This Row],[Precio Base]])*Tabla4[[#This Row],[Cantidad]]</f>
        <v>#N/A</v>
      </c>
      <c r="O2119" s="284" t="e">
        <f>++Tabla4[[#This Row],[Utilidad Total]]/Tabla4[[#This Row],[Total]]</f>
        <v>#N/A</v>
      </c>
      <c r="P2119" s="282">
        <f>++Tabla4[[#This Row],[Precio Descontado]]*Tabla4[[#This Row],[Cantidad]]</f>
        <v>4243.9001591999995</v>
      </c>
      <c r="Q2119" s="282" t="e">
        <f>(INDEX(Tabla6[#All],MATCH(Tabla4[[#This Row],[Producto]],Tabla6[[#All],[PRODUCTO]],0),MATCH(Tabla4[[#This Row],[Mes]],Tabla6[#Headers],0)))</f>
        <v>#N/A</v>
      </c>
      <c r="R2119" s="282" t="e">
        <f>++Tabla4[[#This Row],[Precio Unitario Neto]]-Tabla4[[#This Row],[20.85%]]-Tabla4[[#This Row],[Costo]]</f>
        <v>#N/A</v>
      </c>
      <c r="S2119" s="282" t="e">
        <f>++Tabla4[[#This Row],[U. Bruta Uni]]*Tabla4[[#This Row],[Cantidad]]</f>
        <v>#N/A</v>
      </c>
      <c r="T2119" s="369" t="str">
        <f>VLOOKUP(Tabla4[[#This Row],[Producto]],Tabla6[#All],14,FALSE)</f>
        <v>Termico Solar</v>
      </c>
      <c r="U2119" s="284" t="e">
        <f>(IF(Tabla4[[#This Row],[Familia]]="termico solar",Tabla4[[#This Row],[Utilidad Total]]*6%,Tabla4[[#This Row],[Utilidad Total]]*11.5%))/Tabla4[[#This Row],[Total]]</f>
        <v>#N/A</v>
      </c>
      <c r="V2119" s="282" t="e">
        <f>+Tabla4[[#This Row],[Comisión Calculada]]*Tabla4[[#This Row],[Total]]</f>
        <v>#N/A</v>
      </c>
    </row>
    <row r="2120" spans="1:22" hidden="1" x14ac:dyDescent="0.25">
      <c r="A2120" s="100">
        <v>45762</v>
      </c>
      <c r="B2120" t="str">
        <f t="shared" si="108"/>
        <v>April</v>
      </c>
      <c r="C2120" s="46" t="s">
        <v>280</v>
      </c>
      <c r="F2120" s="366" t="s">
        <v>1515</v>
      </c>
      <c r="G2120" s="46" t="s">
        <v>18</v>
      </c>
      <c r="H2120" s="46">
        <v>1</v>
      </c>
      <c r="I2120" s="51">
        <v>5367.65</v>
      </c>
      <c r="J2120" s="281">
        <f>++Tabla4[[#This Row],[Precio Bruto]]*1.16</f>
        <v>6226.4739999999993</v>
      </c>
      <c r="K2120" s="281">
        <f>+Tabla4[[#This Row],[Precio Unitario Neto]]*Tabla4[[#Headers],[20.85%]]</f>
        <v>1298.2198289999999</v>
      </c>
      <c r="L2120" s="282">
        <f>++Tabla4[[#This Row],[Precio Unitario Neto]]-Tabla4[[#This Row],[20.85%]]</f>
        <v>4928.2541709999996</v>
      </c>
      <c r="M2120" s="282" t="e">
        <f>(INDEX(Tabla6[#All],MATCH(Tabla4[[#This Row],[Producto]],Tabla6[[#All],[PRODUCTO]],0),MATCH(Tabla4[[#This Row],[Mes]],Tabla6[#Headers],0)))*(1+Catalogos!$L$2)</f>
        <v>#N/A</v>
      </c>
      <c r="N2120" s="283" t="e">
        <f>+(Tabla4[[#This Row],[Precio Descontado]]-Tabla4[[#This Row],[Precio Base]])*Tabla4[[#This Row],[Cantidad]]</f>
        <v>#N/A</v>
      </c>
      <c r="O2120" s="284" t="e">
        <f>++Tabla4[[#This Row],[Utilidad Total]]/Tabla4[[#This Row],[Total]]</f>
        <v>#N/A</v>
      </c>
      <c r="P2120" s="282">
        <f>++Tabla4[[#This Row],[Precio Descontado]]*Tabla4[[#This Row],[Cantidad]]</f>
        <v>4928.2541709999996</v>
      </c>
      <c r="Q2120" s="282" t="e">
        <f>(INDEX(Tabla6[#All],MATCH(Tabla4[[#This Row],[Producto]],Tabla6[[#All],[PRODUCTO]],0),MATCH(Tabla4[[#This Row],[Mes]],Tabla6[#Headers],0)))</f>
        <v>#N/A</v>
      </c>
      <c r="R2120" s="282" t="e">
        <f>++Tabla4[[#This Row],[Precio Unitario Neto]]-Tabla4[[#This Row],[20.85%]]-Tabla4[[#This Row],[Costo]]</f>
        <v>#N/A</v>
      </c>
      <c r="S2120" s="282" t="e">
        <f>++Tabla4[[#This Row],[U. Bruta Uni]]*Tabla4[[#This Row],[Cantidad]]</f>
        <v>#N/A</v>
      </c>
      <c r="T2120" s="369" t="str">
        <f>VLOOKUP(Tabla4[[#This Row],[Producto]],Tabla6[#All],14,FALSE)</f>
        <v>Termico Solar</v>
      </c>
      <c r="U2120" s="284" t="e">
        <f>(IF(Tabla4[[#This Row],[Familia]]="termico solar",Tabla4[[#This Row],[Utilidad Total]]*6%,Tabla4[[#This Row],[Utilidad Total]]*11.5%))/Tabla4[[#This Row],[Total]]</f>
        <v>#N/A</v>
      </c>
      <c r="V2120" s="282" t="e">
        <f>+Tabla4[[#This Row],[Comisión Calculada]]*Tabla4[[#This Row],[Total]]</f>
        <v>#N/A</v>
      </c>
    </row>
    <row r="2121" spans="1:22" hidden="1" x14ac:dyDescent="0.25">
      <c r="A2121" s="100">
        <v>45762</v>
      </c>
      <c r="B2121" t="str">
        <f t="shared" si="108"/>
        <v>April</v>
      </c>
      <c r="C2121" s="46" t="s">
        <v>280</v>
      </c>
      <c r="F2121" s="366" t="s">
        <v>1515</v>
      </c>
      <c r="G2121" s="46" t="s">
        <v>566</v>
      </c>
      <c r="H2121" s="46">
        <v>1</v>
      </c>
      <c r="I2121" s="51">
        <v>2109.4499999999998</v>
      </c>
      <c r="J2121" s="281">
        <f>++Tabla4[[#This Row],[Precio Bruto]]*1.16</f>
        <v>2446.9619999999995</v>
      </c>
      <c r="K2121" s="281">
        <f>+Tabla4[[#This Row],[Precio Unitario Neto]]*Tabla4[[#Headers],[20.85%]]</f>
        <v>510.19157699999988</v>
      </c>
      <c r="L2121" s="282">
        <f>++Tabla4[[#This Row],[Precio Unitario Neto]]-Tabla4[[#This Row],[20.85%]]</f>
        <v>1936.7704229999997</v>
      </c>
      <c r="M2121" s="282" t="e">
        <f>(INDEX(Tabla6[#All],MATCH(Tabla4[[#This Row],[Producto]],Tabla6[[#All],[PRODUCTO]],0),MATCH(Tabla4[[#This Row],[Mes]],Tabla6[#Headers],0)))*(1+Catalogos!$L$2)</f>
        <v>#N/A</v>
      </c>
      <c r="N2121" s="283" t="e">
        <f>+(Tabla4[[#This Row],[Precio Descontado]]-Tabla4[[#This Row],[Precio Base]])*Tabla4[[#This Row],[Cantidad]]</f>
        <v>#N/A</v>
      </c>
      <c r="O2121" s="284" t="e">
        <f>++Tabla4[[#This Row],[Utilidad Total]]/Tabla4[[#This Row],[Total]]</f>
        <v>#N/A</v>
      </c>
      <c r="P2121" s="282">
        <f>++Tabla4[[#This Row],[Precio Descontado]]*Tabla4[[#This Row],[Cantidad]]</f>
        <v>1936.7704229999997</v>
      </c>
      <c r="Q2121" s="282" t="e">
        <f>(INDEX(Tabla6[#All],MATCH(Tabla4[[#This Row],[Producto]],Tabla6[[#All],[PRODUCTO]],0),MATCH(Tabla4[[#This Row],[Mes]],Tabla6[#Headers],0)))</f>
        <v>#N/A</v>
      </c>
      <c r="R2121" s="282" t="e">
        <f>++Tabla4[[#This Row],[Precio Unitario Neto]]-Tabla4[[#This Row],[20.85%]]-Tabla4[[#This Row],[Costo]]</f>
        <v>#N/A</v>
      </c>
      <c r="S2121" s="282" t="e">
        <f>++Tabla4[[#This Row],[U. Bruta Uni]]*Tabla4[[#This Row],[Cantidad]]</f>
        <v>#N/A</v>
      </c>
      <c r="T2121" s="369" t="str">
        <f>VLOOKUP(Tabla4[[#This Row],[Producto]],Tabla6[#All],14,FALSE)</f>
        <v>Termico Solar</v>
      </c>
      <c r="U2121" s="284" t="e">
        <f>(IF(Tabla4[[#This Row],[Familia]]="termico solar",Tabla4[[#This Row],[Utilidad Total]]*6%,Tabla4[[#This Row],[Utilidad Total]]*11.5%))/Tabla4[[#This Row],[Total]]</f>
        <v>#N/A</v>
      </c>
      <c r="V2121" s="282" t="e">
        <f>+Tabla4[[#This Row],[Comisión Calculada]]*Tabla4[[#This Row],[Total]]</f>
        <v>#N/A</v>
      </c>
    </row>
    <row r="2122" spans="1:22" hidden="1" x14ac:dyDescent="0.25">
      <c r="A2122" s="100">
        <v>45762</v>
      </c>
      <c r="B2122" t="str">
        <f t="shared" si="108"/>
        <v>April</v>
      </c>
      <c r="C2122" s="46" t="s">
        <v>280</v>
      </c>
      <c r="F2122" s="366" t="s">
        <v>1515</v>
      </c>
      <c r="G2122" s="46" t="s">
        <v>412</v>
      </c>
      <c r="H2122" s="46">
        <v>1</v>
      </c>
      <c r="I2122" s="51">
        <v>3240.84</v>
      </c>
      <c r="J2122" s="281">
        <f>++Tabla4[[#This Row],[Precio Bruto]]*1.16</f>
        <v>3759.3743999999997</v>
      </c>
      <c r="K2122" s="281">
        <f>+Tabla4[[#This Row],[Precio Unitario Neto]]*Tabla4[[#Headers],[20.85%]]</f>
        <v>783.82956239999987</v>
      </c>
      <c r="L2122" s="282">
        <f>++Tabla4[[#This Row],[Precio Unitario Neto]]-Tabla4[[#This Row],[20.85%]]</f>
        <v>2975.5448375999999</v>
      </c>
      <c r="M2122" s="282" t="e">
        <f>(INDEX(Tabla6[#All],MATCH(Tabla4[[#This Row],[Producto]],Tabla6[[#All],[PRODUCTO]],0),MATCH(Tabla4[[#This Row],[Mes]],Tabla6[#Headers],0)))*(1+Catalogos!$L$2)</f>
        <v>#N/A</v>
      </c>
      <c r="N2122" s="283" t="e">
        <f>+(Tabla4[[#This Row],[Precio Descontado]]-Tabla4[[#This Row],[Precio Base]])*Tabla4[[#This Row],[Cantidad]]</f>
        <v>#N/A</v>
      </c>
      <c r="O2122" s="284" t="e">
        <f>++Tabla4[[#This Row],[Utilidad Total]]/Tabla4[[#This Row],[Total]]</f>
        <v>#N/A</v>
      </c>
      <c r="P2122" s="282">
        <f>++Tabla4[[#This Row],[Precio Descontado]]*Tabla4[[#This Row],[Cantidad]]</f>
        <v>2975.5448375999999</v>
      </c>
      <c r="Q2122" s="282" t="e">
        <f>(INDEX(Tabla6[#All],MATCH(Tabla4[[#This Row],[Producto]],Tabla6[[#All],[PRODUCTO]],0),MATCH(Tabla4[[#This Row],[Mes]],Tabla6[#Headers],0)))</f>
        <v>#N/A</v>
      </c>
      <c r="R2122" s="282" t="e">
        <f>++Tabla4[[#This Row],[Precio Unitario Neto]]-Tabla4[[#This Row],[20.85%]]-Tabla4[[#This Row],[Costo]]</f>
        <v>#N/A</v>
      </c>
      <c r="S2122" s="282" t="e">
        <f>++Tabla4[[#This Row],[U. Bruta Uni]]*Tabla4[[#This Row],[Cantidad]]</f>
        <v>#N/A</v>
      </c>
      <c r="T2122" s="369" t="str">
        <f>VLOOKUP(Tabla4[[#This Row],[Producto]],Tabla6[#All],14,FALSE)</f>
        <v>Termico Solar</v>
      </c>
      <c r="U2122" s="284" t="e">
        <f>(IF(Tabla4[[#This Row],[Familia]]="termico solar",Tabla4[[#This Row],[Utilidad Total]]*6%,Tabla4[[#This Row],[Utilidad Total]]*11.5%))/Tabla4[[#This Row],[Total]]</f>
        <v>#N/A</v>
      </c>
      <c r="V2122" s="282" t="e">
        <f>+Tabla4[[#This Row],[Comisión Calculada]]*Tabla4[[#This Row],[Total]]</f>
        <v>#N/A</v>
      </c>
    </row>
    <row r="2123" spans="1:22" hidden="1" x14ac:dyDescent="0.25">
      <c r="A2123" s="100">
        <v>45762</v>
      </c>
      <c r="B2123" t="str">
        <f t="shared" si="108"/>
        <v>April</v>
      </c>
      <c r="C2123" s="46" t="s">
        <v>280</v>
      </c>
      <c r="F2123" s="366" t="s">
        <v>1515</v>
      </c>
      <c r="G2123" s="46" t="s">
        <v>394</v>
      </c>
      <c r="H2123" s="46">
        <v>9</v>
      </c>
      <c r="I2123" s="51">
        <v>108.1</v>
      </c>
      <c r="J2123" s="281">
        <f>++Tabla4[[#This Row],[Precio Bruto]]*1.16</f>
        <v>125.39599999999999</v>
      </c>
      <c r="K2123" s="281">
        <f>+Tabla4[[#This Row],[Precio Unitario Neto]]*Tabla4[[#Headers],[20.85%]]</f>
        <v>26.145065999999996</v>
      </c>
      <c r="L2123" s="282">
        <f>++Tabla4[[#This Row],[Precio Unitario Neto]]-Tabla4[[#This Row],[20.85%]]</f>
        <v>99.250933999999987</v>
      </c>
      <c r="M2123" s="282" t="e">
        <f>(INDEX(Tabla6[#All],MATCH(Tabla4[[#This Row],[Producto]],Tabla6[[#All],[PRODUCTO]],0),MATCH(Tabla4[[#This Row],[Mes]],Tabla6[#Headers],0)))*(1+Catalogos!$L$2)</f>
        <v>#N/A</v>
      </c>
      <c r="N2123" s="283" t="e">
        <f>+(Tabla4[[#This Row],[Precio Descontado]]-Tabla4[[#This Row],[Precio Base]])*Tabla4[[#This Row],[Cantidad]]</f>
        <v>#N/A</v>
      </c>
      <c r="O2123" s="284" t="e">
        <f>++Tabla4[[#This Row],[Utilidad Total]]/Tabla4[[#This Row],[Total]]</f>
        <v>#N/A</v>
      </c>
      <c r="P2123" s="282">
        <f>++Tabla4[[#This Row],[Precio Descontado]]*Tabla4[[#This Row],[Cantidad]]</f>
        <v>893.25840599999992</v>
      </c>
      <c r="Q2123" s="282" t="e">
        <f>(INDEX(Tabla6[#All],MATCH(Tabla4[[#This Row],[Producto]],Tabla6[[#All],[PRODUCTO]],0),MATCH(Tabla4[[#This Row],[Mes]],Tabla6[#Headers],0)))</f>
        <v>#N/A</v>
      </c>
      <c r="R2123" s="282" t="e">
        <f>++Tabla4[[#This Row],[Precio Unitario Neto]]-Tabla4[[#This Row],[20.85%]]-Tabla4[[#This Row],[Costo]]</f>
        <v>#N/A</v>
      </c>
      <c r="S2123" s="282" t="e">
        <f>++Tabla4[[#This Row],[U. Bruta Uni]]*Tabla4[[#This Row],[Cantidad]]</f>
        <v>#N/A</v>
      </c>
      <c r="T2123" s="369" t="str">
        <f>VLOOKUP(Tabla4[[#This Row],[Producto]],Tabla6[#All],14,FALSE)</f>
        <v>Termico Solar</v>
      </c>
      <c r="U2123" s="284" t="e">
        <f>(IF(Tabla4[[#This Row],[Familia]]="termico solar",Tabla4[[#This Row],[Utilidad Total]]*6%,Tabla4[[#This Row],[Utilidad Total]]*11.5%))/Tabla4[[#This Row],[Total]]</f>
        <v>#N/A</v>
      </c>
      <c r="V2123" s="282" t="e">
        <f>+Tabla4[[#This Row],[Comisión Calculada]]*Tabla4[[#This Row],[Total]]</f>
        <v>#N/A</v>
      </c>
    </row>
    <row r="2124" spans="1:22" hidden="1" x14ac:dyDescent="0.25">
      <c r="A2124" s="100">
        <v>45762</v>
      </c>
      <c r="B2124" t="str">
        <f t="shared" si="108"/>
        <v>April</v>
      </c>
      <c r="C2124" s="46" t="s">
        <v>280</v>
      </c>
      <c r="F2124" s="366" t="s">
        <v>1515</v>
      </c>
      <c r="G2124" s="46" t="s">
        <v>16</v>
      </c>
      <c r="H2124" s="46">
        <v>1</v>
      </c>
      <c r="I2124" s="51">
        <v>4103.8500000000004</v>
      </c>
      <c r="J2124" s="281">
        <f>++Tabla4[[#This Row],[Precio Bruto]]*1.16</f>
        <v>4760.4660000000003</v>
      </c>
      <c r="K2124" s="281">
        <f>+Tabla4[[#This Row],[Precio Unitario Neto]]*Tabla4[[#Headers],[20.85%]]</f>
        <v>992.55716100000006</v>
      </c>
      <c r="L2124" s="282">
        <f>++Tabla4[[#This Row],[Precio Unitario Neto]]-Tabla4[[#This Row],[20.85%]]</f>
        <v>3767.9088390000002</v>
      </c>
      <c r="M2124" s="282" t="e">
        <f>(INDEX(Tabla6[#All],MATCH(Tabla4[[#This Row],[Producto]],Tabla6[[#All],[PRODUCTO]],0),MATCH(Tabla4[[#This Row],[Mes]],Tabla6[#Headers],0)))*(1+Catalogos!$L$2)</f>
        <v>#N/A</v>
      </c>
      <c r="N2124" s="283" t="e">
        <f>+(Tabla4[[#This Row],[Precio Descontado]]-Tabla4[[#This Row],[Precio Base]])*Tabla4[[#This Row],[Cantidad]]</f>
        <v>#N/A</v>
      </c>
      <c r="O2124" s="284" t="e">
        <f>++Tabla4[[#This Row],[Utilidad Total]]/Tabla4[[#This Row],[Total]]</f>
        <v>#N/A</v>
      </c>
      <c r="P2124" s="282">
        <f>++Tabla4[[#This Row],[Precio Descontado]]*Tabla4[[#This Row],[Cantidad]]</f>
        <v>3767.9088390000002</v>
      </c>
      <c r="Q2124" s="282" t="e">
        <f>(INDEX(Tabla6[#All],MATCH(Tabla4[[#This Row],[Producto]],Tabla6[[#All],[PRODUCTO]],0),MATCH(Tabla4[[#This Row],[Mes]],Tabla6[#Headers],0)))</f>
        <v>#N/A</v>
      </c>
      <c r="R2124" s="282" t="e">
        <f>++Tabla4[[#This Row],[Precio Unitario Neto]]-Tabla4[[#This Row],[20.85%]]-Tabla4[[#This Row],[Costo]]</f>
        <v>#N/A</v>
      </c>
      <c r="S2124" s="282" t="e">
        <f>++Tabla4[[#This Row],[U. Bruta Uni]]*Tabla4[[#This Row],[Cantidad]]</f>
        <v>#N/A</v>
      </c>
      <c r="T2124" s="369" t="str">
        <f>VLOOKUP(Tabla4[[#This Row],[Producto]],Tabla6[#All],14,FALSE)</f>
        <v>Termico Solar</v>
      </c>
      <c r="U2124" s="284" t="e">
        <f>(IF(Tabla4[[#This Row],[Familia]]="termico solar",Tabla4[[#This Row],[Utilidad Total]]*6%,Tabla4[[#This Row],[Utilidad Total]]*11.5%))/Tabla4[[#This Row],[Total]]</f>
        <v>#N/A</v>
      </c>
      <c r="V2124" s="282" t="e">
        <f>+Tabla4[[#This Row],[Comisión Calculada]]*Tabla4[[#This Row],[Total]]</f>
        <v>#N/A</v>
      </c>
    </row>
    <row r="2125" spans="1:22" hidden="1" x14ac:dyDescent="0.25">
      <c r="A2125" s="100">
        <v>45762</v>
      </c>
      <c r="B2125" t="str">
        <f t="shared" ref="B2125:B2167" si="109">TEXT(A2125, "mmmm")</f>
        <v>April</v>
      </c>
      <c r="C2125" s="46" t="s">
        <v>280</v>
      </c>
      <c r="F2125" s="366" t="s">
        <v>1516</v>
      </c>
      <c r="G2125" s="46" t="s">
        <v>18</v>
      </c>
      <c r="H2125" s="46">
        <v>1</v>
      </c>
      <c r="I2125" s="51">
        <v>5367.65</v>
      </c>
      <c r="J2125" s="281">
        <f>++Tabla4[[#This Row],[Precio Bruto]]*1.16</f>
        <v>6226.4739999999993</v>
      </c>
      <c r="K2125" s="281">
        <f>+Tabla4[[#This Row],[Precio Unitario Neto]]*Tabla4[[#Headers],[20.85%]]</f>
        <v>1298.2198289999999</v>
      </c>
      <c r="L2125" s="282">
        <f>++Tabla4[[#This Row],[Precio Unitario Neto]]-Tabla4[[#This Row],[20.85%]]</f>
        <v>4928.2541709999996</v>
      </c>
      <c r="M2125" s="282" t="e">
        <f>(INDEX(Tabla6[#All],MATCH(Tabla4[[#This Row],[Producto]],Tabla6[[#All],[PRODUCTO]],0),MATCH(Tabla4[[#This Row],[Mes]],Tabla6[#Headers],0)))*(1+Catalogos!$L$2)</f>
        <v>#N/A</v>
      </c>
      <c r="N2125" s="283" t="e">
        <f>+(Tabla4[[#This Row],[Precio Descontado]]-Tabla4[[#This Row],[Precio Base]])*Tabla4[[#This Row],[Cantidad]]</f>
        <v>#N/A</v>
      </c>
      <c r="O2125" s="284" t="e">
        <f>++Tabla4[[#This Row],[Utilidad Total]]/Tabla4[[#This Row],[Total]]</f>
        <v>#N/A</v>
      </c>
      <c r="P2125" s="282">
        <f>++Tabla4[[#This Row],[Precio Descontado]]*Tabla4[[#This Row],[Cantidad]]</f>
        <v>4928.2541709999996</v>
      </c>
      <c r="Q2125" s="282" t="e">
        <f>(INDEX(Tabla6[#All],MATCH(Tabla4[[#This Row],[Producto]],Tabla6[[#All],[PRODUCTO]],0),MATCH(Tabla4[[#This Row],[Mes]],Tabla6[#Headers],0)))</f>
        <v>#N/A</v>
      </c>
      <c r="R2125" s="282" t="e">
        <f>++Tabla4[[#This Row],[Precio Unitario Neto]]-Tabla4[[#This Row],[20.85%]]-Tabla4[[#This Row],[Costo]]</f>
        <v>#N/A</v>
      </c>
      <c r="S2125" s="282" t="e">
        <f>++Tabla4[[#This Row],[U. Bruta Uni]]*Tabla4[[#This Row],[Cantidad]]</f>
        <v>#N/A</v>
      </c>
      <c r="T2125" s="369" t="str">
        <f>VLOOKUP(Tabla4[[#This Row],[Producto]],Tabla6[#All],14,FALSE)</f>
        <v>Termico Solar</v>
      </c>
      <c r="U2125" s="284" t="e">
        <f>(IF(Tabla4[[#This Row],[Familia]]="termico solar",Tabla4[[#This Row],[Utilidad Total]]*6%,Tabla4[[#This Row],[Utilidad Total]]*11.5%))/Tabla4[[#This Row],[Total]]</f>
        <v>#N/A</v>
      </c>
      <c r="V2125" s="282" t="e">
        <f>+Tabla4[[#This Row],[Comisión Calculada]]*Tabla4[[#This Row],[Total]]</f>
        <v>#N/A</v>
      </c>
    </row>
    <row r="2126" spans="1:22" hidden="1" x14ac:dyDescent="0.25">
      <c r="A2126" s="100">
        <v>45762</v>
      </c>
      <c r="B2126" t="str">
        <f t="shared" si="109"/>
        <v>April</v>
      </c>
      <c r="C2126" s="46" t="s">
        <v>280</v>
      </c>
      <c r="F2126" s="366" t="s">
        <v>1517</v>
      </c>
      <c r="G2126" s="46" t="s">
        <v>17</v>
      </c>
      <c r="H2126" s="46">
        <v>3</v>
      </c>
      <c r="I2126" s="51">
        <v>4622.28</v>
      </c>
      <c r="J2126" s="281">
        <f>++Tabla4[[#This Row],[Precio Bruto]]*1.16</f>
        <v>5361.8447999999989</v>
      </c>
      <c r="K2126" s="281">
        <f>+Tabla4[[#This Row],[Precio Unitario Neto]]*Tabla4[[#Headers],[20.85%]]</f>
        <v>1117.9446407999997</v>
      </c>
      <c r="L2126" s="282">
        <f>++Tabla4[[#This Row],[Precio Unitario Neto]]-Tabla4[[#This Row],[20.85%]]</f>
        <v>4243.9001591999995</v>
      </c>
      <c r="M2126" s="282" t="e">
        <f>(INDEX(Tabla6[#All],MATCH(Tabla4[[#This Row],[Producto]],Tabla6[[#All],[PRODUCTO]],0),MATCH(Tabla4[[#This Row],[Mes]],Tabla6[#Headers],0)))*(1+Catalogos!$L$2)</f>
        <v>#N/A</v>
      </c>
      <c r="N2126" s="283" t="e">
        <f>+(Tabla4[[#This Row],[Precio Descontado]]-Tabla4[[#This Row],[Precio Base]])*Tabla4[[#This Row],[Cantidad]]</f>
        <v>#N/A</v>
      </c>
      <c r="O2126" s="284" t="e">
        <f>++Tabla4[[#This Row],[Utilidad Total]]/Tabla4[[#This Row],[Total]]</f>
        <v>#N/A</v>
      </c>
      <c r="P2126" s="282">
        <f>++Tabla4[[#This Row],[Precio Descontado]]*Tabla4[[#This Row],[Cantidad]]</f>
        <v>12731.700477599999</v>
      </c>
      <c r="Q2126" s="282" t="e">
        <f>(INDEX(Tabla6[#All],MATCH(Tabla4[[#This Row],[Producto]],Tabla6[[#All],[PRODUCTO]],0),MATCH(Tabla4[[#This Row],[Mes]],Tabla6[#Headers],0)))</f>
        <v>#N/A</v>
      </c>
      <c r="R2126" s="282" t="e">
        <f>++Tabla4[[#This Row],[Precio Unitario Neto]]-Tabla4[[#This Row],[20.85%]]-Tabla4[[#This Row],[Costo]]</f>
        <v>#N/A</v>
      </c>
      <c r="S2126" s="282" t="e">
        <f>++Tabla4[[#This Row],[U. Bruta Uni]]*Tabla4[[#This Row],[Cantidad]]</f>
        <v>#N/A</v>
      </c>
      <c r="T2126" s="369" t="str">
        <f>VLOOKUP(Tabla4[[#This Row],[Producto]],Tabla6[#All],14,FALSE)</f>
        <v>Termico Solar</v>
      </c>
      <c r="U2126" s="284" t="e">
        <f>(IF(Tabla4[[#This Row],[Familia]]="termico solar",Tabla4[[#This Row],[Utilidad Total]]*6%,Tabla4[[#This Row],[Utilidad Total]]*11.5%))/Tabla4[[#This Row],[Total]]</f>
        <v>#N/A</v>
      </c>
      <c r="V2126" s="282" t="e">
        <f>+Tabla4[[#This Row],[Comisión Calculada]]*Tabla4[[#This Row],[Total]]</f>
        <v>#N/A</v>
      </c>
    </row>
    <row r="2127" spans="1:22" hidden="1" x14ac:dyDescent="0.25">
      <c r="A2127" s="100">
        <v>45762</v>
      </c>
      <c r="B2127" t="str">
        <f t="shared" si="109"/>
        <v>April</v>
      </c>
      <c r="C2127" s="46" t="s">
        <v>280</v>
      </c>
      <c r="F2127" s="366" t="s">
        <v>1518</v>
      </c>
      <c r="G2127" s="46" t="s">
        <v>83</v>
      </c>
      <c r="H2127" s="46">
        <v>3</v>
      </c>
      <c r="I2127" s="51">
        <v>8858.76</v>
      </c>
      <c r="J2127" s="281">
        <f>++Tabla4[[#This Row],[Precio Bruto]]*1.16</f>
        <v>10276.161599999999</v>
      </c>
      <c r="K2127" s="281">
        <f>+Tabla4[[#This Row],[Precio Unitario Neto]]*Tabla4[[#Headers],[20.85%]]</f>
        <v>2142.5796935999997</v>
      </c>
      <c r="L2127" s="282">
        <f>++Tabla4[[#This Row],[Precio Unitario Neto]]-Tabla4[[#This Row],[20.85%]]</f>
        <v>8133.5819063999998</v>
      </c>
      <c r="M2127" s="282" t="e">
        <f>(INDEX(Tabla6[#All],MATCH(Tabla4[[#This Row],[Producto]],Tabla6[[#All],[PRODUCTO]],0),MATCH(Tabla4[[#This Row],[Mes]],Tabla6[#Headers],0)))*(1+Catalogos!$L$2)</f>
        <v>#N/A</v>
      </c>
      <c r="N2127" s="283" t="e">
        <f>+(Tabla4[[#This Row],[Precio Descontado]]-Tabla4[[#This Row],[Precio Base]])*Tabla4[[#This Row],[Cantidad]]</f>
        <v>#N/A</v>
      </c>
      <c r="O2127" s="284" t="e">
        <f>++Tabla4[[#This Row],[Utilidad Total]]/Tabla4[[#This Row],[Total]]</f>
        <v>#N/A</v>
      </c>
      <c r="P2127" s="282">
        <f>++Tabla4[[#This Row],[Precio Descontado]]*Tabla4[[#This Row],[Cantidad]]</f>
        <v>24400.7457192</v>
      </c>
      <c r="Q2127" s="282" t="e">
        <f>(INDEX(Tabla6[#All],MATCH(Tabla4[[#This Row],[Producto]],Tabla6[[#All],[PRODUCTO]],0),MATCH(Tabla4[[#This Row],[Mes]],Tabla6[#Headers],0)))</f>
        <v>#N/A</v>
      </c>
      <c r="R2127" s="282" t="e">
        <f>++Tabla4[[#This Row],[Precio Unitario Neto]]-Tabla4[[#This Row],[20.85%]]-Tabla4[[#This Row],[Costo]]</f>
        <v>#N/A</v>
      </c>
      <c r="S2127" s="282" t="e">
        <f>++Tabla4[[#This Row],[U. Bruta Uni]]*Tabla4[[#This Row],[Cantidad]]</f>
        <v>#N/A</v>
      </c>
      <c r="T2127" s="369" t="str">
        <f>VLOOKUP(Tabla4[[#This Row],[Producto]],Tabla6[#All],14,FALSE)</f>
        <v>Termico Solar</v>
      </c>
      <c r="U2127" s="284" t="e">
        <f>(IF(Tabla4[[#This Row],[Familia]]="termico solar",Tabla4[[#This Row],[Utilidad Total]]*6%,Tabla4[[#This Row],[Utilidad Total]]*11.5%))/Tabla4[[#This Row],[Total]]</f>
        <v>#N/A</v>
      </c>
      <c r="V2127" s="282" t="e">
        <f>+Tabla4[[#This Row],[Comisión Calculada]]*Tabla4[[#This Row],[Total]]</f>
        <v>#N/A</v>
      </c>
    </row>
    <row r="2128" spans="1:22" hidden="1" x14ac:dyDescent="0.25">
      <c r="A2128" s="100">
        <v>45762</v>
      </c>
      <c r="B2128" t="str">
        <f t="shared" si="109"/>
        <v>April</v>
      </c>
      <c r="C2128" s="46" t="s">
        <v>280</v>
      </c>
      <c r="F2128" s="366" t="s">
        <v>1518</v>
      </c>
      <c r="G2128" s="46" t="s">
        <v>18</v>
      </c>
      <c r="H2128" s="46">
        <v>4</v>
      </c>
      <c r="I2128" s="51">
        <v>5367.65</v>
      </c>
      <c r="J2128" s="281">
        <f>++Tabla4[[#This Row],[Precio Bruto]]*1.16</f>
        <v>6226.4739999999993</v>
      </c>
      <c r="K2128" s="281">
        <f>+Tabla4[[#This Row],[Precio Unitario Neto]]*Tabla4[[#Headers],[20.85%]]</f>
        <v>1298.2198289999999</v>
      </c>
      <c r="L2128" s="282">
        <f>++Tabla4[[#This Row],[Precio Unitario Neto]]-Tabla4[[#This Row],[20.85%]]</f>
        <v>4928.2541709999996</v>
      </c>
      <c r="M2128" s="282" t="e">
        <f>(INDEX(Tabla6[#All],MATCH(Tabla4[[#This Row],[Producto]],Tabla6[[#All],[PRODUCTO]],0),MATCH(Tabla4[[#This Row],[Mes]],Tabla6[#Headers],0)))*(1+Catalogos!$L$2)</f>
        <v>#N/A</v>
      </c>
      <c r="N2128" s="283" t="e">
        <f>+(Tabla4[[#This Row],[Precio Descontado]]-Tabla4[[#This Row],[Precio Base]])*Tabla4[[#This Row],[Cantidad]]</f>
        <v>#N/A</v>
      </c>
      <c r="O2128" s="284" t="e">
        <f>++Tabla4[[#This Row],[Utilidad Total]]/Tabla4[[#This Row],[Total]]</f>
        <v>#N/A</v>
      </c>
      <c r="P2128" s="282">
        <f>++Tabla4[[#This Row],[Precio Descontado]]*Tabla4[[#This Row],[Cantidad]]</f>
        <v>19713.016683999998</v>
      </c>
      <c r="Q2128" s="282" t="e">
        <f>(INDEX(Tabla6[#All],MATCH(Tabla4[[#This Row],[Producto]],Tabla6[[#All],[PRODUCTO]],0),MATCH(Tabla4[[#This Row],[Mes]],Tabla6[#Headers],0)))</f>
        <v>#N/A</v>
      </c>
      <c r="R2128" s="282" t="e">
        <f>++Tabla4[[#This Row],[Precio Unitario Neto]]-Tabla4[[#This Row],[20.85%]]-Tabla4[[#This Row],[Costo]]</f>
        <v>#N/A</v>
      </c>
      <c r="S2128" s="282" t="e">
        <f>++Tabla4[[#This Row],[U. Bruta Uni]]*Tabla4[[#This Row],[Cantidad]]</f>
        <v>#N/A</v>
      </c>
      <c r="T2128" s="369" t="str">
        <f>VLOOKUP(Tabla4[[#This Row],[Producto]],Tabla6[#All],14,FALSE)</f>
        <v>Termico Solar</v>
      </c>
      <c r="U2128" s="284" t="e">
        <f>(IF(Tabla4[[#This Row],[Familia]]="termico solar",Tabla4[[#This Row],[Utilidad Total]]*6%,Tabla4[[#This Row],[Utilidad Total]]*11.5%))/Tabla4[[#This Row],[Total]]</f>
        <v>#N/A</v>
      </c>
      <c r="V2128" s="282" t="e">
        <f>+Tabla4[[#This Row],[Comisión Calculada]]*Tabla4[[#This Row],[Total]]</f>
        <v>#N/A</v>
      </c>
    </row>
    <row r="2129" spans="1:22" hidden="1" x14ac:dyDescent="0.25">
      <c r="A2129" s="100">
        <v>45762</v>
      </c>
      <c r="B2129" t="str">
        <f t="shared" si="109"/>
        <v>April</v>
      </c>
      <c r="C2129" s="46" t="s">
        <v>280</v>
      </c>
      <c r="F2129" s="366" t="s">
        <v>1519</v>
      </c>
      <c r="G2129" s="46" t="s">
        <v>17</v>
      </c>
      <c r="H2129" s="46">
        <v>3</v>
      </c>
      <c r="I2129" s="51">
        <v>4622.28</v>
      </c>
      <c r="J2129" s="281">
        <f>++Tabla4[[#This Row],[Precio Bruto]]*1.16</f>
        <v>5361.8447999999989</v>
      </c>
      <c r="K2129" s="281">
        <f>+Tabla4[[#This Row],[Precio Unitario Neto]]*Tabla4[[#Headers],[20.85%]]</f>
        <v>1117.9446407999997</v>
      </c>
      <c r="L2129" s="282">
        <f>++Tabla4[[#This Row],[Precio Unitario Neto]]-Tabla4[[#This Row],[20.85%]]</f>
        <v>4243.9001591999995</v>
      </c>
      <c r="M2129" s="282" t="e">
        <f>(INDEX(Tabla6[#All],MATCH(Tabla4[[#This Row],[Producto]],Tabla6[[#All],[PRODUCTO]],0),MATCH(Tabla4[[#This Row],[Mes]],Tabla6[#Headers],0)))*(1+Catalogos!$L$2)</f>
        <v>#N/A</v>
      </c>
      <c r="N2129" s="283" t="e">
        <f>+(Tabla4[[#This Row],[Precio Descontado]]-Tabla4[[#This Row],[Precio Base]])*Tabla4[[#This Row],[Cantidad]]</f>
        <v>#N/A</v>
      </c>
      <c r="O2129" s="284" t="e">
        <f>++Tabla4[[#This Row],[Utilidad Total]]/Tabla4[[#This Row],[Total]]</f>
        <v>#N/A</v>
      </c>
      <c r="P2129" s="282">
        <f>++Tabla4[[#This Row],[Precio Descontado]]*Tabla4[[#This Row],[Cantidad]]</f>
        <v>12731.700477599999</v>
      </c>
      <c r="Q2129" s="282" t="e">
        <f>(INDEX(Tabla6[#All],MATCH(Tabla4[[#This Row],[Producto]],Tabla6[[#All],[PRODUCTO]],0),MATCH(Tabla4[[#This Row],[Mes]],Tabla6[#Headers],0)))</f>
        <v>#N/A</v>
      </c>
      <c r="R2129" s="282" t="e">
        <f>++Tabla4[[#This Row],[Precio Unitario Neto]]-Tabla4[[#This Row],[20.85%]]-Tabla4[[#This Row],[Costo]]</f>
        <v>#N/A</v>
      </c>
      <c r="S2129" s="282" t="e">
        <f>++Tabla4[[#This Row],[U. Bruta Uni]]*Tabla4[[#This Row],[Cantidad]]</f>
        <v>#N/A</v>
      </c>
      <c r="T2129" s="369" t="str">
        <f>VLOOKUP(Tabla4[[#This Row],[Producto]],Tabla6[#All],14,FALSE)</f>
        <v>Termico Solar</v>
      </c>
      <c r="U2129" s="284" t="e">
        <f>(IF(Tabla4[[#This Row],[Familia]]="termico solar",Tabla4[[#This Row],[Utilidad Total]]*6%,Tabla4[[#This Row],[Utilidad Total]]*11.5%))/Tabla4[[#This Row],[Total]]</f>
        <v>#N/A</v>
      </c>
      <c r="V2129" s="282" t="e">
        <f>+Tabla4[[#This Row],[Comisión Calculada]]*Tabla4[[#This Row],[Total]]</f>
        <v>#N/A</v>
      </c>
    </row>
    <row r="2130" spans="1:22" hidden="1" x14ac:dyDescent="0.25">
      <c r="A2130" s="100">
        <v>45762</v>
      </c>
      <c r="B2130" t="str">
        <f t="shared" si="109"/>
        <v>April</v>
      </c>
      <c r="C2130" s="46" t="s">
        <v>280</v>
      </c>
      <c r="F2130" s="366" t="s">
        <v>1519</v>
      </c>
      <c r="G2130" s="46" t="s">
        <v>18</v>
      </c>
      <c r="H2130" s="46">
        <v>1</v>
      </c>
      <c r="I2130" s="51">
        <v>5367.65</v>
      </c>
      <c r="J2130" s="281">
        <f>++Tabla4[[#This Row],[Precio Bruto]]*1.16</f>
        <v>6226.4739999999993</v>
      </c>
      <c r="K2130" s="281">
        <f>+Tabla4[[#This Row],[Precio Unitario Neto]]*Tabla4[[#Headers],[20.85%]]</f>
        <v>1298.2198289999999</v>
      </c>
      <c r="L2130" s="282">
        <f>++Tabla4[[#This Row],[Precio Unitario Neto]]-Tabla4[[#This Row],[20.85%]]</f>
        <v>4928.2541709999996</v>
      </c>
      <c r="M2130" s="282" t="e">
        <f>(INDEX(Tabla6[#All],MATCH(Tabla4[[#This Row],[Producto]],Tabla6[[#All],[PRODUCTO]],0),MATCH(Tabla4[[#This Row],[Mes]],Tabla6[#Headers],0)))*(1+Catalogos!$L$2)</f>
        <v>#N/A</v>
      </c>
      <c r="N2130" s="283" t="e">
        <f>+(Tabla4[[#This Row],[Precio Descontado]]-Tabla4[[#This Row],[Precio Base]])*Tabla4[[#This Row],[Cantidad]]</f>
        <v>#N/A</v>
      </c>
      <c r="O2130" s="284" t="e">
        <f>++Tabla4[[#This Row],[Utilidad Total]]/Tabla4[[#This Row],[Total]]</f>
        <v>#N/A</v>
      </c>
      <c r="P2130" s="282">
        <f>++Tabla4[[#This Row],[Precio Descontado]]*Tabla4[[#This Row],[Cantidad]]</f>
        <v>4928.2541709999996</v>
      </c>
      <c r="Q2130" s="282" t="e">
        <f>(INDEX(Tabla6[#All],MATCH(Tabla4[[#This Row],[Producto]],Tabla6[[#All],[PRODUCTO]],0),MATCH(Tabla4[[#This Row],[Mes]],Tabla6[#Headers],0)))</f>
        <v>#N/A</v>
      </c>
      <c r="R2130" s="282" t="e">
        <f>++Tabla4[[#This Row],[Precio Unitario Neto]]-Tabla4[[#This Row],[20.85%]]-Tabla4[[#This Row],[Costo]]</f>
        <v>#N/A</v>
      </c>
      <c r="S2130" s="282" t="e">
        <f>++Tabla4[[#This Row],[U. Bruta Uni]]*Tabla4[[#This Row],[Cantidad]]</f>
        <v>#N/A</v>
      </c>
      <c r="T2130" s="369" t="str">
        <f>VLOOKUP(Tabla4[[#This Row],[Producto]],Tabla6[#All],14,FALSE)</f>
        <v>Termico Solar</v>
      </c>
      <c r="U2130" s="284" t="e">
        <f>(IF(Tabla4[[#This Row],[Familia]]="termico solar",Tabla4[[#This Row],[Utilidad Total]]*6%,Tabla4[[#This Row],[Utilidad Total]]*11.5%))/Tabla4[[#This Row],[Total]]</f>
        <v>#N/A</v>
      </c>
      <c r="V2130" s="282" t="e">
        <f>+Tabla4[[#This Row],[Comisión Calculada]]*Tabla4[[#This Row],[Total]]</f>
        <v>#N/A</v>
      </c>
    </row>
    <row r="2131" spans="1:22" hidden="1" x14ac:dyDescent="0.25">
      <c r="A2131" s="100">
        <v>45762</v>
      </c>
      <c r="B2131" t="str">
        <f t="shared" si="109"/>
        <v>April</v>
      </c>
      <c r="C2131" s="46" t="s">
        <v>280</v>
      </c>
      <c r="F2131" s="366" t="s">
        <v>1520</v>
      </c>
      <c r="G2131" s="46" t="s">
        <v>83</v>
      </c>
      <c r="H2131" s="46">
        <v>1</v>
      </c>
      <c r="I2131" s="51">
        <v>8858.76</v>
      </c>
      <c r="J2131" s="281">
        <f>++Tabla4[[#This Row],[Precio Bruto]]*1.16</f>
        <v>10276.161599999999</v>
      </c>
      <c r="K2131" s="281">
        <f>+Tabla4[[#This Row],[Precio Unitario Neto]]*Tabla4[[#Headers],[20.85%]]</f>
        <v>2142.5796935999997</v>
      </c>
      <c r="L2131" s="282">
        <f>++Tabla4[[#This Row],[Precio Unitario Neto]]-Tabla4[[#This Row],[20.85%]]</f>
        <v>8133.5819063999998</v>
      </c>
      <c r="M2131" s="282" t="e">
        <f>(INDEX(Tabla6[#All],MATCH(Tabla4[[#This Row],[Producto]],Tabla6[[#All],[PRODUCTO]],0),MATCH(Tabla4[[#This Row],[Mes]],Tabla6[#Headers],0)))*(1+Catalogos!$L$2)</f>
        <v>#N/A</v>
      </c>
      <c r="N2131" s="283" t="e">
        <f>+(Tabla4[[#This Row],[Precio Descontado]]-Tabla4[[#This Row],[Precio Base]])*Tabla4[[#This Row],[Cantidad]]</f>
        <v>#N/A</v>
      </c>
      <c r="O2131" s="284" t="e">
        <f>++Tabla4[[#This Row],[Utilidad Total]]/Tabla4[[#This Row],[Total]]</f>
        <v>#N/A</v>
      </c>
      <c r="P2131" s="282">
        <f>++Tabla4[[#This Row],[Precio Descontado]]*Tabla4[[#This Row],[Cantidad]]</f>
        <v>8133.5819063999998</v>
      </c>
      <c r="Q2131" s="282" t="e">
        <f>(INDEX(Tabla6[#All],MATCH(Tabla4[[#This Row],[Producto]],Tabla6[[#All],[PRODUCTO]],0),MATCH(Tabla4[[#This Row],[Mes]],Tabla6[#Headers],0)))</f>
        <v>#N/A</v>
      </c>
      <c r="R2131" s="282" t="e">
        <f>++Tabla4[[#This Row],[Precio Unitario Neto]]-Tabla4[[#This Row],[20.85%]]-Tabla4[[#This Row],[Costo]]</f>
        <v>#N/A</v>
      </c>
      <c r="S2131" s="282" t="e">
        <f>++Tabla4[[#This Row],[U. Bruta Uni]]*Tabla4[[#This Row],[Cantidad]]</f>
        <v>#N/A</v>
      </c>
      <c r="T2131" s="369" t="str">
        <f>VLOOKUP(Tabla4[[#This Row],[Producto]],Tabla6[#All],14,FALSE)</f>
        <v>Termico Solar</v>
      </c>
      <c r="U2131" s="284" t="e">
        <f>(IF(Tabla4[[#This Row],[Familia]]="termico solar",Tabla4[[#This Row],[Utilidad Total]]*6%,Tabla4[[#This Row],[Utilidad Total]]*11.5%))/Tabla4[[#This Row],[Total]]</f>
        <v>#N/A</v>
      </c>
      <c r="V2131" s="282" t="e">
        <f>+Tabla4[[#This Row],[Comisión Calculada]]*Tabla4[[#This Row],[Total]]</f>
        <v>#N/A</v>
      </c>
    </row>
    <row r="2132" spans="1:22" hidden="1" x14ac:dyDescent="0.25">
      <c r="A2132" s="100">
        <v>45762</v>
      </c>
      <c r="B2132" t="str">
        <f t="shared" si="109"/>
        <v>April</v>
      </c>
      <c r="C2132" s="46" t="s">
        <v>280</v>
      </c>
      <c r="F2132" s="366" t="s">
        <v>1520</v>
      </c>
      <c r="G2132" s="46" t="s">
        <v>18</v>
      </c>
      <c r="H2132" s="46">
        <v>1</v>
      </c>
      <c r="I2132" s="51">
        <v>5367.65</v>
      </c>
      <c r="J2132" s="281">
        <f>++Tabla4[[#This Row],[Precio Bruto]]*1.16</f>
        <v>6226.4739999999993</v>
      </c>
      <c r="K2132" s="281">
        <f>+Tabla4[[#This Row],[Precio Unitario Neto]]*Tabla4[[#Headers],[20.85%]]</f>
        <v>1298.2198289999999</v>
      </c>
      <c r="L2132" s="282">
        <f>++Tabla4[[#This Row],[Precio Unitario Neto]]-Tabla4[[#This Row],[20.85%]]</f>
        <v>4928.2541709999996</v>
      </c>
      <c r="M2132" s="282" t="e">
        <f>(INDEX(Tabla6[#All],MATCH(Tabla4[[#This Row],[Producto]],Tabla6[[#All],[PRODUCTO]],0),MATCH(Tabla4[[#This Row],[Mes]],Tabla6[#Headers],0)))*(1+Catalogos!$L$2)</f>
        <v>#N/A</v>
      </c>
      <c r="N2132" s="283" t="e">
        <f>+(Tabla4[[#This Row],[Precio Descontado]]-Tabla4[[#This Row],[Precio Base]])*Tabla4[[#This Row],[Cantidad]]</f>
        <v>#N/A</v>
      </c>
      <c r="O2132" s="284" t="e">
        <f>++Tabla4[[#This Row],[Utilidad Total]]/Tabla4[[#This Row],[Total]]</f>
        <v>#N/A</v>
      </c>
      <c r="P2132" s="282">
        <f>++Tabla4[[#This Row],[Precio Descontado]]*Tabla4[[#This Row],[Cantidad]]</f>
        <v>4928.2541709999996</v>
      </c>
      <c r="Q2132" s="282" t="e">
        <f>(INDEX(Tabla6[#All],MATCH(Tabla4[[#This Row],[Producto]],Tabla6[[#All],[PRODUCTO]],0),MATCH(Tabla4[[#This Row],[Mes]],Tabla6[#Headers],0)))</f>
        <v>#N/A</v>
      </c>
      <c r="R2132" s="282" t="e">
        <f>++Tabla4[[#This Row],[Precio Unitario Neto]]-Tabla4[[#This Row],[20.85%]]-Tabla4[[#This Row],[Costo]]</f>
        <v>#N/A</v>
      </c>
      <c r="S2132" s="282" t="e">
        <f>++Tabla4[[#This Row],[U. Bruta Uni]]*Tabla4[[#This Row],[Cantidad]]</f>
        <v>#N/A</v>
      </c>
      <c r="T2132" s="369" t="str">
        <f>VLOOKUP(Tabla4[[#This Row],[Producto]],Tabla6[#All],14,FALSE)</f>
        <v>Termico Solar</v>
      </c>
      <c r="U2132" s="284" t="e">
        <f>(IF(Tabla4[[#This Row],[Familia]]="termico solar",Tabla4[[#This Row],[Utilidad Total]]*6%,Tabla4[[#This Row],[Utilidad Total]]*11.5%))/Tabla4[[#This Row],[Total]]</f>
        <v>#N/A</v>
      </c>
      <c r="V2132" s="282" t="e">
        <f>+Tabla4[[#This Row],[Comisión Calculada]]*Tabla4[[#This Row],[Total]]</f>
        <v>#N/A</v>
      </c>
    </row>
    <row r="2133" spans="1:22" hidden="1" x14ac:dyDescent="0.25">
      <c r="A2133" s="100">
        <v>45762</v>
      </c>
      <c r="B2133" t="str">
        <f t="shared" si="109"/>
        <v>April</v>
      </c>
      <c r="C2133" s="46" t="s">
        <v>280</v>
      </c>
      <c r="F2133" s="366" t="s">
        <v>1520</v>
      </c>
      <c r="G2133" s="46" t="s">
        <v>566</v>
      </c>
      <c r="H2133" s="46">
        <v>1</v>
      </c>
      <c r="I2133" s="51">
        <v>2109.4499999999998</v>
      </c>
      <c r="J2133" s="281">
        <f>++Tabla4[[#This Row],[Precio Bruto]]*1.16</f>
        <v>2446.9619999999995</v>
      </c>
      <c r="K2133" s="281">
        <f>+Tabla4[[#This Row],[Precio Unitario Neto]]*Tabla4[[#Headers],[20.85%]]</f>
        <v>510.19157699999988</v>
      </c>
      <c r="L2133" s="282">
        <f>++Tabla4[[#This Row],[Precio Unitario Neto]]-Tabla4[[#This Row],[20.85%]]</f>
        <v>1936.7704229999997</v>
      </c>
      <c r="M2133" s="282" t="e">
        <f>(INDEX(Tabla6[#All],MATCH(Tabla4[[#This Row],[Producto]],Tabla6[[#All],[PRODUCTO]],0),MATCH(Tabla4[[#This Row],[Mes]],Tabla6[#Headers],0)))*(1+Catalogos!$L$2)</f>
        <v>#N/A</v>
      </c>
      <c r="N2133" s="283" t="e">
        <f>+(Tabla4[[#This Row],[Precio Descontado]]-Tabla4[[#This Row],[Precio Base]])*Tabla4[[#This Row],[Cantidad]]</f>
        <v>#N/A</v>
      </c>
      <c r="O2133" s="284" t="e">
        <f>++Tabla4[[#This Row],[Utilidad Total]]/Tabla4[[#This Row],[Total]]</f>
        <v>#N/A</v>
      </c>
      <c r="P2133" s="282">
        <f>++Tabla4[[#This Row],[Precio Descontado]]*Tabla4[[#This Row],[Cantidad]]</f>
        <v>1936.7704229999997</v>
      </c>
      <c r="Q2133" s="282" t="e">
        <f>(INDEX(Tabla6[#All],MATCH(Tabla4[[#This Row],[Producto]],Tabla6[[#All],[PRODUCTO]],0),MATCH(Tabla4[[#This Row],[Mes]],Tabla6[#Headers],0)))</f>
        <v>#N/A</v>
      </c>
      <c r="R2133" s="282" t="e">
        <f>++Tabla4[[#This Row],[Precio Unitario Neto]]-Tabla4[[#This Row],[20.85%]]-Tabla4[[#This Row],[Costo]]</f>
        <v>#N/A</v>
      </c>
      <c r="S2133" s="282" t="e">
        <f>++Tabla4[[#This Row],[U. Bruta Uni]]*Tabla4[[#This Row],[Cantidad]]</f>
        <v>#N/A</v>
      </c>
      <c r="T2133" s="369" t="str">
        <f>VLOOKUP(Tabla4[[#This Row],[Producto]],Tabla6[#All],14,FALSE)</f>
        <v>Termico Solar</v>
      </c>
      <c r="U2133" s="284" t="e">
        <f>(IF(Tabla4[[#This Row],[Familia]]="termico solar",Tabla4[[#This Row],[Utilidad Total]]*6%,Tabla4[[#This Row],[Utilidad Total]]*11.5%))/Tabla4[[#This Row],[Total]]</f>
        <v>#N/A</v>
      </c>
      <c r="V2133" s="282" t="e">
        <f>+Tabla4[[#This Row],[Comisión Calculada]]*Tabla4[[#This Row],[Total]]</f>
        <v>#N/A</v>
      </c>
    </row>
    <row r="2134" spans="1:22" hidden="1" x14ac:dyDescent="0.25">
      <c r="A2134" s="100">
        <v>45762</v>
      </c>
      <c r="B2134" t="str">
        <f t="shared" si="109"/>
        <v>April</v>
      </c>
      <c r="C2134" s="46" t="s">
        <v>280</v>
      </c>
      <c r="F2134" s="366" t="s">
        <v>1521</v>
      </c>
      <c r="G2134" s="46" t="s">
        <v>83</v>
      </c>
      <c r="H2134" s="46">
        <v>1</v>
      </c>
      <c r="I2134" s="51">
        <v>8858.76</v>
      </c>
      <c r="J2134" s="281">
        <f>++Tabla4[[#This Row],[Precio Bruto]]*1.16</f>
        <v>10276.161599999999</v>
      </c>
      <c r="K2134" s="281">
        <f>+Tabla4[[#This Row],[Precio Unitario Neto]]*Tabla4[[#Headers],[20.85%]]</f>
        <v>2142.5796935999997</v>
      </c>
      <c r="L2134" s="282">
        <f>++Tabla4[[#This Row],[Precio Unitario Neto]]-Tabla4[[#This Row],[20.85%]]</f>
        <v>8133.5819063999998</v>
      </c>
      <c r="M2134" s="282" t="e">
        <f>(INDEX(Tabla6[#All],MATCH(Tabla4[[#This Row],[Producto]],Tabla6[[#All],[PRODUCTO]],0),MATCH(Tabla4[[#This Row],[Mes]],Tabla6[#Headers],0)))*(1+Catalogos!$L$2)</f>
        <v>#N/A</v>
      </c>
      <c r="N2134" s="283" t="e">
        <f>+(Tabla4[[#This Row],[Precio Descontado]]-Tabla4[[#This Row],[Precio Base]])*Tabla4[[#This Row],[Cantidad]]</f>
        <v>#N/A</v>
      </c>
      <c r="O2134" s="284" t="e">
        <f>++Tabla4[[#This Row],[Utilidad Total]]/Tabla4[[#This Row],[Total]]</f>
        <v>#N/A</v>
      </c>
      <c r="P2134" s="282">
        <f>++Tabla4[[#This Row],[Precio Descontado]]*Tabla4[[#This Row],[Cantidad]]</f>
        <v>8133.5819063999998</v>
      </c>
      <c r="Q2134" s="282" t="e">
        <f>(INDEX(Tabla6[#All],MATCH(Tabla4[[#This Row],[Producto]],Tabla6[[#All],[PRODUCTO]],0),MATCH(Tabla4[[#This Row],[Mes]],Tabla6[#Headers],0)))</f>
        <v>#N/A</v>
      </c>
      <c r="R2134" s="282" t="e">
        <f>++Tabla4[[#This Row],[Precio Unitario Neto]]-Tabla4[[#This Row],[20.85%]]-Tabla4[[#This Row],[Costo]]</f>
        <v>#N/A</v>
      </c>
      <c r="S2134" s="282" t="e">
        <f>++Tabla4[[#This Row],[U. Bruta Uni]]*Tabla4[[#This Row],[Cantidad]]</f>
        <v>#N/A</v>
      </c>
      <c r="T2134" s="369" t="str">
        <f>VLOOKUP(Tabla4[[#This Row],[Producto]],Tabla6[#All],14,FALSE)</f>
        <v>Termico Solar</v>
      </c>
      <c r="U2134" s="284" t="e">
        <f>(IF(Tabla4[[#This Row],[Familia]]="termico solar",Tabla4[[#This Row],[Utilidad Total]]*6%,Tabla4[[#This Row],[Utilidad Total]]*11.5%))/Tabla4[[#This Row],[Total]]</f>
        <v>#N/A</v>
      </c>
      <c r="V2134" s="282" t="e">
        <f>+Tabla4[[#This Row],[Comisión Calculada]]*Tabla4[[#This Row],[Total]]</f>
        <v>#N/A</v>
      </c>
    </row>
    <row r="2135" spans="1:22" hidden="1" x14ac:dyDescent="0.25">
      <c r="A2135" s="100">
        <v>45762</v>
      </c>
      <c r="B2135" t="str">
        <f t="shared" si="109"/>
        <v>April</v>
      </c>
      <c r="C2135" s="46" t="s">
        <v>280</v>
      </c>
      <c r="F2135" s="366" t="s">
        <v>1521</v>
      </c>
      <c r="G2135" s="46" t="s">
        <v>17</v>
      </c>
      <c r="H2135" s="46">
        <v>5</v>
      </c>
      <c r="I2135" s="51">
        <v>4622.2800000000007</v>
      </c>
      <c r="J2135" s="281">
        <f>++Tabla4[[#This Row],[Precio Bruto]]*1.16</f>
        <v>5361.8448000000008</v>
      </c>
      <c r="K2135" s="281">
        <f>+Tabla4[[#This Row],[Precio Unitario Neto]]*Tabla4[[#Headers],[20.85%]]</f>
        <v>1117.9446408000001</v>
      </c>
      <c r="L2135" s="282">
        <f>++Tabla4[[#This Row],[Precio Unitario Neto]]-Tabla4[[#This Row],[20.85%]]</f>
        <v>4243.9001592000004</v>
      </c>
      <c r="M2135" s="282" t="e">
        <f>(INDEX(Tabla6[#All],MATCH(Tabla4[[#This Row],[Producto]],Tabla6[[#All],[PRODUCTO]],0),MATCH(Tabla4[[#This Row],[Mes]],Tabla6[#Headers],0)))*(1+Catalogos!$L$2)</f>
        <v>#N/A</v>
      </c>
      <c r="N2135" s="283" t="e">
        <f>+(Tabla4[[#This Row],[Precio Descontado]]-Tabla4[[#This Row],[Precio Base]])*Tabla4[[#This Row],[Cantidad]]</f>
        <v>#N/A</v>
      </c>
      <c r="O2135" s="284" t="e">
        <f>++Tabla4[[#This Row],[Utilidad Total]]/Tabla4[[#This Row],[Total]]</f>
        <v>#N/A</v>
      </c>
      <c r="P2135" s="282">
        <f>++Tabla4[[#This Row],[Precio Descontado]]*Tabla4[[#This Row],[Cantidad]]</f>
        <v>21219.500796</v>
      </c>
      <c r="Q2135" s="282" t="e">
        <f>(INDEX(Tabla6[#All],MATCH(Tabla4[[#This Row],[Producto]],Tabla6[[#All],[PRODUCTO]],0),MATCH(Tabla4[[#This Row],[Mes]],Tabla6[#Headers],0)))</f>
        <v>#N/A</v>
      </c>
      <c r="R2135" s="282" t="e">
        <f>++Tabla4[[#This Row],[Precio Unitario Neto]]-Tabla4[[#This Row],[20.85%]]-Tabla4[[#This Row],[Costo]]</f>
        <v>#N/A</v>
      </c>
      <c r="S2135" s="282" t="e">
        <f>++Tabla4[[#This Row],[U. Bruta Uni]]*Tabla4[[#This Row],[Cantidad]]</f>
        <v>#N/A</v>
      </c>
      <c r="T2135" s="369" t="str">
        <f>VLOOKUP(Tabla4[[#This Row],[Producto]],Tabla6[#All],14,FALSE)</f>
        <v>Termico Solar</v>
      </c>
      <c r="U2135" s="284" t="e">
        <f>(IF(Tabla4[[#This Row],[Familia]]="termico solar",Tabla4[[#This Row],[Utilidad Total]]*6%,Tabla4[[#This Row],[Utilidad Total]]*11.5%))/Tabla4[[#This Row],[Total]]</f>
        <v>#N/A</v>
      </c>
      <c r="V2135" s="282" t="e">
        <f>+Tabla4[[#This Row],[Comisión Calculada]]*Tabla4[[#This Row],[Total]]</f>
        <v>#N/A</v>
      </c>
    </row>
    <row r="2136" spans="1:22" hidden="1" x14ac:dyDescent="0.25">
      <c r="A2136" s="100">
        <v>45762</v>
      </c>
      <c r="B2136" t="str">
        <f t="shared" si="109"/>
        <v>April</v>
      </c>
      <c r="C2136" s="46" t="s">
        <v>280</v>
      </c>
      <c r="F2136" s="366" t="s">
        <v>1521</v>
      </c>
      <c r="G2136" s="46" t="s">
        <v>18</v>
      </c>
      <c r="H2136" s="46">
        <v>2</v>
      </c>
      <c r="I2136" s="51">
        <v>5367.65</v>
      </c>
      <c r="J2136" s="281">
        <f>++Tabla4[[#This Row],[Precio Bruto]]*1.16</f>
        <v>6226.4739999999993</v>
      </c>
      <c r="K2136" s="281">
        <f>+Tabla4[[#This Row],[Precio Unitario Neto]]*Tabla4[[#Headers],[20.85%]]</f>
        <v>1298.2198289999999</v>
      </c>
      <c r="L2136" s="282">
        <f>++Tabla4[[#This Row],[Precio Unitario Neto]]-Tabla4[[#This Row],[20.85%]]</f>
        <v>4928.2541709999996</v>
      </c>
      <c r="M2136" s="282" t="e">
        <f>(INDEX(Tabla6[#All],MATCH(Tabla4[[#This Row],[Producto]],Tabla6[[#All],[PRODUCTO]],0),MATCH(Tabla4[[#This Row],[Mes]],Tabla6[#Headers],0)))*(1+Catalogos!$L$2)</f>
        <v>#N/A</v>
      </c>
      <c r="N2136" s="283" t="e">
        <f>+(Tabla4[[#This Row],[Precio Descontado]]-Tabla4[[#This Row],[Precio Base]])*Tabla4[[#This Row],[Cantidad]]</f>
        <v>#N/A</v>
      </c>
      <c r="O2136" s="284" t="e">
        <f>++Tabla4[[#This Row],[Utilidad Total]]/Tabla4[[#This Row],[Total]]</f>
        <v>#N/A</v>
      </c>
      <c r="P2136" s="282">
        <f>++Tabla4[[#This Row],[Precio Descontado]]*Tabla4[[#This Row],[Cantidad]]</f>
        <v>9856.5083419999992</v>
      </c>
      <c r="Q2136" s="282" t="e">
        <f>(INDEX(Tabla6[#All],MATCH(Tabla4[[#This Row],[Producto]],Tabla6[[#All],[PRODUCTO]],0),MATCH(Tabla4[[#This Row],[Mes]],Tabla6[#Headers],0)))</f>
        <v>#N/A</v>
      </c>
      <c r="R2136" s="282" t="e">
        <f>++Tabla4[[#This Row],[Precio Unitario Neto]]-Tabla4[[#This Row],[20.85%]]-Tabla4[[#This Row],[Costo]]</f>
        <v>#N/A</v>
      </c>
      <c r="S2136" s="282" t="e">
        <f>++Tabla4[[#This Row],[U. Bruta Uni]]*Tabla4[[#This Row],[Cantidad]]</f>
        <v>#N/A</v>
      </c>
      <c r="T2136" s="369" t="str">
        <f>VLOOKUP(Tabla4[[#This Row],[Producto]],Tabla6[#All],14,FALSE)</f>
        <v>Termico Solar</v>
      </c>
      <c r="U2136" s="284" t="e">
        <f>(IF(Tabla4[[#This Row],[Familia]]="termico solar",Tabla4[[#This Row],[Utilidad Total]]*6%,Tabla4[[#This Row],[Utilidad Total]]*11.5%))/Tabla4[[#This Row],[Total]]</f>
        <v>#N/A</v>
      </c>
      <c r="V2136" s="282" t="e">
        <f>+Tabla4[[#This Row],[Comisión Calculada]]*Tabla4[[#This Row],[Total]]</f>
        <v>#N/A</v>
      </c>
    </row>
    <row r="2137" spans="1:22" hidden="1" x14ac:dyDescent="0.25">
      <c r="A2137" s="100">
        <v>45762</v>
      </c>
      <c r="B2137" t="str">
        <f t="shared" si="109"/>
        <v>April</v>
      </c>
      <c r="C2137" s="46" t="s">
        <v>280</v>
      </c>
      <c r="F2137" s="366" t="s">
        <v>1521</v>
      </c>
      <c r="G2137" s="46" t="s">
        <v>566</v>
      </c>
      <c r="H2137" s="46">
        <v>1</v>
      </c>
      <c r="I2137" s="51">
        <v>2109.4499999999998</v>
      </c>
      <c r="J2137" s="281">
        <f>++Tabla4[[#This Row],[Precio Bruto]]*1.16</f>
        <v>2446.9619999999995</v>
      </c>
      <c r="K2137" s="281">
        <f>+Tabla4[[#This Row],[Precio Unitario Neto]]*Tabla4[[#Headers],[20.85%]]</f>
        <v>510.19157699999988</v>
      </c>
      <c r="L2137" s="282">
        <f>++Tabla4[[#This Row],[Precio Unitario Neto]]-Tabla4[[#This Row],[20.85%]]</f>
        <v>1936.7704229999997</v>
      </c>
      <c r="M2137" s="282" t="e">
        <f>(INDEX(Tabla6[#All],MATCH(Tabla4[[#This Row],[Producto]],Tabla6[[#All],[PRODUCTO]],0),MATCH(Tabla4[[#This Row],[Mes]],Tabla6[#Headers],0)))*(1+Catalogos!$L$2)</f>
        <v>#N/A</v>
      </c>
      <c r="N2137" s="283" t="e">
        <f>+(Tabla4[[#This Row],[Precio Descontado]]-Tabla4[[#This Row],[Precio Base]])*Tabla4[[#This Row],[Cantidad]]</f>
        <v>#N/A</v>
      </c>
      <c r="O2137" s="284" t="e">
        <f>++Tabla4[[#This Row],[Utilidad Total]]/Tabla4[[#This Row],[Total]]</f>
        <v>#N/A</v>
      </c>
      <c r="P2137" s="282">
        <f>++Tabla4[[#This Row],[Precio Descontado]]*Tabla4[[#This Row],[Cantidad]]</f>
        <v>1936.7704229999997</v>
      </c>
      <c r="Q2137" s="282" t="e">
        <f>(INDEX(Tabla6[#All],MATCH(Tabla4[[#This Row],[Producto]],Tabla6[[#All],[PRODUCTO]],0),MATCH(Tabla4[[#This Row],[Mes]],Tabla6[#Headers],0)))</f>
        <v>#N/A</v>
      </c>
      <c r="R2137" s="282" t="e">
        <f>++Tabla4[[#This Row],[Precio Unitario Neto]]-Tabla4[[#This Row],[20.85%]]-Tabla4[[#This Row],[Costo]]</f>
        <v>#N/A</v>
      </c>
      <c r="S2137" s="282" t="e">
        <f>++Tabla4[[#This Row],[U. Bruta Uni]]*Tabla4[[#This Row],[Cantidad]]</f>
        <v>#N/A</v>
      </c>
      <c r="T2137" s="369" t="str">
        <f>VLOOKUP(Tabla4[[#This Row],[Producto]],Tabla6[#All],14,FALSE)</f>
        <v>Termico Solar</v>
      </c>
      <c r="U2137" s="284" t="e">
        <f>(IF(Tabla4[[#This Row],[Familia]]="termico solar",Tabla4[[#This Row],[Utilidad Total]]*6%,Tabla4[[#This Row],[Utilidad Total]]*11.5%))/Tabla4[[#This Row],[Total]]</f>
        <v>#N/A</v>
      </c>
      <c r="V2137" s="282" t="e">
        <f>+Tabla4[[#This Row],[Comisión Calculada]]*Tabla4[[#This Row],[Total]]</f>
        <v>#N/A</v>
      </c>
    </row>
    <row r="2138" spans="1:22" hidden="1" x14ac:dyDescent="0.25">
      <c r="A2138" s="100">
        <v>45762</v>
      </c>
      <c r="B2138" t="str">
        <f t="shared" si="109"/>
        <v>April</v>
      </c>
      <c r="C2138" s="46" t="s">
        <v>280</v>
      </c>
      <c r="F2138" s="366" t="s">
        <v>1521</v>
      </c>
      <c r="G2138" s="46" t="s">
        <v>209</v>
      </c>
      <c r="H2138" s="46">
        <v>1</v>
      </c>
      <c r="I2138" s="51">
        <v>347.48</v>
      </c>
      <c r="J2138" s="281">
        <f>++Tabla4[[#This Row],[Precio Bruto]]*1.16</f>
        <v>403.07679999999999</v>
      </c>
      <c r="K2138" s="281">
        <f>+Tabla4[[#This Row],[Precio Unitario Neto]]*Tabla4[[#Headers],[20.85%]]</f>
        <v>84.041512799999992</v>
      </c>
      <c r="L2138" s="282">
        <f>++Tabla4[[#This Row],[Precio Unitario Neto]]-Tabla4[[#This Row],[20.85%]]</f>
        <v>319.03528719999997</v>
      </c>
      <c r="M2138" s="282" t="e">
        <f>(INDEX(Tabla6[#All],MATCH(Tabla4[[#This Row],[Producto]],Tabla6[[#All],[PRODUCTO]],0),MATCH(Tabla4[[#This Row],[Mes]],Tabla6[#Headers],0)))*(1+Catalogos!$L$2)</f>
        <v>#N/A</v>
      </c>
      <c r="N2138" s="283" t="e">
        <f>+(Tabla4[[#This Row],[Precio Descontado]]-Tabla4[[#This Row],[Precio Base]])*Tabla4[[#This Row],[Cantidad]]</f>
        <v>#N/A</v>
      </c>
      <c r="O2138" s="284" t="e">
        <f>++Tabla4[[#This Row],[Utilidad Total]]/Tabla4[[#This Row],[Total]]</f>
        <v>#N/A</v>
      </c>
      <c r="P2138" s="282">
        <f>++Tabla4[[#This Row],[Precio Descontado]]*Tabla4[[#This Row],[Cantidad]]</f>
        <v>319.03528719999997</v>
      </c>
      <c r="Q2138" s="282" t="e">
        <f>(INDEX(Tabla6[#All],MATCH(Tabla4[[#This Row],[Producto]],Tabla6[[#All],[PRODUCTO]],0),MATCH(Tabla4[[#This Row],[Mes]],Tabla6[#Headers],0)))</f>
        <v>#N/A</v>
      </c>
      <c r="R2138" s="282" t="e">
        <f>++Tabla4[[#This Row],[Precio Unitario Neto]]-Tabla4[[#This Row],[20.85%]]-Tabla4[[#This Row],[Costo]]</f>
        <v>#N/A</v>
      </c>
      <c r="S2138" s="282" t="e">
        <f>++Tabla4[[#This Row],[U. Bruta Uni]]*Tabla4[[#This Row],[Cantidad]]</f>
        <v>#N/A</v>
      </c>
      <c r="T2138" s="369" t="str">
        <f>VLOOKUP(Tabla4[[#This Row],[Producto]],Tabla6[#All],14,FALSE)</f>
        <v>Termico Solar</v>
      </c>
      <c r="U2138" s="284" t="e">
        <f>(IF(Tabla4[[#This Row],[Familia]]="termico solar",Tabla4[[#This Row],[Utilidad Total]]*6%,Tabla4[[#This Row],[Utilidad Total]]*11.5%))/Tabla4[[#This Row],[Total]]</f>
        <v>#N/A</v>
      </c>
      <c r="V2138" s="282" t="e">
        <f>+Tabla4[[#This Row],[Comisión Calculada]]*Tabla4[[#This Row],[Total]]</f>
        <v>#N/A</v>
      </c>
    </row>
    <row r="2139" spans="1:22" hidden="1" x14ac:dyDescent="0.25">
      <c r="A2139" s="100">
        <v>45762</v>
      </c>
      <c r="B2139" t="str">
        <f t="shared" si="109"/>
        <v>April</v>
      </c>
      <c r="C2139" s="46" t="s">
        <v>280</v>
      </c>
      <c r="F2139" s="366" t="s">
        <v>1522</v>
      </c>
      <c r="G2139" s="46" t="s">
        <v>17</v>
      </c>
      <c r="H2139" s="46">
        <v>4</v>
      </c>
      <c r="I2139" s="51">
        <v>4622.28</v>
      </c>
      <c r="J2139" s="281">
        <f>++Tabla4[[#This Row],[Precio Bruto]]*1.16</f>
        <v>5361.8447999999989</v>
      </c>
      <c r="K2139" s="281">
        <f>+Tabla4[[#This Row],[Precio Unitario Neto]]*Tabla4[[#Headers],[20.85%]]</f>
        <v>1117.9446407999997</v>
      </c>
      <c r="L2139" s="282">
        <f>++Tabla4[[#This Row],[Precio Unitario Neto]]-Tabla4[[#This Row],[20.85%]]</f>
        <v>4243.9001591999995</v>
      </c>
      <c r="M2139" s="282" t="e">
        <f>(INDEX(Tabla6[#All],MATCH(Tabla4[[#This Row],[Producto]],Tabla6[[#All],[PRODUCTO]],0),MATCH(Tabla4[[#This Row],[Mes]],Tabla6[#Headers],0)))*(1+Catalogos!$L$2)</f>
        <v>#N/A</v>
      </c>
      <c r="N2139" s="283" t="e">
        <f>+(Tabla4[[#This Row],[Precio Descontado]]-Tabla4[[#This Row],[Precio Base]])*Tabla4[[#This Row],[Cantidad]]</f>
        <v>#N/A</v>
      </c>
      <c r="O2139" s="284" t="e">
        <f>++Tabla4[[#This Row],[Utilidad Total]]/Tabla4[[#This Row],[Total]]</f>
        <v>#N/A</v>
      </c>
      <c r="P2139" s="282">
        <f>++Tabla4[[#This Row],[Precio Descontado]]*Tabla4[[#This Row],[Cantidad]]</f>
        <v>16975.600636799998</v>
      </c>
      <c r="Q2139" s="282" t="e">
        <f>(INDEX(Tabla6[#All],MATCH(Tabla4[[#This Row],[Producto]],Tabla6[[#All],[PRODUCTO]],0),MATCH(Tabla4[[#This Row],[Mes]],Tabla6[#Headers],0)))</f>
        <v>#N/A</v>
      </c>
      <c r="R2139" s="282" t="e">
        <f>++Tabla4[[#This Row],[Precio Unitario Neto]]-Tabla4[[#This Row],[20.85%]]-Tabla4[[#This Row],[Costo]]</f>
        <v>#N/A</v>
      </c>
      <c r="S2139" s="282" t="e">
        <f>++Tabla4[[#This Row],[U. Bruta Uni]]*Tabla4[[#This Row],[Cantidad]]</f>
        <v>#N/A</v>
      </c>
      <c r="T2139" s="369" t="str">
        <f>VLOOKUP(Tabla4[[#This Row],[Producto]],Tabla6[#All],14,FALSE)</f>
        <v>Termico Solar</v>
      </c>
      <c r="U2139" s="284" t="e">
        <f>(IF(Tabla4[[#This Row],[Familia]]="termico solar",Tabla4[[#This Row],[Utilidad Total]]*6%,Tabla4[[#This Row],[Utilidad Total]]*11.5%))/Tabla4[[#This Row],[Total]]</f>
        <v>#N/A</v>
      </c>
      <c r="V2139" s="282" t="e">
        <f>+Tabla4[[#This Row],[Comisión Calculada]]*Tabla4[[#This Row],[Total]]</f>
        <v>#N/A</v>
      </c>
    </row>
    <row r="2140" spans="1:22" hidden="1" x14ac:dyDescent="0.25">
      <c r="A2140" s="100">
        <v>45762</v>
      </c>
      <c r="B2140" t="str">
        <f t="shared" si="109"/>
        <v>April</v>
      </c>
      <c r="C2140" s="46" t="s">
        <v>280</v>
      </c>
      <c r="F2140" s="366" t="s">
        <v>1522</v>
      </c>
      <c r="G2140" s="46" t="s">
        <v>18</v>
      </c>
      <c r="H2140" s="46">
        <v>2</v>
      </c>
      <c r="I2140" s="51">
        <v>5367.65</v>
      </c>
      <c r="J2140" s="281">
        <f>++Tabla4[[#This Row],[Precio Bruto]]*1.16</f>
        <v>6226.4739999999993</v>
      </c>
      <c r="K2140" s="281">
        <f>+Tabla4[[#This Row],[Precio Unitario Neto]]*Tabla4[[#Headers],[20.85%]]</f>
        <v>1298.2198289999999</v>
      </c>
      <c r="L2140" s="282">
        <f>++Tabla4[[#This Row],[Precio Unitario Neto]]-Tabla4[[#This Row],[20.85%]]</f>
        <v>4928.2541709999996</v>
      </c>
      <c r="M2140" s="282" t="e">
        <f>(INDEX(Tabla6[#All],MATCH(Tabla4[[#This Row],[Producto]],Tabla6[[#All],[PRODUCTO]],0),MATCH(Tabla4[[#This Row],[Mes]],Tabla6[#Headers],0)))*(1+Catalogos!$L$2)</f>
        <v>#N/A</v>
      </c>
      <c r="N2140" s="283" t="e">
        <f>+(Tabla4[[#This Row],[Precio Descontado]]-Tabla4[[#This Row],[Precio Base]])*Tabla4[[#This Row],[Cantidad]]</f>
        <v>#N/A</v>
      </c>
      <c r="O2140" s="284" t="e">
        <f>++Tabla4[[#This Row],[Utilidad Total]]/Tabla4[[#This Row],[Total]]</f>
        <v>#N/A</v>
      </c>
      <c r="P2140" s="282">
        <f>++Tabla4[[#This Row],[Precio Descontado]]*Tabla4[[#This Row],[Cantidad]]</f>
        <v>9856.5083419999992</v>
      </c>
      <c r="Q2140" s="282" t="e">
        <f>(INDEX(Tabla6[#All],MATCH(Tabla4[[#This Row],[Producto]],Tabla6[[#All],[PRODUCTO]],0),MATCH(Tabla4[[#This Row],[Mes]],Tabla6[#Headers],0)))</f>
        <v>#N/A</v>
      </c>
      <c r="R2140" s="282" t="e">
        <f>++Tabla4[[#This Row],[Precio Unitario Neto]]-Tabla4[[#This Row],[20.85%]]-Tabla4[[#This Row],[Costo]]</f>
        <v>#N/A</v>
      </c>
      <c r="S2140" s="282" t="e">
        <f>++Tabla4[[#This Row],[U. Bruta Uni]]*Tabla4[[#This Row],[Cantidad]]</f>
        <v>#N/A</v>
      </c>
      <c r="T2140" s="369" t="str">
        <f>VLOOKUP(Tabla4[[#This Row],[Producto]],Tabla6[#All],14,FALSE)</f>
        <v>Termico Solar</v>
      </c>
      <c r="U2140" s="284" t="e">
        <f>(IF(Tabla4[[#This Row],[Familia]]="termico solar",Tabla4[[#This Row],[Utilidad Total]]*6%,Tabla4[[#This Row],[Utilidad Total]]*11.5%))/Tabla4[[#This Row],[Total]]</f>
        <v>#N/A</v>
      </c>
      <c r="V2140" s="282" t="e">
        <f>+Tabla4[[#This Row],[Comisión Calculada]]*Tabla4[[#This Row],[Total]]</f>
        <v>#N/A</v>
      </c>
    </row>
    <row r="2141" spans="1:22" hidden="1" x14ac:dyDescent="0.25">
      <c r="A2141" s="100">
        <v>45762</v>
      </c>
      <c r="B2141" t="str">
        <f t="shared" si="109"/>
        <v>April</v>
      </c>
      <c r="C2141" s="46" t="s">
        <v>280</v>
      </c>
      <c r="F2141" s="366" t="s">
        <v>1522</v>
      </c>
      <c r="G2141" s="46" t="s">
        <v>566</v>
      </c>
      <c r="H2141" s="46">
        <v>1</v>
      </c>
      <c r="I2141" s="51">
        <v>2109.4499999999998</v>
      </c>
      <c r="J2141" s="281">
        <f>++Tabla4[[#This Row],[Precio Bruto]]*1.16</f>
        <v>2446.9619999999995</v>
      </c>
      <c r="K2141" s="281">
        <f>+Tabla4[[#This Row],[Precio Unitario Neto]]*Tabla4[[#Headers],[20.85%]]</f>
        <v>510.19157699999988</v>
      </c>
      <c r="L2141" s="282">
        <f>++Tabla4[[#This Row],[Precio Unitario Neto]]-Tabla4[[#This Row],[20.85%]]</f>
        <v>1936.7704229999997</v>
      </c>
      <c r="M2141" s="282" t="e">
        <f>(INDEX(Tabla6[#All],MATCH(Tabla4[[#This Row],[Producto]],Tabla6[[#All],[PRODUCTO]],0),MATCH(Tabla4[[#This Row],[Mes]],Tabla6[#Headers],0)))*(1+Catalogos!$L$2)</f>
        <v>#N/A</v>
      </c>
      <c r="N2141" s="283" t="e">
        <f>+(Tabla4[[#This Row],[Precio Descontado]]-Tabla4[[#This Row],[Precio Base]])*Tabla4[[#This Row],[Cantidad]]</f>
        <v>#N/A</v>
      </c>
      <c r="O2141" s="284" t="e">
        <f>++Tabla4[[#This Row],[Utilidad Total]]/Tabla4[[#This Row],[Total]]</f>
        <v>#N/A</v>
      </c>
      <c r="P2141" s="282">
        <f>++Tabla4[[#This Row],[Precio Descontado]]*Tabla4[[#This Row],[Cantidad]]</f>
        <v>1936.7704229999997</v>
      </c>
      <c r="Q2141" s="282" t="e">
        <f>(INDEX(Tabla6[#All],MATCH(Tabla4[[#This Row],[Producto]],Tabla6[[#All],[PRODUCTO]],0),MATCH(Tabla4[[#This Row],[Mes]],Tabla6[#Headers],0)))</f>
        <v>#N/A</v>
      </c>
      <c r="R2141" s="282" t="e">
        <f>++Tabla4[[#This Row],[Precio Unitario Neto]]-Tabla4[[#This Row],[20.85%]]-Tabla4[[#This Row],[Costo]]</f>
        <v>#N/A</v>
      </c>
      <c r="S2141" s="282" t="e">
        <f>++Tabla4[[#This Row],[U. Bruta Uni]]*Tabla4[[#This Row],[Cantidad]]</f>
        <v>#N/A</v>
      </c>
      <c r="T2141" s="369" t="str">
        <f>VLOOKUP(Tabla4[[#This Row],[Producto]],Tabla6[#All],14,FALSE)</f>
        <v>Termico Solar</v>
      </c>
      <c r="U2141" s="284" t="e">
        <f>(IF(Tabla4[[#This Row],[Familia]]="termico solar",Tabla4[[#This Row],[Utilidad Total]]*6%,Tabla4[[#This Row],[Utilidad Total]]*11.5%))/Tabla4[[#This Row],[Total]]</f>
        <v>#N/A</v>
      </c>
      <c r="V2141" s="282" t="e">
        <f>+Tabla4[[#This Row],[Comisión Calculada]]*Tabla4[[#This Row],[Total]]</f>
        <v>#N/A</v>
      </c>
    </row>
    <row r="2142" spans="1:22" hidden="1" x14ac:dyDescent="0.25">
      <c r="A2142" s="100">
        <v>45762</v>
      </c>
      <c r="B2142" t="str">
        <f t="shared" si="109"/>
        <v>April</v>
      </c>
      <c r="C2142" s="46" t="s">
        <v>280</v>
      </c>
      <c r="F2142" s="366" t="s">
        <v>1522</v>
      </c>
      <c r="G2142" s="46" t="s">
        <v>394</v>
      </c>
      <c r="H2142" s="46">
        <v>9</v>
      </c>
      <c r="I2142" s="51">
        <v>108.1</v>
      </c>
      <c r="J2142" s="281">
        <f>++Tabla4[[#This Row],[Precio Bruto]]*1.16</f>
        <v>125.39599999999999</v>
      </c>
      <c r="K2142" s="281">
        <f>+Tabla4[[#This Row],[Precio Unitario Neto]]*Tabla4[[#Headers],[20.85%]]</f>
        <v>26.145065999999996</v>
      </c>
      <c r="L2142" s="282">
        <f>++Tabla4[[#This Row],[Precio Unitario Neto]]-Tabla4[[#This Row],[20.85%]]</f>
        <v>99.250933999999987</v>
      </c>
      <c r="M2142" s="282" t="e">
        <f>(INDEX(Tabla6[#All],MATCH(Tabla4[[#This Row],[Producto]],Tabla6[[#All],[PRODUCTO]],0),MATCH(Tabla4[[#This Row],[Mes]],Tabla6[#Headers],0)))*(1+Catalogos!$L$2)</f>
        <v>#N/A</v>
      </c>
      <c r="N2142" s="283" t="e">
        <f>+(Tabla4[[#This Row],[Precio Descontado]]-Tabla4[[#This Row],[Precio Base]])*Tabla4[[#This Row],[Cantidad]]</f>
        <v>#N/A</v>
      </c>
      <c r="O2142" s="284" t="e">
        <f>++Tabla4[[#This Row],[Utilidad Total]]/Tabla4[[#This Row],[Total]]</f>
        <v>#N/A</v>
      </c>
      <c r="P2142" s="282">
        <f>++Tabla4[[#This Row],[Precio Descontado]]*Tabla4[[#This Row],[Cantidad]]</f>
        <v>893.25840599999992</v>
      </c>
      <c r="Q2142" s="282" t="e">
        <f>(INDEX(Tabla6[#All],MATCH(Tabla4[[#This Row],[Producto]],Tabla6[[#All],[PRODUCTO]],0),MATCH(Tabla4[[#This Row],[Mes]],Tabla6[#Headers],0)))</f>
        <v>#N/A</v>
      </c>
      <c r="R2142" s="282" t="e">
        <f>++Tabla4[[#This Row],[Precio Unitario Neto]]-Tabla4[[#This Row],[20.85%]]-Tabla4[[#This Row],[Costo]]</f>
        <v>#N/A</v>
      </c>
      <c r="S2142" s="282" t="e">
        <f>++Tabla4[[#This Row],[U. Bruta Uni]]*Tabla4[[#This Row],[Cantidad]]</f>
        <v>#N/A</v>
      </c>
      <c r="T2142" s="369" t="str">
        <f>VLOOKUP(Tabla4[[#This Row],[Producto]],Tabla6[#All],14,FALSE)</f>
        <v>Termico Solar</v>
      </c>
      <c r="U2142" s="284" t="e">
        <f>(IF(Tabla4[[#This Row],[Familia]]="termico solar",Tabla4[[#This Row],[Utilidad Total]]*6%,Tabla4[[#This Row],[Utilidad Total]]*11.5%))/Tabla4[[#This Row],[Total]]</f>
        <v>#N/A</v>
      </c>
      <c r="V2142" s="282" t="e">
        <f>+Tabla4[[#This Row],[Comisión Calculada]]*Tabla4[[#This Row],[Total]]</f>
        <v>#N/A</v>
      </c>
    </row>
    <row r="2143" spans="1:22" hidden="1" x14ac:dyDescent="0.25">
      <c r="A2143" s="100">
        <v>45762</v>
      </c>
      <c r="B2143" t="str">
        <f t="shared" si="109"/>
        <v>April</v>
      </c>
      <c r="C2143" s="46" t="s">
        <v>280</v>
      </c>
      <c r="F2143" s="366" t="s">
        <v>1523</v>
      </c>
      <c r="G2143" s="46" t="s">
        <v>17</v>
      </c>
      <c r="H2143" s="46">
        <v>4</v>
      </c>
      <c r="I2143" s="51">
        <v>4622.28</v>
      </c>
      <c r="J2143" s="281">
        <f>++Tabla4[[#This Row],[Precio Bruto]]*1.16</f>
        <v>5361.8447999999989</v>
      </c>
      <c r="K2143" s="281">
        <f>+Tabla4[[#This Row],[Precio Unitario Neto]]*Tabla4[[#Headers],[20.85%]]</f>
        <v>1117.9446407999997</v>
      </c>
      <c r="L2143" s="282">
        <f>++Tabla4[[#This Row],[Precio Unitario Neto]]-Tabla4[[#This Row],[20.85%]]</f>
        <v>4243.9001591999995</v>
      </c>
      <c r="M2143" s="282" t="e">
        <f>(INDEX(Tabla6[#All],MATCH(Tabla4[[#This Row],[Producto]],Tabla6[[#All],[PRODUCTO]],0),MATCH(Tabla4[[#This Row],[Mes]],Tabla6[#Headers],0)))*(1+Catalogos!$L$2)</f>
        <v>#N/A</v>
      </c>
      <c r="N2143" s="283" t="e">
        <f>+(Tabla4[[#This Row],[Precio Descontado]]-Tabla4[[#This Row],[Precio Base]])*Tabla4[[#This Row],[Cantidad]]</f>
        <v>#N/A</v>
      </c>
      <c r="O2143" s="284" t="e">
        <f>++Tabla4[[#This Row],[Utilidad Total]]/Tabla4[[#This Row],[Total]]</f>
        <v>#N/A</v>
      </c>
      <c r="P2143" s="282">
        <f>++Tabla4[[#This Row],[Precio Descontado]]*Tabla4[[#This Row],[Cantidad]]</f>
        <v>16975.600636799998</v>
      </c>
      <c r="Q2143" s="282" t="e">
        <f>(INDEX(Tabla6[#All],MATCH(Tabla4[[#This Row],[Producto]],Tabla6[[#All],[PRODUCTO]],0),MATCH(Tabla4[[#This Row],[Mes]],Tabla6[#Headers],0)))</f>
        <v>#N/A</v>
      </c>
      <c r="R2143" s="282" t="e">
        <f>++Tabla4[[#This Row],[Precio Unitario Neto]]-Tabla4[[#This Row],[20.85%]]-Tabla4[[#This Row],[Costo]]</f>
        <v>#N/A</v>
      </c>
      <c r="S2143" s="282" t="e">
        <f>++Tabla4[[#This Row],[U. Bruta Uni]]*Tabla4[[#This Row],[Cantidad]]</f>
        <v>#N/A</v>
      </c>
      <c r="T2143" s="369" t="str">
        <f>VLOOKUP(Tabla4[[#This Row],[Producto]],Tabla6[#All],14,FALSE)</f>
        <v>Termico Solar</v>
      </c>
      <c r="U2143" s="284" t="e">
        <f>(IF(Tabla4[[#This Row],[Familia]]="termico solar",Tabla4[[#This Row],[Utilidad Total]]*6%,Tabla4[[#This Row],[Utilidad Total]]*11.5%))/Tabla4[[#This Row],[Total]]</f>
        <v>#N/A</v>
      </c>
      <c r="V2143" s="282" t="e">
        <f>+Tabla4[[#This Row],[Comisión Calculada]]*Tabla4[[#This Row],[Total]]</f>
        <v>#N/A</v>
      </c>
    </row>
    <row r="2144" spans="1:22" hidden="1" x14ac:dyDescent="0.25">
      <c r="A2144" s="100">
        <v>45762</v>
      </c>
      <c r="B2144" t="str">
        <f t="shared" si="109"/>
        <v>April</v>
      </c>
      <c r="C2144" s="46" t="s">
        <v>280</v>
      </c>
      <c r="F2144" s="366" t="s">
        <v>1523</v>
      </c>
      <c r="G2144" s="46" t="s">
        <v>18</v>
      </c>
      <c r="H2144" s="46">
        <v>2</v>
      </c>
      <c r="I2144" s="51">
        <v>5367.65</v>
      </c>
      <c r="J2144" s="281">
        <f>++Tabla4[[#This Row],[Precio Bruto]]*1.16</f>
        <v>6226.4739999999993</v>
      </c>
      <c r="K2144" s="281">
        <f>+Tabla4[[#This Row],[Precio Unitario Neto]]*Tabla4[[#Headers],[20.85%]]</f>
        <v>1298.2198289999999</v>
      </c>
      <c r="L2144" s="282">
        <f>++Tabla4[[#This Row],[Precio Unitario Neto]]-Tabla4[[#This Row],[20.85%]]</f>
        <v>4928.2541709999996</v>
      </c>
      <c r="M2144" s="282" t="e">
        <f>(INDEX(Tabla6[#All],MATCH(Tabla4[[#This Row],[Producto]],Tabla6[[#All],[PRODUCTO]],0),MATCH(Tabla4[[#This Row],[Mes]],Tabla6[#Headers],0)))*(1+Catalogos!$L$2)</f>
        <v>#N/A</v>
      </c>
      <c r="N2144" s="283" t="e">
        <f>+(Tabla4[[#This Row],[Precio Descontado]]-Tabla4[[#This Row],[Precio Base]])*Tabla4[[#This Row],[Cantidad]]</f>
        <v>#N/A</v>
      </c>
      <c r="O2144" s="284" t="e">
        <f>++Tabla4[[#This Row],[Utilidad Total]]/Tabla4[[#This Row],[Total]]</f>
        <v>#N/A</v>
      </c>
      <c r="P2144" s="282">
        <f>++Tabla4[[#This Row],[Precio Descontado]]*Tabla4[[#This Row],[Cantidad]]</f>
        <v>9856.5083419999992</v>
      </c>
      <c r="Q2144" s="282" t="e">
        <f>(INDEX(Tabla6[#All],MATCH(Tabla4[[#This Row],[Producto]],Tabla6[[#All],[PRODUCTO]],0),MATCH(Tabla4[[#This Row],[Mes]],Tabla6[#Headers],0)))</f>
        <v>#N/A</v>
      </c>
      <c r="R2144" s="282" t="e">
        <f>++Tabla4[[#This Row],[Precio Unitario Neto]]-Tabla4[[#This Row],[20.85%]]-Tabla4[[#This Row],[Costo]]</f>
        <v>#N/A</v>
      </c>
      <c r="S2144" s="282" t="e">
        <f>++Tabla4[[#This Row],[U. Bruta Uni]]*Tabla4[[#This Row],[Cantidad]]</f>
        <v>#N/A</v>
      </c>
      <c r="T2144" s="369" t="str">
        <f>VLOOKUP(Tabla4[[#This Row],[Producto]],Tabla6[#All],14,FALSE)</f>
        <v>Termico Solar</v>
      </c>
      <c r="U2144" s="284" t="e">
        <f>(IF(Tabla4[[#This Row],[Familia]]="termico solar",Tabla4[[#This Row],[Utilidad Total]]*6%,Tabla4[[#This Row],[Utilidad Total]]*11.5%))/Tabla4[[#This Row],[Total]]</f>
        <v>#N/A</v>
      </c>
      <c r="V2144" s="282" t="e">
        <f>+Tabla4[[#This Row],[Comisión Calculada]]*Tabla4[[#This Row],[Total]]</f>
        <v>#N/A</v>
      </c>
    </row>
    <row r="2145" spans="1:22" hidden="1" x14ac:dyDescent="0.25">
      <c r="A2145" s="100">
        <v>45762</v>
      </c>
      <c r="B2145" t="str">
        <f t="shared" si="109"/>
        <v>April</v>
      </c>
      <c r="C2145" s="46" t="s">
        <v>280</v>
      </c>
      <c r="F2145" s="366" t="s">
        <v>1523</v>
      </c>
      <c r="G2145" s="46" t="s">
        <v>566</v>
      </c>
      <c r="H2145" s="46">
        <v>1</v>
      </c>
      <c r="I2145" s="51">
        <v>2109.4499999999998</v>
      </c>
      <c r="J2145" s="281">
        <f>++Tabla4[[#This Row],[Precio Bruto]]*1.16</f>
        <v>2446.9619999999995</v>
      </c>
      <c r="K2145" s="281">
        <f>+Tabla4[[#This Row],[Precio Unitario Neto]]*Tabla4[[#Headers],[20.85%]]</f>
        <v>510.19157699999988</v>
      </c>
      <c r="L2145" s="282">
        <f>++Tabla4[[#This Row],[Precio Unitario Neto]]-Tabla4[[#This Row],[20.85%]]</f>
        <v>1936.7704229999997</v>
      </c>
      <c r="M2145" s="282" t="e">
        <f>(INDEX(Tabla6[#All],MATCH(Tabla4[[#This Row],[Producto]],Tabla6[[#All],[PRODUCTO]],0),MATCH(Tabla4[[#This Row],[Mes]],Tabla6[#Headers],0)))*(1+Catalogos!$L$2)</f>
        <v>#N/A</v>
      </c>
      <c r="N2145" s="283" t="e">
        <f>+(Tabla4[[#This Row],[Precio Descontado]]-Tabla4[[#This Row],[Precio Base]])*Tabla4[[#This Row],[Cantidad]]</f>
        <v>#N/A</v>
      </c>
      <c r="O2145" s="284" t="e">
        <f>++Tabla4[[#This Row],[Utilidad Total]]/Tabla4[[#This Row],[Total]]</f>
        <v>#N/A</v>
      </c>
      <c r="P2145" s="282">
        <f>++Tabla4[[#This Row],[Precio Descontado]]*Tabla4[[#This Row],[Cantidad]]</f>
        <v>1936.7704229999997</v>
      </c>
      <c r="Q2145" s="282" t="e">
        <f>(INDEX(Tabla6[#All],MATCH(Tabla4[[#This Row],[Producto]],Tabla6[[#All],[PRODUCTO]],0),MATCH(Tabla4[[#This Row],[Mes]],Tabla6[#Headers],0)))</f>
        <v>#N/A</v>
      </c>
      <c r="R2145" s="282" t="e">
        <f>++Tabla4[[#This Row],[Precio Unitario Neto]]-Tabla4[[#This Row],[20.85%]]-Tabla4[[#This Row],[Costo]]</f>
        <v>#N/A</v>
      </c>
      <c r="S2145" s="282" t="e">
        <f>++Tabla4[[#This Row],[U. Bruta Uni]]*Tabla4[[#This Row],[Cantidad]]</f>
        <v>#N/A</v>
      </c>
      <c r="T2145" s="369" t="str">
        <f>VLOOKUP(Tabla4[[#This Row],[Producto]],Tabla6[#All],14,FALSE)</f>
        <v>Termico Solar</v>
      </c>
      <c r="U2145" s="284" t="e">
        <f>(IF(Tabla4[[#This Row],[Familia]]="termico solar",Tabla4[[#This Row],[Utilidad Total]]*6%,Tabla4[[#This Row],[Utilidad Total]]*11.5%))/Tabla4[[#This Row],[Total]]</f>
        <v>#N/A</v>
      </c>
      <c r="V2145" s="282" t="e">
        <f>+Tabla4[[#This Row],[Comisión Calculada]]*Tabla4[[#This Row],[Total]]</f>
        <v>#N/A</v>
      </c>
    </row>
    <row r="2146" spans="1:22" hidden="1" x14ac:dyDescent="0.25">
      <c r="A2146" s="100">
        <v>45762</v>
      </c>
      <c r="B2146" t="str">
        <f t="shared" si="109"/>
        <v>April</v>
      </c>
      <c r="C2146" s="46" t="s">
        <v>280</v>
      </c>
      <c r="F2146" s="366" t="s">
        <v>1524</v>
      </c>
      <c r="G2146" s="46" t="s">
        <v>17</v>
      </c>
      <c r="H2146" s="46">
        <v>1</v>
      </c>
      <c r="I2146" s="51">
        <v>4622.28</v>
      </c>
      <c r="J2146" s="281">
        <f>++Tabla4[[#This Row],[Precio Bruto]]*1.16</f>
        <v>5361.8447999999989</v>
      </c>
      <c r="K2146" s="281">
        <f>+Tabla4[[#This Row],[Precio Unitario Neto]]*Tabla4[[#Headers],[20.85%]]</f>
        <v>1117.9446407999997</v>
      </c>
      <c r="L2146" s="282">
        <f>++Tabla4[[#This Row],[Precio Unitario Neto]]-Tabla4[[#This Row],[20.85%]]</f>
        <v>4243.9001591999995</v>
      </c>
      <c r="M2146" s="282" t="e">
        <f>(INDEX(Tabla6[#All],MATCH(Tabla4[[#This Row],[Producto]],Tabla6[[#All],[PRODUCTO]],0),MATCH(Tabla4[[#This Row],[Mes]],Tabla6[#Headers],0)))*(1+Catalogos!$L$2)</f>
        <v>#N/A</v>
      </c>
      <c r="N2146" s="283" t="e">
        <f>+(Tabla4[[#This Row],[Precio Descontado]]-Tabla4[[#This Row],[Precio Base]])*Tabla4[[#This Row],[Cantidad]]</f>
        <v>#N/A</v>
      </c>
      <c r="O2146" s="284" t="e">
        <f>++Tabla4[[#This Row],[Utilidad Total]]/Tabla4[[#This Row],[Total]]</f>
        <v>#N/A</v>
      </c>
      <c r="P2146" s="282">
        <f>++Tabla4[[#This Row],[Precio Descontado]]*Tabla4[[#This Row],[Cantidad]]</f>
        <v>4243.9001591999995</v>
      </c>
      <c r="Q2146" s="282" t="e">
        <f>(INDEX(Tabla6[#All],MATCH(Tabla4[[#This Row],[Producto]],Tabla6[[#All],[PRODUCTO]],0),MATCH(Tabla4[[#This Row],[Mes]],Tabla6[#Headers],0)))</f>
        <v>#N/A</v>
      </c>
      <c r="R2146" s="282" t="e">
        <f>++Tabla4[[#This Row],[Precio Unitario Neto]]-Tabla4[[#This Row],[20.85%]]-Tabla4[[#This Row],[Costo]]</f>
        <v>#N/A</v>
      </c>
      <c r="S2146" s="282" t="e">
        <f>++Tabla4[[#This Row],[U. Bruta Uni]]*Tabla4[[#This Row],[Cantidad]]</f>
        <v>#N/A</v>
      </c>
      <c r="T2146" s="369" t="str">
        <f>VLOOKUP(Tabla4[[#This Row],[Producto]],Tabla6[#All],14,FALSE)</f>
        <v>Termico Solar</v>
      </c>
      <c r="U2146" s="284" t="e">
        <f>(IF(Tabla4[[#This Row],[Familia]]="termico solar",Tabla4[[#This Row],[Utilidad Total]]*6%,Tabla4[[#This Row],[Utilidad Total]]*11.5%))/Tabla4[[#This Row],[Total]]</f>
        <v>#N/A</v>
      </c>
      <c r="V2146" s="282" t="e">
        <f>+Tabla4[[#This Row],[Comisión Calculada]]*Tabla4[[#This Row],[Total]]</f>
        <v>#N/A</v>
      </c>
    </row>
    <row r="2147" spans="1:22" hidden="1" x14ac:dyDescent="0.25">
      <c r="A2147" s="100">
        <v>45762</v>
      </c>
      <c r="B2147" t="str">
        <f t="shared" si="109"/>
        <v>April</v>
      </c>
      <c r="C2147" s="46" t="s">
        <v>280</v>
      </c>
      <c r="F2147" s="366" t="s">
        <v>1525</v>
      </c>
      <c r="G2147" s="46" t="s">
        <v>18</v>
      </c>
      <c r="H2147" s="46">
        <v>1</v>
      </c>
      <c r="I2147" s="51">
        <v>5367.65</v>
      </c>
      <c r="J2147" s="281">
        <f>++Tabla4[[#This Row],[Precio Bruto]]*1.16</f>
        <v>6226.4739999999993</v>
      </c>
      <c r="K2147" s="281">
        <f>+Tabla4[[#This Row],[Precio Unitario Neto]]*Tabla4[[#Headers],[20.85%]]</f>
        <v>1298.2198289999999</v>
      </c>
      <c r="L2147" s="282">
        <f>++Tabla4[[#This Row],[Precio Unitario Neto]]-Tabla4[[#This Row],[20.85%]]</f>
        <v>4928.2541709999996</v>
      </c>
      <c r="M2147" s="282" t="e">
        <f>(INDEX(Tabla6[#All],MATCH(Tabla4[[#This Row],[Producto]],Tabla6[[#All],[PRODUCTO]],0),MATCH(Tabla4[[#This Row],[Mes]],Tabla6[#Headers],0)))*(1+Catalogos!$L$2)</f>
        <v>#N/A</v>
      </c>
      <c r="N2147" s="283" t="e">
        <f>+(Tabla4[[#This Row],[Precio Descontado]]-Tabla4[[#This Row],[Precio Base]])*Tabla4[[#This Row],[Cantidad]]</f>
        <v>#N/A</v>
      </c>
      <c r="O2147" s="284" t="e">
        <f>++Tabla4[[#This Row],[Utilidad Total]]/Tabla4[[#This Row],[Total]]</f>
        <v>#N/A</v>
      </c>
      <c r="P2147" s="282">
        <f>++Tabla4[[#This Row],[Precio Descontado]]*Tabla4[[#This Row],[Cantidad]]</f>
        <v>4928.2541709999996</v>
      </c>
      <c r="Q2147" s="282" t="e">
        <f>(INDEX(Tabla6[#All],MATCH(Tabla4[[#This Row],[Producto]],Tabla6[[#All],[PRODUCTO]],0),MATCH(Tabla4[[#This Row],[Mes]],Tabla6[#Headers],0)))</f>
        <v>#N/A</v>
      </c>
      <c r="R2147" s="282" t="e">
        <f>++Tabla4[[#This Row],[Precio Unitario Neto]]-Tabla4[[#This Row],[20.85%]]-Tabla4[[#This Row],[Costo]]</f>
        <v>#N/A</v>
      </c>
      <c r="S2147" s="282" t="e">
        <f>++Tabla4[[#This Row],[U. Bruta Uni]]*Tabla4[[#This Row],[Cantidad]]</f>
        <v>#N/A</v>
      </c>
      <c r="T2147" s="369" t="str">
        <f>VLOOKUP(Tabla4[[#This Row],[Producto]],Tabla6[#All],14,FALSE)</f>
        <v>Termico Solar</v>
      </c>
      <c r="U2147" s="284" t="e">
        <f>(IF(Tabla4[[#This Row],[Familia]]="termico solar",Tabla4[[#This Row],[Utilidad Total]]*6%,Tabla4[[#This Row],[Utilidad Total]]*11.5%))/Tabla4[[#This Row],[Total]]</f>
        <v>#N/A</v>
      </c>
      <c r="V2147" s="282" t="e">
        <f>+Tabla4[[#This Row],[Comisión Calculada]]*Tabla4[[#This Row],[Total]]</f>
        <v>#N/A</v>
      </c>
    </row>
    <row r="2148" spans="1:22" hidden="1" x14ac:dyDescent="0.25">
      <c r="A2148" s="100">
        <v>45762</v>
      </c>
      <c r="B2148" t="str">
        <f t="shared" si="109"/>
        <v>April</v>
      </c>
      <c r="C2148" s="46" t="s">
        <v>280</v>
      </c>
      <c r="F2148" s="366" t="s">
        <v>1525</v>
      </c>
      <c r="G2148" s="46" t="s">
        <v>208</v>
      </c>
      <c r="H2148" s="46">
        <v>1</v>
      </c>
      <c r="I2148" s="51">
        <v>189.75</v>
      </c>
      <c r="J2148" s="281">
        <f>++Tabla4[[#This Row],[Precio Bruto]]*1.16</f>
        <v>220.10999999999999</v>
      </c>
      <c r="K2148" s="281">
        <f>+Tabla4[[#This Row],[Precio Unitario Neto]]*Tabla4[[#Headers],[20.85%]]</f>
        <v>45.892934999999994</v>
      </c>
      <c r="L2148" s="282">
        <f>++Tabla4[[#This Row],[Precio Unitario Neto]]-Tabla4[[#This Row],[20.85%]]</f>
        <v>174.21706499999999</v>
      </c>
      <c r="M2148" s="282" t="e">
        <f>(INDEX(Tabla6[#All],MATCH(Tabla4[[#This Row],[Producto]],Tabla6[[#All],[PRODUCTO]],0),MATCH(Tabla4[[#This Row],[Mes]],Tabla6[#Headers],0)))*(1+Catalogos!$L$2)</f>
        <v>#N/A</v>
      </c>
      <c r="N2148" s="283" t="e">
        <f>+(Tabla4[[#This Row],[Precio Descontado]]-Tabla4[[#This Row],[Precio Base]])*Tabla4[[#This Row],[Cantidad]]</f>
        <v>#N/A</v>
      </c>
      <c r="O2148" s="284" t="e">
        <f>++Tabla4[[#This Row],[Utilidad Total]]/Tabla4[[#This Row],[Total]]</f>
        <v>#N/A</v>
      </c>
      <c r="P2148" s="282">
        <f>++Tabla4[[#This Row],[Precio Descontado]]*Tabla4[[#This Row],[Cantidad]]</f>
        <v>174.21706499999999</v>
      </c>
      <c r="Q2148" s="282" t="e">
        <f>(INDEX(Tabla6[#All],MATCH(Tabla4[[#This Row],[Producto]],Tabla6[[#All],[PRODUCTO]],0),MATCH(Tabla4[[#This Row],[Mes]],Tabla6[#Headers],0)))</f>
        <v>#N/A</v>
      </c>
      <c r="R2148" s="282" t="e">
        <f>++Tabla4[[#This Row],[Precio Unitario Neto]]-Tabla4[[#This Row],[20.85%]]-Tabla4[[#This Row],[Costo]]</f>
        <v>#N/A</v>
      </c>
      <c r="S2148" s="282" t="e">
        <f>++Tabla4[[#This Row],[U. Bruta Uni]]*Tabla4[[#This Row],[Cantidad]]</f>
        <v>#N/A</v>
      </c>
      <c r="T2148" s="369" t="str">
        <f>VLOOKUP(Tabla4[[#This Row],[Producto]],Tabla6[#All],14,FALSE)</f>
        <v>Termico Solar</v>
      </c>
      <c r="U2148" s="284" t="e">
        <f>(IF(Tabla4[[#This Row],[Familia]]="termico solar",Tabla4[[#This Row],[Utilidad Total]]*6%,Tabla4[[#This Row],[Utilidad Total]]*11.5%))/Tabla4[[#This Row],[Total]]</f>
        <v>#N/A</v>
      </c>
      <c r="V2148" s="282" t="e">
        <f>+Tabla4[[#This Row],[Comisión Calculada]]*Tabla4[[#This Row],[Total]]</f>
        <v>#N/A</v>
      </c>
    </row>
    <row r="2149" spans="1:22" hidden="1" x14ac:dyDescent="0.25">
      <c r="A2149" s="100">
        <v>45762</v>
      </c>
      <c r="B2149" t="str">
        <f t="shared" si="109"/>
        <v>April</v>
      </c>
      <c r="C2149" s="46" t="s">
        <v>280</v>
      </c>
      <c r="F2149" s="366" t="s">
        <v>1526</v>
      </c>
      <c r="G2149" s="46" t="s">
        <v>83</v>
      </c>
      <c r="H2149" s="46">
        <v>3</v>
      </c>
      <c r="I2149" s="51">
        <v>8858.76</v>
      </c>
      <c r="J2149" s="281">
        <f>++Tabla4[[#This Row],[Precio Bruto]]*1.16</f>
        <v>10276.161599999999</v>
      </c>
      <c r="K2149" s="281">
        <f>+Tabla4[[#This Row],[Precio Unitario Neto]]*Tabla4[[#Headers],[20.85%]]</f>
        <v>2142.5796935999997</v>
      </c>
      <c r="L2149" s="282">
        <f>++Tabla4[[#This Row],[Precio Unitario Neto]]-Tabla4[[#This Row],[20.85%]]</f>
        <v>8133.5819063999998</v>
      </c>
      <c r="M2149" s="282" t="e">
        <f>(INDEX(Tabla6[#All],MATCH(Tabla4[[#This Row],[Producto]],Tabla6[[#All],[PRODUCTO]],0),MATCH(Tabla4[[#This Row],[Mes]],Tabla6[#Headers],0)))*(1+Catalogos!$L$2)</f>
        <v>#N/A</v>
      </c>
      <c r="N2149" s="283" t="e">
        <f>+(Tabla4[[#This Row],[Precio Descontado]]-Tabla4[[#This Row],[Precio Base]])*Tabla4[[#This Row],[Cantidad]]</f>
        <v>#N/A</v>
      </c>
      <c r="O2149" s="284" t="e">
        <f>++Tabla4[[#This Row],[Utilidad Total]]/Tabla4[[#This Row],[Total]]</f>
        <v>#N/A</v>
      </c>
      <c r="P2149" s="282">
        <f>++Tabla4[[#This Row],[Precio Descontado]]*Tabla4[[#This Row],[Cantidad]]</f>
        <v>24400.7457192</v>
      </c>
      <c r="Q2149" s="282" t="e">
        <f>(INDEX(Tabla6[#All],MATCH(Tabla4[[#This Row],[Producto]],Tabla6[[#All],[PRODUCTO]],0),MATCH(Tabla4[[#This Row],[Mes]],Tabla6[#Headers],0)))</f>
        <v>#N/A</v>
      </c>
      <c r="R2149" s="282" t="e">
        <f>++Tabla4[[#This Row],[Precio Unitario Neto]]-Tabla4[[#This Row],[20.85%]]-Tabla4[[#This Row],[Costo]]</f>
        <v>#N/A</v>
      </c>
      <c r="S2149" s="282" t="e">
        <f>++Tabla4[[#This Row],[U. Bruta Uni]]*Tabla4[[#This Row],[Cantidad]]</f>
        <v>#N/A</v>
      </c>
      <c r="T2149" s="369" t="str">
        <f>VLOOKUP(Tabla4[[#This Row],[Producto]],Tabla6[#All],14,FALSE)</f>
        <v>Termico Solar</v>
      </c>
      <c r="U2149" s="284" t="e">
        <f>(IF(Tabla4[[#This Row],[Familia]]="termico solar",Tabla4[[#This Row],[Utilidad Total]]*6%,Tabla4[[#This Row],[Utilidad Total]]*11.5%))/Tabla4[[#This Row],[Total]]</f>
        <v>#N/A</v>
      </c>
      <c r="V2149" s="282" t="e">
        <f>+Tabla4[[#This Row],[Comisión Calculada]]*Tabla4[[#This Row],[Total]]</f>
        <v>#N/A</v>
      </c>
    </row>
    <row r="2150" spans="1:22" hidden="1" x14ac:dyDescent="0.25">
      <c r="A2150" s="100">
        <v>45762</v>
      </c>
      <c r="B2150" t="str">
        <f t="shared" si="109"/>
        <v>April</v>
      </c>
      <c r="C2150" s="46" t="s">
        <v>280</v>
      </c>
      <c r="F2150" s="366" t="s">
        <v>1526</v>
      </c>
      <c r="G2150" s="46" t="s">
        <v>555</v>
      </c>
      <c r="H2150" s="46">
        <v>8</v>
      </c>
      <c r="I2150" s="51">
        <v>389.47</v>
      </c>
      <c r="J2150" s="281">
        <f>++Tabla4[[#This Row],[Precio Bruto]]*1.16</f>
        <v>451.78519999999997</v>
      </c>
      <c r="K2150" s="281">
        <f>+Tabla4[[#This Row],[Precio Unitario Neto]]*Tabla4[[#Headers],[20.85%]]</f>
        <v>94.197214199999991</v>
      </c>
      <c r="L2150" s="282">
        <f>++Tabla4[[#This Row],[Precio Unitario Neto]]-Tabla4[[#This Row],[20.85%]]</f>
        <v>357.58798579999996</v>
      </c>
      <c r="M2150" s="282" t="e">
        <f>(INDEX(Tabla6[#All],MATCH(Tabla4[[#This Row],[Producto]],Tabla6[[#All],[PRODUCTO]],0),MATCH(Tabla4[[#This Row],[Mes]],Tabla6[#Headers],0)))*(1+Catalogos!$L$2)</f>
        <v>#N/A</v>
      </c>
      <c r="N2150" s="283" t="e">
        <f>+(Tabla4[[#This Row],[Precio Descontado]]-Tabla4[[#This Row],[Precio Base]])*Tabla4[[#This Row],[Cantidad]]</f>
        <v>#N/A</v>
      </c>
      <c r="O2150" s="284" t="e">
        <f>++Tabla4[[#This Row],[Utilidad Total]]/Tabla4[[#This Row],[Total]]</f>
        <v>#N/A</v>
      </c>
      <c r="P2150" s="282">
        <f>++Tabla4[[#This Row],[Precio Descontado]]*Tabla4[[#This Row],[Cantidad]]</f>
        <v>2860.7038863999996</v>
      </c>
      <c r="Q2150" s="282" t="e">
        <f>(INDEX(Tabla6[#All],MATCH(Tabla4[[#This Row],[Producto]],Tabla6[[#All],[PRODUCTO]],0),MATCH(Tabla4[[#This Row],[Mes]],Tabla6[#Headers],0)))</f>
        <v>#N/A</v>
      </c>
      <c r="R2150" s="282" t="e">
        <f>++Tabla4[[#This Row],[Precio Unitario Neto]]-Tabla4[[#This Row],[20.85%]]-Tabla4[[#This Row],[Costo]]</f>
        <v>#N/A</v>
      </c>
      <c r="S2150" s="282" t="e">
        <f>++Tabla4[[#This Row],[U. Bruta Uni]]*Tabla4[[#This Row],[Cantidad]]</f>
        <v>#N/A</v>
      </c>
      <c r="T2150" s="369" t="str">
        <f>VLOOKUP(Tabla4[[#This Row],[Producto]],Tabla6[#All],14,FALSE)</f>
        <v>Termico Solar</v>
      </c>
      <c r="U2150" s="284" t="e">
        <f>(IF(Tabla4[[#This Row],[Familia]]="termico solar",Tabla4[[#This Row],[Utilidad Total]]*6%,Tabla4[[#This Row],[Utilidad Total]]*11.5%))/Tabla4[[#This Row],[Total]]</f>
        <v>#N/A</v>
      </c>
      <c r="V2150" s="282" t="e">
        <f>+Tabla4[[#This Row],[Comisión Calculada]]*Tabla4[[#This Row],[Total]]</f>
        <v>#N/A</v>
      </c>
    </row>
    <row r="2151" spans="1:22" hidden="1" x14ac:dyDescent="0.25">
      <c r="A2151" s="100">
        <v>45762</v>
      </c>
      <c r="B2151" t="str">
        <f t="shared" si="109"/>
        <v>April</v>
      </c>
      <c r="C2151" s="46" t="s">
        <v>280</v>
      </c>
      <c r="F2151" s="366" t="s">
        <v>1526</v>
      </c>
      <c r="G2151" s="46" t="s">
        <v>208</v>
      </c>
      <c r="H2151" s="46">
        <v>14</v>
      </c>
      <c r="I2151" s="51">
        <v>189.75</v>
      </c>
      <c r="J2151" s="281">
        <f>++Tabla4[[#This Row],[Precio Bruto]]*1.16</f>
        <v>220.10999999999999</v>
      </c>
      <c r="K2151" s="281">
        <f>+Tabla4[[#This Row],[Precio Unitario Neto]]*Tabla4[[#Headers],[20.85%]]</f>
        <v>45.892934999999994</v>
      </c>
      <c r="L2151" s="282">
        <f>++Tabla4[[#This Row],[Precio Unitario Neto]]-Tabla4[[#This Row],[20.85%]]</f>
        <v>174.21706499999999</v>
      </c>
      <c r="M2151" s="282" t="e">
        <f>(INDEX(Tabla6[#All],MATCH(Tabla4[[#This Row],[Producto]],Tabla6[[#All],[PRODUCTO]],0),MATCH(Tabla4[[#This Row],[Mes]],Tabla6[#Headers],0)))*(1+Catalogos!$L$2)</f>
        <v>#N/A</v>
      </c>
      <c r="N2151" s="283" t="e">
        <f>+(Tabla4[[#This Row],[Precio Descontado]]-Tabla4[[#This Row],[Precio Base]])*Tabla4[[#This Row],[Cantidad]]</f>
        <v>#N/A</v>
      </c>
      <c r="O2151" s="284" t="e">
        <f>++Tabla4[[#This Row],[Utilidad Total]]/Tabla4[[#This Row],[Total]]</f>
        <v>#N/A</v>
      </c>
      <c r="P2151" s="282">
        <f>++Tabla4[[#This Row],[Precio Descontado]]*Tabla4[[#This Row],[Cantidad]]</f>
        <v>2439.0389099999998</v>
      </c>
      <c r="Q2151" s="282" t="e">
        <f>(INDEX(Tabla6[#All],MATCH(Tabla4[[#This Row],[Producto]],Tabla6[[#All],[PRODUCTO]],0),MATCH(Tabla4[[#This Row],[Mes]],Tabla6[#Headers],0)))</f>
        <v>#N/A</v>
      </c>
      <c r="R2151" s="282" t="e">
        <f>++Tabla4[[#This Row],[Precio Unitario Neto]]-Tabla4[[#This Row],[20.85%]]-Tabla4[[#This Row],[Costo]]</f>
        <v>#N/A</v>
      </c>
      <c r="S2151" s="282" t="e">
        <f>++Tabla4[[#This Row],[U. Bruta Uni]]*Tabla4[[#This Row],[Cantidad]]</f>
        <v>#N/A</v>
      </c>
      <c r="T2151" s="369" t="str">
        <f>VLOOKUP(Tabla4[[#This Row],[Producto]],Tabla6[#All],14,FALSE)</f>
        <v>Termico Solar</v>
      </c>
      <c r="U2151" s="284" t="e">
        <f>(IF(Tabla4[[#This Row],[Familia]]="termico solar",Tabla4[[#This Row],[Utilidad Total]]*6%,Tabla4[[#This Row],[Utilidad Total]]*11.5%))/Tabla4[[#This Row],[Total]]</f>
        <v>#N/A</v>
      </c>
      <c r="V2151" s="282" t="e">
        <f>+Tabla4[[#This Row],[Comisión Calculada]]*Tabla4[[#This Row],[Total]]</f>
        <v>#N/A</v>
      </c>
    </row>
    <row r="2152" spans="1:22" hidden="1" x14ac:dyDescent="0.25">
      <c r="A2152" s="100">
        <v>45762</v>
      </c>
      <c r="B2152" t="str">
        <f t="shared" si="109"/>
        <v>April</v>
      </c>
      <c r="C2152" s="46" t="s">
        <v>280</v>
      </c>
      <c r="F2152" s="366" t="s">
        <v>1527</v>
      </c>
      <c r="G2152" s="46" t="s">
        <v>83</v>
      </c>
      <c r="H2152" s="46">
        <v>8</v>
      </c>
      <c r="I2152" s="51">
        <v>8858.76</v>
      </c>
      <c r="J2152" s="281">
        <f>++Tabla4[[#This Row],[Precio Bruto]]*1.16</f>
        <v>10276.161599999999</v>
      </c>
      <c r="K2152" s="281">
        <f>+Tabla4[[#This Row],[Precio Unitario Neto]]*Tabla4[[#Headers],[20.85%]]</f>
        <v>2142.5796935999997</v>
      </c>
      <c r="L2152" s="282">
        <f>++Tabla4[[#This Row],[Precio Unitario Neto]]-Tabla4[[#This Row],[20.85%]]</f>
        <v>8133.5819063999998</v>
      </c>
      <c r="M2152" s="282" t="e">
        <f>(INDEX(Tabla6[#All],MATCH(Tabla4[[#This Row],[Producto]],Tabla6[[#All],[PRODUCTO]],0),MATCH(Tabla4[[#This Row],[Mes]],Tabla6[#Headers],0)))*(1+Catalogos!$L$2)</f>
        <v>#N/A</v>
      </c>
      <c r="N2152" s="283" t="e">
        <f>+(Tabla4[[#This Row],[Precio Descontado]]-Tabla4[[#This Row],[Precio Base]])*Tabla4[[#This Row],[Cantidad]]</f>
        <v>#N/A</v>
      </c>
      <c r="O2152" s="284" t="e">
        <f>++Tabla4[[#This Row],[Utilidad Total]]/Tabla4[[#This Row],[Total]]</f>
        <v>#N/A</v>
      </c>
      <c r="P2152" s="282">
        <f>++Tabla4[[#This Row],[Precio Descontado]]*Tabla4[[#This Row],[Cantidad]]</f>
        <v>65068.655251199998</v>
      </c>
      <c r="Q2152" s="282" t="e">
        <f>(INDEX(Tabla6[#All],MATCH(Tabla4[[#This Row],[Producto]],Tabla6[[#All],[PRODUCTO]],0),MATCH(Tabla4[[#This Row],[Mes]],Tabla6[#Headers],0)))</f>
        <v>#N/A</v>
      </c>
      <c r="R2152" s="282" t="e">
        <f>++Tabla4[[#This Row],[Precio Unitario Neto]]-Tabla4[[#This Row],[20.85%]]-Tabla4[[#This Row],[Costo]]</f>
        <v>#N/A</v>
      </c>
      <c r="S2152" s="282" t="e">
        <f>++Tabla4[[#This Row],[U. Bruta Uni]]*Tabla4[[#This Row],[Cantidad]]</f>
        <v>#N/A</v>
      </c>
      <c r="T2152" s="369" t="str">
        <f>VLOOKUP(Tabla4[[#This Row],[Producto]],Tabla6[#All],14,FALSE)</f>
        <v>Termico Solar</v>
      </c>
      <c r="U2152" s="284" t="e">
        <f>(IF(Tabla4[[#This Row],[Familia]]="termico solar",Tabla4[[#This Row],[Utilidad Total]]*6%,Tabla4[[#This Row],[Utilidad Total]]*11.5%))/Tabla4[[#This Row],[Total]]</f>
        <v>#N/A</v>
      </c>
      <c r="V2152" s="282" t="e">
        <f>+Tabla4[[#This Row],[Comisión Calculada]]*Tabla4[[#This Row],[Total]]</f>
        <v>#N/A</v>
      </c>
    </row>
    <row r="2153" spans="1:22" hidden="1" x14ac:dyDescent="0.25">
      <c r="A2153" s="100">
        <v>45762</v>
      </c>
      <c r="B2153" t="str">
        <f t="shared" si="109"/>
        <v>April</v>
      </c>
      <c r="C2153" s="46" t="s">
        <v>280</v>
      </c>
      <c r="F2153" s="366" t="s">
        <v>1527</v>
      </c>
      <c r="G2153" s="46" t="s">
        <v>18</v>
      </c>
      <c r="H2153" s="46">
        <v>4</v>
      </c>
      <c r="I2153" s="51">
        <v>5367.65</v>
      </c>
      <c r="J2153" s="281">
        <f>++Tabla4[[#This Row],[Precio Bruto]]*1.16</f>
        <v>6226.4739999999993</v>
      </c>
      <c r="K2153" s="281">
        <f>+Tabla4[[#This Row],[Precio Unitario Neto]]*Tabla4[[#Headers],[20.85%]]</f>
        <v>1298.2198289999999</v>
      </c>
      <c r="L2153" s="282">
        <f>++Tabla4[[#This Row],[Precio Unitario Neto]]-Tabla4[[#This Row],[20.85%]]</f>
        <v>4928.2541709999996</v>
      </c>
      <c r="M2153" s="282" t="e">
        <f>(INDEX(Tabla6[#All],MATCH(Tabla4[[#This Row],[Producto]],Tabla6[[#All],[PRODUCTO]],0),MATCH(Tabla4[[#This Row],[Mes]],Tabla6[#Headers],0)))*(1+Catalogos!$L$2)</f>
        <v>#N/A</v>
      </c>
      <c r="N2153" s="283" t="e">
        <f>+(Tabla4[[#This Row],[Precio Descontado]]-Tabla4[[#This Row],[Precio Base]])*Tabla4[[#This Row],[Cantidad]]</f>
        <v>#N/A</v>
      </c>
      <c r="O2153" s="284" t="e">
        <f>++Tabla4[[#This Row],[Utilidad Total]]/Tabla4[[#This Row],[Total]]</f>
        <v>#N/A</v>
      </c>
      <c r="P2153" s="282">
        <f>++Tabla4[[#This Row],[Precio Descontado]]*Tabla4[[#This Row],[Cantidad]]</f>
        <v>19713.016683999998</v>
      </c>
      <c r="Q2153" s="282" t="e">
        <f>(INDEX(Tabla6[#All],MATCH(Tabla4[[#This Row],[Producto]],Tabla6[[#All],[PRODUCTO]],0),MATCH(Tabla4[[#This Row],[Mes]],Tabla6[#Headers],0)))</f>
        <v>#N/A</v>
      </c>
      <c r="R2153" s="282" t="e">
        <f>++Tabla4[[#This Row],[Precio Unitario Neto]]-Tabla4[[#This Row],[20.85%]]-Tabla4[[#This Row],[Costo]]</f>
        <v>#N/A</v>
      </c>
      <c r="S2153" s="282" t="e">
        <f>++Tabla4[[#This Row],[U. Bruta Uni]]*Tabla4[[#This Row],[Cantidad]]</f>
        <v>#N/A</v>
      </c>
      <c r="T2153" s="369" t="str">
        <f>VLOOKUP(Tabla4[[#This Row],[Producto]],Tabla6[#All],14,FALSE)</f>
        <v>Termico Solar</v>
      </c>
      <c r="U2153" s="284" t="e">
        <f>(IF(Tabla4[[#This Row],[Familia]]="termico solar",Tabla4[[#This Row],[Utilidad Total]]*6%,Tabla4[[#This Row],[Utilidad Total]]*11.5%))/Tabla4[[#This Row],[Total]]</f>
        <v>#N/A</v>
      </c>
      <c r="V2153" s="282" t="e">
        <f>+Tabla4[[#This Row],[Comisión Calculada]]*Tabla4[[#This Row],[Total]]</f>
        <v>#N/A</v>
      </c>
    </row>
    <row r="2154" spans="1:22" hidden="1" x14ac:dyDescent="0.25">
      <c r="A2154" s="100">
        <v>45762</v>
      </c>
      <c r="B2154" t="str">
        <f t="shared" si="109"/>
        <v>April</v>
      </c>
      <c r="C2154" s="46" t="s">
        <v>280</v>
      </c>
      <c r="F2154" s="366" t="s">
        <v>1528</v>
      </c>
      <c r="G2154" s="46" t="s">
        <v>83</v>
      </c>
      <c r="H2154" s="46">
        <v>3</v>
      </c>
      <c r="I2154" s="51">
        <v>8858.76</v>
      </c>
      <c r="J2154" s="281">
        <f>++Tabla4[[#This Row],[Precio Bruto]]*1.16</f>
        <v>10276.161599999999</v>
      </c>
      <c r="K2154" s="281">
        <f>+Tabla4[[#This Row],[Precio Unitario Neto]]*Tabla4[[#Headers],[20.85%]]</f>
        <v>2142.5796935999997</v>
      </c>
      <c r="L2154" s="282">
        <f>++Tabla4[[#This Row],[Precio Unitario Neto]]-Tabla4[[#This Row],[20.85%]]</f>
        <v>8133.5819063999998</v>
      </c>
      <c r="M2154" s="282" t="e">
        <f>(INDEX(Tabla6[#All],MATCH(Tabla4[[#This Row],[Producto]],Tabla6[[#All],[PRODUCTO]],0),MATCH(Tabla4[[#This Row],[Mes]],Tabla6[#Headers],0)))*(1+Catalogos!$L$2)</f>
        <v>#N/A</v>
      </c>
      <c r="N2154" s="283" t="e">
        <f>+(Tabla4[[#This Row],[Precio Descontado]]-Tabla4[[#This Row],[Precio Base]])*Tabla4[[#This Row],[Cantidad]]</f>
        <v>#N/A</v>
      </c>
      <c r="O2154" s="284" t="e">
        <f>++Tabla4[[#This Row],[Utilidad Total]]/Tabla4[[#This Row],[Total]]</f>
        <v>#N/A</v>
      </c>
      <c r="P2154" s="282">
        <f>++Tabla4[[#This Row],[Precio Descontado]]*Tabla4[[#This Row],[Cantidad]]</f>
        <v>24400.7457192</v>
      </c>
      <c r="Q2154" s="282" t="e">
        <f>(INDEX(Tabla6[#All],MATCH(Tabla4[[#This Row],[Producto]],Tabla6[[#All],[PRODUCTO]],0),MATCH(Tabla4[[#This Row],[Mes]],Tabla6[#Headers],0)))</f>
        <v>#N/A</v>
      </c>
      <c r="R2154" s="282" t="e">
        <f>++Tabla4[[#This Row],[Precio Unitario Neto]]-Tabla4[[#This Row],[20.85%]]-Tabla4[[#This Row],[Costo]]</f>
        <v>#N/A</v>
      </c>
      <c r="S2154" s="282" t="e">
        <f>++Tabla4[[#This Row],[U. Bruta Uni]]*Tabla4[[#This Row],[Cantidad]]</f>
        <v>#N/A</v>
      </c>
      <c r="T2154" s="369" t="str">
        <f>VLOOKUP(Tabla4[[#This Row],[Producto]],Tabla6[#All],14,FALSE)</f>
        <v>Termico Solar</v>
      </c>
      <c r="U2154" s="284" t="e">
        <f>(IF(Tabla4[[#This Row],[Familia]]="termico solar",Tabla4[[#This Row],[Utilidad Total]]*6%,Tabla4[[#This Row],[Utilidad Total]]*11.5%))/Tabla4[[#This Row],[Total]]</f>
        <v>#N/A</v>
      </c>
      <c r="V2154" s="282" t="e">
        <f>+Tabla4[[#This Row],[Comisión Calculada]]*Tabla4[[#This Row],[Total]]</f>
        <v>#N/A</v>
      </c>
    </row>
    <row r="2155" spans="1:22" hidden="1" x14ac:dyDescent="0.25">
      <c r="A2155" s="100">
        <v>45762</v>
      </c>
      <c r="B2155" t="str">
        <f t="shared" si="109"/>
        <v>April</v>
      </c>
      <c r="C2155" s="46" t="s">
        <v>280</v>
      </c>
      <c r="F2155" s="366" t="s">
        <v>1528</v>
      </c>
      <c r="G2155" s="46" t="s">
        <v>18</v>
      </c>
      <c r="H2155" s="46">
        <v>4</v>
      </c>
      <c r="I2155" s="51">
        <v>5367.65</v>
      </c>
      <c r="J2155" s="281">
        <f>++Tabla4[[#This Row],[Precio Bruto]]*1.16</f>
        <v>6226.4739999999993</v>
      </c>
      <c r="K2155" s="281">
        <f>+Tabla4[[#This Row],[Precio Unitario Neto]]*Tabla4[[#Headers],[20.85%]]</f>
        <v>1298.2198289999999</v>
      </c>
      <c r="L2155" s="282">
        <f>++Tabla4[[#This Row],[Precio Unitario Neto]]-Tabla4[[#This Row],[20.85%]]</f>
        <v>4928.2541709999996</v>
      </c>
      <c r="M2155" s="282" t="e">
        <f>(INDEX(Tabla6[#All],MATCH(Tabla4[[#This Row],[Producto]],Tabla6[[#All],[PRODUCTO]],0),MATCH(Tabla4[[#This Row],[Mes]],Tabla6[#Headers],0)))*(1+Catalogos!$L$2)</f>
        <v>#N/A</v>
      </c>
      <c r="N2155" s="283" t="e">
        <f>+(Tabla4[[#This Row],[Precio Descontado]]-Tabla4[[#This Row],[Precio Base]])*Tabla4[[#This Row],[Cantidad]]</f>
        <v>#N/A</v>
      </c>
      <c r="O2155" s="284" t="e">
        <f>++Tabla4[[#This Row],[Utilidad Total]]/Tabla4[[#This Row],[Total]]</f>
        <v>#N/A</v>
      </c>
      <c r="P2155" s="282">
        <f>++Tabla4[[#This Row],[Precio Descontado]]*Tabla4[[#This Row],[Cantidad]]</f>
        <v>19713.016683999998</v>
      </c>
      <c r="Q2155" s="282" t="e">
        <f>(INDEX(Tabla6[#All],MATCH(Tabla4[[#This Row],[Producto]],Tabla6[[#All],[PRODUCTO]],0),MATCH(Tabla4[[#This Row],[Mes]],Tabla6[#Headers],0)))</f>
        <v>#N/A</v>
      </c>
      <c r="R2155" s="282" t="e">
        <f>++Tabla4[[#This Row],[Precio Unitario Neto]]-Tabla4[[#This Row],[20.85%]]-Tabla4[[#This Row],[Costo]]</f>
        <v>#N/A</v>
      </c>
      <c r="S2155" s="282" t="e">
        <f>++Tabla4[[#This Row],[U. Bruta Uni]]*Tabla4[[#This Row],[Cantidad]]</f>
        <v>#N/A</v>
      </c>
      <c r="T2155" s="369" t="str">
        <f>VLOOKUP(Tabla4[[#This Row],[Producto]],Tabla6[#All],14,FALSE)</f>
        <v>Termico Solar</v>
      </c>
      <c r="U2155" s="284" t="e">
        <f>(IF(Tabla4[[#This Row],[Familia]]="termico solar",Tabla4[[#This Row],[Utilidad Total]]*6%,Tabla4[[#This Row],[Utilidad Total]]*11.5%))/Tabla4[[#This Row],[Total]]</f>
        <v>#N/A</v>
      </c>
      <c r="V2155" s="282" t="e">
        <f>+Tabla4[[#This Row],[Comisión Calculada]]*Tabla4[[#This Row],[Total]]</f>
        <v>#N/A</v>
      </c>
    </row>
    <row r="2156" spans="1:22" hidden="1" x14ac:dyDescent="0.25">
      <c r="A2156" s="100">
        <v>45762</v>
      </c>
      <c r="B2156" t="str">
        <f t="shared" si="109"/>
        <v>April</v>
      </c>
      <c r="C2156" s="46" t="s">
        <v>280</v>
      </c>
      <c r="F2156" s="366" t="s">
        <v>1528</v>
      </c>
      <c r="G2156" s="46" t="s">
        <v>16</v>
      </c>
      <c r="H2156" s="46">
        <v>2</v>
      </c>
      <c r="I2156" s="51">
        <v>4103.8500000000004</v>
      </c>
      <c r="J2156" s="281">
        <f>++Tabla4[[#This Row],[Precio Bruto]]*1.16</f>
        <v>4760.4660000000003</v>
      </c>
      <c r="K2156" s="281">
        <f>+Tabla4[[#This Row],[Precio Unitario Neto]]*Tabla4[[#Headers],[20.85%]]</f>
        <v>992.55716100000006</v>
      </c>
      <c r="L2156" s="282">
        <f>++Tabla4[[#This Row],[Precio Unitario Neto]]-Tabla4[[#This Row],[20.85%]]</f>
        <v>3767.9088390000002</v>
      </c>
      <c r="M2156" s="282" t="e">
        <f>(INDEX(Tabla6[#All],MATCH(Tabla4[[#This Row],[Producto]],Tabla6[[#All],[PRODUCTO]],0),MATCH(Tabla4[[#This Row],[Mes]],Tabla6[#Headers],0)))*(1+Catalogos!$L$2)</f>
        <v>#N/A</v>
      </c>
      <c r="N2156" s="283" t="e">
        <f>+(Tabla4[[#This Row],[Precio Descontado]]-Tabla4[[#This Row],[Precio Base]])*Tabla4[[#This Row],[Cantidad]]</f>
        <v>#N/A</v>
      </c>
      <c r="O2156" s="284" t="e">
        <f>++Tabla4[[#This Row],[Utilidad Total]]/Tabla4[[#This Row],[Total]]</f>
        <v>#N/A</v>
      </c>
      <c r="P2156" s="282">
        <f>++Tabla4[[#This Row],[Precio Descontado]]*Tabla4[[#This Row],[Cantidad]]</f>
        <v>7535.8176780000003</v>
      </c>
      <c r="Q2156" s="282" t="e">
        <f>(INDEX(Tabla6[#All],MATCH(Tabla4[[#This Row],[Producto]],Tabla6[[#All],[PRODUCTO]],0),MATCH(Tabla4[[#This Row],[Mes]],Tabla6[#Headers],0)))</f>
        <v>#N/A</v>
      </c>
      <c r="R2156" s="282" t="e">
        <f>++Tabla4[[#This Row],[Precio Unitario Neto]]-Tabla4[[#This Row],[20.85%]]-Tabla4[[#This Row],[Costo]]</f>
        <v>#N/A</v>
      </c>
      <c r="S2156" s="282" t="e">
        <f>++Tabla4[[#This Row],[U. Bruta Uni]]*Tabla4[[#This Row],[Cantidad]]</f>
        <v>#N/A</v>
      </c>
      <c r="T2156" s="369" t="str">
        <f>VLOOKUP(Tabla4[[#This Row],[Producto]],Tabla6[#All],14,FALSE)</f>
        <v>Termico Solar</v>
      </c>
      <c r="U2156" s="284" t="e">
        <f>(IF(Tabla4[[#This Row],[Familia]]="termico solar",Tabla4[[#This Row],[Utilidad Total]]*6%,Tabla4[[#This Row],[Utilidad Total]]*11.5%))/Tabla4[[#This Row],[Total]]</f>
        <v>#N/A</v>
      </c>
      <c r="V2156" s="282" t="e">
        <f>+Tabla4[[#This Row],[Comisión Calculada]]*Tabla4[[#This Row],[Total]]</f>
        <v>#N/A</v>
      </c>
    </row>
    <row r="2157" spans="1:22" hidden="1" x14ac:dyDescent="0.25">
      <c r="A2157" s="100">
        <v>45762</v>
      </c>
      <c r="B2157" t="str">
        <f t="shared" si="109"/>
        <v>April</v>
      </c>
      <c r="C2157" s="46" t="s">
        <v>280</v>
      </c>
      <c r="F2157" s="366" t="s">
        <v>1529</v>
      </c>
      <c r="G2157" s="46" t="s">
        <v>83</v>
      </c>
      <c r="H2157" s="46">
        <v>2</v>
      </c>
      <c r="I2157" s="51">
        <v>8858.76</v>
      </c>
      <c r="J2157" s="281">
        <f>++Tabla4[[#This Row],[Precio Bruto]]*1.16</f>
        <v>10276.161599999999</v>
      </c>
      <c r="K2157" s="281">
        <f>+Tabla4[[#This Row],[Precio Unitario Neto]]*Tabla4[[#Headers],[20.85%]]</f>
        <v>2142.5796935999997</v>
      </c>
      <c r="L2157" s="282">
        <f>++Tabla4[[#This Row],[Precio Unitario Neto]]-Tabla4[[#This Row],[20.85%]]</f>
        <v>8133.5819063999998</v>
      </c>
      <c r="M2157" s="282" t="e">
        <f>(INDEX(Tabla6[#All],MATCH(Tabla4[[#This Row],[Producto]],Tabla6[[#All],[PRODUCTO]],0),MATCH(Tabla4[[#This Row],[Mes]],Tabla6[#Headers],0)))*(1+Catalogos!$L$2)</f>
        <v>#N/A</v>
      </c>
      <c r="N2157" s="283" t="e">
        <f>+(Tabla4[[#This Row],[Precio Descontado]]-Tabla4[[#This Row],[Precio Base]])*Tabla4[[#This Row],[Cantidad]]</f>
        <v>#N/A</v>
      </c>
      <c r="O2157" s="284" t="e">
        <f>++Tabla4[[#This Row],[Utilidad Total]]/Tabla4[[#This Row],[Total]]</f>
        <v>#N/A</v>
      </c>
      <c r="P2157" s="282">
        <f>++Tabla4[[#This Row],[Precio Descontado]]*Tabla4[[#This Row],[Cantidad]]</f>
        <v>16267.1638128</v>
      </c>
      <c r="Q2157" s="282" t="e">
        <f>(INDEX(Tabla6[#All],MATCH(Tabla4[[#This Row],[Producto]],Tabla6[[#All],[PRODUCTO]],0),MATCH(Tabla4[[#This Row],[Mes]],Tabla6[#Headers],0)))</f>
        <v>#N/A</v>
      </c>
      <c r="R2157" s="282" t="e">
        <f>++Tabla4[[#This Row],[Precio Unitario Neto]]-Tabla4[[#This Row],[20.85%]]-Tabla4[[#This Row],[Costo]]</f>
        <v>#N/A</v>
      </c>
      <c r="S2157" s="282" t="e">
        <f>++Tabla4[[#This Row],[U. Bruta Uni]]*Tabla4[[#This Row],[Cantidad]]</f>
        <v>#N/A</v>
      </c>
      <c r="T2157" s="369" t="str">
        <f>VLOOKUP(Tabla4[[#This Row],[Producto]],Tabla6[#All],14,FALSE)</f>
        <v>Termico Solar</v>
      </c>
      <c r="U2157" s="284" t="e">
        <f>(IF(Tabla4[[#This Row],[Familia]]="termico solar",Tabla4[[#This Row],[Utilidad Total]]*6%,Tabla4[[#This Row],[Utilidad Total]]*11.5%))/Tabla4[[#This Row],[Total]]</f>
        <v>#N/A</v>
      </c>
      <c r="V2157" s="282" t="e">
        <f>+Tabla4[[#This Row],[Comisión Calculada]]*Tabla4[[#This Row],[Total]]</f>
        <v>#N/A</v>
      </c>
    </row>
    <row r="2158" spans="1:22" hidden="1" x14ac:dyDescent="0.25">
      <c r="A2158" s="100">
        <v>45762</v>
      </c>
      <c r="B2158" t="str">
        <f t="shared" si="109"/>
        <v>April</v>
      </c>
      <c r="C2158" s="46" t="s">
        <v>280</v>
      </c>
      <c r="F2158" s="366" t="s">
        <v>1529</v>
      </c>
      <c r="G2158" s="46" t="s">
        <v>18</v>
      </c>
      <c r="H2158" s="46">
        <v>3</v>
      </c>
      <c r="I2158" s="51">
        <v>5367.6500000000005</v>
      </c>
      <c r="J2158" s="281">
        <f>++Tabla4[[#This Row],[Precio Bruto]]*1.16</f>
        <v>6226.4740000000002</v>
      </c>
      <c r="K2158" s="281">
        <f>+Tabla4[[#This Row],[Precio Unitario Neto]]*Tabla4[[#Headers],[20.85%]]</f>
        <v>1298.2198289999999</v>
      </c>
      <c r="L2158" s="282">
        <f>++Tabla4[[#This Row],[Precio Unitario Neto]]-Tabla4[[#This Row],[20.85%]]</f>
        <v>4928.2541710000005</v>
      </c>
      <c r="M2158" s="282" t="e">
        <f>(INDEX(Tabla6[#All],MATCH(Tabla4[[#This Row],[Producto]],Tabla6[[#All],[PRODUCTO]],0),MATCH(Tabla4[[#This Row],[Mes]],Tabla6[#Headers],0)))*(1+Catalogos!$L$2)</f>
        <v>#N/A</v>
      </c>
      <c r="N2158" s="283" t="e">
        <f>+(Tabla4[[#This Row],[Precio Descontado]]-Tabla4[[#This Row],[Precio Base]])*Tabla4[[#This Row],[Cantidad]]</f>
        <v>#N/A</v>
      </c>
      <c r="O2158" s="284" t="e">
        <f>++Tabla4[[#This Row],[Utilidad Total]]/Tabla4[[#This Row],[Total]]</f>
        <v>#N/A</v>
      </c>
      <c r="P2158" s="282">
        <f>++Tabla4[[#This Row],[Precio Descontado]]*Tabla4[[#This Row],[Cantidad]]</f>
        <v>14784.762513000001</v>
      </c>
      <c r="Q2158" s="282" t="e">
        <f>(INDEX(Tabla6[#All],MATCH(Tabla4[[#This Row],[Producto]],Tabla6[[#All],[PRODUCTO]],0),MATCH(Tabla4[[#This Row],[Mes]],Tabla6[#Headers],0)))</f>
        <v>#N/A</v>
      </c>
      <c r="R2158" s="282" t="e">
        <f>++Tabla4[[#This Row],[Precio Unitario Neto]]-Tabla4[[#This Row],[20.85%]]-Tabla4[[#This Row],[Costo]]</f>
        <v>#N/A</v>
      </c>
      <c r="S2158" s="282" t="e">
        <f>++Tabla4[[#This Row],[U. Bruta Uni]]*Tabla4[[#This Row],[Cantidad]]</f>
        <v>#N/A</v>
      </c>
      <c r="T2158" s="369" t="str">
        <f>VLOOKUP(Tabla4[[#This Row],[Producto]],Tabla6[#All],14,FALSE)</f>
        <v>Termico Solar</v>
      </c>
      <c r="U2158" s="284" t="e">
        <f>(IF(Tabla4[[#This Row],[Familia]]="termico solar",Tabla4[[#This Row],[Utilidad Total]]*6%,Tabla4[[#This Row],[Utilidad Total]]*11.5%))/Tabla4[[#This Row],[Total]]</f>
        <v>#N/A</v>
      </c>
      <c r="V2158" s="282" t="e">
        <f>+Tabla4[[#This Row],[Comisión Calculada]]*Tabla4[[#This Row],[Total]]</f>
        <v>#N/A</v>
      </c>
    </row>
    <row r="2159" spans="1:22" hidden="1" x14ac:dyDescent="0.25">
      <c r="A2159" s="100">
        <v>45762</v>
      </c>
      <c r="B2159" t="str">
        <f t="shared" si="109"/>
        <v>April</v>
      </c>
      <c r="C2159" s="46" t="s">
        <v>280</v>
      </c>
      <c r="F2159" s="366" t="s">
        <v>1529</v>
      </c>
      <c r="G2159" s="46" t="s">
        <v>566</v>
      </c>
      <c r="H2159" s="46">
        <v>1</v>
      </c>
      <c r="I2159" s="51">
        <v>2109.4499999999998</v>
      </c>
      <c r="J2159" s="281">
        <f>++Tabla4[[#This Row],[Precio Bruto]]*1.16</f>
        <v>2446.9619999999995</v>
      </c>
      <c r="K2159" s="281">
        <f>+Tabla4[[#This Row],[Precio Unitario Neto]]*Tabla4[[#Headers],[20.85%]]</f>
        <v>510.19157699999988</v>
      </c>
      <c r="L2159" s="282">
        <f>++Tabla4[[#This Row],[Precio Unitario Neto]]-Tabla4[[#This Row],[20.85%]]</f>
        <v>1936.7704229999997</v>
      </c>
      <c r="M2159" s="282" t="e">
        <f>(INDEX(Tabla6[#All],MATCH(Tabla4[[#This Row],[Producto]],Tabla6[[#All],[PRODUCTO]],0),MATCH(Tabla4[[#This Row],[Mes]],Tabla6[#Headers],0)))*(1+Catalogos!$L$2)</f>
        <v>#N/A</v>
      </c>
      <c r="N2159" s="283" t="e">
        <f>+(Tabla4[[#This Row],[Precio Descontado]]-Tabla4[[#This Row],[Precio Base]])*Tabla4[[#This Row],[Cantidad]]</f>
        <v>#N/A</v>
      </c>
      <c r="O2159" s="284" t="e">
        <f>++Tabla4[[#This Row],[Utilidad Total]]/Tabla4[[#This Row],[Total]]</f>
        <v>#N/A</v>
      </c>
      <c r="P2159" s="282">
        <f>++Tabla4[[#This Row],[Precio Descontado]]*Tabla4[[#This Row],[Cantidad]]</f>
        <v>1936.7704229999997</v>
      </c>
      <c r="Q2159" s="282" t="e">
        <f>(INDEX(Tabla6[#All],MATCH(Tabla4[[#This Row],[Producto]],Tabla6[[#All],[PRODUCTO]],0),MATCH(Tabla4[[#This Row],[Mes]],Tabla6[#Headers],0)))</f>
        <v>#N/A</v>
      </c>
      <c r="R2159" s="282" t="e">
        <f>++Tabla4[[#This Row],[Precio Unitario Neto]]-Tabla4[[#This Row],[20.85%]]-Tabla4[[#This Row],[Costo]]</f>
        <v>#N/A</v>
      </c>
      <c r="S2159" s="282" t="e">
        <f>++Tabla4[[#This Row],[U. Bruta Uni]]*Tabla4[[#This Row],[Cantidad]]</f>
        <v>#N/A</v>
      </c>
      <c r="T2159" s="369" t="str">
        <f>VLOOKUP(Tabla4[[#This Row],[Producto]],Tabla6[#All],14,FALSE)</f>
        <v>Termico Solar</v>
      </c>
      <c r="U2159" s="284" t="e">
        <f>(IF(Tabla4[[#This Row],[Familia]]="termico solar",Tabla4[[#This Row],[Utilidad Total]]*6%,Tabla4[[#This Row],[Utilidad Total]]*11.5%))/Tabla4[[#This Row],[Total]]</f>
        <v>#N/A</v>
      </c>
      <c r="V2159" s="282" t="e">
        <f>+Tabla4[[#This Row],[Comisión Calculada]]*Tabla4[[#This Row],[Total]]</f>
        <v>#N/A</v>
      </c>
    </row>
    <row r="2160" spans="1:22" hidden="1" x14ac:dyDescent="0.25">
      <c r="A2160" s="100">
        <v>45762</v>
      </c>
      <c r="B2160" t="str">
        <f t="shared" si="109"/>
        <v>April</v>
      </c>
      <c r="C2160" s="46" t="s">
        <v>280</v>
      </c>
      <c r="F2160" s="366" t="s">
        <v>1530</v>
      </c>
      <c r="G2160" s="46" t="s">
        <v>83</v>
      </c>
      <c r="H2160" s="46">
        <v>1</v>
      </c>
      <c r="I2160" s="51">
        <v>8858.76</v>
      </c>
      <c r="J2160" s="281">
        <f>++Tabla4[[#This Row],[Precio Bruto]]*1.16</f>
        <v>10276.161599999999</v>
      </c>
      <c r="K2160" s="281">
        <f>+Tabla4[[#This Row],[Precio Unitario Neto]]*Tabla4[[#Headers],[20.85%]]</f>
        <v>2142.5796935999997</v>
      </c>
      <c r="L2160" s="282">
        <f>++Tabla4[[#This Row],[Precio Unitario Neto]]-Tabla4[[#This Row],[20.85%]]</f>
        <v>8133.5819063999998</v>
      </c>
      <c r="M2160" s="282" t="e">
        <f>(INDEX(Tabla6[#All],MATCH(Tabla4[[#This Row],[Producto]],Tabla6[[#All],[PRODUCTO]],0),MATCH(Tabla4[[#This Row],[Mes]],Tabla6[#Headers],0)))*(1+Catalogos!$L$2)</f>
        <v>#N/A</v>
      </c>
      <c r="N2160" s="283" t="e">
        <f>+(Tabla4[[#This Row],[Precio Descontado]]-Tabla4[[#This Row],[Precio Base]])*Tabla4[[#This Row],[Cantidad]]</f>
        <v>#N/A</v>
      </c>
      <c r="O2160" s="284" t="e">
        <f>++Tabla4[[#This Row],[Utilidad Total]]/Tabla4[[#This Row],[Total]]</f>
        <v>#N/A</v>
      </c>
      <c r="P2160" s="282">
        <f>++Tabla4[[#This Row],[Precio Descontado]]*Tabla4[[#This Row],[Cantidad]]</f>
        <v>8133.5819063999998</v>
      </c>
      <c r="Q2160" s="282" t="e">
        <f>(INDEX(Tabla6[#All],MATCH(Tabla4[[#This Row],[Producto]],Tabla6[[#All],[PRODUCTO]],0),MATCH(Tabla4[[#This Row],[Mes]],Tabla6[#Headers],0)))</f>
        <v>#N/A</v>
      </c>
      <c r="R2160" s="282" t="e">
        <f>++Tabla4[[#This Row],[Precio Unitario Neto]]-Tabla4[[#This Row],[20.85%]]-Tabla4[[#This Row],[Costo]]</f>
        <v>#N/A</v>
      </c>
      <c r="S2160" s="282" t="e">
        <f>++Tabla4[[#This Row],[U. Bruta Uni]]*Tabla4[[#This Row],[Cantidad]]</f>
        <v>#N/A</v>
      </c>
      <c r="T2160" s="369" t="str">
        <f>VLOOKUP(Tabla4[[#This Row],[Producto]],Tabla6[#All],14,FALSE)</f>
        <v>Termico Solar</v>
      </c>
      <c r="U2160" s="284" t="e">
        <f>(IF(Tabla4[[#This Row],[Familia]]="termico solar",Tabla4[[#This Row],[Utilidad Total]]*6%,Tabla4[[#This Row],[Utilidad Total]]*11.5%))/Tabla4[[#This Row],[Total]]</f>
        <v>#N/A</v>
      </c>
      <c r="V2160" s="282" t="e">
        <f>+Tabla4[[#This Row],[Comisión Calculada]]*Tabla4[[#This Row],[Total]]</f>
        <v>#N/A</v>
      </c>
    </row>
    <row r="2161" spans="1:22" hidden="1" x14ac:dyDescent="0.25">
      <c r="A2161" s="100">
        <v>45762</v>
      </c>
      <c r="B2161" t="str">
        <f t="shared" si="109"/>
        <v>April</v>
      </c>
      <c r="C2161" s="46" t="s">
        <v>280</v>
      </c>
      <c r="F2161" s="366" t="s">
        <v>1530</v>
      </c>
      <c r="G2161" s="46" t="s">
        <v>16</v>
      </c>
      <c r="H2161" s="46">
        <v>1</v>
      </c>
      <c r="I2161" s="51">
        <v>4103.8500000000004</v>
      </c>
      <c r="J2161" s="281">
        <f>++Tabla4[[#This Row],[Precio Bruto]]*1.16</f>
        <v>4760.4660000000003</v>
      </c>
      <c r="K2161" s="281">
        <f>+Tabla4[[#This Row],[Precio Unitario Neto]]*Tabla4[[#Headers],[20.85%]]</f>
        <v>992.55716100000006</v>
      </c>
      <c r="L2161" s="282">
        <f>++Tabla4[[#This Row],[Precio Unitario Neto]]-Tabla4[[#This Row],[20.85%]]</f>
        <v>3767.9088390000002</v>
      </c>
      <c r="M2161" s="282" t="e">
        <f>(INDEX(Tabla6[#All],MATCH(Tabla4[[#This Row],[Producto]],Tabla6[[#All],[PRODUCTO]],0),MATCH(Tabla4[[#This Row],[Mes]],Tabla6[#Headers],0)))*(1+Catalogos!$L$2)</f>
        <v>#N/A</v>
      </c>
      <c r="N2161" s="283" t="e">
        <f>+(Tabla4[[#This Row],[Precio Descontado]]-Tabla4[[#This Row],[Precio Base]])*Tabla4[[#This Row],[Cantidad]]</f>
        <v>#N/A</v>
      </c>
      <c r="O2161" s="284" t="e">
        <f>++Tabla4[[#This Row],[Utilidad Total]]/Tabla4[[#This Row],[Total]]</f>
        <v>#N/A</v>
      </c>
      <c r="P2161" s="282">
        <f>++Tabla4[[#This Row],[Precio Descontado]]*Tabla4[[#This Row],[Cantidad]]</f>
        <v>3767.9088390000002</v>
      </c>
      <c r="Q2161" s="282" t="e">
        <f>(INDEX(Tabla6[#All],MATCH(Tabla4[[#This Row],[Producto]],Tabla6[[#All],[PRODUCTO]],0),MATCH(Tabla4[[#This Row],[Mes]],Tabla6[#Headers],0)))</f>
        <v>#N/A</v>
      </c>
      <c r="R2161" s="282" t="e">
        <f>++Tabla4[[#This Row],[Precio Unitario Neto]]-Tabla4[[#This Row],[20.85%]]-Tabla4[[#This Row],[Costo]]</f>
        <v>#N/A</v>
      </c>
      <c r="S2161" s="282" t="e">
        <f>++Tabla4[[#This Row],[U. Bruta Uni]]*Tabla4[[#This Row],[Cantidad]]</f>
        <v>#N/A</v>
      </c>
      <c r="T2161" s="369" t="str">
        <f>VLOOKUP(Tabla4[[#This Row],[Producto]],Tabla6[#All],14,FALSE)</f>
        <v>Termico Solar</v>
      </c>
      <c r="U2161" s="284" t="e">
        <f>(IF(Tabla4[[#This Row],[Familia]]="termico solar",Tabla4[[#This Row],[Utilidad Total]]*6%,Tabla4[[#This Row],[Utilidad Total]]*11.5%))/Tabla4[[#This Row],[Total]]</f>
        <v>#N/A</v>
      </c>
      <c r="V2161" s="282" t="e">
        <f>+Tabla4[[#This Row],[Comisión Calculada]]*Tabla4[[#This Row],[Total]]</f>
        <v>#N/A</v>
      </c>
    </row>
    <row r="2162" spans="1:22" hidden="1" x14ac:dyDescent="0.25">
      <c r="A2162" s="100">
        <v>45762</v>
      </c>
      <c r="B2162" t="str">
        <f t="shared" si="109"/>
        <v>April</v>
      </c>
      <c r="C2162" s="46" t="s">
        <v>280</v>
      </c>
      <c r="F2162" s="366" t="s">
        <v>1531</v>
      </c>
      <c r="G2162" s="46" t="s">
        <v>16</v>
      </c>
      <c r="H2162" s="46">
        <v>2</v>
      </c>
      <c r="I2162" s="51">
        <v>4103.8500000000004</v>
      </c>
      <c r="J2162" s="281">
        <f>++Tabla4[[#This Row],[Precio Bruto]]*1.16</f>
        <v>4760.4660000000003</v>
      </c>
      <c r="K2162" s="281">
        <f>+Tabla4[[#This Row],[Precio Unitario Neto]]*Tabla4[[#Headers],[20.85%]]</f>
        <v>992.55716100000006</v>
      </c>
      <c r="L2162" s="282">
        <f>++Tabla4[[#This Row],[Precio Unitario Neto]]-Tabla4[[#This Row],[20.85%]]</f>
        <v>3767.9088390000002</v>
      </c>
      <c r="M2162" s="282" t="e">
        <f>(INDEX(Tabla6[#All],MATCH(Tabla4[[#This Row],[Producto]],Tabla6[[#All],[PRODUCTO]],0),MATCH(Tabla4[[#This Row],[Mes]],Tabla6[#Headers],0)))*(1+Catalogos!$L$2)</f>
        <v>#N/A</v>
      </c>
      <c r="N2162" s="283" t="e">
        <f>+(Tabla4[[#This Row],[Precio Descontado]]-Tabla4[[#This Row],[Precio Base]])*Tabla4[[#This Row],[Cantidad]]</f>
        <v>#N/A</v>
      </c>
      <c r="O2162" s="284" t="e">
        <f>++Tabla4[[#This Row],[Utilidad Total]]/Tabla4[[#This Row],[Total]]</f>
        <v>#N/A</v>
      </c>
      <c r="P2162" s="282">
        <f>++Tabla4[[#This Row],[Precio Descontado]]*Tabla4[[#This Row],[Cantidad]]</f>
        <v>7535.8176780000003</v>
      </c>
      <c r="Q2162" s="282" t="e">
        <f>(INDEX(Tabla6[#All],MATCH(Tabla4[[#This Row],[Producto]],Tabla6[[#All],[PRODUCTO]],0),MATCH(Tabla4[[#This Row],[Mes]],Tabla6[#Headers],0)))</f>
        <v>#N/A</v>
      </c>
      <c r="R2162" s="282" t="e">
        <f>++Tabla4[[#This Row],[Precio Unitario Neto]]-Tabla4[[#This Row],[20.85%]]-Tabla4[[#This Row],[Costo]]</f>
        <v>#N/A</v>
      </c>
      <c r="S2162" s="282" t="e">
        <f>++Tabla4[[#This Row],[U. Bruta Uni]]*Tabla4[[#This Row],[Cantidad]]</f>
        <v>#N/A</v>
      </c>
      <c r="T2162" s="369" t="str">
        <f>VLOOKUP(Tabla4[[#This Row],[Producto]],Tabla6[#All],14,FALSE)</f>
        <v>Termico Solar</v>
      </c>
      <c r="U2162" s="284" t="e">
        <f>(IF(Tabla4[[#This Row],[Familia]]="termico solar",Tabla4[[#This Row],[Utilidad Total]]*6%,Tabla4[[#This Row],[Utilidad Total]]*11.5%))/Tabla4[[#This Row],[Total]]</f>
        <v>#N/A</v>
      </c>
      <c r="V2162" s="282" t="e">
        <f>+Tabla4[[#This Row],[Comisión Calculada]]*Tabla4[[#This Row],[Total]]</f>
        <v>#N/A</v>
      </c>
    </row>
    <row r="2163" spans="1:22" hidden="1" x14ac:dyDescent="0.25">
      <c r="A2163" s="100">
        <v>45762</v>
      </c>
      <c r="B2163" t="str">
        <f t="shared" si="109"/>
        <v>April</v>
      </c>
      <c r="C2163" s="46" t="s">
        <v>280</v>
      </c>
      <c r="F2163" s="366" t="s">
        <v>1531</v>
      </c>
      <c r="G2163" s="46" t="s">
        <v>208</v>
      </c>
      <c r="H2163" s="46">
        <v>2</v>
      </c>
      <c r="I2163" s="51">
        <v>189.75</v>
      </c>
      <c r="J2163" s="281">
        <f>++Tabla4[[#This Row],[Precio Bruto]]*1.16</f>
        <v>220.10999999999999</v>
      </c>
      <c r="K2163" s="281">
        <f>+Tabla4[[#This Row],[Precio Unitario Neto]]*Tabla4[[#Headers],[20.85%]]</f>
        <v>45.892934999999994</v>
      </c>
      <c r="L2163" s="282">
        <f>++Tabla4[[#This Row],[Precio Unitario Neto]]-Tabla4[[#This Row],[20.85%]]</f>
        <v>174.21706499999999</v>
      </c>
      <c r="M2163" s="282" t="e">
        <f>(INDEX(Tabla6[#All],MATCH(Tabla4[[#This Row],[Producto]],Tabla6[[#All],[PRODUCTO]],0),MATCH(Tabla4[[#This Row],[Mes]],Tabla6[#Headers],0)))*(1+Catalogos!$L$2)</f>
        <v>#N/A</v>
      </c>
      <c r="N2163" s="283" t="e">
        <f>+(Tabla4[[#This Row],[Precio Descontado]]-Tabla4[[#This Row],[Precio Base]])*Tabla4[[#This Row],[Cantidad]]</f>
        <v>#N/A</v>
      </c>
      <c r="O2163" s="284" t="e">
        <f>++Tabla4[[#This Row],[Utilidad Total]]/Tabla4[[#This Row],[Total]]</f>
        <v>#N/A</v>
      </c>
      <c r="P2163" s="282">
        <f>++Tabla4[[#This Row],[Precio Descontado]]*Tabla4[[#This Row],[Cantidad]]</f>
        <v>348.43412999999998</v>
      </c>
      <c r="Q2163" s="282" t="e">
        <f>(INDEX(Tabla6[#All],MATCH(Tabla4[[#This Row],[Producto]],Tabla6[[#All],[PRODUCTO]],0),MATCH(Tabla4[[#This Row],[Mes]],Tabla6[#Headers],0)))</f>
        <v>#N/A</v>
      </c>
      <c r="R2163" s="282" t="e">
        <f>++Tabla4[[#This Row],[Precio Unitario Neto]]-Tabla4[[#This Row],[20.85%]]-Tabla4[[#This Row],[Costo]]</f>
        <v>#N/A</v>
      </c>
      <c r="S2163" s="282" t="e">
        <f>++Tabla4[[#This Row],[U. Bruta Uni]]*Tabla4[[#This Row],[Cantidad]]</f>
        <v>#N/A</v>
      </c>
      <c r="T2163" s="369" t="str">
        <f>VLOOKUP(Tabla4[[#This Row],[Producto]],Tabla6[#All],14,FALSE)</f>
        <v>Termico Solar</v>
      </c>
      <c r="U2163" s="284" t="e">
        <f>(IF(Tabla4[[#This Row],[Familia]]="termico solar",Tabla4[[#This Row],[Utilidad Total]]*6%,Tabla4[[#This Row],[Utilidad Total]]*11.5%))/Tabla4[[#This Row],[Total]]</f>
        <v>#N/A</v>
      </c>
      <c r="V2163" s="282" t="e">
        <f>+Tabla4[[#This Row],[Comisión Calculada]]*Tabla4[[#This Row],[Total]]</f>
        <v>#N/A</v>
      </c>
    </row>
    <row r="2164" spans="1:22" hidden="1" x14ac:dyDescent="0.25">
      <c r="A2164" s="100">
        <v>45762</v>
      </c>
      <c r="B2164" t="str">
        <f t="shared" si="109"/>
        <v>April</v>
      </c>
      <c r="C2164" s="46" t="s">
        <v>280</v>
      </c>
      <c r="F2164" s="366" t="s">
        <v>1532</v>
      </c>
      <c r="G2164" s="46" t="s">
        <v>17</v>
      </c>
      <c r="H2164" s="46">
        <v>1</v>
      </c>
      <c r="I2164" s="51">
        <v>4622.28</v>
      </c>
      <c r="J2164" s="281">
        <f>++Tabla4[[#This Row],[Precio Bruto]]*1.16</f>
        <v>5361.8447999999989</v>
      </c>
      <c r="K2164" s="281">
        <f>+Tabla4[[#This Row],[Precio Unitario Neto]]*Tabla4[[#Headers],[20.85%]]</f>
        <v>1117.9446407999997</v>
      </c>
      <c r="L2164" s="282">
        <f>++Tabla4[[#This Row],[Precio Unitario Neto]]-Tabla4[[#This Row],[20.85%]]</f>
        <v>4243.9001591999995</v>
      </c>
      <c r="M2164" s="282" t="e">
        <f>(INDEX(Tabla6[#All],MATCH(Tabla4[[#This Row],[Producto]],Tabla6[[#All],[PRODUCTO]],0),MATCH(Tabla4[[#This Row],[Mes]],Tabla6[#Headers],0)))*(1+Catalogos!$L$2)</f>
        <v>#N/A</v>
      </c>
      <c r="N2164" s="283" t="e">
        <f>+(Tabla4[[#This Row],[Precio Descontado]]-Tabla4[[#This Row],[Precio Base]])*Tabla4[[#This Row],[Cantidad]]</f>
        <v>#N/A</v>
      </c>
      <c r="O2164" s="284" t="e">
        <f>++Tabla4[[#This Row],[Utilidad Total]]/Tabla4[[#This Row],[Total]]</f>
        <v>#N/A</v>
      </c>
      <c r="P2164" s="282">
        <f>++Tabla4[[#This Row],[Precio Descontado]]*Tabla4[[#This Row],[Cantidad]]</f>
        <v>4243.9001591999995</v>
      </c>
      <c r="Q2164" s="282" t="e">
        <f>(INDEX(Tabla6[#All],MATCH(Tabla4[[#This Row],[Producto]],Tabla6[[#All],[PRODUCTO]],0),MATCH(Tabla4[[#This Row],[Mes]],Tabla6[#Headers],0)))</f>
        <v>#N/A</v>
      </c>
      <c r="R2164" s="282" t="e">
        <f>++Tabla4[[#This Row],[Precio Unitario Neto]]-Tabla4[[#This Row],[20.85%]]-Tabla4[[#This Row],[Costo]]</f>
        <v>#N/A</v>
      </c>
      <c r="S2164" s="282" t="e">
        <f>++Tabla4[[#This Row],[U. Bruta Uni]]*Tabla4[[#This Row],[Cantidad]]</f>
        <v>#N/A</v>
      </c>
      <c r="T2164" s="369" t="str">
        <f>VLOOKUP(Tabla4[[#This Row],[Producto]],Tabla6[#All],14,FALSE)</f>
        <v>Termico Solar</v>
      </c>
      <c r="U2164" s="284" t="e">
        <f>(IF(Tabla4[[#This Row],[Familia]]="termico solar",Tabla4[[#This Row],[Utilidad Total]]*6%,Tabla4[[#This Row],[Utilidad Total]]*11.5%))/Tabla4[[#This Row],[Total]]</f>
        <v>#N/A</v>
      </c>
      <c r="V2164" s="282" t="e">
        <f>+Tabla4[[#This Row],[Comisión Calculada]]*Tabla4[[#This Row],[Total]]</f>
        <v>#N/A</v>
      </c>
    </row>
    <row r="2165" spans="1:22" hidden="1" x14ac:dyDescent="0.25">
      <c r="A2165" s="100">
        <v>45762</v>
      </c>
      <c r="B2165" t="str">
        <f t="shared" si="109"/>
        <v>April</v>
      </c>
      <c r="C2165" s="46" t="s">
        <v>280</v>
      </c>
      <c r="F2165" s="366" t="s">
        <v>1533</v>
      </c>
      <c r="G2165" s="46" t="s">
        <v>18</v>
      </c>
      <c r="H2165" s="46">
        <v>5</v>
      </c>
      <c r="I2165" s="51">
        <v>5367.65</v>
      </c>
      <c r="J2165" s="281">
        <f>++Tabla4[[#This Row],[Precio Bruto]]*1.16</f>
        <v>6226.4739999999993</v>
      </c>
      <c r="K2165" s="281">
        <f>+Tabla4[[#This Row],[Precio Unitario Neto]]*Tabla4[[#Headers],[20.85%]]</f>
        <v>1298.2198289999999</v>
      </c>
      <c r="L2165" s="282">
        <f>++Tabla4[[#This Row],[Precio Unitario Neto]]-Tabla4[[#This Row],[20.85%]]</f>
        <v>4928.2541709999996</v>
      </c>
      <c r="M2165" s="282" t="e">
        <f>(INDEX(Tabla6[#All],MATCH(Tabla4[[#This Row],[Producto]],Tabla6[[#All],[PRODUCTO]],0),MATCH(Tabla4[[#This Row],[Mes]],Tabla6[#Headers],0)))*(1+Catalogos!$L$2)</f>
        <v>#N/A</v>
      </c>
      <c r="N2165" s="283" t="e">
        <f>+(Tabla4[[#This Row],[Precio Descontado]]-Tabla4[[#This Row],[Precio Base]])*Tabla4[[#This Row],[Cantidad]]</f>
        <v>#N/A</v>
      </c>
      <c r="O2165" s="284" t="e">
        <f>++Tabla4[[#This Row],[Utilidad Total]]/Tabla4[[#This Row],[Total]]</f>
        <v>#N/A</v>
      </c>
      <c r="P2165" s="282">
        <f>++Tabla4[[#This Row],[Precio Descontado]]*Tabla4[[#This Row],[Cantidad]]</f>
        <v>24641.270854999999</v>
      </c>
      <c r="Q2165" s="282" t="e">
        <f>(INDEX(Tabla6[#All],MATCH(Tabla4[[#This Row],[Producto]],Tabla6[[#All],[PRODUCTO]],0),MATCH(Tabla4[[#This Row],[Mes]],Tabla6[#Headers],0)))</f>
        <v>#N/A</v>
      </c>
      <c r="R2165" s="282" t="e">
        <f>++Tabla4[[#This Row],[Precio Unitario Neto]]-Tabla4[[#This Row],[20.85%]]-Tabla4[[#This Row],[Costo]]</f>
        <v>#N/A</v>
      </c>
      <c r="S2165" s="282" t="e">
        <f>++Tabla4[[#This Row],[U. Bruta Uni]]*Tabla4[[#This Row],[Cantidad]]</f>
        <v>#N/A</v>
      </c>
      <c r="T2165" s="369" t="str">
        <f>VLOOKUP(Tabla4[[#This Row],[Producto]],Tabla6[#All],14,FALSE)</f>
        <v>Termico Solar</v>
      </c>
      <c r="U2165" s="284" t="e">
        <f>(IF(Tabla4[[#This Row],[Familia]]="termico solar",Tabla4[[#This Row],[Utilidad Total]]*6%,Tabla4[[#This Row],[Utilidad Total]]*11.5%))/Tabla4[[#This Row],[Total]]</f>
        <v>#N/A</v>
      </c>
      <c r="V2165" s="282" t="e">
        <f>+Tabla4[[#This Row],[Comisión Calculada]]*Tabla4[[#This Row],[Total]]</f>
        <v>#N/A</v>
      </c>
    </row>
    <row r="2166" spans="1:22" hidden="1" x14ac:dyDescent="0.25">
      <c r="A2166" s="100">
        <v>45762</v>
      </c>
      <c r="B2166" t="str">
        <f t="shared" si="109"/>
        <v>April</v>
      </c>
      <c r="C2166" s="46" t="s">
        <v>280</v>
      </c>
      <c r="F2166" s="366" t="s">
        <v>1533</v>
      </c>
      <c r="G2166" s="46" t="s">
        <v>566</v>
      </c>
      <c r="H2166" s="46">
        <v>1</v>
      </c>
      <c r="I2166" s="51">
        <v>2109.4499999999998</v>
      </c>
      <c r="J2166" s="281">
        <f>++Tabla4[[#This Row],[Precio Bruto]]*1.16</f>
        <v>2446.9619999999995</v>
      </c>
      <c r="K2166" s="281">
        <f>+Tabla4[[#This Row],[Precio Unitario Neto]]*Tabla4[[#Headers],[20.85%]]</f>
        <v>510.19157699999988</v>
      </c>
      <c r="L2166" s="282">
        <f>++Tabla4[[#This Row],[Precio Unitario Neto]]-Tabla4[[#This Row],[20.85%]]</f>
        <v>1936.7704229999997</v>
      </c>
      <c r="M2166" s="282" t="e">
        <f>(INDEX(Tabla6[#All],MATCH(Tabla4[[#This Row],[Producto]],Tabla6[[#All],[PRODUCTO]],0),MATCH(Tabla4[[#This Row],[Mes]],Tabla6[#Headers],0)))*(1+Catalogos!$L$2)</f>
        <v>#N/A</v>
      </c>
      <c r="N2166" s="283" t="e">
        <f>+(Tabla4[[#This Row],[Precio Descontado]]-Tabla4[[#This Row],[Precio Base]])*Tabla4[[#This Row],[Cantidad]]</f>
        <v>#N/A</v>
      </c>
      <c r="O2166" s="284" t="e">
        <f>++Tabla4[[#This Row],[Utilidad Total]]/Tabla4[[#This Row],[Total]]</f>
        <v>#N/A</v>
      </c>
      <c r="P2166" s="282">
        <f>++Tabla4[[#This Row],[Precio Descontado]]*Tabla4[[#This Row],[Cantidad]]</f>
        <v>1936.7704229999997</v>
      </c>
      <c r="Q2166" s="282" t="e">
        <f>(INDEX(Tabla6[#All],MATCH(Tabla4[[#This Row],[Producto]],Tabla6[[#All],[PRODUCTO]],0),MATCH(Tabla4[[#This Row],[Mes]],Tabla6[#Headers],0)))</f>
        <v>#N/A</v>
      </c>
      <c r="R2166" s="282" t="e">
        <f>++Tabla4[[#This Row],[Precio Unitario Neto]]-Tabla4[[#This Row],[20.85%]]-Tabla4[[#This Row],[Costo]]</f>
        <v>#N/A</v>
      </c>
      <c r="S2166" s="282" t="e">
        <f>++Tabla4[[#This Row],[U. Bruta Uni]]*Tabla4[[#This Row],[Cantidad]]</f>
        <v>#N/A</v>
      </c>
      <c r="T2166" s="369" t="str">
        <f>VLOOKUP(Tabla4[[#This Row],[Producto]],Tabla6[#All],14,FALSE)</f>
        <v>Termico Solar</v>
      </c>
      <c r="U2166" s="284" t="e">
        <f>(IF(Tabla4[[#This Row],[Familia]]="termico solar",Tabla4[[#This Row],[Utilidad Total]]*6%,Tabla4[[#This Row],[Utilidad Total]]*11.5%))/Tabla4[[#This Row],[Total]]</f>
        <v>#N/A</v>
      </c>
      <c r="V2166" s="282" t="e">
        <f>+Tabla4[[#This Row],[Comisión Calculada]]*Tabla4[[#This Row],[Total]]</f>
        <v>#N/A</v>
      </c>
    </row>
    <row r="2167" spans="1:22" hidden="1" x14ac:dyDescent="0.25">
      <c r="A2167" s="100">
        <v>45762</v>
      </c>
      <c r="B2167" t="str">
        <f t="shared" si="109"/>
        <v>April</v>
      </c>
      <c r="C2167" s="46" t="s">
        <v>280</v>
      </c>
      <c r="F2167" s="366" t="s">
        <v>1534</v>
      </c>
      <c r="G2167" s="46" t="s">
        <v>16</v>
      </c>
      <c r="H2167" s="46">
        <v>2</v>
      </c>
      <c r="I2167" s="51">
        <v>4103.8500000000004</v>
      </c>
      <c r="J2167" s="281">
        <f>++Tabla4[[#This Row],[Precio Bruto]]*1.16</f>
        <v>4760.4660000000003</v>
      </c>
      <c r="K2167" s="281">
        <f>+Tabla4[[#This Row],[Precio Unitario Neto]]*Tabla4[[#Headers],[20.85%]]</f>
        <v>992.55716100000006</v>
      </c>
      <c r="L2167" s="282">
        <f>++Tabla4[[#This Row],[Precio Unitario Neto]]-Tabla4[[#This Row],[20.85%]]</f>
        <v>3767.9088390000002</v>
      </c>
      <c r="M2167" s="282" t="e">
        <f>(INDEX(Tabla6[#All],MATCH(Tabla4[[#This Row],[Producto]],Tabla6[[#All],[PRODUCTO]],0),MATCH(Tabla4[[#This Row],[Mes]],Tabla6[#Headers],0)))*(1+Catalogos!$L$2)</f>
        <v>#N/A</v>
      </c>
      <c r="N2167" s="283" t="e">
        <f>+(Tabla4[[#This Row],[Precio Descontado]]-Tabla4[[#This Row],[Precio Base]])*Tabla4[[#This Row],[Cantidad]]</f>
        <v>#N/A</v>
      </c>
      <c r="O2167" s="284" t="e">
        <f>++Tabla4[[#This Row],[Utilidad Total]]/Tabla4[[#This Row],[Total]]</f>
        <v>#N/A</v>
      </c>
      <c r="P2167" s="282">
        <f>++Tabla4[[#This Row],[Precio Descontado]]*Tabla4[[#This Row],[Cantidad]]</f>
        <v>7535.8176780000003</v>
      </c>
      <c r="Q2167" s="282" t="e">
        <f>(INDEX(Tabla6[#All],MATCH(Tabla4[[#This Row],[Producto]],Tabla6[[#All],[PRODUCTO]],0),MATCH(Tabla4[[#This Row],[Mes]],Tabla6[#Headers],0)))</f>
        <v>#N/A</v>
      </c>
      <c r="R2167" s="282" t="e">
        <f>++Tabla4[[#This Row],[Precio Unitario Neto]]-Tabla4[[#This Row],[20.85%]]-Tabla4[[#This Row],[Costo]]</f>
        <v>#N/A</v>
      </c>
      <c r="S2167" s="282" t="e">
        <f>++Tabla4[[#This Row],[U. Bruta Uni]]*Tabla4[[#This Row],[Cantidad]]</f>
        <v>#N/A</v>
      </c>
      <c r="T2167" s="369" t="str">
        <f>VLOOKUP(Tabla4[[#This Row],[Producto]],Tabla6[#All],14,FALSE)</f>
        <v>Termico Solar</v>
      </c>
      <c r="U2167" s="284" t="e">
        <f>(IF(Tabla4[[#This Row],[Familia]]="termico solar",Tabla4[[#This Row],[Utilidad Total]]*6%,Tabla4[[#This Row],[Utilidad Total]]*11.5%))/Tabla4[[#This Row],[Total]]</f>
        <v>#N/A</v>
      </c>
      <c r="V2167" s="282" t="e">
        <f>+Tabla4[[#This Row],[Comisión Calculada]]*Tabla4[[#This Row],[Total]]</f>
        <v>#N/A</v>
      </c>
    </row>
    <row r="2168" spans="1:22" hidden="1" x14ac:dyDescent="0.25">
      <c r="A2168" s="100">
        <v>45762</v>
      </c>
      <c r="B2168" t="str">
        <f t="shared" ref="B2168:B2173" si="110">TEXT(A2168, "mmmm")</f>
        <v>April</v>
      </c>
      <c r="C2168" s="46" t="s">
        <v>280</v>
      </c>
      <c r="F2168" s="366" t="s">
        <v>1535</v>
      </c>
      <c r="G2168" s="46" t="s">
        <v>83</v>
      </c>
      <c r="H2168" s="46">
        <v>1</v>
      </c>
      <c r="I2168" s="51">
        <v>8858.76</v>
      </c>
      <c r="J2168" s="281">
        <f>++Tabla4[[#This Row],[Precio Bruto]]*1.16</f>
        <v>10276.161599999999</v>
      </c>
      <c r="K2168" s="281">
        <f>+Tabla4[[#This Row],[Precio Unitario Neto]]*Tabla4[[#Headers],[20.85%]]</f>
        <v>2142.5796935999997</v>
      </c>
      <c r="L2168" s="282">
        <f>++Tabla4[[#This Row],[Precio Unitario Neto]]-Tabla4[[#This Row],[20.85%]]</f>
        <v>8133.5819063999998</v>
      </c>
      <c r="M2168" s="282" t="e">
        <f>(INDEX(Tabla6[#All],MATCH(Tabla4[[#This Row],[Producto]],Tabla6[[#All],[PRODUCTO]],0),MATCH(Tabla4[[#This Row],[Mes]],Tabla6[#Headers],0)))*(1+Catalogos!$L$2)</f>
        <v>#N/A</v>
      </c>
      <c r="N2168" s="283" t="e">
        <f>+(Tabla4[[#This Row],[Precio Descontado]]-Tabla4[[#This Row],[Precio Base]])*Tabla4[[#This Row],[Cantidad]]</f>
        <v>#N/A</v>
      </c>
      <c r="O2168" s="284" t="e">
        <f>++Tabla4[[#This Row],[Utilidad Total]]/Tabla4[[#This Row],[Total]]</f>
        <v>#N/A</v>
      </c>
      <c r="P2168" s="282">
        <f>++Tabla4[[#This Row],[Precio Descontado]]*Tabla4[[#This Row],[Cantidad]]</f>
        <v>8133.5819063999998</v>
      </c>
      <c r="Q2168" s="282" t="e">
        <f>(INDEX(Tabla6[#All],MATCH(Tabla4[[#This Row],[Producto]],Tabla6[[#All],[PRODUCTO]],0),MATCH(Tabla4[[#This Row],[Mes]],Tabla6[#Headers],0)))</f>
        <v>#N/A</v>
      </c>
      <c r="R2168" s="282" t="e">
        <f>++Tabla4[[#This Row],[Precio Unitario Neto]]-Tabla4[[#This Row],[20.85%]]-Tabla4[[#This Row],[Costo]]</f>
        <v>#N/A</v>
      </c>
      <c r="S2168" s="282" t="e">
        <f>++Tabla4[[#This Row],[U. Bruta Uni]]*Tabla4[[#This Row],[Cantidad]]</f>
        <v>#N/A</v>
      </c>
      <c r="T2168" s="369" t="str">
        <f>VLOOKUP(Tabla4[[#This Row],[Producto]],Tabla6[#All],14,FALSE)</f>
        <v>Termico Solar</v>
      </c>
      <c r="U2168" s="284" t="e">
        <f>(IF(Tabla4[[#This Row],[Familia]]="termico solar",Tabla4[[#This Row],[Utilidad Total]]*6%,Tabla4[[#This Row],[Utilidad Total]]*11.5%))/Tabla4[[#This Row],[Total]]</f>
        <v>#N/A</v>
      </c>
      <c r="V2168" s="282" t="e">
        <f>+Tabla4[[#This Row],[Comisión Calculada]]*Tabla4[[#This Row],[Total]]</f>
        <v>#N/A</v>
      </c>
    </row>
    <row r="2169" spans="1:22" hidden="1" x14ac:dyDescent="0.25">
      <c r="A2169" s="100">
        <v>45762</v>
      </c>
      <c r="B2169" t="str">
        <f t="shared" si="110"/>
        <v>April</v>
      </c>
      <c r="C2169" s="46" t="s">
        <v>280</v>
      </c>
      <c r="F2169" s="366" t="s">
        <v>1535</v>
      </c>
      <c r="G2169" s="46" t="s">
        <v>17</v>
      </c>
      <c r="H2169" s="46">
        <v>2</v>
      </c>
      <c r="I2169" s="51">
        <v>4622.28</v>
      </c>
      <c r="J2169" s="281">
        <f>++Tabla4[[#This Row],[Precio Bruto]]*1.16</f>
        <v>5361.8447999999989</v>
      </c>
      <c r="K2169" s="281">
        <f>+Tabla4[[#This Row],[Precio Unitario Neto]]*Tabla4[[#Headers],[20.85%]]</f>
        <v>1117.9446407999997</v>
      </c>
      <c r="L2169" s="282">
        <f>++Tabla4[[#This Row],[Precio Unitario Neto]]-Tabla4[[#This Row],[20.85%]]</f>
        <v>4243.9001591999995</v>
      </c>
      <c r="M2169" s="282" t="e">
        <f>(INDEX(Tabla6[#All],MATCH(Tabla4[[#This Row],[Producto]],Tabla6[[#All],[PRODUCTO]],0),MATCH(Tabla4[[#This Row],[Mes]],Tabla6[#Headers],0)))*(1+Catalogos!$L$2)</f>
        <v>#N/A</v>
      </c>
      <c r="N2169" s="283" t="e">
        <f>+(Tabla4[[#This Row],[Precio Descontado]]-Tabla4[[#This Row],[Precio Base]])*Tabla4[[#This Row],[Cantidad]]</f>
        <v>#N/A</v>
      </c>
      <c r="O2169" s="284" t="e">
        <f>++Tabla4[[#This Row],[Utilidad Total]]/Tabla4[[#This Row],[Total]]</f>
        <v>#N/A</v>
      </c>
      <c r="P2169" s="282">
        <f>++Tabla4[[#This Row],[Precio Descontado]]*Tabla4[[#This Row],[Cantidad]]</f>
        <v>8487.800318399999</v>
      </c>
      <c r="Q2169" s="282" t="e">
        <f>(INDEX(Tabla6[#All],MATCH(Tabla4[[#This Row],[Producto]],Tabla6[[#All],[PRODUCTO]],0),MATCH(Tabla4[[#This Row],[Mes]],Tabla6[#Headers],0)))</f>
        <v>#N/A</v>
      </c>
      <c r="R2169" s="282" t="e">
        <f>++Tabla4[[#This Row],[Precio Unitario Neto]]-Tabla4[[#This Row],[20.85%]]-Tabla4[[#This Row],[Costo]]</f>
        <v>#N/A</v>
      </c>
      <c r="S2169" s="282" t="e">
        <f>++Tabla4[[#This Row],[U. Bruta Uni]]*Tabla4[[#This Row],[Cantidad]]</f>
        <v>#N/A</v>
      </c>
      <c r="T2169" s="369" t="str">
        <f>VLOOKUP(Tabla4[[#This Row],[Producto]],Tabla6[#All],14,FALSE)</f>
        <v>Termico Solar</v>
      </c>
      <c r="U2169" s="284" t="e">
        <f>(IF(Tabla4[[#This Row],[Familia]]="termico solar",Tabla4[[#This Row],[Utilidad Total]]*6%,Tabla4[[#This Row],[Utilidad Total]]*11.5%))/Tabla4[[#This Row],[Total]]</f>
        <v>#N/A</v>
      </c>
      <c r="V2169" s="282" t="e">
        <f>+Tabla4[[#This Row],[Comisión Calculada]]*Tabla4[[#This Row],[Total]]</f>
        <v>#N/A</v>
      </c>
    </row>
    <row r="2170" spans="1:22" hidden="1" x14ac:dyDescent="0.25">
      <c r="A2170" s="100">
        <v>45762</v>
      </c>
      <c r="B2170" t="str">
        <f t="shared" si="110"/>
        <v>April</v>
      </c>
      <c r="C2170" s="46" t="s">
        <v>280</v>
      </c>
      <c r="F2170" s="366" t="s">
        <v>1535</v>
      </c>
      <c r="G2170" s="46" t="s">
        <v>18</v>
      </c>
      <c r="H2170" s="46">
        <v>2</v>
      </c>
      <c r="I2170" s="51">
        <v>5367.65</v>
      </c>
      <c r="J2170" s="281">
        <f>++Tabla4[[#This Row],[Precio Bruto]]*1.16</f>
        <v>6226.4739999999993</v>
      </c>
      <c r="K2170" s="281">
        <f>+Tabla4[[#This Row],[Precio Unitario Neto]]*Tabla4[[#Headers],[20.85%]]</f>
        <v>1298.2198289999999</v>
      </c>
      <c r="L2170" s="282">
        <f>++Tabla4[[#This Row],[Precio Unitario Neto]]-Tabla4[[#This Row],[20.85%]]</f>
        <v>4928.2541709999996</v>
      </c>
      <c r="M2170" s="282" t="e">
        <f>(INDEX(Tabla6[#All],MATCH(Tabla4[[#This Row],[Producto]],Tabla6[[#All],[PRODUCTO]],0),MATCH(Tabla4[[#This Row],[Mes]],Tabla6[#Headers],0)))*(1+Catalogos!$L$2)</f>
        <v>#N/A</v>
      </c>
      <c r="N2170" s="283" t="e">
        <f>+(Tabla4[[#This Row],[Precio Descontado]]-Tabla4[[#This Row],[Precio Base]])*Tabla4[[#This Row],[Cantidad]]</f>
        <v>#N/A</v>
      </c>
      <c r="O2170" s="284" t="e">
        <f>++Tabla4[[#This Row],[Utilidad Total]]/Tabla4[[#This Row],[Total]]</f>
        <v>#N/A</v>
      </c>
      <c r="P2170" s="282">
        <f>++Tabla4[[#This Row],[Precio Descontado]]*Tabla4[[#This Row],[Cantidad]]</f>
        <v>9856.5083419999992</v>
      </c>
      <c r="Q2170" s="282" t="e">
        <f>(INDEX(Tabla6[#All],MATCH(Tabla4[[#This Row],[Producto]],Tabla6[[#All],[PRODUCTO]],0),MATCH(Tabla4[[#This Row],[Mes]],Tabla6[#Headers],0)))</f>
        <v>#N/A</v>
      </c>
      <c r="R2170" s="282" t="e">
        <f>++Tabla4[[#This Row],[Precio Unitario Neto]]-Tabla4[[#This Row],[20.85%]]-Tabla4[[#This Row],[Costo]]</f>
        <v>#N/A</v>
      </c>
      <c r="S2170" s="282" t="e">
        <f>++Tabla4[[#This Row],[U. Bruta Uni]]*Tabla4[[#This Row],[Cantidad]]</f>
        <v>#N/A</v>
      </c>
      <c r="T2170" s="369" t="str">
        <f>VLOOKUP(Tabla4[[#This Row],[Producto]],Tabla6[#All],14,FALSE)</f>
        <v>Termico Solar</v>
      </c>
      <c r="U2170" s="284" t="e">
        <f>(IF(Tabla4[[#This Row],[Familia]]="termico solar",Tabla4[[#This Row],[Utilidad Total]]*6%,Tabla4[[#This Row],[Utilidad Total]]*11.5%))/Tabla4[[#This Row],[Total]]</f>
        <v>#N/A</v>
      </c>
      <c r="V2170" s="282" t="e">
        <f>+Tabla4[[#This Row],[Comisión Calculada]]*Tabla4[[#This Row],[Total]]</f>
        <v>#N/A</v>
      </c>
    </row>
    <row r="2171" spans="1:22" hidden="1" x14ac:dyDescent="0.25">
      <c r="A2171" s="100">
        <v>45762</v>
      </c>
      <c r="B2171" t="str">
        <f t="shared" si="110"/>
        <v>April</v>
      </c>
      <c r="C2171" s="46" t="s">
        <v>280</v>
      </c>
      <c r="F2171" s="366" t="s">
        <v>1535</v>
      </c>
      <c r="G2171" s="46" t="s">
        <v>20</v>
      </c>
      <c r="H2171" s="46">
        <v>1</v>
      </c>
      <c r="I2171" s="51">
        <v>7751.98</v>
      </c>
      <c r="J2171" s="281">
        <f>++Tabla4[[#This Row],[Precio Bruto]]*1.16</f>
        <v>8992.2967999999983</v>
      </c>
      <c r="K2171" s="281">
        <f>+Tabla4[[#This Row],[Precio Unitario Neto]]*Tabla4[[#Headers],[20.85%]]</f>
        <v>1874.8938827999996</v>
      </c>
      <c r="L2171" s="282">
        <f>++Tabla4[[#This Row],[Precio Unitario Neto]]-Tabla4[[#This Row],[20.85%]]</f>
        <v>7117.4029171999991</v>
      </c>
      <c r="M2171" s="282" t="e">
        <f>(INDEX(Tabla6[#All],MATCH(Tabla4[[#This Row],[Producto]],Tabla6[[#All],[PRODUCTO]],0),MATCH(Tabla4[[#This Row],[Mes]],Tabla6[#Headers],0)))*(1+Catalogos!$L$2)</f>
        <v>#N/A</v>
      </c>
      <c r="N2171" s="283" t="e">
        <f>+(Tabla4[[#This Row],[Precio Descontado]]-Tabla4[[#This Row],[Precio Base]])*Tabla4[[#This Row],[Cantidad]]</f>
        <v>#N/A</v>
      </c>
      <c r="O2171" s="284" t="e">
        <f>++Tabla4[[#This Row],[Utilidad Total]]/Tabla4[[#This Row],[Total]]</f>
        <v>#N/A</v>
      </c>
      <c r="P2171" s="282">
        <f>++Tabla4[[#This Row],[Precio Descontado]]*Tabla4[[#This Row],[Cantidad]]</f>
        <v>7117.4029171999991</v>
      </c>
      <c r="Q2171" s="282" t="e">
        <f>(INDEX(Tabla6[#All],MATCH(Tabla4[[#This Row],[Producto]],Tabla6[[#All],[PRODUCTO]],0),MATCH(Tabla4[[#This Row],[Mes]],Tabla6[#Headers],0)))</f>
        <v>#N/A</v>
      </c>
      <c r="R2171" s="282" t="e">
        <f>++Tabla4[[#This Row],[Precio Unitario Neto]]-Tabla4[[#This Row],[20.85%]]-Tabla4[[#This Row],[Costo]]</f>
        <v>#N/A</v>
      </c>
      <c r="S2171" s="282" t="e">
        <f>++Tabla4[[#This Row],[U. Bruta Uni]]*Tabla4[[#This Row],[Cantidad]]</f>
        <v>#N/A</v>
      </c>
      <c r="T2171" s="369" t="str">
        <f>VLOOKUP(Tabla4[[#This Row],[Producto]],Tabla6[#All],14,FALSE)</f>
        <v>Termico Solar</v>
      </c>
      <c r="U2171" s="284" t="e">
        <f>(IF(Tabla4[[#This Row],[Familia]]="termico solar",Tabla4[[#This Row],[Utilidad Total]]*6%,Tabla4[[#This Row],[Utilidad Total]]*11.5%))/Tabla4[[#This Row],[Total]]</f>
        <v>#N/A</v>
      </c>
      <c r="V2171" s="282" t="e">
        <f>+Tabla4[[#This Row],[Comisión Calculada]]*Tabla4[[#This Row],[Total]]</f>
        <v>#N/A</v>
      </c>
    </row>
    <row r="2172" spans="1:22" hidden="1" x14ac:dyDescent="0.25">
      <c r="A2172" s="100">
        <v>45762</v>
      </c>
      <c r="B2172" t="str">
        <f t="shared" si="110"/>
        <v>April</v>
      </c>
      <c r="C2172" s="46" t="s">
        <v>280</v>
      </c>
      <c r="F2172" s="366" t="s">
        <v>1535</v>
      </c>
      <c r="G2172" s="46" t="s">
        <v>566</v>
      </c>
      <c r="H2172" s="46">
        <v>1</v>
      </c>
      <c r="I2172" s="51">
        <v>2109.4499999999998</v>
      </c>
      <c r="J2172" s="281">
        <f>++Tabla4[[#This Row],[Precio Bruto]]*1.16</f>
        <v>2446.9619999999995</v>
      </c>
      <c r="K2172" s="281">
        <f>+Tabla4[[#This Row],[Precio Unitario Neto]]*Tabla4[[#Headers],[20.85%]]</f>
        <v>510.19157699999988</v>
      </c>
      <c r="L2172" s="282">
        <f>++Tabla4[[#This Row],[Precio Unitario Neto]]-Tabla4[[#This Row],[20.85%]]</f>
        <v>1936.7704229999997</v>
      </c>
      <c r="M2172" s="282" t="e">
        <f>(INDEX(Tabla6[#All],MATCH(Tabla4[[#This Row],[Producto]],Tabla6[[#All],[PRODUCTO]],0),MATCH(Tabla4[[#This Row],[Mes]],Tabla6[#Headers],0)))*(1+Catalogos!$L$2)</f>
        <v>#N/A</v>
      </c>
      <c r="N2172" s="283" t="e">
        <f>+(Tabla4[[#This Row],[Precio Descontado]]-Tabla4[[#This Row],[Precio Base]])*Tabla4[[#This Row],[Cantidad]]</f>
        <v>#N/A</v>
      </c>
      <c r="O2172" s="284" t="e">
        <f>++Tabla4[[#This Row],[Utilidad Total]]/Tabla4[[#This Row],[Total]]</f>
        <v>#N/A</v>
      </c>
      <c r="P2172" s="282">
        <f>++Tabla4[[#This Row],[Precio Descontado]]*Tabla4[[#This Row],[Cantidad]]</f>
        <v>1936.7704229999997</v>
      </c>
      <c r="Q2172" s="282" t="e">
        <f>(INDEX(Tabla6[#All],MATCH(Tabla4[[#This Row],[Producto]],Tabla6[[#All],[PRODUCTO]],0),MATCH(Tabla4[[#This Row],[Mes]],Tabla6[#Headers],0)))</f>
        <v>#N/A</v>
      </c>
      <c r="R2172" s="282" t="e">
        <f>++Tabla4[[#This Row],[Precio Unitario Neto]]-Tabla4[[#This Row],[20.85%]]-Tabla4[[#This Row],[Costo]]</f>
        <v>#N/A</v>
      </c>
      <c r="S2172" s="282" t="e">
        <f>++Tabla4[[#This Row],[U. Bruta Uni]]*Tabla4[[#This Row],[Cantidad]]</f>
        <v>#N/A</v>
      </c>
      <c r="T2172" s="369" t="str">
        <f>VLOOKUP(Tabla4[[#This Row],[Producto]],Tabla6[#All],14,FALSE)</f>
        <v>Termico Solar</v>
      </c>
      <c r="U2172" s="284" t="e">
        <f>(IF(Tabla4[[#This Row],[Familia]]="termico solar",Tabla4[[#This Row],[Utilidad Total]]*6%,Tabla4[[#This Row],[Utilidad Total]]*11.5%))/Tabla4[[#This Row],[Total]]</f>
        <v>#N/A</v>
      </c>
      <c r="V2172" s="282" t="e">
        <f>+Tabla4[[#This Row],[Comisión Calculada]]*Tabla4[[#This Row],[Total]]</f>
        <v>#N/A</v>
      </c>
    </row>
    <row r="2173" spans="1:22" hidden="1" x14ac:dyDescent="0.25">
      <c r="A2173" s="100">
        <v>45762</v>
      </c>
      <c r="B2173" t="str">
        <f t="shared" si="110"/>
        <v>April</v>
      </c>
      <c r="C2173" s="46" t="s">
        <v>280</v>
      </c>
      <c r="F2173" s="366" t="s">
        <v>1535</v>
      </c>
      <c r="G2173" s="46" t="s">
        <v>16</v>
      </c>
      <c r="H2173" s="46">
        <v>2</v>
      </c>
      <c r="I2173" s="51">
        <v>4103.8500000000004</v>
      </c>
      <c r="J2173" s="281">
        <f>++Tabla4[[#This Row],[Precio Bruto]]*1.16</f>
        <v>4760.4660000000003</v>
      </c>
      <c r="K2173" s="281">
        <f>+Tabla4[[#This Row],[Precio Unitario Neto]]*Tabla4[[#Headers],[20.85%]]</f>
        <v>992.55716100000006</v>
      </c>
      <c r="L2173" s="282">
        <f>++Tabla4[[#This Row],[Precio Unitario Neto]]-Tabla4[[#This Row],[20.85%]]</f>
        <v>3767.9088390000002</v>
      </c>
      <c r="M2173" s="282" t="e">
        <f>(INDEX(Tabla6[#All],MATCH(Tabla4[[#This Row],[Producto]],Tabla6[[#All],[PRODUCTO]],0),MATCH(Tabla4[[#This Row],[Mes]],Tabla6[#Headers],0)))*(1+Catalogos!$L$2)</f>
        <v>#N/A</v>
      </c>
      <c r="N2173" s="283" t="e">
        <f>+(Tabla4[[#This Row],[Precio Descontado]]-Tabla4[[#This Row],[Precio Base]])*Tabla4[[#This Row],[Cantidad]]</f>
        <v>#N/A</v>
      </c>
      <c r="O2173" s="284" t="e">
        <f>++Tabla4[[#This Row],[Utilidad Total]]/Tabla4[[#This Row],[Total]]</f>
        <v>#N/A</v>
      </c>
      <c r="P2173" s="282">
        <f>++Tabla4[[#This Row],[Precio Descontado]]*Tabla4[[#This Row],[Cantidad]]</f>
        <v>7535.8176780000003</v>
      </c>
      <c r="Q2173" s="282" t="e">
        <f>(INDEX(Tabla6[#All],MATCH(Tabla4[[#This Row],[Producto]],Tabla6[[#All],[PRODUCTO]],0),MATCH(Tabla4[[#This Row],[Mes]],Tabla6[#Headers],0)))</f>
        <v>#N/A</v>
      </c>
      <c r="R2173" s="282" t="e">
        <f>++Tabla4[[#This Row],[Precio Unitario Neto]]-Tabla4[[#This Row],[20.85%]]-Tabla4[[#This Row],[Costo]]</f>
        <v>#N/A</v>
      </c>
      <c r="S2173" s="282" t="e">
        <f>++Tabla4[[#This Row],[U. Bruta Uni]]*Tabla4[[#This Row],[Cantidad]]</f>
        <v>#N/A</v>
      </c>
      <c r="T2173" s="369" t="str">
        <f>VLOOKUP(Tabla4[[#This Row],[Producto]],Tabla6[#All],14,FALSE)</f>
        <v>Termico Solar</v>
      </c>
      <c r="U2173" s="284" t="e">
        <f>(IF(Tabla4[[#This Row],[Familia]]="termico solar",Tabla4[[#This Row],[Utilidad Total]]*6%,Tabla4[[#This Row],[Utilidad Total]]*11.5%))/Tabla4[[#This Row],[Total]]</f>
        <v>#N/A</v>
      </c>
      <c r="V2173" s="282" t="e">
        <f>+Tabla4[[#This Row],[Comisión Calculada]]*Tabla4[[#This Row],[Total]]</f>
        <v>#N/A</v>
      </c>
    </row>
    <row r="2174" spans="1:22" hidden="1" x14ac:dyDescent="0.25">
      <c r="A2174" s="100">
        <v>45762</v>
      </c>
      <c r="B2174" t="str">
        <f t="shared" ref="B2174:B2213" si="111">TEXT(A2174, "mmmm")</f>
        <v>April</v>
      </c>
      <c r="C2174" s="46" t="s">
        <v>280</v>
      </c>
      <c r="F2174" s="366" t="s">
        <v>1536</v>
      </c>
      <c r="G2174" s="46" t="s">
        <v>17</v>
      </c>
      <c r="H2174" s="46">
        <v>2</v>
      </c>
      <c r="I2174" s="51">
        <v>4622.28</v>
      </c>
      <c r="J2174" s="281">
        <f>++Tabla4[[#This Row],[Precio Bruto]]*1.16</f>
        <v>5361.8447999999989</v>
      </c>
      <c r="K2174" s="281">
        <f>+Tabla4[[#This Row],[Precio Unitario Neto]]*Tabla4[[#Headers],[20.85%]]</f>
        <v>1117.9446407999997</v>
      </c>
      <c r="L2174" s="282">
        <f>++Tabla4[[#This Row],[Precio Unitario Neto]]-Tabla4[[#This Row],[20.85%]]</f>
        <v>4243.9001591999995</v>
      </c>
      <c r="M2174" s="282" t="e">
        <f>(INDEX(Tabla6[#All],MATCH(Tabla4[[#This Row],[Producto]],Tabla6[[#All],[PRODUCTO]],0),MATCH(Tabla4[[#This Row],[Mes]],Tabla6[#Headers],0)))*(1+Catalogos!$L$2)</f>
        <v>#N/A</v>
      </c>
      <c r="N2174" s="283" t="e">
        <f>+(Tabla4[[#This Row],[Precio Descontado]]-Tabla4[[#This Row],[Precio Base]])*Tabla4[[#This Row],[Cantidad]]</f>
        <v>#N/A</v>
      </c>
      <c r="O2174" s="284" t="e">
        <f>++Tabla4[[#This Row],[Utilidad Total]]/Tabla4[[#This Row],[Total]]</f>
        <v>#N/A</v>
      </c>
      <c r="P2174" s="282">
        <f>++Tabla4[[#This Row],[Precio Descontado]]*Tabla4[[#This Row],[Cantidad]]</f>
        <v>8487.800318399999</v>
      </c>
      <c r="Q2174" s="282" t="e">
        <f>(INDEX(Tabla6[#All],MATCH(Tabla4[[#This Row],[Producto]],Tabla6[[#All],[PRODUCTO]],0),MATCH(Tabla4[[#This Row],[Mes]],Tabla6[#Headers],0)))</f>
        <v>#N/A</v>
      </c>
      <c r="R2174" s="282" t="e">
        <f>++Tabla4[[#This Row],[Precio Unitario Neto]]-Tabla4[[#This Row],[20.85%]]-Tabla4[[#This Row],[Costo]]</f>
        <v>#N/A</v>
      </c>
      <c r="S2174" s="282" t="e">
        <f>++Tabla4[[#This Row],[U. Bruta Uni]]*Tabla4[[#This Row],[Cantidad]]</f>
        <v>#N/A</v>
      </c>
      <c r="T2174" s="369" t="str">
        <f>VLOOKUP(Tabla4[[#This Row],[Producto]],Tabla6[#All],14,FALSE)</f>
        <v>Termico Solar</v>
      </c>
      <c r="U2174" s="284" t="e">
        <f>(IF(Tabla4[[#This Row],[Familia]]="termico solar",Tabla4[[#This Row],[Utilidad Total]]*6%,Tabla4[[#This Row],[Utilidad Total]]*11.5%))/Tabla4[[#This Row],[Total]]</f>
        <v>#N/A</v>
      </c>
      <c r="V2174" s="282" t="e">
        <f>+Tabla4[[#This Row],[Comisión Calculada]]*Tabla4[[#This Row],[Total]]</f>
        <v>#N/A</v>
      </c>
    </row>
    <row r="2175" spans="1:22" hidden="1" x14ac:dyDescent="0.25">
      <c r="A2175" s="100">
        <v>45762</v>
      </c>
      <c r="B2175" t="str">
        <f t="shared" si="111"/>
        <v>April</v>
      </c>
      <c r="C2175" s="46" t="s">
        <v>280</v>
      </c>
      <c r="F2175" s="366" t="s">
        <v>1536</v>
      </c>
      <c r="G2175" s="46" t="s">
        <v>555</v>
      </c>
      <c r="H2175" s="46">
        <v>8</v>
      </c>
      <c r="I2175" s="51">
        <v>389.47</v>
      </c>
      <c r="J2175" s="281">
        <f>++Tabla4[[#This Row],[Precio Bruto]]*1.16</f>
        <v>451.78519999999997</v>
      </c>
      <c r="K2175" s="281">
        <f>+Tabla4[[#This Row],[Precio Unitario Neto]]*Tabla4[[#Headers],[20.85%]]</f>
        <v>94.197214199999991</v>
      </c>
      <c r="L2175" s="282">
        <f>++Tabla4[[#This Row],[Precio Unitario Neto]]-Tabla4[[#This Row],[20.85%]]</f>
        <v>357.58798579999996</v>
      </c>
      <c r="M2175" s="282" t="e">
        <f>(INDEX(Tabla6[#All],MATCH(Tabla4[[#This Row],[Producto]],Tabla6[[#All],[PRODUCTO]],0),MATCH(Tabla4[[#This Row],[Mes]],Tabla6[#Headers],0)))*(1+Catalogos!$L$2)</f>
        <v>#N/A</v>
      </c>
      <c r="N2175" s="283" t="e">
        <f>+(Tabla4[[#This Row],[Precio Descontado]]-Tabla4[[#This Row],[Precio Base]])*Tabla4[[#This Row],[Cantidad]]</f>
        <v>#N/A</v>
      </c>
      <c r="O2175" s="284" t="e">
        <f>++Tabla4[[#This Row],[Utilidad Total]]/Tabla4[[#This Row],[Total]]</f>
        <v>#N/A</v>
      </c>
      <c r="P2175" s="282">
        <f>++Tabla4[[#This Row],[Precio Descontado]]*Tabla4[[#This Row],[Cantidad]]</f>
        <v>2860.7038863999996</v>
      </c>
      <c r="Q2175" s="282" t="e">
        <f>(INDEX(Tabla6[#All],MATCH(Tabla4[[#This Row],[Producto]],Tabla6[[#All],[PRODUCTO]],0),MATCH(Tabla4[[#This Row],[Mes]],Tabla6[#Headers],0)))</f>
        <v>#N/A</v>
      </c>
      <c r="R2175" s="282" t="e">
        <f>++Tabla4[[#This Row],[Precio Unitario Neto]]-Tabla4[[#This Row],[20.85%]]-Tabla4[[#This Row],[Costo]]</f>
        <v>#N/A</v>
      </c>
      <c r="S2175" s="282" t="e">
        <f>++Tabla4[[#This Row],[U. Bruta Uni]]*Tabla4[[#This Row],[Cantidad]]</f>
        <v>#N/A</v>
      </c>
      <c r="T2175" s="369" t="str">
        <f>VLOOKUP(Tabla4[[#This Row],[Producto]],Tabla6[#All],14,FALSE)</f>
        <v>Termico Solar</v>
      </c>
      <c r="U2175" s="284" t="e">
        <f>(IF(Tabla4[[#This Row],[Familia]]="termico solar",Tabla4[[#This Row],[Utilidad Total]]*6%,Tabla4[[#This Row],[Utilidad Total]]*11.5%))/Tabla4[[#This Row],[Total]]</f>
        <v>#N/A</v>
      </c>
      <c r="V2175" s="282" t="e">
        <f>+Tabla4[[#This Row],[Comisión Calculada]]*Tabla4[[#This Row],[Total]]</f>
        <v>#N/A</v>
      </c>
    </row>
    <row r="2176" spans="1:22" hidden="1" x14ac:dyDescent="0.25">
      <c r="A2176" s="100">
        <v>45762</v>
      </c>
      <c r="B2176" t="str">
        <f t="shared" si="111"/>
        <v>April</v>
      </c>
      <c r="C2176" s="46" t="s">
        <v>280</v>
      </c>
      <c r="F2176" s="366" t="s">
        <v>1536</v>
      </c>
      <c r="G2176" s="46" t="s">
        <v>208</v>
      </c>
      <c r="H2176" s="46">
        <v>1</v>
      </c>
      <c r="I2176" s="51">
        <v>189.74</v>
      </c>
      <c r="J2176" s="281">
        <f>++Tabla4[[#This Row],[Precio Bruto]]*1.16</f>
        <v>220.0984</v>
      </c>
      <c r="K2176" s="281">
        <f>+Tabla4[[#This Row],[Precio Unitario Neto]]*Tabla4[[#Headers],[20.85%]]</f>
        <v>45.890516399999996</v>
      </c>
      <c r="L2176" s="282">
        <f>++Tabla4[[#This Row],[Precio Unitario Neto]]-Tabla4[[#This Row],[20.85%]]</f>
        <v>174.2078836</v>
      </c>
      <c r="M2176" s="282" t="e">
        <f>(INDEX(Tabla6[#All],MATCH(Tabla4[[#This Row],[Producto]],Tabla6[[#All],[PRODUCTO]],0),MATCH(Tabla4[[#This Row],[Mes]],Tabla6[#Headers],0)))*(1+Catalogos!$L$2)</f>
        <v>#N/A</v>
      </c>
      <c r="N2176" s="283" t="e">
        <f>+(Tabla4[[#This Row],[Precio Descontado]]-Tabla4[[#This Row],[Precio Base]])*Tabla4[[#This Row],[Cantidad]]</f>
        <v>#N/A</v>
      </c>
      <c r="O2176" s="284" t="e">
        <f>++Tabla4[[#This Row],[Utilidad Total]]/Tabla4[[#This Row],[Total]]</f>
        <v>#N/A</v>
      </c>
      <c r="P2176" s="282">
        <f>++Tabla4[[#This Row],[Precio Descontado]]*Tabla4[[#This Row],[Cantidad]]</f>
        <v>174.2078836</v>
      </c>
      <c r="Q2176" s="282" t="e">
        <f>(INDEX(Tabla6[#All],MATCH(Tabla4[[#This Row],[Producto]],Tabla6[[#All],[PRODUCTO]],0),MATCH(Tabla4[[#This Row],[Mes]],Tabla6[#Headers],0)))</f>
        <v>#N/A</v>
      </c>
      <c r="R2176" s="282" t="e">
        <f>++Tabla4[[#This Row],[Precio Unitario Neto]]-Tabla4[[#This Row],[20.85%]]-Tabla4[[#This Row],[Costo]]</f>
        <v>#N/A</v>
      </c>
      <c r="S2176" s="282" t="e">
        <f>++Tabla4[[#This Row],[U. Bruta Uni]]*Tabla4[[#This Row],[Cantidad]]</f>
        <v>#N/A</v>
      </c>
      <c r="T2176" s="369" t="str">
        <f>VLOOKUP(Tabla4[[#This Row],[Producto]],Tabla6[#All],14,FALSE)</f>
        <v>Termico Solar</v>
      </c>
      <c r="U2176" s="284" t="e">
        <f>(IF(Tabla4[[#This Row],[Familia]]="termico solar",Tabla4[[#This Row],[Utilidad Total]]*6%,Tabla4[[#This Row],[Utilidad Total]]*11.5%))/Tabla4[[#This Row],[Total]]</f>
        <v>#N/A</v>
      </c>
      <c r="V2176" s="282" t="e">
        <f>+Tabla4[[#This Row],[Comisión Calculada]]*Tabla4[[#This Row],[Total]]</f>
        <v>#N/A</v>
      </c>
    </row>
    <row r="2177" spans="1:22" hidden="1" x14ac:dyDescent="0.25">
      <c r="A2177" s="100">
        <v>45762</v>
      </c>
      <c r="B2177" t="str">
        <f t="shared" si="111"/>
        <v>April</v>
      </c>
      <c r="C2177" s="46" t="s">
        <v>280</v>
      </c>
      <c r="F2177" s="366" t="s">
        <v>1537</v>
      </c>
      <c r="G2177" s="46" t="s">
        <v>83</v>
      </c>
      <c r="H2177" s="46">
        <v>1</v>
      </c>
      <c r="I2177" s="51">
        <v>8858.76</v>
      </c>
      <c r="J2177" s="281">
        <f>++Tabla4[[#This Row],[Precio Bruto]]*1.16</f>
        <v>10276.161599999999</v>
      </c>
      <c r="K2177" s="281">
        <f>+Tabla4[[#This Row],[Precio Unitario Neto]]*Tabla4[[#Headers],[20.85%]]</f>
        <v>2142.5796935999997</v>
      </c>
      <c r="L2177" s="282">
        <f>++Tabla4[[#This Row],[Precio Unitario Neto]]-Tabla4[[#This Row],[20.85%]]</f>
        <v>8133.5819063999998</v>
      </c>
      <c r="M2177" s="282" t="e">
        <f>(INDEX(Tabla6[#All],MATCH(Tabla4[[#This Row],[Producto]],Tabla6[[#All],[PRODUCTO]],0),MATCH(Tabla4[[#This Row],[Mes]],Tabla6[#Headers],0)))*(1+Catalogos!$L$2)</f>
        <v>#N/A</v>
      </c>
      <c r="N2177" s="283" t="e">
        <f>+(Tabla4[[#This Row],[Precio Descontado]]-Tabla4[[#This Row],[Precio Base]])*Tabla4[[#This Row],[Cantidad]]</f>
        <v>#N/A</v>
      </c>
      <c r="O2177" s="284" t="e">
        <f>++Tabla4[[#This Row],[Utilidad Total]]/Tabla4[[#This Row],[Total]]</f>
        <v>#N/A</v>
      </c>
      <c r="P2177" s="282">
        <f>++Tabla4[[#This Row],[Precio Descontado]]*Tabla4[[#This Row],[Cantidad]]</f>
        <v>8133.5819063999998</v>
      </c>
      <c r="Q2177" s="282" t="e">
        <f>(INDEX(Tabla6[#All],MATCH(Tabla4[[#This Row],[Producto]],Tabla6[[#All],[PRODUCTO]],0),MATCH(Tabla4[[#This Row],[Mes]],Tabla6[#Headers],0)))</f>
        <v>#N/A</v>
      </c>
      <c r="R2177" s="282" t="e">
        <f>++Tabla4[[#This Row],[Precio Unitario Neto]]-Tabla4[[#This Row],[20.85%]]-Tabla4[[#This Row],[Costo]]</f>
        <v>#N/A</v>
      </c>
      <c r="S2177" s="282" t="e">
        <f>++Tabla4[[#This Row],[U. Bruta Uni]]*Tabla4[[#This Row],[Cantidad]]</f>
        <v>#N/A</v>
      </c>
      <c r="T2177" s="369" t="str">
        <f>VLOOKUP(Tabla4[[#This Row],[Producto]],Tabla6[#All],14,FALSE)</f>
        <v>Termico Solar</v>
      </c>
      <c r="U2177" s="284" t="e">
        <f>(IF(Tabla4[[#This Row],[Familia]]="termico solar",Tabla4[[#This Row],[Utilidad Total]]*6%,Tabla4[[#This Row],[Utilidad Total]]*11.5%))/Tabla4[[#This Row],[Total]]</f>
        <v>#N/A</v>
      </c>
      <c r="V2177" s="282" t="e">
        <f>+Tabla4[[#This Row],[Comisión Calculada]]*Tabla4[[#This Row],[Total]]</f>
        <v>#N/A</v>
      </c>
    </row>
    <row r="2178" spans="1:22" hidden="1" x14ac:dyDescent="0.25">
      <c r="A2178" s="100">
        <v>45762</v>
      </c>
      <c r="B2178" t="str">
        <f t="shared" si="111"/>
        <v>April</v>
      </c>
      <c r="C2178" s="46" t="s">
        <v>280</v>
      </c>
      <c r="F2178" s="366" t="s">
        <v>1538</v>
      </c>
      <c r="G2178" s="46" t="s">
        <v>18</v>
      </c>
      <c r="H2178" s="46">
        <v>1</v>
      </c>
      <c r="I2178" s="51">
        <v>5367.65</v>
      </c>
      <c r="J2178" s="281">
        <f>++Tabla4[[#This Row],[Precio Bruto]]*1.16</f>
        <v>6226.4739999999993</v>
      </c>
      <c r="K2178" s="281">
        <f>+Tabla4[[#This Row],[Precio Unitario Neto]]*Tabla4[[#Headers],[20.85%]]</f>
        <v>1298.2198289999999</v>
      </c>
      <c r="L2178" s="282">
        <f>++Tabla4[[#This Row],[Precio Unitario Neto]]-Tabla4[[#This Row],[20.85%]]</f>
        <v>4928.2541709999996</v>
      </c>
      <c r="M2178" s="282" t="e">
        <f>(INDEX(Tabla6[#All],MATCH(Tabla4[[#This Row],[Producto]],Tabla6[[#All],[PRODUCTO]],0),MATCH(Tabla4[[#This Row],[Mes]],Tabla6[#Headers],0)))*(1+Catalogos!$L$2)</f>
        <v>#N/A</v>
      </c>
      <c r="N2178" s="283" t="e">
        <f>+(Tabla4[[#This Row],[Precio Descontado]]-Tabla4[[#This Row],[Precio Base]])*Tabla4[[#This Row],[Cantidad]]</f>
        <v>#N/A</v>
      </c>
      <c r="O2178" s="284" t="e">
        <f>++Tabla4[[#This Row],[Utilidad Total]]/Tabla4[[#This Row],[Total]]</f>
        <v>#N/A</v>
      </c>
      <c r="P2178" s="282">
        <f>++Tabla4[[#This Row],[Precio Descontado]]*Tabla4[[#This Row],[Cantidad]]</f>
        <v>4928.2541709999996</v>
      </c>
      <c r="Q2178" s="282" t="e">
        <f>(INDEX(Tabla6[#All],MATCH(Tabla4[[#This Row],[Producto]],Tabla6[[#All],[PRODUCTO]],0),MATCH(Tabla4[[#This Row],[Mes]],Tabla6[#Headers],0)))</f>
        <v>#N/A</v>
      </c>
      <c r="R2178" s="282" t="e">
        <f>++Tabla4[[#This Row],[Precio Unitario Neto]]-Tabla4[[#This Row],[20.85%]]-Tabla4[[#This Row],[Costo]]</f>
        <v>#N/A</v>
      </c>
      <c r="S2178" s="282" t="e">
        <f>++Tabla4[[#This Row],[U. Bruta Uni]]*Tabla4[[#This Row],[Cantidad]]</f>
        <v>#N/A</v>
      </c>
      <c r="T2178" s="369" t="str">
        <f>VLOOKUP(Tabla4[[#This Row],[Producto]],Tabla6[#All],14,FALSE)</f>
        <v>Termico Solar</v>
      </c>
      <c r="U2178" s="284" t="e">
        <f>(IF(Tabla4[[#This Row],[Familia]]="termico solar",Tabla4[[#This Row],[Utilidad Total]]*6%,Tabla4[[#This Row],[Utilidad Total]]*11.5%))/Tabla4[[#This Row],[Total]]</f>
        <v>#N/A</v>
      </c>
      <c r="V2178" s="282" t="e">
        <f>+Tabla4[[#This Row],[Comisión Calculada]]*Tabla4[[#This Row],[Total]]</f>
        <v>#N/A</v>
      </c>
    </row>
    <row r="2179" spans="1:22" hidden="1" x14ac:dyDescent="0.25">
      <c r="A2179" s="100">
        <v>45762</v>
      </c>
      <c r="B2179" t="str">
        <f t="shared" si="111"/>
        <v>April</v>
      </c>
      <c r="C2179" s="46" t="s">
        <v>280</v>
      </c>
      <c r="F2179" s="366" t="s">
        <v>1538</v>
      </c>
      <c r="G2179" s="46" t="s">
        <v>209</v>
      </c>
      <c r="H2179" s="46">
        <v>1</v>
      </c>
      <c r="I2179" s="51">
        <v>347.48</v>
      </c>
      <c r="J2179" s="281">
        <f>++Tabla4[[#This Row],[Precio Bruto]]*1.16</f>
        <v>403.07679999999999</v>
      </c>
      <c r="K2179" s="281">
        <f>+Tabla4[[#This Row],[Precio Unitario Neto]]*Tabla4[[#Headers],[20.85%]]</f>
        <v>84.041512799999992</v>
      </c>
      <c r="L2179" s="282">
        <f>++Tabla4[[#This Row],[Precio Unitario Neto]]-Tabla4[[#This Row],[20.85%]]</f>
        <v>319.03528719999997</v>
      </c>
      <c r="M2179" s="282" t="e">
        <f>(INDEX(Tabla6[#All],MATCH(Tabla4[[#This Row],[Producto]],Tabla6[[#All],[PRODUCTO]],0),MATCH(Tabla4[[#This Row],[Mes]],Tabla6[#Headers],0)))*(1+Catalogos!$L$2)</f>
        <v>#N/A</v>
      </c>
      <c r="N2179" s="283" t="e">
        <f>+(Tabla4[[#This Row],[Precio Descontado]]-Tabla4[[#This Row],[Precio Base]])*Tabla4[[#This Row],[Cantidad]]</f>
        <v>#N/A</v>
      </c>
      <c r="O2179" s="284" t="e">
        <f>++Tabla4[[#This Row],[Utilidad Total]]/Tabla4[[#This Row],[Total]]</f>
        <v>#N/A</v>
      </c>
      <c r="P2179" s="282">
        <f>++Tabla4[[#This Row],[Precio Descontado]]*Tabla4[[#This Row],[Cantidad]]</f>
        <v>319.03528719999997</v>
      </c>
      <c r="Q2179" s="282" t="e">
        <f>(INDEX(Tabla6[#All],MATCH(Tabla4[[#This Row],[Producto]],Tabla6[[#All],[PRODUCTO]],0),MATCH(Tabla4[[#This Row],[Mes]],Tabla6[#Headers],0)))</f>
        <v>#N/A</v>
      </c>
      <c r="R2179" s="282" t="e">
        <f>++Tabla4[[#This Row],[Precio Unitario Neto]]-Tabla4[[#This Row],[20.85%]]-Tabla4[[#This Row],[Costo]]</f>
        <v>#N/A</v>
      </c>
      <c r="S2179" s="282" t="e">
        <f>++Tabla4[[#This Row],[U. Bruta Uni]]*Tabla4[[#This Row],[Cantidad]]</f>
        <v>#N/A</v>
      </c>
      <c r="T2179" s="369" t="str">
        <f>VLOOKUP(Tabla4[[#This Row],[Producto]],Tabla6[#All],14,FALSE)</f>
        <v>Termico Solar</v>
      </c>
      <c r="U2179" s="284" t="e">
        <f>(IF(Tabla4[[#This Row],[Familia]]="termico solar",Tabla4[[#This Row],[Utilidad Total]]*6%,Tabla4[[#This Row],[Utilidad Total]]*11.5%))/Tabla4[[#This Row],[Total]]</f>
        <v>#N/A</v>
      </c>
      <c r="V2179" s="282" t="e">
        <f>+Tabla4[[#This Row],[Comisión Calculada]]*Tabla4[[#This Row],[Total]]</f>
        <v>#N/A</v>
      </c>
    </row>
    <row r="2180" spans="1:22" hidden="1" x14ac:dyDescent="0.25">
      <c r="A2180" s="100">
        <v>45762</v>
      </c>
      <c r="B2180" t="str">
        <f t="shared" si="111"/>
        <v>April</v>
      </c>
      <c r="C2180" s="46" t="s">
        <v>280</v>
      </c>
      <c r="F2180" s="366" t="s">
        <v>1539</v>
      </c>
      <c r="G2180" s="46" t="s">
        <v>17</v>
      </c>
      <c r="H2180" s="46">
        <v>1</v>
      </c>
      <c r="I2180" s="51">
        <v>4622.28</v>
      </c>
      <c r="J2180" s="281">
        <f>++Tabla4[[#This Row],[Precio Bruto]]*1.16</f>
        <v>5361.8447999999989</v>
      </c>
      <c r="K2180" s="281">
        <f>+Tabla4[[#This Row],[Precio Unitario Neto]]*Tabla4[[#Headers],[20.85%]]</f>
        <v>1117.9446407999997</v>
      </c>
      <c r="L2180" s="282">
        <f>++Tabla4[[#This Row],[Precio Unitario Neto]]-Tabla4[[#This Row],[20.85%]]</f>
        <v>4243.9001591999995</v>
      </c>
      <c r="M2180" s="282" t="e">
        <f>(INDEX(Tabla6[#All],MATCH(Tabla4[[#This Row],[Producto]],Tabla6[[#All],[PRODUCTO]],0),MATCH(Tabla4[[#This Row],[Mes]],Tabla6[#Headers],0)))*(1+Catalogos!$L$2)</f>
        <v>#N/A</v>
      </c>
      <c r="N2180" s="283" t="e">
        <f>+(Tabla4[[#This Row],[Precio Descontado]]-Tabla4[[#This Row],[Precio Base]])*Tabla4[[#This Row],[Cantidad]]</f>
        <v>#N/A</v>
      </c>
      <c r="O2180" s="284" t="e">
        <f>++Tabla4[[#This Row],[Utilidad Total]]/Tabla4[[#This Row],[Total]]</f>
        <v>#N/A</v>
      </c>
      <c r="P2180" s="282">
        <f>++Tabla4[[#This Row],[Precio Descontado]]*Tabla4[[#This Row],[Cantidad]]</f>
        <v>4243.9001591999995</v>
      </c>
      <c r="Q2180" s="282" t="e">
        <f>(INDEX(Tabla6[#All],MATCH(Tabla4[[#This Row],[Producto]],Tabla6[[#All],[PRODUCTO]],0),MATCH(Tabla4[[#This Row],[Mes]],Tabla6[#Headers],0)))</f>
        <v>#N/A</v>
      </c>
      <c r="R2180" s="282" t="e">
        <f>++Tabla4[[#This Row],[Precio Unitario Neto]]-Tabla4[[#This Row],[20.85%]]-Tabla4[[#This Row],[Costo]]</f>
        <v>#N/A</v>
      </c>
      <c r="S2180" s="282" t="e">
        <f>++Tabla4[[#This Row],[U. Bruta Uni]]*Tabla4[[#This Row],[Cantidad]]</f>
        <v>#N/A</v>
      </c>
      <c r="T2180" s="369" t="str">
        <f>VLOOKUP(Tabla4[[#This Row],[Producto]],Tabla6[#All],14,FALSE)</f>
        <v>Termico Solar</v>
      </c>
      <c r="U2180" s="284" t="e">
        <f>(IF(Tabla4[[#This Row],[Familia]]="termico solar",Tabla4[[#This Row],[Utilidad Total]]*6%,Tabla4[[#This Row],[Utilidad Total]]*11.5%))/Tabla4[[#This Row],[Total]]</f>
        <v>#N/A</v>
      </c>
      <c r="V2180" s="282" t="e">
        <f>+Tabla4[[#This Row],[Comisión Calculada]]*Tabla4[[#This Row],[Total]]</f>
        <v>#N/A</v>
      </c>
    </row>
    <row r="2181" spans="1:22" hidden="1" x14ac:dyDescent="0.25">
      <c r="A2181" s="100">
        <v>45762</v>
      </c>
      <c r="B2181" t="str">
        <f t="shared" si="111"/>
        <v>April</v>
      </c>
      <c r="C2181" s="46" t="s">
        <v>280</v>
      </c>
      <c r="F2181" s="366" t="s">
        <v>1540</v>
      </c>
      <c r="G2181" s="46" t="s">
        <v>83</v>
      </c>
      <c r="H2181" s="46">
        <v>1</v>
      </c>
      <c r="I2181" s="51">
        <v>8858.76</v>
      </c>
      <c r="J2181" s="281">
        <f>++Tabla4[[#This Row],[Precio Bruto]]*1.16</f>
        <v>10276.161599999999</v>
      </c>
      <c r="K2181" s="281">
        <f>+Tabla4[[#This Row],[Precio Unitario Neto]]*Tabla4[[#Headers],[20.85%]]</f>
        <v>2142.5796935999997</v>
      </c>
      <c r="L2181" s="282">
        <f>++Tabla4[[#This Row],[Precio Unitario Neto]]-Tabla4[[#This Row],[20.85%]]</f>
        <v>8133.5819063999998</v>
      </c>
      <c r="M2181" s="282" t="e">
        <f>(INDEX(Tabla6[#All],MATCH(Tabla4[[#This Row],[Producto]],Tabla6[[#All],[PRODUCTO]],0),MATCH(Tabla4[[#This Row],[Mes]],Tabla6[#Headers],0)))*(1+Catalogos!$L$2)</f>
        <v>#N/A</v>
      </c>
      <c r="N2181" s="283" t="e">
        <f>+(Tabla4[[#This Row],[Precio Descontado]]-Tabla4[[#This Row],[Precio Base]])*Tabla4[[#This Row],[Cantidad]]</f>
        <v>#N/A</v>
      </c>
      <c r="O2181" s="284" t="e">
        <f>++Tabla4[[#This Row],[Utilidad Total]]/Tabla4[[#This Row],[Total]]</f>
        <v>#N/A</v>
      </c>
      <c r="P2181" s="282">
        <f>++Tabla4[[#This Row],[Precio Descontado]]*Tabla4[[#This Row],[Cantidad]]</f>
        <v>8133.5819063999998</v>
      </c>
      <c r="Q2181" s="282" t="e">
        <f>(INDEX(Tabla6[#All],MATCH(Tabla4[[#This Row],[Producto]],Tabla6[[#All],[PRODUCTO]],0),MATCH(Tabla4[[#This Row],[Mes]],Tabla6[#Headers],0)))</f>
        <v>#N/A</v>
      </c>
      <c r="R2181" s="282" t="e">
        <f>++Tabla4[[#This Row],[Precio Unitario Neto]]-Tabla4[[#This Row],[20.85%]]-Tabla4[[#This Row],[Costo]]</f>
        <v>#N/A</v>
      </c>
      <c r="S2181" s="282" t="e">
        <f>++Tabla4[[#This Row],[U. Bruta Uni]]*Tabla4[[#This Row],[Cantidad]]</f>
        <v>#N/A</v>
      </c>
      <c r="T2181" s="369" t="str">
        <f>VLOOKUP(Tabla4[[#This Row],[Producto]],Tabla6[#All],14,FALSE)</f>
        <v>Termico Solar</v>
      </c>
      <c r="U2181" s="284" t="e">
        <f>(IF(Tabla4[[#This Row],[Familia]]="termico solar",Tabla4[[#This Row],[Utilidad Total]]*6%,Tabla4[[#This Row],[Utilidad Total]]*11.5%))/Tabla4[[#This Row],[Total]]</f>
        <v>#N/A</v>
      </c>
      <c r="V2181" s="282" t="e">
        <f>+Tabla4[[#This Row],[Comisión Calculada]]*Tabla4[[#This Row],[Total]]</f>
        <v>#N/A</v>
      </c>
    </row>
    <row r="2182" spans="1:22" hidden="1" x14ac:dyDescent="0.25">
      <c r="A2182" s="100">
        <v>45762</v>
      </c>
      <c r="B2182" t="str">
        <f t="shared" si="111"/>
        <v>April</v>
      </c>
      <c r="C2182" s="46" t="s">
        <v>280</v>
      </c>
      <c r="F2182" s="366" t="s">
        <v>1540</v>
      </c>
      <c r="G2182" s="46" t="s">
        <v>17</v>
      </c>
      <c r="H2182" s="46">
        <v>1</v>
      </c>
      <c r="I2182" s="51">
        <v>4622.28</v>
      </c>
      <c r="J2182" s="281">
        <f>++Tabla4[[#This Row],[Precio Bruto]]*1.16</f>
        <v>5361.8447999999989</v>
      </c>
      <c r="K2182" s="281">
        <f>+Tabla4[[#This Row],[Precio Unitario Neto]]*Tabla4[[#Headers],[20.85%]]</f>
        <v>1117.9446407999997</v>
      </c>
      <c r="L2182" s="282">
        <f>++Tabla4[[#This Row],[Precio Unitario Neto]]-Tabla4[[#This Row],[20.85%]]</f>
        <v>4243.9001591999995</v>
      </c>
      <c r="M2182" s="282" t="e">
        <f>(INDEX(Tabla6[#All],MATCH(Tabla4[[#This Row],[Producto]],Tabla6[[#All],[PRODUCTO]],0),MATCH(Tabla4[[#This Row],[Mes]],Tabla6[#Headers],0)))*(1+Catalogos!$L$2)</f>
        <v>#N/A</v>
      </c>
      <c r="N2182" s="283" t="e">
        <f>+(Tabla4[[#This Row],[Precio Descontado]]-Tabla4[[#This Row],[Precio Base]])*Tabla4[[#This Row],[Cantidad]]</f>
        <v>#N/A</v>
      </c>
      <c r="O2182" s="284" t="e">
        <f>++Tabla4[[#This Row],[Utilidad Total]]/Tabla4[[#This Row],[Total]]</f>
        <v>#N/A</v>
      </c>
      <c r="P2182" s="282">
        <f>++Tabla4[[#This Row],[Precio Descontado]]*Tabla4[[#This Row],[Cantidad]]</f>
        <v>4243.9001591999995</v>
      </c>
      <c r="Q2182" s="282" t="e">
        <f>(INDEX(Tabla6[#All],MATCH(Tabla4[[#This Row],[Producto]],Tabla6[[#All],[PRODUCTO]],0),MATCH(Tabla4[[#This Row],[Mes]],Tabla6[#Headers],0)))</f>
        <v>#N/A</v>
      </c>
      <c r="R2182" s="282" t="e">
        <f>++Tabla4[[#This Row],[Precio Unitario Neto]]-Tabla4[[#This Row],[20.85%]]-Tabla4[[#This Row],[Costo]]</f>
        <v>#N/A</v>
      </c>
      <c r="S2182" s="282" t="e">
        <f>++Tabla4[[#This Row],[U. Bruta Uni]]*Tabla4[[#This Row],[Cantidad]]</f>
        <v>#N/A</v>
      </c>
      <c r="T2182" s="369" t="str">
        <f>VLOOKUP(Tabla4[[#This Row],[Producto]],Tabla6[#All],14,FALSE)</f>
        <v>Termico Solar</v>
      </c>
      <c r="U2182" s="284" t="e">
        <f>(IF(Tabla4[[#This Row],[Familia]]="termico solar",Tabla4[[#This Row],[Utilidad Total]]*6%,Tabla4[[#This Row],[Utilidad Total]]*11.5%))/Tabla4[[#This Row],[Total]]</f>
        <v>#N/A</v>
      </c>
      <c r="V2182" s="282" t="e">
        <f>+Tabla4[[#This Row],[Comisión Calculada]]*Tabla4[[#This Row],[Total]]</f>
        <v>#N/A</v>
      </c>
    </row>
    <row r="2183" spans="1:22" hidden="1" x14ac:dyDescent="0.25">
      <c r="A2183" s="100">
        <v>45762</v>
      </c>
      <c r="B2183" t="str">
        <f t="shared" si="111"/>
        <v>April</v>
      </c>
      <c r="C2183" s="46" t="s">
        <v>280</v>
      </c>
      <c r="F2183" s="366" t="s">
        <v>1540</v>
      </c>
      <c r="G2183" s="46" t="s">
        <v>18</v>
      </c>
      <c r="H2183" s="46">
        <v>1</v>
      </c>
      <c r="I2183" s="51">
        <v>5367.65</v>
      </c>
      <c r="J2183" s="281">
        <f>++Tabla4[[#This Row],[Precio Bruto]]*1.16</f>
        <v>6226.4739999999993</v>
      </c>
      <c r="K2183" s="281">
        <f>+Tabla4[[#This Row],[Precio Unitario Neto]]*Tabla4[[#Headers],[20.85%]]</f>
        <v>1298.2198289999999</v>
      </c>
      <c r="L2183" s="282">
        <f>++Tabla4[[#This Row],[Precio Unitario Neto]]-Tabla4[[#This Row],[20.85%]]</f>
        <v>4928.2541709999996</v>
      </c>
      <c r="M2183" s="282" t="e">
        <f>(INDEX(Tabla6[#All],MATCH(Tabla4[[#This Row],[Producto]],Tabla6[[#All],[PRODUCTO]],0),MATCH(Tabla4[[#This Row],[Mes]],Tabla6[#Headers],0)))*(1+Catalogos!$L$2)</f>
        <v>#N/A</v>
      </c>
      <c r="N2183" s="283" t="e">
        <f>+(Tabla4[[#This Row],[Precio Descontado]]-Tabla4[[#This Row],[Precio Base]])*Tabla4[[#This Row],[Cantidad]]</f>
        <v>#N/A</v>
      </c>
      <c r="O2183" s="284" t="e">
        <f>++Tabla4[[#This Row],[Utilidad Total]]/Tabla4[[#This Row],[Total]]</f>
        <v>#N/A</v>
      </c>
      <c r="P2183" s="282">
        <f>++Tabla4[[#This Row],[Precio Descontado]]*Tabla4[[#This Row],[Cantidad]]</f>
        <v>4928.2541709999996</v>
      </c>
      <c r="Q2183" s="282" t="e">
        <f>(INDEX(Tabla6[#All],MATCH(Tabla4[[#This Row],[Producto]],Tabla6[[#All],[PRODUCTO]],0),MATCH(Tabla4[[#This Row],[Mes]],Tabla6[#Headers],0)))</f>
        <v>#N/A</v>
      </c>
      <c r="R2183" s="282" t="e">
        <f>++Tabla4[[#This Row],[Precio Unitario Neto]]-Tabla4[[#This Row],[20.85%]]-Tabla4[[#This Row],[Costo]]</f>
        <v>#N/A</v>
      </c>
      <c r="S2183" s="282" t="e">
        <f>++Tabla4[[#This Row],[U. Bruta Uni]]*Tabla4[[#This Row],[Cantidad]]</f>
        <v>#N/A</v>
      </c>
      <c r="T2183" s="369" t="str">
        <f>VLOOKUP(Tabla4[[#This Row],[Producto]],Tabla6[#All],14,FALSE)</f>
        <v>Termico Solar</v>
      </c>
      <c r="U2183" s="284" t="e">
        <f>(IF(Tabla4[[#This Row],[Familia]]="termico solar",Tabla4[[#This Row],[Utilidad Total]]*6%,Tabla4[[#This Row],[Utilidad Total]]*11.5%))/Tabla4[[#This Row],[Total]]</f>
        <v>#N/A</v>
      </c>
      <c r="V2183" s="282" t="e">
        <f>+Tabla4[[#This Row],[Comisión Calculada]]*Tabla4[[#This Row],[Total]]</f>
        <v>#N/A</v>
      </c>
    </row>
    <row r="2184" spans="1:22" hidden="1" x14ac:dyDescent="0.25">
      <c r="A2184" s="100">
        <v>45762</v>
      </c>
      <c r="B2184" t="str">
        <f t="shared" si="111"/>
        <v>April</v>
      </c>
      <c r="C2184" s="46" t="s">
        <v>280</v>
      </c>
      <c r="F2184" s="366" t="s">
        <v>1540</v>
      </c>
      <c r="G2184" s="46" t="s">
        <v>16</v>
      </c>
      <c r="H2184" s="46">
        <v>2</v>
      </c>
      <c r="I2184" s="51">
        <v>4103.8500000000004</v>
      </c>
      <c r="J2184" s="281">
        <f>++Tabla4[[#This Row],[Precio Bruto]]*1.16</f>
        <v>4760.4660000000003</v>
      </c>
      <c r="K2184" s="281">
        <f>+Tabla4[[#This Row],[Precio Unitario Neto]]*Tabla4[[#Headers],[20.85%]]</f>
        <v>992.55716100000006</v>
      </c>
      <c r="L2184" s="282">
        <f>++Tabla4[[#This Row],[Precio Unitario Neto]]-Tabla4[[#This Row],[20.85%]]</f>
        <v>3767.9088390000002</v>
      </c>
      <c r="M2184" s="282" t="e">
        <f>(INDEX(Tabla6[#All],MATCH(Tabla4[[#This Row],[Producto]],Tabla6[[#All],[PRODUCTO]],0),MATCH(Tabla4[[#This Row],[Mes]],Tabla6[#Headers],0)))*(1+Catalogos!$L$2)</f>
        <v>#N/A</v>
      </c>
      <c r="N2184" s="283" t="e">
        <f>+(Tabla4[[#This Row],[Precio Descontado]]-Tabla4[[#This Row],[Precio Base]])*Tabla4[[#This Row],[Cantidad]]</f>
        <v>#N/A</v>
      </c>
      <c r="O2184" s="284" t="e">
        <f>++Tabla4[[#This Row],[Utilidad Total]]/Tabla4[[#This Row],[Total]]</f>
        <v>#N/A</v>
      </c>
      <c r="P2184" s="282">
        <f>++Tabla4[[#This Row],[Precio Descontado]]*Tabla4[[#This Row],[Cantidad]]</f>
        <v>7535.8176780000003</v>
      </c>
      <c r="Q2184" s="282" t="e">
        <f>(INDEX(Tabla6[#All],MATCH(Tabla4[[#This Row],[Producto]],Tabla6[[#All],[PRODUCTO]],0),MATCH(Tabla4[[#This Row],[Mes]],Tabla6[#Headers],0)))</f>
        <v>#N/A</v>
      </c>
      <c r="R2184" s="282" t="e">
        <f>++Tabla4[[#This Row],[Precio Unitario Neto]]-Tabla4[[#This Row],[20.85%]]-Tabla4[[#This Row],[Costo]]</f>
        <v>#N/A</v>
      </c>
      <c r="S2184" s="282" t="e">
        <f>++Tabla4[[#This Row],[U. Bruta Uni]]*Tabla4[[#This Row],[Cantidad]]</f>
        <v>#N/A</v>
      </c>
      <c r="T2184" s="369" t="str">
        <f>VLOOKUP(Tabla4[[#This Row],[Producto]],Tabla6[#All],14,FALSE)</f>
        <v>Termico Solar</v>
      </c>
      <c r="U2184" s="284" t="e">
        <f>(IF(Tabla4[[#This Row],[Familia]]="termico solar",Tabla4[[#This Row],[Utilidad Total]]*6%,Tabla4[[#This Row],[Utilidad Total]]*11.5%))/Tabla4[[#This Row],[Total]]</f>
        <v>#N/A</v>
      </c>
      <c r="V2184" s="282" t="e">
        <f>+Tabla4[[#This Row],[Comisión Calculada]]*Tabla4[[#This Row],[Total]]</f>
        <v>#N/A</v>
      </c>
    </row>
    <row r="2185" spans="1:22" hidden="1" x14ac:dyDescent="0.25">
      <c r="A2185" s="100">
        <v>45762</v>
      </c>
      <c r="B2185" t="str">
        <f t="shared" si="111"/>
        <v>April</v>
      </c>
      <c r="C2185" s="46" t="s">
        <v>280</v>
      </c>
      <c r="F2185" s="366" t="s">
        <v>1541</v>
      </c>
      <c r="G2185" s="46" t="s">
        <v>83</v>
      </c>
      <c r="H2185" s="46">
        <v>1</v>
      </c>
      <c r="I2185" s="51">
        <v>8858.76</v>
      </c>
      <c r="J2185" s="281">
        <f>++Tabla4[[#This Row],[Precio Bruto]]*1.16</f>
        <v>10276.161599999999</v>
      </c>
      <c r="K2185" s="281">
        <f>+Tabla4[[#This Row],[Precio Unitario Neto]]*Tabla4[[#Headers],[20.85%]]</f>
        <v>2142.5796935999997</v>
      </c>
      <c r="L2185" s="282">
        <f>++Tabla4[[#This Row],[Precio Unitario Neto]]-Tabla4[[#This Row],[20.85%]]</f>
        <v>8133.5819063999998</v>
      </c>
      <c r="M2185" s="282" t="e">
        <f>(INDEX(Tabla6[#All],MATCH(Tabla4[[#This Row],[Producto]],Tabla6[[#All],[PRODUCTO]],0),MATCH(Tabla4[[#This Row],[Mes]],Tabla6[#Headers],0)))*(1+Catalogos!$L$2)</f>
        <v>#N/A</v>
      </c>
      <c r="N2185" s="283" t="e">
        <f>+(Tabla4[[#This Row],[Precio Descontado]]-Tabla4[[#This Row],[Precio Base]])*Tabla4[[#This Row],[Cantidad]]</f>
        <v>#N/A</v>
      </c>
      <c r="O2185" s="284" t="e">
        <f>++Tabla4[[#This Row],[Utilidad Total]]/Tabla4[[#This Row],[Total]]</f>
        <v>#N/A</v>
      </c>
      <c r="P2185" s="282">
        <f>++Tabla4[[#This Row],[Precio Descontado]]*Tabla4[[#This Row],[Cantidad]]</f>
        <v>8133.5819063999998</v>
      </c>
      <c r="Q2185" s="282" t="e">
        <f>(INDEX(Tabla6[#All],MATCH(Tabla4[[#This Row],[Producto]],Tabla6[[#All],[PRODUCTO]],0),MATCH(Tabla4[[#This Row],[Mes]],Tabla6[#Headers],0)))</f>
        <v>#N/A</v>
      </c>
      <c r="R2185" s="282" t="e">
        <f>++Tabla4[[#This Row],[Precio Unitario Neto]]-Tabla4[[#This Row],[20.85%]]-Tabla4[[#This Row],[Costo]]</f>
        <v>#N/A</v>
      </c>
      <c r="S2185" s="282" t="e">
        <f>++Tabla4[[#This Row],[U. Bruta Uni]]*Tabla4[[#This Row],[Cantidad]]</f>
        <v>#N/A</v>
      </c>
      <c r="T2185" s="369" t="str">
        <f>VLOOKUP(Tabla4[[#This Row],[Producto]],Tabla6[#All],14,FALSE)</f>
        <v>Termico Solar</v>
      </c>
      <c r="U2185" s="284" t="e">
        <f>(IF(Tabla4[[#This Row],[Familia]]="termico solar",Tabla4[[#This Row],[Utilidad Total]]*6%,Tabla4[[#This Row],[Utilidad Total]]*11.5%))/Tabla4[[#This Row],[Total]]</f>
        <v>#N/A</v>
      </c>
      <c r="V2185" s="282" t="e">
        <f>+Tabla4[[#This Row],[Comisión Calculada]]*Tabla4[[#This Row],[Total]]</f>
        <v>#N/A</v>
      </c>
    </row>
    <row r="2186" spans="1:22" hidden="1" x14ac:dyDescent="0.25">
      <c r="A2186" s="100">
        <v>45762</v>
      </c>
      <c r="B2186" t="str">
        <f t="shared" si="111"/>
        <v>April</v>
      </c>
      <c r="C2186" s="46" t="s">
        <v>280</v>
      </c>
      <c r="F2186" s="366" t="s">
        <v>1541</v>
      </c>
      <c r="G2186" s="46" t="s">
        <v>17</v>
      </c>
      <c r="H2186" s="46">
        <v>5</v>
      </c>
      <c r="I2186" s="51">
        <v>4622.2800000000007</v>
      </c>
      <c r="J2186" s="281">
        <f>++Tabla4[[#This Row],[Precio Bruto]]*1.16</f>
        <v>5361.8448000000008</v>
      </c>
      <c r="K2186" s="281">
        <f>+Tabla4[[#This Row],[Precio Unitario Neto]]*Tabla4[[#Headers],[20.85%]]</f>
        <v>1117.9446408000001</v>
      </c>
      <c r="L2186" s="282">
        <f>++Tabla4[[#This Row],[Precio Unitario Neto]]-Tabla4[[#This Row],[20.85%]]</f>
        <v>4243.9001592000004</v>
      </c>
      <c r="M2186" s="282" t="e">
        <f>(INDEX(Tabla6[#All],MATCH(Tabla4[[#This Row],[Producto]],Tabla6[[#All],[PRODUCTO]],0),MATCH(Tabla4[[#This Row],[Mes]],Tabla6[#Headers],0)))*(1+Catalogos!$L$2)</f>
        <v>#N/A</v>
      </c>
      <c r="N2186" s="283" t="e">
        <f>+(Tabla4[[#This Row],[Precio Descontado]]-Tabla4[[#This Row],[Precio Base]])*Tabla4[[#This Row],[Cantidad]]</f>
        <v>#N/A</v>
      </c>
      <c r="O2186" s="284" t="e">
        <f>++Tabla4[[#This Row],[Utilidad Total]]/Tabla4[[#This Row],[Total]]</f>
        <v>#N/A</v>
      </c>
      <c r="P2186" s="282">
        <f>++Tabla4[[#This Row],[Precio Descontado]]*Tabla4[[#This Row],[Cantidad]]</f>
        <v>21219.500796</v>
      </c>
      <c r="Q2186" s="282" t="e">
        <f>(INDEX(Tabla6[#All],MATCH(Tabla4[[#This Row],[Producto]],Tabla6[[#All],[PRODUCTO]],0),MATCH(Tabla4[[#This Row],[Mes]],Tabla6[#Headers],0)))</f>
        <v>#N/A</v>
      </c>
      <c r="R2186" s="282" t="e">
        <f>++Tabla4[[#This Row],[Precio Unitario Neto]]-Tabla4[[#This Row],[20.85%]]-Tabla4[[#This Row],[Costo]]</f>
        <v>#N/A</v>
      </c>
      <c r="S2186" s="282" t="e">
        <f>++Tabla4[[#This Row],[U. Bruta Uni]]*Tabla4[[#This Row],[Cantidad]]</f>
        <v>#N/A</v>
      </c>
      <c r="T2186" s="369" t="str">
        <f>VLOOKUP(Tabla4[[#This Row],[Producto]],Tabla6[#All],14,FALSE)</f>
        <v>Termico Solar</v>
      </c>
      <c r="U2186" s="284" t="e">
        <f>(IF(Tabla4[[#This Row],[Familia]]="termico solar",Tabla4[[#This Row],[Utilidad Total]]*6%,Tabla4[[#This Row],[Utilidad Total]]*11.5%))/Tabla4[[#This Row],[Total]]</f>
        <v>#N/A</v>
      </c>
      <c r="V2186" s="282" t="e">
        <f>+Tabla4[[#This Row],[Comisión Calculada]]*Tabla4[[#This Row],[Total]]</f>
        <v>#N/A</v>
      </c>
    </row>
    <row r="2187" spans="1:22" ht="15.75" hidden="1" customHeight="1" x14ac:dyDescent="0.25">
      <c r="A2187" s="100">
        <v>45762</v>
      </c>
      <c r="B2187" t="str">
        <f t="shared" si="111"/>
        <v>April</v>
      </c>
      <c r="C2187" s="46" t="s">
        <v>280</v>
      </c>
      <c r="F2187" s="366" t="s">
        <v>1541</v>
      </c>
      <c r="G2187" s="46" t="s">
        <v>18</v>
      </c>
      <c r="H2187" s="46">
        <v>1</v>
      </c>
      <c r="I2187" s="51">
        <v>5367.65</v>
      </c>
      <c r="J2187" s="281">
        <f>++Tabla4[[#This Row],[Precio Bruto]]*1.16</f>
        <v>6226.4739999999993</v>
      </c>
      <c r="K2187" s="281">
        <f>+Tabla4[[#This Row],[Precio Unitario Neto]]*Tabla4[[#Headers],[20.85%]]</f>
        <v>1298.2198289999999</v>
      </c>
      <c r="L2187" s="282">
        <f>++Tabla4[[#This Row],[Precio Unitario Neto]]-Tabla4[[#This Row],[20.85%]]</f>
        <v>4928.2541709999996</v>
      </c>
      <c r="M2187" s="282" t="e">
        <f>(INDEX(Tabla6[#All],MATCH(Tabla4[[#This Row],[Producto]],Tabla6[[#All],[PRODUCTO]],0),MATCH(Tabla4[[#This Row],[Mes]],Tabla6[#Headers],0)))*(1+Catalogos!$L$2)</f>
        <v>#N/A</v>
      </c>
      <c r="N2187" s="283" t="e">
        <f>+(Tabla4[[#This Row],[Precio Descontado]]-Tabla4[[#This Row],[Precio Base]])*Tabla4[[#This Row],[Cantidad]]</f>
        <v>#N/A</v>
      </c>
      <c r="O2187" s="284" t="e">
        <f>++Tabla4[[#This Row],[Utilidad Total]]/Tabla4[[#This Row],[Total]]</f>
        <v>#N/A</v>
      </c>
      <c r="P2187" s="282">
        <f>++Tabla4[[#This Row],[Precio Descontado]]*Tabla4[[#This Row],[Cantidad]]</f>
        <v>4928.2541709999996</v>
      </c>
      <c r="Q2187" s="282" t="e">
        <f>(INDEX(Tabla6[#All],MATCH(Tabla4[[#This Row],[Producto]],Tabla6[[#All],[PRODUCTO]],0),MATCH(Tabla4[[#This Row],[Mes]],Tabla6[#Headers],0)))</f>
        <v>#N/A</v>
      </c>
      <c r="R2187" s="282" t="e">
        <f>++Tabla4[[#This Row],[Precio Unitario Neto]]-Tabla4[[#This Row],[20.85%]]-Tabla4[[#This Row],[Costo]]</f>
        <v>#N/A</v>
      </c>
      <c r="S2187" s="282" t="e">
        <f>++Tabla4[[#This Row],[U. Bruta Uni]]*Tabla4[[#This Row],[Cantidad]]</f>
        <v>#N/A</v>
      </c>
      <c r="T2187" s="369" t="str">
        <f>VLOOKUP(Tabla4[[#This Row],[Producto]],Tabla6[#All],14,FALSE)</f>
        <v>Termico Solar</v>
      </c>
      <c r="U2187" s="284" t="e">
        <f>(IF(Tabla4[[#This Row],[Familia]]="termico solar",Tabla4[[#This Row],[Utilidad Total]]*6%,Tabla4[[#This Row],[Utilidad Total]]*11.5%))/Tabla4[[#This Row],[Total]]</f>
        <v>#N/A</v>
      </c>
      <c r="V2187" s="282" t="e">
        <f>+Tabla4[[#This Row],[Comisión Calculada]]*Tabla4[[#This Row],[Total]]</f>
        <v>#N/A</v>
      </c>
    </row>
    <row r="2188" spans="1:22" hidden="1" x14ac:dyDescent="0.25">
      <c r="A2188" s="100">
        <v>45762</v>
      </c>
      <c r="B2188" t="str">
        <f t="shared" si="111"/>
        <v>April</v>
      </c>
      <c r="C2188" s="46" t="s">
        <v>280</v>
      </c>
      <c r="F2188" s="366" t="s">
        <v>1541</v>
      </c>
      <c r="G2188" s="46" t="s">
        <v>208</v>
      </c>
      <c r="H2188" s="46">
        <v>1</v>
      </c>
      <c r="I2188" s="51">
        <v>189.75</v>
      </c>
      <c r="J2188" s="281">
        <f>++Tabla4[[#This Row],[Precio Bruto]]*1.16</f>
        <v>220.10999999999999</v>
      </c>
      <c r="K2188" s="281">
        <f>+Tabla4[[#This Row],[Precio Unitario Neto]]*Tabla4[[#Headers],[20.85%]]</f>
        <v>45.892934999999994</v>
      </c>
      <c r="L2188" s="282">
        <f>++Tabla4[[#This Row],[Precio Unitario Neto]]-Tabla4[[#This Row],[20.85%]]</f>
        <v>174.21706499999999</v>
      </c>
      <c r="M2188" s="282" t="e">
        <f>(INDEX(Tabla6[#All],MATCH(Tabla4[[#This Row],[Producto]],Tabla6[[#All],[PRODUCTO]],0),MATCH(Tabla4[[#This Row],[Mes]],Tabla6[#Headers],0)))*(1+Catalogos!$L$2)</f>
        <v>#N/A</v>
      </c>
      <c r="N2188" s="283" t="e">
        <f>+(Tabla4[[#This Row],[Precio Descontado]]-Tabla4[[#This Row],[Precio Base]])*Tabla4[[#This Row],[Cantidad]]</f>
        <v>#N/A</v>
      </c>
      <c r="O2188" s="284" t="e">
        <f>++Tabla4[[#This Row],[Utilidad Total]]/Tabla4[[#This Row],[Total]]</f>
        <v>#N/A</v>
      </c>
      <c r="P2188" s="282">
        <f>++Tabla4[[#This Row],[Precio Descontado]]*Tabla4[[#This Row],[Cantidad]]</f>
        <v>174.21706499999999</v>
      </c>
      <c r="Q2188" s="282" t="e">
        <f>(INDEX(Tabla6[#All],MATCH(Tabla4[[#This Row],[Producto]],Tabla6[[#All],[PRODUCTO]],0),MATCH(Tabla4[[#This Row],[Mes]],Tabla6[#Headers],0)))</f>
        <v>#N/A</v>
      </c>
      <c r="R2188" s="282" t="e">
        <f>++Tabla4[[#This Row],[Precio Unitario Neto]]-Tabla4[[#This Row],[20.85%]]-Tabla4[[#This Row],[Costo]]</f>
        <v>#N/A</v>
      </c>
      <c r="S2188" s="282" t="e">
        <f>++Tabla4[[#This Row],[U. Bruta Uni]]*Tabla4[[#This Row],[Cantidad]]</f>
        <v>#N/A</v>
      </c>
      <c r="T2188" s="369" t="str">
        <f>VLOOKUP(Tabla4[[#This Row],[Producto]],Tabla6[#All],14,FALSE)</f>
        <v>Termico Solar</v>
      </c>
      <c r="U2188" s="284" t="e">
        <f>(IF(Tabla4[[#This Row],[Familia]]="termico solar",Tabla4[[#This Row],[Utilidad Total]]*6%,Tabla4[[#This Row],[Utilidad Total]]*11.5%))/Tabla4[[#This Row],[Total]]</f>
        <v>#N/A</v>
      </c>
      <c r="V2188" s="282" t="e">
        <f>+Tabla4[[#This Row],[Comisión Calculada]]*Tabla4[[#This Row],[Total]]</f>
        <v>#N/A</v>
      </c>
    </row>
    <row r="2189" spans="1:22" hidden="1" x14ac:dyDescent="0.25">
      <c r="A2189" s="100">
        <v>45762</v>
      </c>
      <c r="B2189" t="str">
        <f t="shared" si="111"/>
        <v>April</v>
      </c>
      <c r="C2189" s="46" t="s">
        <v>280</v>
      </c>
      <c r="F2189" s="366" t="s">
        <v>1542</v>
      </c>
      <c r="G2189" s="46" t="s">
        <v>18</v>
      </c>
      <c r="H2189" s="46">
        <v>2</v>
      </c>
      <c r="I2189" s="51">
        <v>5367.65</v>
      </c>
      <c r="J2189" s="281">
        <f>++Tabla4[[#This Row],[Precio Bruto]]*1.16</f>
        <v>6226.4739999999993</v>
      </c>
      <c r="K2189" s="281">
        <f>+Tabla4[[#This Row],[Precio Unitario Neto]]*Tabla4[[#Headers],[20.85%]]</f>
        <v>1298.2198289999999</v>
      </c>
      <c r="L2189" s="282">
        <f>++Tabla4[[#This Row],[Precio Unitario Neto]]-Tabla4[[#This Row],[20.85%]]</f>
        <v>4928.2541709999996</v>
      </c>
      <c r="M2189" s="282" t="e">
        <f>(INDEX(Tabla6[#All],MATCH(Tabla4[[#This Row],[Producto]],Tabla6[[#All],[PRODUCTO]],0),MATCH(Tabla4[[#This Row],[Mes]],Tabla6[#Headers],0)))*(1+Catalogos!$L$2)</f>
        <v>#N/A</v>
      </c>
      <c r="N2189" s="283" t="e">
        <f>+(Tabla4[[#This Row],[Precio Descontado]]-Tabla4[[#This Row],[Precio Base]])*Tabla4[[#This Row],[Cantidad]]</f>
        <v>#N/A</v>
      </c>
      <c r="O2189" s="284" t="e">
        <f>++Tabla4[[#This Row],[Utilidad Total]]/Tabla4[[#This Row],[Total]]</f>
        <v>#N/A</v>
      </c>
      <c r="P2189" s="282">
        <f>++Tabla4[[#This Row],[Precio Descontado]]*Tabla4[[#This Row],[Cantidad]]</f>
        <v>9856.5083419999992</v>
      </c>
      <c r="Q2189" s="282" t="e">
        <f>(INDEX(Tabla6[#All],MATCH(Tabla4[[#This Row],[Producto]],Tabla6[[#All],[PRODUCTO]],0),MATCH(Tabla4[[#This Row],[Mes]],Tabla6[#Headers],0)))</f>
        <v>#N/A</v>
      </c>
      <c r="R2189" s="282" t="e">
        <f>++Tabla4[[#This Row],[Precio Unitario Neto]]-Tabla4[[#This Row],[20.85%]]-Tabla4[[#This Row],[Costo]]</f>
        <v>#N/A</v>
      </c>
      <c r="S2189" s="282" t="e">
        <f>++Tabla4[[#This Row],[U. Bruta Uni]]*Tabla4[[#This Row],[Cantidad]]</f>
        <v>#N/A</v>
      </c>
      <c r="T2189" s="369" t="str">
        <f>VLOOKUP(Tabla4[[#This Row],[Producto]],Tabla6[#All],14,FALSE)</f>
        <v>Termico Solar</v>
      </c>
      <c r="U2189" s="284" t="e">
        <f>(IF(Tabla4[[#This Row],[Familia]]="termico solar",Tabla4[[#This Row],[Utilidad Total]]*6%,Tabla4[[#This Row],[Utilidad Total]]*11.5%))/Tabla4[[#This Row],[Total]]</f>
        <v>#N/A</v>
      </c>
      <c r="V2189" s="282" t="e">
        <f>+Tabla4[[#This Row],[Comisión Calculada]]*Tabla4[[#This Row],[Total]]</f>
        <v>#N/A</v>
      </c>
    </row>
    <row r="2190" spans="1:22" hidden="1" x14ac:dyDescent="0.25">
      <c r="A2190" s="100">
        <v>45762</v>
      </c>
      <c r="B2190" t="str">
        <f t="shared" si="111"/>
        <v>April</v>
      </c>
      <c r="C2190" s="46" t="s">
        <v>280</v>
      </c>
      <c r="F2190" s="366" t="s">
        <v>1543</v>
      </c>
      <c r="G2190" s="46" t="s">
        <v>16</v>
      </c>
      <c r="H2190" s="46">
        <v>2</v>
      </c>
      <c r="I2190" s="51">
        <v>4103.8500000000004</v>
      </c>
      <c r="J2190" s="281">
        <f>++Tabla4[[#This Row],[Precio Bruto]]*1.16</f>
        <v>4760.4660000000003</v>
      </c>
      <c r="K2190" s="281">
        <f>+Tabla4[[#This Row],[Precio Unitario Neto]]*Tabla4[[#Headers],[20.85%]]</f>
        <v>992.55716100000006</v>
      </c>
      <c r="L2190" s="282">
        <f>++Tabla4[[#This Row],[Precio Unitario Neto]]-Tabla4[[#This Row],[20.85%]]</f>
        <v>3767.9088390000002</v>
      </c>
      <c r="M2190" s="282" t="e">
        <f>(INDEX(Tabla6[#All],MATCH(Tabla4[[#This Row],[Producto]],Tabla6[[#All],[PRODUCTO]],0),MATCH(Tabla4[[#This Row],[Mes]],Tabla6[#Headers],0)))*(1+Catalogos!$L$2)</f>
        <v>#N/A</v>
      </c>
      <c r="N2190" s="283" t="e">
        <f>+(Tabla4[[#This Row],[Precio Descontado]]-Tabla4[[#This Row],[Precio Base]])*Tabla4[[#This Row],[Cantidad]]</f>
        <v>#N/A</v>
      </c>
      <c r="O2190" s="284" t="e">
        <f>++Tabla4[[#This Row],[Utilidad Total]]/Tabla4[[#This Row],[Total]]</f>
        <v>#N/A</v>
      </c>
      <c r="P2190" s="282">
        <f>++Tabla4[[#This Row],[Precio Descontado]]*Tabla4[[#This Row],[Cantidad]]</f>
        <v>7535.8176780000003</v>
      </c>
      <c r="Q2190" s="282" t="e">
        <f>(INDEX(Tabla6[#All],MATCH(Tabla4[[#This Row],[Producto]],Tabla6[[#All],[PRODUCTO]],0),MATCH(Tabla4[[#This Row],[Mes]],Tabla6[#Headers],0)))</f>
        <v>#N/A</v>
      </c>
      <c r="R2190" s="282" t="e">
        <f>++Tabla4[[#This Row],[Precio Unitario Neto]]-Tabla4[[#This Row],[20.85%]]-Tabla4[[#This Row],[Costo]]</f>
        <v>#N/A</v>
      </c>
      <c r="S2190" s="282" t="e">
        <f>++Tabla4[[#This Row],[U. Bruta Uni]]*Tabla4[[#This Row],[Cantidad]]</f>
        <v>#N/A</v>
      </c>
      <c r="T2190" s="369" t="str">
        <f>VLOOKUP(Tabla4[[#This Row],[Producto]],Tabla6[#All],14,FALSE)</f>
        <v>Termico Solar</v>
      </c>
      <c r="U2190" s="284" t="e">
        <f>(IF(Tabla4[[#This Row],[Familia]]="termico solar",Tabla4[[#This Row],[Utilidad Total]]*6%,Tabla4[[#This Row],[Utilidad Total]]*11.5%))/Tabla4[[#This Row],[Total]]</f>
        <v>#N/A</v>
      </c>
      <c r="V2190" s="282" t="e">
        <f>+Tabla4[[#This Row],[Comisión Calculada]]*Tabla4[[#This Row],[Total]]</f>
        <v>#N/A</v>
      </c>
    </row>
    <row r="2191" spans="1:22" hidden="1" x14ac:dyDescent="0.25">
      <c r="A2191" s="100">
        <v>45762</v>
      </c>
      <c r="B2191" t="str">
        <f t="shared" si="111"/>
        <v>April</v>
      </c>
      <c r="C2191" s="46" t="s">
        <v>280</v>
      </c>
      <c r="F2191" s="366" t="s">
        <v>1544</v>
      </c>
      <c r="G2191" s="46" t="s">
        <v>209</v>
      </c>
      <c r="H2191" s="46">
        <v>1</v>
      </c>
      <c r="I2191" s="51">
        <v>347.48</v>
      </c>
      <c r="J2191" s="281">
        <f>++Tabla4[[#This Row],[Precio Bruto]]*1.16</f>
        <v>403.07679999999999</v>
      </c>
      <c r="K2191" s="281">
        <f>+Tabla4[[#This Row],[Precio Unitario Neto]]*Tabla4[[#Headers],[20.85%]]</f>
        <v>84.041512799999992</v>
      </c>
      <c r="L2191" s="282">
        <f>++Tabla4[[#This Row],[Precio Unitario Neto]]-Tabla4[[#This Row],[20.85%]]</f>
        <v>319.03528719999997</v>
      </c>
      <c r="M2191" s="282" t="e">
        <f>(INDEX(Tabla6[#All],MATCH(Tabla4[[#This Row],[Producto]],Tabla6[[#All],[PRODUCTO]],0),MATCH(Tabla4[[#This Row],[Mes]],Tabla6[#Headers],0)))*(1+Catalogos!$L$2)</f>
        <v>#N/A</v>
      </c>
      <c r="N2191" s="283" t="e">
        <f>+(Tabla4[[#This Row],[Precio Descontado]]-Tabla4[[#This Row],[Precio Base]])*Tabla4[[#This Row],[Cantidad]]</f>
        <v>#N/A</v>
      </c>
      <c r="O2191" s="284" t="e">
        <f>++Tabla4[[#This Row],[Utilidad Total]]/Tabla4[[#This Row],[Total]]</f>
        <v>#N/A</v>
      </c>
      <c r="P2191" s="282">
        <f>++Tabla4[[#This Row],[Precio Descontado]]*Tabla4[[#This Row],[Cantidad]]</f>
        <v>319.03528719999997</v>
      </c>
      <c r="Q2191" s="282" t="e">
        <f>(INDEX(Tabla6[#All],MATCH(Tabla4[[#This Row],[Producto]],Tabla6[[#All],[PRODUCTO]],0),MATCH(Tabla4[[#This Row],[Mes]],Tabla6[#Headers],0)))</f>
        <v>#N/A</v>
      </c>
      <c r="R2191" s="282" t="e">
        <f>++Tabla4[[#This Row],[Precio Unitario Neto]]-Tabla4[[#This Row],[20.85%]]-Tabla4[[#This Row],[Costo]]</f>
        <v>#N/A</v>
      </c>
      <c r="S2191" s="282" t="e">
        <f>++Tabla4[[#This Row],[U. Bruta Uni]]*Tabla4[[#This Row],[Cantidad]]</f>
        <v>#N/A</v>
      </c>
      <c r="T2191" s="369" t="str">
        <f>VLOOKUP(Tabla4[[#This Row],[Producto]],Tabla6[#All],14,FALSE)</f>
        <v>Termico Solar</v>
      </c>
      <c r="U2191" s="284" t="e">
        <f>(IF(Tabla4[[#This Row],[Familia]]="termico solar",Tabla4[[#This Row],[Utilidad Total]]*6%,Tabla4[[#This Row],[Utilidad Total]]*11.5%))/Tabla4[[#This Row],[Total]]</f>
        <v>#N/A</v>
      </c>
      <c r="V2191" s="282" t="e">
        <f>+Tabla4[[#This Row],[Comisión Calculada]]*Tabla4[[#This Row],[Total]]</f>
        <v>#N/A</v>
      </c>
    </row>
    <row r="2192" spans="1:22" hidden="1" x14ac:dyDescent="0.25">
      <c r="A2192" s="100">
        <v>45762</v>
      </c>
      <c r="B2192" t="str">
        <f t="shared" si="111"/>
        <v>April</v>
      </c>
      <c r="C2192" s="46" t="s">
        <v>280</v>
      </c>
      <c r="F2192" s="366" t="s">
        <v>1545</v>
      </c>
      <c r="G2192" s="46" t="s">
        <v>566</v>
      </c>
      <c r="H2192" s="46">
        <v>1</v>
      </c>
      <c r="I2192" s="51">
        <v>2109.4499999999998</v>
      </c>
      <c r="J2192" s="281">
        <f>++Tabla4[[#This Row],[Precio Bruto]]*1.16</f>
        <v>2446.9619999999995</v>
      </c>
      <c r="K2192" s="281">
        <f>+Tabla4[[#This Row],[Precio Unitario Neto]]*Tabla4[[#Headers],[20.85%]]</f>
        <v>510.19157699999988</v>
      </c>
      <c r="L2192" s="282">
        <f>++Tabla4[[#This Row],[Precio Unitario Neto]]-Tabla4[[#This Row],[20.85%]]</f>
        <v>1936.7704229999997</v>
      </c>
      <c r="M2192" s="282" t="e">
        <f>(INDEX(Tabla6[#All],MATCH(Tabla4[[#This Row],[Producto]],Tabla6[[#All],[PRODUCTO]],0),MATCH(Tabla4[[#This Row],[Mes]],Tabla6[#Headers],0)))*(1+Catalogos!$L$2)</f>
        <v>#N/A</v>
      </c>
      <c r="N2192" s="283" t="e">
        <f>+(Tabla4[[#This Row],[Precio Descontado]]-Tabla4[[#This Row],[Precio Base]])*Tabla4[[#This Row],[Cantidad]]</f>
        <v>#N/A</v>
      </c>
      <c r="O2192" s="284" t="e">
        <f>++Tabla4[[#This Row],[Utilidad Total]]/Tabla4[[#This Row],[Total]]</f>
        <v>#N/A</v>
      </c>
      <c r="P2192" s="282">
        <f>++Tabla4[[#This Row],[Precio Descontado]]*Tabla4[[#This Row],[Cantidad]]</f>
        <v>1936.7704229999997</v>
      </c>
      <c r="Q2192" s="282" t="e">
        <f>(INDEX(Tabla6[#All],MATCH(Tabla4[[#This Row],[Producto]],Tabla6[[#All],[PRODUCTO]],0),MATCH(Tabla4[[#This Row],[Mes]],Tabla6[#Headers],0)))</f>
        <v>#N/A</v>
      </c>
      <c r="R2192" s="282" t="e">
        <f>++Tabla4[[#This Row],[Precio Unitario Neto]]-Tabla4[[#This Row],[20.85%]]-Tabla4[[#This Row],[Costo]]</f>
        <v>#N/A</v>
      </c>
      <c r="S2192" s="282" t="e">
        <f>++Tabla4[[#This Row],[U. Bruta Uni]]*Tabla4[[#This Row],[Cantidad]]</f>
        <v>#N/A</v>
      </c>
      <c r="T2192" s="369" t="str">
        <f>VLOOKUP(Tabla4[[#This Row],[Producto]],Tabla6[#All],14,FALSE)</f>
        <v>Termico Solar</v>
      </c>
      <c r="U2192" s="284" t="e">
        <f>(IF(Tabla4[[#This Row],[Familia]]="termico solar",Tabla4[[#This Row],[Utilidad Total]]*6%,Tabla4[[#This Row],[Utilidad Total]]*11.5%))/Tabla4[[#This Row],[Total]]</f>
        <v>#N/A</v>
      </c>
      <c r="V2192" s="282" t="e">
        <f>+Tabla4[[#This Row],[Comisión Calculada]]*Tabla4[[#This Row],[Total]]</f>
        <v>#N/A</v>
      </c>
    </row>
    <row r="2193" spans="1:22" hidden="1" x14ac:dyDescent="0.25">
      <c r="A2193" s="100">
        <v>45762</v>
      </c>
      <c r="B2193" t="str">
        <f t="shared" si="111"/>
        <v>April</v>
      </c>
      <c r="C2193" s="46" t="s">
        <v>280</v>
      </c>
      <c r="F2193" s="366" t="s">
        <v>1546</v>
      </c>
      <c r="G2193" s="46" t="s">
        <v>17</v>
      </c>
      <c r="H2193" s="46">
        <v>2</v>
      </c>
      <c r="I2193" s="51">
        <v>4622.28</v>
      </c>
      <c r="J2193" s="281">
        <f>++Tabla4[[#This Row],[Precio Bruto]]*1.16</f>
        <v>5361.8447999999989</v>
      </c>
      <c r="K2193" s="281">
        <f>+Tabla4[[#This Row],[Precio Unitario Neto]]*Tabla4[[#Headers],[20.85%]]</f>
        <v>1117.9446407999997</v>
      </c>
      <c r="L2193" s="282">
        <f>++Tabla4[[#This Row],[Precio Unitario Neto]]-Tabla4[[#This Row],[20.85%]]</f>
        <v>4243.9001591999995</v>
      </c>
      <c r="M2193" s="282" t="e">
        <f>(INDEX(Tabla6[#All],MATCH(Tabla4[[#This Row],[Producto]],Tabla6[[#All],[PRODUCTO]],0),MATCH(Tabla4[[#This Row],[Mes]],Tabla6[#Headers],0)))*(1+Catalogos!$L$2)</f>
        <v>#N/A</v>
      </c>
      <c r="N2193" s="283" t="e">
        <f>+(Tabla4[[#This Row],[Precio Descontado]]-Tabla4[[#This Row],[Precio Base]])*Tabla4[[#This Row],[Cantidad]]</f>
        <v>#N/A</v>
      </c>
      <c r="O2193" s="284" t="e">
        <f>++Tabla4[[#This Row],[Utilidad Total]]/Tabla4[[#This Row],[Total]]</f>
        <v>#N/A</v>
      </c>
      <c r="P2193" s="282">
        <f>++Tabla4[[#This Row],[Precio Descontado]]*Tabla4[[#This Row],[Cantidad]]</f>
        <v>8487.800318399999</v>
      </c>
      <c r="Q2193" s="282" t="e">
        <f>(INDEX(Tabla6[#All],MATCH(Tabla4[[#This Row],[Producto]],Tabla6[[#All],[PRODUCTO]],0),MATCH(Tabla4[[#This Row],[Mes]],Tabla6[#Headers],0)))</f>
        <v>#N/A</v>
      </c>
      <c r="R2193" s="282" t="e">
        <f>++Tabla4[[#This Row],[Precio Unitario Neto]]-Tabla4[[#This Row],[20.85%]]-Tabla4[[#This Row],[Costo]]</f>
        <v>#N/A</v>
      </c>
      <c r="S2193" s="282" t="e">
        <f>++Tabla4[[#This Row],[U. Bruta Uni]]*Tabla4[[#This Row],[Cantidad]]</f>
        <v>#N/A</v>
      </c>
      <c r="T2193" s="369" t="str">
        <f>VLOOKUP(Tabla4[[#This Row],[Producto]],Tabla6[#All],14,FALSE)</f>
        <v>Termico Solar</v>
      </c>
      <c r="U2193" s="284" t="e">
        <f>(IF(Tabla4[[#This Row],[Familia]]="termico solar",Tabla4[[#This Row],[Utilidad Total]]*6%,Tabla4[[#This Row],[Utilidad Total]]*11.5%))/Tabla4[[#This Row],[Total]]</f>
        <v>#N/A</v>
      </c>
      <c r="V2193" s="282" t="e">
        <f>+Tabla4[[#This Row],[Comisión Calculada]]*Tabla4[[#This Row],[Total]]</f>
        <v>#N/A</v>
      </c>
    </row>
    <row r="2194" spans="1:22" hidden="1" x14ac:dyDescent="0.25">
      <c r="A2194" s="100">
        <v>45762</v>
      </c>
      <c r="B2194" t="str">
        <f t="shared" si="111"/>
        <v>April</v>
      </c>
      <c r="C2194" s="46" t="s">
        <v>280</v>
      </c>
      <c r="F2194" s="366" t="s">
        <v>1547</v>
      </c>
      <c r="G2194" s="46" t="s">
        <v>83</v>
      </c>
      <c r="H2194" s="46">
        <v>4</v>
      </c>
      <c r="I2194" s="51">
        <v>8858.76</v>
      </c>
      <c r="J2194" s="281">
        <f>++Tabla4[[#This Row],[Precio Bruto]]*1.16</f>
        <v>10276.161599999999</v>
      </c>
      <c r="K2194" s="281">
        <f>+Tabla4[[#This Row],[Precio Unitario Neto]]*Tabla4[[#Headers],[20.85%]]</f>
        <v>2142.5796935999997</v>
      </c>
      <c r="L2194" s="282">
        <f>++Tabla4[[#This Row],[Precio Unitario Neto]]-Tabla4[[#This Row],[20.85%]]</f>
        <v>8133.5819063999998</v>
      </c>
      <c r="M2194" s="282" t="e">
        <f>(INDEX(Tabla6[#All],MATCH(Tabla4[[#This Row],[Producto]],Tabla6[[#All],[PRODUCTO]],0),MATCH(Tabla4[[#This Row],[Mes]],Tabla6[#Headers],0)))*(1+Catalogos!$L$2)</f>
        <v>#N/A</v>
      </c>
      <c r="N2194" s="283" t="e">
        <f>+(Tabla4[[#This Row],[Precio Descontado]]-Tabla4[[#This Row],[Precio Base]])*Tabla4[[#This Row],[Cantidad]]</f>
        <v>#N/A</v>
      </c>
      <c r="O2194" s="284" t="e">
        <f>++Tabla4[[#This Row],[Utilidad Total]]/Tabla4[[#This Row],[Total]]</f>
        <v>#N/A</v>
      </c>
      <c r="P2194" s="282">
        <f>++Tabla4[[#This Row],[Precio Descontado]]*Tabla4[[#This Row],[Cantidad]]</f>
        <v>32534.327625599999</v>
      </c>
      <c r="Q2194" s="282" t="e">
        <f>(INDEX(Tabla6[#All],MATCH(Tabla4[[#This Row],[Producto]],Tabla6[[#All],[PRODUCTO]],0),MATCH(Tabla4[[#This Row],[Mes]],Tabla6[#Headers],0)))</f>
        <v>#N/A</v>
      </c>
      <c r="R2194" s="282" t="e">
        <f>++Tabla4[[#This Row],[Precio Unitario Neto]]-Tabla4[[#This Row],[20.85%]]-Tabla4[[#This Row],[Costo]]</f>
        <v>#N/A</v>
      </c>
      <c r="S2194" s="282" t="e">
        <f>++Tabla4[[#This Row],[U. Bruta Uni]]*Tabla4[[#This Row],[Cantidad]]</f>
        <v>#N/A</v>
      </c>
      <c r="T2194" s="369" t="str">
        <f>VLOOKUP(Tabla4[[#This Row],[Producto]],Tabla6[#All],14,FALSE)</f>
        <v>Termico Solar</v>
      </c>
      <c r="U2194" s="284" t="e">
        <f>(IF(Tabla4[[#This Row],[Familia]]="termico solar",Tabla4[[#This Row],[Utilidad Total]]*6%,Tabla4[[#This Row],[Utilidad Total]]*11.5%))/Tabla4[[#This Row],[Total]]</f>
        <v>#N/A</v>
      </c>
      <c r="V2194" s="282" t="e">
        <f>+Tabla4[[#This Row],[Comisión Calculada]]*Tabla4[[#This Row],[Total]]</f>
        <v>#N/A</v>
      </c>
    </row>
    <row r="2195" spans="1:22" hidden="1" x14ac:dyDescent="0.25">
      <c r="A2195" s="100">
        <v>45762</v>
      </c>
      <c r="B2195" t="str">
        <f t="shared" si="111"/>
        <v>April</v>
      </c>
      <c r="C2195" s="46" t="s">
        <v>280</v>
      </c>
      <c r="F2195" s="366" t="s">
        <v>1547</v>
      </c>
      <c r="G2195" s="46" t="s">
        <v>394</v>
      </c>
      <c r="H2195" s="46">
        <v>16</v>
      </c>
      <c r="I2195" s="51">
        <v>224.29</v>
      </c>
      <c r="J2195" s="281">
        <f>++Tabla4[[#This Row],[Precio Bruto]]*1.16</f>
        <v>260.1764</v>
      </c>
      <c r="K2195" s="281">
        <f>+Tabla4[[#This Row],[Precio Unitario Neto]]*Tabla4[[#Headers],[20.85%]]</f>
        <v>54.246779400000001</v>
      </c>
      <c r="L2195" s="282">
        <f>++Tabla4[[#This Row],[Precio Unitario Neto]]-Tabla4[[#This Row],[20.85%]]</f>
        <v>205.92962059999999</v>
      </c>
      <c r="M2195" s="282" t="e">
        <f>(INDEX(Tabla6[#All],MATCH(Tabla4[[#This Row],[Producto]],Tabla6[[#All],[PRODUCTO]],0),MATCH(Tabla4[[#This Row],[Mes]],Tabla6[#Headers],0)))*(1+Catalogos!$L$2)</f>
        <v>#N/A</v>
      </c>
      <c r="N2195" s="283" t="e">
        <f>+(Tabla4[[#This Row],[Precio Descontado]]-Tabla4[[#This Row],[Precio Base]])*Tabla4[[#This Row],[Cantidad]]</f>
        <v>#N/A</v>
      </c>
      <c r="O2195" s="284" t="e">
        <f>++Tabla4[[#This Row],[Utilidad Total]]/Tabla4[[#This Row],[Total]]</f>
        <v>#N/A</v>
      </c>
      <c r="P2195" s="282">
        <f>++Tabla4[[#This Row],[Precio Descontado]]*Tabla4[[#This Row],[Cantidad]]</f>
        <v>3294.8739295999999</v>
      </c>
      <c r="Q2195" s="282" t="e">
        <f>(INDEX(Tabla6[#All],MATCH(Tabla4[[#This Row],[Producto]],Tabla6[[#All],[PRODUCTO]],0),MATCH(Tabla4[[#This Row],[Mes]],Tabla6[#Headers],0)))</f>
        <v>#N/A</v>
      </c>
      <c r="R2195" s="282" t="e">
        <f>++Tabla4[[#This Row],[Precio Unitario Neto]]-Tabla4[[#This Row],[20.85%]]-Tabla4[[#This Row],[Costo]]</f>
        <v>#N/A</v>
      </c>
      <c r="S2195" s="282" t="e">
        <f>++Tabla4[[#This Row],[U. Bruta Uni]]*Tabla4[[#This Row],[Cantidad]]</f>
        <v>#N/A</v>
      </c>
      <c r="T2195" s="369" t="str">
        <f>VLOOKUP(Tabla4[[#This Row],[Producto]],Tabla6[#All],14,FALSE)</f>
        <v>Termico Solar</v>
      </c>
      <c r="U2195" s="284" t="e">
        <f>(IF(Tabla4[[#This Row],[Familia]]="termico solar",Tabla4[[#This Row],[Utilidad Total]]*6%,Tabla4[[#This Row],[Utilidad Total]]*11.5%))/Tabla4[[#This Row],[Total]]</f>
        <v>#N/A</v>
      </c>
      <c r="V2195" s="282" t="e">
        <f>+Tabla4[[#This Row],[Comisión Calculada]]*Tabla4[[#This Row],[Total]]</f>
        <v>#N/A</v>
      </c>
    </row>
    <row r="2196" spans="1:22" hidden="1" x14ac:dyDescent="0.25">
      <c r="A2196" s="100">
        <v>45762</v>
      </c>
      <c r="B2196" t="str">
        <f t="shared" si="111"/>
        <v>April</v>
      </c>
      <c r="C2196" s="46" t="s">
        <v>280</v>
      </c>
      <c r="F2196" s="366" t="s">
        <v>1547</v>
      </c>
      <c r="G2196" s="46" t="s">
        <v>555</v>
      </c>
      <c r="H2196" s="46">
        <v>8</v>
      </c>
      <c r="I2196" s="51">
        <v>389.47</v>
      </c>
      <c r="J2196" s="281">
        <f>++Tabla4[[#This Row],[Precio Bruto]]*1.16</f>
        <v>451.78519999999997</v>
      </c>
      <c r="K2196" s="281">
        <f>+Tabla4[[#This Row],[Precio Unitario Neto]]*Tabla4[[#Headers],[20.85%]]</f>
        <v>94.197214199999991</v>
      </c>
      <c r="L2196" s="282">
        <f>++Tabla4[[#This Row],[Precio Unitario Neto]]-Tabla4[[#This Row],[20.85%]]</f>
        <v>357.58798579999996</v>
      </c>
      <c r="M2196" s="282" t="e">
        <f>(INDEX(Tabla6[#All],MATCH(Tabla4[[#This Row],[Producto]],Tabla6[[#All],[PRODUCTO]],0),MATCH(Tabla4[[#This Row],[Mes]],Tabla6[#Headers],0)))*(1+Catalogos!$L$2)</f>
        <v>#N/A</v>
      </c>
      <c r="N2196" s="283" t="e">
        <f>+(Tabla4[[#This Row],[Precio Descontado]]-Tabla4[[#This Row],[Precio Base]])*Tabla4[[#This Row],[Cantidad]]</f>
        <v>#N/A</v>
      </c>
      <c r="O2196" s="284" t="e">
        <f>++Tabla4[[#This Row],[Utilidad Total]]/Tabla4[[#This Row],[Total]]</f>
        <v>#N/A</v>
      </c>
      <c r="P2196" s="282">
        <f>++Tabla4[[#This Row],[Precio Descontado]]*Tabla4[[#This Row],[Cantidad]]</f>
        <v>2860.7038863999996</v>
      </c>
      <c r="Q2196" s="282" t="e">
        <f>(INDEX(Tabla6[#All],MATCH(Tabla4[[#This Row],[Producto]],Tabla6[[#All],[PRODUCTO]],0),MATCH(Tabla4[[#This Row],[Mes]],Tabla6[#Headers],0)))</f>
        <v>#N/A</v>
      </c>
      <c r="R2196" s="282" t="e">
        <f>++Tabla4[[#This Row],[Precio Unitario Neto]]-Tabla4[[#This Row],[20.85%]]-Tabla4[[#This Row],[Costo]]</f>
        <v>#N/A</v>
      </c>
      <c r="S2196" s="282" t="e">
        <f>++Tabla4[[#This Row],[U. Bruta Uni]]*Tabla4[[#This Row],[Cantidad]]</f>
        <v>#N/A</v>
      </c>
      <c r="T2196" s="369" t="str">
        <f>VLOOKUP(Tabla4[[#This Row],[Producto]],Tabla6[#All],14,FALSE)</f>
        <v>Termico Solar</v>
      </c>
      <c r="U2196" s="284" t="e">
        <f>(IF(Tabla4[[#This Row],[Familia]]="termico solar",Tabla4[[#This Row],[Utilidad Total]]*6%,Tabla4[[#This Row],[Utilidad Total]]*11.5%))/Tabla4[[#This Row],[Total]]</f>
        <v>#N/A</v>
      </c>
      <c r="V2196" s="282" t="e">
        <f>+Tabla4[[#This Row],[Comisión Calculada]]*Tabla4[[#This Row],[Total]]</f>
        <v>#N/A</v>
      </c>
    </row>
    <row r="2197" spans="1:22" hidden="1" x14ac:dyDescent="0.25">
      <c r="A2197" s="100">
        <v>45762</v>
      </c>
      <c r="B2197" t="str">
        <f t="shared" si="111"/>
        <v>April</v>
      </c>
      <c r="C2197" s="46" t="s">
        <v>280</v>
      </c>
      <c r="F2197" s="366" t="s">
        <v>1547</v>
      </c>
      <c r="G2197" s="46" t="s">
        <v>208</v>
      </c>
      <c r="H2197" s="46">
        <v>2</v>
      </c>
      <c r="I2197" s="51">
        <v>189.75</v>
      </c>
      <c r="J2197" s="281">
        <f>++Tabla4[[#This Row],[Precio Bruto]]*1.16</f>
        <v>220.10999999999999</v>
      </c>
      <c r="K2197" s="281">
        <f>+Tabla4[[#This Row],[Precio Unitario Neto]]*Tabla4[[#Headers],[20.85%]]</f>
        <v>45.892934999999994</v>
      </c>
      <c r="L2197" s="282">
        <f>++Tabla4[[#This Row],[Precio Unitario Neto]]-Tabla4[[#This Row],[20.85%]]</f>
        <v>174.21706499999999</v>
      </c>
      <c r="M2197" s="282" t="e">
        <f>(INDEX(Tabla6[#All],MATCH(Tabla4[[#This Row],[Producto]],Tabla6[[#All],[PRODUCTO]],0),MATCH(Tabla4[[#This Row],[Mes]],Tabla6[#Headers],0)))*(1+Catalogos!$L$2)</f>
        <v>#N/A</v>
      </c>
      <c r="N2197" s="283" t="e">
        <f>+(Tabla4[[#This Row],[Precio Descontado]]-Tabla4[[#This Row],[Precio Base]])*Tabla4[[#This Row],[Cantidad]]</f>
        <v>#N/A</v>
      </c>
      <c r="O2197" s="284" t="e">
        <f>++Tabla4[[#This Row],[Utilidad Total]]/Tabla4[[#This Row],[Total]]</f>
        <v>#N/A</v>
      </c>
      <c r="P2197" s="282">
        <f>++Tabla4[[#This Row],[Precio Descontado]]*Tabla4[[#This Row],[Cantidad]]</f>
        <v>348.43412999999998</v>
      </c>
      <c r="Q2197" s="282" t="e">
        <f>(INDEX(Tabla6[#All],MATCH(Tabla4[[#This Row],[Producto]],Tabla6[[#All],[PRODUCTO]],0),MATCH(Tabla4[[#This Row],[Mes]],Tabla6[#Headers],0)))</f>
        <v>#N/A</v>
      </c>
      <c r="R2197" s="282" t="e">
        <f>++Tabla4[[#This Row],[Precio Unitario Neto]]-Tabla4[[#This Row],[20.85%]]-Tabla4[[#This Row],[Costo]]</f>
        <v>#N/A</v>
      </c>
      <c r="S2197" s="282" t="e">
        <f>++Tabla4[[#This Row],[U. Bruta Uni]]*Tabla4[[#This Row],[Cantidad]]</f>
        <v>#N/A</v>
      </c>
      <c r="T2197" s="369" t="str">
        <f>VLOOKUP(Tabla4[[#This Row],[Producto]],Tabla6[#All],14,FALSE)</f>
        <v>Termico Solar</v>
      </c>
      <c r="U2197" s="284" t="e">
        <f>(IF(Tabla4[[#This Row],[Familia]]="termico solar",Tabla4[[#This Row],[Utilidad Total]]*6%,Tabla4[[#This Row],[Utilidad Total]]*11.5%))/Tabla4[[#This Row],[Total]]</f>
        <v>#N/A</v>
      </c>
      <c r="V2197" s="282" t="e">
        <f>+Tabla4[[#This Row],[Comisión Calculada]]*Tabla4[[#This Row],[Total]]</f>
        <v>#N/A</v>
      </c>
    </row>
    <row r="2198" spans="1:22" hidden="1" x14ac:dyDescent="0.25">
      <c r="A2198" s="100">
        <v>45762</v>
      </c>
      <c r="B2198" t="str">
        <f t="shared" si="111"/>
        <v>April</v>
      </c>
      <c r="C2198" s="46" t="s">
        <v>280</v>
      </c>
      <c r="F2198" s="366" t="s">
        <v>1548</v>
      </c>
      <c r="G2198" s="46" t="s">
        <v>17</v>
      </c>
      <c r="H2198" s="46">
        <v>1</v>
      </c>
      <c r="I2198" s="51">
        <v>4622.28</v>
      </c>
      <c r="J2198" s="281">
        <f>++Tabla4[[#This Row],[Precio Bruto]]*1.16</f>
        <v>5361.8447999999989</v>
      </c>
      <c r="K2198" s="281">
        <f>+Tabla4[[#This Row],[Precio Unitario Neto]]*Tabla4[[#Headers],[20.85%]]</f>
        <v>1117.9446407999997</v>
      </c>
      <c r="L2198" s="282">
        <f>++Tabla4[[#This Row],[Precio Unitario Neto]]-Tabla4[[#This Row],[20.85%]]</f>
        <v>4243.9001591999995</v>
      </c>
      <c r="M2198" s="282" t="e">
        <f>(INDEX(Tabla6[#All],MATCH(Tabla4[[#This Row],[Producto]],Tabla6[[#All],[PRODUCTO]],0),MATCH(Tabla4[[#This Row],[Mes]],Tabla6[#Headers],0)))*(1+Catalogos!$L$2)</f>
        <v>#N/A</v>
      </c>
      <c r="N2198" s="283" t="e">
        <f>+(Tabla4[[#This Row],[Precio Descontado]]-Tabla4[[#This Row],[Precio Base]])*Tabla4[[#This Row],[Cantidad]]</f>
        <v>#N/A</v>
      </c>
      <c r="O2198" s="284" t="e">
        <f>++Tabla4[[#This Row],[Utilidad Total]]/Tabla4[[#This Row],[Total]]</f>
        <v>#N/A</v>
      </c>
      <c r="P2198" s="282">
        <f>++Tabla4[[#This Row],[Precio Descontado]]*Tabla4[[#This Row],[Cantidad]]</f>
        <v>4243.9001591999995</v>
      </c>
      <c r="Q2198" s="282" t="e">
        <f>(INDEX(Tabla6[#All],MATCH(Tabla4[[#This Row],[Producto]],Tabla6[[#All],[PRODUCTO]],0),MATCH(Tabla4[[#This Row],[Mes]],Tabla6[#Headers],0)))</f>
        <v>#N/A</v>
      </c>
      <c r="R2198" s="282" t="e">
        <f>++Tabla4[[#This Row],[Precio Unitario Neto]]-Tabla4[[#This Row],[20.85%]]-Tabla4[[#This Row],[Costo]]</f>
        <v>#N/A</v>
      </c>
      <c r="S2198" s="282" t="e">
        <f>++Tabla4[[#This Row],[U. Bruta Uni]]*Tabla4[[#This Row],[Cantidad]]</f>
        <v>#N/A</v>
      </c>
      <c r="T2198" s="369" t="str">
        <f>VLOOKUP(Tabla4[[#This Row],[Producto]],Tabla6[#All],14,FALSE)</f>
        <v>Termico Solar</v>
      </c>
      <c r="U2198" s="284" t="e">
        <f>(IF(Tabla4[[#This Row],[Familia]]="termico solar",Tabla4[[#This Row],[Utilidad Total]]*6%,Tabla4[[#This Row],[Utilidad Total]]*11.5%))/Tabla4[[#This Row],[Total]]</f>
        <v>#N/A</v>
      </c>
      <c r="V2198" s="282" t="e">
        <f>+Tabla4[[#This Row],[Comisión Calculada]]*Tabla4[[#This Row],[Total]]</f>
        <v>#N/A</v>
      </c>
    </row>
    <row r="2199" spans="1:22" hidden="1" x14ac:dyDescent="0.25">
      <c r="A2199" s="100">
        <v>45762</v>
      </c>
      <c r="B2199" t="str">
        <f t="shared" si="111"/>
        <v>April</v>
      </c>
      <c r="C2199" s="46" t="s">
        <v>280</v>
      </c>
      <c r="F2199" s="366" t="s">
        <v>1548</v>
      </c>
      <c r="G2199" s="46" t="s">
        <v>16</v>
      </c>
      <c r="H2199" s="46">
        <v>2</v>
      </c>
      <c r="I2199" s="51">
        <v>4103.8500000000004</v>
      </c>
      <c r="J2199" s="281">
        <f>++Tabla4[[#This Row],[Precio Bruto]]*1.16</f>
        <v>4760.4660000000003</v>
      </c>
      <c r="K2199" s="281">
        <f>+Tabla4[[#This Row],[Precio Unitario Neto]]*Tabla4[[#Headers],[20.85%]]</f>
        <v>992.55716100000006</v>
      </c>
      <c r="L2199" s="282">
        <f>++Tabla4[[#This Row],[Precio Unitario Neto]]-Tabla4[[#This Row],[20.85%]]</f>
        <v>3767.9088390000002</v>
      </c>
      <c r="M2199" s="282" t="e">
        <f>(INDEX(Tabla6[#All],MATCH(Tabla4[[#This Row],[Producto]],Tabla6[[#All],[PRODUCTO]],0),MATCH(Tabla4[[#This Row],[Mes]],Tabla6[#Headers],0)))*(1+Catalogos!$L$2)</f>
        <v>#N/A</v>
      </c>
      <c r="N2199" s="283" t="e">
        <f>+(Tabla4[[#This Row],[Precio Descontado]]-Tabla4[[#This Row],[Precio Base]])*Tabla4[[#This Row],[Cantidad]]</f>
        <v>#N/A</v>
      </c>
      <c r="O2199" s="284" t="e">
        <f>++Tabla4[[#This Row],[Utilidad Total]]/Tabla4[[#This Row],[Total]]</f>
        <v>#N/A</v>
      </c>
      <c r="P2199" s="282">
        <f>++Tabla4[[#This Row],[Precio Descontado]]*Tabla4[[#This Row],[Cantidad]]</f>
        <v>7535.8176780000003</v>
      </c>
      <c r="Q2199" s="282" t="e">
        <f>(INDEX(Tabla6[#All],MATCH(Tabla4[[#This Row],[Producto]],Tabla6[[#All],[PRODUCTO]],0),MATCH(Tabla4[[#This Row],[Mes]],Tabla6[#Headers],0)))</f>
        <v>#N/A</v>
      </c>
      <c r="R2199" s="282" t="e">
        <f>++Tabla4[[#This Row],[Precio Unitario Neto]]-Tabla4[[#This Row],[20.85%]]-Tabla4[[#This Row],[Costo]]</f>
        <v>#N/A</v>
      </c>
      <c r="S2199" s="282" t="e">
        <f>++Tabla4[[#This Row],[U. Bruta Uni]]*Tabla4[[#This Row],[Cantidad]]</f>
        <v>#N/A</v>
      </c>
      <c r="T2199" s="369" t="str">
        <f>VLOOKUP(Tabla4[[#This Row],[Producto]],Tabla6[#All],14,FALSE)</f>
        <v>Termico Solar</v>
      </c>
      <c r="U2199" s="284" t="e">
        <f>(IF(Tabla4[[#This Row],[Familia]]="termico solar",Tabla4[[#This Row],[Utilidad Total]]*6%,Tabla4[[#This Row],[Utilidad Total]]*11.5%))/Tabla4[[#This Row],[Total]]</f>
        <v>#N/A</v>
      </c>
      <c r="V2199" s="282" t="e">
        <f>+Tabla4[[#This Row],[Comisión Calculada]]*Tabla4[[#This Row],[Total]]</f>
        <v>#N/A</v>
      </c>
    </row>
    <row r="2200" spans="1:22" hidden="1" x14ac:dyDescent="0.25">
      <c r="A2200" s="100">
        <v>45762</v>
      </c>
      <c r="B2200" t="str">
        <f t="shared" si="111"/>
        <v>April</v>
      </c>
      <c r="C2200" s="46" t="s">
        <v>280</v>
      </c>
      <c r="F2200" s="366" t="s">
        <v>1548</v>
      </c>
      <c r="G2200" s="46" t="s">
        <v>208</v>
      </c>
      <c r="H2200" s="46">
        <v>1</v>
      </c>
      <c r="I2200" s="51">
        <v>189.75</v>
      </c>
      <c r="J2200" s="281">
        <f>++Tabla4[[#This Row],[Precio Bruto]]*1.16</f>
        <v>220.10999999999999</v>
      </c>
      <c r="K2200" s="281">
        <f>+Tabla4[[#This Row],[Precio Unitario Neto]]*Tabla4[[#Headers],[20.85%]]</f>
        <v>45.892934999999994</v>
      </c>
      <c r="L2200" s="282">
        <f>++Tabla4[[#This Row],[Precio Unitario Neto]]-Tabla4[[#This Row],[20.85%]]</f>
        <v>174.21706499999999</v>
      </c>
      <c r="M2200" s="282" t="e">
        <f>(INDEX(Tabla6[#All],MATCH(Tabla4[[#This Row],[Producto]],Tabla6[[#All],[PRODUCTO]],0),MATCH(Tabla4[[#This Row],[Mes]],Tabla6[#Headers],0)))*(1+Catalogos!$L$2)</f>
        <v>#N/A</v>
      </c>
      <c r="N2200" s="283" t="e">
        <f>+(Tabla4[[#This Row],[Precio Descontado]]-Tabla4[[#This Row],[Precio Base]])*Tabla4[[#This Row],[Cantidad]]</f>
        <v>#N/A</v>
      </c>
      <c r="O2200" s="284" t="e">
        <f>++Tabla4[[#This Row],[Utilidad Total]]/Tabla4[[#This Row],[Total]]</f>
        <v>#N/A</v>
      </c>
      <c r="P2200" s="282">
        <f>++Tabla4[[#This Row],[Precio Descontado]]*Tabla4[[#This Row],[Cantidad]]</f>
        <v>174.21706499999999</v>
      </c>
      <c r="Q2200" s="282" t="e">
        <f>(INDEX(Tabla6[#All],MATCH(Tabla4[[#This Row],[Producto]],Tabla6[[#All],[PRODUCTO]],0),MATCH(Tabla4[[#This Row],[Mes]],Tabla6[#Headers],0)))</f>
        <v>#N/A</v>
      </c>
      <c r="R2200" s="282" t="e">
        <f>++Tabla4[[#This Row],[Precio Unitario Neto]]-Tabla4[[#This Row],[20.85%]]-Tabla4[[#This Row],[Costo]]</f>
        <v>#N/A</v>
      </c>
      <c r="S2200" s="282" t="e">
        <f>++Tabla4[[#This Row],[U. Bruta Uni]]*Tabla4[[#This Row],[Cantidad]]</f>
        <v>#N/A</v>
      </c>
      <c r="T2200" s="369" t="str">
        <f>VLOOKUP(Tabla4[[#This Row],[Producto]],Tabla6[#All],14,FALSE)</f>
        <v>Termico Solar</v>
      </c>
      <c r="U2200" s="284" t="e">
        <f>(IF(Tabla4[[#This Row],[Familia]]="termico solar",Tabla4[[#This Row],[Utilidad Total]]*6%,Tabla4[[#This Row],[Utilidad Total]]*11.5%))/Tabla4[[#This Row],[Total]]</f>
        <v>#N/A</v>
      </c>
      <c r="V2200" s="282" t="e">
        <f>+Tabla4[[#This Row],[Comisión Calculada]]*Tabla4[[#This Row],[Total]]</f>
        <v>#N/A</v>
      </c>
    </row>
    <row r="2201" spans="1:22" hidden="1" x14ac:dyDescent="0.25">
      <c r="A2201" s="100">
        <v>45762</v>
      </c>
      <c r="B2201" t="str">
        <f t="shared" si="111"/>
        <v>April</v>
      </c>
      <c r="C2201" s="46" t="s">
        <v>280</v>
      </c>
      <c r="F2201" s="366" t="s">
        <v>1549</v>
      </c>
      <c r="G2201" s="46" t="s">
        <v>18</v>
      </c>
      <c r="H2201" s="46">
        <v>2</v>
      </c>
      <c r="I2201" s="51">
        <v>5367.65</v>
      </c>
      <c r="J2201" s="281">
        <f>++Tabla4[[#This Row],[Precio Bruto]]*1.16</f>
        <v>6226.4739999999993</v>
      </c>
      <c r="K2201" s="281">
        <f>+Tabla4[[#This Row],[Precio Unitario Neto]]*Tabla4[[#Headers],[20.85%]]</f>
        <v>1298.2198289999999</v>
      </c>
      <c r="L2201" s="282">
        <f>++Tabla4[[#This Row],[Precio Unitario Neto]]-Tabla4[[#This Row],[20.85%]]</f>
        <v>4928.2541709999996</v>
      </c>
      <c r="M2201" s="282" t="e">
        <f>(INDEX(Tabla6[#All],MATCH(Tabla4[[#This Row],[Producto]],Tabla6[[#All],[PRODUCTO]],0),MATCH(Tabla4[[#This Row],[Mes]],Tabla6[#Headers],0)))*(1+Catalogos!$L$2)</f>
        <v>#N/A</v>
      </c>
      <c r="N2201" s="283" t="e">
        <f>+(Tabla4[[#This Row],[Precio Descontado]]-Tabla4[[#This Row],[Precio Base]])*Tabla4[[#This Row],[Cantidad]]</f>
        <v>#N/A</v>
      </c>
      <c r="O2201" s="284" t="e">
        <f>++Tabla4[[#This Row],[Utilidad Total]]/Tabla4[[#This Row],[Total]]</f>
        <v>#N/A</v>
      </c>
      <c r="P2201" s="282">
        <f>++Tabla4[[#This Row],[Precio Descontado]]*Tabla4[[#This Row],[Cantidad]]</f>
        <v>9856.5083419999992</v>
      </c>
      <c r="Q2201" s="282" t="e">
        <f>(INDEX(Tabla6[#All],MATCH(Tabla4[[#This Row],[Producto]],Tabla6[[#All],[PRODUCTO]],0),MATCH(Tabla4[[#This Row],[Mes]],Tabla6[#Headers],0)))</f>
        <v>#N/A</v>
      </c>
      <c r="R2201" s="282" t="e">
        <f>++Tabla4[[#This Row],[Precio Unitario Neto]]-Tabla4[[#This Row],[20.85%]]-Tabla4[[#This Row],[Costo]]</f>
        <v>#N/A</v>
      </c>
      <c r="S2201" s="282" t="e">
        <f>++Tabla4[[#This Row],[U. Bruta Uni]]*Tabla4[[#This Row],[Cantidad]]</f>
        <v>#N/A</v>
      </c>
      <c r="T2201" s="369" t="str">
        <f>VLOOKUP(Tabla4[[#This Row],[Producto]],Tabla6[#All],14,FALSE)</f>
        <v>Termico Solar</v>
      </c>
      <c r="U2201" s="284" t="e">
        <f>(IF(Tabla4[[#This Row],[Familia]]="termico solar",Tabla4[[#This Row],[Utilidad Total]]*6%,Tabla4[[#This Row],[Utilidad Total]]*11.5%))/Tabla4[[#This Row],[Total]]</f>
        <v>#N/A</v>
      </c>
      <c r="V2201" s="282" t="e">
        <f>+Tabla4[[#This Row],[Comisión Calculada]]*Tabla4[[#This Row],[Total]]</f>
        <v>#N/A</v>
      </c>
    </row>
    <row r="2202" spans="1:22" hidden="1" x14ac:dyDescent="0.25">
      <c r="A2202" s="100">
        <v>45762</v>
      </c>
      <c r="B2202" t="str">
        <f t="shared" si="111"/>
        <v>April</v>
      </c>
      <c r="C2202" s="46" t="s">
        <v>280</v>
      </c>
      <c r="F2202" s="366" t="s">
        <v>1550</v>
      </c>
      <c r="G2202" s="46" t="s">
        <v>17</v>
      </c>
      <c r="H2202" s="46">
        <v>2</v>
      </c>
      <c r="I2202" s="51">
        <v>4622.28</v>
      </c>
      <c r="J2202" s="281">
        <f>++Tabla4[[#This Row],[Precio Bruto]]*1.16</f>
        <v>5361.8447999999989</v>
      </c>
      <c r="K2202" s="281">
        <f>+Tabla4[[#This Row],[Precio Unitario Neto]]*Tabla4[[#Headers],[20.85%]]</f>
        <v>1117.9446407999997</v>
      </c>
      <c r="L2202" s="282">
        <f>++Tabla4[[#This Row],[Precio Unitario Neto]]-Tabla4[[#This Row],[20.85%]]</f>
        <v>4243.9001591999995</v>
      </c>
      <c r="M2202" s="282" t="e">
        <f>(INDEX(Tabla6[#All],MATCH(Tabla4[[#This Row],[Producto]],Tabla6[[#All],[PRODUCTO]],0),MATCH(Tabla4[[#This Row],[Mes]],Tabla6[#Headers],0)))*(1+Catalogos!$L$2)</f>
        <v>#N/A</v>
      </c>
      <c r="N2202" s="283" t="e">
        <f>+(Tabla4[[#This Row],[Precio Descontado]]-Tabla4[[#This Row],[Precio Base]])*Tabla4[[#This Row],[Cantidad]]</f>
        <v>#N/A</v>
      </c>
      <c r="O2202" s="284" t="e">
        <f>++Tabla4[[#This Row],[Utilidad Total]]/Tabla4[[#This Row],[Total]]</f>
        <v>#N/A</v>
      </c>
      <c r="P2202" s="282">
        <f>++Tabla4[[#This Row],[Precio Descontado]]*Tabla4[[#This Row],[Cantidad]]</f>
        <v>8487.800318399999</v>
      </c>
      <c r="Q2202" s="282" t="e">
        <f>(INDEX(Tabla6[#All],MATCH(Tabla4[[#This Row],[Producto]],Tabla6[[#All],[PRODUCTO]],0),MATCH(Tabla4[[#This Row],[Mes]],Tabla6[#Headers],0)))</f>
        <v>#N/A</v>
      </c>
      <c r="R2202" s="282" t="e">
        <f>++Tabla4[[#This Row],[Precio Unitario Neto]]-Tabla4[[#This Row],[20.85%]]-Tabla4[[#This Row],[Costo]]</f>
        <v>#N/A</v>
      </c>
      <c r="S2202" s="282" t="e">
        <f>++Tabla4[[#This Row],[U. Bruta Uni]]*Tabla4[[#This Row],[Cantidad]]</f>
        <v>#N/A</v>
      </c>
      <c r="T2202" s="369" t="str">
        <f>VLOOKUP(Tabla4[[#This Row],[Producto]],Tabla6[#All],14,FALSE)</f>
        <v>Termico Solar</v>
      </c>
      <c r="U2202" s="284" t="e">
        <f>(IF(Tabla4[[#This Row],[Familia]]="termico solar",Tabla4[[#This Row],[Utilidad Total]]*6%,Tabla4[[#This Row],[Utilidad Total]]*11.5%))/Tabla4[[#This Row],[Total]]</f>
        <v>#N/A</v>
      </c>
      <c r="V2202" s="282" t="e">
        <f>+Tabla4[[#This Row],[Comisión Calculada]]*Tabla4[[#This Row],[Total]]</f>
        <v>#N/A</v>
      </c>
    </row>
    <row r="2203" spans="1:22" hidden="1" x14ac:dyDescent="0.25">
      <c r="A2203" s="100">
        <v>45762</v>
      </c>
      <c r="B2203" t="str">
        <f t="shared" si="111"/>
        <v>April</v>
      </c>
      <c r="C2203" s="46" t="s">
        <v>280</v>
      </c>
      <c r="F2203" s="366" t="s">
        <v>1550</v>
      </c>
      <c r="G2203" s="46" t="s">
        <v>394</v>
      </c>
      <c r="H2203" s="46">
        <v>16</v>
      </c>
      <c r="I2203" s="51">
        <v>224.29</v>
      </c>
      <c r="J2203" s="281">
        <f>++Tabla4[[#This Row],[Precio Bruto]]*1.16</f>
        <v>260.1764</v>
      </c>
      <c r="K2203" s="281">
        <f>+Tabla4[[#This Row],[Precio Unitario Neto]]*Tabla4[[#Headers],[20.85%]]</f>
        <v>54.246779400000001</v>
      </c>
      <c r="L2203" s="282">
        <f>++Tabla4[[#This Row],[Precio Unitario Neto]]-Tabla4[[#This Row],[20.85%]]</f>
        <v>205.92962059999999</v>
      </c>
      <c r="M2203" s="282" t="e">
        <f>(INDEX(Tabla6[#All],MATCH(Tabla4[[#This Row],[Producto]],Tabla6[[#All],[PRODUCTO]],0),MATCH(Tabla4[[#This Row],[Mes]],Tabla6[#Headers],0)))*(1+Catalogos!$L$2)</f>
        <v>#N/A</v>
      </c>
      <c r="N2203" s="283" t="e">
        <f>+(Tabla4[[#This Row],[Precio Descontado]]-Tabla4[[#This Row],[Precio Base]])*Tabla4[[#This Row],[Cantidad]]</f>
        <v>#N/A</v>
      </c>
      <c r="O2203" s="284" t="e">
        <f>++Tabla4[[#This Row],[Utilidad Total]]/Tabla4[[#This Row],[Total]]</f>
        <v>#N/A</v>
      </c>
      <c r="P2203" s="282">
        <f>++Tabla4[[#This Row],[Precio Descontado]]*Tabla4[[#This Row],[Cantidad]]</f>
        <v>3294.8739295999999</v>
      </c>
      <c r="Q2203" s="282" t="e">
        <f>(INDEX(Tabla6[#All],MATCH(Tabla4[[#This Row],[Producto]],Tabla6[[#All],[PRODUCTO]],0),MATCH(Tabla4[[#This Row],[Mes]],Tabla6[#Headers],0)))</f>
        <v>#N/A</v>
      </c>
      <c r="R2203" s="282" t="e">
        <f>++Tabla4[[#This Row],[Precio Unitario Neto]]-Tabla4[[#This Row],[20.85%]]-Tabla4[[#This Row],[Costo]]</f>
        <v>#N/A</v>
      </c>
      <c r="S2203" s="282" t="e">
        <f>++Tabla4[[#This Row],[U. Bruta Uni]]*Tabla4[[#This Row],[Cantidad]]</f>
        <v>#N/A</v>
      </c>
      <c r="T2203" s="369" t="str">
        <f>VLOOKUP(Tabla4[[#This Row],[Producto]],Tabla6[#All],14,FALSE)</f>
        <v>Termico Solar</v>
      </c>
      <c r="U2203" s="284" t="e">
        <f>(IF(Tabla4[[#This Row],[Familia]]="termico solar",Tabla4[[#This Row],[Utilidad Total]]*6%,Tabla4[[#This Row],[Utilidad Total]]*11.5%))/Tabla4[[#This Row],[Total]]</f>
        <v>#N/A</v>
      </c>
      <c r="V2203" s="282" t="e">
        <f>+Tabla4[[#This Row],[Comisión Calculada]]*Tabla4[[#This Row],[Total]]</f>
        <v>#N/A</v>
      </c>
    </row>
    <row r="2204" spans="1:22" hidden="1" x14ac:dyDescent="0.25">
      <c r="A2204" s="100">
        <v>45762</v>
      </c>
      <c r="B2204" t="str">
        <f t="shared" si="111"/>
        <v>April</v>
      </c>
      <c r="C2204" s="46" t="s">
        <v>280</v>
      </c>
      <c r="F2204" s="366" t="s">
        <v>1550</v>
      </c>
      <c r="G2204" s="46" t="s">
        <v>555</v>
      </c>
      <c r="H2204" s="46">
        <v>8</v>
      </c>
      <c r="I2204" s="51">
        <v>389.47</v>
      </c>
      <c r="J2204" s="281">
        <f>++Tabla4[[#This Row],[Precio Bruto]]*1.16</f>
        <v>451.78519999999997</v>
      </c>
      <c r="K2204" s="281">
        <f>+Tabla4[[#This Row],[Precio Unitario Neto]]*Tabla4[[#Headers],[20.85%]]</f>
        <v>94.197214199999991</v>
      </c>
      <c r="L2204" s="282">
        <f>++Tabla4[[#This Row],[Precio Unitario Neto]]-Tabla4[[#This Row],[20.85%]]</f>
        <v>357.58798579999996</v>
      </c>
      <c r="M2204" s="282" t="e">
        <f>(INDEX(Tabla6[#All],MATCH(Tabla4[[#This Row],[Producto]],Tabla6[[#All],[PRODUCTO]],0),MATCH(Tabla4[[#This Row],[Mes]],Tabla6[#Headers],0)))*(1+Catalogos!$L$2)</f>
        <v>#N/A</v>
      </c>
      <c r="N2204" s="283" t="e">
        <f>+(Tabla4[[#This Row],[Precio Descontado]]-Tabla4[[#This Row],[Precio Base]])*Tabla4[[#This Row],[Cantidad]]</f>
        <v>#N/A</v>
      </c>
      <c r="O2204" s="284" t="e">
        <f>++Tabla4[[#This Row],[Utilidad Total]]/Tabla4[[#This Row],[Total]]</f>
        <v>#N/A</v>
      </c>
      <c r="P2204" s="282">
        <f>++Tabla4[[#This Row],[Precio Descontado]]*Tabla4[[#This Row],[Cantidad]]</f>
        <v>2860.7038863999996</v>
      </c>
      <c r="Q2204" s="282" t="e">
        <f>(INDEX(Tabla6[#All],MATCH(Tabla4[[#This Row],[Producto]],Tabla6[[#All],[PRODUCTO]],0),MATCH(Tabla4[[#This Row],[Mes]],Tabla6[#Headers],0)))</f>
        <v>#N/A</v>
      </c>
      <c r="R2204" s="282" t="e">
        <f>++Tabla4[[#This Row],[Precio Unitario Neto]]-Tabla4[[#This Row],[20.85%]]-Tabla4[[#This Row],[Costo]]</f>
        <v>#N/A</v>
      </c>
      <c r="S2204" s="282" t="e">
        <f>++Tabla4[[#This Row],[U. Bruta Uni]]*Tabla4[[#This Row],[Cantidad]]</f>
        <v>#N/A</v>
      </c>
      <c r="T2204" s="369" t="str">
        <f>VLOOKUP(Tabla4[[#This Row],[Producto]],Tabla6[#All],14,FALSE)</f>
        <v>Termico Solar</v>
      </c>
      <c r="U2204" s="284" t="e">
        <f>(IF(Tabla4[[#This Row],[Familia]]="termico solar",Tabla4[[#This Row],[Utilidad Total]]*6%,Tabla4[[#This Row],[Utilidad Total]]*11.5%))/Tabla4[[#This Row],[Total]]</f>
        <v>#N/A</v>
      </c>
      <c r="V2204" s="282" t="e">
        <f>+Tabla4[[#This Row],[Comisión Calculada]]*Tabla4[[#This Row],[Total]]</f>
        <v>#N/A</v>
      </c>
    </row>
    <row r="2205" spans="1:22" hidden="1" x14ac:dyDescent="0.25">
      <c r="A2205" s="100">
        <v>45762</v>
      </c>
      <c r="B2205" t="str">
        <f t="shared" si="111"/>
        <v>April</v>
      </c>
      <c r="C2205" s="46" t="s">
        <v>280</v>
      </c>
      <c r="F2205" s="366" t="s">
        <v>1550</v>
      </c>
      <c r="G2205" s="46" t="s">
        <v>208</v>
      </c>
      <c r="H2205" s="46">
        <v>2</v>
      </c>
      <c r="I2205" s="51">
        <v>189.75</v>
      </c>
      <c r="J2205" s="281">
        <f>++Tabla4[[#This Row],[Precio Bruto]]*1.16</f>
        <v>220.10999999999999</v>
      </c>
      <c r="K2205" s="281">
        <f>+Tabla4[[#This Row],[Precio Unitario Neto]]*Tabla4[[#Headers],[20.85%]]</f>
        <v>45.892934999999994</v>
      </c>
      <c r="L2205" s="282">
        <f>++Tabla4[[#This Row],[Precio Unitario Neto]]-Tabla4[[#This Row],[20.85%]]</f>
        <v>174.21706499999999</v>
      </c>
      <c r="M2205" s="282" t="e">
        <f>(INDEX(Tabla6[#All],MATCH(Tabla4[[#This Row],[Producto]],Tabla6[[#All],[PRODUCTO]],0),MATCH(Tabla4[[#This Row],[Mes]],Tabla6[#Headers],0)))*(1+Catalogos!$L$2)</f>
        <v>#N/A</v>
      </c>
      <c r="N2205" s="283" t="e">
        <f>+(Tabla4[[#This Row],[Precio Descontado]]-Tabla4[[#This Row],[Precio Base]])*Tabla4[[#This Row],[Cantidad]]</f>
        <v>#N/A</v>
      </c>
      <c r="O2205" s="284" t="e">
        <f>++Tabla4[[#This Row],[Utilidad Total]]/Tabla4[[#This Row],[Total]]</f>
        <v>#N/A</v>
      </c>
      <c r="P2205" s="282">
        <f>++Tabla4[[#This Row],[Precio Descontado]]*Tabla4[[#This Row],[Cantidad]]</f>
        <v>348.43412999999998</v>
      </c>
      <c r="Q2205" s="282" t="e">
        <f>(INDEX(Tabla6[#All],MATCH(Tabla4[[#This Row],[Producto]],Tabla6[[#All],[PRODUCTO]],0),MATCH(Tabla4[[#This Row],[Mes]],Tabla6[#Headers],0)))</f>
        <v>#N/A</v>
      </c>
      <c r="R2205" s="282" t="e">
        <f>++Tabla4[[#This Row],[Precio Unitario Neto]]-Tabla4[[#This Row],[20.85%]]-Tabla4[[#This Row],[Costo]]</f>
        <v>#N/A</v>
      </c>
      <c r="S2205" s="282" t="e">
        <f>++Tabla4[[#This Row],[U. Bruta Uni]]*Tabla4[[#This Row],[Cantidad]]</f>
        <v>#N/A</v>
      </c>
      <c r="T2205" s="369" t="str">
        <f>VLOOKUP(Tabla4[[#This Row],[Producto]],Tabla6[#All],14,FALSE)</f>
        <v>Termico Solar</v>
      </c>
      <c r="U2205" s="284" t="e">
        <f>(IF(Tabla4[[#This Row],[Familia]]="termico solar",Tabla4[[#This Row],[Utilidad Total]]*6%,Tabla4[[#This Row],[Utilidad Total]]*11.5%))/Tabla4[[#This Row],[Total]]</f>
        <v>#N/A</v>
      </c>
      <c r="V2205" s="282" t="e">
        <f>+Tabla4[[#This Row],[Comisión Calculada]]*Tabla4[[#This Row],[Total]]</f>
        <v>#N/A</v>
      </c>
    </row>
    <row r="2206" spans="1:22" hidden="1" x14ac:dyDescent="0.25">
      <c r="A2206" s="100">
        <v>45762</v>
      </c>
      <c r="B2206" t="str">
        <f t="shared" si="111"/>
        <v>April</v>
      </c>
      <c r="C2206" s="46" t="s">
        <v>280</v>
      </c>
      <c r="F2206" s="366" t="s">
        <v>1551</v>
      </c>
      <c r="G2206" s="46" t="s">
        <v>17</v>
      </c>
      <c r="H2206" s="46">
        <v>1</v>
      </c>
      <c r="I2206" s="51">
        <v>4622.28</v>
      </c>
      <c r="J2206" s="281">
        <f>++Tabla4[[#This Row],[Precio Bruto]]*1.16</f>
        <v>5361.8447999999989</v>
      </c>
      <c r="K2206" s="281">
        <f>+Tabla4[[#This Row],[Precio Unitario Neto]]*Tabla4[[#Headers],[20.85%]]</f>
        <v>1117.9446407999997</v>
      </c>
      <c r="L2206" s="282">
        <f>++Tabla4[[#This Row],[Precio Unitario Neto]]-Tabla4[[#This Row],[20.85%]]</f>
        <v>4243.9001591999995</v>
      </c>
      <c r="M2206" s="282" t="e">
        <f>(INDEX(Tabla6[#All],MATCH(Tabla4[[#This Row],[Producto]],Tabla6[[#All],[PRODUCTO]],0),MATCH(Tabla4[[#This Row],[Mes]],Tabla6[#Headers],0)))*(1+Catalogos!$L$2)</f>
        <v>#N/A</v>
      </c>
      <c r="N2206" s="283" t="e">
        <f>+(Tabla4[[#This Row],[Precio Descontado]]-Tabla4[[#This Row],[Precio Base]])*Tabla4[[#This Row],[Cantidad]]</f>
        <v>#N/A</v>
      </c>
      <c r="O2206" s="284" t="e">
        <f>++Tabla4[[#This Row],[Utilidad Total]]/Tabla4[[#This Row],[Total]]</f>
        <v>#N/A</v>
      </c>
      <c r="P2206" s="282">
        <f>++Tabla4[[#This Row],[Precio Descontado]]*Tabla4[[#This Row],[Cantidad]]</f>
        <v>4243.9001591999995</v>
      </c>
      <c r="Q2206" s="282" t="e">
        <f>(INDEX(Tabla6[#All],MATCH(Tabla4[[#This Row],[Producto]],Tabla6[[#All],[PRODUCTO]],0),MATCH(Tabla4[[#This Row],[Mes]],Tabla6[#Headers],0)))</f>
        <v>#N/A</v>
      </c>
      <c r="R2206" s="282" t="e">
        <f>++Tabla4[[#This Row],[Precio Unitario Neto]]-Tabla4[[#This Row],[20.85%]]-Tabla4[[#This Row],[Costo]]</f>
        <v>#N/A</v>
      </c>
      <c r="S2206" s="282" t="e">
        <f>++Tabla4[[#This Row],[U. Bruta Uni]]*Tabla4[[#This Row],[Cantidad]]</f>
        <v>#N/A</v>
      </c>
      <c r="T2206" s="369" t="str">
        <f>VLOOKUP(Tabla4[[#This Row],[Producto]],Tabla6[#All],14,FALSE)</f>
        <v>Termico Solar</v>
      </c>
      <c r="U2206" s="284" t="e">
        <f>(IF(Tabla4[[#This Row],[Familia]]="termico solar",Tabla4[[#This Row],[Utilidad Total]]*6%,Tabla4[[#This Row],[Utilidad Total]]*11.5%))/Tabla4[[#This Row],[Total]]</f>
        <v>#N/A</v>
      </c>
      <c r="V2206" s="282" t="e">
        <f>+Tabla4[[#This Row],[Comisión Calculada]]*Tabla4[[#This Row],[Total]]</f>
        <v>#N/A</v>
      </c>
    </row>
    <row r="2207" spans="1:22" hidden="1" x14ac:dyDescent="0.25">
      <c r="A2207" s="100">
        <v>45762</v>
      </c>
      <c r="B2207" t="str">
        <f t="shared" si="111"/>
        <v>April</v>
      </c>
      <c r="C2207" s="46" t="s">
        <v>280</v>
      </c>
      <c r="F2207" s="366" t="s">
        <v>1551</v>
      </c>
      <c r="G2207" s="46" t="s">
        <v>394</v>
      </c>
      <c r="H2207" s="46">
        <v>16</v>
      </c>
      <c r="I2207" s="51">
        <v>224.29</v>
      </c>
      <c r="J2207" s="281">
        <f>++Tabla4[[#This Row],[Precio Bruto]]*1.16</f>
        <v>260.1764</v>
      </c>
      <c r="K2207" s="281">
        <f>+Tabla4[[#This Row],[Precio Unitario Neto]]*Tabla4[[#Headers],[20.85%]]</f>
        <v>54.246779400000001</v>
      </c>
      <c r="L2207" s="282">
        <f>++Tabla4[[#This Row],[Precio Unitario Neto]]-Tabla4[[#This Row],[20.85%]]</f>
        <v>205.92962059999999</v>
      </c>
      <c r="M2207" s="282" t="e">
        <f>(INDEX(Tabla6[#All],MATCH(Tabla4[[#This Row],[Producto]],Tabla6[[#All],[PRODUCTO]],0),MATCH(Tabla4[[#This Row],[Mes]],Tabla6[#Headers],0)))*(1+Catalogos!$L$2)</f>
        <v>#N/A</v>
      </c>
      <c r="N2207" s="283" t="e">
        <f>+(Tabla4[[#This Row],[Precio Descontado]]-Tabla4[[#This Row],[Precio Base]])*Tabla4[[#This Row],[Cantidad]]</f>
        <v>#N/A</v>
      </c>
      <c r="O2207" s="284" t="e">
        <f>++Tabla4[[#This Row],[Utilidad Total]]/Tabla4[[#This Row],[Total]]</f>
        <v>#N/A</v>
      </c>
      <c r="P2207" s="282">
        <f>++Tabla4[[#This Row],[Precio Descontado]]*Tabla4[[#This Row],[Cantidad]]</f>
        <v>3294.8739295999999</v>
      </c>
      <c r="Q2207" s="282" t="e">
        <f>(INDEX(Tabla6[#All],MATCH(Tabla4[[#This Row],[Producto]],Tabla6[[#All],[PRODUCTO]],0),MATCH(Tabla4[[#This Row],[Mes]],Tabla6[#Headers],0)))</f>
        <v>#N/A</v>
      </c>
      <c r="R2207" s="282" t="e">
        <f>++Tabla4[[#This Row],[Precio Unitario Neto]]-Tabla4[[#This Row],[20.85%]]-Tabla4[[#This Row],[Costo]]</f>
        <v>#N/A</v>
      </c>
      <c r="S2207" s="282" t="e">
        <f>++Tabla4[[#This Row],[U. Bruta Uni]]*Tabla4[[#This Row],[Cantidad]]</f>
        <v>#N/A</v>
      </c>
      <c r="T2207" s="369" t="str">
        <f>VLOOKUP(Tabla4[[#This Row],[Producto]],Tabla6[#All],14,FALSE)</f>
        <v>Termico Solar</v>
      </c>
      <c r="U2207" s="284" t="e">
        <f>(IF(Tabla4[[#This Row],[Familia]]="termico solar",Tabla4[[#This Row],[Utilidad Total]]*6%,Tabla4[[#This Row],[Utilidad Total]]*11.5%))/Tabla4[[#This Row],[Total]]</f>
        <v>#N/A</v>
      </c>
      <c r="V2207" s="282" t="e">
        <f>+Tabla4[[#This Row],[Comisión Calculada]]*Tabla4[[#This Row],[Total]]</f>
        <v>#N/A</v>
      </c>
    </row>
    <row r="2208" spans="1:22" hidden="1" x14ac:dyDescent="0.25">
      <c r="A2208" s="100">
        <v>45762</v>
      </c>
      <c r="B2208" t="str">
        <f t="shared" si="111"/>
        <v>April</v>
      </c>
      <c r="C2208" s="46" t="s">
        <v>280</v>
      </c>
      <c r="F2208" s="366" t="s">
        <v>1551</v>
      </c>
      <c r="G2208" s="46" t="s">
        <v>555</v>
      </c>
      <c r="H2208" s="46">
        <v>8</v>
      </c>
      <c r="I2208" s="51">
        <v>389.47</v>
      </c>
      <c r="J2208" s="281">
        <f>++Tabla4[[#This Row],[Precio Bruto]]*1.16</f>
        <v>451.78519999999997</v>
      </c>
      <c r="K2208" s="281">
        <f>+Tabla4[[#This Row],[Precio Unitario Neto]]*Tabla4[[#Headers],[20.85%]]</f>
        <v>94.197214199999991</v>
      </c>
      <c r="L2208" s="282">
        <f>++Tabla4[[#This Row],[Precio Unitario Neto]]-Tabla4[[#This Row],[20.85%]]</f>
        <v>357.58798579999996</v>
      </c>
      <c r="M2208" s="282" t="e">
        <f>(INDEX(Tabla6[#All],MATCH(Tabla4[[#This Row],[Producto]],Tabla6[[#All],[PRODUCTO]],0),MATCH(Tabla4[[#This Row],[Mes]],Tabla6[#Headers],0)))*(1+Catalogos!$L$2)</f>
        <v>#N/A</v>
      </c>
      <c r="N2208" s="283" t="e">
        <f>+(Tabla4[[#This Row],[Precio Descontado]]-Tabla4[[#This Row],[Precio Base]])*Tabla4[[#This Row],[Cantidad]]</f>
        <v>#N/A</v>
      </c>
      <c r="O2208" s="284" t="e">
        <f>++Tabla4[[#This Row],[Utilidad Total]]/Tabla4[[#This Row],[Total]]</f>
        <v>#N/A</v>
      </c>
      <c r="P2208" s="282">
        <f>++Tabla4[[#This Row],[Precio Descontado]]*Tabla4[[#This Row],[Cantidad]]</f>
        <v>2860.7038863999996</v>
      </c>
      <c r="Q2208" s="282" t="e">
        <f>(INDEX(Tabla6[#All],MATCH(Tabla4[[#This Row],[Producto]],Tabla6[[#All],[PRODUCTO]],0),MATCH(Tabla4[[#This Row],[Mes]],Tabla6[#Headers],0)))</f>
        <v>#N/A</v>
      </c>
      <c r="R2208" s="282" t="e">
        <f>++Tabla4[[#This Row],[Precio Unitario Neto]]-Tabla4[[#This Row],[20.85%]]-Tabla4[[#This Row],[Costo]]</f>
        <v>#N/A</v>
      </c>
      <c r="S2208" s="282" t="e">
        <f>++Tabla4[[#This Row],[U. Bruta Uni]]*Tabla4[[#This Row],[Cantidad]]</f>
        <v>#N/A</v>
      </c>
      <c r="T2208" s="369" t="str">
        <f>VLOOKUP(Tabla4[[#This Row],[Producto]],Tabla6[#All],14,FALSE)</f>
        <v>Termico Solar</v>
      </c>
      <c r="U2208" s="284" t="e">
        <f>(IF(Tabla4[[#This Row],[Familia]]="termico solar",Tabla4[[#This Row],[Utilidad Total]]*6%,Tabla4[[#This Row],[Utilidad Total]]*11.5%))/Tabla4[[#This Row],[Total]]</f>
        <v>#N/A</v>
      </c>
      <c r="V2208" s="282" t="e">
        <f>+Tabla4[[#This Row],[Comisión Calculada]]*Tabla4[[#This Row],[Total]]</f>
        <v>#N/A</v>
      </c>
    </row>
    <row r="2209" spans="1:22" hidden="1" x14ac:dyDescent="0.25">
      <c r="A2209" s="100">
        <v>45762</v>
      </c>
      <c r="B2209" t="str">
        <f t="shared" si="111"/>
        <v>April</v>
      </c>
      <c r="C2209" s="46" t="s">
        <v>280</v>
      </c>
      <c r="F2209" s="366" t="s">
        <v>1551</v>
      </c>
      <c r="G2209" s="46" t="s">
        <v>208</v>
      </c>
      <c r="H2209" s="46">
        <v>2</v>
      </c>
      <c r="I2209" s="51">
        <v>189.75</v>
      </c>
      <c r="J2209" s="281">
        <f>++Tabla4[[#This Row],[Precio Bruto]]*1.16</f>
        <v>220.10999999999999</v>
      </c>
      <c r="K2209" s="281">
        <f>+Tabla4[[#This Row],[Precio Unitario Neto]]*Tabla4[[#Headers],[20.85%]]</f>
        <v>45.892934999999994</v>
      </c>
      <c r="L2209" s="282">
        <f>++Tabla4[[#This Row],[Precio Unitario Neto]]-Tabla4[[#This Row],[20.85%]]</f>
        <v>174.21706499999999</v>
      </c>
      <c r="M2209" s="282" t="e">
        <f>(INDEX(Tabla6[#All],MATCH(Tabla4[[#This Row],[Producto]],Tabla6[[#All],[PRODUCTO]],0),MATCH(Tabla4[[#This Row],[Mes]],Tabla6[#Headers],0)))*(1+Catalogos!$L$2)</f>
        <v>#N/A</v>
      </c>
      <c r="N2209" s="283" t="e">
        <f>+(Tabla4[[#This Row],[Precio Descontado]]-Tabla4[[#This Row],[Precio Base]])*Tabla4[[#This Row],[Cantidad]]</f>
        <v>#N/A</v>
      </c>
      <c r="O2209" s="284" t="e">
        <f>++Tabla4[[#This Row],[Utilidad Total]]/Tabla4[[#This Row],[Total]]</f>
        <v>#N/A</v>
      </c>
      <c r="P2209" s="282">
        <f>++Tabla4[[#This Row],[Precio Descontado]]*Tabla4[[#This Row],[Cantidad]]</f>
        <v>348.43412999999998</v>
      </c>
      <c r="Q2209" s="282" t="e">
        <f>(INDEX(Tabla6[#All],MATCH(Tabla4[[#This Row],[Producto]],Tabla6[[#All],[PRODUCTO]],0),MATCH(Tabla4[[#This Row],[Mes]],Tabla6[#Headers],0)))</f>
        <v>#N/A</v>
      </c>
      <c r="R2209" s="282" t="e">
        <f>++Tabla4[[#This Row],[Precio Unitario Neto]]-Tabla4[[#This Row],[20.85%]]-Tabla4[[#This Row],[Costo]]</f>
        <v>#N/A</v>
      </c>
      <c r="S2209" s="282" t="e">
        <f>++Tabla4[[#This Row],[U. Bruta Uni]]*Tabla4[[#This Row],[Cantidad]]</f>
        <v>#N/A</v>
      </c>
      <c r="T2209" s="369" t="str">
        <f>VLOOKUP(Tabla4[[#This Row],[Producto]],Tabla6[#All],14,FALSE)</f>
        <v>Termico Solar</v>
      </c>
      <c r="U2209" s="284" t="e">
        <f>(IF(Tabla4[[#This Row],[Familia]]="termico solar",Tabla4[[#This Row],[Utilidad Total]]*6%,Tabla4[[#This Row],[Utilidad Total]]*11.5%))/Tabla4[[#This Row],[Total]]</f>
        <v>#N/A</v>
      </c>
      <c r="V2209" s="282" t="e">
        <f>+Tabla4[[#This Row],[Comisión Calculada]]*Tabla4[[#This Row],[Total]]</f>
        <v>#N/A</v>
      </c>
    </row>
    <row r="2210" spans="1:22" hidden="1" x14ac:dyDescent="0.25">
      <c r="A2210" s="100">
        <v>45762</v>
      </c>
      <c r="B2210" t="str">
        <f t="shared" si="111"/>
        <v>April</v>
      </c>
      <c r="C2210" s="46" t="s">
        <v>280</v>
      </c>
      <c r="F2210" s="366" t="s">
        <v>1552</v>
      </c>
      <c r="G2210" s="46" t="s">
        <v>394</v>
      </c>
      <c r="H2210" s="46">
        <v>16</v>
      </c>
      <c r="I2210" s="51">
        <v>224.29</v>
      </c>
      <c r="J2210" s="281">
        <f>++Tabla4[[#This Row],[Precio Bruto]]*1.16</f>
        <v>260.1764</v>
      </c>
      <c r="K2210" s="281">
        <f>+Tabla4[[#This Row],[Precio Unitario Neto]]*Tabla4[[#Headers],[20.85%]]</f>
        <v>54.246779400000001</v>
      </c>
      <c r="L2210" s="282">
        <f>++Tabla4[[#This Row],[Precio Unitario Neto]]-Tabla4[[#This Row],[20.85%]]</f>
        <v>205.92962059999999</v>
      </c>
      <c r="M2210" s="282" t="e">
        <f>(INDEX(Tabla6[#All],MATCH(Tabla4[[#This Row],[Producto]],Tabla6[[#All],[PRODUCTO]],0),MATCH(Tabla4[[#This Row],[Mes]],Tabla6[#Headers],0)))*(1+Catalogos!$L$2)</f>
        <v>#N/A</v>
      </c>
      <c r="N2210" s="283" t="e">
        <f>+(Tabla4[[#This Row],[Precio Descontado]]-Tabla4[[#This Row],[Precio Base]])*Tabla4[[#This Row],[Cantidad]]</f>
        <v>#N/A</v>
      </c>
      <c r="O2210" s="284" t="e">
        <f>++Tabla4[[#This Row],[Utilidad Total]]/Tabla4[[#This Row],[Total]]</f>
        <v>#N/A</v>
      </c>
      <c r="P2210" s="282">
        <f>++Tabla4[[#This Row],[Precio Descontado]]*Tabla4[[#This Row],[Cantidad]]</f>
        <v>3294.8739295999999</v>
      </c>
      <c r="Q2210" s="282" t="e">
        <f>(INDEX(Tabla6[#All],MATCH(Tabla4[[#This Row],[Producto]],Tabla6[[#All],[PRODUCTO]],0),MATCH(Tabla4[[#This Row],[Mes]],Tabla6[#Headers],0)))</f>
        <v>#N/A</v>
      </c>
      <c r="R2210" s="282" t="e">
        <f>++Tabla4[[#This Row],[Precio Unitario Neto]]-Tabla4[[#This Row],[20.85%]]-Tabla4[[#This Row],[Costo]]</f>
        <v>#N/A</v>
      </c>
      <c r="S2210" s="282" t="e">
        <f>++Tabla4[[#This Row],[U. Bruta Uni]]*Tabla4[[#This Row],[Cantidad]]</f>
        <v>#N/A</v>
      </c>
      <c r="T2210" s="369" t="str">
        <f>VLOOKUP(Tabla4[[#This Row],[Producto]],Tabla6[#All],14,FALSE)</f>
        <v>Termico Solar</v>
      </c>
      <c r="U2210" s="284" t="e">
        <f>(IF(Tabla4[[#This Row],[Familia]]="termico solar",Tabla4[[#This Row],[Utilidad Total]]*6%,Tabla4[[#This Row],[Utilidad Total]]*11.5%))/Tabla4[[#This Row],[Total]]</f>
        <v>#N/A</v>
      </c>
      <c r="V2210" s="282" t="e">
        <f>+Tabla4[[#This Row],[Comisión Calculada]]*Tabla4[[#This Row],[Total]]</f>
        <v>#N/A</v>
      </c>
    </row>
    <row r="2211" spans="1:22" hidden="1" x14ac:dyDescent="0.25">
      <c r="A2211" s="100">
        <v>45762</v>
      </c>
      <c r="B2211" t="str">
        <f t="shared" si="111"/>
        <v>April</v>
      </c>
      <c r="C2211" s="46" t="s">
        <v>280</v>
      </c>
      <c r="F2211" s="366" t="s">
        <v>1552</v>
      </c>
      <c r="G2211" s="46" t="s">
        <v>555</v>
      </c>
      <c r="H2211" s="46">
        <v>8</v>
      </c>
      <c r="I2211" s="51">
        <v>389.47</v>
      </c>
      <c r="J2211" s="281">
        <f>++Tabla4[[#This Row],[Precio Bruto]]*1.16</f>
        <v>451.78519999999997</v>
      </c>
      <c r="K2211" s="281">
        <f>+Tabla4[[#This Row],[Precio Unitario Neto]]*Tabla4[[#Headers],[20.85%]]</f>
        <v>94.197214199999991</v>
      </c>
      <c r="L2211" s="282">
        <f>++Tabla4[[#This Row],[Precio Unitario Neto]]-Tabla4[[#This Row],[20.85%]]</f>
        <v>357.58798579999996</v>
      </c>
      <c r="M2211" s="282" t="e">
        <f>(INDEX(Tabla6[#All],MATCH(Tabla4[[#This Row],[Producto]],Tabla6[[#All],[PRODUCTO]],0),MATCH(Tabla4[[#This Row],[Mes]],Tabla6[#Headers],0)))*(1+Catalogos!$L$2)</f>
        <v>#N/A</v>
      </c>
      <c r="N2211" s="283" t="e">
        <f>+(Tabla4[[#This Row],[Precio Descontado]]-Tabla4[[#This Row],[Precio Base]])*Tabla4[[#This Row],[Cantidad]]</f>
        <v>#N/A</v>
      </c>
      <c r="O2211" s="284" t="e">
        <f>++Tabla4[[#This Row],[Utilidad Total]]/Tabla4[[#This Row],[Total]]</f>
        <v>#N/A</v>
      </c>
      <c r="P2211" s="282">
        <f>++Tabla4[[#This Row],[Precio Descontado]]*Tabla4[[#This Row],[Cantidad]]</f>
        <v>2860.7038863999996</v>
      </c>
      <c r="Q2211" s="282" t="e">
        <f>(INDEX(Tabla6[#All],MATCH(Tabla4[[#This Row],[Producto]],Tabla6[[#All],[PRODUCTO]],0),MATCH(Tabla4[[#This Row],[Mes]],Tabla6[#Headers],0)))</f>
        <v>#N/A</v>
      </c>
      <c r="R2211" s="282" t="e">
        <f>++Tabla4[[#This Row],[Precio Unitario Neto]]-Tabla4[[#This Row],[20.85%]]-Tabla4[[#This Row],[Costo]]</f>
        <v>#N/A</v>
      </c>
      <c r="S2211" s="282" t="e">
        <f>++Tabla4[[#This Row],[U. Bruta Uni]]*Tabla4[[#This Row],[Cantidad]]</f>
        <v>#N/A</v>
      </c>
      <c r="T2211" s="369" t="str">
        <f>VLOOKUP(Tabla4[[#This Row],[Producto]],Tabla6[#All],14,FALSE)</f>
        <v>Termico Solar</v>
      </c>
      <c r="U2211" s="284" t="e">
        <f>(IF(Tabla4[[#This Row],[Familia]]="termico solar",Tabla4[[#This Row],[Utilidad Total]]*6%,Tabla4[[#This Row],[Utilidad Total]]*11.5%))/Tabla4[[#This Row],[Total]]</f>
        <v>#N/A</v>
      </c>
      <c r="V2211" s="282" t="e">
        <f>+Tabla4[[#This Row],[Comisión Calculada]]*Tabla4[[#This Row],[Total]]</f>
        <v>#N/A</v>
      </c>
    </row>
    <row r="2212" spans="1:22" hidden="1" x14ac:dyDescent="0.25">
      <c r="A2212" s="100">
        <v>45762</v>
      </c>
      <c r="B2212" t="str">
        <f t="shared" si="111"/>
        <v>April</v>
      </c>
      <c r="C2212" s="46" t="s">
        <v>280</v>
      </c>
      <c r="F2212" s="366" t="s">
        <v>1552</v>
      </c>
      <c r="G2212" s="46" t="s">
        <v>208</v>
      </c>
      <c r="H2212" s="46">
        <v>2</v>
      </c>
      <c r="I2212" s="51">
        <v>189.75</v>
      </c>
      <c r="J2212" s="281">
        <f>++Tabla4[[#This Row],[Precio Bruto]]*1.16</f>
        <v>220.10999999999999</v>
      </c>
      <c r="K2212" s="281">
        <f>+Tabla4[[#This Row],[Precio Unitario Neto]]*Tabla4[[#Headers],[20.85%]]</f>
        <v>45.892934999999994</v>
      </c>
      <c r="L2212" s="282">
        <f>++Tabla4[[#This Row],[Precio Unitario Neto]]-Tabla4[[#This Row],[20.85%]]</f>
        <v>174.21706499999999</v>
      </c>
      <c r="M2212" s="282" t="e">
        <f>(INDEX(Tabla6[#All],MATCH(Tabla4[[#This Row],[Producto]],Tabla6[[#All],[PRODUCTO]],0),MATCH(Tabla4[[#This Row],[Mes]],Tabla6[#Headers],0)))*(1+Catalogos!$L$2)</f>
        <v>#N/A</v>
      </c>
      <c r="N2212" s="283" t="e">
        <f>+(Tabla4[[#This Row],[Precio Descontado]]-Tabla4[[#This Row],[Precio Base]])*Tabla4[[#This Row],[Cantidad]]</f>
        <v>#N/A</v>
      </c>
      <c r="O2212" s="284" t="e">
        <f>++Tabla4[[#This Row],[Utilidad Total]]/Tabla4[[#This Row],[Total]]</f>
        <v>#N/A</v>
      </c>
      <c r="P2212" s="282">
        <f>++Tabla4[[#This Row],[Precio Descontado]]*Tabla4[[#This Row],[Cantidad]]</f>
        <v>348.43412999999998</v>
      </c>
      <c r="Q2212" s="282" t="e">
        <f>(INDEX(Tabla6[#All],MATCH(Tabla4[[#This Row],[Producto]],Tabla6[[#All],[PRODUCTO]],0),MATCH(Tabla4[[#This Row],[Mes]],Tabla6[#Headers],0)))</f>
        <v>#N/A</v>
      </c>
      <c r="R2212" s="282" t="e">
        <f>++Tabla4[[#This Row],[Precio Unitario Neto]]-Tabla4[[#This Row],[20.85%]]-Tabla4[[#This Row],[Costo]]</f>
        <v>#N/A</v>
      </c>
      <c r="S2212" s="282" t="e">
        <f>++Tabla4[[#This Row],[U. Bruta Uni]]*Tabla4[[#This Row],[Cantidad]]</f>
        <v>#N/A</v>
      </c>
      <c r="T2212" s="369" t="str">
        <f>VLOOKUP(Tabla4[[#This Row],[Producto]],Tabla6[#All],14,FALSE)</f>
        <v>Termico Solar</v>
      </c>
      <c r="U2212" s="284" t="e">
        <f>(IF(Tabla4[[#This Row],[Familia]]="termico solar",Tabla4[[#This Row],[Utilidad Total]]*6%,Tabla4[[#This Row],[Utilidad Total]]*11.5%))/Tabla4[[#This Row],[Total]]</f>
        <v>#N/A</v>
      </c>
      <c r="V2212" s="282" t="e">
        <f>+Tabla4[[#This Row],[Comisión Calculada]]*Tabla4[[#This Row],[Total]]</f>
        <v>#N/A</v>
      </c>
    </row>
    <row r="2213" spans="1:22" hidden="1" x14ac:dyDescent="0.25">
      <c r="A2213" s="100">
        <v>45762</v>
      </c>
      <c r="B2213" t="str">
        <f t="shared" si="111"/>
        <v>April</v>
      </c>
      <c r="C2213" s="46" t="s">
        <v>280</v>
      </c>
      <c r="F2213" s="366" t="s">
        <v>1553</v>
      </c>
      <c r="G2213" s="46" t="s">
        <v>83</v>
      </c>
      <c r="H2213" s="46">
        <v>1</v>
      </c>
      <c r="I2213" s="51">
        <v>8858.76</v>
      </c>
      <c r="J2213" s="281">
        <f>++Tabla4[[#This Row],[Precio Bruto]]*1.16</f>
        <v>10276.161599999999</v>
      </c>
      <c r="K2213" s="281">
        <f>+Tabla4[[#This Row],[Precio Unitario Neto]]*Tabla4[[#Headers],[20.85%]]</f>
        <v>2142.5796935999997</v>
      </c>
      <c r="L2213" s="282">
        <f>++Tabla4[[#This Row],[Precio Unitario Neto]]-Tabla4[[#This Row],[20.85%]]</f>
        <v>8133.5819063999998</v>
      </c>
      <c r="M2213" s="282" t="e">
        <f>(INDEX(Tabla6[#All],MATCH(Tabla4[[#This Row],[Producto]],Tabla6[[#All],[PRODUCTO]],0),MATCH(Tabla4[[#This Row],[Mes]],Tabla6[#Headers],0)))*(1+Catalogos!$L$2)</f>
        <v>#N/A</v>
      </c>
      <c r="N2213" s="283" t="e">
        <f>+(Tabla4[[#This Row],[Precio Descontado]]-Tabla4[[#This Row],[Precio Base]])*Tabla4[[#This Row],[Cantidad]]</f>
        <v>#N/A</v>
      </c>
      <c r="O2213" s="284" t="e">
        <f>++Tabla4[[#This Row],[Utilidad Total]]/Tabla4[[#This Row],[Total]]</f>
        <v>#N/A</v>
      </c>
      <c r="P2213" s="282">
        <f>++Tabla4[[#This Row],[Precio Descontado]]*Tabla4[[#This Row],[Cantidad]]</f>
        <v>8133.5819063999998</v>
      </c>
      <c r="Q2213" s="282" t="e">
        <f>(INDEX(Tabla6[#All],MATCH(Tabla4[[#This Row],[Producto]],Tabla6[[#All],[PRODUCTO]],0),MATCH(Tabla4[[#This Row],[Mes]],Tabla6[#Headers],0)))</f>
        <v>#N/A</v>
      </c>
      <c r="R2213" s="282" t="e">
        <f>++Tabla4[[#This Row],[Precio Unitario Neto]]-Tabla4[[#This Row],[20.85%]]-Tabla4[[#This Row],[Costo]]</f>
        <v>#N/A</v>
      </c>
      <c r="S2213" s="282" t="e">
        <f>++Tabla4[[#This Row],[U. Bruta Uni]]*Tabla4[[#This Row],[Cantidad]]</f>
        <v>#N/A</v>
      </c>
      <c r="T2213" s="369" t="str">
        <f>VLOOKUP(Tabla4[[#This Row],[Producto]],Tabla6[#All],14,FALSE)</f>
        <v>Termico Solar</v>
      </c>
      <c r="U2213" s="284" t="e">
        <f>(IF(Tabla4[[#This Row],[Familia]]="termico solar",Tabla4[[#This Row],[Utilidad Total]]*6%,Tabla4[[#This Row],[Utilidad Total]]*11.5%))/Tabla4[[#This Row],[Total]]</f>
        <v>#N/A</v>
      </c>
      <c r="V2213" s="282" t="e">
        <f>+Tabla4[[#This Row],[Comisión Calculada]]*Tabla4[[#This Row],[Total]]</f>
        <v>#N/A</v>
      </c>
    </row>
    <row r="2214" spans="1:22" hidden="1" x14ac:dyDescent="0.25">
      <c r="A2214" s="100">
        <v>45762</v>
      </c>
      <c r="B2214" t="str">
        <f t="shared" ref="B2214:B2219" si="112">TEXT(A2214, "mmmm")</f>
        <v>April</v>
      </c>
      <c r="C2214" s="46" t="s">
        <v>280</v>
      </c>
      <c r="F2214" s="366" t="s">
        <v>1554</v>
      </c>
      <c r="G2214" s="46" t="s">
        <v>17</v>
      </c>
      <c r="H2214" s="46">
        <v>2</v>
      </c>
      <c r="I2214" s="51">
        <v>4622.28</v>
      </c>
      <c r="J2214" s="281">
        <f>++Tabla4[[#This Row],[Precio Bruto]]*1.16</f>
        <v>5361.8447999999989</v>
      </c>
      <c r="K2214" s="281">
        <f>+Tabla4[[#This Row],[Precio Unitario Neto]]*Tabla4[[#Headers],[20.85%]]</f>
        <v>1117.9446407999997</v>
      </c>
      <c r="L2214" s="282">
        <f>++Tabla4[[#This Row],[Precio Unitario Neto]]-Tabla4[[#This Row],[20.85%]]</f>
        <v>4243.9001591999995</v>
      </c>
      <c r="M2214" s="282" t="e">
        <f>(INDEX(Tabla6[#All],MATCH(Tabla4[[#This Row],[Producto]],Tabla6[[#All],[PRODUCTO]],0),MATCH(Tabla4[[#This Row],[Mes]],Tabla6[#Headers],0)))*(1+Catalogos!$L$2)</f>
        <v>#N/A</v>
      </c>
      <c r="N2214" s="283" t="e">
        <f>+(Tabla4[[#This Row],[Precio Descontado]]-Tabla4[[#This Row],[Precio Base]])*Tabla4[[#This Row],[Cantidad]]</f>
        <v>#N/A</v>
      </c>
      <c r="O2214" s="284" t="e">
        <f>++Tabla4[[#This Row],[Utilidad Total]]/Tabla4[[#This Row],[Total]]</f>
        <v>#N/A</v>
      </c>
      <c r="P2214" s="282">
        <f>++Tabla4[[#This Row],[Precio Descontado]]*Tabla4[[#This Row],[Cantidad]]</f>
        <v>8487.800318399999</v>
      </c>
      <c r="Q2214" s="282" t="e">
        <f>(INDEX(Tabla6[#All],MATCH(Tabla4[[#This Row],[Producto]],Tabla6[[#All],[PRODUCTO]],0),MATCH(Tabla4[[#This Row],[Mes]],Tabla6[#Headers],0)))</f>
        <v>#N/A</v>
      </c>
      <c r="R2214" s="282" t="e">
        <f>++Tabla4[[#This Row],[Precio Unitario Neto]]-Tabla4[[#This Row],[20.85%]]-Tabla4[[#This Row],[Costo]]</f>
        <v>#N/A</v>
      </c>
      <c r="S2214" s="282" t="e">
        <f>++Tabla4[[#This Row],[U. Bruta Uni]]*Tabla4[[#This Row],[Cantidad]]</f>
        <v>#N/A</v>
      </c>
      <c r="T2214" s="369" t="str">
        <f>VLOOKUP(Tabla4[[#This Row],[Producto]],Tabla6[#All],14,FALSE)</f>
        <v>Termico Solar</v>
      </c>
      <c r="U2214" s="284" t="e">
        <f>(IF(Tabla4[[#This Row],[Familia]]="termico solar",Tabla4[[#This Row],[Utilidad Total]]*6%,Tabla4[[#This Row],[Utilidad Total]]*11.5%))/Tabla4[[#This Row],[Total]]</f>
        <v>#N/A</v>
      </c>
      <c r="V2214" s="282" t="e">
        <f>+Tabla4[[#This Row],[Comisión Calculada]]*Tabla4[[#This Row],[Total]]</f>
        <v>#N/A</v>
      </c>
    </row>
    <row r="2215" spans="1:22" hidden="1" x14ac:dyDescent="0.25">
      <c r="A2215" s="100">
        <v>45762</v>
      </c>
      <c r="B2215" t="str">
        <f t="shared" si="112"/>
        <v>April</v>
      </c>
      <c r="C2215" s="46" t="s">
        <v>280</v>
      </c>
      <c r="F2215" s="366" t="s">
        <v>1554</v>
      </c>
      <c r="G2215" s="46" t="s">
        <v>18</v>
      </c>
      <c r="H2215" s="46">
        <v>1</v>
      </c>
      <c r="I2215" s="51">
        <v>5367.65</v>
      </c>
      <c r="J2215" s="281">
        <f>++Tabla4[[#This Row],[Precio Bruto]]*1.16</f>
        <v>6226.4739999999993</v>
      </c>
      <c r="K2215" s="281">
        <f>+Tabla4[[#This Row],[Precio Unitario Neto]]*Tabla4[[#Headers],[20.85%]]</f>
        <v>1298.2198289999999</v>
      </c>
      <c r="L2215" s="282">
        <f>++Tabla4[[#This Row],[Precio Unitario Neto]]-Tabla4[[#This Row],[20.85%]]</f>
        <v>4928.2541709999996</v>
      </c>
      <c r="M2215" s="282" t="e">
        <f>(INDEX(Tabla6[#All],MATCH(Tabla4[[#This Row],[Producto]],Tabla6[[#All],[PRODUCTO]],0),MATCH(Tabla4[[#This Row],[Mes]],Tabla6[#Headers],0)))*(1+Catalogos!$L$2)</f>
        <v>#N/A</v>
      </c>
      <c r="N2215" s="283" t="e">
        <f>+(Tabla4[[#This Row],[Precio Descontado]]-Tabla4[[#This Row],[Precio Base]])*Tabla4[[#This Row],[Cantidad]]</f>
        <v>#N/A</v>
      </c>
      <c r="O2215" s="284" t="e">
        <f>++Tabla4[[#This Row],[Utilidad Total]]/Tabla4[[#This Row],[Total]]</f>
        <v>#N/A</v>
      </c>
      <c r="P2215" s="282">
        <f>++Tabla4[[#This Row],[Precio Descontado]]*Tabla4[[#This Row],[Cantidad]]</f>
        <v>4928.2541709999996</v>
      </c>
      <c r="Q2215" s="282" t="e">
        <f>(INDEX(Tabla6[#All],MATCH(Tabla4[[#This Row],[Producto]],Tabla6[[#All],[PRODUCTO]],0),MATCH(Tabla4[[#This Row],[Mes]],Tabla6[#Headers],0)))</f>
        <v>#N/A</v>
      </c>
      <c r="R2215" s="282" t="e">
        <f>++Tabla4[[#This Row],[Precio Unitario Neto]]-Tabla4[[#This Row],[20.85%]]-Tabla4[[#This Row],[Costo]]</f>
        <v>#N/A</v>
      </c>
      <c r="S2215" s="282" t="e">
        <f>++Tabla4[[#This Row],[U. Bruta Uni]]*Tabla4[[#This Row],[Cantidad]]</f>
        <v>#N/A</v>
      </c>
      <c r="T2215" s="369" t="str">
        <f>VLOOKUP(Tabla4[[#This Row],[Producto]],Tabla6[#All],14,FALSE)</f>
        <v>Termico Solar</v>
      </c>
      <c r="U2215" s="284" t="e">
        <f>(IF(Tabla4[[#This Row],[Familia]]="termico solar",Tabla4[[#This Row],[Utilidad Total]]*6%,Tabla4[[#This Row],[Utilidad Total]]*11.5%))/Tabla4[[#This Row],[Total]]</f>
        <v>#N/A</v>
      </c>
      <c r="V2215" s="282" t="e">
        <f>+Tabla4[[#This Row],[Comisión Calculada]]*Tabla4[[#This Row],[Total]]</f>
        <v>#N/A</v>
      </c>
    </row>
    <row r="2216" spans="1:22" hidden="1" x14ac:dyDescent="0.25">
      <c r="A2216" s="100">
        <v>45762</v>
      </c>
      <c r="B2216" t="str">
        <f t="shared" si="112"/>
        <v>April</v>
      </c>
      <c r="C2216" s="46" t="s">
        <v>280</v>
      </c>
      <c r="F2216" s="366" t="s">
        <v>1554</v>
      </c>
      <c r="G2216" s="46" t="s">
        <v>16</v>
      </c>
      <c r="H2216" s="46">
        <v>2</v>
      </c>
      <c r="I2216" s="51">
        <v>4103.8500000000004</v>
      </c>
      <c r="J2216" s="281">
        <f>++Tabla4[[#This Row],[Precio Bruto]]*1.16</f>
        <v>4760.4660000000003</v>
      </c>
      <c r="K2216" s="281">
        <f>+Tabla4[[#This Row],[Precio Unitario Neto]]*Tabla4[[#Headers],[20.85%]]</f>
        <v>992.55716100000006</v>
      </c>
      <c r="L2216" s="282">
        <f>++Tabla4[[#This Row],[Precio Unitario Neto]]-Tabla4[[#This Row],[20.85%]]</f>
        <v>3767.9088390000002</v>
      </c>
      <c r="M2216" s="282" t="e">
        <f>(INDEX(Tabla6[#All],MATCH(Tabla4[[#This Row],[Producto]],Tabla6[[#All],[PRODUCTO]],0),MATCH(Tabla4[[#This Row],[Mes]],Tabla6[#Headers],0)))*(1+Catalogos!$L$2)</f>
        <v>#N/A</v>
      </c>
      <c r="N2216" s="283" t="e">
        <f>+(Tabla4[[#This Row],[Precio Descontado]]-Tabla4[[#This Row],[Precio Base]])*Tabla4[[#This Row],[Cantidad]]</f>
        <v>#N/A</v>
      </c>
      <c r="O2216" s="284" t="e">
        <f>++Tabla4[[#This Row],[Utilidad Total]]/Tabla4[[#This Row],[Total]]</f>
        <v>#N/A</v>
      </c>
      <c r="P2216" s="282">
        <f>++Tabla4[[#This Row],[Precio Descontado]]*Tabla4[[#This Row],[Cantidad]]</f>
        <v>7535.8176780000003</v>
      </c>
      <c r="Q2216" s="282" t="e">
        <f>(INDEX(Tabla6[#All],MATCH(Tabla4[[#This Row],[Producto]],Tabla6[[#All],[PRODUCTO]],0),MATCH(Tabla4[[#This Row],[Mes]],Tabla6[#Headers],0)))</f>
        <v>#N/A</v>
      </c>
      <c r="R2216" s="282" t="e">
        <f>++Tabla4[[#This Row],[Precio Unitario Neto]]-Tabla4[[#This Row],[20.85%]]-Tabla4[[#This Row],[Costo]]</f>
        <v>#N/A</v>
      </c>
      <c r="S2216" s="282" t="e">
        <f>++Tabla4[[#This Row],[U. Bruta Uni]]*Tabla4[[#This Row],[Cantidad]]</f>
        <v>#N/A</v>
      </c>
      <c r="T2216" s="369" t="str">
        <f>VLOOKUP(Tabla4[[#This Row],[Producto]],Tabla6[#All],14,FALSE)</f>
        <v>Termico Solar</v>
      </c>
      <c r="U2216" s="284" t="e">
        <f>(IF(Tabla4[[#This Row],[Familia]]="termico solar",Tabla4[[#This Row],[Utilidad Total]]*6%,Tabla4[[#This Row],[Utilidad Total]]*11.5%))/Tabla4[[#This Row],[Total]]</f>
        <v>#N/A</v>
      </c>
      <c r="V2216" s="282" t="e">
        <f>+Tabla4[[#This Row],[Comisión Calculada]]*Tabla4[[#This Row],[Total]]</f>
        <v>#N/A</v>
      </c>
    </row>
    <row r="2217" spans="1:22" hidden="1" x14ac:dyDescent="0.25">
      <c r="A2217" s="100">
        <v>45762</v>
      </c>
      <c r="B2217" t="str">
        <f t="shared" si="112"/>
        <v>April</v>
      </c>
      <c r="C2217" s="46" t="s">
        <v>280</v>
      </c>
      <c r="F2217" s="366" t="s">
        <v>1554</v>
      </c>
      <c r="G2217" s="46" t="s">
        <v>394</v>
      </c>
      <c r="H2217" s="46">
        <v>16</v>
      </c>
      <c r="I2217" s="51">
        <v>224.29</v>
      </c>
      <c r="J2217" s="281">
        <f>++Tabla4[[#This Row],[Precio Bruto]]*1.16</f>
        <v>260.1764</v>
      </c>
      <c r="K2217" s="281">
        <f>+Tabla4[[#This Row],[Precio Unitario Neto]]*Tabla4[[#Headers],[20.85%]]</f>
        <v>54.246779400000001</v>
      </c>
      <c r="L2217" s="282">
        <f>++Tabla4[[#This Row],[Precio Unitario Neto]]-Tabla4[[#This Row],[20.85%]]</f>
        <v>205.92962059999999</v>
      </c>
      <c r="M2217" s="282" t="e">
        <f>(INDEX(Tabla6[#All],MATCH(Tabla4[[#This Row],[Producto]],Tabla6[[#All],[PRODUCTO]],0),MATCH(Tabla4[[#This Row],[Mes]],Tabla6[#Headers],0)))*(1+Catalogos!$L$2)</f>
        <v>#N/A</v>
      </c>
      <c r="N2217" s="283" t="e">
        <f>+(Tabla4[[#This Row],[Precio Descontado]]-Tabla4[[#This Row],[Precio Base]])*Tabla4[[#This Row],[Cantidad]]</f>
        <v>#N/A</v>
      </c>
      <c r="O2217" s="284" t="e">
        <f>++Tabla4[[#This Row],[Utilidad Total]]/Tabla4[[#This Row],[Total]]</f>
        <v>#N/A</v>
      </c>
      <c r="P2217" s="282">
        <f>++Tabla4[[#This Row],[Precio Descontado]]*Tabla4[[#This Row],[Cantidad]]</f>
        <v>3294.8739295999999</v>
      </c>
      <c r="Q2217" s="282" t="e">
        <f>(INDEX(Tabla6[#All],MATCH(Tabla4[[#This Row],[Producto]],Tabla6[[#All],[PRODUCTO]],0),MATCH(Tabla4[[#This Row],[Mes]],Tabla6[#Headers],0)))</f>
        <v>#N/A</v>
      </c>
      <c r="R2217" s="282" t="e">
        <f>++Tabla4[[#This Row],[Precio Unitario Neto]]-Tabla4[[#This Row],[20.85%]]-Tabla4[[#This Row],[Costo]]</f>
        <v>#N/A</v>
      </c>
      <c r="S2217" s="282" t="e">
        <f>++Tabla4[[#This Row],[U. Bruta Uni]]*Tabla4[[#This Row],[Cantidad]]</f>
        <v>#N/A</v>
      </c>
      <c r="T2217" s="369" t="str">
        <f>VLOOKUP(Tabla4[[#This Row],[Producto]],Tabla6[#All],14,FALSE)</f>
        <v>Termico Solar</v>
      </c>
      <c r="U2217" s="284" t="e">
        <f>(IF(Tabla4[[#This Row],[Familia]]="termico solar",Tabla4[[#This Row],[Utilidad Total]]*6%,Tabla4[[#This Row],[Utilidad Total]]*11.5%))/Tabla4[[#This Row],[Total]]</f>
        <v>#N/A</v>
      </c>
      <c r="V2217" s="282" t="e">
        <f>+Tabla4[[#This Row],[Comisión Calculada]]*Tabla4[[#This Row],[Total]]</f>
        <v>#N/A</v>
      </c>
    </row>
    <row r="2218" spans="1:22" hidden="1" x14ac:dyDescent="0.25">
      <c r="A2218" s="100">
        <v>45762</v>
      </c>
      <c r="B2218" t="str">
        <f t="shared" si="112"/>
        <v>April</v>
      </c>
      <c r="C2218" s="46" t="s">
        <v>280</v>
      </c>
      <c r="F2218" s="366" t="s">
        <v>1554</v>
      </c>
      <c r="G2218" s="46" t="s">
        <v>555</v>
      </c>
      <c r="H2218" s="46">
        <v>8</v>
      </c>
      <c r="I2218" s="51">
        <v>389.47</v>
      </c>
      <c r="J2218" s="281">
        <f>++Tabla4[[#This Row],[Precio Bruto]]*1.16</f>
        <v>451.78519999999997</v>
      </c>
      <c r="K2218" s="281">
        <f>+Tabla4[[#This Row],[Precio Unitario Neto]]*Tabla4[[#Headers],[20.85%]]</f>
        <v>94.197214199999991</v>
      </c>
      <c r="L2218" s="282">
        <f>++Tabla4[[#This Row],[Precio Unitario Neto]]-Tabla4[[#This Row],[20.85%]]</f>
        <v>357.58798579999996</v>
      </c>
      <c r="M2218" s="282" t="e">
        <f>(INDEX(Tabla6[#All],MATCH(Tabla4[[#This Row],[Producto]],Tabla6[[#All],[PRODUCTO]],0),MATCH(Tabla4[[#This Row],[Mes]],Tabla6[#Headers],0)))*(1+Catalogos!$L$2)</f>
        <v>#N/A</v>
      </c>
      <c r="N2218" s="283" t="e">
        <f>+(Tabla4[[#This Row],[Precio Descontado]]-Tabla4[[#This Row],[Precio Base]])*Tabla4[[#This Row],[Cantidad]]</f>
        <v>#N/A</v>
      </c>
      <c r="O2218" s="284" t="e">
        <f>++Tabla4[[#This Row],[Utilidad Total]]/Tabla4[[#This Row],[Total]]</f>
        <v>#N/A</v>
      </c>
      <c r="P2218" s="282">
        <f>++Tabla4[[#This Row],[Precio Descontado]]*Tabla4[[#This Row],[Cantidad]]</f>
        <v>2860.7038863999996</v>
      </c>
      <c r="Q2218" s="282" t="e">
        <f>(INDEX(Tabla6[#All],MATCH(Tabla4[[#This Row],[Producto]],Tabla6[[#All],[PRODUCTO]],0),MATCH(Tabla4[[#This Row],[Mes]],Tabla6[#Headers],0)))</f>
        <v>#N/A</v>
      </c>
      <c r="R2218" s="282" t="e">
        <f>++Tabla4[[#This Row],[Precio Unitario Neto]]-Tabla4[[#This Row],[20.85%]]-Tabla4[[#This Row],[Costo]]</f>
        <v>#N/A</v>
      </c>
      <c r="S2218" s="282" t="e">
        <f>++Tabla4[[#This Row],[U. Bruta Uni]]*Tabla4[[#This Row],[Cantidad]]</f>
        <v>#N/A</v>
      </c>
      <c r="T2218" s="369" t="str">
        <f>VLOOKUP(Tabla4[[#This Row],[Producto]],Tabla6[#All],14,FALSE)</f>
        <v>Termico Solar</v>
      </c>
      <c r="U2218" s="284" t="e">
        <f>(IF(Tabla4[[#This Row],[Familia]]="termico solar",Tabla4[[#This Row],[Utilidad Total]]*6%,Tabla4[[#This Row],[Utilidad Total]]*11.5%))/Tabla4[[#This Row],[Total]]</f>
        <v>#N/A</v>
      </c>
      <c r="V2218" s="282" t="e">
        <f>+Tabla4[[#This Row],[Comisión Calculada]]*Tabla4[[#This Row],[Total]]</f>
        <v>#N/A</v>
      </c>
    </row>
    <row r="2219" spans="1:22" hidden="1" x14ac:dyDescent="0.25">
      <c r="A2219" s="100">
        <v>45762</v>
      </c>
      <c r="B2219" t="str">
        <f t="shared" si="112"/>
        <v>April</v>
      </c>
      <c r="C2219" s="46" t="s">
        <v>280</v>
      </c>
      <c r="F2219" s="366" t="s">
        <v>1554</v>
      </c>
      <c r="G2219" s="46" t="s">
        <v>208</v>
      </c>
      <c r="H2219" s="46">
        <v>1</v>
      </c>
      <c r="I2219" s="51">
        <v>189.75</v>
      </c>
      <c r="J2219" s="281">
        <f>++Tabla4[[#This Row],[Precio Bruto]]*1.16</f>
        <v>220.10999999999999</v>
      </c>
      <c r="K2219" s="281">
        <f>+Tabla4[[#This Row],[Precio Unitario Neto]]*Tabla4[[#Headers],[20.85%]]</f>
        <v>45.892934999999994</v>
      </c>
      <c r="L2219" s="282">
        <f>++Tabla4[[#This Row],[Precio Unitario Neto]]-Tabla4[[#This Row],[20.85%]]</f>
        <v>174.21706499999999</v>
      </c>
      <c r="M2219" s="282" t="e">
        <f>(INDEX(Tabla6[#All],MATCH(Tabla4[[#This Row],[Producto]],Tabla6[[#All],[PRODUCTO]],0),MATCH(Tabla4[[#This Row],[Mes]],Tabla6[#Headers],0)))*(1+Catalogos!$L$2)</f>
        <v>#N/A</v>
      </c>
      <c r="N2219" s="283" t="e">
        <f>+(Tabla4[[#This Row],[Precio Descontado]]-Tabla4[[#This Row],[Precio Base]])*Tabla4[[#This Row],[Cantidad]]</f>
        <v>#N/A</v>
      </c>
      <c r="O2219" s="284" t="e">
        <f>++Tabla4[[#This Row],[Utilidad Total]]/Tabla4[[#This Row],[Total]]</f>
        <v>#N/A</v>
      </c>
      <c r="P2219" s="282">
        <f>++Tabla4[[#This Row],[Precio Descontado]]*Tabla4[[#This Row],[Cantidad]]</f>
        <v>174.21706499999999</v>
      </c>
      <c r="Q2219" s="282" t="e">
        <f>(INDEX(Tabla6[#All],MATCH(Tabla4[[#This Row],[Producto]],Tabla6[[#All],[PRODUCTO]],0),MATCH(Tabla4[[#This Row],[Mes]],Tabla6[#Headers],0)))</f>
        <v>#N/A</v>
      </c>
      <c r="R2219" s="282" t="e">
        <f>++Tabla4[[#This Row],[Precio Unitario Neto]]-Tabla4[[#This Row],[20.85%]]-Tabla4[[#This Row],[Costo]]</f>
        <v>#N/A</v>
      </c>
      <c r="S2219" s="282" t="e">
        <f>++Tabla4[[#This Row],[U. Bruta Uni]]*Tabla4[[#This Row],[Cantidad]]</f>
        <v>#N/A</v>
      </c>
      <c r="T2219" s="369" t="str">
        <f>VLOOKUP(Tabla4[[#This Row],[Producto]],Tabla6[#All],14,FALSE)</f>
        <v>Termico Solar</v>
      </c>
      <c r="U2219" s="284" t="e">
        <f>(IF(Tabla4[[#This Row],[Familia]]="termico solar",Tabla4[[#This Row],[Utilidad Total]]*6%,Tabla4[[#This Row],[Utilidad Total]]*11.5%))/Tabla4[[#This Row],[Total]]</f>
        <v>#N/A</v>
      </c>
      <c r="V2219" s="282" t="e">
        <f>+Tabla4[[#This Row],[Comisión Calculada]]*Tabla4[[#This Row],[Total]]</f>
        <v>#N/A</v>
      </c>
    </row>
    <row r="2220" spans="1:22" hidden="1" x14ac:dyDescent="0.25">
      <c r="A2220" s="100">
        <v>45762</v>
      </c>
      <c r="B2220" t="str">
        <f t="shared" ref="B2220:B2226" si="113">TEXT(A2220, "mmmm")</f>
        <v>April</v>
      </c>
      <c r="C2220" s="46" t="s">
        <v>280</v>
      </c>
      <c r="F2220" s="366" t="s">
        <v>1555</v>
      </c>
      <c r="G2220" s="46" t="s">
        <v>83</v>
      </c>
      <c r="H2220" s="46">
        <v>1</v>
      </c>
      <c r="I2220" s="51">
        <v>8858.76</v>
      </c>
      <c r="J2220" s="281">
        <f>++Tabla4[[#This Row],[Precio Bruto]]*1.16</f>
        <v>10276.161599999999</v>
      </c>
      <c r="K2220" s="281">
        <f>+Tabla4[[#This Row],[Precio Unitario Neto]]*Tabla4[[#Headers],[20.85%]]</f>
        <v>2142.5796935999997</v>
      </c>
      <c r="L2220" s="282">
        <f>++Tabla4[[#This Row],[Precio Unitario Neto]]-Tabla4[[#This Row],[20.85%]]</f>
        <v>8133.5819063999998</v>
      </c>
      <c r="M2220" s="282" t="e">
        <f>(INDEX(Tabla6[#All],MATCH(Tabla4[[#This Row],[Producto]],Tabla6[[#All],[PRODUCTO]],0),MATCH(Tabla4[[#This Row],[Mes]],Tabla6[#Headers],0)))*(1+Catalogos!$L$2)</f>
        <v>#N/A</v>
      </c>
      <c r="N2220" s="283" t="e">
        <f>+(Tabla4[[#This Row],[Precio Descontado]]-Tabla4[[#This Row],[Precio Base]])*Tabla4[[#This Row],[Cantidad]]</f>
        <v>#N/A</v>
      </c>
      <c r="O2220" s="284" t="e">
        <f>++Tabla4[[#This Row],[Utilidad Total]]/Tabla4[[#This Row],[Total]]</f>
        <v>#N/A</v>
      </c>
      <c r="P2220" s="282">
        <f>++Tabla4[[#This Row],[Precio Descontado]]*Tabla4[[#This Row],[Cantidad]]</f>
        <v>8133.5819063999998</v>
      </c>
      <c r="Q2220" s="282" t="e">
        <f>(INDEX(Tabla6[#All],MATCH(Tabla4[[#This Row],[Producto]],Tabla6[[#All],[PRODUCTO]],0),MATCH(Tabla4[[#This Row],[Mes]],Tabla6[#Headers],0)))</f>
        <v>#N/A</v>
      </c>
      <c r="R2220" s="282" t="e">
        <f>++Tabla4[[#This Row],[Precio Unitario Neto]]-Tabla4[[#This Row],[20.85%]]-Tabla4[[#This Row],[Costo]]</f>
        <v>#N/A</v>
      </c>
      <c r="S2220" s="282" t="e">
        <f>++Tabla4[[#This Row],[U. Bruta Uni]]*Tabla4[[#This Row],[Cantidad]]</f>
        <v>#N/A</v>
      </c>
      <c r="T2220" s="369" t="str">
        <f>VLOOKUP(Tabla4[[#This Row],[Producto]],Tabla6[#All],14,FALSE)</f>
        <v>Termico Solar</v>
      </c>
      <c r="U2220" s="284" t="e">
        <f>(IF(Tabla4[[#This Row],[Familia]]="termico solar",Tabla4[[#This Row],[Utilidad Total]]*6%,Tabla4[[#This Row],[Utilidad Total]]*11.5%))/Tabla4[[#This Row],[Total]]</f>
        <v>#N/A</v>
      </c>
      <c r="V2220" s="282" t="e">
        <f>+Tabla4[[#This Row],[Comisión Calculada]]*Tabla4[[#This Row],[Total]]</f>
        <v>#N/A</v>
      </c>
    </row>
    <row r="2221" spans="1:22" hidden="1" x14ac:dyDescent="0.25">
      <c r="A2221" s="100">
        <v>45762</v>
      </c>
      <c r="B2221" t="str">
        <f t="shared" si="113"/>
        <v>April</v>
      </c>
      <c r="C2221" s="46" t="s">
        <v>280</v>
      </c>
      <c r="F2221" s="366" t="s">
        <v>1556</v>
      </c>
      <c r="G2221" s="46" t="s">
        <v>83</v>
      </c>
      <c r="H2221" s="46">
        <v>1</v>
      </c>
      <c r="I2221" s="51">
        <v>8858.76</v>
      </c>
      <c r="J2221" s="281">
        <f>++Tabla4[[#This Row],[Precio Bruto]]*1.16</f>
        <v>10276.161599999999</v>
      </c>
      <c r="K2221" s="281">
        <f>+Tabla4[[#This Row],[Precio Unitario Neto]]*Tabla4[[#Headers],[20.85%]]</f>
        <v>2142.5796935999997</v>
      </c>
      <c r="L2221" s="282">
        <f>++Tabla4[[#This Row],[Precio Unitario Neto]]-Tabla4[[#This Row],[20.85%]]</f>
        <v>8133.5819063999998</v>
      </c>
      <c r="M2221" s="282" t="e">
        <f>(INDEX(Tabla6[#All],MATCH(Tabla4[[#This Row],[Producto]],Tabla6[[#All],[PRODUCTO]],0),MATCH(Tabla4[[#This Row],[Mes]],Tabla6[#Headers],0)))*(1+Catalogos!$L$2)</f>
        <v>#N/A</v>
      </c>
      <c r="N2221" s="283" t="e">
        <f>+(Tabla4[[#This Row],[Precio Descontado]]-Tabla4[[#This Row],[Precio Base]])*Tabla4[[#This Row],[Cantidad]]</f>
        <v>#N/A</v>
      </c>
      <c r="O2221" s="284" t="e">
        <f>++Tabla4[[#This Row],[Utilidad Total]]/Tabla4[[#This Row],[Total]]</f>
        <v>#N/A</v>
      </c>
      <c r="P2221" s="282">
        <f>++Tabla4[[#This Row],[Precio Descontado]]*Tabla4[[#This Row],[Cantidad]]</f>
        <v>8133.5819063999998</v>
      </c>
      <c r="Q2221" s="282" t="e">
        <f>(INDEX(Tabla6[#All],MATCH(Tabla4[[#This Row],[Producto]],Tabla6[[#All],[PRODUCTO]],0),MATCH(Tabla4[[#This Row],[Mes]],Tabla6[#Headers],0)))</f>
        <v>#N/A</v>
      </c>
      <c r="R2221" s="282" t="e">
        <f>++Tabla4[[#This Row],[Precio Unitario Neto]]-Tabla4[[#This Row],[20.85%]]-Tabla4[[#This Row],[Costo]]</f>
        <v>#N/A</v>
      </c>
      <c r="S2221" s="282" t="e">
        <f>++Tabla4[[#This Row],[U. Bruta Uni]]*Tabla4[[#This Row],[Cantidad]]</f>
        <v>#N/A</v>
      </c>
      <c r="T2221" s="369" t="str">
        <f>VLOOKUP(Tabla4[[#This Row],[Producto]],Tabla6[#All],14,FALSE)</f>
        <v>Termico Solar</v>
      </c>
      <c r="U2221" s="284" t="e">
        <f>(IF(Tabla4[[#This Row],[Familia]]="termico solar",Tabla4[[#This Row],[Utilidad Total]]*6%,Tabla4[[#This Row],[Utilidad Total]]*11.5%))/Tabla4[[#This Row],[Total]]</f>
        <v>#N/A</v>
      </c>
      <c r="V2221" s="282" t="e">
        <f>+Tabla4[[#This Row],[Comisión Calculada]]*Tabla4[[#This Row],[Total]]</f>
        <v>#N/A</v>
      </c>
    </row>
    <row r="2222" spans="1:22" hidden="1" x14ac:dyDescent="0.25">
      <c r="A2222" s="100">
        <v>45762</v>
      </c>
      <c r="B2222" t="str">
        <f t="shared" si="113"/>
        <v>April</v>
      </c>
      <c r="C2222" s="46" t="s">
        <v>280</v>
      </c>
      <c r="F2222" s="366" t="s">
        <v>1557</v>
      </c>
      <c r="G2222" s="46" t="s">
        <v>83</v>
      </c>
      <c r="H2222" s="46">
        <v>1</v>
      </c>
      <c r="I2222" s="51">
        <v>8858.76</v>
      </c>
      <c r="J2222" s="281">
        <f>++Tabla4[[#This Row],[Precio Bruto]]*1.16</f>
        <v>10276.161599999999</v>
      </c>
      <c r="K2222" s="281">
        <f>+Tabla4[[#This Row],[Precio Unitario Neto]]*Tabla4[[#Headers],[20.85%]]</f>
        <v>2142.5796935999997</v>
      </c>
      <c r="L2222" s="282">
        <f>++Tabla4[[#This Row],[Precio Unitario Neto]]-Tabla4[[#This Row],[20.85%]]</f>
        <v>8133.5819063999998</v>
      </c>
      <c r="M2222" s="282" t="e">
        <f>(INDEX(Tabla6[#All],MATCH(Tabla4[[#This Row],[Producto]],Tabla6[[#All],[PRODUCTO]],0),MATCH(Tabla4[[#This Row],[Mes]],Tabla6[#Headers],0)))*(1+Catalogos!$L$2)</f>
        <v>#N/A</v>
      </c>
      <c r="N2222" s="283" t="e">
        <f>+(Tabla4[[#This Row],[Precio Descontado]]-Tabla4[[#This Row],[Precio Base]])*Tabla4[[#This Row],[Cantidad]]</f>
        <v>#N/A</v>
      </c>
      <c r="O2222" s="284" t="e">
        <f>++Tabla4[[#This Row],[Utilidad Total]]/Tabla4[[#This Row],[Total]]</f>
        <v>#N/A</v>
      </c>
      <c r="P2222" s="282">
        <f>++Tabla4[[#This Row],[Precio Descontado]]*Tabla4[[#This Row],[Cantidad]]</f>
        <v>8133.5819063999998</v>
      </c>
      <c r="Q2222" s="282" t="e">
        <f>(INDEX(Tabla6[#All],MATCH(Tabla4[[#This Row],[Producto]],Tabla6[[#All],[PRODUCTO]],0),MATCH(Tabla4[[#This Row],[Mes]],Tabla6[#Headers],0)))</f>
        <v>#N/A</v>
      </c>
      <c r="R2222" s="282" t="e">
        <f>++Tabla4[[#This Row],[Precio Unitario Neto]]-Tabla4[[#This Row],[20.85%]]-Tabla4[[#This Row],[Costo]]</f>
        <v>#N/A</v>
      </c>
      <c r="S2222" s="282" t="e">
        <f>++Tabla4[[#This Row],[U. Bruta Uni]]*Tabla4[[#This Row],[Cantidad]]</f>
        <v>#N/A</v>
      </c>
      <c r="T2222" s="369" t="str">
        <f>VLOOKUP(Tabla4[[#This Row],[Producto]],Tabla6[#All],14,FALSE)</f>
        <v>Termico Solar</v>
      </c>
      <c r="U2222" s="284" t="e">
        <f>(IF(Tabla4[[#This Row],[Familia]]="termico solar",Tabla4[[#This Row],[Utilidad Total]]*6%,Tabla4[[#This Row],[Utilidad Total]]*11.5%))/Tabla4[[#This Row],[Total]]</f>
        <v>#N/A</v>
      </c>
      <c r="V2222" s="282" t="e">
        <f>+Tabla4[[#This Row],[Comisión Calculada]]*Tabla4[[#This Row],[Total]]</f>
        <v>#N/A</v>
      </c>
    </row>
    <row r="2223" spans="1:22" hidden="1" x14ac:dyDescent="0.25">
      <c r="A2223" s="100">
        <v>45762</v>
      </c>
      <c r="B2223" t="str">
        <f t="shared" si="113"/>
        <v>April</v>
      </c>
      <c r="C2223" s="46" t="s">
        <v>280</v>
      </c>
      <c r="F2223" s="366" t="s">
        <v>1558</v>
      </c>
      <c r="G2223" s="46" t="s">
        <v>16</v>
      </c>
      <c r="H2223" s="46">
        <v>2</v>
      </c>
      <c r="I2223" s="51">
        <v>4103.8500000000004</v>
      </c>
      <c r="J2223" s="281">
        <f>++Tabla4[[#This Row],[Precio Bruto]]*1.16</f>
        <v>4760.4660000000003</v>
      </c>
      <c r="K2223" s="281">
        <f>+Tabla4[[#This Row],[Precio Unitario Neto]]*Tabla4[[#Headers],[20.85%]]</f>
        <v>992.55716100000006</v>
      </c>
      <c r="L2223" s="282">
        <f>++Tabla4[[#This Row],[Precio Unitario Neto]]-Tabla4[[#This Row],[20.85%]]</f>
        <v>3767.9088390000002</v>
      </c>
      <c r="M2223" s="282" t="e">
        <f>(INDEX(Tabla6[#All],MATCH(Tabla4[[#This Row],[Producto]],Tabla6[[#All],[PRODUCTO]],0),MATCH(Tabla4[[#This Row],[Mes]],Tabla6[#Headers],0)))*(1+Catalogos!$L$2)</f>
        <v>#N/A</v>
      </c>
      <c r="N2223" s="283" t="e">
        <f>+(Tabla4[[#This Row],[Precio Descontado]]-Tabla4[[#This Row],[Precio Base]])*Tabla4[[#This Row],[Cantidad]]</f>
        <v>#N/A</v>
      </c>
      <c r="O2223" s="284" t="e">
        <f>++Tabla4[[#This Row],[Utilidad Total]]/Tabla4[[#This Row],[Total]]</f>
        <v>#N/A</v>
      </c>
      <c r="P2223" s="282">
        <f>++Tabla4[[#This Row],[Precio Descontado]]*Tabla4[[#This Row],[Cantidad]]</f>
        <v>7535.8176780000003</v>
      </c>
      <c r="Q2223" s="282" t="e">
        <f>(INDEX(Tabla6[#All],MATCH(Tabla4[[#This Row],[Producto]],Tabla6[[#All],[PRODUCTO]],0),MATCH(Tabla4[[#This Row],[Mes]],Tabla6[#Headers],0)))</f>
        <v>#N/A</v>
      </c>
      <c r="R2223" s="282" t="e">
        <f>++Tabla4[[#This Row],[Precio Unitario Neto]]-Tabla4[[#This Row],[20.85%]]-Tabla4[[#This Row],[Costo]]</f>
        <v>#N/A</v>
      </c>
      <c r="S2223" s="282" t="e">
        <f>++Tabla4[[#This Row],[U. Bruta Uni]]*Tabla4[[#This Row],[Cantidad]]</f>
        <v>#N/A</v>
      </c>
      <c r="T2223" s="369" t="str">
        <f>VLOOKUP(Tabla4[[#This Row],[Producto]],Tabla6[#All],14,FALSE)</f>
        <v>Termico Solar</v>
      </c>
      <c r="U2223" s="284" t="e">
        <f>(IF(Tabla4[[#This Row],[Familia]]="termico solar",Tabla4[[#This Row],[Utilidad Total]]*6%,Tabla4[[#This Row],[Utilidad Total]]*11.5%))/Tabla4[[#This Row],[Total]]</f>
        <v>#N/A</v>
      </c>
      <c r="V2223" s="282" t="e">
        <f>+Tabla4[[#This Row],[Comisión Calculada]]*Tabla4[[#This Row],[Total]]</f>
        <v>#N/A</v>
      </c>
    </row>
    <row r="2224" spans="1:22" hidden="1" x14ac:dyDescent="0.25">
      <c r="A2224" s="100">
        <v>45762</v>
      </c>
      <c r="B2224" t="str">
        <f t="shared" si="113"/>
        <v>April</v>
      </c>
      <c r="C2224" s="46" t="s">
        <v>280</v>
      </c>
      <c r="F2224" s="366" t="s">
        <v>1559</v>
      </c>
      <c r="G2224" s="46" t="s">
        <v>83</v>
      </c>
      <c r="H2224" s="46">
        <v>2</v>
      </c>
      <c r="I2224" s="51">
        <v>8858.76</v>
      </c>
      <c r="J2224" s="281">
        <f>++Tabla4[[#This Row],[Precio Bruto]]*1.16</f>
        <v>10276.161599999999</v>
      </c>
      <c r="K2224" s="281">
        <f>+Tabla4[[#This Row],[Precio Unitario Neto]]*Tabla4[[#Headers],[20.85%]]</f>
        <v>2142.5796935999997</v>
      </c>
      <c r="L2224" s="282">
        <f>++Tabla4[[#This Row],[Precio Unitario Neto]]-Tabla4[[#This Row],[20.85%]]</f>
        <v>8133.5819063999998</v>
      </c>
      <c r="M2224" s="282" t="e">
        <f>(INDEX(Tabla6[#All],MATCH(Tabla4[[#This Row],[Producto]],Tabla6[[#All],[PRODUCTO]],0),MATCH(Tabla4[[#This Row],[Mes]],Tabla6[#Headers],0)))*(1+Catalogos!$L$2)</f>
        <v>#N/A</v>
      </c>
      <c r="N2224" s="283" t="e">
        <f>+(Tabla4[[#This Row],[Precio Descontado]]-Tabla4[[#This Row],[Precio Base]])*Tabla4[[#This Row],[Cantidad]]</f>
        <v>#N/A</v>
      </c>
      <c r="O2224" s="284" t="e">
        <f>++Tabla4[[#This Row],[Utilidad Total]]/Tabla4[[#This Row],[Total]]</f>
        <v>#N/A</v>
      </c>
      <c r="P2224" s="282">
        <f>++Tabla4[[#This Row],[Precio Descontado]]*Tabla4[[#This Row],[Cantidad]]</f>
        <v>16267.1638128</v>
      </c>
      <c r="Q2224" s="282" t="e">
        <f>(INDEX(Tabla6[#All],MATCH(Tabla4[[#This Row],[Producto]],Tabla6[[#All],[PRODUCTO]],0),MATCH(Tabla4[[#This Row],[Mes]],Tabla6[#Headers],0)))</f>
        <v>#N/A</v>
      </c>
      <c r="R2224" s="282" t="e">
        <f>++Tabla4[[#This Row],[Precio Unitario Neto]]-Tabla4[[#This Row],[20.85%]]-Tabla4[[#This Row],[Costo]]</f>
        <v>#N/A</v>
      </c>
      <c r="S2224" s="282" t="e">
        <f>++Tabla4[[#This Row],[U. Bruta Uni]]*Tabla4[[#This Row],[Cantidad]]</f>
        <v>#N/A</v>
      </c>
      <c r="T2224" s="369" t="str">
        <f>VLOOKUP(Tabla4[[#This Row],[Producto]],Tabla6[#All],14,FALSE)</f>
        <v>Termico Solar</v>
      </c>
      <c r="U2224" s="284" t="e">
        <f>(IF(Tabla4[[#This Row],[Familia]]="termico solar",Tabla4[[#This Row],[Utilidad Total]]*6%,Tabla4[[#This Row],[Utilidad Total]]*11.5%))/Tabla4[[#This Row],[Total]]</f>
        <v>#N/A</v>
      </c>
      <c r="V2224" s="282" t="e">
        <f>+Tabla4[[#This Row],[Comisión Calculada]]*Tabla4[[#This Row],[Total]]</f>
        <v>#N/A</v>
      </c>
    </row>
    <row r="2225" spans="1:22" hidden="1" x14ac:dyDescent="0.25">
      <c r="A2225" s="100">
        <v>45762</v>
      </c>
      <c r="B2225" t="str">
        <f t="shared" si="113"/>
        <v>April</v>
      </c>
      <c r="C2225" s="46" t="s">
        <v>280</v>
      </c>
      <c r="F2225" s="366" t="s">
        <v>1559</v>
      </c>
      <c r="G2225" s="46" t="s">
        <v>17</v>
      </c>
      <c r="H2225" s="46">
        <v>2</v>
      </c>
      <c r="I2225" s="51">
        <v>4622.28</v>
      </c>
      <c r="J2225" s="281">
        <f>++Tabla4[[#This Row],[Precio Bruto]]*1.16</f>
        <v>5361.8447999999989</v>
      </c>
      <c r="K2225" s="281">
        <f>+Tabla4[[#This Row],[Precio Unitario Neto]]*Tabla4[[#Headers],[20.85%]]</f>
        <v>1117.9446407999997</v>
      </c>
      <c r="L2225" s="282">
        <f>++Tabla4[[#This Row],[Precio Unitario Neto]]-Tabla4[[#This Row],[20.85%]]</f>
        <v>4243.9001591999995</v>
      </c>
      <c r="M2225" s="282" t="e">
        <f>(INDEX(Tabla6[#All],MATCH(Tabla4[[#This Row],[Producto]],Tabla6[[#All],[PRODUCTO]],0),MATCH(Tabla4[[#This Row],[Mes]],Tabla6[#Headers],0)))*(1+Catalogos!$L$2)</f>
        <v>#N/A</v>
      </c>
      <c r="N2225" s="283" t="e">
        <f>+(Tabla4[[#This Row],[Precio Descontado]]-Tabla4[[#This Row],[Precio Base]])*Tabla4[[#This Row],[Cantidad]]</f>
        <v>#N/A</v>
      </c>
      <c r="O2225" s="284" t="e">
        <f>++Tabla4[[#This Row],[Utilidad Total]]/Tabla4[[#This Row],[Total]]</f>
        <v>#N/A</v>
      </c>
      <c r="P2225" s="282">
        <f>++Tabla4[[#This Row],[Precio Descontado]]*Tabla4[[#This Row],[Cantidad]]</f>
        <v>8487.800318399999</v>
      </c>
      <c r="Q2225" s="282" t="e">
        <f>(INDEX(Tabla6[#All],MATCH(Tabla4[[#This Row],[Producto]],Tabla6[[#All],[PRODUCTO]],0),MATCH(Tabla4[[#This Row],[Mes]],Tabla6[#Headers],0)))</f>
        <v>#N/A</v>
      </c>
      <c r="R2225" s="282" t="e">
        <f>++Tabla4[[#This Row],[Precio Unitario Neto]]-Tabla4[[#This Row],[20.85%]]-Tabla4[[#This Row],[Costo]]</f>
        <v>#N/A</v>
      </c>
      <c r="S2225" s="282" t="e">
        <f>++Tabla4[[#This Row],[U. Bruta Uni]]*Tabla4[[#This Row],[Cantidad]]</f>
        <v>#N/A</v>
      </c>
      <c r="T2225" s="369" t="str">
        <f>VLOOKUP(Tabla4[[#This Row],[Producto]],Tabla6[#All],14,FALSE)</f>
        <v>Termico Solar</v>
      </c>
      <c r="U2225" s="284" t="e">
        <f>(IF(Tabla4[[#This Row],[Familia]]="termico solar",Tabla4[[#This Row],[Utilidad Total]]*6%,Tabla4[[#This Row],[Utilidad Total]]*11.5%))/Tabla4[[#This Row],[Total]]</f>
        <v>#N/A</v>
      </c>
      <c r="V2225" s="282" t="e">
        <f>+Tabla4[[#This Row],[Comisión Calculada]]*Tabla4[[#This Row],[Total]]</f>
        <v>#N/A</v>
      </c>
    </row>
    <row r="2226" spans="1:22" hidden="1" x14ac:dyDescent="0.25">
      <c r="A2226" s="100">
        <v>45762</v>
      </c>
      <c r="B2226" t="str">
        <f t="shared" si="113"/>
        <v>April</v>
      </c>
      <c r="C2226" s="46" t="s">
        <v>280</v>
      </c>
      <c r="F2226" s="366" t="s">
        <v>1559</v>
      </c>
      <c r="G2226" s="46" t="s">
        <v>208</v>
      </c>
      <c r="H2226" s="46">
        <v>1</v>
      </c>
      <c r="I2226" s="51">
        <v>189.75</v>
      </c>
      <c r="J2226" s="281">
        <f>++Tabla4[[#This Row],[Precio Bruto]]*1.16</f>
        <v>220.10999999999999</v>
      </c>
      <c r="K2226" s="281">
        <f>+Tabla4[[#This Row],[Precio Unitario Neto]]*Tabla4[[#Headers],[20.85%]]</f>
        <v>45.892934999999994</v>
      </c>
      <c r="L2226" s="282">
        <f>++Tabla4[[#This Row],[Precio Unitario Neto]]-Tabla4[[#This Row],[20.85%]]</f>
        <v>174.21706499999999</v>
      </c>
      <c r="M2226" s="282" t="e">
        <f>(INDEX(Tabla6[#All],MATCH(Tabla4[[#This Row],[Producto]],Tabla6[[#All],[PRODUCTO]],0),MATCH(Tabla4[[#This Row],[Mes]],Tabla6[#Headers],0)))*(1+Catalogos!$L$2)</f>
        <v>#N/A</v>
      </c>
      <c r="N2226" s="283" t="e">
        <f>+(Tabla4[[#This Row],[Precio Descontado]]-Tabla4[[#This Row],[Precio Base]])*Tabla4[[#This Row],[Cantidad]]</f>
        <v>#N/A</v>
      </c>
      <c r="O2226" s="284" t="e">
        <f>++Tabla4[[#This Row],[Utilidad Total]]/Tabla4[[#This Row],[Total]]</f>
        <v>#N/A</v>
      </c>
      <c r="P2226" s="282">
        <f>++Tabla4[[#This Row],[Precio Descontado]]*Tabla4[[#This Row],[Cantidad]]</f>
        <v>174.21706499999999</v>
      </c>
      <c r="Q2226" s="282" t="e">
        <f>(INDEX(Tabla6[#All],MATCH(Tabla4[[#This Row],[Producto]],Tabla6[[#All],[PRODUCTO]],0),MATCH(Tabla4[[#This Row],[Mes]],Tabla6[#Headers],0)))</f>
        <v>#N/A</v>
      </c>
      <c r="R2226" s="282" t="e">
        <f>++Tabla4[[#This Row],[Precio Unitario Neto]]-Tabla4[[#This Row],[20.85%]]-Tabla4[[#This Row],[Costo]]</f>
        <v>#N/A</v>
      </c>
      <c r="S2226" s="282" t="e">
        <f>++Tabla4[[#This Row],[U. Bruta Uni]]*Tabla4[[#This Row],[Cantidad]]</f>
        <v>#N/A</v>
      </c>
      <c r="T2226" s="369" t="str">
        <f>VLOOKUP(Tabla4[[#This Row],[Producto]],Tabla6[#All],14,FALSE)</f>
        <v>Termico Solar</v>
      </c>
      <c r="U2226" s="284" t="e">
        <f>(IF(Tabla4[[#This Row],[Familia]]="termico solar",Tabla4[[#This Row],[Utilidad Total]]*6%,Tabla4[[#This Row],[Utilidad Total]]*11.5%))/Tabla4[[#This Row],[Total]]</f>
        <v>#N/A</v>
      </c>
      <c r="V2226" s="282" t="e">
        <f>+Tabla4[[#This Row],[Comisión Calculada]]*Tabla4[[#This Row],[Total]]</f>
        <v>#N/A</v>
      </c>
    </row>
    <row r="2227" spans="1:22" hidden="1" x14ac:dyDescent="0.25">
      <c r="A2227" s="100">
        <v>45762</v>
      </c>
      <c r="B2227" t="str">
        <f t="shared" ref="B2227:B2232" si="114">TEXT(A2227, "mmmm")</f>
        <v>April</v>
      </c>
      <c r="C2227" s="46" t="s">
        <v>280</v>
      </c>
      <c r="F2227" s="366" t="s">
        <v>1560</v>
      </c>
      <c r="G2227" s="46" t="s">
        <v>394</v>
      </c>
      <c r="H2227" s="46">
        <v>16</v>
      </c>
      <c r="I2227" s="51">
        <v>224.29</v>
      </c>
      <c r="J2227" s="281">
        <f>++Tabla4[[#This Row],[Precio Bruto]]*1.16</f>
        <v>260.1764</v>
      </c>
      <c r="K2227" s="281">
        <f>+Tabla4[[#This Row],[Precio Unitario Neto]]*Tabla4[[#Headers],[20.85%]]</f>
        <v>54.246779400000001</v>
      </c>
      <c r="L2227" s="282">
        <f>++Tabla4[[#This Row],[Precio Unitario Neto]]-Tabla4[[#This Row],[20.85%]]</f>
        <v>205.92962059999999</v>
      </c>
      <c r="M2227" s="282" t="e">
        <f>(INDEX(Tabla6[#All],MATCH(Tabla4[[#This Row],[Producto]],Tabla6[[#All],[PRODUCTO]],0),MATCH(Tabla4[[#This Row],[Mes]],Tabla6[#Headers],0)))*(1+Catalogos!$L$2)</f>
        <v>#N/A</v>
      </c>
      <c r="N2227" s="283" t="e">
        <f>+(Tabla4[[#This Row],[Precio Descontado]]-Tabla4[[#This Row],[Precio Base]])*Tabla4[[#This Row],[Cantidad]]</f>
        <v>#N/A</v>
      </c>
      <c r="O2227" s="284" t="e">
        <f>++Tabla4[[#This Row],[Utilidad Total]]/Tabla4[[#This Row],[Total]]</f>
        <v>#N/A</v>
      </c>
      <c r="P2227" s="282">
        <f>++Tabla4[[#This Row],[Precio Descontado]]*Tabla4[[#This Row],[Cantidad]]</f>
        <v>3294.8739295999999</v>
      </c>
      <c r="Q2227" s="282" t="e">
        <f>(INDEX(Tabla6[#All],MATCH(Tabla4[[#This Row],[Producto]],Tabla6[[#All],[PRODUCTO]],0),MATCH(Tabla4[[#This Row],[Mes]],Tabla6[#Headers],0)))</f>
        <v>#N/A</v>
      </c>
      <c r="R2227" s="282" t="e">
        <f>++Tabla4[[#This Row],[Precio Unitario Neto]]-Tabla4[[#This Row],[20.85%]]-Tabla4[[#This Row],[Costo]]</f>
        <v>#N/A</v>
      </c>
      <c r="S2227" s="282" t="e">
        <f>++Tabla4[[#This Row],[U. Bruta Uni]]*Tabla4[[#This Row],[Cantidad]]</f>
        <v>#N/A</v>
      </c>
      <c r="T2227" s="369" t="str">
        <f>VLOOKUP(Tabla4[[#This Row],[Producto]],Tabla6[#All],14,FALSE)</f>
        <v>Termico Solar</v>
      </c>
      <c r="U2227" s="284" t="e">
        <f>(IF(Tabla4[[#This Row],[Familia]]="termico solar",Tabla4[[#This Row],[Utilidad Total]]*6%,Tabla4[[#This Row],[Utilidad Total]]*11.5%))/Tabla4[[#This Row],[Total]]</f>
        <v>#N/A</v>
      </c>
      <c r="V2227" s="282" t="e">
        <f>+Tabla4[[#This Row],[Comisión Calculada]]*Tabla4[[#This Row],[Total]]</f>
        <v>#N/A</v>
      </c>
    </row>
    <row r="2228" spans="1:22" hidden="1" x14ac:dyDescent="0.25">
      <c r="A2228" s="100">
        <v>45762</v>
      </c>
      <c r="B2228" t="str">
        <f t="shared" si="114"/>
        <v>April</v>
      </c>
      <c r="C2228" s="46" t="s">
        <v>280</v>
      </c>
      <c r="F2228" s="366" t="s">
        <v>1560</v>
      </c>
      <c r="G2228" s="46" t="s">
        <v>200</v>
      </c>
      <c r="H2228" s="46">
        <v>12</v>
      </c>
      <c r="I2228" s="51">
        <v>393.22</v>
      </c>
      <c r="J2228" s="281">
        <f>++Tabla4[[#This Row],[Precio Bruto]]*1.16</f>
        <v>456.1352</v>
      </c>
      <c r="K2228" s="281">
        <f>+Tabla4[[#This Row],[Precio Unitario Neto]]*Tabla4[[#Headers],[20.85%]]</f>
        <v>95.104189199999993</v>
      </c>
      <c r="L2228" s="282">
        <f>++Tabla4[[#This Row],[Precio Unitario Neto]]-Tabla4[[#This Row],[20.85%]]</f>
        <v>361.03101079999999</v>
      </c>
      <c r="M2228" s="282" t="e">
        <f>(INDEX(Tabla6[#All],MATCH(Tabla4[[#This Row],[Producto]],Tabla6[[#All],[PRODUCTO]],0),MATCH(Tabla4[[#This Row],[Mes]],Tabla6[#Headers],0)))*(1+Catalogos!$L$2)</f>
        <v>#N/A</v>
      </c>
      <c r="N2228" s="283" t="e">
        <f>+(Tabla4[[#This Row],[Precio Descontado]]-Tabla4[[#This Row],[Precio Base]])*Tabla4[[#This Row],[Cantidad]]</f>
        <v>#N/A</v>
      </c>
      <c r="O2228" s="284" t="e">
        <f>++Tabla4[[#This Row],[Utilidad Total]]/Tabla4[[#This Row],[Total]]</f>
        <v>#N/A</v>
      </c>
      <c r="P2228" s="282">
        <f>++Tabla4[[#This Row],[Precio Descontado]]*Tabla4[[#This Row],[Cantidad]]</f>
        <v>4332.3721296000003</v>
      </c>
      <c r="Q2228" s="282" t="e">
        <f>(INDEX(Tabla6[#All],MATCH(Tabla4[[#This Row],[Producto]],Tabla6[[#All],[PRODUCTO]],0),MATCH(Tabla4[[#This Row],[Mes]],Tabla6[#Headers],0)))</f>
        <v>#N/A</v>
      </c>
      <c r="R2228" s="282" t="e">
        <f>++Tabla4[[#This Row],[Precio Unitario Neto]]-Tabla4[[#This Row],[20.85%]]-Tabla4[[#This Row],[Costo]]</f>
        <v>#N/A</v>
      </c>
      <c r="S2228" s="282" t="e">
        <f>++Tabla4[[#This Row],[U. Bruta Uni]]*Tabla4[[#This Row],[Cantidad]]</f>
        <v>#N/A</v>
      </c>
      <c r="T2228" s="369" t="str">
        <f>VLOOKUP(Tabla4[[#This Row],[Producto]],Tabla6[#All],14,FALSE)</f>
        <v>Termico Solar</v>
      </c>
      <c r="U2228" s="284" t="e">
        <f>(IF(Tabla4[[#This Row],[Familia]]="termico solar",Tabla4[[#This Row],[Utilidad Total]]*6%,Tabla4[[#This Row],[Utilidad Total]]*11.5%))/Tabla4[[#This Row],[Total]]</f>
        <v>#N/A</v>
      </c>
      <c r="V2228" s="282" t="e">
        <f>+Tabla4[[#This Row],[Comisión Calculada]]*Tabla4[[#This Row],[Total]]</f>
        <v>#N/A</v>
      </c>
    </row>
    <row r="2229" spans="1:22" hidden="1" x14ac:dyDescent="0.25">
      <c r="A2229" s="100">
        <v>45762</v>
      </c>
      <c r="B2229" t="str">
        <f t="shared" si="114"/>
        <v>April</v>
      </c>
      <c r="C2229" s="46" t="s">
        <v>280</v>
      </c>
      <c r="F2229" s="366" t="s">
        <v>1560</v>
      </c>
      <c r="G2229" s="46" t="s">
        <v>555</v>
      </c>
      <c r="H2229" s="46">
        <v>8</v>
      </c>
      <c r="I2229" s="51">
        <v>389.47</v>
      </c>
      <c r="J2229" s="281">
        <f>++Tabla4[[#This Row],[Precio Bruto]]*1.16</f>
        <v>451.78519999999997</v>
      </c>
      <c r="K2229" s="281">
        <f>+Tabla4[[#This Row],[Precio Unitario Neto]]*Tabla4[[#Headers],[20.85%]]</f>
        <v>94.197214199999991</v>
      </c>
      <c r="L2229" s="282">
        <f>++Tabla4[[#This Row],[Precio Unitario Neto]]-Tabla4[[#This Row],[20.85%]]</f>
        <v>357.58798579999996</v>
      </c>
      <c r="M2229" s="282" t="e">
        <f>(INDEX(Tabla6[#All],MATCH(Tabla4[[#This Row],[Producto]],Tabla6[[#All],[PRODUCTO]],0),MATCH(Tabla4[[#This Row],[Mes]],Tabla6[#Headers],0)))*(1+Catalogos!$L$2)</f>
        <v>#N/A</v>
      </c>
      <c r="N2229" s="283" t="e">
        <f>+(Tabla4[[#This Row],[Precio Descontado]]-Tabla4[[#This Row],[Precio Base]])*Tabla4[[#This Row],[Cantidad]]</f>
        <v>#N/A</v>
      </c>
      <c r="O2229" s="284" t="e">
        <f>++Tabla4[[#This Row],[Utilidad Total]]/Tabla4[[#This Row],[Total]]</f>
        <v>#N/A</v>
      </c>
      <c r="P2229" s="282">
        <f>++Tabla4[[#This Row],[Precio Descontado]]*Tabla4[[#This Row],[Cantidad]]</f>
        <v>2860.7038863999996</v>
      </c>
      <c r="Q2229" s="282" t="e">
        <f>(INDEX(Tabla6[#All],MATCH(Tabla4[[#This Row],[Producto]],Tabla6[[#All],[PRODUCTO]],0),MATCH(Tabla4[[#This Row],[Mes]],Tabla6[#Headers],0)))</f>
        <v>#N/A</v>
      </c>
      <c r="R2229" s="282" t="e">
        <f>++Tabla4[[#This Row],[Precio Unitario Neto]]-Tabla4[[#This Row],[20.85%]]-Tabla4[[#This Row],[Costo]]</f>
        <v>#N/A</v>
      </c>
      <c r="S2229" s="282" t="e">
        <f>++Tabla4[[#This Row],[U. Bruta Uni]]*Tabla4[[#This Row],[Cantidad]]</f>
        <v>#N/A</v>
      </c>
      <c r="T2229" s="369" t="str">
        <f>VLOOKUP(Tabla4[[#This Row],[Producto]],Tabla6[#All],14,FALSE)</f>
        <v>Termico Solar</v>
      </c>
      <c r="U2229" s="284" t="e">
        <f>(IF(Tabla4[[#This Row],[Familia]]="termico solar",Tabla4[[#This Row],[Utilidad Total]]*6%,Tabla4[[#This Row],[Utilidad Total]]*11.5%))/Tabla4[[#This Row],[Total]]</f>
        <v>#N/A</v>
      </c>
      <c r="V2229" s="282" t="e">
        <f>+Tabla4[[#This Row],[Comisión Calculada]]*Tabla4[[#This Row],[Total]]</f>
        <v>#N/A</v>
      </c>
    </row>
    <row r="2230" spans="1:22" hidden="1" x14ac:dyDescent="0.25">
      <c r="A2230" s="100">
        <v>45762</v>
      </c>
      <c r="B2230" t="str">
        <f t="shared" si="114"/>
        <v>April</v>
      </c>
      <c r="C2230" s="46" t="s">
        <v>280</v>
      </c>
      <c r="F2230" s="366" t="s">
        <v>1560</v>
      </c>
      <c r="G2230" s="46" t="s">
        <v>545</v>
      </c>
      <c r="H2230" s="46">
        <v>24</v>
      </c>
      <c r="I2230" s="51">
        <v>304.32</v>
      </c>
      <c r="J2230" s="281">
        <f>++Tabla4[[#This Row],[Precio Bruto]]*1.16</f>
        <v>353.01119999999997</v>
      </c>
      <c r="K2230" s="281">
        <f>+Tabla4[[#This Row],[Precio Unitario Neto]]*Tabla4[[#Headers],[20.85%]]</f>
        <v>73.602835199999987</v>
      </c>
      <c r="L2230" s="282">
        <f>++Tabla4[[#This Row],[Precio Unitario Neto]]-Tabla4[[#This Row],[20.85%]]</f>
        <v>279.40836479999996</v>
      </c>
      <c r="M2230" s="282" t="e">
        <f>(INDEX(Tabla6[#All],MATCH(Tabla4[[#This Row],[Producto]],Tabla6[[#All],[PRODUCTO]],0),MATCH(Tabla4[[#This Row],[Mes]],Tabla6[#Headers],0)))*(1+Catalogos!$L$2)</f>
        <v>#N/A</v>
      </c>
      <c r="N2230" s="283" t="e">
        <f>+(Tabla4[[#This Row],[Precio Descontado]]-Tabla4[[#This Row],[Precio Base]])*Tabla4[[#This Row],[Cantidad]]</f>
        <v>#N/A</v>
      </c>
      <c r="O2230" s="284" t="e">
        <f>++Tabla4[[#This Row],[Utilidad Total]]/Tabla4[[#This Row],[Total]]</f>
        <v>#N/A</v>
      </c>
      <c r="P2230" s="282">
        <f>++Tabla4[[#This Row],[Precio Descontado]]*Tabla4[[#This Row],[Cantidad]]</f>
        <v>6705.800755199999</v>
      </c>
      <c r="Q2230" s="282" t="e">
        <f>(INDEX(Tabla6[#All],MATCH(Tabla4[[#This Row],[Producto]],Tabla6[[#All],[PRODUCTO]],0),MATCH(Tabla4[[#This Row],[Mes]],Tabla6[#Headers],0)))</f>
        <v>#N/A</v>
      </c>
      <c r="R2230" s="282" t="e">
        <f>++Tabla4[[#This Row],[Precio Unitario Neto]]-Tabla4[[#This Row],[20.85%]]-Tabla4[[#This Row],[Costo]]</f>
        <v>#N/A</v>
      </c>
      <c r="S2230" s="282" t="e">
        <f>++Tabla4[[#This Row],[U. Bruta Uni]]*Tabla4[[#This Row],[Cantidad]]</f>
        <v>#N/A</v>
      </c>
      <c r="T2230" s="369" t="str">
        <f>VLOOKUP(Tabla4[[#This Row],[Producto]],Tabla6[#All],14,FALSE)</f>
        <v>Termico Solar</v>
      </c>
      <c r="U2230" s="284" t="e">
        <f>(IF(Tabla4[[#This Row],[Familia]]="termico solar",Tabla4[[#This Row],[Utilidad Total]]*6%,Tabla4[[#This Row],[Utilidad Total]]*11.5%))/Tabla4[[#This Row],[Total]]</f>
        <v>#N/A</v>
      </c>
      <c r="V2230" s="282" t="e">
        <f>+Tabla4[[#This Row],[Comisión Calculada]]*Tabla4[[#This Row],[Total]]</f>
        <v>#N/A</v>
      </c>
    </row>
    <row r="2231" spans="1:22" hidden="1" x14ac:dyDescent="0.25">
      <c r="A2231" s="100">
        <v>45762</v>
      </c>
      <c r="B2231" t="str">
        <f t="shared" si="114"/>
        <v>April</v>
      </c>
      <c r="C2231" s="46" t="s">
        <v>280</v>
      </c>
      <c r="F2231" s="366" t="s">
        <v>1560</v>
      </c>
      <c r="G2231" s="46" t="s">
        <v>208</v>
      </c>
      <c r="H2231" s="46">
        <v>4</v>
      </c>
      <c r="I2231" s="51">
        <v>189.75</v>
      </c>
      <c r="J2231" s="281">
        <f>++Tabla4[[#This Row],[Precio Bruto]]*1.16</f>
        <v>220.10999999999999</v>
      </c>
      <c r="K2231" s="281">
        <f>+Tabla4[[#This Row],[Precio Unitario Neto]]*Tabla4[[#Headers],[20.85%]]</f>
        <v>45.892934999999994</v>
      </c>
      <c r="L2231" s="282">
        <f>++Tabla4[[#This Row],[Precio Unitario Neto]]-Tabla4[[#This Row],[20.85%]]</f>
        <v>174.21706499999999</v>
      </c>
      <c r="M2231" s="282" t="e">
        <f>(INDEX(Tabla6[#All],MATCH(Tabla4[[#This Row],[Producto]],Tabla6[[#All],[PRODUCTO]],0),MATCH(Tabla4[[#This Row],[Mes]],Tabla6[#Headers],0)))*(1+Catalogos!$L$2)</f>
        <v>#N/A</v>
      </c>
      <c r="N2231" s="283" t="e">
        <f>+(Tabla4[[#This Row],[Precio Descontado]]-Tabla4[[#This Row],[Precio Base]])*Tabla4[[#This Row],[Cantidad]]</f>
        <v>#N/A</v>
      </c>
      <c r="O2231" s="284" t="e">
        <f>++Tabla4[[#This Row],[Utilidad Total]]/Tabla4[[#This Row],[Total]]</f>
        <v>#N/A</v>
      </c>
      <c r="P2231" s="282">
        <f>++Tabla4[[#This Row],[Precio Descontado]]*Tabla4[[#This Row],[Cantidad]]</f>
        <v>696.86825999999996</v>
      </c>
      <c r="Q2231" s="282" t="e">
        <f>(INDEX(Tabla6[#All],MATCH(Tabla4[[#This Row],[Producto]],Tabla6[[#All],[PRODUCTO]],0),MATCH(Tabla4[[#This Row],[Mes]],Tabla6[#Headers],0)))</f>
        <v>#N/A</v>
      </c>
      <c r="R2231" s="282" t="e">
        <f>++Tabla4[[#This Row],[Precio Unitario Neto]]-Tabla4[[#This Row],[20.85%]]-Tabla4[[#This Row],[Costo]]</f>
        <v>#N/A</v>
      </c>
      <c r="S2231" s="282" t="e">
        <f>++Tabla4[[#This Row],[U. Bruta Uni]]*Tabla4[[#This Row],[Cantidad]]</f>
        <v>#N/A</v>
      </c>
      <c r="T2231" s="369" t="str">
        <f>VLOOKUP(Tabla4[[#This Row],[Producto]],Tabla6[#All],14,FALSE)</f>
        <v>Termico Solar</v>
      </c>
      <c r="U2231" s="284" t="e">
        <f>(IF(Tabla4[[#This Row],[Familia]]="termico solar",Tabla4[[#This Row],[Utilidad Total]]*6%,Tabla4[[#This Row],[Utilidad Total]]*11.5%))/Tabla4[[#This Row],[Total]]</f>
        <v>#N/A</v>
      </c>
      <c r="V2231" s="282" t="e">
        <f>+Tabla4[[#This Row],[Comisión Calculada]]*Tabla4[[#This Row],[Total]]</f>
        <v>#N/A</v>
      </c>
    </row>
    <row r="2232" spans="1:22" hidden="1" x14ac:dyDescent="0.25">
      <c r="A2232" s="100">
        <v>45762</v>
      </c>
      <c r="B2232" t="str">
        <f t="shared" si="114"/>
        <v>April</v>
      </c>
      <c r="C2232" s="46" t="s">
        <v>280</v>
      </c>
      <c r="F2232" s="366" t="s">
        <v>1560</v>
      </c>
      <c r="G2232" s="46" t="s">
        <v>209</v>
      </c>
      <c r="H2232" s="46">
        <v>4</v>
      </c>
      <c r="I2232" s="51">
        <v>347.48</v>
      </c>
      <c r="J2232" s="281">
        <f>++Tabla4[[#This Row],[Precio Bruto]]*1.16</f>
        <v>403.07679999999999</v>
      </c>
      <c r="K2232" s="281">
        <f>+Tabla4[[#This Row],[Precio Unitario Neto]]*Tabla4[[#Headers],[20.85%]]</f>
        <v>84.041512799999992</v>
      </c>
      <c r="L2232" s="282">
        <f>++Tabla4[[#This Row],[Precio Unitario Neto]]-Tabla4[[#This Row],[20.85%]]</f>
        <v>319.03528719999997</v>
      </c>
      <c r="M2232" s="282" t="e">
        <f>(INDEX(Tabla6[#All],MATCH(Tabla4[[#This Row],[Producto]],Tabla6[[#All],[PRODUCTO]],0),MATCH(Tabla4[[#This Row],[Mes]],Tabla6[#Headers],0)))*(1+Catalogos!$L$2)</f>
        <v>#N/A</v>
      </c>
      <c r="N2232" s="283" t="e">
        <f>+(Tabla4[[#This Row],[Precio Descontado]]-Tabla4[[#This Row],[Precio Base]])*Tabla4[[#This Row],[Cantidad]]</f>
        <v>#N/A</v>
      </c>
      <c r="O2232" s="284" t="e">
        <f>++Tabla4[[#This Row],[Utilidad Total]]/Tabla4[[#This Row],[Total]]</f>
        <v>#N/A</v>
      </c>
      <c r="P2232" s="282">
        <f>++Tabla4[[#This Row],[Precio Descontado]]*Tabla4[[#This Row],[Cantidad]]</f>
        <v>1276.1411487999999</v>
      </c>
      <c r="Q2232" s="282" t="e">
        <f>(INDEX(Tabla6[#All],MATCH(Tabla4[[#This Row],[Producto]],Tabla6[[#All],[PRODUCTO]],0),MATCH(Tabla4[[#This Row],[Mes]],Tabla6[#Headers],0)))</f>
        <v>#N/A</v>
      </c>
      <c r="R2232" s="282" t="e">
        <f>++Tabla4[[#This Row],[Precio Unitario Neto]]-Tabla4[[#This Row],[20.85%]]-Tabla4[[#This Row],[Costo]]</f>
        <v>#N/A</v>
      </c>
      <c r="S2232" s="282" t="e">
        <f>++Tabla4[[#This Row],[U. Bruta Uni]]*Tabla4[[#This Row],[Cantidad]]</f>
        <v>#N/A</v>
      </c>
      <c r="T2232" s="369" t="str">
        <f>VLOOKUP(Tabla4[[#This Row],[Producto]],Tabla6[#All],14,FALSE)</f>
        <v>Termico Solar</v>
      </c>
      <c r="U2232" s="284" t="e">
        <f>(IF(Tabla4[[#This Row],[Familia]]="termico solar",Tabla4[[#This Row],[Utilidad Total]]*6%,Tabla4[[#This Row],[Utilidad Total]]*11.5%))/Tabla4[[#This Row],[Total]]</f>
        <v>#N/A</v>
      </c>
      <c r="V2232" s="282" t="e">
        <f>+Tabla4[[#This Row],[Comisión Calculada]]*Tabla4[[#This Row],[Total]]</f>
        <v>#N/A</v>
      </c>
    </row>
    <row r="2233" spans="1:22" hidden="1" x14ac:dyDescent="0.25">
      <c r="A2233" s="100">
        <v>45762</v>
      </c>
      <c r="B2233" t="str">
        <f t="shared" ref="B2233:B2279" si="115">TEXT(A2233, "mmmm")</f>
        <v>April</v>
      </c>
      <c r="C2233" s="46" t="s">
        <v>280</v>
      </c>
      <c r="F2233" s="366" t="s">
        <v>1561</v>
      </c>
      <c r="G2233" s="46" t="s">
        <v>83</v>
      </c>
      <c r="H2233" s="46">
        <v>2</v>
      </c>
      <c r="I2233" s="51">
        <v>8858.76</v>
      </c>
      <c r="J2233" s="281">
        <f>++Tabla4[[#This Row],[Precio Bruto]]*1.16</f>
        <v>10276.161599999999</v>
      </c>
      <c r="K2233" s="281">
        <f>+Tabla4[[#This Row],[Precio Unitario Neto]]*Tabla4[[#Headers],[20.85%]]</f>
        <v>2142.5796935999997</v>
      </c>
      <c r="L2233" s="282">
        <f>++Tabla4[[#This Row],[Precio Unitario Neto]]-Tabla4[[#This Row],[20.85%]]</f>
        <v>8133.5819063999998</v>
      </c>
      <c r="M2233" s="282" t="e">
        <f>(INDEX(Tabla6[#All],MATCH(Tabla4[[#This Row],[Producto]],Tabla6[[#All],[PRODUCTO]],0),MATCH(Tabla4[[#This Row],[Mes]],Tabla6[#Headers],0)))*(1+Catalogos!$L$2)</f>
        <v>#N/A</v>
      </c>
      <c r="N2233" s="283" t="e">
        <f>+(Tabla4[[#This Row],[Precio Descontado]]-Tabla4[[#This Row],[Precio Base]])*Tabla4[[#This Row],[Cantidad]]</f>
        <v>#N/A</v>
      </c>
      <c r="O2233" s="284" t="e">
        <f>++Tabla4[[#This Row],[Utilidad Total]]/Tabla4[[#This Row],[Total]]</f>
        <v>#N/A</v>
      </c>
      <c r="P2233" s="282">
        <f>++Tabla4[[#This Row],[Precio Descontado]]*Tabla4[[#This Row],[Cantidad]]</f>
        <v>16267.1638128</v>
      </c>
      <c r="Q2233" s="282" t="e">
        <f>(INDEX(Tabla6[#All],MATCH(Tabla4[[#This Row],[Producto]],Tabla6[[#All],[PRODUCTO]],0),MATCH(Tabla4[[#This Row],[Mes]],Tabla6[#Headers],0)))</f>
        <v>#N/A</v>
      </c>
      <c r="R2233" s="282" t="e">
        <f>++Tabla4[[#This Row],[Precio Unitario Neto]]-Tabla4[[#This Row],[20.85%]]-Tabla4[[#This Row],[Costo]]</f>
        <v>#N/A</v>
      </c>
      <c r="S2233" s="282" t="e">
        <f>++Tabla4[[#This Row],[U. Bruta Uni]]*Tabla4[[#This Row],[Cantidad]]</f>
        <v>#N/A</v>
      </c>
      <c r="T2233" s="369" t="str">
        <f>VLOOKUP(Tabla4[[#This Row],[Producto]],Tabla6[#All],14,FALSE)</f>
        <v>Termico Solar</v>
      </c>
      <c r="U2233" s="284" t="e">
        <f>(IF(Tabla4[[#This Row],[Familia]]="termico solar",Tabla4[[#This Row],[Utilidad Total]]*6%,Tabla4[[#This Row],[Utilidad Total]]*11.5%))/Tabla4[[#This Row],[Total]]</f>
        <v>#N/A</v>
      </c>
      <c r="V2233" s="282" t="e">
        <f>+Tabla4[[#This Row],[Comisión Calculada]]*Tabla4[[#This Row],[Total]]</f>
        <v>#N/A</v>
      </c>
    </row>
    <row r="2234" spans="1:22" hidden="1" x14ac:dyDescent="0.25">
      <c r="A2234" s="100">
        <v>45762</v>
      </c>
      <c r="B2234" t="str">
        <f t="shared" si="115"/>
        <v>April</v>
      </c>
      <c r="C2234" s="46" t="s">
        <v>280</v>
      </c>
      <c r="F2234" s="366" t="s">
        <v>1561</v>
      </c>
      <c r="G2234" s="46" t="s">
        <v>17</v>
      </c>
      <c r="H2234" s="46">
        <v>6</v>
      </c>
      <c r="I2234" s="51">
        <v>4622.28</v>
      </c>
      <c r="J2234" s="281">
        <f>++Tabla4[[#This Row],[Precio Bruto]]*1.16</f>
        <v>5361.8447999999989</v>
      </c>
      <c r="K2234" s="281">
        <f>+Tabla4[[#This Row],[Precio Unitario Neto]]*Tabla4[[#Headers],[20.85%]]</f>
        <v>1117.9446407999997</v>
      </c>
      <c r="L2234" s="282">
        <f>++Tabla4[[#This Row],[Precio Unitario Neto]]-Tabla4[[#This Row],[20.85%]]</f>
        <v>4243.9001591999995</v>
      </c>
      <c r="M2234" s="282" t="e">
        <f>(INDEX(Tabla6[#All],MATCH(Tabla4[[#This Row],[Producto]],Tabla6[[#All],[PRODUCTO]],0),MATCH(Tabla4[[#This Row],[Mes]],Tabla6[#Headers],0)))*(1+Catalogos!$L$2)</f>
        <v>#N/A</v>
      </c>
      <c r="N2234" s="283" t="e">
        <f>+(Tabla4[[#This Row],[Precio Descontado]]-Tabla4[[#This Row],[Precio Base]])*Tabla4[[#This Row],[Cantidad]]</f>
        <v>#N/A</v>
      </c>
      <c r="O2234" s="284" t="e">
        <f>++Tabla4[[#This Row],[Utilidad Total]]/Tabla4[[#This Row],[Total]]</f>
        <v>#N/A</v>
      </c>
      <c r="P2234" s="282">
        <f>++Tabla4[[#This Row],[Precio Descontado]]*Tabla4[[#This Row],[Cantidad]]</f>
        <v>25463.400955199999</v>
      </c>
      <c r="Q2234" s="282" t="e">
        <f>(INDEX(Tabla6[#All],MATCH(Tabla4[[#This Row],[Producto]],Tabla6[[#All],[PRODUCTO]],0),MATCH(Tabla4[[#This Row],[Mes]],Tabla6[#Headers],0)))</f>
        <v>#N/A</v>
      </c>
      <c r="R2234" s="282" t="e">
        <f>++Tabla4[[#This Row],[Precio Unitario Neto]]-Tabla4[[#This Row],[20.85%]]-Tabla4[[#This Row],[Costo]]</f>
        <v>#N/A</v>
      </c>
      <c r="S2234" s="282" t="e">
        <f>++Tabla4[[#This Row],[U. Bruta Uni]]*Tabla4[[#This Row],[Cantidad]]</f>
        <v>#N/A</v>
      </c>
      <c r="T2234" s="369" t="str">
        <f>VLOOKUP(Tabla4[[#This Row],[Producto]],Tabla6[#All],14,FALSE)</f>
        <v>Termico Solar</v>
      </c>
      <c r="U2234" s="284" t="e">
        <f>(IF(Tabla4[[#This Row],[Familia]]="termico solar",Tabla4[[#This Row],[Utilidad Total]]*6%,Tabla4[[#This Row],[Utilidad Total]]*11.5%))/Tabla4[[#This Row],[Total]]</f>
        <v>#N/A</v>
      </c>
      <c r="V2234" s="282" t="e">
        <f>+Tabla4[[#This Row],[Comisión Calculada]]*Tabla4[[#This Row],[Total]]</f>
        <v>#N/A</v>
      </c>
    </row>
    <row r="2235" spans="1:22" hidden="1" x14ac:dyDescent="0.25">
      <c r="A2235" s="100">
        <v>45762</v>
      </c>
      <c r="B2235" t="str">
        <f t="shared" si="115"/>
        <v>April</v>
      </c>
      <c r="C2235" s="46" t="s">
        <v>280</v>
      </c>
      <c r="F2235" s="366" t="s">
        <v>1561</v>
      </c>
      <c r="G2235" s="46" t="s">
        <v>18</v>
      </c>
      <c r="H2235" s="46">
        <v>3</v>
      </c>
      <c r="I2235" s="51">
        <v>5367.6500000000005</v>
      </c>
      <c r="J2235" s="281">
        <f>++Tabla4[[#This Row],[Precio Bruto]]*1.16</f>
        <v>6226.4740000000002</v>
      </c>
      <c r="K2235" s="281">
        <f>+Tabla4[[#This Row],[Precio Unitario Neto]]*Tabla4[[#Headers],[20.85%]]</f>
        <v>1298.2198289999999</v>
      </c>
      <c r="L2235" s="282">
        <f>++Tabla4[[#This Row],[Precio Unitario Neto]]-Tabla4[[#This Row],[20.85%]]</f>
        <v>4928.2541710000005</v>
      </c>
      <c r="M2235" s="282" t="e">
        <f>(INDEX(Tabla6[#All],MATCH(Tabla4[[#This Row],[Producto]],Tabla6[[#All],[PRODUCTO]],0),MATCH(Tabla4[[#This Row],[Mes]],Tabla6[#Headers],0)))*(1+Catalogos!$L$2)</f>
        <v>#N/A</v>
      </c>
      <c r="N2235" s="283" t="e">
        <f>+(Tabla4[[#This Row],[Precio Descontado]]-Tabla4[[#This Row],[Precio Base]])*Tabla4[[#This Row],[Cantidad]]</f>
        <v>#N/A</v>
      </c>
      <c r="O2235" s="284" t="e">
        <f>++Tabla4[[#This Row],[Utilidad Total]]/Tabla4[[#This Row],[Total]]</f>
        <v>#N/A</v>
      </c>
      <c r="P2235" s="282">
        <f>++Tabla4[[#This Row],[Precio Descontado]]*Tabla4[[#This Row],[Cantidad]]</f>
        <v>14784.762513000001</v>
      </c>
      <c r="Q2235" s="282" t="e">
        <f>(INDEX(Tabla6[#All],MATCH(Tabla4[[#This Row],[Producto]],Tabla6[[#All],[PRODUCTO]],0),MATCH(Tabla4[[#This Row],[Mes]],Tabla6[#Headers],0)))</f>
        <v>#N/A</v>
      </c>
      <c r="R2235" s="282" t="e">
        <f>++Tabla4[[#This Row],[Precio Unitario Neto]]-Tabla4[[#This Row],[20.85%]]-Tabla4[[#This Row],[Costo]]</f>
        <v>#N/A</v>
      </c>
      <c r="S2235" s="282" t="e">
        <f>++Tabla4[[#This Row],[U. Bruta Uni]]*Tabla4[[#This Row],[Cantidad]]</f>
        <v>#N/A</v>
      </c>
      <c r="T2235" s="369" t="str">
        <f>VLOOKUP(Tabla4[[#This Row],[Producto]],Tabla6[#All],14,FALSE)</f>
        <v>Termico Solar</v>
      </c>
      <c r="U2235" s="284" t="e">
        <f>(IF(Tabla4[[#This Row],[Familia]]="termico solar",Tabla4[[#This Row],[Utilidad Total]]*6%,Tabla4[[#This Row],[Utilidad Total]]*11.5%))/Tabla4[[#This Row],[Total]]</f>
        <v>#N/A</v>
      </c>
      <c r="V2235" s="282" t="e">
        <f>+Tabla4[[#This Row],[Comisión Calculada]]*Tabla4[[#This Row],[Total]]</f>
        <v>#N/A</v>
      </c>
    </row>
    <row r="2236" spans="1:22" hidden="1" x14ac:dyDescent="0.25">
      <c r="A2236" s="100">
        <v>45762</v>
      </c>
      <c r="B2236" t="str">
        <f t="shared" si="115"/>
        <v>April</v>
      </c>
      <c r="C2236" s="46" t="s">
        <v>280</v>
      </c>
      <c r="F2236" s="366" t="s">
        <v>1561</v>
      </c>
      <c r="G2236" s="46" t="s">
        <v>566</v>
      </c>
      <c r="H2236" s="46">
        <v>1</v>
      </c>
      <c r="I2236" s="51">
        <v>2109.4499999999998</v>
      </c>
      <c r="J2236" s="281">
        <f>++Tabla4[[#This Row],[Precio Bruto]]*1.16</f>
        <v>2446.9619999999995</v>
      </c>
      <c r="K2236" s="281">
        <f>+Tabla4[[#This Row],[Precio Unitario Neto]]*Tabla4[[#Headers],[20.85%]]</f>
        <v>510.19157699999988</v>
      </c>
      <c r="L2236" s="282">
        <f>++Tabla4[[#This Row],[Precio Unitario Neto]]-Tabla4[[#This Row],[20.85%]]</f>
        <v>1936.7704229999997</v>
      </c>
      <c r="M2236" s="282" t="e">
        <f>(INDEX(Tabla6[#All],MATCH(Tabla4[[#This Row],[Producto]],Tabla6[[#All],[PRODUCTO]],0),MATCH(Tabla4[[#This Row],[Mes]],Tabla6[#Headers],0)))*(1+Catalogos!$L$2)</f>
        <v>#N/A</v>
      </c>
      <c r="N2236" s="283" t="e">
        <f>+(Tabla4[[#This Row],[Precio Descontado]]-Tabla4[[#This Row],[Precio Base]])*Tabla4[[#This Row],[Cantidad]]</f>
        <v>#N/A</v>
      </c>
      <c r="O2236" s="284" t="e">
        <f>++Tabla4[[#This Row],[Utilidad Total]]/Tabla4[[#This Row],[Total]]</f>
        <v>#N/A</v>
      </c>
      <c r="P2236" s="282">
        <f>++Tabla4[[#This Row],[Precio Descontado]]*Tabla4[[#This Row],[Cantidad]]</f>
        <v>1936.7704229999997</v>
      </c>
      <c r="Q2236" s="282" t="e">
        <f>(INDEX(Tabla6[#All],MATCH(Tabla4[[#This Row],[Producto]],Tabla6[[#All],[PRODUCTO]],0),MATCH(Tabla4[[#This Row],[Mes]],Tabla6[#Headers],0)))</f>
        <v>#N/A</v>
      </c>
      <c r="R2236" s="282" t="e">
        <f>++Tabla4[[#This Row],[Precio Unitario Neto]]-Tabla4[[#This Row],[20.85%]]-Tabla4[[#This Row],[Costo]]</f>
        <v>#N/A</v>
      </c>
      <c r="S2236" s="282" t="e">
        <f>++Tabla4[[#This Row],[U. Bruta Uni]]*Tabla4[[#This Row],[Cantidad]]</f>
        <v>#N/A</v>
      </c>
      <c r="T2236" s="369" t="str">
        <f>VLOOKUP(Tabla4[[#This Row],[Producto]],Tabla6[#All],14,FALSE)</f>
        <v>Termico Solar</v>
      </c>
      <c r="U2236" s="284" t="e">
        <f>(IF(Tabla4[[#This Row],[Familia]]="termico solar",Tabla4[[#This Row],[Utilidad Total]]*6%,Tabla4[[#This Row],[Utilidad Total]]*11.5%))/Tabla4[[#This Row],[Total]]</f>
        <v>#N/A</v>
      </c>
      <c r="V2236" s="282" t="e">
        <f>+Tabla4[[#This Row],[Comisión Calculada]]*Tabla4[[#This Row],[Total]]</f>
        <v>#N/A</v>
      </c>
    </row>
    <row r="2237" spans="1:22" hidden="1" x14ac:dyDescent="0.25">
      <c r="A2237" s="100">
        <v>45762</v>
      </c>
      <c r="B2237" t="str">
        <f t="shared" si="115"/>
        <v>April</v>
      </c>
      <c r="C2237" s="46" t="s">
        <v>280</v>
      </c>
      <c r="F2237" s="366" t="s">
        <v>1561</v>
      </c>
      <c r="G2237" s="46" t="s">
        <v>208</v>
      </c>
      <c r="H2237" s="46">
        <v>1</v>
      </c>
      <c r="I2237" s="51">
        <v>189.75</v>
      </c>
      <c r="J2237" s="281">
        <f>++Tabla4[[#This Row],[Precio Bruto]]*1.16</f>
        <v>220.10999999999999</v>
      </c>
      <c r="K2237" s="281">
        <f>+Tabla4[[#This Row],[Precio Unitario Neto]]*Tabla4[[#Headers],[20.85%]]</f>
        <v>45.892934999999994</v>
      </c>
      <c r="L2237" s="282">
        <f>++Tabla4[[#This Row],[Precio Unitario Neto]]-Tabla4[[#This Row],[20.85%]]</f>
        <v>174.21706499999999</v>
      </c>
      <c r="M2237" s="282" t="e">
        <f>(INDEX(Tabla6[#All],MATCH(Tabla4[[#This Row],[Producto]],Tabla6[[#All],[PRODUCTO]],0),MATCH(Tabla4[[#This Row],[Mes]],Tabla6[#Headers],0)))*(1+Catalogos!$L$2)</f>
        <v>#N/A</v>
      </c>
      <c r="N2237" s="283" t="e">
        <f>+(Tabla4[[#This Row],[Precio Descontado]]-Tabla4[[#This Row],[Precio Base]])*Tabla4[[#This Row],[Cantidad]]</f>
        <v>#N/A</v>
      </c>
      <c r="O2237" s="284" t="e">
        <f>++Tabla4[[#This Row],[Utilidad Total]]/Tabla4[[#This Row],[Total]]</f>
        <v>#N/A</v>
      </c>
      <c r="P2237" s="282">
        <f>++Tabla4[[#This Row],[Precio Descontado]]*Tabla4[[#This Row],[Cantidad]]</f>
        <v>174.21706499999999</v>
      </c>
      <c r="Q2237" s="282" t="e">
        <f>(INDEX(Tabla6[#All],MATCH(Tabla4[[#This Row],[Producto]],Tabla6[[#All],[PRODUCTO]],0),MATCH(Tabla4[[#This Row],[Mes]],Tabla6[#Headers],0)))</f>
        <v>#N/A</v>
      </c>
      <c r="R2237" s="282" t="e">
        <f>++Tabla4[[#This Row],[Precio Unitario Neto]]-Tabla4[[#This Row],[20.85%]]-Tabla4[[#This Row],[Costo]]</f>
        <v>#N/A</v>
      </c>
      <c r="S2237" s="282" t="e">
        <f>++Tabla4[[#This Row],[U. Bruta Uni]]*Tabla4[[#This Row],[Cantidad]]</f>
        <v>#N/A</v>
      </c>
      <c r="T2237" s="369" t="str">
        <f>VLOOKUP(Tabla4[[#This Row],[Producto]],Tabla6[#All],14,FALSE)</f>
        <v>Termico Solar</v>
      </c>
      <c r="U2237" s="284" t="e">
        <f>(IF(Tabla4[[#This Row],[Familia]]="termico solar",Tabla4[[#This Row],[Utilidad Total]]*6%,Tabla4[[#This Row],[Utilidad Total]]*11.5%))/Tabla4[[#This Row],[Total]]</f>
        <v>#N/A</v>
      </c>
      <c r="V2237" s="282" t="e">
        <f>+Tabla4[[#This Row],[Comisión Calculada]]*Tabla4[[#This Row],[Total]]</f>
        <v>#N/A</v>
      </c>
    </row>
    <row r="2238" spans="1:22" hidden="1" x14ac:dyDescent="0.25">
      <c r="A2238" s="100">
        <v>45762</v>
      </c>
      <c r="B2238" t="str">
        <f t="shared" si="115"/>
        <v>April</v>
      </c>
      <c r="C2238" s="46" t="s">
        <v>280</v>
      </c>
      <c r="F2238" s="366" t="s">
        <v>1562</v>
      </c>
      <c r="G2238" s="46" t="s">
        <v>83</v>
      </c>
      <c r="H2238" s="46">
        <v>4</v>
      </c>
      <c r="I2238" s="51">
        <v>8858.76</v>
      </c>
      <c r="J2238" s="281">
        <f>++Tabla4[[#This Row],[Precio Bruto]]*1.16</f>
        <v>10276.161599999999</v>
      </c>
      <c r="K2238" s="281">
        <f>+Tabla4[[#This Row],[Precio Unitario Neto]]*Tabla4[[#Headers],[20.85%]]</f>
        <v>2142.5796935999997</v>
      </c>
      <c r="L2238" s="282">
        <f>++Tabla4[[#This Row],[Precio Unitario Neto]]-Tabla4[[#This Row],[20.85%]]</f>
        <v>8133.5819063999998</v>
      </c>
      <c r="M2238" s="282" t="e">
        <f>(INDEX(Tabla6[#All],MATCH(Tabla4[[#This Row],[Producto]],Tabla6[[#All],[PRODUCTO]],0),MATCH(Tabla4[[#This Row],[Mes]],Tabla6[#Headers],0)))*(1+Catalogos!$L$2)</f>
        <v>#N/A</v>
      </c>
      <c r="N2238" s="283" t="e">
        <f>+(Tabla4[[#This Row],[Precio Descontado]]-Tabla4[[#This Row],[Precio Base]])*Tabla4[[#This Row],[Cantidad]]</f>
        <v>#N/A</v>
      </c>
      <c r="O2238" s="284" t="e">
        <f>++Tabla4[[#This Row],[Utilidad Total]]/Tabla4[[#This Row],[Total]]</f>
        <v>#N/A</v>
      </c>
      <c r="P2238" s="282">
        <f>++Tabla4[[#This Row],[Precio Descontado]]*Tabla4[[#This Row],[Cantidad]]</f>
        <v>32534.327625599999</v>
      </c>
      <c r="Q2238" s="282" t="e">
        <f>(INDEX(Tabla6[#All],MATCH(Tabla4[[#This Row],[Producto]],Tabla6[[#All],[PRODUCTO]],0),MATCH(Tabla4[[#This Row],[Mes]],Tabla6[#Headers],0)))</f>
        <v>#N/A</v>
      </c>
      <c r="R2238" s="282" t="e">
        <f>++Tabla4[[#This Row],[Precio Unitario Neto]]-Tabla4[[#This Row],[20.85%]]-Tabla4[[#This Row],[Costo]]</f>
        <v>#N/A</v>
      </c>
      <c r="S2238" s="282" t="e">
        <f>++Tabla4[[#This Row],[U. Bruta Uni]]*Tabla4[[#This Row],[Cantidad]]</f>
        <v>#N/A</v>
      </c>
      <c r="T2238" s="369" t="str">
        <f>VLOOKUP(Tabla4[[#This Row],[Producto]],Tabla6[#All],14,FALSE)</f>
        <v>Termico Solar</v>
      </c>
      <c r="U2238" s="284" t="e">
        <f>(IF(Tabla4[[#This Row],[Familia]]="termico solar",Tabla4[[#This Row],[Utilidad Total]]*6%,Tabla4[[#This Row],[Utilidad Total]]*11.5%))/Tabla4[[#This Row],[Total]]</f>
        <v>#N/A</v>
      </c>
      <c r="V2238" s="282" t="e">
        <f>+Tabla4[[#This Row],[Comisión Calculada]]*Tabla4[[#This Row],[Total]]</f>
        <v>#N/A</v>
      </c>
    </row>
    <row r="2239" spans="1:22" hidden="1" x14ac:dyDescent="0.25">
      <c r="A2239" s="100">
        <v>45762</v>
      </c>
      <c r="B2239" t="str">
        <f t="shared" si="115"/>
        <v>April</v>
      </c>
      <c r="C2239" s="46" t="s">
        <v>280</v>
      </c>
      <c r="F2239" s="366" t="s">
        <v>1562</v>
      </c>
      <c r="G2239" s="46" t="s">
        <v>17</v>
      </c>
      <c r="H2239" s="46">
        <v>2</v>
      </c>
      <c r="I2239" s="51">
        <v>4622.28</v>
      </c>
      <c r="J2239" s="281">
        <f>++Tabla4[[#This Row],[Precio Bruto]]*1.16</f>
        <v>5361.8447999999989</v>
      </c>
      <c r="K2239" s="281">
        <f>+Tabla4[[#This Row],[Precio Unitario Neto]]*Tabla4[[#Headers],[20.85%]]</f>
        <v>1117.9446407999997</v>
      </c>
      <c r="L2239" s="282">
        <f>++Tabla4[[#This Row],[Precio Unitario Neto]]-Tabla4[[#This Row],[20.85%]]</f>
        <v>4243.9001591999995</v>
      </c>
      <c r="M2239" s="282" t="e">
        <f>(INDEX(Tabla6[#All],MATCH(Tabla4[[#This Row],[Producto]],Tabla6[[#All],[PRODUCTO]],0),MATCH(Tabla4[[#This Row],[Mes]],Tabla6[#Headers],0)))*(1+Catalogos!$L$2)</f>
        <v>#N/A</v>
      </c>
      <c r="N2239" s="283" t="e">
        <f>+(Tabla4[[#This Row],[Precio Descontado]]-Tabla4[[#This Row],[Precio Base]])*Tabla4[[#This Row],[Cantidad]]</f>
        <v>#N/A</v>
      </c>
      <c r="O2239" s="284" t="e">
        <f>++Tabla4[[#This Row],[Utilidad Total]]/Tabla4[[#This Row],[Total]]</f>
        <v>#N/A</v>
      </c>
      <c r="P2239" s="282">
        <f>++Tabla4[[#This Row],[Precio Descontado]]*Tabla4[[#This Row],[Cantidad]]</f>
        <v>8487.800318399999</v>
      </c>
      <c r="Q2239" s="282" t="e">
        <f>(INDEX(Tabla6[#All],MATCH(Tabla4[[#This Row],[Producto]],Tabla6[[#All],[PRODUCTO]],0),MATCH(Tabla4[[#This Row],[Mes]],Tabla6[#Headers],0)))</f>
        <v>#N/A</v>
      </c>
      <c r="R2239" s="282" t="e">
        <f>++Tabla4[[#This Row],[Precio Unitario Neto]]-Tabla4[[#This Row],[20.85%]]-Tabla4[[#This Row],[Costo]]</f>
        <v>#N/A</v>
      </c>
      <c r="S2239" s="282" t="e">
        <f>++Tabla4[[#This Row],[U. Bruta Uni]]*Tabla4[[#This Row],[Cantidad]]</f>
        <v>#N/A</v>
      </c>
      <c r="T2239" s="369" t="str">
        <f>VLOOKUP(Tabla4[[#This Row],[Producto]],Tabla6[#All],14,FALSE)</f>
        <v>Termico Solar</v>
      </c>
      <c r="U2239" s="284" t="e">
        <f>(IF(Tabla4[[#This Row],[Familia]]="termico solar",Tabla4[[#This Row],[Utilidad Total]]*6%,Tabla4[[#This Row],[Utilidad Total]]*11.5%))/Tabla4[[#This Row],[Total]]</f>
        <v>#N/A</v>
      </c>
      <c r="V2239" s="282" t="e">
        <f>+Tabla4[[#This Row],[Comisión Calculada]]*Tabla4[[#This Row],[Total]]</f>
        <v>#N/A</v>
      </c>
    </row>
    <row r="2240" spans="1:22" hidden="1" x14ac:dyDescent="0.25">
      <c r="A2240" s="100">
        <v>45762</v>
      </c>
      <c r="B2240" t="str">
        <f t="shared" si="115"/>
        <v>April</v>
      </c>
      <c r="C2240" s="46" t="s">
        <v>280</v>
      </c>
      <c r="F2240" s="366" t="s">
        <v>1562</v>
      </c>
      <c r="G2240" s="46" t="s">
        <v>19</v>
      </c>
      <c r="H2240" s="46">
        <v>2</v>
      </c>
      <c r="I2240" s="51">
        <v>6412.03</v>
      </c>
      <c r="J2240" s="281">
        <f>++Tabla4[[#This Row],[Precio Bruto]]*1.16</f>
        <v>7437.9547999999995</v>
      </c>
      <c r="K2240" s="281">
        <f>+Tabla4[[#This Row],[Precio Unitario Neto]]*Tabla4[[#Headers],[20.85%]]</f>
        <v>1550.8135757999999</v>
      </c>
      <c r="L2240" s="282">
        <f>++Tabla4[[#This Row],[Precio Unitario Neto]]-Tabla4[[#This Row],[20.85%]]</f>
        <v>5887.1412241999997</v>
      </c>
      <c r="M2240" s="282" t="e">
        <f>(INDEX(Tabla6[#All],MATCH(Tabla4[[#This Row],[Producto]],Tabla6[[#All],[PRODUCTO]],0),MATCH(Tabla4[[#This Row],[Mes]],Tabla6[#Headers],0)))*(1+Catalogos!$L$2)</f>
        <v>#N/A</v>
      </c>
      <c r="N2240" s="283" t="e">
        <f>+(Tabla4[[#This Row],[Precio Descontado]]-Tabla4[[#This Row],[Precio Base]])*Tabla4[[#This Row],[Cantidad]]</f>
        <v>#N/A</v>
      </c>
      <c r="O2240" s="284" t="e">
        <f>++Tabla4[[#This Row],[Utilidad Total]]/Tabla4[[#This Row],[Total]]</f>
        <v>#N/A</v>
      </c>
      <c r="P2240" s="282">
        <f>++Tabla4[[#This Row],[Precio Descontado]]*Tabla4[[#This Row],[Cantidad]]</f>
        <v>11774.282448399999</v>
      </c>
      <c r="Q2240" s="282" t="e">
        <f>(INDEX(Tabla6[#All],MATCH(Tabla4[[#This Row],[Producto]],Tabla6[[#All],[PRODUCTO]],0),MATCH(Tabla4[[#This Row],[Mes]],Tabla6[#Headers],0)))</f>
        <v>#N/A</v>
      </c>
      <c r="R2240" s="282" t="e">
        <f>++Tabla4[[#This Row],[Precio Unitario Neto]]-Tabla4[[#This Row],[20.85%]]-Tabla4[[#This Row],[Costo]]</f>
        <v>#N/A</v>
      </c>
      <c r="S2240" s="282" t="e">
        <f>++Tabla4[[#This Row],[U. Bruta Uni]]*Tabla4[[#This Row],[Cantidad]]</f>
        <v>#N/A</v>
      </c>
      <c r="T2240" s="369" t="str">
        <f>VLOOKUP(Tabla4[[#This Row],[Producto]],Tabla6[#All],14,FALSE)</f>
        <v>Termico Solar</v>
      </c>
      <c r="U2240" s="284" t="e">
        <f>(IF(Tabla4[[#This Row],[Familia]]="termico solar",Tabla4[[#This Row],[Utilidad Total]]*6%,Tabla4[[#This Row],[Utilidad Total]]*11.5%))/Tabla4[[#This Row],[Total]]</f>
        <v>#N/A</v>
      </c>
      <c r="V2240" s="282" t="e">
        <f>+Tabla4[[#This Row],[Comisión Calculada]]*Tabla4[[#This Row],[Total]]</f>
        <v>#N/A</v>
      </c>
    </row>
    <row r="2241" spans="1:22" hidden="1" x14ac:dyDescent="0.25">
      <c r="A2241" s="100">
        <v>45762</v>
      </c>
      <c r="B2241" t="str">
        <f t="shared" si="115"/>
        <v>April</v>
      </c>
      <c r="C2241" s="46" t="s">
        <v>280</v>
      </c>
      <c r="F2241" s="366" t="s">
        <v>1562</v>
      </c>
      <c r="G2241" s="46" t="s">
        <v>208</v>
      </c>
      <c r="H2241" s="46">
        <v>2</v>
      </c>
      <c r="I2241" s="51">
        <v>189.75</v>
      </c>
      <c r="J2241" s="281">
        <f>++Tabla4[[#This Row],[Precio Bruto]]*1.16</f>
        <v>220.10999999999999</v>
      </c>
      <c r="K2241" s="281">
        <f>+Tabla4[[#This Row],[Precio Unitario Neto]]*Tabla4[[#Headers],[20.85%]]</f>
        <v>45.892934999999994</v>
      </c>
      <c r="L2241" s="282">
        <f>++Tabla4[[#This Row],[Precio Unitario Neto]]-Tabla4[[#This Row],[20.85%]]</f>
        <v>174.21706499999999</v>
      </c>
      <c r="M2241" s="282" t="e">
        <f>(INDEX(Tabla6[#All],MATCH(Tabla4[[#This Row],[Producto]],Tabla6[[#All],[PRODUCTO]],0),MATCH(Tabla4[[#This Row],[Mes]],Tabla6[#Headers],0)))*(1+Catalogos!$L$2)</f>
        <v>#N/A</v>
      </c>
      <c r="N2241" s="283" t="e">
        <f>+(Tabla4[[#This Row],[Precio Descontado]]-Tabla4[[#This Row],[Precio Base]])*Tabla4[[#This Row],[Cantidad]]</f>
        <v>#N/A</v>
      </c>
      <c r="O2241" s="284" t="e">
        <f>++Tabla4[[#This Row],[Utilidad Total]]/Tabla4[[#This Row],[Total]]</f>
        <v>#N/A</v>
      </c>
      <c r="P2241" s="282">
        <f>++Tabla4[[#This Row],[Precio Descontado]]*Tabla4[[#This Row],[Cantidad]]</f>
        <v>348.43412999999998</v>
      </c>
      <c r="Q2241" s="282" t="e">
        <f>(INDEX(Tabla6[#All],MATCH(Tabla4[[#This Row],[Producto]],Tabla6[[#All],[PRODUCTO]],0),MATCH(Tabla4[[#This Row],[Mes]],Tabla6[#Headers],0)))</f>
        <v>#N/A</v>
      </c>
      <c r="R2241" s="282" t="e">
        <f>++Tabla4[[#This Row],[Precio Unitario Neto]]-Tabla4[[#This Row],[20.85%]]-Tabla4[[#This Row],[Costo]]</f>
        <v>#N/A</v>
      </c>
      <c r="S2241" s="282" t="e">
        <f>++Tabla4[[#This Row],[U. Bruta Uni]]*Tabla4[[#This Row],[Cantidad]]</f>
        <v>#N/A</v>
      </c>
      <c r="T2241" s="369" t="str">
        <f>VLOOKUP(Tabla4[[#This Row],[Producto]],Tabla6[#All],14,FALSE)</f>
        <v>Termico Solar</v>
      </c>
      <c r="U2241" s="284" t="e">
        <f>(IF(Tabla4[[#This Row],[Familia]]="termico solar",Tabla4[[#This Row],[Utilidad Total]]*6%,Tabla4[[#This Row],[Utilidad Total]]*11.5%))/Tabla4[[#This Row],[Total]]</f>
        <v>#N/A</v>
      </c>
      <c r="V2241" s="282" t="e">
        <f>+Tabla4[[#This Row],[Comisión Calculada]]*Tabla4[[#This Row],[Total]]</f>
        <v>#N/A</v>
      </c>
    </row>
    <row r="2242" spans="1:22" hidden="1" x14ac:dyDescent="0.25">
      <c r="A2242" s="100">
        <v>45762</v>
      </c>
      <c r="B2242" t="str">
        <f t="shared" si="115"/>
        <v>April</v>
      </c>
      <c r="C2242" s="46" t="s">
        <v>280</v>
      </c>
      <c r="F2242" s="366" t="s">
        <v>1562</v>
      </c>
      <c r="G2242" s="46" t="s">
        <v>209</v>
      </c>
      <c r="H2242" s="46">
        <v>2</v>
      </c>
      <c r="I2242" s="51">
        <v>347.48</v>
      </c>
      <c r="J2242" s="281">
        <f>++Tabla4[[#This Row],[Precio Bruto]]*1.16</f>
        <v>403.07679999999999</v>
      </c>
      <c r="K2242" s="281">
        <f>+Tabla4[[#This Row],[Precio Unitario Neto]]*Tabla4[[#Headers],[20.85%]]</f>
        <v>84.041512799999992</v>
      </c>
      <c r="L2242" s="282">
        <f>++Tabla4[[#This Row],[Precio Unitario Neto]]-Tabla4[[#This Row],[20.85%]]</f>
        <v>319.03528719999997</v>
      </c>
      <c r="M2242" s="282" t="e">
        <f>(INDEX(Tabla6[#All],MATCH(Tabla4[[#This Row],[Producto]],Tabla6[[#All],[PRODUCTO]],0),MATCH(Tabla4[[#This Row],[Mes]],Tabla6[#Headers],0)))*(1+Catalogos!$L$2)</f>
        <v>#N/A</v>
      </c>
      <c r="N2242" s="283" t="e">
        <f>+(Tabla4[[#This Row],[Precio Descontado]]-Tabla4[[#This Row],[Precio Base]])*Tabla4[[#This Row],[Cantidad]]</f>
        <v>#N/A</v>
      </c>
      <c r="O2242" s="284" t="e">
        <f>++Tabla4[[#This Row],[Utilidad Total]]/Tabla4[[#This Row],[Total]]</f>
        <v>#N/A</v>
      </c>
      <c r="P2242" s="282">
        <f>++Tabla4[[#This Row],[Precio Descontado]]*Tabla4[[#This Row],[Cantidad]]</f>
        <v>638.07057439999994</v>
      </c>
      <c r="Q2242" s="282" t="e">
        <f>(INDEX(Tabla6[#All],MATCH(Tabla4[[#This Row],[Producto]],Tabla6[[#All],[PRODUCTO]],0),MATCH(Tabla4[[#This Row],[Mes]],Tabla6[#Headers],0)))</f>
        <v>#N/A</v>
      </c>
      <c r="R2242" s="282" t="e">
        <f>++Tabla4[[#This Row],[Precio Unitario Neto]]-Tabla4[[#This Row],[20.85%]]-Tabla4[[#This Row],[Costo]]</f>
        <v>#N/A</v>
      </c>
      <c r="S2242" s="282" t="e">
        <f>++Tabla4[[#This Row],[U. Bruta Uni]]*Tabla4[[#This Row],[Cantidad]]</f>
        <v>#N/A</v>
      </c>
      <c r="T2242" s="369" t="str">
        <f>VLOOKUP(Tabla4[[#This Row],[Producto]],Tabla6[#All],14,FALSE)</f>
        <v>Termico Solar</v>
      </c>
      <c r="U2242" s="284" t="e">
        <f>(IF(Tabla4[[#This Row],[Familia]]="termico solar",Tabla4[[#This Row],[Utilidad Total]]*6%,Tabla4[[#This Row],[Utilidad Total]]*11.5%))/Tabla4[[#This Row],[Total]]</f>
        <v>#N/A</v>
      </c>
      <c r="V2242" s="282" t="e">
        <f>+Tabla4[[#This Row],[Comisión Calculada]]*Tabla4[[#This Row],[Total]]</f>
        <v>#N/A</v>
      </c>
    </row>
    <row r="2243" spans="1:22" hidden="1" x14ac:dyDescent="0.25">
      <c r="A2243" s="100">
        <v>45762</v>
      </c>
      <c r="B2243" t="str">
        <f t="shared" si="115"/>
        <v>April</v>
      </c>
      <c r="C2243" s="46" t="s">
        <v>280</v>
      </c>
      <c r="F2243" s="366" t="s">
        <v>1563</v>
      </c>
      <c r="G2243" s="46" t="s">
        <v>83</v>
      </c>
      <c r="H2243" s="46">
        <v>3</v>
      </c>
      <c r="I2243" s="51">
        <v>8858.76</v>
      </c>
      <c r="J2243" s="281">
        <f>++Tabla4[[#This Row],[Precio Bruto]]*1.16</f>
        <v>10276.161599999999</v>
      </c>
      <c r="K2243" s="281">
        <f>+Tabla4[[#This Row],[Precio Unitario Neto]]*Tabla4[[#Headers],[20.85%]]</f>
        <v>2142.5796935999997</v>
      </c>
      <c r="L2243" s="282">
        <f>++Tabla4[[#This Row],[Precio Unitario Neto]]-Tabla4[[#This Row],[20.85%]]</f>
        <v>8133.5819063999998</v>
      </c>
      <c r="M2243" s="282" t="e">
        <f>(INDEX(Tabla6[#All],MATCH(Tabla4[[#This Row],[Producto]],Tabla6[[#All],[PRODUCTO]],0),MATCH(Tabla4[[#This Row],[Mes]],Tabla6[#Headers],0)))*(1+Catalogos!$L$2)</f>
        <v>#N/A</v>
      </c>
      <c r="N2243" s="283" t="e">
        <f>+(Tabla4[[#This Row],[Precio Descontado]]-Tabla4[[#This Row],[Precio Base]])*Tabla4[[#This Row],[Cantidad]]</f>
        <v>#N/A</v>
      </c>
      <c r="O2243" s="284" t="e">
        <f>++Tabla4[[#This Row],[Utilidad Total]]/Tabla4[[#This Row],[Total]]</f>
        <v>#N/A</v>
      </c>
      <c r="P2243" s="282">
        <f>++Tabla4[[#This Row],[Precio Descontado]]*Tabla4[[#This Row],[Cantidad]]</f>
        <v>24400.7457192</v>
      </c>
      <c r="Q2243" s="282" t="e">
        <f>(INDEX(Tabla6[#All],MATCH(Tabla4[[#This Row],[Producto]],Tabla6[[#All],[PRODUCTO]],0),MATCH(Tabla4[[#This Row],[Mes]],Tabla6[#Headers],0)))</f>
        <v>#N/A</v>
      </c>
      <c r="R2243" s="282" t="e">
        <f>++Tabla4[[#This Row],[Precio Unitario Neto]]-Tabla4[[#This Row],[20.85%]]-Tabla4[[#This Row],[Costo]]</f>
        <v>#N/A</v>
      </c>
      <c r="S2243" s="282" t="e">
        <f>++Tabla4[[#This Row],[U. Bruta Uni]]*Tabla4[[#This Row],[Cantidad]]</f>
        <v>#N/A</v>
      </c>
      <c r="T2243" s="369" t="str">
        <f>VLOOKUP(Tabla4[[#This Row],[Producto]],Tabla6[#All],14,FALSE)</f>
        <v>Termico Solar</v>
      </c>
      <c r="U2243" s="284" t="e">
        <f>(IF(Tabla4[[#This Row],[Familia]]="termico solar",Tabla4[[#This Row],[Utilidad Total]]*6%,Tabla4[[#This Row],[Utilidad Total]]*11.5%))/Tabla4[[#This Row],[Total]]</f>
        <v>#N/A</v>
      </c>
      <c r="V2243" s="282" t="e">
        <f>+Tabla4[[#This Row],[Comisión Calculada]]*Tabla4[[#This Row],[Total]]</f>
        <v>#N/A</v>
      </c>
    </row>
    <row r="2244" spans="1:22" hidden="1" x14ac:dyDescent="0.25">
      <c r="A2244" s="100">
        <v>45762</v>
      </c>
      <c r="B2244" t="str">
        <f t="shared" si="115"/>
        <v>April</v>
      </c>
      <c r="C2244" s="46" t="s">
        <v>280</v>
      </c>
      <c r="F2244" s="366" t="s">
        <v>1563</v>
      </c>
      <c r="G2244" s="46" t="s">
        <v>18</v>
      </c>
      <c r="H2244" s="46">
        <v>1</v>
      </c>
      <c r="I2244" s="51">
        <v>5367.65</v>
      </c>
      <c r="J2244" s="281">
        <f>++Tabla4[[#This Row],[Precio Bruto]]*1.16</f>
        <v>6226.4739999999993</v>
      </c>
      <c r="K2244" s="281">
        <f>+Tabla4[[#This Row],[Precio Unitario Neto]]*Tabla4[[#Headers],[20.85%]]</f>
        <v>1298.2198289999999</v>
      </c>
      <c r="L2244" s="282">
        <f>++Tabla4[[#This Row],[Precio Unitario Neto]]-Tabla4[[#This Row],[20.85%]]</f>
        <v>4928.2541709999996</v>
      </c>
      <c r="M2244" s="282" t="e">
        <f>(INDEX(Tabla6[#All],MATCH(Tabla4[[#This Row],[Producto]],Tabla6[[#All],[PRODUCTO]],0),MATCH(Tabla4[[#This Row],[Mes]],Tabla6[#Headers],0)))*(1+Catalogos!$L$2)</f>
        <v>#N/A</v>
      </c>
      <c r="N2244" s="283" t="e">
        <f>+(Tabla4[[#This Row],[Precio Descontado]]-Tabla4[[#This Row],[Precio Base]])*Tabla4[[#This Row],[Cantidad]]</f>
        <v>#N/A</v>
      </c>
      <c r="O2244" s="284" t="e">
        <f>++Tabla4[[#This Row],[Utilidad Total]]/Tabla4[[#This Row],[Total]]</f>
        <v>#N/A</v>
      </c>
      <c r="P2244" s="282">
        <f>++Tabla4[[#This Row],[Precio Descontado]]*Tabla4[[#This Row],[Cantidad]]</f>
        <v>4928.2541709999996</v>
      </c>
      <c r="Q2244" s="282" t="e">
        <f>(INDEX(Tabla6[#All],MATCH(Tabla4[[#This Row],[Producto]],Tabla6[[#All],[PRODUCTO]],0),MATCH(Tabla4[[#This Row],[Mes]],Tabla6[#Headers],0)))</f>
        <v>#N/A</v>
      </c>
      <c r="R2244" s="282" t="e">
        <f>++Tabla4[[#This Row],[Precio Unitario Neto]]-Tabla4[[#This Row],[20.85%]]-Tabla4[[#This Row],[Costo]]</f>
        <v>#N/A</v>
      </c>
      <c r="S2244" s="282" t="e">
        <f>++Tabla4[[#This Row],[U. Bruta Uni]]*Tabla4[[#This Row],[Cantidad]]</f>
        <v>#N/A</v>
      </c>
      <c r="T2244" s="369" t="str">
        <f>VLOOKUP(Tabla4[[#This Row],[Producto]],Tabla6[#All],14,FALSE)</f>
        <v>Termico Solar</v>
      </c>
      <c r="U2244" s="284" t="e">
        <f>(IF(Tabla4[[#This Row],[Familia]]="termico solar",Tabla4[[#This Row],[Utilidad Total]]*6%,Tabla4[[#This Row],[Utilidad Total]]*11.5%))/Tabla4[[#This Row],[Total]]</f>
        <v>#N/A</v>
      </c>
      <c r="V2244" s="282" t="e">
        <f>+Tabla4[[#This Row],[Comisión Calculada]]*Tabla4[[#This Row],[Total]]</f>
        <v>#N/A</v>
      </c>
    </row>
    <row r="2245" spans="1:22" hidden="1" x14ac:dyDescent="0.25">
      <c r="A2245" s="100">
        <v>45762</v>
      </c>
      <c r="B2245" t="str">
        <f t="shared" si="115"/>
        <v>April</v>
      </c>
      <c r="C2245" s="46" t="s">
        <v>280</v>
      </c>
      <c r="F2245" s="366" t="s">
        <v>1563</v>
      </c>
      <c r="G2245" s="46" t="s">
        <v>566</v>
      </c>
      <c r="H2245" s="46">
        <v>1</v>
      </c>
      <c r="I2245" s="51">
        <v>2109.4499999999998</v>
      </c>
      <c r="J2245" s="281">
        <f>++Tabla4[[#This Row],[Precio Bruto]]*1.16</f>
        <v>2446.9619999999995</v>
      </c>
      <c r="K2245" s="281">
        <f>+Tabla4[[#This Row],[Precio Unitario Neto]]*Tabla4[[#Headers],[20.85%]]</f>
        <v>510.19157699999988</v>
      </c>
      <c r="L2245" s="282">
        <f>++Tabla4[[#This Row],[Precio Unitario Neto]]-Tabla4[[#This Row],[20.85%]]</f>
        <v>1936.7704229999997</v>
      </c>
      <c r="M2245" s="282" t="e">
        <f>(INDEX(Tabla6[#All],MATCH(Tabla4[[#This Row],[Producto]],Tabla6[[#All],[PRODUCTO]],0),MATCH(Tabla4[[#This Row],[Mes]],Tabla6[#Headers],0)))*(1+Catalogos!$L$2)</f>
        <v>#N/A</v>
      </c>
      <c r="N2245" s="283" t="e">
        <f>+(Tabla4[[#This Row],[Precio Descontado]]-Tabla4[[#This Row],[Precio Base]])*Tabla4[[#This Row],[Cantidad]]</f>
        <v>#N/A</v>
      </c>
      <c r="O2245" s="284" t="e">
        <f>++Tabla4[[#This Row],[Utilidad Total]]/Tabla4[[#This Row],[Total]]</f>
        <v>#N/A</v>
      </c>
      <c r="P2245" s="282">
        <f>++Tabla4[[#This Row],[Precio Descontado]]*Tabla4[[#This Row],[Cantidad]]</f>
        <v>1936.7704229999997</v>
      </c>
      <c r="Q2245" s="282" t="e">
        <f>(INDEX(Tabla6[#All],MATCH(Tabla4[[#This Row],[Producto]],Tabla6[[#All],[PRODUCTO]],0),MATCH(Tabla4[[#This Row],[Mes]],Tabla6[#Headers],0)))</f>
        <v>#N/A</v>
      </c>
      <c r="R2245" s="282" t="e">
        <f>++Tabla4[[#This Row],[Precio Unitario Neto]]-Tabla4[[#This Row],[20.85%]]-Tabla4[[#This Row],[Costo]]</f>
        <v>#N/A</v>
      </c>
      <c r="S2245" s="282" t="e">
        <f>++Tabla4[[#This Row],[U. Bruta Uni]]*Tabla4[[#This Row],[Cantidad]]</f>
        <v>#N/A</v>
      </c>
      <c r="T2245" s="369" t="str">
        <f>VLOOKUP(Tabla4[[#This Row],[Producto]],Tabla6[#All],14,FALSE)</f>
        <v>Termico Solar</v>
      </c>
      <c r="U2245" s="284" t="e">
        <f>(IF(Tabla4[[#This Row],[Familia]]="termico solar",Tabla4[[#This Row],[Utilidad Total]]*6%,Tabla4[[#This Row],[Utilidad Total]]*11.5%))/Tabla4[[#This Row],[Total]]</f>
        <v>#N/A</v>
      </c>
      <c r="V2245" s="282" t="e">
        <f>+Tabla4[[#This Row],[Comisión Calculada]]*Tabla4[[#This Row],[Total]]</f>
        <v>#N/A</v>
      </c>
    </row>
    <row r="2246" spans="1:22" hidden="1" x14ac:dyDescent="0.25">
      <c r="A2246" s="100">
        <v>45762</v>
      </c>
      <c r="B2246" t="str">
        <f t="shared" si="115"/>
        <v>April</v>
      </c>
      <c r="C2246" s="46" t="s">
        <v>280</v>
      </c>
      <c r="F2246" s="366" t="s">
        <v>1563</v>
      </c>
      <c r="G2246" s="46" t="s">
        <v>16</v>
      </c>
      <c r="H2246" s="46">
        <v>2</v>
      </c>
      <c r="I2246" s="51">
        <v>4103.8500000000004</v>
      </c>
      <c r="J2246" s="281">
        <f>++Tabla4[[#This Row],[Precio Bruto]]*1.16</f>
        <v>4760.4660000000003</v>
      </c>
      <c r="K2246" s="281">
        <f>+Tabla4[[#This Row],[Precio Unitario Neto]]*Tabla4[[#Headers],[20.85%]]</f>
        <v>992.55716100000006</v>
      </c>
      <c r="L2246" s="282">
        <f>++Tabla4[[#This Row],[Precio Unitario Neto]]-Tabla4[[#This Row],[20.85%]]</f>
        <v>3767.9088390000002</v>
      </c>
      <c r="M2246" s="282" t="e">
        <f>(INDEX(Tabla6[#All],MATCH(Tabla4[[#This Row],[Producto]],Tabla6[[#All],[PRODUCTO]],0),MATCH(Tabla4[[#This Row],[Mes]],Tabla6[#Headers],0)))*(1+Catalogos!$L$2)</f>
        <v>#N/A</v>
      </c>
      <c r="N2246" s="283" t="e">
        <f>+(Tabla4[[#This Row],[Precio Descontado]]-Tabla4[[#This Row],[Precio Base]])*Tabla4[[#This Row],[Cantidad]]</f>
        <v>#N/A</v>
      </c>
      <c r="O2246" s="284" t="e">
        <f>++Tabla4[[#This Row],[Utilidad Total]]/Tabla4[[#This Row],[Total]]</f>
        <v>#N/A</v>
      </c>
      <c r="P2246" s="282">
        <f>++Tabla4[[#This Row],[Precio Descontado]]*Tabla4[[#This Row],[Cantidad]]</f>
        <v>7535.8176780000003</v>
      </c>
      <c r="Q2246" s="282" t="e">
        <f>(INDEX(Tabla6[#All],MATCH(Tabla4[[#This Row],[Producto]],Tabla6[[#All],[PRODUCTO]],0),MATCH(Tabla4[[#This Row],[Mes]],Tabla6[#Headers],0)))</f>
        <v>#N/A</v>
      </c>
      <c r="R2246" s="282" t="e">
        <f>++Tabla4[[#This Row],[Precio Unitario Neto]]-Tabla4[[#This Row],[20.85%]]-Tabla4[[#This Row],[Costo]]</f>
        <v>#N/A</v>
      </c>
      <c r="S2246" s="282" t="e">
        <f>++Tabla4[[#This Row],[U. Bruta Uni]]*Tabla4[[#This Row],[Cantidad]]</f>
        <v>#N/A</v>
      </c>
      <c r="T2246" s="369" t="str">
        <f>VLOOKUP(Tabla4[[#This Row],[Producto]],Tabla6[#All],14,FALSE)</f>
        <v>Termico Solar</v>
      </c>
      <c r="U2246" s="284" t="e">
        <f>(IF(Tabla4[[#This Row],[Familia]]="termico solar",Tabla4[[#This Row],[Utilidad Total]]*6%,Tabla4[[#This Row],[Utilidad Total]]*11.5%))/Tabla4[[#This Row],[Total]]</f>
        <v>#N/A</v>
      </c>
      <c r="V2246" s="282" t="e">
        <f>+Tabla4[[#This Row],[Comisión Calculada]]*Tabla4[[#This Row],[Total]]</f>
        <v>#N/A</v>
      </c>
    </row>
    <row r="2247" spans="1:22" hidden="1" x14ac:dyDescent="0.25">
      <c r="A2247" s="100">
        <v>45762</v>
      </c>
      <c r="B2247" t="str">
        <f t="shared" si="115"/>
        <v>April</v>
      </c>
      <c r="C2247" s="46" t="s">
        <v>280</v>
      </c>
      <c r="F2247" s="366" t="s">
        <v>1564</v>
      </c>
      <c r="G2247" s="46" t="s">
        <v>17</v>
      </c>
      <c r="H2247" s="46">
        <v>13</v>
      </c>
      <c r="I2247" s="51">
        <v>4622.28</v>
      </c>
      <c r="J2247" s="281">
        <f>++Tabla4[[#This Row],[Precio Bruto]]*1.16</f>
        <v>5361.8447999999989</v>
      </c>
      <c r="K2247" s="281">
        <f>+Tabla4[[#This Row],[Precio Unitario Neto]]*Tabla4[[#Headers],[20.85%]]</f>
        <v>1117.9446407999997</v>
      </c>
      <c r="L2247" s="282">
        <f>++Tabla4[[#This Row],[Precio Unitario Neto]]-Tabla4[[#This Row],[20.85%]]</f>
        <v>4243.9001591999995</v>
      </c>
      <c r="M2247" s="282" t="e">
        <f>(INDEX(Tabla6[#All],MATCH(Tabla4[[#This Row],[Producto]],Tabla6[[#All],[PRODUCTO]],0),MATCH(Tabla4[[#This Row],[Mes]],Tabla6[#Headers],0)))*(1+Catalogos!$L$2)</f>
        <v>#N/A</v>
      </c>
      <c r="N2247" s="283" t="e">
        <f>+(Tabla4[[#This Row],[Precio Descontado]]-Tabla4[[#This Row],[Precio Base]])*Tabla4[[#This Row],[Cantidad]]</f>
        <v>#N/A</v>
      </c>
      <c r="O2247" s="284" t="e">
        <f>++Tabla4[[#This Row],[Utilidad Total]]/Tabla4[[#This Row],[Total]]</f>
        <v>#N/A</v>
      </c>
      <c r="P2247" s="282">
        <f>++Tabla4[[#This Row],[Precio Descontado]]*Tabla4[[#This Row],[Cantidad]]</f>
        <v>55170.702069599996</v>
      </c>
      <c r="Q2247" s="282" t="e">
        <f>(INDEX(Tabla6[#All],MATCH(Tabla4[[#This Row],[Producto]],Tabla6[[#All],[PRODUCTO]],0),MATCH(Tabla4[[#This Row],[Mes]],Tabla6[#Headers],0)))</f>
        <v>#N/A</v>
      </c>
      <c r="R2247" s="282" t="e">
        <f>++Tabla4[[#This Row],[Precio Unitario Neto]]-Tabla4[[#This Row],[20.85%]]-Tabla4[[#This Row],[Costo]]</f>
        <v>#N/A</v>
      </c>
      <c r="S2247" s="282" t="e">
        <f>++Tabla4[[#This Row],[U. Bruta Uni]]*Tabla4[[#This Row],[Cantidad]]</f>
        <v>#N/A</v>
      </c>
      <c r="T2247" s="369" t="str">
        <f>VLOOKUP(Tabla4[[#This Row],[Producto]],Tabla6[#All],14,FALSE)</f>
        <v>Termico Solar</v>
      </c>
      <c r="U2247" s="284" t="e">
        <f>(IF(Tabla4[[#This Row],[Familia]]="termico solar",Tabla4[[#This Row],[Utilidad Total]]*6%,Tabla4[[#This Row],[Utilidad Total]]*11.5%))/Tabla4[[#This Row],[Total]]</f>
        <v>#N/A</v>
      </c>
      <c r="V2247" s="282" t="e">
        <f>+Tabla4[[#This Row],[Comisión Calculada]]*Tabla4[[#This Row],[Total]]</f>
        <v>#N/A</v>
      </c>
    </row>
    <row r="2248" spans="1:22" hidden="1" x14ac:dyDescent="0.25">
      <c r="A2248" s="100">
        <v>45762</v>
      </c>
      <c r="B2248" t="str">
        <f t="shared" si="115"/>
        <v>April</v>
      </c>
      <c r="C2248" s="46" t="s">
        <v>280</v>
      </c>
      <c r="F2248" s="366" t="s">
        <v>1564</v>
      </c>
      <c r="G2248" s="46" t="s">
        <v>18</v>
      </c>
      <c r="H2248" s="46">
        <v>14</v>
      </c>
      <c r="I2248" s="51">
        <v>5367.6500000000005</v>
      </c>
      <c r="J2248" s="281">
        <f>++Tabla4[[#This Row],[Precio Bruto]]*1.16</f>
        <v>6226.4740000000002</v>
      </c>
      <c r="K2248" s="281">
        <f>+Tabla4[[#This Row],[Precio Unitario Neto]]*Tabla4[[#Headers],[20.85%]]</f>
        <v>1298.2198289999999</v>
      </c>
      <c r="L2248" s="282">
        <f>++Tabla4[[#This Row],[Precio Unitario Neto]]-Tabla4[[#This Row],[20.85%]]</f>
        <v>4928.2541710000005</v>
      </c>
      <c r="M2248" s="282" t="e">
        <f>(INDEX(Tabla6[#All],MATCH(Tabla4[[#This Row],[Producto]],Tabla6[[#All],[PRODUCTO]],0),MATCH(Tabla4[[#This Row],[Mes]],Tabla6[#Headers],0)))*(1+Catalogos!$L$2)</f>
        <v>#N/A</v>
      </c>
      <c r="N2248" s="283" t="e">
        <f>+(Tabla4[[#This Row],[Precio Descontado]]-Tabla4[[#This Row],[Precio Base]])*Tabla4[[#This Row],[Cantidad]]</f>
        <v>#N/A</v>
      </c>
      <c r="O2248" s="284" t="e">
        <f>++Tabla4[[#This Row],[Utilidad Total]]/Tabla4[[#This Row],[Total]]</f>
        <v>#N/A</v>
      </c>
      <c r="P2248" s="282">
        <f>++Tabla4[[#This Row],[Precio Descontado]]*Tabla4[[#This Row],[Cantidad]]</f>
        <v>68995.558394000007</v>
      </c>
      <c r="Q2248" s="282" t="e">
        <f>(INDEX(Tabla6[#All],MATCH(Tabla4[[#This Row],[Producto]],Tabla6[[#All],[PRODUCTO]],0),MATCH(Tabla4[[#This Row],[Mes]],Tabla6[#Headers],0)))</f>
        <v>#N/A</v>
      </c>
      <c r="R2248" s="282" t="e">
        <f>++Tabla4[[#This Row],[Precio Unitario Neto]]-Tabla4[[#This Row],[20.85%]]-Tabla4[[#This Row],[Costo]]</f>
        <v>#N/A</v>
      </c>
      <c r="S2248" s="282" t="e">
        <f>++Tabla4[[#This Row],[U. Bruta Uni]]*Tabla4[[#This Row],[Cantidad]]</f>
        <v>#N/A</v>
      </c>
      <c r="T2248" s="369" t="str">
        <f>VLOOKUP(Tabla4[[#This Row],[Producto]],Tabla6[#All],14,FALSE)</f>
        <v>Termico Solar</v>
      </c>
      <c r="U2248" s="284" t="e">
        <f>(IF(Tabla4[[#This Row],[Familia]]="termico solar",Tabla4[[#This Row],[Utilidad Total]]*6%,Tabla4[[#This Row],[Utilidad Total]]*11.5%))/Tabla4[[#This Row],[Total]]</f>
        <v>#N/A</v>
      </c>
      <c r="V2248" s="282" t="e">
        <f>+Tabla4[[#This Row],[Comisión Calculada]]*Tabla4[[#This Row],[Total]]</f>
        <v>#N/A</v>
      </c>
    </row>
    <row r="2249" spans="1:22" ht="18" hidden="1" customHeight="1" x14ac:dyDescent="0.25">
      <c r="A2249" s="100">
        <v>45762</v>
      </c>
      <c r="B2249" t="str">
        <f t="shared" si="115"/>
        <v>April</v>
      </c>
      <c r="C2249" s="46" t="s">
        <v>280</v>
      </c>
      <c r="F2249" s="366" t="s">
        <v>1564</v>
      </c>
      <c r="G2249" s="46" t="s">
        <v>16</v>
      </c>
      <c r="H2249" s="46">
        <v>11</v>
      </c>
      <c r="I2249" s="51">
        <v>4103.8499999999995</v>
      </c>
      <c r="J2249" s="281">
        <f>++Tabla4[[#This Row],[Precio Bruto]]*1.16</f>
        <v>4760.4659999999994</v>
      </c>
      <c r="K2249" s="281">
        <f>+Tabla4[[#This Row],[Precio Unitario Neto]]*Tabla4[[#Headers],[20.85%]]</f>
        <v>992.55716099999984</v>
      </c>
      <c r="L2249" s="282">
        <f>++Tabla4[[#This Row],[Precio Unitario Neto]]-Tabla4[[#This Row],[20.85%]]</f>
        <v>3767.9088389999997</v>
      </c>
      <c r="M2249" s="282" t="e">
        <f>(INDEX(Tabla6[#All],MATCH(Tabla4[[#This Row],[Producto]],Tabla6[[#All],[PRODUCTO]],0),MATCH(Tabla4[[#This Row],[Mes]],Tabla6[#Headers],0)))*(1+Catalogos!$L$2)</f>
        <v>#N/A</v>
      </c>
      <c r="N2249" s="283" t="e">
        <f>+(Tabla4[[#This Row],[Precio Descontado]]-Tabla4[[#This Row],[Precio Base]])*Tabla4[[#This Row],[Cantidad]]</f>
        <v>#N/A</v>
      </c>
      <c r="O2249" s="284" t="e">
        <f>++Tabla4[[#This Row],[Utilidad Total]]/Tabla4[[#This Row],[Total]]</f>
        <v>#N/A</v>
      </c>
      <c r="P2249" s="282">
        <f>++Tabla4[[#This Row],[Precio Descontado]]*Tabla4[[#This Row],[Cantidad]]</f>
        <v>41446.997229000001</v>
      </c>
      <c r="Q2249" s="282" t="e">
        <f>(INDEX(Tabla6[#All],MATCH(Tabla4[[#This Row],[Producto]],Tabla6[[#All],[PRODUCTO]],0),MATCH(Tabla4[[#This Row],[Mes]],Tabla6[#Headers],0)))</f>
        <v>#N/A</v>
      </c>
      <c r="R2249" s="282" t="e">
        <f>++Tabla4[[#This Row],[Precio Unitario Neto]]-Tabla4[[#This Row],[20.85%]]-Tabla4[[#This Row],[Costo]]</f>
        <v>#N/A</v>
      </c>
      <c r="S2249" s="282" t="e">
        <f>++Tabla4[[#This Row],[U. Bruta Uni]]*Tabla4[[#This Row],[Cantidad]]</f>
        <v>#N/A</v>
      </c>
      <c r="T2249" s="369" t="str">
        <f>VLOOKUP(Tabla4[[#This Row],[Producto]],Tabla6[#All],14,FALSE)</f>
        <v>Termico Solar</v>
      </c>
      <c r="U2249" s="284" t="e">
        <f>(IF(Tabla4[[#This Row],[Familia]]="termico solar",Tabla4[[#This Row],[Utilidad Total]]*6%,Tabla4[[#This Row],[Utilidad Total]]*11.5%))/Tabla4[[#This Row],[Total]]</f>
        <v>#N/A</v>
      </c>
      <c r="V2249" s="282" t="e">
        <f>+Tabla4[[#This Row],[Comisión Calculada]]*Tabla4[[#This Row],[Total]]</f>
        <v>#N/A</v>
      </c>
    </row>
    <row r="2250" spans="1:22" ht="18" hidden="1" customHeight="1" x14ac:dyDescent="0.25">
      <c r="A2250" s="100">
        <v>45762</v>
      </c>
      <c r="B2250" t="str">
        <f t="shared" si="115"/>
        <v>April</v>
      </c>
      <c r="C2250" s="46" t="s">
        <v>280</v>
      </c>
      <c r="F2250" s="366" t="s">
        <v>1565</v>
      </c>
      <c r="G2250" s="46" t="s">
        <v>83</v>
      </c>
      <c r="H2250" s="46">
        <v>3</v>
      </c>
      <c r="I2250" s="51">
        <v>8858.76</v>
      </c>
      <c r="J2250" s="281">
        <f>++Tabla4[[#This Row],[Precio Bruto]]*1.16</f>
        <v>10276.161599999999</v>
      </c>
      <c r="K2250" s="281">
        <f>+Tabla4[[#This Row],[Precio Unitario Neto]]*Tabla4[[#Headers],[20.85%]]</f>
        <v>2142.5796935999997</v>
      </c>
      <c r="L2250" s="282">
        <f>++Tabla4[[#This Row],[Precio Unitario Neto]]-Tabla4[[#This Row],[20.85%]]</f>
        <v>8133.5819063999998</v>
      </c>
      <c r="M2250" s="282" t="e">
        <f>(INDEX(Tabla6[#All],MATCH(Tabla4[[#This Row],[Producto]],Tabla6[[#All],[PRODUCTO]],0),MATCH(Tabla4[[#This Row],[Mes]],Tabla6[#Headers],0)))*(1+Catalogos!$L$2)</f>
        <v>#N/A</v>
      </c>
      <c r="N2250" s="283" t="e">
        <f>+(Tabla4[[#This Row],[Precio Descontado]]-Tabla4[[#This Row],[Precio Base]])*Tabla4[[#This Row],[Cantidad]]</f>
        <v>#N/A</v>
      </c>
      <c r="O2250" s="284" t="e">
        <f>++Tabla4[[#This Row],[Utilidad Total]]/Tabla4[[#This Row],[Total]]</f>
        <v>#N/A</v>
      </c>
      <c r="P2250" s="282">
        <f>++Tabla4[[#This Row],[Precio Descontado]]*Tabla4[[#This Row],[Cantidad]]</f>
        <v>24400.7457192</v>
      </c>
      <c r="Q2250" s="282" t="e">
        <f>(INDEX(Tabla6[#All],MATCH(Tabla4[[#This Row],[Producto]],Tabla6[[#All],[PRODUCTO]],0),MATCH(Tabla4[[#This Row],[Mes]],Tabla6[#Headers],0)))</f>
        <v>#N/A</v>
      </c>
      <c r="R2250" s="282" t="e">
        <f>++Tabla4[[#This Row],[Precio Unitario Neto]]-Tabla4[[#This Row],[20.85%]]-Tabla4[[#This Row],[Costo]]</f>
        <v>#N/A</v>
      </c>
      <c r="S2250" s="282" t="e">
        <f>++Tabla4[[#This Row],[U. Bruta Uni]]*Tabla4[[#This Row],[Cantidad]]</f>
        <v>#N/A</v>
      </c>
      <c r="T2250" s="369" t="str">
        <f>VLOOKUP(Tabla4[[#This Row],[Producto]],Tabla6[#All],14,FALSE)</f>
        <v>Termico Solar</v>
      </c>
      <c r="U2250" s="284" t="e">
        <f>(IF(Tabla4[[#This Row],[Familia]]="termico solar",Tabla4[[#This Row],[Utilidad Total]]*6%,Tabla4[[#This Row],[Utilidad Total]]*11.5%))/Tabla4[[#This Row],[Total]]</f>
        <v>#N/A</v>
      </c>
      <c r="V2250" s="282" t="e">
        <f>+Tabla4[[#This Row],[Comisión Calculada]]*Tabla4[[#This Row],[Total]]</f>
        <v>#N/A</v>
      </c>
    </row>
    <row r="2251" spans="1:22" ht="18" hidden="1" customHeight="1" x14ac:dyDescent="0.25">
      <c r="A2251" s="100">
        <v>45762</v>
      </c>
      <c r="B2251" t="str">
        <f t="shared" si="115"/>
        <v>April</v>
      </c>
      <c r="C2251" s="46" t="s">
        <v>280</v>
      </c>
      <c r="F2251" s="366" t="s">
        <v>1566</v>
      </c>
      <c r="G2251" s="46" t="s">
        <v>17</v>
      </c>
      <c r="H2251" s="46">
        <v>1</v>
      </c>
      <c r="I2251" s="51">
        <v>4622.28</v>
      </c>
      <c r="J2251" s="281">
        <f>++Tabla4[[#This Row],[Precio Bruto]]*1.16</f>
        <v>5361.8447999999989</v>
      </c>
      <c r="K2251" s="281">
        <f>+Tabla4[[#This Row],[Precio Unitario Neto]]*Tabla4[[#Headers],[20.85%]]</f>
        <v>1117.9446407999997</v>
      </c>
      <c r="L2251" s="282">
        <f>++Tabla4[[#This Row],[Precio Unitario Neto]]-Tabla4[[#This Row],[20.85%]]</f>
        <v>4243.9001591999995</v>
      </c>
      <c r="M2251" s="282" t="e">
        <f>(INDEX(Tabla6[#All],MATCH(Tabla4[[#This Row],[Producto]],Tabla6[[#All],[PRODUCTO]],0),MATCH(Tabla4[[#This Row],[Mes]],Tabla6[#Headers],0)))*(1+Catalogos!$L$2)</f>
        <v>#N/A</v>
      </c>
      <c r="N2251" s="283" t="e">
        <f>+(Tabla4[[#This Row],[Precio Descontado]]-Tabla4[[#This Row],[Precio Base]])*Tabla4[[#This Row],[Cantidad]]</f>
        <v>#N/A</v>
      </c>
      <c r="O2251" s="284" t="e">
        <f>++Tabla4[[#This Row],[Utilidad Total]]/Tabla4[[#This Row],[Total]]</f>
        <v>#N/A</v>
      </c>
      <c r="P2251" s="282">
        <f>++Tabla4[[#This Row],[Precio Descontado]]*Tabla4[[#This Row],[Cantidad]]</f>
        <v>4243.9001591999995</v>
      </c>
      <c r="Q2251" s="282" t="e">
        <f>(INDEX(Tabla6[#All],MATCH(Tabla4[[#This Row],[Producto]],Tabla6[[#All],[PRODUCTO]],0),MATCH(Tabla4[[#This Row],[Mes]],Tabla6[#Headers],0)))</f>
        <v>#N/A</v>
      </c>
      <c r="R2251" s="282" t="e">
        <f>++Tabla4[[#This Row],[Precio Unitario Neto]]-Tabla4[[#This Row],[20.85%]]-Tabla4[[#This Row],[Costo]]</f>
        <v>#N/A</v>
      </c>
      <c r="S2251" s="282" t="e">
        <f>++Tabla4[[#This Row],[U. Bruta Uni]]*Tabla4[[#This Row],[Cantidad]]</f>
        <v>#N/A</v>
      </c>
      <c r="T2251" s="369" t="str">
        <f>VLOOKUP(Tabla4[[#This Row],[Producto]],Tabla6[#All],14,FALSE)</f>
        <v>Termico Solar</v>
      </c>
      <c r="U2251" s="284" t="e">
        <f>(IF(Tabla4[[#This Row],[Familia]]="termico solar",Tabla4[[#This Row],[Utilidad Total]]*6%,Tabla4[[#This Row],[Utilidad Total]]*11.5%))/Tabla4[[#This Row],[Total]]</f>
        <v>#N/A</v>
      </c>
      <c r="V2251" s="282" t="e">
        <f>+Tabla4[[#This Row],[Comisión Calculada]]*Tabla4[[#This Row],[Total]]</f>
        <v>#N/A</v>
      </c>
    </row>
    <row r="2252" spans="1:22" hidden="1" x14ac:dyDescent="0.25">
      <c r="A2252" s="100">
        <v>45762</v>
      </c>
      <c r="B2252" t="str">
        <f t="shared" si="115"/>
        <v>April</v>
      </c>
      <c r="C2252" s="46" t="s">
        <v>280</v>
      </c>
      <c r="F2252" s="366" t="s">
        <v>1567</v>
      </c>
      <c r="G2252" s="46" t="s">
        <v>17</v>
      </c>
      <c r="H2252" s="46">
        <v>3</v>
      </c>
      <c r="I2252" s="51">
        <v>4622.28</v>
      </c>
      <c r="J2252" s="281">
        <f>++Tabla4[[#This Row],[Precio Bruto]]*1.16</f>
        <v>5361.8447999999989</v>
      </c>
      <c r="K2252" s="281">
        <f>+Tabla4[[#This Row],[Precio Unitario Neto]]*Tabla4[[#Headers],[20.85%]]</f>
        <v>1117.9446407999997</v>
      </c>
      <c r="L2252" s="282">
        <f>++Tabla4[[#This Row],[Precio Unitario Neto]]-Tabla4[[#This Row],[20.85%]]</f>
        <v>4243.9001591999995</v>
      </c>
      <c r="M2252" s="282" t="e">
        <f>(INDEX(Tabla6[#All],MATCH(Tabla4[[#This Row],[Producto]],Tabla6[[#All],[PRODUCTO]],0),MATCH(Tabla4[[#This Row],[Mes]],Tabla6[#Headers],0)))*(1+Catalogos!$L$2)</f>
        <v>#N/A</v>
      </c>
      <c r="N2252" s="283" t="e">
        <f>+(Tabla4[[#This Row],[Precio Descontado]]-Tabla4[[#This Row],[Precio Base]])*Tabla4[[#This Row],[Cantidad]]</f>
        <v>#N/A</v>
      </c>
      <c r="O2252" s="284" t="e">
        <f>++Tabla4[[#This Row],[Utilidad Total]]/Tabla4[[#This Row],[Total]]</f>
        <v>#N/A</v>
      </c>
      <c r="P2252" s="282">
        <f>++Tabla4[[#This Row],[Precio Descontado]]*Tabla4[[#This Row],[Cantidad]]</f>
        <v>12731.700477599999</v>
      </c>
      <c r="Q2252" s="282" t="e">
        <f>(INDEX(Tabla6[#All],MATCH(Tabla4[[#This Row],[Producto]],Tabla6[[#All],[PRODUCTO]],0),MATCH(Tabla4[[#This Row],[Mes]],Tabla6[#Headers],0)))</f>
        <v>#N/A</v>
      </c>
      <c r="R2252" s="282" t="e">
        <f>++Tabla4[[#This Row],[Precio Unitario Neto]]-Tabla4[[#This Row],[20.85%]]-Tabla4[[#This Row],[Costo]]</f>
        <v>#N/A</v>
      </c>
      <c r="S2252" s="282" t="e">
        <f>++Tabla4[[#This Row],[U. Bruta Uni]]*Tabla4[[#This Row],[Cantidad]]</f>
        <v>#N/A</v>
      </c>
      <c r="T2252" s="369" t="str">
        <f>VLOOKUP(Tabla4[[#This Row],[Producto]],Tabla6[#All],14,FALSE)</f>
        <v>Termico Solar</v>
      </c>
      <c r="U2252" s="284" t="e">
        <f>(IF(Tabla4[[#This Row],[Familia]]="termico solar",Tabla4[[#This Row],[Utilidad Total]]*6%,Tabla4[[#This Row],[Utilidad Total]]*11.5%))/Tabla4[[#This Row],[Total]]</f>
        <v>#N/A</v>
      </c>
      <c r="V2252" s="282" t="e">
        <f>+Tabla4[[#This Row],[Comisión Calculada]]*Tabla4[[#This Row],[Total]]</f>
        <v>#N/A</v>
      </c>
    </row>
    <row r="2253" spans="1:22" hidden="1" x14ac:dyDescent="0.25">
      <c r="A2253" s="100">
        <v>45762</v>
      </c>
      <c r="B2253" t="str">
        <f t="shared" si="115"/>
        <v>April</v>
      </c>
      <c r="C2253" s="46" t="s">
        <v>280</v>
      </c>
      <c r="F2253" s="366" t="s">
        <v>1567</v>
      </c>
      <c r="G2253" s="46" t="s">
        <v>18</v>
      </c>
      <c r="H2253" s="46">
        <v>2</v>
      </c>
      <c r="I2253" s="51">
        <v>5367.65</v>
      </c>
      <c r="J2253" s="281">
        <f>++Tabla4[[#This Row],[Precio Bruto]]*1.16</f>
        <v>6226.4739999999993</v>
      </c>
      <c r="K2253" s="281">
        <f>+Tabla4[[#This Row],[Precio Unitario Neto]]*Tabla4[[#Headers],[20.85%]]</f>
        <v>1298.2198289999999</v>
      </c>
      <c r="L2253" s="282">
        <f>++Tabla4[[#This Row],[Precio Unitario Neto]]-Tabla4[[#This Row],[20.85%]]</f>
        <v>4928.2541709999996</v>
      </c>
      <c r="M2253" s="282" t="e">
        <f>(INDEX(Tabla6[#All],MATCH(Tabla4[[#This Row],[Producto]],Tabla6[[#All],[PRODUCTO]],0),MATCH(Tabla4[[#This Row],[Mes]],Tabla6[#Headers],0)))*(1+Catalogos!$L$2)</f>
        <v>#N/A</v>
      </c>
      <c r="N2253" s="283" t="e">
        <f>+(Tabla4[[#This Row],[Precio Descontado]]-Tabla4[[#This Row],[Precio Base]])*Tabla4[[#This Row],[Cantidad]]</f>
        <v>#N/A</v>
      </c>
      <c r="O2253" s="284" t="e">
        <f>++Tabla4[[#This Row],[Utilidad Total]]/Tabla4[[#This Row],[Total]]</f>
        <v>#N/A</v>
      </c>
      <c r="P2253" s="282">
        <f>++Tabla4[[#This Row],[Precio Descontado]]*Tabla4[[#This Row],[Cantidad]]</f>
        <v>9856.5083419999992</v>
      </c>
      <c r="Q2253" s="282" t="e">
        <f>(INDEX(Tabla6[#All],MATCH(Tabla4[[#This Row],[Producto]],Tabla6[[#All],[PRODUCTO]],0),MATCH(Tabla4[[#This Row],[Mes]],Tabla6[#Headers],0)))</f>
        <v>#N/A</v>
      </c>
      <c r="R2253" s="282" t="e">
        <f>++Tabla4[[#This Row],[Precio Unitario Neto]]-Tabla4[[#This Row],[20.85%]]-Tabla4[[#This Row],[Costo]]</f>
        <v>#N/A</v>
      </c>
      <c r="S2253" s="282" t="e">
        <f>++Tabla4[[#This Row],[U. Bruta Uni]]*Tabla4[[#This Row],[Cantidad]]</f>
        <v>#N/A</v>
      </c>
      <c r="T2253" s="369" t="str">
        <f>VLOOKUP(Tabla4[[#This Row],[Producto]],Tabla6[#All],14,FALSE)</f>
        <v>Termico Solar</v>
      </c>
      <c r="U2253" s="284" t="e">
        <f>(IF(Tabla4[[#This Row],[Familia]]="termico solar",Tabla4[[#This Row],[Utilidad Total]]*6%,Tabla4[[#This Row],[Utilidad Total]]*11.5%))/Tabla4[[#This Row],[Total]]</f>
        <v>#N/A</v>
      </c>
      <c r="V2253" s="282" t="e">
        <f>+Tabla4[[#This Row],[Comisión Calculada]]*Tabla4[[#This Row],[Total]]</f>
        <v>#N/A</v>
      </c>
    </row>
    <row r="2254" spans="1:22" hidden="1" x14ac:dyDescent="0.25">
      <c r="A2254" s="100">
        <v>45762</v>
      </c>
      <c r="B2254" t="str">
        <f t="shared" si="115"/>
        <v>April</v>
      </c>
      <c r="C2254" s="46" t="s">
        <v>280</v>
      </c>
      <c r="F2254" s="366" t="s">
        <v>1568</v>
      </c>
      <c r="G2254" s="46" t="s">
        <v>83</v>
      </c>
      <c r="H2254" s="46">
        <v>3</v>
      </c>
      <c r="I2254" s="51">
        <v>8858.76</v>
      </c>
      <c r="J2254" s="281">
        <f>++Tabla4[[#This Row],[Precio Bruto]]*1.16</f>
        <v>10276.161599999999</v>
      </c>
      <c r="K2254" s="281">
        <f>+Tabla4[[#This Row],[Precio Unitario Neto]]*Tabla4[[#Headers],[20.85%]]</f>
        <v>2142.5796935999997</v>
      </c>
      <c r="L2254" s="282">
        <f>++Tabla4[[#This Row],[Precio Unitario Neto]]-Tabla4[[#This Row],[20.85%]]</f>
        <v>8133.5819063999998</v>
      </c>
      <c r="M2254" s="282" t="e">
        <f>(INDEX(Tabla6[#All],MATCH(Tabla4[[#This Row],[Producto]],Tabla6[[#All],[PRODUCTO]],0),MATCH(Tabla4[[#This Row],[Mes]],Tabla6[#Headers],0)))*(1+Catalogos!$L$2)</f>
        <v>#N/A</v>
      </c>
      <c r="N2254" s="283" t="e">
        <f>+(Tabla4[[#This Row],[Precio Descontado]]-Tabla4[[#This Row],[Precio Base]])*Tabla4[[#This Row],[Cantidad]]</f>
        <v>#N/A</v>
      </c>
      <c r="O2254" s="284" t="e">
        <f>++Tabla4[[#This Row],[Utilidad Total]]/Tabla4[[#This Row],[Total]]</f>
        <v>#N/A</v>
      </c>
      <c r="P2254" s="282">
        <f>++Tabla4[[#This Row],[Precio Descontado]]*Tabla4[[#This Row],[Cantidad]]</f>
        <v>24400.7457192</v>
      </c>
      <c r="Q2254" s="282" t="e">
        <f>(INDEX(Tabla6[#All],MATCH(Tabla4[[#This Row],[Producto]],Tabla6[[#All],[PRODUCTO]],0),MATCH(Tabla4[[#This Row],[Mes]],Tabla6[#Headers],0)))</f>
        <v>#N/A</v>
      </c>
      <c r="R2254" s="282" t="e">
        <f>++Tabla4[[#This Row],[Precio Unitario Neto]]-Tabla4[[#This Row],[20.85%]]-Tabla4[[#This Row],[Costo]]</f>
        <v>#N/A</v>
      </c>
      <c r="S2254" s="282" t="e">
        <f>++Tabla4[[#This Row],[U. Bruta Uni]]*Tabla4[[#This Row],[Cantidad]]</f>
        <v>#N/A</v>
      </c>
      <c r="T2254" s="369" t="str">
        <f>VLOOKUP(Tabla4[[#This Row],[Producto]],Tabla6[#All],14,FALSE)</f>
        <v>Termico Solar</v>
      </c>
      <c r="U2254" s="284" t="e">
        <f>(IF(Tabla4[[#This Row],[Familia]]="termico solar",Tabla4[[#This Row],[Utilidad Total]]*6%,Tabla4[[#This Row],[Utilidad Total]]*11.5%))/Tabla4[[#This Row],[Total]]</f>
        <v>#N/A</v>
      </c>
      <c r="V2254" s="282" t="e">
        <f>+Tabla4[[#This Row],[Comisión Calculada]]*Tabla4[[#This Row],[Total]]</f>
        <v>#N/A</v>
      </c>
    </row>
    <row r="2255" spans="1:22" hidden="1" x14ac:dyDescent="0.25">
      <c r="A2255" s="100">
        <v>45762</v>
      </c>
      <c r="B2255" t="str">
        <f t="shared" si="115"/>
        <v>April</v>
      </c>
      <c r="C2255" s="46" t="s">
        <v>280</v>
      </c>
      <c r="F2255" s="366" t="s">
        <v>1568</v>
      </c>
      <c r="G2255" s="46" t="s">
        <v>17</v>
      </c>
      <c r="H2255" s="46">
        <v>26</v>
      </c>
      <c r="I2255" s="51">
        <v>4622.28</v>
      </c>
      <c r="J2255" s="281">
        <f>++Tabla4[[#This Row],[Precio Bruto]]*1.16</f>
        <v>5361.8447999999989</v>
      </c>
      <c r="K2255" s="281">
        <f>+Tabla4[[#This Row],[Precio Unitario Neto]]*Tabla4[[#Headers],[20.85%]]</f>
        <v>1117.9446407999997</v>
      </c>
      <c r="L2255" s="282">
        <f>++Tabla4[[#This Row],[Precio Unitario Neto]]-Tabla4[[#This Row],[20.85%]]</f>
        <v>4243.9001591999995</v>
      </c>
      <c r="M2255" s="282" t="e">
        <f>(INDEX(Tabla6[#All],MATCH(Tabla4[[#This Row],[Producto]],Tabla6[[#All],[PRODUCTO]],0),MATCH(Tabla4[[#This Row],[Mes]],Tabla6[#Headers],0)))*(1+Catalogos!$L$2)</f>
        <v>#N/A</v>
      </c>
      <c r="N2255" s="283" t="e">
        <f>+(Tabla4[[#This Row],[Precio Descontado]]-Tabla4[[#This Row],[Precio Base]])*Tabla4[[#This Row],[Cantidad]]</f>
        <v>#N/A</v>
      </c>
      <c r="O2255" s="284" t="e">
        <f>++Tabla4[[#This Row],[Utilidad Total]]/Tabla4[[#This Row],[Total]]</f>
        <v>#N/A</v>
      </c>
      <c r="P2255" s="282">
        <f>++Tabla4[[#This Row],[Precio Descontado]]*Tabla4[[#This Row],[Cantidad]]</f>
        <v>110341.40413919999</v>
      </c>
      <c r="Q2255" s="282" t="e">
        <f>(INDEX(Tabla6[#All],MATCH(Tabla4[[#This Row],[Producto]],Tabla6[[#All],[PRODUCTO]],0),MATCH(Tabla4[[#This Row],[Mes]],Tabla6[#Headers],0)))</f>
        <v>#N/A</v>
      </c>
      <c r="R2255" s="282" t="e">
        <f>++Tabla4[[#This Row],[Precio Unitario Neto]]-Tabla4[[#This Row],[20.85%]]-Tabla4[[#This Row],[Costo]]</f>
        <v>#N/A</v>
      </c>
      <c r="S2255" s="282" t="e">
        <f>++Tabla4[[#This Row],[U. Bruta Uni]]*Tabla4[[#This Row],[Cantidad]]</f>
        <v>#N/A</v>
      </c>
      <c r="T2255" s="369" t="str">
        <f>VLOOKUP(Tabla4[[#This Row],[Producto]],Tabla6[#All],14,FALSE)</f>
        <v>Termico Solar</v>
      </c>
      <c r="U2255" s="284" t="e">
        <f>(IF(Tabla4[[#This Row],[Familia]]="termico solar",Tabla4[[#This Row],[Utilidad Total]]*6%,Tabla4[[#This Row],[Utilidad Total]]*11.5%))/Tabla4[[#This Row],[Total]]</f>
        <v>#N/A</v>
      </c>
      <c r="V2255" s="282" t="e">
        <f>+Tabla4[[#This Row],[Comisión Calculada]]*Tabla4[[#This Row],[Total]]</f>
        <v>#N/A</v>
      </c>
    </row>
    <row r="2256" spans="1:22" hidden="1" x14ac:dyDescent="0.25">
      <c r="A2256" s="100">
        <v>45762</v>
      </c>
      <c r="B2256" t="str">
        <f t="shared" si="115"/>
        <v>April</v>
      </c>
      <c r="C2256" s="46" t="s">
        <v>280</v>
      </c>
      <c r="F2256" s="366" t="s">
        <v>1568</v>
      </c>
      <c r="G2256" s="46" t="s">
        <v>18</v>
      </c>
      <c r="H2256" s="46">
        <v>27</v>
      </c>
      <c r="I2256" s="51">
        <v>5367.65</v>
      </c>
      <c r="J2256" s="281">
        <f>++Tabla4[[#This Row],[Precio Bruto]]*1.16</f>
        <v>6226.4739999999993</v>
      </c>
      <c r="K2256" s="281">
        <f>+Tabla4[[#This Row],[Precio Unitario Neto]]*Tabla4[[#Headers],[20.85%]]</f>
        <v>1298.2198289999999</v>
      </c>
      <c r="L2256" s="282">
        <f>++Tabla4[[#This Row],[Precio Unitario Neto]]-Tabla4[[#This Row],[20.85%]]</f>
        <v>4928.2541709999996</v>
      </c>
      <c r="M2256" s="282" t="e">
        <f>(INDEX(Tabla6[#All],MATCH(Tabla4[[#This Row],[Producto]],Tabla6[[#All],[PRODUCTO]],0),MATCH(Tabla4[[#This Row],[Mes]],Tabla6[#Headers],0)))*(1+Catalogos!$L$2)</f>
        <v>#N/A</v>
      </c>
      <c r="N2256" s="283" t="e">
        <f>+(Tabla4[[#This Row],[Precio Descontado]]-Tabla4[[#This Row],[Precio Base]])*Tabla4[[#This Row],[Cantidad]]</f>
        <v>#N/A</v>
      </c>
      <c r="O2256" s="284" t="e">
        <f>++Tabla4[[#This Row],[Utilidad Total]]/Tabla4[[#This Row],[Total]]</f>
        <v>#N/A</v>
      </c>
      <c r="P2256" s="282">
        <f>++Tabla4[[#This Row],[Precio Descontado]]*Tabla4[[#This Row],[Cantidad]]</f>
        <v>133062.86261699998</v>
      </c>
      <c r="Q2256" s="282" t="e">
        <f>(INDEX(Tabla6[#All],MATCH(Tabla4[[#This Row],[Producto]],Tabla6[[#All],[PRODUCTO]],0),MATCH(Tabla4[[#This Row],[Mes]],Tabla6[#Headers],0)))</f>
        <v>#N/A</v>
      </c>
      <c r="R2256" s="282" t="e">
        <f>++Tabla4[[#This Row],[Precio Unitario Neto]]-Tabla4[[#This Row],[20.85%]]-Tabla4[[#This Row],[Costo]]</f>
        <v>#N/A</v>
      </c>
      <c r="S2256" s="282" t="e">
        <f>++Tabla4[[#This Row],[U. Bruta Uni]]*Tabla4[[#This Row],[Cantidad]]</f>
        <v>#N/A</v>
      </c>
      <c r="T2256" s="369" t="str">
        <f>VLOOKUP(Tabla4[[#This Row],[Producto]],Tabla6[#All],14,FALSE)</f>
        <v>Termico Solar</v>
      </c>
      <c r="U2256" s="284" t="e">
        <f>(IF(Tabla4[[#This Row],[Familia]]="termico solar",Tabla4[[#This Row],[Utilidad Total]]*6%,Tabla4[[#This Row],[Utilidad Total]]*11.5%))/Tabla4[[#This Row],[Total]]</f>
        <v>#N/A</v>
      </c>
      <c r="V2256" s="282" t="e">
        <f>+Tabla4[[#This Row],[Comisión Calculada]]*Tabla4[[#This Row],[Total]]</f>
        <v>#N/A</v>
      </c>
    </row>
    <row r="2257" spans="1:22" hidden="1" x14ac:dyDescent="0.25">
      <c r="A2257" s="100">
        <v>45762</v>
      </c>
      <c r="B2257" t="str">
        <f t="shared" si="115"/>
        <v>April</v>
      </c>
      <c r="C2257" s="46" t="s">
        <v>280</v>
      </c>
      <c r="F2257" s="366" t="s">
        <v>1568</v>
      </c>
      <c r="G2257" s="46" t="s">
        <v>16</v>
      </c>
      <c r="H2257" s="46">
        <v>13</v>
      </c>
      <c r="I2257" s="51">
        <v>4103.8500000000004</v>
      </c>
      <c r="J2257" s="281">
        <f>++Tabla4[[#This Row],[Precio Bruto]]*1.16</f>
        <v>4760.4660000000003</v>
      </c>
      <c r="K2257" s="281">
        <f>+Tabla4[[#This Row],[Precio Unitario Neto]]*Tabla4[[#Headers],[20.85%]]</f>
        <v>992.55716100000006</v>
      </c>
      <c r="L2257" s="282">
        <f>++Tabla4[[#This Row],[Precio Unitario Neto]]-Tabla4[[#This Row],[20.85%]]</f>
        <v>3767.9088390000002</v>
      </c>
      <c r="M2257" s="282" t="e">
        <f>(INDEX(Tabla6[#All],MATCH(Tabla4[[#This Row],[Producto]],Tabla6[[#All],[PRODUCTO]],0),MATCH(Tabla4[[#This Row],[Mes]],Tabla6[#Headers],0)))*(1+Catalogos!$L$2)</f>
        <v>#N/A</v>
      </c>
      <c r="N2257" s="283" t="e">
        <f>+(Tabla4[[#This Row],[Precio Descontado]]-Tabla4[[#This Row],[Precio Base]])*Tabla4[[#This Row],[Cantidad]]</f>
        <v>#N/A</v>
      </c>
      <c r="O2257" s="284" t="e">
        <f>++Tabla4[[#This Row],[Utilidad Total]]/Tabla4[[#This Row],[Total]]</f>
        <v>#N/A</v>
      </c>
      <c r="P2257" s="282">
        <f>++Tabla4[[#This Row],[Precio Descontado]]*Tabla4[[#This Row],[Cantidad]]</f>
        <v>48982.814907</v>
      </c>
      <c r="Q2257" s="282" t="e">
        <f>(INDEX(Tabla6[#All],MATCH(Tabla4[[#This Row],[Producto]],Tabla6[[#All],[PRODUCTO]],0),MATCH(Tabla4[[#This Row],[Mes]],Tabla6[#Headers],0)))</f>
        <v>#N/A</v>
      </c>
      <c r="R2257" s="282" t="e">
        <f>++Tabla4[[#This Row],[Precio Unitario Neto]]-Tabla4[[#This Row],[20.85%]]-Tabla4[[#This Row],[Costo]]</f>
        <v>#N/A</v>
      </c>
      <c r="S2257" s="282" t="e">
        <f>++Tabla4[[#This Row],[U. Bruta Uni]]*Tabla4[[#This Row],[Cantidad]]</f>
        <v>#N/A</v>
      </c>
      <c r="T2257" s="369" t="str">
        <f>VLOOKUP(Tabla4[[#This Row],[Producto]],Tabla6[#All],14,FALSE)</f>
        <v>Termico Solar</v>
      </c>
      <c r="U2257" s="284" t="e">
        <f>(IF(Tabla4[[#This Row],[Familia]]="termico solar",Tabla4[[#This Row],[Utilidad Total]]*6%,Tabla4[[#This Row],[Utilidad Total]]*11.5%))/Tabla4[[#This Row],[Total]]</f>
        <v>#N/A</v>
      </c>
      <c r="V2257" s="282" t="e">
        <f>+Tabla4[[#This Row],[Comisión Calculada]]*Tabla4[[#This Row],[Total]]</f>
        <v>#N/A</v>
      </c>
    </row>
    <row r="2258" spans="1:22" hidden="1" x14ac:dyDescent="0.25">
      <c r="A2258" s="100">
        <v>45762</v>
      </c>
      <c r="B2258" t="str">
        <f t="shared" si="115"/>
        <v>April</v>
      </c>
      <c r="C2258" s="46" t="s">
        <v>280</v>
      </c>
      <c r="F2258" s="366" t="s">
        <v>1569</v>
      </c>
      <c r="G2258" s="46" t="s">
        <v>17</v>
      </c>
      <c r="H2258" s="46">
        <v>2</v>
      </c>
      <c r="I2258" s="51">
        <v>4622.28</v>
      </c>
      <c r="J2258" s="281">
        <f>++Tabla4[[#This Row],[Precio Bruto]]*1.16</f>
        <v>5361.8447999999989</v>
      </c>
      <c r="K2258" s="281">
        <f>+Tabla4[[#This Row],[Precio Unitario Neto]]*Tabla4[[#Headers],[20.85%]]</f>
        <v>1117.9446407999997</v>
      </c>
      <c r="L2258" s="282">
        <f>++Tabla4[[#This Row],[Precio Unitario Neto]]-Tabla4[[#This Row],[20.85%]]</f>
        <v>4243.9001591999995</v>
      </c>
      <c r="M2258" s="282" t="e">
        <f>(INDEX(Tabla6[#All],MATCH(Tabla4[[#This Row],[Producto]],Tabla6[[#All],[PRODUCTO]],0),MATCH(Tabla4[[#This Row],[Mes]],Tabla6[#Headers],0)))*(1+Catalogos!$L$2)</f>
        <v>#N/A</v>
      </c>
      <c r="N2258" s="283" t="e">
        <f>+(Tabla4[[#This Row],[Precio Descontado]]-Tabla4[[#This Row],[Precio Base]])*Tabla4[[#This Row],[Cantidad]]</f>
        <v>#N/A</v>
      </c>
      <c r="O2258" s="284" t="e">
        <f>++Tabla4[[#This Row],[Utilidad Total]]/Tabla4[[#This Row],[Total]]</f>
        <v>#N/A</v>
      </c>
      <c r="P2258" s="282">
        <f>++Tabla4[[#This Row],[Precio Descontado]]*Tabla4[[#This Row],[Cantidad]]</f>
        <v>8487.800318399999</v>
      </c>
      <c r="Q2258" s="282" t="e">
        <f>(INDEX(Tabla6[#All],MATCH(Tabla4[[#This Row],[Producto]],Tabla6[[#All],[PRODUCTO]],0),MATCH(Tabla4[[#This Row],[Mes]],Tabla6[#Headers],0)))</f>
        <v>#N/A</v>
      </c>
      <c r="R2258" s="282" t="e">
        <f>++Tabla4[[#This Row],[Precio Unitario Neto]]-Tabla4[[#This Row],[20.85%]]-Tabla4[[#This Row],[Costo]]</f>
        <v>#N/A</v>
      </c>
      <c r="S2258" s="282" t="e">
        <f>++Tabla4[[#This Row],[U. Bruta Uni]]*Tabla4[[#This Row],[Cantidad]]</f>
        <v>#N/A</v>
      </c>
      <c r="T2258" s="369" t="str">
        <f>VLOOKUP(Tabla4[[#This Row],[Producto]],Tabla6[#All],14,FALSE)</f>
        <v>Termico Solar</v>
      </c>
      <c r="U2258" s="284" t="e">
        <f>(IF(Tabla4[[#This Row],[Familia]]="termico solar",Tabla4[[#This Row],[Utilidad Total]]*6%,Tabla4[[#This Row],[Utilidad Total]]*11.5%))/Tabla4[[#This Row],[Total]]</f>
        <v>#N/A</v>
      </c>
      <c r="V2258" s="282" t="e">
        <f>+Tabla4[[#This Row],[Comisión Calculada]]*Tabla4[[#This Row],[Total]]</f>
        <v>#N/A</v>
      </c>
    </row>
    <row r="2259" spans="1:22" hidden="1" x14ac:dyDescent="0.25">
      <c r="A2259" s="100">
        <v>45762</v>
      </c>
      <c r="B2259" t="str">
        <f t="shared" si="115"/>
        <v>April</v>
      </c>
      <c r="C2259" s="46" t="s">
        <v>280</v>
      </c>
      <c r="F2259" s="366" t="s">
        <v>1569</v>
      </c>
      <c r="G2259" s="46" t="s">
        <v>566</v>
      </c>
      <c r="H2259" s="46">
        <v>1</v>
      </c>
      <c r="I2259" s="51">
        <v>2109.4499999999998</v>
      </c>
      <c r="J2259" s="281">
        <f>++Tabla4[[#This Row],[Precio Bruto]]*1.16</f>
        <v>2446.9619999999995</v>
      </c>
      <c r="K2259" s="281">
        <f>+Tabla4[[#This Row],[Precio Unitario Neto]]*Tabla4[[#Headers],[20.85%]]</f>
        <v>510.19157699999988</v>
      </c>
      <c r="L2259" s="282">
        <f>++Tabla4[[#This Row],[Precio Unitario Neto]]-Tabla4[[#This Row],[20.85%]]</f>
        <v>1936.7704229999997</v>
      </c>
      <c r="M2259" s="282" t="e">
        <f>(INDEX(Tabla6[#All],MATCH(Tabla4[[#This Row],[Producto]],Tabla6[[#All],[PRODUCTO]],0),MATCH(Tabla4[[#This Row],[Mes]],Tabla6[#Headers],0)))*(1+Catalogos!$L$2)</f>
        <v>#N/A</v>
      </c>
      <c r="N2259" s="283" t="e">
        <f>+(Tabla4[[#This Row],[Precio Descontado]]-Tabla4[[#This Row],[Precio Base]])*Tabla4[[#This Row],[Cantidad]]</f>
        <v>#N/A</v>
      </c>
      <c r="O2259" s="284" t="e">
        <f>++Tabla4[[#This Row],[Utilidad Total]]/Tabla4[[#This Row],[Total]]</f>
        <v>#N/A</v>
      </c>
      <c r="P2259" s="282">
        <f>++Tabla4[[#This Row],[Precio Descontado]]*Tabla4[[#This Row],[Cantidad]]</f>
        <v>1936.7704229999997</v>
      </c>
      <c r="Q2259" s="282" t="e">
        <f>(INDEX(Tabla6[#All],MATCH(Tabla4[[#This Row],[Producto]],Tabla6[[#All],[PRODUCTO]],0),MATCH(Tabla4[[#This Row],[Mes]],Tabla6[#Headers],0)))</f>
        <v>#N/A</v>
      </c>
      <c r="R2259" s="282" t="e">
        <f>++Tabla4[[#This Row],[Precio Unitario Neto]]-Tabla4[[#This Row],[20.85%]]-Tabla4[[#This Row],[Costo]]</f>
        <v>#N/A</v>
      </c>
      <c r="S2259" s="282" t="e">
        <f>++Tabla4[[#This Row],[U. Bruta Uni]]*Tabla4[[#This Row],[Cantidad]]</f>
        <v>#N/A</v>
      </c>
      <c r="T2259" s="369" t="str">
        <f>VLOOKUP(Tabla4[[#This Row],[Producto]],Tabla6[#All],14,FALSE)</f>
        <v>Termico Solar</v>
      </c>
      <c r="U2259" s="284" t="e">
        <f>(IF(Tabla4[[#This Row],[Familia]]="termico solar",Tabla4[[#This Row],[Utilidad Total]]*6%,Tabla4[[#This Row],[Utilidad Total]]*11.5%))/Tabla4[[#This Row],[Total]]</f>
        <v>#N/A</v>
      </c>
      <c r="V2259" s="282" t="e">
        <f>+Tabla4[[#This Row],[Comisión Calculada]]*Tabla4[[#This Row],[Total]]</f>
        <v>#N/A</v>
      </c>
    </row>
    <row r="2260" spans="1:22" hidden="1" x14ac:dyDescent="0.25">
      <c r="A2260" s="100">
        <v>45762</v>
      </c>
      <c r="B2260" t="str">
        <f t="shared" si="115"/>
        <v>April</v>
      </c>
      <c r="C2260" s="46" t="s">
        <v>280</v>
      </c>
      <c r="F2260" s="366" t="s">
        <v>1569</v>
      </c>
      <c r="G2260" s="46" t="s">
        <v>16</v>
      </c>
      <c r="H2260" s="46">
        <v>2</v>
      </c>
      <c r="I2260" s="51">
        <v>4103.8500000000004</v>
      </c>
      <c r="J2260" s="281">
        <f>++Tabla4[[#This Row],[Precio Bruto]]*1.16</f>
        <v>4760.4660000000003</v>
      </c>
      <c r="K2260" s="281">
        <f>+Tabla4[[#This Row],[Precio Unitario Neto]]*Tabla4[[#Headers],[20.85%]]</f>
        <v>992.55716100000006</v>
      </c>
      <c r="L2260" s="282">
        <f>++Tabla4[[#This Row],[Precio Unitario Neto]]-Tabla4[[#This Row],[20.85%]]</f>
        <v>3767.9088390000002</v>
      </c>
      <c r="M2260" s="282" t="e">
        <f>(INDEX(Tabla6[#All],MATCH(Tabla4[[#This Row],[Producto]],Tabla6[[#All],[PRODUCTO]],0),MATCH(Tabla4[[#This Row],[Mes]],Tabla6[#Headers],0)))*(1+Catalogos!$L$2)</f>
        <v>#N/A</v>
      </c>
      <c r="N2260" s="283" t="e">
        <f>+(Tabla4[[#This Row],[Precio Descontado]]-Tabla4[[#This Row],[Precio Base]])*Tabla4[[#This Row],[Cantidad]]</f>
        <v>#N/A</v>
      </c>
      <c r="O2260" s="284" t="e">
        <f>++Tabla4[[#This Row],[Utilidad Total]]/Tabla4[[#This Row],[Total]]</f>
        <v>#N/A</v>
      </c>
      <c r="P2260" s="282">
        <f>++Tabla4[[#This Row],[Precio Descontado]]*Tabla4[[#This Row],[Cantidad]]</f>
        <v>7535.8176780000003</v>
      </c>
      <c r="Q2260" s="282" t="e">
        <f>(INDEX(Tabla6[#All],MATCH(Tabla4[[#This Row],[Producto]],Tabla6[[#All],[PRODUCTO]],0),MATCH(Tabla4[[#This Row],[Mes]],Tabla6[#Headers],0)))</f>
        <v>#N/A</v>
      </c>
      <c r="R2260" s="282" t="e">
        <f>++Tabla4[[#This Row],[Precio Unitario Neto]]-Tabla4[[#This Row],[20.85%]]-Tabla4[[#This Row],[Costo]]</f>
        <v>#N/A</v>
      </c>
      <c r="S2260" s="282" t="e">
        <f>++Tabla4[[#This Row],[U. Bruta Uni]]*Tabla4[[#This Row],[Cantidad]]</f>
        <v>#N/A</v>
      </c>
      <c r="T2260" s="369" t="str">
        <f>VLOOKUP(Tabla4[[#This Row],[Producto]],Tabla6[#All],14,FALSE)</f>
        <v>Termico Solar</v>
      </c>
      <c r="U2260" s="284" t="e">
        <f>(IF(Tabla4[[#This Row],[Familia]]="termico solar",Tabla4[[#This Row],[Utilidad Total]]*6%,Tabla4[[#This Row],[Utilidad Total]]*11.5%))/Tabla4[[#This Row],[Total]]</f>
        <v>#N/A</v>
      </c>
      <c r="V2260" s="282" t="e">
        <f>+Tabla4[[#This Row],[Comisión Calculada]]*Tabla4[[#This Row],[Total]]</f>
        <v>#N/A</v>
      </c>
    </row>
    <row r="2261" spans="1:22" hidden="1" x14ac:dyDescent="0.25">
      <c r="A2261" s="100">
        <v>45762</v>
      </c>
      <c r="B2261" t="str">
        <f t="shared" si="115"/>
        <v>April</v>
      </c>
      <c r="C2261" s="46" t="s">
        <v>280</v>
      </c>
      <c r="F2261" s="366" t="s">
        <v>1570</v>
      </c>
      <c r="G2261" s="46" t="s">
        <v>83</v>
      </c>
      <c r="H2261" s="46">
        <v>1</v>
      </c>
      <c r="I2261" s="51">
        <v>8858.76</v>
      </c>
      <c r="J2261" s="281">
        <f>++Tabla4[[#This Row],[Precio Bruto]]*1.16</f>
        <v>10276.161599999999</v>
      </c>
      <c r="K2261" s="281">
        <f>+Tabla4[[#This Row],[Precio Unitario Neto]]*Tabla4[[#Headers],[20.85%]]</f>
        <v>2142.5796935999997</v>
      </c>
      <c r="L2261" s="282">
        <f>++Tabla4[[#This Row],[Precio Unitario Neto]]-Tabla4[[#This Row],[20.85%]]</f>
        <v>8133.5819063999998</v>
      </c>
      <c r="M2261" s="282" t="e">
        <f>(INDEX(Tabla6[#All],MATCH(Tabla4[[#This Row],[Producto]],Tabla6[[#All],[PRODUCTO]],0),MATCH(Tabla4[[#This Row],[Mes]],Tabla6[#Headers],0)))*(1+Catalogos!$L$2)</f>
        <v>#N/A</v>
      </c>
      <c r="N2261" s="283" t="e">
        <f>+(Tabla4[[#This Row],[Precio Descontado]]-Tabla4[[#This Row],[Precio Base]])*Tabla4[[#This Row],[Cantidad]]</f>
        <v>#N/A</v>
      </c>
      <c r="O2261" s="284" t="e">
        <f>++Tabla4[[#This Row],[Utilidad Total]]/Tabla4[[#This Row],[Total]]</f>
        <v>#N/A</v>
      </c>
      <c r="P2261" s="282">
        <f>++Tabla4[[#This Row],[Precio Descontado]]*Tabla4[[#This Row],[Cantidad]]</f>
        <v>8133.5819063999998</v>
      </c>
      <c r="Q2261" s="282" t="e">
        <f>(INDEX(Tabla6[#All],MATCH(Tabla4[[#This Row],[Producto]],Tabla6[[#All],[PRODUCTO]],0),MATCH(Tabla4[[#This Row],[Mes]],Tabla6[#Headers],0)))</f>
        <v>#N/A</v>
      </c>
      <c r="R2261" s="282" t="e">
        <f>++Tabla4[[#This Row],[Precio Unitario Neto]]-Tabla4[[#This Row],[20.85%]]-Tabla4[[#This Row],[Costo]]</f>
        <v>#N/A</v>
      </c>
      <c r="S2261" s="282" t="e">
        <f>++Tabla4[[#This Row],[U. Bruta Uni]]*Tabla4[[#This Row],[Cantidad]]</f>
        <v>#N/A</v>
      </c>
      <c r="T2261" s="369" t="str">
        <f>VLOOKUP(Tabla4[[#This Row],[Producto]],Tabla6[#All],14,FALSE)</f>
        <v>Termico Solar</v>
      </c>
      <c r="U2261" s="284" t="e">
        <f>(IF(Tabla4[[#This Row],[Familia]]="termico solar",Tabla4[[#This Row],[Utilidad Total]]*6%,Tabla4[[#This Row],[Utilidad Total]]*11.5%))/Tabla4[[#This Row],[Total]]</f>
        <v>#N/A</v>
      </c>
      <c r="V2261" s="282" t="e">
        <f>+Tabla4[[#This Row],[Comisión Calculada]]*Tabla4[[#This Row],[Total]]</f>
        <v>#N/A</v>
      </c>
    </row>
    <row r="2262" spans="1:22" hidden="1" x14ac:dyDescent="0.25">
      <c r="A2262" s="100">
        <v>45762</v>
      </c>
      <c r="B2262" t="str">
        <f t="shared" si="115"/>
        <v>April</v>
      </c>
      <c r="C2262" s="46" t="s">
        <v>280</v>
      </c>
      <c r="F2262" s="366" t="s">
        <v>1570</v>
      </c>
      <c r="G2262" s="46" t="s">
        <v>18</v>
      </c>
      <c r="H2262" s="46">
        <v>3</v>
      </c>
      <c r="I2262" s="51">
        <v>5367.6500000000005</v>
      </c>
      <c r="J2262" s="281">
        <f>++Tabla4[[#This Row],[Precio Bruto]]*1.16</f>
        <v>6226.4740000000002</v>
      </c>
      <c r="K2262" s="281">
        <f>+Tabla4[[#This Row],[Precio Unitario Neto]]*Tabla4[[#Headers],[20.85%]]</f>
        <v>1298.2198289999999</v>
      </c>
      <c r="L2262" s="282">
        <f>++Tabla4[[#This Row],[Precio Unitario Neto]]-Tabla4[[#This Row],[20.85%]]</f>
        <v>4928.2541710000005</v>
      </c>
      <c r="M2262" s="282" t="e">
        <f>(INDEX(Tabla6[#All],MATCH(Tabla4[[#This Row],[Producto]],Tabla6[[#All],[PRODUCTO]],0),MATCH(Tabla4[[#This Row],[Mes]],Tabla6[#Headers],0)))*(1+Catalogos!$L$2)</f>
        <v>#N/A</v>
      </c>
      <c r="N2262" s="283" t="e">
        <f>+(Tabla4[[#This Row],[Precio Descontado]]-Tabla4[[#This Row],[Precio Base]])*Tabla4[[#This Row],[Cantidad]]</f>
        <v>#N/A</v>
      </c>
      <c r="O2262" s="284" t="e">
        <f>++Tabla4[[#This Row],[Utilidad Total]]/Tabla4[[#This Row],[Total]]</f>
        <v>#N/A</v>
      </c>
      <c r="P2262" s="282">
        <f>++Tabla4[[#This Row],[Precio Descontado]]*Tabla4[[#This Row],[Cantidad]]</f>
        <v>14784.762513000001</v>
      </c>
      <c r="Q2262" s="282" t="e">
        <f>(INDEX(Tabla6[#All],MATCH(Tabla4[[#This Row],[Producto]],Tabla6[[#All],[PRODUCTO]],0),MATCH(Tabla4[[#This Row],[Mes]],Tabla6[#Headers],0)))</f>
        <v>#N/A</v>
      </c>
      <c r="R2262" s="282" t="e">
        <f>++Tabla4[[#This Row],[Precio Unitario Neto]]-Tabla4[[#This Row],[20.85%]]-Tabla4[[#This Row],[Costo]]</f>
        <v>#N/A</v>
      </c>
      <c r="S2262" s="282" t="e">
        <f>++Tabla4[[#This Row],[U. Bruta Uni]]*Tabla4[[#This Row],[Cantidad]]</f>
        <v>#N/A</v>
      </c>
      <c r="T2262" s="369" t="str">
        <f>VLOOKUP(Tabla4[[#This Row],[Producto]],Tabla6[#All],14,FALSE)</f>
        <v>Termico Solar</v>
      </c>
      <c r="U2262" s="284" t="e">
        <f>(IF(Tabla4[[#This Row],[Familia]]="termico solar",Tabla4[[#This Row],[Utilidad Total]]*6%,Tabla4[[#This Row],[Utilidad Total]]*11.5%))/Tabla4[[#This Row],[Total]]</f>
        <v>#N/A</v>
      </c>
      <c r="V2262" s="282" t="e">
        <f>+Tabla4[[#This Row],[Comisión Calculada]]*Tabla4[[#This Row],[Total]]</f>
        <v>#N/A</v>
      </c>
    </row>
    <row r="2263" spans="1:22" hidden="1" x14ac:dyDescent="0.25">
      <c r="A2263" s="100">
        <v>45762</v>
      </c>
      <c r="B2263" t="str">
        <f t="shared" si="115"/>
        <v>April</v>
      </c>
      <c r="C2263" s="46" t="s">
        <v>280</v>
      </c>
      <c r="F2263" s="366" t="s">
        <v>1571</v>
      </c>
      <c r="G2263" s="46" t="s">
        <v>17</v>
      </c>
      <c r="H2263" s="46">
        <v>2</v>
      </c>
      <c r="I2263" s="51">
        <v>4622.28</v>
      </c>
      <c r="J2263" s="281">
        <f>++Tabla4[[#This Row],[Precio Bruto]]*1.16</f>
        <v>5361.8447999999989</v>
      </c>
      <c r="K2263" s="281">
        <f>+Tabla4[[#This Row],[Precio Unitario Neto]]*Tabla4[[#Headers],[20.85%]]</f>
        <v>1117.9446407999997</v>
      </c>
      <c r="L2263" s="282">
        <f>++Tabla4[[#This Row],[Precio Unitario Neto]]-Tabla4[[#This Row],[20.85%]]</f>
        <v>4243.9001591999995</v>
      </c>
      <c r="M2263" s="282" t="e">
        <f>(INDEX(Tabla6[#All],MATCH(Tabla4[[#This Row],[Producto]],Tabla6[[#All],[PRODUCTO]],0),MATCH(Tabla4[[#This Row],[Mes]],Tabla6[#Headers],0)))*(1+Catalogos!$L$2)</f>
        <v>#N/A</v>
      </c>
      <c r="N2263" s="283" t="e">
        <f>+(Tabla4[[#This Row],[Precio Descontado]]-Tabla4[[#This Row],[Precio Base]])*Tabla4[[#This Row],[Cantidad]]</f>
        <v>#N/A</v>
      </c>
      <c r="O2263" s="284" t="e">
        <f>++Tabla4[[#This Row],[Utilidad Total]]/Tabla4[[#This Row],[Total]]</f>
        <v>#N/A</v>
      </c>
      <c r="P2263" s="282">
        <f>++Tabla4[[#This Row],[Precio Descontado]]*Tabla4[[#This Row],[Cantidad]]</f>
        <v>8487.800318399999</v>
      </c>
      <c r="Q2263" s="282" t="e">
        <f>(INDEX(Tabla6[#All],MATCH(Tabla4[[#This Row],[Producto]],Tabla6[[#All],[PRODUCTO]],0),MATCH(Tabla4[[#This Row],[Mes]],Tabla6[#Headers],0)))</f>
        <v>#N/A</v>
      </c>
      <c r="R2263" s="282" t="e">
        <f>++Tabla4[[#This Row],[Precio Unitario Neto]]-Tabla4[[#This Row],[20.85%]]-Tabla4[[#This Row],[Costo]]</f>
        <v>#N/A</v>
      </c>
      <c r="S2263" s="282" t="e">
        <f>++Tabla4[[#This Row],[U. Bruta Uni]]*Tabla4[[#This Row],[Cantidad]]</f>
        <v>#N/A</v>
      </c>
      <c r="T2263" s="369" t="str">
        <f>VLOOKUP(Tabla4[[#This Row],[Producto]],Tabla6[#All],14,FALSE)</f>
        <v>Termico Solar</v>
      </c>
      <c r="U2263" s="284" t="e">
        <f>(IF(Tabla4[[#This Row],[Familia]]="termico solar",Tabla4[[#This Row],[Utilidad Total]]*6%,Tabla4[[#This Row],[Utilidad Total]]*11.5%))/Tabla4[[#This Row],[Total]]</f>
        <v>#N/A</v>
      </c>
      <c r="V2263" s="282" t="e">
        <f>+Tabla4[[#This Row],[Comisión Calculada]]*Tabla4[[#This Row],[Total]]</f>
        <v>#N/A</v>
      </c>
    </row>
    <row r="2264" spans="1:22" hidden="1" x14ac:dyDescent="0.25">
      <c r="A2264" s="100">
        <v>45762</v>
      </c>
      <c r="B2264" t="str">
        <f t="shared" si="115"/>
        <v>April</v>
      </c>
      <c r="C2264" s="46" t="s">
        <v>280</v>
      </c>
      <c r="F2264" s="366" t="s">
        <v>1572</v>
      </c>
      <c r="G2264" s="46" t="s">
        <v>17</v>
      </c>
      <c r="H2264" s="46">
        <v>1</v>
      </c>
      <c r="I2264" s="51">
        <v>4622.28</v>
      </c>
      <c r="J2264" s="281">
        <f>++Tabla4[[#This Row],[Precio Bruto]]*1.16</f>
        <v>5361.8447999999989</v>
      </c>
      <c r="K2264" s="281">
        <f>+Tabla4[[#This Row],[Precio Unitario Neto]]*Tabla4[[#Headers],[20.85%]]</f>
        <v>1117.9446407999997</v>
      </c>
      <c r="L2264" s="282">
        <f>++Tabla4[[#This Row],[Precio Unitario Neto]]-Tabla4[[#This Row],[20.85%]]</f>
        <v>4243.9001591999995</v>
      </c>
      <c r="M2264" s="282" t="e">
        <f>(INDEX(Tabla6[#All],MATCH(Tabla4[[#This Row],[Producto]],Tabla6[[#All],[PRODUCTO]],0),MATCH(Tabla4[[#This Row],[Mes]],Tabla6[#Headers],0)))*(1+Catalogos!$L$2)</f>
        <v>#N/A</v>
      </c>
      <c r="N2264" s="283" t="e">
        <f>+(Tabla4[[#This Row],[Precio Descontado]]-Tabla4[[#This Row],[Precio Base]])*Tabla4[[#This Row],[Cantidad]]</f>
        <v>#N/A</v>
      </c>
      <c r="O2264" s="284" t="e">
        <f>++Tabla4[[#This Row],[Utilidad Total]]/Tabla4[[#This Row],[Total]]</f>
        <v>#N/A</v>
      </c>
      <c r="P2264" s="282">
        <f>++Tabla4[[#This Row],[Precio Descontado]]*Tabla4[[#This Row],[Cantidad]]</f>
        <v>4243.9001591999995</v>
      </c>
      <c r="Q2264" s="282" t="e">
        <f>(INDEX(Tabla6[#All],MATCH(Tabla4[[#This Row],[Producto]],Tabla6[[#All],[PRODUCTO]],0),MATCH(Tabla4[[#This Row],[Mes]],Tabla6[#Headers],0)))</f>
        <v>#N/A</v>
      </c>
      <c r="R2264" s="282" t="e">
        <f>++Tabla4[[#This Row],[Precio Unitario Neto]]-Tabla4[[#This Row],[20.85%]]-Tabla4[[#This Row],[Costo]]</f>
        <v>#N/A</v>
      </c>
      <c r="S2264" s="282" t="e">
        <f>++Tabla4[[#This Row],[U. Bruta Uni]]*Tabla4[[#This Row],[Cantidad]]</f>
        <v>#N/A</v>
      </c>
      <c r="T2264" s="369" t="str">
        <f>VLOOKUP(Tabla4[[#This Row],[Producto]],Tabla6[#All],14,FALSE)</f>
        <v>Termico Solar</v>
      </c>
      <c r="U2264" s="284" t="e">
        <f>(IF(Tabla4[[#This Row],[Familia]]="termico solar",Tabla4[[#This Row],[Utilidad Total]]*6%,Tabla4[[#This Row],[Utilidad Total]]*11.5%))/Tabla4[[#This Row],[Total]]</f>
        <v>#N/A</v>
      </c>
      <c r="V2264" s="282" t="e">
        <f>+Tabla4[[#This Row],[Comisión Calculada]]*Tabla4[[#This Row],[Total]]</f>
        <v>#N/A</v>
      </c>
    </row>
    <row r="2265" spans="1:22" hidden="1" x14ac:dyDescent="0.25">
      <c r="A2265" s="100">
        <v>45762</v>
      </c>
      <c r="B2265" t="str">
        <f t="shared" si="115"/>
        <v>April</v>
      </c>
      <c r="C2265" s="46" t="s">
        <v>280</v>
      </c>
      <c r="F2265" s="366" t="s">
        <v>1573</v>
      </c>
      <c r="G2265" s="46" t="s">
        <v>18</v>
      </c>
      <c r="H2265" s="46">
        <v>6</v>
      </c>
      <c r="I2265" s="51">
        <v>5367.6500000000005</v>
      </c>
      <c r="J2265" s="281">
        <f>++Tabla4[[#This Row],[Precio Bruto]]*1.16</f>
        <v>6226.4740000000002</v>
      </c>
      <c r="K2265" s="281">
        <f>+Tabla4[[#This Row],[Precio Unitario Neto]]*Tabla4[[#Headers],[20.85%]]</f>
        <v>1298.2198289999999</v>
      </c>
      <c r="L2265" s="282">
        <f>++Tabla4[[#This Row],[Precio Unitario Neto]]-Tabla4[[#This Row],[20.85%]]</f>
        <v>4928.2541710000005</v>
      </c>
      <c r="M2265" s="282" t="e">
        <f>(INDEX(Tabla6[#All],MATCH(Tabla4[[#This Row],[Producto]],Tabla6[[#All],[PRODUCTO]],0),MATCH(Tabla4[[#This Row],[Mes]],Tabla6[#Headers],0)))*(1+Catalogos!$L$2)</f>
        <v>#N/A</v>
      </c>
      <c r="N2265" s="283" t="e">
        <f>+(Tabla4[[#This Row],[Precio Descontado]]-Tabla4[[#This Row],[Precio Base]])*Tabla4[[#This Row],[Cantidad]]</f>
        <v>#N/A</v>
      </c>
      <c r="O2265" s="284" t="e">
        <f>++Tabla4[[#This Row],[Utilidad Total]]/Tabla4[[#This Row],[Total]]</f>
        <v>#N/A</v>
      </c>
      <c r="P2265" s="282">
        <f>++Tabla4[[#This Row],[Precio Descontado]]*Tabla4[[#This Row],[Cantidad]]</f>
        <v>29569.525026000003</v>
      </c>
      <c r="Q2265" s="282" t="e">
        <f>(INDEX(Tabla6[#All],MATCH(Tabla4[[#This Row],[Producto]],Tabla6[[#All],[PRODUCTO]],0),MATCH(Tabla4[[#This Row],[Mes]],Tabla6[#Headers],0)))</f>
        <v>#N/A</v>
      </c>
      <c r="R2265" s="282" t="e">
        <f>++Tabla4[[#This Row],[Precio Unitario Neto]]-Tabla4[[#This Row],[20.85%]]-Tabla4[[#This Row],[Costo]]</f>
        <v>#N/A</v>
      </c>
      <c r="S2265" s="282" t="e">
        <f>++Tabla4[[#This Row],[U. Bruta Uni]]*Tabla4[[#This Row],[Cantidad]]</f>
        <v>#N/A</v>
      </c>
      <c r="T2265" s="369" t="str">
        <f>VLOOKUP(Tabla4[[#This Row],[Producto]],Tabla6[#All],14,FALSE)</f>
        <v>Termico Solar</v>
      </c>
      <c r="U2265" s="284" t="e">
        <f>(IF(Tabla4[[#This Row],[Familia]]="termico solar",Tabla4[[#This Row],[Utilidad Total]]*6%,Tabla4[[#This Row],[Utilidad Total]]*11.5%))/Tabla4[[#This Row],[Total]]</f>
        <v>#N/A</v>
      </c>
      <c r="V2265" s="282" t="e">
        <f>+Tabla4[[#This Row],[Comisión Calculada]]*Tabla4[[#This Row],[Total]]</f>
        <v>#N/A</v>
      </c>
    </row>
    <row r="2266" spans="1:22" hidden="1" x14ac:dyDescent="0.25">
      <c r="A2266" s="100">
        <v>45762</v>
      </c>
      <c r="B2266" t="str">
        <f t="shared" si="115"/>
        <v>April</v>
      </c>
      <c r="C2266" s="46" t="s">
        <v>280</v>
      </c>
      <c r="F2266" s="366" t="s">
        <v>1573</v>
      </c>
      <c r="G2266" s="46" t="s">
        <v>16</v>
      </c>
      <c r="H2266" s="46">
        <v>2</v>
      </c>
      <c r="I2266" s="51">
        <v>4103.8500000000004</v>
      </c>
      <c r="J2266" s="281">
        <f>++Tabla4[[#This Row],[Precio Bruto]]*1.16</f>
        <v>4760.4660000000003</v>
      </c>
      <c r="K2266" s="281">
        <f>+Tabla4[[#This Row],[Precio Unitario Neto]]*Tabla4[[#Headers],[20.85%]]</f>
        <v>992.55716100000006</v>
      </c>
      <c r="L2266" s="282">
        <f>++Tabla4[[#This Row],[Precio Unitario Neto]]-Tabla4[[#This Row],[20.85%]]</f>
        <v>3767.9088390000002</v>
      </c>
      <c r="M2266" s="282" t="e">
        <f>(INDEX(Tabla6[#All],MATCH(Tabla4[[#This Row],[Producto]],Tabla6[[#All],[PRODUCTO]],0),MATCH(Tabla4[[#This Row],[Mes]],Tabla6[#Headers],0)))*(1+Catalogos!$L$2)</f>
        <v>#N/A</v>
      </c>
      <c r="N2266" s="283" t="e">
        <f>+(Tabla4[[#This Row],[Precio Descontado]]-Tabla4[[#This Row],[Precio Base]])*Tabla4[[#This Row],[Cantidad]]</f>
        <v>#N/A</v>
      </c>
      <c r="O2266" s="284" t="e">
        <f>++Tabla4[[#This Row],[Utilidad Total]]/Tabla4[[#This Row],[Total]]</f>
        <v>#N/A</v>
      </c>
      <c r="P2266" s="282">
        <f>++Tabla4[[#This Row],[Precio Descontado]]*Tabla4[[#This Row],[Cantidad]]</f>
        <v>7535.8176780000003</v>
      </c>
      <c r="Q2266" s="282" t="e">
        <f>(INDEX(Tabla6[#All],MATCH(Tabla4[[#This Row],[Producto]],Tabla6[[#All],[PRODUCTO]],0),MATCH(Tabla4[[#This Row],[Mes]],Tabla6[#Headers],0)))</f>
        <v>#N/A</v>
      </c>
      <c r="R2266" s="282" t="e">
        <f>++Tabla4[[#This Row],[Precio Unitario Neto]]-Tabla4[[#This Row],[20.85%]]-Tabla4[[#This Row],[Costo]]</f>
        <v>#N/A</v>
      </c>
      <c r="S2266" s="282" t="e">
        <f>++Tabla4[[#This Row],[U. Bruta Uni]]*Tabla4[[#This Row],[Cantidad]]</f>
        <v>#N/A</v>
      </c>
      <c r="T2266" s="369" t="str">
        <f>VLOOKUP(Tabla4[[#This Row],[Producto]],Tabla6[#All],14,FALSE)</f>
        <v>Termico Solar</v>
      </c>
      <c r="U2266" s="284" t="e">
        <f>(IF(Tabla4[[#This Row],[Familia]]="termico solar",Tabla4[[#This Row],[Utilidad Total]]*6%,Tabla4[[#This Row],[Utilidad Total]]*11.5%))/Tabla4[[#This Row],[Total]]</f>
        <v>#N/A</v>
      </c>
      <c r="V2266" s="282" t="e">
        <f>+Tabla4[[#This Row],[Comisión Calculada]]*Tabla4[[#This Row],[Total]]</f>
        <v>#N/A</v>
      </c>
    </row>
    <row r="2267" spans="1:22" hidden="1" x14ac:dyDescent="0.25">
      <c r="A2267" s="100">
        <v>45762</v>
      </c>
      <c r="B2267" t="str">
        <f t="shared" si="115"/>
        <v>April</v>
      </c>
      <c r="C2267" s="46" t="s">
        <v>280</v>
      </c>
      <c r="F2267" s="366" t="s">
        <v>1574</v>
      </c>
      <c r="G2267" s="46" t="s">
        <v>83</v>
      </c>
      <c r="H2267" s="46">
        <v>2</v>
      </c>
      <c r="I2267" s="51">
        <v>8858.76</v>
      </c>
      <c r="J2267" s="281">
        <f>++Tabla4[[#This Row],[Precio Bruto]]*1.16</f>
        <v>10276.161599999999</v>
      </c>
      <c r="K2267" s="281">
        <f>+Tabla4[[#This Row],[Precio Unitario Neto]]*Tabla4[[#Headers],[20.85%]]</f>
        <v>2142.5796935999997</v>
      </c>
      <c r="L2267" s="282">
        <f>++Tabla4[[#This Row],[Precio Unitario Neto]]-Tabla4[[#This Row],[20.85%]]</f>
        <v>8133.5819063999998</v>
      </c>
      <c r="M2267" s="282" t="e">
        <f>(INDEX(Tabla6[#All],MATCH(Tabla4[[#This Row],[Producto]],Tabla6[[#All],[PRODUCTO]],0),MATCH(Tabla4[[#This Row],[Mes]],Tabla6[#Headers],0)))*(1+Catalogos!$L$2)</f>
        <v>#N/A</v>
      </c>
      <c r="N2267" s="283" t="e">
        <f>+(Tabla4[[#This Row],[Precio Descontado]]-Tabla4[[#This Row],[Precio Base]])*Tabla4[[#This Row],[Cantidad]]</f>
        <v>#N/A</v>
      </c>
      <c r="O2267" s="284" t="e">
        <f>++Tabla4[[#This Row],[Utilidad Total]]/Tabla4[[#This Row],[Total]]</f>
        <v>#N/A</v>
      </c>
      <c r="P2267" s="282">
        <f>++Tabla4[[#This Row],[Precio Descontado]]*Tabla4[[#This Row],[Cantidad]]</f>
        <v>16267.1638128</v>
      </c>
      <c r="Q2267" s="282" t="e">
        <f>(INDEX(Tabla6[#All],MATCH(Tabla4[[#This Row],[Producto]],Tabla6[[#All],[PRODUCTO]],0),MATCH(Tabla4[[#This Row],[Mes]],Tabla6[#Headers],0)))</f>
        <v>#N/A</v>
      </c>
      <c r="R2267" s="282" t="e">
        <f>++Tabla4[[#This Row],[Precio Unitario Neto]]-Tabla4[[#This Row],[20.85%]]-Tabla4[[#This Row],[Costo]]</f>
        <v>#N/A</v>
      </c>
      <c r="S2267" s="282" t="e">
        <f>++Tabla4[[#This Row],[U. Bruta Uni]]*Tabla4[[#This Row],[Cantidad]]</f>
        <v>#N/A</v>
      </c>
      <c r="T2267" s="369" t="str">
        <f>VLOOKUP(Tabla4[[#This Row],[Producto]],Tabla6[#All],14,FALSE)</f>
        <v>Termico Solar</v>
      </c>
      <c r="U2267" s="284" t="e">
        <f>(IF(Tabla4[[#This Row],[Familia]]="termico solar",Tabla4[[#This Row],[Utilidad Total]]*6%,Tabla4[[#This Row],[Utilidad Total]]*11.5%))/Tabla4[[#This Row],[Total]]</f>
        <v>#N/A</v>
      </c>
      <c r="V2267" s="282" t="e">
        <f>+Tabla4[[#This Row],[Comisión Calculada]]*Tabla4[[#This Row],[Total]]</f>
        <v>#N/A</v>
      </c>
    </row>
    <row r="2268" spans="1:22" hidden="1" x14ac:dyDescent="0.25">
      <c r="A2268" s="100">
        <v>45762</v>
      </c>
      <c r="B2268" t="str">
        <f t="shared" si="115"/>
        <v>April</v>
      </c>
      <c r="C2268" s="46" t="s">
        <v>280</v>
      </c>
      <c r="F2268" s="366" t="s">
        <v>1574</v>
      </c>
      <c r="G2268" s="46" t="s">
        <v>17</v>
      </c>
      <c r="H2268" s="46">
        <v>2</v>
      </c>
      <c r="I2268" s="51">
        <v>4622.28</v>
      </c>
      <c r="J2268" s="281">
        <f>++Tabla4[[#This Row],[Precio Bruto]]*1.16</f>
        <v>5361.8447999999989</v>
      </c>
      <c r="K2268" s="281">
        <f>+Tabla4[[#This Row],[Precio Unitario Neto]]*Tabla4[[#Headers],[20.85%]]</f>
        <v>1117.9446407999997</v>
      </c>
      <c r="L2268" s="282">
        <f>++Tabla4[[#This Row],[Precio Unitario Neto]]-Tabla4[[#This Row],[20.85%]]</f>
        <v>4243.9001591999995</v>
      </c>
      <c r="M2268" s="282" t="e">
        <f>(INDEX(Tabla6[#All],MATCH(Tabla4[[#This Row],[Producto]],Tabla6[[#All],[PRODUCTO]],0),MATCH(Tabla4[[#This Row],[Mes]],Tabla6[#Headers],0)))*(1+Catalogos!$L$2)</f>
        <v>#N/A</v>
      </c>
      <c r="N2268" s="283" t="e">
        <f>+(Tabla4[[#This Row],[Precio Descontado]]-Tabla4[[#This Row],[Precio Base]])*Tabla4[[#This Row],[Cantidad]]</f>
        <v>#N/A</v>
      </c>
      <c r="O2268" s="284" t="e">
        <f>++Tabla4[[#This Row],[Utilidad Total]]/Tabla4[[#This Row],[Total]]</f>
        <v>#N/A</v>
      </c>
      <c r="P2268" s="282">
        <f>++Tabla4[[#This Row],[Precio Descontado]]*Tabla4[[#This Row],[Cantidad]]</f>
        <v>8487.800318399999</v>
      </c>
      <c r="Q2268" s="282" t="e">
        <f>(INDEX(Tabla6[#All],MATCH(Tabla4[[#This Row],[Producto]],Tabla6[[#All],[PRODUCTO]],0),MATCH(Tabla4[[#This Row],[Mes]],Tabla6[#Headers],0)))</f>
        <v>#N/A</v>
      </c>
      <c r="R2268" s="282" t="e">
        <f>++Tabla4[[#This Row],[Precio Unitario Neto]]-Tabla4[[#This Row],[20.85%]]-Tabla4[[#This Row],[Costo]]</f>
        <v>#N/A</v>
      </c>
      <c r="S2268" s="282" t="e">
        <f>++Tabla4[[#This Row],[U. Bruta Uni]]*Tabla4[[#This Row],[Cantidad]]</f>
        <v>#N/A</v>
      </c>
      <c r="T2268" s="369" t="str">
        <f>VLOOKUP(Tabla4[[#This Row],[Producto]],Tabla6[#All],14,FALSE)</f>
        <v>Termico Solar</v>
      </c>
      <c r="U2268" s="284" t="e">
        <f>(IF(Tabla4[[#This Row],[Familia]]="termico solar",Tabla4[[#This Row],[Utilidad Total]]*6%,Tabla4[[#This Row],[Utilidad Total]]*11.5%))/Tabla4[[#This Row],[Total]]</f>
        <v>#N/A</v>
      </c>
      <c r="V2268" s="282" t="e">
        <f>+Tabla4[[#This Row],[Comisión Calculada]]*Tabla4[[#This Row],[Total]]</f>
        <v>#N/A</v>
      </c>
    </row>
    <row r="2269" spans="1:22" hidden="1" x14ac:dyDescent="0.25">
      <c r="A2269" s="100">
        <v>45762</v>
      </c>
      <c r="B2269" t="str">
        <f t="shared" si="115"/>
        <v>April</v>
      </c>
      <c r="C2269" s="46" t="s">
        <v>280</v>
      </c>
      <c r="F2269" s="366" t="s">
        <v>1574</v>
      </c>
      <c r="G2269" s="46" t="s">
        <v>18</v>
      </c>
      <c r="H2269" s="46">
        <v>2</v>
      </c>
      <c r="I2269" s="51">
        <v>5367.65</v>
      </c>
      <c r="J2269" s="281">
        <f>++Tabla4[[#This Row],[Precio Bruto]]*1.16</f>
        <v>6226.4739999999993</v>
      </c>
      <c r="K2269" s="281">
        <f>+Tabla4[[#This Row],[Precio Unitario Neto]]*Tabla4[[#Headers],[20.85%]]</f>
        <v>1298.2198289999999</v>
      </c>
      <c r="L2269" s="282">
        <f>++Tabla4[[#This Row],[Precio Unitario Neto]]-Tabla4[[#This Row],[20.85%]]</f>
        <v>4928.2541709999996</v>
      </c>
      <c r="M2269" s="282" t="e">
        <f>(INDEX(Tabla6[#All],MATCH(Tabla4[[#This Row],[Producto]],Tabla6[[#All],[PRODUCTO]],0),MATCH(Tabla4[[#This Row],[Mes]],Tabla6[#Headers],0)))*(1+Catalogos!$L$2)</f>
        <v>#N/A</v>
      </c>
      <c r="N2269" s="283" t="e">
        <f>+(Tabla4[[#This Row],[Precio Descontado]]-Tabla4[[#This Row],[Precio Base]])*Tabla4[[#This Row],[Cantidad]]</f>
        <v>#N/A</v>
      </c>
      <c r="O2269" s="284" t="e">
        <f>++Tabla4[[#This Row],[Utilidad Total]]/Tabla4[[#This Row],[Total]]</f>
        <v>#N/A</v>
      </c>
      <c r="P2269" s="282">
        <f>++Tabla4[[#This Row],[Precio Descontado]]*Tabla4[[#This Row],[Cantidad]]</f>
        <v>9856.5083419999992</v>
      </c>
      <c r="Q2269" s="282" t="e">
        <f>(INDEX(Tabla6[#All],MATCH(Tabla4[[#This Row],[Producto]],Tabla6[[#All],[PRODUCTO]],0),MATCH(Tabla4[[#This Row],[Mes]],Tabla6[#Headers],0)))</f>
        <v>#N/A</v>
      </c>
      <c r="R2269" s="282" t="e">
        <f>++Tabla4[[#This Row],[Precio Unitario Neto]]-Tabla4[[#This Row],[20.85%]]-Tabla4[[#This Row],[Costo]]</f>
        <v>#N/A</v>
      </c>
      <c r="S2269" s="282" t="e">
        <f>++Tabla4[[#This Row],[U. Bruta Uni]]*Tabla4[[#This Row],[Cantidad]]</f>
        <v>#N/A</v>
      </c>
      <c r="T2269" s="369" t="str">
        <f>VLOOKUP(Tabla4[[#This Row],[Producto]],Tabla6[#All],14,FALSE)</f>
        <v>Termico Solar</v>
      </c>
      <c r="U2269" s="284" t="e">
        <f>(IF(Tabla4[[#This Row],[Familia]]="termico solar",Tabla4[[#This Row],[Utilidad Total]]*6%,Tabla4[[#This Row],[Utilidad Total]]*11.5%))/Tabla4[[#This Row],[Total]]</f>
        <v>#N/A</v>
      </c>
      <c r="V2269" s="282" t="e">
        <f>+Tabla4[[#This Row],[Comisión Calculada]]*Tabla4[[#This Row],[Total]]</f>
        <v>#N/A</v>
      </c>
    </row>
    <row r="2270" spans="1:22" hidden="1" x14ac:dyDescent="0.25">
      <c r="A2270" s="100">
        <v>45762</v>
      </c>
      <c r="B2270" t="str">
        <f t="shared" si="115"/>
        <v>April</v>
      </c>
      <c r="C2270" s="46" t="s">
        <v>280</v>
      </c>
      <c r="F2270" s="366" t="s">
        <v>1574</v>
      </c>
      <c r="G2270" s="46" t="s">
        <v>566</v>
      </c>
      <c r="H2270" s="46">
        <v>1</v>
      </c>
      <c r="I2270" s="51">
        <v>2109.4499999999998</v>
      </c>
      <c r="J2270" s="281">
        <f>++Tabla4[[#This Row],[Precio Bruto]]*1.16</f>
        <v>2446.9619999999995</v>
      </c>
      <c r="K2270" s="281">
        <f>+Tabla4[[#This Row],[Precio Unitario Neto]]*Tabla4[[#Headers],[20.85%]]</f>
        <v>510.19157699999988</v>
      </c>
      <c r="L2270" s="282">
        <f>++Tabla4[[#This Row],[Precio Unitario Neto]]-Tabla4[[#This Row],[20.85%]]</f>
        <v>1936.7704229999997</v>
      </c>
      <c r="M2270" s="282" t="e">
        <f>(INDEX(Tabla6[#All],MATCH(Tabla4[[#This Row],[Producto]],Tabla6[[#All],[PRODUCTO]],0),MATCH(Tabla4[[#This Row],[Mes]],Tabla6[#Headers],0)))*(1+Catalogos!$L$2)</f>
        <v>#N/A</v>
      </c>
      <c r="N2270" s="283" t="e">
        <f>+(Tabla4[[#This Row],[Precio Descontado]]-Tabla4[[#This Row],[Precio Base]])*Tabla4[[#This Row],[Cantidad]]</f>
        <v>#N/A</v>
      </c>
      <c r="O2270" s="284" t="e">
        <f>++Tabla4[[#This Row],[Utilidad Total]]/Tabla4[[#This Row],[Total]]</f>
        <v>#N/A</v>
      </c>
      <c r="P2270" s="282">
        <f>++Tabla4[[#This Row],[Precio Descontado]]*Tabla4[[#This Row],[Cantidad]]</f>
        <v>1936.7704229999997</v>
      </c>
      <c r="Q2270" s="282" t="e">
        <f>(INDEX(Tabla6[#All],MATCH(Tabla4[[#This Row],[Producto]],Tabla6[[#All],[PRODUCTO]],0),MATCH(Tabla4[[#This Row],[Mes]],Tabla6[#Headers],0)))</f>
        <v>#N/A</v>
      </c>
      <c r="R2270" s="282" t="e">
        <f>++Tabla4[[#This Row],[Precio Unitario Neto]]-Tabla4[[#This Row],[20.85%]]-Tabla4[[#This Row],[Costo]]</f>
        <v>#N/A</v>
      </c>
      <c r="S2270" s="282" t="e">
        <f>++Tabla4[[#This Row],[U. Bruta Uni]]*Tabla4[[#This Row],[Cantidad]]</f>
        <v>#N/A</v>
      </c>
      <c r="T2270" s="369" t="str">
        <f>VLOOKUP(Tabla4[[#This Row],[Producto]],Tabla6[#All],14,FALSE)</f>
        <v>Termico Solar</v>
      </c>
      <c r="U2270" s="284" t="e">
        <f>(IF(Tabla4[[#This Row],[Familia]]="termico solar",Tabla4[[#This Row],[Utilidad Total]]*6%,Tabla4[[#This Row],[Utilidad Total]]*11.5%))/Tabla4[[#This Row],[Total]]</f>
        <v>#N/A</v>
      </c>
      <c r="V2270" s="282" t="e">
        <f>+Tabla4[[#This Row],[Comisión Calculada]]*Tabla4[[#This Row],[Total]]</f>
        <v>#N/A</v>
      </c>
    </row>
    <row r="2271" spans="1:22" hidden="1" x14ac:dyDescent="0.25">
      <c r="A2271" s="100">
        <v>45762</v>
      </c>
      <c r="B2271" t="str">
        <f t="shared" si="115"/>
        <v>April</v>
      </c>
      <c r="C2271" s="46" t="s">
        <v>280</v>
      </c>
      <c r="F2271" s="366" t="s">
        <v>1574</v>
      </c>
      <c r="G2271" s="46" t="s">
        <v>16</v>
      </c>
      <c r="H2271" s="46">
        <v>1</v>
      </c>
      <c r="I2271" s="51">
        <v>4103.8500000000004</v>
      </c>
      <c r="J2271" s="281">
        <f>++Tabla4[[#This Row],[Precio Bruto]]*1.16</f>
        <v>4760.4660000000003</v>
      </c>
      <c r="K2271" s="281">
        <f>+Tabla4[[#This Row],[Precio Unitario Neto]]*Tabla4[[#Headers],[20.85%]]</f>
        <v>992.55716100000006</v>
      </c>
      <c r="L2271" s="282">
        <f>++Tabla4[[#This Row],[Precio Unitario Neto]]-Tabla4[[#This Row],[20.85%]]</f>
        <v>3767.9088390000002</v>
      </c>
      <c r="M2271" s="282" t="e">
        <f>(INDEX(Tabla6[#All],MATCH(Tabla4[[#This Row],[Producto]],Tabla6[[#All],[PRODUCTO]],0),MATCH(Tabla4[[#This Row],[Mes]],Tabla6[#Headers],0)))*(1+Catalogos!$L$2)</f>
        <v>#N/A</v>
      </c>
      <c r="N2271" s="283" t="e">
        <f>+(Tabla4[[#This Row],[Precio Descontado]]-Tabla4[[#This Row],[Precio Base]])*Tabla4[[#This Row],[Cantidad]]</f>
        <v>#N/A</v>
      </c>
      <c r="O2271" s="284" t="e">
        <f>++Tabla4[[#This Row],[Utilidad Total]]/Tabla4[[#This Row],[Total]]</f>
        <v>#N/A</v>
      </c>
      <c r="P2271" s="282">
        <f>++Tabla4[[#This Row],[Precio Descontado]]*Tabla4[[#This Row],[Cantidad]]</f>
        <v>3767.9088390000002</v>
      </c>
      <c r="Q2271" s="282" t="e">
        <f>(INDEX(Tabla6[#All],MATCH(Tabla4[[#This Row],[Producto]],Tabla6[[#All],[PRODUCTO]],0),MATCH(Tabla4[[#This Row],[Mes]],Tabla6[#Headers],0)))</f>
        <v>#N/A</v>
      </c>
      <c r="R2271" s="282" t="e">
        <f>++Tabla4[[#This Row],[Precio Unitario Neto]]-Tabla4[[#This Row],[20.85%]]-Tabla4[[#This Row],[Costo]]</f>
        <v>#N/A</v>
      </c>
      <c r="S2271" s="282" t="e">
        <f>++Tabla4[[#This Row],[U. Bruta Uni]]*Tabla4[[#This Row],[Cantidad]]</f>
        <v>#N/A</v>
      </c>
      <c r="T2271" s="369" t="str">
        <f>VLOOKUP(Tabla4[[#This Row],[Producto]],Tabla6[#All],14,FALSE)</f>
        <v>Termico Solar</v>
      </c>
      <c r="U2271" s="284" t="e">
        <f>(IF(Tabla4[[#This Row],[Familia]]="termico solar",Tabla4[[#This Row],[Utilidad Total]]*6%,Tabla4[[#This Row],[Utilidad Total]]*11.5%))/Tabla4[[#This Row],[Total]]</f>
        <v>#N/A</v>
      </c>
      <c r="V2271" s="282" t="e">
        <f>+Tabla4[[#This Row],[Comisión Calculada]]*Tabla4[[#This Row],[Total]]</f>
        <v>#N/A</v>
      </c>
    </row>
    <row r="2272" spans="1:22" hidden="1" x14ac:dyDescent="0.25">
      <c r="A2272" s="100">
        <v>45762</v>
      </c>
      <c r="B2272" t="str">
        <f t="shared" si="115"/>
        <v>April</v>
      </c>
      <c r="C2272" s="46" t="s">
        <v>280</v>
      </c>
      <c r="F2272" s="366" t="s">
        <v>1575</v>
      </c>
      <c r="G2272" s="46" t="s">
        <v>83</v>
      </c>
      <c r="H2272" s="46">
        <v>3</v>
      </c>
      <c r="I2272" s="51">
        <v>8858.76</v>
      </c>
      <c r="J2272" s="281">
        <f>++Tabla4[[#This Row],[Precio Bruto]]*1.16</f>
        <v>10276.161599999999</v>
      </c>
      <c r="K2272" s="281">
        <f>+Tabla4[[#This Row],[Precio Unitario Neto]]*Tabla4[[#Headers],[20.85%]]</f>
        <v>2142.5796935999997</v>
      </c>
      <c r="L2272" s="282">
        <f>++Tabla4[[#This Row],[Precio Unitario Neto]]-Tabla4[[#This Row],[20.85%]]</f>
        <v>8133.5819063999998</v>
      </c>
      <c r="M2272" s="282" t="e">
        <f>(INDEX(Tabla6[#All],MATCH(Tabla4[[#This Row],[Producto]],Tabla6[[#All],[PRODUCTO]],0),MATCH(Tabla4[[#This Row],[Mes]],Tabla6[#Headers],0)))*(1+Catalogos!$L$2)</f>
        <v>#N/A</v>
      </c>
      <c r="N2272" s="283" t="e">
        <f>+(Tabla4[[#This Row],[Precio Descontado]]-Tabla4[[#This Row],[Precio Base]])*Tabla4[[#This Row],[Cantidad]]</f>
        <v>#N/A</v>
      </c>
      <c r="O2272" s="284" t="e">
        <f>++Tabla4[[#This Row],[Utilidad Total]]/Tabla4[[#This Row],[Total]]</f>
        <v>#N/A</v>
      </c>
      <c r="P2272" s="282">
        <f>++Tabla4[[#This Row],[Precio Descontado]]*Tabla4[[#This Row],[Cantidad]]</f>
        <v>24400.7457192</v>
      </c>
      <c r="Q2272" s="282" t="e">
        <f>(INDEX(Tabla6[#All],MATCH(Tabla4[[#This Row],[Producto]],Tabla6[[#All],[PRODUCTO]],0),MATCH(Tabla4[[#This Row],[Mes]],Tabla6[#Headers],0)))</f>
        <v>#N/A</v>
      </c>
      <c r="R2272" s="282" t="e">
        <f>++Tabla4[[#This Row],[Precio Unitario Neto]]-Tabla4[[#This Row],[20.85%]]-Tabla4[[#This Row],[Costo]]</f>
        <v>#N/A</v>
      </c>
      <c r="S2272" s="282" t="e">
        <f>++Tabla4[[#This Row],[U. Bruta Uni]]*Tabla4[[#This Row],[Cantidad]]</f>
        <v>#N/A</v>
      </c>
      <c r="T2272" s="369" t="str">
        <f>VLOOKUP(Tabla4[[#This Row],[Producto]],Tabla6[#All],14,FALSE)</f>
        <v>Termico Solar</v>
      </c>
      <c r="U2272" s="284" t="e">
        <f>(IF(Tabla4[[#This Row],[Familia]]="termico solar",Tabla4[[#This Row],[Utilidad Total]]*6%,Tabla4[[#This Row],[Utilidad Total]]*11.5%))/Tabla4[[#This Row],[Total]]</f>
        <v>#N/A</v>
      </c>
      <c r="V2272" s="282" t="e">
        <f>+Tabla4[[#This Row],[Comisión Calculada]]*Tabla4[[#This Row],[Total]]</f>
        <v>#N/A</v>
      </c>
    </row>
    <row r="2273" spans="1:22" hidden="1" x14ac:dyDescent="0.25">
      <c r="A2273" s="100">
        <v>45762</v>
      </c>
      <c r="B2273" t="str">
        <f t="shared" si="115"/>
        <v>April</v>
      </c>
      <c r="C2273" s="46" t="s">
        <v>280</v>
      </c>
      <c r="F2273" s="366" t="s">
        <v>1575</v>
      </c>
      <c r="G2273" s="46" t="s">
        <v>17</v>
      </c>
      <c r="H2273" s="46">
        <v>3</v>
      </c>
      <c r="I2273" s="51">
        <v>4622.28</v>
      </c>
      <c r="J2273" s="281">
        <f>++Tabla4[[#This Row],[Precio Bruto]]*1.16</f>
        <v>5361.8447999999989</v>
      </c>
      <c r="K2273" s="281">
        <f>+Tabla4[[#This Row],[Precio Unitario Neto]]*Tabla4[[#Headers],[20.85%]]</f>
        <v>1117.9446407999997</v>
      </c>
      <c r="L2273" s="282">
        <f>++Tabla4[[#This Row],[Precio Unitario Neto]]-Tabla4[[#This Row],[20.85%]]</f>
        <v>4243.9001591999995</v>
      </c>
      <c r="M2273" s="282" t="e">
        <f>(INDEX(Tabla6[#All],MATCH(Tabla4[[#This Row],[Producto]],Tabla6[[#All],[PRODUCTO]],0),MATCH(Tabla4[[#This Row],[Mes]],Tabla6[#Headers],0)))*(1+Catalogos!$L$2)</f>
        <v>#N/A</v>
      </c>
      <c r="N2273" s="283" t="e">
        <f>+(Tabla4[[#This Row],[Precio Descontado]]-Tabla4[[#This Row],[Precio Base]])*Tabla4[[#This Row],[Cantidad]]</f>
        <v>#N/A</v>
      </c>
      <c r="O2273" s="284" t="e">
        <f>++Tabla4[[#This Row],[Utilidad Total]]/Tabla4[[#This Row],[Total]]</f>
        <v>#N/A</v>
      </c>
      <c r="P2273" s="282">
        <f>++Tabla4[[#This Row],[Precio Descontado]]*Tabla4[[#This Row],[Cantidad]]</f>
        <v>12731.700477599999</v>
      </c>
      <c r="Q2273" s="282" t="e">
        <f>(INDEX(Tabla6[#All],MATCH(Tabla4[[#This Row],[Producto]],Tabla6[[#All],[PRODUCTO]],0),MATCH(Tabla4[[#This Row],[Mes]],Tabla6[#Headers],0)))</f>
        <v>#N/A</v>
      </c>
      <c r="R2273" s="282" t="e">
        <f>++Tabla4[[#This Row],[Precio Unitario Neto]]-Tabla4[[#This Row],[20.85%]]-Tabla4[[#This Row],[Costo]]</f>
        <v>#N/A</v>
      </c>
      <c r="S2273" s="282" t="e">
        <f>++Tabla4[[#This Row],[U. Bruta Uni]]*Tabla4[[#This Row],[Cantidad]]</f>
        <v>#N/A</v>
      </c>
      <c r="T2273" s="369" t="str">
        <f>VLOOKUP(Tabla4[[#This Row],[Producto]],Tabla6[#All],14,FALSE)</f>
        <v>Termico Solar</v>
      </c>
      <c r="U2273" s="284" t="e">
        <f>(IF(Tabla4[[#This Row],[Familia]]="termico solar",Tabla4[[#This Row],[Utilidad Total]]*6%,Tabla4[[#This Row],[Utilidad Total]]*11.5%))/Tabla4[[#This Row],[Total]]</f>
        <v>#N/A</v>
      </c>
      <c r="V2273" s="282" t="e">
        <f>+Tabla4[[#This Row],[Comisión Calculada]]*Tabla4[[#This Row],[Total]]</f>
        <v>#N/A</v>
      </c>
    </row>
    <row r="2274" spans="1:22" hidden="1" x14ac:dyDescent="0.25">
      <c r="A2274" s="100">
        <v>45762</v>
      </c>
      <c r="B2274" t="str">
        <f t="shared" si="115"/>
        <v>April</v>
      </c>
      <c r="C2274" s="46" t="s">
        <v>280</v>
      </c>
      <c r="F2274" s="366" t="s">
        <v>1575</v>
      </c>
      <c r="G2274" s="46" t="s">
        <v>412</v>
      </c>
      <c r="H2274" s="46">
        <v>1</v>
      </c>
      <c r="I2274" s="51">
        <v>3240.84</v>
      </c>
      <c r="J2274" s="281">
        <f>++Tabla4[[#This Row],[Precio Bruto]]*1.16</f>
        <v>3759.3743999999997</v>
      </c>
      <c r="K2274" s="281">
        <f>+Tabla4[[#This Row],[Precio Unitario Neto]]*Tabla4[[#Headers],[20.85%]]</f>
        <v>783.82956239999987</v>
      </c>
      <c r="L2274" s="282">
        <f>++Tabla4[[#This Row],[Precio Unitario Neto]]-Tabla4[[#This Row],[20.85%]]</f>
        <v>2975.5448375999999</v>
      </c>
      <c r="M2274" s="282" t="e">
        <f>(INDEX(Tabla6[#All],MATCH(Tabla4[[#This Row],[Producto]],Tabla6[[#All],[PRODUCTO]],0),MATCH(Tabla4[[#This Row],[Mes]],Tabla6[#Headers],0)))*(1+Catalogos!$L$2)</f>
        <v>#N/A</v>
      </c>
      <c r="N2274" s="283" t="e">
        <f>+(Tabla4[[#This Row],[Precio Descontado]]-Tabla4[[#This Row],[Precio Base]])*Tabla4[[#This Row],[Cantidad]]</f>
        <v>#N/A</v>
      </c>
      <c r="O2274" s="284" t="e">
        <f>++Tabla4[[#This Row],[Utilidad Total]]/Tabla4[[#This Row],[Total]]</f>
        <v>#N/A</v>
      </c>
      <c r="P2274" s="282">
        <f>++Tabla4[[#This Row],[Precio Descontado]]*Tabla4[[#This Row],[Cantidad]]</f>
        <v>2975.5448375999999</v>
      </c>
      <c r="Q2274" s="282" t="e">
        <f>(INDEX(Tabla6[#All],MATCH(Tabla4[[#This Row],[Producto]],Tabla6[[#All],[PRODUCTO]],0),MATCH(Tabla4[[#This Row],[Mes]],Tabla6[#Headers],0)))</f>
        <v>#N/A</v>
      </c>
      <c r="R2274" s="282" t="e">
        <f>++Tabla4[[#This Row],[Precio Unitario Neto]]-Tabla4[[#This Row],[20.85%]]-Tabla4[[#This Row],[Costo]]</f>
        <v>#N/A</v>
      </c>
      <c r="S2274" s="282" t="e">
        <f>++Tabla4[[#This Row],[U. Bruta Uni]]*Tabla4[[#This Row],[Cantidad]]</f>
        <v>#N/A</v>
      </c>
      <c r="T2274" s="369" t="str">
        <f>VLOOKUP(Tabla4[[#This Row],[Producto]],Tabla6[#All],14,FALSE)</f>
        <v>Termico Solar</v>
      </c>
      <c r="U2274" s="284" t="e">
        <f>(IF(Tabla4[[#This Row],[Familia]]="termico solar",Tabla4[[#This Row],[Utilidad Total]]*6%,Tabla4[[#This Row],[Utilidad Total]]*11.5%))/Tabla4[[#This Row],[Total]]</f>
        <v>#N/A</v>
      </c>
      <c r="V2274" s="282" t="e">
        <f>+Tabla4[[#This Row],[Comisión Calculada]]*Tabla4[[#This Row],[Total]]</f>
        <v>#N/A</v>
      </c>
    </row>
    <row r="2275" spans="1:22" hidden="1" x14ac:dyDescent="0.25">
      <c r="A2275" s="100">
        <v>45762</v>
      </c>
      <c r="B2275" t="str">
        <f t="shared" si="115"/>
        <v>April</v>
      </c>
      <c r="C2275" s="46" t="s">
        <v>280</v>
      </c>
      <c r="F2275" s="366" t="s">
        <v>1576</v>
      </c>
      <c r="G2275" s="46" t="s">
        <v>83</v>
      </c>
      <c r="H2275" s="46">
        <v>2</v>
      </c>
      <c r="I2275" s="51">
        <v>8858.76</v>
      </c>
      <c r="J2275" s="281">
        <f>++Tabla4[[#This Row],[Precio Bruto]]*1.16</f>
        <v>10276.161599999999</v>
      </c>
      <c r="K2275" s="281">
        <f>+Tabla4[[#This Row],[Precio Unitario Neto]]*Tabla4[[#Headers],[20.85%]]</f>
        <v>2142.5796935999997</v>
      </c>
      <c r="L2275" s="282">
        <f>++Tabla4[[#This Row],[Precio Unitario Neto]]-Tabla4[[#This Row],[20.85%]]</f>
        <v>8133.5819063999998</v>
      </c>
      <c r="M2275" s="282" t="e">
        <f>(INDEX(Tabla6[#All],MATCH(Tabla4[[#This Row],[Producto]],Tabla6[[#All],[PRODUCTO]],0),MATCH(Tabla4[[#This Row],[Mes]],Tabla6[#Headers],0)))*(1+Catalogos!$L$2)</f>
        <v>#N/A</v>
      </c>
      <c r="N2275" s="283" t="e">
        <f>+(Tabla4[[#This Row],[Precio Descontado]]-Tabla4[[#This Row],[Precio Base]])*Tabla4[[#This Row],[Cantidad]]</f>
        <v>#N/A</v>
      </c>
      <c r="O2275" s="284" t="e">
        <f>++Tabla4[[#This Row],[Utilidad Total]]/Tabla4[[#This Row],[Total]]</f>
        <v>#N/A</v>
      </c>
      <c r="P2275" s="282">
        <f>++Tabla4[[#This Row],[Precio Descontado]]*Tabla4[[#This Row],[Cantidad]]</f>
        <v>16267.1638128</v>
      </c>
      <c r="Q2275" s="282" t="e">
        <f>(INDEX(Tabla6[#All],MATCH(Tabla4[[#This Row],[Producto]],Tabla6[[#All],[PRODUCTO]],0),MATCH(Tabla4[[#This Row],[Mes]],Tabla6[#Headers],0)))</f>
        <v>#N/A</v>
      </c>
      <c r="R2275" s="282" t="e">
        <f>++Tabla4[[#This Row],[Precio Unitario Neto]]-Tabla4[[#This Row],[20.85%]]-Tabla4[[#This Row],[Costo]]</f>
        <v>#N/A</v>
      </c>
      <c r="S2275" s="282" t="e">
        <f>++Tabla4[[#This Row],[U. Bruta Uni]]*Tabla4[[#This Row],[Cantidad]]</f>
        <v>#N/A</v>
      </c>
      <c r="T2275" s="369" t="str">
        <f>VLOOKUP(Tabla4[[#This Row],[Producto]],Tabla6[#All],14,FALSE)</f>
        <v>Termico Solar</v>
      </c>
      <c r="U2275" s="284" t="e">
        <f>(IF(Tabla4[[#This Row],[Familia]]="termico solar",Tabla4[[#This Row],[Utilidad Total]]*6%,Tabla4[[#This Row],[Utilidad Total]]*11.5%))/Tabla4[[#This Row],[Total]]</f>
        <v>#N/A</v>
      </c>
      <c r="V2275" s="282" t="e">
        <f>+Tabla4[[#This Row],[Comisión Calculada]]*Tabla4[[#This Row],[Total]]</f>
        <v>#N/A</v>
      </c>
    </row>
    <row r="2276" spans="1:22" hidden="1" x14ac:dyDescent="0.25">
      <c r="A2276" s="100">
        <v>45762</v>
      </c>
      <c r="B2276" t="str">
        <f t="shared" si="115"/>
        <v>April</v>
      </c>
      <c r="C2276" s="46" t="s">
        <v>280</v>
      </c>
      <c r="F2276" s="366" t="s">
        <v>1576</v>
      </c>
      <c r="G2276" s="46" t="s">
        <v>18</v>
      </c>
      <c r="H2276" s="46">
        <v>4</v>
      </c>
      <c r="I2276" s="51">
        <v>5367.65</v>
      </c>
      <c r="J2276" s="281">
        <f>++Tabla4[[#This Row],[Precio Bruto]]*1.16</f>
        <v>6226.4739999999993</v>
      </c>
      <c r="K2276" s="281">
        <f>+Tabla4[[#This Row],[Precio Unitario Neto]]*Tabla4[[#Headers],[20.85%]]</f>
        <v>1298.2198289999999</v>
      </c>
      <c r="L2276" s="282">
        <f>++Tabla4[[#This Row],[Precio Unitario Neto]]-Tabla4[[#This Row],[20.85%]]</f>
        <v>4928.2541709999996</v>
      </c>
      <c r="M2276" s="282" t="e">
        <f>(INDEX(Tabla6[#All],MATCH(Tabla4[[#This Row],[Producto]],Tabla6[[#All],[PRODUCTO]],0),MATCH(Tabla4[[#This Row],[Mes]],Tabla6[#Headers],0)))*(1+Catalogos!$L$2)</f>
        <v>#N/A</v>
      </c>
      <c r="N2276" s="283" t="e">
        <f>+(Tabla4[[#This Row],[Precio Descontado]]-Tabla4[[#This Row],[Precio Base]])*Tabla4[[#This Row],[Cantidad]]</f>
        <v>#N/A</v>
      </c>
      <c r="O2276" s="284" t="e">
        <f>++Tabla4[[#This Row],[Utilidad Total]]/Tabla4[[#This Row],[Total]]</f>
        <v>#N/A</v>
      </c>
      <c r="P2276" s="282">
        <f>++Tabla4[[#This Row],[Precio Descontado]]*Tabla4[[#This Row],[Cantidad]]</f>
        <v>19713.016683999998</v>
      </c>
      <c r="Q2276" s="282" t="e">
        <f>(INDEX(Tabla6[#All],MATCH(Tabla4[[#This Row],[Producto]],Tabla6[[#All],[PRODUCTO]],0),MATCH(Tabla4[[#This Row],[Mes]],Tabla6[#Headers],0)))</f>
        <v>#N/A</v>
      </c>
      <c r="R2276" s="282" t="e">
        <f>++Tabla4[[#This Row],[Precio Unitario Neto]]-Tabla4[[#This Row],[20.85%]]-Tabla4[[#This Row],[Costo]]</f>
        <v>#N/A</v>
      </c>
      <c r="S2276" s="282" t="e">
        <f>++Tabla4[[#This Row],[U. Bruta Uni]]*Tabla4[[#This Row],[Cantidad]]</f>
        <v>#N/A</v>
      </c>
      <c r="T2276" s="369" t="str">
        <f>VLOOKUP(Tabla4[[#This Row],[Producto]],Tabla6[#All],14,FALSE)</f>
        <v>Termico Solar</v>
      </c>
      <c r="U2276" s="284" t="e">
        <f>(IF(Tabla4[[#This Row],[Familia]]="termico solar",Tabla4[[#This Row],[Utilidad Total]]*6%,Tabla4[[#This Row],[Utilidad Total]]*11.5%))/Tabla4[[#This Row],[Total]]</f>
        <v>#N/A</v>
      </c>
      <c r="V2276" s="282" t="e">
        <f>+Tabla4[[#This Row],[Comisión Calculada]]*Tabla4[[#This Row],[Total]]</f>
        <v>#N/A</v>
      </c>
    </row>
    <row r="2277" spans="1:22" hidden="1" x14ac:dyDescent="0.25">
      <c r="A2277" s="100">
        <v>45762</v>
      </c>
      <c r="B2277" t="str">
        <f t="shared" si="115"/>
        <v>April</v>
      </c>
      <c r="C2277" s="46" t="s">
        <v>280</v>
      </c>
      <c r="F2277" s="366" t="s">
        <v>1576</v>
      </c>
      <c r="G2277" s="46" t="s">
        <v>16</v>
      </c>
      <c r="H2277" s="46">
        <v>4</v>
      </c>
      <c r="I2277" s="51">
        <v>4103.8500000000004</v>
      </c>
      <c r="J2277" s="281">
        <f>++Tabla4[[#This Row],[Precio Bruto]]*1.16</f>
        <v>4760.4660000000003</v>
      </c>
      <c r="K2277" s="281">
        <f>+Tabla4[[#This Row],[Precio Unitario Neto]]*Tabla4[[#Headers],[20.85%]]</f>
        <v>992.55716100000006</v>
      </c>
      <c r="L2277" s="282">
        <f>++Tabla4[[#This Row],[Precio Unitario Neto]]-Tabla4[[#This Row],[20.85%]]</f>
        <v>3767.9088390000002</v>
      </c>
      <c r="M2277" s="282" t="e">
        <f>(INDEX(Tabla6[#All],MATCH(Tabla4[[#This Row],[Producto]],Tabla6[[#All],[PRODUCTO]],0),MATCH(Tabla4[[#This Row],[Mes]],Tabla6[#Headers],0)))*(1+Catalogos!$L$2)</f>
        <v>#N/A</v>
      </c>
      <c r="N2277" s="283" t="e">
        <f>+(Tabla4[[#This Row],[Precio Descontado]]-Tabla4[[#This Row],[Precio Base]])*Tabla4[[#This Row],[Cantidad]]</f>
        <v>#N/A</v>
      </c>
      <c r="O2277" s="284" t="e">
        <f>++Tabla4[[#This Row],[Utilidad Total]]/Tabla4[[#This Row],[Total]]</f>
        <v>#N/A</v>
      </c>
      <c r="P2277" s="282">
        <f>++Tabla4[[#This Row],[Precio Descontado]]*Tabla4[[#This Row],[Cantidad]]</f>
        <v>15071.635356000001</v>
      </c>
      <c r="Q2277" s="282" t="e">
        <f>(INDEX(Tabla6[#All],MATCH(Tabla4[[#This Row],[Producto]],Tabla6[[#All],[PRODUCTO]],0),MATCH(Tabla4[[#This Row],[Mes]],Tabla6[#Headers],0)))</f>
        <v>#N/A</v>
      </c>
      <c r="R2277" s="282" t="e">
        <f>++Tabla4[[#This Row],[Precio Unitario Neto]]-Tabla4[[#This Row],[20.85%]]-Tabla4[[#This Row],[Costo]]</f>
        <v>#N/A</v>
      </c>
      <c r="S2277" s="282" t="e">
        <f>++Tabla4[[#This Row],[U. Bruta Uni]]*Tabla4[[#This Row],[Cantidad]]</f>
        <v>#N/A</v>
      </c>
      <c r="T2277" s="369" t="str">
        <f>VLOOKUP(Tabla4[[#This Row],[Producto]],Tabla6[#All],14,FALSE)</f>
        <v>Termico Solar</v>
      </c>
      <c r="U2277" s="284" t="e">
        <f>(IF(Tabla4[[#This Row],[Familia]]="termico solar",Tabla4[[#This Row],[Utilidad Total]]*6%,Tabla4[[#This Row],[Utilidad Total]]*11.5%))/Tabla4[[#This Row],[Total]]</f>
        <v>#N/A</v>
      </c>
      <c r="V2277" s="282" t="e">
        <f>+Tabla4[[#This Row],[Comisión Calculada]]*Tabla4[[#This Row],[Total]]</f>
        <v>#N/A</v>
      </c>
    </row>
    <row r="2278" spans="1:22" hidden="1" x14ac:dyDescent="0.25">
      <c r="A2278" s="100">
        <v>45762</v>
      </c>
      <c r="B2278" t="str">
        <f t="shared" si="115"/>
        <v>April</v>
      </c>
      <c r="C2278" s="46" t="s">
        <v>280</v>
      </c>
      <c r="F2278" s="366" t="s">
        <v>1577</v>
      </c>
      <c r="G2278" s="46" t="s">
        <v>16</v>
      </c>
      <c r="H2278" s="46">
        <v>2</v>
      </c>
      <c r="I2278" s="51">
        <v>4103.8500000000004</v>
      </c>
      <c r="J2278" s="281">
        <f>++Tabla4[[#This Row],[Precio Bruto]]*1.16</f>
        <v>4760.4660000000003</v>
      </c>
      <c r="K2278" s="281">
        <f>+Tabla4[[#This Row],[Precio Unitario Neto]]*Tabla4[[#Headers],[20.85%]]</f>
        <v>992.55716100000006</v>
      </c>
      <c r="L2278" s="282">
        <f>++Tabla4[[#This Row],[Precio Unitario Neto]]-Tabla4[[#This Row],[20.85%]]</f>
        <v>3767.9088390000002</v>
      </c>
      <c r="M2278" s="282" t="e">
        <f>(INDEX(Tabla6[#All],MATCH(Tabla4[[#This Row],[Producto]],Tabla6[[#All],[PRODUCTO]],0),MATCH(Tabla4[[#This Row],[Mes]],Tabla6[#Headers],0)))*(1+Catalogos!$L$2)</f>
        <v>#N/A</v>
      </c>
      <c r="N2278" s="283" t="e">
        <f>+(Tabla4[[#This Row],[Precio Descontado]]-Tabla4[[#This Row],[Precio Base]])*Tabla4[[#This Row],[Cantidad]]</f>
        <v>#N/A</v>
      </c>
      <c r="O2278" s="284" t="e">
        <f>++Tabla4[[#This Row],[Utilidad Total]]/Tabla4[[#This Row],[Total]]</f>
        <v>#N/A</v>
      </c>
      <c r="P2278" s="282">
        <f>++Tabla4[[#This Row],[Precio Descontado]]*Tabla4[[#This Row],[Cantidad]]</f>
        <v>7535.8176780000003</v>
      </c>
      <c r="Q2278" s="282" t="e">
        <f>(INDEX(Tabla6[#All],MATCH(Tabla4[[#This Row],[Producto]],Tabla6[[#All],[PRODUCTO]],0),MATCH(Tabla4[[#This Row],[Mes]],Tabla6[#Headers],0)))</f>
        <v>#N/A</v>
      </c>
      <c r="R2278" s="282" t="e">
        <f>++Tabla4[[#This Row],[Precio Unitario Neto]]-Tabla4[[#This Row],[20.85%]]-Tabla4[[#This Row],[Costo]]</f>
        <v>#N/A</v>
      </c>
      <c r="S2278" s="282" t="e">
        <f>++Tabla4[[#This Row],[U. Bruta Uni]]*Tabla4[[#This Row],[Cantidad]]</f>
        <v>#N/A</v>
      </c>
      <c r="T2278" s="369" t="str">
        <f>VLOOKUP(Tabla4[[#This Row],[Producto]],Tabla6[#All],14,FALSE)</f>
        <v>Termico Solar</v>
      </c>
      <c r="U2278" s="284" t="e">
        <f>(IF(Tabla4[[#This Row],[Familia]]="termico solar",Tabla4[[#This Row],[Utilidad Total]]*6%,Tabla4[[#This Row],[Utilidad Total]]*11.5%))/Tabla4[[#This Row],[Total]]</f>
        <v>#N/A</v>
      </c>
      <c r="V2278" s="282" t="e">
        <f>+Tabla4[[#This Row],[Comisión Calculada]]*Tabla4[[#This Row],[Total]]</f>
        <v>#N/A</v>
      </c>
    </row>
    <row r="2279" spans="1:22" hidden="1" x14ac:dyDescent="0.25">
      <c r="A2279" s="100">
        <v>45777</v>
      </c>
      <c r="B2279" t="str">
        <f t="shared" si="115"/>
        <v>April</v>
      </c>
      <c r="C2279" s="46" t="s">
        <v>280</v>
      </c>
      <c r="F2279" s="366" t="s">
        <v>1579</v>
      </c>
      <c r="G2279" s="46" t="s">
        <v>20</v>
      </c>
      <c r="H2279" s="46">
        <v>1</v>
      </c>
      <c r="I2279" s="51">
        <v>7751.98</v>
      </c>
      <c r="J2279" s="281">
        <f>++Tabla4[[#This Row],[Precio Bruto]]*1.16</f>
        <v>8992.2967999999983</v>
      </c>
      <c r="K2279" s="281">
        <f>+Tabla4[[#This Row],[Precio Unitario Neto]]*Tabla4[[#Headers],[20.85%]]</f>
        <v>1874.8938827999996</v>
      </c>
      <c r="L2279" s="282">
        <f>++Tabla4[[#This Row],[Precio Unitario Neto]]-Tabla4[[#This Row],[20.85%]]</f>
        <v>7117.4029171999991</v>
      </c>
      <c r="M2279" s="282" t="e">
        <f>(INDEX(Tabla6[#All],MATCH(Tabla4[[#This Row],[Producto]],Tabla6[[#All],[PRODUCTO]],0),MATCH(Tabla4[[#This Row],[Mes]],Tabla6[#Headers],0)))*(1+Catalogos!$L$2)</f>
        <v>#N/A</v>
      </c>
      <c r="N2279" s="283" t="e">
        <f>+(Tabla4[[#This Row],[Precio Descontado]]-Tabla4[[#This Row],[Precio Base]])*Tabla4[[#This Row],[Cantidad]]</f>
        <v>#N/A</v>
      </c>
      <c r="O2279" s="284" t="e">
        <f>++Tabla4[[#This Row],[Utilidad Total]]/Tabla4[[#This Row],[Total]]</f>
        <v>#N/A</v>
      </c>
      <c r="P2279" s="282">
        <f>++Tabla4[[#This Row],[Precio Descontado]]*Tabla4[[#This Row],[Cantidad]]</f>
        <v>7117.4029171999991</v>
      </c>
      <c r="Q2279" s="282" t="e">
        <f>(INDEX(Tabla6[#All],MATCH(Tabla4[[#This Row],[Producto]],Tabla6[[#All],[PRODUCTO]],0),MATCH(Tabla4[[#This Row],[Mes]],Tabla6[#Headers],0)))</f>
        <v>#N/A</v>
      </c>
      <c r="R2279" s="282" t="e">
        <f>++Tabla4[[#This Row],[Precio Unitario Neto]]-Tabla4[[#This Row],[20.85%]]-Tabla4[[#This Row],[Costo]]</f>
        <v>#N/A</v>
      </c>
      <c r="S2279" s="282" t="e">
        <f>++Tabla4[[#This Row],[U. Bruta Uni]]*Tabla4[[#This Row],[Cantidad]]</f>
        <v>#N/A</v>
      </c>
      <c r="T2279" s="369" t="str">
        <f>VLOOKUP(Tabla4[[#This Row],[Producto]],Tabla6[#All],14,FALSE)</f>
        <v>Termico Solar</v>
      </c>
      <c r="U2279" s="284" t="e">
        <f>(IF(Tabla4[[#This Row],[Familia]]="termico solar",Tabla4[[#This Row],[Utilidad Total]]*6%,Tabla4[[#This Row],[Utilidad Total]]*11.5%))/Tabla4[[#This Row],[Total]]</f>
        <v>#N/A</v>
      </c>
      <c r="V2279" s="282" t="e">
        <f>+Tabla4[[#This Row],[Comisión Calculada]]*Tabla4[[#This Row],[Total]]</f>
        <v>#N/A</v>
      </c>
    </row>
    <row r="2280" spans="1:22" hidden="1" x14ac:dyDescent="0.25">
      <c r="A2280" s="100">
        <v>45777</v>
      </c>
      <c r="B2280" t="str">
        <f t="shared" ref="B2280:B2288" si="116">TEXT(A2280, "mmmm")</f>
        <v>April</v>
      </c>
      <c r="C2280" s="46" t="s">
        <v>280</v>
      </c>
      <c r="F2280" s="366" t="s">
        <v>1580</v>
      </c>
      <c r="G2280" s="46" t="s">
        <v>83</v>
      </c>
      <c r="H2280" s="46">
        <v>7</v>
      </c>
      <c r="I2280" s="51">
        <v>8858.76</v>
      </c>
      <c r="J2280" s="281">
        <f>++Tabla4[[#This Row],[Precio Bruto]]*1.16</f>
        <v>10276.161599999999</v>
      </c>
      <c r="K2280" s="281">
        <f>+Tabla4[[#This Row],[Precio Unitario Neto]]*Tabla4[[#Headers],[20.85%]]</f>
        <v>2142.5796935999997</v>
      </c>
      <c r="L2280" s="282">
        <f>++Tabla4[[#This Row],[Precio Unitario Neto]]-Tabla4[[#This Row],[20.85%]]</f>
        <v>8133.5819063999998</v>
      </c>
      <c r="M2280" s="282" t="e">
        <f>(INDEX(Tabla6[#All],MATCH(Tabla4[[#This Row],[Producto]],Tabla6[[#All],[PRODUCTO]],0),MATCH(Tabla4[[#This Row],[Mes]],Tabla6[#Headers],0)))*(1+Catalogos!$L$2)</f>
        <v>#N/A</v>
      </c>
      <c r="N2280" s="283" t="e">
        <f>+(Tabla4[[#This Row],[Precio Descontado]]-Tabla4[[#This Row],[Precio Base]])*Tabla4[[#This Row],[Cantidad]]</f>
        <v>#N/A</v>
      </c>
      <c r="O2280" s="284" t="e">
        <f>++Tabla4[[#This Row],[Utilidad Total]]/Tabla4[[#This Row],[Total]]</f>
        <v>#N/A</v>
      </c>
      <c r="P2280" s="282">
        <f>++Tabla4[[#This Row],[Precio Descontado]]*Tabla4[[#This Row],[Cantidad]]</f>
        <v>56935.073344799996</v>
      </c>
      <c r="Q2280" s="282" t="e">
        <f>(INDEX(Tabla6[#All],MATCH(Tabla4[[#This Row],[Producto]],Tabla6[[#All],[PRODUCTO]],0),MATCH(Tabla4[[#This Row],[Mes]],Tabla6[#Headers],0)))</f>
        <v>#N/A</v>
      </c>
      <c r="R2280" s="282" t="e">
        <f>++Tabla4[[#This Row],[Precio Unitario Neto]]-Tabla4[[#This Row],[20.85%]]-Tabla4[[#This Row],[Costo]]</f>
        <v>#N/A</v>
      </c>
      <c r="S2280" s="282" t="e">
        <f>++Tabla4[[#This Row],[U. Bruta Uni]]*Tabla4[[#This Row],[Cantidad]]</f>
        <v>#N/A</v>
      </c>
      <c r="T2280" s="369" t="str">
        <f>VLOOKUP(Tabla4[[#This Row],[Producto]],Tabla6[#All],14,FALSE)</f>
        <v>Termico Solar</v>
      </c>
      <c r="U2280" s="284" t="e">
        <f>(IF(Tabla4[[#This Row],[Familia]]="termico solar",Tabla4[[#This Row],[Utilidad Total]]*6%,Tabla4[[#This Row],[Utilidad Total]]*11.5%))/Tabla4[[#This Row],[Total]]</f>
        <v>#N/A</v>
      </c>
      <c r="V2280" s="282" t="e">
        <f>+Tabla4[[#This Row],[Comisión Calculada]]*Tabla4[[#This Row],[Total]]</f>
        <v>#N/A</v>
      </c>
    </row>
    <row r="2281" spans="1:22" ht="15.75" hidden="1" customHeight="1" x14ac:dyDescent="0.25">
      <c r="A2281" s="100">
        <v>45777</v>
      </c>
      <c r="B2281" t="str">
        <f t="shared" si="116"/>
        <v>April</v>
      </c>
      <c r="C2281" s="46" t="s">
        <v>280</v>
      </c>
      <c r="F2281" s="366" t="s">
        <v>1580</v>
      </c>
      <c r="G2281" s="46" t="s">
        <v>17</v>
      </c>
      <c r="H2281" s="46">
        <v>1</v>
      </c>
      <c r="I2281" s="51">
        <v>4622.28</v>
      </c>
      <c r="J2281" s="281">
        <f>++Tabla4[[#This Row],[Precio Bruto]]*1.16</f>
        <v>5361.8447999999989</v>
      </c>
      <c r="K2281" s="281">
        <f>+Tabla4[[#This Row],[Precio Unitario Neto]]*Tabla4[[#Headers],[20.85%]]</f>
        <v>1117.9446407999997</v>
      </c>
      <c r="L2281" s="282">
        <f>++Tabla4[[#This Row],[Precio Unitario Neto]]-Tabla4[[#This Row],[20.85%]]</f>
        <v>4243.9001591999995</v>
      </c>
      <c r="M2281" s="282" t="e">
        <f>(INDEX(Tabla6[#All],MATCH(Tabla4[[#This Row],[Producto]],Tabla6[[#All],[PRODUCTO]],0),MATCH(Tabla4[[#This Row],[Mes]],Tabla6[#Headers],0)))*(1+Catalogos!$L$2)</f>
        <v>#N/A</v>
      </c>
      <c r="N2281" s="283" t="e">
        <f>+(Tabla4[[#This Row],[Precio Descontado]]-Tabla4[[#This Row],[Precio Base]])*Tabla4[[#This Row],[Cantidad]]</f>
        <v>#N/A</v>
      </c>
      <c r="O2281" s="284" t="e">
        <f>++Tabla4[[#This Row],[Utilidad Total]]/Tabla4[[#This Row],[Total]]</f>
        <v>#N/A</v>
      </c>
      <c r="P2281" s="282">
        <f>++Tabla4[[#This Row],[Precio Descontado]]*Tabla4[[#This Row],[Cantidad]]</f>
        <v>4243.9001591999995</v>
      </c>
      <c r="Q2281" s="282" t="e">
        <f>(INDEX(Tabla6[#All],MATCH(Tabla4[[#This Row],[Producto]],Tabla6[[#All],[PRODUCTO]],0),MATCH(Tabla4[[#This Row],[Mes]],Tabla6[#Headers],0)))</f>
        <v>#N/A</v>
      </c>
      <c r="R2281" s="282" t="e">
        <f>++Tabla4[[#This Row],[Precio Unitario Neto]]-Tabla4[[#This Row],[20.85%]]-Tabla4[[#This Row],[Costo]]</f>
        <v>#N/A</v>
      </c>
      <c r="S2281" s="282" t="e">
        <f>++Tabla4[[#This Row],[U. Bruta Uni]]*Tabla4[[#This Row],[Cantidad]]</f>
        <v>#N/A</v>
      </c>
      <c r="T2281" s="369" t="str">
        <f>VLOOKUP(Tabla4[[#This Row],[Producto]],Tabla6[#All],14,FALSE)</f>
        <v>Termico Solar</v>
      </c>
      <c r="U2281" s="284" t="e">
        <f>(IF(Tabla4[[#This Row],[Familia]]="termico solar",Tabla4[[#This Row],[Utilidad Total]]*6%,Tabla4[[#This Row],[Utilidad Total]]*11.5%))/Tabla4[[#This Row],[Total]]</f>
        <v>#N/A</v>
      </c>
      <c r="V2281" s="282" t="e">
        <f>+Tabla4[[#This Row],[Comisión Calculada]]*Tabla4[[#This Row],[Total]]</f>
        <v>#N/A</v>
      </c>
    </row>
    <row r="2282" spans="1:22" ht="15.75" hidden="1" customHeight="1" x14ac:dyDescent="0.25">
      <c r="A2282" s="100">
        <v>45777</v>
      </c>
      <c r="B2282" t="str">
        <f t="shared" si="116"/>
        <v>April</v>
      </c>
      <c r="C2282" s="46" t="s">
        <v>280</v>
      </c>
      <c r="F2282" s="366" t="s">
        <v>1580</v>
      </c>
      <c r="G2282" s="46" t="s">
        <v>19</v>
      </c>
      <c r="H2282" s="46">
        <v>1</v>
      </c>
      <c r="I2282" s="51">
        <v>6412.03</v>
      </c>
      <c r="J2282" s="281">
        <f>++Tabla4[[#This Row],[Precio Bruto]]*1.16</f>
        <v>7437.9547999999995</v>
      </c>
      <c r="K2282" s="281">
        <f>+Tabla4[[#This Row],[Precio Unitario Neto]]*Tabla4[[#Headers],[20.85%]]</f>
        <v>1550.8135757999999</v>
      </c>
      <c r="L2282" s="282">
        <f>++Tabla4[[#This Row],[Precio Unitario Neto]]-Tabla4[[#This Row],[20.85%]]</f>
        <v>5887.1412241999997</v>
      </c>
      <c r="M2282" s="282" t="e">
        <f>(INDEX(Tabla6[#All],MATCH(Tabla4[[#This Row],[Producto]],Tabla6[[#All],[PRODUCTO]],0),MATCH(Tabla4[[#This Row],[Mes]],Tabla6[#Headers],0)))*(1+Catalogos!$L$2)</f>
        <v>#N/A</v>
      </c>
      <c r="N2282" s="283" t="e">
        <f>+(Tabla4[[#This Row],[Precio Descontado]]-Tabla4[[#This Row],[Precio Base]])*Tabla4[[#This Row],[Cantidad]]</f>
        <v>#N/A</v>
      </c>
      <c r="O2282" s="284" t="e">
        <f>++Tabla4[[#This Row],[Utilidad Total]]/Tabla4[[#This Row],[Total]]</f>
        <v>#N/A</v>
      </c>
      <c r="P2282" s="282">
        <f>++Tabla4[[#This Row],[Precio Descontado]]*Tabla4[[#This Row],[Cantidad]]</f>
        <v>5887.1412241999997</v>
      </c>
      <c r="Q2282" s="282" t="e">
        <f>(INDEX(Tabla6[#All],MATCH(Tabla4[[#This Row],[Producto]],Tabla6[[#All],[PRODUCTO]],0),MATCH(Tabla4[[#This Row],[Mes]],Tabla6[#Headers],0)))</f>
        <v>#N/A</v>
      </c>
      <c r="R2282" s="282" t="e">
        <f>++Tabla4[[#This Row],[Precio Unitario Neto]]-Tabla4[[#This Row],[20.85%]]-Tabla4[[#This Row],[Costo]]</f>
        <v>#N/A</v>
      </c>
      <c r="S2282" s="282" t="e">
        <f>++Tabla4[[#This Row],[U. Bruta Uni]]*Tabla4[[#This Row],[Cantidad]]</f>
        <v>#N/A</v>
      </c>
      <c r="T2282" s="369" t="str">
        <f>VLOOKUP(Tabla4[[#This Row],[Producto]],Tabla6[#All],14,FALSE)</f>
        <v>Termico Solar</v>
      </c>
      <c r="U2282" s="284" t="e">
        <f>(IF(Tabla4[[#This Row],[Familia]]="termico solar",Tabla4[[#This Row],[Utilidad Total]]*6%,Tabla4[[#This Row],[Utilidad Total]]*11.5%))/Tabla4[[#This Row],[Total]]</f>
        <v>#N/A</v>
      </c>
      <c r="V2282" s="282" t="e">
        <f>+Tabla4[[#This Row],[Comisión Calculada]]*Tabla4[[#This Row],[Total]]</f>
        <v>#N/A</v>
      </c>
    </row>
    <row r="2283" spans="1:22" hidden="1" x14ac:dyDescent="0.25">
      <c r="A2283" s="100">
        <v>45777</v>
      </c>
      <c r="B2283" t="str">
        <f t="shared" si="116"/>
        <v>April</v>
      </c>
      <c r="C2283" s="46" t="s">
        <v>280</v>
      </c>
      <c r="F2283" s="366" t="s">
        <v>1580</v>
      </c>
      <c r="G2283" s="46" t="s">
        <v>20</v>
      </c>
      <c r="H2283" s="46">
        <v>2</v>
      </c>
      <c r="I2283" s="51">
        <v>7751.98</v>
      </c>
      <c r="J2283" s="281">
        <f>++Tabla4[[#This Row],[Precio Bruto]]*1.16</f>
        <v>8992.2967999999983</v>
      </c>
      <c r="K2283" s="281">
        <f>+Tabla4[[#This Row],[Precio Unitario Neto]]*Tabla4[[#Headers],[20.85%]]</f>
        <v>1874.8938827999996</v>
      </c>
      <c r="L2283" s="282">
        <f>++Tabla4[[#This Row],[Precio Unitario Neto]]-Tabla4[[#This Row],[20.85%]]</f>
        <v>7117.4029171999991</v>
      </c>
      <c r="M2283" s="282" t="e">
        <f>(INDEX(Tabla6[#All],MATCH(Tabla4[[#This Row],[Producto]],Tabla6[[#All],[PRODUCTO]],0),MATCH(Tabla4[[#This Row],[Mes]],Tabla6[#Headers],0)))*(1+Catalogos!$L$2)</f>
        <v>#N/A</v>
      </c>
      <c r="N2283" s="283" t="e">
        <f>+(Tabla4[[#This Row],[Precio Descontado]]-Tabla4[[#This Row],[Precio Base]])*Tabla4[[#This Row],[Cantidad]]</f>
        <v>#N/A</v>
      </c>
      <c r="O2283" s="284" t="e">
        <f>++Tabla4[[#This Row],[Utilidad Total]]/Tabla4[[#This Row],[Total]]</f>
        <v>#N/A</v>
      </c>
      <c r="P2283" s="282">
        <f>++Tabla4[[#This Row],[Precio Descontado]]*Tabla4[[#This Row],[Cantidad]]</f>
        <v>14234.805834399998</v>
      </c>
      <c r="Q2283" s="282" t="e">
        <f>(INDEX(Tabla6[#All],MATCH(Tabla4[[#This Row],[Producto]],Tabla6[[#All],[PRODUCTO]],0),MATCH(Tabla4[[#This Row],[Mes]],Tabla6[#Headers],0)))</f>
        <v>#N/A</v>
      </c>
      <c r="R2283" s="282" t="e">
        <f>++Tabla4[[#This Row],[Precio Unitario Neto]]-Tabla4[[#This Row],[20.85%]]-Tabla4[[#This Row],[Costo]]</f>
        <v>#N/A</v>
      </c>
      <c r="S2283" s="282" t="e">
        <f>++Tabla4[[#This Row],[U. Bruta Uni]]*Tabla4[[#This Row],[Cantidad]]</f>
        <v>#N/A</v>
      </c>
      <c r="T2283" s="369" t="str">
        <f>VLOOKUP(Tabla4[[#This Row],[Producto]],Tabla6[#All],14,FALSE)</f>
        <v>Termico Solar</v>
      </c>
      <c r="U2283" s="284" t="e">
        <f>(IF(Tabla4[[#This Row],[Familia]]="termico solar",Tabla4[[#This Row],[Utilidad Total]]*6%,Tabla4[[#This Row],[Utilidad Total]]*11.5%))/Tabla4[[#This Row],[Total]]</f>
        <v>#N/A</v>
      </c>
      <c r="V2283" s="282" t="e">
        <f>+Tabla4[[#This Row],[Comisión Calculada]]*Tabla4[[#This Row],[Total]]</f>
        <v>#N/A</v>
      </c>
    </row>
    <row r="2284" spans="1:22" hidden="1" x14ac:dyDescent="0.25">
      <c r="A2284" s="100">
        <v>45777</v>
      </c>
      <c r="B2284" t="str">
        <f t="shared" si="116"/>
        <v>April</v>
      </c>
      <c r="C2284" s="46" t="s">
        <v>280</v>
      </c>
      <c r="F2284" s="366" t="s">
        <v>1580</v>
      </c>
      <c r="G2284" s="46" t="s">
        <v>21</v>
      </c>
      <c r="H2284" s="46">
        <v>8</v>
      </c>
      <c r="I2284" s="51">
        <v>9282.19</v>
      </c>
      <c r="J2284" s="281">
        <f>++Tabla4[[#This Row],[Precio Bruto]]*1.16</f>
        <v>10767.340399999999</v>
      </c>
      <c r="K2284" s="281">
        <f>+Tabla4[[#This Row],[Precio Unitario Neto]]*Tabla4[[#Headers],[20.85%]]</f>
        <v>2244.9904733999997</v>
      </c>
      <c r="L2284" s="282">
        <f>++Tabla4[[#This Row],[Precio Unitario Neto]]-Tabla4[[#This Row],[20.85%]]</f>
        <v>8522.3499265999999</v>
      </c>
      <c r="M2284" s="282" t="e">
        <f>(INDEX(Tabla6[#All],MATCH(Tabla4[[#This Row],[Producto]],Tabla6[[#All],[PRODUCTO]],0),MATCH(Tabla4[[#This Row],[Mes]],Tabla6[#Headers],0)))*(1+Catalogos!$L$2)</f>
        <v>#N/A</v>
      </c>
      <c r="N2284" s="283" t="e">
        <f>+(Tabla4[[#This Row],[Precio Descontado]]-Tabla4[[#This Row],[Precio Base]])*Tabla4[[#This Row],[Cantidad]]</f>
        <v>#N/A</v>
      </c>
      <c r="O2284" s="284" t="e">
        <f>++Tabla4[[#This Row],[Utilidad Total]]/Tabla4[[#This Row],[Total]]</f>
        <v>#N/A</v>
      </c>
      <c r="P2284" s="282">
        <f>++Tabla4[[#This Row],[Precio Descontado]]*Tabla4[[#This Row],[Cantidad]]</f>
        <v>68178.799412799999</v>
      </c>
      <c r="Q2284" s="282" t="e">
        <f>(INDEX(Tabla6[#All],MATCH(Tabla4[[#This Row],[Producto]],Tabla6[[#All],[PRODUCTO]],0),MATCH(Tabla4[[#This Row],[Mes]],Tabla6[#Headers],0)))</f>
        <v>#N/A</v>
      </c>
      <c r="R2284" s="282" t="e">
        <f>++Tabla4[[#This Row],[Precio Unitario Neto]]-Tabla4[[#This Row],[20.85%]]-Tabla4[[#This Row],[Costo]]</f>
        <v>#N/A</v>
      </c>
      <c r="S2284" s="282" t="e">
        <f>++Tabla4[[#This Row],[U. Bruta Uni]]*Tabla4[[#This Row],[Cantidad]]</f>
        <v>#N/A</v>
      </c>
      <c r="T2284" s="369" t="str">
        <f>VLOOKUP(Tabla4[[#This Row],[Producto]],Tabla6[#All],14,FALSE)</f>
        <v>Termico Solar</v>
      </c>
      <c r="U2284" s="284" t="e">
        <f>(IF(Tabla4[[#This Row],[Familia]]="termico solar",Tabla4[[#This Row],[Utilidad Total]]*6%,Tabla4[[#This Row],[Utilidad Total]]*11.5%))/Tabla4[[#This Row],[Total]]</f>
        <v>#N/A</v>
      </c>
      <c r="V2284" s="282" t="e">
        <f>+Tabla4[[#This Row],[Comisión Calculada]]*Tabla4[[#This Row],[Total]]</f>
        <v>#N/A</v>
      </c>
    </row>
    <row r="2285" spans="1:22" hidden="1" x14ac:dyDescent="0.25">
      <c r="A2285" s="100">
        <v>45777</v>
      </c>
      <c r="B2285" t="str">
        <f t="shared" si="116"/>
        <v>April</v>
      </c>
      <c r="C2285" s="46" t="s">
        <v>280</v>
      </c>
      <c r="F2285" s="366" t="s">
        <v>1580</v>
      </c>
      <c r="G2285" s="46" t="s">
        <v>22</v>
      </c>
      <c r="H2285" s="46">
        <v>5</v>
      </c>
      <c r="I2285" s="51">
        <v>13355.75</v>
      </c>
      <c r="J2285" s="281">
        <f>++Tabla4[[#This Row],[Precio Bruto]]*1.16</f>
        <v>15492.669999999998</v>
      </c>
      <c r="K2285" s="281">
        <f>+Tabla4[[#This Row],[Precio Unitario Neto]]*Tabla4[[#Headers],[20.85%]]</f>
        <v>3230.2216949999993</v>
      </c>
      <c r="L2285" s="282">
        <f>++Tabla4[[#This Row],[Precio Unitario Neto]]-Tabla4[[#This Row],[20.85%]]</f>
        <v>12262.448304999998</v>
      </c>
      <c r="M2285" s="282" t="e">
        <f>(INDEX(Tabla6[#All],MATCH(Tabla4[[#This Row],[Producto]],Tabla6[[#All],[PRODUCTO]],0),MATCH(Tabla4[[#This Row],[Mes]],Tabla6[#Headers],0)))*(1+Catalogos!$L$2)</f>
        <v>#N/A</v>
      </c>
      <c r="N2285" s="283" t="e">
        <f>+(Tabla4[[#This Row],[Precio Descontado]]-Tabla4[[#This Row],[Precio Base]])*Tabla4[[#This Row],[Cantidad]]</f>
        <v>#N/A</v>
      </c>
      <c r="O2285" s="284" t="e">
        <f>++Tabla4[[#This Row],[Utilidad Total]]/Tabla4[[#This Row],[Total]]</f>
        <v>#N/A</v>
      </c>
      <c r="P2285" s="282">
        <f>++Tabla4[[#This Row],[Precio Descontado]]*Tabla4[[#This Row],[Cantidad]]</f>
        <v>61312.24152499999</v>
      </c>
      <c r="Q2285" s="282" t="e">
        <f>(INDEX(Tabla6[#All],MATCH(Tabla4[[#This Row],[Producto]],Tabla6[[#All],[PRODUCTO]],0),MATCH(Tabla4[[#This Row],[Mes]],Tabla6[#Headers],0)))</f>
        <v>#N/A</v>
      </c>
      <c r="R2285" s="282" t="e">
        <f>++Tabla4[[#This Row],[Precio Unitario Neto]]-Tabla4[[#This Row],[20.85%]]-Tabla4[[#This Row],[Costo]]</f>
        <v>#N/A</v>
      </c>
      <c r="S2285" s="282" t="e">
        <f>++Tabla4[[#This Row],[U. Bruta Uni]]*Tabla4[[#This Row],[Cantidad]]</f>
        <v>#N/A</v>
      </c>
      <c r="T2285" s="369" t="str">
        <f>VLOOKUP(Tabla4[[#This Row],[Producto]],Tabla6[#All],14,FALSE)</f>
        <v>Termico Solar</v>
      </c>
      <c r="U2285" s="284" t="e">
        <f>(IF(Tabla4[[#This Row],[Familia]]="termico solar",Tabla4[[#This Row],[Utilidad Total]]*6%,Tabla4[[#This Row],[Utilidad Total]]*11.5%))/Tabla4[[#This Row],[Total]]</f>
        <v>#N/A</v>
      </c>
      <c r="V2285" s="282" t="e">
        <f>+Tabla4[[#This Row],[Comisión Calculada]]*Tabla4[[#This Row],[Total]]</f>
        <v>#N/A</v>
      </c>
    </row>
    <row r="2286" spans="1:22" hidden="1" x14ac:dyDescent="0.25">
      <c r="A2286" s="100">
        <v>45777</v>
      </c>
      <c r="B2286" t="str">
        <f t="shared" si="116"/>
        <v>April</v>
      </c>
      <c r="C2286" s="46" t="s">
        <v>280</v>
      </c>
      <c r="F2286" s="366" t="s">
        <v>1580</v>
      </c>
      <c r="G2286" s="46" t="s">
        <v>84</v>
      </c>
      <c r="H2286" s="46">
        <v>5</v>
      </c>
      <c r="I2286" s="51">
        <v>16601.829999999998</v>
      </c>
      <c r="J2286" s="281">
        <f>++Tabla4[[#This Row],[Precio Bruto]]*1.16</f>
        <v>19258.122799999997</v>
      </c>
      <c r="K2286" s="281">
        <f>+Tabla4[[#This Row],[Precio Unitario Neto]]*Tabla4[[#Headers],[20.85%]]</f>
        <v>4015.3186037999994</v>
      </c>
      <c r="L2286" s="282">
        <f>++Tabla4[[#This Row],[Precio Unitario Neto]]-Tabla4[[#This Row],[20.85%]]</f>
        <v>15242.804196199999</v>
      </c>
      <c r="M2286" s="282" t="e">
        <f>(INDEX(Tabla6[#All],MATCH(Tabla4[[#This Row],[Producto]],Tabla6[[#All],[PRODUCTO]],0),MATCH(Tabla4[[#This Row],[Mes]],Tabla6[#Headers],0)))*(1+Catalogos!$L$2)</f>
        <v>#N/A</v>
      </c>
      <c r="N2286" s="283" t="e">
        <f>+(Tabla4[[#This Row],[Precio Descontado]]-Tabla4[[#This Row],[Precio Base]])*Tabla4[[#This Row],[Cantidad]]</f>
        <v>#N/A</v>
      </c>
      <c r="O2286" s="284" t="e">
        <f>++Tabla4[[#This Row],[Utilidad Total]]/Tabla4[[#This Row],[Total]]</f>
        <v>#N/A</v>
      </c>
      <c r="P2286" s="282">
        <f>++Tabla4[[#This Row],[Precio Descontado]]*Tabla4[[#This Row],[Cantidad]]</f>
        <v>76214.020980999994</v>
      </c>
      <c r="Q2286" s="282" t="e">
        <f>(INDEX(Tabla6[#All],MATCH(Tabla4[[#This Row],[Producto]],Tabla6[[#All],[PRODUCTO]],0),MATCH(Tabla4[[#This Row],[Mes]],Tabla6[#Headers],0)))</f>
        <v>#N/A</v>
      </c>
      <c r="R2286" s="282" t="e">
        <f>++Tabla4[[#This Row],[Precio Unitario Neto]]-Tabla4[[#This Row],[20.85%]]-Tabla4[[#This Row],[Costo]]</f>
        <v>#N/A</v>
      </c>
      <c r="S2286" s="282" t="e">
        <f>++Tabla4[[#This Row],[U. Bruta Uni]]*Tabla4[[#This Row],[Cantidad]]</f>
        <v>#N/A</v>
      </c>
      <c r="T2286" s="369" t="str">
        <f>VLOOKUP(Tabla4[[#This Row],[Producto]],Tabla6[#All],14,FALSE)</f>
        <v>Termico Solar</v>
      </c>
      <c r="U2286" s="284" t="e">
        <f>(IF(Tabla4[[#This Row],[Familia]]="termico solar",Tabla4[[#This Row],[Utilidad Total]]*6%,Tabla4[[#This Row],[Utilidad Total]]*11.5%))/Tabla4[[#This Row],[Total]]</f>
        <v>#N/A</v>
      </c>
      <c r="V2286" s="282" t="e">
        <f>+Tabla4[[#This Row],[Comisión Calculada]]*Tabla4[[#This Row],[Total]]</f>
        <v>#N/A</v>
      </c>
    </row>
    <row r="2287" spans="1:22" hidden="1" x14ac:dyDescent="0.25">
      <c r="A2287" s="100">
        <v>45777</v>
      </c>
      <c r="B2287" t="str">
        <f t="shared" si="116"/>
        <v>April</v>
      </c>
      <c r="C2287" s="46" t="s">
        <v>280</v>
      </c>
      <c r="F2287" s="366" t="s">
        <v>1580</v>
      </c>
      <c r="G2287" s="46" t="s">
        <v>566</v>
      </c>
      <c r="H2287" s="46">
        <v>3</v>
      </c>
      <c r="I2287" s="51">
        <v>2109.4500000000003</v>
      </c>
      <c r="J2287" s="281">
        <f>++Tabla4[[#This Row],[Precio Bruto]]*1.16</f>
        <v>2446.962</v>
      </c>
      <c r="K2287" s="281">
        <f>+Tabla4[[#This Row],[Precio Unitario Neto]]*Tabla4[[#Headers],[20.85%]]</f>
        <v>510.191577</v>
      </c>
      <c r="L2287" s="282">
        <f>++Tabla4[[#This Row],[Precio Unitario Neto]]-Tabla4[[#This Row],[20.85%]]</f>
        <v>1936.7704229999999</v>
      </c>
      <c r="M2287" s="282" t="e">
        <f>(INDEX(Tabla6[#All],MATCH(Tabla4[[#This Row],[Producto]],Tabla6[[#All],[PRODUCTO]],0),MATCH(Tabla4[[#This Row],[Mes]],Tabla6[#Headers],0)))*(1+Catalogos!$L$2)</f>
        <v>#N/A</v>
      </c>
      <c r="N2287" s="283" t="e">
        <f>+(Tabla4[[#This Row],[Precio Descontado]]-Tabla4[[#This Row],[Precio Base]])*Tabla4[[#This Row],[Cantidad]]</f>
        <v>#N/A</v>
      </c>
      <c r="O2287" s="284" t="e">
        <f>++Tabla4[[#This Row],[Utilidad Total]]/Tabla4[[#This Row],[Total]]</f>
        <v>#N/A</v>
      </c>
      <c r="P2287" s="282">
        <f>++Tabla4[[#This Row],[Precio Descontado]]*Tabla4[[#This Row],[Cantidad]]</f>
        <v>5810.3112689999998</v>
      </c>
      <c r="Q2287" s="282" t="e">
        <f>(INDEX(Tabla6[#All],MATCH(Tabla4[[#This Row],[Producto]],Tabla6[[#All],[PRODUCTO]],0),MATCH(Tabla4[[#This Row],[Mes]],Tabla6[#Headers],0)))</f>
        <v>#N/A</v>
      </c>
      <c r="R2287" s="282" t="e">
        <f>++Tabla4[[#This Row],[Precio Unitario Neto]]-Tabla4[[#This Row],[20.85%]]-Tabla4[[#This Row],[Costo]]</f>
        <v>#N/A</v>
      </c>
      <c r="S2287" s="282" t="e">
        <f>++Tabla4[[#This Row],[U. Bruta Uni]]*Tabla4[[#This Row],[Cantidad]]</f>
        <v>#N/A</v>
      </c>
      <c r="T2287" s="369" t="str">
        <f>VLOOKUP(Tabla4[[#This Row],[Producto]],Tabla6[#All],14,FALSE)</f>
        <v>Termico Solar</v>
      </c>
      <c r="U2287" s="284" t="e">
        <f>(IF(Tabla4[[#This Row],[Familia]]="termico solar",Tabla4[[#This Row],[Utilidad Total]]*6%,Tabla4[[#This Row],[Utilidad Total]]*11.5%))/Tabla4[[#This Row],[Total]]</f>
        <v>#N/A</v>
      </c>
      <c r="V2287" s="282" t="e">
        <f>+Tabla4[[#This Row],[Comisión Calculada]]*Tabla4[[#This Row],[Total]]</f>
        <v>#N/A</v>
      </c>
    </row>
    <row r="2288" spans="1:22" hidden="1" x14ac:dyDescent="0.25">
      <c r="A2288" s="100">
        <v>45777</v>
      </c>
      <c r="B2288" t="str">
        <f t="shared" si="116"/>
        <v>April</v>
      </c>
      <c r="C2288" s="46" t="s">
        <v>280</v>
      </c>
      <c r="F2288" s="366" t="s">
        <v>1580</v>
      </c>
      <c r="G2288" s="46" t="s">
        <v>16</v>
      </c>
      <c r="H2288" s="46">
        <v>3</v>
      </c>
      <c r="I2288" s="51">
        <v>4103.8499999999995</v>
      </c>
      <c r="J2288" s="281">
        <f>++Tabla4[[#This Row],[Precio Bruto]]*1.16</f>
        <v>4760.4659999999994</v>
      </c>
      <c r="K2288" s="281">
        <f>+Tabla4[[#This Row],[Precio Unitario Neto]]*Tabla4[[#Headers],[20.85%]]</f>
        <v>992.55716099999984</v>
      </c>
      <c r="L2288" s="282">
        <f>++Tabla4[[#This Row],[Precio Unitario Neto]]-Tabla4[[#This Row],[20.85%]]</f>
        <v>3767.9088389999997</v>
      </c>
      <c r="M2288" s="282" t="e">
        <f>(INDEX(Tabla6[#All],MATCH(Tabla4[[#This Row],[Producto]],Tabla6[[#All],[PRODUCTO]],0),MATCH(Tabla4[[#This Row],[Mes]],Tabla6[#Headers],0)))*(1+Catalogos!$L$2)</f>
        <v>#N/A</v>
      </c>
      <c r="N2288" s="283" t="e">
        <f>+(Tabla4[[#This Row],[Precio Descontado]]-Tabla4[[#This Row],[Precio Base]])*Tabla4[[#This Row],[Cantidad]]</f>
        <v>#N/A</v>
      </c>
      <c r="O2288" s="284" t="e">
        <f>++Tabla4[[#This Row],[Utilidad Total]]/Tabla4[[#This Row],[Total]]</f>
        <v>#N/A</v>
      </c>
      <c r="P2288" s="282">
        <f>++Tabla4[[#This Row],[Precio Descontado]]*Tabla4[[#This Row],[Cantidad]]</f>
        <v>11303.726516999999</v>
      </c>
      <c r="Q2288" s="282" t="e">
        <f>(INDEX(Tabla6[#All],MATCH(Tabla4[[#This Row],[Producto]],Tabla6[[#All],[PRODUCTO]],0),MATCH(Tabla4[[#This Row],[Mes]],Tabla6[#Headers],0)))</f>
        <v>#N/A</v>
      </c>
      <c r="R2288" s="282" t="e">
        <f>++Tabla4[[#This Row],[Precio Unitario Neto]]-Tabla4[[#This Row],[20.85%]]-Tabla4[[#This Row],[Costo]]</f>
        <v>#N/A</v>
      </c>
      <c r="S2288" s="282" t="e">
        <f>++Tabla4[[#This Row],[U. Bruta Uni]]*Tabla4[[#This Row],[Cantidad]]</f>
        <v>#N/A</v>
      </c>
      <c r="T2288" s="369" t="str">
        <f>VLOOKUP(Tabla4[[#This Row],[Producto]],Tabla6[#All],14,FALSE)</f>
        <v>Termico Solar</v>
      </c>
      <c r="U2288" s="284" t="e">
        <f>(IF(Tabla4[[#This Row],[Familia]]="termico solar",Tabla4[[#This Row],[Utilidad Total]]*6%,Tabla4[[#This Row],[Utilidad Total]]*11.5%))/Tabla4[[#This Row],[Total]]</f>
        <v>#N/A</v>
      </c>
      <c r="V2288" s="282" t="e">
        <f>+Tabla4[[#This Row],[Comisión Calculada]]*Tabla4[[#This Row],[Total]]</f>
        <v>#N/A</v>
      </c>
    </row>
    <row r="2289" spans="1:22" hidden="1" x14ac:dyDescent="0.25">
      <c r="A2289" s="100">
        <v>45777</v>
      </c>
      <c r="B2289" t="str">
        <f>TEXT(A2289, "mmmm")</f>
        <v>April</v>
      </c>
      <c r="C2289" s="46" t="s">
        <v>280</v>
      </c>
      <c r="F2289" s="366" t="s">
        <v>1581</v>
      </c>
      <c r="G2289" s="46" t="s">
        <v>83</v>
      </c>
      <c r="H2289" s="46">
        <v>1</v>
      </c>
      <c r="I2289" s="51">
        <v>8858.76</v>
      </c>
      <c r="J2289" s="281">
        <f>++Tabla4[[#This Row],[Precio Bruto]]*1.16</f>
        <v>10276.161599999999</v>
      </c>
      <c r="K2289" s="281">
        <f>+Tabla4[[#This Row],[Precio Unitario Neto]]*Tabla4[[#Headers],[20.85%]]</f>
        <v>2142.5796935999997</v>
      </c>
      <c r="L2289" s="282">
        <f>++Tabla4[[#This Row],[Precio Unitario Neto]]-Tabla4[[#This Row],[20.85%]]</f>
        <v>8133.5819063999998</v>
      </c>
      <c r="M2289" s="282" t="e">
        <f>(INDEX(Tabla6[#All],MATCH(Tabla4[[#This Row],[Producto]],Tabla6[[#All],[PRODUCTO]],0),MATCH(Tabla4[[#This Row],[Mes]],Tabla6[#Headers],0)))*(1+Catalogos!$L$2)</f>
        <v>#N/A</v>
      </c>
      <c r="N2289" s="283" t="e">
        <f>+(Tabla4[[#This Row],[Precio Descontado]]-Tabla4[[#This Row],[Precio Base]])*Tabla4[[#This Row],[Cantidad]]</f>
        <v>#N/A</v>
      </c>
      <c r="O2289" s="284" t="e">
        <f>++Tabla4[[#This Row],[Utilidad Total]]/Tabla4[[#This Row],[Total]]</f>
        <v>#N/A</v>
      </c>
      <c r="P2289" s="282">
        <f>++Tabla4[[#This Row],[Precio Descontado]]*Tabla4[[#This Row],[Cantidad]]</f>
        <v>8133.5819063999998</v>
      </c>
      <c r="Q2289" s="282" t="e">
        <f>(INDEX(Tabla6[#All],MATCH(Tabla4[[#This Row],[Producto]],Tabla6[[#All],[PRODUCTO]],0),MATCH(Tabla4[[#This Row],[Mes]],Tabla6[#Headers],0)))</f>
        <v>#N/A</v>
      </c>
      <c r="R2289" s="282" t="e">
        <f>++Tabla4[[#This Row],[Precio Unitario Neto]]-Tabla4[[#This Row],[20.85%]]-Tabla4[[#This Row],[Costo]]</f>
        <v>#N/A</v>
      </c>
      <c r="S2289" s="282" t="e">
        <f>++Tabla4[[#This Row],[U. Bruta Uni]]*Tabla4[[#This Row],[Cantidad]]</f>
        <v>#N/A</v>
      </c>
      <c r="T2289" s="369" t="str">
        <f>VLOOKUP(Tabla4[[#This Row],[Producto]],Tabla6[#All],14,FALSE)</f>
        <v>Termico Solar</v>
      </c>
      <c r="U2289" s="284" t="e">
        <f>(IF(Tabla4[[#This Row],[Familia]]="termico solar",Tabla4[[#This Row],[Utilidad Total]]*6%,Tabla4[[#This Row],[Utilidad Total]]*11.5%))/Tabla4[[#This Row],[Total]]</f>
        <v>#N/A</v>
      </c>
      <c r="V2289" s="282" t="e">
        <f>+Tabla4[[#This Row],[Comisión Calculada]]*Tabla4[[#This Row],[Total]]</f>
        <v>#N/A</v>
      </c>
    </row>
    <row r="2290" spans="1:22" hidden="1" x14ac:dyDescent="0.25">
      <c r="A2290" s="100">
        <v>45777</v>
      </c>
      <c r="B2290" t="str">
        <f t="shared" ref="B2290:B2298" si="117">TEXT(A2290, "mmmm")</f>
        <v>April</v>
      </c>
      <c r="C2290" s="46" t="s">
        <v>280</v>
      </c>
      <c r="F2290" s="366" t="s">
        <v>1582</v>
      </c>
      <c r="G2290" s="46" t="s">
        <v>83</v>
      </c>
      <c r="H2290" s="46">
        <v>4</v>
      </c>
      <c r="I2290" s="51">
        <v>8858.76</v>
      </c>
      <c r="J2290" s="281">
        <f>++Tabla4[[#This Row],[Precio Bruto]]*1.16</f>
        <v>10276.161599999999</v>
      </c>
      <c r="K2290" s="281">
        <f>+Tabla4[[#This Row],[Precio Unitario Neto]]*Tabla4[[#Headers],[20.85%]]</f>
        <v>2142.5796935999997</v>
      </c>
      <c r="L2290" s="282">
        <f>++Tabla4[[#This Row],[Precio Unitario Neto]]-Tabla4[[#This Row],[20.85%]]</f>
        <v>8133.5819063999998</v>
      </c>
      <c r="M2290" s="282" t="e">
        <f>(INDEX(Tabla6[#All],MATCH(Tabla4[[#This Row],[Producto]],Tabla6[[#All],[PRODUCTO]],0),MATCH(Tabla4[[#This Row],[Mes]],Tabla6[#Headers],0)))*(1+Catalogos!$L$2)</f>
        <v>#N/A</v>
      </c>
      <c r="N2290" s="283" t="e">
        <f>+(Tabla4[[#This Row],[Precio Descontado]]-Tabla4[[#This Row],[Precio Base]])*Tabla4[[#This Row],[Cantidad]]</f>
        <v>#N/A</v>
      </c>
      <c r="O2290" s="284" t="e">
        <f>++Tabla4[[#This Row],[Utilidad Total]]/Tabla4[[#This Row],[Total]]</f>
        <v>#N/A</v>
      </c>
      <c r="P2290" s="282">
        <f>++Tabla4[[#This Row],[Precio Descontado]]*Tabla4[[#This Row],[Cantidad]]</f>
        <v>32534.327625599999</v>
      </c>
      <c r="Q2290" s="282" t="e">
        <f>(INDEX(Tabla6[#All],MATCH(Tabla4[[#This Row],[Producto]],Tabla6[[#All],[PRODUCTO]],0),MATCH(Tabla4[[#This Row],[Mes]],Tabla6[#Headers],0)))</f>
        <v>#N/A</v>
      </c>
      <c r="R2290" s="282" t="e">
        <f>++Tabla4[[#This Row],[Precio Unitario Neto]]-Tabla4[[#This Row],[20.85%]]-Tabla4[[#This Row],[Costo]]</f>
        <v>#N/A</v>
      </c>
      <c r="S2290" s="282" t="e">
        <f>++Tabla4[[#This Row],[U. Bruta Uni]]*Tabla4[[#This Row],[Cantidad]]</f>
        <v>#N/A</v>
      </c>
      <c r="T2290" s="369" t="str">
        <f>VLOOKUP(Tabla4[[#This Row],[Producto]],Tabla6[#All],14,FALSE)</f>
        <v>Termico Solar</v>
      </c>
      <c r="U2290" s="284" t="e">
        <f>(IF(Tabla4[[#This Row],[Familia]]="termico solar",Tabla4[[#This Row],[Utilidad Total]]*6%,Tabla4[[#This Row],[Utilidad Total]]*11.5%))/Tabla4[[#This Row],[Total]]</f>
        <v>#N/A</v>
      </c>
      <c r="V2290" s="282" t="e">
        <f>+Tabla4[[#This Row],[Comisión Calculada]]*Tabla4[[#This Row],[Total]]</f>
        <v>#N/A</v>
      </c>
    </row>
    <row r="2291" spans="1:22" hidden="1" x14ac:dyDescent="0.25">
      <c r="A2291" s="100">
        <v>45777</v>
      </c>
      <c r="B2291" t="str">
        <f t="shared" si="117"/>
        <v>April</v>
      </c>
      <c r="C2291" s="46" t="s">
        <v>280</v>
      </c>
      <c r="F2291" s="366" t="s">
        <v>1582</v>
      </c>
      <c r="G2291" s="46" t="s">
        <v>17</v>
      </c>
      <c r="H2291" s="46">
        <v>3</v>
      </c>
      <c r="I2291" s="51">
        <v>4622.28</v>
      </c>
      <c r="J2291" s="281">
        <f>++Tabla4[[#This Row],[Precio Bruto]]*1.16</f>
        <v>5361.8447999999989</v>
      </c>
      <c r="K2291" s="281">
        <f>+Tabla4[[#This Row],[Precio Unitario Neto]]*Tabla4[[#Headers],[20.85%]]</f>
        <v>1117.9446407999997</v>
      </c>
      <c r="L2291" s="282">
        <f>++Tabla4[[#This Row],[Precio Unitario Neto]]-Tabla4[[#This Row],[20.85%]]</f>
        <v>4243.9001591999995</v>
      </c>
      <c r="M2291" s="282" t="e">
        <f>(INDEX(Tabla6[#All],MATCH(Tabla4[[#This Row],[Producto]],Tabla6[[#All],[PRODUCTO]],0),MATCH(Tabla4[[#This Row],[Mes]],Tabla6[#Headers],0)))*(1+Catalogos!$L$2)</f>
        <v>#N/A</v>
      </c>
      <c r="N2291" s="283" t="e">
        <f>+(Tabla4[[#This Row],[Precio Descontado]]-Tabla4[[#This Row],[Precio Base]])*Tabla4[[#This Row],[Cantidad]]</f>
        <v>#N/A</v>
      </c>
      <c r="O2291" s="284" t="e">
        <f>++Tabla4[[#This Row],[Utilidad Total]]/Tabla4[[#This Row],[Total]]</f>
        <v>#N/A</v>
      </c>
      <c r="P2291" s="282">
        <f>++Tabla4[[#This Row],[Precio Descontado]]*Tabla4[[#This Row],[Cantidad]]</f>
        <v>12731.700477599999</v>
      </c>
      <c r="Q2291" s="282" t="e">
        <f>(INDEX(Tabla6[#All],MATCH(Tabla4[[#This Row],[Producto]],Tabla6[[#All],[PRODUCTO]],0),MATCH(Tabla4[[#This Row],[Mes]],Tabla6[#Headers],0)))</f>
        <v>#N/A</v>
      </c>
      <c r="R2291" s="282" t="e">
        <f>++Tabla4[[#This Row],[Precio Unitario Neto]]-Tabla4[[#This Row],[20.85%]]-Tabla4[[#This Row],[Costo]]</f>
        <v>#N/A</v>
      </c>
      <c r="S2291" s="282" t="e">
        <f>++Tabla4[[#This Row],[U. Bruta Uni]]*Tabla4[[#This Row],[Cantidad]]</f>
        <v>#N/A</v>
      </c>
      <c r="T2291" s="369" t="str">
        <f>VLOOKUP(Tabla4[[#This Row],[Producto]],Tabla6[#All],14,FALSE)</f>
        <v>Termico Solar</v>
      </c>
      <c r="U2291" s="284" t="e">
        <f>(IF(Tabla4[[#This Row],[Familia]]="termico solar",Tabla4[[#This Row],[Utilidad Total]]*6%,Tabla4[[#This Row],[Utilidad Total]]*11.5%))/Tabla4[[#This Row],[Total]]</f>
        <v>#N/A</v>
      </c>
      <c r="V2291" s="282" t="e">
        <f>+Tabla4[[#This Row],[Comisión Calculada]]*Tabla4[[#This Row],[Total]]</f>
        <v>#N/A</v>
      </c>
    </row>
    <row r="2292" spans="1:22" hidden="1" x14ac:dyDescent="0.25">
      <c r="A2292" s="100">
        <v>45777</v>
      </c>
      <c r="B2292" t="str">
        <f t="shared" si="117"/>
        <v>April</v>
      </c>
      <c r="C2292" s="46" t="s">
        <v>280</v>
      </c>
      <c r="F2292" s="366" t="s">
        <v>1582</v>
      </c>
      <c r="G2292" s="46" t="s">
        <v>18</v>
      </c>
      <c r="H2292" s="46">
        <v>1</v>
      </c>
      <c r="I2292" s="51">
        <v>5367.65</v>
      </c>
      <c r="J2292" s="281">
        <f>++Tabla4[[#This Row],[Precio Bruto]]*1.16</f>
        <v>6226.4739999999993</v>
      </c>
      <c r="K2292" s="281">
        <f>+Tabla4[[#This Row],[Precio Unitario Neto]]*Tabla4[[#Headers],[20.85%]]</f>
        <v>1298.2198289999999</v>
      </c>
      <c r="L2292" s="282">
        <f>++Tabla4[[#This Row],[Precio Unitario Neto]]-Tabla4[[#This Row],[20.85%]]</f>
        <v>4928.2541709999996</v>
      </c>
      <c r="M2292" s="282" t="e">
        <f>(INDEX(Tabla6[#All],MATCH(Tabla4[[#This Row],[Producto]],Tabla6[[#All],[PRODUCTO]],0),MATCH(Tabla4[[#This Row],[Mes]],Tabla6[#Headers],0)))*(1+Catalogos!$L$2)</f>
        <v>#N/A</v>
      </c>
      <c r="N2292" s="283" t="e">
        <f>+(Tabla4[[#This Row],[Precio Descontado]]-Tabla4[[#This Row],[Precio Base]])*Tabla4[[#This Row],[Cantidad]]</f>
        <v>#N/A</v>
      </c>
      <c r="O2292" s="284" t="e">
        <f>++Tabla4[[#This Row],[Utilidad Total]]/Tabla4[[#This Row],[Total]]</f>
        <v>#N/A</v>
      </c>
      <c r="P2292" s="282">
        <f>++Tabla4[[#This Row],[Precio Descontado]]*Tabla4[[#This Row],[Cantidad]]</f>
        <v>4928.2541709999996</v>
      </c>
      <c r="Q2292" s="282" t="e">
        <f>(INDEX(Tabla6[#All],MATCH(Tabla4[[#This Row],[Producto]],Tabla6[[#All],[PRODUCTO]],0),MATCH(Tabla4[[#This Row],[Mes]],Tabla6[#Headers],0)))</f>
        <v>#N/A</v>
      </c>
      <c r="R2292" s="282" t="e">
        <f>++Tabla4[[#This Row],[Precio Unitario Neto]]-Tabla4[[#This Row],[20.85%]]-Tabla4[[#This Row],[Costo]]</f>
        <v>#N/A</v>
      </c>
      <c r="S2292" s="282" t="e">
        <f>++Tabla4[[#This Row],[U. Bruta Uni]]*Tabla4[[#This Row],[Cantidad]]</f>
        <v>#N/A</v>
      </c>
      <c r="T2292" s="369" t="str">
        <f>VLOOKUP(Tabla4[[#This Row],[Producto]],Tabla6[#All],14,FALSE)</f>
        <v>Termico Solar</v>
      </c>
      <c r="U2292" s="284" t="e">
        <f>(IF(Tabla4[[#This Row],[Familia]]="termico solar",Tabla4[[#This Row],[Utilidad Total]]*6%,Tabla4[[#This Row],[Utilidad Total]]*11.5%))/Tabla4[[#This Row],[Total]]</f>
        <v>#N/A</v>
      </c>
      <c r="V2292" s="282" t="e">
        <f>+Tabla4[[#This Row],[Comisión Calculada]]*Tabla4[[#This Row],[Total]]</f>
        <v>#N/A</v>
      </c>
    </row>
    <row r="2293" spans="1:22" hidden="1" x14ac:dyDescent="0.25">
      <c r="A2293" s="100">
        <v>45777</v>
      </c>
      <c r="B2293" t="str">
        <f t="shared" si="117"/>
        <v>April</v>
      </c>
      <c r="C2293" s="46" t="s">
        <v>280</v>
      </c>
      <c r="F2293" s="366" t="s">
        <v>1582</v>
      </c>
      <c r="G2293" s="46" t="s">
        <v>19</v>
      </c>
      <c r="H2293" s="46">
        <v>1</v>
      </c>
      <c r="I2293" s="51">
        <v>6412.03</v>
      </c>
      <c r="J2293" s="281">
        <f>++Tabla4[[#This Row],[Precio Bruto]]*1.16</f>
        <v>7437.9547999999995</v>
      </c>
      <c r="K2293" s="281">
        <f>+Tabla4[[#This Row],[Precio Unitario Neto]]*Tabla4[[#Headers],[20.85%]]</f>
        <v>1550.8135757999999</v>
      </c>
      <c r="L2293" s="282">
        <f>++Tabla4[[#This Row],[Precio Unitario Neto]]-Tabla4[[#This Row],[20.85%]]</f>
        <v>5887.1412241999997</v>
      </c>
      <c r="M2293" s="282" t="e">
        <f>(INDEX(Tabla6[#All],MATCH(Tabla4[[#This Row],[Producto]],Tabla6[[#All],[PRODUCTO]],0),MATCH(Tabla4[[#This Row],[Mes]],Tabla6[#Headers],0)))*(1+Catalogos!$L$2)</f>
        <v>#N/A</v>
      </c>
      <c r="N2293" s="283" t="e">
        <f>+(Tabla4[[#This Row],[Precio Descontado]]-Tabla4[[#This Row],[Precio Base]])*Tabla4[[#This Row],[Cantidad]]</f>
        <v>#N/A</v>
      </c>
      <c r="O2293" s="284" t="e">
        <f>++Tabla4[[#This Row],[Utilidad Total]]/Tabla4[[#This Row],[Total]]</f>
        <v>#N/A</v>
      </c>
      <c r="P2293" s="282">
        <f>++Tabla4[[#This Row],[Precio Descontado]]*Tabla4[[#This Row],[Cantidad]]</f>
        <v>5887.1412241999997</v>
      </c>
      <c r="Q2293" s="282" t="e">
        <f>(INDEX(Tabla6[#All],MATCH(Tabla4[[#This Row],[Producto]],Tabla6[[#All],[PRODUCTO]],0),MATCH(Tabla4[[#This Row],[Mes]],Tabla6[#Headers],0)))</f>
        <v>#N/A</v>
      </c>
      <c r="R2293" s="282" t="e">
        <f>++Tabla4[[#This Row],[Precio Unitario Neto]]-Tabla4[[#This Row],[20.85%]]-Tabla4[[#This Row],[Costo]]</f>
        <v>#N/A</v>
      </c>
      <c r="S2293" s="282" t="e">
        <f>++Tabla4[[#This Row],[U. Bruta Uni]]*Tabla4[[#This Row],[Cantidad]]</f>
        <v>#N/A</v>
      </c>
      <c r="T2293" s="369" t="str">
        <f>VLOOKUP(Tabla4[[#This Row],[Producto]],Tabla6[#All],14,FALSE)</f>
        <v>Termico Solar</v>
      </c>
      <c r="U2293" s="284" t="e">
        <f>(IF(Tabla4[[#This Row],[Familia]]="termico solar",Tabla4[[#This Row],[Utilidad Total]]*6%,Tabla4[[#This Row],[Utilidad Total]]*11.5%))/Tabla4[[#This Row],[Total]]</f>
        <v>#N/A</v>
      </c>
      <c r="V2293" s="282" t="e">
        <f>+Tabla4[[#This Row],[Comisión Calculada]]*Tabla4[[#This Row],[Total]]</f>
        <v>#N/A</v>
      </c>
    </row>
    <row r="2294" spans="1:22" hidden="1" x14ac:dyDescent="0.25">
      <c r="A2294" s="100">
        <v>45777</v>
      </c>
      <c r="B2294" t="str">
        <f t="shared" si="117"/>
        <v>April</v>
      </c>
      <c r="C2294" s="46" t="s">
        <v>280</v>
      </c>
      <c r="F2294" s="366" t="s">
        <v>1582</v>
      </c>
      <c r="G2294" s="46" t="s">
        <v>20</v>
      </c>
      <c r="H2294" s="46">
        <v>1</v>
      </c>
      <c r="I2294" s="51">
        <v>7751.98</v>
      </c>
      <c r="J2294" s="281">
        <f>++Tabla4[[#This Row],[Precio Bruto]]*1.16</f>
        <v>8992.2967999999983</v>
      </c>
      <c r="K2294" s="281">
        <f>+Tabla4[[#This Row],[Precio Unitario Neto]]*Tabla4[[#Headers],[20.85%]]</f>
        <v>1874.8938827999996</v>
      </c>
      <c r="L2294" s="282">
        <f>++Tabla4[[#This Row],[Precio Unitario Neto]]-Tabla4[[#This Row],[20.85%]]</f>
        <v>7117.4029171999991</v>
      </c>
      <c r="M2294" s="282" t="e">
        <f>(INDEX(Tabla6[#All],MATCH(Tabla4[[#This Row],[Producto]],Tabla6[[#All],[PRODUCTO]],0),MATCH(Tabla4[[#This Row],[Mes]],Tabla6[#Headers],0)))*(1+Catalogos!$L$2)</f>
        <v>#N/A</v>
      </c>
      <c r="N2294" s="283" t="e">
        <f>+(Tabla4[[#This Row],[Precio Descontado]]-Tabla4[[#This Row],[Precio Base]])*Tabla4[[#This Row],[Cantidad]]</f>
        <v>#N/A</v>
      </c>
      <c r="O2294" s="284" t="e">
        <f>++Tabla4[[#This Row],[Utilidad Total]]/Tabla4[[#This Row],[Total]]</f>
        <v>#N/A</v>
      </c>
      <c r="P2294" s="282">
        <f>++Tabla4[[#This Row],[Precio Descontado]]*Tabla4[[#This Row],[Cantidad]]</f>
        <v>7117.4029171999991</v>
      </c>
      <c r="Q2294" s="282" t="e">
        <f>(INDEX(Tabla6[#All],MATCH(Tabla4[[#This Row],[Producto]],Tabla6[[#All],[PRODUCTO]],0),MATCH(Tabla4[[#This Row],[Mes]],Tabla6[#Headers],0)))</f>
        <v>#N/A</v>
      </c>
      <c r="R2294" s="282" t="e">
        <f>++Tabla4[[#This Row],[Precio Unitario Neto]]-Tabla4[[#This Row],[20.85%]]-Tabla4[[#This Row],[Costo]]</f>
        <v>#N/A</v>
      </c>
      <c r="S2294" s="282" t="e">
        <f>++Tabla4[[#This Row],[U. Bruta Uni]]*Tabla4[[#This Row],[Cantidad]]</f>
        <v>#N/A</v>
      </c>
      <c r="T2294" s="369" t="str">
        <f>VLOOKUP(Tabla4[[#This Row],[Producto]],Tabla6[#All],14,FALSE)</f>
        <v>Termico Solar</v>
      </c>
      <c r="U2294" s="284" t="e">
        <f>(IF(Tabla4[[#This Row],[Familia]]="termico solar",Tabla4[[#This Row],[Utilidad Total]]*6%,Tabla4[[#This Row],[Utilidad Total]]*11.5%))/Tabla4[[#This Row],[Total]]</f>
        <v>#N/A</v>
      </c>
      <c r="V2294" s="282" t="e">
        <f>+Tabla4[[#This Row],[Comisión Calculada]]*Tabla4[[#This Row],[Total]]</f>
        <v>#N/A</v>
      </c>
    </row>
    <row r="2295" spans="1:22" hidden="1" x14ac:dyDescent="0.25">
      <c r="A2295" s="100">
        <v>45777</v>
      </c>
      <c r="B2295" t="str">
        <f t="shared" si="117"/>
        <v>April</v>
      </c>
      <c r="C2295" s="46" t="s">
        <v>280</v>
      </c>
      <c r="F2295" s="366" t="s">
        <v>1582</v>
      </c>
      <c r="G2295" s="46" t="s">
        <v>21</v>
      </c>
      <c r="H2295" s="46">
        <v>1</v>
      </c>
      <c r="I2295" s="51">
        <v>9282.19</v>
      </c>
      <c r="J2295" s="281">
        <f>++Tabla4[[#This Row],[Precio Bruto]]*1.16</f>
        <v>10767.340399999999</v>
      </c>
      <c r="K2295" s="281">
        <f>+Tabla4[[#This Row],[Precio Unitario Neto]]*Tabla4[[#Headers],[20.85%]]</f>
        <v>2244.9904733999997</v>
      </c>
      <c r="L2295" s="282">
        <f>++Tabla4[[#This Row],[Precio Unitario Neto]]-Tabla4[[#This Row],[20.85%]]</f>
        <v>8522.3499265999999</v>
      </c>
      <c r="M2295" s="282" t="e">
        <f>(INDEX(Tabla6[#All],MATCH(Tabla4[[#This Row],[Producto]],Tabla6[[#All],[PRODUCTO]],0),MATCH(Tabla4[[#This Row],[Mes]],Tabla6[#Headers],0)))*(1+Catalogos!$L$2)</f>
        <v>#N/A</v>
      </c>
      <c r="N2295" s="283" t="e">
        <f>+(Tabla4[[#This Row],[Precio Descontado]]-Tabla4[[#This Row],[Precio Base]])*Tabla4[[#This Row],[Cantidad]]</f>
        <v>#N/A</v>
      </c>
      <c r="O2295" s="284" t="e">
        <f>++Tabla4[[#This Row],[Utilidad Total]]/Tabla4[[#This Row],[Total]]</f>
        <v>#N/A</v>
      </c>
      <c r="P2295" s="282">
        <f>++Tabla4[[#This Row],[Precio Descontado]]*Tabla4[[#This Row],[Cantidad]]</f>
        <v>8522.3499265999999</v>
      </c>
      <c r="Q2295" s="282" t="e">
        <f>(INDEX(Tabla6[#All],MATCH(Tabla4[[#This Row],[Producto]],Tabla6[[#All],[PRODUCTO]],0),MATCH(Tabla4[[#This Row],[Mes]],Tabla6[#Headers],0)))</f>
        <v>#N/A</v>
      </c>
      <c r="R2295" s="282" t="e">
        <f>++Tabla4[[#This Row],[Precio Unitario Neto]]-Tabla4[[#This Row],[20.85%]]-Tabla4[[#This Row],[Costo]]</f>
        <v>#N/A</v>
      </c>
      <c r="S2295" s="282" t="e">
        <f>++Tabla4[[#This Row],[U. Bruta Uni]]*Tabla4[[#This Row],[Cantidad]]</f>
        <v>#N/A</v>
      </c>
      <c r="T2295" s="369" t="str">
        <f>VLOOKUP(Tabla4[[#This Row],[Producto]],Tabla6[#All],14,FALSE)</f>
        <v>Termico Solar</v>
      </c>
      <c r="U2295" s="284" t="e">
        <f>(IF(Tabla4[[#This Row],[Familia]]="termico solar",Tabla4[[#This Row],[Utilidad Total]]*6%,Tabla4[[#This Row],[Utilidad Total]]*11.5%))/Tabla4[[#This Row],[Total]]</f>
        <v>#N/A</v>
      </c>
      <c r="V2295" s="282" t="e">
        <f>+Tabla4[[#This Row],[Comisión Calculada]]*Tabla4[[#This Row],[Total]]</f>
        <v>#N/A</v>
      </c>
    </row>
    <row r="2296" spans="1:22" hidden="1" x14ac:dyDescent="0.25">
      <c r="A2296" s="100">
        <v>45777</v>
      </c>
      <c r="B2296" t="str">
        <f t="shared" si="117"/>
        <v>April</v>
      </c>
      <c r="C2296" s="46" t="s">
        <v>280</v>
      </c>
      <c r="F2296" s="366" t="s">
        <v>1582</v>
      </c>
      <c r="G2296" s="46" t="s">
        <v>22</v>
      </c>
      <c r="H2296" s="46">
        <v>2</v>
      </c>
      <c r="I2296" s="51">
        <v>13355.75</v>
      </c>
      <c r="J2296" s="281">
        <f>++Tabla4[[#This Row],[Precio Bruto]]*1.16</f>
        <v>15492.669999999998</v>
      </c>
      <c r="K2296" s="281">
        <f>+Tabla4[[#This Row],[Precio Unitario Neto]]*Tabla4[[#Headers],[20.85%]]</f>
        <v>3230.2216949999993</v>
      </c>
      <c r="L2296" s="282">
        <f>++Tabla4[[#This Row],[Precio Unitario Neto]]-Tabla4[[#This Row],[20.85%]]</f>
        <v>12262.448304999998</v>
      </c>
      <c r="M2296" s="282" t="e">
        <f>(INDEX(Tabla6[#All],MATCH(Tabla4[[#This Row],[Producto]],Tabla6[[#All],[PRODUCTO]],0),MATCH(Tabla4[[#This Row],[Mes]],Tabla6[#Headers],0)))*(1+Catalogos!$L$2)</f>
        <v>#N/A</v>
      </c>
      <c r="N2296" s="283" t="e">
        <f>+(Tabla4[[#This Row],[Precio Descontado]]-Tabla4[[#This Row],[Precio Base]])*Tabla4[[#This Row],[Cantidad]]</f>
        <v>#N/A</v>
      </c>
      <c r="O2296" s="284" t="e">
        <f>++Tabla4[[#This Row],[Utilidad Total]]/Tabla4[[#This Row],[Total]]</f>
        <v>#N/A</v>
      </c>
      <c r="P2296" s="282">
        <f>++Tabla4[[#This Row],[Precio Descontado]]*Tabla4[[#This Row],[Cantidad]]</f>
        <v>24524.896609999996</v>
      </c>
      <c r="Q2296" s="282" t="e">
        <f>(INDEX(Tabla6[#All],MATCH(Tabla4[[#This Row],[Producto]],Tabla6[[#All],[PRODUCTO]],0),MATCH(Tabla4[[#This Row],[Mes]],Tabla6[#Headers],0)))</f>
        <v>#N/A</v>
      </c>
      <c r="R2296" s="282" t="e">
        <f>++Tabla4[[#This Row],[Precio Unitario Neto]]-Tabla4[[#This Row],[20.85%]]-Tabla4[[#This Row],[Costo]]</f>
        <v>#N/A</v>
      </c>
      <c r="S2296" s="282" t="e">
        <f>++Tabla4[[#This Row],[U. Bruta Uni]]*Tabla4[[#This Row],[Cantidad]]</f>
        <v>#N/A</v>
      </c>
      <c r="T2296" s="369" t="str">
        <f>VLOOKUP(Tabla4[[#This Row],[Producto]],Tabla6[#All],14,FALSE)</f>
        <v>Termico Solar</v>
      </c>
      <c r="U2296" s="284" t="e">
        <f>(IF(Tabla4[[#This Row],[Familia]]="termico solar",Tabla4[[#This Row],[Utilidad Total]]*6%,Tabla4[[#This Row],[Utilidad Total]]*11.5%))/Tabla4[[#This Row],[Total]]</f>
        <v>#N/A</v>
      </c>
      <c r="V2296" s="282" t="e">
        <f>+Tabla4[[#This Row],[Comisión Calculada]]*Tabla4[[#This Row],[Total]]</f>
        <v>#N/A</v>
      </c>
    </row>
    <row r="2297" spans="1:22" hidden="1" x14ac:dyDescent="0.25">
      <c r="A2297" s="100">
        <v>45777</v>
      </c>
      <c r="B2297" t="str">
        <f t="shared" si="117"/>
        <v>April</v>
      </c>
      <c r="C2297" s="46" t="s">
        <v>280</v>
      </c>
      <c r="F2297" s="366" t="s">
        <v>1582</v>
      </c>
      <c r="G2297" s="46" t="s">
        <v>16</v>
      </c>
      <c r="H2297" s="46">
        <v>2</v>
      </c>
      <c r="I2297" s="51">
        <v>4103.8500000000004</v>
      </c>
      <c r="J2297" s="281">
        <f>++Tabla4[[#This Row],[Precio Bruto]]*1.16</f>
        <v>4760.4660000000003</v>
      </c>
      <c r="K2297" s="281">
        <f>+Tabla4[[#This Row],[Precio Unitario Neto]]*Tabla4[[#Headers],[20.85%]]</f>
        <v>992.55716100000006</v>
      </c>
      <c r="L2297" s="282">
        <f>++Tabla4[[#This Row],[Precio Unitario Neto]]-Tabla4[[#This Row],[20.85%]]</f>
        <v>3767.9088390000002</v>
      </c>
      <c r="M2297" s="282" t="e">
        <f>(INDEX(Tabla6[#All],MATCH(Tabla4[[#This Row],[Producto]],Tabla6[[#All],[PRODUCTO]],0),MATCH(Tabla4[[#This Row],[Mes]],Tabla6[#Headers],0)))*(1+Catalogos!$L$2)</f>
        <v>#N/A</v>
      </c>
      <c r="N2297" s="283" t="e">
        <f>+(Tabla4[[#This Row],[Precio Descontado]]-Tabla4[[#This Row],[Precio Base]])*Tabla4[[#This Row],[Cantidad]]</f>
        <v>#N/A</v>
      </c>
      <c r="O2297" s="284" t="e">
        <f>++Tabla4[[#This Row],[Utilidad Total]]/Tabla4[[#This Row],[Total]]</f>
        <v>#N/A</v>
      </c>
      <c r="P2297" s="282">
        <f>++Tabla4[[#This Row],[Precio Descontado]]*Tabla4[[#This Row],[Cantidad]]</f>
        <v>7535.8176780000003</v>
      </c>
      <c r="Q2297" s="282" t="e">
        <f>(INDEX(Tabla6[#All],MATCH(Tabla4[[#This Row],[Producto]],Tabla6[[#All],[PRODUCTO]],0),MATCH(Tabla4[[#This Row],[Mes]],Tabla6[#Headers],0)))</f>
        <v>#N/A</v>
      </c>
      <c r="R2297" s="282" t="e">
        <f>++Tabla4[[#This Row],[Precio Unitario Neto]]-Tabla4[[#This Row],[20.85%]]-Tabla4[[#This Row],[Costo]]</f>
        <v>#N/A</v>
      </c>
      <c r="S2297" s="282" t="e">
        <f>++Tabla4[[#This Row],[U. Bruta Uni]]*Tabla4[[#This Row],[Cantidad]]</f>
        <v>#N/A</v>
      </c>
      <c r="T2297" s="369" t="str">
        <f>VLOOKUP(Tabla4[[#This Row],[Producto]],Tabla6[#All],14,FALSE)</f>
        <v>Termico Solar</v>
      </c>
      <c r="U2297" s="284" t="e">
        <f>(IF(Tabla4[[#This Row],[Familia]]="termico solar",Tabla4[[#This Row],[Utilidad Total]]*6%,Tabla4[[#This Row],[Utilidad Total]]*11.5%))/Tabla4[[#This Row],[Total]]</f>
        <v>#N/A</v>
      </c>
      <c r="V2297" s="282" t="e">
        <f>+Tabla4[[#This Row],[Comisión Calculada]]*Tabla4[[#This Row],[Total]]</f>
        <v>#N/A</v>
      </c>
    </row>
    <row r="2298" spans="1:22" hidden="1" x14ac:dyDescent="0.25">
      <c r="A2298" s="100">
        <v>45777</v>
      </c>
      <c r="B2298" t="str">
        <f t="shared" si="117"/>
        <v>April</v>
      </c>
      <c r="C2298" s="46" t="s">
        <v>280</v>
      </c>
      <c r="F2298" s="366" t="s">
        <v>1582</v>
      </c>
      <c r="G2298" s="46" t="s">
        <v>208</v>
      </c>
      <c r="H2298" s="46">
        <v>1</v>
      </c>
      <c r="I2298" s="51">
        <v>189.75</v>
      </c>
      <c r="J2298" s="281">
        <f>++Tabla4[[#This Row],[Precio Bruto]]*1.16</f>
        <v>220.10999999999999</v>
      </c>
      <c r="K2298" s="281">
        <f>+Tabla4[[#This Row],[Precio Unitario Neto]]*Tabla4[[#Headers],[20.85%]]</f>
        <v>45.892934999999994</v>
      </c>
      <c r="L2298" s="282">
        <f>++Tabla4[[#This Row],[Precio Unitario Neto]]-Tabla4[[#This Row],[20.85%]]</f>
        <v>174.21706499999999</v>
      </c>
      <c r="M2298" s="282" t="e">
        <f>(INDEX(Tabla6[#All],MATCH(Tabla4[[#This Row],[Producto]],Tabla6[[#All],[PRODUCTO]],0),MATCH(Tabla4[[#This Row],[Mes]],Tabla6[#Headers],0)))*(1+Catalogos!$L$2)</f>
        <v>#N/A</v>
      </c>
      <c r="N2298" s="283" t="e">
        <f>+(Tabla4[[#This Row],[Precio Descontado]]-Tabla4[[#This Row],[Precio Base]])*Tabla4[[#This Row],[Cantidad]]</f>
        <v>#N/A</v>
      </c>
      <c r="O2298" s="284" t="e">
        <f>++Tabla4[[#This Row],[Utilidad Total]]/Tabla4[[#This Row],[Total]]</f>
        <v>#N/A</v>
      </c>
      <c r="P2298" s="282">
        <f>++Tabla4[[#This Row],[Precio Descontado]]*Tabla4[[#This Row],[Cantidad]]</f>
        <v>174.21706499999999</v>
      </c>
      <c r="Q2298" s="282" t="e">
        <f>(INDEX(Tabla6[#All],MATCH(Tabla4[[#This Row],[Producto]],Tabla6[[#All],[PRODUCTO]],0),MATCH(Tabla4[[#This Row],[Mes]],Tabla6[#Headers],0)))</f>
        <v>#N/A</v>
      </c>
      <c r="R2298" s="282" t="e">
        <f>++Tabla4[[#This Row],[Precio Unitario Neto]]-Tabla4[[#This Row],[20.85%]]-Tabla4[[#This Row],[Costo]]</f>
        <v>#N/A</v>
      </c>
      <c r="S2298" s="282" t="e">
        <f>++Tabla4[[#This Row],[U. Bruta Uni]]*Tabla4[[#This Row],[Cantidad]]</f>
        <v>#N/A</v>
      </c>
      <c r="T2298" s="369" t="str">
        <f>VLOOKUP(Tabla4[[#This Row],[Producto]],Tabla6[#All],14,FALSE)</f>
        <v>Termico Solar</v>
      </c>
      <c r="U2298" s="284" t="e">
        <f>(IF(Tabla4[[#This Row],[Familia]]="termico solar",Tabla4[[#This Row],[Utilidad Total]]*6%,Tabla4[[#This Row],[Utilidad Total]]*11.5%))/Tabla4[[#This Row],[Total]]</f>
        <v>#N/A</v>
      </c>
      <c r="V2298" s="282" t="e">
        <f>+Tabla4[[#This Row],[Comisión Calculada]]*Tabla4[[#This Row],[Total]]</f>
        <v>#N/A</v>
      </c>
    </row>
    <row r="2299" spans="1:22" hidden="1" x14ac:dyDescent="0.25">
      <c r="A2299" s="100">
        <v>45777</v>
      </c>
      <c r="B2299" t="str">
        <f t="shared" ref="B2299:B2362" si="118">TEXT(A2299, "mmmm")</f>
        <v>April</v>
      </c>
      <c r="C2299" s="46" t="s">
        <v>280</v>
      </c>
      <c r="F2299" s="366" t="s">
        <v>1583</v>
      </c>
      <c r="G2299" s="46" t="s">
        <v>16</v>
      </c>
      <c r="H2299" s="46">
        <v>4</v>
      </c>
      <c r="I2299" s="51">
        <v>4103.8500000000004</v>
      </c>
      <c r="J2299" s="281">
        <f>++Tabla4[[#This Row],[Precio Bruto]]*1.16</f>
        <v>4760.4660000000003</v>
      </c>
      <c r="K2299" s="281">
        <f>+Tabla4[[#This Row],[Precio Unitario Neto]]*Tabla4[[#Headers],[20.85%]]</f>
        <v>992.55716100000006</v>
      </c>
      <c r="L2299" s="282">
        <f>++Tabla4[[#This Row],[Precio Unitario Neto]]-Tabla4[[#This Row],[20.85%]]</f>
        <v>3767.9088390000002</v>
      </c>
      <c r="M2299" s="282" t="e">
        <f>(INDEX(Tabla6[#All],MATCH(Tabla4[[#This Row],[Producto]],Tabla6[[#All],[PRODUCTO]],0),MATCH(Tabla4[[#This Row],[Mes]],Tabla6[#Headers],0)))*(1+Catalogos!$L$2)</f>
        <v>#N/A</v>
      </c>
      <c r="N2299" s="283" t="e">
        <f>+(Tabla4[[#This Row],[Precio Descontado]]-Tabla4[[#This Row],[Precio Base]])*Tabla4[[#This Row],[Cantidad]]</f>
        <v>#N/A</v>
      </c>
      <c r="O2299" s="284" t="e">
        <f>++Tabla4[[#This Row],[Utilidad Total]]/Tabla4[[#This Row],[Total]]</f>
        <v>#N/A</v>
      </c>
      <c r="P2299" s="282">
        <f>++Tabla4[[#This Row],[Precio Descontado]]*Tabla4[[#This Row],[Cantidad]]</f>
        <v>15071.635356000001</v>
      </c>
      <c r="Q2299" s="282" t="e">
        <f>(INDEX(Tabla6[#All],MATCH(Tabla4[[#This Row],[Producto]],Tabla6[[#All],[PRODUCTO]],0),MATCH(Tabla4[[#This Row],[Mes]],Tabla6[#Headers],0)))</f>
        <v>#N/A</v>
      </c>
      <c r="R2299" s="282" t="e">
        <f>++Tabla4[[#This Row],[Precio Unitario Neto]]-Tabla4[[#This Row],[20.85%]]-Tabla4[[#This Row],[Costo]]</f>
        <v>#N/A</v>
      </c>
      <c r="S2299" s="282" t="e">
        <f>++Tabla4[[#This Row],[U. Bruta Uni]]*Tabla4[[#This Row],[Cantidad]]</f>
        <v>#N/A</v>
      </c>
      <c r="T2299" s="369" t="str">
        <f>VLOOKUP(Tabla4[[#This Row],[Producto]],Tabla6[#All],14,FALSE)</f>
        <v>Termico Solar</v>
      </c>
      <c r="U2299" s="284" t="e">
        <f>(IF(Tabla4[[#This Row],[Familia]]="termico solar",Tabla4[[#This Row],[Utilidad Total]]*6%,Tabla4[[#This Row],[Utilidad Total]]*11.5%))/Tabla4[[#This Row],[Total]]</f>
        <v>#N/A</v>
      </c>
      <c r="V2299" s="282" t="e">
        <f>+Tabla4[[#This Row],[Comisión Calculada]]*Tabla4[[#This Row],[Total]]</f>
        <v>#N/A</v>
      </c>
    </row>
    <row r="2300" spans="1:22" hidden="1" x14ac:dyDescent="0.25">
      <c r="A2300" s="100">
        <v>45777</v>
      </c>
      <c r="B2300" t="str">
        <f t="shared" si="118"/>
        <v>April</v>
      </c>
      <c r="C2300" s="46" t="s">
        <v>280</v>
      </c>
      <c r="F2300" s="366" t="s">
        <v>1584</v>
      </c>
      <c r="G2300" s="46" t="s">
        <v>83</v>
      </c>
      <c r="H2300" s="46">
        <v>4</v>
      </c>
      <c r="I2300" s="51">
        <v>8858.76</v>
      </c>
      <c r="J2300" s="281">
        <f>++Tabla4[[#This Row],[Precio Bruto]]*1.16</f>
        <v>10276.161599999999</v>
      </c>
      <c r="K2300" s="281">
        <f>+Tabla4[[#This Row],[Precio Unitario Neto]]*Tabla4[[#Headers],[20.85%]]</f>
        <v>2142.5796935999997</v>
      </c>
      <c r="L2300" s="282">
        <f>++Tabla4[[#This Row],[Precio Unitario Neto]]-Tabla4[[#This Row],[20.85%]]</f>
        <v>8133.5819063999998</v>
      </c>
      <c r="M2300" s="282" t="e">
        <f>(INDEX(Tabla6[#All],MATCH(Tabla4[[#This Row],[Producto]],Tabla6[[#All],[PRODUCTO]],0),MATCH(Tabla4[[#This Row],[Mes]],Tabla6[#Headers],0)))*(1+Catalogos!$L$2)</f>
        <v>#N/A</v>
      </c>
      <c r="N2300" s="283" t="e">
        <f>+(Tabla4[[#This Row],[Precio Descontado]]-Tabla4[[#This Row],[Precio Base]])*Tabla4[[#This Row],[Cantidad]]</f>
        <v>#N/A</v>
      </c>
      <c r="O2300" s="284" t="e">
        <f>++Tabla4[[#This Row],[Utilidad Total]]/Tabla4[[#This Row],[Total]]</f>
        <v>#N/A</v>
      </c>
      <c r="P2300" s="282">
        <f>++Tabla4[[#This Row],[Precio Descontado]]*Tabla4[[#This Row],[Cantidad]]</f>
        <v>32534.327625599999</v>
      </c>
      <c r="Q2300" s="282" t="e">
        <f>(INDEX(Tabla6[#All],MATCH(Tabla4[[#This Row],[Producto]],Tabla6[[#All],[PRODUCTO]],0),MATCH(Tabla4[[#This Row],[Mes]],Tabla6[#Headers],0)))</f>
        <v>#N/A</v>
      </c>
      <c r="R2300" s="282" t="e">
        <f>++Tabla4[[#This Row],[Precio Unitario Neto]]-Tabla4[[#This Row],[20.85%]]-Tabla4[[#This Row],[Costo]]</f>
        <v>#N/A</v>
      </c>
      <c r="S2300" s="282" t="e">
        <f>++Tabla4[[#This Row],[U. Bruta Uni]]*Tabla4[[#This Row],[Cantidad]]</f>
        <v>#N/A</v>
      </c>
      <c r="T2300" s="369" t="str">
        <f>VLOOKUP(Tabla4[[#This Row],[Producto]],Tabla6[#All],14,FALSE)</f>
        <v>Termico Solar</v>
      </c>
      <c r="U2300" s="284" t="e">
        <f>(IF(Tabla4[[#This Row],[Familia]]="termico solar",Tabla4[[#This Row],[Utilidad Total]]*6%,Tabla4[[#This Row],[Utilidad Total]]*11.5%))/Tabla4[[#This Row],[Total]]</f>
        <v>#N/A</v>
      </c>
      <c r="V2300" s="282" t="e">
        <f>+Tabla4[[#This Row],[Comisión Calculada]]*Tabla4[[#This Row],[Total]]</f>
        <v>#N/A</v>
      </c>
    </row>
    <row r="2301" spans="1:22" hidden="1" x14ac:dyDescent="0.25">
      <c r="A2301" s="100">
        <v>45777</v>
      </c>
      <c r="B2301" t="str">
        <f t="shared" si="118"/>
        <v>April</v>
      </c>
      <c r="C2301" s="46" t="s">
        <v>280</v>
      </c>
      <c r="F2301" s="366" t="s">
        <v>1584</v>
      </c>
      <c r="G2301" s="46" t="s">
        <v>17</v>
      </c>
      <c r="H2301" s="46">
        <v>8</v>
      </c>
      <c r="I2301" s="51">
        <v>4622.28</v>
      </c>
      <c r="J2301" s="281">
        <f>++Tabla4[[#This Row],[Precio Bruto]]*1.16</f>
        <v>5361.8447999999989</v>
      </c>
      <c r="K2301" s="281">
        <f>+Tabla4[[#This Row],[Precio Unitario Neto]]*Tabla4[[#Headers],[20.85%]]</f>
        <v>1117.9446407999997</v>
      </c>
      <c r="L2301" s="282">
        <f>++Tabla4[[#This Row],[Precio Unitario Neto]]-Tabla4[[#This Row],[20.85%]]</f>
        <v>4243.9001591999995</v>
      </c>
      <c r="M2301" s="282" t="e">
        <f>(INDEX(Tabla6[#All],MATCH(Tabla4[[#This Row],[Producto]],Tabla6[[#All],[PRODUCTO]],0),MATCH(Tabla4[[#This Row],[Mes]],Tabla6[#Headers],0)))*(1+Catalogos!$L$2)</f>
        <v>#N/A</v>
      </c>
      <c r="N2301" s="283" t="e">
        <f>+(Tabla4[[#This Row],[Precio Descontado]]-Tabla4[[#This Row],[Precio Base]])*Tabla4[[#This Row],[Cantidad]]</f>
        <v>#N/A</v>
      </c>
      <c r="O2301" s="284" t="e">
        <f>++Tabla4[[#This Row],[Utilidad Total]]/Tabla4[[#This Row],[Total]]</f>
        <v>#N/A</v>
      </c>
      <c r="P2301" s="282">
        <f>++Tabla4[[#This Row],[Precio Descontado]]*Tabla4[[#This Row],[Cantidad]]</f>
        <v>33951.201273599996</v>
      </c>
      <c r="Q2301" s="282" t="e">
        <f>(INDEX(Tabla6[#All],MATCH(Tabla4[[#This Row],[Producto]],Tabla6[[#All],[PRODUCTO]],0),MATCH(Tabla4[[#This Row],[Mes]],Tabla6[#Headers],0)))</f>
        <v>#N/A</v>
      </c>
      <c r="R2301" s="282" t="e">
        <f>++Tabla4[[#This Row],[Precio Unitario Neto]]-Tabla4[[#This Row],[20.85%]]-Tabla4[[#This Row],[Costo]]</f>
        <v>#N/A</v>
      </c>
      <c r="S2301" s="282" t="e">
        <f>++Tabla4[[#This Row],[U. Bruta Uni]]*Tabla4[[#This Row],[Cantidad]]</f>
        <v>#N/A</v>
      </c>
      <c r="T2301" s="369" t="str">
        <f>VLOOKUP(Tabla4[[#This Row],[Producto]],Tabla6[#All],14,FALSE)</f>
        <v>Termico Solar</v>
      </c>
      <c r="U2301" s="284" t="e">
        <f>(IF(Tabla4[[#This Row],[Familia]]="termico solar",Tabla4[[#This Row],[Utilidad Total]]*6%,Tabla4[[#This Row],[Utilidad Total]]*11.5%))/Tabla4[[#This Row],[Total]]</f>
        <v>#N/A</v>
      </c>
      <c r="V2301" s="282" t="e">
        <f>+Tabla4[[#This Row],[Comisión Calculada]]*Tabla4[[#This Row],[Total]]</f>
        <v>#N/A</v>
      </c>
    </row>
    <row r="2302" spans="1:22" hidden="1" x14ac:dyDescent="0.25">
      <c r="A2302" s="100">
        <v>45777</v>
      </c>
      <c r="B2302" t="str">
        <f t="shared" si="118"/>
        <v>April</v>
      </c>
      <c r="C2302" s="46" t="s">
        <v>280</v>
      </c>
      <c r="F2302" s="366" t="s">
        <v>1584</v>
      </c>
      <c r="G2302" s="46" t="s">
        <v>18</v>
      </c>
      <c r="H2302" s="46">
        <v>3</v>
      </c>
      <c r="I2302" s="51">
        <v>5367.6500000000005</v>
      </c>
      <c r="J2302" s="281">
        <f>++Tabla4[[#This Row],[Precio Bruto]]*1.16</f>
        <v>6226.4740000000002</v>
      </c>
      <c r="K2302" s="281">
        <f>+Tabla4[[#This Row],[Precio Unitario Neto]]*Tabla4[[#Headers],[20.85%]]</f>
        <v>1298.2198289999999</v>
      </c>
      <c r="L2302" s="282">
        <f>++Tabla4[[#This Row],[Precio Unitario Neto]]-Tabla4[[#This Row],[20.85%]]</f>
        <v>4928.2541710000005</v>
      </c>
      <c r="M2302" s="282" t="e">
        <f>(INDEX(Tabla6[#All],MATCH(Tabla4[[#This Row],[Producto]],Tabla6[[#All],[PRODUCTO]],0),MATCH(Tabla4[[#This Row],[Mes]],Tabla6[#Headers],0)))*(1+Catalogos!$L$2)</f>
        <v>#N/A</v>
      </c>
      <c r="N2302" s="283" t="e">
        <f>+(Tabla4[[#This Row],[Precio Descontado]]-Tabla4[[#This Row],[Precio Base]])*Tabla4[[#This Row],[Cantidad]]</f>
        <v>#N/A</v>
      </c>
      <c r="O2302" s="284" t="e">
        <f>++Tabla4[[#This Row],[Utilidad Total]]/Tabla4[[#This Row],[Total]]</f>
        <v>#N/A</v>
      </c>
      <c r="P2302" s="282">
        <f>++Tabla4[[#This Row],[Precio Descontado]]*Tabla4[[#This Row],[Cantidad]]</f>
        <v>14784.762513000001</v>
      </c>
      <c r="Q2302" s="282" t="e">
        <f>(INDEX(Tabla6[#All],MATCH(Tabla4[[#This Row],[Producto]],Tabla6[[#All],[PRODUCTO]],0),MATCH(Tabla4[[#This Row],[Mes]],Tabla6[#Headers],0)))</f>
        <v>#N/A</v>
      </c>
      <c r="R2302" s="282" t="e">
        <f>++Tabla4[[#This Row],[Precio Unitario Neto]]-Tabla4[[#This Row],[20.85%]]-Tabla4[[#This Row],[Costo]]</f>
        <v>#N/A</v>
      </c>
      <c r="S2302" s="282" t="e">
        <f>++Tabla4[[#This Row],[U. Bruta Uni]]*Tabla4[[#This Row],[Cantidad]]</f>
        <v>#N/A</v>
      </c>
      <c r="T2302" s="369" t="str">
        <f>VLOOKUP(Tabla4[[#This Row],[Producto]],Tabla6[#All],14,FALSE)</f>
        <v>Termico Solar</v>
      </c>
      <c r="U2302" s="284" t="e">
        <f>(IF(Tabla4[[#This Row],[Familia]]="termico solar",Tabla4[[#This Row],[Utilidad Total]]*6%,Tabla4[[#This Row],[Utilidad Total]]*11.5%))/Tabla4[[#This Row],[Total]]</f>
        <v>#N/A</v>
      </c>
      <c r="V2302" s="282" t="e">
        <f>+Tabla4[[#This Row],[Comisión Calculada]]*Tabla4[[#This Row],[Total]]</f>
        <v>#N/A</v>
      </c>
    </row>
    <row r="2303" spans="1:22" hidden="1" x14ac:dyDescent="0.25">
      <c r="A2303" s="100">
        <v>45777</v>
      </c>
      <c r="B2303" t="str">
        <f t="shared" si="118"/>
        <v>April</v>
      </c>
      <c r="C2303" s="46" t="s">
        <v>280</v>
      </c>
      <c r="F2303" s="366" t="s">
        <v>1584</v>
      </c>
      <c r="G2303" s="46" t="s">
        <v>208</v>
      </c>
      <c r="H2303" s="46">
        <v>1</v>
      </c>
      <c r="I2303" s="51">
        <v>189.75</v>
      </c>
      <c r="J2303" s="281">
        <f>++Tabla4[[#This Row],[Precio Bruto]]*1.16</f>
        <v>220.10999999999999</v>
      </c>
      <c r="K2303" s="281">
        <f>+Tabla4[[#This Row],[Precio Unitario Neto]]*Tabla4[[#Headers],[20.85%]]</f>
        <v>45.892934999999994</v>
      </c>
      <c r="L2303" s="282">
        <f>++Tabla4[[#This Row],[Precio Unitario Neto]]-Tabla4[[#This Row],[20.85%]]</f>
        <v>174.21706499999999</v>
      </c>
      <c r="M2303" s="282" t="e">
        <f>(INDEX(Tabla6[#All],MATCH(Tabla4[[#This Row],[Producto]],Tabla6[[#All],[PRODUCTO]],0),MATCH(Tabla4[[#This Row],[Mes]],Tabla6[#Headers],0)))*(1+Catalogos!$L$2)</f>
        <v>#N/A</v>
      </c>
      <c r="N2303" s="283" t="e">
        <f>+(Tabla4[[#This Row],[Precio Descontado]]-Tabla4[[#This Row],[Precio Base]])*Tabla4[[#This Row],[Cantidad]]</f>
        <v>#N/A</v>
      </c>
      <c r="O2303" s="284" t="e">
        <f>++Tabla4[[#This Row],[Utilidad Total]]/Tabla4[[#This Row],[Total]]</f>
        <v>#N/A</v>
      </c>
      <c r="P2303" s="282">
        <f>++Tabla4[[#This Row],[Precio Descontado]]*Tabla4[[#This Row],[Cantidad]]</f>
        <v>174.21706499999999</v>
      </c>
      <c r="Q2303" s="282" t="e">
        <f>(INDEX(Tabla6[#All],MATCH(Tabla4[[#This Row],[Producto]],Tabla6[[#All],[PRODUCTO]],0),MATCH(Tabla4[[#This Row],[Mes]],Tabla6[#Headers],0)))</f>
        <v>#N/A</v>
      </c>
      <c r="R2303" s="282" t="e">
        <f>++Tabla4[[#This Row],[Precio Unitario Neto]]-Tabla4[[#This Row],[20.85%]]-Tabla4[[#This Row],[Costo]]</f>
        <v>#N/A</v>
      </c>
      <c r="S2303" s="282" t="e">
        <f>++Tabla4[[#This Row],[U. Bruta Uni]]*Tabla4[[#This Row],[Cantidad]]</f>
        <v>#N/A</v>
      </c>
      <c r="T2303" s="369" t="str">
        <f>VLOOKUP(Tabla4[[#This Row],[Producto]],Tabla6[#All],14,FALSE)</f>
        <v>Termico Solar</v>
      </c>
      <c r="U2303" s="284" t="e">
        <f>(IF(Tabla4[[#This Row],[Familia]]="termico solar",Tabla4[[#This Row],[Utilidad Total]]*6%,Tabla4[[#This Row],[Utilidad Total]]*11.5%))/Tabla4[[#This Row],[Total]]</f>
        <v>#N/A</v>
      </c>
      <c r="V2303" s="282" t="e">
        <f>+Tabla4[[#This Row],[Comisión Calculada]]*Tabla4[[#This Row],[Total]]</f>
        <v>#N/A</v>
      </c>
    </row>
    <row r="2304" spans="1:22" hidden="1" x14ac:dyDescent="0.25">
      <c r="A2304" s="100">
        <v>45777</v>
      </c>
      <c r="B2304" t="str">
        <f t="shared" si="118"/>
        <v>April</v>
      </c>
      <c r="C2304" s="46" t="s">
        <v>280</v>
      </c>
      <c r="F2304" s="366" t="s">
        <v>1585</v>
      </c>
      <c r="G2304" s="46" t="s">
        <v>17</v>
      </c>
      <c r="H2304" s="46">
        <v>2</v>
      </c>
      <c r="I2304" s="51">
        <v>4622.28</v>
      </c>
      <c r="J2304" s="281">
        <f>++Tabla4[[#This Row],[Precio Bruto]]*1.16</f>
        <v>5361.8447999999989</v>
      </c>
      <c r="K2304" s="281">
        <f>+Tabla4[[#This Row],[Precio Unitario Neto]]*Tabla4[[#Headers],[20.85%]]</f>
        <v>1117.9446407999997</v>
      </c>
      <c r="L2304" s="282">
        <f>++Tabla4[[#This Row],[Precio Unitario Neto]]-Tabla4[[#This Row],[20.85%]]</f>
        <v>4243.9001591999995</v>
      </c>
      <c r="M2304" s="282" t="e">
        <f>(INDEX(Tabla6[#All],MATCH(Tabla4[[#This Row],[Producto]],Tabla6[[#All],[PRODUCTO]],0),MATCH(Tabla4[[#This Row],[Mes]],Tabla6[#Headers],0)))*(1+Catalogos!$L$2)</f>
        <v>#N/A</v>
      </c>
      <c r="N2304" s="283" t="e">
        <f>+(Tabla4[[#This Row],[Precio Descontado]]-Tabla4[[#This Row],[Precio Base]])*Tabla4[[#This Row],[Cantidad]]</f>
        <v>#N/A</v>
      </c>
      <c r="O2304" s="284" t="e">
        <f>++Tabla4[[#This Row],[Utilidad Total]]/Tabla4[[#This Row],[Total]]</f>
        <v>#N/A</v>
      </c>
      <c r="P2304" s="282">
        <f>++Tabla4[[#This Row],[Precio Descontado]]*Tabla4[[#This Row],[Cantidad]]</f>
        <v>8487.800318399999</v>
      </c>
      <c r="Q2304" s="282" t="e">
        <f>(INDEX(Tabla6[#All],MATCH(Tabla4[[#This Row],[Producto]],Tabla6[[#All],[PRODUCTO]],0),MATCH(Tabla4[[#This Row],[Mes]],Tabla6[#Headers],0)))</f>
        <v>#N/A</v>
      </c>
      <c r="R2304" s="282" t="e">
        <f>++Tabla4[[#This Row],[Precio Unitario Neto]]-Tabla4[[#This Row],[20.85%]]-Tabla4[[#This Row],[Costo]]</f>
        <v>#N/A</v>
      </c>
      <c r="S2304" s="282" t="e">
        <f>++Tabla4[[#This Row],[U. Bruta Uni]]*Tabla4[[#This Row],[Cantidad]]</f>
        <v>#N/A</v>
      </c>
      <c r="T2304" s="369" t="str">
        <f>VLOOKUP(Tabla4[[#This Row],[Producto]],Tabla6[#All],14,FALSE)</f>
        <v>Termico Solar</v>
      </c>
      <c r="U2304" s="284" t="e">
        <f>(IF(Tabla4[[#This Row],[Familia]]="termico solar",Tabla4[[#This Row],[Utilidad Total]]*6%,Tabla4[[#This Row],[Utilidad Total]]*11.5%))/Tabla4[[#This Row],[Total]]</f>
        <v>#N/A</v>
      </c>
      <c r="V2304" s="282" t="e">
        <f>+Tabla4[[#This Row],[Comisión Calculada]]*Tabla4[[#This Row],[Total]]</f>
        <v>#N/A</v>
      </c>
    </row>
    <row r="2305" spans="1:22" hidden="1" x14ac:dyDescent="0.25">
      <c r="A2305" s="100">
        <v>45777</v>
      </c>
      <c r="B2305" t="str">
        <f t="shared" si="118"/>
        <v>April</v>
      </c>
      <c r="C2305" s="46" t="s">
        <v>280</v>
      </c>
      <c r="F2305" s="366" t="s">
        <v>1585</v>
      </c>
      <c r="G2305" s="46" t="s">
        <v>18</v>
      </c>
      <c r="H2305" s="46">
        <v>1</v>
      </c>
      <c r="I2305" s="51">
        <v>5367.65</v>
      </c>
      <c r="J2305" s="281">
        <f>++Tabla4[[#This Row],[Precio Bruto]]*1.16</f>
        <v>6226.4739999999993</v>
      </c>
      <c r="K2305" s="281">
        <f>+Tabla4[[#This Row],[Precio Unitario Neto]]*Tabla4[[#Headers],[20.85%]]</f>
        <v>1298.2198289999999</v>
      </c>
      <c r="L2305" s="282">
        <f>++Tabla4[[#This Row],[Precio Unitario Neto]]-Tabla4[[#This Row],[20.85%]]</f>
        <v>4928.2541709999996</v>
      </c>
      <c r="M2305" s="282" t="e">
        <f>(INDEX(Tabla6[#All],MATCH(Tabla4[[#This Row],[Producto]],Tabla6[[#All],[PRODUCTO]],0),MATCH(Tabla4[[#This Row],[Mes]],Tabla6[#Headers],0)))*(1+Catalogos!$L$2)</f>
        <v>#N/A</v>
      </c>
      <c r="N2305" s="283" t="e">
        <f>+(Tabla4[[#This Row],[Precio Descontado]]-Tabla4[[#This Row],[Precio Base]])*Tabla4[[#This Row],[Cantidad]]</f>
        <v>#N/A</v>
      </c>
      <c r="O2305" s="284" t="e">
        <f>++Tabla4[[#This Row],[Utilidad Total]]/Tabla4[[#This Row],[Total]]</f>
        <v>#N/A</v>
      </c>
      <c r="P2305" s="282">
        <f>++Tabla4[[#This Row],[Precio Descontado]]*Tabla4[[#This Row],[Cantidad]]</f>
        <v>4928.2541709999996</v>
      </c>
      <c r="Q2305" s="282" t="e">
        <f>(INDEX(Tabla6[#All],MATCH(Tabla4[[#This Row],[Producto]],Tabla6[[#All],[PRODUCTO]],0),MATCH(Tabla4[[#This Row],[Mes]],Tabla6[#Headers],0)))</f>
        <v>#N/A</v>
      </c>
      <c r="R2305" s="282" t="e">
        <f>++Tabla4[[#This Row],[Precio Unitario Neto]]-Tabla4[[#This Row],[20.85%]]-Tabla4[[#This Row],[Costo]]</f>
        <v>#N/A</v>
      </c>
      <c r="S2305" s="282" t="e">
        <f>++Tabla4[[#This Row],[U. Bruta Uni]]*Tabla4[[#This Row],[Cantidad]]</f>
        <v>#N/A</v>
      </c>
      <c r="T2305" s="369" t="str">
        <f>VLOOKUP(Tabla4[[#This Row],[Producto]],Tabla6[#All],14,FALSE)</f>
        <v>Termico Solar</v>
      </c>
      <c r="U2305" s="284" t="e">
        <f>(IF(Tabla4[[#This Row],[Familia]]="termico solar",Tabla4[[#This Row],[Utilidad Total]]*6%,Tabla4[[#This Row],[Utilidad Total]]*11.5%))/Tabla4[[#This Row],[Total]]</f>
        <v>#N/A</v>
      </c>
      <c r="V2305" s="282" t="e">
        <f>+Tabla4[[#This Row],[Comisión Calculada]]*Tabla4[[#This Row],[Total]]</f>
        <v>#N/A</v>
      </c>
    </row>
    <row r="2306" spans="1:22" hidden="1" x14ac:dyDescent="0.25">
      <c r="A2306" s="100">
        <v>45777</v>
      </c>
      <c r="B2306" t="str">
        <f t="shared" si="118"/>
        <v>April</v>
      </c>
      <c r="C2306" s="46" t="s">
        <v>280</v>
      </c>
      <c r="F2306" s="366" t="s">
        <v>1586</v>
      </c>
      <c r="G2306" s="46" t="s">
        <v>16</v>
      </c>
      <c r="H2306" s="46">
        <v>2</v>
      </c>
      <c r="I2306" s="51">
        <v>4103.8500000000004</v>
      </c>
      <c r="J2306" s="281">
        <f>++Tabla4[[#This Row],[Precio Bruto]]*1.16</f>
        <v>4760.4660000000003</v>
      </c>
      <c r="K2306" s="281">
        <f>+Tabla4[[#This Row],[Precio Unitario Neto]]*Tabla4[[#Headers],[20.85%]]</f>
        <v>992.55716100000006</v>
      </c>
      <c r="L2306" s="282">
        <f>++Tabla4[[#This Row],[Precio Unitario Neto]]-Tabla4[[#This Row],[20.85%]]</f>
        <v>3767.9088390000002</v>
      </c>
      <c r="M2306" s="282" t="e">
        <f>(INDEX(Tabla6[#All],MATCH(Tabla4[[#This Row],[Producto]],Tabla6[[#All],[PRODUCTO]],0),MATCH(Tabla4[[#This Row],[Mes]],Tabla6[#Headers],0)))*(1+Catalogos!$L$2)</f>
        <v>#N/A</v>
      </c>
      <c r="N2306" s="283" t="e">
        <f>+(Tabla4[[#This Row],[Precio Descontado]]-Tabla4[[#This Row],[Precio Base]])*Tabla4[[#This Row],[Cantidad]]</f>
        <v>#N/A</v>
      </c>
      <c r="O2306" s="284" t="e">
        <f>++Tabla4[[#This Row],[Utilidad Total]]/Tabla4[[#This Row],[Total]]</f>
        <v>#N/A</v>
      </c>
      <c r="P2306" s="282">
        <f>++Tabla4[[#This Row],[Precio Descontado]]*Tabla4[[#This Row],[Cantidad]]</f>
        <v>7535.8176780000003</v>
      </c>
      <c r="Q2306" s="282" t="e">
        <f>(INDEX(Tabla6[#All],MATCH(Tabla4[[#This Row],[Producto]],Tabla6[[#All],[PRODUCTO]],0),MATCH(Tabla4[[#This Row],[Mes]],Tabla6[#Headers],0)))</f>
        <v>#N/A</v>
      </c>
      <c r="R2306" s="282" t="e">
        <f>++Tabla4[[#This Row],[Precio Unitario Neto]]-Tabla4[[#This Row],[20.85%]]-Tabla4[[#This Row],[Costo]]</f>
        <v>#N/A</v>
      </c>
      <c r="S2306" s="282" t="e">
        <f>++Tabla4[[#This Row],[U. Bruta Uni]]*Tabla4[[#This Row],[Cantidad]]</f>
        <v>#N/A</v>
      </c>
      <c r="T2306" s="369" t="str">
        <f>VLOOKUP(Tabla4[[#This Row],[Producto]],Tabla6[#All],14,FALSE)</f>
        <v>Termico Solar</v>
      </c>
      <c r="U2306" s="284" t="e">
        <f>(IF(Tabla4[[#This Row],[Familia]]="termico solar",Tabla4[[#This Row],[Utilidad Total]]*6%,Tabla4[[#This Row],[Utilidad Total]]*11.5%))/Tabla4[[#This Row],[Total]]</f>
        <v>#N/A</v>
      </c>
      <c r="V2306" s="282" t="e">
        <f>+Tabla4[[#This Row],[Comisión Calculada]]*Tabla4[[#This Row],[Total]]</f>
        <v>#N/A</v>
      </c>
    </row>
    <row r="2307" spans="1:22" hidden="1" x14ac:dyDescent="0.25">
      <c r="A2307" s="100">
        <v>45777</v>
      </c>
      <c r="B2307" t="str">
        <f t="shared" si="118"/>
        <v>April</v>
      </c>
      <c r="C2307" s="46" t="s">
        <v>280</v>
      </c>
      <c r="F2307" s="366" t="s">
        <v>1587</v>
      </c>
      <c r="G2307" s="46" t="s">
        <v>17</v>
      </c>
      <c r="H2307" s="46">
        <v>2</v>
      </c>
      <c r="I2307" s="51">
        <v>4622.28</v>
      </c>
      <c r="J2307" s="281">
        <f>++Tabla4[[#This Row],[Precio Bruto]]*1.16</f>
        <v>5361.8447999999989</v>
      </c>
      <c r="K2307" s="281">
        <f>+Tabla4[[#This Row],[Precio Unitario Neto]]*Tabla4[[#Headers],[20.85%]]</f>
        <v>1117.9446407999997</v>
      </c>
      <c r="L2307" s="282">
        <f>++Tabla4[[#This Row],[Precio Unitario Neto]]-Tabla4[[#This Row],[20.85%]]</f>
        <v>4243.9001591999995</v>
      </c>
      <c r="M2307" s="282" t="e">
        <f>(INDEX(Tabla6[#All],MATCH(Tabla4[[#This Row],[Producto]],Tabla6[[#All],[PRODUCTO]],0),MATCH(Tabla4[[#This Row],[Mes]],Tabla6[#Headers],0)))*(1+Catalogos!$L$2)</f>
        <v>#N/A</v>
      </c>
      <c r="N2307" s="283" t="e">
        <f>+(Tabla4[[#This Row],[Precio Descontado]]-Tabla4[[#This Row],[Precio Base]])*Tabla4[[#This Row],[Cantidad]]</f>
        <v>#N/A</v>
      </c>
      <c r="O2307" s="284" t="e">
        <f>++Tabla4[[#This Row],[Utilidad Total]]/Tabla4[[#This Row],[Total]]</f>
        <v>#N/A</v>
      </c>
      <c r="P2307" s="282">
        <f>++Tabla4[[#This Row],[Precio Descontado]]*Tabla4[[#This Row],[Cantidad]]</f>
        <v>8487.800318399999</v>
      </c>
      <c r="Q2307" s="282" t="e">
        <f>(INDEX(Tabla6[#All],MATCH(Tabla4[[#This Row],[Producto]],Tabla6[[#All],[PRODUCTO]],0),MATCH(Tabla4[[#This Row],[Mes]],Tabla6[#Headers],0)))</f>
        <v>#N/A</v>
      </c>
      <c r="R2307" s="282" t="e">
        <f>++Tabla4[[#This Row],[Precio Unitario Neto]]-Tabla4[[#This Row],[20.85%]]-Tabla4[[#This Row],[Costo]]</f>
        <v>#N/A</v>
      </c>
      <c r="S2307" s="282" t="e">
        <f>++Tabla4[[#This Row],[U. Bruta Uni]]*Tabla4[[#This Row],[Cantidad]]</f>
        <v>#N/A</v>
      </c>
      <c r="T2307" s="369" t="str">
        <f>VLOOKUP(Tabla4[[#This Row],[Producto]],Tabla6[#All],14,FALSE)</f>
        <v>Termico Solar</v>
      </c>
      <c r="U2307" s="284" t="e">
        <f>(IF(Tabla4[[#This Row],[Familia]]="termico solar",Tabla4[[#This Row],[Utilidad Total]]*6%,Tabla4[[#This Row],[Utilidad Total]]*11.5%))/Tabla4[[#This Row],[Total]]</f>
        <v>#N/A</v>
      </c>
      <c r="V2307" s="282" t="e">
        <f>+Tabla4[[#This Row],[Comisión Calculada]]*Tabla4[[#This Row],[Total]]</f>
        <v>#N/A</v>
      </c>
    </row>
    <row r="2308" spans="1:22" hidden="1" x14ac:dyDescent="0.25">
      <c r="A2308" s="100">
        <v>45777</v>
      </c>
      <c r="B2308" t="str">
        <f t="shared" si="118"/>
        <v>April</v>
      </c>
      <c r="C2308" s="46" t="s">
        <v>280</v>
      </c>
      <c r="F2308" s="366" t="s">
        <v>1587</v>
      </c>
      <c r="G2308" s="46" t="s">
        <v>18</v>
      </c>
      <c r="H2308" s="46">
        <v>4</v>
      </c>
      <c r="I2308" s="51">
        <v>5367.65</v>
      </c>
      <c r="J2308" s="281">
        <f>++Tabla4[[#This Row],[Precio Bruto]]*1.16</f>
        <v>6226.4739999999993</v>
      </c>
      <c r="K2308" s="281">
        <f>+Tabla4[[#This Row],[Precio Unitario Neto]]*Tabla4[[#Headers],[20.85%]]</f>
        <v>1298.2198289999999</v>
      </c>
      <c r="L2308" s="282">
        <f>++Tabla4[[#This Row],[Precio Unitario Neto]]-Tabla4[[#This Row],[20.85%]]</f>
        <v>4928.2541709999996</v>
      </c>
      <c r="M2308" s="282" t="e">
        <f>(INDEX(Tabla6[#All],MATCH(Tabla4[[#This Row],[Producto]],Tabla6[[#All],[PRODUCTO]],0),MATCH(Tabla4[[#This Row],[Mes]],Tabla6[#Headers],0)))*(1+Catalogos!$L$2)</f>
        <v>#N/A</v>
      </c>
      <c r="N2308" s="283" t="e">
        <f>+(Tabla4[[#This Row],[Precio Descontado]]-Tabla4[[#This Row],[Precio Base]])*Tabla4[[#This Row],[Cantidad]]</f>
        <v>#N/A</v>
      </c>
      <c r="O2308" s="284" t="e">
        <f>++Tabla4[[#This Row],[Utilidad Total]]/Tabla4[[#This Row],[Total]]</f>
        <v>#N/A</v>
      </c>
      <c r="P2308" s="282">
        <f>++Tabla4[[#This Row],[Precio Descontado]]*Tabla4[[#This Row],[Cantidad]]</f>
        <v>19713.016683999998</v>
      </c>
      <c r="Q2308" s="282" t="e">
        <f>(INDEX(Tabla6[#All],MATCH(Tabla4[[#This Row],[Producto]],Tabla6[[#All],[PRODUCTO]],0),MATCH(Tabla4[[#This Row],[Mes]],Tabla6[#Headers],0)))</f>
        <v>#N/A</v>
      </c>
      <c r="R2308" s="282" t="e">
        <f>++Tabla4[[#This Row],[Precio Unitario Neto]]-Tabla4[[#This Row],[20.85%]]-Tabla4[[#This Row],[Costo]]</f>
        <v>#N/A</v>
      </c>
      <c r="S2308" s="282" t="e">
        <f>++Tabla4[[#This Row],[U. Bruta Uni]]*Tabla4[[#This Row],[Cantidad]]</f>
        <v>#N/A</v>
      </c>
      <c r="T2308" s="369" t="str">
        <f>VLOOKUP(Tabla4[[#This Row],[Producto]],Tabla6[#All],14,FALSE)</f>
        <v>Termico Solar</v>
      </c>
      <c r="U2308" s="284" t="e">
        <f>(IF(Tabla4[[#This Row],[Familia]]="termico solar",Tabla4[[#This Row],[Utilidad Total]]*6%,Tabla4[[#This Row],[Utilidad Total]]*11.5%))/Tabla4[[#This Row],[Total]]</f>
        <v>#N/A</v>
      </c>
      <c r="V2308" s="282" t="e">
        <f>+Tabla4[[#This Row],[Comisión Calculada]]*Tabla4[[#This Row],[Total]]</f>
        <v>#N/A</v>
      </c>
    </row>
    <row r="2309" spans="1:22" hidden="1" x14ac:dyDescent="0.25">
      <c r="A2309" s="100">
        <v>45777</v>
      </c>
      <c r="B2309" t="str">
        <f t="shared" si="118"/>
        <v>April</v>
      </c>
      <c r="C2309" s="46" t="s">
        <v>280</v>
      </c>
      <c r="F2309" s="366" t="s">
        <v>1587</v>
      </c>
      <c r="G2309" s="46" t="s">
        <v>16</v>
      </c>
      <c r="H2309" s="46">
        <v>2</v>
      </c>
      <c r="I2309" s="51">
        <v>4103.8500000000004</v>
      </c>
      <c r="J2309" s="281">
        <f>++Tabla4[[#This Row],[Precio Bruto]]*1.16</f>
        <v>4760.4660000000003</v>
      </c>
      <c r="K2309" s="281">
        <f>+Tabla4[[#This Row],[Precio Unitario Neto]]*Tabla4[[#Headers],[20.85%]]</f>
        <v>992.55716100000006</v>
      </c>
      <c r="L2309" s="282">
        <f>++Tabla4[[#This Row],[Precio Unitario Neto]]-Tabla4[[#This Row],[20.85%]]</f>
        <v>3767.9088390000002</v>
      </c>
      <c r="M2309" s="282" t="e">
        <f>(INDEX(Tabla6[#All],MATCH(Tabla4[[#This Row],[Producto]],Tabla6[[#All],[PRODUCTO]],0),MATCH(Tabla4[[#This Row],[Mes]],Tabla6[#Headers],0)))*(1+Catalogos!$L$2)</f>
        <v>#N/A</v>
      </c>
      <c r="N2309" s="283" t="e">
        <f>+(Tabla4[[#This Row],[Precio Descontado]]-Tabla4[[#This Row],[Precio Base]])*Tabla4[[#This Row],[Cantidad]]</f>
        <v>#N/A</v>
      </c>
      <c r="O2309" s="284" t="e">
        <f>++Tabla4[[#This Row],[Utilidad Total]]/Tabla4[[#This Row],[Total]]</f>
        <v>#N/A</v>
      </c>
      <c r="P2309" s="282">
        <f>++Tabla4[[#This Row],[Precio Descontado]]*Tabla4[[#This Row],[Cantidad]]</f>
        <v>7535.8176780000003</v>
      </c>
      <c r="Q2309" s="282" t="e">
        <f>(INDEX(Tabla6[#All],MATCH(Tabla4[[#This Row],[Producto]],Tabla6[[#All],[PRODUCTO]],0),MATCH(Tabla4[[#This Row],[Mes]],Tabla6[#Headers],0)))</f>
        <v>#N/A</v>
      </c>
      <c r="R2309" s="282" t="e">
        <f>++Tabla4[[#This Row],[Precio Unitario Neto]]-Tabla4[[#This Row],[20.85%]]-Tabla4[[#This Row],[Costo]]</f>
        <v>#N/A</v>
      </c>
      <c r="S2309" s="282" t="e">
        <f>++Tabla4[[#This Row],[U. Bruta Uni]]*Tabla4[[#This Row],[Cantidad]]</f>
        <v>#N/A</v>
      </c>
      <c r="T2309" s="369" t="str">
        <f>VLOOKUP(Tabla4[[#This Row],[Producto]],Tabla6[#All],14,FALSE)</f>
        <v>Termico Solar</v>
      </c>
      <c r="U2309" s="284" t="e">
        <f>(IF(Tabla4[[#This Row],[Familia]]="termico solar",Tabla4[[#This Row],[Utilidad Total]]*6%,Tabla4[[#This Row],[Utilidad Total]]*11.5%))/Tabla4[[#This Row],[Total]]</f>
        <v>#N/A</v>
      </c>
      <c r="V2309" s="282" t="e">
        <f>+Tabla4[[#This Row],[Comisión Calculada]]*Tabla4[[#This Row],[Total]]</f>
        <v>#N/A</v>
      </c>
    </row>
    <row r="2310" spans="1:22" hidden="1" x14ac:dyDescent="0.25">
      <c r="A2310" s="100">
        <v>45777</v>
      </c>
      <c r="B2310" t="str">
        <f t="shared" si="118"/>
        <v>April</v>
      </c>
      <c r="C2310" s="46" t="s">
        <v>280</v>
      </c>
      <c r="F2310" s="366" t="s">
        <v>1588</v>
      </c>
      <c r="G2310" s="46" t="s">
        <v>83</v>
      </c>
      <c r="H2310" s="46">
        <v>2</v>
      </c>
      <c r="I2310" s="51">
        <v>8858.76</v>
      </c>
      <c r="J2310" s="281">
        <f>++Tabla4[[#This Row],[Precio Bruto]]*1.16</f>
        <v>10276.161599999999</v>
      </c>
      <c r="K2310" s="281">
        <f>+Tabla4[[#This Row],[Precio Unitario Neto]]*Tabla4[[#Headers],[20.85%]]</f>
        <v>2142.5796935999997</v>
      </c>
      <c r="L2310" s="282">
        <f>++Tabla4[[#This Row],[Precio Unitario Neto]]-Tabla4[[#This Row],[20.85%]]</f>
        <v>8133.5819063999998</v>
      </c>
      <c r="M2310" s="282" t="e">
        <f>(INDEX(Tabla6[#All],MATCH(Tabla4[[#This Row],[Producto]],Tabla6[[#All],[PRODUCTO]],0),MATCH(Tabla4[[#This Row],[Mes]],Tabla6[#Headers],0)))*(1+Catalogos!$L$2)</f>
        <v>#N/A</v>
      </c>
      <c r="N2310" s="283" t="e">
        <f>+(Tabla4[[#This Row],[Precio Descontado]]-Tabla4[[#This Row],[Precio Base]])*Tabla4[[#This Row],[Cantidad]]</f>
        <v>#N/A</v>
      </c>
      <c r="O2310" s="284" t="e">
        <f>++Tabla4[[#This Row],[Utilidad Total]]/Tabla4[[#This Row],[Total]]</f>
        <v>#N/A</v>
      </c>
      <c r="P2310" s="282">
        <f>++Tabla4[[#This Row],[Precio Descontado]]*Tabla4[[#This Row],[Cantidad]]</f>
        <v>16267.1638128</v>
      </c>
      <c r="Q2310" s="282" t="e">
        <f>(INDEX(Tabla6[#All],MATCH(Tabla4[[#This Row],[Producto]],Tabla6[[#All],[PRODUCTO]],0),MATCH(Tabla4[[#This Row],[Mes]],Tabla6[#Headers],0)))</f>
        <v>#N/A</v>
      </c>
      <c r="R2310" s="282" t="e">
        <f>++Tabla4[[#This Row],[Precio Unitario Neto]]-Tabla4[[#This Row],[20.85%]]-Tabla4[[#This Row],[Costo]]</f>
        <v>#N/A</v>
      </c>
      <c r="S2310" s="282" t="e">
        <f>++Tabla4[[#This Row],[U. Bruta Uni]]*Tabla4[[#This Row],[Cantidad]]</f>
        <v>#N/A</v>
      </c>
      <c r="T2310" s="369" t="str">
        <f>VLOOKUP(Tabla4[[#This Row],[Producto]],Tabla6[#All],14,FALSE)</f>
        <v>Termico Solar</v>
      </c>
      <c r="U2310" s="284" t="e">
        <f>(IF(Tabla4[[#This Row],[Familia]]="termico solar",Tabla4[[#This Row],[Utilidad Total]]*6%,Tabla4[[#This Row],[Utilidad Total]]*11.5%))/Tabla4[[#This Row],[Total]]</f>
        <v>#N/A</v>
      </c>
      <c r="V2310" s="282" t="e">
        <f>+Tabla4[[#This Row],[Comisión Calculada]]*Tabla4[[#This Row],[Total]]</f>
        <v>#N/A</v>
      </c>
    </row>
    <row r="2311" spans="1:22" hidden="1" x14ac:dyDescent="0.25">
      <c r="A2311" s="100">
        <v>45777</v>
      </c>
      <c r="B2311" t="str">
        <f t="shared" si="118"/>
        <v>April</v>
      </c>
      <c r="C2311" s="46" t="s">
        <v>280</v>
      </c>
      <c r="F2311" s="366" t="s">
        <v>1588</v>
      </c>
      <c r="G2311" s="46" t="s">
        <v>18</v>
      </c>
      <c r="H2311" s="46">
        <v>3</v>
      </c>
      <c r="I2311" s="51">
        <v>5367.6500000000005</v>
      </c>
      <c r="J2311" s="281">
        <f>++Tabla4[[#This Row],[Precio Bruto]]*1.16</f>
        <v>6226.4740000000002</v>
      </c>
      <c r="K2311" s="281">
        <f>+Tabla4[[#This Row],[Precio Unitario Neto]]*Tabla4[[#Headers],[20.85%]]</f>
        <v>1298.2198289999999</v>
      </c>
      <c r="L2311" s="282">
        <f>++Tabla4[[#This Row],[Precio Unitario Neto]]-Tabla4[[#This Row],[20.85%]]</f>
        <v>4928.2541710000005</v>
      </c>
      <c r="M2311" s="282" t="e">
        <f>(INDEX(Tabla6[#All],MATCH(Tabla4[[#This Row],[Producto]],Tabla6[[#All],[PRODUCTO]],0),MATCH(Tabla4[[#This Row],[Mes]],Tabla6[#Headers],0)))*(1+Catalogos!$L$2)</f>
        <v>#N/A</v>
      </c>
      <c r="N2311" s="283" t="e">
        <f>+(Tabla4[[#This Row],[Precio Descontado]]-Tabla4[[#This Row],[Precio Base]])*Tabla4[[#This Row],[Cantidad]]</f>
        <v>#N/A</v>
      </c>
      <c r="O2311" s="284" t="e">
        <f>++Tabla4[[#This Row],[Utilidad Total]]/Tabla4[[#This Row],[Total]]</f>
        <v>#N/A</v>
      </c>
      <c r="P2311" s="282">
        <f>++Tabla4[[#This Row],[Precio Descontado]]*Tabla4[[#This Row],[Cantidad]]</f>
        <v>14784.762513000001</v>
      </c>
      <c r="Q2311" s="282" t="e">
        <f>(INDEX(Tabla6[#All],MATCH(Tabla4[[#This Row],[Producto]],Tabla6[[#All],[PRODUCTO]],0),MATCH(Tabla4[[#This Row],[Mes]],Tabla6[#Headers],0)))</f>
        <v>#N/A</v>
      </c>
      <c r="R2311" s="282" t="e">
        <f>++Tabla4[[#This Row],[Precio Unitario Neto]]-Tabla4[[#This Row],[20.85%]]-Tabla4[[#This Row],[Costo]]</f>
        <v>#N/A</v>
      </c>
      <c r="S2311" s="282" t="e">
        <f>++Tabla4[[#This Row],[U. Bruta Uni]]*Tabla4[[#This Row],[Cantidad]]</f>
        <v>#N/A</v>
      </c>
      <c r="T2311" s="369" t="str">
        <f>VLOOKUP(Tabla4[[#This Row],[Producto]],Tabla6[#All],14,FALSE)</f>
        <v>Termico Solar</v>
      </c>
      <c r="U2311" s="284" t="e">
        <f>(IF(Tabla4[[#This Row],[Familia]]="termico solar",Tabla4[[#This Row],[Utilidad Total]]*6%,Tabla4[[#This Row],[Utilidad Total]]*11.5%))/Tabla4[[#This Row],[Total]]</f>
        <v>#N/A</v>
      </c>
      <c r="V2311" s="282" t="e">
        <f>+Tabla4[[#This Row],[Comisión Calculada]]*Tabla4[[#This Row],[Total]]</f>
        <v>#N/A</v>
      </c>
    </row>
    <row r="2312" spans="1:22" hidden="1" x14ac:dyDescent="0.25">
      <c r="A2312" s="100">
        <v>45777</v>
      </c>
      <c r="B2312" t="str">
        <f t="shared" si="118"/>
        <v>April</v>
      </c>
      <c r="C2312" s="46" t="s">
        <v>280</v>
      </c>
      <c r="F2312" s="366" t="s">
        <v>1589</v>
      </c>
      <c r="G2312" s="46" t="s">
        <v>83</v>
      </c>
      <c r="H2312" s="46">
        <v>3</v>
      </c>
      <c r="I2312" s="51">
        <v>8858.76</v>
      </c>
      <c r="J2312" s="281">
        <f>++Tabla4[[#This Row],[Precio Bruto]]*1.16</f>
        <v>10276.161599999999</v>
      </c>
      <c r="K2312" s="281">
        <f>+Tabla4[[#This Row],[Precio Unitario Neto]]*Tabla4[[#Headers],[20.85%]]</f>
        <v>2142.5796935999997</v>
      </c>
      <c r="L2312" s="282">
        <f>++Tabla4[[#This Row],[Precio Unitario Neto]]-Tabla4[[#This Row],[20.85%]]</f>
        <v>8133.5819063999998</v>
      </c>
      <c r="M2312" s="282" t="e">
        <f>(INDEX(Tabla6[#All],MATCH(Tabla4[[#This Row],[Producto]],Tabla6[[#All],[PRODUCTO]],0),MATCH(Tabla4[[#This Row],[Mes]],Tabla6[#Headers],0)))*(1+Catalogos!$L$2)</f>
        <v>#N/A</v>
      </c>
      <c r="N2312" s="283" t="e">
        <f>+(Tabla4[[#This Row],[Precio Descontado]]-Tabla4[[#This Row],[Precio Base]])*Tabla4[[#This Row],[Cantidad]]</f>
        <v>#N/A</v>
      </c>
      <c r="O2312" s="284" t="e">
        <f>++Tabla4[[#This Row],[Utilidad Total]]/Tabla4[[#This Row],[Total]]</f>
        <v>#N/A</v>
      </c>
      <c r="P2312" s="282">
        <f>++Tabla4[[#This Row],[Precio Descontado]]*Tabla4[[#This Row],[Cantidad]]</f>
        <v>24400.7457192</v>
      </c>
      <c r="Q2312" s="282" t="e">
        <f>(INDEX(Tabla6[#All],MATCH(Tabla4[[#This Row],[Producto]],Tabla6[[#All],[PRODUCTO]],0),MATCH(Tabla4[[#This Row],[Mes]],Tabla6[#Headers],0)))</f>
        <v>#N/A</v>
      </c>
      <c r="R2312" s="282" t="e">
        <f>++Tabla4[[#This Row],[Precio Unitario Neto]]-Tabla4[[#This Row],[20.85%]]-Tabla4[[#This Row],[Costo]]</f>
        <v>#N/A</v>
      </c>
      <c r="S2312" s="282" t="e">
        <f>++Tabla4[[#This Row],[U. Bruta Uni]]*Tabla4[[#This Row],[Cantidad]]</f>
        <v>#N/A</v>
      </c>
      <c r="T2312" s="369" t="str">
        <f>VLOOKUP(Tabla4[[#This Row],[Producto]],Tabla6[#All],14,FALSE)</f>
        <v>Termico Solar</v>
      </c>
      <c r="U2312" s="284" t="e">
        <f>(IF(Tabla4[[#This Row],[Familia]]="termico solar",Tabla4[[#This Row],[Utilidad Total]]*6%,Tabla4[[#This Row],[Utilidad Total]]*11.5%))/Tabla4[[#This Row],[Total]]</f>
        <v>#N/A</v>
      </c>
      <c r="V2312" s="282" t="e">
        <f>+Tabla4[[#This Row],[Comisión Calculada]]*Tabla4[[#This Row],[Total]]</f>
        <v>#N/A</v>
      </c>
    </row>
    <row r="2313" spans="1:22" hidden="1" x14ac:dyDescent="0.25">
      <c r="A2313" s="100">
        <v>45777</v>
      </c>
      <c r="B2313" t="str">
        <f t="shared" si="118"/>
        <v>April</v>
      </c>
      <c r="C2313" s="46" t="s">
        <v>280</v>
      </c>
      <c r="F2313" s="366" t="s">
        <v>1589</v>
      </c>
      <c r="G2313" s="46" t="s">
        <v>555</v>
      </c>
      <c r="H2313" s="46">
        <v>8</v>
      </c>
      <c r="I2313" s="51">
        <v>389.47</v>
      </c>
      <c r="J2313" s="281">
        <f>++Tabla4[[#This Row],[Precio Bruto]]*1.16</f>
        <v>451.78519999999997</v>
      </c>
      <c r="K2313" s="281">
        <f>+Tabla4[[#This Row],[Precio Unitario Neto]]*Tabla4[[#Headers],[20.85%]]</f>
        <v>94.197214199999991</v>
      </c>
      <c r="L2313" s="282">
        <f>++Tabla4[[#This Row],[Precio Unitario Neto]]-Tabla4[[#This Row],[20.85%]]</f>
        <v>357.58798579999996</v>
      </c>
      <c r="M2313" s="282" t="e">
        <f>(INDEX(Tabla6[#All],MATCH(Tabla4[[#This Row],[Producto]],Tabla6[[#All],[PRODUCTO]],0),MATCH(Tabla4[[#This Row],[Mes]],Tabla6[#Headers],0)))*(1+Catalogos!$L$2)</f>
        <v>#N/A</v>
      </c>
      <c r="N2313" s="283" t="e">
        <f>+(Tabla4[[#This Row],[Precio Descontado]]-Tabla4[[#This Row],[Precio Base]])*Tabla4[[#This Row],[Cantidad]]</f>
        <v>#N/A</v>
      </c>
      <c r="O2313" s="284" t="e">
        <f>++Tabla4[[#This Row],[Utilidad Total]]/Tabla4[[#This Row],[Total]]</f>
        <v>#N/A</v>
      </c>
      <c r="P2313" s="282">
        <f>++Tabla4[[#This Row],[Precio Descontado]]*Tabla4[[#This Row],[Cantidad]]</f>
        <v>2860.7038863999996</v>
      </c>
      <c r="Q2313" s="282" t="e">
        <f>(INDEX(Tabla6[#All],MATCH(Tabla4[[#This Row],[Producto]],Tabla6[[#All],[PRODUCTO]],0),MATCH(Tabla4[[#This Row],[Mes]],Tabla6[#Headers],0)))</f>
        <v>#N/A</v>
      </c>
      <c r="R2313" s="282" t="e">
        <f>++Tabla4[[#This Row],[Precio Unitario Neto]]-Tabla4[[#This Row],[20.85%]]-Tabla4[[#This Row],[Costo]]</f>
        <v>#N/A</v>
      </c>
      <c r="S2313" s="282" t="e">
        <f>++Tabla4[[#This Row],[U. Bruta Uni]]*Tabla4[[#This Row],[Cantidad]]</f>
        <v>#N/A</v>
      </c>
      <c r="T2313" s="369" t="str">
        <f>VLOOKUP(Tabla4[[#This Row],[Producto]],Tabla6[#All],14,FALSE)</f>
        <v>Termico Solar</v>
      </c>
      <c r="U2313" s="284" t="e">
        <f>(IF(Tabla4[[#This Row],[Familia]]="termico solar",Tabla4[[#This Row],[Utilidad Total]]*6%,Tabla4[[#This Row],[Utilidad Total]]*11.5%))/Tabla4[[#This Row],[Total]]</f>
        <v>#N/A</v>
      </c>
      <c r="V2313" s="282" t="e">
        <f>+Tabla4[[#This Row],[Comisión Calculada]]*Tabla4[[#This Row],[Total]]</f>
        <v>#N/A</v>
      </c>
    </row>
    <row r="2314" spans="1:22" hidden="1" x14ac:dyDescent="0.25">
      <c r="A2314" s="100">
        <v>45777</v>
      </c>
      <c r="B2314" t="str">
        <f t="shared" si="118"/>
        <v>April</v>
      </c>
      <c r="C2314" s="46" t="s">
        <v>280</v>
      </c>
      <c r="F2314" s="366" t="s">
        <v>1589</v>
      </c>
      <c r="G2314" s="46" t="s">
        <v>208</v>
      </c>
      <c r="H2314" s="46">
        <v>1</v>
      </c>
      <c r="I2314" s="51">
        <v>189.75</v>
      </c>
      <c r="J2314" s="281">
        <f>++Tabla4[[#This Row],[Precio Bruto]]*1.16</f>
        <v>220.10999999999999</v>
      </c>
      <c r="K2314" s="281">
        <f>+Tabla4[[#This Row],[Precio Unitario Neto]]*Tabla4[[#Headers],[20.85%]]</f>
        <v>45.892934999999994</v>
      </c>
      <c r="L2314" s="282">
        <f>++Tabla4[[#This Row],[Precio Unitario Neto]]-Tabla4[[#This Row],[20.85%]]</f>
        <v>174.21706499999999</v>
      </c>
      <c r="M2314" s="282" t="e">
        <f>(INDEX(Tabla6[#All],MATCH(Tabla4[[#This Row],[Producto]],Tabla6[[#All],[PRODUCTO]],0),MATCH(Tabla4[[#This Row],[Mes]],Tabla6[#Headers],0)))*(1+Catalogos!$L$2)</f>
        <v>#N/A</v>
      </c>
      <c r="N2314" s="283" t="e">
        <f>+(Tabla4[[#This Row],[Precio Descontado]]-Tabla4[[#This Row],[Precio Base]])*Tabla4[[#This Row],[Cantidad]]</f>
        <v>#N/A</v>
      </c>
      <c r="O2314" s="284" t="e">
        <f>++Tabla4[[#This Row],[Utilidad Total]]/Tabla4[[#This Row],[Total]]</f>
        <v>#N/A</v>
      </c>
      <c r="P2314" s="282">
        <f>++Tabla4[[#This Row],[Precio Descontado]]*Tabla4[[#This Row],[Cantidad]]</f>
        <v>174.21706499999999</v>
      </c>
      <c r="Q2314" s="282" t="e">
        <f>(INDEX(Tabla6[#All],MATCH(Tabla4[[#This Row],[Producto]],Tabla6[[#All],[PRODUCTO]],0),MATCH(Tabla4[[#This Row],[Mes]],Tabla6[#Headers],0)))</f>
        <v>#N/A</v>
      </c>
      <c r="R2314" s="282" t="e">
        <f>++Tabla4[[#This Row],[Precio Unitario Neto]]-Tabla4[[#This Row],[20.85%]]-Tabla4[[#This Row],[Costo]]</f>
        <v>#N/A</v>
      </c>
      <c r="S2314" s="282" t="e">
        <f>++Tabla4[[#This Row],[U. Bruta Uni]]*Tabla4[[#This Row],[Cantidad]]</f>
        <v>#N/A</v>
      </c>
      <c r="T2314" s="369" t="str">
        <f>VLOOKUP(Tabla4[[#This Row],[Producto]],Tabla6[#All],14,FALSE)</f>
        <v>Termico Solar</v>
      </c>
      <c r="U2314" s="284" t="e">
        <f>(IF(Tabla4[[#This Row],[Familia]]="termico solar",Tabla4[[#This Row],[Utilidad Total]]*6%,Tabla4[[#This Row],[Utilidad Total]]*11.5%))/Tabla4[[#This Row],[Total]]</f>
        <v>#N/A</v>
      </c>
      <c r="V2314" s="282" t="e">
        <f>+Tabla4[[#This Row],[Comisión Calculada]]*Tabla4[[#This Row],[Total]]</f>
        <v>#N/A</v>
      </c>
    </row>
    <row r="2315" spans="1:22" hidden="1" x14ac:dyDescent="0.25">
      <c r="A2315" s="100">
        <v>45777</v>
      </c>
      <c r="B2315" t="str">
        <f t="shared" si="118"/>
        <v>April</v>
      </c>
      <c r="C2315" s="46" t="s">
        <v>280</v>
      </c>
      <c r="F2315" s="366" t="s">
        <v>1590</v>
      </c>
      <c r="G2315" s="46" t="s">
        <v>83</v>
      </c>
      <c r="H2315" s="46">
        <v>2</v>
      </c>
      <c r="I2315" s="51">
        <v>8858.76</v>
      </c>
      <c r="J2315" s="281">
        <f>++Tabla4[[#This Row],[Precio Bruto]]*1.16</f>
        <v>10276.161599999999</v>
      </c>
      <c r="K2315" s="281">
        <f>+Tabla4[[#This Row],[Precio Unitario Neto]]*Tabla4[[#Headers],[20.85%]]</f>
        <v>2142.5796935999997</v>
      </c>
      <c r="L2315" s="282">
        <f>++Tabla4[[#This Row],[Precio Unitario Neto]]-Tabla4[[#This Row],[20.85%]]</f>
        <v>8133.5819063999998</v>
      </c>
      <c r="M2315" s="282" t="e">
        <f>(INDEX(Tabla6[#All],MATCH(Tabla4[[#This Row],[Producto]],Tabla6[[#All],[PRODUCTO]],0),MATCH(Tabla4[[#This Row],[Mes]],Tabla6[#Headers],0)))*(1+Catalogos!$L$2)</f>
        <v>#N/A</v>
      </c>
      <c r="N2315" s="283" t="e">
        <f>+(Tabla4[[#This Row],[Precio Descontado]]-Tabla4[[#This Row],[Precio Base]])*Tabla4[[#This Row],[Cantidad]]</f>
        <v>#N/A</v>
      </c>
      <c r="O2315" s="284" t="e">
        <f>++Tabla4[[#This Row],[Utilidad Total]]/Tabla4[[#This Row],[Total]]</f>
        <v>#N/A</v>
      </c>
      <c r="P2315" s="282">
        <f>++Tabla4[[#This Row],[Precio Descontado]]*Tabla4[[#This Row],[Cantidad]]</f>
        <v>16267.1638128</v>
      </c>
      <c r="Q2315" s="282" t="e">
        <f>(INDEX(Tabla6[#All],MATCH(Tabla4[[#This Row],[Producto]],Tabla6[[#All],[PRODUCTO]],0),MATCH(Tabla4[[#This Row],[Mes]],Tabla6[#Headers],0)))</f>
        <v>#N/A</v>
      </c>
      <c r="R2315" s="282" t="e">
        <f>++Tabla4[[#This Row],[Precio Unitario Neto]]-Tabla4[[#This Row],[20.85%]]-Tabla4[[#This Row],[Costo]]</f>
        <v>#N/A</v>
      </c>
      <c r="S2315" s="282" t="e">
        <f>++Tabla4[[#This Row],[U. Bruta Uni]]*Tabla4[[#This Row],[Cantidad]]</f>
        <v>#N/A</v>
      </c>
      <c r="T2315" s="369" t="str">
        <f>VLOOKUP(Tabla4[[#This Row],[Producto]],Tabla6[#All],14,FALSE)</f>
        <v>Termico Solar</v>
      </c>
      <c r="U2315" s="284" t="e">
        <f>(IF(Tabla4[[#This Row],[Familia]]="termico solar",Tabla4[[#This Row],[Utilidad Total]]*6%,Tabla4[[#This Row],[Utilidad Total]]*11.5%))/Tabla4[[#This Row],[Total]]</f>
        <v>#N/A</v>
      </c>
      <c r="V2315" s="282" t="e">
        <f>+Tabla4[[#This Row],[Comisión Calculada]]*Tabla4[[#This Row],[Total]]</f>
        <v>#N/A</v>
      </c>
    </row>
    <row r="2316" spans="1:22" hidden="1" x14ac:dyDescent="0.25">
      <c r="A2316" s="100">
        <v>45777</v>
      </c>
      <c r="B2316" t="str">
        <f t="shared" si="118"/>
        <v>April</v>
      </c>
      <c r="C2316" s="46" t="s">
        <v>280</v>
      </c>
      <c r="F2316" s="366" t="s">
        <v>1590</v>
      </c>
      <c r="G2316" s="46" t="s">
        <v>17</v>
      </c>
      <c r="H2316" s="46">
        <v>1</v>
      </c>
      <c r="I2316" s="51">
        <v>4622.28</v>
      </c>
      <c r="J2316" s="281">
        <f>++Tabla4[[#This Row],[Precio Bruto]]*1.16</f>
        <v>5361.8447999999989</v>
      </c>
      <c r="K2316" s="281">
        <f>+Tabla4[[#This Row],[Precio Unitario Neto]]*Tabla4[[#Headers],[20.85%]]</f>
        <v>1117.9446407999997</v>
      </c>
      <c r="L2316" s="282">
        <f>++Tabla4[[#This Row],[Precio Unitario Neto]]-Tabla4[[#This Row],[20.85%]]</f>
        <v>4243.9001591999995</v>
      </c>
      <c r="M2316" s="282" t="e">
        <f>(INDEX(Tabla6[#All],MATCH(Tabla4[[#This Row],[Producto]],Tabla6[[#All],[PRODUCTO]],0),MATCH(Tabla4[[#This Row],[Mes]],Tabla6[#Headers],0)))*(1+Catalogos!$L$2)</f>
        <v>#N/A</v>
      </c>
      <c r="N2316" s="283" t="e">
        <f>+(Tabla4[[#This Row],[Precio Descontado]]-Tabla4[[#This Row],[Precio Base]])*Tabla4[[#This Row],[Cantidad]]</f>
        <v>#N/A</v>
      </c>
      <c r="O2316" s="284" t="e">
        <f>++Tabla4[[#This Row],[Utilidad Total]]/Tabla4[[#This Row],[Total]]</f>
        <v>#N/A</v>
      </c>
      <c r="P2316" s="282">
        <f>++Tabla4[[#This Row],[Precio Descontado]]*Tabla4[[#This Row],[Cantidad]]</f>
        <v>4243.9001591999995</v>
      </c>
      <c r="Q2316" s="282" t="e">
        <f>(INDEX(Tabla6[#All],MATCH(Tabla4[[#This Row],[Producto]],Tabla6[[#All],[PRODUCTO]],0),MATCH(Tabla4[[#This Row],[Mes]],Tabla6[#Headers],0)))</f>
        <v>#N/A</v>
      </c>
      <c r="R2316" s="282" t="e">
        <f>++Tabla4[[#This Row],[Precio Unitario Neto]]-Tabla4[[#This Row],[20.85%]]-Tabla4[[#This Row],[Costo]]</f>
        <v>#N/A</v>
      </c>
      <c r="S2316" s="282" t="e">
        <f>++Tabla4[[#This Row],[U. Bruta Uni]]*Tabla4[[#This Row],[Cantidad]]</f>
        <v>#N/A</v>
      </c>
      <c r="T2316" s="369" t="str">
        <f>VLOOKUP(Tabla4[[#This Row],[Producto]],Tabla6[#All],14,FALSE)</f>
        <v>Termico Solar</v>
      </c>
      <c r="U2316" s="284" t="e">
        <f>(IF(Tabla4[[#This Row],[Familia]]="termico solar",Tabla4[[#This Row],[Utilidad Total]]*6%,Tabla4[[#This Row],[Utilidad Total]]*11.5%))/Tabla4[[#This Row],[Total]]</f>
        <v>#N/A</v>
      </c>
      <c r="V2316" s="282" t="e">
        <f>+Tabla4[[#This Row],[Comisión Calculada]]*Tabla4[[#This Row],[Total]]</f>
        <v>#N/A</v>
      </c>
    </row>
    <row r="2317" spans="1:22" hidden="1" x14ac:dyDescent="0.25">
      <c r="A2317" s="100">
        <v>45777</v>
      </c>
      <c r="B2317" t="str">
        <f t="shared" si="118"/>
        <v>April</v>
      </c>
      <c r="C2317" s="46" t="s">
        <v>280</v>
      </c>
      <c r="F2317" s="366" t="s">
        <v>1590</v>
      </c>
      <c r="G2317" s="46" t="s">
        <v>18</v>
      </c>
      <c r="H2317" s="46">
        <v>2</v>
      </c>
      <c r="I2317" s="51">
        <v>5367.65</v>
      </c>
      <c r="J2317" s="281">
        <f>++Tabla4[[#This Row],[Precio Bruto]]*1.16</f>
        <v>6226.4739999999993</v>
      </c>
      <c r="K2317" s="281">
        <f>+Tabla4[[#This Row],[Precio Unitario Neto]]*Tabla4[[#Headers],[20.85%]]</f>
        <v>1298.2198289999999</v>
      </c>
      <c r="L2317" s="282">
        <f>++Tabla4[[#This Row],[Precio Unitario Neto]]-Tabla4[[#This Row],[20.85%]]</f>
        <v>4928.2541709999996</v>
      </c>
      <c r="M2317" s="282" t="e">
        <f>(INDEX(Tabla6[#All],MATCH(Tabla4[[#This Row],[Producto]],Tabla6[[#All],[PRODUCTO]],0),MATCH(Tabla4[[#This Row],[Mes]],Tabla6[#Headers],0)))*(1+Catalogos!$L$2)</f>
        <v>#N/A</v>
      </c>
      <c r="N2317" s="283" t="e">
        <f>+(Tabla4[[#This Row],[Precio Descontado]]-Tabla4[[#This Row],[Precio Base]])*Tabla4[[#This Row],[Cantidad]]</f>
        <v>#N/A</v>
      </c>
      <c r="O2317" s="284" t="e">
        <f>++Tabla4[[#This Row],[Utilidad Total]]/Tabla4[[#This Row],[Total]]</f>
        <v>#N/A</v>
      </c>
      <c r="P2317" s="282">
        <f>++Tabla4[[#This Row],[Precio Descontado]]*Tabla4[[#This Row],[Cantidad]]</f>
        <v>9856.5083419999992</v>
      </c>
      <c r="Q2317" s="282" t="e">
        <f>(INDEX(Tabla6[#All],MATCH(Tabla4[[#This Row],[Producto]],Tabla6[[#All],[PRODUCTO]],0),MATCH(Tabla4[[#This Row],[Mes]],Tabla6[#Headers],0)))</f>
        <v>#N/A</v>
      </c>
      <c r="R2317" s="282" t="e">
        <f>++Tabla4[[#This Row],[Precio Unitario Neto]]-Tabla4[[#This Row],[20.85%]]-Tabla4[[#This Row],[Costo]]</f>
        <v>#N/A</v>
      </c>
      <c r="S2317" s="282" t="e">
        <f>++Tabla4[[#This Row],[U. Bruta Uni]]*Tabla4[[#This Row],[Cantidad]]</f>
        <v>#N/A</v>
      </c>
      <c r="T2317" s="369" t="str">
        <f>VLOOKUP(Tabla4[[#This Row],[Producto]],Tabla6[#All],14,FALSE)</f>
        <v>Termico Solar</v>
      </c>
      <c r="U2317" s="284" t="e">
        <f>(IF(Tabla4[[#This Row],[Familia]]="termico solar",Tabla4[[#This Row],[Utilidad Total]]*6%,Tabla4[[#This Row],[Utilidad Total]]*11.5%))/Tabla4[[#This Row],[Total]]</f>
        <v>#N/A</v>
      </c>
      <c r="V2317" s="282" t="e">
        <f>+Tabla4[[#This Row],[Comisión Calculada]]*Tabla4[[#This Row],[Total]]</f>
        <v>#N/A</v>
      </c>
    </row>
    <row r="2318" spans="1:22" hidden="1" x14ac:dyDescent="0.25">
      <c r="A2318" s="100">
        <v>45777</v>
      </c>
      <c r="B2318" t="str">
        <f t="shared" si="118"/>
        <v>April</v>
      </c>
      <c r="C2318" s="46" t="s">
        <v>280</v>
      </c>
      <c r="F2318" s="366" t="s">
        <v>1590</v>
      </c>
      <c r="G2318" s="46" t="s">
        <v>16</v>
      </c>
      <c r="H2318" s="46">
        <v>2</v>
      </c>
      <c r="I2318" s="51">
        <v>4103.8500000000004</v>
      </c>
      <c r="J2318" s="281">
        <f>++Tabla4[[#This Row],[Precio Bruto]]*1.16</f>
        <v>4760.4660000000003</v>
      </c>
      <c r="K2318" s="281">
        <f>+Tabla4[[#This Row],[Precio Unitario Neto]]*Tabla4[[#Headers],[20.85%]]</f>
        <v>992.55716100000006</v>
      </c>
      <c r="L2318" s="282">
        <f>++Tabla4[[#This Row],[Precio Unitario Neto]]-Tabla4[[#This Row],[20.85%]]</f>
        <v>3767.9088390000002</v>
      </c>
      <c r="M2318" s="282" t="e">
        <f>(INDEX(Tabla6[#All],MATCH(Tabla4[[#This Row],[Producto]],Tabla6[[#All],[PRODUCTO]],0),MATCH(Tabla4[[#This Row],[Mes]],Tabla6[#Headers],0)))*(1+Catalogos!$L$2)</f>
        <v>#N/A</v>
      </c>
      <c r="N2318" s="283" t="e">
        <f>+(Tabla4[[#This Row],[Precio Descontado]]-Tabla4[[#This Row],[Precio Base]])*Tabla4[[#This Row],[Cantidad]]</f>
        <v>#N/A</v>
      </c>
      <c r="O2318" s="284" t="e">
        <f>++Tabla4[[#This Row],[Utilidad Total]]/Tabla4[[#This Row],[Total]]</f>
        <v>#N/A</v>
      </c>
      <c r="P2318" s="282">
        <f>++Tabla4[[#This Row],[Precio Descontado]]*Tabla4[[#This Row],[Cantidad]]</f>
        <v>7535.8176780000003</v>
      </c>
      <c r="Q2318" s="282" t="e">
        <f>(INDEX(Tabla6[#All],MATCH(Tabla4[[#This Row],[Producto]],Tabla6[[#All],[PRODUCTO]],0),MATCH(Tabla4[[#This Row],[Mes]],Tabla6[#Headers],0)))</f>
        <v>#N/A</v>
      </c>
      <c r="R2318" s="282" t="e">
        <f>++Tabla4[[#This Row],[Precio Unitario Neto]]-Tabla4[[#This Row],[20.85%]]-Tabla4[[#This Row],[Costo]]</f>
        <v>#N/A</v>
      </c>
      <c r="S2318" s="282" t="e">
        <f>++Tabla4[[#This Row],[U. Bruta Uni]]*Tabla4[[#This Row],[Cantidad]]</f>
        <v>#N/A</v>
      </c>
      <c r="T2318" s="369" t="str">
        <f>VLOOKUP(Tabla4[[#This Row],[Producto]],Tabla6[#All],14,FALSE)</f>
        <v>Termico Solar</v>
      </c>
      <c r="U2318" s="284" t="e">
        <f>(IF(Tabla4[[#This Row],[Familia]]="termico solar",Tabla4[[#This Row],[Utilidad Total]]*6%,Tabla4[[#This Row],[Utilidad Total]]*11.5%))/Tabla4[[#This Row],[Total]]</f>
        <v>#N/A</v>
      </c>
      <c r="V2318" s="282" t="e">
        <f>+Tabla4[[#This Row],[Comisión Calculada]]*Tabla4[[#This Row],[Total]]</f>
        <v>#N/A</v>
      </c>
    </row>
    <row r="2319" spans="1:22" hidden="1" x14ac:dyDescent="0.25">
      <c r="A2319" s="100">
        <v>45777</v>
      </c>
      <c r="B2319" t="str">
        <f t="shared" si="118"/>
        <v>April</v>
      </c>
      <c r="C2319" s="46" t="s">
        <v>280</v>
      </c>
      <c r="F2319" s="366" t="s">
        <v>1590</v>
      </c>
      <c r="G2319" s="46" t="s">
        <v>208</v>
      </c>
      <c r="H2319" s="46">
        <v>3</v>
      </c>
      <c r="I2319" s="51">
        <v>189.75</v>
      </c>
      <c r="J2319" s="281">
        <f>++Tabla4[[#This Row],[Precio Bruto]]*1.16</f>
        <v>220.10999999999999</v>
      </c>
      <c r="K2319" s="281">
        <f>+Tabla4[[#This Row],[Precio Unitario Neto]]*Tabla4[[#Headers],[20.85%]]</f>
        <v>45.892934999999994</v>
      </c>
      <c r="L2319" s="282">
        <f>++Tabla4[[#This Row],[Precio Unitario Neto]]-Tabla4[[#This Row],[20.85%]]</f>
        <v>174.21706499999999</v>
      </c>
      <c r="M2319" s="282" t="e">
        <f>(INDEX(Tabla6[#All],MATCH(Tabla4[[#This Row],[Producto]],Tabla6[[#All],[PRODUCTO]],0),MATCH(Tabla4[[#This Row],[Mes]],Tabla6[#Headers],0)))*(1+Catalogos!$L$2)</f>
        <v>#N/A</v>
      </c>
      <c r="N2319" s="283" t="e">
        <f>+(Tabla4[[#This Row],[Precio Descontado]]-Tabla4[[#This Row],[Precio Base]])*Tabla4[[#This Row],[Cantidad]]</f>
        <v>#N/A</v>
      </c>
      <c r="O2319" s="284" t="e">
        <f>++Tabla4[[#This Row],[Utilidad Total]]/Tabla4[[#This Row],[Total]]</f>
        <v>#N/A</v>
      </c>
      <c r="P2319" s="282">
        <f>++Tabla4[[#This Row],[Precio Descontado]]*Tabla4[[#This Row],[Cantidad]]</f>
        <v>522.65119499999992</v>
      </c>
      <c r="Q2319" s="282" t="e">
        <f>(INDEX(Tabla6[#All],MATCH(Tabla4[[#This Row],[Producto]],Tabla6[[#All],[PRODUCTO]],0),MATCH(Tabla4[[#This Row],[Mes]],Tabla6[#Headers],0)))</f>
        <v>#N/A</v>
      </c>
      <c r="R2319" s="282" t="e">
        <f>++Tabla4[[#This Row],[Precio Unitario Neto]]-Tabla4[[#This Row],[20.85%]]-Tabla4[[#This Row],[Costo]]</f>
        <v>#N/A</v>
      </c>
      <c r="S2319" s="282" t="e">
        <f>++Tabla4[[#This Row],[U. Bruta Uni]]*Tabla4[[#This Row],[Cantidad]]</f>
        <v>#N/A</v>
      </c>
      <c r="T2319" s="369" t="str">
        <f>VLOOKUP(Tabla4[[#This Row],[Producto]],Tabla6[#All],14,FALSE)</f>
        <v>Termico Solar</v>
      </c>
      <c r="U2319" s="284" t="e">
        <f>(IF(Tabla4[[#This Row],[Familia]]="termico solar",Tabla4[[#This Row],[Utilidad Total]]*6%,Tabla4[[#This Row],[Utilidad Total]]*11.5%))/Tabla4[[#This Row],[Total]]</f>
        <v>#N/A</v>
      </c>
      <c r="V2319" s="282" t="e">
        <f>+Tabla4[[#This Row],[Comisión Calculada]]*Tabla4[[#This Row],[Total]]</f>
        <v>#N/A</v>
      </c>
    </row>
    <row r="2320" spans="1:22" hidden="1" x14ac:dyDescent="0.25">
      <c r="A2320" s="100">
        <v>45777</v>
      </c>
      <c r="B2320" t="str">
        <f t="shared" si="118"/>
        <v>April</v>
      </c>
      <c r="C2320" s="46" t="s">
        <v>280</v>
      </c>
      <c r="F2320" s="366" t="s">
        <v>1591</v>
      </c>
      <c r="G2320" s="46" t="s">
        <v>83</v>
      </c>
      <c r="H2320" s="46">
        <v>6</v>
      </c>
      <c r="I2320" s="51">
        <v>8858.76</v>
      </c>
      <c r="J2320" s="281">
        <f>++Tabla4[[#This Row],[Precio Bruto]]*1.16</f>
        <v>10276.161599999999</v>
      </c>
      <c r="K2320" s="281">
        <f>+Tabla4[[#This Row],[Precio Unitario Neto]]*Tabla4[[#Headers],[20.85%]]</f>
        <v>2142.5796935999997</v>
      </c>
      <c r="L2320" s="282">
        <f>++Tabla4[[#This Row],[Precio Unitario Neto]]-Tabla4[[#This Row],[20.85%]]</f>
        <v>8133.5819063999998</v>
      </c>
      <c r="M2320" s="282" t="e">
        <f>(INDEX(Tabla6[#All],MATCH(Tabla4[[#This Row],[Producto]],Tabla6[[#All],[PRODUCTO]],0),MATCH(Tabla4[[#This Row],[Mes]],Tabla6[#Headers],0)))*(1+Catalogos!$L$2)</f>
        <v>#N/A</v>
      </c>
      <c r="N2320" s="283" t="e">
        <f>+(Tabla4[[#This Row],[Precio Descontado]]-Tabla4[[#This Row],[Precio Base]])*Tabla4[[#This Row],[Cantidad]]</f>
        <v>#N/A</v>
      </c>
      <c r="O2320" s="284" t="e">
        <f>++Tabla4[[#This Row],[Utilidad Total]]/Tabla4[[#This Row],[Total]]</f>
        <v>#N/A</v>
      </c>
      <c r="P2320" s="282">
        <f>++Tabla4[[#This Row],[Precio Descontado]]*Tabla4[[#This Row],[Cantidad]]</f>
        <v>48801.4914384</v>
      </c>
      <c r="Q2320" s="282" t="e">
        <f>(INDEX(Tabla6[#All],MATCH(Tabla4[[#This Row],[Producto]],Tabla6[[#All],[PRODUCTO]],0),MATCH(Tabla4[[#This Row],[Mes]],Tabla6[#Headers],0)))</f>
        <v>#N/A</v>
      </c>
      <c r="R2320" s="282" t="e">
        <f>++Tabla4[[#This Row],[Precio Unitario Neto]]-Tabla4[[#This Row],[20.85%]]-Tabla4[[#This Row],[Costo]]</f>
        <v>#N/A</v>
      </c>
      <c r="S2320" s="282" t="e">
        <f>++Tabla4[[#This Row],[U. Bruta Uni]]*Tabla4[[#This Row],[Cantidad]]</f>
        <v>#N/A</v>
      </c>
      <c r="T2320" s="369" t="str">
        <f>VLOOKUP(Tabla4[[#This Row],[Producto]],Tabla6[#All],14,FALSE)</f>
        <v>Termico Solar</v>
      </c>
      <c r="U2320" s="284" t="e">
        <f>(IF(Tabla4[[#This Row],[Familia]]="termico solar",Tabla4[[#This Row],[Utilidad Total]]*6%,Tabla4[[#This Row],[Utilidad Total]]*11.5%))/Tabla4[[#This Row],[Total]]</f>
        <v>#N/A</v>
      </c>
      <c r="V2320" s="282" t="e">
        <f>+Tabla4[[#This Row],[Comisión Calculada]]*Tabla4[[#This Row],[Total]]</f>
        <v>#N/A</v>
      </c>
    </row>
    <row r="2321" spans="1:22" ht="15.75" hidden="1" customHeight="1" x14ac:dyDescent="0.25">
      <c r="A2321" s="100">
        <v>45777</v>
      </c>
      <c r="B2321" t="str">
        <f t="shared" si="118"/>
        <v>April</v>
      </c>
      <c r="C2321" s="46" t="s">
        <v>280</v>
      </c>
      <c r="F2321" s="366" t="s">
        <v>1591</v>
      </c>
      <c r="G2321" s="46" t="s">
        <v>17</v>
      </c>
      <c r="H2321" s="46">
        <v>1</v>
      </c>
      <c r="I2321" s="51">
        <v>4622.28</v>
      </c>
      <c r="J2321" s="281">
        <f>++Tabla4[[#This Row],[Precio Bruto]]*1.16</f>
        <v>5361.8447999999989</v>
      </c>
      <c r="K2321" s="281">
        <f>+Tabla4[[#This Row],[Precio Unitario Neto]]*Tabla4[[#Headers],[20.85%]]</f>
        <v>1117.9446407999997</v>
      </c>
      <c r="L2321" s="282">
        <f>++Tabla4[[#This Row],[Precio Unitario Neto]]-Tabla4[[#This Row],[20.85%]]</f>
        <v>4243.9001591999995</v>
      </c>
      <c r="M2321" s="282" t="e">
        <f>(INDEX(Tabla6[#All],MATCH(Tabla4[[#This Row],[Producto]],Tabla6[[#All],[PRODUCTO]],0),MATCH(Tabla4[[#This Row],[Mes]],Tabla6[#Headers],0)))*(1+Catalogos!$L$2)</f>
        <v>#N/A</v>
      </c>
      <c r="N2321" s="283" t="e">
        <f>+(Tabla4[[#This Row],[Precio Descontado]]-Tabla4[[#This Row],[Precio Base]])*Tabla4[[#This Row],[Cantidad]]</f>
        <v>#N/A</v>
      </c>
      <c r="O2321" s="284" t="e">
        <f>++Tabla4[[#This Row],[Utilidad Total]]/Tabla4[[#This Row],[Total]]</f>
        <v>#N/A</v>
      </c>
      <c r="P2321" s="282">
        <f>++Tabla4[[#This Row],[Precio Descontado]]*Tabla4[[#This Row],[Cantidad]]</f>
        <v>4243.9001591999995</v>
      </c>
      <c r="Q2321" s="282" t="e">
        <f>(INDEX(Tabla6[#All],MATCH(Tabla4[[#This Row],[Producto]],Tabla6[[#All],[PRODUCTO]],0),MATCH(Tabla4[[#This Row],[Mes]],Tabla6[#Headers],0)))</f>
        <v>#N/A</v>
      </c>
      <c r="R2321" s="282" t="e">
        <f>++Tabla4[[#This Row],[Precio Unitario Neto]]-Tabla4[[#This Row],[20.85%]]-Tabla4[[#This Row],[Costo]]</f>
        <v>#N/A</v>
      </c>
      <c r="S2321" s="282" t="e">
        <f>++Tabla4[[#This Row],[U. Bruta Uni]]*Tabla4[[#This Row],[Cantidad]]</f>
        <v>#N/A</v>
      </c>
      <c r="T2321" s="369" t="str">
        <f>VLOOKUP(Tabla4[[#This Row],[Producto]],Tabla6[#All],14,FALSE)</f>
        <v>Termico Solar</v>
      </c>
      <c r="U2321" s="284" t="e">
        <f>(IF(Tabla4[[#This Row],[Familia]]="termico solar",Tabla4[[#This Row],[Utilidad Total]]*6%,Tabla4[[#This Row],[Utilidad Total]]*11.5%))/Tabla4[[#This Row],[Total]]</f>
        <v>#N/A</v>
      </c>
      <c r="V2321" s="282" t="e">
        <f>+Tabla4[[#This Row],[Comisión Calculada]]*Tabla4[[#This Row],[Total]]</f>
        <v>#N/A</v>
      </c>
    </row>
    <row r="2322" spans="1:22" hidden="1" x14ac:dyDescent="0.25">
      <c r="A2322" s="100">
        <v>45777</v>
      </c>
      <c r="B2322" t="str">
        <f t="shared" si="118"/>
        <v>April</v>
      </c>
      <c r="C2322" s="46" t="s">
        <v>280</v>
      </c>
      <c r="F2322" s="366" t="s">
        <v>1591</v>
      </c>
      <c r="G2322" s="46" t="s">
        <v>18</v>
      </c>
      <c r="H2322" s="46">
        <v>3</v>
      </c>
      <c r="I2322" s="51">
        <v>5367.6500000000005</v>
      </c>
      <c r="J2322" s="281">
        <f>++Tabla4[[#This Row],[Precio Bruto]]*1.16</f>
        <v>6226.4740000000002</v>
      </c>
      <c r="K2322" s="281">
        <f>+Tabla4[[#This Row],[Precio Unitario Neto]]*Tabla4[[#Headers],[20.85%]]</f>
        <v>1298.2198289999999</v>
      </c>
      <c r="L2322" s="282">
        <f>++Tabla4[[#This Row],[Precio Unitario Neto]]-Tabla4[[#This Row],[20.85%]]</f>
        <v>4928.2541710000005</v>
      </c>
      <c r="M2322" s="282" t="e">
        <f>(INDEX(Tabla6[#All],MATCH(Tabla4[[#This Row],[Producto]],Tabla6[[#All],[PRODUCTO]],0),MATCH(Tabla4[[#This Row],[Mes]],Tabla6[#Headers],0)))*(1+Catalogos!$L$2)</f>
        <v>#N/A</v>
      </c>
      <c r="N2322" s="283" t="e">
        <f>+(Tabla4[[#This Row],[Precio Descontado]]-Tabla4[[#This Row],[Precio Base]])*Tabla4[[#This Row],[Cantidad]]</f>
        <v>#N/A</v>
      </c>
      <c r="O2322" s="284" t="e">
        <f>++Tabla4[[#This Row],[Utilidad Total]]/Tabla4[[#This Row],[Total]]</f>
        <v>#N/A</v>
      </c>
      <c r="P2322" s="282">
        <f>++Tabla4[[#This Row],[Precio Descontado]]*Tabla4[[#This Row],[Cantidad]]</f>
        <v>14784.762513000001</v>
      </c>
      <c r="Q2322" s="282" t="e">
        <f>(INDEX(Tabla6[#All],MATCH(Tabla4[[#This Row],[Producto]],Tabla6[[#All],[PRODUCTO]],0),MATCH(Tabla4[[#This Row],[Mes]],Tabla6[#Headers],0)))</f>
        <v>#N/A</v>
      </c>
      <c r="R2322" s="282" t="e">
        <f>++Tabla4[[#This Row],[Precio Unitario Neto]]-Tabla4[[#This Row],[20.85%]]-Tabla4[[#This Row],[Costo]]</f>
        <v>#N/A</v>
      </c>
      <c r="S2322" s="282" t="e">
        <f>++Tabla4[[#This Row],[U. Bruta Uni]]*Tabla4[[#This Row],[Cantidad]]</f>
        <v>#N/A</v>
      </c>
      <c r="T2322" s="369" t="str">
        <f>VLOOKUP(Tabla4[[#This Row],[Producto]],Tabla6[#All],14,FALSE)</f>
        <v>Termico Solar</v>
      </c>
      <c r="U2322" s="284" t="e">
        <f>(IF(Tabla4[[#This Row],[Familia]]="termico solar",Tabla4[[#This Row],[Utilidad Total]]*6%,Tabla4[[#This Row],[Utilidad Total]]*11.5%))/Tabla4[[#This Row],[Total]]</f>
        <v>#N/A</v>
      </c>
      <c r="V2322" s="282" t="e">
        <f>+Tabla4[[#This Row],[Comisión Calculada]]*Tabla4[[#This Row],[Total]]</f>
        <v>#N/A</v>
      </c>
    </row>
    <row r="2323" spans="1:22" hidden="1" x14ac:dyDescent="0.25">
      <c r="A2323" s="100">
        <v>45777</v>
      </c>
      <c r="B2323" t="str">
        <f t="shared" si="118"/>
        <v>April</v>
      </c>
      <c r="C2323" s="46" t="s">
        <v>280</v>
      </c>
      <c r="F2323" s="366" t="s">
        <v>1591</v>
      </c>
      <c r="G2323" s="46" t="s">
        <v>208</v>
      </c>
      <c r="H2323" s="46">
        <v>1</v>
      </c>
      <c r="I2323" s="51">
        <v>189.75</v>
      </c>
      <c r="J2323" s="281">
        <f>++Tabla4[[#This Row],[Precio Bruto]]*1.16</f>
        <v>220.10999999999999</v>
      </c>
      <c r="K2323" s="281">
        <f>+Tabla4[[#This Row],[Precio Unitario Neto]]*Tabla4[[#Headers],[20.85%]]</f>
        <v>45.892934999999994</v>
      </c>
      <c r="L2323" s="282">
        <f>++Tabla4[[#This Row],[Precio Unitario Neto]]-Tabla4[[#This Row],[20.85%]]</f>
        <v>174.21706499999999</v>
      </c>
      <c r="M2323" s="282" t="e">
        <f>(INDEX(Tabla6[#All],MATCH(Tabla4[[#This Row],[Producto]],Tabla6[[#All],[PRODUCTO]],0),MATCH(Tabla4[[#This Row],[Mes]],Tabla6[#Headers],0)))*(1+Catalogos!$L$2)</f>
        <v>#N/A</v>
      </c>
      <c r="N2323" s="283" t="e">
        <f>+(Tabla4[[#This Row],[Precio Descontado]]-Tabla4[[#This Row],[Precio Base]])*Tabla4[[#This Row],[Cantidad]]</f>
        <v>#N/A</v>
      </c>
      <c r="O2323" s="284" t="e">
        <f>++Tabla4[[#This Row],[Utilidad Total]]/Tabla4[[#This Row],[Total]]</f>
        <v>#N/A</v>
      </c>
      <c r="P2323" s="282">
        <f>++Tabla4[[#This Row],[Precio Descontado]]*Tabla4[[#This Row],[Cantidad]]</f>
        <v>174.21706499999999</v>
      </c>
      <c r="Q2323" s="282" t="e">
        <f>(INDEX(Tabla6[#All],MATCH(Tabla4[[#This Row],[Producto]],Tabla6[[#All],[PRODUCTO]],0),MATCH(Tabla4[[#This Row],[Mes]],Tabla6[#Headers],0)))</f>
        <v>#N/A</v>
      </c>
      <c r="R2323" s="282" t="e">
        <f>++Tabla4[[#This Row],[Precio Unitario Neto]]-Tabla4[[#This Row],[20.85%]]-Tabla4[[#This Row],[Costo]]</f>
        <v>#N/A</v>
      </c>
      <c r="S2323" s="282" t="e">
        <f>++Tabla4[[#This Row],[U. Bruta Uni]]*Tabla4[[#This Row],[Cantidad]]</f>
        <v>#N/A</v>
      </c>
      <c r="T2323" s="369" t="str">
        <f>VLOOKUP(Tabla4[[#This Row],[Producto]],Tabla6[#All],14,FALSE)</f>
        <v>Termico Solar</v>
      </c>
      <c r="U2323" s="284" t="e">
        <f>(IF(Tabla4[[#This Row],[Familia]]="termico solar",Tabla4[[#This Row],[Utilidad Total]]*6%,Tabla4[[#This Row],[Utilidad Total]]*11.5%))/Tabla4[[#This Row],[Total]]</f>
        <v>#N/A</v>
      </c>
      <c r="V2323" s="282" t="e">
        <f>+Tabla4[[#This Row],[Comisión Calculada]]*Tabla4[[#This Row],[Total]]</f>
        <v>#N/A</v>
      </c>
    </row>
    <row r="2324" spans="1:22" hidden="1" x14ac:dyDescent="0.25">
      <c r="A2324" s="100">
        <v>45777</v>
      </c>
      <c r="B2324" t="str">
        <f t="shared" si="118"/>
        <v>April</v>
      </c>
      <c r="C2324" s="46" t="s">
        <v>280</v>
      </c>
      <c r="F2324" s="366" t="s">
        <v>1592</v>
      </c>
      <c r="G2324" s="46" t="s">
        <v>83</v>
      </c>
      <c r="H2324" s="46">
        <v>5</v>
      </c>
      <c r="I2324" s="51">
        <v>8858.76</v>
      </c>
      <c r="J2324" s="281">
        <f>++Tabla4[[#This Row],[Precio Bruto]]*1.16</f>
        <v>10276.161599999999</v>
      </c>
      <c r="K2324" s="281">
        <f>+Tabla4[[#This Row],[Precio Unitario Neto]]*Tabla4[[#Headers],[20.85%]]</f>
        <v>2142.5796935999997</v>
      </c>
      <c r="L2324" s="282">
        <f>++Tabla4[[#This Row],[Precio Unitario Neto]]-Tabla4[[#This Row],[20.85%]]</f>
        <v>8133.5819063999998</v>
      </c>
      <c r="M2324" s="282" t="e">
        <f>(INDEX(Tabla6[#All],MATCH(Tabla4[[#This Row],[Producto]],Tabla6[[#All],[PRODUCTO]],0),MATCH(Tabla4[[#This Row],[Mes]],Tabla6[#Headers],0)))*(1+Catalogos!$L$2)</f>
        <v>#N/A</v>
      </c>
      <c r="N2324" s="283" t="e">
        <f>+(Tabla4[[#This Row],[Precio Descontado]]-Tabla4[[#This Row],[Precio Base]])*Tabla4[[#This Row],[Cantidad]]</f>
        <v>#N/A</v>
      </c>
      <c r="O2324" s="284" t="e">
        <f>++Tabla4[[#This Row],[Utilidad Total]]/Tabla4[[#This Row],[Total]]</f>
        <v>#N/A</v>
      </c>
      <c r="P2324" s="282">
        <f>++Tabla4[[#This Row],[Precio Descontado]]*Tabla4[[#This Row],[Cantidad]]</f>
        <v>40667.909531999998</v>
      </c>
      <c r="Q2324" s="282" t="e">
        <f>(INDEX(Tabla6[#All],MATCH(Tabla4[[#This Row],[Producto]],Tabla6[[#All],[PRODUCTO]],0),MATCH(Tabla4[[#This Row],[Mes]],Tabla6[#Headers],0)))</f>
        <v>#N/A</v>
      </c>
      <c r="R2324" s="282" t="e">
        <f>++Tabla4[[#This Row],[Precio Unitario Neto]]-Tabla4[[#This Row],[20.85%]]-Tabla4[[#This Row],[Costo]]</f>
        <v>#N/A</v>
      </c>
      <c r="S2324" s="282" t="e">
        <f>++Tabla4[[#This Row],[U. Bruta Uni]]*Tabla4[[#This Row],[Cantidad]]</f>
        <v>#N/A</v>
      </c>
      <c r="T2324" s="369" t="str">
        <f>VLOOKUP(Tabla4[[#This Row],[Producto]],Tabla6[#All],14,FALSE)</f>
        <v>Termico Solar</v>
      </c>
      <c r="U2324" s="284" t="e">
        <f>(IF(Tabla4[[#This Row],[Familia]]="termico solar",Tabla4[[#This Row],[Utilidad Total]]*6%,Tabla4[[#This Row],[Utilidad Total]]*11.5%))/Tabla4[[#This Row],[Total]]</f>
        <v>#N/A</v>
      </c>
      <c r="V2324" s="282" t="e">
        <f>+Tabla4[[#This Row],[Comisión Calculada]]*Tabla4[[#This Row],[Total]]</f>
        <v>#N/A</v>
      </c>
    </row>
    <row r="2325" spans="1:22" hidden="1" x14ac:dyDescent="0.25">
      <c r="A2325" s="100">
        <v>45777</v>
      </c>
      <c r="B2325" t="str">
        <f t="shared" si="118"/>
        <v>April</v>
      </c>
      <c r="C2325" s="46" t="s">
        <v>280</v>
      </c>
      <c r="F2325" s="366" t="s">
        <v>1592</v>
      </c>
      <c r="G2325" s="46" t="s">
        <v>566</v>
      </c>
      <c r="H2325" s="46">
        <v>1</v>
      </c>
      <c r="I2325" s="51">
        <v>2109.4499999999998</v>
      </c>
      <c r="J2325" s="281">
        <f>++Tabla4[[#This Row],[Precio Bruto]]*1.16</f>
        <v>2446.9619999999995</v>
      </c>
      <c r="K2325" s="281">
        <f>+Tabla4[[#This Row],[Precio Unitario Neto]]*Tabla4[[#Headers],[20.85%]]</f>
        <v>510.19157699999988</v>
      </c>
      <c r="L2325" s="282">
        <f>++Tabla4[[#This Row],[Precio Unitario Neto]]-Tabla4[[#This Row],[20.85%]]</f>
        <v>1936.7704229999997</v>
      </c>
      <c r="M2325" s="282" t="e">
        <f>(INDEX(Tabla6[#All],MATCH(Tabla4[[#This Row],[Producto]],Tabla6[[#All],[PRODUCTO]],0),MATCH(Tabla4[[#This Row],[Mes]],Tabla6[#Headers],0)))*(1+Catalogos!$L$2)</f>
        <v>#N/A</v>
      </c>
      <c r="N2325" s="283" t="e">
        <f>+(Tabla4[[#This Row],[Precio Descontado]]-Tabla4[[#This Row],[Precio Base]])*Tabla4[[#This Row],[Cantidad]]</f>
        <v>#N/A</v>
      </c>
      <c r="O2325" s="284" t="e">
        <f>++Tabla4[[#This Row],[Utilidad Total]]/Tabla4[[#This Row],[Total]]</f>
        <v>#N/A</v>
      </c>
      <c r="P2325" s="282">
        <f>++Tabla4[[#This Row],[Precio Descontado]]*Tabla4[[#This Row],[Cantidad]]</f>
        <v>1936.7704229999997</v>
      </c>
      <c r="Q2325" s="282" t="e">
        <f>(INDEX(Tabla6[#All],MATCH(Tabla4[[#This Row],[Producto]],Tabla6[[#All],[PRODUCTO]],0),MATCH(Tabla4[[#This Row],[Mes]],Tabla6[#Headers],0)))</f>
        <v>#N/A</v>
      </c>
      <c r="R2325" s="282" t="e">
        <f>++Tabla4[[#This Row],[Precio Unitario Neto]]-Tabla4[[#This Row],[20.85%]]-Tabla4[[#This Row],[Costo]]</f>
        <v>#N/A</v>
      </c>
      <c r="S2325" s="282" t="e">
        <f>++Tabla4[[#This Row],[U. Bruta Uni]]*Tabla4[[#This Row],[Cantidad]]</f>
        <v>#N/A</v>
      </c>
      <c r="T2325" s="369" t="str">
        <f>VLOOKUP(Tabla4[[#This Row],[Producto]],Tabla6[#All],14,FALSE)</f>
        <v>Termico Solar</v>
      </c>
      <c r="U2325" s="284" t="e">
        <f>(IF(Tabla4[[#This Row],[Familia]]="termico solar",Tabla4[[#This Row],[Utilidad Total]]*6%,Tabla4[[#This Row],[Utilidad Total]]*11.5%))/Tabla4[[#This Row],[Total]]</f>
        <v>#N/A</v>
      </c>
      <c r="V2325" s="282" t="e">
        <f>+Tabla4[[#This Row],[Comisión Calculada]]*Tabla4[[#This Row],[Total]]</f>
        <v>#N/A</v>
      </c>
    </row>
    <row r="2326" spans="1:22" hidden="1" x14ac:dyDescent="0.25">
      <c r="A2326" s="100">
        <v>45777</v>
      </c>
      <c r="B2326" t="str">
        <f t="shared" si="118"/>
        <v>April</v>
      </c>
      <c r="C2326" s="46" t="s">
        <v>280</v>
      </c>
      <c r="F2326" s="366" t="s">
        <v>1593</v>
      </c>
      <c r="G2326" s="46" t="s">
        <v>83</v>
      </c>
      <c r="H2326" s="46">
        <v>2</v>
      </c>
      <c r="I2326" s="51">
        <v>8858.76</v>
      </c>
      <c r="J2326" s="281">
        <f>++Tabla4[[#This Row],[Precio Bruto]]*1.16</f>
        <v>10276.161599999999</v>
      </c>
      <c r="K2326" s="281">
        <f>+Tabla4[[#This Row],[Precio Unitario Neto]]*Tabla4[[#Headers],[20.85%]]</f>
        <v>2142.5796935999997</v>
      </c>
      <c r="L2326" s="282">
        <f>++Tabla4[[#This Row],[Precio Unitario Neto]]-Tabla4[[#This Row],[20.85%]]</f>
        <v>8133.5819063999998</v>
      </c>
      <c r="M2326" s="282" t="e">
        <f>(INDEX(Tabla6[#All],MATCH(Tabla4[[#This Row],[Producto]],Tabla6[[#All],[PRODUCTO]],0),MATCH(Tabla4[[#This Row],[Mes]],Tabla6[#Headers],0)))*(1+Catalogos!$L$2)</f>
        <v>#N/A</v>
      </c>
      <c r="N2326" s="283" t="e">
        <f>+(Tabla4[[#This Row],[Precio Descontado]]-Tabla4[[#This Row],[Precio Base]])*Tabla4[[#This Row],[Cantidad]]</f>
        <v>#N/A</v>
      </c>
      <c r="O2326" s="284" t="e">
        <f>++Tabla4[[#This Row],[Utilidad Total]]/Tabla4[[#This Row],[Total]]</f>
        <v>#N/A</v>
      </c>
      <c r="P2326" s="282">
        <f>++Tabla4[[#This Row],[Precio Descontado]]*Tabla4[[#This Row],[Cantidad]]</f>
        <v>16267.1638128</v>
      </c>
      <c r="Q2326" s="282" t="e">
        <f>(INDEX(Tabla6[#All],MATCH(Tabla4[[#This Row],[Producto]],Tabla6[[#All],[PRODUCTO]],0),MATCH(Tabla4[[#This Row],[Mes]],Tabla6[#Headers],0)))</f>
        <v>#N/A</v>
      </c>
      <c r="R2326" s="282" t="e">
        <f>++Tabla4[[#This Row],[Precio Unitario Neto]]-Tabla4[[#This Row],[20.85%]]-Tabla4[[#This Row],[Costo]]</f>
        <v>#N/A</v>
      </c>
      <c r="S2326" s="282" t="e">
        <f>++Tabla4[[#This Row],[U. Bruta Uni]]*Tabla4[[#This Row],[Cantidad]]</f>
        <v>#N/A</v>
      </c>
      <c r="T2326" s="369" t="str">
        <f>VLOOKUP(Tabla4[[#This Row],[Producto]],Tabla6[#All],14,FALSE)</f>
        <v>Termico Solar</v>
      </c>
      <c r="U2326" s="284" t="e">
        <f>(IF(Tabla4[[#This Row],[Familia]]="termico solar",Tabla4[[#This Row],[Utilidad Total]]*6%,Tabla4[[#This Row],[Utilidad Total]]*11.5%))/Tabla4[[#This Row],[Total]]</f>
        <v>#N/A</v>
      </c>
      <c r="V2326" s="282" t="e">
        <f>+Tabla4[[#This Row],[Comisión Calculada]]*Tabla4[[#This Row],[Total]]</f>
        <v>#N/A</v>
      </c>
    </row>
    <row r="2327" spans="1:22" hidden="1" x14ac:dyDescent="0.25">
      <c r="A2327" s="100">
        <v>45777</v>
      </c>
      <c r="B2327" t="str">
        <f t="shared" si="118"/>
        <v>April</v>
      </c>
      <c r="C2327" s="46" t="s">
        <v>280</v>
      </c>
      <c r="F2327" s="366" t="s">
        <v>1593</v>
      </c>
      <c r="G2327" s="46" t="s">
        <v>17</v>
      </c>
      <c r="H2327" s="46">
        <v>1</v>
      </c>
      <c r="I2327" s="51">
        <v>4622.28</v>
      </c>
      <c r="J2327" s="281">
        <f>++Tabla4[[#This Row],[Precio Bruto]]*1.16</f>
        <v>5361.8447999999989</v>
      </c>
      <c r="K2327" s="281">
        <f>+Tabla4[[#This Row],[Precio Unitario Neto]]*Tabla4[[#Headers],[20.85%]]</f>
        <v>1117.9446407999997</v>
      </c>
      <c r="L2327" s="282">
        <f>++Tabla4[[#This Row],[Precio Unitario Neto]]-Tabla4[[#This Row],[20.85%]]</f>
        <v>4243.9001591999995</v>
      </c>
      <c r="M2327" s="282" t="e">
        <f>(INDEX(Tabla6[#All],MATCH(Tabla4[[#This Row],[Producto]],Tabla6[[#All],[PRODUCTO]],0),MATCH(Tabla4[[#This Row],[Mes]],Tabla6[#Headers],0)))*(1+Catalogos!$L$2)</f>
        <v>#N/A</v>
      </c>
      <c r="N2327" s="283" t="e">
        <f>+(Tabla4[[#This Row],[Precio Descontado]]-Tabla4[[#This Row],[Precio Base]])*Tabla4[[#This Row],[Cantidad]]</f>
        <v>#N/A</v>
      </c>
      <c r="O2327" s="284" t="e">
        <f>++Tabla4[[#This Row],[Utilidad Total]]/Tabla4[[#This Row],[Total]]</f>
        <v>#N/A</v>
      </c>
      <c r="P2327" s="282">
        <f>++Tabla4[[#This Row],[Precio Descontado]]*Tabla4[[#This Row],[Cantidad]]</f>
        <v>4243.9001591999995</v>
      </c>
      <c r="Q2327" s="282" t="e">
        <f>(INDEX(Tabla6[#All],MATCH(Tabla4[[#This Row],[Producto]],Tabla6[[#All],[PRODUCTO]],0),MATCH(Tabla4[[#This Row],[Mes]],Tabla6[#Headers],0)))</f>
        <v>#N/A</v>
      </c>
      <c r="R2327" s="282" t="e">
        <f>++Tabla4[[#This Row],[Precio Unitario Neto]]-Tabla4[[#This Row],[20.85%]]-Tabla4[[#This Row],[Costo]]</f>
        <v>#N/A</v>
      </c>
      <c r="S2327" s="282" t="e">
        <f>++Tabla4[[#This Row],[U. Bruta Uni]]*Tabla4[[#This Row],[Cantidad]]</f>
        <v>#N/A</v>
      </c>
      <c r="T2327" s="369" t="str">
        <f>VLOOKUP(Tabla4[[#This Row],[Producto]],Tabla6[#All],14,FALSE)</f>
        <v>Termico Solar</v>
      </c>
      <c r="U2327" s="284" t="e">
        <f>(IF(Tabla4[[#This Row],[Familia]]="termico solar",Tabla4[[#This Row],[Utilidad Total]]*6%,Tabla4[[#This Row],[Utilidad Total]]*11.5%))/Tabla4[[#This Row],[Total]]</f>
        <v>#N/A</v>
      </c>
      <c r="V2327" s="282" t="e">
        <f>+Tabla4[[#This Row],[Comisión Calculada]]*Tabla4[[#This Row],[Total]]</f>
        <v>#N/A</v>
      </c>
    </row>
    <row r="2328" spans="1:22" hidden="1" x14ac:dyDescent="0.25">
      <c r="A2328" s="100">
        <v>45777</v>
      </c>
      <c r="B2328" t="str">
        <f t="shared" si="118"/>
        <v>April</v>
      </c>
      <c r="C2328" s="46" t="s">
        <v>280</v>
      </c>
      <c r="F2328" s="366" t="s">
        <v>1594</v>
      </c>
      <c r="G2328" s="46" t="s">
        <v>83</v>
      </c>
      <c r="H2328" s="46">
        <v>4</v>
      </c>
      <c r="I2328" s="51">
        <v>8858.76</v>
      </c>
      <c r="J2328" s="281">
        <f>++Tabla4[[#This Row],[Precio Bruto]]*1.16</f>
        <v>10276.161599999999</v>
      </c>
      <c r="K2328" s="281">
        <f>+Tabla4[[#This Row],[Precio Unitario Neto]]*Tabla4[[#Headers],[20.85%]]</f>
        <v>2142.5796935999997</v>
      </c>
      <c r="L2328" s="282">
        <f>++Tabla4[[#This Row],[Precio Unitario Neto]]-Tabla4[[#This Row],[20.85%]]</f>
        <v>8133.5819063999998</v>
      </c>
      <c r="M2328" s="282" t="e">
        <f>(INDEX(Tabla6[#All],MATCH(Tabla4[[#This Row],[Producto]],Tabla6[[#All],[PRODUCTO]],0),MATCH(Tabla4[[#This Row],[Mes]],Tabla6[#Headers],0)))*(1+Catalogos!$L$2)</f>
        <v>#N/A</v>
      </c>
      <c r="N2328" s="283" t="e">
        <f>+(Tabla4[[#This Row],[Precio Descontado]]-Tabla4[[#This Row],[Precio Base]])*Tabla4[[#This Row],[Cantidad]]</f>
        <v>#N/A</v>
      </c>
      <c r="O2328" s="284" t="e">
        <f>++Tabla4[[#This Row],[Utilidad Total]]/Tabla4[[#This Row],[Total]]</f>
        <v>#N/A</v>
      </c>
      <c r="P2328" s="282">
        <f>++Tabla4[[#This Row],[Precio Descontado]]*Tabla4[[#This Row],[Cantidad]]</f>
        <v>32534.327625599999</v>
      </c>
      <c r="Q2328" s="282" t="e">
        <f>(INDEX(Tabla6[#All],MATCH(Tabla4[[#This Row],[Producto]],Tabla6[[#All],[PRODUCTO]],0),MATCH(Tabla4[[#This Row],[Mes]],Tabla6[#Headers],0)))</f>
        <v>#N/A</v>
      </c>
      <c r="R2328" s="282" t="e">
        <f>++Tabla4[[#This Row],[Precio Unitario Neto]]-Tabla4[[#This Row],[20.85%]]-Tabla4[[#This Row],[Costo]]</f>
        <v>#N/A</v>
      </c>
      <c r="S2328" s="282" t="e">
        <f>++Tabla4[[#This Row],[U. Bruta Uni]]*Tabla4[[#This Row],[Cantidad]]</f>
        <v>#N/A</v>
      </c>
      <c r="T2328" s="369" t="str">
        <f>VLOOKUP(Tabla4[[#This Row],[Producto]],Tabla6[#All],14,FALSE)</f>
        <v>Termico Solar</v>
      </c>
      <c r="U2328" s="284" t="e">
        <f>(IF(Tabla4[[#This Row],[Familia]]="termico solar",Tabla4[[#This Row],[Utilidad Total]]*6%,Tabla4[[#This Row],[Utilidad Total]]*11.5%))/Tabla4[[#This Row],[Total]]</f>
        <v>#N/A</v>
      </c>
      <c r="V2328" s="282" t="e">
        <f>+Tabla4[[#This Row],[Comisión Calculada]]*Tabla4[[#This Row],[Total]]</f>
        <v>#N/A</v>
      </c>
    </row>
    <row r="2329" spans="1:22" hidden="1" x14ac:dyDescent="0.25">
      <c r="A2329" s="100">
        <v>45777</v>
      </c>
      <c r="B2329" t="str">
        <f t="shared" si="118"/>
        <v>April</v>
      </c>
      <c r="C2329" s="46" t="s">
        <v>280</v>
      </c>
      <c r="F2329" s="366" t="s">
        <v>1594</v>
      </c>
      <c r="G2329" s="46" t="s">
        <v>17</v>
      </c>
      <c r="H2329" s="46">
        <v>2</v>
      </c>
      <c r="I2329" s="51">
        <v>4622.28</v>
      </c>
      <c r="J2329" s="281">
        <f>++Tabla4[[#This Row],[Precio Bruto]]*1.16</f>
        <v>5361.8447999999989</v>
      </c>
      <c r="K2329" s="281">
        <f>+Tabla4[[#This Row],[Precio Unitario Neto]]*Tabla4[[#Headers],[20.85%]]</f>
        <v>1117.9446407999997</v>
      </c>
      <c r="L2329" s="282">
        <f>++Tabla4[[#This Row],[Precio Unitario Neto]]-Tabla4[[#This Row],[20.85%]]</f>
        <v>4243.9001591999995</v>
      </c>
      <c r="M2329" s="282" t="e">
        <f>(INDEX(Tabla6[#All],MATCH(Tabla4[[#This Row],[Producto]],Tabla6[[#All],[PRODUCTO]],0),MATCH(Tabla4[[#This Row],[Mes]],Tabla6[#Headers],0)))*(1+Catalogos!$L$2)</f>
        <v>#N/A</v>
      </c>
      <c r="N2329" s="283" t="e">
        <f>+(Tabla4[[#This Row],[Precio Descontado]]-Tabla4[[#This Row],[Precio Base]])*Tabla4[[#This Row],[Cantidad]]</f>
        <v>#N/A</v>
      </c>
      <c r="O2329" s="284" t="e">
        <f>++Tabla4[[#This Row],[Utilidad Total]]/Tabla4[[#This Row],[Total]]</f>
        <v>#N/A</v>
      </c>
      <c r="P2329" s="282">
        <f>++Tabla4[[#This Row],[Precio Descontado]]*Tabla4[[#This Row],[Cantidad]]</f>
        <v>8487.800318399999</v>
      </c>
      <c r="Q2329" s="282" t="e">
        <f>(INDEX(Tabla6[#All],MATCH(Tabla4[[#This Row],[Producto]],Tabla6[[#All],[PRODUCTO]],0),MATCH(Tabla4[[#This Row],[Mes]],Tabla6[#Headers],0)))</f>
        <v>#N/A</v>
      </c>
      <c r="R2329" s="282" t="e">
        <f>++Tabla4[[#This Row],[Precio Unitario Neto]]-Tabla4[[#This Row],[20.85%]]-Tabla4[[#This Row],[Costo]]</f>
        <v>#N/A</v>
      </c>
      <c r="S2329" s="282" t="e">
        <f>++Tabla4[[#This Row],[U. Bruta Uni]]*Tabla4[[#This Row],[Cantidad]]</f>
        <v>#N/A</v>
      </c>
      <c r="T2329" s="369" t="str">
        <f>VLOOKUP(Tabla4[[#This Row],[Producto]],Tabla6[#All],14,FALSE)</f>
        <v>Termico Solar</v>
      </c>
      <c r="U2329" s="284" t="e">
        <f>(IF(Tabla4[[#This Row],[Familia]]="termico solar",Tabla4[[#This Row],[Utilidad Total]]*6%,Tabla4[[#This Row],[Utilidad Total]]*11.5%))/Tabla4[[#This Row],[Total]]</f>
        <v>#N/A</v>
      </c>
      <c r="V2329" s="282" t="e">
        <f>+Tabla4[[#This Row],[Comisión Calculada]]*Tabla4[[#This Row],[Total]]</f>
        <v>#N/A</v>
      </c>
    </row>
    <row r="2330" spans="1:22" hidden="1" x14ac:dyDescent="0.25">
      <c r="A2330" s="100">
        <v>45777</v>
      </c>
      <c r="B2330" t="str">
        <f t="shared" si="118"/>
        <v>April</v>
      </c>
      <c r="C2330" s="46" t="s">
        <v>280</v>
      </c>
      <c r="F2330" s="366" t="s">
        <v>1594</v>
      </c>
      <c r="G2330" s="46" t="s">
        <v>18</v>
      </c>
      <c r="H2330" s="46">
        <v>1</v>
      </c>
      <c r="I2330" s="51">
        <v>5367.65</v>
      </c>
      <c r="J2330" s="281">
        <f>++Tabla4[[#This Row],[Precio Bruto]]*1.16</f>
        <v>6226.4739999999993</v>
      </c>
      <c r="K2330" s="281">
        <f>+Tabla4[[#This Row],[Precio Unitario Neto]]*Tabla4[[#Headers],[20.85%]]</f>
        <v>1298.2198289999999</v>
      </c>
      <c r="L2330" s="282">
        <f>++Tabla4[[#This Row],[Precio Unitario Neto]]-Tabla4[[#This Row],[20.85%]]</f>
        <v>4928.2541709999996</v>
      </c>
      <c r="M2330" s="282" t="e">
        <f>(INDEX(Tabla6[#All],MATCH(Tabla4[[#This Row],[Producto]],Tabla6[[#All],[PRODUCTO]],0),MATCH(Tabla4[[#This Row],[Mes]],Tabla6[#Headers],0)))*(1+Catalogos!$L$2)</f>
        <v>#N/A</v>
      </c>
      <c r="N2330" s="283" t="e">
        <f>+(Tabla4[[#This Row],[Precio Descontado]]-Tabla4[[#This Row],[Precio Base]])*Tabla4[[#This Row],[Cantidad]]</f>
        <v>#N/A</v>
      </c>
      <c r="O2330" s="284" t="e">
        <f>++Tabla4[[#This Row],[Utilidad Total]]/Tabla4[[#This Row],[Total]]</f>
        <v>#N/A</v>
      </c>
      <c r="P2330" s="282">
        <f>++Tabla4[[#This Row],[Precio Descontado]]*Tabla4[[#This Row],[Cantidad]]</f>
        <v>4928.2541709999996</v>
      </c>
      <c r="Q2330" s="282" t="e">
        <f>(INDEX(Tabla6[#All],MATCH(Tabla4[[#This Row],[Producto]],Tabla6[[#All],[PRODUCTO]],0),MATCH(Tabla4[[#This Row],[Mes]],Tabla6[#Headers],0)))</f>
        <v>#N/A</v>
      </c>
      <c r="R2330" s="282" t="e">
        <f>++Tabla4[[#This Row],[Precio Unitario Neto]]-Tabla4[[#This Row],[20.85%]]-Tabla4[[#This Row],[Costo]]</f>
        <v>#N/A</v>
      </c>
      <c r="S2330" s="282" t="e">
        <f>++Tabla4[[#This Row],[U. Bruta Uni]]*Tabla4[[#This Row],[Cantidad]]</f>
        <v>#N/A</v>
      </c>
      <c r="T2330" s="369" t="str">
        <f>VLOOKUP(Tabla4[[#This Row],[Producto]],Tabla6[#All],14,FALSE)</f>
        <v>Termico Solar</v>
      </c>
      <c r="U2330" s="284" t="e">
        <f>(IF(Tabla4[[#This Row],[Familia]]="termico solar",Tabla4[[#This Row],[Utilidad Total]]*6%,Tabla4[[#This Row],[Utilidad Total]]*11.5%))/Tabla4[[#This Row],[Total]]</f>
        <v>#N/A</v>
      </c>
      <c r="V2330" s="282" t="e">
        <f>+Tabla4[[#This Row],[Comisión Calculada]]*Tabla4[[#This Row],[Total]]</f>
        <v>#N/A</v>
      </c>
    </row>
    <row r="2331" spans="1:22" hidden="1" x14ac:dyDescent="0.25">
      <c r="A2331" s="100">
        <v>45777</v>
      </c>
      <c r="B2331" t="str">
        <f t="shared" si="118"/>
        <v>April</v>
      </c>
      <c r="C2331" s="46" t="s">
        <v>280</v>
      </c>
      <c r="F2331" s="366" t="s">
        <v>1594</v>
      </c>
      <c r="G2331" s="46" t="s">
        <v>566</v>
      </c>
      <c r="H2331" s="46">
        <v>1</v>
      </c>
      <c r="I2331" s="51">
        <v>2109.4499999999998</v>
      </c>
      <c r="J2331" s="281">
        <f>++Tabla4[[#This Row],[Precio Bruto]]*1.16</f>
        <v>2446.9619999999995</v>
      </c>
      <c r="K2331" s="281">
        <f>+Tabla4[[#This Row],[Precio Unitario Neto]]*Tabla4[[#Headers],[20.85%]]</f>
        <v>510.19157699999988</v>
      </c>
      <c r="L2331" s="282">
        <f>++Tabla4[[#This Row],[Precio Unitario Neto]]-Tabla4[[#This Row],[20.85%]]</f>
        <v>1936.7704229999997</v>
      </c>
      <c r="M2331" s="282" t="e">
        <f>(INDEX(Tabla6[#All],MATCH(Tabla4[[#This Row],[Producto]],Tabla6[[#All],[PRODUCTO]],0),MATCH(Tabla4[[#This Row],[Mes]],Tabla6[#Headers],0)))*(1+Catalogos!$L$2)</f>
        <v>#N/A</v>
      </c>
      <c r="N2331" s="283" t="e">
        <f>+(Tabla4[[#This Row],[Precio Descontado]]-Tabla4[[#This Row],[Precio Base]])*Tabla4[[#This Row],[Cantidad]]</f>
        <v>#N/A</v>
      </c>
      <c r="O2331" s="284" t="e">
        <f>++Tabla4[[#This Row],[Utilidad Total]]/Tabla4[[#This Row],[Total]]</f>
        <v>#N/A</v>
      </c>
      <c r="P2331" s="282">
        <f>++Tabla4[[#This Row],[Precio Descontado]]*Tabla4[[#This Row],[Cantidad]]</f>
        <v>1936.7704229999997</v>
      </c>
      <c r="Q2331" s="282" t="e">
        <f>(INDEX(Tabla6[#All],MATCH(Tabla4[[#This Row],[Producto]],Tabla6[[#All],[PRODUCTO]],0),MATCH(Tabla4[[#This Row],[Mes]],Tabla6[#Headers],0)))</f>
        <v>#N/A</v>
      </c>
      <c r="R2331" s="282" t="e">
        <f>++Tabla4[[#This Row],[Precio Unitario Neto]]-Tabla4[[#This Row],[20.85%]]-Tabla4[[#This Row],[Costo]]</f>
        <v>#N/A</v>
      </c>
      <c r="S2331" s="282" t="e">
        <f>++Tabla4[[#This Row],[U. Bruta Uni]]*Tabla4[[#This Row],[Cantidad]]</f>
        <v>#N/A</v>
      </c>
      <c r="T2331" s="369" t="str">
        <f>VLOOKUP(Tabla4[[#This Row],[Producto]],Tabla6[#All],14,FALSE)</f>
        <v>Termico Solar</v>
      </c>
      <c r="U2331" s="284" t="e">
        <f>(IF(Tabla4[[#This Row],[Familia]]="termico solar",Tabla4[[#This Row],[Utilidad Total]]*6%,Tabla4[[#This Row],[Utilidad Total]]*11.5%))/Tabla4[[#This Row],[Total]]</f>
        <v>#N/A</v>
      </c>
      <c r="V2331" s="282" t="e">
        <f>+Tabla4[[#This Row],[Comisión Calculada]]*Tabla4[[#This Row],[Total]]</f>
        <v>#N/A</v>
      </c>
    </row>
    <row r="2332" spans="1:22" hidden="1" x14ac:dyDescent="0.25">
      <c r="A2332" s="100">
        <v>45777</v>
      </c>
      <c r="B2332" t="str">
        <f t="shared" si="118"/>
        <v>April</v>
      </c>
      <c r="C2332" s="46" t="s">
        <v>280</v>
      </c>
      <c r="F2332" s="366" t="s">
        <v>1595</v>
      </c>
      <c r="G2332" s="46" t="s">
        <v>83</v>
      </c>
      <c r="H2332" s="46">
        <v>2</v>
      </c>
      <c r="I2332" s="51">
        <v>8858.76</v>
      </c>
      <c r="J2332" s="281">
        <f>++Tabla4[[#This Row],[Precio Bruto]]*1.16</f>
        <v>10276.161599999999</v>
      </c>
      <c r="K2332" s="281">
        <f>+Tabla4[[#This Row],[Precio Unitario Neto]]*Tabla4[[#Headers],[20.85%]]</f>
        <v>2142.5796935999997</v>
      </c>
      <c r="L2332" s="282">
        <f>++Tabla4[[#This Row],[Precio Unitario Neto]]-Tabla4[[#This Row],[20.85%]]</f>
        <v>8133.5819063999998</v>
      </c>
      <c r="M2332" s="282" t="e">
        <f>(INDEX(Tabla6[#All],MATCH(Tabla4[[#This Row],[Producto]],Tabla6[[#All],[PRODUCTO]],0),MATCH(Tabla4[[#This Row],[Mes]],Tabla6[#Headers],0)))*(1+Catalogos!$L$2)</f>
        <v>#N/A</v>
      </c>
      <c r="N2332" s="283" t="e">
        <f>+(Tabla4[[#This Row],[Precio Descontado]]-Tabla4[[#This Row],[Precio Base]])*Tabla4[[#This Row],[Cantidad]]</f>
        <v>#N/A</v>
      </c>
      <c r="O2332" s="284" t="e">
        <f>++Tabla4[[#This Row],[Utilidad Total]]/Tabla4[[#This Row],[Total]]</f>
        <v>#N/A</v>
      </c>
      <c r="P2332" s="282">
        <f>++Tabla4[[#This Row],[Precio Descontado]]*Tabla4[[#This Row],[Cantidad]]</f>
        <v>16267.1638128</v>
      </c>
      <c r="Q2332" s="282" t="e">
        <f>(INDEX(Tabla6[#All],MATCH(Tabla4[[#This Row],[Producto]],Tabla6[[#All],[PRODUCTO]],0),MATCH(Tabla4[[#This Row],[Mes]],Tabla6[#Headers],0)))</f>
        <v>#N/A</v>
      </c>
      <c r="R2332" s="282" t="e">
        <f>++Tabla4[[#This Row],[Precio Unitario Neto]]-Tabla4[[#This Row],[20.85%]]-Tabla4[[#This Row],[Costo]]</f>
        <v>#N/A</v>
      </c>
      <c r="S2332" s="282" t="e">
        <f>++Tabla4[[#This Row],[U. Bruta Uni]]*Tabla4[[#This Row],[Cantidad]]</f>
        <v>#N/A</v>
      </c>
      <c r="T2332" s="369" t="str">
        <f>VLOOKUP(Tabla4[[#This Row],[Producto]],Tabla6[#All],14,FALSE)</f>
        <v>Termico Solar</v>
      </c>
      <c r="U2332" s="284" t="e">
        <f>(IF(Tabla4[[#This Row],[Familia]]="termico solar",Tabla4[[#This Row],[Utilidad Total]]*6%,Tabla4[[#This Row],[Utilidad Total]]*11.5%))/Tabla4[[#This Row],[Total]]</f>
        <v>#N/A</v>
      </c>
      <c r="V2332" s="282" t="e">
        <f>+Tabla4[[#This Row],[Comisión Calculada]]*Tabla4[[#This Row],[Total]]</f>
        <v>#N/A</v>
      </c>
    </row>
    <row r="2333" spans="1:22" hidden="1" x14ac:dyDescent="0.25">
      <c r="A2333" s="100">
        <v>45777</v>
      </c>
      <c r="B2333" t="str">
        <f t="shared" si="118"/>
        <v>April</v>
      </c>
      <c r="C2333" s="46" t="s">
        <v>280</v>
      </c>
      <c r="F2333" s="366" t="s">
        <v>1595</v>
      </c>
      <c r="G2333" s="46" t="s">
        <v>566</v>
      </c>
      <c r="H2333" s="46">
        <v>1</v>
      </c>
      <c r="I2333" s="51">
        <v>2109.4499999999998</v>
      </c>
      <c r="J2333" s="281">
        <f>++Tabla4[[#This Row],[Precio Bruto]]*1.16</f>
        <v>2446.9619999999995</v>
      </c>
      <c r="K2333" s="281">
        <f>+Tabla4[[#This Row],[Precio Unitario Neto]]*Tabla4[[#Headers],[20.85%]]</f>
        <v>510.19157699999988</v>
      </c>
      <c r="L2333" s="282">
        <f>++Tabla4[[#This Row],[Precio Unitario Neto]]-Tabla4[[#This Row],[20.85%]]</f>
        <v>1936.7704229999997</v>
      </c>
      <c r="M2333" s="282" t="e">
        <f>(INDEX(Tabla6[#All],MATCH(Tabla4[[#This Row],[Producto]],Tabla6[[#All],[PRODUCTO]],0),MATCH(Tabla4[[#This Row],[Mes]],Tabla6[#Headers],0)))*(1+Catalogos!$L$2)</f>
        <v>#N/A</v>
      </c>
      <c r="N2333" s="283" t="e">
        <f>+(Tabla4[[#This Row],[Precio Descontado]]-Tabla4[[#This Row],[Precio Base]])*Tabla4[[#This Row],[Cantidad]]</f>
        <v>#N/A</v>
      </c>
      <c r="O2333" s="284" t="e">
        <f>++Tabla4[[#This Row],[Utilidad Total]]/Tabla4[[#This Row],[Total]]</f>
        <v>#N/A</v>
      </c>
      <c r="P2333" s="282">
        <f>++Tabla4[[#This Row],[Precio Descontado]]*Tabla4[[#This Row],[Cantidad]]</f>
        <v>1936.7704229999997</v>
      </c>
      <c r="Q2333" s="282" t="e">
        <f>(INDEX(Tabla6[#All],MATCH(Tabla4[[#This Row],[Producto]],Tabla6[[#All],[PRODUCTO]],0),MATCH(Tabla4[[#This Row],[Mes]],Tabla6[#Headers],0)))</f>
        <v>#N/A</v>
      </c>
      <c r="R2333" s="282" t="e">
        <f>++Tabla4[[#This Row],[Precio Unitario Neto]]-Tabla4[[#This Row],[20.85%]]-Tabla4[[#This Row],[Costo]]</f>
        <v>#N/A</v>
      </c>
      <c r="S2333" s="282" t="e">
        <f>++Tabla4[[#This Row],[U. Bruta Uni]]*Tabla4[[#This Row],[Cantidad]]</f>
        <v>#N/A</v>
      </c>
      <c r="T2333" s="369" t="str">
        <f>VLOOKUP(Tabla4[[#This Row],[Producto]],Tabla6[#All],14,FALSE)</f>
        <v>Termico Solar</v>
      </c>
      <c r="U2333" s="284" t="e">
        <f>(IF(Tabla4[[#This Row],[Familia]]="termico solar",Tabla4[[#This Row],[Utilidad Total]]*6%,Tabla4[[#This Row],[Utilidad Total]]*11.5%))/Tabla4[[#This Row],[Total]]</f>
        <v>#N/A</v>
      </c>
      <c r="V2333" s="282" t="e">
        <f>+Tabla4[[#This Row],[Comisión Calculada]]*Tabla4[[#This Row],[Total]]</f>
        <v>#N/A</v>
      </c>
    </row>
    <row r="2334" spans="1:22" hidden="1" x14ac:dyDescent="0.25">
      <c r="A2334" s="100">
        <v>45777</v>
      </c>
      <c r="B2334" t="str">
        <f t="shared" si="118"/>
        <v>April</v>
      </c>
      <c r="C2334" s="46" t="s">
        <v>280</v>
      </c>
      <c r="F2334" s="366" t="s">
        <v>1596</v>
      </c>
      <c r="G2334" s="46" t="s">
        <v>83</v>
      </c>
      <c r="H2334" s="46">
        <v>1</v>
      </c>
      <c r="I2334" s="51">
        <v>8858.76</v>
      </c>
      <c r="J2334" s="281">
        <f>++Tabla4[[#This Row],[Precio Bruto]]*1.16</f>
        <v>10276.161599999999</v>
      </c>
      <c r="K2334" s="281">
        <f>+Tabla4[[#This Row],[Precio Unitario Neto]]*Tabla4[[#Headers],[20.85%]]</f>
        <v>2142.5796935999997</v>
      </c>
      <c r="L2334" s="282">
        <f>++Tabla4[[#This Row],[Precio Unitario Neto]]-Tabla4[[#This Row],[20.85%]]</f>
        <v>8133.5819063999998</v>
      </c>
      <c r="M2334" s="282" t="e">
        <f>(INDEX(Tabla6[#All],MATCH(Tabla4[[#This Row],[Producto]],Tabla6[[#All],[PRODUCTO]],0),MATCH(Tabla4[[#This Row],[Mes]],Tabla6[#Headers],0)))*(1+Catalogos!$L$2)</f>
        <v>#N/A</v>
      </c>
      <c r="N2334" s="283" t="e">
        <f>+(Tabla4[[#This Row],[Precio Descontado]]-Tabla4[[#This Row],[Precio Base]])*Tabla4[[#This Row],[Cantidad]]</f>
        <v>#N/A</v>
      </c>
      <c r="O2334" s="284" t="e">
        <f>++Tabla4[[#This Row],[Utilidad Total]]/Tabla4[[#This Row],[Total]]</f>
        <v>#N/A</v>
      </c>
      <c r="P2334" s="282">
        <f>++Tabla4[[#This Row],[Precio Descontado]]*Tabla4[[#This Row],[Cantidad]]</f>
        <v>8133.5819063999998</v>
      </c>
      <c r="Q2334" s="282" t="e">
        <f>(INDEX(Tabla6[#All],MATCH(Tabla4[[#This Row],[Producto]],Tabla6[[#All],[PRODUCTO]],0),MATCH(Tabla4[[#This Row],[Mes]],Tabla6[#Headers],0)))</f>
        <v>#N/A</v>
      </c>
      <c r="R2334" s="282" t="e">
        <f>++Tabla4[[#This Row],[Precio Unitario Neto]]-Tabla4[[#This Row],[20.85%]]-Tabla4[[#This Row],[Costo]]</f>
        <v>#N/A</v>
      </c>
      <c r="S2334" s="282" t="e">
        <f>++Tabla4[[#This Row],[U. Bruta Uni]]*Tabla4[[#This Row],[Cantidad]]</f>
        <v>#N/A</v>
      </c>
      <c r="T2334" s="369" t="str">
        <f>VLOOKUP(Tabla4[[#This Row],[Producto]],Tabla6[#All],14,FALSE)</f>
        <v>Termico Solar</v>
      </c>
      <c r="U2334" s="284" t="e">
        <f>(IF(Tabla4[[#This Row],[Familia]]="termico solar",Tabla4[[#This Row],[Utilidad Total]]*6%,Tabla4[[#This Row],[Utilidad Total]]*11.5%))/Tabla4[[#This Row],[Total]]</f>
        <v>#N/A</v>
      </c>
      <c r="V2334" s="282" t="e">
        <f>+Tabla4[[#This Row],[Comisión Calculada]]*Tabla4[[#This Row],[Total]]</f>
        <v>#N/A</v>
      </c>
    </row>
    <row r="2335" spans="1:22" hidden="1" x14ac:dyDescent="0.25">
      <c r="A2335" s="100">
        <v>45777</v>
      </c>
      <c r="B2335" t="str">
        <f t="shared" si="118"/>
        <v>April</v>
      </c>
      <c r="C2335" s="46" t="s">
        <v>280</v>
      </c>
      <c r="F2335" s="366" t="s">
        <v>1596</v>
      </c>
      <c r="G2335" s="46" t="s">
        <v>18</v>
      </c>
      <c r="H2335" s="46">
        <v>3</v>
      </c>
      <c r="I2335" s="51">
        <v>5367.6500000000005</v>
      </c>
      <c r="J2335" s="281">
        <f>++Tabla4[[#This Row],[Precio Bruto]]*1.16</f>
        <v>6226.4740000000002</v>
      </c>
      <c r="K2335" s="281">
        <f>+Tabla4[[#This Row],[Precio Unitario Neto]]*Tabla4[[#Headers],[20.85%]]</f>
        <v>1298.2198289999999</v>
      </c>
      <c r="L2335" s="282">
        <f>++Tabla4[[#This Row],[Precio Unitario Neto]]-Tabla4[[#This Row],[20.85%]]</f>
        <v>4928.2541710000005</v>
      </c>
      <c r="M2335" s="282" t="e">
        <f>(INDEX(Tabla6[#All],MATCH(Tabla4[[#This Row],[Producto]],Tabla6[[#All],[PRODUCTO]],0),MATCH(Tabla4[[#This Row],[Mes]],Tabla6[#Headers],0)))*(1+Catalogos!$L$2)</f>
        <v>#N/A</v>
      </c>
      <c r="N2335" s="283" t="e">
        <f>+(Tabla4[[#This Row],[Precio Descontado]]-Tabla4[[#This Row],[Precio Base]])*Tabla4[[#This Row],[Cantidad]]</f>
        <v>#N/A</v>
      </c>
      <c r="O2335" s="284" t="e">
        <f>++Tabla4[[#This Row],[Utilidad Total]]/Tabla4[[#This Row],[Total]]</f>
        <v>#N/A</v>
      </c>
      <c r="P2335" s="282">
        <f>++Tabla4[[#This Row],[Precio Descontado]]*Tabla4[[#This Row],[Cantidad]]</f>
        <v>14784.762513000001</v>
      </c>
      <c r="Q2335" s="282" t="e">
        <f>(INDEX(Tabla6[#All],MATCH(Tabla4[[#This Row],[Producto]],Tabla6[[#All],[PRODUCTO]],0),MATCH(Tabla4[[#This Row],[Mes]],Tabla6[#Headers],0)))</f>
        <v>#N/A</v>
      </c>
      <c r="R2335" s="282" t="e">
        <f>++Tabla4[[#This Row],[Precio Unitario Neto]]-Tabla4[[#This Row],[20.85%]]-Tabla4[[#This Row],[Costo]]</f>
        <v>#N/A</v>
      </c>
      <c r="S2335" s="282" t="e">
        <f>++Tabla4[[#This Row],[U. Bruta Uni]]*Tabla4[[#This Row],[Cantidad]]</f>
        <v>#N/A</v>
      </c>
      <c r="T2335" s="369" t="str">
        <f>VLOOKUP(Tabla4[[#This Row],[Producto]],Tabla6[#All],14,FALSE)</f>
        <v>Termico Solar</v>
      </c>
      <c r="U2335" s="284" t="e">
        <f>(IF(Tabla4[[#This Row],[Familia]]="termico solar",Tabla4[[#This Row],[Utilidad Total]]*6%,Tabla4[[#This Row],[Utilidad Total]]*11.5%))/Tabla4[[#This Row],[Total]]</f>
        <v>#N/A</v>
      </c>
      <c r="V2335" s="282" t="e">
        <f>+Tabla4[[#This Row],[Comisión Calculada]]*Tabla4[[#This Row],[Total]]</f>
        <v>#N/A</v>
      </c>
    </row>
    <row r="2336" spans="1:22" hidden="1" x14ac:dyDescent="0.25">
      <c r="A2336" s="100">
        <v>45777</v>
      </c>
      <c r="B2336" t="str">
        <f t="shared" si="118"/>
        <v>April</v>
      </c>
      <c r="C2336" s="46" t="s">
        <v>280</v>
      </c>
      <c r="F2336" s="366" t="s">
        <v>1596</v>
      </c>
      <c r="G2336" s="46" t="s">
        <v>208</v>
      </c>
      <c r="H2336" s="46">
        <v>1</v>
      </c>
      <c r="I2336" s="51">
        <v>189.75</v>
      </c>
      <c r="J2336" s="281">
        <f>++Tabla4[[#This Row],[Precio Bruto]]*1.16</f>
        <v>220.10999999999999</v>
      </c>
      <c r="K2336" s="281">
        <f>+Tabla4[[#This Row],[Precio Unitario Neto]]*Tabla4[[#Headers],[20.85%]]</f>
        <v>45.892934999999994</v>
      </c>
      <c r="L2336" s="282">
        <f>++Tabla4[[#This Row],[Precio Unitario Neto]]-Tabla4[[#This Row],[20.85%]]</f>
        <v>174.21706499999999</v>
      </c>
      <c r="M2336" s="282" t="e">
        <f>(INDEX(Tabla6[#All],MATCH(Tabla4[[#This Row],[Producto]],Tabla6[[#All],[PRODUCTO]],0),MATCH(Tabla4[[#This Row],[Mes]],Tabla6[#Headers],0)))*(1+Catalogos!$L$2)</f>
        <v>#N/A</v>
      </c>
      <c r="N2336" s="283" t="e">
        <f>+(Tabla4[[#This Row],[Precio Descontado]]-Tabla4[[#This Row],[Precio Base]])*Tabla4[[#This Row],[Cantidad]]</f>
        <v>#N/A</v>
      </c>
      <c r="O2336" s="284" t="e">
        <f>++Tabla4[[#This Row],[Utilidad Total]]/Tabla4[[#This Row],[Total]]</f>
        <v>#N/A</v>
      </c>
      <c r="P2336" s="282">
        <f>++Tabla4[[#This Row],[Precio Descontado]]*Tabla4[[#This Row],[Cantidad]]</f>
        <v>174.21706499999999</v>
      </c>
      <c r="Q2336" s="282" t="e">
        <f>(INDEX(Tabla6[#All],MATCH(Tabla4[[#This Row],[Producto]],Tabla6[[#All],[PRODUCTO]],0),MATCH(Tabla4[[#This Row],[Mes]],Tabla6[#Headers],0)))</f>
        <v>#N/A</v>
      </c>
      <c r="R2336" s="282" t="e">
        <f>++Tabla4[[#This Row],[Precio Unitario Neto]]-Tabla4[[#This Row],[20.85%]]-Tabla4[[#This Row],[Costo]]</f>
        <v>#N/A</v>
      </c>
      <c r="S2336" s="282" t="e">
        <f>++Tabla4[[#This Row],[U. Bruta Uni]]*Tabla4[[#This Row],[Cantidad]]</f>
        <v>#N/A</v>
      </c>
      <c r="T2336" s="369" t="str">
        <f>VLOOKUP(Tabla4[[#This Row],[Producto]],Tabla6[#All],14,FALSE)</f>
        <v>Termico Solar</v>
      </c>
      <c r="U2336" s="284" t="e">
        <f>(IF(Tabla4[[#This Row],[Familia]]="termico solar",Tabla4[[#This Row],[Utilidad Total]]*6%,Tabla4[[#This Row],[Utilidad Total]]*11.5%))/Tabla4[[#This Row],[Total]]</f>
        <v>#N/A</v>
      </c>
      <c r="V2336" s="282" t="e">
        <f>+Tabla4[[#This Row],[Comisión Calculada]]*Tabla4[[#This Row],[Total]]</f>
        <v>#N/A</v>
      </c>
    </row>
    <row r="2337" spans="1:22" hidden="1" x14ac:dyDescent="0.25">
      <c r="A2337" s="100">
        <v>45777</v>
      </c>
      <c r="B2337" t="str">
        <f t="shared" si="118"/>
        <v>April</v>
      </c>
      <c r="C2337" s="46" t="s">
        <v>280</v>
      </c>
      <c r="F2337" s="366" t="s">
        <v>1597</v>
      </c>
      <c r="G2337" s="46" t="s">
        <v>83</v>
      </c>
      <c r="H2337" s="46">
        <v>5</v>
      </c>
      <c r="I2337" s="51">
        <v>8858.76</v>
      </c>
      <c r="J2337" s="281">
        <f>++Tabla4[[#This Row],[Precio Bruto]]*1.16</f>
        <v>10276.161599999999</v>
      </c>
      <c r="K2337" s="281">
        <f>+Tabla4[[#This Row],[Precio Unitario Neto]]*Tabla4[[#Headers],[20.85%]]</f>
        <v>2142.5796935999997</v>
      </c>
      <c r="L2337" s="282">
        <f>++Tabla4[[#This Row],[Precio Unitario Neto]]-Tabla4[[#This Row],[20.85%]]</f>
        <v>8133.5819063999998</v>
      </c>
      <c r="M2337" s="282" t="e">
        <f>(INDEX(Tabla6[#All],MATCH(Tabla4[[#This Row],[Producto]],Tabla6[[#All],[PRODUCTO]],0),MATCH(Tabla4[[#This Row],[Mes]],Tabla6[#Headers],0)))*(1+Catalogos!$L$2)</f>
        <v>#N/A</v>
      </c>
      <c r="N2337" s="283" t="e">
        <f>+(Tabla4[[#This Row],[Precio Descontado]]-Tabla4[[#This Row],[Precio Base]])*Tabla4[[#This Row],[Cantidad]]</f>
        <v>#N/A</v>
      </c>
      <c r="O2337" s="284" t="e">
        <f>++Tabla4[[#This Row],[Utilidad Total]]/Tabla4[[#This Row],[Total]]</f>
        <v>#N/A</v>
      </c>
      <c r="P2337" s="282">
        <f>++Tabla4[[#This Row],[Precio Descontado]]*Tabla4[[#This Row],[Cantidad]]</f>
        <v>40667.909531999998</v>
      </c>
      <c r="Q2337" s="282" t="e">
        <f>(INDEX(Tabla6[#All],MATCH(Tabla4[[#This Row],[Producto]],Tabla6[[#All],[PRODUCTO]],0),MATCH(Tabla4[[#This Row],[Mes]],Tabla6[#Headers],0)))</f>
        <v>#N/A</v>
      </c>
      <c r="R2337" s="282" t="e">
        <f>++Tabla4[[#This Row],[Precio Unitario Neto]]-Tabla4[[#This Row],[20.85%]]-Tabla4[[#This Row],[Costo]]</f>
        <v>#N/A</v>
      </c>
      <c r="S2337" s="282" t="e">
        <f>++Tabla4[[#This Row],[U. Bruta Uni]]*Tabla4[[#This Row],[Cantidad]]</f>
        <v>#N/A</v>
      </c>
      <c r="T2337" s="369" t="str">
        <f>VLOOKUP(Tabla4[[#This Row],[Producto]],Tabla6[#All],14,FALSE)</f>
        <v>Termico Solar</v>
      </c>
      <c r="U2337" s="284" t="e">
        <f>(IF(Tabla4[[#This Row],[Familia]]="termico solar",Tabla4[[#This Row],[Utilidad Total]]*6%,Tabla4[[#This Row],[Utilidad Total]]*11.5%))/Tabla4[[#This Row],[Total]]</f>
        <v>#N/A</v>
      </c>
      <c r="V2337" s="282" t="e">
        <f>+Tabla4[[#This Row],[Comisión Calculada]]*Tabla4[[#This Row],[Total]]</f>
        <v>#N/A</v>
      </c>
    </row>
    <row r="2338" spans="1:22" hidden="1" x14ac:dyDescent="0.25">
      <c r="A2338" s="100">
        <v>45777</v>
      </c>
      <c r="B2338" t="str">
        <f t="shared" si="118"/>
        <v>April</v>
      </c>
      <c r="C2338" s="46" t="s">
        <v>280</v>
      </c>
      <c r="F2338" s="366" t="s">
        <v>1597</v>
      </c>
      <c r="G2338" s="46" t="s">
        <v>18</v>
      </c>
      <c r="H2338" s="46">
        <v>1</v>
      </c>
      <c r="I2338" s="51">
        <v>5367.65</v>
      </c>
      <c r="J2338" s="281">
        <f>++Tabla4[[#This Row],[Precio Bruto]]*1.16</f>
        <v>6226.4739999999993</v>
      </c>
      <c r="K2338" s="281">
        <f>+Tabla4[[#This Row],[Precio Unitario Neto]]*Tabla4[[#Headers],[20.85%]]</f>
        <v>1298.2198289999999</v>
      </c>
      <c r="L2338" s="282">
        <f>++Tabla4[[#This Row],[Precio Unitario Neto]]-Tabla4[[#This Row],[20.85%]]</f>
        <v>4928.2541709999996</v>
      </c>
      <c r="M2338" s="282" t="e">
        <f>(INDEX(Tabla6[#All],MATCH(Tabla4[[#This Row],[Producto]],Tabla6[[#All],[PRODUCTO]],0),MATCH(Tabla4[[#This Row],[Mes]],Tabla6[#Headers],0)))*(1+Catalogos!$L$2)</f>
        <v>#N/A</v>
      </c>
      <c r="N2338" s="283" t="e">
        <f>+(Tabla4[[#This Row],[Precio Descontado]]-Tabla4[[#This Row],[Precio Base]])*Tabla4[[#This Row],[Cantidad]]</f>
        <v>#N/A</v>
      </c>
      <c r="O2338" s="284" t="e">
        <f>++Tabla4[[#This Row],[Utilidad Total]]/Tabla4[[#This Row],[Total]]</f>
        <v>#N/A</v>
      </c>
      <c r="P2338" s="282">
        <f>++Tabla4[[#This Row],[Precio Descontado]]*Tabla4[[#This Row],[Cantidad]]</f>
        <v>4928.2541709999996</v>
      </c>
      <c r="Q2338" s="282" t="e">
        <f>(INDEX(Tabla6[#All],MATCH(Tabla4[[#This Row],[Producto]],Tabla6[[#All],[PRODUCTO]],0),MATCH(Tabla4[[#This Row],[Mes]],Tabla6[#Headers],0)))</f>
        <v>#N/A</v>
      </c>
      <c r="R2338" s="282" t="e">
        <f>++Tabla4[[#This Row],[Precio Unitario Neto]]-Tabla4[[#This Row],[20.85%]]-Tabla4[[#This Row],[Costo]]</f>
        <v>#N/A</v>
      </c>
      <c r="S2338" s="282" t="e">
        <f>++Tabla4[[#This Row],[U. Bruta Uni]]*Tabla4[[#This Row],[Cantidad]]</f>
        <v>#N/A</v>
      </c>
      <c r="T2338" s="369" t="str">
        <f>VLOOKUP(Tabla4[[#This Row],[Producto]],Tabla6[#All],14,FALSE)</f>
        <v>Termico Solar</v>
      </c>
      <c r="U2338" s="284" t="e">
        <f>(IF(Tabla4[[#This Row],[Familia]]="termico solar",Tabla4[[#This Row],[Utilidad Total]]*6%,Tabla4[[#This Row],[Utilidad Total]]*11.5%))/Tabla4[[#This Row],[Total]]</f>
        <v>#N/A</v>
      </c>
      <c r="V2338" s="282" t="e">
        <f>+Tabla4[[#This Row],[Comisión Calculada]]*Tabla4[[#This Row],[Total]]</f>
        <v>#N/A</v>
      </c>
    </row>
    <row r="2339" spans="1:22" hidden="1" x14ac:dyDescent="0.25">
      <c r="A2339" s="100">
        <v>45777</v>
      </c>
      <c r="B2339" t="str">
        <f t="shared" si="118"/>
        <v>April</v>
      </c>
      <c r="C2339" s="46" t="s">
        <v>280</v>
      </c>
      <c r="F2339" s="366" t="s">
        <v>1597</v>
      </c>
      <c r="G2339" s="46" t="s">
        <v>555</v>
      </c>
      <c r="H2339" s="46">
        <v>8</v>
      </c>
      <c r="I2339" s="51">
        <v>389.47</v>
      </c>
      <c r="J2339" s="281">
        <f>++Tabla4[[#This Row],[Precio Bruto]]*1.16</f>
        <v>451.78519999999997</v>
      </c>
      <c r="K2339" s="281">
        <f>+Tabla4[[#This Row],[Precio Unitario Neto]]*Tabla4[[#Headers],[20.85%]]</f>
        <v>94.197214199999991</v>
      </c>
      <c r="L2339" s="282">
        <f>++Tabla4[[#This Row],[Precio Unitario Neto]]-Tabla4[[#This Row],[20.85%]]</f>
        <v>357.58798579999996</v>
      </c>
      <c r="M2339" s="282" t="e">
        <f>(INDEX(Tabla6[#All],MATCH(Tabla4[[#This Row],[Producto]],Tabla6[[#All],[PRODUCTO]],0),MATCH(Tabla4[[#This Row],[Mes]],Tabla6[#Headers],0)))*(1+Catalogos!$L$2)</f>
        <v>#N/A</v>
      </c>
      <c r="N2339" s="283" t="e">
        <f>+(Tabla4[[#This Row],[Precio Descontado]]-Tabla4[[#This Row],[Precio Base]])*Tabla4[[#This Row],[Cantidad]]</f>
        <v>#N/A</v>
      </c>
      <c r="O2339" s="284" t="e">
        <f>++Tabla4[[#This Row],[Utilidad Total]]/Tabla4[[#This Row],[Total]]</f>
        <v>#N/A</v>
      </c>
      <c r="P2339" s="282">
        <f>++Tabla4[[#This Row],[Precio Descontado]]*Tabla4[[#This Row],[Cantidad]]</f>
        <v>2860.7038863999996</v>
      </c>
      <c r="Q2339" s="282" t="e">
        <f>(INDEX(Tabla6[#All],MATCH(Tabla4[[#This Row],[Producto]],Tabla6[[#All],[PRODUCTO]],0),MATCH(Tabla4[[#This Row],[Mes]],Tabla6[#Headers],0)))</f>
        <v>#N/A</v>
      </c>
      <c r="R2339" s="282" t="e">
        <f>++Tabla4[[#This Row],[Precio Unitario Neto]]-Tabla4[[#This Row],[20.85%]]-Tabla4[[#This Row],[Costo]]</f>
        <v>#N/A</v>
      </c>
      <c r="S2339" s="282" t="e">
        <f>++Tabla4[[#This Row],[U. Bruta Uni]]*Tabla4[[#This Row],[Cantidad]]</f>
        <v>#N/A</v>
      </c>
      <c r="T2339" s="369" t="str">
        <f>VLOOKUP(Tabla4[[#This Row],[Producto]],Tabla6[#All],14,FALSE)</f>
        <v>Termico Solar</v>
      </c>
      <c r="U2339" s="284" t="e">
        <f>(IF(Tabla4[[#This Row],[Familia]]="termico solar",Tabla4[[#This Row],[Utilidad Total]]*6%,Tabla4[[#This Row],[Utilidad Total]]*11.5%))/Tabla4[[#This Row],[Total]]</f>
        <v>#N/A</v>
      </c>
      <c r="V2339" s="282" t="e">
        <f>+Tabla4[[#This Row],[Comisión Calculada]]*Tabla4[[#This Row],[Total]]</f>
        <v>#N/A</v>
      </c>
    </row>
    <row r="2340" spans="1:22" hidden="1" x14ac:dyDescent="0.25">
      <c r="A2340" s="100">
        <v>45777</v>
      </c>
      <c r="B2340" t="str">
        <f t="shared" si="118"/>
        <v>April</v>
      </c>
      <c r="C2340" s="46" t="s">
        <v>280</v>
      </c>
      <c r="F2340" s="366" t="s">
        <v>1598</v>
      </c>
      <c r="G2340" s="46" t="s">
        <v>16</v>
      </c>
      <c r="H2340" s="46">
        <v>4</v>
      </c>
      <c r="I2340" s="51">
        <v>4103.8500000000004</v>
      </c>
      <c r="J2340" s="281">
        <f>++Tabla4[[#This Row],[Precio Bruto]]*1.16</f>
        <v>4760.4660000000003</v>
      </c>
      <c r="K2340" s="281">
        <f>+Tabla4[[#This Row],[Precio Unitario Neto]]*Tabla4[[#Headers],[20.85%]]</f>
        <v>992.55716100000006</v>
      </c>
      <c r="L2340" s="282">
        <f>++Tabla4[[#This Row],[Precio Unitario Neto]]-Tabla4[[#This Row],[20.85%]]</f>
        <v>3767.9088390000002</v>
      </c>
      <c r="M2340" s="282" t="e">
        <f>(INDEX(Tabla6[#All],MATCH(Tabla4[[#This Row],[Producto]],Tabla6[[#All],[PRODUCTO]],0),MATCH(Tabla4[[#This Row],[Mes]],Tabla6[#Headers],0)))*(1+Catalogos!$L$2)</f>
        <v>#N/A</v>
      </c>
      <c r="N2340" s="283" t="e">
        <f>+(Tabla4[[#This Row],[Precio Descontado]]-Tabla4[[#This Row],[Precio Base]])*Tabla4[[#This Row],[Cantidad]]</f>
        <v>#N/A</v>
      </c>
      <c r="O2340" s="284" t="e">
        <f>++Tabla4[[#This Row],[Utilidad Total]]/Tabla4[[#This Row],[Total]]</f>
        <v>#N/A</v>
      </c>
      <c r="P2340" s="282">
        <f>++Tabla4[[#This Row],[Precio Descontado]]*Tabla4[[#This Row],[Cantidad]]</f>
        <v>15071.635356000001</v>
      </c>
      <c r="Q2340" s="282" t="e">
        <f>(INDEX(Tabla6[#All],MATCH(Tabla4[[#This Row],[Producto]],Tabla6[[#All],[PRODUCTO]],0),MATCH(Tabla4[[#This Row],[Mes]],Tabla6[#Headers],0)))</f>
        <v>#N/A</v>
      </c>
      <c r="R2340" s="282" t="e">
        <f>++Tabla4[[#This Row],[Precio Unitario Neto]]-Tabla4[[#This Row],[20.85%]]-Tabla4[[#This Row],[Costo]]</f>
        <v>#N/A</v>
      </c>
      <c r="S2340" s="282" t="e">
        <f>++Tabla4[[#This Row],[U. Bruta Uni]]*Tabla4[[#This Row],[Cantidad]]</f>
        <v>#N/A</v>
      </c>
      <c r="T2340" s="369" t="str">
        <f>VLOOKUP(Tabla4[[#This Row],[Producto]],Tabla6[#All],14,FALSE)</f>
        <v>Termico Solar</v>
      </c>
      <c r="U2340" s="284" t="e">
        <f>(IF(Tabla4[[#This Row],[Familia]]="termico solar",Tabla4[[#This Row],[Utilidad Total]]*6%,Tabla4[[#This Row],[Utilidad Total]]*11.5%))/Tabla4[[#This Row],[Total]]</f>
        <v>#N/A</v>
      </c>
      <c r="V2340" s="282" t="e">
        <f>+Tabla4[[#This Row],[Comisión Calculada]]*Tabla4[[#This Row],[Total]]</f>
        <v>#N/A</v>
      </c>
    </row>
    <row r="2341" spans="1:22" hidden="1" x14ac:dyDescent="0.25">
      <c r="A2341" s="100">
        <v>45777</v>
      </c>
      <c r="B2341" t="str">
        <f t="shared" si="118"/>
        <v>April</v>
      </c>
      <c r="C2341" s="46" t="s">
        <v>280</v>
      </c>
      <c r="F2341" s="366" t="s">
        <v>1599</v>
      </c>
      <c r="G2341" s="46" t="s">
        <v>83</v>
      </c>
      <c r="H2341" s="46">
        <v>3</v>
      </c>
      <c r="I2341" s="51">
        <v>8858.76</v>
      </c>
      <c r="J2341" s="281">
        <f>++Tabla4[[#This Row],[Precio Bruto]]*1.16</f>
        <v>10276.161599999999</v>
      </c>
      <c r="K2341" s="281">
        <f>+Tabla4[[#This Row],[Precio Unitario Neto]]*Tabla4[[#Headers],[20.85%]]</f>
        <v>2142.5796935999997</v>
      </c>
      <c r="L2341" s="282">
        <f>++Tabla4[[#This Row],[Precio Unitario Neto]]-Tabla4[[#This Row],[20.85%]]</f>
        <v>8133.5819063999998</v>
      </c>
      <c r="M2341" s="282" t="e">
        <f>(INDEX(Tabla6[#All],MATCH(Tabla4[[#This Row],[Producto]],Tabla6[[#All],[PRODUCTO]],0),MATCH(Tabla4[[#This Row],[Mes]],Tabla6[#Headers],0)))*(1+Catalogos!$L$2)</f>
        <v>#N/A</v>
      </c>
      <c r="N2341" s="283" t="e">
        <f>+(Tabla4[[#This Row],[Precio Descontado]]-Tabla4[[#This Row],[Precio Base]])*Tabla4[[#This Row],[Cantidad]]</f>
        <v>#N/A</v>
      </c>
      <c r="O2341" s="284" t="e">
        <f>++Tabla4[[#This Row],[Utilidad Total]]/Tabla4[[#This Row],[Total]]</f>
        <v>#N/A</v>
      </c>
      <c r="P2341" s="282">
        <f>++Tabla4[[#This Row],[Precio Descontado]]*Tabla4[[#This Row],[Cantidad]]</f>
        <v>24400.7457192</v>
      </c>
      <c r="Q2341" s="282" t="e">
        <f>(INDEX(Tabla6[#All],MATCH(Tabla4[[#This Row],[Producto]],Tabla6[[#All],[PRODUCTO]],0),MATCH(Tabla4[[#This Row],[Mes]],Tabla6[#Headers],0)))</f>
        <v>#N/A</v>
      </c>
      <c r="R2341" s="282" t="e">
        <f>++Tabla4[[#This Row],[Precio Unitario Neto]]-Tabla4[[#This Row],[20.85%]]-Tabla4[[#This Row],[Costo]]</f>
        <v>#N/A</v>
      </c>
      <c r="S2341" s="282" t="e">
        <f>++Tabla4[[#This Row],[U. Bruta Uni]]*Tabla4[[#This Row],[Cantidad]]</f>
        <v>#N/A</v>
      </c>
      <c r="T2341" s="369" t="str">
        <f>VLOOKUP(Tabla4[[#This Row],[Producto]],Tabla6[#All],14,FALSE)</f>
        <v>Termico Solar</v>
      </c>
      <c r="U2341" s="284" t="e">
        <f>(IF(Tabla4[[#This Row],[Familia]]="termico solar",Tabla4[[#This Row],[Utilidad Total]]*6%,Tabla4[[#This Row],[Utilidad Total]]*11.5%))/Tabla4[[#This Row],[Total]]</f>
        <v>#N/A</v>
      </c>
      <c r="V2341" s="282" t="e">
        <f>+Tabla4[[#This Row],[Comisión Calculada]]*Tabla4[[#This Row],[Total]]</f>
        <v>#N/A</v>
      </c>
    </row>
    <row r="2342" spans="1:22" hidden="1" x14ac:dyDescent="0.25">
      <c r="A2342" s="100">
        <v>45777</v>
      </c>
      <c r="B2342" t="str">
        <f t="shared" si="118"/>
        <v>April</v>
      </c>
      <c r="C2342" s="46" t="s">
        <v>280</v>
      </c>
      <c r="F2342" s="366" t="s">
        <v>1599</v>
      </c>
      <c r="G2342" s="46" t="s">
        <v>18</v>
      </c>
      <c r="H2342" s="46">
        <v>3</v>
      </c>
      <c r="I2342" s="51">
        <v>5367.6500000000005</v>
      </c>
      <c r="J2342" s="281">
        <f>++Tabla4[[#This Row],[Precio Bruto]]*1.16</f>
        <v>6226.4740000000002</v>
      </c>
      <c r="K2342" s="281">
        <f>+Tabla4[[#This Row],[Precio Unitario Neto]]*Tabla4[[#Headers],[20.85%]]</f>
        <v>1298.2198289999999</v>
      </c>
      <c r="L2342" s="282">
        <f>++Tabla4[[#This Row],[Precio Unitario Neto]]-Tabla4[[#This Row],[20.85%]]</f>
        <v>4928.2541710000005</v>
      </c>
      <c r="M2342" s="282" t="e">
        <f>(INDEX(Tabla6[#All],MATCH(Tabla4[[#This Row],[Producto]],Tabla6[[#All],[PRODUCTO]],0),MATCH(Tabla4[[#This Row],[Mes]],Tabla6[#Headers],0)))*(1+Catalogos!$L$2)</f>
        <v>#N/A</v>
      </c>
      <c r="N2342" s="283" t="e">
        <f>+(Tabla4[[#This Row],[Precio Descontado]]-Tabla4[[#This Row],[Precio Base]])*Tabla4[[#This Row],[Cantidad]]</f>
        <v>#N/A</v>
      </c>
      <c r="O2342" s="284" t="e">
        <f>++Tabla4[[#This Row],[Utilidad Total]]/Tabla4[[#This Row],[Total]]</f>
        <v>#N/A</v>
      </c>
      <c r="P2342" s="282">
        <f>++Tabla4[[#This Row],[Precio Descontado]]*Tabla4[[#This Row],[Cantidad]]</f>
        <v>14784.762513000001</v>
      </c>
      <c r="Q2342" s="282" t="e">
        <f>(INDEX(Tabla6[#All],MATCH(Tabla4[[#This Row],[Producto]],Tabla6[[#All],[PRODUCTO]],0),MATCH(Tabla4[[#This Row],[Mes]],Tabla6[#Headers],0)))</f>
        <v>#N/A</v>
      </c>
      <c r="R2342" s="282" t="e">
        <f>++Tabla4[[#This Row],[Precio Unitario Neto]]-Tabla4[[#This Row],[20.85%]]-Tabla4[[#This Row],[Costo]]</f>
        <v>#N/A</v>
      </c>
      <c r="S2342" s="282" t="e">
        <f>++Tabla4[[#This Row],[U. Bruta Uni]]*Tabla4[[#This Row],[Cantidad]]</f>
        <v>#N/A</v>
      </c>
      <c r="T2342" s="369" t="str">
        <f>VLOOKUP(Tabla4[[#This Row],[Producto]],Tabla6[#All],14,FALSE)</f>
        <v>Termico Solar</v>
      </c>
      <c r="U2342" s="284" t="e">
        <f>(IF(Tabla4[[#This Row],[Familia]]="termico solar",Tabla4[[#This Row],[Utilidad Total]]*6%,Tabla4[[#This Row],[Utilidad Total]]*11.5%))/Tabla4[[#This Row],[Total]]</f>
        <v>#N/A</v>
      </c>
      <c r="V2342" s="282" t="e">
        <f>+Tabla4[[#This Row],[Comisión Calculada]]*Tabla4[[#This Row],[Total]]</f>
        <v>#N/A</v>
      </c>
    </row>
    <row r="2343" spans="1:22" hidden="1" x14ac:dyDescent="0.25">
      <c r="A2343" s="100">
        <v>45777</v>
      </c>
      <c r="B2343" t="str">
        <f t="shared" si="118"/>
        <v>April</v>
      </c>
      <c r="C2343" s="46" t="s">
        <v>280</v>
      </c>
      <c r="F2343" s="366" t="s">
        <v>1599</v>
      </c>
      <c r="G2343" s="46" t="s">
        <v>566</v>
      </c>
      <c r="H2343" s="46">
        <v>1</v>
      </c>
      <c r="I2343" s="51">
        <v>2109.4499999999998</v>
      </c>
      <c r="J2343" s="281">
        <f>++Tabla4[[#This Row],[Precio Bruto]]*1.16</f>
        <v>2446.9619999999995</v>
      </c>
      <c r="K2343" s="281">
        <f>+Tabla4[[#This Row],[Precio Unitario Neto]]*Tabla4[[#Headers],[20.85%]]</f>
        <v>510.19157699999988</v>
      </c>
      <c r="L2343" s="282">
        <f>++Tabla4[[#This Row],[Precio Unitario Neto]]-Tabla4[[#This Row],[20.85%]]</f>
        <v>1936.7704229999997</v>
      </c>
      <c r="M2343" s="282" t="e">
        <f>(INDEX(Tabla6[#All],MATCH(Tabla4[[#This Row],[Producto]],Tabla6[[#All],[PRODUCTO]],0),MATCH(Tabla4[[#This Row],[Mes]],Tabla6[#Headers],0)))*(1+Catalogos!$L$2)</f>
        <v>#N/A</v>
      </c>
      <c r="N2343" s="283" t="e">
        <f>+(Tabla4[[#This Row],[Precio Descontado]]-Tabla4[[#This Row],[Precio Base]])*Tabla4[[#This Row],[Cantidad]]</f>
        <v>#N/A</v>
      </c>
      <c r="O2343" s="284" t="e">
        <f>++Tabla4[[#This Row],[Utilidad Total]]/Tabla4[[#This Row],[Total]]</f>
        <v>#N/A</v>
      </c>
      <c r="P2343" s="282">
        <f>++Tabla4[[#This Row],[Precio Descontado]]*Tabla4[[#This Row],[Cantidad]]</f>
        <v>1936.7704229999997</v>
      </c>
      <c r="Q2343" s="282" t="e">
        <f>(INDEX(Tabla6[#All],MATCH(Tabla4[[#This Row],[Producto]],Tabla6[[#All],[PRODUCTO]],0),MATCH(Tabla4[[#This Row],[Mes]],Tabla6[#Headers],0)))</f>
        <v>#N/A</v>
      </c>
      <c r="R2343" s="282" t="e">
        <f>++Tabla4[[#This Row],[Precio Unitario Neto]]-Tabla4[[#This Row],[20.85%]]-Tabla4[[#This Row],[Costo]]</f>
        <v>#N/A</v>
      </c>
      <c r="S2343" s="282" t="e">
        <f>++Tabla4[[#This Row],[U. Bruta Uni]]*Tabla4[[#This Row],[Cantidad]]</f>
        <v>#N/A</v>
      </c>
      <c r="T2343" s="369" t="str">
        <f>VLOOKUP(Tabla4[[#This Row],[Producto]],Tabla6[#All],14,FALSE)</f>
        <v>Termico Solar</v>
      </c>
      <c r="U2343" s="284" t="e">
        <f>(IF(Tabla4[[#This Row],[Familia]]="termico solar",Tabla4[[#This Row],[Utilidad Total]]*6%,Tabla4[[#This Row],[Utilidad Total]]*11.5%))/Tabla4[[#This Row],[Total]]</f>
        <v>#N/A</v>
      </c>
      <c r="V2343" s="282" t="e">
        <f>+Tabla4[[#This Row],[Comisión Calculada]]*Tabla4[[#This Row],[Total]]</f>
        <v>#N/A</v>
      </c>
    </row>
    <row r="2344" spans="1:22" hidden="1" x14ac:dyDescent="0.25">
      <c r="A2344" s="100">
        <v>45777</v>
      </c>
      <c r="B2344" t="str">
        <f t="shared" si="118"/>
        <v>April</v>
      </c>
      <c r="C2344" s="46" t="s">
        <v>280</v>
      </c>
      <c r="F2344" s="366" t="s">
        <v>1600</v>
      </c>
      <c r="G2344" s="46" t="s">
        <v>17</v>
      </c>
      <c r="H2344" s="46">
        <v>2</v>
      </c>
      <c r="I2344" s="51">
        <v>4622.28</v>
      </c>
      <c r="J2344" s="281">
        <f>++Tabla4[[#This Row],[Precio Bruto]]*1.16</f>
        <v>5361.8447999999989</v>
      </c>
      <c r="K2344" s="281">
        <f>+Tabla4[[#This Row],[Precio Unitario Neto]]*Tabla4[[#Headers],[20.85%]]</f>
        <v>1117.9446407999997</v>
      </c>
      <c r="L2344" s="282">
        <f>++Tabla4[[#This Row],[Precio Unitario Neto]]-Tabla4[[#This Row],[20.85%]]</f>
        <v>4243.9001591999995</v>
      </c>
      <c r="M2344" s="282" t="e">
        <f>(INDEX(Tabla6[#All],MATCH(Tabla4[[#This Row],[Producto]],Tabla6[[#All],[PRODUCTO]],0),MATCH(Tabla4[[#This Row],[Mes]],Tabla6[#Headers],0)))*(1+Catalogos!$L$2)</f>
        <v>#N/A</v>
      </c>
      <c r="N2344" s="283" t="e">
        <f>+(Tabla4[[#This Row],[Precio Descontado]]-Tabla4[[#This Row],[Precio Base]])*Tabla4[[#This Row],[Cantidad]]</f>
        <v>#N/A</v>
      </c>
      <c r="O2344" s="284" t="e">
        <f>++Tabla4[[#This Row],[Utilidad Total]]/Tabla4[[#This Row],[Total]]</f>
        <v>#N/A</v>
      </c>
      <c r="P2344" s="282">
        <f>++Tabla4[[#This Row],[Precio Descontado]]*Tabla4[[#This Row],[Cantidad]]</f>
        <v>8487.800318399999</v>
      </c>
      <c r="Q2344" s="282" t="e">
        <f>(INDEX(Tabla6[#All],MATCH(Tabla4[[#This Row],[Producto]],Tabla6[[#All],[PRODUCTO]],0),MATCH(Tabla4[[#This Row],[Mes]],Tabla6[#Headers],0)))</f>
        <v>#N/A</v>
      </c>
      <c r="R2344" s="282" t="e">
        <f>++Tabla4[[#This Row],[Precio Unitario Neto]]-Tabla4[[#This Row],[20.85%]]-Tabla4[[#This Row],[Costo]]</f>
        <v>#N/A</v>
      </c>
      <c r="S2344" s="282" t="e">
        <f>++Tabla4[[#This Row],[U. Bruta Uni]]*Tabla4[[#This Row],[Cantidad]]</f>
        <v>#N/A</v>
      </c>
      <c r="T2344" s="369" t="str">
        <f>VLOOKUP(Tabla4[[#This Row],[Producto]],Tabla6[#All],14,FALSE)</f>
        <v>Termico Solar</v>
      </c>
      <c r="U2344" s="284" t="e">
        <f>(IF(Tabla4[[#This Row],[Familia]]="termico solar",Tabla4[[#This Row],[Utilidad Total]]*6%,Tabla4[[#This Row],[Utilidad Total]]*11.5%))/Tabla4[[#This Row],[Total]]</f>
        <v>#N/A</v>
      </c>
      <c r="V2344" s="282" t="e">
        <f>+Tabla4[[#This Row],[Comisión Calculada]]*Tabla4[[#This Row],[Total]]</f>
        <v>#N/A</v>
      </c>
    </row>
    <row r="2345" spans="1:22" hidden="1" x14ac:dyDescent="0.25">
      <c r="A2345" s="100">
        <v>45777</v>
      </c>
      <c r="B2345" t="str">
        <f t="shared" si="118"/>
        <v>April</v>
      </c>
      <c r="C2345" s="46" t="s">
        <v>280</v>
      </c>
      <c r="F2345" s="366" t="s">
        <v>1600</v>
      </c>
      <c r="G2345" s="46" t="s">
        <v>18</v>
      </c>
      <c r="H2345" s="46">
        <v>4</v>
      </c>
      <c r="I2345" s="51">
        <v>5367.65</v>
      </c>
      <c r="J2345" s="281">
        <f>++Tabla4[[#This Row],[Precio Bruto]]*1.16</f>
        <v>6226.4739999999993</v>
      </c>
      <c r="K2345" s="281">
        <f>+Tabla4[[#This Row],[Precio Unitario Neto]]*Tabla4[[#Headers],[20.85%]]</f>
        <v>1298.2198289999999</v>
      </c>
      <c r="L2345" s="282">
        <f>++Tabla4[[#This Row],[Precio Unitario Neto]]-Tabla4[[#This Row],[20.85%]]</f>
        <v>4928.2541709999996</v>
      </c>
      <c r="M2345" s="282" t="e">
        <f>(INDEX(Tabla6[#All],MATCH(Tabla4[[#This Row],[Producto]],Tabla6[[#All],[PRODUCTO]],0),MATCH(Tabla4[[#This Row],[Mes]],Tabla6[#Headers],0)))*(1+Catalogos!$L$2)</f>
        <v>#N/A</v>
      </c>
      <c r="N2345" s="283" t="e">
        <f>+(Tabla4[[#This Row],[Precio Descontado]]-Tabla4[[#This Row],[Precio Base]])*Tabla4[[#This Row],[Cantidad]]</f>
        <v>#N/A</v>
      </c>
      <c r="O2345" s="284" t="e">
        <f>++Tabla4[[#This Row],[Utilidad Total]]/Tabla4[[#This Row],[Total]]</f>
        <v>#N/A</v>
      </c>
      <c r="P2345" s="282">
        <f>++Tabla4[[#This Row],[Precio Descontado]]*Tabla4[[#This Row],[Cantidad]]</f>
        <v>19713.016683999998</v>
      </c>
      <c r="Q2345" s="282" t="e">
        <f>(INDEX(Tabla6[#All],MATCH(Tabla4[[#This Row],[Producto]],Tabla6[[#All],[PRODUCTO]],0),MATCH(Tabla4[[#This Row],[Mes]],Tabla6[#Headers],0)))</f>
        <v>#N/A</v>
      </c>
      <c r="R2345" s="282" t="e">
        <f>++Tabla4[[#This Row],[Precio Unitario Neto]]-Tabla4[[#This Row],[20.85%]]-Tabla4[[#This Row],[Costo]]</f>
        <v>#N/A</v>
      </c>
      <c r="S2345" s="282" t="e">
        <f>++Tabla4[[#This Row],[U. Bruta Uni]]*Tabla4[[#This Row],[Cantidad]]</f>
        <v>#N/A</v>
      </c>
      <c r="T2345" s="369" t="str">
        <f>VLOOKUP(Tabla4[[#This Row],[Producto]],Tabla6[#All],14,FALSE)</f>
        <v>Termico Solar</v>
      </c>
      <c r="U2345" s="284" t="e">
        <f>(IF(Tabla4[[#This Row],[Familia]]="termico solar",Tabla4[[#This Row],[Utilidad Total]]*6%,Tabla4[[#This Row],[Utilidad Total]]*11.5%))/Tabla4[[#This Row],[Total]]</f>
        <v>#N/A</v>
      </c>
      <c r="V2345" s="282" t="e">
        <f>+Tabla4[[#This Row],[Comisión Calculada]]*Tabla4[[#This Row],[Total]]</f>
        <v>#N/A</v>
      </c>
    </row>
    <row r="2346" spans="1:22" hidden="1" x14ac:dyDescent="0.25">
      <c r="A2346" s="100">
        <v>45777</v>
      </c>
      <c r="B2346" t="str">
        <f t="shared" si="118"/>
        <v>April</v>
      </c>
      <c r="C2346" s="46" t="s">
        <v>280</v>
      </c>
      <c r="F2346" s="366" t="s">
        <v>1600</v>
      </c>
      <c r="G2346" s="46" t="s">
        <v>566</v>
      </c>
      <c r="H2346" s="46">
        <v>1</v>
      </c>
      <c r="I2346" s="51">
        <v>2109.4499999999998</v>
      </c>
      <c r="J2346" s="281">
        <f>++Tabla4[[#This Row],[Precio Bruto]]*1.16</f>
        <v>2446.9619999999995</v>
      </c>
      <c r="K2346" s="281">
        <f>+Tabla4[[#This Row],[Precio Unitario Neto]]*Tabla4[[#Headers],[20.85%]]</f>
        <v>510.19157699999988</v>
      </c>
      <c r="L2346" s="282">
        <f>++Tabla4[[#This Row],[Precio Unitario Neto]]-Tabla4[[#This Row],[20.85%]]</f>
        <v>1936.7704229999997</v>
      </c>
      <c r="M2346" s="282" t="e">
        <f>(INDEX(Tabla6[#All],MATCH(Tabla4[[#This Row],[Producto]],Tabla6[[#All],[PRODUCTO]],0),MATCH(Tabla4[[#This Row],[Mes]],Tabla6[#Headers],0)))*(1+Catalogos!$L$2)</f>
        <v>#N/A</v>
      </c>
      <c r="N2346" s="283" t="e">
        <f>+(Tabla4[[#This Row],[Precio Descontado]]-Tabla4[[#This Row],[Precio Base]])*Tabla4[[#This Row],[Cantidad]]</f>
        <v>#N/A</v>
      </c>
      <c r="O2346" s="284" t="e">
        <f>++Tabla4[[#This Row],[Utilidad Total]]/Tabla4[[#This Row],[Total]]</f>
        <v>#N/A</v>
      </c>
      <c r="P2346" s="282">
        <f>++Tabla4[[#This Row],[Precio Descontado]]*Tabla4[[#This Row],[Cantidad]]</f>
        <v>1936.7704229999997</v>
      </c>
      <c r="Q2346" s="282" t="e">
        <f>(INDEX(Tabla6[#All],MATCH(Tabla4[[#This Row],[Producto]],Tabla6[[#All],[PRODUCTO]],0),MATCH(Tabla4[[#This Row],[Mes]],Tabla6[#Headers],0)))</f>
        <v>#N/A</v>
      </c>
      <c r="R2346" s="282" t="e">
        <f>++Tabla4[[#This Row],[Precio Unitario Neto]]-Tabla4[[#This Row],[20.85%]]-Tabla4[[#This Row],[Costo]]</f>
        <v>#N/A</v>
      </c>
      <c r="S2346" s="282" t="e">
        <f>++Tabla4[[#This Row],[U. Bruta Uni]]*Tabla4[[#This Row],[Cantidad]]</f>
        <v>#N/A</v>
      </c>
      <c r="T2346" s="369" t="str">
        <f>VLOOKUP(Tabla4[[#This Row],[Producto]],Tabla6[#All],14,FALSE)</f>
        <v>Termico Solar</v>
      </c>
      <c r="U2346" s="284" t="e">
        <f>(IF(Tabla4[[#This Row],[Familia]]="termico solar",Tabla4[[#This Row],[Utilidad Total]]*6%,Tabla4[[#This Row],[Utilidad Total]]*11.5%))/Tabla4[[#This Row],[Total]]</f>
        <v>#N/A</v>
      </c>
      <c r="V2346" s="282" t="e">
        <f>+Tabla4[[#This Row],[Comisión Calculada]]*Tabla4[[#This Row],[Total]]</f>
        <v>#N/A</v>
      </c>
    </row>
    <row r="2347" spans="1:22" hidden="1" x14ac:dyDescent="0.25">
      <c r="A2347" s="100">
        <v>45777</v>
      </c>
      <c r="B2347" t="str">
        <f t="shared" si="118"/>
        <v>April</v>
      </c>
      <c r="C2347" s="46" t="s">
        <v>280</v>
      </c>
      <c r="F2347" s="366" t="s">
        <v>1600</v>
      </c>
      <c r="G2347" s="46" t="s">
        <v>208</v>
      </c>
      <c r="H2347" s="46">
        <v>2</v>
      </c>
      <c r="I2347" s="51">
        <v>189.75</v>
      </c>
      <c r="J2347" s="281">
        <f>++Tabla4[[#This Row],[Precio Bruto]]*1.16</f>
        <v>220.10999999999999</v>
      </c>
      <c r="K2347" s="281">
        <f>+Tabla4[[#This Row],[Precio Unitario Neto]]*Tabla4[[#Headers],[20.85%]]</f>
        <v>45.892934999999994</v>
      </c>
      <c r="L2347" s="282">
        <f>++Tabla4[[#This Row],[Precio Unitario Neto]]-Tabla4[[#This Row],[20.85%]]</f>
        <v>174.21706499999999</v>
      </c>
      <c r="M2347" s="282" t="e">
        <f>(INDEX(Tabla6[#All],MATCH(Tabla4[[#This Row],[Producto]],Tabla6[[#All],[PRODUCTO]],0),MATCH(Tabla4[[#This Row],[Mes]],Tabla6[#Headers],0)))*(1+Catalogos!$L$2)</f>
        <v>#N/A</v>
      </c>
      <c r="N2347" s="283" t="e">
        <f>+(Tabla4[[#This Row],[Precio Descontado]]-Tabla4[[#This Row],[Precio Base]])*Tabla4[[#This Row],[Cantidad]]</f>
        <v>#N/A</v>
      </c>
      <c r="O2347" s="284" t="e">
        <f>++Tabla4[[#This Row],[Utilidad Total]]/Tabla4[[#This Row],[Total]]</f>
        <v>#N/A</v>
      </c>
      <c r="P2347" s="282">
        <f>++Tabla4[[#This Row],[Precio Descontado]]*Tabla4[[#This Row],[Cantidad]]</f>
        <v>348.43412999999998</v>
      </c>
      <c r="Q2347" s="282" t="e">
        <f>(INDEX(Tabla6[#All],MATCH(Tabla4[[#This Row],[Producto]],Tabla6[[#All],[PRODUCTO]],0),MATCH(Tabla4[[#This Row],[Mes]],Tabla6[#Headers],0)))</f>
        <v>#N/A</v>
      </c>
      <c r="R2347" s="282" t="e">
        <f>++Tabla4[[#This Row],[Precio Unitario Neto]]-Tabla4[[#This Row],[20.85%]]-Tabla4[[#This Row],[Costo]]</f>
        <v>#N/A</v>
      </c>
      <c r="S2347" s="282" t="e">
        <f>++Tabla4[[#This Row],[U. Bruta Uni]]*Tabla4[[#This Row],[Cantidad]]</f>
        <v>#N/A</v>
      </c>
      <c r="T2347" s="369" t="str">
        <f>VLOOKUP(Tabla4[[#This Row],[Producto]],Tabla6[#All],14,FALSE)</f>
        <v>Termico Solar</v>
      </c>
      <c r="U2347" s="284" t="e">
        <f>(IF(Tabla4[[#This Row],[Familia]]="termico solar",Tabla4[[#This Row],[Utilidad Total]]*6%,Tabla4[[#This Row],[Utilidad Total]]*11.5%))/Tabla4[[#This Row],[Total]]</f>
        <v>#N/A</v>
      </c>
      <c r="V2347" s="282" t="e">
        <f>+Tabla4[[#This Row],[Comisión Calculada]]*Tabla4[[#This Row],[Total]]</f>
        <v>#N/A</v>
      </c>
    </row>
    <row r="2348" spans="1:22" hidden="1" x14ac:dyDescent="0.25">
      <c r="A2348" s="100">
        <v>45777</v>
      </c>
      <c r="B2348" t="str">
        <f t="shared" si="118"/>
        <v>April</v>
      </c>
      <c r="C2348" s="46" t="s">
        <v>280</v>
      </c>
      <c r="F2348" s="366" t="s">
        <v>1601</v>
      </c>
      <c r="G2348" s="46" t="s">
        <v>83</v>
      </c>
      <c r="H2348" s="46">
        <v>4</v>
      </c>
      <c r="I2348" s="51">
        <v>8858.76</v>
      </c>
      <c r="J2348" s="281">
        <f>++Tabla4[[#This Row],[Precio Bruto]]*1.16</f>
        <v>10276.161599999999</v>
      </c>
      <c r="K2348" s="281">
        <f>+Tabla4[[#This Row],[Precio Unitario Neto]]*Tabla4[[#Headers],[20.85%]]</f>
        <v>2142.5796935999997</v>
      </c>
      <c r="L2348" s="282">
        <f>++Tabla4[[#This Row],[Precio Unitario Neto]]-Tabla4[[#This Row],[20.85%]]</f>
        <v>8133.5819063999998</v>
      </c>
      <c r="M2348" s="282" t="e">
        <f>(INDEX(Tabla6[#All],MATCH(Tabla4[[#This Row],[Producto]],Tabla6[[#All],[PRODUCTO]],0),MATCH(Tabla4[[#This Row],[Mes]],Tabla6[#Headers],0)))*(1+Catalogos!$L$2)</f>
        <v>#N/A</v>
      </c>
      <c r="N2348" s="283" t="e">
        <f>+(Tabla4[[#This Row],[Precio Descontado]]-Tabla4[[#This Row],[Precio Base]])*Tabla4[[#This Row],[Cantidad]]</f>
        <v>#N/A</v>
      </c>
      <c r="O2348" s="284" t="e">
        <f>++Tabla4[[#This Row],[Utilidad Total]]/Tabla4[[#This Row],[Total]]</f>
        <v>#N/A</v>
      </c>
      <c r="P2348" s="282">
        <f>++Tabla4[[#This Row],[Precio Descontado]]*Tabla4[[#This Row],[Cantidad]]</f>
        <v>32534.327625599999</v>
      </c>
      <c r="Q2348" s="282" t="e">
        <f>(INDEX(Tabla6[#All],MATCH(Tabla4[[#This Row],[Producto]],Tabla6[[#All],[PRODUCTO]],0),MATCH(Tabla4[[#This Row],[Mes]],Tabla6[#Headers],0)))</f>
        <v>#N/A</v>
      </c>
      <c r="R2348" s="282" t="e">
        <f>++Tabla4[[#This Row],[Precio Unitario Neto]]-Tabla4[[#This Row],[20.85%]]-Tabla4[[#This Row],[Costo]]</f>
        <v>#N/A</v>
      </c>
      <c r="S2348" s="282" t="e">
        <f>++Tabla4[[#This Row],[U. Bruta Uni]]*Tabla4[[#This Row],[Cantidad]]</f>
        <v>#N/A</v>
      </c>
      <c r="T2348" s="369" t="str">
        <f>VLOOKUP(Tabla4[[#This Row],[Producto]],Tabla6[#All],14,FALSE)</f>
        <v>Termico Solar</v>
      </c>
      <c r="U2348" s="284" t="e">
        <f>(IF(Tabla4[[#This Row],[Familia]]="termico solar",Tabla4[[#This Row],[Utilidad Total]]*6%,Tabla4[[#This Row],[Utilidad Total]]*11.5%))/Tabla4[[#This Row],[Total]]</f>
        <v>#N/A</v>
      </c>
      <c r="V2348" s="282" t="e">
        <f>+Tabla4[[#This Row],[Comisión Calculada]]*Tabla4[[#This Row],[Total]]</f>
        <v>#N/A</v>
      </c>
    </row>
    <row r="2349" spans="1:22" hidden="1" x14ac:dyDescent="0.25">
      <c r="A2349" s="100">
        <v>45777</v>
      </c>
      <c r="B2349" t="str">
        <f t="shared" si="118"/>
        <v>April</v>
      </c>
      <c r="C2349" s="46" t="s">
        <v>280</v>
      </c>
      <c r="F2349" s="366" t="s">
        <v>1601</v>
      </c>
      <c r="G2349" s="46" t="s">
        <v>17</v>
      </c>
      <c r="H2349" s="46">
        <v>3</v>
      </c>
      <c r="I2349" s="51">
        <v>4622.28</v>
      </c>
      <c r="J2349" s="281">
        <f>++Tabla4[[#This Row],[Precio Bruto]]*1.16</f>
        <v>5361.8447999999989</v>
      </c>
      <c r="K2349" s="281">
        <f>+Tabla4[[#This Row],[Precio Unitario Neto]]*Tabla4[[#Headers],[20.85%]]</f>
        <v>1117.9446407999997</v>
      </c>
      <c r="L2349" s="282">
        <f>++Tabla4[[#This Row],[Precio Unitario Neto]]-Tabla4[[#This Row],[20.85%]]</f>
        <v>4243.9001591999995</v>
      </c>
      <c r="M2349" s="282" t="e">
        <f>(INDEX(Tabla6[#All],MATCH(Tabla4[[#This Row],[Producto]],Tabla6[[#All],[PRODUCTO]],0),MATCH(Tabla4[[#This Row],[Mes]],Tabla6[#Headers],0)))*(1+Catalogos!$L$2)</f>
        <v>#N/A</v>
      </c>
      <c r="N2349" s="283" t="e">
        <f>+(Tabla4[[#This Row],[Precio Descontado]]-Tabla4[[#This Row],[Precio Base]])*Tabla4[[#This Row],[Cantidad]]</f>
        <v>#N/A</v>
      </c>
      <c r="O2349" s="284" t="e">
        <f>++Tabla4[[#This Row],[Utilidad Total]]/Tabla4[[#This Row],[Total]]</f>
        <v>#N/A</v>
      </c>
      <c r="P2349" s="282">
        <f>++Tabla4[[#This Row],[Precio Descontado]]*Tabla4[[#This Row],[Cantidad]]</f>
        <v>12731.700477599999</v>
      </c>
      <c r="Q2349" s="282" t="e">
        <f>(INDEX(Tabla6[#All],MATCH(Tabla4[[#This Row],[Producto]],Tabla6[[#All],[PRODUCTO]],0),MATCH(Tabla4[[#This Row],[Mes]],Tabla6[#Headers],0)))</f>
        <v>#N/A</v>
      </c>
      <c r="R2349" s="282" t="e">
        <f>++Tabla4[[#This Row],[Precio Unitario Neto]]-Tabla4[[#This Row],[20.85%]]-Tabla4[[#This Row],[Costo]]</f>
        <v>#N/A</v>
      </c>
      <c r="S2349" s="282" t="e">
        <f>++Tabla4[[#This Row],[U. Bruta Uni]]*Tabla4[[#This Row],[Cantidad]]</f>
        <v>#N/A</v>
      </c>
      <c r="T2349" s="369" t="str">
        <f>VLOOKUP(Tabla4[[#This Row],[Producto]],Tabla6[#All],14,FALSE)</f>
        <v>Termico Solar</v>
      </c>
      <c r="U2349" s="284" t="e">
        <f>(IF(Tabla4[[#This Row],[Familia]]="termico solar",Tabla4[[#This Row],[Utilidad Total]]*6%,Tabla4[[#This Row],[Utilidad Total]]*11.5%))/Tabla4[[#This Row],[Total]]</f>
        <v>#N/A</v>
      </c>
      <c r="V2349" s="282" t="e">
        <f>+Tabla4[[#This Row],[Comisión Calculada]]*Tabla4[[#This Row],[Total]]</f>
        <v>#N/A</v>
      </c>
    </row>
    <row r="2350" spans="1:22" hidden="1" x14ac:dyDescent="0.25">
      <c r="A2350" s="100">
        <v>45777</v>
      </c>
      <c r="B2350" t="str">
        <f t="shared" si="118"/>
        <v>April</v>
      </c>
      <c r="C2350" s="46" t="s">
        <v>280</v>
      </c>
      <c r="F2350" s="366" t="s">
        <v>1601</v>
      </c>
      <c r="G2350" s="46" t="s">
        <v>412</v>
      </c>
      <c r="H2350" s="46">
        <v>1</v>
      </c>
      <c r="I2350" s="51">
        <v>3240.84</v>
      </c>
      <c r="J2350" s="281">
        <f>++Tabla4[[#This Row],[Precio Bruto]]*1.16</f>
        <v>3759.3743999999997</v>
      </c>
      <c r="K2350" s="281">
        <f>+Tabla4[[#This Row],[Precio Unitario Neto]]*Tabla4[[#Headers],[20.85%]]</f>
        <v>783.82956239999987</v>
      </c>
      <c r="L2350" s="282">
        <f>++Tabla4[[#This Row],[Precio Unitario Neto]]-Tabla4[[#This Row],[20.85%]]</f>
        <v>2975.5448375999999</v>
      </c>
      <c r="M2350" s="282" t="e">
        <f>(INDEX(Tabla6[#All],MATCH(Tabla4[[#This Row],[Producto]],Tabla6[[#All],[PRODUCTO]],0),MATCH(Tabla4[[#This Row],[Mes]],Tabla6[#Headers],0)))*(1+Catalogos!$L$2)</f>
        <v>#N/A</v>
      </c>
      <c r="N2350" s="283" t="e">
        <f>+(Tabla4[[#This Row],[Precio Descontado]]-Tabla4[[#This Row],[Precio Base]])*Tabla4[[#This Row],[Cantidad]]</f>
        <v>#N/A</v>
      </c>
      <c r="O2350" s="284" t="e">
        <f>++Tabla4[[#This Row],[Utilidad Total]]/Tabla4[[#This Row],[Total]]</f>
        <v>#N/A</v>
      </c>
      <c r="P2350" s="282">
        <f>++Tabla4[[#This Row],[Precio Descontado]]*Tabla4[[#This Row],[Cantidad]]</f>
        <v>2975.5448375999999</v>
      </c>
      <c r="Q2350" s="282" t="e">
        <f>(INDEX(Tabla6[#All],MATCH(Tabla4[[#This Row],[Producto]],Tabla6[[#All],[PRODUCTO]],0),MATCH(Tabla4[[#This Row],[Mes]],Tabla6[#Headers],0)))</f>
        <v>#N/A</v>
      </c>
      <c r="R2350" s="282" t="e">
        <f>++Tabla4[[#This Row],[Precio Unitario Neto]]-Tabla4[[#This Row],[20.85%]]-Tabla4[[#This Row],[Costo]]</f>
        <v>#N/A</v>
      </c>
      <c r="S2350" s="282" t="e">
        <f>++Tabla4[[#This Row],[U. Bruta Uni]]*Tabla4[[#This Row],[Cantidad]]</f>
        <v>#N/A</v>
      </c>
      <c r="T2350" s="369" t="str">
        <f>VLOOKUP(Tabla4[[#This Row],[Producto]],Tabla6[#All],14,FALSE)</f>
        <v>Termico Solar</v>
      </c>
      <c r="U2350" s="284" t="e">
        <f>(IF(Tabla4[[#This Row],[Familia]]="termico solar",Tabla4[[#This Row],[Utilidad Total]]*6%,Tabla4[[#This Row],[Utilidad Total]]*11.5%))/Tabla4[[#This Row],[Total]]</f>
        <v>#N/A</v>
      </c>
      <c r="V2350" s="282" t="e">
        <f>+Tabla4[[#This Row],[Comisión Calculada]]*Tabla4[[#This Row],[Total]]</f>
        <v>#N/A</v>
      </c>
    </row>
    <row r="2351" spans="1:22" hidden="1" x14ac:dyDescent="0.25">
      <c r="A2351" s="100">
        <v>45777</v>
      </c>
      <c r="B2351" t="str">
        <f t="shared" si="118"/>
        <v>April</v>
      </c>
      <c r="C2351" s="46" t="s">
        <v>280</v>
      </c>
      <c r="F2351" s="366" t="s">
        <v>1601</v>
      </c>
      <c r="G2351" s="46" t="s">
        <v>16</v>
      </c>
      <c r="H2351" s="46">
        <v>2</v>
      </c>
      <c r="I2351" s="51">
        <v>4103.8500000000004</v>
      </c>
      <c r="J2351" s="281">
        <f>++Tabla4[[#This Row],[Precio Bruto]]*1.16</f>
        <v>4760.4660000000003</v>
      </c>
      <c r="K2351" s="281">
        <f>+Tabla4[[#This Row],[Precio Unitario Neto]]*Tabla4[[#Headers],[20.85%]]</f>
        <v>992.55716100000006</v>
      </c>
      <c r="L2351" s="282">
        <f>++Tabla4[[#This Row],[Precio Unitario Neto]]-Tabla4[[#This Row],[20.85%]]</f>
        <v>3767.9088390000002</v>
      </c>
      <c r="M2351" s="282" t="e">
        <f>(INDEX(Tabla6[#All],MATCH(Tabla4[[#This Row],[Producto]],Tabla6[[#All],[PRODUCTO]],0),MATCH(Tabla4[[#This Row],[Mes]],Tabla6[#Headers],0)))*(1+Catalogos!$L$2)</f>
        <v>#N/A</v>
      </c>
      <c r="N2351" s="283" t="e">
        <f>+(Tabla4[[#This Row],[Precio Descontado]]-Tabla4[[#This Row],[Precio Base]])*Tabla4[[#This Row],[Cantidad]]</f>
        <v>#N/A</v>
      </c>
      <c r="O2351" s="284" t="e">
        <f>++Tabla4[[#This Row],[Utilidad Total]]/Tabla4[[#This Row],[Total]]</f>
        <v>#N/A</v>
      </c>
      <c r="P2351" s="282">
        <f>++Tabla4[[#This Row],[Precio Descontado]]*Tabla4[[#This Row],[Cantidad]]</f>
        <v>7535.8176780000003</v>
      </c>
      <c r="Q2351" s="282" t="e">
        <f>(INDEX(Tabla6[#All],MATCH(Tabla4[[#This Row],[Producto]],Tabla6[[#All],[PRODUCTO]],0),MATCH(Tabla4[[#This Row],[Mes]],Tabla6[#Headers],0)))</f>
        <v>#N/A</v>
      </c>
      <c r="R2351" s="282" t="e">
        <f>++Tabla4[[#This Row],[Precio Unitario Neto]]-Tabla4[[#This Row],[20.85%]]-Tabla4[[#This Row],[Costo]]</f>
        <v>#N/A</v>
      </c>
      <c r="S2351" s="282" t="e">
        <f>++Tabla4[[#This Row],[U. Bruta Uni]]*Tabla4[[#This Row],[Cantidad]]</f>
        <v>#N/A</v>
      </c>
      <c r="T2351" s="369" t="str">
        <f>VLOOKUP(Tabla4[[#This Row],[Producto]],Tabla6[#All],14,FALSE)</f>
        <v>Termico Solar</v>
      </c>
      <c r="U2351" s="284" t="e">
        <f>(IF(Tabla4[[#This Row],[Familia]]="termico solar",Tabla4[[#This Row],[Utilidad Total]]*6%,Tabla4[[#This Row],[Utilidad Total]]*11.5%))/Tabla4[[#This Row],[Total]]</f>
        <v>#N/A</v>
      </c>
      <c r="V2351" s="282" t="e">
        <f>+Tabla4[[#This Row],[Comisión Calculada]]*Tabla4[[#This Row],[Total]]</f>
        <v>#N/A</v>
      </c>
    </row>
    <row r="2352" spans="1:22" hidden="1" x14ac:dyDescent="0.25">
      <c r="A2352" s="100">
        <v>45777</v>
      </c>
      <c r="B2352" t="str">
        <f t="shared" si="118"/>
        <v>April</v>
      </c>
      <c r="C2352" s="46" t="s">
        <v>280</v>
      </c>
      <c r="F2352" s="366" t="s">
        <v>1602</v>
      </c>
      <c r="G2352" s="46" t="s">
        <v>83</v>
      </c>
      <c r="H2352" s="46">
        <v>2</v>
      </c>
      <c r="I2352" s="51">
        <v>8858.76</v>
      </c>
      <c r="J2352" s="281">
        <f>++Tabla4[[#This Row],[Precio Bruto]]*1.16</f>
        <v>10276.161599999999</v>
      </c>
      <c r="K2352" s="281">
        <f>+Tabla4[[#This Row],[Precio Unitario Neto]]*Tabla4[[#Headers],[20.85%]]</f>
        <v>2142.5796935999997</v>
      </c>
      <c r="L2352" s="282">
        <f>++Tabla4[[#This Row],[Precio Unitario Neto]]-Tabla4[[#This Row],[20.85%]]</f>
        <v>8133.5819063999998</v>
      </c>
      <c r="M2352" s="282" t="e">
        <f>(INDEX(Tabla6[#All],MATCH(Tabla4[[#This Row],[Producto]],Tabla6[[#All],[PRODUCTO]],0),MATCH(Tabla4[[#This Row],[Mes]],Tabla6[#Headers],0)))*(1+Catalogos!$L$2)</f>
        <v>#N/A</v>
      </c>
      <c r="N2352" s="283" t="e">
        <f>+(Tabla4[[#This Row],[Precio Descontado]]-Tabla4[[#This Row],[Precio Base]])*Tabla4[[#This Row],[Cantidad]]</f>
        <v>#N/A</v>
      </c>
      <c r="O2352" s="284" t="e">
        <f>++Tabla4[[#This Row],[Utilidad Total]]/Tabla4[[#This Row],[Total]]</f>
        <v>#N/A</v>
      </c>
      <c r="P2352" s="282">
        <f>++Tabla4[[#This Row],[Precio Descontado]]*Tabla4[[#This Row],[Cantidad]]</f>
        <v>16267.1638128</v>
      </c>
      <c r="Q2352" s="282" t="e">
        <f>(INDEX(Tabla6[#All],MATCH(Tabla4[[#This Row],[Producto]],Tabla6[[#All],[PRODUCTO]],0),MATCH(Tabla4[[#This Row],[Mes]],Tabla6[#Headers],0)))</f>
        <v>#N/A</v>
      </c>
      <c r="R2352" s="282" t="e">
        <f>++Tabla4[[#This Row],[Precio Unitario Neto]]-Tabla4[[#This Row],[20.85%]]-Tabla4[[#This Row],[Costo]]</f>
        <v>#N/A</v>
      </c>
      <c r="S2352" s="282" t="e">
        <f>++Tabla4[[#This Row],[U. Bruta Uni]]*Tabla4[[#This Row],[Cantidad]]</f>
        <v>#N/A</v>
      </c>
      <c r="T2352" s="369" t="str">
        <f>VLOOKUP(Tabla4[[#This Row],[Producto]],Tabla6[#All],14,FALSE)</f>
        <v>Termico Solar</v>
      </c>
      <c r="U2352" s="284" t="e">
        <f>(IF(Tabla4[[#This Row],[Familia]]="termico solar",Tabla4[[#This Row],[Utilidad Total]]*6%,Tabla4[[#This Row],[Utilidad Total]]*11.5%))/Tabla4[[#This Row],[Total]]</f>
        <v>#N/A</v>
      </c>
      <c r="V2352" s="282" t="e">
        <f>+Tabla4[[#This Row],[Comisión Calculada]]*Tabla4[[#This Row],[Total]]</f>
        <v>#N/A</v>
      </c>
    </row>
    <row r="2353" spans="1:22" hidden="1" x14ac:dyDescent="0.25">
      <c r="A2353" s="100">
        <v>45777</v>
      </c>
      <c r="B2353" t="str">
        <f t="shared" si="118"/>
        <v>April</v>
      </c>
      <c r="C2353" s="46" t="s">
        <v>280</v>
      </c>
      <c r="F2353" s="366" t="s">
        <v>1602</v>
      </c>
      <c r="G2353" s="46" t="s">
        <v>17</v>
      </c>
      <c r="H2353" s="46">
        <v>2</v>
      </c>
      <c r="I2353" s="51">
        <v>4622.28</v>
      </c>
      <c r="J2353" s="281">
        <f>++Tabla4[[#This Row],[Precio Bruto]]*1.16</f>
        <v>5361.8447999999989</v>
      </c>
      <c r="K2353" s="281">
        <f>+Tabla4[[#This Row],[Precio Unitario Neto]]*Tabla4[[#Headers],[20.85%]]</f>
        <v>1117.9446407999997</v>
      </c>
      <c r="L2353" s="282">
        <f>++Tabla4[[#This Row],[Precio Unitario Neto]]-Tabla4[[#This Row],[20.85%]]</f>
        <v>4243.9001591999995</v>
      </c>
      <c r="M2353" s="282" t="e">
        <f>(INDEX(Tabla6[#All],MATCH(Tabla4[[#This Row],[Producto]],Tabla6[[#All],[PRODUCTO]],0),MATCH(Tabla4[[#This Row],[Mes]],Tabla6[#Headers],0)))*(1+Catalogos!$L$2)</f>
        <v>#N/A</v>
      </c>
      <c r="N2353" s="283" t="e">
        <f>+(Tabla4[[#This Row],[Precio Descontado]]-Tabla4[[#This Row],[Precio Base]])*Tabla4[[#This Row],[Cantidad]]</f>
        <v>#N/A</v>
      </c>
      <c r="O2353" s="284" t="e">
        <f>++Tabla4[[#This Row],[Utilidad Total]]/Tabla4[[#This Row],[Total]]</f>
        <v>#N/A</v>
      </c>
      <c r="P2353" s="282">
        <f>++Tabla4[[#This Row],[Precio Descontado]]*Tabla4[[#This Row],[Cantidad]]</f>
        <v>8487.800318399999</v>
      </c>
      <c r="Q2353" s="282" t="e">
        <f>(INDEX(Tabla6[#All],MATCH(Tabla4[[#This Row],[Producto]],Tabla6[[#All],[PRODUCTO]],0),MATCH(Tabla4[[#This Row],[Mes]],Tabla6[#Headers],0)))</f>
        <v>#N/A</v>
      </c>
      <c r="R2353" s="282" t="e">
        <f>++Tabla4[[#This Row],[Precio Unitario Neto]]-Tabla4[[#This Row],[20.85%]]-Tabla4[[#This Row],[Costo]]</f>
        <v>#N/A</v>
      </c>
      <c r="S2353" s="282" t="e">
        <f>++Tabla4[[#This Row],[U. Bruta Uni]]*Tabla4[[#This Row],[Cantidad]]</f>
        <v>#N/A</v>
      </c>
      <c r="T2353" s="369" t="str">
        <f>VLOOKUP(Tabla4[[#This Row],[Producto]],Tabla6[#All],14,FALSE)</f>
        <v>Termico Solar</v>
      </c>
      <c r="U2353" s="284" t="e">
        <f>(IF(Tabla4[[#This Row],[Familia]]="termico solar",Tabla4[[#This Row],[Utilidad Total]]*6%,Tabla4[[#This Row],[Utilidad Total]]*11.5%))/Tabla4[[#This Row],[Total]]</f>
        <v>#N/A</v>
      </c>
      <c r="V2353" s="282" t="e">
        <f>+Tabla4[[#This Row],[Comisión Calculada]]*Tabla4[[#This Row],[Total]]</f>
        <v>#N/A</v>
      </c>
    </row>
    <row r="2354" spans="1:22" hidden="1" x14ac:dyDescent="0.25">
      <c r="A2354" s="100">
        <v>45777</v>
      </c>
      <c r="B2354" t="str">
        <f t="shared" si="118"/>
        <v>April</v>
      </c>
      <c r="C2354" s="46" t="s">
        <v>280</v>
      </c>
      <c r="F2354" s="366" t="s">
        <v>1602</v>
      </c>
      <c r="G2354" s="46" t="s">
        <v>16</v>
      </c>
      <c r="H2354" s="46">
        <v>1</v>
      </c>
      <c r="I2354" s="51">
        <v>4103.8500000000004</v>
      </c>
      <c r="J2354" s="281">
        <f>++Tabla4[[#This Row],[Precio Bruto]]*1.16</f>
        <v>4760.4660000000003</v>
      </c>
      <c r="K2354" s="281">
        <f>+Tabla4[[#This Row],[Precio Unitario Neto]]*Tabla4[[#Headers],[20.85%]]</f>
        <v>992.55716100000006</v>
      </c>
      <c r="L2354" s="282">
        <f>++Tabla4[[#This Row],[Precio Unitario Neto]]-Tabla4[[#This Row],[20.85%]]</f>
        <v>3767.9088390000002</v>
      </c>
      <c r="M2354" s="282" t="e">
        <f>(INDEX(Tabla6[#All],MATCH(Tabla4[[#This Row],[Producto]],Tabla6[[#All],[PRODUCTO]],0),MATCH(Tabla4[[#This Row],[Mes]],Tabla6[#Headers],0)))*(1+Catalogos!$L$2)</f>
        <v>#N/A</v>
      </c>
      <c r="N2354" s="283" t="e">
        <f>+(Tabla4[[#This Row],[Precio Descontado]]-Tabla4[[#This Row],[Precio Base]])*Tabla4[[#This Row],[Cantidad]]</f>
        <v>#N/A</v>
      </c>
      <c r="O2354" s="284" t="e">
        <f>++Tabla4[[#This Row],[Utilidad Total]]/Tabla4[[#This Row],[Total]]</f>
        <v>#N/A</v>
      </c>
      <c r="P2354" s="282">
        <f>++Tabla4[[#This Row],[Precio Descontado]]*Tabla4[[#This Row],[Cantidad]]</f>
        <v>3767.9088390000002</v>
      </c>
      <c r="Q2354" s="282" t="e">
        <f>(INDEX(Tabla6[#All],MATCH(Tabla4[[#This Row],[Producto]],Tabla6[[#All],[PRODUCTO]],0),MATCH(Tabla4[[#This Row],[Mes]],Tabla6[#Headers],0)))</f>
        <v>#N/A</v>
      </c>
      <c r="R2354" s="282" t="e">
        <f>++Tabla4[[#This Row],[Precio Unitario Neto]]-Tabla4[[#This Row],[20.85%]]-Tabla4[[#This Row],[Costo]]</f>
        <v>#N/A</v>
      </c>
      <c r="S2354" s="282" t="e">
        <f>++Tabla4[[#This Row],[U. Bruta Uni]]*Tabla4[[#This Row],[Cantidad]]</f>
        <v>#N/A</v>
      </c>
      <c r="T2354" s="369" t="str">
        <f>VLOOKUP(Tabla4[[#This Row],[Producto]],Tabla6[#All],14,FALSE)</f>
        <v>Termico Solar</v>
      </c>
      <c r="U2354" s="284" t="e">
        <f>(IF(Tabla4[[#This Row],[Familia]]="termico solar",Tabla4[[#This Row],[Utilidad Total]]*6%,Tabla4[[#This Row],[Utilidad Total]]*11.5%))/Tabla4[[#This Row],[Total]]</f>
        <v>#N/A</v>
      </c>
      <c r="V2354" s="282" t="e">
        <f>+Tabla4[[#This Row],[Comisión Calculada]]*Tabla4[[#This Row],[Total]]</f>
        <v>#N/A</v>
      </c>
    </row>
    <row r="2355" spans="1:22" hidden="1" x14ac:dyDescent="0.25">
      <c r="A2355" s="100">
        <v>45777</v>
      </c>
      <c r="B2355" t="str">
        <f t="shared" si="118"/>
        <v>April</v>
      </c>
      <c r="C2355" s="46" t="s">
        <v>280</v>
      </c>
      <c r="F2355" s="366" t="s">
        <v>1602</v>
      </c>
      <c r="G2355" s="46" t="s">
        <v>208</v>
      </c>
      <c r="H2355" s="46">
        <v>2</v>
      </c>
      <c r="I2355" s="51">
        <v>189.75</v>
      </c>
      <c r="J2355" s="281">
        <f>++Tabla4[[#This Row],[Precio Bruto]]*1.16</f>
        <v>220.10999999999999</v>
      </c>
      <c r="K2355" s="281">
        <f>+Tabla4[[#This Row],[Precio Unitario Neto]]*Tabla4[[#Headers],[20.85%]]</f>
        <v>45.892934999999994</v>
      </c>
      <c r="L2355" s="282">
        <f>++Tabla4[[#This Row],[Precio Unitario Neto]]-Tabla4[[#This Row],[20.85%]]</f>
        <v>174.21706499999999</v>
      </c>
      <c r="M2355" s="282" t="e">
        <f>(INDEX(Tabla6[#All],MATCH(Tabla4[[#This Row],[Producto]],Tabla6[[#All],[PRODUCTO]],0),MATCH(Tabla4[[#This Row],[Mes]],Tabla6[#Headers],0)))*(1+Catalogos!$L$2)</f>
        <v>#N/A</v>
      </c>
      <c r="N2355" s="283" t="e">
        <f>+(Tabla4[[#This Row],[Precio Descontado]]-Tabla4[[#This Row],[Precio Base]])*Tabla4[[#This Row],[Cantidad]]</f>
        <v>#N/A</v>
      </c>
      <c r="O2355" s="284" t="e">
        <f>++Tabla4[[#This Row],[Utilidad Total]]/Tabla4[[#This Row],[Total]]</f>
        <v>#N/A</v>
      </c>
      <c r="P2355" s="282">
        <f>++Tabla4[[#This Row],[Precio Descontado]]*Tabla4[[#This Row],[Cantidad]]</f>
        <v>348.43412999999998</v>
      </c>
      <c r="Q2355" s="282" t="e">
        <f>(INDEX(Tabla6[#All],MATCH(Tabla4[[#This Row],[Producto]],Tabla6[[#All],[PRODUCTO]],0),MATCH(Tabla4[[#This Row],[Mes]],Tabla6[#Headers],0)))</f>
        <v>#N/A</v>
      </c>
      <c r="R2355" s="282" t="e">
        <f>++Tabla4[[#This Row],[Precio Unitario Neto]]-Tabla4[[#This Row],[20.85%]]-Tabla4[[#This Row],[Costo]]</f>
        <v>#N/A</v>
      </c>
      <c r="S2355" s="282" t="e">
        <f>++Tabla4[[#This Row],[U. Bruta Uni]]*Tabla4[[#This Row],[Cantidad]]</f>
        <v>#N/A</v>
      </c>
      <c r="T2355" s="369" t="str">
        <f>VLOOKUP(Tabla4[[#This Row],[Producto]],Tabla6[#All],14,FALSE)</f>
        <v>Termico Solar</v>
      </c>
      <c r="U2355" s="284" t="e">
        <f>(IF(Tabla4[[#This Row],[Familia]]="termico solar",Tabla4[[#This Row],[Utilidad Total]]*6%,Tabla4[[#This Row],[Utilidad Total]]*11.5%))/Tabla4[[#This Row],[Total]]</f>
        <v>#N/A</v>
      </c>
      <c r="V2355" s="282" t="e">
        <f>+Tabla4[[#This Row],[Comisión Calculada]]*Tabla4[[#This Row],[Total]]</f>
        <v>#N/A</v>
      </c>
    </row>
    <row r="2356" spans="1:22" hidden="1" x14ac:dyDescent="0.25">
      <c r="A2356" s="100">
        <v>45777</v>
      </c>
      <c r="B2356" t="str">
        <f t="shared" si="118"/>
        <v>April</v>
      </c>
      <c r="C2356" s="46" t="s">
        <v>280</v>
      </c>
      <c r="F2356" s="366" t="s">
        <v>1603</v>
      </c>
      <c r="G2356" s="46" t="s">
        <v>17</v>
      </c>
      <c r="H2356" s="46">
        <v>1</v>
      </c>
      <c r="I2356" s="51">
        <v>4622.28</v>
      </c>
      <c r="J2356" s="281">
        <f>++Tabla4[[#This Row],[Precio Bruto]]*1.16</f>
        <v>5361.8447999999989</v>
      </c>
      <c r="K2356" s="281">
        <f>+Tabla4[[#This Row],[Precio Unitario Neto]]*Tabla4[[#Headers],[20.85%]]</f>
        <v>1117.9446407999997</v>
      </c>
      <c r="L2356" s="282">
        <f>++Tabla4[[#This Row],[Precio Unitario Neto]]-Tabla4[[#This Row],[20.85%]]</f>
        <v>4243.9001591999995</v>
      </c>
      <c r="M2356" s="282" t="e">
        <f>(INDEX(Tabla6[#All],MATCH(Tabla4[[#This Row],[Producto]],Tabla6[[#All],[PRODUCTO]],0),MATCH(Tabla4[[#This Row],[Mes]],Tabla6[#Headers],0)))*(1+Catalogos!$L$2)</f>
        <v>#N/A</v>
      </c>
      <c r="N2356" s="283" t="e">
        <f>+(Tabla4[[#This Row],[Precio Descontado]]-Tabla4[[#This Row],[Precio Base]])*Tabla4[[#This Row],[Cantidad]]</f>
        <v>#N/A</v>
      </c>
      <c r="O2356" s="284" t="e">
        <f>++Tabla4[[#This Row],[Utilidad Total]]/Tabla4[[#This Row],[Total]]</f>
        <v>#N/A</v>
      </c>
      <c r="P2356" s="282">
        <f>++Tabla4[[#This Row],[Precio Descontado]]*Tabla4[[#This Row],[Cantidad]]</f>
        <v>4243.9001591999995</v>
      </c>
      <c r="Q2356" s="282" t="e">
        <f>(INDEX(Tabla6[#All],MATCH(Tabla4[[#This Row],[Producto]],Tabla6[[#All],[PRODUCTO]],0),MATCH(Tabla4[[#This Row],[Mes]],Tabla6[#Headers],0)))</f>
        <v>#N/A</v>
      </c>
      <c r="R2356" s="282" t="e">
        <f>++Tabla4[[#This Row],[Precio Unitario Neto]]-Tabla4[[#This Row],[20.85%]]-Tabla4[[#This Row],[Costo]]</f>
        <v>#N/A</v>
      </c>
      <c r="S2356" s="282" t="e">
        <f>++Tabla4[[#This Row],[U. Bruta Uni]]*Tabla4[[#This Row],[Cantidad]]</f>
        <v>#N/A</v>
      </c>
      <c r="T2356" s="369" t="str">
        <f>VLOOKUP(Tabla4[[#This Row],[Producto]],Tabla6[#All],14,FALSE)</f>
        <v>Termico Solar</v>
      </c>
      <c r="U2356" s="284" t="e">
        <f>(IF(Tabla4[[#This Row],[Familia]]="termico solar",Tabla4[[#This Row],[Utilidad Total]]*6%,Tabla4[[#This Row],[Utilidad Total]]*11.5%))/Tabla4[[#This Row],[Total]]</f>
        <v>#N/A</v>
      </c>
      <c r="V2356" s="282" t="e">
        <f>+Tabla4[[#This Row],[Comisión Calculada]]*Tabla4[[#This Row],[Total]]</f>
        <v>#N/A</v>
      </c>
    </row>
    <row r="2357" spans="1:22" hidden="1" x14ac:dyDescent="0.25">
      <c r="A2357" s="100">
        <v>45777</v>
      </c>
      <c r="B2357" t="str">
        <f t="shared" si="118"/>
        <v>April</v>
      </c>
      <c r="C2357" s="46" t="s">
        <v>280</v>
      </c>
      <c r="F2357" s="366" t="s">
        <v>1603</v>
      </c>
      <c r="G2357" s="46" t="s">
        <v>566</v>
      </c>
      <c r="H2357" s="46">
        <v>2</v>
      </c>
      <c r="I2357" s="51">
        <v>2109.4499999999998</v>
      </c>
      <c r="J2357" s="281">
        <f>++Tabla4[[#This Row],[Precio Bruto]]*1.16</f>
        <v>2446.9619999999995</v>
      </c>
      <c r="K2357" s="281">
        <f>+Tabla4[[#This Row],[Precio Unitario Neto]]*Tabla4[[#Headers],[20.85%]]</f>
        <v>510.19157699999988</v>
      </c>
      <c r="L2357" s="282">
        <f>++Tabla4[[#This Row],[Precio Unitario Neto]]-Tabla4[[#This Row],[20.85%]]</f>
        <v>1936.7704229999997</v>
      </c>
      <c r="M2357" s="282" t="e">
        <f>(INDEX(Tabla6[#All],MATCH(Tabla4[[#This Row],[Producto]],Tabla6[[#All],[PRODUCTO]],0),MATCH(Tabla4[[#This Row],[Mes]],Tabla6[#Headers],0)))*(1+Catalogos!$L$2)</f>
        <v>#N/A</v>
      </c>
      <c r="N2357" s="283" t="e">
        <f>+(Tabla4[[#This Row],[Precio Descontado]]-Tabla4[[#This Row],[Precio Base]])*Tabla4[[#This Row],[Cantidad]]</f>
        <v>#N/A</v>
      </c>
      <c r="O2357" s="284" t="e">
        <f>++Tabla4[[#This Row],[Utilidad Total]]/Tabla4[[#This Row],[Total]]</f>
        <v>#N/A</v>
      </c>
      <c r="P2357" s="282">
        <f>++Tabla4[[#This Row],[Precio Descontado]]*Tabla4[[#This Row],[Cantidad]]</f>
        <v>3873.5408459999994</v>
      </c>
      <c r="Q2357" s="282" t="e">
        <f>(INDEX(Tabla6[#All],MATCH(Tabla4[[#This Row],[Producto]],Tabla6[[#All],[PRODUCTO]],0),MATCH(Tabla4[[#This Row],[Mes]],Tabla6[#Headers],0)))</f>
        <v>#N/A</v>
      </c>
      <c r="R2357" s="282" t="e">
        <f>++Tabla4[[#This Row],[Precio Unitario Neto]]-Tabla4[[#This Row],[20.85%]]-Tabla4[[#This Row],[Costo]]</f>
        <v>#N/A</v>
      </c>
      <c r="S2357" s="282" t="e">
        <f>++Tabla4[[#This Row],[U. Bruta Uni]]*Tabla4[[#This Row],[Cantidad]]</f>
        <v>#N/A</v>
      </c>
      <c r="T2357" s="369" t="str">
        <f>VLOOKUP(Tabla4[[#This Row],[Producto]],Tabla6[#All],14,FALSE)</f>
        <v>Termico Solar</v>
      </c>
      <c r="U2357" s="284" t="e">
        <f>(IF(Tabla4[[#This Row],[Familia]]="termico solar",Tabla4[[#This Row],[Utilidad Total]]*6%,Tabla4[[#This Row],[Utilidad Total]]*11.5%))/Tabla4[[#This Row],[Total]]</f>
        <v>#N/A</v>
      </c>
      <c r="V2357" s="282" t="e">
        <f>+Tabla4[[#This Row],[Comisión Calculada]]*Tabla4[[#This Row],[Total]]</f>
        <v>#N/A</v>
      </c>
    </row>
    <row r="2358" spans="1:22" hidden="1" x14ac:dyDescent="0.25">
      <c r="A2358" s="100">
        <v>45777</v>
      </c>
      <c r="B2358" t="str">
        <f t="shared" si="118"/>
        <v>April</v>
      </c>
      <c r="C2358" s="46" t="s">
        <v>280</v>
      </c>
      <c r="F2358" s="366" t="s">
        <v>1604</v>
      </c>
      <c r="G2358" s="46" t="s">
        <v>83</v>
      </c>
      <c r="H2358" s="46">
        <v>4</v>
      </c>
      <c r="I2358" s="51">
        <v>8858.76</v>
      </c>
      <c r="J2358" s="281">
        <f>++Tabla4[[#This Row],[Precio Bruto]]*1.16</f>
        <v>10276.161599999999</v>
      </c>
      <c r="K2358" s="281">
        <f>+Tabla4[[#This Row],[Precio Unitario Neto]]*Tabla4[[#Headers],[20.85%]]</f>
        <v>2142.5796935999997</v>
      </c>
      <c r="L2358" s="282">
        <f>++Tabla4[[#This Row],[Precio Unitario Neto]]-Tabla4[[#This Row],[20.85%]]</f>
        <v>8133.5819063999998</v>
      </c>
      <c r="M2358" s="282" t="e">
        <f>(INDEX(Tabla6[#All],MATCH(Tabla4[[#This Row],[Producto]],Tabla6[[#All],[PRODUCTO]],0),MATCH(Tabla4[[#This Row],[Mes]],Tabla6[#Headers],0)))*(1+Catalogos!$L$2)</f>
        <v>#N/A</v>
      </c>
      <c r="N2358" s="283" t="e">
        <f>+(Tabla4[[#This Row],[Precio Descontado]]-Tabla4[[#This Row],[Precio Base]])*Tabla4[[#This Row],[Cantidad]]</f>
        <v>#N/A</v>
      </c>
      <c r="O2358" s="284" t="e">
        <f>++Tabla4[[#This Row],[Utilidad Total]]/Tabla4[[#This Row],[Total]]</f>
        <v>#N/A</v>
      </c>
      <c r="P2358" s="282">
        <f>++Tabla4[[#This Row],[Precio Descontado]]*Tabla4[[#This Row],[Cantidad]]</f>
        <v>32534.327625599999</v>
      </c>
      <c r="Q2358" s="282" t="e">
        <f>(INDEX(Tabla6[#All],MATCH(Tabla4[[#This Row],[Producto]],Tabla6[[#All],[PRODUCTO]],0),MATCH(Tabla4[[#This Row],[Mes]],Tabla6[#Headers],0)))</f>
        <v>#N/A</v>
      </c>
      <c r="R2358" s="282" t="e">
        <f>++Tabla4[[#This Row],[Precio Unitario Neto]]-Tabla4[[#This Row],[20.85%]]-Tabla4[[#This Row],[Costo]]</f>
        <v>#N/A</v>
      </c>
      <c r="S2358" s="282" t="e">
        <f>++Tabla4[[#This Row],[U. Bruta Uni]]*Tabla4[[#This Row],[Cantidad]]</f>
        <v>#N/A</v>
      </c>
      <c r="T2358" s="369" t="str">
        <f>VLOOKUP(Tabla4[[#This Row],[Producto]],Tabla6[#All],14,FALSE)</f>
        <v>Termico Solar</v>
      </c>
      <c r="U2358" s="284" t="e">
        <f>(IF(Tabla4[[#This Row],[Familia]]="termico solar",Tabla4[[#This Row],[Utilidad Total]]*6%,Tabla4[[#This Row],[Utilidad Total]]*11.5%))/Tabla4[[#This Row],[Total]]</f>
        <v>#N/A</v>
      </c>
      <c r="V2358" s="282" t="e">
        <f>+Tabla4[[#This Row],[Comisión Calculada]]*Tabla4[[#This Row],[Total]]</f>
        <v>#N/A</v>
      </c>
    </row>
    <row r="2359" spans="1:22" hidden="1" x14ac:dyDescent="0.25">
      <c r="A2359" s="100">
        <v>45777</v>
      </c>
      <c r="B2359" t="str">
        <f t="shared" si="118"/>
        <v>April</v>
      </c>
      <c r="C2359" s="46" t="s">
        <v>280</v>
      </c>
      <c r="F2359" s="366" t="s">
        <v>1604</v>
      </c>
      <c r="G2359" s="46" t="s">
        <v>18</v>
      </c>
      <c r="H2359" s="46">
        <v>5</v>
      </c>
      <c r="I2359" s="51">
        <v>5367.65</v>
      </c>
      <c r="J2359" s="281">
        <f>++Tabla4[[#This Row],[Precio Bruto]]*1.16</f>
        <v>6226.4739999999993</v>
      </c>
      <c r="K2359" s="281">
        <f>+Tabla4[[#This Row],[Precio Unitario Neto]]*Tabla4[[#Headers],[20.85%]]</f>
        <v>1298.2198289999999</v>
      </c>
      <c r="L2359" s="282">
        <f>++Tabla4[[#This Row],[Precio Unitario Neto]]-Tabla4[[#This Row],[20.85%]]</f>
        <v>4928.2541709999996</v>
      </c>
      <c r="M2359" s="282" t="e">
        <f>(INDEX(Tabla6[#All],MATCH(Tabla4[[#This Row],[Producto]],Tabla6[[#All],[PRODUCTO]],0),MATCH(Tabla4[[#This Row],[Mes]],Tabla6[#Headers],0)))*(1+Catalogos!$L$2)</f>
        <v>#N/A</v>
      </c>
      <c r="N2359" s="283" t="e">
        <f>+(Tabla4[[#This Row],[Precio Descontado]]-Tabla4[[#This Row],[Precio Base]])*Tabla4[[#This Row],[Cantidad]]</f>
        <v>#N/A</v>
      </c>
      <c r="O2359" s="284" t="e">
        <f>++Tabla4[[#This Row],[Utilidad Total]]/Tabla4[[#This Row],[Total]]</f>
        <v>#N/A</v>
      </c>
      <c r="P2359" s="282">
        <f>++Tabla4[[#This Row],[Precio Descontado]]*Tabla4[[#This Row],[Cantidad]]</f>
        <v>24641.270854999999</v>
      </c>
      <c r="Q2359" s="282" t="e">
        <f>(INDEX(Tabla6[#All],MATCH(Tabla4[[#This Row],[Producto]],Tabla6[[#All],[PRODUCTO]],0),MATCH(Tabla4[[#This Row],[Mes]],Tabla6[#Headers],0)))</f>
        <v>#N/A</v>
      </c>
      <c r="R2359" s="282" t="e">
        <f>++Tabla4[[#This Row],[Precio Unitario Neto]]-Tabla4[[#This Row],[20.85%]]-Tabla4[[#This Row],[Costo]]</f>
        <v>#N/A</v>
      </c>
      <c r="S2359" s="282" t="e">
        <f>++Tabla4[[#This Row],[U. Bruta Uni]]*Tabla4[[#This Row],[Cantidad]]</f>
        <v>#N/A</v>
      </c>
      <c r="T2359" s="369" t="str">
        <f>VLOOKUP(Tabla4[[#This Row],[Producto]],Tabla6[#All],14,FALSE)</f>
        <v>Termico Solar</v>
      </c>
      <c r="U2359" s="284" t="e">
        <f>(IF(Tabla4[[#This Row],[Familia]]="termico solar",Tabla4[[#This Row],[Utilidad Total]]*6%,Tabla4[[#This Row],[Utilidad Total]]*11.5%))/Tabla4[[#This Row],[Total]]</f>
        <v>#N/A</v>
      </c>
      <c r="V2359" s="282" t="e">
        <f>+Tabla4[[#This Row],[Comisión Calculada]]*Tabla4[[#This Row],[Total]]</f>
        <v>#N/A</v>
      </c>
    </row>
    <row r="2360" spans="1:22" hidden="1" x14ac:dyDescent="0.25">
      <c r="A2360" s="100">
        <v>45777</v>
      </c>
      <c r="B2360" t="str">
        <f t="shared" si="118"/>
        <v>April</v>
      </c>
      <c r="C2360" s="46" t="s">
        <v>280</v>
      </c>
      <c r="F2360" s="366" t="s">
        <v>1604</v>
      </c>
      <c r="G2360" s="46" t="s">
        <v>16</v>
      </c>
      <c r="H2360" s="46">
        <v>4</v>
      </c>
      <c r="I2360" s="51">
        <v>4103.8500000000004</v>
      </c>
      <c r="J2360" s="281">
        <f>++Tabla4[[#This Row],[Precio Bruto]]*1.16</f>
        <v>4760.4660000000003</v>
      </c>
      <c r="K2360" s="281">
        <f>+Tabla4[[#This Row],[Precio Unitario Neto]]*Tabla4[[#Headers],[20.85%]]</f>
        <v>992.55716100000006</v>
      </c>
      <c r="L2360" s="282">
        <f>++Tabla4[[#This Row],[Precio Unitario Neto]]-Tabla4[[#This Row],[20.85%]]</f>
        <v>3767.9088390000002</v>
      </c>
      <c r="M2360" s="282" t="e">
        <f>(INDEX(Tabla6[#All],MATCH(Tabla4[[#This Row],[Producto]],Tabla6[[#All],[PRODUCTO]],0),MATCH(Tabla4[[#This Row],[Mes]],Tabla6[#Headers],0)))*(1+Catalogos!$L$2)</f>
        <v>#N/A</v>
      </c>
      <c r="N2360" s="283" t="e">
        <f>+(Tabla4[[#This Row],[Precio Descontado]]-Tabla4[[#This Row],[Precio Base]])*Tabla4[[#This Row],[Cantidad]]</f>
        <v>#N/A</v>
      </c>
      <c r="O2360" s="284" t="e">
        <f>++Tabla4[[#This Row],[Utilidad Total]]/Tabla4[[#This Row],[Total]]</f>
        <v>#N/A</v>
      </c>
      <c r="P2360" s="282">
        <f>++Tabla4[[#This Row],[Precio Descontado]]*Tabla4[[#This Row],[Cantidad]]</f>
        <v>15071.635356000001</v>
      </c>
      <c r="Q2360" s="282" t="e">
        <f>(INDEX(Tabla6[#All],MATCH(Tabla4[[#This Row],[Producto]],Tabla6[[#All],[PRODUCTO]],0),MATCH(Tabla4[[#This Row],[Mes]],Tabla6[#Headers],0)))</f>
        <v>#N/A</v>
      </c>
      <c r="R2360" s="282" t="e">
        <f>++Tabla4[[#This Row],[Precio Unitario Neto]]-Tabla4[[#This Row],[20.85%]]-Tabla4[[#This Row],[Costo]]</f>
        <v>#N/A</v>
      </c>
      <c r="S2360" s="282" t="e">
        <f>++Tabla4[[#This Row],[U. Bruta Uni]]*Tabla4[[#This Row],[Cantidad]]</f>
        <v>#N/A</v>
      </c>
      <c r="T2360" s="369" t="str">
        <f>VLOOKUP(Tabla4[[#This Row],[Producto]],Tabla6[#All],14,FALSE)</f>
        <v>Termico Solar</v>
      </c>
      <c r="U2360" s="284" t="e">
        <f>(IF(Tabla4[[#This Row],[Familia]]="termico solar",Tabla4[[#This Row],[Utilidad Total]]*6%,Tabla4[[#This Row],[Utilidad Total]]*11.5%))/Tabla4[[#This Row],[Total]]</f>
        <v>#N/A</v>
      </c>
      <c r="V2360" s="282" t="e">
        <f>+Tabla4[[#This Row],[Comisión Calculada]]*Tabla4[[#This Row],[Total]]</f>
        <v>#N/A</v>
      </c>
    </row>
    <row r="2361" spans="1:22" hidden="1" x14ac:dyDescent="0.25">
      <c r="A2361" s="100">
        <v>45777</v>
      </c>
      <c r="B2361" t="str">
        <f t="shared" si="118"/>
        <v>April</v>
      </c>
      <c r="C2361" s="46" t="s">
        <v>280</v>
      </c>
      <c r="F2361" s="366" t="s">
        <v>1604</v>
      </c>
      <c r="G2361" s="46" t="s">
        <v>394</v>
      </c>
      <c r="H2361" s="46">
        <v>16</v>
      </c>
      <c r="I2361" s="51">
        <v>224.29</v>
      </c>
      <c r="J2361" s="281">
        <f>++Tabla4[[#This Row],[Precio Bruto]]*1.16</f>
        <v>260.1764</v>
      </c>
      <c r="K2361" s="281">
        <f>+Tabla4[[#This Row],[Precio Unitario Neto]]*Tabla4[[#Headers],[20.85%]]</f>
        <v>54.246779400000001</v>
      </c>
      <c r="L2361" s="282">
        <f>++Tabla4[[#This Row],[Precio Unitario Neto]]-Tabla4[[#This Row],[20.85%]]</f>
        <v>205.92962059999999</v>
      </c>
      <c r="M2361" s="282" t="e">
        <f>(INDEX(Tabla6[#All],MATCH(Tabla4[[#This Row],[Producto]],Tabla6[[#All],[PRODUCTO]],0),MATCH(Tabla4[[#This Row],[Mes]],Tabla6[#Headers],0)))*(1+Catalogos!$L$2)</f>
        <v>#N/A</v>
      </c>
      <c r="N2361" s="283" t="e">
        <f>+(Tabla4[[#This Row],[Precio Descontado]]-Tabla4[[#This Row],[Precio Base]])*Tabla4[[#This Row],[Cantidad]]</f>
        <v>#N/A</v>
      </c>
      <c r="O2361" s="284" t="e">
        <f>++Tabla4[[#This Row],[Utilidad Total]]/Tabla4[[#This Row],[Total]]</f>
        <v>#N/A</v>
      </c>
      <c r="P2361" s="282">
        <f>++Tabla4[[#This Row],[Precio Descontado]]*Tabla4[[#This Row],[Cantidad]]</f>
        <v>3294.8739295999999</v>
      </c>
      <c r="Q2361" s="282" t="e">
        <f>(INDEX(Tabla6[#All],MATCH(Tabla4[[#This Row],[Producto]],Tabla6[[#All],[PRODUCTO]],0),MATCH(Tabla4[[#This Row],[Mes]],Tabla6[#Headers],0)))</f>
        <v>#N/A</v>
      </c>
      <c r="R2361" s="282" t="e">
        <f>++Tabla4[[#This Row],[Precio Unitario Neto]]-Tabla4[[#This Row],[20.85%]]-Tabla4[[#This Row],[Costo]]</f>
        <v>#N/A</v>
      </c>
      <c r="S2361" s="282" t="e">
        <f>++Tabla4[[#This Row],[U. Bruta Uni]]*Tabla4[[#This Row],[Cantidad]]</f>
        <v>#N/A</v>
      </c>
      <c r="T2361" s="369" t="str">
        <f>VLOOKUP(Tabla4[[#This Row],[Producto]],Tabla6[#All],14,FALSE)</f>
        <v>Termico Solar</v>
      </c>
      <c r="U2361" s="284" t="e">
        <f>(IF(Tabla4[[#This Row],[Familia]]="termico solar",Tabla4[[#This Row],[Utilidad Total]]*6%,Tabla4[[#This Row],[Utilidad Total]]*11.5%))/Tabla4[[#This Row],[Total]]</f>
        <v>#N/A</v>
      </c>
      <c r="V2361" s="282" t="e">
        <f>+Tabla4[[#This Row],[Comisión Calculada]]*Tabla4[[#This Row],[Total]]</f>
        <v>#N/A</v>
      </c>
    </row>
    <row r="2362" spans="1:22" hidden="1" x14ac:dyDescent="0.25">
      <c r="A2362" s="100">
        <v>45777</v>
      </c>
      <c r="B2362" t="str">
        <f t="shared" si="118"/>
        <v>April</v>
      </c>
      <c r="C2362" s="46" t="s">
        <v>280</v>
      </c>
      <c r="F2362" s="366" t="s">
        <v>1605</v>
      </c>
      <c r="G2362" s="46" t="s">
        <v>83</v>
      </c>
      <c r="H2362" s="46">
        <v>5</v>
      </c>
      <c r="I2362" s="51">
        <v>8858.76</v>
      </c>
      <c r="J2362" s="281">
        <f>++Tabla4[[#This Row],[Precio Bruto]]*1.16</f>
        <v>10276.161599999999</v>
      </c>
      <c r="K2362" s="281">
        <f>+Tabla4[[#This Row],[Precio Unitario Neto]]*Tabla4[[#Headers],[20.85%]]</f>
        <v>2142.5796935999997</v>
      </c>
      <c r="L2362" s="282">
        <f>++Tabla4[[#This Row],[Precio Unitario Neto]]-Tabla4[[#This Row],[20.85%]]</f>
        <v>8133.5819063999998</v>
      </c>
      <c r="M2362" s="282" t="e">
        <f>(INDEX(Tabla6[#All],MATCH(Tabla4[[#This Row],[Producto]],Tabla6[[#All],[PRODUCTO]],0),MATCH(Tabla4[[#This Row],[Mes]],Tabla6[#Headers],0)))*(1+Catalogos!$L$2)</f>
        <v>#N/A</v>
      </c>
      <c r="N2362" s="283" t="e">
        <f>+(Tabla4[[#This Row],[Precio Descontado]]-Tabla4[[#This Row],[Precio Base]])*Tabla4[[#This Row],[Cantidad]]</f>
        <v>#N/A</v>
      </c>
      <c r="O2362" s="284" t="e">
        <f>++Tabla4[[#This Row],[Utilidad Total]]/Tabla4[[#This Row],[Total]]</f>
        <v>#N/A</v>
      </c>
      <c r="P2362" s="282">
        <f>++Tabla4[[#This Row],[Precio Descontado]]*Tabla4[[#This Row],[Cantidad]]</f>
        <v>40667.909531999998</v>
      </c>
      <c r="Q2362" s="282" t="e">
        <f>(INDEX(Tabla6[#All],MATCH(Tabla4[[#This Row],[Producto]],Tabla6[[#All],[PRODUCTO]],0),MATCH(Tabla4[[#This Row],[Mes]],Tabla6[#Headers],0)))</f>
        <v>#N/A</v>
      </c>
      <c r="R2362" s="282" t="e">
        <f>++Tabla4[[#This Row],[Precio Unitario Neto]]-Tabla4[[#This Row],[20.85%]]-Tabla4[[#This Row],[Costo]]</f>
        <v>#N/A</v>
      </c>
      <c r="S2362" s="282" t="e">
        <f>++Tabla4[[#This Row],[U. Bruta Uni]]*Tabla4[[#This Row],[Cantidad]]</f>
        <v>#N/A</v>
      </c>
      <c r="T2362" s="369" t="str">
        <f>VLOOKUP(Tabla4[[#This Row],[Producto]],Tabla6[#All],14,FALSE)</f>
        <v>Termico Solar</v>
      </c>
      <c r="U2362" s="284" t="e">
        <f>(IF(Tabla4[[#This Row],[Familia]]="termico solar",Tabla4[[#This Row],[Utilidad Total]]*6%,Tabla4[[#This Row],[Utilidad Total]]*11.5%))/Tabla4[[#This Row],[Total]]</f>
        <v>#N/A</v>
      </c>
      <c r="V2362" s="282" t="e">
        <f>+Tabla4[[#This Row],[Comisión Calculada]]*Tabla4[[#This Row],[Total]]</f>
        <v>#N/A</v>
      </c>
    </row>
    <row r="2363" spans="1:22" hidden="1" x14ac:dyDescent="0.25">
      <c r="A2363" s="100">
        <v>45777</v>
      </c>
      <c r="B2363" t="str">
        <f t="shared" ref="B2363:B2426" si="119">TEXT(A2363, "mmmm")</f>
        <v>April</v>
      </c>
      <c r="C2363" s="46" t="s">
        <v>280</v>
      </c>
      <c r="F2363" s="366" t="s">
        <v>1605</v>
      </c>
      <c r="G2363" s="46" t="s">
        <v>17</v>
      </c>
      <c r="H2363" s="46">
        <v>2</v>
      </c>
      <c r="I2363" s="51">
        <v>4622.28</v>
      </c>
      <c r="J2363" s="281">
        <f>++Tabla4[[#This Row],[Precio Bruto]]*1.16</f>
        <v>5361.8447999999989</v>
      </c>
      <c r="K2363" s="281">
        <f>+Tabla4[[#This Row],[Precio Unitario Neto]]*Tabla4[[#Headers],[20.85%]]</f>
        <v>1117.9446407999997</v>
      </c>
      <c r="L2363" s="282">
        <f>++Tabla4[[#This Row],[Precio Unitario Neto]]-Tabla4[[#This Row],[20.85%]]</f>
        <v>4243.9001591999995</v>
      </c>
      <c r="M2363" s="282" t="e">
        <f>(INDEX(Tabla6[#All],MATCH(Tabla4[[#This Row],[Producto]],Tabla6[[#All],[PRODUCTO]],0),MATCH(Tabla4[[#This Row],[Mes]],Tabla6[#Headers],0)))*(1+Catalogos!$L$2)</f>
        <v>#N/A</v>
      </c>
      <c r="N2363" s="283" t="e">
        <f>+(Tabla4[[#This Row],[Precio Descontado]]-Tabla4[[#This Row],[Precio Base]])*Tabla4[[#This Row],[Cantidad]]</f>
        <v>#N/A</v>
      </c>
      <c r="O2363" s="284" t="e">
        <f>++Tabla4[[#This Row],[Utilidad Total]]/Tabla4[[#This Row],[Total]]</f>
        <v>#N/A</v>
      </c>
      <c r="P2363" s="282">
        <f>++Tabla4[[#This Row],[Precio Descontado]]*Tabla4[[#This Row],[Cantidad]]</f>
        <v>8487.800318399999</v>
      </c>
      <c r="Q2363" s="282" t="e">
        <f>(INDEX(Tabla6[#All],MATCH(Tabla4[[#This Row],[Producto]],Tabla6[[#All],[PRODUCTO]],0),MATCH(Tabla4[[#This Row],[Mes]],Tabla6[#Headers],0)))</f>
        <v>#N/A</v>
      </c>
      <c r="R2363" s="282" t="e">
        <f>++Tabla4[[#This Row],[Precio Unitario Neto]]-Tabla4[[#This Row],[20.85%]]-Tabla4[[#This Row],[Costo]]</f>
        <v>#N/A</v>
      </c>
      <c r="S2363" s="282" t="e">
        <f>++Tabla4[[#This Row],[U. Bruta Uni]]*Tabla4[[#This Row],[Cantidad]]</f>
        <v>#N/A</v>
      </c>
      <c r="T2363" s="369" t="str">
        <f>VLOOKUP(Tabla4[[#This Row],[Producto]],Tabla6[#All],14,FALSE)</f>
        <v>Termico Solar</v>
      </c>
      <c r="U2363" s="284" t="e">
        <f>(IF(Tabla4[[#This Row],[Familia]]="termico solar",Tabla4[[#This Row],[Utilidad Total]]*6%,Tabla4[[#This Row],[Utilidad Total]]*11.5%))/Tabla4[[#This Row],[Total]]</f>
        <v>#N/A</v>
      </c>
      <c r="V2363" s="282" t="e">
        <f>+Tabla4[[#This Row],[Comisión Calculada]]*Tabla4[[#This Row],[Total]]</f>
        <v>#N/A</v>
      </c>
    </row>
    <row r="2364" spans="1:22" hidden="1" x14ac:dyDescent="0.25">
      <c r="A2364" s="100">
        <v>45777</v>
      </c>
      <c r="B2364" t="str">
        <f t="shared" si="119"/>
        <v>April</v>
      </c>
      <c r="C2364" s="46" t="s">
        <v>280</v>
      </c>
      <c r="F2364" s="366" t="s">
        <v>1605</v>
      </c>
      <c r="G2364" s="46" t="s">
        <v>18</v>
      </c>
      <c r="H2364" s="46">
        <v>3</v>
      </c>
      <c r="I2364" s="51">
        <v>5367.6500000000005</v>
      </c>
      <c r="J2364" s="281">
        <f>++Tabla4[[#This Row],[Precio Bruto]]*1.16</f>
        <v>6226.4740000000002</v>
      </c>
      <c r="K2364" s="281">
        <f>+Tabla4[[#This Row],[Precio Unitario Neto]]*Tabla4[[#Headers],[20.85%]]</f>
        <v>1298.2198289999999</v>
      </c>
      <c r="L2364" s="282">
        <f>++Tabla4[[#This Row],[Precio Unitario Neto]]-Tabla4[[#This Row],[20.85%]]</f>
        <v>4928.2541710000005</v>
      </c>
      <c r="M2364" s="282" t="e">
        <f>(INDEX(Tabla6[#All],MATCH(Tabla4[[#This Row],[Producto]],Tabla6[[#All],[PRODUCTO]],0),MATCH(Tabla4[[#This Row],[Mes]],Tabla6[#Headers],0)))*(1+Catalogos!$L$2)</f>
        <v>#N/A</v>
      </c>
      <c r="N2364" s="283" t="e">
        <f>+(Tabla4[[#This Row],[Precio Descontado]]-Tabla4[[#This Row],[Precio Base]])*Tabla4[[#This Row],[Cantidad]]</f>
        <v>#N/A</v>
      </c>
      <c r="O2364" s="284" t="e">
        <f>++Tabla4[[#This Row],[Utilidad Total]]/Tabla4[[#This Row],[Total]]</f>
        <v>#N/A</v>
      </c>
      <c r="P2364" s="282">
        <f>++Tabla4[[#This Row],[Precio Descontado]]*Tabla4[[#This Row],[Cantidad]]</f>
        <v>14784.762513000001</v>
      </c>
      <c r="Q2364" s="282" t="e">
        <f>(INDEX(Tabla6[#All],MATCH(Tabla4[[#This Row],[Producto]],Tabla6[[#All],[PRODUCTO]],0),MATCH(Tabla4[[#This Row],[Mes]],Tabla6[#Headers],0)))</f>
        <v>#N/A</v>
      </c>
      <c r="R2364" s="282" t="e">
        <f>++Tabla4[[#This Row],[Precio Unitario Neto]]-Tabla4[[#This Row],[20.85%]]-Tabla4[[#This Row],[Costo]]</f>
        <v>#N/A</v>
      </c>
      <c r="S2364" s="282" t="e">
        <f>++Tabla4[[#This Row],[U. Bruta Uni]]*Tabla4[[#This Row],[Cantidad]]</f>
        <v>#N/A</v>
      </c>
      <c r="T2364" s="369" t="str">
        <f>VLOOKUP(Tabla4[[#This Row],[Producto]],Tabla6[#All],14,FALSE)</f>
        <v>Termico Solar</v>
      </c>
      <c r="U2364" s="284" t="e">
        <f>(IF(Tabla4[[#This Row],[Familia]]="termico solar",Tabla4[[#This Row],[Utilidad Total]]*6%,Tabla4[[#This Row],[Utilidad Total]]*11.5%))/Tabla4[[#This Row],[Total]]</f>
        <v>#N/A</v>
      </c>
      <c r="V2364" s="282" t="e">
        <f>+Tabla4[[#This Row],[Comisión Calculada]]*Tabla4[[#This Row],[Total]]</f>
        <v>#N/A</v>
      </c>
    </row>
    <row r="2365" spans="1:22" hidden="1" x14ac:dyDescent="0.25">
      <c r="A2365" s="100">
        <v>45777</v>
      </c>
      <c r="B2365" t="str">
        <f t="shared" si="119"/>
        <v>April</v>
      </c>
      <c r="C2365" s="46" t="s">
        <v>280</v>
      </c>
      <c r="F2365" s="366" t="s">
        <v>1606</v>
      </c>
      <c r="G2365" s="46" t="s">
        <v>83</v>
      </c>
      <c r="H2365" s="46">
        <v>4</v>
      </c>
      <c r="I2365" s="51">
        <v>8858.76</v>
      </c>
      <c r="J2365" s="281">
        <f>++Tabla4[[#This Row],[Precio Bruto]]*1.16</f>
        <v>10276.161599999999</v>
      </c>
      <c r="K2365" s="281">
        <f>+Tabla4[[#This Row],[Precio Unitario Neto]]*Tabla4[[#Headers],[20.85%]]</f>
        <v>2142.5796935999997</v>
      </c>
      <c r="L2365" s="282">
        <f>++Tabla4[[#This Row],[Precio Unitario Neto]]-Tabla4[[#This Row],[20.85%]]</f>
        <v>8133.5819063999998</v>
      </c>
      <c r="M2365" s="282" t="e">
        <f>(INDEX(Tabla6[#All],MATCH(Tabla4[[#This Row],[Producto]],Tabla6[[#All],[PRODUCTO]],0),MATCH(Tabla4[[#This Row],[Mes]],Tabla6[#Headers],0)))*(1+Catalogos!$L$2)</f>
        <v>#N/A</v>
      </c>
      <c r="N2365" s="283" t="e">
        <f>+(Tabla4[[#This Row],[Precio Descontado]]-Tabla4[[#This Row],[Precio Base]])*Tabla4[[#This Row],[Cantidad]]</f>
        <v>#N/A</v>
      </c>
      <c r="O2365" s="284" t="e">
        <f>++Tabla4[[#This Row],[Utilidad Total]]/Tabla4[[#This Row],[Total]]</f>
        <v>#N/A</v>
      </c>
      <c r="P2365" s="282">
        <f>++Tabla4[[#This Row],[Precio Descontado]]*Tabla4[[#This Row],[Cantidad]]</f>
        <v>32534.327625599999</v>
      </c>
      <c r="Q2365" s="282" t="e">
        <f>(INDEX(Tabla6[#All],MATCH(Tabla4[[#This Row],[Producto]],Tabla6[[#All],[PRODUCTO]],0),MATCH(Tabla4[[#This Row],[Mes]],Tabla6[#Headers],0)))</f>
        <v>#N/A</v>
      </c>
      <c r="R2365" s="282" t="e">
        <f>++Tabla4[[#This Row],[Precio Unitario Neto]]-Tabla4[[#This Row],[20.85%]]-Tabla4[[#This Row],[Costo]]</f>
        <v>#N/A</v>
      </c>
      <c r="S2365" s="282" t="e">
        <f>++Tabla4[[#This Row],[U. Bruta Uni]]*Tabla4[[#This Row],[Cantidad]]</f>
        <v>#N/A</v>
      </c>
      <c r="T2365" s="369" t="str">
        <f>VLOOKUP(Tabla4[[#This Row],[Producto]],Tabla6[#All],14,FALSE)</f>
        <v>Termico Solar</v>
      </c>
      <c r="U2365" s="284" t="e">
        <f>(IF(Tabla4[[#This Row],[Familia]]="termico solar",Tabla4[[#This Row],[Utilidad Total]]*6%,Tabla4[[#This Row],[Utilidad Total]]*11.5%))/Tabla4[[#This Row],[Total]]</f>
        <v>#N/A</v>
      </c>
      <c r="V2365" s="282" t="e">
        <f>+Tabla4[[#This Row],[Comisión Calculada]]*Tabla4[[#This Row],[Total]]</f>
        <v>#N/A</v>
      </c>
    </row>
    <row r="2366" spans="1:22" hidden="1" x14ac:dyDescent="0.25">
      <c r="A2366" s="100">
        <v>45777</v>
      </c>
      <c r="B2366" t="str">
        <f t="shared" si="119"/>
        <v>April</v>
      </c>
      <c r="C2366" s="46" t="s">
        <v>280</v>
      </c>
      <c r="F2366" s="366" t="s">
        <v>1606</v>
      </c>
      <c r="G2366" s="46" t="s">
        <v>200</v>
      </c>
      <c r="H2366" s="46">
        <v>12</v>
      </c>
      <c r="I2366" s="51">
        <v>393.22</v>
      </c>
      <c r="J2366" s="281">
        <f>++Tabla4[[#This Row],[Precio Bruto]]*1.16</f>
        <v>456.1352</v>
      </c>
      <c r="K2366" s="281">
        <f>+Tabla4[[#This Row],[Precio Unitario Neto]]*Tabla4[[#Headers],[20.85%]]</f>
        <v>95.104189199999993</v>
      </c>
      <c r="L2366" s="282">
        <f>++Tabla4[[#This Row],[Precio Unitario Neto]]-Tabla4[[#This Row],[20.85%]]</f>
        <v>361.03101079999999</v>
      </c>
      <c r="M2366" s="282" t="e">
        <f>(INDEX(Tabla6[#All],MATCH(Tabla4[[#This Row],[Producto]],Tabla6[[#All],[PRODUCTO]],0),MATCH(Tabla4[[#This Row],[Mes]],Tabla6[#Headers],0)))*(1+Catalogos!$L$2)</f>
        <v>#N/A</v>
      </c>
      <c r="N2366" s="283" t="e">
        <f>+(Tabla4[[#This Row],[Precio Descontado]]-Tabla4[[#This Row],[Precio Base]])*Tabla4[[#This Row],[Cantidad]]</f>
        <v>#N/A</v>
      </c>
      <c r="O2366" s="284" t="e">
        <f>++Tabla4[[#This Row],[Utilidad Total]]/Tabla4[[#This Row],[Total]]</f>
        <v>#N/A</v>
      </c>
      <c r="P2366" s="282">
        <f>++Tabla4[[#This Row],[Precio Descontado]]*Tabla4[[#This Row],[Cantidad]]</f>
        <v>4332.3721296000003</v>
      </c>
      <c r="Q2366" s="282" t="e">
        <f>(INDEX(Tabla6[#All],MATCH(Tabla4[[#This Row],[Producto]],Tabla6[[#All],[PRODUCTO]],0),MATCH(Tabla4[[#This Row],[Mes]],Tabla6[#Headers],0)))</f>
        <v>#N/A</v>
      </c>
      <c r="R2366" s="282" t="e">
        <f>++Tabla4[[#This Row],[Precio Unitario Neto]]-Tabla4[[#This Row],[20.85%]]-Tabla4[[#This Row],[Costo]]</f>
        <v>#N/A</v>
      </c>
      <c r="S2366" s="282" t="e">
        <f>++Tabla4[[#This Row],[U. Bruta Uni]]*Tabla4[[#This Row],[Cantidad]]</f>
        <v>#N/A</v>
      </c>
      <c r="T2366" s="369" t="str">
        <f>VLOOKUP(Tabla4[[#This Row],[Producto]],Tabla6[#All],14,FALSE)</f>
        <v>Termico Solar</v>
      </c>
      <c r="U2366" s="284" t="e">
        <f>(IF(Tabla4[[#This Row],[Familia]]="termico solar",Tabla4[[#This Row],[Utilidad Total]]*6%,Tabla4[[#This Row],[Utilidad Total]]*11.5%))/Tabla4[[#This Row],[Total]]</f>
        <v>#N/A</v>
      </c>
      <c r="V2366" s="282" t="e">
        <f>+Tabla4[[#This Row],[Comisión Calculada]]*Tabla4[[#This Row],[Total]]</f>
        <v>#N/A</v>
      </c>
    </row>
    <row r="2367" spans="1:22" hidden="1" x14ac:dyDescent="0.25">
      <c r="A2367" s="100">
        <v>45777</v>
      </c>
      <c r="B2367" t="str">
        <f t="shared" si="119"/>
        <v>April</v>
      </c>
      <c r="C2367" s="46" t="s">
        <v>280</v>
      </c>
      <c r="F2367" s="366" t="s">
        <v>1606</v>
      </c>
      <c r="G2367" s="46" t="s">
        <v>209</v>
      </c>
      <c r="H2367" s="46">
        <v>1</v>
      </c>
      <c r="I2367" s="51">
        <v>347.48</v>
      </c>
      <c r="J2367" s="281">
        <f>++Tabla4[[#This Row],[Precio Bruto]]*1.16</f>
        <v>403.07679999999999</v>
      </c>
      <c r="K2367" s="281">
        <f>+Tabla4[[#This Row],[Precio Unitario Neto]]*Tabla4[[#Headers],[20.85%]]</f>
        <v>84.041512799999992</v>
      </c>
      <c r="L2367" s="282">
        <f>++Tabla4[[#This Row],[Precio Unitario Neto]]-Tabla4[[#This Row],[20.85%]]</f>
        <v>319.03528719999997</v>
      </c>
      <c r="M2367" s="282" t="e">
        <f>(INDEX(Tabla6[#All],MATCH(Tabla4[[#This Row],[Producto]],Tabla6[[#All],[PRODUCTO]],0),MATCH(Tabla4[[#This Row],[Mes]],Tabla6[#Headers],0)))*(1+Catalogos!$L$2)</f>
        <v>#N/A</v>
      </c>
      <c r="N2367" s="283" t="e">
        <f>+(Tabla4[[#This Row],[Precio Descontado]]-Tabla4[[#This Row],[Precio Base]])*Tabla4[[#This Row],[Cantidad]]</f>
        <v>#N/A</v>
      </c>
      <c r="O2367" s="284" t="e">
        <f>++Tabla4[[#This Row],[Utilidad Total]]/Tabla4[[#This Row],[Total]]</f>
        <v>#N/A</v>
      </c>
      <c r="P2367" s="282">
        <f>++Tabla4[[#This Row],[Precio Descontado]]*Tabla4[[#This Row],[Cantidad]]</f>
        <v>319.03528719999997</v>
      </c>
      <c r="Q2367" s="282" t="e">
        <f>(INDEX(Tabla6[#All],MATCH(Tabla4[[#This Row],[Producto]],Tabla6[[#All],[PRODUCTO]],0),MATCH(Tabla4[[#This Row],[Mes]],Tabla6[#Headers],0)))</f>
        <v>#N/A</v>
      </c>
      <c r="R2367" s="282" t="e">
        <f>++Tabla4[[#This Row],[Precio Unitario Neto]]-Tabla4[[#This Row],[20.85%]]-Tabla4[[#This Row],[Costo]]</f>
        <v>#N/A</v>
      </c>
      <c r="S2367" s="282" t="e">
        <f>++Tabla4[[#This Row],[U. Bruta Uni]]*Tabla4[[#This Row],[Cantidad]]</f>
        <v>#N/A</v>
      </c>
      <c r="T2367" s="369" t="str">
        <f>VLOOKUP(Tabla4[[#This Row],[Producto]],Tabla6[#All],14,FALSE)</f>
        <v>Termico Solar</v>
      </c>
      <c r="U2367" s="284" t="e">
        <f>(IF(Tabla4[[#This Row],[Familia]]="termico solar",Tabla4[[#This Row],[Utilidad Total]]*6%,Tabla4[[#This Row],[Utilidad Total]]*11.5%))/Tabla4[[#This Row],[Total]]</f>
        <v>#N/A</v>
      </c>
      <c r="V2367" s="282" t="e">
        <f>+Tabla4[[#This Row],[Comisión Calculada]]*Tabla4[[#This Row],[Total]]</f>
        <v>#N/A</v>
      </c>
    </row>
    <row r="2368" spans="1:22" hidden="1" x14ac:dyDescent="0.25">
      <c r="A2368" s="100">
        <v>45777</v>
      </c>
      <c r="B2368" t="str">
        <f t="shared" si="119"/>
        <v>April</v>
      </c>
      <c r="C2368" s="46" t="s">
        <v>280</v>
      </c>
      <c r="F2368" s="366" t="s">
        <v>1607</v>
      </c>
      <c r="G2368" s="46" t="s">
        <v>18</v>
      </c>
      <c r="H2368" s="46">
        <v>3</v>
      </c>
      <c r="I2368" s="51">
        <v>5367.6500000000005</v>
      </c>
      <c r="J2368" s="281">
        <f>++Tabla4[[#This Row],[Precio Bruto]]*1.16</f>
        <v>6226.4740000000002</v>
      </c>
      <c r="K2368" s="281">
        <f>+Tabla4[[#This Row],[Precio Unitario Neto]]*Tabla4[[#Headers],[20.85%]]</f>
        <v>1298.2198289999999</v>
      </c>
      <c r="L2368" s="282">
        <f>++Tabla4[[#This Row],[Precio Unitario Neto]]-Tabla4[[#This Row],[20.85%]]</f>
        <v>4928.2541710000005</v>
      </c>
      <c r="M2368" s="282" t="e">
        <f>(INDEX(Tabla6[#All],MATCH(Tabla4[[#This Row],[Producto]],Tabla6[[#All],[PRODUCTO]],0),MATCH(Tabla4[[#This Row],[Mes]],Tabla6[#Headers],0)))*(1+Catalogos!$L$2)</f>
        <v>#N/A</v>
      </c>
      <c r="N2368" s="283" t="e">
        <f>+(Tabla4[[#This Row],[Precio Descontado]]-Tabla4[[#This Row],[Precio Base]])*Tabla4[[#This Row],[Cantidad]]</f>
        <v>#N/A</v>
      </c>
      <c r="O2368" s="284" t="e">
        <f>++Tabla4[[#This Row],[Utilidad Total]]/Tabla4[[#This Row],[Total]]</f>
        <v>#N/A</v>
      </c>
      <c r="P2368" s="282">
        <f>++Tabla4[[#This Row],[Precio Descontado]]*Tabla4[[#This Row],[Cantidad]]</f>
        <v>14784.762513000001</v>
      </c>
      <c r="Q2368" s="282" t="e">
        <f>(INDEX(Tabla6[#All],MATCH(Tabla4[[#This Row],[Producto]],Tabla6[[#All],[PRODUCTO]],0),MATCH(Tabla4[[#This Row],[Mes]],Tabla6[#Headers],0)))</f>
        <v>#N/A</v>
      </c>
      <c r="R2368" s="282" t="e">
        <f>++Tabla4[[#This Row],[Precio Unitario Neto]]-Tabla4[[#This Row],[20.85%]]-Tabla4[[#This Row],[Costo]]</f>
        <v>#N/A</v>
      </c>
      <c r="S2368" s="282" t="e">
        <f>++Tabla4[[#This Row],[U. Bruta Uni]]*Tabla4[[#This Row],[Cantidad]]</f>
        <v>#N/A</v>
      </c>
      <c r="T2368" s="369" t="str">
        <f>VLOOKUP(Tabla4[[#This Row],[Producto]],Tabla6[#All],14,FALSE)</f>
        <v>Termico Solar</v>
      </c>
      <c r="U2368" s="284" t="e">
        <f>(IF(Tabla4[[#This Row],[Familia]]="termico solar",Tabla4[[#This Row],[Utilidad Total]]*6%,Tabla4[[#This Row],[Utilidad Total]]*11.5%))/Tabla4[[#This Row],[Total]]</f>
        <v>#N/A</v>
      </c>
      <c r="V2368" s="282" t="e">
        <f>+Tabla4[[#This Row],[Comisión Calculada]]*Tabla4[[#This Row],[Total]]</f>
        <v>#N/A</v>
      </c>
    </row>
    <row r="2369" spans="1:22" hidden="1" x14ac:dyDescent="0.25">
      <c r="A2369" s="100">
        <v>45777</v>
      </c>
      <c r="B2369" t="str">
        <f t="shared" si="119"/>
        <v>April</v>
      </c>
      <c r="C2369" s="46" t="s">
        <v>280</v>
      </c>
      <c r="F2369" s="366" t="s">
        <v>1607</v>
      </c>
      <c r="G2369" s="46" t="s">
        <v>208</v>
      </c>
      <c r="H2369" s="46">
        <v>3</v>
      </c>
      <c r="I2369" s="51">
        <v>189.75</v>
      </c>
      <c r="J2369" s="281">
        <f>++Tabla4[[#This Row],[Precio Bruto]]*1.16</f>
        <v>220.10999999999999</v>
      </c>
      <c r="K2369" s="281">
        <f>+Tabla4[[#This Row],[Precio Unitario Neto]]*Tabla4[[#Headers],[20.85%]]</f>
        <v>45.892934999999994</v>
      </c>
      <c r="L2369" s="282">
        <f>++Tabla4[[#This Row],[Precio Unitario Neto]]-Tabla4[[#This Row],[20.85%]]</f>
        <v>174.21706499999999</v>
      </c>
      <c r="M2369" s="282" t="e">
        <f>(INDEX(Tabla6[#All],MATCH(Tabla4[[#This Row],[Producto]],Tabla6[[#All],[PRODUCTO]],0),MATCH(Tabla4[[#This Row],[Mes]],Tabla6[#Headers],0)))*(1+Catalogos!$L$2)</f>
        <v>#N/A</v>
      </c>
      <c r="N2369" s="283" t="e">
        <f>+(Tabla4[[#This Row],[Precio Descontado]]-Tabla4[[#This Row],[Precio Base]])*Tabla4[[#This Row],[Cantidad]]</f>
        <v>#N/A</v>
      </c>
      <c r="O2369" s="284" t="e">
        <f>++Tabla4[[#This Row],[Utilidad Total]]/Tabla4[[#This Row],[Total]]</f>
        <v>#N/A</v>
      </c>
      <c r="P2369" s="282">
        <f>++Tabla4[[#This Row],[Precio Descontado]]*Tabla4[[#This Row],[Cantidad]]</f>
        <v>522.65119499999992</v>
      </c>
      <c r="Q2369" s="282" t="e">
        <f>(INDEX(Tabla6[#All],MATCH(Tabla4[[#This Row],[Producto]],Tabla6[[#All],[PRODUCTO]],0),MATCH(Tabla4[[#This Row],[Mes]],Tabla6[#Headers],0)))</f>
        <v>#N/A</v>
      </c>
      <c r="R2369" s="282" t="e">
        <f>++Tabla4[[#This Row],[Precio Unitario Neto]]-Tabla4[[#This Row],[20.85%]]-Tabla4[[#This Row],[Costo]]</f>
        <v>#N/A</v>
      </c>
      <c r="S2369" s="282" t="e">
        <f>++Tabla4[[#This Row],[U. Bruta Uni]]*Tabla4[[#This Row],[Cantidad]]</f>
        <v>#N/A</v>
      </c>
      <c r="T2369" s="369" t="str">
        <f>VLOOKUP(Tabla4[[#This Row],[Producto]],Tabla6[#All],14,FALSE)</f>
        <v>Termico Solar</v>
      </c>
      <c r="U2369" s="284" t="e">
        <f>(IF(Tabla4[[#This Row],[Familia]]="termico solar",Tabla4[[#This Row],[Utilidad Total]]*6%,Tabla4[[#This Row],[Utilidad Total]]*11.5%))/Tabla4[[#This Row],[Total]]</f>
        <v>#N/A</v>
      </c>
      <c r="V2369" s="282" t="e">
        <f>+Tabla4[[#This Row],[Comisión Calculada]]*Tabla4[[#This Row],[Total]]</f>
        <v>#N/A</v>
      </c>
    </row>
    <row r="2370" spans="1:22" hidden="1" x14ac:dyDescent="0.25">
      <c r="A2370" s="100">
        <v>45777</v>
      </c>
      <c r="B2370" t="str">
        <f t="shared" si="119"/>
        <v>April</v>
      </c>
      <c r="C2370" s="46" t="s">
        <v>280</v>
      </c>
      <c r="F2370" s="366" t="s">
        <v>1608</v>
      </c>
      <c r="G2370" s="46" t="s">
        <v>17</v>
      </c>
      <c r="H2370" s="46">
        <v>1</v>
      </c>
      <c r="I2370" s="51">
        <v>4622.28</v>
      </c>
      <c r="J2370" s="281">
        <f>++Tabla4[[#This Row],[Precio Bruto]]*1.16</f>
        <v>5361.8447999999989</v>
      </c>
      <c r="K2370" s="281">
        <f>+Tabla4[[#This Row],[Precio Unitario Neto]]*Tabla4[[#Headers],[20.85%]]</f>
        <v>1117.9446407999997</v>
      </c>
      <c r="L2370" s="282">
        <f>++Tabla4[[#This Row],[Precio Unitario Neto]]-Tabla4[[#This Row],[20.85%]]</f>
        <v>4243.9001591999995</v>
      </c>
      <c r="M2370" s="282" t="e">
        <f>(INDEX(Tabla6[#All],MATCH(Tabla4[[#This Row],[Producto]],Tabla6[[#All],[PRODUCTO]],0),MATCH(Tabla4[[#This Row],[Mes]],Tabla6[#Headers],0)))*(1+Catalogos!$L$2)</f>
        <v>#N/A</v>
      </c>
      <c r="N2370" s="283" t="e">
        <f>+(Tabla4[[#This Row],[Precio Descontado]]-Tabla4[[#This Row],[Precio Base]])*Tabla4[[#This Row],[Cantidad]]</f>
        <v>#N/A</v>
      </c>
      <c r="O2370" s="284" t="e">
        <f>++Tabla4[[#This Row],[Utilidad Total]]/Tabla4[[#This Row],[Total]]</f>
        <v>#N/A</v>
      </c>
      <c r="P2370" s="282">
        <f>++Tabla4[[#This Row],[Precio Descontado]]*Tabla4[[#This Row],[Cantidad]]</f>
        <v>4243.9001591999995</v>
      </c>
      <c r="Q2370" s="282" t="e">
        <f>(INDEX(Tabla6[#All],MATCH(Tabla4[[#This Row],[Producto]],Tabla6[[#All],[PRODUCTO]],0),MATCH(Tabla4[[#This Row],[Mes]],Tabla6[#Headers],0)))</f>
        <v>#N/A</v>
      </c>
      <c r="R2370" s="282" t="e">
        <f>++Tabla4[[#This Row],[Precio Unitario Neto]]-Tabla4[[#This Row],[20.85%]]-Tabla4[[#This Row],[Costo]]</f>
        <v>#N/A</v>
      </c>
      <c r="S2370" s="282" t="e">
        <f>++Tabla4[[#This Row],[U. Bruta Uni]]*Tabla4[[#This Row],[Cantidad]]</f>
        <v>#N/A</v>
      </c>
      <c r="T2370" s="369" t="str">
        <f>VLOOKUP(Tabla4[[#This Row],[Producto]],Tabla6[#All],14,FALSE)</f>
        <v>Termico Solar</v>
      </c>
      <c r="U2370" s="284" t="e">
        <f>(IF(Tabla4[[#This Row],[Familia]]="termico solar",Tabla4[[#This Row],[Utilidad Total]]*6%,Tabla4[[#This Row],[Utilidad Total]]*11.5%))/Tabla4[[#This Row],[Total]]</f>
        <v>#N/A</v>
      </c>
      <c r="V2370" s="282" t="e">
        <f>+Tabla4[[#This Row],[Comisión Calculada]]*Tabla4[[#This Row],[Total]]</f>
        <v>#N/A</v>
      </c>
    </row>
    <row r="2371" spans="1:22" hidden="1" x14ac:dyDescent="0.25">
      <c r="A2371" s="100">
        <v>45777</v>
      </c>
      <c r="B2371" t="str">
        <f t="shared" si="119"/>
        <v>April</v>
      </c>
      <c r="C2371" s="46" t="s">
        <v>280</v>
      </c>
      <c r="F2371" s="366" t="s">
        <v>1608</v>
      </c>
      <c r="G2371" s="46" t="s">
        <v>566</v>
      </c>
      <c r="H2371" s="46">
        <v>1</v>
      </c>
      <c r="I2371" s="51">
        <v>2109.4499999999998</v>
      </c>
      <c r="J2371" s="281">
        <f>++Tabla4[[#This Row],[Precio Bruto]]*1.16</f>
        <v>2446.9619999999995</v>
      </c>
      <c r="K2371" s="281">
        <f>+Tabla4[[#This Row],[Precio Unitario Neto]]*Tabla4[[#Headers],[20.85%]]</f>
        <v>510.19157699999988</v>
      </c>
      <c r="L2371" s="282">
        <f>++Tabla4[[#This Row],[Precio Unitario Neto]]-Tabla4[[#This Row],[20.85%]]</f>
        <v>1936.7704229999997</v>
      </c>
      <c r="M2371" s="282" t="e">
        <f>(INDEX(Tabla6[#All],MATCH(Tabla4[[#This Row],[Producto]],Tabla6[[#All],[PRODUCTO]],0),MATCH(Tabla4[[#This Row],[Mes]],Tabla6[#Headers],0)))*(1+Catalogos!$L$2)</f>
        <v>#N/A</v>
      </c>
      <c r="N2371" s="283" t="e">
        <f>+(Tabla4[[#This Row],[Precio Descontado]]-Tabla4[[#This Row],[Precio Base]])*Tabla4[[#This Row],[Cantidad]]</f>
        <v>#N/A</v>
      </c>
      <c r="O2371" s="284" t="e">
        <f>++Tabla4[[#This Row],[Utilidad Total]]/Tabla4[[#This Row],[Total]]</f>
        <v>#N/A</v>
      </c>
      <c r="P2371" s="282">
        <f>++Tabla4[[#This Row],[Precio Descontado]]*Tabla4[[#This Row],[Cantidad]]</f>
        <v>1936.7704229999997</v>
      </c>
      <c r="Q2371" s="282" t="e">
        <f>(INDEX(Tabla6[#All],MATCH(Tabla4[[#This Row],[Producto]],Tabla6[[#All],[PRODUCTO]],0),MATCH(Tabla4[[#This Row],[Mes]],Tabla6[#Headers],0)))</f>
        <v>#N/A</v>
      </c>
      <c r="R2371" s="282" t="e">
        <f>++Tabla4[[#This Row],[Precio Unitario Neto]]-Tabla4[[#This Row],[20.85%]]-Tabla4[[#This Row],[Costo]]</f>
        <v>#N/A</v>
      </c>
      <c r="S2371" s="282" t="e">
        <f>++Tabla4[[#This Row],[U. Bruta Uni]]*Tabla4[[#This Row],[Cantidad]]</f>
        <v>#N/A</v>
      </c>
      <c r="T2371" s="369" t="str">
        <f>VLOOKUP(Tabla4[[#This Row],[Producto]],Tabla6[#All],14,FALSE)</f>
        <v>Termico Solar</v>
      </c>
      <c r="U2371" s="284" t="e">
        <f>(IF(Tabla4[[#This Row],[Familia]]="termico solar",Tabla4[[#This Row],[Utilidad Total]]*6%,Tabla4[[#This Row],[Utilidad Total]]*11.5%))/Tabla4[[#This Row],[Total]]</f>
        <v>#N/A</v>
      </c>
      <c r="V2371" s="282" t="e">
        <f>+Tabla4[[#This Row],[Comisión Calculada]]*Tabla4[[#This Row],[Total]]</f>
        <v>#N/A</v>
      </c>
    </row>
    <row r="2372" spans="1:22" hidden="1" x14ac:dyDescent="0.25">
      <c r="A2372" s="100">
        <v>45777</v>
      </c>
      <c r="B2372" t="str">
        <f t="shared" si="119"/>
        <v>April</v>
      </c>
      <c r="C2372" s="46" t="s">
        <v>280</v>
      </c>
      <c r="F2372" s="366" t="s">
        <v>1608</v>
      </c>
      <c r="G2372" s="46" t="s">
        <v>208</v>
      </c>
      <c r="H2372" s="46">
        <v>1</v>
      </c>
      <c r="I2372" s="51">
        <v>189.75</v>
      </c>
      <c r="J2372" s="281">
        <f>++Tabla4[[#This Row],[Precio Bruto]]*1.16</f>
        <v>220.10999999999999</v>
      </c>
      <c r="K2372" s="281">
        <f>+Tabla4[[#This Row],[Precio Unitario Neto]]*Tabla4[[#Headers],[20.85%]]</f>
        <v>45.892934999999994</v>
      </c>
      <c r="L2372" s="282">
        <f>++Tabla4[[#This Row],[Precio Unitario Neto]]-Tabla4[[#This Row],[20.85%]]</f>
        <v>174.21706499999999</v>
      </c>
      <c r="M2372" s="282" t="e">
        <f>(INDEX(Tabla6[#All],MATCH(Tabla4[[#This Row],[Producto]],Tabla6[[#All],[PRODUCTO]],0),MATCH(Tabla4[[#This Row],[Mes]],Tabla6[#Headers],0)))*(1+Catalogos!$L$2)</f>
        <v>#N/A</v>
      </c>
      <c r="N2372" s="283" t="e">
        <f>+(Tabla4[[#This Row],[Precio Descontado]]-Tabla4[[#This Row],[Precio Base]])*Tabla4[[#This Row],[Cantidad]]</f>
        <v>#N/A</v>
      </c>
      <c r="O2372" s="284" t="e">
        <f>++Tabla4[[#This Row],[Utilidad Total]]/Tabla4[[#This Row],[Total]]</f>
        <v>#N/A</v>
      </c>
      <c r="P2372" s="282">
        <f>++Tabla4[[#This Row],[Precio Descontado]]*Tabla4[[#This Row],[Cantidad]]</f>
        <v>174.21706499999999</v>
      </c>
      <c r="Q2372" s="282" t="e">
        <f>(INDEX(Tabla6[#All],MATCH(Tabla4[[#This Row],[Producto]],Tabla6[[#All],[PRODUCTO]],0),MATCH(Tabla4[[#This Row],[Mes]],Tabla6[#Headers],0)))</f>
        <v>#N/A</v>
      </c>
      <c r="R2372" s="282" t="e">
        <f>++Tabla4[[#This Row],[Precio Unitario Neto]]-Tabla4[[#This Row],[20.85%]]-Tabla4[[#This Row],[Costo]]</f>
        <v>#N/A</v>
      </c>
      <c r="S2372" s="282" t="e">
        <f>++Tabla4[[#This Row],[U. Bruta Uni]]*Tabla4[[#This Row],[Cantidad]]</f>
        <v>#N/A</v>
      </c>
      <c r="T2372" s="369" t="str">
        <f>VLOOKUP(Tabla4[[#This Row],[Producto]],Tabla6[#All],14,FALSE)</f>
        <v>Termico Solar</v>
      </c>
      <c r="U2372" s="284" t="e">
        <f>(IF(Tabla4[[#This Row],[Familia]]="termico solar",Tabla4[[#This Row],[Utilidad Total]]*6%,Tabla4[[#This Row],[Utilidad Total]]*11.5%))/Tabla4[[#This Row],[Total]]</f>
        <v>#N/A</v>
      </c>
      <c r="V2372" s="282" t="e">
        <f>+Tabla4[[#This Row],[Comisión Calculada]]*Tabla4[[#This Row],[Total]]</f>
        <v>#N/A</v>
      </c>
    </row>
    <row r="2373" spans="1:22" hidden="1" x14ac:dyDescent="0.25">
      <c r="A2373" s="100">
        <v>45777</v>
      </c>
      <c r="B2373" t="str">
        <f t="shared" si="119"/>
        <v>April</v>
      </c>
      <c r="C2373" s="46" t="s">
        <v>280</v>
      </c>
      <c r="F2373" s="366" t="s">
        <v>1609</v>
      </c>
      <c r="G2373" s="46" t="s">
        <v>83</v>
      </c>
      <c r="H2373" s="46">
        <v>2</v>
      </c>
      <c r="I2373" s="51">
        <v>8858.76</v>
      </c>
      <c r="J2373" s="281">
        <f>++Tabla4[[#This Row],[Precio Bruto]]*1.16</f>
        <v>10276.161599999999</v>
      </c>
      <c r="K2373" s="281">
        <f>+Tabla4[[#This Row],[Precio Unitario Neto]]*Tabla4[[#Headers],[20.85%]]</f>
        <v>2142.5796935999997</v>
      </c>
      <c r="L2373" s="282">
        <f>++Tabla4[[#This Row],[Precio Unitario Neto]]-Tabla4[[#This Row],[20.85%]]</f>
        <v>8133.5819063999998</v>
      </c>
      <c r="M2373" s="282" t="e">
        <f>(INDEX(Tabla6[#All],MATCH(Tabla4[[#This Row],[Producto]],Tabla6[[#All],[PRODUCTO]],0),MATCH(Tabla4[[#This Row],[Mes]],Tabla6[#Headers],0)))*(1+Catalogos!$L$2)</f>
        <v>#N/A</v>
      </c>
      <c r="N2373" s="283" t="e">
        <f>+(Tabla4[[#This Row],[Precio Descontado]]-Tabla4[[#This Row],[Precio Base]])*Tabla4[[#This Row],[Cantidad]]</f>
        <v>#N/A</v>
      </c>
      <c r="O2373" s="284" t="e">
        <f>++Tabla4[[#This Row],[Utilidad Total]]/Tabla4[[#This Row],[Total]]</f>
        <v>#N/A</v>
      </c>
      <c r="P2373" s="282">
        <f>++Tabla4[[#This Row],[Precio Descontado]]*Tabla4[[#This Row],[Cantidad]]</f>
        <v>16267.1638128</v>
      </c>
      <c r="Q2373" s="282" t="e">
        <f>(INDEX(Tabla6[#All],MATCH(Tabla4[[#This Row],[Producto]],Tabla6[[#All],[PRODUCTO]],0),MATCH(Tabla4[[#This Row],[Mes]],Tabla6[#Headers],0)))</f>
        <v>#N/A</v>
      </c>
      <c r="R2373" s="282" t="e">
        <f>++Tabla4[[#This Row],[Precio Unitario Neto]]-Tabla4[[#This Row],[20.85%]]-Tabla4[[#This Row],[Costo]]</f>
        <v>#N/A</v>
      </c>
      <c r="S2373" s="282" t="e">
        <f>++Tabla4[[#This Row],[U. Bruta Uni]]*Tabla4[[#This Row],[Cantidad]]</f>
        <v>#N/A</v>
      </c>
      <c r="T2373" s="369" t="str">
        <f>VLOOKUP(Tabla4[[#This Row],[Producto]],Tabla6[#All],14,FALSE)</f>
        <v>Termico Solar</v>
      </c>
      <c r="U2373" s="284" t="e">
        <f>(IF(Tabla4[[#This Row],[Familia]]="termico solar",Tabla4[[#This Row],[Utilidad Total]]*6%,Tabla4[[#This Row],[Utilidad Total]]*11.5%))/Tabla4[[#This Row],[Total]]</f>
        <v>#N/A</v>
      </c>
      <c r="V2373" s="282" t="e">
        <f>+Tabla4[[#This Row],[Comisión Calculada]]*Tabla4[[#This Row],[Total]]</f>
        <v>#N/A</v>
      </c>
    </row>
    <row r="2374" spans="1:22" hidden="1" x14ac:dyDescent="0.25">
      <c r="A2374" s="100">
        <v>45777</v>
      </c>
      <c r="B2374" t="str">
        <f t="shared" si="119"/>
        <v>April</v>
      </c>
      <c r="C2374" s="46" t="s">
        <v>280</v>
      </c>
      <c r="F2374" s="366" t="s">
        <v>1609</v>
      </c>
      <c r="G2374" s="46" t="s">
        <v>18</v>
      </c>
      <c r="H2374" s="46">
        <v>1</v>
      </c>
      <c r="I2374" s="51">
        <v>5367.65</v>
      </c>
      <c r="J2374" s="281">
        <f>++Tabla4[[#This Row],[Precio Bruto]]*1.16</f>
        <v>6226.4739999999993</v>
      </c>
      <c r="K2374" s="281">
        <f>+Tabla4[[#This Row],[Precio Unitario Neto]]*Tabla4[[#Headers],[20.85%]]</f>
        <v>1298.2198289999999</v>
      </c>
      <c r="L2374" s="282">
        <f>++Tabla4[[#This Row],[Precio Unitario Neto]]-Tabla4[[#This Row],[20.85%]]</f>
        <v>4928.2541709999996</v>
      </c>
      <c r="M2374" s="282" t="e">
        <f>(INDEX(Tabla6[#All],MATCH(Tabla4[[#This Row],[Producto]],Tabla6[[#All],[PRODUCTO]],0),MATCH(Tabla4[[#This Row],[Mes]],Tabla6[#Headers],0)))*(1+Catalogos!$L$2)</f>
        <v>#N/A</v>
      </c>
      <c r="N2374" s="283" t="e">
        <f>+(Tabla4[[#This Row],[Precio Descontado]]-Tabla4[[#This Row],[Precio Base]])*Tabla4[[#This Row],[Cantidad]]</f>
        <v>#N/A</v>
      </c>
      <c r="O2374" s="284" t="e">
        <f>++Tabla4[[#This Row],[Utilidad Total]]/Tabla4[[#This Row],[Total]]</f>
        <v>#N/A</v>
      </c>
      <c r="P2374" s="282">
        <f>++Tabla4[[#This Row],[Precio Descontado]]*Tabla4[[#This Row],[Cantidad]]</f>
        <v>4928.2541709999996</v>
      </c>
      <c r="Q2374" s="282" t="e">
        <f>(INDEX(Tabla6[#All],MATCH(Tabla4[[#This Row],[Producto]],Tabla6[[#All],[PRODUCTO]],0),MATCH(Tabla4[[#This Row],[Mes]],Tabla6[#Headers],0)))</f>
        <v>#N/A</v>
      </c>
      <c r="R2374" s="282" t="e">
        <f>++Tabla4[[#This Row],[Precio Unitario Neto]]-Tabla4[[#This Row],[20.85%]]-Tabla4[[#This Row],[Costo]]</f>
        <v>#N/A</v>
      </c>
      <c r="S2374" s="282" t="e">
        <f>++Tabla4[[#This Row],[U. Bruta Uni]]*Tabla4[[#This Row],[Cantidad]]</f>
        <v>#N/A</v>
      </c>
      <c r="T2374" s="369" t="str">
        <f>VLOOKUP(Tabla4[[#This Row],[Producto]],Tabla6[#All],14,FALSE)</f>
        <v>Termico Solar</v>
      </c>
      <c r="U2374" s="284" t="e">
        <f>(IF(Tabla4[[#This Row],[Familia]]="termico solar",Tabla4[[#This Row],[Utilidad Total]]*6%,Tabla4[[#This Row],[Utilidad Total]]*11.5%))/Tabla4[[#This Row],[Total]]</f>
        <v>#N/A</v>
      </c>
      <c r="V2374" s="282" t="e">
        <f>+Tabla4[[#This Row],[Comisión Calculada]]*Tabla4[[#This Row],[Total]]</f>
        <v>#N/A</v>
      </c>
    </row>
    <row r="2375" spans="1:22" hidden="1" x14ac:dyDescent="0.25">
      <c r="A2375" s="100">
        <v>45777</v>
      </c>
      <c r="B2375" t="str">
        <f t="shared" si="119"/>
        <v>April</v>
      </c>
      <c r="C2375" s="46" t="s">
        <v>280</v>
      </c>
      <c r="F2375" s="366" t="s">
        <v>1610</v>
      </c>
      <c r="G2375" s="46" t="s">
        <v>17</v>
      </c>
      <c r="H2375" s="46">
        <v>2</v>
      </c>
      <c r="I2375" s="51">
        <v>4622.28</v>
      </c>
      <c r="J2375" s="281">
        <f>++Tabla4[[#This Row],[Precio Bruto]]*1.16</f>
        <v>5361.8447999999989</v>
      </c>
      <c r="K2375" s="281">
        <f>+Tabla4[[#This Row],[Precio Unitario Neto]]*Tabla4[[#Headers],[20.85%]]</f>
        <v>1117.9446407999997</v>
      </c>
      <c r="L2375" s="282">
        <f>++Tabla4[[#This Row],[Precio Unitario Neto]]-Tabla4[[#This Row],[20.85%]]</f>
        <v>4243.9001591999995</v>
      </c>
      <c r="M2375" s="282" t="e">
        <f>(INDEX(Tabla6[#All],MATCH(Tabla4[[#This Row],[Producto]],Tabla6[[#All],[PRODUCTO]],0),MATCH(Tabla4[[#This Row],[Mes]],Tabla6[#Headers],0)))*(1+Catalogos!$L$2)</f>
        <v>#N/A</v>
      </c>
      <c r="N2375" s="283" t="e">
        <f>+(Tabla4[[#This Row],[Precio Descontado]]-Tabla4[[#This Row],[Precio Base]])*Tabla4[[#This Row],[Cantidad]]</f>
        <v>#N/A</v>
      </c>
      <c r="O2375" s="284" t="e">
        <f>++Tabla4[[#This Row],[Utilidad Total]]/Tabla4[[#This Row],[Total]]</f>
        <v>#N/A</v>
      </c>
      <c r="P2375" s="282">
        <f>++Tabla4[[#This Row],[Precio Descontado]]*Tabla4[[#This Row],[Cantidad]]</f>
        <v>8487.800318399999</v>
      </c>
      <c r="Q2375" s="282" t="e">
        <f>(INDEX(Tabla6[#All],MATCH(Tabla4[[#This Row],[Producto]],Tabla6[[#All],[PRODUCTO]],0),MATCH(Tabla4[[#This Row],[Mes]],Tabla6[#Headers],0)))</f>
        <v>#N/A</v>
      </c>
      <c r="R2375" s="282" t="e">
        <f>++Tabla4[[#This Row],[Precio Unitario Neto]]-Tabla4[[#This Row],[20.85%]]-Tabla4[[#This Row],[Costo]]</f>
        <v>#N/A</v>
      </c>
      <c r="S2375" s="282" t="e">
        <f>++Tabla4[[#This Row],[U. Bruta Uni]]*Tabla4[[#This Row],[Cantidad]]</f>
        <v>#N/A</v>
      </c>
      <c r="T2375" s="369" t="str">
        <f>VLOOKUP(Tabla4[[#This Row],[Producto]],Tabla6[#All],14,FALSE)</f>
        <v>Termico Solar</v>
      </c>
      <c r="U2375" s="284" t="e">
        <f>(IF(Tabla4[[#This Row],[Familia]]="termico solar",Tabla4[[#This Row],[Utilidad Total]]*6%,Tabla4[[#This Row],[Utilidad Total]]*11.5%))/Tabla4[[#This Row],[Total]]</f>
        <v>#N/A</v>
      </c>
      <c r="V2375" s="282" t="e">
        <f>+Tabla4[[#This Row],[Comisión Calculada]]*Tabla4[[#This Row],[Total]]</f>
        <v>#N/A</v>
      </c>
    </row>
    <row r="2376" spans="1:22" hidden="1" x14ac:dyDescent="0.25">
      <c r="A2376" s="100">
        <v>45777</v>
      </c>
      <c r="B2376" t="str">
        <f t="shared" si="119"/>
        <v>April</v>
      </c>
      <c r="C2376" s="46" t="s">
        <v>280</v>
      </c>
      <c r="F2376" s="366" t="s">
        <v>1610</v>
      </c>
      <c r="G2376" s="46" t="s">
        <v>208</v>
      </c>
      <c r="H2376" s="46">
        <v>1</v>
      </c>
      <c r="I2376" s="51">
        <v>189.75</v>
      </c>
      <c r="J2376" s="281">
        <f>++Tabla4[[#This Row],[Precio Bruto]]*1.16</f>
        <v>220.10999999999999</v>
      </c>
      <c r="K2376" s="281">
        <f>+Tabla4[[#This Row],[Precio Unitario Neto]]*Tabla4[[#Headers],[20.85%]]</f>
        <v>45.892934999999994</v>
      </c>
      <c r="L2376" s="282">
        <f>++Tabla4[[#This Row],[Precio Unitario Neto]]-Tabla4[[#This Row],[20.85%]]</f>
        <v>174.21706499999999</v>
      </c>
      <c r="M2376" s="282" t="e">
        <f>(INDEX(Tabla6[#All],MATCH(Tabla4[[#This Row],[Producto]],Tabla6[[#All],[PRODUCTO]],0),MATCH(Tabla4[[#This Row],[Mes]],Tabla6[#Headers],0)))*(1+Catalogos!$L$2)</f>
        <v>#N/A</v>
      </c>
      <c r="N2376" s="283" t="e">
        <f>+(Tabla4[[#This Row],[Precio Descontado]]-Tabla4[[#This Row],[Precio Base]])*Tabla4[[#This Row],[Cantidad]]</f>
        <v>#N/A</v>
      </c>
      <c r="O2376" s="284" t="e">
        <f>++Tabla4[[#This Row],[Utilidad Total]]/Tabla4[[#This Row],[Total]]</f>
        <v>#N/A</v>
      </c>
      <c r="P2376" s="282">
        <f>++Tabla4[[#This Row],[Precio Descontado]]*Tabla4[[#This Row],[Cantidad]]</f>
        <v>174.21706499999999</v>
      </c>
      <c r="Q2376" s="282" t="e">
        <f>(INDEX(Tabla6[#All],MATCH(Tabla4[[#This Row],[Producto]],Tabla6[[#All],[PRODUCTO]],0),MATCH(Tabla4[[#This Row],[Mes]],Tabla6[#Headers],0)))</f>
        <v>#N/A</v>
      </c>
      <c r="R2376" s="282" t="e">
        <f>++Tabla4[[#This Row],[Precio Unitario Neto]]-Tabla4[[#This Row],[20.85%]]-Tabla4[[#This Row],[Costo]]</f>
        <v>#N/A</v>
      </c>
      <c r="S2376" s="282" t="e">
        <f>++Tabla4[[#This Row],[U. Bruta Uni]]*Tabla4[[#This Row],[Cantidad]]</f>
        <v>#N/A</v>
      </c>
      <c r="T2376" s="369" t="str">
        <f>VLOOKUP(Tabla4[[#This Row],[Producto]],Tabla6[#All],14,FALSE)</f>
        <v>Termico Solar</v>
      </c>
      <c r="U2376" s="284" t="e">
        <f>(IF(Tabla4[[#This Row],[Familia]]="termico solar",Tabla4[[#This Row],[Utilidad Total]]*6%,Tabla4[[#This Row],[Utilidad Total]]*11.5%))/Tabla4[[#This Row],[Total]]</f>
        <v>#N/A</v>
      </c>
      <c r="V2376" s="282" t="e">
        <f>+Tabla4[[#This Row],[Comisión Calculada]]*Tabla4[[#This Row],[Total]]</f>
        <v>#N/A</v>
      </c>
    </row>
    <row r="2377" spans="1:22" hidden="1" x14ac:dyDescent="0.25">
      <c r="A2377" s="100">
        <v>45777</v>
      </c>
      <c r="B2377" t="str">
        <f t="shared" si="119"/>
        <v>April</v>
      </c>
      <c r="C2377" s="46" t="s">
        <v>280</v>
      </c>
      <c r="F2377" s="366" t="s">
        <v>1611</v>
      </c>
      <c r="G2377" s="46" t="s">
        <v>83</v>
      </c>
      <c r="H2377" s="46">
        <v>3</v>
      </c>
      <c r="I2377" s="51">
        <v>8858.76</v>
      </c>
      <c r="J2377" s="281">
        <f>++Tabla4[[#This Row],[Precio Bruto]]*1.16</f>
        <v>10276.161599999999</v>
      </c>
      <c r="K2377" s="281">
        <f>+Tabla4[[#This Row],[Precio Unitario Neto]]*Tabla4[[#Headers],[20.85%]]</f>
        <v>2142.5796935999997</v>
      </c>
      <c r="L2377" s="282">
        <f>++Tabla4[[#This Row],[Precio Unitario Neto]]-Tabla4[[#This Row],[20.85%]]</f>
        <v>8133.5819063999998</v>
      </c>
      <c r="M2377" s="282" t="e">
        <f>(INDEX(Tabla6[#All],MATCH(Tabla4[[#This Row],[Producto]],Tabla6[[#All],[PRODUCTO]],0),MATCH(Tabla4[[#This Row],[Mes]],Tabla6[#Headers],0)))*(1+Catalogos!$L$2)</f>
        <v>#N/A</v>
      </c>
      <c r="N2377" s="283" t="e">
        <f>+(Tabla4[[#This Row],[Precio Descontado]]-Tabla4[[#This Row],[Precio Base]])*Tabla4[[#This Row],[Cantidad]]</f>
        <v>#N/A</v>
      </c>
      <c r="O2377" s="284" t="e">
        <f>++Tabla4[[#This Row],[Utilidad Total]]/Tabla4[[#This Row],[Total]]</f>
        <v>#N/A</v>
      </c>
      <c r="P2377" s="282">
        <f>++Tabla4[[#This Row],[Precio Descontado]]*Tabla4[[#This Row],[Cantidad]]</f>
        <v>24400.7457192</v>
      </c>
      <c r="Q2377" s="282" t="e">
        <f>(INDEX(Tabla6[#All],MATCH(Tabla4[[#This Row],[Producto]],Tabla6[[#All],[PRODUCTO]],0),MATCH(Tabla4[[#This Row],[Mes]],Tabla6[#Headers],0)))</f>
        <v>#N/A</v>
      </c>
      <c r="R2377" s="282" t="e">
        <f>++Tabla4[[#This Row],[Precio Unitario Neto]]-Tabla4[[#This Row],[20.85%]]-Tabla4[[#This Row],[Costo]]</f>
        <v>#N/A</v>
      </c>
      <c r="S2377" s="282" t="e">
        <f>++Tabla4[[#This Row],[U. Bruta Uni]]*Tabla4[[#This Row],[Cantidad]]</f>
        <v>#N/A</v>
      </c>
      <c r="T2377" s="369" t="str">
        <f>VLOOKUP(Tabla4[[#This Row],[Producto]],Tabla6[#All],14,FALSE)</f>
        <v>Termico Solar</v>
      </c>
      <c r="U2377" s="284" t="e">
        <f>(IF(Tabla4[[#This Row],[Familia]]="termico solar",Tabla4[[#This Row],[Utilidad Total]]*6%,Tabla4[[#This Row],[Utilidad Total]]*11.5%))/Tabla4[[#This Row],[Total]]</f>
        <v>#N/A</v>
      </c>
      <c r="V2377" s="282" t="e">
        <f>+Tabla4[[#This Row],[Comisión Calculada]]*Tabla4[[#This Row],[Total]]</f>
        <v>#N/A</v>
      </c>
    </row>
    <row r="2378" spans="1:22" hidden="1" x14ac:dyDescent="0.25">
      <c r="A2378" s="100">
        <v>45777</v>
      </c>
      <c r="B2378" t="str">
        <f t="shared" si="119"/>
        <v>April</v>
      </c>
      <c r="C2378" s="46" t="s">
        <v>280</v>
      </c>
      <c r="F2378" s="366" t="s">
        <v>1611</v>
      </c>
      <c r="G2378" s="46" t="s">
        <v>18</v>
      </c>
      <c r="H2378" s="46">
        <v>2</v>
      </c>
      <c r="I2378" s="51">
        <v>5367.65</v>
      </c>
      <c r="J2378" s="281">
        <f>++Tabla4[[#This Row],[Precio Bruto]]*1.16</f>
        <v>6226.4739999999993</v>
      </c>
      <c r="K2378" s="281">
        <f>+Tabla4[[#This Row],[Precio Unitario Neto]]*Tabla4[[#Headers],[20.85%]]</f>
        <v>1298.2198289999999</v>
      </c>
      <c r="L2378" s="282">
        <f>++Tabla4[[#This Row],[Precio Unitario Neto]]-Tabla4[[#This Row],[20.85%]]</f>
        <v>4928.2541709999996</v>
      </c>
      <c r="M2378" s="282" t="e">
        <f>(INDEX(Tabla6[#All],MATCH(Tabla4[[#This Row],[Producto]],Tabla6[[#All],[PRODUCTO]],0),MATCH(Tabla4[[#This Row],[Mes]],Tabla6[#Headers],0)))*(1+Catalogos!$L$2)</f>
        <v>#N/A</v>
      </c>
      <c r="N2378" s="283" t="e">
        <f>+(Tabla4[[#This Row],[Precio Descontado]]-Tabla4[[#This Row],[Precio Base]])*Tabla4[[#This Row],[Cantidad]]</f>
        <v>#N/A</v>
      </c>
      <c r="O2378" s="284" t="e">
        <f>++Tabla4[[#This Row],[Utilidad Total]]/Tabla4[[#This Row],[Total]]</f>
        <v>#N/A</v>
      </c>
      <c r="P2378" s="282">
        <f>++Tabla4[[#This Row],[Precio Descontado]]*Tabla4[[#This Row],[Cantidad]]</f>
        <v>9856.5083419999992</v>
      </c>
      <c r="Q2378" s="282" t="e">
        <f>(INDEX(Tabla6[#All],MATCH(Tabla4[[#This Row],[Producto]],Tabla6[[#All],[PRODUCTO]],0),MATCH(Tabla4[[#This Row],[Mes]],Tabla6[#Headers],0)))</f>
        <v>#N/A</v>
      </c>
      <c r="R2378" s="282" t="e">
        <f>++Tabla4[[#This Row],[Precio Unitario Neto]]-Tabla4[[#This Row],[20.85%]]-Tabla4[[#This Row],[Costo]]</f>
        <v>#N/A</v>
      </c>
      <c r="S2378" s="282" t="e">
        <f>++Tabla4[[#This Row],[U. Bruta Uni]]*Tabla4[[#This Row],[Cantidad]]</f>
        <v>#N/A</v>
      </c>
      <c r="T2378" s="369" t="str">
        <f>VLOOKUP(Tabla4[[#This Row],[Producto]],Tabla6[#All],14,FALSE)</f>
        <v>Termico Solar</v>
      </c>
      <c r="U2378" s="284" t="e">
        <f>(IF(Tabla4[[#This Row],[Familia]]="termico solar",Tabla4[[#This Row],[Utilidad Total]]*6%,Tabla4[[#This Row],[Utilidad Total]]*11.5%))/Tabla4[[#This Row],[Total]]</f>
        <v>#N/A</v>
      </c>
      <c r="V2378" s="282" t="e">
        <f>+Tabla4[[#This Row],[Comisión Calculada]]*Tabla4[[#This Row],[Total]]</f>
        <v>#N/A</v>
      </c>
    </row>
    <row r="2379" spans="1:22" hidden="1" x14ac:dyDescent="0.25">
      <c r="A2379" s="100">
        <v>45777</v>
      </c>
      <c r="B2379" t="str">
        <f t="shared" si="119"/>
        <v>April</v>
      </c>
      <c r="C2379" s="46" t="s">
        <v>280</v>
      </c>
      <c r="F2379" s="366" t="s">
        <v>1612</v>
      </c>
      <c r="G2379" s="46" t="s">
        <v>208</v>
      </c>
      <c r="H2379" s="46">
        <v>2</v>
      </c>
      <c r="I2379" s="51">
        <v>189.75</v>
      </c>
      <c r="J2379" s="281">
        <f>++Tabla4[[#This Row],[Precio Bruto]]*1.16</f>
        <v>220.10999999999999</v>
      </c>
      <c r="K2379" s="281">
        <f>+Tabla4[[#This Row],[Precio Unitario Neto]]*Tabla4[[#Headers],[20.85%]]</f>
        <v>45.892934999999994</v>
      </c>
      <c r="L2379" s="282">
        <f>++Tabla4[[#This Row],[Precio Unitario Neto]]-Tabla4[[#This Row],[20.85%]]</f>
        <v>174.21706499999999</v>
      </c>
      <c r="M2379" s="282" t="e">
        <f>(INDEX(Tabla6[#All],MATCH(Tabla4[[#This Row],[Producto]],Tabla6[[#All],[PRODUCTO]],0),MATCH(Tabla4[[#This Row],[Mes]],Tabla6[#Headers],0)))*(1+Catalogos!$L$2)</f>
        <v>#N/A</v>
      </c>
      <c r="N2379" s="283" t="e">
        <f>+(Tabla4[[#This Row],[Precio Descontado]]-Tabla4[[#This Row],[Precio Base]])*Tabla4[[#This Row],[Cantidad]]</f>
        <v>#N/A</v>
      </c>
      <c r="O2379" s="284" t="e">
        <f>++Tabla4[[#This Row],[Utilidad Total]]/Tabla4[[#This Row],[Total]]</f>
        <v>#N/A</v>
      </c>
      <c r="P2379" s="282">
        <f>++Tabla4[[#This Row],[Precio Descontado]]*Tabla4[[#This Row],[Cantidad]]</f>
        <v>348.43412999999998</v>
      </c>
      <c r="Q2379" s="282" t="e">
        <f>(INDEX(Tabla6[#All],MATCH(Tabla4[[#This Row],[Producto]],Tabla6[[#All],[PRODUCTO]],0),MATCH(Tabla4[[#This Row],[Mes]],Tabla6[#Headers],0)))</f>
        <v>#N/A</v>
      </c>
      <c r="R2379" s="282" t="e">
        <f>++Tabla4[[#This Row],[Precio Unitario Neto]]-Tabla4[[#This Row],[20.85%]]-Tabla4[[#This Row],[Costo]]</f>
        <v>#N/A</v>
      </c>
      <c r="S2379" s="282" t="e">
        <f>++Tabla4[[#This Row],[U. Bruta Uni]]*Tabla4[[#This Row],[Cantidad]]</f>
        <v>#N/A</v>
      </c>
      <c r="T2379" s="369" t="str">
        <f>VLOOKUP(Tabla4[[#This Row],[Producto]],Tabla6[#All],14,FALSE)</f>
        <v>Termico Solar</v>
      </c>
      <c r="U2379" s="284" t="e">
        <f>(IF(Tabla4[[#This Row],[Familia]]="termico solar",Tabla4[[#This Row],[Utilidad Total]]*6%,Tabla4[[#This Row],[Utilidad Total]]*11.5%))/Tabla4[[#This Row],[Total]]</f>
        <v>#N/A</v>
      </c>
      <c r="V2379" s="282" t="e">
        <f>+Tabla4[[#This Row],[Comisión Calculada]]*Tabla4[[#This Row],[Total]]</f>
        <v>#N/A</v>
      </c>
    </row>
    <row r="2380" spans="1:22" hidden="1" x14ac:dyDescent="0.25">
      <c r="A2380" s="100">
        <v>45777</v>
      </c>
      <c r="B2380" t="str">
        <f t="shared" si="119"/>
        <v>April</v>
      </c>
      <c r="C2380" s="46" t="s">
        <v>280</v>
      </c>
      <c r="F2380" s="366" t="s">
        <v>1613</v>
      </c>
      <c r="G2380" s="46" t="s">
        <v>17</v>
      </c>
      <c r="H2380" s="46">
        <v>2</v>
      </c>
      <c r="I2380" s="51">
        <v>4622.28</v>
      </c>
      <c r="J2380" s="281">
        <f>++Tabla4[[#This Row],[Precio Bruto]]*1.16</f>
        <v>5361.8447999999989</v>
      </c>
      <c r="K2380" s="281">
        <f>+Tabla4[[#This Row],[Precio Unitario Neto]]*Tabla4[[#Headers],[20.85%]]</f>
        <v>1117.9446407999997</v>
      </c>
      <c r="L2380" s="282">
        <f>++Tabla4[[#This Row],[Precio Unitario Neto]]-Tabla4[[#This Row],[20.85%]]</f>
        <v>4243.9001591999995</v>
      </c>
      <c r="M2380" s="282" t="e">
        <f>(INDEX(Tabla6[#All],MATCH(Tabla4[[#This Row],[Producto]],Tabla6[[#All],[PRODUCTO]],0),MATCH(Tabla4[[#This Row],[Mes]],Tabla6[#Headers],0)))*(1+Catalogos!$L$2)</f>
        <v>#N/A</v>
      </c>
      <c r="N2380" s="283" t="e">
        <f>+(Tabla4[[#This Row],[Precio Descontado]]-Tabla4[[#This Row],[Precio Base]])*Tabla4[[#This Row],[Cantidad]]</f>
        <v>#N/A</v>
      </c>
      <c r="O2380" s="284" t="e">
        <f>++Tabla4[[#This Row],[Utilidad Total]]/Tabla4[[#This Row],[Total]]</f>
        <v>#N/A</v>
      </c>
      <c r="P2380" s="282">
        <f>++Tabla4[[#This Row],[Precio Descontado]]*Tabla4[[#This Row],[Cantidad]]</f>
        <v>8487.800318399999</v>
      </c>
      <c r="Q2380" s="282" t="e">
        <f>(INDEX(Tabla6[#All],MATCH(Tabla4[[#This Row],[Producto]],Tabla6[[#All],[PRODUCTO]],0),MATCH(Tabla4[[#This Row],[Mes]],Tabla6[#Headers],0)))</f>
        <v>#N/A</v>
      </c>
      <c r="R2380" s="282" t="e">
        <f>++Tabla4[[#This Row],[Precio Unitario Neto]]-Tabla4[[#This Row],[20.85%]]-Tabla4[[#This Row],[Costo]]</f>
        <v>#N/A</v>
      </c>
      <c r="S2380" s="282" t="e">
        <f>++Tabla4[[#This Row],[U. Bruta Uni]]*Tabla4[[#This Row],[Cantidad]]</f>
        <v>#N/A</v>
      </c>
      <c r="T2380" s="369" t="str">
        <f>VLOOKUP(Tabla4[[#This Row],[Producto]],Tabla6[#All],14,FALSE)</f>
        <v>Termico Solar</v>
      </c>
      <c r="U2380" s="284" t="e">
        <f>(IF(Tabla4[[#This Row],[Familia]]="termico solar",Tabla4[[#This Row],[Utilidad Total]]*6%,Tabla4[[#This Row],[Utilidad Total]]*11.5%))/Tabla4[[#This Row],[Total]]</f>
        <v>#N/A</v>
      </c>
      <c r="V2380" s="282" t="e">
        <f>+Tabla4[[#This Row],[Comisión Calculada]]*Tabla4[[#This Row],[Total]]</f>
        <v>#N/A</v>
      </c>
    </row>
    <row r="2381" spans="1:22" hidden="1" x14ac:dyDescent="0.25">
      <c r="A2381" s="100">
        <v>45777</v>
      </c>
      <c r="B2381" t="str">
        <f t="shared" si="119"/>
        <v>April</v>
      </c>
      <c r="C2381" s="46" t="s">
        <v>280</v>
      </c>
      <c r="F2381" s="366" t="s">
        <v>1614</v>
      </c>
      <c r="G2381" s="46" t="s">
        <v>83</v>
      </c>
      <c r="H2381" s="46">
        <v>2</v>
      </c>
      <c r="I2381" s="51">
        <v>8858.76</v>
      </c>
      <c r="J2381" s="281">
        <f>++Tabla4[[#This Row],[Precio Bruto]]*1.16</f>
        <v>10276.161599999999</v>
      </c>
      <c r="K2381" s="281">
        <f>+Tabla4[[#This Row],[Precio Unitario Neto]]*Tabla4[[#Headers],[20.85%]]</f>
        <v>2142.5796935999997</v>
      </c>
      <c r="L2381" s="282">
        <f>++Tabla4[[#This Row],[Precio Unitario Neto]]-Tabla4[[#This Row],[20.85%]]</f>
        <v>8133.5819063999998</v>
      </c>
      <c r="M2381" s="282" t="e">
        <f>(INDEX(Tabla6[#All],MATCH(Tabla4[[#This Row],[Producto]],Tabla6[[#All],[PRODUCTO]],0),MATCH(Tabla4[[#This Row],[Mes]],Tabla6[#Headers],0)))*(1+Catalogos!$L$2)</f>
        <v>#N/A</v>
      </c>
      <c r="N2381" s="283" t="e">
        <f>+(Tabla4[[#This Row],[Precio Descontado]]-Tabla4[[#This Row],[Precio Base]])*Tabla4[[#This Row],[Cantidad]]</f>
        <v>#N/A</v>
      </c>
      <c r="O2381" s="284" t="e">
        <f>++Tabla4[[#This Row],[Utilidad Total]]/Tabla4[[#This Row],[Total]]</f>
        <v>#N/A</v>
      </c>
      <c r="P2381" s="282">
        <f>++Tabla4[[#This Row],[Precio Descontado]]*Tabla4[[#This Row],[Cantidad]]</f>
        <v>16267.1638128</v>
      </c>
      <c r="Q2381" s="282" t="e">
        <f>(INDEX(Tabla6[#All],MATCH(Tabla4[[#This Row],[Producto]],Tabla6[[#All],[PRODUCTO]],0),MATCH(Tabla4[[#This Row],[Mes]],Tabla6[#Headers],0)))</f>
        <v>#N/A</v>
      </c>
      <c r="R2381" s="282" t="e">
        <f>++Tabla4[[#This Row],[Precio Unitario Neto]]-Tabla4[[#This Row],[20.85%]]-Tabla4[[#This Row],[Costo]]</f>
        <v>#N/A</v>
      </c>
      <c r="S2381" s="282" t="e">
        <f>++Tabla4[[#This Row],[U. Bruta Uni]]*Tabla4[[#This Row],[Cantidad]]</f>
        <v>#N/A</v>
      </c>
      <c r="T2381" s="369" t="str">
        <f>VLOOKUP(Tabla4[[#This Row],[Producto]],Tabla6[#All],14,FALSE)</f>
        <v>Termico Solar</v>
      </c>
      <c r="U2381" s="284" t="e">
        <f>(IF(Tabla4[[#This Row],[Familia]]="termico solar",Tabla4[[#This Row],[Utilidad Total]]*6%,Tabla4[[#This Row],[Utilidad Total]]*11.5%))/Tabla4[[#This Row],[Total]]</f>
        <v>#N/A</v>
      </c>
      <c r="V2381" s="282" t="e">
        <f>+Tabla4[[#This Row],[Comisión Calculada]]*Tabla4[[#This Row],[Total]]</f>
        <v>#N/A</v>
      </c>
    </row>
    <row r="2382" spans="1:22" hidden="1" x14ac:dyDescent="0.25">
      <c r="A2382" s="100">
        <v>45777</v>
      </c>
      <c r="B2382" t="str">
        <f t="shared" si="119"/>
        <v>April</v>
      </c>
      <c r="C2382" s="46" t="s">
        <v>280</v>
      </c>
      <c r="F2382" s="366" t="s">
        <v>1614</v>
      </c>
      <c r="G2382" s="46" t="s">
        <v>566</v>
      </c>
      <c r="H2382" s="46">
        <v>1</v>
      </c>
      <c r="I2382" s="51">
        <v>2109.4499999999998</v>
      </c>
      <c r="J2382" s="281">
        <f>++Tabla4[[#This Row],[Precio Bruto]]*1.16</f>
        <v>2446.9619999999995</v>
      </c>
      <c r="K2382" s="281">
        <f>+Tabla4[[#This Row],[Precio Unitario Neto]]*Tabla4[[#Headers],[20.85%]]</f>
        <v>510.19157699999988</v>
      </c>
      <c r="L2382" s="282">
        <f>++Tabla4[[#This Row],[Precio Unitario Neto]]-Tabla4[[#This Row],[20.85%]]</f>
        <v>1936.7704229999997</v>
      </c>
      <c r="M2382" s="282" t="e">
        <f>(INDEX(Tabla6[#All],MATCH(Tabla4[[#This Row],[Producto]],Tabla6[[#All],[PRODUCTO]],0),MATCH(Tabla4[[#This Row],[Mes]],Tabla6[#Headers],0)))*(1+Catalogos!$L$2)</f>
        <v>#N/A</v>
      </c>
      <c r="N2382" s="283" t="e">
        <f>+(Tabla4[[#This Row],[Precio Descontado]]-Tabla4[[#This Row],[Precio Base]])*Tabla4[[#This Row],[Cantidad]]</f>
        <v>#N/A</v>
      </c>
      <c r="O2382" s="284" t="e">
        <f>++Tabla4[[#This Row],[Utilidad Total]]/Tabla4[[#This Row],[Total]]</f>
        <v>#N/A</v>
      </c>
      <c r="P2382" s="282">
        <f>++Tabla4[[#This Row],[Precio Descontado]]*Tabla4[[#This Row],[Cantidad]]</f>
        <v>1936.7704229999997</v>
      </c>
      <c r="Q2382" s="282" t="e">
        <f>(INDEX(Tabla6[#All],MATCH(Tabla4[[#This Row],[Producto]],Tabla6[[#All],[PRODUCTO]],0),MATCH(Tabla4[[#This Row],[Mes]],Tabla6[#Headers],0)))</f>
        <v>#N/A</v>
      </c>
      <c r="R2382" s="282" t="e">
        <f>++Tabla4[[#This Row],[Precio Unitario Neto]]-Tabla4[[#This Row],[20.85%]]-Tabla4[[#This Row],[Costo]]</f>
        <v>#N/A</v>
      </c>
      <c r="S2382" s="282" t="e">
        <f>++Tabla4[[#This Row],[U. Bruta Uni]]*Tabla4[[#This Row],[Cantidad]]</f>
        <v>#N/A</v>
      </c>
      <c r="T2382" s="369" t="str">
        <f>VLOOKUP(Tabla4[[#This Row],[Producto]],Tabla6[#All],14,FALSE)</f>
        <v>Termico Solar</v>
      </c>
      <c r="U2382" s="284" t="e">
        <f>(IF(Tabla4[[#This Row],[Familia]]="termico solar",Tabla4[[#This Row],[Utilidad Total]]*6%,Tabla4[[#This Row],[Utilidad Total]]*11.5%))/Tabla4[[#This Row],[Total]]</f>
        <v>#N/A</v>
      </c>
      <c r="V2382" s="282" t="e">
        <f>+Tabla4[[#This Row],[Comisión Calculada]]*Tabla4[[#This Row],[Total]]</f>
        <v>#N/A</v>
      </c>
    </row>
    <row r="2383" spans="1:22" hidden="1" x14ac:dyDescent="0.25">
      <c r="A2383" s="100">
        <v>45777</v>
      </c>
      <c r="B2383" t="str">
        <f t="shared" si="119"/>
        <v>April</v>
      </c>
      <c r="C2383" s="46" t="s">
        <v>280</v>
      </c>
      <c r="F2383" s="366" t="s">
        <v>1614</v>
      </c>
      <c r="G2383" s="46" t="s">
        <v>208</v>
      </c>
      <c r="H2383" s="46">
        <v>1</v>
      </c>
      <c r="I2383" s="51">
        <v>189.75</v>
      </c>
      <c r="J2383" s="281">
        <f>++Tabla4[[#This Row],[Precio Bruto]]*1.16</f>
        <v>220.10999999999999</v>
      </c>
      <c r="K2383" s="281">
        <f>+Tabla4[[#This Row],[Precio Unitario Neto]]*Tabla4[[#Headers],[20.85%]]</f>
        <v>45.892934999999994</v>
      </c>
      <c r="L2383" s="282">
        <f>++Tabla4[[#This Row],[Precio Unitario Neto]]-Tabla4[[#This Row],[20.85%]]</f>
        <v>174.21706499999999</v>
      </c>
      <c r="M2383" s="282" t="e">
        <f>(INDEX(Tabla6[#All],MATCH(Tabla4[[#This Row],[Producto]],Tabla6[[#All],[PRODUCTO]],0),MATCH(Tabla4[[#This Row],[Mes]],Tabla6[#Headers],0)))*(1+Catalogos!$L$2)</f>
        <v>#N/A</v>
      </c>
      <c r="N2383" s="283" t="e">
        <f>+(Tabla4[[#This Row],[Precio Descontado]]-Tabla4[[#This Row],[Precio Base]])*Tabla4[[#This Row],[Cantidad]]</f>
        <v>#N/A</v>
      </c>
      <c r="O2383" s="284" t="e">
        <f>++Tabla4[[#This Row],[Utilidad Total]]/Tabla4[[#This Row],[Total]]</f>
        <v>#N/A</v>
      </c>
      <c r="P2383" s="282">
        <f>++Tabla4[[#This Row],[Precio Descontado]]*Tabla4[[#This Row],[Cantidad]]</f>
        <v>174.21706499999999</v>
      </c>
      <c r="Q2383" s="282" t="e">
        <f>(INDEX(Tabla6[#All],MATCH(Tabla4[[#This Row],[Producto]],Tabla6[[#All],[PRODUCTO]],0),MATCH(Tabla4[[#This Row],[Mes]],Tabla6[#Headers],0)))</f>
        <v>#N/A</v>
      </c>
      <c r="R2383" s="282" t="e">
        <f>++Tabla4[[#This Row],[Precio Unitario Neto]]-Tabla4[[#This Row],[20.85%]]-Tabla4[[#This Row],[Costo]]</f>
        <v>#N/A</v>
      </c>
      <c r="S2383" s="282" t="e">
        <f>++Tabla4[[#This Row],[U. Bruta Uni]]*Tabla4[[#This Row],[Cantidad]]</f>
        <v>#N/A</v>
      </c>
      <c r="T2383" s="369" t="str">
        <f>VLOOKUP(Tabla4[[#This Row],[Producto]],Tabla6[#All],14,FALSE)</f>
        <v>Termico Solar</v>
      </c>
      <c r="U2383" s="284" t="e">
        <f>(IF(Tabla4[[#This Row],[Familia]]="termico solar",Tabla4[[#This Row],[Utilidad Total]]*6%,Tabla4[[#This Row],[Utilidad Total]]*11.5%))/Tabla4[[#This Row],[Total]]</f>
        <v>#N/A</v>
      </c>
      <c r="V2383" s="282" t="e">
        <f>+Tabla4[[#This Row],[Comisión Calculada]]*Tabla4[[#This Row],[Total]]</f>
        <v>#N/A</v>
      </c>
    </row>
    <row r="2384" spans="1:22" hidden="1" x14ac:dyDescent="0.25">
      <c r="A2384" s="100">
        <v>45777</v>
      </c>
      <c r="B2384" t="str">
        <f t="shared" si="119"/>
        <v>April</v>
      </c>
      <c r="C2384" s="46" t="s">
        <v>280</v>
      </c>
      <c r="F2384" s="366" t="s">
        <v>1615</v>
      </c>
      <c r="G2384" s="46" t="s">
        <v>17</v>
      </c>
      <c r="H2384" s="46">
        <v>2</v>
      </c>
      <c r="I2384" s="51">
        <v>4622.28</v>
      </c>
      <c r="J2384" s="281">
        <f>++Tabla4[[#This Row],[Precio Bruto]]*1.16</f>
        <v>5361.8447999999989</v>
      </c>
      <c r="K2384" s="281">
        <f>+Tabla4[[#This Row],[Precio Unitario Neto]]*Tabla4[[#Headers],[20.85%]]</f>
        <v>1117.9446407999997</v>
      </c>
      <c r="L2384" s="282">
        <f>++Tabla4[[#This Row],[Precio Unitario Neto]]-Tabla4[[#This Row],[20.85%]]</f>
        <v>4243.9001591999995</v>
      </c>
      <c r="M2384" s="282" t="e">
        <f>(INDEX(Tabla6[#All],MATCH(Tabla4[[#This Row],[Producto]],Tabla6[[#All],[PRODUCTO]],0),MATCH(Tabla4[[#This Row],[Mes]],Tabla6[#Headers],0)))*(1+Catalogos!$L$2)</f>
        <v>#N/A</v>
      </c>
      <c r="N2384" s="283" t="e">
        <f>+(Tabla4[[#This Row],[Precio Descontado]]-Tabla4[[#This Row],[Precio Base]])*Tabla4[[#This Row],[Cantidad]]</f>
        <v>#N/A</v>
      </c>
      <c r="O2384" s="284" t="e">
        <f>++Tabla4[[#This Row],[Utilidad Total]]/Tabla4[[#This Row],[Total]]</f>
        <v>#N/A</v>
      </c>
      <c r="P2384" s="282">
        <f>++Tabla4[[#This Row],[Precio Descontado]]*Tabla4[[#This Row],[Cantidad]]</f>
        <v>8487.800318399999</v>
      </c>
      <c r="Q2384" s="282" t="e">
        <f>(INDEX(Tabla6[#All],MATCH(Tabla4[[#This Row],[Producto]],Tabla6[[#All],[PRODUCTO]],0),MATCH(Tabla4[[#This Row],[Mes]],Tabla6[#Headers],0)))</f>
        <v>#N/A</v>
      </c>
      <c r="R2384" s="282" t="e">
        <f>++Tabla4[[#This Row],[Precio Unitario Neto]]-Tabla4[[#This Row],[20.85%]]-Tabla4[[#This Row],[Costo]]</f>
        <v>#N/A</v>
      </c>
      <c r="S2384" s="282" t="e">
        <f>++Tabla4[[#This Row],[U. Bruta Uni]]*Tabla4[[#This Row],[Cantidad]]</f>
        <v>#N/A</v>
      </c>
      <c r="T2384" s="369" t="str">
        <f>VLOOKUP(Tabla4[[#This Row],[Producto]],Tabla6[#All],14,FALSE)</f>
        <v>Termico Solar</v>
      </c>
      <c r="U2384" s="284" t="e">
        <f>(IF(Tabla4[[#This Row],[Familia]]="termico solar",Tabla4[[#This Row],[Utilidad Total]]*6%,Tabla4[[#This Row],[Utilidad Total]]*11.5%))/Tabla4[[#This Row],[Total]]</f>
        <v>#N/A</v>
      </c>
      <c r="V2384" s="282" t="e">
        <f>+Tabla4[[#This Row],[Comisión Calculada]]*Tabla4[[#This Row],[Total]]</f>
        <v>#N/A</v>
      </c>
    </row>
    <row r="2385" spans="1:22" hidden="1" x14ac:dyDescent="0.25">
      <c r="A2385" s="100">
        <v>45777</v>
      </c>
      <c r="B2385" t="str">
        <f t="shared" si="119"/>
        <v>April</v>
      </c>
      <c r="C2385" s="46" t="s">
        <v>280</v>
      </c>
      <c r="F2385" s="366" t="s">
        <v>1615</v>
      </c>
      <c r="G2385" s="46" t="s">
        <v>18</v>
      </c>
      <c r="H2385" s="46">
        <v>2</v>
      </c>
      <c r="I2385" s="51">
        <v>5367.65</v>
      </c>
      <c r="J2385" s="281">
        <f>++Tabla4[[#This Row],[Precio Bruto]]*1.16</f>
        <v>6226.4739999999993</v>
      </c>
      <c r="K2385" s="281">
        <f>+Tabla4[[#This Row],[Precio Unitario Neto]]*Tabla4[[#Headers],[20.85%]]</f>
        <v>1298.2198289999999</v>
      </c>
      <c r="L2385" s="282">
        <f>++Tabla4[[#This Row],[Precio Unitario Neto]]-Tabla4[[#This Row],[20.85%]]</f>
        <v>4928.2541709999996</v>
      </c>
      <c r="M2385" s="282" t="e">
        <f>(INDEX(Tabla6[#All],MATCH(Tabla4[[#This Row],[Producto]],Tabla6[[#All],[PRODUCTO]],0),MATCH(Tabla4[[#This Row],[Mes]],Tabla6[#Headers],0)))*(1+Catalogos!$L$2)</f>
        <v>#N/A</v>
      </c>
      <c r="N2385" s="283" t="e">
        <f>+(Tabla4[[#This Row],[Precio Descontado]]-Tabla4[[#This Row],[Precio Base]])*Tabla4[[#This Row],[Cantidad]]</f>
        <v>#N/A</v>
      </c>
      <c r="O2385" s="284" t="e">
        <f>++Tabla4[[#This Row],[Utilidad Total]]/Tabla4[[#This Row],[Total]]</f>
        <v>#N/A</v>
      </c>
      <c r="P2385" s="282">
        <f>++Tabla4[[#This Row],[Precio Descontado]]*Tabla4[[#This Row],[Cantidad]]</f>
        <v>9856.5083419999992</v>
      </c>
      <c r="Q2385" s="282" t="e">
        <f>(INDEX(Tabla6[#All],MATCH(Tabla4[[#This Row],[Producto]],Tabla6[[#All],[PRODUCTO]],0),MATCH(Tabla4[[#This Row],[Mes]],Tabla6[#Headers],0)))</f>
        <v>#N/A</v>
      </c>
      <c r="R2385" s="282" t="e">
        <f>++Tabla4[[#This Row],[Precio Unitario Neto]]-Tabla4[[#This Row],[20.85%]]-Tabla4[[#This Row],[Costo]]</f>
        <v>#N/A</v>
      </c>
      <c r="S2385" s="282" t="e">
        <f>++Tabla4[[#This Row],[U. Bruta Uni]]*Tabla4[[#This Row],[Cantidad]]</f>
        <v>#N/A</v>
      </c>
      <c r="T2385" s="369" t="str">
        <f>VLOOKUP(Tabla4[[#This Row],[Producto]],Tabla6[#All],14,FALSE)</f>
        <v>Termico Solar</v>
      </c>
      <c r="U2385" s="284" t="e">
        <f>(IF(Tabla4[[#This Row],[Familia]]="termico solar",Tabla4[[#This Row],[Utilidad Total]]*6%,Tabla4[[#This Row],[Utilidad Total]]*11.5%))/Tabla4[[#This Row],[Total]]</f>
        <v>#N/A</v>
      </c>
      <c r="V2385" s="282" t="e">
        <f>+Tabla4[[#This Row],[Comisión Calculada]]*Tabla4[[#This Row],[Total]]</f>
        <v>#N/A</v>
      </c>
    </row>
    <row r="2386" spans="1:22" hidden="1" x14ac:dyDescent="0.25">
      <c r="A2386" s="100">
        <v>45777</v>
      </c>
      <c r="B2386" t="str">
        <f t="shared" si="119"/>
        <v>April</v>
      </c>
      <c r="C2386" s="46" t="s">
        <v>280</v>
      </c>
      <c r="F2386" s="366" t="s">
        <v>1615</v>
      </c>
      <c r="G2386" s="46" t="s">
        <v>208</v>
      </c>
      <c r="H2386" s="46">
        <v>3</v>
      </c>
      <c r="I2386" s="51">
        <v>189.75</v>
      </c>
      <c r="J2386" s="281">
        <f>++Tabla4[[#This Row],[Precio Bruto]]*1.16</f>
        <v>220.10999999999999</v>
      </c>
      <c r="K2386" s="281">
        <f>+Tabla4[[#This Row],[Precio Unitario Neto]]*Tabla4[[#Headers],[20.85%]]</f>
        <v>45.892934999999994</v>
      </c>
      <c r="L2386" s="282">
        <f>++Tabla4[[#This Row],[Precio Unitario Neto]]-Tabla4[[#This Row],[20.85%]]</f>
        <v>174.21706499999999</v>
      </c>
      <c r="M2386" s="282" t="e">
        <f>(INDEX(Tabla6[#All],MATCH(Tabla4[[#This Row],[Producto]],Tabla6[[#All],[PRODUCTO]],0),MATCH(Tabla4[[#This Row],[Mes]],Tabla6[#Headers],0)))*(1+Catalogos!$L$2)</f>
        <v>#N/A</v>
      </c>
      <c r="N2386" s="283" t="e">
        <f>+(Tabla4[[#This Row],[Precio Descontado]]-Tabla4[[#This Row],[Precio Base]])*Tabla4[[#This Row],[Cantidad]]</f>
        <v>#N/A</v>
      </c>
      <c r="O2386" s="284" t="e">
        <f>++Tabla4[[#This Row],[Utilidad Total]]/Tabla4[[#This Row],[Total]]</f>
        <v>#N/A</v>
      </c>
      <c r="P2386" s="282">
        <f>++Tabla4[[#This Row],[Precio Descontado]]*Tabla4[[#This Row],[Cantidad]]</f>
        <v>522.65119499999992</v>
      </c>
      <c r="Q2386" s="282" t="e">
        <f>(INDEX(Tabla6[#All],MATCH(Tabla4[[#This Row],[Producto]],Tabla6[[#All],[PRODUCTO]],0),MATCH(Tabla4[[#This Row],[Mes]],Tabla6[#Headers],0)))</f>
        <v>#N/A</v>
      </c>
      <c r="R2386" s="282" t="e">
        <f>++Tabla4[[#This Row],[Precio Unitario Neto]]-Tabla4[[#This Row],[20.85%]]-Tabla4[[#This Row],[Costo]]</f>
        <v>#N/A</v>
      </c>
      <c r="S2386" s="282" t="e">
        <f>++Tabla4[[#This Row],[U. Bruta Uni]]*Tabla4[[#This Row],[Cantidad]]</f>
        <v>#N/A</v>
      </c>
      <c r="T2386" s="369" t="str">
        <f>VLOOKUP(Tabla4[[#This Row],[Producto]],Tabla6[#All],14,FALSE)</f>
        <v>Termico Solar</v>
      </c>
      <c r="U2386" s="284" t="e">
        <f>(IF(Tabla4[[#This Row],[Familia]]="termico solar",Tabla4[[#This Row],[Utilidad Total]]*6%,Tabla4[[#This Row],[Utilidad Total]]*11.5%))/Tabla4[[#This Row],[Total]]</f>
        <v>#N/A</v>
      </c>
      <c r="V2386" s="282" t="e">
        <f>+Tabla4[[#This Row],[Comisión Calculada]]*Tabla4[[#This Row],[Total]]</f>
        <v>#N/A</v>
      </c>
    </row>
    <row r="2387" spans="1:22" hidden="1" x14ac:dyDescent="0.25">
      <c r="A2387" s="100">
        <v>45777</v>
      </c>
      <c r="B2387" t="str">
        <f t="shared" si="119"/>
        <v>April</v>
      </c>
      <c r="C2387" s="46" t="s">
        <v>280</v>
      </c>
      <c r="F2387" s="366" t="s">
        <v>1616</v>
      </c>
      <c r="G2387" s="46" t="s">
        <v>17</v>
      </c>
      <c r="H2387" s="46">
        <v>3</v>
      </c>
      <c r="I2387" s="51">
        <v>4622.28</v>
      </c>
      <c r="J2387" s="281">
        <f>++Tabla4[[#This Row],[Precio Bruto]]*1.16</f>
        <v>5361.8447999999989</v>
      </c>
      <c r="K2387" s="281">
        <f>+Tabla4[[#This Row],[Precio Unitario Neto]]*Tabla4[[#Headers],[20.85%]]</f>
        <v>1117.9446407999997</v>
      </c>
      <c r="L2387" s="282">
        <f>++Tabla4[[#This Row],[Precio Unitario Neto]]-Tabla4[[#This Row],[20.85%]]</f>
        <v>4243.9001591999995</v>
      </c>
      <c r="M2387" s="282" t="e">
        <f>(INDEX(Tabla6[#All],MATCH(Tabla4[[#This Row],[Producto]],Tabla6[[#All],[PRODUCTO]],0),MATCH(Tabla4[[#This Row],[Mes]],Tabla6[#Headers],0)))*(1+Catalogos!$L$2)</f>
        <v>#N/A</v>
      </c>
      <c r="N2387" s="283" t="e">
        <f>+(Tabla4[[#This Row],[Precio Descontado]]-Tabla4[[#This Row],[Precio Base]])*Tabla4[[#This Row],[Cantidad]]</f>
        <v>#N/A</v>
      </c>
      <c r="O2387" s="284" t="e">
        <f>++Tabla4[[#This Row],[Utilidad Total]]/Tabla4[[#This Row],[Total]]</f>
        <v>#N/A</v>
      </c>
      <c r="P2387" s="282">
        <f>++Tabla4[[#This Row],[Precio Descontado]]*Tabla4[[#This Row],[Cantidad]]</f>
        <v>12731.700477599999</v>
      </c>
      <c r="Q2387" s="282" t="e">
        <f>(INDEX(Tabla6[#All],MATCH(Tabla4[[#This Row],[Producto]],Tabla6[[#All],[PRODUCTO]],0),MATCH(Tabla4[[#This Row],[Mes]],Tabla6[#Headers],0)))</f>
        <v>#N/A</v>
      </c>
      <c r="R2387" s="282" t="e">
        <f>++Tabla4[[#This Row],[Precio Unitario Neto]]-Tabla4[[#This Row],[20.85%]]-Tabla4[[#This Row],[Costo]]</f>
        <v>#N/A</v>
      </c>
      <c r="S2387" s="282" t="e">
        <f>++Tabla4[[#This Row],[U. Bruta Uni]]*Tabla4[[#This Row],[Cantidad]]</f>
        <v>#N/A</v>
      </c>
      <c r="T2387" s="369" t="str">
        <f>VLOOKUP(Tabla4[[#This Row],[Producto]],Tabla6[#All],14,FALSE)</f>
        <v>Termico Solar</v>
      </c>
      <c r="U2387" s="284" t="e">
        <f>(IF(Tabla4[[#This Row],[Familia]]="termico solar",Tabla4[[#This Row],[Utilidad Total]]*6%,Tabla4[[#This Row],[Utilidad Total]]*11.5%))/Tabla4[[#This Row],[Total]]</f>
        <v>#N/A</v>
      </c>
      <c r="V2387" s="282" t="e">
        <f>+Tabla4[[#This Row],[Comisión Calculada]]*Tabla4[[#This Row],[Total]]</f>
        <v>#N/A</v>
      </c>
    </row>
    <row r="2388" spans="1:22" hidden="1" x14ac:dyDescent="0.25">
      <c r="A2388" s="100">
        <v>45777</v>
      </c>
      <c r="B2388" t="str">
        <f t="shared" si="119"/>
        <v>April</v>
      </c>
      <c r="C2388" s="46" t="s">
        <v>280</v>
      </c>
      <c r="F2388" s="366" t="s">
        <v>1616</v>
      </c>
      <c r="G2388" s="46" t="s">
        <v>566</v>
      </c>
      <c r="H2388" s="46">
        <v>2</v>
      </c>
      <c r="I2388" s="51">
        <v>2109.4499999999998</v>
      </c>
      <c r="J2388" s="281">
        <f>++Tabla4[[#This Row],[Precio Bruto]]*1.16</f>
        <v>2446.9619999999995</v>
      </c>
      <c r="K2388" s="281">
        <f>+Tabla4[[#This Row],[Precio Unitario Neto]]*Tabla4[[#Headers],[20.85%]]</f>
        <v>510.19157699999988</v>
      </c>
      <c r="L2388" s="282">
        <f>++Tabla4[[#This Row],[Precio Unitario Neto]]-Tabla4[[#This Row],[20.85%]]</f>
        <v>1936.7704229999997</v>
      </c>
      <c r="M2388" s="282" t="e">
        <f>(INDEX(Tabla6[#All],MATCH(Tabla4[[#This Row],[Producto]],Tabla6[[#All],[PRODUCTO]],0),MATCH(Tabla4[[#This Row],[Mes]],Tabla6[#Headers],0)))*(1+Catalogos!$L$2)</f>
        <v>#N/A</v>
      </c>
      <c r="N2388" s="283" t="e">
        <f>+(Tabla4[[#This Row],[Precio Descontado]]-Tabla4[[#This Row],[Precio Base]])*Tabla4[[#This Row],[Cantidad]]</f>
        <v>#N/A</v>
      </c>
      <c r="O2388" s="284" t="e">
        <f>++Tabla4[[#This Row],[Utilidad Total]]/Tabla4[[#This Row],[Total]]</f>
        <v>#N/A</v>
      </c>
      <c r="P2388" s="282">
        <f>++Tabla4[[#This Row],[Precio Descontado]]*Tabla4[[#This Row],[Cantidad]]</f>
        <v>3873.5408459999994</v>
      </c>
      <c r="Q2388" s="282" t="e">
        <f>(INDEX(Tabla6[#All],MATCH(Tabla4[[#This Row],[Producto]],Tabla6[[#All],[PRODUCTO]],0),MATCH(Tabla4[[#This Row],[Mes]],Tabla6[#Headers],0)))</f>
        <v>#N/A</v>
      </c>
      <c r="R2388" s="282" t="e">
        <f>++Tabla4[[#This Row],[Precio Unitario Neto]]-Tabla4[[#This Row],[20.85%]]-Tabla4[[#This Row],[Costo]]</f>
        <v>#N/A</v>
      </c>
      <c r="S2388" s="282" t="e">
        <f>++Tabla4[[#This Row],[U. Bruta Uni]]*Tabla4[[#This Row],[Cantidad]]</f>
        <v>#N/A</v>
      </c>
      <c r="T2388" s="369" t="str">
        <f>VLOOKUP(Tabla4[[#This Row],[Producto]],Tabla6[#All],14,FALSE)</f>
        <v>Termico Solar</v>
      </c>
      <c r="U2388" s="284" t="e">
        <f>(IF(Tabla4[[#This Row],[Familia]]="termico solar",Tabla4[[#This Row],[Utilidad Total]]*6%,Tabla4[[#This Row],[Utilidad Total]]*11.5%))/Tabla4[[#This Row],[Total]]</f>
        <v>#N/A</v>
      </c>
      <c r="V2388" s="282" t="e">
        <f>+Tabla4[[#This Row],[Comisión Calculada]]*Tabla4[[#This Row],[Total]]</f>
        <v>#N/A</v>
      </c>
    </row>
    <row r="2389" spans="1:22" hidden="1" x14ac:dyDescent="0.25">
      <c r="A2389" s="100">
        <v>45777</v>
      </c>
      <c r="B2389" t="str">
        <f t="shared" si="119"/>
        <v>April</v>
      </c>
      <c r="C2389" s="46" t="s">
        <v>280</v>
      </c>
      <c r="F2389" s="366" t="s">
        <v>1616</v>
      </c>
      <c r="G2389" s="46" t="s">
        <v>16</v>
      </c>
      <c r="H2389" s="46">
        <v>2</v>
      </c>
      <c r="I2389" s="51">
        <v>4103.8500000000004</v>
      </c>
      <c r="J2389" s="281">
        <f>++Tabla4[[#This Row],[Precio Bruto]]*1.16</f>
        <v>4760.4660000000003</v>
      </c>
      <c r="K2389" s="281">
        <f>+Tabla4[[#This Row],[Precio Unitario Neto]]*Tabla4[[#Headers],[20.85%]]</f>
        <v>992.55716100000006</v>
      </c>
      <c r="L2389" s="282">
        <f>++Tabla4[[#This Row],[Precio Unitario Neto]]-Tabla4[[#This Row],[20.85%]]</f>
        <v>3767.9088390000002</v>
      </c>
      <c r="M2389" s="282" t="e">
        <f>(INDEX(Tabla6[#All],MATCH(Tabla4[[#This Row],[Producto]],Tabla6[[#All],[PRODUCTO]],0),MATCH(Tabla4[[#This Row],[Mes]],Tabla6[#Headers],0)))*(1+Catalogos!$L$2)</f>
        <v>#N/A</v>
      </c>
      <c r="N2389" s="283" t="e">
        <f>+(Tabla4[[#This Row],[Precio Descontado]]-Tabla4[[#This Row],[Precio Base]])*Tabla4[[#This Row],[Cantidad]]</f>
        <v>#N/A</v>
      </c>
      <c r="O2389" s="284" t="e">
        <f>++Tabla4[[#This Row],[Utilidad Total]]/Tabla4[[#This Row],[Total]]</f>
        <v>#N/A</v>
      </c>
      <c r="P2389" s="282">
        <f>++Tabla4[[#This Row],[Precio Descontado]]*Tabla4[[#This Row],[Cantidad]]</f>
        <v>7535.8176780000003</v>
      </c>
      <c r="Q2389" s="282" t="e">
        <f>(INDEX(Tabla6[#All],MATCH(Tabla4[[#This Row],[Producto]],Tabla6[[#All],[PRODUCTO]],0),MATCH(Tabla4[[#This Row],[Mes]],Tabla6[#Headers],0)))</f>
        <v>#N/A</v>
      </c>
      <c r="R2389" s="282" t="e">
        <f>++Tabla4[[#This Row],[Precio Unitario Neto]]-Tabla4[[#This Row],[20.85%]]-Tabla4[[#This Row],[Costo]]</f>
        <v>#N/A</v>
      </c>
      <c r="S2389" s="282" t="e">
        <f>++Tabla4[[#This Row],[U. Bruta Uni]]*Tabla4[[#This Row],[Cantidad]]</f>
        <v>#N/A</v>
      </c>
      <c r="T2389" s="369" t="str">
        <f>VLOOKUP(Tabla4[[#This Row],[Producto]],Tabla6[#All],14,FALSE)</f>
        <v>Termico Solar</v>
      </c>
      <c r="U2389" s="284" t="e">
        <f>(IF(Tabla4[[#This Row],[Familia]]="termico solar",Tabla4[[#This Row],[Utilidad Total]]*6%,Tabla4[[#This Row],[Utilidad Total]]*11.5%))/Tabla4[[#This Row],[Total]]</f>
        <v>#N/A</v>
      </c>
      <c r="V2389" s="282" t="e">
        <f>+Tabla4[[#This Row],[Comisión Calculada]]*Tabla4[[#This Row],[Total]]</f>
        <v>#N/A</v>
      </c>
    </row>
    <row r="2390" spans="1:22" hidden="1" x14ac:dyDescent="0.25">
      <c r="A2390" s="100">
        <v>45777</v>
      </c>
      <c r="B2390" t="str">
        <f t="shared" si="119"/>
        <v>April</v>
      </c>
      <c r="C2390" s="46" t="s">
        <v>280</v>
      </c>
      <c r="F2390" s="366" t="s">
        <v>1617</v>
      </c>
      <c r="G2390" s="46" t="s">
        <v>17</v>
      </c>
      <c r="H2390" s="46">
        <v>2</v>
      </c>
      <c r="I2390" s="51">
        <v>4622.28</v>
      </c>
      <c r="J2390" s="281">
        <f>++Tabla4[[#This Row],[Precio Bruto]]*1.16</f>
        <v>5361.8447999999989</v>
      </c>
      <c r="K2390" s="281">
        <f>+Tabla4[[#This Row],[Precio Unitario Neto]]*Tabla4[[#Headers],[20.85%]]</f>
        <v>1117.9446407999997</v>
      </c>
      <c r="L2390" s="282">
        <f>++Tabla4[[#This Row],[Precio Unitario Neto]]-Tabla4[[#This Row],[20.85%]]</f>
        <v>4243.9001591999995</v>
      </c>
      <c r="M2390" s="282" t="e">
        <f>(INDEX(Tabla6[#All],MATCH(Tabla4[[#This Row],[Producto]],Tabla6[[#All],[PRODUCTO]],0),MATCH(Tabla4[[#This Row],[Mes]],Tabla6[#Headers],0)))*(1+Catalogos!$L$2)</f>
        <v>#N/A</v>
      </c>
      <c r="N2390" s="283" t="e">
        <f>+(Tabla4[[#This Row],[Precio Descontado]]-Tabla4[[#This Row],[Precio Base]])*Tabla4[[#This Row],[Cantidad]]</f>
        <v>#N/A</v>
      </c>
      <c r="O2390" s="284" t="e">
        <f>++Tabla4[[#This Row],[Utilidad Total]]/Tabla4[[#This Row],[Total]]</f>
        <v>#N/A</v>
      </c>
      <c r="P2390" s="282">
        <f>++Tabla4[[#This Row],[Precio Descontado]]*Tabla4[[#This Row],[Cantidad]]</f>
        <v>8487.800318399999</v>
      </c>
      <c r="Q2390" s="282" t="e">
        <f>(INDEX(Tabla6[#All],MATCH(Tabla4[[#This Row],[Producto]],Tabla6[[#All],[PRODUCTO]],0),MATCH(Tabla4[[#This Row],[Mes]],Tabla6[#Headers],0)))</f>
        <v>#N/A</v>
      </c>
      <c r="R2390" s="282" t="e">
        <f>++Tabla4[[#This Row],[Precio Unitario Neto]]-Tabla4[[#This Row],[20.85%]]-Tabla4[[#This Row],[Costo]]</f>
        <v>#N/A</v>
      </c>
      <c r="S2390" s="282" t="e">
        <f>++Tabla4[[#This Row],[U. Bruta Uni]]*Tabla4[[#This Row],[Cantidad]]</f>
        <v>#N/A</v>
      </c>
      <c r="T2390" s="369" t="str">
        <f>VLOOKUP(Tabla4[[#This Row],[Producto]],Tabla6[#All],14,FALSE)</f>
        <v>Termico Solar</v>
      </c>
      <c r="U2390" s="284" t="e">
        <f>(IF(Tabla4[[#This Row],[Familia]]="termico solar",Tabla4[[#This Row],[Utilidad Total]]*6%,Tabla4[[#This Row],[Utilidad Total]]*11.5%))/Tabla4[[#This Row],[Total]]</f>
        <v>#N/A</v>
      </c>
      <c r="V2390" s="282" t="e">
        <f>+Tabla4[[#This Row],[Comisión Calculada]]*Tabla4[[#This Row],[Total]]</f>
        <v>#N/A</v>
      </c>
    </row>
    <row r="2391" spans="1:22" hidden="1" x14ac:dyDescent="0.25">
      <c r="A2391" s="100">
        <v>45777</v>
      </c>
      <c r="B2391" t="str">
        <f t="shared" si="119"/>
        <v>April</v>
      </c>
      <c r="C2391" s="46" t="s">
        <v>280</v>
      </c>
      <c r="F2391" s="366" t="s">
        <v>1617</v>
      </c>
      <c r="G2391" s="46" t="s">
        <v>18</v>
      </c>
      <c r="H2391" s="46">
        <v>5</v>
      </c>
      <c r="I2391" s="51">
        <v>5367.65</v>
      </c>
      <c r="J2391" s="281">
        <f>++Tabla4[[#This Row],[Precio Bruto]]*1.16</f>
        <v>6226.4739999999993</v>
      </c>
      <c r="K2391" s="281">
        <f>+Tabla4[[#This Row],[Precio Unitario Neto]]*Tabla4[[#Headers],[20.85%]]</f>
        <v>1298.2198289999999</v>
      </c>
      <c r="L2391" s="282">
        <f>++Tabla4[[#This Row],[Precio Unitario Neto]]-Tabla4[[#This Row],[20.85%]]</f>
        <v>4928.2541709999996</v>
      </c>
      <c r="M2391" s="282" t="e">
        <f>(INDEX(Tabla6[#All],MATCH(Tabla4[[#This Row],[Producto]],Tabla6[[#All],[PRODUCTO]],0),MATCH(Tabla4[[#This Row],[Mes]],Tabla6[#Headers],0)))*(1+Catalogos!$L$2)</f>
        <v>#N/A</v>
      </c>
      <c r="N2391" s="283" t="e">
        <f>+(Tabla4[[#This Row],[Precio Descontado]]-Tabla4[[#This Row],[Precio Base]])*Tabla4[[#This Row],[Cantidad]]</f>
        <v>#N/A</v>
      </c>
      <c r="O2391" s="284" t="e">
        <f>++Tabla4[[#This Row],[Utilidad Total]]/Tabla4[[#This Row],[Total]]</f>
        <v>#N/A</v>
      </c>
      <c r="P2391" s="282">
        <f>++Tabla4[[#This Row],[Precio Descontado]]*Tabla4[[#This Row],[Cantidad]]</f>
        <v>24641.270854999999</v>
      </c>
      <c r="Q2391" s="282" t="e">
        <f>(INDEX(Tabla6[#All],MATCH(Tabla4[[#This Row],[Producto]],Tabla6[[#All],[PRODUCTO]],0),MATCH(Tabla4[[#This Row],[Mes]],Tabla6[#Headers],0)))</f>
        <v>#N/A</v>
      </c>
      <c r="R2391" s="282" t="e">
        <f>++Tabla4[[#This Row],[Precio Unitario Neto]]-Tabla4[[#This Row],[20.85%]]-Tabla4[[#This Row],[Costo]]</f>
        <v>#N/A</v>
      </c>
      <c r="S2391" s="282" t="e">
        <f>++Tabla4[[#This Row],[U. Bruta Uni]]*Tabla4[[#This Row],[Cantidad]]</f>
        <v>#N/A</v>
      </c>
      <c r="T2391" s="369" t="str">
        <f>VLOOKUP(Tabla4[[#This Row],[Producto]],Tabla6[#All],14,FALSE)</f>
        <v>Termico Solar</v>
      </c>
      <c r="U2391" s="284" t="e">
        <f>(IF(Tabla4[[#This Row],[Familia]]="termico solar",Tabla4[[#This Row],[Utilidad Total]]*6%,Tabla4[[#This Row],[Utilidad Total]]*11.5%))/Tabla4[[#This Row],[Total]]</f>
        <v>#N/A</v>
      </c>
      <c r="V2391" s="282" t="e">
        <f>+Tabla4[[#This Row],[Comisión Calculada]]*Tabla4[[#This Row],[Total]]</f>
        <v>#N/A</v>
      </c>
    </row>
    <row r="2392" spans="1:22" hidden="1" x14ac:dyDescent="0.25">
      <c r="A2392" s="100">
        <v>45777</v>
      </c>
      <c r="B2392" t="str">
        <f t="shared" si="119"/>
        <v>April</v>
      </c>
      <c r="C2392" s="46" t="s">
        <v>280</v>
      </c>
      <c r="F2392" s="366" t="s">
        <v>1617</v>
      </c>
      <c r="G2392" s="46" t="s">
        <v>20</v>
      </c>
      <c r="H2392" s="46">
        <v>1</v>
      </c>
      <c r="I2392" s="51">
        <v>7751.98</v>
      </c>
      <c r="J2392" s="281">
        <f>++Tabla4[[#This Row],[Precio Bruto]]*1.16</f>
        <v>8992.2967999999983</v>
      </c>
      <c r="K2392" s="281">
        <f>+Tabla4[[#This Row],[Precio Unitario Neto]]*Tabla4[[#Headers],[20.85%]]</f>
        <v>1874.8938827999996</v>
      </c>
      <c r="L2392" s="282">
        <f>++Tabla4[[#This Row],[Precio Unitario Neto]]-Tabla4[[#This Row],[20.85%]]</f>
        <v>7117.4029171999991</v>
      </c>
      <c r="M2392" s="282" t="e">
        <f>(INDEX(Tabla6[#All],MATCH(Tabla4[[#This Row],[Producto]],Tabla6[[#All],[PRODUCTO]],0),MATCH(Tabla4[[#This Row],[Mes]],Tabla6[#Headers],0)))*(1+Catalogos!$L$2)</f>
        <v>#N/A</v>
      </c>
      <c r="N2392" s="283" t="e">
        <f>+(Tabla4[[#This Row],[Precio Descontado]]-Tabla4[[#This Row],[Precio Base]])*Tabla4[[#This Row],[Cantidad]]</f>
        <v>#N/A</v>
      </c>
      <c r="O2392" s="284" t="e">
        <f>++Tabla4[[#This Row],[Utilidad Total]]/Tabla4[[#This Row],[Total]]</f>
        <v>#N/A</v>
      </c>
      <c r="P2392" s="282">
        <f>++Tabla4[[#This Row],[Precio Descontado]]*Tabla4[[#This Row],[Cantidad]]</f>
        <v>7117.4029171999991</v>
      </c>
      <c r="Q2392" s="282" t="e">
        <f>(INDEX(Tabla6[#All],MATCH(Tabla4[[#This Row],[Producto]],Tabla6[[#All],[PRODUCTO]],0),MATCH(Tabla4[[#This Row],[Mes]],Tabla6[#Headers],0)))</f>
        <v>#N/A</v>
      </c>
      <c r="R2392" s="282" t="e">
        <f>++Tabla4[[#This Row],[Precio Unitario Neto]]-Tabla4[[#This Row],[20.85%]]-Tabla4[[#This Row],[Costo]]</f>
        <v>#N/A</v>
      </c>
      <c r="S2392" s="282" t="e">
        <f>++Tabla4[[#This Row],[U. Bruta Uni]]*Tabla4[[#This Row],[Cantidad]]</f>
        <v>#N/A</v>
      </c>
      <c r="T2392" s="369" t="str">
        <f>VLOOKUP(Tabla4[[#This Row],[Producto]],Tabla6[#All],14,FALSE)</f>
        <v>Termico Solar</v>
      </c>
      <c r="U2392" s="284" t="e">
        <f>(IF(Tabla4[[#This Row],[Familia]]="termico solar",Tabla4[[#This Row],[Utilidad Total]]*6%,Tabla4[[#This Row],[Utilidad Total]]*11.5%))/Tabla4[[#This Row],[Total]]</f>
        <v>#N/A</v>
      </c>
      <c r="V2392" s="282" t="e">
        <f>+Tabla4[[#This Row],[Comisión Calculada]]*Tabla4[[#This Row],[Total]]</f>
        <v>#N/A</v>
      </c>
    </row>
    <row r="2393" spans="1:22" hidden="1" x14ac:dyDescent="0.25">
      <c r="A2393" s="100">
        <v>45777</v>
      </c>
      <c r="B2393" t="str">
        <f t="shared" si="119"/>
        <v>April</v>
      </c>
      <c r="C2393" s="46" t="s">
        <v>280</v>
      </c>
      <c r="F2393" s="366" t="s">
        <v>1617</v>
      </c>
      <c r="G2393" s="46" t="s">
        <v>16</v>
      </c>
      <c r="H2393" s="46">
        <v>2</v>
      </c>
      <c r="I2393" s="51">
        <v>4103.8500000000004</v>
      </c>
      <c r="J2393" s="281">
        <f>++Tabla4[[#This Row],[Precio Bruto]]*1.16</f>
        <v>4760.4660000000003</v>
      </c>
      <c r="K2393" s="281">
        <f>+Tabla4[[#This Row],[Precio Unitario Neto]]*Tabla4[[#Headers],[20.85%]]</f>
        <v>992.55716100000006</v>
      </c>
      <c r="L2393" s="282">
        <f>++Tabla4[[#This Row],[Precio Unitario Neto]]-Tabla4[[#This Row],[20.85%]]</f>
        <v>3767.9088390000002</v>
      </c>
      <c r="M2393" s="282" t="e">
        <f>(INDEX(Tabla6[#All],MATCH(Tabla4[[#This Row],[Producto]],Tabla6[[#All],[PRODUCTO]],0),MATCH(Tabla4[[#This Row],[Mes]],Tabla6[#Headers],0)))*(1+Catalogos!$L$2)</f>
        <v>#N/A</v>
      </c>
      <c r="N2393" s="283" t="e">
        <f>+(Tabla4[[#This Row],[Precio Descontado]]-Tabla4[[#This Row],[Precio Base]])*Tabla4[[#This Row],[Cantidad]]</f>
        <v>#N/A</v>
      </c>
      <c r="O2393" s="284" t="e">
        <f>++Tabla4[[#This Row],[Utilidad Total]]/Tabla4[[#This Row],[Total]]</f>
        <v>#N/A</v>
      </c>
      <c r="P2393" s="282">
        <f>++Tabla4[[#This Row],[Precio Descontado]]*Tabla4[[#This Row],[Cantidad]]</f>
        <v>7535.8176780000003</v>
      </c>
      <c r="Q2393" s="282" t="e">
        <f>(INDEX(Tabla6[#All],MATCH(Tabla4[[#This Row],[Producto]],Tabla6[[#All],[PRODUCTO]],0),MATCH(Tabla4[[#This Row],[Mes]],Tabla6[#Headers],0)))</f>
        <v>#N/A</v>
      </c>
      <c r="R2393" s="282" t="e">
        <f>++Tabla4[[#This Row],[Precio Unitario Neto]]-Tabla4[[#This Row],[20.85%]]-Tabla4[[#This Row],[Costo]]</f>
        <v>#N/A</v>
      </c>
      <c r="S2393" s="282" t="e">
        <f>++Tabla4[[#This Row],[U. Bruta Uni]]*Tabla4[[#This Row],[Cantidad]]</f>
        <v>#N/A</v>
      </c>
      <c r="T2393" s="369" t="str">
        <f>VLOOKUP(Tabla4[[#This Row],[Producto]],Tabla6[#All],14,FALSE)</f>
        <v>Termico Solar</v>
      </c>
      <c r="U2393" s="284" t="e">
        <f>(IF(Tabla4[[#This Row],[Familia]]="termico solar",Tabla4[[#This Row],[Utilidad Total]]*6%,Tabla4[[#This Row],[Utilidad Total]]*11.5%))/Tabla4[[#This Row],[Total]]</f>
        <v>#N/A</v>
      </c>
      <c r="V2393" s="282" t="e">
        <f>+Tabla4[[#This Row],[Comisión Calculada]]*Tabla4[[#This Row],[Total]]</f>
        <v>#N/A</v>
      </c>
    </row>
    <row r="2394" spans="1:22" hidden="1" x14ac:dyDescent="0.25">
      <c r="A2394" s="100">
        <v>45777</v>
      </c>
      <c r="B2394" t="str">
        <f t="shared" si="119"/>
        <v>April</v>
      </c>
      <c r="C2394" s="46" t="s">
        <v>280</v>
      </c>
      <c r="F2394" s="366" t="s">
        <v>1617</v>
      </c>
      <c r="G2394" s="46" t="s">
        <v>208</v>
      </c>
      <c r="H2394" s="46">
        <v>1</v>
      </c>
      <c r="I2394" s="51">
        <v>189.75</v>
      </c>
      <c r="J2394" s="281">
        <f>++Tabla4[[#This Row],[Precio Bruto]]*1.16</f>
        <v>220.10999999999999</v>
      </c>
      <c r="K2394" s="281">
        <f>+Tabla4[[#This Row],[Precio Unitario Neto]]*Tabla4[[#Headers],[20.85%]]</f>
        <v>45.892934999999994</v>
      </c>
      <c r="L2394" s="282">
        <f>++Tabla4[[#This Row],[Precio Unitario Neto]]-Tabla4[[#This Row],[20.85%]]</f>
        <v>174.21706499999999</v>
      </c>
      <c r="M2394" s="282" t="e">
        <f>(INDEX(Tabla6[#All],MATCH(Tabla4[[#This Row],[Producto]],Tabla6[[#All],[PRODUCTO]],0),MATCH(Tabla4[[#This Row],[Mes]],Tabla6[#Headers],0)))*(1+Catalogos!$L$2)</f>
        <v>#N/A</v>
      </c>
      <c r="N2394" s="283" t="e">
        <f>+(Tabla4[[#This Row],[Precio Descontado]]-Tabla4[[#This Row],[Precio Base]])*Tabla4[[#This Row],[Cantidad]]</f>
        <v>#N/A</v>
      </c>
      <c r="O2394" s="284" t="e">
        <f>++Tabla4[[#This Row],[Utilidad Total]]/Tabla4[[#This Row],[Total]]</f>
        <v>#N/A</v>
      </c>
      <c r="P2394" s="282">
        <f>++Tabla4[[#This Row],[Precio Descontado]]*Tabla4[[#This Row],[Cantidad]]</f>
        <v>174.21706499999999</v>
      </c>
      <c r="Q2394" s="282" t="e">
        <f>(INDEX(Tabla6[#All],MATCH(Tabla4[[#This Row],[Producto]],Tabla6[[#All],[PRODUCTO]],0),MATCH(Tabla4[[#This Row],[Mes]],Tabla6[#Headers],0)))</f>
        <v>#N/A</v>
      </c>
      <c r="R2394" s="282" t="e">
        <f>++Tabla4[[#This Row],[Precio Unitario Neto]]-Tabla4[[#This Row],[20.85%]]-Tabla4[[#This Row],[Costo]]</f>
        <v>#N/A</v>
      </c>
      <c r="S2394" s="282" t="e">
        <f>++Tabla4[[#This Row],[U. Bruta Uni]]*Tabla4[[#This Row],[Cantidad]]</f>
        <v>#N/A</v>
      </c>
      <c r="T2394" s="369" t="str">
        <f>VLOOKUP(Tabla4[[#This Row],[Producto]],Tabla6[#All],14,FALSE)</f>
        <v>Termico Solar</v>
      </c>
      <c r="U2394" s="284" t="e">
        <f>(IF(Tabla4[[#This Row],[Familia]]="termico solar",Tabla4[[#This Row],[Utilidad Total]]*6%,Tabla4[[#This Row],[Utilidad Total]]*11.5%))/Tabla4[[#This Row],[Total]]</f>
        <v>#N/A</v>
      </c>
      <c r="V2394" s="282" t="e">
        <f>+Tabla4[[#This Row],[Comisión Calculada]]*Tabla4[[#This Row],[Total]]</f>
        <v>#N/A</v>
      </c>
    </row>
    <row r="2395" spans="1:22" hidden="1" x14ac:dyDescent="0.25">
      <c r="A2395" s="100">
        <v>45777</v>
      </c>
      <c r="B2395" t="str">
        <f t="shared" si="119"/>
        <v>April</v>
      </c>
      <c r="C2395" s="46" t="s">
        <v>280</v>
      </c>
      <c r="F2395" s="366" t="s">
        <v>1618</v>
      </c>
      <c r="G2395" s="46" t="s">
        <v>19</v>
      </c>
      <c r="H2395" s="46">
        <v>1</v>
      </c>
      <c r="I2395" s="51">
        <v>6412.03</v>
      </c>
      <c r="J2395" s="281">
        <f>++Tabla4[[#This Row],[Precio Bruto]]*1.16</f>
        <v>7437.9547999999995</v>
      </c>
      <c r="K2395" s="281">
        <f>+Tabla4[[#This Row],[Precio Unitario Neto]]*Tabla4[[#Headers],[20.85%]]</f>
        <v>1550.8135757999999</v>
      </c>
      <c r="L2395" s="282">
        <f>++Tabla4[[#This Row],[Precio Unitario Neto]]-Tabla4[[#This Row],[20.85%]]</f>
        <v>5887.1412241999997</v>
      </c>
      <c r="M2395" s="282" t="e">
        <f>(INDEX(Tabla6[#All],MATCH(Tabla4[[#This Row],[Producto]],Tabla6[[#All],[PRODUCTO]],0),MATCH(Tabla4[[#This Row],[Mes]],Tabla6[#Headers],0)))*(1+Catalogos!$L$2)</f>
        <v>#N/A</v>
      </c>
      <c r="N2395" s="283" t="e">
        <f>+(Tabla4[[#This Row],[Precio Descontado]]-Tabla4[[#This Row],[Precio Base]])*Tabla4[[#This Row],[Cantidad]]</f>
        <v>#N/A</v>
      </c>
      <c r="O2395" s="284" t="e">
        <f>++Tabla4[[#This Row],[Utilidad Total]]/Tabla4[[#This Row],[Total]]</f>
        <v>#N/A</v>
      </c>
      <c r="P2395" s="282">
        <f>++Tabla4[[#This Row],[Precio Descontado]]*Tabla4[[#This Row],[Cantidad]]</f>
        <v>5887.1412241999997</v>
      </c>
      <c r="Q2395" s="282" t="e">
        <f>(INDEX(Tabla6[#All],MATCH(Tabla4[[#This Row],[Producto]],Tabla6[[#All],[PRODUCTO]],0),MATCH(Tabla4[[#This Row],[Mes]],Tabla6[#Headers],0)))</f>
        <v>#N/A</v>
      </c>
      <c r="R2395" s="282" t="e">
        <f>++Tabla4[[#This Row],[Precio Unitario Neto]]-Tabla4[[#This Row],[20.85%]]-Tabla4[[#This Row],[Costo]]</f>
        <v>#N/A</v>
      </c>
      <c r="S2395" s="282" t="e">
        <f>++Tabla4[[#This Row],[U. Bruta Uni]]*Tabla4[[#This Row],[Cantidad]]</f>
        <v>#N/A</v>
      </c>
      <c r="T2395" s="369" t="str">
        <f>VLOOKUP(Tabla4[[#This Row],[Producto]],Tabla6[#All],14,FALSE)</f>
        <v>Termico Solar</v>
      </c>
      <c r="U2395" s="284" t="e">
        <f>(IF(Tabla4[[#This Row],[Familia]]="termico solar",Tabla4[[#This Row],[Utilidad Total]]*6%,Tabla4[[#This Row],[Utilidad Total]]*11.5%))/Tabla4[[#This Row],[Total]]</f>
        <v>#N/A</v>
      </c>
      <c r="V2395" s="282" t="e">
        <f>+Tabla4[[#This Row],[Comisión Calculada]]*Tabla4[[#This Row],[Total]]</f>
        <v>#N/A</v>
      </c>
    </row>
    <row r="2396" spans="1:22" hidden="1" x14ac:dyDescent="0.25">
      <c r="A2396" s="100">
        <v>45777</v>
      </c>
      <c r="B2396" t="str">
        <f t="shared" si="119"/>
        <v>April</v>
      </c>
      <c r="C2396" s="46" t="s">
        <v>280</v>
      </c>
      <c r="F2396" s="366" t="s">
        <v>1618</v>
      </c>
      <c r="G2396" s="46" t="s">
        <v>566</v>
      </c>
      <c r="H2396" s="46">
        <v>1</v>
      </c>
      <c r="I2396" s="51">
        <v>2109.4499999999998</v>
      </c>
      <c r="J2396" s="281">
        <f>++Tabla4[[#This Row],[Precio Bruto]]*1.16</f>
        <v>2446.9619999999995</v>
      </c>
      <c r="K2396" s="281">
        <f>+Tabla4[[#This Row],[Precio Unitario Neto]]*Tabla4[[#Headers],[20.85%]]</f>
        <v>510.19157699999988</v>
      </c>
      <c r="L2396" s="282">
        <f>++Tabla4[[#This Row],[Precio Unitario Neto]]-Tabla4[[#This Row],[20.85%]]</f>
        <v>1936.7704229999997</v>
      </c>
      <c r="M2396" s="282" t="e">
        <f>(INDEX(Tabla6[#All],MATCH(Tabla4[[#This Row],[Producto]],Tabla6[[#All],[PRODUCTO]],0),MATCH(Tabla4[[#This Row],[Mes]],Tabla6[#Headers],0)))*(1+Catalogos!$L$2)</f>
        <v>#N/A</v>
      </c>
      <c r="N2396" s="283" t="e">
        <f>+(Tabla4[[#This Row],[Precio Descontado]]-Tabla4[[#This Row],[Precio Base]])*Tabla4[[#This Row],[Cantidad]]</f>
        <v>#N/A</v>
      </c>
      <c r="O2396" s="284" t="e">
        <f>++Tabla4[[#This Row],[Utilidad Total]]/Tabla4[[#This Row],[Total]]</f>
        <v>#N/A</v>
      </c>
      <c r="P2396" s="282">
        <f>++Tabla4[[#This Row],[Precio Descontado]]*Tabla4[[#This Row],[Cantidad]]</f>
        <v>1936.7704229999997</v>
      </c>
      <c r="Q2396" s="282" t="e">
        <f>(INDEX(Tabla6[#All],MATCH(Tabla4[[#This Row],[Producto]],Tabla6[[#All],[PRODUCTO]],0),MATCH(Tabla4[[#This Row],[Mes]],Tabla6[#Headers],0)))</f>
        <v>#N/A</v>
      </c>
      <c r="R2396" s="282" t="e">
        <f>++Tabla4[[#This Row],[Precio Unitario Neto]]-Tabla4[[#This Row],[20.85%]]-Tabla4[[#This Row],[Costo]]</f>
        <v>#N/A</v>
      </c>
      <c r="S2396" s="282" t="e">
        <f>++Tabla4[[#This Row],[U. Bruta Uni]]*Tabla4[[#This Row],[Cantidad]]</f>
        <v>#N/A</v>
      </c>
      <c r="T2396" s="369" t="str">
        <f>VLOOKUP(Tabla4[[#This Row],[Producto]],Tabla6[#All],14,FALSE)</f>
        <v>Termico Solar</v>
      </c>
      <c r="U2396" s="284" t="e">
        <f>(IF(Tabla4[[#This Row],[Familia]]="termico solar",Tabla4[[#This Row],[Utilidad Total]]*6%,Tabla4[[#This Row],[Utilidad Total]]*11.5%))/Tabla4[[#This Row],[Total]]</f>
        <v>#N/A</v>
      </c>
      <c r="V2396" s="282" t="e">
        <f>+Tabla4[[#This Row],[Comisión Calculada]]*Tabla4[[#This Row],[Total]]</f>
        <v>#N/A</v>
      </c>
    </row>
    <row r="2397" spans="1:22" hidden="1" x14ac:dyDescent="0.25">
      <c r="A2397" s="100">
        <v>45777</v>
      </c>
      <c r="B2397" t="str">
        <f t="shared" si="119"/>
        <v>April</v>
      </c>
      <c r="C2397" s="46" t="s">
        <v>280</v>
      </c>
      <c r="F2397" s="366" t="s">
        <v>1618</v>
      </c>
      <c r="G2397" s="46" t="s">
        <v>208</v>
      </c>
      <c r="H2397" s="46">
        <v>1</v>
      </c>
      <c r="I2397" s="51">
        <v>189.75</v>
      </c>
      <c r="J2397" s="281">
        <f>++Tabla4[[#This Row],[Precio Bruto]]*1.16</f>
        <v>220.10999999999999</v>
      </c>
      <c r="K2397" s="281">
        <f>+Tabla4[[#This Row],[Precio Unitario Neto]]*Tabla4[[#Headers],[20.85%]]</f>
        <v>45.892934999999994</v>
      </c>
      <c r="L2397" s="282">
        <f>++Tabla4[[#This Row],[Precio Unitario Neto]]-Tabla4[[#This Row],[20.85%]]</f>
        <v>174.21706499999999</v>
      </c>
      <c r="M2397" s="282" t="e">
        <f>(INDEX(Tabla6[#All],MATCH(Tabla4[[#This Row],[Producto]],Tabla6[[#All],[PRODUCTO]],0),MATCH(Tabla4[[#This Row],[Mes]],Tabla6[#Headers],0)))*(1+Catalogos!$L$2)</f>
        <v>#N/A</v>
      </c>
      <c r="N2397" s="283" t="e">
        <f>+(Tabla4[[#This Row],[Precio Descontado]]-Tabla4[[#This Row],[Precio Base]])*Tabla4[[#This Row],[Cantidad]]</f>
        <v>#N/A</v>
      </c>
      <c r="O2397" s="284" t="e">
        <f>++Tabla4[[#This Row],[Utilidad Total]]/Tabla4[[#This Row],[Total]]</f>
        <v>#N/A</v>
      </c>
      <c r="P2397" s="282">
        <f>++Tabla4[[#This Row],[Precio Descontado]]*Tabla4[[#This Row],[Cantidad]]</f>
        <v>174.21706499999999</v>
      </c>
      <c r="Q2397" s="282" t="e">
        <f>(INDEX(Tabla6[#All],MATCH(Tabla4[[#This Row],[Producto]],Tabla6[[#All],[PRODUCTO]],0),MATCH(Tabla4[[#This Row],[Mes]],Tabla6[#Headers],0)))</f>
        <v>#N/A</v>
      </c>
      <c r="R2397" s="282" t="e">
        <f>++Tabla4[[#This Row],[Precio Unitario Neto]]-Tabla4[[#This Row],[20.85%]]-Tabla4[[#This Row],[Costo]]</f>
        <v>#N/A</v>
      </c>
      <c r="S2397" s="282" t="e">
        <f>++Tabla4[[#This Row],[U. Bruta Uni]]*Tabla4[[#This Row],[Cantidad]]</f>
        <v>#N/A</v>
      </c>
      <c r="T2397" s="369" t="str">
        <f>VLOOKUP(Tabla4[[#This Row],[Producto]],Tabla6[#All],14,FALSE)</f>
        <v>Termico Solar</v>
      </c>
      <c r="U2397" s="284" t="e">
        <f>(IF(Tabla4[[#This Row],[Familia]]="termico solar",Tabla4[[#This Row],[Utilidad Total]]*6%,Tabla4[[#This Row],[Utilidad Total]]*11.5%))/Tabla4[[#This Row],[Total]]</f>
        <v>#N/A</v>
      </c>
      <c r="V2397" s="282" t="e">
        <f>+Tabla4[[#This Row],[Comisión Calculada]]*Tabla4[[#This Row],[Total]]</f>
        <v>#N/A</v>
      </c>
    </row>
    <row r="2398" spans="1:22" hidden="1" x14ac:dyDescent="0.25">
      <c r="A2398" s="100">
        <v>45777</v>
      </c>
      <c r="B2398" t="str">
        <f t="shared" si="119"/>
        <v>April</v>
      </c>
      <c r="C2398" s="46" t="s">
        <v>280</v>
      </c>
      <c r="F2398" s="366" t="s">
        <v>1618</v>
      </c>
      <c r="G2398" s="46" t="s">
        <v>209</v>
      </c>
      <c r="H2398" s="46">
        <v>1</v>
      </c>
      <c r="I2398" s="51">
        <v>347.47</v>
      </c>
      <c r="J2398" s="281">
        <f>++Tabla4[[#This Row],[Precio Bruto]]*1.16</f>
        <v>403.0652</v>
      </c>
      <c r="K2398" s="281">
        <f>+Tabla4[[#This Row],[Precio Unitario Neto]]*Tabla4[[#Headers],[20.85%]]</f>
        <v>84.039094199999994</v>
      </c>
      <c r="L2398" s="282">
        <f>++Tabla4[[#This Row],[Precio Unitario Neto]]-Tabla4[[#This Row],[20.85%]]</f>
        <v>319.02610579999998</v>
      </c>
      <c r="M2398" s="282" t="e">
        <f>(INDEX(Tabla6[#All],MATCH(Tabla4[[#This Row],[Producto]],Tabla6[[#All],[PRODUCTO]],0),MATCH(Tabla4[[#This Row],[Mes]],Tabla6[#Headers],0)))*(1+Catalogos!$L$2)</f>
        <v>#N/A</v>
      </c>
      <c r="N2398" s="283" t="e">
        <f>+(Tabla4[[#This Row],[Precio Descontado]]-Tabla4[[#This Row],[Precio Base]])*Tabla4[[#This Row],[Cantidad]]</f>
        <v>#N/A</v>
      </c>
      <c r="O2398" s="284" t="e">
        <f>++Tabla4[[#This Row],[Utilidad Total]]/Tabla4[[#This Row],[Total]]</f>
        <v>#N/A</v>
      </c>
      <c r="P2398" s="282">
        <f>++Tabla4[[#This Row],[Precio Descontado]]*Tabla4[[#This Row],[Cantidad]]</f>
        <v>319.02610579999998</v>
      </c>
      <c r="Q2398" s="282" t="e">
        <f>(INDEX(Tabla6[#All],MATCH(Tabla4[[#This Row],[Producto]],Tabla6[[#All],[PRODUCTO]],0),MATCH(Tabla4[[#This Row],[Mes]],Tabla6[#Headers],0)))</f>
        <v>#N/A</v>
      </c>
      <c r="R2398" s="282" t="e">
        <f>++Tabla4[[#This Row],[Precio Unitario Neto]]-Tabla4[[#This Row],[20.85%]]-Tabla4[[#This Row],[Costo]]</f>
        <v>#N/A</v>
      </c>
      <c r="S2398" s="282" t="e">
        <f>++Tabla4[[#This Row],[U. Bruta Uni]]*Tabla4[[#This Row],[Cantidad]]</f>
        <v>#N/A</v>
      </c>
      <c r="T2398" s="369" t="str">
        <f>VLOOKUP(Tabla4[[#This Row],[Producto]],Tabla6[#All],14,FALSE)</f>
        <v>Termico Solar</v>
      </c>
      <c r="U2398" s="284" t="e">
        <f>(IF(Tabla4[[#This Row],[Familia]]="termico solar",Tabla4[[#This Row],[Utilidad Total]]*6%,Tabla4[[#This Row],[Utilidad Total]]*11.5%))/Tabla4[[#This Row],[Total]]</f>
        <v>#N/A</v>
      </c>
      <c r="V2398" s="282" t="e">
        <f>+Tabla4[[#This Row],[Comisión Calculada]]*Tabla4[[#This Row],[Total]]</f>
        <v>#N/A</v>
      </c>
    </row>
    <row r="2399" spans="1:22" hidden="1" x14ac:dyDescent="0.25">
      <c r="A2399" s="100">
        <v>45777</v>
      </c>
      <c r="B2399" t="str">
        <f t="shared" si="119"/>
        <v>April</v>
      </c>
      <c r="C2399" s="46" t="s">
        <v>280</v>
      </c>
      <c r="F2399" s="366" t="s">
        <v>1619</v>
      </c>
      <c r="G2399" s="46" t="s">
        <v>17</v>
      </c>
      <c r="H2399" s="46">
        <v>2</v>
      </c>
      <c r="I2399" s="51">
        <v>4622.28</v>
      </c>
      <c r="J2399" s="281">
        <f>++Tabla4[[#This Row],[Precio Bruto]]*1.16</f>
        <v>5361.8447999999989</v>
      </c>
      <c r="K2399" s="281">
        <f>+Tabla4[[#This Row],[Precio Unitario Neto]]*Tabla4[[#Headers],[20.85%]]</f>
        <v>1117.9446407999997</v>
      </c>
      <c r="L2399" s="282">
        <f>++Tabla4[[#This Row],[Precio Unitario Neto]]-Tabla4[[#This Row],[20.85%]]</f>
        <v>4243.9001591999995</v>
      </c>
      <c r="M2399" s="282" t="e">
        <f>(INDEX(Tabla6[#All],MATCH(Tabla4[[#This Row],[Producto]],Tabla6[[#All],[PRODUCTO]],0),MATCH(Tabla4[[#This Row],[Mes]],Tabla6[#Headers],0)))*(1+Catalogos!$L$2)</f>
        <v>#N/A</v>
      </c>
      <c r="N2399" s="283" t="e">
        <f>+(Tabla4[[#This Row],[Precio Descontado]]-Tabla4[[#This Row],[Precio Base]])*Tabla4[[#This Row],[Cantidad]]</f>
        <v>#N/A</v>
      </c>
      <c r="O2399" s="284" t="e">
        <f>++Tabla4[[#This Row],[Utilidad Total]]/Tabla4[[#This Row],[Total]]</f>
        <v>#N/A</v>
      </c>
      <c r="P2399" s="282">
        <f>++Tabla4[[#This Row],[Precio Descontado]]*Tabla4[[#This Row],[Cantidad]]</f>
        <v>8487.800318399999</v>
      </c>
      <c r="Q2399" s="282" t="e">
        <f>(INDEX(Tabla6[#All],MATCH(Tabla4[[#This Row],[Producto]],Tabla6[[#All],[PRODUCTO]],0),MATCH(Tabla4[[#This Row],[Mes]],Tabla6[#Headers],0)))</f>
        <v>#N/A</v>
      </c>
      <c r="R2399" s="282" t="e">
        <f>++Tabla4[[#This Row],[Precio Unitario Neto]]-Tabla4[[#This Row],[20.85%]]-Tabla4[[#This Row],[Costo]]</f>
        <v>#N/A</v>
      </c>
      <c r="S2399" s="282" t="e">
        <f>++Tabla4[[#This Row],[U. Bruta Uni]]*Tabla4[[#This Row],[Cantidad]]</f>
        <v>#N/A</v>
      </c>
      <c r="T2399" s="369" t="str">
        <f>VLOOKUP(Tabla4[[#This Row],[Producto]],Tabla6[#All],14,FALSE)</f>
        <v>Termico Solar</v>
      </c>
      <c r="U2399" s="284" t="e">
        <f>(IF(Tabla4[[#This Row],[Familia]]="termico solar",Tabla4[[#This Row],[Utilidad Total]]*6%,Tabla4[[#This Row],[Utilidad Total]]*11.5%))/Tabla4[[#This Row],[Total]]</f>
        <v>#N/A</v>
      </c>
      <c r="V2399" s="282" t="e">
        <f>+Tabla4[[#This Row],[Comisión Calculada]]*Tabla4[[#This Row],[Total]]</f>
        <v>#N/A</v>
      </c>
    </row>
    <row r="2400" spans="1:22" hidden="1" x14ac:dyDescent="0.25">
      <c r="A2400" s="100">
        <v>45777</v>
      </c>
      <c r="B2400" t="str">
        <f t="shared" si="119"/>
        <v>April</v>
      </c>
      <c r="C2400" s="46" t="s">
        <v>280</v>
      </c>
      <c r="F2400" s="366" t="s">
        <v>1619</v>
      </c>
      <c r="G2400" s="46" t="s">
        <v>19</v>
      </c>
      <c r="H2400" s="46">
        <v>1</v>
      </c>
      <c r="I2400" s="51">
        <v>6412.03</v>
      </c>
      <c r="J2400" s="281">
        <f>++Tabla4[[#This Row],[Precio Bruto]]*1.16</f>
        <v>7437.9547999999995</v>
      </c>
      <c r="K2400" s="281">
        <f>+Tabla4[[#This Row],[Precio Unitario Neto]]*Tabla4[[#Headers],[20.85%]]</f>
        <v>1550.8135757999999</v>
      </c>
      <c r="L2400" s="282">
        <f>++Tabla4[[#This Row],[Precio Unitario Neto]]-Tabla4[[#This Row],[20.85%]]</f>
        <v>5887.1412241999997</v>
      </c>
      <c r="M2400" s="282" t="e">
        <f>(INDEX(Tabla6[#All],MATCH(Tabla4[[#This Row],[Producto]],Tabla6[[#All],[PRODUCTO]],0),MATCH(Tabla4[[#This Row],[Mes]],Tabla6[#Headers],0)))*(1+Catalogos!$L$2)</f>
        <v>#N/A</v>
      </c>
      <c r="N2400" s="283" t="e">
        <f>+(Tabla4[[#This Row],[Precio Descontado]]-Tabla4[[#This Row],[Precio Base]])*Tabla4[[#This Row],[Cantidad]]</f>
        <v>#N/A</v>
      </c>
      <c r="O2400" s="284" t="e">
        <f>++Tabla4[[#This Row],[Utilidad Total]]/Tabla4[[#This Row],[Total]]</f>
        <v>#N/A</v>
      </c>
      <c r="P2400" s="282">
        <f>++Tabla4[[#This Row],[Precio Descontado]]*Tabla4[[#This Row],[Cantidad]]</f>
        <v>5887.1412241999997</v>
      </c>
      <c r="Q2400" s="282" t="e">
        <f>(INDEX(Tabla6[#All],MATCH(Tabla4[[#This Row],[Producto]],Tabla6[[#All],[PRODUCTO]],0),MATCH(Tabla4[[#This Row],[Mes]],Tabla6[#Headers],0)))</f>
        <v>#N/A</v>
      </c>
      <c r="R2400" s="282" t="e">
        <f>++Tabla4[[#This Row],[Precio Unitario Neto]]-Tabla4[[#This Row],[20.85%]]-Tabla4[[#This Row],[Costo]]</f>
        <v>#N/A</v>
      </c>
      <c r="S2400" s="282" t="e">
        <f>++Tabla4[[#This Row],[U. Bruta Uni]]*Tabla4[[#This Row],[Cantidad]]</f>
        <v>#N/A</v>
      </c>
      <c r="T2400" s="369" t="str">
        <f>VLOOKUP(Tabla4[[#This Row],[Producto]],Tabla6[#All],14,FALSE)</f>
        <v>Termico Solar</v>
      </c>
      <c r="U2400" s="284" t="e">
        <f>(IF(Tabla4[[#This Row],[Familia]]="termico solar",Tabla4[[#This Row],[Utilidad Total]]*6%,Tabla4[[#This Row],[Utilidad Total]]*11.5%))/Tabla4[[#This Row],[Total]]</f>
        <v>#N/A</v>
      </c>
      <c r="V2400" s="282" t="e">
        <f>+Tabla4[[#This Row],[Comisión Calculada]]*Tabla4[[#This Row],[Total]]</f>
        <v>#N/A</v>
      </c>
    </row>
    <row r="2401" spans="1:22" hidden="1" x14ac:dyDescent="0.25">
      <c r="A2401" s="100">
        <v>45777</v>
      </c>
      <c r="B2401" t="str">
        <f t="shared" si="119"/>
        <v>April</v>
      </c>
      <c r="C2401" s="46" t="s">
        <v>280</v>
      </c>
      <c r="F2401" s="366" t="s">
        <v>1619</v>
      </c>
      <c r="G2401" s="46" t="s">
        <v>208</v>
      </c>
      <c r="H2401" s="46">
        <v>4</v>
      </c>
      <c r="I2401" s="51">
        <v>189.75</v>
      </c>
      <c r="J2401" s="281">
        <f>++Tabla4[[#This Row],[Precio Bruto]]*1.16</f>
        <v>220.10999999999999</v>
      </c>
      <c r="K2401" s="281">
        <f>+Tabla4[[#This Row],[Precio Unitario Neto]]*Tabla4[[#Headers],[20.85%]]</f>
        <v>45.892934999999994</v>
      </c>
      <c r="L2401" s="282">
        <f>++Tabla4[[#This Row],[Precio Unitario Neto]]-Tabla4[[#This Row],[20.85%]]</f>
        <v>174.21706499999999</v>
      </c>
      <c r="M2401" s="282" t="e">
        <f>(INDEX(Tabla6[#All],MATCH(Tabla4[[#This Row],[Producto]],Tabla6[[#All],[PRODUCTO]],0),MATCH(Tabla4[[#This Row],[Mes]],Tabla6[#Headers],0)))*(1+Catalogos!$L$2)</f>
        <v>#N/A</v>
      </c>
      <c r="N2401" s="283" t="e">
        <f>+(Tabla4[[#This Row],[Precio Descontado]]-Tabla4[[#This Row],[Precio Base]])*Tabla4[[#This Row],[Cantidad]]</f>
        <v>#N/A</v>
      </c>
      <c r="O2401" s="284" t="e">
        <f>++Tabla4[[#This Row],[Utilidad Total]]/Tabla4[[#This Row],[Total]]</f>
        <v>#N/A</v>
      </c>
      <c r="P2401" s="282">
        <f>++Tabla4[[#This Row],[Precio Descontado]]*Tabla4[[#This Row],[Cantidad]]</f>
        <v>696.86825999999996</v>
      </c>
      <c r="Q2401" s="282" t="e">
        <f>(INDEX(Tabla6[#All],MATCH(Tabla4[[#This Row],[Producto]],Tabla6[[#All],[PRODUCTO]],0),MATCH(Tabla4[[#This Row],[Mes]],Tabla6[#Headers],0)))</f>
        <v>#N/A</v>
      </c>
      <c r="R2401" s="282" t="e">
        <f>++Tabla4[[#This Row],[Precio Unitario Neto]]-Tabla4[[#This Row],[20.85%]]-Tabla4[[#This Row],[Costo]]</f>
        <v>#N/A</v>
      </c>
      <c r="S2401" s="282" t="e">
        <f>++Tabla4[[#This Row],[U. Bruta Uni]]*Tabla4[[#This Row],[Cantidad]]</f>
        <v>#N/A</v>
      </c>
      <c r="T2401" s="369" t="str">
        <f>VLOOKUP(Tabla4[[#This Row],[Producto]],Tabla6[#All],14,FALSE)</f>
        <v>Termico Solar</v>
      </c>
      <c r="U2401" s="284" t="e">
        <f>(IF(Tabla4[[#This Row],[Familia]]="termico solar",Tabla4[[#This Row],[Utilidad Total]]*6%,Tabla4[[#This Row],[Utilidad Total]]*11.5%))/Tabla4[[#This Row],[Total]]</f>
        <v>#N/A</v>
      </c>
      <c r="V2401" s="282" t="e">
        <f>+Tabla4[[#This Row],[Comisión Calculada]]*Tabla4[[#This Row],[Total]]</f>
        <v>#N/A</v>
      </c>
    </row>
    <row r="2402" spans="1:22" hidden="1" x14ac:dyDescent="0.25">
      <c r="A2402" s="100">
        <v>45777</v>
      </c>
      <c r="B2402" t="str">
        <f t="shared" si="119"/>
        <v>April</v>
      </c>
      <c r="C2402" s="46" t="s">
        <v>280</v>
      </c>
      <c r="F2402" s="366" t="s">
        <v>1620</v>
      </c>
      <c r="G2402" s="46" t="s">
        <v>18</v>
      </c>
      <c r="H2402" s="46">
        <v>1</v>
      </c>
      <c r="I2402" s="51">
        <v>5367.65</v>
      </c>
      <c r="J2402" s="281">
        <f>++Tabla4[[#This Row],[Precio Bruto]]*1.16</f>
        <v>6226.4739999999993</v>
      </c>
      <c r="K2402" s="281">
        <f>+Tabla4[[#This Row],[Precio Unitario Neto]]*Tabla4[[#Headers],[20.85%]]</f>
        <v>1298.2198289999999</v>
      </c>
      <c r="L2402" s="282">
        <f>++Tabla4[[#This Row],[Precio Unitario Neto]]-Tabla4[[#This Row],[20.85%]]</f>
        <v>4928.2541709999996</v>
      </c>
      <c r="M2402" s="282" t="e">
        <f>(INDEX(Tabla6[#All],MATCH(Tabla4[[#This Row],[Producto]],Tabla6[[#All],[PRODUCTO]],0),MATCH(Tabla4[[#This Row],[Mes]],Tabla6[#Headers],0)))*(1+Catalogos!$L$2)</f>
        <v>#N/A</v>
      </c>
      <c r="N2402" s="283" t="e">
        <f>+(Tabla4[[#This Row],[Precio Descontado]]-Tabla4[[#This Row],[Precio Base]])*Tabla4[[#This Row],[Cantidad]]</f>
        <v>#N/A</v>
      </c>
      <c r="O2402" s="284" t="e">
        <f>++Tabla4[[#This Row],[Utilidad Total]]/Tabla4[[#This Row],[Total]]</f>
        <v>#N/A</v>
      </c>
      <c r="P2402" s="282">
        <f>++Tabla4[[#This Row],[Precio Descontado]]*Tabla4[[#This Row],[Cantidad]]</f>
        <v>4928.2541709999996</v>
      </c>
      <c r="Q2402" s="282" t="e">
        <f>(INDEX(Tabla6[#All],MATCH(Tabla4[[#This Row],[Producto]],Tabla6[[#All],[PRODUCTO]],0),MATCH(Tabla4[[#This Row],[Mes]],Tabla6[#Headers],0)))</f>
        <v>#N/A</v>
      </c>
      <c r="R2402" s="282" t="e">
        <f>++Tabla4[[#This Row],[Precio Unitario Neto]]-Tabla4[[#This Row],[20.85%]]-Tabla4[[#This Row],[Costo]]</f>
        <v>#N/A</v>
      </c>
      <c r="S2402" s="282" t="e">
        <f>++Tabla4[[#This Row],[U. Bruta Uni]]*Tabla4[[#This Row],[Cantidad]]</f>
        <v>#N/A</v>
      </c>
      <c r="T2402" s="369" t="str">
        <f>VLOOKUP(Tabla4[[#This Row],[Producto]],Tabla6[#All],14,FALSE)</f>
        <v>Termico Solar</v>
      </c>
      <c r="U2402" s="284" t="e">
        <f>(IF(Tabla4[[#This Row],[Familia]]="termico solar",Tabla4[[#This Row],[Utilidad Total]]*6%,Tabla4[[#This Row],[Utilidad Total]]*11.5%))/Tabla4[[#This Row],[Total]]</f>
        <v>#N/A</v>
      </c>
      <c r="V2402" s="282" t="e">
        <f>+Tabla4[[#This Row],[Comisión Calculada]]*Tabla4[[#This Row],[Total]]</f>
        <v>#N/A</v>
      </c>
    </row>
    <row r="2403" spans="1:22" hidden="1" x14ac:dyDescent="0.25">
      <c r="A2403" s="100">
        <v>45777</v>
      </c>
      <c r="B2403" t="str">
        <f t="shared" si="119"/>
        <v>April</v>
      </c>
      <c r="C2403" s="46" t="s">
        <v>280</v>
      </c>
      <c r="F2403" s="366" t="s">
        <v>1620</v>
      </c>
      <c r="G2403" s="46" t="s">
        <v>566</v>
      </c>
      <c r="H2403" s="46">
        <v>1</v>
      </c>
      <c r="I2403" s="51">
        <v>2109.4499999999998</v>
      </c>
      <c r="J2403" s="281">
        <f>++Tabla4[[#This Row],[Precio Bruto]]*1.16</f>
        <v>2446.9619999999995</v>
      </c>
      <c r="K2403" s="281">
        <f>+Tabla4[[#This Row],[Precio Unitario Neto]]*Tabla4[[#Headers],[20.85%]]</f>
        <v>510.19157699999988</v>
      </c>
      <c r="L2403" s="282">
        <f>++Tabla4[[#This Row],[Precio Unitario Neto]]-Tabla4[[#This Row],[20.85%]]</f>
        <v>1936.7704229999997</v>
      </c>
      <c r="M2403" s="282" t="e">
        <f>(INDEX(Tabla6[#All],MATCH(Tabla4[[#This Row],[Producto]],Tabla6[[#All],[PRODUCTO]],0),MATCH(Tabla4[[#This Row],[Mes]],Tabla6[#Headers],0)))*(1+Catalogos!$L$2)</f>
        <v>#N/A</v>
      </c>
      <c r="N2403" s="283" t="e">
        <f>+(Tabla4[[#This Row],[Precio Descontado]]-Tabla4[[#This Row],[Precio Base]])*Tabla4[[#This Row],[Cantidad]]</f>
        <v>#N/A</v>
      </c>
      <c r="O2403" s="284" t="e">
        <f>++Tabla4[[#This Row],[Utilidad Total]]/Tabla4[[#This Row],[Total]]</f>
        <v>#N/A</v>
      </c>
      <c r="P2403" s="282">
        <f>++Tabla4[[#This Row],[Precio Descontado]]*Tabla4[[#This Row],[Cantidad]]</f>
        <v>1936.7704229999997</v>
      </c>
      <c r="Q2403" s="282" t="e">
        <f>(INDEX(Tabla6[#All],MATCH(Tabla4[[#This Row],[Producto]],Tabla6[[#All],[PRODUCTO]],0),MATCH(Tabla4[[#This Row],[Mes]],Tabla6[#Headers],0)))</f>
        <v>#N/A</v>
      </c>
      <c r="R2403" s="282" t="e">
        <f>++Tabla4[[#This Row],[Precio Unitario Neto]]-Tabla4[[#This Row],[20.85%]]-Tabla4[[#This Row],[Costo]]</f>
        <v>#N/A</v>
      </c>
      <c r="S2403" s="282" t="e">
        <f>++Tabla4[[#This Row],[U. Bruta Uni]]*Tabla4[[#This Row],[Cantidad]]</f>
        <v>#N/A</v>
      </c>
      <c r="T2403" s="369" t="str">
        <f>VLOOKUP(Tabla4[[#This Row],[Producto]],Tabla6[#All],14,FALSE)</f>
        <v>Termico Solar</v>
      </c>
      <c r="U2403" s="284" t="e">
        <f>(IF(Tabla4[[#This Row],[Familia]]="termico solar",Tabla4[[#This Row],[Utilidad Total]]*6%,Tabla4[[#This Row],[Utilidad Total]]*11.5%))/Tabla4[[#This Row],[Total]]</f>
        <v>#N/A</v>
      </c>
      <c r="V2403" s="282" t="e">
        <f>+Tabla4[[#This Row],[Comisión Calculada]]*Tabla4[[#This Row],[Total]]</f>
        <v>#N/A</v>
      </c>
    </row>
    <row r="2404" spans="1:22" hidden="1" x14ac:dyDescent="0.25">
      <c r="A2404" s="100">
        <v>45777</v>
      </c>
      <c r="B2404" t="str">
        <f t="shared" si="119"/>
        <v>April</v>
      </c>
      <c r="C2404" s="46" t="s">
        <v>280</v>
      </c>
      <c r="F2404" s="366" t="s">
        <v>1620</v>
      </c>
      <c r="G2404" s="46" t="s">
        <v>208</v>
      </c>
      <c r="H2404" s="46">
        <v>1</v>
      </c>
      <c r="I2404" s="51">
        <v>189.75</v>
      </c>
      <c r="J2404" s="281">
        <f>++Tabla4[[#This Row],[Precio Bruto]]*1.16</f>
        <v>220.10999999999999</v>
      </c>
      <c r="K2404" s="281">
        <f>+Tabla4[[#This Row],[Precio Unitario Neto]]*Tabla4[[#Headers],[20.85%]]</f>
        <v>45.892934999999994</v>
      </c>
      <c r="L2404" s="282">
        <f>++Tabla4[[#This Row],[Precio Unitario Neto]]-Tabla4[[#This Row],[20.85%]]</f>
        <v>174.21706499999999</v>
      </c>
      <c r="M2404" s="282" t="e">
        <f>(INDEX(Tabla6[#All],MATCH(Tabla4[[#This Row],[Producto]],Tabla6[[#All],[PRODUCTO]],0),MATCH(Tabla4[[#This Row],[Mes]],Tabla6[#Headers],0)))*(1+Catalogos!$L$2)</f>
        <v>#N/A</v>
      </c>
      <c r="N2404" s="283" t="e">
        <f>+(Tabla4[[#This Row],[Precio Descontado]]-Tabla4[[#This Row],[Precio Base]])*Tabla4[[#This Row],[Cantidad]]</f>
        <v>#N/A</v>
      </c>
      <c r="O2404" s="284" t="e">
        <f>++Tabla4[[#This Row],[Utilidad Total]]/Tabla4[[#This Row],[Total]]</f>
        <v>#N/A</v>
      </c>
      <c r="P2404" s="282">
        <f>++Tabla4[[#This Row],[Precio Descontado]]*Tabla4[[#This Row],[Cantidad]]</f>
        <v>174.21706499999999</v>
      </c>
      <c r="Q2404" s="282" t="e">
        <f>(INDEX(Tabla6[#All],MATCH(Tabla4[[#This Row],[Producto]],Tabla6[[#All],[PRODUCTO]],0),MATCH(Tabla4[[#This Row],[Mes]],Tabla6[#Headers],0)))</f>
        <v>#N/A</v>
      </c>
      <c r="R2404" s="282" t="e">
        <f>++Tabla4[[#This Row],[Precio Unitario Neto]]-Tabla4[[#This Row],[20.85%]]-Tabla4[[#This Row],[Costo]]</f>
        <v>#N/A</v>
      </c>
      <c r="S2404" s="282" t="e">
        <f>++Tabla4[[#This Row],[U. Bruta Uni]]*Tabla4[[#This Row],[Cantidad]]</f>
        <v>#N/A</v>
      </c>
      <c r="T2404" s="369" t="str">
        <f>VLOOKUP(Tabla4[[#This Row],[Producto]],Tabla6[#All],14,FALSE)</f>
        <v>Termico Solar</v>
      </c>
      <c r="U2404" s="284" t="e">
        <f>(IF(Tabla4[[#This Row],[Familia]]="termico solar",Tabla4[[#This Row],[Utilidad Total]]*6%,Tabla4[[#This Row],[Utilidad Total]]*11.5%))/Tabla4[[#This Row],[Total]]</f>
        <v>#N/A</v>
      </c>
      <c r="V2404" s="282" t="e">
        <f>+Tabla4[[#This Row],[Comisión Calculada]]*Tabla4[[#This Row],[Total]]</f>
        <v>#N/A</v>
      </c>
    </row>
    <row r="2405" spans="1:22" hidden="1" x14ac:dyDescent="0.25">
      <c r="A2405" s="100">
        <v>45777</v>
      </c>
      <c r="B2405" t="str">
        <f t="shared" si="119"/>
        <v>April</v>
      </c>
      <c r="C2405" s="46" t="s">
        <v>280</v>
      </c>
      <c r="F2405" s="366" t="s">
        <v>1620</v>
      </c>
      <c r="G2405" s="46" t="s">
        <v>209</v>
      </c>
      <c r="H2405" s="46">
        <v>2</v>
      </c>
      <c r="I2405" s="51">
        <v>347.48</v>
      </c>
      <c r="J2405" s="281">
        <f>++Tabla4[[#This Row],[Precio Bruto]]*1.16</f>
        <v>403.07679999999999</v>
      </c>
      <c r="K2405" s="281">
        <f>+Tabla4[[#This Row],[Precio Unitario Neto]]*Tabla4[[#Headers],[20.85%]]</f>
        <v>84.041512799999992</v>
      </c>
      <c r="L2405" s="282">
        <f>++Tabla4[[#This Row],[Precio Unitario Neto]]-Tabla4[[#This Row],[20.85%]]</f>
        <v>319.03528719999997</v>
      </c>
      <c r="M2405" s="282" t="e">
        <f>(INDEX(Tabla6[#All],MATCH(Tabla4[[#This Row],[Producto]],Tabla6[[#All],[PRODUCTO]],0),MATCH(Tabla4[[#This Row],[Mes]],Tabla6[#Headers],0)))*(1+Catalogos!$L$2)</f>
        <v>#N/A</v>
      </c>
      <c r="N2405" s="283" t="e">
        <f>+(Tabla4[[#This Row],[Precio Descontado]]-Tabla4[[#This Row],[Precio Base]])*Tabla4[[#This Row],[Cantidad]]</f>
        <v>#N/A</v>
      </c>
      <c r="O2405" s="284" t="e">
        <f>++Tabla4[[#This Row],[Utilidad Total]]/Tabla4[[#This Row],[Total]]</f>
        <v>#N/A</v>
      </c>
      <c r="P2405" s="282">
        <f>++Tabla4[[#This Row],[Precio Descontado]]*Tabla4[[#This Row],[Cantidad]]</f>
        <v>638.07057439999994</v>
      </c>
      <c r="Q2405" s="282" t="e">
        <f>(INDEX(Tabla6[#All],MATCH(Tabla4[[#This Row],[Producto]],Tabla6[[#All],[PRODUCTO]],0),MATCH(Tabla4[[#This Row],[Mes]],Tabla6[#Headers],0)))</f>
        <v>#N/A</v>
      </c>
      <c r="R2405" s="282" t="e">
        <f>++Tabla4[[#This Row],[Precio Unitario Neto]]-Tabla4[[#This Row],[20.85%]]-Tabla4[[#This Row],[Costo]]</f>
        <v>#N/A</v>
      </c>
      <c r="S2405" s="282" t="e">
        <f>++Tabla4[[#This Row],[U. Bruta Uni]]*Tabla4[[#This Row],[Cantidad]]</f>
        <v>#N/A</v>
      </c>
      <c r="T2405" s="369" t="str">
        <f>VLOOKUP(Tabla4[[#This Row],[Producto]],Tabla6[#All],14,FALSE)</f>
        <v>Termico Solar</v>
      </c>
      <c r="U2405" s="284" t="e">
        <f>(IF(Tabla4[[#This Row],[Familia]]="termico solar",Tabla4[[#This Row],[Utilidad Total]]*6%,Tabla4[[#This Row],[Utilidad Total]]*11.5%))/Tabla4[[#This Row],[Total]]</f>
        <v>#N/A</v>
      </c>
      <c r="V2405" s="282" t="e">
        <f>+Tabla4[[#This Row],[Comisión Calculada]]*Tabla4[[#This Row],[Total]]</f>
        <v>#N/A</v>
      </c>
    </row>
    <row r="2406" spans="1:22" hidden="1" x14ac:dyDescent="0.25">
      <c r="A2406" s="100">
        <v>45777</v>
      </c>
      <c r="B2406" t="str">
        <f t="shared" si="119"/>
        <v>April</v>
      </c>
      <c r="C2406" s="46" t="s">
        <v>280</v>
      </c>
      <c r="F2406" s="366" t="s">
        <v>1621</v>
      </c>
      <c r="G2406" s="46" t="s">
        <v>208</v>
      </c>
      <c r="H2406" s="46">
        <v>1</v>
      </c>
      <c r="I2406" s="51">
        <v>189.75</v>
      </c>
      <c r="J2406" s="281">
        <f>++Tabla4[[#This Row],[Precio Bruto]]*1.16</f>
        <v>220.10999999999999</v>
      </c>
      <c r="K2406" s="281">
        <f>+Tabla4[[#This Row],[Precio Unitario Neto]]*Tabla4[[#Headers],[20.85%]]</f>
        <v>45.892934999999994</v>
      </c>
      <c r="L2406" s="282">
        <f>++Tabla4[[#This Row],[Precio Unitario Neto]]-Tabla4[[#This Row],[20.85%]]</f>
        <v>174.21706499999999</v>
      </c>
      <c r="M2406" s="282" t="e">
        <f>(INDEX(Tabla6[#All],MATCH(Tabla4[[#This Row],[Producto]],Tabla6[[#All],[PRODUCTO]],0),MATCH(Tabla4[[#This Row],[Mes]],Tabla6[#Headers],0)))*(1+Catalogos!$L$2)</f>
        <v>#N/A</v>
      </c>
      <c r="N2406" s="283" t="e">
        <f>+(Tabla4[[#This Row],[Precio Descontado]]-Tabla4[[#This Row],[Precio Base]])*Tabla4[[#This Row],[Cantidad]]</f>
        <v>#N/A</v>
      </c>
      <c r="O2406" s="284" t="e">
        <f>++Tabla4[[#This Row],[Utilidad Total]]/Tabla4[[#This Row],[Total]]</f>
        <v>#N/A</v>
      </c>
      <c r="P2406" s="282">
        <f>++Tabla4[[#This Row],[Precio Descontado]]*Tabla4[[#This Row],[Cantidad]]</f>
        <v>174.21706499999999</v>
      </c>
      <c r="Q2406" s="282" t="e">
        <f>(INDEX(Tabla6[#All],MATCH(Tabla4[[#This Row],[Producto]],Tabla6[[#All],[PRODUCTO]],0),MATCH(Tabla4[[#This Row],[Mes]],Tabla6[#Headers],0)))</f>
        <v>#N/A</v>
      </c>
      <c r="R2406" s="282" t="e">
        <f>++Tabla4[[#This Row],[Precio Unitario Neto]]-Tabla4[[#This Row],[20.85%]]-Tabla4[[#This Row],[Costo]]</f>
        <v>#N/A</v>
      </c>
      <c r="S2406" s="282" t="e">
        <f>++Tabla4[[#This Row],[U. Bruta Uni]]*Tabla4[[#This Row],[Cantidad]]</f>
        <v>#N/A</v>
      </c>
      <c r="T2406" s="369" t="str">
        <f>VLOOKUP(Tabla4[[#This Row],[Producto]],Tabla6[#All],14,FALSE)</f>
        <v>Termico Solar</v>
      </c>
      <c r="U2406" s="284" t="e">
        <f>(IF(Tabla4[[#This Row],[Familia]]="termico solar",Tabla4[[#This Row],[Utilidad Total]]*6%,Tabla4[[#This Row],[Utilidad Total]]*11.5%))/Tabla4[[#This Row],[Total]]</f>
        <v>#N/A</v>
      </c>
      <c r="V2406" s="282" t="e">
        <f>+Tabla4[[#This Row],[Comisión Calculada]]*Tabla4[[#This Row],[Total]]</f>
        <v>#N/A</v>
      </c>
    </row>
    <row r="2407" spans="1:22" hidden="1" x14ac:dyDescent="0.25">
      <c r="A2407" s="100">
        <v>45777</v>
      </c>
      <c r="B2407" t="str">
        <f t="shared" si="119"/>
        <v>April</v>
      </c>
      <c r="C2407" s="46" t="s">
        <v>280</v>
      </c>
      <c r="F2407" s="366" t="s">
        <v>1621</v>
      </c>
      <c r="G2407" s="46" t="s">
        <v>209</v>
      </c>
      <c r="H2407" s="46">
        <v>1</v>
      </c>
      <c r="I2407" s="51">
        <v>347.48</v>
      </c>
      <c r="J2407" s="281">
        <f>++Tabla4[[#This Row],[Precio Bruto]]*1.16</f>
        <v>403.07679999999999</v>
      </c>
      <c r="K2407" s="281">
        <f>+Tabla4[[#This Row],[Precio Unitario Neto]]*Tabla4[[#Headers],[20.85%]]</f>
        <v>84.041512799999992</v>
      </c>
      <c r="L2407" s="282">
        <f>++Tabla4[[#This Row],[Precio Unitario Neto]]-Tabla4[[#This Row],[20.85%]]</f>
        <v>319.03528719999997</v>
      </c>
      <c r="M2407" s="282" t="e">
        <f>(INDEX(Tabla6[#All],MATCH(Tabla4[[#This Row],[Producto]],Tabla6[[#All],[PRODUCTO]],0),MATCH(Tabla4[[#This Row],[Mes]],Tabla6[#Headers],0)))*(1+Catalogos!$L$2)</f>
        <v>#N/A</v>
      </c>
      <c r="N2407" s="283" t="e">
        <f>+(Tabla4[[#This Row],[Precio Descontado]]-Tabla4[[#This Row],[Precio Base]])*Tabla4[[#This Row],[Cantidad]]</f>
        <v>#N/A</v>
      </c>
      <c r="O2407" s="284" t="e">
        <f>++Tabla4[[#This Row],[Utilidad Total]]/Tabla4[[#This Row],[Total]]</f>
        <v>#N/A</v>
      </c>
      <c r="P2407" s="282">
        <f>++Tabla4[[#This Row],[Precio Descontado]]*Tabla4[[#This Row],[Cantidad]]</f>
        <v>319.03528719999997</v>
      </c>
      <c r="Q2407" s="282" t="e">
        <f>(INDEX(Tabla6[#All],MATCH(Tabla4[[#This Row],[Producto]],Tabla6[[#All],[PRODUCTO]],0),MATCH(Tabla4[[#This Row],[Mes]],Tabla6[#Headers],0)))</f>
        <v>#N/A</v>
      </c>
      <c r="R2407" s="282" t="e">
        <f>++Tabla4[[#This Row],[Precio Unitario Neto]]-Tabla4[[#This Row],[20.85%]]-Tabla4[[#This Row],[Costo]]</f>
        <v>#N/A</v>
      </c>
      <c r="S2407" s="282" t="e">
        <f>++Tabla4[[#This Row],[U. Bruta Uni]]*Tabla4[[#This Row],[Cantidad]]</f>
        <v>#N/A</v>
      </c>
      <c r="T2407" s="369" t="str">
        <f>VLOOKUP(Tabla4[[#This Row],[Producto]],Tabla6[#All],14,FALSE)</f>
        <v>Termico Solar</v>
      </c>
      <c r="U2407" s="284" t="e">
        <f>(IF(Tabla4[[#This Row],[Familia]]="termico solar",Tabla4[[#This Row],[Utilidad Total]]*6%,Tabla4[[#This Row],[Utilidad Total]]*11.5%))/Tabla4[[#This Row],[Total]]</f>
        <v>#N/A</v>
      </c>
      <c r="V2407" s="282" t="e">
        <f>+Tabla4[[#This Row],[Comisión Calculada]]*Tabla4[[#This Row],[Total]]</f>
        <v>#N/A</v>
      </c>
    </row>
    <row r="2408" spans="1:22" hidden="1" x14ac:dyDescent="0.25">
      <c r="A2408" s="100">
        <v>45777</v>
      </c>
      <c r="B2408" t="str">
        <f t="shared" si="119"/>
        <v>April</v>
      </c>
      <c r="C2408" s="46" t="s">
        <v>280</v>
      </c>
      <c r="F2408" s="366" t="s">
        <v>1622</v>
      </c>
      <c r="G2408" s="46" t="s">
        <v>18</v>
      </c>
      <c r="H2408" s="46">
        <v>1</v>
      </c>
      <c r="I2408" s="51">
        <v>5367.65</v>
      </c>
      <c r="J2408" s="281">
        <f>++Tabla4[[#This Row],[Precio Bruto]]*1.16</f>
        <v>6226.4739999999993</v>
      </c>
      <c r="K2408" s="281">
        <f>+Tabla4[[#This Row],[Precio Unitario Neto]]*Tabla4[[#Headers],[20.85%]]</f>
        <v>1298.2198289999999</v>
      </c>
      <c r="L2408" s="282">
        <f>++Tabla4[[#This Row],[Precio Unitario Neto]]-Tabla4[[#This Row],[20.85%]]</f>
        <v>4928.2541709999996</v>
      </c>
      <c r="M2408" s="282" t="e">
        <f>(INDEX(Tabla6[#All],MATCH(Tabla4[[#This Row],[Producto]],Tabla6[[#All],[PRODUCTO]],0),MATCH(Tabla4[[#This Row],[Mes]],Tabla6[#Headers],0)))*(1+Catalogos!$L$2)</f>
        <v>#N/A</v>
      </c>
      <c r="N2408" s="283" t="e">
        <f>+(Tabla4[[#This Row],[Precio Descontado]]-Tabla4[[#This Row],[Precio Base]])*Tabla4[[#This Row],[Cantidad]]</f>
        <v>#N/A</v>
      </c>
      <c r="O2408" s="284" t="e">
        <f>++Tabla4[[#This Row],[Utilidad Total]]/Tabla4[[#This Row],[Total]]</f>
        <v>#N/A</v>
      </c>
      <c r="P2408" s="282">
        <f>++Tabla4[[#This Row],[Precio Descontado]]*Tabla4[[#This Row],[Cantidad]]</f>
        <v>4928.2541709999996</v>
      </c>
      <c r="Q2408" s="282" t="e">
        <f>(INDEX(Tabla6[#All],MATCH(Tabla4[[#This Row],[Producto]],Tabla6[[#All],[PRODUCTO]],0),MATCH(Tabla4[[#This Row],[Mes]],Tabla6[#Headers],0)))</f>
        <v>#N/A</v>
      </c>
      <c r="R2408" s="282" t="e">
        <f>++Tabla4[[#This Row],[Precio Unitario Neto]]-Tabla4[[#This Row],[20.85%]]-Tabla4[[#This Row],[Costo]]</f>
        <v>#N/A</v>
      </c>
      <c r="S2408" s="282" t="e">
        <f>++Tabla4[[#This Row],[U. Bruta Uni]]*Tabla4[[#This Row],[Cantidad]]</f>
        <v>#N/A</v>
      </c>
      <c r="T2408" s="369" t="str">
        <f>VLOOKUP(Tabla4[[#This Row],[Producto]],Tabla6[#All],14,FALSE)</f>
        <v>Termico Solar</v>
      </c>
      <c r="U2408" s="284" t="e">
        <f>(IF(Tabla4[[#This Row],[Familia]]="termico solar",Tabla4[[#This Row],[Utilidad Total]]*6%,Tabla4[[#This Row],[Utilidad Total]]*11.5%))/Tabla4[[#This Row],[Total]]</f>
        <v>#N/A</v>
      </c>
      <c r="V2408" s="282" t="e">
        <f>+Tabla4[[#This Row],[Comisión Calculada]]*Tabla4[[#This Row],[Total]]</f>
        <v>#N/A</v>
      </c>
    </row>
    <row r="2409" spans="1:22" hidden="1" x14ac:dyDescent="0.25">
      <c r="A2409" s="100">
        <v>45777</v>
      </c>
      <c r="B2409" t="str">
        <f t="shared" si="119"/>
        <v>April</v>
      </c>
      <c r="C2409" s="46" t="s">
        <v>280</v>
      </c>
      <c r="F2409" s="366" t="s">
        <v>1623</v>
      </c>
      <c r="G2409" s="46" t="s">
        <v>83</v>
      </c>
      <c r="H2409" s="46">
        <v>3</v>
      </c>
      <c r="I2409" s="51">
        <v>8858.76</v>
      </c>
      <c r="J2409" s="281">
        <f>++Tabla4[[#This Row],[Precio Bruto]]*1.16</f>
        <v>10276.161599999999</v>
      </c>
      <c r="K2409" s="281">
        <f>+Tabla4[[#This Row],[Precio Unitario Neto]]*Tabla4[[#Headers],[20.85%]]</f>
        <v>2142.5796935999997</v>
      </c>
      <c r="L2409" s="282">
        <f>++Tabla4[[#This Row],[Precio Unitario Neto]]-Tabla4[[#This Row],[20.85%]]</f>
        <v>8133.5819063999998</v>
      </c>
      <c r="M2409" s="282" t="e">
        <f>(INDEX(Tabla6[#All],MATCH(Tabla4[[#This Row],[Producto]],Tabla6[[#All],[PRODUCTO]],0),MATCH(Tabla4[[#This Row],[Mes]],Tabla6[#Headers],0)))*(1+Catalogos!$L$2)</f>
        <v>#N/A</v>
      </c>
      <c r="N2409" s="283" t="e">
        <f>+(Tabla4[[#This Row],[Precio Descontado]]-Tabla4[[#This Row],[Precio Base]])*Tabla4[[#This Row],[Cantidad]]</f>
        <v>#N/A</v>
      </c>
      <c r="O2409" s="284" t="e">
        <f>++Tabla4[[#This Row],[Utilidad Total]]/Tabla4[[#This Row],[Total]]</f>
        <v>#N/A</v>
      </c>
      <c r="P2409" s="282">
        <f>++Tabla4[[#This Row],[Precio Descontado]]*Tabla4[[#This Row],[Cantidad]]</f>
        <v>24400.7457192</v>
      </c>
      <c r="Q2409" s="282" t="e">
        <f>(INDEX(Tabla6[#All],MATCH(Tabla4[[#This Row],[Producto]],Tabla6[[#All],[PRODUCTO]],0),MATCH(Tabla4[[#This Row],[Mes]],Tabla6[#Headers],0)))</f>
        <v>#N/A</v>
      </c>
      <c r="R2409" s="282" t="e">
        <f>++Tabla4[[#This Row],[Precio Unitario Neto]]-Tabla4[[#This Row],[20.85%]]-Tabla4[[#This Row],[Costo]]</f>
        <v>#N/A</v>
      </c>
      <c r="S2409" s="282" t="e">
        <f>++Tabla4[[#This Row],[U. Bruta Uni]]*Tabla4[[#This Row],[Cantidad]]</f>
        <v>#N/A</v>
      </c>
      <c r="T2409" s="369" t="str">
        <f>VLOOKUP(Tabla4[[#This Row],[Producto]],Tabla6[#All],14,FALSE)</f>
        <v>Termico Solar</v>
      </c>
      <c r="U2409" s="284" t="e">
        <f>(IF(Tabla4[[#This Row],[Familia]]="termico solar",Tabla4[[#This Row],[Utilidad Total]]*6%,Tabla4[[#This Row],[Utilidad Total]]*11.5%))/Tabla4[[#This Row],[Total]]</f>
        <v>#N/A</v>
      </c>
      <c r="V2409" s="282" t="e">
        <f>+Tabla4[[#This Row],[Comisión Calculada]]*Tabla4[[#This Row],[Total]]</f>
        <v>#N/A</v>
      </c>
    </row>
    <row r="2410" spans="1:22" hidden="1" x14ac:dyDescent="0.25">
      <c r="A2410" s="100">
        <v>45777</v>
      </c>
      <c r="B2410" t="str">
        <f t="shared" si="119"/>
        <v>April</v>
      </c>
      <c r="C2410" s="46" t="s">
        <v>280</v>
      </c>
      <c r="F2410" s="366" t="s">
        <v>1623</v>
      </c>
      <c r="G2410" s="46" t="s">
        <v>394</v>
      </c>
      <c r="H2410" s="46">
        <v>16</v>
      </c>
      <c r="I2410" s="51">
        <v>224.29</v>
      </c>
      <c r="J2410" s="281">
        <f>++Tabla4[[#This Row],[Precio Bruto]]*1.16</f>
        <v>260.1764</v>
      </c>
      <c r="K2410" s="281">
        <f>+Tabla4[[#This Row],[Precio Unitario Neto]]*Tabla4[[#Headers],[20.85%]]</f>
        <v>54.246779400000001</v>
      </c>
      <c r="L2410" s="282">
        <f>++Tabla4[[#This Row],[Precio Unitario Neto]]-Tabla4[[#This Row],[20.85%]]</f>
        <v>205.92962059999999</v>
      </c>
      <c r="M2410" s="282" t="e">
        <f>(INDEX(Tabla6[#All],MATCH(Tabla4[[#This Row],[Producto]],Tabla6[[#All],[PRODUCTO]],0),MATCH(Tabla4[[#This Row],[Mes]],Tabla6[#Headers],0)))*(1+Catalogos!$L$2)</f>
        <v>#N/A</v>
      </c>
      <c r="N2410" s="283" t="e">
        <f>+(Tabla4[[#This Row],[Precio Descontado]]-Tabla4[[#This Row],[Precio Base]])*Tabla4[[#This Row],[Cantidad]]</f>
        <v>#N/A</v>
      </c>
      <c r="O2410" s="284" t="e">
        <f>++Tabla4[[#This Row],[Utilidad Total]]/Tabla4[[#This Row],[Total]]</f>
        <v>#N/A</v>
      </c>
      <c r="P2410" s="282">
        <f>++Tabla4[[#This Row],[Precio Descontado]]*Tabla4[[#This Row],[Cantidad]]</f>
        <v>3294.8739295999999</v>
      </c>
      <c r="Q2410" s="282" t="e">
        <f>(INDEX(Tabla6[#All],MATCH(Tabla4[[#This Row],[Producto]],Tabla6[[#All],[PRODUCTO]],0),MATCH(Tabla4[[#This Row],[Mes]],Tabla6[#Headers],0)))</f>
        <v>#N/A</v>
      </c>
      <c r="R2410" s="282" t="e">
        <f>++Tabla4[[#This Row],[Precio Unitario Neto]]-Tabla4[[#This Row],[20.85%]]-Tabla4[[#This Row],[Costo]]</f>
        <v>#N/A</v>
      </c>
      <c r="S2410" s="282" t="e">
        <f>++Tabla4[[#This Row],[U. Bruta Uni]]*Tabla4[[#This Row],[Cantidad]]</f>
        <v>#N/A</v>
      </c>
      <c r="T2410" s="369" t="str">
        <f>VLOOKUP(Tabla4[[#This Row],[Producto]],Tabla6[#All],14,FALSE)</f>
        <v>Termico Solar</v>
      </c>
      <c r="U2410" s="284" t="e">
        <f>(IF(Tabla4[[#This Row],[Familia]]="termico solar",Tabla4[[#This Row],[Utilidad Total]]*6%,Tabla4[[#This Row],[Utilidad Total]]*11.5%))/Tabla4[[#This Row],[Total]]</f>
        <v>#N/A</v>
      </c>
      <c r="V2410" s="282" t="e">
        <f>+Tabla4[[#This Row],[Comisión Calculada]]*Tabla4[[#This Row],[Total]]</f>
        <v>#N/A</v>
      </c>
    </row>
    <row r="2411" spans="1:22" hidden="1" x14ac:dyDescent="0.25">
      <c r="A2411" s="100">
        <v>45777</v>
      </c>
      <c r="B2411" t="str">
        <f t="shared" si="119"/>
        <v>April</v>
      </c>
      <c r="C2411" s="46" t="s">
        <v>280</v>
      </c>
      <c r="F2411" s="366" t="s">
        <v>1624</v>
      </c>
      <c r="G2411" s="46" t="s">
        <v>83</v>
      </c>
      <c r="H2411" s="46">
        <v>2</v>
      </c>
      <c r="I2411" s="51">
        <v>8858.76</v>
      </c>
      <c r="J2411" s="281">
        <f>++Tabla4[[#This Row],[Precio Bruto]]*1.16</f>
        <v>10276.161599999999</v>
      </c>
      <c r="K2411" s="281">
        <f>+Tabla4[[#This Row],[Precio Unitario Neto]]*Tabla4[[#Headers],[20.85%]]</f>
        <v>2142.5796935999997</v>
      </c>
      <c r="L2411" s="282">
        <f>++Tabla4[[#This Row],[Precio Unitario Neto]]-Tabla4[[#This Row],[20.85%]]</f>
        <v>8133.5819063999998</v>
      </c>
      <c r="M2411" s="282" t="e">
        <f>(INDEX(Tabla6[#All],MATCH(Tabla4[[#This Row],[Producto]],Tabla6[[#All],[PRODUCTO]],0),MATCH(Tabla4[[#This Row],[Mes]],Tabla6[#Headers],0)))*(1+Catalogos!$L$2)</f>
        <v>#N/A</v>
      </c>
      <c r="N2411" s="283" t="e">
        <f>+(Tabla4[[#This Row],[Precio Descontado]]-Tabla4[[#This Row],[Precio Base]])*Tabla4[[#This Row],[Cantidad]]</f>
        <v>#N/A</v>
      </c>
      <c r="O2411" s="284" t="e">
        <f>++Tabla4[[#This Row],[Utilidad Total]]/Tabla4[[#This Row],[Total]]</f>
        <v>#N/A</v>
      </c>
      <c r="P2411" s="282">
        <f>++Tabla4[[#This Row],[Precio Descontado]]*Tabla4[[#This Row],[Cantidad]]</f>
        <v>16267.1638128</v>
      </c>
      <c r="Q2411" s="282" t="e">
        <f>(INDEX(Tabla6[#All],MATCH(Tabla4[[#This Row],[Producto]],Tabla6[[#All],[PRODUCTO]],0),MATCH(Tabla4[[#This Row],[Mes]],Tabla6[#Headers],0)))</f>
        <v>#N/A</v>
      </c>
      <c r="R2411" s="282" t="e">
        <f>++Tabla4[[#This Row],[Precio Unitario Neto]]-Tabla4[[#This Row],[20.85%]]-Tabla4[[#This Row],[Costo]]</f>
        <v>#N/A</v>
      </c>
      <c r="S2411" s="282" t="e">
        <f>++Tabla4[[#This Row],[U. Bruta Uni]]*Tabla4[[#This Row],[Cantidad]]</f>
        <v>#N/A</v>
      </c>
      <c r="T2411" s="369" t="str">
        <f>VLOOKUP(Tabla4[[#This Row],[Producto]],Tabla6[#All],14,FALSE)</f>
        <v>Termico Solar</v>
      </c>
      <c r="U2411" s="284" t="e">
        <f>(IF(Tabla4[[#This Row],[Familia]]="termico solar",Tabla4[[#This Row],[Utilidad Total]]*6%,Tabla4[[#This Row],[Utilidad Total]]*11.5%))/Tabla4[[#This Row],[Total]]</f>
        <v>#N/A</v>
      </c>
      <c r="V2411" s="282" t="e">
        <f>+Tabla4[[#This Row],[Comisión Calculada]]*Tabla4[[#This Row],[Total]]</f>
        <v>#N/A</v>
      </c>
    </row>
    <row r="2412" spans="1:22" hidden="1" x14ac:dyDescent="0.25">
      <c r="A2412" s="100">
        <v>45777</v>
      </c>
      <c r="B2412" t="str">
        <f t="shared" si="119"/>
        <v>April</v>
      </c>
      <c r="C2412" s="46" t="s">
        <v>280</v>
      </c>
      <c r="F2412" s="366" t="s">
        <v>1624</v>
      </c>
      <c r="G2412" s="46" t="s">
        <v>17</v>
      </c>
      <c r="H2412" s="46">
        <v>1</v>
      </c>
      <c r="I2412" s="51">
        <v>4622.28</v>
      </c>
      <c r="J2412" s="281">
        <f>++Tabla4[[#This Row],[Precio Bruto]]*1.16</f>
        <v>5361.8447999999989</v>
      </c>
      <c r="K2412" s="281">
        <f>+Tabla4[[#This Row],[Precio Unitario Neto]]*Tabla4[[#Headers],[20.85%]]</f>
        <v>1117.9446407999997</v>
      </c>
      <c r="L2412" s="282">
        <f>++Tabla4[[#This Row],[Precio Unitario Neto]]-Tabla4[[#This Row],[20.85%]]</f>
        <v>4243.9001591999995</v>
      </c>
      <c r="M2412" s="282" t="e">
        <f>(INDEX(Tabla6[#All],MATCH(Tabla4[[#This Row],[Producto]],Tabla6[[#All],[PRODUCTO]],0),MATCH(Tabla4[[#This Row],[Mes]],Tabla6[#Headers],0)))*(1+Catalogos!$L$2)</f>
        <v>#N/A</v>
      </c>
      <c r="N2412" s="283" t="e">
        <f>+(Tabla4[[#This Row],[Precio Descontado]]-Tabla4[[#This Row],[Precio Base]])*Tabla4[[#This Row],[Cantidad]]</f>
        <v>#N/A</v>
      </c>
      <c r="O2412" s="284" t="e">
        <f>++Tabla4[[#This Row],[Utilidad Total]]/Tabla4[[#This Row],[Total]]</f>
        <v>#N/A</v>
      </c>
      <c r="P2412" s="282">
        <f>++Tabla4[[#This Row],[Precio Descontado]]*Tabla4[[#This Row],[Cantidad]]</f>
        <v>4243.9001591999995</v>
      </c>
      <c r="Q2412" s="282" t="e">
        <f>(INDEX(Tabla6[#All],MATCH(Tabla4[[#This Row],[Producto]],Tabla6[[#All],[PRODUCTO]],0),MATCH(Tabla4[[#This Row],[Mes]],Tabla6[#Headers],0)))</f>
        <v>#N/A</v>
      </c>
      <c r="R2412" s="282" t="e">
        <f>++Tabla4[[#This Row],[Precio Unitario Neto]]-Tabla4[[#This Row],[20.85%]]-Tabla4[[#This Row],[Costo]]</f>
        <v>#N/A</v>
      </c>
      <c r="S2412" s="282" t="e">
        <f>++Tabla4[[#This Row],[U. Bruta Uni]]*Tabla4[[#This Row],[Cantidad]]</f>
        <v>#N/A</v>
      </c>
      <c r="T2412" s="369" t="str">
        <f>VLOOKUP(Tabla4[[#This Row],[Producto]],Tabla6[#All],14,FALSE)</f>
        <v>Termico Solar</v>
      </c>
      <c r="U2412" s="284" t="e">
        <f>(IF(Tabla4[[#This Row],[Familia]]="termico solar",Tabla4[[#This Row],[Utilidad Total]]*6%,Tabla4[[#This Row],[Utilidad Total]]*11.5%))/Tabla4[[#This Row],[Total]]</f>
        <v>#N/A</v>
      </c>
      <c r="V2412" s="282" t="e">
        <f>+Tabla4[[#This Row],[Comisión Calculada]]*Tabla4[[#This Row],[Total]]</f>
        <v>#N/A</v>
      </c>
    </row>
    <row r="2413" spans="1:22" hidden="1" x14ac:dyDescent="0.25">
      <c r="A2413" s="100">
        <v>45777</v>
      </c>
      <c r="B2413" t="str">
        <f t="shared" si="119"/>
        <v>April</v>
      </c>
      <c r="C2413" s="46" t="s">
        <v>280</v>
      </c>
      <c r="F2413" s="366" t="s">
        <v>1624</v>
      </c>
      <c r="G2413" s="46" t="s">
        <v>18</v>
      </c>
      <c r="H2413" s="46">
        <v>1</v>
      </c>
      <c r="I2413" s="51">
        <v>5367.65</v>
      </c>
      <c r="J2413" s="281">
        <f>++Tabla4[[#This Row],[Precio Bruto]]*1.16</f>
        <v>6226.4739999999993</v>
      </c>
      <c r="K2413" s="281">
        <f>+Tabla4[[#This Row],[Precio Unitario Neto]]*Tabla4[[#Headers],[20.85%]]</f>
        <v>1298.2198289999999</v>
      </c>
      <c r="L2413" s="282">
        <f>++Tabla4[[#This Row],[Precio Unitario Neto]]-Tabla4[[#This Row],[20.85%]]</f>
        <v>4928.2541709999996</v>
      </c>
      <c r="M2413" s="282" t="e">
        <f>(INDEX(Tabla6[#All],MATCH(Tabla4[[#This Row],[Producto]],Tabla6[[#All],[PRODUCTO]],0),MATCH(Tabla4[[#This Row],[Mes]],Tabla6[#Headers],0)))*(1+Catalogos!$L$2)</f>
        <v>#N/A</v>
      </c>
      <c r="N2413" s="283" t="e">
        <f>+(Tabla4[[#This Row],[Precio Descontado]]-Tabla4[[#This Row],[Precio Base]])*Tabla4[[#This Row],[Cantidad]]</f>
        <v>#N/A</v>
      </c>
      <c r="O2413" s="284" t="e">
        <f>++Tabla4[[#This Row],[Utilidad Total]]/Tabla4[[#This Row],[Total]]</f>
        <v>#N/A</v>
      </c>
      <c r="P2413" s="282">
        <f>++Tabla4[[#This Row],[Precio Descontado]]*Tabla4[[#This Row],[Cantidad]]</f>
        <v>4928.2541709999996</v>
      </c>
      <c r="Q2413" s="282" t="e">
        <f>(INDEX(Tabla6[#All],MATCH(Tabla4[[#This Row],[Producto]],Tabla6[[#All],[PRODUCTO]],0),MATCH(Tabla4[[#This Row],[Mes]],Tabla6[#Headers],0)))</f>
        <v>#N/A</v>
      </c>
      <c r="R2413" s="282" t="e">
        <f>++Tabla4[[#This Row],[Precio Unitario Neto]]-Tabla4[[#This Row],[20.85%]]-Tabla4[[#This Row],[Costo]]</f>
        <v>#N/A</v>
      </c>
      <c r="S2413" s="282" t="e">
        <f>++Tabla4[[#This Row],[U. Bruta Uni]]*Tabla4[[#This Row],[Cantidad]]</f>
        <v>#N/A</v>
      </c>
      <c r="T2413" s="369" t="str">
        <f>VLOOKUP(Tabla4[[#This Row],[Producto]],Tabla6[#All],14,FALSE)</f>
        <v>Termico Solar</v>
      </c>
      <c r="U2413" s="284" t="e">
        <f>(IF(Tabla4[[#This Row],[Familia]]="termico solar",Tabla4[[#This Row],[Utilidad Total]]*6%,Tabla4[[#This Row],[Utilidad Total]]*11.5%))/Tabla4[[#This Row],[Total]]</f>
        <v>#N/A</v>
      </c>
      <c r="V2413" s="282" t="e">
        <f>+Tabla4[[#This Row],[Comisión Calculada]]*Tabla4[[#This Row],[Total]]</f>
        <v>#N/A</v>
      </c>
    </row>
    <row r="2414" spans="1:22" hidden="1" x14ac:dyDescent="0.25">
      <c r="A2414" s="100">
        <v>45777</v>
      </c>
      <c r="B2414" t="str">
        <f t="shared" si="119"/>
        <v>April</v>
      </c>
      <c r="C2414" s="46" t="s">
        <v>280</v>
      </c>
      <c r="F2414" s="366" t="s">
        <v>1624</v>
      </c>
      <c r="G2414" s="46" t="s">
        <v>19</v>
      </c>
      <c r="H2414" s="46">
        <v>1</v>
      </c>
      <c r="I2414" s="51">
        <v>6412.03</v>
      </c>
      <c r="J2414" s="281">
        <f>++Tabla4[[#This Row],[Precio Bruto]]*1.16</f>
        <v>7437.9547999999995</v>
      </c>
      <c r="K2414" s="281">
        <f>+Tabla4[[#This Row],[Precio Unitario Neto]]*Tabla4[[#Headers],[20.85%]]</f>
        <v>1550.8135757999999</v>
      </c>
      <c r="L2414" s="282">
        <f>++Tabla4[[#This Row],[Precio Unitario Neto]]-Tabla4[[#This Row],[20.85%]]</f>
        <v>5887.1412241999997</v>
      </c>
      <c r="M2414" s="282" t="e">
        <f>(INDEX(Tabla6[#All],MATCH(Tabla4[[#This Row],[Producto]],Tabla6[[#All],[PRODUCTO]],0),MATCH(Tabla4[[#This Row],[Mes]],Tabla6[#Headers],0)))*(1+Catalogos!$L$2)</f>
        <v>#N/A</v>
      </c>
      <c r="N2414" s="283" t="e">
        <f>+(Tabla4[[#This Row],[Precio Descontado]]-Tabla4[[#This Row],[Precio Base]])*Tabla4[[#This Row],[Cantidad]]</f>
        <v>#N/A</v>
      </c>
      <c r="O2414" s="284" t="e">
        <f>++Tabla4[[#This Row],[Utilidad Total]]/Tabla4[[#This Row],[Total]]</f>
        <v>#N/A</v>
      </c>
      <c r="P2414" s="282">
        <f>++Tabla4[[#This Row],[Precio Descontado]]*Tabla4[[#This Row],[Cantidad]]</f>
        <v>5887.1412241999997</v>
      </c>
      <c r="Q2414" s="282" t="e">
        <f>(INDEX(Tabla6[#All],MATCH(Tabla4[[#This Row],[Producto]],Tabla6[[#All],[PRODUCTO]],0),MATCH(Tabla4[[#This Row],[Mes]],Tabla6[#Headers],0)))</f>
        <v>#N/A</v>
      </c>
      <c r="R2414" s="282" t="e">
        <f>++Tabla4[[#This Row],[Precio Unitario Neto]]-Tabla4[[#This Row],[20.85%]]-Tabla4[[#This Row],[Costo]]</f>
        <v>#N/A</v>
      </c>
      <c r="S2414" s="282" t="e">
        <f>++Tabla4[[#This Row],[U. Bruta Uni]]*Tabla4[[#This Row],[Cantidad]]</f>
        <v>#N/A</v>
      </c>
      <c r="T2414" s="369" t="str">
        <f>VLOOKUP(Tabla4[[#This Row],[Producto]],Tabla6[#All],14,FALSE)</f>
        <v>Termico Solar</v>
      </c>
      <c r="U2414" s="284" t="e">
        <f>(IF(Tabla4[[#This Row],[Familia]]="termico solar",Tabla4[[#This Row],[Utilidad Total]]*6%,Tabla4[[#This Row],[Utilidad Total]]*11.5%))/Tabla4[[#This Row],[Total]]</f>
        <v>#N/A</v>
      </c>
      <c r="V2414" s="282" t="e">
        <f>+Tabla4[[#This Row],[Comisión Calculada]]*Tabla4[[#This Row],[Total]]</f>
        <v>#N/A</v>
      </c>
    </row>
    <row r="2415" spans="1:22" hidden="1" x14ac:dyDescent="0.25">
      <c r="A2415" s="100">
        <v>45777</v>
      </c>
      <c r="B2415" t="str">
        <f t="shared" si="119"/>
        <v>April</v>
      </c>
      <c r="C2415" s="46" t="s">
        <v>280</v>
      </c>
      <c r="F2415" s="366" t="s">
        <v>1624</v>
      </c>
      <c r="G2415" s="46" t="s">
        <v>16</v>
      </c>
      <c r="H2415" s="46">
        <v>2</v>
      </c>
      <c r="I2415" s="51">
        <v>4103.8500000000004</v>
      </c>
      <c r="J2415" s="281">
        <f>++Tabla4[[#This Row],[Precio Bruto]]*1.16</f>
        <v>4760.4660000000003</v>
      </c>
      <c r="K2415" s="281">
        <f>+Tabla4[[#This Row],[Precio Unitario Neto]]*Tabla4[[#Headers],[20.85%]]</f>
        <v>992.55716100000006</v>
      </c>
      <c r="L2415" s="282">
        <f>++Tabla4[[#This Row],[Precio Unitario Neto]]-Tabla4[[#This Row],[20.85%]]</f>
        <v>3767.9088390000002</v>
      </c>
      <c r="M2415" s="282" t="e">
        <f>(INDEX(Tabla6[#All],MATCH(Tabla4[[#This Row],[Producto]],Tabla6[[#All],[PRODUCTO]],0),MATCH(Tabla4[[#This Row],[Mes]],Tabla6[#Headers],0)))*(1+Catalogos!$L$2)</f>
        <v>#N/A</v>
      </c>
      <c r="N2415" s="283" t="e">
        <f>+(Tabla4[[#This Row],[Precio Descontado]]-Tabla4[[#This Row],[Precio Base]])*Tabla4[[#This Row],[Cantidad]]</f>
        <v>#N/A</v>
      </c>
      <c r="O2415" s="284" t="e">
        <f>++Tabla4[[#This Row],[Utilidad Total]]/Tabla4[[#This Row],[Total]]</f>
        <v>#N/A</v>
      </c>
      <c r="P2415" s="282">
        <f>++Tabla4[[#This Row],[Precio Descontado]]*Tabla4[[#This Row],[Cantidad]]</f>
        <v>7535.8176780000003</v>
      </c>
      <c r="Q2415" s="282" t="e">
        <f>(INDEX(Tabla6[#All],MATCH(Tabla4[[#This Row],[Producto]],Tabla6[[#All],[PRODUCTO]],0),MATCH(Tabla4[[#This Row],[Mes]],Tabla6[#Headers],0)))</f>
        <v>#N/A</v>
      </c>
      <c r="R2415" s="282" t="e">
        <f>++Tabla4[[#This Row],[Precio Unitario Neto]]-Tabla4[[#This Row],[20.85%]]-Tabla4[[#This Row],[Costo]]</f>
        <v>#N/A</v>
      </c>
      <c r="S2415" s="282" t="e">
        <f>++Tabla4[[#This Row],[U. Bruta Uni]]*Tabla4[[#This Row],[Cantidad]]</f>
        <v>#N/A</v>
      </c>
      <c r="T2415" s="369" t="str">
        <f>VLOOKUP(Tabla4[[#This Row],[Producto]],Tabla6[#All],14,FALSE)</f>
        <v>Termico Solar</v>
      </c>
      <c r="U2415" s="284" t="e">
        <f>(IF(Tabla4[[#This Row],[Familia]]="termico solar",Tabla4[[#This Row],[Utilidad Total]]*6%,Tabla4[[#This Row],[Utilidad Total]]*11.5%))/Tabla4[[#This Row],[Total]]</f>
        <v>#N/A</v>
      </c>
      <c r="V2415" s="282" t="e">
        <f>+Tabla4[[#This Row],[Comisión Calculada]]*Tabla4[[#This Row],[Total]]</f>
        <v>#N/A</v>
      </c>
    </row>
    <row r="2416" spans="1:22" hidden="1" x14ac:dyDescent="0.25">
      <c r="A2416" s="100">
        <v>45777</v>
      </c>
      <c r="B2416" t="str">
        <f t="shared" si="119"/>
        <v>April</v>
      </c>
      <c r="C2416" s="46" t="s">
        <v>280</v>
      </c>
      <c r="F2416" s="366" t="s">
        <v>1625</v>
      </c>
      <c r="G2416" s="46" t="s">
        <v>17</v>
      </c>
      <c r="H2416" s="46">
        <v>2</v>
      </c>
      <c r="I2416" s="51">
        <v>4622.28</v>
      </c>
      <c r="J2416" s="281">
        <f>++Tabla4[[#This Row],[Precio Bruto]]*1.16</f>
        <v>5361.8447999999989</v>
      </c>
      <c r="K2416" s="281">
        <f>+Tabla4[[#This Row],[Precio Unitario Neto]]*Tabla4[[#Headers],[20.85%]]</f>
        <v>1117.9446407999997</v>
      </c>
      <c r="L2416" s="282">
        <f>++Tabla4[[#This Row],[Precio Unitario Neto]]-Tabla4[[#This Row],[20.85%]]</f>
        <v>4243.9001591999995</v>
      </c>
      <c r="M2416" s="282" t="e">
        <f>(INDEX(Tabla6[#All],MATCH(Tabla4[[#This Row],[Producto]],Tabla6[[#All],[PRODUCTO]],0),MATCH(Tabla4[[#This Row],[Mes]],Tabla6[#Headers],0)))*(1+Catalogos!$L$2)</f>
        <v>#N/A</v>
      </c>
      <c r="N2416" s="283" t="e">
        <f>+(Tabla4[[#This Row],[Precio Descontado]]-Tabla4[[#This Row],[Precio Base]])*Tabla4[[#This Row],[Cantidad]]</f>
        <v>#N/A</v>
      </c>
      <c r="O2416" s="284" t="e">
        <f>++Tabla4[[#This Row],[Utilidad Total]]/Tabla4[[#This Row],[Total]]</f>
        <v>#N/A</v>
      </c>
      <c r="P2416" s="282">
        <f>++Tabla4[[#This Row],[Precio Descontado]]*Tabla4[[#This Row],[Cantidad]]</f>
        <v>8487.800318399999</v>
      </c>
      <c r="Q2416" s="282" t="e">
        <f>(INDEX(Tabla6[#All],MATCH(Tabla4[[#This Row],[Producto]],Tabla6[[#All],[PRODUCTO]],0),MATCH(Tabla4[[#This Row],[Mes]],Tabla6[#Headers],0)))</f>
        <v>#N/A</v>
      </c>
      <c r="R2416" s="282" t="e">
        <f>++Tabla4[[#This Row],[Precio Unitario Neto]]-Tabla4[[#This Row],[20.85%]]-Tabla4[[#This Row],[Costo]]</f>
        <v>#N/A</v>
      </c>
      <c r="S2416" s="282" t="e">
        <f>++Tabla4[[#This Row],[U. Bruta Uni]]*Tabla4[[#This Row],[Cantidad]]</f>
        <v>#N/A</v>
      </c>
      <c r="T2416" s="369" t="str">
        <f>VLOOKUP(Tabla4[[#This Row],[Producto]],Tabla6[#All],14,FALSE)</f>
        <v>Termico Solar</v>
      </c>
      <c r="U2416" s="284" t="e">
        <f>(IF(Tabla4[[#This Row],[Familia]]="termico solar",Tabla4[[#This Row],[Utilidad Total]]*6%,Tabla4[[#This Row],[Utilidad Total]]*11.5%))/Tabla4[[#This Row],[Total]]</f>
        <v>#N/A</v>
      </c>
      <c r="V2416" s="282" t="e">
        <f>+Tabla4[[#This Row],[Comisión Calculada]]*Tabla4[[#This Row],[Total]]</f>
        <v>#N/A</v>
      </c>
    </row>
    <row r="2417" spans="1:22" hidden="1" x14ac:dyDescent="0.25">
      <c r="A2417" s="100">
        <v>45777</v>
      </c>
      <c r="B2417" t="str">
        <f t="shared" si="119"/>
        <v>April</v>
      </c>
      <c r="C2417" s="46" t="s">
        <v>280</v>
      </c>
      <c r="F2417" s="366" t="s">
        <v>1626</v>
      </c>
      <c r="G2417" s="46" t="s">
        <v>16</v>
      </c>
      <c r="H2417" s="46">
        <v>2</v>
      </c>
      <c r="I2417" s="51">
        <v>4103.8500000000004</v>
      </c>
      <c r="J2417" s="281">
        <f>++Tabla4[[#This Row],[Precio Bruto]]*1.16</f>
        <v>4760.4660000000003</v>
      </c>
      <c r="K2417" s="281">
        <f>+Tabla4[[#This Row],[Precio Unitario Neto]]*Tabla4[[#Headers],[20.85%]]</f>
        <v>992.55716100000006</v>
      </c>
      <c r="L2417" s="282">
        <f>++Tabla4[[#This Row],[Precio Unitario Neto]]-Tabla4[[#This Row],[20.85%]]</f>
        <v>3767.9088390000002</v>
      </c>
      <c r="M2417" s="282" t="e">
        <f>(INDEX(Tabla6[#All],MATCH(Tabla4[[#This Row],[Producto]],Tabla6[[#All],[PRODUCTO]],0),MATCH(Tabla4[[#This Row],[Mes]],Tabla6[#Headers],0)))*(1+Catalogos!$L$2)</f>
        <v>#N/A</v>
      </c>
      <c r="N2417" s="283" t="e">
        <f>+(Tabla4[[#This Row],[Precio Descontado]]-Tabla4[[#This Row],[Precio Base]])*Tabla4[[#This Row],[Cantidad]]</f>
        <v>#N/A</v>
      </c>
      <c r="O2417" s="284" t="e">
        <f>++Tabla4[[#This Row],[Utilidad Total]]/Tabla4[[#This Row],[Total]]</f>
        <v>#N/A</v>
      </c>
      <c r="P2417" s="282">
        <f>++Tabla4[[#This Row],[Precio Descontado]]*Tabla4[[#This Row],[Cantidad]]</f>
        <v>7535.8176780000003</v>
      </c>
      <c r="Q2417" s="282" t="e">
        <f>(INDEX(Tabla6[#All],MATCH(Tabla4[[#This Row],[Producto]],Tabla6[[#All],[PRODUCTO]],0),MATCH(Tabla4[[#This Row],[Mes]],Tabla6[#Headers],0)))</f>
        <v>#N/A</v>
      </c>
      <c r="R2417" s="282" t="e">
        <f>++Tabla4[[#This Row],[Precio Unitario Neto]]-Tabla4[[#This Row],[20.85%]]-Tabla4[[#This Row],[Costo]]</f>
        <v>#N/A</v>
      </c>
      <c r="S2417" s="282" t="e">
        <f>++Tabla4[[#This Row],[U. Bruta Uni]]*Tabla4[[#This Row],[Cantidad]]</f>
        <v>#N/A</v>
      </c>
      <c r="T2417" s="369" t="str">
        <f>VLOOKUP(Tabla4[[#This Row],[Producto]],Tabla6[#All],14,FALSE)</f>
        <v>Termico Solar</v>
      </c>
      <c r="U2417" s="284" t="e">
        <f>(IF(Tabla4[[#This Row],[Familia]]="termico solar",Tabla4[[#This Row],[Utilidad Total]]*6%,Tabla4[[#This Row],[Utilidad Total]]*11.5%))/Tabla4[[#This Row],[Total]]</f>
        <v>#N/A</v>
      </c>
      <c r="V2417" s="282" t="e">
        <f>+Tabla4[[#This Row],[Comisión Calculada]]*Tabla4[[#This Row],[Total]]</f>
        <v>#N/A</v>
      </c>
    </row>
    <row r="2418" spans="1:22" hidden="1" x14ac:dyDescent="0.25">
      <c r="A2418" s="100">
        <v>45777</v>
      </c>
      <c r="B2418" t="str">
        <f t="shared" si="119"/>
        <v>April</v>
      </c>
      <c r="C2418" s="46" t="s">
        <v>280</v>
      </c>
      <c r="F2418" s="366" t="s">
        <v>1627</v>
      </c>
      <c r="G2418" s="46" t="s">
        <v>83</v>
      </c>
      <c r="H2418" s="46">
        <v>1</v>
      </c>
      <c r="I2418" s="51">
        <v>8858.76</v>
      </c>
      <c r="J2418" s="281">
        <f>++Tabla4[[#This Row],[Precio Bruto]]*1.16</f>
        <v>10276.161599999999</v>
      </c>
      <c r="K2418" s="281">
        <f>+Tabla4[[#This Row],[Precio Unitario Neto]]*Tabla4[[#Headers],[20.85%]]</f>
        <v>2142.5796935999997</v>
      </c>
      <c r="L2418" s="282">
        <f>++Tabla4[[#This Row],[Precio Unitario Neto]]-Tabla4[[#This Row],[20.85%]]</f>
        <v>8133.5819063999998</v>
      </c>
      <c r="M2418" s="282" t="e">
        <f>(INDEX(Tabla6[#All],MATCH(Tabla4[[#This Row],[Producto]],Tabla6[[#All],[PRODUCTO]],0),MATCH(Tabla4[[#This Row],[Mes]],Tabla6[#Headers],0)))*(1+Catalogos!$L$2)</f>
        <v>#N/A</v>
      </c>
      <c r="N2418" s="283" t="e">
        <f>+(Tabla4[[#This Row],[Precio Descontado]]-Tabla4[[#This Row],[Precio Base]])*Tabla4[[#This Row],[Cantidad]]</f>
        <v>#N/A</v>
      </c>
      <c r="O2418" s="284" t="e">
        <f>++Tabla4[[#This Row],[Utilidad Total]]/Tabla4[[#This Row],[Total]]</f>
        <v>#N/A</v>
      </c>
      <c r="P2418" s="282">
        <f>++Tabla4[[#This Row],[Precio Descontado]]*Tabla4[[#This Row],[Cantidad]]</f>
        <v>8133.5819063999998</v>
      </c>
      <c r="Q2418" s="282" t="e">
        <f>(INDEX(Tabla6[#All],MATCH(Tabla4[[#This Row],[Producto]],Tabla6[[#All],[PRODUCTO]],0),MATCH(Tabla4[[#This Row],[Mes]],Tabla6[#Headers],0)))</f>
        <v>#N/A</v>
      </c>
      <c r="R2418" s="282" t="e">
        <f>++Tabla4[[#This Row],[Precio Unitario Neto]]-Tabla4[[#This Row],[20.85%]]-Tabla4[[#This Row],[Costo]]</f>
        <v>#N/A</v>
      </c>
      <c r="S2418" s="282" t="e">
        <f>++Tabla4[[#This Row],[U. Bruta Uni]]*Tabla4[[#This Row],[Cantidad]]</f>
        <v>#N/A</v>
      </c>
      <c r="T2418" s="369" t="str">
        <f>VLOOKUP(Tabla4[[#This Row],[Producto]],Tabla6[#All],14,FALSE)</f>
        <v>Termico Solar</v>
      </c>
      <c r="U2418" s="284" t="e">
        <f>(IF(Tabla4[[#This Row],[Familia]]="termico solar",Tabla4[[#This Row],[Utilidad Total]]*6%,Tabla4[[#This Row],[Utilidad Total]]*11.5%))/Tabla4[[#This Row],[Total]]</f>
        <v>#N/A</v>
      </c>
      <c r="V2418" s="282" t="e">
        <f>+Tabla4[[#This Row],[Comisión Calculada]]*Tabla4[[#This Row],[Total]]</f>
        <v>#N/A</v>
      </c>
    </row>
    <row r="2419" spans="1:22" hidden="1" x14ac:dyDescent="0.25">
      <c r="A2419" s="100">
        <v>45777</v>
      </c>
      <c r="B2419" t="str">
        <f t="shared" si="119"/>
        <v>April</v>
      </c>
      <c r="C2419" s="46" t="s">
        <v>280</v>
      </c>
      <c r="F2419" s="366" t="s">
        <v>1627</v>
      </c>
      <c r="G2419" s="46" t="s">
        <v>18</v>
      </c>
      <c r="H2419" s="46">
        <v>1</v>
      </c>
      <c r="I2419" s="51">
        <v>5367.65</v>
      </c>
      <c r="J2419" s="281">
        <f>++Tabla4[[#This Row],[Precio Bruto]]*1.16</f>
        <v>6226.4739999999993</v>
      </c>
      <c r="K2419" s="281">
        <f>+Tabla4[[#This Row],[Precio Unitario Neto]]*Tabla4[[#Headers],[20.85%]]</f>
        <v>1298.2198289999999</v>
      </c>
      <c r="L2419" s="282">
        <f>++Tabla4[[#This Row],[Precio Unitario Neto]]-Tabla4[[#This Row],[20.85%]]</f>
        <v>4928.2541709999996</v>
      </c>
      <c r="M2419" s="282" t="e">
        <f>(INDEX(Tabla6[#All],MATCH(Tabla4[[#This Row],[Producto]],Tabla6[[#All],[PRODUCTO]],0),MATCH(Tabla4[[#This Row],[Mes]],Tabla6[#Headers],0)))*(1+Catalogos!$L$2)</f>
        <v>#N/A</v>
      </c>
      <c r="N2419" s="283" t="e">
        <f>+(Tabla4[[#This Row],[Precio Descontado]]-Tabla4[[#This Row],[Precio Base]])*Tabla4[[#This Row],[Cantidad]]</f>
        <v>#N/A</v>
      </c>
      <c r="O2419" s="284" t="e">
        <f>++Tabla4[[#This Row],[Utilidad Total]]/Tabla4[[#This Row],[Total]]</f>
        <v>#N/A</v>
      </c>
      <c r="P2419" s="282">
        <f>++Tabla4[[#This Row],[Precio Descontado]]*Tabla4[[#This Row],[Cantidad]]</f>
        <v>4928.2541709999996</v>
      </c>
      <c r="Q2419" s="282" t="e">
        <f>(INDEX(Tabla6[#All],MATCH(Tabla4[[#This Row],[Producto]],Tabla6[[#All],[PRODUCTO]],0),MATCH(Tabla4[[#This Row],[Mes]],Tabla6[#Headers],0)))</f>
        <v>#N/A</v>
      </c>
      <c r="R2419" s="282" t="e">
        <f>++Tabla4[[#This Row],[Precio Unitario Neto]]-Tabla4[[#This Row],[20.85%]]-Tabla4[[#This Row],[Costo]]</f>
        <v>#N/A</v>
      </c>
      <c r="S2419" s="282" t="e">
        <f>++Tabla4[[#This Row],[U. Bruta Uni]]*Tabla4[[#This Row],[Cantidad]]</f>
        <v>#N/A</v>
      </c>
      <c r="T2419" s="369" t="str">
        <f>VLOOKUP(Tabla4[[#This Row],[Producto]],Tabla6[#All],14,FALSE)</f>
        <v>Termico Solar</v>
      </c>
      <c r="U2419" s="284" t="e">
        <f>(IF(Tabla4[[#This Row],[Familia]]="termico solar",Tabla4[[#This Row],[Utilidad Total]]*6%,Tabla4[[#This Row],[Utilidad Total]]*11.5%))/Tabla4[[#This Row],[Total]]</f>
        <v>#N/A</v>
      </c>
      <c r="V2419" s="282" t="e">
        <f>+Tabla4[[#This Row],[Comisión Calculada]]*Tabla4[[#This Row],[Total]]</f>
        <v>#N/A</v>
      </c>
    </row>
    <row r="2420" spans="1:22" hidden="1" x14ac:dyDescent="0.25">
      <c r="A2420" s="100">
        <v>45777</v>
      </c>
      <c r="B2420" t="str">
        <f t="shared" si="119"/>
        <v>April</v>
      </c>
      <c r="C2420" s="46" t="s">
        <v>280</v>
      </c>
      <c r="F2420" s="366" t="s">
        <v>1628</v>
      </c>
      <c r="G2420" s="46" t="s">
        <v>83</v>
      </c>
      <c r="H2420" s="46">
        <v>1</v>
      </c>
      <c r="I2420" s="51">
        <v>8858.76</v>
      </c>
      <c r="J2420" s="281">
        <f>++Tabla4[[#This Row],[Precio Bruto]]*1.16</f>
        <v>10276.161599999999</v>
      </c>
      <c r="K2420" s="281">
        <f>+Tabla4[[#This Row],[Precio Unitario Neto]]*Tabla4[[#Headers],[20.85%]]</f>
        <v>2142.5796935999997</v>
      </c>
      <c r="L2420" s="282">
        <f>++Tabla4[[#This Row],[Precio Unitario Neto]]-Tabla4[[#This Row],[20.85%]]</f>
        <v>8133.5819063999998</v>
      </c>
      <c r="M2420" s="282" t="e">
        <f>(INDEX(Tabla6[#All],MATCH(Tabla4[[#This Row],[Producto]],Tabla6[[#All],[PRODUCTO]],0),MATCH(Tabla4[[#This Row],[Mes]],Tabla6[#Headers],0)))*(1+Catalogos!$L$2)</f>
        <v>#N/A</v>
      </c>
      <c r="N2420" s="283" t="e">
        <f>+(Tabla4[[#This Row],[Precio Descontado]]-Tabla4[[#This Row],[Precio Base]])*Tabla4[[#This Row],[Cantidad]]</f>
        <v>#N/A</v>
      </c>
      <c r="O2420" s="284" t="e">
        <f>++Tabla4[[#This Row],[Utilidad Total]]/Tabla4[[#This Row],[Total]]</f>
        <v>#N/A</v>
      </c>
      <c r="P2420" s="282">
        <f>++Tabla4[[#This Row],[Precio Descontado]]*Tabla4[[#This Row],[Cantidad]]</f>
        <v>8133.5819063999998</v>
      </c>
      <c r="Q2420" s="282" t="e">
        <f>(INDEX(Tabla6[#All],MATCH(Tabla4[[#This Row],[Producto]],Tabla6[[#All],[PRODUCTO]],0),MATCH(Tabla4[[#This Row],[Mes]],Tabla6[#Headers],0)))</f>
        <v>#N/A</v>
      </c>
      <c r="R2420" s="282" t="e">
        <f>++Tabla4[[#This Row],[Precio Unitario Neto]]-Tabla4[[#This Row],[20.85%]]-Tabla4[[#This Row],[Costo]]</f>
        <v>#N/A</v>
      </c>
      <c r="S2420" s="282" t="e">
        <f>++Tabla4[[#This Row],[U. Bruta Uni]]*Tabla4[[#This Row],[Cantidad]]</f>
        <v>#N/A</v>
      </c>
      <c r="T2420" s="369" t="str">
        <f>VLOOKUP(Tabla4[[#This Row],[Producto]],Tabla6[#All],14,FALSE)</f>
        <v>Termico Solar</v>
      </c>
      <c r="U2420" s="284" t="e">
        <f>(IF(Tabla4[[#This Row],[Familia]]="termico solar",Tabla4[[#This Row],[Utilidad Total]]*6%,Tabla4[[#This Row],[Utilidad Total]]*11.5%))/Tabla4[[#This Row],[Total]]</f>
        <v>#N/A</v>
      </c>
      <c r="V2420" s="282" t="e">
        <f>+Tabla4[[#This Row],[Comisión Calculada]]*Tabla4[[#This Row],[Total]]</f>
        <v>#N/A</v>
      </c>
    </row>
    <row r="2421" spans="1:22" hidden="1" x14ac:dyDescent="0.25">
      <c r="A2421" s="100">
        <v>45777</v>
      </c>
      <c r="B2421" t="str">
        <f t="shared" si="119"/>
        <v>April</v>
      </c>
      <c r="C2421" s="46" t="s">
        <v>280</v>
      </c>
      <c r="F2421" s="366" t="s">
        <v>1628</v>
      </c>
      <c r="G2421" s="46" t="s">
        <v>17</v>
      </c>
      <c r="H2421" s="46">
        <v>3</v>
      </c>
      <c r="I2421" s="51">
        <v>4622.28</v>
      </c>
      <c r="J2421" s="281">
        <f>++Tabla4[[#This Row],[Precio Bruto]]*1.16</f>
        <v>5361.8447999999989</v>
      </c>
      <c r="K2421" s="281">
        <f>+Tabla4[[#This Row],[Precio Unitario Neto]]*Tabla4[[#Headers],[20.85%]]</f>
        <v>1117.9446407999997</v>
      </c>
      <c r="L2421" s="282">
        <f>++Tabla4[[#This Row],[Precio Unitario Neto]]-Tabla4[[#This Row],[20.85%]]</f>
        <v>4243.9001591999995</v>
      </c>
      <c r="M2421" s="282" t="e">
        <f>(INDEX(Tabla6[#All],MATCH(Tabla4[[#This Row],[Producto]],Tabla6[[#All],[PRODUCTO]],0),MATCH(Tabla4[[#This Row],[Mes]],Tabla6[#Headers],0)))*(1+Catalogos!$L$2)</f>
        <v>#N/A</v>
      </c>
      <c r="N2421" s="283" t="e">
        <f>+(Tabla4[[#This Row],[Precio Descontado]]-Tabla4[[#This Row],[Precio Base]])*Tabla4[[#This Row],[Cantidad]]</f>
        <v>#N/A</v>
      </c>
      <c r="O2421" s="284" t="e">
        <f>++Tabla4[[#This Row],[Utilidad Total]]/Tabla4[[#This Row],[Total]]</f>
        <v>#N/A</v>
      </c>
      <c r="P2421" s="282">
        <f>++Tabla4[[#This Row],[Precio Descontado]]*Tabla4[[#This Row],[Cantidad]]</f>
        <v>12731.700477599999</v>
      </c>
      <c r="Q2421" s="282" t="e">
        <f>(INDEX(Tabla6[#All],MATCH(Tabla4[[#This Row],[Producto]],Tabla6[[#All],[PRODUCTO]],0),MATCH(Tabla4[[#This Row],[Mes]],Tabla6[#Headers],0)))</f>
        <v>#N/A</v>
      </c>
      <c r="R2421" s="282" t="e">
        <f>++Tabla4[[#This Row],[Precio Unitario Neto]]-Tabla4[[#This Row],[20.85%]]-Tabla4[[#This Row],[Costo]]</f>
        <v>#N/A</v>
      </c>
      <c r="S2421" s="282" t="e">
        <f>++Tabla4[[#This Row],[U. Bruta Uni]]*Tabla4[[#This Row],[Cantidad]]</f>
        <v>#N/A</v>
      </c>
      <c r="T2421" s="369" t="str">
        <f>VLOOKUP(Tabla4[[#This Row],[Producto]],Tabla6[#All],14,FALSE)</f>
        <v>Termico Solar</v>
      </c>
      <c r="U2421" s="284" t="e">
        <f>(IF(Tabla4[[#This Row],[Familia]]="termico solar",Tabla4[[#This Row],[Utilidad Total]]*6%,Tabla4[[#This Row],[Utilidad Total]]*11.5%))/Tabla4[[#This Row],[Total]]</f>
        <v>#N/A</v>
      </c>
      <c r="V2421" s="282" t="e">
        <f>+Tabla4[[#This Row],[Comisión Calculada]]*Tabla4[[#This Row],[Total]]</f>
        <v>#N/A</v>
      </c>
    </row>
    <row r="2422" spans="1:22" hidden="1" x14ac:dyDescent="0.25">
      <c r="A2422" s="100">
        <v>45777</v>
      </c>
      <c r="B2422" t="str">
        <f t="shared" si="119"/>
        <v>April</v>
      </c>
      <c r="C2422" s="46" t="s">
        <v>280</v>
      </c>
      <c r="F2422" s="366" t="s">
        <v>1629</v>
      </c>
      <c r="G2422" s="46" t="s">
        <v>83</v>
      </c>
      <c r="H2422" s="46">
        <v>7</v>
      </c>
      <c r="I2422" s="51">
        <v>8858.76</v>
      </c>
      <c r="J2422" s="281">
        <f>++Tabla4[[#This Row],[Precio Bruto]]*1.16</f>
        <v>10276.161599999999</v>
      </c>
      <c r="K2422" s="281">
        <f>+Tabla4[[#This Row],[Precio Unitario Neto]]*Tabla4[[#Headers],[20.85%]]</f>
        <v>2142.5796935999997</v>
      </c>
      <c r="L2422" s="282">
        <f>++Tabla4[[#This Row],[Precio Unitario Neto]]-Tabla4[[#This Row],[20.85%]]</f>
        <v>8133.5819063999998</v>
      </c>
      <c r="M2422" s="282" t="e">
        <f>(INDEX(Tabla6[#All],MATCH(Tabla4[[#This Row],[Producto]],Tabla6[[#All],[PRODUCTO]],0),MATCH(Tabla4[[#This Row],[Mes]],Tabla6[#Headers],0)))*(1+Catalogos!$L$2)</f>
        <v>#N/A</v>
      </c>
      <c r="N2422" s="283" t="e">
        <f>+(Tabla4[[#This Row],[Precio Descontado]]-Tabla4[[#This Row],[Precio Base]])*Tabla4[[#This Row],[Cantidad]]</f>
        <v>#N/A</v>
      </c>
      <c r="O2422" s="284" t="e">
        <f>++Tabla4[[#This Row],[Utilidad Total]]/Tabla4[[#This Row],[Total]]</f>
        <v>#N/A</v>
      </c>
      <c r="P2422" s="282">
        <f>++Tabla4[[#This Row],[Precio Descontado]]*Tabla4[[#This Row],[Cantidad]]</f>
        <v>56935.073344799996</v>
      </c>
      <c r="Q2422" s="282" t="e">
        <f>(INDEX(Tabla6[#All],MATCH(Tabla4[[#This Row],[Producto]],Tabla6[[#All],[PRODUCTO]],0),MATCH(Tabla4[[#This Row],[Mes]],Tabla6[#Headers],0)))</f>
        <v>#N/A</v>
      </c>
      <c r="R2422" s="282" t="e">
        <f>++Tabla4[[#This Row],[Precio Unitario Neto]]-Tabla4[[#This Row],[20.85%]]-Tabla4[[#This Row],[Costo]]</f>
        <v>#N/A</v>
      </c>
      <c r="S2422" s="282" t="e">
        <f>++Tabla4[[#This Row],[U. Bruta Uni]]*Tabla4[[#This Row],[Cantidad]]</f>
        <v>#N/A</v>
      </c>
      <c r="T2422" s="369" t="str">
        <f>VLOOKUP(Tabla4[[#This Row],[Producto]],Tabla6[#All],14,FALSE)</f>
        <v>Termico Solar</v>
      </c>
      <c r="U2422" s="284" t="e">
        <f>(IF(Tabla4[[#This Row],[Familia]]="termico solar",Tabla4[[#This Row],[Utilidad Total]]*6%,Tabla4[[#This Row],[Utilidad Total]]*11.5%))/Tabla4[[#This Row],[Total]]</f>
        <v>#N/A</v>
      </c>
      <c r="V2422" s="282" t="e">
        <f>+Tabla4[[#This Row],[Comisión Calculada]]*Tabla4[[#This Row],[Total]]</f>
        <v>#N/A</v>
      </c>
    </row>
    <row r="2423" spans="1:22" hidden="1" x14ac:dyDescent="0.25">
      <c r="A2423" s="100">
        <v>45777</v>
      </c>
      <c r="B2423" t="str">
        <f t="shared" si="119"/>
        <v>April</v>
      </c>
      <c r="C2423" s="46" t="s">
        <v>280</v>
      </c>
      <c r="F2423" s="366" t="s">
        <v>1629</v>
      </c>
      <c r="G2423" s="46" t="s">
        <v>17</v>
      </c>
      <c r="H2423" s="46">
        <v>3</v>
      </c>
      <c r="I2423" s="51">
        <v>4622.28</v>
      </c>
      <c r="J2423" s="281">
        <f>++Tabla4[[#This Row],[Precio Bruto]]*1.16</f>
        <v>5361.8447999999989</v>
      </c>
      <c r="K2423" s="281">
        <f>+Tabla4[[#This Row],[Precio Unitario Neto]]*Tabla4[[#Headers],[20.85%]]</f>
        <v>1117.9446407999997</v>
      </c>
      <c r="L2423" s="282">
        <f>++Tabla4[[#This Row],[Precio Unitario Neto]]-Tabla4[[#This Row],[20.85%]]</f>
        <v>4243.9001591999995</v>
      </c>
      <c r="M2423" s="282" t="e">
        <f>(INDEX(Tabla6[#All],MATCH(Tabla4[[#This Row],[Producto]],Tabla6[[#All],[PRODUCTO]],0),MATCH(Tabla4[[#This Row],[Mes]],Tabla6[#Headers],0)))*(1+Catalogos!$L$2)</f>
        <v>#N/A</v>
      </c>
      <c r="N2423" s="283" t="e">
        <f>+(Tabla4[[#This Row],[Precio Descontado]]-Tabla4[[#This Row],[Precio Base]])*Tabla4[[#This Row],[Cantidad]]</f>
        <v>#N/A</v>
      </c>
      <c r="O2423" s="284" t="e">
        <f>++Tabla4[[#This Row],[Utilidad Total]]/Tabla4[[#This Row],[Total]]</f>
        <v>#N/A</v>
      </c>
      <c r="P2423" s="282">
        <f>++Tabla4[[#This Row],[Precio Descontado]]*Tabla4[[#This Row],[Cantidad]]</f>
        <v>12731.700477599999</v>
      </c>
      <c r="Q2423" s="282" t="e">
        <f>(INDEX(Tabla6[#All],MATCH(Tabla4[[#This Row],[Producto]],Tabla6[[#All],[PRODUCTO]],0),MATCH(Tabla4[[#This Row],[Mes]],Tabla6[#Headers],0)))</f>
        <v>#N/A</v>
      </c>
      <c r="R2423" s="282" t="e">
        <f>++Tabla4[[#This Row],[Precio Unitario Neto]]-Tabla4[[#This Row],[20.85%]]-Tabla4[[#This Row],[Costo]]</f>
        <v>#N/A</v>
      </c>
      <c r="S2423" s="282" t="e">
        <f>++Tabla4[[#This Row],[U. Bruta Uni]]*Tabla4[[#This Row],[Cantidad]]</f>
        <v>#N/A</v>
      </c>
      <c r="T2423" s="369" t="str">
        <f>VLOOKUP(Tabla4[[#This Row],[Producto]],Tabla6[#All],14,FALSE)</f>
        <v>Termico Solar</v>
      </c>
      <c r="U2423" s="284" t="e">
        <f>(IF(Tabla4[[#This Row],[Familia]]="termico solar",Tabla4[[#This Row],[Utilidad Total]]*6%,Tabla4[[#This Row],[Utilidad Total]]*11.5%))/Tabla4[[#This Row],[Total]]</f>
        <v>#N/A</v>
      </c>
      <c r="V2423" s="282" t="e">
        <f>+Tabla4[[#This Row],[Comisión Calculada]]*Tabla4[[#This Row],[Total]]</f>
        <v>#N/A</v>
      </c>
    </row>
    <row r="2424" spans="1:22" hidden="1" x14ac:dyDescent="0.25">
      <c r="A2424" s="100">
        <v>45777</v>
      </c>
      <c r="B2424" t="str">
        <f t="shared" si="119"/>
        <v>April</v>
      </c>
      <c r="C2424" s="46" t="s">
        <v>280</v>
      </c>
      <c r="F2424" s="366" t="s">
        <v>1629</v>
      </c>
      <c r="G2424" s="46" t="s">
        <v>19</v>
      </c>
      <c r="H2424" s="46">
        <v>1</v>
      </c>
      <c r="I2424" s="51">
        <v>6412.03</v>
      </c>
      <c r="J2424" s="281">
        <f>++Tabla4[[#This Row],[Precio Bruto]]*1.16</f>
        <v>7437.9547999999995</v>
      </c>
      <c r="K2424" s="281">
        <f>+Tabla4[[#This Row],[Precio Unitario Neto]]*Tabla4[[#Headers],[20.85%]]</f>
        <v>1550.8135757999999</v>
      </c>
      <c r="L2424" s="282">
        <f>++Tabla4[[#This Row],[Precio Unitario Neto]]-Tabla4[[#This Row],[20.85%]]</f>
        <v>5887.1412241999997</v>
      </c>
      <c r="M2424" s="282" t="e">
        <f>(INDEX(Tabla6[#All],MATCH(Tabla4[[#This Row],[Producto]],Tabla6[[#All],[PRODUCTO]],0),MATCH(Tabla4[[#This Row],[Mes]],Tabla6[#Headers],0)))*(1+Catalogos!$L$2)</f>
        <v>#N/A</v>
      </c>
      <c r="N2424" s="283" t="e">
        <f>+(Tabla4[[#This Row],[Precio Descontado]]-Tabla4[[#This Row],[Precio Base]])*Tabla4[[#This Row],[Cantidad]]</f>
        <v>#N/A</v>
      </c>
      <c r="O2424" s="284" t="e">
        <f>++Tabla4[[#This Row],[Utilidad Total]]/Tabla4[[#This Row],[Total]]</f>
        <v>#N/A</v>
      </c>
      <c r="P2424" s="282">
        <f>++Tabla4[[#This Row],[Precio Descontado]]*Tabla4[[#This Row],[Cantidad]]</f>
        <v>5887.1412241999997</v>
      </c>
      <c r="Q2424" s="282" t="e">
        <f>(INDEX(Tabla6[#All],MATCH(Tabla4[[#This Row],[Producto]],Tabla6[[#All],[PRODUCTO]],0),MATCH(Tabla4[[#This Row],[Mes]],Tabla6[#Headers],0)))</f>
        <v>#N/A</v>
      </c>
      <c r="R2424" s="282" t="e">
        <f>++Tabla4[[#This Row],[Precio Unitario Neto]]-Tabla4[[#This Row],[20.85%]]-Tabla4[[#This Row],[Costo]]</f>
        <v>#N/A</v>
      </c>
      <c r="S2424" s="282" t="e">
        <f>++Tabla4[[#This Row],[U. Bruta Uni]]*Tabla4[[#This Row],[Cantidad]]</f>
        <v>#N/A</v>
      </c>
      <c r="T2424" s="369" t="str">
        <f>VLOOKUP(Tabla4[[#This Row],[Producto]],Tabla6[#All],14,FALSE)</f>
        <v>Termico Solar</v>
      </c>
      <c r="U2424" s="284" t="e">
        <f>(IF(Tabla4[[#This Row],[Familia]]="termico solar",Tabla4[[#This Row],[Utilidad Total]]*6%,Tabla4[[#This Row],[Utilidad Total]]*11.5%))/Tabla4[[#This Row],[Total]]</f>
        <v>#N/A</v>
      </c>
      <c r="V2424" s="282" t="e">
        <f>+Tabla4[[#This Row],[Comisión Calculada]]*Tabla4[[#This Row],[Total]]</f>
        <v>#N/A</v>
      </c>
    </row>
    <row r="2425" spans="1:22" hidden="1" x14ac:dyDescent="0.25">
      <c r="A2425" s="100">
        <v>45777</v>
      </c>
      <c r="B2425" t="str">
        <f t="shared" si="119"/>
        <v>April</v>
      </c>
      <c r="C2425" s="46" t="s">
        <v>280</v>
      </c>
      <c r="F2425" s="366" t="s">
        <v>1629</v>
      </c>
      <c r="G2425" s="46" t="s">
        <v>412</v>
      </c>
      <c r="H2425" s="46">
        <v>1</v>
      </c>
      <c r="I2425" s="51">
        <v>3240.84</v>
      </c>
      <c r="J2425" s="281">
        <f>++Tabla4[[#This Row],[Precio Bruto]]*1.16</f>
        <v>3759.3743999999997</v>
      </c>
      <c r="K2425" s="281">
        <f>+Tabla4[[#This Row],[Precio Unitario Neto]]*Tabla4[[#Headers],[20.85%]]</f>
        <v>783.82956239999987</v>
      </c>
      <c r="L2425" s="282">
        <f>++Tabla4[[#This Row],[Precio Unitario Neto]]-Tabla4[[#This Row],[20.85%]]</f>
        <v>2975.5448375999999</v>
      </c>
      <c r="M2425" s="282" t="e">
        <f>(INDEX(Tabla6[#All],MATCH(Tabla4[[#This Row],[Producto]],Tabla6[[#All],[PRODUCTO]],0),MATCH(Tabla4[[#This Row],[Mes]],Tabla6[#Headers],0)))*(1+Catalogos!$L$2)</f>
        <v>#N/A</v>
      </c>
      <c r="N2425" s="283" t="e">
        <f>+(Tabla4[[#This Row],[Precio Descontado]]-Tabla4[[#This Row],[Precio Base]])*Tabla4[[#This Row],[Cantidad]]</f>
        <v>#N/A</v>
      </c>
      <c r="O2425" s="284" t="e">
        <f>++Tabla4[[#This Row],[Utilidad Total]]/Tabla4[[#This Row],[Total]]</f>
        <v>#N/A</v>
      </c>
      <c r="P2425" s="282">
        <f>++Tabla4[[#This Row],[Precio Descontado]]*Tabla4[[#This Row],[Cantidad]]</f>
        <v>2975.5448375999999</v>
      </c>
      <c r="Q2425" s="282" t="e">
        <f>(INDEX(Tabla6[#All],MATCH(Tabla4[[#This Row],[Producto]],Tabla6[[#All],[PRODUCTO]],0),MATCH(Tabla4[[#This Row],[Mes]],Tabla6[#Headers],0)))</f>
        <v>#N/A</v>
      </c>
      <c r="R2425" s="282" t="e">
        <f>++Tabla4[[#This Row],[Precio Unitario Neto]]-Tabla4[[#This Row],[20.85%]]-Tabla4[[#This Row],[Costo]]</f>
        <v>#N/A</v>
      </c>
      <c r="S2425" s="282" t="e">
        <f>++Tabla4[[#This Row],[U. Bruta Uni]]*Tabla4[[#This Row],[Cantidad]]</f>
        <v>#N/A</v>
      </c>
      <c r="T2425" s="369" t="str">
        <f>VLOOKUP(Tabla4[[#This Row],[Producto]],Tabla6[#All],14,FALSE)</f>
        <v>Termico Solar</v>
      </c>
      <c r="U2425" s="284" t="e">
        <f>(IF(Tabla4[[#This Row],[Familia]]="termico solar",Tabla4[[#This Row],[Utilidad Total]]*6%,Tabla4[[#This Row],[Utilidad Total]]*11.5%))/Tabla4[[#This Row],[Total]]</f>
        <v>#N/A</v>
      </c>
      <c r="V2425" s="282" t="e">
        <f>+Tabla4[[#This Row],[Comisión Calculada]]*Tabla4[[#This Row],[Total]]</f>
        <v>#N/A</v>
      </c>
    </row>
    <row r="2426" spans="1:22" hidden="1" x14ac:dyDescent="0.25">
      <c r="A2426" s="100">
        <v>45777</v>
      </c>
      <c r="B2426" t="str">
        <f t="shared" si="119"/>
        <v>April</v>
      </c>
      <c r="C2426" s="46" t="s">
        <v>280</v>
      </c>
      <c r="F2426" s="366" t="s">
        <v>1630</v>
      </c>
      <c r="G2426" s="46" t="s">
        <v>83</v>
      </c>
      <c r="H2426" s="46">
        <v>1</v>
      </c>
      <c r="I2426" s="51">
        <v>8858.76</v>
      </c>
      <c r="J2426" s="281">
        <f>++Tabla4[[#This Row],[Precio Bruto]]*1.16</f>
        <v>10276.161599999999</v>
      </c>
      <c r="K2426" s="281">
        <f>+Tabla4[[#This Row],[Precio Unitario Neto]]*Tabla4[[#Headers],[20.85%]]</f>
        <v>2142.5796935999997</v>
      </c>
      <c r="L2426" s="282">
        <f>++Tabla4[[#This Row],[Precio Unitario Neto]]-Tabla4[[#This Row],[20.85%]]</f>
        <v>8133.5819063999998</v>
      </c>
      <c r="M2426" s="282" t="e">
        <f>(INDEX(Tabla6[#All],MATCH(Tabla4[[#This Row],[Producto]],Tabla6[[#All],[PRODUCTO]],0),MATCH(Tabla4[[#This Row],[Mes]],Tabla6[#Headers],0)))*(1+Catalogos!$L$2)</f>
        <v>#N/A</v>
      </c>
      <c r="N2426" s="283" t="e">
        <f>+(Tabla4[[#This Row],[Precio Descontado]]-Tabla4[[#This Row],[Precio Base]])*Tabla4[[#This Row],[Cantidad]]</f>
        <v>#N/A</v>
      </c>
      <c r="O2426" s="284" t="e">
        <f>++Tabla4[[#This Row],[Utilidad Total]]/Tabla4[[#This Row],[Total]]</f>
        <v>#N/A</v>
      </c>
      <c r="P2426" s="282">
        <f>++Tabla4[[#This Row],[Precio Descontado]]*Tabla4[[#This Row],[Cantidad]]</f>
        <v>8133.5819063999998</v>
      </c>
      <c r="Q2426" s="282" t="e">
        <f>(INDEX(Tabla6[#All],MATCH(Tabla4[[#This Row],[Producto]],Tabla6[[#All],[PRODUCTO]],0),MATCH(Tabla4[[#This Row],[Mes]],Tabla6[#Headers],0)))</f>
        <v>#N/A</v>
      </c>
      <c r="R2426" s="282" t="e">
        <f>++Tabla4[[#This Row],[Precio Unitario Neto]]-Tabla4[[#This Row],[20.85%]]-Tabla4[[#This Row],[Costo]]</f>
        <v>#N/A</v>
      </c>
      <c r="S2426" s="282" t="e">
        <f>++Tabla4[[#This Row],[U. Bruta Uni]]*Tabla4[[#This Row],[Cantidad]]</f>
        <v>#N/A</v>
      </c>
      <c r="T2426" s="369" t="str">
        <f>VLOOKUP(Tabla4[[#This Row],[Producto]],Tabla6[#All],14,FALSE)</f>
        <v>Termico Solar</v>
      </c>
      <c r="U2426" s="284" t="e">
        <f>(IF(Tabla4[[#This Row],[Familia]]="termico solar",Tabla4[[#This Row],[Utilidad Total]]*6%,Tabla4[[#This Row],[Utilidad Total]]*11.5%))/Tabla4[[#This Row],[Total]]</f>
        <v>#N/A</v>
      </c>
      <c r="V2426" s="282" t="e">
        <f>+Tabla4[[#This Row],[Comisión Calculada]]*Tabla4[[#This Row],[Total]]</f>
        <v>#N/A</v>
      </c>
    </row>
    <row r="2427" spans="1:22" hidden="1" x14ac:dyDescent="0.25">
      <c r="A2427" s="100">
        <v>45777</v>
      </c>
      <c r="B2427" t="str">
        <f t="shared" ref="B2427:B2490" si="120">TEXT(A2427, "mmmm")</f>
        <v>April</v>
      </c>
      <c r="C2427" s="46" t="s">
        <v>280</v>
      </c>
      <c r="F2427" s="366" t="s">
        <v>1630</v>
      </c>
      <c r="G2427" s="46" t="s">
        <v>18</v>
      </c>
      <c r="H2427" s="46">
        <v>1</v>
      </c>
      <c r="I2427" s="51">
        <v>5367.65</v>
      </c>
      <c r="J2427" s="281">
        <f>++Tabla4[[#This Row],[Precio Bruto]]*1.16</f>
        <v>6226.4739999999993</v>
      </c>
      <c r="K2427" s="281">
        <f>+Tabla4[[#This Row],[Precio Unitario Neto]]*Tabla4[[#Headers],[20.85%]]</f>
        <v>1298.2198289999999</v>
      </c>
      <c r="L2427" s="282">
        <f>++Tabla4[[#This Row],[Precio Unitario Neto]]-Tabla4[[#This Row],[20.85%]]</f>
        <v>4928.2541709999996</v>
      </c>
      <c r="M2427" s="282" t="e">
        <f>(INDEX(Tabla6[#All],MATCH(Tabla4[[#This Row],[Producto]],Tabla6[[#All],[PRODUCTO]],0),MATCH(Tabla4[[#This Row],[Mes]],Tabla6[#Headers],0)))*(1+Catalogos!$L$2)</f>
        <v>#N/A</v>
      </c>
      <c r="N2427" s="283" t="e">
        <f>+(Tabla4[[#This Row],[Precio Descontado]]-Tabla4[[#This Row],[Precio Base]])*Tabla4[[#This Row],[Cantidad]]</f>
        <v>#N/A</v>
      </c>
      <c r="O2427" s="284" t="e">
        <f>++Tabla4[[#This Row],[Utilidad Total]]/Tabla4[[#This Row],[Total]]</f>
        <v>#N/A</v>
      </c>
      <c r="P2427" s="282">
        <f>++Tabla4[[#This Row],[Precio Descontado]]*Tabla4[[#This Row],[Cantidad]]</f>
        <v>4928.2541709999996</v>
      </c>
      <c r="Q2427" s="282" t="e">
        <f>(INDEX(Tabla6[#All],MATCH(Tabla4[[#This Row],[Producto]],Tabla6[[#All],[PRODUCTO]],0),MATCH(Tabla4[[#This Row],[Mes]],Tabla6[#Headers],0)))</f>
        <v>#N/A</v>
      </c>
      <c r="R2427" s="282" t="e">
        <f>++Tabla4[[#This Row],[Precio Unitario Neto]]-Tabla4[[#This Row],[20.85%]]-Tabla4[[#This Row],[Costo]]</f>
        <v>#N/A</v>
      </c>
      <c r="S2427" s="282" t="e">
        <f>++Tabla4[[#This Row],[U. Bruta Uni]]*Tabla4[[#This Row],[Cantidad]]</f>
        <v>#N/A</v>
      </c>
      <c r="T2427" s="369" t="str">
        <f>VLOOKUP(Tabla4[[#This Row],[Producto]],Tabla6[#All],14,FALSE)</f>
        <v>Termico Solar</v>
      </c>
      <c r="U2427" s="284" t="e">
        <f>(IF(Tabla4[[#This Row],[Familia]]="termico solar",Tabla4[[#This Row],[Utilidad Total]]*6%,Tabla4[[#This Row],[Utilidad Total]]*11.5%))/Tabla4[[#This Row],[Total]]</f>
        <v>#N/A</v>
      </c>
      <c r="V2427" s="282" t="e">
        <f>+Tabla4[[#This Row],[Comisión Calculada]]*Tabla4[[#This Row],[Total]]</f>
        <v>#N/A</v>
      </c>
    </row>
    <row r="2428" spans="1:22" hidden="1" x14ac:dyDescent="0.25">
      <c r="A2428" s="100">
        <v>45777</v>
      </c>
      <c r="B2428" t="str">
        <f t="shared" si="120"/>
        <v>April</v>
      </c>
      <c r="C2428" s="46" t="s">
        <v>280</v>
      </c>
      <c r="F2428" s="366" t="s">
        <v>1631</v>
      </c>
      <c r="G2428" s="46" t="s">
        <v>18</v>
      </c>
      <c r="H2428" s="46">
        <v>3</v>
      </c>
      <c r="I2428" s="51">
        <v>5367.6500000000005</v>
      </c>
      <c r="J2428" s="281">
        <f>++Tabla4[[#This Row],[Precio Bruto]]*1.16</f>
        <v>6226.4740000000002</v>
      </c>
      <c r="K2428" s="281">
        <f>+Tabla4[[#This Row],[Precio Unitario Neto]]*Tabla4[[#Headers],[20.85%]]</f>
        <v>1298.2198289999999</v>
      </c>
      <c r="L2428" s="282">
        <f>++Tabla4[[#This Row],[Precio Unitario Neto]]-Tabla4[[#This Row],[20.85%]]</f>
        <v>4928.2541710000005</v>
      </c>
      <c r="M2428" s="282" t="e">
        <f>(INDEX(Tabla6[#All],MATCH(Tabla4[[#This Row],[Producto]],Tabla6[[#All],[PRODUCTO]],0),MATCH(Tabla4[[#This Row],[Mes]],Tabla6[#Headers],0)))*(1+Catalogos!$L$2)</f>
        <v>#N/A</v>
      </c>
      <c r="N2428" s="283" t="e">
        <f>+(Tabla4[[#This Row],[Precio Descontado]]-Tabla4[[#This Row],[Precio Base]])*Tabla4[[#This Row],[Cantidad]]</f>
        <v>#N/A</v>
      </c>
      <c r="O2428" s="284" t="e">
        <f>++Tabla4[[#This Row],[Utilidad Total]]/Tabla4[[#This Row],[Total]]</f>
        <v>#N/A</v>
      </c>
      <c r="P2428" s="282">
        <f>++Tabla4[[#This Row],[Precio Descontado]]*Tabla4[[#This Row],[Cantidad]]</f>
        <v>14784.762513000001</v>
      </c>
      <c r="Q2428" s="282" t="e">
        <f>(INDEX(Tabla6[#All],MATCH(Tabla4[[#This Row],[Producto]],Tabla6[[#All],[PRODUCTO]],0),MATCH(Tabla4[[#This Row],[Mes]],Tabla6[#Headers],0)))</f>
        <v>#N/A</v>
      </c>
      <c r="R2428" s="282" t="e">
        <f>++Tabla4[[#This Row],[Precio Unitario Neto]]-Tabla4[[#This Row],[20.85%]]-Tabla4[[#This Row],[Costo]]</f>
        <v>#N/A</v>
      </c>
      <c r="S2428" s="282" t="e">
        <f>++Tabla4[[#This Row],[U. Bruta Uni]]*Tabla4[[#This Row],[Cantidad]]</f>
        <v>#N/A</v>
      </c>
      <c r="T2428" s="369" t="str">
        <f>VLOOKUP(Tabla4[[#This Row],[Producto]],Tabla6[#All],14,FALSE)</f>
        <v>Termico Solar</v>
      </c>
      <c r="U2428" s="284" t="e">
        <f>(IF(Tabla4[[#This Row],[Familia]]="termico solar",Tabla4[[#This Row],[Utilidad Total]]*6%,Tabla4[[#This Row],[Utilidad Total]]*11.5%))/Tabla4[[#This Row],[Total]]</f>
        <v>#N/A</v>
      </c>
      <c r="V2428" s="282" t="e">
        <f>+Tabla4[[#This Row],[Comisión Calculada]]*Tabla4[[#This Row],[Total]]</f>
        <v>#N/A</v>
      </c>
    </row>
    <row r="2429" spans="1:22" hidden="1" x14ac:dyDescent="0.25">
      <c r="A2429" s="100">
        <v>45777</v>
      </c>
      <c r="B2429" t="str">
        <f t="shared" si="120"/>
        <v>April</v>
      </c>
      <c r="C2429" s="46" t="s">
        <v>280</v>
      </c>
      <c r="F2429" s="366" t="s">
        <v>1631</v>
      </c>
      <c r="G2429" s="46" t="s">
        <v>16</v>
      </c>
      <c r="H2429" s="46">
        <v>2</v>
      </c>
      <c r="I2429" s="51">
        <v>4103.8500000000004</v>
      </c>
      <c r="J2429" s="281">
        <f>++Tabla4[[#This Row],[Precio Bruto]]*1.16</f>
        <v>4760.4660000000003</v>
      </c>
      <c r="K2429" s="281">
        <f>+Tabla4[[#This Row],[Precio Unitario Neto]]*Tabla4[[#Headers],[20.85%]]</f>
        <v>992.55716100000006</v>
      </c>
      <c r="L2429" s="282">
        <f>++Tabla4[[#This Row],[Precio Unitario Neto]]-Tabla4[[#This Row],[20.85%]]</f>
        <v>3767.9088390000002</v>
      </c>
      <c r="M2429" s="282" t="e">
        <f>(INDEX(Tabla6[#All],MATCH(Tabla4[[#This Row],[Producto]],Tabla6[[#All],[PRODUCTO]],0),MATCH(Tabla4[[#This Row],[Mes]],Tabla6[#Headers],0)))*(1+Catalogos!$L$2)</f>
        <v>#N/A</v>
      </c>
      <c r="N2429" s="283" t="e">
        <f>+(Tabla4[[#This Row],[Precio Descontado]]-Tabla4[[#This Row],[Precio Base]])*Tabla4[[#This Row],[Cantidad]]</f>
        <v>#N/A</v>
      </c>
      <c r="O2429" s="284" t="e">
        <f>++Tabla4[[#This Row],[Utilidad Total]]/Tabla4[[#This Row],[Total]]</f>
        <v>#N/A</v>
      </c>
      <c r="P2429" s="282">
        <f>++Tabla4[[#This Row],[Precio Descontado]]*Tabla4[[#This Row],[Cantidad]]</f>
        <v>7535.8176780000003</v>
      </c>
      <c r="Q2429" s="282" t="e">
        <f>(INDEX(Tabla6[#All],MATCH(Tabla4[[#This Row],[Producto]],Tabla6[[#All],[PRODUCTO]],0),MATCH(Tabla4[[#This Row],[Mes]],Tabla6[#Headers],0)))</f>
        <v>#N/A</v>
      </c>
      <c r="R2429" s="282" t="e">
        <f>++Tabla4[[#This Row],[Precio Unitario Neto]]-Tabla4[[#This Row],[20.85%]]-Tabla4[[#This Row],[Costo]]</f>
        <v>#N/A</v>
      </c>
      <c r="S2429" s="282" t="e">
        <f>++Tabla4[[#This Row],[U. Bruta Uni]]*Tabla4[[#This Row],[Cantidad]]</f>
        <v>#N/A</v>
      </c>
      <c r="T2429" s="369" t="str">
        <f>VLOOKUP(Tabla4[[#This Row],[Producto]],Tabla6[#All],14,FALSE)</f>
        <v>Termico Solar</v>
      </c>
      <c r="U2429" s="284" t="e">
        <f>(IF(Tabla4[[#This Row],[Familia]]="termico solar",Tabla4[[#This Row],[Utilidad Total]]*6%,Tabla4[[#This Row],[Utilidad Total]]*11.5%))/Tabla4[[#This Row],[Total]]</f>
        <v>#N/A</v>
      </c>
      <c r="V2429" s="282" t="e">
        <f>+Tabla4[[#This Row],[Comisión Calculada]]*Tabla4[[#This Row],[Total]]</f>
        <v>#N/A</v>
      </c>
    </row>
    <row r="2430" spans="1:22" hidden="1" x14ac:dyDescent="0.25">
      <c r="A2430" s="100">
        <v>45777</v>
      </c>
      <c r="B2430" t="str">
        <f t="shared" si="120"/>
        <v>April</v>
      </c>
      <c r="C2430" s="46" t="s">
        <v>280</v>
      </c>
      <c r="F2430" s="366" t="s">
        <v>1632</v>
      </c>
      <c r="G2430" s="46" t="s">
        <v>18</v>
      </c>
      <c r="H2430" s="46">
        <v>1</v>
      </c>
      <c r="I2430" s="51">
        <v>5367.65</v>
      </c>
      <c r="J2430" s="281">
        <f>++Tabla4[[#This Row],[Precio Bruto]]*1.16</f>
        <v>6226.4739999999993</v>
      </c>
      <c r="K2430" s="281">
        <f>+Tabla4[[#This Row],[Precio Unitario Neto]]*Tabla4[[#Headers],[20.85%]]</f>
        <v>1298.2198289999999</v>
      </c>
      <c r="L2430" s="282">
        <f>++Tabla4[[#This Row],[Precio Unitario Neto]]-Tabla4[[#This Row],[20.85%]]</f>
        <v>4928.2541709999996</v>
      </c>
      <c r="M2430" s="282" t="e">
        <f>(INDEX(Tabla6[#All],MATCH(Tabla4[[#This Row],[Producto]],Tabla6[[#All],[PRODUCTO]],0),MATCH(Tabla4[[#This Row],[Mes]],Tabla6[#Headers],0)))*(1+Catalogos!$L$2)</f>
        <v>#N/A</v>
      </c>
      <c r="N2430" s="283" t="e">
        <f>+(Tabla4[[#This Row],[Precio Descontado]]-Tabla4[[#This Row],[Precio Base]])*Tabla4[[#This Row],[Cantidad]]</f>
        <v>#N/A</v>
      </c>
      <c r="O2430" s="284" t="e">
        <f>++Tabla4[[#This Row],[Utilidad Total]]/Tabla4[[#This Row],[Total]]</f>
        <v>#N/A</v>
      </c>
      <c r="P2430" s="282">
        <f>++Tabla4[[#This Row],[Precio Descontado]]*Tabla4[[#This Row],[Cantidad]]</f>
        <v>4928.2541709999996</v>
      </c>
      <c r="Q2430" s="282" t="e">
        <f>(INDEX(Tabla6[#All],MATCH(Tabla4[[#This Row],[Producto]],Tabla6[[#All],[PRODUCTO]],0),MATCH(Tabla4[[#This Row],[Mes]],Tabla6[#Headers],0)))</f>
        <v>#N/A</v>
      </c>
      <c r="R2430" s="282" t="e">
        <f>++Tabla4[[#This Row],[Precio Unitario Neto]]-Tabla4[[#This Row],[20.85%]]-Tabla4[[#This Row],[Costo]]</f>
        <v>#N/A</v>
      </c>
      <c r="S2430" s="282" t="e">
        <f>++Tabla4[[#This Row],[U. Bruta Uni]]*Tabla4[[#This Row],[Cantidad]]</f>
        <v>#N/A</v>
      </c>
      <c r="T2430" s="369" t="str">
        <f>VLOOKUP(Tabla4[[#This Row],[Producto]],Tabla6[#All],14,FALSE)</f>
        <v>Termico Solar</v>
      </c>
      <c r="U2430" s="284" t="e">
        <f>(IF(Tabla4[[#This Row],[Familia]]="termico solar",Tabla4[[#This Row],[Utilidad Total]]*6%,Tabla4[[#This Row],[Utilidad Total]]*11.5%))/Tabla4[[#This Row],[Total]]</f>
        <v>#N/A</v>
      </c>
      <c r="V2430" s="282" t="e">
        <f>+Tabla4[[#This Row],[Comisión Calculada]]*Tabla4[[#This Row],[Total]]</f>
        <v>#N/A</v>
      </c>
    </row>
    <row r="2431" spans="1:22" hidden="1" x14ac:dyDescent="0.25">
      <c r="A2431" s="100">
        <v>45777</v>
      </c>
      <c r="B2431" t="str">
        <f t="shared" si="120"/>
        <v>April</v>
      </c>
      <c r="C2431" s="46" t="s">
        <v>280</v>
      </c>
      <c r="F2431" s="366" t="s">
        <v>1633</v>
      </c>
      <c r="G2431" s="46" t="s">
        <v>83</v>
      </c>
      <c r="H2431" s="46">
        <v>1</v>
      </c>
      <c r="I2431" s="51">
        <v>8858.76</v>
      </c>
      <c r="J2431" s="281">
        <f>++Tabla4[[#This Row],[Precio Bruto]]*1.16</f>
        <v>10276.161599999999</v>
      </c>
      <c r="K2431" s="281">
        <f>+Tabla4[[#This Row],[Precio Unitario Neto]]*Tabla4[[#Headers],[20.85%]]</f>
        <v>2142.5796935999997</v>
      </c>
      <c r="L2431" s="282">
        <f>++Tabla4[[#This Row],[Precio Unitario Neto]]-Tabla4[[#This Row],[20.85%]]</f>
        <v>8133.5819063999998</v>
      </c>
      <c r="M2431" s="282" t="e">
        <f>(INDEX(Tabla6[#All],MATCH(Tabla4[[#This Row],[Producto]],Tabla6[[#All],[PRODUCTO]],0),MATCH(Tabla4[[#This Row],[Mes]],Tabla6[#Headers],0)))*(1+Catalogos!$L$2)</f>
        <v>#N/A</v>
      </c>
      <c r="N2431" s="283" t="e">
        <f>+(Tabla4[[#This Row],[Precio Descontado]]-Tabla4[[#This Row],[Precio Base]])*Tabla4[[#This Row],[Cantidad]]</f>
        <v>#N/A</v>
      </c>
      <c r="O2431" s="284" t="e">
        <f>++Tabla4[[#This Row],[Utilidad Total]]/Tabla4[[#This Row],[Total]]</f>
        <v>#N/A</v>
      </c>
      <c r="P2431" s="282">
        <f>++Tabla4[[#This Row],[Precio Descontado]]*Tabla4[[#This Row],[Cantidad]]</f>
        <v>8133.5819063999998</v>
      </c>
      <c r="Q2431" s="282" t="e">
        <f>(INDEX(Tabla6[#All],MATCH(Tabla4[[#This Row],[Producto]],Tabla6[[#All],[PRODUCTO]],0),MATCH(Tabla4[[#This Row],[Mes]],Tabla6[#Headers],0)))</f>
        <v>#N/A</v>
      </c>
      <c r="R2431" s="282" t="e">
        <f>++Tabla4[[#This Row],[Precio Unitario Neto]]-Tabla4[[#This Row],[20.85%]]-Tabla4[[#This Row],[Costo]]</f>
        <v>#N/A</v>
      </c>
      <c r="S2431" s="282" t="e">
        <f>++Tabla4[[#This Row],[U. Bruta Uni]]*Tabla4[[#This Row],[Cantidad]]</f>
        <v>#N/A</v>
      </c>
      <c r="T2431" s="369" t="str">
        <f>VLOOKUP(Tabla4[[#This Row],[Producto]],Tabla6[#All],14,FALSE)</f>
        <v>Termico Solar</v>
      </c>
      <c r="U2431" s="284" t="e">
        <f>(IF(Tabla4[[#This Row],[Familia]]="termico solar",Tabla4[[#This Row],[Utilidad Total]]*6%,Tabla4[[#This Row],[Utilidad Total]]*11.5%))/Tabla4[[#This Row],[Total]]</f>
        <v>#N/A</v>
      </c>
      <c r="V2431" s="282" t="e">
        <f>+Tabla4[[#This Row],[Comisión Calculada]]*Tabla4[[#This Row],[Total]]</f>
        <v>#N/A</v>
      </c>
    </row>
    <row r="2432" spans="1:22" hidden="1" x14ac:dyDescent="0.25">
      <c r="A2432" s="100">
        <v>45777</v>
      </c>
      <c r="B2432" t="str">
        <f t="shared" si="120"/>
        <v>April</v>
      </c>
      <c r="C2432" s="46" t="s">
        <v>280</v>
      </c>
      <c r="F2432" s="366" t="s">
        <v>1633</v>
      </c>
      <c r="G2432" s="46" t="s">
        <v>18</v>
      </c>
      <c r="H2432" s="46">
        <v>1</v>
      </c>
      <c r="I2432" s="51">
        <v>5367.65</v>
      </c>
      <c r="J2432" s="281">
        <f>++Tabla4[[#This Row],[Precio Bruto]]*1.16</f>
        <v>6226.4739999999993</v>
      </c>
      <c r="K2432" s="281">
        <f>+Tabla4[[#This Row],[Precio Unitario Neto]]*Tabla4[[#Headers],[20.85%]]</f>
        <v>1298.2198289999999</v>
      </c>
      <c r="L2432" s="282">
        <f>++Tabla4[[#This Row],[Precio Unitario Neto]]-Tabla4[[#This Row],[20.85%]]</f>
        <v>4928.2541709999996</v>
      </c>
      <c r="M2432" s="282" t="e">
        <f>(INDEX(Tabla6[#All],MATCH(Tabla4[[#This Row],[Producto]],Tabla6[[#All],[PRODUCTO]],0),MATCH(Tabla4[[#This Row],[Mes]],Tabla6[#Headers],0)))*(1+Catalogos!$L$2)</f>
        <v>#N/A</v>
      </c>
      <c r="N2432" s="283" t="e">
        <f>+(Tabla4[[#This Row],[Precio Descontado]]-Tabla4[[#This Row],[Precio Base]])*Tabla4[[#This Row],[Cantidad]]</f>
        <v>#N/A</v>
      </c>
      <c r="O2432" s="284" t="e">
        <f>++Tabla4[[#This Row],[Utilidad Total]]/Tabla4[[#This Row],[Total]]</f>
        <v>#N/A</v>
      </c>
      <c r="P2432" s="282">
        <f>++Tabla4[[#This Row],[Precio Descontado]]*Tabla4[[#This Row],[Cantidad]]</f>
        <v>4928.2541709999996</v>
      </c>
      <c r="Q2432" s="282" t="e">
        <f>(INDEX(Tabla6[#All],MATCH(Tabla4[[#This Row],[Producto]],Tabla6[[#All],[PRODUCTO]],0),MATCH(Tabla4[[#This Row],[Mes]],Tabla6[#Headers],0)))</f>
        <v>#N/A</v>
      </c>
      <c r="R2432" s="282" t="e">
        <f>++Tabla4[[#This Row],[Precio Unitario Neto]]-Tabla4[[#This Row],[20.85%]]-Tabla4[[#This Row],[Costo]]</f>
        <v>#N/A</v>
      </c>
      <c r="S2432" s="282" t="e">
        <f>++Tabla4[[#This Row],[U. Bruta Uni]]*Tabla4[[#This Row],[Cantidad]]</f>
        <v>#N/A</v>
      </c>
      <c r="T2432" s="369" t="str">
        <f>VLOOKUP(Tabla4[[#This Row],[Producto]],Tabla6[#All],14,FALSE)</f>
        <v>Termico Solar</v>
      </c>
      <c r="U2432" s="284" t="e">
        <f>(IF(Tabla4[[#This Row],[Familia]]="termico solar",Tabla4[[#This Row],[Utilidad Total]]*6%,Tabla4[[#This Row],[Utilidad Total]]*11.5%))/Tabla4[[#This Row],[Total]]</f>
        <v>#N/A</v>
      </c>
      <c r="V2432" s="282" t="e">
        <f>+Tabla4[[#This Row],[Comisión Calculada]]*Tabla4[[#This Row],[Total]]</f>
        <v>#N/A</v>
      </c>
    </row>
    <row r="2433" spans="1:22" hidden="1" x14ac:dyDescent="0.25">
      <c r="A2433" s="100">
        <v>45777</v>
      </c>
      <c r="B2433" t="str">
        <f t="shared" si="120"/>
        <v>April</v>
      </c>
      <c r="C2433" s="46" t="s">
        <v>280</v>
      </c>
      <c r="F2433" s="366" t="s">
        <v>1633</v>
      </c>
      <c r="G2433" s="46" t="s">
        <v>566</v>
      </c>
      <c r="H2433" s="46">
        <v>1</v>
      </c>
      <c r="I2433" s="51">
        <v>2109.4499999999998</v>
      </c>
      <c r="J2433" s="281">
        <f>++Tabla4[[#This Row],[Precio Bruto]]*1.16</f>
        <v>2446.9619999999995</v>
      </c>
      <c r="K2433" s="281">
        <f>+Tabla4[[#This Row],[Precio Unitario Neto]]*Tabla4[[#Headers],[20.85%]]</f>
        <v>510.19157699999988</v>
      </c>
      <c r="L2433" s="282">
        <f>++Tabla4[[#This Row],[Precio Unitario Neto]]-Tabla4[[#This Row],[20.85%]]</f>
        <v>1936.7704229999997</v>
      </c>
      <c r="M2433" s="282" t="e">
        <f>(INDEX(Tabla6[#All],MATCH(Tabla4[[#This Row],[Producto]],Tabla6[[#All],[PRODUCTO]],0),MATCH(Tabla4[[#This Row],[Mes]],Tabla6[#Headers],0)))*(1+Catalogos!$L$2)</f>
        <v>#N/A</v>
      </c>
      <c r="N2433" s="283" t="e">
        <f>+(Tabla4[[#This Row],[Precio Descontado]]-Tabla4[[#This Row],[Precio Base]])*Tabla4[[#This Row],[Cantidad]]</f>
        <v>#N/A</v>
      </c>
      <c r="O2433" s="284" t="e">
        <f>++Tabla4[[#This Row],[Utilidad Total]]/Tabla4[[#This Row],[Total]]</f>
        <v>#N/A</v>
      </c>
      <c r="P2433" s="282">
        <f>++Tabla4[[#This Row],[Precio Descontado]]*Tabla4[[#This Row],[Cantidad]]</f>
        <v>1936.7704229999997</v>
      </c>
      <c r="Q2433" s="282" t="e">
        <f>(INDEX(Tabla6[#All],MATCH(Tabla4[[#This Row],[Producto]],Tabla6[[#All],[PRODUCTO]],0),MATCH(Tabla4[[#This Row],[Mes]],Tabla6[#Headers],0)))</f>
        <v>#N/A</v>
      </c>
      <c r="R2433" s="282" t="e">
        <f>++Tabla4[[#This Row],[Precio Unitario Neto]]-Tabla4[[#This Row],[20.85%]]-Tabla4[[#This Row],[Costo]]</f>
        <v>#N/A</v>
      </c>
      <c r="S2433" s="282" t="e">
        <f>++Tabla4[[#This Row],[U. Bruta Uni]]*Tabla4[[#This Row],[Cantidad]]</f>
        <v>#N/A</v>
      </c>
      <c r="T2433" s="369" t="str">
        <f>VLOOKUP(Tabla4[[#This Row],[Producto]],Tabla6[#All],14,FALSE)</f>
        <v>Termico Solar</v>
      </c>
      <c r="U2433" s="284" t="e">
        <f>(IF(Tabla4[[#This Row],[Familia]]="termico solar",Tabla4[[#This Row],[Utilidad Total]]*6%,Tabla4[[#This Row],[Utilidad Total]]*11.5%))/Tabla4[[#This Row],[Total]]</f>
        <v>#N/A</v>
      </c>
      <c r="V2433" s="282" t="e">
        <f>+Tabla4[[#This Row],[Comisión Calculada]]*Tabla4[[#This Row],[Total]]</f>
        <v>#N/A</v>
      </c>
    </row>
    <row r="2434" spans="1:22" hidden="1" x14ac:dyDescent="0.25">
      <c r="A2434" s="100">
        <v>45777</v>
      </c>
      <c r="B2434" t="str">
        <f t="shared" si="120"/>
        <v>April</v>
      </c>
      <c r="C2434" s="46" t="s">
        <v>280</v>
      </c>
      <c r="F2434" s="366" t="s">
        <v>1633</v>
      </c>
      <c r="G2434" s="46" t="s">
        <v>394</v>
      </c>
      <c r="H2434" s="46">
        <v>9</v>
      </c>
      <c r="I2434" s="51">
        <v>108.1</v>
      </c>
      <c r="J2434" s="281">
        <f>++Tabla4[[#This Row],[Precio Bruto]]*1.16</f>
        <v>125.39599999999999</v>
      </c>
      <c r="K2434" s="281">
        <f>+Tabla4[[#This Row],[Precio Unitario Neto]]*Tabla4[[#Headers],[20.85%]]</f>
        <v>26.145065999999996</v>
      </c>
      <c r="L2434" s="282">
        <f>++Tabla4[[#This Row],[Precio Unitario Neto]]-Tabla4[[#This Row],[20.85%]]</f>
        <v>99.250933999999987</v>
      </c>
      <c r="M2434" s="282" t="e">
        <f>(INDEX(Tabla6[#All],MATCH(Tabla4[[#This Row],[Producto]],Tabla6[[#All],[PRODUCTO]],0),MATCH(Tabla4[[#This Row],[Mes]],Tabla6[#Headers],0)))*(1+Catalogos!$L$2)</f>
        <v>#N/A</v>
      </c>
      <c r="N2434" s="283" t="e">
        <f>+(Tabla4[[#This Row],[Precio Descontado]]-Tabla4[[#This Row],[Precio Base]])*Tabla4[[#This Row],[Cantidad]]</f>
        <v>#N/A</v>
      </c>
      <c r="O2434" s="284" t="e">
        <f>++Tabla4[[#This Row],[Utilidad Total]]/Tabla4[[#This Row],[Total]]</f>
        <v>#N/A</v>
      </c>
      <c r="P2434" s="282">
        <f>++Tabla4[[#This Row],[Precio Descontado]]*Tabla4[[#This Row],[Cantidad]]</f>
        <v>893.25840599999992</v>
      </c>
      <c r="Q2434" s="282" t="e">
        <f>(INDEX(Tabla6[#All],MATCH(Tabla4[[#This Row],[Producto]],Tabla6[[#All],[PRODUCTO]],0),MATCH(Tabla4[[#This Row],[Mes]],Tabla6[#Headers],0)))</f>
        <v>#N/A</v>
      </c>
      <c r="R2434" s="282" t="e">
        <f>++Tabla4[[#This Row],[Precio Unitario Neto]]-Tabla4[[#This Row],[20.85%]]-Tabla4[[#This Row],[Costo]]</f>
        <v>#N/A</v>
      </c>
      <c r="S2434" s="282" t="e">
        <f>++Tabla4[[#This Row],[U. Bruta Uni]]*Tabla4[[#This Row],[Cantidad]]</f>
        <v>#N/A</v>
      </c>
      <c r="T2434" s="369" t="str">
        <f>VLOOKUP(Tabla4[[#This Row],[Producto]],Tabla6[#All],14,FALSE)</f>
        <v>Termico Solar</v>
      </c>
      <c r="U2434" s="284" t="e">
        <f>(IF(Tabla4[[#This Row],[Familia]]="termico solar",Tabla4[[#This Row],[Utilidad Total]]*6%,Tabla4[[#This Row],[Utilidad Total]]*11.5%))/Tabla4[[#This Row],[Total]]</f>
        <v>#N/A</v>
      </c>
      <c r="V2434" s="282" t="e">
        <f>+Tabla4[[#This Row],[Comisión Calculada]]*Tabla4[[#This Row],[Total]]</f>
        <v>#N/A</v>
      </c>
    </row>
    <row r="2435" spans="1:22" hidden="1" x14ac:dyDescent="0.25">
      <c r="A2435" s="100">
        <v>45777</v>
      </c>
      <c r="B2435" t="str">
        <f t="shared" si="120"/>
        <v>April</v>
      </c>
      <c r="C2435" s="46" t="s">
        <v>280</v>
      </c>
      <c r="F2435" s="366" t="s">
        <v>1634</v>
      </c>
      <c r="G2435" s="46" t="s">
        <v>208</v>
      </c>
      <c r="H2435" s="46">
        <v>1</v>
      </c>
      <c r="I2435" s="51">
        <v>189.75</v>
      </c>
      <c r="J2435" s="281">
        <f>++Tabla4[[#This Row],[Precio Bruto]]*1.16</f>
        <v>220.10999999999999</v>
      </c>
      <c r="K2435" s="281">
        <f>+Tabla4[[#This Row],[Precio Unitario Neto]]*Tabla4[[#Headers],[20.85%]]</f>
        <v>45.892934999999994</v>
      </c>
      <c r="L2435" s="282">
        <f>++Tabla4[[#This Row],[Precio Unitario Neto]]-Tabla4[[#This Row],[20.85%]]</f>
        <v>174.21706499999999</v>
      </c>
      <c r="M2435" s="282" t="e">
        <f>(INDEX(Tabla6[#All],MATCH(Tabla4[[#This Row],[Producto]],Tabla6[[#All],[PRODUCTO]],0),MATCH(Tabla4[[#This Row],[Mes]],Tabla6[#Headers],0)))*(1+Catalogos!$L$2)</f>
        <v>#N/A</v>
      </c>
      <c r="N2435" s="283" t="e">
        <f>+(Tabla4[[#This Row],[Precio Descontado]]-Tabla4[[#This Row],[Precio Base]])*Tabla4[[#This Row],[Cantidad]]</f>
        <v>#N/A</v>
      </c>
      <c r="O2435" s="284" t="e">
        <f>++Tabla4[[#This Row],[Utilidad Total]]/Tabla4[[#This Row],[Total]]</f>
        <v>#N/A</v>
      </c>
      <c r="P2435" s="282">
        <f>++Tabla4[[#This Row],[Precio Descontado]]*Tabla4[[#This Row],[Cantidad]]</f>
        <v>174.21706499999999</v>
      </c>
      <c r="Q2435" s="282" t="e">
        <f>(INDEX(Tabla6[#All],MATCH(Tabla4[[#This Row],[Producto]],Tabla6[[#All],[PRODUCTO]],0),MATCH(Tabla4[[#This Row],[Mes]],Tabla6[#Headers],0)))</f>
        <v>#N/A</v>
      </c>
      <c r="R2435" s="282" t="e">
        <f>++Tabla4[[#This Row],[Precio Unitario Neto]]-Tabla4[[#This Row],[20.85%]]-Tabla4[[#This Row],[Costo]]</f>
        <v>#N/A</v>
      </c>
      <c r="S2435" s="282" t="e">
        <f>++Tabla4[[#This Row],[U. Bruta Uni]]*Tabla4[[#This Row],[Cantidad]]</f>
        <v>#N/A</v>
      </c>
      <c r="T2435" s="369" t="str">
        <f>VLOOKUP(Tabla4[[#This Row],[Producto]],Tabla6[#All],14,FALSE)</f>
        <v>Termico Solar</v>
      </c>
      <c r="U2435" s="284" t="e">
        <f>(IF(Tabla4[[#This Row],[Familia]]="termico solar",Tabla4[[#This Row],[Utilidad Total]]*6%,Tabla4[[#This Row],[Utilidad Total]]*11.5%))/Tabla4[[#This Row],[Total]]</f>
        <v>#N/A</v>
      </c>
      <c r="V2435" s="282" t="e">
        <f>+Tabla4[[#This Row],[Comisión Calculada]]*Tabla4[[#This Row],[Total]]</f>
        <v>#N/A</v>
      </c>
    </row>
    <row r="2436" spans="1:22" hidden="1" x14ac:dyDescent="0.25">
      <c r="A2436" s="100">
        <v>45777</v>
      </c>
      <c r="B2436" t="str">
        <f t="shared" si="120"/>
        <v>April</v>
      </c>
      <c r="C2436" s="46" t="s">
        <v>280</v>
      </c>
      <c r="F2436" s="366" t="s">
        <v>1635</v>
      </c>
      <c r="G2436" s="46" t="s">
        <v>566</v>
      </c>
      <c r="H2436" s="46">
        <v>1</v>
      </c>
      <c r="I2436" s="51">
        <v>2109.4499999999998</v>
      </c>
      <c r="J2436" s="281">
        <f>++Tabla4[[#This Row],[Precio Bruto]]*1.16</f>
        <v>2446.9619999999995</v>
      </c>
      <c r="K2436" s="281">
        <f>+Tabla4[[#This Row],[Precio Unitario Neto]]*Tabla4[[#Headers],[20.85%]]</f>
        <v>510.19157699999988</v>
      </c>
      <c r="L2436" s="282">
        <f>++Tabla4[[#This Row],[Precio Unitario Neto]]-Tabla4[[#This Row],[20.85%]]</f>
        <v>1936.7704229999997</v>
      </c>
      <c r="M2436" s="282" t="e">
        <f>(INDEX(Tabla6[#All],MATCH(Tabla4[[#This Row],[Producto]],Tabla6[[#All],[PRODUCTO]],0),MATCH(Tabla4[[#This Row],[Mes]],Tabla6[#Headers],0)))*(1+Catalogos!$L$2)</f>
        <v>#N/A</v>
      </c>
      <c r="N2436" s="283" t="e">
        <f>+(Tabla4[[#This Row],[Precio Descontado]]-Tabla4[[#This Row],[Precio Base]])*Tabla4[[#This Row],[Cantidad]]</f>
        <v>#N/A</v>
      </c>
      <c r="O2436" s="284" t="e">
        <f>++Tabla4[[#This Row],[Utilidad Total]]/Tabla4[[#This Row],[Total]]</f>
        <v>#N/A</v>
      </c>
      <c r="P2436" s="282">
        <f>++Tabla4[[#This Row],[Precio Descontado]]*Tabla4[[#This Row],[Cantidad]]</f>
        <v>1936.7704229999997</v>
      </c>
      <c r="Q2436" s="282" t="e">
        <f>(INDEX(Tabla6[#All],MATCH(Tabla4[[#This Row],[Producto]],Tabla6[[#All],[PRODUCTO]],0),MATCH(Tabla4[[#This Row],[Mes]],Tabla6[#Headers],0)))</f>
        <v>#N/A</v>
      </c>
      <c r="R2436" s="282" t="e">
        <f>++Tabla4[[#This Row],[Precio Unitario Neto]]-Tabla4[[#This Row],[20.85%]]-Tabla4[[#This Row],[Costo]]</f>
        <v>#N/A</v>
      </c>
      <c r="S2436" s="282" t="e">
        <f>++Tabla4[[#This Row],[U. Bruta Uni]]*Tabla4[[#This Row],[Cantidad]]</f>
        <v>#N/A</v>
      </c>
      <c r="T2436" s="369" t="str">
        <f>VLOOKUP(Tabla4[[#This Row],[Producto]],Tabla6[#All],14,FALSE)</f>
        <v>Termico Solar</v>
      </c>
      <c r="U2436" s="284" t="e">
        <f>(IF(Tabla4[[#This Row],[Familia]]="termico solar",Tabla4[[#This Row],[Utilidad Total]]*6%,Tabla4[[#This Row],[Utilidad Total]]*11.5%))/Tabla4[[#This Row],[Total]]</f>
        <v>#N/A</v>
      </c>
      <c r="V2436" s="282" t="e">
        <f>+Tabla4[[#This Row],[Comisión Calculada]]*Tabla4[[#This Row],[Total]]</f>
        <v>#N/A</v>
      </c>
    </row>
    <row r="2437" spans="1:22" hidden="1" x14ac:dyDescent="0.25">
      <c r="A2437" s="100">
        <v>45777</v>
      </c>
      <c r="B2437" t="str">
        <f t="shared" si="120"/>
        <v>April</v>
      </c>
      <c r="C2437" s="46" t="s">
        <v>280</v>
      </c>
      <c r="F2437" s="366" t="s">
        <v>1635</v>
      </c>
      <c r="G2437" s="46" t="s">
        <v>16</v>
      </c>
      <c r="H2437" s="46">
        <v>4</v>
      </c>
      <c r="I2437" s="51">
        <v>4103.8500000000004</v>
      </c>
      <c r="J2437" s="281">
        <f>++Tabla4[[#This Row],[Precio Bruto]]*1.16</f>
        <v>4760.4660000000003</v>
      </c>
      <c r="K2437" s="281">
        <f>+Tabla4[[#This Row],[Precio Unitario Neto]]*Tabla4[[#Headers],[20.85%]]</f>
        <v>992.55716100000006</v>
      </c>
      <c r="L2437" s="282">
        <f>++Tabla4[[#This Row],[Precio Unitario Neto]]-Tabla4[[#This Row],[20.85%]]</f>
        <v>3767.9088390000002</v>
      </c>
      <c r="M2437" s="282" t="e">
        <f>(INDEX(Tabla6[#All],MATCH(Tabla4[[#This Row],[Producto]],Tabla6[[#All],[PRODUCTO]],0),MATCH(Tabla4[[#This Row],[Mes]],Tabla6[#Headers],0)))*(1+Catalogos!$L$2)</f>
        <v>#N/A</v>
      </c>
      <c r="N2437" s="283" t="e">
        <f>+(Tabla4[[#This Row],[Precio Descontado]]-Tabla4[[#This Row],[Precio Base]])*Tabla4[[#This Row],[Cantidad]]</f>
        <v>#N/A</v>
      </c>
      <c r="O2437" s="284" t="e">
        <f>++Tabla4[[#This Row],[Utilidad Total]]/Tabla4[[#This Row],[Total]]</f>
        <v>#N/A</v>
      </c>
      <c r="P2437" s="282">
        <f>++Tabla4[[#This Row],[Precio Descontado]]*Tabla4[[#This Row],[Cantidad]]</f>
        <v>15071.635356000001</v>
      </c>
      <c r="Q2437" s="282" t="e">
        <f>(INDEX(Tabla6[#All],MATCH(Tabla4[[#This Row],[Producto]],Tabla6[[#All],[PRODUCTO]],0),MATCH(Tabla4[[#This Row],[Mes]],Tabla6[#Headers],0)))</f>
        <v>#N/A</v>
      </c>
      <c r="R2437" s="282" t="e">
        <f>++Tabla4[[#This Row],[Precio Unitario Neto]]-Tabla4[[#This Row],[20.85%]]-Tabla4[[#This Row],[Costo]]</f>
        <v>#N/A</v>
      </c>
      <c r="S2437" s="282" t="e">
        <f>++Tabla4[[#This Row],[U. Bruta Uni]]*Tabla4[[#This Row],[Cantidad]]</f>
        <v>#N/A</v>
      </c>
      <c r="T2437" s="369" t="str">
        <f>VLOOKUP(Tabla4[[#This Row],[Producto]],Tabla6[#All],14,FALSE)</f>
        <v>Termico Solar</v>
      </c>
      <c r="U2437" s="284" t="e">
        <f>(IF(Tabla4[[#This Row],[Familia]]="termico solar",Tabla4[[#This Row],[Utilidad Total]]*6%,Tabla4[[#This Row],[Utilidad Total]]*11.5%))/Tabla4[[#This Row],[Total]]</f>
        <v>#N/A</v>
      </c>
      <c r="V2437" s="282" t="e">
        <f>+Tabla4[[#This Row],[Comisión Calculada]]*Tabla4[[#This Row],[Total]]</f>
        <v>#N/A</v>
      </c>
    </row>
    <row r="2438" spans="1:22" hidden="1" x14ac:dyDescent="0.25">
      <c r="A2438" s="100">
        <v>45777</v>
      </c>
      <c r="B2438" t="str">
        <f t="shared" si="120"/>
        <v>April</v>
      </c>
      <c r="C2438" s="46" t="s">
        <v>280</v>
      </c>
      <c r="F2438" s="366" t="s">
        <v>1636</v>
      </c>
      <c r="G2438" s="46" t="s">
        <v>83</v>
      </c>
      <c r="H2438" s="46">
        <v>2</v>
      </c>
      <c r="I2438" s="51">
        <v>8858.76</v>
      </c>
      <c r="J2438" s="281">
        <f>++Tabla4[[#This Row],[Precio Bruto]]*1.16</f>
        <v>10276.161599999999</v>
      </c>
      <c r="K2438" s="281">
        <f>+Tabla4[[#This Row],[Precio Unitario Neto]]*Tabla4[[#Headers],[20.85%]]</f>
        <v>2142.5796935999997</v>
      </c>
      <c r="L2438" s="282">
        <f>++Tabla4[[#This Row],[Precio Unitario Neto]]-Tabla4[[#This Row],[20.85%]]</f>
        <v>8133.5819063999998</v>
      </c>
      <c r="M2438" s="282" t="e">
        <f>(INDEX(Tabla6[#All],MATCH(Tabla4[[#This Row],[Producto]],Tabla6[[#All],[PRODUCTO]],0),MATCH(Tabla4[[#This Row],[Mes]],Tabla6[#Headers],0)))*(1+Catalogos!$L$2)</f>
        <v>#N/A</v>
      </c>
      <c r="N2438" s="283" t="e">
        <f>+(Tabla4[[#This Row],[Precio Descontado]]-Tabla4[[#This Row],[Precio Base]])*Tabla4[[#This Row],[Cantidad]]</f>
        <v>#N/A</v>
      </c>
      <c r="O2438" s="284" t="e">
        <f>++Tabla4[[#This Row],[Utilidad Total]]/Tabla4[[#This Row],[Total]]</f>
        <v>#N/A</v>
      </c>
      <c r="P2438" s="282">
        <f>++Tabla4[[#This Row],[Precio Descontado]]*Tabla4[[#This Row],[Cantidad]]</f>
        <v>16267.1638128</v>
      </c>
      <c r="Q2438" s="282" t="e">
        <f>(INDEX(Tabla6[#All],MATCH(Tabla4[[#This Row],[Producto]],Tabla6[[#All],[PRODUCTO]],0),MATCH(Tabla4[[#This Row],[Mes]],Tabla6[#Headers],0)))</f>
        <v>#N/A</v>
      </c>
      <c r="R2438" s="282" t="e">
        <f>++Tabla4[[#This Row],[Precio Unitario Neto]]-Tabla4[[#This Row],[20.85%]]-Tabla4[[#This Row],[Costo]]</f>
        <v>#N/A</v>
      </c>
      <c r="S2438" s="282" t="e">
        <f>++Tabla4[[#This Row],[U. Bruta Uni]]*Tabla4[[#This Row],[Cantidad]]</f>
        <v>#N/A</v>
      </c>
      <c r="T2438" s="369" t="str">
        <f>VLOOKUP(Tabla4[[#This Row],[Producto]],Tabla6[#All],14,FALSE)</f>
        <v>Termico Solar</v>
      </c>
      <c r="U2438" s="284" t="e">
        <f>(IF(Tabla4[[#This Row],[Familia]]="termico solar",Tabla4[[#This Row],[Utilidad Total]]*6%,Tabla4[[#This Row],[Utilidad Total]]*11.5%))/Tabla4[[#This Row],[Total]]</f>
        <v>#N/A</v>
      </c>
      <c r="V2438" s="282" t="e">
        <f>+Tabla4[[#This Row],[Comisión Calculada]]*Tabla4[[#This Row],[Total]]</f>
        <v>#N/A</v>
      </c>
    </row>
    <row r="2439" spans="1:22" hidden="1" x14ac:dyDescent="0.25">
      <c r="A2439" s="100">
        <v>45777</v>
      </c>
      <c r="B2439" t="str">
        <f t="shared" si="120"/>
        <v>April</v>
      </c>
      <c r="C2439" s="46" t="s">
        <v>280</v>
      </c>
      <c r="F2439" s="366" t="s">
        <v>1636</v>
      </c>
      <c r="G2439" s="46" t="s">
        <v>17</v>
      </c>
      <c r="H2439" s="46">
        <v>2</v>
      </c>
      <c r="I2439" s="51">
        <v>4622.28</v>
      </c>
      <c r="J2439" s="281">
        <f>++Tabla4[[#This Row],[Precio Bruto]]*1.16</f>
        <v>5361.8447999999989</v>
      </c>
      <c r="K2439" s="281">
        <f>+Tabla4[[#This Row],[Precio Unitario Neto]]*Tabla4[[#Headers],[20.85%]]</f>
        <v>1117.9446407999997</v>
      </c>
      <c r="L2439" s="282">
        <f>++Tabla4[[#This Row],[Precio Unitario Neto]]-Tabla4[[#This Row],[20.85%]]</f>
        <v>4243.9001591999995</v>
      </c>
      <c r="M2439" s="282" t="e">
        <f>(INDEX(Tabla6[#All],MATCH(Tabla4[[#This Row],[Producto]],Tabla6[[#All],[PRODUCTO]],0),MATCH(Tabla4[[#This Row],[Mes]],Tabla6[#Headers],0)))*(1+Catalogos!$L$2)</f>
        <v>#N/A</v>
      </c>
      <c r="N2439" s="283" t="e">
        <f>+(Tabla4[[#This Row],[Precio Descontado]]-Tabla4[[#This Row],[Precio Base]])*Tabla4[[#This Row],[Cantidad]]</f>
        <v>#N/A</v>
      </c>
      <c r="O2439" s="284" t="e">
        <f>++Tabla4[[#This Row],[Utilidad Total]]/Tabla4[[#This Row],[Total]]</f>
        <v>#N/A</v>
      </c>
      <c r="P2439" s="282">
        <f>++Tabla4[[#This Row],[Precio Descontado]]*Tabla4[[#This Row],[Cantidad]]</f>
        <v>8487.800318399999</v>
      </c>
      <c r="Q2439" s="282" t="e">
        <f>(INDEX(Tabla6[#All],MATCH(Tabla4[[#This Row],[Producto]],Tabla6[[#All],[PRODUCTO]],0),MATCH(Tabla4[[#This Row],[Mes]],Tabla6[#Headers],0)))</f>
        <v>#N/A</v>
      </c>
      <c r="R2439" s="282" t="e">
        <f>++Tabla4[[#This Row],[Precio Unitario Neto]]-Tabla4[[#This Row],[20.85%]]-Tabla4[[#This Row],[Costo]]</f>
        <v>#N/A</v>
      </c>
      <c r="S2439" s="282" t="e">
        <f>++Tabla4[[#This Row],[U. Bruta Uni]]*Tabla4[[#This Row],[Cantidad]]</f>
        <v>#N/A</v>
      </c>
      <c r="T2439" s="369" t="str">
        <f>VLOOKUP(Tabla4[[#This Row],[Producto]],Tabla6[#All],14,FALSE)</f>
        <v>Termico Solar</v>
      </c>
      <c r="U2439" s="284" t="e">
        <f>(IF(Tabla4[[#This Row],[Familia]]="termico solar",Tabla4[[#This Row],[Utilidad Total]]*6%,Tabla4[[#This Row],[Utilidad Total]]*11.5%))/Tabla4[[#This Row],[Total]]</f>
        <v>#N/A</v>
      </c>
      <c r="V2439" s="282" t="e">
        <f>+Tabla4[[#This Row],[Comisión Calculada]]*Tabla4[[#This Row],[Total]]</f>
        <v>#N/A</v>
      </c>
    </row>
    <row r="2440" spans="1:22" hidden="1" x14ac:dyDescent="0.25">
      <c r="A2440" s="100">
        <v>45777</v>
      </c>
      <c r="B2440" t="str">
        <f t="shared" si="120"/>
        <v>April</v>
      </c>
      <c r="C2440" s="46" t="s">
        <v>280</v>
      </c>
      <c r="F2440" s="366" t="s">
        <v>1637</v>
      </c>
      <c r="G2440" s="46" t="s">
        <v>17</v>
      </c>
      <c r="H2440" s="46">
        <v>1</v>
      </c>
      <c r="I2440" s="51">
        <v>4622.28</v>
      </c>
      <c r="J2440" s="281">
        <f>++Tabla4[[#This Row],[Precio Bruto]]*1.16</f>
        <v>5361.8447999999989</v>
      </c>
      <c r="K2440" s="281">
        <f>+Tabla4[[#This Row],[Precio Unitario Neto]]*Tabla4[[#Headers],[20.85%]]</f>
        <v>1117.9446407999997</v>
      </c>
      <c r="L2440" s="282">
        <f>++Tabla4[[#This Row],[Precio Unitario Neto]]-Tabla4[[#This Row],[20.85%]]</f>
        <v>4243.9001591999995</v>
      </c>
      <c r="M2440" s="282" t="e">
        <f>(INDEX(Tabla6[#All],MATCH(Tabla4[[#This Row],[Producto]],Tabla6[[#All],[PRODUCTO]],0),MATCH(Tabla4[[#This Row],[Mes]],Tabla6[#Headers],0)))*(1+Catalogos!$L$2)</f>
        <v>#N/A</v>
      </c>
      <c r="N2440" s="283" t="e">
        <f>+(Tabla4[[#This Row],[Precio Descontado]]-Tabla4[[#This Row],[Precio Base]])*Tabla4[[#This Row],[Cantidad]]</f>
        <v>#N/A</v>
      </c>
      <c r="O2440" s="284" t="e">
        <f>++Tabla4[[#This Row],[Utilidad Total]]/Tabla4[[#This Row],[Total]]</f>
        <v>#N/A</v>
      </c>
      <c r="P2440" s="282">
        <f>++Tabla4[[#This Row],[Precio Descontado]]*Tabla4[[#This Row],[Cantidad]]</f>
        <v>4243.9001591999995</v>
      </c>
      <c r="Q2440" s="282" t="e">
        <f>(INDEX(Tabla6[#All],MATCH(Tabla4[[#This Row],[Producto]],Tabla6[[#All],[PRODUCTO]],0),MATCH(Tabla4[[#This Row],[Mes]],Tabla6[#Headers],0)))</f>
        <v>#N/A</v>
      </c>
      <c r="R2440" s="282" t="e">
        <f>++Tabla4[[#This Row],[Precio Unitario Neto]]-Tabla4[[#This Row],[20.85%]]-Tabla4[[#This Row],[Costo]]</f>
        <v>#N/A</v>
      </c>
      <c r="S2440" s="282" t="e">
        <f>++Tabla4[[#This Row],[U. Bruta Uni]]*Tabla4[[#This Row],[Cantidad]]</f>
        <v>#N/A</v>
      </c>
      <c r="T2440" s="369" t="str">
        <f>VLOOKUP(Tabla4[[#This Row],[Producto]],Tabla6[#All],14,FALSE)</f>
        <v>Termico Solar</v>
      </c>
      <c r="U2440" s="284" t="e">
        <f>(IF(Tabla4[[#This Row],[Familia]]="termico solar",Tabla4[[#This Row],[Utilidad Total]]*6%,Tabla4[[#This Row],[Utilidad Total]]*11.5%))/Tabla4[[#This Row],[Total]]</f>
        <v>#N/A</v>
      </c>
      <c r="V2440" s="282" t="e">
        <f>+Tabla4[[#This Row],[Comisión Calculada]]*Tabla4[[#This Row],[Total]]</f>
        <v>#N/A</v>
      </c>
    </row>
    <row r="2441" spans="1:22" hidden="1" x14ac:dyDescent="0.25">
      <c r="A2441" s="100">
        <v>45777</v>
      </c>
      <c r="B2441" t="str">
        <f t="shared" si="120"/>
        <v>April</v>
      </c>
      <c r="C2441" s="46" t="s">
        <v>280</v>
      </c>
      <c r="F2441" s="366" t="s">
        <v>1638</v>
      </c>
      <c r="G2441" s="46" t="s">
        <v>566</v>
      </c>
      <c r="H2441" s="46">
        <v>1</v>
      </c>
      <c r="I2441" s="51">
        <v>2109.4499999999998</v>
      </c>
      <c r="J2441" s="281">
        <f>++Tabla4[[#This Row],[Precio Bruto]]*1.16</f>
        <v>2446.9619999999995</v>
      </c>
      <c r="K2441" s="281">
        <f>+Tabla4[[#This Row],[Precio Unitario Neto]]*Tabla4[[#Headers],[20.85%]]</f>
        <v>510.19157699999988</v>
      </c>
      <c r="L2441" s="282">
        <f>++Tabla4[[#This Row],[Precio Unitario Neto]]-Tabla4[[#This Row],[20.85%]]</f>
        <v>1936.7704229999997</v>
      </c>
      <c r="M2441" s="282" t="e">
        <f>(INDEX(Tabla6[#All],MATCH(Tabla4[[#This Row],[Producto]],Tabla6[[#All],[PRODUCTO]],0),MATCH(Tabla4[[#This Row],[Mes]],Tabla6[#Headers],0)))*(1+Catalogos!$L$2)</f>
        <v>#N/A</v>
      </c>
      <c r="N2441" s="283" t="e">
        <f>+(Tabla4[[#This Row],[Precio Descontado]]-Tabla4[[#This Row],[Precio Base]])*Tabla4[[#This Row],[Cantidad]]</f>
        <v>#N/A</v>
      </c>
      <c r="O2441" s="284" t="e">
        <f>++Tabla4[[#This Row],[Utilidad Total]]/Tabla4[[#This Row],[Total]]</f>
        <v>#N/A</v>
      </c>
      <c r="P2441" s="282">
        <f>++Tabla4[[#This Row],[Precio Descontado]]*Tabla4[[#This Row],[Cantidad]]</f>
        <v>1936.7704229999997</v>
      </c>
      <c r="Q2441" s="282" t="e">
        <f>(INDEX(Tabla6[#All],MATCH(Tabla4[[#This Row],[Producto]],Tabla6[[#All],[PRODUCTO]],0),MATCH(Tabla4[[#This Row],[Mes]],Tabla6[#Headers],0)))</f>
        <v>#N/A</v>
      </c>
      <c r="R2441" s="282" t="e">
        <f>++Tabla4[[#This Row],[Precio Unitario Neto]]-Tabla4[[#This Row],[20.85%]]-Tabla4[[#This Row],[Costo]]</f>
        <v>#N/A</v>
      </c>
      <c r="S2441" s="282" t="e">
        <f>++Tabla4[[#This Row],[U. Bruta Uni]]*Tabla4[[#This Row],[Cantidad]]</f>
        <v>#N/A</v>
      </c>
      <c r="T2441" s="369" t="str">
        <f>VLOOKUP(Tabla4[[#This Row],[Producto]],Tabla6[#All],14,FALSE)</f>
        <v>Termico Solar</v>
      </c>
      <c r="U2441" s="284" t="e">
        <f>(IF(Tabla4[[#This Row],[Familia]]="termico solar",Tabla4[[#This Row],[Utilidad Total]]*6%,Tabla4[[#This Row],[Utilidad Total]]*11.5%))/Tabla4[[#This Row],[Total]]</f>
        <v>#N/A</v>
      </c>
      <c r="V2441" s="282" t="e">
        <f>+Tabla4[[#This Row],[Comisión Calculada]]*Tabla4[[#This Row],[Total]]</f>
        <v>#N/A</v>
      </c>
    </row>
    <row r="2442" spans="1:22" hidden="1" x14ac:dyDescent="0.25">
      <c r="A2442" s="100">
        <v>45777</v>
      </c>
      <c r="B2442" t="str">
        <f t="shared" si="120"/>
        <v>April</v>
      </c>
      <c r="C2442" s="46" t="s">
        <v>280</v>
      </c>
      <c r="F2442" s="366" t="s">
        <v>1639</v>
      </c>
      <c r="G2442" s="46" t="s">
        <v>18</v>
      </c>
      <c r="H2442" s="46">
        <v>1</v>
      </c>
      <c r="I2442" s="51">
        <v>5367.65</v>
      </c>
      <c r="J2442" s="281">
        <f>++Tabla4[[#This Row],[Precio Bruto]]*1.16</f>
        <v>6226.4739999999993</v>
      </c>
      <c r="K2442" s="281">
        <f>+Tabla4[[#This Row],[Precio Unitario Neto]]*Tabla4[[#Headers],[20.85%]]</f>
        <v>1298.2198289999999</v>
      </c>
      <c r="L2442" s="282">
        <f>++Tabla4[[#This Row],[Precio Unitario Neto]]-Tabla4[[#This Row],[20.85%]]</f>
        <v>4928.2541709999996</v>
      </c>
      <c r="M2442" s="282" t="e">
        <f>(INDEX(Tabla6[#All],MATCH(Tabla4[[#This Row],[Producto]],Tabla6[[#All],[PRODUCTO]],0),MATCH(Tabla4[[#This Row],[Mes]],Tabla6[#Headers],0)))*(1+Catalogos!$L$2)</f>
        <v>#N/A</v>
      </c>
      <c r="N2442" s="283" t="e">
        <f>+(Tabla4[[#This Row],[Precio Descontado]]-Tabla4[[#This Row],[Precio Base]])*Tabla4[[#This Row],[Cantidad]]</f>
        <v>#N/A</v>
      </c>
      <c r="O2442" s="284" t="e">
        <f>++Tabla4[[#This Row],[Utilidad Total]]/Tabla4[[#This Row],[Total]]</f>
        <v>#N/A</v>
      </c>
      <c r="P2442" s="282">
        <f>++Tabla4[[#This Row],[Precio Descontado]]*Tabla4[[#This Row],[Cantidad]]</f>
        <v>4928.2541709999996</v>
      </c>
      <c r="Q2442" s="282" t="e">
        <f>(INDEX(Tabla6[#All],MATCH(Tabla4[[#This Row],[Producto]],Tabla6[[#All],[PRODUCTO]],0),MATCH(Tabla4[[#This Row],[Mes]],Tabla6[#Headers],0)))</f>
        <v>#N/A</v>
      </c>
      <c r="R2442" s="282" t="e">
        <f>++Tabla4[[#This Row],[Precio Unitario Neto]]-Tabla4[[#This Row],[20.85%]]-Tabla4[[#This Row],[Costo]]</f>
        <v>#N/A</v>
      </c>
      <c r="S2442" s="282" t="e">
        <f>++Tabla4[[#This Row],[U. Bruta Uni]]*Tabla4[[#This Row],[Cantidad]]</f>
        <v>#N/A</v>
      </c>
      <c r="T2442" s="369" t="str">
        <f>VLOOKUP(Tabla4[[#This Row],[Producto]],Tabla6[#All],14,FALSE)</f>
        <v>Termico Solar</v>
      </c>
      <c r="U2442" s="284" t="e">
        <f>(IF(Tabla4[[#This Row],[Familia]]="termico solar",Tabla4[[#This Row],[Utilidad Total]]*6%,Tabla4[[#This Row],[Utilidad Total]]*11.5%))/Tabla4[[#This Row],[Total]]</f>
        <v>#N/A</v>
      </c>
      <c r="V2442" s="282" t="e">
        <f>+Tabla4[[#This Row],[Comisión Calculada]]*Tabla4[[#This Row],[Total]]</f>
        <v>#N/A</v>
      </c>
    </row>
    <row r="2443" spans="1:22" ht="17.25" hidden="1" customHeight="1" x14ac:dyDescent="0.25">
      <c r="A2443" s="100">
        <v>45777</v>
      </c>
      <c r="B2443" t="str">
        <f t="shared" si="120"/>
        <v>April</v>
      </c>
      <c r="C2443" s="46" t="s">
        <v>280</v>
      </c>
      <c r="F2443" s="366" t="s">
        <v>1639</v>
      </c>
      <c r="G2443" s="46" t="s">
        <v>16</v>
      </c>
      <c r="H2443" s="46">
        <v>2</v>
      </c>
      <c r="I2443" s="51">
        <v>4103.8500000000004</v>
      </c>
      <c r="J2443" s="281">
        <f>++Tabla4[[#This Row],[Precio Bruto]]*1.16</f>
        <v>4760.4660000000003</v>
      </c>
      <c r="K2443" s="281">
        <f>+Tabla4[[#This Row],[Precio Unitario Neto]]*Tabla4[[#Headers],[20.85%]]</f>
        <v>992.55716100000006</v>
      </c>
      <c r="L2443" s="282">
        <f>++Tabla4[[#This Row],[Precio Unitario Neto]]-Tabla4[[#This Row],[20.85%]]</f>
        <v>3767.9088390000002</v>
      </c>
      <c r="M2443" s="282" t="e">
        <f>(INDEX(Tabla6[#All],MATCH(Tabla4[[#This Row],[Producto]],Tabla6[[#All],[PRODUCTO]],0),MATCH(Tabla4[[#This Row],[Mes]],Tabla6[#Headers],0)))*(1+Catalogos!$L$2)</f>
        <v>#N/A</v>
      </c>
      <c r="N2443" s="283" t="e">
        <f>+(Tabla4[[#This Row],[Precio Descontado]]-Tabla4[[#This Row],[Precio Base]])*Tabla4[[#This Row],[Cantidad]]</f>
        <v>#N/A</v>
      </c>
      <c r="O2443" s="284" t="e">
        <f>++Tabla4[[#This Row],[Utilidad Total]]/Tabla4[[#This Row],[Total]]</f>
        <v>#N/A</v>
      </c>
      <c r="P2443" s="282">
        <f>++Tabla4[[#This Row],[Precio Descontado]]*Tabla4[[#This Row],[Cantidad]]</f>
        <v>7535.8176780000003</v>
      </c>
      <c r="Q2443" s="282" t="e">
        <f>(INDEX(Tabla6[#All],MATCH(Tabla4[[#This Row],[Producto]],Tabla6[[#All],[PRODUCTO]],0),MATCH(Tabla4[[#This Row],[Mes]],Tabla6[#Headers],0)))</f>
        <v>#N/A</v>
      </c>
      <c r="R2443" s="282" t="e">
        <f>++Tabla4[[#This Row],[Precio Unitario Neto]]-Tabla4[[#This Row],[20.85%]]-Tabla4[[#This Row],[Costo]]</f>
        <v>#N/A</v>
      </c>
      <c r="S2443" s="282" t="e">
        <f>++Tabla4[[#This Row],[U. Bruta Uni]]*Tabla4[[#This Row],[Cantidad]]</f>
        <v>#N/A</v>
      </c>
      <c r="T2443" s="369" t="str">
        <f>VLOOKUP(Tabla4[[#This Row],[Producto]],Tabla6[#All],14,FALSE)</f>
        <v>Termico Solar</v>
      </c>
      <c r="U2443" s="284" t="e">
        <f>(IF(Tabla4[[#This Row],[Familia]]="termico solar",Tabla4[[#This Row],[Utilidad Total]]*6%,Tabla4[[#This Row],[Utilidad Total]]*11.5%))/Tabla4[[#This Row],[Total]]</f>
        <v>#N/A</v>
      </c>
      <c r="V2443" s="282" t="e">
        <f>+Tabla4[[#This Row],[Comisión Calculada]]*Tabla4[[#This Row],[Total]]</f>
        <v>#N/A</v>
      </c>
    </row>
    <row r="2444" spans="1:22" hidden="1" x14ac:dyDescent="0.25">
      <c r="A2444" s="100">
        <v>45777</v>
      </c>
      <c r="B2444" t="str">
        <f t="shared" si="120"/>
        <v>April</v>
      </c>
      <c r="C2444" s="46" t="s">
        <v>280</v>
      </c>
      <c r="F2444" s="366" t="s">
        <v>1640</v>
      </c>
      <c r="G2444" s="46" t="s">
        <v>566</v>
      </c>
      <c r="H2444" s="46">
        <v>1</v>
      </c>
      <c r="I2444" s="51">
        <v>2109.4499999999998</v>
      </c>
      <c r="J2444" s="281">
        <f>++Tabla4[[#This Row],[Precio Bruto]]*1.16</f>
        <v>2446.9619999999995</v>
      </c>
      <c r="K2444" s="281">
        <f>+Tabla4[[#This Row],[Precio Unitario Neto]]*Tabla4[[#Headers],[20.85%]]</f>
        <v>510.19157699999988</v>
      </c>
      <c r="L2444" s="282">
        <f>++Tabla4[[#This Row],[Precio Unitario Neto]]-Tabla4[[#This Row],[20.85%]]</f>
        <v>1936.7704229999997</v>
      </c>
      <c r="M2444" s="282" t="e">
        <f>(INDEX(Tabla6[#All],MATCH(Tabla4[[#This Row],[Producto]],Tabla6[[#All],[PRODUCTO]],0),MATCH(Tabla4[[#This Row],[Mes]],Tabla6[#Headers],0)))*(1+Catalogos!$L$2)</f>
        <v>#N/A</v>
      </c>
      <c r="N2444" s="283" t="e">
        <f>+(Tabla4[[#This Row],[Precio Descontado]]-Tabla4[[#This Row],[Precio Base]])*Tabla4[[#This Row],[Cantidad]]</f>
        <v>#N/A</v>
      </c>
      <c r="O2444" s="284" t="e">
        <f>++Tabla4[[#This Row],[Utilidad Total]]/Tabla4[[#This Row],[Total]]</f>
        <v>#N/A</v>
      </c>
      <c r="P2444" s="282">
        <f>++Tabla4[[#This Row],[Precio Descontado]]*Tabla4[[#This Row],[Cantidad]]</f>
        <v>1936.7704229999997</v>
      </c>
      <c r="Q2444" s="282" t="e">
        <f>(INDEX(Tabla6[#All],MATCH(Tabla4[[#This Row],[Producto]],Tabla6[[#All],[PRODUCTO]],0),MATCH(Tabla4[[#This Row],[Mes]],Tabla6[#Headers],0)))</f>
        <v>#N/A</v>
      </c>
      <c r="R2444" s="282" t="e">
        <f>++Tabla4[[#This Row],[Precio Unitario Neto]]-Tabla4[[#This Row],[20.85%]]-Tabla4[[#This Row],[Costo]]</f>
        <v>#N/A</v>
      </c>
      <c r="S2444" s="282" t="e">
        <f>++Tabla4[[#This Row],[U. Bruta Uni]]*Tabla4[[#This Row],[Cantidad]]</f>
        <v>#N/A</v>
      </c>
      <c r="T2444" s="369" t="str">
        <f>VLOOKUP(Tabla4[[#This Row],[Producto]],Tabla6[#All],14,FALSE)</f>
        <v>Termico Solar</v>
      </c>
      <c r="U2444" s="284" t="e">
        <f>(IF(Tabla4[[#This Row],[Familia]]="termico solar",Tabla4[[#This Row],[Utilidad Total]]*6%,Tabla4[[#This Row],[Utilidad Total]]*11.5%))/Tabla4[[#This Row],[Total]]</f>
        <v>#N/A</v>
      </c>
      <c r="V2444" s="282" t="e">
        <f>+Tabla4[[#This Row],[Comisión Calculada]]*Tabla4[[#This Row],[Total]]</f>
        <v>#N/A</v>
      </c>
    </row>
    <row r="2445" spans="1:22" hidden="1" x14ac:dyDescent="0.25">
      <c r="A2445" s="100">
        <v>45777</v>
      </c>
      <c r="B2445" t="str">
        <f t="shared" si="120"/>
        <v>April</v>
      </c>
      <c r="C2445" s="46" t="s">
        <v>280</v>
      </c>
      <c r="F2445" s="366" t="s">
        <v>1641</v>
      </c>
      <c r="G2445" s="46" t="s">
        <v>19</v>
      </c>
      <c r="H2445" s="46">
        <v>2</v>
      </c>
      <c r="I2445" s="51">
        <v>6412.03</v>
      </c>
      <c r="J2445" s="281">
        <f>++Tabla4[[#This Row],[Precio Bruto]]*1.16</f>
        <v>7437.9547999999995</v>
      </c>
      <c r="K2445" s="281">
        <f>+Tabla4[[#This Row],[Precio Unitario Neto]]*Tabla4[[#Headers],[20.85%]]</f>
        <v>1550.8135757999999</v>
      </c>
      <c r="L2445" s="282">
        <f>++Tabla4[[#This Row],[Precio Unitario Neto]]-Tabla4[[#This Row],[20.85%]]</f>
        <v>5887.1412241999997</v>
      </c>
      <c r="M2445" s="282" t="e">
        <f>(INDEX(Tabla6[#All],MATCH(Tabla4[[#This Row],[Producto]],Tabla6[[#All],[PRODUCTO]],0),MATCH(Tabla4[[#This Row],[Mes]],Tabla6[#Headers],0)))*(1+Catalogos!$L$2)</f>
        <v>#N/A</v>
      </c>
      <c r="N2445" s="283" t="e">
        <f>+(Tabla4[[#This Row],[Precio Descontado]]-Tabla4[[#This Row],[Precio Base]])*Tabla4[[#This Row],[Cantidad]]</f>
        <v>#N/A</v>
      </c>
      <c r="O2445" s="284" t="e">
        <f>++Tabla4[[#This Row],[Utilidad Total]]/Tabla4[[#This Row],[Total]]</f>
        <v>#N/A</v>
      </c>
      <c r="P2445" s="282">
        <f>++Tabla4[[#This Row],[Precio Descontado]]*Tabla4[[#This Row],[Cantidad]]</f>
        <v>11774.282448399999</v>
      </c>
      <c r="Q2445" s="282" t="e">
        <f>(INDEX(Tabla6[#All],MATCH(Tabla4[[#This Row],[Producto]],Tabla6[[#All],[PRODUCTO]],0),MATCH(Tabla4[[#This Row],[Mes]],Tabla6[#Headers],0)))</f>
        <v>#N/A</v>
      </c>
      <c r="R2445" s="282" t="e">
        <f>++Tabla4[[#This Row],[Precio Unitario Neto]]-Tabla4[[#This Row],[20.85%]]-Tabla4[[#This Row],[Costo]]</f>
        <v>#N/A</v>
      </c>
      <c r="S2445" s="282" t="e">
        <f>++Tabla4[[#This Row],[U. Bruta Uni]]*Tabla4[[#This Row],[Cantidad]]</f>
        <v>#N/A</v>
      </c>
      <c r="T2445" s="369" t="str">
        <f>VLOOKUP(Tabla4[[#This Row],[Producto]],Tabla6[#All],14,FALSE)</f>
        <v>Termico Solar</v>
      </c>
      <c r="U2445" s="284" t="e">
        <f>(IF(Tabla4[[#This Row],[Familia]]="termico solar",Tabla4[[#This Row],[Utilidad Total]]*6%,Tabla4[[#This Row],[Utilidad Total]]*11.5%))/Tabla4[[#This Row],[Total]]</f>
        <v>#N/A</v>
      </c>
      <c r="V2445" s="282" t="e">
        <f>+Tabla4[[#This Row],[Comisión Calculada]]*Tabla4[[#This Row],[Total]]</f>
        <v>#N/A</v>
      </c>
    </row>
    <row r="2446" spans="1:22" hidden="1" x14ac:dyDescent="0.25">
      <c r="A2446" s="100">
        <v>45777</v>
      </c>
      <c r="B2446" t="str">
        <f t="shared" si="120"/>
        <v>April</v>
      </c>
      <c r="C2446" s="46" t="s">
        <v>280</v>
      </c>
      <c r="F2446" s="366" t="s">
        <v>1641</v>
      </c>
      <c r="G2446" s="46" t="s">
        <v>555</v>
      </c>
      <c r="H2446" s="46">
        <v>8</v>
      </c>
      <c r="I2446" s="51">
        <v>389.47</v>
      </c>
      <c r="J2446" s="281">
        <f>++Tabla4[[#This Row],[Precio Bruto]]*1.16</f>
        <v>451.78519999999997</v>
      </c>
      <c r="K2446" s="281">
        <f>+Tabla4[[#This Row],[Precio Unitario Neto]]*Tabla4[[#Headers],[20.85%]]</f>
        <v>94.197214199999991</v>
      </c>
      <c r="L2446" s="282">
        <f>++Tabla4[[#This Row],[Precio Unitario Neto]]-Tabla4[[#This Row],[20.85%]]</f>
        <v>357.58798579999996</v>
      </c>
      <c r="M2446" s="282" t="e">
        <f>(INDEX(Tabla6[#All],MATCH(Tabla4[[#This Row],[Producto]],Tabla6[[#All],[PRODUCTO]],0),MATCH(Tabla4[[#This Row],[Mes]],Tabla6[#Headers],0)))*(1+Catalogos!$L$2)</f>
        <v>#N/A</v>
      </c>
      <c r="N2446" s="283" t="e">
        <f>+(Tabla4[[#This Row],[Precio Descontado]]-Tabla4[[#This Row],[Precio Base]])*Tabla4[[#This Row],[Cantidad]]</f>
        <v>#N/A</v>
      </c>
      <c r="O2446" s="284" t="e">
        <f>++Tabla4[[#This Row],[Utilidad Total]]/Tabla4[[#This Row],[Total]]</f>
        <v>#N/A</v>
      </c>
      <c r="P2446" s="282">
        <f>++Tabla4[[#This Row],[Precio Descontado]]*Tabla4[[#This Row],[Cantidad]]</f>
        <v>2860.7038863999996</v>
      </c>
      <c r="Q2446" s="282" t="e">
        <f>(INDEX(Tabla6[#All],MATCH(Tabla4[[#This Row],[Producto]],Tabla6[[#All],[PRODUCTO]],0),MATCH(Tabla4[[#This Row],[Mes]],Tabla6[#Headers],0)))</f>
        <v>#N/A</v>
      </c>
      <c r="R2446" s="282" t="e">
        <f>++Tabla4[[#This Row],[Precio Unitario Neto]]-Tabla4[[#This Row],[20.85%]]-Tabla4[[#This Row],[Costo]]</f>
        <v>#N/A</v>
      </c>
      <c r="S2446" s="282" t="e">
        <f>++Tabla4[[#This Row],[U. Bruta Uni]]*Tabla4[[#This Row],[Cantidad]]</f>
        <v>#N/A</v>
      </c>
      <c r="T2446" s="369" t="str">
        <f>VLOOKUP(Tabla4[[#This Row],[Producto]],Tabla6[#All],14,FALSE)</f>
        <v>Termico Solar</v>
      </c>
      <c r="U2446" s="284" t="e">
        <f>(IF(Tabla4[[#This Row],[Familia]]="termico solar",Tabla4[[#This Row],[Utilidad Total]]*6%,Tabla4[[#This Row],[Utilidad Total]]*11.5%))/Tabla4[[#This Row],[Total]]</f>
        <v>#N/A</v>
      </c>
      <c r="V2446" s="282" t="e">
        <f>+Tabla4[[#This Row],[Comisión Calculada]]*Tabla4[[#This Row],[Total]]</f>
        <v>#N/A</v>
      </c>
    </row>
    <row r="2447" spans="1:22" hidden="1" x14ac:dyDescent="0.25">
      <c r="A2447" s="100">
        <v>45777</v>
      </c>
      <c r="B2447" t="str">
        <f t="shared" si="120"/>
        <v>April</v>
      </c>
      <c r="C2447" s="46" t="s">
        <v>280</v>
      </c>
      <c r="F2447" s="366" t="s">
        <v>1641</v>
      </c>
      <c r="G2447" s="46" t="s">
        <v>208</v>
      </c>
      <c r="H2447" s="46">
        <v>1</v>
      </c>
      <c r="I2447" s="51">
        <v>189.75</v>
      </c>
      <c r="J2447" s="281">
        <f>++Tabla4[[#This Row],[Precio Bruto]]*1.16</f>
        <v>220.10999999999999</v>
      </c>
      <c r="K2447" s="281">
        <f>+Tabla4[[#This Row],[Precio Unitario Neto]]*Tabla4[[#Headers],[20.85%]]</f>
        <v>45.892934999999994</v>
      </c>
      <c r="L2447" s="282">
        <f>++Tabla4[[#This Row],[Precio Unitario Neto]]-Tabla4[[#This Row],[20.85%]]</f>
        <v>174.21706499999999</v>
      </c>
      <c r="M2447" s="282" t="e">
        <f>(INDEX(Tabla6[#All],MATCH(Tabla4[[#This Row],[Producto]],Tabla6[[#All],[PRODUCTO]],0),MATCH(Tabla4[[#This Row],[Mes]],Tabla6[#Headers],0)))*(1+Catalogos!$L$2)</f>
        <v>#N/A</v>
      </c>
      <c r="N2447" s="283" t="e">
        <f>+(Tabla4[[#This Row],[Precio Descontado]]-Tabla4[[#This Row],[Precio Base]])*Tabla4[[#This Row],[Cantidad]]</f>
        <v>#N/A</v>
      </c>
      <c r="O2447" s="284" t="e">
        <f>++Tabla4[[#This Row],[Utilidad Total]]/Tabla4[[#This Row],[Total]]</f>
        <v>#N/A</v>
      </c>
      <c r="P2447" s="282">
        <f>++Tabla4[[#This Row],[Precio Descontado]]*Tabla4[[#This Row],[Cantidad]]</f>
        <v>174.21706499999999</v>
      </c>
      <c r="Q2447" s="282" t="e">
        <f>(INDEX(Tabla6[#All],MATCH(Tabla4[[#This Row],[Producto]],Tabla6[[#All],[PRODUCTO]],0),MATCH(Tabla4[[#This Row],[Mes]],Tabla6[#Headers],0)))</f>
        <v>#N/A</v>
      </c>
      <c r="R2447" s="282" t="e">
        <f>++Tabla4[[#This Row],[Precio Unitario Neto]]-Tabla4[[#This Row],[20.85%]]-Tabla4[[#This Row],[Costo]]</f>
        <v>#N/A</v>
      </c>
      <c r="S2447" s="282" t="e">
        <f>++Tabla4[[#This Row],[U. Bruta Uni]]*Tabla4[[#This Row],[Cantidad]]</f>
        <v>#N/A</v>
      </c>
      <c r="T2447" s="369" t="str">
        <f>VLOOKUP(Tabla4[[#This Row],[Producto]],Tabla6[#All],14,FALSE)</f>
        <v>Termico Solar</v>
      </c>
      <c r="U2447" s="284" t="e">
        <f>(IF(Tabla4[[#This Row],[Familia]]="termico solar",Tabla4[[#This Row],[Utilidad Total]]*6%,Tabla4[[#This Row],[Utilidad Total]]*11.5%))/Tabla4[[#This Row],[Total]]</f>
        <v>#N/A</v>
      </c>
      <c r="V2447" s="282" t="e">
        <f>+Tabla4[[#This Row],[Comisión Calculada]]*Tabla4[[#This Row],[Total]]</f>
        <v>#N/A</v>
      </c>
    </row>
    <row r="2448" spans="1:22" hidden="1" x14ac:dyDescent="0.25">
      <c r="A2448" s="100">
        <v>45777</v>
      </c>
      <c r="B2448" t="str">
        <f t="shared" si="120"/>
        <v>April</v>
      </c>
      <c r="C2448" s="46" t="s">
        <v>280</v>
      </c>
      <c r="F2448" s="366" t="s">
        <v>1641</v>
      </c>
      <c r="G2448" s="46" t="s">
        <v>209</v>
      </c>
      <c r="H2448" s="46">
        <v>1</v>
      </c>
      <c r="I2448" s="51">
        <v>347.48</v>
      </c>
      <c r="J2448" s="281">
        <f>++Tabla4[[#This Row],[Precio Bruto]]*1.16</f>
        <v>403.07679999999999</v>
      </c>
      <c r="K2448" s="281">
        <f>+Tabla4[[#This Row],[Precio Unitario Neto]]*Tabla4[[#Headers],[20.85%]]</f>
        <v>84.041512799999992</v>
      </c>
      <c r="L2448" s="282">
        <f>++Tabla4[[#This Row],[Precio Unitario Neto]]-Tabla4[[#This Row],[20.85%]]</f>
        <v>319.03528719999997</v>
      </c>
      <c r="M2448" s="282" t="e">
        <f>(INDEX(Tabla6[#All],MATCH(Tabla4[[#This Row],[Producto]],Tabla6[[#All],[PRODUCTO]],0),MATCH(Tabla4[[#This Row],[Mes]],Tabla6[#Headers],0)))*(1+Catalogos!$L$2)</f>
        <v>#N/A</v>
      </c>
      <c r="N2448" s="283" t="e">
        <f>+(Tabla4[[#This Row],[Precio Descontado]]-Tabla4[[#This Row],[Precio Base]])*Tabla4[[#This Row],[Cantidad]]</f>
        <v>#N/A</v>
      </c>
      <c r="O2448" s="284" t="e">
        <f>++Tabla4[[#This Row],[Utilidad Total]]/Tabla4[[#This Row],[Total]]</f>
        <v>#N/A</v>
      </c>
      <c r="P2448" s="282">
        <f>++Tabla4[[#This Row],[Precio Descontado]]*Tabla4[[#This Row],[Cantidad]]</f>
        <v>319.03528719999997</v>
      </c>
      <c r="Q2448" s="282" t="e">
        <f>(INDEX(Tabla6[#All],MATCH(Tabla4[[#This Row],[Producto]],Tabla6[[#All],[PRODUCTO]],0),MATCH(Tabla4[[#This Row],[Mes]],Tabla6[#Headers],0)))</f>
        <v>#N/A</v>
      </c>
      <c r="R2448" s="282" t="e">
        <f>++Tabla4[[#This Row],[Precio Unitario Neto]]-Tabla4[[#This Row],[20.85%]]-Tabla4[[#This Row],[Costo]]</f>
        <v>#N/A</v>
      </c>
      <c r="S2448" s="282" t="e">
        <f>++Tabla4[[#This Row],[U. Bruta Uni]]*Tabla4[[#This Row],[Cantidad]]</f>
        <v>#N/A</v>
      </c>
      <c r="T2448" s="369" t="str">
        <f>VLOOKUP(Tabla4[[#This Row],[Producto]],Tabla6[#All],14,FALSE)</f>
        <v>Termico Solar</v>
      </c>
      <c r="U2448" s="284" t="e">
        <f>(IF(Tabla4[[#This Row],[Familia]]="termico solar",Tabla4[[#This Row],[Utilidad Total]]*6%,Tabla4[[#This Row],[Utilidad Total]]*11.5%))/Tabla4[[#This Row],[Total]]</f>
        <v>#N/A</v>
      </c>
      <c r="V2448" s="282" t="e">
        <f>+Tabla4[[#This Row],[Comisión Calculada]]*Tabla4[[#This Row],[Total]]</f>
        <v>#N/A</v>
      </c>
    </row>
    <row r="2449" spans="1:22" hidden="1" x14ac:dyDescent="0.25">
      <c r="A2449" s="100">
        <v>45777</v>
      </c>
      <c r="B2449" t="str">
        <f t="shared" si="120"/>
        <v>April</v>
      </c>
      <c r="C2449" s="46" t="s">
        <v>280</v>
      </c>
      <c r="F2449" s="366" t="s">
        <v>1642</v>
      </c>
      <c r="G2449" s="46" t="s">
        <v>83</v>
      </c>
      <c r="H2449" s="46">
        <v>1</v>
      </c>
      <c r="I2449" s="51">
        <v>8858.76</v>
      </c>
      <c r="J2449" s="281">
        <f>++Tabla4[[#This Row],[Precio Bruto]]*1.16</f>
        <v>10276.161599999999</v>
      </c>
      <c r="K2449" s="281">
        <f>+Tabla4[[#This Row],[Precio Unitario Neto]]*Tabla4[[#Headers],[20.85%]]</f>
        <v>2142.5796935999997</v>
      </c>
      <c r="L2449" s="282">
        <f>++Tabla4[[#This Row],[Precio Unitario Neto]]-Tabla4[[#This Row],[20.85%]]</f>
        <v>8133.5819063999998</v>
      </c>
      <c r="M2449" s="282" t="e">
        <f>(INDEX(Tabla6[#All],MATCH(Tabla4[[#This Row],[Producto]],Tabla6[[#All],[PRODUCTO]],0),MATCH(Tabla4[[#This Row],[Mes]],Tabla6[#Headers],0)))*(1+Catalogos!$L$2)</f>
        <v>#N/A</v>
      </c>
      <c r="N2449" s="283" t="e">
        <f>+(Tabla4[[#This Row],[Precio Descontado]]-Tabla4[[#This Row],[Precio Base]])*Tabla4[[#This Row],[Cantidad]]</f>
        <v>#N/A</v>
      </c>
      <c r="O2449" s="284" t="e">
        <f>++Tabla4[[#This Row],[Utilidad Total]]/Tabla4[[#This Row],[Total]]</f>
        <v>#N/A</v>
      </c>
      <c r="P2449" s="282">
        <f>++Tabla4[[#This Row],[Precio Descontado]]*Tabla4[[#This Row],[Cantidad]]</f>
        <v>8133.5819063999998</v>
      </c>
      <c r="Q2449" s="282" t="e">
        <f>(INDEX(Tabla6[#All],MATCH(Tabla4[[#This Row],[Producto]],Tabla6[[#All],[PRODUCTO]],0),MATCH(Tabla4[[#This Row],[Mes]],Tabla6[#Headers],0)))</f>
        <v>#N/A</v>
      </c>
      <c r="R2449" s="282" t="e">
        <f>++Tabla4[[#This Row],[Precio Unitario Neto]]-Tabla4[[#This Row],[20.85%]]-Tabla4[[#This Row],[Costo]]</f>
        <v>#N/A</v>
      </c>
      <c r="S2449" s="282" t="e">
        <f>++Tabla4[[#This Row],[U. Bruta Uni]]*Tabla4[[#This Row],[Cantidad]]</f>
        <v>#N/A</v>
      </c>
      <c r="T2449" s="369" t="str">
        <f>VLOOKUP(Tabla4[[#This Row],[Producto]],Tabla6[#All],14,FALSE)</f>
        <v>Termico Solar</v>
      </c>
      <c r="U2449" s="284" t="e">
        <f>(IF(Tabla4[[#This Row],[Familia]]="termico solar",Tabla4[[#This Row],[Utilidad Total]]*6%,Tabla4[[#This Row],[Utilidad Total]]*11.5%))/Tabla4[[#This Row],[Total]]</f>
        <v>#N/A</v>
      </c>
      <c r="V2449" s="282" t="e">
        <f>+Tabla4[[#This Row],[Comisión Calculada]]*Tabla4[[#This Row],[Total]]</f>
        <v>#N/A</v>
      </c>
    </row>
    <row r="2450" spans="1:22" hidden="1" x14ac:dyDescent="0.25">
      <c r="A2450" s="100">
        <v>45777</v>
      </c>
      <c r="B2450" t="str">
        <f t="shared" si="120"/>
        <v>April</v>
      </c>
      <c r="C2450" s="46" t="s">
        <v>280</v>
      </c>
      <c r="F2450" s="366" t="s">
        <v>1642</v>
      </c>
      <c r="G2450" s="46" t="s">
        <v>18</v>
      </c>
      <c r="H2450" s="46">
        <v>2</v>
      </c>
      <c r="I2450" s="51">
        <v>5367.65</v>
      </c>
      <c r="J2450" s="281">
        <f>++Tabla4[[#This Row],[Precio Bruto]]*1.16</f>
        <v>6226.4739999999993</v>
      </c>
      <c r="K2450" s="281">
        <f>+Tabla4[[#This Row],[Precio Unitario Neto]]*Tabla4[[#Headers],[20.85%]]</f>
        <v>1298.2198289999999</v>
      </c>
      <c r="L2450" s="282">
        <f>++Tabla4[[#This Row],[Precio Unitario Neto]]-Tabla4[[#This Row],[20.85%]]</f>
        <v>4928.2541709999996</v>
      </c>
      <c r="M2450" s="282" t="e">
        <f>(INDEX(Tabla6[#All],MATCH(Tabla4[[#This Row],[Producto]],Tabla6[[#All],[PRODUCTO]],0),MATCH(Tabla4[[#This Row],[Mes]],Tabla6[#Headers],0)))*(1+Catalogos!$L$2)</f>
        <v>#N/A</v>
      </c>
      <c r="N2450" s="283" t="e">
        <f>+(Tabla4[[#This Row],[Precio Descontado]]-Tabla4[[#This Row],[Precio Base]])*Tabla4[[#This Row],[Cantidad]]</f>
        <v>#N/A</v>
      </c>
      <c r="O2450" s="284" t="e">
        <f>++Tabla4[[#This Row],[Utilidad Total]]/Tabla4[[#This Row],[Total]]</f>
        <v>#N/A</v>
      </c>
      <c r="P2450" s="282">
        <f>++Tabla4[[#This Row],[Precio Descontado]]*Tabla4[[#This Row],[Cantidad]]</f>
        <v>9856.5083419999992</v>
      </c>
      <c r="Q2450" s="282" t="e">
        <f>(INDEX(Tabla6[#All],MATCH(Tabla4[[#This Row],[Producto]],Tabla6[[#All],[PRODUCTO]],0),MATCH(Tabla4[[#This Row],[Mes]],Tabla6[#Headers],0)))</f>
        <v>#N/A</v>
      </c>
      <c r="R2450" s="282" t="e">
        <f>++Tabla4[[#This Row],[Precio Unitario Neto]]-Tabla4[[#This Row],[20.85%]]-Tabla4[[#This Row],[Costo]]</f>
        <v>#N/A</v>
      </c>
      <c r="S2450" s="282" t="e">
        <f>++Tabla4[[#This Row],[U. Bruta Uni]]*Tabla4[[#This Row],[Cantidad]]</f>
        <v>#N/A</v>
      </c>
      <c r="T2450" s="369" t="str">
        <f>VLOOKUP(Tabla4[[#This Row],[Producto]],Tabla6[#All],14,FALSE)</f>
        <v>Termico Solar</v>
      </c>
      <c r="U2450" s="284" t="e">
        <f>(IF(Tabla4[[#This Row],[Familia]]="termico solar",Tabla4[[#This Row],[Utilidad Total]]*6%,Tabla4[[#This Row],[Utilidad Total]]*11.5%))/Tabla4[[#This Row],[Total]]</f>
        <v>#N/A</v>
      </c>
      <c r="V2450" s="282" t="e">
        <f>+Tabla4[[#This Row],[Comisión Calculada]]*Tabla4[[#This Row],[Total]]</f>
        <v>#N/A</v>
      </c>
    </row>
    <row r="2451" spans="1:22" hidden="1" x14ac:dyDescent="0.25">
      <c r="A2451" s="100">
        <v>45777</v>
      </c>
      <c r="B2451" t="str">
        <f t="shared" si="120"/>
        <v>April</v>
      </c>
      <c r="C2451" s="46" t="s">
        <v>280</v>
      </c>
      <c r="F2451" s="366" t="s">
        <v>1643</v>
      </c>
      <c r="G2451" s="46" t="s">
        <v>17</v>
      </c>
      <c r="H2451" s="46">
        <v>3</v>
      </c>
      <c r="I2451" s="51">
        <v>4622.28</v>
      </c>
      <c r="J2451" s="281">
        <f>++Tabla4[[#This Row],[Precio Bruto]]*1.16</f>
        <v>5361.8447999999989</v>
      </c>
      <c r="K2451" s="281">
        <f>+Tabla4[[#This Row],[Precio Unitario Neto]]*Tabla4[[#Headers],[20.85%]]</f>
        <v>1117.9446407999997</v>
      </c>
      <c r="L2451" s="282">
        <f>++Tabla4[[#This Row],[Precio Unitario Neto]]-Tabla4[[#This Row],[20.85%]]</f>
        <v>4243.9001591999995</v>
      </c>
      <c r="M2451" s="282" t="e">
        <f>(INDEX(Tabla6[#All],MATCH(Tabla4[[#This Row],[Producto]],Tabla6[[#All],[PRODUCTO]],0),MATCH(Tabla4[[#This Row],[Mes]],Tabla6[#Headers],0)))*(1+Catalogos!$L$2)</f>
        <v>#N/A</v>
      </c>
      <c r="N2451" s="283" t="e">
        <f>+(Tabla4[[#This Row],[Precio Descontado]]-Tabla4[[#This Row],[Precio Base]])*Tabla4[[#This Row],[Cantidad]]</f>
        <v>#N/A</v>
      </c>
      <c r="O2451" s="284" t="e">
        <f>++Tabla4[[#This Row],[Utilidad Total]]/Tabla4[[#This Row],[Total]]</f>
        <v>#N/A</v>
      </c>
      <c r="P2451" s="282">
        <f>++Tabla4[[#This Row],[Precio Descontado]]*Tabla4[[#This Row],[Cantidad]]</f>
        <v>12731.700477599999</v>
      </c>
      <c r="Q2451" s="282" t="e">
        <f>(INDEX(Tabla6[#All],MATCH(Tabla4[[#This Row],[Producto]],Tabla6[[#All],[PRODUCTO]],0),MATCH(Tabla4[[#This Row],[Mes]],Tabla6[#Headers],0)))</f>
        <v>#N/A</v>
      </c>
      <c r="R2451" s="282" t="e">
        <f>++Tabla4[[#This Row],[Precio Unitario Neto]]-Tabla4[[#This Row],[20.85%]]-Tabla4[[#This Row],[Costo]]</f>
        <v>#N/A</v>
      </c>
      <c r="S2451" s="282" t="e">
        <f>++Tabla4[[#This Row],[U. Bruta Uni]]*Tabla4[[#This Row],[Cantidad]]</f>
        <v>#N/A</v>
      </c>
      <c r="T2451" s="369" t="str">
        <f>VLOOKUP(Tabla4[[#This Row],[Producto]],Tabla6[#All],14,FALSE)</f>
        <v>Termico Solar</v>
      </c>
      <c r="U2451" s="284" t="e">
        <f>(IF(Tabla4[[#This Row],[Familia]]="termico solar",Tabla4[[#This Row],[Utilidad Total]]*6%,Tabla4[[#This Row],[Utilidad Total]]*11.5%))/Tabla4[[#This Row],[Total]]</f>
        <v>#N/A</v>
      </c>
      <c r="V2451" s="282" t="e">
        <f>+Tabla4[[#This Row],[Comisión Calculada]]*Tabla4[[#This Row],[Total]]</f>
        <v>#N/A</v>
      </c>
    </row>
    <row r="2452" spans="1:22" hidden="1" x14ac:dyDescent="0.25">
      <c r="A2452" s="100">
        <v>45777</v>
      </c>
      <c r="B2452" t="str">
        <f t="shared" si="120"/>
        <v>April</v>
      </c>
      <c r="C2452" s="46" t="s">
        <v>280</v>
      </c>
      <c r="F2452" s="366" t="s">
        <v>1644</v>
      </c>
      <c r="G2452" s="46" t="s">
        <v>83</v>
      </c>
      <c r="H2452" s="46">
        <v>4</v>
      </c>
      <c r="I2452" s="51">
        <v>8858.76</v>
      </c>
      <c r="J2452" s="281">
        <f>++Tabla4[[#This Row],[Precio Bruto]]*1.16</f>
        <v>10276.161599999999</v>
      </c>
      <c r="K2452" s="281">
        <f>+Tabla4[[#This Row],[Precio Unitario Neto]]*Tabla4[[#Headers],[20.85%]]</f>
        <v>2142.5796935999997</v>
      </c>
      <c r="L2452" s="282">
        <f>++Tabla4[[#This Row],[Precio Unitario Neto]]-Tabla4[[#This Row],[20.85%]]</f>
        <v>8133.5819063999998</v>
      </c>
      <c r="M2452" s="282" t="e">
        <f>(INDEX(Tabla6[#All],MATCH(Tabla4[[#This Row],[Producto]],Tabla6[[#All],[PRODUCTO]],0),MATCH(Tabla4[[#This Row],[Mes]],Tabla6[#Headers],0)))*(1+Catalogos!$L$2)</f>
        <v>#N/A</v>
      </c>
      <c r="N2452" s="283" t="e">
        <f>+(Tabla4[[#This Row],[Precio Descontado]]-Tabla4[[#This Row],[Precio Base]])*Tabla4[[#This Row],[Cantidad]]</f>
        <v>#N/A</v>
      </c>
      <c r="O2452" s="284" t="e">
        <f>++Tabla4[[#This Row],[Utilidad Total]]/Tabla4[[#This Row],[Total]]</f>
        <v>#N/A</v>
      </c>
      <c r="P2452" s="282">
        <f>++Tabla4[[#This Row],[Precio Descontado]]*Tabla4[[#This Row],[Cantidad]]</f>
        <v>32534.327625599999</v>
      </c>
      <c r="Q2452" s="282" t="e">
        <f>(INDEX(Tabla6[#All],MATCH(Tabla4[[#This Row],[Producto]],Tabla6[[#All],[PRODUCTO]],0),MATCH(Tabla4[[#This Row],[Mes]],Tabla6[#Headers],0)))</f>
        <v>#N/A</v>
      </c>
      <c r="R2452" s="282" t="e">
        <f>++Tabla4[[#This Row],[Precio Unitario Neto]]-Tabla4[[#This Row],[20.85%]]-Tabla4[[#This Row],[Costo]]</f>
        <v>#N/A</v>
      </c>
      <c r="S2452" s="282" t="e">
        <f>++Tabla4[[#This Row],[U. Bruta Uni]]*Tabla4[[#This Row],[Cantidad]]</f>
        <v>#N/A</v>
      </c>
      <c r="T2452" s="369" t="str">
        <f>VLOOKUP(Tabla4[[#This Row],[Producto]],Tabla6[#All],14,FALSE)</f>
        <v>Termico Solar</v>
      </c>
      <c r="U2452" s="284" t="e">
        <f>(IF(Tabla4[[#This Row],[Familia]]="termico solar",Tabla4[[#This Row],[Utilidad Total]]*6%,Tabla4[[#This Row],[Utilidad Total]]*11.5%))/Tabla4[[#This Row],[Total]]</f>
        <v>#N/A</v>
      </c>
      <c r="V2452" s="282" t="e">
        <f>+Tabla4[[#This Row],[Comisión Calculada]]*Tabla4[[#This Row],[Total]]</f>
        <v>#N/A</v>
      </c>
    </row>
    <row r="2453" spans="1:22" hidden="1" x14ac:dyDescent="0.25">
      <c r="A2453" s="100">
        <v>45777</v>
      </c>
      <c r="B2453" t="str">
        <f t="shared" si="120"/>
        <v>April</v>
      </c>
      <c r="C2453" s="46" t="s">
        <v>280</v>
      </c>
      <c r="F2453" s="366" t="s">
        <v>1644</v>
      </c>
      <c r="G2453" s="46" t="s">
        <v>209</v>
      </c>
      <c r="H2453" s="46">
        <v>3</v>
      </c>
      <c r="I2453" s="51">
        <v>347.48</v>
      </c>
      <c r="J2453" s="281">
        <f>++Tabla4[[#This Row],[Precio Bruto]]*1.16</f>
        <v>403.07679999999999</v>
      </c>
      <c r="K2453" s="281">
        <f>+Tabla4[[#This Row],[Precio Unitario Neto]]*Tabla4[[#Headers],[20.85%]]</f>
        <v>84.041512799999992</v>
      </c>
      <c r="L2453" s="282">
        <f>++Tabla4[[#This Row],[Precio Unitario Neto]]-Tabla4[[#This Row],[20.85%]]</f>
        <v>319.03528719999997</v>
      </c>
      <c r="M2453" s="282" t="e">
        <f>(INDEX(Tabla6[#All],MATCH(Tabla4[[#This Row],[Producto]],Tabla6[[#All],[PRODUCTO]],0),MATCH(Tabla4[[#This Row],[Mes]],Tabla6[#Headers],0)))*(1+Catalogos!$L$2)</f>
        <v>#N/A</v>
      </c>
      <c r="N2453" s="283" t="e">
        <f>+(Tabla4[[#This Row],[Precio Descontado]]-Tabla4[[#This Row],[Precio Base]])*Tabla4[[#This Row],[Cantidad]]</f>
        <v>#N/A</v>
      </c>
      <c r="O2453" s="284" t="e">
        <f>++Tabla4[[#This Row],[Utilidad Total]]/Tabla4[[#This Row],[Total]]</f>
        <v>#N/A</v>
      </c>
      <c r="P2453" s="282">
        <f>++Tabla4[[#This Row],[Precio Descontado]]*Tabla4[[#This Row],[Cantidad]]</f>
        <v>957.10586159999991</v>
      </c>
      <c r="Q2453" s="282" t="e">
        <f>(INDEX(Tabla6[#All],MATCH(Tabla4[[#This Row],[Producto]],Tabla6[[#All],[PRODUCTO]],0),MATCH(Tabla4[[#This Row],[Mes]],Tabla6[#Headers],0)))</f>
        <v>#N/A</v>
      </c>
      <c r="R2453" s="282" t="e">
        <f>++Tabla4[[#This Row],[Precio Unitario Neto]]-Tabla4[[#This Row],[20.85%]]-Tabla4[[#This Row],[Costo]]</f>
        <v>#N/A</v>
      </c>
      <c r="S2453" s="282" t="e">
        <f>++Tabla4[[#This Row],[U. Bruta Uni]]*Tabla4[[#This Row],[Cantidad]]</f>
        <v>#N/A</v>
      </c>
      <c r="T2453" s="369" t="str">
        <f>VLOOKUP(Tabla4[[#This Row],[Producto]],Tabla6[#All],14,FALSE)</f>
        <v>Termico Solar</v>
      </c>
      <c r="U2453" s="284" t="e">
        <f>(IF(Tabla4[[#This Row],[Familia]]="termico solar",Tabla4[[#This Row],[Utilidad Total]]*6%,Tabla4[[#This Row],[Utilidad Total]]*11.5%))/Tabla4[[#This Row],[Total]]</f>
        <v>#N/A</v>
      </c>
      <c r="V2453" s="282" t="e">
        <f>+Tabla4[[#This Row],[Comisión Calculada]]*Tabla4[[#This Row],[Total]]</f>
        <v>#N/A</v>
      </c>
    </row>
    <row r="2454" spans="1:22" hidden="1" x14ac:dyDescent="0.25">
      <c r="A2454" s="100">
        <v>45777</v>
      </c>
      <c r="B2454" t="str">
        <f t="shared" si="120"/>
        <v>April</v>
      </c>
      <c r="C2454" s="46" t="s">
        <v>280</v>
      </c>
      <c r="F2454" s="366" t="s">
        <v>1645</v>
      </c>
      <c r="G2454" s="46" t="s">
        <v>17</v>
      </c>
      <c r="H2454" s="46">
        <v>3</v>
      </c>
      <c r="I2454" s="51">
        <v>4622.28</v>
      </c>
      <c r="J2454" s="281">
        <f>++Tabla4[[#This Row],[Precio Bruto]]*1.16</f>
        <v>5361.8447999999989</v>
      </c>
      <c r="K2454" s="281">
        <f>+Tabla4[[#This Row],[Precio Unitario Neto]]*Tabla4[[#Headers],[20.85%]]</f>
        <v>1117.9446407999997</v>
      </c>
      <c r="L2454" s="282">
        <f>++Tabla4[[#This Row],[Precio Unitario Neto]]-Tabla4[[#This Row],[20.85%]]</f>
        <v>4243.9001591999995</v>
      </c>
      <c r="M2454" s="282" t="e">
        <f>(INDEX(Tabla6[#All],MATCH(Tabla4[[#This Row],[Producto]],Tabla6[[#All],[PRODUCTO]],0),MATCH(Tabla4[[#This Row],[Mes]],Tabla6[#Headers],0)))*(1+Catalogos!$L$2)</f>
        <v>#N/A</v>
      </c>
      <c r="N2454" s="283" t="e">
        <f>+(Tabla4[[#This Row],[Precio Descontado]]-Tabla4[[#This Row],[Precio Base]])*Tabla4[[#This Row],[Cantidad]]</f>
        <v>#N/A</v>
      </c>
      <c r="O2454" s="284" t="e">
        <f>++Tabla4[[#This Row],[Utilidad Total]]/Tabla4[[#This Row],[Total]]</f>
        <v>#N/A</v>
      </c>
      <c r="P2454" s="282">
        <f>++Tabla4[[#This Row],[Precio Descontado]]*Tabla4[[#This Row],[Cantidad]]</f>
        <v>12731.700477599999</v>
      </c>
      <c r="Q2454" s="282" t="e">
        <f>(INDEX(Tabla6[#All],MATCH(Tabla4[[#This Row],[Producto]],Tabla6[[#All],[PRODUCTO]],0),MATCH(Tabla4[[#This Row],[Mes]],Tabla6[#Headers],0)))</f>
        <v>#N/A</v>
      </c>
      <c r="R2454" s="282" t="e">
        <f>++Tabla4[[#This Row],[Precio Unitario Neto]]-Tabla4[[#This Row],[20.85%]]-Tabla4[[#This Row],[Costo]]</f>
        <v>#N/A</v>
      </c>
      <c r="S2454" s="282" t="e">
        <f>++Tabla4[[#This Row],[U. Bruta Uni]]*Tabla4[[#This Row],[Cantidad]]</f>
        <v>#N/A</v>
      </c>
      <c r="T2454" s="369" t="str">
        <f>VLOOKUP(Tabla4[[#This Row],[Producto]],Tabla6[#All],14,FALSE)</f>
        <v>Termico Solar</v>
      </c>
      <c r="U2454" s="284" t="e">
        <f>(IF(Tabla4[[#This Row],[Familia]]="termico solar",Tabla4[[#This Row],[Utilidad Total]]*6%,Tabla4[[#This Row],[Utilidad Total]]*11.5%))/Tabla4[[#This Row],[Total]]</f>
        <v>#N/A</v>
      </c>
      <c r="V2454" s="282" t="e">
        <f>+Tabla4[[#This Row],[Comisión Calculada]]*Tabla4[[#This Row],[Total]]</f>
        <v>#N/A</v>
      </c>
    </row>
    <row r="2455" spans="1:22" hidden="1" x14ac:dyDescent="0.25">
      <c r="A2455" s="100">
        <v>45777</v>
      </c>
      <c r="B2455" t="str">
        <f t="shared" si="120"/>
        <v>April</v>
      </c>
      <c r="C2455" s="46" t="s">
        <v>280</v>
      </c>
      <c r="F2455" s="366" t="s">
        <v>1645</v>
      </c>
      <c r="G2455" s="46" t="s">
        <v>208</v>
      </c>
      <c r="H2455" s="46">
        <v>1</v>
      </c>
      <c r="I2455" s="51">
        <v>189.75</v>
      </c>
      <c r="J2455" s="281">
        <f>++Tabla4[[#This Row],[Precio Bruto]]*1.16</f>
        <v>220.10999999999999</v>
      </c>
      <c r="K2455" s="281">
        <f>+Tabla4[[#This Row],[Precio Unitario Neto]]*Tabla4[[#Headers],[20.85%]]</f>
        <v>45.892934999999994</v>
      </c>
      <c r="L2455" s="282">
        <f>++Tabla4[[#This Row],[Precio Unitario Neto]]-Tabla4[[#This Row],[20.85%]]</f>
        <v>174.21706499999999</v>
      </c>
      <c r="M2455" s="282" t="e">
        <f>(INDEX(Tabla6[#All],MATCH(Tabla4[[#This Row],[Producto]],Tabla6[[#All],[PRODUCTO]],0),MATCH(Tabla4[[#This Row],[Mes]],Tabla6[#Headers],0)))*(1+Catalogos!$L$2)</f>
        <v>#N/A</v>
      </c>
      <c r="N2455" s="283" t="e">
        <f>+(Tabla4[[#This Row],[Precio Descontado]]-Tabla4[[#This Row],[Precio Base]])*Tabla4[[#This Row],[Cantidad]]</f>
        <v>#N/A</v>
      </c>
      <c r="O2455" s="284" t="e">
        <f>++Tabla4[[#This Row],[Utilidad Total]]/Tabla4[[#This Row],[Total]]</f>
        <v>#N/A</v>
      </c>
      <c r="P2455" s="282">
        <f>++Tabla4[[#This Row],[Precio Descontado]]*Tabla4[[#This Row],[Cantidad]]</f>
        <v>174.21706499999999</v>
      </c>
      <c r="Q2455" s="282" t="e">
        <f>(INDEX(Tabla6[#All],MATCH(Tabla4[[#This Row],[Producto]],Tabla6[[#All],[PRODUCTO]],0),MATCH(Tabla4[[#This Row],[Mes]],Tabla6[#Headers],0)))</f>
        <v>#N/A</v>
      </c>
      <c r="R2455" s="282" t="e">
        <f>++Tabla4[[#This Row],[Precio Unitario Neto]]-Tabla4[[#This Row],[20.85%]]-Tabla4[[#This Row],[Costo]]</f>
        <v>#N/A</v>
      </c>
      <c r="S2455" s="282" t="e">
        <f>++Tabla4[[#This Row],[U. Bruta Uni]]*Tabla4[[#This Row],[Cantidad]]</f>
        <v>#N/A</v>
      </c>
      <c r="T2455" s="369" t="str">
        <f>VLOOKUP(Tabla4[[#This Row],[Producto]],Tabla6[#All],14,FALSE)</f>
        <v>Termico Solar</v>
      </c>
      <c r="U2455" s="284" t="e">
        <f>(IF(Tabla4[[#This Row],[Familia]]="termico solar",Tabla4[[#This Row],[Utilidad Total]]*6%,Tabla4[[#This Row],[Utilidad Total]]*11.5%))/Tabla4[[#This Row],[Total]]</f>
        <v>#N/A</v>
      </c>
      <c r="V2455" s="282" t="e">
        <f>+Tabla4[[#This Row],[Comisión Calculada]]*Tabla4[[#This Row],[Total]]</f>
        <v>#N/A</v>
      </c>
    </row>
    <row r="2456" spans="1:22" hidden="1" x14ac:dyDescent="0.25">
      <c r="A2456" s="100">
        <v>45777</v>
      </c>
      <c r="B2456" t="str">
        <f t="shared" si="120"/>
        <v>April</v>
      </c>
      <c r="C2456" s="46" t="s">
        <v>280</v>
      </c>
      <c r="F2456" s="366" t="s">
        <v>1646</v>
      </c>
      <c r="G2456" s="46" t="s">
        <v>83</v>
      </c>
      <c r="H2456" s="46">
        <v>5</v>
      </c>
      <c r="I2456" s="51">
        <v>8858.76</v>
      </c>
      <c r="J2456" s="281">
        <f>++Tabla4[[#This Row],[Precio Bruto]]*1.16</f>
        <v>10276.161599999999</v>
      </c>
      <c r="K2456" s="281">
        <f>+Tabla4[[#This Row],[Precio Unitario Neto]]*Tabla4[[#Headers],[20.85%]]</f>
        <v>2142.5796935999997</v>
      </c>
      <c r="L2456" s="282">
        <f>++Tabla4[[#This Row],[Precio Unitario Neto]]-Tabla4[[#This Row],[20.85%]]</f>
        <v>8133.5819063999998</v>
      </c>
      <c r="M2456" s="282" t="e">
        <f>(INDEX(Tabla6[#All],MATCH(Tabla4[[#This Row],[Producto]],Tabla6[[#All],[PRODUCTO]],0),MATCH(Tabla4[[#This Row],[Mes]],Tabla6[#Headers],0)))*(1+Catalogos!$L$2)</f>
        <v>#N/A</v>
      </c>
      <c r="N2456" s="283" t="e">
        <f>+(Tabla4[[#This Row],[Precio Descontado]]-Tabla4[[#This Row],[Precio Base]])*Tabla4[[#This Row],[Cantidad]]</f>
        <v>#N/A</v>
      </c>
      <c r="O2456" s="284" t="e">
        <f>++Tabla4[[#This Row],[Utilidad Total]]/Tabla4[[#This Row],[Total]]</f>
        <v>#N/A</v>
      </c>
      <c r="P2456" s="282">
        <f>++Tabla4[[#This Row],[Precio Descontado]]*Tabla4[[#This Row],[Cantidad]]</f>
        <v>40667.909531999998</v>
      </c>
      <c r="Q2456" s="282" t="e">
        <f>(INDEX(Tabla6[#All],MATCH(Tabla4[[#This Row],[Producto]],Tabla6[[#All],[PRODUCTO]],0),MATCH(Tabla4[[#This Row],[Mes]],Tabla6[#Headers],0)))</f>
        <v>#N/A</v>
      </c>
      <c r="R2456" s="282" t="e">
        <f>++Tabla4[[#This Row],[Precio Unitario Neto]]-Tabla4[[#This Row],[20.85%]]-Tabla4[[#This Row],[Costo]]</f>
        <v>#N/A</v>
      </c>
      <c r="S2456" s="282" t="e">
        <f>++Tabla4[[#This Row],[U. Bruta Uni]]*Tabla4[[#This Row],[Cantidad]]</f>
        <v>#N/A</v>
      </c>
      <c r="T2456" s="369" t="str">
        <f>VLOOKUP(Tabla4[[#This Row],[Producto]],Tabla6[#All],14,FALSE)</f>
        <v>Termico Solar</v>
      </c>
      <c r="U2456" s="284" t="e">
        <f>(IF(Tabla4[[#This Row],[Familia]]="termico solar",Tabla4[[#This Row],[Utilidad Total]]*6%,Tabla4[[#This Row],[Utilidad Total]]*11.5%))/Tabla4[[#This Row],[Total]]</f>
        <v>#N/A</v>
      </c>
      <c r="V2456" s="282" t="e">
        <f>+Tabla4[[#This Row],[Comisión Calculada]]*Tabla4[[#This Row],[Total]]</f>
        <v>#N/A</v>
      </c>
    </row>
    <row r="2457" spans="1:22" hidden="1" x14ac:dyDescent="0.25">
      <c r="A2457" s="100">
        <v>45777</v>
      </c>
      <c r="B2457" t="str">
        <f t="shared" si="120"/>
        <v>April</v>
      </c>
      <c r="C2457" s="46" t="s">
        <v>280</v>
      </c>
      <c r="F2457" s="366" t="s">
        <v>1646</v>
      </c>
      <c r="G2457" s="46" t="s">
        <v>17</v>
      </c>
      <c r="H2457" s="46">
        <v>2</v>
      </c>
      <c r="I2457" s="51">
        <v>4622.28</v>
      </c>
      <c r="J2457" s="281">
        <f>++Tabla4[[#This Row],[Precio Bruto]]*1.16</f>
        <v>5361.8447999999989</v>
      </c>
      <c r="K2457" s="281">
        <f>+Tabla4[[#This Row],[Precio Unitario Neto]]*Tabla4[[#Headers],[20.85%]]</f>
        <v>1117.9446407999997</v>
      </c>
      <c r="L2457" s="282">
        <f>++Tabla4[[#This Row],[Precio Unitario Neto]]-Tabla4[[#This Row],[20.85%]]</f>
        <v>4243.9001591999995</v>
      </c>
      <c r="M2457" s="282" t="e">
        <f>(INDEX(Tabla6[#All],MATCH(Tabla4[[#This Row],[Producto]],Tabla6[[#All],[PRODUCTO]],0),MATCH(Tabla4[[#This Row],[Mes]],Tabla6[#Headers],0)))*(1+Catalogos!$L$2)</f>
        <v>#N/A</v>
      </c>
      <c r="N2457" s="283" t="e">
        <f>+(Tabla4[[#This Row],[Precio Descontado]]-Tabla4[[#This Row],[Precio Base]])*Tabla4[[#This Row],[Cantidad]]</f>
        <v>#N/A</v>
      </c>
      <c r="O2457" s="284" t="e">
        <f>++Tabla4[[#This Row],[Utilidad Total]]/Tabla4[[#This Row],[Total]]</f>
        <v>#N/A</v>
      </c>
      <c r="P2457" s="282">
        <f>++Tabla4[[#This Row],[Precio Descontado]]*Tabla4[[#This Row],[Cantidad]]</f>
        <v>8487.800318399999</v>
      </c>
      <c r="Q2457" s="282" t="e">
        <f>(INDEX(Tabla6[#All],MATCH(Tabla4[[#This Row],[Producto]],Tabla6[[#All],[PRODUCTO]],0),MATCH(Tabla4[[#This Row],[Mes]],Tabla6[#Headers],0)))</f>
        <v>#N/A</v>
      </c>
      <c r="R2457" s="282" t="e">
        <f>++Tabla4[[#This Row],[Precio Unitario Neto]]-Tabla4[[#This Row],[20.85%]]-Tabla4[[#This Row],[Costo]]</f>
        <v>#N/A</v>
      </c>
      <c r="S2457" s="282" t="e">
        <f>++Tabla4[[#This Row],[U. Bruta Uni]]*Tabla4[[#This Row],[Cantidad]]</f>
        <v>#N/A</v>
      </c>
      <c r="T2457" s="369" t="str">
        <f>VLOOKUP(Tabla4[[#This Row],[Producto]],Tabla6[#All],14,FALSE)</f>
        <v>Termico Solar</v>
      </c>
      <c r="U2457" s="284" t="e">
        <f>(IF(Tabla4[[#This Row],[Familia]]="termico solar",Tabla4[[#This Row],[Utilidad Total]]*6%,Tabla4[[#This Row],[Utilidad Total]]*11.5%))/Tabla4[[#This Row],[Total]]</f>
        <v>#N/A</v>
      </c>
      <c r="V2457" s="282" t="e">
        <f>+Tabla4[[#This Row],[Comisión Calculada]]*Tabla4[[#This Row],[Total]]</f>
        <v>#N/A</v>
      </c>
    </row>
    <row r="2458" spans="1:22" hidden="1" x14ac:dyDescent="0.25">
      <c r="A2458" s="100">
        <v>45777</v>
      </c>
      <c r="B2458" t="str">
        <f t="shared" si="120"/>
        <v>April</v>
      </c>
      <c r="C2458" s="46" t="s">
        <v>280</v>
      </c>
      <c r="F2458" s="366" t="s">
        <v>1646</v>
      </c>
      <c r="G2458" s="46" t="s">
        <v>566</v>
      </c>
      <c r="H2458" s="46">
        <v>2</v>
      </c>
      <c r="I2458" s="51">
        <v>2109.4499999999998</v>
      </c>
      <c r="J2458" s="281">
        <f>++Tabla4[[#This Row],[Precio Bruto]]*1.16</f>
        <v>2446.9619999999995</v>
      </c>
      <c r="K2458" s="281">
        <f>+Tabla4[[#This Row],[Precio Unitario Neto]]*Tabla4[[#Headers],[20.85%]]</f>
        <v>510.19157699999988</v>
      </c>
      <c r="L2458" s="282">
        <f>++Tabla4[[#This Row],[Precio Unitario Neto]]-Tabla4[[#This Row],[20.85%]]</f>
        <v>1936.7704229999997</v>
      </c>
      <c r="M2458" s="282" t="e">
        <f>(INDEX(Tabla6[#All],MATCH(Tabla4[[#This Row],[Producto]],Tabla6[[#All],[PRODUCTO]],0),MATCH(Tabla4[[#This Row],[Mes]],Tabla6[#Headers],0)))*(1+Catalogos!$L$2)</f>
        <v>#N/A</v>
      </c>
      <c r="N2458" s="283" t="e">
        <f>+(Tabla4[[#This Row],[Precio Descontado]]-Tabla4[[#This Row],[Precio Base]])*Tabla4[[#This Row],[Cantidad]]</f>
        <v>#N/A</v>
      </c>
      <c r="O2458" s="284" t="e">
        <f>++Tabla4[[#This Row],[Utilidad Total]]/Tabla4[[#This Row],[Total]]</f>
        <v>#N/A</v>
      </c>
      <c r="P2458" s="282">
        <f>++Tabla4[[#This Row],[Precio Descontado]]*Tabla4[[#This Row],[Cantidad]]</f>
        <v>3873.5408459999994</v>
      </c>
      <c r="Q2458" s="282" t="e">
        <f>(INDEX(Tabla6[#All],MATCH(Tabla4[[#This Row],[Producto]],Tabla6[[#All],[PRODUCTO]],0),MATCH(Tabla4[[#This Row],[Mes]],Tabla6[#Headers],0)))</f>
        <v>#N/A</v>
      </c>
      <c r="R2458" s="282" t="e">
        <f>++Tabla4[[#This Row],[Precio Unitario Neto]]-Tabla4[[#This Row],[20.85%]]-Tabla4[[#This Row],[Costo]]</f>
        <v>#N/A</v>
      </c>
      <c r="S2458" s="282" t="e">
        <f>++Tabla4[[#This Row],[U. Bruta Uni]]*Tabla4[[#This Row],[Cantidad]]</f>
        <v>#N/A</v>
      </c>
      <c r="T2458" s="369" t="str">
        <f>VLOOKUP(Tabla4[[#This Row],[Producto]],Tabla6[#All],14,FALSE)</f>
        <v>Termico Solar</v>
      </c>
      <c r="U2458" s="284" t="e">
        <f>(IF(Tabla4[[#This Row],[Familia]]="termico solar",Tabla4[[#This Row],[Utilidad Total]]*6%,Tabla4[[#This Row],[Utilidad Total]]*11.5%))/Tabla4[[#This Row],[Total]]</f>
        <v>#N/A</v>
      </c>
      <c r="V2458" s="282" t="e">
        <f>+Tabla4[[#This Row],[Comisión Calculada]]*Tabla4[[#This Row],[Total]]</f>
        <v>#N/A</v>
      </c>
    </row>
    <row r="2459" spans="1:22" hidden="1" x14ac:dyDescent="0.25">
      <c r="A2459" s="100">
        <v>45777</v>
      </c>
      <c r="B2459" t="str">
        <f t="shared" si="120"/>
        <v>April</v>
      </c>
      <c r="C2459" s="46" t="s">
        <v>280</v>
      </c>
      <c r="F2459" s="366" t="s">
        <v>1647</v>
      </c>
      <c r="G2459" s="46" t="s">
        <v>17</v>
      </c>
      <c r="H2459" s="46">
        <v>1</v>
      </c>
      <c r="I2459" s="51">
        <v>4622.28</v>
      </c>
      <c r="J2459" s="281">
        <f>++Tabla4[[#This Row],[Precio Bruto]]*1.16</f>
        <v>5361.8447999999989</v>
      </c>
      <c r="K2459" s="281">
        <f>+Tabla4[[#This Row],[Precio Unitario Neto]]*Tabla4[[#Headers],[20.85%]]</f>
        <v>1117.9446407999997</v>
      </c>
      <c r="L2459" s="282">
        <f>++Tabla4[[#This Row],[Precio Unitario Neto]]-Tabla4[[#This Row],[20.85%]]</f>
        <v>4243.9001591999995</v>
      </c>
      <c r="M2459" s="282" t="e">
        <f>(INDEX(Tabla6[#All],MATCH(Tabla4[[#This Row],[Producto]],Tabla6[[#All],[PRODUCTO]],0),MATCH(Tabla4[[#This Row],[Mes]],Tabla6[#Headers],0)))*(1+Catalogos!$L$2)</f>
        <v>#N/A</v>
      </c>
      <c r="N2459" s="283" t="e">
        <f>+(Tabla4[[#This Row],[Precio Descontado]]-Tabla4[[#This Row],[Precio Base]])*Tabla4[[#This Row],[Cantidad]]</f>
        <v>#N/A</v>
      </c>
      <c r="O2459" s="284" t="e">
        <f>++Tabla4[[#This Row],[Utilidad Total]]/Tabla4[[#This Row],[Total]]</f>
        <v>#N/A</v>
      </c>
      <c r="P2459" s="282">
        <f>++Tabla4[[#This Row],[Precio Descontado]]*Tabla4[[#This Row],[Cantidad]]</f>
        <v>4243.9001591999995</v>
      </c>
      <c r="Q2459" s="282" t="e">
        <f>(INDEX(Tabla6[#All],MATCH(Tabla4[[#This Row],[Producto]],Tabla6[[#All],[PRODUCTO]],0),MATCH(Tabla4[[#This Row],[Mes]],Tabla6[#Headers],0)))</f>
        <v>#N/A</v>
      </c>
      <c r="R2459" s="282" t="e">
        <f>++Tabla4[[#This Row],[Precio Unitario Neto]]-Tabla4[[#This Row],[20.85%]]-Tabla4[[#This Row],[Costo]]</f>
        <v>#N/A</v>
      </c>
      <c r="S2459" s="282" t="e">
        <f>++Tabla4[[#This Row],[U. Bruta Uni]]*Tabla4[[#This Row],[Cantidad]]</f>
        <v>#N/A</v>
      </c>
      <c r="T2459" s="369" t="str">
        <f>VLOOKUP(Tabla4[[#This Row],[Producto]],Tabla6[#All],14,FALSE)</f>
        <v>Termico Solar</v>
      </c>
      <c r="U2459" s="284" t="e">
        <f>(IF(Tabla4[[#This Row],[Familia]]="termico solar",Tabla4[[#This Row],[Utilidad Total]]*6%,Tabla4[[#This Row],[Utilidad Total]]*11.5%))/Tabla4[[#This Row],[Total]]</f>
        <v>#N/A</v>
      </c>
      <c r="V2459" s="282" t="e">
        <f>+Tabla4[[#This Row],[Comisión Calculada]]*Tabla4[[#This Row],[Total]]</f>
        <v>#N/A</v>
      </c>
    </row>
    <row r="2460" spans="1:22" hidden="1" x14ac:dyDescent="0.25">
      <c r="A2460" s="100">
        <v>45777</v>
      </c>
      <c r="B2460" t="str">
        <f t="shared" si="120"/>
        <v>April</v>
      </c>
      <c r="C2460" s="46" t="s">
        <v>280</v>
      </c>
      <c r="F2460" s="366" t="s">
        <v>1647</v>
      </c>
      <c r="G2460" s="46" t="s">
        <v>209</v>
      </c>
      <c r="H2460" s="46">
        <v>1</v>
      </c>
      <c r="I2460" s="51">
        <v>347.48</v>
      </c>
      <c r="J2460" s="281">
        <f>++Tabla4[[#This Row],[Precio Bruto]]*1.16</f>
        <v>403.07679999999999</v>
      </c>
      <c r="K2460" s="281">
        <f>+Tabla4[[#This Row],[Precio Unitario Neto]]*Tabla4[[#Headers],[20.85%]]</f>
        <v>84.041512799999992</v>
      </c>
      <c r="L2460" s="282">
        <f>++Tabla4[[#This Row],[Precio Unitario Neto]]-Tabla4[[#This Row],[20.85%]]</f>
        <v>319.03528719999997</v>
      </c>
      <c r="M2460" s="282" t="e">
        <f>(INDEX(Tabla6[#All],MATCH(Tabla4[[#This Row],[Producto]],Tabla6[[#All],[PRODUCTO]],0),MATCH(Tabla4[[#This Row],[Mes]],Tabla6[#Headers],0)))*(1+Catalogos!$L$2)</f>
        <v>#N/A</v>
      </c>
      <c r="N2460" s="283" t="e">
        <f>+(Tabla4[[#This Row],[Precio Descontado]]-Tabla4[[#This Row],[Precio Base]])*Tabla4[[#This Row],[Cantidad]]</f>
        <v>#N/A</v>
      </c>
      <c r="O2460" s="284" t="e">
        <f>++Tabla4[[#This Row],[Utilidad Total]]/Tabla4[[#This Row],[Total]]</f>
        <v>#N/A</v>
      </c>
      <c r="P2460" s="282">
        <f>++Tabla4[[#This Row],[Precio Descontado]]*Tabla4[[#This Row],[Cantidad]]</f>
        <v>319.03528719999997</v>
      </c>
      <c r="Q2460" s="282" t="e">
        <f>(INDEX(Tabla6[#All],MATCH(Tabla4[[#This Row],[Producto]],Tabla6[[#All],[PRODUCTO]],0),MATCH(Tabla4[[#This Row],[Mes]],Tabla6[#Headers],0)))</f>
        <v>#N/A</v>
      </c>
      <c r="R2460" s="282" t="e">
        <f>++Tabla4[[#This Row],[Precio Unitario Neto]]-Tabla4[[#This Row],[20.85%]]-Tabla4[[#This Row],[Costo]]</f>
        <v>#N/A</v>
      </c>
      <c r="S2460" s="282" t="e">
        <f>++Tabla4[[#This Row],[U. Bruta Uni]]*Tabla4[[#This Row],[Cantidad]]</f>
        <v>#N/A</v>
      </c>
      <c r="T2460" s="369" t="str">
        <f>VLOOKUP(Tabla4[[#This Row],[Producto]],Tabla6[#All],14,FALSE)</f>
        <v>Termico Solar</v>
      </c>
      <c r="U2460" s="284" t="e">
        <f>(IF(Tabla4[[#This Row],[Familia]]="termico solar",Tabla4[[#This Row],[Utilidad Total]]*6%,Tabla4[[#This Row],[Utilidad Total]]*11.5%))/Tabla4[[#This Row],[Total]]</f>
        <v>#N/A</v>
      </c>
      <c r="V2460" s="282" t="e">
        <f>+Tabla4[[#This Row],[Comisión Calculada]]*Tabla4[[#This Row],[Total]]</f>
        <v>#N/A</v>
      </c>
    </row>
    <row r="2461" spans="1:22" hidden="1" x14ac:dyDescent="0.25">
      <c r="A2461" s="100">
        <v>45777</v>
      </c>
      <c r="B2461" t="str">
        <f t="shared" si="120"/>
        <v>April</v>
      </c>
      <c r="C2461" s="46" t="s">
        <v>280</v>
      </c>
      <c r="F2461" s="366" t="s">
        <v>1648</v>
      </c>
      <c r="G2461" s="46" t="s">
        <v>17</v>
      </c>
      <c r="H2461" s="46">
        <v>1</v>
      </c>
      <c r="I2461" s="51">
        <v>4622.28</v>
      </c>
      <c r="J2461" s="281">
        <f>++Tabla4[[#This Row],[Precio Bruto]]*1.16</f>
        <v>5361.8447999999989</v>
      </c>
      <c r="K2461" s="281">
        <f>+Tabla4[[#This Row],[Precio Unitario Neto]]*Tabla4[[#Headers],[20.85%]]</f>
        <v>1117.9446407999997</v>
      </c>
      <c r="L2461" s="282">
        <f>++Tabla4[[#This Row],[Precio Unitario Neto]]-Tabla4[[#This Row],[20.85%]]</f>
        <v>4243.9001591999995</v>
      </c>
      <c r="M2461" s="282" t="e">
        <f>(INDEX(Tabla6[#All],MATCH(Tabla4[[#This Row],[Producto]],Tabla6[[#All],[PRODUCTO]],0),MATCH(Tabla4[[#This Row],[Mes]],Tabla6[#Headers],0)))*(1+Catalogos!$L$2)</f>
        <v>#N/A</v>
      </c>
      <c r="N2461" s="283" t="e">
        <f>+(Tabla4[[#This Row],[Precio Descontado]]-Tabla4[[#This Row],[Precio Base]])*Tabla4[[#This Row],[Cantidad]]</f>
        <v>#N/A</v>
      </c>
      <c r="O2461" s="284" t="e">
        <f>++Tabla4[[#This Row],[Utilidad Total]]/Tabla4[[#This Row],[Total]]</f>
        <v>#N/A</v>
      </c>
      <c r="P2461" s="282">
        <f>++Tabla4[[#This Row],[Precio Descontado]]*Tabla4[[#This Row],[Cantidad]]</f>
        <v>4243.9001591999995</v>
      </c>
      <c r="Q2461" s="282" t="e">
        <f>(INDEX(Tabla6[#All],MATCH(Tabla4[[#This Row],[Producto]],Tabla6[[#All],[PRODUCTO]],0),MATCH(Tabla4[[#This Row],[Mes]],Tabla6[#Headers],0)))</f>
        <v>#N/A</v>
      </c>
      <c r="R2461" s="282" t="e">
        <f>++Tabla4[[#This Row],[Precio Unitario Neto]]-Tabla4[[#This Row],[20.85%]]-Tabla4[[#This Row],[Costo]]</f>
        <v>#N/A</v>
      </c>
      <c r="S2461" s="282" t="e">
        <f>++Tabla4[[#This Row],[U. Bruta Uni]]*Tabla4[[#This Row],[Cantidad]]</f>
        <v>#N/A</v>
      </c>
      <c r="T2461" s="369" t="str">
        <f>VLOOKUP(Tabla4[[#This Row],[Producto]],Tabla6[#All],14,FALSE)</f>
        <v>Termico Solar</v>
      </c>
      <c r="U2461" s="284" t="e">
        <f>(IF(Tabla4[[#This Row],[Familia]]="termico solar",Tabla4[[#This Row],[Utilidad Total]]*6%,Tabla4[[#This Row],[Utilidad Total]]*11.5%))/Tabla4[[#This Row],[Total]]</f>
        <v>#N/A</v>
      </c>
      <c r="V2461" s="282" t="e">
        <f>+Tabla4[[#This Row],[Comisión Calculada]]*Tabla4[[#This Row],[Total]]</f>
        <v>#N/A</v>
      </c>
    </row>
    <row r="2462" spans="1:22" hidden="1" x14ac:dyDescent="0.25">
      <c r="A2462" s="100">
        <v>45777</v>
      </c>
      <c r="B2462" t="str">
        <f t="shared" si="120"/>
        <v>April</v>
      </c>
      <c r="C2462" s="46" t="s">
        <v>280</v>
      </c>
      <c r="F2462" s="366" t="s">
        <v>1648</v>
      </c>
      <c r="G2462" s="46" t="s">
        <v>18</v>
      </c>
      <c r="H2462" s="46">
        <v>1</v>
      </c>
      <c r="I2462" s="51">
        <v>5367.65</v>
      </c>
      <c r="J2462" s="281">
        <f>++Tabla4[[#This Row],[Precio Bruto]]*1.16</f>
        <v>6226.4739999999993</v>
      </c>
      <c r="K2462" s="281">
        <f>+Tabla4[[#This Row],[Precio Unitario Neto]]*Tabla4[[#Headers],[20.85%]]</f>
        <v>1298.2198289999999</v>
      </c>
      <c r="L2462" s="282">
        <f>++Tabla4[[#This Row],[Precio Unitario Neto]]-Tabla4[[#This Row],[20.85%]]</f>
        <v>4928.2541709999996</v>
      </c>
      <c r="M2462" s="282" t="e">
        <f>(INDEX(Tabla6[#All],MATCH(Tabla4[[#This Row],[Producto]],Tabla6[[#All],[PRODUCTO]],0),MATCH(Tabla4[[#This Row],[Mes]],Tabla6[#Headers],0)))*(1+Catalogos!$L$2)</f>
        <v>#N/A</v>
      </c>
      <c r="N2462" s="283" t="e">
        <f>+(Tabla4[[#This Row],[Precio Descontado]]-Tabla4[[#This Row],[Precio Base]])*Tabla4[[#This Row],[Cantidad]]</f>
        <v>#N/A</v>
      </c>
      <c r="O2462" s="284" t="e">
        <f>++Tabla4[[#This Row],[Utilidad Total]]/Tabla4[[#This Row],[Total]]</f>
        <v>#N/A</v>
      </c>
      <c r="P2462" s="282">
        <f>++Tabla4[[#This Row],[Precio Descontado]]*Tabla4[[#This Row],[Cantidad]]</f>
        <v>4928.2541709999996</v>
      </c>
      <c r="Q2462" s="282" t="e">
        <f>(INDEX(Tabla6[#All],MATCH(Tabla4[[#This Row],[Producto]],Tabla6[[#All],[PRODUCTO]],0),MATCH(Tabla4[[#This Row],[Mes]],Tabla6[#Headers],0)))</f>
        <v>#N/A</v>
      </c>
      <c r="R2462" s="282" t="e">
        <f>++Tabla4[[#This Row],[Precio Unitario Neto]]-Tabla4[[#This Row],[20.85%]]-Tabla4[[#This Row],[Costo]]</f>
        <v>#N/A</v>
      </c>
      <c r="S2462" s="282" t="e">
        <f>++Tabla4[[#This Row],[U. Bruta Uni]]*Tabla4[[#This Row],[Cantidad]]</f>
        <v>#N/A</v>
      </c>
      <c r="T2462" s="369" t="str">
        <f>VLOOKUP(Tabla4[[#This Row],[Producto]],Tabla6[#All],14,FALSE)</f>
        <v>Termico Solar</v>
      </c>
      <c r="U2462" s="284" t="e">
        <f>(IF(Tabla4[[#This Row],[Familia]]="termico solar",Tabla4[[#This Row],[Utilidad Total]]*6%,Tabla4[[#This Row],[Utilidad Total]]*11.5%))/Tabla4[[#This Row],[Total]]</f>
        <v>#N/A</v>
      </c>
      <c r="V2462" s="282" t="e">
        <f>+Tabla4[[#This Row],[Comisión Calculada]]*Tabla4[[#This Row],[Total]]</f>
        <v>#N/A</v>
      </c>
    </row>
    <row r="2463" spans="1:22" hidden="1" x14ac:dyDescent="0.25">
      <c r="A2463" s="100">
        <v>45777</v>
      </c>
      <c r="B2463" t="str">
        <f t="shared" si="120"/>
        <v>April</v>
      </c>
      <c r="C2463" s="46" t="s">
        <v>280</v>
      </c>
      <c r="F2463" s="366" t="s">
        <v>1648</v>
      </c>
      <c r="G2463" s="46" t="s">
        <v>19</v>
      </c>
      <c r="H2463" s="46">
        <v>1</v>
      </c>
      <c r="I2463" s="51">
        <v>6412.03</v>
      </c>
      <c r="J2463" s="281">
        <f>++Tabla4[[#This Row],[Precio Bruto]]*1.16</f>
        <v>7437.9547999999995</v>
      </c>
      <c r="K2463" s="281">
        <f>+Tabla4[[#This Row],[Precio Unitario Neto]]*Tabla4[[#Headers],[20.85%]]</f>
        <v>1550.8135757999999</v>
      </c>
      <c r="L2463" s="282">
        <f>++Tabla4[[#This Row],[Precio Unitario Neto]]-Tabla4[[#This Row],[20.85%]]</f>
        <v>5887.1412241999997</v>
      </c>
      <c r="M2463" s="282" t="e">
        <f>(INDEX(Tabla6[#All],MATCH(Tabla4[[#This Row],[Producto]],Tabla6[[#All],[PRODUCTO]],0),MATCH(Tabla4[[#This Row],[Mes]],Tabla6[#Headers],0)))*(1+Catalogos!$L$2)</f>
        <v>#N/A</v>
      </c>
      <c r="N2463" s="283" t="e">
        <f>+(Tabla4[[#This Row],[Precio Descontado]]-Tabla4[[#This Row],[Precio Base]])*Tabla4[[#This Row],[Cantidad]]</f>
        <v>#N/A</v>
      </c>
      <c r="O2463" s="284" t="e">
        <f>++Tabla4[[#This Row],[Utilidad Total]]/Tabla4[[#This Row],[Total]]</f>
        <v>#N/A</v>
      </c>
      <c r="P2463" s="282">
        <f>++Tabla4[[#This Row],[Precio Descontado]]*Tabla4[[#This Row],[Cantidad]]</f>
        <v>5887.1412241999997</v>
      </c>
      <c r="Q2463" s="282" t="e">
        <f>(INDEX(Tabla6[#All],MATCH(Tabla4[[#This Row],[Producto]],Tabla6[[#All],[PRODUCTO]],0),MATCH(Tabla4[[#This Row],[Mes]],Tabla6[#Headers],0)))</f>
        <v>#N/A</v>
      </c>
      <c r="R2463" s="282" t="e">
        <f>++Tabla4[[#This Row],[Precio Unitario Neto]]-Tabla4[[#This Row],[20.85%]]-Tabla4[[#This Row],[Costo]]</f>
        <v>#N/A</v>
      </c>
      <c r="S2463" s="282" t="e">
        <f>++Tabla4[[#This Row],[U. Bruta Uni]]*Tabla4[[#This Row],[Cantidad]]</f>
        <v>#N/A</v>
      </c>
      <c r="T2463" s="369" t="str">
        <f>VLOOKUP(Tabla4[[#This Row],[Producto]],Tabla6[#All],14,FALSE)</f>
        <v>Termico Solar</v>
      </c>
      <c r="U2463" s="284" t="e">
        <f>(IF(Tabla4[[#This Row],[Familia]]="termico solar",Tabla4[[#This Row],[Utilidad Total]]*6%,Tabla4[[#This Row],[Utilidad Total]]*11.5%))/Tabla4[[#This Row],[Total]]</f>
        <v>#N/A</v>
      </c>
      <c r="V2463" s="282" t="e">
        <f>+Tabla4[[#This Row],[Comisión Calculada]]*Tabla4[[#This Row],[Total]]</f>
        <v>#N/A</v>
      </c>
    </row>
    <row r="2464" spans="1:22" hidden="1" x14ac:dyDescent="0.25">
      <c r="A2464" s="100">
        <v>45777</v>
      </c>
      <c r="B2464" t="str">
        <f t="shared" si="120"/>
        <v>April</v>
      </c>
      <c r="C2464" s="46" t="s">
        <v>280</v>
      </c>
      <c r="F2464" s="366" t="s">
        <v>1649</v>
      </c>
      <c r="G2464" s="46" t="s">
        <v>17</v>
      </c>
      <c r="H2464" s="46">
        <v>1</v>
      </c>
      <c r="I2464" s="51">
        <v>4622.28</v>
      </c>
      <c r="J2464" s="281">
        <f>++Tabla4[[#This Row],[Precio Bruto]]*1.16</f>
        <v>5361.8447999999989</v>
      </c>
      <c r="K2464" s="281">
        <f>+Tabla4[[#This Row],[Precio Unitario Neto]]*Tabla4[[#Headers],[20.85%]]</f>
        <v>1117.9446407999997</v>
      </c>
      <c r="L2464" s="282">
        <f>++Tabla4[[#This Row],[Precio Unitario Neto]]-Tabla4[[#This Row],[20.85%]]</f>
        <v>4243.9001591999995</v>
      </c>
      <c r="M2464" s="282" t="e">
        <f>(INDEX(Tabla6[#All],MATCH(Tabla4[[#This Row],[Producto]],Tabla6[[#All],[PRODUCTO]],0),MATCH(Tabla4[[#This Row],[Mes]],Tabla6[#Headers],0)))*(1+Catalogos!$L$2)</f>
        <v>#N/A</v>
      </c>
      <c r="N2464" s="283" t="e">
        <f>+(Tabla4[[#This Row],[Precio Descontado]]-Tabla4[[#This Row],[Precio Base]])*Tabla4[[#This Row],[Cantidad]]</f>
        <v>#N/A</v>
      </c>
      <c r="O2464" s="284" t="e">
        <f>++Tabla4[[#This Row],[Utilidad Total]]/Tabla4[[#This Row],[Total]]</f>
        <v>#N/A</v>
      </c>
      <c r="P2464" s="282">
        <f>++Tabla4[[#This Row],[Precio Descontado]]*Tabla4[[#This Row],[Cantidad]]</f>
        <v>4243.9001591999995</v>
      </c>
      <c r="Q2464" s="282" t="e">
        <f>(INDEX(Tabla6[#All],MATCH(Tabla4[[#This Row],[Producto]],Tabla6[[#All],[PRODUCTO]],0),MATCH(Tabla4[[#This Row],[Mes]],Tabla6[#Headers],0)))</f>
        <v>#N/A</v>
      </c>
      <c r="R2464" s="282" t="e">
        <f>++Tabla4[[#This Row],[Precio Unitario Neto]]-Tabla4[[#This Row],[20.85%]]-Tabla4[[#This Row],[Costo]]</f>
        <v>#N/A</v>
      </c>
      <c r="S2464" s="282" t="e">
        <f>++Tabla4[[#This Row],[U. Bruta Uni]]*Tabla4[[#This Row],[Cantidad]]</f>
        <v>#N/A</v>
      </c>
      <c r="T2464" s="369" t="str">
        <f>VLOOKUP(Tabla4[[#This Row],[Producto]],Tabla6[#All],14,FALSE)</f>
        <v>Termico Solar</v>
      </c>
      <c r="U2464" s="284" t="e">
        <f>(IF(Tabla4[[#This Row],[Familia]]="termico solar",Tabla4[[#This Row],[Utilidad Total]]*6%,Tabla4[[#This Row],[Utilidad Total]]*11.5%))/Tabla4[[#This Row],[Total]]</f>
        <v>#N/A</v>
      </c>
      <c r="V2464" s="282" t="e">
        <f>+Tabla4[[#This Row],[Comisión Calculada]]*Tabla4[[#This Row],[Total]]</f>
        <v>#N/A</v>
      </c>
    </row>
    <row r="2465" spans="1:22" hidden="1" x14ac:dyDescent="0.25">
      <c r="A2465" s="100">
        <v>45777</v>
      </c>
      <c r="B2465" t="str">
        <f t="shared" si="120"/>
        <v>April</v>
      </c>
      <c r="C2465" s="46" t="s">
        <v>280</v>
      </c>
      <c r="F2465" s="366" t="s">
        <v>1649</v>
      </c>
      <c r="G2465" s="46" t="s">
        <v>18</v>
      </c>
      <c r="H2465" s="46">
        <v>3</v>
      </c>
      <c r="I2465" s="51">
        <v>5367.6500000000005</v>
      </c>
      <c r="J2465" s="281">
        <f>++Tabla4[[#This Row],[Precio Bruto]]*1.16</f>
        <v>6226.4740000000002</v>
      </c>
      <c r="K2465" s="281">
        <f>+Tabla4[[#This Row],[Precio Unitario Neto]]*Tabla4[[#Headers],[20.85%]]</f>
        <v>1298.2198289999999</v>
      </c>
      <c r="L2465" s="282">
        <f>++Tabla4[[#This Row],[Precio Unitario Neto]]-Tabla4[[#This Row],[20.85%]]</f>
        <v>4928.2541710000005</v>
      </c>
      <c r="M2465" s="282" t="e">
        <f>(INDEX(Tabla6[#All],MATCH(Tabla4[[#This Row],[Producto]],Tabla6[[#All],[PRODUCTO]],0),MATCH(Tabla4[[#This Row],[Mes]],Tabla6[#Headers],0)))*(1+Catalogos!$L$2)</f>
        <v>#N/A</v>
      </c>
      <c r="N2465" s="283" t="e">
        <f>+(Tabla4[[#This Row],[Precio Descontado]]-Tabla4[[#This Row],[Precio Base]])*Tabla4[[#This Row],[Cantidad]]</f>
        <v>#N/A</v>
      </c>
      <c r="O2465" s="284" t="e">
        <f>++Tabla4[[#This Row],[Utilidad Total]]/Tabla4[[#This Row],[Total]]</f>
        <v>#N/A</v>
      </c>
      <c r="P2465" s="282">
        <f>++Tabla4[[#This Row],[Precio Descontado]]*Tabla4[[#This Row],[Cantidad]]</f>
        <v>14784.762513000001</v>
      </c>
      <c r="Q2465" s="282" t="e">
        <f>(INDEX(Tabla6[#All],MATCH(Tabla4[[#This Row],[Producto]],Tabla6[[#All],[PRODUCTO]],0),MATCH(Tabla4[[#This Row],[Mes]],Tabla6[#Headers],0)))</f>
        <v>#N/A</v>
      </c>
      <c r="R2465" s="282" t="e">
        <f>++Tabla4[[#This Row],[Precio Unitario Neto]]-Tabla4[[#This Row],[20.85%]]-Tabla4[[#This Row],[Costo]]</f>
        <v>#N/A</v>
      </c>
      <c r="S2465" s="282" t="e">
        <f>++Tabla4[[#This Row],[U. Bruta Uni]]*Tabla4[[#This Row],[Cantidad]]</f>
        <v>#N/A</v>
      </c>
      <c r="T2465" s="369" t="str">
        <f>VLOOKUP(Tabla4[[#This Row],[Producto]],Tabla6[#All],14,FALSE)</f>
        <v>Termico Solar</v>
      </c>
      <c r="U2465" s="284" t="e">
        <f>(IF(Tabla4[[#This Row],[Familia]]="termico solar",Tabla4[[#This Row],[Utilidad Total]]*6%,Tabla4[[#This Row],[Utilidad Total]]*11.5%))/Tabla4[[#This Row],[Total]]</f>
        <v>#N/A</v>
      </c>
      <c r="V2465" s="282" t="e">
        <f>+Tabla4[[#This Row],[Comisión Calculada]]*Tabla4[[#This Row],[Total]]</f>
        <v>#N/A</v>
      </c>
    </row>
    <row r="2466" spans="1:22" hidden="1" x14ac:dyDescent="0.25">
      <c r="A2466" s="100">
        <v>45777</v>
      </c>
      <c r="B2466" t="str">
        <f t="shared" si="120"/>
        <v>April</v>
      </c>
      <c r="C2466" s="46" t="s">
        <v>280</v>
      </c>
      <c r="F2466" s="366" t="s">
        <v>1649</v>
      </c>
      <c r="G2466" s="46" t="s">
        <v>16</v>
      </c>
      <c r="H2466" s="46">
        <v>1</v>
      </c>
      <c r="I2466" s="51">
        <v>4103.8500000000004</v>
      </c>
      <c r="J2466" s="281">
        <f>++Tabla4[[#This Row],[Precio Bruto]]*1.16</f>
        <v>4760.4660000000003</v>
      </c>
      <c r="K2466" s="281">
        <f>+Tabla4[[#This Row],[Precio Unitario Neto]]*Tabla4[[#Headers],[20.85%]]</f>
        <v>992.55716100000006</v>
      </c>
      <c r="L2466" s="282">
        <f>++Tabla4[[#This Row],[Precio Unitario Neto]]-Tabla4[[#This Row],[20.85%]]</f>
        <v>3767.9088390000002</v>
      </c>
      <c r="M2466" s="282" t="e">
        <f>(INDEX(Tabla6[#All],MATCH(Tabla4[[#This Row],[Producto]],Tabla6[[#All],[PRODUCTO]],0),MATCH(Tabla4[[#This Row],[Mes]],Tabla6[#Headers],0)))*(1+Catalogos!$L$2)</f>
        <v>#N/A</v>
      </c>
      <c r="N2466" s="283" t="e">
        <f>+(Tabla4[[#This Row],[Precio Descontado]]-Tabla4[[#This Row],[Precio Base]])*Tabla4[[#This Row],[Cantidad]]</f>
        <v>#N/A</v>
      </c>
      <c r="O2466" s="284" t="e">
        <f>++Tabla4[[#This Row],[Utilidad Total]]/Tabla4[[#This Row],[Total]]</f>
        <v>#N/A</v>
      </c>
      <c r="P2466" s="282">
        <f>++Tabla4[[#This Row],[Precio Descontado]]*Tabla4[[#This Row],[Cantidad]]</f>
        <v>3767.9088390000002</v>
      </c>
      <c r="Q2466" s="282" t="e">
        <f>(INDEX(Tabla6[#All],MATCH(Tabla4[[#This Row],[Producto]],Tabla6[[#All],[PRODUCTO]],0),MATCH(Tabla4[[#This Row],[Mes]],Tabla6[#Headers],0)))</f>
        <v>#N/A</v>
      </c>
      <c r="R2466" s="282" t="e">
        <f>++Tabla4[[#This Row],[Precio Unitario Neto]]-Tabla4[[#This Row],[20.85%]]-Tabla4[[#This Row],[Costo]]</f>
        <v>#N/A</v>
      </c>
      <c r="S2466" s="282" t="e">
        <f>++Tabla4[[#This Row],[U. Bruta Uni]]*Tabla4[[#This Row],[Cantidad]]</f>
        <v>#N/A</v>
      </c>
      <c r="T2466" s="369" t="str">
        <f>VLOOKUP(Tabla4[[#This Row],[Producto]],Tabla6[#All],14,FALSE)</f>
        <v>Termico Solar</v>
      </c>
      <c r="U2466" s="284" t="e">
        <f>(IF(Tabla4[[#This Row],[Familia]]="termico solar",Tabla4[[#This Row],[Utilidad Total]]*6%,Tabla4[[#This Row],[Utilidad Total]]*11.5%))/Tabla4[[#This Row],[Total]]</f>
        <v>#N/A</v>
      </c>
      <c r="V2466" s="282" t="e">
        <f>+Tabla4[[#This Row],[Comisión Calculada]]*Tabla4[[#This Row],[Total]]</f>
        <v>#N/A</v>
      </c>
    </row>
    <row r="2467" spans="1:22" hidden="1" x14ac:dyDescent="0.25">
      <c r="A2467" s="100">
        <v>45777</v>
      </c>
      <c r="B2467" t="str">
        <f t="shared" si="120"/>
        <v>April</v>
      </c>
      <c r="C2467" s="46" t="s">
        <v>280</v>
      </c>
      <c r="F2467" s="366" t="s">
        <v>1650</v>
      </c>
      <c r="G2467" s="46" t="s">
        <v>18</v>
      </c>
      <c r="H2467" s="46">
        <v>1</v>
      </c>
      <c r="I2467" s="51">
        <v>5367.65</v>
      </c>
      <c r="J2467" s="281">
        <f>++Tabla4[[#This Row],[Precio Bruto]]*1.16</f>
        <v>6226.4739999999993</v>
      </c>
      <c r="K2467" s="281">
        <f>+Tabla4[[#This Row],[Precio Unitario Neto]]*Tabla4[[#Headers],[20.85%]]</f>
        <v>1298.2198289999999</v>
      </c>
      <c r="L2467" s="282">
        <f>++Tabla4[[#This Row],[Precio Unitario Neto]]-Tabla4[[#This Row],[20.85%]]</f>
        <v>4928.2541709999996</v>
      </c>
      <c r="M2467" s="282" t="e">
        <f>(INDEX(Tabla6[#All],MATCH(Tabla4[[#This Row],[Producto]],Tabla6[[#All],[PRODUCTO]],0),MATCH(Tabla4[[#This Row],[Mes]],Tabla6[#Headers],0)))*(1+Catalogos!$L$2)</f>
        <v>#N/A</v>
      </c>
      <c r="N2467" s="283" t="e">
        <f>+(Tabla4[[#This Row],[Precio Descontado]]-Tabla4[[#This Row],[Precio Base]])*Tabla4[[#This Row],[Cantidad]]</f>
        <v>#N/A</v>
      </c>
      <c r="O2467" s="284" t="e">
        <f>++Tabla4[[#This Row],[Utilidad Total]]/Tabla4[[#This Row],[Total]]</f>
        <v>#N/A</v>
      </c>
      <c r="P2467" s="282">
        <f>++Tabla4[[#This Row],[Precio Descontado]]*Tabla4[[#This Row],[Cantidad]]</f>
        <v>4928.2541709999996</v>
      </c>
      <c r="Q2467" s="282" t="e">
        <f>(INDEX(Tabla6[#All],MATCH(Tabla4[[#This Row],[Producto]],Tabla6[[#All],[PRODUCTO]],0),MATCH(Tabla4[[#This Row],[Mes]],Tabla6[#Headers],0)))</f>
        <v>#N/A</v>
      </c>
      <c r="R2467" s="282" t="e">
        <f>++Tabla4[[#This Row],[Precio Unitario Neto]]-Tabla4[[#This Row],[20.85%]]-Tabla4[[#This Row],[Costo]]</f>
        <v>#N/A</v>
      </c>
      <c r="S2467" s="282" t="e">
        <f>++Tabla4[[#This Row],[U. Bruta Uni]]*Tabla4[[#This Row],[Cantidad]]</f>
        <v>#N/A</v>
      </c>
      <c r="T2467" s="369" t="str">
        <f>VLOOKUP(Tabla4[[#This Row],[Producto]],Tabla6[#All],14,FALSE)</f>
        <v>Termico Solar</v>
      </c>
      <c r="U2467" s="284" t="e">
        <f>(IF(Tabla4[[#This Row],[Familia]]="termico solar",Tabla4[[#This Row],[Utilidad Total]]*6%,Tabla4[[#This Row],[Utilidad Total]]*11.5%))/Tabla4[[#This Row],[Total]]</f>
        <v>#N/A</v>
      </c>
      <c r="V2467" s="282" t="e">
        <f>+Tabla4[[#This Row],[Comisión Calculada]]*Tabla4[[#This Row],[Total]]</f>
        <v>#N/A</v>
      </c>
    </row>
    <row r="2468" spans="1:22" hidden="1" x14ac:dyDescent="0.25">
      <c r="A2468" s="100">
        <v>45777</v>
      </c>
      <c r="B2468" t="str">
        <f t="shared" si="120"/>
        <v>April</v>
      </c>
      <c r="C2468" s="46" t="s">
        <v>280</v>
      </c>
      <c r="F2468" s="366" t="s">
        <v>1651</v>
      </c>
      <c r="G2468" s="46" t="s">
        <v>566</v>
      </c>
      <c r="H2468" s="46">
        <v>1</v>
      </c>
      <c r="I2468" s="51">
        <v>2109.4499999999998</v>
      </c>
      <c r="J2468" s="281">
        <f>++Tabla4[[#This Row],[Precio Bruto]]*1.16</f>
        <v>2446.9619999999995</v>
      </c>
      <c r="K2468" s="281">
        <f>+Tabla4[[#This Row],[Precio Unitario Neto]]*Tabla4[[#Headers],[20.85%]]</f>
        <v>510.19157699999988</v>
      </c>
      <c r="L2468" s="282">
        <f>++Tabla4[[#This Row],[Precio Unitario Neto]]-Tabla4[[#This Row],[20.85%]]</f>
        <v>1936.7704229999997</v>
      </c>
      <c r="M2468" s="282" t="e">
        <f>(INDEX(Tabla6[#All],MATCH(Tabla4[[#This Row],[Producto]],Tabla6[[#All],[PRODUCTO]],0),MATCH(Tabla4[[#This Row],[Mes]],Tabla6[#Headers],0)))*(1+Catalogos!$L$2)</f>
        <v>#N/A</v>
      </c>
      <c r="N2468" s="283" t="e">
        <f>+(Tabla4[[#This Row],[Precio Descontado]]-Tabla4[[#This Row],[Precio Base]])*Tabla4[[#This Row],[Cantidad]]</f>
        <v>#N/A</v>
      </c>
      <c r="O2468" s="284" t="e">
        <f>++Tabla4[[#This Row],[Utilidad Total]]/Tabla4[[#This Row],[Total]]</f>
        <v>#N/A</v>
      </c>
      <c r="P2468" s="282">
        <f>++Tabla4[[#This Row],[Precio Descontado]]*Tabla4[[#This Row],[Cantidad]]</f>
        <v>1936.7704229999997</v>
      </c>
      <c r="Q2468" s="282" t="e">
        <f>(INDEX(Tabla6[#All],MATCH(Tabla4[[#This Row],[Producto]],Tabla6[[#All],[PRODUCTO]],0),MATCH(Tabla4[[#This Row],[Mes]],Tabla6[#Headers],0)))</f>
        <v>#N/A</v>
      </c>
      <c r="R2468" s="282" t="e">
        <f>++Tabla4[[#This Row],[Precio Unitario Neto]]-Tabla4[[#This Row],[20.85%]]-Tabla4[[#This Row],[Costo]]</f>
        <v>#N/A</v>
      </c>
      <c r="S2468" s="282" t="e">
        <f>++Tabla4[[#This Row],[U. Bruta Uni]]*Tabla4[[#This Row],[Cantidad]]</f>
        <v>#N/A</v>
      </c>
      <c r="T2468" s="369" t="str">
        <f>VLOOKUP(Tabla4[[#This Row],[Producto]],Tabla6[#All],14,FALSE)</f>
        <v>Termico Solar</v>
      </c>
      <c r="U2468" s="284" t="e">
        <f>(IF(Tabla4[[#This Row],[Familia]]="termico solar",Tabla4[[#This Row],[Utilidad Total]]*6%,Tabla4[[#This Row],[Utilidad Total]]*11.5%))/Tabla4[[#This Row],[Total]]</f>
        <v>#N/A</v>
      </c>
      <c r="V2468" s="282" t="e">
        <f>+Tabla4[[#This Row],[Comisión Calculada]]*Tabla4[[#This Row],[Total]]</f>
        <v>#N/A</v>
      </c>
    </row>
    <row r="2469" spans="1:22" hidden="1" x14ac:dyDescent="0.25">
      <c r="A2469" s="100">
        <v>45777</v>
      </c>
      <c r="B2469" t="str">
        <f t="shared" si="120"/>
        <v>April</v>
      </c>
      <c r="C2469" s="46" t="s">
        <v>280</v>
      </c>
      <c r="F2469" s="366" t="s">
        <v>1651</v>
      </c>
      <c r="G2469" s="46" t="s">
        <v>412</v>
      </c>
      <c r="H2469" s="46">
        <v>1</v>
      </c>
      <c r="I2469" s="51">
        <v>3240.84</v>
      </c>
      <c r="J2469" s="281">
        <f>++Tabla4[[#This Row],[Precio Bruto]]*1.16</f>
        <v>3759.3743999999997</v>
      </c>
      <c r="K2469" s="281">
        <f>+Tabla4[[#This Row],[Precio Unitario Neto]]*Tabla4[[#Headers],[20.85%]]</f>
        <v>783.82956239999987</v>
      </c>
      <c r="L2469" s="282">
        <f>++Tabla4[[#This Row],[Precio Unitario Neto]]-Tabla4[[#This Row],[20.85%]]</f>
        <v>2975.5448375999999</v>
      </c>
      <c r="M2469" s="282" t="e">
        <f>(INDEX(Tabla6[#All],MATCH(Tabla4[[#This Row],[Producto]],Tabla6[[#All],[PRODUCTO]],0),MATCH(Tabla4[[#This Row],[Mes]],Tabla6[#Headers],0)))*(1+Catalogos!$L$2)</f>
        <v>#N/A</v>
      </c>
      <c r="N2469" s="283" t="e">
        <f>+(Tabla4[[#This Row],[Precio Descontado]]-Tabla4[[#This Row],[Precio Base]])*Tabla4[[#This Row],[Cantidad]]</f>
        <v>#N/A</v>
      </c>
      <c r="O2469" s="284" t="e">
        <f>++Tabla4[[#This Row],[Utilidad Total]]/Tabla4[[#This Row],[Total]]</f>
        <v>#N/A</v>
      </c>
      <c r="P2469" s="282">
        <f>++Tabla4[[#This Row],[Precio Descontado]]*Tabla4[[#This Row],[Cantidad]]</f>
        <v>2975.5448375999999</v>
      </c>
      <c r="Q2469" s="282" t="e">
        <f>(INDEX(Tabla6[#All],MATCH(Tabla4[[#This Row],[Producto]],Tabla6[[#All],[PRODUCTO]],0),MATCH(Tabla4[[#This Row],[Mes]],Tabla6[#Headers],0)))</f>
        <v>#N/A</v>
      </c>
      <c r="R2469" s="282" t="e">
        <f>++Tabla4[[#This Row],[Precio Unitario Neto]]-Tabla4[[#This Row],[20.85%]]-Tabla4[[#This Row],[Costo]]</f>
        <v>#N/A</v>
      </c>
      <c r="S2469" s="282" t="e">
        <f>++Tabla4[[#This Row],[U. Bruta Uni]]*Tabla4[[#This Row],[Cantidad]]</f>
        <v>#N/A</v>
      </c>
      <c r="T2469" s="369" t="str">
        <f>VLOOKUP(Tabla4[[#This Row],[Producto]],Tabla6[#All],14,FALSE)</f>
        <v>Termico Solar</v>
      </c>
      <c r="U2469" s="284" t="e">
        <f>(IF(Tabla4[[#This Row],[Familia]]="termico solar",Tabla4[[#This Row],[Utilidad Total]]*6%,Tabla4[[#This Row],[Utilidad Total]]*11.5%))/Tabla4[[#This Row],[Total]]</f>
        <v>#N/A</v>
      </c>
      <c r="V2469" s="282" t="e">
        <f>+Tabla4[[#This Row],[Comisión Calculada]]*Tabla4[[#This Row],[Total]]</f>
        <v>#N/A</v>
      </c>
    </row>
    <row r="2470" spans="1:22" hidden="1" x14ac:dyDescent="0.25">
      <c r="A2470" s="100">
        <v>45777</v>
      </c>
      <c r="B2470" t="str">
        <f t="shared" si="120"/>
        <v>April</v>
      </c>
      <c r="C2470" s="46" t="s">
        <v>280</v>
      </c>
      <c r="F2470" s="366" t="s">
        <v>1651</v>
      </c>
      <c r="G2470" s="46" t="s">
        <v>208</v>
      </c>
      <c r="H2470" s="46">
        <v>2</v>
      </c>
      <c r="I2470" s="51">
        <v>189.75</v>
      </c>
      <c r="J2470" s="281">
        <f>++Tabla4[[#This Row],[Precio Bruto]]*1.16</f>
        <v>220.10999999999999</v>
      </c>
      <c r="K2470" s="281">
        <f>+Tabla4[[#This Row],[Precio Unitario Neto]]*Tabla4[[#Headers],[20.85%]]</f>
        <v>45.892934999999994</v>
      </c>
      <c r="L2470" s="282">
        <f>++Tabla4[[#This Row],[Precio Unitario Neto]]-Tabla4[[#This Row],[20.85%]]</f>
        <v>174.21706499999999</v>
      </c>
      <c r="M2470" s="282" t="e">
        <f>(INDEX(Tabla6[#All],MATCH(Tabla4[[#This Row],[Producto]],Tabla6[[#All],[PRODUCTO]],0),MATCH(Tabla4[[#This Row],[Mes]],Tabla6[#Headers],0)))*(1+Catalogos!$L$2)</f>
        <v>#N/A</v>
      </c>
      <c r="N2470" s="283" t="e">
        <f>+(Tabla4[[#This Row],[Precio Descontado]]-Tabla4[[#This Row],[Precio Base]])*Tabla4[[#This Row],[Cantidad]]</f>
        <v>#N/A</v>
      </c>
      <c r="O2470" s="284" t="e">
        <f>++Tabla4[[#This Row],[Utilidad Total]]/Tabla4[[#This Row],[Total]]</f>
        <v>#N/A</v>
      </c>
      <c r="P2470" s="282">
        <f>++Tabla4[[#This Row],[Precio Descontado]]*Tabla4[[#This Row],[Cantidad]]</f>
        <v>348.43412999999998</v>
      </c>
      <c r="Q2470" s="282" t="e">
        <f>(INDEX(Tabla6[#All],MATCH(Tabla4[[#This Row],[Producto]],Tabla6[[#All],[PRODUCTO]],0),MATCH(Tabla4[[#This Row],[Mes]],Tabla6[#Headers],0)))</f>
        <v>#N/A</v>
      </c>
      <c r="R2470" s="282" t="e">
        <f>++Tabla4[[#This Row],[Precio Unitario Neto]]-Tabla4[[#This Row],[20.85%]]-Tabla4[[#This Row],[Costo]]</f>
        <v>#N/A</v>
      </c>
      <c r="S2470" s="282" t="e">
        <f>++Tabla4[[#This Row],[U. Bruta Uni]]*Tabla4[[#This Row],[Cantidad]]</f>
        <v>#N/A</v>
      </c>
      <c r="T2470" s="369" t="str">
        <f>VLOOKUP(Tabla4[[#This Row],[Producto]],Tabla6[#All],14,FALSE)</f>
        <v>Termico Solar</v>
      </c>
      <c r="U2470" s="284" t="e">
        <f>(IF(Tabla4[[#This Row],[Familia]]="termico solar",Tabla4[[#This Row],[Utilidad Total]]*6%,Tabla4[[#This Row],[Utilidad Total]]*11.5%))/Tabla4[[#This Row],[Total]]</f>
        <v>#N/A</v>
      </c>
      <c r="V2470" s="282" t="e">
        <f>+Tabla4[[#This Row],[Comisión Calculada]]*Tabla4[[#This Row],[Total]]</f>
        <v>#N/A</v>
      </c>
    </row>
    <row r="2471" spans="1:22" hidden="1" x14ac:dyDescent="0.25">
      <c r="A2471" s="100">
        <v>45777</v>
      </c>
      <c r="B2471" t="str">
        <f t="shared" si="120"/>
        <v>April</v>
      </c>
      <c r="C2471" s="46" t="s">
        <v>280</v>
      </c>
      <c r="F2471" s="366" t="s">
        <v>1652</v>
      </c>
      <c r="G2471" s="46" t="s">
        <v>566</v>
      </c>
      <c r="H2471" s="46">
        <v>3</v>
      </c>
      <c r="I2471" s="51">
        <v>2109.4500000000003</v>
      </c>
      <c r="J2471" s="281">
        <f>++Tabla4[[#This Row],[Precio Bruto]]*1.16</f>
        <v>2446.962</v>
      </c>
      <c r="K2471" s="281">
        <f>+Tabla4[[#This Row],[Precio Unitario Neto]]*Tabla4[[#Headers],[20.85%]]</f>
        <v>510.191577</v>
      </c>
      <c r="L2471" s="282">
        <f>++Tabla4[[#This Row],[Precio Unitario Neto]]-Tabla4[[#This Row],[20.85%]]</f>
        <v>1936.7704229999999</v>
      </c>
      <c r="M2471" s="282" t="e">
        <f>(INDEX(Tabla6[#All],MATCH(Tabla4[[#This Row],[Producto]],Tabla6[[#All],[PRODUCTO]],0),MATCH(Tabla4[[#This Row],[Mes]],Tabla6[#Headers],0)))*(1+Catalogos!$L$2)</f>
        <v>#N/A</v>
      </c>
      <c r="N2471" s="283" t="e">
        <f>+(Tabla4[[#This Row],[Precio Descontado]]-Tabla4[[#This Row],[Precio Base]])*Tabla4[[#This Row],[Cantidad]]</f>
        <v>#N/A</v>
      </c>
      <c r="O2471" s="284" t="e">
        <f>++Tabla4[[#This Row],[Utilidad Total]]/Tabla4[[#This Row],[Total]]</f>
        <v>#N/A</v>
      </c>
      <c r="P2471" s="282">
        <f>++Tabla4[[#This Row],[Precio Descontado]]*Tabla4[[#This Row],[Cantidad]]</f>
        <v>5810.3112689999998</v>
      </c>
      <c r="Q2471" s="282" t="e">
        <f>(INDEX(Tabla6[#All],MATCH(Tabla4[[#This Row],[Producto]],Tabla6[[#All],[PRODUCTO]],0),MATCH(Tabla4[[#This Row],[Mes]],Tabla6[#Headers],0)))</f>
        <v>#N/A</v>
      </c>
      <c r="R2471" s="282" t="e">
        <f>++Tabla4[[#This Row],[Precio Unitario Neto]]-Tabla4[[#This Row],[20.85%]]-Tabla4[[#This Row],[Costo]]</f>
        <v>#N/A</v>
      </c>
      <c r="S2471" s="282" t="e">
        <f>++Tabla4[[#This Row],[U. Bruta Uni]]*Tabla4[[#This Row],[Cantidad]]</f>
        <v>#N/A</v>
      </c>
      <c r="T2471" s="369" t="str">
        <f>VLOOKUP(Tabla4[[#This Row],[Producto]],Tabla6[#All],14,FALSE)</f>
        <v>Termico Solar</v>
      </c>
      <c r="U2471" s="284" t="e">
        <f>(IF(Tabla4[[#This Row],[Familia]]="termico solar",Tabla4[[#This Row],[Utilidad Total]]*6%,Tabla4[[#This Row],[Utilidad Total]]*11.5%))/Tabla4[[#This Row],[Total]]</f>
        <v>#N/A</v>
      </c>
      <c r="V2471" s="282" t="e">
        <f>+Tabla4[[#This Row],[Comisión Calculada]]*Tabla4[[#This Row],[Total]]</f>
        <v>#N/A</v>
      </c>
    </row>
    <row r="2472" spans="1:22" hidden="1" x14ac:dyDescent="0.25">
      <c r="A2472" s="100">
        <v>45777</v>
      </c>
      <c r="B2472" t="str">
        <f t="shared" si="120"/>
        <v>April</v>
      </c>
      <c r="C2472" s="46" t="s">
        <v>280</v>
      </c>
      <c r="F2472" s="366" t="s">
        <v>1653</v>
      </c>
      <c r="G2472" s="46" t="s">
        <v>412</v>
      </c>
      <c r="H2472" s="46">
        <v>1</v>
      </c>
      <c r="I2472" s="51">
        <v>3240.84</v>
      </c>
      <c r="J2472" s="281">
        <f>++Tabla4[[#This Row],[Precio Bruto]]*1.16</f>
        <v>3759.3743999999997</v>
      </c>
      <c r="K2472" s="281">
        <f>+Tabla4[[#This Row],[Precio Unitario Neto]]*Tabla4[[#Headers],[20.85%]]</f>
        <v>783.82956239999987</v>
      </c>
      <c r="L2472" s="282">
        <f>++Tabla4[[#This Row],[Precio Unitario Neto]]-Tabla4[[#This Row],[20.85%]]</f>
        <v>2975.5448375999999</v>
      </c>
      <c r="M2472" s="282" t="e">
        <f>(INDEX(Tabla6[#All],MATCH(Tabla4[[#This Row],[Producto]],Tabla6[[#All],[PRODUCTO]],0),MATCH(Tabla4[[#This Row],[Mes]],Tabla6[#Headers],0)))*(1+Catalogos!$L$2)</f>
        <v>#N/A</v>
      </c>
      <c r="N2472" s="283" t="e">
        <f>+(Tabla4[[#This Row],[Precio Descontado]]-Tabla4[[#This Row],[Precio Base]])*Tabla4[[#This Row],[Cantidad]]</f>
        <v>#N/A</v>
      </c>
      <c r="O2472" s="284" t="e">
        <f>++Tabla4[[#This Row],[Utilidad Total]]/Tabla4[[#This Row],[Total]]</f>
        <v>#N/A</v>
      </c>
      <c r="P2472" s="282">
        <f>++Tabla4[[#This Row],[Precio Descontado]]*Tabla4[[#This Row],[Cantidad]]</f>
        <v>2975.5448375999999</v>
      </c>
      <c r="Q2472" s="282" t="e">
        <f>(INDEX(Tabla6[#All],MATCH(Tabla4[[#This Row],[Producto]],Tabla6[[#All],[PRODUCTO]],0),MATCH(Tabla4[[#This Row],[Mes]],Tabla6[#Headers],0)))</f>
        <v>#N/A</v>
      </c>
      <c r="R2472" s="282" t="e">
        <f>++Tabla4[[#This Row],[Precio Unitario Neto]]-Tabla4[[#This Row],[20.85%]]-Tabla4[[#This Row],[Costo]]</f>
        <v>#N/A</v>
      </c>
      <c r="S2472" s="282" t="e">
        <f>++Tabla4[[#This Row],[U. Bruta Uni]]*Tabla4[[#This Row],[Cantidad]]</f>
        <v>#N/A</v>
      </c>
      <c r="T2472" s="369" t="str">
        <f>VLOOKUP(Tabla4[[#This Row],[Producto]],Tabla6[#All],14,FALSE)</f>
        <v>Termico Solar</v>
      </c>
      <c r="U2472" s="284" t="e">
        <f>(IF(Tabla4[[#This Row],[Familia]]="termico solar",Tabla4[[#This Row],[Utilidad Total]]*6%,Tabla4[[#This Row],[Utilidad Total]]*11.5%))/Tabla4[[#This Row],[Total]]</f>
        <v>#N/A</v>
      </c>
      <c r="V2472" s="282" t="e">
        <f>+Tabla4[[#This Row],[Comisión Calculada]]*Tabla4[[#This Row],[Total]]</f>
        <v>#N/A</v>
      </c>
    </row>
    <row r="2473" spans="1:22" hidden="1" x14ac:dyDescent="0.25">
      <c r="A2473" s="100">
        <v>45777</v>
      </c>
      <c r="B2473" t="str">
        <f t="shared" si="120"/>
        <v>April</v>
      </c>
      <c r="C2473" s="46" t="s">
        <v>280</v>
      </c>
      <c r="F2473" s="366" t="s">
        <v>1653</v>
      </c>
      <c r="G2473" s="46" t="s">
        <v>208</v>
      </c>
      <c r="H2473" s="46">
        <v>1</v>
      </c>
      <c r="I2473" s="51">
        <v>189.75</v>
      </c>
      <c r="J2473" s="281">
        <f>++Tabla4[[#This Row],[Precio Bruto]]*1.16</f>
        <v>220.10999999999999</v>
      </c>
      <c r="K2473" s="281">
        <f>+Tabla4[[#This Row],[Precio Unitario Neto]]*Tabla4[[#Headers],[20.85%]]</f>
        <v>45.892934999999994</v>
      </c>
      <c r="L2473" s="282">
        <f>++Tabla4[[#This Row],[Precio Unitario Neto]]-Tabla4[[#This Row],[20.85%]]</f>
        <v>174.21706499999999</v>
      </c>
      <c r="M2473" s="282" t="e">
        <f>(INDEX(Tabla6[#All],MATCH(Tabla4[[#This Row],[Producto]],Tabla6[[#All],[PRODUCTO]],0),MATCH(Tabla4[[#This Row],[Mes]],Tabla6[#Headers],0)))*(1+Catalogos!$L$2)</f>
        <v>#N/A</v>
      </c>
      <c r="N2473" s="283" t="e">
        <f>+(Tabla4[[#This Row],[Precio Descontado]]-Tabla4[[#This Row],[Precio Base]])*Tabla4[[#This Row],[Cantidad]]</f>
        <v>#N/A</v>
      </c>
      <c r="O2473" s="284" t="e">
        <f>++Tabla4[[#This Row],[Utilidad Total]]/Tabla4[[#This Row],[Total]]</f>
        <v>#N/A</v>
      </c>
      <c r="P2473" s="282">
        <f>++Tabla4[[#This Row],[Precio Descontado]]*Tabla4[[#This Row],[Cantidad]]</f>
        <v>174.21706499999999</v>
      </c>
      <c r="Q2473" s="282" t="e">
        <f>(INDEX(Tabla6[#All],MATCH(Tabla4[[#This Row],[Producto]],Tabla6[[#All],[PRODUCTO]],0),MATCH(Tabla4[[#This Row],[Mes]],Tabla6[#Headers],0)))</f>
        <v>#N/A</v>
      </c>
      <c r="R2473" s="282" t="e">
        <f>++Tabla4[[#This Row],[Precio Unitario Neto]]-Tabla4[[#This Row],[20.85%]]-Tabla4[[#This Row],[Costo]]</f>
        <v>#N/A</v>
      </c>
      <c r="S2473" s="282" t="e">
        <f>++Tabla4[[#This Row],[U. Bruta Uni]]*Tabla4[[#This Row],[Cantidad]]</f>
        <v>#N/A</v>
      </c>
      <c r="T2473" s="369" t="str">
        <f>VLOOKUP(Tabla4[[#This Row],[Producto]],Tabla6[#All],14,FALSE)</f>
        <v>Termico Solar</v>
      </c>
      <c r="U2473" s="284" t="e">
        <f>(IF(Tabla4[[#This Row],[Familia]]="termico solar",Tabla4[[#This Row],[Utilidad Total]]*6%,Tabla4[[#This Row],[Utilidad Total]]*11.5%))/Tabla4[[#This Row],[Total]]</f>
        <v>#N/A</v>
      </c>
      <c r="V2473" s="282" t="e">
        <f>+Tabla4[[#This Row],[Comisión Calculada]]*Tabla4[[#This Row],[Total]]</f>
        <v>#N/A</v>
      </c>
    </row>
    <row r="2474" spans="1:22" hidden="1" x14ac:dyDescent="0.25">
      <c r="A2474" s="100">
        <v>45777</v>
      </c>
      <c r="B2474" t="str">
        <f t="shared" si="120"/>
        <v>April</v>
      </c>
      <c r="C2474" s="46" t="s">
        <v>280</v>
      </c>
      <c r="F2474" s="366" t="s">
        <v>1654</v>
      </c>
      <c r="G2474" s="46" t="s">
        <v>17</v>
      </c>
      <c r="H2474" s="46">
        <v>2</v>
      </c>
      <c r="I2474" s="51">
        <v>4622.28</v>
      </c>
      <c r="J2474" s="281">
        <f>++Tabla4[[#This Row],[Precio Bruto]]*1.16</f>
        <v>5361.8447999999989</v>
      </c>
      <c r="K2474" s="281">
        <f>+Tabla4[[#This Row],[Precio Unitario Neto]]*Tabla4[[#Headers],[20.85%]]</f>
        <v>1117.9446407999997</v>
      </c>
      <c r="L2474" s="282">
        <f>++Tabla4[[#This Row],[Precio Unitario Neto]]-Tabla4[[#This Row],[20.85%]]</f>
        <v>4243.9001591999995</v>
      </c>
      <c r="M2474" s="282" t="e">
        <f>(INDEX(Tabla6[#All],MATCH(Tabla4[[#This Row],[Producto]],Tabla6[[#All],[PRODUCTO]],0),MATCH(Tabla4[[#This Row],[Mes]],Tabla6[#Headers],0)))*(1+Catalogos!$L$2)</f>
        <v>#N/A</v>
      </c>
      <c r="N2474" s="283" t="e">
        <f>+(Tabla4[[#This Row],[Precio Descontado]]-Tabla4[[#This Row],[Precio Base]])*Tabla4[[#This Row],[Cantidad]]</f>
        <v>#N/A</v>
      </c>
      <c r="O2474" s="284" t="e">
        <f>++Tabla4[[#This Row],[Utilidad Total]]/Tabla4[[#This Row],[Total]]</f>
        <v>#N/A</v>
      </c>
      <c r="P2474" s="282">
        <f>++Tabla4[[#This Row],[Precio Descontado]]*Tabla4[[#This Row],[Cantidad]]</f>
        <v>8487.800318399999</v>
      </c>
      <c r="Q2474" s="282" t="e">
        <f>(INDEX(Tabla6[#All],MATCH(Tabla4[[#This Row],[Producto]],Tabla6[[#All],[PRODUCTO]],0),MATCH(Tabla4[[#This Row],[Mes]],Tabla6[#Headers],0)))</f>
        <v>#N/A</v>
      </c>
      <c r="R2474" s="282" t="e">
        <f>++Tabla4[[#This Row],[Precio Unitario Neto]]-Tabla4[[#This Row],[20.85%]]-Tabla4[[#This Row],[Costo]]</f>
        <v>#N/A</v>
      </c>
      <c r="S2474" s="282" t="e">
        <f>++Tabla4[[#This Row],[U. Bruta Uni]]*Tabla4[[#This Row],[Cantidad]]</f>
        <v>#N/A</v>
      </c>
      <c r="T2474" s="369" t="str">
        <f>VLOOKUP(Tabla4[[#This Row],[Producto]],Tabla6[#All],14,FALSE)</f>
        <v>Termico Solar</v>
      </c>
      <c r="U2474" s="284" t="e">
        <f>(IF(Tabla4[[#This Row],[Familia]]="termico solar",Tabla4[[#This Row],[Utilidad Total]]*6%,Tabla4[[#This Row],[Utilidad Total]]*11.5%))/Tabla4[[#This Row],[Total]]</f>
        <v>#N/A</v>
      </c>
      <c r="V2474" s="282" t="e">
        <f>+Tabla4[[#This Row],[Comisión Calculada]]*Tabla4[[#This Row],[Total]]</f>
        <v>#N/A</v>
      </c>
    </row>
    <row r="2475" spans="1:22" hidden="1" x14ac:dyDescent="0.25">
      <c r="A2475" s="100">
        <v>45777</v>
      </c>
      <c r="B2475" t="str">
        <f t="shared" si="120"/>
        <v>April</v>
      </c>
      <c r="C2475" s="46" t="s">
        <v>280</v>
      </c>
      <c r="F2475" s="366" t="s">
        <v>1654</v>
      </c>
      <c r="G2475" s="46" t="s">
        <v>18</v>
      </c>
      <c r="H2475" s="46">
        <v>3</v>
      </c>
      <c r="I2475" s="51">
        <v>5367.6500000000005</v>
      </c>
      <c r="J2475" s="281">
        <f>++Tabla4[[#This Row],[Precio Bruto]]*1.16</f>
        <v>6226.4740000000002</v>
      </c>
      <c r="K2475" s="281">
        <f>+Tabla4[[#This Row],[Precio Unitario Neto]]*Tabla4[[#Headers],[20.85%]]</f>
        <v>1298.2198289999999</v>
      </c>
      <c r="L2475" s="282">
        <f>++Tabla4[[#This Row],[Precio Unitario Neto]]-Tabla4[[#This Row],[20.85%]]</f>
        <v>4928.2541710000005</v>
      </c>
      <c r="M2475" s="282" t="e">
        <f>(INDEX(Tabla6[#All],MATCH(Tabla4[[#This Row],[Producto]],Tabla6[[#All],[PRODUCTO]],0),MATCH(Tabla4[[#This Row],[Mes]],Tabla6[#Headers],0)))*(1+Catalogos!$L$2)</f>
        <v>#N/A</v>
      </c>
      <c r="N2475" s="283" t="e">
        <f>+(Tabla4[[#This Row],[Precio Descontado]]-Tabla4[[#This Row],[Precio Base]])*Tabla4[[#This Row],[Cantidad]]</f>
        <v>#N/A</v>
      </c>
      <c r="O2475" s="284" t="e">
        <f>++Tabla4[[#This Row],[Utilidad Total]]/Tabla4[[#This Row],[Total]]</f>
        <v>#N/A</v>
      </c>
      <c r="P2475" s="282">
        <f>++Tabla4[[#This Row],[Precio Descontado]]*Tabla4[[#This Row],[Cantidad]]</f>
        <v>14784.762513000001</v>
      </c>
      <c r="Q2475" s="282" t="e">
        <f>(INDEX(Tabla6[#All],MATCH(Tabla4[[#This Row],[Producto]],Tabla6[[#All],[PRODUCTO]],0),MATCH(Tabla4[[#This Row],[Mes]],Tabla6[#Headers],0)))</f>
        <v>#N/A</v>
      </c>
      <c r="R2475" s="282" t="e">
        <f>++Tabla4[[#This Row],[Precio Unitario Neto]]-Tabla4[[#This Row],[20.85%]]-Tabla4[[#This Row],[Costo]]</f>
        <v>#N/A</v>
      </c>
      <c r="S2475" s="282" t="e">
        <f>++Tabla4[[#This Row],[U. Bruta Uni]]*Tabla4[[#This Row],[Cantidad]]</f>
        <v>#N/A</v>
      </c>
      <c r="T2475" s="369" t="str">
        <f>VLOOKUP(Tabla4[[#This Row],[Producto]],Tabla6[#All],14,FALSE)</f>
        <v>Termico Solar</v>
      </c>
      <c r="U2475" s="284" t="e">
        <f>(IF(Tabla4[[#This Row],[Familia]]="termico solar",Tabla4[[#This Row],[Utilidad Total]]*6%,Tabla4[[#This Row],[Utilidad Total]]*11.5%))/Tabla4[[#This Row],[Total]]</f>
        <v>#N/A</v>
      </c>
      <c r="V2475" s="282" t="e">
        <f>+Tabla4[[#This Row],[Comisión Calculada]]*Tabla4[[#This Row],[Total]]</f>
        <v>#N/A</v>
      </c>
    </row>
    <row r="2476" spans="1:22" hidden="1" x14ac:dyDescent="0.25">
      <c r="A2476" s="100">
        <v>45777</v>
      </c>
      <c r="B2476" t="str">
        <f t="shared" si="120"/>
        <v>April</v>
      </c>
      <c r="C2476" s="46" t="s">
        <v>280</v>
      </c>
      <c r="F2476" s="366" t="s">
        <v>1654</v>
      </c>
      <c r="G2476" s="46" t="s">
        <v>566</v>
      </c>
      <c r="H2476" s="46">
        <v>1</v>
      </c>
      <c r="I2476" s="51">
        <v>2109.4499999999998</v>
      </c>
      <c r="J2476" s="281">
        <f>++Tabla4[[#This Row],[Precio Bruto]]*1.16</f>
        <v>2446.9619999999995</v>
      </c>
      <c r="K2476" s="281">
        <f>+Tabla4[[#This Row],[Precio Unitario Neto]]*Tabla4[[#Headers],[20.85%]]</f>
        <v>510.19157699999988</v>
      </c>
      <c r="L2476" s="282">
        <f>++Tabla4[[#This Row],[Precio Unitario Neto]]-Tabla4[[#This Row],[20.85%]]</f>
        <v>1936.7704229999997</v>
      </c>
      <c r="M2476" s="282" t="e">
        <f>(INDEX(Tabla6[#All],MATCH(Tabla4[[#This Row],[Producto]],Tabla6[[#All],[PRODUCTO]],0),MATCH(Tabla4[[#This Row],[Mes]],Tabla6[#Headers],0)))*(1+Catalogos!$L$2)</f>
        <v>#N/A</v>
      </c>
      <c r="N2476" s="283" t="e">
        <f>+(Tabla4[[#This Row],[Precio Descontado]]-Tabla4[[#This Row],[Precio Base]])*Tabla4[[#This Row],[Cantidad]]</f>
        <v>#N/A</v>
      </c>
      <c r="O2476" s="284" t="e">
        <f>++Tabla4[[#This Row],[Utilidad Total]]/Tabla4[[#This Row],[Total]]</f>
        <v>#N/A</v>
      </c>
      <c r="P2476" s="282">
        <f>++Tabla4[[#This Row],[Precio Descontado]]*Tabla4[[#This Row],[Cantidad]]</f>
        <v>1936.7704229999997</v>
      </c>
      <c r="Q2476" s="282" t="e">
        <f>(INDEX(Tabla6[#All],MATCH(Tabla4[[#This Row],[Producto]],Tabla6[[#All],[PRODUCTO]],0),MATCH(Tabla4[[#This Row],[Mes]],Tabla6[#Headers],0)))</f>
        <v>#N/A</v>
      </c>
      <c r="R2476" s="282" t="e">
        <f>++Tabla4[[#This Row],[Precio Unitario Neto]]-Tabla4[[#This Row],[20.85%]]-Tabla4[[#This Row],[Costo]]</f>
        <v>#N/A</v>
      </c>
      <c r="S2476" s="282" t="e">
        <f>++Tabla4[[#This Row],[U. Bruta Uni]]*Tabla4[[#This Row],[Cantidad]]</f>
        <v>#N/A</v>
      </c>
      <c r="T2476" s="369" t="str">
        <f>VLOOKUP(Tabla4[[#This Row],[Producto]],Tabla6[#All],14,FALSE)</f>
        <v>Termico Solar</v>
      </c>
      <c r="U2476" s="284" t="e">
        <f>(IF(Tabla4[[#This Row],[Familia]]="termico solar",Tabla4[[#This Row],[Utilidad Total]]*6%,Tabla4[[#This Row],[Utilidad Total]]*11.5%))/Tabla4[[#This Row],[Total]]</f>
        <v>#N/A</v>
      </c>
      <c r="V2476" s="282" t="e">
        <f>+Tabla4[[#This Row],[Comisión Calculada]]*Tabla4[[#This Row],[Total]]</f>
        <v>#N/A</v>
      </c>
    </row>
    <row r="2477" spans="1:22" hidden="1" x14ac:dyDescent="0.25">
      <c r="A2477" s="100">
        <v>45777</v>
      </c>
      <c r="B2477" t="str">
        <f t="shared" si="120"/>
        <v>April</v>
      </c>
      <c r="C2477" s="46" t="s">
        <v>280</v>
      </c>
      <c r="F2477" s="366" t="s">
        <v>1654</v>
      </c>
      <c r="G2477" s="46" t="s">
        <v>16</v>
      </c>
      <c r="H2477" s="46">
        <v>2</v>
      </c>
      <c r="I2477" s="51">
        <v>4103.8500000000004</v>
      </c>
      <c r="J2477" s="281">
        <f>++Tabla4[[#This Row],[Precio Bruto]]*1.16</f>
        <v>4760.4660000000003</v>
      </c>
      <c r="K2477" s="281">
        <f>+Tabla4[[#This Row],[Precio Unitario Neto]]*Tabla4[[#Headers],[20.85%]]</f>
        <v>992.55716100000006</v>
      </c>
      <c r="L2477" s="282">
        <f>++Tabla4[[#This Row],[Precio Unitario Neto]]-Tabla4[[#This Row],[20.85%]]</f>
        <v>3767.9088390000002</v>
      </c>
      <c r="M2477" s="282" t="e">
        <f>(INDEX(Tabla6[#All],MATCH(Tabla4[[#This Row],[Producto]],Tabla6[[#All],[PRODUCTO]],0),MATCH(Tabla4[[#This Row],[Mes]],Tabla6[#Headers],0)))*(1+Catalogos!$L$2)</f>
        <v>#N/A</v>
      </c>
      <c r="N2477" s="283" t="e">
        <f>+(Tabla4[[#This Row],[Precio Descontado]]-Tabla4[[#This Row],[Precio Base]])*Tabla4[[#This Row],[Cantidad]]</f>
        <v>#N/A</v>
      </c>
      <c r="O2477" s="284" t="e">
        <f>++Tabla4[[#This Row],[Utilidad Total]]/Tabla4[[#This Row],[Total]]</f>
        <v>#N/A</v>
      </c>
      <c r="P2477" s="282">
        <f>++Tabla4[[#This Row],[Precio Descontado]]*Tabla4[[#This Row],[Cantidad]]</f>
        <v>7535.8176780000003</v>
      </c>
      <c r="Q2477" s="282" t="e">
        <f>(INDEX(Tabla6[#All],MATCH(Tabla4[[#This Row],[Producto]],Tabla6[[#All],[PRODUCTO]],0),MATCH(Tabla4[[#This Row],[Mes]],Tabla6[#Headers],0)))</f>
        <v>#N/A</v>
      </c>
      <c r="R2477" s="282" t="e">
        <f>++Tabla4[[#This Row],[Precio Unitario Neto]]-Tabla4[[#This Row],[20.85%]]-Tabla4[[#This Row],[Costo]]</f>
        <v>#N/A</v>
      </c>
      <c r="S2477" s="282" t="e">
        <f>++Tabla4[[#This Row],[U. Bruta Uni]]*Tabla4[[#This Row],[Cantidad]]</f>
        <v>#N/A</v>
      </c>
      <c r="T2477" s="369" t="str">
        <f>VLOOKUP(Tabla4[[#This Row],[Producto]],Tabla6[#All],14,FALSE)</f>
        <v>Termico Solar</v>
      </c>
      <c r="U2477" s="284" t="e">
        <f>(IF(Tabla4[[#This Row],[Familia]]="termico solar",Tabla4[[#This Row],[Utilidad Total]]*6%,Tabla4[[#This Row],[Utilidad Total]]*11.5%))/Tabla4[[#This Row],[Total]]</f>
        <v>#N/A</v>
      </c>
      <c r="V2477" s="282" t="e">
        <f>+Tabla4[[#This Row],[Comisión Calculada]]*Tabla4[[#This Row],[Total]]</f>
        <v>#N/A</v>
      </c>
    </row>
    <row r="2478" spans="1:22" hidden="1" x14ac:dyDescent="0.25">
      <c r="A2478" s="100">
        <v>45777</v>
      </c>
      <c r="B2478" t="str">
        <f t="shared" si="120"/>
        <v>April</v>
      </c>
      <c r="C2478" s="46" t="s">
        <v>280</v>
      </c>
      <c r="F2478" s="366" t="s">
        <v>1655</v>
      </c>
      <c r="G2478" s="46" t="s">
        <v>83</v>
      </c>
      <c r="H2478" s="46">
        <v>2</v>
      </c>
      <c r="I2478" s="51">
        <v>8858.76</v>
      </c>
      <c r="J2478" s="281">
        <f>++Tabla4[[#This Row],[Precio Bruto]]*1.16</f>
        <v>10276.161599999999</v>
      </c>
      <c r="K2478" s="281">
        <f>+Tabla4[[#This Row],[Precio Unitario Neto]]*Tabla4[[#Headers],[20.85%]]</f>
        <v>2142.5796935999997</v>
      </c>
      <c r="L2478" s="282">
        <f>++Tabla4[[#This Row],[Precio Unitario Neto]]-Tabla4[[#This Row],[20.85%]]</f>
        <v>8133.5819063999998</v>
      </c>
      <c r="M2478" s="282" t="e">
        <f>(INDEX(Tabla6[#All],MATCH(Tabla4[[#This Row],[Producto]],Tabla6[[#All],[PRODUCTO]],0),MATCH(Tabla4[[#This Row],[Mes]],Tabla6[#Headers],0)))*(1+Catalogos!$L$2)</f>
        <v>#N/A</v>
      </c>
      <c r="N2478" s="283" t="e">
        <f>+(Tabla4[[#This Row],[Precio Descontado]]-Tabla4[[#This Row],[Precio Base]])*Tabla4[[#This Row],[Cantidad]]</f>
        <v>#N/A</v>
      </c>
      <c r="O2478" s="284" t="e">
        <f>++Tabla4[[#This Row],[Utilidad Total]]/Tabla4[[#This Row],[Total]]</f>
        <v>#N/A</v>
      </c>
      <c r="P2478" s="282">
        <f>++Tabla4[[#This Row],[Precio Descontado]]*Tabla4[[#This Row],[Cantidad]]</f>
        <v>16267.1638128</v>
      </c>
      <c r="Q2478" s="282" t="e">
        <f>(INDEX(Tabla6[#All],MATCH(Tabla4[[#This Row],[Producto]],Tabla6[[#All],[PRODUCTO]],0),MATCH(Tabla4[[#This Row],[Mes]],Tabla6[#Headers],0)))</f>
        <v>#N/A</v>
      </c>
      <c r="R2478" s="282" t="e">
        <f>++Tabla4[[#This Row],[Precio Unitario Neto]]-Tabla4[[#This Row],[20.85%]]-Tabla4[[#This Row],[Costo]]</f>
        <v>#N/A</v>
      </c>
      <c r="S2478" s="282" t="e">
        <f>++Tabla4[[#This Row],[U. Bruta Uni]]*Tabla4[[#This Row],[Cantidad]]</f>
        <v>#N/A</v>
      </c>
      <c r="T2478" s="369" t="str">
        <f>VLOOKUP(Tabla4[[#This Row],[Producto]],Tabla6[#All],14,FALSE)</f>
        <v>Termico Solar</v>
      </c>
      <c r="U2478" s="284" t="e">
        <f>(IF(Tabla4[[#This Row],[Familia]]="termico solar",Tabla4[[#This Row],[Utilidad Total]]*6%,Tabla4[[#This Row],[Utilidad Total]]*11.5%))/Tabla4[[#This Row],[Total]]</f>
        <v>#N/A</v>
      </c>
      <c r="V2478" s="282" t="e">
        <f>+Tabla4[[#This Row],[Comisión Calculada]]*Tabla4[[#This Row],[Total]]</f>
        <v>#N/A</v>
      </c>
    </row>
    <row r="2479" spans="1:22" hidden="1" x14ac:dyDescent="0.25">
      <c r="A2479" s="100">
        <v>45777</v>
      </c>
      <c r="B2479" t="str">
        <f t="shared" si="120"/>
        <v>April</v>
      </c>
      <c r="C2479" s="46" t="s">
        <v>280</v>
      </c>
      <c r="F2479" s="366" t="s">
        <v>1655</v>
      </c>
      <c r="G2479" s="46" t="s">
        <v>566</v>
      </c>
      <c r="H2479" s="46">
        <v>3</v>
      </c>
      <c r="I2479" s="51">
        <v>2109.4500000000003</v>
      </c>
      <c r="J2479" s="281">
        <f>++Tabla4[[#This Row],[Precio Bruto]]*1.16</f>
        <v>2446.962</v>
      </c>
      <c r="K2479" s="281">
        <f>+Tabla4[[#This Row],[Precio Unitario Neto]]*Tabla4[[#Headers],[20.85%]]</f>
        <v>510.191577</v>
      </c>
      <c r="L2479" s="282">
        <f>++Tabla4[[#This Row],[Precio Unitario Neto]]-Tabla4[[#This Row],[20.85%]]</f>
        <v>1936.7704229999999</v>
      </c>
      <c r="M2479" s="282" t="e">
        <f>(INDEX(Tabla6[#All],MATCH(Tabla4[[#This Row],[Producto]],Tabla6[[#All],[PRODUCTO]],0),MATCH(Tabla4[[#This Row],[Mes]],Tabla6[#Headers],0)))*(1+Catalogos!$L$2)</f>
        <v>#N/A</v>
      </c>
      <c r="N2479" s="283" t="e">
        <f>+(Tabla4[[#This Row],[Precio Descontado]]-Tabla4[[#This Row],[Precio Base]])*Tabla4[[#This Row],[Cantidad]]</f>
        <v>#N/A</v>
      </c>
      <c r="O2479" s="284" t="e">
        <f>++Tabla4[[#This Row],[Utilidad Total]]/Tabla4[[#This Row],[Total]]</f>
        <v>#N/A</v>
      </c>
      <c r="P2479" s="282">
        <f>++Tabla4[[#This Row],[Precio Descontado]]*Tabla4[[#This Row],[Cantidad]]</f>
        <v>5810.3112689999998</v>
      </c>
      <c r="Q2479" s="282" t="e">
        <f>(INDEX(Tabla6[#All],MATCH(Tabla4[[#This Row],[Producto]],Tabla6[[#All],[PRODUCTO]],0),MATCH(Tabla4[[#This Row],[Mes]],Tabla6[#Headers],0)))</f>
        <v>#N/A</v>
      </c>
      <c r="R2479" s="282" t="e">
        <f>++Tabla4[[#This Row],[Precio Unitario Neto]]-Tabla4[[#This Row],[20.85%]]-Tabla4[[#This Row],[Costo]]</f>
        <v>#N/A</v>
      </c>
      <c r="S2479" s="282" t="e">
        <f>++Tabla4[[#This Row],[U. Bruta Uni]]*Tabla4[[#This Row],[Cantidad]]</f>
        <v>#N/A</v>
      </c>
      <c r="T2479" s="369" t="str">
        <f>VLOOKUP(Tabla4[[#This Row],[Producto]],Tabla6[#All],14,FALSE)</f>
        <v>Termico Solar</v>
      </c>
      <c r="U2479" s="284" t="e">
        <f>(IF(Tabla4[[#This Row],[Familia]]="termico solar",Tabla4[[#This Row],[Utilidad Total]]*6%,Tabla4[[#This Row],[Utilidad Total]]*11.5%))/Tabla4[[#This Row],[Total]]</f>
        <v>#N/A</v>
      </c>
      <c r="V2479" s="282" t="e">
        <f>+Tabla4[[#This Row],[Comisión Calculada]]*Tabla4[[#This Row],[Total]]</f>
        <v>#N/A</v>
      </c>
    </row>
    <row r="2480" spans="1:22" hidden="1" x14ac:dyDescent="0.25">
      <c r="A2480" s="100">
        <v>45777</v>
      </c>
      <c r="B2480" t="str">
        <f t="shared" si="120"/>
        <v>April</v>
      </c>
      <c r="C2480" s="46" t="s">
        <v>280</v>
      </c>
      <c r="F2480" s="366" t="s">
        <v>1655</v>
      </c>
      <c r="G2480" s="46" t="s">
        <v>16</v>
      </c>
      <c r="H2480" s="46">
        <v>2</v>
      </c>
      <c r="I2480" s="51">
        <v>4103.8500000000004</v>
      </c>
      <c r="J2480" s="281">
        <f>++Tabla4[[#This Row],[Precio Bruto]]*1.16</f>
        <v>4760.4660000000003</v>
      </c>
      <c r="K2480" s="281">
        <f>+Tabla4[[#This Row],[Precio Unitario Neto]]*Tabla4[[#Headers],[20.85%]]</f>
        <v>992.55716100000006</v>
      </c>
      <c r="L2480" s="282">
        <f>++Tabla4[[#This Row],[Precio Unitario Neto]]-Tabla4[[#This Row],[20.85%]]</f>
        <v>3767.9088390000002</v>
      </c>
      <c r="M2480" s="282" t="e">
        <f>(INDEX(Tabla6[#All],MATCH(Tabla4[[#This Row],[Producto]],Tabla6[[#All],[PRODUCTO]],0),MATCH(Tabla4[[#This Row],[Mes]],Tabla6[#Headers],0)))*(1+Catalogos!$L$2)</f>
        <v>#N/A</v>
      </c>
      <c r="N2480" s="283" t="e">
        <f>+(Tabla4[[#This Row],[Precio Descontado]]-Tabla4[[#This Row],[Precio Base]])*Tabla4[[#This Row],[Cantidad]]</f>
        <v>#N/A</v>
      </c>
      <c r="O2480" s="284" t="e">
        <f>++Tabla4[[#This Row],[Utilidad Total]]/Tabla4[[#This Row],[Total]]</f>
        <v>#N/A</v>
      </c>
      <c r="P2480" s="282">
        <f>++Tabla4[[#This Row],[Precio Descontado]]*Tabla4[[#This Row],[Cantidad]]</f>
        <v>7535.8176780000003</v>
      </c>
      <c r="Q2480" s="282" t="e">
        <f>(INDEX(Tabla6[#All],MATCH(Tabla4[[#This Row],[Producto]],Tabla6[[#All],[PRODUCTO]],0),MATCH(Tabla4[[#This Row],[Mes]],Tabla6[#Headers],0)))</f>
        <v>#N/A</v>
      </c>
      <c r="R2480" s="282" t="e">
        <f>++Tabla4[[#This Row],[Precio Unitario Neto]]-Tabla4[[#This Row],[20.85%]]-Tabla4[[#This Row],[Costo]]</f>
        <v>#N/A</v>
      </c>
      <c r="S2480" s="282" t="e">
        <f>++Tabla4[[#This Row],[U. Bruta Uni]]*Tabla4[[#This Row],[Cantidad]]</f>
        <v>#N/A</v>
      </c>
      <c r="T2480" s="369" t="str">
        <f>VLOOKUP(Tabla4[[#This Row],[Producto]],Tabla6[#All],14,FALSE)</f>
        <v>Termico Solar</v>
      </c>
      <c r="U2480" s="284" t="e">
        <f>(IF(Tabla4[[#This Row],[Familia]]="termico solar",Tabla4[[#This Row],[Utilidad Total]]*6%,Tabla4[[#This Row],[Utilidad Total]]*11.5%))/Tabla4[[#This Row],[Total]]</f>
        <v>#N/A</v>
      </c>
      <c r="V2480" s="282" t="e">
        <f>+Tabla4[[#This Row],[Comisión Calculada]]*Tabla4[[#This Row],[Total]]</f>
        <v>#N/A</v>
      </c>
    </row>
    <row r="2481" spans="1:22" hidden="1" x14ac:dyDescent="0.25">
      <c r="A2481" s="100">
        <v>45777</v>
      </c>
      <c r="B2481" t="str">
        <f t="shared" si="120"/>
        <v>April</v>
      </c>
      <c r="C2481" s="46" t="s">
        <v>280</v>
      </c>
      <c r="F2481" s="366" t="s">
        <v>1656</v>
      </c>
      <c r="G2481" s="46" t="s">
        <v>83</v>
      </c>
      <c r="H2481" s="46">
        <v>6</v>
      </c>
      <c r="I2481" s="51">
        <v>8858.76</v>
      </c>
      <c r="J2481" s="281">
        <f>++Tabla4[[#This Row],[Precio Bruto]]*1.16</f>
        <v>10276.161599999999</v>
      </c>
      <c r="K2481" s="281">
        <f>+Tabla4[[#This Row],[Precio Unitario Neto]]*Tabla4[[#Headers],[20.85%]]</f>
        <v>2142.5796935999997</v>
      </c>
      <c r="L2481" s="282">
        <f>++Tabla4[[#This Row],[Precio Unitario Neto]]-Tabla4[[#This Row],[20.85%]]</f>
        <v>8133.5819063999998</v>
      </c>
      <c r="M2481" s="282" t="e">
        <f>(INDEX(Tabla6[#All],MATCH(Tabla4[[#This Row],[Producto]],Tabla6[[#All],[PRODUCTO]],0),MATCH(Tabla4[[#This Row],[Mes]],Tabla6[#Headers],0)))*(1+Catalogos!$L$2)</f>
        <v>#N/A</v>
      </c>
      <c r="N2481" s="283" t="e">
        <f>+(Tabla4[[#This Row],[Precio Descontado]]-Tabla4[[#This Row],[Precio Base]])*Tabla4[[#This Row],[Cantidad]]</f>
        <v>#N/A</v>
      </c>
      <c r="O2481" s="284" t="e">
        <f>++Tabla4[[#This Row],[Utilidad Total]]/Tabla4[[#This Row],[Total]]</f>
        <v>#N/A</v>
      </c>
      <c r="P2481" s="282">
        <f>++Tabla4[[#This Row],[Precio Descontado]]*Tabla4[[#This Row],[Cantidad]]</f>
        <v>48801.4914384</v>
      </c>
      <c r="Q2481" s="282" t="e">
        <f>(INDEX(Tabla6[#All],MATCH(Tabla4[[#This Row],[Producto]],Tabla6[[#All],[PRODUCTO]],0),MATCH(Tabla4[[#This Row],[Mes]],Tabla6[#Headers],0)))</f>
        <v>#N/A</v>
      </c>
      <c r="R2481" s="282" t="e">
        <f>++Tabla4[[#This Row],[Precio Unitario Neto]]-Tabla4[[#This Row],[20.85%]]-Tabla4[[#This Row],[Costo]]</f>
        <v>#N/A</v>
      </c>
      <c r="S2481" s="282" t="e">
        <f>++Tabla4[[#This Row],[U. Bruta Uni]]*Tabla4[[#This Row],[Cantidad]]</f>
        <v>#N/A</v>
      </c>
      <c r="T2481" s="369" t="str">
        <f>VLOOKUP(Tabla4[[#This Row],[Producto]],Tabla6[#All],14,FALSE)</f>
        <v>Termico Solar</v>
      </c>
      <c r="U2481" s="284" t="e">
        <f>(IF(Tabla4[[#This Row],[Familia]]="termico solar",Tabla4[[#This Row],[Utilidad Total]]*6%,Tabla4[[#This Row],[Utilidad Total]]*11.5%))/Tabla4[[#This Row],[Total]]</f>
        <v>#N/A</v>
      </c>
      <c r="V2481" s="282" t="e">
        <f>+Tabla4[[#This Row],[Comisión Calculada]]*Tabla4[[#This Row],[Total]]</f>
        <v>#N/A</v>
      </c>
    </row>
    <row r="2482" spans="1:22" hidden="1" x14ac:dyDescent="0.25">
      <c r="A2482" s="100">
        <v>45777</v>
      </c>
      <c r="B2482" t="str">
        <f t="shared" si="120"/>
        <v>April</v>
      </c>
      <c r="C2482" s="46" t="s">
        <v>280</v>
      </c>
      <c r="F2482" s="366" t="s">
        <v>1656</v>
      </c>
      <c r="G2482" s="46" t="s">
        <v>17</v>
      </c>
      <c r="H2482" s="46">
        <v>2</v>
      </c>
      <c r="I2482" s="51">
        <v>4622.28</v>
      </c>
      <c r="J2482" s="281">
        <f>++Tabla4[[#This Row],[Precio Bruto]]*1.16</f>
        <v>5361.8447999999989</v>
      </c>
      <c r="K2482" s="281">
        <f>+Tabla4[[#This Row],[Precio Unitario Neto]]*Tabla4[[#Headers],[20.85%]]</f>
        <v>1117.9446407999997</v>
      </c>
      <c r="L2482" s="282">
        <f>++Tabla4[[#This Row],[Precio Unitario Neto]]-Tabla4[[#This Row],[20.85%]]</f>
        <v>4243.9001591999995</v>
      </c>
      <c r="M2482" s="282" t="e">
        <f>(INDEX(Tabla6[#All],MATCH(Tabla4[[#This Row],[Producto]],Tabla6[[#All],[PRODUCTO]],0),MATCH(Tabla4[[#This Row],[Mes]],Tabla6[#Headers],0)))*(1+Catalogos!$L$2)</f>
        <v>#N/A</v>
      </c>
      <c r="N2482" s="283" t="e">
        <f>+(Tabla4[[#This Row],[Precio Descontado]]-Tabla4[[#This Row],[Precio Base]])*Tabla4[[#This Row],[Cantidad]]</f>
        <v>#N/A</v>
      </c>
      <c r="O2482" s="284" t="e">
        <f>++Tabla4[[#This Row],[Utilidad Total]]/Tabla4[[#This Row],[Total]]</f>
        <v>#N/A</v>
      </c>
      <c r="P2482" s="282">
        <f>++Tabla4[[#This Row],[Precio Descontado]]*Tabla4[[#This Row],[Cantidad]]</f>
        <v>8487.800318399999</v>
      </c>
      <c r="Q2482" s="282" t="e">
        <f>(INDEX(Tabla6[#All],MATCH(Tabla4[[#This Row],[Producto]],Tabla6[[#All],[PRODUCTO]],0),MATCH(Tabla4[[#This Row],[Mes]],Tabla6[#Headers],0)))</f>
        <v>#N/A</v>
      </c>
      <c r="R2482" s="282" t="e">
        <f>++Tabla4[[#This Row],[Precio Unitario Neto]]-Tabla4[[#This Row],[20.85%]]-Tabla4[[#This Row],[Costo]]</f>
        <v>#N/A</v>
      </c>
      <c r="S2482" s="282" t="e">
        <f>++Tabla4[[#This Row],[U. Bruta Uni]]*Tabla4[[#This Row],[Cantidad]]</f>
        <v>#N/A</v>
      </c>
      <c r="T2482" s="369" t="str">
        <f>VLOOKUP(Tabla4[[#This Row],[Producto]],Tabla6[#All],14,FALSE)</f>
        <v>Termico Solar</v>
      </c>
      <c r="U2482" s="284" t="e">
        <f>(IF(Tabla4[[#This Row],[Familia]]="termico solar",Tabla4[[#This Row],[Utilidad Total]]*6%,Tabla4[[#This Row],[Utilidad Total]]*11.5%))/Tabla4[[#This Row],[Total]]</f>
        <v>#N/A</v>
      </c>
      <c r="V2482" s="282" t="e">
        <f>+Tabla4[[#This Row],[Comisión Calculada]]*Tabla4[[#This Row],[Total]]</f>
        <v>#N/A</v>
      </c>
    </row>
    <row r="2483" spans="1:22" hidden="1" x14ac:dyDescent="0.25">
      <c r="A2483" s="100">
        <v>45777</v>
      </c>
      <c r="B2483" t="str">
        <f t="shared" si="120"/>
        <v>April</v>
      </c>
      <c r="C2483" s="46" t="s">
        <v>280</v>
      </c>
      <c r="F2483" s="366" t="s">
        <v>1656</v>
      </c>
      <c r="G2483" s="46" t="s">
        <v>18</v>
      </c>
      <c r="H2483" s="46">
        <v>3</v>
      </c>
      <c r="I2483" s="51">
        <v>5367.6500000000005</v>
      </c>
      <c r="J2483" s="281">
        <f>++Tabla4[[#This Row],[Precio Bruto]]*1.16</f>
        <v>6226.4740000000002</v>
      </c>
      <c r="K2483" s="281">
        <f>+Tabla4[[#This Row],[Precio Unitario Neto]]*Tabla4[[#Headers],[20.85%]]</f>
        <v>1298.2198289999999</v>
      </c>
      <c r="L2483" s="282">
        <f>++Tabla4[[#This Row],[Precio Unitario Neto]]-Tabla4[[#This Row],[20.85%]]</f>
        <v>4928.2541710000005</v>
      </c>
      <c r="M2483" s="282" t="e">
        <f>(INDEX(Tabla6[#All],MATCH(Tabla4[[#This Row],[Producto]],Tabla6[[#All],[PRODUCTO]],0),MATCH(Tabla4[[#This Row],[Mes]],Tabla6[#Headers],0)))*(1+Catalogos!$L$2)</f>
        <v>#N/A</v>
      </c>
      <c r="N2483" s="283" t="e">
        <f>+(Tabla4[[#This Row],[Precio Descontado]]-Tabla4[[#This Row],[Precio Base]])*Tabla4[[#This Row],[Cantidad]]</f>
        <v>#N/A</v>
      </c>
      <c r="O2483" s="284" t="e">
        <f>++Tabla4[[#This Row],[Utilidad Total]]/Tabla4[[#This Row],[Total]]</f>
        <v>#N/A</v>
      </c>
      <c r="P2483" s="282">
        <f>++Tabla4[[#This Row],[Precio Descontado]]*Tabla4[[#This Row],[Cantidad]]</f>
        <v>14784.762513000001</v>
      </c>
      <c r="Q2483" s="282" t="e">
        <f>(INDEX(Tabla6[#All],MATCH(Tabla4[[#This Row],[Producto]],Tabla6[[#All],[PRODUCTO]],0),MATCH(Tabla4[[#This Row],[Mes]],Tabla6[#Headers],0)))</f>
        <v>#N/A</v>
      </c>
      <c r="R2483" s="282" t="e">
        <f>++Tabla4[[#This Row],[Precio Unitario Neto]]-Tabla4[[#This Row],[20.85%]]-Tabla4[[#This Row],[Costo]]</f>
        <v>#N/A</v>
      </c>
      <c r="S2483" s="282" t="e">
        <f>++Tabla4[[#This Row],[U. Bruta Uni]]*Tabla4[[#This Row],[Cantidad]]</f>
        <v>#N/A</v>
      </c>
      <c r="T2483" s="369" t="str">
        <f>VLOOKUP(Tabla4[[#This Row],[Producto]],Tabla6[#All],14,FALSE)</f>
        <v>Termico Solar</v>
      </c>
      <c r="U2483" s="284" t="e">
        <f>(IF(Tabla4[[#This Row],[Familia]]="termico solar",Tabla4[[#This Row],[Utilidad Total]]*6%,Tabla4[[#This Row],[Utilidad Total]]*11.5%))/Tabla4[[#This Row],[Total]]</f>
        <v>#N/A</v>
      </c>
      <c r="V2483" s="282" t="e">
        <f>+Tabla4[[#This Row],[Comisión Calculada]]*Tabla4[[#This Row],[Total]]</f>
        <v>#N/A</v>
      </c>
    </row>
    <row r="2484" spans="1:22" hidden="1" x14ac:dyDescent="0.25">
      <c r="A2484" s="100">
        <v>45777</v>
      </c>
      <c r="B2484" t="str">
        <f t="shared" si="120"/>
        <v>April</v>
      </c>
      <c r="C2484" s="46" t="s">
        <v>280</v>
      </c>
      <c r="F2484" s="366" t="s">
        <v>1656</v>
      </c>
      <c r="G2484" s="46" t="s">
        <v>208</v>
      </c>
      <c r="H2484" s="46">
        <v>1</v>
      </c>
      <c r="I2484" s="51">
        <v>189.75</v>
      </c>
      <c r="J2484" s="281">
        <f>++Tabla4[[#This Row],[Precio Bruto]]*1.16</f>
        <v>220.10999999999999</v>
      </c>
      <c r="K2484" s="281">
        <f>+Tabla4[[#This Row],[Precio Unitario Neto]]*Tabla4[[#Headers],[20.85%]]</f>
        <v>45.892934999999994</v>
      </c>
      <c r="L2484" s="282">
        <f>++Tabla4[[#This Row],[Precio Unitario Neto]]-Tabla4[[#This Row],[20.85%]]</f>
        <v>174.21706499999999</v>
      </c>
      <c r="M2484" s="282" t="e">
        <f>(INDEX(Tabla6[#All],MATCH(Tabla4[[#This Row],[Producto]],Tabla6[[#All],[PRODUCTO]],0),MATCH(Tabla4[[#This Row],[Mes]],Tabla6[#Headers],0)))*(1+Catalogos!$L$2)</f>
        <v>#N/A</v>
      </c>
      <c r="N2484" s="283" t="e">
        <f>+(Tabla4[[#This Row],[Precio Descontado]]-Tabla4[[#This Row],[Precio Base]])*Tabla4[[#This Row],[Cantidad]]</f>
        <v>#N/A</v>
      </c>
      <c r="O2484" s="284" t="e">
        <f>++Tabla4[[#This Row],[Utilidad Total]]/Tabla4[[#This Row],[Total]]</f>
        <v>#N/A</v>
      </c>
      <c r="P2484" s="282">
        <f>++Tabla4[[#This Row],[Precio Descontado]]*Tabla4[[#This Row],[Cantidad]]</f>
        <v>174.21706499999999</v>
      </c>
      <c r="Q2484" s="282" t="e">
        <f>(INDEX(Tabla6[#All],MATCH(Tabla4[[#This Row],[Producto]],Tabla6[[#All],[PRODUCTO]],0),MATCH(Tabla4[[#This Row],[Mes]],Tabla6[#Headers],0)))</f>
        <v>#N/A</v>
      </c>
      <c r="R2484" s="282" t="e">
        <f>++Tabla4[[#This Row],[Precio Unitario Neto]]-Tabla4[[#This Row],[20.85%]]-Tabla4[[#This Row],[Costo]]</f>
        <v>#N/A</v>
      </c>
      <c r="S2484" s="282" t="e">
        <f>++Tabla4[[#This Row],[U. Bruta Uni]]*Tabla4[[#This Row],[Cantidad]]</f>
        <v>#N/A</v>
      </c>
      <c r="T2484" s="369" t="str">
        <f>VLOOKUP(Tabla4[[#This Row],[Producto]],Tabla6[#All],14,FALSE)</f>
        <v>Termico Solar</v>
      </c>
      <c r="U2484" s="284" t="e">
        <f>(IF(Tabla4[[#This Row],[Familia]]="termico solar",Tabla4[[#This Row],[Utilidad Total]]*6%,Tabla4[[#This Row],[Utilidad Total]]*11.5%))/Tabla4[[#This Row],[Total]]</f>
        <v>#N/A</v>
      </c>
      <c r="V2484" s="282" t="e">
        <f>+Tabla4[[#This Row],[Comisión Calculada]]*Tabla4[[#This Row],[Total]]</f>
        <v>#N/A</v>
      </c>
    </row>
    <row r="2485" spans="1:22" hidden="1" x14ac:dyDescent="0.25">
      <c r="A2485" s="100">
        <v>45777</v>
      </c>
      <c r="B2485" t="str">
        <f t="shared" si="120"/>
        <v>April</v>
      </c>
      <c r="C2485" s="46" t="s">
        <v>280</v>
      </c>
      <c r="F2485" s="366" t="s">
        <v>1657</v>
      </c>
      <c r="G2485" s="46" t="s">
        <v>83</v>
      </c>
      <c r="H2485" s="46">
        <v>6</v>
      </c>
      <c r="I2485" s="51">
        <v>8858.76</v>
      </c>
      <c r="J2485" s="281">
        <f>++Tabla4[[#This Row],[Precio Bruto]]*1.16</f>
        <v>10276.161599999999</v>
      </c>
      <c r="K2485" s="281">
        <f>+Tabla4[[#This Row],[Precio Unitario Neto]]*Tabla4[[#Headers],[20.85%]]</f>
        <v>2142.5796935999997</v>
      </c>
      <c r="L2485" s="282">
        <f>++Tabla4[[#This Row],[Precio Unitario Neto]]-Tabla4[[#This Row],[20.85%]]</f>
        <v>8133.5819063999998</v>
      </c>
      <c r="M2485" s="282" t="e">
        <f>(INDEX(Tabla6[#All],MATCH(Tabla4[[#This Row],[Producto]],Tabla6[[#All],[PRODUCTO]],0),MATCH(Tabla4[[#This Row],[Mes]],Tabla6[#Headers],0)))*(1+Catalogos!$L$2)</f>
        <v>#N/A</v>
      </c>
      <c r="N2485" s="283" t="e">
        <f>+(Tabla4[[#This Row],[Precio Descontado]]-Tabla4[[#This Row],[Precio Base]])*Tabla4[[#This Row],[Cantidad]]</f>
        <v>#N/A</v>
      </c>
      <c r="O2485" s="284" t="e">
        <f>++Tabla4[[#This Row],[Utilidad Total]]/Tabla4[[#This Row],[Total]]</f>
        <v>#N/A</v>
      </c>
      <c r="P2485" s="282">
        <f>++Tabla4[[#This Row],[Precio Descontado]]*Tabla4[[#This Row],[Cantidad]]</f>
        <v>48801.4914384</v>
      </c>
      <c r="Q2485" s="282" t="e">
        <f>(INDEX(Tabla6[#All],MATCH(Tabla4[[#This Row],[Producto]],Tabla6[[#All],[PRODUCTO]],0),MATCH(Tabla4[[#This Row],[Mes]],Tabla6[#Headers],0)))</f>
        <v>#N/A</v>
      </c>
      <c r="R2485" s="282" t="e">
        <f>++Tabla4[[#This Row],[Precio Unitario Neto]]-Tabla4[[#This Row],[20.85%]]-Tabla4[[#This Row],[Costo]]</f>
        <v>#N/A</v>
      </c>
      <c r="S2485" s="282" t="e">
        <f>++Tabla4[[#This Row],[U. Bruta Uni]]*Tabla4[[#This Row],[Cantidad]]</f>
        <v>#N/A</v>
      </c>
      <c r="T2485" s="369" t="str">
        <f>VLOOKUP(Tabla4[[#This Row],[Producto]],Tabla6[#All],14,FALSE)</f>
        <v>Termico Solar</v>
      </c>
      <c r="U2485" s="284" t="e">
        <f>(IF(Tabla4[[#This Row],[Familia]]="termico solar",Tabla4[[#This Row],[Utilidad Total]]*6%,Tabla4[[#This Row],[Utilidad Total]]*11.5%))/Tabla4[[#This Row],[Total]]</f>
        <v>#N/A</v>
      </c>
      <c r="V2485" s="282" t="e">
        <f>+Tabla4[[#This Row],[Comisión Calculada]]*Tabla4[[#This Row],[Total]]</f>
        <v>#N/A</v>
      </c>
    </row>
    <row r="2486" spans="1:22" hidden="1" x14ac:dyDescent="0.25">
      <c r="A2486" s="100">
        <v>45777</v>
      </c>
      <c r="B2486" t="str">
        <f t="shared" si="120"/>
        <v>April</v>
      </c>
      <c r="C2486" s="46" t="s">
        <v>280</v>
      </c>
      <c r="F2486" s="366" t="s">
        <v>1658</v>
      </c>
      <c r="G2486" s="46" t="s">
        <v>83</v>
      </c>
      <c r="H2486" s="46">
        <v>1</v>
      </c>
      <c r="I2486" s="51">
        <v>8858.76</v>
      </c>
      <c r="J2486" s="281">
        <f>++Tabla4[[#This Row],[Precio Bruto]]*1.16</f>
        <v>10276.161599999999</v>
      </c>
      <c r="K2486" s="281">
        <f>+Tabla4[[#This Row],[Precio Unitario Neto]]*Tabla4[[#Headers],[20.85%]]</f>
        <v>2142.5796935999997</v>
      </c>
      <c r="L2486" s="282">
        <f>++Tabla4[[#This Row],[Precio Unitario Neto]]-Tabla4[[#This Row],[20.85%]]</f>
        <v>8133.5819063999998</v>
      </c>
      <c r="M2486" s="282" t="e">
        <f>(INDEX(Tabla6[#All],MATCH(Tabla4[[#This Row],[Producto]],Tabla6[[#All],[PRODUCTO]],0),MATCH(Tabla4[[#This Row],[Mes]],Tabla6[#Headers],0)))*(1+Catalogos!$L$2)</f>
        <v>#N/A</v>
      </c>
      <c r="N2486" s="283" t="e">
        <f>+(Tabla4[[#This Row],[Precio Descontado]]-Tabla4[[#This Row],[Precio Base]])*Tabla4[[#This Row],[Cantidad]]</f>
        <v>#N/A</v>
      </c>
      <c r="O2486" s="284" t="e">
        <f>++Tabla4[[#This Row],[Utilidad Total]]/Tabla4[[#This Row],[Total]]</f>
        <v>#N/A</v>
      </c>
      <c r="P2486" s="282">
        <f>++Tabla4[[#This Row],[Precio Descontado]]*Tabla4[[#This Row],[Cantidad]]</f>
        <v>8133.5819063999998</v>
      </c>
      <c r="Q2486" s="282" t="e">
        <f>(INDEX(Tabla6[#All],MATCH(Tabla4[[#This Row],[Producto]],Tabla6[[#All],[PRODUCTO]],0),MATCH(Tabla4[[#This Row],[Mes]],Tabla6[#Headers],0)))</f>
        <v>#N/A</v>
      </c>
      <c r="R2486" s="282" t="e">
        <f>++Tabla4[[#This Row],[Precio Unitario Neto]]-Tabla4[[#This Row],[20.85%]]-Tabla4[[#This Row],[Costo]]</f>
        <v>#N/A</v>
      </c>
      <c r="S2486" s="282" t="e">
        <f>++Tabla4[[#This Row],[U. Bruta Uni]]*Tabla4[[#This Row],[Cantidad]]</f>
        <v>#N/A</v>
      </c>
      <c r="T2486" s="369" t="str">
        <f>VLOOKUP(Tabla4[[#This Row],[Producto]],Tabla6[#All],14,FALSE)</f>
        <v>Termico Solar</v>
      </c>
      <c r="U2486" s="284" t="e">
        <f>(IF(Tabla4[[#This Row],[Familia]]="termico solar",Tabla4[[#This Row],[Utilidad Total]]*6%,Tabla4[[#This Row],[Utilidad Total]]*11.5%))/Tabla4[[#This Row],[Total]]</f>
        <v>#N/A</v>
      </c>
      <c r="V2486" s="282" t="e">
        <f>+Tabla4[[#This Row],[Comisión Calculada]]*Tabla4[[#This Row],[Total]]</f>
        <v>#N/A</v>
      </c>
    </row>
    <row r="2487" spans="1:22" hidden="1" x14ac:dyDescent="0.25">
      <c r="A2487" s="100">
        <v>45777</v>
      </c>
      <c r="B2487" t="str">
        <f t="shared" si="120"/>
        <v>April</v>
      </c>
      <c r="C2487" s="46" t="s">
        <v>280</v>
      </c>
      <c r="F2487" s="366" t="s">
        <v>1658</v>
      </c>
      <c r="G2487" s="46" t="s">
        <v>18</v>
      </c>
      <c r="H2487" s="46">
        <v>1</v>
      </c>
      <c r="I2487" s="51">
        <v>5367.65</v>
      </c>
      <c r="J2487" s="281">
        <f>++Tabla4[[#This Row],[Precio Bruto]]*1.16</f>
        <v>6226.4739999999993</v>
      </c>
      <c r="K2487" s="281">
        <f>+Tabla4[[#This Row],[Precio Unitario Neto]]*Tabla4[[#Headers],[20.85%]]</f>
        <v>1298.2198289999999</v>
      </c>
      <c r="L2487" s="282">
        <f>++Tabla4[[#This Row],[Precio Unitario Neto]]-Tabla4[[#This Row],[20.85%]]</f>
        <v>4928.2541709999996</v>
      </c>
      <c r="M2487" s="282" t="e">
        <f>(INDEX(Tabla6[#All],MATCH(Tabla4[[#This Row],[Producto]],Tabla6[[#All],[PRODUCTO]],0),MATCH(Tabla4[[#This Row],[Mes]],Tabla6[#Headers],0)))*(1+Catalogos!$L$2)</f>
        <v>#N/A</v>
      </c>
      <c r="N2487" s="283" t="e">
        <f>+(Tabla4[[#This Row],[Precio Descontado]]-Tabla4[[#This Row],[Precio Base]])*Tabla4[[#This Row],[Cantidad]]</f>
        <v>#N/A</v>
      </c>
      <c r="O2487" s="284" t="e">
        <f>++Tabla4[[#This Row],[Utilidad Total]]/Tabla4[[#This Row],[Total]]</f>
        <v>#N/A</v>
      </c>
      <c r="P2487" s="282">
        <f>++Tabla4[[#This Row],[Precio Descontado]]*Tabla4[[#This Row],[Cantidad]]</f>
        <v>4928.2541709999996</v>
      </c>
      <c r="Q2487" s="282" t="e">
        <f>(INDEX(Tabla6[#All],MATCH(Tabla4[[#This Row],[Producto]],Tabla6[[#All],[PRODUCTO]],0),MATCH(Tabla4[[#This Row],[Mes]],Tabla6[#Headers],0)))</f>
        <v>#N/A</v>
      </c>
      <c r="R2487" s="282" t="e">
        <f>++Tabla4[[#This Row],[Precio Unitario Neto]]-Tabla4[[#This Row],[20.85%]]-Tabla4[[#This Row],[Costo]]</f>
        <v>#N/A</v>
      </c>
      <c r="S2487" s="282" t="e">
        <f>++Tabla4[[#This Row],[U. Bruta Uni]]*Tabla4[[#This Row],[Cantidad]]</f>
        <v>#N/A</v>
      </c>
      <c r="T2487" s="369" t="str">
        <f>VLOOKUP(Tabla4[[#This Row],[Producto]],Tabla6[#All],14,FALSE)</f>
        <v>Termico Solar</v>
      </c>
      <c r="U2487" s="284" t="e">
        <f>(IF(Tabla4[[#This Row],[Familia]]="termico solar",Tabla4[[#This Row],[Utilidad Total]]*6%,Tabla4[[#This Row],[Utilidad Total]]*11.5%))/Tabla4[[#This Row],[Total]]</f>
        <v>#N/A</v>
      </c>
      <c r="V2487" s="282" t="e">
        <f>+Tabla4[[#This Row],[Comisión Calculada]]*Tabla4[[#This Row],[Total]]</f>
        <v>#N/A</v>
      </c>
    </row>
    <row r="2488" spans="1:22" hidden="1" x14ac:dyDescent="0.25">
      <c r="A2488" s="100">
        <v>45777</v>
      </c>
      <c r="B2488" t="str">
        <f t="shared" si="120"/>
        <v>April</v>
      </c>
      <c r="C2488" s="46" t="s">
        <v>280</v>
      </c>
      <c r="F2488" s="366" t="s">
        <v>1658</v>
      </c>
      <c r="G2488" s="46" t="s">
        <v>394</v>
      </c>
      <c r="H2488" s="46">
        <v>16</v>
      </c>
      <c r="I2488" s="51">
        <v>224.29</v>
      </c>
      <c r="J2488" s="281">
        <f>++Tabla4[[#This Row],[Precio Bruto]]*1.16</f>
        <v>260.1764</v>
      </c>
      <c r="K2488" s="281">
        <f>+Tabla4[[#This Row],[Precio Unitario Neto]]*Tabla4[[#Headers],[20.85%]]</f>
        <v>54.246779400000001</v>
      </c>
      <c r="L2488" s="282">
        <f>++Tabla4[[#This Row],[Precio Unitario Neto]]-Tabla4[[#This Row],[20.85%]]</f>
        <v>205.92962059999999</v>
      </c>
      <c r="M2488" s="282" t="e">
        <f>(INDEX(Tabla6[#All],MATCH(Tabla4[[#This Row],[Producto]],Tabla6[[#All],[PRODUCTO]],0),MATCH(Tabla4[[#This Row],[Mes]],Tabla6[#Headers],0)))*(1+Catalogos!$L$2)</f>
        <v>#N/A</v>
      </c>
      <c r="N2488" s="283" t="e">
        <f>+(Tabla4[[#This Row],[Precio Descontado]]-Tabla4[[#This Row],[Precio Base]])*Tabla4[[#This Row],[Cantidad]]</f>
        <v>#N/A</v>
      </c>
      <c r="O2488" s="284" t="e">
        <f>++Tabla4[[#This Row],[Utilidad Total]]/Tabla4[[#This Row],[Total]]</f>
        <v>#N/A</v>
      </c>
      <c r="P2488" s="282">
        <f>++Tabla4[[#This Row],[Precio Descontado]]*Tabla4[[#This Row],[Cantidad]]</f>
        <v>3294.8739295999999</v>
      </c>
      <c r="Q2488" s="282" t="e">
        <f>(INDEX(Tabla6[#All],MATCH(Tabla4[[#This Row],[Producto]],Tabla6[[#All],[PRODUCTO]],0),MATCH(Tabla4[[#This Row],[Mes]],Tabla6[#Headers],0)))</f>
        <v>#N/A</v>
      </c>
      <c r="R2488" s="282" t="e">
        <f>++Tabla4[[#This Row],[Precio Unitario Neto]]-Tabla4[[#This Row],[20.85%]]-Tabla4[[#This Row],[Costo]]</f>
        <v>#N/A</v>
      </c>
      <c r="S2488" s="282" t="e">
        <f>++Tabla4[[#This Row],[U. Bruta Uni]]*Tabla4[[#This Row],[Cantidad]]</f>
        <v>#N/A</v>
      </c>
      <c r="T2488" s="369" t="str">
        <f>VLOOKUP(Tabla4[[#This Row],[Producto]],Tabla6[#All],14,FALSE)</f>
        <v>Termico Solar</v>
      </c>
      <c r="U2488" s="284" t="e">
        <f>(IF(Tabla4[[#This Row],[Familia]]="termico solar",Tabla4[[#This Row],[Utilidad Total]]*6%,Tabla4[[#This Row],[Utilidad Total]]*11.5%))/Tabla4[[#This Row],[Total]]</f>
        <v>#N/A</v>
      </c>
      <c r="V2488" s="282" t="e">
        <f>+Tabla4[[#This Row],[Comisión Calculada]]*Tabla4[[#This Row],[Total]]</f>
        <v>#N/A</v>
      </c>
    </row>
    <row r="2489" spans="1:22" hidden="1" x14ac:dyDescent="0.25">
      <c r="A2489" s="100">
        <v>45777</v>
      </c>
      <c r="B2489" t="str">
        <f t="shared" si="120"/>
        <v>April</v>
      </c>
      <c r="C2489" s="46" t="s">
        <v>280</v>
      </c>
      <c r="F2489" s="366" t="s">
        <v>1658</v>
      </c>
      <c r="G2489" s="46" t="s">
        <v>208</v>
      </c>
      <c r="H2489" s="46">
        <v>8</v>
      </c>
      <c r="I2489" s="51">
        <v>189.75</v>
      </c>
      <c r="J2489" s="281">
        <f>++Tabla4[[#This Row],[Precio Bruto]]*1.16</f>
        <v>220.10999999999999</v>
      </c>
      <c r="K2489" s="281">
        <f>+Tabla4[[#This Row],[Precio Unitario Neto]]*Tabla4[[#Headers],[20.85%]]</f>
        <v>45.892934999999994</v>
      </c>
      <c r="L2489" s="282">
        <f>++Tabla4[[#This Row],[Precio Unitario Neto]]-Tabla4[[#This Row],[20.85%]]</f>
        <v>174.21706499999999</v>
      </c>
      <c r="M2489" s="282" t="e">
        <f>(INDEX(Tabla6[#All],MATCH(Tabla4[[#This Row],[Producto]],Tabla6[[#All],[PRODUCTO]],0),MATCH(Tabla4[[#This Row],[Mes]],Tabla6[#Headers],0)))*(1+Catalogos!$L$2)</f>
        <v>#N/A</v>
      </c>
      <c r="N2489" s="283" t="e">
        <f>+(Tabla4[[#This Row],[Precio Descontado]]-Tabla4[[#This Row],[Precio Base]])*Tabla4[[#This Row],[Cantidad]]</f>
        <v>#N/A</v>
      </c>
      <c r="O2489" s="284" t="e">
        <f>++Tabla4[[#This Row],[Utilidad Total]]/Tabla4[[#This Row],[Total]]</f>
        <v>#N/A</v>
      </c>
      <c r="P2489" s="282">
        <f>++Tabla4[[#This Row],[Precio Descontado]]*Tabla4[[#This Row],[Cantidad]]</f>
        <v>1393.7365199999999</v>
      </c>
      <c r="Q2489" s="282" t="e">
        <f>(INDEX(Tabla6[#All],MATCH(Tabla4[[#This Row],[Producto]],Tabla6[[#All],[PRODUCTO]],0),MATCH(Tabla4[[#This Row],[Mes]],Tabla6[#Headers],0)))</f>
        <v>#N/A</v>
      </c>
      <c r="R2489" s="282" t="e">
        <f>++Tabla4[[#This Row],[Precio Unitario Neto]]-Tabla4[[#This Row],[20.85%]]-Tabla4[[#This Row],[Costo]]</f>
        <v>#N/A</v>
      </c>
      <c r="S2489" s="282" t="e">
        <f>++Tabla4[[#This Row],[U. Bruta Uni]]*Tabla4[[#This Row],[Cantidad]]</f>
        <v>#N/A</v>
      </c>
      <c r="T2489" s="369" t="str">
        <f>VLOOKUP(Tabla4[[#This Row],[Producto]],Tabla6[#All],14,FALSE)</f>
        <v>Termico Solar</v>
      </c>
      <c r="U2489" s="284" t="e">
        <f>(IF(Tabla4[[#This Row],[Familia]]="termico solar",Tabla4[[#This Row],[Utilidad Total]]*6%,Tabla4[[#This Row],[Utilidad Total]]*11.5%))/Tabla4[[#This Row],[Total]]</f>
        <v>#N/A</v>
      </c>
      <c r="V2489" s="282" t="e">
        <f>+Tabla4[[#This Row],[Comisión Calculada]]*Tabla4[[#This Row],[Total]]</f>
        <v>#N/A</v>
      </c>
    </row>
    <row r="2490" spans="1:22" hidden="1" x14ac:dyDescent="0.25">
      <c r="A2490" s="100">
        <v>45777</v>
      </c>
      <c r="B2490" t="str">
        <f t="shared" si="120"/>
        <v>April</v>
      </c>
      <c r="C2490" s="46" t="s">
        <v>280</v>
      </c>
      <c r="F2490" s="366" t="s">
        <v>1659</v>
      </c>
      <c r="G2490" s="46" t="s">
        <v>82</v>
      </c>
      <c r="H2490" s="46">
        <v>18</v>
      </c>
      <c r="I2490" s="51">
        <v>7690</v>
      </c>
      <c r="J2490" s="281">
        <f>++Tabla4[[#This Row],[Precio Bruto]]*1.16</f>
        <v>8920.4</v>
      </c>
      <c r="K2490" s="281">
        <f>+Tabla4[[#This Row],[Precio Unitario Neto]]*Tabla4[[#Headers],[20.85%]]</f>
        <v>1859.9033999999999</v>
      </c>
      <c r="L2490" s="282">
        <f>++Tabla4[[#This Row],[Precio Unitario Neto]]-Tabla4[[#This Row],[20.85%]]</f>
        <v>7060.4965999999995</v>
      </c>
      <c r="M2490" s="282" t="e">
        <f>(INDEX(Tabla6[#All],MATCH(Tabla4[[#This Row],[Producto]],Tabla6[[#All],[PRODUCTO]],0),MATCH(Tabla4[[#This Row],[Mes]],Tabla6[#Headers],0)))*(1+Catalogos!$L$2)</f>
        <v>#N/A</v>
      </c>
      <c r="N2490" s="283" t="e">
        <f>+(Tabla4[[#This Row],[Precio Descontado]]-Tabla4[[#This Row],[Precio Base]])*Tabla4[[#This Row],[Cantidad]]</f>
        <v>#N/A</v>
      </c>
      <c r="O2490" s="284" t="e">
        <f>++Tabla4[[#This Row],[Utilidad Total]]/Tabla4[[#This Row],[Total]]</f>
        <v>#N/A</v>
      </c>
      <c r="P2490" s="282">
        <f>++Tabla4[[#This Row],[Precio Descontado]]*Tabla4[[#This Row],[Cantidad]]</f>
        <v>127088.93879999999</v>
      </c>
      <c r="Q2490" s="282" t="e">
        <f>(INDEX(Tabla6[#All],MATCH(Tabla4[[#This Row],[Producto]],Tabla6[[#All],[PRODUCTO]],0),MATCH(Tabla4[[#This Row],[Mes]],Tabla6[#Headers],0)))</f>
        <v>#N/A</v>
      </c>
      <c r="R2490" s="282" t="e">
        <f>++Tabla4[[#This Row],[Precio Unitario Neto]]-Tabla4[[#This Row],[20.85%]]-Tabla4[[#This Row],[Costo]]</f>
        <v>#N/A</v>
      </c>
      <c r="S2490" s="282" t="e">
        <f>++Tabla4[[#This Row],[U. Bruta Uni]]*Tabla4[[#This Row],[Cantidad]]</f>
        <v>#N/A</v>
      </c>
      <c r="T2490" s="369" t="str">
        <f>VLOOKUP(Tabla4[[#This Row],[Producto]],Tabla6[#All],14,FALSE)</f>
        <v>Termico Solar</v>
      </c>
      <c r="U2490" s="284" t="e">
        <f>(IF(Tabla4[[#This Row],[Familia]]="termico solar",Tabla4[[#This Row],[Utilidad Total]]*6%,Tabla4[[#This Row],[Utilidad Total]]*11.5%))/Tabla4[[#This Row],[Total]]</f>
        <v>#N/A</v>
      </c>
      <c r="V2490" s="282" t="e">
        <f>+Tabla4[[#This Row],[Comisión Calculada]]*Tabla4[[#This Row],[Total]]</f>
        <v>#N/A</v>
      </c>
    </row>
    <row r="2491" spans="1:22" hidden="1" x14ac:dyDescent="0.25">
      <c r="A2491" s="100">
        <v>45777</v>
      </c>
      <c r="B2491" t="str">
        <f t="shared" ref="B2491:B2554" si="121">TEXT(A2491, "mmmm")</f>
        <v>April</v>
      </c>
      <c r="C2491" s="46" t="s">
        <v>280</v>
      </c>
      <c r="F2491" s="366" t="s">
        <v>1659</v>
      </c>
      <c r="G2491" s="46" t="s">
        <v>255</v>
      </c>
      <c r="H2491" s="46">
        <v>18</v>
      </c>
      <c r="I2491" s="51">
        <v>1200</v>
      </c>
      <c r="J2491" s="281">
        <f>++Tabla4[[#This Row],[Precio Bruto]]*1.16</f>
        <v>1392</v>
      </c>
      <c r="K2491" s="281">
        <f>+Tabla4[[#This Row],[Precio Unitario Neto]]*Tabla4[[#Headers],[20.85%]]</f>
        <v>290.23199999999997</v>
      </c>
      <c r="L2491" s="282">
        <f>++Tabla4[[#This Row],[Precio Unitario Neto]]-Tabla4[[#This Row],[20.85%]]</f>
        <v>1101.768</v>
      </c>
      <c r="M2491" s="282" t="e">
        <f>(INDEX(Tabla6[#All],MATCH(Tabla4[[#This Row],[Producto]],Tabla6[[#All],[PRODUCTO]],0),MATCH(Tabla4[[#This Row],[Mes]],Tabla6[#Headers],0)))*(1+Catalogos!$L$2)</f>
        <v>#N/A</v>
      </c>
      <c r="N2491" s="283" t="e">
        <f>+(Tabla4[[#This Row],[Precio Descontado]]-Tabla4[[#This Row],[Precio Base]])*Tabla4[[#This Row],[Cantidad]]</f>
        <v>#N/A</v>
      </c>
      <c r="O2491" s="284" t="e">
        <f>++Tabla4[[#This Row],[Utilidad Total]]/Tabla4[[#This Row],[Total]]</f>
        <v>#N/A</v>
      </c>
      <c r="P2491" s="282">
        <f>++Tabla4[[#This Row],[Precio Descontado]]*Tabla4[[#This Row],[Cantidad]]</f>
        <v>19831.824000000001</v>
      </c>
      <c r="Q2491" s="282" t="e">
        <f>(INDEX(Tabla6[#All],MATCH(Tabla4[[#This Row],[Producto]],Tabla6[[#All],[PRODUCTO]],0),MATCH(Tabla4[[#This Row],[Mes]],Tabla6[#Headers],0)))</f>
        <v>#N/A</v>
      </c>
      <c r="R2491" s="282" t="e">
        <f>++Tabla4[[#This Row],[Precio Unitario Neto]]-Tabla4[[#This Row],[20.85%]]-Tabla4[[#This Row],[Costo]]</f>
        <v>#N/A</v>
      </c>
      <c r="S2491" s="282" t="e">
        <f>++Tabla4[[#This Row],[U. Bruta Uni]]*Tabla4[[#This Row],[Cantidad]]</f>
        <v>#N/A</v>
      </c>
      <c r="T2491" s="369" t="str">
        <f>VLOOKUP(Tabla4[[#This Row],[Producto]],Tabla6[#All],14,FALSE)</f>
        <v>Termico Solar</v>
      </c>
      <c r="U2491" s="284" t="e">
        <f>(IF(Tabla4[[#This Row],[Familia]]="termico solar",Tabla4[[#This Row],[Utilidad Total]]*6%,Tabla4[[#This Row],[Utilidad Total]]*11.5%))/Tabla4[[#This Row],[Total]]</f>
        <v>#N/A</v>
      </c>
      <c r="V2491" s="282" t="e">
        <f>+Tabla4[[#This Row],[Comisión Calculada]]*Tabla4[[#This Row],[Total]]</f>
        <v>#N/A</v>
      </c>
    </row>
    <row r="2492" spans="1:22" hidden="1" x14ac:dyDescent="0.25">
      <c r="A2492" s="100">
        <v>45777</v>
      </c>
      <c r="B2492" t="str">
        <f t="shared" si="121"/>
        <v>April</v>
      </c>
      <c r="C2492" s="46" t="s">
        <v>280</v>
      </c>
      <c r="F2492" s="366" t="s">
        <v>1660</v>
      </c>
      <c r="G2492" s="46" t="s">
        <v>83</v>
      </c>
      <c r="H2492" s="46">
        <v>1</v>
      </c>
      <c r="I2492" s="51">
        <v>8858.76</v>
      </c>
      <c r="J2492" s="281">
        <f>++Tabla4[[#This Row],[Precio Bruto]]*1.16</f>
        <v>10276.161599999999</v>
      </c>
      <c r="K2492" s="281">
        <f>+Tabla4[[#This Row],[Precio Unitario Neto]]*Tabla4[[#Headers],[20.85%]]</f>
        <v>2142.5796935999997</v>
      </c>
      <c r="L2492" s="282">
        <f>++Tabla4[[#This Row],[Precio Unitario Neto]]-Tabla4[[#This Row],[20.85%]]</f>
        <v>8133.5819063999998</v>
      </c>
      <c r="M2492" s="282" t="e">
        <f>(INDEX(Tabla6[#All],MATCH(Tabla4[[#This Row],[Producto]],Tabla6[[#All],[PRODUCTO]],0),MATCH(Tabla4[[#This Row],[Mes]],Tabla6[#Headers],0)))*(1+Catalogos!$L$2)</f>
        <v>#N/A</v>
      </c>
      <c r="N2492" s="283" t="e">
        <f>+(Tabla4[[#This Row],[Precio Descontado]]-Tabla4[[#This Row],[Precio Base]])*Tabla4[[#This Row],[Cantidad]]</f>
        <v>#N/A</v>
      </c>
      <c r="O2492" s="284" t="e">
        <f>++Tabla4[[#This Row],[Utilidad Total]]/Tabla4[[#This Row],[Total]]</f>
        <v>#N/A</v>
      </c>
      <c r="P2492" s="282">
        <f>++Tabla4[[#This Row],[Precio Descontado]]*Tabla4[[#This Row],[Cantidad]]</f>
        <v>8133.5819063999998</v>
      </c>
      <c r="Q2492" s="282" t="e">
        <f>(INDEX(Tabla6[#All],MATCH(Tabla4[[#This Row],[Producto]],Tabla6[[#All],[PRODUCTO]],0),MATCH(Tabla4[[#This Row],[Mes]],Tabla6[#Headers],0)))</f>
        <v>#N/A</v>
      </c>
      <c r="R2492" s="282" t="e">
        <f>++Tabla4[[#This Row],[Precio Unitario Neto]]-Tabla4[[#This Row],[20.85%]]-Tabla4[[#This Row],[Costo]]</f>
        <v>#N/A</v>
      </c>
      <c r="S2492" s="282" t="e">
        <f>++Tabla4[[#This Row],[U. Bruta Uni]]*Tabla4[[#This Row],[Cantidad]]</f>
        <v>#N/A</v>
      </c>
      <c r="T2492" s="369" t="str">
        <f>VLOOKUP(Tabla4[[#This Row],[Producto]],Tabla6[#All],14,FALSE)</f>
        <v>Termico Solar</v>
      </c>
      <c r="U2492" s="284" t="e">
        <f>(IF(Tabla4[[#This Row],[Familia]]="termico solar",Tabla4[[#This Row],[Utilidad Total]]*6%,Tabla4[[#This Row],[Utilidad Total]]*11.5%))/Tabla4[[#This Row],[Total]]</f>
        <v>#N/A</v>
      </c>
      <c r="V2492" s="282" t="e">
        <f>+Tabla4[[#This Row],[Comisión Calculada]]*Tabla4[[#This Row],[Total]]</f>
        <v>#N/A</v>
      </c>
    </row>
    <row r="2493" spans="1:22" hidden="1" x14ac:dyDescent="0.25">
      <c r="A2493" s="100">
        <v>45777</v>
      </c>
      <c r="B2493" t="str">
        <f t="shared" si="121"/>
        <v>April</v>
      </c>
      <c r="C2493" s="46" t="s">
        <v>280</v>
      </c>
      <c r="F2493" s="366" t="s">
        <v>1661</v>
      </c>
      <c r="G2493" s="46" t="s">
        <v>83</v>
      </c>
      <c r="H2493" s="46">
        <v>1</v>
      </c>
      <c r="I2493" s="51">
        <v>8858.76</v>
      </c>
      <c r="J2493" s="281">
        <f>++Tabla4[[#This Row],[Precio Bruto]]*1.16</f>
        <v>10276.161599999999</v>
      </c>
      <c r="K2493" s="281">
        <f>+Tabla4[[#This Row],[Precio Unitario Neto]]*Tabla4[[#Headers],[20.85%]]</f>
        <v>2142.5796935999997</v>
      </c>
      <c r="L2493" s="282">
        <f>++Tabla4[[#This Row],[Precio Unitario Neto]]-Tabla4[[#This Row],[20.85%]]</f>
        <v>8133.5819063999998</v>
      </c>
      <c r="M2493" s="282" t="e">
        <f>(INDEX(Tabla6[#All],MATCH(Tabla4[[#This Row],[Producto]],Tabla6[[#All],[PRODUCTO]],0),MATCH(Tabla4[[#This Row],[Mes]],Tabla6[#Headers],0)))*(1+Catalogos!$L$2)</f>
        <v>#N/A</v>
      </c>
      <c r="N2493" s="283" t="e">
        <f>+(Tabla4[[#This Row],[Precio Descontado]]-Tabla4[[#This Row],[Precio Base]])*Tabla4[[#This Row],[Cantidad]]</f>
        <v>#N/A</v>
      </c>
      <c r="O2493" s="284" t="e">
        <f>++Tabla4[[#This Row],[Utilidad Total]]/Tabla4[[#This Row],[Total]]</f>
        <v>#N/A</v>
      </c>
      <c r="P2493" s="282">
        <f>++Tabla4[[#This Row],[Precio Descontado]]*Tabla4[[#This Row],[Cantidad]]</f>
        <v>8133.5819063999998</v>
      </c>
      <c r="Q2493" s="282" t="e">
        <f>(INDEX(Tabla6[#All],MATCH(Tabla4[[#This Row],[Producto]],Tabla6[[#All],[PRODUCTO]],0),MATCH(Tabla4[[#This Row],[Mes]],Tabla6[#Headers],0)))</f>
        <v>#N/A</v>
      </c>
      <c r="R2493" s="282" t="e">
        <f>++Tabla4[[#This Row],[Precio Unitario Neto]]-Tabla4[[#This Row],[20.85%]]-Tabla4[[#This Row],[Costo]]</f>
        <v>#N/A</v>
      </c>
      <c r="S2493" s="282" t="e">
        <f>++Tabla4[[#This Row],[U. Bruta Uni]]*Tabla4[[#This Row],[Cantidad]]</f>
        <v>#N/A</v>
      </c>
      <c r="T2493" s="369" t="str">
        <f>VLOOKUP(Tabla4[[#This Row],[Producto]],Tabla6[#All],14,FALSE)</f>
        <v>Termico Solar</v>
      </c>
      <c r="U2493" s="284" t="e">
        <f>(IF(Tabla4[[#This Row],[Familia]]="termico solar",Tabla4[[#This Row],[Utilidad Total]]*6%,Tabla4[[#This Row],[Utilidad Total]]*11.5%))/Tabla4[[#This Row],[Total]]</f>
        <v>#N/A</v>
      </c>
      <c r="V2493" s="282" t="e">
        <f>+Tabla4[[#This Row],[Comisión Calculada]]*Tabla4[[#This Row],[Total]]</f>
        <v>#N/A</v>
      </c>
    </row>
    <row r="2494" spans="1:22" hidden="1" x14ac:dyDescent="0.25">
      <c r="A2494" s="100">
        <v>45777</v>
      </c>
      <c r="B2494" t="str">
        <f t="shared" si="121"/>
        <v>April</v>
      </c>
      <c r="C2494" s="46" t="s">
        <v>280</v>
      </c>
      <c r="F2494" s="366" t="s">
        <v>1661</v>
      </c>
      <c r="G2494" s="46" t="s">
        <v>17</v>
      </c>
      <c r="H2494" s="46">
        <v>1</v>
      </c>
      <c r="I2494" s="51">
        <v>4622.28</v>
      </c>
      <c r="J2494" s="281">
        <f>++Tabla4[[#This Row],[Precio Bruto]]*1.16</f>
        <v>5361.8447999999989</v>
      </c>
      <c r="K2494" s="281">
        <f>+Tabla4[[#This Row],[Precio Unitario Neto]]*Tabla4[[#Headers],[20.85%]]</f>
        <v>1117.9446407999997</v>
      </c>
      <c r="L2494" s="282">
        <f>++Tabla4[[#This Row],[Precio Unitario Neto]]-Tabla4[[#This Row],[20.85%]]</f>
        <v>4243.9001591999995</v>
      </c>
      <c r="M2494" s="282" t="e">
        <f>(INDEX(Tabla6[#All],MATCH(Tabla4[[#This Row],[Producto]],Tabla6[[#All],[PRODUCTO]],0),MATCH(Tabla4[[#This Row],[Mes]],Tabla6[#Headers],0)))*(1+Catalogos!$L$2)</f>
        <v>#N/A</v>
      </c>
      <c r="N2494" s="283" t="e">
        <f>+(Tabla4[[#This Row],[Precio Descontado]]-Tabla4[[#This Row],[Precio Base]])*Tabla4[[#This Row],[Cantidad]]</f>
        <v>#N/A</v>
      </c>
      <c r="O2494" s="284" t="e">
        <f>++Tabla4[[#This Row],[Utilidad Total]]/Tabla4[[#This Row],[Total]]</f>
        <v>#N/A</v>
      </c>
      <c r="P2494" s="282">
        <f>++Tabla4[[#This Row],[Precio Descontado]]*Tabla4[[#This Row],[Cantidad]]</f>
        <v>4243.9001591999995</v>
      </c>
      <c r="Q2494" s="282" t="e">
        <f>(INDEX(Tabla6[#All],MATCH(Tabla4[[#This Row],[Producto]],Tabla6[[#All],[PRODUCTO]],0),MATCH(Tabla4[[#This Row],[Mes]],Tabla6[#Headers],0)))</f>
        <v>#N/A</v>
      </c>
      <c r="R2494" s="282" t="e">
        <f>++Tabla4[[#This Row],[Precio Unitario Neto]]-Tabla4[[#This Row],[20.85%]]-Tabla4[[#This Row],[Costo]]</f>
        <v>#N/A</v>
      </c>
      <c r="S2494" s="282" t="e">
        <f>++Tabla4[[#This Row],[U. Bruta Uni]]*Tabla4[[#This Row],[Cantidad]]</f>
        <v>#N/A</v>
      </c>
      <c r="T2494" s="369" t="str">
        <f>VLOOKUP(Tabla4[[#This Row],[Producto]],Tabla6[#All],14,FALSE)</f>
        <v>Termico Solar</v>
      </c>
      <c r="U2494" s="284" t="e">
        <f>(IF(Tabla4[[#This Row],[Familia]]="termico solar",Tabla4[[#This Row],[Utilidad Total]]*6%,Tabla4[[#This Row],[Utilidad Total]]*11.5%))/Tabla4[[#This Row],[Total]]</f>
        <v>#N/A</v>
      </c>
      <c r="V2494" s="282" t="e">
        <f>+Tabla4[[#This Row],[Comisión Calculada]]*Tabla4[[#This Row],[Total]]</f>
        <v>#N/A</v>
      </c>
    </row>
    <row r="2495" spans="1:22" hidden="1" x14ac:dyDescent="0.25">
      <c r="A2495" s="100">
        <v>45777</v>
      </c>
      <c r="B2495" t="str">
        <f t="shared" si="121"/>
        <v>April</v>
      </c>
      <c r="C2495" s="46" t="s">
        <v>280</v>
      </c>
      <c r="F2495" s="366" t="s">
        <v>1661</v>
      </c>
      <c r="G2495" s="46" t="s">
        <v>394</v>
      </c>
      <c r="H2495" s="46">
        <v>16</v>
      </c>
      <c r="I2495" s="51">
        <v>224.29</v>
      </c>
      <c r="J2495" s="281">
        <f>++Tabla4[[#This Row],[Precio Bruto]]*1.16</f>
        <v>260.1764</v>
      </c>
      <c r="K2495" s="281">
        <f>+Tabla4[[#This Row],[Precio Unitario Neto]]*Tabla4[[#Headers],[20.85%]]</f>
        <v>54.246779400000001</v>
      </c>
      <c r="L2495" s="282">
        <f>++Tabla4[[#This Row],[Precio Unitario Neto]]-Tabla4[[#This Row],[20.85%]]</f>
        <v>205.92962059999999</v>
      </c>
      <c r="M2495" s="282" t="e">
        <f>(INDEX(Tabla6[#All],MATCH(Tabla4[[#This Row],[Producto]],Tabla6[[#All],[PRODUCTO]],0),MATCH(Tabla4[[#This Row],[Mes]],Tabla6[#Headers],0)))*(1+Catalogos!$L$2)</f>
        <v>#N/A</v>
      </c>
      <c r="N2495" s="283" t="e">
        <f>+(Tabla4[[#This Row],[Precio Descontado]]-Tabla4[[#This Row],[Precio Base]])*Tabla4[[#This Row],[Cantidad]]</f>
        <v>#N/A</v>
      </c>
      <c r="O2495" s="284" t="e">
        <f>++Tabla4[[#This Row],[Utilidad Total]]/Tabla4[[#This Row],[Total]]</f>
        <v>#N/A</v>
      </c>
      <c r="P2495" s="282">
        <f>++Tabla4[[#This Row],[Precio Descontado]]*Tabla4[[#This Row],[Cantidad]]</f>
        <v>3294.8739295999999</v>
      </c>
      <c r="Q2495" s="282" t="e">
        <f>(INDEX(Tabla6[#All],MATCH(Tabla4[[#This Row],[Producto]],Tabla6[[#All],[PRODUCTO]],0),MATCH(Tabla4[[#This Row],[Mes]],Tabla6[#Headers],0)))</f>
        <v>#N/A</v>
      </c>
      <c r="R2495" s="282" t="e">
        <f>++Tabla4[[#This Row],[Precio Unitario Neto]]-Tabla4[[#This Row],[20.85%]]-Tabla4[[#This Row],[Costo]]</f>
        <v>#N/A</v>
      </c>
      <c r="S2495" s="282" t="e">
        <f>++Tabla4[[#This Row],[U. Bruta Uni]]*Tabla4[[#This Row],[Cantidad]]</f>
        <v>#N/A</v>
      </c>
      <c r="T2495" s="369" t="str">
        <f>VLOOKUP(Tabla4[[#This Row],[Producto]],Tabla6[#All],14,FALSE)</f>
        <v>Termico Solar</v>
      </c>
      <c r="U2495" s="284" t="e">
        <f>(IF(Tabla4[[#This Row],[Familia]]="termico solar",Tabla4[[#This Row],[Utilidad Total]]*6%,Tabla4[[#This Row],[Utilidad Total]]*11.5%))/Tabla4[[#This Row],[Total]]</f>
        <v>#N/A</v>
      </c>
      <c r="V2495" s="282" t="e">
        <f>+Tabla4[[#This Row],[Comisión Calculada]]*Tabla4[[#This Row],[Total]]</f>
        <v>#N/A</v>
      </c>
    </row>
    <row r="2496" spans="1:22" hidden="1" x14ac:dyDescent="0.25">
      <c r="A2496" s="100">
        <v>45777</v>
      </c>
      <c r="B2496" t="str">
        <f t="shared" si="121"/>
        <v>April</v>
      </c>
      <c r="C2496" s="46" t="s">
        <v>280</v>
      </c>
      <c r="F2496" s="366" t="s">
        <v>1661</v>
      </c>
      <c r="G2496" s="46" t="s">
        <v>208</v>
      </c>
      <c r="H2496" s="46">
        <v>2</v>
      </c>
      <c r="I2496" s="51">
        <v>189.75</v>
      </c>
      <c r="J2496" s="281">
        <f>++Tabla4[[#This Row],[Precio Bruto]]*1.16</f>
        <v>220.10999999999999</v>
      </c>
      <c r="K2496" s="281">
        <f>+Tabla4[[#This Row],[Precio Unitario Neto]]*Tabla4[[#Headers],[20.85%]]</f>
        <v>45.892934999999994</v>
      </c>
      <c r="L2496" s="282">
        <f>++Tabla4[[#This Row],[Precio Unitario Neto]]-Tabla4[[#This Row],[20.85%]]</f>
        <v>174.21706499999999</v>
      </c>
      <c r="M2496" s="282" t="e">
        <f>(INDEX(Tabla6[#All],MATCH(Tabla4[[#This Row],[Producto]],Tabla6[[#All],[PRODUCTO]],0),MATCH(Tabla4[[#This Row],[Mes]],Tabla6[#Headers],0)))*(1+Catalogos!$L$2)</f>
        <v>#N/A</v>
      </c>
      <c r="N2496" s="283" t="e">
        <f>+(Tabla4[[#This Row],[Precio Descontado]]-Tabla4[[#This Row],[Precio Base]])*Tabla4[[#This Row],[Cantidad]]</f>
        <v>#N/A</v>
      </c>
      <c r="O2496" s="284" t="e">
        <f>++Tabla4[[#This Row],[Utilidad Total]]/Tabla4[[#This Row],[Total]]</f>
        <v>#N/A</v>
      </c>
      <c r="P2496" s="282">
        <f>++Tabla4[[#This Row],[Precio Descontado]]*Tabla4[[#This Row],[Cantidad]]</f>
        <v>348.43412999999998</v>
      </c>
      <c r="Q2496" s="282" t="e">
        <f>(INDEX(Tabla6[#All],MATCH(Tabla4[[#This Row],[Producto]],Tabla6[[#All],[PRODUCTO]],0),MATCH(Tabla4[[#This Row],[Mes]],Tabla6[#Headers],0)))</f>
        <v>#N/A</v>
      </c>
      <c r="R2496" s="282" t="e">
        <f>++Tabla4[[#This Row],[Precio Unitario Neto]]-Tabla4[[#This Row],[20.85%]]-Tabla4[[#This Row],[Costo]]</f>
        <v>#N/A</v>
      </c>
      <c r="S2496" s="282" t="e">
        <f>++Tabla4[[#This Row],[U. Bruta Uni]]*Tabla4[[#This Row],[Cantidad]]</f>
        <v>#N/A</v>
      </c>
      <c r="T2496" s="369" t="str">
        <f>VLOOKUP(Tabla4[[#This Row],[Producto]],Tabla6[#All],14,FALSE)</f>
        <v>Termico Solar</v>
      </c>
      <c r="U2496" s="284" t="e">
        <f>(IF(Tabla4[[#This Row],[Familia]]="termico solar",Tabla4[[#This Row],[Utilidad Total]]*6%,Tabla4[[#This Row],[Utilidad Total]]*11.5%))/Tabla4[[#This Row],[Total]]</f>
        <v>#N/A</v>
      </c>
      <c r="V2496" s="282" t="e">
        <f>+Tabla4[[#This Row],[Comisión Calculada]]*Tabla4[[#This Row],[Total]]</f>
        <v>#N/A</v>
      </c>
    </row>
    <row r="2497" spans="1:22" hidden="1" x14ac:dyDescent="0.25">
      <c r="A2497" s="100">
        <v>45777</v>
      </c>
      <c r="B2497" t="str">
        <f t="shared" si="121"/>
        <v>April</v>
      </c>
      <c r="C2497" s="46" t="s">
        <v>280</v>
      </c>
      <c r="F2497" s="366" t="s">
        <v>1662</v>
      </c>
      <c r="G2497" s="46" t="s">
        <v>18</v>
      </c>
      <c r="H2497" s="46">
        <v>2</v>
      </c>
      <c r="I2497" s="51">
        <v>5367.65</v>
      </c>
      <c r="J2497" s="281">
        <f>++Tabla4[[#This Row],[Precio Bruto]]*1.16</f>
        <v>6226.4739999999993</v>
      </c>
      <c r="K2497" s="281">
        <f>+Tabla4[[#This Row],[Precio Unitario Neto]]*Tabla4[[#Headers],[20.85%]]</f>
        <v>1298.2198289999999</v>
      </c>
      <c r="L2497" s="282">
        <f>++Tabla4[[#This Row],[Precio Unitario Neto]]-Tabla4[[#This Row],[20.85%]]</f>
        <v>4928.2541709999996</v>
      </c>
      <c r="M2497" s="282" t="e">
        <f>(INDEX(Tabla6[#All],MATCH(Tabla4[[#This Row],[Producto]],Tabla6[[#All],[PRODUCTO]],0),MATCH(Tabla4[[#This Row],[Mes]],Tabla6[#Headers],0)))*(1+Catalogos!$L$2)</f>
        <v>#N/A</v>
      </c>
      <c r="N2497" s="283" t="e">
        <f>+(Tabla4[[#This Row],[Precio Descontado]]-Tabla4[[#This Row],[Precio Base]])*Tabla4[[#This Row],[Cantidad]]</f>
        <v>#N/A</v>
      </c>
      <c r="O2497" s="284" t="e">
        <f>++Tabla4[[#This Row],[Utilidad Total]]/Tabla4[[#This Row],[Total]]</f>
        <v>#N/A</v>
      </c>
      <c r="P2497" s="282">
        <f>++Tabla4[[#This Row],[Precio Descontado]]*Tabla4[[#This Row],[Cantidad]]</f>
        <v>9856.5083419999992</v>
      </c>
      <c r="Q2497" s="282" t="e">
        <f>(INDEX(Tabla6[#All],MATCH(Tabla4[[#This Row],[Producto]],Tabla6[[#All],[PRODUCTO]],0),MATCH(Tabla4[[#This Row],[Mes]],Tabla6[#Headers],0)))</f>
        <v>#N/A</v>
      </c>
      <c r="R2497" s="282" t="e">
        <f>++Tabla4[[#This Row],[Precio Unitario Neto]]-Tabla4[[#This Row],[20.85%]]-Tabla4[[#This Row],[Costo]]</f>
        <v>#N/A</v>
      </c>
      <c r="S2497" s="282" t="e">
        <f>++Tabla4[[#This Row],[U. Bruta Uni]]*Tabla4[[#This Row],[Cantidad]]</f>
        <v>#N/A</v>
      </c>
      <c r="T2497" s="369" t="str">
        <f>VLOOKUP(Tabla4[[#This Row],[Producto]],Tabla6[#All],14,FALSE)</f>
        <v>Termico Solar</v>
      </c>
      <c r="U2497" s="284" t="e">
        <f>(IF(Tabla4[[#This Row],[Familia]]="termico solar",Tabla4[[#This Row],[Utilidad Total]]*6%,Tabla4[[#This Row],[Utilidad Total]]*11.5%))/Tabla4[[#This Row],[Total]]</f>
        <v>#N/A</v>
      </c>
      <c r="V2497" s="282" t="e">
        <f>+Tabla4[[#This Row],[Comisión Calculada]]*Tabla4[[#This Row],[Total]]</f>
        <v>#N/A</v>
      </c>
    </row>
    <row r="2498" spans="1:22" hidden="1" x14ac:dyDescent="0.25">
      <c r="A2498" s="100">
        <v>45777</v>
      </c>
      <c r="B2498" t="str">
        <f t="shared" si="121"/>
        <v>April</v>
      </c>
      <c r="C2498" s="46" t="s">
        <v>280</v>
      </c>
      <c r="F2498" s="366" t="s">
        <v>1662</v>
      </c>
      <c r="G2498" s="46" t="s">
        <v>566</v>
      </c>
      <c r="H2498" s="46">
        <v>1</v>
      </c>
      <c r="I2498" s="51">
        <v>2109.4499999999998</v>
      </c>
      <c r="J2498" s="281">
        <f>++Tabla4[[#This Row],[Precio Bruto]]*1.16</f>
        <v>2446.9619999999995</v>
      </c>
      <c r="K2498" s="281">
        <f>+Tabla4[[#This Row],[Precio Unitario Neto]]*Tabla4[[#Headers],[20.85%]]</f>
        <v>510.19157699999988</v>
      </c>
      <c r="L2498" s="282">
        <f>++Tabla4[[#This Row],[Precio Unitario Neto]]-Tabla4[[#This Row],[20.85%]]</f>
        <v>1936.7704229999997</v>
      </c>
      <c r="M2498" s="282" t="e">
        <f>(INDEX(Tabla6[#All],MATCH(Tabla4[[#This Row],[Producto]],Tabla6[[#All],[PRODUCTO]],0),MATCH(Tabla4[[#This Row],[Mes]],Tabla6[#Headers],0)))*(1+Catalogos!$L$2)</f>
        <v>#N/A</v>
      </c>
      <c r="N2498" s="283" t="e">
        <f>+(Tabla4[[#This Row],[Precio Descontado]]-Tabla4[[#This Row],[Precio Base]])*Tabla4[[#This Row],[Cantidad]]</f>
        <v>#N/A</v>
      </c>
      <c r="O2498" s="284" t="e">
        <f>++Tabla4[[#This Row],[Utilidad Total]]/Tabla4[[#This Row],[Total]]</f>
        <v>#N/A</v>
      </c>
      <c r="P2498" s="282">
        <f>++Tabla4[[#This Row],[Precio Descontado]]*Tabla4[[#This Row],[Cantidad]]</f>
        <v>1936.7704229999997</v>
      </c>
      <c r="Q2498" s="282" t="e">
        <f>(INDEX(Tabla6[#All],MATCH(Tabla4[[#This Row],[Producto]],Tabla6[[#All],[PRODUCTO]],0),MATCH(Tabla4[[#This Row],[Mes]],Tabla6[#Headers],0)))</f>
        <v>#N/A</v>
      </c>
      <c r="R2498" s="282" t="e">
        <f>++Tabla4[[#This Row],[Precio Unitario Neto]]-Tabla4[[#This Row],[20.85%]]-Tabla4[[#This Row],[Costo]]</f>
        <v>#N/A</v>
      </c>
      <c r="S2498" s="282" t="e">
        <f>++Tabla4[[#This Row],[U. Bruta Uni]]*Tabla4[[#This Row],[Cantidad]]</f>
        <v>#N/A</v>
      </c>
      <c r="T2498" s="369" t="str">
        <f>VLOOKUP(Tabla4[[#This Row],[Producto]],Tabla6[#All],14,FALSE)</f>
        <v>Termico Solar</v>
      </c>
      <c r="U2498" s="284" t="e">
        <f>(IF(Tabla4[[#This Row],[Familia]]="termico solar",Tabla4[[#This Row],[Utilidad Total]]*6%,Tabla4[[#This Row],[Utilidad Total]]*11.5%))/Tabla4[[#This Row],[Total]]</f>
        <v>#N/A</v>
      </c>
      <c r="V2498" s="282" t="e">
        <f>+Tabla4[[#This Row],[Comisión Calculada]]*Tabla4[[#This Row],[Total]]</f>
        <v>#N/A</v>
      </c>
    </row>
    <row r="2499" spans="1:22" hidden="1" x14ac:dyDescent="0.25">
      <c r="A2499" s="100">
        <v>45777</v>
      </c>
      <c r="B2499" t="str">
        <f t="shared" si="121"/>
        <v>April</v>
      </c>
      <c r="C2499" s="46" t="s">
        <v>280</v>
      </c>
      <c r="F2499" s="366" t="s">
        <v>1663</v>
      </c>
      <c r="G2499" s="46" t="s">
        <v>208</v>
      </c>
      <c r="H2499" s="46">
        <v>1</v>
      </c>
      <c r="I2499" s="51">
        <v>189.75</v>
      </c>
      <c r="J2499" s="281">
        <f>++Tabla4[[#This Row],[Precio Bruto]]*1.16</f>
        <v>220.10999999999999</v>
      </c>
      <c r="K2499" s="281">
        <f>+Tabla4[[#This Row],[Precio Unitario Neto]]*Tabla4[[#Headers],[20.85%]]</f>
        <v>45.892934999999994</v>
      </c>
      <c r="L2499" s="282">
        <f>++Tabla4[[#This Row],[Precio Unitario Neto]]-Tabla4[[#This Row],[20.85%]]</f>
        <v>174.21706499999999</v>
      </c>
      <c r="M2499" s="282" t="e">
        <f>(INDEX(Tabla6[#All],MATCH(Tabla4[[#This Row],[Producto]],Tabla6[[#All],[PRODUCTO]],0),MATCH(Tabla4[[#This Row],[Mes]],Tabla6[#Headers],0)))*(1+Catalogos!$L$2)</f>
        <v>#N/A</v>
      </c>
      <c r="N2499" s="283" t="e">
        <f>+(Tabla4[[#This Row],[Precio Descontado]]-Tabla4[[#This Row],[Precio Base]])*Tabla4[[#This Row],[Cantidad]]</f>
        <v>#N/A</v>
      </c>
      <c r="O2499" s="284" t="e">
        <f>++Tabla4[[#This Row],[Utilidad Total]]/Tabla4[[#This Row],[Total]]</f>
        <v>#N/A</v>
      </c>
      <c r="P2499" s="282">
        <f>++Tabla4[[#This Row],[Precio Descontado]]*Tabla4[[#This Row],[Cantidad]]</f>
        <v>174.21706499999999</v>
      </c>
      <c r="Q2499" s="282" t="e">
        <f>(INDEX(Tabla6[#All],MATCH(Tabla4[[#This Row],[Producto]],Tabla6[[#All],[PRODUCTO]],0),MATCH(Tabla4[[#This Row],[Mes]],Tabla6[#Headers],0)))</f>
        <v>#N/A</v>
      </c>
      <c r="R2499" s="282" t="e">
        <f>++Tabla4[[#This Row],[Precio Unitario Neto]]-Tabla4[[#This Row],[20.85%]]-Tabla4[[#This Row],[Costo]]</f>
        <v>#N/A</v>
      </c>
      <c r="S2499" s="282" t="e">
        <f>++Tabla4[[#This Row],[U. Bruta Uni]]*Tabla4[[#This Row],[Cantidad]]</f>
        <v>#N/A</v>
      </c>
      <c r="T2499" s="369" t="str">
        <f>VLOOKUP(Tabla4[[#This Row],[Producto]],Tabla6[#All],14,FALSE)</f>
        <v>Termico Solar</v>
      </c>
      <c r="U2499" s="284" t="e">
        <f>(IF(Tabla4[[#This Row],[Familia]]="termico solar",Tabla4[[#This Row],[Utilidad Total]]*6%,Tabla4[[#This Row],[Utilidad Total]]*11.5%))/Tabla4[[#This Row],[Total]]</f>
        <v>#N/A</v>
      </c>
      <c r="V2499" s="282" t="e">
        <f>+Tabla4[[#This Row],[Comisión Calculada]]*Tabla4[[#This Row],[Total]]</f>
        <v>#N/A</v>
      </c>
    </row>
    <row r="2500" spans="1:22" hidden="1" x14ac:dyDescent="0.25">
      <c r="A2500" s="100">
        <v>45777</v>
      </c>
      <c r="B2500" t="str">
        <f t="shared" si="121"/>
        <v>April</v>
      </c>
      <c r="C2500" s="46" t="s">
        <v>280</v>
      </c>
      <c r="F2500" s="366" t="s">
        <v>1664</v>
      </c>
      <c r="G2500" s="46" t="s">
        <v>17</v>
      </c>
      <c r="H2500" s="46">
        <v>1</v>
      </c>
      <c r="I2500" s="51">
        <v>4622.28</v>
      </c>
      <c r="J2500" s="281">
        <f>++Tabla4[[#This Row],[Precio Bruto]]*1.16</f>
        <v>5361.8447999999989</v>
      </c>
      <c r="K2500" s="281">
        <f>+Tabla4[[#This Row],[Precio Unitario Neto]]*Tabla4[[#Headers],[20.85%]]</f>
        <v>1117.9446407999997</v>
      </c>
      <c r="L2500" s="282">
        <f>++Tabla4[[#This Row],[Precio Unitario Neto]]-Tabla4[[#This Row],[20.85%]]</f>
        <v>4243.9001591999995</v>
      </c>
      <c r="M2500" s="282" t="e">
        <f>(INDEX(Tabla6[#All],MATCH(Tabla4[[#This Row],[Producto]],Tabla6[[#All],[PRODUCTO]],0),MATCH(Tabla4[[#This Row],[Mes]],Tabla6[#Headers],0)))*(1+Catalogos!$L$2)</f>
        <v>#N/A</v>
      </c>
      <c r="N2500" s="283" t="e">
        <f>+(Tabla4[[#This Row],[Precio Descontado]]-Tabla4[[#This Row],[Precio Base]])*Tabla4[[#This Row],[Cantidad]]</f>
        <v>#N/A</v>
      </c>
      <c r="O2500" s="284" t="e">
        <f>++Tabla4[[#This Row],[Utilidad Total]]/Tabla4[[#This Row],[Total]]</f>
        <v>#N/A</v>
      </c>
      <c r="P2500" s="282">
        <f>++Tabla4[[#This Row],[Precio Descontado]]*Tabla4[[#This Row],[Cantidad]]</f>
        <v>4243.9001591999995</v>
      </c>
      <c r="Q2500" s="282" t="e">
        <f>(INDEX(Tabla6[#All],MATCH(Tabla4[[#This Row],[Producto]],Tabla6[[#All],[PRODUCTO]],0),MATCH(Tabla4[[#This Row],[Mes]],Tabla6[#Headers],0)))</f>
        <v>#N/A</v>
      </c>
      <c r="R2500" s="282" t="e">
        <f>++Tabla4[[#This Row],[Precio Unitario Neto]]-Tabla4[[#This Row],[20.85%]]-Tabla4[[#This Row],[Costo]]</f>
        <v>#N/A</v>
      </c>
      <c r="S2500" s="282" t="e">
        <f>++Tabla4[[#This Row],[U. Bruta Uni]]*Tabla4[[#This Row],[Cantidad]]</f>
        <v>#N/A</v>
      </c>
      <c r="T2500" s="369" t="str">
        <f>VLOOKUP(Tabla4[[#This Row],[Producto]],Tabla6[#All],14,FALSE)</f>
        <v>Termico Solar</v>
      </c>
      <c r="U2500" s="284" t="e">
        <f>(IF(Tabla4[[#This Row],[Familia]]="termico solar",Tabla4[[#This Row],[Utilidad Total]]*6%,Tabla4[[#This Row],[Utilidad Total]]*11.5%))/Tabla4[[#This Row],[Total]]</f>
        <v>#N/A</v>
      </c>
      <c r="V2500" s="282" t="e">
        <f>+Tabla4[[#This Row],[Comisión Calculada]]*Tabla4[[#This Row],[Total]]</f>
        <v>#N/A</v>
      </c>
    </row>
    <row r="2501" spans="1:22" hidden="1" x14ac:dyDescent="0.25">
      <c r="A2501" s="100">
        <v>45777</v>
      </c>
      <c r="B2501" t="str">
        <f t="shared" si="121"/>
        <v>April</v>
      </c>
      <c r="C2501" s="46" t="s">
        <v>280</v>
      </c>
      <c r="F2501" s="366" t="s">
        <v>1664</v>
      </c>
      <c r="G2501" s="46" t="s">
        <v>18</v>
      </c>
      <c r="H2501" s="46">
        <v>4</v>
      </c>
      <c r="I2501" s="51">
        <v>5367.65</v>
      </c>
      <c r="J2501" s="281">
        <f>++Tabla4[[#This Row],[Precio Bruto]]*1.16</f>
        <v>6226.4739999999993</v>
      </c>
      <c r="K2501" s="281">
        <f>+Tabla4[[#This Row],[Precio Unitario Neto]]*Tabla4[[#Headers],[20.85%]]</f>
        <v>1298.2198289999999</v>
      </c>
      <c r="L2501" s="282">
        <f>++Tabla4[[#This Row],[Precio Unitario Neto]]-Tabla4[[#This Row],[20.85%]]</f>
        <v>4928.2541709999996</v>
      </c>
      <c r="M2501" s="282" t="e">
        <f>(INDEX(Tabla6[#All],MATCH(Tabla4[[#This Row],[Producto]],Tabla6[[#All],[PRODUCTO]],0),MATCH(Tabla4[[#This Row],[Mes]],Tabla6[#Headers],0)))*(1+Catalogos!$L$2)</f>
        <v>#N/A</v>
      </c>
      <c r="N2501" s="283" t="e">
        <f>+(Tabla4[[#This Row],[Precio Descontado]]-Tabla4[[#This Row],[Precio Base]])*Tabla4[[#This Row],[Cantidad]]</f>
        <v>#N/A</v>
      </c>
      <c r="O2501" s="284" t="e">
        <f>++Tabla4[[#This Row],[Utilidad Total]]/Tabla4[[#This Row],[Total]]</f>
        <v>#N/A</v>
      </c>
      <c r="P2501" s="282">
        <f>++Tabla4[[#This Row],[Precio Descontado]]*Tabla4[[#This Row],[Cantidad]]</f>
        <v>19713.016683999998</v>
      </c>
      <c r="Q2501" s="282" t="e">
        <f>(INDEX(Tabla6[#All],MATCH(Tabla4[[#This Row],[Producto]],Tabla6[[#All],[PRODUCTO]],0),MATCH(Tabla4[[#This Row],[Mes]],Tabla6[#Headers],0)))</f>
        <v>#N/A</v>
      </c>
      <c r="R2501" s="282" t="e">
        <f>++Tabla4[[#This Row],[Precio Unitario Neto]]-Tabla4[[#This Row],[20.85%]]-Tabla4[[#This Row],[Costo]]</f>
        <v>#N/A</v>
      </c>
      <c r="S2501" s="282" t="e">
        <f>++Tabla4[[#This Row],[U. Bruta Uni]]*Tabla4[[#This Row],[Cantidad]]</f>
        <v>#N/A</v>
      </c>
      <c r="T2501" s="369" t="str">
        <f>VLOOKUP(Tabla4[[#This Row],[Producto]],Tabla6[#All],14,FALSE)</f>
        <v>Termico Solar</v>
      </c>
      <c r="U2501" s="284" t="e">
        <f>(IF(Tabla4[[#This Row],[Familia]]="termico solar",Tabla4[[#This Row],[Utilidad Total]]*6%,Tabla4[[#This Row],[Utilidad Total]]*11.5%))/Tabla4[[#This Row],[Total]]</f>
        <v>#N/A</v>
      </c>
      <c r="V2501" s="282" t="e">
        <f>+Tabla4[[#This Row],[Comisión Calculada]]*Tabla4[[#This Row],[Total]]</f>
        <v>#N/A</v>
      </c>
    </row>
    <row r="2502" spans="1:22" hidden="1" x14ac:dyDescent="0.25">
      <c r="A2502" s="100">
        <v>45777</v>
      </c>
      <c r="B2502" t="str">
        <f t="shared" si="121"/>
        <v>April</v>
      </c>
      <c r="C2502" s="46" t="s">
        <v>280</v>
      </c>
      <c r="F2502" s="366" t="s">
        <v>1665</v>
      </c>
      <c r="G2502" s="46" t="s">
        <v>83</v>
      </c>
      <c r="H2502" s="46">
        <v>1</v>
      </c>
      <c r="I2502" s="51">
        <v>8858.76</v>
      </c>
      <c r="J2502" s="281">
        <f>++Tabla4[[#This Row],[Precio Bruto]]*1.16</f>
        <v>10276.161599999999</v>
      </c>
      <c r="K2502" s="281">
        <f>+Tabla4[[#This Row],[Precio Unitario Neto]]*Tabla4[[#Headers],[20.85%]]</f>
        <v>2142.5796935999997</v>
      </c>
      <c r="L2502" s="282">
        <f>++Tabla4[[#This Row],[Precio Unitario Neto]]-Tabla4[[#This Row],[20.85%]]</f>
        <v>8133.5819063999998</v>
      </c>
      <c r="M2502" s="282" t="e">
        <f>(INDEX(Tabla6[#All],MATCH(Tabla4[[#This Row],[Producto]],Tabla6[[#All],[PRODUCTO]],0),MATCH(Tabla4[[#This Row],[Mes]],Tabla6[#Headers],0)))*(1+Catalogos!$L$2)</f>
        <v>#N/A</v>
      </c>
      <c r="N2502" s="283" t="e">
        <f>+(Tabla4[[#This Row],[Precio Descontado]]-Tabla4[[#This Row],[Precio Base]])*Tabla4[[#This Row],[Cantidad]]</f>
        <v>#N/A</v>
      </c>
      <c r="O2502" s="284" t="e">
        <f>++Tabla4[[#This Row],[Utilidad Total]]/Tabla4[[#This Row],[Total]]</f>
        <v>#N/A</v>
      </c>
      <c r="P2502" s="282">
        <f>++Tabla4[[#This Row],[Precio Descontado]]*Tabla4[[#This Row],[Cantidad]]</f>
        <v>8133.5819063999998</v>
      </c>
      <c r="Q2502" s="282" t="e">
        <f>(INDEX(Tabla6[#All],MATCH(Tabla4[[#This Row],[Producto]],Tabla6[[#All],[PRODUCTO]],0),MATCH(Tabla4[[#This Row],[Mes]],Tabla6[#Headers],0)))</f>
        <v>#N/A</v>
      </c>
      <c r="R2502" s="282" t="e">
        <f>++Tabla4[[#This Row],[Precio Unitario Neto]]-Tabla4[[#This Row],[20.85%]]-Tabla4[[#This Row],[Costo]]</f>
        <v>#N/A</v>
      </c>
      <c r="S2502" s="282" t="e">
        <f>++Tabla4[[#This Row],[U. Bruta Uni]]*Tabla4[[#This Row],[Cantidad]]</f>
        <v>#N/A</v>
      </c>
      <c r="T2502" s="369" t="str">
        <f>VLOOKUP(Tabla4[[#This Row],[Producto]],Tabla6[#All],14,FALSE)</f>
        <v>Termico Solar</v>
      </c>
      <c r="U2502" s="284" t="e">
        <f>(IF(Tabla4[[#This Row],[Familia]]="termico solar",Tabla4[[#This Row],[Utilidad Total]]*6%,Tabla4[[#This Row],[Utilidad Total]]*11.5%))/Tabla4[[#This Row],[Total]]</f>
        <v>#N/A</v>
      </c>
      <c r="V2502" s="282" t="e">
        <f>+Tabla4[[#This Row],[Comisión Calculada]]*Tabla4[[#This Row],[Total]]</f>
        <v>#N/A</v>
      </c>
    </row>
    <row r="2503" spans="1:22" hidden="1" x14ac:dyDescent="0.25">
      <c r="A2503" s="100">
        <v>45777</v>
      </c>
      <c r="B2503" t="str">
        <f t="shared" si="121"/>
        <v>April</v>
      </c>
      <c r="C2503" s="46" t="s">
        <v>280</v>
      </c>
      <c r="F2503" s="366" t="s">
        <v>1665</v>
      </c>
      <c r="G2503" s="46" t="s">
        <v>17</v>
      </c>
      <c r="H2503" s="46">
        <v>2</v>
      </c>
      <c r="I2503" s="51">
        <v>4622.28</v>
      </c>
      <c r="J2503" s="281">
        <f>++Tabla4[[#This Row],[Precio Bruto]]*1.16</f>
        <v>5361.8447999999989</v>
      </c>
      <c r="K2503" s="281">
        <f>+Tabla4[[#This Row],[Precio Unitario Neto]]*Tabla4[[#Headers],[20.85%]]</f>
        <v>1117.9446407999997</v>
      </c>
      <c r="L2503" s="282">
        <f>++Tabla4[[#This Row],[Precio Unitario Neto]]-Tabla4[[#This Row],[20.85%]]</f>
        <v>4243.9001591999995</v>
      </c>
      <c r="M2503" s="282" t="e">
        <f>(INDEX(Tabla6[#All],MATCH(Tabla4[[#This Row],[Producto]],Tabla6[[#All],[PRODUCTO]],0),MATCH(Tabla4[[#This Row],[Mes]],Tabla6[#Headers],0)))*(1+Catalogos!$L$2)</f>
        <v>#N/A</v>
      </c>
      <c r="N2503" s="283" t="e">
        <f>+(Tabla4[[#This Row],[Precio Descontado]]-Tabla4[[#This Row],[Precio Base]])*Tabla4[[#This Row],[Cantidad]]</f>
        <v>#N/A</v>
      </c>
      <c r="O2503" s="284" t="e">
        <f>++Tabla4[[#This Row],[Utilidad Total]]/Tabla4[[#This Row],[Total]]</f>
        <v>#N/A</v>
      </c>
      <c r="P2503" s="282">
        <f>++Tabla4[[#This Row],[Precio Descontado]]*Tabla4[[#This Row],[Cantidad]]</f>
        <v>8487.800318399999</v>
      </c>
      <c r="Q2503" s="282" t="e">
        <f>(INDEX(Tabla6[#All],MATCH(Tabla4[[#This Row],[Producto]],Tabla6[[#All],[PRODUCTO]],0),MATCH(Tabla4[[#This Row],[Mes]],Tabla6[#Headers],0)))</f>
        <v>#N/A</v>
      </c>
      <c r="R2503" s="282" t="e">
        <f>++Tabla4[[#This Row],[Precio Unitario Neto]]-Tabla4[[#This Row],[20.85%]]-Tabla4[[#This Row],[Costo]]</f>
        <v>#N/A</v>
      </c>
      <c r="S2503" s="282" t="e">
        <f>++Tabla4[[#This Row],[U. Bruta Uni]]*Tabla4[[#This Row],[Cantidad]]</f>
        <v>#N/A</v>
      </c>
      <c r="T2503" s="369" t="str">
        <f>VLOOKUP(Tabla4[[#This Row],[Producto]],Tabla6[#All],14,FALSE)</f>
        <v>Termico Solar</v>
      </c>
      <c r="U2503" s="284" t="e">
        <f>(IF(Tabla4[[#This Row],[Familia]]="termico solar",Tabla4[[#This Row],[Utilidad Total]]*6%,Tabla4[[#This Row],[Utilidad Total]]*11.5%))/Tabla4[[#This Row],[Total]]</f>
        <v>#N/A</v>
      </c>
      <c r="V2503" s="282" t="e">
        <f>+Tabla4[[#This Row],[Comisión Calculada]]*Tabla4[[#This Row],[Total]]</f>
        <v>#N/A</v>
      </c>
    </row>
    <row r="2504" spans="1:22" hidden="1" x14ac:dyDescent="0.25">
      <c r="A2504" s="100">
        <v>45777</v>
      </c>
      <c r="B2504" t="str">
        <f t="shared" si="121"/>
        <v>April</v>
      </c>
      <c r="C2504" s="46" t="s">
        <v>280</v>
      </c>
      <c r="F2504" s="366" t="s">
        <v>1666</v>
      </c>
      <c r="G2504" s="46" t="s">
        <v>18</v>
      </c>
      <c r="H2504" s="46">
        <v>1</v>
      </c>
      <c r="I2504" s="51">
        <v>5367.65</v>
      </c>
      <c r="J2504" s="281">
        <f>++Tabla4[[#This Row],[Precio Bruto]]*1.16</f>
        <v>6226.4739999999993</v>
      </c>
      <c r="K2504" s="281">
        <f>+Tabla4[[#This Row],[Precio Unitario Neto]]*Tabla4[[#Headers],[20.85%]]</f>
        <v>1298.2198289999999</v>
      </c>
      <c r="L2504" s="282">
        <f>++Tabla4[[#This Row],[Precio Unitario Neto]]-Tabla4[[#This Row],[20.85%]]</f>
        <v>4928.2541709999996</v>
      </c>
      <c r="M2504" s="282" t="e">
        <f>(INDEX(Tabla6[#All],MATCH(Tabla4[[#This Row],[Producto]],Tabla6[[#All],[PRODUCTO]],0),MATCH(Tabla4[[#This Row],[Mes]],Tabla6[#Headers],0)))*(1+Catalogos!$L$2)</f>
        <v>#N/A</v>
      </c>
      <c r="N2504" s="283" t="e">
        <f>+(Tabla4[[#This Row],[Precio Descontado]]-Tabla4[[#This Row],[Precio Base]])*Tabla4[[#This Row],[Cantidad]]</f>
        <v>#N/A</v>
      </c>
      <c r="O2504" s="284" t="e">
        <f>++Tabla4[[#This Row],[Utilidad Total]]/Tabla4[[#This Row],[Total]]</f>
        <v>#N/A</v>
      </c>
      <c r="P2504" s="282">
        <f>++Tabla4[[#This Row],[Precio Descontado]]*Tabla4[[#This Row],[Cantidad]]</f>
        <v>4928.2541709999996</v>
      </c>
      <c r="Q2504" s="282" t="e">
        <f>(INDEX(Tabla6[#All],MATCH(Tabla4[[#This Row],[Producto]],Tabla6[[#All],[PRODUCTO]],0),MATCH(Tabla4[[#This Row],[Mes]],Tabla6[#Headers],0)))</f>
        <v>#N/A</v>
      </c>
      <c r="R2504" s="282" t="e">
        <f>++Tabla4[[#This Row],[Precio Unitario Neto]]-Tabla4[[#This Row],[20.85%]]-Tabla4[[#This Row],[Costo]]</f>
        <v>#N/A</v>
      </c>
      <c r="S2504" s="282" t="e">
        <f>++Tabla4[[#This Row],[U. Bruta Uni]]*Tabla4[[#This Row],[Cantidad]]</f>
        <v>#N/A</v>
      </c>
      <c r="T2504" s="369" t="str">
        <f>VLOOKUP(Tabla4[[#This Row],[Producto]],Tabla6[#All],14,FALSE)</f>
        <v>Termico Solar</v>
      </c>
      <c r="U2504" s="284" t="e">
        <f>(IF(Tabla4[[#This Row],[Familia]]="termico solar",Tabla4[[#This Row],[Utilidad Total]]*6%,Tabla4[[#This Row],[Utilidad Total]]*11.5%))/Tabla4[[#This Row],[Total]]</f>
        <v>#N/A</v>
      </c>
      <c r="V2504" s="282" t="e">
        <f>+Tabla4[[#This Row],[Comisión Calculada]]*Tabla4[[#This Row],[Total]]</f>
        <v>#N/A</v>
      </c>
    </row>
    <row r="2505" spans="1:22" hidden="1" x14ac:dyDescent="0.25">
      <c r="A2505" s="100">
        <v>45777</v>
      </c>
      <c r="B2505" t="str">
        <f t="shared" si="121"/>
        <v>April</v>
      </c>
      <c r="C2505" s="46" t="s">
        <v>280</v>
      </c>
      <c r="F2505" s="366" t="s">
        <v>1667</v>
      </c>
      <c r="G2505" s="46" t="s">
        <v>17</v>
      </c>
      <c r="H2505" s="46">
        <v>1</v>
      </c>
      <c r="I2505" s="51">
        <v>4622.28</v>
      </c>
      <c r="J2505" s="281">
        <f>++Tabla4[[#This Row],[Precio Bruto]]*1.16</f>
        <v>5361.8447999999989</v>
      </c>
      <c r="K2505" s="281">
        <f>+Tabla4[[#This Row],[Precio Unitario Neto]]*Tabla4[[#Headers],[20.85%]]</f>
        <v>1117.9446407999997</v>
      </c>
      <c r="L2505" s="282">
        <f>++Tabla4[[#This Row],[Precio Unitario Neto]]-Tabla4[[#This Row],[20.85%]]</f>
        <v>4243.9001591999995</v>
      </c>
      <c r="M2505" s="282" t="e">
        <f>(INDEX(Tabla6[#All],MATCH(Tabla4[[#This Row],[Producto]],Tabla6[[#All],[PRODUCTO]],0),MATCH(Tabla4[[#This Row],[Mes]],Tabla6[#Headers],0)))*(1+Catalogos!$L$2)</f>
        <v>#N/A</v>
      </c>
      <c r="N2505" s="283" t="e">
        <f>+(Tabla4[[#This Row],[Precio Descontado]]-Tabla4[[#This Row],[Precio Base]])*Tabla4[[#This Row],[Cantidad]]</f>
        <v>#N/A</v>
      </c>
      <c r="O2505" s="284" t="e">
        <f>++Tabla4[[#This Row],[Utilidad Total]]/Tabla4[[#This Row],[Total]]</f>
        <v>#N/A</v>
      </c>
      <c r="P2505" s="282">
        <f>++Tabla4[[#This Row],[Precio Descontado]]*Tabla4[[#This Row],[Cantidad]]</f>
        <v>4243.9001591999995</v>
      </c>
      <c r="Q2505" s="282" t="e">
        <f>(INDEX(Tabla6[#All],MATCH(Tabla4[[#This Row],[Producto]],Tabla6[[#All],[PRODUCTO]],0),MATCH(Tabla4[[#This Row],[Mes]],Tabla6[#Headers],0)))</f>
        <v>#N/A</v>
      </c>
      <c r="R2505" s="282" t="e">
        <f>++Tabla4[[#This Row],[Precio Unitario Neto]]-Tabla4[[#This Row],[20.85%]]-Tabla4[[#This Row],[Costo]]</f>
        <v>#N/A</v>
      </c>
      <c r="S2505" s="282" t="e">
        <f>++Tabla4[[#This Row],[U. Bruta Uni]]*Tabla4[[#This Row],[Cantidad]]</f>
        <v>#N/A</v>
      </c>
      <c r="T2505" s="369" t="str">
        <f>VLOOKUP(Tabla4[[#This Row],[Producto]],Tabla6[#All],14,FALSE)</f>
        <v>Termico Solar</v>
      </c>
      <c r="U2505" s="284" t="e">
        <f>(IF(Tabla4[[#This Row],[Familia]]="termico solar",Tabla4[[#This Row],[Utilidad Total]]*6%,Tabla4[[#This Row],[Utilidad Total]]*11.5%))/Tabla4[[#This Row],[Total]]</f>
        <v>#N/A</v>
      </c>
      <c r="V2505" s="282" t="e">
        <f>+Tabla4[[#This Row],[Comisión Calculada]]*Tabla4[[#This Row],[Total]]</f>
        <v>#N/A</v>
      </c>
    </row>
    <row r="2506" spans="1:22" hidden="1" x14ac:dyDescent="0.25">
      <c r="A2506" s="100">
        <v>45777</v>
      </c>
      <c r="B2506" t="str">
        <f t="shared" si="121"/>
        <v>April</v>
      </c>
      <c r="C2506" s="46" t="s">
        <v>280</v>
      </c>
      <c r="F2506" s="366" t="s">
        <v>1667</v>
      </c>
      <c r="G2506" s="46" t="s">
        <v>18</v>
      </c>
      <c r="H2506" s="46">
        <v>1</v>
      </c>
      <c r="I2506" s="51">
        <v>5367.65</v>
      </c>
      <c r="J2506" s="281">
        <f>++Tabla4[[#This Row],[Precio Bruto]]*1.16</f>
        <v>6226.4739999999993</v>
      </c>
      <c r="K2506" s="281">
        <f>+Tabla4[[#This Row],[Precio Unitario Neto]]*Tabla4[[#Headers],[20.85%]]</f>
        <v>1298.2198289999999</v>
      </c>
      <c r="L2506" s="282">
        <f>++Tabla4[[#This Row],[Precio Unitario Neto]]-Tabla4[[#This Row],[20.85%]]</f>
        <v>4928.2541709999996</v>
      </c>
      <c r="M2506" s="282" t="e">
        <f>(INDEX(Tabla6[#All],MATCH(Tabla4[[#This Row],[Producto]],Tabla6[[#All],[PRODUCTO]],0),MATCH(Tabla4[[#This Row],[Mes]],Tabla6[#Headers],0)))*(1+Catalogos!$L$2)</f>
        <v>#N/A</v>
      </c>
      <c r="N2506" s="283" t="e">
        <f>+(Tabla4[[#This Row],[Precio Descontado]]-Tabla4[[#This Row],[Precio Base]])*Tabla4[[#This Row],[Cantidad]]</f>
        <v>#N/A</v>
      </c>
      <c r="O2506" s="284" t="e">
        <f>++Tabla4[[#This Row],[Utilidad Total]]/Tabla4[[#This Row],[Total]]</f>
        <v>#N/A</v>
      </c>
      <c r="P2506" s="282">
        <f>++Tabla4[[#This Row],[Precio Descontado]]*Tabla4[[#This Row],[Cantidad]]</f>
        <v>4928.2541709999996</v>
      </c>
      <c r="Q2506" s="282" t="e">
        <f>(INDEX(Tabla6[#All],MATCH(Tabla4[[#This Row],[Producto]],Tabla6[[#All],[PRODUCTO]],0),MATCH(Tabla4[[#This Row],[Mes]],Tabla6[#Headers],0)))</f>
        <v>#N/A</v>
      </c>
      <c r="R2506" s="282" t="e">
        <f>++Tabla4[[#This Row],[Precio Unitario Neto]]-Tabla4[[#This Row],[20.85%]]-Tabla4[[#This Row],[Costo]]</f>
        <v>#N/A</v>
      </c>
      <c r="S2506" s="282" t="e">
        <f>++Tabla4[[#This Row],[U. Bruta Uni]]*Tabla4[[#This Row],[Cantidad]]</f>
        <v>#N/A</v>
      </c>
      <c r="T2506" s="369" t="str">
        <f>VLOOKUP(Tabla4[[#This Row],[Producto]],Tabla6[#All],14,FALSE)</f>
        <v>Termico Solar</v>
      </c>
      <c r="U2506" s="284" t="e">
        <f>(IF(Tabla4[[#This Row],[Familia]]="termico solar",Tabla4[[#This Row],[Utilidad Total]]*6%,Tabla4[[#This Row],[Utilidad Total]]*11.5%))/Tabla4[[#This Row],[Total]]</f>
        <v>#N/A</v>
      </c>
      <c r="V2506" s="282" t="e">
        <f>+Tabla4[[#This Row],[Comisión Calculada]]*Tabla4[[#This Row],[Total]]</f>
        <v>#N/A</v>
      </c>
    </row>
    <row r="2507" spans="1:22" hidden="1" x14ac:dyDescent="0.25">
      <c r="A2507" s="100">
        <v>45777</v>
      </c>
      <c r="B2507" t="str">
        <f t="shared" si="121"/>
        <v>April</v>
      </c>
      <c r="C2507" s="46" t="s">
        <v>280</v>
      </c>
      <c r="F2507" s="366" t="s">
        <v>1667</v>
      </c>
      <c r="G2507" s="46" t="s">
        <v>19</v>
      </c>
      <c r="H2507" s="46">
        <v>2</v>
      </c>
      <c r="I2507" s="51">
        <v>6412.03</v>
      </c>
      <c r="J2507" s="281">
        <f>++Tabla4[[#This Row],[Precio Bruto]]*1.16</f>
        <v>7437.9547999999995</v>
      </c>
      <c r="K2507" s="281">
        <f>+Tabla4[[#This Row],[Precio Unitario Neto]]*Tabla4[[#Headers],[20.85%]]</f>
        <v>1550.8135757999999</v>
      </c>
      <c r="L2507" s="282">
        <f>++Tabla4[[#This Row],[Precio Unitario Neto]]-Tabla4[[#This Row],[20.85%]]</f>
        <v>5887.1412241999997</v>
      </c>
      <c r="M2507" s="282" t="e">
        <f>(INDEX(Tabla6[#All],MATCH(Tabla4[[#This Row],[Producto]],Tabla6[[#All],[PRODUCTO]],0),MATCH(Tabla4[[#This Row],[Mes]],Tabla6[#Headers],0)))*(1+Catalogos!$L$2)</f>
        <v>#N/A</v>
      </c>
      <c r="N2507" s="283" t="e">
        <f>+(Tabla4[[#This Row],[Precio Descontado]]-Tabla4[[#This Row],[Precio Base]])*Tabla4[[#This Row],[Cantidad]]</f>
        <v>#N/A</v>
      </c>
      <c r="O2507" s="284" t="e">
        <f>++Tabla4[[#This Row],[Utilidad Total]]/Tabla4[[#This Row],[Total]]</f>
        <v>#N/A</v>
      </c>
      <c r="P2507" s="282">
        <f>++Tabla4[[#This Row],[Precio Descontado]]*Tabla4[[#This Row],[Cantidad]]</f>
        <v>11774.282448399999</v>
      </c>
      <c r="Q2507" s="282" t="e">
        <f>(INDEX(Tabla6[#All],MATCH(Tabla4[[#This Row],[Producto]],Tabla6[[#All],[PRODUCTO]],0),MATCH(Tabla4[[#This Row],[Mes]],Tabla6[#Headers],0)))</f>
        <v>#N/A</v>
      </c>
      <c r="R2507" s="282" t="e">
        <f>++Tabla4[[#This Row],[Precio Unitario Neto]]-Tabla4[[#This Row],[20.85%]]-Tabla4[[#This Row],[Costo]]</f>
        <v>#N/A</v>
      </c>
      <c r="S2507" s="282" t="e">
        <f>++Tabla4[[#This Row],[U. Bruta Uni]]*Tabla4[[#This Row],[Cantidad]]</f>
        <v>#N/A</v>
      </c>
      <c r="T2507" s="369" t="str">
        <f>VLOOKUP(Tabla4[[#This Row],[Producto]],Tabla6[#All],14,FALSE)</f>
        <v>Termico Solar</v>
      </c>
      <c r="U2507" s="284" t="e">
        <f>(IF(Tabla4[[#This Row],[Familia]]="termico solar",Tabla4[[#This Row],[Utilidad Total]]*6%,Tabla4[[#This Row],[Utilidad Total]]*11.5%))/Tabla4[[#This Row],[Total]]</f>
        <v>#N/A</v>
      </c>
      <c r="V2507" s="282" t="e">
        <f>+Tabla4[[#This Row],[Comisión Calculada]]*Tabla4[[#This Row],[Total]]</f>
        <v>#N/A</v>
      </c>
    </row>
    <row r="2508" spans="1:22" hidden="1" x14ac:dyDescent="0.25">
      <c r="A2508" s="100">
        <v>45777</v>
      </c>
      <c r="B2508" t="str">
        <f t="shared" si="121"/>
        <v>April</v>
      </c>
      <c r="C2508" s="46" t="s">
        <v>280</v>
      </c>
      <c r="F2508" s="366" t="s">
        <v>1667</v>
      </c>
      <c r="G2508" s="46" t="s">
        <v>566</v>
      </c>
      <c r="H2508" s="46">
        <v>1</v>
      </c>
      <c r="I2508" s="51">
        <v>2109.4499999999998</v>
      </c>
      <c r="J2508" s="281">
        <f>++Tabla4[[#This Row],[Precio Bruto]]*1.16</f>
        <v>2446.9619999999995</v>
      </c>
      <c r="K2508" s="281">
        <f>+Tabla4[[#This Row],[Precio Unitario Neto]]*Tabla4[[#Headers],[20.85%]]</f>
        <v>510.19157699999988</v>
      </c>
      <c r="L2508" s="282">
        <f>++Tabla4[[#This Row],[Precio Unitario Neto]]-Tabla4[[#This Row],[20.85%]]</f>
        <v>1936.7704229999997</v>
      </c>
      <c r="M2508" s="282" t="e">
        <f>(INDEX(Tabla6[#All],MATCH(Tabla4[[#This Row],[Producto]],Tabla6[[#All],[PRODUCTO]],0),MATCH(Tabla4[[#This Row],[Mes]],Tabla6[#Headers],0)))*(1+Catalogos!$L$2)</f>
        <v>#N/A</v>
      </c>
      <c r="N2508" s="283" t="e">
        <f>+(Tabla4[[#This Row],[Precio Descontado]]-Tabla4[[#This Row],[Precio Base]])*Tabla4[[#This Row],[Cantidad]]</f>
        <v>#N/A</v>
      </c>
      <c r="O2508" s="284" t="e">
        <f>++Tabla4[[#This Row],[Utilidad Total]]/Tabla4[[#This Row],[Total]]</f>
        <v>#N/A</v>
      </c>
      <c r="P2508" s="282">
        <f>++Tabla4[[#This Row],[Precio Descontado]]*Tabla4[[#This Row],[Cantidad]]</f>
        <v>1936.7704229999997</v>
      </c>
      <c r="Q2508" s="282" t="e">
        <f>(INDEX(Tabla6[#All],MATCH(Tabla4[[#This Row],[Producto]],Tabla6[[#All],[PRODUCTO]],0),MATCH(Tabla4[[#This Row],[Mes]],Tabla6[#Headers],0)))</f>
        <v>#N/A</v>
      </c>
      <c r="R2508" s="282" t="e">
        <f>++Tabla4[[#This Row],[Precio Unitario Neto]]-Tabla4[[#This Row],[20.85%]]-Tabla4[[#This Row],[Costo]]</f>
        <v>#N/A</v>
      </c>
      <c r="S2508" s="282" t="e">
        <f>++Tabla4[[#This Row],[U. Bruta Uni]]*Tabla4[[#This Row],[Cantidad]]</f>
        <v>#N/A</v>
      </c>
      <c r="T2508" s="369" t="str">
        <f>VLOOKUP(Tabla4[[#This Row],[Producto]],Tabla6[#All],14,FALSE)</f>
        <v>Termico Solar</v>
      </c>
      <c r="U2508" s="284" t="e">
        <f>(IF(Tabla4[[#This Row],[Familia]]="termico solar",Tabla4[[#This Row],[Utilidad Total]]*6%,Tabla4[[#This Row],[Utilidad Total]]*11.5%))/Tabla4[[#This Row],[Total]]</f>
        <v>#N/A</v>
      </c>
      <c r="V2508" s="282" t="e">
        <f>+Tabla4[[#This Row],[Comisión Calculada]]*Tabla4[[#This Row],[Total]]</f>
        <v>#N/A</v>
      </c>
    </row>
    <row r="2509" spans="1:22" hidden="1" x14ac:dyDescent="0.25">
      <c r="A2509" s="100">
        <v>45777</v>
      </c>
      <c r="B2509" t="str">
        <f t="shared" si="121"/>
        <v>April</v>
      </c>
      <c r="C2509" s="46" t="s">
        <v>280</v>
      </c>
      <c r="F2509" s="366" t="s">
        <v>1667</v>
      </c>
      <c r="G2509" s="46" t="s">
        <v>16</v>
      </c>
      <c r="H2509" s="46">
        <v>2</v>
      </c>
      <c r="I2509" s="51">
        <v>4103.8500000000004</v>
      </c>
      <c r="J2509" s="281">
        <f>++Tabla4[[#This Row],[Precio Bruto]]*1.16</f>
        <v>4760.4660000000003</v>
      </c>
      <c r="K2509" s="281">
        <f>+Tabla4[[#This Row],[Precio Unitario Neto]]*Tabla4[[#Headers],[20.85%]]</f>
        <v>992.55716100000006</v>
      </c>
      <c r="L2509" s="282">
        <f>++Tabla4[[#This Row],[Precio Unitario Neto]]-Tabla4[[#This Row],[20.85%]]</f>
        <v>3767.9088390000002</v>
      </c>
      <c r="M2509" s="282" t="e">
        <f>(INDEX(Tabla6[#All],MATCH(Tabla4[[#This Row],[Producto]],Tabla6[[#All],[PRODUCTO]],0),MATCH(Tabla4[[#This Row],[Mes]],Tabla6[#Headers],0)))*(1+Catalogos!$L$2)</f>
        <v>#N/A</v>
      </c>
      <c r="N2509" s="283" t="e">
        <f>+(Tabla4[[#This Row],[Precio Descontado]]-Tabla4[[#This Row],[Precio Base]])*Tabla4[[#This Row],[Cantidad]]</f>
        <v>#N/A</v>
      </c>
      <c r="O2509" s="284" t="e">
        <f>++Tabla4[[#This Row],[Utilidad Total]]/Tabla4[[#This Row],[Total]]</f>
        <v>#N/A</v>
      </c>
      <c r="P2509" s="282">
        <f>++Tabla4[[#This Row],[Precio Descontado]]*Tabla4[[#This Row],[Cantidad]]</f>
        <v>7535.8176780000003</v>
      </c>
      <c r="Q2509" s="282" t="e">
        <f>(INDEX(Tabla6[#All],MATCH(Tabla4[[#This Row],[Producto]],Tabla6[[#All],[PRODUCTO]],0),MATCH(Tabla4[[#This Row],[Mes]],Tabla6[#Headers],0)))</f>
        <v>#N/A</v>
      </c>
      <c r="R2509" s="282" t="e">
        <f>++Tabla4[[#This Row],[Precio Unitario Neto]]-Tabla4[[#This Row],[20.85%]]-Tabla4[[#This Row],[Costo]]</f>
        <v>#N/A</v>
      </c>
      <c r="S2509" s="282" t="e">
        <f>++Tabla4[[#This Row],[U. Bruta Uni]]*Tabla4[[#This Row],[Cantidad]]</f>
        <v>#N/A</v>
      </c>
      <c r="T2509" s="369" t="str">
        <f>VLOOKUP(Tabla4[[#This Row],[Producto]],Tabla6[#All],14,FALSE)</f>
        <v>Termico Solar</v>
      </c>
      <c r="U2509" s="284" t="e">
        <f>(IF(Tabla4[[#This Row],[Familia]]="termico solar",Tabla4[[#This Row],[Utilidad Total]]*6%,Tabla4[[#This Row],[Utilidad Total]]*11.5%))/Tabla4[[#This Row],[Total]]</f>
        <v>#N/A</v>
      </c>
      <c r="V2509" s="282" t="e">
        <f>+Tabla4[[#This Row],[Comisión Calculada]]*Tabla4[[#This Row],[Total]]</f>
        <v>#N/A</v>
      </c>
    </row>
    <row r="2510" spans="1:22" hidden="1" x14ac:dyDescent="0.25">
      <c r="A2510" s="100">
        <v>45777</v>
      </c>
      <c r="B2510" t="str">
        <f t="shared" si="121"/>
        <v>April</v>
      </c>
      <c r="C2510" s="46" t="s">
        <v>280</v>
      </c>
      <c r="F2510" s="366" t="s">
        <v>1668</v>
      </c>
      <c r="G2510" s="46" t="s">
        <v>18</v>
      </c>
      <c r="H2510" s="46">
        <v>1</v>
      </c>
      <c r="I2510" s="51">
        <v>5367.65</v>
      </c>
      <c r="J2510" s="281">
        <f>++Tabla4[[#This Row],[Precio Bruto]]*1.16</f>
        <v>6226.4739999999993</v>
      </c>
      <c r="K2510" s="281">
        <f>+Tabla4[[#This Row],[Precio Unitario Neto]]*Tabla4[[#Headers],[20.85%]]</f>
        <v>1298.2198289999999</v>
      </c>
      <c r="L2510" s="282">
        <f>++Tabla4[[#This Row],[Precio Unitario Neto]]-Tabla4[[#This Row],[20.85%]]</f>
        <v>4928.2541709999996</v>
      </c>
      <c r="M2510" s="282" t="e">
        <f>(INDEX(Tabla6[#All],MATCH(Tabla4[[#This Row],[Producto]],Tabla6[[#All],[PRODUCTO]],0),MATCH(Tabla4[[#This Row],[Mes]],Tabla6[#Headers],0)))*(1+Catalogos!$L$2)</f>
        <v>#N/A</v>
      </c>
      <c r="N2510" s="283" t="e">
        <f>+(Tabla4[[#This Row],[Precio Descontado]]-Tabla4[[#This Row],[Precio Base]])*Tabla4[[#This Row],[Cantidad]]</f>
        <v>#N/A</v>
      </c>
      <c r="O2510" s="284" t="e">
        <f>++Tabla4[[#This Row],[Utilidad Total]]/Tabla4[[#This Row],[Total]]</f>
        <v>#N/A</v>
      </c>
      <c r="P2510" s="282">
        <f>++Tabla4[[#This Row],[Precio Descontado]]*Tabla4[[#This Row],[Cantidad]]</f>
        <v>4928.2541709999996</v>
      </c>
      <c r="Q2510" s="282" t="e">
        <f>(INDEX(Tabla6[#All],MATCH(Tabla4[[#This Row],[Producto]],Tabla6[[#All],[PRODUCTO]],0),MATCH(Tabla4[[#This Row],[Mes]],Tabla6[#Headers],0)))</f>
        <v>#N/A</v>
      </c>
      <c r="R2510" s="282" t="e">
        <f>++Tabla4[[#This Row],[Precio Unitario Neto]]-Tabla4[[#This Row],[20.85%]]-Tabla4[[#This Row],[Costo]]</f>
        <v>#N/A</v>
      </c>
      <c r="S2510" s="282" t="e">
        <f>++Tabla4[[#This Row],[U. Bruta Uni]]*Tabla4[[#This Row],[Cantidad]]</f>
        <v>#N/A</v>
      </c>
      <c r="T2510" s="369" t="str">
        <f>VLOOKUP(Tabla4[[#This Row],[Producto]],Tabla6[#All],14,FALSE)</f>
        <v>Termico Solar</v>
      </c>
      <c r="U2510" s="284" t="e">
        <f>(IF(Tabla4[[#This Row],[Familia]]="termico solar",Tabla4[[#This Row],[Utilidad Total]]*6%,Tabla4[[#This Row],[Utilidad Total]]*11.5%))/Tabla4[[#This Row],[Total]]</f>
        <v>#N/A</v>
      </c>
      <c r="V2510" s="282" t="e">
        <f>+Tabla4[[#This Row],[Comisión Calculada]]*Tabla4[[#This Row],[Total]]</f>
        <v>#N/A</v>
      </c>
    </row>
    <row r="2511" spans="1:22" hidden="1" x14ac:dyDescent="0.25">
      <c r="A2511" s="100">
        <v>45777</v>
      </c>
      <c r="B2511" t="str">
        <f t="shared" si="121"/>
        <v>April</v>
      </c>
      <c r="C2511" s="46" t="s">
        <v>280</v>
      </c>
      <c r="F2511" s="366" t="s">
        <v>1669</v>
      </c>
      <c r="G2511" s="46" t="s">
        <v>18</v>
      </c>
      <c r="H2511" s="46">
        <v>1</v>
      </c>
      <c r="I2511" s="51">
        <v>5367.65</v>
      </c>
      <c r="J2511" s="281">
        <f>++Tabla4[[#This Row],[Precio Bruto]]*1.16</f>
        <v>6226.4739999999993</v>
      </c>
      <c r="K2511" s="281">
        <f>+Tabla4[[#This Row],[Precio Unitario Neto]]*Tabla4[[#Headers],[20.85%]]</f>
        <v>1298.2198289999999</v>
      </c>
      <c r="L2511" s="282">
        <f>++Tabla4[[#This Row],[Precio Unitario Neto]]-Tabla4[[#This Row],[20.85%]]</f>
        <v>4928.2541709999996</v>
      </c>
      <c r="M2511" s="282" t="e">
        <f>(INDEX(Tabla6[#All],MATCH(Tabla4[[#This Row],[Producto]],Tabla6[[#All],[PRODUCTO]],0),MATCH(Tabla4[[#This Row],[Mes]],Tabla6[#Headers],0)))*(1+Catalogos!$L$2)</f>
        <v>#N/A</v>
      </c>
      <c r="N2511" s="283" t="e">
        <f>+(Tabla4[[#This Row],[Precio Descontado]]-Tabla4[[#This Row],[Precio Base]])*Tabla4[[#This Row],[Cantidad]]</f>
        <v>#N/A</v>
      </c>
      <c r="O2511" s="284" t="e">
        <f>++Tabla4[[#This Row],[Utilidad Total]]/Tabla4[[#This Row],[Total]]</f>
        <v>#N/A</v>
      </c>
      <c r="P2511" s="282">
        <f>++Tabla4[[#This Row],[Precio Descontado]]*Tabla4[[#This Row],[Cantidad]]</f>
        <v>4928.2541709999996</v>
      </c>
      <c r="Q2511" s="282" t="e">
        <f>(INDEX(Tabla6[#All],MATCH(Tabla4[[#This Row],[Producto]],Tabla6[[#All],[PRODUCTO]],0),MATCH(Tabla4[[#This Row],[Mes]],Tabla6[#Headers],0)))</f>
        <v>#N/A</v>
      </c>
      <c r="R2511" s="282" t="e">
        <f>++Tabla4[[#This Row],[Precio Unitario Neto]]-Tabla4[[#This Row],[20.85%]]-Tabla4[[#This Row],[Costo]]</f>
        <v>#N/A</v>
      </c>
      <c r="S2511" s="282" t="e">
        <f>++Tabla4[[#This Row],[U. Bruta Uni]]*Tabla4[[#This Row],[Cantidad]]</f>
        <v>#N/A</v>
      </c>
      <c r="T2511" s="369" t="str">
        <f>VLOOKUP(Tabla4[[#This Row],[Producto]],Tabla6[#All],14,FALSE)</f>
        <v>Termico Solar</v>
      </c>
      <c r="U2511" s="284" t="e">
        <f>(IF(Tabla4[[#This Row],[Familia]]="termico solar",Tabla4[[#This Row],[Utilidad Total]]*6%,Tabla4[[#This Row],[Utilidad Total]]*11.5%))/Tabla4[[#This Row],[Total]]</f>
        <v>#N/A</v>
      </c>
      <c r="V2511" s="282" t="e">
        <f>+Tabla4[[#This Row],[Comisión Calculada]]*Tabla4[[#This Row],[Total]]</f>
        <v>#N/A</v>
      </c>
    </row>
    <row r="2512" spans="1:22" hidden="1" x14ac:dyDescent="0.25">
      <c r="A2512" s="100">
        <v>45777</v>
      </c>
      <c r="B2512" t="str">
        <f t="shared" si="121"/>
        <v>April</v>
      </c>
      <c r="C2512" s="46" t="s">
        <v>280</v>
      </c>
      <c r="F2512" s="366" t="s">
        <v>1669</v>
      </c>
      <c r="G2512" s="46" t="s">
        <v>16</v>
      </c>
      <c r="H2512" s="46">
        <v>2</v>
      </c>
      <c r="I2512" s="51">
        <v>4103.8500000000004</v>
      </c>
      <c r="J2512" s="281">
        <f>++Tabla4[[#This Row],[Precio Bruto]]*1.16</f>
        <v>4760.4660000000003</v>
      </c>
      <c r="K2512" s="281">
        <f>+Tabla4[[#This Row],[Precio Unitario Neto]]*Tabla4[[#Headers],[20.85%]]</f>
        <v>992.55716100000006</v>
      </c>
      <c r="L2512" s="282">
        <f>++Tabla4[[#This Row],[Precio Unitario Neto]]-Tabla4[[#This Row],[20.85%]]</f>
        <v>3767.9088390000002</v>
      </c>
      <c r="M2512" s="282" t="e">
        <f>(INDEX(Tabla6[#All],MATCH(Tabla4[[#This Row],[Producto]],Tabla6[[#All],[PRODUCTO]],0),MATCH(Tabla4[[#This Row],[Mes]],Tabla6[#Headers],0)))*(1+Catalogos!$L$2)</f>
        <v>#N/A</v>
      </c>
      <c r="N2512" s="283" t="e">
        <f>+(Tabla4[[#This Row],[Precio Descontado]]-Tabla4[[#This Row],[Precio Base]])*Tabla4[[#This Row],[Cantidad]]</f>
        <v>#N/A</v>
      </c>
      <c r="O2512" s="284" t="e">
        <f>++Tabla4[[#This Row],[Utilidad Total]]/Tabla4[[#This Row],[Total]]</f>
        <v>#N/A</v>
      </c>
      <c r="P2512" s="282">
        <f>++Tabla4[[#This Row],[Precio Descontado]]*Tabla4[[#This Row],[Cantidad]]</f>
        <v>7535.8176780000003</v>
      </c>
      <c r="Q2512" s="282" t="e">
        <f>(INDEX(Tabla6[#All],MATCH(Tabla4[[#This Row],[Producto]],Tabla6[[#All],[PRODUCTO]],0),MATCH(Tabla4[[#This Row],[Mes]],Tabla6[#Headers],0)))</f>
        <v>#N/A</v>
      </c>
      <c r="R2512" s="282" t="e">
        <f>++Tabla4[[#This Row],[Precio Unitario Neto]]-Tabla4[[#This Row],[20.85%]]-Tabla4[[#This Row],[Costo]]</f>
        <v>#N/A</v>
      </c>
      <c r="S2512" s="282" t="e">
        <f>++Tabla4[[#This Row],[U. Bruta Uni]]*Tabla4[[#This Row],[Cantidad]]</f>
        <v>#N/A</v>
      </c>
      <c r="T2512" s="369" t="str">
        <f>VLOOKUP(Tabla4[[#This Row],[Producto]],Tabla6[#All],14,FALSE)</f>
        <v>Termico Solar</v>
      </c>
      <c r="U2512" s="284" t="e">
        <f>(IF(Tabla4[[#This Row],[Familia]]="termico solar",Tabla4[[#This Row],[Utilidad Total]]*6%,Tabla4[[#This Row],[Utilidad Total]]*11.5%))/Tabla4[[#This Row],[Total]]</f>
        <v>#N/A</v>
      </c>
      <c r="V2512" s="282" t="e">
        <f>+Tabla4[[#This Row],[Comisión Calculada]]*Tabla4[[#This Row],[Total]]</f>
        <v>#N/A</v>
      </c>
    </row>
    <row r="2513" spans="1:22" hidden="1" x14ac:dyDescent="0.25">
      <c r="A2513" s="100">
        <v>45777</v>
      </c>
      <c r="B2513" t="str">
        <f t="shared" si="121"/>
        <v>April</v>
      </c>
      <c r="C2513" s="46" t="s">
        <v>280</v>
      </c>
      <c r="F2513" s="366" t="s">
        <v>1670</v>
      </c>
      <c r="G2513" s="46" t="s">
        <v>208</v>
      </c>
      <c r="H2513" s="46">
        <v>2</v>
      </c>
      <c r="I2513" s="51">
        <v>189.75</v>
      </c>
      <c r="J2513" s="281">
        <f>++Tabla4[[#This Row],[Precio Bruto]]*1.16</f>
        <v>220.10999999999999</v>
      </c>
      <c r="K2513" s="281">
        <f>+Tabla4[[#This Row],[Precio Unitario Neto]]*Tabla4[[#Headers],[20.85%]]</f>
        <v>45.892934999999994</v>
      </c>
      <c r="L2513" s="282">
        <f>++Tabla4[[#This Row],[Precio Unitario Neto]]-Tabla4[[#This Row],[20.85%]]</f>
        <v>174.21706499999999</v>
      </c>
      <c r="M2513" s="282" t="e">
        <f>(INDEX(Tabla6[#All],MATCH(Tabla4[[#This Row],[Producto]],Tabla6[[#All],[PRODUCTO]],0),MATCH(Tabla4[[#This Row],[Mes]],Tabla6[#Headers],0)))*(1+Catalogos!$L$2)</f>
        <v>#N/A</v>
      </c>
      <c r="N2513" s="283" t="e">
        <f>+(Tabla4[[#This Row],[Precio Descontado]]-Tabla4[[#This Row],[Precio Base]])*Tabla4[[#This Row],[Cantidad]]</f>
        <v>#N/A</v>
      </c>
      <c r="O2513" s="284" t="e">
        <f>++Tabla4[[#This Row],[Utilidad Total]]/Tabla4[[#This Row],[Total]]</f>
        <v>#N/A</v>
      </c>
      <c r="P2513" s="282">
        <f>++Tabla4[[#This Row],[Precio Descontado]]*Tabla4[[#This Row],[Cantidad]]</f>
        <v>348.43412999999998</v>
      </c>
      <c r="Q2513" s="282" t="e">
        <f>(INDEX(Tabla6[#All],MATCH(Tabla4[[#This Row],[Producto]],Tabla6[[#All],[PRODUCTO]],0),MATCH(Tabla4[[#This Row],[Mes]],Tabla6[#Headers],0)))</f>
        <v>#N/A</v>
      </c>
      <c r="R2513" s="282" t="e">
        <f>++Tabla4[[#This Row],[Precio Unitario Neto]]-Tabla4[[#This Row],[20.85%]]-Tabla4[[#This Row],[Costo]]</f>
        <v>#N/A</v>
      </c>
      <c r="S2513" s="282" t="e">
        <f>++Tabla4[[#This Row],[U. Bruta Uni]]*Tabla4[[#This Row],[Cantidad]]</f>
        <v>#N/A</v>
      </c>
      <c r="T2513" s="369" t="str">
        <f>VLOOKUP(Tabla4[[#This Row],[Producto]],Tabla6[#All],14,FALSE)</f>
        <v>Termico Solar</v>
      </c>
      <c r="U2513" s="284" t="e">
        <f>(IF(Tabla4[[#This Row],[Familia]]="termico solar",Tabla4[[#This Row],[Utilidad Total]]*6%,Tabla4[[#This Row],[Utilidad Total]]*11.5%))/Tabla4[[#This Row],[Total]]</f>
        <v>#N/A</v>
      </c>
      <c r="V2513" s="282" t="e">
        <f>+Tabla4[[#This Row],[Comisión Calculada]]*Tabla4[[#This Row],[Total]]</f>
        <v>#N/A</v>
      </c>
    </row>
    <row r="2514" spans="1:22" hidden="1" x14ac:dyDescent="0.25">
      <c r="A2514" s="100">
        <v>45777</v>
      </c>
      <c r="B2514" t="str">
        <f t="shared" si="121"/>
        <v>April</v>
      </c>
      <c r="C2514" s="46" t="s">
        <v>280</v>
      </c>
      <c r="F2514" s="366" t="s">
        <v>1670</v>
      </c>
      <c r="G2514" s="46" t="s">
        <v>209</v>
      </c>
      <c r="H2514" s="46">
        <v>1</v>
      </c>
      <c r="I2514" s="51">
        <v>347.48</v>
      </c>
      <c r="J2514" s="281">
        <f>++Tabla4[[#This Row],[Precio Bruto]]*1.16</f>
        <v>403.07679999999999</v>
      </c>
      <c r="K2514" s="281">
        <f>+Tabla4[[#This Row],[Precio Unitario Neto]]*Tabla4[[#Headers],[20.85%]]</f>
        <v>84.041512799999992</v>
      </c>
      <c r="L2514" s="282">
        <f>++Tabla4[[#This Row],[Precio Unitario Neto]]-Tabla4[[#This Row],[20.85%]]</f>
        <v>319.03528719999997</v>
      </c>
      <c r="M2514" s="282" t="e">
        <f>(INDEX(Tabla6[#All],MATCH(Tabla4[[#This Row],[Producto]],Tabla6[[#All],[PRODUCTO]],0),MATCH(Tabla4[[#This Row],[Mes]],Tabla6[#Headers],0)))*(1+Catalogos!$L$2)</f>
        <v>#N/A</v>
      </c>
      <c r="N2514" s="283" t="e">
        <f>+(Tabla4[[#This Row],[Precio Descontado]]-Tabla4[[#This Row],[Precio Base]])*Tabla4[[#This Row],[Cantidad]]</f>
        <v>#N/A</v>
      </c>
      <c r="O2514" s="284" t="e">
        <f>++Tabla4[[#This Row],[Utilidad Total]]/Tabla4[[#This Row],[Total]]</f>
        <v>#N/A</v>
      </c>
      <c r="P2514" s="282">
        <f>++Tabla4[[#This Row],[Precio Descontado]]*Tabla4[[#This Row],[Cantidad]]</f>
        <v>319.03528719999997</v>
      </c>
      <c r="Q2514" s="282" t="e">
        <f>(INDEX(Tabla6[#All],MATCH(Tabla4[[#This Row],[Producto]],Tabla6[[#All],[PRODUCTO]],0),MATCH(Tabla4[[#This Row],[Mes]],Tabla6[#Headers],0)))</f>
        <v>#N/A</v>
      </c>
      <c r="R2514" s="282" t="e">
        <f>++Tabla4[[#This Row],[Precio Unitario Neto]]-Tabla4[[#This Row],[20.85%]]-Tabla4[[#This Row],[Costo]]</f>
        <v>#N/A</v>
      </c>
      <c r="S2514" s="282" t="e">
        <f>++Tabla4[[#This Row],[U. Bruta Uni]]*Tabla4[[#This Row],[Cantidad]]</f>
        <v>#N/A</v>
      </c>
      <c r="T2514" s="369" t="str">
        <f>VLOOKUP(Tabla4[[#This Row],[Producto]],Tabla6[#All],14,FALSE)</f>
        <v>Termico Solar</v>
      </c>
      <c r="U2514" s="284" t="e">
        <f>(IF(Tabla4[[#This Row],[Familia]]="termico solar",Tabla4[[#This Row],[Utilidad Total]]*6%,Tabla4[[#This Row],[Utilidad Total]]*11.5%))/Tabla4[[#This Row],[Total]]</f>
        <v>#N/A</v>
      </c>
      <c r="V2514" s="282" t="e">
        <f>+Tabla4[[#This Row],[Comisión Calculada]]*Tabla4[[#This Row],[Total]]</f>
        <v>#N/A</v>
      </c>
    </row>
    <row r="2515" spans="1:22" hidden="1" x14ac:dyDescent="0.25">
      <c r="A2515" s="100">
        <v>45777</v>
      </c>
      <c r="B2515" t="str">
        <f t="shared" si="121"/>
        <v>April</v>
      </c>
      <c r="C2515" s="46" t="s">
        <v>280</v>
      </c>
      <c r="F2515" s="366" t="s">
        <v>1671</v>
      </c>
      <c r="G2515" s="46" t="s">
        <v>208</v>
      </c>
      <c r="H2515" s="46">
        <v>1</v>
      </c>
      <c r="I2515" s="51">
        <v>189.75</v>
      </c>
      <c r="J2515" s="281">
        <f>++Tabla4[[#This Row],[Precio Bruto]]*1.16</f>
        <v>220.10999999999999</v>
      </c>
      <c r="K2515" s="281">
        <f>+Tabla4[[#This Row],[Precio Unitario Neto]]*Tabla4[[#Headers],[20.85%]]</f>
        <v>45.892934999999994</v>
      </c>
      <c r="L2515" s="282">
        <f>++Tabla4[[#This Row],[Precio Unitario Neto]]-Tabla4[[#This Row],[20.85%]]</f>
        <v>174.21706499999999</v>
      </c>
      <c r="M2515" s="282" t="e">
        <f>(INDEX(Tabla6[#All],MATCH(Tabla4[[#This Row],[Producto]],Tabla6[[#All],[PRODUCTO]],0),MATCH(Tabla4[[#This Row],[Mes]],Tabla6[#Headers],0)))*(1+Catalogos!$L$2)</f>
        <v>#N/A</v>
      </c>
      <c r="N2515" s="283" t="e">
        <f>+(Tabla4[[#This Row],[Precio Descontado]]-Tabla4[[#This Row],[Precio Base]])*Tabla4[[#This Row],[Cantidad]]</f>
        <v>#N/A</v>
      </c>
      <c r="O2515" s="284" t="e">
        <f>++Tabla4[[#This Row],[Utilidad Total]]/Tabla4[[#This Row],[Total]]</f>
        <v>#N/A</v>
      </c>
      <c r="P2515" s="282">
        <f>++Tabla4[[#This Row],[Precio Descontado]]*Tabla4[[#This Row],[Cantidad]]</f>
        <v>174.21706499999999</v>
      </c>
      <c r="Q2515" s="282" t="e">
        <f>(INDEX(Tabla6[#All],MATCH(Tabla4[[#This Row],[Producto]],Tabla6[[#All],[PRODUCTO]],0),MATCH(Tabla4[[#This Row],[Mes]],Tabla6[#Headers],0)))</f>
        <v>#N/A</v>
      </c>
      <c r="R2515" s="282" t="e">
        <f>++Tabla4[[#This Row],[Precio Unitario Neto]]-Tabla4[[#This Row],[20.85%]]-Tabla4[[#This Row],[Costo]]</f>
        <v>#N/A</v>
      </c>
      <c r="S2515" s="282" t="e">
        <f>++Tabla4[[#This Row],[U. Bruta Uni]]*Tabla4[[#This Row],[Cantidad]]</f>
        <v>#N/A</v>
      </c>
      <c r="T2515" s="369" t="str">
        <f>VLOOKUP(Tabla4[[#This Row],[Producto]],Tabla6[#All],14,FALSE)</f>
        <v>Termico Solar</v>
      </c>
      <c r="U2515" s="284" t="e">
        <f>(IF(Tabla4[[#This Row],[Familia]]="termico solar",Tabla4[[#This Row],[Utilidad Total]]*6%,Tabla4[[#This Row],[Utilidad Total]]*11.5%))/Tabla4[[#This Row],[Total]]</f>
        <v>#N/A</v>
      </c>
      <c r="V2515" s="282" t="e">
        <f>+Tabla4[[#This Row],[Comisión Calculada]]*Tabla4[[#This Row],[Total]]</f>
        <v>#N/A</v>
      </c>
    </row>
    <row r="2516" spans="1:22" hidden="1" x14ac:dyDescent="0.25">
      <c r="A2516" s="100">
        <v>45777</v>
      </c>
      <c r="B2516" t="str">
        <f t="shared" si="121"/>
        <v>April</v>
      </c>
      <c r="C2516" s="46" t="s">
        <v>280</v>
      </c>
      <c r="F2516" s="366" t="s">
        <v>1672</v>
      </c>
      <c r="G2516" s="46" t="s">
        <v>83</v>
      </c>
      <c r="H2516" s="46">
        <v>1</v>
      </c>
      <c r="I2516" s="51">
        <v>8858.76</v>
      </c>
      <c r="J2516" s="281">
        <f>++Tabla4[[#This Row],[Precio Bruto]]*1.16</f>
        <v>10276.161599999999</v>
      </c>
      <c r="K2516" s="281">
        <f>+Tabla4[[#This Row],[Precio Unitario Neto]]*Tabla4[[#Headers],[20.85%]]</f>
        <v>2142.5796935999997</v>
      </c>
      <c r="L2516" s="282">
        <f>++Tabla4[[#This Row],[Precio Unitario Neto]]-Tabla4[[#This Row],[20.85%]]</f>
        <v>8133.5819063999998</v>
      </c>
      <c r="M2516" s="282" t="e">
        <f>(INDEX(Tabla6[#All],MATCH(Tabla4[[#This Row],[Producto]],Tabla6[[#All],[PRODUCTO]],0),MATCH(Tabla4[[#This Row],[Mes]],Tabla6[#Headers],0)))*(1+Catalogos!$L$2)</f>
        <v>#N/A</v>
      </c>
      <c r="N2516" s="283" t="e">
        <f>+(Tabla4[[#This Row],[Precio Descontado]]-Tabla4[[#This Row],[Precio Base]])*Tabla4[[#This Row],[Cantidad]]</f>
        <v>#N/A</v>
      </c>
      <c r="O2516" s="284" t="e">
        <f>++Tabla4[[#This Row],[Utilidad Total]]/Tabla4[[#This Row],[Total]]</f>
        <v>#N/A</v>
      </c>
      <c r="P2516" s="282">
        <f>++Tabla4[[#This Row],[Precio Descontado]]*Tabla4[[#This Row],[Cantidad]]</f>
        <v>8133.5819063999998</v>
      </c>
      <c r="Q2516" s="282" t="e">
        <f>(INDEX(Tabla6[#All],MATCH(Tabla4[[#This Row],[Producto]],Tabla6[[#All],[PRODUCTO]],0),MATCH(Tabla4[[#This Row],[Mes]],Tabla6[#Headers],0)))</f>
        <v>#N/A</v>
      </c>
      <c r="R2516" s="282" t="e">
        <f>++Tabla4[[#This Row],[Precio Unitario Neto]]-Tabla4[[#This Row],[20.85%]]-Tabla4[[#This Row],[Costo]]</f>
        <v>#N/A</v>
      </c>
      <c r="S2516" s="282" t="e">
        <f>++Tabla4[[#This Row],[U. Bruta Uni]]*Tabla4[[#This Row],[Cantidad]]</f>
        <v>#N/A</v>
      </c>
      <c r="T2516" s="369" t="str">
        <f>VLOOKUP(Tabla4[[#This Row],[Producto]],Tabla6[#All],14,FALSE)</f>
        <v>Termico Solar</v>
      </c>
      <c r="U2516" s="284" t="e">
        <f>(IF(Tabla4[[#This Row],[Familia]]="termico solar",Tabla4[[#This Row],[Utilidad Total]]*6%,Tabla4[[#This Row],[Utilidad Total]]*11.5%))/Tabla4[[#This Row],[Total]]</f>
        <v>#N/A</v>
      </c>
      <c r="V2516" s="282" t="e">
        <f>+Tabla4[[#This Row],[Comisión Calculada]]*Tabla4[[#This Row],[Total]]</f>
        <v>#N/A</v>
      </c>
    </row>
    <row r="2517" spans="1:22" hidden="1" x14ac:dyDescent="0.25">
      <c r="A2517" s="100">
        <v>45777</v>
      </c>
      <c r="B2517" t="str">
        <f t="shared" si="121"/>
        <v>April</v>
      </c>
      <c r="C2517" s="46" t="s">
        <v>280</v>
      </c>
      <c r="F2517" s="366" t="s">
        <v>1673</v>
      </c>
      <c r="G2517" s="46" t="s">
        <v>17</v>
      </c>
      <c r="H2517" s="46">
        <v>1</v>
      </c>
      <c r="I2517" s="51">
        <v>4622.28</v>
      </c>
      <c r="J2517" s="281">
        <f>++Tabla4[[#This Row],[Precio Bruto]]*1.16</f>
        <v>5361.8447999999989</v>
      </c>
      <c r="K2517" s="281">
        <f>+Tabla4[[#This Row],[Precio Unitario Neto]]*Tabla4[[#Headers],[20.85%]]</f>
        <v>1117.9446407999997</v>
      </c>
      <c r="L2517" s="282">
        <f>++Tabla4[[#This Row],[Precio Unitario Neto]]-Tabla4[[#This Row],[20.85%]]</f>
        <v>4243.9001591999995</v>
      </c>
      <c r="M2517" s="282" t="e">
        <f>(INDEX(Tabla6[#All],MATCH(Tabla4[[#This Row],[Producto]],Tabla6[[#All],[PRODUCTO]],0),MATCH(Tabla4[[#This Row],[Mes]],Tabla6[#Headers],0)))*(1+Catalogos!$L$2)</f>
        <v>#N/A</v>
      </c>
      <c r="N2517" s="283" t="e">
        <f>+(Tabla4[[#This Row],[Precio Descontado]]-Tabla4[[#This Row],[Precio Base]])*Tabla4[[#This Row],[Cantidad]]</f>
        <v>#N/A</v>
      </c>
      <c r="O2517" s="284" t="e">
        <f>++Tabla4[[#This Row],[Utilidad Total]]/Tabla4[[#This Row],[Total]]</f>
        <v>#N/A</v>
      </c>
      <c r="P2517" s="282">
        <f>++Tabla4[[#This Row],[Precio Descontado]]*Tabla4[[#This Row],[Cantidad]]</f>
        <v>4243.9001591999995</v>
      </c>
      <c r="Q2517" s="282" t="e">
        <f>(INDEX(Tabla6[#All],MATCH(Tabla4[[#This Row],[Producto]],Tabla6[[#All],[PRODUCTO]],0),MATCH(Tabla4[[#This Row],[Mes]],Tabla6[#Headers],0)))</f>
        <v>#N/A</v>
      </c>
      <c r="R2517" s="282" t="e">
        <f>++Tabla4[[#This Row],[Precio Unitario Neto]]-Tabla4[[#This Row],[20.85%]]-Tabla4[[#This Row],[Costo]]</f>
        <v>#N/A</v>
      </c>
      <c r="S2517" s="282" t="e">
        <f>++Tabla4[[#This Row],[U. Bruta Uni]]*Tabla4[[#This Row],[Cantidad]]</f>
        <v>#N/A</v>
      </c>
      <c r="T2517" s="369" t="str">
        <f>VLOOKUP(Tabla4[[#This Row],[Producto]],Tabla6[#All],14,FALSE)</f>
        <v>Termico Solar</v>
      </c>
      <c r="U2517" s="284" t="e">
        <f>(IF(Tabla4[[#This Row],[Familia]]="termico solar",Tabla4[[#This Row],[Utilidad Total]]*6%,Tabla4[[#This Row],[Utilidad Total]]*11.5%))/Tabla4[[#This Row],[Total]]</f>
        <v>#N/A</v>
      </c>
      <c r="V2517" s="282" t="e">
        <f>+Tabla4[[#This Row],[Comisión Calculada]]*Tabla4[[#This Row],[Total]]</f>
        <v>#N/A</v>
      </c>
    </row>
    <row r="2518" spans="1:22" hidden="1" x14ac:dyDescent="0.25">
      <c r="A2518" s="100">
        <v>45777</v>
      </c>
      <c r="B2518" t="str">
        <f t="shared" si="121"/>
        <v>April</v>
      </c>
      <c r="C2518" s="46" t="s">
        <v>280</v>
      </c>
      <c r="F2518" s="366" t="s">
        <v>1673</v>
      </c>
      <c r="G2518" s="46" t="s">
        <v>566</v>
      </c>
      <c r="H2518" s="46">
        <v>1</v>
      </c>
      <c r="I2518" s="51">
        <v>2109.4499999999998</v>
      </c>
      <c r="J2518" s="281">
        <f>++Tabla4[[#This Row],[Precio Bruto]]*1.16</f>
        <v>2446.9619999999995</v>
      </c>
      <c r="K2518" s="281">
        <f>+Tabla4[[#This Row],[Precio Unitario Neto]]*Tabla4[[#Headers],[20.85%]]</f>
        <v>510.19157699999988</v>
      </c>
      <c r="L2518" s="282">
        <f>++Tabla4[[#This Row],[Precio Unitario Neto]]-Tabla4[[#This Row],[20.85%]]</f>
        <v>1936.7704229999997</v>
      </c>
      <c r="M2518" s="282" t="e">
        <f>(INDEX(Tabla6[#All],MATCH(Tabla4[[#This Row],[Producto]],Tabla6[[#All],[PRODUCTO]],0),MATCH(Tabla4[[#This Row],[Mes]],Tabla6[#Headers],0)))*(1+Catalogos!$L$2)</f>
        <v>#N/A</v>
      </c>
      <c r="N2518" s="283" t="e">
        <f>+(Tabla4[[#This Row],[Precio Descontado]]-Tabla4[[#This Row],[Precio Base]])*Tabla4[[#This Row],[Cantidad]]</f>
        <v>#N/A</v>
      </c>
      <c r="O2518" s="284" t="e">
        <f>++Tabla4[[#This Row],[Utilidad Total]]/Tabla4[[#This Row],[Total]]</f>
        <v>#N/A</v>
      </c>
      <c r="P2518" s="282">
        <f>++Tabla4[[#This Row],[Precio Descontado]]*Tabla4[[#This Row],[Cantidad]]</f>
        <v>1936.7704229999997</v>
      </c>
      <c r="Q2518" s="282" t="e">
        <f>(INDEX(Tabla6[#All],MATCH(Tabla4[[#This Row],[Producto]],Tabla6[[#All],[PRODUCTO]],0),MATCH(Tabla4[[#This Row],[Mes]],Tabla6[#Headers],0)))</f>
        <v>#N/A</v>
      </c>
      <c r="R2518" s="282" t="e">
        <f>++Tabla4[[#This Row],[Precio Unitario Neto]]-Tabla4[[#This Row],[20.85%]]-Tabla4[[#This Row],[Costo]]</f>
        <v>#N/A</v>
      </c>
      <c r="S2518" s="282" t="e">
        <f>++Tabla4[[#This Row],[U. Bruta Uni]]*Tabla4[[#This Row],[Cantidad]]</f>
        <v>#N/A</v>
      </c>
      <c r="T2518" s="369" t="str">
        <f>VLOOKUP(Tabla4[[#This Row],[Producto]],Tabla6[#All],14,FALSE)</f>
        <v>Termico Solar</v>
      </c>
      <c r="U2518" s="284" t="e">
        <f>(IF(Tabla4[[#This Row],[Familia]]="termico solar",Tabla4[[#This Row],[Utilidad Total]]*6%,Tabla4[[#This Row],[Utilidad Total]]*11.5%))/Tabla4[[#This Row],[Total]]</f>
        <v>#N/A</v>
      </c>
      <c r="V2518" s="282" t="e">
        <f>+Tabla4[[#This Row],[Comisión Calculada]]*Tabla4[[#This Row],[Total]]</f>
        <v>#N/A</v>
      </c>
    </row>
    <row r="2519" spans="1:22" hidden="1" x14ac:dyDescent="0.25">
      <c r="A2519" s="100">
        <v>45777</v>
      </c>
      <c r="B2519" t="str">
        <f t="shared" si="121"/>
        <v>April</v>
      </c>
      <c r="C2519" s="46" t="s">
        <v>280</v>
      </c>
      <c r="F2519" s="366" t="s">
        <v>1674</v>
      </c>
      <c r="G2519" s="46" t="s">
        <v>17</v>
      </c>
      <c r="H2519" s="46">
        <v>1</v>
      </c>
      <c r="I2519" s="51">
        <v>4622.28</v>
      </c>
      <c r="J2519" s="281">
        <f>++Tabla4[[#This Row],[Precio Bruto]]*1.16</f>
        <v>5361.8447999999989</v>
      </c>
      <c r="K2519" s="281">
        <f>+Tabla4[[#This Row],[Precio Unitario Neto]]*Tabla4[[#Headers],[20.85%]]</f>
        <v>1117.9446407999997</v>
      </c>
      <c r="L2519" s="282">
        <f>++Tabla4[[#This Row],[Precio Unitario Neto]]-Tabla4[[#This Row],[20.85%]]</f>
        <v>4243.9001591999995</v>
      </c>
      <c r="M2519" s="282" t="e">
        <f>(INDEX(Tabla6[#All],MATCH(Tabla4[[#This Row],[Producto]],Tabla6[[#All],[PRODUCTO]],0),MATCH(Tabla4[[#This Row],[Mes]],Tabla6[#Headers],0)))*(1+Catalogos!$L$2)</f>
        <v>#N/A</v>
      </c>
      <c r="N2519" s="283" t="e">
        <f>+(Tabla4[[#This Row],[Precio Descontado]]-Tabla4[[#This Row],[Precio Base]])*Tabla4[[#This Row],[Cantidad]]</f>
        <v>#N/A</v>
      </c>
      <c r="O2519" s="284" t="e">
        <f>++Tabla4[[#This Row],[Utilidad Total]]/Tabla4[[#This Row],[Total]]</f>
        <v>#N/A</v>
      </c>
      <c r="P2519" s="282">
        <f>++Tabla4[[#This Row],[Precio Descontado]]*Tabla4[[#This Row],[Cantidad]]</f>
        <v>4243.9001591999995</v>
      </c>
      <c r="Q2519" s="282" t="e">
        <f>(INDEX(Tabla6[#All],MATCH(Tabla4[[#This Row],[Producto]],Tabla6[[#All],[PRODUCTO]],0),MATCH(Tabla4[[#This Row],[Mes]],Tabla6[#Headers],0)))</f>
        <v>#N/A</v>
      </c>
      <c r="R2519" s="282" t="e">
        <f>++Tabla4[[#This Row],[Precio Unitario Neto]]-Tabla4[[#This Row],[20.85%]]-Tabla4[[#This Row],[Costo]]</f>
        <v>#N/A</v>
      </c>
      <c r="S2519" s="282" t="e">
        <f>++Tabla4[[#This Row],[U. Bruta Uni]]*Tabla4[[#This Row],[Cantidad]]</f>
        <v>#N/A</v>
      </c>
      <c r="T2519" s="369" t="str">
        <f>VLOOKUP(Tabla4[[#This Row],[Producto]],Tabla6[#All],14,FALSE)</f>
        <v>Termico Solar</v>
      </c>
      <c r="U2519" s="284" t="e">
        <f>(IF(Tabla4[[#This Row],[Familia]]="termico solar",Tabla4[[#This Row],[Utilidad Total]]*6%,Tabla4[[#This Row],[Utilidad Total]]*11.5%))/Tabla4[[#This Row],[Total]]</f>
        <v>#N/A</v>
      </c>
      <c r="V2519" s="282" t="e">
        <f>+Tabla4[[#This Row],[Comisión Calculada]]*Tabla4[[#This Row],[Total]]</f>
        <v>#N/A</v>
      </c>
    </row>
    <row r="2520" spans="1:22" hidden="1" x14ac:dyDescent="0.25">
      <c r="A2520" s="100">
        <v>45777</v>
      </c>
      <c r="B2520" t="str">
        <f t="shared" si="121"/>
        <v>April</v>
      </c>
      <c r="C2520" s="46" t="s">
        <v>280</v>
      </c>
      <c r="F2520" s="366" t="s">
        <v>1675</v>
      </c>
      <c r="G2520" s="46" t="s">
        <v>17</v>
      </c>
      <c r="H2520" s="46">
        <v>2</v>
      </c>
      <c r="I2520" s="51">
        <v>4622.28</v>
      </c>
      <c r="J2520" s="281">
        <f>++Tabla4[[#This Row],[Precio Bruto]]*1.16</f>
        <v>5361.8447999999989</v>
      </c>
      <c r="K2520" s="281">
        <f>+Tabla4[[#This Row],[Precio Unitario Neto]]*Tabla4[[#Headers],[20.85%]]</f>
        <v>1117.9446407999997</v>
      </c>
      <c r="L2520" s="282">
        <f>++Tabla4[[#This Row],[Precio Unitario Neto]]-Tabla4[[#This Row],[20.85%]]</f>
        <v>4243.9001591999995</v>
      </c>
      <c r="M2520" s="282" t="e">
        <f>(INDEX(Tabla6[#All],MATCH(Tabla4[[#This Row],[Producto]],Tabla6[[#All],[PRODUCTO]],0),MATCH(Tabla4[[#This Row],[Mes]],Tabla6[#Headers],0)))*(1+Catalogos!$L$2)</f>
        <v>#N/A</v>
      </c>
      <c r="N2520" s="283" t="e">
        <f>+(Tabla4[[#This Row],[Precio Descontado]]-Tabla4[[#This Row],[Precio Base]])*Tabla4[[#This Row],[Cantidad]]</f>
        <v>#N/A</v>
      </c>
      <c r="O2520" s="284" t="e">
        <f>++Tabla4[[#This Row],[Utilidad Total]]/Tabla4[[#This Row],[Total]]</f>
        <v>#N/A</v>
      </c>
      <c r="P2520" s="282">
        <f>++Tabla4[[#This Row],[Precio Descontado]]*Tabla4[[#This Row],[Cantidad]]</f>
        <v>8487.800318399999</v>
      </c>
      <c r="Q2520" s="282" t="e">
        <f>(INDEX(Tabla6[#All],MATCH(Tabla4[[#This Row],[Producto]],Tabla6[[#All],[PRODUCTO]],0),MATCH(Tabla4[[#This Row],[Mes]],Tabla6[#Headers],0)))</f>
        <v>#N/A</v>
      </c>
      <c r="R2520" s="282" t="e">
        <f>++Tabla4[[#This Row],[Precio Unitario Neto]]-Tabla4[[#This Row],[20.85%]]-Tabla4[[#This Row],[Costo]]</f>
        <v>#N/A</v>
      </c>
      <c r="S2520" s="282" t="e">
        <f>++Tabla4[[#This Row],[U. Bruta Uni]]*Tabla4[[#This Row],[Cantidad]]</f>
        <v>#N/A</v>
      </c>
      <c r="T2520" s="369" t="str">
        <f>VLOOKUP(Tabla4[[#This Row],[Producto]],Tabla6[#All],14,FALSE)</f>
        <v>Termico Solar</v>
      </c>
      <c r="U2520" s="284" t="e">
        <f>(IF(Tabla4[[#This Row],[Familia]]="termico solar",Tabla4[[#This Row],[Utilidad Total]]*6%,Tabla4[[#This Row],[Utilidad Total]]*11.5%))/Tabla4[[#This Row],[Total]]</f>
        <v>#N/A</v>
      </c>
      <c r="V2520" s="282" t="e">
        <f>+Tabla4[[#This Row],[Comisión Calculada]]*Tabla4[[#This Row],[Total]]</f>
        <v>#N/A</v>
      </c>
    </row>
    <row r="2521" spans="1:22" hidden="1" x14ac:dyDescent="0.25">
      <c r="A2521" s="100">
        <v>45777</v>
      </c>
      <c r="B2521" t="str">
        <f t="shared" si="121"/>
        <v>April</v>
      </c>
      <c r="C2521" s="46" t="s">
        <v>280</v>
      </c>
      <c r="F2521" s="366" t="s">
        <v>1675</v>
      </c>
      <c r="G2521" s="46" t="s">
        <v>566</v>
      </c>
      <c r="H2521" s="46">
        <v>1</v>
      </c>
      <c r="I2521" s="51">
        <v>2109.4499999999998</v>
      </c>
      <c r="J2521" s="281">
        <f>++Tabla4[[#This Row],[Precio Bruto]]*1.16</f>
        <v>2446.9619999999995</v>
      </c>
      <c r="K2521" s="281">
        <f>+Tabla4[[#This Row],[Precio Unitario Neto]]*Tabla4[[#Headers],[20.85%]]</f>
        <v>510.19157699999988</v>
      </c>
      <c r="L2521" s="282">
        <f>++Tabla4[[#This Row],[Precio Unitario Neto]]-Tabla4[[#This Row],[20.85%]]</f>
        <v>1936.7704229999997</v>
      </c>
      <c r="M2521" s="282" t="e">
        <f>(INDEX(Tabla6[#All],MATCH(Tabla4[[#This Row],[Producto]],Tabla6[[#All],[PRODUCTO]],0),MATCH(Tabla4[[#This Row],[Mes]],Tabla6[#Headers],0)))*(1+Catalogos!$L$2)</f>
        <v>#N/A</v>
      </c>
      <c r="N2521" s="283" t="e">
        <f>+(Tabla4[[#This Row],[Precio Descontado]]-Tabla4[[#This Row],[Precio Base]])*Tabla4[[#This Row],[Cantidad]]</f>
        <v>#N/A</v>
      </c>
      <c r="O2521" s="284" t="e">
        <f>++Tabla4[[#This Row],[Utilidad Total]]/Tabla4[[#This Row],[Total]]</f>
        <v>#N/A</v>
      </c>
      <c r="P2521" s="282">
        <f>++Tabla4[[#This Row],[Precio Descontado]]*Tabla4[[#This Row],[Cantidad]]</f>
        <v>1936.7704229999997</v>
      </c>
      <c r="Q2521" s="282" t="e">
        <f>(INDEX(Tabla6[#All],MATCH(Tabla4[[#This Row],[Producto]],Tabla6[[#All],[PRODUCTO]],0),MATCH(Tabla4[[#This Row],[Mes]],Tabla6[#Headers],0)))</f>
        <v>#N/A</v>
      </c>
      <c r="R2521" s="282" t="e">
        <f>++Tabla4[[#This Row],[Precio Unitario Neto]]-Tabla4[[#This Row],[20.85%]]-Tabla4[[#This Row],[Costo]]</f>
        <v>#N/A</v>
      </c>
      <c r="S2521" s="282" t="e">
        <f>++Tabla4[[#This Row],[U. Bruta Uni]]*Tabla4[[#This Row],[Cantidad]]</f>
        <v>#N/A</v>
      </c>
      <c r="T2521" s="369" t="str">
        <f>VLOOKUP(Tabla4[[#This Row],[Producto]],Tabla6[#All],14,FALSE)</f>
        <v>Termico Solar</v>
      </c>
      <c r="U2521" s="284" t="e">
        <f>(IF(Tabla4[[#This Row],[Familia]]="termico solar",Tabla4[[#This Row],[Utilidad Total]]*6%,Tabla4[[#This Row],[Utilidad Total]]*11.5%))/Tabla4[[#This Row],[Total]]</f>
        <v>#N/A</v>
      </c>
      <c r="V2521" s="282" t="e">
        <f>+Tabla4[[#This Row],[Comisión Calculada]]*Tabla4[[#This Row],[Total]]</f>
        <v>#N/A</v>
      </c>
    </row>
    <row r="2522" spans="1:22" hidden="1" x14ac:dyDescent="0.25">
      <c r="A2522" s="100">
        <v>45777</v>
      </c>
      <c r="B2522" t="str">
        <f t="shared" si="121"/>
        <v>April</v>
      </c>
      <c r="C2522" s="46" t="s">
        <v>280</v>
      </c>
      <c r="F2522" s="366" t="s">
        <v>1676</v>
      </c>
      <c r="G2522" s="46" t="s">
        <v>208</v>
      </c>
      <c r="H2522" s="46">
        <v>1</v>
      </c>
      <c r="I2522" s="51">
        <v>189.75</v>
      </c>
      <c r="J2522" s="281">
        <f>++Tabla4[[#This Row],[Precio Bruto]]*1.16</f>
        <v>220.10999999999999</v>
      </c>
      <c r="K2522" s="281">
        <f>+Tabla4[[#This Row],[Precio Unitario Neto]]*Tabla4[[#Headers],[20.85%]]</f>
        <v>45.892934999999994</v>
      </c>
      <c r="L2522" s="282">
        <f>++Tabla4[[#This Row],[Precio Unitario Neto]]-Tabla4[[#This Row],[20.85%]]</f>
        <v>174.21706499999999</v>
      </c>
      <c r="M2522" s="282" t="e">
        <f>(INDEX(Tabla6[#All],MATCH(Tabla4[[#This Row],[Producto]],Tabla6[[#All],[PRODUCTO]],0),MATCH(Tabla4[[#This Row],[Mes]],Tabla6[#Headers],0)))*(1+Catalogos!$L$2)</f>
        <v>#N/A</v>
      </c>
      <c r="N2522" s="283" t="e">
        <f>+(Tabla4[[#This Row],[Precio Descontado]]-Tabla4[[#This Row],[Precio Base]])*Tabla4[[#This Row],[Cantidad]]</f>
        <v>#N/A</v>
      </c>
      <c r="O2522" s="284" t="e">
        <f>++Tabla4[[#This Row],[Utilidad Total]]/Tabla4[[#This Row],[Total]]</f>
        <v>#N/A</v>
      </c>
      <c r="P2522" s="282">
        <f>++Tabla4[[#This Row],[Precio Descontado]]*Tabla4[[#This Row],[Cantidad]]</f>
        <v>174.21706499999999</v>
      </c>
      <c r="Q2522" s="282" t="e">
        <f>(INDEX(Tabla6[#All],MATCH(Tabla4[[#This Row],[Producto]],Tabla6[[#All],[PRODUCTO]],0),MATCH(Tabla4[[#This Row],[Mes]],Tabla6[#Headers],0)))</f>
        <v>#N/A</v>
      </c>
      <c r="R2522" s="282" t="e">
        <f>++Tabla4[[#This Row],[Precio Unitario Neto]]-Tabla4[[#This Row],[20.85%]]-Tabla4[[#This Row],[Costo]]</f>
        <v>#N/A</v>
      </c>
      <c r="S2522" s="282" t="e">
        <f>++Tabla4[[#This Row],[U. Bruta Uni]]*Tabla4[[#This Row],[Cantidad]]</f>
        <v>#N/A</v>
      </c>
      <c r="T2522" s="369" t="str">
        <f>VLOOKUP(Tabla4[[#This Row],[Producto]],Tabla6[#All],14,FALSE)</f>
        <v>Termico Solar</v>
      </c>
      <c r="U2522" s="284" t="e">
        <f>(IF(Tabla4[[#This Row],[Familia]]="termico solar",Tabla4[[#This Row],[Utilidad Total]]*6%,Tabla4[[#This Row],[Utilidad Total]]*11.5%))/Tabla4[[#This Row],[Total]]</f>
        <v>#N/A</v>
      </c>
      <c r="V2522" s="282" t="e">
        <f>+Tabla4[[#This Row],[Comisión Calculada]]*Tabla4[[#This Row],[Total]]</f>
        <v>#N/A</v>
      </c>
    </row>
    <row r="2523" spans="1:22" hidden="1" x14ac:dyDescent="0.25">
      <c r="A2523" s="100">
        <v>45777</v>
      </c>
      <c r="B2523" t="str">
        <f t="shared" si="121"/>
        <v>April</v>
      </c>
      <c r="C2523" s="46" t="s">
        <v>280</v>
      </c>
      <c r="F2523" s="366" t="s">
        <v>1677</v>
      </c>
      <c r="G2523" s="46" t="s">
        <v>17</v>
      </c>
      <c r="H2523" s="46">
        <v>3</v>
      </c>
      <c r="I2523" s="51">
        <v>4622.28</v>
      </c>
      <c r="J2523" s="281">
        <f>++Tabla4[[#This Row],[Precio Bruto]]*1.16</f>
        <v>5361.8447999999989</v>
      </c>
      <c r="K2523" s="281">
        <f>+Tabla4[[#This Row],[Precio Unitario Neto]]*Tabla4[[#Headers],[20.85%]]</f>
        <v>1117.9446407999997</v>
      </c>
      <c r="L2523" s="282">
        <f>++Tabla4[[#This Row],[Precio Unitario Neto]]-Tabla4[[#This Row],[20.85%]]</f>
        <v>4243.9001591999995</v>
      </c>
      <c r="M2523" s="282" t="e">
        <f>(INDEX(Tabla6[#All],MATCH(Tabla4[[#This Row],[Producto]],Tabla6[[#All],[PRODUCTO]],0),MATCH(Tabla4[[#This Row],[Mes]],Tabla6[#Headers],0)))*(1+Catalogos!$L$2)</f>
        <v>#N/A</v>
      </c>
      <c r="N2523" s="283" t="e">
        <f>+(Tabla4[[#This Row],[Precio Descontado]]-Tabla4[[#This Row],[Precio Base]])*Tabla4[[#This Row],[Cantidad]]</f>
        <v>#N/A</v>
      </c>
      <c r="O2523" s="284" t="e">
        <f>++Tabla4[[#This Row],[Utilidad Total]]/Tabla4[[#This Row],[Total]]</f>
        <v>#N/A</v>
      </c>
      <c r="P2523" s="282">
        <f>++Tabla4[[#This Row],[Precio Descontado]]*Tabla4[[#This Row],[Cantidad]]</f>
        <v>12731.700477599999</v>
      </c>
      <c r="Q2523" s="282" t="e">
        <f>(INDEX(Tabla6[#All],MATCH(Tabla4[[#This Row],[Producto]],Tabla6[[#All],[PRODUCTO]],0),MATCH(Tabla4[[#This Row],[Mes]],Tabla6[#Headers],0)))</f>
        <v>#N/A</v>
      </c>
      <c r="R2523" s="282" t="e">
        <f>++Tabla4[[#This Row],[Precio Unitario Neto]]-Tabla4[[#This Row],[20.85%]]-Tabla4[[#This Row],[Costo]]</f>
        <v>#N/A</v>
      </c>
      <c r="S2523" s="282" t="e">
        <f>++Tabla4[[#This Row],[U. Bruta Uni]]*Tabla4[[#This Row],[Cantidad]]</f>
        <v>#N/A</v>
      </c>
      <c r="T2523" s="369" t="str">
        <f>VLOOKUP(Tabla4[[#This Row],[Producto]],Tabla6[#All],14,FALSE)</f>
        <v>Termico Solar</v>
      </c>
      <c r="U2523" s="284" t="e">
        <f>(IF(Tabla4[[#This Row],[Familia]]="termico solar",Tabla4[[#This Row],[Utilidad Total]]*6%,Tabla4[[#This Row],[Utilidad Total]]*11.5%))/Tabla4[[#This Row],[Total]]</f>
        <v>#N/A</v>
      </c>
      <c r="V2523" s="282" t="e">
        <f>+Tabla4[[#This Row],[Comisión Calculada]]*Tabla4[[#This Row],[Total]]</f>
        <v>#N/A</v>
      </c>
    </row>
    <row r="2524" spans="1:22" hidden="1" x14ac:dyDescent="0.25">
      <c r="A2524" s="100">
        <v>45777</v>
      </c>
      <c r="B2524" t="str">
        <f t="shared" si="121"/>
        <v>April</v>
      </c>
      <c r="C2524" s="46" t="s">
        <v>280</v>
      </c>
      <c r="F2524" s="366" t="s">
        <v>1677</v>
      </c>
      <c r="G2524" s="46" t="s">
        <v>18</v>
      </c>
      <c r="H2524" s="46">
        <v>1</v>
      </c>
      <c r="I2524" s="51">
        <v>5367.65</v>
      </c>
      <c r="J2524" s="281">
        <f>++Tabla4[[#This Row],[Precio Bruto]]*1.16</f>
        <v>6226.4739999999993</v>
      </c>
      <c r="K2524" s="281">
        <f>+Tabla4[[#This Row],[Precio Unitario Neto]]*Tabla4[[#Headers],[20.85%]]</f>
        <v>1298.2198289999999</v>
      </c>
      <c r="L2524" s="282">
        <f>++Tabla4[[#This Row],[Precio Unitario Neto]]-Tabla4[[#This Row],[20.85%]]</f>
        <v>4928.2541709999996</v>
      </c>
      <c r="M2524" s="282" t="e">
        <f>(INDEX(Tabla6[#All],MATCH(Tabla4[[#This Row],[Producto]],Tabla6[[#All],[PRODUCTO]],0),MATCH(Tabla4[[#This Row],[Mes]],Tabla6[#Headers],0)))*(1+Catalogos!$L$2)</f>
        <v>#N/A</v>
      </c>
      <c r="N2524" s="283" t="e">
        <f>+(Tabla4[[#This Row],[Precio Descontado]]-Tabla4[[#This Row],[Precio Base]])*Tabla4[[#This Row],[Cantidad]]</f>
        <v>#N/A</v>
      </c>
      <c r="O2524" s="284" t="e">
        <f>++Tabla4[[#This Row],[Utilidad Total]]/Tabla4[[#This Row],[Total]]</f>
        <v>#N/A</v>
      </c>
      <c r="P2524" s="282">
        <f>++Tabla4[[#This Row],[Precio Descontado]]*Tabla4[[#This Row],[Cantidad]]</f>
        <v>4928.2541709999996</v>
      </c>
      <c r="Q2524" s="282" t="e">
        <f>(INDEX(Tabla6[#All],MATCH(Tabla4[[#This Row],[Producto]],Tabla6[[#All],[PRODUCTO]],0),MATCH(Tabla4[[#This Row],[Mes]],Tabla6[#Headers],0)))</f>
        <v>#N/A</v>
      </c>
      <c r="R2524" s="282" t="e">
        <f>++Tabla4[[#This Row],[Precio Unitario Neto]]-Tabla4[[#This Row],[20.85%]]-Tabla4[[#This Row],[Costo]]</f>
        <v>#N/A</v>
      </c>
      <c r="S2524" s="282" t="e">
        <f>++Tabla4[[#This Row],[U. Bruta Uni]]*Tabla4[[#This Row],[Cantidad]]</f>
        <v>#N/A</v>
      </c>
      <c r="T2524" s="369" t="str">
        <f>VLOOKUP(Tabla4[[#This Row],[Producto]],Tabla6[#All],14,FALSE)</f>
        <v>Termico Solar</v>
      </c>
      <c r="U2524" s="284" t="e">
        <f>(IF(Tabla4[[#This Row],[Familia]]="termico solar",Tabla4[[#This Row],[Utilidad Total]]*6%,Tabla4[[#This Row],[Utilidad Total]]*11.5%))/Tabla4[[#This Row],[Total]]</f>
        <v>#N/A</v>
      </c>
      <c r="V2524" s="282" t="e">
        <f>+Tabla4[[#This Row],[Comisión Calculada]]*Tabla4[[#This Row],[Total]]</f>
        <v>#N/A</v>
      </c>
    </row>
    <row r="2525" spans="1:22" hidden="1" x14ac:dyDescent="0.25">
      <c r="A2525" s="100">
        <v>45777</v>
      </c>
      <c r="B2525" t="str">
        <f t="shared" si="121"/>
        <v>April</v>
      </c>
      <c r="C2525" s="46" t="s">
        <v>280</v>
      </c>
      <c r="F2525" s="366" t="s">
        <v>1677</v>
      </c>
      <c r="G2525" s="46" t="s">
        <v>16</v>
      </c>
      <c r="H2525" s="46">
        <v>1</v>
      </c>
      <c r="I2525" s="51">
        <v>4103.8500000000004</v>
      </c>
      <c r="J2525" s="281">
        <f>++Tabla4[[#This Row],[Precio Bruto]]*1.16</f>
        <v>4760.4660000000003</v>
      </c>
      <c r="K2525" s="281">
        <f>+Tabla4[[#This Row],[Precio Unitario Neto]]*Tabla4[[#Headers],[20.85%]]</f>
        <v>992.55716100000006</v>
      </c>
      <c r="L2525" s="282">
        <f>++Tabla4[[#This Row],[Precio Unitario Neto]]-Tabla4[[#This Row],[20.85%]]</f>
        <v>3767.9088390000002</v>
      </c>
      <c r="M2525" s="282" t="e">
        <f>(INDEX(Tabla6[#All],MATCH(Tabla4[[#This Row],[Producto]],Tabla6[[#All],[PRODUCTO]],0),MATCH(Tabla4[[#This Row],[Mes]],Tabla6[#Headers],0)))*(1+Catalogos!$L$2)</f>
        <v>#N/A</v>
      </c>
      <c r="N2525" s="283" t="e">
        <f>+(Tabla4[[#This Row],[Precio Descontado]]-Tabla4[[#This Row],[Precio Base]])*Tabla4[[#This Row],[Cantidad]]</f>
        <v>#N/A</v>
      </c>
      <c r="O2525" s="284" t="e">
        <f>++Tabla4[[#This Row],[Utilidad Total]]/Tabla4[[#This Row],[Total]]</f>
        <v>#N/A</v>
      </c>
      <c r="P2525" s="282">
        <f>++Tabla4[[#This Row],[Precio Descontado]]*Tabla4[[#This Row],[Cantidad]]</f>
        <v>3767.9088390000002</v>
      </c>
      <c r="Q2525" s="282" t="e">
        <f>(INDEX(Tabla6[#All],MATCH(Tabla4[[#This Row],[Producto]],Tabla6[[#All],[PRODUCTO]],0),MATCH(Tabla4[[#This Row],[Mes]],Tabla6[#Headers],0)))</f>
        <v>#N/A</v>
      </c>
      <c r="R2525" s="282" t="e">
        <f>++Tabla4[[#This Row],[Precio Unitario Neto]]-Tabla4[[#This Row],[20.85%]]-Tabla4[[#This Row],[Costo]]</f>
        <v>#N/A</v>
      </c>
      <c r="S2525" s="282" t="e">
        <f>++Tabla4[[#This Row],[U. Bruta Uni]]*Tabla4[[#This Row],[Cantidad]]</f>
        <v>#N/A</v>
      </c>
      <c r="T2525" s="369" t="str">
        <f>VLOOKUP(Tabla4[[#This Row],[Producto]],Tabla6[#All],14,FALSE)</f>
        <v>Termico Solar</v>
      </c>
      <c r="U2525" s="284" t="e">
        <f>(IF(Tabla4[[#This Row],[Familia]]="termico solar",Tabla4[[#This Row],[Utilidad Total]]*6%,Tabla4[[#This Row],[Utilidad Total]]*11.5%))/Tabla4[[#This Row],[Total]]</f>
        <v>#N/A</v>
      </c>
      <c r="V2525" s="282" t="e">
        <f>+Tabla4[[#This Row],[Comisión Calculada]]*Tabla4[[#This Row],[Total]]</f>
        <v>#N/A</v>
      </c>
    </row>
    <row r="2526" spans="1:22" hidden="1" x14ac:dyDescent="0.25">
      <c r="A2526" s="100">
        <v>45777</v>
      </c>
      <c r="B2526" t="str">
        <f t="shared" si="121"/>
        <v>April</v>
      </c>
      <c r="C2526" s="46" t="s">
        <v>280</v>
      </c>
      <c r="F2526" s="366" t="s">
        <v>1678</v>
      </c>
      <c r="G2526" s="46" t="s">
        <v>83</v>
      </c>
      <c r="H2526" s="46">
        <v>1</v>
      </c>
      <c r="I2526" s="51">
        <v>8858.76</v>
      </c>
      <c r="J2526" s="281">
        <f>++Tabla4[[#This Row],[Precio Bruto]]*1.16</f>
        <v>10276.161599999999</v>
      </c>
      <c r="K2526" s="281">
        <f>+Tabla4[[#This Row],[Precio Unitario Neto]]*Tabla4[[#Headers],[20.85%]]</f>
        <v>2142.5796935999997</v>
      </c>
      <c r="L2526" s="282">
        <f>++Tabla4[[#This Row],[Precio Unitario Neto]]-Tabla4[[#This Row],[20.85%]]</f>
        <v>8133.5819063999998</v>
      </c>
      <c r="M2526" s="282" t="e">
        <f>(INDEX(Tabla6[#All],MATCH(Tabla4[[#This Row],[Producto]],Tabla6[[#All],[PRODUCTO]],0),MATCH(Tabla4[[#This Row],[Mes]],Tabla6[#Headers],0)))*(1+Catalogos!$L$2)</f>
        <v>#N/A</v>
      </c>
      <c r="N2526" s="283" t="e">
        <f>+(Tabla4[[#This Row],[Precio Descontado]]-Tabla4[[#This Row],[Precio Base]])*Tabla4[[#This Row],[Cantidad]]</f>
        <v>#N/A</v>
      </c>
      <c r="O2526" s="284" t="e">
        <f>++Tabla4[[#This Row],[Utilidad Total]]/Tabla4[[#This Row],[Total]]</f>
        <v>#N/A</v>
      </c>
      <c r="P2526" s="282">
        <f>++Tabla4[[#This Row],[Precio Descontado]]*Tabla4[[#This Row],[Cantidad]]</f>
        <v>8133.5819063999998</v>
      </c>
      <c r="Q2526" s="282" t="e">
        <f>(INDEX(Tabla6[#All],MATCH(Tabla4[[#This Row],[Producto]],Tabla6[[#All],[PRODUCTO]],0),MATCH(Tabla4[[#This Row],[Mes]],Tabla6[#Headers],0)))</f>
        <v>#N/A</v>
      </c>
      <c r="R2526" s="282" t="e">
        <f>++Tabla4[[#This Row],[Precio Unitario Neto]]-Tabla4[[#This Row],[20.85%]]-Tabla4[[#This Row],[Costo]]</f>
        <v>#N/A</v>
      </c>
      <c r="S2526" s="282" t="e">
        <f>++Tabla4[[#This Row],[U. Bruta Uni]]*Tabla4[[#This Row],[Cantidad]]</f>
        <v>#N/A</v>
      </c>
      <c r="T2526" s="369" t="str">
        <f>VLOOKUP(Tabla4[[#This Row],[Producto]],Tabla6[#All],14,FALSE)</f>
        <v>Termico Solar</v>
      </c>
      <c r="U2526" s="284" t="e">
        <f>(IF(Tabla4[[#This Row],[Familia]]="termico solar",Tabla4[[#This Row],[Utilidad Total]]*6%,Tabla4[[#This Row],[Utilidad Total]]*11.5%))/Tabla4[[#This Row],[Total]]</f>
        <v>#N/A</v>
      </c>
      <c r="V2526" s="282" t="e">
        <f>+Tabla4[[#This Row],[Comisión Calculada]]*Tabla4[[#This Row],[Total]]</f>
        <v>#N/A</v>
      </c>
    </row>
    <row r="2527" spans="1:22" hidden="1" x14ac:dyDescent="0.25">
      <c r="A2527" s="100">
        <v>45777</v>
      </c>
      <c r="B2527" t="str">
        <f t="shared" si="121"/>
        <v>April</v>
      </c>
      <c r="C2527" s="46" t="s">
        <v>280</v>
      </c>
      <c r="F2527" s="366" t="s">
        <v>1678</v>
      </c>
      <c r="G2527" s="46" t="s">
        <v>17</v>
      </c>
      <c r="H2527" s="46">
        <v>1</v>
      </c>
      <c r="I2527" s="51">
        <v>4622.28</v>
      </c>
      <c r="J2527" s="281">
        <f>++Tabla4[[#This Row],[Precio Bruto]]*1.16</f>
        <v>5361.8447999999989</v>
      </c>
      <c r="K2527" s="281">
        <f>+Tabla4[[#This Row],[Precio Unitario Neto]]*Tabla4[[#Headers],[20.85%]]</f>
        <v>1117.9446407999997</v>
      </c>
      <c r="L2527" s="282">
        <f>++Tabla4[[#This Row],[Precio Unitario Neto]]-Tabla4[[#This Row],[20.85%]]</f>
        <v>4243.9001591999995</v>
      </c>
      <c r="M2527" s="282" t="e">
        <f>(INDEX(Tabla6[#All],MATCH(Tabla4[[#This Row],[Producto]],Tabla6[[#All],[PRODUCTO]],0),MATCH(Tabla4[[#This Row],[Mes]],Tabla6[#Headers],0)))*(1+Catalogos!$L$2)</f>
        <v>#N/A</v>
      </c>
      <c r="N2527" s="283" t="e">
        <f>+(Tabla4[[#This Row],[Precio Descontado]]-Tabla4[[#This Row],[Precio Base]])*Tabla4[[#This Row],[Cantidad]]</f>
        <v>#N/A</v>
      </c>
      <c r="O2527" s="284" t="e">
        <f>++Tabla4[[#This Row],[Utilidad Total]]/Tabla4[[#This Row],[Total]]</f>
        <v>#N/A</v>
      </c>
      <c r="P2527" s="282">
        <f>++Tabla4[[#This Row],[Precio Descontado]]*Tabla4[[#This Row],[Cantidad]]</f>
        <v>4243.9001591999995</v>
      </c>
      <c r="Q2527" s="282" t="e">
        <f>(INDEX(Tabla6[#All],MATCH(Tabla4[[#This Row],[Producto]],Tabla6[[#All],[PRODUCTO]],0),MATCH(Tabla4[[#This Row],[Mes]],Tabla6[#Headers],0)))</f>
        <v>#N/A</v>
      </c>
      <c r="R2527" s="282" t="e">
        <f>++Tabla4[[#This Row],[Precio Unitario Neto]]-Tabla4[[#This Row],[20.85%]]-Tabla4[[#This Row],[Costo]]</f>
        <v>#N/A</v>
      </c>
      <c r="S2527" s="282" t="e">
        <f>++Tabla4[[#This Row],[U. Bruta Uni]]*Tabla4[[#This Row],[Cantidad]]</f>
        <v>#N/A</v>
      </c>
      <c r="T2527" s="369" t="str">
        <f>VLOOKUP(Tabla4[[#This Row],[Producto]],Tabla6[#All],14,FALSE)</f>
        <v>Termico Solar</v>
      </c>
      <c r="U2527" s="284" t="e">
        <f>(IF(Tabla4[[#This Row],[Familia]]="termico solar",Tabla4[[#This Row],[Utilidad Total]]*6%,Tabla4[[#This Row],[Utilidad Total]]*11.5%))/Tabla4[[#This Row],[Total]]</f>
        <v>#N/A</v>
      </c>
      <c r="V2527" s="282" t="e">
        <f>+Tabla4[[#This Row],[Comisión Calculada]]*Tabla4[[#This Row],[Total]]</f>
        <v>#N/A</v>
      </c>
    </row>
    <row r="2528" spans="1:22" hidden="1" x14ac:dyDescent="0.25">
      <c r="A2528" s="100">
        <v>45777</v>
      </c>
      <c r="B2528" t="str">
        <f t="shared" si="121"/>
        <v>April</v>
      </c>
      <c r="C2528" s="46" t="s">
        <v>280</v>
      </c>
      <c r="F2528" s="366" t="s">
        <v>1678</v>
      </c>
      <c r="G2528" s="46" t="s">
        <v>394</v>
      </c>
      <c r="H2528" s="46">
        <v>9</v>
      </c>
      <c r="I2528" s="51">
        <v>108.1</v>
      </c>
      <c r="J2528" s="281">
        <f>++Tabla4[[#This Row],[Precio Bruto]]*1.16</f>
        <v>125.39599999999999</v>
      </c>
      <c r="K2528" s="281">
        <f>+Tabla4[[#This Row],[Precio Unitario Neto]]*Tabla4[[#Headers],[20.85%]]</f>
        <v>26.145065999999996</v>
      </c>
      <c r="L2528" s="282">
        <f>++Tabla4[[#This Row],[Precio Unitario Neto]]-Tabla4[[#This Row],[20.85%]]</f>
        <v>99.250933999999987</v>
      </c>
      <c r="M2528" s="282" t="e">
        <f>(INDEX(Tabla6[#All],MATCH(Tabla4[[#This Row],[Producto]],Tabla6[[#All],[PRODUCTO]],0),MATCH(Tabla4[[#This Row],[Mes]],Tabla6[#Headers],0)))*(1+Catalogos!$L$2)</f>
        <v>#N/A</v>
      </c>
      <c r="N2528" s="283" t="e">
        <f>+(Tabla4[[#This Row],[Precio Descontado]]-Tabla4[[#This Row],[Precio Base]])*Tabla4[[#This Row],[Cantidad]]</f>
        <v>#N/A</v>
      </c>
      <c r="O2528" s="284" t="e">
        <f>++Tabla4[[#This Row],[Utilidad Total]]/Tabla4[[#This Row],[Total]]</f>
        <v>#N/A</v>
      </c>
      <c r="P2528" s="282">
        <f>++Tabla4[[#This Row],[Precio Descontado]]*Tabla4[[#This Row],[Cantidad]]</f>
        <v>893.25840599999992</v>
      </c>
      <c r="Q2528" s="282" t="e">
        <f>(INDEX(Tabla6[#All],MATCH(Tabla4[[#This Row],[Producto]],Tabla6[[#All],[PRODUCTO]],0),MATCH(Tabla4[[#This Row],[Mes]],Tabla6[#Headers],0)))</f>
        <v>#N/A</v>
      </c>
      <c r="R2528" s="282" t="e">
        <f>++Tabla4[[#This Row],[Precio Unitario Neto]]-Tabla4[[#This Row],[20.85%]]-Tabla4[[#This Row],[Costo]]</f>
        <v>#N/A</v>
      </c>
      <c r="S2528" s="282" t="e">
        <f>++Tabla4[[#This Row],[U. Bruta Uni]]*Tabla4[[#This Row],[Cantidad]]</f>
        <v>#N/A</v>
      </c>
      <c r="T2528" s="369" t="str">
        <f>VLOOKUP(Tabla4[[#This Row],[Producto]],Tabla6[#All],14,FALSE)</f>
        <v>Termico Solar</v>
      </c>
      <c r="U2528" s="284" t="e">
        <f>(IF(Tabla4[[#This Row],[Familia]]="termico solar",Tabla4[[#This Row],[Utilidad Total]]*6%,Tabla4[[#This Row],[Utilidad Total]]*11.5%))/Tabla4[[#This Row],[Total]]</f>
        <v>#N/A</v>
      </c>
      <c r="V2528" s="282" t="e">
        <f>+Tabla4[[#This Row],[Comisión Calculada]]*Tabla4[[#This Row],[Total]]</f>
        <v>#N/A</v>
      </c>
    </row>
    <row r="2529" spans="1:22" hidden="1" x14ac:dyDescent="0.25">
      <c r="A2529" s="100">
        <v>45777</v>
      </c>
      <c r="B2529" t="str">
        <f t="shared" si="121"/>
        <v>April</v>
      </c>
      <c r="C2529" s="46" t="s">
        <v>280</v>
      </c>
      <c r="F2529" s="366" t="s">
        <v>1678</v>
      </c>
      <c r="G2529" s="46" t="s">
        <v>16</v>
      </c>
      <c r="H2529" s="46">
        <v>2</v>
      </c>
      <c r="I2529" s="51">
        <v>4103.8500000000004</v>
      </c>
      <c r="J2529" s="281">
        <f>++Tabla4[[#This Row],[Precio Bruto]]*1.16</f>
        <v>4760.4660000000003</v>
      </c>
      <c r="K2529" s="281">
        <f>+Tabla4[[#This Row],[Precio Unitario Neto]]*Tabla4[[#Headers],[20.85%]]</f>
        <v>992.55716100000006</v>
      </c>
      <c r="L2529" s="282">
        <f>++Tabla4[[#This Row],[Precio Unitario Neto]]-Tabla4[[#This Row],[20.85%]]</f>
        <v>3767.9088390000002</v>
      </c>
      <c r="M2529" s="282" t="e">
        <f>(INDEX(Tabla6[#All],MATCH(Tabla4[[#This Row],[Producto]],Tabla6[[#All],[PRODUCTO]],0),MATCH(Tabla4[[#This Row],[Mes]],Tabla6[#Headers],0)))*(1+Catalogos!$L$2)</f>
        <v>#N/A</v>
      </c>
      <c r="N2529" s="283" t="e">
        <f>+(Tabla4[[#This Row],[Precio Descontado]]-Tabla4[[#This Row],[Precio Base]])*Tabla4[[#This Row],[Cantidad]]</f>
        <v>#N/A</v>
      </c>
      <c r="O2529" s="284" t="e">
        <f>++Tabla4[[#This Row],[Utilidad Total]]/Tabla4[[#This Row],[Total]]</f>
        <v>#N/A</v>
      </c>
      <c r="P2529" s="282">
        <f>++Tabla4[[#This Row],[Precio Descontado]]*Tabla4[[#This Row],[Cantidad]]</f>
        <v>7535.8176780000003</v>
      </c>
      <c r="Q2529" s="282" t="e">
        <f>(INDEX(Tabla6[#All],MATCH(Tabla4[[#This Row],[Producto]],Tabla6[[#All],[PRODUCTO]],0),MATCH(Tabla4[[#This Row],[Mes]],Tabla6[#Headers],0)))</f>
        <v>#N/A</v>
      </c>
      <c r="R2529" s="282" t="e">
        <f>++Tabla4[[#This Row],[Precio Unitario Neto]]-Tabla4[[#This Row],[20.85%]]-Tabla4[[#This Row],[Costo]]</f>
        <v>#N/A</v>
      </c>
      <c r="S2529" s="282" t="e">
        <f>++Tabla4[[#This Row],[U. Bruta Uni]]*Tabla4[[#This Row],[Cantidad]]</f>
        <v>#N/A</v>
      </c>
      <c r="T2529" s="369" t="str">
        <f>VLOOKUP(Tabla4[[#This Row],[Producto]],Tabla6[#All],14,FALSE)</f>
        <v>Termico Solar</v>
      </c>
      <c r="U2529" s="284" t="e">
        <f>(IF(Tabla4[[#This Row],[Familia]]="termico solar",Tabla4[[#This Row],[Utilidad Total]]*6%,Tabla4[[#This Row],[Utilidad Total]]*11.5%))/Tabla4[[#This Row],[Total]]</f>
        <v>#N/A</v>
      </c>
      <c r="V2529" s="282" t="e">
        <f>+Tabla4[[#This Row],[Comisión Calculada]]*Tabla4[[#This Row],[Total]]</f>
        <v>#N/A</v>
      </c>
    </row>
    <row r="2530" spans="1:22" hidden="1" x14ac:dyDescent="0.25">
      <c r="A2530" s="100">
        <v>45777</v>
      </c>
      <c r="B2530" t="str">
        <f t="shared" si="121"/>
        <v>April</v>
      </c>
      <c r="C2530" s="46" t="s">
        <v>280</v>
      </c>
      <c r="F2530" s="366" t="s">
        <v>1679</v>
      </c>
      <c r="G2530" s="46" t="s">
        <v>17</v>
      </c>
      <c r="H2530" s="46">
        <v>3</v>
      </c>
      <c r="I2530" s="51">
        <v>4622.28</v>
      </c>
      <c r="J2530" s="281">
        <f>++Tabla4[[#This Row],[Precio Bruto]]*1.16</f>
        <v>5361.8447999999989</v>
      </c>
      <c r="K2530" s="281">
        <f>+Tabla4[[#This Row],[Precio Unitario Neto]]*Tabla4[[#Headers],[20.85%]]</f>
        <v>1117.9446407999997</v>
      </c>
      <c r="L2530" s="282">
        <f>++Tabla4[[#This Row],[Precio Unitario Neto]]-Tabla4[[#This Row],[20.85%]]</f>
        <v>4243.9001591999995</v>
      </c>
      <c r="M2530" s="282" t="e">
        <f>(INDEX(Tabla6[#All],MATCH(Tabla4[[#This Row],[Producto]],Tabla6[[#All],[PRODUCTO]],0),MATCH(Tabla4[[#This Row],[Mes]],Tabla6[#Headers],0)))*(1+Catalogos!$L$2)</f>
        <v>#N/A</v>
      </c>
      <c r="N2530" s="283" t="e">
        <f>+(Tabla4[[#This Row],[Precio Descontado]]-Tabla4[[#This Row],[Precio Base]])*Tabla4[[#This Row],[Cantidad]]</f>
        <v>#N/A</v>
      </c>
      <c r="O2530" s="284" t="e">
        <f>++Tabla4[[#This Row],[Utilidad Total]]/Tabla4[[#This Row],[Total]]</f>
        <v>#N/A</v>
      </c>
      <c r="P2530" s="282">
        <f>++Tabla4[[#This Row],[Precio Descontado]]*Tabla4[[#This Row],[Cantidad]]</f>
        <v>12731.700477599999</v>
      </c>
      <c r="Q2530" s="282" t="e">
        <f>(INDEX(Tabla6[#All],MATCH(Tabla4[[#This Row],[Producto]],Tabla6[[#All],[PRODUCTO]],0),MATCH(Tabla4[[#This Row],[Mes]],Tabla6[#Headers],0)))</f>
        <v>#N/A</v>
      </c>
      <c r="R2530" s="282" t="e">
        <f>++Tabla4[[#This Row],[Precio Unitario Neto]]-Tabla4[[#This Row],[20.85%]]-Tabla4[[#This Row],[Costo]]</f>
        <v>#N/A</v>
      </c>
      <c r="S2530" s="282" t="e">
        <f>++Tabla4[[#This Row],[U. Bruta Uni]]*Tabla4[[#This Row],[Cantidad]]</f>
        <v>#N/A</v>
      </c>
      <c r="T2530" s="369" t="str">
        <f>VLOOKUP(Tabla4[[#This Row],[Producto]],Tabla6[#All],14,FALSE)</f>
        <v>Termico Solar</v>
      </c>
      <c r="U2530" s="284" t="e">
        <f>(IF(Tabla4[[#This Row],[Familia]]="termico solar",Tabla4[[#This Row],[Utilidad Total]]*6%,Tabla4[[#This Row],[Utilidad Total]]*11.5%))/Tabla4[[#This Row],[Total]]</f>
        <v>#N/A</v>
      </c>
      <c r="V2530" s="282" t="e">
        <f>+Tabla4[[#This Row],[Comisión Calculada]]*Tabla4[[#This Row],[Total]]</f>
        <v>#N/A</v>
      </c>
    </row>
    <row r="2531" spans="1:22" hidden="1" x14ac:dyDescent="0.25">
      <c r="A2531" s="100">
        <v>45777</v>
      </c>
      <c r="B2531" t="str">
        <f t="shared" si="121"/>
        <v>April</v>
      </c>
      <c r="C2531" s="46" t="s">
        <v>280</v>
      </c>
      <c r="F2531" s="366" t="s">
        <v>1679</v>
      </c>
      <c r="G2531" s="46" t="s">
        <v>16</v>
      </c>
      <c r="H2531" s="46">
        <v>2</v>
      </c>
      <c r="I2531" s="51">
        <v>4103.8500000000004</v>
      </c>
      <c r="J2531" s="281">
        <f>++Tabla4[[#This Row],[Precio Bruto]]*1.16</f>
        <v>4760.4660000000003</v>
      </c>
      <c r="K2531" s="281">
        <f>+Tabla4[[#This Row],[Precio Unitario Neto]]*Tabla4[[#Headers],[20.85%]]</f>
        <v>992.55716100000006</v>
      </c>
      <c r="L2531" s="282">
        <f>++Tabla4[[#This Row],[Precio Unitario Neto]]-Tabla4[[#This Row],[20.85%]]</f>
        <v>3767.9088390000002</v>
      </c>
      <c r="M2531" s="282" t="e">
        <f>(INDEX(Tabla6[#All],MATCH(Tabla4[[#This Row],[Producto]],Tabla6[[#All],[PRODUCTO]],0),MATCH(Tabla4[[#This Row],[Mes]],Tabla6[#Headers],0)))*(1+Catalogos!$L$2)</f>
        <v>#N/A</v>
      </c>
      <c r="N2531" s="283" t="e">
        <f>+(Tabla4[[#This Row],[Precio Descontado]]-Tabla4[[#This Row],[Precio Base]])*Tabla4[[#This Row],[Cantidad]]</f>
        <v>#N/A</v>
      </c>
      <c r="O2531" s="284" t="e">
        <f>++Tabla4[[#This Row],[Utilidad Total]]/Tabla4[[#This Row],[Total]]</f>
        <v>#N/A</v>
      </c>
      <c r="P2531" s="282">
        <f>++Tabla4[[#This Row],[Precio Descontado]]*Tabla4[[#This Row],[Cantidad]]</f>
        <v>7535.8176780000003</v>
      </c>
      <c r="Q2531" s="282" t="e">
        <f>(INDEX(Tabla6[#All],MATCH(Tabla4[[#This Row],[Producto]],Tabla6[[#All],[PRODUCTO]],0),MATCH(Tabla4[[#This Row],[Mes]],Tabla6[#Headers],0)))</f>
        <v>#N/A</v>
      </c>
      <c r="R2531" s="282" t="e">
        <f>++Tabla4[[#This Row],[Precio Unitario Neto]]-Tabla4[[#This Row],[20.85%]]-Tabla4[[#This Row],[Costo]]</f>
        <v>#N/A</v>
      </c>
      <c r="S2531" s="282" t="e">
        <f>++Tabla4[[#This Row],[U. Bruta Uni]]*Tabla4[[#This Row],[Cantidad]]</f>
        <v>#N/A</v>
      </c>
      <c r="T2531" s="369" t="str">
        <f>VLOOKUP(Tabla4[[#This Row],[Producto]],Tabla6[#All],14,FALSE)</f>
        <v>Termico Solar</v>
      </c>
      <c r="U2531" s="284" t="e">
        <f>(IF(Tabla4[[#This Row],[Familia]]="termico solar",Tabla4[[#This Row],[Utilidad Total]]*6%,Tabla4[[#This Row],[Utilidad Total]]*11.5%))/Tabla4[[#This Row],[Total]]</f>
        <v>#N/A</v>
      </c>
      <c r="V2531" s="282" t="e">
        <f>+Tabla4[[#This Row],[Comisión Calculada]]*Tabla4[[#This Row],[Total]]</f>
        <v>#N/A</v>
      </c>
    </row>
    <row r="2532" spans="1:22" hidden="1" x14ac:dyDescent="0.25">
      <c r="A2532" s="100">
        <v>45777</v>
      </c>
      <c r="B2532" t="str">
        <f t="shared" si="121"/>
        <v>April</v>
      </c>
      <c r="C2532" s="46" t="s">
        <v>280</v>
      </c>
      <c r="F2532" s="366" t="s">
        <v>1680</v>
      </c>
      <c r="G2532" s="46" t="s">
        <v>18</v>
      </c>
      <c r="H2532" s="46">
        <v>2</v>
      </c>
      <c r="I2532" s="51">
        <v>5367.65</v>
      </c>
      <c r="J2532" s="281">
        <f>++Tabla4[[#This Row],[Precio Bruto]]*1.16</f>
        <v>6226.4739999999993</v>
      </c>
      <c r="K2532" s="281">
        <f>+Tabla4[[#This Row],[Precio Unitario Neto]]*Tabla4[[#Headers],[20.85%]]</f>
        <v>1298.2198289999999</v>
      </c>
      <c r="L2532" s="282">
        <f>++Tabla4[[#This Row],[Precio Unitario Neto]]-Tabla4[[#This Row],[20.85%]]</f>
        <v>4928.2541709999996</v>
      </c>
      <c r="M2532" s="282" t="e">
        <f>(INDEX(Tabla6[#All],MATCH(Tabla4[[#This Row],[Producto]],Tabla6[[#All],[PRODUCTO]],0),MATCH(Tabla4[[#This Row],[Mes]],Tabla6[#Headers],0)))*(1+Catalogos!$L$2)</f>
        <v>#N/A</v>
      </c>
      <c r="N2532" s="283" t="e">
        <f>+(Tabla4[[#This Row],[Precio Descontado]]-Tabla4[[#This Row],[Precio Base]])*Tabla4[[#This Row],[Cantidad]]</f>
        <v>#N/A</v>
      </c>
      <c r="O2532" s="284" t="e">
        <f>++Tabla4[[#This Row],[Utilidad Total]]/Tabla4[[#This Row],[Total]]</f>
        <v>#N/A</v>
      </c>
      <c r="P2532" s="282">
        <f>++Tabla4[[#This Row],[Precio Descontado]]*Tabla4[[#This Row],[Cantidad]]</f>
        <v>9856.5083419999992</v>
      </c>
      <c r="Q2532" s="282" t="e">
        <f>(INDEX(Tabla6[#All],MATCH(Tabla4[[#This Row],[Producto]],Tabla6[[#All],[PRODUCTO]],0),MATCH(Tabla4[[#This Row],[Mes]],Tabla6[#Headers],0)))</f>
        <v>#N/A</v>
      </c>
      <c r="R2532" s="282" t="e">
        <f>++Tabla4[[#This Row],[Precio Unitario Neto]]-Tabla4[[#This Row],[20.85%]]-Tabla4[[#This Row],[Costo]]</f>
        <v>#N/A</v>
      </c>
      <c r="S2532" s="282" t="e">
        <f>++Tabla4[[#This Row],[U. Bruta Uni]]*Tabla4[[#This Row],[Cantidad]]</f>
        <v>#N/A</v>
      </c>
      <c r="T2532" s="369" t="str">
        <f>VLOOKUP(Tabla4[[#This Row],[Producto]],Tabla6[#All],14,FALSE)</f>
        <v>Termico Solar</v>
      </c>
      <c r="U2532" s="284" t="e">
        <f>(IF(Tabla4[[#This Row],[Familia]]="termico solar",Tabla4[[#This Row],[Utilidad Total]]*6%,Tabla4[[#This Row],[Utilidad Total]]*11.5%))/Tabla4[[#This Row],[Total]]</f>
        <v>#N/A</v>
      </c>
      <c r="V2532" s="282" t="e">
        <f>+Tabla4[[#This Row],[Comisión Calculada]]*Tabla4[[#This Row],[Total]]</f>
        <v>#N/A</v>
      </c>
    </row>
    <row r="2533" spans="1:22" hidden="1" x14ac:dyDescent="0.25">
      <c r="A2533" s="100">
        <v>45777</v>
      </c>
      <c r="B2533" t="str">
        <f t="shared" si="121"/>
        <v>April</v>
      </c>
      <c r="C2533" s="46" t="s">
        <v>280</v>
      </c>
      <c r="F2533" s="366" t="s">
        <v>1680</v>
      </c>
      <c r="G2533" s="46" t="s">
        <v>566</v>
      </c>
      <c r="H2533" s="46">
        <v>2</v>
      </c>
      <c r="I2533" s="51">
        <v>2109.4499999999998</v>
      </c>
      <c r="J2533" s="281">
        <f>++Tabla4[[#This Row],[Precio Bruto]]*1.16</f>
        <v>2446.9619999999995</v>
      </c>
      <c r="K2533" s="281">
        <f>+Tabla4[[#This Row],[Precio Unitario Neto]]*Tabla4[[#Headers],[20.85%]]</f>
        <v>510.19157699999988</v>
      </c>
      <c r="L2533" s="282">
        <f>++Tabla4[[#This Row],[Precio Unitario Neto]]-Tabla4[[#This Row],[20.85%]]</f>
        <v>1936.7704229999997</v>
      </c>
      <c r="M2533" s="282" t="e">
        <f>(INDEX(Tabla6[#All],MATCH(Tabla4[[#This Row],[Producto]],Tabla6[[#All],[PRODUCTO]],0),MATCH(Tabla4[[#This Row],[Mes]],Tabla6[#Headers],0)))*(1+Catalogos!$L$2)</f>
        <v>#N/A</v>
      </c>
      <c r="N2533" s="283" t="e">
        <f>+(Tabla4[[#This Row],[Precio Descontado]]-Tabla4[[#This Row],[Precio Base]])*Tabla4[[#This Row],[Cantidad]]</f>
        <v>#N/A</v>
      </c>
      <c r="O2533" s="284" t="e">
        <f>++Tabla4[[#This Row],[Utilidad Total]]/Tabla4[[#This Row],[Total]]</f>
        <v>#N/A</v>
      </c>
      <c r="P2533" s="282">
        <f>++Tabla4[[#This Row],[Precio Descontado]]*Tabla4[[#This Row],[Cantidad]]</f>
        <v>3873.5408459999994</v>
      </c>
      <c r="Q2533" s="282" t="e">
        <f>(INDEX(Tabla6[#All],MATCH(Tabla4[[#This Row],[Producto]],Tabla6[[#All],[PRODUCTO]],0),MATCH(Tabla4[[#This Row],[Mes]],Tabla6[#Headers],0)))</f>
        <v>#N/A</v>
      </c>
      <c r="R2533" s="282" t="e">
        <f>++Tabla4[[#This Row],[Precio Unitario Neto]]-Tabla4[[#This Row],[20.85%]]-Tabla4[[#This Row],[Costo]]</f>
        <v>#N/A</v>
      </c>
      <c r="S2533" s="282" t="e">
        <f>++Tabla4[[#This Row],[U. Bruta Uni]]*Tabla4[[#This Row],[Cantidad]]</f>
        <v>#N/A</v>
      </c>
      <c r="T2533" s="369" t="str">
        <f>VLOOKUP(Tabla4[[#This Row],[Producto]],Tabla6[#All],14,FALSE)</f>
        <v>Termico Solar</v>
      </c>
      <c r="U2533" s="284" t="e">
        <f>(IF(Tabla4[[#This Row],[Familia]]="termico solar",Tabla4[[#This Row],[Utilidad Total]]*6%,Tabla4[[#This Row],[Utilidad Total]]*11.5%))/Tabla4[[#This Row],[Total]]</f>
        <v>#N/A</v>
      </c>
      <c r="V2533" s="282" t="e">
        <f>+Tabla4[[#This Row],[Comisión Calculada]]*Tabla4[[#This Row],[Total]]</f>
        <v>#N/A</v>
      </c>
    </row>
    <row r="2534" spans="1:22" hidden="1" x14ac:dyDescent="0.25">
      <c r="A2534" s="100">
        <v>45777</v>
      </c>
      <c r="B2534" t="str">
        <f t="shared" si="121"/>
        <v>April</v>
      </c>
      <c r="C2534" s="46" t="s">
        <v>280</v>
      </c>
      <c r="F2534" s="366" t="s">
        <v>1680</v>
      </c>
      <c r="G2534" s="46" t="s">
        <v>412</v>
      </c>
      <c r="H2534" s="46">
        <v>1</v>
      </c>
      <c r="I2534" s="51">
        <v>3240.84</v>
      </c>
      <c r="J2534" s="281">
        <f>++Tabla4[[#This Row],[Precio Bruto]]*1.16</f>
        <v>3759.3743999999997</v>
      </c>
      <c r="K2534" s="281">
        <f>+Tabla4[[#This Row],[Precio Unitario Neto]]*Tabla4[[#Headers],[20.85%]]</f>
        <v>783.82956239999987</v>
      </c>
      <c r="L2534" s="282">
        <f>++Tabla4[[#This Row],[Precio Unitario Neto]]-Tabla4[[#This Row],[20.85%]]</f>
        <v>2975.5448375999999</v>
      </c>
      <c r="M2534" s="282" t="e">
        <f>(INDEX(Tabla6[#All],MATCH(Tabla4[[#This Row],[Producto]],Tabla6[[#All],[PRODUCTO]],0),MATCH(Tabla4[[#This Row],[Mes]],Tabla6[#Headers],0)))*(1+Catalogos!$L$2)</f>
        <v>#N/A</v>
      </c>
      <c r="N2534" s="283" t="e">
        <f>+(Tabla4[[#This Row],[Precio Descontado]]-Tabla4[[#This Row],[Precio Base]])*Tabla4[[#This Row],[Cantidad]]</f>
        <v>#N/A</v>
      </c>
      <c r="O2534" s="284" t="e">
        <f>++Tabla4[[#This Row],[Utilidad Total]]/Tabla4[[#This Row],[Total]]</f>
        <v>#N/A</v>
      </c>
      <c r="P2534" s="282">
        <f>++Tabla4[[#This Row],[Precio Descontado]]*Tabla4[[#This Row],[Cantidad]]</f>
        <v>2975.5448375999999</v>
      </c>
      <c r="Q2534" s="282" t="e">
        <f>(INDEX(Tabla6[#All],MATCH(Tabla4[[#This Row],[Producto]],Tabla6[[#All],[PRODUCTO]],0),MATCH(Tabla4[[#This Row],[Mes]],Tabla6[#Headers],0)))</f>
        <v>#N/A</v>
      </c>
      <c r="R2534" s="282" t="e">
        <f>++Tabla4[[#This Row],[Precio Unitario Neto]]-Tabla4[[#This Row],[20.85%]]-Tabla4[[#This Row],[Costo]]</f>
        <v>#N/A</v>
      </c>
      <c r="S2534" s="282" t="e">
        <f>++Tabla4[[#This Row],[U. Bruta Uni]]*Tabla4[[#This Row],[Cantidad]]</f>
        <v>#N/A</v>
      </c>
      <c r="T2534" s="369" t="str">
        <f>VLOOKUP(Tabla4[[#This Row],[Producto]],Tabla6[#All],14,FALSE)</f>
        <v>Termico Solar</v>
      </c>
      <c r="U2534" s="284" t="e">
        <f>(IF(Tabla4[[#This Row],[Familia]]="termico solar",Tabla4[[#This Row],[Utilidad Total]]*6%,Tabla4[[#This Row],[Utilidad Total]]*11.5%))/Tabla4[[#This Row],[Total]]</f>
        <v>#N/A</v>
      </c>
      <c r="V2534" s="282" t="e">
        <f>+Tabla4[[#This Row],[Comisión Calculada]]*Tabla4[[#This Row],[Total]]</f>
        <v>#N/A</v>
      </c>
    </row>
    <row r="2535" spans="1:22" hidden="1" x14ac:dyDescent="0.25">
      <c r="A2535" s="100">
        <v>45777</v>
      </c>
      <c r="B2535" t="str">
        <f t="shared" si="121"/>
        <v>April</v>
      </c>
      <c r="C2535" s="46" t="s">
        <v>280</v>
      </c>
      <c r="F2535" s="366" t="s">
        <v>1681</v>
      </c>
      <c r="G2535" s="46" t="s">
        <v>17</v>
      </c>
      <c r="H2535" s="46">
        <v>1</v>
      </c>
      <c r="I2535" s="51">
        <v>4622.28</v>
      </c>
      <c r="J2535" s="281">
        <f>++Tabla4[[#This Row],[Precio Bruto]]*1.16</f>
        <v>5361.8447999999989</v>
      </c>
      <c r="K2535" s="281">
        <f>+Tabla4[[#This Row],[Precio Unitario Neto]]*Tabla4[[#Headers],[20.85%]]</f>
        <v>1117.9446407999997</v>
      </c>
      <c r="L2535" s="282">
        <f>++Tabla4[[#This Row],[Precio Unitario Neto]]-Tabla4[[#This Row],[20.85%]]</f>
        <v>4243.9001591999995</v>
      </c>
      <c r="M2535" s="282" t="e">
        <f>(INDEX(Tabla6[#All],MATCH(Tabla4[[#This Row],[Producto]],Tabla6[[#All],[PRODUCTO]],0),MATCH(Tabla4[[#This Row],[Mes]],Tabla6[#Headers],0)))*(1+Catalogos!$L$2)</f>
        <v>#N/A</v>
      </c>
      <c r="N2535" s="283" t="e">
        <f>+(Tabla4[[#This Row],[Precio Descontado]]-Tabla4[[#This Row],[Precio Base]])*Tabla4[[#This Row],[Cantidad]]</f>
        <v>#N/A</v>
      </c>
      <c r="O2535" s="284" t="e">
        <f>++Tabla4[[#This Row],[Utilidad Total]]/Tabla4[[#This Row],[Total]]</f>
        <v>#N/A</v>
      </c>
      <c r="P2535" s="282">
        <f>++Tabla4[[#This Row],[Precio Descontado]]*Tabla4[[#This Row],[Cantidad]]</f>
        <v>4243.9001591999995</v>
      </c>
      <c r="Q2535" s="282" t="e">
        <f>(INDEX(Tabla6[#All],MATCH(Tabla4[[#This Row],[Producto]],Tabla6[[#All],[PRODUCTO]],0),MATCH(Tabla4[[#This Row],[Mes]],Tabla6[#Headers],0)))</f>
        <v>#N/A</v>
      </c>
      <c r="R2535" s="282" t="e">
        <f>++Tabla4[[#This Row],[Precio Unitario Neto]]-Tabla4[[#This Row],[20.85%]]-Tabla4[[#This Row],[Costo]]</f>
        <v>#N/A</v>
      </c>
      <c r="S2535" s="282" t="e">
        <f>++Tabla4[[#This Row],[U. Bruta Uni]]*Tabla4[[#This Row],[Cantidad]]</f>
        <v>#N/A</v>
      </c>
      <c r="T2535" s="369" t="str">
        <f>VLOOKUP(Tabla4[[#This Row],[Producto]],Tabla6[#All],14,FALSE)</f>
        <v>Termico Solar</v>
      </c>
      <c r="U2535" s="284" t="e">
        <f>(IF(Tabla4[[#This Row],[Familia]]="termico solar",Tabla4[[#This Row],[Utilidad Total]]*6%,Tabla4[[#This Row],[Utilidad Total]]*11.5%))/Tabla4[[#This Row],[Total]]</f>
        <v>#N/A</v>
      </c>
      <c r="V2535" s="282" t="e">
        <f>+Tabla4[[#This Row],[Comisión Calculada]]*Tabla4[[#This Row],[Total]]</f>
        <v>#N/A</v>
      </c>
    </row>
    <row r="2536" spans="1:22" hidden="1" x14ac:dyDescent="0.25">
      <c r="A2536" s="100">
        <v>45777</v>
      </c>
      <c r="B2536" t="str">
        <f t="shared" si="121"/>
        <v>April</v>
      </c>
      <c r="C2536" s="46" t="s">
        <v>280</v>
      </c>
      <c r="F2536" s="366" t="s">
        <v>1681</v>
      </c>
      <c r="G2536" s="46" t="s">
        <v>19</v>
      </c>
      <c r="H2536" s="46">
        <v>1</v>
      </c>
      <c r="I2536" s="51">
        <v>6412.03</v>
      </c>
      <c r="J2536" s="281">
        <f>++Tabla4[[#This Row],[Precio Bruto]]*1.16</f>
        <v>7437.9547999999995</v>
      </c>
      <c r="K2536" s="281">
        <f>+Tabla4[[#This Row],[Precio Unitario Neto]]*Tabla4[[#Headers],[20.85%]]</f>
        <v>1550.8135757999999</v>
      </c>
      <c r="L2536" s="282">
        <f>++Tabla4[[#This Row],[Precio Unitario Neto]]-Tabla4[[#This Row],[20.85%]]</f>
        <v>5887.1412241999997</v>
      </c>
      <c r="M2536" s="282" t="e">
        <f>(INDEX(Tabla6[#All],MATCH(Tabla4[[#This Row],[Producto]],Tabla6[[#All],[PRODUCTO]],0),MATCH(Tabla4[[#This Row],[Mes]],Tabla6[#Headers],0)))*(1+Catalogos!$L$2)</f>
        <v>#N/A</v>
      </c>
      <c r="N2536" s="283" t="e">
        <f>+(Tabla4[[#This Row],[Precio Descontado]]-Tabla4[[#This Row],[Precio Base]])*Tabla4[[#This Row],[Cantidad]]</f>
        <v>#N/A</v>
      </c>
      <c r="O2536" s="284" t="e">
        <f>++Tabla4[[#This Row],[Utilidad Total]]/Tabla4[[#This Row],[Total]]</f>
        <v>#N/A</v>
      </c>
      <c r="P2536" s="282">
        <f>++Tabla4[[#This Row],[Precio Descontado]]*Tabla4[[#This Row],[Cantidad]]</f>
        <v>5887.1412241999997</v>
      </c>
      <c r="Q2536" s="282" t="e">
        <f>(INDEX(Tabla6[#All],MATCH(Tabla4[[#This Row],[Producto]],Tabla6[[#All],[PRODUCTO]],0),MATCH(Tabla4[[#This Row],[Mes]],Tabla6[#Headers],0)))</f>
        <v>#N/A</v>
      </c>
      <c r="R2536" s="282" t="e">
        <f>++Tabla4[[#This Row],[Precio Unitario Neto]]-Tabla4[[#This Row],[20.85%]]-Tabla4[[#This Row],[Costo]]</f>
        <v>#N/A</v>
      </c>
      <c r="S2536" s="282" t="e">
        <f>++Tabla4[[#This Row],[U. Bruta Uni]]*Tabla4[[#This Row],[Cantidad]]</f>
        <v>#N/A</v>
      </c>
      <c r="T2536" s="369" t="str">
        <f>VLOOKUP(Tabla4[[#This Row],[Producto]],Tabla6[#All],14,FALSE)</f>
        <v>Termico Solar</v>
      </c>
      <c r="U2536" s="284" t="e">
        <f>(IF(Tabla4[[#This Row],[Familia]]="termico solar",Tabla4[[#This Row],[Utilidad Total]]*6%,Tabla4[[#This Row],[Utilidad Total]]*11.5%))/Tabla4[[#This Row],[Total]]</f>
        <v>#N/A</v>
      </c>
      <c r="V2536" s="282" t="e">
        <f>+Tabla4[[#This Row],[Comisión Calculada]]*Tabla4[[#This Row],[Total]]</f>
        <v>#N/A</v>
      </c>
    </row>
    <row r="2537" spans="1:22" hidden="1" x14ac:dyDescent="0.25">
      <c r="A2537" s="100">
        <v>45777</v>
      </c>
      <c r="B2537" t="str">
        <f t="shared" si="121"/>
        <v>April</v>
      </c>
      <c r="C2537" s="46" t="s">
        <v>280</v>
      </c>
      <c r="F2537" s="366" t="s">
        <v>1681</v>
      </c>
      <c r="G2537" s="46" t="s">
        <v>16</v>
      </c>
      <c r="H2537" s="46">
        <v>2</v>
      </c>
      <c r="I2537" s="51">
        <v>4103.8500000000004</v>
      </c>
      <c r="J2537" s="281">
        <f>++Tabla4[[#This Row],[Precio Bruto]]*1.16</f>
        <v>4760.4660000000003</v>
      </c>
      <c r="K2537" s="281">
        <f>+Tabla4[[#This Row],[Precio Unitario Neto]]*Tabla4[[#Headers],[20.85%]]</f>
        <v>992.55716100000006</v>
      </c>
      <c r="L2537" s="282">
        <f>++Tabla4[[#This Row],[Precio Unitario Neto]]-Tabla4[[#This Row],[20.85%]]</f>
        <v>3767.9088390000002</v>
      </c>
      <c r="M2537" s="282" t="e">
        <f>(INDEX(Tabla6[#All],MATCH(Tabla4[[#This Row],[Producto]],Tabla6[[#All],[PRODUCTO]],0),MATCH(Tabla4[[#This Row],[Mes]],Tabla6[#Headers],0)))*(1+Catalogos!$L$2)</f>
        <v>#N/A</v>
      </c>
      <c r="N2537" s="283" t="e">
        <f>+(Tabla4[[#This Row],[Precio Descontado]]-Tabla4[[#This Row],[Precio Base]])*Tabla4[[#This Row],[Cantidad]]</f>
        <v>#N/A</v>
      </c>
      <c r="O2537" s="284" t="e">
        <f>++Tabla4[[#This Row],[Utilidad Total]]/Tabla4[[#This Row],[Total]]</f>
        <v>#N/A</v>
      </c>
      <c r="P2537" s="282">
        <f>++Tabla4[[#This Row],[Precio Descontado]]*Tabla4[[#This Row],[Cantidad]]</f>
        <v>7535.8176780000003</v>
      </c>
      <c r="Q2537" s="282" t="e">
        <f>(INDEX(Tabla6[#All],MATCH(Tabla4[[#This Row],[Producto]],Tabla6[[#All],[PRODUCTO]],0),MATCH(Tabla4[[#This Row],[Mes]],Tabla6[#Headers],0)))</f>
        <v>#N/A</v>
      </c>
      <c r="R2537" s="282" t="e">
        <f>++Tabla4[[#This Row],[Precio Unitario Neto]]-Tabla4[[#This Row],[20.85%]]-Tabla4[[#This Row],[Costo]]</f>
        <v>#N/A</v>
      </c>
      <c r="S2537" s="282" t="e">
        <f>++Tabla4[[#This Row],[U. Bruta Uni]]*Tabla4[[#This Row],[Cantidad]]</f>
        <v>#N/A</v>
      </c>
      <c r="T2537" s="369" t="str">
        <f>VLOOKUP(Tabla4[[#This Row],[Producto]],Tabla6[#All],14,FALSE)</f>
        <v>Termico Solar</v>
      </c>
      <c r="U2537" s="284" t="e">
        <f>(IF(Tabla4[[#This Row],[Familia]]="termico solar",Tabla4[[#This Row],[Utilidad Total]]*6%,Tabla4[[#This Row],[Utilidad Total]]*11.5%))/Tabla4[[#This Row],[Total]]</f>
        <v>#N/A</v>
      </c>
      <c r="V2537" s="282" t="e">
        <f>+Tabla4[[#This Row],[Comisión Calculada]]*Tabla4[[#This Row],[Total]]</f>
        <v>#N/A</v>
      </c>
    </row>
    <row r="2538" spans="1:22" hidden="1" x14ac:dyDescent="0.25">
      <c r="A2538" s="100">
        <v>45777</v>
      </c>
      <c r="B2538" t="str">
        <f t="shared" si="121"/>
        <v>April</v>
      </c>
      <c r="C2538" s="46" t="s">
        <v>280</v>
      </c>
      <c r="F2538" s="366" t="s">
        <v>1682</v>
      </c>
      <c r="G2538" s="46" t="s">
        <v>208</v>
      </c>
      <c r="H2538" s="46">
        <v>3</v>
      </c>
      <c r="I2538" s="51">
        <v>189.75</v>
      </c>
      <c r="J2538" s="281">
        <f>++Tabla4[[#This Row],[Precio Bruto]]*1.16</f>
        <v>220.10999999999999</v>
      </c>
      <c r="K2538" s="281">
        <f>+Tabla4[[#This Row],[Precio Unitario Neto]]*Tabla4[[#Headers],[20.85%]]</f>
        <v>45.892934999999994</v>
      </c>
      <c r="L2538" s="282">
        <f>++Tabla4[[#This Row],[Precio Unitario Neto]]-Tabla4[[#This Row],[20.85%]]</f>
        <v>174.21706499999999</v>
      </c>
      <c r="M2538" s="282" t="e">
        <f>(INDEX(Tabla6[#All],MATCH(Tabla4[[#This Row],[Producto]],Tabla6[[#All],[PRODUCTO]],0),MATCH(Tabla4[[#This Row],[Mes]],Tabla6[#Headers],0)))*(1+Catalogos!$L$2)</f>
        <v>#N/A</v>
      </c>
      <c r="N2538" s="283" t="e">
        <f>+(Tabla4[[#This Row],[Precio Descontado]]-Tabla4[[#This Row],[Precio Base]])*Tabla4[[#This Row],[Cantidad]]</f>
        <v>#N/A</v>
      </c>
      <c r="O2538" s="284" t="e">
        <f>++Tabla4[[#This Row],[Utilidad Total]]/Tabla4[[#This Row],[Total]]</f>
        <v>#N/A</v>
      </c>
      <c r="P2538" s="282">
        <f>++Tabla4[[#This Row],[Precio Descontado]]*Tabla4[[#This Row],[Cantidad]]</f>
        <v>522.65119499999992</v>
      </c>
      <c r="Q2538" s="282" t="e">
        <f>(INDEX(Tabla6[#All],MATCH(Tabla4[[#This Row],[Producto]],Tabla6[[#All],[PRODUCTO]],0),MATCH(Tabla4[[#This Row],[Mes]],Tabla6[#Headers],0)))</f>
        <v>#N/A</v>
      </c>
      <c r="R2538" s="282" t="e">
        <f>++Tabla4[[#This Row],[Precio Unitario Neto]]-Tabla4[[#This Row],[20.85%]]-Tabla4[[#This Row],[Costo]]</f>
        <v>#N/A</v>
      </c>
      <c r="S2538" s="282" t="e">
        <f>++Tabla4[[#This Row],[U. Bruta Uni]]*Tabla4[[#This Row],[Cantidad]]</f>
        <v>#N/A</v>
      </c>
      <c r="T2538" s="369" t="str">
        <f>VLOOKUP(Tabla4[[#This Row],[Producto]],Tabla6[#All],14,FALSE)</f>
        <v>Termico Solar</v>
      </c>
      <c r="U2538" s="284" t="e">
        <f>(IF(Tabla4[[#This Row],[Familia]]="termico solar",Tabla4[[#This Row],[Utilidad Total]]*6%,Tabla4[[#This Row],[Utilidad Total]]*11.5%))/Tabla4[[#This Row],[Total]]</f>
        <v>#N/A</v>
      </c>
      <c r="V2538" s="282" t="e">
        <f>+Tabla4[[#This Row],[Comisión Calculada]]*Tabla4[[#This Row],[Total]]</f>
        <v>#N/A</v>
      </c>
    </row>
    <row r="2539" spans="1:22" hidden="1" x14ac:dyDescent="0.25">
      <c r="A2539" s="100">
        <v>45777</v>
      </c>
      <c r="B2539" t="str">
        <f t="shared" si="121"/>
        <v>April</v>
      </c>
      <c r="C2539" s="46" t="s">
        <v>280</v>
      </c>
      <c r="F2539" s="366" t="s">
        <v>1683</v>
      </c>
      <c r="G2539" s="46" t="s">
        <v>17</v>
      </c>
      <c r="H2539" s="46">
        <v>2</v>
      </c>
      <c r="I2539" s="51">
        <v>4622.28</v>
      </c>
      <c r="J2539" s="281">
        <f>++Tabla4[[#This Row],[Precio Bruto]]*1.16</f>
        <v>5361.8447999999989</v>
      </c>
      <c r="K2539" s="281">
        <f>+Tabla4[[#This Row],[Precio Unitario Neto]]*Tabla4[[#Headers],[20.85%]]</f>
        <v>1117.9446407999997</v>
      </c>
      <c r="L2539" s="282">
        <f>++Tabla4[[#This Row],[Precio Unitario Neto]]-Tabla4[[#This Row],[20.85%]]</f>
        <v>4243.9001591999995</v>
      </c>
      <c r="M2539" s="282" t="e">
        <f>(INDEX(Tabla6[#All],MATCH(Tabla4[[#This Row],[Producto]],Tabla6[[#All],[PRODUCTO]],0),MATCH(Tabla4[[#This Row],[Mes]],Tabla6[#Headers],0)))*(1+Catalogos!$L$2)</f>
        <v>#N/A</v>
      </c>
      <c r="N2539" s="283" t="e">
        <f>+(Tabla4[[#This Row],[Precio Descontado]]-Tabla4[[#This Row],[Precio Base]])*Tabla4[[#This Row],[Cantidad]]</f>
        <v>#N/A</v>
      </c>
      <c r="O2539" s="284" t="e">
        <f>++Tabla4[[#This Row],[Utilidad Total]]/Tabla4[[#This Row],[Total]]</f>
        <v>#N/A</v>
      </c>
      <c r="P2539" s="282">
        <f>++Tabla4[[#This Row],[Precio Descontado]]*Tabla4[[#This Row],[Cantidad]]</f>
        <v>8487.800318399999</v>
      </c>
      <c r="Q2539" s="282" t="e">
        <f>(INDEX(Tabla6[#All],MATCH(Tabla4[[#This Row],[Producto]],Tabla6[[#All],[PRODUCTO]],0),MATCH(Tabla4[[#This Row],[Mes]],Tabla6[#Headers],0)))</f>
        <v>#N/A</v>
      </c>
      <c r="R2539" s="282" t="e">
        <f>++Tabla4[[#This Row],[Precio Unitario Neto]]-Tabla4[[#This Row],[20.85%]]-Tabla4[[#This Row],[Costo]]</f>
        <v>#N/A</v>
      </c>
      <c r="S2539" s="282" t="e">
        <f>++Tabla4[[#This Row],[U. Bruta Uni]]*Tabla4[[#This Row],[Cantidad]]</f>
        <v>#N/A</v>
      </c>
      <c r="T2539" s="369" t="str">
        <f>VLOOKUP(Tabla4[[#This Row],[Producto]],Tabla6[#All],14,FALSE)</f>
        <v>Termico Solar</v>
      </c>
      <c r="U2539" s="284" t="e">
        <f>(IF(Tabla4[[#This Row],[Familia]]="termico solar",Tabla4[[#This Row],[Utilidad Total]]*6%,Tabla4[[#This Row],[Utilidad Total]]*11.5%))/Tabla4[[#This Row],[Total]]</f>
        <v>#N/A</v>
      </c>
      <c r="V2539" s="282" t="e">
        <f>+Tabla4[[#This Row],[Comisión Calculada]]*Tabla4[[#This Row],[Total]]</f>
        <v>#N/A</v>
      </c>
    </row>
    <row r="2540" spans="1:22" hidden="1" x14ac:dyDescent="0.25">
      <c r="A2540" s="100">
        <v>45777</v>
      </c>
      <c r="B2540" t="str">
        <f t="shared" si="121"/>
        <v>April</v>
      </c>
      <c r="C2540" s="46" t="s">
        <v>280</v>
      </c>
      <c r="F2540" s="366" t="s">
        <v>1683</v>
      </c>
      <c r="G2540" s="46" t="s">
        <v>18</v>
      </c>
      <c r="H2540" s="46">
        <v>2</v>
      </c>
      <c r="I2540" s="51">
        <v>5367.65</v>
      </c>
      <c r="J2540" s="281">
        <f>++Tabla4[[#This Row],[Precio Bruto]]*1.16</f>
        <v>6226.4739999999993</v>
      </c>
      <c r="K2540" s="281">
        <f>+Tabla4[[#This Row],[Precio Unitario Neto]]*Tabla4[[#Headers],[20.85%]]</f>
        <v>1298.2198289999999</v>
      </c>
      <c r="L2540" s="282">
        <f>++Tabla4[[#This Row],[Precio Unitario Neto]]-Tabla4[[#This Row],[20.85%]]</f>
        <v>4928.2541709999996</v>
      </c>
      <c r="M2540" s="282" t="e">
        <f>(INDEX(Tabla6[#All],MATCH(Tabla4[[#This Row],[Producto]],Tabla6[[#All],[PRODUCTO]],0),MATCH(Tabla4[[#This Row],[Mes]],Tabla6[#Headers],0)))*(1+Catalogos!$L$2)</f>
        <v>#N/A</v>
      </c>
      <c r="N2540" s="283" t="e">
        <f>+(Tabla4[[#This Row],[Precio Descontado]]-Tabla4[[#This Row],[Precio Base]])*Tabla4[[#This Row],[Cantidad]]</f>
        <v>#N/A</v>
      </c>
      <c r="O2540" s="284" t="e">
        <f>++Tabla4[[#This Row],[Utilidad Total]]/Tabla4[[#This Row],[Total]]</f>
        <v>#N/A</v>
      </c>
      <c r="P2540" s="282">
        <f>++Tabla4[[#This Row],[Precio Descontado]]*Tabla4[[#This Row],[Cantidad]]</f>
        <v>9856.5083419999992</v>
      </c>
      <c r="Q2540" s="282" t="e">
        <f>(INDEX(Tabla6[#All],MATCH(Tabla4[[#This Row],[Producto]],Tabla6[[#All],[PRODUCTO]],0),MATCH(Tabla4[[#This Row],[Mes]],Tabla6[#Headers],0)))</f>
        <v>#N/A</v>
      </c>
      <c r="R2540" s="282" t="e">
        <f>++Tabla4[[#This Row],[Precio Unitario Neto]]-Tabla4[[#This Row],[20.85%]]-Tabla4[[#This Row],[Costo]]</f>
        <v>#N/A</v>
      </c>
      <c r="S2540" s="282" t="e">
        <f>++Tabla4[[#This Row],[U. Bruta Uni]]*Tabla4[[#This Row],[Cantidad]]</f>
        <v>#N/A</v>
      </c>
      <c r="T2540" s="369" t="str">
        <f>VLOOKUP(Tabla4[[#This Row],[Producto]],Tabla6[#All],14,FALSE)</f>
        <v>Termico Solar</v>
      </c>
      <c r="U2540" s="284" t="e">
        <f>(IF(Tabla4[[#This Row],[Familia]]="termico solar",Tabla4[[#This Row],[Utilidad Total]]*6%,Tabla4[[#This Row],[Utilidad Total]]*11.5%))/Tabla4[[#This Row],[Total]]</f>
        <v>#N/A</v>
      </c>
      <c r="V2540" s="282" t="e">
        <f>+Tabla4[[#This Row],[Comisión Calculada]]*Tabla4[[#This Row],[Total]]</f>
        <v>#N/A</v>
      </c>
    </row>
    <row r="2541" spans="1:22" hidden="1" x14ac:dyDescent="0.25">
      <c r="A2541" s="100">
        <v>45777</v>
      </c>
      <c r="B2541" t="str">
        <f t="shared" si="121"/>
        <v>April</v>
      </c>
      <c r="C2541" s="46" t="s">
        <v>280</v>
      </c>
      <c r="F2541" s="366" t="s">
        <v>1683</v>
      </c>
      <c r="G2541" s="46" t="s">
        <v>19</v>
      </c>
      <c r="H2541" s="46">
        <v>1</v>
      </c>
      <c r="I2541" s="51">
        <v>6412.03</v>
      </c>
      <c r="J2541" s="281">
        <f>++Tabla4[[#This Row],[Precio Bruto]]*1.16</f>
        <v>7437.9547999999995</v>
      </c>
      <c r="K2541" s="281">
        <f>+Tabla4[[#This Row],[Precio Unitario Neto]]*Tabla4[[#Headers],[20.85%]]</f>
        <v>1550.8135757999999</v>
      </c>
      <c r="L2541" s="282">
        <f>++Tabla4[[#This Row],[Precio Unitario Neto]]-Tabla4[[#This Row],[20.85%]]</f>
        <v>5887.1412241999997</v>
      </c>
      <c r="M2541" s="282" t="e">
        <f>(INDEX(Tabla6[#All],MATCH(Tabla4[[#This Row],[Producto]],Tabla6[[#All],[PRODUCTO]],0),MATCH(Tabla4[[#This Row],[Mes]],Tabla6[#Headers],0)))*(1+Catalogos!$L$2)</f>
        <v>#N/A</v>
      </c>
      <c r="N2541" s="283" t="e">
        <f>+(Tabla4[[#This Row],[Precio Descontado]]-Tabla4[[#This Row],[Precio Base]])*Tabla4[[#This Row],[Cantidad]]</f>
        <v>#N/A</v>
      </c>
      <c r="O2541" s="284" t="e">
        <f>++Tabla4[[#This Row],[Utilidad Total]]/Tabla4[[#This Row],[Total]]</f>
        <v>#N/A</v>
      </c>
      <c r="P2541" s="282">
        <f>++Tabla4[[#This Row],[Precio Descontado]]*Tabla4[[#This Row],[Cantidad]]</f>
        <v>5887.1412241999997</v>
      </c>
      <c r="Q2541" s="282" t="e">
        <f>(INDEX(Tabla6[#All],MATCH(Tabla4[[#This Row],[Producto]],Tabla6[[#All],[PRODUCTO]],0),MATCH(Tabla4[[#This Row],[Mes]],Tabla6[#Headers],0)))</f>
        <v>#N/A</v>
      </c>
      <c r="R2541" s="282" t="e">
        <f>++Tabla4[[#This Row],[Precio Unitario Neto]]-Tabla4[[#This Row],[20.85%]]-Tabla4[[#This Row],[Costo]]</f>
        <v>#N/A</v>
      </c>
      <c r="S2541" s="282" t="e">
        <f>++Tabla4[[#This Row],[U. Bruta Uni]]*Tabla4[[#This Row],[Cantidad]]</f>
        <v>#N/A</v>
      </c>
      <c r="T2541" s="369" t="str">
        <f>VLOOKUP(Tabla4[[#This Row],[Producto]],Tabla6[#All],14,FALSE)</f>
        <v>Termico Solar</v>
      </c>
      <c r="U2541" s="284" t="e">
        <f>(IF(Tabla4[[#This Row],[Familia]]="termico solar",Tabla4[[#This Row],[Utilidad Total]]*6%,Tabla4[[#This Row],[Utilidad Total]]*11.5%))/Tabla4[[#This Row],[Total]]</f>
        <v>#N/A</v>
      </c>
      <c r="V2541" s="282" t="e">
        <f>+Tabla4[[#This Row],[Comisión Calculada]]*Tabla4[[#This Row],[Total]]</f>
        <v>#N/A</v>
      </c>
    </row>
    <row r="2542" spans="1:22" hidden="1" x14ac:dyDescent="0.25">
      <c r="A2542" s="100">
        <v>45777</v>
      </c>
      <c r="B2542" t="str">
        <f t="shared" si="121"/>
        <v>April</v>
      </c>
      <c r="C2542" s="46" t="s">
        <v>280</v>
      </c>
      <c r="F2542" s="366" t="s">
        <v>1683</v>
      </c>
      <c r="G2542" s="46" t="s">
        <v>566</v>
      </c>
      <c r="H2542" s="46">
        <v>2</v>
      </c>
      <c r="I2542" s="51">
        <v>2109.4499999999998</v>
      </c>
      <c r="J2542" s="281">
        <f>++Tabla4[[#This Row],[Precio Bruto]]*1.16</f>
        <v>2446.9619999999995</v>
      </c>
      <c r="K2542" s="281">
        <f>+Tabla4[[#This Row],[Precio Unitario Neto]]*Tabla4[[#Headers],[20.85%]]</f>
        <v>510.19157699999988</v>
      </c>
      <c r="L2542" s="282">
        <f>++Tabla4[[#This Row],[Precio Unitario Neto]]-Tabla4[[#This Row],[20.85%]]</f>
        <v>1936.7704229999997</v>
      </c>
      <c r="M2542" s="282" t="e">
        <f>(INDEX(Tabla6[#All],MATCH(Tabla4[[#This Row],[Producto]],Tabla6[[#All],[PRODUCTO]],0),MATCH(Tabla4[[#This Row],[Mes]],Tabla6[#Headers],0)))*(1+Catalogos!$L$2)</f>
        <v>#N/A</v>
      </c>
      <c r="N2542" s="283" t="e">
        <f>+(Tabla4[[#This Row],[Precio Descontado]]-Tabla4[[#This Row],[Precio Base]])*Tabla4[[#This Row],[Cantidad]]</f>
        <v>#N/A</v>
      </c>
      <c r="O2542" s="284" t="e">
        <f>++Tabla4[[#This Row],[Utilidad Total]]/Tabla4[[#This Row],[Total]]</f>
        <v>#N/A</v>
      </c>
      <c r="P2542" s="282">
        <f>++Tabla4[[#This Row],[Precio Descontado]]*Tabla4[[#This Row],[Cantidad]]</f>
        <v>3873.5408459999994</v>
      </c>
      <c r="Q2542" s="282" t="e">
        <f>(INDEX(Tabla6[#All],MATCH(Tabla4[[#This Row],[Producto]],Tabla6[[#All],[PRODUCTO]],0),MATCH(Tabla4[[#This Row],[Mes]],Tabla6[#Headers],0)))</f>
        <v>#N/A</v>
      </c>
      <c r="R2542" s="282" t="e">
        <f>++Tabla4[[#This Row],[Precio Unitario Neto]]-Tabla4[[#This Row],[20.85%]]-Tabla4[[#This Row],[Costo]]</f>
        <v>#N/A</v>
      </c>
      <c r="S2542" s="282" t="e">
        <f>++Tabla4[[#This Row],[U. Bruta Uni]]*Tabla4[[#This Row],[Cantidad]]</f>
        <v>#N/A</v>
      </c>
      <c r="T2542" s="369" t="str">
        <f>VLOOKUP(Tabla4[[#This Row],[Producto]],Tabla6[#All],14,FALSE)</f>
        <v>Termico Solar</v>
      </c>
      <c r="U2542" s="284" t="e">
        <f>(IF(Tabla4[[#This Row],[Familia]]="termico solar",Tabla4[[#This Row],[Utilidad Total]]*6%,Tabla4[[#This Row],[Utilidad Total]]*11.5%))/Tabla4[[#This Row],[Total]]</f>
        <v>#N/A</v>
      </c>
      <c r="V2542" s="282" t="e">
        <f>+Tabla4[[#This Row],[Comisión Calculada]]*Tabla4[[#This Row],[Total]]</f>
        <v>#N/A</v>
      </c>
    </row>
    <row r="2543" spans="1:22" hidden="1" x14ac:dyDescent="0.25">
      <c r="A2543" s="100">
        <v>45777</v>
      </c>
      <c r="B2543" t="str">
        <f t="shared" si="121"/>
        <v>April</v>
      </c>
      <c r="C2543" s="46" t="s">
        <v>280</v>
      </c>
      <c r="F2543" s="366" t="s">
        <v>1684</v>
      </c>
      <c r="G2543" s="46" t="s">
        <v>83</v>
      </c>
      <c r="H2543" s="46">
        <v>2</v>
      </c>
      <c r="I2543" s="51">
        <v>8858.76</v>
      </c>
      <c r="J2543" s="281">
        <f>++Tabla4[[#This Row],[Precio Bruto]]*1.16</f>
        <v>10276.161599999999</v>
      </c>
      <c r="K2543" s="281">
        <f>+Tabla4[[#This Row],[Precio Unitario Neto]]*Tabla4[[#Headers],[20.85%]]</f>
        <v>2142.5796935999997</v>
      </c>
      <c r="L2543" s="282">
        <f>++Tabla4[[#This Row],[Precio Unitario Neto]]-Tabla4[[#This Row],[20.85%]]</f>
        <v>8133.5819063999998</v>
      </c>
      <c r="M2543" s="282" t="e">
        <f>(INDEX(Tabla6[#All],MATCH(Tabla4[[#This Row],[Producto]],Tabla6[[#All],[PRODUCTO]],0),MATCH(Tabla4[[#This Row],[Mes]],Tabla6[#Headers],0)))*(1+Catalogos!$L$2)</f>
        <v>#N/A</v>
      </c>
      <c r="N2543" s="283" t="e">
        <f>+(Tabla4[[#This Row],[Precio Descontado]]-Tabla4[[#This Row],[Precio Base]])*Tabla4[[#This Row],[Cantidad]]</f>
        <v>#N/A</v>
      </c>
      <c r="O2543" s="284" t="e">
        <f>++Tabla4[[#This Row],[Utilidad Total]]/Tabla4[[#This Row],[Total]]</f>
        <v>#N/A</v>
      </c>
      <c r="P2543" s="282">
        <f>++Tabla4[[#This Row],[Precio Descontado]]*Tabla4[[#This Row],[Cantidad]]</f>
        <v>16267.1638128</v>
      </c>
      <c r="Q2543" s="282" t="e">
        <f>(INDEX(Tabla6[#All],MATCH(Tabla4[[#This Row],[Producto]],Tabla6[[#All],[PRODUCTO]],0),MATCH(Tabla4[[#This Row],[Mes]],Tabla6[#Headers],0)))</f>
        <v>#N/A</v>
      </c>
      <c r="R2543" s="282" t="e">
        <f>++Tabla4[[#This Row],[Precio Unitario Neto]]-Tabla4[[#This Row],[20.85%]]-Tabla4[[#This Row],[Costo]]</f>
        <v>#N/A</v>
      </c>
      <c r="S2543" s="282" t="e">
        <f>++Tabla4[[#This Row],[U. Bruta Uni]]*Tabla4[[#This Row],[Cantidad]]</f>
        <v>#N/A</v>
      </c>
      <c r="T2543" s="369" t="str">
        <f>VLOOKUP(Tabla4[[#This Row],[Producto]],Tabla6[#All],14,FALSE)</f>
        <v>Termico Solar</v>
      </c>
      <c r="U2543" s="284" t="e">
        <f>(IF(Tabla4[[#This Row],[Familia]]="termico solar",Tabla4[[#This Row],[Utilidad Total]]*6%,Tabla4[[#This Row],[Utilidad Total]]*11.5%))/Tabla4[[#This Row],[Total]]</f>
        <v>#N/A</v>
      </c>
      <c r="V2543" s="282" t="e">
        <f>+Tabla4[[#This Row],[Comisión Calculada]]*Tabla4[[#This Row],[Total]]</f>
        <v>#N/A</v>
      </c>
    </row>
    <row r="2544" spans="1:22" hidden="1" x14ac:dyDescent="0.25">
      <c r="A2544" s="100">
        <v>45777</v>
      </c>
      <c r="B2544" t="str">
        <f t="shared" si="121"/>
        <v>April</v>
      </c>
      <c r="C2544" s="46" t="s">
        <v>280</v>
      </c>
      <c r="F2544" s="366" t="s">
        <v>1684</v>
      </c>
      <c r="G2544" s="46" t="s">
        <v>566</v>
      </c>
      <c r="H2544" s="46">
        <v>2</v>
      </c>
      <c r="I2544" s="51">
        <v>2109.4499999999998</v>
      </c>
      <c r="J2544" s="281">
        <f>++Tabla4[[#This Row],[Precio Bruto]]*1.16</f>
        <v>2446.9619999999995</v>
      </c>
      <c r="K2544" s="281">
        <f>+Tabla4[[#This Row],[Precio Unitario Neto]]*Tabla4[[#Headers],[20.85%]]</f>
        <v>510.19157699999988</v>
      </c>
      <c r="L2544" s="282">
        <f>++Tabla4[[#This Row],[Precio Unitario Neto]]-Tabla4[[#This Row],[20.85%]]</f>
        <v>1936.7704229999997</v>
      </c>
      <c r="M2544" s="282" t="e">
        <f>(INDEX(Tabla6[#All],MATCH(Tabla4[[#This Row],[Producto]],Tabla6[[#All],[PRODUCTO]],0),MATCH(Tabla4[[#This Row],[Mes]],Tabla6[#Headers],0)))*(1+Catalogos!$L$2)</f>
        <v>#N/A</v>
      </c>
      <c r="N2544" s="283" t="e">
        <f>+(Tabla4[[#This Row],[Precio Descontado]]-Tabla4[[#This Row],[Precio Base]])*Tabla4[[#This Row],[Cantidad]]</f>
        <v>#N/A</v>
      </c>
      <c r="O2544" s="284" t="e">
        <f>++Tabla4[[#This Row],[Utilidad Total]]/Tabla4[[#This Row],[Total]]</f>
        <v>#N/A</v>
      </c>
      <c r="P2544" s="282">
        <f>++Tabla4[[#This Row],[Precio Descontado]]*Tabla4[[#This Row],[Cantidad]]</f>
        <v>3873.5408459999994</v>
      </c>
      <c r="Q2544" s="282" t="e">
        <f>(INDEX(Tabla6[#All],MATCH(Tabla4[[#This Row],[Producto]],Tabla6[[#All],[PRODUCTO]],0),MATCH(Tabla4[[#This Row],[Mes]],Tabla6[#Headers],0)))</f>
        <v>#N/A</v>
      </c>
      <c r="R2544" s="282" t="e">
        <f>++Tabla4[[#This Row],[Precio Unitario Neto]]-Tabla4[[#This Row],[20.85%]]-Tabla4[[#This Row],[Costo]]</f>
        <v>#N/A</v>
      </c>
      <c r="S2544" s="282" t="e">
        <f>++Tabla4[[#This Row],[U. Bruta Uni]]*Tabla4[[#This Row],[Cantidad]]</f>
        <v>#N/A</v>
      </c>
      <c r="T2544" s="369" t="str">
        <f>VLOOKUP(Tabla4[[#This Row],[Producto]],Tabla6[#All],14,FALSE)</f>
        <v>Termico Solar</v>
      </c>
      <c r="U2544" s="284" t="e">
        <f>(IF(Tabla4[[#This Row],[Familia]]="termico solar",Tabla4[[#This Row],[Utilidad Total]]*6%,Tabla4[[#This Row],[Utilidad Total]]*11.5%))/Tabla4[[#This Row],[Total]]</f>
        <v>#N/A</v>
      </c>
      <c r="V2544" s="282" t="e">
        <f>+Tabla4[[#This Row],[Comisión Calculada]]*Tabla4[[#This Row],[Total]]</f>
        <v>#N/A</v>
      </c>
    </row>
    <row r="2545" spans="1:22" hidden="1" x14ac:dyDescent="0.25">
      <c r="A2545" s="100">
        <v>45777</v>
      </c>
      <c r="B2545" t="str">
        <f t="shared" si="121"/>
        <v>April</v>
      </c>
      <c r="C2545" s="46" t="s">
        <v>280</v>
      </c>
      <c r="F2545" s="366" t="s">
        <v>1685</v>
      </c>
      <c r="G2545" s="46" t="s">
        <v>17</v>
      </c>
      <c r="H2545" s="46">
        <v>5</v>
      </c>
      <c r="I2545" s="51">
        <v>4622.2800000000007</v>
      </c>
      <c r="J2545" s="281">
        <f>++Tabla4[[#This Row],[Precio Bruto]]*1.16</f>
        <v>5361.8448000000008</v>
      </c>
      <c r="K2545" s="281">
        <f>+Tabla4[[#This Row],[Precio Unitario Neto]]*Tabla4[[#Headers],[20.85%]]</f>
        <v>1117.9446408000001</v>
      </c>
      <c r="L2545" s="282">
        <f>++Tabla4[[#This Row],[Precio Unitario Neto]]-Tabla4[[#This Row],[20.85%]]</f>
        <v>4243.9001592000004</v>
      </c>
      <c r="M2545" s="282" t="e">
        <f>(INDEX(Tabla6[#All],MATCH(Tabla4[[#This Row],[Producto]],Tabla6[[#All],[PRODUCTO]],0),MATCH(Tabla4[[#This Row],[Mes]],Tabla6[#Headers],0)))*(1+Catalogos!$L$2)</f>
        <v>#N/A</v>
      </c>
      <c r="N2545" s="283" t="e">
        <f>+(Tabla4[[#This Row],[Precio Descontado]]-Tabla4[[#This Row],[Precio Base]])*Tabla4[[#This Row],[Cantidad]]</f>
        <v>#N/A</v>
      </c>
      <c r="O2545" s="284" t="e">
        <f>++Tabla4[[#This Row],[Utilidad Total]]/Tabla4[[#This Row],[Total]]</f>
        <v>#N/A</v>
      </c>
      <c r="P2545" s="282">
        <f>++Tabla4[[#This Row],[Precio Descontado]]*Tabla4[[#This Row],[Cantidad]]</f>
        <v>21219.500796</v>
      </c>
      <c r="Q2545" s="282" t="e">
        <f>(INDEX(Tabla6[#All],MATCH(Tabla4[[#This Row],[Producto]],Tabla6[[#All],[PRODUCTO]],0),MATCH(Tabla4[[#This Row],[Mes]],Tabla6[#Headers],0)))</f>
        <v>#N/A</v>
      </c>
      <c r="R2545" s="282" t="e">
        <f>++Tabla4[[#This Row],[Precio Unitario Neto]]-Tabla4[[#This Row],[20.85%]]-Tabla4[[#This Row],[Costo]]</f>
        <v>#N/A</v>
      </c>
      <c r="S2545" s="282" t="e">
        <f>++Tabla4[[#This Row],[U. Bruta Uni]]*Tabla4[[#This Row],[Cantidad]]</f>
        <v>#N/A</v>
      </c>
      <c r="T2545" s="369" t="str">
        <f>VLOOKUP(Tabla4[[#This Row],[Producto]],Tabla6[#All],14,FALSE)</f>
        <v>Termico Solar</v>
      </c>
      <c r="U2545" s="284" t="e">
        <f>(IF(Tabla4[[#This Row],[Familia]]="termico solar",Tabla4[[#This Row],[Utilidad Total]]*6%,Tabla4[[#This Row],[Utilidad Total]]*11.5%))/Tabla4[[#This Row],[Total]]</f>
        <v>#N/A</v>
      </c>
      <c r="V2545" s="282" t="e">
        <f>+Tabla4[[#This Row],[Comisión Calculada]]*Tabla4[[#This Row],[Total]]</f>
        <v>#N/A</v>
      </c>
    </row>
    <row r="2546" spans="1:22" hidden="1" x14ac:dyDescent="0.25">
      <c r="A2546" s="100">
        <v>45777</v>
      </c>
      <c r="B2546" t="str">
        <f t="shared" si="121"/>
        <v>April</v>
      </c>
      <c r="C2546" s="46" t="s">
        <v>280</v>
      </c>
      <c r="F2546" s="366" t="s">
        <v>1686</v>
      </c>
      <c r="G2546" s="46" t="s">
        <v>17</v>
      </c>
      <c r="H2546" s="46">
        <v>1</v>
      </c>
      <c r="I2546" s="51">
        <v>4622.28</v>
      </c>
      <c r="J2546" s="281">
        <f>++Tabla4[[#This Row],[Precio Bruto]]*1.16</f>
        <v>5361.8447999999989</v>
      </c>
      <c r="K2546" s="281">
        <f>+Tabla4[[#This Row],[Precio Unitario Neto]]*Tabla4[[#Headers],[20.85%]]</f>
        <v>1117.9446407999997</v>
      </c>
      <c r="L2546" s="282">
        <f>++Tabla4[[#This Row],[Precio Unitario Neto]]-Tabla4[[#This Row],[20.85%]]</f>
        <v>4243.9001591999995</v>
      </c>
      <c r="M2546" s="282" t="e">
        <f>(INDEX(Tabla6[#All],MATCH(Tabla4[[#This Row],[Producto]],Tabla6[[#All],[PRODUCTO]],0),MATCH(Tabla4[[#This Row],[Mes]],Tabla6[#Headers],0)))*(1+Catalogos!$L$2)</f>
        <v>#N/A</v>
      </c>
      <c r="N2546" s="283" t="e">
        <f>+(Tabla4[[#This Row],[Precio Descontado]]-Tabla4[[#This Row],[Precio Base]])*Tabla4[[#This Row],[Cantidad]]</f>
        <v>#N/A</v>
      </c>
      <c r="O2546" s="284" t="e">
        <f>++Tabla4[[#This Row],[Utilidad Total]]/Tabla4[[#This Row],[Total]]</f>
        <v>#N/A</v>
      </c>
      <c r="P2546" s="282">
        <f>++Tabla4[[#This Row],[Precio Descontado]]*Tabla4[[#This Row],[Cantidad]]</f>
        <v>4243.9001591999995</v>
      </c>
      <c r="Q2546" s="282" t="e">
        <f>(INDEX(Tabla6[#All],MATCH(Tabla4[[#This Row],[Producto]],Tabla6[[#All],[PRODUCTO]],0),MATCH(Tabla4[[#This Row],[Mes]],Tabla6[#Headers],0)))</f>
        <v>#N/A</v>
      </c>
      <c r="R2546" s="282" t="e">
        <f>++Tabla4[[#This Row],[Precio Unitario Neto]]-Tabla4[[#This Row],[20.85%]]-Tabla4[[#This Row],[Costo]]</f>
        <v>#N/A</v>
      </c>
      <c r="S2546" s="282" t="e">
        <f>++Tabla4[[#This Row],[U. Bruta Uni]]*Tabla4[[#This Row],[Cantidad]]</f>
        <v>#N/A</v>
      </c>
      <c r="T2546" s="369" t="str">
        <f>VLOOKUP(Tabla4[[#This Row],[Producto]],Tabla6[#All],14,FALSE)</f>
        <v>Termico Solar</v>
      </c>
      <c r="U2546" s="284" t="e">
        <f>(IF(Tabla4[[#This Row],[Familia]]="termico solar",Tabla4[[#This Row],[Utilidad Total]]*6%,Tabla4[[#This Row],[Utilidad Total]]*11.5%))/Tabla4[[#This Row],[Total]]</f>
        <v>#N/A</v>
      </c>
      <c r="V2546" s="282" t="e">
        <f>+Tabla4[[#This Row],[Comisión Calculada]]*Tabla4[[#This Row],[Total]]</f>
        <v>#N/A</v>
      </c>
    </row>
    <row r="2547" spans="1:22" hidden="1" x14ac:dyDescent="0.25">
      <c r="A2547" s="100">
        <v>45777</v>
      </c>
      <c r="B2547" t="str">
        <f t="shared" si="121"/>
        <v>April</v>
      </c>
      <c r="C2547" s="46" t="s">
        <v>280</v>
      </c>
      <c r="F2547" s="366" t="s">
        <v>1686</v>
      </c>
      <c r="G2547" s="46" t="s">
        <v>18</v>
      </c>
      <c r="H2547" s="46">
        <v>2</v>
      </c>
      <c r="I2547" s="51">
        <v>5367.65</v>
      </c>
      <c r="J2547" s="281">
        <f>++Tabla4[[#This Row],[Precio Bruto]]*1.16</f>
        <v>6226.4739999999993</v>
      </c>
      <c r="K2547" s="281">
        <f>+Tabla4[[#This Row],[Precio Unitario Neto]]*Tabla4[[#Headers],[20.85%]]</f>
        <v>1298.2198289999999</v>
      </c>
      <c r="L2547" s="282">
        <f>++Tabla4[[#This Row],[Precio Unitario Neto]]-Tabla4[[#This Row],[20.85%]]</f>
        <v>4928.2541709999996</v>
      </c>
      <c r="M2547" s="282" t="e">
        <f>(INDEX(Tabla6[#All],MATCH(Tabla4[[#This Row],[Producto]],Tabla6[[#All],[PRODUCTO]],0),MATCH(Tabla4[[#This Row],[Mes]],Tabla6[#Headers],0)))*(1+Catalogos!$L$2)</f>
        <v>#N/A</v>
      </c>
      <c r="N2547" s="283" t="e">
        <f>+(Tabla4[[#This Row],[Precio Descontado]]-Tabla4[[#This Row],[Precio Base]])*Tabla4[[#This Row],[Cantidad]]</f>
        <v>#N/A</v>
      </c>
      <c r="O2547" s="284" t="e">
        <f>++Tabla4[[#This Row],[Utilidad Total]]/Tabla4[[#This Row],[Total]]</f>
        <v>#N/A</v>
      </c>
      <c r="P2547" s="282">
        <f>++Tabla4[[#This Row],[Precio Descontado]]*Tabla4[[#This Row],[Cantidad]]</f>
        <v>9856.5083419999992</v>
      </c>
      <c r="Q2547" s="282" t="e">
        <f>(INDEX(Tabla6[#All],MATCH(Tabla4[[#This Row],[Producto]],Tabla6[[#All],[PRODUCTO]],0),MATCH(Tabla4[[#This Row],[Mes]],Tabla6[#Headers],0)))</f>
        <v>#N/A</v>
      </c>
      <c r="R2547" s="282" t="e">
        <f>++Tabla4[[#This Row],[Precio Unitario Neto]]-Tabla4[[#This Row],[20.85%]]-Tabla4[[#This Row],[Costo]]</f>
        <v>#N/A</v>
      </c>
      <c r="S2547" s="282" t="e">
        <f>++Tabla4[[#This Row],[U. Bruta Uni]]*Tabla4[[#This Row],[Cantidad]]</f>
        <v>#N/A</v>
      </c>
      <c r="T2547" s="369" t="str">
        <f>VLOOKUP(Tabla4[[#This Row],[Producto]],Tabla6[#All],14,FALSE)</f>
        <v>Termico Solar</v>
      </c>
      <c r="U2547" s="284" t="e">
        <f>(IF(Tabla4[[#This Row],[Familia]]="termico solar",Tabla4[[#This Row],[Utilidad Total]]*6%,Tabla4[[#This Row],[Utilidad Total]]*11.5%))/Tabla4[[#This Row],[Total]]</f>
        <v>#N/A</v>
      </c>
      <c r="V2547" s="282" t="e">
        <f>+Tabla4[[#This Row],[Comisión Calculada]]*Tabla4[[#This Row],[Total]]</f>
        <v>#N/A</v>
      </c>
    </row>
    <row r="2548" spans="1:22" hidden="1" x14ac:dyDescent="0.25">
      <c r="A2548" s="100">
        <v>45777</v>
      </c>
      <c r="B2548" t="str">
        <f t="shared" si="121"/>
        <v>April</v>
      </c>
      <c r="C2548" s="46" t="s">
        <v>280</v>
      </c>
      <c r="F2548" s="366" t="s">
        <v>1686</v>
      </c>
      <c r="G2548" s="46" t="s">
        <v>566</v>
      </c>
      <c r="H2548" s="46">
        <v>1</v>
      </c>
      <c r="I2548" s="51">
        <v>2109.4499999999998</v>
      </c>
      <c r="J2548" s="281">
        <f>++Tabla4[[#This Row],[Precio Bruto]]*1.16</f>
        <v>2446.9619999999995</v>
      </c>
      <c r="K2548" s="281">
        <f>+Tabla4[[#This Row],[Precio Unitario Neto]]*Tabla4[[#Headers],[20.85%]]</f>
        <v>510.19157699999988</v>
      </c>
      <c r="L2548" s="282">
        <f>++Tabla4[[#This Row],[Precio Unitario Neto]]-Tabla4[[#This Row],[20.85%]]</f>
        <v>1936.7704229999997</v>
      </c>
      <c r="M2548" s="282" t="e">
        <f>(INDEX(Tabla6[#All],MATCH(Tabla4[[#This Row],[Producto]],Tabla6[[#All],[PRODUCTO]],0),MATCH(Tabla4[[#This Row],[Mes]],Tabla6[#Headers],0)))*(1+Catalogos!$L$2)</f>
        <v>#N/A</v>
      </c>
      <c r="N2548" s="283" t="e">
        <f>+(Tabla4[[#This Row],[Precio Descontado]]-Tabla4[[#This Row],[Precio Base]])*Tabla4[[#This Row],[Cantidad]]</f>
        <v>#N/A</v>
      </c>
      <c r="O2548" s="284" t="e">
        <f>++Tabla4[[#This Row],[Utilidad Total]]/Tabla4[[#This Row],[Total]]</f>
        <v>#N/A</v>
      </c>
      <c r="P2548" s="282">
        <f>++Tabla4[[#This Row],[Precio Descontado]]*Tabla4[[#This Row],[Cantidad]]</f>
        <v>1936.7704229999997</v>
      </c>
      <c r="Q2548" s="282" t="e">
        <f>(INDEX(Tabla6[#All],MATCH(Tabla4[[#This Row],[Producto]],Tabla6[[#All],[PRODUCTO]],0),MATCH(Tabla4[[#This Row],[Mes]],Tabla6[#Headers],0)))</f>
        <v>#N/A</v>
      </c>
      <c r="R2548" s="282" t="e">
        <f>++Tabla4[[#This Row],[Precio Unitario Neto]]-Tabla4[[#This Row],[20.85%]]-Tabla4[[#This Row],[Costo]]</f>
        <v>#N/A</v>
      </c>
      <c r="S2548" s="282" t="e">
        <f>++Tabla4[[#This Row],[U. Bruta Uni]]*Tabla4[[#This Row],[Cantidad]]</f>
        <v>#N/A</v>
      </c>
      <c r="T2548" s="369" t="str">
        <f>VLOOKUP(Tabla4[[#This Row],[Producto]],Tabla6[#All],14,FALSE)</f>
        <v>Termico Solar</v>
      </c>
      <c r="U2548" s="284" t="e">
        <f>(IF(Tabla4[[#This Row],[Familia]]="termico solar",Tabla4[[#This Row],[Utilidad Total]]*6%,Tabla4[[#This Row],[Utilidad Total]]*11.5%))/Tabla4[[#This Row],[Total]]</f>
        <v>#N/A</v>
      </c>
      <c r="V2548" s="282" t="e">
        <f>+Tabla4[[#This Row],[Comisión Calculada]]*Tabla4[[#This Row],[Total]]</f>
        <v>#N/A</v>
      </c>
    </row>
    <row r="2549" spans="1:22" hidden="1" x14ac:dyDescent="0.25">
      <c r="A2549" s="100">
        <v>45777</v>
      </c>
      <c r="B2549" t="str">
        <f t="shared" si="121"/>
        <v>April</v>
      </c>
      <c r="C2549" s="46" t="s">
        <v>280</v>
      </c>
      <c r="F2549" s="366" t="s">
        <v>1687</v>
      </c>
      <c r="G2549" s="46" t="s">
        <v>17</v>
      </c>
      <c r="H2549" s="46">
        <v>3</v>
      </c>
      <c r="I2549" s="51">
        <v>4622.28</v>
      </c>
      <c r="J2549" s="281">
        <f>++Tabla4[[#This Row],[Precio Bruto]]*1.16</f>
        <v>5361.8447999999989</v>
      </c>
      <c r="K2549" s="281">
        <f>+Tabla4[[#This Row],[Precio Unitario Neto]]*Tabla4[[#Headers],[20.85%]]</f>
        <v>1117.9446407999997</v>
      </c>
      <c r="L2549" s="282">
        <f>++Tabla4[[#This Row],[Precio Unitario Neto]]-Tabla4[[#This Row],[20.85%]]</f>
        <v>4243.9001591999995</v>
      </c>
      <c r="M2549" s="282" t="e">
        <f>(INDEX(Tabla6[#All],MATCH(Tabla4[[#This Row],[Producto]],Tabla6[[#All],[PRODUCTO]],0),MATCH(Tabla4[[#This Row],[Mes]],Tabla6[#Headers],0)))*(1+Catalogos!$L$2)</f>
        <v>#N/A</v>
      </c>
      <c r="N2549" s="283" t="e">
        <f>+(Tabla4[[#This Row],[Precio Descontado]]-Tabla4[[#This Row],[Precio Base]])*Tabla4[[#This Row],[Cantidad]]</f>
        <v>#N/A</v>
      </c>
      <c r="O2549" s="284" t="e">
        <f>++Tabla4[[#This Row],[Utilidad Total]]/Tabla4[[#This Row],[Total]]</f>
        <v>#N/A</v>
      </c>
      <c r="P2549" s="282">
        <f>++Tabla4[[#This Row],[Precio Descontado]]*Tabla4[[#This Row],[Cantidad]]</f>
        <v>12731.700477599999</v>
      </c>
      <c r="Q2549" s="282" t="e">
        <f>(INDEX(Tabla6[#All],MATCH(Tabla4[[#This Row],[Producto]],Tabla6[[#All],[PRODUCTO]],0),MATCH(Tabla4[[#This Row],[Mes]],Tabla6[#Headers],0)))</f>
        <v>#N/A</v>
      </c>
      <c r="R2549" s="282" t="e">
        <f>++Tabla4[[#This Row],[Precio Unitario Neto]]-Tabla4[[#This Row],[20.85%]]-Tabla4[[#This Row],[Costo]]</f>
        <v>#N/A</v>
      </c>
      <c r="S2549" s="282" t="e">
        <f>++Tabla4[[#This Row],[U. Bruta Uni]]*Tabla4[[#This Row],[Cantidad]]</f>
        <v>#N/A</v>
      </c>
      <c r="T2549" s="369" t="str">
        <f>VLOOKUP(Tabla4[[#This Row],[Producto]],Tabla6[#All],14,FALSE)</f>
        <v>Termico Solar</v>
      </c>
      <c r="U2549" s="284" t="e">
        <f>(IF(Tabla4[[#This Row],[Familia]]="termico solar",Tabla4[[#This Row],[Utilidad Total]]*6%,Tabla4[[#This Row],[Utilidad Total]]*11.5%))/Tabla4[[#This Row],[Total]]</f>
        <v>#N/A</v>
      </c>
      <c r="V2549" s="282" t="e">
        <f>+Tabla4[[#This Row],[Comisión Calculada]]*Tabla4[[#This Row],[Total]]</f>
        <v>#N/A</v>
      </c>
    </row>
    <row r="2550" spans="1:22" hidden="1" x14ac:dyDescent="0.25">
      <c r="A2550" s="100">
        <v>45777</v>
      </c>
      <c r="B2550" t="str">
        <f t="shared" si="121"/>
        <v>April</v>
      </c>
      <c r="C2550" s="46" t="s">
        <v>280</v>
      </c>
      <c r="F2550" s="366" t="s">
        <v>1688</v>
      </c>
      <c r="G2550" s="46" t="s">
        <v>566</v>
      </c>
      <c r="H2550" s="46">
        <v>1</v>
      </c>
      <c r="I2550" s="51">
        <v>2109.4499999999998</v>
      </c>
      <c r="J2550" s="281">
        <f>++Tabla4[[#This Row],[Precio Bruto]]*1.16</f>
        <v>2446.9619999999995</v>
      </c>
      <c r="K2550" s="281">
        <f>+Tabla4[[#This Row],[Precio Unitario Neto]]*Tabla4[[#Headers],[20.85%]]</f>
        <v>510.19157699999988</v>
      </c>
      <c r="L2550" s="282">
        <f>++Tabla4[[#This Row],[Precio Unitario Neto]]-Tabla4[[#This Row],[20.85%]]</f>
        <v>1936.7704229999997</v>
      </c>
      <c r="M2550" s="282" t="e">
        <f>(INDEX(Tabla6[#All],MATCH(Tabla4[[#This Row],[Producto]],Tabla6[[#All],[PRODUCTO]],0),MATCH(Tabla4[[#This Row],[Mes]],Tabla6[#Headers],0)))*(1+Catalogos!$L$2)</f>
        <v>#N/A</v>
      </c>
      <c r="N2550" s="283" t="e">
        <f>+(Tabla4[[#This Row],[Precio Descontado]]-Tabla4[[#This Row],[Precio Base]])*Tabla4[[#This Row],[Cantidad]]</f>
        <v>#N/A</v>
      </c>
      <c r="O2550" s="284" t="e">
        <f>++Tabla4[[#This Row],[Utilidad Total]]/Tabla4[[#This Row],[Total]]</f>
        <v>#N/A</v>
      </c>
      <c r="P2550" s="282">
        <f>++Tabla4[[#This Row],[Precio Descontado]]*Tabla4[[#This Row],[Cantidad]]</f>
        <v>1936.7704229999997</v>
      </c>
      <c r="Q2550" s="282" t="e">
        <f>(INDEX(Tabla6[#All],MATCH(Tabla4[[#This Row],[Producto]],Tabla6[[#All],[PRODUCTO]],0),MATCH(Tabla4[[#This Row],[Mes]],Tabla6[#Headers],0)))</f>
        <v>#N/A</v>
      </c>
      <c r="R2550" s="282" t="e">
        <f>++Tabla4[[#This Row],[Precio Unitario Neto]]-Tabla4[[#This Row],[20.85%]]-Tabla4[[#This Row],[Costo]]</f>
        <v>#N/A</v>
      </c>
      <c r="S2550" s="282" t="e">
        <f>++Tabla4[[#This Row],[U. Bruta Uni]]*Tabla4[[#This Row],[Cantidad]]</f>
        <v>#N/A</v>
      </c>
      <c r="T2550" s="369" t="str">
        <f>VLOOKUP(Tabla4[[#This Row],[Producto]],Tabla6[#All],14,FALSE)</f>
        <v>Termico Solar</v>
      </c>
      <c r="U2550" s="284" t="e">
        <f>(IF(Tabla4[[#This Row],[Familia]]="termico solar",Tabla4[[#This Row],[Utilidad Total]]*6%,Tabla4[[#This Row],[Utilidad Total]]*11.5%))/Tabla4[[#This Row],[Total]]</f>
        <v>#N/A</v>
      </c>
      <c r="V2550" s="282" t="e">
        <f>+Tabla4[[#This Row],[Comisión Calculada]]*Tabla4[[#This Row],[Total]]</f>
        <v>#N/A</v>
      </c>
    </row>
    <row r="2551" spans="1:22" hidden="1" x14ac:dyDescent="0.25">
      <c r="A2551" s="100">
        <v>45777</v>
      </c>
      <c r="B2551" t="str">
        <f t="shared" si="121"/>
        <v>April</v>
      </c>
      <c r="C2551" s="46" t="s">
        <v>280</v>
      </c>
      <c r="F2551" s="366" t="s">
        <v>1689</v>
      </c>
      <c r="G2551" s="46" t="s">
        <v>18</v>
      </c>
      <c r="H2551" s="46">
        <v>1</v>
      </c>
      <c r="I2551" s="51">
        <v>5367.65</v>
      </c>
      <c r="J2551" s="281">
        <f>++Tabla4[[#This Row],[Precio Bruto]]*1.16</f>
        <v>6226.4739999999993</v>
      </c>
      <c r="K2551" s="281">
        <f>+Tabla4[[#This Row],[Precio Unitario Neto]]*Tabla4[[#Headers],[20.85%]]</f>
        <v>1298.2198289999999</v>
      </c>
      <c r="L2551" s="282">
        <f>++Tabla4[[#This Row],[Precio Unitario Neto]]-Tabla4[[#This Row],[20.85%]]</f>
        <v>4928.2541709999996</v>
      </c>
      <c r="M2551" s="282" t="e">
        <f>(INDEX(Tabla6[#All],MATCH(Tabla4[[#This Row],[Producto]],Tabla6[[#All],[PRODUCTO]],0),MATCH(Tabla4[[#This Row],[Mes]],Tabla6[#Headers],0)))*(1+Catalogos!$L$2)</f>
        <v>#N/A</v>
      </c>
      <c r="N2551" s="283" t="e">
        <f>+(Tabla4[[#This Row],[Precio Descontado]]-Tabla4[[#This Row],[Precio Base]])*Tabla4[[#This Row],[Cantidad]]</f>
        <v>#N/A</v>
      </c>
      <c r="O2551" s="284" t="e">
        <f>++Tabla4[[#This Row],[Utilidad Total]]/Tabla4[[#This Row],[Total]]</f>
        <v>#N/A</v>
      </c>
      <c r="P2551" s="282">
        <f>++Tabla4[[#This Row],[Precio Descontado]]*Tabla4[[#This Row],[Cantidad]]</f>
        <v>4928.2541709999996</v>
      </c>
      <c r="Q2551" s="282" t="e">
        <f>(INDEX(Tabla6[#All],MATCH(Tabla4[[#This Row],[Producto]],Tabla6[[#All],[PRODUCTO]],0),MATCH(Tabla4[[#This Row],[Mes]],Tabla6[#Headers],0)))</f>
        <v>#N/A</v>
      </c>
      <c r="R2551" s="282" t="e">
        <f>++Tabla4[[#This Row],[Precio Unitario Neto]]-Tabla4[[#This Row],[20.85%]]-Tabla4[[#This Row],[Costo]]</f>
        <v>#N/A</v>
      </c>
      <c r="S2551" s="282" t="e">
        <f>++Tabla4[[#This Row],[U. Bruta Uni]]*Tabla4[[#This Row],[Cantidad]]</f>
        <v>#N/A</v>
      </c>
      <c r="T2551" s="369" t="str">
        <f>VLOOKUP(Tabla4[[#This Row],[Producto]],Tabla6[#All],14,FALSE)</f>
        <v>Termico Solar</v>
      </c>
      <c r="U2551" s="284" t="e">
        <f>(IF(Tabla4[[#This Row],[Familia]]="termico solar",Tabla4[[#This Row],[Utilidad Total]]*6%,Tabla4[[#This Row],[Utilidad Total]]*11.5%))/Tabla4[[#This Row],[Total]]</f>
        <v>#N/A</v>
      </c>
      <c r="V2551" s="282" t="e">
        <f>+Tabla4[[#This Row],[Comisión Calculada]]*Tabla4[[#This Row],[Total]]</f>
        <v>#N/A</v>
      </c>
    </row>
    <row r="2552" spans="1:22" hidden="1" x14ac:dyDescent="0.25">
      <c r="A2552" s="100">
        <v>45777</v>
      </c>
      <c r="B2552" t="str">
        <f t="shared" si="121"/>
        <v>April</v>
      </c>
      <c r="C2552" s="46" t="s">
        <v>280</v>
      </c>
      <c r="F2552" s="366" t="s">
        <v>1690</v>
      </c>
      <c r="G2552" s="46" t="s">
        <v>16</v>
      </c>
      <c r="H2552" s="46">
        <v>2</v>
      </c>
      <c r="I2552" s="51">
        <v>4103.8500000000004</v>
      </c>
      <c r="J2552" s="281">
        <f>++Tabla4[[#This Row],[Precio Bruto]]*1.16</f>
        <v>4760.4660000000003</v>
      </c>
      <c r="K2552" s="281">
        <f>+Tabla4[[#This Row],[Precio Unitario Neto]]*Tabla4[[#Headers],[20.85%]]</f>
        <v>992.55716100000006</v>
      </c>
      <c r="L2552" s="282">
        <f>++Tabla4[[#This Row],[Precio Unitario Neto]]-Tabla4[[#This Row],[20.85%]]</f>
        <v>3767.9088390000002</v>
      </c>
      <c r="M2552" s="282" t="e">
        <f>(INDEX(Tabla6[#All],MATCH(Tabla4[[#This Row],[Producto]],Tabla6[[#All],[PRODUCTO]],0),MATCH(Tabla4[[#This Row],[Mes]],Tabla6[#Headers],0)))*(1+Catalogos!$L$2)</f>
        <v>#N/A</v>
      </c>
      <c r="N2552" s="283" t="e">
        <f>+(Tabla4[[#This Row],[Precio Descontado]]-Tabla4[[#This Row],[Precio Base]])*Tabla4[[#This Row],[Cantidad]]</f>
        <v>#N/A</v>
      </c>
      <c r="O2552" s="284" t="e">
        <f>++Tabla4[[#This Row],[Utilidad Total]]/Tabla4[[#This Row],[Total]]</f>
        <v>#N/A</v>
      </c>
      <c r="P2552" s="282">
        <f>++Tabla4[[#This Row],[Precio Descontado]]*Tabla4[[#This Row],[Cantidad]]</f>
        <v>7535.8176780000003</v>
      </c>
      <c r="Q2552" s="282" t="e">
        <f>(INDEX(Tabla6[#All],MATCH(Tabla4[[#This Row],[Producto]],Tabla6[[#All],[PRODUCTO]],0),MATCH(Tabla4[[#This Row],[Mes]],Tabla6[#Headers],0)))</f>
        <v>#N/A</v>
      </c>
      <c r="R2552" s="282" t="e">
        <f>++Tabla4[[#This Row],[Precio Unitario Neto]]-Tabla4[[#This Row],[20.85%]]-Tabla4[[#This Row],[Costo]]</f>
        <v>#N/A</v>
      </c>
      <c r="S2552" s="282" t="e">
        <f>++Tabla4[[#This Row],[U. Bruta Uni]]*Tabla4[[#This Row],[Cantidad]]</f>
        <v>#N/A</v>
      </c>
      <c r="T2552" s="369" t="str">
        <f>VLOOKUP(Tabla4[[#This Row],[Producto]],Tabla6[#All],14,FALSE)</f>
        <v>Termico Solar</v>
      </c>
      <c r="U2552" s="284" t="e">
        <f>(IF(Tabla4[[#This Row],[Familia]]="termico solar",Tabla4[[#This Row],[Utilidad Total]]*6%,Tabla4[[#This Row],[Utilidad Total]]*11.5%))/Tabla4[[#This Row],[Total]]</f>
        <v>#N/A</v>
      </c>
      <c r="V2552" s="282" t="e">
        <f>+Tabla4[[#This Row],[Comisión Calculada]]*Tabla4[[#This Row],[Total]]</f>
        <v>#N/A</v>
      </c>
    </row>
    <row r="2553" spans="1:22" hidden="1" x14ac:dyDescent="0.25">
      <c r="A2553" s="100">
        <v>45777</v>
      </c>
      <c r="B2553" t="str">
        <f t="shared" si="121"/>
        <v>April</v>
      </c>
      <c r="C2553" s="46" t="s">
        <v>280</v>
      </c>
      <c r="F2553" s="366" t="s">
        <v>1690</v>
      </c>
      <c r="G2553" s="46" t="s">
        <v>209</v>
      </c>
      <c r="H2553" s="46">
        <v>1</v>
      </c>
      <c r="I2553" s="51">
        <v>347.48</v>
      </c>
      <c r="J2553" s="281">
        <f>++Tabla4[[#This Row],[Precio Bruto]]*1.16</f>
        <v>403.07679999999999</v>
      </c>
      <c r="K2553" s="281">
        <f>+Tabla4[[#This Row],[Precio Unitario Neto]]*Tabla4[[#Headers],[20.85%]]</f>
        <v>84.041512799999992</v>
      </c>
      <c r="L2553" s="282">
        <f>++Tabla4[[#This Row],[Precio Unitario Neto]]-Tabla4[[#This Row],[20.85%]]</f>
        <v>319.03528719999997</v>
      </c>
      <c r="M2553" s="282" t="e">
        <f>(INDEX(Tabla6[#All],MATCH(Tabla4[[#This Row],[Producto]],Tabla6[[#All],[PRODUCTO]],0),MATCH(Tabla4[[#This Row],[Mes]],Tabla6[#Headers],0)))*(1+Catalogos!$L$2)</f>
        <v>#N/A</v>
      </c>
      <c r="N2553" s="283" t="e">
        <f>+(Tabla4[[#This Row],[Precio Descontado]]-Tabla4[[#This Row],[Precio Base]])*Tabla4[[#This Row],[Cantidad]]</f>
        <v>#N/A</v>
      </c>
      <c r="O2553" s="284" t="e">
        <f>++Tabla4[[#This Row],[Utilidad Total]]/Tabla4[[#This Row],[Total]]</f>
        <v>#N/A</v>
      </c>
      <c r="P2553" s="282">
        <f>++Tabla4[[#This Row],[Precio Descontado]]*Tabla4[[#This Row],[Cantidad]]</f>
        <v>319.03528719999997</v>
      </c>
      <c r="Q2553" s="282" t="e">
        <f>(INDEX(Tabla6[#All],MATCH(Tabla4[[#This Row],[Producto]],Tabla6[[#All],[PRODUCTO]],0),MATCH(Tabla4[[#This Row],[Mes]],Tabla6[#Headers],0)))</f>
        <v>#N/A</v>
      </c>
      <c r="R2553" s="282" t="e">
        <f>++Tabla4[[#This Row],[Precio Unitario Neto]]-Tabla4[[#This Row],[20.85%]]-Tabla4[[#This Row],[Costo]]</f>
        <v>#N/A</v>
      </c>
      <c r="S2553" s="282" t="e">
        <f>++Tabla4[[#This Row],[U. Bruta Uni]]*Tabla4[[#This Row],[Cantidad]]</f>
        <v>#N/A</v>
      </c>
      <c r="T2553" s="369" t="str">
        <f>VLOOKUP(Tabla4[[#This Row],[Producto]],Tabla6[#All],14,FALSE)</f>
        <v>Termico Solar</v>
      </c>
      <c r="U2553" s="284" t="e">
        <f>(IF(Tabla4[[#This Row],[Familia]]="termico solar",Tabla4[[#This Row],[Utilidad Total]]*6%,Tabla4[[#This Row],[Utilidad Total]]*11.5%))/Tabla4[[#This Row],[Total]]</f>
        <v>#N/A</v>
      </c>
      <c r="V2553" s="282" t="e">
        <f>+Tabla4[[#This Row],[Comisión Calculada]]*Tabla4[[#This Row],[Total]]</f>
        <v>#N/A</v>
      </c>
    </row>
    <row r="2554" spans="1:22" hidden="1" x14ac:dyDescent="0.25">
      <c r="A2554" s="100">
        <v>45777</v>
      </c>
      <c r="B2554" t="str">
        <f t="shared" si="121"/>
        <v>April</v>
      </c>
      <c r="C2554" s="46" t="s">
        <v>280</v>
      </c>
      <c r="F2554" s="366" t="s">
        <v>1691</v>
      </c>
      <c r="G2554" s="46" t="s">
        <v>17</v>
      </c>
      <c r="H2554" s="46">
        <v>1</v>
      </c>
      <c r="I2554" s="51">
        <v>4622.28</v>
      </c>
      <c r="J2554" s="281">
        <f>++Tabla4[[#This Row],[Precio Bruto]]*1.16</f>
        <v>5361.8447999999989</v>
      </c>
      <c r="K2554" s="281">
        <f>+Tabla4[[#This Row],[Precio Unitario Neto]]*Tabla4[[#Headers],[20.85%]]</f>
        <v>1117.9446407999997</v>
      </c>
      <c r="L2554" s="282">
        <f>++Tabla4[[#This Row],[Precio Unitario Neto]]-Tabla4[[#This Row],[20.85%]]</f>
        <v>4243.9001591999995</v>
      </c>
      <c r="M2554" s="282" t="e">
        <f>(INDEX(Tabla6[#All],MATCH(Tabla4[[#This Row],[Producto]],Tabla6[[#All],[PRODUCTO]],0),MATCH(Tabla4[[#This Row],[Mes]],Tabla6[#Headers],0)))*(1+Catalogos!$L$2)</f>
        <v>#N/A</v>
      </c>
      <c r="N2554" s="283" t="e">
        <f>+(Tabla4[[#This Row],[Precio Descontado]]-Tabla4[[#This Row],[Precio Base]])*Tabla4[[#This Row],[Cantidad]]</f>
        <v>#N/A</v>
      </c>
      <c r="O2554" s="284" t="e">
        <f>++Tabla4[[#This Row],[Utilidad Total]]/Tabla4[[#This Row],[Total]]</f>
        <v>#N/A</v>
      </c>
      <c r="P2554" s="282">
        <f>++Tabla4[[#This Row],[Precio Descontado]]*Tabla4[[#This Row],[Cantidad]]</f>
        <v>4243.9001591999995</v>
      </c>
      <c r="Q2554" s="282" t="e">
        <f>(INDEX(Tabla6[#All],MATCH(Tabla4[[#This Row],[Producto]],Tabla6[[#All],[PRODUCTO]],0),MATCH(Tabla4[[#This Row],[Mes]],Tabla6[#Headers],0)))</f>
        <v>#N/A</v>
      </c>
      <c r="R2554" s="282" t="e">
        <f>++Tabla4[[#This Row],[Precio Unitario Neto]]-Tabla4[[#This Row],[20.85%]]-Tabla4[[#This Row],[Costo]]</f>
        <v>#N/A</v>
      </c>
      <c r="S2554" s="282" t="e">
        <f>++Tabla4[[#This Row],[U. Bruta Uni]]*Tabla4[[#This Row],[Cantidad]]</f>
        <v>#N/A</v>
      </c>
      <c r="T2554" s="369" t="str">
        <f>VLOOKUP(Tabla4[[#This Row],[Producto]],Tabla6[#All],14,FALSE)</f>
        <v>Termico Solar</v>
      </c>
      <c r="U2554" s="284" t="e">
        <f>(IF(Tabla4[[#This Row],[Familia]]="termico solar",Tabla4[[#This Row],[Utilidad Total]]*6%,Tabla4[[#This Row],[Utilidad Total]]*11.5%))/Tabla4[[#This Row],[Total]]</f>
        <v>#N/A</v>
      </c>
      <c r="V2554" s="282" t="e">
        <f>+Tabla4[[#This Row],[Comisión Calculada]]*Tabla4[[#This Row],[Total]]</f>
        <v>#N/A</v>
      </c>
    </row>
    <row r="2555" spans="1:22" hidden="1" x14ac:dyDescent="0.25">
      <c r="A2555" s="100">
        <v>45777</v>
      </c>
      <c r="B2555" t="str">
        <f t="shared" ref="B2555:B2618" si="122">TEXT(A2555, "mmmm")</f>
        <v>April</v>
      </c>
      <c r="C2555" s="46" t="s">
        <v>280</v>
      </c>
      <c r="F2555" s="366" t="s">
        <v>1692</v>
      </c>
      <c r="G2555" s="46" t="s">
        <v>17</v>
      </c>
      <c r="H2555" s="46">
        <v>1</v>
      </c>
      <c r="I2555" s="51">
        <v>4622.28</v>
      </c>
      <c r="J2555" s="281">
        <f>++Tabla4[[#This Row],[Precio Bruto]]*1.16</f>
        <v>5361.8447999999989</v>
      </c>
      <c r="K2555" s="281">
        <f>+Tabla4[[#This Row],[Precio Unitario Neto]]*Tabla4[[#Headers],[20.85%]]</f>
        <v>1117.9446407999997</v>
      </c>
      <c r="L2555" s="282">
        <f>++Tabla4[[#This Row],[Precio Unitario Neto]]-Tabla4[[#This Row],[20.85%]]</f>
        <v>4243.9001591999995</v>
      </c>
      <c r="M2555" s="282" t="e">
        <f>(INDEX(Tabla6[#All],MATCH(Tabla4[[#This Row],[Producto]],Tabla6[[#All],[PRODUCTO]],0),MATCH(Tabla4[[#This Row],[Mes]],Tabla6[#Headers],0)))*(1+Catalogos!$L$2)</f>
        <v>#N/A</v>
      </c>
      <c r="N2555" s="283" t="e">
        <f>+(Tabla4[[#This Row],[Precio Descontado]]-Tabla4[[#This Row],[Precio Base]])*Tabla4[[#This Row],[Cantidad]]</f>
        <v>#N/A</v>
      </c>
      <c r="O2555" s="284" t="e">
        <f>++Tabla4[[#This Row],[Utilidad Total]]/Tabla4[[#This Row],[Total]]</f>
        <v>#N/A</v>
      </c>
      <c r="P2555" s="282">
        <f>++Tabla4[[#This Row],[Precio Descontado]]*Tabla4[[#This Row],[Cantidad]]</f>
        <v>4243.9001591999995</v>
      </c>
      <c r="Q2555" s="282" t="e">
        <f>(INDEX(Tabla6[#All],MATCH(Tabla4[[#This Row],[Producto]],Tabla6[[#All],[PRODUCTO]],0),MATCH(Tabla4[[#This Row],[Mes]],Tabla6[#Headers],0)))</f>
        <v>#N/A</v>
      </c>
      <c r="R2555" s="282" t="e">
        <f>++Tabla4[[#This Row],[Precio Unitario Neto]]-Tabla4[[#This Row],[20.85%]]-Tabla4[[#This Row],[Costo]]</f>
        <v>#N/A</v>
      </c>
      <c r="S2555" s="282" t="e">
        <f>++Tabla4[[#This Row],[U. Bruta Uni]]*Tabla4[[#This Row],[Cantidad]]</f>
        <v>#N/A</v>
      </c>
      <c r="T2555" s="369" t="str">
        <f>VLOOKUP(Tabla4[[#This Row],[Producto]],Tabla6[#All],14,FALSE)</f>
        <v>Termico Solar</v>
      </c>
      <c r="U2555" s="284" t="e">
        <f>(IF(Tabla4[[#This Row],[Familia]]="termico solar",Tabla4[[#This Row],[Utilidad Total]]*6%,Tabla4[[#This Row],[Utilidad Total]]*11.5%))/Tabla4[[#This Row],[Total]]</f>
        <v>#N/A</v>
      </c>
      <c r="V2555" s="282" t="e">
        <f>+Tabla4[[#This Row],[Comisión Calculada]]*Tabla4[[#This Row],[Total]]</f>
        <v>#N/A</v>
      </c>
    </row>
    <row r="2556" spans="1:22" hidden="1" x14ac:dyDescent="0.25">
      <c r="A2556" s="100">
        <v>45777</v>
      </c>
      <c r="B2556" t="str">
        <f t="shared" si="122"/>
        <v>April</v>
      </c>
      <c r="C2556" s="46" t="s">
        <v>280</v>
      </c>
      <c r="F2556" s="366" t="s">
        <v>1693</v>
      </c>
      <c r="G2556" s="46" t="s">
        <v>208</v>
      </c>
      <c r="H2556" s="46">
        <v>2</v>
      </c>
      <c r="I2556" s="51">
        <v>189.75</v>
      </c>
      <c r="J2556" s="281">
        <f>++Tabla4[[#This Row],[Precio Bruto]]*1.16</f>
        <v>220.10999999999999</v>
      </c>
      <c r="K2556" s="281">
        <f>+Tabla4[[#This Row],[Precio Unitario Neto]]*Tabla4[[#Headers],[20.85%]]</f>
        <v>45.892934999999994</v>
      </c>
      <c r="L2556" s="282">
        <f>++Tabla4[[#This Row],[Precio Unitario Neto]]-Tabla4[[#This Row],[20.85%]]</f>
        <v>174.21706499999999</v>
      </c>
      <c r="M2556" s="282" t="e">
        <f>(INDEX(Tabla6[#All],MATCH(Tabla4[[#This Row],[Producto]],Tabla6[[#All],[PRODUCTO]],0),MATCH(Tabla4[[#This Row],[Mes]],Tabla6[#Headers],0)))*(1+Catalogos!$L$2)</f>
        <v>#N/A</v>
      </c>
      <c r="N2556" s="283" t="e">
        <f>+(Tabla4[[#This Row],[Precio Descontado]]-Tabla4[[#This Row],[Precio Base]])*Tabla4[[#This Row],[Cantidad]]</f>
        <v>#N/A</v>
      </c>
      <c r="O2556" s="284" t="e">
        <f>++Tabla4[[#This Row],[Utilidad Total]]/Tabla4[[#This Row],[Total]]</f>
        <v>#N/A</v>
      </c>
      <c r="P2556" s="282">
        <f>++Tabla4[[#This Row],[Precio Descontado]]*Tabla4[[#This Row],[Cantidad]]</f>
        <v>348.43412999999998</v>
      </c>
      <c r="Q2556" s="282" t="e">
        <f>(INDEX(Tabla6[#All],MATCH(Tabla4[[#This Row],[Producto]],Tabla6[[#All],[PRODUCTO]],0),MATCH(Tabla4[[#This Row],[Mes]],Tabla6[#Headers],0)))</f>
        <v>#N/A</v>
      </c>
      <c r="R2556" s="282" t="e">
        <f>++Tabla4[[#This Row],[Precio Unitario Neto]]-Tabla4[[#This Row],[20.85%]]-Tabla4[[#This Row],[Costo]]</f>
        <v>#N/A</v>
      </c>
      <c r="S2556" s="282" t="e">
        <f>++Tabla4[[#This Row],[U. Bruta Uni]]*Tabla4[[#This Row],[Cantidad]]</f>
        <v>#N/A</v>
      </c>
      <c r="T2556" s="369" t="str">
        <f>VLOOKUP(Tabla4[[#This Row],[Producto]],Tabla6[#All],14,FALSE)</f>
        <v>Termico Solar</v>
      </c>
      <c r="U2556" s="284" t="e">
        <f>(IF(Tabla4[[#This Row],[Familia]]="termico solar",Tabla4[[#This Row],[Utilidad Total]]*6%,Tabla4[[#This Row],[Utilidad Total]]*11.5%))/Tabla4[[#This Row],[Total]]</f>
        <v>#N/A</v>
      </c>
      <c r="V2556" s="282" t="e">
        <f>+Tabla4[[#This Row],[Comisión Calculada]]*Tabla4[[#This Row],[Total]]</f>
        <v>#N/A</v>
      </c>
    </row>
    <row r="2557" spans="1:22" hidden="1" x14ac:dyDescent="0.25">
      <c r="A2557" s="100">
        <v>45777</v>
      </c>
      <c r="B2557" t="str">
        <f t="shared" si="122"/>
        <v>April</v>
      </c>
      <c r="C2557" s="46" t="s">
        <v>280</v>
      </c>
      <c r="F2557" s="366" t="s">
        <v>1694</v>
      </c>
      <c r="G2557" s="46" t="s">
        <v>566</v>
      </c>
      <c r="H2557" s="46">
        <v>1</v>
      </c>
      <c r="I2557" s="51">
        <v>2109.4499999999998</v>
      </c>
      <c r="J2557" s="281">
        <f>++Tabla4[[#This Row],[Precio Bruto]]*1.16</f>
        <v>2446.9619999999995</v>
      </c>
      <c r="K2557" s="281">
        <f>+Tabla4[[#This Row],[Precio Unitario Neto]]*Tabla4[[#Headers],[20.85%]]</f>
        <v>510.19157699999988</v>
      </c>
      <c r="L2557" s="282">
        <f>++Tabla4[[#This Row],[Precio Unitario Neto]]-Tabla4[[#This Row],[20.85%]]</f>
        <v>1936.7704229999997</v>
      </c>
      <c r="M2557" s="282" t="e">
        <f>(INDEX(Tabla6[#All],MATCH(Tabla4[[#This Row],[Producto]],Tabla6[[#All],[PRODUCTO]],0),MATCH(Tabla4[[#This Row],[Mes]],Tabla6[#Headers],0)))*(1+Catalogos!$L$2)</f>
        <v>#N/A</v>
      </c>
      <c r="N2557" s="283" t="e">
        <f>+(Tabla4[[#This Row],[Precio Descontado]]-Tabla4[[#This Row],[Precio Base]])*Tabla4[[#This Row],[Cantidad]]</f>
        <v>#N/A</v>
      </c>
      <c r="O2557" s="284" t="e">
        <f>++Tabla4[[#This Row],[Utilidad Total]]/Tabla4[[#This Row],[Total]]</f>
        <v>#N/A</v>
      </c>
      <c r="P2557" s="282">
        <f>++Tabla4[[#This Row],[Precio Descontado]]*Tabla4[[#This Row],[Cantidad]]</f>
        <v>1936.7704229999997</v>
      </c>
      <c r="Q2557" s="282" t="e">
        <f>(INDEX(Tabla6[#All],MATCH(Tabla4[[#This Row],[Producto]],Tabla6[[#All],[PRODUCTO]],0),MATCH(Tabla4[[#This Row],[Mes]],Tabla6[#Headers],0)))</f>
        <v>#N/A</v>
      </c>
      <c r="R2557" s="282" t="e">
        <f>++Tabla4[[#This Row],[Precio Unitario Neto]]-Tabla4[[#This Row],[20.85%]]-Tabla4[[#This Row],[Costo]]</f>
        <v>#N/A</v>
      </c>
      <c r="S2557" s="282" t="e">
        <f>++Tabla4[[#This Row],[U. Bruta Uni]]*Tabla4[[#This Row],[Cantidad]]</f>
        <v>#N/A</v>
      </c>
      <c r="T2557" s="369" t="str">
        <f>VLOOKUP(Tabla4[[#This Row],[Producto]],Tabla6[#All],14,FALSE)</f>
        <v>Termico Solar</v>
      </c>
      <c r="U2557" s="284" t="e">
        <f>(IF(Tabla4[[#This Row],[Familia]]="termico solar",Tabla4[[#This Row],[Utilidad Total]]*6%,Tabla4[[#This Row],[Utilidad Total]]*11.5%))/Tabla4[[#This Row],[Total]]</f>
        <v>#N/A</v>
      </c>
      <c r="V2557" s="282" t="e">
        <f>+Tabla4[[#This Row],[Comisión Calculada]]*Tabla4[[#This Row],[Total]]</f>
        <v>#N/A</v>
      </c>
    </row>
    <row r="2558" spans="1:22" hidden="1" x14ac:dyDescent="0.25">
      <c r="A2558" s="100">
        <v>45777</v>
      </c>
      <c r="B2558" t="str">
        <f t="shared" si="122"/>
        <v>April</v>
      </c>
      <c r="C2558" s="46" t="s">
        <v>280</v>
      </c>
      <c r="F2558" s="366" t="s">
        <v>1695</v>
      </c>
      <c r="G2558" s="46" t="s">
        <v>17</v>
      </c>
      <c r="H2558" s="46">
        <v>3</v>
      </c>
      <c r="I2558" s="51">
        <v>4622.28</v>
      </c>
      <c r="J2558" s="281">
        <f>++Tabla4[[#This Row],[Precio Bruto]]*1.16</f>
        <v>5361.8447999999989</v>
      </c>
      <c r="K2558" s="281">
        <f>+Tabla4[[#This Row],[Precio Unitario Neto]]*Tabla4[[#Headers],[20.85%]]</f>
        <v>1117.9446407999997</v>
      </c>
      <c r="L2558" s="282">
        <f>++Tabla4[[#This Row],[Precio Unitario Neto]]-Tabla4[[#This Row],[20.85%]]</f>
        <v>4243.9001591999995</v>
      </c>
      <c r="M2558" s="282" t="e">
        <f>(INDEX(Tabla6[#All],MATCH(Tabla4[[#This Row],[Producto]],Tabla6[[#All],[PRODUCTO]],0),MATCH(Tabla4[[#This Row],[Mes]],Tabla6[#Headers],0)))*(1+Catalogos!$L$2)</f>
        <v>#N/A</v>
      </c>
      <c r="N2558" s="283" t="e">
        <f>+(Tabla4[[#This Row],[Precio Descontado]]-Tabla4[[#This Row],[Precio Base]])*Tabla4[[#This Row],[Cantidad]]</f>
        <v>#N/A</v>
      </c>
      <c r="O2558" s="284" t="e">
        <f>++Tabla4[[#This Row],[Utilidad Total]]/Tabla4[[#This Row],[Total]]</f>
        <v>#N/A</v>
      </c>
      <c r="P2558" s="282">
        <f>++Tabla4[[#This Row],[Precio Descontado]]*Tabla4[[#This Row],[Cantidad]]</f>
        <v>12731.700477599999</v>
      </c>
      <c r="Q2558" s="282" t="e">
        <f>(INDEX(Tabla6[#All],MATCH(Tabla4[[#This Row],[Producto]],Tabla6[[#All],[PRODUCTO]],0),MATCH(Tabla4[[#This Row],[Mes]],Tabla6[#Headers],0)))</f>
        <v>#N/A</v>
      </c>
      <c r="R2558" s="282" t="e">
        <f>++Tabla4[[#This Row],[Precio Unitario Neto]]-Tabla4[[#This Row],[20.85%]]-Tabla4[[#This Row],[Costo]]</f>
        <v>#N/A</v>
      </c>
      <c r="S2558" s="282" t="e">
        <f>++Tabla4[[#This Row],[U. Bruta Uni]]*Tabla4[[#This Row],[Cantidad]]</f>
        <v>#N/A</v>
      </c>
      <c r="T2558" s="369" t="str">
        <f>VLOOKUP(Tabla4[[#This Row],[Producto]],Tabla6[#All],14,FALSE)</f>
        <v>Termico Solar</v>
      </c>
      <c r="U2558" s="284" t="e">
        <f>(IF(Tabla4[[#This Row],[Familia]]="termico solar",Tabla4[[#This Row],[Utilidad Total]]*6%,Tabla4[[#This Row],[Utilidad Total]]*11.5%))/Tabla4[[#This Row],[Total]]</f>
        <v>#N/A</v>
      </c>
      <c r="V2558" s="282" t="e">
        <f>+Tabla4[[#This Row],[Comisión Calculada]]*Tabla4[[#This Row],[Total]]</f>
        <v>#N/A</v>
      </c>
    </row>
    <row r="2559" spans="1:22" hidden="1" x14ac:dyDescent="0.25">
      <c r="A2559" s="100">
        <v>45777</v>
      </c>
      <c r="B2559" t="str">
        <f t="shared" si="122"/>
        <v>April</v>
      </c>
      <c r="C2559" s="46" t="s">
        <v>280</v>
      </c>
      <c r="F2559" s="366" t="s">
        <v>1695</v>
      </c>
      <c r="G2559" s="46" t="s">
        <v>566</v>
      </c>
      <c r="H2559" s="46">
        <v>1</v>
      </c>
      <c r="I2559" s="51">
        <v>2109.4499999999998</v>
      </c>
      <c r="J2559" s="281">
        <f>++Tabla4[[#This Row],[Precio Bruto]]*1.16</f>
        <v>2446.9619999999995</v>
      </c>
      <c r="K2559" s="281">
        <f>+Tabla4[[#This Row],[Precio Unitario Neto]]*Tabla4[[#Headers],[20.85%]]</f>
        <v>510.19157699999988</v>
      </c>
      <c r="L2559" s="282">
        <f>++Tabla4[[#This Row],[Precio Unitario Neto]]-Tabla4[[#This Row],[20.85%]]</f>
        <v>1936.7704229999997</v>
      </c>
      <c r="M2559" s="282" t="e">
        <f>(INDEX(Tabla6[#All],MATCH(Tabla4[[#This Row],[Producto]],Tabla6[[#All],[PRODUCTO]],0),MATCH(Tabla4[[#This Row],[Mes]],Tabla6[#Headers],0)))*(1+Catalogos!$L$2)</f>
        <v>#N/A</v>
      </c>
      <c r="N2559" s="283" t="e">
        <f>+(Tabla4[[#This Row],[Precio Descontado]]-Tabla4[[#This Row],[Precio Base]])*Tabla4[[#This Row],[Cantidad]]</f>
        <v>#N/A</v>
      </c>
      <c r="O2559" s="284" t="e">
        <f>++Tabla4[[#This Row],[Utilidad Total]]/Tabla4[[#This Row],[Total]]</f>
        <v>#N/A</v>
      </c>
      <c r="P2559" s="282">
        <f>++Tabla4[[#This Row],[Precio Descontado]]*Tabla4[[#This Row],[Cantidad]]</f>
        <v>1936.7704229999997</v>
      </c>
      <c r="Q2559" s="282" t="e">
        <f>(INDEX(Tabla6[#All],MATCH(Tabla4[[#This Row],[Producto]],Tabla6[[#All],[PRODUCTO]],0),MATCH(Tabla4[[#This Row],[Mes]],Tabla6[#Headers],0)))</f>
        <v>#N/A</v>
      </c>
      <c r="R2559" s="282" t="e">
        <f>++Tabla4[[#This Row],[Precio Unitario Neto]]-Tabla4[[#This Row],[20.85%]]-Tabla4[[#This Row],[Costo]]</f>
        <v>#N/A</v>
      </c>
      <c r="S2559" s="282" t="e">
        <f>++Tabla4[[#This Row],[U. Bruta Uni]]*Tabla4[[#This Row],[Cantidad]]</f>
        <v>#N/A</v>
      </c>
      <c r="T2559" s="369" t="str">
        <f>VLOOKUP(Tabla4[[#This Row],[Producto]],Tabla6[#All],14,FALSE)</f>
        <v>Termico Solar</v>
      </c>
      <c r="U2559" s="284" t="e">
        <f>(IF(Tabla4[[#This Row],[Familia]]="termico solar",Tabla4[[#This Row],[Utilidad Total]]*6%,Tabla4[[#This Row],[Utilidad Total]]*11.5%))/Tabla4[[#This Row],[Total]]</f>
        <v>#N/A</v>
      </c>
      <c r="V2559" s="282" t="e">
        <f>+Tabla4[[#This Row],[Comisión Calculada]]*Tabla4[[#This Row],[Total]]</f>
        <v>#N/A</v>
      </c>
    </row>
    <row r="2560" spans="1:22" hidden="1" x14ac:dyDescent="0.25">
      <c r="A2560" s="100">
        <v>45777</v>
      </c>
      <c r="B2560" t="str">
        <f t="shared" si="122"/>
        <v>April</v>
      </c>
      <c r="C2560" s="46" t="s">
        <v>280</v>
      </c>
      <c r="F2560" s="366" t="s">
        <v>1696</v>
      </c>
      <c r="G2560" s="46" t="s">
        <v>566</v>
      </c>
      <c r="H2560" s="46">
        <v>1</v>
      </c>
      <c r="I2560" s="51">
        <v>2109.4499999999998</v>
      </c>
      <c r="J2560" s="281">
        <f>++Tabla4[[#This Row],[Precio Bruto]]*1.16</f>
        <v>2446.9619999999995</v>
      </c>
      <c r="K2560" s="281">
        <f>+Tabla4[[#This Row],[Precio Unitario Neto]]*Tabla4[[#Headers],[20.85%]]</f>
        <v>510.19157699999988</v>
      </c>
      <c r="L2560" s="282">
        <f>++Tabla4[[#This Row],[Precio Unitario Neto]]-Tabla4[[#This Row],[20.85%]]</f>
        <v>1936.7704229999997</v>
      </c>
      <c r="M2560" s="282" t="e">
        <f>(INDEX(Tabla6[#All],MATCH(Tabla4[[#This Row],[Producto]],Tabla6[[#All],[PRODUCTO]],0),MATCH(Tabla4[[#This Row],[Mes]],Tabla6[#Headers],0)))*(1+Catalogos!$L$2)</f>
        <v>#N/A</v>
      </c>
      <c r="N2560" s="283" t="e">
        <f>+(Tabla4[[#This Row],[Precio Descontado]]-Tabla4[[#This Row],[Precio Base]])*Tabla4[[#This Row],[Cantidad]]</f>
        <v>#N/A</v>
      </c>
      <c r="O2560" s="284" t="e">
        <f>++Tabla4[[#This Row],[Utilidad Total]]/Tabla4[[#This Row],[Total]]</f>
        <v>#N/A</v>
      </c>
      <c r="P2560" s="282">
        <f>++Tabla4[[#This Row],[Precio Descontado]]*Tabla4[[#This Row],[Cantidad]]</f>
        <v>1936.7704229999997</v>
      </c>
      <c r="Q2560" s="282" t="e">
        <f>(INDEX(Tabla6[#All],MATCH(Tabla4[[#This Row],[Producto]],Tabla6[[#All],[PRODUCTO]],0),MATCH(Tabla4[[#This Row],[Mes]],Tabla6[#Headers],0)))</f>
        <v>#N/A</v>
      </c>
      <c r="R2560" s="282" t="e">
        <f>++Tabla4[[#This Row],[Precio Unitario Neto]]-Tabla4[[#This Row],[20.85%]]-Tabla4[[#This Row],[Costo]]</f>
        <v>#N/A</v>
      </c>
      <c r="S2560" s="282" t="e">
        <f>++Tabla4[[#This Row],[U. Bruta Uni]]*Tabla4[[#This Row],[Cantidad]]</f>
        <v>#N/A</v>
      </c>
      <c r="T2560" s="369" t="str">
        <f>VLOOKUP(Tabla4[[#This Row],[Producto]],Tabla6[#All],14,FALSE)</f>
        <v>Termico Solar</v>
      </c>
      <c r="U2560" s="284" t="e">
        <f>(IF(Tabla4[[#This Row],[Familia]]="termico solar",Tabla4[[#This Row],[Utilidad Total]]*6%,Tabla4[[#This Row],[Utilidad Total]]*11.5%))/Tabla4[[#This Row],[Total]]</f>
        <v>#N/A</v>
      </c>
      <c r="V2560" s="282" t="e">
        <f>+Tabla4[[#This Row],[Comisión Calculada]]*Tabla4[[#This Row],[Total]]</f>
        <v>#N/A</v>
      </c>
    </row>
    <row r="2561" spans="1:22" hidden="1" x14ac:dyDescent="0.25">
      <c r="A2561" s="100">
        <v>45777</v>
      </c>
      <c r="B2561" t="str">
        <f t="shared" si="122"/>
        <v>April</v>
      </c>
      <c r="C2561" s="46" t="s">
        <v>280</v>
      </c>
      <c r="F2561" s="366" t="s">
        <v>1696</v>
      </c>
      <c r="G2561" s="46" t="s">
        <v>16</v>
      </c>
      <c r="H2561" s="46">
        <v>1</v>
      </c>
      <c r="I2561" s="51">
        <v>4103.8500000000004</v>
      </c>
      <c r="J2561" s="281">
        <f>++Tabla4[[#This Row],[Precio Bruto]]*1.16</f>
        <v>4760.4660000000003</v>
      </c>
      <c r="K2561" s="281">
        <f>+Tabla4[[#This Row],[Precio Unitario Neto]]*Tabla4[[#Headers],[20.85%]]</f>
        <v>992.55716100000006</v>
      </c>
      <c r="L2561" s="282">
        <f>++Tabla4[[#This Row],[Precio Unitario Neto]]-Tabla4[[#This Row],[20.85%]]</f>
        <v>3767.9088390000002</v>
      </c>
      <c r="M2561" s="282" t="e">
        <f>(INDEX(Tabla6[#All],MATCH(Tabla4[[#This Row],[Producto]],Tabla6[[#All],[PRODUCTO]],0),MATCH(Tabla4[[#This Row],[Mes]],Tabla6[#Headers],0)))*(1+Catalogos!$L$2)</f>
        <v>#N/A</v>
      </c>
      <c r="N2561" s="283" t="e">
        <f>+(Tabla4[[#This Row],[Precio Descontado]]-Tabla4[[#This Row],[Precio Base]])*Tabla4[[#This Row],[Cantidad]]</f>
        <v>#N/A</v>
      </c>
      <c r="O2561" s="284" t="e">
        <f>++Tabla4[[#This Row],[Utilidad Total]]/Tabla4[[#This Row],[Total]]</f>
        <v>#N/A</v>
      </c>
      <c r="P2561" s="282">
        <f>++Tabla4[[#This Row],[Precio Descontado]]*Tabla4[[#This Row],[Cantidad]]</f>
        <v>3767.9088390000002</v>
      </c>
      <c r="Q2561" s="282" t="e">
        <f>(INDEX(Tabla6[#All],MATCH(Tabla4[[#This Row],[Producto]],Tabla6[[#All],[PRODUCTO]],0),MATCH(Tabla4[[#This Row],[Mes]],Tabla6[#Headers],0)))</f>
        <v>#N/A</v>
      </c>
      <c r="R2561" s="282" t="e">
        <f>++Tabla4[[#This Row],[Precio Unitario Neto]]-Tabla4[[#This Row],[20.85%]]-Tabla4[[#This Row],[Costo]]</f>
        <v>#N/A</v>
      </c>
      <c r="S2561" s="282" t="e">
        <f>++Tabla4[[#This Row],[U. Bruta Uni]]*Tabla4[[#This Row],[Cantidad]]</f>
        <v>#N/A</v>
      </c>
      <c r="T2561" s="369" t="str">
        <f>VLOOKUP(Tabla4[[#This Row],[Producto]],Tabla6[#All],14,FALSE)</f>
        <v>Termico Solar</v>
      </c>
      <c r="U2561" s="284" t="e">
        <f>(IF(Tabla4[[#This Row],[Familia]]="termico solar",Tabla4[[#This Row],[Utilidad Total]]*6%,Tabla4[[#This Row],[Utilidad Total]]*11.5%))/Tabla4[[#This Row],[Total]]</f>
        <v>#N/A</v>
      </c>
      <c r="V2561" s="282" t="e">
        <f>+Tabla4[[#This Row],[Comisión Calculada]]*Tabla4[[#This Row],[Total]]</f>
        <v>#N/A</v>
      </c>
    </row>
    <row r="2562" spans="1:22" hidden="1" x14ac:dyDescent="0.25">
      <c r="A2562" s="100">
        <v>45777</v>
      </c>
      <c r="B2562" t="str">
        <f t="shared" si="122"/>
        <v>April</v>
      </c>
      <c r="C2562" s="46" t="s">
        <v>280</v>
      </c>
      <c r="F2562" s="366" t="s">
        <v>1697</v>
      </c>
      <c r="G2562" s="46" t="s">
        <v>17</v>
      </c>
      <c r="H2562" s="46">
        <v>3</v>
      </c>
      <c r="I2562" s="51">
        <v>4622.28</v>
      </c>
      <c r="J2562" s="281">
        <f>++Tabla4[[#This Row],[Precio Bruto]]*1.16</f>
        <v>5361.8447999999989</v>
      </c>
      <c r="K2562" s="281">
        <f>+Tabla4[[#This Row],[Precio Unitario Neto]]*Tabla4[[#Headers],[20.85%]]</f>
        <v>1117.9446407999997</v>
      </c>
      <c r="L2562" s="282">
        <f>++Tabla4[[#This Row],[Precio Unitario Neto]]-Tabla4[[#This Row],[20.85%]]</f>
        <v>4243.9001591999995</v>
      </c>
      <c r="M2562" s="282" t="e">
        <f>(INDEX(Tabla6[#All],MATCH(Tabla4[[#This Row],[Producto]],Tabla6[[#All],[PRODUCTO]],0),MATCH(Tabla4[[#This Row],[Mes]],Tabla6[#Headers],0)))*(1+Catalogos!$L$2)</f>
        <v>#N/A</v>
      </c>
      <c r="N2562" s="283" t="e">
        <f>+(Tabla4[[#This Row],[Precio Descontado]]-Tabla4[[#This Row],[Precio Base]])*Tabla4[[#This Row],[Cantidad]]</f>
        <v>#N/A</v>
      </c>
      <c r="O2562" s="284" t="e">
        <f>++Tabla4[[#This Row],[Utilidad Total]]/Tabla4[[#This Row],[Total]]</f>
        <v>#N/A</v>
      </c>
      <c r="P2562" s="282">
        <f>++Tabla4[[#This Row],[Precio Descontado]]*Tabla4[[#This Row],[Cantidad]]</f>
        <v>12731.700477599999</v>
      </c>
      <c r="Q2562" s="282" t="e">
        <f>(INDEX(Tabla6[#All],MATCH(Tabla4[[#This Row],[Producto]],Tabla6[[#All],[PRODUCTO]],0),MATCH(Tabla4[[#This Row],[Mes]],Tabla6[#Headers],0)))</f>
        <v>#N/A</v>
      </c>
      <c r="R2562" s="282" t="e">
        <f>++Tabla4[[#This Row],[Precio Unitario Neto]]-Tabla4[[#This Row],[20.85%]]-Tabla4[[#This Row],[Costo]]</f>
        <v>#N/A</v>
      </c>
      <c r="S2562" s="282" t="e">
        <f>++Tabla4[[#This Row],[U. Bruta Uni]]*Tabla4[[#This Row],[Cantidad]]</f>
        <v>#N/A</v>
      </c>
      <c r="T2562" s="369" t="str">
        <f>VLOOKUP(Tabla4[[#This Row],[Producto]],Tabla6[#All],14,FALSE)</f>
        <v>Termico Solar</v>
      </c>
      <c r="U2562" s="284" t="e">
        <f>(IF(Tabla4[[#This Row],[Familia]]="termico solar",Tabla4[[#This Row],[Utilidad Total]]*6%,Tabla4[[#This Row],[Utilidad Total]]*11.5%))/Tabla4[[#This Row],[Total]]</f>
        <v>#N/A</v>
      </c>
      <c r="V2562" s="282" t="e">
        <f>+Tabla4[[#This Row],[Comisión Calculada]]*Tabla4[[#This Row],[Total]]</f>
        <v>#N/A</v>
      </c>
    </row>
    <row r="2563" spans="1:22" hidden="1" x14ac:dyDescent="0.25">
      <c r="A2563" s="100">
        <v>45777</v>
      </c>
      <c r="B2563" t="str">
        <f t="shared" si="122"/>
        <v>April</v>
      </c>
      <c r="C2563" s="46" t="s">
        <v>280</v>
      </c>
      <c r="F2563" s="366" t="s">
        <v>1697</v>
      </c>
      <c r="G2563" s="46" t="s">
        <v>18</v>
      </c>
      <c r="H2563" s="46">
        <v>5</v>
      </c>
      <c r="I2563" s="51">
        <v>5367.65</v>
      </c>
      <c r="J2563" s="281">
        <f>++Tabla4[[#This Row],[Precio Bruto]]*1.16</f>
        <v>6226.4739999999993</v>
      </c>
      <c r="K2563" s="281">
        <f>+Tabla4[[#This Row],[Precio Unitario Neto]]*Tabla4[[#Headers],[20.85%]]</f>
        <v>1298.2198289999999</v>
      </c>
      <c r="L2563" s="282">
        <f>++Tabla4[[#This Row],[Precio Unitario Neto]]-Tabla4[[#This Row],[20.85%]]</f>
        <v>4928.2541709999996</v>
      </c>
      <c r="M2563" s="282" t="e">
        <f>(INDEX(Tabla6[#All],MATCH(Tabla4[[#This Row],[Producto]],Tabla6[[#All],[PRODUCTO]],0),MATCH(Tabla4[[#This Row],[Mes]],Tabla6[#Headers],0)))*(1+Catalogos!$L$2)</f>
        <v>#N/A</v>
      </c>
      <c r="N2563" s="283" t="e">
        <f>+(Tabla4[[#This Row],[Precio Descontado]]-Tabla4[[#This Row],[Precio Base]])*Tabla4[[#This Row],[Cantidad]]</f>
        <v>#N/A</v>
      </c>
      <c r="O2563" s="284" t="e">
        <f>++Tabla4[[#This Row],[Utilidad Total]]/Tabla4[[#This Row],[Total]]</f>
        <v>#N/A</v>
      </c>
      <c r="P2563" s="282">
        <f>++Tabla4[[#This Row],[Precio Descontado]]*Tabla4[[#This Row],[Cantidad]]</f>
        <v>24641.270854999999</v>
      </c>
      <c r="Q2563" s="282" t="e">
        <f>(INDEX(Tabla6[#All],MATCH(Tabla4[[#This Row],[Producto]],Tabla6[[#All],[PRODUCTO]],0),MATCH(Tabla4[[#This Row],[Mes]],Tabla6[#Headers],0)))</f>
        <v>#N/A</v>
      </c>
      <c r="R2563" s="282" t="e">
        <f>++Tabla4[[#This Row],[Precio Unitario Neto]]-Tabla4[[#This Row],[20.85%]]-Tabla4[[#This Row],[Costo]]</f>
        <v>#N/A</v>
      </c>
      <c r="S2563" s="282" t="e">
        <f>++Tabla4[[#This Row],[U. Bruta Uni]]*Tabla4[[#This Row],[Cantidad]]</f>
        <v>#N/A</v>
      </c>
      <c r="T2563" s="369" t="str">
        <f>VLOOKUP(Tabla4[[#This Row],[Producto]],Tabla6[#All],14,FALSE)</f>
        <v>Termico Solar</v>
      </c>
      <c r="U2563" s="284" t="e">
        <f>(IF(Tabla4[[#This Row],[Familia]]="termico solar",Tabla4[[#This Row],[Utilidad Total]]*6%,Tabla4[[#This Row],[Utilidad Total]]*11.5%))/Tabla4[[#This Row],[Total]]</f>
        <v>#N/A</v>
      </c>
      <c r="V2563" s="282" t="e">
        <f>+Tabla4[[#This Row],[Comisión Calculada]]*Tabla4[[#This Row],[Total]]</f>
        <v>#N/A</v>
      </c>
    </row>
    <row r="2564" spans="1:22" hidden="1" x14ac:dyDescent="0.25">
      <c r="A2564" s="100">
        <v>45777</v>
      </c>
      <c r="B2564" t="str">
        <f t="shared" si="122"/>
        <v>April</v>
      </c>
      <c r="C2564" s="46" t="s">
        <v>280</v>
      </c>
      <c r="F2564" s="366" t="s">
        <v>1697</v>
      </c>
      <c r="G2564" s="46" t="s">
        <v>208</v>
      </c>
      <c r="H2564" s="46">
        <v>1</v>
      </c>
      <c r="I2564" s="51">
        <v>189.75</v>
      </c>
      <c r="J2564" s="281">
        <f>++Tabla4[[#This Row],[Precio Bruto]]*1.16</f>
        <v>220.10999999999999</v>
      </c>
      <c r="K2564" s="281">
        <f>+Tabla4[[#This Row],[Precio Unitario Neto]]*Tabla4[[#Headers],[20.85%]]</f>
        <v>45.892934999999994</v>
      </c>
      <c r="L2564" s="282">
        <f>++Tabla4[[#This Row],[Precio Unitario Neto]]-Tabla4[[#This Row],[20.85%]]</f>
        <v>174.21706499999999</v>
      </c>
      <c r="M2564" s="282" t="e">
        <f>(INDEX(Tabla6[#All],MATCH(Tabla4[[#This Row],[Producto]],Tabla6[[#All],[PRODUCTO]],0),MATCH(Tabla4[[#This Row],[Mes]],Tabla6[#Headers],0)))*(1+Catalogos!$L$2)</f>
        <v>#N/A</v>
      </c>
      <c r="N2564" s="283" t="e">
        <f>+(Tabla4[[#This Row],[Precio Descontado]]-Tabla4[[#This Row],[Precio Base]])*Tabla4[[#This Row],[Cantidad]]</f>
        <v>#N/A</v>
      </c>
      <c r="O2564" s="284" t="e">
        <f>++Tabla4[[#This Row],[Utilidad Total]]/Tabla4[[#This Row],[Total]]</f>
        <v>#N/A</v>
      </c>
      <c r="P2564" s="282">
        <f>++Tabla4[[#This Row],[Precio Descontado]]*Tabla4[[#This Row],[Cantidad]]</f>
        <v>174.21706499999999</v>
      </c>
      <c r="Q2564" s="282" t="e">
        <f>(INDEX(Tabla6[#All],MATCH(Tabla4[[#This Row],[Producto]],Tabla6[[#All],[PRODUCTO]],0),MATCH(Tabla4[[#This Row],[Mes]],Tabla6[#Headers],0)))</f>
        <v>#N/A</v>
      </c>
      <c r="R2564" s="282" t="e">
        <f>++Tabla4[[#This Row],[Precio Unitario Neto]]-Tabla4[[#This Row],[20.85%]]-Tabla4[[#This Row],[Costo]]</f>
        <v>#N/A</v>
      </c>
      <c r="S2564" s="282" t="e">
        <f>++Tabla4[[#This Row],[U. Bruta Uni]]*Tabla4[[#This Row],[Cantidad]]</f>
        <v>#N/A</v>
      </c>
      <c r="T2564" s="369" t="str">
        <f>VLOOKUP(Tabla4[[#This Row],[Producto]],Tabla6[#All],14,FALSE)</f>
        <v>Termico Solar</v>
      </c>
      <c r="U2564" s="284" t="e">
        <f>(IF(Tabla4[[#This Row],[Familia]]="termico solar",Tabla4[[#This Row],[Utilidad Total]]*6%,Tabla4[[#This Row],[Utilidad Total]]*11.5%))/Tabla4[[#This Row],[Total]]</f>
        <v>#N/A</v>
      </c>
      <c r="V2564" s="282" t="e">
        <f>+Tabla4[[#This Row],[Comisión Calculada]]*Tabla4[[#This Row],[Total]]</f>
        <v>#N/A</v>
      </c>
    </row>
    <row r="2565" spans="1:22" hidden="1" x14ac:dyDescent="0.25">
      <c r="A2565" s="100">
        <v>45777</v>
      </c>
      <c r="B2565" t="str">
        <f t="shared" si="122"/>
        <v>April</v>
      </c>
      <c r="C2565" s="46" t="s">
        <v>280</v>
      </c>
      <c r="F2565" s="366" t="s">
        <v>1698</v>
      </c>
      <c r="G2565" s="46" t="s">
        <v>18</v>
      </c>
      <c r="H2565" s="46">
        <v>18</v>
      </c>
      <c r="I2565" s="51">
        <v>5367.65</v>
      </c>
      <c r="J2565" s="281">
        <f>++Tabla4[[#This Row],[Precio Bruto]]*1.16</f>
        <v>6226.4739999999993</v>
      </c>
      <c r="K2565" s="281">
        <f>+Tabla4[[#This Row],[Precio Unitario Neto]]*Tabla4[[#Headers],[20.85%]]</f>
        <v>1298.2198289999999</v>
      </c>
      <c r="L2565" s="282">
        <f>++Tabla4[[#This Row],[Precio Unitario Neto]]-Tabla4[[#This Row],[20.85%]]</f>
        <v>4928.2541709999996</v>
      </c>
      <c r="M2565" s="282" t="e">
        <f>(INDEX(Tabla6[#All],MATCH(Tabla4[[#This Row],[Producto]],Tabla6[[#All],[PRODUCTO]],0),MATCH(Tabla4[[#This Row],[Mes]],Tabla6[#Headers],0)))*(1+Catalogos!$L$2)</f>
        <v>#N/A</v>
      </c>
      <c r="N2565" s="283" t="e">
        <f>+(Tabla4[[#This Row],[Precio Descontado]]-Tabla4[[#This Row],[Precio Base]])*Tabla4[[#This Row],[Cantidad]]</f>
        <v>#N/A</v>
      </c>
      <c r="O2565" s="284" t="e">
        <f>++Tabla4[[#This Row],[Utilidad Total]]/Tabla4[[#This Row],[Total]]</f>
        <v>#N/A</v>
      </c>
      <c r="P2565" s="282">
        <f>++Tabla4[[#This Row],[Precio Descontado]]*Tabla4[[#This Row],[Cantidad]]</f>
        <v>88708.575077999994</v>
      </c>
      <c r="Q2565" s="282" t="e">
        <f>(INDEX(Tabla6[#All],MATCH(Tabla4[[#This Row],[Producto]],Tabla6[[#All],[PRODUCTO]],0),MATCH(Tabla4[[#This Row],[Mes]],Tabla6[#Headers],0)))</f>
        <v>#N/A</v>
      </c>
      <c r="R2565" s="282" t="e">
        <f>++Tabla4[[#This Row],[Precio Unitario Neto]]-Tabla4[[#This Row],[20.85%]]-Tabla4[[#This Row],[Costo]]</f>
        <v>#N/A</v>
      </c>
      <c r="S2565" s="282" t="e">
        <f>++Tabla4[[#This Row],[U. Bruta Uni]]*Tabla4[[#This Row],[Cantidad]]</f>
        <v>#N/A</v>
      </c>
      <c r="T2565" s="369" t="str">
        <f>VLOOKUP(Tabla4[[#This Row],[Producto]],Tabla6[#All],14,FALSE)</f>
        <v>Termico Solar</v>
      </c>
      <c r="U2565" s="284" t="e">
        <f>(IF(Tabla4[[#This Row],[Familia]]="termico solar",Tabla4[[#This Row],[Utilidad Total]]*6%,Tabla4[[#This Row],[Utilidad Total]]*11.5%))/Tabla4[[#This Row],[Total]]</f>
        <v>#N/A</v>
      </c>
      <c r="V2565" s="282" t="e">
        <f>+Tabla4[[#This Row],[Comisión Calculada]]*Tabla4[[#This Row],[Total]]</f>
        <v>#N/A</v>
      </c>
    </row>
    <row r="2566" spans="1:22" hidden="1" x14ac:dyDescent="0.25">
      <c r="A2566" s="100">
        <v>45777</v>
      </c>
      <c r="B2566" t="str">
        <f t="shared" si="122"/>
        <v>April</v>
      </c>
      <c r="C2566" s="46" t="s">
        <v>280</v>
      </c>
      <c r="F2566" s="366" t="s">
        <v>1698</v>
      </c>
      <c r="G2566" s="46" t="s">
        <v>16</v>
      </c>
      <c r="H2566" s="46">
        <v>7</v>
      </c>
      <c r="I2566" s="51">
        <v>4103.8500000000004</v>
      </c>
      <c r="J2566" s="281">
        <f>++Tabla4[[#This Row],[Precio Bruto]]*1.16</f>
        <v>4760.4660000000003</v>
      </c>
      <c r="K2566" s="281">
        <f>+Tabla4[[#This Row],[Precio Unitario Neto]]*Tabla4[[#Headers],[20.85%]]</f>
        <v>992.55716100000006</v>
      </c>
      <c r="L2566" s="282">
        <f>++Tabla4[[#This Row],[Precio Unitario Neto]]-Tabla4[[#This Row],[20.85%]]</f>
        <v>3767.9088390000002</v>
      </c>
      <c r="M2566" s="282" t="e">
        <f>(INDEX(Tabla6[#All],MATCH(Tabla4[[#This Row],[Producto]],Tabla6[[#All],[PRODUCTO]],0),MATCH(Tabla4[[#This Row],[Mes]],Tabla6[#Headers],0)))*(1+Catalogos!$L$2)</f>
        <v>#N/A</v>
      </c>
      <c r="N2566" s="283" t="e">
        <f>+(Tabla4[[#This Row],[Precio Descontado]]-Tabla4[[#This Row],[Precio Base]])*Tabla4[[#This Row],[Cantidad]]</f>
        <v>#N/A</v>
      </c>
      <c r="O2566" s="284" t="e">
        <f>++Tabla4[[#This Row],[Utilidad Total]]/Tabla4[[#This Row],[Total]]</f>
        <v>#N/A</v>
      </c>
      <c r="P2566" s="282">
        <f>++Tabla4[[#This Row],[Precio Descontado]]*Tabla4[[#This Row],[Cantidad]]</f>
        <v>26375.361873000002</v>
      </c>
      <c r="Q2566" s="282" t="e">
        <f>(INDEX(Tabla6[#All],MATCH(Tabla4[[#This Row],[Producto]],Tabla6[[#All],[PRODUCTO]],0),MATCH(Tabla4[[#This Row],[Mes]],Tabla6[#Headers],0)))</f>
        <v>#N/A</v>
      </c>
      <c r="R2566" s="282" t="e">
        <f>++Tabla4[[#This Row],[Precio Unitario Neto]]-Tabla4[[#This Row],[20.85%]]-Tabla4[[#This Row],[Costo]]</f>
        <v>#N/A</v>
      </c>
      <c r="S2566" s="282" t="e">
        <f>++Tabla4[[#This Row],[U. Bruta Uni]]*Tabla4[[#This Row],[Cantidad]]</f>
        <v>#N/A</v>
      </c>
      <c r="T2566" s="369" t="str">
        <f>VLOOKUP(Tabla4[[#This Row],[Producto]],Tabla6[#All],14,FALSE)</f>
        <v>Termico Solar</v>
      </c>
      <c r="U2566" s="284" t="e">
        <f>(IF(Tabla4[[#This Row],[Familia]]="termico solar",Tabla4[[#This Row],[Utilidad Total]]*6%,Tabla4[[#This Row],[Utilidad Total]]*11.5%))/Tabla4[[#This Row],[Total]]</f>
        <v>#N/A</v>
      </c>
      <c r="V2566" s="282" t="e">
        <f>+Tabla4[[#This Row],[Comisión Calculada]]*Tabla4[[#This Row],[Total]]</f>
        <v>#N/A</v>
      </c>
    </row>
    <row r="2567" spans="1:22" hidden="1" x14ac:dyDescent="0.25">
      <c r="A2567" s="100">
        <v>45777</v>
      </c>
      <c r="B2567" t="str">
        <f t="shared" si="122"/>
        <v>April</v>
      </c>
      <c r="C2567" s="46" t="s">
        <v>280</v>
      </c>
      <c r="F2567" s="366" t="s">
        <v>1699</v>
      </c>
      <c r="G2567" s="46" t="s">
        <v>18</v>
      </c>
      <c r="H2567" s="46">
        <v>2</v>
      </c>
      <c r="I2567" s="51">
        <v>5367.65</v>
      </c>
      <c r="J2567" s="281">
        <f>++Tabla4[[#This Row],[Precio Bruto]]*1.16</f>
        <v>6226.4739999999993</v>
      </c>
      <c r="K2567" s="281">
        <f>+Tabla4[[#This Row],[Precio Unitario Neto]]*Tabla4[[#Headers],[20.85%]]</f>
        <v>1298.2198289999999</v>
      </c>
      <c r="L2567" s="282">
        <f>++Tabla4[[#This Row],[Precio Unitario Neto]]-Tabla4[[#This Row],[20.85%]]</f>
        <v>4928.2541709999996</v>
      </c>
      <c r="M2567" s="282" t="e">
        <f>(INDEX(Tabla6[#All],MATCH(Tabla4[[#This Row],[Producto]],Tabla6[[#All],[PRODUCTO]],0),MATCH(Tabla4[[#This Row],[Mes]],Tabla6[#Headers],0)))*(1+Catalogos!$L$2)</f>
        <v>#N/A</v>
      </c>
      <c r="N2567" s="283" t="e">
        <f>+(Tabla4[[#This Row],[Precio Descontado]]-Tabla4[[#This Row],[Precio Base]])*Tabla4[[#This Row],[Cantidad]]</f>
        <v>#N/A</v>
      </c>
      <c r="O2567" s="284" t="e">
        <f>++Tabla4[[#This Row],[Utilidad Total]]/Tabla4[[#This Row],[Total]]</f>
        <v>#N/A</v>
      </c>
      <c r="P2567" s="282">
        <f>++Tabla4[[#This Row],[Precio Descontado]]*Tabla4[[#This Row],[Cantidad]]</f>
        <v>9856.5083419999992</v>
      </c>
      <c r="Q2567" s="282" t="e">
        <f>(INDEX(Tabla6[#All],MATCH(Tabla4[[#This Row],[Producto]],Tabla6[[#All],[PRODUCTO]],0),MATCH(Tabla4[[#This Row],[Mes]],Tabla6[#Headers],0)))</f>
        <v>#N/A</v>
      </c>
      <c r="R2567" s="282" t="e">
        <f>++Tabla4[[#This Row],[Precio Unitario Neto]]-Tabla4[[#This Row],[20.85%]]-Tabla4[[#This Row],[Costo]]</f>
        <v>#N/A</v>
      </c>
      <c r="S2567" s="282" t="e">
        <f>++Tabla4[[#This Row],[U. Bruta Uni]]*Tabla4[[#This Row],[Cantidad]]</f>
        <v>#N/A</v>
      </c>
      <c r="T2567" s="369" t="str">
        <f>VLOOKUP(Tabla4[[#This Row],[Producto]],Tabla6[#All],14,FALSE)</f>
        <v>Termico Solar</v>
      </c>
      <c r="U2567" s="284" t="e">
        <f>(IF(Tabla4[[#This Row],[Familia]]="termico solar",Tabla4[[#This Row],[Utilidad Total]]*6%,Tabla4[[#This Row],[Utilidad Total]]*11.5%))/Tabla4[[#This Row],[Total]]</f>
        <v>#N/A</v>
      </c>
      <c r="V2567" s="282" t="e">
        <f>+Tabla4[[#This Row],[Comisión Calculada]]*Tabla4[[#This Row],[Total]]</f>
        <v>#N/A</v>
      </c>
    </row>
    <row r="2568" spans="1:22" hidden="1" x14ac:dyDescent="0.25">
      <c r="A2568" s="100">
        <v>45777</v>
      </c>
      <c r="B2568" t="str">
        <f t="shared" si="122"/>
        <v>April</v>
      </c>
      <c r="C2568" s="46" t="s">
        <v>280</v>
      </c>
      <c r="F2568" s="366" t="s">
        <v>1700</v>
      </c>
      <c r="G2568" s="46" t="s">
        <v>83</v>
      </c>
      <c r="H2568" s="46">
        <v>4</v>
      </c>
      <c r="I2568" s="51">
        <v>8858.76</v>
      </c>
      <c r="J2568" s="281">
        <f>++Tabla4[[#This Row],[Precio Bruto]]*1.16</f>
        <v>10276.161599999999</v>
      </c>
      <c r="K2568" s="281">
        <f>+Tabla4[[#This Row],[Precio Unitario Neto]]*Tabla4[[#Headers],[20.85%]]</f>
        <v>2142.5796935999997</v>
      </c>
      <c r="L2568" s="282">
        <f>++Tabla4[[#This Row],[Precio Unitario Neto]]-Tabla4[[#This Row],[20.85%]]</f>
        <v>8133.5819063999998</v>
      </c>
      <c r="M2568" s="282" t="e">
        <f>(INDEX(Tabla6[#All],MATCH(Tabla4[[#This Row],[Producto]],Tabla6[[#All],[PRODUCTO]],0),MATCH(Tabla4[[#This Row],[Mes]],Tabla6[#Headers],0)))*(1+Catalogos!$L$2)</f>
        <v>#N/A</v>
      </c>
      <c r="N2568" s="283" t="e">
        <f>+(Tabla4[[#This Row],[Precio Descontado]]-Tabla4[[#This Row],[Precio Base]])*Tabla4[[#This Row],[Cantidad]]</f>
        <v>#N/A</v>
      </c>
      <c r="O2568" s="284" t="e">
        <f>++Tabla4[[#This Row],[Utilidad Total]]/Tabla4[[#This Row],[Total]]</f>
        <v>#N/A</v>
      </c>
      <c r="P2568" s="282">
        <f>++Tabla4[[#This Row],[Precio Descontado]]*Tabla4[[#This Row],[Cantidad]]</f>
        <v>32534.327625599999</v>
      </c>
      <c r="Q2568" s="282" t="e">
        <f>(INDEX(Tabla6[#All],MATCH(Tabla4[[#This Row],[Producto]],Tabla6[[#All],[PRODUCTO]],0),MATCH(Tabla4[[#This Row],[Mes]],Tabla6[#Headers],0)))</f>
        <v>#N/A</v>
      </c>
      <c r="R2568" s="282" t="e">
        <f>++Tabla4[[#This Row],[Precio Unitario Neto]]-Tabla4[[#This Row],[20.85%]]-Tabla4[[#This Row],[Costo]]</f>
        <v>#N/A</v>
      </c>
      <c r="S2568" s="282" t="e">
        <f>++Tabla4[[#This Row],[U. Bruta Uni]]*Tabla4[[#This Row],[Cantidad]]</f>
        <v>#N/A</v>
      </c>
      <c r="T2568" s="369" t="str">
        <f>VLOOKUP(Tabla4[[#This Row],[Producto]],Tabla6[#All],14,FALSE)</f>
        <v>Termico Solar</v>
      </c>
      <c r="U2568" s="284" t="e">
        <f>(IF(Tabla4[[#This Row],[Familia]]="termico solar",Tabla4[[#This Row],[Utilidad Total]]*6%,Tabla4[[#This Row],[Utilidad Total]]*11.5%))/Tabla4[[#This Row],[Total]]</f>
        <v>#N/A</v>
      </c>
      <c r="V2568" s="282" t="e">
        <f>+Tabla4[[#This Row],[Comisión Calculada]]*Tabla4[[#This Row],[Total]]</f>
        <v>#N/A</v>
      </c>
    </row>
    <row r="2569" spans="1:22" hidden="1" x14ac:dyDescent="0.25">
      <c r="A2569" s="100">
        <v>45777</v>
      </c>
      <c r="B2569" t="str">
        <f t="shared" si="122"/>
        <v>April</v>
      </c>
      <c r="C2569" s="46" t="s">
        <v>280</v>
      </c>
      <c r="F2569" s="366" t="s">
        <v>1700</v>
      </c>
      <c r="G2569" s="46" t="s">
        <v>17</v>
      </c>
      <c r="H2569" s="46">
        <v>9</v>
      </c>
      <c r="I2569" s="51">
        <v>4622.28</v>
      </c>
      <c r="J2569" s="281">
        <f>++Tabla4[[#This Row],[Precio Bruto]]*1.16</f>
        <v>5361.8447999999989</v>
      </c>
      <c r="K2569" s="281">
        <f>+Tabla4[[#This Row],[Precio Unitario Neto]]*Tabla4[[#Headers],[20.85%]]</f>
        <v>1117.9446407999997</v>
      </c>
      <c r="L2569" s="282">
        <f>++Tabla4[[#This Row],[Precio Unitario Neto]]-Tabla4[[#This Row],[20.85%]]</f>
        <v>4243.9001591999995</v>
      </c>
      <c r="M2569" s="282" t="e">
        <f>(INDEX(Tabla6[#All],MATCH(Tabla4[[#This Row],[Producto]],Tabla6[[#All],[PRODUCTO]],0),MATCH(Tabla4[[#This Row],[Mes]],Tabla6[#Headers],0)))*(1+Catalogos!$L$2)</f>
        <v>#N/A</v>
      </c>
      <c r="N2569" s="283" t="e">
        <f>+(Tabla4[[#This Row],[Precio Descontado]]-Tabla4[[#This Row],[Precio Base]])*Tabla4[[#This Row],[Cantidad]]</f>
        <v>#N/A</v>
      </c>
      <c r="O2569" s="284" t="e">
        <f>++Tabla4[[#This Row],[Utilidad Total]]/Tabla4[[#This Row],[Total]]</f>
        <v>#N/A</v>
      </c>
      <c r="P2569" s="282">
        <f>++Tabla4[[#This Row],[Precio Descontado]]*Tabla4[[#This Row],[Cantidad]]</f>
        <v>38195.101432799995</v>
      </c>
      <c r="Q2569" s="282" t="e">
        <f>(INDEX(Tabla6[#All],MATCH(Tabla4[[#This Row],[Producto]],Tabla6[[#All],[PRODUCTO]],0),MATCH(Tabla4[[#This Row],[Mes]],Tabla6[#Headers],0)))</f>
        <v>#N/A</v>
      </c>
      <c r="R2569" s="282" t="e">
        <f>++Tabla4[[#This Row],[Precio Unitario Neto]]-Tabla4[[#This Row],[20.85%]]-Tabla4[[#This Row],[Costo]]</f>
        <v>#N/A</v>
      </c>
      <c r="S2569" s="282" t="e">
        <f>++Tabla4[[#This Row],[U. Bruta Uni]]*Tabla4[[#This Row],[Cantidad]]</f>
        <v>#N/A</v>
      </c>
      <c r="T2569" s="369" t="str">
        <f>VLOOKUP(Tabla4[[#This Row],[Producto]],Tabla6[#All],14,FALSE)</f>
        <v>Termico Solar</v>
      </c>
      <c r="U2569" s="284" t="e">
        <f>(IF(Tabla4[[#This Row],[Familia]]="termico solar",Tabla4[[#This Row],[Utilidad Total]]*6%,Tabla4[[#This Row],[Utilidad Total]]*11.5%))/Tabla4[[#This Row],[Total]]</f>
        <v>#N/A</v>
      </c>
      <c r="V2569" s="282" t="e">
        <f>+Tabla4[[#This Row],[Comisión Calculada]]*Tabla4[[#This Row],[Total]]</f>
        <v>#N/A</v>
      </c>
    </row>
    <row r="2570" spans="1:22" hidden="1" x14ac:dyDescent="0.25">
      <c r="A2570" s="100">
        <v>45777</v>
      </c>
      <c r="B2570" t="str">
        <f t="shared" si="122"/>
        <v>April</v>
      </c>
      <c r="C2570" s="46" t="s">
        <v>280</v>
      </c>
      <c r="F2570" s="366" t="s">
        <v>1700</v>
      </c>
      <c r="G2570" s="46" t="s">
        <v>18</v>
      </c>
      <c r="H2570" s="46">
        <v>23</v>
      </c>
      <c r="I2570" s="51">
        <v>5367.65</v>
      </c>
      <c r="J2570" s="281">
        <f>++Tabla4[[#This Row],[Precio Bruto]]*1.16</f>
        <v>6226.4739999999993</v>
      </c>
      <c r="K2570" s="281">
        <f>+Tabla4[[#This Row],[Precio Unitario Neto]]*Tabla4[[#Headers],[20.85%]]</f>
        <v>1298.2198289999999</v>
      </c>
      <c r="L2570" s="282">
        <f>++Tabla4[[#This Row],[Precio Unitario Neto]]-Tabla4[[#This Row],[20.85%]]</f>
        <v>4928.2541709999996</v>
      </c>
      <c r="M2570" s="282" t="e">
        <f>(INDEX(Tabla6[#All],MATCH(Tabla4[[#This Row],[Producto]],Tabla6[[#All],[PRODUCTO]],0),MATCH(Tabla4[[#This Row],[Mes]],Tabla6[#Headers],0)))*(1+Catalogos!$L$2)</f>
        <v>#N/A</v>
      </c>
      <c r="N2570" s="283" t="e">
        <f>+(Tabla4[[#This Row],[Precio Descontado]]-Tabla4[[#This Row],[Precio Base]])*Tabla4[[#This Row],[Cantidad]]</f>
        <v>#N/A</v>
      </c>
      <c r="O2570" s="284" t="e">
        <f>++Tabla4[[#This Row],[Utilidad Total]]/Tabla4[[#This Row],[Total]]</f>
        <v>#N/A</v>
      </c>
      <c r="P2570" s="282">
        <f>++Tabla4[[#This Row],[Precio Descontado]]*Tabla4[[#This Row],[Cantidad]]</f>
        <v>113349.84593299999</v>
      </c>
      <c r="Q2570" s="282" t="e">
        <f>(INDEX(Tabla6[#All],MATCH(Tabla4[[#This Row],[Producto]],Tabla6[[#All],[PRODUCTO]],0),MATCH(Tabla4[[#This Row],[Mes]],Tabla6[#Headers],0)))</f>
        <v>#N/A</v>
      </c>
      <c r="R2570" s="282" t="e">
        <f>++Tabla4[[#This Row],[Precio Unitario Neto]]-Tabla4[[#This Row],[20.85%]]-Tabla4[[#This Row],[Costo]]</f>
        <v>#N/A</v>
      </c>
      <c r="S2570" s="282" t="e">
        <f>++Tabla4[[#This Row],[U. Bruta Uni]]*Tabla4[[#This Row],[Cantidad]]</f>
        <v>#N/A</v>
      </c>
      <c r="T2570" s="369" t="str">
        <f>VLOOKUP(Tabla4[[#This Row],[Producto]],Tabla6[#All],14,FALSE)</f>
        <v>Termico Solar</v>
      </c>
      <c r="U2570" s="284" t="e">
        <f>(IF(Tabla4[[#This Row],[Familia]]="termico solar",Tabla4[[#This Row],[Utilidad Total]]*6%,Tabla4[[#This Row],[Utilidad Total]]*11.5%))/Tabla4[[#This Row],[Total]]</f>
        <v>#N/A</v>
      </c>
      <c r="V2570" s="282" t="e">
        <f>+Tabla4[[#This Row],[Comisión Calculada]]*Tabla4[[#This Row],[Total]]</f>
        <v>#N/A</v>
      </c>
    </row>
    <row r="2571" spans="1:22" hidden="1" x14ac:dyDescent="0.25">
      <c r="A2571" s="100">
        <v>45777</v>
      </c>
      <c r="B2571" t="str">
        <f t="shared" si="122"/>
        <v>April</v>
      </c>
      <c r="C2571" s="46" t="s">
        <v>280</v>
      </c>
      <c r="F2571" s="366" t="s">
        <v>1700</v>
      </c>
      <c r="G2571" s="46" t="s">
        <v>16</v>
      </c>
      <c r="H2571" s="46">
        <v>13</v>
      </c>
      <c r="I2571" s="51">
        <v>4103.8500000000004</v>
      </c>
      <c r="J2571" s="281">
        <f>++Tabla4[[#This Row],[Precio Bruto]]*1.16</f>
        <v>4760.4660000000003</v>
      </c>
      <c r="K2571" s="281">
        <f>+Tabla4[[#This Row],[Precio Unitario Neto]]*Tabla4[[#Headers],[20.85%]]</f>
        <v>992.55716100000006</v>
      </c>
      <c r="L2571" s="282">
        <f>++Tabla4[[#This Row],[Precio Unitario Neto]]-Tabla4[[#This Row],[20.85%]]</f>
        <v>3767.9088390000002</v>
      </c>
      <c r="M2571" s="282" t="e">
        <f>(INDEX(Tabla6[#All],MATCH(Tabla4[[#This Row],[Producto]],Tabla6[[#All],[PRODUCTO]],0),MATCH(Tabla4[[#This Row],[Mes]],Tabla6[#Headers],0)))*(1+Catalogos!$L$2)</f>
        <v>#N/A</v>
      </c>
      <c r="N2571" s="283" t="e">
        <f>+(Tabla4[[#This Row],[Precio Descontado]]-Tabla4[[#This Row],[Precio Base]])*Tabla4[[#This Row],[Cantidad]]</f>
        <v>#N/A</v>
      </c>
      <c r="O2571" s="284" t="e">
        <f>++Tabla4[[#This Row],[Utilidad Total]]/Tabla4[[#This Row],[Total]]</f>
        <v>#N/A</v>
      </c>
      <c r="P2571" s="282">
        <f>++Tabla4[[#This Row],[Precio Descontado]]*Tabla4[[#This Row],[Cantidad]]</f>
        <v>48982.814907</v>
      </c>
      <c r="Q2571" s="282" t="e">
        <f>(INDEX(Tabla6[#All],MATCH(Tabla4[[#This Row],[Producto]],Tabla6[[#All],[PRODUCTO]],0),MATCH(Tabla4[[#This Row],[Mes]],Tabla6[#Headers],0)))</f>
        <v>#N/A</v>
      </c>
      <c r="R2571" s="282" t="e">
        <f>++Tabla4[[#This Row],[Precio Unitario Neto]]-Tabla4[[#This Row],[20.85%]]-Tabla4[[#This Row],[Costo]]</f>
        <v>#N/A</v>
      </c>
      <c r="S2571" s="282" t="e">
        <f>++Tabla4[[#This Row],[U. Bruta Uni]]*Tabla4[[#This Row],[Cantidad]]</f>
        <v>#N/A</v>
      </c>
      <c r="T2571" s="369" t="str">
        <f>VLOOKUP(Tabla4[[#This Row],[Producto]],Tabla6[#All],14,FALSE)</f>
        <v>Termico Solar</v>
      </c>
      <c r="U2571" s="284" t="e">
        <f>(IF(Tabla4[[#This Row],[Familia]]="termico solar",Tabla4[[#This Row],[Utilidad Total]]*6%,Tabla4[[#This Row],[Utilidad Total]]*11.5%))/Tabla4[[#This Row],[Total]]</f>
        <v>#N/A</v>
      </c>
      <c r="V2571" s="282" t="e">
        <f>+Tabla4[[#This Row],[Comisión Calculada]]*Tabla4[[#This Row],[Total]]</f>
        <v>#N/A</v>
      </c>
    </row>
    <row r="2572" spans="1:22" hidden="1" x14ac:dyDescent="0.25">
      <c r="A2572" s="100">
        <v>45777</v>
      </c>
      <c r="B2572" t="str">
        <f t="shared" si="122"/>
        <v>April</v>
      </c>
      <c r="C2572" s="46" t="s">
        <v>280</v>
      </c>
      <c r="F2572" s="366" t="s">
        <v>1701</v>
      </c>
      <c r="G2572" s="46" t="s">
        <v>566</v>
      </c>
      <c r="H2572" s="46">
        <v>1</v>
      </c>
      <c r="I2572" s="51">
        <v>2109.4499999999998</v>
      </c>
      <c r="J2572" s="281">
        <f>++Tabla4[[#This Row],[Precio Bruto]]*1.16</f>
        <v>2446.9619999999995</v>
      </c>
      <c r="K2572" s="281">
        <f>+Tabla4[[#This Row],[Precio Unitario Neto]]*Tabla4[[#Headers],[20.85%]]</f>
        <v>510.19157699999988</v>
      </c>
      <c r="L2572" s="282">
        <f>++Tabla4[[#This Row],[Precio Unitario Neto]]-Tabla4[[#This Row],[20.85%]]</f>
        <v>1936.7704229999997</v>
      </c>
      <c r="M2572" s="282" t="e">
        <f>(INDEX(Tabla6[#All],MATCH(Tabla4[[#This Row],[Producto]],Tabla6[[#All],[PRODUCTO]],0),MATCH(Tabla4[[#This Row],[Mes]],Tabla6[#Headers],0)))*(1+Catalogos!$L$2)</f>
        <v>#N/A</v>
      </c>
      <c r="N2572" s="283" t="e">
        <f>+(Tabla4[[#This Row],[Precio Descontado]]-Tabla4[[#This Row],[Precio Base]])*Tabla4[[#This Row],[Cantidad]]</f>
        <v>#N/A</v>
      </c>
      <c r="O2572" s="284" t="e">
        <f>++Tabla4[[#This Row],[Utilidad Total]]/Tabla4[[#This Row],[Total]]</f>
        <v>#N/A</v>
      </c>
      <c r="P2572" s="282">
        <f>++Tabla4[[#This Row],[Precio Descontado]]*Tabla4[[#This Row],[Cantidad]]</f>
        <v>1936.7704229999997</v>
      </c>
      <c r="Q2572" s="282" t="e">
        <f>(INDEX(Tabla6[#All],MATCH(Tabla4[[#This Row],[Producto]],Tabla6[[#All],[PRODUCTO]],0),MATCH(Tabla4[[#This Row],[Mes]],Tabla6[#Headers],0)))</f>
        <v>#N/A</v>
      </c>
      <c r="R2572" s="282" t="e">
        <f>++Tabla4[[#This Row],[Precio Unitario Neto]]-Tabla4[[#This Row],[20.85%]]-Tabla4[[#This Row],[Costo]]</f>
        <v>#N/A</v>
      </c>
      <c r="S2572" s="282" t="e">
        <f>++Tabla4[[#This Row],[U. Bruta Uni]]*Tabla4[[#This Row],[Cantidad]]</f>
        <v>#N/A</v>
      </c>
      <c r="T2572" s="369" t="str">
        <f>VLOOKUP(Tabla4[[#This Row],[Producto]],Tabla6[#All],14,FALSE)</f>
        <v>Termico Solar</v>
      </c>
      <c r="U2572" s="284" t="e">
        <f>(IF(Tabla4[[#This Row],[Familia]]="termico solar",Tabla4[[#This Row],[Utilidad Total]]*6%,Tabla4[[#This Row],[Utilidad Total]]*11.5%))/Tabla4[[#This Row],[Total]]</f>
        <v>#N/A</v>
      </c>
      <c r="V2572" s="282" t="e">
        <f>+Tabla4[[#This Row],[Comisión Calculada]]*Tabla4[[#This Row],[Total]]</f>
        <v>#N/A</v>
      </c>
    </row>
    <row r="2573" spans="1:22" hidden="1" x14ac:dyDescent="0.25">
      <c r="A2573" s="100">
        <v>45777</v>
      </c>
      <c r="B2573" t="str">
        <f t="shared" si="122"/>
        <v>April</v>
      </c>
      <c r="C2573" s="46" t="s">
        <v>280</v>
      </c>
      <c r="F2573" s="366" t="s">
        <v>1701</v>
      </c>
      <c r="G2573" s="46" t="s">
        <v>394</v>
      </c>
      <c r="H2573" s="46">
        <v>9</v>
      </c>
      <c r="I2573" s="51">
        <v>108.1</v>
      </c>
      <c r="J2573" s="281">
        <f>++Tabla4[[#This Row],[Precio Bruto]]*1.16</f>
        <v>125.39599999999999</v>
      </c>
      <c r="K2573" s="281">
        <f>+Tabla4[[#This Row],[Precio Unitario Neto]]*Tabla4[[#Headers],[20.85%]]</f>
        <v>26.145065999999996</v>
      </c>
      <c r="L2573" s="282">
        <f>++Tabla4[[#This Row],[Precio Unitario Neto]]-Tabla4[[#This Row],[20.85%]]</f>
        <v>99.250933999999987</v>
      </c>
      <c r="M2573" s="282" t="e">
        <f>(INDEX(Tabla6[#All],MATCH(Tabla4[[#This Row],[Producto]],Tabla6[[#All],[PRODUCTO]],0),MATCH(Tabla4[[#This Row],[Mes]],Tabla6[#Headers],0)))*(1+Catalogos!$L$2)</f>
        <v>#N/A</v>
      </c>
      <c r="N2573" s="283" t="e">
        <f>+(Tabla4[[#This Row],[Precio Descontado]]-Tabla4[[#This Row],[Precio Base]])*Tabla4[[#This Row],[Cantidad]]</f>
        <v>#N/A</v>
      </c>
      <c r="O2573" s="284" t="e">
        <f>++Tabla4[[#This Row],[Utilidad Total]]/Tabla4[[#This Row],[Total]]</f>
        <v>#N/A</v>
      </c>
      <c r="P2573" s="282">
        <f>++Tabla4[[#This Row],[Precio Descontado]]*Tabla4[[#This Row],[Cantidad]]</f>
        <v>893.25840599999992</v>
      </c>
      <c r="Q2573" s="282" t="e">
        <f>(INDEX(Tabla6[#All],MATCH(Tabla4[[#This Row],[Producto]],Tabla6[[#All],[PRODUCTO]],0),MATCH(Tabla4[[#This Row],[Mes]],Tabla6[#Headers],0)))</f>
        <v>#N/A</v>
      </c>
      <c r="R2573" s="282" t="e">
        <f>++Tabla4[[#This Row],[Precio Unitario Neto]]-Tabla4[[#This Row],[20.85%]]-Tabla4[[#This Row],[Costo]]</f>
        <v>#N/A</v>
      </c>
      <c r="S2573" s="282" t="e">
        <f>++Tabla4[[#This Row],[U. Bruta Uni]]*Tabla4[[#This Row],[Cantidad]]</f>
        <v>#N/A</v>
      </c>
      <c r="T2573" s="369" t="str">
        <f>VLOOKUP(Tabla4[[#This Row],[Producto]],Tabla6[#All],14,FALSE)</f>
        <v>Termico Solar</v>
      </c>
      <c r="U2573" s="284" t="e">
        <f>(IF(Tabla4[[#This Row],[Familia]]="termico solar",Tabla4[[#This Row],[Utilidad Total]]*6%,Tabla4[[#This Row],[Utilidad Total]]*11.5%))/Tabla4[[#This Row],[Total]]</f>
        <v>#N/A</v>
      </c>
      <c r="V2573" s="282" t="e">
        <f>+Tabla4[[#This Row],[Comisión Calculada]]*Tabla4[[#This Row],[Total]]</f>
        <v>#N/A</v>
      </c>
    </row>
    <row r="2574" spans="1:22" hidden="1" x14ac:dyDescent="0.25">
      <c r="A2574" s="100">
        <v>45777</v>
      </c>
      <c r="B2574" t="str">
        <f t="shared" si="122"/>
        <v>April</v>
      </c>
      <c r="C2574" s="46" t="s">
        <v>280</v>
      </c>
      <c r="F2574" s="366" t="s">
        <v>1701</v>
      </c>
      <c r="G2574" s="46" t="s">
        <v>16</v>
      </c>
      <c r="H2574" s="46">
        <v>2</v>
      </c>
      <c r="I2574" s="51">
        <v>4103.8500000000004</v>
      </c>
      <c r="J2574" s="281">
        <f>++Tabla4[[#This Row],[Precio Bruto]]*1.16</f>
        <v>4760.4660000000003</v>
      </c>
      <c r="K2574" s="281">
        <f>+Tabla4[[#This Row],[Precio Unitario Neto]]*Tabla4[[#Headers],[20.85%]]</f>
        <v>992.55716100000006</v>
      </c>
      <c r="L2574" s="282">
        <f>++Tabla4[[#This Row],[Precio Unitario Neto]]-Tabla4[[#This Row],[20.85%]]</f>
        <v>3767.9088390000002</v>
      </c>
      <c r="M2574" s="282" t="e">
        <f>(INDEX(Tabla6[#All],MATCH(Tabla4[[#This Row],[Producto]],Tabla6[[#All],[PRODUCTO]],0),MATCH(Tabla4[[#This Row],[Mes]],Tabla6[#Headers],0)))*(1+Catalogos!$L$2)</f>
        <v>#N/A</v>
      </c>
      <c r="N2574" s="283" t="e">
        <f>+(Tabla4[[#This Row],[Precio Descontado]]-Tabla4[[#This Row],[Precio Base]])*Tabla4[[#This Row],[Cantidad]]</f>
        <v>#N/A</v>
      </c>
      <c r="O2574" s="284" t="e">
        <f>++Tabla4[[#This Row],[Utilidad Total]]/Tabla4[[#This Row],[Total]]</f>
        <v>#N/A</v>
      </c>
      <c r="P2574" s="282">
        <f>++Tabla4[[#This Row],[Precio Descontado]]*Tabla4[[#This Row],[Cantidad]]</f>
        <v>7535.8176780000003</v>
      </c>
      <c r="Q2574" s="282" t="e">
        <f>(INDEX(Tabla6[#All],MATCH(Tabla4[[#This Row],[Producto]],Tabla6[[#All],[PRODUCTO]],0),MATCH(Tabla4[[#This Row],[Mes]],Tabla6[#Headers],0)))</f>
        <v>#N/A</v>
      </c>
      <c r="R2574" s="282" t="e">
        <f>++Tabla4[[#This Row],[Precio Unitario Neto]]-Tabla4[[#This Row],[20.85%]]-Tabla4[[#This Row],[Costo]]</f>
        <v>#N/A</v>
      </c>
      <c r="S2574" s="282" t="e">
        <f>++Tabla4[[#This Row],[U. Bruta Uni]]*Tabla4[[#This Row],[Cantidad]]</f>
        <v>#N/A</v>
      </c>
      <c r="T2574" s="369" t="str">
        <f>VLOOKUP(Tabla4[[#This Row],[Producto]],Tabla6[#All],14,FALSE)</f>
        <v>Termico Solar</v>
      </c>
      <c r="U2574" s="284" t="e">
        <f>(IF(Tabla4[[#This Row],[Familia]]="termico solar",Tabla4[[#This Row],[Utilidad Total]]*6%,Tabla4[[#This Row],[Utilidad Total]]*11.5%))/Tabla4[[#This Row],[Total]]</f>
        <v>#N/A</v>
      </c>
      <c r="V2574" s="282" t="e">
        <f>+Tabla4[[#This Row],[Comisión Calculada]]*Tabla4[[#This Row],[Total]]</f>
        <v>#N/A</v>
      </c>
    </row>
    <row r="2575" spans="1:22" hidden="1" x14ac:dyDescent="0.25">
      <c r="A2575" s="100">
        <v>45777</v>
      </c>
      <c r="B2575" t="str">
        <f t="shared" si="122"/>
        <v>April</v>
      </c>
      <c r="C2575" s="46" t="s">
        <v>280</v>
      </c>
      <c r="F2575" s="366" t="s">
        <v>1702</v>
      </c>
      <c r="G2575" s="46" t="s">
        <v>20</v>
      </c>
      <c r="H2575" s="46">
        <v>1</v>
      </c>
      <c r="I2575" s="51">
        <v>7751.98</v>
      </c>
      <c r="J2575" s="281">
        <f>++Tabla4[[#This Row],[Precio Bruto]]*1.16</f>
        <v>8992.2967999999983</v>
      </c>
      <c r="K2575" s="281">
        <f>+Tabla4[[#This Row],[Precio Unitario Neto]]*Tabla4[[#Headers],[20.85%]]</f>
        <v>1874.8938827999996</v>
      </c>
      <c r="L2575" s="282">
        <f>++Tabla4[[#This Row],[Precio Unitario Neto]]-Tabla4[[#This Row],[20.85%]]</f>
        <v>7117.4029171999991</v>
      </c>
      <c r="M2575" s="282" t="e">
        <f>(INDEX(Tabla6[#All],MATCH(Tabla4[[#This Row],[Producto]],Tabla6[[#All],[PRODUCTO]],0),MATCH(Tabla4[[#This Row],[Mes]],Tabla6[#Headers],0)))*(1+Catalogos!$L$2)</f>
        <v>#N/A</v>
      </c>
      <c r="N2575" s="283" t="e">
        <f>+(Tabla4[[#This Row],[Precio Descontado]]-Tabla4[[#This Row],[Precio Base]])*Tabla4[[#This Row],[Cantidad]]</f>
        <v>#N/A</v>
      </c>
      <c r="O2575" s="284" t="e">
        <f>++Tabla4[[#This Row],[Utilidad Total]]/Tabla4[[#This Row],[Total]]</f>
        <v>#N/A</v>
      </c>
      <c r="P2575" s="282">
        <f>++Tabla4[[#This Row],[Precio Descontado]]*Tabla4[[#This Row],[Cantidad]]</f>
        <v>7117.4029171999991</v>
      </c>
      <c r="Q2575" s="282" t="e">
        <f>(INDEX(Tabla6[#All],MATCH(Tabla4[[#This Row],[Producto]],Tabla6[[#All],[PRODUCTO]],0),MATCH(Tabla4[[#This Row],[Mes]],Tabla6[#Headers],0)))</f>
        <v>#N/A</v>
      </c>
      <c r="R2575" s="282" t="e">
        <f>++Tabla4[[#This Row],[Precio Unitario Neto]]-Tabla4[[#This Row],[20.85%]]-Tabla4[[#This Row],[Costo]]</f>
        <v>#N/A</v>
      </c>
      <c r="S2575" s="282" t="e">
        <f>++Tabla4[[#This Row],[U. Bruta Uni]]*Tabla4[[#This Row],[Cantidad]]</f>
        <v>#N/A</v>
      </c>
      <c r="T2575" s="369" t="str">
        <f>VLOOKUP(Tabla4[[#This Row],[Producto]],Tabla6[#All],14,FALSE)</f>
        <v>Termico Solar</v>
      </c>
      <c r="U2575" s="284" t="e">
        <f>(IF(Tabla4[[#This Row],[Familia]]="termico solar",Tabla4[[#This Row],[Utilidad Total]]*6%,Tabla4[[#This Row],[Utilidad Total]]*11.5%))/Tabla4[[#This Row],[Total]]</f>
        <v>#N/A</v>
      </c>
      <c r="V2575" s="282" t="e">
        <f>+Tabla4[[#This Row],[Comisión Calculada]]*Tabla4[[#This Row],[Total]]</f>
        <v>#N/A</v>
      </c>
    </row>
    <row r="2576" spans="1:22" hidden="1" x14ac:dyDescent="0.25">
      <c r="A2576" s="100">
        <v>45777</v>
      </c>
      <c r="B2576" t="str">
        <f t="shared" si="122"/>
        <v>April</v>
      </c>
      <c r="C2576" s="46" t="s">
        <v>280</v>
      </c>
      <c r="F2576" s="366" t="s">
        <v>1703</v>
      </c>
      <c r="G2576" s="46" t="s">
        <v>83</v>
      </c>
      <c r="H2576" s="46">
        <v>2</v>
      </c>
      <c r="I2576" s="51">
        <v>8858.76</v>
      </c>
      <c r="J2576" s="281">
        <f>++Tabla4[[#This Row],[Precio Bruto]]*1.16</f>
        <v>10276.161599999999</v>
      </c>
      <c r="K2576" s="281">
        <f>+Tabla4[[#This Row],[Precio Unitario Neto]]*Tabla4[[#Headers],[20.85%]]</f>
        <v>2142.5796935999997</v>
      </c>
      <c r="L2576" s="282">
        <f>++Tabla4[[#This Row],[Precio Unitario Neto]]-Tabla4[[#This Row],[20.85%]]</f>
        <v>8133.5819063999998</v>
      </c>
      <c r="M2576" s="282" t="e">
        <f>(INDEX(Tabla6[#All],MATCH(Tabla4[[#This Row],[Producto]],Tabla6[[#All],[PRODUCTO]],0),MATCH(Tabla4[[#This Row],[Mes]],Tabla6[#Headers],0)))*(1+Catalogos!$L$2)</f>
        <v>#N/A</v>
      </c>
      <c r="N2576" s="283" t="e">
        <f>+(Tabla4[[#This Row],[Precio Descontado]]-Tabla4[[#This Row],[Precio Base]])*Tabla4[[#This Row],[Cantidad]]</f>
        <v>#N/A</v>
      </c>
      <c r="O2576" s="284" t="e">
        <f>++Tabla4[[#This Row],[Utilidad Total]]/Tabla4[[#This Row],[Total]]</f>
        <v>#N/A</v>
      </c>
      <c r="P2576" s="282">
        <f>++Tabla4[[#This Row],[Precio Descontado]]*Tabla4[[#This Row],[Cantidad]]</f>
        <v>16267.1638128</v>
      </c>
      <c r="Q2576" s="282" t="e">
        <f>(INDEX(Tabla6[#All],MATCH(Tabla4[[#This Row],[Producto]],Tabla6[[#All],[PRODUCTO]],0),MATCH(Tabla4[[#This Row],[Mes]],Tabla6[#Headers],0)))</f>
        <v>#N/A</v>
      </c>
      <c r="R2576" s="282" t="e">
        <f>++Tabla4[[#This Row],[Precio Unitario Neto]]-Tabla4[[#This Row],[20.85%]]-Tabla4[[#This Row],[Costo]]</f>
        <v>#N/A</v>
      </c>
      <c r="S2576" s="282" t="e">
        <f>++Tabla4[[#This Row],[U. Bruta Uni]]*Tabla4[[#This Row],[Cantidad]]</f>
        <v>#N/A</v>
      </c>
      <c r="T2576" s="369" t="str">
        <f>VLOOKUP(Tabla4[[#This Row],[Producto]],Tabla6[#All],14,FALSE)</f>
        <v>Termico Solar</v>
      </c>
      <c r="U2576" s="284" t="e">
        <f>(IF(Tabla4[[#This Row],[Familia]]="termico solar",Tabla4[[#This Row],[Utilidad Total]]*6%,Tabla4[[#This Row],[Utilidad Total]]*11.5%))/Tabla4[[#This Row],[Total]]</f>
        <v>#N/A</v>
      </c>
      <c r="V2576" s="282" t="e">
        <f>+Tabla4[[#This Row],[Comisión Calculada]]*Tabla4[[#This Row],[Total]]</f>
        <v>#N/A</v>
      </c>
    </row>
    <row r="2577" spans="1:22" hidden="1" x14ac:dyDescent="0.25">
      <c r="A2577" s="100">
        <v>45777</v>
      </c>
      <c r="B2577" t="str">
        <f t="shared" si="122"/>
        <v>April</v>
      </c>
      <c r="C2577" s="46" t="s">
        <v>280</v>
      </c>
      <c r="F2577" s="366" t="s">
        <v>1703</v>
      </c>
      <c r="G2577" s="46" t="s">
        <v>18</v>
      </c>
      <c r="H2577" s="46">
        <v>1</v>
      </c>
      <c r="I2577" s="51">
        <v>5367.65</v>
      </c>
      <c r="J2577" s="281">
        <f>++Tabla4[[#This Row],[Precio Bruto]]*1.16</f>
        <v>6226.4739999999993</v>
      </c>
      <c r="K2577" s="281">
        <f>+Tabla4[[#This Row],[Precio Unitario Neto]]*Tabla4[[#Headers],[20.85%]]</f>
        <v>1298.2198289999999</v>
      </c>
      <c r="L2577" s="282">
        <f>++Tabla4[[#This Row],[Precio Unitario Neto]]-Tabla4[[#This Row],[20.85%]]</f>
        <v>4928.2541709999996</v>
      </c>
      <c r="M2577" s="282" t="e">
        <f>(INDEX(Tabla6[#All],MATCH(Tabla4[[#This Row],[Producto]],Tabla6[[#All],[PRODUCTO]],0),MATCH(Tabla4[[#This Row],[Mes]],Tabla6[#Headers],0)))*(1+Catalogos!$L$2)</f>
        <v>#N/A</v>
      </c>
      <c r="N2577" s="283" t="e">
        <f>+(Tabla4[[#This Row],[Precio Descontado]]-Tabla4[[#This Row],[Precio Base]])*Tabla4[[#This Row],[Cantidad]]</f>
        <v>#N/A</v>
      </c>
      <c r="O2577" s="284" t="e">
        <f>++Tabla4[[#This Row],[Utilidad Total]]/Tabla4[[#This Row],[Total]]</f>
        <v>#N/A</v>
      </c>
      <c r="P2577" s="282">
        <f>++Tabla4[[#This Row],[Precio Descontado]]*Tabla4[[#This Row],[Cantidad]]</f>
        <v>4928.2541709999996</v>
      </c>
      <c r="Q2577" s="282" t="e">
        <f>(INDEX(Tabla6[#All],MATCH(Tabla4[[#This Row],[Producto]],Tabla6[[#All],[PRODUCTO]],0),MATCH(Tabla4[[#This Row],[Mes]],Tabla6[#Headers],0)))</f>
        <v>#N/A</v>
      </c>
      <c r="R2577" s="282" t="e">
        <f>++Tabla4[[#This Row],[Precio Unitario Neto]]-Tabla4[[#This Row],[20.85%]]-Tabla4[[#This Row],[Costo]]</f>
        <v>#N/A</v>
      </c>
      <c r="S2577" s="282" t="e">
        <f>++Tabla4[[#This Row],[U. Bruta Uni]]*Tabla4[[#This Row],[Cantidad]]</f>
        <v>#N/A</v>
      </c>
      <c r="T2577" s="369" t="str">
        <f>VLOOKUP(Tabla4[[#This Row],[Producto]],Tabla6[#All],14,FALSE)</f>
        <v>Termico Solar</v>
      </c>
      <c r="U2577" s="284" t="e">
        <f>(IF(Tabla4[[#This Row],[Familia]]="termico solar",Tabla4[[#This Row],[Utilidad Total]]*6%,Tabla4[[#This Row],[Utilidad Total]]*11.5%))/Tabla4[[#This Row],[Total]]</f>
        <v>#N/A</v>
      </c>
      <c r="V2577" s="282" t="e">
        <f>+Tabla4[[#This Row],[Comisión Calculada]]*Tabla4[[#This Row],[Total]]</f>
        <v>#N/A</v>
      </c>
    </row>
    <row r="2578" spans="1:22" hidden="1" x14ac:dyDescent="0.25">
      <c r="A2578" s="100">
        <v>45777</v>
      </c>
      <c r="B2578" t="str">
        <f t="shared" si="122"/>
        <v>April</v>
      </c>
      <c r="C2578" s="46" t="s">
        <v>280</v>
      </c>
      <c r="F2578" s="366" t="s">
        <v>1703</v>
      </c>
      <c r="G2578" s="46" t="s">
        <v>566</v>
      </c>
      <c r="H2578" s="46">
        <v>1</v>
      </c>
      <c r="I2578" s="51">
        <v>2109.4499999999998</v>
      </c>
      <c r="J2578" s="281">
        <f>++Tabla4[[#This Row],[Precio Bruto]]*1.16</f>
        <v>2446.9619999999995</v>
      </c>
      <c r="K2578" s="281">
        <f>+Tabla4[[#This Row],[Precio Unitario Neto]]*Tabla4[[#Headers],[20.85%]]</f>
        <v>510.19157699999988</v>
      </c>
      <c r="L2578" s="282">
        <f>++Tabla4[[#This Row],[Precio Unitario Neto]]-Tabla4[[#This Row],[20.85%]]</f>
        <v>1936.7704229999997</v>
      </c>
      <c r="M2578" s="282" t="e">
        <f>(INDEX(Tabla6[#All],MATCH(Tabla4[[#This Row],[Producto]],Tabla6[[#All],[PRODUCTO]],0),MATCH(Tabla4[[#This Row],[Mes]],Tabla6[#Headers],0)))*(1+Catalogos!$L$2)</f>
        <v>#N/A</v>
      </c>
      <c r="N2578" s="283" t="e">
        <f>+(Tabla4[[#This Row],[Precio Descontado]]-Tabla4[[#This Row],[Precio Base]])*Tabla4[[#This Row],[Cantidad]]</f>
        <v>#N/A</v>
      </c>
      <c r="O2578" s="284" t="e">
        <f>++Tabla4[[#This Row],[Utilidad Total]]/Tabla4[[#This Row],[Total]]</f>
        <v>#N/A</v>
      </c>
      <c r="P2578" s="282">
        <f>++Tabla4[[#This Row],[Precio Descontado]]*Tabla4[[#This Row],[Cantidad]]</f>
        <v>1936.7704229999997</v>
      </c>
      <c r="Q2578" s="282" t="e">
        <f>(INDEX(Tabla6[#All],MATCH(Tabla4[[#This Row],[Producto]],Tabla6[[#All],[PRODUCTO]],0),MATCH(Tabla4[[#This Row],[Mes]],Tabla6[#Headers],0)))</f>
        <v>#N/A</v>
      </c>
      <c r="R2578" s="282" t="e">
        <f>++Tabla4[[#This Row],[Precio Unitario Neto]]-Tabla4[[#This Row],[20.85%]]-Tabla4[[#This Row],[Costo]]</f>
        <v>#N/A</v>
      </c>
      <c r="S2578" s="282" t="e">
        <f>++Tabla4[[#This Row],[U. Bruta Uni]]*Tabla4[[#This Row],[Cantidad]]</f>
        <v>#N/A</v>
      </c>
      <c r="T2578" s="369" t="str">
        <f>VLOOKUP(Tabla4[[#This Row],[Producto]],Tabla6[#All],14,FALSE)</f>
        <v>Termico Solar</v>
      </c>
      <c r="U2578" s="284" t="e">
        <f>(IF(Tabla4[[#This Row],[Familia]]="termico solar",Tabla4[[#This Row],[Utilidad Total]]*6%,Tabla4[[#This Row],[Utilidad Total]]*11.5%))/Tabla4[[#This Row],[Total]]</f>
        <v>#N/A</v>
      </c>
      <c r="V2578" s="282" t="e">
        <f>+Tabla4[[#This Row],[Comisión Calculada]]*Tabla4[[#This Row],[Total]]</f>
        <v>#N/A</v>
      </c>
    </row>
    <row r="2579" spans="1:22" hidden="1" x14ac:dyDescent="0.25">
      <c r="A2579" s="100">
        <v>45777</v>
      </c>
      <c r="B2579" t="str">
        <f t="shared" si="122"/>
        <v>April</v>
      </c>
      <c r="C2579" s="46" t="s">
        <v>280</v>
      </c>
      <c r="F2579" s="366" t="s">
        <v>1704</v>
      </c>
      <c r="G2579" s="46" t="s">
        <v>83</v>
      </c>
      <c r="H2579" s="46">
        <v>1</v>
      </c>
      <c r="I2579" s="51">
        <v>8858.76</v>
      </c>
      <c r="J2579" s="281">
        <f>++Tabla4[[#This Row],[Precio Bruto]]*1.16</f>
        <v>10276.161599999999</v>
      </c>
      <c r="K2579" s="281">
        <f>+Tabla4[[#This Row],[Precio Unitario Neto]]*Tabla4[[#Headers],[20.85%]]</f>
        <v>2142.5796935999997</v>
      </c>
      <c r="L2579" s="282">
        <f>++Tabla4[[#This Row],[Precio Unitario Neto]]-Tabla4[[#This Row],[20.85%]]</f>
        <v>8133.5819063999998</v>
      </c>
      <c r="M2579" s="282" t="e">
        <f>(INDEX(Tabla6[#All],MATCH(Tabla4[[#This Row],[Producto]],Tabla6[[#All],[PRODUCTO]],0),MATCH(Tabla4[[#This Row],[Mes]],Tabla6[#Headers],0)))*(1+Catalogos!$L$2)</f>
        <v>#N/A</v>
      </c>
      <c r="N2579" s="283" t="e">
        <f>+(Tabla4[[#This Row],[Precio Descontado]]-Tabla4[[#This Row],[Precio Base]])*Tabla4[[#This Row],[Cantidad]]</f>
        <v>#N/A</v>
      </c>
      <c r="O2579" s="284" t="e">
        <f>++Tabla4[[#This Row],[Utilidad Total]]/Tabla4[[#This Row],[Total]]</f>
        <v>#N/A</v>
      </c>
      <c r="P2579" s="282">
        <f>++Tabla4[[#This Row],[Precio Descontado]]*Tabla4[[#This Row],[Cantidad]]</f>
        <v>8133.5819063999998</v>
      </c>
      <c r="Q2579" s="282" t="e">
        <f>(INDEX(Tabla6[#All],MATCH(Tabla4[[#This Row],[Producto]],Tabla6[[#All],[PRODUCTO]],0),MATCH(Tabla4[[#This Row],[Mes]],Tabla6[#Headers],0)))</f>
        <v>#N/A</v>
      </c>
      <c r="R2579" s="282" t="e">
        <f>++Tabla4[[#This Row],[Precio Unitario Neto]]-Tabla4[[#This Row],[20.85%]]-Tabla4[[#This Row],[Costo]]</f>
        <v>#N/A</v>
      </c>
      <c r="S2579" s="282" t="e">
        <f>++Tabla4[[#This Row],[U. Bruta Uni]]*Tabla4[[#This Row],[Cantidad]]</f>
        <v>#N/A</v>
      </c>
      <c r="T2579" s="369" t="str">
        <f>VLOOKUP(Tabla4[[#This Row],[Producto]],Tabla6[#All],14,FALSE)</f>
        <v>Termico Solar</v>
      </c>
      <c r="U2579" s="284" t="e">
        <f>(IF(Tabla4[[#This Row],[Familia]]="termico solar",Tabla4[[#This Row],[Utilidad Total]]*6%,Tabla4[[#This Row],[Utilidad Total]]*11.5%))/Tabla4[[#This Row],[Total]]</f>
        <v>#N/A</v>
      </c>
      <c r="V2579" s="282" t="e">
        <f>+Tabla4[[#This Row],[Comisión Calculada]]*Tabla4[[#This Row],[Total]]</f>
        <v>#N/A</v>
      </c>
    </row>
    <row r="2580" spans="1:22" hidden="1" x14ac:dyDescent="0.25">
      <c r="A2580" s="100">
        <v>45777</v>
      </c>
      <c r="B2580" t="str">
        <f t="shared" si="122"/>
        <v>April</v>
      </c>
      <c r="C2580" s="46" t="s">
        <v>280</v>
      </c>
      <c r="F2580" s="366" t="s">
        <v>1705</v>
      </c>
      <c r="G2580" s="46" t="s">
        <v>18</v>
      </c>
      <c r="H2580" s="46">
        <v>1</v>
      </c>
      <c r="I2580" s="51">
        <v>5367.65</v>
      </c>
      <c r="J2580" s="281">
        <f>++Tabla4[[#This Row],[Precio Bruto]]*1.16</f>
        <v>6226.4739999999993</v>
      </c>
      <c r="K2580" s="281">
        <f>+Tabla4[[#This Row],[Precio Unitario Neto]]*Tabla4[[#Headers],[20.85%]]</f>
        <v>1298.2198289999999</v>
      </c>
      <c r="L2580" s="282">
        <f>++Tabla4[[#This Row],[Precio Unitario Neto]]-Tabla4[[#This Row],[20.85%]]</f>
        <v>4928.2541709999996</v>
      </c>
      <c r="M2580" s="282" t="e">
        <f>(INDEX(Tabla6[#All],MATCH(Tabla4[[#This Row],[Producto]],Tabla6[[#All],[PRODUCTO]],0),MATCH(Tabla4[[#This Row],[Mes]],Tabla6[#Headers],0)))*(1+Catalogos!$L$2)</f>
        <v>#N/A</v>
      </c>
      <c r="N2580" s="283" t="e">
        <f>+(Tabla4[[#This Row],[Precio Descontado]]-Tabla4[[#This Row],[Precio Base]])*Tabla4[[#This Row],[Cantidad]]</f>
        <v>#N/A</v>
      </c>
      <c r="O2580" s="284" t="e">
        <f>++Tabla4[[#This Row],[Utilidad Total]]/Tabla4[[#This Row],[Total]]</f>
        <v>#N/A</v>
      </c>
      <c r="P2580" s="282">
        <f>++Tabla4[[#This Row],[Precio Descontado]]*Tabla4[[#This Row],[Cantidad]]</f>
        <v>4928.2541709999996</v>
      </c>
      <c r="Q2580" s="282" t="e">
        <f>(INDEX(Tabla6[#All],MATCH(Tabla4[[#This Row],[Producto]],Tabla6[[#All],[PRODUCTO]],0),MATCH(Tabla4[[#This Row],[Mes]],Tabla6[#Headers],0)))</f>
        <v>#N/A</v>
      </c>
      <c r="R2580" s="282" t="e">
        <f>++Tabla4[[#This Row],[Precio Unitario Neto]]-Tabla4[[#This Row],[20.85%]]-Tabla4[[#This Row],[Costo]]</f>
        <v>#N/A</v>
      </c>
      <c r="S2580" s="282" t="e">
        <f>++Tabla4[[#This Row],[U. Bruta Uni]]*Tabla4[[#This Row],[Cantidad]]</f>
        <v>#N/A</v>
      </c>
      <c r="T2580" s="369" t="str">
        <f>VLOOKUP(Tabla4[[#This Row],[Producto]],Tabla6[#All],14,FALSE)</f>
        <v>Termico Solar</v>
      </c>
      <c r="U2580" s="284" t="e">
        <f>(IF(Tabla4[[#This Row],[Familia]]="termico solar",Tabla4[[#This Row],[Utilidad Total]]*6%,Tabla4[[#This Row],[Utilidad Total]]*11.5%))/Tabla4[[#This Row],[Total]]</f>
        <v>#N/A</v>
      </c>
      <c r="V2580" s="282" t="e">
        <f>+Tabla4[[#This Row],[Comisión Calculada]]*Tabla4[[#This Row],[Total]]</f>
        <v>#N/A</v>
      </c>
    </row>
    <row r="2581" spans="1:22" hidden="1" x14ac:dyDescent="0.25">
      <c r="A2581" s="100">
        <v>45777</v>
      </c>
      <c r="B2581" t="str">
        <f t="shared" si="122"/>
        <v>April</v>
      </c>
      <c r="C2581" s="46" t="s">
        <v>280</v>
      </c>
      <c r="F2581" s="366" t="s">
        <v>1705</v>
      </c>
      <c r="G2581" s="46" t="s">
        <v>16</v>
      </c>
      <c r="H2581" s="46">
        <v>1</v>
      </c>
      <c r="I2581" s="51">
        <v>4103.8500000000004</v>
      </c>
      <c r="J2581" s="281">
        <f>++Tabla4[[#This Row],[Precio Bruto]]*1.16</f>
        <v>4760.4660000000003</v>
      </c>
      <c r="K2581" s="281">
        <f>+Tabla4[[#This Row],[Precio Unitario Neto]]*Tabla4[[#Headers],[20.85%]]</f>
        <v>992.55716100000006</v>
      </c>
      <c r="L2581" s="282">
        <f>++Tabla4[[#This Row],[Precio Unitario Neto]]-Tabla4[[#This Row],[20.85%]]</f>
        <v>3767.9088390000002</v>
      </c>
      <c r="M2581" s="282" t="e">
        <f>(INDEX(Tabla6[#All],MATCH(Tabla4[[#This Row],[Producto]],Tabla6[[#All],[PRODUCTO]],0),MATCH(Tabla4[[#This Row],[Mes]],Tabla6[#Headers],0)))*(1+Catalogos!$L$2)</f>
        <v>#N/A</v>
      </c>
      <c r="N2581" s="283" t="e">
        <f>+(Tabla4[[#This Row],[Precio Descontado]]-Tabla4[[#This Row],[Precio Base]])*Tabla4[[#This Row],[Cantidad]]</f>
        <v>#N/A</v>
      </c>
      <c r="O2581" s="284" t="e">
        <f>++Tabla4[[#This Row],[Utilidad Total]]/Tabla4[[#This Row],[Total]]</f>
        <v>#N/A</v>
      </c>
      <c r="P2581" s="282">
        <f>++Tabla4[[#This Row],[Precio Descontado]]*Tabla4[[#This Row],[Cantidad]]</f>
        <v>3767.9088390000002</v>
      </c>
      <c r="Q2581" s="282" t="e">
        <f>(INDEX(Tabla6[#All],MATCH(Tabla4[[#This Row],[Producto]],Tabla6[[#All],[PRODUCTO]],0),MATCH(Tabla4[[#This Row],[Mes]],Tabla6[#Headers],0)))</f>
        <v>#N/A</v>
      </c>
      <c r="R2581" s="282" t="e">
        <f>++Tabla4[[#This Row],[Precio Unitario Neto]]-Tabla4[[#This Row],[20.85%]]-Tabla4[[#This Row],[Costo]]</f>
        <v>#N/A</v>
      </c>
      <c r="S2581" s="282" t="e">
        <f>++Tabla4[[#This Row],[U. Bruta Uni]]*Tabla4[[#This Row],[Cantidad]]</f>
        <v>#N/A</v>
      </c>
      <c r="T2581" s="369" t="str">
        <f>VLOOKUP(Tabla4[[#This Row],[Producto]],Tabla6[#All],14,FALSE)</f>
        <v>Termico Solar</v>
      </c>
      <c r="U2581" s="284" t="e">
        <f>(IF(Tabla4[[#This Row],[Familia]]="termico solar",Tabla4[[#This Row],[Utilidad Total]]*6%,Tabla4[[#This Row],[Utilidad Total]]*11.5%))/Tabla4[[#This Row],[Total]]</f>
        <v>#N/A</v>
      </c>
      <c r="V2581" s="282" t="e">
        <f>+Tabla4[[#This Row],[Comisión Calculada]]*Tabla4[[#This Row],[Total]]</f>
        <v>#N/A</v>
      </c>
    </row>
    <row r="2582" spans="1:22" hidden="1" x14ac:dyDescent="0.25">
      <c r="A2582" s="100">
        <v>45777</v>
      </c>
      <c r="B2582" t="str">
        <f t="shared" si="122"/>
        <v>April</v>
      </c>
      <c r="C2582" s="46" t="s">
        <v>280</v>
      </c>
      <c r="F2582" s="366" t="s">
        <v>1706</v>
      </c>
      <c r="G2582" s="46" t="s">
        <v>17</v>
      </c>
      <c r="H2582" s="46">
        <v>1</v>
      </c>
      <c r="I2582" s="51">
        <v>4622.28</v>
      </c>
      <c r="J2582" s="281">
        <f>++Tabla4[[#This Row],[Precio Bruto]]*1.16</f>
        <v>5361.8447999999989</v>
      </c>
      <c r="K2582" s="281">
        <f>+Tabla4[[#This Row],[Precio Unitario Neto]]*Tabla4[[#Headers],[20.85%]]</f>
        <v>1117.9446407999997</v>
      </c>
      <c r="L2582" s="282">
        <f>++Tabla4[[#This Row],[Precio Unitario Neto]]-Tabla4[[#This Row],[20.85%]]</f>
        <v>4243.9001591999995</v>
      </c>
      <c r="M2582" s="282" t="e">
        <f>(INDEX(Tabla6[#All],MATCH(Tabla4[[#This Row],[Producto]],Tabla6[[#All],[PRODUCTO]],0),MATCH(Tabla4[[#This Row],[Mes]],Tabla6[#Headers],0)))*(1+Catalogos!$L$2)</f>
        <v>#N/A</v>
      </c>
      <c r="N2582" s="283" t="e">
        <f>+(Tabla4[[#This Row],[Precio Descontado]]-Tabla4[[#This Row],[Precio Base]])*Tabla4[[#This Row],[Cantidad]]</f>
        <v>#N/A</v>
      </c>
      <c r="O2582" s="284" t="e">
        <f>++Tabla4[[#This Row],[Utilidad Total]]/Tabla4[[#This Row],[Total]]</f>
        <v>#N/A</v>
      </c>
      <c r="P2582" s="282">
        <f>++Tabla4[[#This Row],[Precio Descontado]]*Tabla4[[#This Row],[Cantidad]]</f>
        <v>4243.9001591999995</v>
      </c>
      <c r="Q2582" s="282" t="e">
        <f>(INDEX(Tabla6[#All],MATCH(Tabla4[[#This Row],[Producto]],Tabla6[[#All],[PRODUCTO]],0),MATCH(Tabla4[[#This Row],[Mes]],Tabla6[#Headers],0)))</f>
        <v>#N/A</v>
      </c>
      <c r="R2582" s="282" t="e">
        <f>++Tabla4[[#This Row],[Precio Unitario Neto]]-Tabla4[[#This Row],[20.85%]]-Tabla4[[#This Row],[Costo]]</f>
        <v>#N/A</v>
      </c>
      <c r="S2582" s="282" t="e">
        <f>++Tabla4[[#This Row],[U. Bruta Uni]]*Tabla4[[#This Row],[Cantidad]]</f>
        <v>#N/A</v>
      </c>
      <c r="T2582" s="369" t="str">
        <f>VLOOKUP(Tabla4[[#This Row],[Producto]],Tabla6[#All],14,FALSE)</f>
        <v>Termico Solar</v>
      </c>
      <c r="U2582" s="284" t="e">
        <f>(IF(Tabla4[[#This Row],[Familia]]="termico solar",Tabla4[[#This Row],[Utilidad Total]]*6%,Tabla4[[#This Row],[Utilidad Total]]*11.5%))/Tabla4[[#This Row],[Total]]</f>
        <v>#N/A</v>
      </c>
      <c r="V2582" s="282" t="e">
        <f>+Tabla4[[#This Row],[Comisión Calculada]]*Tabla4[[#This Row],[Total]]</f>
        <v>#N/A</v>
      </c>
    </row>
    <row r="2583" spans="1:22" hidden="1" x14ac:dyDescent="0.25">
      <c r="A2583" s="100">
        <v>45777</v>
      </c>
      <c r="B2583" t="str">
        <f t="shared" si="122"/>
        <v>April</v>
      </c>
      <c r="C2583" s="46" t="s">
        <v>280</v>
      </c>
      <c r="F2583" s="366" t="s">
        <v>1706</v>
      </c>
      <c r="G2583" s="46" t="s">
        <v>16</v>
      </c>
      <c r="H2583" s="46">
        <v>2</v>
      </c>
      <c r="I2583" s="51">
        <v>4103.8500000000004</v>
      </c>
      <c r="J2583" s="281">
        <f>++Tabla4[[#This Row],[Precio Bruto]]*1.16</f>
        <v>4760.4660000000003</v>
      </c>
      <c r="K2583" s="281">
        <f>+Tabla4[[#This Row],[Precio Unitario Neto]]*Tabla4[[#Headers],[20.85%]]</f>
        <v>992.55716100000006</v>
      </c>
      <c r="L2583" s="282">
        <f>++Tabla4[[#This Row],[Precio Unitario Neto]]-Tabla4[[#This Row],[20.85%]]</f>
        <v>3767.9088390000002</v>
      </c>
      <c r="M2583" s="282" t="e">
        <f>(INDEX(Tabla6[#All],MATCH(Tabla4[[#This Row],[Producto]],Tabla6[[#All],[PRODUCTO]],0),MATCH(Tabla4[[#This Row],[Mes]],Tabla6[#Headers],0)))*(1+Catalogos!$L$2)</f>
        <v>#N/A</v>
      </c>
      <c r="N2583" s="283" t="e">
        <f>+(Tabla4[[#This Row],[Precio Descontado]]-Tabla4[[#This Row],[Precio Base]])*Tabla4[[#This Row],[Cantidad]]</f>
        <v>#N/A</v>
      </c>
      <c r="O2583" s="284" t="e">
        <f>++Tabla4[[#This Row],[Utilidad Total]]/Tabla4[[#This Row],[Total]]</f>
        <v>#N/A</v>
      </c>
      <c r="P2583" s="282">
        <f>++Tabla4[[#This Row],[Precio Descontado]]*Tabla4[[#This Row],[Cantidad]]</f>
        <v>7535.8176780000003</v>
      </c>
      <c r="Q2583" s="282" t="e">
        <f>(INDEX(Tabla6[#All],MATCH(Tabla4[[#This Row],[Producto]],Tabla6[[#All],[PRODUCTO]],0),MATCH(Tabla4[[#This Row],[Mes]],Tabla6[#Headers],0)))</f>
        <v>#N/A</v>
      </c>
      <c r="R2583" s="282" t="e">
        <f>++Tabla4[[#This Row],[Precio Unitario Neto]]-Tabla4[[#This Row],[20.85%]]-Tabla4[[#This Row],[Costo]]</f>
        <v>#N/A</v>
      </c>
      <c r="S2583" s="282" t="e">
        <f>++Tabla4[[#This Row],[U. Bruta Uni]]*Tabla4[[#This Row],[Cantidad]]</f>
        <v>#N/A</v>
      </c>
      <c r="T2583" s="369" t="str">
        <f>VLOOKUP(Tabla4[[#This Row],[Producto]],Tabla6[#All],14,FALSE)</f>
        <v>Termico Solar</v>
      </c>
      <c r="U2583" s="284" t="e">
        <f>(IF(Tabla4[[#This Row],[Familia]]="termico solar",Tabla4[[#This Row],[Utilidad Total]]*6%,Tabla4[[#This Row],[Utilidad Total]]*11.5%))/Tabla4[[#This Row],[Total]]</f>
        <v>#N/A</v>
      </c>
      <c r="V2583" s="282" t="e">
        <f>+Tabla4[[#This Row],[Comisión Calculada]]*Tabla4[[#This Row],[Total]]</f>
        <v>#N/A</v>
      </c>
    </row>
    <row r="2584" spans="1:22" hidden="1" x14ac:dyDescent="0.25">
      <c r="A2584" s="100">
        <v>45777</v>
      </c>
      <c r="B2584" t="str">
        <f t="shared" si="122"/>
        <v>April</v>
      </c>
      <c r="C2584" s="46" t="s">
        <v>280</v>
      </c>
      <c r="F2584" s="366" t="s">
        <v>1707</v>
      </c>
      <c r="G2584" s="46" t="s">
        <v>18</v>
      </c>
      <c r="H2584" s="46">
        <v>6</v>
      </c>
      <c r="I2584" s="51">
        <v>5367.6500000000005</v>
      </c>
      <c r="J2584" s="281">
        <f>++Tabla4[[#This Row],[Precio Bruto]]*1.16</f>
        <v>6226.4740000000002</v>
      </c>
      <c r="K2584" s="281">
        <f>+Tabla4[[#This Row],[Precio Unitario Neto]]*Tabla4[[#Headers],[20.85%]]</f>
        <v>1298.2198289999999</v>
      </c>
      <c r="L2584" s="282">
        <f>++Tabla4[[#This Row],[Precio Unitario Neto]]-Tabla4[[#This Row],[20.85%]]</f>
        <v>4928.2541710000005</v>
      </c>
      <c r="M2584" s="282" t="e">
        <f>(INDEX(Tabla6[#All],MATCH(Tabla4[[#This Row],[Producto]],Tabla6[[#All],[PRODUCTO]],0),MATCH(Tabla4[[#This Row],[Mes]],Tabla6[#Headers],0)))*(1+Catalogos!$L$2)</f>
        <v>#N/A</v>
      </c>
      <c r="N2584" s="283" t="e">
        <f>+(Tabla4[[#This Row],[Precio Descontado]]-Tabla4[[#This Row],[Precio Base]])*Tabla4[[#This Row],[Cantidad]]</f>
        <v>#N/A</v>
      </c>
      <c r="O2584" s="284" t="e">
        <f>++Tabla4[[#This Row],[Utilidad Total]]/Tabla4[[#This Row],[Total]]</f>
        <v>#N/A</v>
      </c>
      <c r="P2584" s="282">
        <f>++Tabla4[[#This Row],[Precio Descontado]]*Tabla4[[#This Row],[Cantidad]]</f>
        <v>29569.525026000003</v>
      </c>
      <c r="Q2584" s="282" t="e">
        <f>(INDEX(Tabla6[#All],MATCH(Tabla4[[#This Row],[Producto]],Tabla6[[#All],[PRODUCTO]],0),MATCH(Tabla4[[#This Row],[Mes]],Tabla6[#Headers],0)))</f>
        <v>#N/A</v>
      </c>
      <c r="R2584" s="282" t="e">
        <f>++Tabla4[[#This Row],[Precio Unitario Neto]]-Tabla4[[#This Row],[20.85%]]-Tabla4[[#This Row],[Costo]]</f>
        <v>#N/A</v>
      </c>
      <c r="S2584" s="282" t="e">
        <f>++Tabla4[[#This Row],[U. Bruta Uni]]*Tabla4[[#This Row],[Cantidad]]</f>
        <v>#N/A</v>
      </c>
      <c r="T2584" s="369" t="str">
        <f>VLOOKUP(Tabla4[[#This Row],[Producto]],Tabla6[#All],14,FALSE)</f>
        <v>Termico Solar</v>
      </c>
      <c r="U2584" s="284" t="e">
        <f>(IF(Tabla4[[#This Row],[Familia]]="termico solar",Tabla4[[#This Row],[Utilidad Total]]*6%,Tabla4[[#This Row],[Utilidad Total]]*11.5%))/Tabla4[[#This Row],[Total]]</f>
        <v>#N/A</v>
      </c>
      <c r="V2584" s="282" t="e">
        <f>+Tabla4[[#This Row],[Comisión Calculada]]*Tabla4[[#This Row],[Total]]</f>
        <v>#N/A</v>
      </c>
    </row>
    <row r="2585" spans="1:22" hidden="1" x14ac:dyDescent="0.25">
      <c r="A2585" s="100">
        <v>45777</v>
      </c>
      <c r="B2585" t="str">
        <f t="shared" si="122"/>
        <v>April</v>
      </c>
      <c r="C2585" s="46" t="s">
        <v>280</v>
      </c>
      <c r="F2585" s="366" t="s">
        <v>1707</v>
      </c>
      <c r="G2585" s="46" t="s">
        <v>17</v>
      </c>
      <c r="H2585" s="46">
        <v>4</v>
      </c>
      <c r="I2585" s="51">
        <v>4622.28</v>
      </c>
      <c r="J2585" s="281">
        <f>++Tabla4[[#This Row],[Precio Bruto]]*1.16</f>
        <v>5361.8447999999989</v>
      </c>
      <c r="K2585" s="281">
        <f>+Tabla4[[#This Row],[Precio Unitario Neto]]*Tabla4[[#Headers],[20.85%]]</f>
        <v>1117.9446407999997</v>
      </c>
      <c r="L2585" s="282">
        <f>++Tabla4[[#This Row],[Precio Unitario Neto]]-Tabla4[[#This Row],[20.85%]]</f>
        <v>4243.9001591999995</v>
      </c>
      <c r="M2585" s="282" t="e">
        <f>(INDEX(Tabla6[#All],MATCH(Tabla4[[#This Row],[Producto]],Tabla6[[#All],[PRODUCTO]],0),MATCH(Tabla4[[#This Row],[Mes]],Tabla6[#Headers],0)))*(1+Catalogos!$L$2)</f>
        <v>#N/A</v>
      </c>
      <c r="N2585" s="283" t="e">
        <f>+(Tabla4[[#This Row],[Precio Descontado]]-Tabla4[[#This Row],[Precio Base]])*Tabla4[[#This Row],[Cantidad]]</f>
        <v>#N/A</v>
      </c>
      <c r="O2585" s="284" t="e">
        <f>++Tabla4[[#This Row],[Utilidad Total]]/Tabla4[[#This Row],[Total]]</f>
        <v>#N/A</v>
      </c>
      <c r="P2585" s="282">
        <f>++Tabla4[[#This Row],[Precio Descontado]]*Tabla4[[#This Row],[Cantidad]]</f>
        <v>16975.600636799998</v>
      </c>
      <c r="Q2585" s="282" t="e">
        <f>(INDEX(Tabla6[#All],MATCH(Tabla4[[#This Row],[Producto]],Tabla6[[#All],[PRODUCTO]],0),MATCH(Tabla4[[#This Row],[Mes]],Tabla6[#Headers],0)))</f>
        <v>#N/A</v>
      </c>
      <c r="R2585" s="282" t="e">
        <f>++Tabla4[[#This Row],[Precio Unitario Neto]]-Tabla4[[#This Row],[20.85%]]-Tabla4[[#This Row],[Costo]]</f>
        <v>#N/A</v>
      </c>
      <c r="S2585" s="282" t="e">
        <f>++Tabla4[[#This Row],[U. Bruta Uni]]*Tabla4[[#This Row],[Cantidad]]</f>
        <v>#N/A</v>
      </c>
      <c r="T2585" s="369" t="str">
        <f>VLOOKUP(Tabla4[[#This Row],[Producto]],Tabla6[#All],14,FALSE)</f>
        <v>Termico Solar</v>
      </c>
      <c r="U2585" s="284" t="e">
        <f>(IF(Tabla4[[#This Row],[Familia]]="termico solar",Tabla4[[#This Row],[Utilidad Total]]*6%,Tabla4[[#This Row],[Utilidad Total]]*11.5%))/Tabla4[[#This Row],[Total]]</f>
        <v>#N/A</v>
      </c>
      <c r="V2585" s="282" t="e">
        <f>+Tabla4[[#This Row],[Comisión Calculada]]*Tabla4[[#This Row],[Total]]</f>
        <v>#N/A</v>
      </c>
    </row>
    <row r="2586" spans="1:22" hidden="1" x14ac:dyDescent="0.25">
      <c r="A2586" s="100">
        <v>45777</v>
      </c>
      <c r="B2586" t="str">
        <f t="shared" si="122"/>
        <v>April</v>
      </c>
      <c r="C2586" s="46" t="s">
        <v>280</v>
      </c>
      <c r="F2586" s="366" t="s">
        <v>1708</v>
      </c>
      <c r="G2586" s="46" t="s">
        <v>208</v>
      </c>
      <c r="H2586" s="46">
        <v>1</v>
      </c>
      <c r="I2586" s="51">
        <v>189.75</v>
      </c>
      <c r="J2586" s="281">
        <f>++Tabla4[[#This Row],[Precio Bruto]]*1.16</f>
        <v>220.10999999999999</v>
      </c>
      <c r="K2586" s="281">
        <f>+Tabla4[[#This Row],[Precio Unitario Neto]]*Tabla4[[#Headers],[20.85%]]</f>
        <v>45.892934999999994</v>
      </c>
      <c r="L2586" s="282">
        <f>++Tabla4[[#This Row],[Precio Unitario Neto]]-Tabla4[[#This Row],[20.85%]]</f>
        <v>174.21706499999999</v>
      </c>
      <c r="M2586" s="282" t="e">
        <f>(INDEX(Tabla6[#All],MATCH(Tabla4[[#This Row],[Producto]],Tabla6[[#All],[PRODUCTO]],0),MATCH(Tabla4[[#This Row],[Mes]],Tabla6[#Headers],0)))*(1+Catalogos!$L$2)</f>
        <v>#N/A</v>
      </c>
      <c r="N2586" s="283" t="e">
        <f>+(Tabla4[[#This Row],[Precio Descontado]]-Tabla4[[#This Row],[Precio Base]])*Tabla4[[#This Row],[Cantidad]]</f>
        <v>#N/A</v>
      </c>
      <c r="O2586" s="284" t="e">
        <f>++Tabla4[[#This Row],[Utilidad Total]]/Tabla4[[#This Row],[Total]]</f>
        <v>#N/A</v>
      </c>
      <c r="P2586" s="282">
        <f>++Tabla4[[#This Row],[Precio Descontado]]*Tabla4[[#This Row],[Cantidad]]</f>
        <v>174.21706499999999</v>
      </c>
      <c r="Q2586" s="282" t="e">
        <f>(INDEX(Tabla6[#All],MATCH(Tabla4[[#This Row],[Producto]],Tabla6[[#All],[PRODUCTO]],0),MATCH(Tabla4[[#This Row],[Mes]],Tabla6[#Headers],0)))</f>
        <v>#N/A</v>
      </c>
      <c r="R2586" s="282" t="e">
        <f>++Tabla4[[#This Row],[Precio Unitario Neto]]-Tabla4[[#This Row],[20.85%]]-Tabla4[[#This Row],[Costo]]</f>
        <v>#N/A</v>
      </c>
      <c r="S2586" s="282" t="e">
        <f>++Tabla4[[#This Row],[U. Bruta Uni]]*Tabla4[[#This Row],[Cantidad]]</f>
        <v>#N/A</v>
      </c>
      <c r="T2586" s="369" t="str">
        <f>VLOOKUP(Tabla4[[#This Row],[Producto]],Tabla6[#All],14,FALSE)</f>
        <v>Termico Solar</v>
      </c>
      <c r="U2586" s="284" t="e">
        <f>(IF(Tabla4[[#This Row],[Familia]]="termico solar",Tabla4[[#This Row],[Utilidad Total]]*6%,Tabla4[[#This Row],[Utilidad Total]]*11.5%))/Tabla4[[#This Row],[Total]]</f>
        <v>#N/A</v>
      </c>
      <c r="V2586" s="282" t="e">
        <f>+Tabla4[[#This Row],[Comisión Calculada]]*Tabla4[[#This Row],[Total]]</f>
        <v>#N/A</v>
      </c>
    </row>
    <row r="2587" spans="1:22" hidden="1" x14ac:dyDescent="0.25">
      <c r="A2587" s="100">
        <v>45777</v>
      </c>
      <c r="B2587" t="str">
        <f t="shared" si="122"/>
        <v>April</v>
      </c>
      <c r="C2587" s="46" t="s">
        <v>280</v>
      </c>
      <c r="F2587" s="366" t="s">
        <v>1709</v>
      </c>
      <c r="G2587" s="46" t="s">
        <v>17</v>
      </c>
      <c r="H2587" s="46">
        <v>1</v>
      </c>
      <c r="I2587" s="51">
        <v>4622.28</v>
      </c>
      <c r="J2587" s="281">
        <f>++Tabla4[[#This Row],[Precio Bruto]]*1.16</f>
        <v>5361.8447999999989</v>
      </c>
      <c r="K2587" s="281">
        <f>+Tabla4[[#This Row],[Precio Unitario Neto]]*Tabla4[[#Headers],[20.85%]]</f>
        <v>1117.9446407999997</v>
      </c>
      <c r="L2587" s="282">
        <f>++Tabla4[[#This Row],[Precio Unitario Neto]]-Tabla4[[#This Row],[20.85%]]</f>
        <v>4243.9001591999995</v>
      </c>
      <c r="M2587" s="282" t="e">
        <f>(INDEX(Tabla6[#All],MATCH(Tabla4[[#This Row],[Producto]],Tabla6[[#All],[PRODUCTO]],0),MATCH(Tabla4[[#This Row],[Mes]],Tabla6[#Headers],0)))*(1+Catalogos!$L$2)</f>
        <v>#N/A</v>
      </c>
      <c r="N2587" s="283" t="e">
        <f>+(Tabla4[[#This Row],[Precio Descontado]]-Tabla4[[#This Row],[Precio Base]])*Tabla4[[#This Row],[Cantidad]]</f>
        <v>#N/A</v>
      </c>
      <c r="O2587" s="284" t="e">
        <f>++Tabla4[[#This Row],[Utilidad Total]]/Tabla4[[#This Row],[Total]]</f>
        <v>#N/A</v>
      </c>
      <c r="P2587" s="282">
        <f>++Tabla4[[#This Row],[Precio Descontado]]*Tabla4[[#This Row],[Cantidad]]</f>
        <v>4243.9001591999995</v>
      </c>
      <c r="Q2587" s="282" t="e">
        <f>(INDEX(Tabla6[#All],MATCH(Tabla4[[#This Row],[Producto]],Tabla6[[#All],[PRODUCTO]],0),MATCH(Tabla4[[#This Row],[Mes]],Tabla6[#Headers],0)))</f>
        <v>#N/A</v>
      </c>
      <c r="R2587" s="282" t="e">
        <f>++Tabla4[[#This Row],[Precio Unitario Neto]]-Tabla4[[#This Row],[20.85%]]-Tabla4[[#This Row],[Costo]]</f>
        <v>#N/A</v>
      </c>
      <c r="S2587" s="282" t="e">
        <f>++Tabla4[[#This Row],[U. Bruta Uni]]*Tabla4[[#This Row],[Cantidad]]</f>
        <v>#N/A</v>
      </c>
      <c r="T2587" s="369" t="str">
        <f>VLOOKUP(Tabla4[[#This Row],[Producto]],Tabla6[#All],14,FALSE)</f>
        <v>Termico Solar</v>
      </c>
      <c r="U2587" s="284" t="e">
        <f>(IF(Tabla4[[#This Row],[Familia]]="termico solar",Tabla4[[#This Row],[Utilidad Total]]*6%,Tabla4[[#This Row],[Utilidad Total]]*11.5%))/Tabla4[[#This Row],[Total]]</f>
        <v>#N/A</v>
      </c>
      <c r="V2587" s="282" t="e">
        <f>+Tabla4[[#This Row],[Comisión Calculada]]*Tabla4[[#This Row],[Total]]</f>
        <v>#N/A</v>
      </c>
    </row>
    <row r="2588" spans="1:22" hidden="1" x14ac:dyDescent="0.25">
      <c r="A2588" s="100">
        <v>45777</v>
      </c>
      <c r="B2588" t="str">
        <f t="shared" si="122"/>
        <v>April</v>
      </c>
      <c r="C2588" s="46" t="s">
        <v>280</v>
      </c>
      <c r="F2588" s="366" t="s">
        <v>1709</v>
      </c>
      <c r="G2588" s="46" t="s">
        <v>18</v>
      </c>
      <c r="H2588" s="46">
        <v>1</v>
      </c>
      <c r="I2588" s="51">
        <v>5367.65</v>
      </c>
      <c r="J2588" s="281">
        <f>++Tabla4[[#This Row],[Precio Bruto]]*1.16</f>
        <v>6226.4739999999993</v>
      </c>
      <c r="K2588" s="281">
        <f>+Tabla4[[#This Row],[Precio Unitario Neto]]*Tabla4[[#Headers],[20.85%]]</f>
        <v>1298.2198289999999</v>
      </c>
      <c r="L2588" s="282">
        <f>++Tabla4[[#This Row],[Precio Unitario Neto]]-Tabla4[[#This Row],[20.85%]]</f>
        <v>4928.2541709999996</v>
      </c>
      <c r="M2588" s="282" t="e">
        <f>(INDEX(Tabla6[#All],MATCH(Tabla4[[#This Row],[Producto]],Tabla6[[#All],[PRODUCTO]],0),MATCH(Tabla4[[#This Row],[Mes]],Tabla6[#Headers],0)))*(1+Catalogos!$L$2)</f>
        <v>#N/A</v>
      </c>
      <c r="N2588" s="283" t="e">
        <f>+(Tabla4[[#This Row],[Precio Descontado]]-Tabla4[[#This Row],[Precio Base]])*Tabla4[[#This Row],[Cantidad]]</f>
        <v>#N/A</v>
      </c>
      <c r="O2588" s="284" t="e">
        <f>++Tabla4[[#This Row],[Utilidad Total]]/Tabla4[[#This Row],[Total]]</f>
        <v>#N/A</v>
      </c>
      <c r="P2588" s="282">
        <f>++Tabla4[[#This Row],[Precio Descontado]]*Tabla4[[#This Row],[Cantidad]]</f>
        <v>4928.2541709999996</v>
      </c>
      <c r="Q2588" s="282" t="e">
        <f>(INDEX(Tabla6[#All],MATCH(Tabla4[[#This Row],[Producto]],Tabla6[[#All],[PRODUCTO]],0),MATCH(Tabla4[[#This Row],[Mes]],Tabla6[#Headers],0)))</f>
        <v>#N/A</v>
      </c>
      <c r="R2588" s="282" t="e">
        <f>++Tabla4[[#This Row],[Precio Unitario Neto]]-Tabla4[[#This Row],[20.85%]]-Tabla4[[#This Row],[Costo]]</f>
        <v>#N/A</v>
      </c>
      <c r="S2588" s="282" t="e">
        <f>++Tabla4[[#This Row],[U. Bruta Uni]]*Tabla4[[#This Row],[Cantidad]]</f>
        <v>#N/A</v>
      </c>
      <c r="T2588" s="369" t="str">
        <f>VLOOKUP(Tabla4[[#This Row],[Producto]],Tabla6[#All],14,FALSE)</f>
        <v>Termico Solar</v>
      </c>
      <c r="U2588" s="284" t="e">
        <f>(IF(Tabla4[[#This Row],[Familia]]="termico solar",Tabla4[[#This Row],[Utilidad Total]]*6%,Tabla4[[#This Row],[Utilidad Total]]*11.5%))/Tabla4[[#This Row],[Total]]</f>
        <v>#N/A</v>
      </c>
      <c r="V2588" s="282" t="e">
        <f>+Tabla4[[#This Row],[Comisión Calculada]]*Tabla4[[#This Row],[Total]]</f>
        <v>#N/A</v>
      </c>
    </row>
    <row r="2589" spans="1:22" hidden="1" x14ac:dyDescent="0.25">
      <c r="A2589" s="100">
        <v>45777</v>
      </c>
      <c r="B2589" t="str">
        <f t="shared" si="122"/>
        <v>April</v>
      </c>
      <c r="C2589" s="46" t="s">
        <v>280</v>
      </c>
      <c r="F2589" s="366" t="s">
        <v>1710</v>
      </c>
      <c r="G2589" s="46" t="s">
        <v>18</v>
      </c>
      <c r="H2589" s="46">
        <v>1</v>
      </c>
      <c r="I2589" s="51">
        <v>5367.65</v>
      </c>
      <c r="J2589" s="281">
        <f>++Tabla4[[#This Row],[Precio Bruto]]*1.16</f>
        <v>6226.4739999999993</v>
      </c>
      <c r="K2589" s="281">
        <f>+Tabla4[[#This Row],[Precio Unitario Neto]]*Tabla4[[#Headers],[20.85%]]</f>
        <v>1298.2198289999999</v>
      </c>
      <c r="L2589" s="282">
        <f>++Tabla4[[#This Row],[Precio Unitario Neto]]-Tabla4[[#This Row],[20.85%]]</f>
        <v>4928.2541709999996</v>
      </c>
      <c r="M2589" s="282" t="e">
        <f>(INDEX(Tabla6[#All],MATCH(Tabla4[[#This Row],[Producto]],Tabla6[[#All],[PRODUCTO]],0),MATCH(Tabla4[[#This Row],[Mes]],Tabla6[#Headers],0)))*(1+Catalogos!$L$2)</f>
        <v>#N/A</v>
      </c>
      <c r="N2589" s="283" t="e">
        <f>+(Tabla4[[#This Row],[Precio Descontado]]-Tabla4[[#This Row],[Precio Base]])*Tabla4[[#This Row],[Cantidad]]</f>
        <v>#N/A</v>
      </c>
      <c r="O2589" s="284" t="e">
        <f>++Tabla4[[#This Row],[Utilidad Total]]/Tabla4[[#This Row],[Total]]</f>
        <v>#N/A</v>
      </c>
      <c r="P2589" s="282">
        <f>++Tabla4[[#This Row],[Precio Descontado]]*Tabla4[[#This Row],[Cantidad]]</f>
        <v>4928.2541709999996</v>
      </c>
      <c r="Q2589" s="282" t="e">
        <f>(INDEX(Tabla6[#All],MATCH(Tabla4[[#This Row],[Producto]],Tabla6[[#All],[PRODUCTO]],0),MATCH(Tabla4[[#This Row],[Mes]],Tabla6[#Headers],0)))</f>
        <v>#N/A</v>
      </c>
      <c r="R2589" s="282" t="e">
        <f>++Tabla4[[#This Row],[Precio Unitario Neto]]-Tabla4[[#This Row],[20.85%]]-Tabla4[[#This Row],[Costo]]</f>
        <v>#N/A</v>
      </c>
      <c r="S2589" s="282" t="e">
        <f>++Tabla4[[#This Row],[U. Bruta Uni]]*Tabla4[[#This Row],[Cantidad]]</f>
        <v>#N/A</v>
      </c>
      <c r="T2589" s="369" t="str">
        <f>VLOOKUP(Tabla4[[#This Row],[Producto]],Tabla6[#All],14,FALSE)</f>
        <v>Termico Solar</v>
      </c>
      <c r="U2589" s="284" t="e">
        <f>(IF(Tabla4[[#This Row],[Familia]]="termico solar",Tabla4[[#This Row],[Utilidad Total]]*6%,Tabla4[[#This Row],[Utilidad Total]]*11.5%))/Tabla4[[#This Row],[Total]]</f>
        <v>#N/A</v>
      </c>
      <c r="V2589" s="282" t="e">
        <f>+Tabla4[[#This Row],[Comisión Calculada]]*Tabla4[[#This Row],[Total]]</f>
        <v>#N/A</v>
      </c>
    </row>
    <row r="2590" spans="1:22" hidden="1" x14ac:dyDescent="0.25">
      <c r="A2590" s="100">
        <v>45777</v>
      </c>
      <c r="B2590" t="str">
        <f t="shared" si="122"/>
        <v>April</v>
      </c>
      <c r="C2590" s="46" t="s">
        <v>280</v>
      </c>
      <c r="F2590" s="366" t="s">
        <v>1711</v>
      </c>
      <c r="G2590" s="46" t="s">
        <v>83</v>
      </c>
      <c r="H2590" s="46">
        <v>2</v>
      </c>
      <c r="I2590" s="51">
        <v>8858.76</v>
      </c>
      <c r="J2590" s="281">
        <f>++Tabla4[[#This Row],[Precio Bruto]]*1.16</f>
        <v>10276.161599999999</v>
      </c>
      <c r="K2590" s="281">
        <f>+Tabla4[[#This Row],[Precio Unitario Neto]]*Tabla4[[#Headers],[20.85%]]</f>
        <v>2142.5796935999997</v>
      </c>
      <c r="L2590" s="282">
        <f>++Tabla4[[#This Row],[Precio Unitario Neto]]-Tabla4[[#This Row],[20.85%]]</f>
        <v>8133.5819063999998</v>
      </c>
      <c r="M2590" s="282" t="e">
        <f>(INDEX(Tabla6[#All],MATCH(Tabla4[[#This Row],[Producto]],Tabla6[[#All],[PRODUCTO]],0),MATCH(Tabla4[[#This Row],[Mes]],Tabla6[#Headers],0)))*(1+Catalogos!$L$2)</f>
        <v>#N/A</v>
      </c>
      <c r="N2590" s="283" t="e">
        <f>+(Tabla4[[#This Row],[Precio Descontado]]-Tabla4[[#This Row],[Precio Base]])*Tabla4[[#This Row],[Cantidad]]</f>
        <v>#N/A</v>
      </c>
      <c r="O2590" s="284" t="e">
        <f>++Tabla4[[#This Row],[Utilidad Total]]/Tabla4[[#This Row],[Total]]</f>
        <v>#N/A</v>
      </c>
      <c r="P2590" s="282">
        <f>++Tabla4[[#This Row],[Precio Descontado]]*Tabla4[[#This Row],[Cantidad]]</f>
        <v>16267.1638128</v>
      </c>
      <c r="Q2590" s="282" t="e">
        <f>(INDEX(Tabla6[#All],MATCH(Tabla4[[#This Row],[Producto]],Tabla6[[#All],[PRODUCTO]],0),MATCH(Tabla4[[#This Row],[Mes]],Tabla6[#Headers],0)))</f>
        <v>#N/A</v>
      </c>
      <c r="R2590" s="282" t="e">
        <f>++Tabla4[[#This Row],[Precio Unitario Neto]]-Tabla4[[#This Row],[20.85%]]-Tabla4[[#This Row],[Costo]]</f>
        <v>#N/A</v>
      </c>
      <c r="S2590" s="282" t="e">
        <f>++Tabla4[[#This Row],[U. Bruta Uni]]*Tabla4[[#This Row],[Cantidad]]</f>
        <v>#N/A</v>
      </c>
      <c r="T2590" s="369" t="str">
        <f>VLOOKUP(Tabla4[[#This Row],[Producto]],Tabla6[#All],14,FALSE)</f>
        <v>Termico Solar</v>
      </c>
      <c r="U2590" s="284" t="e">
        <f>(IF(Tabla4[[#This Row],[Familia]]="termico solar",Tabla4[[#This Row],[Utilidad Total]]*6%,Tabla4[[#This Row],[Utilidad Total]]*11.5%))/Tabla4[[#This Row],[Total]]</f>
        <v>#N/A</v>
      </c>
      <c r="V2590" s="282" t="e">
        <f>+Tabla4[[#This Row],[Comisión Calculada]]*Tabla4[[#This Row],[Total]]</f>
        <v>#N/A</v>
      </c>
    </row>
    <row r="2591" spans="1:22" hidden="1" x14ac:dyDescent="0.25">
      <c r="A2591" s="100">
        <v>45777</v>
      </c>
      <c r="B2591" t="str">
        <f t="shared" si="122"/>
        <v>April</v>
      </c>
      <c r="C2591" s="46" t="s">
        <v>280</v>
      </c>
      <c r="F2591" s="366" t="s">
        <v>1711</v>
      </c>
      <c r="G2591" s="46" t="s">
        <v>208</v>
      </c>
      <c r="H2591" s="46">
        <v>1</v>
      </c>
      <c r="I2591" s="51">
        <v>189.75</v>
      </c>
      <c r="J2591" s="281">
        <f>++Tabla4[[#This Row],[Precio Bruto]]*1.16</f>
        <v>220.10999999999999</v>
      </c>
      <c r="K2591" s="281">
        <f>+Tabla4[[#This Row],[Precio Unitario Neto]]*Tabla4[[#Headers],[20.85%]]</f>
        <v>45.892934999999994</v>
      </c>
      <c r="L2591" s="282">
        <f>++Tabla4[[#This Row],[Precio Unitario Neto]]-Tabla4[[#This Row],[20.85%]]</f>
        <v>174.21706499999999</v>
      </c>
      <c r="M2591" s="282" t="e">
        <f>(INDEX(Tabla6[#All],MATCH(Tabla4[[#This Row],[Producto]],Tabla6[[#All],[PRODUCTO]],0),MATCH(Tabla4[[#This Row],[Mes]],Tabla6[#Headers],0)))*(1+Catalogos!$L$2)</f>
        <v>#N/A</v>
      </c>
      <c r="N2591" s="283" t="e">
        <f>+(Tabla4[[#This Row],[Precio Descontado]]-Tabla4[[#This Row],[Precio Base]])*Tabla4[[#This Row],[Cantidad]]</f>
        <v>#N/A</v>
      </c>
      <c r="O2591" s="284" t="e">
        <f>++Tabla4[[#This Row],[Utilidad Total]]/Tabla4[[#This Row],[Total]]</f>
        <v>#N/A</v>
      </c>
      <c r="P2591" s="282">
        <f>++Tabla4[[#This Row],[Precio Descontado]]*Tabla4[[#This Row],[Cantidad]]</f>
        <v>174.21706499999999</v>
      </c>
      <c r="Q2591" s="282" t="e">
        <f>(INDEX(Tabla6[#All],MATCH(Tabla4[[#This Row],[Producto]],Tabla6[[#All],[PRODUCTO]],0),MATCH(Tabla4[[#This Row],[Mes]],Tabla6[#Headers],0)))</f>
        <v>#N/A</v>
      </c>
      <c r="R2591" s="282" t="e">
        <f>++Tabla4[[#This Row],[Precio Unitario Neto]]-Tabla4[[#This Row],[20.85%]]-Tabla4[[#This Row],[Costo]]</f>
        <v>#N/A</v>
      </c>
      <c r="S2591" s="282" t="e">
        <f>++Tabla4[[#This Row],[U. Bruta Uni]]*Tabla4[[#This Row],[Cantidad]]</f>
        <v>#N/A</v>
      </c>
      <c r="T2591" s="369" t="str">
        <f>VLOOKUP(Tabla4[[#This Row],[Producto]],Tabla6[#All],14,FALSE)</f>
        <v>Termico Solar</v>
      </c>
      <c r="U2591" s="284" t="e">
        <f>(IF(Tabla4[[#This Row],[Familia]]="termico solar",Tabla4[[#This Row],[Utilidad Total]]*6%,Tabla4[[#This Row],[Utilidad Total]]*11.5%))/Tabla4[[#This Row],[Total]]</f>
        <v>#N/A</v>
      </c>
      <c r="V2591" s="282" t="e">
        <f>+Tabla4[[#This Row],[Comisión Calculada]]*Tabla4[[#This Row],[Total]]</f>
        <v>#N/A</v>
      </c>
    </row>
    <row r="2592" spans="1:22" hidden="1" x14ac:dyDescent="0.25">
      <c r="A2592" s="100">
        <v>45777</v>
      </c>
      <c r="B2592" t="str">
        <f t="shared" si="122"/>
        <v>April</v>
      </c>
      <c r="C2592" s="46" t="s">
        <v>280</v>
      </c>
      <c r="F2592" s="366" t="s">
        <v>1712</v>
      </c>
      <c r="G2592" s="46" t="s">
        <v>18</v>
      </c>
      <c r="H2592" s="46">
        <v>2</v>
      </c>
      <c r="I2592" s="51">
        <v>5367.65</v>
      </c>
      <c r="J2592" s="281">
        <f>++Tabla4[[#This Row],[Precio Bruto]]*1.16</f>
        <v>6226.4739999999993</v>
      </c>
      <c r="K2592" s="281">
        <f>+Tabla4[[#This Row],[Precio Unitario Neto]]*Tabla4[[#Headers],[20.85%]]</f>
        <v>1298.2198289999999</v>
      </c>
      <c r="L2592" s="282">
        <f>++Tabla4[[#This Row],[Precio Unitario Neto]]-Tabla4[[#This Row],[20.85%]]</f>
        <v>4928.2541709999996</v>
      </c>
      <c r="M2592" s="282" t="e">
        <f>(INDEX(Tabla6[#All],MATCH(Tabla4[[#This Row],[Producto]],Tabla6[[#All],[PRODUCTO]],0),MATCH(Tabla4[[#This Row],[Mes]],Tabla6[#Headers],0)))*(1+Catalogos!$L$2)</f>
        <v>#N/A</v>
      </c>
      <c r="N2592" s="283" t="e">
        <f>+(Tabla4[[#This Row],[Precio Descontado]]-Tabla4[[#This Row],[Precio Base]])*Tabla4[[#This Row],[Cantidad]]</f>
        <v>#N/A</v>
      </c>
      <c r="O2592" s="284" t="e">
        <f>++Tabla4[[#This Row],[Utilidad Total]]/Tabla4[[#This Row],[Total]]</f>
        <v>#N/A</v>
      </c>
      <c r="P2592" s="282">
        <f>++Tabla4[[#This Row],[Precio Descontado]]*Tabla4[[#This Row],[Cantidad]]</f>
        <v>9856.5083419999992</v>
      </c>
      <c r="Q2592" s="282" t="e">
        <f>(INDEX(Tabla6[#All],MATCH(Tabla4[[#This Row],[Producto]],Tabla6[[#All],[PRODUCTO]],0),MATCH(Tabla4[[#This Row],[Mes]],Tabla6[#Headers],0)))</f>
        <v>#N/A</v>
      </c>
      <c r="R2592" s="282" t="e">
        <f>++Tabla4[[#This Row],[Precio Unitario Neto]]-Tabla4[[#This Row],[20.85%]]-Tabla4[[#This Row],[Costo]]</f>
        <v>#N/A</v>
      </c>
      <c r="S2592" s="282" t="e">
        <f>++Tabla4[[#This Row],[U. Bruta Uni]]*Tabla4[[#This Row],[Cantidad]]</f>
        <v>#N/A</v>
      </c>
      <c r="T2592" s="369" t="str">
        <f>VLOOKUP(Tabla4[[#This Row],[Producto]],Tabla6[#All],14,FALSE)</f>
        <v>Termico Solar</v>
      </c>
      <c r="U2592" s="284" t="e">
        <f>(IF(Tabla4[[#This Row],[Familia]]="termico solar",Tabla4[[#This Row],[Utilidad Total]]*6%,Tabla4[[#This Row],[Utilidad Total]]*11.5%))/Tabla4[[#This Row],[Total]]</f>
        <v>#N/A</v>
      </c>
      <c r="V2592" s="282" t="e">
        <f>+Tabla4[[#This Row],[Comisión Calculada]]*Tabla4[[#This Row],[Total]]</f>
        <v>#N/A</v>
      </c>
    </row>
    <row r="2593" spans="1:22" hidden="1" x14ac:dyDescent="0.25">
      <c r="A2593" s="100">
        <v>45777</v>
      </c>
      <c r="B2593" t="str">
        <f t="shared" si="122"/>
        <v>April</v>
      </c>
      <c r="C2593" s="46" t="s">
        <v>280</v>
      </c>
      <c r="F2593" s="366" t="s">
        <v>1712</v>
      </c>
      <c r="G2593" s="46" t="s">
        <v>208</v>
      </c>
      <c r="H2593" s="46">
        <v>2</v>
      </c>
      <c r="I2593" s="51">
        <v>189.75</v>
      </c>
      <c r="J2593" s="281">
        <f>++Tabla4[[#This Row],[Precio Bruto]]*1.16</f>
        <v>220.10999999999999</v>
      </c>
      <c r="K2593" s="281">
        <f>+Tabla4[[#This Row],[Precio Unitario Neto]]*Tabla4[[#Headers],[20.85%]]</f>
        <v>45.892934999999994</v>
      </c>
      <c r="L2593" s="282">
        <f>++Tabla4[[#This Row],[Precio Unitario Neto]]-Tabla4[[#This Row],[20.85%]]</f>
        <v>174.21706499999999</v>
      </c>
      <c r="M2593" s="282" t="e">
        <f>(INDEX(Tabla6[#All],MATCH(Tabla4[[#This Row],[Producto]],Tabla6[[#All],[PRODUCTO]],0),MATCH(Tabla4[[#This Row],[Mes]],Tabla6[#Headers],0)))*(1+Catalogos!$L$2)</f>
        <v>#N/A</v>
      </c>
      <c r="N2593" s="283" t="e">
        <f>+(Tabla4[[#This Row],[Precio Descontado]]-Tabla4[[#This Row],[Precio Base]])*Tabla4[[#This Row],[Cantidad]]</f>
        <v>#N/A</v>
      </c>
      <c r="O2593" s="284" t="e">
        <f>++Tabla4[[#This Row],[Utilidad Total]]/Tabla4[[#This Row],[Total]]</f>
        <v>#N/A</v>
      </c>
      <c r="P2593" s="282">
        <f>++Tabla4[[#This Row],[Precio Descontado]]*Tabla4[[#This Row],[Cantidad]]</f>
        <v>348.43412999999998</v>
      </c>
      <c r="Q2593" s="282" t="e">
        <f>(INDEX(Tabla6[#All],MATCH(Tabla4[[#This Row],[Producto]],Tabla6[[#All],[PRODUCTO]],0),MATCH(Tabla4[[#This Row],[Mes]],Tabla6[#Headers],0)))</f>
        <v>#N/A</v>
      </c>
      <c r="R2593" s="282" t="e">
        <f>++Tabla4[[#This Row],[Precio Unitario Neto]]-Tabla4[[#This Row],[20.85%]]-Tabla4[[#This Row],[Costo]]</f>
        <v>#N/A</v>
      </c>
      <c r="S2593" s="282" t="e">
        <f>++Tabla4[[#This Row],[U. Bruta Uni]]*Tabla4[[#This Row],[Cantidad]]</f>
        <v>#N/A</v>
      </c>
      <c r="T2593" s="369" t="str">
        <f>VLOOKUP(Tabla4[[#This Row],[Producto]],Tabla6[#All],14,FALSE)</f>
        <v>Termico Solar</v>
      </c>
      <c r="U2593" s="284" t="e">
        <f>(IF(Tabla4[[#This Row],[Familia]]="termico solar",Tabla4[[#This Row],[Utilidad Total]]*6%,Tabla4[[#This Row],[Utilidad Total]]*11.5%))/Tabla4[[#This Row],[Total]]</f>
        <v>#N/A</v>
      </c>
      <c r="V2593" s="282" t="e">
        <f>+Tabla4[[#This Row],[Comisión Calculada]]*Tabla4[[#This Row],[Total]]</f>
        <v>#N/A</v>
      </c>
    </row>
    <row r="2594" spans="1:22" hidden="1" x14ac:dyDescent="0.25">
      <c r="A2594" s="100">
        <v>45777</v>
      </c>
      <c r="B2594" t="str">
        <f t="shared" si="122"/>
        <v>April</v>
      </c>
      <c r="C2594" s="46" t="s">
        <v>280</v>
      </c>
      <c r="F2594" s="366" t="s">
        <v>1713</v>
      </c>
      <c r="G2594" s="46" t="s">
        <v>566</v>
      </c>
      <c r="H2594" s="46">
        <v>1</v>
      </c>
      <c r="I2594" s="51">
        <v>2109.4499999999998</v>
      </c>
      <c r="J2594" s="281">
        <f>++Tabla4[[#This Row],[Precio Bruto]]*1.16</f>
        <v>2446.9619999999995</v>
      </c>
      <c r="K2594" s="281">
        <f>+Tabla4[[#This Row],[Precio Unitario Neto]]*Tabla4[[#Headers],[20.85%]]</f>
        <v>510.19157699999988</v>
      </c>
      <c r="L2594" s="282">
        <f>++Tabla4[[#This Row],[Precio Unitario Neto]]-Tabla4[[#This Row],[20.85%]]</f>
        <v>1936.7704229999997</v>
      </c>
      <c r="M2594" s="282" t="e">
        <f>(INDEX(Tabla6[#All],MATCH(Tabla4[[#This Row],[Producto]],Tabla6[[#All],[PRODUCTO]],0),MATCH(Tabla4[[#This Row],[Mes]],Tabla6[#Headers],0)))*(1+Catalogos!$L$2)</f>
        <v>#N/A</v>
      </c>
      <c r="N2594" s="283" t="e">
        <f>+(Tabla4[[#This Row],[Precio Descontado]]-Tabla4[[#This Row],[Precio Base]])*Tabla4[[#This Row],[Cantidad]]</f>
        <v>#N/A</v>
      </c>
      <c r="O2594" s="284" t="e">
        <f>++Tabla4[[#This Row],[Utilidad Total]]/Tabla4[[#This Row],[Total]]</f>
        <v>#N/A</v>
      </c>
      <c r="P2594" s="282">
        <f>++Tabla4[[#This Row],[Precio Descontado]]*Tabla4[[#This Row],[Cantidad]]</f>
        <v>1936.7704229999997</v>
      </c>
      <c r="Q2594" s="282" t="e">
        <f>(INDEX(Tabla6[#All],MATCH(Tabla4[[#This Row],[Producto]],Tabla6[[#All],[PRODUCTO]],0),MATCH(Tabla4[[#This Row],[Mes]],Tabla6[#Headers],0)))</f>
        <v>#N/A</v>
      </c>
      <c r="R2594" s="282" t="e">
        <f>++Tabla4[[#This Row],[Precio Unitario Neto]]-Tabla4[[#This Row],[20.85%]]-Tabla4[[#This Row],[Costo]]</f>
        <v>#N/A</v>
      </c>
      <c r="S2594" s="282" t="e">
        <f>++Tabla4[[#This Row],[U. Bruta Uni]]*Tabla4[[#This Row],[Cantidad]]</f>
        <v>#N/A</v>
      </c>
      <c r="T2594" s="369" t="str">
        <f>VLOOKUP(Tabla4[[#This Row],[Producto]],Tabla6[#All],14,FALSE)</f>
        <v>Termico Solar</v>
      </c>
      <c r="U2594" s="284" t="e">
        <f>(IF(Tabla4[[#This Row],[Familia]]="termico solar",Tabla4[[#This Row],[Utilidad Total]]*6%,Tabla4[[#This Row],[Utilidad Total]]*11.5%))/Tabla4[[#This Row],[Total]]</f>
        <v>#N/A</v>
      </c>
      <c r="V2594" s="282" t="e">
        <f>+Tabla4[[#This Row],[Comisión Calculada]]*Tabla4[[#This Row],[Total]]</f>
        <v>#N/A</v>
      </c>
    </row>
    <row r="2595" spans="1:22" hidden="1" x14ac:dyDescent="0.25">
      <c r="A2595" s="100">
        <v>45777</v>
      </c>
      <c r="B2595" t="str">
        <f t="shared" si="122"/>
        <v>April</v>
      </c>
      <c r="C2595" s="46" t="s">
        <v>280</v>
      </c>
      <c r="F2595" s="366" t="s">
        <v>1713</v>
      </c>
      <c r="G2595" s="46" t="s">
        <v>412</v>
      </c>
      <c r="H2595" s="46">
        <v>1</v>
      </c>
      <c r="I2595" s="51">
        <v>3240.84</v>
      </c>
      <c r="J2595" s="281">
        <f>++Tabla4[[#This Row],[Precio Bruto]]*1.16</f>
        <v>3759.3743999999997</v>
      </c>
      <c r="K2595" s="281">
        <f>+Tabla4[[#This Row],[Precio Unitario Neto]]*Tabla4[[#Headers],[20.85%]]</f>
        <v>783.82956239999987</v>
      </c>
      <c r="L2595" s="282">
        <f>++Tabla4[[#This Row],[Precio Unitario Neto]]-Tabla4[[#This Row],[20.85%]]</f>
        <v>2975.5448375999999</v>
      </c>
      <c r="M2595" s="282" t="e">
        <f>(INDEX(Tabla6[#All],MATCH(Tabla4[[#This Row],[Producto]],Tabla6[[#All],[PRODUCTO]],0),MATCH(Tabla4[[#This Row],[Mes]],Tabla6[#Headers],0)))*(1+Catalogos!$L$2)</f>
        <v>#N/A</v>
      </c>
      <c r="N2595" s="283" t="e">
        <f>+(Tabla4[[#This Row],[Precio Descontado]]-Tabla4[[#This Row],[Precio Base]])*Tabla4[[#This Row],[Cantidad]]</f>
        <v>#N/A</v>
      </c>
      <c r="O2595" s="284" t="e">
        <f>++Tabla4[[#This Row],[Utilidad Total]]/Tabla4[[#This Row],[Total]]</f>
        <v>#N/A</v>
      </c>
      <c r="P2595" s="282">
        <f>++Tabla4[[#This Row],[Precio Descontado]]*Tabla4[[#This Row],[Cantidad]]</f>
        <v>2975.5448375999999</v>
      </c>
      <c r="Q2595" s="282" t="e">
        <f>(INDEX(Tabla6[#All],MATCH(Tabla4[[#This Row],[Producto]],Tabla6[[#All],[PRODUCTO]],0),MATCH(Tabla4[[#This Row],[Mes]],Tabla6[#Headers],0)))</f>
        <v>#N/A</v>
      </c>
      <c r="R2595" s="282" t="e">
        <f>++Tabla4[[#This Row],[Precio Unitario Neto]]-Tabla4[[#This Row],[20.85%]]-Tabla4[[#This Row],[Costo]]</f>
        <v>#N/A</v>
      </c>
      <c r="S2595" s="282" t="e">
        <f>++Tabla4[[#This Row],[U. Bruta Uni]]*Tabla4[[#This Row],[Cantidad]]</f>
        <v>#N/A</v>
      </c>
      <c r="T2595" s="369" t="str">
        <f>VLOOKUP(Tabla4[[#This Row],[Producto]],Tabla6[#All],14,FALSE)</f>
        <v>Termico Solar</v>
      </c>
      <c r="U2595" s="284" t="e">
        <f>(IF(Tabla4[[#This Row],[Familia]]="termico solar",Tabla4[[#This Row],[Utilidad Total]]*6%,Tabla4[[#This Row],[Utilidad Total]]*11.5%))/Tabla4[[#This Row],[Total]]</f>
        <v>#N/A</v>
      </c>
      <c r="V2595" s="282" t="e">
        <f>+Tabla4[[#This Row],[Comisión Calculada]]*Tabla4[[#This Row],[Total]]</f>
        <v>#N/A</v>
      </c>
    </row>
    <row r="2596" spans="1:22" hidden="1" x14ac:dyDescent="0.25">
      <c r="A2596" s="100">
        <v>45777</v>
      </c>
      <c r="B2596" t="str">
        <f t="shared" si="122"/>
        <v>April</v>
      </c>
      <c r="C2596" s="46" t="s">
        <v>280</v>
      </c>
      <c r="F2596" s="366" t="s">
        <v>1714</v>
      </c>
      <c r="G2596" s="46" t="s">
        <v>83</v>
      </c>
      <c r="H2596" s="46">
        <v>4</v>
      </c>
      <c r="I2596" s="51">
        <v>8858.76</v>
      </c>
      <c r="J2596" s="281">
        <f>++Tabla4[[#This Row],[Precio Bruto]]*1.16</f>
        <v>10276.161599999999</v>
      </c>
      <c r="K2596" s="281">
        <f>+Tabla4[[#This Row],[Precio Unitario Neto]]*Tabla4[[#Headers],[20.85%]]</f>
        <v>2142.5796935999997</v>
      </c>
      <c r="L2596" s="282">
        <f>++Tabla4[[#This Row],[Precio Unitario Neto]]-Tabla4[[#This Row],[20.85%]]</f>
        <v>8133.5819063999998</v>
      </c>
      <c r="M2596" s="282" t="e">
        <f>(INDEX(Tabla6[#All],MATCH(Tabla4[[#This Row],[Producto]],Tabla6[[#All],[PRODUCTO]],0),MATCH(Tabla4[[#This Row],[Mes]],Tabla6[#Headers],0)))*(1+Catalogos!$L$2)</f>
        <v>#N/A</v>
      </c>
      <c r="N2596" s="283" t="e">
        <f>+(Tabla4[[#This Row],[Precio Descontado]]-Tabla4[[#This Row],[Precio Base]])*Tabla4[[#This Row],[Cantidad]]</f>
        <v>#N/A</v>
      </c>
      <c r="O2596" s="284" t="e">
        <f>++Tabla4[[#This Row],[Utilidad Total]]/Tabla4[[#This Row],[Total]]</f>
        <v>#N/A</v>
      </c>
      <c r="P2596" s="282">
        <f>++Tabla4[[#This Row],[Precio Descontado]]*Tabla4[[#This Row],[Cantidad]]</f>
        <v>32534.327625599999</v>
      </c>
      <c r="Q2596" s="282" t="e">
        <f>(INDEX(Tabla6[#All],MATCH(Tabla4[[#This Row],[Producto]],Tabla6[[#All],[PRODUCTO]],0),MATCH(Tabla4[[#This Row],[Mes]],Tabla6[#Headers],0)))</f>
        <v>#N/A</v>
      </c>
      <c r="R2596" s="282" t="e">
        <f>++Tabla4[[#This Row],[Precio Unitario Neto]]-Tabla4[[#This Row],[20.85%]]-Tabla4[[#This Row],[Costo]]</f>
        <v>#N/A</v>
      </c>
      <c r="S2596" s="282" t="e">
        <f>++Tabla4[[#This Row],[U. Bruta Uni]]*Tabla4[[#This Row],[Cantidad]]</f>
        <v>#N/A</v>
      </c>
      <c r="T2596" s="369" t="str">
        <f>VLOOKUP(Tabla4[[#This Row],[Producto]],Tabla6[#All],14,FALSE)</f>
        <v>Termico Solar</v>
      </c>
      <c r="U2596" s="284" t="e">
        <f>(IF(Tabla4[[#This Row],[Familia]]="termico solar",Tabla4[[#This Row],[Utilidad Total]]*6%,Tabla4[[#This Row],[Utilidad Total]]*11.5%))/Tabla4[[#This Row],[Total]]</f>
        <v>#N/A</v>
      </c>
      <c r="V2596" s="282" t="e">
        <f>+Tabla4[[#This Row],[Comisión Calculada]]*Tabla4[[#This Row],[Total]]</f>
        <v>#N/A</v>
      </c>
    </row>
    <row r="2597" spans="1:22" hidden="1" x14ac:dyDescent="0.25">
      <c r="A2597" s="100">
        <v>45777</v>
      </c>
      <c r="B2597" t="str">
        <f t="shared" si="122"/>
        <v>April</v>
      </c>
      <c r="C2597" s="46" t="s">
        <v>280</v>
      </c>
      <c r="F2597" s="366" t="s">
        <v>1714</v>
      </c>
      <c r="G2597" s="46" t="s">
        <v>18</v>
      </c>
      <c r="H2597" s="46">
        <v>3</v>
      </c>
      <c r="I2597" s="51">
        <v>5367.6500000000005</v>
      </c>
      <c r="J2597" s="281">
        <f>++Tabla4[[#This Row],[Precio Bruto]]*1.16</f>
        <v>6226.4740000000002</v>
      </c>
      <c r="K2597" s="281">
        <f>+Tabla4[[#This Row],[Precio Unitario Neto]]*Tabla4[[#Headers],[20.85%]]</f>
        <v>1298.2198289999999</v>
      </c>
      <c r="L2597" s="282">
        <f>++Tabla4[[#This Row],[Precio Unitario Neto]]-Tabla4[[#This Row],[20.85%]]</f>
        <v>4928.2541710000005</v>
      </c>
      <c r="M2597" s="282" t="e">
        <f>(INDEX(Tabla6[#All],MATCH(Tabla4[[#This Row],[Producto]],Tabla6[[#All],[PRODUCTO]],0),MATCH(Tabla4[[#This Row],[Mes]],Tabla6[#Headers],0)))*(1+Catalogos!$L$2)</f>
        <v>#N/A</v>
      </c>
      <c r="N2597" s="283" t="e">
        <f>+(Tabla4[[#This Row],[Precio Descontado]]-Tabla4[[#This Row],[Precio Base]])*Tabla4[[#This Row],[Cantidad]]</f>
        <v>#N/A</v>
      </c>
      <c r="O2597" s="284" t="e">
        <f>++Tabla4[[#This Row],[Utilidad Total]]/Tabla4[[#This Row],[Total]]</f>
        <v>#N/A</v>
      </c>
      <c r="P2597" s="282">
        <f>++Tabla4[[#This Row],[Precio Descontado]]*Tabla4[[#This Row],[Cantidad]]</f>
        <v>14784.762513000001</v>
      </c>
      <c r="Q2597" s="282" t="e">
        <f>(INDEX(Tabla6[#All],MATCH(Tabla4[[#This Row],[Producto]],Tabla6[[#All],[PRODUCTO]],0),MATCH(Tabla4[[#This Row],[Mes]],Tabla6[#Headers],0)))</f>
        <v>#N/A</v>
      </c>
      <c r="R2597" s="282" t="e">
        <f>++Tabla4[[#This Row],[Precio Unitario Neto]]-Tabla4[[#This Row],[20.85%]]-Tabla4[[#This Row],[Costo]]</f>
        <v>#N/A</v>
      </c>
      <c r="S2597" s="282" t="e">
        <f>++Tabla4[[#This Row],[U. Bruta Uni]]*Tabla4[[#This Row],[Cantidad]]</f>
        <v>#N/A</v>
      </c>
      <c r="T2597" s="369" t="str">
        <f>VLOOKUP(Tabla4[[#This Row],[Producto]],Tabla6[#All],14,FALSE)</f>
        <v>Termico Solar</v>
      </c>
      <c r="U2597" s="284" t="e">
        <f>(IF(Tabla4[[#This Row],[Familia]]="termico solar",Tabla4[[#This Row],[Utilidad Total]]*6%,Tabla4[[#This Row],[Utilidad Total]]*11.5%))/Tabla4[[#This Row],[Total]]</f>
        <v>#N/A</v>
      </c>
      <c r="V2597" s="282" t="e">
        <f>+Tabla4[[#This Row],[Comisión Calculada]]*Tabla4[[#This Row],[Total]]</f>
        <v>#N/A</v>
      </c>
    </row>
    <row r="2598" spans="1:22" hidden="1" x14ac:dyDescent="0.25">
      <c r="A2598" s="100">
        <v>45777</v>
      </c>
      <c r="B2598" t="str">
        <f t="shared" si="122"/>
        <v>April</v>
      </c>
      <c r="C2598" s="46" t="s">
        <v>280</v>
      </c>
      <c r="F2598" s="366" t="s">
        <v>1714</v>
      </c>
      <c r="G2598" s="46" t="s">
        <v>208</v>
      </c>
      <c r="H2598" s="46">
        <v>1</v>
      </c>
      <c r="I2598" s="51">
        <v>189.75</v>
      </c>
      <c r="J2598" s="281">
        <f>++Tabla4[[#This Row],[Precio Bruto]]*1.16</f>
        <v>220.10999999999999</v>
      </c>
      <c r="K2598" s="281">
        <f>+Tabla4[[#This Row],[Precio Unitario Neto]]*Tabla4[[#Headers],[20.85%]]</f>
        <v>45.892934999999994</v>
      </c>
      <c r="L2598" s="282">
        <f>++Tabla4[[#This Row],[Precio Unitario Neto]]-Tabla4[[#This Row],[20.85%]]</f>
        <v>174.21706499999999</v>
      </c>
      <c r="M2598" s="282" t="e">
        <f>(INDEX(Tabla6[#All],MATCH(Tabla4[[#This Row],[Producto]],Tabla6[[#All],[PRODUCTO]],0),MATCH(Tabla4[[#This Row],[Mes]],Tabla6[#Headers],0)))*(1+Catalogos!$L$2)</f>
        <v>#N/A</v>
      </c>
      <c r="N2598" s="283" t="e">
        <f>+(Tabla4[[#This Row],[Precio Descontado]]-Tabla4[[#This Row],[Precio Base]])*Tabla4[[#This Row],[Cantidad]]</f>
        <v>#N/A</v>
      </c>
      <c r="O2598" s="284" t="e">
        <f>++Tabla4[[#This Row],[Utilidad Total]]/Tabla4[[#This Row],[Total]]</f>
        <v>#N/A</v>
      </c>
      <c r="P2598" s="282">
        <f>++Tabla4[[#This Row],[Precio Descontado]]*Tabla4[[#This Row],[Cantidad]]</f>
        <v>174.21706499999999</v>
      </c>
      <c r="Q2598" s="282" t="e">
        <f>(INDEX(Tabla6[#All],MATCH(Tabla4[[#This Row],[Producto]],Tabla6[[#All],[PRODUCTO]],0),MATCH(Tabla4[[#This Row],[Mes]],Tabla6[#Headers],0)))</f>
        <v>#N/A</v>
      </c>
      <c r="R2598" s="282" t="e">
        <f>++Tabla4[[#This Row],[Precio Unitario Neto]]-Tabla4[[#This Row],[20.85%]]-Tabla4[[#This Row],[Costo]]</f>
        <v>#N/A</v>
      </c>
      <c r="S2598" s="282" t="e">
        <f>++Tabla4[[#This Row],[U. Bruta Uni]]*Tabla4[[#This Row],[Cantidad]]</f>
        <v>#N/A</v>
      </c>
      <c r="T2598" s="369" t="str">
        <f>VLOOKUP(Tabla4[[#This Row],[Producto]],Tabla6[#All],14,FALSE)</f>
        <v>Termico Solar</v>
      </c>
      <c r="U2598" s="284" t="e">
        <f>(IF(Tabla4[[#This Row],[Familia]]="termico solar",Tabla4[[#This Row],[Utilidad Total]]*6%,Tabla4[[#This Row],[Utilidad Total]]*11.5%))/Tabla4[[#This Row],[Total]]</f>
        <v>#N/A</v>
      </c>
      <c r="V2598" s="282" t="e">
        <f>+Tabla4[[#This Row],[Comisión Calculada]]*Tabla4[[#This Row],[Total]]</f>
        <v>#N/A</v>
      </c>
    </row>
    <row r="2599" spans="1:22" hidden="1" x14ac:dyDescent="0.25">
      <c r="A2599" s="100">
        <v>45777</v>
      </c>
      <c r="B2599" t="str">
        <f t="shared" si="122"/>
        <v>April</v>
      </c>
      <c r="C2599" s="46" t="s">
        <v>280</v>
      </c>
      <c r="F2599" s="366" t="s">
        <v>1715</v>
      </c>
      <c r="G2599" s="46" t="s">
        <v>18</v>
      </c>
      <c r="H2599" s="46">
        <v>2</v>
      </c>
      <c r="I2599" s="51">
        <v>5367.65</v>
      </c>
      <c r="J2599" s="281">
        <f>++Tabla4[[#This Row],[Precio Bruto]]*1.16</f>
        <v>6226.4739999999993</v>
      </c>
      <c r="K2599" s="281">
        <f>+Tabla4[[#This Row],[Precio Unitario Neto]]*Tabla4[[#Headers],[20.85%]]</f>
        <v>1298.2198289999999</v>
      </c>
      <c r="L2599" s="282">
        <f>++Tabla4[[#This Row],[Precio Unitario Neto]]-Tabla4[[#This Row],[20.85%]]</f>
        <v>4928.2541709999996</v>
      </c>
      <c r="M2599" s="282" t="e">
        <f>(INDEX(Tabla6[#All],MATCH(Tabla4[[#This Row],[Producto]],Tabla6[[#All],[PRODUCTO]],0),MATCH(Tabla4[[#This Row],[Mes]],Tabla6[#Headers],0)))*(1+Catalogos!$L$2)</f>
        <v>#N/A</v>
      </c>
      <c r="N2599" s="283" t="e">
        <f>+(Tabla4[[#This Row],[Precio Descontado]]-Tabla4[[#This Row],[Precio Base]])*Tabla4[[#This Row],[Cantidad]]</f>
        <v>#N/A</v>
      </c>
      <c r="O2599" s="284" t="e">
        <f>++Tabla4[[#This Row],[Utilidad Total]]/Tabla4[[#This Row],[Total]]</f>
        <v>#N/A</v>
      </c>
      <c r="P2599" s="282">
        <f>++Tabla4[[#This Row],[Precio Descontado]]*Tabla4[[#This Row],[Cantidad]]</f>
        <v>9856.5083419999992</v>
      </c>
      <c r="Q2599" s="282" t="e">
        <f>(INDEX(Tabla6[#All],MATCH(Tabla4[[#This Row],[Producto]],Tabla6[[#All],[PRODUCTO]],0),MATCH(Tabla4[[#This Row],[Mes]],Tabla6[#Headers],0)))</f>
        <v>#N/A</v>
      </c>
      <c r="R2599" s="282" t="e">
        <f>++Tabla4[[#This Row],[Precio Unitario Neto]]-Tabla4[[#This Row],[20.85%]]-Tabla4[[#This Row],[Costo]]</f>
        <v>#N/A</v>
      </c>
      <c r="S2599" s="282" t="e">
        <f>++Tabla4[[#This Row],[U. Bruta Uni]]*Tabla4[[#This Row],[Cantidad]]</f>
        <v>#N/A</v>
      </c>
      <c r="T2599" s="369" t="str">
        <f>VLOOKUP(Tabla4[[#This Row],[Producto]],Tabla6[#All],14,FALSE)</f>
        <v>Termico Solar</v>
      </c>
      <c r="U2599" s="284" t="e">
        <f>(IF(Tabla4[[#This Row],[Familia]]="termico solar",Tabla4[[#This Row],[Utilidad Total]]*6%,Tabla4[[#This Row],[Utilidad Total]]*11.5%))/Tabla4[[#This Row],[Total]]</f>
        <v>#N/A</v>
      </c>
      <c r="V2599" s="282" t="e">
        <f>+Tabla4[[#This Row],[Comisión Calculada]]*Tabla4[[#This Row],[Total]]</f>
        <v>#N/A</v>
      </c>
    </row>
    <row r="2600" spans="1:22" hidden="1" x14ac:dyDescent="0.25">
      <c r="A2600" s="100">
        <v>45777</v>
      </c>
      <c r="B2600" t="str">
        <f t="shared" si="122"/>
        <v>April</v>
      </c>
      <c r="C2600" s="46" t="s">
        <v>280</v>
      </c>
      <c r="F2600" s="366" t="s">
        <v>1716</v>
      </c>
      <c r="G2600" s="46" t="s">
        <v>83</v>
      </c>
      <c r="H2600" s="46">
        <v>1</v>
      </c>
      <c r="I2600" s="51">
        <v>8858.76</v>
      </c>
      <c r="J2600" s="281">
        <f>++Tabla4[[#This Row],[Precio Bruto]]*1.16</f>
        <v>10276.161599999999</v>
      </c>
      <c r="K2600" s="281">
        <f>+Tabla4[[#This Row],[Precio Unitario Neto]]*Tabla4[[#Headers],[20.85%]]</f>
        <v>2142.5796935999997</v>
      </c>
      <c r="L2600" s="282">
        <f>++Tabla4[[#This Row],[Precio Unitario Neto]]-Tabla4[[#This Row],[20.85%]]</f>
        <v>8133.5819063999998</v>
      </c>
      <c r="M2600" s="282" t="e">
        <f>(INDEX(Tabla6[#All],MATCH(Tabla4[[#This Row],[Producto]],Tabla6[[#All],[PRODUCTO]],0),MATCH(Tabla4[[#This Row],[Mes]],Tabla6[#Headers],0)))*(1+Catalogos!$L$2)</f>
        <v>#N/A</v>
      </c>
      <c r="N2600" s="283" t="e">
        <f>+(Tabla4[[#This Row],[Precio Descontado]]-Tabla4[[#This Row],[Precio Base]])*Tabla4[[#This Row],[Cantidad]]</f>
        <v>#N/A</v>
      </c>
      <c r="O2600" s="284" t="e">
        <f>++Tabla4[[#This Row],[Utilidad Total]]/Tabla4[[#This Row],[Total]]</f>
        <v>#N/A</v>
      </c>
      <c r="P2600" s="282">
        <f>++Tabla4[[#This Row],[Precio Descontado]]*Tabla4[[#This Row],[Cantidad]]</f>
        <v>8133.5819063999998</v>
      </c>
      <c r="Q2600" s="282" t="e">
        <f>(INDEX(Tabla6[#All],MATCH(Tabla4[[#This Row],[Producto]],Tabla6[[#All],[PRODUCTO]],0),MATCH(Tabla4[[#This Row],[Mes]],Tabla6[#Headers],0)))</f>
        <v>#N/A</v>
      </c>
      <c r="R2600" s="282" t="e">
        <f>++Tabla4[[#This Row],[Precio Unitario Neto]]-Tabla4[[#This Row],[20.85%]]-Tabla4[[#This Row],[Costo]]</f>
        <v>#N/A</v>
      </c>
      <c r="S2600" s="282" t="e">
        <f>++Tabla4[[#This Row],[U. Bruta Uni]]*Tabla4[[#This Row],[Cantidad]]</f>
        <v>#N/A</v>
      </c>
      <c r="T2600" s="369" t="str">
        <f>VLOOKUP(Tabla4[[#This Row],[Producto]],Tabla6[#All],14,FALSE)</f>
        <v>Termico Solar</v>
      </c>
      <c r="U2600" s="284" t="e">
        <f>(IF(Tabla4[[#This Row],[Familia]]="termico solar",Tabla4[[#This Row],[Utilidad Total]]*6%,Tabla4[[#This Row],[Utilidad Total]]*11.5%))/Tabla4[[#This Row],[Total]]</f>
        <v>#N/A</v>
      </c>
      <c r="V2600" s="282" t="e">
        <f>+Tabla4[[#This Row],[Comisión Calculada]]*Tabla4[[#This Row],[Total]]</f>
        <v>#N/A</v>
      </c>
    </row>
    <row r="2601" spans="1:22" hidden="1" x14ac:dyDescent="0.25">
      <c r="A2601" s="100">
        <v>45777</v>
      </c>
      <c r="B2601" t="str">
        <f t="shared" si="122"/>
        <v>April</v>
      </c>
      <c r="C2601" s="46" t="s">
        <v>280</v>
      </c>
      <c r="F2601" s="366" t="s">
        <v>1717</v>
      </c>
      <c r="G2601" s="46" t="s">
        <v>83</v>
      </c>
      <c r="H2601" s="46">
        <v>5</v>
      </c>
      <c r="I2601" s="51">
        <v>8858.76</v>
      </c>
      <c r="J2601" s="281">
        <f>++Tabla4[[#This Row],[Precio Bruto]]*1.16</f>
        <v>10276.161599999999</v>
      </c>
      <c r="K2601" s="281">
        <f>+Tabla4[[#This Row],[Precio Unitario Neto]]*Tabla4[[#Headers],[20.85%]]</f>
        <v>2142.5796935999997</v>
      </c>
      <c r="L2601" s="282">
        <f>++Tabla4[[#This Row],[Precio Unitario Neto]]-Tabla4[[#This Row],[20.85%]]</f>
        <v>8133.5819063999998</v>
      </c>
      <c r="M2601" s="282" t="e">
        <f>(INDEX(Tabla6[#All],MATCH(Tabla4[[#This Row],[Producto]],Tabla6[[#All],[PRODUCTO]],0),MATCH(Tabla4[[#This Row],[Mes]],Tabla6[#Headers],0)))*(1+Catalogos!$L$2)</f>
        <v>#N/A</v>
      </c>
      <c r="N2601" s="283" t="e">
        <f>+(Tabla4[[#This Row],[Precio Descontado]]-Tabla4[[#This Row],[Precio Base]])*Tabla4[[#This Row],[Cantidad]]</f>
        <v>#N/A</v>
      </c>
      <c r="O2601" s="284" t="e">
        <f>++Tabla4[[#This Row],[Utilidad Total]]/Tabla4[[#This Row],[Total]]</f>
        <v>#N/A</v>
      </c>
      <c r="P2601" s="282">
        <f>++Tabla4[[#This Row],[Precio Descontado]]*Tabla4[[#This Row],[Cantidad]]</f>
        <v>40667.909531999998</v>
      </c>
      <c r="Q2601" s="282" t="e">
        <f>(INDEX(Tabla6[#All],MATCH(Tabla4[[#This Row],[Producto]],Tabla6[[#All],[PRODUCTO]],0),MATCH(Tabla4[[#This Row],[Mes]],Tabla6[#Headers],0)))</f>
        <v>#N/A</v>
      </c>
      <c r="R2601" s="282" t="e">
        <f>++Tabla4[[#This Row],[Precio Unitario Neto]]-Tabla4[[#This Row],[20.85%]]-Tabla4[[#This Row],[Costo]]</f>
        <v>#N/A</v>
      </c>
      <c r="S2601" s="282" t="e">
        <f>++Tabla4[[#This Row],[U. Bruta Uni]]*Tabla4[[#This Row],[Cantidad]]</f>
        <v>#N/A</v>
      </c>
      <c r="T2601" s="369" t="str">
        <f>VLOOKUP(Tabla4[[#This Row],[Producto]],Tabla6[#All],14,FALSE)</f>
        <v>Termico Solar</v>
      </c>
      <c r="U2601" s="284" t="e">
        <f>(IF(Tabla4[[#This Row],[Familia]]="termico solar",Tabla4[[#This Row],[Utilidad Total]]*6%,Tabla4[[#This Row],[Utilidad Total]]*11.5%))/Tabla4[[#This Row],[Total]]</f>
        <v>#N/A</v>
      </c>
      <c r="V2601" s="282" t="e">
        <f>+Tabla4[[#This Row],[Comisión Calculada]]*Tabla4[[#This Row],[Total]]</f>
        <v>#N/A</v>
      </c>
    </row>
    <row r="2602" spans="1:22" hidden="1" x14ac:dyDescent="0.25">
      <c r="A2602" s="100">
        <v>45777</v>
      </c>
      <c r="B2602" t="str">
        <f t="shared" si="122"/>
        <v>April</v>
      </c>
      <c r="C2602" s="46" t="s">
        <v>280</v>
      </c>
      <c r="F2602" s="366" t="s">
        <v>1717</v>
      </c>
      <c r="G2602" s="46" t="s">
        <v>17</v>
      </c>
      <c r="H2602" s="46">
        <v>1</v>
      </c>
      <c r="I2602" s="51">
        <v>4622.28</v>
      </c>
      <c r="J2602" s="281">
        <f>++Tabla4[[#This Row],[Precio Bruto]]*1.16</f>
        <v>5361.8447999999989</v>
      </c>
      <c r="K2602" s="281">
        <f>+Tabla4[[#This Row],[Precio Unitario Neto]]*Tabla4[[#Headers],[20.85%]]</f>
        <v>1117.9446407999997</v>
      </c>
      <c r="L2602" s="282">
        <f>++Tabla4[[#This Row],[Precio Unitario Neto]]-Tabla4[[#This Row],[20.85%]]</f>
        <v>4243.9001591999995</v>
      </c>
      <c r="M2602" s="282" t="e">
        <f>(INDEX(Tabla6[#All],MATCH(Tabla4[[#This Row],[Producto]],Tabla6[[#All],[PRODUCTO]],0),MATCH(Tabla4[[#This Row],[Mes]],Tabla6[#Headers],0)))*(1+Catalogos!$L$2)</f>
        <v>#N/A</v>
      </c>
      <c r="N2602" s="283" t="e">
        <f>+(Tabla4[[#This Row],[Precio Descontado]]-Tabla4[[#This Row],[Precio Base]])*Tabla4[[#This Row],[Cantidad]]</f>
        <v>#N/A</v>
      </c>
      <c r="O2602" s="284" t="e">
        <f>++Tabla4[[#This Row],[Utilidad Total]]/Tabla4[[#This Row],[Total]]</f>
        <v>#N/A</v>
      </c>
      <c r="P2602" s="282">
        <f>++Tabla4[[#This Row],[Precio Descontado]]*Tabla4[[#This Row],[Cantidad]]</f>
        <v>4243.9001591999995</v>
      </c>
      <c r="Q2602" s="282" t="e">
        <f>(INDEX(Tabla6[#All],MATCH(Tabla4[[#This Row],[Producto]],Tabla6[[#All],[PRODUCTO]],0),MATCH(Tabla4[[#This Row],[Mes]],Tabla6[#Headers],0)))</f>
        <v>#N/A</v>
      </c>
      <c r="R2602" s="282" t="e">
        <f>++Tabla4[[#This Row],[Precio Unitario Neto]]-Tabla4[[#This Row],[20.85%]]-Tabla4[[#This Row],[Costo]]</f>
        <v>#N/A</v>
      </c>
      <c r="S2602" s="282" t="e">
        <f>++Tabla4[[#This Row],[U. Bruta Uni]]*Tabla4[[#This Row],[Cantidad]]</f>
        <v>#N/A</v>
      </c>
      <c r="T2602" s="369" t="str">
        <f>VLOOKUP(Tabla4[[#This Row],[Producto]],Tabla6[#All],14,FALSE)</f>
        <v>Termico Solar</v>
      </c>
      <c r="U2602" s="284" t="e">
        <f>(IF(Tabla4[[#This Row],[Familia]]="termico solar",Tabla4[[#This Row],[Utilidad Total]]*6%,Tabla4[[#This Row],[Utilidad Total]]*11.5%))/Tabla4[[#This Row],[Total]]</f>
        <v>#N/A</v>
      </c>
      <c r="V2602" s="282" t="e">
        <f>+Tabla4[[#This Row],[Comisión Calculada]]*Tabla4[[#This Row],[Total]]</f>
        <v>#N/A</v>
      </c>
    </row>
    <row r="2603" spans="1:22" hidden="1" x14ac:dyDescent="0.25">
      <c r="A2603" s="100">
        <v>45777</v>
      </c>
      <c r="B2603" t="str">
        <f t="shared" si="122"/>
        <v>April</v>
      </c>
      <c r="C2603" s="46" t="s">
        <v>280</v>
      </c>
      <c r="F2603" s="366" t="s">
        <v>1717</v>
      </c>
      <c r="G2603" s="46" t="s">
        <v>18</v>
      </c>
      <c r="H2603" s="46">
        <v>4</v>
      </c>
      <c r="I2603" s="51">
        <v>5367.65</v>
      </c>
      <c r="J2603" s="281">
        <f>++Tabla4[[#This Row],[Precio Bruto]]*1.16</f>
        <v>6226.4739999999993</v>
      </c>
      <c r="K2603" s="281">
        <f>+Tabla4[[#This Row],[Precio Unitario Neto]]*Tabla4[[#Headers],[20.85%]]</f>
        <v>1298.2198289999999</v>
      </c>
      <c r="L2603" s="282">
        <f>++Tabla4[[#This Row],[Precio Unitario Neto]]-Tabla4[[#This Row],[20.85%]]</f>
        <v>4928.2541709999996</v>
      </c>
      <c r="M2603" s="282" t="e">
        <f>(INDEX(Tabla6[#All],MATCH(Tabla4[[#This Row],[Producto]],Tabla6[[#All],[PRODUCTO]],0),MATCH(Tabla4[[#This Row],[Mes]],Tabla6[#Headers],0)))*(1+Catalogos!$L$2)</f>
        <v>#N/A</v>
      </c>
      <c r="N2603" s="283" t="e">
        <f>+(Tabla4[[#This Row],[Precio Descontado]]-Tabla4[[#This Row],[Precio Base]])*Tabla4[[#This Row],[Cantidad]]</f>
        <v>#N/A</v>
      </c>
      <c r="O2603" s="284" t="e">
        <f>++Tabla4[[#This Row],[Utilidad Total]]/Tabla4[[#This Row],[Total]]</f>
        <v>#N/A</v>
      </c>
      <c r="P2603" s="282">
        <f>++Tabla4[[#This Row],[Precio Descontado]]*Tabla4[[#This Row],[Cantidad]]</f>
        <v>19713.016683999998</v>
      </c>
      <c r="Q2603" s="282" t="e">
        <f>(INDEX(Tabla6[#All],MATCH(Tabla4[[#This Row],[Producto]],Tabla6[[#All],[PRODUCTO]],0),MATCH(Tabla4[[#This Row],[Mes]],Tabla6[#Headers],0)))</f>
        <v>#N/A</v>
      </c>
      <c r="R2603" s="282" t="e">
        <f>++Tabla4[[#This Row],[Precio Unitario Neto]]-Tabla4[[#This Row],[20.85%]]-Tabla4[[#This Row],[Costo]]</f>
        <v>#N/A</v>
      </c>
      <c r="S2603" s="282" t="e">
        <f>++Tabla4[[#This Row],[U. Bruta Uni]]*Tabla4[[#This Row],[Cantidad]]</f>
        <v>#N/A</v>
      </c>
      <c r="T2603" s="369" t="str">
        <f>VLOOKUP(Tabla4[[#This Row],[Producto]],Tabla6[#All],14,FALSE)</f>
        <v>Termico Solar</v>
      </c>
      <c r="U2603" s="284" t="e">
        <f>(IF(Tabla4[[#This Row],[Familia]]="termico solar",Tabla4[[#This Row],[Utilidad Total]]*6%,Tabla4[[#This Row],[Utilidad Total]]*11.5%))/Tabla4[[#This Row],[Total]]</f>
        <v>#N/A</v>
      </c>
      <c r="V2603" s="282" t="e">
        <f>+Tabla4[[#This Row],[Comisión Calculada]]*Tabla4[[#This Row],[Total]]</f>
        <v>#N/A</v>
      </c>
    </row>
    <row r="2604" spans="1:22" hidden="1" x14ac:dyDescent="0.25">
      <c r="A2604" s="100">
        <v>45777</v>
      </c>
      <c r="B2604" t="str">
        <f t="shared" si="122"/>
        <v>April</v>
      </c>
      <c r="C2604" s="46" t="s">
        <v>280</v>
      </c>
      <c r="F2604" s="366" t="s">
        <v>1717</v>
      </c>
      <c r="G2604" s="46" t="s">
        <v>208</v>
      </c>
      <c r="H2604" s="46">
        <v>1</v>
      </c>
      <c r="I2604" s="51">
        <v>189.75</v>
      </c>
      <c r="J2604" s="281">
        <f>++Tabla4[[#This Row],[Precio Bruto]]*1.16</f>
        <v>220.10999999999999</v>
      </c>
      <c r="K2604" s="281">
        <f>+Tabla4[[#This Row],[Precio Unitario Neto]]*Tabla4[[#Headers],[20.85%]]</f>
        <v>45.892934999999994</v>
      </c>
      <c r="L2604" s="282">
        <f>++Tabla4[[#This Row],[Precio Unitario Neto]]-Tabla4[[#This Row],[20.85%]]</f>
        <v>174.21706499999999</v>
      </c>
      <c r="M2604" s="282" t="e">
        <f>(INDEX(Tabla6[#All],MATCH(Tabla4[[#This Row],[Producto]],Tabla6[[#All],[PRODUCTO]],0),MATCH(Tabla4[[#This Row],[Mes]],Tabla6[#Headers],0)))*(1+Catalogos!$L$2)</f>
        <v>#N/A</v>
      </c>
      <c r="N2604" s="283" t="e">
        <f>+(Tabla4[[#This Row],[Precio Descontado]]-Tabla4[[#This Row],[Precio Base]])*Tabla4[[#This Row],[Cantidad]]</f>
        <v>#N/A</v>
      </c>
      <c r="O2604" s="284" t="e">
        <f>++Tabla4[[#This Row],[Utilidad Total]]/Tabla4[[#This Row],[Total]]</f>
        <v>#N/A</v>
      </c>
      <c r="P2604" s="282">
        <f>++Tabla4[[#This Row],[Precio Descontado]]*Tabla4[[#This Row],[Cantidad]]</f>
        <v>174.21706499999999</v>
      </c>
      <c r="Q2604" s="282" t="e">
        <f>(INDEX(Tabla6[#All],MATCH(Tabla4[[#This Row],[Producto]],Tabla6[[#All],[PRODUCTO]],0),MATCH(Tabla4[[#This Row],[Mes]],Tabla6[#Headers],0)))</f>
        <v>#N/A</v>
      </c>
      <c r="R2604" s="282" t="e">
        <f>++Tabla4[[#This Row],[Precio Unitario Neto]]-Tabla4[[#This Row],[20.85%]]-Tabla4[[#This Row],[Costo]]</f>
        <v>#N/A</v>
      </c>
      <c r="S2604" s="282" t="e">
        <f>++Tabla4[[#This Row],[U. Bruta Uni]]*Tabla4[[#This Row],[Cantidad]]</f>
        <v>#N/A</v>
      </c>
      <c r="T2604" s="369" t="str">
        <f>VLOOKUP(Tabla4[[#This Row],[Producto]],Tabla6[#All],14,FALSE)</f>
        <v>Termico Solar</v>
      </c>
      <c r="U2604" s="284" t="e">
        <f>(IF(Tabla4[[#This Row],[Familia]]="termico solar",Tabla4[[#This Row],[Utilidad Total]]*6%,Tabla4[[#This Row],[Utilidad Total]]*11.5%))/Tabla4[[#This Row],[Total]]</f>
        <v>#N/A</v>
      </c>
      <c r="V2604" s="282" t="e">
        <f>+Tabla4[[#This Row],[Comisión Calculada]]*Tabla4[[#This Row],[Total]]</f>
        <v>#N/A</v>
      </c>
    </row>
    <row r="2605" spans="1:22" hidden="1" x14ac:dyDescent="0.25">
      <c r="A2605" s="100">
        <v>45777</v>
      </c>
      <c r="B2605" t="str">
        <f t="shared" si="122"/>
        <v>April</v>
      </c>
      <c r="C2605" s="46" t="s">
        <v>280</v>
      </c>
      <c r="F2605" s="366" t="s">
        <v>1718</v>
      </c>
      <c r="G2605" s="46" t="s">
        <v>83</v>
      </c>
      <c r="H2605" s="46">
        <v>1</v>
      </c>
      <c r="I2605" s="51">
        <v>8858.76</v>
      </c>
      <c r="J2605" s="281">
        <f>++Tabla4[[#This Row],[Precio Bruto]]*1.16</f>
        <v>10276.161599999999</v>
      </c>
      <c r="K2605" s="281">
        <f>+Tabla4[[#This Row],[Precio Unitario Neto]]*Tabla4[[#Headers],[20.85%]]</f>
        <v>2142.5796935999997</v>
      </c>
      <c r="L2605" s="282">
        <f>++Tabla4[[#This Row],[Precio Unitario Neto]]-Tabla4[[#This Row],[20.85%]]</f>
        <v>8133.5819063999998</v>
      </c>
      <c r="M2605" s="282" t="e">
        <f>(INDEX(Tabla6[#All],MATCH(Tabla4[[#This Row],[Producto]],Tabla6[[#All],[PRODUCTO]],0),MATCH(Tabla4[[#This Row],[Mes]],Tabla6[#Headers],0)))*(1+Catalogos!$L$2)</f>
        <v>#N/A</v>
      </c>
      <c r="N2605" s="283" t="e">
        <f>+(Tabla4[[#This Row],[Precio Descontado]]-Tabla4[[#This Row],[Precio Base]])*Tabla4[[#This Row],[Cantidad]]</f>
        <v>#N/A</v>
      </c>
      <c r="O2605" s="284" t="e">
        <f>++Tabla4[[#This Row],[Utilidad Total]]/Tabla4[[#This Row],[Total]]</f>
        <v>#N/A</v>
      </c>
      <c r="P2605" s="282">
        <f>++Tabla4[[#This Row],[Precio Descontado]]*Tabla4[[#This Row],[Cantidad]]</f>
        <v>8133.5819063999998</v>
      </c>
      <c r="Q2605" s="282" t="e">
        <f>(INDEX(Tabla6[#All],MATCH(Tabla4[[#This Row],[Producto]],Tabla6[[#All],[PRODUCTO]],0),MATCH(Tabla4[[#This Row],[Mes]],Tabla6[#Headers],0)))</f>
        <v>#N/A</v>
      </c>
      <c r="R2605" s="282" t="e">
        <f>++Tabla4[[#This Row],[Precio Unitario Neto]]-Tabla4[[#This Row],[20.85%]]-Tabla4[[#This Row],[Costo]]</f>
        <v>#N/A</v>
      </c>
      <c r="S2605" s="282" t="e">
        <f>++Tabla4[[#This Row],[U. Bruta Uni]]*Tabla4[[#This Row],[Cantidad]]</f>
        <v>#N/A</v>
      </c>
      <c r="T2605" s="369" t="str">
        <f>VLOOKUP(Tabla4[[#This Row],[Producto]],Tabla6[#All],14,FALSE)</f>
        <v>Termico Solar</v>
      </c>
      <c r="U2605" s="284" t="e">
        <f>(IF(Tabla4[[#This Row],[Familia]]="termico solar",Tabla4[[#This Row],[Utilidad Total]]*6%,Tabla4[[#This Row],[Utilidad Total]]*11.5%))/Tabla4[[#This Row],[Total]]</f>
        <v>#N/A</v>
      </c>
      <c r="V2605" s="282" t="e">
        <f>+Tabla4[[#This Row],[Comisión Calculada]]*Tabla4[[#This Row],[Total]]</f>
        <v>#N/A</v>
      </c>
    </row>
    <row r="2606" spans="1:22" hidden="1" x14ac:dyDescent="0.25">
      <c r="A2606" s="100">
        <v>45777</v>
      </c>
      <c r="B2606" t="str">
        <f t="shared" si="122"/>
        <v>April</v>
      </c>
      <c r="C2606" s="46" t="s">
        <v>280</v>
      </c>
      <c r="F2606" s="366" t="s">
        <v>1719</v>
      </c>
      <c r="G2606" s="46" t="s">
        <v>18</v>
      </c>
      <c r="H2606" s="46">
        <v>1</v>
      </c>
      <c r="I2606" s="51">
        <v>5367.65</v>
      </c>
      <c r="J2606" s="281">
        <f>++Tabla4[[#This Row],[Precio Bruto]]*1.16</f>
        <v>6226.4739999999993</v>
      </c>
      <c r="K2606" s="281">
        <f>+Tabla4[[#This Row],[Precio Unitario Neto]]*Tabla4[[#Headers],[20.85%]]</f>
        <v>1298.2198289999999</v>
      </c>
      <c r="L2606" s="282">
        <f>++Tabla4[[#This Row],[Precio Unitario Neto]]-Tabla4[[#This Row],[20.85%]]</f>
        <v>4928.2541709999996</v>
      </c>
      <c r="M2606" s="282" t="e">
        <f>(INDEX(Tabla6[#All],MATCH(Tabla4[[#This Row],[Producto]],Tabla6[[#All],[PRODUCTO]],0),MATCH(Tabla4[[#This Row],[Mes]],Tabla6[#Headers],0)))*(1+Catalogos!$L$2)</f>
        <v>#N/A</v>
      </c>
      <c r="N2606" s="283" t="e">
        <f>+(Tabla4[[#This Row],[Precio Descontado]]-Tabla4[[#This Row],[Precio Base]])*Tabla4[[#This Row],[Cantidad]]</f>
        <v>#N/A</v>
      </c>
      <c r="O2606" s="284" t="e">
        <f>++Tabla4[[#This Row],[Utilidad Total]]/Tabla4[[#This Row],[Total]]</f>
        <v>#N/A</v>
      </c>
      <c r="P2606" s="282">
        <f>++Tabla4[[#This Row],[Precio Descontado]]*Tabla4[[#This Row],[Cantidad]]</f>
        <v>4928.2541709999996</v>
      </c>
      <c r="Q2606" s="282" t="e">
        <f>(INDEX(Tabla6[#All],MATCH(Tabla4[[#This Row],[Producto]],Tabla6[[#All],[PRODUCTO]],0),MATCH(Tabla4[[#This Row],[Mes]],Tabla6[#Headers],0)))</f>
        <v>#N/A</v>
      </c>
      <c r="R2606" s="282" t="e">
        <f>++Tabla4[[#This Row],[Precio Unitario Neto]]-Tabla4[[#This Row],[20.85%]]-Tabla4[[#This Row],[Costo]]</f>
        <v>#N/A</v>
      </c>
      <c r="S2606" s="282" t="e">
        <f>++Tabla4[[#This Row],[U. Bruta Uni]]*Tabla4[[#This Row],[Cantidad]]</f>
        <v>#N/A</v>
      </c>
      <c r="T2606" s="369" t="str">
        <f>VLOOKUP(Tabla4[[#This Row],[Producto]],Tabla6[#All],14,FALSE)</f>
        <v>Termico Solar</v>
      </c>
      <c r="U2606" s="284" t="e">
        <f>(IF(Tabla4[[#This Row],[Familia]]="termico solar",Tabla4[[#This Row],[Utilidad Total]]*6%,Tabla4[[#This Row],[Utilidad Total]]*11.5%))/Tabla4[[#This Row],[Total]]</f>
        <v>#N/A</v>
      </c>
      <c r="V2606" s="282" t="e">
        <f>+Tabla4[[#This Row],[Comisión Calculada]]*Tabla4[[#This Row],[Total]]</f>
        <v>#N/A</v>
      </c>
    </row>
    <row r="2607" spans="1:22" hidden="1" x14ac:dyDescent="0.25">
      <c r="A2607" s="100">
        <v>45777</v>
      </c>
      <c r="B2607" t="str">
        <f t="shared" si="122"/>
        <v>April</v>
      </c>
      <c r="C2607" s="46" t="s">
        <v>280</v>
      </c>
      <c r="F2607" s="366" t="s">
        <v>1720</v>
      </c>
      <c r="G2607" s="46" t="s">
        <v>83</v>
      </c>
      <c r="H2607" s="46">
        <v>1</v>
      </c>
      <c r="I2607" s="51">
        <v>8858.76</v>
      </c>
      <c r="J2607" s="281">
        <f>++Tabla4[[#This Row],[Precio Bruto]]*1.16</f>
        <v>10276.161599999999</v>
      </c>
      <c r="K2607" s="281">
        <f>+Tabla4[[#This Row],[Precio Unitario Neto]]*Tabla4[[#Headers],[20.85%]]</f>
        <v>2142.5796935999997</v>
      </c>
      <c r="L2607" s="282">
        <f>++Tabla4[[#This Row],[Precio Unitario Neto]]-Tabla4[[#This Row],[20.85%]]</f>
        <v>8133.5819063999998</v>
      </c>
      <c r="M2607" s="282" t="e">
        <f>(INDEX(Tabla6[#All],MATCH(Tabla4[[#This Row],[Producto]],Tabla6[[#All],[PRODUCTO]],0),MATCH(Tabla4[[#This Row],[Mes]],Tabla6[#Headers],0)))*(1+Catalogos!$L$2)</f>
        <v>#N/A</v>
      </c>
      <c r="N2607" s="283" t="e">
        <f>+(Tabla4[[#This Row],[Precio Descontado]]-Tabla4[[#This Row],[Precio Base]])*Tabla4[[#This Row],[Cantidad]]</f>
        <v>#N/A</v>
      </c>
      <c r="O2607" s="284" t="e">
        <f>++Tabla4[[#This Row],[Utilidad Total]]/Tabla4[[#This Row],[Total]]</f>
        <v>#N/A</v>
      </c>
      <c r="P2607" s="282">
        <f>++Tabla4[[#This Row],[Precio Descontado]]*Tabla4[[#This Row],[Cantidad]]</f>
        <v>8133.5819063999998</v>
      </c>
      <c r="Q2607" s="282" t="e">
        <f>(INDEX(Tabla6[#All],MATCH(Tabla4[[#This Row],[Producto]],Tabla6[[#All],[PRODUCTO]],0),MATCH(Tabla4[[#This Row],[Mes]],Tabla6[#Headers],0)))</f>
        <v>#N/A</v>
      </c>
      <c r="R2607" s="282" t="e">
        <f>++Tabla4[[#This Row],[Precio Unitario Neto]]-Tabla4[[#This Row],[20.85%]]-Tabla4[[#This Row],[Costo]]</f>
        <v>#N/A</v>
      </c>
      <c r="S2607" s="282" t="e">
        <f>++Tabla4[[#This Row],[U. Bruta Uni]]*Tabla4[[#This Row],[Cantidad]]</f>
        <v>#N/A</v>
      </c>
      <c r="T2607" s="369" t="str">
        <f>VLOOKUP(Tabla4[[#This Row],[Producto]],Tabla6[#All],14,FALSE)</f>
        <v>Termico Solar</v>
      </c>
      <c r="U2607" s="284" t="e">
        <f>(IF(Tabla4[[#This Row],[Familia]]="termico solar",Tabla4[[#This Row],[Utilidad Total]]*6%,Tabla4[[#This Row],[Utilidad Total]]*11.5%))/Tabla4[[#This Row],[Total]]</f>
        <v>#N/A</v>
      </c>
      <c r="V2607" s="282" t="e">
        <f>+Tabla4[[#This Row],[Comisión Calculada]]*Tabla4[[#This Row],[Total]]</f>
        <v>#N/A</v>
      </c>
    </row>
    <row r="2608" spans="1:22" hidden="1" x14ac:dyDescent="0.25">
      <c r="A2608" s="100">
        <v>45777</v>
      </c>
      <c r="B2608" t="str">
        <f t="shared" si="122"/>
        <v>April</v>
      </c>
      <c r="C2608" s="46" t="s">
        <v>280</v>
      </c>
      <c r="F2608" s="366" t="s">
        <v>1721</v>
      </c>
      <c r="G2608" s="46" t="s">
        <v>16</v>
      </c>
      <c r="H2608" s="46">
        <v>4</v>
      </c>
      <c r="I2608" s="51">
        <v>4103.8500000000004</v>
      </c>
      <c r="J2608" s="281">
        <f>++Tabla4[[#This Row],[Precio Bruto]]*1.16</f>
        <v>4760.4660000000003</v>
      </c>
      <c r="K2608" s="281">
        <f>+Tabla4[[#This Row],[Precio Unitario Neto]]*Tabla4[[#Headers],[20.85%]]</f>
        <v>992.55716100000006</v>
      </c>
      <c r="L2608" s="282">
        <f>++Tabla4[[#This Row],[Precio Unitario Neto]]-Tabla4[[#This Row],[20.85%]]</f>
        <v>3767.9088390000002</v>
      </c>
      <c r="M2608" s="282" t="e">
        <f>(INDEX(Tabla6[#All],MATCH(Tabla4[[#This Row],[Producto]],Tabla6[[#All],[PRODUCTO]],0),MATCH(Tabla4[[#This Row],[Mes]],Tabla6[#Headers],0)))*(1+Catalogos!$L$2)</f>
        <v>#N/A</v>
      </c>
      <c r="N2608" s="283" t="e">
        <f>+(Tabla4[[#This Row],[Precio Descontado]]-Tabla4[[#This Row],[Precio Base]])*Tabla4[[#This Row],[Cantidad]]</f>
        <v>#N/A</v>
      </c>
      <c r="O2608" s="284" t="e">
        <f>++Tabla4[[#This Row],[Utilidad Total]]/Tabla4[[#This Row],[Total]]</f>
        <v>#N/A</v>
      </c>
      <c r="P2608" s="282">
        <f>++Tabla4[[#This Row],[Precio Descontado]]*Tabla4[[#This Row],[Cantidad]]</f>
        <v>15071.635356000001</v>
      </c>
      <c r="Q2608" s="282" t="e">
        <f>(INDEX(Tabla6[#All],MATCH(Tabla4[[#This Row],[Producto]],Tabla6[[#All],[PRODUCTO]],0),MATCH(Tabla4[[#This Row],[Mes]],Tabla6[#Headers],0)))</f>
        <v>#N/A</v>
      </c>
      <c r="R2608" s="282" t="e">
        <f>++Tabla4[[#This Row],[Precio Unitario Neto]]-Tabla4[[#This Row],[20.85%]]-Tabla4[[#This Row],[Costo]]</f>
        <v>#N/A</v>
      </c>
      <c r="S2608" s="282" t="e">
        <f>++Tabla4[[#This Row],[U. Bruta Uni]]*Tabla4[[#This Row],[Cantidad]]</f>
        <v>#N/A</v>
      </c>
      <c r="T2608" s="369" t="str">
        <f>VLOOKUP(Tabla4[[#This Row],[Producto]],Tabla6[#All],14,FALSE)</f>
        <v>Termico Solar</v>
      </c>
      <c r="U2608" s="284" t="e">
        <f>(IF(Tabla4[[#This Row],[Familia]]="termico solar",Tabla4[[#This Row],[Utilidad Total]]*6%,Tabla4[[#This Row],[Utilidad Total]]*11.5%))/Tabla4[[#This Row],[Total]]</f>
        <v>#N/A</v>
      </c>
      <c r="V2608" s="282" t="e">
        <f>+Tabla4[[#This Row],[Comisión Calculada]]*Tabla4[[#This Row],[Total]]</f>
        <v>#N/A</v>
      </c>
    </row>
    <row r="2609" spans="1:22" hidden="1" x14ac:dyDescent="0.25">
      <c r="A2609" s="100">
        <v>45777</v>
      </c>
      <c r="B2609" t="str">
        <f t="shared" si="122"/>
        <v>April</v>
      </c>
      <c r="C2609" s="46" t="s">
        <v>280</v>
      </c>
      <c r="F2609" s="366" t="s">
        <v>1722</v>
      </c>
      <c r="G2609" s="46" t="s">
        <v>394</v>
      </c>
      <c r="H2609" s="46">
        <v>16</v>
      </c>
      <c r="I2609" s="51">
        <v>224.29</v>
      </c>
      <c r="J2609" s="281">
        <f>++Tabla4[[#This Row],[Precio Bruto]]*1.16</f>
        <v>260.1764</v>
      </c>
      <c r="K2609" s="281">
        <f>+Tabla4[[#This Row],[Precio Unitario Neto]]*Tabla4[[#Headers],[20.85%]]</f>
        <v>54.246779400000001</v>
      </c>
      <c r="L2609" s="282">
        <f>++Tabla4[[#This Row],[Precio Unitario Neto]]-Tabla4[[#This Row],[20.85%]]</f>
        <v>205.92962059999999</v>
      </c>
      <c r="M2609" s="282" t="e">
        <f>(INDEX(Tabla6[#All],MATCH(Tabla4[[#This Row],[Producto]],Tabla6[[#All],[PRODUCTO]],0),MATCH(Tabla4[[#This Row],[Mes]],Tabla6[#Headers],0)))*(1+Catalogos!$L$2)</f>
        <v>#N/A</v>
      </c>
      <c r="N2609" s="283" t="e">
        <f>+(Tabla4[[#This Row],[Precio Descontado]]-Tabla4[[#This Row],[Precio Base]])*Tabla4[[#This Row],[Cantidad]]</f>
        <v>#N/A</v>
      </c>
      <c r="O2609" s="284" t="e">
        <f>++Tabla4[[#This Row],[Utilidad Total]]/Tabla4[[#This Row],[Total]]</f>
        <v>#N/A</v>
      </c>
      <c r="P2609" s="282">
        <f>++Tabla4[[#This Row],[Precio Descontado]]*Tabla4[[#This Row],[Cantidad]]</f>
        <v>3294.8739295999999</v>
      </c>
      <c r="Q2609" s="282" t="e">
        <f>(INDEX(Tabla6[#All],MATCH(Tabla4[[#This Row],[Producto]],Tabla6[[#All],[PRODUCTO]],0),MATCH(Tabla4[[#This Row],[Mes]],Tabla6[#Headers],0)))</f>
        <v>#N/A</v>
      </c>
      <c r="R2609" s="282" t="e">
        <f>++Tabla4[[#This Row],[Precio Unitario Neto]]-Tabla4[[#This Row],[20.85%]]-Tabla4[[#This Row],[Costo]]</f>
        <v>#N/A</v>
      </c>
      <c r="S2609" s="282" t="e">
        <f>++Tabla4[[#This Row],[U. Bruta Uni]]*Tabla4[[#This Row],[Cantidad]]</f>
        <v>#N/A</v>
      </c>
      <c r="T2609" s="369" t="str">
        <f>VLOOKUP(Tabla4[[#This Row],[Producto]],Tabla6[#All],14,FALSE)</f>
        <v>Termico Solar</v>
      </c>
      <c r="U2609" s="284" t="e">
        <f>(IF(Tabla4[[#This Row],[Familia]]="termico solar",Tabla4[[#This Row],[Utilidad Total]]*6%,Tabla4[[#This Row],[Utilidad Total]]*11.5%))/Tabla4[[#This Row],[Total]]</f>
        <v>#N/A</v>
      </c>
      <c r="V2609" s="282" t="e">
        <f>+Tabla4[[#This Row],[Comisión Calculada]]*Tabla4[[#This Row],[Total]]</f>
        <v>#N/A</v>
      </c>
    </row>
    <row r="2610" spans="1:22" hidden="1" x14ac:dyDescent="0.25">
      <c r="A2610" s="100">
        <v>45777</v>
      </c>
      <c r="B2610" t="str">
        <f t="shared" si="122"/>
        <v>April</v>
      </c>
      <c r="C2610" s="46" t="s">
        <v>280</v>
      </c>
      <c r="F2610" s="366" t="s">
        <v>1722</v>
      </c>
      <c r="G2610" s="46" t="s">
        <v>555</v>
      </c>
      <c r="H2610" s="46">
        <v>8</v>
      </c>
      <c r="I2610" s="51">
        <v>389.47</v>
      </c>
      <c r="J2610" s="281">
        <f>++Tabla4[[#This Row],[Precio Bruto]]*1.16</f>
        <v>451.78519999999997</v>
      </c>
      <c r="K2610" s="281">
        <f>+Tabla4[[#This Row],[Precio Unitario Neto]]*Tabla4[[#Headers],[20.85%]]</f>
        <v>94.197214199999991</v>
      </c>
      <c r="L2610" s="282">
        <f>++Tabla4[[#This Row],[Precio Unitario Neto]]-Tabla4[[#This Row],[20.85%]]</f>
        <v>357.58798579999996</v>
      </c>
      <c r="M2610" s="282" t="e">
        <f>(INDEX(Tabla6[#All],MATCH(Tabla4[[#This Row],[Producto]],Tabla6[[#All],[PRODUCTO]],0),MATCH(Tabla4[[#This Row],[Mes]],Tabla6[#Headers],0)))*(1+Catalogos!$L$2)</f>
        <v>#N/A</v>
      </c>
      <c r="N2610" s="283" t="e">
        <f>+(Tabla4[[#This Row],[Precio Descontado]]-Tabla4[[#This Row],[Precio Base]])*Tabla4[[#This Row],[Cantidad]]</f>
        <v>#N/A</v>
      </c>
      <c r="O2610" s="284" t="e">
        <f>++Tabla4[[#This Row],[Utilidad Total]]/Tabla4[[#This Row],[Total]]</f>
        <v>#N/A</v>
      </c>
      <c r="P2610" s="282">
        <f>++Tabla4[[#This Row],[Precio Descontado]]*Tabla4[[#This Row],[Cantidad]]</f>
        <v>2860.7038863999996</v>
      </c>
      <c r="Q2610" s="282" t="e">
        <f>(INDEX(Tabla6[#All],MATCH(Tabla4[[#This Row],[Producto]],Tabla6[[#All],[PRODUCTO]],0),MATCH(Tabla4[[#This Row],[Mes]],Tabla6[#Headers],0)))</f>
        <v>#N/A</v>
      </c>
      <c r="R2610" s="282" t="e">
        <f>++Tabla4[[#This Row],[Precio Unitario Neto]]-Tabla4[[#This Row],[20.85%]]-Tabla4[[#This Row],[Costo]]</f>
        <v>#N/A</v>
      </c>
      <c r="S2610" s="282" t="e">
        <f>++Tabla4[[#This Row],[U. Bruta Uni]]*Tabla4[[#This Row],[Cantidad]]</f>
        <v>#N/A</v>
      </c>
      <c r="T2610" s="369" t="str">
        <f>VLOOKUP(Tabla4[[#This Row],[Producto]],Tabla6[#All],14,FALSE)</f>
        <v>Termico Solar</v>
      </c>
      <c r="U2610" s="284" t="e">
        <f>(IF(Tabla4[[#This Row],[Familia]]="termico solar",Tabla4[[#This Row],[Utilidad Total]]*6%,Tabla4[[#This Row],[Utilidad Total]]*11.5%))/Tabla4[[#This Row],[Total]]</f>
        <v>#N/A</v>
      </c>
      <c r="V2610" s="282" t="e">
        <f>+Tabla4[[#This Row],[Comisión Calculada]]*Tabla4[[#This Row],[Total]]</f>
        <v>#N/A</v>
      </c>
    </row>
    <row r="2611" spans="1:22" hidden="1" x14ac:dyDescent="0.25">
      <c r="A2611" s="100">
        <v>45777</v>
      </c>
      <c r="B2611" t="str">
        <f t="shared" si="122"/>
        <v>April</v>
      </c>
      <c r="C2611" s="46" t="s">
        <v>280</v>
      </c>
      <c r="F2611" s="366" t="s">
        <v>1722</v>
      </c>
      <c r="G2611" s="46" t="s">
        <v>208</v>
      </c>
      <c r="H2611" s="46">
        <v>2</v>
      </c>
      <c r="I2611" s="51">
        <v>189.75</v>
      </c>
      <c r="J2611" s="281">
        <f>++Tabla4[[#This Row],[Precio Bruto]]*1.16</f>
        <v>220.10999999999999</v>
      </c>
      <c r="K2611" s="281">
        <f>+Tabla4[[#This Row],[Precio Unitario Neto]]*Tabla4[[#Headers],[20.85%]]</f>
        <v>45.892934999999994</v>
      </c>
      <c r="L2611" s="282">
        <f>++Tabla4[[#This Row],[Precio Unitario Neto]]-Tabla4[[#This Row],[20.85%]]</f>
        <v>174.21706499999999</v>
      </c>
      <c r="M2611" s="282" t="e">
        <f>(INDEX(Tabla6[#All],MATCH(Tabla4[[#This Row],[Producto]],Tabla6[[#All],[PRODUCTO]],0),MATCH(Tabla4[[#This Row],[Mes]],Tabla6[#Headers],0)))*(1+Catalogos!$L$2)</f>
        <v>#N/A</v>
      </c>
      <c r="N2611" s="283" t="e">
        <f>+(Tabla4[[#This Row],[Precio Descontado]]-Tabla4[[#This Row],[Precio Base]])*Tabla4[[#This Row],[Cantidad]]</f>
        <v>#N/A</v>
      </c>
      <c r="O2611" s="284" t="e">
        <f>++Tabla4[[#This Row],[Utilidad Total]]/Tabla4[[#This Row],[Total]]</f>
        <v>#N/A</v>
      </c>
      <c r="P2611" s="282">
        <f>++Tabla4[[#This Row],[Precio Descontado]]*Tabla4[[#This Row],[Cantidad]]</f>
        <v>348.43412999999998</v>
      </c>
      <c r="Q2611" s="282" t="e">
        <f>(INDEX(Tabla6[#All],MATCH(Tabla4[[#This Row],[Producto]],Tabla6[[#All],[PRODUCTO]],0),MATCH(Tabla4[[#This Row],[Mes]],Tabla6[#Headers],0)))</f>
        <v>#N/A</v>
      </c>
      <c r="R2611" s="282" t="e">
        <f>++Tabla4[[#This Row],[Precio Unitario Neto]]-Tabla4[[#This Row],[20.85%]]-Tabla4[[#This Row],[Costo]]</f>
        <v>#N/A</v>
      </c>
      <c r="S2611" s="282" t="e">
        <f>++Tabla4[[#This Row],[U. Bruta Uni]]*Tabla4[[#This Row],[Cantidad]]</f>
        <v>#N/A</v>
      </c>
      <c r="T2611" s="369" t="str">
        <f>VLOOKUP(Tabla4[[#This Row],[Producto]],Tabla6[#All],14,FALSE)</f>
        <v>Termico Solar</v>
      </c>
      <c r="U2611" s="284" t="e">
        <f>(IF(Tabla4[[#This Row],[Familia]]="termico solar",Tabla4[[#This Row],[Utilidad Total]]*6%,Tabla4[[#This Row],[Utilidad Total]]*11.5%))/Tabla4[[#This Row],[Total]]</f>
        <v>#N/A</v>
      </c>
      <c r="V2611" s="282" t="e">
        <f>+Tabla4[[#This Row],[Comisión Calculada]]*Tabla4[[#This Row],[Total]]</f>
        <v>#N/A</v>
      </c>
    </row>
    <row r="2612" spans="1:22" hidden="1" x14ac:dyDescent="0.25">
      <c r="A2612" s="100">
        <v>45777</v>
      </c>
      <c r="B2612" t="str">
        <f t="shared" si="122"/>
        <v>April</v>
      </c>
      <c r="C2612" s="46" t="s">
        <v>280</v>
      </c>
      <c r="F2612" s="366" t="s">
        <v>1723</v>
      </c>
      <c r="G2612" s="46" t="s">
        <v>83</v>
      </c>
      <c r="H2612" s="46">
        <v>1</v>
      </c>
      <c r="I2612" s="51">
        <v>8858.76</v>
      </c>
      <c r="J2612" s="281">
        <f>++Tabla4[[#This Row],[Precio Bruto]]*1.16</f>
        <v>10276.161599999999</v>
      </c>
      <c r="K2612" s="281">
        <f>+Tabla4[[#This Row],[Precio Unitario Neto]]*Tabla4[[#Headers],[20.85%]]</f>
        <v>2142.5796935999997</v>
      </c>
      <c r="L2612" s="282">
        <f>++Tabla4[[#This Row],[Precio Unitario Neto]]-Tabla4[[#This Row],[20.85%]]</f>
        <v>8133.5819063999998</v>
      </c>
      <c r="M2612" s="282" t="e">
        <f>(INDEX(Tabla6[#All],MATCH(Tabla4[[#This Row],[Producto]],Tabla6[[#All],[PRODUCTO]],0),MATCH(Tabla4[[#This Row],[Mes]],Tabla6[#Headers],0)))*(1+Catalogos!$L$2)</f>
        <v>#N/A</v>
      </c>
      <c r="N2612" s="283" t="e">
        <f>+(Tabla4[[#This Row],[Precio Descontado]]-Tabla4[[#This Row],[Precio Base]])*Tabla4[[#This Row],[Cantidad]]</f>
        <v>#N/A</v>
      </c>
      <c r="O2612" s="284" t="e">
        <f>++Tabla4[[#This Row],[Utilidad Total]]/Tabla4[[#This Row],[Total]]</f>
        <v>#N/A</v>
      </c>
      <c r="P2612" s="282">
        <f>++Tabla4[[#This Row],[Precio Descontado]]*Tabla4[[#This Row],[Cantidad]]</f>
        <v>8133.5819063999998</v>
      </c>
      <c r="Q2612" s="282" t="e">
        <f>(INDEX(Tabla6[#All],MATCH(Tabla4[[#This Row],[Producto]],Tabla6[[#All],[PRODUCTO]],0),MATCH(Tabla4[[#This Row],[Mes]],Tabla6[#Headers],0)))</f>
        <v>#N/A</v>
      </c>
      <c r="R2612" s="282" t="e">
        <f>++Tabla4[[#This Row],[Precio Unitario Neto]]-Tabla4[[#This Row],[20.85%]]-Tabla4[[#This Row],[Costo]]</f>
        <v>#N/A</v>
      </c>
      <c r="S2612" s="282" t="e">
        <f>++Tabla4[[#This Row],[U. Bruta Uni]]*Tabla4[[#This Row],[Cantidad]]</f>
        <v>#N/A</v>
      </c>
      <c r="T2612" s="369" t="str">
        <f>VLOOKUP(Tabla4[[#This Row],[Producto]],Tabla6[#All],14,FALSE)</f>
        <v>Termico Solar</v>
      </c>
      <c r="U2612" s="284" t="e">
        <f>(IF(Tabla4[[#This Row],[Familia]]="termico solar",Tabla4[[#This Row],[Utilidad Total]]*6%,Tabla4[[#This Row],[Utilidad Total]]*11.5%))/Tabla4[[#This Row],[Total]]</f>
        <v>#N/A</v>
      </c>
      <c r="V2612" s="282" t="e">
        <f>+Tabla4[[#This Row],[Comisión Calculada]]*Tabla4[[#This Row],[Total]]</f>
        <v>#N/A</v>
      </c>
    </row>
    <row r="2613" spans="1:22" hidden="1" x14ac:dyDescent="0.25">
      <c r="A2613" s="100">
        <v>45777</v>
      </c>
      <c r="B2613" t="str">
        <f t="shared" si="122"/>
        <v>April</v>
      </c>
      <c r="C2613" s="46" t="s">
        <v>280</v>
      </c>
      <c r="F2613" s="366" t="s">
        <v>1724</v>
      </c>
      <c r="G2613" s="46" t="s">
        <v>83</v>
      </c>
      <c r="H2613" s="46">
        <v>7</v>
      </c>
      <c r="I2613" s="51">
        <v>8858.76</v>
      </c>
      <c r="J2613" s="281">
        <f>++Tabla4[[#This Row],[Precio Bruto]]*1.16</f>
        <v>10276.161599999999</v>
      </c>
      <c r="K2613" s="281">
        <f>+Tabla4[[#This Row],[Precio Unitario Neto]]*Tabla4[[#Headers],[20.85%]]</f>
        <v>2142.5796935999997</v>
      </c>
      <c r="L2613" s="282">
        <f>++Tabla4[[#This Row],[Precio Unitario Neto]]-Tabla4[[#This Row],[20.85%]]</f>
        <v>8133.5819063999998</v>
      </c>
      <c r="M2613" s="282" t="e">
        <f>(INDEX(Tabla6[#All],MATCH(Tabla4[[#This Row],[Producto]],Tabla6[[#All],[PRODUCTO]],0),MATCH(Tabla4[[#This Row],[Mes]],Tabla6[#Headers],0)))*(1+Catalogos!$L$2)</f>
        <v>#N/A</v>
      </c>
      <c r="N2613" s="283" t="e">
        <f>+(Tabla4[[#This Row],[Precio Descontado]]-Tabla4[[#This Row],[Precio Base]])*Tabla4[[#This Row],[Cantidad]]</f>
        <v>#N/A</v>
      </c>
      <c r="O2613" s="284" t="e">
        <f>++Tabla4[[#This Row],[Utilidad Total]]/Tabla4[[#This Row],[Total]]</f>
        <v>#N/A</v>
      </c>
      <c r="P2613" s="282">
        <f>++Tabla4[[#This Row],[Precio Descontado]]*Tabla4[[#This Row],[Cantidad]]</f>
        <v>56935.073344799996</v>
      </c>
      <c r="Q2613" s="282" t="e">
        <f>(INDEX(Tabla6[#All],MATCH(Tabla4[[#This Row],[Producto]],Tabla6[[#All],[PRODUCTO]],0),MATCH(Tabla4[[#This Row],[Mes]],Tabla6[#Headers],0)))</f>
        <v>#N/A</v>
      </c>
      <c r="R2613" s="282" t="e">
        <f>++Tabla4[[#This Row],[Precio Unitario Neto]]-Tabla4[[#This Row],[20.85%]]-Tabla4[[#This Row],[Costo]]</f>
        <v>#N/A</v>
      </c>
      <c r="S2613" s="282" t="e">
        <f>++Tabla4[[#This Row],[U. Bruta Uni]]*Tabla4[[#This Row],[Cantidad]]</f>
        <v>#N/A</v>
      </c>
      <c r="T2613" s="369" t="str">
        <f>VLOOKUP(Tabla4[[#This Row],[Producto]],Tabla6[#All],14,FALSE)</f>
        <v>Termico Solar</v>
      </c>
      <c r="U2613" s="284" t="e">
        <f>(IF(Tabla4[[#This Row],[Familia]]="termico solar",Tabla4[[#This Row],[Utilidad Total]]*6%,Tabla4[[#This Row],[Utilidad Total]]*11.5%))/Tabla4[[#This Row],[Total]]</f>
        <v>#N/A</v>
      </c>
      <c r="V2613" s="282" t="e">
        <f>+Tabla4[[#This Row],[Comisión Calculada]]*Tabla4[[#This Row],[Total]]</f>
        <v>#N/A</v>
      </c>
    </row>
    <row r="2614" spans="1:22" ht="15.75" hidden="1" customHeight="1" x14ac:dyDescent="0.25">
      <c r="A2614" s="100">
        <v>45777</v>
      </c>
      <c r="B2614" t="str">
        <f t="shared" si="122"/>
        <v>April</v>
      </c>
      <c r="C2614" s="46" t="s">
        <v>280</v>
      </c>
      <c r="F2614" s="366" t="s">
        <v>1724</v>
      </c>
      <c r="G2614" s="46" t="s">
        <v>17</v>
      </c>
      <c r="H2614" s="46">
        <v>6</v>
      </c>
      <c r="I2614" s="51">
        <v>4622.28</v>
      </c>
      <c r="J2614" s="281">
        <f>++Tabla4[[#This Row],[Precio Bruto]]*1.16</f>
        <v>5361.8447999999989</v>
      </c>
      <c r="K2614" s="281">
        <f>+Tabla4[[#This Row],[Precio Unitario Neto]]*Tabla4[[#Headers],[20.85%]]</f>
        <v>1117.9446407999997</v>
      </c>
      <c r="L2614" s="282">
        <f>++Tabla4[[#This Row],[Precio Unitario Neto]]-Tabla4[[#This Row],[20.85%]]</f>
        <v>4243.9001591999995</v>
      </c>
      <c r="M2614" s="282" t="e">
        <f>(INDEX(Tabla6[#All],MATCH(Tabla4[[#This Row],[Producto]],Tabla6[[#All],[PRODUCTO]],0),MATCH(Tabla4[[#This Row],[Mes]],Tabla6[#Headers],0)))*(1+Catalogos!$L$2)</f>
        <v>#N/A</v>
      </c>
      <c r="N2614" s="283" t="e">
        <f>+(Tabla4[[#This Row],[Precio Descontado]]-Tabla4[[#This Row],[Precio Base]])*Tabla4[[#This Row],[Cantidad]]</f>
        <v>#N/A</v>
      </c>
      <c r="O2614" s="284" t="e">
        <f>++Tabla4[[#This Row],[Utilidad Total]]/Tabla4[[#This Row],[Total]]</f>
        <v>#N/A</v>
      </c>
      <c r="P2614" s="282">
        <f>++Tabla4[[#This Row],[Precio Descontado]]*Tabla4[[#This Row],[Cantidad]]</f>
        <v>25463.400955199999</v>
      </c>
      <c r="Q2614" s="282" t="e">
        <f>(INDEX(Tabla6[#All],MATCH(Tabla4[[#This Row],[Producto]],Tabla6[[#All],[PRODUCTO]],0),MATCH(Tabla4[[#This Row],[Mes]],Tabla6[#Headers],0)))</f>
        <v>#N/A</v>
      </c>
      <c r="R2614" s="282" t="e">
        <f>++Tabla4[[#This Row],[Precio Unitario Neto]]-Tabla4[[#This Row],[20.85%]]-Tabla4[[#This Row],[Costo]]</f>
        <v>#N/A</v>
      </c>
      <c r="S2614" s="282" t="e">
        <f>++Tabla4[[#This Row],[U. Bruta Uni]]*Tabla4[[#This Row],[Cantidad]]</f>
        <v>#N/A</v>
      </c>
      <c r="T2614" s="369" t="str">
        <f>VLOOKUP(Tabla4[[#This Row],[Producto]],Tabla6[#All],14,FALSE)</f>
        <v>Termico Solar</v>
      </c>
      <c r="U2614" s="284" t="e">
        <f>(IF(Tabla4[[#This Row],[Familia]]="termico solar",Tabla4[[#This Row],[Utilidad Total]]*6%,Tabla4[[#This Row],[Utilidad Total]]*11.5%))/Tabla4[[#This Row],[Total]]</f>
        <v>#N/A</v>
      </c>
      <c r="V2614" s="282" t="e">
        <f>+Tabla4[[#This Row],[Comisión Calculada]]*Tabla4[[#This Row],[Total]]</f>
        <v>#N/A</v>
      </c>
    </row>
    <row r="2615" spans="1:22" ht="15.75" hidden="1" customHeight="1" x14ac:dyDescent="0.25">
      <c r="A2615" s="100">
        <v>45777</v>
      </c>
      <c r="B2615" t="str">
        <f t="shared" si="122"/>
        <v>April</v>
      </c>
      <c r="C2615" s="46" t="s">
        <v>280</v>
      </c>
      <c r="F2615" s="366" t="s">
        <v>1724</v>
      </c>
      <c r="G2615" s="46" t="s">
        <v>18</v>
      </c>
      <c r="H2615" s="46">
        <v>7</v>
      </c>
      <c r="I2615" s="51">
        <v>5367.6500000000005</v>
      </c>
      <c r="J2615" s="281">
        <f>++Tabla4[[#This Row],[Precio Bruto]]*1.16</f>
        <v>6226.4740000000002</v>
      </c>
      <c r="K2615" s="281">
        <f>+Tabla4[[#This Row],[Precio Unitario Neto]]*Tabla4[[#Headers],[20.85%]]</f>
        <v>1298.2198289999999</v>
      </c>
      <c r="L2615" s="282">
        <f>++Tabla4[[#This Row],[Precio Unitario Neto]]-Tabla4[[#This Row],[20.85%]]</f>
        <v>4928.2541710000005</v>
      </c>
      <c r="M2615" s="282" t="e">
        <f>(INDEX(Tabla6[#All],MATCH(Tabla4[[#This Row],[Producto]],Tabla6[[#All],[PRODUCTO]],0),MATCH(Tabla4[[#This Row],[Mes]],Tabla6[#Headers],0)))*(1+Catalogos!$L$2)</f>
        <v>#N/A</v>
      </c>
      <c r="N2615" s="283" t="e">
        <f>+(Tabla4[[#This Row],[Precio Descontado]]-Tabla4[[#This Row],[Precio Base]])*Tabla4[[#This Row],[Cantidad]]</f>
        <v>#N/A</v>
      </c>
      <c r="O2615" s="284" t="e">
        <f>++Tabla4[[#This Row],[Utilidad Total]]/Tabla4[[#This Row],[Total]]</f>
        <v>#N/A</v>
      </c>
      <c r="P2615" s="282">
        <f>++Tabla4[[#This Row],[Precio Descontado]]*Tabla4[[#This Row],[Cantidad]]</f>
        <v>34497.779197000003</v>
      </c>
      <c r="Q2615" s="282" t="e">
        <f>(INDEX(Tabla6[#All],MATCH(Tabla4[[#This Row],[Producto]],Tabla6[[#All],[PRODUCTO]],0),MATCH(Tabla4[[#This Row],[Mes]],Tabla6[#Headers],0)))</f>
        <v>#N/A</v>
      </c>
      <c r="R2615" s="282" t="e">
        <f>++Tabla4[[#This Row],[Precio Unitario Neto]]-Tabla4[[#This Row],[20.85%]]-Tabla4[[#This Row],[Costo]]</f>
        <v>#N/A</v>
      </c>
      <c r="S2615" s="282" t="e">
        <f>++Tabla4[[#This Row],[U. Bruta Uni]]*Tabla4[[#This Row],[Cantidad]]</f>
        <v>#N/A</v>
      </c>
      <c r="T2615" s="369" t="str">
        <f>VLOOKUP(Tabla4[[#This Row],[Producto]],Tabla6[#All],14,FALSE)</f>
        <v>Termico Solar</v>
      </c>
      <c r="U2615" s="284" t="e">
        <f>(IF(Tabla4[[#This Row],[Familia]]="termico solar",Tabla4[[#This Row],[Utilidad Total]]*6%,Tabla4[[#This Row],[Utilidad Total]]*11.5%))/Tabla4[[#This Row],[Total]]</f>
        <v>#N/A</v>
      </c>
      <c r="V2615" s="282" t="e">
        <f>+Tabla4[[#This Row],[Comisión Calculada]]*Tabla4[[#This Row],[Total]]</f>
        <v>#N/A</v>
      </c>
    </row>
    <row r="2616" spans="1:22" hidden="1" x14ac:dyDescent="0.25">
      <c r="A2616" s="100">
        <v>45777</v>
      </c>
      <c r="B2616" t="str">
        <f t="shared" si="122"/>
        <v>April</v>
      </c>
      <c r="C2616" s="46" t="s">
        <v>280</v>
      </c>
      <c r="F2616" s="366" t="s">
        <v>1725</v>
      </c>
      <c r="G2616" s="46" t="s">
        <v>83</v>
      </c>
      <c r="H2616" s="46">
        <v>3</v>
      </c>
      <c r="I2616" s="51">
        <v>8858.76</v>
      </c>
      <c r="J2616" s="281">
        <f>++Tabla4[[#This Row],[Precio Bruto]]*1.16</f>
        <v>10276.161599999999</v>
      </c>
      <c r="K2616" s="281">
        <f>+Tabla4[[#This Row],[Precio Unitario Neto]]*Tabla4[[#Headers],[20.85%]]</f>
        <v>2142.5796935999997</v>
      </c>
      <c r="L2616" s="282">
        <f>++Tabla4[[#This Row],[Precio Unitario Neto]]-Tabla4[[#This Row],[20.85%]]</f>
        <v>8133.5819063999998</v>
      </c>
      <c r="M2616" s="282" t="e">
        <f>(INDEX(Tabla6[#All],MATCH(Tabla4[[#This Row],[Producto]],Tabla6[[#All],[PRODUCTO]],0),MATCH(Tabla4[[#This Row],[Mes]],Tabla6[#Headers],0)))*(1+Catalogos!$L$2)</f>
        <v>#N/A</v>
      </c>
      <c r="N2616" s="283" t="e">
        <f>+(Tabla4[[#This Row],[Precio Descontado]]-Tabla4[[#This Row],[Precio Base]])*Tabla4[[#This Row],[Cantidad]]</f>
        <v>#N/A</v>
      </c>
      <c r="O2616" s="284" t="e">
        <f>++Tabla4[[#This Row],[Utilidad Total]]/Tabla4[[#This Row],[Total]]</f>
        <v>#N/A</v>
      </c>
      <c r="P2616" s="282">
        <f>++Tabla4[[#This Row],[Precio Descontado]]*Tabla4[[#This Row],[Cantidad]]</f>
        <v>24400.7457192</v>
      </c>
      <c r="Q2616" s="282" t="e">
        <f>(INDEX(Tabla6[#All],MATCH(Tabla4[[#This Row],[Producto]],Tabla6[[#All],[PRODUCTO]],0),MATCH(Tabla4[[#This Row],[Mes]],Tabla6[#Headers],0)))</f>
        <v>#N/A</v>
      </c>
      <c r="R2616" s="282" t="e">
        <f>++Tabla4[[#This Row],[Precio Unitario Neto]]-Tabla4[[#This Row],[20.85%]]-Tabla4[[#This Row],[Costo]]</f>
        <v>#N/A</v>
      </c>
      <c r="S2616" s="282" t="e">
        <f>++Tabla4[[#This Row],[U. Bruta Uni]]*Tabla4[[#This Row],[Cantidad]]</f>
        <v>#N/A</v>
      </c>
      <c r="T2616" s="369" t="str">
        <f>VLOOKUP(Tabla4[[#This Row],[Producto]],Tabla6[#All],14,FALSE)</f>
        <v>Termico Solar</v>
      </c>
      <c r="U2616" s="284" t="e">
        <f>(IF(Tabla4[[#This Row],[Familia]]="termico solar",Tabla4[[#This Row],[Utilidad Total]]*6%,Tabla4[[#This Row],[Utilidad Total]]*11.5%))/Tabla4[[#This Row],[Total]]</f>
        <v>#N/A</v>
      </c>
      <c r="V2616" s="282" t="e">
        <f>+Tabla4[[#This Row],[Comisión Calculada]]*Tabla4[[#This Row],[Total]]</f>
        <v>#N/A</v>
      </c>
    </row>
    <row r="2617" spans="1:22" hidden="1" x14ac:dyDescent="0.25">
      <c r="A2617" s="100">
        <v>45777</v>
      </c>
      <c r="B2617" t="str">
        <f t="shared" si="122"/>
        <v>April</v>
      </c>
      <c r="C2617" s="46" t="s">
        <v>280</v>
      </c>
      <c r="F2617" s="366" t="s">
        <v>1725</v>
      </c>
      <c r="G2617" s="46" t="s">
        <v>17</v>
      </c>
      <c r="H2617" s="46">
        <v>10</v>
      </c>
      <c r="I2617" s="51">
        <v>4622.2800000000007</v>
      </c>
      <c r="J2617" s="281">
        <f>++Tabla4[[#This Row],[Precio Bruto]]*1.16</f>
        <v>5361.8448000000008</v>
      </c>
      <c r="K2617" s="281">
        <f>+Tabla4[[#This Row],[Precio Unitario Neto]]*Tabla4[[#Headers],[20.85%]]</f>
        <v>1117.9446408000001</v>
      </c>
      <c r="L2617" s="282">
        <f>++Tabla4[[#This Row],[Precio Unitario Neto]]-Tabla4[[#This Row],[20.85%]]</f>
        <v>4243.9001592000004</v>
      </c>
      <c r="M2617" s="282" t="e">
        <f>(INDEX(Tabla6[#All],MATCH(Tabla4[[#This Row],[Producto]],Tabla6[[#All],[PRODUCTO]],0),MATCH(Tabla4[[#This Row],[Mes]],Tabla6[#Headers],0)))*(1+Catalogos!$L$2)</f>
        <v>#N/A</v>
      </c>
      <c r="N2617" s="283" t="e">
        <f>+(Tabla4[[#This Row],[Precio Descontado]]-Tabla4[[#This Row],[Precio Base]])*Tabla4[[#This Row],[Cantidad]]</f>
        <v>#N/A</v>
      </c>
      <c r="O2617" s="284" t="e">
        <f>++Tabla4[[#This Row],[Utilidad Total]]/Tabla4[[#This Row],[Total]]</f>
        <v>#N/A</v>
      </c>
      <c r="P2617" s="282">
        <f>++Tabla4[[#This Row],[Precio Descontado]]*Tabla4[[#This Row],[Cantidad]]</f>
        <v>42439.001592000001</v>
      </c>
      <c r="Q2617" s="282" t="e">
        <f>(INDEX(Tabla6[#All],MATCH(Tabla4[[#This Row],[Producto]],Tabla6[[#All],[PRODUCTO]],0),MATCH(Tabla4[[#This Row],[Mes]],Tabla6[#Headers],0)))</f>
        <v>#N/A</v>
      </c>
      <c r="R2617" s="282" t="e">
        <f>++Tabla4[[#This Row],[Precio Unitario Neto]]-Tabla4[[#This Row],[20.85%]]-Tabla4[[#This Row],[Costo]]</f>
        <v>#N/A</v>
      </c>
      <c r="S2617" s="282" t="e">
        <f>++Tabla4[[#This Row],[U. Bruta Uni]]*Tabla4[[#This Row],[Cantidad]]</f>
        <v>#N/A</v>
      </c>
      <c r="T2617" s="369" t="str">
        <f>VLOOKUP(Tabla4[[#This Row],[Producto]],Tabla6[#All],14,FALSE)</f>
        <v>Termico Solar</v>
      </c>
      <c r="U2617" s="284" t="e">
        <f>(IF(Tabla4[[#This Row],[Familia]]="termico solar",Tabla4[[#This Row],[Utilidad Total]]*6%,Tabla4[[#This Row],[Utilidad Total]]*11.5%))/Tabla4[[#This Row],[Total]]</f>
        <v>#N/A</v>
      </c>
      <c r="V2617" s="282" t="e">
        <f>+Tabla4[[#This Row],[Comisión Calculada]]*Tabla4[[#This Row],[Total]]</f>
        <v>#N/A</v>
      </c>
    </row>
    <row r="2618" spans="1:22" hidden="1" x14ac:dyDescent="0.25">
      <c r="A2618" s="100">
        <v>45777</v>
      </c>
      <c r="B2618" t="str">
        <f t="shared" si="122"/>
        <v>April</v>
      </c>
      <c r="C2618" s="46" t="s">
        <v>280</v>
      </c>
      <c r="F2618" s="366" t="s">
        <v>1725</v>
      </c>
      <c r="G2618" s="46" t="s">
        <v>18</v>
      </c>
      <c r="H2618" s="46">
        <v>4</v>
      </c>
      <c r="I2618" s="51">
        <v>5367.65</v>
      </c>
      <c r="J2618" s="281">
        <f>++Tabla4[[#This Row],[Precio Bruto]]*1.16</f>
        <v>6226.4739999999993</v>
      </c>
      <c r="K2618" s="281">
        <f>+Tabla4[[#This Row],[Precio Unitario Neto]]*Tabla4[[#Headers],[20.85%]]</f>
        <v>1298.2198289999999</v>
      </c>
      <c r="L2618" s="282">
        <f>++Tabla4[[#This Row],[Precio Unitario Neto]]-Tabla4[[#This Row],[20.85%]]</f>
        <v>4928.2541709999996</v>
      </c>
      <c r="M2618" s="282" t="e">
        <f>(INDEX(Tabla6[#All],MATCH(Tabla4[[#This Row],[Producto]],Tabla6[[#All],[PRODUCTO]],0),MATCH(Tabla4[[#This Row],[Mes]],Tabla6[#Headers],0)))*(1+Catalogos!$L$2)</f>
        <v>#N/A</v>
      </c>
      <c r="N2618" s="283" t="e">
        <f>+(Tabla4[[#This Row],[Precio Descontado]]-Tabla4[[#This Row],[Precio Base]])*Tabla4[[#This Row],[Cantidad]]</f>
        <v>#N/A</v>
      </c>
      <c r="O2618" s="284" t="e">
        <f>++Tabla4[[#This Row],[Utilidad Total]]/Tabla4[[#This Row],[Total]]</f>
        <v>#N/A</v>
      </c>
      <c r="P2618" s="282">
        <f>++Tabla4[[#This Row],[Precio Descontado]]*Tabla4[[#This Row],[Cantidad]]</f>
        <v>19713.016683999998</v>
      </c>
      <c r="Q2618" s="282" t="e">
        <f>(INDEX(Tabla6[#All],MATCH(Tabla4[[#This Row],[Producto]],Tabla6[[#All],[PRODUCTO]],0),MATCH(Tabla4[[#This Row],[Mes]],Tabla6[#Headers],0)))</f>
        <v>#N/A</v>
      </c>
      <c r="R2618" s="282" t="e">
        <f>++Tabla4[[#This Row],[Precio Unitario Neto]]-Tabla4[[#This Row],[20.85%]]-Tabla4[[#This Row],[Costo]]</f>
        <v>#N/A</v>
      </c>
      <c r="S2618" s="282" t="e">
        <f>++Tabla4[[#This Row],[U. Bruta Uni]]*Tabla4[[#This Row],[Cantidad]]</f>
        <v>#N/A</v>
      </c>
      <c r="T2618" s="369" t="str">
        <f>VLOOKUP(Tabla4[[#This Row],[Producto]],Tabla6[#All],14,FALSE)</f>
        <v>Termico Solar</v>
      </c>
      <c r="U2618" s="284" t="e">
        <f>(IF(Tabla4[[#This Row],[Familia]]="termico solar",Tabla4[[#This Row],[Utilidad Total]]*6%,Tabla4[[#This Row],[Utilidad Total]]*11.5%))/Tabla4[[#This Row],[Total]]</f>
        <v>#N/A</v>
      </c>
      <c r="V2618" s="282" t="e">
        <f>+Tabla4[[#This Row],[Comisión Calculada]]*Tabla4[[#This Row],[Total]]</f>
        <v>#N/A</v>
      </c>
    </row>
    <row r="2619" spans="1:22" hidden="1" x14ac:dyDescent="0.25">
      <c r="A2619" s="100">
        <v>45777</v>
      </c>
      <c r="B2619" t="str">
        <f t="shared" ref="B2619:B2649" si="123">TEXT(A2619, "mmmm")</f>
        <v>April</v>
      </c>
      <c r="C2619" s="46" t="s">
        <v>280</v>
      </c>
      <c r="F2619" s="366" t="s">
        <v>1726</v>
      </c>
      <c r="G2619" s="46" t="s">
        <v>83</v>
      </c>
      <c r="H2619" s="46">
        <v>4</v>
      </c>
      <c r="I2619" s="51">
        <v>8858.76</v>
      </c>
      <c r="J2619" s="281">
        <f>++Tabla4[[#This Row],[Precio Bruto]]*1.16</f>
        <v>10276.161599999999</v>
      </c>
      <c r="K2619" s="281">
        <f>+Tabla4[[#This Row],[Precio Unitario Neto]]*Tabla4[[#Headers],[20.85%]]</f>
        <v>2142.5796935999997</v>
      </c>
      <c r="L2619" s="282">
        <f>++Tabla4[[#This Row],[Precio Unitario Neto]]-Tabla4[[#This Row],[20.85%]]</f>
        <v>8133.5819063999998</v>
      </c>
      <c r="M2619" s="282" t="e">
        <f>(INDEX(Tabla6[#All],MATCH(Tabla4[[#This Row],[Producto]],Tabla6[[#All],[PRODUCTO]],0),MATCH(Tabla4[[#This Row],[Mes]],Tabla6[#Headers],0)))*(1+Catalogos!$L$2)</f>
        <v>#N/A</v>
      </c>
      <c r="N2619" s="283" t="e">
        <f>+(Tabla4[[#This Row],[Precio Descontado]]-Tabla4[[#This Row],[Precio Base]])*Tabla4[[#This Row],[Cantidad]]</f>
        <v>#N/A</v>
      </c>
      <c r="O2619" s="284" t="e">
        <f>++Tabla4[[#This Row],[Utilidad Total]]/Tabla4[[#This Row],[Total]]</f>
        <v>#N/A</v>
      </c>
      <c r="P2619" s="282">
        <f>++Tabla4[[#This Row],[Precio Descontado]]*Tabla4[[#This Row],[Cantidad]]</f>
        <v>32534.327625599999</v>
      </c>
      <c r="Q2619" s="282" t="e">
        <f>(INDEX(Tabla6[#All],MATCH(Tabla4[[#This Row],[Producto]],Tabla6[[#All],[PRODUCTO]],0),MATCH(Tabla4[[#This Row],[Mes]],Tabla6[#Headers],0)))</f>
        <v>#N/A</v>
      </c>
      <c r="R2619" s="282" t="e">
        <f>++Tabla4[[#This Row],[Precio Unitario Neto]]-Tabla4[[#This Row],[20.85%]]-Tabla4[[#This Row],[Costo]]</f>
        <v>#N/A</v>
      </c>
      <c r="S2619" s="282" t="e">
        <f>++Tabla4[[#This Row],[U. Bruta Uni]]*Tabla4[[#This Row],[Cantidad]]</f>
        <v>#N/A</v>
      </c>
      <c r="T2619" s="369" t="str">
        <f>VLOOKUP(Tabla4[[#This Row],[Producto]],Tabla6[#All],14,FALSE)</f>
        <v>Termico Solar</v>
      </c>
      <c r="U2619" s="284" t="e">
        <f>(IF(Tabla4[[#This Row],[Familia]]="termico solar",Tabla4[[#This Row],[Utilidad Total]]*6%,Tabla4[[#This Row],[Utilidad Total]]*11.5%))/Tabla4[[#This Row],[Total]]</f>
        <v>#N/A</v>
      </c>
      <c r="V2619" s="282" t="e">
        <f>+Tabla4[[#This Row],[Comisión Calculada]]*Tabla4[[#This Row],[Total]]</f>
        <v>#N/A</v>
      </c>
    </row>
    <row r="2620" spans="1:22" hidden="1" x14ac:dyDescent="0.25">
      <c r="A2620" s="100">
        <v>45777</v>
      </c>
      <c r="B2620" t="str">
        <f t="shared" si="123"/>
        <v>April</v>
      </c>
      <c r="C2620" s="46" t="s">
        <v>280</v>
      </c>
      <c r="F2620" s="366" t="s">
        <v>1726</v>
      </c>
      <c r="G2620" s="46" t="s">
        <v>566</v>
      </c>
      <c r="H2620" s="46">
        <v>1</v>
      </c>
      <c r="I2620" s="51">
        <v>2109.4499999999998</v>
      </c>
      <c r="J2620" s="281">
        <f>++Tabla4[[#This Row],[Precio Bruto]]*1.16</f>
        <v>2446.9619999999995</v>
      </c>
      <c r="K2620" s="281">
        <f>+Tabla4[[#This Row],[Precio Unitario Neto]]*Tabla4[[#Headers],[20.85%]]</f>
        <v>510.19157699999988</v>
      </c>
      <c r="L2620" s="282">
        <f>++Tabla4[[#This Row],[Precio Unitario Neto]]-Tabla4[[#This Row],[20.85%]]</f>
        <v>1936.7704229999997</v>
      </c>
      <c r="M2620" s="282" t="e">
        <f>(INDEX(Tabla6[#All],MATCH(Tabla4[[#This Row],[Producto]],Tabla6[[#All],[PRODUCTO]],0),MATCH(Tabla4[[#This Row],[Mes]],Tabla6[#Headers],0)))*(1+Catalogos!$L$2)</f>
        <v>#N/A</v>
      </c>
      <c r="N2620" s="283" t="e">
        <f>+(Tabla4[[#This Row],[Precio Descontado]]-Tabla4[[#This Row],[Precio Base]])*Tabla4[[#This Row],[Cantidad]]</f>
        <v>#N/A</v>
      </c>
      <c r="O2620" s="284" t="e">
        <f>++Tabla4[[#This Row],[Utilidad Total]]/Tabla4[[#This Row],[Total]]</f>
        <v>#N/A</v>
      </c>
      <c r="P2620" s="282">
        <f>++Tabla4[[#This Row],[Precio Descontado]]*Tabla4[[#This Row],[Cantidad]]</f>
        <v>1936.7704229999997</v>
      </c>
      <c r="Q2620" s="282" t="e">
        <f>(INDEX(Tabla6[#All],MATCH(Tabla4[[#This Row],[Producto]],Tabla6[[#All],[PRODUCTO]],0),MATCH(Tabla4[[#This Row],[Mes]],Tabla6[#Headers],0)))</f>
        <v>#N/A</v>
      </c>
      <c r="R2620" s="282" t="e">
        <f>++Tabla4[[#This Row],[Precio Unitario Neto]]-Tabla4[[#This Row],[20.85%]]-Tabla4[[#This Row],[Costo]]</f>
        <v>#N/A</v>
      </c>
      <c r="S2620" s="282" t="e">
        <f>++Tabla4[[#This Row],[U. Bruta Uni]]*Tabla4[[#This Row],[Cantidad]]</f>
        <v>#N/A</v>
      </c>
      <c r="T2620" s="369" t="str">
        <f>VLOOKUP(Tabla4[[#This Row],[Producto]],Tabla6[#All],14,FALSE)</f>
        <v>Termico Solar</v>
      </c>
      <c r="U2620" s="284" t="e">
        <f>(IF(Tabla4[[#This Row],[Familia]]="termico solar",Tabla4[[#This Row],[Utilidad Total]]*6%,Tabla4[[#This Row],[Utilidad Total]]*11.5%))/Tabla4[[#This Row],[Total]]</f>
        <v>#N/A</v>
      </c>
      <c r="V2620" s="282" t="e">
        <f>+Tabla4[[#This Row],[Comisión Calculada]]*Tabla4[[#This Row],[Total]]</f>
        <v>#N/A</v>
      </c>
    </row>
    <row r="2621" spans="1:22" hidden="1" x14ac:dyDescent="0.25">
      <c r="A2621" s="100">
        <v>45777</v>
      </c>
      <c r="B2621" t="str">
        <f t="shared" si="123"/>
        <v>April</v>
      </c>
      <c r="C2621" s="46" t="s">
        <v>280</v>
      </c>
      <c r="F2621" s="366" t="s">
        <v>1726</v>
      </c>
      <c r="G2621" s="46" t="s">
        <v>16</v>
      </c>
      <c r="H2621" s="46">
        <v>2</v>
      </c>
      <c r="I2621" s="51">
        <v>4103.8500000000004</v>
      </c>
      <c r="J2621" s="281">
        <f>++Tabla4[[#This Row],[Precio Bruto]]*1.16</f>
        <v>4760.4660000000003</v>
      </c>
      <c r="K2621" s="281">
        <f>+Tabla4[[#This Row],[Precio Unitario Neto]]*Tabla4[[#Headers],[20.85%]]</f>
        <v>992.55716100000006</v>
      </c>
      <c r="L2621" s="282">
        <f>++Tabla4[[#This Row],[Precio Unitario Neto]]-Tabla4[[#This Row],[20.85%]]</f>
        <v>3767.9088390000002</v>
      </c>
      <c r="M2621" s="282" t="e">
        <f>(INDEX(Tabla6[#All],MATCH(Tabla4[[#This Row],[Producto]],Tabla6[[#All],[PRODUCTO]],0),MATCH(Tabla4[[#This Row],[Mes]],Tabla6[#Headers],0)))*(1+Catalogos!$L$2)</f>
        <v>#N/A</v>
      </c>
      <c r="N2621" s="283" t="e">
        <f>+(Tabla4[[#This Row],[Precio Descontado]]-Tabla4[[#This Row],[Precio Base]])*Tabla4[[#This Row],[Cantidad]]</f>
        <v>#N/A</v>
      </c>
      <c r="O2621" s="284" t="e">
        <f>++Tabla4[[#This Row],[Utilidad Total]]/Tabla4[[#This Row],[Total]]</f>
        <v>#N/A</v>
      </c>
      <c r="P2621" s="282">
        <f>++Tabla4[[#This Row],[Precio Descontado]]*Tabla4[[#This Row],[Cantidad]]</f>
        <v>7535.8176780000003</v>
      </c>
      <c r="Q2621" s="282" t="e">
        <f>(INDEX(Tabla6[#All],MATCH(Tabla4[[#This Row],[Producto]],Tabla6[[#All],[PRODUCTO]],0),MATCH(Tabla4[[#This Row],[Mes]],Tabla6[#Headers],0)))</f>
        <v>#N/A</v>
      </c>
      <c r="R2621" s="282" t="e">
        <f>++Tabla4[[#This Row],[Precio Unitario Neto]]-Tabla4[[#This Row],[20.85%]]-Tabla4[[#This Row],[Costo]]</f>
        <v>#N/A</v>
      </c>
      <c r="S2621" s="282" t="e">
        <f>++Tabla4[[#This Row],[U. Bruta Uni]]*Tabla4[[#This Row],[Cantidad]]</f>
        <v>#N/A</v>
      </c>
      <c r="T2621" s="369" t="str">
        <f>VLOOKUP(Tabla4[[#This Row],[Producto]],Tabla6[#All],14,FALSE)</f>
        <v>Termico Solar</v>
      </c>
      <c r="U2621" s="284" t="e">
        <f>(IF(Tabla4[[#This Row],[Familia]]="termico solar",Tabla4[[#This Row],[Utilidad Total]]*6%,Tabla4[[#This Row],[Utilidad Total]]*11.5%))/Tabla4[[#This Row],[Total]]</f>
        <v>#N/A</v>
      </c>
      <c r="V2621" s="282" t="e">
        <f>+Tabla4[[#This Row],[Comisión Calculada]]*Tabla4[[#This Row],[Total]]</f>
        <v>#N/A</v>
      </c>
    </row>
    <row r="2622" spans="1:22" hidden="1" x14ac:dyDescent="0.25">
      <c r="A2622" s="100">
        <v>45777</v>
      </c>
      <c r="B2622" t="str">
        <f t="shared" si="123"/>
        <v>April</v>
      </c>
      <c r="C2622" s="46" t="s">
        <v>280</v>
      </c>
      <c r="F2622" s="366" t="s">
        <v>1727</v>
      </c>
      <c r="G2622" s="46" t="s">
        <v>566</v>
      </c>
      <c r="H2622" s="46">
        <v>1</v>
      </c>
      <c r="I2622" s="51">
        <v>2109.4499999999998</v>
      </c>
      <c r="J2622" s="281">
        <f>++Tabla4[[#This Row],[Precio Bruto]]*1.16</f>
        <v>2446.9619999999995</v>
      </c>
      <c r="K2622" s="281">
        <f>+Tabla4[[#This Row],[Precio Unitario Neto]]*Tabla4[[#Headers],[20.85%]]</f>
        <v>510.19157699999988</v>
      </c>
      <c r="L2622" s="282">
        <f>++Tabla4[[#This Row],[Precio Unitario Neto]]-Tabla4[[#This Row],[20.85%]]</f>
        <v>1936.7704229999997</v>
      </c>
      <c r="M2622" s="282" t="e">
        <f>(INDEX(Tabla6[#All],MATCH(Tabla4[[#This Row],[Producto]],Tabla6[[#All],[PRODUCTO]],0),MATCH(Tabla4[[#This Row],[Mes]],Tabla6[#Headers],0)))*(1+Catalogos!$L$2)</f>
        <v>#N/A</v>
      </c>
      <c r="N2622" s="283" t="e">
        <f>+(Tabla4[[#This Row],[Precio Descontado]]-Tabla4[[#This Row],[Precio Base]])*Tabla4[[#This Row],[Cantidad]]</f>
        <v>#N/A</v>
      </c>
      <c r="O2622" s="284" t="e">
        <f>++Tabla4[[#This Row],[Utilidad Total]]/Tabla4[[#This Row],[Total]]</f>
        <v>#N/A</v>
      </c>
      <c r="P2622" s="282">
        <f>++Tabla4[[#This Row],[Precio Descontado]]*Tabla4[[#This Row],[Cantidad]]</f>
        <v>1936.7704229999997</v>
      </c>
      <c r="Q2622" s="282" t="e">
        <f>(INDEX(Tabla6[#All],MATCH(Tabla4[[#This Row],[Producto]],Tabla6[[#All],[PRODUCTO]],0),MATCH(Tabla4[[#This Row],[Mes]],Tabla6[#Headers],0)))</f>
        <v>#N/A</v>
      </c>
      <c r="R2622" s="282" t="e">
        <f>++Tabla4[[#This Row],[Precio Unitario Neto]]-Tabla4[[#This Row],[20.85%]]-Tabla4[[#This Row],[Costo]]</f>
        <v>#N/A</v>
      </c>
      <c r="S2622" s="282" t="e">
        <f>++Tabla4[[#This Row],[U. Bruta Uni]]*Tabla4[[#This Row],[Cantidad]]</f>
        <v>#N/A</v>
      </c>
      <c r="T2622" s="369" t="str">
        <f>VLOOKUP(Tabla4[[#This Row],[Producto]],Tabla6[#All],14,FALSE)</f>
        <v>Termico Solar</v>
      </c>
      <c r="U2622" s="284" t="e">
        <f>(IF(Tabla4[[#This Row],[Familia]]="termico solar",Tabla4[[#This Row],[Utilidad Total]]*6%,Tabla4[[#This Row],[Utilidad Total]]*11.5%))/Tabla4[[#This Row],[Total]]</f>
        <v>#N/A</v>
      </c>
      <c r="V2622" s="282" t="e">
        <f>+Tabla4[[#This Row],[Comisión Calculada]]*Tabla4[[#This Row],[Total]]</f>
        <v>#N/A</v>
      </c>
    </row>
    <row r="2623" spans="1:22" hidden="1" x14ac:dyDescent="0.25">
      <c r="A2623" s="100">
        <v>45777</v>
      </c>
      <c r="B2623" t="str">
        <f t="shared" si="123"/>
        <v>April</v>
      </c>
      <c r="C2623" s="46" t="s">
        <v>280</v>
      </c>
      <c r="F2623" s="366" t="s">
        <v>1727</v>
      </c>
      <c r="G2623" s="46" t="s">
        <v>16</v>
      </c>
      <c r="H2623" s="46">
        <v>3</v>
      </c>
      <c r="I2623" s="51">
        <v>4103.8499999999995</v>
      </c>
      <c r="J2623" s="281">
        <f>++Tabla4[[#This Row],[Precio Bruto]]*1.16</f>
        <v>4760.4659999999994</v>
      </c>
      <c r="K2623" s="281">
        <f>+Tabla4[[#This Row],[Precio Unitario Neto]]*Tabla4[[#Headers],[20.85%]]</f>
        <v>992.55716099999984</v>
      </c>
      <c r="L2623" s="282">
        <f>++Tabla4[[#This Row],[Precio Unitario Neto]]-Tabla4[[#This Row],[20.85%]]</f>
        <v>3767.9088389999997</v>
      </c>
      <c r="M2623" s="282" t="e">
        <f>(INDEX(Tabla6[#All],MATCH(Tabla4[[#This Row],[Producto]],Tabla6[[#All],[PRODUCTO]],0),MATCH(Tabla4[[#This Row],[Mes]],Tabla6[#Headers],0)))*(1+Catalogos!$L$2)</f>
        <v>#N/A</v>
      </c>
      <c r="N2623" s="283" t="e">
        <f>+(Tabla4[[#This Row],[Precio Descontado]]-Tabla4[[#This Row],[Precio Base]])*Tabla4[[#This Row],[Cantidad]]</f>
        <v>#N/A</v>
      </c>
      <c r="O2623" s="284" t="e">
        <f>++Tabla4[[#This Row],[Utilidad Total]]/Tabla4[[#This Row],[Total]]</f>
        <v>#N/A</v>
      </c>
      <c r="P2623" s="282">
        <f>++Tabla4[[#This Row],[Precio Descontado]]*Tabla4[[#This Row],[Cantidad]]</f>
        <v>11303.726516999999</v>
      </c>
      <c r="Q2623" s="282" t="e">
        <f>(INDEX(Tabla6[#All],MATCH(Tabla4[[#This Row],[Producto]],Tabla6[[#All],[PRODUCTO]],0),MATCH(Tabla4[[#This Row],[Mes]],Tabla6[#Headers],0)))</f>
        <v>#N/A</v>
      </c>
      <c r="R2623" s="282" t="e">
        <f>++Tabla4[[#This Row],[Precio Unitario Neto]]-Tabla4[[#This Row],[20.85%]]-Tabla4[[#This Row],[Costo]]</f>
        <v>#N/A</v>
      </c>
      <c r="S2623" s="282" t="e">
        <f>++Tabla4[[#This Row],[U. Bruta Uni]]*Tabla4[[#This Row],[Cantidad]]</f>
        <v>#N/A</v>
      </c>
      <c r="T2623" s="369" t="str">
        <f>VLOOKUP(Tabla4[[#This Row],[Producto]],Tabla6[#All],14,FALSE)</f>
        <v>Termico Solar</v>
      </c>
      <c r="U2623" s="284" t="e">
        <f>(IF(Tabla4[[#This Row],[Familia]]="termico solar",Tabla4[[#This Row],[Utilidad Total]]*6%,Tabla4[[#This Row],[Utilidad Total]]*11.5%))/Tabla4[[#This Row],[Total]]</f>
        <v>#N/A</v>
      </c>
      <c r="V2623" s="282" t="e">
        <f>+Tabla4[[#This Row],[Comisión Calculada]]*Tabla4[[#This Row],[Total]]</f>
        <v>#N/A</v>
      </c>
    </row>
    <row r="2624" spans="1:22" hidden="1" x14ac:dyDescent="0.25">
      <c r="A2624" s="100">
        <v>45777</v>
      </c>
      <c r="B2624" t="str">
        <f t="shared" si="123"/>
        <v>April</v>
      </c>
      <c r="C2624" s="46" t="s">
        <v>280</v>
      </c>
      <c r="F2624" s="366" t="s">
        <v>1727</v>
      </c>
      <c r="G2624" s="46" t="s">
        <v>208</v>
      </c>
      <c r="H2624" s="46">
        <v>2</v>
      </c>
      <c r="I2624" s="51">
        <v>189.75</v>
      </c>
      <c r="J2624" s="281">
        <f>++Tabla4[[#This Row],[Precio Bruto]]*1.16</f>
        <v>220.10999999999999</v>
      </c>
      <c r="K2624" s="281">
        <f>+Tabla4[[#This Row],[Precio Unitario Neto]]*Tabla4[[#Headers],[20.85%]]</f>
        <v>45.892934999999994</v>
      </c>
      <c r="L2624" s="282">
        <f>++Tabla4[[#This Row],[Precio Unitario Neto]]-Tabla4[[#This Row],[20.85%]]</f>
        <v>174.21706499999999</v>
      </c>
      <c r="M2624" s="282" t="e">
        <f>(INDEX(Tabla6[#All],MATCH(Tabla4[[#This Row],[Producto]],Tabla6[[#All],[PRODUCTO]],0),MATCH(Tabla4[[#This Row],[Mes]],Tabla6[#Headers],0)))*(1+Catalogos!$L$2)</f>
        <v>#N/A</v>
      </c>
      <c r="N2624" s="283" t="e">
        <f>+(Tabla4[[#This Row],[Precio Descontado]]-Tabla4[[#This Row],[Precio Base]])*Tabla4[[#This Row],[Cantidad]]</f>
        <v>#N/A</v>
      </c>
      <c r="O2624" s="284" t="e">
        <f>++Tabla4[[#This Row],[Utilidad Total]]/Tabla4[[#This Row],[Total]]</f>
        <v>#N/A</v>
      </c>
      <c r="P2624" s="282">
        <f>++Tabla4[[#This Row],[Precio Descontado]]*Tabla4[[#This Row],[Cantidad]]</f>
        <v>348.43412999999998</v>
      </c>
      <c r="Q2624" s="282" t="e">
        <f>(INDEX(Tabla6[#All],MATCH(Tabla4[[#This Row],[Producto]],Tabla6[[#All],[PRODUCTO]],0),MATCH(Tabla4[[#This Row],[Mes]],Tabla6[#Headers],0)))</f>
        <v>#N/A</v>
      </c>
      <c r="R2624" s="282" t="e">
        <f>++Tabla4[[#This Row],[Precio Unitario Neto]]-Tabla4[[#This Row],[20.85%]]-Tabla4[[#This Row],[Costo]]</f>
        <v>#N/A</v>
      </c>
      <c r="S2624" s="282" t="e">
        <f>++Tabla4[[#This Row],[U. Bruta Uni]]*Tabla4[[#This Row],[Cantidad]]</f>
        <v>#N/A</v>
      </c>
      <c r="T2624" s="369" t="str">
        <f>VLOOKUP(Tabla4[[#This Row],[Producto]],Tabla6[#All],14,FALSE)</f>
        <v>Termico Solar</v>
      </c>
      <c r="U2624" s="284" t="e">
        <f>(IF(Tabla4[[#This Row],[Familia]]="termico solar",Tabla4[[#This Row],[Utilidad Total]]*6%,Tabla4[[#This Row],[Utilidad Total]]*11.5%))/Tabla4[[#This Row],[Total]]</f>
        <v>#N/A</v>
      </c>
      <c r="V2624" s="282" t="e">
        <f>+Tabla4[[#This Row],[Comisión Calculada]]*Tabla4[[#This Row],[Total]]</f>
        <v>#N/A</v>
      </c>
    </row>
    <row r="2625" spans="1:22" hidden="1" x14ac:dyDescent="0.25">
      <c r="A2625" s="100">
        <v>45777</v>
      </c>
      <c r="B2625" t="str">
        <f t="shared" si="123"/>
        <v>April</v>
      </c>
      <c r="C2625" s="46" t="s">
        <v>280</v>
      </c>
      <c r="F2625" s="366" t="s">
        <v>1728</v>
      </c>
      <c r="G2625" s="46" t="s">
        <v>16</v>
      </c>
      <c r="H2625" s="46">
        <v>1</v>
      </c>
      <c r="I2625" s="51">
        <v>4103.8500000000004</v>
      </c>
      <c r="J2625" s="281">
        <f>++Tabla4[[#This Row],[Precio Bruto]]*1.16</f>
        <v>4760.4660000000003</v>
      </c>
      <c r="K2625" s="281">
        <f>+Tabla4[[#This Row],[Precio Unitario Neto]]*Tabla4[[#Headers],[20.85%]]</f>
        <v>992.55716100000006</v>
      </c>
      <c r="L2625" s="282">
        <f>++Tabla4[[#This Row],[Precio Unitario Neto]]-Tabla4[[#This Row],[20.85%]]</f>
        <v>3767.9088390000002</v>
      </c>
      <c r="M2625" s="282" t="e">
        <f>(INDEX(Tabla6[#All],MATCH(Tabla4[[#This Row],[Producto]],Tabla6[[#All],[PRODUCTO]],0),MATCH(Tabla4[[#This Row],[Mes]],Tabla6[#Headers],0)))*(1+Catalogos!$L$2)</f>
        <v>#N/A</v>
      </c>
      <c r="N2625" s="283" t="e">
        <f>+(Tabla4[[#This Row],[Precio Descontado]]-Tabla4[[#This Row],[Precio Base]])*Tabla4[[#This Row],[Cantidad]]</f>
        <v>#N/A</v>
      </c>
      <c r="O2625" s="284" t="e">
        <f>++Tabla4[[#This Row],[Utilidad Total]]/Tabla4[[#This Row],[Total]]</f>
        <v>#N/A</v>
      </c>
      <c r="P2625" s="282">
        <f>++Tabla4[[#This Row],[Precio Descontado]]*Tabla4[[#This Row],[Cantidad]]</f>
        <v>3767.9088390000002</v>
      </c>
      <c r="Q2625" s="282" t="e">
        <f>(INDEX(Tabla6[#All],MATCH(Tabla4[[#This Row],[Producto]],Tabla6[[#All],[PRODUCTO]],0),MATCH(Tabla4[[#This Row],[Mes]],Tabla6[#Headers],0)))</f>
        <v>#N/A</v>
      </c>
      <c r="R2625" s="282" t="e">
        <f>++Tabla4[[#This Row],[Precio Unitario Neto]]-Tabla4[[#This Row],[20.85%]]-Tabla4[[#This Row],[Costo]]</f>
        <v>#N/A</v>
      </c>
      <c r="S2625" s="282" t="e">
        <f>++Tabla4[[#This Row],[U. Bruta Uni]]*Tabla4[[#This Row],[Cantidad]]</f>
        <v>#N/A</v>
      </c>
      <c r="T2625" s="369" t="str">
        <f>VLOOKUP(Tabla4[[#This Row],[Producto]],Tabla6[#All],14,FALSE)</f>
        <v>Termico Solar</v>
      </c>
      <c r="U2625" s="284" t="e">
        <f>(IF(Tabla4[[#This Row],[Familia]]="termico solar",Tabla4[[#This Row],[Utilidad Total]]*6%,Tabla4[[#This Row],[Utilidad Total]]*11.5%))/Tabla4[[#This Row],[Total]]</f>
        <v>#N/A</v>
      </c>
      <c r="V2625" s="282" t="e">
        <f>+Tabla4[[#This Row],[Comisión Calculada]]*Tabla4[[#This Row],[Total]]</f>
        <v>#N/A</v>
      </c>
    </row>
    <row r="2626" spans="1:22" hidden="1" x14ac:dyDescent="0.25">
      <c r="A2626" s="100">
        <v>45777</v>
      </c>
      <c r="B2626" t="str">
        <f t="shared" si="123"/>
        <v>April</v>
      </c>
      <c r="C2626" s="46" t="s">
        <v>280</v>
      </c>
      <c r="F2626" s="366" t="s">
        <v>1728</v>
      </c>
      <c r="G2626" s="46" t="s">
        <v>208</v>
      </c>
      <c r="H2626" s="46">
        <v>1</v>
      </c>
      <c r="I2626" s="51">
        <v>189.75</v>
      </c>
      <c r="J2626" s="281">
        <f>++Tabla4[[#This Row],[Precio Bruto]]*1.16</f>
        <v>220.10999999999999</v>
      </c>
      <c r="K2626" s="281">
        <f>+Tabla4[[#This Row],[Precio Unitario Neto]]*Tabla4[[#Headers],[20.85%]]</f>
        <v>45.892934999999994</v>
      </c>
      <c r="L2626" s="282">
        <f>++Tabla4[[#This Row],[Precio Unitario Neto]]-Tabla4[[#This Row],[20.85%]]</f>
        <v>174.21706499999999</v>
      </c>
      <c r="M2626" s="282" t="e">
        <f>(INDEX(Tabla6[#All],MATCH(Tabla4[[#This Row],[Producto]],Tabla6[[#All],[PRODUCTO]],0),MATCH(Tabla4[[#This Row],[Mes]],Tabla6[#Headers],0)))*(1+Catalogos!$L$2)</f>
        <v>#N/A</v>
      </c>
      <c r="N2626" s="283" t="e">
        <f>+(Tabla4[[#This Row],[Precio Descontado]]-Tabla4[[#This Row],[Precio Base]])*Tabla4[[#This Row],[Cantidad]]</f>
        <v>#N/A</v>
      </c>
      <c r="O2626" s="284" t="e">
        <f>++Tabla4[[#This Row],[Utilidad Total]]/Tabla4[[#This Row],[Total]]</f>
        <v>#N/A</v>
      </c>
      <c r="P2626" s="282">
        <f>++Tabla4[[#This Row],[Precio Descontado]]*Tabla4[[#This Row],[Cantidad]]</f>
        <v>174.21706499999999</v>
      </c>
      <c r="Q2626" s="282" t="e">
        <f>(INDEX(Tabla6[#All],MATCH(Tabla4[[#This Row],[Producto]],Tabla6[[#All],[PRODUCTO]],0),MATCH(Tabla4[[#This Row],[Mes]],Tabla6[#Headers],0)))</f>
        <v>#N/A</v>
      </c>
      <c r="R2626" s="282" t="e">
        <f>++Tabla4[[#This Row],[Precio Unitario Neto]]-Tabla4[[#This Row],[20.85%]]-Tabla4[[#This Row],[Costo]]</f>
        <v>#N/A</v>
      </c>
      <c r="S2626" s="282" t="e">
        <f>++Tabla4[[#This Row],[U. Bruta Uni]]*Tabla4[[#This Row],[Cantidad]]</f>
        <v>#N/A</v>
      </c>
      <c r="T2626" s="369" t="str">
        <f>VLOOKUP(Tabla4[[#This Row],[Producto]],Tabla6[#All],14,FALSE)</f>
        <v>Termico Solar</v>
      </c>
      <c r="U2626" s="284" t="e">
        <f>(IF(Tabla4[[#This Row],[Familia]]="termico solar",Tabla4[[#This Row],[Utilidad Total]]*6%,Tabla4[[#This Row],[Utilidad Total]]*11.5%))/Tabla4[[#This Row],[Total]]</f>
        <v>#N/A</v>
      </c>
      <c r="V2626" s="282" t="e">
        <f>+Tabla4[[#This Row],[Comisión Calculada]]*Tabla4[[#This Row],[Total]]</f>
        <v>#N/A</v>
      </c>
    </row>
    <row r="2627" spans="1:22" hidden="1" x14ac:dyDescent="0.25">
      <c r="A2627" s="100">
        <v>45777</v>
      </c>
      <c r="B2627" t="str">
        <f t="shared" si="123"/>
        <v>April</v>
      </c>
      <c r="C2627" s="46" t="s">
        <v>280</v>
      </c>
      <c r="F2627" s="366" t="s">
        <v>1729</v>
      </c>
      <c r="G2627" s="46" t="s">
        <v>83</v>
      </c>
      <c r="H2627" s="46">
        <v>3</v>
      </c>
      <c r="I2627" s="51">
        <v>8858.76</v>
      </c>
      <c r="J2627" s="281">
        <f>++Tabla4[[#This Row],[Precio Bruto]]*1.16</f>
        <v>10276.161599999999</v>
      </c>
      <c r="K2627" s="281">
        <f>+Tabla4[[#This Row],[Precio Unitario Neto]]*Tabla4[[#Headers],[20.85%]]</f>
        <v>2142.5796935999997</v>
      </c>
      <c r="L2627" s="282">
        <f>++Tabla4[[#This Row],[Precio Unitario Neto]]-Tabla4[[#This Row],[20.85%]]</f>
        <v>8133.5819063999998</v>
      </c>
      <c r="M2627" s="282" t="e">
        <f>(INDEX(Tabla6[#All],MATCH(Tabla4[[#This Row],[Producto]],Tabla6[[#All],[PRODUCTO]],0),MATCH(Tabla4[[#This Row],[Mes]],Tabla6[#Headers],0)))*(1+Catalogos!$L$2)</f>
        <v>#N/A</v>
      </c>
      <c r="N2627" s="283" t="e">
        <f>+(Tabla4[[#This Row],[Precio Descontado]]-Tabla4[[#This Row],[Precio Base]])*Tabla4[[#This Row],[Cantidad]]</f>
        <v>#N/A</v>
      </c>
      <c r="O2627" s="284" t="e">
        <f>++Tabla4[[#This Row],[Utilidad Total]]/Tabla4[[#This Row],[Total]]</f>
        <v>#N/A</v>
      </c>
      <c r="P2627" s="282">
        <f>++Tabla4[[#This Row],[Precio Descontado]]*Tabla4[[#This Row],[Cantidad]]</f>
        <v>24400.7457192</v>
      </c>
      <c r="Q2627" s="282" t="e">
        <f>(INDEX(Tabla6[#All],MATCH(Tabla4[[#This Row],[Producto]],Tabla6[[#All],[PRODUCTO]],0),MATCH(Tabla4[[#This Row],[Mes]],Tabla6[#Headers],0)))</f>
        <v>#N/A</v>
      </c>
      <c r="R2627" s="282" t="e">
        <f>++Tabla4[[#This Row],[Precio Unitario Neto]]-Tabla4[[#This Row],[20.85%]]-Tabla4[[#This Row],[Costo]]</f>
        <v>#N/A</v>
      </c>
      <c r="S2627" s="282" t="e">
        <f>++Tabla4[[#This Row],[U. Bruta Uni]]*Tabla4[[#This Row],[Cantidad]]</f>
        <v>#N/A</v>
      </c>
      <c r="T2627" s="369" t="str">
        <f>VLOOKUP(Tabla4[[#This Row],[Producto]],Tabla6[#All],14,FALSE)</f>
        <v>Termico Solar</v>
      </c>
      <c r="U2627" s="284" t="e">
        <f>(IF(Tabla4[[#This Row],[Familia]]="termico solar",Tabla4[[#This Row],[Utilidad Total]]*6%,Tabla4[[#This Row],[Utilidad Total]]*11.5%))/Tabla4[[#This Row],[Total]]</f>
        <v>#N/A</v>
      </c>
      <c r="V2627" s="282" t="e">
        <f>+Tabla4[[#This Row],[Comisión Calculada]]*Tabla4[[#This Row],[Total]]</f>
        <v>#N/A</v>
      </c>
    </row>
    <row r="2628" spans="1:22" hidden="1" x14ac:dyDescent="0.25">
      <c r="A2628" s="100">
        <v>45777</v>
      </c>
      <c r="B2628" t="str">
        <f t="shared" si="123"/>
        <v>April</v>
      </c>
      <c r="C2628" s="46" t="s">
        <v>280</v>
      </c>
      <c r="F2628" s="366" t="s">
        <v>1729</v>
      </c>
      <c r="G2628" s="46" t="s">
        <v>17</v>
      </c>
      <c r="H2628" s="46">
        <v>1</v>
      </c>
      <c r="I2628" s="51">
        <v>4622.28</v>
      </c>
      <c r="J2628" s="281">
        <f>++Tabla4[[#This Row],[Precio Bruto]]*1.16</f>
        <v>5361.8447999999989</v>
      </c>
      <c r="K2628" s="281">
        <f>+Tabla4[[#This Row],[Precio Unitario Neto]]*Tabla4[[#Headers],[20.85%]]</f>
        <v>1117.9446407999997</v>
      </c>
      <c r="L2628" s="282">
        <f>++Tabla4[[#This Row],[Precio Unitario Neto]]-Tabla4[[#This Row],[20.85%]]</f>
        <v>4243.9001591999995</v>
      </c>
      <c r="M2628" s="282" t="e">
        <f>(INDEX(Tabla6[#All],MATCH(Tabla4[[#This Row],[Producto]],Tabla6[[#All],[PRODUCTO]],0),MATCH(Tabla4[[#This Row],[Mes]],Tabla6[#Headers],0)))*(1+Catalogos!$L$2)</f>
        <v>#N/A</v>
      </c>
      <c r="N2628" s="283" t="e">
        <f>+(Tabla4[[#This Row],[Precio Descontado]]-Tabla4[[#This Row],[Precio Base]])*Tabla4[[#This Row],[Cantidad]]</f>
        <v>#N/A</v>
      </c>
      <c r="O2628" s="284" t="e">
        <f>++Tabla4[[#This Row],[Utilidad Total]]/Tabla4[[#This Row],[Total]]</f>
        <v>#N/A</v>
      </c>
      <c r="P2628" s="282">
        <f>++Tabla4[[#This Row],[Precio Descontado]]*Tabla4[[#This Row],[Cantidad]]</f>
        <v>4243.9001591999995</v>
      </c>
      <c r="Q2628" s="282" t="e">
        <f>(INDEX(Tabla6[#All],MATCH(Tabla4[[#This Row],[Producto]],Tabla6[[#All],[PRODUCTO]],0),MATCH(Tabla4[[#This Row],[Mes]],Tabla6[#Headers],0)))</f>
        <v>#N/A</v>
      </c>
      <c r="R2628" s="282" t="e">
        <f>++Tabla4[[#This Row],[Precio Unitario Neto]]-Tabla4[[#This Row],[20.85%]]-Tabla4[[#This Row],[Costo]]</f>
        <v>#N/A</v>
      </c>
      <c r="S2628" s="282" t="e">
        <f>++Tabla4[[#This Row],[U. Bruta Uni]]*Tabla4[[#This Row],[Cantidad]]</f>
        <v>#N/A</v>
      </c>
      <c r="T2628" s="369" t="str">
        <f>VLOOKUP(Tabla4[[#This Row],[Producto]],Tabla6[#All],14,FALSE)</f>
        <v>Termico Solar</v>
      </c>
      <c r="U2628" s="284" t="e">
        <f>(IF(Tabla4[[#This Row],[Familia]]="termico solar",Tabla4[[#This Row],[Utilidad Total]]*6%,Tabla4[[#This Row],[Utilidad Total]]*11.5%))/Tabla4[[#This Row],[Total]]</f>
        <v>#N/A</v>
      </c>
      <c r="V2628" s="282" t="e">
        <f>+Tabla4[[#This Row],[Comisión Calculada]]*Tabla4[[#This Row],[Total]]</f>
        <v>#N/A</v>
      </c>
    </row>
    <row r="2629" spans="1:22" hidden="1" x14ac:dyDescent="0.25">
      <c r="A2629" s="100">
        <v>45777</v>
      </c>
      <c r="B2629" t="str">
        <f t="shared" si="123"/>
        <v>April</v>
      </c>
      <c r="C2629" s="46" t="s">
        <v>280</v>
      </c>
      <c r="F2629" s="366" t="s">
        <v>1729</v>
      </c>
      <c r="G2629" s="46" t="s">
        <v>18</v>
      </c>
      <c r="H2629" s="46">
        <v>1</v>
      </c>
      <c r="I2629" s="51">
        <v>5367.65</v>
      </c>
      <c r="J2629" s="281">
        <f>++Tabla4[[#This Row],[Precio Bruto]]*1.16</f>
        <v>6226.4739999999993</v>
      </c>
      <c r="K2629" s="281">
        <f>+Tabla4[[#This Row],[Precio Unitario Neto]]*Tabla4[[#Headers],[20.85%]]</f>
        <v>1298.2198289999999</v>
      </c>
      <c r="L2629" s="282">
        <f>++Tabla4[[#This Row],[Precio Unitario Neto]]-Tabla4[[#This Row],[20.85%]]</f>
        <v>4928.2541709999996</v>
      </c>
      <c r="M2629" s="282" t="e">
        <f>(INDEX(Tabla6[#All],MATCH(Tabla4[[#This Row],[Producto]],Tabla6[[#All],[PRODUCTO]],0),MATCH(Tabla4[[#This Row],[Mes]],Tabla6[#Headers],0)))*(1+Catalogos!$L$2)</f>
        <v>#N/A</v>
      </c>
      <c r="N2629" s="283" t="e">
        <f>+(Tabla4[[#This Row],[Precio Descontado]]-Tabla4[[#This Row],[Precio Base]])*Tabla4[[#This Row],[Cantidad]]</f>
        <v>#N/A</v>
      </c>
      <c r="O2629" s="284" t="e">
        <f>++Tabla4[[#This Row],[Utilidad Total]]/Tabla4[[#This Row],[Total]]</f>
        <v>#N/A</v>
      </c>
      <c r="P2629" s="282">
        <f>++Tabla4[[#This Row],[Precio Descontado]]*Tabla4[[#This Row],[Cantidad]]</f>
        <v>4928.2541709999996</v>
      </c>
      <c r="Q2629" s="282" t="e">
        <f>(INDEX(Tabla6[#All],MATCH(Tabla4[[#This Row],[Producto]],Tabla6[[#All],[PRODUCTO]],0),MATCH(Tabla4[[#This Row],[Mes]],Tabla6[#Headers],0)))</f>
        <v>#N/A</v>
      </c>
      <c r="R2629" s="282" t="e">
        <f>++Tabla4[[#This Row],[Precio Unitario Neto]]-Tabla4[[#This Row],[20.85%]]-Tabla4[[#This Row],[Costo]]</f>
        <v>#N/A</v>
      </c>
      <c r="S2629" s="282" t="e">
        <f>++Tabla4[[#This Row],[U. Bruta Uni]]*Tabla4[[#This Row],[Cantidad]]</f>
        <v>#N/A</v>
      </c>
      <c r="T2629" s="369" t="str">
        <f>VLOOKUP(Tabla4[[#This Row],[Producto]],Tabla6[#All],14,FALSE)</f>
        <v>Termico Solar</v>
      </c>
      <c r="U2629" s="284" t="e">
        <f>(IF(Tabla4[[#This Row],[Familia]]="termico solar",Tabla4[[#This Row],[Utilidad Total]]*6%,Tabla4[[#This Row],[Utilidad Total]]*11.5%))/Tabla4[[#This Row],[Total]]</f>
        <v>#N/A</v>
      </c>
      <c r="V2629" s="282" t="e">
        <f>+Tabla4[[#This Row],[Comisión Calculada]]*Tabla4[[#This Row],[Total]]</f>
        <v>#N/A</v>
      </c>
    </row>
    <row r="2630" spans="1:22" hidden="1" x14ac:dyDescent="0.25">
      <c r="A2630" s="100">
        <v>45777</v>
      </c>
      <c r="B2630" t="str">
        <f t="shared" si="123"/>
        <v>April</v>
      </c>
      <c r="C2630" s="46" t="s">
        <v>280</v>
      </c>
      <c r="F2630" s="366" t="s">
        <v>1729</v>
      </c>
      <c r="G2630" s="46" t="s">
        <v>566</v>
      </c>
      <c r="H2630" s="46">
        <v>1</v>
      </c>
      <c r="I2630" s="51">
        <v>2109.4499999999998</v>
      </c>
      <c r="J2630" s="281">
        <f>++Tabla4[[#This Row],[Precio Bruto]]*1.16</f>
        <v>2446.9619999999995</v>
      </c>
      <c r="K2630" s="281">
        <f>+Tabla4[[#This Row],[Precio Unitario Neto]]*Tabla4[[#Headers],[20.85%]]</f>
        <v>510.19157699999988</v>
      </c>
      <c r="L2630" s="282">
        <f>++Tabla4[[#This Row],[Precio Unitario Neto]]-Tabla4[[#This Row],[20.85%]]</f>
        <v>1936.7704229999997</v>
      </c>
      <c r="M2630" s="282" t="e">
        <f>(INDEX(Tabla6[#All],MATCH(Tabla4[[#This Row],[Producto]],Tabla6[[#All],[PRODUCTO]],0),MATCH(Tabla4[[#This Row],[Mes]],Tabla6[#Headers],0)))*(1+Catalogos!$L$2)</f>
        <v>#N/A</v>
      </c>
      <c r="N2630" s="283" t="e">
        <f>+(Tabla4[[#This Row],[Precio Descontado]]-Tabla4[[#This Row],[Precio Base]])*Tabla4[[#This Row],[Cantidad]]</f>
        <v>#N/A</v>
      </c>
      <c r="O2630" s="284" t="e">
        <f>++Tabla4[[#This Row],[Utilidad Total]]/Tabla4[[#This Row],[Total]]</f>
        <v>#N/A</v>
      </c>
      <c r="P2630" s="282">
        <f>++Tabla4[[#This Row],[Precio Descontado]]*Tabla4[[#This Row],[Cantidad]]</f>
        <v>1936.7704229999997</v>
      </c>
      <c r="Q2630" s="282" t="e">
        <f>(INDEX(Tabla6[#All],MATCH(Tabla4[[#This Row],[Producto]],Tabla6[[#All],[PRODUCTO]],0),MATCH(Tabla4[[#This Row],[Mes]],Tabla6[#Headers],0)))</f>
        <v>#N/A</v>
      </c>
      <c r="R2630" s="282" t="e">
        <f>++Tabla4[[#This Row],[Precio Unitario Neto]]-Tabla4[[#This Row],[20.85%]]-Tabla4[[#This Row],[Costo]]</f>
        <v>#N/A</v>
      </c>
      <c r="S2630" s="282" t="e">
        <f>++Tabla4[[#This Row],[U. Bruta Uni]]*Tabla4[[#This Row],[Cantidad]]</f>
        <v>#N/A</v>
      </c>
      <c r="T2630" s="369" t="str">
        <f>VLOOKUP(Tabla4[[#This Row],[Producto]],Tabla6[#All],14,FALSE)</f>
        <v>Termico Solar</v>
      </c>
      <c r="U2630" s="284" t="e">
        <f>(IF(Tabla4[[#This Row],[Familia]]="termico solar",Tabla4[[#This Row],[Utilidad Total]]*6%,Tabla4[[#This Row],[Utilidad Total]]*11.5%))/Tabla4[[#This Row],[Total]]</f>
        <v>#N/A</v>
      </c>
      <c r="V2630" s="282" t="e">
        <f>+Tabla4[[#This Row],[Comisión Calculada]]*Tabla4[[#This Row],[Total]]</f>
        <v>#N/A</v>
      </c>
    </row>
    <row r="2631" spans="1:22" hidden="1" x14ac:dyDescent="0.25">
      <c r="A2631" s="100">
        <v>45777</v>
      </c>
      <c r="B2631" t="str">
        <f t="shared" si="123"/>
        <v>April</v>
      </c>
      <c r="C2631" s="46" t="s">
        <v>280</v>
      </c>
      <c r="F2631" s="366" t="s">
        <v>1730</v>
      </c>
      <c r="G2631" s="46" t="s">
        <v>83</v>
      </c>
      <c r="H2631" s="46">
        <v>1</v>
      </c>
      <c r="I2631" s="51">
        <v>8858.76</v>
      </c>
      <c r="J2631" s="281">
        <f>++Tabla4[[#This Row],[Precio Bruto]]*1.16</f>
        <v>10276.161599999999</v>
      </c>
      <c r="K2631" s="281">
        <f>+Tabla4[[#This Row],[Precio Unitario Neto]]*Tabla4[[#Headers],[20.85%]]</f>
        <v>2142.5796935999997</v>
      </c>
      <c r="L2631" s="282">
        <f>++Tabla4[[#This Row],[Precio Unitario Neto]]-Tabla4[[#This Row],[20.85%]]</f>
        <v>8133.5819063999998</v>
      </c>
      <c r="M2631" s="282" t="e">
        <f>(INDEX(Tabla6[#All],MATCH(Tabla4[[#This Row],[Producto]],Tabla6[[#All],[PRODUCTO]],0),MATCH(Tabla4[[#This Row],[Mes]],Tabla6[#Headers],0)))*(1+Catalogos!$L$2)</f>
        <v>#N/A</v>
      </c>
      <c r="N2631" s="283" t="e">
        <f>+(Tabla4[[#This Row],[Precio Descontado]]-Tabla4[[#This Row],[Precio Base]])*Tabla4[[#This Row],[Cantidad]]</f>
        <v>#N/A</v>
      </c>
      <c r="O2631" s="284" t="e">
        <f>++Tabla4[[#This Row],[Utilidad Total]]/Tabla4[[#This Row],[Total]]</f>
        <v>#N/A</v>
      </c>
      <c r="P2631" s="282">
        <f>++Tabla4[[#This Row],[Precio Descontado]]*Tabla4[[#This Row],[Cantidad]]</f>
        <v>8133.5819063999998</v>
      </c>
      <c r="Q2631" s="282" t="e">
        <f>(INDEX(Tabla6[#All],MATCH(Tabla4[[#This Row],[Producto]],Tabla6[[#All],[PRODUCTO]],0),MATCH(Tabla4[[#This Row],[Mes]],Tabla6[#Headers],0)))</f>
        <v>#N/A</v>
      </c>
      <c r="R2631" s="282" t="e">
        <f>++Tabla4[[#This Row],[Precio Unitario Neto]]-Tabla4[[#This Row],[20.85%]]-Tabla4[[#This Row],[Costo]]</f>
        <v>#N/A</v>
      </c>
      <c r="S2631" s="282" t="e">
        <f>++Tabla4[[#This Row],[U. Bruta Uni]]*Tabla4[[#This Row],[Cantidad]]</f>
        <v>#N/A</v>
      </c>
      <c r="T2631" s="369" t="str">
        <f>VLOOKUP(Tabla4[[#This Row],[Producto]],Tabla6[#All],14,FALSE)</f>
        <v>Termico Solar</v>
      </c>
      <c r="U2631" s="284" t="e">
        <f>(IF(Tabla4[[#This Row],[Familia]]="termico solar",Tabla4[[#This Row],[Utilidad Total]]*6%,Tabla4[[#This Row],[Utilidad Total]]*11.5%))/Tabla4[[#This Row],[Total]]</f>
        <v>#N/A</v>
      </c>
      <c r="V2631" s="282" t="e">
        <f>+Tabla4[[#This Row],[Comisión Calculada]]*Tabla4[[#This Row],[Total]]</f>
        <v>#N/A</v>
      </c>
    </row>
    <row r="2632" spans="1:22" hidden="1" x14ac:dyDescent="0.25">
      <c r="A2632" s="100">
        <v>45777</v>
      </c>
      <c r="B2632" t="str">
        <f t="shared" si="123"/>
        <v>April</v>
      </c>
      <c r="C2632" s="46" t="s">
        <v>280</v>
      </c>
      <c r="F2632" s="366" t="s">
        <v>1731</v>
      </c>
      <c r="G2632" s="46" t="s">
        <v>18</v>
      </c>
      <c r="H2632" s="46">
        <v>1</v>
      </c>
      <c r="I2632" s="51">
        <v>5367.65</v>
      </c>
      <c r="J2632" s="281">
        <f>++Tabla4[[#This Row],[Precio Bruto]]*1.16</f>
        <v>6226.4739999999993</v>
      </c>
      <c r="K2632" s="281">
        <f>+Tabla4[[#This Row],[Precio Unitario Neto]]*Tabla4[[#Headers],[20.85%]]</f>
        <v>1298.2198289999999</v>
      </c>
      <c r="L2632" s="282">
        <f>++Tabla4[[#This Row],[Precio Unitario Neto]]-Tabla4[[#This Row],[20.85%]]</f>
        <v>4928.2541709999996</v>
      </c>
      <c r="M2632" s="282" t="e">
        <f>(INDEX(Tabla6[#All],MATCH(Tabla4[[#This Row],[Producto]],Tabla6[[#All],[PRODUCTO]],0),MATCH(Tabla4[[#This Row],[Mes]],Tabla6[#Headers],0)))*(1+Catalogos!$L$2)</f>
        <v>#N/A</v>
      </c>
      <c r="N2632" s="283" t="e">
        <f>+(Tabla4[[#This Row],[Precio Descontado]]-Tabla4[[#This Row],[Precio Base]])*Tabla4[[#This Row],[Cantidad]]</f>
        <v>#N/A</v>
      </c>
      <c r="O2632" s="284" t="e">
        <f>++Tabla4[[#This Row],[Utilidad Total]]/Tabla4[[#This Row],[Total]]</f>
        <v>#N/A</v>
      </c>
      <c r="P2632" s="282">
        <f>++Tabla4[[#This Row],[Precio Descontado]]*Tabla4[[#This Row],[Cantidad]]</f>
        <v>4928.2541709999996</v>
      </c>
      <c r="Q2632" s="282" t="e">
        <f>(INDEX(Tabla6[#All],MATCH(Tabla4[[#This Row],[Producto]],Tabla6[[#All],[PRODUCTO]],0),MATCH(Tabla4[[#This Row],[Mes]],Tabla6[#Headers],0)))</f>
        <v>#N/A</v>
      </c>
      <c r="R2632" s="282" t="e">
        <f>++Tabla4[[#This Row],[Precio Unitario Neto]]-Tabla4[[#This Row],[20.85%]]-Tabla4[[#This Row],[Costo]]</f>
        <v>#N/A</v>
      </c>
      <c r="S2632" s="282" t="e">
        <f>++Tabla4[[#This Row],[U. Bruta Uni]]*Tabla4[[#This Row],[Cantidad]]</f>
        <v>#N/A</v>
      </c>
      <c r="T2632" s="369" t="str">
        <f>VLOOKUP(Tabla4[[#This Row],[Producto]],Tabla6[#All],14,FALSE)</f>
        <v>Termico Solar</v>
      </c>
      <c r="U2632" s="284" t="e">
        <f>(IF(Tabla4[[#This Row],[Familia]]="termico solar",Tabla4[[#This Row],[Utilidad Total]]*6%,Tabla4[[#This Row],[Utilidad Total]]*11.5%))/Tabla4[[#This Row],[Total]]</f>
        <v>#N/A</v>
      </c>
      <c r="V2632" s="282" t="e">
        <f>+Tabla4[[#This Row],[Comisión Calculada]]*Tabla4[[#This Row],[Total]]</f>
        <v>#N/A</v>
      </c>
    </row>
    <row r="2633" spans="1:22" hidden="1" x14ac:dyDescent="0.25">
      <c r="A2633" s="100">
        <v>45777</v>
      </c>
      <c r="B2633" t="str">
        <f t="shared" si="123"/>
        <v>April</v>
      </c>
      <c r="C2633" s="46" t="s">
        <v>280</v>
      </c>
      <c r="F2633" s="366" t="s">
        <v>1731</v>
      </c>
      <c r="G2633" s="46" t="s">
        <v>566</v>
      </c>
      <c r="H2633" s="46">
        <v>1</v>
      </c>
      <c r="I2633" s="51">
        <v>2109.4499999999998</v>
      </c>
      <c r="J2633" s="281">
        <f>++Tabla4[[#This Row],[Precio Bruto]]*1.16</f>
        <v>2446.9619999999995</v>
      </c>
      <c r="K2633" s="281">
        <f>+Tabla4[[#This Row],[Precio Unitario Neto]]*Tabla4[[#Headers],[20.85%]]</f>
        <v>510.19157699999988</v>
      </c>
      <c r="L2633" s="282">
        <f>++Tabla4[[#This Row],[Precio Unitario Neto]]-Tabla4[[#This Row],[20.85%]]</f>
        <v>1936.7704229999997</v>
      </c>
      <c r="M2633" s="282" t="e">
        <f>(INDEX(Tabla6[#All],MATCH(Tabla4[[#This Row],[Producto]],Tabla6[[#All],[PRODUCTO]],0),MATCH(Tabla4[[#This Row],[Mes]],Tabla6[#Headers],0)))*(1+Catalogos!$L$2)</f>
        <v>#N/A</v>
      </c>
      <c r="N2633" s="283" t="e">
        <f>+(Tabla4[[#This Row],[Precio Descontado]]-Tabla4[[#This Row],[Precio Base]])*Tabla4[[#This Row],[Cantidad]]</f>
        <v>#N/A</v>
      </c>
      <c r="O2633" s="284" t="e">
        <f>++Tabla4[[#This Row],[Utilidad Total]]/Tabla4[[#This Row],[Total]]</f>
        <v>#N/A</v>
      </c>
      <c r="P2633" s="282">
        <f>++Tabla4[[#This Row],[Precio Descontado]]*Tabla4[[#This Row],[Cantidad]]</f>
        <v>1936.7704229999997</v>
      </c>
      <c r="Q2633" s="282" t="e">
        <f>(INDEX(Tabla6[#All],MATCH(Tabla4[[#This Row],[Producto]],Tabla6[[#All],[PRODUCTO]],0),MATCH(Tabla4[[#This Row],[Mes]],Tabla6[#Headers],0)))</f>
        <v>#N/A</v>
      </c>
      <c r="R2633" s="282" t="e">
        <f>++Tabla4[[#This Row],[Precio Unitario Neto]]-Tabla4[[#This Row],[20.85%]]-Tabla4[[#This Row],[Costo]]</f>
        <v>#N/A</v>
      </c>
      <c r="S2633" s="282" t="e">
        <f>++Tabla4[[#This Row],[U. Bruta Uni]]*Tabla4[[#This Row],[Cantidad]]</f>
        <v>#N/A</v>
      </c>
      <c r="T2633" s="369" t="str">
        <f>VLOOKUP(Tabla4[[#This Row],[Producto]],Tabla6[#All],14,FALSE)</f>
        <v>Termico Solar</v>
      </c>
      <c r="U2633" s="284" t="e">
        <f>(IF(Tabla4[[#This Row],[Familia]]="termico solar",Tabla4[[#This Row],[Utilidad Total]]*6%,Tabla4[[#This Row],[Utilidad Total]]*11.5%))/Tabla4[[#This Row],[Total]]</f>
        <v>#N/A</v>
      </c>
      <c r="V2633" s="282" t="e">
        <f>+Tabla4[[#This Row],[Comisión Calculada]]*Tabla4[[#This Row],[Total]]</f>
        <v>#N/A</v>
      </c>
    </row>
    <row r="2634" spans="1:22" hidden="1" x14ac:dyDescent="0.25">
      <c r="A2634" s="100">
        <v>45777</v>
      </c>
      <c r="B2634" t="str">
        <f t="shared" si="123"/>
        <v>April</v>
      </c>
      <c r="C2634" s="46" t="s">
        <v>280</v>
      </c>
      <c r="F2634" s="366" t="s">
        <v>1731</v>
      </c>
      <c r="G2634" s="46" t="s">
        <v>412</v>
      </c>
      <c r="H2634" s="46">
        <v>1</v>
      </c>
      <c r="I2634" s="51">
        <v>3240.84</v>
      </c>
      <c r="J2634" s="281">
        <f>++Tabla4[[#This Row],[Precio Bruto]]*1.16</f>
        <v>3759.3743999999997</v>
      </c>
      <c r="K2634" s="281">
        <f>+Tabla4[[#This Row],[Precio Unitario Neto]]*Tabla4[[#Headers],[20.85%]]</f>
        <v>783.82956239999987</v>
      </c>
      <c r="L2634" s="282">
        <f>++Tabla4[[#This Row],[Precio Unitario Neto]]-Tabla4[[#This Row],[20.85%]]</f>
        <v>2975.5448375999999</v>
      </c>
      <c r="M2634" s="282" t="e">
        <f>(INDEX(Tabla6[#All],MATCH(Tabla4[[#This Row],[Producto]],Tabla6[[#All],[PRODUCTO]],0),MATCH(Tabla4[[#This Row],[Mes]],Tabla6[#Headers],0)))*(1+Catalogos!$L$2)</f>
        <v>#N/A</v>
      </c>
      <c r="N2634" s="283" t="e">
        <f>+(Tabla4[[#This Row],[Precio Descontado]]-Tabla4[[#This Row],[Precio Base]])*Tabla4[[#This Row],[Cantidad]]</f>
        <v>#N/A</v>
      </c>
      <c r="O2634" s="284" t="e">
        <f>++Tabla4[[#This Row],[Utilidad Total]]/Tabla4[[#This Row],[Total]]</f>
        <v>#N/A</v>
      </c>
      <c r="P2634" s="282">
        <f>++Tabla4[[#This Row],[Precio Descontado]]*Tabla4[[#This Row],[Cantidad]]</f>
        <v>2975.5448375999999</v>
      </c>
      <c r="Q2634" s="282" t="e">
        <f>(INDEX(Tabla6[#All],MATCH(Tabla4[[#This Row],[Producto]],Tabla6[[#All],[PRODUCTO]],0),MATCH(Tabla4[[#This Row],[Mes]],Tabla6[#Headers],0)))</f>
        <v>#N/A</v>
      </c>
      <c r="R2634" s="282" t="e">
        <f>++Tabla4[[#This Row],[Precio Unitario Neto]]-Tabla4[[#This Row],[20.85%]]-Tabla4[[#This Row],[Costo]]</f>
        <v>#N/A</v>
      </c>
      <c r="S2634" s="282" t="e">
        <f>++Tabla4[[#This Row],[U. Bruta Uni]]*Tabla4[[#This Row],[Cantidad]]</f>
        <v>#N/A</v>
      </c>
      <c r="T2634" s="369" t="str">
        <f>VLOOKUP(Tabla4[[#This Row],[Producto]],Tabla6[#All],14,FALSE)</f>
        <v>Termico Solar</v>
      </c>
      <c r="U2634" s="284" t="e">
        <f>(IF(Tabla4[[#This Row],[Familia]]="termico solar",Tabla4[[#This Row],[Utilidad Total]]*6%,Tabla4[[#This Row],[Utilidad Total]]*11.5%))/Tabla4[[#This Row],[Total]]</f>
        <v>#N/A</v>
      </c>
      <c r="V2634" s="282" t="e">
        <f>+Tabla4[[#This Row],[Comisión Calculada]]*Tabla4[[#This Row],[Total]]</f>
        <v>#N/A</v>
      </c>
    </row>
    <row r="2635" spans="1:22" hidden="1" x14ac:dyDescent="0.25">
      <c r="A2635" s="100">
        <v>45777</v>
      </c>
      <c r="B2635" t="str">
        <f t="shared" si="123"/>
        <v>April</v>
      </c>
      <c r="C2635" s="46" t="s">
        <v>280</v>
      </c>
      <c r="F2635" s="366" t="s">
        <v>1731</v>
      </c>
      <c r="G2635" s="46" t="s">
        <v>16</v>
      </c>
      <c r="H2635" s="46">
        <v>2</v>
      </c>
      <c r="I2635" s="51">
        <v>4103.8500000000004</v>
      </c>
      <c r="J2635" s="281">
        <f>++Tabla4[[#This Row],[Precio Bruto]]*1.16</f>
        <v>4760.4660000000003</v>
      </c>
      <c r="K2635" s="281">
        <f>+Tabla4[[#This Row],[Precio Unitario Neto]]*Tabla4[[#Headers],[20.85%]]</f>
        <v>992.55716100000006</v>
      </c>
      <c r="L2635" s="282">
        <f>++Tabla4[[#This Row],[Precio Unitario Neto]]-Tabla4[[#This Row],[20.85%]]</f>
        <v>3767.9088390000002</v>
      </c>
      <c r="M2635" s="282" t="e">
        <f>(INDEX(Tabla6[#All],MATCH(Tabla4[[#This Row],[Producto]],Tabla6[[#All],[PRODUCTO]],0),MATCH(Tabla4[[#This Row],[Mes]],Tabla6[#Headers],0)))*(1+Catalogos!$L$2)</f>
        <v>#N/A</v>
      </c>
      <c r="N2635" s="283" t="e">
        <f>+(Tabla4[[#This Row],[Precio Descontado]]-Tabla4[[#This Row],[Precio Base]])*Tabla4[[#This Row],[Cantidad]]</f>
        <v>#N/A</v>
      </c>
      <c r="O2635" s="284" t="e">
        <f>++Tabla4[[#This Row],[Utilidad Total]]/Tabla4[[#This Row],[Total]]</f>
        <v>#N/A</v>
      </c>
      <c r="P2635" s="282">
        <f>++Tabla4[[#This Row],[Precio Descontado]]*Tabla4[[#This Row],[Cantidad]]</f>
        <v>7535.8176780000003</v>
      </c>
      <c r="Q2635" s="282" t="e">
        <f>(INDEX(Tabla6[#All],MATCH(Tabla4[[#This Row],[Producto]],Tabla6[[#All],[PRODUCTO]],0),MATCH(Tabla4[[#This Row],[Mes]],Tabla6[#Headers],0)))</f>
        <v>#N/A</v>
      </c>
      <c r="R2635" s="282" t="e">
        <f>++Tabla4[[#This Row],[Precio Unitario Neto]]-Tabla4[[#This Row],[20.85%]]-Tabla4[[#This Row],[Costo]]</f>
        <v>#N/A</v>
      </c>
      <c r="S2635" s="282" t="e">
        <f>++Tabla4[[#This Row],[U. Bruta Uni]]*Tabla4[[#This Row],[Cantidad]]</f>
        <v>#N/A</v>
      </c>
      <c r="T2635" s="369" t="str">
        <f>VLOOKUP(Tabla4[[#This Row],[Producto]],Tabla6[#All],14,FALSE)</f>
        <v>Termico Solar</v>
      </c>
      <c r="U2635" s="284" t="e">
        <f>(IF(Tabla4[[#This Row],[Familia]]="termico solar",Tabla4[[#This Row],[Utilidad Total]]*6%,Tabla4[[#This Row],[Utilidad Total]]*11.5%))/Tabla4[[#This Row],[Total]]</f>
        <v>#N/A</v>
      </c>
      <c r="V2635" s="282" t="e">
        <f>+Tabla4[[#This Row],[Comisión Calculada]]*Tabla4[[#This Row],[Total]]</f>
        <v>#N/A</v>
      </c>
    </row>
    <row r="2636" spans="1:22" hidden="1" x14ac:dyDescent="0.25">
      <c r="A2636" s="100">
        <v>45777</v>
      </c>
      <c r="B2636" t="str">
        <f t="shared" si="123"/>
        <v>April</v>
      </c>
      <c r="C2636" s="46" t="s">
        <v>280</v>
      </c>
      <c r="F2636" s="366" t="s">
        <v>1732</v>
      </c>
      <c r="G2636" s="46" t="s">
        <v>17</v>
      </c>
      <c r="H2636" s="46">
        <v>3</v>
      </c>
      <c r="I2636" s="51">
        <v>4622.28</v>
      </c>
      <c r="J2636" s="281">
        <f>++Tabla4[[#This Row],[Precio Bruto]]*1.16</f>
        <v>5361.8447999999989</v>
      </c>
      <c r="K2636" s="281">
        <f>+Tabla4[[#This Row],[Precio Unitario Neto]]*Tabla4[[#Headers],[20.85%]]</f>
        <v>1117.9446407999997</v>
      </c>
      <c r="L2636" s="282">
        <f>++Tabla4[[#This Row],[Precio Unitario Neto]]-Tabla4[[#This Row],[20.85%]]</f>
        <v>4243.9001591999995</v>
      </c>
      <c r="M2636" s="282" t="e">
        <f>(INDEX(Tabla6[#All],MATCH(Tabla4[[#This Row],[Producto]],Tabla6[[#All],[PRODUCTO]],0),MATCH(Tabla4[[#This Row],[Mes]],Tabla6[#Headers],0)))*(1+Catalogos!$L$2)</f>
        <v>#N/A</v>
      </c>
      <c r="N2636" s="283" t="e">
        <f>+(Tabla4[[#This Row],[Precio Descontado]]-Tabla4[[#This Row],[Precio Base]])*Tabla4[[#This Row],[Cantidad]]</f>
        <v>#N/A</v>
      </c>
      <c r="O2636" s="284" t="e">
        <f>++Tabla4[[#This Row],[Utilidad Total]]/Tabla4[[#This Row],[Total]]</f>
        <v>#N/A</v>
      </c>
      <c r="P2636" s="282">
        <f>++Tabla4[[#This Row],[Precio Descontado]]*Tabla4[[#This Row],[Cantidad]]</f>
        <v>12731.700477599999</v>
      </c>
      <c r="Q2636" s="282" t="e">
        <f>(INDEX(Tabla6[#All],MATCH(Tabla4[[#This Row],[Producto]],Tabla6[[#All],[PRODUCTO]],0),MATCH(Tabla4[[#This Row],[Mes]],Tabla6[#Headers],0)))</f>
        <v>#N/A</v>
      </c>
      <c r="R2636" s="282" t="e">
        <f>++Tabla4[[#This Row],[Precio Unitario Neto]]-Tabla4[[#This Row],[20.85%]]-Tabla4[[#This Row],[Costo]]</f>
        <v>#N/A</v>
      </c>
      <c r="S2636" s="282" t="e">
        <f>++Tabla4[[#This Row],[U. Bruta Uni]]*Tabla4[[#This Row],[Cantidad]]</f>
        <v>#N/A</v>
      </c>
      <c r="T2636" s="369" t="str">
        <f>VLOOKUP(Tabla4[[#This Row],[Producto]],Tabla6[#All],14,FALSE)</f>
        <v>Termico Solar</v>
      </c>
      <c r="U2636" s="284" t="e">
        <f>(IF(Tabla4[[#This Row],[Familia]]="termico solar",Tabla4[[#This Row],[Utilidad Total]]*6%,Tabla4[[#This Row],[Utilidad Total]]*11.5%))/Tabla4[[#This Row],[Total]]</f>
        <v>#N/A</v>
      </c>
      <c r="V2636" s="282" t="e">
        <f>+Tabla4[[#This Row],[Comisión Calculada]]*Tabla4[[#This Row],[Total]]</f>
        <v>#N/A</v>
      </c>
    </row>
    <row r="2637" spans="1:22" hidden="1" x14ac:dyDescent="0.25">
      <c r="A2637" s="100">
        <v>45777</v>
      </c>
      <c r="B2637" t="str">
        <f t="shared" si="123"/>
        <v>April</v>
      </c>
      <c r="C2637" s="46" t="s">
        <v>280</v>
      </c>
      <c r="F2637" s="366" t="s">
        <v>1732</v>
      </c>
      <c r="G2637" s="46" t="s">
        <v>18</v>
      </c>
      <c r="H2637" s="46">
        <v>1</v>
      </c>
      <c r="I2637" s="51">
        <v>5367.65</v>
      </c>
      <c r="J2637" s="281">
        <f>++Tabla4[[#This Row],[Precio Bruto]]*1.16</f>
        <v>6226.4739999999993</v>
      </c>
      <c r="K2637" s="281">
        <f>+Tabla4[[#This Row],[Precio Unitario Neto]]*Tabla4[[#Headers],[20.85%]]</f>
        <v>1298.2198289999999</v>
      </c>
      <c r="L2637" s="282">
        <f>++Tabla4[[#This Row],[Precio Unitario Neto]]-Tabla4[[#This Row],[20.85%]]</f>
        <v>4928.2541709999996</v>
      </c>
      <c r="M2637" s="282" t="e">
        <f>(INDEX(Tabla6[#All],MATCH(Tabla4[[#This Row],[Producto]],Tabla6[[#All],[PRODUCTO]],0),MATCH(Tabla4[[#This Row],[Mes]],Tabla6[#Headers],0)))*(1+Catalogos!$L$2)</f>
        <v>#N/A</v>
      </c>
      <c r="N2637" s="283" t="e">
        <f>+(Tabla4[[#This Row],[Precio Descontado]]-Tabla4[[#This Row],[Precio Base]])*Tabla4[[#This Row],[Cantidad]]</f>
        <v>#N/A</v>
      </c>
      <c r="O2637" s="284" t="e">
        <f>++Tabla4[[#This Row],[Utilidad Total]]/Tabla4[[#This Row],[Total]]</f>
        <v>#N/A</v>
      </c>
      <c r="P2637" s="282">
        <f>++Tabla4[[#This Row],[Precio Descontado]]*Tabla4[[#This Row],[Cantidad]]</f>
        <v>4928.2541709999996</v>
      </c>
      <c r="Q2637" s="282" t="e">
        <f>(INDEX(Tabla6[#All],MATCH(Tabla4[[#This Row],[Producto]],Tabla6[[#All],[PRODUCTO]],0),MATCH(Tabla4[[#This Row],[Mes]],Tabla6[#Headers],0)))</f>
        <v>#N/A</v>
      </c>
      <c r="R2637" s="282" t="e">
        <f>++Tabla4[[#This Row],[Precio Unitario Neto]]-Tabla4[[#This Row],[20.85%]]-Tabla4[[#This Row],[Costo]]</f>
        <v>#N/A</v>
      </c>
      <c r="S2637" s="282" t="e">
        <f>++Tabla4[[#This Row],[U. Bruta Uni]]*Tabla4[[#This Row],[Cantidad]]</f>
        <v>#N/A</v>
      </c>
      <c r="T2637" s="369" t="str">
        <f>VLOOKUP(Tabla4[[#This Row],[Producto]],Tabla6[#All],14,FALSE)</f>
        <v>Termico Solar</v>
      </c>
      <c r="U2637" s="284" t="e">
        <f>(IF(Tabla4[[#This Row],[Familia]]="termico solar",Tabla4[[#This Row],[Utilidad Total]]*6%,Tabla4[[#This Row],[Utilidad Total]]*11.5%))/Tabla4[[#This Row],[Total]]</f>
        <v>#N/A</v>
      </c>
      <c r="V2637" s="282" t="e">
        <f>+Tabla4[[#This Row],[Comisión Calculada]]*Tabla4[[#This Row],[Total]]</f>
        <v>#N/A</v>
      </c>
    </row>
    <row r="2638" spans="1:22" hidden="1" x14ac:dyDescent="0.25">
      <c r="A2638" s="100">
        <v>45777</v>
      </c>
      <c r="B2638" t="str">
        <f t="shared" si="123"/>
        <v>April</v>
      </c>
      <c r="C2638" s="46" t="s">
        <v>280</v>
      </c>
      <c r="F2638" s="366" t="s">
        <v>1732</v>
      </c>
      <c r="G2638" s="46" t="s">
        <v>394</v>
      </c>
      <c r="H2638" s="46">
        <v>16</v>
      </c>
      <c r="I2638" s="51">
        <v>224.29</v>
      </c>
      <c r="J2638" s="281">
        <f>++Tabla4[[#This Row],[Precio Bruto]]*1.16</f>
        <v>260.1764</v>
      </c>
      <c r="K2638" s="281">
        <f>+Tabla4[[#This Row],[Precio Unitario Neto]]*Tabla4[[#Headers],[20.85%]]</f>
        <v>54.246779400000001</v>
      </c>
      <c r="L2638" s="282">
        <f>++Tabla4[[#This Row],[Precio Unitario Neto]]-Tabla4[[#This Row],[20.85%]]</f>
        <v>205.92962059999999</v>
      </c>
      <c r="M2638" s="282" t="e">
        <f>(INDEX(Tabla6[#All],MATCH(Tabla4[[#This Row],[Producto]],Tabla6[[#All],[PRODUCTO]],0),MATCH(Tabla4[[#This Row],[Mes]],Tabla6[#Headers],0)))*(1+Catalogos!$L$2)</f>
        <v>#N/A</v>
      </c>
      <c r="N2638" s="283" t="e">
        <f>+(Tabla4[[#This Row],[Precio Descontado]]-Tabla4[[#This Row],[Precio Base]])*Tabla4[[#This Row],[Cantidad]]</f>
        <v>#N/A</v>
      </c>
      <c r="O2638" s="284" t="e">
        <f>++Tabla4[[#This Row],[Utilidad Total]]/Tabla4[[#This Row],[Total]]</f>
        <v>#N/A</v>
      </c>
      <c r="P2638" s="282">
        <f>++Tabla4[[#This Row],[Precio Descontado]]*Tabla4[[#This Row],[Cantidad]]</f>
        <v>3294.8739295999999</v>
      </c>
      <c r="Q2638" s="282" t="e">
        <f>(INDEX(Tabla6[#All],MATCH(Tabla4[[#This Row],[Producto]],Tabla6[[#All],[PRODUCTO]],0),MATCH(Tabla4[[#This Row],[Mes]],Tabla6[#Headers],0)))</f>
        <v>#N/A</v>
      </c>
      <c r="R2638" s="282" t="e">
        <f>++Tabla4[[#This Row],[Precio Unitario Neto]]-Tabla4[[#This Row],[20.85%]]-Tabla4[[#This Row],[Costo]]</f>
        <v>#N/A</v>
      </c>
      <c r="S2638" s="282" t="e">
        <f>++Tabla4[[#This Row],[U. Bruta Uni]]*Tabla4[[#This Row],[Cantidad]]</f>
        <v>#N/A</v>
      </c>
      <c r="T2638" s="369" t="str">
        <f>VLOOKUP(Tabla4[[#This Row],[Producto]],Tabla6[#All],14,FALSE)</f>
        <v>Termico Solar</v>
      </c>
      <c r="U2638" s="284" t="e">
        <f>(IF(Tabla4[[#This Row],[Familia]]="termico solar",Tabla4[[#This Row],[Utilidad Total]]*6%,Tabla4[[#This Row],[Utilidad Total]]*11.5%))/Tabla4[[#This Row],[Total]]</f>
        <v>#N/A</v>
      </c>
      <c r="V2638" s="282" t="e">
        <f>+Tabla4[[#This Row],[Comisión Calculada]]*Tabla4[[#This Row],[Total]]</f>
        <v>#N/A</v>
      </c>
    </row>
    <row r="2639" spans="1:22" hidden="1" x14ac:dyDescent="0.25">
      <c r="A2639" s="100">
        <v>45777</v>
      </c>
      <c r="B2639" t="str">
        <f t="shared" si="123"/>
        <v>April</v>
      </c>
      <c r="C2639" s="46" t="s">
        <v>280</v>
      </c>
      <c r="F2639" s="366" t="s">
        <v>1732</v>
      </c>
      <c r="G2639" s="46" t="s">
        <v>208</v>
      </c>
      <c r="H2639" s="46">
        <v>4</v>
      </c>
      <c r="I2639" s="51">
        <v>189.75</v>
      </c>
      <c r="J2639" s="281">
        <f>++Tabla4[[#This Row],[Precio Bruto]]*1.16</f>
        <v>220.10999999999999</v>
      </c>
      <c r="K2639" s="281">
        <f>+Tabla4[[#This Row],[Precio Unitario Neto]]*Tabla4[[#Headers],[20.85%]]</f>
        <v>45.892934999999994</v>
      </c>
      <c r="L2639" s="282">
        <f>++Tabla4[[#This Row],[Precio Unitario Neto]]-Tabla4[[#This Row],[20.85%]]</f>
        <v>174.21706499999999</v>
      </c>
      <c r="M2639" s="282" t="e">
        <f>(INDEX(Tabla6[#All],MATCH(Tabla4[[#This Row],[Producto]],Tabla6[[#All],[PRODUCTO]],0),MATCH(Tabla4[[#This Row],[Mes]],Tabla6[#Headers],0)))*(1+Catalogos!$L$2)</f>
        <v>#N/A</v>
      </c>
      <c r="N2639" s="283" t="e">
        <f>+(Tabla4[[#This Row],[Precio Descontado]]-Tabla4[[#This Row],[Precio Base]])*Tabla4[[#This Row],[Cantidad]]</f>
        <v>#N/A</v>
      </c>
      <c r="O2639" s="284" t="e">
        <f>++Tabla4[[#This Row],[Utilidad Total]]/Tabla4[[#This Row],[Total]]</f>
        <v>#N/A</v>
      </c>
      <c r="P2639" s="282">
        <f>++Tabla4[[#This Row],[Precio Descontado]]*Tabla4[[#This Row],[Cantidad]]</f>
        <v>696.86825999999996</v>
      </c>
      <c r="Q2639" s="282" t="e">
        <f>(INDEX(Tabla6[#All],MATCH(Tabla4[[#This Row],[Producto]],Tabla6[[#All],[PRODUCTO]],0),MATCH(Tabla4[[#This Row],[Mes]],Tabla6[#Headers],0)))</f>
        <v>#N/A</v>
      </c>
      <c r="R2639" s="282" t="e">
        <f>++Tabla4[[#This Row],[Precio Unitario Neto]]-Tabla4[[#This Row],[20.85%]]-Tabla4[[#This Row],[Costo]]</f>
        <v>#N/A</v>
      </c>
      <c r="S2639" s="282" t="e">
        <f>++Tabla4[[#This Row],[U. Bruta Uni]]*Tabla4[[#This Row],[Cantidad]]</f>
        <v>#N/A</v>
      </c>
      <c r="T2639" s="369" t="str">
        <f>VLOOKUP(Tabla4[[#This Row],[Producto]],Tabla6[#All],14,FALSE)</f>
        <v>Termico Solar</v>
      </c>
      <c r="U2639" s="284" t="e">
        <f>(IF(Tabla4[[#This Row],[Familia]]="termico solar",Tabla4[[#This Row],[Utilidad Total]]*6%,Tabla4[[#This Row],[Utilidad Total]]*11.5%))/Tabla4[[#This Row],[Total]]</f>
        <v>#N/A</v>
      </c>
      <c r="V2639" s="282" t="e">
        <f>+Tabla4[[#This Row],[Comisión Calculada]]*Tabla4[[#This Row],[Total]]</f>
        <v>#N/A</v>
      </c>
    </row>
    <row r="2640" spans="1:22" hidden="1" x14ac:dyDescent="0.25">
      <c r="A2640" s="100">
        <v>45777</v>
      </c>
      <c r="B2640" t="str">
        <f t="shared" si="123"/>
        <v>April</v>
      </c>
      <c r="C2640" s="46" t="s">
        <v>280</v>
      </c>
      <c r="F2640" s="366" t="s">
        <v>1732</v>
      </c>
      <c r="G2640" s="46" t="s">
        <v>209</v>
      </c>
      <c r="H2640" s="46">
        <v>3</v>
      </c>
      <c r="I2640" s="51">
        <v>347.48</v>
      </c>
      <c r="J2640" s="281">
        <f>++Tabla4[[#This Row],[Precio Bruto]]*1.16</f>
        <v>403.07679999999999</v>
      </c>
      <c r="K2640" s="281">
        <f>+Tabla4[[#This Row],[Precio Unitario Neto]]*Tabla4[[#Headers],[20.85%]]</f>
        <v>84.041512799999992</v>
      </c>
      <c r="L2640" s="282">
        <f>++Tabla4[[#This Row],[Precio Unitario Neto]]-Tabla4[[#This Row],[20.85%]]</f>
        <v>319.03528719999997</v>
      </c>
      <c r="M2640" s="282" t="e">
        <f>(INDEX(Tabla6[#All],MATCH(Tabla4[[#This Row],[Producto]],Tabla6[[#All],[PRODUCTO]],0),MATCH(Tabla4[[#This Row],[Mes]],Tabla6[#Headers],0)))*(1+Catalogos!$L$2)</f>
        <v>#N/A</v>
      </c>
      <c r="N2640" s="283" t="e">
        <f>+(Tabla4[[#This Row],[Precio Descontado]]-Tabla4[[#This Row],[Precio Base]])*Tabla4[[#This Row],[Cantidad]]</f>
        <v>#N/A</v>
      </c>
      <c r="O2640" s="284" t="e">
        <f>++Tabla4[[#This Row],[Utilidad Total]]/Tabla4[[#This Row],[Total]]</f>
        <v>#N/A</v>
      </c>
      <c r="P2640" s="282">
        <f>++Tabla4[[#This Row],[Precio Descontado]]*Tabla4[[#This Row],[Cantidad]]</f>
        <v>957.10586159999991</v>
      </c>
      <c r="Q2640" s="282" t="e">
        <f>(INDEX(Tabla6[#All],MATCH(Tabla4[[#This Row],[Producto]],Tabla6[[#All],[PRODUCTO]],0),MATCH(Tabla4[[#This Row],[Mes]],Tabla6[#Headers],0)))</f>
        <v>#N/A</v>
      </c>
      <c r="R2640" s="282" t="e">
        <f>++Tabla4[[#This Row],[Precio Unitario Neto]]-Tabla4[[#This Row],[20.85%]]-Tabla4[[#This Row],[Costo]]</f>
        <v>#N/A</v>
      </c>
      <c r="S2640" s="282" t="e">
        <f>++Tabla4[[#This Row],[U. Bruta Uni]]*Tabla4[[#This Row],[Cantidad]]</f>
        <v>#N/A</v>
      </c>
      <c r="T2640" s="369" t="str">
        <f>VLOOKUP(Tabla4[[#This Row],[Producto]],Tabla6[#All],14,FALSE)</f>
        <v>Termico Solar</v>
      </c>
      <c r="U2640" s="284" t="e">
        <f>(IF(Tabla4[[#This Row],[Familia]]="termico solar",Tabla4[[#This Row],[Utilidad Total]]*6%,Tabla4[[#This Row],[Utilidad Total]]*11.5%))/Tabla4[[#This Row],[Total]]</f>
        <v>#N/A</v>
      </c>
      <c r="V2640" s="282" t="e">
        <f>+Tabla4[[#This Row],[Comisión Calculada]]*Tabla4[[#This Row],[Total]]</f>
        <v>#N/A</v>
      </c>
    </row>
    <row r="2641" spans="1:22" ht="14.25" hidden="1" customHeight="1" x14ac:dyDescent="0.25">
      <c r="A2641" s="100">
        <v>45777</v>
      </c>
      <c r="B2641" t="str">
        <f t="shared" si="123"/>
        <v>April</v>
      </c>
      <c r="C2641" s="46" t="s">
        <v>280</v>
      </c>
      <c r="F2641" s="366" t="s">
        <v>1733</v>
      </c>
      <c r="G2641" s="46" t="s">
        <v>17</v>
      </c>
      <c r="H2641" s="46">
        <v>1</v>
      </c>
      <c r="I2641" s="51">
        <v>4622.28</v>
      </c>
      <c r="J2641" s="281">
        <f>++Tabla4[[#This Row],[Precio Bruto]]*1.16</f>
        <v>5361.8447999999989</v>
      </c>
      <c r="K2641" s="281">
        <f>+Tabla4[[#This Row],[Precio Unitario Neto]]*Tabla4[[#Headers],[20.85%]]</f>
        <v>1117.9446407999997</v>
      </c>
      <c r="L2641" s="282">
        <f>++Tabla4[[#This Row],[Precio Unitario Neto]]-Tabla4[[#This Row],[20.85%]]</f>
        <v>4243.9001591999995</v>
      </c>
      <c r="M2641" s="282" t="e">
        <f>(INDEX(Tabla6[#All],MATCH(Tabla4[[#This Row],[Producto]],Tabla6[[#All],[PRODUCTO]],0),MATCH(Tabla4[[#This Row],[Mes]],Tabla6[#Headers],0)))*(1+Catalogos!$L$2)</f>
        <v>#N/A</v>
      </c>
      <c r="N2641" s="283" t="e">
        <f>+(Tabla4[[#This Row],[Precio Descontado]]-Tabla4[[#This Row],[Precio Base]])*Tabla4[[#This Row],[Cantidad]]</f>
        <v>#N/A</v>
      </c>
      <c r="O2641" s="284" t="e">
        <f>++Tabla4[[#This Row],[Utilidad Total]]/Tabla4[[#This Row],[Total]]</f>
        <v>#N/A</v>
      </c>
      <c r="P2641" s="282">
        <f>++Tabla4[[#This Row],[Precio Descontado]]*Tabla4[[#This Row],[Cantidad]]</f>
        <v>4243.9001591999995</v>
      </c>
      <c r="Q2641" s="282" t="e">
        <f>(INDEX(Tabla6[#All],MATCH(Tabla4[[#This Row],[Producto]],Tabla6[[#All],[PRODUCTO]],0),MATCH(Tabla4[[#This Row],[Mes]],Tabla6[#Headers],0)))</f>
        <v>#N/A</v>
      </c>
      <c r="R2641" s="282" t="e">
        <f>++Tabla4[[#This Row],[Precio Unitario Neto]]-Tabla4[[#This Row],[20.85%]]-Tabla4[[#This Row],[Costo]]</f>
        <v>#N/A</v>
      </c>
      <c r="S2641" s="282" t="e">
        <f>++Tabla4[[#This Row],[U. Bruta Uni]]*Tabla4[[#This Row],[Cantidad]]</f>
        <v>#N/A</v>
      </c>
      <c r="T2641" s="369" t="str">
        <f>VLOOKUP(Tabla4[[#This Row],[Producto]],Tabla6[#All],14,FALSE)</f>
        <v>Termico Solar</v>
      </c>
      <c r="U2641" s="284" t="e">
        <f>(IF(Tabla4[[#This Row],[Familia]]="termico solar",Tabla4[[#This Row],[Utilidad Total]]*6%,Tabla4[[#This Row],[Utilidad Total]]*11.5%))/Tabla4[[#This Row],[Total]]</f>
        <v>#N/A</v>
      </c>
      <c r="V2641" s="282" t="e">
        <f>+Tabla4[[#This Row],[Comisión Calculada]]*Tabla4[[#This Row],[Total]]</f>
        <v>#N/A</v>
      </c>
    </row>
    <row r="2642" spans="1:22" hidden="1" x14ac:dyDescent="0.25">
      <c r="A2642" s="100">
        <v>45777</v>
      </c>
      <c r="B2642" t="str">
        <f t="shared" si="123"/>
        <v>April</v>
      </c>
      <c r="C2642" s="46" t="s">
        <v>280</v>
      </c>
      <c r="F2642" s="366" t="s">
        <v>1733</v>
      </c>
      <c r="G2642" s="46" t="s">
        <v>16</v>
      </c>
      <c r="H2642" s="46">
        <v>3</v>
      </c>
      <c r="I2642" s="51">
        <v>4103.8499999999995</v>
      </c>
      <c r="J2642" s="281">
        <f>++Tabla4[[#This Row],[Precio Bruto]]*1.16</f>
        <v>4760.4659999999994</v>
      </c>
      <c r="K2642" s="281">
        <f>+Tabla4[[#This Row],[Precio Unitario Neto]]*Tabla4[[#Headers],[20.85%]]</f>
        <v>992.55716099999984</v>
      </c>
      <c r="L2642" s="282">
        <f>++Tabla4[[#This Row],[Precio Unitario Neto]]-Tabla4[[#This Row],[20.85%]]</f>
        <v>3767.9088389999997</v>
      </c>
      <c r="M2642" s="282" t="e">
        <f>(INDEX(Tabla6[#All],MATCH(Tabla4[[#This Row],[Producto]],Tabla6[[#All],[PRODUCTO]],0),MATCH(Tabla4[[#This Row],[Mes]],Tabla6[#Headers],0)))*(1+Catalogos!$L$2)</f>
        <v>#N/A</v>
      </c>
      <c r="N2642" s="283" t="e">
        <f>+(Tabla4[[#This Row],[Precio Descontado]]-Tabla4[[#This Row],[Precio Base]])*Tabla4[[#This Row],[Cantidad]]</f>
        <v>#N/A</v>
      </c>
      <c r="O2642" s="284" t="e">
        <f>++Tabla4[[#This Row],[Utilidad Total]]/Tabla4[[#This Row],[Total]]</f>
        <v>#N/A</v>
      </c>
      <c r="P2642" s="282">
        <f>++Tabla4[[#This Row],[Precio Descontado]]*Tabla4[[#This Row],[Cantidad]]</f>
        <v>11303.726516999999</v>
      </c>
      <c r="Q2642" s="282" t="e">
        <f>(INDEX(Tabla6[#All],MATCH(Tabla4[[#This Row],[Producto]],Tabla6[[#All],[PRODUCTO]],0),MATCH(Tabla4[[#This Row],[Mes]],Tabla6[#Headers],0)))</f>
        <v>#N/A</v>
      </c>
      <c r="R2642" s="282" t="e">
        <f>++Tabla4[[#This Row],[Precio Unitario Neto]]-Tabla4[[#This Row],[20.85%]]-Tabla4[[#This Row],[Costo]]</f>
        <v>#N/A</v>
      </c>
      <c r="S2642" s="282" t="e">
        <f>++Tabla4[[#This Row],[U. Bruta Uni]]*Tabla4[[#This Row],[Cantidad]]</f>
        <v>#N/A</v>
      </c>
      <c r="T2642" s="369" t="str">
        <f>VLOOKUP(Tabla4[[#This Row],[Producto]],Tabla6[#All],14,FALSE)</f>
        <v>Termico Solar</v>
      </c>
      <c r="U2642" s="284" t="e">
        <f>(IF(Tabla4[[#This Row],[Familia]]="termico solar",Tabla4[[#This Row],[Utilidad Total]]*6%,Tabla4[[#This Row],[Utilidad Total]]*11.5%))/Tabla4[[#This Row],[Total]]</f>
        <v>#N/A</v>
      </c>
      <c r="V2642" s="282" t="e">
        <f>+Tabla4[[#This Row],[Comisión Calculada]]*Tabla4[[#This Row],[Total]]</f>
        <v>#N/A</v>
      </c>
    </row>
    <row r="2643" spans="1:22" hidden="1" x14ac:dyDescent="0.25">
      <c r="A2643" s="100">
        <v>45777</v>
      </c>
      <c r="B2643" t="str">
        <f t="shared" si="123"/>
        <v>April</v>
      </c>
      <c r="C2643" s="46" t="s">
        <v>280</v>
      </c>
      <c r="F2643" s="366" t="s">
        <v>1734</v>
      </c>
      <c r="G2643" s="46" t="s">
        <v>566</v>
      </c>
      <c r="H2643" s="46">
        <v>1</v>
      </c>
      <c r="I2643" s="51">
        <v>2109.4499999999998</v>
      </c>
      <c r="J2643" s="281">
        <f>++Tabla4[[#This Row],[Precio Bruto]]*1.16</f>
        <v>2446.9619999999995</v>
      </c>
      <c r="K2643" s="281">
        <f>+Tabla4[[#This Row],[Precio Unitario Neto]]*Tabla4[[#Headers],[20.85%]]</f>
        <v>510.19157699999988</v>
      </c>
      <c r="L2643" s="282">
        <f>++Tabla4[[#This Row],[Precio Unitario Neto]]-Tabla4[[#This Row],[20.85%]]</f>
        <v>1936.7704229999997</v>
      </c>
      <c r="M2643" s="282" t="e">
        <f>(INDEX(Tabla6[#All],MATCH(Tabla4[[#This Row],[Producto]],Tabla6[[#All],[PRODUCTO]],0),MATCH(Tabla4[[#This Row],[Mes]],Tabla6[#Headers],0)))*(1+Catalogos!$L$2)</f>
        <v>#N/A</v>
      </c>
      <c r="N2643" s="283" t="e">
        <f>+(Tabla4[[#This Row],[Precio Descontado]]-Tabla4[[#This Row],[Precio Base]])*Tabla4[[#This Row],[Cantidad]]</f>
        <v>#N/A</v>
      </c>
      <c r="O2643" s="284" t="e">
        <f>++Tabla4[[#This Row],[Utilidad Total]]/Tabla4[[#This Row],[Total]]</f>
        <v>#N/A</v>
      </c>
      <c r="P2643" s="282">
        <f>++Tabla4[[#This Row],[Precio Descontado]]*Tabla4[[#This Row],[Cantidad]]</f>
        <v>1936.7704229999997</v>
      </c>
      <c r="Q2643" s="282" t="e">
        <f>(INDEX(Tabla6[#All],MATCH(Tabla4[[#This Row],[Producto]],Tabla6[[#All],[PRODUCTO]],0),MATCH(Tabla4[[#This Row],[Mes]],Tabla6[#Headers],0)))</f>
        <v>#N/A</v>
      </c>
      <c r="R2643" s="282" t="e">
        <f>++Tabla4[[#This Row],[Precio Unitario Neto]]-Tabla4[[#This Row],[20.85%]]-Tabla4[[#This Row],[Costo]]</f>
        <v>#N/A</v>
      </c>
      <c r="S2643" s="282" t="e">
        <f>++Tabla4[[#This Row],[U. Bruta Uni]]*Tabla4[[#This Row],[Cantidad]]</f>
        <v>#N/A</v>
      </c>
      <c r="T2643" s="369" t="str">
        <f>VLOOKUP(Tabla4[[#This Row],[Producto]],Tabla6[#All],14,FALSE)</f>
        <v>Termico Solar</v>
      </c>
      <c r="U2643" s="284" t="e">
        <f>(IF(Tabla4[[#This Row],[Familia]]="termico solar",Tabla4[[#This Row],[Utilidad Total]]*6%,Tabla4[[#This Row],[Utilidad Total]]*11.5%))/Tabla4[[#This Row],[Total]]</f>
        <v>#N/A</v>
      </c>
      <c r="V2643" s="282" t="e">
        <f>+Tabla4[[#This Row],[Comisión Calculada]]*Tabla4[[#This Row],[Total]]</f>
        <v>#N/A</v>
      </c>
    </row>
    <row r="2644" spans="1:22" hidden="1" x14ac:dyDescent="0.25">
      <c r="A2644" s="100">
        <v>45777</v>
      </c>
      <c r="B2644" t="str">
        <f t="shared" si="123"/>
        <v>April</v>
      </c>
      <c r="C2644" s="46" t="s">
        <v>280</v>
      </c>
      <c r="F2644" s="366" t="s">
        <v>1734</v>
      </c>
      <c r="G2644" s="46" t="s">
        <v>16</v>
      </c>
      <c r="H2644" s="46">
        <v>1</v>
      </c>
      <c r="I2644" s="51">
        <v>4103.8500000000004</v>
      </c>
      <c r="J2644" s="281">
        <f>++Tabla4[[#This Row],[Precio Bruto]]*1.16</f>
        <v>4760.4660000000003</v>
      </c>
      <c r="K2644" s="281">
        <f>+Tabla4[[#This Row],[Precio Unitario Neto]]*Tabla4[[#Headers],[20.85%]]</f>
        <v>992.55716100000006</v>
      </c>
      <c r="L2644" s="282">
        <f>++Tabla4[[#This Row],[Precio Unitario Neto]]-Tabla4[[#This Row],[20.85%]]</f>
        <v>3767.9088390000002</v>
      </c>
      <c r="M2644" s="282" t="e">
        <f>(INDEX(Tabla6[#All],MATCH(Tabla4[[#This Row],[Producto]],Tabla6[[#All],[PRODUCTO]],0),MATCH(Tabla4[[#This Row],[Mes]],Tabla6[#Headers],0)))*(1+Catalogos!$L$2)</f>
        <v>#N/A</v>
      </c>
      <c r="N2644" s="283" t="e">
        <f>+(Tabla4[[#This Row],[Precio Descontado]]-Tabla4[[#This Row],[Precio Base]])*Tabla4[[#This Row],[Cantidad]]</f>
        <v>#N/A</v>
      </c>
      <c r="O2644" s="284" t="e">
        <f>++Tabla4[[#This Row],[Utilidad Total]]/Tabla4[[#This Row],[Total]]</f>
        <v>#N/A</v>
      </c>
      <c r="P2644" s="282">
        <f>++Tabla4[[#This Row],[Precio Descontado]]*Tabla4[[#This Row],[Cantidad]]</f>
        <v>3767.9088390000002</v>
      </c>
      <c r="Q2644" s="282" t="e">
        <f>(INDEX(Tabla6[#All],MATCH(Tabla4[[#This Row],[Producto]],Tabla6[[#All],[PRODUCTO]],0),MATCH(Tabla4[[#This Row],[Mes]],Tabla6[#Headers],0)))</f>
        <v>#N/A</v>
      </c>
      <c r="R2644" s="282" t="e">
        <f>++Tabla4[[#This Row],[Precio Unitario Neto]]-Tabla4[[#This Row],[20.85%]]-Tabla4[[#This Row],[Costo]]</f>
        <v>#N/A</v>
      </c>
      <c r="S2644" s="282" t="e">
        <f>++Tabla4[[#This Row],[U. Bruta Uni]]*Tabla4[[#This Row],[Cantidad]]</f>
        <v>#N/A</v>
      </c>
      <c r="T2644" s="369" t="str">
        <f>VLOOKUP(Tabla4[[#This Row],[Producto]],Tabla6[#All],14,FALSE)</f>
        <v>Termico Solar</v>
      </c>
      <c r="U2644" s="284" t="e">
        <f>(IF(Tabla4[[#This Row],[Familia]]="termico solar",Tabla4[[#This Row],[Utilidad Total]]*6%,Tabla4[[#This Row],[Utilidad Total]]*11.5%))/Tabla4[[#This Row],[Total]]</f>
        <v>#N/A</v>
      </c>
      <c r="V2644" s="282" t="e">
        <f>+Tabla4[[#This Row],[Comisión Calculada]]*Tabla4[[#This Row],[Total]]</f>
        <v>#N/A</v>
      </c>
    </row>
    <row r="2645" spans="1:22" hidden="1" x14ac:dyDescent="0.25">
      <c r="A2645" s="100">
        <v>45777</v>
      </c>
      <c r="B2645" t="str">
        <f t="shared" si="123"/>
        <v>April</v>
      </c>
      <c r="C2645" s="46" t="s">
        <v>280</v>
      </c>
      <c r="F2645" s="366" t="s">
        <v>1735</v>
      </c>
      <c r="G2645" s="46" t="s">
        <v>18</v>
      </c>
      <c r="H2645" s="46">
        <v>2</v>
      </c>
      <c r="I2645" s="51">
        <v>5367.65</v>
      </c>
      <c r="J2645" s="281">
        <f>++Tabla4[[#This Row],[Precio Bruto]]*1.16</f>
        <v>6226.4739999999993</v>
      </c>
      <c r="K2645" s="281">
        <f>+Tabla4[[#This Row],[Precio Unitario Neto]]*Tabla4[[#Headers],[20.85%]]</f>
        <v>1298.2198289999999</v>
      </c>
      <c r="L2645" s="282">
        <f>++Tabla4[[#This Row],[Precio Unitario Neto]]-Tabla4[[#This Row],[20.85%]]</f>
        <v>4928.2541709999996</v>
      </c>
      <c r="M2645" s="282" t="e">
        <f>(INDEX(Tabla6[#All],MATCH(Tabla4[[#This Row],[Producto]],Tabla6[[#All],[PRODUCTO]],0),MATCH(Tabla4[[#This Row],[Mes]],Tabla6[#Headers],0)))*(1+Catalogos!$L$2)</f>
        <v>#N/A</v>
      </c>
      <c r="N2645" s="283" t="e">
        <f>+(Tabla4[[#This Row],[Precio Descontado]]-Tabla4[[#This Row],[Precio Base]])*Tabla4[[#This Row],[Cantidad]]</f>
        <v>#N/A</v>
      </c>
      <c r="O2645" s="284" t="e">
        <f>++Tabla4[[#This Row],[Utilidad Total]]/Tabla4[[#This Row],[Total]]</f>
        <v>#N/A</v>
      </c>
      <c r="P2645" s="282">
        <f>++Tabla4[[#This Row],[Precio Descontado]]*Tabla4[[#This Row],[Cantidad]]</f>
        <v>9856.5083419999992</v>
      </c>
      <c r="Q2645" s="282" t="e">
        <f>(INDEX(Tabla6[#All],MATCH(Tabla4[[#This Row],[Producto]],Tabla6[[#All],[PRODUCTO]],0),MATCH(Tabla4[[#This Row],[Mes]],Tabla6[#Headers],0)))</f>
        <v>#N/A</v>
      </c>
      <c r="R2645" s="282" t="e">
        <f>++Tabla4[[#This Row],[Precio Unitario Neto]]-Tabla4[[#This Row],[20.85%]]-Tabla4[[#This Row],[Costo]]</f>
        <v>#N/A</v>
      </c>
      <c r="S2645" s="282" t="e">
        <f>++Tabla4[[#This Row],[U. Bruta Uni]]*Tabla4[[#This Row],[Cantidad]]</f>
        <v>#N/A</v>
      </c>
      <c r="T2645" s="369" t="str">
        <f>VLOOKUP(Tabla4[[#This Row],[Producto]],Tabla6[#All],14,FALSE)</f>
        <v>Termico Solar</v>
      </c>
      <c r="U2645" s="284" t="e">
        <f>(IF(Tabla4[[#This Row],[Familia]]="termico solar",Tabla4[[#This Row],[Utilidad Total]]*6%,Tabla4[[#This Row],[Utilidad Total]]*11.5%))/Tabla4[[#This Row],[Total]]</f>
        <v>#N/A</v>
      </c>
      <c r="V2645" s="282" t="e">
        <f>+Tabla4[[#This Row],[Comisión Calculada]]*Tabla4[[#This Row],[Total]]</f>
        <v>#N/A</v>
      </c>
    </row>
    <row r="2646" spans="1:22" hidden="1" x14ac:dyDescent="0.25">
      <c r="A2646" s="100">
        <v>45777</v>
      </c>
      <c r="B2646" t="str">
        <f t="shared" si="123"/>
        <v>April</v>
      </c>
      <c r="C2646" s="46" t="s">
        <v>280</v>
      </c>
      <c r="F2646" s="366" t="s">
        <v>1735</v>
      </c>
      <c r="G2646" s="46" t="s">
        <v>208</v>
      </c>
      <c r="H2646" s="46">
        <v>2</v>
      </c>
      <c r="I2646" s="51">
        <v>189.75</v>
      </c>
      <c r="J2646" s="281">
        <f>++Tabla4[[#This Row],[Precio Bruto]]*1.16</f>
        <v>220.10999999999999</v>
      </c>
      <c r="K2646" s="281">
        <f>+Tabla4[[#This Row],[Precio Unitario Neto]]*Tabla4[[#Headers],[20.85%]]</f>
        <v>45.892934999999994</v>
      </c>
      <c r="L2646" s="282">
        <f>++Tabla4[[#This Row],[Precio Unitario Neto]]-Tabla4[[#This Row],[20.85%]]</f>
        <v>174.21706499999999</v>
      </c>
      <c r="M2646" s="282" t="e">
        <f>(INDEX(Tabla6[#All],MATCH(Tabla4[[#This Row],[Producto]],Tabla6[[#All],[PRODUCTO]],0),MATCH(Tabla4[[#This Row],[Mes]],Tabla6[#Headers],0)))*(1+Catalogos!$L$2)</f>
        <v>#N/A</v>
      </c>
      <c r="N2646" s="283" t="e">
        <f>+(Tabla4[[#This Row],[Precio Descontado]]-Tabla4[[#This Row],[Precio Base]])*Tabla4[[#This Row],[Cantidad]]</f>
        <v>#N/A</v>
      </c>
      <c r="O2646" s="284" t="e">
        <f>++Tabla4[[#This Row],[Utilidad Total]]/Tabla4[[#This Row],[Total]]</f>
        <v>#N/A</v>
      </c>
      <c r="P2646" s="282">
        <f>++Tabla4[[#This Row],[Precio Descontado]]*Tabla4[[#This Row],[Cantidad]]</f>
        <v>348.43412999999998</v>
      </c>
      <c r="Q2646" s="282" t="e">
        <f>(INDEX(Tabla6[#All],MATCH(Tabla4[[#This Row],[Producto]],Tabla6[[#All],[PRODUCTO]],0),MATCH(Tabla4[[#This Row],[Mes]],Tabla6[#Headers],0)))</f>
        <v>#N/A</v>
      </c>
      <c r="R2646" s="282" t="e">
        <f>++Tabla4[[#This Row],[Precio Unitario Neto]]-Tabla4[[#This Row],[20.85%]]-Tabla4[[#This Row],[Costo]]</f>
        <v>#N/A</v>
      </c>
      <c r="S2646" s="282" t="e">
        <f>++Tabla4[[#This Row],[U. Bruta Uni]]*Tabla4[[#This Row],[Cantidad]]</f>
        <v>#N/A</v>
      </c>
      <c r="T2646" s="369" t="str">
        <f>VLOOKUP(Tabla4[[#This Row],[Producto]],Tabla6[#All],14,FALSE)</f>
        <v>Termico Solar</v>
      </c>
      <c r="U2646" s="284" t="e">
        <f>(IF(Tabla4[[#This Row],[Familia]]="termico solar",Tabla4[[#This Row],[Utilidad Total]]*6%,Tabla4[[#This Row],[Utilidad Total]]*11.5%))/Tabla4[[#This Row],[Total]]</f>
        <v>#N/A</v>
      </c>
      <c r="V2646" s="282" t="e">
        <f>+Tabla4[[#This Row],[Comisión Calculada]]*Tabla4[[#This Row],[Total]]</f>
        <v>#N/A</v>
      </c>
    </row>
    <row r="2647" spans="1:22" hidden="1" x14ac:dyDescent="0.25">
      <c r="A2647" s="100">
        <v>45777</v>
      </c>
      <c r="B2647" t="str">
        <f t="shared" si="123"/>
        <v>April</v>
      </c>
      <c r="C2647" s="46" t="s">
        <v>280</v>
      </c>
      <c r="F2647" s="366" t="s">
        <v>1736</v>
      </c>
      <c r="G2647" s="46" t="s">
        <v>18</v>
      </c>
      <c r="H2647" s="46">
        <v>1</v>
      </c>
      <c r="I2647" s="51">
        <v>5367.65</v>
      </c>
      <c r="J2647" s="281">
        <f>++Tabla4[[#This Row],[Precio Bruto]]*1.16</f>
        <v>6226.4739999999993</v>
      </c>
      <c r="K2647" s="281">
        <f>+Tabla4[[#This Row],[Precio Unitario Neto]]*Tabla4[[#Headers],[20.85%]]</f>
        <v>1298.2198289999999</v>
      </c>
      <c r="L2647" s="282">
        <f>++Tabla4[[#This Row],[Precio Unitario Neto]]-Tabla4[[#This Row],[20.85%]]</f>
        <v>4928.2541709999996</v>
      </c>
      <c r="M2647" s="282" t="e">
        <f>(INDEX(Tabla6[#All],MATCH(Tabla4[[#This Row],[Producto]],Tabla6[[#All],[PRODUCTO]],0),MATCH(Tabla4[[#This Row],[Mes]],Tabla6[#Headers],0)))*(1+Catalogos!$L$2)</f>
        <v>#N/A</v>
      </c>
      <c r="N2647" s="283" t="e">
        <f>+(Tabla4[[#This Row],[Precio Descontado]]-Tabla4[[#This Row],[Precio Base]])*Tabla4[[#This Row],[Cantidad]]</f>
        <v>#N/A</v>
      </c>
      <c r="O2647" s="284" t="e">
        <f>++Tabla4[[#This Row],[Utilidad Total]]/Tabla4[[#This Row],[Total]]</f>
        <v>#N/A</v>
      </c>
      <c r="P2647" s="282">
        <f>++Tabla4[[#This Row],[Precio Descontado]]*Tabla4[[#This Row],[Cantidad]]</f>
        <v>4928.2541709999996</v>
      </c>
      <c r="Q2647" s="282" t="e">
        <f>(INDEX(Tabla6[#All],MATCH(Tabla4[[#This Row],[Producto]],Tabla6[[#All],[PRODUCTO]],0),MATCH(Tabla4[[#This Row],[Mes]],Tabla6[#Headers],0)))</f>
        <v>#N/A</v>
      </c>
      <c r="R2647" s="282" t="e">
        <f>++Tabla4[[#This Row],[Precio Unitario Neto]]-Tabla4[[#This Row],[20.85%]]-Tabla4[[#This Row],[Costo]]</f>
        <v>#N/A</v>
      </c>
      <c r="S2647" s="282" t="e">
        <f>++Tabla4[[#This Row],[U. Bruta Uni]]*Tabla4[[#This Row],[Cantidad]]</f>
        <v>#N/A</v>
      </c>
      <c r="T2647" s="369" t="str">
        <f>VLOOKUP(Tabla4[[#This Row],[Producto]],Tabla6[#All],14,FALSE)</f>
        <v>Termico Solar</v>
      </c>
      <c r="U2647" s="284" t="e">
        <f>(IF(Tabla4[[#This Row],[Familia]]="termico solar",Tabla4[[#This Row],[Utilidad Total]]*6%,Tabla4[[#This Row],[Utilidad Total]]*11.5%))/Tabla4[[#This Row],[Total]]</f>
        <v>#N/A</v>
      </c>
      <c r="V2647" s="282" t="e">
        <f>+Tabla4[[#This Row],[Comisión Calculada]]*Tabla4[[#This Row],[Total]]</f>
        <v>#N/A</v>
      </c>
    </row>
    <row r="2648" spans="1:22" hidden="1" x14ac:dyDescent="0.25">
      <c r="A2648" s="100">
        <v>45777</v>
      </c>
      <c r="B2648" t="str">
        <f t="shared" si="123"/>
        <v>April</v>
      </c>
      <c r="C2648" s="46" t="s">
        <v>280</v>
      </c>
      <c r="F2648" s="366" t="s">
        <v>1736</v>
      </c>
      <c r="G2648" s="46" t="s">
        <v>17</v>
      </c>
      <c r="H2648" s="46">
        <v>2</v>
      </c>
      <c r="I2648" s="51">
        <v>4622.28</v>
      </c>
      <c r="J2648" s="281">
        <f>++Tabla4[[#This Row],[Precio Bruto]]*1.16</f>
        <v>5361.8447999999989</v>
      </c>
      <c r="K2648" s="281">
        <f>+Tabla4[[#This Row],[Precio Unitario Neto]]*Tabla4[[#Headers],[20.85%]]</f>
        <v>1117.9446407999997</v>
      </c>
      <c r="L2648" s="282">
        <f>++Tabla4[[#This Row],[Precio Unitario Neto]]-Tabla4[[#This Row],[20.85%]]</f>
        <v>4243.9001591999995</v>
      </c>
      <c r="M2648" s="282" t="e">
        <f>(INDEX(Tabla6[#All],MATCH(Tabla4[[#This Row],[Producto]],Tabla6[[#All],[PRODUCTO]],0),MATCH(Tabla4[[#This Row],[Mes]],Tabla6[#Headers],0)))*(1+Catalogos!$L$2)</f>
        <v>#N/A</v>
      </c>
      <c r="N2648" s="283" t="e">
        <f>+(Tabla4[[#This Row],[Precio Descontado]]-Tabla4[[#This Row],[Precio Base]])*Tabla4[[#This Row],[Cantidad]]</f>
        <v>#N/A</v>
      </c>
      <c r="O2648" s="284" t="e">
        <f>++Tabla4[[#This Row],[Utilidad Total]]/Tabla4[[#This Row],[Total]]</f>
        <v>#N/A</v>
      </c>
      <c r="P2648" s="282">
        <f>++Tabla4[[#This Row],[Precio Descontado]]*Tabla4[[#This Row],[Cantidad]]</f>
        <v>8487.800318399999</v>
      </c>
      <c r="Q2648" s="282" t="e">
        <f>(INDEX(Tabla6[#All],MATCH(Tabla4[[#This Row],[Producto]],Tabla6[[#All],[PRODUCTO]],0),MATCH(Tabla4[[#This Row],[Mes]],Tabla6[#Headers],0)))</f>
        <v>#N/A</v>
      </c>
      <c r="R2648" s="282" t="e">
        <f>++Tabla4[[#This Row],[Precio Unitario Neto]]-Tabla4[[#This Row],[20.85%]]-Tabla4[[#This Row],[Costo]]</f>
        <v>#N/A</v>
      </c>
      <c r="S2648" s="282" t="e">
        <f>++Tabla4[[#This Row],[U. Bruta Uni]]*Tabla4[[#This Row],[Cantidad]]</f>
        <v>#N/A</v>
      </c>
      <c r="T2648" s="369" t="str">
        <f>VLOOKUP(Tabla4[[#This Row],[Producto]],Tabla6[#All],14,FALSE)</f>
        <v>Termico Solar</v>
      </c>
      <c r="U2648" s="284" t="e">
        <f>(IF(Tabla4[[#This Row],[Familia]]="termico solar",Tabla4[[#This Row],[Utilidad Total]]*6%,Tabla4[[#This Row],[Utilidad Total]]*11.5%))/Tabla4[[#This Row],[Total]]</f>
        <v>#N/A</v>
      </c>
      <c r="V2648" s="282" t="e">
        <f>+Tabla4[[#This Row],[Comisión Calculada]]*Tabla4[[#This Row],[Total]]</f>
        <v>#N/A</v>
      </c>
    </row>
    <row r="2649" spans="1:22" hidden="1" x14ac:dyDescent="0.25">
      <c r="A2649" s="100">
        <v>45792</v>
      </c>
      <c r="B2649" t="str">
        <f t="shared" si="123"/>
        <v>May</v>
      </c>
      <c r="C2649" s="46" t="s">
        <v>280</v>
      </c>
      <c r="F2649" s="366" t="s">
        <v>1737</v>
      </c>
      <c r="G2649" s="46" t="s">
        <v>83</v>
      </c>
      <c r="H2649" s="46">
        <v>1</v>
      </c>
      <c r="I2649" s="51">
        <v>8858.76</v>
      </c>
      <c r="J2649" s="281">
        <f>++Tabla4[[#This Row],[Precio Bruto]]*1.16</f>
        <v>10276.161599999999</v>
      </c>
      <c r="K2649" s="281">
        <f>+Tabla4[[#This Row],[Precio Unitario Neto]]*Tabla4[[#Headers],[20.85%]]</f>
        <v>2142.5796935999997</v>
      </c>
      <c r="L2649" s="282">
        <f>++Tabla4[[#This Row],[Precio Unitario Neto]]-Tabla4[[#This Row],[20.85%]]</f>
        <v>8133.5819063999998</v>
      </c>
      <c r="M2649" s="282" t="e">
        <f>(INDEX(Tabla6[#All],MATCH(Tabla4[[#This Row],[Producto]],Tabla6[[#All],[PRODUCTO]],0),MATCH(Tabla4[[#This Row],[Mes]],Tabla6[#Headers],0)))*(1+Catalogos!$L$2)</f>
        <v>#N/A</v>
      </c>
      <c r="N2649" s="283" t="e">
        <f>+(Tabla4[[#This Row],[Precio Descontado]]-Tabla4[[#This Row],[Precio Base]])*Tabla4[[#This Row],[Cantidad]]</f>
        <v>#N/A</v>
      </c>
      <c r="O2649" s="284" t="e">
        <f>++Tabla4[[#This Row],[Utilidad Total]]/Tabla4[[#This Row],[Total]]</f>
        <v>#N/A</v>
      </c>
      <c r="P2649" s="282">
        <f>++Tabla4[[#This Row],[Precio Descontado]]*Tabla4[[#This Row],[Cantidad]]</f>
        <v>8133.5819063999998</v>
      </c>
      <c r="Q2649" s="282" t="e">
        <f>(INDEX(Tabla6[#All],MATCH(Tabla4[[#This Row],[Producto]],Tabla6[[#All],[PRODUCTO]],0),MATCH(Tabla4[[#This Row],[Mes]],Tabla6[#Headers],0)))</f>
        <v>#N/A</v>
      </c>
      <c r="R2649" s="282" t="e">
        <f>++Tabla4[[#This Row],[Precio Unitario Neto]]-Tabla4[[#This Row],[20.85%]]-Tabla4[[#This Row],[Costo]]</f>
        <v>#N/A</v>
      </c>
      <c r="S2649" s="282" t="e">
        <f>++Tabla4[[#This Row],[U. Bruta Uni]]*Tabla4[[#This Row],[Cantidad]]</f>
        <v>#N/A</v>
      </c>
      <c r="T2649" s="369" t="str">
        <f>VLOOKUP(Tabla4[[#This Row],[Producto]],Tabla6[#All],14,FALSE)</f>
        <v>Termico Solar</v>
      </c>
      <c r="U2649" s="284" t="e">
        <f>(IF(Tabla4[[#This Row],[Familia]]="termico solar",Tabla4[[#This Row],[Utilidad Total]]*6%,Tabla4[[#This Row],[Utilidad Total]]*11.5%))/Tabla4[[#This Row],[Total]]</f>
        <v>#N/A</v>
      </c>
      <c r="V2649" s="282" t="e">
        <f>+Tabla4[[#This Row],[Comisión Calculada]]*Tabla4[[#This Row],[Total]]</f>
        <v>#N/A</v>
      </c>
    </row>
    <row r="2650" spans="1:22" hidden="1" x14ac:dyDescent="0.25">
      <c r="A2650" s="100">
        <v>45792</v>
      </c>
      <c r="B2650" t="str">
        <f t="shared" ref="B2650:B2656" si="124">TEXT(A2650, "mmmm")</f>
        <v>May</v>
      </c>
      <c r="C2650" s="46" t="s">
        <v>280</v>
      </c>
      <c r="F2650" s="366" t="s">
        <v>1738</v>
      </c>
      <c r="G2650" s="46" t="s">
        <v>83</v>
      </c>
      <c r="H2650" s="46">
        <v>5</v>
      </c>
      <c r="I2650" s="51">
        <v>8858.76</v>
      </c>
      <c r="J2650" s="281">
        <f>++Tabla4[[#This Row],[Precio Bruto]]*1.16</f>
        <v>10276.161599999999</v>
      </c>
      <c r="K2650" s="281">
        <f>+Tabla4[[#This Row],[Precio Unitario Neto]]*Tabla4[[#Headers],[20.85%]]</f>
        <v>2142.5796935999997</v>
      </c>
      <c r="L2650" s="282">
        <f>++Tabla4[[#This Row],[Precio Unitario Neto]]-Tabla4[[#This Row],[20.85%]]</f>
        <v>8133.5819063999998</v>
      </c>
      <c r="M2650" s="282" t="e">
        <f>(INDEX(Tabla6[#All],MATCH(Tabla4[[#This Row],[Producto]],Tabla6[[#All],[PRODUCTO]],0),MATCH(Tabla4[[#This Row],[Mes]],Tabla6[#Headers],0)))*(1+Catalogos!$L$2)</f>
        <v>#N/A</v>
      </c>
      <c r="N2650" s="283" t="e">
        <f>+(Tabla4[[#This Row],[Precio Descontado]]-Tabla4[[#This Row],[Precio Base]])*Tabla4[[#This Row],[Cantidad]]</f>
        <v>#N/A</v>
      </c>
      <c r="O2650" s="284" t="e">
        <f>++Tabla4[[#This Row],[Utilidad Total]]/Tabla4[[#This Row],[Total]]</f>
        <v>#N/A</v>
      </c>
      <c r="P2650" s="282">
        <f>++Tabla4[[#This Row],[Precio Descontado]]*Tabla4[[#This Row],[Cantidad]]</f>
        <v>40667.909531999998</v>
      </c>
      <c r="Q2650" s="282" t="e">
        <f>(INDEX(Tabla6[#All],MATCH(Tabla4[[#This Row],[Producto]],Tabla6[[#All],[PRODUCTO]],0),MATCH(Tabla4[[#This Row],[Mes]],Tabla6[#Headers],0)))</f>
        <v>#N/A</v>
      </c>
      <c r="R2650" s="282" t="e">
        <f>++Tabla4[[#This Row],[Precio Unitario Neto]]-Tabla4[[#This Row],[20.85%]]-Tabla4[[#This Row],[Costo]]</f>
        <v>#N/A</v>
      </c>
      <c r="S2650" s="282" t="e">
        <f>++Tabla4[[#This Row],[U. Bruta Uni]]*Tabla4[[#This Row],[Cantidad]]</f>
        <v>#N/A</v>
      </c>
      <c r="T2650" s="369" t="str">
        <f>VLOOKUP(Tabla4[[#This Row],[Producto]],Tabla6[#All],14,FALSE)</f>
        <v>Termico Solar</v>
      </c>
      <c r="U2650" s="284" t="e">
        <f>(IF(Tabla4[[#This Row],[Familia]]="termico solar",Tabla4[[#This Row],[Utilidad Total]]*6%,Tabla4[[#This Row],[Utilidad Total]]*11.5%))/Tabla4[[#This Row],[Total]]</f>
        <v>#N/A</v>
      </c>
      <c r="V2650" s="282" t="e">
        <f>+Tabla4[[#This Row],[Comisión Calculada]]*Tabla4[[#This Row],[Total]]</f>
        <v>#N/A</v>
      </c>
    </row>
    <row r="2651" spans="1:22" hidden="1" x14ac:dyDescent="0.25">
      <c r="A2651" s="100">
        <v>45792</v>
      </c>
      <c r="B2651" t="str">
        <f t="shared" si="124"/>
        <v>May</v>
      </c>
      <c r="C2651" s="46" t="s">
        <v>280</v>
      </c>
      <c r="F2651" s="366" t="s">
        <v>1738</v>
      </c>
      <c r="G2651" s="46" t="s">
        <v>17</v>
      </c>
      <c r="H2651" s="46">
        <v>9</v>
      </c>
      <c r="I2651" s="51">
        <v>4622.28</v>
      </c>
      <c r="J2651" s="281">
        <f>++Tabla4[[#This Row],[Precio Bruto]]*1.16</f>
        <v>5361.8447999999989</v>
      </c>
      <c r="K2651" s="281">
        <f>+Tabla4[[#This Row],[Precio Unitario Neto]]*Tabla4[[#Headers],[20.85%]]</f>
        <v>1117.9446407999997</v>
      </c>
      <c r="L2651" s="282">
        <f>++Tabla4[[#This Row],[Precio Unitario Neto]]-Tabla4[[#This Row],[20.85%]]</f>
        <v>4243.9001591999995</v>
      </c>
      <c r="M2651" s="282" t="e">
        <f>(INDEX(Tabla6[#All],MATCH(Tabla4[[#This Row],[Producto]],Tabla6[[#All],[PRODUCTO]],0),MATCH(Tabla4[[#This Row],[Mes]],Tabla6[#Headers],0)))*(1+Catalogos!$L$2)</f>
        <v>#N/A</v>
      </c>
      <c r="N2651" s="283" t="e">
        <f>+(Tabla4[[#This Row],[Precio Descontado]]-Tabla4[[#This Row],[Precio Base]])*Tabla4[[#This Row],[Cantidad]]</f>
        <v>#N/A</v>
      </c>
      <c r="O2651" s="284" t="e">
        <f>++Tabla4[[#This Row],[Utilidad Total]]/Tabla4[[#This Row],[Total]]</f>
        <v>#N/A</v>
      </c>
      <c r="P2651" s="282">
        <f>++Tabla4[[#This Row],[Precio Descontado]]*Tabla4[[#This Row],[Cantidad]]</f>
        <v>38195.101432799995</v>
      </c>
      <c r="Q2651" s="282" t="e">
        <f>(INDEX(Tabla6[#All],MATCH(Tabla4[[#This Row],[Producto]],Tabla6[[#All],[PRODUCTO]],0),MATCH(Tabla4[[#This Row],[Mes]],Tabla6[#Headers],0)))</f>
        <v>#N/A</v>
      </c>
      <c r="R2651" s="282" t="e">
        <f>++Tabla4[[#This Row],[Precio Unitario Neto]]-Tabla4[[#This Row],[20.85%]]-Tabla4[[#This Row],[Costo]]</f>
        <v>#N/A</v>
      </c>
      <c r="S2651" s="282" t="e">
        <f>++Tabla4[[#This Row],[U. Bruta Uni]]*Tabla4[[#This Row],[Cantidad]]</f>
        <v>#N/A</v>
      </c>
      <c r="T2651" s="369" t="str">
        <f>VLOOKUP(Tabla4[[#This Row],[Producto]],Tabla6[#All],14,FALSE)</f>
        <v>Termico Solar</v>
      </c>
      <c r="U2651" s="284" t="e">
        <f>(IF(Tabla4[[#This Row],[Familia]]="termico solar",Tabla4[[#This Row],[Utilidad Total]]*6%,Tabla4[[#This Row],[Utilidad Total]]*11.5%))/Tabla4[[#This Row],[Total]]</f>
        <v>#N/A</v>
      </c>
      <c r="V2651" s="282" t="e">
        <f>+Tabla4[[#This Row],[Comisión Calculada]]*Tabla4[[#This Row],[Total]]</f>
        <v>#N/A</v>
      </c>
    </row>
    <row r="2652" spans="1:22" hidden="1" x14ac:dyDescent="0.25">
      <c r="A2652" s="100">
        <v>45792</v>
      </c>
      <c r="B2652" t="str">
        <f t="shared" si="124"/>
        <v>May</v>
      </c>
      <c r="C2652" s="46" t="s">
        <v>280</v>
      </c>
      <c r="F2652" s="366" t="s">
        <v>1738</v>
      </c>
      <c r="G2652" s="46" t="s">
        <v>18</v>
      </c>
      <c r="H2652" s="46">
        <v>3</v>
      </c>
      <c r="I2652" s="51">
        <v>5367.6500000000005</v>
      </c>
      <c r="J2652" s="281">
        <f>++Tabla4[[#This Row],[Precio Bruto]]*1.16</f>
        <v>6226.4740000000002</v>
      </c>
      <c r="K2652" s="281">
        <f>+Tabla4[[#This Row],[Precio Unitario Neto]]*Tabla4[[#Headers],[20.85%]]</f>
        <v>1298.2198289999999</v>
      </c>
      <c r="L2652" s="282">
        <f>++Tabla4[[#This Row],[Precio Unitario Neto]]-Tabla4[[#This Row],[20.85%]]</f>
        <v>4928.2541710000005</v>
      </c>
      <c r="M2652" s="282" t="e">
        <f>(INDEX(Tabla6[#All],MATCH(Tabla4[[#This Row],[Producto]],Tabla6[[#All],[PRODUCTO]],0),MATCH(Tabla4[[#This Row],[Mes]],Tabla6[#Headers],0)))*(1+Catalogos!$L$2)</f>
        <v>#N/A</v>
      </c>
      <c r="N2652" s="283" t="e">
        <f>+(Tabla4[[#This Row],[Precio Descontado]]-Tabla4[[#This Row],[Precio Base]])*Tabla4[[#This Row],[Cantidad]]</f>
        <v>#N/A</v>
      </c>
      <c r="O2652" s="284" t="e">
        <f>++Tabla4[[#This Row],[Utilidad Total]]/Tabla4[[#This Row],[Total]]</f>
        <v>#N/A</v>
      </c>
      <c r="P2652" s="282">
        <f>++Tabla4[[#This Row],[Precio Descontado]]*Tabla4[[#This Row],[Cantidad]]</f>
        <v>14784.762513000001</v>
      </c>
      <c r="Q2652" s="282" t="e">
        <f>(INDEX(Tabla6[#All],MATCH(Tabla4[[#This Row],[Producto]],Tabla6[[#All],[PRODUCTO]],0),MATCH(Tabla4[[#This Row],[Mes]],Tabla6[#Headers],0)))</f>
        <v>#N/A</v>
      </c>
      <c r="R2652" s="282" t="e">
        <f>++Tabla4[[#This Row],[Precio Unitario Neto]]-Tabla4[[#This Row],[20.85%]]-Tabla4[[#This Row],[Costo]]</f>
        <v>#N/A</v>
      </c>
      <c r="S2652" s="282" t="e">
        <f>++Tabla4[[#This Row],[U. Bruta Uni]]*Tabla4[[#This Row],[Cantidad]]</f>
        <v>#N/A</v>
      </c>
      <c r="T2652" s="369" t="str">
        <f>VLOOKUP(Tabla4[[#This Row],[Producto]],Tabla6[#All],14,FALSE)</f>
        <v>Termico Solar</v>
      </c>
      <c r="U2652" s="284" t="e">
        <f>(IF(Tabla4[[#This Row],[Familia]]="termico solar",Tabla4[[#This Row],[Utilidad Total]]*6%,Tabla4[[#This Row],[Utilidad Total]]*11.5%))/Tabla4[[#This Row],[Total]]</f>
        <v>#N/A</v>
      </c>
      <c r="V2652" s="282" t="e">
        <f>+Tabla4[[#This Row],[Comisión Calculada]]*Tabla4[[#This Row],[Total]]</f>
        <v>#N/A</v>
      </c>
    </row>
    <row r="2653" spans="1:22" hidden="1" x14ac:dyDescent="0.25">
      <c r="A2653" s="100">
        <v>45792</v>
      </c>
      <c r="B2653" t="str">
        <f t="shared" si="124"/>
        <v>May</v>
      </c>
      <c r="C2653" s="46" t="s">
        <v>280</v>
      </c>
      <c r="F2653" s="366" t="s">
        <v>1738</v>
      </c>
      <c r="G2653" s="46" t="s">
        <v>21</v>
      </c>
      <c r="H2653" s="46">
        <v>1</v>
      </c>
      <c r="I2653" s="51">
        <v>9282.19</v>
      </c>
      <c r="J2653" s="281">
        <f>++Tabla4[[#This Row],[Precio Bruto]]*1.16</f>
        <v>10767.340399999999</v>
      </c>
      <c r="K2653" s="281">
        <f>+Tabla4[[#This Row],[Precio Unitario Neto]]*Tabla4[[#Headers],[20.85%]]</f>
        <v>2244.9904733999997</v>
      </c>
      <c r="L2653" s="282">
        <f>++Tabla4[[#This Row],[Precio Unitario Neto]]-Tabla4[[#This Row],[20.85%]]</f>
        <v>8522.3499265999999</v>
      </c>
      <c r="M2653" s="282" t="e">
        <f>(INDEX(Tabla6[#All],MATCH(Tabla4[[#This Row],[Producto]],Tabla6[[#All],[PRODUCTO]],0),MATCH(Tabla4[[#This Row],[Mes]],Tabla6[#Headers],0)))*(1+Catalogos!$L$2)</f>
        <v>#N/A</v>
      </c>
      <c r="N2653" s="283" t="e">
        <f>+(Tabla4[[#This Row],[Precio Descontado]]-Tabla4[[#This Row],[Precio Base]])*Tabla4[[#This Row],[Cantidad]]</f>
        <v>#N/A</v>
      </c>
      <c r="O2653" s="284" t="e">
        <f>++Tabla4[[#This Row],[Utilidad Total]]/Tabla4[[#This Row],[Total]]</f>
        <v>#N/A</v>
      </c>
      <c r="P2653" s="282">
        <f>++Tabla4[[#This Row],[Precio Descontado]]*Tabla4[[#This Row],[Cantidad]]</f>
        <v>8522.3499265999999</v>
      </c>
      <c r="Q2653" s="282" t="e">
        <f>(INDEX(Tabla6[#All],MATCH(Tabla4[[#This Row],[Producto]],Tabla6[[#All],[PRODUCTO]],0),MATCH(Tabla4[[#This Row],[Mes]],Tabla6[#Headers],0)))</f>
        <v>#N/A</v>
      </c>
      <c r="R2653" s="282" t="e">
        <f>++Tabla4[[#This Row],[Precio Unitario Neto]]-Tabla4[[#This Row],[20.85%]]-Tabla4[[#This Row],[Costo]]</f>
        <v>#N/A</v>
      </c>
      <c r="S2653" s="282" t="e">
        <f>++Tabla4[[#This Row],[U. Bruta Uni]]*Tabla4[[#This Row],[Cantidad]]</f>
        <v>#N/A</v>
      </c>
      <c r="T2653" s="369" t="str">
        <f>VLOOKUP(Tabla4[[#This Row],[Producto]],Tabla6[#All],14,FALSE)</f>
        <v>Termico Solar</v>
      </c>
      <c r="U2653" s="284" t="e">
        <f>(IF(Tabla4[[#This Row],[Familia]]="termico solar",Tabla4[[#This Row],[Utilidad Total]]*6%,Tabla4[[#This Row],[Utilidad Total]]*11.5%))/Tabla4[[#This Row],[Total]]</f>
        <v>#N/A</v>
      </c>
      <c r="V2653" s="282" t="e">
        <f>+Tabla4[[#This Row],[Comisión Calculada]]*Tabla4[[#This Row],[Total]]</f>
        <v>#N/A</v>
      </c>
    </row>
    <row r="2654" spans="1:22" hidden="1" x14ac:dyDescent="0.25">
      <c r="A2654" s="100">
        <v>45792</v>
      </c>
      <c r="B2654" t="str">
        <f t="shared" si="124"/>
        <v>May</v>
      </c>
      <c r="C2654" s="46" t="s">
        <v>280</v>
      </c>
      <c r="F2654" s="366" t="s">
        <v>1738</v>
      </c>
      <c r="G2654" s="46" t="s">
        <v>412</v>
      </c>
      <c r="H2654" s="46">
        <v>1</v>
      </c>
      <c r="I2654" s="51">
        <v>3240.84</v>
      </c>
      <c r="J2654" s="281">
        <f>++Tabla4[[#This Row],[Precio Bruto]]*1.16</f>
        <v>3759.3743999999997</v>
      </c>
      <c r="K2654" s="281">
        <f>+Tabla4[[#This Row],[Precio Unitario Neto]]*Tabla4[[#Headers],[20.85%]]</f>
        <v>783.82956239999987</v>
      </c>
      <c r="L2654" s="282">
        <f>++Tabla4[[#This Row],[Precio Unitario Neto]]-Tabla4[[#This Row],[20.85%]]</f>
        <v>2975.5448375999999</v>
      </c>
      <c r="M2654" s="282" t="e">
        <f>(INDEX(Tabla6[#All],MATCH(Tabla4[[#This Row],[Producto]],Tabla6[[#All],[PRODUCTO]],0),MATCH(Tabla4[[#This Row],[Mes]],Tabla6[#Headers],0)))*(1+Catalogos!$L$2)</f>
        <v>#N/A</v>
      </c>
      <c r="N2654" s="283" t="e">
        <f>+(Tabla4[[#This Row],[Precio Descontado]]-Tabla4[[#This Row],[Precio Base]])*Tabla4[[#This Row],[Cantidad]]</f>
        <v>#N/A</v>
      </c>
      <c r="O2654" s="284" t="e">
        <f>++Tabla4[[#This Row],[Utilidad Total]]/Tabla4[[#This Row],[Total]]</f>
        <v>#N/A</v>
      </c>
      <c r="P2654" s="282">
        <f>++Tabla4[[#This Row],[Precio Descontado]]*Tabla4[[#This Row],[Cantidad]]</f>
        <v>2975.5448375999999</v>
      </c>
      <c r="Q2654" s="282" t="e">
        <f>(INDEX(Tabla6[#All],MATCH(Tabla4[[#This Row],[Producto]],Tabla6[[#All],[PRODUCTO]],0),MATCH(Tabla4[[#This Row],[Mes]],Tabla6[#Headers],0)))</f>
        <v>#N/A</v>
      </c>
      <c r="R2654" s="282" t="e">
        <f>++Tabla4[[#This Row],[Precio Unitario Neto]]-Tabla4[[#This Row],[20.85%]]-Tabla4[[#This Row],[Costo]]</f>
        <v>#N/A</v>
      </c>
      <c r="S2654" s="282" t="e">
        <f>++Tabla4[[#This Row],[U. Bruta Uni]]*Tabla4[[#This Row],[Cantidad]]</f>
        <v>#N/A</v>
      </c>
      <c r="T2654" s="369" t="str">
        <f>VLOOKUP(Tabla4[[#This Row],[Producto]],Tabla6[#All],14,FALSE)</f>
        <v>Termico Solar</v>
      </c>
      <c r="U2654" s="284" t="e">
        <f>(IF(Tabla4[[#This Row],[Familia]]="termico solar",Tabla4[[#This Row],[Utilidad Total]]*6%,Tabla4[[#This Row],[Utilidad Total]]*11.5%))/Tabla4[[#This Row],[Total]]</f>
        <v>#N/A</v>
      </c>
      <c r="V2654" s="282" t="e">
        <f>+Tabla4[[#This Row],[Comisión Calculada]]*Tabla4[[#This Row],[Total]]</f>
        <v>#N/A</v>
      </c>
    </row>
    <row r="2655" spans="1:22" hidden="1" x14ac:dyDescent="0.25">
      <c r="A2655" s="100">
        <v>45792</v>
      </c>
      <c r="B2655" t="str">
        <f t="shared" si="124"/>
        <v>May</v>
      </c>
      <c r="C2655" s="46" t="s">
        <v>280</v>
      </c>
      <c r="F2655" s="366" t="s">
        <v>1738</v>
      </c>
      <c r="G2655" s="46" t="s">
        <v>16</v>
      </c>
      <c r="H2655" s="46">
        <v>1</v>
      </c>
      <c r="I2655" s="51">
        <v>4103.8500000000004</v>
      </c>
      <c r="J2655" s="281">
        <f>++Tabla4[[#This Row],[Precio Bruto]]*1.16</f>
        <v>4760.4660000000003</v>
      </c>
      <c r="K2655" s="281">
        <f>+Tabla4[[#This Row],[Precio Unitario Neto]]*Tabla4[[#Headers],[20.85%]]</f>
        <v>992.55716100000006</v>
      </c>
      <c r="L2655" s="282">
        <f>++Tabla4[[#This Row],[Precio Unitario Neto]]-Tabla4[[#This Row],[20.85%]]</f>
        <v>3767.9088390000002</v>
      </c>
      <c r="M2655" s="282" t="e">
        <f>(INDEX(Tabla6[#All],MATCH(Tabla4[[#This Row],[Producto]],Tabla6[[#All],[PRODUCTO]],0),MATCH(Tabla4[[#This Row],[Mes]],Tabla6[#Headers],0)))*(1+Catalogos!$L$2)</f>
        <v>#N/A</v>
      </c>
      <c r="N2655" s="283" t="e">
        <f>+(Tabla4[[#This Row],[Precio Descontado]]-Tabla4[[#This Row],[Precio Base]])*Tabla4[[#This Row],[Cantidad]]</f>
        <v>#N/A</v>
      </c>
      <c r="O2655" s="284" t="e">
        <f>++Tabla4[[#This Row],[Utilidad Total]]/Tabla4[[#This Row],[Total]]</f>
        <v>#N/A</v>
      </c>
      <c r="P2655" s="282">
        <f>++Tabla4[[#This Row],[Precio Descontado]]*Tabla4[[#This Row],[Cantidad]]</f>
        <v>3767.9088390000002</v>
      </c>
      <c r="Q2655" s="282" t="e">
        <f>(INDEX(Tabla6[#All],MATCH(Tabla4[[#This Row],[Producto]],Tabla6[[#All],[PRODUCTO]],0),MATCH(Tabla4[[#This Row],[Mes]],Tabla6[#Headers],0)))</f>
        <v>#N/A</v>
      </c>
      <c r="R2655" s="282" t="e">
        <f>++Tabla4[[#This Row],[Precio Unitario Neto]]-Tabla4[[#This Row],[20.85%]]-Tabla4[[#This Row],[Costo]]</f>
        <v>#N/A</v>
      </c>
      <c r="S2655" s="282" t="e">
        <f>++Tabla4[[#This Row],[U. Bruta Uni]]*Tabla4[[#This Row],[Cantidad]]</f>
        <v>#N/A</v>
      </c>
      <c r="T2655" s="369" t="str">
        <f>VLOOKUP(Tabla4[[#This Row],[Producto]],Tabla6[#All],14,FALSE)</f>
        <v>Termico Solar</v>
      </c>
      <c r="U2655" s="284" t="e">
        <f>(IF(Tabla4[[#This Row],[Familia]]="termico solar",Tabla4[[#This Row],[Utilidad Total]]*6%,Tabla4[[#This Row],[Utilidad Total]]*11.5%))/Tabla4[[#This Row],[Total]]</f>
        <v>#N/A</v>
      </c>
      <c r="V2655" s="282" t="e">
        <f>+Tabla4[[#This Row],[Comisión Calculada]]*Tabla4[[#This Row],[Total]]</f>
        <v>#N/A</v>
      </c>
    </row>
    <row r="2656" spans="1:22" hidden="1" x14ac:dyDescent="0.25">
      <c r="A2656" s="100">
        <v>45792</v>
      </c>
      <c r="B2656" t="str">
        <f t="shared" si="124"/>
        <v>May</v>
      </c>
      <c r="C2656" s="46" t="s">
        <v>280</v>
      </c>
      <c r="F2656" s="366" t="s">
        <v>1738</v>
      </c>
      <c r="G2656" s="46" t="s">
        <v>208</v>
      </c>
      <c r="H2656" s="46">
        <v>3</v>
      </c>
      <c r="I2656" s="51">
        <v>189.75</v>
      </c>
      <c r="J2656" s="281">
        <f>++Tabla4[[#This Row],[Precio Bruto]]*1.16</f>
        <v>220.10999999999999</v>
      </c>
      <c r="K2656" s="281">
        <f>+Tabla4[[#This Row],[Precio Unitario Neto]]*Tabla4[[#Headers],[20.85%]]</f>
        <v>45.892934999999994</v>
      </c>
      <c r="L2656" s="282">
        <f>++Tabla4[[#This Row],[Precio Unitario Neto]]-Tabla4[[#This Row],[20.85%]]</f>
        <v>174.21706499999999</v>
      </c>
      <c r="M2656" s="282" t="e">
        <f>(INDEX(Tabla6[#All],MATCH(Tabla4[[#This Row],[Producto]],Tabla6[[#All],[PRODUCTO]],0),MATCH(Tabla4[[#This Row],[Mes]],Tabla6[#Headers],0)))*(1+Catalogos!$L$2)</f>
        <v>#N/A</v>
      </c>
      <c r="N2656" s="283" t="e">
        <f>+(Tabla4[[#This Row],[Precio Descontado]]-Tabla4[[#This Row],[Precio Base]])*Tabla4[[#This Row],[Cantidad]]</f>
        <v>#N/A</v>
      </c>
      <c r="O2656" s="284" t="e">
        <f>++Tabla4[[#This Row],[Utilidad Total]]/Tabla4[[#This Row],[Total]]</f>
        <v>#N/A</v>
      </c>
      <c r="P2656" s="282">
        <f>++Tabla4[[#This Row],[Precio Descontado]]*Tabla4[[#This Row],[Cantidad]]</f>
        <v>522.65119499999992</v>
      </c>
      <c r="Q2656" s="282" t="e">
        <f>(INDEX(Tabla6[#All],MATCH(Tabla4[[#This Row],[Producto]],Tabla6[[#All],[PRODUCTO]],0),MATCH(Tabla4[[#This Row],[Mes]],Tabla6[#Headers],0)))</f>
        <v>#N/A</v>
      </c>
      <c r="R2656" s="282" t="e">
        <f>++Tabla4[[#This Row],[Precio Unitario Neto]]-Tabla4[[#This Row],[20.85%]]-Tabla4[[#This Row],[Costo]]</f>
        <v>#N/A</v>
      </c>
      <c r="S2656" s="282" t="e">
        <f>++Tabla4[[#This Row],[U. Bruta Uni]]*Tabla4[[#This Row],[Cantidad]]</f>
        <v>#N/A</v>
      </c>
      <c r="T2656" s="369" t="str">
        <f>VLOOKUP(Tabla4[[#This Row],[Producto]],Tabla6[#All],14,FALSE)</f>
        <v>Termico Solar</v>
      </c>
      <c r="U2656" s="284" t="e">
        <f>(IF(Tabla4[[#This Row],[Familia]]="termico solar",Tabla4[[#This Row],[Utilidad Total]]*6%,Tabla4[[#This Row],[Utilidad Total]]*11.5%))/Tabla4[[#This Row],[Total]]</f>
        <v>#N/A</v>
      </c>
      <c r="V2656" s="282" t="e">
        <f>+Tabla4[[#This Row],[Comisión Calculada]]*Tabla4[[#This Row],[Total]]</f>
        <v>#N/A</v>
      </c>
    </row>
    <row r="2657" spans="1:22" hidden="1" x14ac:dyDescent="0.25">
      <c r="A2657" s="100">
        <v>45792</v>
      </c>
      <c r="B2657" t="str">
        <f t="shared" ref="B2657:B2685" si="125">TEXT(A2657, "mmmm")</f>
        <v>May</v>
      </c>
      <c r="C2657" s="46" t="s">
        <v>280</v>
      </c>
      <c r="F2657" s="366" t="s">
        <v>1739</v>
      </c>
      <c r="G2657" s="46" t="s">
        <v>566</v>
      </c>
      <c r="H2657" s="46">
        <v>1</v>
      </c>
      <c r="I2657" s="51">
        <v>2109.4499999999998</v>
      </c>
      <c r="J2657" s="281">
        <f>++Tabla4[[#This Row],[Precio Bruto]]*1.16</f>
        <v>2446.9619999999995</v>
      </c>
      <c r="K2657" s="281">
        <f>+Tabla4[[#This Row],[Precio Unitario Neto]]*Tabla4[[#Headers],[20.85%]]</f>
        <v>510.19157699999988</v>
      </c>
      <c r="L2657" s="282">
        <f>++Tabla4[[#This Row],[Precio Unitario Neto]]-Tabla4[[#This Row],[20.85%]]</f>
        <v>1936.7704229999997</v>
      </c>
      <c r="M2657" s="282" t="e">
        <f>(INDEX(Tabla6[#All],MATCH(Tabla4[[#This Row],[Producto]],Tabla6[[#All],[PRODUCTO]],0),MATCH(Tabla4[[#This Row],[Mes]],Tabla6[#Headers],0)))*(1+Catalogos!$L$2)</f>
        <v>#N/A</v>
      </c>
      <c r="N2657" s="283" t="e">
        <f>+(Tabla4[[#This Row],[Precio Descontado]]-Tabla4[[#This Row],[Precio Base]])*Tabla4[[#This Row],[Cantidad]]</f>
        <v>#N/A</v>
      </c>
      <c r="O2657" s="284" t="e">
        <f>++Tabla4[[#This Row],[Utilidad Total]]/Tabla4[[#This Row],[Total]]</f>
        <v>#N/A</v>
      </c>
      <c r="P2657" s="282">
        <f>++Tabla4[[#This Row],[Precio Descontado]]*Tabla4[[#This Row],[Cantidad]]</f>
        <v>1936.7704229999997</v>
      </c>
      <c r="Q2657" s="282" t="e">
        <f>(INDEX(Tabla6[#All],MATCH(Tabla4[[#This Row],[Producto]],Tabla6[[#All],[PRODUCTO]],0),MATCH(Tabla4[[#This Row],[Mes]],Tabla6[#Headers],0)))</f>
        <v>#N/A</v>
      </c>
      <c r="R2657" s="282" t="e">
        <f>++Tabla4[[#This Row],[Precio Unitario Neto]]-Tabla4[[#This Row],[20.85%]]-Tabla4[[#This Row],[Costo]]</f>
        <v>#N/A</v>
      </c>
      <c r="S2657" s="282" t="e">
        <f>++Tabla4[[#This Row],[U. Bruta Uni]]*Tabla4[[#This Row],[Cantidad]]</f>
        <v>#N/A</v>
      </c>
      <c r="T2657" s="369" t="str">
        <f>VLOOKUP(Tabla4[[#This Row],[Producto]],Tabla6[#All],14,FALSE)</f>
        <v>Termico Solar</v>
      </c>
      <c r="U2657" s="284" t="e">
        <f>(IF(Tabla4[[#This Row],[Familia]]="termico solar",Tabla4[[#This Row],[Utilidad Total]]*6%,Tabla4[[#This Row],[Utilidad Total]]*11.5%))/Tabla4[[#This Row],[Total]]</f>
        <v>#N/A</v>
      </c>
      <c r="V2657" s="282" t="e">
        <f>+Tabla4[[#This Row],[Comisión Calculada]]*Tabla4[[#This Row],[Total]]</f>
        <v>#N/A</v>
      </c>
    </row>
    <row r="2658" spans="1:22" hidden="1" x14ac:dyDescent="0.25">
      <c r="A2658" s="100">
        <v>45792</v>
      </c>
      <c r="B2658" t="str">
        <f t="shared" si="125"/>
        <v>May</v>
      </c>
      <c r="C2658" s="46" t="s">
        <v>280</v>
      </c>
      <c r="F2658" s="366" t="s">
        <v>1740</v>
      </c>
      <c r="G2658" s="46" t="s">
        <v>17</v>
      </c>
      <c r="H2658" s="46">
        <v>1</v>
      </c>
      <c r="I2658" s="51">
        <v>4622.28</v>
      </c>
      <c r="J2658" s="281">
        <f>++Tabla4[[#This Row],[Precio Bruto]]*1.16</f>
        <v>5361.8447999999989</v>
      </c>
      <c r="K2658" s="281">
        <f>+Tabla4[[#This Row],[Precio Unitario Neto]]*Tabla4[[#Headers],[20.85%]]</f>
        <v>1117.9446407999997</v>
      </c>
      <c r="L2658" s="282">
        <f>++Tabla4[[#This Row],[Precio Unitario Neto]]-Tabla4[[#This Row],[20.85%]]</f>
        <v>4243.9001591999995</v>
      </c>
      <c r="M2658" s="282" t="e">
        <f>(INDEX(Tabla6[#All],MATCH(Tabla4[[#This Row],[Producto]],Tabla6[[#All],[PRODUCTO]],0),MATCH(Tabla4[[#This Row],[Mes]],Tabla6[#Headers],0)))*(1+Catalogos!$L$2)</f>
        <v>#N/A</v>
      </c>
      <c r="N2658" s="283" t="e">
        <f>+(Tabla4[[#This Row],[Precio Descontado]]-Tabla4[[#This Row],[Precio Base]])*Tabla4[[#This Row],[Cantidad]]</f>
        <v>#N/A</v>
      </c>
      <c r="O2658" s="284" t="e">
        <f>++Tabla4[[#This Row],[Utilidad Total]]/Tabla4[[#This Row],[Total]]</f>
        <v>#N/A</v>
      </c>
      <c r="P2658" s="282">
        <f>++Tabla4[[#This Row],[Precio Descontado]]*Tabla4[[#This Row],[Cantidad]]</f>
        <v>4243.9001591999995</v>
      </c>
      <c r="Q2658" s="282" t="e">
        <f>(INDEX(Tabla6[#All],MATCH(Tabla4[[#This Row],[Producto]],Tabla6[[#All],[PRODUCTO]],0),MATCH(Tabla4[[#This Row],[Mes]],Tabla6[#Headers],0)))</f>
        <v>#N/A</v>
      </c>
      <c r="R2658" s="282" t="e">
        <f>++Tabla4[[#This Row],[Precio Unitario Neto]]-Tabla4[[#This Row],[20.85%]]-Tabla4[[#This Row],[Costo]]</f>
        <v>#N/A</v>
      </c>
      <c r="S2658" s="282" t="e">
        <f>++Tabla4[[#This Row],[U. Bruta Uni]]*Tabla4[[#This Row],[Cantidad]]</f>
        <v>#N/A</v>
      </c>
      <c r="T2658" s="369" t="str">
        <f>VLOOKUP(Tabla4[[#This Row],[Producto]],Tabla6[#All],14,FALSE)</f>
        <v>Termico Solar</v>
      </c>
      <c r="U2658" s="284" t="e">
        <f>(IF(Tabla4[[#This Row],[Familia]]="termico solar",Tabla4[[#This Row],[Utilidad Total]]*6%,Tabla4[[#This Row],[Utilidad Total]]*11.5%))/Tabla4[[#This Row],[Total]]</f>
        <v>#N/A</v>
      </c>
      <c r="V2658" s="282" t="e">
        <f>+Tabla4[[#This Row],[Comisión Calculada]]*Tabla4[[#This Row],[Total]]</f>
        <v>#N/A</v>
      </c>
    </row>
    <row r="2659" spans="1:22" hidden="1" x14ac:dyDescent="0.25">
      <c r="A2659" s="100">
        <v>45792</v>
      </c>
      <c r="B2659" t="str">
        <f t="shared" si="125"/>
        <v>May</v>
      </c>
      <c r="C2659" s="46" t="s">
        <v>280</v>
      </c>
      <c r="F2659" s="366" t="s">
        <v>1740</v>
      </c>
      <c r="G2659" s="46" t="s">
        <v>208</v>
      </c>
      <c r="H2659" s="46">
        <v>4</v>
      </c>
      <c r="I2659" s="51">
        <v>189.75</v>
      </c>
      <c r="J2659" s="281">
        <f>++Tabla4[[#This Row],[Precio Bruto]]*1.16</f>
        <v>220.10999999999999</v>
      </c>
      <c r="K2659" s="281">
        <f>+Tabla4[[#This Row],[Precio Unitario Neto]]*Tabla4[[#Headers],[20.85%]]</f>
        <v>45.892934999999994</v>
      </c>
      <c r="L2659" s="282">
        <f>++Tabla4[[#This Row],[Precio Unitario Neto]]-Tabla4[[#This Row],[20.85%]]</f>
        <v>174.21706499999999</v>
      </c>
      <c r="M2659" s="282" t="e">
        <f>(INDEX(Tabla6[#All],MATCH(Tabla4[[#This Row],[Producto]],Tabla6[[#All],[PRODUCTO]],0),MATCH(Tabla4[[#This Row],[Mes]],Tabla6[#Headers],0)))*(1+Catalogos!$L$2)</f>
        <v>#N/A</v>
      </c>
      <c r="N2659" s="283" t="e">
        <f>+(Tabla4[[#This Row],[Precio Descontado]]-Tabla4[[#This Row],[Precio Base]])*Tabla4[[#This Row],[Cantidad]]</f>
        <v>#N/A</v>
      </c>
      <c r="O2659" s="284" t="e">
        <f>++Tabla4[[#This Row],[Utilidad Total]]/Tabla4[[#This Row],[Total]]</f>
        <v>#N/A</v>
      </c>
      <c r="P2659" s="282">
        <f>++Tabla4[[#This Row],[Precio Descontado]]*Tabla4[[#This Row],[Cantidad]]</f>
        <v>696.86825999999996</v>
      </c>
      <c r="Q2659" s="282" t="e">
        <f>(INDEX(Tabla6[#All],MATCH(Tabla4[[#This Row],[Producto]],Tabla6[[#All],[PRODUCTO]],0),MATCH(Tabla4[[#This Row],[Mes]],Tabla6[#Headers],0)))</f>
        <v>#N/A</v>
      </c>
      <c r="R2659" s="282" t="e">
        <f>++Tabla4[[#This Row],[Precio Unitario Neto]]-Tabla4[[#This Row],[20.85%]]-Tabla4[[#This Row],[Costo]]</f>
        <v>#N/A</v>
      </c>
      <c r="S2659" s="282" t="e">
        <f>++Tabla4[[#This Row],[U. Bruta Uni]]*Tabla4[[#This Row],[Cantidad]]</f>
        <v>#N/A</v>
      </c>
      <c r="T2659" s="369" t="str">
        <f>VLOOKUP(Tabla4[[#This Row],[Producto]],Tabla6[#All],14,FALSE)</f>
        <v>Termico Solar</v>
      </c>
      <c r="U2659" s="284" t="e">
        <f>(IF(Tabla4[[#This Row],[Familia]]="termico solar",Tabla4[[#This Row],[Utilidad Total]]*6%,Tabla4[[#This Row],[Utilidad Total]]*11.5%))/Tabla4[[#This Row],[Total]]</f>
        <v>#N/A</v>
      </c>
      <c r="V2659" s="282" t="e">
        <f>+Tabla4[[#This Row],[Comisión Calculada]]*Tabla4[[#This Row],[Total]]</f>
        <v>#N/A</v>
      </c>
    </row>
    <row r="2660" spans="1:22" hidden="1" x14ac:dyDescent="0.25">
      <c r="A2660" s="100">
        <v>45792</v>
      </c>
      <c r="B2660" t="str">
        <f t="shared" si="125"/>
        <v>May</v>
      </c>
      <c r="C2660" s="46" t="s">
        <v>280</v>
      </c>
      <c r="F2660" s="366" t="s">
        <v>1741</v>
      </c>
      <c r="G2660" s="46" t="s">
        <v>566</v>
      </c>
      <c r="H2660" s="46">
        <v>2</v>
      </c>
      <c r="I2660" s="51">
        <v>2109.4499999999998</v>
      </c>
      <c r="J2660" s="281">
        <f>++Tabla4[[#This Row],[Precio Bruto]]*1.16</f>
        <v>2446.9619999999995</v>
      </c>
      <c r="K2660" s="281">
        <f>+Tabla4[[#This Row],[Precio Unitario Neto]]*Tabla4[[#Headers],[20.85%]]</f>
        <v>510.19157699999988</v>
      </c>
      <c r="L2660" s="282">
        <f>++Tabla4[[#This Row],[Precio Unitario Neto]]-Tabla4[[#This Row],[20.85%]]</f>
        <v>1936.7704229999997</v>
      </c>
      <c r="M2660" s="282" t="e">
        <f>(INDEX(Tabla6[#All],MATCH(Tabla4[[#This Row],[Producto]],Tabla6[[#All],[PRODUCTO]],0),MATCH(Tabla4[[#This Row],[Mes]],Tabla6[#Headers],0)))*(1+Catalogos!$L$2)</f>
        <v>#N/A</v>
      </c>
      <c r="N2660" s="283" t="e">
        <f>+(Tabla4[[#This Row],[Precio Descontado]]-Tabla4[[#This Row],[Precio Base]])*Tabla4[[#This Row],[Cantidad]]</f>
        <v>#N/A</v>
      </c>
      <c r="O2660" s="284" t="e">
        <f>++Tabla4[[#This Row],[Utilidad Total]]/Tabla4[[#This Row],[Total]]</f>
        <v>#N/A</v>
      </c>
      <c r="P2660" s="282">
        <f>++Tabla4[[#This Row],[Precio Descontado]]*Tabla4[[#This Row],[Cantidad]]</f>
        <v>3873.5408459999994</v>
      </c>
      <c r="Q2660" s="282" t="e">
        <f>(INDEX(Tabla6[#All],MATCH(Tabla4[[#This Row],[Producto]],Tabla6[[#All],[PRODUCTO]],0),MATCH(Tabla4[[#This Row],[Mes]],Tabla6[#Headers],0)))</f>
        <v>#N/A</v>
      </c>
      <c r="R2660" s="282" t="e">
        <f>++Tabla4[[#This Row],[Precio Unitario Neto]]-Tabla4[[#This Row],[20.85%]]-Tabla4[[#This Row],[Costo]]</f>
        <v>#N/A</v>
      </c>
      <c r="S2660" s="282" t="e">
        <f>++Tabla4[[#This Row],[U. Bruta Uni]]*Tabla4[[#This Row],[Cantidad]]</f>
        <v>#N/A</v>
      </c>
      <c r="T2660" s="369" t="str">
        <f>VLOOKUP(Tabla4[[#This Row],[Producto]],Tabla6[#All],14,FALSE)</f>
        <v>Termico Solar</v>
      </c>
      <c r="U2660" s="284" t="e">
        <f>(IF(Tabla4[[#This Row],[Familia]]="termico solar",Tabla4[[#This Row],[Utilidad Total]]*6%,Tabla4[[#This Row],[Utilidad Total]]*11.5%))/Tabla4[[#This Row],[Total]]</f>
        <v>#N/A</v>
      </c>
      <c r="V2660" s="282" t="e">
        <f>+Tabla4[[#This Row],[Comisión Calculada]]*Tabla4[[#This Row],[Total]]</f>
        <v>#N/A</v>
      </c>
    </row>
    <row r="2661" spans="1:22" hidden="1" x14ac:dyDescent="0.25">
      <c r="A2661" s="100">
        <v>45792</v>
      </c>
      <c r="B2661" t="str">
        <f t="shared" si="125"/>
        <v>May</v>
      </c>
      <c r="C2661" s="46" t="s">
        <v>280</v>
      </c>
      <c r="F2661" s="366" t="s">
        <v>1741</v>
      </c>
      <c r="G2661" s="46" t="s">
        <v>208</v>
      </c>
      <c r="H2661" s="46">
        <v>3</v>
      </c>
      <c r="I2661" s="51">
        <v>189.75</v>
      </c>
      <c r="J2661" s="281">
        <f>++Tabla4[[#This Row],[Precio Bruto]]*1.16</f>
        <v>220.10999999999999</v>
      </c>
      <c r="K2661" s="281">
        <f>+Tabla4[[#This Row],[Precio Unitario Neto]]*Tabla4[[#Headers],[20.85%]]</f>
        <v>45.892934999999994</v>
      </c>
      <c r="L2661" s="282">
        <f>++Tabla4[[#This Row],[Precio Unitario Neto]]-Tabla4[[#This Row],[20.85%]]</f>
        <v>174.21706499999999</v>
      </c>
      <c r="M2661" s="282" t="e">
        <f>(INDEX(Tabla6[#All],MATCH(Tabla4[[#This Row],[Producto]],Tabla6[[#All],[PRODUCTO]],0),MATCH(Tabla4[[#This Row],[Mes]],Tabla6[#Headers],0)))*(1+Catalogos!$L$2)</f>
        <v>#N/A</v>
      </c>
      <c r="N2661" s="283" t="e">
        <f>+(Tabla4[[#This Row],[Precio Descontado]]-Tabla4[[#This Row],[Precio Base]])*Tabla4[[#This Row],[Cantidad]]</f>
        <v>#N/A</v>
      </c>
      <c r="O2661" s="284" t="e">
        <f>++Tabla4[[#This Row],[Utilidad Total]]/Tabla4[[#This Row],[Total]]</f>
        <v>#N/A</v>
      </c>
      <c r="P2661" s="282">
        <f>++Tabla4[[#This Row],[Precio Descontado]]*Tabla4[[#This Row],[Cantidad]]</f>
        <v>522.65119499999992</v>
      </c>
      <c r="Q2661" s="282" t="e">
        <f>(INDEX(Tabla6[#All],MATCH(Tabla4[[#This Row],[Producto]],Tabla6[[#All],[PRODUCTO]],0),MATCH(Tabla4[[#This Row],[Mes]],Tabla6[#Headers],0)))</f>
        <v>#N/A</v>
      </c>
      <c r="R2661" s="282" t="e">
        <f>++Tabla4[[#This Row],[Precio Unitario Neto]]-Tabla4[[#This Row],[20.85%]]-Tabla4[[#This Row],[Costo]]</f>
        <v>#N/A</v>
      </c>
      <c r="S2661" s="282" t="e">
        <f>++Tabla4[[#This Row],[U. Bruta Uni]]*Tabla4[[#This Row],[Cantidad]]</f>
        <v>#N/A</v>
      </c>
      <c r="T2661" s="369" t="str">
        <f>VLOOKUP(Tabla4[[#This Row],[Producto]],Tabla6[#All],14,FALSE)</f>
        <v>Termico Solar</v>
      </c>
      <c r="U2661" s="284" t="e">
        <f>(IF(Tabla4[[#This Row],[Familia]]="termico solar",Tabla4[[#This Row],[Utilidad Total]]*6%,Tabla4[[#This Row],[Utilidad Total]]*11.5%))/Tabla4[[#This Row],[Total]]</f>
        <v>#N/A</v>
      </c>
      <c r="V2661" s="282" t="e">
        <f>+Tabla4[[#This Row],[Comisión Calculada]]*Tabla4[[#This Row],[Total]]</f>
        <v>#N/A</v>
      </c>
    </row>
    <row r="2662" spans="1:22" hidden="1" x14ac:dyDescent="0.25">
      <c r="A2662" s="100">
        <v>45792</v>
      </c>
      <c r="B2662" t="str">
        <f t="shared" si="125"/>
        <v>May</v>
      </c>
      <c r="C2662" s="46" t="s">
        <v>280</v>
      </c>
      <c r="F2662" s="366" t="s">
        <v>1742</v>
      </c>
      <c r="G2662" s="46" t="s">
        <v>83</v>
      </c>
      <c r="H2662" s="46">
        <v>1</v>
      </c>
      <c r="I2662" s="51">
        <v>8858.76</v>
      </c>
      <c r="J2662" s="281">
        <f>++Tabla4[[#This Row],[Precio Bruto]]*1.16</f>
        <v>10276.161599999999</v>
      </c>
      <c r="K2662" s="281">
        <f>+Tabla4[[#This Row],[Precio Unitario Neto]]*Tabla4[[#Headers],[20.85%]]</f>
        <v>2142.5796935999997</v>
      </c>
      <c r="L2662" s="282">
        <f>++Tabla4[[#This Row],[Precio Unitario Neto]]-Tabla4[[#This Row],[20.85%]]</f>
        <v>8133.5819063999998</v>
      </c>
      <c r="M2662" s="282" t="e">
        <f>(INDEX(Tabla6[#All],MATCH(Tabla4[[#This Row],[Producto]],Tabla6[[#All],[PRODUCTO]],0),MATCH(Tabla4[[#This Row],[Mes]],Tabla6[#Headers],0)))*(1+Catalogos!$L$2)</f>
        <v>#N/A</v>
      </c>
      <c r="N2662" s="283" t="e">
        <f>+(Tabla4[[#This Row],[Precio Descontado]]-Tabla4[[#This Row],[Precio Base]])*Tabla4[[#This Row],[Cantidad]]</f>
        <v>#N/A</v>
      </c>
      <c r="O2662" s="284" t="e">
        <f>++Tabla4[[#This Row],[Utilidad Total]]/Tabla4[[#This Row],[Total]]</f>
        <v>#N/A</v>
      </c>
      <c r="P2662" s="282">
        <f>++Tabla4[[#This Row],[Precio Descontado]]*Tabla4[[#This Row],[Cantidad]]</f>
        <v>8133.5819063999998</v>
      </c>
      <c r="Q2662" s="282" t="e">
        <f>(INDEX(Tabla6[#All],MATCH(Tabla4[[#This Row],[Producto]],Tabla6[[#All],[PRODUCTO]],0),MATCH(Tabla4[[#This Row],[Mes]],Tabla6[#Headers],0)))</f>
        <v>#N/A</v>
      </c>
      <c r="R2662" s="282" t="e">
        <f>++Tabla4[[#This Row],[Precio Unitario Neto]]-Tabla4[[#This Row],[20.85%]]-Tabla4[[#This Row],[Costo]]</f>
        <v>#N/A</v>
      </c>
      <c r="S2662" s="282" t="e">
        <f>++Tabla4[[#This Row],[U. Bruta Uni]]*Tabla4[[#This Row],[Cantidad]]</f>
        <v>#N/A</v>
      </c>
      <c r="T2662" s="369" t="str">
        <f>VLOOKUP(Tabla4[[#This Row],[Producto]],Tabla6[#All],14,FALSE)</f>
        <v>Termico Solar</v>
      </c>
      <c r="U2662" s="284" t="e">
        <f>(IF(Tabla4[[#This Row],[Familia]]="termico solar",Tabla4[[#This Row],[Utilidad Total]]*6%,Tabla4[[#This Row],[Utilidad Total]]*11.5%))/Tabla4[[#This Row],[Total]]</f>
        <v>#N/A</v>
      </c>
      <c r="V2662" s="282" t="e">
        <f>+Tabla4[[#This Row],[Comisión Calculada]]*Tabla4[[#This Row],[Total]]</f>
        <v>#N/A</v>
      </c>
    </row>
    <row r="2663" spans="1:22" hidden="1" x14ac:dyDescent="0.25">
      <c r="A2663" s="100">
        <v>45792</v>
      </c>
      <c r="B2663" t="str">
        <f t="shared" si="125"/>
        <v>May</v>
      </c>
      <c r="C2663" s="46" t="s">
        <v>280</v>
      </c>
      <c r="F2663" s="366" t="s">
        <v>1742</v>
      </c>
      <c r="G2663" s="46" t="s">
        <v>17</v>
      </c>
      <c r="H2663" s="46">
        <v>3</v>
      </c>
      <c r="I2663" s="51">
        <v>4622.28</v>
      </c>
      <c r="J2663" s="281">
        <f>++Tabla4[[#This Row],[Precio Bruto]]*1.16</f>
        <v>5361.8447999999989</v>
      </c>
      <c r="K2663" s="281">
        <f>+Tabla4[[#This Row],[Precio Unitario Neto]]*Tabla4[[#Headers],[20.85%]]</f>
        <v>1117.9446407999997</v>
      </c>
      <c r="L2663" s="282">
        <f>++Tabla4[[#This Row],[Precio Unitario Neto]]-Tabla4[[#This Row],[20.85%]]</f>
        <v>4243.9001591999995</v>
      </c>
      <c r="M2663" s="282" t="e">
        <f>(INDEX(Tabla6[#All],MATCH(Tabla4[[#This Row],[Producto]],Tabla6[[#All],[PRODUCTO]],0),MATCH(Tabla4[[#This Row],[Mes]],Tabla6[#Headers],0)))*(1+Catalogos!$L$2)</f>
        <v>#N/A</v>
      </c>
      <c r="N2663" s="283" t="e">
        <f>+(Tabla4[[#This Row],[Precio Descontado]]-Tabla4[[#This Row],[Precio Base]])*Tabla4[[#This Row],[Cantidad]]</f>
        <v>#N/A</v>
      </c>
      <c r="O2663" s="284" t="e">
        <f>++Tabla4[[#This Row],[Utilidad Total]]/Tabla4[[#This Row],[Total]]</f>
        <v>#N/A</v>
      </c>
      <c r="P2663" s="282">
        <f>++Tabla4[[#This Row],[Precio Descontado]]*Tabla4[[#This Row],[Cantidad]]</f>
        <v>12731.700477599999</v>
      </c>
      <c r="Q2663" s="282" t="e">
        <f>(INDEX(Tabla6[#All],MATCH(Tabla4[[#This Row],[Producto]],Tabla6[[#All],[PRODUCTO]],0),MATCH(Tabla4[[#This Row],[Mes]],Tabla6[#Headers],0)))</f>
        <v>#N/A</v>
      </c>
      <c r="R2663" s="282" t="e">
        <f>++Tabla4[[#This Row],[Precio Unitario Neto]]-Tabla4[[#This Row],[20.85%]]-Tabla4[[#This Row],[Costo]]</f>
        <v>#N/A</v>
      </c>
      <c r="S2663" s="282" t="e">
        <f>++Tabla4[[#This Row],[U. Bruta Uni]]*Tabla4[[#This Row],[Cantidad]]</f>
        <v>#N/A</v>
      </c>
      <c r="T2663" s="369" t="str">
        <f>VLOOKUP(Tabla4[[#This Row],[Producto]],Tabla6[#All],14,FALSE)</f>
        <v>Termico Solar</v>
      </c>
      <c r="U2663" s="284" t="e">
        <f>(IF(Tabla4[[#This Row],[Familia]]="termico solar",Tabla4[[#This Row],[Utilidad Total]]*6%,Tabla4[[#This Row],[Utilidad Total]]*11.5%))/Tabla4[[#This Row],[Total]]</f>
        <v>#N/A</v>
      </c>
      <c r="V2663" s="282" t="e">
        <f>+Tabla4[[#This Row],[Comisión Calculada]]*Tabla4[[#This Row],[Total]]</f>
        <v>#N/A</v>
      </c>
    </row>
    <row r="2664" spans="1:22" hidden="1" x14ac:dyDescent="0.25">
      <c r="A2664" s="100">
        <v>45792</v>
      </c>
      <c r="B2664" t="str">
        <f t="shared" si="125"/>
        <v>May</v>
      </c>
      <c r="C2664" s="46" t="s">
        <v>280</v>
      </c>
      <c r="F2664" s="366" t="s">
        <v>1743</v>
      </c>
      <c r="G2664" s="46" t="s">
        <v>566</v>
      </c>
      <c r="H2664" s="46">
        <v>1</v>
      </c>
      <c r="I2664" s="51">
        <v>2109.4499999999998</v>
      </c>
      <c r="J2664" s="281">
        <f>++Tabla4[[#This Row],[Precio Bruto]]*1.16</f>
        <v>2446.9619999999995</v>
      </c>
      <c r="K2664" s="281">
        <f>+Tabla4[[#This Row],[Precio Unitario Neto]]*Tabla4[[#Headers],[20.85%]]</f>
        <v>510.19157699999988</v>
      </c>
      <c r="L2664" s="282">
        <f>++Tabla4[[#This Row],[Precio Unitario Neto]]-Tabla4[[#This Row],[20.85%]]</f>
        <v>1936.7704229999997</v>
      </c>
      <c r="M2664" s="282" t="e">
        <f>(INDEX(Tabla6[#All],MATCH(Tabla4[[#This Row],[Producto]],Tabla6[[#All],[PRODUCTO]],0),MATCH(Tabla4[[#This Row],[Mes]],Tabla6[#Headers],0)))*(1+Catalogos!$L$2)</f>
        <v>#N/A</v>
      </c>
      <c r="N2664" s="283" t="e">
        <f>+(Tabla4[[#This Row],[Precio Descontado]]-Tabla4[[#This Row],[Precio Base]])*Tabla4[[#This Row],[Cantidad]]</f>
        <v>#N/A</v>
      </c>
      <c r="O2664" s="284" t="e">
        <f>++Tabla4[[#This Row],[Utilidad Total]]/Tabla4[[#This Row],[Total]]</f>
        <v>#N/A</v>
      </c>
      <c r="P2664" s="282">
        <f>++Tabla4[[#This Row],[Precio Descontado]]*Tabla4[[#This Row],[Cantidad]]</f>
        <v>1936.7704229999997</v>
      </c>
      <c r="Q2664" s="282" t="e">
        <f>(INDEX(Tabla6[#All],MATCH(Tabla4[[#This Row],[Producto]],Tabla6[[#All],[PRODUCTO]],0),MATCH(Tabla4[[#This Row],[Mes]],Tabla6[#Headers],0)))</f>
        <v>#N/A</v>
      </c>
      <c r="R2664" s="282" t="e">
        <f>++Tabla4[[#This Row],[Precio Unitario Neto]]-Tabla4[[#This Row],[20.85%]]-Tabla4[[#This Row],[Costo]]</f>
        <v>#N/A</v>
      </c>
      <c r="S2664" s="282" t="e">
        <f>++Tabla4[[#This Row],[U. Bruta Uni]]*Tabla4[[#This Row],[Cantidad]]</f>
        <v>#N/A</v>
      </c>
      <c r="T2664" s="369" t="str">
        <f>VLOOKUP(Tabla4[[#This Row],[Producto]],Tabla6[#All],14,FALSE)</f>
        <v>Termico Solar</v>
      </c>
      <c r="U2664" s="284" t="e">
        <f>(IF(Tabla4[[#This Row],[Familia]]="termico solar",Tabla4[[#This Row],[Utilidad Total]]*6%,Tabla4[[#This Row],[Utilidad Total]]*11.5%))/Tabla4[[#This Row],[Total]]</f>
        <v>#N/A</v>
      </c>
      <c r="V2664" s="282" t="e">
        <f>+Tabla4[[#This Row],[Comisión Calculada]]*Tabla4[[#This Row],[Total]]</f>
        <v>#N/A</v>
      </c>
    </row>
    <row r="2665" spans="1:22" hidden="1" x14ac:dyDescent="0.25">
      <c r="A2665" s="100">
        <v>45792</v>
      </c>
      <c r="B2665" t="str">
        <f t="shared" si="125"/>
        <v>May</v>
      </c>
      <c r="C2665" s="46" t="s">
        <v>280</v>
      </c>
      <c r="F2665" s="366" t="s">
        <v>1743</v>
      </c>
      <c r="G2665" s="46" t="s">
        <v>208</v>
      </c>
      <c r="H2665" s="46">
        <v>1</v>
      </c>
      <c r="I2665" s="51">
        <v>189.75</v>
      </c>
      <c r="J2665" s="281">
        <f>++Tabla4[[#This Row],[Precio Bruto]]*1.16</f>
        <v>220.10999999999999</v>
      </c>
      <c r="K2665" s="281">
        <f>+Tabla4[[#This Row],[Precio Unitario Neto]]*Tabla4[[#Headers],[20.85%]]</f>
        <v>45.892934999999994</v>
      </c>
      <c r="L2665" s="282">
        <f>++Tabla4[[#This Row],[Precio Unitario Neto]]-Tabla4[[#This Row],[20.85%]]</f>
        <v>174.21706499999999</v>
      </c>
      <c r="M2665" s="282" t="e">
        <f>(INDEX(Tabla6[#All],MATCH(Tabla4[[#This Row],[Producto]],Tabla6[[#All],[PRODUCTO]],0),MATCH(Tabla4[[#This Row],[Mes]],Tabla6[#Headers],0)))*(1+Catalogos!$L$2)</f>
        <v>#N/A</v>
      </c>
      <c r="N2665" s="283" t="e">
        <f>+(Tabla4[[#This Row],[Precio Descontado]]-Tabla4[[#This Row],[Precio Base]])*Tabla4[[#This Row],[Cantidad]]</f>
        <v>#N/A</v>
      </c>
      <c r="O2665" s="284" t="e">
        <f>++Tabla4[[#This Row],[Utilidad Total]]/Tabla4[[#This Row],[Total]]</f>
        <v>#N/A</v>
      </c>
      <c r="P2665" s="282">
        <f>++Tabla4[[#This Row],[Precio Descontado]]*Tabla4[[#This Row],[Cantidad]]</f>
        <v>174.21706499999999</v>
      </c>
      <c r="Q2665" s="282" t="e">
        <f>(INDEX(Tabla6[#All],MATCH(Tabla4[[#This Row],[Producto]],Tabla6[[#All],[PRODUCTO]],0),MATCH(Tabla4[[#This Row],[Mes]],Tabla6[#Headers],0)))</f>
        <v>#N/A</v>
      </c>
      <c r="R2665" s="282" t="e">
        <f>++Tabla4[[#This Row],[Precio Unitario Neto]]-Tabla4[[#This Row],[20.85%]]-Tabla4[[#This Row],[Costo]]</f>
        <v>#N/A</v>
      </c>
      <c r="S2665" s="282" t="e">
        <f>++Tabla4[[#This Row],[U. Bruta Uni]]*Tabla4[[#This Row],[Cantidad]]</f>
        <v>#N/A</v>
      </c>
      <c r="T2665" s="369" t="str">
        <f>VLOOKUP(Tabla4[[#This Row],[Producto]],Tabla6[#All],14,FALSE)</f>
        <v>Termico Solar</v>
      </c>
      <c r="U2665" s="284" t="e">
        <f>(IF(Tabla4[[#This Row],[Familia]]="termico solar",Tabla4[[#This Row],[Utilidad Total]]*6%,Tabla4[[#This Row],[Utilidad Total]]*11.5%))/Tabla4[[#This Row],[Total]]</f>
        <v>#N/A</v>
      </c>
      <c r="V2665" s="282" t="e">
        <f>+Tabla4[[#This Row],[Comisión Calculada]]*Tabla4[[#This Row],[Total]]</f>
        <v>#N/A</v>
      </c>
    </row>
    <row r="2666" spans="1:22" hidden="1" x14ac:dyDescent="0.25">
      <c r="A2666" s="100">
        <v>45792</v>
      </c>
      <c r="B2666" t="str">
        <f t="shared" si="125"/>
        <v>May</v>
      </c>
      <c r="C2666" s="46" t="s">
        <v>280</v>
      </c>
      <c r="F2666" s="366" t="s">
        <v>1744</v>
      </c>
      <c r="G2666" s="46" t="s">
        <v>566</v>
      </c>
      <c r="H2666" s="46">
        <v>1</v>
      </c>
      <c r="I2666" s="51">
        <v>2109.4499999999998</v>
      </c>
      <c r="J2666" s="281">
        <f>++Tabla4[[#This Row],[Precio Bruto]]*1.16</f>
        <v>2446.9619999999995</v>
      </c>
      <c r="K2666" s="281">
        <f>+Tabla4[[#This Row],[Precio Unitario Neto]]*Tabla4[[#Headers],[20.85%]]</f>
        <v>510.19157699999988</v>
      </c>
      <c r="L2666" s="282">
        <f>++Tabla4[[#This Row],[Precio Unitario Neto]]-Tabla4[[#This Row],[20.85%]]</f>
        <v>1936.7704229999997</v>
      </c>
      <c r="M2666" s="282" t="e">
        <f>(INDEX(Tabla6[#All],MATCH(Tabla4[[#This Row],[Producto]],Tabla6[[#All],[PRODUCTO]],0),MATCH(Tabla4[[#This Row],[Mes]],Tabla6[#Headers],0)))*(1+Catalogos!$L$2)</f>
        <v>#N/A</v>
      </c>
      <c r="N2666" s="283" t="e">
        <f>+(Tabla4[[#This Row],[Precio Descontado]]-Tabla4[[#This Row],[Precio Base]])*Tabla4[[#This Row],[Cantidad]]</f>
        <v>#N/A</v>
      </c>
      <c r="O2666" s="284" t="e">
        <f>++Tabla4[[#This Row],[Utilidad Total]]/Tabla4[[#This Row],[Total]]</f>
        <v>#N/A</v>
      </c>
      <c r="P2666" s="282">
        <f>++Tabla4[[#This Row],[Precio Descontado]]*Tabla4[[#This Row],[Cantidad]]</f>
        <v>1936.7704229999997</v>
      </c>
      <c r="Q2666" s="282" t="e">
        <f>(INDEX(Tabla6[#All],MATCH(Tabla4[[#This Row],[Producto]],Tabla6[[#All],[PRODUCTO]],0),MATCH(Tabla4[[#This Row],[Mes]],Tabla6[#Headers],0)))</f>
        <v>#N/A</v>
      </c>
      <c r="R2666" s="282" t="e">
        <f>++Tabla4[[#This Row],[Precio Unitario Neto]]-Tabla4[[#This Row],[20.85%]]-Tabla4[[#This Row],[Costo]]</f>
        <v>#N/A</v>
      </c>
      <c r="S2666" s="282" t="e">
        <f>++Tabla4[[#This Row],[U. Bruta Uni]]*Tabla4[[#This Row],[Cantidad]]</f>
        <v>#N/A</v>
      </c>
      <c r="T2666" s="369" t="str">
        <f>VLOOKUP(Tabla4[[#This Row],[Producto]],Tabla6[#All],14,FALSE)</f>
        <v>Termico Solar</v>
      </c>
      <c r="U2666" s="284" t="e">
        <f>(IF(Tabla4[[#This Row],[Familia]]="termico solar",Tabla4[[#This Row],[Utilidad Total]]*6%,Tabla4[[#This Row],[Utilidad Total]]*11.5%))/Tabla4[[#This Row],[Total]]</f>
        <v>#N/A</v>
      </c>
      <c r="V2666" s="282" t="e">
        <f>+Tabla4[[#This Row],[Comisión Calculada]]*Tabla4[[#This Row],[Total]]</f>
        <v>#N/A</v>
      </c>
    </row>
    <row r="2667" spans="1:22" hidden="1" x14ac:dyDescent="0.25">
      <c r="A2667" s="100">
        <v>45792</v>
      </c>
      <c r="B2667" t="str">
        <f t="shared" si="125"/>
        <v>May</v>
      </c>
      <c r="C2667" s="46" t="s">
        <v>280</v>
      </c>
      <c r="F2667" s="366" t="s">
        <v>1745</v>
      </c>
      <c r="G2667" s="46" t="s">
        <v>18</v>
      </c>
      <c r="H2667" s="46">
        <v>2</v>
      </c>
      <c r="I2667" s="51">
        <v>5367.65</v>
      </c>
      <c r="J2667" s="281">
        <f>++Tabla4[[#This Row],[Precio Bruto]]*1.16</f>
        <v>6226.4739999999993</v>
      </c>
      <c r="K2667" s="281">
        <f>+Tabla4[[#This Row],[Precio Unitario Neto]]*Tabla4[[#Headers],[20.85%]]</f>
        <v>1298.2198289999999</v>
      </c>
      <c r="L2667" s="282">
        <f>++Tabla4[[#This Row],[Precio Unitario Neto]]-Tabla4[[#This Row],[20.85%]]</f>
        <v>4928.2541709999996</v>
      </c>
      <c r="M2667" s="282" t="e">
        <f>(INDEX(Tabla6[#All],MATCH(Tabla4[[#This Row],[Producto]],Tabla6[[#All],[PRODUCTO]],0),MATCH(Tabla4[[#This Row],[Mes]],Tabla6[#Headers],0)))*(1+Catalogos!$L$2)</f>
        <v>#N/A</v>
      </c>
      <c r="N2667" s="283" t="e">
        <f>+(Tabla4[[#This Row],[Precio Descontado]]-Tabla4[[#This Row],[Precio Base]])*Tabla4[[#This Row],[Cantidad]]</f>
        <v>#N/A</v>
      </c>
      <c r="O2667" s="284" t="e">
        <f>++Tabla4[[#This Row],[Utilidad Total]]/Tabla4[[#This Row],[Total]]</f>
        <v>#N/A</v>
      </c>
      <c r="P2667" s="282">
        <f>++Tabla4[[#This Row],[Precio Descontado]]*Tabla4[[#This Row],[Cantidad]]</f>
        <v>9856.5083419999992</v>
      </c>
      <c r="Q2667" s="282" t="e">
        <f>(INDEX(Tabla6[#All],MATCH(Tabla4[[#This Row],[Producto]],Tabla6[[#All],[PRODUCTO]],0),MATCH(Tabla4[[#This Row],[Mes]],Tabla6[#Headers],0)))</f>
        <v>#N/A</v>
      </c>
      <c r="R2667" s="282" t="e">
        <f>++Tabla4[[#This Row],[Precio Unitario Neto]]-Tabla4[[#This Row],[20.85%]]-Tabla4[[#This Row],[Costo]]</f>
        <v>#N/A</v>
      </c>
      <c r="S2667" s="282" t="e">
        <f>++Tabla4[[#This Row],[U. Bruta Uni]]*Tabla4[[#This Row],[Cantidad]]</f>
        <v>#N/A</v>
      </c>
      <c r="T2667" s="369" t="str">
        <f>VLOOKUP(Tabla4[[#This Row],[Producto]],Tabla6[#All],14,FALSE)</f>
        <v>Termico Solar</v>
      </c>
      <c r="U2667" s="284" t="e">
        <f>(IF(Tabla4[[#This Row],[Familia]]="termico solar",Tabla4[[#This Row],[Utilidad Total]]*6%,Tabla4[[#This Row],[Utilidad Total]]*11.5%))/Tabla4[[#This Row],[Total]]</f>
        <v>#N/A</v>
      </c>
      <c r="V2667" s="282" t="e">
        <f>+Tabla4[[#This Row],[Comisión Calculada]]*Tabla4[[#This Row],[Total]]</f>
        <v>#N/A</v>
      </c>
    </row>
    <row r="2668" spans="1:22" hidden="1" x14ac:dyDescent="0.25">
      <c r="A2668" s="100">
        <v>45792</v>
      </c>
      <c r="B2668" t="str">
        <f t="shared" si="125"/>
        <v>May</v>
      </c>
      <c r="C2668" s="46" t="s">
        <v>280</v>
      </c>
      <c r="F2668" s="366" t="s">
        <v>1745</v>
      </c>
      <c r="G2668" s="46" t="s">
        <v>16</v>
      </c>
      <c r="H2668" s="46">
        <v>2</v>
      </c>
      <c r="I2668" s="51">
        <v>4103.8500000000004</v>
      </c>
      <c r="J2668" s="281">
        <f>++Tabla4[[#This Row],[Precio Bruto]]*1.16</f>
        <v>4760.4660000000003</v>
      </c>
      <c r="K2668" s="281">
        <f>+Tabla4[[#This Row],[Precio Unitario Neto]]*Tabla4[[#Headers],[20.85%]]</f>
        <v>992.55716100000006</v>
      </c>
      <c r="L2668" s="282">
        <f>++Tabla4[[#This Row],[Precio Unitario Neto]]-Tabla4[[#This Row],[20.85%]]</f>
        <v>3767.9088390000002</v>
      </c>
      <c r="M2668" s="282" t="e">
        <f>(INDEX(Tabla6[#All],MATCH(Tabla4[[#This Row],[Producto]],Tabla6[[#All],[PRODUCTO]],0),MATCH(Tabla4[[#This Row],[Mes]],Tabla6[#Headers],0)))*(1+Catalogos!$L$2)</f>
        <v>#N/A</v>
      </c>
      <c r="N2668" s="283" t="e">
        <f>+(Tabla4[[#This Row],[Precio Descontado]]-Tabla4[[#This Row],[Precio Base]])*Tabla4[[#This Row],[Cantidad]]</f>
        <v>#N/A</v>
      </c>
      <c r="O2668" s="284" t="e">
        <f>++Tabla4[[#This Row],[Utilidad Total]]/Tabla4[[#This Row],[Total]]</f>
        <v>#N/A</v>
      </c>
      <c r="P2668" s="282">
        <f>++Tabla4[[#This Row],[Precio Descontado]]*Tabla4[[#This Row],[Cantidad]]</f>
        <v>7535.8176780000003</v>
      </c>
      <c r="Q2668" s="282" t="e">
        <f>(INDEX(Tabla6[#All],MATCH(Tabla4[[#This Row],[Producto]],Tabla6[[#All],[PRODUCTO]],0),MATCH(Tabla4[[#This Row],[Mes]],Tabla6[#Headers],0)))</f>
        <v>#N/A</v>
      </c>
      <c r="R2668" s="282" t="e">
        <f>++Tabla4[[#This Row],[Precio Unitario Neto]]-Tabla4[[#This Row],[20.85%]]-Tabla4[[#This Row],[Costo]]</f>
        <v>#N/A</v>
      </c>
      <c r="S2668" s="282" t="e">
        <f>++Tabla4[[#This Row],[U. Bruta Uni]]*Tabla4[[#This Row],[Cantidad]]</f>
        <v>#N/A</v>
      </c>
      <c r="T2668" s="369" t="str">
        <f>VLOOKUP(Tabla4[[#This Row],[Producto]],Tabla6[#All],14,FALSE)</f>
        <v>Termico Solar</v>
      </c>
      <c r="U2668" s="284" t="e">
        <f>(IF(Tabla4[[#This Row],[Familia]]="termico solar",Tabla4[[#This Row],[Utilidad Total]]*6%,Tabla4[[#This Row],[Utilidad Total]]*11.5%))/Tabla4[[#This Row],[Total]]</f>
        <v>#N/A</v>
      </c>
      <c r="V2668" s="282" t="e">
        <f>+Tabla4[[#This Row],[Comisión Calculada]]*Tabla4[[#This Row],[Total]]</f>
        <v>#N/A</v>
      </c>
    </row>
    <row r="2669" spans="1:22" hidden="1" x14ac:dyDescent="0.25">
      <c r="A2669" s="100">
        <v>45792</v>
      </c>
      <c r="B2669" t="str">
        <f t="shared" si="125"/>
        <v>May</v>
      </c>
      <c r="C2669" s="46" t="s">
        <v>280</v>
      </c>
      <c r="F2669" s="366" t="s">
        <v>1746</v>
      </c>
      <c r="G2669" s="46" t="s">
        <v>83</v>
      </c>
      <c r="H2669" s="46">
        <v>1</v>
      </c>
      <c r="I2669" s="51">
        <v>8858.76</v>
      </c>
      <c r="J2669" s="281">
        <f>++Tabla4[[#This Row],[Precio Bruto]]*1.16</f>
        <v>10276.161599999999</v>
      </c>
      <c r="K2669" s="281">
        <f>+Tabla4[[#This Row],[Precio Unitario Neto]]*Tabla4[[#Headers],[20.85%]]</f>
        <v>2142.5796935999997</v>
      </c>
      <c r="L2669" s="282">
        <f>++Tabla4[[#This Row],[Precio Unitario Neto]]-Tabla4[[#This Row],[20.85%]]</f>
        <v>8133.5819063999998</v>
      </c>
      <c r="M2669" s="282" t="e">
        <f>(INDEX(Tabla6[#All],MATCH(Tabla4[[#This Row],[Producto]],Tabla6[[#All],[PRODUCTO]],0),MATCH(Tabla4[[#This Row],[Mes]],Tabla6[#Headers],0)))*(1+Catalogos!$L$2)</f>
        <v>#N/A</v>
      </c>
      <c r="N2669" s="283" t="e">
        <f>+(Tabla4[[#This Row],[Precio Descontado]]-Tabla4[[#This Row],[Precio Base]])*Tabla4[[#This Row],[Cantidad]]</f>
        <v>#N/A</v>
      </c>
      <c r="O2669" s="284" t="e">
        <f>++Tabla4[[#This Row],[Utilidad Total]]/Tabla4[[#This Row],[Total]]</f>
        <v>#N/A</v>
      </c>
      <c r="P2669" s="282">
        <f>++Tabla4[[#This Row],[Precio Descontado]]*Tabla4[[#This Row],[Cantidad]]</f>
        <v>8133.5819063999998</v>
      </c>
      <c r="Q2669" s="282" t="e">
        <f>(INDEX(Tabla6[#All],MATCH(Tabla4[[#This Row],[Producto]],Tabla6[[#All],[PRODUCTO]],0),MATCH(Tabla4[[#This Row],[Mes]],Tabla6[#Headers],0)))</f>
        <v>#N/A</v>
      </c>
      <c r="R2669" s="282" t="e">
        <f>++Tabla4[[#This Row],[Precio Unitario Neto]]-Tabla4[[#This Row],[20.85%]]-Tabla4[[#This Row],[Costo]]</f>
        <v>#N/A</v>
      </c>
      <c r="S2669" s="282" t="e">
        <f>++Tabla4[[#This Row],[U. Bruta Uni]]*Tabla4[[#This Row],[Cantidad]]</f>
        <v>#N/A</v>
      </c>
      <c r="T2669" s="369" t="str">
        <f>VLOOKUP(Tabla4[[#This Row],[Producto]],Tabla6[#All],14,FALSE)</f>
        <v>Termico Solar</v>
      </c>
      <c r="U2669" s="284" t="e">
        <f>(IF(Tabla4[[#This Row],[Familia]]="termico solar",Tabla4[[#This Row],[Utilidad Total]]*6%,Tabla4[[#This Row],[Utilidad Total]]*11.5%))/Tabla4[[#This Row],[Total]]</f>
        <v>#N/A</v>
      </c>
      <c r="V2669" s="282" t="e">
        <f>+Tabla4[[#This Row],[Comisión Calculada]]*Tabla4[[#This Row],[Total]]</f>
        <v>#N/A</v>
      </c>
    </row>
    <row r="2670" spans="1:22" hidden="1" x14ac:dyDescent="0.25">
      <c r="A2670" s="100">
        <v>45792</v>
      </c>
      <c r="B2670" t="str">
        <f t="shared" si="125"/>
        <v>May</v>
      </c>
      <c r="C2670" s="46" t="s">
        <v>280</v>
      </c>
      <c r="F2670" s="366" t="s">
        <v>1746</v>
      </c>
      <c r="G2670" s="46" t="s">
        <v>17</v>
      </c>
      <c r="H2670" s="46">
        <v>2</v>
      </c>
      <c r="I2670" s="51">
        <v>4622.28</v>
      </c>
      <c r="J2670" s="281">
        <f>++Tabla4[[#This Row],[Precio Bruto]]*1.16</f>
        <v>5361.8447999999989</v>
      </c>
      <c r="K2670" s="281">
        <f>+Tabla4[[#This Row],[Precio Unitario Neto]]*Tabla4[[#Headers],[20.85%]]</f>
        <v>1117.9446407999997</v>
      </c>
      <c r="L2670" s="282">
        <f>++Tabla4[[#This Row],[Precio Unitario Neto]]-Tabla4[[#This Row],[20.85%]]</f>
        <v>4243.9001591999995</v>
      </c>
      <c r="M2670" s="282" t="e">
        <f>(INDEX(Tabla6[#All],MATCH(Tabla4[[#This Row],[Producto]],Tabla6[[#All],[PRODUCTO]],0),MATCH(Tabla4[[#This Row],[Mes]],Tabla6[#Headers],0)))*(1+Catalogos!$L$2)</f>
        <v>#N/A</v>
      </c>
      <c r="N2670" s="283" t="e">
        <f>+(Tabla4[[#This Row],[Precio Descontado]]-Tabla4[[#This Row],[Precio Base]])*Tabla4[[#This Row],[Cantidad]]</f>
        <v>#N/A</v>
      </c>
      <c r="O2670" s="284" t="e">
        <f>++Tabla4[[#This Row],[Utilidad Total]]/Tabla4[[#This Row],[Total]]</f>
        <v>#N/A</v>
      </c>
      <c r="P2670" s="282">
        <f>++Tabla4[[#This Row],[Precio Descontado]]*Tabla4[[#This Row],[Cantidad]]</f>
        <v>8487.800318399999</v>
      </c>
      <c r="Q2670" s="282" t="e">
        <f>(INDEX(Tabla6[#All],MATCH(Tabla4[[#This Row],[Producto]],Tabla6[[#All],[PRODUCTO]],0),MATCH(Tabla4[[#This Row],[Mes]],Tabla6[#Headers],0)))</f>
        <v>#N/A</v>
      </c>
      <c r="R2670" s="282" t="e">
        <f>++Tabla4[[#This Row],[Precio Unitario Neto]]-Tabla4[[#This Row],[20.85%]]-Tabla4[[#This Row],[Costo]]</f>
        <v>#N/A</v>
      </c>
      <c r="S2670" s="282" t="e">
        <f>++Tabla4[[#This Row],[U. Bruta Uni]]*Tabla4[[#This Row],[Cantidad]]</f>
        <v>#N/A</v>
      </c>
      <c r="T2670" s="369" t="str">
        <f>VLOOKUP(Tabla4[[#This Row],[Producto]],Tabla6[#All],14,FALSE)</f>
        <v>Termico Solar</v>
      </c>
      <c r="U2670" s="284" t="e">
        <f>(IF(Tabla4[[#This Row],[Familia]]="termico solar",Tabla4[[#This Row],[Utilidad Total]]*6%,Tabla4[[#This Row],[Utilidad Total]]*11.5%))/Tabla4[[#This Row],[Total]]</f>
        <v>#N/A</v>
      </c>
      <c r="V2670" s="282" t="e">
        <f>+Tabla4[[#This Row],[Comisión Calculada]]*Tabla4[[#This Row],[Total]]</f>
        <v>#N/A</v>
      </c>
    </row>
    <row r="2671" spans="1:22" hidden="1" x14ac:dyDescent="0.25">
      <c r="A2671" s="100">
        <v>45792</v>
      </c>
      <c r="B2671" t="str">
        <f t="shared" si="125"/>
        <v>May</v>
      </c>
      <c r="C2671" s="46" t="s">
        <v>280</v>
      </c>
      <c r="F2671" s="366" t="s">
        <v>1746</v>
      </c>
      <c r="G2671" s="46" t="s">
        <v>412</v>
      </c>
      <c r="H2671" s="46">
        <v>1</v>
      </c>
      <c r="I2671" s="51">
        <v>3240.84</v>
      </c>
      <c r="J2671" s="281">
        <f>++Tabla4[[#This Row],[Precio Bruto]]*1.16</f>
        <v>3759.3743999999997</v>
      </c>
      <c r="K2671" s="281">
        <f>+Tabla4[[#This Row],[Precio Unitario Neto]]*Tabla4[[#Headers],[20.85%]]</f>
        <v>783.82956239999987</v>
      </c>
      <c r="L2671" s="282">
        <f>++Tabla4[[#This Row],[Precio Unitario Neto]]-Tabla4[[#This Row],[20.85%]]</f>
        <v>2975.5448375999999</v>
      </c>
      <c r="M2671" s="282" t="e">
        <f>(INDEX(Tabla6[#All],MATCH(Tabla4[[#This Row],[Producto]],Tabla6[[#All],[PRODUCTO]],0),MATCH(Tabla4[[#This Row],[Mes]],Tabla6[#Headers],0)))*(1+Catalogos!$L$2)</f>
        <v>#N/A</v>
      </c>
      <c r="N2671" s="283" t="e">
        <f>+(Tabla4[[#This Row],[Precio Descontado]]-Tabla4[[#This Row],[Precio Base]])*Tabla4[[#This Row],[Cantidad]]</f>
        <v>#N/A</v>
      </c>
      <c r="O2671" s="284" t="e">
        <f>++Tabla4[[#This Row],[Utilidad Total]]/Tabla4[[#This Row],[Total]]</f>
        <v>#N/A</v>
      </c>
      <c r="P2671" s="282">
        <f>++Tabla4[[#This Row],[Precio Descontado]]*Tabla4[[#This Row],[Cantidad]]</f>
        <v>2975.5448375999999</v>
      </c>
      <c r="Q2671" s="282" t="e">
        <f>(INDEX(Tabla6[#All],MATCH(Tabla4[[#This Row],[Producto]],Tabla6[[#All],[PRODUCTO]],0),MATCH(Tabla4[[#This Row],[Mes]],Tabla6[#Headers],0)))</f>
        <v>#N/A</v>
      </c>
      <c r="R2671" s="282" t="e">
        <f>++Tabla4[[#This Row],[Precio Unitario Neto]]-Tabla4[[#This Row],[20.85%]]-Tabla4[[#This Row],[Costo]]</f>
        <v>#N/A</v>
      </c>
      <c r="S2671" s="282" t="e">
        <f>++Tabla4[[#This Row],[U. Bruta Uni]]*Tabla4[[#This Row],[Cantidad]]</f>
        <v>#N/A</v>
      </c>
      <c r="T2671" s="369" t="str">
        <f>VLOOKUP(Tabla4[[#This Row],[Producto]],Tabla6[#All],14,FALSE)</f>
        <v>Termico Solar</v>
      </c>
      <c r="U2671" s="284" t="e">
        <f>(IF(Tabla4[[#This Row],[Familia]]="termico solar",Tabla4[[#This Row],[Utilidad Total]]*6%,Tabla4[[#This Row],[Utilidad Total]]*11.5%))/Tabla4[[#This Row],[Total]]</f>
        <v>#N/A</v>
      </c>
      <c r="V2671" s="282" t="e">
        <f>+Tabla4[[#This Row],[Comisión Calculada]]*Tabla4[[#This Row],[Total]]</f>
        <v>#N/A</v>
      </c>
    </row>
    <row r="2672" spans="1:22" hidden="1" x14ac:dyDescent="0.25">
      <c r="A2672" s="100">
        <v>45792</v>
      </c>
      <c r="B2672" t="str">
        <f t="shared" si="125"/>
        <v>May</v>
      </c>
      <c r="C2672" s="46" t="s">
        <v>280</v>
      </c>
      <c r="F2672" s="366" t="s">
        <v>1747</v>
      </c>
      <c r="G2672" s="46" t="s">
        <v>208</v>
      </c>
      <c r="H2672" s="46">
        <v>3</v>
      </c>
      <c r="I2672" s="51">
        <v>189.75</v>
      </c>
      <c r="J2672" s="281">
        <f>++Tabla4[[#This Row],[Precio Bruto]]*1.16</f>
        <v>220.10999999999999</v>
      </c>
      <c r="K2672" s="281">
        <f>+Tabla4[[#This Row],[Precio Unitario Neto]]*Tabla4[[#Headers],[20.85%]]</f>
        <v>45.892934999999994</v>
      </c>
      <c r="L2672" s="282">
        <f>++Tabla4[[#This Row],[Precio Unitario Neto]]-Tabla4[[#This Row],[20.85%]]</f>
        <v>174.21706499999999</v>
      </c>
      <c r="M2672" s="282" t="e">
        <f>(INDEX(Tabla6[#All],MATCH(Tabla4[[#This Row],[Producto]],Tabla6[[#All],[PRODUCTO]],0),MATCH(Tabla4[[#This Row],[Mes]],Tabla6[#Headers],0)))*(1+Catalogos!$L$2)</f>
        <v>#N/A</v>
      </c>
      <c r="N2672" s="283" t="e">
        <f>+(Tabla4[[#This Row],[Precio Descontado]]-Tabla4[[#This Row],[Precio Base]])*Tabla4[[#This Row],[Cantidad]]</f>
        <v>#N/A</v>
      </c>
      <c r="O2672" s="284" t="e">
        <f>++Tabla4[[#This Row],[Utilidad Total]]/Tabla4[[#This Row],[Total]]</f>
        <v>#N/A</v>
      </c>
      <c r="P2672" s="282">
        <f>++Tabla4[[#This Row],[Precio Descontado]]*Tabla4[[#This Row],[Cantidad]]</f>
        <v>522.65119499999992</v>
      </c>
      <c r="Q2672" s="282" t="e">
        <f>(INDEX(Tabla6[#All],MATCH(Tabla4[[#This Row],[Producto]],Tabla6[[#All],[PRODUCTO]],0),MATCH(Tabla4[[#This Row],[Mes]],Tabla6[#Headers],0)))</f>
        <v>#N/A</v>
      </c>
      <c r="R2672" s="282" t="e">
        <f>++Tabla4[[#This Row],[Precio Unitario Neto]]-Tabla4[[#This Row],[20.85%]]-Tabla4[[#This Row],[Costo]]</f>
        <v>#N/A</v>
      </c>
      <c r="S2672" s="282" t="e">
        <f>++Tabla4[[#This Row],[U. Bruta Uni]]*Tabla4[[#This Row],[Cantidad]]</f>
        <v>#N/A</v>
      </c>
      <c r="T2672" s="369" t="str">
        <f>VLOOKUP(Tabla4[[#This Row],[Producto]],Tabla6[#All],14,FALSE)</f>
        <v>Termico Solar</v>
      </c>
      <c r="U2672" s="284" t="e">
        <f>(IF(Tabla4[[#This Row],[Familia]]="termico solar",Tabla4[[#This Row],[Utilidad Total]]*6%,Tabla4[[#This Row],[Utilidad Total]]*11.5%))/Tabla4[[#This Row],[Total]]</f>
        <v>#N/A</v>
      </c>
      <c r="V2672" s="282" t="e">
        <f>+Tabla4[[#This Row],[Comisión Calculada]]*Tabla4[[#This Row],[Total]]</f>
        <v>#N/A</v>
      </c>
    </row>
    <row r="2673" spans="1:22" hidden="1" x14ac:dyDescent="0.25">
      <c r="A2673" s="100">
        <v>45792</v>
      </c>
      <c r="B2673" t="str">
        <f t="shared" si="125"/>
        <v>May</v>
      </c>
      <c r="C2673" s="46" t="s">
        <v>280</v>
      </c>
      <c r="F2673" s="366" t="s">
        <v>1747</v>
      </c>
      <c r="G2673" s="46" t="s">
        <v>209</v>
      </c>
      <c r="H2673" s="46">
        <v>9</v>
      </c>
      <c r="I2673" s="51">
        <v>347.48</v>
      </c>
      <c r="J2673" s="281">
        <f>++Tabla4[[#This Row],[Precio Bruto]]*1.16</f>
        <v>403.07679999999999</v>
      </c>
      <c r="K2673" s="281">
        <f>+Tabla4[[#This Row],[Precio Unitario Neto]]*Tabla4[[#Headers],[20.85%]]</f>
        <v>84.041512799999992</v>
      </c>
      <c r="L2673" s="282">
        <f>++Tabla4[[#This Row],[Precio Unitario Neto]]-Tabla4[[#This Row],[20.85%]]</f>
        <v>319.03528719999997</v>
      </c>
      <c r="M2673" s="282" t="e">
        <f>(INDEX(Tabla6[#All],MATCH(Tabla4[[#This Row],[Producto]],Tabla6[[#All],[PRODUCTO]],0),MATCH(Tabla4[[#This Row],[Mes]],Tabla6[#Headers],0)))*(1+Catalogos!$L$2)</f>
        <v>#N/A</v>
      </c>
      <c r="N2673" s="283" t="e">
        <f>+(Tabla4[[#This Row],[Precio Descontado]]-Tabla4[[#This Row],[Precio Base]])*Tabla4[[#This Row],[Cantidad]]</f>
        <v>#N/A</v>
      </c>
      <c r="O2673" s="284" t="e">
        <f>++Tabla4[[#This Row],[Utilidad Total]]/Tabla4[[#This Row],[Total]]</f>
        <v>#N/A</v>
      </c>
      <c r="P2673" s="282">
        <f>++Tabla4[[#This Row],[Precio Descontado]]*Tabla4[[#This Row],[Cantidad]]</f>
        <v>2871.3175847999996</v>
      </c>
      <c r="Q2673" s="282" t="e">
        <f>(INDEX(Tabla6[#All],MATCH(Tabla4[[#This Row],[Producto]],Tabla6[[#All],[PRODUCTO]],0),MATCH(Tabla4[[#This Row],[Mes]],Tabla6[#Headers],0)))</f>
        <v>#N/A</v>
      </c>
      <c r="R2673" s="282" t="e">
        <f>++Tabla4[[#This Row],[Precio Unitario Neto]]-Tabla4[[#This Row],[20.85%]]-Tabla4[[#This Row],[Costo]]</f>
        <v>#N/A</v>
      </c>
      <c r="S2673" s="282" t="e">
        <f>++Tabla4[[#This Row],[U. Bruta Uni]]*Tabla4[[#This Row],[Cantidad]]</f>
        <v>#N/A</v>
      </c>
      <c r="T2673" s="369" t="str">
        <f>VLOOKUP(Tabla4[[#This Row],[Producto]],Tabla6[#All],14,FALSE)</f>
        <v>Termico Solar</v>
      </c>
      <c r="U2673" s="284" t="e">
        <f>(IF(Tabla4[[#This Row],[Familia]]="termico solar",Tabla4[[#This Row],[Utilidad Total]]*6%,Tabla4[[#This Row],[Utilidad Total]]*11.5%))/Tabla4[[#This Row],[Total]]</f>
        <v>#N/A</v>
      </c>
      <c r="V2673" s="282" t="e">
        <f>+Tabla4[[#This Row],[Comisión Calculada]]*Tabla4[[#This Row],[Total]]</f>
        <v>#N/A</v>
      </c>
    </row>
    <row r="2674" spans="1:22" hidden="1" x14ac:dyDescent="0.25">
      <c r="A2674" s="100">
        <v>45792</v>
      </c>
      <c r="B2674" t="str">
        <f t="shared" si="125"/>
        <v>May</v>
      </c>
      <c r="C2674" s="46" t="s">
        <v>280</v>
      </c>
      <c r="F2674" s="366" t="s">
        <v>1748</v>
      </c>
      <c r="G2674" s="46" t="s">
        <v>19</v>
      </c>
      <c r="H2674" s="46">
        <v>2</v>
      </c>
      <c r="I2674" s="51">
        <v>6412.03</v>
      </c>
      <c r="J2674" s="281">
        <f>++Tabla4[[#This Row],[Precio Bruto]]*1.16</f>
        <v>7437.9547999999995</v>
      </c>
      <c r="K2674" s="281">
        <f>+Tabla4[[#This Row],[Precio Unitario Neto]]*Tabla4[[#Headers],[20.85%]]</f>
        <v>1550.8135757999999</v>
      </c>
      <c r="L2674" s="282">
        <f>++Tabla4[[#This Row],[Precio Unitario Neto]]-Tabla4[[#This Row],[20.85%]]</f>
        <v>5887.1412241999997</v>
      </c>
      <c r="M2674" s="282" t="e">
        <f>(INDEX(Tabla6[#All],MATCH(Tabla4[[#This Row],[Producto]],Tabla6[[#All],[PRODUCTO]],0),MATCH(Tabla4[[#This Row],[Mes]],Tabla6[#Headers],0)))*(1+Catalogos!$L$2)</f>
        <v>#N/A</v>
      </c>
      <c r="N2674" s="283" t="e">
        <f>+(Tabla4[[#This Row],[Precio Descontado]]-Tabla4[[#This Row],[Precio Base]])*Tabla4[[#This Row],[Cantidad]]</f>
        <v>#N/A</v>
      </c>
      <c r="O2674" s="284" t="e">
        <f>++Tabla4[[#This Row],[Utilidad Total]]/Tabla4[[#This Row],[Total]]</f>
        <v>#N/A</v>
      </c>
      <c r="P2674" s="282">
        <f>++Tabla4[[#This Row],[Precio Descontado]]*Tabla4[[#This Row],[Cantidad]]</f>
        <v>11774.282448399999</v>
      </c>
      <c r="Q2674" s="282" t="e">
        <f>(INDEX(Tabla6[#All],MATCH(Tabla4[[#This Row],[Producto]],Tabla6[[#All],[PRODUCTO]],0),MATCH(Tabla4[[#This Row],[Mes]],Tabla6[#Headers],0)))</f>
        <v>#N/A</v>
      </c>
      <c r="R2674" s="282" t="e">
        <f>++Tabla4[[#This Row],[Precio Unitario Neto]]-Tabla4[[#This Row],[20.85%]]-Tabla4[[#This Row],[Costo]]</f>
        <v>#N/A</v>
      </c>
      <c r="S2674" s="282" t="e">
        <f>++Tabla4[[#This Row],[U. Bruta Uni]]*Tabla4[[#This Row],[Cantidad]]</f>
        <v>#N/A</v>
      </c>
      <c r="T2674" s="369" t="str">
        <f>VLOOKUP(Tabla4[[#This Row],[Producto]],Tabla6[#All],14,FALSE)</f>
        <v>Termico Solar</v>
      </c>
      <c r="U2674" s="284" t="e">
        <f>(IF(Tabla4[[#This Row],[Familia]]="termico solar",Tabla4[[#This Row],[Utilidad Total]]*6%,Tabla4[[#This Row],[Utilidad Total]]*11.5%))/Tabla4[[#This Row],[Total]]</f>
        <v>#N/A</v>
      </c>
      <c r="V2674" s="282" t="e">
        <f>+Tabla4[[#This Row],[Comisión Calculada]]*Tabla4[[#This Row],[Total]]</f>
        <v>#N/A</v>
      </c>
    </row>
    <row r="2675" spans="1:22" hidden="1" x14ac:dyDescent="0.25">
      <c r="A2675" s="100">
        <v>45792</v>
      </c>
      <c r="B2675" t="str">
        <f t="shared" si="125"/>
        <v>May</v>
      </c>
      <c r="C2675" s="46" t="s">
        <v>280</v>
      </c>
      <c r="F2675" s="366" t="s">
        <v>1748</v>
      </c>
      <c r="G2675" s="46" t="s">
        <v>566</v>
      </c>
      <c r="H2675" s="46">
        <v>1</v>
      </c>
      <c r="I2675" s="51">
        <v>2109.4499999999998</v>
      </c>
      <c r="J2675" s="281">
        <f>++Tabla4[[#This Row],[Precio Bruto]]*1.16</f>
        <v>2446.9619999999995</v>
      </c>
      <c r="K2675" s="281">
        <f>+Tabla4[[#This Row],[Precio Unitario Neto]]*Tabla4[[#Headers],[20.85%]]</f>
        <v>510.19157699999988</v>
      </c>
      <c r="L2675" s="282">
        <f>++Tabla4[[#This Row],[Precio Unitario Neto]]-Tabla4[[#This Row],[20.85%]]</f>
        <v>1936.7704229999997</v>
      </c>
      <c r="M2675" s="282" t="e">
        <f>(INDEX(Tabla6[#All],MATCH(Tabla4[[#This Row],[Producto]],Tabla6[[#All],[PRODUCTO]],0),MATCH(Tabla4[[#This Row],[Mes]],Tabla6[#Headers],0)))*(1+Catalogos!$L$2)</f>
        <v>#N/A</v>
      </c>
      <c r="N2675" s="283" t="e">
        <f>+(Tabla4[[#This Row],[Precio Descontado]]-Tabla4[[#This Row],[Precio Base]])*Tabla4[[#This Row],[Cantidad]]</f>
        <v>#N/A</v>
      </c>
      <c r="O2675" s="284" t="e">
        <f>++Tabla4[[#This Row],[Utilidad Total]]/Tabla4[[#This Row],[Total]]</f>
        <v>#N/A</v>
      </c>
      <c r="P2675" s="282">
        <f>++Tabla4[[#This Row],[Precio Descontado]]*Tabla4[[#This Row],[Cantidad]]</f>
        <v>1936.7704229999997</v>
      </c>
      <c r="Q2675" s="282" t="e">
        <f>(INDEX(Tabla6[#All],MATCH(Tabla4[[#This Row],[Producto]],Tabla6[[#All],[PRODUCTO]],0),MATCH(Tabla4[[#This Row],[Mes]],Tabla6[#Headers],0)))</f>
        <v>#N/A</v>
      </c>
      <c r="R2675" s="282" t="e">
        <f>++Tabla4[[#This Row],[Precio Unitario Neto]]-Tabla4[[#This Row],[20.85%]]-Tabla4[[#This Row],[Costo]]</f>
        <v>#N/A</v>
      </c>
      <c r="S2675" s="282" t="e">
        <f>++Tabla4[[#This Row],[U. Bruta Uni]]*Tabla4[[#This Row],[Cantidad]]</f>
        <v>#N/A</v>
      </c>
      <c r="T2675" s="369" t="str">
        <f>VLOOKUP(Tabla4[[#This Row],[Producto]],Tabla6[#All],14,FALSE)</f>
        <v>Termico Solar</v>
      </c>
      <c r="U2675" s="284" t="e">
        <f>(IF(Tabla4[[#This Row],[Familia]]="termico solar",Tabla4[[#This Row],[Utilidad Total]]*6%,Tabla4[[#This Row],[Utilidad Total]]*11.5%))/Tabla4[[#This Row],[Total]]</f>
        <v>#N/A</v>
      </c>
      <c r="V2675" s="282" t="e">
        <f>+Tabla4[[#This Row],[Comisión Calculada]]*Tabla4[[#This Row],[Total]]</f>
        <v>#N/A</v>
      </c>
    </row>
    <row r="2676" spans="1:22" hidden="1" x14ac:dyDescent="0.25">
      <c r="A2676" s="100">
        <v>45792</v>
      </c>
      <c r="B2676" t="str">
        <f t="shared" si="125"/>
        <v>May</v>
      </c>
      <c r="C2676" s="46" t="s">
        <v>280</v>
      </c>
      <c r="F2676" s="366" t="s">
        <v>1749</v>
      </c>
      <c r="G2676" s="46" t="s">
        <v>208</v>
      </c>
      <c r="H2676" s="46">
        <v>1</v>
      </c>
      <c r="I2676" s="51">
        <v>189.75</v>
      </c>
      <c r="J2676" s="281">
        <f>++Tabla4[[#This Row],[Precio Bruto]]*1.16</f>
        <v>220.10999999999999</v>
      </c>
      <c r="K2676" s="281">
        <f>+Tabla4[[#This Row],[Precio Unitario Neto]]*Tabla4[[#Headers],[20.85%]]</f>
        <v>45.892934999999994</v>
      </c>
      <c r="L2676" s="282">
        <f>++Tabla4[[#This Row],[Precio Unitario Neto]]-Tabla4[[#This Row],[20.85%]]</f>
        <v>174.21706499999999</v>
      </c>
      <c r="M2676" s="282" t="e">
        <f>(INDEX(Tabla6[#All],MATCH(Tabla4[[#This Row],[Producto]],Tabla6[[#All],[PRODUCTO]],0),MATCH(Tabla4[[#This Row],[Mes]],Tabla6[#Headers],0)))*(1+Catalogos!$L$2)</f>
        <v>#N/A</v>
      </c>
      <c r="N2676" s="283" t="e">
        <f>+(Tabla4[[#This Row],[Precio Descontado]]-Tabla4[[#This Row],[Precio Base]])*Tabla4[[#This Row],[Cantidad]]</f>
        <v>#N/A</v>
      </c>
      <c r="O2676" s="284" t="e">
        <f>++Tabla4[[#This Row],[Utilidad Total]]/Tabla4[[#This Row],[Total]]</f>
        <v>#N/A</v>
      </c>
      <c r="P2676" s="282">
        <f>++Tabla4[[#This Row],[Precio Descontado]]*Tabla4[[#This Row],[Cantidad]]</f>
        <v>174.21706499999999</v>
      </c>
      <c r="Q2676" s="282" t="e">
        <f>(INDEX(Tabla6[#All],MATCH(Tabla4[[#This Row],[Producto]],Tabla6[[#All],[PRODUCTO]],0),MATCH(Tabla4[[#This Row],[Mes]],Tabla6[#Headers],0)))</f>
        <v>#N/A</v>
      </c>
      <c r="R2676" s="282" t="e">
        <f>++Tabla4[[#This Row],[Precio Unitario Neto]]-Tabla4[[#This Row],[20.85%]]-Tabla4[[#This Row],[Costo]]</f>
        <v>#N/A</v>
      </c>
      <c r="S2676" s="282" t="e">
        <f>++Tabla4[[#This Row],[U. Bruta Uni]]*Tabla4[[#This Row],[Cantidad]]</f>
        <v>#N/A</v>
      </c>
      <c r="T2676" s="369" t="str">
        <f>VLOOKUP(Tabla4[[#This Row],[Producto]],Tabla6[#All],14,FALSE)</f>
        <v>Termico Solar</v>
      </c>
      <c r="U2676" s="284" t="e">
        <f>(IF(Tabla4[[#This Row],[Familia]]="termico solar",Tabla4[[#This Row],[Utilidad Total]]*6%,Tabla4[[#This Row],[Utilidad Total]]*11.5%))/Tabla4[[#This Row],[Total]]</f>
        <v>#N/A</v>
      </c>
      <c r="V2676" s="282" t="e">
        <f>+Tabla4[[#This Row],[Comisión Calculada]]*Tabla4[[#This Row],[Total]]</f>
        <v>#N/A</v>
      </c>
    </row>
    <row r="2677" spans="1:22" hidden="1" x14ac:dyDescent="0.25">
      <c r="A2677" s="100">
        <v>45792</v>
      </c>
      <c r="B2677" t="str">
        <f t="shared" si="125"/>
        <v>May</v>
      </c>
      <c r="C2677" s="46" t="s">
        <v>280</v>
      </c>
      <c r="F2677" s="366" t="s">
        <v>1750</v>
      </c>
      <c r="G2677" s="46" t="s">
        <v>17</v>
      </c>
      <c r="H2677" s="46">
        <v>2</v>
      </c>
      <c r="I2677" s="51">
        <v>4622.28</v>
      </c>
      <c r="J2677" s="281">
        <f>++Tabla4[[#This Row],[Precio Bruto]]*1.16</f>
        <v>5361.8447999999989</v>
      </c>
      <c r="K2677" s="281">
        <f>+Tabla4[[#This Row],[Precio Unitario Neto]]*Tabla4[[#Headers],[20.85%]]</f>
        <v>1117.9446407999997</v>
      </c>
      <c r="L2677" s="282">
        <f>++Tabla4[[#This Row],[Precio Unitario Neto]]-Tabla4[[#This Row],[20.85%]]</f>
        <v>4243.9001591999995</v>
      </c>
      <c r="M2677" s="282" t="e">
        <f>(INDEX(Tabla6[#All],MATCH(Tabla4[[#This Row],[Producto]],Tabla6[[#All],[PRODUCTO]],0),MATCH(Tabla4[[#This Row],[Mes]],Tabla6[#Headers],0)))*(1+Catalogos!$L$2)</f>
        <v>#N/A</v>
      </c>
      <c r="N2677" s="283" t="e">
        <f>+(Tabla4[[#This Row],[Precio Descontado]]-Tabla4[[#This Row],[Precio Base]])*Tabla4[[#This Row],[Cantidad]]</f>
        <v>#N/A</v>
      </c>
      <c r="O2677" s="284" t="e">
        <f>++Tabla4[[#This Row],[Utilidad Total]]/Tabla4[[#This Row],[Total]]</f>
        <v>#N/A</v>
      </c>
      <c r="P2677" s="282">
        <f>++Tabla4[[#This Row],[Precio Descontado]]*Tabla4[[#This Row],[Cantidad]]</f>
        <v>8487.800318399999</v>
      </c>
      <c r="Q2677" s="282" t="e">
        <f>(INDEX(Tabla6[#All],MATCH(Tabla4[[#This Row],[Producto]],Tabla6[[#All],[PRODUCTO]],0),MATCH(Tabla4[[#This Row],[Mes]],Tabla6[#Headers],0)))</f>
        <v>#N/A</v>
      </c>
      <c r="R2677" s="282" t="e">
        <f>++Tabla4[[#This Row],[Precio Unitario Neto]]-Tabla4[[#This Row],[20.85%]]-Tabla4[[#This Row],[Costo]]</f>
        <v>#N/A</v>
      </c>
      <c r="S2677" s="282" t="e">
        <f>++Tabla4[[#This Row],[U. Bruta Uni]]*Tabla4[[#This Row],[Cantidad]]</f>
        <v>#N/A</v>
      </c>
      <c r="T2677" s="369" t="str">
        <f>VLOOKUP(Tabla4[[#This Row],[Producto]],Tabla6[#All],14,FALSE)</f>
        <v>Termico Solar</v>
      </c>
      <c r="U2677" s="284" t="e">
        <f>(IF(Tabla4[[#This Row],[Familia]]="termico solar",Tabla4[[#This Row],[Utilidad Total]]*6%,Tabla4[[#This Row],[Utilidad Total]]*11.5%))/Tabla4[[#This Row],[Total]]</f>
        <v>#N/A</v>
      </c>
      <c r="V2677" s="282" t="e">
        <f>+Tabla4[[#This Row],[Comisión Calculada]]*Tabla4[[#This Row],[Total]]</f>
        <v>#N/A</v>
      </c>
    </row>
    <row r="2678" spans="1:22" hidden="1" x14ac:dyDescent="0.25">
      <c r="A2678" s="100">
        <v>45792</v>
      </c>
      <c r="B2678" t="str">
        <f t="shared" si="125"/>
        <v>May</v>
      </c>
      <c r="C2678" s="46" t="s">
        <v>280</v>
      </c>
      <c r="F2678" s="366" t="s">
        <v>1750</v>
      </c>
      <c r="G2678" s="46" t="s">
        <v>16</v>
      </c>
      <c r="H2678" s="46">
        <v>2</v>
      </c>
      <c r="I2678" s="51">
        <v>4103.8500000000004</v>
      </c>
      <c r="J2678" s="281">
        <f>++Tabla4[[#This Row],[Precio Bruto]]*1.16</f>
        <v>4760.4660000000003</v>
      </c>
      <c r="K2678" s="281">
        <f>+Tabla4[[#This Row],[Precio Unitario Neto]]*Tabla4[[#Headers],[20.85%]]</f>
        <v>992.55716100000006</v>
      </c>
      <c r="L2678" s="282">
        <f>++Tabla4[[#This Row],[Precio Unitario Neto]]-Tabla4[[#This Row],[20.85%]]</f>
        <v>3767.9088390000002</v>
      </c>
      <c r="M2678" s="282" t="e">
        <f>(INDEX(Tabla6[#All],MATCH(Tabla4[[#This Row],[Producto]],Tabla6[[#All],[PRODUCTO]],0),MATCH(Tabla4[[#This Row],[Mes]],Tabla6[#Headers],0)))*(1+Catalogos!$L$2)</f>
        <v>#N/A</v>
      </c>
      <c r="N2678" s="283" t="e">
        <f>+(Tabla4[[#This Row],[Precio Descontado]]-Tabla4[[#This Row],[Precio Base]])*Tabla4[[#This Row],[Cantidad]]</f>
        <v>#N/A</v>
      </c>
      <c r="O2678" s="284" t="e">
        <f>++Tabla4[[#This Row],[Utilidad Total]]/Tabla4[[#This Row],[Total]]</f>
        <v>#N/A</v>
      </c>
      <c r="P2678" s="282">
        <f>++Tabla4[[#This Row],[Precio Descontado]]*Tabla4[[#This Row],[Cantidad]]</f>
        <v>7535.8176780000003</v>
      </c>
      <c r="Q2678" s="282" t="e">
        <f>(INDEX(Tabla6[#All],MATCH(Tabla4[[#This Row],[Producto]],Tabla6[[#All],[PRODUCTO]],0),MATCH(Tabla4[[#This Row],[Mes]],Tabla6[#Headers],0)))</f>
        <v>#N/A</v>
      </c>
      <c r="R2678" s="282" t="e">
        <f>++Tabla4[[#This Row],[Precio Unitario Neto]]-Tabla4[[#This Row],[20.85%]]-Tabla4[[#This Row],[Costo]]</f>
        <v>#N/A</v>
      </c>
      <c r="S2678" s="282" t="e">
        <f>++Tabla4[[#This Row],[U. Bruta Uni]]*Tabla4[[#This Row],[Cantidad]]</f>
        <v>#N/A</v>
      </c>
      <c r="T2678" s="369" t="str">
        <f>VLOOKUP(Tabla4[[#This Row],[Producto]],Tabla6[#All],14,FALSE)</f>
        <v>Termico Solar</v>
      </c>
      <c r="U2678" s="284" t="e">
        <f>(IF(Tabla4[[#This Row],[Familia]]="termico solar",Tabla4[[#This Row],[Utilidad Total]]*6%,Tabla4[[#This Row],[Utilidad Total]]*11.5%))/Tabla4[[#This Row],[Total]]</f>
        <v>#N/A</v>
      </c>
      <c r="V2678" s="282" t="e">
        <f>+Tabla4[[#This Row],[Comisión Calculada]]*Tabla4[[#This Row],[Total]]</f>
        <v>#N/A</v>
      </c>
    </row>
    <row r="2679" spans="1:22" hidden="1" x14ac:dyDescent="0.25">
      <c r="A2679" s="100">
        <v>45792</v>
      </c>
      <c r="B2679" t="str">
        <f t="shared" si="125"/>
        <v>May</v>
      </c>
      <c r="C2679" s="46" t="s">
        <v>280</v>
      </c>
      <c r="F2679" s="366" t="s">
        <v>1750</v>
      </c>
      <c r="G2679" s="46" t="s">
        <v>208</v>
      </c>
      <c r="H2679" s="46">
        <v>2</v>
      </c>
      <c r="I2679" s="51">
        <v>189.75</v>
      </c>
      <c r="J2679" s="281">
        <f>++Tabla4[[#This Row],[Precio Bruto]]*1.16</f>
        <v>220.10999999999999</v>
      </c>
      <c r="K2679" s="281">
        <f>+Tabla4[[#This Row],[Precio Unitario Neto]]*Tabla4[[#Headers],[20.85%]]</f>
        <v>45.892934999999994</v>
      </c>
      <c r="L2679" s="282">
        <f>++Tabla4[[#This Row],[Precio Unitario Neto]]-Tabla4[[#This Row],[20.85%]]</f>
        <v>174.21706499999999</v>
      </c>
      <c r="M2679" s="282" t="e">
        <f>(INDEX(Tabla6[#All],MATCH(Tabla4[[#This Row],[Producto]],Tabla6[[#All],[PRODUCTO]],0),MATCH(Tabla4[[#This Row],[Mes]],Tabla6[#Headers],0)))*(1+Catalogos!$L$2)</f>
        <v>#N/A</v>
      </c>
      <c r="N2679" s="283" t="e">
        <f>+(Tabla4[[#This Row],[Precio Descontado]]-Tabla4[[#This Row],[Precio Base]])*Tabla4[[#This Row],[Cantidad]]</f>
        <v>#N/A</v>
      </c>
      <c r="O2679" s="284" t="e">
        <f>++Tabla4[[#This Row],[Utilidad Total]]/Tabla4[[#This Row],[Total]]</f>
        <v>#N/A</v>
      </c>
      <c r="P2679" s="282">
        <f>++Tabla4[[#This Row],[Precio Descontado]]*Tabla4[[#This Row],[Cantidad]]</f>
        <v>348.43412999999998</v>
      </c>
      <c r="Q2679" s="282" t="e">
        <f>(INDEX(Tabla6[#All],MATCH(Tabla4[[#This Row],[Producto]],Tabla6[[#All],[PRODUCTO]],0),MATCH(Tabla4[[#This Row],[Mes]],Tabla6[#Headers],0)))</f>
        <v>#N/A</v>
      </c>
      <c r="R2679" s="282" t="e">
        <f>++Tabla4[[#This Row],[Precio Unitario Neto]]-Tabla4[[#This Row],[20.85%]]-Tabla4[[#This Row],[Costo]]</f>
        <v>#N/A</v>
      </c>
      <c r="S2679" s="282" t="e">
        <f>++Tabla4[[#This Row],[U. Bruta Uni]]*Tabla4[[#This Row],[Cantidad]]</f>
        <v>#N/A</v>
      </c>
      <c r="T2679" s="369" t="str">
        <f>VLOOKUP(Tabla4[[#This Row],[Producto]],Tabla6[#All],14,FALSE)</f>
        <v>Termico Solar</v>
      </c>
      <c r="U2679" s="284" t="e">
        <f>(IF(Tabla4[[#This Row],[Familia]]="termico solar",Tabla4[[#This Row],[Utilidad Total]]*6%,Tabla4[[#This Row],[Utilidad Total]]*11.5%))/Tabla4[[#This Row],[Total]]</f>
        <v>#N/A</v>
      </c>
      <c r="V2679" s="282" t="e">
        <f>+Tabla4[[#This Row],[Comisión Calculada]]*Tabla4[[#This Row],[Total]]</f>
        <v>#N/A</v>
      </c>
    </row>
    <row r="2680" spans="1:22" hidden="1" x14ac:dyDescent="0.25">
      <c r="A2680" s="100">
        <v>45792</v>
      </c>
      <c r="B2680" t="str">
        <f t="shared" si="125"/>
        <v>May</v>
      </c>
      <c r="C2680" s="46" t="s">
        <v>280</v>
      </c>
      <c r="F2680" s="366" t="s">
        <v>1751</v>
      </c>
      <c r="G2680" s="46" t="s">
        <v>566</v>
      </c>
      <c r="H2680" s="46">
        <v>1</v>
      </c>
      <c r="I2680" s="51">
        <v>2109.4499999999998</v>
      </c>
      <c r="J2680" s="281">
        <f>++Tabla4[[#This Row],[Precio Bruto]]*1.16</f>
        <v>2446.9619999999995</v>
      </c>
      <c r="K2680" s="281">
        <f>+Tabla4[[#This Row],[Precio Unitario Neto]]*Tabla4[[#Headers],[20.85%]]</f>
        <v>510.19157699999988</v>
      </c>
      <c r="L2680" s="282">
        <f>++Tabla4[[#This Row],[Precio Unitario Neto]]-Tabla4[[#This Row],[20.85%]]</f>
        <v>1936.7704229999997</v>
      </c>
      <c r="M2680" s="282" t="e">
        <f>(INDEX(Tabla6[#All],MATCH(Tabla4[[#This Row],[Producto]],Tabla6[[#All],[PRODUCTO]],0),MATCH(Tabla4[[#This Row],[Mes]],Tabla6[#Headers],0)))*(1+Catalogos!$L$2)</f>
        <v>#N/A</v>
      </c>
      <c r="N2680" s="283" t="e">
        <f>+(Tabla4[[#This Row],[Precio Descontado]]-Tabla4[[#This Row],[Precio Base]])*Tabla4[[#This Row],[Cantidad]]</f>
        <v>#N/A</v>
      </c>
      <c r="O2680" s="284" t="e">
        <f>++Tabla4[[#This Row],[Utilidad Total]]/Tabla4[[#This Row],[Total]]</f>
        <v>#N/A</v>
      </c>
      <c r="P2680" s="282">
        <f>++Tabla4[[#This Row],[Precio Descontado]]*Tabla4[[#This Row],[Cantidad]]</f>
        <v>1936.7704229999997</v>
      </c>
      <c r="Q2680" s="282" t="e">
        <f>(INDEX(Tabla6[#All],MATCH(Tabla4[[#This Row],[Producto]],Tabla6[[#All],[PRODUCTO]],0),MATCH(Tabla4[[#This Row],[Mes]],Tabla6[#Headers],0)))</f>
        <v>#N/A</v>
      </c>
      <c r="R2680" s="282" t="e">
        <f>++Tabla4[[#This Row],[Precio Unitario Neto]]-Tabla4[[#This Row],[20.85%]]-Tabla4[[#This Row],[Costo]]</f>
        <v>#N/A</v>
      </c>
      <c r="S2680" s="282" t="e">
        <f>++Tabla4[[#This Row],[U. Bruta Uni]]*Tabla4[[#This Row],[Cantidad]]</f>
        <v>#N/A</v>
      </c>
      <c r="T2680" s="369" t="str">
        <f>VLOOKUP(Tabla4[[#This Row],[Producto]],Tabla6[#All],14,FALSE)</f>
        <v>Termico Solar</v>
      </c>
      <c r="U2680" s="284" t="e">
        <f>(IF(Tabla4[[#This Row],[Familia]]="termico solar",Tabla4[[#This Row],[Utilidad Total]]*6%,Tabla4[[#This Row],[Utilidad Total]]*11.5%))/Tabla4[[#This Row],[Total]]</f>
        <v>#N/A</v>
      </c>
      <c r="V2680" s="282" t="e">
        <f>+Tabla4[[#This Row],[Comisión Calculada]]*Tabla4[[#This Row],[Total]]</f>
        <v>#N/A</v>
      </c>
    </row>
    <row r="2681" spans="1:22" hidden="1" x14ac:dyDescent="0.25">
      <c r="A2681" s="100">
        <v>45792</v>
      </c>
      <c r="B2681" t="str">
        <f t="shared" si="125"/>
        <v>May</v>
      </c>
      <c r="C2681" s="46" t="s">
        <v>280</v>
      </c>
      <c r="F2681" s="366" t="s">
        <v>1752</v>
      </c>
      <c r="G2681" s="46" t="s">
        <v>208</v>
      </c>
      <c r="H2681" s="46">
        <v>1</v>
      </c>
      <c r="I2681" s="51">
        <v>189.75</v>
      </c>
      <c r="J2681" s="281">
        <f>++Tabla4[[#This Row],[Precio Bruto]]*1.16</f>
        <v>220.10999999999999</v>
      </c>
      <c r="K2681" s="281">
        <f>+Tabla4[[#This Row],[Precio Unitario Neto]]*Tabla4[[#Headers],[20.85%]]</f>
        <v>45.892934999999994</v>
      </c>
      <c r="L2681" s="282">
        <f>++Tabla4[[#This Row],[Precio Unitario Neto]]-Tabla4[[#This Row],[20.85%]]</f>
        <v>174.21706499999999</v>
      </c>
      <c r="M2681" s="282" t="e">
        <f>(INDEX(Tabla6[#All],MATCH(Tabla4[[#This Row],[Producto]],Tabla6[[#All],[PRODUCTO]],0),MATCH(Tabla4[[#This Row],[Mes]],Tabla6[#Headers],0)))*(1+Catalogos!$L$2)</f>
        <v>#N/A</v>
      </c>
      <c r="N2681" s="283" t="e">
        <f>+(Tabla4[[#This Row],[Precio Descontado]]-Tabla4[[#This Row],[Precio Base]])*Tabla4[[#This Row],[Cantidad]]</f>
        <v>#N/A</v>
      </c>
      <c r="O2681" s="284" t="e">
        <f>++Tabla4[[#This Row],[Utilidad Total]]/Tabla4[[#This Row],[Total]]</f>
        <v>#N/A</v>
      </c>
      <c r="P2681" s="282">
        <f>++Tabla4[[#This Row],[Precio Descontado]]*Tabla4[[#This Row],[Cantidad]]</f>
        <v>174.21706499999999</v>
      </c>
      <c r="Q2681" s="282" t="e">
        <f>(INDEX(Tabla6[#All],MATCH(Tabla4[[#This Row],[Producto]],Tabla6[[#All],[PRODUCTO]],0),MATCH(Tabla4[[#This Row],[Mes]],Tabla6[#Headers],0)))</f>
        <v>#N/A</v>
      </c>
      <c r="R2681" s="282" t="e">
        <f>++Tabla4[[#This Row],[Precio Unitario Neto]]-Tabla4[[#This Row],[20.85%]]-Tabla4[[#This Row],[Costo]]</f>
        <v>#N/A</v>
      </c>
      <c r="S2681" s="282" t="e">
        <f>++Tabla4[[#This Row],[U. Bruta Uni]]*Tabla4[[#This Row],[Cantidad]]</f>
        <v>#N/A</v>
      </c>
      <c r="T2681" s="369" t="str">
        <f>VLOOKUP(Tabla4[[#This Row],[Producto]],Tabla6[#All],14,FALSE)</f>
        <v>Termico Solar</v>
      </c>
      <c r="U2681" s="284" t="e">
        <f>(IF(Tabla4[[#This Row],[Familia]]="termico solar",Tabla4[[#This Row],[Utilidad Total]]*6%,Tabla4[[#This Row],[Utilidad Total]]*11.5%))/Tabla4[[#This Row],[Total]]</f>
        <v>#N/A</v>
      </c>
      <c r="V2681" s="282" t="e">
        <f>+Tabla4[[#This Row],[Comisión Calculada]]*Tabla4[[#This Row],[Total]]</f>
        <v>#N/A</v>
      </c>
    </row>
    <row r="2682" spans="1:22" hidden="1" x14ac:dyDescent="0.25">
      <c r="A2682" s="100">
        <v>45792</v>
      </c>
      <c r="B2682" t="str">
        <f t="shared" si="125"/>
        <v>May</v>
      </c>
      <c r="C2682" s="46" t="s">
        <v>280</v>
      </c>
      <c r="F2682" s="366" t="s">
        <v>1753</v>
      </c>
      <c r="G2682" s="46" t="s">
        <v>208</v>
      </c>
      <c r="H2682" s="46">
        <v>6</v>
      </c>
      <c r="I2682" s="51">
        <v>189.75</v>
      </c>
      <c r="J2682" s="281">
        <f>++Tabla4[[#This Row],[Precio Bruto]]*1.16</f>
        <v>220.10999999999999</v>
      </c>
      <c r="K2682" s="281">
        <f>+Tabla4[[#This Row],[Precio Unitario Neto]]*Tabla4[[#Headers],[20.85%]]</f>
        <v>45.892934999999994</v>
      </c>
      <c r="L2682" s="282">
        <f>++Tabla4[[#This Row],[Precio Unitario Neto]]-Tabla4[[#This Row],[20.85%]]</f>
        <v>174.21706499999999</v>
      </c>
      <c r="M2682" s="282" t="e">
        <f>(INDEX(Tabla6[#All],MATCH(Tabla4[[#This Row],[Producto]],Tabla6[[#All],[PRODUCTO]],0),MATCH(Tabla4[[#This Row],[Mes]],Tabla6[#Headers],0)))*(1+Catalogos!$L$2)</f>
        <v>#N/A</v>
      </c>
      <c r="N2682" s="283" t="e">
        <f>+(Tabla4[[#This Row],[Precio Descontado]]-Tabla4[[#This Row],[Precio Base]])*Tabla4[[#This Row],[Cantidad]]</f>
        <v>#N/A</v>
      </c>
      <c r="O2682" s="284" t="e">
        <f>++Tabla4[[#This Row],[Utilidad Total]]/Tabla4[[#This Row],[Total]]</f>
        <v>#N/A</v>
      </c>
      <c r="P2682" s="282">
        <f>++Tabla4[[#This Row],[Precio Descontado]]*Tabla4[[#This Row],[Cantidad]]</f>
        <v>1045.3023899999998</v>
      </c>
      <c r="Q2682" s="282" t="e">
        <f>(INDEX(Tabla6[#All],MATCH(Tabla4[[#This Row],[Producto]],Tabla6[[#All],[PRODUCTO]],0),MATCH(Tabla4[[#This Row],[Mes]],Tabla6[#Headers],0)))</f>
        <v>#N/A</v>
      </c>
      <c r="R2682" s="282" t="e">
        <f>++Tabla4[[#This Row],[Precio Unitario Neto]]-Tabla4[[#This Row],[20.85%]]-Tabla4[[#This Row],[Costo]]</f>
        <v>#N/A</v>
      </c>
      <c r="S2682" s="282" t="e">
        <f>++Tabla4[[#This Row],[U. Bruta Uni]]*Tabla4[[#This Row],[Cantidad]]</f>
        <v>#N/A</v>
      </c>
      <c r="T2682" s="369" t="str">
        <f>VLOOKUP(Tabla4[[#This Row],[Producto]],Tabla6[#All],14,FALSE)</f>
        <v>Termico Solar</v>
      </c>
      <c r="U2682" s="284" t="e">
        <f>(IF(Tabla4[[#This Row],[Familia]]="termico solar",Tabla4[[#This Row],[Utilidad Total]]*6%,Tabla4[[#This Row],[Utilidad Total]]*11.5%))/Tabla4[[#This Row],[Total]]</f>
        <v>#N/A</v>
      </c>
      <c r="V2682" s="282" t="e">
        <f>+Tabla4[[#This Row],[Comisión Calculada]]*Tabla4[[#This Row],[Total]]</f>
        <v>#N/A</v>
      </c>
    </row>
    <row r="2683" spans="1:22" hidden="1" x14ac:dyDescent="0.25">
      <c r="A2683" s="100">
        <v>45792</v>
      </c>
      <c r="B2683" t="str">
        <f t="shared" si="125"/>
        <v>May</v>
      </c>
      <c r="C2683" s="46" t="s">
        <v>280</v>
      </c>
      <c r="F2683" s="366" t="s">
        <v>1754</v>
      </c>
      <c r="G2683" s="46" t="s">
        <v>83</v>
      </c>
      <c r="H2683" s="46">
        <v>1</v>
      </c>
      <c r="I2683" s="51">
        <v>8858.76</v>
      </c>
      <c r="J2683" s="281">
        <f>++Tabla4[[#This Row],[Precio Bruto]]*1.16</f>
        <v>10276.161599999999</v>
      </c>
      <c r="K2683" s="281">
        <f>+Tabla4[[#This Row],[Precio Unitario Neto]]*Tabla4[[#Headers],[20.85%]]</f>
        <v>2142.5796935999997</v>
      </c>
      <c r="L2683" s="282">
        <f>++Tabla4[[#This Row],[Precio Unitario Neto]]-Tabla4[[#This Row],[20.85%]]</f>
        <v>8133.5819063999998</v>
      </c>
      <c r="M2683" s="282" t="e">
        <f>(INDEX(Tabla6[#All],MATCH(Tabla4[[#This Row],[Producto]],Tabla6[[#All],[PRODUCTO]],0),MATCH(Tabla4[[#This Row],[Mes]],Tabla6[#Headers],0)))*(1+Catalogos!$L$2)</f>
        <v>#N/A</v>
      </c>
      <c r="N2683" s="283" t="e">
        <f>+(Tabla4[[#This Row],[Precio Descontado]]-Tabla4[[#This Row],[Precio Base]])*Tabla4[[#This Row],[Cantidad]]</f>
        <v>#N/A</v>
      </c>
      <c r="O2683" s="284" t="e">
        <f>++Tabla4[[#This Row],[Utilidad Total]]/Tabla4[[#This Row],[Total]]</f>
        <v>#N/A</v>
      </c>
      <c r="P2683" s="282">
        <f>++Tabla4[[#This Row],[Precio Descontado]]*Tabla4[[#This Row],[Cantidad]]</f>
        <v>8133.5819063999998</v>
      </c>
      <c r="Q2683" s="282" t="e">
        <f>(INDEX(Tabla6[#All],MATCH(Tabla4[[#This Row],[Producto]],Tabla6[[#All],[PRODUCTO]],0),MATCH(Tabla4[[#This Row],[Mes]],Tabla6[#Headers],0)))</f>
        <v>#N/A</v>
      </c>
      <c r="R2683" s="282" t="e">
        <f>++Tabla4[[#This Row],[Precio Unitario Neto]]-Tabla4[[#This Row],[20.85%]]-Tabla4[[#This Row],[Costo]]</f>
        <v>#N/A</v>
      </c>
      <c r="S2683" s="282" t="e">
        <f>++Tabla4[[#This Row],[U. Bruta Uni]]*Tabla4[[#This Row],[Cantidad]]</f>
        <v>#N/A</v>
      </c>
      <c r="T2683" s="369" t="str">
        <f>VLOOKUP(Tabla4[[#This Row],[Producto]],Tabla6[#All],14,FALSE)</f>
        <v>Termico Solar</v>
      </c>
      <c r="U2683" s="284" t="e">
        <f>(IF(Tabla4[[#This Row],[Familia]]="termico solar",Tabla4[[#This Row],[Utilidad Total]]*6%,Tabla4[[#This Row],[Utilidad Total]]*11.5%))/Tabla4[[#This Row],[Total]]</f>
        <v>#N/A</v>
      </c>
      <c r="V2683" s="282" t="e">
        <f>+Tabla4[[#This Row],[Comisión Calculada]]*Tabla4[[#This Row],[Total]]</f>
        <v>#N/A</v>
      </c>
    </row>
    <row r="2684" spans="1:22" hidden="1" x14ac:dyDescent="0.25">
      <c r="A2684" s="100">
        <v>45792</v>
      </c>
      <c r="B2684" t="str">
        <f t="shared" si="125"/>
        <v>May</v>
      </c>
      <c r="C2684" s="46" t="s">
        <v>280</v>
      </c>
      <c r="F2684" s="366" t="s">
        <v>1754</v>
      </c>
      <c r="G2684" s="46" t="s">
        <v>16</v>
      </c>
      <c r="H2684" s="46">
        <v>2</v>
      </c>
      <c r="I2684" s="51">
        <v>4103.8500000000004</v>
      </c>
      <c r="J2684" s="281">
        <f>++Tabla4[[#This Row],[Precio Bruto]]*1.16</f>
        <v>4760.4660000000003</v>
      </c>
      <c r="K2684" s="281">
        <f>+Tabla4[[#This Row],[Precio Unitario Neto]]*Tabla4[[#Headers],[20.85%]]</f>
        <v>992.55716100000006</v>
      </c>
      <c r="L2684" s="282">
        <f>++Tabla4[[#This Row],[Precio Unitario Neto]]-Tabla4[[#This Row],[20.85%]]</f>
        <v>3767.9088390000002</v>
      </c>
      <c r="M2684" s="282" t="e">
        <f>(INDEX(Tabla6[#All],MATCH(Tabla4[[#This Row],[Producto]],Tabla6[[#All],[PRODUCTO]],0),MATCH(Tabla4[[#This Row],[Mes]],Tabla6[#Headers],0)))*(1+Catalogos!$L$2)</f>
        <v>#N/A</v>
      </c>
      <c r="N2684" s="283" t="e">
        <f>+(Tabla4[[#This Row],[Precio Descontado]]-Tabla4[[#This Row],[Precio Base]])*Tabla4[[#This Row],[Cantidad]]</f>
        <v>#N/A</v>
      </c>
      <c r="O2684" s="284" t="e">
        <f>++Tabla4[[#This Row],[Utilidad Total]]/Tabla4[[#This Row],[Total]]</f>
        <v>#N/A</v>
      </c>
      <c r="P2684" s="282">
        <f>++Tabla4[[#This Row],[Precio Descontado]]*Tabla4[[#This Row],[Cantidad]]</f>
        <v>7535.8176780000003</v>
      </c>
      <c r="Q2684" s="282" t="e">
        <f>(INDEX(Tabla6[#All],MATCH(Tabla4[[#This Row],[Producto]],Tabla6[[#All],[PRODUCTO]],0),MATCH(Tabla4[[#This Row],[Mes]],Tabla6[#Headers],0)))</f>
        <v>#N/A</v>
      </c>
      <c r="R2684" s="282" t="e">
        <f>++Tabla4[[#This Row],[Precio Unitario Neto]]-Tabla4[[#This Row],[20.85%]]-Tabla4[[#This Row],[Costo]]</f>
        <v>#N/A</v>
      </c>
      <c r="S2684" s="282" t="e">
        <f>++Tabla4[[#This Row],[U. Bruta Uni]]*Tabla4[[#This Row],[Cantidad]]</f>
        <v>#N/A</v>
      </c>
      <c r="T2684" s="369" t="str">
        <f>VLOOKUP(Tabla4[[#This Row],[Producto]],Tabla6[#All],14,FALSE)</f>
        <v>Termico Solar</v>
      </c>
      <c r="U2684" s="284" t="e">
        <f>(IF(Tabla4[[#This Row],[Familia]]="termico solar",Tabla4[[#This Row],[Utilidad Total]]*6%,Tabla4[[#This Row],[Utilidad Total]]*11.5%))/Tabla4[[#This Row],[Total]]</f>
        <v>#N/A</v>
      </c>
      <c r="V2684" s="282" t="e">
        <f>+Tabla4[[#This Row],[Comisión Calculada]]*Tabla4[[#This Row],[Total]]</f>
        <v>#N/A</v>
      </c>
    </row>
    <row r="2685" spans="1:22" hidden="1" x14ac:dyDescent="0.25">
      <c r="A2685" s="100">
        <v>45792</v>
      </c>
      <c r="B2685" t="str">
        <f t="shared" si="125"/>
        <v>May</v>
      </c>
      <c r="C2685" s="46" t="s">
        <v>280</v>
      </c>
      <c r="F2685" s="366" t="s">
        <v>1755</v>
      </c>
      <c r="G2685" s="46" t="s">
        <v>208</v>
      </c>
      <c r="H2685" s="46">
        <v>3</v>
      </c>
      <c r="I2685" s="51">
        <v>189.75</v>
      </c>
      <c r="J2685" s="281">
        <f>++Tabla4[[#This Row],[Precio Bruto]]*1.16</f>
        <v>220.10999999999999</v>
      </c>
      <c r="K2685" s="281">
        <f>+Tabla4[[#This Row],[Precio Unitario Neto]]*Tabla4[[#Headers],[20.85%]]</f>
        <v>45.892934999999994</v>
      </c>
      <c r="L2685" s="282">
        <f>++Tabla4[[#This Row],[Precio Unitario Neto]]-Tabla4[[#This Row],[20.85%]]</f>
        <v>174.21706499999999</v>
      </c>
      <c r="M2685" s="282" t="e">
        <f>(INDEX(Tabla6[#All],MATCH(Tabla4[[#This Row],[Producto]],Tabla6[[#All],[PRODUCTO]],0),MATCH(Tabla4[[#This Row],[Mes]],Tabla6[#Headers],0)))*(1+Catalogos!$L$2)</f>
        <v>#N/A</v>
      </c>
      <c r="N2685" s="283" t="e">
        <f>+(Tabla4[[#This Row],[Precio Descontado]]-Tabla4[[#This Row],[Precio Base]])*Tabla4[[#This Row],[Cantidad]]</f>
        <v>#N/A</v>
      </c>
      <c r="O2685" s="284" t="e">
        <f>++Tabla4[[#This Row],[Utilidad Total]]/Tabla4[[#This Row],[Total]]</f>
        <v>#N/A</v>
      </c>
      <c r="P2685" s="282">
        <f>++Tabla4[[#This Row],[Precio Descontado]]*Tabla4[[#This Row],[Cantidad]]</f>
        <v>522.65119499999992</v>
      </c>
      <c r="Q2685" s="282" t="e">
        <f>(INDEX(Tabla6[#All],MATCH(Tabla4[[#This Row],[Producto]],Tabla6[[#All],[PRODUCTO]],0),MATCH(Tabla4[[#This Row],[Mes]],Tabla6[#Headers],0)))</f>
        <v>#N/A</v>
      </c>
      <c r="R2685" s="282" t="e">
        <f>++Tabla4[[#This Row],[Precio Unitario Neto]]-Tabla4[[#This Row],[20.85%]]-Tabla4[[#This Row],[Costo]]</f>
        <v>#N/A</v>
      </c>
      <c r="S2685" s="282" t="e">
        <f>++Tabla4[[#This Row],[U. Bruta Uni]]*Tabla4[[#This Row],[Cantidad]]</f>
        <v>#N/A</v>
      </c>
      <c r="T2685" s="369" t="str">
        <f>VLOOKUP(Tabla4[[#This Row],[Producto]],Tabla6[#All],14,FALSE)</f>
        <v>Termico Solar</v>
      </c>
      <c r="U2685" s="284" t="e">
        <f>(IF(Tabla4[[#This Row],[Familia]]="termico solar",Tabla4[[#This Row],[Utilidad Total]]*6%,Tabla4[[#This Row],[Utilidad Total]]*11.5%))/Tabla4[[#This Row],[Total]]</f>
        <v>#N/A</v>
      </c>
      <c r="V2685" s="282" t="e">
        <f>+Tabla4[[#This Row],[Comisión Calculada]]*Tabla4[[#This Row],[Total]]</f>
        <v>#N/A</v>
      </c>
    </row>
    <row r="2686" spans="1:22" hidden="1" x14ac:dyDescent="0.25">
      <c r="A2686" s="100">
        <v>45792</v>
      </c>
      <c r="B2686" t="str">
        <f t="shared" ref="B2686:B2691" si="126">TEXT(A2686, "mmmm")</f>
        <v>May</v>
      </c>
      <c r="C2686" s="46" t="s">
        <v>280</v>
      </c>
      <c r="F2686" s="366" t="s">
        <v>1756</v>
      </c>
      <c r="G2686" s="46" t="s">
        <v>566</v>
      </c>
      <c r="H2686" s="46">
        <v>1</v>
      </c>
      <c r="I2686" s="51">
        <v>2109.4499999999998</v>
      </c>
      <c r="J2686" s="281">
        <f>++Tabla4[[#This Row],[Precio Bruto]]*1.16</f>
        <v>2446.9619999999995</v>
      </c>
      <c r="K2686" s="281">
        <f>+Tabla4[[#This Row],[Precio Unitario Neto]]*Tabla4[[#Headers],[20.85%]]</f>
        <v>510.19157699999988</v>
      </c>
      <c r="L2686" s="282">
        <f>++Tabla4[[#This Row],[Precio Unitario Neto]]-Tabla4[[#This Row],[20.85%]]</f>
        <v>1936.7704229999997</v>
      </c>
      <c r="M2686" s="282" t="e">
        <f>(INDEX(Tabla6[#All],MATCH(Tabla4[[#This Row],[Producto]],Tabla6[[#All],[PRODUCTO]],0),MATCH(Tabla4[[#This Row],[Mes]],Tabla6[#Headers],0)))*(1+Catalogos!$L$2)</f>
        <v>#N/A</v>
      </c>
      <c r="N2686" s="283" t="e">
        <f>+(Tabla4[[#This Row],[Precio Descontado]]-Tabla4[[#This Row],[Precio Base]])*Tabla4[[#This Row],[Cantidad]]</f>
        <v>#N/A</v>
      </c>
      <c r="O2686" s="284" t="e">
        <f>++Tabla4[[#This Row],[Utilidad Total]]/Tabla4[[#This Row],[Total]]</f>
        <v>#N/A</v>
      </c>
      <c r="P2686" s="282">
        <f>++Tabla4[[#This Row],[Precio Descontado]]*Tabla4[[#This Row],[Cantidad]]</f>
        <v>1936.7704229999997</v>
      </c>
      <c r="Q2686" s="282" t="e">
        <f>(INDEX(Tabla6[#All],MATCH(Tabla4[[#This Row],[Producto]],Tabla6[[#All],[PRODUCTO]],0),MATCH(Tabla4[[#This Row],[Mes]],Tabla6[#Headers],0)))</f>
        <v>#N/A</v>
      </c>
      <c r="R2686" s="282" t="e">
        <f>++Tabla4[[#This Row],[Precio Unitario Neto]]-Tabla4[[#This Row],[20.85%]]-Tabla4[[#This Row],[Costo]]</f>
        <v>#N/A</v>
      </c>
      <c r="S2686" s="282" t="e">
        <f>++Tabla4[[#This Row],[U. Bruta Uni]]*Tabla4[[#This Row],[Cantidad]]</f>
        <v>#N/A</v>
      </c>
      <c r="T2686" s="369" t="str">
        <f>VLOOKUP(Tabla4[[#This Row],[Producto]],Tabla6[#All],14,FALSE)</f>
        <v>Termico Solar</v>
      </c>
      <c r="U2686" s="284" t="e">
        <f>(IF(Tabla4[[#This Row],[Familia]]="termico solar",Tabla4[[#This Row],[Utilidad Total]]*6%,Tabla4[[#This Row],[Utilidad Total]]*11.5%))/Tabla4[[#This Row],[Total]]</f>
        <v>#N/A</v>
      </c>
      <c r="V2686" s="282" t="e">
        <f>+Tabla4[[#This Row],[Comisión Calculada]]*Tabla4[[#This Row],[Total]]</f>
        <v>#N/A</v>
      </c>
    </row>
    <row r="2687" spans="1:22" hidden="1" x14ac:dyDescent="0.25">
      <c r="A2687" s="100">
        <v>45792</v>
      </c>
      <c r="B2687" t="str">
        <f t="shared" si="126"/>
        <v>May</v>
      </c>
      <c r="C2687" s="46" t="s">
        <v>280</v>
      </c>
      <c r="F2687" s="366" t="s">
        <v>1756</v>
      </c>
      <c r="G2687" s="46" t="s">
        <v>412</v>
      </c>
      <c r="H2687" s="46">
        <v>1</v>
      </c>
      <c r="I2687" s="51">
        <v>3240.84</v>
      </c>
      <c r="J2687" s="281">
        <f>++Tabla4[[#This Row],[Precio Bruto]]*1.16</f>
        <v>3759.3743999999997</v>
      </c>
      <c r="K2687" s="281">
        <f>+Tabla4[[#This Row],[Precio Unitario Neto]]*Tabla4[[#Headers],[20.85%]]</f>
        <v>783.82956239999987</v>
      </c>
      <c r="L2687" s="282">
        <f>++Tabla4[[#This Row],[Precio Unitario Neto]]-Tabla4[[#This Row],[20.85%]]</f>
        <v>2975.5448375999999</v>
      </c>
      <c r="M2687" s="282" t="e">
        <f>(INDEX(Tabla6[#All],MATCH(Tabla4[[#This Row],[Producto]],Tabla6[[#All],[PRODUCTO]],0),MATCH(Tabla4[[#This Row],[Mes]],Tabla6[#Headers],0)))*(1+Catalogos!$L$2)</f>
        <v>#N/A</v>
      </c>
      <c r="N2687" s="283" t="e">
        <f>+(Tabla4[[#This Row],[Precio Descontado]]-Tabla4[[#This Row],[Precio Base]])*Tabla4[[#This Row],[Cantidad]]</f>
        <v>#N/A</v>
      </c>
      <c r="O2687" s="284" t="e">
        <f>++Tabla4[[#This Row],[Utilidad Total]]/Tabla4[[#This Row],[Total]]</f>
        <v>#N/A</v>
      </c>
      <c r="P2687" s="282">
        <f>++Tabla4[[#This Row],[Precio Descontado]]*Tabla4[[#This Row],[Cantidad]]</f>
        <v>2975.5448375999999</v>
      </c>
      <c r="Q2687" s="282" t="e">
        <f>(INDEX(Tabla6[#All],MATCH(Tabla4[[#This Row],[Producto]],Tabla6[[#All],[PRODUCTO]],0),MATCH(Tabla4[[#This Row],[Mes]],Tabla6[#Headers],0)))</f>
        <v>#N/A</v>
      </c>
      <c r="R2687" s="282" t="e">
        <f>++Tabla4[[#This Row],[Precio Unitario Neto]]-Tabla4[[#This Row],[20.85%]]-Tabla4[[#This Row],[Costo]]</f>
        <v>#N/A</v>
      </c>
      <c r="S2687" s="282" t="e">
        <f>++Tabla4[[#This Row],[U. Bruta Uni]]*Tabla4[[#This Row],[Cantidad]]</f>
        <v>#N/A</v>
      </c>
      <c r="T2687" s="369" t="str">
        <f>VLOOKUP(Tabla4[[#This Row],[Producto]],Tabla6[#All],14,FALSE)</f>
        <v>Termico Solar</v>
      </c>
      <c r="U2687" s="284" t="e">
        <f>(IF(Tabla4[[#This Row],[Familia]]="termico solar",Tabla4[[#This Row],[Utilidad Total]]*6%,Tabla4[[#This Row],[Utilidad Total]]*11.5%))/Tabla4[[#This Row],[Total]]</f>
        <v>#N/A</v>
      </c>
      <c r="V2687" s="282" t="e">
        <f>+Tabla4[[#This Row],[Comisión Calculada]]*Tabla4[[#This Row],[Total]]</f>
        <v>#N/A</v>
      </c>
    </row>
    <row r="2688" spans="1:22" hidden="1" x14ac:dyDescent="0.25">
      <c r="A2688" s="100">
        <v>45792</v>
      </c>
      <c r="B2688" t="str">
        <f t="shared" si="126"/>
        <v>May</v>
      </c>
      <c r="C2688" s="46" t="s">
        <v>280</v>
      </c>
      <c r="F2688" s="366" t="s">
        <v>1756</v>
      </c>
      <c r="G2688" s="46" t="s">
        <v>394</v>
      </c>
      <c r="H2688" s="46">
        <v>9</v>
      </c>
      <c r="I2688" s="51">
        <v>108.1</v>
      </c>
      <c r="J2688" s="281">
        <f>++Tabla4[[#This Row],[Precio Bruto]]*1.16</f>
        <v>125.39599999999999</v>
      </c>
      <c r="K2688" s="281">
        <f>+Tabla4[[#This Row],[Precio Unitario Neto]]*Tabla4[[#Headers],[20.85%]]</f>
        <v>26.145065999999996</v>
      </c>
      <c r="L2688" s="282">
        <f>++Tabla4[[#This Row],[Precio Unitario Neto]]-Tabla4[[#This Row],[20.85%]]</f>
        <v>99.250933999999987</v>
      </c>
      <c r="M2688" s="282" t="e">
        <f>(INDEX(Tabla6[#All],MATCH(Tabla4[[#This Row],[Producto]],Tabla6[[#All],[PRODUCTO]],0),MATCH(Tabla4[[#This Row],[Mes]],Tabla6[#Headers],0)))*(1+Catalogos!$L$2)</f>
        <v>#N/A</v>
      </c>
      <c r="N2688" s="283" t="e">
        <f>+(Tabla4[[#This Row],[Precio Descontado]]-Tabla4[[#This Row],[Precio Base]])*Tabla4[[#This Row],[Cantidad]]</f>
        <v>#N/A</v>
      </c>
      <c r="O2688" s="284" t="e">
        <f>++Tabla4[[#This Row],[Utilidad Total]]/Tabla4[[#This Row],[Total]]</f>
        <v>#N/A</v>
      </c>
      <c r="P2688" s="282">
        <f>++Tabla4[[#This Row],[Precio Descontado]]*Tabla4[[#This Row],[Cantidad]]</f>
        <v>893.25840599999992</v>
      </c>
      <c r="Q2688" s="282" t="e">
        <f>(INDEX(Tabla6[#All],MATCH(Tabla4[[#This Row],[Producto]],Tabla6[[#All],[PRODUCTO]],0),MATCH(Tabla4[[#This Row],[Mes]],Tabla6[#Headers],0)))</f>
        <v>#N/A</v>
      </c>
      <c r="R2688" s="282" t="e">
        <f>++Tabla4[[#This Row],[Precio Unitario Neto]]-Tabla4[[#This Row],[20.85%]]-Tabla4[[#This Row],[Costo]]</f>
        <v>#N/A</v>
      </c>
      <c r="S2688" s="282" t="e">
        <f>++Tabla4[[#This Row],[U. Bruta Uni]]*Tabla4[[#This Row],[Cantidad]]</f>
        <v>#N/A</v>
      </c>
      <c r="T2688" s="369" t="str">
        <f>VLOOKUP(Tabla4[[#This Row],[Producto]],Tabla6[#All],14,FALSE)</f>
        <v>Termico Solar</v>
      </c>
      <c r="U2688" s="284" t="e">
        <f>(IF(Tabla4[[#This Row],[Familia]]="termico solar",Tabla4[[#This Row],[Utilidad Total]]*6%,Tabla4[[#This Row],[Utilidad Total]]*11.5%))/Tabla4[[#This Row],[Total]]</f>
        <v>#N/A</v>
      </c>
      <c r="V2688" s="282" t="e">
        <f>+Tabla4[[#This Row],[Comisión Calculada]]*Tabla4[[#This Row],[Total]]</f>
        <v>#N/A</v>
      </c>
    </row>
    <row r="2689" spans="1:22" hidden="1" x14ac:dyDescent="0.25">
      <c r="A2689" s="100">
        <v>45792</v>
      </c>
      <c r="B2689" t="str">
        <f t="shared" si="126"/>
        <v>May</v>
      </c>
      <c r="C2689" s="46" t="s">
        <v>280</v>
      </c>
      <c r="F2689" s="366" t="s">
        <v>1756</v>
      </c>
      <c r="G2689" s="46" t="s">
        <v>394</v>
      </c>
      <c r="H2689" s="46">
        <v>16</v>
      </c>
      <c r="I2689" s="51">
        <v>224.29</v>
      </c>
      <c r="J2689" s="281">
        <f>++Tabla4[[#This Row],[Precio Bruto]]*1.16</f>
        <v>260.1764</v>
      </c>
      <c r="K2689" s="281">
        <f>+Tabla4[[#This Row],[Precio Unitario Neto]]*Tabla4[[#Headers],[20.85%]]</f>
        <v>54.246779400000001</v>
      </c>
      <c r="L2689" s="282">
        <f>++Tabla4[[#This Row],[Precio Unitario Neto]]-Tabla4[[#This Row],[20.85%]]</f>
        <v>205.92962059999999</v>
      </c>
      <c r="M2689" s="282" t="e">
        <f>(INDEX(Tabla6[#All],MATCH(Tabla4[[#This Row],[Producto]],Tabla6[[#All],[PRODUCTO]],0),MATCH(Tabla4[[#This Row],[Mes]],Tabla6[#Headers],0)))*(1+Catalogos!$L$2)</f>
        <v>#N/A</v>
      </c>
      <c r="N2689" s="283" t="e">
        <f>+(Tabla4[[#This Row],[Precio Descontado]]-Tabla4[[#This Row],[Precio Base]])*Tabla4[[#This Row],[Cantidad]]</f>
        <v>#N/A</v>
      </c>
      <c r="O2689" s="284" t="e">
        <f>++Tabla4[[#This Row],[Utilidad Total]]/Tabla4[[#This Row],[Total]]</f>
        <v>#N/A</v>
      </c>
      <c r="P2689" s="282">
        <f>++Tabla4[[#This Row],[Precio Descontado]]*Tabla4[[#This Row],[Cantidad]]</f>
        <v>3294.8739295999999</v>
      </c>
      <c r="Q2689" s="282" t="e">
        <f>(INDEX(Tabla6[#All],MATCH(Tabla4[[#This Row],[Producto]],Tabla6[[#All],[PRODUCTO]],0),MATCH(Tabla4[[#This Row],[Mes]],Tabla6[#Headers],0)))</f>
        <v>#N/A</v>
      </c>
      <c r="R2689" s="282" t="e">
        <f>++Tabla4[[#This Row],[Precio Unitario Neto]]-Tabla4[[#This Row],[20.85%]]-Tabla4[[#This Row],[Costo]]</f>
        <v>#N/A</v>
      </c>
      <c r="S2689" s="282" t="e">
        <f>++Tabla4[[#This Row],[U. Bruta Uni]]*Tabla4[[#This Row],[Cantidad]]</f>
        <v>#N/A</v>
      </c>
      <c r="T2689" s="369" t="str">
        <f>VLOOKUP(Tabla4[[#This Row],[Producto]],Tabla6[#All],14,FALSE)</f>
        <v>Termico Solar</v>
      </c>
      <c r="U2689" s="284" t="e">
        <f>(IF(Tabla4[[#This Row],[Familia]]="termico solar",Tabla4[[#This Row],[Utilidad Total]]*6%,Tabla4[[#This Row],[Utilidad Total]]*11.5%))/Tabla4[[#This Row],[Total]]</f>
        <v>#N/A</v>
      </c>
      <c r="V2689" s="282" t="e">
        <f>+Tabla4[[#This Row],[Comisión Calculada]]*Tabla4[[#This Row],[Total]]</f>
        <v>#N/A</v>
      </c>
    </row>
    <row r="2690" spans="1:22" hidden="1" x14ac:dyDescent="0.25">
      <c r="A2690" s="100">
        <v>45792</v>
      </c>
      <c r="B2690" t="str">
        <f t="shared" si="126"/>
        <v>May</v>
      </c>
      <c r="C2690" s="46" t="s">
        <v>280</v>
      </c>
      <c r="F2690" s="366" t="s">
        <v>1756</v>
      </c>
      <c r="G2690" s="46" t="s">
        <v>555</v>
      </c>
      <c r="H2690" s="46">
        <v>8</v>
      </c>
      <c r="I2690" s="51">
        <v>389.47</v>
      </c>
      <c r="J2690" s="281">
        <f>++Tabla4[[#This Row],[Precio Bruto]]*1.16</f>
        <v>451.78519999999997</v>
      </c>
      <c r="K2690" s="281">
        <f>+Tabla4[[#This Row],[Precio Unitario Neto]]*Tabla4[[#Headers],[20.85%]]</f>
        <v>94.197214199999991</v>
      </c>
      <c r="L2690" s="282">
        <f>++Tabla4[[#This Row],[Precio Unitario Neto]]-Tabla4[[#This Row],[20.85%]]</f>
        <v>357.58798579999996</v>
      </c>
      <c r="M2690" s="282" t="e">
        <f>(INDEX(Tabla6[#All],MATCH(Tabla4[[#This Row],[Producto]],Tabla6[[#All],[PRODUCTO]],0),MATCH(Tabla4[[#This Row],[Mes]],Tabla6[#Headers],0)))*(1+Catalogos!$L$2)</f>
        <v>#N/A</v>
      </c>
      <c r="N2690" s="283" t="e">
        <f>+(Tabla4[[#This Row],[Precio Descontado]]-Tabla4[[#This Row],[Precio Base]])*Tabla4[[#This Row],[Cantidad]]</f>
        <v>#N/A</v>
      </c>
      <c r="O2690" s="284" t="e">
        <f>++Tabla4[[#This Row],[Utilidad Total]]/Tabla4[[#This Row],[Total]]</f>
        <v>#N/A</v>
      </c>
      <c r="P2690" s="282">
        <f>++Tabla4[[#This Row],[Precio Descontado]]*Tabla4[[#This Row],[Cantidad]]</f>
        <v>2860.7038863999996</v>
      </c>
      <c r="Q2690" s="282" t="e">
        <f>(INDEX(Tabla6[#All],MATCH(Tabla4[[#This Row],[Producto]],Tabla6[[#All],[PRODUCTO]],0),MATCH(Tabla4[[#This Row],[Mes]],Tabla6[#Headers],0)))</f>
        <v>#N/A</v>
      </c>
      <c r="R2690" s="282" t="e">
        <f>++Tabla4[[#This Row],[Precio Unitario Neto]]-Tabla4[[#This Row],[20.85%]]-Tabla4[[#This Row],[Costo]]</f>
        <v>#N/A</v>
      </c>
      <c r="S2690" s="282" t="e">
        <f>++Tabla4[[#This Row],[U. Bruta Uni]]*Tabla4[[#This Row],[Cantidad]]</f>
        <v>#N/A</v>
      </c>
      <c r="T2690" s="369" t="str">
        <f>VLOOKUP(Tabla4[[#This Row],[Producto]],Tabla6[#All],14,FALSE)</f>
        <v>Termico Solar</v>
      </c>
      <c r="U2690" s="284" t="e">
        <f>(IF(Tabla4[[#This Row],[Familia]]="termico solar",Tabla4[[#This Row],[Utilidad Total]]*6%,Tabla4[[#This Row],[Utilidad Total]]*11.5%))/Tabla4[[#This Row],[Total]]</f>
        <v>#N/A</v>
      </c>
      <c r="V2690" s="282" t="e">
        <f>+Tabla4[[#This Row],[Comisión Calculada]]*Tabla4[[#This Row],[Total]]</f>
        <v>#N/A</v>
      </c>
    </row>
    <row r="2691" spans="1:22" hidden="1" x14ac:dyDescent="0.25">
      <c r="A2691" s="100">
        <v>45792</v>
      </c>
      <c r="B2691" t="str">
        <f t="shared" si="126"/>
        <v>May</v>
      </c>
      <c r="C2691" s="46" t="s">
        <v>280</v>
      </c>
      <c r="F2691" s="366" t="s">
        <v>1756</v>
      </c>
      <c r="G2691" s="46" t="s">
        <v>208</v>
      </c>
      <c r="H2691" s="46">
        <v>2</v>
      </c>
      <c r="I2691" s="51">
        <v>189.75</v>
      </c>
      <c r="J2691" s="281">
        <f>++Tabla4[[#This Row],[Precio Bruto]]*1.16</f>
        <v>220.10999999999999</v>
      </c>
      <c r="K2691" s="281">
        <f>+Tabla4[[#This Row],[Precio Unitario Neto]]*Tabla4[[#Headers],[20.85%]]</f>
        <v>45.892934999999994</v>
      </c>
      <c r="L2691" s="282">
        <f>++Tabla4[[#This Row],[Precio Unitario Neto]]-Tabla4[[#This Row],[20.85%]]</f>
        <v>174.21706499999999</v>
      </c>
      <c r="M2691" s="282" t="e">
        <f>(INDEX(Tabla6[#All],MATCH(Tabla4[[#This Row],[Producto]],Tabla6[[#All],[PRODUCTO]],0),MATCH(Tabla4[[#This Row],[Mes]],Tabla6[#Headers],0)))*(1+Catalogos!$L$2)</f>
        <v>#N/A</v>
      </c>
      <c r="N2691" s="283" t="e">
        <f>+(Tabla4[[#This Row],[Precio Descontado]]-Tabla4[[#This Row],[Precio Base]])*Tabla4[[#This Row],[Cantidad]]</f>
        <v>#N/A</v>
      </c>
      <c r="O2691" s="284" t="e">
        <f>++Tabla4[[#This Row],[Utilidad Total]]/Tabla4[[#This Row],[Total]]</f>
        <v>#N/A</v>
      </c>
      <c r="P2691" s="282">
        <f>++Tabla4[[#This Row],[Precio Descontado]]*Tabla4[[#This Row],[Cantidad]]</f>
        <v>348.43412999999998</v>
      </c>
      <c r="Q2691" s="282" t="e">
        <f>(INDEX(Tabla6[#All],MATCH(Tabla4[[#This Row],[Producto]],Tabla6[[#All],[PRODUCTO]],0),MATCH(Tabla4[[#This Row],[Mes]],Tabla6[#Headers],0)))</f>
        <v>#N/A</v>
      </c>
      <c r="R2691" s="282" t="e">
        <f>++Tabla4[[#This Row],[Precio Unitario Neto]]-Tabla4[[#This Row],[20.85%]]-Tabla4[[#This Row],[Costo]]</f>
        <v>#N/A</v>
      </c>
      <c r="S2691" s="282" t="e">
        <f>++Tabla4[[#This Row],[U. Bruta Uni]]*Tabla4[[#This Row],[Cantidad]]</f>
        <v>#N/A</v>
      </c>
      <c r="T2691" s="369" t="str">
        <f>VLOOKUP(Tabla4[[#This Row],[Producto]],Tabla6[#All],14,FALSE)</f>
        <v>Termico Solar</v>
      </c>
      <c r="U2691" s="284" t="e">
        <f>(IF(Tabla4[[#This Row],[Familia]]="termico solar",Tabla4[[#This Row],[Utilidad Total]]*6%,Tabla4[[#This Row],[Utilidad Total]]*11.5%))/Tabla4[[#This Row],[Total]]</f>
        <v>#N/A</v>
      </c>
      <c r="V2691" s="282" t="e">
        <f>+Tabla4[[#This Row],[Comisión Calculada]]*Tabla4[[#This Row],[Total]]</f>
        <v>#N/A</v>
      </c>
    </row>
    <row r="2692" spans="1:22" hidden="1" x14ac:dyDescent="0.25">
      <c r="A2692" s="100">
        <v>45792</v>
      </c>
      <c r="B2692" t="str">
        <f t="shared" ref="B2692:B2698" si="127">TEXT(A2692, "mmmm")</f>
        <v>May</v>
      </c>
      <c r="C2692" s="46" t="s">
        <v>280</v>
      </c>
      <c r="F2692" s="366" t="s">
        <v>1757</v>
      </c>
      <c r="G2692" s="46" t="s">
        <v>83</v>
      </c>
      <c r="H2692" s="46">
        <v>3</v>
      </c>
      <c r="I2692" s="51">
        <v>8858.76</v>
      </c>
      <c r="J2692" s="281">
        <f>++Tabla4[[#This Row],[Precio Bruto]]*1.16</f>
        <v>10276.161599999999</v>
      </c>
      <c r="K2692" s="281">
        <f>+Tabla4[[#This Row],[Precio Unitario Neto]]*Tabla4[[#Headers],[20.85%]]</f>
        <v>2142.5796935999997</v>
      </c>
      <c r="L2692" s="282">
        <f>++Tabla4[[#This Row],[Precio Unitario Neto]]-Tabla4[[#This Row],[20.85%]]</f>
        <v>8133.5819063999998</v>
      </c>
      <c r="M2692" s="282" t="e">
        <f>(INDEX(Tabla6[#All],MATCH(Tabla4[[#This Row],[Producto]],Tabla6[[#All],[PRODUCTO]],0),MATCH(Tabla4[[#This Row],[Mes]],Tabla6[#Headers],0)))*(1+Catalogos!$L$2)</f>
        <v>#N/A</v>
      </c>
      <c r="N2692" s="283" t="e">
        <f>+(Tabla4[[#This Row],[Precio Descontado]]-Tabla4[[#This Row],[Precio Base]])*Tabla4[[#This Row],[Cantidad]]</f>
        <v>#N/A</v>
      </c>
      <c r="O2692" s="284" t="e">
        <f>++Tabla4[[#This Row],[Utilidad Total]]/Tabla4[[#This Row],[Total]]</f>
        <v>#N/A</v>
      </c>
      <c r="P2692" s="282">
        <f>++Tabla4[[#This Row],[Precio Descontado]]*Tabla4[[#This Row],[Cantidad]]</f>
        <v>24400.7457192</v>
      </c>
      <c r="Q2692" s="282" t="e">
        <f>(INDEX(Tabla6[#All],MATCH(Tabla4[[#This Row],[Producto]],Tabla6[[#All],[PRODUCTO]],0),MATCH(Tabla4[[#This Row],[Mes]],Tabla6[#Headers],0)))</f>
        <v>#N/A</v>
      </c>
      <c r="R2692" s="282" t="e">
        <f>++Tabla4[[#This Row],[Precio Unitario Neto]]-Tabla4[[#This Row],[20.85%]]-Tabla4[[#This Row],[Costo]]</f>
        <v>#N/A</v>
      </c>
      <c r="S2692" s="282" t="e">
        <f>++Tabla4[[#This Row],[U. Bruta Uni]]*Tabla4[[#This Row],[Cantidad]]</f>
        <v>#N/A</v>
      </c>
      <c r="T2692" s="369" t="str">
        <f>VLOOKUP(Tabla4[[#This Row],[Producto]],Tabla6[#All],14,FALSE)</f>
        <v>Termico Solar</v>
      </c>
      <c r="U2692" s="284" t="e">
        <f>(IF(Tabla4[[#This Row],[Familia]]="termico solar",Tabla4[[#This Row],[Utilidad Total]]*6%,Tabla4[[#This Row],[Utilidad Total]]*11.5%))/Tabla4[[#This Row],[Total]]</f>
        <v>#N/A</v>
      </c>
      <c r="V2692" s="282" t="e">
        <f>+Tabla4[[#This Row],[Comisión Calculada]]*Tabla4[[#This Row],[Total]]</f>
        <v>#N/A</v>
      </c>
    </row>
    <row r="2693" spans="1:22" hidden="1" x14ac:dyDescent="0.25">
      <c r="A2693" s="100">
        <v>45792</v>
      </c>
      <c r="B2693" t="str">
        <f t="shared" si="127"/>
        <v>May</v>
      </c>
      <c r="C2693" s="46" t="s">
        <v>280</v>
      </c>
      <c r="F2693" s="366" t="s">
        <v>1757</v>
      </c>
      <c r="G2693" s="46" t="s">
        <v>17</v>
      </c>
      <c r="H2693" s="46">
        <v>1</v>
      </c>
      <c r="I2693" s="51">
        <v>4622.28</v>
      </c>
      <c r="J2693" s="281">
        <f>++Tabla4[[#This Row],[Precio Bruto]]*1.16</f>
        <v>5361.8447999999989</v>
      </c>
      <c r="K2693" s="281">
        <f>+Tabla4[[#This Row],[Precio Unitario Neto]]*Tabla4[[#Headers],[20.85%]]</f>
        <v>1117.9446407999997</v>
      </c>
      <c r="L2693" s="282">
        <f>++Tabla4[[#This Row],[Precio Unitario Neto]]-Tabla4[[#This Row],[20.85%]]</f>
        <v>4243.9001591999995</v>
      </c>
      <c r="M2693" s="282" t="e">
        <f>(INDEX(Tabla6[#All],MATCH(Tabla4[[#This Row],[Producto]],Tabla6[[#All],[PRODUCTO]],0),MATCH(Tabla4[[#This Row],[Mes]],Tabla6[#Headers],0)))*(1+Catalogos!$L$2)</f>
        <v>#N/A</v>
      </c>
      <c r="N2693" s="283" t="e">
        <f>+(Tabla4[[#This Row],[Precio Descontado]]-Tabla4[[#This Row],[Precio Base]])*Tabla4[[#This Row],[Cantidad]]</f>
        <v>#N/A</v>
      </c>
      <c r="O2693" s="284" t="e">
        <f>++Tabla4[[#This Row],[Utilidad Total]]/Tabla4[[#This Row],[Total]]</f>
        <v>#N/A</v>
      </c>
      <c r="P2693" s="282">
        <f>++Tabla4[[#This Row],[Precio Descontado]]*Tabla4[[#This Row],[Cantidad]]</f>
        <v>4243.9001591999995</v>
      </c>
      <c r="Q2693" s="282" t="e">
        <f>(INDEX(Tabla6[#All],MATCH(Tabla4[[#This Row],[Producto]],Tabla6[[#All],[PRODUCTO]],0),MATCH(Tabla4[[#This Row],[Mes]],Tabla6[#Headers],0)))</f>
        <v>#N/A</v>
      </c>
      <c r="R2693" s="282" t="e">
        <f>++Tabla4[[#This Row],[Precio Unitario Neto]]-Tabla4[[#This Row],[20.85%]]-Tabla4[[#This Row],[Costo]]</f>
        <v>#N/A</v>
      </c>
      <c r="S2693" s="282" t="e">
        <f>++Tabla4[[#This Row],[U. Bruta Uni]]*Tabla4[[#This Row],[Cantidad]]</f>
        <v>#N/A</v>
      </c>
      <c r="T2693" s="369" t="str">
        <f>VLOOKUP(Tabla4[[#This Row],[Producto]],Tabla6[#All],14,FALSE)</f>
        <v>Termico Solar</v>
      </c>
      <c r="U2693" s="284" t="e">
        <f>(IF(Tabla4[[#This Row],[Familia]]="termico solar",Tabla4[[#This Row],[Utilidad Total]]*6%,Tabla4[[#This Row],[Utilidad Total]]*11.5%))/Tabla4[[#This Row],[Total]]</f>
        <v>#N/A</v>
      </c>
      <c r="V2693" s="282" t="e">
        <f>+Tabla4[[#This Row],[Comisión Calculada]]*Tabla4[[#This Row],[Total]]</f>
        <v>#N/A</v>
      </c>
    </row>
    <row r="2694" spans="1:22" hidden="1" x14ac:dyDescent="0.25">
      <c r="A2694" s="100">
        <v>45792</v>
      </c>
      <c r="B2694" t="str">
        <f t="shared" si="127"/>
        <v>May</v>
      </c>
      <c r="C2694" s="46" t="s">
        <v>280</v>
      </c>
      <c r="F2694" s="366" t="s">
        <v>1757</v>
      </c>
      <c r="G2694" s="46" t="s">
        <v>18</v>
      </c>
      <c r="H2694" s="46">
        <v>2</v>
      </c>
      <c r="I2694" s="51">
        <v>5367.65</v>
      </c>
      <c r="J2694" s="281">
        <f>++Tabla4[[#This Row],[Precio Bruto]]*1.16</f>
        <v>6226.4739999999993</v>
      </c>
      <c r="K2694" s="281">
        <f>+Tabla4[[#This Row],[Precio Unitario Neto]]*Tabla4[[#Headers],[20.85%]]</f>
        <v>1298.2198289999999</v>
      </c>
      <c r="L2694" s="282">
        <f>++Tabla4[[#This Row],[Precio Unitario Neto]]-Tabla4[[#This Row],[20.85%]]</f>
        <v>4928.2541709999996</v>
      </c>
      <c r="M2694" s="282" t="e">
        <f>(INDEX(Tabla6[#All],MATCH(Tabla4[[#This Row],[Producto]],Tabla6[[#All],[PRODUCTO]],0),MATCH(Tabla4[[#This Row],[Mes]],Tabla6[#Headers],0)))*(1+Catalogos!$L$2)</f>
        <v>#N/A</v>
      </c>
      <c r="N2694" s="283" t="e">
        <f>+(Tabla4[[#This Row],[Precio Descontado]]-Tabla4[[#This Row],[Precio Base]])*Tabla4[[#This Row],[Cantidad]]</f>
        <v>#N/A</v>
      </c>
      <c r="O2694" s="284" t="e">
        <f>++Tabla4[[#This Row],[Utilidad Total]]/Tabla4[[#This Row],[Total]]</f>
        <v>#N/A</v>
      </c>
      <c r="P2694" s="282">
        <f>++Tabla4[[#This Row],[Precio Descontado]]*Tabla4[[#This Row],[Cantidad]]</f>
        <v>9856.5083419999992</v>
      </c>
      <c r="Q2694" s="282" t="e">
        <f>(INDEX(Tabla6[#All],MATCH(Tabla4[[#This Row],[Producto]],Tabla6[[#All],[PRODUCTO]],0),MATCH(Tabla4[[#This Row],[Mes]],Tabla6[#Headers],0)))</f>
        <v>#N/A</v>
      </c>
      <c r="R2694" s="282" t="e">
        <f>++Tabla4[[#This Row],[Precio Unitario Neto]]-Tabla4[[#This Row],[20.85%]]-Tabla4[[#This Row],[Costo]]</f>
        <v>#N/A</v>
      </c>
      <c r="S2694" s="282" t="e">
        <f>++Tabla4[[#This Row],[U. Bruta Uni]]*Tabla4[[#This Row],[Cantidad]]</f>
        <v>#N/A</v>
      </c>
      <c r="T2694" s="369" t="str">
        <f>VLOOKUP(Tabla4[[#This Row],[Producto]],Tabla6[#All],14,FALSE)</f>
        <v>Termico Solar</v>
      </c>
      <c r="U2694" s="284" t="e">
        <f>(IF(Tabla4[[#This Row],[Familia]]="termico solar",Tabla4[[#This Row],[Utilidad Total]]*6%,Tabla4[[#This Row],[Utilidad Total]]*11.5%))/Tabla4[[#This Row],[Total]]</f>
        <v>#N/A</v>
      </c>
      <c r="V2694" s="282" t="e">
        <f>+Tabla4[[#This Row],[Comisión Calculada]]*Tabla4[[#This Row],[Total]]</f>
        <v>#N/A</v>
      </c>
    </row>
    <row r="2695" spans="1:22" hidden="1" x14ac:dyDescent="0.25">
      <c r="A2695" s="100">
        <v>45792</v>
      </c>
      <c r="B2695" t="str">
        <f t="shared" si="127"/>
        <v>May</v>
      </c>
      <c r="C2695" s="46" t="s">
        <v>280</v>
      </c>
      <c r="F2695" s="366" t="s">
        <v>1757</v>
      </c>
      <c r="G2695" s="46" t="s">
        <v>19</v>
      </c>
      <c r="H2695" s="46">
        <v>5</v>
      </c>
      <c r="I2695" s="51">
        <v>6412.0300000000007</v>
      </c>
      <c r="J2695" s="281">
        <f>++Tabla4[[#This Row],[Precio Bruto]]*1.16</f>
        <v>7437.9548000000004</v>
      </c>
      <c r="K2695" s="281">
        <f>+Tabla4[[#This Row],[Precio Unitario Neto]]*Tabla4[[#Headers],[20.85%]]</f>
        <v>1550.8135758000001</v>
      </c>
      <c r="L2695" s="282">
        <f>++Tabla4[[#This Row],[Precio Unitario Neto]]-Tabla4[[#This Row],[20.85%]]</f>
        <v>5887.1412242000006</v>
      </c>
      <c r="M2695" s="282" t="e">
        <f>(INDEX(Tabla6[#All],MATCH(Tabla4[[#This Row],[Producto]],Tabla6[[#All],[PRODUCTO]],0),MATCH(Tabla4[[#This Row],[Mes]],Tabla6[#Headers],0)))*(1+Catalogos!$L$2)</f>
        <v>#N/A</v>
      </c>
      <c r="N2695" s="283" t="e">
        <f>+(Tabla4[[#This Row],[Precio Descontado]]-Tabla4[[#This Row],[Precio Base]])*Tabla4[[#This Row],[Cantidad]]</f>
        <v>#N/A</v>
      </c>
      <c r="O2695" s="284" t="e">
        <f>++Tabla4[[#This Row],[Utilidad Total]]/Tabla4[[#This Row],[Total]]</f>
        <v>#N/A</v>
      </c>
      <c r="P2695" s="282">
        <f>++Tabla4[[#This Row],[Precio Descontado]]*Tabla4[[#This Row],[Cantidad]]</f>
        <v>29435.706121000003</v>
      </c>
      <c r="Q2695" s="282" t="e">
        <f>(INDEX(Tabla6[#All],MATCH(Tabla4[[#This Row],[Producto]],Tabla6[[#All],[PRODUCTO]],0),MATCH(Tabla4[[#This Row],[Mes]],Tabla6[#Headers],0)))</f>
        <v>#N/A</v>
      </c>
      <c r="R2695" s="282" t="e">
        <f>++Tabla4[[#This Row],[Precio Unitario Neto]]-Tabla4[[#This Row],[20.85%]]-Tabla4[[#This Row],[Costo]]</f>
        <v>#N/A</v>
      </c>
      <c r="S2695" s="282" t="e">
        <f>++Tabla4[[#This Row],[U. Bruta Uni]]*Tabla4[[#This Row],[Cantidad]]</f>
        <v>#N/A</v>
      </c>
      <c r="T2695" s="369" t="str">
        <f>VLOOKUP(Tabla4[[#This Row],[Producto]],Tabla6[#All],14,FALSE)</f>
        <v>Termico Solar</v>
      </c>
      <c r="U2695" s="284" t="e">
        <f>(IF(Tabla4[[#This Row],[Familia]]="termico solar",Tabla4[[#This Row],[Utilidad Total]]*6%,Tabla4[[#This Row],[Utilidad Total]]*11.5%))/Tabla4[[#This Row],[Total]]</f>
        <v>#N/A</v>
      </c>
      <c r="V2695" s="282" t="e">
        <f>+Tabla4[[#This Row],[Comisión Calculada]]*Tabla4[[#This Row],[Total]]</f>
        <v>#N/A</v>
      </c>
    </row>
    <row r="2696" spans="1:22" hidden="1" x14ac:dyDescent="0.25">
      <c r="A2696" s="100">
        <v>45792</v>
      </c>
      <c r="B2696" t="str">
        <f t="shared" si="127"/>
        <v>May</v>
      </c>
      <c r="C2696" s="46" t="s">
        <v>280</v>
      </c>
      <c r="F2696" s="366" t="s">
        <v>1757</v>
      </c>
      <c r="G2696" s="46" t="s">
        <v>20</v>
      </c>
      <c r="H2696" s="46">
        <v>1</v>
      </c>
      <c r="I2696" s="51">
        <v>7751.98</v>
      </c>
      <c r="J2696" s="281">
        <f>++Tabla4[[#This Row],[Precio Bruto]]*1.16</f>
        <v>8992.2967999999983</v>
      </c>
      <c r="K2696" s="281">
        <f>+Tabla4[[#This Row],[Precio Unitario Neto]]*Tabla4[[#Headers],[20.85%]]</f>
        <v>1874.8938827999996</v>
      </c>
      <c r="L2696" s="282">
        <f>++Tabla4[[#This Row],[Precio Unitario Neto]]-Tabla4[[#This Row],[20.85%]]</f>
        <v>7117.4029171999991</v>
      </c>
      <c r="M2696" s="282" t="e">
        <f>(INDEX(Tabla6[#All],MATCH(Tabla4[[#This Row],[Producto]],Tabla6[[#All],[PRODUCTO]],0),MATCH(Tabla4[[#This Row],[Mes]],Tabla6[#Headers],0)))*(1+Catalogos!$L$2)</f>
        <v>#N/A</v>
      </c>
      <c r="N2696" s="283" t="e">
        <f>+(Tabla4[[#This Row],[Precio Descontado]]-Tabla4[[#This Row],[Precio Base]])*Tabla4[[#This Row],[Cantidad]]</f>
        <v>#N/A</v>
      </c>
      <c r="O2696" s="284" t="e">
        <f>++Tabla4[[#This Row],[Utilidad Total]]/Tabla4[[#This Row],[Total]]</f>
        <v>#N/A</v>
      </c>
      <c r="P2696" s="282">
        <f>++Tabla4[[#This Row],[Precio Descontado]]*Tabla4[[#This Row],[Cantidad]]</f>
        <v>7117.4029171999991</v>
      </c>
      <c r="Q2696" s="282" t="e">
        <f>(INDEX(Tabla6[#All],MATCH(Tabla4[[#This Row],[Producto]],Tabla6[[#All],[PRODUCTO]],0),MATCH(Tabla4[[#This Row],[Mes]],Tabla6[#Headers],0)))</f>
        <v>#N/A</v>
      </c>
      <c r="R2696" s="282" t="e">
        <f>++Tabla4[[#This Row],[Precio Unitario Neto]]-Tabla4[[#This Row],[20.85%]]-Tabla4[[#This Row],[Costo]]</f>
        <v>#N/A</v>
      </c>
      <c r="S2696" s="282" t="e">
        <f>++Tabla4[[#This Row],[U. Bruta Uni]]*Tabla4[[#This Row],[Cantidad]]</f>
        <v>#N/A</v>
      </c>
      <c r="T2696" s="369" t="str">
        <f>VLOOKUP(Tabla4[[#This Row],[Producto]],Tabla6[#All],14,FALSE)</f>
        <v>Termico Solar</v>
      </c>
      <c r="U2696" s="284" t="e">
        <f>(IF(Tabla4[[#This Row],[Familia]]="termico solar",Tabla4[[#This Row],[Utilidad Total]]*6%,Tabla4[[#This Row],[Utilidad Total]]*11.5%))/Tabla4[[#This Row],[Total]]</f>
        <v>#N/A</v>
      </c>
      <c r="V2696" s="282" t="e">
        <f>+Tabla4[[#This Row],[Comisión Calculada]]*Tabla4[[#This Row],[Total]]</f>
        <v>#N/A</v>
      </c>
    </row>
    <row r="2697" spans="1:22" hidden="1" x14ac:dyDescent="0.25">
      <c r="A2697" s="100">
        <v>45792</v>
      </c>
      <c r="B2697" t="str">
        <f t="shared" si="127"/>
        <v>May</v>
      </c>
      <c r="C2697" s="46" t="s">
        <v>280</v>
      </c>
      <c r="F2697" s="366" t="s">
        <v>1757</v>
      </c>
      <c r="G2697" s="46" t="s">
        <v>21</v>
      </c>
      <c r="H2697" s="46">
        <v>1</v>
      </c>
      <c r="I2697" s="51">
        <v>9282.19</v>
      </c>
      <c r="J2697" s="281">
        <f>++Tabla4[[#This Row],[Precio Bruto]]*1.16</f>
        <v>10767.340399999999</v>
      </c>
      <c r="K2697" s="281">
        <f>+Tabla4[[#This Row],[Precio Unitario Neto]]*Tabla4[[#Headers],[20.85%]]</f>
        <v>2244.9904733999997</v>
      </c>
      <c r="L2697" s="282">
        <f>++Tabla4[[#This Row],[Precio Unitario Neto]]-Tabla4[[#This Row],[20.85%]]</f>
        <v>8522.3499265999999</v>
      </c>
      <c r="M2697" s="282" t="e">
        <f>(INDEX(Tabla6[#All],MATCH(Tabla4[[#This Row],[Producto]],Tabla6[[#All],[PRODUCTO]],0),MATCH(Tabla4[[#This Row],[Mes]],Tabla6[#Headers],0)))*(1+Catalogos!$L$2)</f>
        <v>#N/A</v>
      </c>
      <c r="N2697" s="283" t="e">
        <f>+(Tabla4[[#This Row],[Precio Descontado]]-Tabla4[[#This Row],[Precio Base]])*Tabla4[[#This Row],[Cantidad]]</f>
        <v>#N/A</v>
      </c>
      <c r="O2697" s="284" t="e">
        <f>++Tabla4[[#This Row],[Utilidad Total]]/Tabla4[[#This Row],[Total]]</f>
        <v>#N/A</v>
      </c>
      <c r="P2697" s="282">
        <f>++Tabla4[[#This Row],[Precio Descontado]]*Tabla4[[#This Row],[Cantidad]]</f>
        <v>8522.3499265999999</v>
      </c>
      <c r="Q2697" s="282" t="e">
        <f>(INDEX(Tabla6[#All],MATCH(Tabla4[[#This Row],[Producto]],Tabla6[[#All],[PRODUCTO]],0),MATCH(Tabla4[[#This Row],[Mes]],Tabla6[#Headers],0)))</f>
        <v>#N/A</v>
      </c>
      <c r="R2697" s="282" t="e">
        <f>++Tabla4[[#This Row],[Precio Unitario Neto]]-Tabla4[[#This Row],[20.85%]]-Tabla4[[#This Row],[Costo]]</f>
        <v>#N/A</v>
      </c>
      <c r="S2697" s="282" t="e">
        <f>++Tabla4[[#This Row],[U. Bruta Uni]]*Tabla4[[#This Row],[Cantidad]]</f>
        <v>#N/A</v>
      </c>
      <c r="T2697" s="369" t="str">
        <f>VLOOKUP(Tabla4[[#This Row],[Producto]],Tabla6[#All],14,FALSE)</f>
        <v>Termico Solar</v>
      </c>
      <c r="U2697" s="284" t="e">
        <f>(IF(Tabla4[[#This Row],[Familia]]="termico solar",Tabla4[[#This Row],[Utilidad Total]]*6%,Tabla4[[#This Row],[Utilidad Total]]*11.5%))/Tabla4[[#This Row],[Total]]</f>
        <v>#N/A</v>
      </c>
      <c r="V2697" s="282" t="e">
        <f>+Tabla4[[#This Row],[Comisión Calculada]]*Tabla4[[#This Row],[Total]]</f>
        <v>#N/A</v>
      </c>
    </row>
    <row r="2698" spans="1:22" hidden="1" x14ac:dyDescent="0.25">
      <c r="A2698" s="100">
        <v>45792</v>
      </c>
      <c r="B2698" t="str">
        <f t="shared" si="127"/>
        <v>May</v>
      </c>
      <c r="C2698" s="46" t="s">
        <v>280</v>
      </c>
      <c r="F2698" s="366" t="s">
        <v>1757</v>
      </c>
      <c r="G2698" s="46" t="s">
        <v>22</v>
      </c>
      <c r="H2698" s="46">
        <v>5</v>
      </c>
      <c r="I2698" s="51">
        <v>13355.75</v>
      </c>
      <c r="J2698" s="281">
        <f>++Tabla4[[#This Row],[Precio Bruto]]*1.16</f>
        <v>15492.669999999998</v>
      </c>
      <c r="K2698" s="281">
        <f>+Tabla4[[#This Row],[Precio Unitario Neto]]*Tabla4[[#Headers],[20.85%]]</f>
        <v>3230.2216949999993</v>
      </c>
      <c r="L2698" s="282">
        <f>++Tabla4[[#This Row],[Precio Unitario Neto]]-Tabla4[[#This Row],[20.85%]]</f>
        <v>12262.448304999998</v>
      </c>
      <c r="M2698" s="282" t="e">
        <f>(INDEX(Tabla6[#All],MATCH(Tabla4[[#This Row],[Producto]],Tabla6[[#All],[PRODUCTO]],0),MATCH(Tabla4[[#This Row],[Mes]],Tabla6[#Headers],0)))*(1+Catalogos!$L$2)</f>
        <v>#N/A</v>
      </c>
      <c r="N2698" s="283" t="e">
        <f>+(Tabla4[[#This Row],[Precio Descontado]]-Tabla4[[#This Row],[Precio Base]])*Tabla4[[#This Row],[Cantidad]]</f>
        <v>#N/A</v>
      </c>
      <c r="O2698" s="284" t="e">
        <f>++Tabla4[[#This Row],[Utilidad Total]]/Tabla4[[#This Row],[Total]]</f>
        <v>#N/A</v>
      </c>
      <c r="P2698" s="282">
        <f>++Tabla4[[#This Row],[Precio Descontado]]*Tabla4[[#This Row],[Cantidad]]</f>
        <v>61312.24152499999</v>
      </c>
      <c r="Q2698" s="282" t="e">
        <f>(INDEX(Tabla6[#All],MATCH(Tabla4[[#This Row],[Producto]],Tabla6[[#All],[PRODUCTO]],0),MATCH(Tabla4[[#This Row],[Mes]],Tabla6[#Headers],0)))</f>
        <v>#N/A</v>
      </c>
      <c r="R2698" s="282" t="e">
        <f>++Tabla4[[#This Row],[Precio Unitario Neto]]-Tabla4[[#This Row],[20.85%]]-Tabla4[[#This Row],[Costo]]</f>
        <v>#N/A</v>
      </c>
      <c r="S2698" s="282" t="e">
        <f>++Tabla4[[#This Row],[U. Bruta Uni]]*Tabla4[[#This Row],[Cantidad]]</f>
        <v>#N/A</v>
      </c>
      <c r="T2698" s="369" t="str">
        <f>VLOOKUP(Tabla4[[#This Row],[Producto]],Tabla6[#All],14,FALSE)</f>
        <v>Termico Solar</v>
      </c>
      <c r="U2698" s="284" t="e">
        <f>(IF(Tabla4[[#This Row],[Familia]]="termico solar",Tabla4[[#This Row],[Utilidad Total]]*6%,Tabla4[[#This Row],[Utilidad Total]]*11.5%))/Tabla4[[#This Row],[Total]]</f>
        <v>#N/A</v>
      </c>
      <c r="V2698" s="282" t="e">
        <f>+Tabla4[[#This Row],[Comisión Calculada]]*Tabla4[[#This Row],[Total]]</f>
        <v>#N/A</v>
      </c>
    </row>
    <row r="2699" spans="1:22" hidden="1" x14ac:dyDescent="0.25">
      <c r="A2699" s="100">
        <v>45792</v>
      </c>
      <c r="B2699" t="str">
        <f t="shared" ref="B2699:B2707" si="128">TEXT(A2699, "mmmm")</f>
        <v>May</v>
      </c>
      <c r="C2699" s="46" t="s">
        <v>280</v>
      </c>
      <c r="F2699" s="366" t="s">
        <v>1758</v>
      </c>
      <c r="G2699" s="46" t="s">
        <v>83</v>
      </c>
      <c r="H2699" s="46">
        <v>1</v>
      </c>
      <c r="I2699" s="51">
        <v>8858.76</v>
      </c>
      <c r="J2699" s="281">
        <f>++Tabla4[[#This Row],[Precio Bruto]]*1.16</f>
        <v>10276.161599999999</v>
      </c>
      <c r="K2699" s="281">
        <f>+Tabla4[[#This Row],[Precio Unitario Neto]]*Tabla4[[#Headers],[20.85%]]</f>
        <v>2142.5796935999997</v>
      </c>
      <c r="L2699" s="282">
        <f>++Tabla4[[#This Row],[Precio Unitario Neto]]-Tabla4[[#This Row],[20.85%]]</f>
        <v>8133.5819063999998</v>
      </c>
      <c r="M2699" s="282" t="e">
        <f>(INDEX(Tabla6[#All],MATCH(Tabla4[[#This Row],[Producto]],Tabla6[[#All],[PRODUCTO]],0),MATCH(Tabla4[[#This Row],[Mes]],Tabla6[#Headers],0)))*(1+Catalogos!$L$2)</f>
        <v>#N/A</v>
      </c>
      <c r="N2699" s="283" t="e">
        <f>+(Tabla4[[#This Row],[Precio Descontado]]-Tabla4[[#This Row],[Precio Base]])*Tabla4[[#This Row],[Cantidad]]</f>
        <v>#N/A</v>
      </c>
      <c r="O2699" s="284" t="e">
        <f>++Tabla4[[#This Row],[Utilidad Total]]/Tabla4[[#This Row],[Total]]</f>
        <v>#N/A</v>
      </c>
      <c r="P2699" s="282">
        <f>++Tabla4[[#This Row],[Precio Descontado]]*Tabla4[[#This Row],[Cantidad]]</f>
        <v>8133.5819063999998</v>
      </c>
      <c r="Q2699" s="282" t="e">
        <f>(INDEX(Tabla6[#All],MATCH(Tabla4[[#This Row],[Producto]],Tabla6[[#All],[PRODUCTO]],0),MATCH(Tabla4[[#This Row],[Mes]],Tabla6[#Headers],0)))</f>
        <v>#N/A</v>
      </c>
      <c r="R2699" s="282" t="e">
        <f>++Tabla4[[#This Row],[Precio Unitario Neto]]-Tabla4[[#This Row],[20.85%]]-Tabla4[[#This Row],[Costo]]</f>
        <v>#N/A</v>
      </c>
      <c r="S2699" s="282" t="e">
        <f>++Tabla4[[#This Row],[U. Bruta Uni]]*Tabla4[[#This Row],[Cantidad]]</f>
        <v>#N/A</v>
      </c>
      <c r="T2699" s="369" t="str">
        <f>VLOOKUP(Tabla4[[#This Row],[Producto]],Tabla6[#All],14,FALSE)</f>
        <v>Termico Solar</v>
      </c>
      <c r="U2699" s="284" t="e">
        <f>(IF(Tabla4[[#This Row],[Familia]]="termico solar",Tabla4[[#This Row],[Utilidad Total]]*6%,Tabla4[[#This Row],[Utilidad Total]]*11.5%))/Tabla4[[#This Row],[Total]]</f>
        <v>#N/A</v>
      </c>
      <c r="V2699" s="282" t="e">
        <f>+Tabla4[[#This Row],[Comisión Calculada]]*Tabla4[[#This Row],[Total]]</f>
        <v>#N/A</v>
      </c>
    </row>
    <row r="2700" spans="1:22" hidden="1" x14ac:dyDescent="0.25">
      <c r="A2700" s="100">
        <v>45792</v>
      </c>
      <c r="B2700" t="str">
        <f t="shared" si="128"/>
        <v>May</v>
      </c>
      <c r="C2700" s="46" t="s">
        <v>280</v>
      </c>
      <c r="F2700" s="366" t="s">
        <v>1758</v>
      </c>
      <c r="G2700" s="46" t="s">
        <v>17</v>
      </c>
      <c r="H2700" s="46">
        <v>3</v>
      </c>
      <c r="I2700" s="51">
        <v>4622.28</v>
      </c>
      <c r="J2700" s="281">
        <f>++Tabla4[[#This Row],[Precio Bruto]]*1.16</f>
        <v>5361.8447999999989</v>
      </c>
      <c r="K2700" s="281">
        <f>+Tabla4[[#This Row],[Precio Unitario Neto]]*Tabla4[[#Headers],[20.85%]]</f>
        <v>1117.9446407999997</v>
      </c>
      <c r="L2700" s="282">
        <f>++Tabla4[[#This Row],[Precio Unitario Neto]]-Tabla4[[#This Row],[20.85%]]</f>
        <v>4243.9001591999995</v>
      </c>
      <c r="M2700" s="282" t="e">
        <f>(INDEX(Tabla6[#All],MATCH(Tabla4[[#This Row],[Producto]],Tabla6[[#All],[PRODUCTO]],0),MATCH(Tabla4[[#This Row],[Mes]],Tabla6[#Headers],0)))*(1+Catalogos!$L$2)</f>
        <v>#N/A</v>
      </c>
      <c r="N2700" s="283" t="e">
        <f>+(Tabla4[[#This Row],[Precio Descontado]]-Tabla4[[#This Row],[Precio Base]])*Tabla4[[#This Row],[Cantidad]]</f>
        <v>#N/A</v>
      </c>
      <c r="O2700" s="284" t="e">
        <f>++Tabla4[[#This Row],[Utilidad Total]]/Tabla4[[#This Row],[Total]]</f>
        <v>#N/A</v>
      </c>
      <c r="P2700" s="282">
        <f>++Tabla4[[#This Row],[Precio Descontado]]*Tabla4[[#This Row],[Cantidad]]</f>
        <v>12731.700477599999</v>
      </c>
      <c r="Q2700" s="282" t="e">
        <f>(INDEX(Tabla6[#All],MATCH(Tabla4[[#This Row],[Producto]],Tabla6[[#All],[PRODUCTO]],0),MATCH(Tabla4[[#This Row],[Mes]],Tabla6[#Headers],0)))</f>
        <v>#N/A</v>
      </c>
      <c r="R2700" s="282" t="e">
        <f>++Tabla4[[#This Row],[Precio Unitario Neto]]-Tabla4[[#This Row],[20.85%]]-Tabla4[[#This Row],[Costo]]</f>
        <v>#N/A</v>
      </c>
      <c r="S2700" s="282" t="e">
        <f>++Tabla4[[#This Row],[U. Bruta Uni]]*Tabla4[[#This Row],[Cantidad]]</f>
        <v>#N/A</v>
      </c>
      <c r="T2700" s="369" t="str">
        <f>VLOOKUP(Tabla4[[#This Row],[Producto]],Tabla6[#All],14,FALSE)</f>
        <v>Termico Solar</v>
      </c>
      <c r="U2700" s="284" t="e">
        <f>(IF(Tabla4[[#This Row],[Familia]]="termico solar",Tabla4[[#This Row],[Utilidad Total]]*6%,Tabla4[[#This Row],[Utilidad Total]]*11.5%))/Tabla4[[#This Row],[Total]]</f>
        <v>#N/A</v>
      </c>
      <c r="V2700" s="282" t="e">
        <f>+Tabla4[[#This Row],[Comisión Calculada]]*Tabla4[[#This Row],[Total]]</f>
        <v>#N/A</v>
      </c>
    </row>
    <row r="2701" spans="1:22" hidden="1" x14ac:dyDescent="0.25">
      <c r="A2701" s="100">
        <v>45792</v>
      </c>
      <c r="B2701" t="str">
        <f t="shared" si="128"/>
        <v>May</v>
      </c>
      <c r="C2701" s="46" t="s">
        <v>280</v>
      </c>
      <c r="F2701" s="366" t="s">
        <v>1758</v>
      </c>
      <c r="G2701" s="46" t="s">
        <v>18</v>
      </c>
      <c r="H2701" s="46">
        <v>8</v>
      </c>
      <c r="I2701" s="51">
        <v>5367.65</v>
      </c>
      <c r="J2701" s="281">
        <f>++Tabla4[[#This Row],[Precio Bruto]]*1.16</f>
        <v>6226.4739999999993</v>
      </c>
      <c r="K2701" s="281">
        <f>+Tabla4[[#This Row],[Precio Unitario Neto]]*Tabla4[[#Headers],[20.85%]]</f>
        <v>1298.2198289999999</v>
      </c>
      <c r="L2701" s="282">
        <f>++Tabla4[[#This Row],[Precio Unitario Neto]]-Tabla4[[#This Row],[20.85%]]</f>
        <v>4928.2541709999996</v>
      </c>
      <c r="M2701" s="282" t="e">
        <f>(INDEX(Tabla6[#All],MATCH(Tabla4[[#This Row],[Producto]],Tabla6[[#All],[PRODUCTO]],0),MATCH(Tabla4[[#This Row],[Mes]],Tabla6[#Headers],0)))*(1+Catalogos!$L$2)</f>
        <v>#N/A</v>
      </c>
      <c r="N2701" s="283" t="e">
        <f>+(Tabla4[[#This Row],[Precio Descontado]]-Tabla4[[#This Row],[Precio Base]])*Tabla4[[#This Row],[Cantidad]]</f>
        <v>#N/A</v>
      </c>
      <c r="O2701" s="284" t="e">
        <f>++Tabla4[[#This Row],[Utilidad Total]]/Tabla4[[#This Row],[Total]]</f>
        <v>#N/A</v>
      </c>
      <c r="P2701" s="282">
        <f>++Tabla4[[#This Row],[Precio Descontado]]*Tabla4[[#This Row],[Cantidad]]</f>
        <v>39426.033367999997</v>
      </c>
      <c r="Q2701" s="282" t="e">
        <f>(INDEX(Tabla6[#All],MATCH(Tabla4[[#This Row],[Producto]],Tabla6[[#All],[PRODUCTO]],0),MATCH(Tabla4[[#This Row],[Mes]],Tabla6[#Headers],0)))</f>
        <v>#N/A</v>
      </c>
      <c r="R2701" s="282" t="e">
        <f>++Tabla4[[#This Row],[Precio Unitario Neto]]-Tabla4[[#This Row],[20.85%]]-Tabla4[[#This Row],[Costo]]</f>
        <v>#N/A</v>
      </c>
      <c r="S2701" s="282" t="e">
        <f>++Tabla4[[#This Row],[U. Bruta Uni]]*Tabla4[[#This Row],[Cantidad]]</f>
        <v>#N/A</v>
      </c>
      <c r="T2701" s="369" t="str">
        <f>VLOOKUP(Tabla4[[#This Row],[Producto]],Tabla6[#All],14,FALSE)</f>
        <v>Termico Solar</v>
      </c>
      <c r="U2701" s="284" t="e">
        <f>(IF(Tabla4[[#This Row],[Familia]]="termico solar",Tabla4[[#This Row],[Utilidad Total]]*6%,Tabla4[[#This Row],[Utilidad Total]]*11.5%))/Tabla4[[#This Row],[Total]]</f>
        <v>#N/A</v>
      </c>
      <c r="V2701" s="282" t="e">
        <f>+Tabla4[[#This Row],[Comisión Calculada]]*Tabla4[[#This Row],[Total]]</f>
        <v>#N/A</v>
      </c>
    </row>
    <row r="2702" spans="1:22" hidden="1" x14ac:dyDescent="0.25">
      <c r="A2702" s="100">
        <v>45792</v>
      </c>
      <c r="B2702" t="str">
        <f t="shared" si="128"/>
        <v>May</v>
      </c>
      <c r="C2702" s="46" t="s">
        <v>280</v>
      </c>
      <c r="F2702" s="366" t="s">
        <v>1758</v>
      </c>
      <c r="G2702" s="46" t="s">
        <v>19</v>
      </c>
      <c r="H2702" s="46">
        <v>2</v>
      </c>
      <c r="I2702" s="51">
        <v>6412.03</v>
      </c>
      <c r="J2702" s="281">
        <f>++Tabla4[[#This Row],[Precio Bruto]]*1.16</f>
        <v>7437.9547999999995</v>
      </c>
      <c r="K2702" s="281">
        <f>+Tabla4[[#This Row],[Precio Unitario Neto]]*Tabla4[[#Headers],[20.85%]]</f>
        <v>1550.8135757999999</v>
      </c>
      <c r="L2702" s="282">
        <f>++Tabla4[[#This Row],[Precio Unitario Neto]]-Tabla4[[#This Row],[20.85%]]</f>
        <v>5887.1412241999997</v>
      </c>
      <c r="M2702" s="282" t="e">
        <f>(INDEX(Tabla6[#All],MATCH(Tabla4[[#This Row],[Producto]],Tabla6[[#All],[PRODUCTO]],0),MATCH(Tabla4[[#This Row],[Mes]],Tabla6[#Headers],0)))*(1+Catalogos!$L$2)</f>
        <v>#N/A</v>
      </c>
      <c r="N2702" s="283" t="e">
        <f>+(Tabla4[[#This Row],[Precio Descontado]]-Tabla4[[#This Row],[Precio Base]])*Tabla4[[#This Row],[Cantidad]]</f>
        <v>#N/A</v>
      </c>
      <c r="O2702" s="284" t="e">
        <f>++Tabla4[[#This Row],[Utilidad Total]]/Tabla4[[#This Row],[Total]]</f>
        <v>#N/A</v>
      </c>
      <c r="P2702" s="282">
        <f>++Tabla4[[#This Row],[Precio Descontado]]*Tabla4[[#This Row],[Cantidad]]</f>
        <v>11774.282448399999</v>
      </c>
      <c r="Q2702" s="282" t="e">
        <f>(INDEX(Tabla6[#All],MATCH(Tabla4[[#This Row],[Producto]],Tabla6[[#All],[PRODUCTO]],0),MATCH(Tabla4[[#This Row],[Mes]],Tabla6[#Headers],0)))</f>
        <v>#N/A</v>
      </c>
      <c r="R2702" s="282" t="e">
        <f>++Tabla4[[#This Row],[Precio Unitario Neto]]-Tabla4[[#This Row],[20.85%]]-Tabla4[[#This Row],[Costo]]</f>
        <v>#N/A</v>
      </c>
      <c r="S2702" s="282" t="e">
        <f>++Tabla4[[#This Row],[U. Bruta Uni]]*Tabla4[[#This Row],[Cantidad]]</f>
        <v>#N/A</v>
      </c>
      <c r="T2702" s="369" t="str">
        <f>VLOOKUP(Tabla4[[#This Row],[Producto]],Tabla6[#All],14,FALSE)</f>
        <v>Termico Solar</v>
      </c>
      <c r="U2702" s="284" t="e">
        <f>(IF(Tabla4[[#This Row],[Familia]]="termico solar",Tabla4[[#This Row],[Utilidad Total]]*6%,Tabla4[[#This Row],[Utilidad Total]]*11.5%))/Tabla4[[#This Row],[Total]]</f>
        <v>#N/A</v>
      </c>
      <c r="V2702" s="282" t="e">
        <f>+Tabla4[[#This Row],[Comisión Calculada]]*Tabla4[[#This Row],[Total]]</f>
        <v>#N/A</v>
      </c>
    </row>
    <row r="2703" spans="1:22" hidden="1" x14ac:dyDescent="0.25">
      <c r="A2703" s="100">
        <v>45792</v>
      </c>
      <c r="B2703" t="str">
        <f t="shared" si="128"/>
        <v>May</v>
      </c>
      <c r="C2703" s="46" t="s">
        <v>280</v>
      </c>
      <c r="F2703" s="366" t="s">
        <v>1758</v>
      </c>
      <c r="G2703" s="46" t="s">
        <v>20</v>
      </c>
      <c r="H2703" s="46">
        <v>3</v>
      </c>
      <c r="I2703" s="51">
        <v>7751.98</v>
      </c>
      <c r="J2703" s="281">
        <f>++Tabla4[[#This Row],[Precio Bruto]]*1.16</f>
        <v>8992.2967999999983</v>
      </c>
      <c r="K2703" s="281">
        <f>+Tabla4[[#This Row],[Precio Unitario Neto]]*Tabla4[[#Headers],[20.85%]]</f>
        <v>1874.8938827999996</v>
      </c>
      <c r="L2703" s="282">
        <f>++Tabla4[[#This Row],[Precio Unitario Neto]]-Tabla4[[#This Row],[20.85%]]</f>
        <v>7117.4029171999991</v>
      </c>
      <c r="M2703" s="282" t="e">
        <f>(INDEX(Tabla6[#All],MATCH(Tabla4[[#This Row],[Producto]],Tabla6[[#All],[PRODUCTO]],0),MATCH(Tabla4[[#This Row],[Mes]],Tabla6[#Headers],0)))*(1+Catalogos!$L$2)</f>
        <v>#N/A</v>
      </c>
      <c r="N2703" s="283" t="e">
        <f>+(Tabla4[[#This Row],[Precio Descontado]]-Tabla4[[#This Row],[Precio Base]])*Tabla4[[#This Row],[Cantidad]]</f>
        <v>#N/A</v>
      </c>
      <c r="O2703" s="284" t="e">
        <f>++Tabla4[[#This Row],[Utilidad Total]]/Tabla4[[#This Row],[Total]]</f>
        <v>#N/A</v>
      </c>
      <c r="P2703" s="282">
        <f>++Tabla4[[#This Row],[Precio Descontado]]*Tabla4[[#This Row],[Cantidad]]</f>
        <v>21352.208751599996</v>
      </c>
      <c r="Q2703" s="282" t="e">
        <f>(INDEX(Tabla6[#All],MATCH(Tabla4[[#This Row],[Producto]],Tabla6[[#All],[PRODUCTO]],0),MATCH(Tabla4[[#This Row],[Mes]],Tabla6[#Headers],0)))</f>
        <v>#N/A</v>
      </c>
      <c r="R2703" s="282" t="e">
        <f>++Tabla4[[#This Row],[Precio Unitario Neto]]-Tabla4[[#This Row],[20.85%]]-Tabla4[[#This Row],[Costo]]</f>
        <v>#N/A</v>
      </c>
      <c r="S2703" s="282" t="e">
        <f>++Tabla4[[#This Row],[U. Bruta Uni]]*Tabla4[[#This Row],[Cantidad]]</f>
        <v>#N/A</v>
      </c>
      <c r="T2703" s="369" t="str">
        <f>VLOOKUP(Tabla4[[#This Row],[Producto]],Tabla6[#All],14,FALSE)</f>
        <v>Termico Solar</v>
      </c>
      <c r="U2703" s="284" t="e">
        <f>(IF(Tabla4[[#This Row],[Familia]]="termico solar",Tabla4[[#This Row],[Utilidad Total]]*6%,Tabla4[[#This Row],[Utilidad Total]]*11.5%))/Tabla4[[#This Row],[Total]]</f>
        <v>#N/A</v>
      </c>
      <c r="V2703" s="282" t="e">
        <f>+Tabla4[[#This Row],[Comisión Calculada]]*Tabla4[[#This Row],[Total]]</f>
        <v>#N/A</v>
      </c>
    </row>
    <row r="2704" spans="1:22" hidden="1" x14ac:dyDescent="0.25">
      <c r="A2704" s="100">
        <v>45792</v>
      </c>
      <c r="B2704" t="str">
        <f t="shared" si="128"/>
        <v>May</v>
      </c>
      <c r="C2704" s="46" t="s">
        <v>280</v>
      </c>
      <c r="F2704" s="366" t="s">
        <v>1758</v>
      </c>
      <c r="G2704" s="46" t="s">
        <v>21</v>
      </c>
      <c r="H2704" s="46">
        <v>2</v>
      </c>
      <c r="I2704" s="51">
        <v>9282.19</v>
      </c>
      <c r="J2704" s="281">
        <f>++Tabla4[[#This Row],[Precio Bruto]]*1.16</f>
        <v>10767.340399999999</v>
      </c>
      <c r="K2704" s="281">
        <f>+Tabla4[[#This Row],[Precio Unitario Neto]]*Tabla4[[#Headers],[20.85%]]</f>
        <v>2244.9904733999997</v>
      </c>
      <c r="L2704" s="282">
        <f>++Tabla4[[#This Row],[Precio Unitario Neto]]-Tabla4[[#This Row],[20.85%]]</f>
        <v>8522.3499265999999</v>
      </c>
      <c r="M2704" s="282" t="e">
        <f>(INDEX(Tabla6[#All],MATCH(Tabla4[[#This Row],[Producto]],Tabla6[[#All],[PRODUCTO]],0),MATCH(Tabla4[[#This Row],[Mes]],Tabla6[#Headers],0)))*(1+Catalogos!$L$2)</f>
        <v>#N/A</v>
      </c>
      <c r="N2704" s="283" t="e">
        <f>+(Tabla4[[#This Row],[Precio Descontado]]-Tabla4[[#This Row],[Precio Base]])*Tabla4[[#This Row],[Cantidad]]</f>
        <v>#N/A</v>
      </c>
      <c r="O2704" s="284" t="e">
        <f>++Tabla4[[#This Row],[Utilidad Total]]/Tabla4[[#This Row],[Total]]</f>
        <v>#N/A</v>
      </c>
      <c r="P2704" s="282">
        <f>++Tabla4[[#This Row],[Precio Descontado]]*Tabla4[[#This Row],[Cantidad]]</f>
        <v>17044.6998532</v>
      </c>
      <c r="Q2704" s="282" t="e">
        <f>(INDEX(Tabla6[#All],MATCH(Tabla4[[#This Row],[Producto]],Tabla6[[#All],[PRODUCTO]],0),MATCH(Tabla4[[#This Row],[Mes]],Tabla6[#Headers],0)))</f>
        <v>#N/A</v>
      </c>
      <c r="R2704" s="282" t="e">
        <f>++Tabla4[[#This Row],[Precio Unitario Neto]]-Tabla4[[#This Row],[20.85%]]-Tabla4[[#This Row],[Costo]]</f>
        <v>#N/A</v>
      </c>
      <c r="S2704" s="282" t="e">
        <f>++Tabla4[[#This Row],[U. Bruta Uni]]*Tabla4[[#This Row],[Cantidad]]</f>
        <v>#N/A</v>
      </c>
      <c r="T2704" s="369" t="str">
        <f>VLOOKUP(Tabla4[[#This Row],[Producto]],Tabla6[#All],14,FALSE)</f>
        <v>Termico Solar</v>
      </c>
      <c r="U2704" s="284" t="e">
        <f>(IF(Tabla4[[#This Row],[Familia]]="termico solar",Tabla4[[#This Row],[Utilidad Total]]*6%,Tabla4[[#This Row],[Utilidad Total]]*11.5%))/Tabla4[[#This Row],[Total]]</f>
        <v>#N/A</v>
      </c>
      <c r="V2704" s="282" t="e">
        <f>+Tabla4[[#This Row],[Comisión Calculada]]*Tabla4[[#This Row],[Total]]</f>
        <v>#N/A</v>
      </c>
    </row>
    <row r="2705" spans="1:22" hidden="1" x14ac:dyDescent="0.25">
      <c r="A2705" s="100">
        <v>45792</v>
      </c>
      <c r="B2705" t="str">
        <f t="shared" si="128"/>
        <v>May</v>
      </c>
      <c r="C2705" s="46" t="s">
        <v>280</v>
      </c>
      <c r="F2705" s="366" t="s">
        <v>1758</v>
      </c>
      <c r="G2705" s="46" t="s">
        <v>22</v>
      </c>
      <c r="H2705" s="46">
        <v>2</v>
      </c>
      <c r="I2705" s="51">
        <v>13355.75</v>
      </c>
      <c r="J2705" s="281">
        <f>++Tabla4[[#This Row],[Precio Bruto]]*1.16</f>
        <v>15492.669999999998</v>
      </c>
      <c r="K2705" s="281">
        <f>+Tabla4[[#This Row],[Precio Unitario Neto]]*Tabla4[[#Headers],[20.85%]]</f>
        <v>3230.2216949999993</v>
      </c>
      <c r="L2705" s="282">
        <f>++Tabla4[[#This Row],[Precio Unitario Neto]]-Tabla4[[#This Row],[20.85%]]</f>
        <v>12262.448304999998</v>
      </c>
      <c r="M2705" s="282" t="e">
        <f>(INDEX(Tabla6[#All],MATCH(Tabla4[[#This Row],[Producto]],Tabla6[[#All],[PRODUCTO]],0),MATCH(Tabla4[[#This Row],[Mes]],Tabla6[#Headers],0)))*(1+Catalogos!$L$2)</f>
        <v>#N/A</v>
      </c>
      <c r="N2705" s="283" t="e">
        <f>+(Tabla4[[#This Row],[Precio Descontado]]-Tabla4[[#This Row],[Precio Base]])*Tabla4[[#This Row],[Cantidad]]</f>
        <v>#N/A</v>
      </c>
      <c r="O2705" s="284" t="e">
        <f>++Tabla4[[#This Row],[Utilidad Total]]/Tabla4[[#This Row],[Total]]</f>
        <v>#N/A</v>
      </c>
      <c r="P2705" s="282">
        <f>++Tabla4[[#This Row],[Precio Descontado]]*Tabla4[[#This Row],[Cantidad]]</f>
        <v>24524.896609999996</v>
      </c>
      <c r="Q2705" s="282" t="e">
        <f>(INDEX(Tabla6[#All],MATCH(Tabla4[[#This Row],[Producto]],Tabla6[[#All],[PRODUCTO]],0),MATCH(Tabla4[[#This Row],[Mes]],Tabla6[#Headers],0)))</f>
        <v>#N/A</v>
      </c>
      <c r="R2705" s="282" t="e">
        <f>++Tabla4[[#This Row],[Precio Unitario Neto]]-Tabla4[[#This Row],[20.85%]]-Tabla4[[#This Row],[Costo]]</f>
        <v>#N/A</v>
      </c>
      <c r="S2705" s="282" t="e">
        <f>++Tabla4[[#This Row],[U. Bruta Uni]]*Tabla4[[#This Row],[Cantidad]]</f>
        <v>#N/A</v>
      </c>
      <c r="T2705" s="369" t="str">
        <f>VLOOKUP(Tabla4[[#This Row],[Producto]],Tabla6[#All],14,FALSE)</f>
        <v>Termico Solar</v>
      </c>
      <c r="U2705" s="284" t="e">
        <f>(IF(Tabla4[[#This Row],[Familia]]="termico solar",Tabla4[[#This Row],[Utilidad Total]]*6%,Tabla4[[#This Row],[Utilidad Total]]*11.5%))/Tabla4[[#This Row],[Total]]</f>
        <v>#N/A</v>
      </c>
      <c r="V2705" s="282" t="e">
        <f>+Tabla4[[#This Row],[Comisión Calculada]]*Tabla4[[#This Row],[Total]]</f>
        <v>#N/A</v>
      </c>
    </row>
    <row r="2706" spans="1:22" hidden="1" x14ac:dyDescent="0.25">
      <c r="A2706" s="100">
        <v>45792</v>
      </c>
      <c r="B2706" t="str">
        <f t="shared" si="128"/>
        <v>May</v>
      </c>
      <c r="C2706" s="46" t="s">
        <v>280</v>
      </c>
      <c r="F2706" s="366" t="s">
        <v>1758</v>
      </c>
      <c r="G2706" s="46" t="s">
        <v>84</v>
      </c>
      <c r="H2706" s="46">
        <v>3</v>
      </c>
      <c r="I2706" s="51">
        <v>16601.829999999998</v>
      </c>
      <c r="J2706" s="281">
        <f>++Tabla4[[#This Row],[Precio Bruto]]*1.16</f>
        <v>19258.122799999997</v>
      </c>
      <c r="K2706" s="281">
        <f>+Tabla4[[#This Row],[Precio Unitario Neto]]*Tabla4[[#Headers],[20.85%]]</f>
        <v>4015.3186037999994</v>
      </c>
      <c r="L2706" s="282">
        <f>++Tabla4[[#This Row],[Precio Unitario Neto]]-Tabla4[[#This Row],[20.85%]]</f>
        <v>15242.804196199999</v>
      </c>
      <c r="M2706" s="282" t="e">
        <f>(INDEX(Tabla6[#All],MATCH(Tabla4[[#This Row],[Producto]],Tabla6[[#All],[PRODUCTO]],0),MATCH(Tabla4[[#This Row],[Mes]],Tabla6[#Headers],0)))*(1+Catalogos!$L$2)</f>
        <v>#N/A</v>
      </c>
      <c r="N2706" s="283" t="e">
        <f>+(Tabla4[[#This Row],[Precio Descontado]]-Tabla4[[#This Row],[Precio Base]])*Tabla4[[#This Row],[Cantidad]]</f>
        <v>#N/A</v>
      </c>
      <c r="O2706" s="284" t="e">
        <f>++Tabla4[[#This Row],[Utilidad Total]]/Tabla4[[#This Row],[Total]]</f>
        <v>#N/A</v>
      </c>
      <c r="P2706" s="282">
        <f>++Tabla4[[#This Row],[Precio Descontado]]*Tabla4[[#This Row],[Cantidad]]</f>
        <v>45728.412588599997</v>
      </c>
      <c r="Q2706" s="282" t="e">
        <f>(INDEX(Tabla6[#All],MATCH(Tabla4[[#This Row],[Producto]],Tabla6[[#All],[PRODUCTO]],0),MATCH(Tabla4[[#This Row],[Mes]],Tabla6[#Headers],0)))</f>
        <v>#N/A</v>
      </c>
      <c r="R2706" s="282" t="e">
        <f>++Tabla4[[#This Row],[Precio Unitario Neto]]-Tabla4[[#This Row],[20.85%]]-Tabla4[[#This Row],[Costo]]</f>
        <v>#N/A</v>
      </c>
      <c r="S2706" s="282" t="e">
        <f>++Tabla4[[#This Row],[U. Bruta Uni]]*Tabla4[[#This Row],[Cantidad]]</f>
        <v>#N/A</v>
      </c>
      <c r="T2706" s="369" t="str">
        <f>VLOOKUP(Tabla4[[#This Row],[Producto]],Tabla6[#All],14,FALSE)</f>
        <v>Termico Solar</v>
      </c>
      <c r="U2706" s="284" t="e">
        <f>(IF(Tabla4[[#This Row],[Familia]]="termico solar",Tabla4[[#This Row],[Utilidad Total]]*6%,Tabla4[[#This Row],[Utilidad Total]]*11.5%))/Tabla4[[#This Row],[Total]]</f>
        <v>#N/A</v>
      </c>
      <c r="V2706" s="282" t="e">
        <f>+Tabla4[[#This Row],[Comisión Calculada]]*Tabla4[[#This Row],[Total]]</f>
        <v>#N/A</v>
      </c>
    </row>
    <row r="2707" spans="1:22" hidden="1" x14ac:dyDescent="0.25">
      <c r="A2707" s="100">
        <v>45792</v>
      </c>
      <c r="B2707" t="str">
        <f t="shared" si="128"/>
        <v>May</v>
      </c>
      <c r="C2707" s="46" t="s">
        <v>280</v>
      </c>
      <c r="F2707" s="366" t="s">
        <v>1758</v>
      </c>
      <c r="G2707" s="46" t="s">
        <v>16</v>
      </c>
      <c r="H2707" s="46">
        <v>6</v>
      </c>
      <c r="I2707" s="51">
        <v>4103.8499999999995</v>
      </c>
      <c r="J2707" s="281">
        <f>++Tabla4[[#This Row],[Precio Bruto]]*1.16</f>
        <v>4760.4659999999994</v>
      </c>
      <c r="K2707" s="281">
        <f>+Tabla4[[#This Row],[Precio Unitario Neto]]*Tabla4[[#Headers],[20.85%]]</f>
        <v>992.55716099999984</v>
      </c>
      <c r="L2707" s="282">
        <f>++Tabla4[[#This Row],[Precio Unitario Neto]]-Tabla4[[#This Row],[20.85%]]</f>
        <v>3767.9088389999997</v>
      </c>
      <c r="M2707" s="282" t="e">
        <f>(INDEX(Tabla6[#All],MATCH(Tabla4[[#This Row],[Producto]],Tabla6[[#All],[PRODUCTO]],0),MATCH(Tabla4[[#This Row],[Mes]],Tabla6[#Headers],0)))*(1+Catalogos!$L$2)</f>
        <v>#N/A</v>
      </c>
      <c r="N2707" s="283" t="e">
        <f>+(Tabla4[[#This Row],[Precio Descontado]]-Tabla4[[#This Row],[Precio Base]])*Tabla4[[#This Row],[Cantidad]]</f>
        <v>#N/A</v>
      </c>
      <c r="O2707" s="284" t="e">
        <f>++Tabla4[[#This Row],[Utilidad Total]]/Tabla4[[#This Row],[Total]]</f>
        <v>#N/A</v>
      </c>
      <c r="P2707" s="282">
        <f>++Tabla4[[#This Row],[Precio Descontado]]*Tabla4[[#This Row],[Cantidad]]</f>
        <v>22607.453033999998</v>
      </c>
      <c r="Q2707" s="282" t="e">
        <f>(INDEX(Tabla6[#All],MATCH(Tabla4[[#This Row],[Producto]],Tabla6[[#All],[PRODUCTO]],0),MATCH(Tabla4[[#This Row],[Mes]],Tabla6[#Headers],0)))</f>
        <v>#N/A</v>
      </c>
      <c r="R2707" s="282" t="e">
        <f>++Tabla4[[#This Row],[Precio Unitario Neto]]-Tabla4[[#This Row],[20.85%]]-Tabla4[[#This Row],[Costo]]</f>
        <v>#N/A</v>
      </c>
      <c r="S2707" s="282" t="e">
        <f>++Tabla4[[#This Row],[U. Bruta Uni]]*Tabla4[[#This Row],[Cantidad]]</f>
        <v>#N/A</v>
      </c>
      <c r="T2707" s="369" t="str">
        <f>VLOOKUP(Tabla4[[#This Row],[Producto]],Tabla6[#All],14,FALSE)</f>
        <v>Termico Solar</v>
      </c>
      <c r="U2707" s="284" t="e">
        <f>(IF(Tabla4[[#This Row],[Familia]]="termico solar",Tabla4[[#This Row],[Utilidad Total]]*6%,Tabla4[[#This Row],[Utilidad Total]]*11.5%))/Tabla4[[#This Row],[Total]]</f>
        <v>#N/A</v>
      </c>
      <c r="V2707" s="282" t="e">
        <f>+Tabla4[[#This Row],[Comisión Calculada]]*Tabla4[[#This Row],[Total]]</f>
        <v>#N/A</v>
      </c>
    </row>
    <row r="2708" spans="1:22" hidden="1" x14ac:dyDescent="0.25">
      <c r="A2708" s="100">
        <v>45792</v>
      </c>
      <c r="B2708" t="str">
        <f t="shared" ref="B2708:B2720" si="129">TEXT(A2708, "mmmm")</f>
        <v>May</v>
      </c>
      <c r="C2708" s="46" t="s">
        <v>280</v>
      </c>
      <c r="F2708" s="366" t="s">
        <v>1759</v>
      </c>
      <c r="G2708" s="46" t="s">
        <v>18</v>
      </c>
      <c r="H2708" s="46">
        <v>7</v>
      </c>
      <c r="I2708" s="51">
        <v>5367.6500000000005</v>
      </c>
      <c r="J2708" s="281">
        <f>++Tabla4[[#This Row],[Precio Bruto]]*1.16</f>
        <v>6226.4740000000002</v>
      </c>
      <c r="K2708" s="281">
        <f>+Tabla4[[#This Row],[Precio Unitario Neto]]*Tabla4[[#Headers],[20.85%]]</f>
        <v>1298.2198289999999</v>
      </c>
      <c r="L2708" s="282">
        <f>++Tabla4[[#This Row],[Precio Unitario Neto]]-Tabla4[[#This Row],[20.85%]]</f>
        <v>4928.2541710000005</v>
      </c>
      <c r="M2708" s="282" t="e">
        <f>(INDEX(Tabla6[#All],MATCH(Tabla4[[#This Row],[Producto]],Tabla6[[#All],[PRODUCTO]],0),MATCH(Tabla4[[#This Row],[Mes]],Tabla6[#Headers],0)))*(1+Catalogos!$L$2)</f>
        <v>#N/A</v>
      </c>
      <c r="N2708" s="283" t="e">
        <f>+(Tabla4[[#This Row],[Precio Descontado]]-Tabla4[[#This Row],[Precio Base]])*Tabla4[[#This Row],[Cantidad]]</f>
        <v>#N/A</v>
      </c>
      <c r="O2708" s="284" t="e">
        <f>++Tabla4[[#This Row],[Utilidad Total]]/Tabla4[[#This Row],[Total]]</f>
        <v>#N/A</v>
      </c>
      <c r="P2708" s="282">
        <f>++Tabla4[[#This Row],[Precio Descontado]]*Tabla4[[#This Row],[Cantidad]]</f>
        <v>34497.779197000003</v>
      </c>
      <c r="Q2708" s="282" t="e">
        <f>(INDEX(Tabla6[#All],MATCH(Tabla4[[#This Row],[Producto]],Tabla6[[#All],[PRODUCTO]],0),MATCH(Tabla4[[#This Row],[Mes]],Tabla6[#Headers],0)))</f>
        <v>#N/A</v>
      </c>
      <c r="R2708" s="282" t="e">
        <f>++Tabla4[[#This Row],[Precio Unitario Neto]]-Tabla4[[#This Row],[20.85%]]-Tabla4[[#This Row],[Costo]]</f>
        <v>#N/A</v>
      </c>
      <c r="S2708" s="282" t="e">
        <f>++Tabla4[[#This Row],[U. Bruta Uni]]*Tabla4[[#This Row],[Cantidad]]</f>
        <v>#N/A</v>
      </c>
      <c r="T2708" s="369" t="str">
        <f>VLOOKUP(Tabla4[[#This Row],[Producto]],Tabla6[#All],14,FALSE)</f>
        <v>Termico Solar</v>
      </c>
      <c r="U2708" s="284" t="e">
        <f>(IF(Tabla4[[#This Row],[Familia]]="termico solar",Tabla4[[#This Row],[Utilidad Total]]*6%,Tabla4[[#This Row],[Utilidad Total]]*11.5%))/Tabla4[[#This Row],[Total]]</f>
        <v>#N/A</v>
      </c>
      <c r="V2708" s="282" t="e">
        <f>+Tabla4[[#This Row],[Comisión Calculada]]*Tabla4[[#This Row],[Total]]</f>
        <v>#N/A</v>
      </c>
    </row>
    <row r="2709" spans="1:22" hidden="1" x14ac:dyDescent="0.25">
      <c r="A2709" s="100">
        <v>45792</v>
      </c>
      <c r="B2709" t="str">
        <f t="shared" si="129"/>
        <v>May</v>
      </c>
      <c r="C2709" s="46" t="s">
        <v>280</v>
      </c>
      <c r="F2709" s="366" t="s">
        <v>1759</v>
      </c>
      <c r="G2709" s="46" t="s">
        <v>208</v>
      </c>
      <c r="H2709" s="46">
        <v>2</v>
      </c>
      <c r="I2709" s="51">
        <v>189.75</v>
      </c>
      <c r="J2709" s="281">
        <f>++Tabla4[[#This Row],[Precio Bruto]]*1.16</f>
        <v>220.10999999999999</v>
      </c>
      <c r="K2709" s="281">
        <f>+Tabla4[[#This Row],[Precio Unitario Neto]]*Tabla4[[#Headers],[20.85%]]</f>
        <v>45.892934999999994</v>
      </c>
      <c r="L2709" s="282">
        <f>++Tabla4[[#This Row],[Precio Unitario Neto]]-Tabla4[[#This Row],[20.85%]]</f>
        <v>174.21706499999999</v>
      </c>
      <c r="M2709" s="282" t="e">
        <f>(INDEX(Tabla6[#All],MATCH(Tabla4[[#This Row],[Producto]],Tabla6[[#All],[PRODUCTO]],0),MATCH(Tabla4[[#This Row],[Mes]],Tabla6[#Headers],0)))*(1+Catalogos!$L$2)</f>
        <v>#N/A</v>
      </c>
      <c r="N2709" s="283" t="e">
        <f>+(Tabla4[[#This Row],[Precio Descontado]]-Tabla4[[#This Row],[Precio Base]])*Tabla4[[#This Row],[Cantidad]]</f>
        <v>#N/A</v>
      </c>
      <c r="O2709" s="284" t="e">
        <f>++Tabla4[[#This Row],[Utilidad Total]]/Tabla4[[#This Row],[Total]]</f>
        <v>#N/A</v>
      </c>
      <c r="P2709" s="282">
        <f>++Tabla4[[#This Row],[Precio Descontado]]*Tabla4[[#This Row],[Cantidad]]</f>
        <v>348.43412999999998</v>
      </c>
      <c r="Q2709" s="282" t="e">
        <f>(INDEX(Tabla6[#All],MATCH(Tabla4[[#This Row],[Producto]],Tabla6[[#All],[PRODUCTO]],0),MATCH(Tabla4[[#This Row],[Mes]],Tabla6[#Headers],0)))</f>
        <v>#N/A</v>
      </c>
      <c r="R2709" s="282" t="e">
        <f>++Tabla4[[#This Row],[Precio Unitario Neto]]-Tabla4[[#This Row],[20.85%]]-Tabla4[[#This Row],[Costo]]</f>
        <v>#N/A</v>
      </c>
      <c r="S2709" s="282" t="e">
        <f>++Tabla4[[#This Row],[U. Bruta Uni]]*Tabla4[[#This Row],[Cantidad]]</f>
        <v>#N/A</v>
      </c>
      <c r="T2709" s="369" t="str">
        <f>VLOOKUP(Tabla4[[#This Row],[Producto]],Tabla6[#All],14,FALSE)</f>
        <v>Termico Solar</v>
      </c>
      <c r="U2709" s="284" t="e">
        <f>(IF(Tabla4[[#This Row],[Familia]]="termico solar",Tabla4[[#This Row],[Utilidad Total]]*6%,Tabla4[[#This Row],[Utilidad Total]]*11.5%))/Tabla4[[#This Row],[Total]]</f>
        <v>#N/A</v>
      </c>
      <c r="V2709" s="282" t="e">
        <f>+Tabla4[[#This Row],[Comisión Calculada]]*Tabla4[[#This Row],[Total]]</f>
        <v>#N/A</v>
      </c>
    </row>
    <row r="2710" spans="1:22" hidden="1" x14ac:dyDescent="0.25">
      <c r="A2710" s="100">
        <v>45792</v>
      </c>
      <c r="B2710" t="str">
        <f t="shared" si="129"/>
        <v>May</v>
      </c>
      <c r="C2710" s="46" t="s">
        <v>280</v>
      </c>
      <c r="F2710" s="366" t="s">
        <v>1760</v>
      </c>
      <c r="G2710" s="46" t="s">
        <v>17</v>
      </c>
      <c r="H2710" s="46">
        <v>2</v>
      </c>
      <c r="I2710" s="51">
        <v>4622.28</v>
      </c>
      <c r="J2710" s="281">
        <f>++Tabla4[[#This Row],[Precio Bruto]]*1.16</f>
        <v>5361.8447999999989</v>
      </c>
      <c r="K2710" s="281">
        <f>+Tabla4[[#This Row],[Precio Unitario Neto]]*Tabla4[[#Headers],[20.85%]]</f>
        <v>1117.9446407999997</v>
      </c>
      <c r="L2710" s="282">
        <f>++Tabla4[[#This Row],[Precio Unitario Neto]]-Tabla4[[#This Row],[20.85%]]</f>
        <v>4243.9001591999995</v>
      </c>
      <c r="M2710" s="282" t="e">
        <f>(INDEX(Tabla6[#All],MATCH(Tabla4[[#This Row],[Producto]],Tabla6[[#All],[PRODUCTO]],0),MATCH(Tabla4[[#This Row],[Mes]],Tabla6[#Headers],0)))*(1+Catalogos!$L$2)</f>
        <v>#N/A</v>
      </c>
      <c r="N2710" s="283" t="e">
        <f>+(Tabla4[[#This Row],[Precio Descontado]]-Tabla4[[#This Row],[Precio Base]])*Tabla4[[#This Row],[Cantidad]]</f>
        <v>#N/A</v>
      </c>
      <c r="O2710" s="284" t="e">
        <f>++Tabla4[[#This Row],[Utilidad Total]]/Tabla4[[#This Row],[Total]]</f>
        <v>#N/A</v>
      </c>
      <c r="P2710" s="282">
        <f>++Tabla4[[#This Row],[Precio Descontado]]*Tabla4[[#This Row],[Cantidad]]</f>
        <v>8487.800318399999</v>
      </c>
      <c r="Q2710" s="282" t="e">
        <f>(INDEX(Tabla6[#All],MATCH(Tabla4[[#This Row],[Producto]],Tabla6[[#All],[PRODUCTO]],0),MATCH(Tabla4[[#This Row],[Mes]],Tabla6[#Headers],0)))</f>
        <v>#N/A</v>
      </c>
      <c r="R2710" s="282" t="e">
        <f>++Tabla4[[#This Row],[Precio Unitario Neto]]-Tabla4[[#This Row],[20.85%]]-Tabla4[[#This Row],[Costo]]</f>
        <v>#N/A</v>
      </c>
      <c r="S2710" s="282" t="e">
        <f>++Tabla4[[#This Row],[U. Bruta Uni]]*Tabla4[[#This Row],[Cantidad]]</f>
        <v>#N/A</v>
      </c>
      <c r="T2710" s="369" t="str">
        <f>VLOOKUP(Tabla4[[#This Row],[Producto]],Tabla6[#All],14,FALSE)</f>
        <v>Termico Solar</v>
      </c>
      <c r="U2710" s="284" t="e">
        <f>(IF(Tabla4[[#This Row],[Familia]]="termico solar",Tabla4[[#This Row],[Utilidad Total]]*6%,Tabla4[[#This Row],[Utilidad Total]]*11.5%))/Tabla4[[#This Row],[Total]]</f>
        <v>#N/A</v>
      </c>
      <c r="V2710" s="282" t="e">
        <f>+Tabla4[[#This Row],[Comisión Calculada]]*Tabla4[[#This Row],[Total]]</f>
        <v>#N/A</v>
      </c>
    </row>
    <row r="2711" spans="1:22" hidden="1" x14ac:dyDescent="0.25">
      <c r="A2711" s="100">
        <v>45792</v>
      </c>
      <c r="B2711" t="str">
        <f t="shared" si="129"/>
        <v>May</v>
      </c>
      <c r="C2711" s="46" t="s">
        <v>280</v>
      </c>
      <c r="F2711" s="366" t="s">
        <v>1760</v>
      </c>
      <c r="G2711" s="46" t="s">
        <v>200</v>
      </c>
      <c r="H2711" s="46">
        <v>12</v>
      </c>
      <c r="I2711" s="51">
        <v>393.22</v>
      </c>
      <c r="J2711" s="281">
        <f>++Tabla4[[#This Row],[Precio Bruto]]*1.16</f>
        <v>456.1352</v>
      </c>
      <c r="K2711" s="281">
        <f>+Tabla4[[#This Row],[Precio Unitario Neto]]*Tabla4[[#Headers],[20.85%]]</f>
        <v>95.104189199999993</v>
      </c>
      <c r="L2711" s="282">
        <f>++Tabla4[[#This Row],[Precio Unitario Neto]]-Tabla4[[#This Row],[20.85%]]</f>
        <v>361.03101079999999</v>
      </c>
      <c r="M2711" s="282" t="e">
        <f>(INDEX(Tabla6[#All],MATCH(Tabla4[[#This Row],[Producto]],Tabla6[[#All],[PRODUCTO]],0),MATCH(Tabla4[[#This Row],[Mes]],Tabla6[#Headers],0)))*(1+Catalogos!$L$2)</f>
        <v>#N/A</v>
      </c>
      <c r="N2711" s="283" t="e">
        <f>+(Tabla4[[#This Row],[Precio Descontado]]-Tabla4[[#This Row],[Precio Base]])*Tabla4[[#This Row],[Cantidad]]</f>
        <v>#N/A</v>
      </c>
      <c r="O2711" s="284" t="e">
        <f>++Tabla4[[#This Row],[Utilidad Total]]/Tabla4[[#This Row],[Total]]</f>
        <v>#N/A</v>
      </c>
      <c r="P2711" s="282">
        <f>++Tabla4[[#This Row],[Precio Descontado]]*Tabla4[[#This Row],[Cantidad]]</f>
        <v>4332.3721296000003</v>
      </c>
      <c r="Q2711" s="282" t="e">
        <f>(INDEX(Tabla6[#All],MATCH(Tabla4[[#This Row],[Producto]],Tabla6[[#All],[PRODUCTO]],0),MATCH(Tabla4[[#This Row],[Mes]],Tabla6[#Headers],0)))</f>
        <v>#N/A</v>
      </c>
      <c r="R2711" s="282" t="e">
        <f>++Tabla4[[#This Row],[Precio Unitario Neto]]-Tabla4[[#This Row],[20.85%]]-Tabla4[[#This Row],[Costo]]</f>
        <v>#N/A</v>
      </c>
      <c r="S2711" s="282" t="e">
        <f>++Tabla4[[#This Row],[U. Bruta Uni]]*Tabla4[[#This Row],[Cantidad]]</f>
        <v>#N/A</v>
      </c>
      <c r="T2711" s="369" t="str">
        <f>VLOOKUP(Tabla4[[#This Row],[Producto]],Tabla6[#All],14,FALSE)</f>
        <v>Termico Solar</v>
      </c>
      <c r="U2711" s="284" t="e">
        <f>(IF(Tabla4[[#This Row],[Familia]]="termico solar",Tabla4[[#This Row],[Utilidad Total]]*6%,Tabla4[[#This Row],[Utilidad Total]]*11.5%))/Tabla4[[#This Row],[Total]]</f>
        <v>#N/A</v>
      </c>
      <c r="V2711" s="282" t="e">
        <f>+Tabla4[[#This Row],[Comisión Calculada]]*Tabla4[[#This Row],[Total]]</f>
        <v>#N/A</v>
      </c>
    </row>
    <row r="2712" spans="1:22" hidden="1" x14ac:dyDescent="0.25">
      <c r="A2712" s="100">
        <v>45792</v>
      </c>
      <c r="B2712" t="str">
        <f t="shared" si="129"/>
        <v>May</v>
      </c>
      <c r="C2712" s="46" t="s">
        <v>280</v>
      </c>
      <c r="F2712" s="366" t="s">
        <v>1761</v>
      </c>
      <c r="G2712" s="46" t="s">
        <v>17</v>
      </c>
      <c r="H2712" s="46">
        <v>1</v>
      </c>
      <c r="I2712" s="51">
        <v>4622.28</v>
      </c>
      <c r="J2712" s="281">
        <f>++Tabla4[[#This Row],[Precio Bruto]]*1.16</f>
        <v>5361.8447999999989</v>
      </c>
      <c r="K2712" s="281">
        <f>+Tabla4[[#This Row],[Precio Unitario Neto]]*Tabla4[[#Headers],[20.85%]]</f>
        <v>1117.9446407999997</v>
      </c>
      <c r="L2712" s="282">
        <f>++Tabla4[[#This Row],[Precio Unitario Neto]]-Tabla4[[#This Row],[20.85%]]</f>
        <v>4243.9001591999995</v>
      </c>
      <c r="M2712" s="282" t="e">
        <f>(INDEX(Tabla6[#All],MATCH(Tabla4[[#This Row],[Producto]],Tabla6[[#All],[PRODUCTO]],0),MATCH(Tabla4[[#This Row],[Mes]],Tabla6[#Headers],0)))*(1+Catalogos!$L$2)</f>
        <v>#N/A</v>
      </c>
      <c r="N2712" s="283" t="e">
        <f>+(Tabla4[[#This Row],[Precio Descontado]]-Tabla4[[#This Row],[Precio Base]])*Tabla4[[#This Row],[Cantidad]]</f>
        <v>#N/A</v>
      </c>
      <c r="O2712" s="284" t="e">
        <f>++Tabla4[[#This Row],[Utilidad Total]]/Tabla4[[#This Row],[Total]]</f>
        <v>#N/A</v>
      </c>
      <c r="P2712" s="282">
        <f>++Tabla4[[#This Row],[Precio Descontado]]*Tabla4[[#This Row],[Cantidad]]</f>
        <v>4243.9001591999995</v>
      </c>
      <c r="Q2712" s="282" t="e">
        <f>(INDEX(Tabla6[#All],MATCH(Tabla4[[#This Row],[Producto]],Tabla6[[#All],[PRODUCTO]],0),MATCH(Tabla4[[#This Row],[Mes]],Tabla6[#Headers],0)))</f>
        <v>#N/A</v>
      </c>
      <c r="R2712" s="282" t="e">
        <f>++Tabla4[[#This Row],[Precio Unitario Neto]]-Tabla4[[#This Row],[20.85%]]-Tabla4[[#This Row],[Costo]]</f>
        <v>#N/A</v>
      </c>
      <c r="S2712" s="282" t="e">
        <f>++Tabla4[[#This Row],[U. Bruta Uni]]*Tabla4[[#This Row],[Cantidad]]</f>
        <v>#N/A</v>
      </c>
      <c r="T2712" s="369" t="str">
        <f>VLOOKUP(Tabla4[[#This Row],[Producto]],Tabla6[#All],14,FALSE)</f>
        <v>Termico Solar</v>
      </c>
      <c r="U2712" s="284" t="e">
        <f>(IF(Tabla4[[#This Row],[Familia]]="termico solar",Tabla4[[#This Row],[Utilidad Total]]*6%,Tabla4[[#This Row],[Utilidad Total]]*11.5%))/Tabla4[[#This Row],[Total]]</f>
        <v>#N/A</v>
      </c>
      <c r="V2712" s="282" t="e">
        <f>+Tabla4[[#This Row],[Comisión Calculada]]*Tabla4[[#This Row],[Total]]</f>
        <v>#N/A</v>
      </c>
    </row>
    <row r="2713" spans="1:22" hidden="1" x14ac:dyDescent="0.25">
      <c r="A2713" s="100">
        <v>45792</v>
      </c>
      <c r="B2713" t="str">
        <f t="shared" si="129"/>
        <v>May</v>
      </c>
      <c r="C2713" s="46" t="s">
        <v>280</v>
      </c>
      <c r="F2713" s="366" t="s">
        <v>1761</v>
      </c>
      <c r="G2713" s="46" t="s">
        <v>16</v>
      </c>
      <c r="H2713" s="46">
        <v>1</v>
      </c>
      <c r="I2713" s="51">
        <v>4103.8500000000004</v>
      </c>
      <c r="J2713" s="281">
        <f>++Tabla4[[#This Row],[Precio Bruto]]*1.16</f>
        <v>4760.4660000000003</v>
      </c>
      <c r="K2713" s="281">
        <f>+Tabla4[[#This Row],[Precio Unitario Neto]]*Tabla4[[#Headers],[20.85%]]</f>
        <v>992.55716100000006</v>
      </c>
      <c r="L2713" s="282">
        <f>++Tabla4[[#This Row],[Precio Unitario Neto]]-Tabla4[[#This Row],[20.85%]]</f>
        <v>3767.9088390000002</v>
      </c>
      <c r="M2713" s="282" t="e">
        <f>(INDEX(Tabla6[#All],MATCH(Tabla4[[#This Row],[Producto]],Tabla6[[#All],[PRODUCTO]],0),MATCH(Tabla4[[#This Row],[Mes]],Tabla6[#Headers],0)))*(1+Catalogos!$L$2)</f>
        <v>#N/A</v>
      </c>
      <c r="N2713" s="283" t="e">
        <f>+(Tabla4[[#This Row],[Precio Descontado]]-Tabla4[[#This Row],[Precio Base]])*Tabla4[[#This Row],[Cantidad]]</f>
        <v>#N/A</v>
      </c>
      <c r="O2713" s="284" t="e">
        <f>++Tabla4[[#This Row],[Utilidad Total]]/Tabla4[[#This Row],[Total]]</f>
        <v>#N/A</v>
      </c>
      <c r="P2713" s="282">
        <f>++Tabla4[[#This Row],[Precio Descontado]]*Tabla4[[#This Row],[Cantidad]]</f>
        <v>3767.9088390000002</v>
      </c>
      <c r="Q2713" s="282" t="e">
        <f>(INDEX(Tabla6[#All],MATCH(Tabla4[[#This Row],[Producto]],Tabla6[[#All],[PRODUCTO]],0),MATCH(Tabla4[[#This Row],[Mes]],Tabla6[#Headers],0)))</f>
        <v>#N/A</v>
      </c>
      <c r="R2713" s="282" t="e">
        <f>++Tabla4[[#This Row],[Precio Unitario Neto]]-Tabla4[[#This Row],[20.85%]]-Tabla4[[#This Row],[Costo]]</f>
        <v>#N/A</v>
      </c>
      <c r="S2713" s="282" t="e">
        <f>++Tabla4[[#This Row],[U. Bruta Uni]]*Tabla4[[#This Row],[Cantidad]]</f>
        <v>#N/A</v>
      </c>
      <c r="T2713" s="369" t="str">
        <f>VLOOKUP(Tabla4[[#This Row],[Producto]],Tabla6[#All],14,FALSE)</f>
        <v>Termico Solar</v>
      </c>
      <c r="U2713" s="284" t="e">
        <f>(IF(Tabla4[[#This Row],[Familia]]="termico solar",Tabla4[[#This Row],[Utilidad Total]]*6%,Tabla4[[#This Row],[Utilidad Total]]*11.5%))/Tabla4[[#This Row],[Total]]</f>
        <v>#N/A</v>
      </c>
      <c r="V2713" s="282" t="e">
        <f>+Tabla4[[#This Row],[Comisión Calculada]]*Tabla4[[#This Row],[Total]]</f>
        <v>#N/A</v>
      </c>
    </row>
    <row r="2714" spans="1:22" hidden="1" x14ac:dyDescent="0.25">
      <c r="A2714" s="100">
        <v>45792</v>
      </c>
      <c r="B2714" t="str">
        <f t="shared" si="129"/>
        <v>May</v>
      </c>
      <c r="C2714" s="46" t="s">
        <v>280</v>
      </c>
      <c r="F2714" s="366" t="s">
        <v>1761</v>
      </c>
      <c r="G2714" s="46" t="s">
        <v>394</v>
      </c>
      <c r="H2714" s="46">
        <v>16</v>
      </c>
      <c r="I2714" s="51">
        <v>224.29</v>
      </c>
      <c r="J2714" s="281">
        <f>++Tabla4[[#This Row],[Precio Bruto]]*1.16</f>
        <v>260.1764</v>
      </c>
      <c r="K2714" s="281">
        <f>+Tabla4[[#This Row],[Precio Unitario Neto]]*Tabla4[[#Headers],[20.85%]]</f>
        <v>54.246779400000001</v>
      </c>
      <c r="L2714" s="282">
        <f>++Tabla4[[#This Row],[Precio Unitario Neto]]-Tabla4[[#This Row],[20.85%]]</f>
        <v>205.92962059999999</v>
      </c>
      <c r="M2714" s="282" t="e">
        <f>(INDEX(Tabla6[#All],MATCH(Tabla4[[#This Row],[Producto]],Tabla6[[#All],[PRODUCTO]],0),MATCH(Tabla4[[#This Row],[Mes]],Tabla6[#Headers],0)))*(1+Catalogos!$L$2)</f>
        <v>#N/A</v>
      </c>
      <c r="N2714" s="283" t="e">
        <f>+(Tabla4[[#This Row],[Precio Descontado]]-Tabla4[[#This Row],[Precio Base]])*Tabla4[[#This Row],[Cantidad]]</f>
        <v>#N/A</v>
      </c>
      <c r="O2714" s="284" t="e">
        <f>++Tabla4[[#This Row],[Utilidad Total]]/Tabla4[[#This Row],[Total]]</f>
        <v>#N/A</v>
      </c>
      <c r="P2714" s="282">
        <f>++Tabla4[[#This Row],[Precio Descontado]]*Tabla4[[#This Row],[Cantidad]]</f>
        <v>3294.8739295999999</v>
      </c>
      <c r="Q2714" s="282" t="e">
        <f>(INDEX(Tabla6[#All],MATCH(Tabla4[[#This Row],[Producto]],Tabla6[[#All],[PRODUCTO]],0),MATCH(Tabla4[[#This Row],[Mes]],Tabla6[#Headers],0)))</f>
        <v>#N/A</v>
      </c>
      <c r="R2714" s="282" t="e">
        <f>++Tabla4[[#This Row],[Precio Unitario Neto]]-Tabla4[[#This Row],[20.85%]]-Tabla4[[#This Row],[Costo]]</f>
        <v>#N/A</v>
      </c>
      <c r="S2714" s="282" t="e">
        <f>++Tabla4[[#This Row],[U. Bruta Uni]]*Tabla4[[#This Row],[Cantidad]]</f>
        <v>#N/A</v>
      </c>
      <c r="T2714" s="369" t="str">
        <f>VLOOKUP(Tabla4[[#This Row],[Producto]],Tabla6[#All],14,FALSE)</f>
        <v>Termico Solar</v>
      </c>
      <c r="U2714" s="284" t="e">
        <f>(IF(Tabla4[[#This Row],[Familia]]="termico solar",Tabla4[[#This Row],[Utilidad Total]]*6%,Tabla4[[#This Row],[Utilidad Total]]*11.5%))/Tabla4[[#This Row],[Total]]</f>
        <v>#N/A</v>
      </c>
      <c r="V2714" s="282" t="e">
        <f>+Tabla4[[#This Row],[Comisión Calculada]]*Tabla4[[#This Row],[Total]]</f>
        <v>#N/A</v>
      </c>
    </row>
    <row r="2715" spans="1:22" hidden="1" x14ac:dyDescent="0.25">
      <c r="A2715" s="100">
        <v>45792</v>
      </c>
      <c r="B2715" t="str">
        <f t="shared" si="129"/>
        <v>May</v>
      </c>
      <c r="C2715" s="46" t="s">
        <v>280</v>
      </c>
      <c r="F2715" s="366" t="s">
        <v>1762</v>
      </c>
      <c r="G2715" s="46" t="s">
        <v>83</v>
      </c>
      <c r="H2715" s="46">
        <v>2</v>
      </c>
      <c r="I2715" s="51">
        <v>8858.76</v>
      </c>
      <c r="J2715" s="281">
        <f>++Tabla4[[#This Row],[Precio Bruto]]*1.16</f>
        <v>10276.161599999999</v>
      </c>
      <c r="K2715" s="281">
        <f>+Tabla4[[#This Row],[Precio Unitario Neto]]*Tabla4[[#Headers],[20.85%]]</f>
        <v>2142.5796935999997</v>
      </c>
      <c r="L2715" s="282">
        <f>++Tabla4[[#This Row],[Precio Unitario Neto]]-Tabla4[[#This Row],[20.85%]]</f>
        <v>8133.5819063999998</v>
      </c>
      <c r="M2715" s="282" t="e">
        <f>(INDEX(Tabla6[#All],MATCH(Tabla4[[#This Row],[Producto]],Tabla6[[#All],[PRODUCTO]],0),MATCH(Tabla4[[#This Row],[Mes]],Tabla6[#Headers],0)))*(1+Catalogos!$L$2)</f>
        <v>#N/A</v>
      </c>
      <c r="N2715" s="283" t="e">
        <f>+(Tabla4[[#This Row],[Precio Descontado]]-Tabla4[[#This Row],[Precio Base]])*Tabla4[[#This Row],[Cantidad]]</f>
        <v>#N/A</v>
      </c>
      <c r="O2715" s="284" t="e">
        <f>++Tabla4[[#This Row],[Utilidad Total]]/Tabla4[[#This Row],[Total]]</f>
        <v>#N/A</v>
      </c>
      <c r="P2715" s="282">
        <f>++Tabla4[[#This Row],[Precio Descontado]]*Tabla4[[#This Row],[Cantidad]]</f>
        <v>16267.1638128</v>
      </c>
      <c r="Q2715" s="282" t="e">
        <f>(INDEX(Tabla6[#All],MATCH(Tabla4[[#This Row],[Producto]],Tabla6[[#All],[PRODUCTO]],0),MATCH(Tabla4[[#This Row],[Mes]],Tabla6[#Headers],0)))</f>
        <v>#N/A</v>
      </c>
      <c r="R2715" s="282" t="e">
        <f>++Tabla4[[#This Row],[Precio Unitario Neto]]-Tabla4[[#This Row],[20.85%]]-Tabla4[[#This Row],[Costo]]</f>
        <v>#N/A</v>
      </c>
      <c r="S2715" s="282" t="e">
        <f>++Tabla4[[#This Row],[U. Bruta Uni]]*Tabla4[[#This Row],[Cantidad]]</f>
        <v>#N/A</v>
      </c>
      <c r="T2715" s="369" t="str">
        <f>VLOOKUP(Tabla4[[#This Row],[Producto]],Tabla6[#All],14,FALSE)</f>
        <v>Termico Solar</v>
      </c>
      <c r="U2715" s="284" t="e">
        <f>(IF(Tabla4[[#This Row],[Familia]]="termico solar",Tabla4[[#This Row],[Utilidad Total]]*6%,Tabla4[[#This Row],[Utilidad Total]]*11.5%))/Tabla4[[#This Row],[Total]]</f>
        <v>#N/A</v>
      </c>
      <c r="V2715" s="282" t="e">
        <f>+Tabla4[[#This Row],[Comisión Calculada]]*Tabla4[[#This Row],[Total]]</f>
        <v>#N/A</v>
      </c>
    </row>
    <row r="2716" spans="1:22" hidden="1" x14ac:dyDescent="0.25">
      <c r="A2716" s="100">
        <v>45792</v>
      </c>
      <c r="B2716" t="str">
        <f t="shared" si="129"/>
        <v>May</v>
      </c>
      <c r="C2716" s="46" t="s">
        <v>280</v>
      </c>
      <c r="F2716" s="366" t="s">
        <v>1762</v>
      </c>
      <c r="G2716" s="46" t="s">
        <v>18</v>
      </c>
      <c r="H2716" s="46">
        <v>2</v>
      </c>
      <c r="I2716" s="51">
        <v>5367.65</v>
      </c>
      <c r="J2716" s="281">
        <f>++Tabla4[[#This Row],[Precio Bruto]]*1.16</f>
        <v>6226.4739999999993</v>
      </c>
      <c r="K2716" s="281">
        <f>+Tabla4[[#This Row],[Precio Unitario Neto]]*Tabla4[[#Headers],[20.85%]]</f>
        <v>1298.2198289999999</v>
      </c>
      <c r="L2716" s="282">
        <f>++Tabla4[[#This Row],[Precio Unitario Neto]]-Tabla4[[#This Row],[20.85%]]</f>
        <v>4928.2541709999996</v>
      </c>
      <c r="M2716" s="282" t="e">
        <f>(INDEX(Tabla6[#All],MATCH(Tabla4[[#This Row],[Producto]],Tabla6[[#All],[PRODUCTO]],0),MATCH(Tabla4[[#This Row],[Mes]],Tabla6[#Headers],0)))*(1+Catalogos!$L$2)</f>
        <v>#N/A</v>
      </c>
      <c r="N2716" s="283" t="e">
        <f>+(Tabla4[[#This Row],[Precio Descontado]]-Tabla4[[#This Row],[Precio Base]])*Tabla4[[#This Row],[Cantidad]]</f>
        <v>#N/A</v>
      </c>
      <c r="O2716" s="284" t="e">
        <f>++Tabla4[[#This Row],[Utilidad Total]]/Tabla4[[#This Row],[Total]]</f>
        <v>#N/A</v>
      </c>
      <c r="P2716" s="282">
        <f>++Tabla4[[#This Row],[Precio Descontado]]*Tabla4[[#This Row],[Cantidad]]</f>
        <v>9856.5083419999992</v>
      </c>
      <c r="Q2716" s="282" t="e">
        <f>(INDEX(Tabla6[#All],MATCH(Tabla4[[#This Row],[Producto]],Tabla6[[#All],[PRODUCTO]],0),MATCH(Tabla4[[#This Row],[Mes]],Tabla6[#Headers],0)))</f>
        <v>#N/A</v>
      </c>
      <c r="R2716" s="282" t="e">
        <f>++Tabla4[[#This Row],[Precio Unitario Neto]]-Tabla4[[#This Row],[20.85%]]-Tabla4[[#This Row],[Costo]]</f>
        <v>#N/A</v>
      </c>
      <c r="S2716" s="282" t="e">
        <f>++Tabla4[[#This Row],[U. Bruta Uni]]*Tabla4[[#This Row],[Cantidad]]</f>
        <v>#N/A</v>
      </c>
      <c r="T2716" s="369" t="str">
        <f>VLOOKUP(Tabla4[[#This Row],[Producto]],Tabla6[#All],14,FALSE)</f>
        <v>Termico Solar</v>
      </c>
      <c r="U2716" s="284" t="e">
        <f>(IF(Tabla4[[#This Row],[Familia]]="termico solar",Tabla4[[#This Row],[Utilidad Total]]*6%,Tabla4[[#This Row],[Utilidad Total]]*11.5%))/Tabla4[[#This Row],[Total]]</f>
        <v>#N/A</v>
      </c>
      <c r="V2716" s="282" t="e">
        <f>+Tabla4[[#This Row],[Comisión Calculada]]*Tabla4[[#This Row],[Total]]</f>
        <v>#N/A</v>
      </c>
    </row>
    <row r="2717" spans="1:22" hidden="1" x14ac:dyDescent="0.25">
      <c r="A2717" s="100">
        <v>45792</v>
      </c>
      <c r="B2717" t="str">
        <f t="shared" si="129"/>
        <v>May</v>
      </c>
      <c r="C2717" s="46" t="s">
        <v>280</v>
      </c>
      <c r="F2717" s="366" t="s">
        <v>1762</v>
      </c>
      <c r="G2717" s="46" t="s">
        <v>566</v>
      </c>
      <c r="H2717" s="46">
        <v>1</v>
      </c>
      <c r="I2717" s="51">
        <v>2109.4499999999998</v>
      </c>
      <c r="J2717" s="281">
        <f>++Tabla4[[#This Row],[Precio Bruto]]*1.16</f>
        <v>2446.9619999999995</v>
      </c>
      <c r="K2717" s="281">
        <f>+Tabla4[[#This Row],[Precio Unitario Neto]]*Tabla4[[#Headers],[20.85%]]</f>
        <v>510.19157699999988</v>
      </c>
      <c r="L2717" s="282">
        <f>++Tabla4[[#This Row],[Precio Unitario Neto]]-Tabla4[[#This Row],[20.85%]]</f>
        <v>1936.7704229999997</v>
      </c>
      <c r="M2717" s="282" t="e">
        <f>(INDEX(Tabla6[#All],MATCH(Tabla4[[#This Row],[Producto]],Tabla6[[#All],[PRODUCTO]],0),MATCH(Tabla4[[#This Row],[Mes]],Tabla6[#Headers],0)))*(1+Catalogos!$L$2)</f>
        <v>#N/A</v>
      </c>
      <c r="N2717" s="283" t="e">
        <f>+(Tabla4[[#This Row],[Precio Descontado]]-Tabla4[[#This Row],[Precio Base]])*Tabla4[[#This Row],[Cantidad]]</f>
        <v>#N/A</v>
      </c>
      <c r="O2717" s="284" t="e">
        <f>++Tabla4[[#This Row],[Utilidad Total]]/Tabla4[[#This Row],[Total]]</f>
        <v>#N/A</v>
      </c>
      <c r="P2717" s="282">
        <f>++Tabla4[[#This Row],[Precio Descontado]]*Tabla4[[#This Row],[Cantidad]]</f>
        <v>1936.7704229999997</v>
      </c>
      <c r="Q2717" s="282" t="e">
        <f>(INDEX(Tabla6[#All],MATCH(Tabla4[[#This Row],[Producto]],Tabla6[[#All],[PRODUCTO]],0),MATCH(Tabla4[[#This Row],[Mes]],Tabla6[#Headers],0)))</f>
        <v>#N/A</v>
      </c>
      <c r="R2717" s="282" t="e">
        <f>++Tabla4[[#This Row],[Precio Unitario Neto]]-Tabla4[[#This Row],[20.85%]]-Tabla4[[#This Row],[Costo]]</f>
        <v>#N/A</v>
      </c>
      <c r="S2717" s="282" t="e">
        <f>++Tabla4[[#This Row],[U. Bruta Uni]]*Tabla4[[#This Row],[Cantidad]]</f>
        <v>#N/A</v>
      </c>
      <c r="T2717" s="369" t="str">
        <f>VLOOKUP(Tabla4[[#This Row],[Producto]],Tabla6[#All],14,FALSE)</f>
        <v>Termico Solar</v>
      </c>
      <c r="U2717" s="284" t="e">
        <f>(IF(Tabla4[[#This Row],[Familia]]="termico solar",Tabla4[[#This Row],[Utilidad Total]]*6%,Tabla4[[#This Row],[Utilidad Total]]*11.5%))/Tabla4[[#This Row],[Total]]</f>
        <v>#N/A</v>
      </c>
      <c r="V2717" s="282" t="e">
        <f>+Tabla4[[#This Row],[Comisión Calculada]]*Tabla4[[#This Row],[Total]]</f>
        <v>#N/A</v>
      </c>
    </row>
    <row r="2718" spans="1:22" hidden="1" x14ac:dyDescent="0.25">
      <c r="A2718" s="100">
        <v>45792</v>
      </c>
      <c r="B2718" t="str">
        <f t="shared" si="129"/>
        <v>May</v>
      </c>
      <c r="C2718" s="46" t="s">
        <v>280</v>
      </c>
      <c r="F2718" s="366" t="s">
        <v>1762</v>
      </c>
      <c r="G2718" s="46" t="s">
        <v>16</v>
      </c>
      <c r="H2718" s="46">
        <v>3</v>
      </c>
      <c r="I2718" s="51">
        <v>4103.8499999999995</v>
      </c>
      <c r="J2718" s="281">
        <f>++Tabla4[[#This Row],[Precio Bruto]]*1.16</f>
        <v>4760.4659999999994</v>
      </c>
      <c r="K2718" s="281">
        <f>+Tabla4[[#This Row],[Precio Unitario Neto]]*Tabla4[[#Headers],[20.85%]]</f>
        <v>992.55716099999984</v>
      </c>
      <c r="L2718" s="282">
        <f>++Tabla4[[#This Row],[Precio Unitario Neto]]-Tabla4[[#This Row],[20.85%]]</f>
        <v>3767.9088389999997</v>
      </c>
      <c r="M2718" s="282" t="e">
        <f>(INDEX(Tabla6[#All],MATCH(Tabla4[[#This Row],[Producto]],Tabla6[[#All],[PRODUCTO]],0),MATCH(Tabla4[[#This Row],[Mes]],Tabla6[#Headers],0)))*(1+Catalogos!$L$2)</f>
        <v>#N/A</v>
      </c>
      <c r="N2718" s="283" t="e">
        <f>+(Tabla4[[#This Row],[Precio Descontado]]-Tabla4[[#This Row],[Precio Base]])*Tabla4[[#This Row],[Cantidad]]</f>
        <v>#N/A</v>
      </c>
      <c r="O2718" s="284" t="e">
        <f>++Tabla4[[#This Row],[Utilidad Total]]/Tabla4[[#This Row],[Total]]</f>
        <v>#N/A</v>
      </c>
      <c r="P2718" s="282">
        <f>++Tabla4[[#This Row],[Precio Descontado]]*Tabla4[[#This Row],[Cantidad]]</f>
        <v>11303.726516999999</v>
      </c>
      <c r="Q2718" s="282" t="e">
        <f>(INDEX(Tabla6[#All],MATCH(Tabla4[[#This Row],[Producto]],Tabla6[[#All],[PRODUCTO]],0),MATCH(Tabla4[[#This Row],[Mes]],Tabla6[#Headers],0)))</f>
        <v>#N/A</v>
      </c>
      <c r="R2718" s="282" t="e">
        <f>++Tabla4[[#This Row],[Precio Unitario Neto]]-Tabla4[[#This Row],[20.85%]]-Tabla4[[#This Row],[Costo]]</f>
        <v>#N/A</v>
      </c>
      <c r="S2718" s="282" t="e">
        <f>++Tabla4[[#This Row],[U. Bruta Uni]]*Tabla4[[#This Row],[Cantidad]]</f>
        <v>#N/A</v>
      </c>
      <c r="T2718" s="369" t="str">
        <f>VLOOKUP(Tabla4[[#This Row],[Producto]],Tabla6[#All],14,FALSE)</f>
        <v>Termico Solar</v>
      </c>
      <c r="U2718" s="284" t="e">
        <f>(IF(Tabla4[[#This Row],[Familia]]="termico solar",Tabla4[[#This Row],[Utilidad Total]]*6%,Tabla4[[#This Row],[Utilidad Total]]*11.5%))/Tabla4[[#This Row],[Total]]</f>
        <v>#N/A</v>
      </c>
      <c r="V2718" s="282" t="e">
        <f>+Tabla4[[#This Row],[Comisión Calculada]]*Tabla4[[#This Row],[Total]]</f>
        <v>#N/A</v>
      </c>
    </row>
    <row r="2719" spans="1:22" hidden="1" x14ac:dyDescent="0.25">
      <c r="A2719" s="100">
        <v>45792</v>
      </c>
      <c r="B2719" t="str">
        <f t="shared" si="129"/>
        <v>May</v>
      </c>
      <c r="C2719" s="46" t="s">
        <v>280</v>
      </c>
      <c r="F2719" s="366" t="s">
        <v>1763</v>
      </c>
      <c r="G2719" s="46" t="s">
        <v>18</v>
      </c>
      <c r="H2719" s="46">
        <v>2</v>
      </c>
      <c r="I2719" s="51">
        <v>5367.65</v>
      </c>
      <c r="J2719" s="281">
        <f>++Tabla4[[#This Row],[Precio Bruto]]*1.16</f>
        <v>6226.4739999999993</v>
      </c>
      <c r="K2719" s="281">
        <f>+Tabla4[[#This Row],[Precio Unitario Neto]]*Tabla4[[#Headers],[20.85%]]</f>
        <v>1298.2198289999999</v>
      </c>
      <c r="L2719" s="282">
        <f>++Tabla4[[#This Row],[Precio Unitario Neto]]-Tabla4[[#This Row],[20.85%]]</f>
        <v>4928.2541709999996</v>
      </c>
      <c r="M2719" s="282" t="e">
        <f>(INDEX(Tabla6[#All],MATCH(Tabla4[[#This Row],[Producto]],Tabla6[[#All],[PRODUCTO]],0),MATCH(Tabla4[[#This Row],[Mes]],Tabla6[#Headers],0)))*(1+Catalogos!$L$2)</f>
        <v>#N/A</v>
      </c>
      <c r="N2719" s="283" t="e">
        <f>+(Tabla4[[#This Row],[Precio Descontado]]-Tabla4[[#This Row],[Precio Base]])*Tabla4[[#This Row],[Cantidad]]</f>
        <v>#N/A</v>
      </c>
      <c r="O2719" s="284" t="e">
        <f>++Tabla4[[#This Row],[Utilidad Total]]/Tabla4[[#This Row],[Total]]</f>
        <v>#N/A</v>
      </c>
      <c r="P2719" s="282">
        <f>++Tabla4[[#This Row],[Precio Descontado]]*Tabla4[[#This Row],[Cantidad]]</f>
        <v>9856.5083419999992</v>
      </c>
      <c r="Q2719" s="282" t="e">
        <f>(INDEX(Tabla6[#All],MATCH(Tabla4[[#This Row],[Producto]],Tabla6[[#All],[PRODUCTO]],0),MATCH(Tabla4[[#This Row],[Mes]],Tabla6[#Headers],0)))</f>
        <v>#N/A</v>
      </c>
      <c r="R2719" s="282" t="e">
        <f>++Tabla4[[#This Row],[Precio Unitario Neto]]-Tabla4[[#This Row],[20.85%]]-Tabla4[[#This Row],[Costo]]</f>
        <v>#N/A</v>
      </c>
      <c r="S2719" s="282" t="e">
        <f>++Tabla4[[#This Row],[U. Bruta Uni]]*Tabla4[[#This Row],[Cantidad]]</f>
        <v>#N/A</v>
      </c>
      <c r="T2719" s="369" t="str">
        <f>VLOOKUP(Tabla4[[#This Row],[Producto]],Tabla6[#All],14,FALSE)</f>
        <v>Termico Solar</v>
      </c>
      <c r="U2719" s="284" t="e">
        <f>(IF(Tabla4[[#This Row],[Familia]]="termico solar",Tabla4[[#This Row],[Utilidad Total]]*6%,Tabla4[[#This Row],[Utilidad Total]]*11.5%))/Tabla4[[#This Row],[Total]]</f>
        <v>#N/A</v>
      </c>
      <c r="V2719" s="282" t="e">
        <f>+Tabla4[[#This Row],[Comisión Calculada]]*Tabla4[[#This Row],[Total]]</f>
        <v>#N/A</v>
      </c>
    </row>
    <row r="2720" spans="1:22" hidden="1" x14ac:dyDescent="0.25">
      <c r="A2720" s="100">
        <v>45792</v>
      </c>
      <c r="B2720" t="str">
        <f t="shared" si="129"/>
        <v>May</v>
      </c>
      <c r="C2720" s="46" t="s">
        <v>280</v>
      </c>
      <c r="F2720" s="366" t="s">
        <v>1763</v>
      </c>
      <c r="G2720" s="46" t="s">
        <v>16</v>
      </c>
      <c r="H2720" s="46">
        <v>2</v>
      </c>
      <c r="I2720" s="51">
        <v>4103.8500000000004</v>
      </c>
      <c r="J2720" s="281">
        <f>++Tabla4[[#This Row],[Precio Bruto]]*1.16</f>
        <v>4760.4660000000003</v>
      </c>
      <c r="K2720" s="281">
        <f>+Tabla4[[#This Row],[Precio Unitario Neto]]*Tabla4[[#Headers],[20.85%]]</f>
        <v>992.55716100000006</v>
      </c>
      <c r="L2720" s="282">
        <f>++Tabla4[[#This Row],[Precio Unitario Neto]]-Tabla4[[#This Row],[20.85%]]</f>
        <v>3767.9088390000002</v>
      </c>
      <c r="M2720" s="282" t="e">
        <f>(INDEX(Tabla6[#All],MATCH(Tabla4[[#This Row],[Producto]],Tabla6[[#All],[PRODUCTO]],0),MATCH(Tabla4[[#This Row],[Mes]],Tabla6[#Headers],0)))*(1+Catalogos!$L$2)</f>
        <v>#N/A</v>
      </c>
      <c r="N2720" s="283" t="e">
        <f>+(Tabla4[[#This Row],[Precio Descontado]]-Tabla4[[#This Row],[Precio Base]])*Tabla4[[#This Row],[Cantidad]]</f>
        <v>#N/A</v>
      </c>
      <c r="O2720" s="284" t="e">
        <f>++Tabla4[[#This Row],[Utilidad Total]]/Tabla4[[#This Row],[Total]]</f>
        <v>#N/A</v>
      </c>
      <c r="P2720" s="282">
        <f>++Tabla4[[#This Row],[Precio Descontado]]*Tabla4[[#This Row],[Cantidad]]</f>
        <v>7535.8176780000003</v>
      </c>
      <c r="Q2720" s="282" t="e">
        <f>(INDEX(Tabla6[#All],MATCH(Tabla4[[#This Row],[Producto]],Tabla6[[#All],[PRODUCTO]],0),MATCH(Tabla4[[#This Row],[Mes]],Tabla6[#Headers],0)))</f>
        <v>#N/A</v>
      </c>
      <c r="R2720" s="282" t="e">
        <f>++Tabla4[[#This Row],[Precio Unitario Neto]]-Tabla4[[#This Row],[20.85%]]-Tabla4[[#This Row],[Costo]]</f>
        <v>#N/A</v>
      </c>
      <c r="S2720" s="282" t="e">
        <f>++Tabla4[[#This Row],[U. Bruta Uni]]*Tabla4[[#This Row],[Cantidad]]</f>
        <v>#N/A</v>
      </c>
      <c r="T2720" s="369" t="str">
        <f>VLOOKUP(Tabla4[[#This Row],[Producto]],Tabla6[#All],14,FALSE)</f>
        <v>Termico Solar</v>
      </c>
      <c r="U2720" s="284" t="e">
        <f>(IF(Tabla4[[#This Row],[Familia]]="termico solar",Tabla4[[#This Row],[Utilidad Total]]*6%,Tabla4[[#This Row],[Utilidad Total]]*11.5%))/Tabla4[[#This Row],[Total]]</f>
        <v>#N/A</v>
      </c>
      <c r="V2720" s="282" t="e">
        <f>+Tabla4[[#This Row],[Comisión Calculada]]*Tabla4[[#This Row],[Total]]</f>
        <v>#N/A</v>
      </c>
    </row>
    <row r="2721" spans="1:22" hidden="1" x14ac:dyDescent="0.25">
      <c r="A2721" s="100">
        <v>45792</v>
      </c>
      <c r="B2721" t="str">
        <f t="shared" ref="B2721:B2727" si="130">TEXT(A2721, "mmmm")</f>
        <v>May</v>
      </c>
      <c r="C2721" s="46" t="s">
        <v>280</v>
      </c>
      <c r="F2721" s="366" t="s">
        <v>1764</v>
      </c>
      <c r="G2721" s="46" t="s">
        <v>83</v>
      </c>
      <c r="H2721" s="46">
        <v>6</v>
      </c>
      <c r="I2721" s="51">
        <v>8858.76</v>
      </c>
      <c r="J2721" s="281">
        <f>++Tabla4[[#This Row],[Precio Bruto]]*1.16</f>
        <v>10276.161599999999</v>
      </c>
      <c r="K2721" s="281">
        <f>+Tabla4[[#This Row],[Precio Unitario Neto]]*Tabla4[[#Headers],[20.85%]]</f>
        <v>2142.5796935999997</v>
      </c>
      <c r="L2721" s="282">
        <f>++Tabla4[[#This Row],[Precio Unitario Neto]]-Tabla4[[#This Row],[20.85%]]</f>
        <v>8133.5819063999998</v>
      </c>
      <c r="M2721" s="282" t="e">
        <f>(INDEX(Tabla6[#All],MATCH(Tabla4[[#This Row],[Producto]],Tabla6[[#All],[PRODUCTO]],0),MATCH(Tabla4[[#This Row],[Mes]],Tabla6[#Headers],0)))*(1+Catalogos!$L$2)</f>
        <v>#N/A</v>
      </c>
      <c r="N2721" s="283" t="e">
        <f>+(Tabla4[[#This Row],[Precio Descontado]]-Tabla4[[#This Row],[Precio Base]])*Tabla4[[#This Row],[Cantidad]]</f>
        <v>#N/A</v>
      </c>
      <c r="O2721" s="284" t="e">
        <f>++Tabla4[[#This Row],[Utilidad Total]]/Tabla4[[#This Row],[Total]]</f>
        <v>#N/A</v>
      </c>
      <c r="P2721" s="282">
        <f>++Tabla4[[#This Row],[Precio Descontado]]*Tabla4[[#This Row],[Cantidad]]</f>
        <v>48801.4914384</v>
      </c>
      <c r="Q2721" s="282" t="e">
        <f>(INDEX(Tabla6[#All],MATCH(Tabla4[[#This Row],[Producto]],Tabla6[[#All],[PRODUCTO]],0),MATCH(Tabla4[[#This Row],[Mes]],Tabla6[#Headers],0)))</f>
        <v>#N/A</v>
      </c>
      <c r="R2721" s="282" t="e">
        <f>++Tabla4[[#This Row],[Precio Unitario Neto]]-Tabla4[[#This Row],[20.85%]]-Tabla4[[#This Row],[Costo]]</f>
        <v>#N/A</v>
      </c>
      <c r="S2721" s="282" t="e">
        <f>++Tabla4[[#This Row],[U. Bruta Uni]]*Tabla4[[#This Row],[Cantidad]]</f>
        <v>#N/A</v>
      </c>
      <c r="T2721" s="369" t="str">
        <f>VLOOKUP(Tabla4[[#This Row],[Producto]],Tabla6[#All],14,FALSE)</f>
        <v>Termico Solar</v>
      </c>
      <c r="U2721" s="284" t="e">
        <f>(IF(Tabla4[[#This Row],[Familia]]="termico solar",Tabla4[[#This Row],[Utilidad Total]]*6%,Tabla4[[#This Row],[Utilidad Total]]*11.5%))/Tabla4[[#This Row],[Total]]</f>
        <v>#N/A</v>
      </c>
      <c r="V2721" s="282" t="e">
        <f>+Tabla4[[#This Row],[Comisión Calculada]]*Tabla4[[#This Row],[Total]]</f>
        <v>#N/A</v>
      </c>
    </row>
    <row r="2722" spans="1:22" hidden="1" x14ac:dyDescent="0.25">
      <c r="A2722" s="100">
        <v>45792</v>
      </c>
      <c r="B2722" t="str">
        <f t="shared" si="130"/>
        <v>May</v>
      </c>
      <c r="C2722" s="46" t="s">
        <v>280</v>
      </c>
      <c r="F2722" s="366" t="s">
        <v>1764</v>
      </c>
      <c r="G2722" s="46" t="s">
        <v>17</v>
      </c>
      <c r="H2722" s="46">
        <v>4</v>
      </c>
      <c r="I2722" s="51">
        <v>4622.28</v>
      </c>
      <c r="J2722" s="281">
        <f>++Tabla4[[#This Row],[Precio Bruto]]*1.16</f>
        <v>5361.8447999999989</v>
      </c>
      <c r="K2722" s="281">
        <f>+Tabla4[[#This Row],[Precio Unitario Neto]]*Tabla4[[#Headers],[20.85%]]</f>
        <v>1117.9446407999997</v>
      </c>
      <c r="L2722" s="282">
        <f>++Tabla4[[#This Row],[Precio Unitario Neto]]-Tabla4[[#This Row],[20.85%]]</f>
        <v>4243.9001591999995</v>
      </c>
      <c r="M2722" s="282" t="e">
        <f>(INDEX(Tabla6[#All],MATCH(Tabla4[[#This Row],[Producto]],Tabla6[[#All],[PRODUCTO]],0),MATCH(Tabla4[[#This Row],[Mes]],Tabla6[#Headers],0)))*(1+Catalogos!$L$2)</f>
        <v>#N/A</v>
      </c>
      <c r="N2722" s="283" t="e">
        <f>+(Tabla4[[#This Row],[Precio Descontado]]-Tabla4[[#This Row],[Precio Base]])*Tabla4[[#This Row],[Cantidad]]</f>
        <v>#N/A</v>
      </c>
      <c r="O2722" s="284" t="e">
        <f>++Tabla4[[#This Row],[Utilidad Total]]/Tabla4[[#This Row],[Total]]</f>
        <v>#N/A</v>
      </c>
      <c r="P2722" s="282">
        <f>++Tabla4[[#This Row],[Precio Descontado]]*Tabla4[[#This Row],[Cantidad]]</f>
        <v>16975.600636799998</v>
      </c>
      <c r="Q2722" s="282" t="e">
        <f>(INDEX(Tabla6[#All],MATCH(Tabla4[[#This Row],[Producto]],Tabla6[[#All],[PRODUCTO]],0),MATCH(Tabla4[[#This Row],[Mes]],Tabla6[#Headers],0)))</f>
        <v>#N/A</v>
      </c>
      <c r="R2722" s="282" t="e">
        <f>++Tabla4[[#This Row],[Precio Unitario Neto]]-Tabla4[[#This Row],[20.85%]]-Tabla4[[#This Row],[Costo]]</f>
        <v>#N/A</v>
      </c>
      <c r="S2722" s="282" t="e">
        <f>++Tabla4[[#This Row],[U. Bruta Uni]]*Tabla4[[#This Row],[Cantidad]]</f>
        <v>#N/A</v>
      </c>
      <c r="T2722" s="369" t="str">
        <f>VLOOKUP(Tabla4[[#This Row],[Producto]],Tabla6[#All],14,FALSE)</f>
        <v>Termico Solar</v>
      </c>
      <c r="U2722" s="284" t="e">
        <f>(IF(Tabla4[[#This Row],[Familia]]="termico solar",Tabla4[[#This Row],[Utilidad Total]]*6%,Tabla4[[#This Row],[Utilidad Total]]*11.5%))/Tabla4[[#This Row],[Total]]</f>
        <v>#N/A</v>
      </c>
      <c r="V2722" s="282" t="e">
        <f>+Tabla4[[#This Row],[Comisión Calculada]]*Tabla4[[#This Row],[Total]]</f>
        <v>#N/A</v>
      </c>
    </row>
    <row r="2723" spans="1:22" hidden="1" x14ac:dyDescent="0.25">
      <c r="A2723" s="100">
        <v>45792</v>
      </c>
      <c r="B2723" t="str">
        <f t="shared" si="130"/>
        <v>May</v>
      </c>
      <c r="C2723" s="46" t="s">
        <v>280</v>
      </c>
      <c r="F2723" s="366" t="s">
        <v>1764</v>
      </c>
      <c r="G2723" s="46" t="s">
        <v>18</v>
      </c>
      <c r="H2723" s="46">
        <v>1</v>
      </c>
      <c r="I2723" s="51">
        <v>5367.65</v>
      </c>
      <c r="J2723" s="281">
        <f>++Tabla4[[#This Row],[Precio Bruto]]*1.16</f>
        <v>6226.4739999999993</v>
      </c>
      <c r="K2723" s="281">
        <f>+Tabla4[[#This Row],[Precio Unitario Neto]]*Tabla4[[#Headers],[20.85%]]</f>
        <v>1298.2198289999999</v>
      </c>
      <c r="L2723" s="282">
        <f>++Tabla4[[#This Row],[Precio Unitario Neto]]-Tabla4[[#This Row],[20.85%]]</f>
        <v>4928.2541709999996</v>
      </c>
      <c r="M2723" s="282" t="e">
        <f>(INDEX(Tabla6[#All],MATCH(Tabla4[[#This Row],[Producto]],Tabla6[[#All],[PRODUCTO]],0),MATCH(Tabla4[[#This Row],[Mes]],Tabla6[#Headers],0)))*(1+Catalogos!$L$2)</f>
        <v>#N/A</v>
      </c>
      <c r="N2723" s="283" t="e">
        <f>+(Tabla4[[#This Row],[Precio Descontado]]-Tabla4[[#This Row],[Precio Base]])*Tabla4[[#This Row],[Cantidad]]</f>
        <v>#N/A</v>
      </c>
      <c r="O2723" s="284" t="e">
        <f>++Tabla4[[#This Row],[Utilidad Total]]/Tabla4[[#This Row],[Total]]</f>
        <v>#N/A</v>
      </c>
      <c r="P2723" s="282">
        <f>++Tabla4[[#This Row],[Precio Descontado]]*Tabla4[[#This Row],[Cantidad]]</f>
        <v>4928.2541709999996</v>
      </c>
      <c r="Q2723" s="282" t="e">
        <f>(INDEX(Tabla6[#All],MATCH(Tabla4[[#This Row],[Producto]],Tabla6[[#All],[PRODUCTO]],0),MATCH(Tabla4[[#This Row],[Mes]],Tabla6[#Headers],0)))</f>
        <v>#N/A</v>
      </c>
      <c r="R2723" s="282" t="e">
        <f>++Tabla4[[#This Row],[Precio Unitario Neto]]-Tabla4[[#This Row],[20.85%]]-Tabla4[[#This Row],[Costo]]</f>
        <v>#N/A</v>
      </c>
      <c r="S2723" s="282" t="e">
        <f>++Tabla4[[#This Row],[U. Bruta Uni]]*Tabla4[[#This Row],[Cantidad]]</f>
        <v>#N/A</v>
      </c>
      <c r="T2723" s="369" t="str">
        <f>VLOOKUP(Tabla4[[#This Row],[Producto]],Tabla6[#All],14,FALSE)</f>
        <v>Termico Solar</v>
      </c>
      <c r="U2723" s="284" t="e">
        <f>(IF(Tabla4[[#This Row],[Familia]]="termico solar",Tabla4[[#This Row],[Utilidad Total]]*6%,Tabla4[[#This Row],[Utilidad Total]]*11.5%))/Tabla4[[#This Row],[Total]]</f>
        <v>#N/A</v>
      </c>
      <c r="V2723" s="282" t="e">
        <f>+Tabla4[[#This Row],[Comisión Calculada]]*Tabla4[[#This Row],[Total]]</f>
        <v>#N/A</v>
      </c>
    </row>
    <row r="2724" spans="1:22" hidden="1" x14ac:dyDescent="0.25">
      <c r="A2724" s="100">
        <v>45792</v>
      </c>
      <c r="B2724" t="str">
        <f t="shared" si="130"/>
        <v>May</v>
      </c>
      <c r="C2724" s="46" t="s">
        <v>280</v>
      </c>
      <c r="F2724" s="366" t="s">
        <v>1764</v>
      </c>
      <c r="G2724" s="46" t="s">
        <v>566</v>
      </c>
      <c r="H2724" s="46">
        <v>1</v>
      </c>
      <c r="I2724" s="51">
        <v>2109.4499999999998</v>
      </c>
      <c r="J2724" s="281">
        <f>++Tabla4[[#This Row],[Precio Bruto]]*1.16</f>
        <v>2446.9619999999995</v>
      </c>
      <c r="K2724" s="281">
        <f>+Tabla4[[#This Row],[Precio Unitario Neto]]*Tabla4[[#Headers],[20.85%]]</f>
        <v>510.19157699999988</v>
      </c>
      <c r="L2724" s="282">
        <f>++Tabla4[[#This Row],[Precio Unitario Neto]]-Tabla4[[#This Row],[20.85%]]</f>
        <v>1936.7704229999997</v>
      </c>
      <c r="M2724" s="282" t="e">
        <f>(INDEX(Tabla6[#All],MATCH(Tabla4[[#This Row],[Producto]],Tabla6[[#All],[PRODUCTO]],0),MATCH(Tabla4[[#This Row],[Mes]],Tabla6[#Headers],0)))*(1+Catalogos!$L$2)</f>
        <v>#N/A</v>
      </c>
      <c r="N2724" s="283" t="e">
        <f>+(Tabla4[[#This Row],[Precio Descontado]]-Tabla4[[#This Row],[Precio Base]])*Tabla4[[#This Row],[Cantidad]]</f>
        <v>#N/A</v>
      </c>
      <c r="O2724" s="284" t="e">
        <f>++Tabla4[[#This Row],[Utilidad Total]]/Tabla4[[#This Row],[Total]]</f>
        <v>#N/A</v>
      </c>
      <c r="P2724" s="282">
        <f>++Tabla4[[#This Row],[Precio Descontado]]*Tabla4[[#This Row],[Cantidad]]</f>
        <v>1936.7704229999997</v>
      </c>
      <c r="Q2724" s="282" t="e">
        <f>(INDEX(Tabla6[#All],MATCH(Tabla4[[#This Row],[Producto]],Tabla6[[#All],[PRODUCTO]],0),MATCH(Tabla4[[#This Row],[Mes]],Tabla6[#Headers],0)))</f>
        <v>#N/A</v>
      </c>
      <c r="R2724" s="282" t="e">
        <f>++Tabla4[[#This Row],[Precio Unitario Neto]]-Tabla4[[#This Row],[20.85%]]-Tabla4[[#This Row],[Costo]]</f>
        <v>#N/A</v>
      </c>
      <c r="S2724" s="282" t="e">
        <f>++Tabla4[[#This Row],[U. Bruta Uni]]*Tabla4[[#This Row],[Cantidad]]</f>
        <v>#N/A</v>
      </c>
      <c r="T2724" s="369" t="str">
        <f>VLOOKUP(Tabla4[[#This Row],[Producto]],Tabla6[#All],14,FALSE)</f>
        <v>Termico Solar</v>
      </c>
      <c r="U2724" s="284" t="e">
        <f>(IF(Tabla4[[#This Row],[Familia]]="termico solar",Tabla4[[#This Row],[Utilidad Total]]*6%,Tabla4[[#This Row],[Utilidad Total]]*11.5%))/Tabla4[[#This Row],[Total]]</f>
        <v>#N/A</v>
      </c>
      <c r="V2724" s="282" t="e">
        <f>+Tabla4[[#This Row],[Comisión Calculada]]*Tabla4[[#This Row],[Total]]</f>
        <v>#N/A</v>
      </c>
    </row>
    <row r="2725" spans="1:22" hidden="1" x14ac:dyDescent="0.25">
      <c r="A2725" s="100">
        <v>45792</v>
      </c>
      <c r="B2725" t="str">
        <f t="shared" si="130"/>
        <v>May</v>
      </c>
      <c r="C2725" s="46" t="s">
        <v>280</v>
      </c>
      <c r="F2725" s="366" t="s">
        <v>1764</v>
      </c>
      <c r="G2725" s="46" t="s">
        <v>412</v>
      </c>
      <c r="H2725" s="46">
        <v>1</v>
      </c>
      <c r="I2725" s="51">
        <v>3240.84</v>
      </c>
      <c r="J2725" s="281">
        <f>++Tabla4[[#This Row],[Precio Bruto]]*1.16</f>
        <v>3759.3743999999997</v>
      </c>
      <c r="K2725" s="281">
        <f>+Tabla4[[#This Row],[Precio Unitario Neto]]*Tabla4[[#Headers],[20.85%]]</f>
        <v>783.82956239999987</v>
      </c>
      <c r="L2725" s="282">
        <f>++Tabla4[[#This Row],[Precio Unitario Neto]]-Tabla4[[#This Row],[20.85%]]</f>
        <v>2975.5448375999999</v>
      </c>
      <c r="M2725" s="282" t="e">
        <f>(INDEX(Tabla6[#All],MATCH(Tabla4[[#This Row],[Producto]],Tabla6[[#All],[PRODUCTO]],0),MATCH(Tabla4[[#This Row],[Mes]],Tabla6[#Headers],0)))*(1+Catalogos!$L$2)</f>
        <v>#N/A</v>
      </c>
      <c r="N2725" s="283" t="e">
        <f>+(Tabla4[[#This Row],[Precio Descontado]]-Tabla4[[#This Row],[Precio Base]])*Tabla4[[#This Row],[Cantidad]]</f>
        <v>#N/A</v>
      </c>
      <c r="O2725" s="284" t="e">
        <f>++Tabla4[[#This Row],[Utilidad Total]]/Tabla4[[#This Row],[Total]]</f>
        <v>#N/A</v>
      </c>
      <c r="P2725" s="282">
        <f>++Tabla4[[#This Row],[Precio Descontado]]*Tabla4[[#This Row],[Cantidad]]</f>
        <v>2975.5448375999999</v>
      </c>
      <c r="Q2725" s="282" t="e">
        <f>(INDEX(Tabla6[#All],MATCH(Tabla4[[#This Row],[Producto]],Tabla6[[#All],[PRODUCTO]],0),MATCH(Tabla4[[#This Row],[Mes]],Tabla6[#Headers],0)))</f>
        <v>#N/A</v>
      </c>
      <c r="R2725" s="282" t="e">
        <f>++Tabla4[[#This Row],[Precio Unitario Neto]]-Tabla4[[#This Row],[20.85%]]-Tabla4[[#This Row],[Costo]]</f>
        <v>#N/A</v>
      </c>
      <c r="S2725" s="282" t="e">
        <f>++Tabla4[[#This Row],[U. Bruta Uni]]*Tabla4[[#This Row],[Cantidad]]</f>
        <v>#N/A</v>
      </c>
      <c r="T2725" s="369" t="str">
        <f>VLOOKUP(Tabla4[[#This Row],[Producto]],Tabla6[#All],14,FALSE)</f>
        <v>Termico Solar</v>
      </c>
      <c r="U2725" s="284" t="e">
        <f>(IF(Tabla4[[#This Row],[Familia]]="termico solar",Tabla4[[#This Row],[Utilidad Total]]*6%,Tabla4[[#This Row],[Utilidad Total]]*11.5%))/Tabla4[[#This Row],[Total]]</f>
        <v>#N/A</v>
      </c>
      <c r="V2725" s="282" t="e">
        <f>+Tabla4[[#This Row],[Comisión Calculada]]*Tabla4[[#This Row],[Total]]</f>
        <v>#N/A</v>
      </c>
    </row>
    <row r="2726" spans="1:22" hidden="1" x14ac:dyDescent="0.25">
      <c r="A2726" s="100">
        <v>45792</v>
      </c>
      <c r="B2726" t="str">
        <f t="shared" si="130"/>
        <v>May</v>
      </c>
      <c r="C2726" s="46" t="s">
        <v>280</v>
      </c>
      <c r="F2726" s="366" t="s">
        <v>1764</v>
      </c>
      <c r="G2726" s="46" t="s">
        <v>16</v>
      </c>
      <c r="H2726" s="46">
        <v>1</v>
      </c>
      <c r="I2726" s="51">
        <v>4103.8500000000004</v>
      </c>
      <c r="J2726" s="281">
        <f>++Tabla4[[#This Row],[Precio Bruto]]*1.16</f>
        <v>4760.4660000000003</v>
      </c>
      <c r="K2726" s="281">
        <f>+Tabla4[[#This Row],[Precio Unitario Neto]]*Tabla4[[#Headers],[20.85%]]</f>
        <v>992.55716100000006</v>
      </c>
      <c r="L2726" s="282">
        <f>++Tabla4[[#This Row],[Precio Unitario Neto]]-Tabla4[[#This Row],[20.85%]]</f>
        <v>3767.9088390000002</v>
      </c>
      <c r="M2726" s="282" t="e">
        <f>(INDEX(Tabla6[#All],MATCH(Tabla4[[#This Row],[Producto]],Tabla6[[#All],[PRODUCTO]],0),MATCH(Tabla4[[#This Row],[Mes]],Tabla6[#Headers],0)))*(1+Catalogos!$L$2)</f>
        <v>#N/A</v>
      </c>
      <c r="N2726" s="283" t="e">
        <f>+(Tabla4[[#This Row],[Precio Descontado]]-Tabla4[[#This Row],[Precio Base]])*Tabla4[[#This Row],[Cantidad]]</f>
        <v>#N/A</v>
      </c>
      <c r="O2726" s="284" t="e">
        <f>++Tabla4[[#This Row],[Utilidad Total]]/Tabla4[[#This Row],[Total]]</f>
        <v>#N/A</v>
      </c>
      <c r="P2726" s="282">
        <f>++Tabla4[[#This Row],[Precio Descontado]]*Tabla4[[#This Row],[Cantidad]]</f>
        <v>3767.9088390000002</v>
      </c>
      <c r="Q2726" s="282" t="e">
        <f>(INDEX(Tabla6[#All],MATCH(Tabla4[[#This Row],[Producto]],Tabla6[[#All],[PRODUCTO]],0),MATCH(Tabla4[[#This Row],[Mes]],Tabla6[#Headers],0)))</f>
        <v>#N/A</v>
      </c>
      <c r="R2726" s="282" t="e">
        <f>++Tabla4[[#This Row],[Precio Unitario Neto]]-Tabla4[[#This Row],[20.85%]]-Tabla4[[#This Row],[Costo]]</f>
        <v>#N/A</v>
      </c>
      <c r="S2726" s="282" t="e">
        <f>++Tabla4[[#This Row],[U. Bruta Uni]]*Tabla4[[#This Row],[Cantidad]]</f>
        <v>#N/A</v>
      </c>
      <c r="T2726" s="369" t="str">
        <f>VLOOKUP(Tabla4[[#This Row],[Producto]],Tabla6[#All],14,FALSE)</f>
        <v>Termico Solar</v>
      </c>
      <c r="U2726" s="284" t="e">
        <f>(IF(Tabla4[[#This Row],[Familia]]="termico solar",Tabla4[[#This Row],[Utilidad Total]]*6%,Tabla4[[#This Row],[Utilidad Total]]*11.5%))/Tabla4[[#This Row],[Total]]</f>
        <v>#N/A</v>
      </c>
      <c r="V2726" s="282" t="e">
        <f>+Tabla4[[#This Row],[Comisión Calculada]]*Tabla4[[#This Row],[Total]]</f>
        <v>#N/A</v>
      </c>
    </row>
    <row r="2727" spans="1:22" hidden="1" x14ac:dyDescent="0.25">
      <c r="A2727" s="100">
        <v>45792</v>
      </c>
      <c r="B2727" t="str">
        <f t="shared" si="130"/>
        <v>May</v>
      </c>
      <c r="C2727" s="46" t="s">
        <v>280</v>
      </c>
      <c r="F2727" s="366" t="s">
        <v>1764</v>
      </c>
      <c r="G2727" s="46" t="s">
        <v>208</v>
      </c>
      <c r="H2727" s="46">
        <v>2</v>
      </c>
      <c r="I2727" s="51">
        <v>189.75</v>
      </c>
      <c r="J2727" s="281">
        <f>++Tabla4[[#This Row],[Precio Bruto]]*1.16</f>
        <v>220.10999999999999</v>
      </c>
      <c r="K2727" s="281">
        <f>+Tabla4[[#This Row],[Precio Unitario Neto]]*Tabla4[[#Headers],[20.85%]]</f>
        <v>45.892934999999994</v>
      </c>
      <c r="L2727" s="282">
        <f>++Tabla4[[#This Row],[Precio Unitario Neto]]-Tabla4[[#This Row],[20.85%]]</f>
        <v>174.21706499999999</v>
      </c>
      <c r="M2727" s="282" t="e">
        <f>(INDEX(Tabla6[#All],MATCH(Tabla4[[#This Row],[Producto]],Tabla6[[#All],[PRODUCTO]],0),MATCH(Tabla4[[#This Row],[Mes]],Tabla6[#Headers],0)))*(1+Catalogos!$L$2)</f>
        <v>#N/A</v>
      </c>
      <c r="N2727" s="283" t="e">
        <f>+(Tabla4[[#This Row],[Precio Descontado]]-Tabla4[[#This Row],[Precio Base]])*Tabla4[[#This Row],[Cantidad]]</f>
        <v>#N/A</v>
      </c>
      <c r="O2727" s="284" t="e">
        <f>++Tabla4[[#This Row],[Utilidad Total]]/Tabla4[[#This Row],[Total]]</f>
        <v>#N/A</v>
      </c>
      <c r="P2727" s="282">
        <f>++Tabla4[[#This Row],[Precio Descontado]]*Tabla4[[#This Row],[Cantidad]]</f>
        <v>348.43412999999998</v>
      </c>
      <c r="Q2727" s="282" t="e">
        <f>(INDEX(Tabla6[#All],MATCH(Tabla4[[#This Row],[Producto]],Tabla6[[#All],[PRODUCTO]],0),MATCH(Tabla4[[#This Row],[Mes]],Tabla6[#Headers],0)))</f>
        <v>#N/A</v>
      </c>
      <c r="R2727" s="282" t="e">
        <f>++Tabla4[[#This Row],[Precio Unitario Neto]]-Tabla4[[#This Row],[20.85%]]-Tabla4[[#This Row],[Costo]]</f>
        <v>#N/A</v>
      </c>
      <c r="S2727" s="282" t="e">
        <f>++Tabla4[[#This Row],[U. Bruta Uni]]*Tabla4[[#This Row],[Cantidad]]</f>
        <v>#N/A</v>
      </c>
      <c r="T2727" s="369" t="str">
        <f>VLOOKUP(Tabla4[[#This Row],[Producto]],Tabla6[#All],14,FALSE)</f>
        <v>Termico Solar</v>
      </c>
      <c r="U2727" s="284" t="e">
        <f>(IF(Tabla4[[#This Row],[Familia]]="termico solar",Tabla4[[#This Row],[Utilidad Total]]*6%,Tabla4[[#This Row],[Utilidad Total]]*11.5%))/Tabla4[[#This Row],[Total]]</f>
        <v>#N/A</v>
      </c>
      <c r="V2727" s="282" t="e">
        <f>+Tabla4[[#This Row],[Comisión Calculada]]*Tabla4[[#This Row],[Total]]</f>
        <v>#N/A</v>
      </c>
    </row>
    <row r="2728" spans="1:22" hidden="1" x14ac:dyDescent="0.25">
      <c r="A2728" s="100">
        <v>45792</v>
      </c>
      <c r="B2728" t="str">
        <f t="shared" ref="B2728:B2759" si="131">TEXT(A2728, "mmmm")</f>
        <v>May</v>
      </c>
      <c r="C2728" s="46" t="s">
        <v>280</v>
      </c>
      <c r="F2728" s="366" t="s">
        <v>1765</v>
      </c>
      <c r="G2728" s="46" t="s">
        <v>83</v>
      </c>
      <c r="H2728" s="46">
        <v>2</v>
      </c>
      <c r="I2728" s="51">
        <v>8858.76</v>
      </c>
      <c r="J2728" s="281">
        <f>++Tabla4[[#This Row],[Precio Bruto]]*1.16</f>
        <v>10276.161599999999</v>
      </c>
      <c r="K2728" s="281">
        <f>+Tabla4[[#This Row],[Precio Unitario Neto]]*Tabla4[[#Headers],[20.85%]]</f>
        <v>2142.5796935999997</v>
      </c>
      <c r="L2728" s="282">
        <f>++Tabla4[[#This Row],[Precio Unitario Neto]]-Tabla4[[#This Row],[20.85%]]</f>
        <v>8133.5819063999998</v>
      </c>
      <c r="M2728" s="282" t="e">
        <f>(INDEX(Tabla6[#All],MATCH(Tabla4[[#This Row],[Producto]],Tabla6[[#All],[PRODUCTO]],0),MATCH(Tabla4[[#This Row],[Mes]],Tabla6[#Headers],0)))*(1+Catalogos!$L$2)</f>
        <v>#N/A</v>
      </c>
      <c r="N2728" s="283" t="e">
        <f>+(Tabla4[[#This Row],[Precio Descontado]]-Tabla4[[#This Row],[Precio Base]])*Tabla4[[#This Row],[Cantidad]]</f>
        <v>#N/A</v>
      </c>
      <c r="O2728" s="284" t="e">
        <f>++Tabla4[[#This Row],[Utilidad Total]]/Tabla4[[#This Row],[Total]]</f>
        <v>#N/A</v>
      </c>
      <c r="P2728" s="282">
        <f>++Tabla4[[#This Row],[Precio Descontado]]*Tabla4[[#This Row],[Cantidad]]</f>
        <v>16267.1638128</v>
      </c>
      <c r="Q2728" s="282" t="e">
        <f>(INDEX(Tabla6[#All],MATCH(Tabla4[[#This Row],[Producto]],Tabla6[[#All],[PRODUCTO]],0),MATCH(Tabla4[[#This Row],[Mes]],Tabla6[#Headers],0)))</f>
        <v>#N/A</v>
      </c>
      <c r="R2728" s="282" t="e">
        <f>++Tabla4[[#This Row],[Precio Unitario Neto]]-Tabla4[[#This Row],[20.85%]]-Tabla4[[#This Row],[Costo]]</f>
        <v>#N/A</v>
      </c>
      <c r="S2728" s="282" t="e">
        <f>++Tabla4[[#This Row],[U. Bruta Uni]]*Tabla4[[#This Row],[Cantidad]]</f>
        <v>#N/A</v>
      </c>
      <c r="T2728" s="369" t="str">
        <f>VLOOKUP(Tabla4[[#This Row],[Producto]],Tabla6[#All],14,FALSE)</f>
        <v>Termico Solar</v>
      </c>
      <c r="U2728" s="284" t="e">
        <f>(IF(Tabla4[[#This Row],[Familia]]="termico solar",Tabla4[[#This Row],[Utilidad Total]]*6%,Tabla4[[#This Row],[Utilidad Total]]*11.5%))/Tabla4[[#This Row],[Total]]</f>
        <v>#N/A</v>
      </c>
      <c r="V2728" s="282" t="e">
        <f>+Tabla4[[#This Row],[Comisión Calculada]]*Tabla4[[#This Row],[Total]]</f>
        <v>#N/A</v>
      </c>
    </row>
    <row r="2729" spans="1:22" hidden="1" x14ac:dyDescent="0.25">
      <c r="A2729" s="100">
        <v>45792</v>
      </c>
      <c r="B2729" t="str">
        <f t="shared" si="131"/>
        <v>May</v>
      </c>
      <c r="C2729" s="46" t="s">
        <v>280</v>
      </c>
      <c r="F2729" s="366" t="s">
        <v>1766</v>
      </c>
      <c r="G2729" s="46" t="s">
        <v>18</v>
      </c>
      <c r="H2729" s="46">
        <v>2</v>
      </c>
      <c r="I2729" s="51">
        <v>5367.65</v>
      </c>
      <c r="J2729" s="281">
        <f>++Tabla4[[#This Row],[Precio Bruto]]*1.16</f>
        <v>6226.4739999999993</v>
      </c>
      <c r="K2729" s="281">
        <f>+Tabla4[[#This Row],[Precio Unitario Neto]]*Tabla4[[#Headers],[20.85%]]</f>
        <v>1298.2198289999999</v>
      </c>
      <c r="L2729" s="282">
        <f>++Tabla4[[#This Row],[Precio Unitario Neto]]-Tabla4[[#This Row],[20.85%]]</f>
        <v>4928.2541709999996</v>
      </c>
      <c r="M2729" s="282" t="e">
        <f>(INDEX(Tabla6[#All],MATCH(Tabla4[[#This Row],[Producto]],Tabla6[[#All],[PRODUCTO]],0),MATCH(Tabla4[[#This Row],[Mes]],Tabla6[#Headers],0)))*(1+Catalogos!$L$2)</f>
        <v>#N/A</v>
      </c>
      <c r="N2729" s="283" t="e">
        <f>+(Tabla4[[#This Row],[Precio Descontado]]-Tabla4[[#This Row],[Precio Base]])*Tabla4[[#This Row],[Cantidad]]</f>
        <v>#N/A</v>
      </c>
      <c r="O2729" s="284" t="e">
        <f>++Tabla4[[#This Row],[Utilidad Total]]/Tabla4[[#This Row],[Total]]</f>
        <v>#N/A</v>
      </c>
      <c r="P2729" s="282">
        <f>++Tabla4[[#This Row],[Precio Descontado]]*Tabla4[[#This Row],[Cantidad]]</f>
        <v>9856.5083419999992</v>
      </c>
      <c r="Q2729" s="282" t="e">
        <f>(INDEX(Tabla6[#All],MATCH(Tabla4[[#This Row],[Producto]],Tabla6[[#All],[PRODUCTO]],0),MATCH(Tabla4[[#This Row],[Mes]],Tabla6[#Headers],0)))</f>
        <v>#N/A</v>
      </c>
      <c r="R2729" s="282" t="e">
        <f>++Tabla4[[#This Row],[Precio Unitario Neto]]-Tabla4[[#This Row],[20.85%]]-Tabla4[[#This Row],[Costo]]</f>
        <v>#N/A</v>
      </c>
      <c r="S2729" s="282" t="e">
        <f>++Tabla4[[#This Row],[U. Bruta Uni]]*Tabla4[[#This Row],[Cantidad]]</f>
        <v>#N/A</v>
      </c>
      <c r="T2729" s="369" t="str">
        <f>VLOOKUP(Tabla4[[#This Row],[Producto]],Tabla6[#All],14,FALSE)</f>
        <v>Termico Solar</v>
      </c>
      <c r="U2729" s="284" t="e">
        <f>(IF(Tabla4[[#This Row],[Familia]]="termico solar",Tabla4[[#This Row],[Utilidad Total]]*6%,Tabla4[[#This Row],[Utilidad Total]]*11.5%))/Tabla4[[#This Row],[Total]]</f>
        <v>#N/A</v>
      </c>
      <c r="V2729" s="282" t="e">
        <f>+Tabla4[[#This Row],[Comisión Calculada]]*Tabla4[[#This Row],[Total]]</f>
        <v>#N/A</v>
      </c>
    </row>
    <row r="2730" spans="1:22" hidden="1" x14ac:dyDescent="0.25">
      <c r="A2730" s="100">
        <v>45792</v>
      </c>
      <c r="B2730" t="str">
        <f t="shared" si="131"/>
        <v>May</v>
      </c>
      <c r="C2730" s="46" t="s">
        <v>280</v>
      </c>
      <c r="F2730" s="366" t="s">
        <v>1766</v>
      </c>
      <c r="G2730" s="46" t="s">
        <v>566</v>
      </c>
      <c r="H2730" s="46">
        <v>2</v>
      </c>
      <c r="I2730" s="51">
        <v>2109.4499999999998</v>
      </c>
      <c r="J2730" s="281">
        <f>++Tabla4[[#This Row],[Precio Bruto]]*1.16</f>
        <v>2446.9619999999995</v>
      </c>
      <c r="K2730" s="281">
        <f>+Tabla4[[#This Row],[Precio Unitario Neto]]*Tabla4[[#Headers],[20.85%]]</f>
        <v>510.19157699999988</v>
      </c>
      <c r="L2730" s="282">
        <f>++Tabla4[[#This Row],[Precio Unitario Neto]]-Tabla4[[#This Row],[20.85%]]</f>
        <v>1936.7704229999997</v>
      </c>
      <c r="M2730" s="282" t="e">
        <f>(INDEX(Tabla6[#All],MATCH(Tabla4[[#This Row],[Producto]],Tabla6[[#All],[PRODUCTO]],0),MATCH(Tabla4[[#This Row],[Mes]],Tabla6[#Headers],0)))*(1+Catalogos!$L$2)</f>
        <v>#N/A</v>
      </c>
      <c r="N2730" s="283" t="e">
        <f>+(Tabla4[[#This Row],[Precio Descontado]]-Tabla4[[#This Row],[Precio Base]])*Tabla4[[#This Row],[Cantidad]]</f>
        <v>#N/A</v>
      </c>
      <c r="O2730" s="284" t="e">
        <f>++Tabla4[[#This Row],[Utilidad Total]]/Tabla4[[#This Row],[Total]]</f>
        <v>#N/A</v>
      </c>
      <c r="P2730" s="282">
        <f>++Tabla4[[#This Row],[Precio Descontado]]*Tabla4[[#This Row],[Cantidad]]</f>
        <v>3873.5408459999994</v>
      </c>
      <c r="Q2730" s="282" t="e">
        <f>(INDEX(Tabla6[#All],MATCH(Tabla4[[#This Row],[Producto]],Tabla6[[#All],[PRODUCTO]],0),MATCH(Tabla4[[#This Row],[Mes]],Tabla6[#Headers],0)))</f>
        <v>#N/A</v>
      </c>
      <c r="R2730" s="282" t="e">
        <f>++Tabla4[[#This Row],[Precio Unitario Neto]]-Tabla4[[#This Row],[20.85%]]-Tabla4[[#This Row],[Costo]]</f>
        <v>#N/A</v>
      </c>
      <c r="S2730" s="282" t="e">
        <f>++Tabla4[[#This Row],[U. Bruta Uni]]*Tabla4[[#This Row],[Cantidad]]</f>
        <v>#N/A</v>
      </c>
      <c r="T2730" s="369" t="str">
        <f>VLOOKUP(Tabla4[[#This Row],[Producto]],Tabla6[#All],14,FALSE)</f>
        <v>Termico Solar</v>
      </c>
      <c r="U2730" s="284" t="e">
        <f>(IF(Tabla4[[#This Row],[Familia]]="termico solar",Tabla4[[#This Row],[Utilidad Total]]*6%,Tabla4[[#This Row],[Utilidad Total]]*11.5%))/Tabla4[[#This Row],[Total]]</f>
        <v>#N/A</v>
      </c>
      <c r="V2730" s="282" t="e">
        <f>+Tabla4[[#This Row],[Comisión Calculada]]*Tabla4[[#This Row],[Total]]</f>
        <v>#N/A</v>
      </c>
    </row>
    <row r="2731" spans="1:22" hidden="1" x14ac:dyDescent="0.25">
      <c r="A2731" s="100">
        <v>45792</v>
      </c>
      <c r="B2731" t="str">
        <f t="shared" si="131"/>
        <v>May</v>
      </c>
      <c r="C2731" s="46" t="s">
        <v>280</v>
      </c>
      <c r="F2731" s="366" t="s">
        <v>1766</v>
      </c>
      <c r="G2731" s="46" t="s">
        <v>412</v>
      </c>
      <c r="H2731" s="46">
        <v>1</v>
      </c>
      <c r="I2731" s="51">
        <v>3240.84</v>
      </c>
      <c r="J2731" s="281">
        <f>++Tabla4[[#This Row],[Precio Bruto]]*1.16</f>
        <v>3759.3743999999997</v>
      </c>
      <c r="K2731" s="281">
        <f>+Tabla4[[#This Row],[Precio Unitario Neto]]*Tabla4[[#Headers],[20.85%]]</f>
        <v>783.82956239999987</v>
      </c>
      <c r="L2731" s="282">
        <f>++Tabla4[[#This Row],[Precio Unitario Neto]]-Tabla4[[#This Row],[20.85%]]</f>
        <v>2975.5448375999999</v>
      </c>
      <c r="M2731" s="282" t="e">
        <f>(INDEX(Tabla6[#All],MATCH(Tabla4[[#This Row],[Producto]],Tabla6[[#All],[PRODUCTO]],0),MATCH(Tabla4[[#This Row],[Mes]],Tabla6[#Headers],0)))*(1+Catalogos!$L$2)</f>
        <v>#N/A</v>
      </c>
      <c r="N2731" s="283" t="e">
        <f>+(Tabla4[[#This Row],[Precio Descontado]]-Tabla4[[#This Row],[Precio Base]])*Tabla4[[#This Row],[Cantidad]]</f>
        <v>#N/A</v>
      </c>
      <c r="O2731" s="284" t="e">
        <f>++Tabla4[[#This Row],[Utilidad Total]]/Tabla4[[#This Row],[Total]]</f>
        <v>#N/A</v>
      </c>
      <c r="P2731" s="282">
        <f>++Tabla4[[#This Row],[Precio Descontado]]*Tabla4[[#This Row],[Cantidad]]</f>
        <v>2975.5448375999999</v>
      </c>
      <c r="Q2731" s="282" t="e">
        <f>(INDEX(Tabla6[#All],MATCH(Tabla4[[#This Row],[Producto]],Tabla6[[#All],[PRODUCTO]],0),MATCH(Tabla4[[#This Row],[Mes]],Tabla6[#Headers],0)))</f>
        <v>#N/A</v>
      </c>
      <c r="R2731" s="282" t="e">
        <f>++Tabla4[[#This Row],[Precio Unitario Neto]]-Tabla4[[#This Row],[20.85%]]-Tabla4[[#This Row],[Costo]]</f>
        <v>#N/A</v>
      </c>
      <c r="S2731" s="282" t="e">
        <f>++Tabla4[[#This Row],[U. Bruta Uni]]*Tabla4[[#This Row],[Cantidad]]</f>
        <v>#N/A</v>
      </c>
      <c r="T2731" s="369" t="str">
        <f>VLOOKUP(Tabla4[[#This Row],[Producto]],Tabla6[#All],14,FALSE)</f>
        <v>Termico Solar</v>
      </c>
      <c r="U2731" s="284" t="e">
        <f>(IF(Tabla4[[#This Row],[Familia]]="termico solar",Tabla4[[#This Row],[Utilidad Total]]*6%,Tabla4[[#This Row],[Utilidad Total]]*11.5%))/Tabla4[[#This Row],[Total]]</f>
        <v>#N/A</v>
      </c>
      <c r="V2731" s="282" t="e">
        <f>+Tabla4[[#This Row],[Comisión Calculada]]*Tabla4[[#This Row],[Total]]</f>
        <v>#N/A</v>
      </c>
    </row>
    <row r="2732" spans="1:22" hidden="1" x14ac:dyDescent="0.25">
      <c r="A2732" s="100">
        <v>45792</v>
      </c>
      <c r="B2732" t="str">
        <f t="shared" si="131"/>
        <v>May</v>
      </c>
      <c r="C2732" s="46" t="s">
        <v>280</v>
      </c>
      <c r="F2732" s="366" t="s">
        <v>1767</v>
      </c>
      <c r="G2732" s="46" t="s">
        <v>83</v>
      </c>
      <c r="H2732" s="46">
        <v>2</v>
      </c>
      <c r="I2732" s="51">
        <v>8858.76</v>
      </c>
      <c r="J2732" s="281">
        <f>++Tabla4[[#This Row],[Precio Bruto]]*1.16</f>
        <v>10276.161599999999</v>
      </c>
      <c r="K2732" s="281">
        <f>+Tabla4[[#This Row],[Precio Unitario Neto]]*Tabla4[[#Headers],[20.85%]]</f>
        <v>2142.5796935999997</v>
      </c>
      <c r="L2732" s="282">
        <f>++Tabla4[[#This Row],[Precio Unitario Neto]]-Tabla4[[#This Row],[20.85%]]</f>
        <v>8133.5819063999998</v>
      </c>
      <c r="M2732" s="282" t="e">
        <f>(INDEX(Tabla6[#All],MATCH(Tabla4[[#This Row],[Producto]],Tabla6[[#All],[PRODUCTO]],0),MATCH(Tabla4[[#This Row],[Mes]],Tabla6[#Headers],0)))*(1+Catalogos!$L$2)</f>
        <v>#N/A</v>
      </c>
      <c r="N2732" s="283" t="e">
        <f>+(Tabla4[[#This Row],[Precio Descontado]]-Tabla4[[#This Row],[Precio Base]])*Tabla4[[#This Row],[Cantidad]]</f>
        <v>#N/A</v>
      </c>
      <c r="O2732" s="284" t="e">
        <f>++Tabla4[[#This Row],[Utilidad Total]]/Tabla4[[#This Row],[Total]]</f>
        <v>#N/A</v>
      </c>
      <c r="P2732" s="282">
        <f>++Tabla4[[#This Row],[Precio Descontado]]*Tabla4[[#This Row],[Cantidad]]</f>
        <v>16267.1638128</v>
      </c>
      <c r="Q2732" s="282" t="e">
        <f>(INDEX(Tabla6[#All],MATCH(Tabla4[[#This Row],[Producto]],Tabla6[[#All],[PRODUCTO]],0),MATCH(Tabla4[[#This Row],[Mes]],Tabla6[#Headers],0)))</f>
        <v>#N/A</v>
      </c>
      <c r="R2732" s="282" t="e">
        <f>++Tabla4[[#This Row],[Precio Unitario Neto]]-Tabla4[[#This Row],[20.85%]]-Tabla4[[#This Row],[Costo]]</f>
        <v>#N/A</v>
      </c>
      <c r="S2732" s="282" t="e">
        <f>++Tabla4[[#This Row],[U. Bruta Uni]]*Tabla4[[#This Row],[Cantidad]]</f>
        <v>#N/A</v>
      </c>
      <c r="T2732" s="369" t="str">
        <f>VLOOKUP(Tabla4[[#This Row],[Producto]],Tabla6[#All],14,FALSE)</f>
        <v>Termico Solar</v>
      </c>
      <c r="U2732" s="284" t="e">
        <f>(IF(Tabla4[[#This Row],[Familia]]="termico solar",Tabla4[[#This Row],[Utilidad Total]]*6%,Tabla4[[#This Row],[Utilidad Total]]*11.5%))/Tabla4[[#This Row],[Total]]</f>
        <v>#N/A</v>
      </c>
      <c r="V2732" s="282" t="e">
        <f>+Tabla4[[#This Row],[Comisión Calculada]]*Tabla4[[#This Row],[Total]]</f>
        <v>#N/A</v>
      </c>
    </row>
    <row r="2733" spans="1:22" hidden="1" x14ac:dyDescent="0.25">
      <c r="A2733" s="100">
        <v>45792</v>
      </c>
      <c r="B2733" t="str">
        <f t="shared" si="131"/>
        <v>May</v>
      </c>
      <c r="C2733" s="46" t="s">
        <v>280</v>
      </c>
      <c r="F2733" s="366" t="s">
        <v>1767</v>
      </c>
      <c r="G2733" s="46" t="s">
        <v>208</v>
      </c>
      <c r="H2733" s="46">
        <v>2</v>
      </c>
      <c r="I2733" s="51">
        <v>189.75</v>
      </c>
      <c r="J2733" s="281">
        <f>++Tabla4[[#This Row],[Precio Bruto]]*1.16</f>
        <v>220.10999999999999</v>
      </c>
      <c r="K2733" s="281">
        <f>+Tabla4[[#This Row],[Precio Unitario Neto]]*Tabla4[[#Headers],[20.85%]]</f>
        <v>45.892934999999994</v>
      </c>
      <c r="L2733" s="282">
        <f>++Tabla4[[#This Row],[Precio Unitario Neto]]-Tabla4[[#This Row],[20.85%]]</f>
        <v>174.21706499999999</v>
      </c>
      <c r="M2733" s="282" t="e">
        <f>(INDEX(Tabla6[#All],MATCH(Tabla4[[#This Row],[Producto]],Tabla6[[#All],[PRODUCTO]],0),MATCH(Tabla4[[#This Row],[Mes]],Tabla6[#Headers],0)))*(1+Catalogos!$L$2)</f>
        <v>#N/A</v>
      </c>
      <c r="N2733" s="283" t="e">
        <f>+(Tabla4[[#This Row],[Precio Descontado]]-Tabla4[[#This Row],[Precio Base]])*Tabla4[[#This Row],[Cantidad]]</f>
        <v>#N/A</v>
      </c>
      <c r="O2733" s="284" t="e">
        <f>++Tabla4[[#This Row],[Utilidad Total]]/Tabla4[[#This Row],[Total]]</f>
        <v>#N/A</v>
      </c>
      <c r="P2733" s="282">
        <f>++Tabla4[[#This Row],[Precio Descontado]]*Tabla4[[#This Row],[Cantidad]]</f>
        <v>348.43412999999998</v>
      </c>
      <c r="Q2733" s="282" t="e">
        <f>(INDEX(Tabla6[#All],MATCH(Tabla4[[#This Row],[Producto]],Tabla6[[#All],[PRODUCTO]],0),MATCH(Tabla4[[#This Row],[Mes]],Tabla6[#Headers],0)))</f>
        <v>#N/A</v>
      </c>
      <c r="R2733" s="282" t="e">
        <f>++Tabla4[[#This Row],[Precio Unitario Neto]]-Tabla4[[#This Row],[20.85%]]-Tabla4[[#This Row],[Costo]]</f>
        <v>#N/A</v>
      </c>
      <c r="S2733" s="282" t="e">
        <f>++Tabla4[[#This Row],[U. Bruta Uni]]*Tabla4[[#This Row],[Cantidad]]</f>
        <v>#N/A</v>
      </c>
      <c r="T2733" s="369" t="str">
        <f>VLOOKUP(Tabla4[[#This Row],[Producto]],Tabla6[#All],14,FALSE)</f>
        <v>Termico Solar</v>
      </c>
      <c r="U2733" s="284" t="e">
        <f>(IF(Tabla4[[#This Row],[Familia]]="termico solar",Tabla4[[#This Row],[Utilidad Total]]*6%,Tabla4[[#This Row],[Utilidad Total]]*11.5%))/Tabla4[[#This Row],[Total]]</f>
        <v>#N/A</v>
      </c>
      <c r="V2733" s="282" t="e">
        <f>+Tabla4[[#This Row],[Comisión Calculada]]*Tabla4[[#This Row],[Total]]</f>
        <v>#N/A</v>
      </c>
    </row>
    <row r="2734" spans="1:22" hidden="1" x14ac:dyDescent="0.25">
      <c r="A2734" s="100">
        <v>45792</v>
      </c>
      <c r="B2734" t="str">
        <f t="shared" si="131"/>
        <v>May</v>
      </c>
      <c r="C2734" s="46" t="s">
        <v>280</v>
      </c>
      <c r="F2734" s="366" t="s">
        <v>1767</v>
      </c>
      <c r="G2734" s="46" t="s">
        <v>209</v>
      </c>
      <c r="H2734" s="46">
        <v>1</v>
      </c>
      <c r="I2734" s="51">
        <v>347.48</v>
      </c>
      <c r="J2734" s="281">
        <f>++Tabla4[[#This Row],[Precio Bruto]]*1.16</f>
        <v>403.07679999999999</v>
      </c>
      <c r="K2734" s="281">
        <f>+Tabla4[[#This Row],[Precio Unitario Neto]]*Tabla4[[#Headers],[20.85%]]</f>
        <v>84.041512799999992</v>
      </c>
      <c r="L2734" s="282">
        <f>++Tabla4[[#This Row],[Precio Unitario Neto]]-Tabla4[[#This Row],[20.85%]]</f>
        <v>319.03528719999997</v>
      </c>
      <c r="M2734" s="282" t="e">
        <f>(INDEX(Tabla6[#All],MATCH(Tabla4[[#This Row],[Producto]],Tabla6[[#All],[PRODUCTO]],0),MATCH(Tabla4[[#This Row],[Mes]],Tabla6[#Headers],0)))*(1+Catalogos!$L$2)</f>
        <v>#N/A</v>
      </c>
      <c r="N2734" s="283" t="e">
        <f>+(Tabla4[[#This Row],[Precio Descontado]]-Tabla4[[#This Row],[Precio Base]])*Tabla4[[#This Row],[Cantidad]]</f>
        <v>#N/A</v>
      </c>
      <c r="O2734" s="284" t="e">
        <f>++Tabla4[[#This Row],[Utilidad Total]]/Tabla4[[#This Row],[Total]]</f>
        <v>#N/A</v>
      </c>
      <c r="P2734" s="282">
        <f>++Tabla4[[#This Row],[Precio Descontado]]*Tabla4[[#This Row],[Cantidad]]</f>
        <v>319.03528719999997</v>
      </c>
      <c r="Q2734" s="282" t="e">
        <f>(INDEX(Tabla6[#All],MATCH(Tabla4[[#This Row],[Producto]],Tabla6[[#All],[PRODUCTO]],0),MATCH(Tabla4[[#This Row],[Mes]],Tabla6[#Headers],0)))</f>
        <v>#N/A</v>
      </c>
      <c r="R2734" s="282" t="e">
        <f>++Tabla4[[#This Row],[Precio Unitario Neto]]-Tabla4[[#This Row],[20.85%]]-Tabla4[[#This Row],[Costo]]</f>
        <v>#N/A</v>
      </c>
      <c r="S2734" s="282" t="e">
        <f>++Tabla4[[#This Row],[U. Bruta Uni]]*Tabla4[[#This Row],[Cantidad]]</f>
        <v>#N/A</v>
      </c>
      <c r="T2734" s="369" t="str">
        <f>VLOOKUP(Tabla4[[#This Row],[Producto]],Tabla6[#All],14,FALSE)</f>
        <v>Termico Solar</v>
      </c>
      <c r="U2734" s="284" t="e">
        <f>(IF(Tabla4[[#This Row],[Familia]]="termico solar",Tabla4[[#This Row],[Utilidad Total]]*6%,Tabla4[[#This Row],[Utilidad Total]]*11.5%))/Tabla4[[#This Row],[Total]]</f>
        <v>#N/A</v>
      </c>
      <c r="V2734" s="282" t="e">
        <f>+Tabla4[[#This Row],[Comisión Calculada]]*Tabla4[[#This Row],[Total]]</f>
        <v>#N/A</v>
      </c>
    </row>
    <row r="2735" spans="1:22" hidden="1" x14ac:dyDescent="0.25">
      <c r="A2735" s="100">
        <v>45792</v>
      </c>
      <c r="B2735" t="str">
        <f t="shared" si="131"/>
        <v>May</v>
      </c>
      <c r="C2735" s="46" t="s">
        <v>280</v>
      </c>
      <c r="F2735" s="366" t="s">
        <v>1768</v>
      </c>
      <c r="G2735" s="46" t="s">
        <v>83</v>
      </c>
      <c r="H2735" s="46">
        <v>1</v>
      </c>
      <c r="I2735" s="51">
        <v>8858.76</v>
      </c>
      <c r="J2735" s="281">
        <f>++Tabla4[[#This Row],[Precio Bruto]]*1.16</f>
        <v>10276.161599999999</v>
      </c>
      <c r="K2735" s="281">
        <f>+Tabla4[[#This Row],[Precio Unitario Neto]]*Tabla4[[#Headers],[20.85%]]</f>
        <v>2142.5796935999997</v>
      </c>
      <c r="L2735" s="282">
        <f>++Tabla4[[#This Row],[Precio Unitario Neto]]-Tabla4[[#This Row],[20.85%]]</f>
        <v>8133.5819063999998</v>
      </c>
      <c r="M2735" s="282" t="e">
        <f>(INDEX(Tabla6[#All],MATCH(Tabla4[[#This Row],[Producto]],Tabla6[[#All],[PRODUCTO]],0),MATCH(Tabla4[[#This Row],[Mes]],Tabla6[#Headers],0)))*(1+Catalogos!$L$2)</f>
        <v>#N/A</v>
      </c>
      <c r="N2735" s="283" t="e">
        <f>+(Tabla4[[#This Row],[Precio Descontado]]-Tabla4[[#This Row],[Precio Base]])*Tabla4[[#This Row],[Cantidad]]</f>
        <v>#N/A</v>
      </c>
      <c r="O2735" s="284" t="e">
        <f>++Tabla4[[#This Row],[Utilidad Total]]/Tabla4[[#This Row],[Total]]</f>
        <v>#N/A</v>
      </c>
      <c r="P2735" s="282">
        <f>++Tabla4[[#This Row],[Precio Descontado]]*Tabla4[[#This Row],[Cantidad]]</f>
        <v>8133.5819063999998</v>
      </c>
      <c r="Q2735" s="282" t="e">
        <f>(INDEX(Tabla6[#All],MATCH(Tabla4[[#This Row],[Producto]],Tabla6[[#All],[PRODUCTO]],0),MATCH(Tabla4[[#This Row],[Mes]],Tabla6[#Headers],0)))</f>
        <v>#N/A</v>
      </c>
      <c r="R2735" s="282" t="e">
        <f>++Tabla4[[#This Row],[Precio Unitario Neto]]-Tabla4[[#This Row],[20.85%]]-Tabla4[[#This Row],[Costo]]</f>
        <v>#N/A</v>
      </c>
      <c r="S2735" s="282" t="e">
        <f>++Tabla4[[#This Row],[U. Bruta Uni]]*Tabla4[[#This Row],[Cantidad]]</f>
        <v>#N/A</v>
      </c>
      <c r="T2735" s="369" t="str">
        <f>VLOOKUP(Tabla4[[#This Row],[Producto]],Tabla6[#All],14,FALSE)</f>
        <v>Termico Solar</v>
      </c>
      <c r="U2735" s="284" t="e">
        <f>(IF(Tabla4[[#This Row],[Familia]]="termico solar",Tabla4[[#This Row],[Utilidad Total]]*6%,Tabla4[[#This Row],[Utilidad Total]]*11.5%))/Tabla4[[#This Row],[Total]]</f>
        <v>#N/A</v>
      </c>
      <c r="V2735" s="282" t="e">
        <f>+Tabla4[[#This Row],[Comisión Calculada]]*Tabla4[[#This Row],[Total]]</f>
        <v>#N/A</v>
      </c>
    </row>
    <row r="2736" spans="1:22" hidden="1" x14ac:dyDescent="0.25">
      <c r="A2736" s="100">
        <v>45792</v>
      </c>
      <c r="B2736" t="str">
        <f t="shared" si="131"/>
        <v>May</v>
      </c>
      <c r="C2736" s="46" t="s">
        <v>280</v>
      </c>
      <c r="F2736" s="366" t="s">
        <v>1768</v>
      </c>
      <c r="G2736" s="46" t="s">
        <v>208</v>
      </c>
      <c r="H2736" s="46">
        <v>4</v>
      </c>
      <c r="I2736" s="51">
        <v>189.75</v>
      </c>
      <c r="J2736" s="281">
        <f>++Tabla4[[#This Row],[Precio Bruto]]*1.16</f>
        <v>220.10999999999999</v>
      </c>
      <c r="K2736" s="281">
        <f>+Tabla4[[#This Row],[Precio Unitario Neto]]*Tabla4[[#Headers],[20.85%]]</f>
        <v>45.892934999999994</v>
      </c>
      <c r="L2736" s="282">
        <f>++Tabla4[[#This Row],[Precio Unitario Neto]]-Tabla4[[#This Row],[20.85%]]</f>
        <v>174.21706499999999</v>
      </c>
      <c r="M2736" s="282" t="e">
        <f>(INDEX(Tabla6[#All],MATCH(Tabla4[[#This Row],[Producto]],Tabla6[[#All],[PRODUCTO]],0),MATCH(Tabla4[[#This Row],[Mes]],Tabla6[#Headers],0)))*(1+Catalogos!$L$2)</f>
        <v>#N/A</v>
      </c>
      <c r="N2736" s="283" t="e">
        <f>+(Tabla4[[#This Row],[Precio Descontado]]-Tabla4[[#This Row],[Precio Base]])*Tabla4[[#This Row],[Cantidad]]</f>
        <v>#N/A</v>
      </c>
      <c r="O2736" s="284" t="e">
        <f>++Tabla4[[#This Row],[Utilidad Total]]/Tabla4[[#This Row],[Total]]</f>
        <v>#N/A</v>
      </c>
      <c r="P2736" s="282">
        <f>++Tabla4[[#This Row],[Precio Descontado]]*Tabla4[[#This Row],[Cantidad]]</f>
        <v>696.86825999999996</v>
      </c>
      <c r="Q2736" s="282" t="e">
        <f>(INDEX(Tabla6[#All],MATCH(Tabla4[[#This Row],[Producto]],Tabla6[[#All],[PRODUCTO]],0),MATCH(Tabla4[[#This Row],[Mes]],Tabla6[#Headers],0)))</f>
        <v>#N/A</v>
      </c>
      <c r="R2736" s="282" t="e">
        <f>++Tabla4[[#This Row],[Precio Unitario Neto]]-Tabla4[[#This Row],[20.85%]]-Tabla4[[#This Row],[Costo]]</f>
        <v>#N/A</v>
      </c>
      <c r="S2736" s="282" t="e">
        <f>++Tabla4[[#This Row],[U. Bruta Uni]]*Tabla4[[#This Row],[Cantidad]]</f>
        <v>#N/A</v>
      </c>
      <c r="T2736" s="369" t="str">
        <f>VLOOKUP(Tabla4[[#This Row],[Producto]],Tabla6[#All],14,FALSE)</f>
        <v>Termico Solar</v>
      </c>
      <c r="U2736" s="284" t="e">
        <f>(IF(Tabla4[[#This Row],[Familia]]="termico solar",Tabla4[[#This Row],[Utilidad Total]]*6%,Tabla4[[#This Row],[Utilidad Total]]*11.5%))/Tabla4[[#This Row],[Total]]</f>
        <v>#N/A</v>
      </c>
      <c r="V2736" s="282" t="e">
        <f>+Tabla4[[#This Row],[Comisión Calculada]]*Tabla4[[#This Row],[Total]]</f>
        <v>#N/A</v>
      </c>
    </row>
    <row r="2737" spans="1:22" hidden="1" x14ac:dyDescent="0.25">
      <c r="A2737" s="100">
        <v>45792</v>
      </c>
      <c r="B2737" t="str">
        <f t="shared" si="131"/>
        <v>May</v>
      </c>
      <c r="C2737" s="46" t="s">
        <v>280</v>
      </c>
      <c r="F2737" s="366" t="s">
        <v>1769</v>
      </c>
      <c r="G2737" s="46" t="s">
        <v>566</v>
      </c>
      <c r="H2737" s="46">
        <v>1</v>
      </c>
      <c r="I2737" s="51">
        <v>2109.4499999999998</v>
      </c>
      <c r="J2737" s="281">
        <f>++Tabla4[[#This Row],[Precio Bruto]]*1.16</f>
        <v>2446.9619999999995</v>
      </c>
      <c r="K2737" s="281">
        <f>+Tabla4[[#This Row],[Precio Unitario Neto]]*Tabla4[[#Headers],[20.85%]]</f>
        <v>510.19157699999988</v>
      </c>
      <c r="L2737" s="282">
        <f>++Tabla4[[#This Row],[Precio Unitario Neto]]-Tabla4[[#This Row],[20.85%]]</f>
        <v>1936.7704229999997</v>
      </c>
      <c r="M2737" s="282" t="e">
        <f>(INDEX(Tabla6[#All],MATCH(Tabla4[[#This Row],[Producto]],Tabla6[[#All],[PRODUCTO]],0),MATCH(Tabla4[[#This Row],[Mes]],Tabla6[#Headers],0)))*(1+Catalogos!$L$2)</f>
        <v>#N/A</v>
      </c>
      <c r="N2737" s="283" t="e">
        <f>+(Tabla4[[#This Row],[Precio Descontado]]-Tabla4[[#This Row],[Precio Base]])*Tabla4[[#This Row],[Cantidad]]</f>
        <v>#N/A</v>
      </c>
      <c r="O2737" s="284" t="e">
        <f>++Tabla4[[#This Row],[Utilidad Total]]/Tabla4[[#This Row],[Total]]</f>
        <v>#N/A</v>
      </c>
      <c r="P2737" s="282">
        <f>++Tabla4[[#This Row],[Precio Descontado]]*Tabla4[[#This Row],[Cantidad]]</f>
        <v>1936.7704229999997</v>
      </c>
      <c r="Q2737" s="282" t="e">
        <f>(INDEX(Tabla6[#All],MATCH(Tabla4[[#This Row],[Producto]],Tabla6[[#All],[PRODUCTO]],0),MATCH(Tabla4[[#This Row],[Mes]],Tabla6[#Headers],0)))</f>
        <v>#N/A</v>
      </c>
      <c r="R2737" s="282" t="e">
        <f>++Tabla4[[#This Row],[Precio Unitario Neto]]-Tabla4[[#This Row],[20.85%]]-Tabla4[[#This Row],[Costo]]</f>
        <v>#N/A</v>
      </c>
      <c r="S2737" s="282" t="e">
        <f>++Tabla4[[#This Row],[U. Bruta Uni]]*Tabla4[[#This Row],[Cantidad]]</f>
        <v>#N/A</v>
      </c>
      <c r="T2737" s="369" t="str">
        <f>VLOOKUP(Tabla4[[#This Row],[Producto]],Tabla6[#All],14,FALSE)</f>
        <v>Termico Solar</v>
      </c>
      <c r="U2737" s="284" t="e">
        <f>(IF(Tabla4[[#This Row],[Familia]]="termico solar",Tabla4[[#This Row],[Utilidad Total]]*6%,Tabla4[[#This Row],[Utilidad Total]]*11.5%))/Tabla4[[#This Row],[Total]]</f>
        <v>#N/A</v>
      </c>
      <c r="V2737" s="282" t="e">
        <f>+Tabla4[[#This Row],[Comisión Calculada]]*Tabla4[[#This Row],[Total]]</f>
        <v>#N/A</v>
      </c>
    </row>
    <row r="2738" spans="1:22" hidden="1" x14ac:dyDescent="0.25">
      <c r="A2738" s="100">
        <v>45792</v>
      </c>
      <c r="B2738" t="str">
        <f t="shared" si="131"/>
        <v>May</v>
      </c>
      <c r="C2738" s="46" t="s">
        <v>280</v>
      </c>
      <c r="F2738" s="366" t="s">
        <v>1770</v>
      </c>
      <c r="G2738" s="46" t="s">
        <v>17</v>
      </c>
      <c r="H2738" s="46">
        <v>1</v>
      </c>
      <c r="I2738" s="51">
        <v>4622.28</v>
      </c>
      <c r="J2738" s="281">
        <f>++Tabla4[[#This Row],[Precio Bruto]]*1.16</f>
        <v>5361.8447999999989</v>
      </c>
      <c r="K2738" s="281">
        <f>+Tabla4[[#This Row],[Precio Unitario Neto]]*Tabla4[[#Headers],[20.85%]]</f>
        <v>1117.9446407999997</v>
      </c>
      <c r="L2738" s="282">
        <f>++Tabla4[[#This Row],[Precio Unitario Neto]]-Tabla4[[#This Row],[20.85%]]</f>
        <v>4243.9001591999995</v>
      </c>
      <c r="M2738" s="282" t="e">
        <f>(INDEX(Tabla6[#All],MATCH(Tabla4[[#This Row],[Producto]],Tabla6[[#All],[PRODUCTO]],0),MATCH(Tabla4[[#This Row],[Mes]],Tabla6[#Headers],0)))*(1+Catalogos!$L$2)</f>
        <v>#N/A</v>
      </c>
      <c r="N2738" s="283" t="e">
        <f>+(Tabla4[[#This Row],[Precio Descontado]]-Tabla4[[#This Row],[Precio Base]])*Tabla4[[#This Row],[Cantidad]]</f>
        <v>#N/A</v>
      </c>
      <c r="O2738" s="284" t="e">
        <f>++Tabla4[[#This Row],[Utilidad Total]]/Tabla4[[#This Row],[Total]]</f>
        <v>#N/A</v>
      </c>
      <c r="P2738" s="282">
        <f>++Tabla4[[#This Row],[Precio Descontado]]*Tabla4[[#This Row],[Cantidad]]</f>
        <v>4243.9001591999995</v>
      </c>
      <c r="Q2738" s="282" t="e">
        <f>(INDEX(Tabla6[#All],MATCH(Tabla4[[#This Row],[Producto]],Tabla6[[#All],[PRODUCTO]],0),MATCH(Tabla4[[#This Row],[Mes]],Tabla6[#Headers],0)))</f>
        <v>#N/A</v>
      </c>
      <c r="R2738" s="282" t="e">
        <f>++Tabla4[[#This Row],[Precio Unitario Neto]]-Tabla4[[#This Row],[20.85%]]-Tabla4[[#This Row],[Costo]]</f>
        <v>#N/A</v>
      </c>
      <c r="S2738" s="282" t="e">
        <f>++Tabla4[[#This Row],[U. Bruta Uni]]*Tabla4[[#This Row],[Cantidad]]</f>
        <v>#N/A</v>
      </c>
      <c r="T2738" s="369" t="str">
        <f>VLOOKUP(Tabla4[[#This Row],[Producto]],Tabla6[#All],14,FALSE)</f>
        <v>Termico Solar</v>
      </c>
      <c r="U2738" s="284" t="e">
        <f>(IF(Tabla4[[#This Row],[Familia]]="termico solar",Tabla4[[#This Row],[Utilidad Total]]*6%,Tabla4[[#This Row],[Utilidad Total]]*11.5%))/Tabla4[[#This Row],[Total]]</f>
        <v>#N/A</v>
      </c>
      <c r="V2738" s="282" t="e">
        <f>+Tabla4[[#This Row],[Comisión Calculada]]*Tabla4[[#This Row],[Total]]</f>
        <v>#N/A</v>
      </c>
    </row>
    <row r="2739" spans="1:22" hidden="1" x14ac:dyDescent="0.25">
      <c r="A2739" s="100">
        <v>45792</v>
      </c>
      <c r="B2739" t="str">
        <f t="shared" si="131"/>
        <v>May</v>
      </c>
      <c r="C2739" s="46" t="s">
        <v>280</v>
      </c>
      <c r="F2739" s="366" t="s">
        <v>1770</v>
      </c>
      <c r="G2739" s="46" t="s">
        <v>18</v>
      </c>
      <c r="H2739" s="46">
        <v>1</v>
      </c>
      <c r="I2739" s="51">
        <v>5367.65</v>
      </c>
      <c r="J2739" s="281">
        <f>++Tabla4[[#This Row],[Precio Bruto]]*1.16</f>
        <v>6226.4739999999993</v>
      </c>
      <c r="K2739" s="281">
        <f>+Tabla4[[#This Row],[Precio Unitario Neto]]*Tabla4[[#Headers],[20.85%]]</f>
        <v>1298.2198289999999</v>
      </c>
      <c r="L2739" s="282">
        <f>++Tabla4[[#This Row],[Precio Unitario Neto]]-Tabla4[[#This Row],[20.85%]]</f>
        <v>4928.2541709999996</v>
      </c>
      <c r="M2739" s="282" t="e">
        <f>(INDEX(Tabla6[#All],MATCH(Tabla4[[#This Row],[Producto]],Tabla6[[#All],[PRODUCTO]],0),MATCH(Tabla4[[#This Row],[Mes]],Tabla6[#Headers],0)))*(1+Catalogos!$L$2)</f>
        <v>#N/A</v>
      </c>
      <c r="N2739" s="283" t="e">
        <f>+(Tabla4[[#This Row],[Precio Descontado]]-Tabla4[[#This Row],[Precio Base]])*Tabla4[[#This Row],[Cantidad]]</f>
        <v>#N/A</v>
      </c>
      <c r="O2739" s="284" t="e">
        <f>++Tabla4[[#This Row],[Utilidad Total]]/Tabla4[[#This Row],[Total]]</f>
        <v>#N/A</v>
      </c>
      <c r="P2739" s="282">
        <f>++Tabla4[[#This Row],[Precio Descontado]]*Tabla4[[#This Row],[Cantidad]]</f>
        <v>4928.2541709999996</v>
      </c>
      <c r="Q2739" s="282" t="e">
        <f>(INDEX(Tabla6[#All],MATCH(Tabla4[[#This Row],[Producto]],Tabla6[[#All],[PRODUCTO]],0),MATCH(Tabla4[[#This Row],[Mes]],Tabla6[#Headers],0)))</f>
        <v>#N/A</v>
      </c>
      <c r="R2739" s="282" t="e">
        <f>++Tabla4[[#This Row],[Precio Unitario Neto]]-Tabla4[[#This Row],[20.85%]]-Tabla4[[#This Row],[Costo]]</f>
        <v>#N/A</v>
      </c>
      <c r="S2739" s="282" t="e">
        <f>++Tabla4[[#This Row],[U. Bruta Uni]]*Tabla4[[#This Row],[Cantidad]]</f>
        <v>#N/A</v>
      </c>
      <c r="T2739" s="369" t="str">
        <f>VLOOKUP(Tabla4[[#This Row],[Producto]],Tabla6[#All],14,FALSE)</f>
        <v>Termico Solar</v>
      </c>
      <c r="U2739" s="284" t="e">
        <f>(IF(Tabla4[[#This Row],[Familia]]="termico solar",Tabla4[[#This Row],[Utilidad Total]]*6%,Tabla4[[#This Row],[Utilidad Total]]*11.5%))/Tabla4[[#This Row],[Total]]</f>
        <v>#N/A</v>
      </c>
      <c r="V2739" s="282" t="e">
        <f>+Tabla4[[#This Row],[Comisión Calculada]]*Tabla4[[#This Row],[Total]]</f>
        <v>#N/A</v>
      </c>
    </row>
    <row r="2740" spans="1:22" hidden="1" x14ac:dyDescent="0.25">
      <c r="A2740" s="100">
        <v>45792</v>
      </c>
      <c r="B2740" t="str">
        <f t="shared" si="131"/>
        <v>May</v>
      </c>
      <c r="C2740" s="46" t="s">
        <v>280</v>
      </c>
      <c r="F2740" s="366" t="s">
        <v>1770</v>
      </c>
      <c r="G2740" s="46" t="s">
        <v>566</v>
      </c>
      <c r="H2740" s="46">
        <v>2</v>
      </c>
      <c r="I2740" s="51">
        <v>2109.4499999999998</v>
      </c>
      <c r="J2740" s="281">
        <f>++Tabla4[[#This Row],[Precio Bruto]]*1.16</f>
        <v>2446.9619999999995</v>
      </c>
      <c r="K2740" s="281">
        <f>+Tabla4[[#This Row],[Precio Unitario Neto]]*Tabla4[[#Headers],[20.85%]]</f>
        <v>510.19157699999988</v>
      </c>
      <c r="L2740" s="282">
        <f>++Tabla4[[#This Row],[Precio Unitario Neto]]-Tabla4[[#This Row],[20.85%]]</f>
        <v>1936.7704229999997</v>
      </c>
      <c r="M2740" s="282" t="e">
        <f>(INDEX(Tabla6[#All],MATCH(Tabla4[[#This Row],[Producto]],Tabla6[[#All],[PRODUCTO]],0),MATCH(Tabla4[[#This Row],[Mes]],Tabla6[#Headers],0)))*(1+Catalogos!$L$2)</f>
        <v>#N/A</v>
      </c>
      <c r="N2740" s="283" t="e">
        <f>+(Tabla4[[#This Row],[Precio Descontado]]-Tabla4[[#This Row],[Precio Base]])*Tabla4[[#This Row],[Cantidad]]</f>
        <v>#N/A</v>
      </c>
      <c r="O2740" s="284" t="e">
        <f>++Tabla4[[#This Row],[Utilidad Total]]/Tabla4[[#This Row],[Total]]</f>
        <v>#N/A</v>
      </c>
      <c r="P2740" s="282">
        <f>++Tabla4[[#This Row],[Precio Descontado]]*Tabla4[[#This Row],[Cantidad]]</f>
        <v>3873.5408459999994</v>
      </c>
      <c r="Q2740" s="282" t="e">
        <f>(INDEX(Tabla6[#All],MATCH(Tabla4[[#This Row],[Producto]],Tabla6[[#All],[PRODUCTO]],0),MATCH(Tabla4[[#This Row],[Mes]],Tabla6[#Headers],0)))</f>
        <v>#N/A</v>
      </c>
      <c r="R2740" s="282" t="e">
        <f>++Tabla4[[#This Row],[Precio Unitario Neto]]-Tabla4[[#This Row],[20.85%]]-Tabla4[[#This Row],[Costo]]</f>
        <v>#N/A</v>
      </c>
      <c r="S2740" s="282" t="e">
        <f>++Tabla4[[#This Row],[U. Bruta Uni]]*Tabla4[[#This Row],[Cantidad]]</f>
        <v>#N/A</v>
      </c>
      <c r="T2740" s="369" t="str">
        <f>VLOOKUP(Tabla4[[#This Row],[Producto]],Tabla6[#All],14,FALSE)</f>
        <v>Termico Solar</v>
      </c>
      <c r="U2740" s="284" t="e">
        <f>(IF(Tabla4[[#This Row],[Familia]]="termico solar",Tabla4[[#This Row],[Utilidad Total]]*6%,Tabla4[[#This Row],[Utilidad Total]]*11.5%))/Tabla4[[#This Row],[Total]]</f>
        <v>#N/A</v>
      </c>
      <c r="V2740" s="282" t="e">
        <f>+Tabla4[[#This Row],[Comisión Calculada]]*Tabla4[[#This Row],[Total]]</f>
        <v>#N/A</v>
      </c>
    </row>
    <row r="2741" spans="1:22" hidden="1" x14ac:dyDescent="0.25">
      <c r="A2741" s="100">
        <v>45792</v>
      </c>
      <c r="B2741" t="str">
        <f t="shared" si="131"/>
        <v>May</v>
      </c>
      <c r="C2741" s="46" t="s">
        <v>280</v>
      </c>
      <c r="F2741" s="366" t="s">
        <v>1770</v>
      </c>
      <c r="G2741" s="46" t="s">
        <v>16</v>
      </c>
      <c r="H2741" s="46">
        <v>1</v>
      </c>
      <c r="I2741" s="51">
        <v>4103.8500000000004</v>
      </c>
      <c r="J2741" s="281">
        <f>++Tabla4[[#This Row],[Precio Bruto]]*1.16</f>
        <v>4760.4660000000003</v>
      </c>
      <c r="K2741" s="281">
        <f>+Tabla4[[#This Row],[Precio Unitario Neto]]*Tabla4[[#Headers],[20.85%]]</f>
        <v>992.55716100000006</v>
      </c>
      <c r="L2741" s="282">
        <f>++Tabla4[[#This Row],[Precio Unitario Neto]]-Tabla4[[#This Row],[20.85%]]</f>
        <v>3767.9088390000002</v>
      </c>
      <c r="M2741" s="282" t="e">
        <f>(INDEX(Tabla6[#All],MATCH(Tabla4[[#This Row],[Producto]],Tabla6[[#All],[PRODUCTO]],0),MATCH(Tabla4[[#This Row],[Mes]],Tabla6[#Headers],0)))*(1+Catalogos!$L$2)</f>
        <v>#N/A</v>
      </c>
      <c r="N2741" s="283" t="e">
        <f>+(Tabla4[[#This Row],[Precio Descontado]]-Tabla4[[#This Row],[Precio Base]])*Tabla4[[#This Row],[Cantidad]]</f>
        <v>#N/A</v>
      </c>
      <c r="O2741" s="284" t="e">
        <f>++Tabla4[[#This Row],[Utilidad Total]]/Tabla4[[#This Row],[Total]]</f>
        <v>#N/A</v>
      </c>
      <c r="P2741" s="282">
        <f>++Tabla4[[#This Row],[Precio Descontado]]*Tabla4[[#This Row],[Cantidad]]</f>
        <v>3767.9088390000002</v>
      </c>
      <c r="Q2741" s="282" t="e">
        <f>(INDEX(Tabla6[#All],MATCH(Tabla4[[#This Row],[Producto]],Tabla6[[#All],[PRODUCTO]],0),MATCH(Tabla4[[#This Row],[Mes]],Tabla6[#Headers],0)))</f>
        <v>#N/A</v>
      </c>
      <c r="R2741" s="282" t="e">
        <f>++Tabla4[[#This Row],[Precio Unitario Neto]]-Tabla4[[#This Row],[20.85%]]-Tabla4[[#This Row],[Costo]]</f>
        <v>#N/A</v>
      </c>
      <c r="S2741" s="282" t="e">
        <f>++Tabla4[[#This Row],[U. Bruta Uni]]*Tabla4[[#This Row],[Cantidad]]</f>
        <v>#N/A</v>
      </c>
      <c r="T2741" s="369" t="str">
        <f>VLOOKUP(Tabla4[[#This Row],[Producto]],Tabla6[#All],14,FALSE)</f>
        <v>Termico Solar</v>
      </c>
      <c r="U2741" s="284" t="e">
        <f>(IF(Tabla4[[#This Row],[Familia]]="termico solar",Tabla4[[#This Row],[Utilidad Total]]*6%,Tabla4[[#This Row],[Utilidad Total]]*11.5%))/Tabla4[[#This Row],[Total]]</f>
        <v>#N/A</v>
      </c>
      <c r="V2741" s="282" t="e">
        <f>+Tabla4[[#This Row],[Comisión Calculada]]*Tabla4[[#This Row],[Total]]</f>
        <v>#N/A</v>
      </c>
    </row>
    <row r="2742" spans="1:22" hidden="1" x14ac:dyDescent="0.25">
      <c r="A2742" s="100">
        <v>45792</v>
      </c>
      <c r="B2742" t="str">
        <f t="shared" si="131"/>
        <v>May</v>
      </c>
      <c r="C2742" s="46" t="s">
        <v>280</v>
      </c>
      <c r="F2742" s="366" t="s">
        <v>1770</v>
      </c>
      <c r="G2742" s="46" t="s">
        <v>208</v>
      </c>
      <c r="H2742" s="46">
        <v>2</v>
      </c>
      <c r="I2742" s="51">
        <v>189.75</v>
      </c>
      <c r="J2742" s="281">
        <f>++Tabla4[[#This Row],[Precio Bruto]]*1.16</f>
        <v>220.10999999999999</v>
      </c>
      <c r="K2742" s="281">
        <f>+Tabla4[[#This Row],[Precio Unitario Neto]]*Tabla4[[#Headers],[20.85%]]</f>
        <v>45.892934999999994</v>
      </c>
      <c r="L2742" s="282">
        <f>++Tabla4[[#This Row],[Precio Unitario Neto]]-Tabla4[[#This Row],[20.85%]]</f>
        <v>174.21706499999999</v>
      </c>
      <c r="M2742" s="282" t="e">
        <f>(INDEX(Tabla6[#All],MATCH(Tabla4[[#This Row],[Producto]],Tabla6[[#All],[PRODUCTO]],0),MATCH(Tabla4[[#This Row],[Mes]],Tabla6[#Headers],0)))*(1+Catalogos!$L$2)</f>
        <v>#N/A</v>
      </c>
      <c r="N2742" s="283" t="e">
        <f>+(Tabla4[[#This Row],[Precio Descontado]]-Tabla4[[#This Row],[Precio Base]])*Tabla4[[#This Row],[Cantidad]]</f>
        <v>#N/A</v>
      </c>
      <c r="O2742" s="284" t="e">
        <f>++Tabla4[[#This Row],[Utilidad Total]]/Tabla4[[#This Row],[Total]]</f>
        <v>#N/A</v>
      </c>
      <c r="P2742" s="282">
        <f>++Tabla4[[#This Row],[Precio Descontado]]*Tabla4[[#This Row],[Cantidad]]</f>
        <v>348.43412999999998</v>
      </c>
      <c r="Q2742" s="282" t="e">
        <f>(INDEX(Tabla6[#All],MATCH(Tabla4[[#This Row],[Producto]],Tabla6[[#All],[PRODUCTO]],0),MATCH(Tabla4[[#This Row],[Mes]],Tabla6[#Headers],0)))</f>
        <v>#N/A</v>
      </c>
      <c r="R2742" s="282" t="e">
        <f>++Tabla4[[#This Row],[Precio Unitario Neto]]-Tabla4[[#This Row],[20.85%]]-Tabla4[[#This Row],[Costo]]</f>
        <v>#N/A</v>
      </c>
      <c r="S2742" s="282" t="e">
        <f>++Tabla4[[#This Row],[U. Bruta Uni]]*Tabla4[[#This Row],[Cantidad]]</f>
        <v>#N/A</v>
      </c>
      <c r="T2742" s="369" t="str">
        <f>VLOOKUP(Tabla4[[#This Row],[Producto]],Tabla6[#All],14,FALSE)</f>
        <v>Termico Solar</v>
      </c>
      <c r="U2742" s="284" t="e">
        <f>(IF(Tabla4[[#This Row],[Familia]]="termico solar",Tabla4[[#This Row],[Utilidad Total]]*6%,Tabla4[[#This Row],[Utilidad Total]]*11.5%))/Tabla4[[#This Row],[Total]]</f>
        <v>#N/A</v>
      </c>
      <c r="V2742" s="282" t="e">
        <f>+Tabla4[[#This Row],[Comisión Calculada]]*Tabla4[[#This Row],[Total]]</f>
        <v>#N/A</v>
      </c>
    </row>
    <row r="2743" spans="1:22" hidden="1" x14ac:dyDescent="0.25">
      <c r="A2743" s="100">
        <v>45792</v>
      </c>
      <c r="B2743" t="str">
        <f t="shared" si="131"/>
        <v>May</v>
      </c>
      <c r="C2743" s="46" t="s">
        <v>280</v>
      </c>
      <c r="F2743" s="366" t="s">
        <v>1771</v>
      </c>
      <c r="G2743" s="46" t="s">
        <v>18</v>
      </c>
      <c r="H2743" s="46">
        <v>5</v>
      </c>
      <c r="I2743" s="51">
        <v>5367.65</v>
      </c>
      <c r="J2743" s="281">
        <f>++Tabla4[[#This Row],[Precio Bruto]]*1.16</f>
        <v>6226.4739999999993</v>
      </c>
      <c r="K2743" s="281">
        <f>+Tabla4[[#This Row],[Precio Unitario Neto]]*Tabla4[[#Headers],[20.85%]]</f>
        <v>1298.2198289999999</v>
      </c>
      <c r="L2743" s="282">
        <f>++Tabla4[[#This Row],[Precio Unitario Neto]]-Tabla4[[#This Row],[20.85%]]</f>
        <v>4928.2541709999996</v>
      </c>
      <c r="M2743" s="282" t="e">
        <f>(INDEX(Tabla6[#All],MATCH(Tabla4[[#This Row],[Producto]],Tabla6[[#All],[PRODUCTO]],0),MATCH(Tabla4[[#This Row],[Mes]],Tabla6[#Headers],0)))*(1+Catalogos!$L$2)</f>
        <v>#N/A</v>
      </c>
      <c r="N2743" s="283" t="e">
        <f>+(Tabla4[[#This Row],[Precio Descontado]]-Tabla4[[#This Row],[Precio Base]])*Tabla4[[#This Row],[Cantidad]]</f>
        <v>#N/A</v>
      </c>
      <c r="O2743" s="284" t="e">
        <f>++Tabla4[[#This Row],[Utilidad Total]]/Tabla4[[#This Row],[Total]]</f>
        <v>#N/A</v>
      </c>
      <c r="P2743" s="282">
        <f>++Tabla4[[#This Row],[Precio Descontado]]*Tabla4[[#This Row],[Cantidad]]</f>
        <v>24641.270854999999</v>
      </c>
      <c r="Q2743" s="282" t="e">
        <f>(INDEX(Tabla6[#All],MATCH(Tabla4[[#This Row],[Producto]],Tabla6[[#All],[PRODUCTO]],0),MATCH(Tabla4[[#This Row],[Mes]],Tabla6[#Headers],0)))</f>
        <v>#N/A</v>
      </c>
      <c r="R2743" s="282" t="e">
        <f>++Tabla4[[#This Row],[Precio Unitario Neto]]-Tabla4[[#This Row],[20.85%]]-Tabla4[[#This Row],[Costo]]</f>
        <v>#N/A</v>
      </c>
      <c r="S2743" s="282" t="e">
        <f>++Tabla4[[#This Row],[U. Bruta Uni]]*Tabla4[[#This Row],[Cantidad]]</f>
        <v>#N/A</v>
      </c>
      <c r="T2743" s="369" t="str">
        <f>VLOOKUP(Tabla4[[#This Row],[Producto]],Tabla6[#All],14,FALSE)</f>
        <v>Termico Solar</v>
      </c>
      <c r="U2743" s="284" t="e">
        <f>(IF(Tabla4[[#This Row],[Familia]]="termico solar",Tabla4[[#This Row],[Utilidad Total]]*6%,Tabla4[[#This Row],[Utilidad Total]]*11.5%))/Tabla4[[#This Row],[Total]]</f>
        <v>#N/A</v>
      </c>
      <c r="V2743" s="282" t="e">
        <f>+Tabla4[[#This Row],[Comisión Calculada]]*Tabla4[[#This Row],[Total]]</f>
        <v>#N/A</v>
      </c>
    </row>
    <row r="2744" spans="1:22" hidden="1" x14ac:dyDescent="0.25">
      <c r="A2744" s="100">
        <v>45792</v>
      </c>
      <c r="B2744" t="str">
        <f t="shared" si="131"/>
        <v>May</v>
      </c>
      <c r="C2744" s="46" t="s">
        <v>280</v>
      </c>
      <c r="F2744" s="366" t="s">
        <v>1772</v>
      </c>
      <c r="G2744" s="46" t="s">
        <v>17</v>
      </c>
      <c r="H2744" s="46">
        <v>4</v>
      </c>
      <c r="I2744" s="51">
        <v>4622.28</v>
      </c>
      <c r="J2744" s="281">
        <f>++Tabla4[[#This Row],[Precio Bruto]]*1.16</f>
        <v>5361.8447999999989</v>
      </c>
      <c r="K2744" s="281">
        <f>+Tabla4[[#This Row],[Precio Unitario Neto]]*Tabla4[[#Headers],[20.85%]]</f>
        <v>1117.9446407999997</v>
      </c>
      <c r="L2744" s="282">
        <f>++Tabla4[[#This Row],[Precio Unitario Neto]]-Tabla4[[#This Row],[20.85%]]</f>
        <v>4243.9001591999995</v>
      </c>
      <c r="M2744" s="282" t="e">
        <f>(INDEX(Tabla6[#All],MATCH(Tabla4[[#This Row],[Producto]],Tabla6[[#All],[PRODUCTO]],0),MATCH(Tabla4[[#This Row],[Mes]],Tabla6[#Headers],0)))*(1+Catalogos!$L$2)</f>
        <v>#N/A</v>
      </c>
      <c r="N2744" s="283" t="e">
        <f>+(Tabla4[[#This Row],[Precio Descontado]]-Tabla4[[#This Row],[Precio Base]])*Tabla4[[#This Row],[Cantidad]]</f>
        <v>#N/A</v>
      </c>
      <c r="O2744" s="284" t="e">
        <f>++Tabla4[[#This Row],[Utilidad Total]]/Tabla4[[#This Row],[Total]]</f>
        <v>#N/A</v>
      </c>
      <c r="P2744" s="282">
        <f>++Tabla4[[#This Row],[Precio Descontado]]*Tabla4[[#This Row],[Cantidad]]</f>
        <v>16975.600636799998</v>
      </c>
      <c r="Q2744" s="282" t="e">
        <f>(INDEX(Tabla6[#All],MATCH(Tabla4[[#This Row],[Producto]],Tabla6[[#All],[PRODUCTO]],0),MATCH(Tabla4[[#This Row],[Mes]],Tabla6[#Headers],0)))</f>
        <v>#N/A</v>
      </c>
      <c r="R2744" s="282" t="e">
        <f>++Tabla4[[#This Row],[Precio Unitario Neto]]-Tabla4[[#This Row],[20.85%]]-Tabla4[[#This Row],[Costo]]</f>
        <v>#N/A</v>
      </c>
      <c r="S2744" s="282" t="e">
        <f>++Tabla4[[#This Row],[U. Bruta Uni]]*Tabla4[[#This Row],[Cantidad]]</f>
        <v>#N/A</v>
      </c>
      <c r="T2744" s="369" t="str">
        <f>VLOOKUP(Tabla4[[#This Row],[Producto]],Tabla6[#All],14,FALSE)</f>
        <v>Termico Solar</v>
      </c>
      <c r="U2744" s="284" t="e">
        <f>(IF(Tabla4[[#This Row],[Familia]]="termico solar",Tabla4[[#This Row],[Utilidad Total]]*6%,Tabla4[[#This Row],[Utilidad Total]]*11.5%))/Tabla4[[#This Row],[Total]]</f>
        <v>#N/A</v>
      </c>
      <c r="V2744" s="282" t="e">
        <f>+Tabla4[[#This Row],[Comisión Calculada]]*Tabla4[[#This Row],[Total]]</f>
        <v>#N/A</v>
      </c>
    </row>
    <row r="2745" spans="1:22" hidden="1" x14ac:dyDescent="0.25">
      <c r="A2745" s="100">
        <v>45792</v>
      </c>
      <c r="B2745" t="str">
        <f t="shared" si="131"/>
        <v>May</v>
      </c>
      <c r="C2745" s="46" t="s">
        <v>280</v>
      </c>
      <c r="F2745" s="366" t="s">
        <v>1772</v>
      </c>
      <c r="G2745" s="46" t="s">
        <v>18</v>
      </c>
      <c r="H2745" s="46">
        <v>1</v>
      </c>
      <c r="I2745" s="51">
        <v>5367.65</v>
      </c>
      <c r="J2745" s="281">
        <f>++Tabla4[[#This Row],[Precio Bruto]]*1.16</f>
        <v>6226.4739999999993</v>
      </c>
      <c r="K2745" s="281">
        <f>+Tabla4[[#This Row],[Precio Unitario Neto]]*Tabla4[[#Headers],[20.85%]]</f>
        <v>1298.2198289999999</v>
      </c>
      <c r="L2745" s="282">
        <f>++Tabla4[[#This Row],[Precio Unitario Neto]]-Tabla4[[#This Row],[20.85%]]</f>
        <v>4928.2541709999996</v>
      </c>
      <c r="M2745" s="282" t="e">
        <f>(INDEX(Tabla6[#All],MATCH(Tabla4[[#This Row],[Producto]],Tabla6[[#All],[PRODUCTO]],0),MATCH(Tabla4[[#This Row],[Mes]],Tabla6[#Headers],0)))*(1+Catalogos!$L$2)</f>
        <v>#N/A</v>
      </c>
      <c r="N2745" s="283" t="e">
        <f>+(Tabla4[[#This Row],[Precio Descontado]]-Tabla4[[#This Row],[Precio Base]])*Tabla4[[#This Row],[Cantidad]]</f>
        <v>#N/A</v>
      </c>
      <c r="O2745" s="284" t="e">
        <f>++Tabla4[[#This Row],[Utilidad Total]]/Tabla4[[#This Row],[Total]]</f>
        <v>#N/A</v>
      </c>
      <c r="P2745" s="282">
        <f>++Tabla4[[#This Row],[Precio Descontado]]*Tabla4[[#This Row],[Cantidad]]</f>
        <v>4928.2541709999996</v>
      </c>
      <c r="Q2745" s="282" t="e">
        <f>(INDEX(Tabla6[#All],MATCH(Tabla4[[#This Row],[Producto]],Tabla6[[#All],[PRODUCTO]],0),MATCH(Tabla4[[#This Row],[Mes]],Tabla6[#Headers],0)))</f>
        <v>#N/A</v>
      </c>
      <c r="R2745" s="282" t="e">
        <f>++Tabla4[[#This Row],[Precio Unitario Neto]]-Tabla4[[#This Row],[20.85%]]-Tabla4[[#This Row],[Costo]]</f>
        <v>#N/A</v>
      </c>
      <c r="S2745" s="282" t="e">
        <f>++Tabla4[[#This Row],[U. Bruta Uni]]*Tabla4[[#This Row],[Cantidad]]</f>
        <v>#N/A</v>
      </c>
      <c r="T2745" s="369" t="str">
        <f>VLOOKUP(Tabla4[[#This Row],[Producto]],Tabla6[#All],14,FALSE)</f>
        <v>Termico Solar</v>
      </c>
      <c r="U2745" s="284" t="e">
        <f>(IF(Tabla4[[#This Row],[Familia]]="termico solar",Tabla4[[#This Row],[Utilidad Total]]*6%,Tabla4[[#This Row],[Utilidad Total]]*11.5%))/Tabla4[[#This Row],[Total]]</f>
        <v>#N/A</v>
      </c>
      <c r="V2745" s="282" t="e">
        <f>+Tabla4[[#This Row],[Comisión Calculada]]*Tabla4[[#This Row],[Total]]</f>
        <v>#N/A</v>
      </c>
    </row>
    <row r="2746" spans="1:22" hidden="1" x14ac:dyDescent="0.25">
      <c r="A2746" s="100">
        <v>45792</v>
      </c>
      <c r="B2746" t="str">
        <f t="shared" si="131"/>
        <v>May</v>
      </c>
      <c r="C2746" s="46" t="s">
        <v>280</v>
      </c>
      <c r="F2746" s="366" t="s">
        <v>1772</v>
      </c>
      <c r="G2746" s="46" t="s">
        <v>412</v>
      </c>
      <c r="H2746" s="46">
        <v>1</v>
      </c>
      <c r="I2746" s="51">
        <v>3240.84</v>
      </c>
      <c r="J2746" s="281">
        <f>++Tabla4[[#This Row],[Precio Bruto]]*1.16</f>
        <v>3759.3743999999997</v>
      </c>
      <c r="K2746" s="281">
        <f>+Tabla4[[#This Row],[Precio Unitario Neto]]*Tabla4[[#Headers],[20.85%]]</f>
        <v>783.82956239999987</v>
      </c>
      <c r="L2746" s="282">
        <f>++Tabla4[[#This Row],[Precio Unitario Neto]]-Tabla4[[#This Row],[20.85%]]</f>
        <v>2975.5448375999999</v>
      </c>
      <c r="M2746" s="282" t="e">
        <f>(INDEX(Tabla6[#All],MATCH(Tabla4[[#This Row],[Producto]],Tabla6[[#All],[PRODUCTO]],0),MATCH(Tabla4[[#This Row],[Mes]],Tabla6[#Headers],0)))*(1+Catalogos!$L$2)</f>
        <v>#N/A</v>
      </c>
      <c r="N2746" s="283" t="e">
        <f>+(Tabla4[[#This Row],[Precio Descontado]]-Tabla4[[#This Row],[Precio Base]])*Tabla4[[#This Row],[Cantidad]]</f>
        <v>#N/A</v>
      </c>
      <c r="O2746" s="284" t="e">
        <f>++Tabla4[[#This Row],[Utilidad Total]]/Tabla4[[#This Row],[Total]]</f>
        <v>#N/A</v>
      </c>
      <c r="P2746" s="282">
        <f>++Tabla4[[#This Row],[Precio Descontado]]*Tabla4[[#This Row],[Cantidad]]</f>
        <v>2975.5448375999999</v>
      </c>
      <c r="Q2746" s="282" t="e">
        <f>(INDEX(Tabla6[#All],MATCH(Tabla4[[#This Row],[Producto]],Tabla6[[#All],[PRODUCTO]],0),MATCH(Tabla4[[#This Row],[Mes]],Tabla6[#Headers],0)))</f>
        <v>#N/A</v>
      </c>
      <c r="R2746" s="282" t="e">
        <f>++Tabla4[[#This Row],[Precio Unitario Neto]]-Tabla4[[#This Row],[20.85%]]-Tabla4[[#This Row],[Costo]]</f>
        <v>#N/A</v>
      </c>
      <c r="S2746" s="282" t="e">
        <f>++Tabla4[[#This Row],[U. Bruta Uni]]*Tabla4[[#This Row],[Cantidad]]</f>
        <v>#N/A</v>
      </c>
      <c r="T2746" s="369" t="str">
        <f>VLOOKUP(Tabla4[[#This Row],[Producto]],Tabla6[#All],14,FALSE)</f>
        <v>Termico Solar</v>
      </c>
      <c r="U2746" s="284" t="e">
        <f>(IF(Tabla4[[#This Row],[Familia]]="termico solar",Tabla4[[#This Row],[Utilidad Total]]*6%,Tabla4[[#This Row],[Utilidad Total]]*11.5%))/Tabla4[[#This Row],[Total]]</f>
        <v>#N/A</v>
      </c>
      <c r="V2746" s="282" t="e">
        <f>+Tabla4[[#This Row],[Comisión Calculada]]*Tabla4[[#This Row],[Total]]</f>
        <v>#N/A</v>
      </c>
    </row>
    <row r="2747" spans="1:22" hidden="1" x14ac:dyDescent="0.25">
      <c r="A2747" s="100">
        <v>45792</v>
      </c>
      <c r="B2747" t="str">
        <f t="shared" si="131"/>
        <v>May</v>
      </c>
      <c r="C2747" s="46" t="s">
        <v>280</v>
      </c>
      <c r="F2747" s="366" t="s">
        <v>1773</v>
      </c>
      <c r="G2747" s="46" t="s">
        <v>19</v>
      </c>
      <c r="H2747" s="46">
        <v>1</v>
      </c>
      <c r="I2747" s="51">
        <v>6412.03</v>
      </c>
      <c r="J2747" s="281">
        <f>++Tabla4[[#This Row],[Precio Bruto]]*1.16</f>
        <v>7437.9547999999995</v>
      </c>
      <c r="K2747" s="281">
        <f>+Tabla4[[#This Row],[Precio Unitario Neto]]*Tabla4[[#Headers],[20.85%]]</f>
        <v>1550.8135757999999</v>
      </c>
      <c r="L2747" s="282">
        <f>++Tabla4[[#This Row],[Precio Unitario Neto]]-Tabla4[[#This Row],[20.85%]]</f>
        <v>5887.1412241999997</v>
      </c>
      <c r="M2747" s="282" t="e">
        <f>(INDEX(Tabla6[#All],MATCH(Tabla4[[#This Row],[Producto]],Tabla6[[#All],[PRODUCTO]],0),MATCH(Tabla4[[#This Row],[Mes]],Tabla6[#Headers],0)))*(1+Catalogos!$L$2)</f>
        <v>#N/A</v>
      </c>
      <c r="N2747" s="283" t="e">
        <f>+(Tabla4[[#This Row],[Precio Descontado]]-Tabla4[[#This Row],[Precio Base]])*Tabla4[[#This Row],[Cantidad]]</f>
        <v>#N/A</v>
      </c>
      <c r="O2747" s="284" t="e">
        <f>++Tabla4[[#This Row],[Utilidad Total]]/Tabla4[[#This Row],[Total]]</f>
        <v>#N/A</v>
      </c>
      <c r="P2747" s="282">
        <f>++Tabla4[[#This Row],[Precio Descontado]]*Tabla4[[#This Row],[Cantidad]]</f>
        <v>5887.1412241999997</v>
      </c>
      <c r="Q2747" s="282" t="e">
        <f>(INDEX(Tabla6[#All],MATCH(Tabla4[[#This Row],[Producto]],Tabla6[[#All],[PRODUCTO]],0),MATCH(Tabla4[[#This Row],[Mes]],Tabla6[#Headers],0)))</f>
        <v>#N/A</v>
      </c>
      <c r="R2747" s="282" t="e">
        <f>++Tabla4[[#This Row],[Precio Unitario Neto]]-Tabla4[[#This Row],[20.85%]]-Tabla4[[#This Row],[Costo]]</f>
        <v>#N/A</v>
      </c>
      <c r="S2747" s="282" t="e">
        <f>++Tabla4[[#This Row],[U. Bruta Uni]]*Tabla4[[#This Row],[Cantidad]]</f>
        <v>#N/A</v>
      </c>
      <c r="T2747" s="369" t="str">
        <f>VLOOKUP(Tabla4[[#This Row],[Producto]],Tabla6[#All],14,FALSE)</f>
        <v>Termico Solar</v>
      </c>
      <c r="U2747" s="284" t="e">
        <f>(IF(Tabla4[[#This Row],[Familia]]="termico solar",Tabla4[[#This Row],[Utilidad Total]]*6%,Tabla4[[#This Row],[Utilidad Total]]*11.5%))/Tabla4[[#This Row],[Total]]</f>
        <v>#N/A</v>
      </c>
      <c r="V2747" s="282" t="e">
        <f>+Tabla4[[#This Row],[Comisión Calculada]]*Tabla4[[#This Row],[Total]]</f>
        <v>#N/A</v>
      </c>
    </row>
    <row r="2748" spans="1:22" hidden="1" x14ac:dyDescent="0.25">
      <c r="A2748" s="100">
        <v>45792</v>
      </c>
      <c r="B2748" t="str">
        <f t="shared" si="131"/>
        <v>May</v>
      </c>
      <c r="C2748" s="46" t="s">
        <v>280</v>
      </c>
      <c r="F2748" s="366" t="s">
        <v>1773</v>
      </c>
      <c r="G2748" s="46" t="s">
        <v>208</v>
      </c>
      <c r="H2748" s="46">
        <v>3</v>
      </c>
      <c r="I2748" s="51">
        <v>189.75</v>
      </c>
      <c r="J2748" s="281">
        <f>++Tabla4[[#This Row],[Precio Bruto]]*1.16</f>
        <v>220.10999999999999</v>
      </c>
      <c r="K2748" s="281">
        <f>+Tabla4[[#This Row],[Precio Unitario Neto]]*Tabla4[[#Headers],[20.85%]]</f>
        <v>45.892934999999994</v>
      </c>
      <c r="L2748" s="282">
        <f>++Tabla4[[#This Row],[Precio Unitario Neto]]-Tabla4[[#This Row],[20.85%]]</f>
        <v>174.21706499999999</v>
      </c>
      <c r="M2748" s="282" t="e">
        <f>(INDEX(Tabla6[#All],MATCH(Tabla4[[#This Row],[Producto]],Tabla6[[#All],[PRODUCTO]],0),MATCH(Tabla4[[#This Row],[Mes]],Tabla6[#Headers],0)))*(1+Catalogos!$L$2)</f>
        <v>#N/A</v>
      </c>
      <c r="N2748" s="283" t="e">
        <f>+(Tabla4[[#This Row],[Precio Descontado]]-Tabla4[[#This Row],[Precio Base]])*Tabla4[[#This Row],[Cantidad]]</f>
        <v>#N/A</v>
      </c>
      <c r="O2748" s="284" t="e">
        <f>++Tabla4[[#This Row],[Utilidad Total]]/Tabla4[[#This Row],[Total]]</f>
        <v>#N/A</v>
      </c>
      <c r="P2748" s="282">
        <f>++Tabla4[[#This Row],[Precio Descontado]]*Tabla4[[#This Row],[Cantidad]]</f>
        <v>522.65119499999992</v>
      </c>
      <c r="Q2748" s="282" t="e">
        <f>(INDEX(Tabla6[#All],MATCH(Tabla4[[#This Row],[Producto]],Tabla6[[#All],[PRODUCTO]],0),MATCH(Tabla4[[#This Row],[Mes]],Tabla6[#Headers],0)))</f>
        <v>#N/A</v>
      </c>
      <c r="R2748" s="282" t="e">
        <f>++Tabla4[[#This Row],[Precio Unitario Neto]]-Tabla4[[#This Row],[20.85%]]-Tabla4[[#This Row],[Costo]]</f>
        <v>#N/A</v>
      </c>
      <c r="S2748" s="282" t="e">
        <f>++Tabla4[[#This Row],[U. Bruta Uni]]*Tabla4[[#This Row],[Cantidad]]</f>
        <v>#N/A</v>
      </c>
      <c r="T2748" s="369" t="str">
        <f>VLOOKUP(Tabla4[[#This Row],[Producto]],Tabla6[#All],14,FALSE)</f>
        <v>Termico Solar</v>
      </c>
      <c r="U2748" s="284" t="e">
        <f>(IF(Tabla4[[#This Row],[Familia]]="termico solar",Tabla4[[#This Row],[Utilidad Total]]*6%,Tabla4[[#This Row],[Utilidad Total]]*11.5%))/Tabla4[[#This Row],[Total]]</f>
        <v>#N/A</v>
      </c>
      <c r="V2748" s="282" t="e">
        <f>+Tabla4[[#This Row],[Comisión Calculada]]*Tabla4[[#This Row],[Total]]</f>
        <v>#N/A</v>
      </c>
    </row>
    <row r="2749" spans="1:22" hidden="1" x14ac:dyDescent="0.25">
      <c r="A2749" s="100">
        <v>45792</v>
      </c>
      <c r="B2749" t="str">
        <f t="shared" si="131"/>
        <v>May</v>
      </c>
      <c r="C2749" s="46" t="s">
        <v>280</v>
      </c>
      <c r="F2749" s="366" t="s">
        <v>1773</v>
      </c>
      <c r="G2749" s="46" t="s">
        <v>209</v>
      </c>
      <c r="H2749" s="46">
        <v>1</v>
      </c>
      <c r="I2749" s="51">
        <v>347.48</v>
      </c>
      <c r="J2749" s="281">
        <f>++Tabla4[[#This Row],[Precio Bruto]]*1.16</f>
        <v>403.07679999999999</v>
      </c>
      <c r="K2749" s="281">
        <f>+Tabla4[[#This Row],[Precio Unitario Neto]]*Tabla4[[#Headers],[20.85%]]</f>
        <v>84.041512799999992</v>
      </c>
      <c r="L2749" s="282">
        <f>++Tabla4[[#This Row],[Precio Unitario Neto]]-Tabla4[[#This Row],[20.85%]]</f>
        <v>319.03528719999997</v>
      </c>
      <c r="M2749" s="282" t="e">
        <f>(INDEX(Tabla6[#All],MATCH(Tabla4[[#This Row],[Producto]],Tabla6[[#All],[PRODUCTO]],0),MATCH(Tabla4[[#This Row],[Mes]],Tabla6[#Headers],0)))*(1+Catalogos!$L$2)</f>
        <v>#N/A</v>
      </c>
      <c r="N2749" s="283" t="e">
        <f>+(Tabla4[[#This Row],[Precio Descontado]]-Tabla4[[#This Row],[Precio Base]])*Tabla4[[#This Row],[Cantidad]]</f>
        <v>#N/A</v>
      </c>
      <c r="O2749" s="284" t="e">
        <f>++Tabla4[[#This Row],[Utilidad Total]]/Tabla4[[#This Row],[Total]]</f>
        <v>#N/A</v>
      </c>
      <c r="P2749" s="282">
        <f>++Tabla4[[#This Row],[Precio Descontado]]*Tabla4[[#This Row],[Cantidad]]</f>
        <v>319.03528719999997</v>
      </c>
      <c r="Q2749" s="282" t="e">
        <f>(INDEX(Tabla6[#All],MATCH(Tabla4[[#This Row],[Producto]],Tabla6[[#All],[PRODUCTO]],0),MATCH(Tabla4[[#This Row],[Mes]],Tabla6[#Headers],0)))</f>
        <v>#N/A</v>
      </c>
      <c r="R2749" s="282" t="e">
        <f>++Tabla4[[#This Row],[Precio Unitario Neto]]-Tabla4[[#This Row],[20.85%]]-Tabla4[[#This Row],[Costo]]</f>
        <v>#N/A</v>
      </c>
      <c r="S2749" s="282" t="e">
        <f>++Tabla4[[#This Row],[U. Bruta Uni]]*Tabla4[[#This Row],[Cantidad]]</f>
        <v>#N/A</v>
      </c>
      <c r="T2749" s="369" t="str">
        <f>VLOOKUP(Tabla4[[#This Row],[Producto]],Tabla6[#All],14,FALSE)</f>
        <v>Termico Solar</v>
      </c>
      <c r="U2749" s="284" t="e">
        <f>(IF(Tabla4[[#This Row],[Familia]]="termico solar",Tabla4[[#This Row],[Utilidad Total]]*6%,Tabla4[[#This Row],[Utilidad Total]]*11.5%))/Tabla4[[#This Row],[Total]]</f>
        <v>#N/A</v>
      </c>
      <c r="V2749" s="282" t="e">
        <f>+Tabla4[[#This Row],[Comisión Calculada]]*Tabla4[[#This Row],[Total]]</f>
        <v>#N/A</v>
      </c>
    </row>
    <row r="2750" spans="1:22" hidden="1" x14ac:dyDescent="0.25">
      <c r="A2750" s="100">
        <v>45792</v>
      </c>
      <c r="B2750" t="str">
        <f t="shared" si="131"/>
        <v>May</v>
      </c>
      <c r="C2750" s="46" t="s">
        <v>280</v>
      </c>
      <c r="F2750" s="366" t="s">
        <v>1774</v>
      </c>
      <c r="G2750" s="46" t="s">
        <v>18</v>
      </c>
      <c r="H2750" s="46">
        <v>1</v>
      </c>
      <c r="I2750" s="51">
        <v>5367.65</v>
      </c>
      <c r="J2750" s="281">
        <f>++Tabla4[[#This Row],[Precio Bruto]]*1.16</f>
        <v>6226.4739999999993</v>
      </c>
      <c r="K2750" s="281">
        <f>+Tabla4[[#This Row],[Precio Unitario Neto]]*Tabla4[[#Headers],[20.85%]]</f>
        <v>1298.2198289999999</v>
      </c>
      <c r="L2750" s="282">
        <f>++Tabla4[[#This Row],[Precio Unitario Neto]]-Tabla4[[#This Row],[20.85%]]</f>
        <v>4928.2541709999996</v>
      </c>
      <c r="M2750" s="282" t="e">
        <f>(INDEX(Tabla6[#All],MATCH(Tabla4[[#This Row],[Producto]],Tabla6[[#All],[PRODUCTO]],0),MATCH(Tabla4[[#This Row],[Mes]],Tabla6[#Headers],0)))*(1+Catalogos!$L$2)</f>
        <v>#N/A</v>
      </c>
      <c r="N2750" s="283" t="e">
        <f>+(Tabla4[[#This Row],[Precio Descontado]]-Tabla4[[#This Row],[Precio Base]])*Tabla4[[#This Row],[Cantidad]]</f>
        <v>#N/A</v>
      </c>
      <c r="O2750" s="284" t="e">
        <f>++Tabla4[[#This Row],[Utilidad Total]]/Tabla4[[#This Row],[Total]]</f>
        <v>#N/A</v>
      </c>
      <c r="P2750" s="282">
        <f>++Tabla4[[#This Row],[Precio Descontado]]*Tabla4[[#This Row],[Cantidad]]</f>
        <v>4928.2541709999996</v>
      </c>
      <c r="Q2750" s="282" t="e">
        <f>(INDEX(Tabla6[#All],MATCH(Tabla4[[#This Row],[Producto]],Tabla6[[#All],[PRODUCTO]],0),MATCH(Tabla4[[#This Row],[Mes]],Tabla6[#Headers],0)))</f>
        <v>#N/A</v>
      </c>
      <c r="R2750" s="282" t="e">
        <f>++Tabla4[[#This Row],[Precio Unitario Neto]]-Tabla4[[#This Row],[20.85%]]-Tabla4[[#This Row],[Costo]]</f>
        <v>#N/A</v>
      </c>
      <c r="S2750" s="282" t="e">
        <f>++Tabla4[[#This Row],[U. Bruta Uni]]*Tabla4[[#This Row],[Cantidad]]</f>
        <v>#N/A</v>
      </c>
      <c r="T2750" s="369" t="str">
        <f>VLOOKUP(Tabla4[[#This Row],[Producto]],Tabla6[#All],14,FALSE)</f>
        <v>Termico Solar</v>
      </c>
      <c r="U2750" s="284" t="e">
        <f>(IF(Tabla4[[#This Row],[Familia]]="termico solar",Tabla4[[#This Row],[Utilidad Total]]*6%,Tabla4[[#This Row],[Utilidad Total]]*11.5%))/Tabla4[[#This Row],[Total]]</f>
        <v>#N/A</v>
      </c>
      <c r="V2750" s="282" t="e">
        <f>+Tabla4[[#This Row],[Comisión Calculada]]*Tabla4[[#This Row],[Total]]</f>
        <v>#N/A</v>
      </c>
    </row>
    <row r="2751" spans="1:22" hidden="1" x14ac:dyDescent="0.25">
      <c r="A2751" s="100">
        <v>45792</v>
      </c>
      <c r="B2751" t="str">
        <f t="shared" si="131"/>
        <v>May</v>
      </c>
      <c r="C2751" s="46" t="s">
        <v>280</v>
      </c>
      <c r="F2751" s="366" t="s">
        <v>1774</v>
      </c>
      <c r="G2751" s="46" t="s">
        <v>208</v>
      </c>
      <c r="H2751" s="46">
        <v>4</v>
      </c>
      <c r="I2751" s="51">
        <v>189.75</v>
      </c>
      <c r="J2751" s="281">
        <f>++Tabla4[[#This Row],[Precio Bruto]]*1.16</f>
        <v>220.10999999999999</v>
      </c>
      <c r="K2751" s="281">
        <f>+Tabla4[[#This Row],[Precio Unitario Neto]]*Tabla4[[#Headers],[20.85%]]</f>
        <v>45.892934999999994</v>
      </c>
      <c r="L2751" s="282">
        <f>++Tabla4[[#This Row],[Precio Unitario Neto]]-Tabla4[[#This Row],[20.85%]]</f>
        <v>174.21706499999999</v>
      </c>
      <c r="M2751" s="282" t="e">
        <f>(INDEX(Tabla6[#All],MATCH(Tabla4[[#This Row],[Producto]],Tabla6[[#All],[PRODUCTO]],0),MATCH(Tabla4[[#This Row],[Mes]],Tabla6[#Headers],0)))*(1+Catalogos!$L$2)</f>
        <v>#N/A</v>
      </c>
      <c r="N2751" s="283" t="e">
        <f>+(Tabla4[[#This Row],[Precio Descontado]]-Tabla4[[#This Row],[Precio Base]])*Tabla4[[#This Row],[Cantidad]]</f>
        <v>#N/A</v>
      </c>
      <c r="O2751" s="284" t="e">
        <f>++Tabla4[[#This Row],[Utilidad Total]]/Tabla4[[#This Row],[Total]]</f>
        <v>#N/A</v>
      </c>
      <c r="P2751" s="282">
        <f>++Tabla4[[#This Row],[Precio Descontado]]*Tabla4[[#This Row],[Cantidad]]</f>
        <v>696.86825999999996</v>
      </c>
      <c r="Q2751" s="282" t="e">
        <f>(INDEX(Tabla6[#All],MATCH(Tabla4[[#This Row],[Producto]],Tabla6[[#All],[PRODUCTO]],0),MATCH(Tabla4[[#This Row],[Mes]],Tabla6[#Headers],0)))</f>
        <v>#N/A</v>
      </c>
      <c r="R2751" s="282" t="e">
        <f>++Tabla4[[#This Row],[Precio Unitario Neto]]-Tabla4[[#This Row],[20.85%]]-Tabla4[[#This Row],[Costo]]</f>
        <v>#N/A</v>
      </c>
      <c r="S2751" s="282" t="e">
        <f>++Tabla4[[#This Row],[U. Bruta Uni]]*Tabla4[[#This Row],[Cantidad]]</f>
        <v>#N/A</v>
      </c>
      <c r="T2751" s="369" t="str">
        <f>VLOOKUP(Tabla4[[#This Row],[Producto]],Tabla6[#All],14,FALSE)</f>
        <v>Termico Solar</v>
      </c>
      <c r="U2751" s="284" t="e">
        <f>(IF(Tabla4[[#This Row],[Familia]]="termico solar",Tabla4[[#This Row],[Utilidad Total]]*6%,Tabla4[[#This Row],[Utilidad Total]]*11.5%))/Tabla4[[#This Row],[Total]]</f>
        <v>#N/A</v>
      </c>
      <c r="V2751" s="282" t="e">
        <f>+Tabla4[[#This Row],[Comisión Calculada]]*Tabla4[[#This Row],[Total]]</f>
        <v>#N/A</v>
      </c>
    </row>
    <row r="2752" spans="1:22" hidden="1" x14ac:dyDescent="0.25">
      <c r="A2752" s="100">
        <v>45792</v>
      </c>
      <c r="B2752" t="str">
        <f t="shared" si="131"/>
        <v>May</v>
      </c>
      <c r="C2752" s="46" t="s">
        <v>280</v>
      </c>
      <c r="F2752" s="366" t="s">
        <v>1775</v>
      </c>
      <c r="G2752" s="46" t="s">
        <v>566</v>
      </c>
      <c r="H2752" s="46">
        <v>1</v>
      </c>
      <c r="I2752" s="51">
        <v>2109.4499999999998</v>
      </c>
      <c r="J2752" s="281">
        <f>++Tabla4[[#This Row],[Precio Bruto]]*1.16</f>
        <v>2446.9619999999995</v>
      </c>
      <c r="K2752" s="281">
        <f>+Tabla4[[#This Row],[Precio Unitario Neto]]*Tabla4[[#Headers],[20.85%]]</f>
        <v>510.19157699999988</v>
      </c>
      <c r="L2752" s="282">
        <f>++Tabla4[[#This Row],[Precio Unitario Neto]]-Tabla4[[#This Row],[20.85%]]</f>
        <v>1936.7704229999997</v>
      </c>
      <c r="M2752" s="282" t="e">
        <f>(INDEX(Tabla6[#All],MATCH(Tabla4[[#This Row],[Producto]],Tabla6[[#All],[PRODUCTO]],0),MATCH(Tabla4[[#This Row],[Mes]],Tabla6[#Headers],0)))*(1+Catalogos!$L$2)</f>
        <v>#N/A</v>
      </c>
      <c r="N2752" s="283" t="e">
        <f>+(Tabla4[[#This Row],[Precio Descontado]]-Tabla4[[#This Row],[Precio Base]])*Tabla4[[#This Row],[Cantidad]]</f>
        <v>#N/A</v>
      </c>
      <c r="O2752" s="284" t="e">
        <f>++Tabla4[[#This Row],[Utilidad Total]]/Tabla4[[#This Row],[Total]]</f>
        <v>#N/A</v>
      </c>
      <c r="P2752" s="282">
        <f>++Tabla4[[#This Row],[Precio Descontado]]*Tabla4[[#This Row],[Cantidad]]</f>
        <v>1936.7704229999997</v>
      </c>
      <c r="Q2752" s="282" t="e">
        <f>(INDEX(Tabla6[#All],MATCH(Tabla4[[#This Row],[Producto]],Tabla6[[#All],[PRODUCTO]],0),MATCH(Tabla4[[#This Row],[Mes]],Tabla6[#Headers],0)))</f>
        <v>#N/A</v>
      </c>
      <c r="R2752" s="282" t="e">
        <f>++Tabla4[[#This Row],[Precio Unitario Neto]]-Tabla4[[#This Row],[20.85%]]-Tabla4[[#This Row],[Costo]]</f>
        <v>#N/A</v>
      </c>
      <c r="S2752" s="282" t="e">
        <f>++Tabla4[[#This Row],[U. Bruta Uni]]*Tabla4[[#This Row],[Cantidad]]</f>
        <v>#N/A</v>
      </c>
      <c r="T2752" s="369" t="str">
        <f>VLOOKUP(Tabla4[[#This Row],[Producto]],Tabla6[#All],14,FALSE)</f>
        <v>Termico Solar</v>
      </c>
      <c r="U2752" s="284" t="e">
        <f>(IF(Tabla4[[#This Row],[Familia]]="termico solar",Tabla4[[#This Row],[Utilidad Total]]*6%,Tabla4[[#This Row],[Utilidad Total]]*11.5%))/Tabla4[[#This Row],[Total]]</f>
        <v>#N/A</v>
      </c>
      <c r="V2752" s="282" t="e">
        <f>+Tabla4[[#This Row],[Comisión Calculada]]*Tabla4[[#This Row],[Total]]</f>
        <v>#N/A</v>
      </c>
    </row>
    <row r="2753" spans="1:22" hidden="1" x14ac:dyDescent="0.25">
      <c r="A2753" s="100">
        <v>45792</v>
      </c>
      <c r="B2753" t="str">
        <f t="shared" si="131"/>
        <v>May</v>
      </c>
      <c r="C2753" s="46" t="s">
        <v>280</v>
      </c>
      <c r="F2753" s="366" t="s">
        <v>1775</v>
      </c>
      <c r="G2753" s="46" t="s">
        <v>208</v>
      </c>
      <c r="H2753" s="46">
        <v>1</v>
      </c>
      <c r="I2753" s="51">
        <v>189.75</v>
      </c>
      <c r="J2753" s="281">
        <f>++Tabla4[[#This Row],[Precio Bruto]]*1.16</f>
        <v>220.10999999999999</v>
      </c>
      <c r="K2753" s="281">
        <f>+Tabla4[[#This Row],[Precio Unitario Neto]]*Tabla4[[#Headers],[20.85%]]</f>
        <v>45.892934999999994</v>
      </c>
      <c r="L2753" s="282">
        <f>++Tabla4[[#This Row],[Precio Unitario Neto]]-Tabla4[[#This Row],[20.85%]]</f>
        <v>174.21706499999999</v>
      </c>
      <c r="M2753" s="282" t="e">
        <f>(INDEX(Tabla6[#All],MATCH(Tabla4[[#This Row],[Producto]],Tabla6[[#All],[PRODUCTO]],0),MATCH(Tabla4[[#This Row],[Mes]],Tabla6[#Headers],0)))*(1+Catalogos!$L$2)</f>
        <v>#N/A</v>
      </c>
      <c r="N2753" s="283" t="e">
        <f>+(Tabla4[[#This Row],[Precio Descontado]]-Tabla4[[#This Row],[Precio Base]])*Tabla4[[#This Row],[Cantidad]]</f>
        <v>#N/A</v>
      </c>
      <c r="O2753" s="284" t="e">
        <f>++Tabla4[[#This Row],[Utilidad Total]]/Tabla4[[#This Row],[Total]]</f>
        <v>#N/A</v>
      </c>
      <c r="P2753" s="282">
        <f>++Tabla4[[#This Row],[Precio Descontado]]*Tabla4[[#This Row],[Cantidad]]</f>
        <v>174.21706499999999</v>
      </c>
      <c r="Q2753" s="282" t="e">
        <f>(INDEX(Tabla6[#All],MATCH(Tabla4[[#This Row],[Producto]],Tabla6[[#All],[PRODUCTO]],0),MATCH(Tabla4[[#This Row],[Mes]],Tabla6[#Headers],0)))</f>
        <v>#N/A</v>
      </c>
      <c r="R2753" s="282" t="e">
        <f>++Tabla4[[#This Row],[Precio Unitario Neto]]-Tabla4[[#This Row],[20.85%]]-Tabla4[[#This Row],[Costo]]</f>
        <v>#N/A</v>
      </c>
      <c r="S2753" s="282" t="e">
        <f>++Tabla4[[#This Row],[U. Bruta Uni]]*Tabla4[[#This Row],[Cantidad]]</f>
        <v>#N/A</v>
      </c>
      <c r="T2753" s="369" t="str">
        <f>VLOOKUP(Tabla4[[#This Row],[Producto]],Tabla6[#All],14,FALSE)</f>
        <v>Termico Solar</v>
      </c>
      <c r="U2753" s="284" t="e">
        <f>(IF(Tabla4[[#This Row],[Familia]]="termico solar",Tabla4[[#This Row],[Utilidad Total]]*6%,Tabla4[[#This Row],[Utilidad Total]]*11.5%))/Tabla4[[#This Row],[Total]]</f>
        <v>#N/A</v>
      </c>
      <c r="V2753" s="282" t="e">
        <f>+Tabla4[[#This Row],[Comisión Calculada]]*Tabla4[[#This Row],[Total]]</f>
        <v>#N/A</v>
      </c>
    </row>
    <row r="2754" spans="1:22" hidden="1" x14ac:dyDescent="0.25">
      <c r="A2754" s="100">
        <v>45792</v>
      </c>
      <c r="B2754" t="str">
        <f t="shared" si="131"/>
        <v>May</v>
      </c>
      <c r="C2754" s="46" t="s">
        <v>280</v>
      </c>
      <c r="F2754" s="366" t="s">
        <v>1776</v>
      </c>
      <c r="G2754" s="46" t="s">
        <v>17</v>
      </c>
      <c r="H2754" s="46">
        <v>1</v>
      </c>
      <c r="I2754" s="51">
        <v>4622.28</v>
      </c>
      <c r="J2754" s="281">
        <f>++Tabla4[[#This Row],[Precio Bruto]]*1.16</f>
        <v>5361.8447999999989</v>
      </c>
      <c r="K2754" s="281">
        <f>+Tabla4[[#This Row],[Precio Unitario Neto]]*Tabla4[[#Headers],[20.85%]]</f>
        <v>1117.9446407999997</v>
      </c>
      <c r="L2754" s="282">
        <f>++Tabla4[[#This Row],[Precio Unitario Neto]]-Tabla4[[#This Row],[20.85%]]</f>
        <v>4243.9001591999995</v>
      </c>
      <c r="M2754" s="282" t="e">
        <f>(INDEX(Tabla6[#All],MATCH(Tabla4[[#This Row],[Producto]],Tabla6[[#All],[PRODUCTO]],0),MATCH(Tabla4[[#This Row],[Mes]],Tabla6[#Headers],0)))*(1+Catalogos!$L$2)</f>
        <v>#N/A</v>
      </c>
      <c r="N2754" s="283" t="e">
        <f>+(Tabla4[[#This Row],[Precio Descontado]]-Tabla4[[#This Row],[Precio Base]])*Tabla4[[#This Row],[Cantidad]]</f>
        <v>#N/A</v>
      </c>
      <c r="O2754" s="284" t="e">
        <f>++Tabla4[[#This Row],[Utilidad Total]]/Tabla4[[#This Row],[Total]]</f>
        <v>#N/A</v>
      </c>
      <c r="P2754" s="282">
        <f>++Tabla4[[#This Row],[Precio Descontado]]*Tabla4[[#This Row],[Cantidad]]</f>
        <v>4243.9001591999995</v>
      </c>
      <c r="Q2754" s="282" t="e">
        <f>(INDEX(Tabla6[#All],MATCH(Tabla4[[#This Row],[Producto]],Tabla6[[#All],[PRODUCTO]],0),MATCH(Tabla4[[#This Row],[Mes]],Tabla6[#Headers],0)))</f>
        <v>#N/A</v>
      </c>
      <c r="R2754" s="282" t="e">
        <f>++Tabla4[[#This Row],[Precio Unitario Neto]]-Tabla4[[#This Row],[20.85%]]-Tabla4[[#This Row],[Costo]]</f>
        <v>#N/A</v>
      </c>
      <c r="S2754" s="282" t="e">
        <f>++Tabla4[[#This Row],[U. Bruta Uni]]*Tabla4[[#This Row],[Cantidad]]</f>
        <v>#N/A</v>
      </c>
      <c r="T2754" s="369" t="str">
        <f>VLOOKUP(Tabla4[[#This Row],[Producto]],Tabla6[#All],14,FALSE)</f>
        <v>Termico Solar</v>
      </c>
      <c r="U2754" s="284" t="e">
        <f>(IF(Tabla4[[#This Row],[Familia]]="termico solar",Tabla4[[#This Row],[Utilidad Total]]*6%,Tabla4[[#This Row],[Utilidad Total]]*11.5%))/Tabla4[[#This Row],[Total]]</f>
        <v>#N/A</v>
      </c>
      <c r="V2754" s="282" t="e">
        <f>+Tabla4[[#This Row],[Comisión Calculada]]*Tabla4[[#This Row],[Total]]</f>
        <v>#N/A</v>
      </c>
    </row>
    <row r="2755" spans="1:22" hidden="1" x14ac:dyDescent="0.25">
      <c r="A2755" s="100">
        <v>45792</v>
      </c>
      <c r="B2755" t="str">
        <f t="shared" si="131"/>
        <v>May</v>
      </c>
      <c r="C2755" s="46" t="s">
        <v>280</v>
      </c>
      <c r="F2755" s="366" t="s">
        <v>1776</v>
      </c>
      <c r="G2755" s="46" t="s">
        <v>208</v>
      </c>
      <c r="H2755" s="46">
        <v>1</v>
      </c>
      <c r="I2755" s="51">
        <v>189.75</v>
      </c>
      <c r="J2755" s="281">
        <f>++Tabla4[[#This Row],[Precio Bruto]]*1.16</f>
        <v>220.10999999999999</v>
      </c>
      <c r="K2755" s="281">
        <f>+Tabla4[[#This Row],[Precio Unitario Neto]]*Tabla4[[#Headers],[20.85%]]</f>
        <v>45.892934999999994</v>
      </c>
      <c r="L2755" s="282">
        <f>++Tabla4[[#This Row],[Precio Unitario Neto]]-Tabla4[[#This Row],[20.85%]]</f>
        <v>174.21706499999999</v>
      </c>
      <c r="M2755" s="282" t="e">
        <f>(INDEX(Tabla6[#All],MATCH(Tabla4[[#This Row],[Producto]],Tabla6[[#All],[PRODUCTO]],0),MATCH(Tabla4[[#This Row],[Mes]],Tabla6[#Headers],0)))*(1+Catalogos!$L$2)</f>
        <v>#N/A</v>
      </c>
      <c r="N2755" s="283" t="e">
        <f>+(Tabla4[[#This Row],[Precio Descontado]]-Tabla4[[#This Row],[Precio Base]])*Tabla4[[#This Row],[Cantidad]]</f>
        <v>#N/A</v>
      </c>
      <c r="O2755" s="284" t="e">
        <f>++Tabla4[[#This Row],[Utilidad Total]]/Tabla4[[#This Row],[Total]]</f>
        <v>#N/A</v>
      </c>
      <c r="P2755" s="282">
        <f>++Tabla4[[#This Row],[Precio Descontado]]*Tabla4[[#This Row],[Cantidad]]</f>
        <v>174.21706499999999</v>
      </c>
      <c r="Q2755" s="282" t="e">
        <f>(INDEX(Tabla6[#All],MATCH(Tabla4[[#This Row],[Producto]],Tabla6[[#All],[PRODUCTO]],0),MATCH(Tabla4[[#This Row],[Mes]],Tabla6[#Headers],0)))</f>
        <v>#N/A</v>
      </c>
      <c r="R2755" s="282" t="e">
        <f>++Tabla4[[#This Row],[Precio Unitario Neto]]-Tabla4[[#This Row],[20.85%]]-Tabla4[[#This Row],[Costo]]</f>
        <v>#N/A</v>
      </c>
      <c r="S2755" s="282" t="e">
        <f>++Tabla4[[#This Row],[U. Bruta Uni]]*Tabla4[[#This Row],[Cantidad]]</f>
        <v>#N/A</v>
      </c>
      <c r="T2755" s="369" t="str">
        <f>VLOOKUP(Tabla4[[#This Row],[Producto]],Tabla6[#All],14,FALSE)</f>
        <v>Termico Solar</v>
      </c>
      <c r="U2755" s="284" t="e">
        <f>(IF(Tabla4[[#This Row],[Familia]]="termico solar",Tabla4[[#This Row],[Utilidad Total]]*6%,Tabla4[[#This Row],[Utilidad Total]]*11.5%))/Tabla4[[#This Row],[Total]]</f>
        <v>#N/A</v>
      </c>
      <c r="V2755" s="282" t="e">
        <f>+Tabla4[[#This Row],[Comisión Calculada]]*Tabla4[[#This Row],[Total]]</f>
        <v>#N/A</v>
      </c>
    </row>
    <row r="2756" spans="1:22" hidden="1" x14ac:dyDescent="0.25">
      <c r="A2756" s="100">
        <v>45792</v>
      </c>
      <c r="B2756" t="str">
        <f t="shared" si="131"/>
        <v>May</v>
      </c>
      <c r="C2756" s="46" t="s">
        <v>280</v>
      </c>
      <c r="F2756" s="366" t="s">
        <v>1777</v>
      </c>
      <c r="G2756" s="46" t="s">
        <v>19</v>
      </c>
      <c r="H2756" s="46">
        <v>1</v>
      </c>
      <c r="I2756" s="51">
        <v>6412.03</v>
      </c>
      <c r="J2756" s="281">
        <f>++Tabla4[[#This Row],[Precio Bruto]]*1.16</f>
        <v>7437.9547999999995</v>
      </c>
      <c r="K2756" s="281">
        <f>+Tabla4[[#This Row],[Precio Unitario Neto]]*Tabla4[[#Headers],[20.85%]]</f>
        <v>1550.8135757999999</v>
      </c>
      <c r="L2756" s="282">
        <f>++Tabla4[[#This Row],[Precio Unitario Neto]]-Tabla4[[#This Row],[20.85%]]</f>
        <v>5887.1412241999997</v>
      </c>
      <c r="M2756" s="282" t="e">
        <f>(INDEX(Tabla6[#All],MATCH(Tabla4[[#This Row],[Producto]],Tabla6[[#All],[PRODUCTO]],0),MATCH(Tabla4[[#This Row],[Mes]],Tabla6[#Headers],0)))*(1+Catalogos!$L$2)</f>
        <v>#N/A</v>
      </c>
      <c r="N2756" s="283" t="e">
        <f>+(Tabla4[[#This Row],[Precio Descontado]]-Tabla4[[#This Row],[Precio Base]])*Tabla4[[#This Row],[Cantidad]]</f>
        <v>#N/A</v>
      </c>
      <c r="O2756" s="284" t="e">
        <f>++Tabla4[[#This Row],[Utilidad Total]]/Tabla4[[#This Row],[Total]]</f>
        <v>#N/A</v>
      </c>
      <c r="P2756" s="282">
        <f>++Tabla4[[#This Row],[Precio Descontado]]*Tabla4[[#This Row],[Cantidad]]</f>
        <v>5887.1412241999997</v>
      </c>
      <c r="Q2756" s="282" t="e">
        <f>(INDEX(Tabla6[#All],MATCH(Tabla4[[#This Row],[Producto]],Tabla6[[#All],[PRODUCTO]],0),MATCH(Tabla4[[#This Row],[Mes]],Tabla6[#Headers],0)))</f>
        <v>#N/A</v>
      </c>
      <c r="R2756" s="282" t="e">
        <f>++Tabla4[[#This Row],[Precio Unitario Neto]]-Tabla4[[#This Row],[20.85%]]-Tabla4[[#This Row],[Costo]]</f>
        <v>#N/A</v>
      </c>
      <c r="S2756" s="282" t="e">
        <f>++Tabla4[[#This Row],[U. Bruta Uni]]*Tabla4[[#This Row],[Cantidad]]</f>
        <v>#N/A</v>
      </c>
      <c r="T2756" s="369" t="str">
        <f>VLOOKUP(Tabla4[[#This Row],[Producto]],Tabla6[#All],14,FALSE)</f>
        <v>Termico Solar</v>
      </c>
      <c r="U2756" s="284" t="e">
        <f>(IF(Tabla4[[#This Row],[Familia]]="termico solar",Tabla4[[#This Row],[Utilidad Total]]*6%,Tabla4[[#This Row],[Utilidad Total]]*11.5%))/Tabla4[[#This Row],[Total]]</f>
        <v>#N/A</v>
      </c>
      <c r="V2756" s="282" t="e">
        <f>+Tabla4[[#This Row],[Comisión Calculada]]*Tabla4[[#This Row],[Total]]</f>
        <v>#N/A</v>
      </c>
    </row>
    <row r="2757" spans="1:22" hidden="1" x14ac:dyDescent="0.25">
      <c r="A2757" s="100">
        <v>45792</v>
      </c>
      <c r="B2757" t="str">
        <f t="shared" si="131"/>
        <v>May</v>
      </c>
      <c r="C2757" s="46" t="s">
        <v>280</v>
      </c>
      <c r="F2757" s="366" t="s">
        <v>1777</v>
      </c>
      <c r="G2757" s="46" t="s">
        <v>208</v>
      </c>
      <c r="H2757" s="46">
        <v>1</v>
      </c>
      <c r="I2757" s="51">
        <v>189.75</v>
      </c>
      <c r="J2757" s="281">
        <f>++Tabla4[[#This Row],[Precio Bruto]]*1.16</f>
        <v>220.10999999999999</v>
      </c>
      <c r="K2757" s="281">
        <f>+Tabla4[[#This Row],[Precio Unitario Neto]]*Tabla4[[#Headers],[20.85%]]</f>
        <v>45.892934999999994</v>
      </c>
      <c r="L2757" s="282">
        <f>++Tabla4[[#This Row],[Precio Unitario Neto]]-Tabla4[[#This Row],[20.85%]]</f>
        <v>174.21706499999999</v>
      </c>
      <c r="M2757" s="282" t="e">
        <f>(INDEX(Tabla6[#All],MATCH(Tabla4[[#This Row],[Producto]],Tabla6[[#All],[PRODUCTO]],0),MATCH(Tabla4[[#This Row],[Mes]],Tabla6[#Headers],0)))*(1+Catalogos!$L$2)</f>
        <v>#N/A</v>
      </c>
      <c r="N2757" s="283" t="e">
        <f>+(Tabla4[[#This Row],[Precio Descontado]]-Tabla4[[#This Row],[Precio Base]])*Tabla4[[#This Row],[Cantidad]]</f>
        <v>#N/A</v>
      </c>
      <c r="O2757" s="284" t="e">
        <f>++Tabla4[[#This Row],[Utilidad Total]]/Tabla4[[#This Row],[Total]]</f>
        <v>#N/A</v>
      </c>
      <c r="P2757" s="282">
        <f>++Tabla4[[#This Row],[Precio Descontado]]*Tabla4[[#This Row],[Cantidad]]</f>
        <v>174.21706499999999</v>
      </c>
      <c r="Q2757" s="282" t="e">
        <f>(INDEX(Tabla6[#All],MATCH(Tabla4[[#This Row],[Producto]],Tabla6[[#All],[PRODUCTO]],0),MATCH(Tabla4[[#This Row],[Mes]],Tabla6[#Headers],0)))</f>
        <v>#N/A</v>
      </c>
      <c r="R2757" s="282" t="e">
        <f>++Tabla4[[#This Row],[Precio Unitario Neto]]-Tabla4[[#This Row],[20.85%]]-Tabla4[[#This Row],[Costo]]</f>
        <v>#N/A</v>
      </c>
      <c r="S2757" s="282" t="e">
        <f>++Tabla4[[#This Row],[U. Bruta Uni]]*Tabla4[[#This Row],[Cantidad]]</f>
        <v>#N/A</v>
      </c>
      <c r="T2757" s="369" t="str">
        <f>VLOOKUP(Tabla4[[#This Row],[Producto]],Tabla6[#All],14,FALSE)</f>
        <v>Termico Solar</v>
      </c>
      <c r="U2757" s="284" t="e">
        <f>(IF(Tabla4[[#This Row],[Familia]]="termico solar",Tabla4[[#This Row],[Utilidad Total]]*6%,Tabla4[[#This Row],[Utilidad Total]]*11.5%))/Tabla4[[#This Row],[Total]]</f>
        <v>#N/A</v>
      </c>
      <c r="V2757" s="282" t="e">
        <f>+Tabla4[[#This Row],[Comisión Calculada]]*Tabla4[[#This Row],[Total]]</f>
        <v>#N/A</v>
      </c>
    </row>
    <row r="2758" spans="1:22" hidden="1" x14ac:dyDescent="0.25">
      <c r="A2758" s="100">
        <v>45792</v>
      </c>
      <c r="B2758" t="str">
        <f t="shared" si="131"/>
        <v>May</v>
      </c>
      <c r="C2758" s="46" t="s">
        <v>280</v>
      </c>
      <c r="F2758" s="366" t="s">
        <v>1778</v>
      </c>
      <c r="G2758" s="46" t="s">
        <v>17</v>
      </c>
      <c r="H2758" s="46">
        <v>2</v>
      </c>
      <c r="I2758" s="51">
        <v>4622.28</v>
      </c>
      <c r="J2758" s="281">
        <f>++Tabla4[[#This Row],[Precio Bruto]]*1.16</f>
        <v>5361.8447999999989</v>
      </c>
      <c r="K2758" s="281">
        <f>+Tabla4[[#This Row],[Precio Unitario Neto]]*Tabla4[[#Headers],[20.85%]]</f>
        <v>1117.9446407999997</v>
      </c>
      <c r="L2758" s="282">
        <f>++Tabla4[[#This Row],[Precio Unitario Neto]]-Tabla4[[#This Row],[20.85%]]</f>
        <v>4243.9001591999995</v>
      </c>
      <c r="M2758" s="282" t="e">
        <f>(INDEX(Tabla6[#All],MATCH(Tabla4[[#This Row],[Producto]],Tabla6[[#All],[PRODUCTO]],0),MATCH(Tabla4[[#This Row],[Mes]],Tabla6[#Headers],0)))*(1+Catalogos!$L$2)</f>
        <v>#N/A</v>
      </c>
      <c r="N2758" s="283" t="e">
        <f>+(Tabla4[[#This Row],[Precio Descontado]]-Tabla4[[#This Row],[Precio Base]])*Tabla4[[#This Row],[Cantidad]]</f>
        <v>#N/A</v>
      </c>
      <c r="O2758" s="284" t="e">
        <f>++Tabla4[[#This Row],[Utilidad Total]]/Tabla4[[#This Row],[Total]]</f>
        <v>#N/A</v>
      </c>
      <c r="P2758" s="282">
        <f>++Tabla4[[#This Row],[Precio Descontado]]*Tabla4[[#This Row],[Cantidad]]</f>
        <v>8487.800318399999</v>
      </c>
      <c r="Q2758" s="282" t="e">
        <f>(INDEX(Tabla6[#All],MATCH(Tabla4[[#This Row],[Producto]],Tabla6[[#All],[PRODUCTO]],0),MATCH(Tabla4[[#This Row],[Mes]],Tabla6[#Headers],0)))</f>
        <v>#N/A</v>
      </c>
      <c r="R2758" s="282" t="e">
        <f>++Tabla4[[#This Row],[Precio Unitario Neto]]-Tabla4[[#This Row],[20.85%]]-Tabla4[[#This Row],[Costo]]</f>
        <v>#N/A</v>
      </c>
      <c r="S2758" s="282" t="e">
        <f>++Tabla4[[#This Row],[U. Bruta Uni]]*Tabla4[[#This Row],[Cantidad]]</f>
        <v>#N/A</v>
      </c>
      <c r="T2758" s="369" t="str">
        <f>VLOOKUP(Tabla4[[#This Row],[Producto]],Tabla6[#All],14,FALSE)</f>
        <v>Termico Solar</v>
      </c>
      <c r="U2758" s="284" t="e">
        <f>(IF(Tabla4[[#This Row],[Familia]]="termico solar",Tabla4[[#This Row],[Utilidad Total]]*6%,Tabla4[[#This Row],[Utilidad Total]]*11.5%))/Tabla4[[#This Row],[Total]]</f>
        <v>#N/A</v>
      </c>
      <c r="V2758" s="282" t="e">
        <f>+Tabla4[[#This Row],[Comisión Calculada]]*Tabla4[[#This Row],[Total]]</f>
        <v>#N/A</v>
      </c>
    </row>
    <row r="2759" spans="1:22" hidden="1" x14ac:dyDescent="0.25">
      <c r="A2759" s="100">
        <v>45792</v>
      </c>
      <c r="B2759" t="str">
        <f t="shared" si="131"/>
        <v>May</v>
      </c>
      <c r="C2759" s="46" t="s">
        <v>280</v>
      </c>
      <c r="F2759" s="366" t="s">
        <v>1778</v>
      </c>
      <c r="G2759" s="46" t="s">
        <v>566</v>
      </c>
      <c r="H2759" s="46">
        <v>1</v>
      </c>
      <c r="I2759" s="51">
        <v>2109.4499999999998</v>
      </c>
      <c r="J2759" s="281">
        <f>++Tabla4[[#This Row],[Precio Bruto]]*1.16</f>
        <v>2446.9619999999995</v>
      </c>
      <c r="K2759" s="281">
        <f>+Tabla4[[#This Row],[Precio Unitario Neto]]*Tabla4[[#Headers],[20.85%]]</f>
        <v>510.19157699999988</v>
      </c>
      <c r="L2759" s="282">
        <f>++Tabla4[[#This Row],[Precio Unitario Neto]]-Tabla4[[#This Row],[20.85%]]</f>
        <v>1936.7704229999997</v>
      </c>
      <c r="M2759" s="282" t="e">
        <f>(INDEX(Tabla6[#All],MATCH(Tabla4[[#This Row],[Producto]],Tabla6[[#All],[PRODUCTO]],0),MATCH(Tabla4[[#This Row],[Mes]],Tabla6[#Headers],0)))*(1+Catalogos!$L$2)</f>
        <v>#N/A</v>
      </c>
      <c r="N2759" s="283" t="e">
        <f>+(Tabla4[[#This Row],[Precio Descontado]]-Tabla4[[#This Row],[Precio Base]])*Tabla4[[#This Row],[Cantidad]]</f>
        <v>#N/A</v>
      </c>
      <c r="O2759" s="284" t="e">
        <f>++Tabla4[[#This Row],[Utilidad Total]]/Tabla4[[#This Row],[Total]]</f>
        <v>#N/A</v>
      </c>
      <c r="P2759" s="282">
        <f>++Tabla4[[#This Row],[Precio Descontado]]*Tabla4[[#This Row],[Cantidad]]</f>
        <v>1936.7704229999997</v>
      </c>
      <c r="Q2759" s="282" t="e">
        <f>(INDEX(Tabla6[#All],MATCH(Tabla4[[#This Row],[Producto]],Tabla6[[#All],[PRODUCTO]],0),MATCH(Tabla4[[#This Row],[Mes]],Tabla6[#Headers],0)))</f>
        <v>#N/A</v>
      </c>
      <c r="R2759" s="282" t="e">
        <f>++Tabla4[[#This Row],[Precio Unitario Neto]]-Tabla4[[#This Row],[20.85%]]-Tabla4[[#This Row],[Costo]]</f>
        <v>#N/A</v>
      </c>
      <c r="S2759" s="282" t="e">
        <f>++Tabla4[[#This Row],[U. Bruta Uni]]*Tabla4[[#This Row],[Cantidad]]</f>
        <v>#N/A</v>
      </c>
      <c r="T2759" s="369" t="str">
        <f>VLOOKUP(Tabla4[[#This Row],[Producto]],Tabla6[#All],14,FALSE)</f>
        <v>Termico Solar</v>
      </c>
      <c r="U2759" s="284" t="e">
        <f>(IF(Tabla4[[#This Row],[Familia]]="termico solar",Tabla4[[#This Row],[Utilidad Total]]*6%,Tabla4[[#This Row],[Utilidad Total]]*11.5%))/Tabla4[[#This Row],[Total]]</f>
        <v>#N/A</v>
      </c>
      <c r="V2759" s="282" t="e">
        <f>+Tabla4[[#This Row],[Comisión Calculada]]*Tabla4[[#This Row],[Total]]</f>
        <v>#N/A</v>
      </c>
    </row>
    <row r="2760" spans="1:22" hidden="1" x14ac:dyDescent="0.25">
      <c r="A2760" s="100">
        <v>45792</v>
      </c>
      <c r="B2760" t="str">
        <f t="shared" ref="B2760:B2791" si="132">TEXT(A2760, "mmmm")</f>
        <v>May</v>
      </c>
      <c r="C2760" s="46" t="s">
        <v>280</v>
      </c>
      <c r="F2760" s="366" t="s">
        <v>1779</v>
      </c>
      <c r="G2760" s="46" t="s">
        <v>566</v>
      </c>
      <c r="H2760" s="46">
        <v>1</v>
      </c>
      <c r="I2760" s="51">
        <v>2109.4499999999998</v>
      </c>
      <c r="J2760" s="281">
        <f>++Tabla4[[#This Row],[Precio Bruto]]*1.16</f>
        <v>2446.9619999999995</v>
      </c>
      <c r="K2760" s="281">
        <f>+Tabla4[[#This Row],[Precio Unitario Neto]]*Tabla4[[#Headers],[20.85%]]</f>
        <v>510.19157699999988</v>
      </c>
      <c r="L2760" s="282">
        <f>++Tabla4[[#This Row],[Precio Unitario Neto]]-Tabla4[[#This Row],[20.85%]]</f>
        <v>1936.7704229999997</v>
      </c>
      <c r="M2760" s="282" t="e">
        <f>(INDEX(Tabla6[#All],MATCH(Tabla4[[#This Row],[Producto]],Tabla6[[#All],[PRODUCTO]],0),MATCH(Tabla4[[#This Row],[Mes]],Tabla6[#Headers],0)))*(1+Catalogos!$L$2)</f>
        <v>#N/A</v>
      </c>
      <c r="N2760" s="283" t="e">
        <f>+(Tabla4[[#This Row],[Precio Descontado]]-Tabla4[[#This Row],[Precio Base]])*Tabla4[[#This Row],[Cantidad]]</f>
        <v>#N/A</v>
      </c>
      <c r="O2760" s="284" t="e">
        <f>++Tabla4[[#This Row],[Utilidad Total]]/Tabla4[[#This Row],[Total]]</f>
        <v>#N/A</v>
      </c>
      <c r="P2760" s="282">
        <f>++Tabla4[[#This Row],[Precio Descontado]]*Tabla4[[#This Row],[Cantidad]]</f>
        <v>1936.7704229999997</v>
      </c>
      <c r="Q2760" s="282" t="e">
        <f>(INDEX(Tabla6[#All],MATCH(Tabla4[[#This Row],[Producto]],Tabla6[[#All],[PRODUCTO]],0),MATCH(Tabla4[[#This Row],[Mes]],Tabla6[#Headers],0)))</f>
        <v>#N/A</v>
      </c>
      <c r="R2760" s="282" t="e">
        <f>++Tabla4[[#This Row],[Precio Unitario Neto]]-Tabla4[[#This Row],[20.85%]]-Tabla4[[#This Row],[Costo]]</f>
        <v>#N/A</v>
      </c>
      <c r="S2760" s="282" t="e">
        <f>++Tabla4[[#This Row],[U. Bruta Uni]]*Tabla4[[#This Row],[Cantidad]]</f>
        <v>#N/A</v>
      </c>
      <c r="T2760" s="369" t="str">
        <f>VLOOKUP(Tabla4[[#This Row],[Producto]],Tabla6[#All],14,FALSE)</f>
        <v>Termico Solar</v>
      </c>
      <c r="U2760" s="284" t="e">
        <f>(IF(Tabla4[[#This Row],[Familia]]="termico solar",Tabla4[[#This Row],[Utilidad Total]]*6%,Tabla4[[#This Row],[Utilidad Total]]*11.5%))/Tabla4[[#This Row],[Total]]</f>
        <v>#N/A</v>
      </c>
      <c r="V2760" s="282" t="e">
        <f>+Tabla4[[#This Row],[Comisión Calculada]]*Tabla4[[#This Row],[Total]]</f>
        <v>#N/A</v>
      </c>
    </row>
    <row r="2761" spans="1:22" hidden="1" x14ac:dyDescent="0.25">
      <c r="A2761" s="100">
        <v>45792</v>
      </c>
      <c r="B2761" t="str">
        <f t="shared" si="132"/>
        <v>May</v>
      </c>
      <c r="C2761" s="46" t="s">
        <v>280</v>
      </c>
      <c r="F2761" s="366" t="s">
        <v>1779</v>
      </c>
      <c r="G2761" s="46" t="s">
        <v>16</v>
      </c>
      <c r="H2761" s="46">
        <v>1</v>
      </c>
      <c r="I2761" s="51">
        <v>4103.8500000000004</v>
      </c>
      <c r="J2761" s="281">
        <f>++Tabla4[[#This Row],[Precio Bruto]]*1.16</f>
        <v>4760.4660000000003</v>
      </c>
      <c r="K2761" s="281">
        <f>+Tabla4[[#This Row],[Precio Unitario Neto]]*Tabla4[[#Headers],[20.85%]]</f>
        <v>992.55716100000006</v>
      </c>
      <c r="L2761" s="282">
        <f>++Tabla4[[#This Row],[Precio Unitario Neto]]-Tabla4[[#This Row],[20.85%]]</f>
        <v>3767.9088390000002</v>
      </c>
      <c r="M2761" s="282" t="e">
        <f>(INDEX(Tabla6[#All],MATCH(Tabla4[[#This Row],[Producto]],Tabla6[[#All],[PRODUCTO]],0),MATCH(Tabla4[[#This Row],[Mes]],Tabla6[#Headers],0)))*(1+Catalogos!$L$2)</f>
        <v>#N/A</v>
      </c>
      <c r="N2761" s="283" t="e">
        <f>+(Tabla4[[#This Row],[Precio Descontado]]-Tabla4[[#This Row],[Precio Base]])*Tabla4[[#This Row],[Cantidad]]</f>
        <v>#N/A</v>
      </c>
      <c r="O2761" s="284" t="e">
        <f>++Tabla4[[#This Row],[Utilidad Total]]/Tabla4[[#This Row],[Total]]</f>
        <v>#N/A</v>
      </c>
      <c r="P2761" s="282">
        <f>++Tabla4[[#This Row],[Precio Descontado]]*Tabla4[[#This Row],[Cantidad]]</f>
        <v>3767.9088390000002</v>
      </c>
      <c r="Q2761" s="282" t="e">
        <f>(INDEX(Tabla6[#All],MATCH(Tabla4[[#This Row],[Producto]],Tabla6[[#All],[PRODUCTO]],0),MATCH(Tabla4[[#This Row],[Mes]],Tabla6[#Headers],0)))</f>
        <v>#N/A</v>
      </c>
      <c r="R2761" s="282" t="e">
        <f>++Tabla4[[#This Row],[Precio Unitario Neto]]-Tabla4[[#This Row],[20.85%]]-Tabla4[[#This Row],[Costo]]</f>
        <v>#N/A</v>
      </c>
      <c r="S2761" s="282" t="e">
        <f>++Tabla4[[#This Row],[U. Bruta Uni]]*Tabla4[[#This Row],[Cantidad]]</f>
        <v>#N/A</v>
      </c>
      <c r="T2761" s="369" t="str">
        <f>VLOOKUP(Tabla4[[#This Row],[Producto]],Tabla6[#All],14,FALSE)</f>
        <v>Termico Solar</v>
      </c>
      <c r="U2761" s="284" t="e">
        <f>(IF(Tabla4[[#This Row],[Familia]]="termico solar",Tabla4[[#This Row],[Utilidad Total]]*6%,Tabla4[[#This Row],[Utilidad Total]]*11.5%))/Tabla4[[#This Row],[Total]]</f>
        <v>#N/A</v>
      </c>
      <c r="V2761" s="282" t="e">
        <f>+Tabla4[[#This Row],[Comisión Calculada]]*Tabla4[[#This Row],[Total]]</f>
        <v>#N/A</v>
      </c>
    </row>
    <row r="2762" spans="1:22" hidden="1" x14ac:dyDescent="0.25">
      <c r="A2762" s="100">
        <v>45792</v>
      </c>
      <c r="B2762" t="str">
        <f t="shared" si="132"/>
        <v>May</v>
      </c>
      <c r="C2762" s="46" t="s">
        <v>280</v>
      </c>
      <c r="F2762" s="366" t="s">
        <v>1780</v>
      </c>
      <c r="G2762" s="46" t="s">
        <v>83</v>
      </c>
      <c r="H2762" s="46">
        <v>2</v>
      </c>
      <c r="I2762" s="51">
        <v>8858.76</v>
      </c>
      <c r="J2762" s="281">
        <f>++Tabla4[[#This Row],[Precio Bruto]]*1.16</f>
        <v>10276.161599999999</v>
      </c>
      <c r="K2762" s="281">
        <f>+Tabla4[[#This Row],[Precio Unitario Neto]]*Tabla4[[#Headers],[20.85%]]</f>
        <v>2142.5796935999997</v>
      </c>
      <c r="L2762" s="282">
        <f>++Tabla4[[#This Row],[Precio Unitario Neto]]-Tabla4[[#This Row],[20.85%]]</f>
        <v>8133.5819063999998</v>
      </c>
      <c r="M2762" s="282" t="e">
        <f>(INDEX(Tabla6[#All],MATCH(Tabla4[[#This Row],[Producto]],Tabla6[[#All],[PRODUCTO]],0),MATCH(Tabla4[[#This Row],[Mes]],Tabla6[#Headers],0)))*(1+Catalogos!$L$2)</f>
        <v>#N/A</v>
      </c>
      <c r="N2762" s="283" t="e">
        <f>+(Tabla4[[#This Row],[Precio Descontado]]-Tabla4[[#This Row],[Precio Base]])*Tabla4[[#This Row],[Cantidad]]</f>
        <v>#N/A</v>
      </c>
      <c r="O2762" s="284" t="e">
        <f>++Tabla4[[#This Row],[Utilidad Total]]/Tabla4[[#This Row],[Total]]</f>
        <v>#N/A</v>
      </c>
      <c r="P2762" s="282">
        <f>++Tabla4[[#This Row],[Precio Descontado]]*Tabla4[[#This Row],[Cantidad]]</f>
        <v>16267.1638128</v>
      </c>
      <c r="Q2762" s="282" t="e">
        <f>(INDEX(Tabla6[#All],MATCH(Tabla4[[#This Row],[Producto]],Tabla6[[#All],[PRODUCTO]],0),MATCH(Tabla4[[#This Row],[Mes]],Tabla6[#Headers],0)))</f>
        <v>#N/A</v>
      </c>
      <c r="R2762" s="282" t="e">
        <f>++Tabla4[[#This Row],[Precio Unitario Neto]]-Tabla4[[#This Row],[20.85%]]-Tabla4[[#This Row],[Costo]]</f>
        <v>#N/A</v>
      </c>
      <c r="S2762" s="282" t="e">
        <f>++Tabla4[[#This Row],[U. Bruta Uni]]*Tabla4[[#This Row],[Cantidad]]</f>
        <v>#N/A</v>
      </c>
      <c r="T2762" s="369" t="str">
        <f>VLOOKUP(Tabla4[[#This Row],[Producto]],Tabla6[#All],14,FALSE)</f>
        <v>Termico Solar</v>
      </c>
      <c r="U2762" s="284" t="e">
        <f>(IF(Tabla4[[#This Row],[Familia]]="termico solar",Tabla4[[#This Row],[Utilidad Total]]*6%,Tabla4[[#This Row],[Utilidad Total]]*11.5%))/Tabla4[[#This Row],[Total]]</f>
        <v>#N/A</v>
      </c>
      <c r="V2762" s="282" t="e">
        <f>+Tabla4[[#This Row],[Comisión Calculada]]*Tabla4[[#This Row],[Total]]</f>
        <v>#N/A</v>
      </c>
    </row>
    <row r="2763" spans="1:22" hidden="1" x14ac:dyDescent="0.25">
      <c r="A2763" s="100">
        <v>45792</v>
      </c>
      <c r="B2763" t="str">
        <f t="shared" si="132"/>
        <v>May</v>
      </c>
      <c r="C2763" s="46" t="s">
        <v>280</v>
      </c>
      <c r="F2763" s="366" t="s">
        <v>1781</v>
      </c>
      <c r="G2763" s="46" t="s">
        <v>18</v>
      </c>
      <c r="H2763" s="46">
        <v>2</v>
      </c>
      <c r="I2763" s="51">
        <v>5367.65</v>
      </c>
      <c r="J2763" s="281">
        <f>++Tabla4[[#This Row],[Precio Bruto]]*1.16</f>
        <v>6226.4739999999993</v>
      </c>
      <c r="K2763" s="281">
        <f>+Tabla4[[#This Row],[Precio Unitario Neto]]*Tabla4[[#Headers],[20.85%]]</f>
        <v>1298.2198289999999</v>
      </c>
      <c r="L2763" s="282">
        <f>++Tabla4[[#This Row],[Precio Unitario Neto]]-Tabla4[[#This Row],[20.85%]]</f>
        <v>4928.2541709999996</v>
      </c>
      <c r="M2763" s="282" t="e">
        <f>(INDEX(Tabla6[#All],MATCH(Tabla4[[#This Row],[Producto]],Tabla6[[#All],[PRODUCTO]],0),MATCH(Tabla4[[#This Row],[Mes]],Tabla6[#Headers],0)))*(1+Catalogos!$L$2)</f>
        <v>#N/A</v>
      </c>
      <c r="N2763" s="283" t="e">
        <f>+(Tabla4[[#This Row],[Precio Descontado]]-Tabla4[[#This Row],[Precio Base]])*Tabla4[[#This Row],[Cantidad]]</f>
        <v>#N/A</v>
      </c>
      <c r="O2763" s="284" t="e">
        <f>++Tabla4[[#This Row],[Utilidad Total]]/Tabla4[[#This Row],[Total]]</f>
        <v>#N/A</v>
      </c>
      <c r="P2763" s="282">
        <f>++Tabla4[[#This Row],[Precio Descontado]]*Tabla4[[#This Row],[Cantidad]]</f>
        <v>9856.5083419999992</v>
      </c>
      <c r="Q2763" s="282" t="e">
        <f>(INDEX(Tabla6[#All],MATCH(Tabla4[[#This Row],[Producto]],Tabla6[[#All],[PRODUCTO]],0),MATCH(Tabla4[[#This Row],[Mes]],Tabla6[#Headers],0)))</f>
        <v>#N/A</v>
      </c>
      <c r="R2763" s="282" t="e">
        <f>++Tabla4[[#This Row],[Precio Unitario Neto]]-Tabla4[[#This Row],[20.85%]]-Tabla4[[#This Row],[Costo]]</f>
        <v>#N/A</v>
      </c>
      <c r="S2763" s="282" t="e">
        <f>++Tabla4[[#This Row],[U. Bruta Uni]]*Tabla4[[#This Row],[Cantidad]]</f>
        <v>#N/A</v>
      </c>
      <c r="T2763" s="369" t="str">
        <f>VLOOKUP(Tabla4[[#This Row],[Producto]],Tabla6[#All],14,FALSE)</f>
        <v>Termico Solar</v>
      </c>
      <c r="U2763" s="284" t="e">
        <f>(IF(Tabla4[[#This Row],[Familia]]="termico solar",Tabla4[[#This Row],[Utilidad Total]]*6%,Tabla4[[#This Row],[Utilidad Total]]*11.5%))/Tabla4[[#This Row],[Total]]</f>
        <v>#N/A</v>
      </c>
      <c r="V2763" s="282" t="e">
        <f>+Tabla4[[#This Row],[Comisión Calculada]]*Tabla4[[#This Row],[Total]]</f>
        <v>#N/A</v>
      </c>
    </row>
    <row r="2764" spans="1:22" hidden="1" x14ac:dyDescent="0.25">
      <c r="A2764" s="100">
        <v>45792</v>
      </c>
      <c r="B2764" t="str">
        <f t="shared" si="132"/>
        <v>May</v>
      </c>
      <c r="C2764" s="46" t="s">
        <v>280</v>
      </c>
      <c r="F2764" s="366" t="s">
        <v>1782</v>
      </c>
      <c r="G2764" s="46" t="s">
        <v>19</v>
      </c>
      <c r="H2764" s="46">
        <v>1</v>
      </c>
      <c r="I2764" s="51">
        <v>6412.03</v>
      </c>
      <c r="J2764" s="281">
        <f>++Tabla4[[#This Row],[Precio Bruto]]*1.16</f>
        <v>7437.9547999999995</v>
      </c>
      <c r="K2764" s="281">
        <f>+Tabla4[[#This Row],[Precio Unitario Neto]]*Tabla4[[#Headers],[20.85%]]</f>
        <v>1550.8135757999999</v>
      </c>
      <c r="L2764" s="282">
        <f>++Tabla4[[#This Row],[Precio Unitario Neto]]-Tabla4[[#This Row],[20.85%]]</f>
        <v>5887.1412241999997</v>
      </c>
      <c r="M2764" s="282" t="e">
        <f>(INDEX(Tabla6[#All],MATCH(Tabla4[[#This Row],[Producto]],Tabla6[[#All],[PRODUCTO]],0),MATCH(Tabla4[[#This Row],[Mes]],Tabla6[#Headers],0)))*(1+Catalogos!$L$2)</f>
        <v>#N/A</v>
      </c>
      <c r="N2764" s="283" t="e">
        <f>+(Tabla4[[#This Row],[Precio Descontado]]-Tabla4[[#This Row],[Precio Base]])*Tabla4[[#This Row],[Cantidad]]</f>
        <v>#N/A</v>
      </c>
      <c r="O2764" s="284" t="e">
        <f>++Tabla4[[#This Row],[Utilidad Total]]/Tabla4[[#This Row],[Total]]</f>
        <v>#N/A</v>
      </c>
      <c r="P2764" s="282">
        <f>++Tabla4[[#This Row],[Precio Descontado]]*Tabla4[[#This Row],[Cantidad]]</f>
        <v>5887.1412241999997</v>
      </c>
      <c r="Q2764" s="282" t="e">
        <f>(INDEX(Tabla6[#All],MATCH(Tabla4[[#This Row],[Producto]],Tabla6[[#All],[PRODUCTO]],0),MATCH(Tabla4[[#This Row],[Mes]],Tabla6[#Headers],0)))</f>
        <v>#N/A</v>
      </c>
      <c r="R2764" s="282" t="e">
        <f>++Tabla4[[#This Row],[Precio Unitario Neto]]-Tabla4[[#This Row],[20.85%]]-Tabla4[[#This Row],[Costo]]</f>
        <v>#N/A</v>
      </c>
      <c r="S2764" s="282" t="e">
        <f>++Tabla4[[#This Row],[U. Bruta Uni]]*Tabla4[[#This Row],[Cantidad]]</f>
        <v>#N/A</v>
      </c>
      <c r="T2764" s="369" t="str">
        <f>VLOOKUP(Tabla4[[#This Row],[Producto]],Tabla6[#All],14,FALSE)</f>
        <v>Termico Solar</v>
      </c>
      <c r="U2764" s="284" t="e">
        <f>(IF(Tabla4[[#This Row],[Familia]]="termico solar",Tabla4[[#This Row],[Utilidad Total]]*6%,Tabla4[[#This Row],[Utilidad Total]]*11.5%))/Tabla4[[#This Row],[Total]]</f>
        <v>#N/A</v>
      </c>
      <c r="V2764" s="282" t="e">
        <f>+Tabla4[[#This Row],[Comisión Calculada]]*Tabla4[[#This Row],[Total]]</f>
        <v>#N/A</v>
      </c>
    </row>
    <row r="2765" spans="1:22" hidden="1" x14ac:dyDescent="0.25">
      <c r="A2765" s="100">
        <v>45792</v>
      </c>
      <c r="B2765" t="str">
        <f t="shared" si="132"/>
        <v>May</v>
      </c>
      <c r="C2765" s="46" t="s">
        <v>280</v>
      </c>
      <c r="F2765" s="366" t="s">
        <v>1783</v>
      </c>
      <c r="G2765" s="46" t="s">
        <v>208</v>
      </c>
      <c r="H2765" s="46">
        <v>2</v>
      </c>
      <c r="I2765" s="51">
        <v>189.75</v>
      </c>
      <c r="J2765" s="281">
        <f>++Tabla4[[#This Row],[Precio Bruto]]*1.16</f>
        <v>220.10999999999999</v>
      </c>
      <c r="K2765" s="281">
        <f>+Tabla4[[#This Row],[Precio Unitario Neto]]*Tabla4[[#Headers],[20.85%]]</f>
        <v>45.892934999999994</v>
      </c>
      <c r="L2765" s="282">
        <f>++Tabla4[[#This Row],[Precio Unitario Neto]]-Tabla4[[#This Row],[20.85%]]</f>
        <v>174.21706499999999</v>
      </c>
      <c r="M2765" s="282" t="e">
        <f>(INDEX(Tabla6[#All],MATCH(Tabla4[[#This Row],[Producto]],Tabla6[[#All],[PRODUCTO]],0),MATCH(Tabla4[[#This Row],[Mes]],Tabla6[#Headers],0)))*(1+Catalogos!$L$2)</f>
        <v>#N/A</v>
      </c>
      <c r="N2765" s="283" t="e">
        <f>+(Tabla4[[#This Row],[Precio Descontado]]-Tabla4[[#This Row],[Precio Base]])*Tabla4[[#This Row],[Cantidad]]</f>
        <v>#N/A</v>
      </c>
      <c r="O2765" s="284" t="e">
        <f>++Tabla4[[#This Row],[Utilidad Total]]/Tabla4[[#This Row],[Total]]</f>
        <v>#N/A</v>
      </c>
      <c r="P2765" s="282">
        <f>++Tabla4[[#This Row],[Precio Descontado]]*Tabla4[[#This Row],[Cantidad]]</f>
        <v>348.43412999999998</v>
      </c>
      <c r="Q2765" s="282" t="e">
        <f>(INDEX(Tabla6[#All],MATCH(Tabla4[[#This Row],[Producto]],Tabla6[[#All],[PRODUCTO]],0),MATCH(Tabla4[[#This Row],[Mes]],Tabla6[#Headers],0)))</f>
        <v>#N/A</v>
      </c>
      <c r="R2765" s="282" t="e">
        <f>++Tabla4[[#This Row],[Precio Unitario Neto]]-Tabla4[[#This Row],[20.85%]]-Tabla4[[#This Row],[Costo]]</f>
        <v>#N/A</v>
      </c>
      <c r="S2765" s="282" t="e">
        <f>++Tabla4[[#This Row],[U. Bruta Uni]]*Tabla4[[#This Row],[Cantidad]]</f>
        <v>#N/A</v>
      </c>
      <c r="T2765" s="369" t="str">
        <f>VLOOKUP(Tabla4[[#This Row],[Producto]],Tabla6[#All],14,FALSE)</f>
        <v>Termico Solar</v>
      </c>
      <c r="U2765" s="284" t="e">
        <f>(IF(Tabla4[[#This Row],[Familia]]="termico solar",Tabla4[[#This Row],[Utilidad Total]]*6%,Tabla4[[#This Row],[Utilidad Total]]*11.5%))/Tabla4[[#This Row],[Total]]</f>
        <v>#N/A</v>
      </c>
      <c r="V2765" s="282" t="e">
        <f>+Tabla4[[#This Row],[Comisión Calculada]]*Tabla4[[#This Row],[Total]]</f>
        <v>#N/A</v>
      </c>
    </row>
    <row r="2766" spans="1:22" hidden="1" x14ac:dyDescent="0.25">
      <c r="A2766" s="100">
        <v>45792</v>
      </c>
      <c r="B2766" t="str">
        <f t="shared" si="132"/>
        <v>May</v>
      </c>
      <c r="C2766" s="46" t="s">
        <v>280</v>
      </c>
      <c r="F2766" s="366" t="s">
        <v>1784</v>
      </c>
      <c r="G2766" s="46" t="s">
        <v>566</v>
      </c>
      <c r="H2766" s="46">
        <v>1</v>
      </c>
      <c r="I2766" s="51">
        <v>2109.4499999999998</v>
      </c>
      <c r="J2766" s="281">
        <f>++Tabla4[[#This Row],[Precio Bruto]]*1.16</f>
        <v>2446.9619999999995</v>
      </c>
      <c r="K2766" s="281">
        <f>+Tabla4[[#This Row],[Precio Unitario Neto]]*Tabla4[[#Headers],[20.85%]]</f>
        <v>510.19157699999988</v>
      </c>
      <c r="L2766" s="282">
        <f>++Tabla4[[#This Row],[Precio Unitario Neto]]-Tabla4[[#This Row],[20.85%]]</f>
        <v>1936.7704229999997</v>
      </c>
      <c r="M2766" s="282" t="e">
        <f>(INDEX(Tabla6[#All],MATCH(Tabla4[[#This Row],[Producto]],Tabla6[[#All],[PRODUCTO]],0),MATCH(Tabla4[[#This Row],[Mes]],Tabla6[#Headers],0)))*(1+Catalogos!$L$2)</f>
        <v>#N/A</v>
      </c>
      <c r="N2766" s="283" t="e">
        <f>+(Tabla4[[#This Row],[Precio Descontado]]-Tabla4[[#This Row],[Precio Base]])*Tabla4[[#This Row],[Cantidad]]</f>
        <v>#N/A</v>
      </c>
      <c r="O2766" s="284" t="e">
        <f>++Tabla4[[#This Row],[Utilidad Total]]/Tabla4[[#This Row],[Total]]</f>
        <v>#N/A</v>
      </c>
      <c r="P2766" s="282">
        <f>++Tabla4[[#This Row],[Precio Descontado]]*Tabla4[[#This Row],[Cantidad]]</f>
        <v>1936.7704229999997</v>
      </c>
      <c r="Q2766" s="282" t="e">
        <f>(INDEX(Tabla6[#All],MATCH(Tabla4[[#This Row],[Producto]],Tabla6[[#All],[PRODUCTO]],0),MATCH(Tabla4[[#This Row],[Mes]],Tabla6[#Headers],0)))</f>
        <v>#N/A</v>
      </c>
      <c r="R2766" s="282" t="e">
        <f>++Tabla4[[#This Row],[Precio Unitario Neto]]-Tabla4[[#This Row],[20.85%]]-Tabla4[[#This Row],[Costo]]</f>
        <v>#N/A</v>
      </c>
      <c r="S2766" s="282" t="e">
        <f>++Tabla4[[#This Row],[U. Bruta Uni]]*Tabla4[[#This Row],[Cantidad]]</f>
        <v>#N/A</v>
      </c>
      <c r="T2766" s="369" t="str">
        <f>VLOOKUP(Tabla4[[#This Row],[Producto]],Tabla6[#All],14,FALSE)</f>
        <v>Termico Solar</v>
      </c>
      <c r="U2766" s="284" t="e">
        <f>(IF(Tabla4[[#This Row],[Familia]]="termico solar",Tabla4[[#This Row],[Utilidad Total]]*6%,Tabla4[[#This Row],[Utilidad Total]]*11.5%))/Tabla4[[#This Row],[Total]]</f>
        <v>#N/A</v>
      </c>
      <c r="V2766" s="282" t="e">
        <f>+Tabla4[[#This Row],[Comisión Calculada]]*Tabla4[[#This Row],[Total]]</f>
        <v>#N/A</v>
      </c>
    </row>
    <row r="2767" spans="1:22" hidden="1" x14ac:dyDescent="0.25">
      <c r="A2767" s="100">
        <v>45792</v>
      </c>
      <c r="B2767" t="str">
        <f t="shared" si="132"/>
        <v>May</v>
      </c>
      <c r="C2767" s="46" t="s">
        <v>280</v>
      </c>
      <c r="F2767" s="366" t="s">
        <v>1784</v>
      </c>
      <c r="G2767" s="46" t="s">
        <v>208</v>
      </c>
      <c r="H2767" s="46">
        <v>1</v>
      </c>
      <c r="I2767" s="51">
        <v>189.75</v>
      </c>
      <c r="J2767" s="281">
        <f>++Tabla4[[#This Row],[Precio Bruto]]*1.16</f>
        <v>220.10999999999999</v>
      </c>
      <c r="K2767" s="281">
        <f>+Tabla4[[#This Row],[Precio Unitario Neto]]*Tabla4[[#Headers],[20.85%]]</f>
        <v>45.892934999999994</v>
      </c>
      <c r="L2767" s="282">
        <f>++Tabla4[[#This Row],[Precio Unitario Neto]]-Tabla4[[#This Row],[20.85%]]</f>
        <v>174.21706499999999</v>
      </c>
      <c r="M2767" s="282" t="e">
        <f>(INDEX(Tabla6[#All],MATCH(Tabla4[[#This Row],[Producto]],Tabla6[[#All],[PRODUCTO]],0),MATCH(Tabla4[[#This Row],[Mes]],Tabla6[#Headers],0)))*(1+Catalogos!$L$2)</f>
        <v>#N/A</v>
      </c>
      <c r="N2767" s="283" t="e">
        <f>+(Tabla4[[#This Row],[Precio Descontado]]-Tabla4[[#This Row],[Precio Base]])*Tabla4[[#This Row],[Cantidad]]</f>
        <v>#N/A</v>
      </c>
      <c r="O2767" s="284" t="e">
        <f>++Tabla4[[#This Row],[Utilidad Total]]/Tabla4[[#This Row],[Total]]</f>
        <v>#N/A</v>
      </c>
      <c r="P2767" s="282">
        <f>++Tabla4[[#This Row],[Precio Descontado]]*Tabla4[[#This Row],[Cantidad]]</f>
        <v>174.21706499999999</v>
      </c>
      <c r="Q2767" s="282" t="e">
        <f>(INDEX(Tabla6[#All],MATCH(Tabla4[[#This Row],[Producto]],Tabla6[[#All],[PRODUCTO]],0),MATCH(Tabla4[[#This Row],[Mes]],Tabla6[#Headers],0)))</f>
        <v>#N/A</v>
      </c>
      <c r="R2767" s="282" t="e">
        <f>++Tabla4[[#This Row],[Precio Unitario Neto]]-Tabla4[[#This Row],[20.85%]]-Tabla4[[#This Row],[Costo]]</f>
        <v>#N/A</v>
      </c>
      <c r="S2767" s="282" t="e">
        <f>++Tabla4[[#This Row],[U. Bruta Uni]]*Tabla4[[#This Row],[Cantidad]]</f>
        <v>#N/A</v>
      </c>
      <c r="T2767" s="369" t="str">
        <f>VLOOKUP(Tabla4[[#This Row],[Producto]],Tabla6[#All],14,FALSE)</f>
        <v>Termico Solar</v>
      </c>
      <c r="U2767" s="284" t="e">
        <f>(IF(Tabla4[[#This Row],[Familia]]="termico solar",Tabla4[[#This Row],[Utilidad Total]]*6%,Tabla4[[#This Row],[Utilidad Total]]*11.5%))/Tabla4[[#This Row],[Total]]</f>
        <v>#N/A</v>
      </c>
      <c r="V2767" s="282" t="e">
        <f>+Tabla4[[#This Row],[Comisión Calculada]]*Tabla4[[#This Row],[Total]]</f>
        <v>#N/A</v>
      </c>
    </row>
    <row r="2768" spans="1:22" hidden="1" x14ac:dyDescent="0.25">
      <c r="A2768" s="100">
        <v>45792</v>
      </c>
      <c r="B2768" t="str">
        <f t="shared" si="132"/>
        <v>May</v>
      </c>
      <c r="C2768" s="46" t="s">
        <v>280</v>
      </c>
      <c r="F2768" s="366" t="s">
        <v>1785</v>
      </c>
      <c r="G2768" s="46" t="s">
        <v>83</v>
      </c>
      <c r="H2768" s="46">
        <v>1</v>
      </c>
      <c r="I2768" s="51">
        <v>8858.76</v>
      </c>
      <c r="J2768" s="281">
        <f>++Tabla4[[#This Row],[Precio Bruto]]*1.16</f>
        <v>10276.161599999999</v>
      </c>
      <c r="K2768" s="281">
        <f>+Tabla4[[#This Row],[Precio Unitario Neto]]*Tabla4[[#Headers],[20.85%]]</f>
        <v>2142.5796935999997</v>
      </c>
      <c r="L2768" s="282">
        <f>++Tabla4[[#This Row],[Precio Unitario Neto]]-Tabla4[[#This Row],[20.85%]]</f>
        <v>8133.5819063999998</v>
      </c>
      <c r="M2768" s="282" t="e">
        <f>(INDEX(Tabla6[#All],MATCH(Tabla4[[#This Row],[Producto]],Tabla6[[#All],[PRODUCTO]],0),MATCH(Tabla4[[#This Row],[Mes]],Tabla6[#Headers],0)))*(1+Catalogos!$L$2)</f>
        <v>#N/A</v>
      </c>
      <c r="N2768" s="283" t="e">
        <f>+(Tabla4[[#This Row],[Precio Descontado]]-Tabla4[[#This Row],[Precio Base]])*Tabla4[[#This Row],[Cantidad]]</f>
        <v>#N/A</v>
      </c>
      <c r="O2768" s="284" t="e">
        <f>++Tabla4[[#This Row],[Utilidad Total]]/Tabla4[[#This Row],[Total]]</f>
        <v>#N/A</v>
      </c>
      <c r="P2768" s="282">
        <f>++Tabla4[[#This Row],[Precio Descontado]]*Tabla4[[#This Row],[Cantidad]]</f>
        <v>8133.5819063999998</v>
      </c>
      <c r="Q2768" s="282" t="e">
        <f>(INDEX(Tabla6[#All],MATCH(Tabla4[[#This Row],[Producto]],Tabla6[[#All],[PRODUCTO]],0),MATCH(Tabla4[[#This Row],[Mes]],Tabla6[#Headers],0)))</f>
        <v>#N/A</v>
      </c>
      <c r="R2768" s="282" t="e">
        <f>++Tabla4[[#This Row],[Precio Unitario Neto]]-Tabla4[[#This Row],[20.85%]]-Tabla4[[#This Row],[Costo]]</f>
        <v>#N/A</v>
      </c>
      <c r="S2768" s="282" t="e">
        <f>++Tabla4[[#This Row],[U. Bruta Uni]]*Tabla4[[#This Row],[Cantidad]]</f>
        <v>#N/A</v>
      </c>
      <c r="T2768" s="369" t="str">
        <f>VLOOKUP(Tabla4[[#This Row],[Producto]],Tabla6[#All],14,FALSE)</f>
        <v>Termico Solar</v>
      </c>
      <c r="U2768" s="284" t="e">
        <f>(IF(Tabla4[[#This Row],[Familia]]="termico solar",Tabla4[[#This Row],[Utilidad Total]]*6%,Tabla4[[#This Row],[Utilidad Total]]*11.5%))/Tabla4[[#This Row],[Total]]</f>
        <v>#N/A</v>
      </c>
      <c r="V2768" s="282" t="e">
        <f>+Tabla4[[#This Row],[Comisión Calculada]]*Tabla4[[#This Row],[Total]]</f>
        <v>#N/A</v>
      </c>
    </row>
    <row r="2769" spans="1:22" hidden="1" x14ac:dyDescent="0.25">
      <c r="A2769" s="100">
        <v>45792</v>
      </c>
      <c r="B2769" t="str">
        <f t="shared" si="132"/>
        <v>May</v>
      </c>
      <c r="C2769" s="46" t="s">
        <v>280</v>
      </c>
      <c r="F2769" s="366" t="s">
        <v>1785</v>
      </c>
      <c r="G2769" s="46" t="s">
        <v>17</v>
      </c>
      <c r="H2769" s="46">
        <v>1</v>
      </c>
      <c r="I2769" s="51">
        <v>4622.28</v>
      </c>
      <c r="J2769" s="281">
        <f>++Tabla4[[#This Row],[Precio Bruto]]*1.16</f>
        <v>5361.8447999999989</v>
      </c>
      <c r="K2769" s="281">
        <f>+Tabla4[[#This Row],[Precio Unitario Neto]]*Tabla4[[#Headers],[20.85%]]</f>
        <v>1117.9446407999997</v>
      </c>
      <c r="L2769" s="282">
        <f>++Tabla4[[#This Row],[Precio Unitario Neto]]-Tabla4[[#This Row],[20.85%]]</f>
        <v>4243.9001591999995</v>
      </c>
      <c r="M2769" s="282" t="e">
        <f>(INDEX(Tabla6[#All],MATCH(Tabla4[[#This Row],[Producto]],Tabla6[[#All],[PRODUCTO]],0),MATCH(Tabla4[[#This Row],[Mes]],Tabla6[#Headers],0)))*(1+Catalogos!$L$2)</f>
        <v>#N/A</v>
      </c>
      <c r="N2769" s="283" t="e">
        <f>+(Tabla4[[#This Row],[Precio Descontado]]-Tabla4[[#This Row],[Precio Base]])*Tabla4[[#This Row],[Cantidad]]</f>
        <v>#N/A</v>
      </c>
      <c r="O2769" s="284" t="e">
        <f>++Tabla4[[#This Row],[Utilidad Total]]/Tabla4[[#This Row],[Total]]</f>
        <v>#N/A</v>
      </c>
      <c r="P2769" s="282">
        <f>++Tabla4[[#This Row],[Precio Descontado]]*Tabla4[[#This Row],[Cantidad]]</f>
        <v>4243.9001591999995</v>
      </c>
      <c r="Q2769" s="282" t="e">
        <f>(INDEX(Tabla6[#All],MATCH(Tabla4[[#This Row],[Producto]],Tabla6[[#All],[PRODUCTO]],0),MATCH(Tabla4[[#This Row],[Mes]],Tabla6[#Headers],0)))</f>
        <v>#N/A</v>
      </c>
      <c r="R2769" s="282" t="e">
        <f>++Tabla4[[#This Row],[Precio Unitario Neto]]-Tabla4[[#This Row],[20.85%]]-Tabla4[[#This Row],[Costo]]</f>
        <v>#N/A</v>
      </c>
      <c r="S2769" s="282" t="e">
        <f>++Tabla4[[#This Row],[U. Bruta Uni]]*Tabla4[[#This Row],[Cantidad]]</f>
        <v>#N/A</v>
      </c>
      <c r="T2769" s="369" t="str">
        <f>VLOOKUP(Tabla4[[#This Row],[Producto]],Tabla6[#All],14,FALSE)</f>
        <v>Termico Solar</v>
      </c>
      <c r="U2769" s="284" t="e">
        <f>(IF(Tabla4[[#This Row],[Familia]]="termico solar",Tabla4[[#This Row],[Utilidad Total]]*6%,Tabla4[[#This Row],[Utilidad Total]]*11.5%))/Tabla4[[#This Row],[Total]]</f>
        <v>#N/A</v>
      </c>
      <c r="V2769" s="282" t="e">
        <f>+Tabla4[[#This Row],[Comisión Calculada]]*Tabla4[[#This Row],[Total]]</f>
        <v>#N/A</v>
      </c>
    </row>
    <row r="2770" spans="1:22" hidden="1" x14ac:dyDescent="0.25">
      <c r="A2770" s="100">
        <v>45792</v>
      </c>
      <c r="B2770" t="str">
        <f t="shared" si="132"/>
        <v>May</v>
      </c>
      <c r="C2770" s="46" t="s">
        <v>280</v>
      </c>
      <c r="F2770" s="366" t="s">
        <v>1786</v>
      </c>
      <c r="G2770" s="46" t="s">
        <v>208</v>
      </c>
      <c r="H2770" s="46">
        <v>3</v>
      </c>
      <c r="I2770" s="51">
        <v>189.75</v>
      </c>
      <c r="J2770" s="281">
        <f>++Tabla4[[#This Row],[Precio Bruto]]*1.16</f>
        <v>220.10999999999999</v>
      </c>
      <c r="K2770" s="281">
        <f>+Tabla4[[#This Row],[Precio Unitario Neto]]*Tabla4[[#Headers],[20.85%]]</f>
        <v>45.892934999999994</v>
      </c>
      <c r="L2770" s="282">
        <f>++Tabla4[[#This Row],[Precio Unitario Neto]]-Tabla4[[#This Row],[20.85%]]</f>
        <v>174.21706499999999</v>
      </c>
      <c r="M2770" s="282" t="e">
        <f>(INDEX(Tabla6[#All],MATCH(Tabla4[[#This Row],[Producto]],Tabla6[[#All],[PRODUCTO]],0),MATCH(Tabla4[[#This Row],[Mes]],Tabla6[#Headers],0)))*(1+Catalogos!$L$2)</f>
        <v>#N/A</v>
      </c>
      <c r="N2770" s="283" t="e">
        <f>+(Tabla4[[#This Row],[Precio Descontado]]-Tabla4[[#This Row],[Precio Base]])*Tabla4[[#This Row],[Cantidad]]</f>
        <v>#N/A</v>
      </c>
      <c r="O2770" s="284" t="e">
        <f>++Tabla4[[#This Row],[Utilidad Total]]/Tabla4[[#This Row],[Total]]</f>
        <v>#N/A</v>
      </c>
      <c r="P2770" s="282">
        <f>++Tabla4[[#This Row],[Precio Descontado]]*Tabla4[[#This Row],[Cantidad]]</f>
        <v>522.65119499999992</v>
      </c>
      <c r="Q2770" s="282" t="e">
        <f>(INDEX(Tabla6[#All],MATCH(Tabla4[[#This Row],[Producto]],Tabla6[[#All],[PRODUCTO]],0),MATCH(Tabla4[[#This Row],[Mes]],Tabla6[#Headers],0)))</f>
        <v>#N/A</v>
      </c>
      <c r="R2770" s="282" t="e">
        <f>++Tabla4[[#This Row],[Precio Unitario Neto]]-Tabla4[[#This Row],[20.85%]]-Tabla4[[#This Row],[Costo]]</f>
        <v>#N/A</v>
      </c>
      <c r="S2770" s="282" t="e">
        <f>++Tabla4[[#This Row],[U. Bruta Uni]]*Tabla4[[#This Row],[Cantidad]]</f>
        <v>#N/A</v>
      </c>
      <c r="T2770" s="369" t="str">
        <f>VLOOKUP(Tabla4[[#This Row],[Producto]],Tabla6[#All],14,FALSE)</f>
        <v>Termico Solar</v>
      </c>
      <c r="U2770" s="284" t="e">
        <f>(IF(Tabla4[[#This Row],[Familia]]="termico solar",Tabla4[[#This Row],[Utilidad Total]]*6%,Tabla4[[#This Row],[Utilidad Total]]*11.5%))/Tabla4[[#This Row],[Total]]</f>
        <v>#N/A</v>
      </c>
      <c r="V2770" s="282" t="e">
        <f>+Tabla4[[#This Row],[Comisión Calculada]]*Tabla4[[#This Row],[Total]]</f>
        <v>#N/A</v>
      </c>
    </row>
    <row r="2771" spans="1:22" hidden="1" x14ac:dyDescent="0.25">
      <c r="A2771" s="100">
        <v>45792</v>
      </c>
      <c r="B2771" t="str">
        <f t="shared" si="132"/>
        <v>May</v>
      </c>
      <c r="C2771" s="46" t="s">
        <v>280</v>
      </c>
      <c r="F2771" s="366" t="s">
        <v>1787</v>
      </c>
      <c r="G2771" s="46" t="s">
        <v>17</v>
      </c>
      <c r="H2771" s="46">
        <v>1</v>
      </c>
      <c r="I2771" s="51">
        <v>4622.28</v>
      </c>
      <c r="J2771" s="281">
        <f>++Tabla4[[#This Row],[Precio Bruto]]*1.16</f>
        <v>5361.8447999999989</v>
      </c>
      <c r="K2771" s="281">
        <f>+Tabla4[[#This Row],[Precio Unitario Neto]]*Tabla4[[#Headers],[20.85%]]</f>
        <v>1117.9446407999997</v>
      </c>
      <c r="L2771" s="282">
        <f>++Tabla4[[#This Row],[Precio Unitario Neto]]-Tabla4[[#This Row],[20.85%]]</f>
        <v>4243.9001591999995</v>
      </c>
      <c r="M2771" s="282" t="e">
        <f>(INDEX(Tabla6[#All],MATCH(Tabla4[[#This Row],[Producto]],Tabla6[[#All],[PRODUCTO]],0),MATCH(Tabla4[[#This Row],[Mes]],Tabla6[#Headers],0)))*(1+Catalogos!$L$2)</f>
        <v>#N/A</v>
      </c>
      <c r="N2771" s="283" t="e">
        <f>+(Tabla4[[#This Row],[Precio Descontado]]-Tabla4[[#This Row],[Precio Base]])*Tabla4[[#This Row],[Cantidad]]</f>
        <v>#N/A</v>
      </c>
      <c r="O2771" s="284" t="e">
        <f>++Tabla4[[#This Row],[Utilidad Total]]/Tabla4[[#This Row],[Total]]</f>
        <v>#N/A</v>
      </c>
      <c r="P2771" s="282">
        <f>++Tabla4[[#This Row],[Precio Descontado]]*Tabla4[[#This Row],[Cantidad]]</f>
        <v>4243.9001591999995</v>
      </c>
      <c r="Q2771" s="282" t="e">
        <f>(INDEX(Tabla6[#All],MATCH(Tabla4[[#This Row],[Producto]],Tabla6[[#All],[PRODUCTO]],0),MATCH(Tabla4[[#This Row],[Mes]],Tabla6[#Headers],0)))</f>
        <v>#N/A</v>
      </c>
      <c r="R2771" s="282" t="e">
        <f>++Tabla4[[#This Row],[Precio Unitario Neto]]-Tabla4[[#This Row],[20.85%]]-Tabla4[[#This Row],[Costo]]</f>
        <v>#N/A</v>
      </c>
      <c r="S2771" s="282" t="e">
        <f>++Tabla4[[#This Row],[U. Bruta Uni]]*Tabla4[[#This Row],[Cantidad]]</f>
        <v>#N/A</v>
      </c>
      <c r="T2771" s="369" t="str">
        <f>VLOOKUP(Tabla4[[#This Row],[Producto]],Tabla6[#All],14,FALSE)</f>
        <v>Termico Solar</v>
      </c>
      <c r="U2771" s="284" t="e">
        <f>(IF(Tabla4[[#This Row],[Familia]]="termico solar",Tabla4[[#This Row],[Utilidad Total]]*6%,Tabla4[[#This Row],[Utilidad Total]]*11.5%))/Tabla4[[#This Row],[Total]]</f>
        <v>#N/A</v>
      </c>
      <c r="V2771" s="282" t="e">
        <f>+Tabla4[[#This Row],[Comisión Calculada]]*Tabla4[[#This Row],[Total]]</f>
        <v>#N/A</v>
      </c>
    </row>
    <row r="2772" spans="1:22" hidden="1" x14ac:dyDescent="0.25">
      <c r="A2772" s="100">
        <v>45792</v>
      </c>
      <c r="B2772" t="str">
        <f t="shared" si="132"/>
        <v>May</v>
      </c>
      <c r="C2772" s="46" t="s">
        <v>280</v>
      </c>
      <c r="F2772" s="366" t="s">
        <v>1787</v>
      </c>
      <c r="G2772" s="46" t="s">
        <v>18</v>
      </c>
      <c r="H2772" s="46">
        <v>4</v>
      </c>
      <c r="I2772" s="51">
        <v>5367.65</v>
      </c>
      <c r="J2772" s="281">
        <f>++Tabla4[[#This Row],[Precio Bruto]]*1.16</f>
        <v>6226.4739999999993</v>
      </c>
      <c r="K2772" s="281">
        <f>+Tabla4[[#This Row],[Precio Unitario Neto]]*Tabla4[[#Headers],[20.85%]]</f>
        <v>1298.2198289999999</v>
      </c>
      <c r="L2772" s="282">
        <f>++Tabla4[[#This Row],[Precio Unitario Neto]]-Tabla4[[#This Row],[20.85%]]</f>
        <v>4928.2541709999996</v>
      </c>
      <c r="M2772" s="282" t="e">
        <f>(INDEX(Tabla6[#All],MATCH(Tabla4[[#This Row],[Producto]],Tabla6[[#All],[PRODUCTO]],0),MATCH(Tabla4[[#This Row],[Mes]],Tabla6[#Headers],0)))*(1+Catalogos!$L$2)</f>
        <v>#N/A</v>
      </c>
      <c r="N2772" s="283" t="e">
        <f>+(Tabla4[[#This Row],[Precio Descontado]]-Tabla4[[#This Row],[Precio Base]])*Tabla4[[#This Row],[Cantidad]]</f>
        <v>#N/A</v>
      </c>
      <c r="O2772" s="284" t="e">
        <f>++Tabla4[[#This Row],[Utilidad Total]]/Tabla4[[#This Row],[Total]]</f>
        <v>#N/A</v>
      </c>
      <c r="P2772" s="282">
        <f>++Tabla4[[#This Row],[Precio Descontado]]*Tabla4[[#This Row],[Cantidad]]</f>
        <v>19713.016683999998</v>
      </c>
      <c r="Q2772" s="282" t="e">
        <f>(INDEX(Tabla6[#All],MATCH(Tabla4[[#This Row],[Producto]],Tabla6[[#All],[PRODUCTO]],0),MATCH(Tabla4[[#This Row],[Mes]],Tabla6[#Headers],0)))</f>
        <v>#N/A</v>
      </c>
      <c r="R2772" s="282" t="e">
        <f>++Tabla4[[#This Row],[Precio Unitario Neto]]-Tabla4[[#This Row],[20.85%]]-Tabla4[[#This Row],[Costo]]</f>
        <v>#N/A</v>
      </c>
      <c r="S2772" s="282" t="e">
        <f>++Tabla4[[#This Row],[U. Bruta Uni]]*Tabla4[[#This Row],[Cantidad]]</f>
        <v>#N/A</v>
      </c>
      <c r="T2772" s="369" t="str">
        <f>VLOOKUP(Tabla4[[#This Row],[Producto]],Tabla6[#All],14,FALSE)</f>
        <v>Termico Solar</v>
      </c>
      <c r="U2772" s="284" t="e">
        <f>(IF(Tabla4[[#This Row],[Familia]]="termico solar",Tabla4[[#This Row],[Utilidad Total]]*6%,Tabla4[[#This Row],[Utilidad Total]]*11.5%))/Tabla4[[#This Row],[Total]]</f>
        <v>#N/A</v>
      </c>
      <c r="V2772" s="282" t="e">
        <f>+Tabla4[[#This Row],[Comisión Calculada]]*Tabla4[[#This Row],[Total]]</f>
        <v>#N/A</v>
      </c>
    </row>
    <row r="2773" spans="1:22" hidden="1" x14ac:dyDescent="0.25">
      <c r="A2773" s="100">
        <v>45792</v>
      </c>
      <c r="B2773" t="str">
        <f t="shared" si="132"/>
        <v>May</v>
      </c>
      <c r="C2773" s="46" t="s">
        <v>280</v>
      </c>
      <c r="F2773" s="366" t="s">
        <v>1788</v>
      </c>
      <c r="G2773" s="46" t="s">
        <v>17</v>
      </c>
      <c r="H2773" s="46">
        <v>2</v>
      </c>
      <c r="I2773" s="51">
        <v>4622.28</v>
      </c>
      <c r="J2773" s="281">
        <f>++Tabla4[[#This Row],[Precio Bruto]]*1.16</f>
        <v>5361.8447999999989</v>
      </c>
      <c r="K2773" s="281">
        <f>+Tabla4[[#This Row],[Precio Unitario Neto]]*Tabla4[[#Headers],[20.85%]]</f>
        <v>1117.9446407999997</v>
      </c>
      <c r="L2773" s="282">
        <f>++Tabla4[[#This Row],[Precio Unitario Neto]]-Tabla4[[#This Row],[20.85%]]</f>
        <v>4243.9001591999995</v>
      </c>
      <c r="M2773" s="282" t="e">
        <f>(INDEX(Tabla6[#All],MATCH(Tabla4[[#This Row],[Producto]],Tabla6[[#All],[PRODUCTO]],0),MATCH(Tabla4[[#This Row],[Mes]],Tabla6[#Headers],0)))*(1+Catalogos!$L$2)</f>
        <v>#N/A</v>
      </c>
      <c r="N2773" s="283" t="e">
        <f>+(Tabla4[[#This Row],[Precio Descontado]]-Tabla4[[#This Row],[Precio Base]])*Tabla4[[#This Row],[Cantidad]]</f>
        <v>#N/A</v>
      </c>
      <c r="O2773" s="284" t="e">
        <f>++Tabla4[[#This Row],[Utilidad Total]]/Tabla4[[#This Row],[Total]]</f>
        <v>#N/A</v>
      </c>
      <c r="P2773" s="282">
        <f>++Tabla4[[#This Row],[Precio Descontado]]*Tabla4[[#This Row],[Cantidad]]</f>
        <v>8487.800318399999</v>
      </c>
      <c r="Q2773" s="282" t="e">
        <f>(INDEX(Tabla6[#All],MATCH(Tabla4[[#This Row],[Producto]],Tabla6[[#All],[PRODUCTO]],0),MATCH(Tabla4[[#This Row],[Mes]],Tabla6[#Headers],0)))</f>
        <v>#N/A</v>
      </c>
      <c r="R2773" s="282" t="e">
        <f>++Tabla4[[#This Row],[Precio Unitario Neto]]-Tabla4[[#This Row],[20.85%]]-Tabla4[[#This Row],[Costo]]</f>
        <v>#N/A</v>
      </c>
      <c r="S2773" s="282" t="e">
        <f>++Tabla4[[#This Row],[U. Bruta Uni]]*Tabla4[[#This Row],[Cantidad]]</f>
        <v>#N/A</v>
      </c>
      <c r="T2773" s="369" t="str">
        <f>VLOOKUP(Tabla4[[#This Row],[Producto]],Tabla6[#All],14,FALSE)</f>
        <v>Termico Solar</v>
      </c>
      <c r="U2773" s="284" t="e">
        <f>(IF(Tabla4[[#This Row],[Familia]]="termico solar",Tabla4[[#This Row],[Utilidad Total]]*6%,Tabla4[[#This Row],[Utilidad Total]]*11.5%))/Tabla4[[#This Row],[Total]]</f>
        <v>#N/A</v>
      </c>
      <c r="V2773" s="282" t="e">
        <f>+Tabla4[[#This Row],[Comisión Calculada]]*Tabla4[[#This Row],[Total]]</f>
        <v>#N/A</v>
      </c>
    </row>
    <row r="2774" spans="1:22" hidden="1" x14ac:dyDescent="0.25">
      <c r="A2774" s="100">
        <v>45792</v>
      </c>
      <c r="B2774" t="str">
        <f t="shared" si="132"/>
        <v>May</v>
      </c>
      <c r="C2774" s="46" t="s">
        <v>280</v>
      </c>
      <c r="F2774" s="366" t="s">
        <v>1788</v>
      </c>
      <c r="G2774" s="46" t="s">
        <v>20</v>
      </c>
      <c r="H2774" s="46">
        <v>1</v>
      </c>
      <c r="I2774" s="51">
        <v>7751.98</v>
      </c>
      <c r="J2774" s="281">
        <f>++Tabla4[[#This Row],[Precio Bruto]]*1.16</f>
        <v>8992.2967999999983</v>
      </c>
      <c r="K2774" s="281">
        <f>+Tabla4[[#This Row],[Precio Unitario Neto]]*Tabla4[[#Headers],[20.85%]]</f>
        <v>1874.8938827999996</v>
      </c>
      <c r="L2774" s="282">
        <f>++Tabla4[[#This Row],[Precio Unitario Neto]]-Tabla4[[#This Row],[20.85%]]</f>
        <v>7117.4029171999991</v>
      </c>
      <c r="M2774" s="282" t="e">
        <f>(INDEX(Tabla6[#All],MATCH(Tabla4[[#This Row],[Producto]],Tabla6[[#All],[PRODUCTO]],0),MATCH(Tabla4[[#This Row],[Mes]],Tabla6[#Headers],0)))*(1+Catalogos!$L$2)</f>
        <v>#N/A</v>
      </c>
      <c r="N2774" s="283" t="e">
        <f>+(Tabla4[[#This Row],[Precio Descontado]]-Tabla4[[#This Row],[Precio Base]])*Tabla4[[#This Row],[Cantidad]]</f>
        <v>#N/A</v>
      </c>
      <c r="O2774" s="284" t="e">
        <f>++Tabla4[[#This Row],[Utilidad Total]]/Tabla4[[#This Row],[Total]]</f>
        <v>#N/A</v>
      </c>
      <c r="P2774" s="282">
        <f>++Tabla4[[#This Row],[Precio Descontado]]*Tabla4[[#This Row],[Cantidad]]</f>
        <v>7117.4029171999991</v>
      </c>
      <c r="Q2774" s="282" t="e">
        <f>(INDEX(Tabla6[#All],MATCH(Tabla4[[#This Row],[Producto]],Tabla6[[#All],[PRODUCTO]],0),MATCH(Tabla4[[#This Row],[Mes]],Tabla6[#Headers],0)))</f>
        <v>#N/A</v>
      </c>
      <c r="R2774" s="282" t="e">
        <f>++Tabla4[[#This Row],[Precio Unitario Neto]]-Tabla4[[#This Row],[20.85%]]-Tabla4[[#This Row],[Costo]]</f>
        <v>#N/A</v>
      </c>
      <c r="S2774" s="282" t="e">
        <f>++Tabla4[[#This Row],[U. Bruta Uni]]*Tabla4[[#This Row],[Cantidad]]</f>
        <v>#N/A</v>
      </c>
      <c r="T2774" s="369" t="str">
        <f>VLOOKUP(Tabla4[[#This Row],[Producto]],Tabla6[#All],14,FALSE)</f>
        <v>Termico Solar</v>
      </c>
      <c r="U2774" s="284" t="e">
        <f>(IF(Tabla4[[#This Row],[Familia]]="termico solar",Tabla4[[#This Row],[Utilidad Total]]*6%,Tabla4[[#This Row],[Utilidad Total]]*11.5%))/Tabla4[[#This Row],[Total]]</f>
        <v>#N/A</v>
      </c>
      <c r="V2774" s="282" t="e">
        <f>+Tabla4[[#This Row],[Comisión Calculada]]*Tabla4[[#This Row],[Total]]</f>
        <v>#N/A</v>
      </c>
    </row>
    <row r="2775" spans="1:22" hidden="1" x14ac:dyDescent="0.25">
      <c r="A2775" s="100">
        <v>45792</v>
      </c>
      <c r="B2775" t="str">
        <f t="shared" si="132"/>
        <v>May</v>
      </c>
      <c r="C2775" s="46" t="s">
        <v>280</v>
      </c>
      <c r="F2775" s="366" t="s">
        <v>1789</v>
      </c>
      <c r="G2775" s="46" t="s">
        <v>19</v>
      </c>
      <c r="H2775" s="46">
        <v>1</v>
      </c>
      <c r="I2775" s="51">
        <v>6412.03</v>
      </c>
      <c r="J2775" s="281">
        <f>++Tabla4[[#This Row],[Precio Bruto]]*1.16</f>
        <v>7437.9547999999995</v>
      </c>
      <c r="K2775" s="281">
        <f>+Tabla4[[#This Row],[Precio Unitario Neto]]*Tabla4[[#Headers],[20.85%]]</f>
        <v>1550.8135757999999</v>
      </c>
      <c r="L2775" s="282">
        <f>++Tabla4[[#This Row],[Precio Unitario Neto]]-Tabla4[[#This Row],[20.85%]]</f>
        <v>5887.1412241999997</v>
      </c>
      <c r="M2775" s="282" t="e">
        <f>(INDEX(Tabla6[#All],MATCH(Tabla4[[#This Row],[Producto]],Tabla6[[#All],[PRODUCTO]],0),MATCH(Tabla4[[#This Row],[Mes]],Tabla6[#Headers],0)))*(1+Catalogos!$L$2)</f>
        <v>#N/A</v>
      </c>
      <c r="N2775" s="283" t="e">
        <f>+(Tabla4[[#This Row],[Precio Descontado]]-Tabla4[[#This Row],[Precio Base]])*Tabla4[[#This Row],[Cantidad]]</f>
        <v>#N/A</v>
      </c>
      <c r="O2775" s="284" t="e">
        <f>++Tabla4[[#This Row],[Utilidad Total]]/Tabla4[[#This Row],[Total]]</f>
        <v>#N/A</v>
      </c>
      <c r="P2775" s="282">
        <f>++Tabla4[[#This Row],[Precio Descontado]]*Tabla4[[#This Row],[Cantidad]]</f>
        <v>5887.1412241999997</v>
      </c>
      <c r="Q2775" s="282" t="e">
        <f>(INDEX(Tabla6[#All],MATCH(Tabla4[[#This Row],[Producto]],Tabla6[[#All],[PRODUCTO]],0),MATCH(Tabla4[[#This Row],[Mes]],Tabla6[#Headers],0)))</f>
        <v>#N/A</v>
      </c>
      <c r="R2775" s="282" t="e">
        <f>++Tabla4[[#This Row],[Precio Unitario Neto]]-Tabla4[[#This Row],[20.85%]]-Tabla4[[#This Row],[Costo]]</f>
        <v>#N/A</v>
      </c>
      <c r="S2775" s="282" t="e">
        <f>++Tabla4[[#This Row],[U. Bruta Uni]]*Tabla4[[#This Row],[Cantidad]]</f>
        <v>#N/A</v>
      </c>
      <c r="T2775" s="369" t="str">
        <f>VLOOKUP(Tabla4[[#This Row],[Producto]],Tabla6[#All],14,FALSE)</f>
        <v>Termico Solar</v>
      </c>
      <c r="U2775" s="284" t="e">
        <f>(IF(Tabla4[[#This Row],[Familia]]="termico solar",Tabla4[[#This Row],[Utilidad Total]]*6%,Tabla4[[#This Row],[Utilidad Total]]*11.5%))/Tabla4[[#This Row],[Total]]</f>
        <v>#N/A</v>
      </c>
      <c r="V2775" s="282" t="e">
        <f>+Tabla4[[#This Row],[Comisión Calculada]]*Tabla4[[#This Row],[Total]]</f>
        <v>#N/A</v>
      </c>
    </row>
    <row r="2776" spans="1:22" hidden="1" x14ac:dyDescent="0.25">
      <c r="A2776" s="100">
        <v>45792</v>
      </c>
      <c r="B2776" t="str">
        <f t="shared" si="132"/>
        <v>May</v>
      </c>
      <c r="C2776" s="46" t="s">
        <v>280</v>
      </c>
      <c r="F2776" s="366" t="s">
        <v>1789</v>
      </c>
      <c r="G2776" s="46" t="s">
        <v>566</v>
      </c>
      <c r="H2776" s="46">
        <v>1</v>
      </c>
      <c r="I2776" s="51">
        <v>2109.4499999999998</v>
      </c>
      <c r="J2776" s="281">
        <f>++Tabla4[[#This Row],[Precio Bruto]]*1.16</f>
        <v>2446.9619999999995</v>
      </c>
      <c r="K2776" s="281">
        <f>+Tabla4[[#This Row],[Precio Unitario Neto]]*Tabla4[[#Headers],[20.85%]]</f>
        <v>510.19157699999988</v>
      </c>
      <c r="L2776" s="282">
        <f>++Tabla4[[#This Row],[Precio Unitario Neto]]-Tabla4[[#This Row],[20.85%]]</f>
        <v>1936.7704229999997</v>
      </c>
      <c r="M2776" s="282" t="e">
        <f>(INDEX(Tabla6[#All],MATCH(Tabla4[[#This Row],[Producto]],Tabla6[[#All],[PRODUCTO]],0),MATCH(Tabla4[[#This Row],[Mes]],Tabla6[#Headers],0)))*(1+Catalogos!$L$2)</f>
        <v>#N/A</v>
      </c>
      <c r="N2776" s="283" t="e">
        <f>+(Tabla4[[#This Row],[Precio Descontado]]-Tabla4[[#This Row],[Precio Base]])*Tabla4[[#This Row],[Cantidad]]</f>
        <v>#N/A</v>
      </c>
      <c r="O2776" s="284" t="e">
        <f>++Tabla4[[#This Row],[Utilidad Total]]/Tabla4[[#This Row],[Total]]</f>
        <v>#N/A</v>
      </c>
      <c r="P2776" s="282">
        <f>++Tabla4[[#This Row],[Precio Descontado]]*Tabla4[[#This Row],[Cantidad]]</f>
        <v>1936.7704229999997</v>
      </c>
      <c r="Q2776" s="282" t="e">
        <f>(INDEX(Tabla6[#All],MATCH(Tabla4[[#This Row],[Producto]],Tabla6[[#All],[PRODUCTO]],0),MATCH(Tabla4[[#This Row],[Mes]],Tabla6[#Headers],0)))</f>
        <v>#N/A</v>
      </c>
      <c r="R2776" s="282" t="e">
        <f>++Tabla4[[#This Row],[Precio Unitario Neto]]-Tabla4[[#This Row],[20.85%]]-Tabla4[[#This Row],[Costo]]</f>
        <v>#N/A</v>
      </c>
      <c r="S2776" s="282" t="e">
        <f>++Tabla4[[#This Row],[U. Bruta Uni]]*Tabla4[[#This Row],[Cantidad]]</f>
        <v>#N/A</v>
      </c>
      <c r="T2776" s="369" t="str">
        <f>VLOOKUP(Tabla4[[#This Row],[Producto]],Tabla6[#All],14,FALSE)</f>
        <v>Termico Solar</v>
      </c>
      <c r="U2776" s="284" t="e">
        <f>(IF(Tabla4[[#This Row],[Familia]]="termico solar",Tabla4[[#This Row],[Utilidad Total]]*6%,Tabla4[[#This Row],[Utilidad Total]]*11.5%))/Tabla4[[#This Row],[Total]]</f>
        <v>#N/A</v>
      </c>
      <c r="V2776" s="282" t="e">
        <f>+Tabla4[[#This Row],[Comisión Calculada]]*Tabla4[[#This Row],[Total]]</f>
        <v>#N/A</v>
      </c>
    </row>
    <row r="2777" spans="1:22" hidden="1" x14ac:dyDescent="0.25">
      <c r="A2777" s="100">
        <v>45792</v>
      </c>
      <c r="B2777" t="str">
        <f t="shared" si="132"/>
        <v>May</v>
      </c>
      <c r="C2777" s="46" t="s">
        <v>280</v>
      </c>
      <c r="F2777" s="366" t="s">
        <v>1789</v>
      </c>
      <c r="G2777" s="46" t="s">
        <v>16</v>
      </c>
      <c r="H2777" s="46">
        <v>2</v>
      </c>
      <c r="I2777" s="51">
        <v>4103.8500000000004</v>
      </c>
      <c r="J2777" s="281">
        <f>++Tabla4[[#This Row],[Precio Bruto]]*1.16</f>
        <v>4760.4660000000003</v>
      </c>
      <c r="K2777" s="281">
        <f>+Tabla4[[#This Row],[Precio Unitario Neto]]*Tabla4[[#Headers],[20.85%]]</f>
        <v>992.55716100000006</v>
      </c>
      <c r="L2777" s="282">
        <f>++Tabla4[[#This Row],[Precio Unitario Neto]]-Tabla4[[#This Row],[20.85%]]</f>
        <v>3767.9088390000002</v>
      </c>
      <c r="M2777" s="282" t="e">
        <f>(INDEX(Tabla6[#All],MATCH(Tabla4[[#This Row],[Producto]],Tabla6[[#All],[PRODUCTO]],0),MATCH(Tabla4[[#This Row],[Mes]],Tabla6[#Headers],0)))*(1+Catalogos!$L$2)</f>
        <v>#N/A</v>
      </c>
      <c r="N2777" s="283" t="e">
        <f>+(Tabla4[[#This Row],[Precio Descontado]]-Tabla4[[#This Row],[Precio Base]])*Tabla4[[#This Row],[Cantidad]]</f>
        <v>#N/A</v>
      </c>
      <c r="O2777" s="284" t="e">
        <f>++Tabla4[[#This Row],[Utilidad Total]]/Tabla4[[#This Row],[Total]]</f>
        <v>#N/A</v>
      </c>
      <c r="P2777" s="282">
        <f>++Tabla4[[#This Row],[Precio Descontado]]*Tabla4[[#This Row],[Cantidad]]</f>
        <v>7535.8176780000003</v>
      </c>
      <c r="Q2777" s="282" t="e">
        <f>(INDEX(Tabla6[#All],MATCH(Tabla4[[#This Row],[Producto]],Tabla6[[#All],[PRODUCTO]],0),MATCH(Tabla4[[#This Row],[Mes]],Tabla6[#Headers],0)))</f>
        <v>#N/A</v>
      </c>
      <c r="R2777" s="282" t="e">
        <f>++Tabla4[[#This Row],[Precio Unitario Neto]]-Tabla4[[#This Row],[20.85%]]-Tabla4[[#This Row],[Costo]]</f>
        <v>#N/A</v>
      </c>
      <c r="S2777" s="282" t="e">
        <f>++Tabla4[[#This Row],[U. Bruta Uni]]*Tabla4[[#This Row],[Cantidad]]</f>
        <v>#N/A</v>
      </c>
      <c r="T2777" s="369" t="str">
        <f>VLOOKUP(Tabla4[[#This Row],[Producto]],Tabla6[#All],14,FALSE)</f>
        <v>Termico Solar</v>
      </c>
      <c r="U2777" s="284" t="e">
        <f>(IF(Tabla4[[#This Row],[Familia]]="termico solar",Tabla4[[#This Row],[Utilidad Total]]*6%,Tabla4[[#This Row],[Utilidad Total]]*11.5%))/Tabla4[[#This Row],[Total]]</f>
        <v>#N/A</v>
      </c>
      <c r="V2777" s="282" t="e">
        <f>+Tabla4[[#This Row],[Comisión Calculada]]*Tabla4[[#This Row],[Total]]</f>
        <v>#N/A</v>
      </c>
    </row>
    <row r="2778" spans="1:22" hidden="1" x14ac:dyDescent="0.25">
      <c r="A2778" s="100">
        <v>45792</v>
      </c>
      <c r="B2778" t="str">
        <f t="shared" si="132"/>
        <v>May</v>
      </c>
      <c r="C2778" s="46" t="s">
        <v>280</v>
      </c>
      <c r="F2778" s="366" t="s">
        <v>1789</v>
      </c>
      <c r="G2778" s="46" t="s">
        <v>208</v>
      </c>
      <c r="H2778" s="46">
        <v>8</v>
      </c>
      <c r="I2778" s="51">
        <v>189.75</v>
      </c>
      <c r="J2778" s="281">
        <f>++Tabla4[[#This Row],[Precio Bruto]]*1.16</f>
        <v>220.10999999999999</v>
      </c>
      <c r="K2778" s="281">
        <f>+Tabla4[[#This Row],[Precio Unitario Neto]]*Tabla4[[#Headers],[20.85%]]</f>
        <v>45.892934999999994</v>
      </c>
      <c r="L2778" s="282">
        <f>++Tabla4[[#This Row],[Precio Unitario Neto]]-Tabla4[[#This Row],[20.85%]]</f>
        <v>174.21706499999999</v>
      </c>
      <c r="M2778" s="282" t="e">
        <f>(INDEX(Tabla6[#All],MATCH(Tabla4[[#This Row],[Producto]],Tabla6[[#All],[PRODUCTO]],0),MATCH(Tabla4[[#This Row],[Mes]],Tabla6[#Headers],0)))*(1+Catalogos!$L$2)</f>
        <v>#N/A</v>
      </c>
      <c r="N2778" s="283" t="e">
        <f>+(Tabla4[[#This Row],[Precio Descontado]]-Tabla4[[#This Row],[Precio Base]])*Tabla4[[#This Row],[Cantidad]]</f>
        <v>#N/A</v>
      </c>
      <c r="O2778" s="284" t="e">
        <f>++Tabla4[[#This Row],[Utilidad Total]]/Tabla4[[#This Row],[Total]]</f>
        <v>#N/A</v>
      </c>
      <c r="P2778" s="282">
        <f>++Tabla4[[#This Row],[Precio Descontado]]*Tabla4[[#This Row],[Cantidad]]</f>
        <v>1393.7365199999999</v>
      </c>
      <c r="Q2778" s="282" t="e">
        <f>(INDEX(Tabla6[#All],MATCH(Tabla4[[#This Row],[Producto]],Tabla6[[#All],[PRODUCTO]],0),MATCH(Tabla4[[#This Row],[Mes]],Tabla6[#Headers],0)))</f>
        <v>#N/A</v>
      </c>
      <c r="R2778" s="282" t="e">
        <f>++Tabla4[[#This Row],[Precio Unitario Neto]]-Tabla4[[#This Row],[20.85%]]-Tabla4[[#This Row],[Costo]]</f>
        <v>#N/A</v>
      </c>
      <c r="S2778" s="282" t="e">
        <f>++Tabla4[[#This Row],[U. Bruta Uni]]*Tabla4[[#This Row],[Cantidad]]</f>
        <v>#N/A</v>
      </c>
      <c r="T2778" s="369" t="str">
        <f>VLOOKUP(Tabla4[[#This Row],[Producto]],Tabla6[#All],14,FALSE)</f>
        <v>Termico Solar</v>
      </c>
      <c r="U2778" s="284" t="e">
        <f>(IF(Tabla4[[#This Row],[Familia]]="termico solar",Tabla4[[#This Row],[Utilidad Total]]*6%,Tabla4[[#This Row],[Utilidad Total]]*11.5%))/Tabla4[[#This Row],[Total]]</f>
        <v>#N/A</v>
      </c>
      <c r="V2778" s="282" t="e">
        <f>+Tabla4[[#This Row],[Comisión Calculada]]*Tabla4[[#This Row],[Total]]</f>
        <v>#N/A</v>
      </c>
    </row>
    <row r="2779" spans="1:22" hidden="1" x14ac:dyDescent="0.25">
      <c r="A2779" s="100">
        <v>45792</v>
      </c>
      <c r="B2779" t="str">
        <f t="shared" si="132"/>
        <v>May</v>
      </c>
      <c r="C2779" s="46" t="s">
        <v>280</v>
      </c>
      <c r="F2779" s="366" t="s">
        <v>1790</v>
      </c>
      <c r="G2779" s="46" t="s">
        <v>566</v>
      </c>
      <c r="H2779" s="46">
        <v>1</v>
      </c>
      <c r="I2779" s="51">
        <v>2109.4499999999998</v>
      </c>
      <c r="J2779" s="281">
        <f>++Tabla4[[#This Row],[Precio Bruto]]*1.16</f>
        <v>2446.9619999999995</v>
      </c>
      <c r="K2779" s="281">
        <f>+Tabla4[[#This Row],[Precio Unitario Neto]]*Tabla4[[#Headers],[20.85%]]</f>
        <v>510.19157699999988</v>
      </c>
      <c r="L2779" s="282">
        <f>++Tabla4[[#This Row],[Precio Unitario Neto]]-Tabla4[[#This Row],[20.85%]]</f>
        <v>1936.7704229999997</v>
      </c>
      <c r="M2779" s="282" t="e">
        <f>(INDEX(Tabla6[#All],MATCH(Tabla4[[#This Row],[Producto]],Tabla6[[#All],[PRODUCTO]],0),MATCH(Tabla4[[#This Row],[Mes]],Tabla6[#Headers],0)))*(1+Catalogos!$L$2)</f>
        <v>#N/A</v>
      </c>
      <c r="N2779" s="283" t="e">
        <f>+(Tabla4[[#This Row],[Precio Descontado]]-Tabla4[[#This Row],[Precio Base]])*Tabla4[[#This Row],[Cantidad]]</f>
        <v>#N/A</v>
      </c>
      <c r="O2779" s="284" t="e">
        <f>++Tabla4[[#This Row],[Utilidad Total]]/Tabla4[[#This Row],[Total]]</f>
        <v>#N/A</v>
      </c>
      <c r="P2779" s="282">
        <f>++Tabla4[[#This Row],[Precio Descontado]]*Tabla4[[#This Row],[Cantidad]]</f>
        <v>1936.7704229999997</v>
      </c>
      <c r="Q2779" s="282" t="e">
        <f>(INDEX(Tabla6[#All],MATCH(Tabla4[[#This Row],[Producto]],Tabla6[[#All],[PRODUCTO]],0),MATCH(Tabla4[[#This Row],[Mes]],Tabla6[#Headers],0)))</f>
        <v>#N/A</v>
      </c>
      <c r="R2779" s="282" t="e">
        <f>++Tabla4[[#This Row],[Precio Unitario Neto]]-Tabla4[[#This Row],[20.85%]]-Tabla4[[#This Row],[Costo]]</f>
        <v>#N/A</v>
      </c>
      <c r="S2779" s="282" t="e">
        <f>++Tabla4[[#This Row],[U. Bruta Uni]]*Tabla4[[#This Row],[Cantidad]]</f>
        <v>#N/A</v>
      </c>
      <c r="T2779" s="369" t="str">
        <f>VLOOKUP(Tabla4[[#This Row],[Producto]],Tabla6[#All],14,FALSE)</f>
        <v>Termico Solar</v>
      </c>
      <c r="U2779" s="284" t="e">
        <f>(IF(Tabla4[[#This Row],[Familia]]="termico solar",Tabla4[[#This Row],[Utilidad Total]]*6%,Tabla4[[#This Row],[Utilidad Total]]*11.5%))/Tabla4[[#This Row],[Total]]</f>
        <v>#N/A</v>
      </c>
      <c r="V2779" s="282" t="e">
        <f>+Tabla4[[#This Row],[Comisión Calculada]]*Tabla4[[#This Row],[Total]]</f>
        <v>#N/A</v>
      </c>
    </row>
    <row r="2780" spans="1:22" hidden="1" x14ac:dyDescent="0.25">
      <c r="A2780" s="100">
        <v>45792</v>
      </c>
      <c r="B2780" t="str">
        <f t="shared" si="132"/>
        <v>May</v>
      </c>
      <c r="C2780" s="46" t="s">
        <v>280</v>
      </c>
      <c r="F2780" s="366" t="s">
        <v>1791</v>
      </c>
      <c r="G2780" s="46" t="s">
        <v>17</v>
      </c>
      <c r="H2780" s="46">
        <v>1</v>
      </c>
      <c r="I2780" s="51">
        <v>4622.28</v>
      </c>
      <c r="J2780" s="281">
        <f>++Tabla4[[#This Row],[Precio Bruto]]*1.16</f>
        <v>5361.8447999999989</v>
      </c>
      <c r="K2780" s="281">
        <f>+Tabla4[[#This Row],[Precio Unitario Neto]]*Tabla4[[#Headers],[20.85%]]</f>
        <v>1117.9446407999997</v>
      </c>
      <c r="L2780" s="282">
        <f>++Tabla4[[#This Row],[Precio Unitario Neto]]-Tabla4[[#This Row],[20.85%]]</f>
        <v>4243.9001591999995</v>
      </c>
      <c r="M2780" s="282" t="e">
        <f>(INDEX(Tabla6[#All],MATCH(Tabla4[[#This Row],[Producto]],Tabla6[[#All],[PRODUCTO]],0),MATCH(Tabla4[[#This Row],[Mes]],Tabla6[#Headers],0)))*(1+Catalogos!$L$2)</f>
        <v>#N/A</v>
      </c>
      <c r="N2780" s="283" t="e">
        <f>+(Tabla4[[#This Row],[Precio Descontado]]-Tabla4[[#This Row],[Precio Base]])*Tabla4[[#This Row],[Cantidad]]</f>
        <v>#N/A</v>
      </c>
      <c r="O2780" s="284" t="e">
        <f>++Tabla4[[#This Row],[Utilidad Total]]/Tabla4[[#This Row],[Total]]</f>
        <v>#N/A</v>
      </c>
      <c r="P2780" s="282">
        <f>++Tabla4[[#This Row],[Precio Descontado]]*Tabla4[[#This Row],[Cantidad]]</f>
        <v>4243.9001591999995</v>
      </c>
      <c r="Q2780" s="282" t="e">
        <f>(INDEX(Tabla6[#All],MATCH(Tabla4[[#This Row],[Producto]],Tabla6[[#All],[PRODUCTO]],0),MATCH(Tabla4[[#This Row],[Mes]],Tabla6[#Headers],0)))</f>
        <v>#N/A</v>
      </c>
      <c r="R2780" s="282" t="e">
        <f>++Tabla4[[#This Row],[Precio Unitario Neto]]-Tabla4[[#This Row],[20.85%]]-Tabla4[[#This Row],[Costo]]</f>
        <v>#N/A</v>
      </c>
      <c r="S2780" s="282" t="e">
        <f>++Tabla4[[#This Row],[U. Bruta Uni]]*Tabla4[[#This Row],[Cantidad]]</f>
        <v>#N/A</v>
      </c>
      <c r="T2780" s="369" t="str">
        <f>VLOOKUP(Tabla4[[#This Row],[Producto]],Tabla6[#All],14,FALSE)</f>
        <v>Termico Solar</v>
      </c>
      <c r="U2780" s="284" t="e">
        <f>(IF(Tabla4[[#This Row],[Familia]]="termico solar",Tabla4[[#This Row],[Utilidad Total]]*6%,Tabla4[[#This Row],[Utilidad Total]]*11.5%))/Tabla4[[#This Row],[Total]]</f>
        <v>#N/A</v>
      </c>
      <c r="V2780" s="282" t="e">
        <f>+Tabla4[[#This Row],[Comisión Calculada]]*Tabla4[[#This Row],[Total]]</f>
        <v>#N/A</v>
      </c>
    </row>
    <row r="2781" spans="1:22" hidden="1" x14ac:dyDescent="0.25">
      <c r="A2781" s="100">
        <v>45792</v>
      </c>
      <c r="B2781" t="str">
        <f t="shared" si="132"/>
        <v>May</v>
      </c>
      <c r="C2781" s="46" t="s">
        <v>280</v>
      </c>
      <c r="F2781" s="366" t="s">
        <v>1791</v>
      </c>
      <c r="G2781" s="46" t="s">
        <v>566</v>
      </c>
      <c r="H2781" s="46">
        <v>1</v>
      </c>
      <c r="I2781" s="51">
        <v>2109.4499999999998</v>
      </c>
      <c r="J2781" s="281">
        <f>++Tabla4[[#This Row],[Precio Bruto]]*1.16</f>
        <v>2446.9619999999995</v>
      </c>
      <c r="K2781" s="281">
        <f>+Tabla4[[#This Row],[Precio Unitario Neto]]*Tabla4[[#Headers],[20.85%]]</f>
        <v>510.19157699999988</v>
      </c>
      <c r="L2781" s="282">
        <f>++Tabla4[[#This Row],[Precio Unitario Neto]]-Tabla4[[#This Row],[20.85%]]</f>
        <v>1936.7704229999997</v>
      </c>
      <c r="M2781" s="282" t="e">
        <f>(INDEX(Tabla6[#All],MATCH(Tabla4[[#This Row],[Producto]],Tabla6[[#All],[PRODUCTO]],0),MATCH(Tabla4[[#This Row],[Mes]],Tabla6[#Headers],0)))*(1+Catalogos!$L$2)</f>
        <v>#N/A</v>
      </c>
      <c r="N2781" s="283" t="e">
        <f>+(Tabla4[[#This Row],[Precio Descontado]]-Tabla4[[#This Row],[Precio Base]])*Tabla4[[#This Row],[Cantidad]]</f>
        <v>#N/A</v>
      </c>
      <c r="O2781" s="284" t="e">
        <f>++Tabla4[[#This Row],[Utilidad Total]]/Tabla4[[#This Row],[Total]]</f>
        <v>#N/A</v>
      </c>
      <c r="P2781" s="282">
        <f>++Tabla4[[#This Row],[Precio Descontado]]*Tabla4[[#This Row],[Cantidad]]</f>
        <v>1936.7704229999997</v>
      </c>
      <c r="Q2781" s="282" t="e">
        <f>(INDEX(Tabla6[#All],MATCH(Tabla4[[#This Row],[Producto]],Tabla6[[#All],[PRODUCTO]],0),MATCH(Tabla4[[#This Row],[Mes]],Tabla6[#Headers],0)))</f>
        <v>#N/A</v>
      </c>
      <c r="R2781" s="282" t="e">
        <f>++Tabla4[[#This Row],[Precio Unitario Neto]]-Tabla4[[#This Row],[20.85%]]-Tabla4[[#This Row],[Costo]]</f>
        <v>#N/A</v>
      </c>
      <c r="S2781" s="282" t="e">
        <f>++Tabla4[[#This Row],[U. Bruta Uni]]*Tabla4[[#This Row],[Cantidad]]</f>
        <v>#N/A</v>
      </c>
      <c r="T2781" s="369" t="str">
        <f>VLOOKUP(Tabla4[[#This Row],[Producto]],Tabla6[#All],14,FALSE)</f>
        <v>Termico Solar</v>
      </c>
      <c r="U2781" s="284" t="e">
        <f>(IF(Tabla4[[#This Row],[Familia]]="termico solar",Tabla4[[#This Row],[Utilidad Total]]*6%,Tabla4[[#This Row],[Utilidad Total]]*11.5%))/Tabla4[[#This Row],[Total]]</f>
        <v>#N/A</v>
      </c>
      <c r="V2781" s="282" t="e">
        <f>+Tabla4[[#This Row],[Comisión Calculada]]*Tabla4[[#This Row],[Total]]</f>
        <v>#N/A</v>
      </c>
    </row>
    <row r="2782" spans="1:22" hidden="1" x14ac:dyDescent="0.25">
      <c r="A2782" s="100">
        <v>45792</v>
      </c>
      <c r="B2782" t="str">
        <f t="shared" si="132"/>
        <v>May</v>
      </c>
      <c r="C2782" s="46" t="s">
        <v>280</v>
      </c>
      <c r="F2782" s="366" t="s">
        <v>1791</v>
      </c>
      <c r="G2782" s="46" t="s">
        <v>208</v>
      </c>
      <c r="H2782" s="46">
        <v>14</v>
      </c>
      <c r="I2782" s="51">
        <v>189.75</v>
      </c>
      <c r="J2782" s="281">
        <f>++Tabla4[[#This Row],[Precio Bruto]]*1.16</f>
        <v>220.10999999999999</v>
      </c>
      <c r="K2782" s="281">
        <f>+Tabla4[[#This Row],[Precio Unitario Neto]]*Tabla4[[#Headers],[20.85%]]</f>
        <v>45.892934999999994</v>
      </c>
      <c r="L2782" s="282">
        <f>++Tabla4[[#This Row],[Precio Unitario Neto]]-Tabla4[[#This Row],[20.85%]]</f>
        <v>174.21706499999999</v>
      </c>
      <c r="M2782" s="282" t="e">
        <f>(INDEX(Tabla6[#All],MATCH(Tabla4[[#This Row],[Producto]],Tabla6[[#All],[PRODUCTO]],0),MATCH(Tabla4[[#This Row],[Mes]],Tabla6[#Headers],0)))*(1+Catalogos!$L$2)</f>
        <v>#N/A</v>
      </c>
      <c r="N2782" s="283" t="e">
        <f>+(Tabla4[[#This Row],[Precio Descontado]]-Tabla4[[#This Row],[Precio Base]])*Tabla4[[#This Row],[Cantidad]]</f>
        <v>#N/A</v>
      </c>
      <c r="O2782" s="284" t="e">
        <f>++Tabla4[[#This Row],[Utilidad Total]]/Tabla4[[#This Row],[Total]]</f>
        <v>#N/A</v>
      </c>
      <c r="P2782" s="282">
        <f>++Tabla4[[#This Row],[Precio Descontado]]*Tabla4[[#This Row],[Cantidad]]</f>
        <v>2439.0389099999998</v>
      </c>
      <c r="Q2782" s="282" t="e">
        <f>(INDEX(Tabla6[#All],MATCH(Tabla4[[#This Row],[Producto]],Tabla6[[#All],[PRODUCTO]],0),MATCH(Tabla4[[#This Row],[Mes]],Tabla6[#Headers],0)))</f>
        <v>#N/A</v>
      </c>
      <c r="R2782" s="282" t="e">
        <f>++Tabla4[[#This Row],[Precio Unitario Neto]]-Tabla4[[#This Row],[20.85%]]-Tabla4[[#This Row],[Costo]]</f>
        <v>#N/A</v>
      </c>
      <c r="S2782" s="282" t="e">
        <f>++Tabla4[[#This Row],[U. Bruta Uni]]*Tabla4[[#This Row],[Cantidad]]</f>
        <v>#N/A</v>
      </c>
      <c r="T2782" s="369" t="str">
        <f>VLOOKUP(Tabla4[[#This Row],[Producto]],Tabla6[#All],14,FALSE)</f>
        <v>Termico Solar</v>
      </c>
      <c r="U2782" s="284" t="e">
        <f>(IF(Tabla4[[#This Row],[Familia]]="termico solar",Tabla4[[#This Row],[Utilidad Total]]*6%,Tabla4[[#This Row],[Utilidad Total]]*11.5%))/Tabla4[[#This Row],[Total]]</f>
        <v>#N/A</v>
      </c>
      <c r="V2782" s="282" t="e">
        <f>+Tabla4[[#This Row],[Comisión Calculada]]*Tabla4[[#This Row],[Total]]</f>
        <v>#N/A</v>
      </c>
    </row>
    <row r="2783" spans="1:22" hidden="1" x14ac:dyDescent="0.25">
      <c r="A2783" s="100">
        <v>45792</v>
      </c>
      <c r="B2783" t="str">
        <f t="shared" si="132"/>
        <v>May</v>
      </c>
      <c r="C2783" s="46" t="s">
        <v>280</v>
      </c>
      <c r="F2783" s="366" t="s">
        <v>1792</v>
      </c>
      <c r="G2783" s="46" t="s">
        <v>19</v>
      </c>
      <c r="H2783" s="46">
        <v>2</v>
      </c>
      <c r="I2783" s="51">
        <v>6412.03</v>
      </c>
      <c r="J2783" s="281">
        <f>++Tabla4[[#This Row],[Precio Bruto]]*1.16</f>
        <v>7437.9547999999995</v>
      </c>
      <c r="K2783" s="281">
        <f>+Tabla4[[#This Row],[Precio Unitario Neto]]*Tabla4[[#Headers],[20.85%]]</f>
        <v>1550.8135757999999</v>
      </c>
      <c r="L2783" s="282">
        <f>++Tabla4[[#This Row],[Precio Unitario Neto]]-Tabla4[[#This Row],[20.85%]]</f>
        <v>5887.1412241999997</v>
      </c>
      <c r="M2783" s="282" t="e">
        <f>(INDEX(Tabla6[#All],MATCH(Tabla4[[#This Row],[Producto]],Tabla6[[#All],[PRODUCTO]],0),MATCH(Tabla4[[#This Row],[Mes]],Tabla6[#Headers],0)))*(1+Catalogos!$L$2)</f>
        <v>#N/A</v>
      </c>
      <c r="N2783" s="283" t="e">
        <f>+(Tabla4[[#This Row],[Precio Descontado]]-Tabla4[[#This Row],[Precio Base]])*Tabla4[[#This Row],[Cantidad]]</f>
        <v>#N/A</v>
      </c>
      <c r="O2783" s="284" t="e">
        <f>++Tabla4[[#This Row],[Utilidad Total]]/Tabla4[[#This Row],[Total]]</f>
        <v>#N/A</v>
      </c>
      <c r="P2783" s="282">
        <f>++Tabla4[[#This Row],[Precio Descontado]]*Tabla4[[#This Row],[Cantidad]]</f>
        <v>11774.282448399999</v>
      </c>
      <c r="Q2783" s="282" t="e">
        <f>(INDEX(Tabla6[#All],MATCH(Tabla4[[#This Row],[Producto]],Tabla6[[#All],[PRODUCTO]],0),MATCH(Tabla4[[#This Row],[Mes]],Tabla6[#Headers],0)))</f>
        <v>#N/A</v>
      </c>
      <c r="R2783" s="282" t="e">
        <f>++Tabla4[[#This Row],[Precio Unitario Neto]]-Tabla4[[#This Row],[20.85%]]-Tabla4[[#This Row],[Costo]]</f>
        <v>#N/A</v>
      </c>
      <c r="S2783" s="282" t="e">
        <f>++Tabla4[[#This Row],[U. Bruta Uni]]*Tabla4[[#This Row],[Cantidad]]</f>
        <v>#N/A</v>
      </c>
      <c r="T2783" s="369" t="str">
        <f>VLOOKUP(Tabla4[[#This Row],[Producto]],Tabla6[#All],14,FALSE)</f>
        <v>Termico Solar</v>
      </c>
      <c r="U2783" s="284" t="e">
        <f>(IF(Tabla4[[#This Row],[Familia]]="termico solar",Tabla4[[#This Row],[Utilidad Total]]*6%,Tabla4[[#This Row],[Utilidad Total]]*11.5%))/Tabla4[[#This Row],[Total]]</f>
        <v>#N/A</v>
      </c>
      <c r="V2783" s="282" t="e">
        <f>+Tabla4[[#This Row],[Comisión Calculada]]*Tabla4[[#This Row],[Total]]</f>
        <v>#N/A</v>
      </c>
    </row>
    <row r="2784" spans="1:22" hidden="1" x14ac:dyDescent="0.25">
      <c r="A2784" s="100">
        <v>45792</v>
      </c>
      <c r="B2784" t="str">
        <f t="shared" si="132"/>
        <v>May</v>
      </c>
      <c r="C2784" s="46" t="s">
        <v>280</v>
      </c>
      <c r="F2784" s="366" t="s">
        <v>1792</v>
      </c>
      <c r="G2784" s="46" t="s">
        <v>566</v>
      </c>
      <c r="H2784" s="46">
        <v>1</v>
      </c>
      <c r="I2784" s="51">
        <v>2109.4499999999998</v>
      </c>
      <c r="J2784" s="281">
        <f>++Tabla4[[#This Row],[Precio Bruto]]*1.16</f>
        <v>2446.9619999999995</v>
      </c>
      <c r="K2784" s="281">
        <f>+Tabla4[[#This Row],[Precio Unitario Neto]]*Tabla4[[#Headers],[20.85%]]</f>
        <v>510.19157699999988</v>
      </c>
      <c r="L2784" s="282">
        <f>++Tabla4[[#This Row],[Precio Unitario Neto]]-Tabla4[[#This Row],[20.85%]]</f>
        <v>1936.7704229999997</v>
      </c>
      <c r="M2784" s="282" t="e">
        <f>(INDEX(Tabla6[#All],MATCH(Tabla4[[#This Row],[Producto]],Tabla6[[#All],[PRODUCTO]],0),MATCH(Tabla4[[#This Row],[Mes]],Tabla6[#Headers],0)))*(1+Catalogos!$L$2)</f>
        <v>#N/A</v>
      </c>
      <c r="N2784" s="283" t="e">
        <f>+(Tabla4[[#This Row],[Precio Descontado]]-Tabla4[[#This Row],[Precio Base]])*Tabla4[[#This Row],[Cantidad]]</f>
        <v>#N/A</v>
      </c>
      <c r="O2784" s="284" t="e">
        <f>++Tabla4[[#This Row],[Utilidad Total]]/Tabla4[[#This Row],[Total]]</f>
        <v>#N/A</v>
      </c>
      <c r="P2784" s="282">
        <f>++Tabla4[[#This Row],[Precio Descontado]]*Tabla4[[#This Row],[Cantidad]]</f>
        <v>1936.7704229999997</v>
      </c>
      <c r="Q2784" s="282" t="e">
        <f>(INDEX(Tabla6[#All],MATCH(Tabla4[[#This Row],[Producto]],Tabla6[[#All],[PRODUCTO]],0),MATCH(Tabla4[[#This Row],[Mes]],Tabla6[#Headers],0)))</f>
        <v>#N/A</v>
      </c>
      <c r="R2784" s="282" t="e">
        <f>++Tabla4[[#This Row],[Precio Unitario Neto]]-Tabla4[[#This Row],[20.85%]]-Tabla4[[#This Row],[Costo]]</f>
        <v>#N/A</v>
      </c>
      <c r="S2784" s="282" t="e">
        <f>++Tabla4[[#This Row],[U. Bruta Uni]]*Tabla4[[#This Row],[Cantidad]]</f>
        <v>#N/A</v>
      </c>
      <c r="T2784" s="369" t="str">
        <f>VLOOKUP(Tabla4[[#This Row],[Producto]],Tabla6[#All],14,FALSE)</f>
        <v>Termico Solar</v>
      </c>
      <c r="U2784" s="284" t="e">
        <f>(IF(Tabla4[[#This Row],[Familia]]="termico solar",Tabla4[[#This Row],[Utilidad Total]]*6%,Tabla4[[#This Row],[Utilidad Total]]*11.5%))/Tabla4[[#This Row],[Total]]</f>
        <v>#N/A</v>
      </c>
      <c r="V2784" s="282" t="e">
        <f>+Tabla4[[#This Row],[Comisión Calculada]]*Tabla4[[#This Row],[Total]]</f>
        <v>#N/A</v>
      </c>
    </row>
    <row r="2785" spans="1:22" hidden="1" x14ac:dyDescent="0.25">
      <c r="A2785" s="100">
        <v>45792</v>
      </c>
      <c r="B2785" t="str">
        <f t="shared" si="132"/>
        <v>May</v>
      </c>
      <c r="C2785" s="46" t="s">
        <v>280</v>
      </c>
      <c r="F2785" s="366" t="s">
        <v>1793</v>
      </c>
      <c r="G2785" s="46" t="s">
        <v>208</v>
      </c>
      <c r="H2785" s="46">
        <v>3</v>
      </c>
      <c r="I2785" s="51">
        <v>189.75</v>
      </c>
      <c r="J2785" s="281">
        <f>++Tabla4[[#This Row],[Precio Bruto]]*1.16</f>
        <v>220.10999999999999</v>
      </c>
      <c r="K2785" s="281">
        <f>+Tabla4[[#This Row],[Precio Unitario Neto]]*Tabla4[[#Headers],[20.85%]]</f>
        <v>45.892934999999994</v>
      </c>
      <c r="L2785" s="282">
        <f>++Tabla4[[#This Row],[Precio Unitario Neto]]-Tabla4[[#This Row],[20.85%]]</f>
        <v>174.21706499999999</v>
      </c>
      <c r="M2785" s="282" t="e">
        <f>(INDEX(Tabla6[#All],MATCH(Tabla4[[#This Row],[Producto]],Tabla6[[#All],[PRODUCTO]],0),MATCH(Tabla4[[#This Row],[Mes]],Tabla6[#Headers],0)))*(1+Catalogos!$L$2)</f>
        <v>#N/A</v>
      </c>
      <c r="N2785" s="283" t="e">
        <f>+(Tabla4[[#This Row],[Precio Descontado]]-Tabla4[[#This Row],[Precio Base]])*Tabla4[[#This Row],[Cantidad]]</f>
        <v>#N/A</v>
      </c>
      <c r="O2785" s="284" t="e">
        <f>++Tabla4[[#This Row],[Utilidad Total]]/Tabla4[[#This Row],[Total]]</f>
        <v>#N/A</v>
      </c>
      <c r="P2785" s="282">
        <f>++Tabla4[[#This Row],[Precio Descontado]]*Tabla4[[#This Row],[Cantidad]]</f>
        <v>522.65119499999992</v>
      </c>
      <c r="Q2785" s="282" t="e">
        <f>(INDEX(Tabla6[#All],MATCH(Tabla4[[#This Row],[Producto]],Tabla6[[#All],[PRODUCTO]],0),MATCH(Tabla4[[#This Row],[Mes]],Tabla6[#Headers],0)))</f>
        <v>#N/A</v>
      </c>
      <c r="R2785" s="282" t="e">
        <f>++Tabla4[[#This Row],[Precio Unitario Neto]]-Tabla4[[#This Row],[20.85%]]-Tabla4[[#This Row],[Costo]]</f>
        <v>#N/A</v>
      </c>
      <c r="S2785" s="282" t="e">
        <f>++Tabla4[[#This Row],[U. Bruta Uni]]*Tabla4[[#This Row],[Cantidad]]</f>
        <v>#N/A</v>
      </c>
      <c r="T2785" s="369" t="str">
        <f>VLOOKUP(Tabla4[[#This Row],[Producto]],Tabla6[#All],14,FALSE)</f>
        <v>Termico Solar</v>
      </c>
      <c r="U2785" s="284" t="e">
        <f>(IF(Tabla4[[#This Row],[Familia]]="termico solar",Tabla4[[#This Row],[Utilidad Total]]*6%,Tabla4[[#This Row],[Utilidad Total]]*11.5%))/Tabla4[[#This Row],[Total]]</f>
        <v>#N/A</v>
      </c>
      <c r="V2785" s="282" t="e">
        <f>+Tabla4[[#This Row],[Comisión Calculada]]*Tabla4[[#This Row],[Total]]</f>
        <v>#N/A</v>
      </c>
    </row>
    <row r="2786" spans="1:22" hidden="1" x14ac:dyDescent="0.25">
      <c r="A2786" s="100">
        <v>45792</v>
      </c>
      <c r="B2786" t="str">
        <f t="shared" si="132"/>
        <v>May</v>
      </c>
      <c r="C2786" s="46" t="s">
        <v>280</v>
      </c>
      <c r="F2786" s="366" t="s">
        <v>1794</v>
      </c>
      <c r="G2786" s="46" t="s">
        <v>18</v>
      </c>
      <c r="H2786" s="46">
        <v>3</v>
      </c>
      <c r="I2786" s="51">
        <v>5367.6500000000005</v>
      </c>
      <c r="J2786" s="281">
        <f>++Tabla4[[#This Row],[Precio Bruto]]*1.16</f>
        <v>6226.4740000000002</v>
      </c>
      <c r="K2786" s="281">
        <f>+Tabla4[[#This Row],[Precio Unitario Neto]]*Tabla4[[#Headers],[20.85%]]</f>
        <v>1298.2198289999999</v>
      </c>
      <c r="L2786" s="282">
        <f>++Tabla4[[#This Row],[Precio Unitario Neto]]-Tabla4[[#This Row],[20.85%]]</f>
        <v>4928.2541710000005</v>
      </c>
      <c r="M2786" s="282" t="e">
        <f>(INDEX(Tabla6[#All],MATCH(Tabla4[[#This Row],[Producto]],Tabla6[[#All],[PRODUCTO]],0),MATCH(Tabla4[[#This Row],[Mes]],Tabla6[#Headers],0)))*(1+Catalogos!$L$2)</f>
        <v>#N/A</v>
      </c>
      <c r="N2786" s="283" t="e">
        <f>+(Tabla4[[#This Row],[Precio Descontado]]-Tabla4[[#This Row],[Precio Base]])*Tabla4[[#This Row],[Cantidad]]</f>
        <v>#N/A</v>
      </c>
      <c r="O2786" s="284" t="e">
        <f>++Tabla4[[#This Row],[Utilidad Total]]/Tabla4[[#This Row],[Total]]</f>
        <v>#N/A</v>
      </c>
      <c r="P2786" s="282">
        <f>++Tabla4[[#This Row],[Precio Descontado]]*Tabla4[[#This Row],[Cantidad]]</f>
        <v>14784.762513000001</v>
      </c>
      <c r="Q2786" s="282" t="e">
        <f>(INDEX(Tabla6[#All],MATCH(Tabla4[[#This Row],[Producto]],Tabla6[[#All],[PRODUCTO]],0),MATCH(Tabla4[[#This Row],[Mes]],Tabla6[#Headers],0)))</f>
        <v>#N/A</v>
      </c>
      <c r="R2786" s="282" t="e">
        <f>++Tabla4[[#This Row],[Precio Unitario Neto]]-Tabla4[[#This Row],[20.85%]]-Tabla4[[#This Row],[Costo]]</f>
        <v>#N/A</v>
      </c>
      <c r="S2786" s="282" t="e">
        <f>++Tabla4[[#This Row],[U. Bruta Uni]]*Tabla4[[#This Row],[Cantidad]]</f>
        <v>#N/A</v>
      </c>
      <c r="T2786" s="369" t="str">
        <f>VLOOKUP(Tabla4[[#This Row],[Producto]],Tabla6[#All],14,FALSE)</f>
        <v>Termico Solar</v>
      </c>
      <c r="U2786" s="284" t="e">
        <f>(IF(Tabla4[[#This Row],[Familia]]="termico solar",Tabla4[[#This Row],[Utilidad Total]]*6%,Tabla4[[#This Row],[Utilidad Total]]*11.5%))/Tabla4[[#This Row],[Total]]</f>
        <v>#N/A</v>
      </c>
      <c r="V2786" s="282" t="e">
        <f>+Tabla4[[#This Row],[Comisión Calculada]]*Tabla4[[#This Row],[Total]]</f>
        <v>#N/A</v>
      </c>
    </row>
    <row r="2787" spans="1:22" hidden="1" x14ac:dyDescent="0.25">
      <c r="A2787" s="100">
        <v>45792</v>
      </c>
      <c r="B2787" t="str">
        <f t="shared" si="132"/>
        <v>May</v>
      </c>
      <c r="C2787" s="46" t="s">
        <v>280</v>
      </c>
      <c r="F2787" s="366" t="s">
        <v>1794</v>
      </c>
      <c r="G2787" s="46" t="s">
        <v>16</v>
      </c>
      <c r="H2787" s="46">
        <v>2</v>
      </c>
      <c r="I2787" s="51">
        <v>4103.8500000000004</v>
      </c>
      <c r="J2787" s="281">
        <f>++Tabla4[[#This Row],[Precio Bruto]]*1.16</f>
        <v>4760.4660000000003</v>
      </c>
      <c r="K2787" s="281">
        <f>+Tabla4[[#This Row],[Precio Unitario Neto]]*Tabla4[[#Headers],[20.85%]]</f>
        <v>992.55716100000006</v>
      </c>
      <c r="L2787" s="282">
        <f>++Tabla4[[#This Row],[Precio Unitario Neto]]-Tabla4[[#This Row],[20.85%]]</f>
        <v>3767.9088390000002</v>
      </c>
      <c r="M2787" s="282" t="e">
        <f>(INDEX(Tabla6[#All],MATCH(Tabla4[[#This Row],[Producto]],Tabla6[[#All],[PRODUCTO]],0),MATCH(Tabla4[[#This Row],[Mes]],Tabla6[#Headers],0)))*(1+Catalogos!$L$2)</f>
        <v>#N/A</v>
      </c>
      <c r="N2787" s="283" t="e">
        <f>+(Tabla4[[#This Row],[Precio Descontado]]-Tabla4[[#This Row],[Precio Base]])*Tabla4[[#This Row],[Cantidad]]</f>
        <v>#N/A</v>
      </c>
      <c r="O2787" s="284" t="e">
        <f>++Tabla4[[#This Row],[Utilidad Total]]/Tabla4[[#This Row],[Total]]</f>
        <v>#N/A</v>
      </c>
      <c r="P2787" s="282">
        <f>++Tabla4[[#This Row],[Precio Descontado]]*Tabla4[[#This Row],[Cantidad]]</f>
        <v>7535.8176780000003</v>
      </c>
      <c r="Q2787" s="282" t="e">
        <f>(INDEX(Tabla6[#All],MATCH(Tabla4[[#This Row],[Producto]],Tabla6[[#All],[PRODUCTO]],0),MATCH(Tabla4[[#This Row],[Mes]],Tabla6[#Headers],0)))</f>
        <v>#N/A</v>
      </c>
      <c r="R2787" s="282" t="e">
        <f>++Tabla4[[#This Row],[Precio Unitario Neto]]-Tabla4[[#This Row],[20.85%]]-Tabla4[[#This Row],[Costo]]</f>
        <v>#N/A</v>
      </c>
      <c r="S2787" s="282" t="e">
        <f>++Tabla4[[#This Row],[U. Bruta Uni]]*Tabla4[[#This Row],[Cantidad]]</f>
        <v>#N/A</v>
      </c>
      <c r="T2787" s="369" t="str">
        <f>VLOOKUP(Tabla4[[#This Row],[Producto]],Tabla6[#All],14,FALSE)</f>
        <v>Termico Solar</v>
      </c>
      <c r="U2787" s="284" t="e">
        <f>(IF(Tabla4[[#This Row],[Familia]]="termico solar",Tabla4[[#This Row],[Utilidad Total]]*6%,Tabla4[[#This Row],[Utilidad Total]]*11.5%))/Tabla4[[#This Row],[Total]]</f>
        <v>#N/A</v>
      </c>
      <c r="V2787" s="282" t="e">
        <f>+Tabla4[[#This Row],[Comisión Calculada]]*Tabla4[[#This Row],[Total]]</f>
        <v>#N/A</v>
      </c>
    </row>
    <row r="2788" spans="1:22" hidden="1" x14ac:dyDescent="0.25">
      <c r="A2788" s="100">
        <v>45792</v>
      </c>
      <c r="B2788" t="str">
        <f t="shared" si="132"/>
        <v>May</v>
      </c>
      <c r="C2788" s="46" t="s">
        <v>280</v>
      </c>
      <c r="F2788" s="366" t="s">
        <v>1794</v>
      </c>
      <c r="G2788" s="46" t="s">
        <v>208</v>
      </c>
      <c r="H2788" s="46">
        <v>2</v>
      </c>
      <c r="I2788" s="51">
        <v>189.75</v>
      </c>
      <c r="J2788" s="281">
        <f>++Tabla4[[#This Row],[Precio Bruto]]*1.16</f>
        <v>220.10999999999999</v>
      </c>
      <c r="K2788" s="281">
        <f>+Tabla4[[#This Row],[Precio Unitario Neto]]*Tabla4[[#Headers],[20.85%]]</f>
        <v>45.892934999999994</v>
      </c>
      <c r="L2788" s="282">
        <f>++Tabla4[[#This Row],[Precio Unitario Neto]]-Tabla4[[#This Row],[20.85%]]</f>
        <v>174.21706499999999</v>
      </c>
      <c r="M2788" s="282" t="e">
        <f>(INDEX(Tabla6[#All],MATCH(Tabla4[[#This Row],[Producto]],Tabla6[[#All],[PRODUCTO]],0),MATCH(Tabla4[[#This Row],[Mes]],Tabla6[#Headers],0)))*(1+Catalogos!$L$2)</f>
        <v>#N/A</v>
      </c>
      <c r="N2788" s="283" t="e">
        <f>+(Tabla4[[#This Row],[Precio Descontado]]-Tabla4[[#This Row],[Precio Base]])*Tabla4[[#This Row],[Cantidad]]</f>
        <v>#N/A</v>
      </c>
      <c r="O2788" s="284" t="e">
        <f>++Tabla4[[#This Row],[Utilidad Total]]/Tabla4[[#This Row],[Total]]</f>
        <v>#N/A</v>
      </c>
      <c r="P2788" s="282">
        <f>++Tabla4[[#This Row],[Precio Descontado]]*Tabla4[[#This Row],[Cantidad]]</f>
        <v>348.43412999999998</v>
      </c>
      <c r="Q2788" s="282" t="e">
        <f>(INDEX(Tabla6[#All],MATCH(Tabla4[[#This Row],[Producto]],Tabla6[[#All],[PRODUCTO]],0),MATCH(Tabla4[[#This Row],[Mes]],Tabla6[#Headers],0)))</f>
        <v>#N/A</v>
      </c>
      <c r="R2788" s="282" t="e">
        <f>++Tabla4[[#This Row],[Precio Unitario Neto]]-Tabla4[[#This Row],[20.85%]]-Tabla4[[#This Row],[Costo]]</f>
        <v>#N/A</v>
      </c>
      <c r="S2788" s="282" t="e">
        <f>++Tabla4[[#This Row],[U. Bruta Uni]]*Tabla4[[#This Row],[Cantidad]]</f>
        <v>#N/A</v>
      </c>
      <c r="T2788" s="369" t="str">
        <f>VLOOKUP(Tabla4[[#This Row],[Producto]],Tabla6[#All],14,FALSE)</f>
        <v>Termico Solar</v>
      </c>
      <c r="U2788" s="284" t="e">
        <f>(IF(Tabla4[[#This Row],[Familia]]="termico solar",Tabla4[[#This Row],[Utilidad Total]]*6%,Tabla4[[#This Row],[Utilidad Total]]*11.5%))/Tabla4[[#This Row],[Total]]</f>
        <v>#N/A</v>
      </c>
      <c r="V2788" s="282" t="e">
        <f>+Tabla4[[#This Row],[Comisión Calculada]]*Tabla4[[#This Row],[Total]]</f>
        <v>#N/A</v>
      </c>
    </row>
    <row r="2789" spans="1:22" hidden="1" x14ac:dyDescent="0.25">
      <c r="A2789" s="100">
        <v>45792</v>
      </c>
      <c r="B2789" t="str">
        <f t="shared" si="132"/>
        <v>May</v>
      </c>
      <c r="C2789" s="46" t="s">
        <v>280</v>
      </c>
      <c r="F2789" s="366" t="s">
        <v>1795</v>
      </c>
      <c r="G2789" s="46" t="s">
        <v>17</v>
      </c>
      <c r="H2789" s="46">
        <v>4</v>
      </c>
      <c r="I2789" s="51">
        <v>4622.28</v>
      </c>
      <c r="J2789" s="281">
        <f>++Tabla4[[#This Row],[Precio Bruto]]*1.16</f>
        <v>5361.8447999999989</v>
      </c>
      <c r="K2789" s="281">
        <f>+Tabla4[[#This Row],[Precio Unitario Neto]]*Tabla4[[#Headers],[20.85%]]</f>
        <v>1117.9446407999997</v>
      </c>
      <c r="L2789" s="282">
        <f>++Tabla4[[#This Row],[Precio Unitario Neto]]-Tabla4[[#This Row],[20.85%]]</f>
        <v>4243.9001591999995</v>
      </c>
      <c r="M2789" s="282" t="e">
        <f>(INDEX(Tabla6[#All],MATCH(Tabla4[[#This Row],[Producto]],Tabla6[[#All],[PRODUCTO]],0),MATCH(Tabla4[[#This Row],[Mes]],Tabla6[#Headers],0)))*(1+Catalogos!$L$2)</f>
        <v>#N/A</v>
      </c>
      <c r="N2789" s="283" t="e">
        <f>+(Tabla4[[#This Row],[Precio Descontado]]-Tabla4[[#This Row],[Precio Base]])*Tabla4[[#This Row],[Cantidad]]</f>
        <v>#N/A</v>
      </c>
      <c r="O2789" s="284" t="e">
        <f>++Tabla4[[#This Row],[Utilidad Total]]/Tabla4[[#This Row],[Total]]</f>
        <v>#N/A</v>
      </c>
      <c r="P2789" s="282">
        <f>++Tabla4[[#This Row],[Precio Descontado]]*Tabla4[[#This Row],[Cantidad]]</f>
        <v>16975.600636799998</v>
      </c>
      <c r="Q2789" s="282" t="e">
        <f>(INDEX(Tabla6[#All],MATCH(Tabla4[[#This Row],[Producto]],Tabla6[[#All],[PRODUCTO]],0),MATCH(Tabla4[[#This Row],[Mes]],Tabla6[#Headers],0)))</f>
        <v>#N/A</v>
      </c>
      <c r="R2789" s="282" t="e">
        <f>++Tabla4[[#This Row],[Precio Unitario Neto]]-Tabla4[[#This Row],[20.85%]]-Tabla4[[#This Row],[Costo]]</f>
        <v>#N/A</v>
      </c>
      <c r="S2789" s="282" t="e">
        <f>++Tabla4[[#This Row],[U. Bruta Uni]]*Tabla4[[#This Row],[Cantidad]]</f>
        <v>#N/A</v>
      </c>
      <c r="T2789" s="369" t="str">
        <f>VLOOKUP(Tabla4[[#This Row],[Producto]],Tabla6[#All],14,FALSE)</f>
        <v>Termico Solar</v>
      </c>
      <c r="U2789" s="284" t="e">
        <f>(IF(Tabla4[[#This Row],[Familia]]="termico solar",Tabla4[[#This Row],[Utilidad Total]]*6%,Tabla4[[#This Row],[Utilidad Total]]*11.5%))/Tabla4[[#This Row],[Total]]</f>
        <v>#N/A</v>
      </c>
      <c r="V2789" s="282" t="e">
        <f>+Tabla4[[#This Row],[Comisión Calculada]]*Tabla4[[#This Row],[Total]]</f>
        <v>#N/A</v>
      </c>
    </row>
    <row r="2790" spans="1:22" hidden="1" x14ac:dyDescent="0.25">
      <c r="A2790" s="100">
        <v>45792</v>
      </c>
      <c r="B2790" t="str">
        <f t="shared" si="132"/>
        <v>May</v>
      </c>
      <c r="C2790" s="46" t="s">
        <v>280</v>
      </c>
      <c r="F2790" s="366" t="s">
        <v>1795</v>
      </c>
      <c r="G2790" s="46" t="s">
        <v>566</v>
      </c>
      <c r="H2790" s="46">
        <v>1</v>
      </c>
      <c r="I2790" s="51">
        <v>2109.4499999999998</v>
      </c>
      <c r="J2790" s="281">
        <f>++Tabla4[[#This Row],[Precio Bruto]]*1.16</f>
        <v>2446.9619999999995</v>
      </c>
      <c r="K2790" s="281">
        <f>+Tabla4[[#This Row],[Precio Unitario Neto]]*Tabla4[[#Headers],[20.85%]]</f>
        <v>510.19157699999988</v>
      </c>
      <c r="L2790" s="282">
        <f>++Tabla4[[#This Row],[Precio Unitario Neto]]-Tabla4[[#This Row],[20.85%]]</f>
        <v>1936.7704229999997</v>
      </c>
      <c r="M2790" s="282" t="e">
        <f>(INDEX(Tabla6[#All],MATCH(Tabla4[[#This Row],[Producto]],Tabla6[[#All],[PRODUCTO]],0),MATCH(Tabla4[[#This Row],[Mes]],Tabla6[#Headers],0)))*(1+Catalogos!$L$2)</f>
        <v>#N/A</v>
      </c>
      <c r="N2790" s="283" t="e">
        <f>+(Tabla4[[#This Row],[Precio Descontado]]-Tabla4[[#This Row],[Precio Base]])*Tabla4[[#This Row],[Cantidad]]</f>
        <v>#N/A</v>
      </c>
      <c r="O2790" s="284" t="e">
        <f>++Tabla4[[#This Row],[Utilidad Total]]/Tabla4[[#This Row],[Total]]</f>
        <v>#N/A</v>
      </c>
      <c r="P2790" s="282">
        <f>++Tabla4[[#This Row],[Precio Descontado]]*Tabla4[[#This Row],[Cantidad]]</f>
        <v>1936.7704229999997</v>
      </c>
      <c r="Q2790" s="282" t="e">
        <f>(INDEX(Tabla6[#All],MATCH(Tabla4[[#This Row],[Producto]],Tabla6[[#All],[PRODUCTO]],0),MATCH(Tabla4[[#This Row],[Mes]],Tabla6[#Headers],0)))</f>
        <v>#N/A</v>
      </c>
      <c r="R2790" s="282" t="e">
        <f>++Tabla4[[#This Row],[Precio Unitario Neto]]-Tabla4[[#This Row],[20.85%]]-Tabla4[[#This Row],[Costo]]</f>
        <v>#N/A</v>
      </c>
      <c r="S2790" s="282" t="e">
        <f>++Tabla4[[#This Row],[U. Bruta Uni]]*Tabla4[[#This Row],[Cantidad]]</f>
        <v>#N/A</v>
      </c>
      <c r="T2790" s="369" t="str">
        <f>VLOOKUP(Tabla4[[#This Row],[Producto]],Tabla6[#All],14,FALSE)</f>
        <v>Termico Solar</v>
      </c>
      <c r="U2790" s="284" t="e">
        <f>(IF(Tabla4[[#This Row],[Familia]]="termico solar",Tabla4[[#This Row],[Utilidad Total]]*6%,Tabla4[[#This Row],[Utilidad Total]]*11.5%))/Tabla4[[#This Row],[Total]]</f>
        <v>#N/A</v>
      </c>
      <c r="V2790" s="282" t="e">
        <f>+Tabla4[[#This Row],[Comisión Calculada]]*Tabla4[[#This Row],[Total]]</f>
        <v>#N/A</v>
      </c>
    </row>
    <row r="2791" spans="1:22" hidden="1" x14ac:dyDescent="0.25">
      <c r="A2791" s="100">
        <v>45792</v>
      </c>
      <c r="B2791" t="str">
        <f t="shared" si="132"/>
        <v>May</v>
      </c>
      <c r="C2791" s="46" t="s">
        <v>280</v>
      </c>
      <c r="F2791" s="366" t="s">
        <v>1796</v>
      </c>
      <c r="G2791" s="46" t="s">
        <v>19</v>
      </c>
      <c r="H2791" s="46">
        <v>2</v>
      </c>
      <c r="I2791" s="51">
        <v>6412.03</v>
      </c>
      <c r="J2791" s="281">
        <f>++Tabla4[[#This Row],[Precio Bruto]]*1.16</f>
        <v>7437.9547999999995</v>
      </c>
      <c r="K2791" s="281">
        <f>+Tabla4[[#This Row],[Precio Unitario Neto]]*Tabla4[[#Headers],[20.85%]]</f>
        <v>1550.8135757999999</v>
      </c>
      <c r="L2791" s="282">
        <f>++Tabla4[[#This Row],[Precio Unitario Neto]]-Tabla4[[#This Row],[20.85%]]</f>
        <v>5887.1412241999997</v>
      </c>
      <c r="M2791" s="282" t="e">
        <f>(INDEX(Tabla6[#All],MATCH(Tabla4[[#This Row],[Producto]],Tabla6[[#All],[PRODUCTO]],0),MATCH(Tabla4[[#This Row],[Mes]],Tabla6[#Headers],0)))*(1+Catalogos!$L$2)</f>
        <v>#N/A</v>
      </c>
      <c r="N2791" s="283" t="e">
        <f>+(Tabla4[[#This Row],[Precio Descontado]]-Tabla4[[#This Row],[Precio Base]])*Tabla4[[#This Row],[Cantidad]]</f>
        <v>#N/A</v>
      </c>
      <c r="O2791" s="284" t="e">
        <f>++Tabla4[[#This Row],[Utilidad Total]]/Tabla4[[#This Row],[Total]]</f>
        <v>#N/A</v>
      </c>
      <c r="P2791" s="282">
        <f>++Tabla4[[#This Row],[Precio Descontado]]*Tabla4[[#This Row],[Cantidad]]</f>
        <v>11774.282448399999</v>
      </c>
      <c r="Q2791" s="282" t="e">
        <f>(INDEX(Tabla6[#All],MATCH(Tabla4[[#This Row],[Producto]],Tabla6[[#All],[PRODUCTO]],0),MATCH(Tabla4[[#This Row],[Mes]],Tabla6[#Headers],0)))</f>
        <v>#N/A</v>
      </c>
      <c r="R2791" s="282" t="e">
        <f>++Tabla4[[#This Row],[Precio Unitario Neto]]-Tabla4[[#This Row],[20.85%]]-Tabla4[[#This Row],[Costo]]</f>
        <v>#N/A</v>
      </c>
      <c r="S2791" s="282" t="e">
        <f>++Tabla4[[#This Row],[U. Bruta Uni]]*Tabla4[[#This Row],[Cantidad]]</f>
        <v>#N/A</v>
      </c>
      <c r="T2791" s="369" t="str">
        <f>VLOOKUP(Tabla4[[#This Row],[Producto]],Tabla6[#All],14,FALSE)</f>
        <v>Termico Solar</v>
      </c>
      <c r="U2791" s="284" t="e">
        <f>(IF(Tabla4[[#This Row],[Familia]]="termico solar",Tabla4[[#This Row],[Utilidad Total]]*6%,Tabla4[[#This Row],[Utilidad Total]]*11.5%))/Tabla4[[#This Row],[Total]]</f>
        <v>#N/A</v>
      </c>
      <c r="V2791" s="282" t="e">
        <f>+Tabla4[[#This Row],[Comisión Calculada]]*Tabla4[[#This Row],[Total]]</f>
        <v>#N/A</v>
      </c>
    </row>
    <row r="2792" spans="1:22" hidden="1" x14ac:dyDescent="0.25">
      <c r="A2792" s="100">
        <v>45792</v>
      </c>
      <c r="B2792" t="str">
        <f t="shared" ref="B2792:B2795" si="133">TEXT(A2792, "mmmm")</f>
        <v>May</v>
      </c>
      <c r="C2792" s="46" t="s">
        <v>280</v>
      </c>
      <c r="F2792" s="366" t="s">
        <v>1796</v>
      </c>
      <c r="G2792" s="46" t="s">
        <v>208</v>
      </c>
      <c r="H2792" s="46">
        <v>6</v>
      </c>
      <c r="I2792" s="51">
        <v>189.75</v>
      </c>
      <c r="J2792" s="281">
        <f>++Tabla4[[#This Row],[Precio Bruto]]*1.16</f>
        <v>220.10999999999999</v>
      </c>
      <c r="K2792" s="281">
        <f>+Tabla4[[#This Row],[Precio Unitario Neto]]*Tabla4[[#Headers],[20.85%]]</f>
        <v>45.892934999999994</v>
      </c>
      <c r="L2792" s="282">
        <f>++Tabla4[[#This Row],[Precio Unitario Neto]]-Tabla4[[#This Row],[20.85%]]</f>
        <v>174.21706499999999</v>
      </c>
      <c r="M2792" s="282" t="e">
        <f>(INDEX(Tabla6[#All],MATCH(Tabla4[[#This Row],[Producto]],Tabla6[[#All],[PRODUCTO]],0),MATCH(Tabla4[[#This Row],[Mes]],Tabla6[#Headers],0)))*(1+Catalogos!$L$2)</f>
        <v>#N/A</v>
      </c>
      <c r="N2792" s="283" t="e">
        <f>+(Tabla4[[#This Row],[Precio Descontado]]-Tabla4[[#This Row],[Precio Base]])*Tabla4[[#This Row],[Cantidad]]</f>
        <v>#N/A</v>
      </c>
      <c r="O2792" s="284" t="e">
        <f>++Tabla4[[#This Row],[Utilidad Total]]/Tabla4[[#This Row],[Total]]</f>
        <v>#N/A</v>
      </c>
      <c r="P2792" s="282">
        <f>++Tabla4[[#This Row],[Precio Descontado]]*Tabla4[[#This Row],[Cantidad]]</f>
        <v>1045.3023899999998</v>
      </c>
      <c r="Q2792" s="282" t="e">
        <f>(INDEX(Tabla6[#All],MATCH(Tabla4[[#This Row],[Producto]],Tabla6[[#All],[PRODUCTO]],0),MATCH(Tabla4[[#This Row],[Mes]],Tabla6[#Headers],0)))</f>
        <v>#N/A</v>
      </c>
      <c r="R2792" s="282" t="e">
        <f>++Tabla4[[#This Row],[Precio Unitario Neto]]-Tabla4[[#This Row],[20.85%]]-Tabla4[[#This Row],[Costo]]</f>
        <v>#N/A</v>
      </c>
      <c r="S2792" s="282" t="e">
        <f>++Tabla4[[#This Row],[U. Bruta Uni]]*Tabla4[[#This Row],[Cantidad]]</f>
        <v>#N/A</v>
      </c>
      <c r="T2792" s="369" t="str">
        <f>VLOOKUP(Tabla4[[#This Row],[Producto]],Tabla6[#All],14,FALSE)</f>
        <v>Termico Solar</v>
      </c>
      <c r="U2792" s="284" t="e">
        <f>(IF(Tabla4[[#This Row],[Familia]]="termico solar",Tabla4[[#This Row],[Utilidad Total]]*6%,Tabla4[[#This Row],[Utilidad Total]]*11.5%))/Tabla4[[#This Row],[Total]]</f>
        <v>#N/A</v>
      </c>
      <c r="V2792" s="282" t="e">
        <f>+Tabla4[[#This Row],[Comisión Calculada]]*Tabla4[[#This Row],[Total]]</f>
        <v>#N/A</v>
      </c>
    </row>
    <row r="2793" spans="1:22" hidden="1" x14ac:dyDescent="0.25">
      <c r="A2793" s="100">
        <v>45792</v>
      </c>
      <c r="B2793" t="str">
        <f t="shared" si="133"/>
        <v>May</v>
      </c>
      <c r="C2793" s="46" t="s">
        <v>280</v>
      </c>
      <c r="F2793" s="366" t="s">
        <v>1797</v>
      </c>
      <c r="G2793" s="46" t="s">
        <v>83</v>
      </c>
      <c r="H2793" s="46">
        <v>1</v>
      </c>
      <c r="I2793" s="51">
        <v>8858.76</v>
      </c>
      <c r="J2793" s="281">
        <f>++Tabla4[[#This Row],[Precio Bruto]]*1.16</f>
        <v>10276.161599999999</v>
      </c>
      <c r="K2793" s="281">
        <f>+Tabla4[[#This Row],[Precio Unitario Neto]]*Tabla4[[#Headers],[20.85%]]</f>
        <v>2142.5796935999997</v>
      </c>
      <c r="L2793" s="282">
        <f>++Tabla4[[#This Row],[Precio Unitario Neto]]-Tabla4[[#This Row],[20.85%]]</f>
        <v>8133.5819063999998</v>
      </c>
      <c r="M2793" s="282" t="e">
        <f>(INDEX(Tabla6[#All],MATCH(Tabla4[[#This Row],[Producto]],Tabla6[[#All],[PRODUCTO]],0),MATCH(Tabla4[[#This Row],[Mes]],Tabla6[#Headers],0)))*(1+Catalogos!$L$2)</f>
        <v>#N/A</v>
      </c>
      <c r="N2793" s="283" t="e">
        <f>+(Tabla4[[#This Row],[Precio Descontado]]-Tabla4[[#This Row],[Precio Base]])*Tabla4[[#This Row],[Cantidad]]</f>
        <v>#N/A</v>
      </c>
      <c r="O2793" s="284" t="e">
        <f>++Tabla4[[#This Row],[Utilidad Total]]/Tabla4[[#This Row],[Total]]</f>
        <v>#N/A</v>
      </c>
      <c r="P2793" s="282">
        <f>++Tabla4[[#This Row],[Precio Descontado]]*Tabla4[[#This Row],[Cantidad]]</f>
        <v>8133.5819063999998</v>
      </c>
      <c r="Q2793" s="282" t="e">
        <f>(INDEX(Tabla6[#All],MATCH(Tabla4[[#This Row],[Producto]],Tabla6[[#All],[PRODUCTO]],0),MATCH(Tabla4[[#This Row],[Mes]],Tabla6[#Headers],0)))</f>
        <v>#N/A</v>
      </c>
      <c r="R2793" s="282" t="e">
        <f>++Tabla4[[#This Row],[Precio Unitario Neto]]-Tabla4[[#This Row],[20.85%]]-Tabla4[[#This Row],[Costo]]</f>
        <v>#N/A</v>
      </c>
      <c r="S2793" s="282" t="e">
        <f>++Tabla4[[#This Row],[U. Bruta Uni]]*Tabla4[[#This Row],[Cantidad]]</f>
        <v>#N/A</v>
      </c>
      <c r="T2793" s="369" t="str">
        <f>VLOOKUP(Tabla4[[#This Row],[Producto]],Tabla6[#All],14,FALSE)</f>
        <v>Termico Solar</v>
      </c>
      <c r="U2793" s="284" t="e">
        <f>(IF(Tabla4[[#This Row],[Familia]]="termico solar",Tabla4[[#This Row],[Utilidad Total]]*6%,Tabla4[[#This Row],[Utilidad Total]]*11.5%))/Tabla4[[#This Row],[Total]]</f>
        <v>#N/A</v>
      </c>
      <c r="V2793" s="282" t="e">
        <f>+Tabla4[[#This Row],[Comisión Calculada]]*Tabla4[[#This Row],[Total]]</f>
        <v>#N/A</v>
      </c>
    </row>
    <row r="2794" spans="1:22" hidden="1" x14ac:dyDescent="0.25">
      <c r="A2794" s="100">
        <v>45792</v>
      </c>
      <c r="B2794" t="str">
        <f t="shared" si="133"/>
        <v>May</v>
      </c>
      <c r="C2794" s="46" t="s">
        <v>280</v>
      </c>
      <c r="F2794" s="366" t="s">
        <v>1798</v>
      </c>
      <c r="G2794" s="46" t="s">
        <v>208</v>
      </c>
      <c r="H2794" s="46">
        <v>1</v>
      </c>
      <c r="I2794" s="51">
        <v>189.75</v>
      </c>
      <c r="J2794" s="281">
        <f>++Tabla4[[#This Row],[Precio Bruto]]*1.16</f>
        <v>220.10999999999999</v>
      </c>
      <c r="K2794" s="281">
        <f>+Tabla4[[#This Row],[Precio Unitario Neto]]*Tabla4[[#Headers],[20.85%]]</f>
        <v>45.892934999999994</v>
      </c>
      <c r="L2794" s="282">
        <f>++Tabla4[[#This Row],[Precio Unitario Neto]]-Tabla4[[#This Row],[20.85%]]</f>
        <v>174.21706499999999</v>
      </c>
      <c r="M2794" s="282" t="e">
        <f>(INDEX(Tabla6[#All],MATCH(Tabla4[[#This Row],[Producto]],Tabla6[[#All],[PRODUCTO]],0),MATCH(Tabla4[[#This Row],[Mes]],Tabla6[#Headers],0)))*(1+Catalogos!$L$2)</f>
        <v>#N/A</v>
      </c>
      <c r="N2794" s="283" t="e">
        <f>+(Tabla4[[#This Row],[Precio Descontado]]-Tabla4[[#This Row],[Precio Base]])*Tabla4[[#This Row],[Cantidad]]</f>
        <v>#N/A</v>
      </c>
      <c r="O2794" s="284" t="e">
        <f>++Tabla4[[#This Row],[Utilidad Total]]/Tabla4[[#This Row],[Total]]</f>
        <v>#N/A</v>
      </c>
      <c r="P2794" s="282">
        <f>++Tabla4[[#This Row],[Precio Descontado]]*Tabla4[[#This Row],[Cantidad]]</f>
        <v>174.21706499999999</v>
      </c>
      <c r="Q2794" s="282" t="e">
        <f>(INDEX(Tabla6[#All],MATCH(Tabla4[[#This Row],[Producto]],Tabla6[[#All],[PRODUCTO]],0),MATCH(Tabla4[[#This Row],[Mes]],Tabla6[#Headers],0)))</f>
        <v>#N/A</v>
      </c>
      <c r="R2794" s="282" t="e">
        <f>++Tabla4[[#This Row],[Precio Unitario Neto]]-Tabla4[[#This Row],[20.85%]]-Tabla4[[#This Row],[Costo]]</f>
        <v>#N/A</v>
      </c>
      <c r="S2794" s="282" t="e">
        <f>++Tabla4[[#This Row],[U. Bruta Uni]]*Tabla4[[#This Row],[Cantidad]]</f>
        <v>#N/A</v>
      </c>
      <c r="T2794" s="369" t="str">
        <f>VLOOKUP(Tabla4[[#This Row],[Producto]],Tabla6[#All],14,FALSE)</f>
        <v>Termico Solar</v>
      </c>
      <c r="U2794" s="284" t="e">
        <f>(IF(Tabla4[[#This Row],[Familia]]="termico solar",Tabla4[[#This Row],[Utilidad Total]]*6%,Tabla4[[#This Row],[Utilidad Total]]*11.5%))/Tabla4[[#This Row],[Total]]</f>
        <v>#N/A</v>
      </c>
      <c r="V2794" s="282" t="e">
        <f>+Tabla4[[#This Row],[Comisión Calculada]]*Tabla4[[#This Row],[Total]]</f>
        <v>#N/A</v>
      </c>
    </row>
    <row r="2795" spans="1:22" hidden="1" x14ac:dyDescent="0.25">
      <c r="A2795" s="100">
        <v>45792</v>
      </c>
      <c r="B2795" t="str">
        <f t="shared" si="133"/>
        <v>May</v>
      </c>
      <c r="C2795" s="46" t="s">
        <v>280</v>
      </c>
      <c r="F2795" s="366" t="s">
        <v>1799</v>
      </c>
      <c r="G2795" s="46" t="s">
        <v>566</v>
      </c>
      <c r="H2795" s="46">
        <v>1</v>
      </c>
      <c r="I2795" s="51">
        <v>2109.4499999999998</v>
      </c>
      <c r="J2795" s="281">
        <f>++Tabla4[[#This Row],[Precio Bruto]]*1.16</f>
        <v>2446.9619999999995</v>
      </c>
      <c r="K2795" s="281">
        <f>+Tabla4[[#This Row],[Precio Unitario Neto]]*Tabla4[[#Headers],[20.85%]]</f>
        <v>510.19157699999988</v>
      </c>
      <c r="L2795" s="282">
        <f>++Tabla4[[#This Row],[Precio Unitario Neto]]-Tabla4[[#This Row],[20.85%]]</f>
        <v>1936.7704229999997</v>
      </c>
      <c r="M2795" s="282" t="e">
        <f>(INDEX(Tabla6[#All],MATCH(Tabla4[[#This Row],[Producto]],Tabla6[[#All],[PRODUCTO]],0),MATCH(Tabla4[[#This Row],[Mes]],Tabla6[#Headers],0)))*(1+Catalogos!$L$2)</f>
        <v>#N/A</v>
      </c>
      <c r="N2795" s="283" t="e">
        <f>+(Tabla4[[#This Row],[Precio Descontado]]-Tabla4[[#This Row],[Precio Base]])*Tabla4[[#This Row],[Cantidad]]</f>
        <v>#N/A</v>
      </c>
      <c r="O2795" s="284" t="e">
        <f>++Tabla4[[#This Row],[Utilidad Total]]/Tabla4[[#This Row],[Total]]</f>
        <v>#N/A</v>
      </c>
      <c r="P2795" s="282">
        <f>++Tabla4[[#This Row],[Precio Descontado]]*Tabla4[[#This Row],[Cantidad]]</f>
        <v>1936.7704229999997</v>
      </c>
      <c r="Q2795" s="282" t="e">
        <f>(INDEX(Tabla6[#All],MATCH(Tabla4[[#This Row],[Producto]],Tabla6[[#All],[PRODUCTO]],0),MATCH(Tabla4[[#This Row],[Mes]],Tabla6[#Headers],0)))</f>
        <v>#N/A</v>
      </c>
      <c r="R2795" s="282" t="e">
        <f>++Tabla4[[#This Row],[Precio Unitario Neto]]-Tabla4[[#This Row],[20.85%]]-Tabla4[[#This Row],[Costo]]</f>
        <v>#N/A</v>
      </c>
      <c r="S2795" s="282" t="e">
        <f>++Tabla4[[#This Row],[U. Bruta Uni]]*Tabla4[[#This Row],[Cantidad]]</f>
        <v>#N/A</v>
      </c>
      <c r="T2795" s="369" t="str">
        <f>VLOOKUP(Tabla4[[#This Row],[Producto]],Tabla6[#All],14,FALSE)</f>
        <v>Termico Solar</v>
      </c>
      <c r="U2795" s="284" t="e">
        <f>(IF(Tabla4[[#This Row],[Familia]]="termico solar",Tabla4[[#This Row],[Utilidad Total]]*6%,Tabla4[[#This Row],[Utilidad Total]]*11.5%))/Tabla4[[#This Row],[Total]]</f>
        <v>#N/A</v>
      </c>
      <c r="V2795" s="282" t="e">
        <f>+Tabla4[[#This Row],[Comisión Calculada]]*Tabla4[[#This Row],[Total]]</f>
        <v>#N/A</v>
      </c>
    </row>
    <row r="2796" spans="1:22" hidden="1" x14ac:dyDescent="0.25">
      <c r="A2796" s="100">
        <v>45792</v>
      </c>
      <c r="B2796" t="str">
        <f t="shared" ref="B2796:B2801" si="134">TEXT(A2796, "mmmm")</f>
        <v>May</v>
      </c>
      <c r="C2796" s="46" t="s">
        <v>280</v>
      </c>
      <c r="F2796" s="366" t="s">
        <v>1800</v>
      </c>
      <c r="G2796" s="46" t="s">
        <v>17</v>
      </c>
      <c r="H2796" s="46">
        <v>3</v>
      </c>
      <c r="I2796" s="51">
        <v>4622.28</v>
      </c>
      <c r="J2796" s="281">
        <f>++Tabla4[[#This Row],[Precio Bruto]]*1.16</f>
        <v>5361.8447999999989</v>
      </c>
      <c r="K2796" s="281">
        <f>+Tabla4[[#This Row],[Precio Unitario Neto]]*Tabla4[[#Headers],[20.85%]]</f>
        <v>1117.9446407999997</v>
      </c>
      <c r="L2796" s="282">
        <f>++Tabla4[[#This Row],[Precio Unitario Neto]]-Tabla4[[#This Row],[20.85%]]</f>
        <v>4243.9001591999995</v>
      </c>
      <c r="M2796" s="282" t="e">
        <f>(INDEX(Tabla6[#All],MATCH(Tabla4[[#This Row],[Producto]],Tabla6[[#All],[PRODUCTO]],0),MATCH(Tabla4[[#This Row],[Mes]],Tabla6[#Headers],0)))*(1+Catalogos!$L$2)</f>
        <v>#N/A</v>
      </c>
      <c r="N2796" s="283" t="e">
        <f>+(Tabla4[[#This Row],[Precio Descontado]]-Tabla4[[#This Row],[Precio Base]])*Tabla4[[#This Row],[Cantidad]]</f>
        <v>#N/A</v>
      </c>
      <c r="O2796" s="284" t="e">
        <f>++Tabla4[[#This Row],[Utilidad Total]]/Tabla4[[#This Row],[Total]]</f>
        <v>#N/A</v>
      </c>
      <c r="P2796" s="282">
        <f>++Tabla4[[#This Row],[Precio Descontado]]*Tabla4[[#This Row],[Cantidad]]</f>
        <v>12731.700477599999</v>
      </c>
      <c r="Q2796" s="282" t="e">
        <f>(INDEX(Tabla6[#All],MATCH(Tabla4[[#This Row],[Producto]],Tabla6[[#All],[PRODUCTO]],0),MATCH(Tabla4[[#This Row],[Mes]],Tabla6[#Headers],0)))</f>
        <v>#N/A</v>
      </c>
      <c r="R2796" s="282" t="e">
        <f>++Tabla4[[#This Row],[Precio Unitario Neto]]-Tabla4[[#This Row],[20.85%]]-Tabla4[[#This Row],[Costo]]</f>
        <v>#N/A</v>
      </c>
      <c r="S2796" s="282" t="e">
        <f>++Tabla4[[#This Row],[U. Bruta Uni]]*Tabla4[[#This Row],[Cantidad]]</f>
        <v>#N/A</v>
      </c>
      <c r="T2796" s="369" t="str">
        <f>VLOOKUP(Tabla4[[#This Row],[Producto]],Tabla6[#All],14,FALSE)</f>
        <v>Termico Solar</v>
      </c>
      <c r="U2796" s="284" t="e">
        <f>(IF(Tabla4[[#This Row],[Familia]]="termico solar",Tabla4[[#This Row],[Utilidad Total]]*6%,Tabla4[[#This Row],[Utilidad Total]]*11.5%))/Tabla4[[#This Row],[Total]]</f>
        <v>#N/A</v>
      </c>
      <c r="V2796" s="282" t="e">
        <f>+Tabla4[[#This Row],[Comisión Calculada]]*Tabla4[[#This Row],[Total]]</f>
        <v>#N/A</v>
      </c>
    </row>
    <row r="2797" spans="1:22" hidden="1" x14ac:dyDescent="0.25">
      <c r="A2797" s="100">
        <v>45792</v>
      </c>
      <c r="B2797" t="str">
        <f t="shared" si="134"/>
        <v>May</v>
      </c>
      <c r="C2797" s="46" t="s">
        <v>280</v>
      </c>
      <c r="F2797" s="366" t="s">
        <v>1800</v>
      </c>
      <c r="G2797" s="46" t="s">
        <v>566</v>
      </c>
      <c r="H2797" s="46">
        <v>3</v>
      </c>
      <c r="I2797" s="51">
        <v>2109.4500000000003</v>
      </c>
      <c r="J2797" s="281">
        <f>++Tabla4[[#This Row],[Precio Bruto]]*1.16</f>
        <v>2446.962</v>
      </c>
      <c r="K2797" s="281">
        <f>+Tabla4[[#This Row],[Precio Unitario Neto]]*Tabla4[[#Headers],[20.85%]]</f>
        <v>510.191577</v>
      </c>
      <c r="L2797" s="282">
        <f>++Tabla4[[#This Row],[Precio Unitario Neto]]-Tabla4[[#This Row],[20.85%]]</f>
        <v>1936.7704229999999</v>
      </c>
      <c r="M2797" s="282" t="e">
        <f>(INDEX(Tabla6[#All],MATCH(Tabla4[[#This Row],[Producto]],Tabla6[[#All],[PRODUCTO]],0),MATCH(Tabla4[[#This Row],[Mes]],Tabla6[#Headers],0)))*(1+Catalogos!$L$2)</f>
        <v>#N/A</v>
      </c>
      <c r="N2797" s="283" t="e">
        <f>+(Tabla4[[#This Row],[Precio Descontado]]-Tabla4[[#This Row],[Precio Base]])*Tabla4[[#This Row],[Cantidad]]</f>
        <v>#N/A</v>
      </c>
      <c r="O2797" s="284" t="e">
        <f>++Tabla4[[#This Row],[Utilidad Total]]/Tabla4[[#This Row],[Total]]</f>
        <v>#N/A</v>
      </c>
      <c r="P2797" s="282">
        <f>++Tabla4[[#This Row],[Precio Descontado]]*Tabla4[[#This Row],[Cantidad]]</f>
        <v>5810.3112689999998</v>
      </c>
      <c r="Q2797" s="282" t="e">
        <f>(INDEX(Tabla6[#All],MATCH(Tabla4[[#This Row],[Producto]],Tabla6[[#All],[PRODUCTO]],0),MATCH(Tabla4[[#This Row],[Mes]],Tabla6[#Headers],0)))</f>
        <v>#N/A</v>
      </c>
      <c r="R2797" s="282" t="e">
        <f>++Tabla4[[#This Row],[Precio Unitario Neto]]-Tabla4[[#This Row],[20.85%]]-Tabla4[[#This Row],[Costo]]</f>
        <v>#N/A</v>
      </c>
      <c r="S2797" s="282" t="e">
        <f>++Tabla4[[#This Row],[U. Bruta Uni]]*Tabla4[[#This Row],[Cantidad]]</f>
        <v>#N/A</v>
      </c>
      <c r="T2797" s="369" t="str">
        <f>VLOOKUP(Tabla4[[#This Row],[Producto]],Tabla6[#All],14,FALSE)</f>
        <v>Termico Solar</v>
      </c>
      <c r="U2797" s="284" t="e">
        <f>(IF(Tabla4[[#This Row],[Familia]]="termico solar",Tabla4[[#This Row],[Utilidad Total]]*6%,Tabla4[[#This Row],[Utilidad Total]]*11.5%))/Tabla4[[#This Row],[Total]]</f>
        <v>#N/A</v>
      </c>
      <c r="V2797" s="282" t="e">
        <f>+Tabla4[[#This Row],[Comisión Calculada]]*Tabla4[[#This Row],[Total]]</f>
        <v>#N/A</v>
      </c>
    </row>
    <row r="2798" spans="1:22" hidden="1" x14ac:dyDescent="0.25">
      <c r="A2798" s="100">
        <v>45792</v>
      </c>
      <c r="B2798" t="str">
        <f t="shared" si="134"/>
        <v>May</v>
      </c>
      <c r="C2798" s="46" t="s">
        <v>280</v>
      </c>
      <c r="F2798" s="366" t="s">
        <v>1800</v>
      </c>
      <c r="G2798" s="46" t="s">
        <v>412</v>
      </c>
      <c r="H2798" s="46">
        <v>1</v>
      </c>
      <c r="I2798" s="51">
        <v>3240.84</v>
      </c>
      <c r="J2798" s="281">
        <f>++Tabla4[[#This Row],[Precio Bruto]]*1.16</f>
        <v>3759.3743999999997</v>
      </c>
      <c r="K2798" s="281">
        <f>+Tabla4[[#This Row],[Precio Unitario Neto]]*Tabla4[[#Headers],[20.85%]]</f>
        <v>783.82956239999987</v>
      </c>
      <c r="L2798" s="282">
        <f>++Tabla4[[#This Row],[Precio Unitario Neto]]-Tabla4[[#This Row],[20.85%]]</f>
        <v>2975.5448375999999</v>
      </c>
      <c r="M2798" s="282" t="e">
        <f>(INDEX(Tabla6[#All],MATCH(Tabla4[[#This Row],[Producto]],Tabla6[[#All],[PRODUCTO]],0),MATCH(Tabla4[[#This Row],[Mes]],Tabla6[#Headers],0)))*(1+Catalogos!$L$2)</f>
        <v>#N/A</v>
      </c>
      <c r="N2798" s="283" t="e">
        <f>+(Tabla4[[#This Row],[Precio Descontado]]-Tabla4[[#This Row],[Precio Base]])*Tabla4[[#This Row],[Cantidad]]</f>
        <v>#N/A</v>
      </c>
      <c r="O2798" s="284" t="e">
        <f>++Tabla4[[#This Row],[Utilidad Total]]/Tabla4[[#This Row],[Total]]</f>
        <v>#N/A</v>
      </c>
      <c r="P2798" s="282">
        <f>++Tabla4[[#This Row],[Precio Descontado]]*Tabla4[[#This Row],[Cantidad]]</f>
        <v>2975.5448375999999</v>
      </c>
      <c r="Q2798" s="282" t="e">
        <f>(INDEX(Tabla6[#All],MATCH(Tabla4[[#This Row],[Producto]],Tabla6[[#All],[PRODUCTO]],0),MATCH(Tabla4[[#This Row],[Mes]],Tabla6[#Headers],0)))</f>
        <v>#N/A</v>
      </c>
      <c r="R2798" s="282" t="e">
        <f>++Tabla4[[#This Row],[Precio Unitario Neto]]-Tabla4[[#This Row],[20.85%]]-Tabla4[[#This Row],[Costo]]</f>
        <v>#N/A</v>
      </c>
      <c r="S2798" s="282" t="e">
        <f>++Tabla4[[#This Row],[U. Bruta Uni]]*Tabla4[[#This Row],[Cantidad]]</f>
        <v>#N/A</v>
      </c>
      <c r="T2798" s="369" t="str">
        <f>VLOOKUP(Tabla4[[#This Row],[Producto]],Tabla6[#All],14,FALSE)</f>
        <v>Termico Solar</v>
      </c>
      <c r="U2798" s="284" t="e">
        <f>(IF(Tabla4[[#This Row],[Familia]]="termico solar",Tabla4[[#This Row],[Utilidad Total]]*6%,Tabla4[[#This Row],[Utilidad Total]]*11.5%))/Tabla4[[#This Row],[Total]]</f>
        <v>#N/A</v>
      </c>
      <c r="V2798" s="282" t="e">
        <f>+Tabla4[[#This Row],[Comisión Calculada]]*Tabla4[[#This Row],[Total]]</f>
        <v>#N/A</v>
      </c>
    </row>
    <row r="2799" spans="1:22" hidden="1" x14ac:dyDescent="0.25">
      <c r="A2799" s="100">
        <v>45792</v>
      </c>
      <c r="B2799" t="str">
        <f t="shared" si="134"/>
        <v>May</v>
      </c>
      <c r="C2799" s="46" t="s">
        <v>280</v>
      </c>
      <c r="F2799" s="366" t="s">
        <v>1800</v>
      </c>
      <c r="G2799" s="46" t="s">
        <v>394</v>
      </c>
      <c r="H2799" s="46">
        <v>9</v>
      </c>
      <c r="I2799" s="51">
        <v>108.1</v>
      </c>
      <c r="J2799" s="281">
        <f>++Tabla4[[#This Row],[Precio Bruto]]*1.16</f>
        <v>125.39599999999999</v>
      </c>
      <c r="K2799" s="281">
        <f>+Tabla4[[#This Row],[Precio Unitario Neto]]*Tabla4[[#Headers],[20.85%]]</f>
        <v>26.145065999999996</v>
      </c>
      <c r="L2799" s="282">
        <f>++Tabla4[[#This Row],[Precio Unitario Neto]]-Tabla4[[#This Row],[20.85%]]</f>
        <v>99.250933999999987</v>
      </c>
      <c r="M2799" s="282" t="e">
        <f>(INDEX(Tabla6[#All],MATCH(Tabla4[[#This Row],[Producto]],Tabla6[[#All],[PRODUCTO]],0),MATCH(Tabla4[[#This Row],[Mes]],Tabla6[#Headers],0)))*(1+Catalogos!$L$2)</f>
        <v>#N/A</v>
      </c>
      <c r="N2799" s="283" t="e">
        <f>+(Tabla4[[#This Row],[Precio Descontado]]-Tabla4[[#This Row],[Precio Base]])*Tabla4[[#This Row],[Cantidad]]</f>
        <v>#N/A</v>
      </c>
      <c r="O2799" s="284" t="e">
        <f>++Tabla4[[#This Row],[Utilidad Total]]/Tabla4[[#This Row],[Total]]</f>
        <v>#N/A</v>
      </c>
      <c r="P2799" s="282">
        <f>++Tabla4[[#This Row],[Precio Descontado]]*Tabla4[[#This Row],[Cantidad]]</f>
        <v>893.25840599999992</v>
      </c>
      <c r="Q2799" s="282" t="e">
        <f>(INDEX(Tabla6[#All],MATCH(Tabla4[[#This Row],[Producto]],Tabla6[[#All],[PRODUCTO]],0),MATCH(Tabla4[[#This Row],[Mes]],Tabla6[#Headers],0)))</f>
        <v>#N/A</v>
      </c>
      <c r="R2799" s="282" t="e">
        <f>++Tabla4[[#This Row],[Precio Unitario Neto]]-Tabla4[[#This Row],[20.85%]]-Tabla4[[#This Row],[Costo]]</f>
        <v>#N/A</v>
      </c>
      <c r="S2799" s="282" t="e">
        <f>++Tabla4[[#This Row],[U. Bruta Uni]]*Tabla4[[#This Row],[Cantidad]]</f>
        <v>#N/A</v>
      </c>
      <c r="T2799" s="369" t="str">
        <f>VLOOKUP(Tabla4[[#This Row],[Producto]],Tabla6[#All],14,FALSE)</f>
        <v>Termico Solar</v>
      </c>
      <c r="U2799" s="284" t="e">
        <f>(IF(Tabla4[[#This Row],[Familia]]="termico solar",Tabla4[[#This Row],[Utilidad Total]]*6%,Tabla4[[#This Row],[Utilidad Total]]*11.5%))/Tabla4[[#This Row],[Total]]</f>
        <v>#N/A</v>
      </c>
      <c r="V2799" s="282" t="e">
        <f>+Tabla4[[#This Row],[Comisión Calculada]]*Tabla4[[#This Row],[Total]]</f>
        <v>#N/A</v>
      </c>
    </row>
    <row r="2800" spans="1:22" hidden="1" x14ac:dyDescent="0.25">
      <c r="A2800" s="100">
        <v>45792</v>
      </c>
      <c r="B2800" t="str">
        <f t="shared" si="134"/>
        <v>May</v>
      </c>
      <c r="C2800" s="46" t="s">
        <v>280</v>
      </c>
      <c r="F2800" s="366" t="s">
        <v>1800</v>
      </c>
      <c r="G2800" s="46" t="s">
        <v>16</v>
      </c>
      <c r="H2800" s="46">
        <v>1</v>
      </c>
      <c r="I2800" s="51">
        <v>4103.8500000000004</v>
      </c>
      <c r="J2800" s="281">
        <f>++Tabla4[[#This Row],[Precio Bruto]]*1.16</f>
        <v>4760.4660000000003</v>
      </c>
      <c r="K2800" s="281">
        <f>+Tabla4[[#This Row],[Precio Unitario Neto]]*Tabla4[[#Headers],[20.85%]]</f>
        <v>992.55716100000006</v>
      </c>
      <c r="L2800" s="282">
        <f>++Tabla4[[#This Row],[Precio Unitario Neto]]-Tabla4[[#This Row],[20.85%]]</f>
        <v>3767.9088390000002</v>
      </c>
      <c r="M2800" s="282" t="e">
        <f>(INDEX(Tabla6[#All],MATCH(Tabla4[[#This Row],[Producto]],Tabla6[[#All],[PRODUCTO]],0),MATCH(Tabla4[[#This Row],[Mes]],Tabla6[#Headers],0)))*(1+Catalogos!$L$2)</f>
        <v>#N/A</v>
      </c>
      <c r="N2800" s="283" t="e">
        <f>+(Tabla4[[#This Row],[Precio Descontado]]-Tabla4[[#This Row],[Precio Base]])*Tabla4[[#This Row],[Cantidad]]</f>
        <v>#N/A</v>
      </c>
      <c r="O2800" s="284" t="e">
        <f>++Tabla4[[#This Row],[Utilidad Total]]/Tabla4[[#This Row],[Total]]</f>
        <v>#N/A</v>
      </c>
      <c r="P2800" s="282">
        <f>++Tabla4[[#This Row],[Precio Descontado]]*Tabla4[[#This Row],[Cantidad]]</f>
        <v>3767.9088390000002</v>
      </c>
      <c r="Q2800" s="282" t="e">
        <f>(INDEX(Tabla6[#All],MATCH(Tabla4[[#This Row],[Producto]],Tabla6[[#All],[PRODUCTO]],0),MATCH(Tabla4[[#This Row],[Mes]],Tabla6[#Headers],0)))</f>
        <v>#N/A</v>
      </c>
      <c r="R2800" s="282" t="e">
        <f>++Tabla4[[#This Row],[Precio Unitario Neto]]-Tabla4[[#This Row],[20.85%]]-Tabla4[[#This Row],[Costo]]</f>
        <v>#N/A</v>
      </c>
      <c r="S2800" s="282" t="e">
        <f>++Tabla4[[#This Row],[U. Bruta Uni]]*Tabla4[[#This Row],[Cantidad]]</f>
        <v>#N/A</v>
      </c>
      <c r="T2800" s="369" t="str">
        <f>VLOOKUP(Tabla4[[#This Row],[Producto]],Tabla6[#All],14,FALSE)</f>
        <v>Termico Solar</v>
      </c>
      <c r="U2800" s="284" t="e">
        <f>(IF(Tabla4[[#This Row],[Familia]]="termico solar",Tabla4[[#This Row],[Utilidad Total]]*6%,Tabla4[[#This Row],[Utilidad Total]]*11.5%))/Tabla4[[#This Row],[Total]]</f>
        <v>#N/A</v>
      </c>
      <c r="V2800" s="282" t="e">
        <f>+Tabla4[[#This Row],[Comisión Calculada]]*Tabla4[[#This Row],[Total]]</f>
        <v>#N/A</v>
      </c>
    </row>
    <row r="2801" spans="1:22" hidden="1" x14ac:dyDescent="0.25">
      <c r="A2801" s="100">
        <v>45792</v>
      </c>
      <c r="B2801" t="str">
        <f t="shared" si="134"/>
        <v>May</v>
      </c>
      <c r="C2801" s="46" t="s">
        <v>280</v>
      </c>
      <c r="F2801" s="366" t="s">
        <v>1800</v>
      </c>
      <c r="G2801" s="46" t="s">
        <v>394</v>
      </c>
      <c r="H2801" s="46">
        <v>16</v>
      </c>
      <c r="I2801" s="51">
        <v>224.29</v>
      </c>
      <c r="J2801" s="281">
        <f>++Tabla4[[#This Row],[Precio Bruto]]*1.16</f>
        <v>260.1764</v>
      </c>
      <c r="K2801" s="281">
        <f>+Tabla4[[#This Row],[Precio Unitario Neto]]*Tabla4[[#Headers],[20.85%]]</f>
        <v>54.246779400000001</v>
      </c>
      <c r="L2801" s="282">
        <f>++Tabla4[[#This Row],[Precio Unitario Neto]]-Tabla4[[#This Row],[20.85%]]</f>
        <v>205.92962059999999</v>
      </c>
      <c r="M2801" s="282" t="e">
        <f>(INDEX(Tabla6[#All],MATCH(Tabla4[[#This Row],[Producto]],Tabla6[[#All],[PRODUCTO]],0),MATCH(Tabla4[[#This Row],[Mes]],Tabla6[#Headers],0)))*(1+Catalogos!$L$2)</f>
        <v>#N/A</v>
      </c>
      <c r="N2801" s="283" t="e">
        <f>+(Tabla4[[#This Row],[Precio Descontado]]-Tabla4[[#This Row],[Precio Base]])*Tabla4[[#This Row],[Cantidad]]</f>
        <v>#N/A</v>
      </c>
      <c r="O2801" s="284" t="e">
        <f>++Tabla4[[#This Row],[Utilidad Total]]/Tabla4[[#This Row],[Total]]</f>
        <v>#N/A</v>
      </c>
      <c r="P2801" s="282">
        <f>++Tabla4[[#This Row],[Precio Descontado]]*Tabla4[[#This Row],[Cantidad]]</f>
        <v>3294.8739295999999</v>
      </c>
      <c r="Q2801" s="282" t="e">
        <f>(INDEX(Tabla6[#All],MATCH(Tabla4[[#This Row],[Producto]],Tabla6[[#All],[PRODUCTO]],0),MATCH(Tabla4[[#This Row],[Mes]],Tabla6[#Headers],0)))</f>
        <v>#N/A</v>
      </c>
      <c r="R2801" s="282" t="e">
        <f>++Tabla4[[#This Row],[Precio Unitario Neto]]-Tabla4[[#This Row],[20.85%]]-Tabla4[[#This Row],[Costo]]</f>
        <v>#N/A</v>
      </c>
      <c r="S2801" s="282" t="e">
        <f>++Tabla4[[#This Row],[U. Bruta Uni]]*Tabla4[[#This Row],[Cantidad]]</f>
        <v>#N/A</v>
      </c>
      <c r="T2801" s="369" t="str">
        <f>VLOOKUP(Tabla4[[#This Row],[Producto]],Tabla6[#All],14,FALSE)</f>
        <v>Termico Solar</v>
      </c>
      <c r="U2801" s="284" t="e">
        <f>(IF(Tabla4[[#This Row],[Familia]]="termico solar",Tabla4[[#This Row],[Utilidad Total]]*6%,Tabla4[[#This Row],[Utilidad Total]]*11.5%))/Tabla4[[#This Row],[Total]]</f>
        <v>#N/A</v>
      </c>
      <c r="V2801" s="282" t="e">
        <f>+Tabla4[[#This Row],[Comisión Calculada]]*Tabla4[[#This Row],[Total]]</f>
        <v>#N/A</v>
      </c>
    </row>
    <row r="2802" spans="1:22" hidden="1" x14ac:dyDescent="0.25">
      <c r="A2802" s="100">
        <v>45792</v>
      </c>
      <c r="B2802" t="str">
        <f t="shared" ref="B2802:B2833" si="135">TEXT(A2802, "mmmm")</f>
        <v>May</v>
      </c>
      <c r="C2802" s="46" t="s">
        <v>280</v>
      </c>
      <c r="F2802" s="366" t="s">
        <v>1801</v>
      </c>
      <c r="G2802" s="46" t="s">
        <v>209</v>
      </c>
      <c r="H2802" s="46">
        <v>1</v>
      </c>
      <c r="I2802" s="51">
        <v>347.48</v>
      </c>
      <c r="J2802" s="281">
        <f>++Tabla4[[#This Row],[Precio Bruto]]*1.16</f>
        <v>403.07679999999999</v>
      </c>
      <c r="K2802" s="281">
        <f>+Tabla4[[#This Row],[Precio Unitario Neto]]*Tabla4[[#Headers],[20.85%]]</f>
        <v>84.041512799999992</v>
      </c>
      <c r="L2802" s="282">
        <f>++Tabla4[[#This Row],[Precio Unitario Neto]]-Tabla4[[#This Row],[20.85%]]</f>
        <v>319.03528719999997</v>
      </c>
      <c r="M2802" s="282" t="e">
        <f>(INDEX(Tabla6[#All],MATCH(Tabla4[[#This Row],[Producto]],Tabla6[[#All],[PRODUCTO]],0),MATCH(Tabla4[[#This Row],[Mes]],Tabla6[#Headers],0)))*(1+Catalogos!$L$2)</f>
        <v>#N/A</v>
      </c>
      <c r="N2802" s="283" t="e">
        <f>+(Tabla4[[#This Row],[Precio Descontado]]-Tabla4[[#This Row],[Precio Base]])*Tabla4[[#This Row],[Cantidad]]</f>
        <v>#N/A</v>
      </c>
      <c r="O2802" s="284" t="e">
        <f>++Tabla4[[#This Row],[Utilidad Total]]/Tabla4[[#This Row],[Total]]</f>
        <v>#N/A</v>
      </c>
      <c r="P2802" s="282">
        <f>++Tabla4[[#This Row],[Precio Descontado]]*Tabla4[[#This Row],[Cantidad]]</f>
        <v>319.03528719999997</v>
      </c>
      <c r="Q2802" s="282" t="e">
        <f>(INDEX(Tabla6[#All],MATCH(Tabla4[[#This Row],[Producto]],Tabla6[[#All],[PRODUCTO]],0),MATCH(Tabla4[[#This Row],[Mes]],Tabla6[#Headers],0)))</f>
        <v>#N/A</v>
      </c>
      <c r="R2802" s="282" t="e">
        <f>++Tabla4[[#This Row],[Precio Unitario Neto]]-Tabla4[[#This Row],[20.85%]]-Tabla4[[#This Row],[Costo]]</f>
        <v>#N/A</v>
      </c>
      <c r="S2802" s="282" t="e">
        <f>++Tabla4[[#This Row],[U. Bruta Uni]]*Tabla4[[#This Row],[Cantidad]]</f>
        <v>#N/A</v>
      </c>
      <c r="T2802" s="369" t="str">
        <f>VLOOKUP(Tabla4[[#This Row],[Producto]],Tabla6[#All],14,FALSE)</f>
        <v>Termico Solar</v>
      </c>
      <c r="U2802" s="284" t="e">
        <f>(IF(Tabla4[[#This Row],[Familia]]="termico solar",Tabla4[[#This Row],[Utilidad Total]]*6%,Tabla4[[#This Row],[Utilidad Total]]*11.5%))/Tabla4[[#This Row],[Total]]</f>
        <v>#N/A</v>
      </c>
      <c r="V2802" s="282" t="e">
        <f>+Tabla4[[#This Row],[Comisión Calculada]]*Tabla4[[#This Row],[Total]]</f>
        <v>#N/A</v>
      </c>
    </row>
    <row r="2803" spans="1:22" hidden="1" x14ac:dyDescent="0.25">
      <c r="A2803" s="100">
        <v>45792</v>
      </c>
      <c r="B2803" t="str">
        <f t="shared" si="135"/>
        <v>May</v>
      </c>
      <c r="C2803" s="46" t="s">
        <v>280</v>
      </c>
      <c r="F2803" s="366" t="s">
        <v>1802</v>
      </c>
      <c r="G2803" s="46" t="s">
        <v>566</v>
      </c>
      <c r="H2803" s="46">
        <v>2</v>
      </c>
      <c r="I2803" s="51">
        <v>2109.4499999999998</v>
      </c>
      <c r="J2803" s="281">
        <f>++Tabla4[[#This Row],[Precio Bruto]]*1.16</f>
        <v>2446.9619999999995</v>
      </c>
      <c r="K2803" s="281">
        <f>+Tabla4[[#This Row],[Precio Unitario Neto]]*Tabla4[[#Headers],[20.85%]]</f>
        <v>510.19157699999988</v>
      </c>
      <c r="L2803" s="282">
        <f>++Tabla4[[#This Row],[Precio Unitario Neto]]-Tabla4[[#This Row],[20.85%]]</f>
        <v>1936.7704229999997</v>
      </c>
      <c r="M2803" s="282" t="e">
        <f>(INDEX(Tabla6[#All],MATCH(Tabla4[[#This Row],[Producto]],Tabla6[[#All],[PRODUCTO]],0),MATCH(Tabla4[[#This Row],[Mes]],Tabla6[#Headers],0)))*(1+Catalogos!$L$2)</f>
        <v>#N/A</v>
      </c>
      <c r="N2803" s="283" t="e">
        <f>+(Tabla4[[#This Row],[Precio Descontado]]-Tabla4[[#This Row],[Precio Base]])*Tabla4[[#This Row],[Cantidad]]</f>
        <v>#N/A</v>
      </c>
      <c r="O2803" s="284" t="e">
        <f>++Tabla4[[#This Row],[Utilidad Total]]/Tabla4[[#This Row],[Total]]</f>
        <v>#N/A</v>
      </c>
      <c r="P2803" s="282">
        <f>++Tabla4[[#This Row],[Precio Descontado]]*Tabla4[[#This Row],[Cantidad]]</f>
        <v>3873.5408459999994</v>
      </c>
      <c r="Q2803" s="282" t="e">
        <f>(INDEX(Tabla6[#All],MATCH(Tabla4[[#This Row],[Producto]],Tabla6[[#All],[PRODUCTO]],0),MATCH(Tabla4[[#This Row],[Mes]],Tabla6[#Headers],0)))</f>
        <v>#N/A</v>
      </c>
      <c r="R2803" s="282" t="e">
        <f>++Tabla4[[#This Row],[Precio Unitario Neto]]-Tabla4[[#This Row],[20.85%]]-Tabla4[[#This Row],[Costo]]</f>
        <v>#N/A</v>
      </c>
      <c r="S2803" s="282" t="e">
        <f>++Tabla4[[#This Row],[U. Bruta Uni]]*Tabla4[[#This Row],[Cantidad]]</f>
        <v>#N/A</v>
      </c>
      <c r="T2803" s="369" t="str">
        <f>VLOOKUP(Tabla4[[#This Row],[Producto]],Tabla6[#All],14,FALSE)</f>
        <v>Termico Solar</v>
      </c>
      <c r="U2803" s="284" t="e">
        <f>(IF(Tabla4[[#This Row],[Familia]]="termico solar",Tabla4[[#This Row],[Utilidad Total]]*6%,Tabla4[[#This Row],[Utilidad Total]]*11.5%))/Tabla4[[#This Row],[Total]]</f>
        <v>#N/A</v>
      </c>
      <c r="V2803" s="282" t="e">
        <f>+Tabla4[[#This Row],[Comisión Calculada]]*Tabla4[[#This Row],[Total]]</f>
        <v>#N/A</v>
      </c>
    </row>
    <row r="2804" spans="1:22" hidden="1" x14ac:dyDescent="0.25">
      <c r="A2804" s="100">
        <v>45792</v>
      </c>
      <c r="B2804" t="str">
        <f t="shared" si="135"/>
        <v>May</v>
      </c>
      <c r="C2804" s="46" t="s">
        <v>280</v>
      </c>
      <c r="F2804" s="366" t="s">
        <v>1802</v>
      </c>
      <c r="G2804" s="46" t="s">
        <v>208</v>
      </c>
      <c r="H2804" s="46">
        <v>1</v>
      </c>
      <c r="I2804" s="51">
        <v>189.75</v>
      </c>
      <c r="J2804" s="281">
        <f>++Tabla4[[#This Row],[Precio Bruto]]*1.16</f>
        <v>220.10999999999999</v>
      </c>
      <c r="K2804" s="281">
        <f>+Tabla4[[#This Row],[Precio Unitario Neto]]*Tabla4[[#Headers],[20.85%]]</f>
        <v>45.892934999999994</v>
      </c>
      <c r="L2804" s="282">
        <f>++Tabla4[[#This Row],[Precio Unitario Neto]]-Tabla4[[#This Row],[20.85%]]</f>
        <v>174.21706499999999</v>
      </c>
      <c r="M2804" s="282" t="e">
        <f>(INDEX(Tabla6[#All],MATCH(Tabla4[[#This Row],[Producto]],Tabla6[[#All],[PRODUCTO]],0),MATCH(Tabla4[[#This Row],[Mes]],Tabla6[#Headers],0)))*(1+Catalogos!$L$2)</f>
        <v>#N/A</v>
      </c>
      <c r="N2804" s="283" t="e">
        <f>+(Tabla4[[#This Row],[Precio Descontado]]-Tabla4[[#This Row],[Precio Base]])*Tabla4[[#This Row],[Cantidad]]</f>
        <v>#N/A</v>
      </c>
      <c r="O2804" s="284" t="e">
        <f>++Tabla4[[#This Row],[Utilidad Total]]/Tabla4[[#This Row],[Total]]</f>
        <v>#N/A</v>
      </c>
      <c r="P2804" s="282">
        <f>++Tabla4[[#This Row],[Precio Descontado]]*Tabla4[[#This Row],[Cantidad]]</f>
        <v>174.21706499999999</v>
      </c>
      <c r="Q2804" s="282" t="e">
        <f>(INDEX(Tabla6[#All],MATCH(Tabla4[[#This Row],[Producto]],Tabla6[[#All],[PRODUCTO]],0),MATCH(Tabla4[[#This Row],[Mes]],Tabla6[#Headers],0)))</f>
        <v>#N/A</v>
      </c>
      <c r="R2804" s="282" t="e">
        <f>++Tabla4[[#This Row],[Precio Unitario Neto]]-Tabla4[[#This Row],[20.85%]]-Tabla4[[#This Row],[Costo]]</f>
        <v>#N/A</v>
      </c>
      <c r="S2804" s="282" t="e">
        <f>++Tabla4[[#This Row],[U. Bruta Uni]]*Tabla4[[#This Row],[Cantidad]]</f>
        <v>#N/A</v>
      </c>
      <c r="T2804" s="369" t="str">
        <f>VLOOKUP(Tabla4[[#This Row],[Producto]],Tabla6[#All],14,FALSE)</f>
        <v>Termico Solar</v>
      </c>
      <c r="U2804" s="284" t="e">
        <f>(IF(Tabla4[[#This Row],[Familia]]="termico solar",Tabla4[[#This Row],[Utilidad Total]]*6%,Tabla4[[#This Row],[Utilidad Total]]*11.5%))/Tabla4[[#This Row],[Total]]</f>
        <v>#N/A</v>
      </c>
      <c r="V2804" s="282" t="e">
        <f>+Tabla4[[#This Row],[Comisión Calculada]]*Tabla4[[#This Row],[Total]]</f>
        <v>#N/A</v>
      </c>
    </row>
    <row r="2805" spans="1:22" hidden="1" x14ac:dyDescent="0.25">
      <c r="A2805" s="100">
        <v>45792</v>
      </c>
      <c r="B2805" t="str">
        <f t="shared" si="135"/>
        <v>May</v>
      </c>
      <c r="C2805" s="46" t="s">
        <v>280</v>
      </c>
      <c r="F2805" s="366" t="s">
        <v>1803</v>
      </c>
      <c r="G2805" s="46" t="s">
        <v>83</v>
      </c>
      <c r="H2805" s="46">
        <v>1</v>
      </c>
      <c r="I2805" s="51">
        <v>8858.76</v>
      </c>
      <c r="J2805" s="281">
        <f>++Tabla4[[#This Row],[Precio Bruto]]*1.16</f>
        <v>10276.161599999999</v>
      </c>
      <c r="K2805" s="281">
        <f>+Tabla4[[#This Row],[Precio Unitario Neto]]*Tabla4[[#Headers],[20.85%]]</f>
        <v>2142.5796935999997</v>
      </c>
      <c r="L2805" s="282">
        <f>++Tabla4[[#This Row],[Precio Unitario Neto]]-Tabla4[[#This Row],[20.85%]]</f>
        <v>8133.5819063999998</v>
      </c>
      <c r="M2805" s="282" t="e">
        <f>(INDEX(Tabla6[#All],MATCH(Tabla4[[#This Row],[Producto]],Tabla6[[#All],[PRODUCTO]],0),MATCH(Tabla4[[#This Row],[Mes]],Tabla6[#Headers],0)))*(1+Catalogos!$L$2)</f>
        <v>#N/A</v>
      </c>
      <c r="N2805" s="283" t="e">
        <f>+(Tabla4[[#This Row],[Precio Descontado]]-Tabla4[[#This Row],[Precio Base]])*Tabla4[[#This Row],[Cantidad]]</f>
        <v>#N/A</v>
      </c>
      <c r="O2805" s="284" t="e">
        <f>++Tabla4[[#This Row],[Utilidad Total]]/Tabla4[[#This Row],[Total]]</f>
        <v>#N/A</v>
      </c>
      <c r="P2805" s="282">
        <f>++Tabla4[[#This Row],[Precio Descontado]]*Tabla4[[#This Row],[Cantidad]]</f>
        <v>8133.5819063999998</v>
      </c>
      <c r="Q2805" s="282" t="e">
        <f>(INDEX(Tabla6[#All],MATCH(Tabla4[[#This Row],[Producto]],Tabla6[[#All],[PRODUCTO]],0),MATCH(Tabla4[[#This Row],[Mes]],Tabla6[#Headers],0)))</f>
        <v>#N/A</v>
      </c>
      <c r="R2805" s="282" t="e">
        <f>++Tabla4[[#This Row],[Precio Unitario Neto]]-Tabla4[[#This Row],[20.85%]]-Tabla4[[#This Row],[Costo]]</f>
        <v>#N/A</v>
      </c>
      <c r="S2805" s="282" t="e">
        <f>++Tabla4[[#This Row],[U. Bruta Uni]]*Tabla4[[#This Row],[Cantidad]]</f>
        <v>#N/A</v>
      </c>
      <c r="T2805" s="369" t="str">
        <f>VLOOKUP(Tabla4[[#This Row],[Producto]],Tabla6[#All],14,FALSE)</f>
        <v>Termico Solar</v>
      </c>
      <c r="U2805" s="284" t="e">
        <f>(IF(Tabla4[[#This Row],[Familia]]="termico solar",Tabla4[[#This Row],[Utilidad Total]]*6%,Tabla4[[#This Row],[Utilidad Total]]*11.5%))/Tabla4[[#This Row],[Total]]</f>
        <v>#N/A</v>
      </c>
      <c r="V2805" s="282" t="e">
        <f>+Tabla4[[#This Row],[Comisión Calculada]]*Tabla4[[#This Row],[Total]]</f>
        <v>#N/A</v>
      </c>
    </row>
    <row r="2806" spans="1:22" hidden="1" x14ac:dyDescent="0.25">
      <c r="A2806" s="100">
        <v>45792</v>
      </c>
      <c r="B2806" t="str">
        <f t="shared" si="135"/>
        <v>May</v>
      </c>
      <c r="C2806" s="46" t="s">
        <v>280</v>
      </c>
      <c r="F2806" s="366" t="s">
        <v>1803</v>
      </c>
      <c r="G2806" s="46" t="s">
        <v>17</v>
      </c>
      <c r="H2806" s="46">
        <v>2</v>
      </c>
      <c r="I2806" s="51">
        <v>4622.28</v>
      </c>
      <c r="J2806" s="281">
        <f>++Tabla4[[#This Row],[Precio Bruto]]*1.16</f>
        <v>5361.8447999999989</v>
      </c>
      <c r="K2806" s="281">
        <f>+Tabla4[[#This Row],[Precio Unitario Neto]]*Tabla4[[#Headers],[20.85%]]</f>
        <v>1117.9446407999997</v>
      </c>
      <c r="L2806" s="282">
        <f>++Tabla4[[#This Row],[Precio Unitario Neto]]-Tabla4[[#This Row],[20.85%]]</f>
        <v>4243.9001591999995</v>
      </c>
      <c r="M2806" s="282" t="e">
        <f>(INDEX(Tabla6[#All],MATCH(Tabla4[[#This Row],[Producto]],Tabla6[[#All],[PRODUCTO]],0),MATCH(Tabla4[[#This Row],[Mes]],Tabla6[#Headers],0)))*(1+Catalogos!$L$2)</f>
        <v>#N/A</v>
      </c>
      <c r="N2806" s="283" t="e">
        <f>+(Tabla4[[#This Row],[Precio Descontado]]-Tabla4[[#This Row],[Precio Base]])*Tabla4[[#This Row],[Cantidad]]</f>
        <v>#N/A</v>
      </c>
      <c r="O2806" s="284" t="e">
        <f>++Tabla4[[#This Row],[Utilidad Total]]/Tabla4[[#This Row],[Total]]</f>
        <v>#N/A</v>
      </c>
      <c r="P2806" s="282">
        <f>++Tabla4[[#This Row],[Precio Descontado]]*Tabla4[[#This Row],[Cantidad]]</f>
        <v>8487.800318399999</v>
      </c>
      <c r="Q2806" s="282" t="e">
        <f>(INDEX(Tabla6[#All],MATCH(Tabla4[[#This Row],[Producto]],Tabla6[[#All],[PRODUCTO]],0),MATCH(Tabla4[[#This Row],[Mes]],Tabla6[#Headers],0)))</f>
        <v>#N/A</v>
      </c>
      <c r="R2806" s="282" t="e">
        <f>++Tabla4[[#This Row],[Precio Unitario Neto]]-Tabla4[[#This Row],[20.85%]]-Tabla4[[#This Row],[Costo]]</f>
        <v>#N/A</v>
      </c>
      <c r="S2806" s="282" t="e">
        <f>++Tabla4[[#This Row],[U. Bruta Uni]]*Tabla4[[#This Row],[Cantidad]]</f>
        <v>#N/A</v>
      </c>
      <c r="T2806" s="369" t="str">
        <f>VLOOKUP(Tabla4[[#This Row],[Producto]],Tabla6[#All],14,FALSE)</f>
        <v>Termico Solar</v>
      </c>
      <c r="U2806" s="284" t="e">
        <f>(IF(Tabla4[[#This Row],[Familia]]="termico solar",Tabla4[[#This Row],[Utilidad Total]]*6%,Tabla4[[#This Row],[Utilidad Total]]*11.5%))/Tabla4[[#This Row],[Total]]</f>
        <v>#N/A</v>
      </c>
      <c r="V2806" s="282" t="e">
        <f>+Tabla4[[#This Row],[Comisión Calculada]]*Tabla4[[#This Row],[Total]]</f>
        <v>#N/A</v>
      </c>
    </row>
    <row r="2807" spans="1:22" hidden="1" x14ac:dyDescent="0.25">
      <c r="A2807" s="100">
        <v>45792</v>
      </c>
      <c r="B2807" t="str">
        <f t="shared" si="135"/>
        <v>May</v>
      </c>
      <c r="C2807" s="46" t="s">
        <v>280</v>
      </c>
      <c r="F2807" s="366" t="s">
        <v>1803</v>
      </c>
      <c r="G2807" s="46" t="s">
        <v>18</v>
      </c>
      <c r="H2807" s="46">
        <v>1</v>
      </c>
      <c r="I2807" s="51">
        <v>5367.65</v>
      </c>
      <c r="J2807" s="281">
        <f>++Tabla4[[#This Row],[Precio Bruto]]*1.16</f>
        <v>6226.4739999999993</v>
      </c>
      <c r="K2807" s="281">
        <f>+Tabla4[[#This Row],[Precio Unitario Neto]]*Tabla4[[#Headers],[20.85%]]</f>
        <v>1298.2198289999999</v>
      </c>
      <c r="L2807" s="282">
        <f>++Tabla4[[#This Row],[Precio Unitario Neto]]-Tabla4[[#This Row],[20.85%]]</f>
        <v>4928.2541709999996</v>
      </c>
      <c r="M2807" s="282" t="e">
        <f>(INDEX(Tabla6[#All],MATCH(Tabla4[[#This Row],[Producto]],Tabla6[[#All],[PRODUCTO]],0),MATCH(Tabla4[[#This Row],[Mes]],Tabla6[#Headers],0)))*(1+Catalogos!$L$2)</f>
        <v>#N/A</v>
      </c>
      <c r="N2807" s="283" t="e">
        <f>+(Tabla4[[#This Row],[Precio Descontado]]-Tabla4[[#This Row],[Precio Base]])*Tabla4[[#This Row],[Cantidad]]</f>
        <v>#N/A</v>
      </c>
      <c r="O2807" s="284" t="e">
        <f>++Tabla4[[#This Row],[Utilidad Total]]/Tabla4[[#This Row],[Total]]</f>
        <v>#N/A</v>
      </c>
      <c r="P2807" s="282">
        <f>++Tabla4[[#This Row],[Precio Descontado]]*Tabla4[[#This Row],[Cantidad]]</f>
        <v>4928.2541709999996</v>
      </c>
      <c r="Q2807" s="282" t="e">
        <f>(INDEX(Tabla6[#All],MATCH(Tabla4[[#This Row],[Producto]],Tabla6[[#All],[PRODUCTO]],0),MATCH(Tabla4[[#This Row],[Mes]],Tabla6[#Headers],0)))</f>
        <v>#N/A</v>
      </c>
      <c r="R2807" s="282" t="e">
        <f>++Tabla4[[#This Row],[Precio Unitario Neto]]-Tabla4[[#This Row],[20.85%]]-Tabla4[[#This Row],[Costo]]</f>
        <v>#N/A</v>
      </c>
      <c r="S2807" s="282" t="e">
        <f>++Tabla4[[#This Row],[U. Bruta Uni]]*Tabla4[[#This Row],[Cantidad]]</f>
        <v>#N/A</v>
      </c>
      <c r="T2807" s="369" t="str">
        <f>VLOOKUP(Tabla4[[#This Row],[Producto]],Tabla6[#All],14,FALSE)</f>
        <v>Termico Solar</v>
      </c>
      <c r="U2807" s="284" t="e">
        <f>(IF(Tabla4[[#This Row],[Familia]]="termico solar",Tabla4[[#This Row],[Utilidad Total]]*6%,Tabla4[[#This Row],[Utilidad Total]]*11.5%))/Tabla4[[#This Row],[Total]]</f>
        <v>#N/A</v>
      </c>
      <c r="V2807" s="282" t="e">
        <f>+Tabla4[[#This Row],[Comisión Calculada]]*Tabla4[[#This Row],[Total]]</f>
        <v>#N/A</v>
      </c>
    </row>
    <row r="2808" spans="1:22" hidden="1" x14ac:dyDescent="0.25">
      <c r="A2808" s="100">
        <v>45792</v>
      </c>
      <c r="B2808" t="str">
        <f t="shared" si="135"/>
        <v>May</v>
      </c>
      <c r="C2808" s="46" t="s">
        <v>280</v>
      </c>
      <c r="F2808" s="366" t="s">
        <v>1804</v>
      </c>
      <c r="G2808" s="46" t="s">
        <v>208</v>
      </c>
      <c r="H2808" s="46">
        <v>2</v>
      </c>
      <c r="I2808" s="51">
        <v>189.75</v>
      </c>
      <c r="J2808" s="281">
        <f>++Tabla4[[#This Row],[Precio Bruto]]*1.16</f>
        <v>220.10999999999999</v>
      </c>
      <c r="K2808" s="281">
        <f>+Tabla4[[#This Row],[Precio Unitario Neto]]*Tabla4[[#Headers],[20.85%]]</f>
        <v>45.892934999999994</v>
      </c>
      <c r="L2808" s="282">
        <f>++Tabla4[[#This Row],[Precio Unitario Neto]]-Tabla4[[#This Row],[20.85%]]</f>
        <v>174.21706499999999</v>
      </c>
      <c r="M2808" s="282" t="e">
        <f>(INDEX(Tabla6[#All],MATCH(Tabla4[[#This Row],[Producto]],Tabla6[[#All],[PRODUCTO]],0),MATCH(Tabla4[[#This Row],[Mes]],Tabla6[#Headers],0)))*(1+Catalogos!$L$2)</f>
        <v>#N/A</v>
      </c>
      <c r="N2808" s="283" t="e">
        <f>+(Tabla4[[#This Row],[Precio Descontado]]-Tabla4[[#This Row],[Precio Base]])*Tabla4[[#This Row],[Cantidad]]</f>
        <v>#N/A</v>
      </c>
      <c r="O2808" s="284" t="e">
        <f>++Tabla4[[#This Row],[Utilidad Total]]/Tabla4[[#This Row],[Total]]</f>
        <v>#N/A</v>
      </c>
      <c r="P2808" s="282">
        <f>++Tabla4[[#This Row],[Precio Descontado]]*Tabla4[[#This Row],[Cantidad]]</f>
        <v>348.43412999999998</v>
      </c>
      <c r="Q2808" s="282" t="e">
        <f>(INDEX(Tabla6[#All],MATCH(Tabla4[[#This Row],[Producto]],Tabla6[[#All],[PRODUCTO]],0),MATCH(Tabla4[[#This Row],[Mes]],Tabla6[#Headers],0)))</f>
        <v>#N/A</v>
      </c>
      <c r="R2808" s="282" t="e">
        <f>++Tabla4[[#This Row],[Precio Unitario Neto]]-Tabla4[[#This Row],[20.85%]]-Tabla4[[#This Row],[Costo]]</f>
        <v>#N/A</v>
      </c>
      <c r="S2808" s="282" t="e">
        <f>++Tabla4[[#This Row],[U. Bruta Uni]]*Tabla4[[#This Row],[Cantidad]]</f>
        <v>#N/A</v>
      </c>
      <c r="T2808" s="369" t="str">
        <f>VLOOKUP(Tabla4[[#This Row],[Producto]],Tabla6[#All],14,FALSE)</f>
        <v>Termico Solar</v>
      </c>
      <c r="U2808" s="284" t="e">
        <f>(IF(Tabla4[[#This Row],[Familia]]="termico solar",Tabla4[[#This Row],[Utilidad Total]]*6%,Tabla4[[#This Row],[Utilidad Total]]*11.5%))/Tabla4[[#This Row],[Total]]</f>
        <v>#N/A</v>
      </c>
      <c r="V2808" s="282" t="e">
        <f>+Tabla4[[#This Row],[Comisión Calculada]]*Tabla4[[#This Row],[Total]]</f>
        <v>#N/A</v>
      </c>
    </row>
    <row r="2809" spans="1:22" hidden="1" x14ac:dyDescent="0.25">
      <c r="A2809" s="100">
        <v>45792</v>
      </c>
      <c r="B2809" t="str">
        <f t="shared" si="135"/>
        <v>May</v>
      </c>
      <c r="C2809" s="46" t="s">
        <v>280</v>
      </c>
      <c r="F2809" s="366" t="s">
        <v>1804</v>
      </c>
      <c r="G2809" s="46" t="s">
        <v>566</v>
      </c>
      <c r="H2809" s="46">
        <v>1</v>
      </c>
      <c r="I2809" s="51">
        <v>2109.4499999999998</v>
      </c>
      <c r="J2809" s="281">
        <f>++Tabla4[[#This Row],[Precio Bruto]]*1.16</f>
        <v>2446.9619999999995</v>
      </c>
      <c r="K2809" s="281">
        <f>+Tabla4[[#This Row],[Precio Unitario Neto]]*Tabla4[[#Headers],[20.85%]]</f>
        <v>510.19157699999988</v>
      </c>
      <c r="L2809" s="282">
        <f>++Tabla4[[#This Row],[Precio Unitario Neto]]-Tabla4[[#This Row],[20.85%]]</f>
        <v>1936.7704229999997</v>
      </c>
      <c r="M2809" s="282" t="e">
        <f>(INDEX(Tabla6[#All],MATCH(Tabla4[[#This Row],[Producto]],Tabla6[[#All],[PRODUCTO]],0),MATCH(Tabla4[[#This Row],[Mes]],Tabla6[#Headers],0)))*(1+Catalogos!$L$2)</f>
        <v>#N/A</v>
      </c>
      <c r="N2809" s="283" t="e">
        <f>+(Tabla4[[#This Row],[Precio Descontado]]-Tabla4[[#This Row],[Precio Base]])*Tabla4[[#This Row],[Cantidad]]</f>
        <v>#N/A</v>
      </c>
      <c r="O2809" s="284" t="e">
        <f>++Tabla4[[#This Row],[Utilidad Total]]/Tabla4[[#This Row],[Total]]</f>
        <v>#N/A</v>
      </c>
      <c r="P2809" s="282">
        <f>++Tabla4[[#This Row],[Precio Descontado]]*Tabla4[[#This Row],[Cantidad]]</f>
        <v>1936.7704229999997</v>
      </c>
      <c r="Q2809" s="282" t="e">
        <f>(INDEX(Tabla6[#All],MATCH(Tabla4[[#This Row],[Producto]],Tabla6[[#All],[PRODUCTO]],0),MATCH(Tabla4[[#This Row],[Mes]],Tabla6[#Headers],0)))</f>
        <v>#N/A</v>
      </c>
      <c r="R2809" s="282" t="e">
        <f>++Tabla4[[#This Row],[Precio Unitario Neto]]-Tabla4[[#This Row],[20.85%]]-Tabla4[[#This Row],[Costo]]</f>
        <v>#N/A</v>
      </c>
      <c r="S2809" s="282" t="e">
        <f>++Tabla4[[#This Row],[U. Bruta Uni]]*Tabla4[[#This Row],[Cantidad]]</f>
        <v>#N/A</v>
      </c>
      <c r="T2809" s="369" t="str">
        <f>VLOOKUP(Tabla4[[#This Row],[Producto]],Tabla6[#All],14,FALSE)</f>
        <v>Termico Solar</v>
      </c>
      <c r="U2809" s="284" t="e">
        <f>(IF(Tabla4[[#This Row],[Familia]]="termico solar",Tabla4[[#This Row],[Utilidad Total]]*6%,Tabla4[[#This Row],[Utilidad Total]]*11.5%))/Tabla4[[#This Row],[Total]]</f>
        <v>#N/A</v>
      </c>
      <c r="V2809" s="282" t="e">
        <f>+Tabla4[[#This Row],[Comisión Calculada]]*Tabla4[[#This Row],[Total]]</f>
        <v>#N/A</v>
      </c>
    </row>
    <row r="2810" spans="1:22" hidden="1" x14ac:dyDescent="0.25">
      <c r="A2810" s="100">
        <v>45792</v>
      </c>
      <c r="B2810" t="str">
        <f t="shared" si="135"/>
        <v>May</v>
      </c>
      <c r="C2810" s="46" t="s">
        <v>280</v>
      </c>
      <c r="F2810" s="366" t="s">
        <v>1805</v>
      </c>
      <c r="G2810" s="46" t="s">
        <v>208</v>
      </c>
      <c r="H2810" s="46">
        <v>2</v>
      </c>
      <c r="I2810" s="51">
        <v>189.75</v>
      </c>
      <c r="J2810" s="281">
        <f>++Tabla4[[#This Row],[Precio Bruto]]*1.16</f>
        <v>220.10999999999999</v>
      </c>
      <c r="K2810" s="281">
        <f>+Tabla4[[#This Row],[Precio Unitario Neto]]*Tabla4[[#Headers],[20.85%]]</f>
        <v>45.892934999999994</v>
      </c>
      <c r="L2810" s="282">
        <f>++Tabla4[[#This Row],[Precio Unitario Neto]]-Tabla4[[#This Row],[20.85%]]</f>
        <v>174.21706499999999</v>
      </c>
      <c r="M2810" s="282" t="e">
        <f>(INDEX(Tabla6[#All],MATCH(Tabla4[[#This Row],[Producto]],Tabla6[[#All],[PRODUCTO]],0),MATCH(Tabla4[[#This Row],[Mes]],Tabla6[#Headers],0)))*(1+Catalogos!$L$2)</f>
        <v>#N/A</v>
      </c>
      <c r="N2810" s="283" t="e">
        <f>+(Tabla4[[#This Row],[Precio Descontado]]-Tabla4[[#This Row],[Precio Base]])*Tabla4[[#This Row],[Cantidad]]</f>
        <v>#N/A</v>
      </c>
      <c r="O2810" s="284" t="e">
        <f>++Tabla4[[#This Row],[Utilidad Total]]/Tabla4[[#This Row],[Total]]</f>
        <v>#N/A</v>
      </c>
      <c r="P2810" s="282">
        <f>++Tabla4[[#This Row],[Precio Descontado]]*Tabla4[[#This Row],[Cantidad]]</f>
        <v>348.43412999999998</v>
      </c>
      <c r="Q2810" s="282" t="e">
        <f>(INDEX(Tabla6[#All],MATCH(Tabla4[[#This Row],[Producto]],Tabla6[[#All],[PRODUCTO]],0),MATCH(Tabla4[[#This Row],[Mes]],Tabla6[#Headers],0)))</f>
        <v>#N/A</v>
      </c>
      <c r="R2810" s="282" t="e">
        <f>++Tabla4[[#This Row],[Precio Unitario Neto]]-Tabla4[[#This Row],[20.85%]]-Tabla4[[#This Row],[Costo]]</f>
        <v>#N/A</v>
      </c>
      <c r="S2810" s="282" t="e">
        <f>++Tabla4[[#This Row],[U. Bruta Uni]]*Tabla4[[#This Row],[Cantidad]]</f>
        <v>#N/A</v>
      </c>
      <c r="T2810" s="369" t="str">
        <f>VLOOKUP(Tabla4[[#This Row],[Producto]],Tabla6[#All],14,FALSE)</f>
        <v>Termico Solar</v>
      </c>
      <c r="U2810" s="284" t="e">
        <f>(IF(Tabla4[[#This Row],[Familia]]="termico solar",Tabla4[[#This Row],[Utilidad Total]]*6%,Tabla4[[#This Row],[Utilidad Total]]*11.5%))/Tabla4[[#This Row],[Total]]</f>
        <v>#N/A</v>
      </c>
      <c r="V2810" s="282" t="e">
        <f>+Tabla4[[#This Row],[Comisión Calculada]]*Tabla4[[#This Row],[Total]]</f>
        <v>#N/A</v>
      </c>
    </row>
    <row r="2811" spans="1:22" hidden="1" x14ac:dyDescent="0.25">
      <c r="A2811" s="100">
        <v>45792</v>
      </c>
      <c r="B2811" t="str">
        <f t="shared" si="135"/>
        <v>May</v>
      </c>
      <c r="C2811" s="46" t="s">
        <v>280</v>
      </c>
      <c r="F2811" s="366" t="s">
        <v>1806</v>
      </c>
      <c r="G2811" s="46" t="s">
        <v>208</v>
      </c>
      <c r="H2811" s="46">
        <v>2</v>
      </c>
      <c r="I2811" s="51">
        <v>189.75</v>
      </c>
      <c r="J2811" s="281">
        <f>++Tabla4[[#This Row],[Precio Bruto]]*1.16</f>
        <v>220.10999999999999</v>
      </c>
      <c r="K2811" s="281">
        <f>+Tabla4[[#This Row],[Precio Unitario Neto]]*Tabla4[[#Headers],[20.85%]]</f>
        <v>45.892934999999994</v>
      </c>
      <c r="L2811" s="282">
        <f>++Tabla4[[#This Row],[Precio Unitario Neto]]-Tabla4[[#This Row],[20.85%]]</f>
        <v>174.21706499999999</v>
      </c>
      <c r="M2811" s="282" t="e">
        <f>(INDEX(Tabla6[#All],MATCH(Tabla4[[#This Row],[Producto]],Tabla6[[#All],[PRODUCTO]],0),MATCH(Tabla4[[#This Row],[Mes]],Tabla6[#Headers],0)))*(1+Catalogos!$L$2)</f>
        <v>#N/A</v>
      </c>
      <c r="N2811" s="283" t="e">
        <f>+(Tabla4[[#This Row],[Precio Descontado]]-Tabla4[[#This Row],[Precio Base]])*Tabla4[[#This Row],[Cantidad]]</f>
        <v>#N/A</v>
      </c>
      <c r="O2811" s="284" t="e">
        <f>++Tabla4[[#This Row],[Utilidad Total]]/Tabla4[[#This Row],[Total]]</f>
        <v>#N/A</v>
      </c>
      <c r="P2811" s="282">
        <f>++Tabla4[[#This Row],[Precio Descontado]]*Tabla4[[#This Row],[Cantidad]]</f>
        <v>348.43412999999998</v>
      </c>
      <c r="Q2811" s="282" t="e">
        <f>(INDEX(Tabla6[#All],MATCH(Tabla4[[#This Row],[Producto]],Tabla6[[#All],[PRODUCTO]],0),MATCH(Tabla4[[#This Row],[Mes]],Tabla6[#Headers],0)))</f>
        <v>#N/A</v>
      </c>
      <c r="R2811" s="282" t="e">
        <f>++Tabla4[[#This Row],[Precio Unitario Neto]]-Tabla4[[#This Row],[20.85%]]-Tabla4[[#This Row],[Costo]]</f>
        <v>#N/A</v>
      </c>
      <c r="S2811" s="282" t="e">
        <f>++Tabla4[[#This Row],[U. Bruta Uni]]*Tabla4[[#This Row],[Cantidad]]</f>
        <v>#N/A</v>
      </c>
      <c r="T2811" s="369" t="str">
        <f>VLOOKUP(Tabla4[[#This Row],[Producto]],Tabla6[#All],14,FALSE)</f>
        <v>Termico Solar</v>
      </c>
      <c r="U2811" s="284" t="e">
        <f>(IF(Tabla4[[#This Row],[Familia]]="termico solar",Tabla4[[#This Row],[Utilidad Total]]*6%,Tabla4[[#This Row],[Utilidad Total]]*11.5%))/Tabla4[[#This Row],[Total]]</f>
        <v>#N/A</v>
      </c>
      <c r="V2811" s="282" t="e">
        <f>+Tabla4[[#This Row],[Comisión Calculada]]*Tabla4[[#This Row],[Total]]</f>
        <v>#N/A</v>
      </c>
    </row>
    <row r="2812" spans="1:22" hidden="1" x14ac:dyDescent="0.25">
      <c r="A2812" s="100">
        <v>45792</v>
      </c>
      <c r="B2812" t="str">
        <f t="shared" si="135"/>
        <v>May</v>
      </c>
      <c r="C2812" s="46" t="s">
        <v>280</v>
      </c>
      <c r="F2812" s="366" t="s">
        <v>1807</v>
      </c>
      <c r="G2812" s="46" t="s">
        <v>566</v>
      </c>
      <c r="H2812" s="46">
        <v>1</v>
      </c>
      <c r="I2812" s="51">
        <v>2109.4499999999998</v>
      </c>
      <c r="J2812" s="281">
        <f>++Tabla4[[#This Row],[Precio Bruto]]*1.16</f>
        <v>2446.9619999999995</v>
      </c>
      <c r="K2812" s="281">
        <f>+Tabla4[[#This Row],[Precio Unitario Neto]]*Tabla4[[#Headers],[20.85%]]</f>
        <v>510.19157699999988</v>
      </c>
      <c r="L2812" s="282">
        <f>++Tabla4[[#This Row],[Precio Unitario Neto]]-Tabla4[[#This Row],[20.85%]]</f>
        <v>1936.7704229999997</v>
      </c>
      <c r="M2812" s="282" t="e">
        <f>(INDEX(Tabla6[#All],MATCH(Tabla4[[#This Row],[Producto]],Tabla6[[#All],[PRODUCTO]],0),MATCH(Tabla4[[#This Row],[Mes]],Tabla6[#Headers],0)))*(1+Catalogos!$L$2)</f>
        <v>#N/A</v>
      </c>
      <c r="N2812" s="283" t="e">
        <f>+(Tabla4[[#This Row],[Precio Descontado]]-Tabla4[[#This Row],[Precio Base]])*Tabla4[[#This Row],[Cantidad]]</f>
        <v>#N/A</v>
      </c>
      <c r="O2812" s="284" t="e">
        <f>++Tabla4[[#This Row],[Utilidad Total]]/Tabla4[[#This Row],[Total]]</f>
        <v>#N/A</v>
      </c>
      <c r="P2812" s="282">
        <f>++Tabla4[[#This Row],[Precio Descontado]]*Tabla4[[#This Row],[Cantidad]]</f>
        <v>1936.7704229999997</v>
      </c>
      <c r="Q2812" s="282" t="e">
        <f>(INDEX(Tabla6[#All],MATCH(Tabla4[[#This Row],[Producto]],Tabla6[[#All],[PRODUCTO]],0),MATCH(Tabla4[[#This Row],[Mes]],Tabla6[#Headers],0)))</f>
        <v>#N/A</v>
      </c>
      <c r="R2812" s="282" t="e">
        <f>++Tabla4[[#This Row],[Precio Unitario Neto]]-Tabla4[[#This Row],[20.85%]]-Tabla4[[#This Row],[Costo]]</f>
        <v>#N/A</v>
      </c>
      <c r="S2812" s="282" t="e">
        <f>++Tabla4[[#This Row],[U. Bruta Uni]]*Tabla4[[#This Row],[Cantidad]]</f>
        <v>#N/A</v>
      </c>
      <c r="T2812" s="369" t="str">
        <f>VLOOKUP(Tabla4[[#This Row],[Producto]],Tabla6[#All],14,FALSE)</f>
        <v>Termico Solar</v>
      </c>
      <c r="U2812" s="284" t="e">
        <f>(IF(Tabla4[[#This Row],[Familia]]="termico solar",Tabla4[[#This Row],[Utilidad Total]]*6%,Tabla4[[#This Row],[Utilidad Total]]*11.5%))/Tabla4[[#This Row],[Total]]</f>
        <v>#N/A</v>
      </c>
      <c r="V2812" s="282" t="e">
        <f>+Tabla4[[#This Row],[Comisión Calculada]]*Tabla4[[#This Row],[Total]]</f>
        <v>#N/A</v>
      </c>
    </row>
    <row r="2813" spans="1:22" hidden="1" x14ac:dyDescent="0.25">
      <c r="A2813" s="100">
        <v>45792</v>
      </c>
      <c r="B2813" t="str">
        <f t="shared" si="135"/>
        <v>May</v>
      </c>
      <c r="C2813" s="46" t="s">
        <v>280</v>
      </c>
      <c r="F2813" s="366" t="s">
        <v>1808</v>
      </c>
      <c r="G2813" s="46" t="s">
        <v>83</v>
      </c>
      <c r="H2813" s="46">
        <v>3</v>
      </c>
      <c r="I2813" s="51">
        <v>8858.76</v>
      </c>
      <c r="J2813" s="281">
        <f>++Tabla4[[#This Row],[Precio Bruto]]*1.16</f>
        <v>10276.161599999999</v>
      </c>
      <c r="K2813" s="281">
        <f>+Tabla4[[#This Row],[Precio Unitario Neto]]*Tabla4[[#Headers],[20.85%]]</f>
        <v>2142.5796935999997</v>
      </c>
      <c r="L2813" s="282">
        <f>++Tabla4[[#This Row],[Precio Unitario Neto]]-Tabla4[[#This Row],[20.85%]]</f>
        <v>8133.5819063999998</v>
      </c>
      <c r="M2813" s="282" t="e">
        <f>(INDEX(Tabla6[#All],MATCH(Tabla4[[#This Row],[Producto]],Tabla6[[#All],[PRODUCTO]],0),MATCH(Tabla4[[#This Row],[Mes]],Tabla6[#Headers],0)))*(1+Catalogos!$L$2)</f>
        <v>#N/A</v>
      </c>
      <c r="N2813" s="283" t="e">
        <f>+(Tabla4[[#This Row],[Precio Descontado]]-Tabla4[[#This Row],[Precio Base]])*Tabla4[[#This Row],[Cantidad]]</f>
        <v>#N/A</v>
      </c>
      <c r="O2813" s="284" t="e">
        <f>++Tabla4[[#This Row],[Utilidad Total]]/Tabla4[[#This Row],[Total]]</f>
        <v>#N/A</v>
      </c>
      <c r="P2813" s="282">
        <f>++Tabla4[[#This Row],[Precio Descontado]]*Tabla4[[#This Row],[Cantidad]]</f>
        <v>24400.7457192</v>
      </c>
      <c r="Q2813" s="282" t="e">
        <f>(INDEX(Tabla6[#All],MATCH(Tabla4[[#This Row],[Producto]],Tabla6[[#All],[PRODUCTO]],0),MATCH(Tabla4[[#This Row],[Mes]],Tabla6[#Headers],0)))</f>
        <v>#N/A</v>
      </c>
      <c r="R2813" s="282" t="e">
        <f>++Tabla4[[#This Row],[Precio Unitario Neto]]-Tabla4[[#This Row],[20.85%]]-Tabla4[[#This Row],[Costo]]</f>
        <v>#N/A</v>
      </c>
      <c r="S2813" s="282" t="e">
        <f>++Tabla4[[#This Row],[U. Bruta Uni]]*Tabla4[[#This Row],[Cantidad]]</f>
        <v>#N/A</v>
      </c>
      <c r="T2813" s="369" t="str">
        <f>VLOOKUP(Tabla4[[#This Row],[Producto]],Tabla6[#All],14,FALSE)</f>
        <v>Termico Solar</v>
      </c>
      <c r="U2813" s="284" t="e">
        <f>(IF(Tabla4[[#This Row],[Familia]]="termico solar",Tabla4[[#This Row],[Utilidad Total]]*6%,Tabla4[[#This Row],[Utilidad Total]]*11.5%))/Tabla4[[#This Row],[Total]]</f>
        <v>#N/A</v>
      </c>
      <c r="V2813" s="282" t="e">
        <f>+Tabla4[[#This Row],[Comisión Calculada]]*Tabla4[[#This Row],[Total]]</f>
        <v>#N/A</v>
      </c>
    </row>
    <row r="2814" spans="1:22" hidden="1" x14ac:dyDescent="0.25">
      <c r="A2814" s="100">
        <v>45792</v>
      </c>
      <c r="B2814" t="str">
        <f t="shared" si="135"/>
        <v>May</v>
      </c>
      <c r="C2814" s="46" t="s">
        <v>280</v>
      </c>
      <c r="F2814" s="366" t="s">
        <v>1808</v>
      </c>
      <c r="G2814" s="46" t="s">
        <v>17</v>
      </c>
      <c r="H2814" s="46">
        <v>19</v>
      </c>
      <c r="I2814" s="51">
        <v>4622.2800000000007</v>
      </c>
      <c r="J2814" s="281">
        <f>++Tabla4[[#This Row],[Precio Bruto]]*1.16</f>
        <v>5361.8448000000008</v>
      </c>
      <c r="K2814" s="281">
        <f>+Tabla4[[#This Row],[Precio Unitario Neto]]*Tabla4[[#Headers],[20.85%]]</f>
        <v>1117.9446408000001</v>
      </c>
      <c r="L2814" s="282">
        <f>++Tabla4[[#This Row],[Precio Unitario Neto]]-Tabla4[[#This Row],[20.85%]]</f>
        <v>4243.9001592000004</v>
      </c>
      <c r="M2814" s="282" t="e">
        <f>(INDEX(Tabla6[#All],MATCH(Tabla4[[#This Row],[Producto]],Tabla6[[#All],[PRODUCTO]],0),MATCH(Tabla4[[#This Row],[Mes]],Tabla6[#Headers],0)))*(1+Catalogos!$L$2)</f>
        <v>#N/A</v>
      </c>
      <c r="N2814" s="283" t="e">
        <f>+(Tabla4[[#This Row],[Precio Descontado]]-Tabla4[[#This Row],[Precio Base]])*Tabla4[[#This Row],[Cantidad]]</f>
        <v>#N/A</v>
      </c>
      <c r="O2814" s="284" t="e">
        <f>++Tabla4[[#This Row],[Utilidad Total]]/Tabla4[[#This Row],[Total]]</f>
        <v>#N/A</v>
      </c>
      <c r="P2814" s="282">
        <f>++Tabla4[[#This Row],[Precio Descontado]]*Tabla4[[#This Row],[Cantidad]]</f>
        <v>80634.103024800002</v>
      </c>
      <c r="Q2814" s="282" t="e">
        <f>(INDEX(Tabla6[#All],MATCH(Tabla4[[#This Row],[Producto]],Tabla6[[#All],[PRODUCTO]],0),MATCH(Tabla4[[#This Row],[Mes]],Tabla6[#Headers],0)))</f>
        <v>#N/A</v>
      </c>
      <c r="R2814" s="282" t="e">
        <f>++Tabla4[[#This Row],[Precio Unitario Neto]]-Tabla4[[#This Row],[20.85%]]-Tabla4[[#This Row],[Costo]]</f>
        <v>#N/A</v>
      </c>
      <c r="S2814" s="282" t="e">
        <f>++Tabla4[[#This Row],[U. Bruta Uni]]*Tabla4[[#This Row],[Cantidad]]</f>
        <v>#N/A</v>
      </c>
      <c r="T2814" s="369" t="str">
        <f>VLOOKUP(Tabla4[[#This Row],[Producto]],Tabla6[#All],14,FALSE)</f>
        <v>Termico Solar</v>
      </c>
      <c r="U2814" s="284" t="e">
        <f>(IF(Tabla4[[#This Row],[Familia]]="termico solar",Tabla4[[#This Row],[Utilidad Total]]*6%,Tabla4[[#This Row],[Utilidad Total]]*11.5%))/Tabla4[[#This Row],[Total]]</f>
        <v>#N/A</v>
      </c>
      <c r="V2814" s="282" t="e">
        <f>+Tabla4[[#This Row],[Comisión Calculada]]*Tabla4[[#This Row],[Total]]</f>
        <v>#N/A</v>
      </c>
    </row>
    <row r="2815" spans="1:22" hidden="1" x14ac:dyDescent="0.25">
      <c r="A2815" s="100">
        <v>45792</v>
      </c>
      <c r="B2815" t="str">
        <f t="shared" si="135"/>
        <v>May</v>
      </c>
      <c r="C2815" s="46" t="s">
        <v>280</v>
      </c>
      <c r="F2815" s="366" t="s">
        <v>1808</v>
      </c>
      <c r="G2815" s="46" t="s">
        <v>18</v>
      </c>
      <c r="H2815" s="46">
        <v>20</v>
      </c>
      <c r="I2815" s="51">
        <v>5367.65</v>
      </c>
      <c r="J2815" s="281">
        <f>++Tabla4[[#This Row],[Precio Bruto]]*1.16</f>
        <v>6226.4739999999993</v>
      </c>
      <c r="K2815" s="281">
        <f>+Tabla4[[#This Row],[Precio Unitario Neto]]*Tabla4[[#Headers],[20.85%]]</f>
        <v>1298.2198289999999</v>
      </c>
      <c r="L2815" s="282">
        <f>++Tabla4[[#This Row],[Precio Unitario Neto]]-Tabla4[[#This Row],[20.85%]]</f>
        <v>4928.2541709999996</v>
      </c>
      <c r="M2815" s="282" t="e">
        <f>(INDEX(Tabla6[#All],MATCH(Tabla4[[#This Row],[Producto]],Tabla6[[#All],[PRODUCTO]],0),MATCH(Tabla4[[#This Row],[Mes]],Tabla6[#Headers],0)))*(1+Catalogos!$L$2)</f>
        <v>#N/A</v>
      </c>
      <c r="N2815" s="283" t="e">
        <f>+(Tabla4[[#This Row],[Precio Descontado]]-Tabla4[[#This Row],[Precio Base]])*Tabla4[[#This Row],[Cantidad]]</f>
        <v>#N/A</v>
      </c>
      <c r="O2815" s="284" t="e">
        <f>++Tabla4[[#This Row],[Utilidad Total]]/Tabla4[[#This Row],[Total]]</f>
        <v>#N/A</v>
      </c>
      <c r="P2815" s="282">
        <f>++Tabla4[[#This Row],[Precio Descontado]]*Tabla4[[#This Row],[Cantidad]]</f>
        <v>98565.083419999995</v>
      </c>
      <c r="Q2815" s="282" t="e">
        <f>(INDEX(Tabla6[#All],MATCH(Tabla4[[#This Row],[Producto]],Tabla6[[#All],[PRODUCTO]],0),MATCH(Tabla4[[#This Row],[Mes]],Tabla6[#Headers],0)))</f>
        <v>#N/A</v>
      </c>
      <c r="R2815" s="282" t="e">
        <f>++Tabla4[[#This Row],[Precio Unitario Neto]]-Tabla4[[#This Row],[20.85%]]-Tabla4[[#This Row],[Costo]]</f>
        <v>#N/A</v>
      </c>
      <c r="S2815" s="282" t="e">
        <f>++Tabla4[[#This Row],[U. Bruta Uni]]*Tabla4[[#This Row],[Cantidad]]</f>
        <v>#N/A</v>
      </c>
      <c r="T2815" s="369" t="str">
        <f>VLOOKUP(Tabla4[[#This Row],[Producto]],Tabla6[#All],14,FALSE)</f>
        <v>Termico Solar</v>
      </c>
      <c r="U2815" s="284" t="e">
        <f>(IF(Tabla4[[#This Row],[Familia]]="termico solar",Tabla4[[#This Row],[Utilidad Total]]*6%,Tabla4[[#This Row],[Utilidad Total]]*11.5%))/Tabla4[[#This Row],[Total]]</f>
        <v>#N/A</v>
      </c>
      <c r="V2815" s="282" t="e">
        <f>+Tabla4[[#This Row],[Comisión Calculada]]*Tabla4[[#This Row],[Total]]</f>
        <v>#N/A</v>
      </c>
    </row>
    <row r="2816" spans="1:22" hidden="1" x14ac:dyDescent="0.25">
      <c r="A2816" s="100">
        <v>45792</v>
      </c>
      <c r="B2816" t="str">
        <f t="shared" si="135"/>
        <v>May</v>
      </c>
      <c r="C2816" s="46" t="s">
        <v>280</v>
      </c>
      <c r="F2816" s="366" t="s">
        <v>1808</v>
      </c>
      <c r="G2816" s="46" t="s">
        <v>16</v>
      </c>
      <c r="H2816" s="46">
        <v>14</v>
      </c>
      <c r="I2816" s="51">
        <v>4103.8500000000004</v>
      </c>
      <c r="J2816" s="281">
        <f>++Tabla4[[#This Row],[Precio Bruto]]*1.16</f>
        <v>4760.4660000000003</v>
      </c>
      <c r="K2816" s="281">
        <f>+Tabla4[[#This Row],[Precio Unitario Neto]]*Tabla4[[#Headers],[20.85%]]</f>
        <v>992.55716100000006</v>
      </c>
      <c r="L2816" s="282">
        <f>++Tabla4[[#This Row],[Precio Unitario Neto]]-Tabla4[[#This Row],[20.85%]]</f>
        <v>3767.9088390000002</v>
      </c>
      <c r="M2816" s="282" t="e">
        <f>(INDEX(Tabla6[#All],MATCH(Tabla4[[#This Row],[Producto]],Tabla6[[#All],[PRODUCTO]],0),MATCH(Tabla4[[#This Row],[Mes]],Tabla6[#Headers],0)))*(1+Catalogos!$L$2)</f>
        <v>#N/A</v>
      </c>
      <c r="N2816" s="283" t="e">
        <f>+(Tabla4[[#This Row],[Precio Descontado]]-Tabla4[[#This Row],[Precio Base]])*Tabla4[[#This Row],[Cantidad]]</f>
        <v>#N/A</v>
      </c>
      <c r="O2816" s="284" t="e">
        <f>++Tabla4[[#This Row],[Utilidad Total]]/Tabla4[[#This Row],[Total]]</f>
        <v>#N/A</v>
      </c>
      <c r="P2816" s="282">
        <f>++Tabla4[[#This Row],[Precio Descontado]]*Tabla4[[#This Row],[Cantidad]]</f>
        <v>52750.723746000003</v>
      </c>
      <c r="Q2816" s="282" t="e">
        <f>(INDEX(Tabla6[#All],MATCH(Tabla4[[#This Row],[Producto]],Tabla6[[#All],[PRODUCTO]],0),MATCH(Tabla4[[#This Row],[Mes]],Tabla6[#Headers],0)))</f>
        <v>#N/A</v>
      </c>
      <c r="R2816" s="282" t="e">
        <f>++Tabla4[[#This Row],[Precio Unitario Neto]]-Tabla4[[#This Row],[20.85%]]-Tabla4[[#This Row],[Costo]]</f>
        <v>#N/A</v>
      </c>
      <c r="S2816" s="282" t="e">
        <f>++Tabla4[[#This Row],[U. Bruta Uni]]*Tabla4[[#This Row],[Cantidad]]</f>
        <v>#N/A</v>
      </c>
      <c r="T2816" s="369" t="str">
        <f>VLOOKUP(Tabla4[[#This Row],[Producto]],Tabla6[#All],14,FALSE)</f>
        <v>Termico Solar</v>
      </c>
      <c r="U2816" s="284" t="e">
        <f>(IF(Tabla4[[#This Row],[Familia]]="termico solar",Tabla4[[#This Row],[Utilidad Total]]*6%,Tabla4[[#This Row],[Utilidad Total]]*11.5%))/Tabla4[[#This Row],[Total]]</f>
        <v>#N/A</v>
      </c>
      <c r="V2816" s="282" t="e">
        <f>+Tabla4[[#This Row],[Comisión Calculada]]*Tabla4[[#This Row],[Total]]</f>
        <v>#N/A</v>
      </c>
    </row>
    <row r="2817" spans="1:22" hidden="1" x14ac:dyDescent="0.25">
      <c r="A2817" s="100">
        <v>45792</v>
      </c>
      <c r="B2817" t="str">
        <f t="shared" si="135"/>
        <v>May</v>
      </c>
      <c r="C2817" s="46" t="s">
        <v>280</v>
      </c>
      <c r="F2817" s="366" t="s">
        <v>1809</v>
      </c>
      <c r="G2817" s="46" t="s">
        <v>83</v>
      </c>
      <c r="H2817" s="46">
        <v>1</v>
      </c>
      <c r="I2817" s="51">
        <v>8858.76</v>
      </c>
      <c r="J2817" s="281">
        <f>++Tabla4[[#This Row],[Precio Bruto]]*1.16</f>
        <v>10276.161599999999</v>
      </c>
      <c r="K2817" s="281">
        <f>+Tabla4[[#This Row],[Precio Unitario Neto]]*Tabla4[[#Headers],[20.85%]]</f>
        <v>2142.5796935999997</v>
      </c>
      <c r="L2817" s="282">
        <f>++Tabla4[[#This Row],[Precio Unitario Neto]]-Tabla4[[#This Row],[20.85%]]</f>
        <v>8133.5819063999998</v>
      </c>
      <c r="M2817" s="282" t="e">
        <f>(INDEX(Tabla6[#All],MATCH(Tabla4[[#This Row],[Producto]],Tabla6[[#All],[PRODUCTO]],0),MATCH(Tabla4[[#This Row],[Mes]],Tabla6[#Headers],0)))*(1+Catalogos!$L$2)</f>
        <v>#N/A</v>
      </c>
      <c r="N2817" s="283" t="e">
        <f>+(Tabla4[[#This Row],[Precio Descontado]]-Tabla4[[#This Row],[Precio Base]])*Tabla4[[#This Row],[Cantidad]]</f>
        <v>#N/A</v>
      </c>
      <c r="O2817" s="284" t="e">
        <f>++Tabla4[[#This Row],[Utilidad Total]]/Tabla4[[#This Row],[Total]]</f>
        <v>#N/A</v>
      </c>
      <c r="P2817" s="282">
        <f>++Tabla4[[#This Row],[Precio Descontado]]*Tabla4[[#This Row],[Cantidad]]</f>
        <v>8133.5819063999998</v>
      </c>
      <c r="Q2817" s="282" t="e">
        <f>(INDEX(Tabla6[#All],MATCH(Tabla4[[#This Row],[Producto]],Tabla6[[#All],[PRODUCTO]],0),MATCH(Tabla4[[#This Row],[Mes]],Tabla6[#Headers],0)))</f>
        <v>#N/A</v>
      </c>
      <c r="R2817" s="282" t="e">
        <f>++Tabla4[[#This Row],[Precio Unitario Neto]]-Tabla4[[#This Row],[20.85%]]-Tabla4[[#This Row],[Costo]]</f>
        <v>#N/A</v>
      </c>
      <c r="S2817" s="282" t="e">
        <f>++Tabla4[[#This Row],[U. Bruta Uni]]*Tabla4[[#This Row],[Cantidad]]</f>
        <v>#N/A</v>
      </c>
      <c r="T2817" s="369" t="str">
        <f>VLOOKUP(Tabla4[[#This Row],[Producto]],Tabla6[#All],14,FALSE)</f>
        <v>Termico Solar</v>
      </c>
      <c r="U2817" s="284" t="e">
        <f>(IF(Tabla4[[#This Row],[Familia]]="termico solar",Tabla4[[#This Row],[Utilidad Total]]*6%,Tabla4[[#This Row],[Utilidad Total]]*11.5%))/Tabla4[[#This Row],[Total]]</f>
        <v>#N/A</v>
      </c>
      <c r="V2817" s="282" t="e">
        <f>+Tabla4[[#This Row],[Comisión Calculada]]*Tabla4[[#This Row],[Total]]</f>
        <v>#N/A</v>
      </c>
    </row>
    <row r="2818" spans="1:22" ht="14.25" hidden="1" customHeight="1" x14ac:dyDescent="0.25">
      <c r="A2818" s="100">
        <v>45792</v>
      </c>
      <c r="B2818" t="str">
        <f t="shared" si="135"/>
        <v>May</v>
      </c>
      <c r="C2818" s="46" t="s">
        <v>280</v>
      </c>
      <c r="F2818" s="366" t="s">
        <v>1809</v>
      </c>
      <c r="G2818" s="46" t="s">
        <v>17</v>
      </c>
      <c r="H2818" s="46">
        <v>3</v>
      </c>
      <c r="I2818" s="51">
        <v>4622.28</v>
      </c>
      <c r="J2818" s="281">
        <f>++Tabla4[[#This Row],[Precio Bruto]]*1.16</f>
        <v>5361.8447999999989</v>
      </c>
      <c r="K2818" s="281">
        <f>+Tabla4[[#This Row],[Precio Unitario Neto]]*Tabla4[[#Headers],[20.85%]]</f>
        <v>1117.9446407999997</v>
      </c>
      <c r="L2818" s="282">
        <f>++Tabla4[[#This Row],[Precio Unitario Neto]]-Tabla4[[#This Row],[20.85%]]</f>
        <v>4243.9001591999995</v>
      </c>
      <c r="M2818" s="282" t="e">
        <f>(INDEX(Tabla6[#All],MATCH(Tabla4[[#This Row],[Producto]],Tabla6[[#All],[PRODUCTO]],0),MATCH(Tabla4[[#This Row],[Mes]],Tabla6[#Headers],0)))*(1+Catalogos!$L$2)</f>
        <v>#N/A</v>
      </c>
      <c r="N2818" s="283" t="e">
        <f>+(Tabla4[[#This Row],[Precio Descontado]]-Tabla4[[#This Row],[Precio Base]])*Tabla4[[#This Row],[Cantidad]]</f>
        <v>#N/A</v>
      </c>
      <c r="O2818" s="284" t="e">
        <f>++Tabla4[[#This Row],[Utilidad Total]]/Tabla4[[#This Row],[Total]]</f>
        <v>#N/A</v>
      </c>
      <c r="P2818" s="282">
        <f>++Tabla4[[#This Row],[Precio Descontado]]*Tabla4[[#This Row],[Cantidad]]</f>
        <v>12731.700477599999</v>
      </c>
      <c r="Q2818" s="282" t="e">
        <f>(INDEX(Tabla6[#All],MATCH(Tabla4[[#This Row],[Producto]],Tabla6[[#All],[PRODUCTO]],0),MATCH(Tabla4[[#This Row],[Mes]],Tabla6[#Headers],0)))</f>
        <v>#N/A</v>
      </c>
      <c r="R2818" s="282" t="e">
        <f>++Tabla4[[#This Row],[Precio Unitario Neto]]-Tabla4[[#This Row],[20.85%]]-Tabla4[[#This Row],[Costo]]</f>
        <v>#N/A</v>
      </c>
      <c r="S2818" s="282" t="e">
        <f>++Tabla4[[#This Row],[U. Bruta Uni]]*Tabla4[[#This Row],[Cantidad]]</f>
        <v>#N/A</v>
      </c>
      <c r="T2818" s="369" t="str">
        <f>VLOOKUP(Tabla4[[#This Row],[Producto]],Tabla6[#All],14,FALSE)</f>
        <v>Termico Solar</v>
      </c>
      <c r="U2818" s="284" t="e">
        <f>(IF(Tabla4[[#This Row],[Familia]]="termico solar",Tabla4[[#This Row],[Utilidad Total]]*6%,Tabla4[[#This Row],[Utilidad Total]]*11.5%))/Tabla4[[#This Row],[Total]]</f>
        <v>#N/A</v>
      </c>
      <c r="V2818" s="282" t="e">
        <f>+Tabla4[[#This Row],[Comisión Calculada]]*Tabla4[[#This Row],[Total]]</f>
        <v>#N/A</v>
      </c>
    </row>
    <row r="2819" spans="1:22" ht="14.25" hidden="1" customHeight="1" x14ac:dyDescent="0.25">
      <c r="A2819" s="100">
        <v>45792</v>
      </c>
      <c r="B2819" t="str">
        <f t="shared" si="135"/>
        <v>May</v>
      </c>
      <c r="C2819" s="46" t="s">
        <v>280</v>
      </c>
      <c r="F2819" s="366" t="s">
        <v>1809</v>
      </c>
      <c r="G2819" s="46" t="s">
        <v>18</v>
      </c>
      <c r="H2819" s="46">
        <v>4</v>
      </c>
      <c r="I2819" s="51">
        <v>5367.65</v>
      </c>
      <c r="J2819" s="281">
        <f>++Tabla4[[#This Row],[Precio Bruto]]*1.16</f>
        <v>6226.4739999999993</v>
      </c>
      <c r="K2819" s="281">
        <f>+Tabla4[[#This Row],[Precio Unitario Neto]]*Tabla4[[#Headers],[20.85%]]</f>
        <v>1298.2198289999999</v>
      </c>
      <c r="L2819" s="282">
        <f>++Tabla4[[#This Row],[Precio Unitario Neto]]-Tabla4[[#This Row],[20.85%]]</f>
        <v>4928.2541709999996</v>
      </c>
      <c r="M2819" s="282" t="e">
        <f>(INDEX(Tabla6[#All],MATCH(Tabla4[[#This Row],[Producto]],Tabla6[[#All],[PRODUCTO]],0),MATCH(Tabla4[[#This Row],[Mes]],Tabla6[#Headers],0)))*(1+Catalogos!$L$2)</f>
        <v>#N/A</v>
      </c>
      <c r="N2819" s="283" t="e">
        <f>+(Tabla4[[#This Row],[Precio Descontado]]-Tabla4[[#This Row],[Precio Base]])*Tabla4[[#This Row],[Cantidad]]</f>
        <v>#N/A</v>
      </c>
      <c r="O2819" s="284" t="e">
        <f>++Tabla4[[#This Row],[Utilidad Total]]/Tabla4[[#This Row],[Total]]</f>
        <v>#N/A</v>
      </c>
      <c r="P2819" s="282">
        <f>++Tabla4[[#This Row],[Precio Descontado]]*Tabla4[[#This Row],[Cantidad]]</f>
        <v>19713.016683999998</v>
      </c>
      <c r="Q2819" s="282" t="e">
        <f>(INDEX(Tabla6[#All],MATCH(Tabla4[[#This Row],[Producto]],Tabla6[[#All],[PRODUCTO]],0),MATCH(Tabla4[[#This Row],[Mes]],Tabla6[#Headers],0)))</f>
        <v>#N/A</v>
      </c>
      <c r="R2819" s="282" t="e">
        <f>++Tabla4[[#This Row],[Precio Unitario Neto]]-Tabla4[[#This Row],[20.85%]]-Tabla4[[#This Row],[Costo]]</f>
        <v>#N/A</v>
      </c>
      <c r="S2819" s="282" t="e">
        <f>++Tabla4[[#This Row],[U. Bruta Uni]]*Tabla4[[#This Row],[Cantidad]]</f>
        <v>#N/A</v>
      </c>
      <c r="T2819" s="369" t="str">
        <f>VLOOKUP(Tabla4[[#This Row],[Producto]],Tabla6[#All],14,FALSE)</f>
        <v>Termico Solar</v>
      </c>
      <c r="U2819" s="284" t="e">
        <f>(IF(Tabla4[[#This Row],[Familia]]="termico solar",Tabla4[[#This Row],[Utilidad Total]]*6%,Tabla4[[#This Row],[Utilidad Total]]*11.5%))/Tabla4[[#This Row],[Total]]</f>
        <v>#N/A</v>
      </c>
      <c r="V2819" s="282" t="e">
        <f>+Tabla4[[#This Row],[Comisión Calculada]]*Tabla4[[#This Row],[Total]]</f>
        <v>#N/A</v>
      </c>
    </row>
    <row r="2820" spans="1:22" hidden="1" x14ac:dyDescent="0.25">
      <c r="A2820" s="100">
        <v>45792</v>
      </c>
      <c r="B2820" t="str">
        <f t="shared" si="135"/>
        <v>May</v>
      </c>
      <c r="C2820" s="46" t="s">
        <v>280</v>
      </c>
      <c r="F2820" s="366" t="s">
        <v>1810</v>
      </c>
      <c r="G2820" s="46" t="s">
        <v>83</v>
      </c>
      <c r="H2820" s="46">
        <v>1</v>
      </c>
      <c r="I2820" s="51">
        <v>8858.76</v>
      </c>
      <c r="J2820" s="281">
        <f>++Tabla4[[#This Row],[Precio Bruto]]*1.16</f>
        <v>10276.161599999999</v>
      </c>
      <c r="K2820" s="281">
        <f>+Tabla4[[#This Row],[Precio Unitario Neto]]*Tabla4[[#Headers],[20.85%]]</f>
        <v>2142.5796935999997</v>
      </c>
      <c r="L2820" s="282">
        <f>++Tabla4[[#This Row],[Precio Unitario Neto]]-Tabla4[[#This Row],[20.85%]]</f>
        <v>8133.5819063999998</v>
      </c>
      <c r="M2820" s="282" t="e">
        <f>(INDEX(Tabla6[#All],MATCH(Tabla4[[#This Row],[Producto]],Tabla6[[#All],[PRODUCTO]],0),MATCH(Tabla4[[#This Row],[Mes]],Tabla6[#Headers],0)))*(1+Catalogos!$L$2)</f>
        <v>#N/A</v>
      </c>
      <c r="N2820" s="283" t="e">
        <f>+(Tabla4[[#This Row],[Precio Descontado]]-Tabla4[[#This Row],[Precio Base]])*Tabla4[[#This Row],[Cantidad]]</f>
        <v>#N/A</v>
      </c>
      <c r="O2820" s="284" t="e">
        <f>++Tabla4[[#This Row],[Utilidad Total]]/Tabla4[[#This Row],[Total]]</f>
        <v>#N/A</v>
      </c>
      <c r="P2820" s="282">
        <f>++Tabla4[[#This Row],[Precio Descontado]]*Tabla4[[#This Row],[Cantidad]]</f>
        <v>8133.5819063999998</v>
      </c>
      <c r="Q2820" s="282" t="e">
        <f>(INDEX(Tabla6[#All],MATCH(Tabla4[[#This Row],[Producto]],Tabla6[[#All],[PRODUCTO]],0),MATCH(Tabla4[[#This Row],[Mes]],Tabla6[#Headers],0)))</f>
        <v>#N/A</v>
      </c>
      <c r="R2820" s="282" t="e">
        <f>++Tabla4[[#This Row],[Precio Unitario Neto]]-Tabla4[[#This Row],[20.85%]]-Tabla4[[#This Row],[Costo]]</f>
        <v>#N/A</v>
      </c>
      <c r="S2820" s="282" t="e">
        <f>++Tabla4[[#This Row],[U. Bruta Uni]]*Tabla4[[#This Row],[Cantidad]]</f>
        <v>#N/A</v>
      </c>
      <c r="T2820" s="369" t="str">
        <f>VLOOKUP(Tabla4[[#This Row],[Producto]],Tabla6[#All],14,FALSE)</f>
        <v>Termico Solar</v>
      </c>
      <c r="U2820" s="284" t="e">
        <f>(IF(Tabla4[[#This Row],[Familia]]="termico solar",Tabla4[[#This Row],[Utilidad Total]]*6%,Tabla4[[#This Row],[Utilidad Total]]*11.5%))/Tabla4[[#This Row],[Total]]</f>
        <v>#N/A</v>
      </c>
      <c r="V2820" s="282" t="e">
        <f>+Tabla4[[#This Row],[Comisión Calculada]]*Tabla4[[#This Row],[Total]]</f>
        <v>#N/A</v>
      </c>
    </row>
    <row r="2821" spans="1:22" hidden="1" x14ac:dyDescent="0.25">
      <c r="A2821" s="100">
        <v>45792</v>
      </c>
      <c r="B2821" t="str">
        <f t="shared" si="135"/>
        <v>May</v>
      </c>
      <c r="C2821" s="46" t="s">
        <v>280</v>
      </c>
      <c r="F2821" s="366" t="s">
        <v>1810</v>
      </c>
      <c r="G2821" s="46" t="s">
        <v>17</v>
      </c>
      <c r="H2821" s="46">
        <v>1</v>
      </c>
      <c r="I2821" s="51">
        <v>4622.28</v>
      </c>
      <c r="J2821" s="281">
        <f>++Tabla4[[#This Row],[Precio Bruto]]*1.16</f>
        <v>5361.8447999999989</v>
      </c>
      <c r="K2821" s="281">
        <f>+Tabla4[[#This Row],[Precio Unitario Neto]]*Tabla4[[#Headers],[20.85%]]</f>
        <v>1117.9446407999997</v>
      </c>
      <c r="L2821" s="282">
        <f>++Tabla4[[#This Row],[Precio Unitario Neto]]-Tabla4[[#This Row],[20.85%]]</f>
        <v>4243.9001591999995</v>
      </c>
      <c r="M2821" s="282" t="e">
        <f>(INDEX(Tabla6[#All],MATCH(Tabla4[[#This Row],[Producto]],Tabla6[[#All],[PRODUCTO]],0),MATCH(Tabla4[[#This Row],[Mes]],Tabla6[#Headers],0)))*(1+Catalogos!$L$2)</f>
        <v>#N/A</v>
      </c>
      <c r="N2821" s="283" t="e">
        <f>+(Tabla4[[#This Row],[Precio Descontado]]-Tabla4[[#This Row],[Precio Base]])*Tabla4[[#This Row],[Cantidad]]</f>
        <v>#N/A</v>
      </c>
      <c r="O2821" s="284" t="e">
        <f>++Tabla4[[#This Row],[Utilidad Total]]/Tabla4[[#This Row],[Total]]</f>
        <v>#N/A</v>
      </c>
      <c r="P2821" s="282">
        <f>++Tabla4[[#This Row],[Precio Descontado]]*Tabla4[[#This Row],[Cantidad]]</f>
        <v>4243.9001591999995</v>
      </c>
      <c r="Q2821" s="282" t="e">
        <f>(INDEX(Tabla6[#All],MATCH(Tabla4[[#This Row],[Producto]],Tabla6[[#All],[PRODUCTO]],0),MATCH(Tabla4[[#This Row],[Mes]],Tabla6[#Headers],0)))</f>
        <v>#N/A</v>
      </c>
      <c r="R2821" s="282" t="e">
        <f>++Tabla4[[#This Row],[Precio Unitario Neto]]-Tabla4[[#This Row],[20.85%]]-Tabla4[[#This Row],[Costo]]</f>
        <v>#N/A</v>
      </c>
      <c r="S2821" s="282" t="e">
        <f>++Tabla4[[#This Row],[U. Bruta Uni]]*Tabla4[[#This Row],[Cantidad]]</f>
        <v>#N/A</v>
      </c>
      <c r="T2821" s="369" t="str">
        <f>VLOOKUP(Tabla4[[#This Row],[Producto]],Tabla6[#All],14,FALSE)</f>
        <v>Termico Solar</v>
      </c>
      <c r="U2821" s="284" t="e">
        <f>(IF(Tabla4[[#This Row],[Familia]]="termico solar",Tabla4[[#This Row],[Utilidad Total]]*6%,Tabla4[[#This Row],[Utilidad Total]]*11.5%))/Tabla4[[#This Row],[Total]]</f>
        <v>#N/A</v>
      </c>
      <c r="V2821" s="282" t="e">
        <f>+Tabla4[[#This Row],[Comisión Calculada]]*Tabla4[[#This Row],[Total]]</f>
        <v>#N/A</v>
      </c>
    </row>
    <row r="2822" spans="1:22" hidden="1" x14ac:dyDescent="0.25">
      <c r="A2822" s="100">
        <v>45792</v>
      </c>
      <c r="B2822" t="str">
        <f t="shared" si="135"/>
        <v>May</v>
      </c>
      <c r="C2822" s="46" t="s">
        <v>280</v>
      </c>
      <c r="F2822" s="366" t="s">
        <v>1810</v>
      </c>
      <c r="G2822" s="46" t="s">
        <v>566</v>
      </c>
      <c r="H2822" s="46">
        <v>1</v>
      </c>
      <c r="I2822" s="51">
        <v>2109.4499999999998</v>
      </c>
      <c r="J2822" s="281">
        <f>++Tabla4[[#This Row],[Precio Bruto]]*1.16</f>
        <v>2446.9619999999995</v>
      </c>
      <c r="K2822" s="281">
        <f>+Tabla4[[#This Row],[Precio Unitario Neto]]*Tabla4[[#Headers],[20.85%]]</f>
        <v>510.19157699999988</v>
      </c>
      <c r="L2822" s="282">
        <f>++Tabla4[[#This Row],[Precio Unitario Neto]]-Tabla4[[#This Row],[20.85%]]</f>
        <v>1936.7704229999997</v>
      </c>
      <c r="M2822" s="282" t="e">
        <f>(INDEX(Tabla6[#All],MATCH(Tabla4[[#This Row],[Producto]],Tabla6[[#All],[PRODUCTO]],0),MATCH(Tabla4[[#This Row],[Mes]],Tabla6[#Headers],0)))*(1+Catalogos!$L$2)</f>
        <v>#N/A</v>
      </c>
      <c r="N2822" s="283" t="e">
        <f>+(Tabla4[[#This Row],[Precio Descontado]]-Tabla4[[#This Row],[Precio Base]])*Tabla4[[#This Row],[Cantidad]]</f>
        <v>#N/A</v>
      </c>
      <c r="O2822" s="284" t="e">
        <f>++Tabla4[[#This Row],[Utilidad Total]]/Tabla4[[#This Row],[Total]]</f>
        <v>#N/A</v>
      </c>
      <c r="P2822" s="282">
        <f>++Tabla4[[#This Row],[Precio Descontado]]*Tabla4[[#This Row],[Cantidad]]</f>
        <v>1936.7704229999997</v>
      </c>
      <c r="Q2822" s="282" t="e">
        <f>(INDEX(Tabla6[#All],MATCH(Tabla4[[#This Row],[Producto]],Tabla6[[#All],[PRODUCTO]],0),MATCH(Tabla4[[#This Row],[Mes]],Tabla6[#Headers],0)))</f>
        <v>#N/A</v>
      </c>
      <c r="R2822" s="282" t="e">
        <f>++Tabla4[[#This Row],[Precio Unitario Neto]]-Tabla4[[#This Row],[20.85%]]-Tabla4[[#This Row],[Costo]]</f>
        <v>#N/A</v>
      </c>
      <c r="S2822" s="282" t="e">
        <f>++Tabla4[[#This Row],[U. Bruta Uni]]*Tabla4[[#This Row],[Cantidad]]</f>
        <v>#N/A</v>
      </c>
      <c r="T2822" s="369" t="str">
        <f>VLOOKUP(Tabla4[[#This Row],[Producto]],Tabla6[#All],14,FALSE)</f>
        <v>Termico Solar</v>
      </c>
      <c r="U2822" s="284" t="e">
        <f>(IF(Tabla4[[#This Row],[Familia]]="termico solar",Tabla4[[#This Row],[Utilidad Total]]*6%,Tabla4[[#This Row],[Utilidad Total]]*11.5%))/Tabla4[[#This Row],[Total]]</f>
        <v>#N/A</v>
      </c>
      <c r="V2822" s="282" t="e">
        <f>+Tabla4[[#This Row],[Comisión Calculada]]*Tabla4[[#This Row],[Total]]</f>
        <v>#N/A</v>
      </c>
    </row>
    <row r="2823" spans="1:22" hidden="1" x14ac:dyDescent="0.25">
      <c r="A2823" s="100">
        <v>45792</v>
      </c>
      <c r="B2823" t="str">
        <f t="shared" si="135"/>
        <v>May</v>
      </c>
      <c r="C2823" s="46" t="s">
        <v>280</v>
      </c>
      <c r="F2823" s="366" t="s">
        <v>1811</v>
      </c>
      <c r="G2823" s="46" t="s">
        <v>83</v>
      </c>
      <c r="H2823" s="46">
        <v>3</v>
      </c>
      <c r="I2823" s="51">
        <v>8858.76</v>
      </c>
      <c r="J2823" s="281">
        <f>++Tabla4[[#This Row],[Precio Bruto]]*1.16</f>
        <v>10276.161599999999</v>
      </c>
      <c r="K2823" s="281">
        <f>+Tabla4[[#This Row],[Precio Unitario Neto]]*Tabla4[[#Headers],[20.85%]]</f>
        <v>2142.5796935999997</v>
      </c>
      <c r="L2823" s="282">
        <f>++Tabla4[[#This Row],[Precio Unitario Neto]]-Tabla4[[#This Row],[20.85%]]</f>
        <v>8133.5819063999998</v>
      </c>
      <c r="M2823" s="282" t="e">
        <f>(INDEX(Tabla6[#All],MATCH(Tabla4[[#This Row],[Producto]],Tabla6[[#All],[PRODUCTO]],0),MATCH(Tabla4[[#This Row],[Mes]],Tabla6[#Headers],0)))*(1+Catalogos!$L$2)</f>
        <v>#N/A</v>
      </c>
      <c r="N2823" s="283" t="e">
        <f>+(Tabla4[[#This Row],[Precio Descontado]]-Tabla4[[#This Row],[Precio Base]])*Tabla4[[#This Row],[Cantidad]]</f>
        <v>#N/A</v>
      </c>
      <c r="O2823" s="284" t="e">
        <f>++Tabla4[[#This Row],[Utilidad Total]]/Tabla4[[#This Row],[Total]]</f>
        <v>#N/A</v>
      </c>
      <c r="P2823" s="282">
        <f>++Tabla4[[#This Row],[Precio Descontado]]*Tabla4[[#This Row],[Cantidad]]</f>
        <v>24400.7457192</v>
      </c>
      <c r="Q2823" s="282" t="e">
        <f>(INDEX(Tabla6[#All],MATCH(Tabla4[[#This Row],[Producto]],Tabla6[[#All],[PRODUCTO]],0),MATCH(Tabla4[[#This Row],[Mes]],Tabla6[#Headers],0)))</f>
        <v>#N/A</v>
      </c>
      <c r="R2823" s="282" t="e">
        <f>++Tabla4[[#This Row],[Precio Unitario Neto]]-Tabla4[[#This Row],[20.85%]]-Tabla4[[#This Row],[Costo]]</f>
        <v>#N/A</v>
      </c>
      <c r="S2823" s="282" t="e">
        <f>++Tabla4[[#This Row],[U. Bruta Uni]]*Tabla4[[#This Row],[Cantidad]]</f>
        <v>#N/A</v>
      </c>
      <c r="T2823" s="369" t="str">
        <f>VLOOKUP(Tabla4[[#This Row],[Producto]],Tabla6[#All],14,FALSE)</f>
        <v>Termico Solar</v>
      </c>
      <c r="U2823" s="284" t="e">
        <f>(IF(Tabla4[[#This Row],[Familia]]="termico solar",Tabla4[[#This Row],[Utilidad Total]]*6%,Tabla4[[#This Row],[Utilidad Total]]*11.5%))/Tabla4[[#This Row],[Total]]</f>
        <v>#N/A</v>
      </c>
      <c r="V2823" s="282" t="e">
        <f>+Tabla4[[#This Row],[Comisión Calculada]]*Tabla4[[#This Row],[Total]]</f>
        <v>#N/A</v>
      </c>
    </row>
    <row r="2824" spans="1:22" hidden="1" x14ac:dyDescent="0.25">
      <c r="A2824" s="100">
        <v>45792</v>
      </c>
      <c r="B2824" t="str">
        <f t="shared" si="135"/>
        <v>May</v>
      </c>
      <c r="C2824" s="46" t="s">
        <v>280</v>
      </c>
      <c r="F2824" s="366" t="s">
        <v>1811</v>
      </c>
      <c r="G2824" s="46" t="s">
        <v>17</v>
      </c>
      <c r="H2824" s="46">
        <v>3</v>
      </c>
      <c r="I2824" s="51">
        <v>4622.28</v>
      </c>
      <c r="J2824" s="281">
        <f>++Tabla4[[#This Row],[Precio Bruto]]*1.16</f>
        <v>5361.8447999999989</v>
      </c>
      <c r="K2824" s="281">
        <f>+Tabla4[[#This Row],[Precio Unitario Neto]]*Tabla4[[#Headers],[20.85%]]</f>
        <v>1117.9446407999997</v>
      </c>
      <c r="L2824" s="282">
        <f>++Tabla4[[#This Row],[Precio Unitario Neto]]-Tabla4[[#This Row],[20.85%]]</f>
        <v>4243.9001591999995</v>
      </c>
      <c r="M2824" s="282" t="e">
        <f>(INDEX(Tabla6[#All],MATCH(Tabla4[[#This Row],[Producto]],Tabla6[[#All],[PRODUCTO]],0),MATCH(Tabla4[[#This Row],[Mes]],Tabla6[#Headers],0)))*(1+Catalogos!$L$2)</f>
        <v>#N/A</v>
      </c>
      <c r="N2824" s="283" t="e">
        <f>+(Tabla4[[#This Row],[Precio Descontado]]-Tabla4[[#This Row],[Precio Base]])*Tabla4[[#This Row],[Cantidad]]</f>
        <v>#N/A</v>
      </c>
      <c r="O2824" s="284" t="e">
        <f>++Tabla4[[#This Row],[Utilidad Total]]/Tabla4[[#This Row],[Total]]</f>
        <v>#N/A</v>
      </c>
      <c r="P2824" s="282">
        <f>++Tabla4[[#This Row],[Precio Descontado]]*Tabla4[[#This Row],[Cantidad]]</f>
        <v>12731.700477599999</v>
      </c>
      <c r="Q2824" s="282" t="e">
        <f>(INDEX(Tabla6[#All],MATCH(Tabla4[[#This Row],[Producto]],Tabla6[[#All],[PRODUCTO]],0),MATCH(Tabla4[[#This Row],[Mes]],Tabla6[#Headers],0)))</f>
        <v>#N/A</v>
      </c>
      <c r="R2824" s="282" t="e">
        <f>++Tabla4[[#This Row],[Precio Unitario Neto]]-Tabla4[[#This Row],[20.85%]]-Tabla4[[#This Row],[Costo]]</f>
        <v>#N/A</v>
      </c>
      <c r="S2824" s="282" t="e">
        <f>++Tabla4[[#This Row],[U. Bruta Uni]]*Tabla4[[#This Row],[Cantidad]]</f>
        <v>#N/A</v>
      </c>
      <c r="T2824" s="369" t="str">
        <f>VLOOKUP(Tabla4[[#This Row],[Producto]],Tabla6[#All],14,FALSE)</f>
        <v>Termico Solar</v>
      </c>
      <c r="U2824" s="284" t="e">
        <f>(IF(Tabla4[[#This Row],[Familia]]="termico solar",Tabla4[[#This Row],[Utilidad Total]]*6%,Tabla4[[#This Row],[Utilidad Total]]*11.5%))/Tabla4[[#This Row],[Total]]</f>
        <v>#N/A</v>
      </c>
      <c r="V2824" s="282" t="e">
        <f>+Tabla4[[#This Row],[Comisión Calculada]]*Tabla4[[#This Row],[Total]]</f>
        <v>#N/A</v>
      </c>
    </row>
    <row r="2825" spans="1:22" hidden="1" x14ac:dyDescent="0.25">
      <c r="A2825" s="100">
        <v>45792</v>
      </c>
      <c r="B2825" t="str">
        <f t="shared" si="135"/>
        <v>May</v>
      </c>
      <c r="C2825" s="46" t="s">
        <v>280</v>
      </c>
      <c r="F2825" s="366" t="s">
        <v>1811</v>
      </c>
      <c r="G2825" s="46" t="s">
        <v>16</v>
      </c>
      <c r="H2825" s="46">
        <v>1</v>
      </c>
      <c r="I2825" s="51">
        <v>4103.8500000000004</v>
      </c>
      <c r="J2825" s="281">
        <f>++Tabla4[[#This Row],[Precio Bruto]]*1.16</f>
        <v>4760.4660000000003</v>
      </c>
      <c r="K2825" s="281">
        <f>+Tabla4[[#This Row],[Precio Unitario Neto]]*Tabla4[[#Headers],[20.85%]]</f>
        <v>992.55716100000006</v>
      </c>
      <c r="L2825" s="282">
        <f>++Tabla4[[#This Row],[Precio Unitario Neto]]-Tabla4[[#This Row],[20.85%]]</f>
        <v>3767.9088390000002</v>
      </c>
      <c r="M2825" s="282" t="e">
        <f>(INDEX(Tabla6[#All],MATCH(Tabla4[[#This Row],[Producto]],Tabla6[[#All],[PRODUCTO]],0),MATCH(Tabla4[[#This Row],[Mes]],Tabla6[#Headers],0)))*(1+Catalogos!$L$2)</f>
        <v>#N/A</v>
      </c>
      <c r="N2825" s="283" t="e">
        <f>+(Tabla4[[#This Row],[Precio Descontado]]-Tabla4[[#This Row],[Precio Base]])*Tabla4[[#This Row],[Cantidad]]</f>
        <v>#N/A</v>
      </c>
      <c r="O2825" s="284" t="e">
        <f>++Tabla4[[#This Row],[Utilidad Total]]/Tabla4[[#This Row],[Total]]</f>
        <v>#N/A</v>
      </c>
      <c r="P2825" s="282">
        <f>++Tabla4[[#This Row],[Precio Descontado]]*Tabla4[[#This Row],[Cantidad]]</f>
        <v>3767.9088390000002</v>
      </c>
      <c r="Q2825" s="282" t="e">
        <f>(INDEX(Tabla6[#All],MATCH(Tabla4[[#This Row],[Producto]],Tabla6[[#All],[PRODUCTO]],0),MATCH(Tabla4[[#This Row],[Mes]],Tabla6[#Headers],0)))</f>
        <v>#N/A</v>
      </c>
      <c r="R2825" s="282" t="e">
        <f>++Tabla4[[#This Row],[Precio Unitario Neto]]-Tabla4[[#This Row],[20.85%]]-Tabla4[[#This Row],[Costo]]</f>
        <v>#N/A</v>
      </c>
      <c r="S2825" s="282" t="e">
        <f>++Tabla4[[#This Row],[U. Bruta Uni]]*Tabla4[[#This Row],[Cantidad]]</f>
        <v>#N/A</v>
      </c>
      <c r="T2825" s="369" t="str">
        <f>VLOOKUP(Tabla4[[#This Row],[Producto]],Tabla6[#All],14,FALSE)</f>
        <v>Termico Solar</v>
      </c>
      <c r="U2825" s="284" t="e">
        <f>(IF(Tabla4[[#This Row],[Familia]]="termico solar",Tabla4[[#This Row],[Utilidad Total]]*6%,Tabla4[[#This Row],[Utilidad Total]]*11.5%))/Tabla4[[#This Row],[Total]]</f>
        <v>#N/A</v>
      </c>
      <c r="V2825" s="282" t="e">
        <f>+Tabla4[[#This Row],[Comisión Calculada]]*Tabla4[[#This Row],[Total]]</f>
        <v>#N/A</v>
      </c>
    </row>
    <row r="2826" spans="1:22" hidden="1" x14ac:dyDescent="0.25">
      <c r="A2826" s="100">
        <v>45792</v>
      </c>
      <c r="B2826" t="str">
        <f t="shared" si="135"/>
        <v>May</v>
      </c>
      <c r="C2826" s="46" t="s">
        <v>280</v>
      </c>
      <c r="F2826" s="366" t="s">
        <v>1812</v>
      </c>
      <c r="G2826" s="46" t="s">
        <v>18</v>
      </c>
      <c r="H2826" s="46">
        <v>1</v>
      </c>
      <c r="I2826" s="51">
        <v>5367.65</v>
      </c>
      <c r="J2826" s="281">
        <f>++Tabla4[[#This Row],[Precio Bruto]]*1.16</f>
        <v>6226.4739999999993</v>
      </c>
      <c r="K2826" s="281">
        <f>+Tabla4[[#This Row],[Precio Unitario Neto]]*Tabla4[[#Headers],[20.85%]]</f>
        <v>1298.2198289999999</v>
      </c>
      <c r="L2826" s="282">
        <f>++Tabla4[[#This Row],[Precio Unitario Neto]]-Tabla4[[#This Row],[20.85%]]</f>
        <v>4928.2541709999996</v>
      </c>
      <c r="M2826" s="282" t="e">
        <f>(INDEX(Tabla6[#All],MATCH(Tabla4[[#This Row],[Producto]],Tabla6[[#All],[PRODUCTO]],0),MATCH(Tabla4[[#This Row],[Mes]],Tabla6[#Headers],0)))*(1+Catalogos!$L$2)</f>
        <v>#N/A</v>
      </c>
      <c r="N2826" s="283" t="e">
        <f>+(Tabla4[[#This Row],[Precio Descontado]]-Tabla4[[#This Row],[Precio Base]])*Tabla4[[#This Row],[Cantidad]]</f>
        <v>#N/A</v>
      </c>
      <c r="O2826" s="284" t="e">
        <f>++Tabla4[[#This Row],[Utilidad Total]]/Tabla4[[#This Row],[Total]]</f>
        <v>#N/A</v>
      </c>
      <c r="P2826" s="282">
        <f>++Tabla4[[#This Row],[Precio Descontado]]*Tabla4[[#This Row],[Cantidad]]</f>
        <v>4928.2541709999996</v>
      </c>
      <c r="Q2826" s="282" t="e">
        <f>(INDEX(Tabla6[#All],MATCH(Tabla4[[#This Row],[Producto]],Tabla6[[#All],[PRODUCTO]],0),MATCH(Tabla4[[#This Row],[Mes]],Tabla6[#Headers],0)))</f>
        <v>#N/A</v>
      </c>
      <c r="R2826" s="282" t="e">
        <f>++Tabla4[[#This Row],[Precio Unitario Neto]]-Tabla4[[#This Row],[20.85%]]-Tabla4[[#This Row],[Costo]]</f>
        <v>#N/A</v>
      </c>
      <c r="S2826" s="282" t="e">
        <f>++Tabla4[[#This Row],[U. Bruta Uni]]*Tabla4[[#This Row],[Cantidad]]</f>
        <v>#N/A</v>
      </c>
      <c r="T2826" s="369" t="str">
        <f>VLOOKUP(Tabla4[[#This Row],[Producto]],Tabla6[#All],14,FALSE)</f>
        <v>Termico Solar</v>
      </c>
      <c r="U2826" s="284" t="e">
        <f>(IF(Tabla4[[#This Row],[Familia]]="termico solar",Tabla4[[#This Row],[Utilidad Total]]*6%,Tabla4[[#This Row],[Utilidad Total]]*11.5%))/Tabla4[[#This Row],[Total]]</f>
        <v>#N/A</v>
      </c>
      <c r="V2826" s="282" t="e">
        <f>+Tabla4[[#This Row],[Comisión Calculada]]*Tabla4[[#This Row],[Total]]</f>
        <v>#N/A</v>
      </c>
    </row>
    <row r="2827" spans="1:22" hidden="1" x14ac:dyDescent="0.25">
      <c r="A2827" s="100">
        <v>45792</v>
      </c>
      <c r="B2827" t="str">
        <f t="shared" si="135"/>
        <v>May</v>
      </c>
      <c r="C2827" s="46" t="s">
        <v>280</v>
      </c>
      <c r="F2827" s="366" t="s">
        <v>1813</v>
      </c>
      <c r="G2827" s="46" t="s">
        <v>83</v>
      </c>
      <c r="H2827" s="46">
        <v>1</v>
      </c>
      <c r="I2827" s="51">
        <v>8858.76</v>
      </c>
      <c r="J2827" s="281">
        <f>++Tabla4[[#This Row],[Precio Bruto]]*1.16</f>
        <v>10276.161599999999</v>
      </c>
      <c r="K2827" s="281">
        <f>+Tabla4[[#This Row],[Precio Unitario Neto]]*Tabla4[[#Headers],[20.85%]]</f>
        <v>2142.5796935999997</v>
      </c>
      <c r="L2827" s="282">
        <f>++Tabla4[[#This Row],[Precio Unitario Neto]]-Tabla4[[#This Row],[20.85%]]</f>
        <v>8133.5819063999998</v>
      </c>
      <c r="M2827" s="282" t="e">
        <f>(INDEX(Tabla6[#All],MATCH(Tabla4[[#This Row],[Producto]],Tabla6[[#All],[PRODUCTO]],0),MATCH(Tabla4[[#This Row],[Mes]],Tabla6[#Headers],0)))*(1+Catalogos!$L$2)</f>
        <v>#N/A</v>
      </c>
      <c r="N2827" s="283" t="e">
        <f>+(Tabla4[[#This Row],[Precio Descontado]]-Tabla4[[#This Row],[Precio Base]])*Tabla4[[#This Row],[Cantidad]]</f>
        <v>#N/A</v>
      </c>
      <c r="O2827" s="284" t="e">
        <f>++Tabla4[[#This Row],[Utilidad Total]]/Tabla4[[#This Row],[Total]]</f>
        <v>#N/A</v>
      </c>
      <c r="P2827" s="282">
        <f>++Tabla4[[#This Row],[Precio Descontado]]*Tabla4[[#This Row],[Cantidad]]</f>
        <v>8133.5819063999998</v>
      </c>
      <c r="Q2827" s="282" t="e">
        <f>(INDEX(Tabla6[#All],MATCH(Tabla4[[#This Row],[Producto]],Tabla6[[#All],[PRODUCTO]],0),MATCH(Tabla4[[#This Row],[Mes]],Tabla6[#Headers],0)))</f>
        <v>#N/A</v>
      </c>
      <c r="R2827" s="282" t="e">
        <f>++Tabla4[[#This Row],[Precio Unitario Neto]]-Tabla4[[#This Row],[20.85%]]-Tabla4[[#This Row],[Costo]]</f>
        <v>#N/A</v>
      </c>
      <c r="S2827" s="282" t="e">
        <f>++Tabla4[[#This Row],[U. Bruta Uni]]*Tabla4[[#This Row],[Cantidad]]</f>
        <v>#N/A</v>
      </c>
      <c r="T2827" s="369" t="str">
        <f>VLOOKUP(Tabla4[[#This Row],[Producto]],Tabla6[#All],14,FALSE)</f>
        <v>Termico Solar</v>
      </c>
      <c r="U2827" s="284" t="e">
        <f>(IF(Tabla4[[#This Row],[Familia]]="termico solar",Tabla4[[#This Row],[Utilidad Total]]*6%,Tabla4[[#This Row],[Utilidad Total]]*11.5%))/Tabla4[[#This Row],[Total]]</f>
        <v>#N/A</v>
      </c>
      <c r="V2827" s="282" t="e">
        <f>+Tabla4[[#This Row],[Comisión Calculada]]*Tabla4[[#This Row],[Total]]</f>
        <v>#N/A</v>
      </c>
    </row>
    <row r="2828" spans="1:22" hidden="1" x14ac:dyDescent="0.25">
      <c r="A2828" s="100">
        <v>45792</v>
      </c>
      <c r="B2828" t="str">
        <f t="shared" si="135"/>
        <v>May</v>
      </c>
      <c r="C2828" s="46" t="s">
        <v>280</v>
      </c>
      <c r="F2828" s="366" t="s">
        <v>1813</v>
      </c>
      <c r="G2828" s="46" t="s">
        <v>17</v>
      </c>
      <c r="H2828" s="46">
        <v>1</v>
      </c>
      <c r="I2828" s="51">
        <v>4622.28</v>
      </c>
      <c r="J2828" s="281">
        <f>++Tabla4[[#This Row],[Precio Bruto]]*1.16</f>
        <v>5361.8447999999989</v>
      </c>
      <c r="K2828" s="281">
        <f>+Tabla4[[#This Row],[Precio Unitario Neto]]*Tabla4[[#Headers],[20.85%]]</f>
        <v>1117.9446407999997</v>
      </c>
      <c r="L2828" s="282">
        <f>++Tabla4[[#This Row],[Precio Unitario Neto]]-Tabla4[[#This Row],[20.85%]]</f>
        <v>4243.9001591999995</v>
      </c>
      <c r="M2828" s="282" t="e">
        <f>(INDEX(Tabla6[#All],MATCH(Tabla4[[#This Row],[Producto]],Tabla6[[#All],[PRODUCTO]],0),MATCH(Tabla4[[#This Row],[Mes]],Tabla6[#Headers],0)))*(1+Catalogos!$L$2)</f>
        <v>#N/A</v>
      </c>
      <c r="N2828" s="283" t="e">
        <f>+(Tabla4[[#This Row],[Precio Descontado]]-Tabla4[[#This Row],[Precio Base]])*Tabla4[[#This Row],[Cantidad]]</f>
        <v>#N/A</v>
      </c>
      <c r="O2828" s="284" t="e">
        <f>++Tabla4[[#This Row],[Utilidad Total]]/Tabla4[[#This Row],[Total]]</f>
        <v>#N/A</v>
      </c>
      <c r="P2828" s="282">
        <f>++Tabla4[[#This Row],[Precio Descontado]]*Tabla4[[#This Row],[Cantidad]]</f>
        <v>4243.9001591999995</v>
      </c>
      <c r="Q2828" s="282" t="e">
        <f>(INDEX(Tabla6[#All],MATCH(Tabla4[[#This Row],[Producto]],Tabla6[[#All],[PRODUCTO]],0),MATCH(Tabla4[[#This Row],[Mes]],Tabla6[#Headers],0)))</f>
        <v>#N/A</v>
      </c>
      <c r="R2828" s="282" t="e">
        <f>++Tabla4[[#This Row],[Precio Unitario Neto]]-Tabla4[[#This Row],[20.85%]]-Tabla4[[#This Row],[Costo]]</f>
        <v>#N/A</v>
      </c>
      <c r="S2828" s="282" t="e">
        <f>++Tabla4[[#This Row],[U. Bruta Uni]]*Tabla4[[#This Row],[Cantidad]]</f>
        <v>#N/A</v>
      </c>
      <c r="T2828" s="369" t="str">
        <f>VLOOKUP(Tabla4[[#This Row],[Producto]],Tabla6[#All],14,FALSE)</f>
        <v>Termico Solar</v>
      </c>
      <c r="U2828" s="284" t="e">
        <f>(IF(Tabla4[[#This Row],[Familia]]="termico solar",Tabla4[[#This Row],[Utilidad Total]]*6%,Tabla4[[#This Row],[Utilidad Total]]*11.5%))/Tabla4[[#This Row],[Total]]</f>
        <v>#N/A</v>
      </c>
      <c r="V2828" s="282" t="e">
        <f>+Tabla4[[#This Row],[Comisión Calculada]]*Tabla4[[#This Row],[Total]]</f>
        <v>#N/A</v>
      </c>
    </row>
    <row r="2829" spans="1:22" hidden="1" x14ac:dyDescent="0.25">
      <c r="A2829" s="100">
        <v>45792</v>
      </c>
      <c r="B2829" t="str">
        <f t="shared" si="135"/>
        <v>May</v>
      </c>
      <c r="C2829" s="46" t="s">
        <v>280</v>
      </c>
      <c r="F2829" s="366" t="s">
        <v>1813</v>
      </c>
      <c r="G2829" s="46" t="s">
        <v>18</v>
      </c>
      <c r="H2829" s="46">
        <v>2</v>
      </c>
      <c r="I2829" s="51">
        <v>5367.65</v>
      </c>
      <c r="J2829" s="281">
        <f>++Tabla4[[#This Row],[Precio Bruto]]*1.16</f>
        <v>6226.4739999999993</v>
      </c>
      <c r="K2829" s="281">
        <f>+Tabla4[[#This Row],[Precio Unitario Neto]]*Tabla4[[#Headers],[20.85%]]</f>
        <v>1298.2198289999999</v>
      </c>
      <c r="L2829" s="282">
        <f>++Tabla4[[#This Row],[Precio Unitario Neto]]-Tabla4[[#This Row],[20.85%]]</f>
        <v>4928.2541709999996</v>
      </c>
      <c r="M2829" s="282" t="e">
        <f>(INDEX(Tabla6[#All],MATCH(Tabla4[[#This Row],[Producto]],Tabla6[[#All],[PRODUCTO]],0),MATCH(Tabla4[[#This Row],[Mes]],Tabla6[#Headers],0)))*(1+Catalogos!$L$2)</f>
        <v>#N/A</v>
      </c>
      <c r="N2829" s="283" t="e">
        <f>+(Tabla4[[#This Row],[Precio Descontado]]-Tabla4[[#This Row],[Precio Base]])*Tabla4[[#This Row],[Cantidad]]</f>
        <v>#N/A</v>
      </c>
      <c r="O2829" s="284" t="e">
        <f>++Tabla4[[#This Row],[Utilidad Total]]/Tabla4[[#This Row],[Total]]</f>
        <v>#N/A</v>
      </c>
      <c r="P2829" s="282">
        <f>++Tabla4[[#This Row],[Precio Descontado]]*Tabla4[[#This Row],[Cantidad]]</f>
        <v>9856.5083419999992</v>
      </c>
      <c r="Q2829" s="282" t="e">
        <f>(INDEX(Tabla6[#All],MATCH(Tabla4[[#This Row],[Producto]],Tabla6[[#All],[PRODUCTO]],0),MATCH(Tabla4[[#This Row],[Mes]],Tabla6[#Headers],0)))</f>
        <v>#N/A</v>
      </c>
      <c r="R2829" s="282" t="e">
        <f>++Tabla4[[#This Row],[Precio Unitario Neto]]-Tabla4[[#This Row],[20.85%]]-Tabla4[[#This Row],[Costo]]</f>
        <v>#N/A</v>
      </c>
      <c r="S2829" s="282" t="e">
        <f>++Tabla4[[#This Row],[U. Bruta Uni]]*Tabla4[[#This Row],[Cantidad]]</f>
        <v>#N/A</v>
      </c>
      <c r="T2829" s="369" t="str">
        <f>VLOOKUP(Tabla4[[#This Row],[Producto]],Tabla6[#All],14,FALSE)</f>
        <v>Termico Solar</v>
      </c>
      <c r="U2829" s="284" t="e">
        <f>(IF(Tabla4[[#This Row],[Familia]]="termico solar",Tabla4[[#This Row],[Utilidad Total]]*6%,Tabla4[[#This Row],[Utilidad Total]]*11.5%))/Tabla4[[#This Row],[Total]]</f>
        <v>#N/A</v>
      </c>
      <c r="V2829" s="282" t="e">
        <f>+Tabla4[[#This Row],[Comisión Calculada]]*Tabla4[[#This Row],[Total]]</f>
        <v>#N/A</v>
      </c>
    </row>
    <row r="2830" spans="1:22" ht="15.75" hidden="1" customHeight="1" x14ac:dyDescent="0.25">
      <c r="A2830" s="100">
        <v>45792</v>
      </c>
      <c r="B2830" t="str">
        <f t="shared" si="135"/>
        <v>May</v>
      </c>
      <c r="C2830" s="46" t="s">
        <v>280</v>
      </c>
      <c r="F2830" s="366" t="s">
        <v>1813</v>
      </c>
      <c r="G2830" s="46" t="s">
        <v>566</v>
      </c>
      <c r="H2830" s="46">
        <v>2</v>
      </c>
      <c r="I2830" s="51">
        <v>2109.4499999999998</v>
      </c>
      <c r="J2830" s="281">
        <f>++Tabla4[[#This Row],[Precio Bruto]]*1.16</f>
        <v>2446.9619999999995</v>
      </c>
      <c r="K2830" s="281">
        <f>+Tabla4[[#This Row],[Precio Unitario Neto]]*Tabla4[[#Headers],[20.85%]]</f>
        <v>510.19157699999988</v>
      </c>
      <c r="L2830" s="282">
        <f>++Tabla4[[#This Row],[Precio Unitario Neto]]-Tabla4[[#This Row],[20.85%]]</f>
        <v>1936.7704229999997</v>
      </c>
      <c r="M2830" s="282" t="e">
        <f>(INDEX(Tabla6[#All],MATCH(Tabla4[[#This Row],[Producto]],Tabla6[[#All],[PRODUCTO]],0),MATCH(Tabla4[[#This Row],[Mes]],Tabla6[#Headers],0)))*(1+Catalogos!$L$2)</f>
        <v>#N/A</v>
      </c>
      <c r="N2830" s="283" t="e">
        <f>+(Tabla4[[#This Row],[Precio Descontado]]-Tabla4[[#This Row],[Precio Base]])*Tabla4[[#This Row],[Cantidad]]</f>
        <v>#N/A</v>
      </c>
      <c r="O2830" s="284" t="e">
        <f>++Tabla4[[#This Row],[Utilidad Total]]/Tabla4[[#This Row],[Total]]</f>
        <v>#N/A</v>
      </c>
      <c r="P2830" s="282">
        <f>++Tabla4[[#This Row],[Precio Descontado]]*Tabla4[[#This Row],[Cantidad]]</f>
        <v>3873.5408459999994</v>
      </c>
      <c r="Q2830" s="282" t="e">
        <f>(INDEX(Tabla6[#All],MATCH(Tabla4[[#This Row],[Producto]],Tabla6[[#All],[PRODUCTO]],0),MATCH(Tabla4[[#This Row],[Mes]],Tabla6[#Headers],0)))</f>
        <v>#N/A</v>
      </c>
      <c r="R2830" s="282" t="e">
        <f>++Tabla4[[#This Row],[Precio Unitario Neto]]-Tabla4[[#This Row],[20.85%]]-Tabla4[[#This Row],[Costo]]</f>
        <v>#N/A</v>
      </c>
      <c r="S2830" s="282" t="e">
        <f>++Tabla4[[#This Row],[U. Bruta Uni]]*Tabla4[[#This Row],[Cantidad]]</f>
        <v>#N/A</v>
      </c>
      <c r="T2830" s="369" t="str">
        <f>VLOOKUP(Tabla4[[#This Row],[Producto]],Tabla6[#All],14,FALSE)</f>
        <v>Termico Solar</v>
      </c>
      <c r="U2830" s="284" t="e">
        <f>(IF(Tabla4[[#This Row],[Familia]]="termico solar",Tabla4[[#This Row],[Utilidad Total]]*6%,Tabla4[[#This Row],[Utilidad Total]]*11.5%))/Tabla4[[#This Row],[Total]]</f>
        <v>#N/A</v>
      </c>
      <c r="V2830" s="282" t="e">
        <f>+Tabla4[[#This Row],[Comisión Calculada]]*Tabla4[[#This Row],[Total]]</f>
        <v>#N/A</v>
      </c>
    </row>
    <row r="2831" spans="1:22" ht="15.75" hidden="1" customHeight="1" x14ac:dyDescent="0.25">
      <c r="A2831" s="100">
        <v>45792</v>
      </c>
      <c r="B2831" t="str">
        <f t="shared" si="135"/>
        <v>May</v>
      </c>
      <c r="C2831" s="46" t="s">
        <v>280</v>
      </c>
      <c r="F2831" s="366" t="s">
        <v>1813</v>
      </c>
      <c r="G2831" s="46" t="s">
        <v>16</v>
      </c>
      <c r="H2831" s="46">
        <v>1</v>
      </c>
      <c r="I2831" s="51">
        <v>4103.8500000000004</v>
      </c>
      <c r="J2831" s="281">
        <f>++Tabla4[[#This Row],[Precio Bruto]]*1.16</f>
        <v>4760.4660000000003</v>
      </c>
      <c r="K2831" s="281">
        <f>+Tabla4[[#This Row],[Precio Unitario Neto]]*Tabla4[[#Headers],[20.85%]]</f>
        <v>992.55716100000006</v>
      </c>
      <c r="L2831" s="282">
        <f>++Tabla4[[#This Row],[Precio Unitario Neto]]-Tabla4[[#This Row],[20.85%]]</f>
        <v>3767.9088390000002</v>
      </c>
      <c r="M2831" s="282" t="e">
        <f>(INDEX(Tabla6[#All],MATCH(Tabla4[[#This Row],[Producto]],Tabla6[[#All],[PRODUCTO]],0),MATCH(Tabla4[[#This Row],[Mes]],Tabla6[#Headers],0)))*(1+Catalogos!$L$2)</f>
        <v>#N/A</v>
      </c>
      <c r="N2831" s="283" t="e">
        <f>+(Tabla4[[#This Row],[Precio Descontado]]-Tabla4[[#This Row],[Precio Base]])*Tabla4[[#This Row],[Cantidad]]</f>
        <v>#N/A</v>
      </c>
      <c r="O2831" s="284" t="e">
        <f>++Tabla4[[#This Row],[Utilidad Total]]/Tabla4[[#This Row],[Total]]</f>
        <v>#N/A</v>
      </c>
      <c r="P2831" s="282">
        <f>++Tabla4[[#This Row],[Precio Descontado]]*Tabla4[[#This Row],[Cantidad]]</f>
        <v>3767.9088390000002</v>
      </c>
      <c r="Q2831" s="282" t="e">
        <f>(INDEX(Tabla6[#All],MATCH(Tabla4[[#This Row],[Producto]],Tabla6[[#All],[PRODUCTO]],0),MATCH(Tabla4[[#This Row],[Mes]],Tabla6[#Headers],0)))</f>
        <v>#N/A</v>
      </c>
      <c r="R2831" s="282" t="e">
        <f>++Tabla4[[#This Row],[Precio Unitario Neto]]-Tabla4[[#This Row],[20.85%]]-Tabla4[[#This Row],[Costo]]</f>
        <v>#N/A</v>
      </c>
      <c r="S2831" s="282" t="e">
        <f>++Tabla4[[#This Row],[U. Bruta Uni]]*Tabla4[[#This Row],[Cantidad]]</f>
        <v>#N/A</v>
      </c>
      <c r="T2831" s="369" t="str">
        <f>VLOOKUP(Tabla4[[#This Row],[Producto]],Tabla6[#All],14,FALSE)</f>
        <v>Termico Solar</v>
      </c>
      <c r="U2831" s="284" t="e">
        <f>(IF(Tabla4[[#This Row],[Familia]]="termico solar",Tabla4[[#This Row],[Utilidad Total]]*6%,Tabla4[[#This Row],[Utilidad Total]]*11.5%))/Tabla4[[#This Row],[Total]]</f>
        <v>#N/A</v>
      </c>
      <c r="V2831" s="282" t="e">
        <f>+Tabla4[[#This Row],[Comisión Calculada]]*Tabla4[[#This Row],[Total]]</f>
        <v>#N/A</v>
      </c>
    </row>
    <row r="2832" spans="1:22" ht="15.75" hidden="1" customHeight="1" x14ac:dyDescent="0.25">
      <c r="A2832" s="100">
        <v>45792</v>
      </c>
      <c r="B2832" t="str">
        <f t="shared" si="135"/>
        <v>May</v>
      </c>
      <c r="C2832" s="46" t="s">
        <v>280</v>
      </c>
      <c r="F2832" s="366" t="s">
        <v>1814</v>
      </c>
      <c r="G2832" s="46" t="s">
        <v>83</v>
      </c>
      <c r="H2832" s="46">
        <v>1</v>
      </c>
      <c r="I2832" s="51">
        <v>8858.76</v>
      </c>
      <c r="J2832" s="281">
        <f>++Tabla4[[#This Row],[Precio Bruto]]*1.16</f>
        <v>10276.161599999999</v>
      </c>
      <c r="K2832" s="281">
        <f>+Tabla4[[#This Row],[Precio Unitario Neto]]*Tabla4[[#Headers],[20.85%]]</f>
        <v>2142.5796935999997</v>
      </c>
      <c r="L2832" s="282">
        <f>++Tabla4[[#This Row],[Precio Unitario Neto]]-Tabla4[[#This Row],[20.85%]]</f>
        <v>8133.5819063999998</v>
      </c>
      <c r="M2832" s="282" t="e">
        <f>(INDEX(Tabla6[#All],MATCH(Tabla4[[#This Row],[Producto]],Tabla6[[#All],[PRODUCTO]],0),MATCH(Tabla4[[#This Row],[Mes]],Tabla6[#Headers],0)))*(1+Catalogos!$L$2)</f>
        <v>#N/A</v>
      </c>
      <c r="N2832" s="283" t="e">
        <f>+(Tabla4[[#This Row],[Precio Descontado]]-Tabla4[[#This Row],[Precio Base]])*Tabla4[[#This Row],[Cantidad]]</f>
        <v>#N/A</v>
      </c>
      <c r="O2832" s="284" t="e">
        <f>++Tabla4[[#This Row],[Utilidad Total]]/Tabla4[[#This Row],[Total]]</f>
        <v>#N/A</v>
      </c>
      <c r="P2832" s="282">
        <f>++Tabla4[[#This Row],[Precio Descontado]]*Tabla4[[#This Row],[Cantidad]]</f>
        <v>8133.5819063999998</v>
      </c>
      <c r="Q2832" s="282" t="e">
        <f>(INDEX(Tabla6[#All],MATCH(Tabla4[[#This Row],[Producto]],Tabla6[[#All],[PRODUCTO]],0),MATCH(Tabla4[[#This Row],[Mes]],Tabla6[#Headers],0)))</f>
        <v>#N/A</v>
      </c>
      <c r="R2832" s="282" t="e">
        <f>++Tabla4[[#This Row],[Precio Unitario Neto]]-Tabla4[[#This Row],[20.85%]]-Tabla4[[#This Row],[Costo]]</f>
        <v>#N/A</v>
      </c>
      <c r="S2832" s="282" t="e">
        <f>++Tabla4[[#This Row],[U. Bruta Uni]]*Tabla4[[#This Row],[Cantidad]]</f>
        <v>#N/A</v>
      </c>
      <c r="T2832" s="369" t="str">
        <f>VLOOKUP(Tabla4[[#This Row],[Producto]],Tabla6[#All],14,FALSE)</f>
        <v>Termico Solar</v>
      </c>
      <c r="U2832" s="284" t="e">
        <f>(IF(Tabla4[[#This Row],[Familia]]="termico solar",Tabla4[[#This Row],[Utilidad Total]]*6%,Tabla4[[#This Row],[Utilidad Total]]*11.5%))/Tabla4[[#This Row],[Total]]</f>
        <v>#N/A</v>
      </c>
      <c r="V2832" s="282" t="e">
        <f>+Tabla4[[#This Row],[Comisión Calculada]]*Tabla4[[#This Row],[Total]]</f>
        <v>#N/A</v>
      </c>
    </row>
    <row r="2833" spans="1:22" ht="15.75" hidden="1" customHeight="1" x14ac:dyDescent="0.25">
      <c r="A2833" s="100">
        <v>45792</v>
      </c>
      <c r="B2833" t="str">
        <f t="shared" si="135"/>
        <v>May</v>
      </c>
      <c r="C2833" s="46" t="s">
        <v>280</v>
      </c>
      <c r="F2833" s="366" t="s">
        <v>1814</v>
      </c>
      <c r="G2833" s="46" t="s">
        <v>17</v>
      </c>
      <c r="H2833" s="46">
        <v>1</v>
      </c>
      <c r="I2833" s="51">
        <v>4622.28</v>
      </c>
      <c r="J2833" s="281">
        <f>++Tabla4[[#This Row],[Precio Bruto]]*1.16</f>
        <v>5361.8447999999989</v>
      </c>
      <c r="K2833" s="281">
        <f>+Tabla4[[#This Row],[Precio Unitario Neto]]*Tabla4[[#Headers],[20.85%]]</f>
        <v>1117.9446407999997</v>
      </c>
      <c r="L2833" s="282">
        <f>++Tabla4[[#This Row],[Precio Unitario Neto]]-Tabla4[[#This Row],[20.85%]]</f>
        <v>4243.9001591999995</v>
      </c>
      <c r="M2833" s="282" t="e">
        <f>(INDEX(Tabla6[#All],MATCH(Tabla4[[#This Row],[Producto]],Tabla6[[#All],[PRODUCTO]],0),MATCH(Tabla4[[#This Row],[Mes]],Tabla6[#Headers],0)))*(1+Catalogos!$L$2)</f>
        <v>#N/A</v>
      </c>
      <c r="N2833" s="283" t="e">
        <f>+(Tabla4[[#This Row],[Precio Descontado]]-Tabla4[[#This Row],[Precio Base]])*Tabla4[[#This Row],[Cantidad]]</f>
        <v>#N/A</v>
      </c>
      <c r="O2833" s="284" t="e">
        <f>++Tabla4[[#This Row],[Utilidad Total]]/Tabla4[[#This Row],[Total]]</f>
        <v>#N/A</v>
      </c>
      <c r="P2833" s="282">
        <f>++Tabla4[[#This Row],[Precio Descontado]]*Tabla4[[#This Row],[Cantidad]]</f>
        <v>4243.9001591999995</v>
      </c>
      <c r="Q2833" s="282" t="e">
        <f>(INDEX(Tabla6[#All],MATCH(Tabla4[[#This Row],[Producto]],Tabla6[[#All],[PRODUCTO]],0),MATCH(Tabla4[[#This Row],[Mes]],Tabla6[#Headers],0)))</f>
        <v>#N/A</v>
      </c>
      <c r="R2833" s="282" t="e">
        <f>++Tabla4[[#This Row],[Precio Unitario Neto]]-Tabla4[[#This Row],[20.85%]]-Tabla4[[#This Row],[Costo]]</f>
        <v>#N/A</v>
      </c>
      <c r="S2833" s="282" t="e">
        <f>++Tabla4[[#This Row],[U. Bruta Uni]]*Tabla4[[#This Row],[Cantidad]]</f>
        <v>#N/A</v>
      </c>
      <c r="T2833" s="369" t="str">
        <f>VLOOKUP(Tabla4[[#This Row],[Producto]],Tabla6[#All],14,FALSE)</f>
        <v>Termico Solar</v>
      </c>
      <c r="U2833" s="284" t="e">
        <f>(IF(Tabla4[[#This Row],[Familia]]="termico solar",Tabla4[[#This Row],[Utilidad Total]]*6%,Tabla4[[#This Row],[Utilidad Total]]*11.5%))/Tabla4[[#This Row],[Total]]</f>
        <v>#N/A</v>
      </c>
      <c r="V2833" s="282" t="e">
        <f>+Tabla4[[#This Row],[Comisión Calculada]]*Tabla4[[#This Row],[Total]]</f>
        <v>#N/A</v>
      </c>
    </row>
    <row r="2834" spans="1:22" ht="15.75" hidden="1" customHeight="1" x14ac:dyDescent="0.25">
      <c r="A2834" s="100">
        <v>45792</v>
      </c>
      <c r="B2834" t="str">
        <f t="shared" ref="B2834:B2865" si="136">TEXT(A2834, "mmmm")</f>
        <v>May</v>
      </c>
      <c r="C2834" s="46" t="s">
        <v>280</v>
      </c>
      <c r="F2834" s="366" t="s">
        <v>1814</v>
      </c>
      <c r="G2834" s="46" t="s">
        <v>18</v>
      </c>
      <c r="H2834" s="46">
        <v>2</v>
      </c>
      <c r="I2834" s="51">
        <v>5367.65</v>
      </c>
      <c r="J2834" s="281">
        <f>++Tabla4[[#This Row],[Precio Bruto]]*1.16</f>
        <v>6226.4739999999993</v>
      </c>
      <c r="K2834" s="281">
        <f>+Tabla4[[#This Row],[Precio Unitario Neto]]*Tabla4[[#Headers],[20.85%]]</f>
        <v>1298.2198289999999</v>
      </c>
      <c r="L2834" s="282">
        <f>++Tabla4[[#This Row],[Precio Unitario Neto]]-Tabla4[[#This Row],[20.85%]]</f>
        <v>4928.2541709999996</v>
      </c>
      <c r="M2834" s="282" t="e">
        <f>(INDEX(Tabla6[#All],MATCH(Tabla4[[#This Row],[Producto]],Tabla6[[#All],[PRODUCTO]],0),MATCH(Tabla4[[#This Row],[Mes]],Tabla6[#Headers],0)))*(1+Catalogos!$L$2)</f>
        <v>#N/A</v>
      </c>
      <c r="N2834" s="283" t="e">
        <f>+(Tabla4[[#This Row],[Precio Descontado]]-Tabla4[[#This Row],[Precio Base]])*Tabla4[[#This Row],[Cantidad]]</f>
        <v>#N/A</v>
      </c>
      <c r="O2834" s="284" t="e">
        <f>++Tabla4[[#This Row],[Utilidad Total]]/Tabla4[[#This Row],[Total]]</f>
        <v>#N/A</v>
      </c>
      <c r="P2834" s="282">
        <f>++Tabla4[[#This Row],[Precio Descontado]]*Tabla4[[#This Row],[Cantidad]]</f>
        <v>9856.5083419999992</v>
      </c>
      <c r="Q2834" s="282" t="e">
        <f>(INDEX(Tabla6[#All],MATCH(Tabla4[[#This Row],[Producto]],Tabla6[[#All],[PRODUCTO]],0),MATCH(Tabla4[[#This Row],[Mes]],Tabla6[#Headers],0)))</f>
        <v>#N/A</v>
      </c>
      <c r="R2834" s="282" t="e">
        <f>++Tabla4[[#This Row],[Precio Unitario Neto]]-Tabla4[[#This Row],[20.85%]]-Tabla4[[#This Row],[Costo]]</f>
        <v>#N/A</v>
      </c>
      <c r="S2834" s="282" t="e">
        <f>++Tabla4[[#This Row],[U. Bruta Uni]]*Tabla4[[#This Row],[Cantidad]]</f>
        <v>#N/A</v>
      </c>
      <c r="T2834" s="369" t="str">
        <f>VLOOKUP(Tabla4[[#This Row],[Producto]],Tabla6[#All],14,FALSE)</f>
        <v>Termico Solar</v>
      </c>
      <c r="U2834" s="284" t="e">
        <f>(IF(Tabla4[[#This Row],[Familia]]="termico solar",Tabla4[[#This Row],[Utilidad Total]]*6%,Tabla4[[#This Row],[Utilidad Total]]*11.5%))/Tabla4[[#This Row],[Total]]</f>
        <v>#N/A</v>
      </c>
      <c r="V2834" s="282" t="e">
        <f>+Tabla4[[#This Row],[Comisión Calculada]]*Tabla4[[#This Row],[Total]]</f>
        <v>#N/A</v>
      </c>
    </row>
    <row r="2835" spans="1:22" hidden="1" x14ac:dyDescent="0.25">
      <c r="A2835" s="100">
        <v>45792</v>
      </c>
      <c r="B2835" t="str">
        <f t="shared" si="136"/>
        <v>May</v>
      </c>
      <c r="C2835" s="46" t="s">
        <v>280</v>
      </c>
      <c r="F2835" s="366" t="s">
        <v>1814</v>
      </c>
      <c r="G2835" s="46" t="s">
        <v>19</v>
      </c>
      <c r="H2835" s="46">
        <v>1</v>
      </c>
      <c r="I2835" s="51">
        <v>6412.03</v>
      </c>
      <c r="J2835" s="281">
        <f>++Tabla4[[#This Row],[Precio Bruto]]*1.16</f>
        <v>7437.9547999999995</v>
      </c>
      <c r="K2835" s="281">
        <f>+Tabla4[[#This Row],[Precio Unitario Neto]]*Tabla4[[#Headers],[20.85%]]</f>
        <v>1550.8135757999999</v>
      </c>
      <c r="L2835" s="282">
        <f>++Tabla4[[#This Row],[Precio Unitario Neto]]-Tabla4[[#This Row],[20.85%]]</f>
        <v>5887.1412241999997</v>
      </c>
      <c r="M2835" s="282" t="e">
        <f>(INDEX(Tabla6[#All],MATCH(Tabla4[[#This Row],[Producto]],Tabla6[[#All],[PRODUCTO]],0),MATCH(Tabla4[[#This Row],[Mes]],Tabla6[#Headers],0)))*(1+Catalogos!$L$2)</f>
        <v>#N/A</v>
      </c>
      <c r="N2835" s="283" t="e">
        <f>+(Tabla4[[#This Row],[Precio Descontado]]-Tabla4[[#This Row],[Precio Base]])*Tabla4[[#This Row],[Cantidad]]</f>
        <v>#N/A</v>
      </c>
      <c r="O2835" s="284" t="e">
        <f>++Tabla4[[#This Row],[Utilidad Total]]/Tabla4[[#This Row],[Total]]</f>
        <v>#N/A</v>
      </c>
      <c r="P2835" s="282">
        <f>++Tabla4[[#This Row],[Precio Descontado]]*Tabla4[[#This Row],[Cantidad]]</f>
        <v>5887.1412241999997</v>
      </c>
      <c r="Q2835" s="282" t="e">
        <f>(INDEX(Tabla6[#All],MATCH(Tabla4[[#This Row],[Producto]],Tabla6[[#All],[PRODUCTO]],0),MATCH(Tabla4[[#This Row],[Mes]],Tabla6[#Headers],0)))</f>
        <v>#N/A</v>
      </c>
      <c r="R2835" s="282" t="e">
        <f>++Tabla4[[#This Row],[Precio Unitario Neto]]-Tabla4[[#This Row],[20.85%]]-Tabla4[[#This Row],[Costo]]</f>
        <v>#N/A</v>
      </c>
      <c r="S2835" s="282" t="e">
        <f>++Tabla4[[#This Row],[U. Bruta Uni]]*Tabla4[[#This Row],[Cantidad]]</f>
        <v>#N/A</v>
      </c>
      <c r="T2835" s="369" t="str">
        <f>VLOOKUP(Tabla4[[#This Row],[Producto]],Tabla6[#All],14,FALSE)</f>
        <v>Termico Solar</v>
      </c>
      <c r="U2835" s="284" t="e">
        <f>(IF(Tabla4[[#This Row],[Familia]]="termico solar",Tabla4[[#This Row],[Utilidad Total]]*6%,Tabla4[[#This Row],[Utilidad Total]]*11.5%))/Tabla4[[#This Row],[Total]]</f>
        <v>#N/A</v>
      </c>
      <c r="V2835" s="282" t="e">
        <f>+Tabla4[[#This Row],[Comisión Calculada]]*Tabla4[[#This Row],[Total]]</f>
        <v>#N/A</v>
      </c>
    </row>
    <row r="2836" spans="1:22" hidden="1" x14ac:dyDescent="0.25">
      <c r="A2836" s="100">
        <v>45792</v>
      </c>
      <c r="B2836" t="str">
        <f t="shared" si="136"/>
        <v>May</v>
      </c>
      <c r="C2836" s="46" t="s">
        <v>280</v>
      </c>
      <c r="F2836" s="366" t="s">
        <v>1815</v>
      </c>
      <c r="G2836" s="46" t="s">
        <v>83</v>
      </c>
      <c r="H2836" s="46">
        <v>1</v>
      </c>
      <c r="I2836" s="51">
        <v>8858.76</v>
      </c>
      <c r="J2836" s="281">
        <f>++Tabla4[[#This Row],[Precio Bruto]]*1.16</f>
        <v>10276.161599999999</v>
      </c>
      <c r="K2836" s="281">
        <f>+Tabla4[[#This Row],[Precio Unitario Neto]]*Tabla4[[#Headers],[20.85%]]</f>
        <v>2142.5796935999997</v>
      </c>
      <c r="L2836" s="282">
        <f>++Tabla4[[#This Row],[Precio Unitario Neto]]-Tabla4[[#This Row],[20.85%]]</f>
        <v>8133.5819063999998</v>
      </c>
      <c r="M2836" s="282" t="e">
        <f>(INDEX(Tabla6[#All],MATCH(Tabla4[[#This Row],[Producto]],Tabla6[[#All],[PRODUCTO]],0),MATCH(Tabla4[[#This Row],[Mes]],Tabla6[#Headers],0)))*(1+Catalogos!$L$2)</f>
        <v>#N/A</v>
      </c>
      <c r="N2836" s="283" t="e">
        <f>+(Tabla4[[#This Row],[Precio Descontado]]-Tabla4[[#This Row],[Precio Base]])*Tabla4[[#This Row],[Cantidad]]</f>
        <v>#N/A</v>
      </c>
      <c r="O2836" s="284" t="e">
        <f>++Tabla4[[#This Row],[Utilidad Total]]/Tabla4[[#This Row],[Total]]</f>
        <v>#N/A</v>
      </c>
      <c r="P2836" s="282">
        <f>++Tabla4[[#This Row],[Precio Descontado]]*Tabla4[[#This Row],[Cantidad]]</f>
        <v>8133.5819063999998</v>
      </c>
      <c r="Q2836" s="282" t="e">
        <f>(INDEX(Tabla6[#All],MATCH(Tabla4[[#This Row],[Producto]],Tabla6[[#All],[PRODUCTO]],0),MATCH(Tabla4[[#This Row],[Mes]],Tabla6[#Headers],0)))</f>
        <v>#N/A</v>
      </c>
      <c r="R2836" s="282" t="e">
        <f>++Tabla4[[#This Row],[Precio Unitario Neto]]-Tabla4[[#This Row],[20.85%]]-Tabla4[[#This Row],[Costo]]</f>
        <v>#N/A</v>
      </c>
      <c r="S2836" s="282" t="e">
        <f>++Tabla4[[#This Row],[U. Bruta Uni]]*Tabla4[[#This Row],[Cantidad]]</f>
        <v>#N/A</v>
      </c>
      <c r="T2836" s="369" t="str">
        <f>VLOOKUP(Tabla4[[#This Row],[Producto]],Tabla6[#All],14,FALSE)</f>
        <v>Termico Solar</v>
      </c>
      <c r="U2836" s="284" t="e">
        <f>(IF(Tabla4[[#This Row],[Familia]]="termico solar",Tabla4[[#This Row],[Utilidad Total]]*6%,Tabla4[[#This Row],[Utilidad Total]]*11.5%))/Tabla4[[#This Row],[Total]]</f>
        <v>#N/A</v>
      </c>
      <c r="V2836" s="282" t="e">
        <f>+Tabla4[[#This Row],[Comisión Calculada]]*Tabla4[[#This Row],[Total]]</f>
        <v>#N/A</v>
      </c>
    </row>
    <row r="2837" spans="1:22" hidden="1" x14ac:dyDescent="0.25">
      <c r="A2837" s="100">
        <v>45792</v>
      </c>
      <c r="B2837" t="str">
        <f t="shared" si="136"/>
        <v>May</v>
      </c>
      <c r="C2837" s="46" t="s">
        <v>280</v>
      </c>
      <c r="F2837" s="366" t="s">
        <v>1815</v>
      </c>
      <c r="G2837" s="46" t="s">
        <v>17</v>
      </c>
      <c r="H2837" s="46">
        <v>1</v>
      </c>
      <c r="I2837" s="51">
        <v>4622.28</v>
      </c>
      <c r="J2837" s="281">
        <f>++Tabla4[[#This Row],[Precio Bruto]]*1.16</f>
        <v>5361.8447999999989</v>
      </c>
      <c r="K2837" s="281">
        <f>+Tabla4[[#This Row],[Precio Unitario Neto]]*Tabla4[[#Headers],[20.85%]]</f>
        <v>1117.9446407999997</v>
      </c>
      <c r="L2837" s="282">
        <f>++Tabla4[[#This Row],[Precio Unitario Neto]]-Tabla4[[#This Row],[20.85%]]</f>
        <v>4243.9001591999995</v>
      </c>
      <c r="M2837" s="282" t="e">
        <f>(INDEX(Tabla6[#All],MATCH(Tabla4[[#This Row],[Producto]],Tabla6[[#All],[PRODUCTO]],0),MATCH(Tabla4[[#This Row],[Mes]],Tabla6[#Headers],0)))*(1+Catalogos!$L$2)</f>
        <v>#N/A</v>
      </c>
      <c r="N2837" s="283" t="e">
        <f>+(Tabla4[[#This Row],[Precio Descontado]]-Tabla4[[#This Row],[Precio Base]])*Tabla4[[#This Row],[Cantidad]]</f>
        <v>#N/A</v>
      </c>
      <c r="O2837" s="284" t="e">
        <f>++Tabla4[[#This Row],[Utilidad Total]]/Tabla4[[#This Row],[Total]]</f>
        <v>#N/A</v>
      </c>
      <c r="P2837" s="282">
        <f>++Tabla4[[#This Row],[Precio Descontado]]*Tabla4[[#This Row],[Cantidad]]</f>
        <v>4243.9001591999995</v>
      </c>
      <c r="Q2837" s="282" t="e">
        <f>(INDEX(Tabla6[#All],MATCH(Tabla4[[#This Row],[Producto]],Tabla6[[#All],[PRODUCTO]],0),MATCH(Tabla4[[#This Row],[Mes]],Tabla6[#Headers],0)))</f>
        <v>#N/A</v>
      </c>
      <c r="R2837" s="282" t="e">
        <f>++Tabla4[[#This Row],[Precio Unitario Neto]]-Tabla4[[#This Row],[20.85%]]-Tabla4[[#This Row],[Costo]]</f>
        <v>#N/A</v>
      </c>
      <c r="S2837" s="282" t="e">
        <f>++Tabla4[[#This Row],[U. Bruta Uni]]*Tabla4[[#This Row],[Cantidad]]</f>
        <v>#N/A</v>
      </c>
      <c r="T2837" s="369" t="str">
        <f>VLOOKUP(Tabla4[[#This Row],[Producto]],Tabla6[#All],14,FALSE)</f>
        <v>Termico Solar</v>
      </c>
      <c r="U2837" s="284" t="e">
        <f>(IF(Tabla4[[#This Row],[Familia]]="termico solar",Tabla4[[#This Row],[Utilidad Total]]*6%,Tabla4[[#This Row],[Utilidad Total]]*11.5%))/Tabla4[[#This Row],[Total]]</f>
        <v>#N/A</v>
      </c>
      <c r="V2837" s="282" t="e">
        <f>+Tabla4[[#This Row],[Comisión Calculada]]*Tabla4[[#This Row],[Total]]</f>
        <v>#N/A</v>
      </c>
    </row>
    <row r="2838" spans="1:22" hidden="1" x14ac:dyDescent="0.25">
      <c r="A2838" s="100">
        <v>45792</v>
      </c>
      <c r="B2838" t="str">
        <f t="shared" si="136"/>
        <v>May</v>
      </c>
      <c r="C2838" s="46" t="s">
        <v>280</v>
      </c>
      <c r="F2838" s="366" t="s">
        <v>1816</v>
      </c>
      <c r="G2838" s="46" t="s">
        <v>17</v>
      </c>
      <c r="H2838" s="46">
        <v>1</v>
      </c>
      <c r="I2838" s="51">
        <v>4622.28</v>
      </c>
      <c r="J2838" s="281">
        <f>++Tabla4[[#This Row],[Precio Bruto]]*1.16</f>
        <v>5361.8447999999989</v>
      </c>
      <c r="K2838" s="281">
        <f>+Tabla4[[#This Row],[Precio Unitario Neto]]*Tabla4[[#Headers],[20.85%]]</f>
        <v>1117.9446407999997</v>
      </c>
      <c r="L2838" s="282">
        <f>++Tabla4[[#This Row],[Precio Unitario Neto]]-Tabla4[[#This Row],[20.85%]]</f>
        <v>4243.9001591999995</v>
      </c>
      <c r="M2838" s="282" t="e">
        <f>(INDEX(Tabla6[#All],MATCH(Tabla4[[#This Row],[Producto]],Tabla6[[#All],[PRODUCTO]],0),MATCH(Tabla4[[#This Row],[Mes]],Tabla6[#Headers],0)))*(1+Catalogos!$L$2)</f>
        <v>#N/A</v>
      </c>
      <c r="N2838" s="283" t="e">
        <f>+(Tabla4[[#This Row],[Precio Descontado]]-Tabla4[[#This Row],[Precio Base]])*Tabla4[[#This Row],[Cantidad]]</f>
        <v>#N/A</v>
      </c>
      <c r="O2838" s="284" t="e">
        <f>++Tabla4[[#This Row],[Utilidad Total]]/Tabla4[[#This Row],[Total]]</f>
        <v>#N/A</v>
      </c>
      <c r="P2838" s="282">
        <f>++Tabla4[[#This Row],[Precio Descontado]]*Tabla4[[#This Row],[Cantidad]]</f>
        <v>4243.9001591999995</v>
      </c>
      <c r="Q2838" s="282" t="e">
        <f>(INDEX(Tabla6[#All],MATCH(Tabla4[[#This Row],[Producto]],Tabla6[[#All],[PRODUCTO]],0),MATCH(Tabla4[[#This Row],[Mes]],Tabla6[#Headers],0)))</f>
        <v>#N/A</v>
      </c>
      <c r="R2838" s="282" t="e">
        <f>++Tabla4[[#This Row],[Precio Unitario Neto]]-Tabla4[[#This Row],[20.85%]]-Tabla4[[#This Row],[Costo]]</f>
        <v>#N/A</v>
      </c>
      <c r="S2838" s="282" t="e">
        <f>++Tabla4[[#This Row],[U. Bruta Uni]]*Tabla4[[#This Row],[Cantidad]]</f>
        <v>#N/A</v>
      </c>
      <c r="T2838" s="369" t="str">
        <f>VLOOKUP(Tabla4[[#This Row],[Producto]],Tabla6[#All],14,FALSE)</f>
        <v>Termico Solar</v>
      </c>
      <c r="U2838" s="284" t="e">
        <f>(IF(Tabla4[[#This Row],[Familia]]="termico solar",Tabla4[[#This Row],[Utilidad Total]]*6%,Tabla4[[#This Row],[Utilidad Total]]*11.5%))/Tabla4[[#This Row],[Total]]</f>
        <v>#N/A</v>
      </c>
      <c r="V2838" s="282" t="e">
        <f>+Tabla4[[#This Row],[Comisión Calculada]]*Tabla4[[#This Row],[Total]]</f>
        <v>#N/A</v>
      </c>
    </row>
    <row r="2839" spans="1:22" hidden="1" x14ac:dyDescent="0.25">
      <c r="A2839" s="100">
        <v>45792</v>
      </c>
      <c r="B2839" t="str">
        <f t="shared" si="136"/>
        <v>May</v>
      </c>
      <c r="C2839" s="46" t="s">
        <v>280</v>
      </c>
      <c r="F2839" s="366" t="s">
        <v>1816</v>
      </c>
      <c r="G2839" s="46" t="s">
        <v>208</v>
      </c>
      <c r="H2839" s="46">
        <v>1</v>
      </c>
      <c r="I2839" s="51">
        <v>189.75</v>
      </c>
      <c r="J2839" s="281">
        <f>++Tabla4[[#This Row],[Precio Bruto]]*1.16</f>
        <v>220.10999999999999</v>
      </c>
      <c r="K2839" s="281">
        <f>+Tabla4[[#This Row],[Precio Unitario Neto]]*Tabla4[[#Headers],[20.85%]]</f>
        <v>45.892934999999994</v>
      </c>
      <c r="L2839" s="282">
        <f>++Tabla4[[#This Row],[Precio Unitario Neto]]-Tabla4[[#This Row],[20.85%]]</f>
        <v>174.21706499999999</v>
      </c>
      <c r="M2839" s="282" t="e">
        <f>(INDEX(Tabla6[#All],MATCH(Tabla4[[#This Row],[Producto]],Tabla6[[#All],[PRODUCTO]],0),MATCH(Tabla4[[#This Row],[Mes]],Tabla6[#Headers],0)))*(1+Catalogos!$L$2)</f>
        <v>#N/A</v>
      </c>
      <c r="N2839" s="283" t="e">
        <f>+(Tabla4[[#This Row],[Precio Descontado]]-Tabla4[[#This Row],[Precio Base]])*Tabla4[[#This Row],[Cantidad]]</f>
        <v>#N/A</v>
      </c>
      <c r="O2839" s="284" t="e">
        <f>++Tabla4[[#This Row],[Utilidad Total]]/Tabla4[[#This Row],[Total]]</f>
        <v>#N/A</v>
      </c>
      <c r="P2839" s="282">
        <f>++Tabla4[[#This Row],[Precio Descontado]]*Tabla4[[#This Row],[Cantidad]]</f>
        <v>174.21706499999999</v>
      </c>
      <c r="Q2839" s="282" t="e">
        <f>(INDEX(Tabla6[#All],MATCH(Tabla4[[#This Row],[Producto]],Tabla6[[#All],[PRODUCTO]],0),MATCH(Tabla4[[#This Row],[Mes]],Tabla6[#Headers],0)))</f>
        <v>#N/A</v>
      </c>
      <c r="R2839" s="282" t="e">
        <f>++Tabla4[[#This Row],[Precio Unitario Neto]]-Tabla4[[#This Row],[20.85%]]-Tabla4[[#This Row],[Costo]]</f>
        <v>#N/A</v>
      </c>
      <c r="S2839" s="282" t="e">
        <f>++Tabla4[[#This Row],[U. Bruta Uni]]*Tabla4[[#This Row],[Cantidad]]</f>
        <v>#N/A</v>
      </c>
      <c r="T2839" s="369" t="str">
        <f>VLOOKUP(Tabla4[[#This Row],[Producto]],Tabla6[#All],14,FALSE)</f>
        <v>Termico Solar</v>
      </c>
      <c r="U2839" s="284" t="e">
        <f>(IF(Tabla4[[#This Row],[Familia]]="termico solar",Tabla4[[#This Row],[Utilidad Total]]*6%,Tabla4[[#This Row],[Utilidad Total]]*11.5%))/Tabla4[[#This Row],[Total]]</f>
        <v>#N/A</v>
      </c>
      <c r="V2839" s="282" t="e">
        <f>+Tabla4[[#This Row],[Comisión Calculada]]*Tabla4[[#This Row],[Total]]</f>
        <v>#N/A</v>
      </c>
    </row>
    <row r="2840" spans="1:22" hidden="1" x14ac:dyDescent="0.25">
      <c r="A2840" s="100">
        <v>45792</v>
      </c>
      <c r="B2840" t="str">
        <f t="shared" si="136"/>
        <v>May</v>
      </c>
      <c r="C2840" s="46" t="s">
        <v>280</v>
      </c>
      <c r="F2840" s="366" t="s">
        <v>1817</v>
      </c>
      <c r="G2840" s="46" t="s">
        <v>18</v>
      </c>
      <c r="H2840" s="46">
        <v>1</v>
      </c>
      <c r="I2840" s="51">
        <v>5367.65</v>
      </c>
      <c r="J2840" s="281">
        <f>++Tabla4[[#This Row],[Precio Bruto]]*1.16</f>
        <v>6226.4739999999993</v>
      </c>
      <c r="K2840" s="281">
        <f>+Tabla4[[#This Row],[Precio Unitario Neto]]*Tabla4[[#Headers],[20.85%]]</f>
        <v>1298.2198289999999</v>
      </c>
      <c r="L2840" s="282">
        <f>++Tabla4[[#This Row],[Precio Unitario Neto]]-Tabla4[[#This Row],[20.85%]]</f>
        <v>4928.2541709999996</v>
      </c>
      <c r="M2840" s="282" t="e">
        <f>(INDEX(Tabla6[#All],MATCH(Tabla4[[#This Row],[Producto]],Tabla6[[#All],[PRODUCTO]],0),MATCH(Tabla4[[#This Row],[Mes]],Tabla6[#Headers],0)))*(1+Catalogos!$L$2)</f>
        <v>#N/A</v>
      </c>
      <c r="N2840" s="283" t="e">
        <f>+(Tabla4[[#This Row],[Precio Descontado]]-Tabla4[[#This Row],[Precio Base]])*Tabla4[[#This Row],[Cantidad]]</f>
        <v>#N/A</v>
      </c>
      <c r="O2840" s="284" t="e">
        <f>++Tabla4[[#This Row],[Utilidad Total]]/Tabla4[[#This Row],[Total]]</f>
        <v>#N/A</v>
      </c>
      <c r="P2840" s="282">
        <f>++Tabla4[[#This Row],[Precio Descontado]]*Tabla4[[#This Row],[Cantidad]]</f>
        <v>4928.2541709999996</v>
      </c>
      <c r="Q2840" s="282" t="e">
        <f>(INDEX(Tabla6[#All],MATCH(Tabla4[[#This Row],[Producto]],Tabla6[[#All],[PRODUCTO]],0),MATCH(Tabla4[[#This Row],[Mes]],Tabla6[#Headers],0)))</f>
        <v>#N/A</v>
      </c>
      <c r="R2840" s="282" t="e">
        <f>++Tabla4[[#This Row],[Precio Unitario Neto]]-Tabla4[[#This Row],[20.85%]]-Tabla4[[#This Row],[Costo]]</f>
        <v>#N/A</v>
      </c>
      <c r="S2840" s="282" t="e">
        <f>++Tabla4[[#This Row],[U. Bruta Uni]]*Tabla4[[#This Row],[Cantidad]]</f>
        <v>#N/A</v>
      </c>
      <c r="T2840" s="369" t="str">
        <f>VLOOKUP(Tabla4[[#This Row],[Producto]],Tabla6[#All],14,FALSE)</f>
        <v>Termico Solar</v>
      </c>
      <c r="U2840" s="284" t="e">
        <f>(IF(Tabla4[[#This Row],[Familia]]="termico solar",Tabla4[[#This Row],[Utilidad Total]]*6%,Tabla4[[#This Row],[Utilidad Total]]*11.5%))/Tabla4[[#This Row],[Total]]</f>
        <v>#N/A</v>
      </c>
      <c r="V2840" s="282" t="e">
        <f>+Tabla4[[#This Row],[Comisión Calculada]]*Tabla4[[#This Row],[Total]]</f>
        <v>#N/A</v>
      </c>
    </row>
    <row r="2841" spans="1:22" hidden="1" x14ac:dyDescent="0.25">
      <c r="A2841" s="100">
        <v>45792</v>
      </c>
      <c r="B2841" t="str">
        <f t="shared" si="136"/>
        <v>May</v>
      </c>
      <c r="C2841" s="46" t="s">
        <v>280</v>
      </c>
      <c r="F2841" s="366" t="s">
        <v>1818</v>
      </c>
      <c r="G2841" s="46" t="s">
        <v>83</v>
      </c>
      <c r="H2841" s="46">
        <v>1</v>
      </c>
      <c r="I2841" s="51">
        <v>8858.76</v>
      </c>
      <c r="J2841" s="281">
        <f>++Tabla4[[#This Row],[Precio Bruto]]*1.16</f>
        <v>10276.161599999999</v>
      </c>
      <c r="K2841" s="281">
        <f>+Tabla4[[#This Row],[Precio Unitario Neto]]*Tabla4[[#Headers],[20.85%]]</f>
        <v>2142.5796935999997</v>
      </c>
      <c r="L2841" s="282">
        <f>++Tabla4[[#This Row],[Precio Unitario Neto]]-Tabla4[[#This Row],[20.85%]]</f>
        <v>8133.5819063999998</v>
      </c>
      <c r="M2841" s="282" t="e">
        <f>(INDEX(Tabla6[#All],MATCH(Tabla4[[#This Row],[Producto]],Tabla6[[#All],[PRODUCTO]],0),MATCH(Tabla4[[#This Row],[Mes]],Tabla6[#Headers],0)))*(1+Catalogos!$L$2)</f>
        <v>#N/A</v>
      </c>
      <c r="N2841" s="283" t="e">
        <f>+(Tabla4[[#This Row],[Precio Descontado]]-Tabla4[[#This Row],[Precio Base]])*Tabla4[[#This Row],[Cantidad]]</f>
        <v>#N/A</v>
      </c>
      <c r="O2841" s="284" t="e">
        <f>++Tabla4[[#This Row],[Utilidad Total]]/Tabla4[[#This Row],[Total]]</f>
        <v>#N/A</v>
      </c>
      <c r="P2841" s="282">
        <f>++Tabla4[[#This Row],[Precio Descontado]]*Tabla4[[#This Row],[Cantidad]]</f>
        <v>8133.5819063999998</v>
      </c>
      <c r="Q2841" s="282" t="e">
        <f>(INDEX(Tabla6[#All],MATCH(Tabla4[[#This Row],[Producto]],Tabla6[[#All],[PRODUCTO]],0),MATCH(Tabla4[[#This Row],[Mes]],Tabla6[#Headers],0)))</f>
        <v>#N/A</v>
      </c>
      <c r="R2841" s="282" t="e">
        <f>++Tabla4[[#This Row],[Precio Unitario Neto]]-Tabla4[[#This Row],[20.85%]]-Tabla4[[#This Row],[Costo]]</f>
        <v>#N/A</v>
      </c>
      <c r="S2841" s="282" t="e">
        <f>++Tabla4[[#This Row],[U. Bruta Uni]]*Tabla4[[#This Row],[Cantidad]]</f>
        <v>#N/A</v>
      </c>
      <c r="T2841" s="369" t="str">
        <f>VLOOKUP(Tabla4[[#This Row],[Producto]],Tabla6[#All],14,FALSE)</f>
        <v>Termico Solar</v>
      </c>
      <c r="U2841" s="284" t="e">
        <f>(IF(Tabla4[[#This Row],[Familia]]="termico solar",Tabla4[[#This Row],[Utilidad Total]]*6%,Tabla4[[#This Row],[Utilidad Total]]*11.5%))/Tabla4[[#This Row],[Total]]</f>
        <v>#N/A</v>
      </c>
      <c r="V2841" s="282" t="e">
        <f>+Tabla4[[#This Row],[Comisión Calculada]]*Tabla4[[#This Row],[Total]]</f>
        <v>#N/A</v>
      </c>
    </row>
    <row r="2842" spans="1:22" hidden="1" x14ac:dyDescent="0.25">
      <c r="A2842" s="100">
        <v>45792</v>
      </c>
      <c r="B2842" t="str">
        <f t="shared" si="136"/>
        <v>May</v>
      </c>
      <c r="C2842" s="46" t="s">
        <v>280</v>
      </c>
      <c r="F2842" s="366" t="s">
        <v>1818</v>
      </c>
      <c r="G2842" s="46" t="s">
        <v>566</v>
      </c>
      <c r="H2842" s="46">
        <v>1</v>
      </c>
      <c r="I2842" s="51">
        <v>2109.4499999999998</v>
      </c>
      <c r="J2842" s="281">
        <f>++Tabla4[[#This Row],[Precio Bruto]]*1.16</f>
        <v>2446.9619999999995</v>
      </c>
      <c r="K2842" s="281">
        <f>+Tabla4[[#This Row],[Precio Unitario Neto]]*Tabla4[[#Headers],[20.85%]]</f>
        <v>510.19157699999988</v>
      </c>
      <c r="L2842" s="282">
        <f>++Tabla4[[#This Row],[Precio Unitario Neto]]-Tabla4[[#This Row],[20.85%]]</f>
        <v>1936.7704229999997</v>
      </c>
      <c r="M2842" s="282" t="e">
        <f>(INDEX(Tabla6[#All],MATCH(Tabla4[[#This Row],[Producto]],Tabla6[[#All],[PRODUCTO]],0),MATCH(Tabla4[[#This Row],[Mes]],Tabla6[#Headers],0)))*(1+Catalogos!$L$2)</f>
        <v>#N/A</v>
      </c>
      <c r="N2842" s="283" t="e">
        <f>+(Tabla4[[#This Row],[Precio Descontado]]-Tabla4[[#This Row],[Precio Base]])*Tabla4[[#This Row],[Cantidad]]</f>
        <v>#N/A</v>
      </c>
      <c r="O2842" s="284" t="e">
        <f>++Tabla4[[#This Row],[Utilidad Total]]/Tabla4[[#This Row],[Total]]</f>
        <v>#N/A</v>
      </c>
      <c r="P2842" s="282">
        <f>++Tabla4[[#This Row],[Precio Descontado]]*Tabla4[[#This Row],[Cantidad]]</f>
        <v>1936.7704229999997</v>
      </c>
      <c r="Q2842" s="282" t="e">
        <f>(INDEX(Tabla6[#All],MATCH(Tabla4[[#This Row],[Producto]],Tabla6[[#All],[PRODUCTO]],0),MATCH(Tabla4[[#This Row],[Mes]],Tabla6[#Headers],0)))</f>
        <v>#N/A</v>
      </c>
      <c r="R2842" s="282" t="e">
        <f>++Tabla4[[#This Row],[Precio Unitario Neto]]-Tabla4[[#This Row],[20.85%]]-Tabla4[[#This Row],[Costo]]</f>
        <v>#N/A</v>
      </c>
      <c r="S2842" s="282" t="e">
        <f>++Tabla4[[#This Row],[U. Bruta Uni]]*Tabla4[[#This Row],[Cantidad]]</f>
        <v>#N/A</v>
      </c>
      <c r="T2842" s="369" t="str">
        <f>VLOOKUP(Tabla4[[#This Row],[Producto]],Tabla6[#All],14,FALSE)</f>
        <v>Termico Solar</v>
      </c>
      <c r="U2842" s="284" t="e">
        <f>(IF(Tabla4[[#This Row],[Familia]]="termico solar",Tabla4[[#This Row],[Utilidad Total]]*6%,Tabla4[[#This Row],[Utilidad Total]]*11.5%))/Tabla4[[#This Row],[Total]]</f>
        <v>#N/A</v>
      </c>
      <c r="V2842" s="282" t="e">
        <f>+Tabla4[[#This Row],[Comisión Calculada]]*Tabla4[[#This Row],[Total]]</f>
        <v>#N/A</v>
      </c>
    </row>
    <row r="2843" spans="1:22" hidden="1" x14ac:dyDescent="0.25">
      <c r="A2843" s="100">
        <v>45792</v>
      </c>
      <c r="B2843" t="str">
        <f t="shared" si="136"/>
        <v>May</v>
      </c>
      <c r="C2843" s="46" t="s">
        <v>280</v>
      </c>
      <c r="F2843" s="366" t="s">
        <v>1818</v>
      </c>
      <c r="G2843" s="46" t="s">
        <v>208</v>
      </c>
      <c r="H2843" s="46">
        <v>2</v>
      </c>
      <c r="I2843" s="51">
        <v>189.75</v>
      </c>
      <c r="J2843" s="281">
        <f>++Tabla4[[#This Row],[Precio Bruto]]*1.16</f>
        <v>220.10999999999999</v>
      </c>
      <c r="K2843" s="281">
        <f>+Tabla4[[#This Row],[Precio Unitario Neto]]*Tabla4[[#Headers],[20.85%]]</f>
        <v>45.892934999999994</v>
      </c>
      <c r="L2843" s="282">
        <f>++Tabla4[[#This Row],[Precio Unitario Neto]]-Tabla4[[#This Row],[20.85%]]</f>
        <v>174.21706499999999</v>
      </c>
      <c r="M2843" s="282" t="e">
        <f>(INDEX(Tabla6[#All],MATCH(Tabla4[[#This Row],[Producto]],Tabla6[[#All],[PRODUCTO]],0),MATCH(Tabla4[[#This Row],[Mes]],Tabla6[#Headers],0)))*(1+Catalogos!$L$2)</f>
        <v>#N/A</v>
      </c>
      <c r="N2843" s="283" t="e">
        <f>+(Tabla4[[#This Row],[Precio Descontado]]-Tabla4[[#This Row],[Precio Base]])*Tabla4[[#This Row],[Cantidad]]</f>
        <v>#N/A</v>
      </c>
      <c r="O2843" s="284" t="e">
        <f>++Tabla4[[#This Row],[Utilidad Total]]/Tabla4[[#This Row],[Total]]</f>
        <v>#N/A</v>
      </c>
      <c r="P2843" s="282">
        <f>++Tabla4[[#This Row],[Precio Descontado]]*Tabla4[[#This Row],[Cantidad]]</f>
        <v>348.43412999999998</v>
      </c>
      <c r="Q2843" s="282" t="e">
        <f>(INDEX(Tabla6[#All],MATCH(Tabla4[[#This Row],[Producto]],Tabla6[[#All],[PRODUCTO]],0),MATCH(Tabla4[[#This Row],[Mes]],Tabla6[#Headers],0)))</f>
        <v>#N/A</v>
      </c>
      <c r="R2843" s="282" t="e">
        <f>++Tabla4[[#This Row],[Precio Unitario Neto]]-Tabla4[[#This Row],[20.85%]]-Tabla4[[#This Row],[Costo]]</f>
        <v>#N/A</v>
      </c>
      <c r="S2843" s="282" t="e">
        <f>++Tabla4[[#This Row],[U. Bruta Uni]]*Tabla4[[#This Row],[Cantidad]]</f>
        <v>#N/A</v>
      </c>
      <c r="T2843" s="369" t="str">
        <f>VLOOKUP(Tabla4[[#This Row],[Producto]],Tabla6[#All],14,FALSE)</f>
        <v>Termico Solar</v>
      </c>
      <c r="U2843" s="284" t="e">
        <f>(IF(Tabla4[[#This Row],[Familia]]="termico solar",Tabla4[[#This Row],[Utilidad Total]]*6%,Tabla4[[#This Row],[Utilidad Total]]*11.5%))/Tabla4[[#This Row],[Total]]</f>
        <v>#N/A</v>
      </c>
      <c r="V2843" s="282" t="e">
        <f>+Tabla4[[#This Row],[Comisión Calculada]]*Tabla4[[#This Row],[Total]]</f>
        <v>#N/A</v>
      </c>
    </row>
    <row r="2844" spans="1:22" hidden="1" x14ac:dyDescent="0.25">
      <c r="A2844" s="100">
        <v>45792</v>
      </c>
      <c r="B2844" t="str">
        <f t="shared" si="136"/>
        <v>May</v>
      </c>
      <c r="C2844" s="46" t="s">
        <v>280</v>
      </c>
      <c r="F2844" s="366" t="s">
        <v>1819</v>
      </c>
      <c r="G2844" s="46" t="s">
        <v>83</v>
      </c>
      <c r="H2844" s="46">
        <v>2</v>
      </c>
      <c r="I2844" s="51">
        <v>8858.76</v>
      </c>
      <c r="J2844" s="281">
        <f>++Tabla4[[#This Row],[Precio Bruto]]*1.16</f>
        <v>10276.161599999999</v>
      </c>
      <c r="K2844" s="281">
        <f>+Tabla4[[#This Row],[Precio Unitario Neto]]*Tabla4[[#Headers],[20.85%]]</f>
        <v>2142.5796935999997</v>
      </c>
      <c r="L2844" s="282">
        <f>++Tabla4[[#This Row],[Precio Unitario Neto]]-Tabla4[[#This Row],[20.85%]]</f>
        <v>8133.5819063999998</v>
      </c>
      <c r="M2844" s="282" t="e">
        <f>(INDEX(Tabla6[#All],MATCH(Tabla4[[#This Row],[Producto]],Tabla6[[#All],[PRODUCTO]],0),MATCH(Tabla4[[#This Row],[Mes]],Tabla6[#Headers],0)))*(1+Catalogos!$L$2)</f>
        <v>#N/A</v>
      </c>
      <c r="N2844" s="283" t="e">
        <f>+(Tabla4[[#This Row],[Precio Descontado]]-Tabla4[[#This Row],[Precio Base]])*Tabla4[[#This Row],[Cantidad]]</f>
        <v>#N/A</v>
      </c>
      <c r="O2844" s="284" t="e">
        <f>++Tabla4[[#This Row],[Utilidad Total]]/Tabla4[[#This Row],[Total]]</f>
        <v>#N/A</v>
      </c>
      <c r="P2844" s="282">
        <f>++Tabla4[[#This Row],[Precio Descontado]]*Tabla4[[#This Row],[Cantidad]]</f>
        <v>16267.1638128</v>
      </c>
      <c r="Q2844" s="282" t="e">
        <f>(INDEX(Tabla6[#All],MATCH(Tabla4[[#This Row],[Producto]],Tabla6[[#All],[PRODUCTO]],0),MATCH(Tabla4[[#This Row],[Mes]],Tabla6[#Headers],0)))</f>
        <v>#N/A</v>
      </c>
      <c r="R2844" s="282" t="e">
        <f>++Tabla4[[#This Row],[Precio Unitario Neto]]-Tabla4[[#This Row],[20.85%]]-Tabla4[[#This Row],[Costo]]</f>
        <v>#N/A</v>
      </c>
      <c r="S2844" s="282" t="e">
        <f>++Tabla4[[#This Row],[U. Bruta Uni]]*Tabla4[[#This Row],[Cantidad]]</f>
        <v>#N/A</v>
      </c>
      <c r="T2844" s="369" t="str">
        <f>VLOOKUP(Tabla4[[#This Row],[Producto]],Tabla6[#All],14,FALSE)</f>
        <v>Termico Solar</v>
      </c>
      <c r="U2844" s="284" t="e">
        <f>(IF(Tabla4[[#This Row],[Familia]]="termico solar",Tabla4[[#This Row],[Utilidad Total]]*6%,Tabla4[[#This Row],[Utilidad Total]]*11.5%))/Tabla4[[#This Row],[Total]]</f>
        <v>#N/A</v>
      </c>
      <c r="V2844" s="282" t="e">
        <f>+Tabla4[[#This Row],[Comisión Calculada]]*Tabla4[[#This Row],[Total]]</f>
        <v>#N/A</v>
      </c>
    </row>
    <row r="2845" spans="1:22" hidden="1" x14ac:dyDescent="0.25">
      <c r="A2845" s="100">
        <v>45792</v>
      </c>
      <c r="B2845" t="str">
        <f t="shared" si="136"/>
        <v>May</v>
      </c>
      <c r="C2845" s="46" t="s">
        <v>280</v>
      </c>
      <c r="F2845" s="366" t="s">
        <v>1819</v>
      </c>
      <c r="G2845" s="46" t="s">
        <v>17</v>
      </c>
      <c r="H2845" s="46">
        <v>2</v>
      </c>
      <c r="I2845" s="51">
        <v>4622.28</v>
      </c>
      <c r="J2845" s="281">
        <f>++Tabla4[[#This Row],[Precio Bruto]]*1.16</f>
        <v>5361.8447999999989</v>
      </c>
      <c r="K2845" s="281">
        <f>+Tabla4[[#This Row],[Precio Unitario Neto]]*Tabla4[[#Headers],[20.85%]]</f>
        <v>1117.9446407999997</v>
      </c>
      <c r="L2845" s="282">
        <f>++Tabla4[[#This Row],[Precio Unitario Neto]]-Tabla4[[#This Row],[20.85%]]</f>
        <v>4243.9001591999995</v>
      </c>
      <c r="M2845" s="282" t="e">
        <f>(INDEX(Tabla6[#All],MATCH(Tabla4[[#This Row],[Producto]],Tabla6[[#All],[PRODUCTO]],0),MATCH(Tabla4[[#This Row],[Mes]],Tabla6[#Headers],0)))*(1+Catalogos!$L$2)</f>
        <v>#N/A</v>
      </c>
      <c r="N2845" s="283" t="e">
        <f>+(Tabla4[[#This Row],[Precio Descontado]]-Tabla4[[#This Row],[Precio Base]])*Tabla4[[#This Row],[Cantidad]]</f>
        <v>#N/A</v>
      </c>
      <c r="O2845" s="284" t="e">
        <f>++Tabla4[[#This Row],[Utilidad Total]]/Tabla4[[#This Row],[Total]]</f>
        <v>#N/A</v>
      </c>
      <c r="P2845" s="282">
        <f>++Tabla4[[#This Row],[Precio Descontado]]*Tabla4[[#This Row],[Cantidad]]</f>
        <v>8487.800318399999</v>
      </c>
      <c r="Q2845" s="282" t="e">
        <f>(INDEX(Tabla6[#All],MATCH(Tabla4[[#This Row],[Producto]],Tabla6[[#All],[PRODUCTO]],0),MATCH(Tabla4[[#This Row],[Mes]],Tabla6[#Headers],0)))</f>
        <v>#N/A</v>
      </c>
      <c r="R2845" s="282" t="e">
        <f>++Tabla4[[#This Row],[Precio Unitario Neto]]-Tabla4[[#This Row],[20.85%]]-Tabla4[[#This Row],[Costo]]</f>
        <v>#N/A</v>
      </c>
      <c r="S2845" s="282" t="e">
        <f>++Tabla4[[#This Row],[U. Bruta Uni]]*Tabla4[[#This Row],[Cantidad]]</f>
        <v>#N/A</v>
      </c>
      <c r="T2845" s="369" t="str">
        <f>VLOOKUP(Tabla4[[#This Row],[Producto]],Tabla6[#All],14,FALSE)</f>
        <v>Termico Solar</v>
      </c>
      <c r="U2845" s="284" t="e">
        <f>(IF(Tabla4[[#This Row],[Familia]]="termico solar",Tabla4[[#This Row],[Utilidad Total]]*6%,Tabla4[[#This Row],[Utilidad Total]]*11.5%))/Tabla4[[#This Row],[Total]]</f>
        <v>#N/A</v>
      </c>
      <c r="V2845" s="282" t="e">
        <f>+Tabla4[[#This Row],[Comisión Calculada]]*Tabla4[[#This Row],[Total]]</f>
        <v>#N/A</v>
      </c>
    </row>
    <row r="2846" spans="1:22" hidden="1" x14ac:dyDescent="0.25">
      <c r="A2846" s="100">
        <v>45792</v>
      </c>
      <c r="B2846" t="str">
        <f t="shared" si="136"/>
        <v>May</v>
      </c>
      <c r="C2846" s="46" t="s">
        <v>280</v>
      </c>
      <c r="F2846" s="366" t="s">
        <v>1819</v>
      </c>
      <c r="G2846" s="46" t="s">
        <v>18</v>
      </c>
      <c r="H2846" s="46">
        <v>2</v>
      </c>
      <c r="I2846" s="51">
        <v>5367.65</v>
      </c>
      <c r="J2846" s="281">
        <f>++Tabla4[[#This Row],[Precio Bruto]]*1.16</f>
        <v>6226.4739999999993</v>
      </c>
      <c r="K2846" s="281">
        <f>+Tabla4[[#This Row],[Precio Unitario Neto]]*Tabla4[[#Headers],[20.85%]]</f>
        <v>1298.2198289999999</v>
      </c>
      <c r="L2846" s="282">
        <f>++Tabla4[[#This Row],[Precio Unitario Neto]]-Tabla4[[#This Row],[20.85%]]</f>
        <v>4928.2541709999996</v>
      </c>
      <c r="M2846" s="282" t="e">
        <f>(INDEX(Tabla6[#All],MATCH(Tabla4[[#This Row],[Producto]],Tabla6[[#All],[PRODUCTO]],0),MATCH(Tabla4[[#This Row],[Mes]],Tabla6[#Headers],0)))*(1+Catalogos!$L$2)</f>
        <v>#N/A</v>
      </c>
      <c r="N2846" s="283" t="e">
        <f>+(Tabla4[[#This Row],[Precio Descontado]]-Tabla4[[#This Row],[Precio Base]])*Tabla4[[#This Row],[Cantidad]]</f>
        <v>#N/A</v>
      </c>
      <c r="O2846" s="284" t="e">
        <f>++Tabla4[[#This Row],[Utilidad Total]]/Tabla4[[#This Row],[Total]]</f>
        <v>#N/A</v>
      </c>
      <c r="P2846" s="282">
        <f>++Tabla4[[#This Row],[Precio Descontado]]*Tabla4[[#This Row],[Cantidad]]</f>
        <v>9856.5083419999992</v>
      </c>
      <c r="Q2846" s="282" t="e">
        <f>(INDEX(Tabla6[#All],MATCH(Tabla4[[#This Row],[Producto]],Tabla6[[#All],[PRODUCTO]],0),MATCH(Tabla4[[#This Row],[Mes]],Tabla6[#Headers],0)))</f>
        <v>#N/A</v>
      </c>
      <c r="R2846" s="282" t="e">
        <f>++Tabla4[[#This Row],[Precio Unitario Neto]]-Tabla4[[#This Row],[20.85%]]-Tabla4[[#This Row],[Costo]]</f>
        <v>#N/A</v>
      </c>
      <c r="S2846" s="282" t="e">
        <f>++Tabla4[[#This Row],[U. Bruta Uni]]*Tabla4[[#This Row],[Cantidad]]</f>
        <v>#N/A</v>
      </c>
      <c r="T2846" s="369" t="str">
        <f>VLOOKUP(Tabla4[[#This Row],[Producto]],Tabla6[#All],14,FALSE)</f>
        <v>Termico Solar</v>
      </c>
      <c r="U2846" s="284" t="e">
        <f>(IF(Tabla4[[#This Row],[Familia]]="termico solar",Tabla4[[#This Row],[Utilidad Total]]*6%,Tabla4[[#This Row],[Utilidad Total]]*11.5%))/Tabla4[[#This Row],[Total]]</f>
        <v>#N/A</v>
      </c>
      <c r="V2846" s="282" t="e">
        <f>+Tabla4[[#This Row],[Comisión Calculada]]*Tabla4[[#This Row],[Total]]</f>
        <v>#N/A</v>
      </c>
    </row>
    <row r="2847" spans="1:22" hidden="1" x14ac:dyDescent="0.25">
      <c r="A2847" s="100">
        <v>45792</v>
      </c>
      <c r="B2847" t="str">
        <f t="shared" si="136"/>
        <v>May</v>
      </c>
      <c r="C2847" s="46" t="s">
        <v>280</v>
      </c>
      <c r="F2847" s="366" t="s">
        <v>1820</v>
      </c>
      <c r="G2847" s="46" t="s">
        <v>17</v>
      </c>
      <c r="H2847" s="46">
        <v>2</v>
      </c>
      <c r="I2847" s="51">
        <v>4622.28</v>
      </c>
      <c r="J2847" s="281">
        <f>++Tabla4[[#This Row],[Precio Bruto]]*1.16</f>
        <v>5361.8447999999989</v>
      </c>
      <c r="K2847" s="281">
        <f>+Tabla4[[#This Row],[Precio Unitario Neto]]*Tabla4[[#Headers],[20.85%]]</f>
        <v>1117.9446407999997</v>
      </c>
      <c r="L2847" s="282">
        <f>++Tabla4[[#This Row],[Precio Unitario Neto]]-Tabla4[[#This Row],[20.85%]]</f>
        <v>4243.9001591999995</v>
      </c>
      <c r="M2847" s="282" t="e">
        <f>(INDEX(Tabla6[#All],MATCH(Tabla4[[#This Row],[Producto]],Tabla6[[#All],[PRODUCTO]],0),MATCH(Tabla4[[#This Row],[Mes]],Tabla6[#Headers],0)))*(1+Catalogos!$L$2)</f>
        <v>#N/A</v>
      </c>
      <c r="N2847" s="283" t="e">
        <f>+(Tabla4[[#This Row],[Precio Descontado]]-Tabla4[[#This Row],[Precio Base]])*Tabla4[[#This Row],[Cantidad]]</f>
        <v>#N/A</v>
      </c>
      <c r="O2847" s="284" t="e">
        <f>++Tabla4[[#This Row],[Utilidad Total]]/Tabla4[[#This Row],[Total]]</f>
        <v>#N/A</v>
      </c>
      <c r="P2847" s="282">
        <f>++Tabla4[[#This Row],[Precio Descontado]]*Tabla4[[#This Row],[Cantidad]]</f>
        <v>8487.800318399999</v>
      </c>
      <c r="Q2847" s="282" t="e">
        <f>(INDEX(Tabla6[#All],MATCH(Tabla4[[#This Row],[Producto]],Tabla6[[#All],[PRODUCTO]],0),MATCH(Tabla4[[#This Row],[Mes]],Tabla6[#Headers],0)))</f>
        <v>#N/A</v>
      </c>
      <c r="R2847" s="282" t="e">
        <f>++Tabla4[[#This Row],[Precio Unitario Neto]]-Tabla4[[#This Row],[20.85%]]-Tabla4[[#This Row],[Costo]]</f>
        <v>#N/A</v>
      </c>
      <c r="S2847" s="282" t="e">
        <f>++Tabla4[[#This Row],[U. Bruta Uni]]*Tabla4[[#This Row],[Cantidad]]</f>
        <v>#N/A</v>
      </c>
      <c r="T2847" s="369" t="str">
        <f>VLOOKUP(Tabla4[[#This Row],[Producto]],Tabla6[#All],14,FALSE)</f>
        <v>Termico Solar</v>
      </c>
      <c r="U2847" s="284" t="e">
        <f>(IF(Tabla4[[#This Row],[Familia]]="termico solar",Tabla4[[#This Row],[Utilidad Total]]*6%,Tabla4[[#This Row],[Utilidad Total]]*11.5%))/Tabla4[[#This Row],[Total]]</f>
        <v>#N/A</v>
      </c>
      <c r="V2847" s="282" t="e">
        <f>+Tabla4[[#This Row],[Comisión Calculada]]*Tabla4[[#This Row],[Total]]</f>
        <v>#N/A</v>
      </c>
    </row>
    <row r="2848" spans="1:22" hidden="1" x14ac:dyDescent="0.25">
      <c r="A2848" s="100">
        <v>45792</v>
      </c>
      <c r="B2848" t="str">
        <f t="shared" si="136"/>
        <v>May</v>
      </c>
      <c r="C2848" s="46" t="s">
        <v>280</v>
      </c>
      <c r="F2848" s="366" t="s">
        <v>1820</v>
      </c>
      <c r="G2848" s="46" t="s">
        <v>566</v>
      </c>
      <c r="H2848" s="46">
        <v>1</v>
      </c>
      <c r="I2848" s="51">
        <v>2109.4499999999998</v>
      </c>
      <c r="J2848" s="281">
        <f>++Tabla4[[#This Row],[Precio Bruto]]*1.16</f>
        <v>2446.9619999999995</v>
      </c>
      <c r="K2848" s="281">
        <f>+Tabla4[[#This Row],[Precio Unitario Neto]]*Tabla4[[#Headers],[20.85%]]</f>
        <v>510.19157699999988</v>
      </c>
      <c r="L2848" s="282">
        <f>++Tabla4[[#This Row],[Precio Unitario Neto]]-Tabla4[[#This Row],[20.85%]]</f>
        <v>1936.7704229999997</v>
      </c>
      <c r="M2848" s="282" t="e">
        <f>(INDEX(Tabla6[#All],MATCH(Tabla4[[#This Row],[Producto]],Tabla6[[#All],[PRODUCTO]],0),MATCH(Tabla4[[#This Row],[Mes]],Tabla6[#Headers],0)))*(1+Catalogos!$L$2)</f>
        <v>#N/A</v>
      </c>
      <c r="N2848" s="283" t="e">
        <f>+(Tabla4[[#This Row],[Precio Descontado]]-Tabla4[[#This Row],[Precio Base]])*Tabla4[[#This Row],[Cantidad]]</f>
        <v>#N/A</v>
      </c>
      <c r="O2848" s="284" t="e">
        <f>++Tabla4[[#This Row],[Utilidad Total]]/Tabla4[[#This Row],[Total]]</f>
        <v>#N/A</v>
      </c>
      <c r="P2848" s="282">
        <f>++Tabla4[[#This Row],[Precio Descontado]]*Tabla4[[#This Row],[Cantidad]]</f>
        <v>1936.7704229999997</v>
      </c>
      <c r="Q2848" s="282" t="e">
        <f>(INDEX(Tabla6[#All],MATCH(Tabla4[[#This Row],[Producto]],Tabla6[[#All],[PRODUCTO]],0),MATCH(Tabla4[[#This Row],[Mes]],Tabla6[#Headers],0)))</f>
        <v>#N/A</v>
      </c>
      <c r="R2848" s="282" t="e">
        <f>++Tabla4[[#This Row],[Precio Unitario Neto]]-Tabla4[[#This Row],[20.85%]]-Tabla4[[#This Row],[Costo]]</f>
        <v>#N/A</v>
      </c>
      <c r="S2848" s="282" t="e">
        <f>++Tabla4[[#This Row],[U. Bruta Uni]]*Tabla4[[#This Row],[Cantidad]]</f>
        <v>#N/A</v>
      </c>
      <c r="T2848" s="369" t="str">
        <f>VLOOKUP(Tabla4[[#This Row],[Producto]],Tabla6[#All],14,FALSE)</f>
        <v>Termico Solar</v>
      </c>
      <c r="U2848" s="284" t="e">
        <f>(IF(Tabla4[[#This Row],[Familia]]="termico solar",Tabla4[[#This Row],[Utilidad Total]]*6%,Tabla4[[#This Row],[Utilidad Total]]*11.5%))/Tabla4[[#This Row],[Total]]</f>
        <v>#N/A</v>
      </c>
      <c r="V2848" s="282" t="e">
        <f>+Tabla4[[#This Row],[Comisión Calculada]]*Tabla4[[#This Row],[Total]]</f>
        <v>#N/A</v>
      </c>
    </row>
    <row r="2849" spans="1:22" hidden="1" x14ac:dyDescent="0.25">
      <c r="A2849" s="100">
        <v>45792</v>
      </c>
      <c r="B2849" t="str">
        <f t="shared" si="136"/>
        <v>May</v>
      </c>
      <c r="C2849" s="46" t="s">
        <v>280</v>
      </c>
      <c r="F2849" s="366" t="s">
        <v>1820</v>
      </c>
      <c r="G2849" s="46" t="s">
        <v>208</v>
      </c>
      <c r="H2849" s="46">
        <v>2</v>
      </c>
      <c r="I2849" s="51">
        <v>189.75</v>
      </c>
      <c r="J2849" s="281">
        <f>++Tabla4[[#This Row],[Precio Bruto]]*1.16</f>
        <v>220.10999999999999</v>
      </c>
      <c r="K2849" s="281">
        <f>+Tabla4[[#This Row],[Precio Unitario Neto]]*Tabla4[[#Headers],[20.85%]]</f>
        <v>45.892934999999994</v>
      </c>
      <c r="L2849" s="282">
        <f>++Tabla4[[#This Row],[Precio Unitario Neto]]-Tabla4[[#This Row],[20.85%]]</f>
        <v>174.21706499999999</v>
      </c>
      <c r="M2849" s="282" t="e">
        <f>(INDEX(Tabla6[#All],MATCH(Tabla4[[#This Row],[Producto]],Tabla6[[#All],[PRODUCTO]],0),MATCH(Tabla4[[#This Row],[Mes]],Tabla6[#Headers],0)))*(1+Catalogos!$L$2)</f>
        <v>#N/A</v>
      </c>
      <c r="N2849" s="283" t="e">
        <f>+(Tabla4[[#This Row],[Precio Descontado]]-Tabla4[[#This Row],[Precio Base]])*Tabla4[[#This Row],[Cantidad]]</f>
        <v>#N/A</v>
      </c>
      <c r="O2849" s="284" t="e">
        <f>++Tabla4[[#This Row],[Utilidad Total]]/Tabla4[[#This Row],[Total]]</f>
        <v>#N/A</v>
      </c>
      <c r="P2849" s="282">
        <f>++Tabla4[[#This Row],[Precio Descontado]]*Tabla4[[#This Row],[Cantidad]]</f>
        <v>348.43412999999998</v>
      </c>
      <c r="Q2849" s="282" t="e">
        <f>(INDEX(Tabla6[#All],MATCH(Tabla4[[#This Row],[Producto]],Tabla6[[#All],[PRODUCTO]],0),MATCH(Tabla4[[#This Row],[Mes]],Tabla6[#Headers],0)))</f>
        <v>#N/A</v>
      </c>
      <c r="R2849" s="282" t="e">
        <f>++Tabla4[[#This Row],[Precio Unitario Neto]]-Tabla4[[#This Row],[20.85%]]-Tabla4[[#This Row],[Costo]]</f>
        <v>#N/A</v>
      </c>
      <c r="S2849" s="282" t="e">
        <f>++Tabla4[[#This Row],[U. Bruta Uni]]*Tabla4[[#This Row],[Cantidad]]</f>
        <v>#N/A</v>
      </c>
      <c r="T2849" s="369" t="str">
        <f>VLOOKUP(Tabla4[[#This Row],[Producto]],Tabla6[#All],14,FALSE)</f>
        <v>Termico Solar</v>
      </c>
      <c r="U2849" s="284" t="e">
        <f>(IF(Tabla4[[#This Row],[Familia]]="termico solar",Tabla4[[#This Row],[Utilidad Total]]*6%,Tabla4[[#This Row],[Utilidad Total]]*11.5%))/Tabla4[[#This Row],[Total]]</f>
        <v>#N/A</v>
      </c>
      <c r="V2849" s="282" t="e">
        <f>+Tabla4[[#This Row],[Comisión Calculada]]*Tabla4[[#This Row],[Total]]</f>
        <v>#N/A</v>
      </c>
    </row>
    <row r="2850" spans="1:22" hidden="1" x14ac:dyDescent="0.25">
      <c r="A2850" s="100">
        <v>45792</v>
      </c>
      <c r="B2850" t="str">
        <f t="shared" si="136"/>
        <v>May</v>
      </c>
      <c r="C2850" s="46" t="s">
        <v>280</v>
      </c>
      <c r="F2850" s="366" t="s">
        <v>1821</v>
      </c>
      <c r="G2850" s="46" t="s">
        <v>17</v>
      </c>
      <c r="H2850" s="46">
        <v>1</v>
      </c>
      <c r="I2850" s="51">
        <v>4622.28</v>
      </c>
      <c r="J2850" s="281">
        <f>++Tabla4[[#This Row],[Precio Bruto]]*1.16</f>
        <v>5361.8447999999989</v>
      </c>
      <c r="K2850" s="281">
        <f>+Tabla4[[#This Row],[Precio Unitario Neto]]*Tabla4[[#Headers],[20.85%]]</f>
        <v>1117.9446407999997</v>
      </c>
      <c r="L2850" s="282">
        <f>++Tabla4[[#This Row],[Precio Unitario Neto]]-Tabla4[[#This Row],[20.85%]]</f>
        <v>4243.9001591999995</v>
      </c>
      <c r="M2850" s="282" t="e">
        <f>(INDEX(Tabla6[#All],MATCH(Tabla4[[#This Row],[Producto]],Tabla6[[#All],[PRODUCTO]],0),MATCH(Tabla4[[#This Row],[Mes]],Tabla6[#Headers],0)))*(1+Catalogos!$L$2)</f>
        <v>#N/A</v>
      </c>
      <c r="N2850" s="283" t="e">
        <f>+(Tabla4[[#This Row],[Precio Descontado]]-Tabla4[[#This Row],[Precio Base]])*Tabla4[[#This Row],[Cantidad]]</f>
        <v>#N/A</v>
      </c>
      <c r="O2850" s="284" t="e">
        <f>++Tabla4[[#This Row],[Utilidad Total]]/Tabla4[[#This Row],[Total]]</f>
        <v>#N/A</v>
      </c>
      <c r="P2850" s="282">
        <f>++Tabla4[[#This Row],[Precio Descontado]]*Tabla4[[#This Row],[Cantidad]]</f>
        <v>4243.9001591999995</v>
      </c>
      <c r="Q2850" s="282" t="e">
        <f>(INDEX(Tabla6[#All],MATCH(Tabla4[[#This Row],[Producto]],Tabla6[[#All],[PRODUCTO]],0),MATCH(Tabla4[[#This Row],[Mes]],Tabla6[#Headers],0)))</f>
        <v>#N/A</v>
      </c>
      <c r="R2850" s="282" t="e">
        <f>++Tabla4[[#This Row],[Precio Unitario Neto]]-Tabla4[[#This Row],[20.85%]]-Tabla4[[#This Row],[Costo]]</f>
        <v>#N/A</v>
      </c>
      <c r="S2850" s="282" t="e">
        <f>++Tabla4[[#This Row],[U. Bruta Uni]]*Tabla4[[#This Row],[Cantidad]]</f>
        <v>#N/A</v>
      </c>
      <c r="T2850" s="369" t="str">
        <f>VLOOKUP(Tabla4[[#This Row],[Producto]],Tabla6[#All],14,FALSE)</f>
        <v>Termico Solar</v>
      </c>
      <c r="U2850" s="284" t="e">
        <f>(IF(Tabla4[[#This Row],[Familia]]="termico solar",Tabla4[[#This Row],[Utilidad Total]]*6%,Tabla4[[#This Row],[Utilidad Total]]*11.5%))/Tabla4[[#This Row],[Total]]</f>
        <v>#N/A</v>
      </c>
      <c r="V2850" s="282" t="e">
        <f>+Tabla4[[#This Row],[Comisión Calculada]]*Tabla4[[#This Row],[Total]]</f>
        <v>#N/A</v>
      </c>
    </row>
    <row r="2851" spans="1:22" hidden="1" x14ac:dyDescent="0.25">
      <c r="A2851" s="100">
        <v>45792</v>
      </c>
      <c r="B2851" t="str">
        <f t="shared" si="136"/>
        <v>May</v>
      </c>
      <c r="C2851" s="46" t="s">
        <v>280</v>
      </c>
      <c r="F2851" s="366" t="s">
        <v>1822</v>
      </c>
      <c r="G2851" s="46" t="s">
        <v>18</v>
      </c>
      <c r="H2851" s="46">
        <v>1</v>
      </c>
      <c r="I2851" s="51">
        <v>5367.65</v>
      </c>
      <c r="J2851" s="281">
        <f>++Tabla4[[#This Row],[Precio Bruto]]*1.16</f>
        <v>6226.4739999999993</v>
      </c>
      <c r="K2851" s="281">
        <f>+Tabla4[[#This Row],[Precio Unitario Neto]]*Tabla4[[#Headers],[20.85%]]</f>
        <v>1298.2198289999999</v>
      </c>
      <c r="L2851" s="282">
        <f>++Tabla4[[#This Row],[Precio Unitario Neto]]-Tabla4[[#This Row],[20.85%]]</f>
        <v>4928.2541709999996</v>
      </c>
      <c r="M2851" s="282" t="e">
        <f>(INDEX(Tabla6[#All],MATCH(Tabla4[[#This Row],[Producto]],Tabla6[[#All],[PRODUCTO]],0),MATCH(Tabla4[[#This Row],[Mes]],Tabla6[#Headers],0)))*(1+Catalogos!$L$2)</f>
        <v>#N/A</v>
      </c>
      <c r="N2851" s="283" t="e">
        <f>+(Tabla4[[#This Row],[Precio Descontado]]-Tabla4[[#This Row],[Precio Base]])*Tabla4[[#This Row],[Cantidad]]</f>
        <v>#N/A</v>
      </c>
      <c r="O2851" s="284" t="e">
        <f>++Tabla4[[#This Row],[Utilidad Total]]/Tabla4[[#This Row],[Total]]</f>
        <v>#N/A</v>
      </c>
      <c r="P2851" s="282">
        <f>++Tabla4[[#This Row],[Precio Descontado]]*Tabla4[[#This Row],[Cantidad]]</f>
        <v>4928.2541709999996</v>
      </c>
      <c r="Q2851" s="282" t="e">
        <f>(INDEX(Tabla6[#All],MATCH(Tabla4[[#This Row],[Producto]],Tabla6[[#All],[PRODUCTO]],0),MATCH(Tabla4[[#This Row],[Mes]],Tabla6[#Headers],0)))</f>
        <v>#N/A</v>
      </c>
      <c r="R2851" s="282" t="e">
        <f>++Tabla4[[#This Row],[Precio Unitario Neto]]-Tabla4[[#This Row],[20.85%]]-Tabla4[[#This Row],[Costo]]</f>
        <v>#N/A</v>
      </c>
      <c r="S2851" s="282" t="e">
        <f>++Tabla4[[#This Row],[U. Bruta Uni]]*Tabla4[[#This Row],[Cantidad]]</f>
        <v>#N/A</v>
      </c>
      <c r="T2851" s="369" t="str">
        <f>VLOOKUP(Tabla4[[#This Row],[Producto]],Tabla6[#All],14,FALSE)</f>
        <v>Termico Solar</v>
      </c>
      <c r="U2851" s="284" t="e">
        <f>(IF(Tabla4[[#This Row],[Familia]]="termico solar",Tabla4[[#This Row],[Utilidad Total]]*6%,Tabla4[[#This Row],[Utilidad Total]]*11.5%))/Tabla4[[#This Row],[Total]]</f>
        <v>#N/A</v>
      </c>
      <c r="V2851" s="282" t="e">
        <f>+Tabla4[[#This Row],[Comisión Calculada]]*Tabla4[[#This Row],[Total]]</f>
        <v>#N/A</v>
      </c>
    </row>
    <row r="2852" spans="1:22" hidden="1" x14ac:dyDescent="0.25">
      <c r="A2852" s="100">
        <v>45792</v>
      </c>
      <c r="B2852" t="str">
        <f t="shared" si="136"/>
        <v>May</v>
      </c>
      <c r="C2852" s="46" t="s">
        <v>280</v>
      </c>
      <c r="F2852" s="366" t="s">
        <v>1822</v>
      </c>
      <c r="G2852" s="46" t="s">
        <v>208</v>
      </c>
      <c r="H2852" s="46">
        <v>1</v>
      </c>
      <c r="I2852" s="51">
        <v>189.75</v>
      </c>
      <c r="J2852" s="281">
        <f>++Tabla4[[#This Row],[Precio Bruto]]*1.16</f>
        <v>220.10999999999999</v>
      </c>
      <c r="K2852" s="281">
        <f>+Tabla4[[#This Row],[Precio Unitario Neto]]*Tabla4[[#Headers],[20.85%]]</f>
        <v>45.892934999999994</v>
      </c>
      <c r="L2852" s="282">
        <f>++Tabla4[[#This Row],[Precio Unitario Neto]]-Tabla4[[#This Row],[20.85%]]</f>
        <v>174.21706499999999</v>
      </c>
      <c r="M2852" s="282" t="e">
        <f>(INDEX(Tabla6[#All],MATCH(Tabla4[[#This Row],[Producto]],Tabla6[[#All],[PRODUCTO]],0),MATCH(Tabla4[[#This Row],[Mes]],Tabla6[#Headers],0)))*(1+Catalogos!$L$2)</f>
        <v>#N/A</v>
      </c>
      <c r="N2852" s="283" t="e">
        <f>+(Tabla4[[#This Row],[Precio Descontado]]-Tabla4[[#This Row],[Precio Base]])*Tabla4[[#This Row],[Cantidad]]</f>
        <v>#N/A</v>
      </c>
      <c r="O2852" s="284" t="e">
        <f>++Tabla4[[#This Row],[Utilidad Total]]/Tabla4[[#This Row],[Total]]</f>
        <v>#N/A</v>
      </c>
      <c r="P2852" s="282">
        <f>++Tabla4[[#This Row],[Precio Descontado]]*Tabla4[[#This Row],[Cantidad]]</f>
        <v>174.21706499999999</v>
      </c>
      <c r="Q2852" s="282" t="e">
        <f>(INDEX(Tabla6[#All],MATCH(Tabla4[[#This Row],[Producto]],Tabla6[[#All],[PRODUCTO]],0),MATCH(Tabla4[[#This Row],[Mes]],Tabla6[#Headers],0)))</f>
        <v>#N/A</v>
      </c>
      <c r="R2852" s="282" t="e">
        <f>++Tabla4[[#This Row],[Precio Unitario Neto]]-Tabla4[[#This Row],[20.85%]]-Tabla4[[#This Row],[Costo]]</f>
        <v>#N/A</v>
      </c>
      <c r="S2852" s="282" t="e">
        <f>++Tabla4[[#This Row],[U. Bruta Uni]]*Tabla4[[#This Row],[Cantidad]]</f>
        <v>#N/A</v>
      </c>
      <c r="T2852" s="369" t="str">
        <f>VLOOKUP(Tabla4[[#This Row],[Producto]],Tabla6[#All],14,FALSE)</f>
        <v>Termico Solar</v>
      </c>
      <c r="U2852" s="284" t="e">
        <f>(IF(Tabla4[[#This Row],[Familia]]="termico solar",Tabla4[[#This Row],[Utilidad Total]]*6%,Tabla4[[#This Row],[Utilidad Total]]*11.5%))/Tabla4[[#This Row],[Total]]</f>
        <v>#N/A</v>
      </c>
      <c r="V2852" s="282" t="e">
        <f>+Tabla4[[#This Row],[Comisión Calculada]]*Tabla4[[#This Row],[Total]]</f>
        <v>#N/A</v>
      </c>
    </row>
    <row r="2853" spans="1:22" hidden="1" x14ac:dyDescent="0.25">
      <c r="A2853" s="100">
        <v>45792</v>
      </c>
      <c r="B2853" t="str">
        <f t="shared" si="136"/>
        <v>May</v>
      </c>
      <c r="C2853" s="46" t="s">
        <v>280</v>
      </c>
      <c r="F2853" s="366" t="s">
        <v>1823</v>
      </c>
      <c r="G2853" s="46" t="s">
        <v>17</v>
      </c>
      <c r="H2853" s="46">
        <v>3</v>
      </c>
      <c r="I2853" s="51">
        <v>4622.28</v>
      </c>
      <c r="J2853" s="281">
        <f>++Tabla4[[#This Row],[Precio Bruto]]*1.16</f>
        <v>5361.8447999999989</v>
      </c>
      <c r="K2853" s="281">
        <f>+Tabla4[[#This Row],[Precio Unitario Neto]]*Tabla4[[#Headers],[20.85%]]</f>
        <v>1117.9446407999997</v>
      </c>
      <c r="L2853" s="282">
        <f>++Tabla4[[#This Row],[Precio Unitario Neto]]-Tabla4[[#This Row],[20.85%]]</f>
        <v>4243.9001591999995</v>
      </c>
      <c r="M2853" s="282" t="e">
        <f>(INDEX(Tabla6[#All],MATCH(Tabla4[[#This Row],[Producto]],Tabla6[[#All],[PRODUCTO]],0),MATCH(Tabla4[[#This Row],[Mes]],Tabla6[#Headers],0)))*(1+Catalogos!$L$2)</f>
        <v>#N/A</v>
      </c>
      <c r="N2853" s="283" t="e">
        <f>+(Tabla4[[#This Row],[Precio Descontado]]-Tabla4[[#This Row],[Precio Base]])*Tabla4[[#This Row],[Cantidad]]</f>
        <v>#N/A</v>
      </c>
      <c r="O2853" s="284" t="e">
        <f>++Tabla4[[#This Row],[Utilidad Total]]/Tabla4[[#This Row],[Total]]</f>
        <v>#N/A</v>
      </c>
      <c r="P2853" s="282">
        <f>++Tabla4[[#This Row],[Precio Descontado]]*Tabla4[[#This Row],[Cantidad]]</f>
        <v>12731.700477599999</v>
      </c>
      <c r="Q2853" s="282" t="e">
        <f>(INDEX(Tabla6[#All],MATCH(Tabla4[[#This Row],[Producto]],Tabla6[[#All],[PRODUCTO]],0),MATCH(Tabla4[[#This Row],[Mes]],Tabla6[#Headers],0)))</f>
        <v>#N/A</v>
      </c>
      <c r="R2853" s="282" t="e">
        <f>++Tabla4[[#This Row],[Precio Unitario Neto]]-Tabla4[[#This Row],[20.85%]]-Tabla4[[#This Row],[Costo]]</f>
        <v>#N/A</v>
      </c>
      <c r="S2853" s="282" t="e">
        <f>++Tabla4[[#This Row],[U. Bruta Uni]]*Tabla4[[#This Row],[Cantidad]]</f>
        <v>#N/A</v>
      </c>
      <c r="T2853" s="369" t="str">
        <f>VLOOKUP(Tabla4[[#This Row],[Producto]],Tabla6[#All],14,FALSE)</f>
        <v>Termico Solar</v>
      </c>
      <c r="U2853" s="284" t="e">
        <f>(IF(Tabla4[[#This Row],[Familia]]="termico solar",Tabla4[[#This Row],[Utilidad Total]]*6%,Tabla4[[#This Row],[Utilidad Total]]*11.5%))/Tabla4[[#This Row],[Total]]</f>
        <v>#N/A</v>
      </c>
      <c r="V2853" s="282" t="e">
        <f>+Tabla4[[#This Row],[Comisión Calculada]]*Tabla4[[#This Row],[Total]]</f>
        <v>#N/A</v>
      </c>
    </row>
    <row r="2854" spans="1:22" hidden="1" x14ac:dyDescent="0.25">
      <c r="A2854" s="100">
        <v>45792</v>
      </c>
      <c r="B2854" t="str">
        <f t="shared" si="136"/>
        <v>May</v>
      </c>
      <c r="C2854" s="46" t="s">
        <v>280</v>
      </c>
      <c r="F2854" s="366" t="s">
        <v>1823</v>
      </c>
      <c r="G2854" s="46" t="s">
        <v>18</v>
      </c>
      <c r="H2854" s="46">
        <v>2</v>
      </c>
      <c r="I2854" s="51">
        <v>5367.65</v>
      </c>
      <c r="J2854" s="281">
        <f>++Tabla4[[#This Row],[Precio Bruto]]*1.16</f>
        <v>6226.4739999999993</v>
      </c>
      <c r="K2854" s="281">
        <f>+Tabla4[[#This Row],[Precio Unitario Neto]]*Tabla4[[#Headers],[20.85%]]</f>
        <v>1298.2198289999999</v>
      </c>
      <c r="L2854" s="282">
        <f>++Tabla4[[#This Row],[Precio Unitario Neto]]-Tabla4[[#This Row],[20.85%]]</f>
        <v>4928.2541709999996</v>
      </c>
      <c r="M2854" s="282" t="e">
        <f>(INDEX(Tabla6[#All],MATCH(Tabla4[[#This Row],[Producto]],Tabla6[[#All],[PRODUCTO]],0),MATCH(Tabla4[[#This Row],[Mes]],Tabla6[#Headers],0)))*(1+Catalogos!$L$2)</f>
        <v>#N/A</v>
      </c>
      <c r="N2854" s="283" t="e">
        <f>+(Tabla4[[#This Row],[Precio Descontado]]-Tabla4[[#This Row],[Precio Base]])*Tabla4[[#This Row],[Cantidad]]</f>
        <v>#N/A</v>
      </c>
      <c r="O2854" s="284" t="e">
        <f>++Tabla4[[#This Row],[Utilidad Total]]/Tabla4[[#This Row],[Total]]</f>
        <v>#N/A</v>
      </c>
      <c r="P2854" s="282">
        <f>++Tabla4[[#This Row],[Precio Descontado]]*Tabla4[[#This Row],[Cantidad]]</f>
        <v>9856.5083419999992</v>
      </c>
      <c r="Q2854" s="282" t="e">
        <f>(INDEX(Tabla6[#All],MATCH(Tabla4[[#This Row],[Producto]],Tabla6[[#All],[PRODUCTO]],0),MATCH(Tabla4[[#This Row],[Mes]],Tabla6[#Headers],0)))</f>
        <v>#N/A</v>
      </c>
      <c r="R2854" s="282" t="e">
        <f>++Tabla4[[#This Row],[Precio Unitario Neto]]-Tabla4[[#This Row],[20.85%]]-Tabla4[[#This Row],[Costo]]</f>
        <v>#N/A</v>
      </c>
      <c r="S2854" s="282" t="e">
        <f>++Tabla4[[#This Row],[U. Bruta Uni]]*Tabla4[[#This Row],[Cantidad]]</f>
        <v>#N/A</v>
      </c>
      <c r="T2854" s="369" t="str">
        <f>VLOOKUP(Tabla4[[#This Row],[Producto]],Tabla6[#All],14,FALSE)</f>
        <v>Termico Solar</v>
      </c>
      <c r="U2854" s="284" t="e">
        <f>(IF(Tabla4[[#This Row],[Familia]]="termico solar",Tabla4[[#This Row],[Utilidad Total]]*6%,Tabla4[[#This Row],[Utilidad Total]]*11.5%))/Tabla4[[#This Row],[Total]]</f>
        <v>#N/A</v>
      </c>
      <c r="V2854" s="282" t="e">
        <f>+Tabla4[[#This Row],[Comisión Calculada]]*Tabla4[[#This Row],[Total]]</f>
        <v>#N/A</v>
      </c>
    </row>
    <row r="2855" spans="1:22" hidden="1" x14ac:dyDescent="0.25">
      <c r="A2855" s="100">
        <v>45792</v>
      </c>
      <c r="B2855" t="str">
        <f t="shared" si="136"/>
        <v>May</v>
      </c>
      <c r="C2855" s="46" t="s">
        <v>280</v>
      </c>
      <c r="F2855" s="366" t="s">
        <v>1823</v>
      </c>
      <c r="G2855" s="46" t="s">
        <v>16</v>
      </c>
      <c r="H2855" s="46">
        <v>1</v>
      </c>
      <c r="I2855" s="51">
        <v>4103.8500000000004</v>
      </c>
      <c r="J2855" s="281">
        <f>++Tabla4[[#This Row],[Precio Bruto]]*1.16</f>
        <v>4760.4660000000003</v>
      </c>
      <c r="K2855" s="281">
        <f>+Tabla4[[#This Row],[Precio Unitario Neto]]*Tabla4[[#Headers],[20.85%]]</f>
        <v>992.55716100000006</v>
      </c>
      <c r="L2855" s="282">
        <f>++Tabla4[[#This Row],[Precio Unitario Neto]]-Tabla4[[#This Row],[20.85%]]</f>
        <v>3767.9088390000002</v>
      </c>
      <c r="M2855" s="282" t="e">
        <f>(INDEX(Tabla6[#All],MATCH(Tabla4[[#This Row],[Producto]],Tabla6[[#All],[PRODUCTO]],0),MATCH(Tabla4[[#This Row],[Mes]],Tabla6[#Headers],0)))*(1+Catalogos!$L$2)</f>
        <v>#N/A</v>
      </c>
      <c r="N2855" s="283" t="e">
        <f>+(Tabla4[[#This Row],[Precio Descontado]]-Tabla4[[#This Row],[Precio Base]])*Tabla4[[#This Row],[Cantidad]]</f>
        <v>#N/A</v>
      </c>
      <c r="O2855" s="284" t="e">
        <f>++Tabla4[[#This Row],[Utilidad Total]]/Tabla4[[#This Row],[Total]]</f>
        <v>#N/A</v>
      </c>
      <c r="P2855" s="282">
        <f>++Tabla4[[#This Row],[Precio Descontado]]*Tabla4[[#This Row],[Cantidad]]</f>
        <v>3767.9088390000002</v>
      </c>
      <c r="Q2855" s="282" t="e">
        <f>(INDEX(Tabla6[#All],MATCH(Tabla4[[#This Row],[Producto]],Tabla6[[#All],[PRODUCTO]],0),MATCH(Tabla4[[#This Row],[Mes]],Tabla6[#Headers],0)))</f>
        <v>#N/A</v>
      </c>
      <c r="R2855" s="282" t="e">
        <f>++Tabla4[[#This Row],[Precio Unitario Neto]]-Tabla4[[#This Row],[20.85%]]-Tabla4[[#This Row],[Costo]]</f>
        <v>#N/A</v>
      </c>
      <c r="S2855" s="282" t="e">
        <f>++Tabla4[[#This Row],[U. Bruta Uni]]*Tabla4[[#This Row],[Cantidad]]</f>
        <v>#N/A</v>
      </c>
      <c r="T2855" s="369" t="str">
        <f>VLOOKUP(Tabla4[[#This Row],[Producto]],Tabla6[#All],14,FALSE)</f>
        <v>Termico Solar</v>
      </c>
      <c r="U2855" s="284" t="e">
        <f>(IF(Tabla4[[#This Row],[Familia]]="termico solar",Tabla4[[#This Row],[Utilidad Total]]*6%,Tabla4[[#This Row],[Utilidad Total]]*11.5%))/Tabla4[[#This Row],[Total]]</f>
        <v>#N/A</v>
      </c>
      <c r="V2855" s="282" t="e">
        <f>+Tabla4[[#This Row],[Comisión Calculada]]*Tabla4[[#This Row],[Total]]</f>
        <v>#N/A</v>
      </c>
    </row>
    <row r="2856" spans="1:22" hidden="1" x14ac:dyDescent="0.25">
      <c r="A2856" s="100">
        <v>45792</v>
      </c>
      <c r="B2856" t="str">
        <f t="shared" si="136"/>
        <v>May</v>
      </c>
      <c r="C2856" s="46" t="s">
        <v>280</v>
      </c>
      <c r="F2856" s="366" t="s">
        <v>1824</v>
      </c>
      <c r="G2856" s="46" t="s">
        <v>83</v>
      </c>
      <c r="H2856" s="46">
        <v>2</v>
      </c>
      <c r="I2856" s="51">
        <v>8858.76</v>
      </c>
      <c r="J2856" s="281">
        <f>++Tabla4[[#This Row],[Precio Bruto]]*1.16</f>
        <v>10276.161599999999</v>
      </c>
      <c r="K2856" s="281">
        <f>+Tabla4[[#This Row],[Precio Unitario Neto]]*Tabla4[[#Headers],[20.85%]]</f>
        <v>2142.5796935999997</v>
      </c>
      <c r="L2856" s="282">
        <f>++Tabla4[[#This Row],[Precio Unitario Neto]]-Tabla4[[#This Row],[20.85%]]</f>
        <v>8133.5819063999998</v>
      </c>
      <c r="M2856" s="282" t="e">
        <f>(INDEX(Tabla6[#All],MATCH(Tabla4[[#This Row],[Producto]],Tabla6[[#All],[PRODUCTO]],0),MATCH(Tabla4[[#This Row],[Mes]],Tabla6[#Headers],0)))*(1+Catalogos!$L$2)</f>
        <v>#N/A</v>
      </c>
      <c r="N2856" s="283" t="e">
        <f>+(Tabla4[[#This Row],[Precio Descontado]]-Tabla4[[#This Row],[Precio Base]])*Tabla4[[#This Row],[Cantidad]]</f>
        <v>#N/A</v>
      </c>
      <c r="O2856" s="284" t="e">
        <f>++Tabla4[[#This Row],[Utilidad Total]]/Tabla4[[#This Row],[Total]]</f>
        <v>#N/A</v>
      </c>
      <c r="P2856" s="282">
        <f>++Tabla4[[#This Row],[Precio Descontado]]*Tabla4[[#This Row],[Cantidad]]</f>
        <v>16267.1638128</v>
      </c>
      <c r="Q2856" s="282" t="e">
        <f>(INDEX(Tabla6[#All],MATCH(Tabla4[[#This Row],[Producto]],Tabla6[[#All],[PRODUCTO]],0),MATCH(Tabla4[[#This Row],[Mes]],Tabla6[#Headers],0)))</f>
        <v>#N/A</v>
      </c>
      <c r="R2856" s="282" t="e">
        <f>++Tabla4[[#This Row],[Precio Unitario Neto]]-Tabla4[[#This Row],[20.85%]]-Tabla4[[#This Row],[Costo]]</f>
        <v>#N/A</v>
      </c>
      <c r="S2856" s="282" t="e">
        <f>++Tabla4[[#This Row],[U. Bruta Uni]]*Tabla4[[#This Row],[Cantidad]]</f>
        <v>#N/A</v>
      </c>
      <c r="T2856" s="369" t="str">
        <f>VLOOKUP(Tabla4[[#This Row],[Producto]],Tabla6[#All],14,FALSE)</f>
        <v>Termico Solar</v>
      </c>
      <c r="U2856" s="284" t="e">
        <f>(IF(Tabla4[[#This Row],[Familia]]="termico solar",Tabla4[[#This Row],[Utilidad Total]]*6%,Tabla4[[#This Row],[Utilidad Total]]*11.5%))/Tabla4[[#This Row],[Total]]</f>
        <v>#N/A</v>
      </c>
      <c r="V2856" s="282" t="e">
        <f>+Tabla4[[#This Row],[Comisión Calculada]]*Tabla4[[#This Row],[Total]]</f>
        <v>#N/A</v>
      </c>
    </row>
    <row r="2857" spans="1:22" hidden="1" x14ac:dyDescent="0.25">
      <c r="A2857" s="100">
        <v>45792</v>
      </c>
      <c r="B2857" t="str">
        <f t="shared" si="136"/>
        <v>May</v>
      </c>
      <c r="C2857" s="46" t="s">
        <v>280</v>
      </c>
      <c r="F2857" s="366" t="s">
        <v>1824</v>
      </c>
      <c r="G2857" s="46" t="s">
        <v>16</v>
      </c>
      <c r="H2857" s="46">
        <v>1</v>
      </c>
      <c r="I2857" s="51">
        <v>4103.8500000000004</v>
      </c>
      <c r="J2857" s="281">
        <f>++Tabla4[[#This Row],[Precio Bruto]]*1.16</f>
        <v>4760.4660000000003</v>
      </c>
      <c r="K2857" s="281">
        <f>+Tabla4[[#This Row],[Precio Unitario Neto]]*Tabla4[[#Headers],[20.85%]]</f>
        <v>992.55716100000006</v>
      </c>
      <c r="L2857" s="282">
        <f>++Tabla4[[#This Row],[Precio Unitario Neto]]-Tabla4[[#This Row],[20.85%]]</f>
        <v>3767.9088390000002</v>
      </c>
      <c r="M2857" s="282" t="e">
        <f>(INDEX(Tabla6[#All],MATCH(Tabla4[[#This Row],[Producto]],Tabla6[[#All],[PRODUCTO]],0),MATCH(Tabla4[[#This Row],[Mes]],Tabla6[#Headers],0)))*(1+Catalogos!$L$2)</f>
        <v>#N/A</v>
      </c>
      <c r="N2857" s="283" t="e">
        <f>+(Tabla4[[#This Row],[Precio Descontado]]-Tabla4[[#This Row],[Precio Base]])*Tabla4[[#This Row],[Cantidad]]</f>
        <v>#N/A</v>
      </c>
      <c r="O2857" s="284" t="e">
        <f>++Tabla4[[#This Row],[Utilidad Total]]/Tabla4[[#This Row],[Total]]</f>
        <v>#N/A</v>
      </c>
      <c r="P2857" s="282">
        <f>++Tabla4[[#This Row],[Precio Descontado]]*Tabla4[[#This Row],[Cantidad]]</f>
        <v>3767.9088390000002</v>
      </c>
      <c r="Q2857" s="282" t="e">
        <f>(INDEX(Tabla6[#All],MATCH(Tabla4[[#This Row],[Producto]],Tabla6[[#All],[PRODUCTO]],0),MATCH(Tabla4[[#This Row],[Mes]],Tabla6[#Headers],0)))</f>
        <v>#N/A</v>
      </c>
      <c r="R2857" s="282" t="e">
        <f>++Tabla4[[#This Row],[Precio Unitario Neto]]-Tabla4[[#This Row],[20.85%]]-Tabla4[[#This Row],[Costo]]</f>
        <v>#N/A</v>
      </c>
      <c r="S2857" s="282" t="e">
        <f>++Tabla4[[#This Row],[U. Bruta Uni]]*Tabla4[[#This Row],[Cantidad]]</f>
        <v>#N/A</v>
      </c>
      <c r="T2857" s="369" t="str">
        <f>VLOOKUP(Tabla4[[#This Row],[Producto]],Tabla6[#All],14,FALSE)</f>
        <v>Termico Solar</v>
      </c>
      <c r="U2857" s="284" t="e">
        <f>(IF(Tabla4[[#This Row],[Familia]]="termico solar",Tabla4[[#This Row],[Utilidad Total]]*6%,Tabla4[[#This Row],[Utilidad Total]]*11.5%))/Tabla4[[#This Row],[Total]]</f>
        <v>#N/A</v>
      </c>
      <c r="V2857" s="282" t="e">
        <f>+Tabla4[[#This Row],[Comisión Calculada]]*Tabla4[[#This Row],[Total]]</f>
        <v>#N/A</v>
      </c>
    </row>
    <row r="2858" spans="1:22" hidden="1" x14ac:dyDescent="0.25">
      <c r="A2858" s="100">
        <v>45792</v>
      </c>
      <c r="B2858" t="str">
        <f t="shared" si="136"/>
        <v>May</v>
      </c>
      <c r="C2858" s="46" t="s">
        <v>280</v>
      </c>
      <c r="F2858" s="366" t="s">
        <v>1825</v>
      </c>
      <c r="G2858" s="46" t="s">
        <v>18</v>
      </c>
      <c r="H2858" s="46">
        <v>1</v>
      </c>
      <c r="I2858" s="51">
        <v>5367.65</v>
      </c>
      <c r="J2858" s="281">
        <f>++Tabla4[[#This Row],[Precio Bruto]]*1.16</f>
        <v>6226.4739999999993</v>
      </c>
      <c r="K2858" s="281">
        <f>+Tabla4[[#This Row],[Precio Unitario Neto]]*Tabla4[[#Headers],[20.85%]]</f>
        <v>1298.2198289999999</v>
      </c>
      <c r="L2858" s="282">
        <f>++Tabla4[[#This Row],[Precio Unitario Neto]]-Tabla4[[#This Row],[20.85%]]</f>
        <v>4928.2541709999996</v>
      </c>
      <c r="M2858" s="282" t="e">
        <f>(INDEX(Tabla6[#All],MATCH(Tabla4[[#This Row],[Producto]],Tabla6[[#All],[PRODUCTO]],0),MATCH(Tabla4[[#This Row],[Mes]],Tabla6[#Headers],0)))*(1+Catalogos!$L$2)</f>
        <v>#N/A</v>
      </c>
      <c r="N2858" s="283" t="e">
        <f>+(Tabla4[[#This Row],[Precio Descontado]]-Tabla4[[#This Row],[Precio Base]])*Tabla4[[#This Row],[Cantidad]]</f>
        <v>#N/A</v>
      </c>
      <c r="O2858" s="284" t="e">
        <f>++Tabla4[[#This Row],[Utilidad Total]]/Tabla4[[#This Row],[Total]]</f>
        <v>#N/A</v>
      </c>
      <c r="P2858" s="282">
        <f>++Tabla4[[#This Row],[Precio Descontado]]*Tabla4[[#This Row],[Cantidad]]</f>
        <v>4928.2541709999996</v>
      </c>
      <c r="Q2858" s="282" t="e">
        <f>(INDEX(Tabla6[#All],MATCH(Tabla4[[#This Row],[Producto]],Tabla6[[#All],[PRODUCTO]],0),MATCH(Tabla4[[#This Row],[Mes]],Tabla6[#Headers],0)))</f>
        <v>#N/A</v>
      </c>
      <c r="R2858" s="282" t="e">
        <f>++Tabla4[[#This Row],[Precio Unitario Neto]]-Tabla4[[#This Row],[20.85%]]-Tabla4[[#This Row],[Costo]]</f>
        <v>#N/A</v>
      </c>
      <c r="S2858" s="282" t="e">
        <f>++Tabla4[[#This Row],[U. Bruta Uni]]*Tabla4[[#This Row],[Cantidad]]</f>
        <v>#N/A</v>
      </c>
      <c r="T2858" s="369" t="str">
        <f>VLOOKUP(Tabla4[[#This Row],[Producto]],Tabla6[#All],14,FALSE)</f>
        <v>Termico Solar</v>
      </c>
      <c r="U2858" s="284" t="e">
        <f>(IF(Tabla4[[#This Row],[Familia]]="termico solar",Tabla4[[#This Row],[Utilidad Total]]*6%,Tabla4[[#This Row],[Utilidad Total]]*11.5%))/Tabla4[[#This Row],[Total]]</f>
        <v>#N/A</v>
      </c>
      <c r="V2858" s="282" t="e">
        <f>+Tabla4[[#This Row],[Comisión Calculada]]*Tabla4[[#This Row],[Total]]</f>
        <v>#N/A</v>
      </c>
    </row>
    <row r="2859" spans="1:22" hidden="1" x14ac:dyDescent="0.25">
      <c r="A2859" s="100">
        <v>45792</v>
      </c>
      <c r="B2859" t="str">
        <f t="shared" si="136"/>
        <v>May</v>
      </c>
      <c r="C2859" s="46" t="s">
        <v>280</v>
      </c>
      <c r="F2859" s="366" t="s">
        <v>1825</v>
      </c>
      <c r="G2859" s="46" t="s">
        <v>208</v>
      </c>
      <c r="H2859" s="46">
        <v>3</v>
      </c>
      <c r="I2859" s="51">
        <v>189.75</v>
      </c>
      <c r="J2859" s="281">
        <f>++Tabla4[[#This Row],[Precio Bruto]]*1.16</f>
        <v>220.10999999999999</v>
      </c>
      <c r="K2859" s="281">
        <f>+Tabla4[[#This Row],[Precio Unitario Neto]]*Tabla4[[#Headers],[20.85%]]</f>
        <v>45.892934999999994</v>
      </c>
      <c r="L2859" s="282">
        <f>++Tabla4[[#This Row],[Precio Unitario Neto]]-Tabla4[[#This Row],[20.85%]]</f>
        <v>174.21706499999999</v>
      </c>
      <c r="M2859" s="282" t="e">
        <f>(INDEX(Tabla6[#All],MATCH(Tabla4[[#This Row],[Producto]],Tabla6[[#All],[PRODUCTO]],0),MATCH(Tabla4[[#This Row],[Mes]],Tabla6[#Headers],0)))*(1+Catalogos!$L$2)</f>
        <v>#N/A</v>
      </c>
      <c r="N2859" s="283" t="e">
        <f>+(Tabla4[[#This Row],[Precio Descontado]]-Tabla4[[#This Row],[Precio Base]])*Tabla4[[#This Row],[Cantidad]]</f>
        <v>#N/A</v>
      </c>
      <c r="O2859" s="284" t="e">
        <f>++Tabla4[[#This Row],[Utilidad Total]]/Tabla4[[#This Row],[Total]]</f>
        <v>#N/A</v>
      </c>
      <c r="P2859" s="282">
        <f>++Tabla4[[#This Row],[Precio Descontado]]*Tabla4[[#This Row],[Cantidad]]</f>
        <v>522.65119499999992</v>
      </c>
      <c r="Q2859" s="282" t="e">
        <f>(INDEX(Tabla6[#All],MATCH(Tabla4[[#This Row],[Producto]],Tabla6[[#All],[PRODUCTO]],0),MATCH(Tabla4[[#This Row],[Mes]],Tabla6[#Headers],0)))</f>
        <v>#N/A</v>
      </c>
      <c r="R2859" s="282" t="e">
        <f>++Tabla4[[#This Row],[Precio Unitario Neto]]-Tabla4[[#This Row],[20.85%]]-Tabla4[[#This Row],[Costo]]</f>
        <v>#N/A</v>
      </c>
      <c r="S2859" s="282" t="e">
        <f>++Tabla4[[#This Row],[U. Bruta Uni]]*Tabla4[[#This Row],[Cantidad]]</f>
        <v>#N/A</v>
      </c>
      <c r="T2859" s="369" t="str">
        <f>VLOOKUP(Tabla4[[#This Row],[Producto]],Tabla6[#All],14,FALSE)</f>
        <v>Termico Solar</v>
      </c>
      <c r="U2859" s="284" t="e">
        <f>(IF(Tabla4[[#This Row],[Familia]]="termico solar",Tabla4[[#This Row],[Utilidad Total]]*6%,Tabla4[[#This Row],[Utilidad Total]]*11.5%))/Tabla4[[#This Row],[Total]]</f>
        <v>#N/A</v>
      </c>
      <c r="V2859" s="282" t="e">
        <f>+Tabla4[[#This Row],[Comisión Calculada]]*Tabla4[[#This Row],[Total]]</f>
        <v>#N/A</v>
      </c>
    </row>
    <row r="2860" spans="1:22" hidden="1" x14ac:dyDescent="0.25">
      <c r="A2860" s="100">
        <v>45792</v>
      </c>
      <c r="B2860" t="str">
        <f t="shared" si="136"/>
        <v>May</v>
      </c>
      <c r="C2860" s="46" t="s">
        <v>280</v>
      </c>
      <c r="F2860" s="366" t="s">
        <v>1825</v>
      </c>
      <c r="G2860" s="46" t="s">
        <v>209</v>
      </c>
      <c r="H2860" s="46">
        <v>1</v>
      </c>
      <c r="I2860" s="51">
        <v>347.48</v>
      </c>
      <c r="J2860" s="281">
        <f>++Tabla4[[#This Row],[Precio Bruto]]*1.16</f>
        <v>403.07679999999999</v>
      </c>
      <c r="K2860" s="281">
        <f>+Tabla4[[#This Row],[Precio Unitario Neto]]*Tabla4[[#Headers],[20.85%]]</f>
        <v>84.041512799999992</v>
      </c>
      <c r="L2860" s="282">
        <f>++Tabla4[[#This Row],[Precio Unitario Neto]]-Tabla4[[#This Row],[20.85%]]</f>
        <v>319.03528719999997</v>
      </c>
      <c r="M2860" s="282" t="e">
        <f>(INDEX(Tabla6[#All],MATCH(Tabla4[[#This Row],[Producto]],Tabla6[[#All],[PRODUCTO]],0),MATCH(Tabla4[[#This Row],[Mes]],Tabla6[#Headers],0)))*(1+Catalogos!$L$2)</f>
        <v>#N/A</v>
      </c>
      <c r="N2860" s="283" t="e">
        <f>+(Tabla4[[#This Row],[Precio Descontado]]-Tabla4[[#This Row],[Precio Base]])*Tabla4[[#This Row],[Cantidad]]</f>
        <v>#N/A</v>
      </c>
      <c r="O2860" s="284" t="e">
        <f>++Tabla4[[#This Row],[Utilidad Total]]/Tabla4[[#This Row],[Total]]</f>
        <v>#N/A</v>
      </c>
      <c r="P2860" s="282">
        <f>++Tabla4[[#This Row],[Precio Descontado]]*Tabla4[[#This Row],[Cantidad]]</f>
        <v>319.03528719999997</v>
      </c>
      <c r="Q2860" s="282" t="e">
        <f>(INDEX(Tabla6[#All],MATCH(Tabla4[[#This Row],[Producto]],Tabla6[[#All],[PRODUCTO]],0),MATCH(Tabla4[[#This Row],[Mes]],Tabla6[#Headers],0)))</f>
        <v>#N/A</v>
      </c>
      <c r="R2860" s="282" t="e">
        <f>++Tabla4[[#This Row],[Precio Unitario Neto]]-Tabla4[[#This Row],[20.85%]]-Tabla4[[#This Row],[Costo]]</f>
        <v>#N/A</v>
      </c>
      <c r="S2860" s="282" t="e">
        <f>++Tabla4[[#This Row],[U. Bruta Uni]]*Tabla4[[#This Row],[Cantidad]]</f>
        <v>#N/A</v>
      </c>
      <c r="T2860" s="369" t="str">
        <f>VLOOKUP(Tabla4[[#This Row],[Producto]],Tabla6[#All],14,FALSE)</f>
        <v>Termico Solar</v>
      </c>
      <c r="U2860" s="284" t="e">
        <f>(IF(Tabla4[[#This Row],[Familia]]="termico solar",Tabla4[[#This Row],[Utilidad Total]]*6%,Tabla4[[#This Row],[Utilidad Total]]*11.5%))/Tabla4[[#This Row],[Total]]</f>
        <v>#N/A</v>
      </c>
      <c r="V2860" s="282" t="e">
        <f>+Tabla4[[#This Row],[Comisión Calculada]]*Tabla4[[#This Row],[Total]]</f>
        <v>#N/A</v>
      </c>
    </row>
    <row r="2861" spans="1:22" hidden="1" x14ac:dyDescent="0.25">
      <c r="A2861" s="100">
        <v>45792</v>
      </c>
      <c r="B2861" t="str">
        <f t="shared" si="136"/>
        <v>May</v>
      </c>
      <c r="C2861" s="46" t="s">
        <v>280</v>
      </c>
      <c r="F2861" s="366" t="s">
        <v>1826</v>
      </c>
      <c r="G2861" s="46" t="s">
        <v>208</v>
      </c>
      <c r="H2861" s="46">
        <v>3</v>
      </c>
      <c r="I2861" s="51">
        <v>189.75</v>
      </c>
      <c r="J2861" s="281">
        <f>++Tabla4[[#This Row],[Precio Bruto]]*1.16</f>
        <v>220.10999999999999</v>
      </c>
      <c r="K2861" s="281">
        <f>+Tabla4[[#This Row],[Precio Unitario Neto]]*Tabla4[[#Headers],[20.85%]]</f>
        <v>45.892934999999994</v>
      </c>
      <c r="L2861" s="282">
        <f>++Tabla4[[#This Row],[Precio Unitario Neto]]-Tabla4[[#This Row],[20.85%]]</f>
        <v>174.21706499999999</v>
      </c>
      <c r="M2861" s="282" t="e">
        <f>(INDEX(Tabla6[#All],MATCH(Tabla4[[#This Row],[Producto]],Tabla6[[#All],[PRODUCTO]],0),MATCH(Tabla4[[#This Row],[Mes]],Tabla6[#Headers],0)))*(1+Catalogos!$L$2)</f>
        <v>#N/A</v>
      </c>
      <c r="N2861" s="283" t="e">
        <f>+(Tabla4[[#This Row],[Precio Descontado]]-Tabla4[[#This Row],[Precio Base]])*Tabla4[[#This Row],[Cantidad]]</f>
        <v>#N/A</v>
      </c>
      <c r="O2861" s="284" t="e">
        <f>++Tabla4[[#This Row],[Utilidad Total]]/Tabla4[[#This Row],[Total]]</f>
        <v>#N/A</v>
      </c>
      <c r="P2861" s="282">
        <f>++Tabla4[[#This Row],[Precio Descontado]]*Tabla4[[#This Row],[Cantidad]]</f>
        <v>522.65119499999992</v>
      </c>
      <c r="Q2861" s="282" t="e">
        <f>(INDEX(Tabla6[#All],MATCH(Tabla4[[#This Row],[Producto]],Tabla6[[#All],[PRODUCTO]],0),MATCH(Tabla4[[#This Row],[Mes]],Tabla6[#Headers],0)))</f>
        <v>#N/A</v>
      </c>
      <c r="R2861" s="282" t="e">
        <f>++Tabla4[[#This Row],[Precio Unitario Neto]]-Tabla4[[#This Row],[20.85%]]-Tabla4[[#This Row],[Costo]]</f>
        <v>#N/A</v>
      </c>
      <c r="S2861" s="282" t="e">
        <f>++Tabla4[[#This Row],[U. Bruta Uni]]*Tabla4[[#This Row],[Cantidad]]</f>
        <v>#N/A</v>
      </c>
      <c r="T2861" s="369" t="str">
        <f>VLOOKUP(Tabla4[[#This Row],[Producto]],Tabla6[#All],14,FALSE)</f>
        <v>Termico Solar</v>
      </c>
      <c r="U2861" s="284" t="e">
        <f>(IF(Tabla4[[#This Row],[Familia]]="termico solar",Tabla4[[#This Row],[Utilidad Total]]*6%,Tabla4[[#This Row],[Utilidad Total]]*11.5%))/Tabla4[[#This Row],[Total]]</f>
        <v>#N/A</v>
      </c>
      <c r="V2861" s="282" t="e">
        <f>+Tabla4[[#This Row],[Comisión Calculada]]*Tabla4[[#This Row],[Total]]</f>
        <v>#N/A</v>
      </c>
    </row>
    <row r="2862" spans="1:22" hidden="1" x14ac:dyDescent="0.25">
      <c r="A2862" s="100">
        <v>45792</v>
      </c>
      <c r="B2862" t="str">
        <f t="shared" si="136"/>
        <v>May</v>
      </c>
      <c r="C2862" s="46" t="s">
        <v>280</v>
      </c>
      <c r="F2862" s="366" t="s">
        <v>1826</v>
      </c>
      <c r="G2862" s="46" t="s">
        <v>209</v>
      </c>
      <c r="H2862" s="46">
        <v>1</v>
      </c>
      <c r="I2862" s="51">
        <v>347.48</v>
      </c>
      <c r="J2862" s="281">
        <f>++Tabla4[[#This Row],[Precio Bruto]]*1.16</f>
        <v>403.07679999999999</v>
      </c>
      <c r="K2862" s="281">
        <f>+Tabla4[[#This Row],[Precio Unitario Neto]]*Tabla4[[#Headers],[20.85%]]</f>
        <v>84.041512799999992</v>
      </c>
      <c r="L2862" s="282">
        <f>++Tabla4[[#This Row],[Precio Unitario Neto]]-Tabla4[[#This Row],[20.85%]]</f>
        <v>319.03528719999997</v>
      </c>
      <c r="M2862" s="282" t="e">
        <f>(INDEX(Tabla6[#All],MATCH(Tabla4[[#This Row],[Producto]],Tabla6[[#All],[PRODUCTO]],0),MATCH(Tabla4[[#This Row],[Mes]],Tabla6[#Headers],0)))*(1+Catalogos!$L$2)</f>
        <v>#N/A</v>
      </c>
      <c r="N2862" s="283" t="e">
        <f>+(Tabla4[[#This Row],[Precio Descontado]]-Tabla4[[#This Row],[Precio Base]])*Tabla4[[#This Row],[Cantidad]]</f>
        <v>#N/A</v>
      </c>
      <c r="O2862" s="284" t="e">
        <f>++Tabla4[[#This Row],[Utilidad Total]]/Tabla4[[#This Row],[Total]]</f>
        <v>#N/A</v>
      </c>
      <c r="P2862" s="282">
        <f>++Tabla4[[#This Row],[Precio Descontado]]*Tabla4[[#This Row],[Cantidad]]</f>
        <v>319.03528719999997</v>
      </c>
      <c r="Q2862" s="282" t="e">
        <f>(INDEX(Tabla6[#All],MATCH(Tabla4[[#This Row],[Producto]],Tabla6[[#All],[PRODUCTO]],0),MATCH(Tabla4[[#This Row],[Mes]],Tabla6[#Headers],0)))</f>
        <v>#N/A</v>
      </c>
      <c r="R2862" s="282" t="e">
        <f>++Tabla4[[#This Row],[Precio Unitario Neto]]-Tabla4[[#This Row],[20.85%]]-Tabla4[[#This Row],[Costo]]</f>
        <v>#N/A</v>
      </c>
      <c r="S2862" s="282" t="e">
        <f>++Tabla4[[#This Row],[U. Bruta Uni]]*Tabla4[[#This Row],[Cantidad]]</f>
        <v>#N/A</v>
      </c>
      <c r="T2862" s="369" t="str">
        <f>VLOOKUP(Tabla4[[#This Row],[Producto]],Tabla6[#All],14,FALSE)</f>
        <v>Termico Solar</v>
      </c>
      <c r="U2862" s="284" t="e">
        <f>(IF(Tabla4[[#This Row],[Familia]]="termico solar",Tabla4[[#This Row],[Utilidad Total]]*6%,Tabla4[[#This Row],[Utilidad Total]]*11.5%))/Tabla4[[#This Row],[Total]]</f>
        <v>#N/A</v>
      </c>
      <c r="V2862" s="282" t="e">
        <f>+Tabla4[[#This Row],[Comisión Calculada]]*Tabla4[[#This Row],[Total]]</f>
        <v>#N/A</v>
      </c>
    </row>
    <row r="2863" spans="1:22" hidden="1" x14ac:dyDescent="0.25">
      <c r="A2863" s="100">
        <v>45792</v>
      </c>
      <c r="B2863" t="str">
        <f t="shared" si="136"/>
        <v>May</v>
      </c>
      <c r="C2863" s="46" t="s">
        <v>280</v>
      </c>
      <c r="F2863" s="366" t="s">
        <v>1827</v>
      </c>
      <c r="G2863" s="46" t="s">
        <v>83</v>
      </c>
      <c r="H2863" s="46">
        <v>1</v>
      </c>
      <c r="I2863" s="51">
        <v>8858.76</v>
      </c>
      <c r="J2863" s="281">
        <f>++Tabla4[[#This Row],[Precio Bruto]]*1.16</f>
        <v>10276.161599999999</v>
      </c>
      <c r="K2863" s="281">
        <f>+Tabla4[[#This Row],[Precio Unitario Neto]]*Tabla4[[#Headers],[20.85%]]</f>
        <v>2142.5796935999997</v>
      </c>
      <c r="L2863" s="282">
        <f>++Tabla4[[#This Row],[Precio Unitario Neto]]-Tabla4[[#This Row],[20.85%]]</f>
        <v>8133.5819063999998</v>
      </c>
      <c r="M2863" s="282" t="e">
        <f>(INDEX(Tabla6[#All],MATCH(Tabla4[[#This Row],[Producto]],Tabla6[[#All],[PRODUCTO]],0),MATCH(Tabla4[[#This Row],[Mes]],Tabla6[#Headers],0)))*(1+Catalogos!$L$2)</f>
        <v>#N/A</v>
      </c>
      <c r="N2863" s="283" t="e">
        <f>+(Tabla4[[#This Row],[Precio Descontado]]-Tabla4[[#This Row],[Precio Base]])*Tabla4[[#This Row],[Cantidad]]</f>
        <v>#N/A</v>
      </c>
      <c r="O2863" s="284" t="e">
        <f>++Tabla4[[#This Row],[Utilidad Total]]/Tabla4[[#This Row],[Total]]</f>
        <v>#N/A</v>
      </c>
      <c r="P2863" s="282">
        <f>++Tabla4[[#This Row],[Precio Descontado]]*Tabla4[[#This Row],[Cantidad]]</f>
        <v>8133.5819063999998</v>
      </c>
      <c r="Q2863" s="282" t="e">
        <f>(INDEX(Tabla6[#All],MATCH(Tabla4[[#This Row],[Producto]],Tabla6[[#All],[PRODUCTO]],0),MATCH(Tabla4[[#This Row],[Mes]],Tabla6[#Headers],0)))</f>
        <v>#N/A</v>
      </c>
      <c r="R2863" s="282" t="e">
        <f>++Tabla4[[#This Row],[Precio Unitario Neto]]-Tabla4[[#This Row],[20.85%]]-Tabla4[[#This Row],[Costo]]</f>
        <v>#N/A</v>
      </c>
      <c r="S2863" s="282" t="e">
        <f>++Tabla4[[#This Row],[U. Bruta Uni]]*Tabla4[[#This Row],[Cantidad]]</f>
        <v>#N/A</v>
      </c>
      <c r="T2863" s="369" t="str">
        <f>VLOOKUP(Tabla4[[#This Row],[Producto]],Tabla6[#All],14,FALSE)</f>
        <v>Termico Solar</v>
      </c>
      <c r="U2863" s="284" t="e">
        <f>(IF(Tabla4[[#This Row],[Familia]]="termico solar",Tabla4[[#This Row],[Utilidad Total]]*6%,Tabla4[[#This Row],[Utilidad Total]]*11.5%))/Tabla4[[#This Row],[Total]]</f>
        <v>#N/A</v>
      </c>
      <c r="V2863" s="282" t="e">
        <f>+Tabla4[[#This Row],[Comisión Calculada]]*Tabla4[[#This Row],[Total]]</f>
        <v>#N/A</v>
      </c>
    </row>
    <row r="2864" spans="1:22" hidden="1" x14ac:dyDescent="0.25">
      <c r="A2864" s="100">
        <v>45792</v>
      </c>
      <c r="B2864" t="str">
        <f t="shared" si="136"/>
        <v>May</v>
      </c>
      <c r="C2864" s="46" t="s">
        <v>280</v>
      </c>
      <c r="F2864" s="366" t="s">
        <v>1827</v>
      </c>
      <c r="G2864" s="46" t="s">
        <v>18</v>
      </c>
      <c r="H2864" s="46">
        <v>2</v>
      </c>
      <c r="I2864" s="51">
        <v>5367.65</v>
      </c>
      <c r="J2864" s="281">
        <f>++Tabla4[[#This Row],[Precio Bruto]]*1.16</f>
        <v>6226.4739999999993</v>
      </c>
      <c r="K2864" s="281">
        <f>+Tabla4[[#This Row],[Precio Unitario Neto]]*Tabla4[[#Headers],[20.85%]]</f>
        <v>1298.2198289999999</v>
      </c>
      <c r="L2864" s="282">
        <f>++Tabla4[[#This Row],[Precio Unitario Neto]]-Tabla4[[#This Row],[20.85%]]</f>
        <v>4928.2541709999996</v>
      </c>
      <c r="M2864" s="282" t="e">
        <f>(INDEX(Tabla6[#All],MATCH(Tabla4[[#This Row],[Producto]],Tabla6[[#All],[PRODUCTO]],0),MATCH(Tabla4[[#This Row],[Mes]],Tabla6[#Headers],0)))*(1+Catalogos!$L$2)</f>
        <v>#N/A</v>
      </c>
      <c r="N2864" s="283" t="e">
        <f>+(Tabla4[[#This Row],[Precio Descontado]]-Tabla4[[#This Row],[Precio Base]])*Tabla4[[#This Row],[Cantidad]]</f>
        <v>#N/A</v>
      </c>
      <c r="O2864" s="284" t="e">
        <f>++Tabla4[[#This Row],[Utilidad Total]]/Tabla4[[#This Row],[Total]]</f>
        <v>#N/A</v>
      </c>
      <c r="P2864" s="282">
        <f>++Tabla4[[#This Row],[Precio Descontado]]*Tabla4[[#This Row],[Cantidad]]</f>
        <v>9856.5083419999992</v>
      </c>
      <c r="Q2864" s="282" t="e">
        <f>(INDEX(Tabla6[#All],MATCH(Tabla4[[#This Row],[Producto]],Tabla6[[#All],[PRODUCTO]],0),MATCH(Tabla4[[#This Row],[Mes]],Tabla6[#Headers],0)))</f>
        <v>#N/A</v>
      </c>
      <c r="R2864" s="282" t="e">
        <f>++Tabla4[[#This Row],[Precio Unitario Neto]]-Tabla4[[#This Row],[20.85%]]-Tabla4[[#This Row],[Costo]]</f>
        <v>#N/A</v>
      </c>
      <c r="S2864" s="282" t="e">
        <f>++Tabla4[[#This Row],[U. Bruta Uni]]*Tabla4[[#This Row],[Cantidad]]</f>
        <v>#N/A</v>
      </c>
      <c r="T2864" s="369" t="str">
        <f>VLOOKUP(Tabla4[[#This Row],[Producto]],Tabla6[#All],14,FALSE)</f>
        <v>Termico Solar</v>
      </c>
      <c r="U2864" s="284" t="e">
        <f>(IF(Tabla4[[#This Row],[Familia]]="termico solar",Tabla4[[#This Row],[Utilidad Total]]*6%,Tabla4[[#This Row],[Utilidad Total]]*11.5%))/Tabla4[[#This Row],[Total]]</f>
        <v>#N/A</v>
      </c>
      <c r="V2864" s="282" t="e">
        <f>+Tabla4[[#This Row],[Comisión Calculada]]*Tabla4[[#This Row],[Total]]</f>
        <v>#N/A</v>
      </c>
    </row>
    <row r="2865" spans="1:22" hidden="1" x14ac:dyDescent="0.25">
      <c r="A2865" s="100">
        <v>45792</v>
      </c>
      <c r="B2865" t="str">
        <f t="shared" si="136"/>
        <v>May</v>
      </c>
      <c r="C2865" s="46" t="s">
        <v>280</v>
      </c>
      <c r="F2865" s="366" t="s">
        <v>1828</v>
      </c>
      <c r="G2865" s="46" t="s">
        <v>83</v>
      </c>
      <c r="H2865" s="46">
        <v>3</v>
      </c>
      <c r="I2865" s="51">
        <v>8858.76</v>
      </c>
      <c r="J2865" s="281">
        <f>++Tabla4[[#This Row],[Precio Bruto]]*1.16</f>
        <v>10276.161599999999</v>
      </c>
      <c r="K2865" s="281">
        <f>+Tabla4[[#This Row],[Precio Unitario Neto]]*Tabla4[[#Headers],[20.85%]]</f>
        <v>2142.5796935999997</v>
      </c>
      <c r="L2865" s="282">
        <f>++Tabla4[[#This Row],[Precio Unitario Neto]]-Tabla4[[#This Row],[20.85%]]</f>
        <v>8133.5819063999998</v>
      </c>
      <c r="M2865" s="282" t="e">
        <f>(INDEX(Tabla6[#All],MATCH(Tabla4[[#This Row],[Producto]],Tabla6[[#All],[PRODUCTO]],0),MATCH(Tabla4[[#This Row],[Mes]],Tabla6[#Headers],0)))*(1+Catalogos!$L$2)</f>
        <v>#N/A</v>
      </c>
      <c r="N2865" s="283" t="e">
        <f>+(Tabla4[[#This Row],[Precio Descontado]]-Tabla4[[#This Row],[Precio Base]])*Tabla4[[#This Row],[Cantidad]]</f>
        <v>#N/A</v>
      </c>
      <c r="O2865" s="284" t="e">
        <f>++Tabla4[[#This Row],[Utilidad Total]]/Tabla4[[#This Row],[Total]]</f>
        <v>#N/A</v>
      </c>
      <c r="P2865" s="282">
        <f>++Tabla4[[#This Row],[Precio Descontado]]*Tabla4[[#This Row],[Cantidad]]</f>
        <v>24400.7457192</v>
      </c>
      <c r="Q2865" s="282" t="e">
        <f>(INDEX(Tabla6[#All],MATCH(Tabla4[[#This Row],[Producto]],Tabla6[[#All],[PRODUCTO]],0),MATCH(Tabla4[[#This Row],[Mes]],Tabla6[#Headers],0)))</f>
        <v>#N/A</v>
      </c>
      <c r="R2865" s="282" t="e">
        <f>++Tabla4[[#This Row],[Precio Unitario Neto]]-Tabla4[[#This Row],[20.85%]]-Tabla4[[#This Row],[Costo]]</f>
        <v>#N/A</v>
      </c>
      <c r="S2865" s="282" t="e">
        <f>++Tabla4[[#This Row],[U. Bruta Uni]]*Tabla4[[#This Row],[Cantidad]]</f>
        <v>#N/A</v>
      </c>
      <c r="T2865" s="369" t="str">
        <f>VLOOKUP(Tabla4[[#This Row],[Producto]],Tabla6[#All],14,FALSE)</f>
        <v>Termico Solar</v>
      </c>
      <c r="U2865" s="284" t="e">
        <f>(IF(Tabla4[[#This Row],[Familia]]="termico solar",Tabla4[[#This Row],[Utilidad Total]]*6%,Tabla4[[#This Row],[Utilidad Total]]*11.5%))/Tabla4[[#This Row],[Total]]</f>
        <v>#N/A</v>
      </c>
      <c r="V2865" s="282" t="e">
        <f>+Tabla4[[#This Row],[Comisión Calculada]]*Tabla4[[#This Row],[Total]]</f>
        <v>#N/A</v>
      </c>
    </row>
    <row r="2866" spans="1:22" hidden="1" x14ac:dyDescent="0.25">
      <c r="A2866" s="100">
        <v>45792</v>
      </c>
      <c r="B2866" t="str">
        <f t="shared" ref="B2866:B2887" si="137">TEXT(A2866, "mmmm")</f>
        <v>May</v>
      </c>
      <c r="C2866" s="46" t="s">
        <v>280</v>
      </c>
      <c r="F2866" s="366" t="s">
        <v>1828</v>
      </c>
      <c r="G2866" s="46" t="s">
        <v>17</v>
      </c>
      <c r="H2866" s="46">
        <v>1</v>
      </c>
      <c r="I2866" s="51">
        <v>4622.28</v>
      </c>
      <c r="J2866" s="281">
        <f>++Tabla4[[#This Row],[Precio Bruto]]*1.16</f>
        <v>5361.8447999999989</v>
      </c>
      <c r="K2866" s="281">
        <f>+Tabla4[[#This Row],[Precio Unitario Neto]]*Tabla4[[#Headers],[20.85%]]</f>
        <v>1117.9446407999997</v>
      </c>
      <c r="L2866" s="282">
        <f>++Tabla4[[#This Row],[Precio Unitario Neto]]-Tabla4[[#This Row],[20.85%]]</f>
        <v>4243.9001591999995</v>
      </c>
      <c r="M2866" s="282" t="e">
        <f>(INDEX(Tabla6[#All],MATCH(Tabla4[[#This Row],[Producto]],Tabla6[[#All],[PRODUCTO]],0),MATCH(Tabla4[[#This Row],[Mes]],Tabla6[#Headers],0)))*(1+Catalogos!$L$2)</f>
        <v>#N/A</v>
      </c>
      <c r="N2866" s="283" t="e">
        <f>+(Tabla4[[#This Row],[Precio Descontado]]-Tabla4[[#This Row],[Precio Base]])*Tabla4[[#This Row],[Cantidad]]</f>
        <v>#N/A</v>
      </c>
      <c r="O2866" s="284" t="e">
        <f>++Tabla4[[#This Row],[Utilidad Total]]/Tabla4[[#This Row],[Total]]</f>
        <v>#N/A</v>
      </c>
      <c r="P2866" s="282">
        <f>++Tabla4[[#This Row],[Precio Descontado]]*Tabla4[[#This Row],[Cantidad]]</f>
        <v>4243.9001591999995</v>
      </c>
      <c r="Q2866" s="282" t="e">
        <f>(INDEX(Tabla6[#All],MATCH(Tabla4[[#This Row],[Producto]],Tabla6[[#All],[PRODUCTO]],0),MATCH(Tabla4[[#This Row],[Mes]],Tabla6[#Headers],0)))</f>
        <v>#N/A</v>
      </c>
      <c r="R2866" s="282" t="e">
        <f>++Tabla4[[#This Row],[Precio Unitario Neto]]-Tabla4[[#This Row],[20.85%]]-Tabla4[[#This Row],[Costo]]</f>
        <v>#N/A</v>
      </c>
      <c r="S2866" s="282" t="e">
        <f>++Tabla4[[#This Row],[U. Bruta Uni]]*Tabla4[[#This Row],[Cantidad]]</f>
        <v>#N/A</v>
      </c>
      <c r="T2866" s="369" t="str">
        <f>VLOOKUP(Tabla4[[#This Row],[Producto]],Tabla6[#All],14,FALSE)</f>
        <v>Termico Solar</v>
      </c>
      <c r="U2866" s="284" t="e">
        <f>(IF(Tabla4[[#This Row],[Familia]]="termico solar",Tabla4[[#This Row],[Utilidad Total]]*6%,Tabla4[[#This Row],[Utilidad Total]]*11.5%))/Tabla4[[#This Row],[Total]]</f>
        <v>#N/A</v>
      </c>
      <c r="V2866" s="282" t="e">
        <f>+Tabla4[[#This Row],[Comisión Calculada]]*Tabla4[[#This Row],[Total]]</f>
        <v>#N/A</v>
      </c>
    </row>
    <row r="2867" spans="1:22" hidden="1" x14ac:dyDescent="0.25">
      <c r="A2867" s="100">
        <v>45792</v>
      </c>
      <c r="B2867" t="str">
        <f t="shared" si="137"/>
        <v>May</v>
      </c>
      <c r="C2867" s="46" t="s">
        <v>280</v>
      </c>
      <c r="F2867" s="366" t="s">
        <v>1828</v>
      </c>
      <c r="G2867" s="46" t="s">
        <v>18</v>
      </c>
      <c r="H2867" s="46">
        <v>1</v>
      </c>
      <c r="I2867" s="51">
        <v>5367.65</v>
      </c>
      <c r="J2867" s="281">
        <f>++Tabla4[[#This Row],[Precio Bruto]]*1.16</f>
        <v>6226.4739999999993</v>
      </c>
      <c r="K2867" s="281">
        <f>+Tabla4[[#This Row],[Precio Unitario Neto]]*Tabla4[[#Headers],[20.85%]]</f>
        <v>1298.2198289999999</v>
      </c>
      <c r="L2867" s="282">
        <f>++Tabla4[[#This Row],[Precio Unitario Neto]]-Tabla4[[#This Row],[20.85%]]</f>
        <v>4928.2541709999996</v>
      </c>
      <c r="M2867" s="282" t="e">
        <f>(INDEX(Tabla6[#All],MATCH(Tabla4[[#This Row],[Producto]],Tabla6[[#All],[PRODUCTO]],0),MATCH(Tabla4[[#This Row],[Mes]],Tabla6[#Headers],0)))*(1+Catalogos!$L$2)</f>
        <v>#N/A</v>
      </c>
      <c r="N2867" s="283" t="e">
        <f>+(Tabla4[[#This Row],[Precio Descontado]]-Tabla4[[#This Row],[Precio Base]])*Tabla4[[#This Row],[Cantidad]]</f>
        <v>#N/A</v>
      </c>
      <c r="O2867" s="284" t="e">
        <f>++Tabla4[[#This Row],[Utilidad Total]]/Tabla4[[#This Row],[Total]]</f>
        <v>#N/A</v>
      </c>
      <c r="P2867" s="282">
        <f>++Tabla4[[#This Row],[Precio Descontado]]*Tabla4[[#This Row],[Cantidad]]</f>
        <v>4928.2541709999996</v>
      </c>
      <c r="Q2867" s="282" t="e">
        <f>(INDEX(Tabla6[#All],MATCH(Tabla4[[#This Row],[Producto]],Tabla6[[#All],[PRODUCTO]],0),MATCH(Tabla4[[#This Row],[Mes]],Tabla6[#Headers],0)))</f>
        <v>#N/A</v>
      </c>
      <c r="R2867" s="282" t="e">
        <f>++Tabla4[[#This Row],[Precio Unitario Neto]]-Tabla4[[#This Row],[20.85%]]-Tabla4[[#This Row],[Costo]]</f>
        <v>#N/A</v>
      </c>
      <c r="S2867" s="282" t="e">
        <f>++Tabla4[[#This Row],[U. Bruta Uni]]*Tabla4[[#This Row],[Cantidad]]</f>
        <v>#N/A</v>
      </c>
      <c r="T2867" s="369" t="str">
        <f>VLOOKUP(Tabla4[[#This Row],[Producto]],Tabla6[#All],14,FALSE)</f>
        <v>Termico Solar</v>
      </c>
      <c r="U2867" s="284" t="e">
        <f>(IF(Tabla4[[#This Row],[Familia]]="termico solar",Tabla4[[#This Row],[Utilidad Total]]*6%,Tabla4[[#This Row],[Utilidad Total]]*11.5%))/Tabla4[[#This Row],[Total]]</f>
        <v>#N/A</v>
      </c>
      <c r="V2867" s="282" t="e">
        <f>+Tabla4[[#This Row],[Comisión Calculada]]*Tabla4[[#This Row],[Total]]</f>
        <v>#N/A</v>
      </c>
    </row>
    <row r="2868" spans="1:22" hidden="1" x14ac:dyDescent="0.25">
      <c r="A2868" s="100">
        <v>45792</v>
      </c>
      <c r="B2868" t="str">
        <f t="shared" si="137"/>
        <v>May</v>
      </c>
      <c r="C2868" s="46" t="s">
        <v>280</v>
      </c>
      <c r="F2868" s="366" t="s">
        <v>1828</v>
      </c>
      <c r="G2868" s="46" t="s">
        <v>566</v>
      </c>
      <c r="H2868" s="46">
        <v>1</v>
      </c>
      <c r="I2868" s="51">
        <v>2109.4499999999998</v>
      </c>
      <c r="J2868" s="281">
        <f>++Tabla4[[#This Row],[Precio Bruto]]*1.16</f>
        <v>2446.9619999999995</v>
      </c>
      <c r="K2868" s="281">
        <f>+Tabla4[[#This Row],[Precio Unitario Neto]]*Tabla4[[#Headers],[20.85%]]</f>
        <v>510.19157699999988</v>
      </c>
      <c r="L2868" s="282">
        <f>++Tabla4[[#This Row],[Precio Unitario Neto]]-Tabla4[[#This Row],[20.85%]]</f>
        <v>1936.7704229999997</v>
      </c>
      <c r="M2868" s="282" t="e">
        <f>(INDEX(Tabla6[#All],MATCH(Tabla4[[#This Row],[Producto]],Tabla6[[#All],[PRODUCTO]],0),MATCH(Tabla4[[#This Row],[Mes]],Tabla6[#Headers],0)))*(1+Catalogos!$L$2)</f>
        <v>#N/A</v>
      </c>
      <c r="N2868" s="283" t="e">
        <f>+(Tabla4[[#This Row],[Precio Descontado]]-Tabla4[[#This Row],[Precio Base]])*Tabla4[[#This Row],[Cantidad]]</f>
        <v>#N/A</v>
      </c>
      <c r="O2868" s="284" t="e">
        <f>++Tabla4[[#This Row],[Utilidad Total]]/Tabla4[[#This Row],[Total]]</f>
        <v>#N/A</v>
      </c>
      <c r="P2868" s="282">
        <f>++Tabla4[[#This Row],[Precio Descontado]]*Tabla4[[#This Row],[Cantidad]]</f>
        <v>1936.7704229999997</v>
      </c>
      <c r="Q2868" s="282" t="e">
        <f>(INDEX(Tabla6[#All],MATCH(Tabla4[[#This Row],[Producto]],Tabla6[[#All],[PRODUCTO]],0),MATCH(Tabla4[[#This Row],[Mes]],Tabla6[#Headers],0)))</f>
        <v>#N/A</v>
      </c>
      <c r="R2868" s="282" t="e">
        <f>++Tabla4[[#This Row],[Precio Unitario Neto]]-Tabla4[[#This Row],[20.85%]]-Tabla4[[#This Row],[Costo]]</f>
        <v>#N/A</v>
      </c>
      <c r="S2868" s="282" t="e">
        <f>++Tabla4[[#This Row],[U. Bruta Uni]]*Tabla4[[#This Row],[Cantidad]]</f>
        <v>#N/A</v>
      </c>
      <c r="T2868" s="369" t="str">
        <f>VLOOKUP(Tabla4[[#This Row],[Producto]],Tabla6[#All],14,FALSE)</f>
        <v>Termico Solar</v>
      </c>
      <c r="U2868" s="284" t="e">
        <f>(IF(Tabla4[[#This Row],[Familia]]="termico solar",Tabla4[[#This Row],[Utilidad Total]]*6%,Tabla4[[#This Row],[Utilidad Total]]*11.5%))/Tabla4[[#This Row],[Total]]</f>
        <v>#N/A</v>
      </c>
      <c r="V2868" s="282" t="e">
        <f>+Tabla4[[#This Row],[Comisión Calculada]]*Tabla4[[#This Row],[Total]]</f>
        <v>#N/A</v>
      </c>
    </row>
    <row r="2869" spans="1:22" hidden="1" x14ac:dyDescent="0.25">
      <c r="A2869" s="100">
        <v>45792</v>
      </c>
      <c r="B2869" t="str">
        <f t="shared" si="137"/>
        <v>May</v>
      </c>
      <c r="C2869" s="46" t="s">
        <v>280</v>
      </c>
      <c r="F2869" s="366" t="s">
        <v>1829</v>
      </c>
      <c r="G2869" s="46" t="s">
        <v>83</v>
      </c>
      <c r="H2869" s="46">
        <v>9</v>
      </c>
      <c r="I2869" s="51">
        <v>8858.76</v>
      </c>
      <c r="J2869" s="281">
        <f>++Tabla4[[#This Row],[Precio Bruto]]*1.16</f>
        <v>10276.161599999999</v>
      </c>
      <c r="K2869" s="281">
        <f>+Tabla4[[#This Row],[Precio Unitario Neto]]*Tabla4[[#Headers],[20.85%]]</f>
        <v>2142.5796935999997</v>
      </c>
      <c r="L2869" s="282">
        <f>++Tabla4[[#This Row],[Precio Unitario Neto]]-Tabla4[[#This Row],[20.85%]]</f>
        <v>8133.5819063999998</v>
      </c>
      <c r="M2869" s="282" t="e">
        <f>(INDEX(Tabla6[#All],MATCH(Tabla4[[#This Row],[Producto]],Tabla6[[#All],[PRODUCTO]],0),MATCH(Tabla4[[#This Row],[Mes]],Tabla6[#Headers],0)))*(1+Catalogos!$L$2)</f>
        <v>#N/A</v>
      </c>
      <c r="N2869" s="283" t="e">
        <f>+(Tabla4[[#This Row],[Precio Descontado]]-Tabla4[[#This Row],[Precio Base]])*Tabla4[[#This Row],[Cantidad]]</f>
        <v>#N/A</v>
      </c>
      <c r="O2869" s="284" t="e">
        <f>++Tabla4[[#This Row],[Utilidad Total]]/Tabla4[[#This Row],[Total]]</f>
        <v>#N/A</v>
      </c>
      <c r="P2869" s="282">
        <f>++Tabla4[[#This Row],[Precio Descontado]]*Tabla4[[#This Row],[Cantidad]]</f>
        <v>73202.237157600001</v>
      </c>
      <c r="Q2869" s="282" t="e">
        <f>(INDEX(Tabla6[#All],MATCH(Tabla4[[#This Row],[Producto]],Tabla6[[#All],[PRODUCTO]],0),MATCH(Tabla4[[#This Row],[Mes]],Tabla6[#Headers],0)))</f>
        <v>#N/A</v>
      </c>
      <c r="R2869" s="282" t="e">
        <f>++Tabla4[[#This Row],[Precio Unitario Neto]]-Tabla4[[#This Row],[20.85%]]-Tabla4[[#This Row],[Costo]]</f>
        <v>#N/A</v>
      </c>
      <c r="S2869" s="282" t="e">
        <f>++Tabla4[[#This Row],[U. Bruta Uni]]*Tabla4[[#This Row],[Cantidad]]</f>
        <v>#N/A</v>
      </c>
      <c r="T2869" s="369" t="str">
        <f>VLOOKUP(Tabla4[[#This Row],[Producto]],Tabla6[#All],14,FALSE)</f>
        <v>Termico Solar</v>
      </c>
      <c r="U2869" s="284" t="e">
        <f>(IF(Tabla4[[#This Row],[Familia]]="termico solar",Tabla4[[#This Row],[Utilidad Total]]*6%,Tabla4[[#This Row],[Utilidad Total]]*11.5%))/Tabla4[[#This Row],[Total]]</f>
        <v>#N/A</v>
      </c>
      <c r="V2869" s="282" t="e">
        <f>+Tabla4[[#This Row],[Comisión Calculada]]*Tabla4[[#This Row],[Total]]</f>
        <v>#N/A</v>
      </c>
    </row>
    <row r="2870" spans="1:22" hidden="1" x14ac:dyDescent="0.25">
      <c r="A2870" s="100">
        <v>45792</v>
      </c>
      <c r="B2870" t="str">
        <f t="shared" si="137"/>
        <v>May</v>
      </c>
      <c r="C2870" s="46" t="s">
        <v>280</v>
      </c>
      <c r="F2870" s="366" t="s">
        <v>1829</v>
      </c>
      <c r="G2870" s="46" t="s">
        <v>17</v>
      </c>
      <c r="H2870" s="46">
        <v>31</v>
      </c>
      <c r="I2870" s="51">
        <v>4622.28</v>
      </c>
      <c r="J2870" s="281">
        <f>++Tabla4[[#This Row],[Precio Bruto]]*1.16</f>
        <v>5361.8447999999989</v>
      </c>
      <c r="K2870" s="281">
        <f>+Tabla4[[#This Row],[Precio Unitario Neto]]*Tabla4[[#Headers],[20.85%]]</f>
        <v>1117.9446407999997</v>
      </c>
      <c r="L2870" s="282">
        <f>++Tabla4[[#This Row],[Precio Unitario Neto]]-Tabla4[[#This Row],[20.85%]]</f>
        <v>4243.9001591999995</v>
      </c>
      <c r="M2870" s="282" t="e">
        <f>(INDEX(Tabla6[#All],MATCH(Tabla4[[#This Row],[Producto]],Tabla6[[#All],[PRODUCTO]],0),MATCH(Tabla4[[#This Row],[Mes]],Tabla6[#Headers],0)))*(1+Catalogos!$L$2)</f>
        <v>#N/A</v>
      </c>
      <c r="N2870" s="283" t="e">
        <f>+(Tabla4[[#This Row],[Precio Descontado]]-Tabla4[[#This Row],[Precio Base]])*Tabla4[[#This Row],[Cantidad]]</f>
        <v>#N/A</v>
      </c>
      <c r="O2870" s="284" t="e">
        <f>++Tabla4[[#This Row],[Utilidad Total]]/Tabla4[[#This Row],[Total]]</f>
        <v>#N/A</v>
      </c>
      <c r="P2870" s="282">
        <f>++Tabla4[[#This Row],[Precio Descontado]]*Tabla4[[#This Row],[Cantidad]]</f>
        <v>131560.90493519997</v>
      </c>
      <c r="Q2870" s="282" t="e">
        <f>(INDEX(Tabla6[#All],MATCH(Tabla4[[#This Row],[Producto]],Tabla6[[#All],[PRODUCTO]],0),MATCH(Tabla4[[#This Row],[Mes]],Tabla6[#Headers],0)))</f>
        <v>#N/A</v>
      </c>
      <c r="R2870" s="282" t="e">
        <f>++Tabla4[[#This Row],[Precio Unitario Neto]]-Tabla4[[#This Row],[20.85%]]-Tabla4[[#This Row],[Costo]]</f>
        <v>#N/A</v>
      </c>
      <c r="S2870" s="282" t="e">
        <f>++Tabla4[[#This Row],[U. Bruta Uni]]*Tabla4[[#This Row],[Cantidad]]</f>
        <v>#N/A</v>
      </c>
      <c r="T2870" s="369" t="str">
        <f>VLOOKUP(Tabla4[[#This Row],[Producto]],Tabla6[#All],14,FALSE)</f>
        <v>Termico Solar</v>
      </c>
      <c r="U2870" s="284" t="e">
        <f>(IF(Tabla4[[#This Row],[Familia]]="termico solar",Tabla4[[#This Row],[Utilidad Total]]*6%,Tabla4[[#This Row],[Utilidad Total]]*11.5%))/Tabla4[[#This Row],[Total]]</f>
        <v>#N/A</v>
      </c>
      <c r="V2870" s="282" t="e">
        <f>+Tabla4[[#This Row],[Comisión Calculada]]*Tabla4[[#This Row],[Total]]</f>
        <v>#N/A</v>
      </c>
    </row>
    <row r="2871" spans="1:22" hidden="1" x14ac:dyDescent="0.25">
      <c r="A2871" s="100">
        <v>45792</v>
      </c>
      <c r="B2871" t="str">
        <f t="shared" si="137"/>
        <v>May</v>
      </c>
      <c r="C2871" s="46" t="s">
        <v>280</v>
      </c>
      <c r="F2871" s="366" t="s">
        <v>1829</v>
      </c>
      <c r="G2871" s="46" t="s">
        <v>18</v>
      </c>
      <c r="H2871" s="46">
        <v>21</v>
      </c>
      <c r="I2871" s="51">
        <v>5367.65</v>
      </c>
      <c r="J2871" s="281">
        <f>++Tabla4[[#This Row],[Precio Bruto]]*1.16</f>
        <v>6226.4739999999993</v>
      </c>
      <c r="K2871" s="281">
        <f>+Tabla4[[#This Row],[Precio Unitario Neto]]*Tabla4[[#Headers],[20.85%]]</f>
        <v>1298.2198289999999</v>
      </c>
      <c r="L2871" s="282">
        <f>++Tabla4[[#This Row],[Precio Unitario Neto]]-Tabla4[[#This Row],[20.85%]]</f>
        <v>4928.2541709999996</v>
      </c>
      <c r="M2871" s="282" t="e">
        <f>(INDEX(Tabla6[#All],MATCH(Tabla4[[#This Row],[Producto]],Tabla6[[#All],[PRODUCTO]],0),MATCH(Tabla4[[#This Row],[Mes]],Tabla6[#Headers],0)))*(1+Catalogos!$L$2)</f>
        <v>#N/A</v>
      </c>
      <c r="N2871" s="283" t="e">
        <f>+(Tabla4[[#This Row],[Precio Descontado]]-Tabla4[[#This Row],[Precio Base]])*Tabla4[[#This Row],[Cantidad]]</f>
        <v>#N/A</v>
      </c>
      <c r="O2871" s="284" t="e">
        <f>++Tabla4[[#This Row],[Utilidad Total]]/Tabla4[[#This Row],[Total]]</f>
        <v>#N/A</v>
      </c>
      <c r="P2871" s="282">
        <f>++Tabla4[[#This Row],[Precio Descontado]]*Tabla4[[#This Row],[Cantidad]]</f>
        <v>103493.33759099999</v>
      </c>
      <c r="Q2871" s="282" t="e">
        <f>(INDEX(Tabla6[#All],MATCH(Tabla4[[#This Row],[Producto]],Tabla6[[#All],[PRODUCTO]],0),MATCH(Tabla4[[#This Row],[Mes]],Tabla6[#Headers],0)))</f>
        <v>#N/A</v>
      </c>
      <c r="R2871" s="282" t="e">
        <f>++Tabla4[[#This Row],[Precio Unitario Neto]]-Tabla4[[#This Row],[20.85%]]-Tabla4[[#This Row],[Costo]]</f>
        <v>#N/A</v>
      </c>
      <c r="S2871" s="282" t="e">
        <f>++Tabla4[[#This Row],[U. Bruta Uni]]*Tabla4[[#This Row],[Cantidad]]</f>
        <v>#N/A</v>
      </c>
      <c r="T2871" s="369" t="str">
        <f>VLOOKUP(Tabla4[[#This Row],[Producto]],Tabla6[#All],14,FALSE)</f>
        <v>Termico Solar</v>
      </c>
      <c r="U2871" s="284" t="e">
        <f>(IF(Tabla4[[#This Row],[Familia]]="termico solar",Tabla4[[#This Row],[Utilidad Total]]*6%,Tabla4[[#This Row],[Utilidad Total]]*11.5%))/Tabla4[[#This Row],[Total]]</f>
        <v>#N/A</v>
      </c>
      <c r="V2871" s="282" t="e">
        <f>+Tabla4[[#This Row],[Comisión Calculada]]*Tabla4[[#This Row],[Total]]</f>
        <v>#N/A</v>
      </c>
    </row>
    <row r="2872" spans="1:22" hidden="1" x14ac:dyDescent="0.25">
      <c r="A2872" s="100">
        <v>45792</v>
      </c>
      <c r="B2872" t="str">
        <f t="shared" si="137"/>
        <v>May</v>
      </c>
      <c r="C2872" s="46" t="s">
        <v>280</v>
      </c>
      <c r="F2872" s="366" t="s">
        <v>1829</v>
      </c>
      <c r="G2872" s="46" t="s">
        <v>16</v>
      </c>
      <c r="H2872" s="46">
        <v>15</v>
      </c>
      <c r="I2872" s="51">
        <v>4103.8500000000004</v>
      </c>
      <c r="J2872" s="281">
        <f>++Tabla4[[#This Row],[Precio Bruto]]*1.16</f>
        <v>4760.4660000000003</v>
      </c>
      <c r="K2872" s="281">
        <f>+Tabla4[[#This Row],[Precio Unitario Neto]]*Tabla4[[#Headers],[20.85%]]</f>
        <v>992.55716100000006</v>
      </c>
      <c r="L2872" s="282">
        <f>++Tabla4[[#This Row],[Precio Unitario Neto]]-Tabla4[[#This Row],[20.85%]]</f>
        <v>3767.9088390000002</v>
      </c>
      <c r="M2872" s="282" t="e">
        <f>(INDEX(Tabla6[#All],MATCH(Tabla4[[#This Row],[Producto]],Tabla6[[#All],[PRODUCTO]],0),MATCH(Tabla4[[#This Row],[Mes]],Tabla6[#Headers],0)))*(1+Catalogos!$L$2)</f>
        <v>#N/A</v>
      </c>
      <c r="N2872" s="283" t="e">
        <f>+(Tabla4[[#This Row],[Precio Descontado]]-Tabla4[[#This Row],[Precio Base]])*Tabla4[[#This Row],[Cantidad]]</f>
        <v>#N/A</v>
      </c>
      <c r="O2872" s="284" t="e">
        <f>++Tabla4[[#This Row],[Utilidad Total]]/Tabla4[[#This Row],[Total]]</f>
        <v>#N/A</v>
      </c>
      <c r="P2872" s="282">
        <f>++Tabla4[[#This Row],[Precio Descontado]]*Tabla4[[#This Row],[Cantidad]]</f>
        <v>56518.632584999999</v>
      </c>
      <c r="Q2872" s="282" t="e">
        <f>(INDEX(Tabla6[#All],MATCH(Tabla4[[#This Row],[Producto]],Tabla6[[#All],[PRODUCTO]],0),MATCH(Tabla4[[#This Row],[Mes]],Tabla6[#Headers],0)))</f>
        <v>#N/A</v>
      </c>
      <c r="R2872" s="282" t="e">
        <f>++Tabla4[[#This Row],[Precio Unitario Neto]]-Tabla4[[#This Row],[20.85%]]-Tabla4[[#This Row],[Costo]]</f>
        <v>#N/A</v>
      </c>
      <c r="S2872" s="282" t="e">
        <f>++Tabla4[[#This Row],[U. Bruta Uni]]*Tabla4[[#This Row],[Cantidad]]</f>
        <v>#N/A</v>
      </c>
      <c r="T2872" s="369" t="str">
        <f>VLOOKUP(Tabla4[[#This Row],[Producto]],Tabla6[#All],14,FALSE)</f>
        <v>Termico Solar</v>
      </c>
      <c r="U2872" s="284" t="e">
        <f>(IF(Tabla4[[#This Row],[Familia]]="termico solar",Tabla4[[#This Row],[Utilidad Total]]*6%,Tabla4[[#This Row],[Utilidad Total]]*11.5%))/Tabla4[[#This Row],[Total]]</f>
        <v>#N/A</v>
      </c>
      <c r="V2872" s="282" t="e">
        <f>+Tabla4[[#This Row],[Comisión Calculada]]*Tabla4[[#This Row],[Total]]</f>
        <v>#N/A</v>
      </c>
    </row>
    <row r="2873" spans="1:22" hidden="1" x14ac:dyDescent="0.25">
      <c r="A2873" s="100">
        <v>45792</v>
      </c>
      <c r="B2873" t="str">
        <f t="shared" si="137"/>
        <v>May</v>
      </c>
      <c r="C2873" s="46" t="s">
        <v>280</v>
      </c>
      <c r="F2873" s="366" t="s">
        <v>1830</v>
      </c>
      <c r="G2873" s="46" t="s">
        <v>16</v>
      </c>
      <c r="H2873" s="46">
        <v>1</v>
      </c>
      <c r="I2873" s="51">
        <v>4103.8500000000004</v>
      </c>
      <c r="J2873" s="281">
        <f>++Tabla4[[#This Row],[Precio Bruto]]*1.16</f>
        <v>4760.4660000000003</v>
      </c>
      <c r="K2873" s="281">
        <f>+Tabla4[[#This Row],[Precio Unitario Neto]]*Tabla4[[#Headers],[20.85%]]</f>
        <v>992.55716100000006</v>
      </c>
      <c r="L2873" s="282">
        <f>++Tabla4[[#This Row],[Precio Unitario Neto]]-Tabla4[[#This Row],[20.85%]]</f>
        <v>3767.9088390000002</v>
      </c>
      <c r="M2873" s="282" t="e">
        <f>(INDEX(Tabla6[#All],MATCH(Tabla4[[#This Row],[Producto]],Tabla6[[#All],[PRODUCTO]],0),MATCH(Tabla4[[#This Row],[Mes]],Tabla6[#Headers],0)))*(1+Catalogos!$L$2)</f>
        <v>#N/A</v>
      </c>
      <c r="N2873" s="283" t="e">
        <f>+(Tabla4[[#This Row],[Precio Descontado]]-Tabla4[[#This Row],[Precio Base]])*Tabla4[[#This Row],[Cantidad]]</f>
        <v>#N/A</v>
      </c>
      <c r="O2873" s="284" t="e">
        <f>++Tabla4[[#This Row],[Utilidad Total]]/Tabla4[[#This Row],[Total]]</f>
        <v>#N/A</v>
      </c>
      <c r="P2873" s="282">
        <f>++Tabla4[[#This Row],[Precio Descontado]]*Tabla4[[#This Row],[Cantidad]]</f>
        <v>3767.9088390000002</v>
      </c>
      <c r="Q2873" s="282" t="e">
        <f>(INDEX(Tabla6[#All],MATCH(Tabla4[[#This Row],[Producto]],Tabla6[[#All],[PRODUCTO]],0),MATCH(Tabla4[[#This Row],[Mes]],Tabla6[#Headers],0)))</f>
        <v>#N/A</v>
      </c>
      <c r="R2873" s="282" t="e">
        <f>++Tabla4[[#This Row],[Precio Unitario Neto]]-Tabla4[[#This Row],[20.85%]]-Tabla4[[#This Row],[Costo]]</f>
        <v>#N/A</v>
      </c>
      <c r="S2873" s="282" t="e">
        <f>++Tabla4[[#This Row],[U. Bruta Uni]]*Tabla4[[#This Row],[Cantidad]]</f>
        <v>#N/A</v>
      </c>
      <c r="T2873" s="369" t="str">
        <f>VLOOKUP(Tabla4[[#This Row],[Producto]],Tabla6[#All],14,FALSE)</f>
        <v>Termico Solar</v>
      </c>
      <c r="U2873" s="284" t="e">
        <f>(IF(Tabla4[[#This Row],[Familia]]="termico solar",Tabla4[[#This Row],[Utilidad Total]]*6%,Tabla4[[#This Row],[Utilidad Total]]*11.5%))/Tabla4[[#This Row],[Total]]</f>
        <v>#N/A</v>
      </c>
      <c r="V2873" s="282" t="e">
        <f>+Tabla4[[#This Row],[Comisión Calculada]]*Tabla4[[#This Row],[Total]]</f>
        <v>#N/A</v>
      </c>
    </row>
    <row r="2874" spans="1:22" hidden="1" x14ac:dyDescent="0.25">
      <c r="A2874" s="100">
        <v>45792</v>
      </c>
      <c r="B2874" t="str">
        <f t="shared" si="137"/>
        <v>May</v>
      </c>
      <c r="C2874" s="46" t="s">
        <v>280</v>
      </c>
      <c r="F2874" s="366" t="s">
        <v>1831</v>
      </c>
      <c r="G2874" s="46" t="s">
        <v>83</v>
      </c>
      <c r="H2874" s="46">
        <v>3</v>
      </c>
      <c r="I2874" s="51">
        <v>8858.76</v>
      </c>
      <c r="J2874" s="281">
        <f>++Tabla4[[#This Row],[Precio Bruto]]*1.16</f>
        <v>10276.161599999999</v>
      </c>
      <c r="K2874" s="281">
        <f>+Tabla4[[#This Row],[Precio Unitario Neto]]*Tabla4[[#Headers],[20.85%]]</f>
        <v>2142.5796935999997</v>
      </c>
      <c r="L2874" s="282">
        <f>++Tabla4[[#This Row],[Precio Unitario Neto]]-Tabla4[[#This Row],[20.85%]]</f>
        <v>8133.5819063999998</v>
      </c>
      <c r="M2874" s="282" t="e">
        <f>(INDEX(Tabla6[#All],MATCH(Tabla4[[#This Row],[Producto]],Tabla6[[#All],[PRODUCTO]],0),MATCH(Tabla4[[#This Row],[Mes]],Tabla6[#Headers],0)))*(1+Catalogos!$L$2)</f>
        <v>#N/A</v>
      </c>
      <c r="N2874" s="283" t="e">
        <f>+(Tabla4[[#This Row],[Precio Descontado]]-Tabla4[[#This Row],[Precio Base]])*Tabla4[[#This Row],[Cantidad]]</f>
        <v>#N/A</v>
      </c>
      <c r="O2874" s="284" t="e">
        <f>++Tabla4[[#This Row],[Utilidad Total]]/Tabla4[[#This Row],[Total]]</f>
        <v>#N/A</v>
      </c>
      <c r="P2874" s="282">
        <f>++Tabla4[[#This Row],[Precio Descontado]]*Tabla4[[#This Row],[Cantidad]]</f>
        <v>24400.7457192</v>
      </c>
      <c r="Q2874" s="282" t="e">
        <f>(INDEX(Tabla6[#All],MATCH(Tabla4[[#This Row],[Producto]],Tabla6[[#All],[PRODUCTO]],0),MATCH(Tabla4[[#This Row],[Mes]],Tabla6[#Headers],0)))</f>
        <v>#N/A</v>
      </c>
      <c r="R2874" s="282" t="e">
        <f>++Tabla4[[#This Row],[Precio Unitario Neto]]-Tabla4[[#This Row],[20.85%]]-Tabla4[[#This Row],[Costo]]</f>
        <v>#N/A</v>
      </c>
      <c r="S2874" s="282" t="e">
        <f>++Tabla4[[#This Row],[U. Bruta Uni]]*Tabla4[[#This Row],[Cantidad]]</f>
        <v>#N/A</v>
      </c>
      <c r="T2874" s="369" t="str">
        <f>VLOOKUP(Tabla4[[#This Row],[Producto]],Tabla6[#All],14,FALSE)</f>
        <v>Termico Solar</v>
      </c>
      <c r="U2874" s="284" t="e">
        <f>(IF(Tabla4[[#This Row],[Familia]]="termico solar",Tabla4[[#This Row],[Utilidad Total]]*6%,Tabla4[[#This Row],[Utilidad Total]]*11.5%))/Tabla4[[#This Row],[Total]]</f>
        <v>#N/A</v>
      </c>
      <c r="V2874" s="282" t="e">
        <f>+Tabla4[[#This Row],[Comisión Calculada]]*Tabla4[[#This Row],[Total]]</f>
        <v>#N/A</v>
      </c>
    </row>
    <row r="2875" spans="1:22" hidden="1" x14ac:dyDescent="0.25">
      <c r="A2875" s="100">
        <v>45792</v>
      </c>
      <c r="B2875" t="str">
        <f t="shared" si="137"/>
        <v>May</v>
      </c>
      <c r="C2875" s="46" t="s">
        <v>280</v>
      </c>
      <c r="F2875" s="366" t="s">
        <v>1831</v>
      </c>
      <c r="G2875" s="46" t="s">
        <v>18</v>
      </c>
      <c r="H2875" s="46">
        <v>1</v>
      </c>
      <c r="I2875" s="51">
        <v>5367.65</v>
      </c>
      <c r="J2875" s="281">
        <f>++Tabla4[[#This Row],[Precio Bruto]]*1.16</f>
        <v>6226.4739999999993</v>
      </c>
      <c r="K2875" s="281">
        <f>+Tabla4[[#This Row],[Precio Unitario Neto]]*Tabla4[[#Headers],[20.85%]]</f>
        <v>1298.2198289999999</v>
      </c>
      <c r="L2875" s="282">
        <f>++Tabla4[[#This Row],[Precio Unitario Neto]]-Tabla4[[#This Row],[20.85%]]</f>
        <v>4928.2541709999996</v>
      </c>
      <c r="M2875" s="282" t="e">
        <f>(INDEX(Tabla6[#All],MATCH(Tabla4[[#This Row],[Producto]],Tabla6[[#All],[PRODUCTO]],0),MATCH(Tabla4[[#This Row],[Mes]],Tabla6[#Headers],0)))*(1+Catalogos!$L$2)</f>
        <v>#N/A</v>
      </c>
      <c r="N2875" s="283" t="e">
        <f>+(Tabla4[[#This Row],[Precio Descontado]]-Tabla4[[#This Row],[Precio Base]])*Tabla4[[#This Row],[Cantidad]]</f>
        <v>#N/A</v>
      </c>
      <c r="O2875" s="284" t="e">
        <f>++Tabla4[[#This Row],[Utilidad Total]]/Tabla4[[#This Row],[Total]]</f>
        <v>#N/A</v>
      </c>
      <c r="P2875" s="282">
        <f>++Tabla4[[#This Row],[Precio Descontado]]*Tabla4[[#This Row],[Cantidad]]</f>
        <v>4928.2541709999996</v>
      </c>
      <c r="Q2875" s="282" t="e">
        <f>(INDEX(Tabla6[#All],MATCH(Tabla4[[#This Row],[Producto]],Tabla6[[#All],[PRODUCTO]],0),MATCH(Tabla4[[#This Row],[Mes]],Tabla6[#Headers],0)))</f>
        <v>#N/A</v>
      </c>
      <c r="R2875" s="282" t="e">
        <f>++Tabla4[[#This Row],[Precio Unitario Neto]]-Tabla4[[#This Row],[20.85%]]-Tabla4[[#This Row],[Costo]]</f>
        <v>#N/A</v>
      </c>
      <c r="S2875" s="282" t="e">
        <f>++Tabla4[[#This Row],[U. Bruta Uni]]*Tabla4[[#This Row],[Cantidad]]</f>
        <v>#N/A</v>
      </c>
      <c r="T2875" s="369" t="str">
        <f>VLOOKUP(Tabla4[[#This Row],[Producto]],Tabla6[#All],14,FALSE)</f>
        <v>Termico Solar</v>
      </c>
      <c r="U2875" s="284" t="e">
        <f>(IF(Tabla4[[#This Row],[Familia]]="termico solar",Tabla4[[#This Row],[Utilidad Total]]*6%,Tabla4[[#This Row],[Utilidad Total]]*11.5%))/Tabla4[[#This Row],[Total]]</f>
        <v>#N/A</v>
      </c>
      <c r="V2875" s="282" t="e">
        <f>+Tabla4[[#This Row],[Comisión Calculada]]*Tabla4[[#This Row],[Total]]</f>
        <v>#N/A</v>
      </c>
    </row>
    <row r="2876" spans="1:22" hidden="1" x14ac:dyDescent="0.25">
      <c r="A2876" s="100">
        <v>45792</v>
      </c>
      <c r="B2876" t="str">
        <f t="shared" si="137"/>
        <v>May</v>
      </c>
      <c r="C2876" s="46" t="s">
        <v>280</v>
      </c>
      <c r="F2876" s="366" t="s">
        <v>1831</v>
      </c>
      <c r="G2876" s="46" t="s">
        <v>566</v>
      </c>
      <c r="H2876" s="46">
        <v>1</v>
      </c>
      <c r="I2876" s="51">
        <v>2109.4499999999998</v>
      </c>
      <c r="J2876" s="281">
        <f>++Tabla4[[#This Row],[Precio Bruto]]*1.16</f>
        <v>2446.9619999999995</v>
      </c>
      <c r="K2876" s="281">
        <f>+Tabla4[[#This Row],[Precio Unitario Neto]]*Tabla4[[#Headers],[20.85%]]</f>
        <v>510.19157699999988</v>
      </c>
      <c r="L2876" s="282">
        <f>++Tabla4[[#This Row],[Precio Unitario Neto]]-Tabla4[[#This Row],[20.85%]]</f>
        <v>1936.7704229999997</v>
      </c>
      <c r="M2876" s="282" t="e">
        <f>(INDEX(Tabla6[#All],MATCH(Tabla4[[#This Row],[Producto]],Tabla6[[#All],[PRODUCTO]],0),MATCH(Tabla4[[#This Row],[Mes]],Tabla6[#Headers],0)))*(1+Catalogos!$L$2)</f>
        <v>#N/A</v>
      </c>
      <c r="N2876" s="283" t="e">
        <f>+(Tabla4[[#This Row],[Precio Descontado]]-Tabla4[[#This Row],[Precio Base]])*Tabla4[[#This Row],[Cantidad]]</f>
        <v>#N/A</v>
      </c>
      <c r="O2876" s="284" t="e">
        <f>++Tabla4[[#This Row],[Utilidad Total]]/Tabla4[[#This Row],[Total]]</f>
        <v>#N/A</v>
      </c>
      <c r="P2876" s="282">
        <f>++Tabla4[[#This Row],[Precio Descontado]]*Tabla4[[#This Row],[Cantidad]]</f>
        <v>1936.7704229999997</v>
      </c>
      <c r="Q2876" s="282" t="e">
        <f>(INDEX(Tabla6[#All],MATCH(Tabla4[[#This Row],[Producto]],Tabla6[[#All],[PRODUCTO]],0),MATCH(Tabla4[[#This Row],[Mes]],Tabla6[#Headers],0)))</f>
        <v>#N/A</v>
      </c>
      <c r="R2876" s="282" t="e">
        <f>++Tabla4[[#This Row],[Precio Unitario Neto]]-Tabla4[[#This Row],[20.85%]]-Tabla4[[#This Row],[Costo]]</f>
        <v>#N/A</v>
      </c>
      <c r="S2876" s="282" t="e">
        <f>++Tabla4[[#This Row],[U. Bruta Uni]]*Tabla4[[#This Row],[Cantidad]]</f>
        <v>#N/A</v>
      </c>
      <c r="T2876" s="369" t="str">
        <f>VLOOKUP(Tabla4[[#This Row],[Producto]],Tabla6[#All],14,FALSE)</f>
        <v>Termico Solar</v>
      </c>
      <c r="U2876" s="284" t="e">
        <f>(IF(Tabla4[[#This Row],[Familia]]="termico solar",Tabla4[[#This Row],[Utilidad Total]]*6%,Tabla4[[#This Row],[Utilidad Total]]*11.5%))/Tabla4[[#This Row],[Total]]</f>
        <v>#N/A</v>
      </c>
      <c r="V2876" s="282" t="e">
        <f>+Tabla4[[#This Row],[Comisión Calculada]]*Tabla4[[#This Row],[Total]]</f>
        <v>#N/A</v>
      </c>
    </row>
    <row r="2877" spans="1:22" hidden="1" x14ac:dyDescent="0.25">
      <c r="A2877" s="100">
        <v>45792</v>
      </c>
      <c r="B2877" t="str">
        <f t="shared" si="137"/>
        <v>May</v>
      </c>
      <c r="C2877" s="46" t="s">
        <v>280</v>
      </c>
      <c r="F2877" s="366" t="s">
        <v>1832</v>
      </c>
      <c r="G2877" s="46" t="s">
        <v>83</v>
      </c>
      <c r="H2877" s="46">
        <v>2</v>
      </c>
      <c r="I2877" s="51">
        <v>8858.76</v>
      </c>
      <c r="J2877" s="281">
        <f>++Tabla4[[#This Row],[Precio Bruto]]*1.16</f>
        <v>10276.161599999999</v>
      </c>
      <c r="K2877" s="281">
        <f>+Tabla4[[#This Row],[Precio Unitario Neto]]*Tabla4[[#Headers],[20.85%]]</f>
        <v>2142.5796935999997</v>
      </c>
      <c r="L2877" s="282">
        <f>++Tabla4[[#This Row],[Precio Unitario Neto]]-Tabla4[[#This Row],[20.85%]]</f>
        <v>8133.5819063999998</v>
      </c>
      <c r="M2877" s="282" t="e">
        <f>(INDEX(Tabla6[#All],MATCH(Tabla4[[#This Row],[Producto]],Tabla6[[#All],[PRODUCTO]],0),MATCH(Tabla4[[#This Row],[Mes]],Tabla6[#Headers],0)))*(1+Catalogos!$L$2)</f>
        <v>#N/A</v>
      </c>
      <c r="N2877" s="283" t="e">
        <f>+(Tabla4[[#This Row],[Precio Descontado]]-Tabla4[[#This Row],[Precio Base]])*Tabla4[[#This Row],[Cantidad]]</f>
        <v>#N/A</v>
      </c>
      <c r="O2877" s="284" t="e">
        <f>++Tabla4[[#This Row],[Utilidad Total]]/Tabla4[[#This Row],[Total]]</f>
        <v>#N/A</v>
      </c>
      <c r="P2877" s="282">
        <f>++Tabla4[[#This Row],[Precio Descontado]]*Tabla4[[#This Row],[Cantidad]]</f>
        <v>16267.1638128</v>
      </c>
      <c r="Q2877" s="282" t="e">
        <f>(INDEX(Tabla6[#All],MATCH(Tabla4[[#This Row],[Producto]],Tabla6[[#All],[PRODUCTO]],0),MATCH(Tabla4[[#This Row],[Mes]],Tabla6[#Headers],0)))</f>
        <v>#N/A</v>
      </c>
      <c r="R2877" s="282" t="e">
        <f>++Tabla4[[#This Row],[Precio Unitario Neto]]-Tabla4[[#This Row],[20.85%]]-Tabla4[[#This Row],[Costo]]</f>
        <v>#N/A</v>
      </c>
      <c r="S2877" s="282" t="e">
        <f>++Tabla4[[#This Row],[U. Bruta Uni]]*Tabla4[[#This Row],[Cantidad]]</f>
        <v>#N/A</v>
      </c>
      <c r="T2877" s="369" t="str">
        <f>VLOOKUP(Tabla4[[#This Row],[Producto]],Tabla6[#All],14,FALSE)</f>
        <v>Termico Solar</v>
      </c>
      <c r="U2877" s="284" t="e">
        <f>(IF(Tabla4[[#This Row],[Familia]]="termico solar",Tabla4[[#This Row],[Utilidad Total]]*6%,Tabla4[[#This Row],[Utilidad Total]]*11.5%))/Tabla4[[#This Row],[Total]]</f>
        <v>#N/A</v>
      </c>
      <c r="V2877" s="282" t="e">
        <f>+Tabla4[[#This Row],[Comisión Calculada]]*Tabla4[[#This Row],[Total]]</f>
        <v>#N/A</v>
      </c>
    </row>
    <row r="2878" spans="1:22" hidden="1" x14ac:dyDescent="0.25">
      <c r="A2878" s="100">
        <v>45792</v>
      </c>
      <c r="B2878" t="str">
        <f t="shared" si="137"/>
        <v>May</v>
      </c>
      <c r="C2878" s="46" t="s">
        <v>280</v>
      </c>
      <c r="F2878" s="366" t="s">
        <v>1832</v>
      </c>
      <c r="G2878" s="46" t="s">
        <v>17</v>
      </c>
      <c r="H2878" s="46">
        <v>3</v>
      </c>
      <c r="I2878" s="51">
        <v>4622.28</v>
      </c>
      <c r="J2878" s="281">
        <f>++Tabla4[[#This Row],[Precio Bruto]]*1.16</f>
        <v>5361.8447999999989</v>
      </c>
      <c r="K2878" s="281">
        <f>+Tabla4[[#This Row],[Precio Unitario Neto]]*Tabla4[[#Headers],[20.85%]]</f>
        <v>1117.9446407999997</v>
      </c>
      <c r="L2878" s="282">
        <f>++Tabla4[[#This Row],[Precio Unitario Neto]]-Tabla4[[#This Row],[20.85%]]</f>
        <v>4243.9001591999995</v>
      </c>
      <c r="M2878" s="282" t="e">
        <f>(INDEX(Tabla6[#All],MATCH(Tabla4[[#This Row],[Producto]],Tabla6[[#All],[PRODUCTO]],0),MATCH(Tabla4[[#This Row],[Mes]],Tabla6[#Headers],0)))*(1+Catalogos!$L$2)</f>
        <v>#N/A</v>
      </c>
      <c r="N2878" s="283" t="e">
        <f>+(Tabla4[[#This Row],[Precio Descontado]]-Tabla4[[#This Row],[Precio Base]])*Tabla4[[#This Row],[Cantidad]]</f>
        <v>#N/A</v>
      </c>
      <c r="O2878" s="284" t="e">
        <f>++Tabla4[[#This Row],[Utilidad Total]]/Tabla4[[#This Row],[Total]]</f>
        <v>#N/A</v>
      </c>
      <c r="P2878" s="282">
        <f>++Tabla4[[#This Row],[Precio Descontado]]*Tabla4[[#This Row],[Cantidad]]</f>
        <v>12731.700477599999</v>
      </c>
      <c r="Q2878" s="282" t="e">
        <f>(INDEX(Tabla6[#All],MATCH(Tabla4[[#This Row],[Producto]],Tabla6[[#All],[PRODUCTO]],0),MATCH(Tabla4[[#This Row],[Mes]],Tabla6[#Headers],0)))</f>
        <v>#N/A</v>
      </c>
      <c r="R2878" s="282" t="e">
        <f>++Tabla4[[#This Row],[Precio Unitario Neto]]-Tabla4[[#This Row],[20.85%]]-Tabla4[[#This Row],[Costo]]</f>
        <v>#N/A</v>
      </c>
      <c r="S2878" s="282" t="e">
        <f>++Tabla4[[#This Row],[U. Bruta Uni]]*Tabla4[[#This Row],[Cantidad]]</f>
        <v>#N/A</v>
      </c>
      <c r="T2878" s="369" t="str">
        <f>VLOOKUP(Tabla4[[#This Row],[Producto]],Tabla6[#All],14,FALSE)</f>
        <v>Termico Solar</v>
      </c>
      <c r="U2878" s="284" t="e">
        <f>(IF(Tabla4[[#This Row],[Familia]]="termico solar",Tabla4[[#This Row],[Utilidad Total]]*6%,Tabla4[[#This Row],[Utilidad Total]]*11.5%))/Tabla4[[#This Row],[Total]]</f>
        <v>#N/A</v>
      </c>
      <c r="V2878" s="282" t="e">
        <f>+Tabla4[[#This Row],[Comisión Calculada]]*Tabla4[[#This Row],[Total]]</f>
        <v>#N/A</v>
      </c>
    </row>
    <row r="2879" spans="1:22" hidden="1" x14ac:dyDescent="0.25">
      <c r="A2879" s="100">
        <v>45792</v>
      </c>
      <c r="B2879" t="str">
        <f t="shared" si="137"/>
        <v>May</v>
      </c>
      <c r="C2879" s="46" t="s">
        <v>280</v>
      </c>
      <c r="F2879" s="366" t="s">
        <v>1832</v>
      </c>
      <c r="G2879" s="46" t="s">
        <v>18</v>
      </c>
      <c r="H2879" s="46">
        <v>1</v>
      </c>
      <c r="I2879" s="51">
        <v>5367.65</v>
      </c>
      <c r="J2879" s="281">
        <f>++Tabla4[[#This Row],[Precio Bruto]]*1.16</f>
        <v>6226.4739999999993</v>
      </c>
      <c r="K2879" s="281">
        <f>+Tabla4[[#This Row],[Precio Unitario Neto]]*Tabla4[[#Headers],[20.85%]]</f>
        <v>1298.2198289999999</v>
      </c>
      <c r="L2879" s="282">
        <f>++Tabla4[[#This Row],[Precio Unitario Neto]]-Tabla4[[#This Row],[20.85%]]</f>
        <v>4928.2541709999996</v>
      </c>
      <c r="M2879" s="282" t="e">
        <f>(INDEX(Tabla6[#All],MATCH(Tabla4[[#This Row],[Producto]],Tabla6[[#All],[PRODUCTO]],0),MATCH(Tabla4[[#This Row],[Mes]],Tabla6[#Headers],0)))*(1+Catalogos!$L$2)</f>
        <v>#N/A</v>
      </c>
      <c r="N2879" s="283" t="e">
        <f>+(Tabla4[[#This Row],[Precio Descontado]]-Tabla4[[#This Row],[Precio Base]])*Tabla4[[#This Row],[Cantidad]]</f>
        <v>#N/A</v>
      </c>
      <c r="O2879" s="284" t="e">
        <f>++Tabla4[[#This Row],[Utilidad Total]]/Tabla4[[#This Row],[Total]]</f>
        <v>#N/A</v>
      </c>
      <c r="P2879" s="282">
        <f>++Tabla4[[#This Row],[Precio Descontado]]*Tabla4[[#This Row],[Cantidad]]</f>
        <v>4928.2541709999996</v>
      </c>
      <c r="Q2879" s="282" t="e">
        <f>(INDEX(Tabla6[#All],MATCH(Tabla4[[#This Row],[Producto]],Tabla6[[#All],[PRODUCTO]],0),MATCH(Tabla4[[#This Row],[Mes]],Tabla6[#Headers],0)))</f>
        <v>#N/A</v>
      </c>
      <c r="R2879" s="282" t="e">
        <f>++Tabla4[[#This Row],[Precio Unitario Neto]]-Tabla4[[#This Row],[20.85%]]-Tabla4[[#This Row],[Costo]]</f>
        <v>#N/A</v>
      </c>
      <c r="S2879" s="282" t="e">
        <f>++Tabla4[[#This Row],[U. Bruta Uni]]*Tabla4[[#This Row],[Cantidad]]</f>
        <v>#N/A</v>
      </c>
      <c r="T2879" s="369" t="str">
        <f>VLOOKUP(Tabla4[[#This Row],[Producto]],Tabla6[#All],14,FALSE)</f>
        <v>Termico Solar</v>
      </c>
      <c r="U2879" s="284" t="e">
        <f>(IF(Tabla4[[#This Row],[Familia]]="termico solar",Tabla4[[#This Row],[Utilidad Total]]*6%,Tabla4[[#This Row],[Utilidad Total]]*11.5%))/Tabla4[[#This Row],[Total]]</f>
        <v>#N/A</v>
      </c>
      <c r="V2879" s="282" t="e">
        <f>+Tabla4[[#This Row],[Comisión Calculada]]*Tabla4[[#This Row],[Total]]</f>
        <v>#N/A</v>
      </c>
    </row>
    <row r="2880" spans="1:22" hidden="1" x14ac:dyDescent="0.25">
      <c r="A2880" s="100">
        <v>45792</v>
      </c>
      <c r="B2880" t="str">
        <f t="shared" si="137"/>
        <v>May</v>
      </c>
      <c r="C2880" s="46" t="s">
        <v>280</v>
      </c>
      <c r="F2880" s="366" t="s">
        <v>1832</v>
      </c>
      <c r="G2880" s="46" t="s">
        <v>16</v>
      </c>
      <c r="H2880" s="46">
        <v>2</v>
      </c>
      <c r="I2880" s="51">
        <v>4103.8500000000004</v>
      </c>
      <c r="J2880" s="281">
        <f>++Tabla4[[#This Row],[Precio Bruto]]*1.16</f>
        <v>4760.4660000000003</v>
      </c>
      <c r="K2880" s="281">
        <f>+Tabla4[[#This Row],[Precio Unitario Neto]]*Tabla4[[#Headers],[20.85%]]</f>
        <v>992.55716100000006</v>
      </c>
      <c r="L2880" s="282">
        <f>++Tabla4[[#This Row],[Precio Unitario Neto]]-Tabla4[[#This Row],[20.85%]]</f>
        <v>3767.9088390000002</v>
      </c>
      <c r="M2880" s="282" t="e">
        <f>(INDEX(Tabla6[#All],MATCH(Tabla4[[#This Row],[Producto]],Tabla6[[#All],[PRODUCTO]],0),MATCH(Tabla4[[#This Row],[Mes]],Tabla6[#Headers],0)))*(1+Catalogos!$L$2)</f>
        <v>#N/A</v>
      </c>
      <c r="N2880" s="283" t="e">
        <f>+(Tabla4[[#This Row],[Precio Descontado]]-Tabla4[[#This Row],[Precio Base]])*Tabla4[[#This Row],[Cantidad]]</f>
        <v>#N/A</v>
      </c>
      <c r="O2880" s="284" t="e">
        <f>++Tabla4[[#This Row],[Utilidad Total]]/Tabla4[[#This Row],[Total]]</f>
        <v>#N/A</v>
      </c>
      <c r="P2880" s="282">
        <f>++Tabla4[[#This Row],[Precio Descontado]]*Tabla4[[#This Row],[Cantidad]]</f>
        <v>7535.8176780000003</v>
      </c>
      <c r="Q2880" s="282" t="e">
        <f>(INDEX(Tabla6[#All],MATCH(Tabla4[[#This Row],[Producto]],Tabla6[[#All],[PRODUCTO]],0),MATCH(Tabla4[[#This Row],[Mes]],Tabla6[#Headers],0)))</f>
        <v>#N/A</v>
      </c>
      <c r="R2880" s="282" t="e">
        <f>++Tabla4[[#This Row],[Precio Unitario Neto]]-Tabla4[[#This Row],[20.85%]]-Tabla4[[#This Row],[Costo]]</f>
        <v>#N/A</v>
      </c>
      <c r="S2880" s="282" t="e">
        <f>++Tabla4[[#This Row],[U. Bruta Uni]]*Tabla4[[#This Row],[Cantidad]]</f>
        <v>#N/A</v>
      </c>
      <c r="T2880" s="369" t="str">
        <f>VLOOKUP(Tabla4[[#This Row],[Producto]],Tabla6[#All],14,FALSE)</f>
        <v>Termico Solar</v>
      </c>
      <c r="U2880" s="284" t="e">
        <f>(IF(Tabla4[[#This Row],[Familia]]="termico solar",Tabla4[[#This Row],[Utilidad Total]]*6%,Tabla4[[#This Row],[Utilidad Total]]*11.5%))/Tabla4[[#This Row],[Total]]</f>
        <v>#N/A</v>
      </c>
      <c r="V2880" s="282" t="e">
        <f>+Tabla4[[#This Row],[Comisión Calculada]]*Tabla4[[#This Row],[Total]]</f>
        <v>#N/A</v>
      </c>
    </row>
    <row r="2881" spans="1:22" hidden="1" x14ac:dyDescent="0.25">
      <c r="A2881" s="100">
        <v>45792</v>
      </c>
      <c r="B2881" t="str">
        <f t="shared" si="137"/>
        <v>May</v>
      </c>
      <c r="C2881" s="46" t="s">
        <v>280</v>
      </c>
      <c r="F2881" s="366" t="s">
        <v>1833</v>
      </c>
      <c r="G2881" s="46" t="s">
        <v>83</v>
      </c>
      <c r="H2881" s="46">
        <v>5</v>
      </c>
      <c r="I2881" s="51">
        <v>8858.76</v>
      </c>
      <c r="J2881" s="281">
        <f>++Tabla4[[#This Row],[Precio Bruto]]*1.16</f>
        <v>10276.161599999999</v>
      </c>
      <c r="K2881" s="281">
        <f>+Tabla4[[#This Row],[Precio Unitario Neto]]*Tabla4[[#Headers],[20.85%]]</f>
        <v>2142.5796935999997</v>
      </c>
      <c r="L2881" s="282">
        <f>++Tabla4[[#This Row],[Precio Unitario Neto]]-Tabla4[[#This Row],[20.85%]]</f>
        <v>8133.5819063999998</v>
      </c>
      <c r="M2881" s="282" t="e">
        <f>(INDEX(Tabla6[#All],MATCH(Tabla4[[#This Row],[Producto]],Tabla6[[#All],[PRODUCTO]],0),MATCH(Tabla4[[#This Row],[Mes]],Tabla6[#Headers],0)))*(1+Catalogos!$L$2)</f>
        <v>#N/A</v>
      </c>
      <c r="N2881" s="283" t="e">
        <f>+(Tabla4[[#This Row],[Precio Descontado]]-Tabla4[[#This Row],[Precio Base]])*Tabla4[[#This Row],[Cantidad]]</f>
        <v>#N/A</v>
      </c>
      <c r="O2881" s="284" t="e">
        <f>++Tabla4[[#This Row],[Utilidad Total]]/Tabla4[[#This Row],[Total]]</f>
        <v>#N/A</v>
      </c>
      <c r="P2881" s="282">
        <f>++Tabla4[[#This Row],[Precio Descontado]]*Tabla4[[#This Row],[Cantidad]]</f>
        <v>40667.909531999998</v>
      </c>
      <c r="Q2881" s="282" t="e">
        <f>(INDEX(Tabla6[#All],MATCH(Tabla4[[#This Row],[Producto]],Tabla6[[#All],[PRODUCTO]],0),MATCH(Tabla4[[#This Row],[Mes]],Tabla6[#Headers],0)))</f>
        <v>#N/A</v>
      </c>
      <c r="R2881" s="282" t="e">
        <f>++Tabla4[[#This Row],[Precio Unitario Neto]]-Tabla4[[#This Row],[20.85%]]-Tabla4[[#This Row],[Costo]]</f>
        <v>#N/A</v>
      </c>
      <c r="S2881" s="282" t="e">
        <f>++Tabla4[[#This Row],[U. Bruta Uni]]*Tabla4[[#This Row],[Cantidad]]</f>
        <v>#N/A</v>
      </c>
      <c r="T2881" s="369" t="str">
        <f>VLOOKUP(Tabla4[[#This Row],[Producto]],Tabla6[#All],14,FALSE)</f>
        <v>Termico Solar</v>
      </c>
      <c r="U2881" s="284" t="e">
        <f>(IF(Tabla4[[#This Row],[Familia]]="termico solar",Tabla4[[#This Row],[Utilidad Total]]*6%,Tabla4[[#This Row],[Utilidad Total]]*11.5%))/Tabla4[[#This Row],[Total]]</f>
        <v>#N/A</v>
      </c>
      <c r="V2881" s="282" t="e">
        <f>+Tabla4[[#This Row],[Comisión Calculada]]*Tabla4[[#This Row],[Total]]</f>
        <v>#N/A</v>
      </c>
    </row>
    <row r="2882" spans="1:22" hidden="1" x14ac:dyDescent="0.25">
      <c r="A2882" s="100">
        <v>45792</v>
      </c>
      <c r="B2882" t="str">
        <f t="shared" si="137"/>
        <v>May</v>
      </c>
      <c r="C2882" s="46" t="s">
        <v>280</v>
      </c>
      <c r="F2882" s="366" t="s">
        <v>1833</v>
      </c>
      <c r="G2882" s="46" t="s">
        <v>18</v>
      </c>
      <c r="H2882" s="46">
        <v>2</v>
      </c>
      <c r="I2882" s="51">
        <v>5367.65</v>
      </c>
      <c r="J2882" s="281">
        <f>++Tabla4[[#This Row],[Precio Bruto]]*1.16</f>
        <v>6226.4739999999993</v>
      </c>
      <c r="K2882" s="281">
        <f>+Tabla4[[#This Row],[Precio Unitario Neto]]*Tabla4[[#Headers],[20.85%]]</f>
        <v>1298.2198289999999</v>
      </c>
      <c r="L2882" s="282">
        <f>++Tabla4[[#This Row],[Precio Unitario Neto]]-Tabla4[[#This Row],[20.85%]]</f>
        <v>4928.2541709999996</v>
      </c>
      <c r="M2882" s="282" t="e">
        <f>(INDEX(Tabla6[#All],MATCH(Tabla4[[#This Row],[Producto]],Tabla6[[#All],[PRODUCTO]],0),MATCH(Tabla4[[#This Row],[Mes]],Tabla6[#Headers],0)))*(1+Catalogos!$L$2)</f>
        <v>#N/A</v>
      </c>
      <c r="N2882" s="283" t="e">
        <f>+(Tabla4[[#This Row],[Precio Descontado]]-Tabla4[[#This Row],[Precio Base]])*Tabla4[[#This Row],[Cantidad]]</f>
        <v>#N/A</v>
      </c>
      <c r="O2882" s="284" t="e">
        <f>++Tabla4[[#This Row],[Utilidad Total]]/Tabla4[[#This Row],[Total]]</f>
        <v>#N/A</v>
      </c>
      <c r="P2882" s="282">
        <f>++Tabla4[[#This Row],[Precio Descontado]]*Tabla4[[#This Row],[Cantidad]]</f>
        <v>9856.5083419999992</v>
      </c>
      <c r="Q2882" s="282" t="e">
        <f>(INDEX(Tabla6[#All],MATCH(Tabla4[[#This Row],[Producto]],Tabla6[[#All],[PRODUCTO]],0),MATCH(Tabla4[[#This Row],[Mes]],Tabla6[#Headers],0)))</f>
        <v>#N/A</v>
      </c>
      <c r="R2882" s="282" t="e">
        <f>++Tabla4[[#This Row],[Precio Unitario Neto]]-Tabla4[[#This Row],[20.85%]]-Tabla4[[#This Row],[Costo]]</f>
        <v>#N/A</v>
      </c>
      <c r="S2882" s="282" t="e">
        <f>++Tabla4[[#This Row],[U. Bruta Uni]]*Tabla4[[#This Row],[Cantidad]]</f>
        <v>#N/A</v>
      </c>
      <c r="T2882" s="369" t="str">
        <f>VLOOKUP(Tabla4[[#This Row],[Producto]],Tabla6[#All],14,FALSE)</f>
        <v>Termico Solar</v>
      </c>
      <c r="U2882" s="284" t="e">
        <f>(IF(Tabla4[[#This Row],[Familia]]="termico solar",Tabla4[[#This Row],[Utilidad Total]]*6%,Tabla4[[#This Row],[Utilidad Total]]*11.5%))/Tabla4[[#This Row],[Total]]</f>
        <v>#N/A</v>
      </c>
      <c r="V2882" s="282" t="e">
        <f>+Tabla4[[#This Row],[Comisión Calculada]]*Tabla4[[#This Row],[Total]]</f>
        <v>#N/A</v>
      </c>
    </row>
    <row r="2883" spans="1:22" hidden="1" x14ac:dyDescent="0.25">
      <c r="A2883" s="100">
        <v>45792</v>
      </c>
      <c r="B2883" t="str">
        <f t="shared" si="137"/>
        <v>May</v>
      </c>
      <c r="C2883" s="46" t="s">
        <v>280</v>
      </c>
      <c r="F2883" s="366" t="s">
        <v>1833</v>
      </c>
      <c r="G2883" s="46" t="s">
        <v>566</v>
      </c>
      <c r="H2883" s="46">
        <v>1</v>
      </c>
      <c r="I2883" s="51">
        <v>2109.4499999999998</v>
      </c>
      <c r="J2883" s="281">
        <f>++Tabla4[[#This Row],[Precio Bruto]]*1.16</f>
        <v>2446.9619999999995</v>
      </c>
      <c r="K2883" s="281">
        <f>+Tabla4[[#This Row],[Precio Unitario Neto]]*Tabla4[[#Headers],[20.85%]]</f>
        <v>510.19157699999988</v>
      </c>
      <c r="L2883" s="282">
        <f>++Tabla4[[#This Row],[Precio Unitario Neto]]-Tabla4[[#This Row],[20.85%]]</f>
        <v>1936.7704229999997</v>
      </c>
      <c r="M2883" s="282" t="e">
        <f>(INDEX(Tabla6[#All],MATCH(Tabla4[[#This Row],[Producto]],Tabla6[[#All],[PRODUCTO]],0),MATCH(Tabla4[[#This Row],[Mes]],Tabla6[#Headers],0)))*(1+Catalogos!$L$2)</f>
        <v>#N/A</v>
      </c>
      <c r="N2883" s="283" t="e">
        <f>+(Tabla4[[#This Row],[Precio Descontado]]-Tabla4[[#This Row],[Precio Base]])*Tabla4[[#This Row],[Cantidad]]</f>
        <v>#N/A</v>
      </c>
      <c r="O2883" s="284" t="e">
        <f>++Tabla4[[#This Row],[Utilidad Total]]/Tabla4[[#This Row],[Total]]</f>
        <v>#N/A</v>
      </c>
      <c r="P2883" s="282">
        <f>++Tabla4[[#This Row],[Precio Descontado]]*Tabla4[[#This Row],[Cantidad]]</f>
        <v>1936.7704229999997</v>
      </c>
      <c r="Q2883" s="282" t="e">
        <f>(INDEX(Tabla6[#All],MATCH(Tabla4[[#This Row],[Producto]],Tabla6[[#All],[PRODUCTO]],0),MATCH(Tabla4[[#This Row],[Mes]],Tabla6[#Headers],0)))</f>
        <v>#N/A</v>
      </c>
      <c r="R2883" s="282" t="e">
        <f>++Tabla4[[#This Row],[Precio Unitario Neto]]-Tabla4[[#This Row],[20.85%]]-Tabla4[[#This Row],[Costo]]</f>
        <v>#N/A</v>
      </c>
      <c r="S2883" s="282" t="e">
        <f>++Tabla4[[#This Row],[U. Bruta Uni]]*Tabla4[[#This Row],[Cantidad]]</f>
        <v>#N/A</v>
      </c>
      <c r="T2883" s="369" t="str">
        <f>VLOOKUP(Tabla4[[#This Row],[Producto]],Tabla6[#All],14,FALSE)</f>
        <v>Termico Solar</v>
      </c>
      <c r="U2883" s="284" t="e">
        <f>(IF(Tabla4[[#This Row],[Familia]]="termico solar",Tabla4[[#This Row],[Utilidad Total]]*6%,Tabla4[[#This Row],[Utilidad Total]]*11.5%))/Tabla4[[#This Row],[Total]]</f>
        <v>#N/A</v>
      </c>
      <c r="V2883" s="282" t="e">
        <f>+Tabla4[[#This Row],[Comisión Calculada]]*Tabla4[[#This Row],[Total]]</f>
        <v>#N/A</v>
      </c>
    </row>
    <row r="2884" spans="1:22" hidden="1" x14ac:dyDescent="0.25">
      <c r="A2884" s="100">
        <v>45792</v>
      </c>
      <c r="B2884" t="str">
        <f t="shared" si="137"/>
        <v>May</v>
      </c>
      <c r="C2884" s="46" t="s">
        <v>280</v>
      </c>
      <c r="F2884" s="366" t="s">
        <v>1834</v>
      </c>
      <c r="G2884" s="46" t="s">
        <v>83</v>
      </c>
      <c r="H2884" s="46">
        <v>4</v>
      </c>
      <c r="I2884" s="51">
        <v>8858.76</v>
      </c>
      <c r="J2884" s="281">
        <f>++Tabla4[[#This Row],[Precio Bruto]]*1.16</f>
        <v>10276.161599999999</v>
      </c>
      <c r="K2884" s="281">
        <f>+Tabla4[[#This Row],[Precio Unitario Neto]]*Tabla4[[#Headers],[20.85%]]</f>
        <v>2142.5796935999997</v>
      </c>
      <c r="L2884" s="282">
        <f>++Tabla4[[#This Row],[Precio Unitario Neto]]-Tabla4[[#This Row],[20.85%]]</f>
        <v>8133.5819063999998</v>
      </c>
      <c r="M2884" s="282" t="e">
        <f>(INDEX(Tabla6[#All],MATCH(Tabla4[[#This Row],[Producto]],Tabla6[[#All],[PRODUCTO]],0),MATCH(Tabla4[[#This Row],[Mes]],Tabla6[#Headers],0)))*(1+Catalogos!$L$2)</f>
        <v>#N/A</v>
      </c>
      <c r="N2884" s="283" t="e">
        <f>+(Tabla4[[#This Row],[Precio Descontado]]-Tabla4[[#This Row],[Precio Base]])*Tabla4[[#This Row],[Cantidad]]</f>
        <v>#N/A</v>
      </c>
      <c r="O2884" s="284" t="e">
        <f>++Tabla4[[#This Row],[Utilidad Total]]/Tabla4[[#This Row],[Total]]</f>
        <v>#N/A</v>
      </c>
      <c r="P2884" s="282">
        <f>++Tabla4[[#This Row],[Precio Descontado]]*Tabla4[[#This Row],[Cantidad]]</f>
        <v>32534.327625599999</v>
      </c>
      <c r="Q2884" s="282" t="e">
        <f>(INDEX(Tabla6[#All],MATCH(Tabla4[[#This Row],[Producto]],Tabla6[[#All],[PRODUCTO]],0),MATCH(Tabla4[[#This Row],[Mes]],Tabla6[#Headers],0)))</f>
        <v>#N/A</v>
      </c>
      <c r="R2884" s="282" t="e">
        <f>++Tabla4[[#This Row],[Precio Unitario Neto]]-Tabla4[[#This Row],[20.85%]]-Tabla4[[#This Row],[Costo]]</f>
        <v>#N/A</v>
      </c>
      <c r="S2884" s="282" t="e">
        <f>++Tabla4[[#This Row],[U. Bruta Uni]]*Tabla4[[#This Row],[Cantidad]]</f>
        <v>#N/A</v>
      </c>
      <c r="T2884" s="369" t="str">
        <f>VLOOKUP(Tabla4[[#This Row],[Producto]],Tabla6[#All],14,FALSE)</f>
        <v>Termico Solar</v>
      </c>
      <c r="U2884" s="284" t="e">
        <f>(IF(Tabla4[[#This Row],[Familia]]="termico solar",Tabla4[[#This Row],[Utilidad Total]]*6%,Tabla4[[#This Row],[Utilidad Total]]*11.5%))/Tabla4[[#This Row],[Total]]</f>
        <v>#N/A</v>
      </c>
      <c r="V2884" s="282" t="e">
        <f>+Tabla4[[#This Row],[Comisión Calculada]]*Tabla4[[#This Row],[Total]]</f>
        <v>#N/A</v>
      </c>
    </row>
    <row r="2885" spans="1:22" hidden="1" x14ac:dyDescent="0.25">
      <c r="A2885" s="100">
        <v>45792</v>
      </c>
      <c r="B2885" t="str">
        <f t="shared" si="137"/>
        <v>May</v>
      </c>
      <c r="C2885" s="46" t="s">
        <v>280</v>
      </c>
      <c r="F2885" s="366" t="s">
        <v>1834</v>
      </c>
      <c r="G2885" s="46" t="s">
        <v>19</v>
      </c>
      <c r="H2885" s="46">
        <v>1</v>
      </c>
      <c r="I2885" s="51">
        <v>6412.03</v>
      </c>
      <c r="J2885" s="281">
        <f>++Tabla4[[#This Row],[Precio Bruto]]*1.16</f>
        <v>7437.9547999999995</v>
      </c>
      <c r="K2885" s="281">
        <f>+Tabla4[[#This Row],[Precio Unitario Neto]]*Tabla4[[#Headers],[20.85%]]</f>
        <v>1550.8135757999999</v>
      </c>
      <c r="L2885" s="282">
        <f>++Tabla4[[#This Row],[Precio Unitario Neto]]-Tabla4[[#This Row],[20.85%]]</f>
        <v>5887.1412241999997</v>
      </c>
      <c r="M2885" s="282" t="e">
        <f>(INDEX(Tabla6[#All],MATCH(Tabla4[[#This Row],[Producto]],Tabla6[[#All],[PRODUCTO]],0),MATCH(Tabla4[[#This Row],[Mes]],Tabla6[#Headers],0)))*(1+Catalogos!$L$2)</f>
        <v>#N/A</v>
      </c>
      <c r="N2885" s="283" t="e">
        <f>+(Tabla4[[#This Row],[Precio Descontado]]-Tabla4[[#This Row],[Precio Base]])*Tabla4[[#This Row],[Cantidad]]</f>
        <v>#N/A</v>
      </c>
      <c r="O2885" s="284" t="e">
        <f>++Tabla4[[#This Row],[Utilidad Total]]/Tabla4[[#This Row],[Total]]</f>
        <v>#N/A</v>
      </c>
      <c r="P2885" s="282">
        <f>++Tabla4[[#This Row],[Precio Descontado]]*Tabla4[[#This Row],[Cantidad]]</f>
        <v>5887.1412241999997</v>
      </c>
      <c r="Q2885" s="282" t="e">
        <f>(INDEX(Tabla6[#All],MATCH(Tabla4[[#This Row],[Producto]],Tabla6[[#All],[PRODUCTO]],0),MATCH(Tabla4[[#This Row],[Mes]],Tabla6[#Headers],0)))</f>
        <v>#N/A</v>
      </c>
      <c r="R2885" s="282" t="e">
        <f>++Tabla4[[#This Row],[Precio Unitario Neto]]-Tabla4[[#This Row],[20.85%]]-Tabla4[[#This Row],[Costo]]</f>
        <v>#N/A</v>
      </c>
      <c r="S2885" s="282" t="e">
        <f>++Tabla4[[#This Row],[U. Bruta Uni]]*Tabla4[[#This Row],[Cantidad]]</f>
        <v>#N/A</v>
      </c>
      <c r="T2885" s="369" t="str">
        <f>VLOOKUP(Tabla4[[#This Row],[Producto]],Tabla6[#All],14,FALSE)</f>
        <v>Termico Solar</v>
      </c>
      <c r="U2885" s="284" t="e">
        <f>(IF(Tabla4[[#This Row],[Familia]]="termico solar",Tabla4[[#This Row],[Utilidad Total]]*6%,Tabla4[[#This Row],[Utilidad Total]]*11.5%))/Tabla4[[#This Row],[Total]]</f>
        <v>#N/A</v>
      </c>
      <c r="V2885" s="282" t="e">
        <f>+Tabla4[[#This Row],[Comisión Calculada]]*Tabla4[[#This Row],[Total]]</f>
        <v>#N/A</v>
      </c>
    </row>
    <row r="2886" spans="1:22" hidden="1" x14ac:dyDescent="0.25">
      <c r="A2886" s="100">
        <v>45792</v>
      </c>
      <c r="B2886" t="str">
        <f t="shared" si="137"/>
        <v>May</v>
      </c>
      <c r="C2886" s="46" t="s">
        <v>280</v>
      </c>
      <c r="F2886" s="366" t="s">
        <v>1834</v>
      </c>
      <c r="G2886" s="46" t="s">
        <v>16</v>
      </c>
      <c r="H2886" s="46">
        <v>1</v>
      </c>
      <c r="I2886" s="51">
        <v>4103.8500000000004</v>
      </c>
      <c r="J2886" s="281">
        <f>++Tabla4[[#This Row],[Precio Bruto]]*1.16</f>
        <v>4760.4660000000003</v>
      </c>
      <c r="K2886" s="281">
        <f>+Tabla4[[#This Row],[Precio Unitario Neto]]*Tabla4[[#Headers],[20.85%]]</f>
        <v>992.55716100000006</v>
      </c>
      <c r="L2886" s="282">
        <f>++Tabla4[[#This Row],[Precio Unitario Neto]]-Tabla4[[#This Row],[20.85%]]</f>
        <v>3767.9088390000002</v>
      </c>
      <c r="M2886" s="282" t="e">
        <f>(INDEX(Tabla6[#All],MATCH(Tabla4[[#This Row],[Producto]],Tabla6[[#All],[PRODUCTO]],0),MATCH(Tabla4[[#This Row],[Mes]],Tabla6[#Headers],0)))*(1+Catalogos!$L$2)</f>
        <v>#N/A</v>
      </c>
      <c r="N2886" s="283" t="e">
        <f>+(Tabla4[[#This Row],[Precio Descontado]]-Tabla4[[#This Row],[Precio Base]])*Tabla4[[#This Row],[Cantidad]]</f>
        <v>#N/A</v>
      </c>
      <c r="O2886" s="284" t="e">
        <f>++Tabla4[[#This Row],[Utilidad Total]]/Tabla4[[#This Row],[Total]]</f>
        <v>#N/A</v>
      </c>
      <c r="P2886" s="282">
        <f>++Tabla4[[#This Row],[Precio Descontado]]*Tabla4[[#This Row],[Cantidad]]</f>
        <v>3767.9088390000002</v>
      </c>
      <c r="Q2886" s="282" t="e">
        <f>(INDEX(Tabla6[#All],MATCH(Tabla4[[#This Row],[Producto]],Tabla6[[#All],[PRODUCTO]],0),MATCH(Tabla4[[#This Row],[Mes]],Tabla6[#Headers],0)))</f>
        <v>#N/A</v>
      </c>
      <c r="R2886" s="282" t="e">
        <f>++Tabla4[[#This Row],[Precio Unitario Neto]]-Tabla4[[#This Row],[20.85%]]-Tabla4[[#This Row],[Costo]]</f>
        <v>#N/A</v>
      </c>
      <c r="S2886" s="282" t="e">
        <f>++Tabla4[[#This Row],[U. Bruta Uni]]*Tabla4[[#This Row],[Cantidad]]</f>
        <v>#N/A</v>
      </c>
      <c r="T2886" s="369" t="str">
        <f>VLOOKUP(Tabla4[[#This Row],[Producto]],Tabla6[#All],14,FALSE)</f>
        <v>Termico Solar</v>
      </c>
      <c r="U2886" s="284" t="e">
        <f>(IF(Tabla4[[#This Row],[Familia]]="termico solar",Tabla4[[#This Row],[Utilidad Total]]*6%,Tabla4[[#This Row],[Utilidad Total]]*11.5%))/Tabla4[[#This Row],[Total]]</f>
        <v>#N/A</v>
      </c>
      <c r="V2886" s="282" t="e">
        <f>+Tabla4[[#This Row],[Comisión Calculada]]*Tabla4[[#This Row],[Total]]</f>
        <v>#N/A</v>
      </c>
    </row>
    <row r="2887" spans="1:22" hidden="1" x14ac:dyDescent="0.25">
      <c r="A2887" s="100">
        <v>45792</v>
      </c>
      <c r="B2887" t="str">
        <f t="shared" si="137"/>
        <v>May</v>
      </c>
      <c r="C2887" s="46" t="s">
        <v>280</v>
      </c>
      <c r="F2887" s="366" t="s">
        <v>1834</v>
      </c>
      <c r="G2887" s="46" t="s">
        <v>208</v>
      </c>
      <c r="H2887" s="46">
        <v>1</v>
      </c>
      <c r="I2887" s="51">
        <v>189.75</v>
      </c>
      <c r="J2887" s="281">
        <f>++Tabla4[[#This Row],[Precio Bruto]]*1.16</f>
        <v>220.10999999999999</v>
      </c>
      <c r="K2887" s="281">
        <f>+Tabla4[[#This Row],[Precio Unitario Neto]]*Tabla4[[#Headers],[20.85%]]</f>
        <v>45.892934999999994</v>
      </c>
      <c r="L2887" s="282">
        <f>++Tabla4[[#This Row],[Precio Unitario Neto]]-Tabla4[[#This Row],[20.85%]]</f>
        <v>174.21706499999999</v>
      </c>
      <c r="M2887" s="282" t="e">
        <f>(INDEX(Tabla6[#All],MATCH(Tabla4[[#This Row],[Producto]],Tabla6[[#All],[PRODUCTO]],0),MATCH(Tabla4[[#This Row],[Mes]],Tabla6[#Headers],0)))*(1+Catalogos!$L$2)</f>
        <v>#N/A</v>
      </c>
      <c r="N2887" s="283" t="e">
        <f>+(Tabla4[[#This Row],[Precio Descontado]]-Tabla4[[#This Row],[Precio Base]])*Tabla4[[#This Row],[Cantidad]]</f>
        <v>#N/A</v>
      </c>
      <c r="O2887" s="284" t="e">
        <f>++Tabla4[[#This Row],[Utilidad Total]]/Tabla4[[#This Row],[Total]]</f>
        <v>#N/A</v>
      </c>
      <c r="P2887" s="282">
        <f>++Tabla4[[#This Row],[Precio Descontado]]*Tabla4[[#This Row],[Cantidad]]</f>
        <v>174.21706499999999</v>
      </c>
      <c r="Q2887" s="282" t="e">
        <f>(INDEX(Tabla6[#All],MATCH(Tabla4[[#This Row],[Producto]],Tabla6[[#All],[PRODUCTO]],0),MATCH(Tabla4[[#This Row],[Mes]],Tabla6[#Headers],0)))</f>
        <v>#N/A</v>
      </c>
      <c r="R2887" s="282" t="e">
        <f>++Tabla4[[#This Row],[Precio Unitario Neto]]-Tabla4[[#This Row],[20.85%]]-Tabla4[[#This Row],[Costo]]</f>
        <v>#N/A</v>
      </c>
      <c r="S2887" s="282" t="e">
        <f>++Tabla4[[#This Row],[U. Bruta Uni]]*Tabla4[[#This Row],[Cantidad]]</f>
        <v>#N/A</v>
      </c>
      <c r="T2887" s="369" t="str">
        <f>VLOOKUP(Tabla4[[#This Row],[Producto]],Tabla6[#All],14,FALSE)</f>
        <v>Termico Solar</v>
      </c>
      <c r="U2887" s="284" t="e">
        <f>(IF(Tabla4[[#This Row],[Familia]]="termico solar",Tabla4[[#This Row],[Utilidad Total]]*6%,Tabla4[[#This Row],[Utilidad Total]]*11.5%))/Tabla4[[#This Row],[Total]]</f>
        <v>#N/A</v>
      </c>
      <c r="V2887" s="282" t="e">
        <f>+Tabla4[[#This Row],[Comisión Calculada]]*Tabla4[[#This Row],[Total]]</f>
        <v>#N/A</v>
      </c>
    </row>
    <row r="2888" spans="1:22" hidden="1" x14ac:dyDescent="0.25">
      <c r="A2888" s="100">
        <v>45792</v>
      </c>
      <c r="B2888" t="str">
        <f t="shared" ref="B2888:B2895" si="138">TEXT(A2888, "mmmm")</f>
        <v>May</v>
      </c>
      <c r="C2888" s="46" t="s">
        <v>280</v>
      </c>
      <c r="F2888" s="366" t="s">
        <v>1835</v>
      </c>
      <c r="G2888" s="46" t="s">
        <v>83</v>
      </c>
      <c r="H2888" s="46">
        <v>10</v>
      </c>
      <c r="I2888" s="51">
        <v>8858.76</v>
      </c>
      <c r="J2888" s="281">
        <f>++Tabla4[[#This Row],[Precio Bruto]]*1.16</f>
        <v>10276.161599999999</v>
      </c>
      <c r="K2888" s="281">
        <f>+Tabla4[[#This Row],[Precio Unitario Neto]]*Tabla4[[#Headers],[20.85%]]</f>
        <v>2142.5796935999997</v>
      </c>
      <c r="L2888" s="282">
        <f>++Tabla4[[#This Row],[Precio Unitario Neto]]-Tabla4[[#This Row],[20.85%]]</f>
        <v>8133.5819063999998</v>
      </c>
      <c r="M2888" s="282" t="e">
        <f>(INDEX(Tabla6[#All],MATCH(Tabla4[[#This Row],[Producto]],Tabla6[[#All],[PRODUCTO]],0),MATCH(Tabla4[[#This Row],[Mes]],Tabla6[#Headers],0)))*(1+Catalogos!$L$2)</f>
        <v>#N/A</v>
      </c>
      <c r="N2888" s="283" t="e">
        <f>+(Tabla4[[#This Row],[Precio Descontado]]-Tabla4[[#This Row],[Precio Base]])*Tabla4[[#This Row],[Cantidad]]</f>
        <v>#N/A</v>
      </c>
      <c r="O2888" s="284" t="e">
        <f>++Tabla4[[#This Row],[Utilidad Total]]/Tabla4[[#This Row],[Total]]</f>
        <v>#N/A</v>
      </c>
      <c r="P2888" s="282">
        <f>++Tabla4[[#This Row],[Precio Descontado]]*Tabla4[[#This Row],[Cantidad]]</f>
        <v>81335.819063999996</v>
      </c>
      <c r="Q2888" s="282" t="e">
        <f>(INDEX(Tabla6[#All],MATCH(Tabla4[[#This Row],[Producto]],Tabla6[[#All],[PRODUCTO]],0),MATCH(Tabla4[[#This Row],[Mes]],Tabla6[#Headers],0)))</f>
        <v>#N/A</v>
      </c>
      <c r="R2888" s="282" t="e">
        <f>++Tabla4[[#This Row],[Precio Unitario Neto]]-Tabla4[[#This Row],[20.85%]]-Tabla4[[#This Row],[Costo]]</f>
        <v>#N/A</v>
      </c>
      <c r="S2888" s="282" t="e">
        <f>++Tabla4[[#This Row],[U. Bruta Uni]]*Tabla4[[#This Row],[Cantidad]]</f>
        <v>#N/A</v>
      </c>
      <c r="T2888" s="369" t="str">
        <f>VLOOKUP(Tabla4[[#This Row],[Producto]],Tabla6[#All],14,FALSE)</f>
        <v>Termico Solar</v>
      </c>
      <c r="U2888" s="284" t="e">
        <f>(IF(Tabla4[[#This Row],[Familia]]="termico solar",Tabla4[[#This Row],[Utilidad Total]]*6%,Tabla4[[#This Row],[Utilidad Total]]*11.5%))/Tabla4[[#This Row],[Total]]</f>
        <v>#N/A</v>
      </c>
      <c r="V2888" s="282" t="e">
        <f>+Tabla4[[#This Row],[Comisión Calculada]]*Tabla4[[#This Row],[Total]]</f>
        <v>#N/A</v>
      </c>
    </row>
    <row r="2889" spans="1:22" hidden="1" x14ac:dyDescent="0.25">
      <c r="A2889" s="100">
        <v>45792</v>
      </c>
      <c r="B2889" t="str">
        <f t="shared" si="138"/>
        <v>May</v>
      </c>
      <c r="C2889" s="46" t="s">
        <v>280</v>
      </c>
      <c r="F2889" s="366" t="s">
        <v>1835</v>
      </c>
      <c r="G2889" s="46" t="s">
        <v>17</v>
      </c>
      <c r="H2889" s="46">
        <v>2</v>
      </c>
      <c r="I2889" s="51">
        <v>4622.28</v>
      </c>
      <c r="J2889" s="281">
        <f>++Tabla4[[#This Row],[Precio Bruto]]*1.16</f>
        <v>5361.8447999999989</v>
      </c>
      <c r="K2889" s="281">
        <f>+Tabla4[[#This Row],[Precio Unitario Neto]]*Tabla4[[#Headers],[20.85%]]</f>
        <v>1117.9446407999997</v>
      </c>
      <c r="L2889" s="282">
        <f>++Tabla4[[#This Row],[Precio Unitario Neto]]-Tabla4[[#This Row],[20.85%]]</f>
        <v>4243.9001591999995</v>
      </c>
      <c r="M2889" s="282" t="e">
        <f>(INDEX(Tabla6[#All],MATCH(Tabla4[[#This Row],[Producto]],Tabla6[[#All],[PRODUCTO]],0),MATCH(Tabla4[[#This Row],[Mes]],Tabla6[#Headers],0)))*(1+Catalogos!$L$2)</f>
        <v>#N/A</v>
      </c>
      <c r="N2889" s="283" t="e">
        <f>+(Tabla4[[#This Row],[Precio Descontado]]-Tabla4[[#This Row],[Precio Base]])*Tabla4[[#This Row],[Cantidad]]</f>
        <v>#N/A</v>
      </c>
      <c r="O2889" s="284" t="e">
        <f>++Tabla4[[#This Row],[Utilidad Total]]/Tabla4[[#This Row],[Total]]</f>
        <v>#N/A</v>
      </c>
      <c r="P2889" s="282">
        <f>++Tabla4[[#This Row],[Precio Descontado]]*Tabla4[[#This Row],[Cantidad]]</f>
        <v>8487.800318399999</v>
      </c>
      <c r="Q2889" s="282" t="e">
        <f>(INDEX(Tabla6[#All],MATCH(Tabla4[[#This Row],[Producto]],Tabla6[[#All],[PRODUCTO]],0),MATCH(Tabla4[[#This Row],[Mes]],Tabla6[#Headers],0)))</f>
        <v>#N/A</v>
      </c>
      <c r="R2889" s="282" t="e">
        <f>++Tabla4[[#This Row],[Precio Unitario Neto]]-Tabla4[[#This Row],[20.85%]]-Tabla4[[#This Row],[Costo]]</f>
        <v>#N/A</v>
      </c>
      <c r="S2889" s="282" t="e">
        <f>++Tabla4[[#This Row],[U. Bruta Uni]]*Tabla4[[#This Row],[Cantidad]]</f>
        <v>#N/A</v>
      </c>
      <c r="T2889" s="369" t="str">
        <f>VLOOKUP(Tabla4[[#This Row],[Producto]],Tabla6[#All],14,FALSE)</f>
        <v>Termico Solar</v>
      </c>
      <c r="U2889" s="284" t="e">
        <f>(IF(Tabla4[[#This Row],[Familia]]="termico solar",Tabla4[[#This Row],[Utilidad Total]]*6%,Tabla4[[#This Row],[Utilidad Total]]*11.5%))/Tabla4[[#This Row],[Total]]</f>
        <v>#N/A</v>
      </c>
      <c r="V2889" s="282" t="e">
        <f>+Tabla4[[#This Row],[Comisión Calculada]]*Tabla4[[#This Row],[Total]]</f>
        <v>#N/A</v>
      </c>
    </row>
    <row r="2890" spans="1:22" hidden="1" x14ac:dyDescent="0.25">
      <c r="A2890" s="100">
        <v>45792</v>
      </c>
      <c r="B2890" t="str">
        <f t="shared" si="138"/>
        <v>May</v>
      </c>
      <c r="C2890" s="46" t="s">
        <v>280</v>
      </c>
      <c r="F2890" s="366" t="s">
        <v>1835</v>
      </c>
      <c r="G2890" s="46" t="s">
        <v>18</v>
      </c>
      <c r="H2890" s="46">
        <v>2</v>
      </c>
      <c r="I2890" s="51">
        <v>5367.65</v>
      </c>
      <c r="J2890" s="281">
        <f>++Tabla4[[#This Row],[Precio Bruto]]*1.16</f>
        <v>6226.4739999999993</v>
      </c>
      <c r="K2890" s="281">
        <f>+Tabla4[[#This Row],[Precio Unitario Neto]]*Tabla4[[#Headers],[20.85%]]</f>
        <v>1298.2198289999999</v>
      </c>
      <c r="L2890" s="282">
        <f>++Tabla4[[#This Row],[Precio Unitario Neto]]-Tabla4[[#This Row],[20.85%]]</f>
        <v>4928.2541709999996</v>
      </c>
      <c r="M2890" s="282" t="e">
        <f>(INDEX(Tabla6[#All],MATCH(Tabla4[[#This Row],[Producto]],Tabla6[[#All],[PRODUCTO]],0),MATCH(Tabla4[[#This Row],[Mes]],Tabla6[#Headers],0)))*(1+Catalogos!$L$2)</f>
        <v>#N/A</v>
      </c>
      <c r="N2890" s="283" t="e">
        <f>+(Tabla4[[#This Row],[Precio Descontado]]-Tabla4[[#This Row],[Precio Base]])*Tabla4[[#This Row],[Cantidad]]</f>
        <v>#N/A</v>
      </c>
      <c r="O2890" s="284" t="e">
        <f>++Tabla4[[#This Row],[Utilidad Total]]/Tabla4[[#This Row],[Total]]</f>
        <v>#N/A</v>
      </c>
      <c r="P2890" s="282">
        <f>++Tabla4[[#This Row],[Precio Descontado]]*Tabla4[[#This Row],[Cantidad]]</f>
        <v>9856.5083419999992</v>
      </c>
      <c r="Q2890" s="282" t="e">
        <f>(INDEX(Tabla6[#All],MATCH(Tabla4[[#This Row],[Producto]],Tabla6[[#All],[PRODUCTO]],0),MATCH(Tabla4[[#This Row],[Mes]],Tabla6[#Headers],0)))</f>
        <v>#N/A</v>
      </c>
      <c r="R2890" s="282" t="e">
        <f>++Tabla4[[#This Row],[Precio Unitario Neto]]-Tabla4[[#This Row],[20.85%]]-Tabla4[[#This Row],[Costo]]</f>
        <v>#N/A</v>
      </c>
      <c r="S2890" s="282" t="e">
        <f>++Tabla4[[#This Row],[U. Bruta Uni]]*Tabla4[[#This Row],[Cantidad]]</f>
        <v>#N/A</v>
      </c>
      <c r="T2890" s="369" t="str">
        <f>VLOOKUP(Tabla4[[#This Row],[Producto]],Tabla6[#All],14,FALSE)</f>
        <v>Termico Solar</v>
      </c>
      <c r="U2890" s="284" t="e">
        <f>(IF(Tabla4[[#This Row],[Familia]]="termico solar",Tabla4[[#This Row],[Utilidad Total]]*6%,Tabla4[[#This Row],[Utilidad Total]]*11.5%))/Tabla4[[#This Row],[Total]]</f>
        <v>#N/A</v>
      </c>
      <c r="V2890" s="282" t="e">
        <f>+Tabla4[[#This Row],[Comisión Calculada]]*Tabla4[[#This Row],[Total]]</f>
        <v>#N/A</v>
      </c>
    </row>
    <row r="2891" spans="1:22" hidden="1" x14ac:dyDescent="0.25">
      <c r="A2891" s="100">
        <v>45792</v>
      </c>
      <c r="B2891" t="str">
        <f t="shared" si="138"/>
        <v>May</v>
      </c>
      <c r="C2891" s="46" t="s">
        <v>280</v>
      </c>
      <c r="F2891" s="366" t="s">
        <v>1835</v>
      </c>
      <c r="G2891" s="46" t="s">
        <v>566</v>
      </c>
      <c r="H2891" s="46">
        <v>1</v>
      </c>
      <c r="I2891" s="51">
        <v>2109.4499999999998</v>
      </c>
      <c r="J2891" s="281">
        <f>++Tabla4[[#This Row],[Precio Bruto]]*1.16</f>
        <v>2446.9619999999995</v>
      </c>
      <c r="K2891" s="281">
        <f>+Tabla4[[#This Row],[Precio Unitario Neto]]*Tabla4[[#Headers],[20.85%]]</f>
        <v>510.19157699999988</v>
      </c>
      <c r="L2891" s="282">
        <f>++Tabla4[[#This Row],[Precio Unitario Neto]]-Tabla4[[#This Row],[20.85%]]</f>
        <v>1936.7704229999997</v>
      </c>
      <c r="M2891" s="282" t="e">
        <f>(INDEX(Tabla6[#All],MATCH(Tabla4[[#This Row],[Producto]],Tabla6[[#All],[PRODUCTO]],0),MATCH(Tabla4[[#This Row],[Mes]],Tabla6[#Headers],0)))*(1+Catalogos!$L$2)</f>
        <v>#N/A</v>
      </c>
      <c r="N2891" s="283" t="e">
        <f>+(Tabla4[[#This Row],[Precio Descontado]]-Tabla4[[#This Row],[Precio Base]])*Tabla4[[#This Row],[Cantidad]]</f>
        <v>#N/A</v>
      </c>
      <c r="O2891" s="284" t="e">
        <f>++Tabla4[[#This Row],[Utilidad Total]]/Tabla4[[#This Row],[Total]]</f>
        <v>#N/A</v>
      </c>
      <c r="P2891" s="282">
        <f>++Tabla4[[#This Row],[Precio Descontado]]*Tabla4[[#This Row],[Cantidad]]</f>
        <v>1936.7704229999997</v>
      </c>
      <c r="Q2891" s="282" t="e">
        <f>(INDEX(Tabla6[#All],MATCH(Tabla4[[#This Row],[Producto]],Tabla6[[#All],[PRODUCTO]],0),MATCH(Tabla4[[#This Row],[Mes]],Tabla6[#Headers],0)))</f>
        <v>#N/A</v>
      </c>
      <c r="R2891" s="282" t="e">
        <f>++Tabla4[[#This Row],[Precio Unitario Neto]]-Tabla4[[#This Row],[20.85%]]-Tabla4[[#This Row],[Costo]]</f>
        <v>#N/A</v>
      </c>
      <c r="S2891" s="282" t="e">
        <f>++Tabla4[[#This Row],[U. Bruta Uni]]*Tabla4[[#This Row],[Cantidad]]</f>
        <v>#N/A</v>
      </c>
      <c r="T2891" s="369" t="str">
        <f>VLOOKUP(Tabla4[[#This Row],[Producto]],Tabla6[#All],14,FALSE)</f>
        <v>Termico Solar</v>
      </c>
      <c r="U2891" s="284" t="e">
        <f>(IF(Tabla4[[#This Row],[Familia]]="termico solar",Tabla4[[#This Row],[Utilidad Total]]*6%,Tabla4[[#This Row],[Utilidad Total]]*11.5%))/Tabla4[[#This Row],[Total]]</f>
        <v>#N/A</v>
      </c>
      <c r="V2891" s="282" t="e">
        <f>+Tabla4[[#This Row],[Comisión Calculada]]*Tabla4[[#This Row],[Total]]</f>
        <v>#N/A</v>
      </c>
    </row>
    <row r="2892" spans="1:22" hidden="1" x14ac:dyDescent="0.25">
      <c r="A2892" s="100">
        <v>45792</v>
      </c>
      <c r="B2892" t="str">
        <f t="shared" si="138"/>
        <v>May</v>
      </c>
      <c r="C2892" s="46" t="s">
        <v>280</v>
      </c>
      <c r="F2892" s="366" t="s">
        <v>1835</v>
      </c>
      <c r="G2892" s="46" t="s">
        <v>412</v>
      </c>
      <c r="H2892" s="46">
        <v>1</v>
      </c>
      <c r="I2892" s="51">
        <v>3240.84</v>
      </c>
      <c r="J2892" s="281">
        <f>++Tabla4[[#This Row],[Precio Bruto]]*1.16</f>
        <v>3759.3743999999997</v>
      </c>
      <c r="K2892" s="281">
        <f>+Tabla4[[#This Row],[Precio Unitario Neto]]*Tabla4[[#Headers],[20.85%]]</f>
        <v>783.82956239999987</v>
      </c>
      <c r="L2892" s="282">
        <f>++Tabla4[[#This Row],[Precio Unitario Neto]]-Tabla4[[#This Row],[20.85%]]</f>
        <v>2975.5448375999999</v>
      </c>
      <c r="M2892" s="282" t="e">
        <f>(INDEX(Tabla6[#All],MATCH(Tabla4[[#This Row],[Producto]],Tabla6[[#All],[PRODUCTO]],0),MATCH(Tabla4[[#This Row],[Mes]],Tabla6[#Headers],0)))*(1+Catalogos!$L$2)</f>
        <v>#N/A</v>
      </c>
      <c r="N2892" s="283" t="e">
        <f>+(Tabla4[[#This Row],[Precio Descontado]]-Tabla4[[#This Row],[Precio Base]])*Tabla4[[#This Row],[Cantidad]]</f>
        <v>#N/A</v>
      </c>
      <c r="O2892" s="284" t="e">
        <f>++Tabla4[[#This Row],[Utilidad Total]]/Tabla4[[#This Row],[Total]]</f>
        <v>#N/A</v>
      </c>
      <c r="P2892" s="282">
        <f>++Tabla4[[#This Row],[Precio Descontado]]*Tabla4[[#This Row],[Cantidad]]</f>
        <v>2975.5448375999999</v>
      </c>
      <c r="Q2892" s="282" t="e">
        <f>(INDEX(Tabla6[#All],MATCH(Tabla4[[#This Row],[Producto]],Tabla6[[#All],[PRODUCTO]],0),MATCH(Tabla4[[#This Row],[Mes]],Tabla6[#Headers],0)))</f>
        <v>#N/A</v>
      </c>
      <c r="R2892" s="282" t="e">
        <f>++Tabla4[[#This Row],[Precio Unitario Neto]]-Tabla4[[#This Row],[20.85%]]-Tabla4[[#This Row],[Costo]]</f>
        <v>#N/A</v>
      </c>
      <c r="S2892" s="282" t="e">
        <f>++Tabla4[[#This Row],[U. Bruta Uni]]*Tabla4[[#This Row],[Cantidad]]</f>
        <v>#N/A</v>
      </c>
      <c r="T2892" s="369" t="str">
        <f>VLOOKUP(Tabla4[[#This Row],[Producto]],Tabla6[#All],14,FALSE)</f>
        <v>Termico Solar</v>
      </c>
      <c r="U2892" s="284" t="e">
        <f>(IF(Tabla4[[#This Row],[Familia]]="termico solar",Tabla4[[#This Row],[Utilidad Total]]*6%,Tabla4[[#This Row],[Utilidad Total]]*11.5%))/Tabla4[[#This Row],[Total]]</f>
        <v>#N/A</v>
      </c>
      <c r="V2892" s="282" t="e">
        <f>+Tabla4[[#This Row],[Comisión Calculada]]*Tabla4[[#This Row],[Total]]</f>
        <v>#N/A</v>
      </c>
    </row>
    <row r="2893" spans="1:22" hidden="1" x14ac:dyDescent="0.25">
      <c r="A2893" s="100">
        <v>45792</v>
      </c>
      <c r="B2893" t="str">
        <f t="shared" si="138"/>
        <v>May</v>
      </c>
      <c r="C2893" s="46" t="s">
        <v>280</v>
      </c>
      <c r="F2893" s="366" t="s">
        <v>1835</v>
      </c>
      <c r="G2893" s="46" t="s">
        <v>394</v>
      </c>
      <c r="H2893" s="46">
        <v>9</v>
      </c>
      <c r="I2893" s="51">
        <v>108.1</v>
      </c>
      <c r="J2893" s="281">
        <f>++Tabla4[[#This Row],[Precio Bruto]]*1.16</f>
        <v>125.39599999999999</v>
      </c>
      <c r="K2893" s="281">
        <f>+Tabla4[[#This Row],[Precio Unitario Neto]]*Tabla4[[#Headers],[20.85%]]</f>
        <v>26.145065999999996</v>
      </c>
      <c r="L2893" s="282">
        <f>++Tabla4[[#This Row],[Precio Unitario Neto]]-Tabla4[[#This Row],[20.85%]]</f>
        <v>99.250933999999987</v>
      </c>
      <c r="M2893" s="282" t="e">
        <f>(INDEX(Tabla6[#All],MATCH(Tabla4[[#This Row],[Producto]],Tabla6[[#All],[PRODUCTO]],0),MATCH(Tabla4[[#This Row],[Mes]],Tabla6[#Headers],0)))*(1+Catalogos!$L$2)</f>
        <v>#N/A</v>
      </c>
      <c r="N2893" s="283" t="e">
        <f>+(Tabla4[[#This Row],[Precio Descontado]]-Tabla4[[#This Row],[Precio Base]])*Tabla4[[#This Row],[Cantidad]]</f>
        <v>#N/A</v>
      </c>
      <c r="O2893" s="284" t="e">
        <f>++Tabla4[[#This Row],[Utilidad Total]]/Tabla4[[#This Row],[Total]]</f>
        <v>#N/A</v>
      </c>
      <c r="P2893" s="282">
        <f>++Tabla4[[#This Row],[Precio Descontado]]*Tabla4[[#This Row],[Cantidad]]</f>
        <v>893.25840599999992</v>
      </c>
      <c r="Q2893" s="282" t="e">
        <f>(INDEX(Tabla6[#All],MATCH(Tabla4[[#This Row],[Producto]],Tabla6[[#All],[PRODUCTO]],0),MATCH(Tabla4[[#This Row],[Mes]],Tabla6[#Headers],0)))</f>
        <v>#N/A</v>
      </c>
      <c r="R2893" s="282" t="e">
        <f>++Tabla4[[#This Row],[Precio Unitario Neto]]-Tabla4[[#This Row],[20.85%]]-Tabla4[[#This Row],[Costo]]</f>
        <v>#N/A</v>
      </c>
      <c r="S2893" s="282" t="e">
        <f>++Tabla4[[#This Row],[U. Bruta Uni]]*Tabla4[[#This Row],[Cantidad]]</f>
        <v>#N/A</v>
      </c>
      <c r="T2893" s="369" t="str">
        <f>VLOOKUP(Tabla4[[#This Row],[Producto]],Tabla6[#All],14,FALSE)</f>
        <v>Termico Solar</v>
      </c>
      <c r="U2893" s="284" t="e">
        <f>(IF(Tabla4[[#This Row],[Familia]]="termico solar",Tabla4[[#This Row],[Utilidad Total]]*6%,Tabla4[[#This Row],[Utilidad Total]]*11.5%))/Tabla4[[#This Row],[Total]]</f>
        <v>#N/A</v>
      </c>
      <c r="V2893" s="282" t="e">
        <f>+Tabla4[[#This Row],[Comisión Calculada]]*Tabla4[[#This Row],[Total]]</f>
        <v>#N/A</v>
      </c>
    </row>
    <row r="2894" spans="1:22" hidden="1" x14ac:dyDescent="0.25">
      <c r="A2894" s="100">
        <v>45792</v>
      </c>
      <c r="B2894" t="str">
        <f t="shared" si="138"/>
        <v>May</v>
      </c>
      <c r="C2894" s="46" t="s">
        <v>280</v>
      </c>
      <c r="F2894" s="366" t="s">
        <v>1835</v>
      </c>
      <c r="G2894" s="46" t="s">
        <v>16</v>
      </c>
      <c r="H2894" s="46">
        <v>3</v>
      </c>
      <c r="I2894" s="51">
        <v>4103.8499999999995</v>
      </c>
      <c r="J2894" s="281">
        <f>++Tabla4[[#This Row],[Precio Bruto]]*1.16</f>
        <v>4760.4659999999994</v>
      </c>
      <c r="K2894" s="281">
        <f>+Tabla4[[#This Row],[Precio Unitario Neto]]*Tabla4[[#Headers],[20.85%]]</f>
        <v>992.55716099999984</v>
      </c>
      <c r="L2894" s="282">
        <f>++Tabla4[[#This Row],[Precio Unitario Neto]]-Tabla4[[#This Row],[20.85%]]</f>
        <v>3767.9088389999997</v>
      </c>
      <c r="M2894" s="282" t="e">
        <f>(INDEX(Tabla6[#All],MATCH(Tabla4[[#This Row],[Producto]],Tabla6[[#All],[PRODUCTO]],0),MATCH(Tabla4[[#This Row],[Mes]],Tabla6[#Headers],0)))*(1+Catalogos!$L$2)</f>
        <v>#N/A</v>
      </c>
      <c r="N2894" s="283" t="e">
        <f>+(Tabla4[[#This Row],[Precio Descontado]]-Tabla4[[#This Row],[Precio Base]])*Tabla4[[#This Row],[Cantidad]]</f>
        <v>#N/A</v>
      </c>
      <c r="O2894" s="284" t="e">
        <f>++Tabla4[[#This Row],[Utilidad Total]]/Tabla4[[#This Row],[Total]]</f>
        <v>#N/A</v>
      </c>
      <c r="P2894" s="282">
        <f>++Tabla4[[#This Row],[Precio Descontado]]*Tabla4[[#This Row],[Cantidad]]</f>
        <v>11303.726516999999</v>
      </c>
      <c r="Q2894" s="282" t="e">
        <f>(INDEX(Tabla6[#All],MATCH(Tabla4[[#This Row],[Producto]],Tabla6[[#All],[PRODUCTO]],0),MATCH(Tabla4[[#This Row],[Mes]],Tabla6[#Headers],0)))</f>
        <v>#N/A</v>
      </c>
      <c r="R2894" s="282" t="e">
        <f>++Tabla4[[#This Row],[Precio Unitario Neto]]-Tabla4[[#This Row],[20.85%]]-Tabla4[[#This Row],[Costo]]</f>
        <v>#N/A</v>
      </c>
      <c r="S2894" s="282" t="e">
        <f>++Tabla4[[#This Row],[U. Bruta Uni]]*Tabla4[[#This Row],[Cantidad]]</f>
        <v>#N/A</v>
      </c>
      <c r="T2894" s="369" t="str">
        <f>VLOOKUP(Tabla4[[#This Row],[Producto]],Tabla6[#All],14,FALSE)</f>
        <v>Termico Solar</v>
      </c>
      <c r="U2894" s="284" t="e">
        <f>(IF(Tabla4[[#This Row],[Familia]]="termico solar",Tabla4[[#This Row],[Utilidad Total]]*6%,Tabla4[[#This Row],[Utilidad Total]]*11.5%))/Tabla4[[#This Row],[Total]]</f>
        <v>#N/A</v>
      </c>
      <c r="V2894" s="282" t="e">
        <f>+Tabla4[[#This Row],[Comisión Calculada]]*Tabla4[[#This Row],[Total]]</f>
        <v>#N/A</v>
      </c>
    </row>
    <row r="2895" spans="1:22" hidden="1" x14ac:dyDescent="0.25">
      <c r="A2895" s="100">
        <v>45792</v>
      </c>
      <c r="B2895" t="str">
        <f t="shared" si="138"/>
        <v>May</v>
      </c>
      <c r="C2895" s="46" t="s">
        <v>280</v>
      </c>
      <c r="F2895" s="366" t="s">
        <v>1835</v>
      </c>
      <c r="G2895" s="46" t="s">
        <v>208</v>
      </c>
      <c r="H2895" s="46">
        <v>4</v>
      </c>
      <c r="I2895" s="51">
        <v>189.75</v>
      </c>
      <c r="J2895" s="281">
        <f>++Tabla4[[#This Row],[Precio Bruto]]*1.16</f>
        <v>220.10999999999999</v>
      </c>
      <c r="K2895" s="281">
        <f>+Tabla4[[#This Row],[Precio Unitario Neto]]*Tabla4[[#Headers],[20.85%]]</f>
        <v>45.892934999999994</v>
      </c>
      <c r="L2895" s="282">
        <f>++Tabla4[[#This Row],[Precio Unitario Neto]]-Tabla4[[#This Row],[20.85%]]</f>
        <v>174.21706499999999</v>
      </c>
      <c r="M2895" s="282" t="e">
        <f>(INDEX(Tabla6[#All],MATCH(Tabla4[[#This Row],[Producto]],Tabla6[[#All],[PRODUCTO]],0),MATCH(Tabla4[[#This Row],[Mes]],Tabla6[#Headers],0)))*(1+Catalogos!$L$2)</f>
        <v>#N/A</v>
      </c>
      <c r="N2895" s="283" t="e">
        <f>+(Tabla4[[#This Row],[Precio Descontado]]-Tabla4[[#This Row],[Precio Base]])*Tabla4[[#This Row],[Cantidad]]</f>
        <v>#N/A</v>
      </c>
      <c r="O2895" s="284" t="e">
        <f>++Tabla4[[#This Row],[Utilidad Total]]/Tabla4[[#This Row],[Total]]</f>
        <v>#N/A</v>
      </c>
      <c r="P2895" s="282">
        <f>++Tabla4[[#This Row],[Precio Descontado]]*Tabla4[[#This Row],[Cantidad]]</f>
        <v>696.86825999999996</v>
      </c>
      <c r="Q2895" s="282" t="e">
        <f>(INDEX(Tabla6[#All],MATCH(Tabla4[[#This Row],[Producto]],Tabla6[[#All],[PRODUCTO]],0),MATCH(Tabla4[[#This Row],[Mes]],Tabla6[#Headers],0)))</f>
        <v>#N/A</v>
      </c>
      <c r="R2895" s="282" t="e">
        <f>++Tabla4[[#This Row],[Precio Unitario Neto]]-Tabla4[[#This Row],[20.85%]]-Tabla4[[#This Row],[Costo]]</f>
        <v>#N/A</v>
      </c>
      <c r="S2895" s="282" t="e">
        <f>++Tabla4[[#This Row],[U. Bruta Uni]]*Tabla4[[#This Row],[Cantidad]]</f>
        <v>#N/A</v>
      </c>
      <c r="T2895" s="369" t="str">
        <f>VLOOKUP(Tabla4[[#This Row],[Producto]],Tabla6[#All],14,FALSE)</f>
        <v>Termico Solar</v>
      </c>
      <c r="U2895" s="284" t="e">
        <f>(IF(Tabla4[[#This Row],[Familia]]="termico solar",Tabla4[[#This Row],[Utilidad Total]]*6%,Tabla4[[#This Row],[Utilidad Total]]*11.5%))/Tabla4[[#This Row],[Total]]</f>
        <v>#N/A</v>
      </c>
      <c r="V2895" s="282" t="e">
        <f>+Tabla4[[#This Row],[Comisión Calculada]]*Tabla4[[#This Row],[Total]]</f>
        <v>#N/A</v>
      </c>
    </row>
    <row r="2896" spans="1:22" hidden="1" x14ac:dyDescent="0.25">
      <c r="A2896" s="100">
        <v>45792</v>
      </c>
      <c r="B2896" t="str">
        <f t="shared" ref="B2896:B2930" si="139">TEXT(A2896, "mmmm")</f>
        <v>May</v>
      </c>
      <c r="C2896" s="46" t="s">
        <v>280</v>
      </c>
      <c r="F2896" s="366" t="s">
        <v>1836</v>
      </c>
      <c r="G2896" s="46" t="s">
        <v>83</v>
      </c>
      <c r="H2896" s="46">
        <v>1</v>
      </c>
      <c r="I2896" s="51">
        <v>8858.76</v>
      </c>
      <c r="J2896" s="281">
        <f>++Tabla4[[#This Row],[Precio Bruto]]*1.16</f>
        <v>10276.161599999999</v>
      </c>
      <c r="K2896" s="281">
        <f>+Tabla4[[#This Row],[Precio Unitario Neto]]*Tabla4[[#Headers],[20.85%]]</f>
        <v>2142.5796935999997</v>
      </c>
      <c r="L2896" s="282">
        <f>++Tabla4[[#This Row],[Precio Unitario Neto]]-Tabla4[[#This Row],[20.85%]]</f>
        <v>8133.5819063999998</v>
      </c>
      <c r="M2896" s="282" t="e">
        <f>(INDEX(Tabla6[#All],MATCH(Tabla4[[#This Row],[Producto]],Tabla6[[#All],[PRODUCTO]],0),MATCH(Tabla4[[#This Row],[Mes]],Tabla6[#Headers],0)))*(1+Catalogos!$L$2)</f>
        <v>#N/A</v>
      </c>
      <c r="N2896" s="283" t="e">
        <f>+(Tabla4[[#This Row],[Precio Descontado]]-Tabla4[[#This Row],[Precio Base]])*Tabla4[[#This Row],[Cantidad]]</f>
        <v>#N/A</v>
      </c>
      <c r="O2896" s="284" t="e">
        <f>++Tabla4[[#This Row],[Utilidad Total]]/Tabla4[[#This Row],[Total]]</f>
        <v>#N/A</v>
      </c>
      <c r="P2896" s="282">
        <f>++Tabla4[[#This Row],[Precio Descontado]]*Tabla4[[#This Row],[Cantidad]]</f>
        <v>8133.5819063999998</v>
      </c>
      <c r="Q2896" s="282" t="e">
        <f>(INDEX(Tabla6[#All],MATCH(Tabla4[[#This Row],[Producto]],Tabla6[[#All],[PRODUCTO]],0),MATCH(Tabla4[[#This Row],[Mes]],Tabla6[#Headers],0)))</f>
        <v>#N/A</v>
      </c>
      <c r="R2896" s="282" t="e">
        <f>++Tabla4[[#This Row],[Precio Unitario Neto]]-Tabla4[[#This Row],[20.85%]]-Tabla4[[#This Row],[Costo]]</f>
        <v>#N/A</v>
      </c>
      <c r="S2896" s="282" t="e">
        <f>++Tabla4[[#This Row],[U. Bruta Uni]]*Tabla4[[#This Row],[Cantidad]]</f>
        <v>#N/A</v>
      </c>
      <c r="T2896" s="369" t="str">
        <f>VLOOKUP(Tabla4[[#This Row],[Producto]],Tabla6[#All],14,FALSE)</f>
        <v>Termico Solar</v>
      </c>
      <c r="U2896" s="284" t="e">
        <f>(IF(Tabla4[[#This Row],[Familia]]="termico solar",Tabla4[[#This Row],[Utilidad Total]]*6%,Tabla4[[#This Row],[Utilidad Total]]*11.5%))/Tabla4[[#This Row],[Total]]</f>
        <v>#N/A</v>
      </c>
      <c r="V2896" s="282" t="e">
        <f>+Tabla4[[#This Row],[Comisión Calculada]]*Tabla4[[#This Row],[Total]]</f>
        <v>#N/A</v>
      </c>
    </row>
    <row r="2897" spans="1:22" hidden="1" x14ac:dyDescent="0.25">
      <c r="A2897" s="100">
        <v>45792</v>
      </c>
      <c r="B2897" t="str">
        <f t="shared" si="139"/>
        <v>May</v>
      </c>
      <c r="C2897" s="46" t="s">
        <v>280</v>
      </c>
      <c r="F2897" s="366" t="s">
        <v>1836</v>
      </c>
      <c r="G2897" s="46" t="s">
        <v>566</v>
      </c>
      <c r="H2897" s="46">
        <v>1</v>
      </c>
      <c r="I2897" s="51">
        <v>2109.4499999999998</v>
      </c>
      <c r="J2897" s="281">
        <f>++Tabla4[[#This Row],[Precio Bruto]]*1.16</f>
        <v>2446.9619999999995</v>
      </c>
      <c r="K2897" s="281">
        <f>+Tabla4[[#This Row],[Precio Unitario Neto]]*Tabla4[[#Headers],[20.85%]]</f>
        <v>510.19157699999988</v>
      </c>
      <c r="L2897" s="282">
        <f>++Tabla4[[#This Row],[Precio Unitario Neto]]-Tabla4[[#This Row],[20.85%]]</f>
        <v>1936.7704229999997</v>
      </c>
      <c r="M2897" s="282" t="e">
        <f>(INDEX(Tabla6[#All],MATCH(Tabla4[[#This Row],[Producto]],Tabla6[[#All],[PRODUCTO]],0),MATCH(Tabla4[[#This Row],[Mes]],Tabla6[#Headers],0)))*(1+Catalogos!$L$2)</f>
        <v>#N/A</v>
      </c>
      <c r="N2897" s="283" t="e">
        <f>+(Tabla4[[#This Row],[Precio Descontado]]-Tabla4[[#This Row],[Precio Base]])*Tabla4[[#This Row],[Cantidad]]</f>
        <v>#N/A</v>
      </c>
      <c r="O2897" s="284" t="e">
        <f>++Tabla4[[#This Row],[Utilidad Total]]/Tabla4[[#This Row],[Total]]</f>
        <v>#N/A</v>
      </c>
      <c r="P2897" s="282">
        <f>++Tabla4[[#This Row],[Precio Descontado]]*Tabla4[[#This Row],[Cantidad]]</f>
        <v>1936.7704229999997</v>
      </c>
      <c r="Q2897" s="282" t="e">
        <f>(INDEX(Tabla6[#All],MATCH(Tabla4[[#This Row],[Producto]],Tabla6[[#All],[PRODUCTO]],0),MATCH(Tabla4[[#This Row],[Mes]],Tabla6[#Headers],0)))</f>
        <v>#N/A</v>
      </c>
      <c r="R2897" s="282" t="e">
        <f>++Tabla4[[#This Row],[Precio Unitario Neto]]-Tabla4[[#This Row],[20.85%]]-Tabla4[[#This Row],[Costo]]</f>
        <v>#N/A</v>
      </c>
      <c r="S2897" s="282" t="e">
        <f>++Tabla4[[#This Row],[U. Bruta Uni]]*Tabla4[[#This Row],[Cantidad]]</f>
        <v>#N/A</v>
      </c>
      <c r="T2897" s="369" t="str">
        <f>VLOOKUP(Tabla4[[#This Row],[Producto]],Tabla6[#All],14,FALSE)</f>
        <v>Termico Solar</v>
      </c>
      <c r="U2897" s="284" t="e">
        <f>(IF(Tabla4[[#This Row],[Familia]]="termico solar",Tabla4[[#This Row],[Utilidad Total]]*6%,Tabla4[[#This Row],[Utilidad Total]]*11.5%))/Tabla4[[#This Row],[Total]]</f>
        <v>#N/A</v>
      </c>
      <c r="V2897" s="282" t="e">
        <f>+Tabla4[[#This Row],[Comisión Calculada]]*Tabla4[[#This Row],[Total]]</f>
        <v>#N/A</v>
      </c>
    </row>
    <row r="2898" spans="1:22" hidden="1" x14ac:dyDescent="0.25">
      <c r="A2898" s="100">
        <v>45792</v>
      </c>
      <c r="B2898" t="str">
        <f t="shared" si="139"/>
        <v>May</v>
      </c>
      <c r="C2898" s="46" t="s">
        <v>280</v>
      </c>
      <c r="F2898" s="366" t="s">
        <v>1837</v>
      </c>
      <c r="G2898" s="46" t="s">
        <v>83</v>
      </c>
      <c r="H2898" s="46">
        <v>2</v>
      </c>
      <c r="I2898" s="51">
        <v>8858.76</v>
      </c>
      <c r="J2898" s="281">
        <f>++Tabla4[[#This Row],[Precio Bruto]]*1.16</f>
        <v>10276.161599999999</v>
      </c>
      <c r="K2898" s="281">
        <f>+Tabla4[[#This Row],[Precio Unitario Neto]]*Tabla4[[#Headers],[20.85%]]</f>
        <v>2142.5796935999997</v>
      </c>
      <c r="L2898" s="282">
        <f>++Tabla4[[#This Row],[Precio Unitario Neto]]-Tabla4[[#This Row],[20.85%]]</f>
        <v>8133.5819063999998</v>
      </c>
      <c r="M2898" s="282" t="e">
        <f>(INDEX(Tabla6[#All],MATCH(Tabla4[[#This Row],[Producto]],Tabla6[[#All],[PRODUCTO]],0),MATCH(Tabla4[[#This Row],[Mes]],Tabla6[#Headers],0)))*(1+Catalogos!$L$2)</f>
        <v>#N/A</v>
      </c>
      <c r="N2898" s="283" t="e">
        <f>+(Tabla4[[#This Row],[Precio Descontado]]-Tabla4[[#This Row],[Precio Base]])*Tabla4[[#This Row],[Cantidad]]</f>
        <v>#N/A</v>
      </c>
      <c r="O2898" s="284" t="e">
        <f>++Tabla4[[#This Row],[Utilidad Total]]/Tabla4[[#This Row],[Total]]</f>
        <v>#N/A</v>
      </c>
      <c r="P2898" s="282">
        <f>++Tabla4[[#This Row],[Precio Descontado]]*Tabla4[[#This Row],[Cantidad]]</f>
        <v>16267.1638128</v>
      </c>
      <c r="Q2898" s="282" t="e">
        <f>(INDEX(Tabla6[#All],MATCH(Tabla4[[#This Row],[Producto]],Tabla6[[#All],[PRODUCTO]],0),MATCH(Tabla4[[#This Row],[Mes]],Tabla6[#Headers],0)))</f>
        <v>#N/A</v>
      </c>
      <c r="R2898" s="282" t="e">
        <f>++Tabla4[[#This Row],[Precio Unitario Neto]]-Tabla4[[#This Row],[20.85%]]-Tabla4[[#This Row],[Costo]]</f>
        <v>#N/A</v>
      </c>
      <c r="S2898" s="282" t="e">
        <f>++Tabla4[[#This Row],[U. Bruta Uni]]*Tabla4[[#This Row],[Cantidad]]</f>
        <v>#N/A</v>
      </c>
      <c r="T2898" s="369" t="str">
        <f>VLOOKUP(Tabla4[[#This Row],[Producto]],Tabla6[#All],14,FALSE)</f>
        <v>Termico Solar</v>
      </c>
      <c r="U2898" s="284" t="e">
        <f>(IF(Tabla4[[#This Row],[Familia]]="termico solar",Tabla4[[#This Row],[Utilidad Total]]*6%,Tabla4[[#This Row],[Utilidad Total]]*11.5%))/Tabla4[[#This Row],[Total]]</f>
        <v>#N/A</v>
      </c>
      <c r="V2898" s="282" t="e">
        <f>+Tabla4[[#This Row],[Comisión Calculada]]*Tabla4[[#This Row],[Total]]</f>
        <v>#N/A</v>
      </c>
    </row>
    <row r="2899" spans="1:22" hidden="1" x14ac:dyDescent="0.25">
      <c r="A2899" s="100">
        <v>45792</v>
      </c>
      <c r="B2899" t="str">
        <f t="shared" si="139"/>
        <v>May</v>
      </c>
      <c r="C2899" s="46" t="s">
        <v>280</v>
      </c>
      <c r="F2899" s="366" t="s">
        <v>1837</v>
      </c>
      <c r="G2899" s="46" t="s">
        <v>17</v>
      </c>
      <c r="H2899" s="46">
        <v>3</v>
      </c>
      <c r="I2899" s="51">
        <v>4622.28</v>
      </c>
      <c r="J2899" s="281">
        <f>++Tabla4[[#This Row],[Precio Bruto]]*1.16</f>
        <v>5361.8447999999989</v>
      </c>
      <c r="K2899" s="281">
        <f>+Tabla4[[#This Row],[Precio Unitario Neto]]*Tabla4[[#Headers],[20.85%]]</f>
        <v>1117.9446407999997</v>
      </c>
      <c r="L2899" s="282">
        <f>++Tabla4[[#This Row],[Precio Unitario Neto]]-Tabla4[[#This Row],[20.85%]]</f>
        <v>4243.9001591999995</v>
      </c>
      <c r="M2899" s="282" t="e">
        <f>(INDEX(Tabla6[#All],MATCH(Tabla4[[#This Row],[Producto]],Tabla6[[#All],[PRODUCTO]],0),MATCH(Tabla4[[#This Row],[Mes]],Tabla6[#Headers],0)))*(1+Catalogos!$L$2)</f>
        <v>#N/A</v>
      </c>
      <c r="N2899" s="283" t="e">
        <f>+(Tabla4[[#This Row],[Precio Descontado]]-Tabla4[[#This Row],[Precio Base]])*Tabla4[[#This Row],[Cantidad]]</f>
        <v>#N/A</v>
      </c>
      <c r="O2899" s="284" t="e">
        <f>++Tabla4[[#This Row],[Utilidad Total]]/Tabla4[[#This Row],[Total]]</f>
        <v>#N/A</v>
      </c>
      <c r="P2899" s="282">
        <f>++Tabla4[[#This Row],[Precio Descontado]]*Tabla4[[#This Row],[Cantidad]]</f>
        <v>12731.700477599999</v>
      </c>
      <c r="Q2899" s="282" t="e">
        <f>(INDEX(Tabla6[#All],MATCH(Tabla4[[#This Row],[Producto]],Tabla6[[#All],[PRODUCTO]],0),MATCH(Tabla4[[#This Row],[Mes]],Tabla6[#Headers],0)))</f>
        <v>#N/A</v>
      </c>
      <c r="R2899" s="282" t="e">
        <f>++Tabla4[[#This Row],[Precio Unitario Neto]]-Tabla4[[#This Row],[20.85%]]-Tabla4[[#This Row],[Costo]]</f>
        <v>#N/A</v>
      </c>
      <c r="S2899" s="282" t="e">
        <f>++Tabla4[[#This Row],[U. Bruta Uni]]*Tabla4[[#This Row],[Cantidad]]</f>
        <v>#N/A</v>
      </c>
      <c r="T2899" s="369" t="str">
        <f>VLOOKUP(Tabla4[[#This Row],[Producto]],Tabla6[#All],14,FALSE)</f>
        <v>Termico Solar</v>
      </c>
      <c r="U2899" s="284" t="e">
        <f>(IF(Tabla4[[#This Row],[Familia]]="termico solar",Tabla4[[#This Row],[Utilidad Total]]*6%,Tabla4[[#This Row],[Utilidad Total]]*11.5%))/Tabla4[[#This Row],[Total]]</f>
        <v>#N/A</v>
      </c>
      <c r="V2899" s="282" t="e">
        <f>+Tabla4[[#This Row],[Comisión Calculada]]*Tabla4[[#This Row],[Total]]</f>
        <v>#N/A</v>
      </c>
    </row>
    <row r="2900" spans="1:22" hidden="1" x14ac:dyDescent="0.25">
      <c r="A2900" s="100">
        <v>45792</v>
      </c>
      <c r="B2900" t="str">
        <f t="shared" si="139"/>
        <v>May</v>
      </c>
      <c r="C2900" s="46" t="s">
        <v>280</v>
      </c>
      <c r="F2900" s="366" t="s">
        <v>1837</v>
      </c>
      <c r="G2900" s="46" t="s">
        <v>18</v>
      </c>
      <c r="H2900" s="46">
        <v>3</v>
      </c>
      <c r="I2900" s="51">
        <v>5367.6500000000005</v>
      </c>
      <c r="J2900" s="281">
        <f>++Tabla4[[#This Row],[Precio Bruto]]*1.16</f>
        <v>6226.4740000000002</v>
      </c>
      <c r="K2900" s="281">
        <f>+Tabla4[[#This Row],[Precio Unitario Neto]]*Tabla4[[#Headers],[20.85%]]</f>
        <v>1298.2198289999999</v>
      </c>
      <c r="L2900" s="282">
        <f>++Tabla4[[#This Row],[Precio Unitario Neto]]-Tabla4[[#This Row],[20.85%]]</f>
        <v>4928.2541710000005</v>
      </c>
      <c r="M2900" s="282" t="e">
        <f>(INDEX(Tabla6[#All],MATCH(Tabla4[[#This Row],[Producto]],Tabla6[[#All],[PRODUCTO]],0),MATCH(Tabla4[[#This Row],[Mes]],Tabla6[#Headers],0)))*(1+Catalogos!$L$2)</f>
        <v>#N/A</v>
      </c>
      <c r="N2900" s="283" t="e">
        <f>+(Tabla4[[#This Row],[Precio Descontado]]-Tabla4[[#This Row],[Precio Base]])*Tabla4[[#This Row],[Cantidad]]</f>
        <v>#N/A</v>
      </c>
      <c r="O2900" s="284" t="e">
        <f>++Tabla4[[#This Row],[Utilidad Total]]/Tabla4[[#This Row],[Total]]</f>
        <v>#N/A</v>
      </c>
      <c r="P2900" s="282">
        <f>++Tabla4[[#This Row],[Precio Descontado]]*Tabla4[[#This Row],[Cantidad]]</f>
        <v>14784.762513000001</v>
      </c>
      <c r="Q2900" s="282" t="e">
        <f>(INDEX(Tabla6[#All],MATCH(Tabla4[[#This Row],[Producto]],Tabla6[[#All],[PRODUCTO]],0),MATCH(Tabla4[[#This Row],[Mes]],Tabla6[#Headers],0)))</f>
        <v>#N/A</v>
      </c>
      <c r="R2900" s="282" t="e">
        <f>++Tabla4[[#This Row],[Precio Unitario Neto]]-Tabla4[[#This Row],[20.85%]]-Tabla4[[#This Row],[Costo]]</f>
        <v>#N/A</v>
      </c>
      <c r="S2900" s="282" t="e">
        <f>++Tabla4[[#This Row],[U. Bruta Uni]]*Tabla4[[#This Row],[Cantidad]]</f>
        <v>#N/A</v>
      </c>
      <c r="T2900" s="369" t="str">
        <f>VLOOKUP(Tabla4[[#This Row],[Producto]],Tabla6[#All],14,FALSE)</f>
        <v>Termico Solar</v>
      </c>
      <c r="U2900" s="284" t="e">
        <f>(IF(Tabla4[[#This Row],[Familia]]="termico solar",Tabla4[[#This Row],[Utilidad Total]]*6%,Tabla4[[#This Row],[Utilidad Total]]*11.5%))/Tabla4[[#This Row],[Total]]</f>
        <v>#N/A</v>
      </c>
      <c r="V2900" s="282" t="e">
        <f>+Tabla4[[#This Row],[Comisión Calculada]]*Tabla4[[#This Row],[Total]]</f>
        <v>#N/A</v>
      </c>
    </row>
    <row r="2901" spans="1:22" hidden="1" x14ac:dyDescent="0.25">
      <c r="A2901" s="100">
        <v>45792</v>
      </c>
      <c r="B2901" t="str">
        <f t="shared" si="139"/>
        <v>May</v>
      </c>
      <c r="C2901" s="46" t="s">
        <v>280</v>
      </c>
      <c r="F2901" s="366" t="s">
        <v>1837</v>
      </c>
      <c r="G2901" s="46" t="s">
        <v>566</v>
      </c>
      <c r="H2901" s="46">
        <v>1</v>
      </c>
      <c r="I2901" s="51">
        <v>2109.4499999999998</v>
      </c>
      <c r="J2901" s="281">
        <f>++Tabla4[[#This Row],[Precio Bruto]]*1.16</f>
        <v>2446.9619999999995</v>
      </c>
      <c r="K2901" s="281">
        <f>+Tabla4[[#This Row],[Precio Unitario Neto]]*Tabla4[[#Headers],[20.85%]]</f>
        <v>510.19157699999988</v>
      </c>
      <c r="L2901" s="282">
        <f>++Tabla4[[#This Row],[Precio Unitario Neto]]-Tabla4[[#This Row],[20.85%]]</f>
        <v>1936.7704229999997</v>
      </c>
      <c r="M2901" s="282" t="e">
        <f>(INDEX(Tabla6[#All],MATCH(Tabla4[[#This Row],[Producto]],Tabla6[[#All],[PRODUCTO]],0),MATCH(Tabla4[[#This Row],[Mes]],Tabla6[#Headers],0)))*(1+Catalogos!$L$2)</f>
        <v>#N/A</v>
      </c>
      <c r="N2901" s="283" t="e">
        <f>+(Tabla4[[#This Row],[Precio Descontado]]-Tabla4[[#This Row],[Precio Base]])*Tabla4[[#This Row],[Cantidad]]</f>
        <v>#N/A</v>
      </c>
      <c r="O2901" s="284" t="e">
        <f>++Tabla4[[#This Row],[Utilidad Total]]/Tabla4[[#This Row],[Total]]</f>
        <v>#N/A</v>
      </c>
      <c r="P2901" s="282">
        <f>++Tabla4[[#This Row],[Precio Descontado]]*Tabla4[[#This Row],[Cantidad]]</f>
        <v>1936.7704229999997</v>
      </c>
      <c r="Q2901" s="282" t="e">
        <f>(INDEX(Tabla6[#All],MATCH(Tabla4[[#This Row],[Producto]],Tabla6[[#All],[PRODUCTO]],0),MATCH(Tabla4[[#This Row],[Mes]],Tabla6[#Headers],0)))</f>
        <v>#N/A</v>
      </c>
      <c r="R2901" s="282" t="e">
        <f>++Tabla4[[#This Row],[Precio Unitario Neto]]-Tabla4[[#This Row],[20.85%]]-Tabla4[[#This Row],[Costo]]</f>
        <v>#N/A</v>
      </c>
      <c r="S2901" s="282" t="e">
        <f>++Tabla4[[#This Row],[U. Bruta Uni]]*Tabla4[[#This Row],[Cantidad]]</f>
        <v>#N/A</v>
      </c>
      <c r="T2901" s="369" t="str">
        <f>VLOOKUP(Tabla4[[#This Row],[Producto]],Tabla6[#All],14,FALSE)</f>
        <v>Termico Solar</v>
      </c>
      <c r="U2901" s="284" t="e">
        <f>(IF(Tabla4[[#This Row],[Familia]]="termico solar",Tabla4[[#This Row],[Utilidad Total]]*6%,Tabla4[[#This Row],[Utilidad Total]]*11.5%))/Tabla4[[#This Row],[Total]]</f>
        <v>#N/A</v>
      </c>
      <c r="V2901" s="282" t="e">
        <f>+Tabla4[[#This Row],[Comisión Calculada]]*Tabla4[[#This Row],[Total]]</f>
        <v>#N/A</v>
      </c>
    </row>
    <row r="2902" spans="1:22" hidden="1" x14ac:dyDescent="0.25">
      <c r="A2902" s="100">
        <v>45792</v>
      </c>
      <c r="B2902" t="str">
        <f t="shared" si="139"/>
        <v>May</v>
      </c>
      <c r="C2902" s="46" t="s">
        <v>280</v>
      </c>
      <c r="F2902" s="366" t="s">
        <v>1837</v>
      </c>
      <c r="G2902" s="46" t="s">
        <v>208</v>
      </c>
      <c r="H2902" s="46">
        <v>2</v>
      </c>
      <c r="I2902" s="51">
        <v>189.75</v>
      </c>
      <c r="J2902" s="281">
        <f>++Tabla4[[#This Row],[Precio Bruto]]*1.16</f>
        <v>220.10999999999999</v>
      </c>
      <c r="K2902" s="281">
        <f>+Tabla4[[#This Row],[Precio Unitario Neto]]*Tabla4[[#Headers],[20.85%]]</f>
        <v>45.892934999999994</v>
      </c>
      <c r="L2902" s="282">
        <f>++Tabla4[[#This Row],[Precio Unitario Neto]]-Tabla4[[#This Row],[20.85%]]</f>
        <v>174.21706499999999</v>
      </c>
      <c r="M2902" s="282" t="e">
        <f>(INDEX(Tabla6[#All],MATCH(Tabla4[[#This Row],[Producto]],Tabla6[[#All],[PRODUCTO]],0),MATCH(Tabla4[[#This Row],[Mes]],Tabla6[#Headers],0)))*(1+Catalogos!$L$2)</f>
        <v>#N/A</v>
      </c>
      <c r="N2902" s="283" t="e">
        <f>+(Tabla4[[#This Row],[Precio Descontado]]-Tabla4[[#This Row],[Precio Base]])*Tabla4[[#This Row],[Cantidad]]</f>
        <v>#N/A</v>
      </c>
      <c r="O2902" s="284" t="e">
        <f>++Tabla4[[#This Row],[Utilidad Total]]/Tabla4[[#This Row],[Total]]</f>
        <v>#N/A</v>
      </c>
      <c r="P2902" s="282">
        <f>++Tabla4[[#This Row],[Precio Descontado]]*Tabla4[[#This Row],[Cantidad]]</f>
        <v>348.43412999999998</v>
      </c>
      <c r="Q2902" s="282" t="e">
        <f>(INDEX(Tabla6[#All],MATCH(Tabla4[[#This Row],[Producto]],Tabla6[[#All],[PRODUCTO]],0),MATCH(Tabla4[[#This Row],[Mes]],Tabla6[#Headers],0)))</f>
        <v>#N/A</v>
      </c>
      <c r="R2902" s="282" t="e">
        <f>++Tabla4[[#This Row],[Precio Unitario Neto]]-Tabla4[[#This Row],[20.85%]]-Tabla4[[#This Row],[Costo]]</f>
        <v>#N/A</v>
      </c>
      <c r="S2902" s="282" t="e">
        <f>++Tabla4[[#This Row],[U. Bruta Uni]]*Tabla4[[#This Row],[Cantidad]]</f>
        <v>#N/A</v>
      </c>
      <c r="T2902" s="369" t="str">
        <f>VLOOKUP(Tabla4[[#This Row],[Producto]],Tabla6[#All],14,FALSE)</f>
        <v>Termico Solar</v>
      </c>
      <c r="U2902" s="284" t="e">
        <f>(IF(Tabla4[[#This Row],[Familia]]="termico solar",Tabla4[[#This Row],[Utilidad Total]]*6%,Tabla4[[#This Row],[Utilidad Total]]*11.5%))/Tabla4[[#This Row],[Total]]</f>
        <v>#N/A</v>
      </c>
      <c r="V2902" s="282" t="e">
        <f>+Tabla4[[#This Row],[Comisión Calculada]]*Tabla4[[#This Row],[Total]]</f>
        <v>#N/A</v>
      </c>
    </row>
    <row r="2903" spans="1:22" hidden="1" x14ac:dyDescent="0.25">
      <c r="A2903" s="100">
        <v>45792</v>
      </c>
      <c r="B2903" t="str">
        <f t="shared" si="139"/>
        <v>May</v>
      </c>
      <c r="C2903" s="46" t="s">
        <v>280</v>
      </c>
      <c r="F2903" s="366" t="s">
        <v>1838</v>
      </c>
      <c r="G2903" s="46" t="s">
        <v>83</v>
      </c>
      <c r="H2903" s="46">
        <v>1</v>
      </c>
      <c r="I2903" s="51">
        <v>8858.76</v>
      </c>
      <c r="J2903" s="281">
        <f>++Tabla4[[#This Row],[Precio Bruto]]*1.16</f>
        <v>10276.161599999999</v>
      </c>
      <c r="K2903" s="281">
        <f>+Tabla4[[#This Row],[Precio Unitario Neto]]*Tabla4[[#Headers],[20.85%]]</f>
        <v>2142.5796935999997</v>
      </c>
      <c r="L2903" s="282">
        <f>++Tabla4[[#This Row],[Precio Unitario Neto]]-Tabla4[[#This Row],[20.85%]]</f>
        <v>8133.5819063999998</v>
      </c>
      <c r="M2903" s="282" t="e">
        <f>(INDEX(Tabla6[#All],MATCH(Tabla4[[#This Row],[Producto]],Tabla6[[#All],[PRODUCTO]],0),MATCH(Tabla4[[#This Row],[Mes]],Tabla6[#Headers],0)))*(1+Catalogos!$L$2)</f>
        <v>#N/A</v>
      </c>
      <c r="N2903" s="283" t="e">
        <f>+(Tabla4[[#This Row],[Precio Descontado]]-Tabla4[[#This Row],[Precio Base]])*Tabla4[[#This Row],[Cantidad]]</f>
        <v>#N/A</v>
      </c>
      <c r="O2903" s="284" t="e">
        <f>++Tabla4[[#This Row],[Utilidad Total]]/Tabla4[[#This Row],[Total]]</f>
        <v>#N/A</v>
      </c>
      <c r="P2903" s="282">
        <f>++Tabla4[[#This Row],[Precio Descontado]]*Tabla4[[#This Row],[Cantidad]]</f>
        <v>8133.5819063999998</v>
      </c>
      <c r="Q2903" s="282" t="e">
        <f>(INDEX(Tabla6[#All],MATCH(Tabla4[[#This Row],[Producto]],Tabla6[[#All],[PRODUCTO]],0),MATCH(Tabla4[[#This Row],[Mes]],Tabla6[#Headers],0)))</f>
        <v>#N/A</v>
      </c>
      <c r="R2903" s="282" t="e">
        <f>++Tabla4[[#This Row],[Precio Unitario Neto]]-Tabla4[[#This Row],[20.85%]]-Tabla4[[#This Row],[Costo]]</f>
        <v>#N/A</v>
      </c>
      <c r="S2903" s="282" t="e">
        <f>++Tabla4[[#This Row],[U. Bruta Uni]]*Tabla4[[#This Row],[Cantidad]]</f>
        <v>#N/A</v>
      </c>
      <c r="T2903" s="369" t="str">
        <f>VLOOKUP(Tabla4[[#This Row],[Producto]],Tabla6[#All],14,FALSE)</f>
        <v>Termico Solar</v>
      </c>
      <c r="U2903" s="284" t="e">
        <f>(IF(Tabla4[[#This Row],[Familia]]="termico solar",Tabla4[[#This Row],[Utilidad Total]]*6%,Tabla4[[#This Row],[Utilidad Total]]*11.5%))/Tabla4[[#This Row],[Total]]</f>
        <v>#N/A</v>
      </c>
      <c r="V2903" s="282" t="e">
        <f>+Tabla4[[#This Row],[Comisión Calculada]]*Tabla4[[#This Row],[Total]]</f>
        <v>#N/A</v>
      </c>
    </row>
    <row r="2904" spans="1:22" hidden="1" x14ac:dyDescent="0.25">
      <c r="A2904" s="100">
        <v>45792</v>
      </c>
      <c r="B2904" t="str">
        <f t="shared" si="139"/>
        <v>May</v>
      </c>
      <c r="C2904" s="46" t="s">
        <v>280</v>
      </c>
      <c r="F2904" s="366" t="s">
        <v>1838</v>
      </c>
      <c r="G2904" s="46" t="s">
        <v>566</v>
      </c>
      <c r="H2904" s="46">
        <v>1</v>
      </c>
      <c r="I2904" s="51">
        <v>2109.4499999999998</v>
      </c>
      <c r="J2904" s="281">
        <f>++Tabla4[[#This Row],[Precio Bruto]]*1.16</f>
        <v>2446.9619999999995</v>
      </c>
      <c r="K2904" s="281">
        <f>+Tabla4[[#This Row],[Precio Unitario Neto]]*Tabla4[[#Headers],[20.85%]]</f>
        <v>510.19157699999988</v>
      </c>
      <c r="L2904" s="282">
        <f>++Tabla4[[#This Row],[Precio Unitario Neto]]-Tabla4[[#This Row],[20.85%]]</f>
        <v>1936.7704229999997</v>
      </c>
      <c r="M2904" s="282" t="e">
        <f>(INDEX(Tabla6[#All],MATCH(Tabla4[[#This Row],[Producto]],Tabla6[[#All],[PRODUCTO]],0),MATCH(Tabla4[[#This Row],[Mes]],Tabla6[#Headers],0)))*(1+Catalogos!$L$2)</f>
        <v>#N/A</v>
      </c>
      <c r="N2904" s="283" t="e">
        <f>+(Tabla4[[#This Row],[Precio Descontado]]-Tabla4[[#This Row],[Precio Base]])*Tabla4[[#This Row],[Cantidad]]</f>
        <v>#N/A</v>
      </c>
      <c r="O2904" s="284" t="e">
        <f>++Tabla4[[#This Row],[Utilidad Total]]/Tabla4[[#This Row],[Total]]</f>
        <v>#N/A</v>
      </c>
      <c r="P2904" s="282">
        <f>++Tabla4[[#This Row],[Precio Descontado]]*Tabla4[[#This Row],[Cantidad]]</f>
        <v>1936.7704229999997</v>
      </c>
      <c r="Q2904" s="282" t="e">
        <f>(INDEX(Tabla6[#All],MATCH(Tabla4[[#This Row],[Producto]],Tabla6[[#All],[PRODUCTO]],0),MATCH(Tabla4[[#This Row],[Mes]],Tabla6[#Headers],0)))</f>
        <v>#N/A</v>
      </c>
      <c r="R2904" s="282" t="e">
        <f>++Tabla4[[#This Row],[Precio Unitario Neto]]-Tabla4[[#This Row],[20.85%]]-Tabla4[[#This Row],[Costo]]</f>
        <v>#N/A</v>
      </c>
      <c r="S2904" s="282" t="e">
        <f>++Tabla4[[#This Row],[U. Bruta Uni]]*Tabla4[[#This Row],[Cantidad]]</f>
        <v>#N/A</v>
      </c>
      <c r="T2904" s="369" t="str">
        <f>VLOOKUP(Tabla4[[#This Row],[Producto]],Tabla6[#All],14,FALSE)</f>
        <v>Termico Solar</v>
      </c>
      <c r="U2904" s="284" t="e">
        <f>(IF(Tabla4[[#This Row],[Familia]]="termico solar",Tabla4[[#This Row],[Utilidad Total]]*6%,Tabla4[[#This Row],[Utilidad Total]]*11.5%))/Tabla4[[#This Row],[Total]]</f>
        <v>#N/A</v>
      </c>
      <c r="V2904" s="282" t="e">
        <f>+Tabla4[[#This Row],[Comisión Calculada]]*Tabla4[[#This Row],[Total]]</f>
        <v>#N/A</v>
      </c>
    </row>
    <row r="2905" spans="1:22" hidden="1" x14ac:dyDescent="0.25">
      <c r="A2905" s="100">
        <v>45792</v>
      </c>
      <c r="B2905" t="str">
        <f t="shared" si="139"/>
        <v>May</v>
      </c>
      <c r="C2905" s="46" t="s">
        <v>280</v>
      </c>
      <c r="F2905" s="366" t="s">
        <v>1839</v>
      </c>
      <c r="G2905" s="46" t="s">
        <v>83</v>
      </c>
      <c r="H2905" s="46">
        <v>3</v>
      </c>
      <c r="I2905" s="51">
        <v>8858.76</v>
      </c>
      <c r="J2905" s="281">
        <f>++Tabla4[[#This Row],[Precio Bruto]]*1.16</f>
        <v>10276.161599999999</v>
      </c>
      <c r="K2905" s="281">
        <f>+Tabla4[[#This Row],[Precio Unitario Neto]]*Tabla4[[#Headers],[20.85%]]</f>
        <v>2142.5796935999997</v>
      </c>
      <c r="L2905" s="282">
        <f>++Tabla4[[#This Row],[Precio Unitario Neto]]-Tabla4[[#This Row],[20.85%]]</f>
        <v>8133.5819063999998</v>
      </c>
      <c r="M2905" s="282" t="e">
        <f>(INDEX(Tabla6[#All],MATCH(Tabla4[[#This Row],[Producto]],Tabla6[[#All],[PRODUCTO]],0),MATCH(Tabla4[[#This Row],[Mes]],Tabla6[#Headers],0)))*(1+Catalogos!$L$2)</f>
        <v>#N/A</v>
      </c>
      <c r="N2905" s="283" t="e">
        <f>+(Tabla4[[#This Row],[Precio Descontado]]-Tabla4[[#This Row],[Precio Base]])*Tabla4[[#This Row],[Cantidad]]</f>
        <v>#N/A</v>
      </c>
      <c r="O2905" s="284" t="e">
        <f>++Tabla4[[#This Row],[Utilidad Total]]/Tabla4[[#This Row],[Total]]</f>
        <v>#N/A</v>
      </c>
      <c r="P2905" s="282">
        <f>++Tabla4[[#This Row],[Precio Descontado]]*Tabla4[[#This Row],[Cantidad]]</f>
        <v>24400.7457192</v>
      </c>
      <c r="Q2905" s="282" t="e">
        <f>(INDEX(Tabla6[#All],MATCH(Tabla4[[#This Row],[Producto]],Tabla6[[#All],[PRODUCTO]],0),MATCH(Tabla4[[#This Row],[Mes]],Tabla6[#Headers],0)))</f>
        <v>#N/A</v>
      </c>
      <c r="R2905" s="282" t="e">
        <f>++Tabla4[[#This Row],[Precio Unitario Neto]]-Tabla4[[#This Row],[20.85%]]-Tabla4[[#This Row],[Costo]]</f>
        <v>#N/A</v>
      </c>
      <c r="S2905" s="282" t="e">
        <f>++Tabla4[[#This Row],[U. Bruta Uni]]*Tabla4[[#This Row],[Cantidad]]</f>
        <v>#N/A</v>
      </c>
      <c r="T2905" s="369" t="str">
        <f>VLOOKUP(Tabla4[[#This Row],[Producto]],Tabla6[#All],14,FALSE)</f>
        <v>Termico Solar</v>
      </c>
      <c r="U2905" s="284" t="e">
        <f>(IF(Tabla4[[#This Row],[Familia]]="termico solar",Tabla4[[#This Row],[Utilidad Total]]*6%,Tabla4[[#This Row],[Utilidad Total]]*11.5%))/Tabla4[[#This Row],[Total]]</f>
        <v>#N/A</v>
      </c>
      <c r="V2905" s="282" t="e">
        <f>+Tabla4[[#This Row],[Comisión Calculada]]*Tabla4[[#This Row],[Total]]</f>
        <v>#N/A</v>
      </c>
    </row>
    <row r="2906" spans="1:22" hidden="1" x14ac:dyDescent="0.25">
      <c r="A2906" s="100">
        <v>45792</v>
      </c>
      <c r="B2906" t="str">
        <f t="shared" si="139"/>
        <v>May</v>
      </c>
      <c r="C2906" s="46" t="s">
        <v>280</v>
      </c>
      <c r="F2906" s="366" t="s">
        <v>1839</v>
      </c>
      <c r="G2906" s="46" t="s">
        <v>18</v>
      </c>
      <c r="H2906" s="46">
        <v>1</v>
      </c>
      <c r="I2906" s="51">
        <v>5367.65</v>
      </c>
      <c r="J2906" s="281">
        <f>++Tabla4[[#This Row],[Precio Bruto]]*1.16</f>
        <v>6226.4739999999993</v>
      </c>
      <c r="K2906" s="281">
        <f>+Tabla4[[#This Row],[Precio Unitario Neto]]*Tabla4[[#Headers],[20.85%]]</f>
        <v>1298.2198289999999</v>
      </c>
      <c r="L2906" s="282">
        <f>++Tabla4[[#This Row],[Precio Unitario Neto]]-Tabla4[[#This Row],[20.85%]]</f>
        <v>4928.2541709999996</v>
      </c>
      <c r="M2906" s="282" t="e">
        <f>(INDEX(Tabla6[#All],MATCH(Tabla4[[#This Row],[Producto]],Tabla6[[#All],[PRODUCTO]],0),MATCH(Tabla4[[#This Row],[Mes]],Tabla6[#Headers],0)))*(1+Catalogos!$L$2)</f>
        <v>#N/A</v>
      </c>
      <c r="N2906" s="283" t="e">
        <f>+(Tabla4[[#This Row],[Precio Descontado]]-Tabla4[[#This Row],[Precio Base]])*Tabla4[[#This Row],[Cantidad]]</f>
        <v>#N/A</v>
      </c>
      <c r="O2906" s="284" t="e">
        <f>++Tabla4[[#This Row],[Utilidad Total]]/Tabla4[[#This Row],[Total]]</f>
        <v>#N/A</v>
      </c>
      <c r="P2906" s="282">
        <f>++Tabla4[[#This Row],[Precio Descontado]]*Tabla4[[#This Row],[Cantidad]]</f>
        <v>4928.2541709999996</v>
      </c>
      <c r="Q2906" s="282" t="e">
        <f>(INDEX(Tabla6[#All],MATCH(Tabla4[[#This Row],[Producto]],Tabla6[[#All],[PRODUCTO]],0),MATCH(Tabla4[[#This Row],[Mes]],Tabla6[#Headers],0)))</f>
        <v>#N/A</v>
      </c>
      <c r="R2906" s="282" t="e">
        <f>++Tabla4[[#This Row],[Precio Unitario Neto]]-Tabla4[[#This Row],[20.85%]]-Tabla4[[#This Row],[Costo]]</f>
        <v>#N/A</v>
      </c>
      <c r="S2906" s="282" t="e">
        <f>++Tabla4[[#This Row],[U. Bruta Uni]]*Tabla4[[#This Row],[Cantidad]]</f>
        <v>#N/A</v>
      </c>
      <c r="T2906" s="369" t="str">
        <f>VLOOKUP(Tabla4[[#This Row],[Producto]],Tabla6[#All],14,FALSE)</f>
        <v>Termico Solar</v>
      </c>
      <c r="U2906" s="284" t="e">
        <f>(IF(Tabla4[[#This Row],[Familia]]="termico solar",Tabla4[[#This Row],[Utilidad Total]]*6%,Tabla4[[#This Row],[Utilidad Total]]*11.5%))/Tabla4[[#This Row],[Total]]</f>
        <v>#N/A</v>
      </c>
      <c r="V2906" s="282" t="e">
        <f>+Tabla4[[#This Row],[Comisión Calculada]]*Tabla4[[#This Row],[Total]]</f>
        <v>#N/A</v>
      </c>
    </row>
    <row r="2907" spans="1:22" hidden="1" x14ac:dyDescent="0.25">
      <c r="A2907" s="100">
        <v>45792</v>
      </c>
      <c r="B2907" t="str">
        <f t="shared" si="139"/>
        <v>May</v>
      </c>
      <c r="C2907" s="46" t="s">
        <v>280</v>
      </c>
      <c r="F2907" s="366" t="s">
        <v>1839</v>
      </c>
      <c r="G2907" s="46" t="s">
        <v>19</v>
      </c>
      <c r="H2907" s="46">
        <v>1</v>
      </c>
      <c r="I2907" s="51">
        <v>6412.03</v>
      </c>
      <c r="J2907" s="281">
        <f>++Tabla4[[#This Row],[Precio Bruto]]*1.16</f>
        <v>7437.9547999999995</v>
      </c>
      <c r="K2907" s="281">
        <f>+Tabla4[[#This Row],[Precio Unitario Neto]]*Tabla4[[#Headers],[20.85%]]</f>
        <v>1550.8135757999999</v>
      </c>
      <c r="L2907" s="282">
        <f>++Tabla4[[#This Row],[Precio Unitario Neto]]-Tabla4[[#This Row],[20.85%]]</f>
        <v>5887.1412241999997</v>
      </c>
      <c r="M2907" s="282" t="e">
        <f>(INDEX(Tabla6[#All],MATCH(Tabla4[[#This Row],[Producto]],Tabla6[[#All],[PRODUCTO]],0),MATCH(Tabla4[[#This Row],[Mes]],Tabla6[#Headers],0)))*(1+Catalogos!$L$2)</f>
        <v>#N/A</v>
      </c>
      <c r="N2907" s="283" t="e">
        <f>+(Tabla4[[#This Row],[Precio Descontado]]-Tabla4[[#This Row],[Precio Base]])*Tabla4[[#This Row],[Cantidad]]</f>
        <v>#N/A</v>
      </c>
      <c r="O2907" s="284" t="e">
        <f>++Tabla4[[#This Row],[Utilidad Total]]/Tabla4[[#This Row],[Total]]</f>
        <v>#N/A</v>
      </c>
      <c r="P2907" s="282">
        <f>++Tabla4[[#This Row],[Precio Descontado]]*Tabla4[[#This Row],[Cantidad]]</f>
        <v>5887.1412241999997</v>
      </c>
      <c r="Q2907" s="282" t="e">
        <f>(INDEX(Tabla6[#All],MATCH(Tabla4[[#This Row],[Producto]],Tabla6[[#All],[PRODUCTO]],0),MATCH(Tabla4[[#This Row],[Mes]],Tabla6[#Headers],0)))</f>
        <v>#N/A</v>
      </c>
      <c r="R2907" s="282" t="e">
        <f>++Tabla4[[#This Row],[Precio Unitario Neto]]-Tabla4[[#This Row],[20.85%]]-Tabla4[[#This Row],[Costo]]</f>
        <v>#N/A</v>
      </c>
      <c r="S2907" s="282" t="e">
        <f>++Tabla4[[#This Row],[U. Bruta Uni]]*Tabla4[[#This Row],[Cantidad]]</f>
        <v>#N/A</v>
      </c>
      <c r="T2907" s="369" t="str">
        <f>VLOOKUP(Tabla4[[#This Row],[Producto]],Tabla6[#All],14,FALSE)</f>
        <v>Termico Solar</v>
      </c>
      <c r="U2907" s="284" t="e">
        <f>(IF(Tabla4[[#This Row],[Familia]]="termico solar",Tabla4[[#This Row],[Utilidad Total]]*6%,Tabla4[[#This Row],[Utilidad Total]]*11.5%))/Tabla4[[#This Row],[Total]]</f>
        <v>#N/A</v>
      </c>
      <c r="V2907" s="282" t="e">
        <f>+Tabla4[[#This Row],[Comisión Calculada]]*Tabla4[[#This Row],[Total]]</f>
        <v>#N/A</v>
      </c>
    </row>
    <row r="2908" spans="1:22" hidden="1" x14ac:dyDescent="0.25">
      <c r="A2908" s="100">
        <v>45792</v>
      </c>
      <c r="B2908" t="str">
        <f t="shared" si="139"/>
        <v>May</v>
      </c>
      <c r="C2908" s="46" t="s">
        <v>280</v>
      </c>
      <c r="F2908" s="366" t="s">
        <v>1839</v>
      </c>
      <c r="G2908" s="46" t="s">
        <v>16</v>
      </c>
      <c r="H2908" s="46">
        <v>2</v>
      </c>
      <c r="I2908" s="51">
        <v>4103.8500000000004</v>
      </c>
      <c r="J2908" s="281">
        <f>++Tabla4[[#This Row],[Precio Bruto]]*1.16</f>
        <v>4760.4660000000003</v>
      </c>
      <c r="K2908" s="281">
        <f>+Tabla4[[#This Row],[Precio Unitario Neto]]*Tabla4[[#Headers],[20.85%]]</f>
        <v>992.55716100000006</v>
      </c>
      <c r="L2908" s="282">
        <f>++Tabla4[[#This Row],[Precio Unitario Neto]]-Tabla4[[#This Row],[20.85%]]</f>
        <v>3767.9088390000002</v>
      </c>
      <c r="M2908" s="282" t="e">
        <f>(INDEX(Tabla6[#All],MATCH(Tabla4[[#This Row],[Producto]],Tabla6[[#All],[PRODUCTO]],0),MATCH(Tabla4[[#This Row],[Mes]],Tabla6[#Headers],0)))*(1+Catalogos!$L$2)</f>
        <v>#N/A</v>
      </c>
      <c r="N2908" s="283" t="e">
        <f>+(Tabla4[[#This Row],[Precio Descontado]]-Tabla4[[#This Row],[Precio Base]])*Tabla4[[#This Row],[Cantidad]]</f>
        <v>#N/A</v>
      </c>
      <c r="O2908" s="284" t="e">
        <f>++Tabla4[[#This Row],[Utilidad Total]]/Tabla4[[#This Row],[Total]]</f>
        <v>#N/A</v>
      </c>
      <c r="P2908" s="282">
        <f>++Tabla4[[#This Row],[Precio Descontado]]*Tabla4[[#This Row],[Cantidad]]</f>
        <v>7535.8176780000003</v>
      </c>
      <c r="Q2908" s="282" t="e">
        <f>(INDEX(Tabla6[#All],MATCH(Tabla4[[#This Row],[Producto]],Tabla6[[#All],[PRODUCTO]],0),MATCH(Tabla4[[#This Row],[Mes]],Tabla6[#Headers],0)))</f>
        <v>#N/A</v>
      </c>
      <c r="R2908" s="282" t="e">
        <f>++Tabla4[[#This Row],[Precio Unitario Neto]]-Tabla4[[#This Row],[20.85%]]-Tabla4[[#This Row],[Costo]]</f>
        <v>#N/A</v>
      </c>
      <c r="S2908" s="282" t="e">
        <f>++Tabla4[[#This Row],[U. Bruta Uni]]*Tabla4[[#This Row],[Cantidad]]</f>
        <v>#N/A</v>
      </c>
      <c r="T2908" s="369" t="str">
        <f>VLOOKUP(Tabla4[[#This Row],[Producto]],Tabla6[#All],14,FALSE)</f>
        <v>Termico Solar</v>
      </c>
      <c r="U2908" s="284" t="e">
        <f>(IF(Tabla4[[#This Row],[Familia]]="termico solar",Tabla4[[#This Row],[Utilidad Total]]*6%,Tabla4[[#This Row],[Utilidad Total]]*11.5%))/Tabla4[[#This Row],[Total]]</f>
        <v>#N/A</v>
      </c>
      <c r="V2908" s="282" t="e">
        <f>+Tabla4[[#This Row],[Comisión Calculada]]*Tabla4[[#This Row],[Total]]</f>
        <v>#N/A</v>
      </c>
    </row>
    <row r="2909" spans="1:22" hidden="1" x14ac:dyDescent="0.25">
      <c r="A2909" s="100">
        <v>45792</v>
      </c>
      <c r="B2909" t="str">
        <f t="shared" si="139"/>
        <v>May</v>
      </c>
      <c r="C2909" s="46" t="s">
        <v>280</v>
      </c>
      <c r="F2909" s="366" t="s">
        <v>1840</v>
      </c>
      <c r="G2909" s="46" t="s">
        <v>83</v>
      </c>
      <c r="H2909" s="46">
        <v>1</v>
      </c>
      <c r="I2909" s="51">
        <v>8858.76</v>
      </c>
      <c r="J2909" s="281">
        <f>++Tabla4[[#This Row],[Precio Bruto]]*1.16</f>
        <v>10276.161599999999</v>
      </c>
      <c r="K2909" s="281">
        <f>+Tabla4[[#This Row],[Precio Unitario Neto]]*Tabla4[[#Headers],[20.85%]]</f>
        <v>2142.5796935999997</v>
      </c>
      <c r="L2909" s="282">
        <f>++Tabla4[[#This Row],[Precio Unitario Neto]]-Tabla4[[#This Row],[20.85%]]</f>
        <v>8133.5819063999998</v>
      </c>
      <c r="M2909" s="282" t="e">
        <f>(INDEX(Tabla6[#All],MATCH(Tabla4[[#This Row],[Producto]],Tabla6[[#All],[PRODUCTO]],0),MATCH(Tabla4[[#This Row],[Mes]],Tabla6[#Headers],0)))*(1+Catalogos!$L$2)</f>
        <v>#N/A</v>
      </c>
      <c r="N2909" s="283" t="e">
        <f>+(Tabla4[[#This Row],[Precio Descontado]]-Tabla4[[#This Row],[Precio Base]])*Tabla4[[#This Row],[Cantidad]]</f>
        <v>#N/A</v>
      </c>
      <c r="O2909" s="284" t="e">
        <f>++Tabla4[[#This Row],[Utilidad Total]]/Tabla4[[#This Row],[Total]]</f>
        <v>#N/A</v>
      </c>
      <c r="P2909" s="282">
        <f>++Tabla4[[#This Row],[Precio Descontado]]*Tabla4[[#This Row],[Cantidad]]</f>
        <v>8133.5819063999998</v>
      </c>
      <c r="Q2909" s="282" t="e">
        <f>(INDEX(Tabla6[#All],MATCH(Tabla4[[#This Row],[Producto]],Tabla6[[#All],[PRODUCTO]],0),MATCH(Tabla4[[#This Row],[Mes]],Tabla6[#Headers],0)))</f>
        <v>#N/A</v>
      </c>
      <c r="R2909" s="282" t="e">
        <f>++Tabla4[[#This Row],[Precio Unitario Neto]]-Tabla4[[#This Row],[20.85%]]-Tabla4[[#This Row],[Costo]]</f>
        <v>#N/A</v>
      </c>
      <c r="S2909" s="282" t="e">
        <f>++Tabla4[[#This Row],[U. Bruta Uni]]*Tabla4[[#This Row],[Cantidad]]</f>
        <v>#N/A</v>
      </c>
      <c r="T2909" s="369" t="str">
        <f>VLOOKUP(Tabla4[[#This Row],[Producto]],Tabla6[#All],14,FALSE)</f>
        <v>Termico Solar</v>
      </c>
      <c r="U2909" s="284" t="e">
        <f>(IF(Tabla4[[#This Row],[Familia]]="termico solar",Tabla4[[#This Row],[Utilidad Total]]*6%,Tabla4[[#This Row],[Utilidad Total]]*11.5%))/Tabla4[[#This Row],[Total]]</f>
        <v>#N/A</v>
      </c>
      <c r="V2909" s="282" t="e">
        <f>+Tabla4[[#This Row],[Comisión Calculada]]*Tabla4[[#This Row],[Total]]</f>
        <v>#N/A</v>
      </c>
    </row>
    <row r="2910" spans="1:22" hidden="1" x14ac:dyDescent="0.25">
      <c r="A2910" s="100">
        <v>45792</v>
      </c>
      <c r="B2910" t="str">
        <f t="shared" si="139"/>
        <v>May</v>
      </c>
      <c r="C2910" s="46" t="s">
        <v>280</v>
      </c>
      <c r="F2910" s="366" t="s">
        <v>1840</v>
      </c>
      <c r="G2910" s="46" t="s">
        <v>18</v>
      </c>
      <c r="H2910" s="46">
        <v>1</v>
      </c>
      <c r="I2910" s="51">
        <v>5367.65</v>
      </c>
      <c r="J2910" s="281">
        <f>++Tabla4[[#This Row],[Precio Bruto]]*1.16</f>
        <v>6226.4739999999993</v>
      </c>
      <c r="K2910" s="281">
        <f>+Tabla4[[#This Row],[Precio Unitario Neto]]*Tabla4[[#Headers],[20.85%]]</f>
        <v>1298.2198289999999</v>
      </c>
      <c r="L2910" s="282">
        <f>++Tabla4[[#This Row],[Precio Unitario Neto]]-Tabla4[[#This Row],[20.85%]]</f>
        <v>4928.2541709999996</v>
      </c>
      <c r="M2910" s="282" t="e">
        <f>(INDEX(Tabla6[#All],MATCH(Tabla4[[#This Row],[Producto]],Tabla6[[#All],[PRODUCTO]],0),MATCH(Tabla4[[#This Row],[Mes]],Tabla6[#Headers],0)))*(1+Catalogos!$L$2)</f>
        <v>#N/A</v>
      </c>
      <c r="N2910" s="283" t="e">
        <f>+(Tabla4[[#This Row],[Precio Descontado]]-Tabla4[[#This Row],[Precio Base]])*Tabla4[[#This Row],[Cantidad]]</f>
        <v>#N/A</v>
      </c>
      <c r="O2910" s="284" t="e">
        <f>++Tabla4[[#This Row],[Utilidad Total]]/Tabla4[[#This Row],[Total]]</f>
        <v>#N/A</v>
      </c>
      <c r="P2910" s="282">
        <f>++Tabla4[[#This Row],[Precio Descontado]]*Tabla4[[#This Row],[Cantidad]]</f>
        <v>4928.2541709999996</v>
      </c>
      <c r="Q2910" s="282" t="e">
        <f>(INDEX(Tabla6[#All],MATCH(Tabla4[[#This Row],[Producto]],Tabla6[[#All],[PRODUCTO]],0),MATCH(Tabla4[[#This Row],[Mes]],Tabla6[#Headers],0)))</f>
        <v>#N/A</v>
      </c>
      <c r="R2910" s="282" t="e">
        <f>++Tabla4[[#This Row],[Precio Unitario Neto]]-Tabla4[[#This Row],[20.85%]]-Tabla4[[#This Row],[Costo]]</f>
        <v>#N/A</v>
      </c>
      <c r="S2910" s="282" t="e">
        <f>++Tabla4[[#This Row],[U. Bruta Uni]]*Tabla4[[#This Row],[Cantidad]]</f>
        <v>#N/A</v>
      </c>
      <c r="T2910" s="369" t="str">
        <f>VLOOKUP(Tabla4[[#This Row],[Producto]],Tabla6[#All],14,FALSE)</f>
        <v>Termico Solar</v>
      </c>
      <c r="U2910" s="284" t="e">
        <f>(IF(Tabla4[[#This Row],[Familia]]="termico solar",Tabla4[[#This Row],[Utilidad Total]]*6%,Tabla4[[#This Row],[Utilidad Total]]*11.5%))/Tabla4[[#This Row],[Total]]</f>
        <v>#N/A</v>
      </c>
      <c r="V2910" s="282" t="e">
        <f>+Tabla4[[#This Row],[Comisión Calculada]]*Tabla4[[#This Row],[Total]]</f>
        <v>#N/A</v>
      </c>
    </row>
    <row r="2911" spans="1:22" hidden="1" x14ac:dyDescent="0.25">
      <c r="A2911" s="100">
        <v>45792</v>
      </c>
      <c r="B2911" t="str">
        <f t="shared" si="139"/>
        <v>May</v>
      </c>
      <c r="C2911" s="46" t="s">
        <v>280</v>
      </c>
      <c r="F2911" s="366" t="s">
        <v>1841</v>
      </c>
      <c r="G2911" s="46" t="s">
        <v>83</v>
      </c>
      <c r="H2911" s="46">
        <v>7</v>
      </c>
      <c r="I2911" s="51">
        <v>8858.76</v>
      </c>
      <c r="J2911" s="281">
        <f>++Tabla4[[#This Row],[Precio Bruto]]*1.16</f>
        <v>10276.161599999999</v>
      </c>
      <c r="K2911" s="281">
        <f>+Tabla4[[#This Row],[Precio Unitario Neto]]*Tabla4[[#Headers],[20.85%]]</f>
        <v>2142.5796935999997</v>
      </c>
      <c r="L2911" s="282">
        <f>++Tabla4[[#This Row],[Precio Unitario Neto]]-Tabla4[[#This Row],[20.85%]]</f>
        <v>8133.5819063999998</v>
      </c>
      <c r="M2911" s="282" t="e">
        <f>(INDEX(Tabla6[#All],MATCH(Tabla4[[#This Row],[Producto]],Tabla6[[#All],[PRODUCTO]],0),MATCH(Tabla4[[#This Row],[Mes]],Tabla6[#Headers],0)))*(1+Catalogos!$L$2)</f>
        <v>#N/A</v>
      </c>
      <c r="N2911" s="283" t="e">
        <f>+(Tabla4[[#This Row],[Precio Descontado]]-Tabla4[[#This Row],[Precio Base]])*Tabla4[[#This Row],[Cantidad]]</f>
        <v>#N/A</v>
      </c>
      <c r="O2911" s="284" t="e">
        <f>++Tabla4[[#This Row],[Utilidad Total]]/Tabla4[[#This Row],[Total]]</f>
        <v>#N/A</v>
      </c>
      <c r="P2911" s="282">
        <f>++Tabla4[[#This Row],[Precio Descontado]]*Tabla4[[#This Row],[Cantidad]]</f>
        <v>56935.073344799996</v>
      </c>
      <c r="Q2911" s="282" t="e">
        <f>(INDEX(Tabla6[#All],MATCH(Tabla4[[#This Row],[Producto]],Tabla6[[#All],[PRODUCTO]],0),MATCH(Tabla4[[#This Row],[Mes]],Tabla6[#Headers],0)))</f>
        <v>#N/A</v>
      </c>
      <c r="R2911" s="282" t="e">
        <f>++Tabla4[[#This Row],[Precio Unitario Neto]]-Tabla4[[#This Row],[20.85%]]-Tabla4[[#This Row],[Costo]]</f>
        <v>#N/A</v>
      </c>
      <c r="S2911" s="282" t="e">
        <f>++Tabla4[[#This Row],[U. Bruta Uni]]*Tabla4[[#This Row],[Cantidad]]</f>
        <v>#N/A</v>
      </c>
      <c r="T2911" s="369" t="str">
        <f>VLOOKUP(Tabla4[[#This Row],[Producto]],Tabla6[#All],14,FALSE)</f>
        <v>Termico Solar</v>
      </c>
      <c r="U2911" s="284" t="e">
        <f>(IF(Tabla4[[#This Row],[Familia]]="termico solar",Tabla4[[#This Row],[Utilidad Total]]*6%,Tabla4[[#This Row],[Utilidad Total]]*11.5%))/Tabla4[[#This Row],[Total]]</f>
        <v>#N/A</v>
      </c>
      <c r="V2911" s="282" t="e">
        <f>+Tabla4[[#This Row],[Comisión Calculada]]*Tabla4[[#This Row],[Total]]</f>
        <v>#N/A</v>
      </c>
    </row>
    <row r="2912" spans="1:22" hidden="1" x14ac:dyDescent="0.25">
      <c r="A2912" s="100">
        <v>45792</v>
      </c>
      <c r="B2912" t="str">
        <f t="shared" si="139"/>
        <v>May</v>
      </c>
      <c r="C2912" s="46" t="s">
        <v>280</v>
      </c>
      <c r="F2912" s="366" t="s">
        <v>1841</v>
      </c>
      <c r="G2912" s="46" t="s">
        <v>17</v>
      </c>
      <c r="H2912" s="46">
        <v>3</v>
      </c>
      <c r="I2912" s="51">
        <v>4622.28</v>
      </c>
      <c r="J2912" s="281">
        <f>++Tabla4[[#This Row],[Precio Bruto]]*1.16</f>
        <v>5361.8447999999989</v>
      </c>
      <c r="K2912" s="281">
        <f>+Tabla4[[#This Row],[Precio Unitario Neto]]*Tabla4[[#Headers],[20.85%]]</f>
        <v>1117.9446407999997</v>
      </c>
      <c r="L2912" s="282">
        <f>++Tabla4[[#This Row],[Precio Unitario Neto]]-Tabla4[[#This Row],[20.85%]]</f>
        <v>4243.9001591999995</v>
      </c>
      <c r="M2912" s="282" t="e">
        <f>(INDEX(Tabla6[#All],MATCH(Tabla4[[#This Row],[Producto]],Tabla6[[#All],[PRODUCTO]],0),MATCH(Tabla4[[#This Row],[Mes]],Tabla6[#Headers],0)))*(1+Catalogos!$L$2)</f>
        <v>#N/A</v>
      </c>
      <c r="N2912" s="283" t="e">
        <f>+(Tabla4[[#This Row],[Precio Descontado]]-Tabla4[[#This Row],[Precio Base]])*Tabla4[[#This Row],[Cantidad]]</f>
        <v>#N/A</v>
      </c>
      <c r="O2912" s="284" t="e">
        <f>++Tabla4[[#This Row],[Utilidad Total]]/Tabla4[[#This Row],[Total]]</f>
        <v>#N/A</v>
      </c>
      <c r="P2912" s="282">
        <f>++Tabla4[[#This Row],[Precio Descontado]]*Tabla4[[#This Row],[Cantidad]]</f>
        <v>12731.700477599999</v>
      </c>
      <c r="Q2912" s="282" t="e">
        <f>(INDEX(Tabla6[#All],MATCH(Tabla4[[#This Row],[Producto]],Tabla6[[#All],[PRODUCTO]],0),MATCH(Tabla4[[#This Row],[Mes]],Tabla6[#Headers],0)))</f>
        <v>#N/A</v>
      </c>
      <c r="R2912" s="282" t="e">
        <f>++Tabla4[[#This Row],[Precio Unitario Neto]]-Tabla4[[#This Row],[20.85%]]-Tabla4[[#This Row],[Costo]]</f>
        <v>#N/A</v>
      </c>
      <c r="S2912" s="282" t="e">
        <f>++Tabla4[[#This Row],[U. Bruta Uni]]*Tabla4[[#This Row],[Cantidad]]</f>
        <v>#N/A</v>
      </c>
      <c r="T2912" s="369" t="str">
        <f>VLOOKUP(Tabla4[[#This Row],[Producto]],Tabla6[#All],14,FALSE)</f>
        <v>Termico Solar</v>
      </c>
      <c r="U2912" s="284" t="e">
        <f>(IF(Tabla4[[#This Row],[Familia]]="termico solar",Tabla4[[#This Row],[Utilidad Total]]*6%,Tabla4[[#This Row],[Utilidad Total]]*11.5%))/Tabla4[[#This Row],[Total]]</f>
        <v>#N/A</v>
      </c>
      <c r="V2912" s="282" t="e">
        <f>+Tabla4[[#This Row],[Comisión Calculada]]*Tabla4[[#This Row],[Total]]</f>
        <v>#N/A</v>
      </c>
    </row>
    <row r="2913" spans="1:22" hidden="1" x14ac:dyDescent="0.25">
      <c r="A2913" s="100">
        <v>45792</v>
      </c>
      <c r="B2913" t="str">
        <f t="shared" si="139"/>
        <v>May</v>
      </c>
      <c r="C2913" s="46" t="s">
        <v>280</v>
      </c>
      <c r="F2913" s="366" t="s">
        <v>1841</v>
      </c>
      <c r="G2913" s="46" t="s">
        <v>18</v>
      </c>
      <c r="H2913" s="46">
        <v>1</v>
      </c>
      <c r="I2913" s="51">
        <v>5367.65</v>
      </c>
      <c r="J2913" s="281">
        <f>++Tabla4[[#This Row],[Precio Bruto]]*1.16</f>
        <v>6226.4739999999993</v>
      </c>
      <c r="K2913" s="281">
        <f>+Tabla4[[#This Row],[Precio Unitario Neto]]*Tabla4[[#Headers],[20.85%]]</f>
        <v>1298.2198289999999</v>
      </c>
      <c r="L2913" s="282">
        <f>++Tabla4[[#This Row],[Precio Unitario Neto]]-Tabla4[[#This Row],[20.85%]]</f>
        <v>4928.2541709999996</v>
      </c>
      <c r="M2913" s="282" t="e">
        <f>(INDEX(Tabla6[#All],MATCH(Tabla4[[#This Row],[Producto]],Tabla6[[#All],[PRODUCTO]],0),MATCH(Tabla4[[#This Row],[Mes]],Tabla6[#Headers],0)))*(1+Catalogos!$L$2)</f>
        <v>#N/A</v>
      </c>
      <c r="N2913" s="283" t="e">
        <f>+(Tabla4[[#This Row],[Precio Descontado]]-Tabla4[[#This Row],[Precio Base]])*Tabla4[[#This Row],[Cantidad]]</f>
        <v>#N/A</v>
      </c>
      <c r="O2913" s="284" t="e">
        <f>++Tabla4[[#This Row],[Utilidad Total]]/Tabla4[[#This Row],[Total]]</f>
        <v>#N/A</v>
      </c>
      <c r="P2913" s="282">
        <f>++Tabla4[[#This Row],[Precio Descontado]]*Tabla4[[#This Row],[Cantidad]]</f>
        <v>4928.2541709999996</v>
      </c>
      <c r="Q2913" s="282" t="e">
        <f>(INDEX(Tabla6[#All],MATCH(Tabla4[[#This Row],[Producto]],Tabla6[[#All],[PRODUCTO]],0),MATCH(Tabla4[[#This Row],[Mes]],Tabla6[#Headers],0)))</f>
        <v>#N/A</v>
      </c>
      <c r="R2913" s="282" t="e">
        <f>++Tabla4[[#This Row],[Precio Unitario Neto]]-Tabla4[[#This Row],[20.85%]]-Tabla4[[#This Row],[Costo]]</f>
        <v>#N/A</v>
      </c>
      <c r="S2913" s="282" t="e">
        <f>++Tabla4[[#This Row],[U. Bruta Uni]]*Tabla4[[#This Row],[Cantidad]]</f>
        <v>#N/A</v>
      </c>
      <c r="T2913" s="369" t="str">
        <f>VLOOKUP(Tabla4[[#This Row],[Producto]],Tabla6[#All],14,FALSE)</f>
        <v>Termico Solar</v>
      </c>
      <c r="U2913" s="284" t="e">
        <f>(IF(Tabla4[[#This Row],[Familia]]="termico solar",Tabla4[[#This Row],[Utilidad Total]]*6%,Tabla4[[#This Row],[Utilidad Total]]*11.5%))/Tabla4[[#This Row],[Total]]</f>
        <v>#N/A</v>
      </c>
      <c r="V2913" s="282" t="e">
        <f>+Tabla4[[#This Row],[Comisión Calculada]]*Tabla4[[#This Row],[Total]]</f>
        <v>#N/A</v>
      </c>
    </row>
    <row r="2914" spans="1:22" hidden="1" x14ac:dyDescent="0.25">
      <c r="A2914" s="100">
        <v>45792</v>
      </c>
      <c r="B2914" t="str">
        <f t="shared" si="139"/>
        <v>May</v>
      </c>
      <c r="C2914" s="46" t="s">
        <v>280</v>
      </c>
      <c r="F2914" s="366" t="s">
        <v>1841</v>
      </c>
      <c r="G2914" s="46" t="s">
        <v>16</v>
      </c>
      <c r="H2914" s="46">
        <v>2</v>
      </c>
      <c r="I2914" s="51">
        <v>4103.8500000000004</v>
      </c>
      <c r="J2914" s="281">
        <f>++Tabla4[[#This Row],[Precio Bruto]]*1.16</f>
        <v>4760.4660000000003</v>
      </c>
      <c r="K2914" s="281">
        <f>+Tabla4[[#This Row],[Precio Unitario Neto]]*Tabla4[[#Headers],[20.85%]]</f>
        <v>992.55716100000006</v>
      </c>
      <c r="L2914" s="282">
        <f>++Tabla4[[#This Row],[Precio Unitario Neto]]-Tabla4[[#This Row],[20.85%]]</f>
        <v>3767.9088390000002</v>
      </c>
      <c r="M2914" s="282" t="e">
        <f>(INDEX(Tabla6[#All],MATCH(Tabla4[[#This Row],[Producto]],Tabla6[[#All],[PRODUCTO]],0),MATCH(Tabla4[[#This Row],[Mes]],Tabla6[#Headers],0)))*(1+Catalogos!$L$2)</f>
        <v>#N/A</v>
      </c>
      <c r="N2914" s="283" t="e">
        <f>+(Tabla4[[#This Row],[Precio Descontado]]-Tabla4[[#This Row],[Precio Base]])*Tabla4[[#This Row],[Cantidad]]</f>
        <v>#N/A</v>
      </c>
      <c r="O2914" s="284" t="e">
        <f>++Tabla4[[#This Row],[Utilidad Total]]/Tabla4[[#This Row],[Total]]</f>
        <v>#N/A</v>
      </c>
      <c r="P2914" s="282">
        <f>++Tabla4[[#This Row],[Precio Descontado]]*Tabla4[[#This Row],[Cantidad]]</f>
        <v>7535.8176780000003</v>
      </c>
      <c r="Q2914" s="282" t="e">
        <f>(INDEX(Tabla6[#All],MATCH(Tabla4[[#This Row],[Producto]],Tabla6[[#All],[PRODUCTO]],0),MATCH(Tabla4[[#This Row],[Mes]],Tabla6[#Headers],0)))</f>
        <v>#N/A</v>
      </c>
      <c r="R2914" s="282" t="e">
        <f>++Tabla4[[#This Row],[Precio Unitario Neto]]-Tabla4[[#This Row],[20.85%]]-Tabla4[[#This Row],[Costo]]</f>
        <v>#N/A</v>
      </c>
      <c r="S2914" s="282" t="e">
        <f>++Tabla4[[#This Row],[U. Bruta Uni]]*Tabla4[[#This Row],[Cantidad]]</f>
        <v>#N/A</v>
      </c>
      <c r="T2914" s="369" t="str">
        <f>VLOOKUP(Tabla4[[#This Row],[Producto]],Tabla6[#All],14,FALSE)</f>
        <v>Termico Solar</v>
      </c>
      <c r="U2914" s="284" t="e">
        <f>(IF(Tabla4[[#This Row],[Familia]]="termico solar",Tabla4[[#This Row],[Utilidad Total]]*6%,Tabla4[[#This Row],[Utilidad Total]]*11.5%))/Tabla4[[#This Row],[Total]]</f>
        <v>#N/A</v>
      </c>
      <c r="V2914" s="282" t="e">
        <f>+Tabla4[[#This Row],[Comisión Calculada]]*Tabla4[[#This Row],[Total]]</f>
        <v>#N/A</v>
      </c>
    </row>
    <row r="2915" spans="1:22" hidden="1" x14ac:dyDescent="0.25">
      <c r="A2915" s="100">
        <v>45792</v>
      </c>
      <c r="B2915" t="str">
        <f t="shared" si="139"/>
        <v>May</v>
      </c>
      <c r="C2915" s="46" t="s">
        <v>280</v>
      </c>
      <c r="F2915" s="366" t="s">
        <v>1842</v>
      </c>
      <c r="G2915" s="46" t="s">
        <v>83</v>
      </c>
      <c r="H2915" s="46">
        <v>6</v>
      </c>
      <c r="I2915" s="51">
        <v>8858.76</v>
      </c>
      <c r="J2915" s="281">
        <f>++Tabla4[[#This Row],[Precio Bruto]]*1.16</f>
        <v>10276.161599999999</v>
      </c>
      <c r="K2915" s="281">
        <f>+Tabla4[[#This Row],[Precio Unitario Neto]]*Tabla4[[#Headers],[20.85%]]</f>
        <v>2142.5796935999997</v>
      </c>
      <c r="L2915" s="282">
        <f>++Tabla4[[#This Row],[Precio Unitario Neto]]-Tabla4[[#This Row],[20.85%]]</f>
        <v>8133.5819063999998</v>
      </c>
      <c r="M2915" s="282" t="e">
        <f>(INDEX(Tabla6[#All],MATCH(Tabla4[[#This Row],[Producto]],Tabla6[[#All],[PRODUCTO]],0),MATCH(Tabla4[[#This Row],[Mes]],Tabla6[#Headers],0)))*(1+Catalogos!$L$2)</f>
        <v>#N/A</v>
      </c>
      <c r="N2915" s="283" t="e">
        <f>+(Tabla4[[#This Row],[Precio Descontado]]-Tabla4[[#This Row],[Precio Base]])*Tabla4[[#This Row],[Cantidad]]</f>
        <v>#N/A</v>
      </c>
      <c r="O2915" s="284" t="e">
        <f>++Tabla4[[#This Row],[Utilidad Total]]/Tabla4[[#This Row],[Total]]</f>
        <v>#N/A</v>
      </c>
      <c r="P2915" s="282">
        <f>++Tabla4[[#This Row],[Precio Descontado]]*Tabla4[[#This Row],[Cantidad]]</f>
        <v>48801.4914384</v>
      </c>
      <c r="Q2915" s="282" t="e">
        <f>(INDEX(Tabla6[#All],MATCH(Tabla4[[#This Row],[Producto]],Tabla6[[#All],[PRODUCTO]],0),MATCH(Tabla4[[#This Row],[Mes]],Tabla6[#Headers],0)))</f>
        <v>#N/A</v>
      </c>
      <c r="R2915" s="282" t="e">
        <f>++Tabla4[[#This Row],[Precio Unitario Neto]]-Tabla4[[#This Row],[20.85%]]-Tabla4[[#This Row],[Costo]]</f>
        <v>#N/A</v>
      </c>
      <c r="S2915" s="282" t="e">
        <f>++Tabla4[[#This Row],[U. Bruta Uni]]*Tabla4[[#This Row],[Cantidad]]</f>
        <v>#N/A</v>
      </c>
      <c r="T2915" s="369" t="str">
        <f>VLOOKUP(Tabla4[[#This Row],[Producto]],Tabla6[#All],14,FALSE)</f>
        <v>Termico Solar</v>
      </c>
      <c r="U2915" s="284" t="e">
        <f>(IF(Tabla4[[#This Row],[Familia]]="termico solar",Tabla4[[#This Row],[Utilidad Total]]*6%,Tabla4[[#This Row],[Utilidad Total]]*11.5%))/Tabla4[[#This Row],[Total]]</f>
        <v>#N/A</v>
      </c>
      <c r="V2915" s="282" t="e">
        <f>+Tabla4[[#This Row],[Comisión Calculada]]*Tabla4[[#This Row],[Total]]</f>
        <v>#N/A</v>
      </c>
    </row>
    <row r="2916" spans="1:22" hidden="1" x14ac:dyDescent="0.25">
      <c r="A2916" s="100">
        <v>45792</v>
      </c>
      <c r="B2916" t="str">
        <f t="shared" si="139"/>
        <v>May</v>
      </c>
      <c r="C2916" s="46" t="s">
        <v>280</v>
      </c>
      <c r="F2916" s="366" t="s">
        <v>1842</v>
      </c>
      <c r="G2916" s="46" t="s">
        <v>18</v>
      </c>
      <c r="H2916" s="46">
        <v>1</v>
      </c>
      <c r="I2916" s="51">
        <v>5367.65</v>
      </c>
      <c r="J2916" s="281">
        <f>++Tabla4[[#This Row],[Precio Bruto]]*1.16</f>
        <v>6226.4739999999993</v>
      </c>
      <c r="K2916" s="281">
        <f>+Tabla4[[#This Row],[Precio Unitario Neto]]*Tabla4[[#Headers],[20.85%]]</f>
        <v>1298.2198289999999</v>
      </c>
      <c r="L2916" s="282">
        <f>++Tabla4[[#This Row],[Precio Unitario Neto]]-Tabla4[[#This Row],[20.85%]]</f>
        <v>4928.2541709999996</v>
      </c>
      <c r="M2916" s="282" t="e">
        <f>(INDEX(Tabla6[#All],MATCH(Tabla4[[#This Row],[Producto]],Tabla6[[#All],[PRODUCTO]],0),MATCH(Tabla4[[#This Row],[Mes]],Tabla6[#Headers],0)))*(1+Catalogos!$L$2)</f>
        <v>#N/A</v>
      </c>
      <c r="N2916" s="283" t="e">
        <f>+(Tabla4[[#This Row],[Precio Descontado]]-Tabla4[[#This Row],[Precio Base]])*Tabla4[[#This Row],[Cantidad]]</f>
        <v>#N/A</v>
      </c>
      <c r="O2916" s="284" t="e">
        <f>++Tabla4[[#This Row],[Utilidad Total]]/Tabla4[[#This Row],[Total]]</f>
        <v>#N/A</v>
      </c>
      <c r="P2916" s="282">
        <f>++Tabla4[[#This Row],[Precio Descontado]]*Tabla4[[#This Row],[Cantidad]]</f>
        <v>4928.2541709999996</v>
      </c>
      <c r="Q2916" s="282" t="e">
        <f>(INDEX(Tabla6[#All],MATCH(Tabla4[[#This Row],[Producto]],Tabla6[[#All],[PRODUCTO]],0),MATCH(Tabla4[[#This Row],[Mes]],Tabla6[#Headers],0)))</f>
        <v>#N/A</v>
      </c>
      <c r="R2916" s="282" t="e">
        <f>++Tabla4[[#This Row],[Precio Unitario Neto]]-Tabla4[[#This Row],[20.85%]]-Tabla4[[#This Row],[Costo]]</f>
        <v>#N/A</v>
      </c>
      <c r="S2916" s="282" t="e">
        <f>++Tabla4[[#This Row],[U. Bruta Uni]]*Tabla4[[#This Row],[Cantidad]]</f>
        <v>#N/A</v>
      </c>
      <c r="T2916" s="369" t="str">
        <f>VLOOKUP(Tabla4[[#This Row],[Producto]],Tabla6[#All],14,FALSE)</f>
        <v>Termico Solar</v>
      </c>
      <c r="U2916" s="284" t="e">
        <f>(IF(Tabla4[[#This Row],[Familia]]="termico solar",Tabla4[[#This Row],[Utilidad Total]]*6%,Tabla4[[#This Row],[Utilidad Total]]*11.5%))/Tabla4[[#This Row],[Total]]</f>
        <v>#N/A</v>
      </c>
      <c r="V2916" s="282" t="e">
        <f>+Tabla4[[#This Row],[Comisión Calculada]]*Tabla4[[#This Row],[Total]]</f>
        <v>#N/A</v>
      </c>
    </row>
    <row r="2917" spans="1:22" hidden="1" x14ac:dyDescent="0.25">
      <c r="A2917" s="100">
        <v>45792</v>
      </c>
      <c r="B2917" t="str">
        <f t="shared" si="139"/>
        <v>May</v>
      </c>
      <c r="C2917" s="46" t="s">
        <v>280</v>
      </c>
      <c r="F2917" s="366" t="s">
        <v>1842</v>
      </c>
      <c r="G2917" s="46" t="s">
        <v>566</v>
      </c>
      <c r="H2917" s="46">
        <v>1</v>
      </c>
      <c r="I2917" s="51">
        <v>2109.4499999999998</v>
      </c>
      <c r="J2917" s="281">
        <f>++Tabla4[[#This Row],[Precio Bruto]]*1.16</f>
        <v>2446.9619999999995</v>
      </c>
      <c r="K2917" s="281">
        <f>+Tabla4[[#This Row],[Precio Unitario Neto]]*Tabla4[[#Headers],[20.85%]]</f>
        <v>510.19157699999988</v>
      </c>
      <c r="L2917" s="282">
        <f>++Tabla4[[#This Row],[Precio Unitario Neto]]-Tabla4[[#This Row],[20.85%]]</f>
        <v>1936.7704229999997</v>
      </c>
      <c r="M2917" s="282" t="e">
        <f>(INDEX(Tabla6[#All],MATCH(Tabla4[[#This Row],[Producto]],Tabla6[[#All],[PRODUCTO]],0),MATCH(Tabla4[[#This Row],[Mes]],Tabla6[#Headers],0)))*(1+Catalogos!$L$2)</f>
        <v>#N/A</v>
      </c>
      <c r="N2917" s="283" t="e">
        <f>+(Tabla4[[#This Row],[Precio Descontado]]-Tabla4[[#This Row],[Precio Base]])*Tabla4[[#This Row],[Cantidad]]</f>
        <v>#N/A</v>
      </c>
      <c r="O2917" s="284" t="e">
        <f>++Tabla4[[#This Row],[Utilidad Total]]/Tabla4[[#This Row],[Total]]</f>
        <v>#N/A</v>
      </c>
      <c r="P2917" s="282">
        <f>++Tabla4[[#This Row],[Precio Descontado]]*Tabla4[[#This Row],[Cantidad]]</f>
        <v>1936.7704229999997</v>
      </c>
      <c r="Q2917" s="282" t="e">
        <f>(INDEX(Tabla6[#All],MATCH(Tabla4[[#This Row],[Producto]],Tabla6[[#All],[PRODUCTO]],0),MATCH(Tabla4[[#This Row],[Mes]],Tabla6[#Headers],0)))</f>
        <v>#N/A</v>
      </c>
      <c r="R2917" s="282" t="e">
        <f>++Tabla4[[#This Row],[Precio Unitario Neto]]-Tabla4[[#This Row],[20.85%]]-Tabla4[[#This Row],[Costo]]</f>
        <v>#N/A</v>
      </c>
      <c r="S2917" s="282" t="e">
        <f>++Tabla4[[#This Row],[U. Bruta Uni]]*Tabla4[[#This Row],[Cantidad]]</f>
        <v>#N/A</v>
      </c>
      <c r="T2917" s="369" t="str">
        <f>VLOOKUP(Tabla4[[#This Row],[Producto]],Tabla6[#All],14,FALSE)</f>
        <v>Termico Solar</v>
      </c>
      <c r="U2917" s="284" t="e">
        <f>(IF(Tabla4[[#This Row],[Familia]]="termico solar",Tabla4[[#This Row],[Utilidad Total]]*6%,Tabla4[[#This Row],[Utilidad Total]]*11.5%))/Tabla4[[#This Row],[Total]]</f>
        <v>#N/A</v>
      </c>
      <c r="V2917" s="282" t="e">
        <f>+Tabla4[[#This Row],[Comisión Calculada]]*Tabla4[[#This Row],[Total]]</f>
        <v>#N/A</v>
      </c>
    </row>
    <row r="2918" spans="1:22" hidden="1" x14ac:dyDescent="0.25">
      <c r="A2918" s="100">
        <v>45792</v>
      </c>
      <c r="B2918" t="str">
        <f t="shared" si="139"/>
        <v>May</v>
      </c>
      <c r="C2918" s="46" t="s">
        <v>280</v>
      </c>
      <c r="F2918" s="366" t="s">
        <v>1843</v>
      </c>
      <c r="G2918" s="46" t="s">
        <v>83</v>
      </c>
      <c r="H2918" s="46">
        <v>1</v>
      </c>
      <c r="I2918" s="51">
        <v>8858.76</v>
      </c>
      <c r="J2918" s="281">
        <f>++Tabla4[[#This Row],[Precio Bruto]]*1.16</f>
        <v>10276.161599999999</v>
      </c>
      <c r="K2918" s="281">
        <f>+Tabla4[[#This Row],[Precio Unitario Neto]]*Tabla4[[#Headers],[20.85%]]</f>
        <v>2142.5796935999997</v>
      </c>
      <c r="L2918" s="282">
        <f>++Tabla4[[#This Row],[Precio Unitario Neto]]-Tabla4[[#This Row],[20.85%]]</f>
        <v>8133.5819063999998</v>
      </c>
      <c r="M2918" s="282" t="e">
        <f>(INDEX(Tabla6[#All],MATCH(Tabla4[[#This Row],[Producto]],Tabla6[[#All],[PRODUCTO]],0),MATCH(Tabla4[[#This Row],[Mes]],Tabla6[#Headers],0)))*(1+Catalogos!$L$2)</f>
        <v>#N/A</v>
      </c>
      <c r="N2918" s="283" t="e">
        <f>+(Tabla4[[#This Row],[Precio Descontado]]-Tabla4[[#This Row],[Precio Base]])*Tabla4[[#This Row],[Cantidad]]</f>
        <v>#N/A</v>
      </c>
      <c r="O2918" s="284" t="e">
        <f>++Tabla4[[#This Row],[Utilidad Total]]/Tabla4[[#This Row],[Total]]</f>
        <v>#N/A</v>
      </c>
      <c r="P2918" s="282">
        <f>++Tabla4[[#This Row],[Precio Descontado]]*Tabla4[[#This Row],[Cantidad]]</f>
        <v>8133.5819063999998</v>
      </c>
      <c r="Q2918" s="282" t="e">
        <f>(INDEX(Tabla6[#All],MATCH(Tabla4[[#This Row],[Producto]],Tabla6[[#All],[PRODUCTO]],0),MATCH(Tabla4[[#This Row],[Mes]],Tabla6[#Headers],0)))</f>
        <v>#N/A</v>
      </c>
      <c r="R2918" s="282" t="e">
        <f>++Tabla4[[#This Row],[Precio Unitario Neto]]-Tabla4[[#This Row],[20.85%]]-Tabla4[[#This Row],[Costo]]</f>
        <v>#N/A</v>
      </c>
      <c r="S2918" s="282" t="e">
        <f>++Tabla4[[#This Row],[U. Bruta Uni]]*Tabla4[[#This Row],[Cantidad]]</f>
        <v>#N/A</v>
      </c>
      <c r="T2918" s="369" t="str">
        <f>VLOOKUP(Tabla4[[#This Row],[Producto]],Tabla6[#All],14,FALSE)</f>
        <v>Termico Solar</v>
      </c>
      <c r="U2918" s="284" t="e">
        <f>(IF(Tabla4[[#This Row],[Familia]]="termico solar",Tabla4[[#This Row],[Utilidad Total]]*6%,Tabla4[[#This Row],[Utilidad Total]]*11.5%))/Tabla4[[#This Row],[Total]]</f>
        <v>#N/A</v>
      </c>
      <c r="V2918" s="282" t="e">
        <f>+Tabla4[[#This Row],[Comisión Calculada]]*Tabla4[[#This Row],[Total]]</f>
        <v>#N/A</v>
      </c>
    </row>
    <row r="2919" spans="1:22" hidden="1" x14ac:dyDescent="0.25">
      <c r="A2919" s="100">
        <v>45792</v>
      </c>
      <c r="B2919" t="str">
        <f t="shared" si="139"/>
        <v>May</v>
      </c>
      <c r="C2919" s="46" t="s">
        <v>280</v>
      </c>
      <c r="F2919" s="366" t="s">
        <v>1843</v>
      </c>
      <c r="G2919" s="46" t="s">
        <v>17</v>
      </c>
      <c r="H2919" s="46">
        <v>4</v>
      </c>
      <c r="I2919" s="51">
        <v>4622.28</v>
      </c>
      <c r="J2919" s="281">
        <f>++Tabla4[[#This Row],[Precio Bruto]]*1.16</f>
        <v>5361.8447999999989</v>
      </c>
      <c r="K2919" s="281">
        <f>+Tabla4[[#This Row],[Precio Unitario Neto]]*Tabla4[[#Headers],[20.85%]]</f>
        <v>1117.9446407999997</v>
      </c>
      <c r="L2919" s="282">
        <f>++Tabla4[[#This Row],[Precio Unitario Neto]]-Tabla4[[#This Row],[20.85%]]</f>
        <v>4243.9001591999995</v>
      </c>
      <c r="M2919" s="282" t="e">
        <f>(INDEX(Tabla6[#All],MATCH(Tabla4[[#This Row],[Producto]],Tabla6[[#All],[PRODUCTO]],0),MATCH(Tabla4[[#This Row],[Mes]],Tabla6[#Headers],0)))*(1+Catalogos!$L$2)</f>
        <v>#N/A</v>
      </c>
      <c r="N2919" s="283" t="e">
        <f>+(Tabla4[[#This Row],[Precio Descontado]]-Tabla4[[#This Row],[Precio Base]])*Tabla4[[#This Row],[Cantidad]]</f>
        <v>#N/A</v>
      </c>
      <c r="O2919" s="284" t="e">
        <f>++Tabla4[[#This Row],[Utilidad Total]]/Tabla4[[#This Row],[Total]]</f>
        <v>#N/A</v>
      </c>
      <c r="P2919" s="282">
        <f>++Tabla4[[#This Row],[Precio Descontado]]*Tabla4[[#This Row],[Cantidad]]</f>
        <v>16975.600636799998</v>
      </c>
      <c r="Q2919" s="282" t="e">
        <f>(INDEX(Tabla6[#All],MATCH(Tabla4[[#This Row],[Producto]],Tabla6[[#All],[PRODUCTO]],0),MATCH(Tabla4[[#This Row],[Mes]],Tabla6[#Headers],0)))</f>
        <v>#N/A</v>
      </c>
      <c r="R2919" s="282" t="e">
        <f>++Tabla4[[#This Row],[Precio Unitario Neto]]-Tabla4[[#This Row],[20.85%]]-Tabla4[[#This Row],[Costo]]</f>
        <v>#N/A</v>
      </c>
      <c r="S2919" s="282" t="e">
        <f>++Tabla4[[#This Row],[U. Bruta Uni]]*Tabla4[[#This Row],[Cantidad]]</f>
        <v>#N/A</v>
      </c>
      <c r="T2919" s="369" t="str">
        <f>VLOOKUP(Tabla4[[#This Row],[Producto]],Tabla6[#All],14,FALSE)</f>
        <v>Termico Solar</v>
      </c>
      <c r="U2919" s="284" t="e">
        <f>(IF(Tabla4[[#This Row],[Familia]]="termico solar",Tabla4[[#This Row],[Utilidad Total]]*6%,Tabla4[[#This Row],[Utilidad Total]]*11.5%))/Tabla4[[#This Row],[Total]]</f>
        <v>#N/A</v>
      </c>
      <c r="V2919" s="282" t="e">
        <f>+Tabla4[[#This Row],[Comisión Calculada]]*Tabla4[[#This Row],[Total]]</f>
        <v>#N/A</v>
      </c>
    </row>
    <row r="2920" spans="1:22" hidden="1" x14ac:dyDescent="0.25">
      <c r="A2920" s="100">
        <v>45792</v>
      </c>
      <c r="B2920" t="str">
        <f t="shared" si="139"/>
        <v>May</v>
      </c>
      <c r="C2920" s="46" t="s">
        <v>280</v>
      </c>
      <c r="F2920" s="366" t="s">
        <v>1843</v>
      </c>
      <c r="G2920" s="46" t="s">
        <v>16</v>
      </c>
      <c r="H2920" s="46">
        <v>1</v>
      </c>
      <c r="I2920" s="51">
        <v>4103.8500000000004</v>
      </c>
      <c r="J2920" s="281">
        <f>++Tabla4[[#This Row],[Precio Bruto]]*1.16</f>
        <v>4760.4660000000003</v>
      </c>
      <c r="K2920" s="281">
        <f>+Tabla4[[#This Row],[Precio Unitario Neto]]*Tabla4[[#Headers],[20.85%]]</f>
        <v>992.55716100000006</v>
      </c>
      <c r="L2920" s="282">
        <f>++Tabla4[[#This Row],[Precio Unitario Neto]]-Tabla4[[#This Row],[20.85%]]</f>
        <v>3767.9088390000002</v>
      </c>
      <c r="M2920" s="282" t="e">
        <f>(INDEX(Tabla6[#All],MATCH(Tabla4[[#This Row],[Producto]],Tabla6[[#All],[PRODUCTO]],0),MATCH(Tabla4[[#This Row],[Mes]],Tabla6[#Headers],0)))*(1+Catalogos!$L$2)</f>
        <v>#N/A</v>
      </c>
      <c r="N2920" s="283" t="e">
        <f>+(Tabla4[[#This Row],[Precio Descontado]]-Tabla4[[#This Row],[Precio Base]])*Tabla4[[#This Row],[Cantidad]]</f>
        <v>#N/A</v>
      </c>
      <c r="O2920" s="284" t="e">
        <f>++Tabla4[[#This Row],[Utilidad Total]]/Tabla4[[#This Row],[Total]]</f>
        <v>#N/A</v>
      </c>
      <c r="P2920" s="282">
        <f>++Tabla4[[#This Row],[Precio Descontado]]*Tabla4[[#This Row],[Cantidad]]</f>
        <v>3767.9088390000002</v>
      </c>
      <c r="Q2920" s="282" t="e">
        <f>(INDEX(Tabla6[#All],MATCH(Tabla4[[#This Row],[Producto]],Tabla6[[#All],[PRODUCTO]],0),MATCH(Tabla4[[#This Row],[Mes]],Tabla6[#Headers],0)))</f>
        <v>#N/A</v>
      </c>
      <c r="R2920" s="282" t="e">
        <f>++Tabla4[[#This Row],[Precio Unitario Neto]]-Tabla4[[#This Row],[20.85%]]-Tabla4[[#This Row],[Costo]]</f>
        <v>#N/A</v>
      </c>
      <c r="S2920" s="282" t="e">
        <f>++Tabla4[[#This Row],[U. Bruta Uni]]*Tabla4[[#This Row],[Cantidad]]</f>
        <v>#N/A</v>
      </c>
      <c r="T2920" s="369" t="str">
        <f>VLOOKUP(Tabla4[[#This Row],[Producto]],Tabla6[#All],14,FALSE)</f>
        <v>Termico Solar</v>
      </c>
      <c r="U2920" s="284" t="e">
        <f>(IF(Tabla4[[#This Row],[Familia]]="termico solar",Tabla4[[#This Row],[Utilidad Total]]*6%,Tabla4[[#This Row],[Utilidad Total]]*11.5%))/Tabla4[[#This Row],[Total]]</f>
        <v>#N/A</v>
      </c>
      <c r="V2920" s="282" t="e">
        <f>+Tabla4[[#This Row],[Comisión Calculada]]*Tabla4[[#This Row],[Total]]</f>
        <v>#N/A</v>
      </c>
    </row>
    <row r="2921" spans="1:22" hidden="1" x14ac:dyDescent="0.25">
      <c r="A2921" s="100">
        <v>45792</v>
      </c>
      <c r="B2921" t="str">
        <f t="shared" si="139"/>
        <v>May</v>
      </c>
      <c r="C2921" s="46" t="s">
        <v>280</v>
      </c>
      <c r="F2921" s="366" t="s">
        <v>1844</v>
      </c>
      <c r="G2921" s="46" t="s">
        <v>83</v>
      </c>
      <c r="H2921" s="46">
        <v>1</v>
      </c>
      <c r="I2921" s="51">
        <v>8858.76</v>
      </c>
      <c r="J2921" s="281">
        <f>++Tabla4[[#This Row],[Precio Bruto]]*1.16</f>
        <v>10276.161599999999</v>
      </c>
      <c r="K2921" s="281">
        <f>+Tabla4[[#This Row],[Precio Unitario Neto]]*Tabla4[[#Headers],[20.85%]]</f>
        <v>2142.5796935999997</v>
      </c>
      <c r="L2921" s="282">
        <f>++Tabla4[[#This Row],[Precio Unitario Neto]]-Tabla4[[#This Row],[20.85%]]</f>
        <v>8133.5819063999998</v>
      </c>
      <c r="M2921" s="282" t="e">
        <f>(INDEX(Tabla6[#All],MATCH(Tabla4[[#This Row],[Producto]],Tabla6[[#All],[PRODUCTO]],0),MATCH(Tabla4[[#This Row],[Mes]],Tabla6[#Headers],0)))*(1+Catalogos!$L$2)</f>
        <v>#N/A</v>
      </c>
      <c r="N2921" s="283" t="e">
        <f>+(Tabla4[[#This Row],[Precio Descontado]]-Tabla4[[#This Row],[Precio Base]])*Tabla4[[#This Row],[Cantidad]]</f>
        <v>#N/A</v>
      </c>
      <c r="O2921" s="284" t="e">
        <f>++Tabla4[[#This Row],[Utilidad Total]]/Tabla4[[#This Row],[Total]]</f>
        <v>#N/A</v>
      </c>
      <c r="P2921" s="282">
        <f>++Tabla4[[#This Row],[Precio Descontado]]*Tabla4[[#This Row],[Cantidad]]</f>
        <v>8133.5819063999998</v>
      </c>
      <c r="Q2921" s="282" t="e">
        <f>(INDEX(Tabla6[#All],MATCH(Tabla4[[#This Row],[Producto]],Tabla6[[#All],[PRODUCTO]],0),MATCH(Tabla4[[#This Row],[Mes]],Tabla6[#Headers],0)))</f>
        <v>#N/A</v>
      </c>
      <c r="R2921" s="282" t="e">
        <f>++Tabla4[[#This Row],[Precio Unitario Neto]]-Tabla4[[#This Row],[20.85%]]-Tabla4[[#This Row],[Costo]]</f>
        <v>#N/A</v>
      </c>
      <c r="S2921" s="282" t="e">
        <f>++Tabla4[[#This Row],[U. Bruta Uni]]*Tabla4[[#This Row],[Cantidad]]</f>
        <v>#N/A</v>
      </c>
      <c r="T2921" s="369" t="str">
        <f>VLOOKUP(Tabla4[[#This Row],[Producto]],Tabla6[#All],14,FALSE)</f>
        <v>Termico Solar</v>
      </c>
      <c r="U2921" s="284" t="e">
        <f>(IF(Tabla4[[#This Row],[Familia]]="termico solar",Tabla4[[#This Row],[Utilidad Total]]*6%,Tabla4[[#This Row],[Utilidad Total]]*11.5%))/Tabla4[[#This Row],[Total]]</f>
        <v>#N/A</v>
      </c>
      <c r="V2921" s="282" t="e">
        <f>+Tabla4[[#This Row],[Comisión Calculada]]*Tabla4[[#This Row],[Total]]</f>
        <v>#N/A</v>
      </c>
    </row>
    <row r="2922" spans="1:22" hidden="1" x14ac:dyDescent="0.25">
      <c r="A2922" s="100">
        <v>45792</v>
      </c>
      <c r="B2922" t="str">
        <f t="shared" si="139"/>
        <v>May</v>
      </c>
      <c r="C2922" s="46" t="s">
        <v>280</v>
      </c>
      <c r="F2922" s="366" t="s">
        <v>1844</v>
      </c>
      <c r="G2922" s="46" t="s">
        <v>17</v>
      </c>
      <c r="H2922" s="46">
        <v>4</v>
      </c>
      <c r="I2922" s="51">
        <v>4622.28</v>
      </c>
      <c r="J2922" s="281">
        <f>++Tabla4[[#This Row],[Precio Bruto]]*1.16</f>
        <v>5361.8447999999989</v>
      </c>
      <c r="K2922" s="281">
        <f>+Tabla4[[#This Row],[Precio Unitario Neto]]*Tabla4[[#Headers],[20.85%]]</f>
        <v>1117.9446407999997</v>
      </c>
      <c r="L2922" s="282">
        <f>++Tabla4[[#This Row],[Precio Unitario Neto]]-Tabla4[[#This Row],[20.85%]]</f>
        <v>4243.9001591999995</v>
      </c>
      <c r="M2922" s="282" t="e">
        <f>(INDEX(Tabla6[#All],MATCH(Tabla4[[#This Row],[Producto]],Tabla6[[#All],[PRODUCTO]],0),MATCH(Tabla4[[#This Row],[Mes]],Tabla6[#Headers],0)))*(1+Catalogos!$L$2)</f>
        <v>#N/A</v>
      </c>
      <c r="N2922" s="283" t="e">
        <f>+(Tabla4[[#This Row],[Precio Descontado]]-Tabla4[[#This Row],[Precio Base]])*Tabla4[[#This Row],[Cantidad]]</f>
        <v>#N/A</v>
      </c>
      <c r="O2922" s="284" t="e">
        <f>++Tabla4[[#This Row],[Utilidad Total]]/Tabla4[[#This Row],[Total]]</f>
        <v>#N/A</v>
      </c>
      <c r="P2922" s="282">
        <f>++Tabla4[[#This Row],[Precio Descontado]]*Tabla4[[#This Row],[Cantidad]]</f>
        <v>16975.600636799998</v>
      </c>
      <c r="Q2922" s="282" t="e">
        <f>(INDEX(Tabla6[#All],MATCH(Tabla4[[#This Row],[Producto]],Tabla6[[#All],[PRODUCTO]],0),MATCH(Tabla4[[#This Row],[Mes]],Tabla6[#Headers],0)))</f>
        <v>#N/A</v>
      </c>
      <c r="R2922" s="282" t="e">
        <f>++Tabla4[[#This Row],[Precio Unitario Neto]]-Tabla4[[#This Row],[20.85%]]-Tabla4[[#This Row],[Costo]]</f>
        <v>#N/A</v>
      </c>
      <c r="S2922" s="282" t="e">
        <f>++Tabla4[[#This Row],[U. Bruta Uni]]*Tabla4[[#This Row],[Cantidad]]</f>
        <v>#N/A</v>
      </c>
      <c r="T2922" s="369" t="str">
        <f>VLOOKUP(Tabla4[[#This Row],[Producto]],Tabla6[#All],14,FALSE)</f>
        <v>Termico Solar</v>
      </c>
      <c r="U2922" s="284" t="e">
        <f>(IF(Tabla4[[#This Row],[Familia]]="termico solar",Tabla4[[#This Row],[Utilidad Total]]*6%,Tabla4[[#This Row],[Utilidad Total]]*11.5%))/Tabla4[[#This Row],[Total]]</f>
        <v>#N/A</v>
      </c>
      <c r="V2922" s="282" t="e">
        <f>+Tabla4[[#This Row],[Comisión Calculada]]*Tabla4[[#This Row],[Total]]</f>
        <v>#N/A</v>
      </c>
    </row>
    <row r="2923" spans="1:22" hidden="1" x14ac:dyDescent="0.25">
      <c r="A2923" s="100">
        <v>45792</v>
      </c>
      <c r="B2923" t="str">
        <f t="shared" si="139"/>
        <v>May</v>
      </c>
      <c r="C2923" s="46" t="s">
        <v>280</v>
      </c>
      <c r="F2923" s="366" t="s">
        <v>1844</v>
      </c>
      <c r="G2923" s="46" t="s">
        <v>18</v>
      </c>
      <c r="H2923" s="46">
        <v>4</v>
      </c>
      <c r="I2923" s="51">
        <v>5367.65</v>
      </c>
      <c r="J2923" s="281">
        <f>++Tabla4[[#This Row],[Precio Bruto]]*1.16</f>
        <v>6226.4739999999993</v>
      </c>
      <c r="K2923" s="281">
        <f>+Tabla4[[#This Row],[Precio Unitario Neto]]*Tabla4[[#Headers],[20.85%]]</f>
        <v>1298.2198289999999</v>
      </c>
      <c r="L2923" s="282">
        <f>++Tabla4[[#This Row],[Precio Unitario Neto]]-Tabla4[[#This Row],[20.85%]]</f>
        <v>4928.2541709999996</v>
      </c>
      <c r="M2923" s="282" t="e">
        <f>(INDEX(Tabla6[#All],MATCH(Tabla4[[#This Row],[Producto]],Tabla6[[#All],[PRODUCTO]],0),MATCH(Tabla4[[#This Row],[Mes]],Tabla6[#Headers],0)))*(1+Catalogos!$L$2)</f>
        <v>#N/A</v>
      </c>
      <c r="N2923" s="283" t="e">
        <f>+(Tabla4[[#This Row],[Precio Descontado]]-Tabla4[[#This Row],[Precio Base]])*Tabla4[[#This Row],[Cantidad]]</f>
        <v>#N/A</v>
      </c>
      <c r="O2923" s="284" t="e">
        <f>++Tabla4[[#This Row],[Utilidad Total]]/Tabla4[[#This Row],[Total]]</f>
        <v>#N/A</v>
      </c>
      <c r="P2923" s="282">
        <f>++Tabla4[[#This Row],[Precio Descontado]]*Tabla4[[#This Row],[Cantidad]]</f>
        <v>19713.016683999998</v>
      </c>
      <c r="Q2923" s="282" t="e">
        <f>(INDEX(Tabla6[#All],MATCH(Tabla4[[#This Row],[Producto]],Tabla6[[#All],[PRODUCTO]],0),MATCH(Tabla4[[#This Row],[Mes]],Tabla6[#Headers],0)))</f>
        <v>#N/A</v>
      </c>
      <c r="R2923" s="282" t="e">
        <f>++Tabla4[[#This Row],[Precio Unitario Neto]]-Tabla4[[#This Row],[20.85%]]-Tabla4[[#This Row],[Costo]]</f>
        <v>#N/A</v>
      </c>
      <c r="S2923" s="282" t="e">
        <f>++Tabla4[[#This Row],[U. Bruta Uni]]*Tabla4[[#This Row],[Cantidad]]</f>
        <v>#N/A</v>
      </c>
      <c r="T2923" s="369" t="str">
        <f>VLOOKUP(Tabla4[[#This Row],[Producto]],Tabla6[#All],14,FALSE)</f>
        <v>Termico Solar</v>
      </c>
      <c r="U2923" s="284" t="e">
        <f>(IF(Tabla4[[#This Row],[Familia]]="termico solar",Tabla4[[#This Row],[Utilidad Total]]*6%,Tabla4[[#This Row],[Utilidad Total]]*11.5%))/Tabla4[[#This Row],[Total]]</f>
        <v>#N/A</v>
      </c>
      <c r="V2923" s="282" t="e">
        <f>+Tabla4[[#This Row],[Comisión Calculada]]*Tabla4[[#This Row],[Total]]</f>
        <v>#N/A</v>
      </c>
    </row>
    <row r="2924" spans="1:22" hidden="1" x14ac:dyDescent="0.25">
      <c r="A2924" s="100">
        <v>45792</v>
      </c>
      <c r="B2924" t="str">
        <f t="shared" si="139"/>
        <v>May</v>
      </c>
      <c r="C2924" s="46" t="s">
        <v>280</v>
      </c>
      <c r="F2924" s="366" t="s">
        <v>1844</v>
      </c>
      <c r="G2924" s="46" t="s">
        <v>16</v>
      </c>
      <c r="H2924" s="46">
        <v>2</v>
      </c>
      <c r="I2924" s="51">
        <v>4103.8500000000004</v>
      </c>
      <c r="J2924" s="281">
        <f>++Tabla4[[#This Row],[Precio Bruto]]*1.16</f>
        <v>4760.4660000000003</v>
      </c>
      <c r="K2924" s="281">
        <f>+Tabla4[[#This Row],[Precio Unitario Neto]]*Tabla4[[#Headers],[20.85%]]</f>
        <v>992.55716100000006</v>
      </c>
      <c r="L2924" s="282">
        <f>++Tabla4[[#This Row],[Precio Unitario Neto]]-Tabla4[[#This Row],[20.85%]]</f>
        <v>3767.9088390000002</v>
      </c>
      <c r="M2924" s="282" t="e">
        <f>(INDEX(Tabla6[#All],MATCH(Tabla4[[#This Row],[Producto]],Tabla6[[#All],[PRODUCTO]],0),MATCH(Tabla4[[#This Row],[Mes]],Tabla6[#Headers],0)))*(1+Catalogos!$L$2)</f>
        <v>#N/A</v>
      </c>
      <c r="N2924" s="283" t="e">
        <f>+(Tabla4[[#This Row],[Precio Descontado]]-Tabla4[[#This Row],[Precio Base]])*Tabla4[[#This Row],[Cantidad]]</f>
        <v>#N/A</v>
      </c>
      <c r="O2924" s="284" t="e">
        <f>++Tabla4[[#This Row],[Utilidad Total]]/Tabla4[[#This Row],[Total]]</f>
        <v>#N/A</v>
      </c>
      <c r="P2924" s="282">
        <f>++Tabla4[[#This Row],[Precio Descontado]]*Tabla4[[#This Row],[Cantidad]]</f>
        <v>7535.8176780000003</v>
      </c>
      <c r="Q2924" s="282" t="e">
        <f>(INDEX(Tabla6[#All],MATCH(Tabla4[[#This Row],[Producto]],Tabla6[[#All],[PRODUCTO]],0),MATCH(Tabla4[[#This Row],[Mes]],Tabla6[#Headers],0)))</f>
        <v>#N/A</v>
      </c>
      <c r="R2924" s="282" t="e">
        <f>++Tabla4[[#This Row],[Precio Unitario Neto]]-Tabla4[[#This Row],[20.85%]]-Tabla4[[#This Row],[Costo]]</f>
        <v>#N/A</v>
      </c>
      <c r="S2924" s="282" t="e">
        <f>++Tabla4[[#This Row],[U. Bruta Uni]]*Tabla4[[#This Row],[Cantidad]]</f>
        <v>#N/A</v>
      </c>
      <c r="T2924" s="369" t="str">
        <f>VLOOKUP(Tabla4[[#This Row],[Producto]],Tabla6[#All],14,FALSE)</f>
        <v>Termico Solar</v>
      </c>
      <c r="U2924" s="284" t="e">
        <f>(IF(Tabla4[[#This Row],[Familia]]="termico solar",Tabla4[[#This Row],[Utilidad Total]]*6%,Tabla4[[#This Row],[Utilidad Total]]*11.5%))/Tabla4[[#This Row],[Total]]</f>
        <v>#N/A</v>
      </c>
      <c r="V2924" s="282" t="e">
        <f>+Tabla4[[#This Row],[Comisión Calculada]]*Tabla4[[#This Row],[Total]]</f>
        <v>#N/A</v>
      </c>
    </row>
    <row r="2925" spans="1:22" hidden="1" x14ac:dyDescent="0.25">
      <c r="A2925" s="100">
        <v>45792</v>
      </c>
      <c r="B2925" t="str">
        <f t="shared" si="139"/>
        <v>May</v>
      </c>
      <c r="C2925" s="46" t="s">
        <v>280</v>
      </c>
      <c r="F2925" s="366" t="s">
        <v>1844</v>
      </c>
      <c r="G2925" s="46" t="s">
        <v>209</v>
      </c>
      <c r="H2925" s="46">
        <v>1</v>
      </c>
      <c r="I2925" s="51">
        <v>347.48</v>
      </c>
      <c r="J2925" s="281">
        <f>++Tabla4[[#This Row],[Precio Bruto]]*1.16</f>
        <v>403.07679999999999</v>
      </c>
      <c r="K2925" s="281">
        <f>+Tabla4[[#This Row],[Precio Unitario Neto]]*Tabla4[[#Headers],[20.85%]]</f>
        <v>84.041512799999992</v>
      </c>
      <c r="L2925" s="282">
        <f>++Tabla4[[#This Row],[Precio Unitario Neto]]-Tabla4[[#This Row],[20.85%]]</f>
        <v>319.03528719999997</v>
      </c>
      <c r="M2925" s="282" t="e">
        <f>(INDEX(Tabla6[#All],MATCH(Tabla4[[#This Row],[Producto]],Tabla6[[#All],[PRODUCTO]],0),MATCH(Tabla4[[#This Row],[Mes]],Tabla6[#Headers],0)))*(1+Catalogos!$L$2)</f>
        <v>#N/A</v>
      </c>
      <c r="N2925" s="283" t="e">
        <f>+(Tabla4[[#This Row],[Precio Descontado]]-Tabla4[[#This Row],[Precio Base]])*Tabla4[[#This Row],[Cantidad]]</f>
        <v>#N/A</v>
      </c>
      <c r="O2925" s="284" t="e">
        <f>++Tabla4[[#This Row],[Utilidad Total]]/Tabla4[[#This Row],[Total]]</f>
        <v>#N/A</v>
      </c>
      <c r="P2925" s="282">
        <f>++Tabla4[[#This Row],[Precio Descontado]]*Tabla4[[#This Row],[Cantidad]]</f>
        <v>319.03528719999997</v>
      </c>
      <c r="Q2925" s="282" t="e">
        <f>(INDEX(Tabla6[#All],MATCH(Tabla4[[#This Row],[Producto]],Tabla6[[#All],[PRODUCTO]],0),MATCH(Tabla4[[#This Row],[Mes]],Tabla6[#Headers],0)))</f>
        <v>#N/A</v>
      </c>
      <c r="R2925" s="282" t="e">
        <f>++Tabla4[[#This Row],[Precio Unitario Neto]]-Tabla4[[#This Row],[20.85%]]-Tabla4[[#This Row],[Costo]]</f>
        <v>#N/A</v>
      </c>
      <c r="S2925" s="282" t="e">
        <f>++Tabla4[[#This Row],[U. Bruta Uni]]*Tabla4[[#This Row],[Cantidad]]</f>
        <v>#N/A</v>
      </c>
      <c r="T2925" s="369" t="str">
        <f>VLOOKUP(Tabla4[[#This Row],[Producto]],Tabla6[#All],14,FALSE)</f>
        <v>Termico Solar</v>
      </c>
      <c r="U2925" s="284" t="e">
        <f>(IF(Tabla4[[#This Row],[Familia]]="termico solar",Tabla4[[#This Row],[Utilidad Total]]*6%,Tabla4[[#This Row],[Utilidad Total]]*11.5%))/Tabla4[[#This Row],[Total]]</f>
        <v>#N/A</v>
      </c>
      <c r="V2925" s="282" t="e">
        <f>+Tabla4[[#This Row],[Comisión Calculada]]*Tabla4[[#This Row],[Total]]</f>
        <v>#N/A</v>
      </c>
    </row>
    <row r="2926" spans="1:22" hidden="1" x14ac:dyDescent="0.25">
      <c r="A2926" s="100">
        <v>45792</v>
      </c>
      <c r="B2926" t="str">
        <f t="shared" si="139"/>
        <v>May</v>
      </c>
      <c r="C2926" s="46" t="s">
        <v>280</v>
      </c>
      <c r="F2926" s="366" t="s">
        <v>1845</v>
      </c>
      <c r="G2926" s="46" t="s">
        <v>17</v>
      </c>
      <c r="H2926" s="46">
        <v>1</v>
      </c>
      <c r="I2926" s="51">
        <v>4622.28</v>
      </c>
      <c r="J2926" s="281">
        <f>++Tabla4[[#This Row],[Precio Bruto]]*1.16</f>
        <v>5361.8447999999989</v>
      </c>
      <c r="K2926" s="281">
        <f>+Tabla4[[#This Row],[Precio Unitario Neto]]*Tabla4[[#Headers],[20.85%]]</f>
        <v>1117.9446407999997</v>
      </c>
      <c r="L2926" s="282">
        <f>++Tabla4[[#This Row],[Precio Unitario Neto]]-Tabla4[[#This Row],[20.85%]]</f>
        <v>4243.9001591999995</v>
      </c>
      <c r="M2926" s="282" t="e">
        <f>(INDEX(Tabla6[#All],MATCH(Tabla4[[#This Row],[Producto]],Tabla6[[#All],[PRODUCTO]],0),MATCH(Tabla4[[#This Row],[Mes]],Tabla6[#Headers],0)))*(1+Catalogos!$L$2)</f>
        <v>#N/A</v>
      </c>
      <c r="N2926" s="283" t="e">
        <f>+(Tabla4[[#This Row],[Precio Descontado]]-Tabla4[[#This Row],[Precio Base]])*Tabla4[[#This Row],[Cantidad]]</f>
        <v>#N/A</v>
      </c>
      <c r="O2926" s="284" t="e">
        <f>++Tabla4[[#This Row],[Utilidad Total]]/Tabla4[[#This Row],[Total]]</f>
        <v>#N/A</v>
      </c>
      <c r="P2926" s="282">
        <f>++Tabla4[[#This Row],[Precio Descontado]]*Tabla4[[#This Row],[Cantidad]]</f>
        <v>4243.9001591999995</v>
      </c>
      <c r="Q2926" s="282" t="e">
        <f>(INDEX(Tabla6[#All],MATCH(Tabla4[[#This Row],[Producto]],Tabla6[[#All],[PRODUCTO]],0),MATCH(Tabla4[[#This Row],[Mes]],Tabla6[#Headers],0)))</f>
        <v>#N/A</v>
      </c>
      <c r="R2926" s="282" t="e">
        <f>++Tabla4[[#This Row],[Precio Unitario Neto]]-Tabla4[[#This Row],[20.85%]]-Tabla4[[#This Row],[Costo]]</f>
        <v>#N/A</v>
      </c>
      <c r="S2926" s="282" t="e">
        <f>++Tabla4[[#This Row],[U. Bruta Uni]]*Tabla4[[#This Row],[Cantidad]]</f>
        <v>#N/A</v>
      </c>
      <c r="T2926" s="369" t="str">
        <f>VLOOKUP(Tabla4[[#This Row],[Producto]],Tabla6[#All],14,FALSE)</f>
        <v>Termico Solar</v>
      </c>
      <c r="U2926" s="284" t="e">
        <f>(IF(Tabla4[[#This Row],[Familia]]="termico solar",Tabla4[[#This Row],[Utilidad Total]]*6%,Tabla4[[#This Row],[Utilidad Total]]*11.5%))/Tabla4[[#This Row],[Total]]</f>
        <v>#N/A</v>
      </c>
      <c r="V2926" s="282" t="e">
        <f>+Tabla4[[#This Row],[Comisión Calculada]]*Tabla4[[#This Row],[Total]]</f>
        <v>#N/A</v>
      </c>
    </row>
    <row r="2927" spans="1:22" hidden="1" x14ac:dyDescent="0.25">
      <c r="A2927" s="100">
        <v>45792</v>
      </c>
      <c r="B2927" t="str">
        <f t="shared" si="139"/>
        <v>May</v>
      </c>
      <c r="C2927" s="46" t="s">
        <v>280</v>
      </c>
      <c r="F2927" s="366" t="s">
        <v>1845</v>
      </c>
      <c r="G2927" s="46" t="s">
        <v>208</v>
      </c>
      <c r="H2927" s="46">
        <v>1</v>
      </c>
      <c r="I2927" s="51">
        <v>189.75</v>
      </c>
      <c r="J2927" s="281">
        <f>++Tabla4[[#This Row],[Precio Bruto]]*1.16</f>
        <v>220.10999999999999</v>
      </c>
      <c r="K2927" s="281">
        <f>+Tabla4[[#This Row],[Precio Unitario Neto]]*Tabla4[[#Headers],[20.85%]]</f>
        <v>45.892934999999994</v>
      </c>
      <c r="L2927" s="282">
        <f>++Tabla4[[#This Row],[Precio Unitario Neto]]-Tabla4[[#This Row],[20.85%]]</f>
        <v>174.21706499999999</v>
      </c>
      <c r="M2927" s="282" t="e">
        <f>(INDEX(Tabla6[#All],MATCH(Tabla4[[#This Row],[Producto]],Tabla6[[#All],[PRODUCTO]],0),MATCH(Tabla4[[#This Row],[Mes]],Tabla6[#Headers],0)))*(1+Catalogos!$L$2)</f>
        <v>#N/A</v>
      </c>
      <c r="N2927" s="283" t="e">
        <f>+(Tabla4[[#This Row],[Precio Descontado]]-Tabla4[[#This Row],[Precio Base]])*Tabla4[[#This Row],[Cantidad]]</f>
        <v>#N/A</v>
      </c>
      <c r="O2927" s="284" t="e">
        <f>++Tabla4[[#This Row],[Utilidad Total]]/Tabla4[[#This Row],[Total]]</f>
        <v>#N/A</v>
      </c>
      <c r="P2927" s="282">
        <f>++Tabla4[[#This Row],[Precio Descontado]]*Tabla4[[#This Row],[Cantidad]]</f>
        <v>174.21706499999999</v>
      </c>
      <c r="Q2927" s="282" t="e">
        <f>(INDEX(Tabla6[#All],MATCH(Tabla4[[#This Row],[Producto]],Tabla6[[#All],[PRODUCTO]],0),MATCH(Tabla4[[#This Row],[Mes]],Tabla6[#Headers],0)))</f>
        <v>#N/A</v>
      </c>
      <c r="R2927" s="282" t="e">
        <f>++Tabla4[[#This Row],[Precio Unitario Neto]]-Tabla4[[#This Row],[20.85%]]-Tabla4[[#This Row],[Costo]]</f>
        <v>#N/A</v>
      </c>
      <c r="S2927" s="282" t="e">
        <f>++Tabla4[[#This Row],[U. Bruta Uni]]*Tabla4[[#This Row],[Cantidad]]</f>
        <v>#N/A</v>
      </c>
      <c r="T2927" s="369" t="str">
        <f>VLOOKUP(Tabla4[[#This Row],[Producto]],Tabla6[#All],14,FALSE)</f>
        <v>Termico Solar</v>
      </c>
      <c r="U2927" s="284" t="e">
        <f>(IF(Tabla4[[#This Row],[Familia]]="termico solar",Tabla4[[#This Row],[Utilidad Total]]*6%,Tabla4[[#This Row],[Utilidad Total]]*11.5%))/Tabla4[[#This Row],[Total]]</f>
        <v>#N/A</v>
      </c>
      <c r="V2927" s="282" t="e">
        <f>+Tabla4[[#This Row],[Comisión Calculada]]*Tabla4[[#This Row],[Total]]</f>
        <v>#N/A</v>
      </c>
    </row>
    <row r="2928" spans="1:22" hidden="1" x14ac:dyDescent="0.25">
      <c r="A2928" s="100">
        <v>45792</v>
      </c>
      <c r="B2928" t="str">
        <f t="shared" si="139"/>
        <v>May</v>
      </c>
      <c r="C2928" s="46" t="s">
        <v>280</v>
      </c>
      <c r="F2928" s="366" t="s">
        <v>1846</v>
      </c>
      <c r="G2928" s="46" t="s">
        <v>17</v>
      </c>
      <c r="H2928" s="46">
        <v>1</v>
      </c>
      <c r="I2928" s="51">
        <v>4622.28</v>
      </c>
      <c r="J2928" s="281">
        <f>++Tabla4[[#This Row],[Precio Bruto]]*1.16</f>
        <v>5361.8447999999989</v>
      </c>
      <c r="K2928" s="281">
        <f>+Tabla4[[#This Row],[Precio Unitario Neto]]*Tabla4[[#Headers],[20.85%]]</f>
        <v>1117.9446407999997</v>
      </c>
      <c r="L2928" s="282">
        <f>++Tabla4[[#This Row],[Precio Unitario Neto]]-Tabla4[[#This Row],[20.85%]]</f>
        <v>4243.9001591999995</v>
      </c>
      <c r="M2928" s="282" t="e">
        <f>(INDEX(Tabla6[#All],MATCH(Tabla4[[#This Row],[Producto]],Tabla6[[#All],[PRODUCTO]],0),MATCH(Tabla4[[#This Row],[Mes]],Tabla6[#Headers],0)))*(1+Catalogos!$L$2)</f>
        <v>#N/A</v>
      </c>
      <c r="N2928" s="283" t="e">
        <f>+(Tabla4[[#This Row],[Precio Descontado]]-Tabla4[[#This Row],[Precio Base]])*Tabla4[[#This Row],[Cantidad]]</f>
        <v>#N/A</v>
      </c>
      <c r="O2928" s="284" t="e">
        <f>++Tabla4[[#This Row],[Utilidad Total]]/Tabla4[[#This Row],[Total]]</f>
        <v>#N/A</v>
      </c>
      <c r="P2928" s="282">
        <f>++Tabla4[[#This Row],[Precio Descontado]]*Tabla4[[#This Row],[Cantidad]]</f>
        <v>4243.9001591999995</v>
      </c>
      <c r="Q2928" s="282" t="e">
        <f>(INDEX(Tabla6[#All],MATCH(Tabla4[[#This Row],[Producto]],Tabla6[[#All],[PRODUCTO]],0),MATCH(Tabla4[[#This Row],[Mes]],Tabla6[#Headers],0)))</f>
        <v>#N/A</v>
      </c>
      <c r="R2928" s="282" t="e">
        <f>++Tabla4[[#This Row],[Precio Unitario Neto]]-Tabla4[[#This Row],[20.85%]]-Tabla4[[#This Row],[Costo]]</f>
        <v>#N/A</v>
      </c>
      <c r="S2928" s="282" t="e">
        <f>++Tabla4[[#This Row],[U. Bruta Uni]]*Tabla4[[#This Row],[Cantidad]]</f>
        <v>#N/A</v>
      </c>
      <c r="T2928" s="369" t="str">
        <f>VLOOKUP(Tabla4[[#This Row],[Producto]],Tabla6[#All],14,FALSE)</f>
        <v>Termico Solar</v>
      </c>
      <c r="U2928" s="284" t="e">
        <f>(IF(Tabla4[[#This Row],[Familia]]="termico solar",Tabla4[[#This Row],[Utilidad Total]]*6%,Tabla4[[#This Row],[Utilidad Total]]*11.5%))/Tabla4[[#This Row],[Total]]</f>
        <v>#N/A</v>
      </c>
      <c r="V2928" s="282" t="e">
        <f>+Tabla4[[#This Row],[Comisión Calculada]]*Tabla4[[#This Row],[Total]]</f>
        <v>#N/A</v>
      </c>
    </row>
    <row r="2929" spans="1:22" hidden="1" x14ac:dyDescent="0.25">
      <c r="A2929" s="100">
        <v>45792</v>
      </c>
      <c r="B2929" t="str">
        <f t="shared" si="139"/>
        <v>May</v>
      </c>
      <c r="C2929" s="46" t="s">
        <v>280</v>
      </c>
      <c r="F2929" s="366" t="s">
        <v>1846</v>
      </c>
      <c r="G2929" s="46" t="s">
        <v>18</v>
      </c>
      <c r="H2929" s="46">
        <v>2</v>
      </c>
      <c r="I2929" s="51">
        <v>5367.65</v>
      </c>
      <c r="J2929" s="281">
        <f>++Tabla4[[#This Row],[Precio Bruto]]*1.16</f>
        <v>6226.4739999999993</v>
      </c>
      <c r="K2929" s="281">
        <f>+Tabla4[[#This Row],[Precio Unitario Neto]]*Tabla4[[#Headers],[20.85%]]</f>
        <v>1298.2198289999999</v>
      </c>
      <c r="L2929" s="282">
        <f>++Tabla4[[#This Row],[Precio Unitario Neto]]-Tabla4[[#This Row],[20.85%]]</f>
        <v>4928.2541709999996</v>
      </c>
      <c r="M2929" s="282" t="e">
        <f>(INDEX(Tabla6[#All],MATCH(Tabla4[[#This Row],[Producto]],Tabla6[[#All],[PRODUCTO]],0),MATCH(Tabla4[[#This Row],[Mes]],Tabla6[#Headers],0)))*(1+Catalogos!$L$2)</f>
        <v>#N/A</v>
      </c>
      <c r="N2929" s="283" t="e">
        <f>+(Tabla4[[#This Row],[Precio Descontado]]-Tabla4[[#This Row],[Precio Base]])*Tabla4[[#This Row],[Cantidad]]</f>
        <v>#N/A</v>
      </c>
      <c r="O2929" s="284" t="e">
        <f>++Tabla4[[#This Row],[Utilidad Total]]/Tabla4[[#This Row],[Total]]</f>
        <v>#N/A</v>
      </c>
      <c r="P2929" s="282">
        <f>++Tabla4[[#This Row],[Precio Descontado]]*Tabla4[[#This Row],[Cantidad]]</f>
        <v>9856.5083419999992</v>
      </c>
      <c r="Q2929" s="282" t="e">
        <f>(INDEX(Tabla6[#All],MATCH(Tabla4[[#This Row],[Producto]],Tabla6[[#All],[PRODUCTO]],0),MATCH(Tabla4[[#This Row],[Mes]],Tabla6[#Headers],0)))</f>
        <v>#N/A</v>
      </c>
      <c r="R2929" s="282" t="e">
        <f>++Tabla4[[#This Row],[Precio Unitario Neto]]-Tabla4[[#This Row],[20.85%]]-Tabla4[[#This Row],[Costo]]</f>
        <v>#N/A</v>
      </c>
      <c r="S2929" s="282" t="e">
        <f>++Tabla4[[#This Row],[U. Bruta Uni]]*Tabla4[[#This Row],[Cantidad]]</f>
        <v>#N/A</v>
      </c>
      <c r="T2929" s="369" t="str">
        <f>VLOOKUP(Tabla4[[#This Row],[Producto]],Tabla6[#All],14,FALSE)</f>
        <v>Termico Solar</v>
      </c>
      <c r="U2929" s="284" t="e">
        <f>(IF(Tabla4[[#This Row],[Familia]]="termico solar",Tabla4[[#This Row],[Utilidad Total]]*6%,Tabla4[[#This Row],[Utilidad Total]]*11.5%))/Tabla4[[#This Row],[Total]]</f>
        <v>#N/A</v>
      </c>
      <c r="V2929" s="282" t="e">
        <f>+Tabla4[[#This Row],[Comisión Calculada]]*Tabla4[[#This Row],[Total]]</f>
        <v>#N/A</v>
      </c>
    </row>
    <row r="2930" spans="1:22" hidden="1" x14ac:dyDescent="0.25">
      <c r="A2930" s="100">
        <v>45792</v>
      </c>
      <c r="B2930" t="str">
        <f t="shared" si="139"/>
        <v>May</v>
      </c>
      <c r="C2930" s="46" t="s">
        <v>280</v>
      </c>
      <c r="F2930" s="366" t="s">
        <v>1846</v>
      </c>
      <c r="G2930" s="46" t="s">
        <v>566</v>
      </c>
      <c r="H2930" s="46">
        <v>1</v>
      </c>
      <c r="I2930" s="51">
        <v>2109.4499999999998</v>
      </c>
      <c r="J2930" s="281">
        <f>++Tabla4[[#This Row],[Precio Bruto]]*1.16</f>
        <v>2446.9619999999995</v>
      </c>
      <c r="K2930" s="281">
        <f>+Tabla4[[#This Row],[Precio Unitario Neto]]*Tabla4[[#Headers],[20.85%]]</f>
        <v>510.19157699999988</v>
      </c>
      <c r="L2930" s="282">
        <f>++Tabla4[[#This Row],[Precio Unitario Neto]]-Tabla4[[#This Row],[20.85%]]</f>
        <v>1936.7704229999997</v>
      </c>
      <c r="M2930" s="282" t="e">
        <f>(INDEX(Tabla6[#All],MATCH(Tabla4[[#This Row],[Producto]],Tabla6[[#All],[PRODUCTO]],0),MATCH(Tabla4[[#This Row],[Mes]],Tabla6[#Headers],0)))*(1+Catalogos!$L$2)</f>
        <v>#N/A</v>
      </c>
      <c r="N2930" s="283" t="e">
        <f>+(Tabla4[[#This Row],[Precio Descontado]]-Tabla4[[#This Row],[Precio Base]])*Tabla4[[#This Row],[Cantidad]]</f>
        <v>#N/A</v>
      </c>
      <c r="O2930" s="284" t="e">
        <f>++Tabla4[[#This Row],[Utilidad Total]]/Tabla4[[#This Row],[Total]]</f>
        <v>#N/A</v>
      </c>
      <c r="P2930" s="282">
        <f>++Tabla4[[#This Row],[Precio Descontado]]*Tabla4[[#This Row],[Cantidad]]</f>
        <v>1936.7704229999997</v>
      </c>
      <c r="Q2930" s="282" t="e">
        <f>(INDEX(Tabla6[#All],MATCH(Tabla4[[#This Row],[Producto]],Tabla6[[#All],[PRODUCTO]],0),MATCH(Tabla4[[#This Row],[Mes]],Tabla6[#Headers],0)))</f>
        <v>#N/A</v>
      </c>
      <c r="R2930" s="282" t="e">
        <f>++Tabla4[[#This Row],[Precio Unitario Neto]]-Tabla4[[#This Row],[20.85%]]-Tabla4[[#This Row],[Costo]]</f>
        <v>#N/A</v>
      </c>
      <c r="S2930" s="282" t="e">
        <f>++Tabla4[[#This Row],[U. Bruta Uni]]*Tabla4[[#This Row],[Cantidad]]</f>
        <v>#N/A</v>
      </c>
      <c r="T2930" s="369" t="str">
        <f>VLOOKUP(Tabla4[[#This Row],[Producto]],Tabla6[#All],14,FALSE)</f>
        <v>Termico Solar</v>
      </c>
      <c r="U2930" s="284" t="e">
        <f>(IF(Tabla4[[#This Row],[Familia]]="termico solar",Tabla4[[#This Row],[Utilidad Total]]*6%,Tabla4[[#This Row],[Utilidad Total]]*11.5%))/Tabla4[[#This Row],[Total]]</f>
        <v>#N/A</v>
      </c>
      <c r="V2930" s="282" t="e">
        <f>+Tabla4[[#This Row],[Comisión Calculada]]*Tabla4[[#This Row],[Total]]</f>
        <v>#N/A</v>
      </c>
    </row>
    <row r="2931" spans="1:22" hidden="1" x14ac:dyDescent="0.25">
      <c r="A2931" s="100">
        <v>45792</v>
      </c>
      <c r="B2931" t="str">
        <f t="shared" ref="B2931:B2937" si="140">TEXT(A2931, "mmmm")</f>
        <v>May</v>
      </c>
      <c r="C2931" s="46" t="s">
        <v>280</v>
      </c>
      <c r="F2931" s="366" t="s">
        <v>1847</v>
      </c>
      <c r="G2931" s="46" t="s">
        <v>83</v>
      </c>
      <c r="H2931" s="46">
        <v>3</v>
      </c>
      <c r="I2931" s="51">
        <v>8858.76</v>
      </c>
      <c r="J2931" s="281">
        <f>++Tabla4[[#This Row],[Precio Bruto]]*1.16</f>
        <v>10276.161599999999</v>
      </c>
      <c r="K2931" s="281">
        <f>+Tabla4[[#This Row],[Precio Unitario Neto]]*Tabla4[[#Headers],[20.85%]]</f>
        <v>2142.5796935999997</v>
      </c>
      <c r="L2931" s="282">
        <f>++Tabla4[[#This Row],[Precio Unitario Neto]]-Tabla4[[#This Row],[20.85%]]</f>
        <v>8133.5819063999998</v>
      </c>
      <c r="M2931" s="282" t="e">
        <f>(INDEX(Tabla6[#All],MATCH(Tabla4[[#This Row],[Producto]],Tabla6[[#All],[PRODUCTO]],0),MATCH(Tabla4[[#This Row],[Mes]],Tabla6[#Headers],0)))*(1+Catalogos!$L$2)</f>
        <v>#N/A</v>
      </c>
      <c r="N2931" s="283" t="e">
        <f>+(Tabla4[[#This Row],[Precio Descontado]]-Tabla4[[#This Row],[Precio Base]])*Tabla4[[#This Row],[Cantidad]]</f>
        <v>#N/A</v>
      </c>
      <c r="O2931" s="284" t="e">
        <f>++Tabla4[[#This Row],[Utilidad Total]]/Tabla4[[#This Row],[Total]]</f>
        <v>#N/A</v>
      </c>
      <c r="P2931" s="282">
        <f>++Tabla4[[#This Row],[Precio Descontado]]*Tabla4[[#This Row],[Cantidad]]</f>
        <v>24400.7457192</v>
      </c>
      <c r="Q2931" s="282" t="e">
        <f>(INDEX(Tabla6[#All],MATCH(Tabla4[[#This Row],[Producto]],Tabla6[[#All],[PRODUCTO]],0),MATCH(Tabla4[[#This Row],[Mes]],Tabla6[#Headers],0)))</f>
        <v>#N/A</v>
      </c>
      <c r="R2931" s="282" t="e">
        <f>++Tabla4[[#This Row],[Precio Unitario Neto]]-Tabla4[[#This Row],[20.85%]]-Tabla4[[#This Row],[Costo]]</f>
        <v>#N/A</v>
      </c>
      <c r="S2931" s="282" t="e">
        <f>++Tabla4[[#This Row],[U. Bruta Uni]]*Tabla4[[#This Row],[Cantidad]]</f>
        <v>#N/A</v>
      </c>
      <c r="T2931" s="369" t="str">
        <f>VLOOKUP(Tabla4[[#This Row],[Producto]],Tabla6[#All],14,FALSE)</f>
        <v>Termico Solar</v>
      </c>
      <c r="U2931" s="284" t="e">
        <f>(IF(Tabla4[[#This Row],[Familia]]="termico solar",Tabla4[[#This Row],[Utilidad Total]]*6%,Tabla4[[#This Row],[Utilidad Total]]*11.5%))/Tabla4[[#This Row],[Total]]</f>
        <v>#N/A</v>
      </c>
      <c r="V2931" s="282" t="e">
        <f>+Tabla4[[#This Row],[Comisión Calculada]]*Tabla4[[#This Row],[Total]]</f>
        <v>#N/A</v>
      </c>
    </row>
    <row r="2932" spans="1:22" hidden="1" x14ac:dyDescent="0.25">
      <c r="A2932" s="100">
        <v>45792</v>
      </c>
      <c r="B2932" t="str">
        <f t="shared" si="140"/>
        <v>May</v>
      </c>
      <c r="C2932" s="46" t="s">
        <v>280</v>
      </c>
      <c r="F2932" s="366" t="s">
        <v>1847</v>
      </c>
      <c r="G2932" s="46" t="s">
        <v>17</v>
      </c>
      <c r="H2932" s="46">
        <v>3</v>
      </c>
      <c r="I2932" s="51">
        <v>4622.28</v>
      </c>
      <c r="J2932" s="281">
        <f>++Tabla4[[#This Row],[Precio Bruto]]*1.16</f>
        <v>5361.8447999999989</v>
      </c>
      <c r="K2932" s="281">
        <f>+Tabla4[[#This Row],[Precio Unitario Neto]]*Tabla4[[#Headers],[20.85%]]</f>
        <v>1117.9446407999997</v>
      </c>
      <c r="L2932" s="282">
        <f>++Tabla4[[#This Row],[Precio Unitario Neto]]-Tabla4[[#This Row],[20.85%]]</f>
        <v>4243.9001591999995</v>
      </c>
      <c r="M2932" s="282" t="e">
        <f>(INDEX(Tabla6[#All],MATCH(Tabla4[[#This Row],[Producto]],Tabla6[[#All],[PRODUCTO]],0),MATCH(Tabla4[[#This Row],[Mes]],Tabla6[#Headers],0)))*(1+Catalogos!$L$2)</f>
        <v>#N/A</v>
      </c>
      <c r="N2932" s="283" t="e">
        <f>+(Tabla4[[#This Row],[Precio Descontado]]-Tabla4[[#This Row],[Precio Base]])*Tabla4[[#This Row],[Cantidad]]</f>
        <v>#N/A</v>
      </c>
      <c r="O2932" s="284" t="e">
        <f>++Tabla4[[#This Row],[Utilidad Total]]/Tabla4[[#This Row],[Total]]</f>
        <v>#N/A</v>
      </c>
      <c r="P2932" s="282">
        <f>++Tabla4[[#This Row],[Precio Descontado]]*Tabla4[[#This Row],[Cantidad]]</f>
        <v>12731.700477599999</v>
      </c>
      <c r="Q2932" s="282" t="e">
        <f>(INDEX(Tabla6[#All],MATCH(Tabla4[[#This Row],[Producto]],Tabla6[[#All],[PRODUCTO]],0),MATCH(Tabla4[[#This Row],[Mes]],Tabla6[#Headers],0)))</f>
        <v>#N/A</v>
      </c>
      <c r="R2932" s="282" t="e">
        <f>++Tabla4[[#This Row],[Precio Unitario Neto]]-Tabla4[[#This Row],[20.85%]]-Tabla4[[#This Row],[Costo]]</f>
        <v>#N/A</v>
      </c>
      <c r="S2932" s="282" t="e">
        <f>++Tabla4[[#This Row],[U. Bruta Uni]]*Tabla4[[#This Row],[Cantidad]]</f>
        <v>#N/A</v>
      </c>
      <c r="T2932" s="369" t="str">
        <f>VLOOKUP(Tabla4[[#This Row],[Producto]],Tabla6[#All],14,FALSE)</f>
        <v>Termico Solar</v>
      </c>
      <c r="U2932" s="284" t="e">
        <f>(IF(Tabla4[[#This Row],[Familia]]="termico solar",Tabla4[[#This Row],[Utilidad Total]]*6%,Tabla4[[#This Row],[Utilidad Total]]*11.5%))/Tabla4[[#This Row],[Total]]</f>
        <v>#N/A</v>
      </c>
      <c r="V2932" s="282" t="e">
        <f>+Tabla4[[#This Row],[Comisión Calculada]]*Tabla4[[#This Row],[Total]]</f>
        <v>#N/A</v>
      </c>
    </row>
    <row r="2933" spans="1:22" hidden="1" x14ac:dyDescent="0.25">
      <c r="A2933" s="100">
        <v>45792</v>
      </c>
      <c r="B2933" t="str">
        <f t="shared" si="140"/>
        <v>May</v>
      </c>
      <c r="C2933" s="46" t="s">
        <v>280</v>
      </c>
      <c r="F2933" s="366" t="s">
        <v>1847</v>
      </c>
      <c r="G2933" s="46" t="s">
        <v>18</v>
      </c>
      <c r="H2933" s="46">
        <v>5</v>
      </c>
      <c r="I2933" s="51">
        <v>5367.65</v>
      </c>
      <c r="J2933" s="281">
        <f>++Tabla4[[#This Row],[Precio Bruto]]*1.16</f>
        <v>6226.4739999999993</v>
      </c>
      <c r="K2933" s="281">
        <f>+Tabla4[[#This Row],[Precio Unitario Neto]]*Tabla4[[#Headers],[20.85%]]</f>
        <v>1298.2198289999999</v>
      </c>
      <c r="L2933" s="282">
        <f>++Tabla4[[#This Row],[Precio Unitario Neto]]-Tabla4[[#This Row],[20.85%]]</f>
        <v>4928.2541709999996</v>
      </c>
      <c r="M2933" s="282" t="e">
        <f>(INDEX(Tabla6[#All],MATCH(Tabla4[[#This Row],[Producto]],Tabla6[[#All],[PRODUCTO]],0),MATCH(Tabla4[[#This Row],[Mes]],Tabla6[#Headers],0)))*(1+Catalogos!$L$2)</f>
        <v>#N/A</v>
      </c>
      <c r="N2933" s="283" t="e">
        <f>+(Tabla4[[#This Row],[Precio Descontado]]-Tabla4[[#This Row],[Precio Base]])*Tabla4[[#This Row],[Cantidad]]</f>
        <v>#N/A</v>
      </c>
      <c r="O2933" s="284" t="e">
        <f>++Tabla4[[#This Row],[Utilidad Total]]/Tabla4[[#This Row],[Total]]</f>
        <v>#N/A</v>
      </c>
      <c r="P2933" s="282">
        <f>++Tabla4[[#This Row],[Precio Descontado]]*Tabla4[[#This Row],[Cantidad]]</f>
        <v>24641.270854999999</v>
      </c>
      <c r="Q2933" s="282" t="e">
        <f>(INDEX(Tabla6[#All],MATCH(Tabla4[[#This Row],[Producto]],Tabla6[[#All],[PRODUCTO]],0),MATCH(Tabla4[[#This Row],[Mes]],Tabla6[#Headers],0)))</f>
        <v>#N/A</v>
      </c>
      <c r="R2933" s="282" t="e">
        <f>++Tabla4[[#This Row],[Precio Unitario Neto]]-Tabla4[[#This Row],[20.85%]]-Tabla4[[#This Row],[Costo]]</f>
        <v>#N/A</v>
      </c>
      <c r="S2933" s="282" t="e">
        <f>++Tabla4[[#This Row],[U. Bruta Uni]]*Tabla4[[#This Row],[Cantidad]]</f>
        <v>#N/A</v>
      </c>
      <c r="T2933" s="369" t="str">
        <f>VLOOKUP(Tabla4[[#This Row],[Producto]],Tabla6[#All],14,FALSE)</f>
        <v>Termico Solar</v>
      </c>
      <c r="U2933" s="284" t="e">
        <f>(IF(Tabla4[[#This Row],[Familia]]="termico solar",Tabla4[[#This Row],[Utilidad Total]]*6%,Tabla4[[#This Row],[Utilidad Total]]*11.5%))/Tabla4[[#This Row],[Total]]</f>
        <v>#N/A</v>
      </c>
      <c r="V2933" s="282" t="e">
        <f>+Tabla4[[#This Row],[Comisión Calculada]]*Tabla4[[#This Row],[Total]]</f>
        <v>#N/A</v>
      </c>
    </row>
    <row r="2934" spans="1:22" hidden="1" x14ac:dyDescent="0.25">
      <c r="A2934" s="100">
        <v>45792</v>
      </c>
      <c r="B2934" t="str">
        <f t="shared" si="140"/>
        <v>May</v>
      </c>
      <c r="C2934" s="46" t="s">
        <v>280</v>
      </c>
      <c r="F2934" s="366" t="s">
        <v>1847</v>
      </c>
      <c r="G2934" s="46" t="s">
        <v>20</v>
      </c>
      <c r="H2934" s="46">
        <v>1</v>
      </c>
      <c r="I2934" s="51">
        <v>7751.98</v>
      </c>
      <c r="J2934" s="281">
        <f>++Tabla4[[#This Row],[Precio Bruto]]*1.16</f>
        <v>8992.2967999999983</v>
      </c>
      <c r="K2934" s="281">
        <f>+Tabla4[[#This Row],[Precio Unitario Neto]]*Tabla4[[#Headers],[20.85%]]</f>
        <v>1874.8938827999996</v>
      </c>
      <c r="L2934" s="282">
        <f>++Tabla4[[#This Row],[Precio Unitario Neto]]-Tabla4[[#This Row],[20.85%]]</f>
        <v>7117.4029171999991</v>
      </c>
      <c r="M2934" s="282" t="e">
        <f>(INDEX(Tabla6[#All],MATCH(Tabla4[[#This Row],[Producto]],Tabla6[[#All],[PRODUCTO]],0),MATCH(Tabla4[[#This Row],[Mes]],Tabla6[#Headers],0)))*(1+Catalogos!$L$2)</f>
        <v>#N/A</v>
      </c>
      <c r="N2934" s="283" t="e">
        <f>+(Tabla4[[#This Row],[Precio Descontado]]-Tabla4[[#This Row],[Precio Base]])*Tabla4[[#This Row],[Cantidad]]</f>
        <v>#N/A</v>
      </c>
      <c r="O2934" s="284" t="e">
        <f>++Tabla4[[#This Row],[Utilidad Total]]/Tabla4[[#This Row],[Total]]</f>
        <v>#N/A</v>
      </c>
      <c r="P2934" s="282">
        <f>++Tabla4[[#This Row],[Precio Descontado]]*Tabla4[[#This Row],[Cantidad]]</f>
        <v>7117.4029171999991</v>
      </c>
      <c r="Q2934" s="282" t="e">
        <f>(INDEX(Tabla6[#All],MATCH(Tabla4[[#This Row],[Producto]],Tabla6[[#All],[PRODUCTO]],0),MATCH(Tabla4[[#This Row],[Mes]],Tabla6[#Headers],0)))</f>
        <v>#N/A</v>
      </c>
      <c r="R2934" s="282" t="e">
        <f>++Tabla4[[#This Row],[Precio Unitario Neto]]-Tabla4[[#This Row],[20.85%]]-Tabla4[[#This Row],[Costo]]</f>
        <v>#N/A</v>
      </c>
      <c r="S2934" s="282" t="e">
        <f>++Tabla4[[#This Row],[U. Bruta Uni]]*Tabla4[[#This Row],[Cantidad]]</f>
        <v>#N/A</v>
      </c>
      <c r="T2934" s="369" t="str">
        <f>VLOOKUP(Tabla4[[#This Row],[Producto]],Tabla6[#All],14,FALSE)</f>
        <v>Termico Solar</v>
      </c>
      <c r="U2934" s="284" t="e">
        <f>(IF(Tabla4[[#This Row],[Familia]]="termico solar",Tabla4[[#This Row],[Utilidad Total]]*6%,Tabla4[[#This Row],[Utilidad Total]]*11.5%))/Tabla4[[#This Row],[Total]]</f>
        <v>#N/A</v>
      </c>
      <c r="V2934" s="282" t="e">
        <f>+Tabla4[[#This Row],[Comisión Calculada]]*Tabla4[[#This Row],[Total]]</f>
        <v>#N/A</v>
      </c>
    </row>
    <row r="2935" spans="1:22" hidden="1" x14ac:dyDescent="0.25">
      <c r="A2935" s="100">
        <v>45792</v>
      </c>
      <c r="B2935" t="str">
        <f t="shared" si="140"/>
        <v>May</v>
      </c>
      <c r="C2935" s="46" t="s">
        <v>280</v>
      </c>
      <c r="F2935" s="366" t="s">
        <v>1847</v>
      </c>
      <c r="G2935" s="46" t="s">
        <v>566</v>
      </c>
      <c r="H2935" s="46">
        <v>1</v>
      </c>
      <c r="I2935" s="51">
        <v>2109.4499999999998</v>
      </c>
      <c r="J2935" s="281">
        <f>++Tabla4[[#This Row],[Precio Bruto]]*1.16</f>
        <v>2446.9619999999995</v>
      </c>
      <c r="K2935" s="281">
        <f>+Tabla4[[#This Row],[Precio Unitario Neto]]*Tabla4[[#Headers],[20.85%]]</f>
        <v>510.19157699999988</v>
      </c>
      <c r="L2935" s="282">
        <f>++Tabla4[[#This Row],[Precio Unitario Neto]]-Tabla4[[#This Row],[20.85%]]</f>
        <v>1936.7704229999997</v>
      </c>
      <c r="M2935" s="282" t="e">
        <f>(INDEX(Tabla6[#All],MATCH(Tabla4[[#This Row],[Producto]],Tabla6[[#All],[PRODUCTO]],0),MATCH(Tabla4[[#This Row],[Mes]],Tabla6[#Headers],0)))*(1+Catalogos!$L$2)</f>
        <v>#N/A</v>
      </c>
      <c r="N2935" s="283" t="e">
        <f>+(Tabla4[[#This Row],[Precio Descontado]]-Tabla4[[#This Row],[Precio Base]])*Tabla4[[#This Row],[Cantidad]]</f>
        <v>#N/A</v>
      </c>
      <c r="O2935" s="284" t="e">
        <f>++Tabla4[[#This Row],[Utilidad Total]]/Tabla4[[#This Row],[Total]]</f>
        <v>#N/A</v>
      </c>
      <c r="P2935" s="282">
        <f>++Tabla4[[#This Row],[Precio Descontado]]*Tabla4[[#This Row],[Cantidad]]</f>
        <v>1936.7704229999997</v>
      </c>
      <c r="Q2935" s="282" t="e">
        <f>(INDEX(Tabla6[#All],MATCH(Tabla4[[#This Row],[Producto]],Tabla6[[#All],[PRODUCTO]],0),MATCH(Tabla4[[#This Row],[Mes]],Tabla6[#Headers],0)))</f>
        <v>#N/A</v>
      </c>
      <c r="R2935" s="282" t="e">
        <f>++Tabla4[[#This Row],[Precio Unitario Neto]]-Tabla4[[#This Row],[20.85%]]-Tabla4[[#This Row],[Costo]]</f>
        <v>#N/A</v>
      </c>
      <c r="S2935" s="282" t="e">
        <f>++Tabla4[[#This Row],[U. Bruta Uni]]*Tabla4[[#This Row],[Cantidad]]</f>
        <v>#N/A</v>
      </c>
      <c r="T2935" s="369" t="str">
        <f>VLOOKUP(Tabla4[[#This Row],[Producto]],Tabla6[#All],14,FALSE)</f>
        <v>Termico Solar</v>
      </c>
      <c r="U2935" s="284" t="e">
        <f>(IF(Tabla4[[#This Row],[Familia]]="termico solar",Tabla4[[#This Row],[Utilidad Total]]*6%,Tabla4[[#This Row],[Utilidad Total]]*11.5%))/Tabla4[[#This Row],[Total]]</f>
        <v>#N/A</v>
      </c>
      <c r="V2935" s="282" t="e">
        <f>+Tabla4[[#This Row],[Comisión Calculada]]*Tabla4[[#This Row],[Total]]</f>
        <v>#N/A</v>
      </c>
    </row>
    <row r="2936" spans="1:22" hidden="1" x14ac:dyDescent="0.25">
      <c r="A2936" s="100">
        <v>45792</v>
      </c>
      <c r="B2936" t="str">
        <f t="shared" si="140"/>
        <v>May</v>
      </c>
      <c r="C2936" s="46" t="s">
        <v>280</v>
      </c>
      <c r="F2936" s="366" t="s">
        <v>1847</v>
      </c>
      <c r="G2936" s="46" t="s">
        <v>412</v>
      </c>
      <c r="H2936" s="46">
        <v>1</v>
      </c>
      <c r="I2936" s="51">
        <v>3240.84</v>
      </c>
      <c r="J2936" s="281">
        <f>++Tabla4[[#This Row],[Precio Bruto]]*1.16</f>
        <v>3759.3743999999997</v>
      </c>
      <c r="K2936" s="281">
        <f>+Tabla4[[#This Row],[Precio Unitario Neto]]*Tabla4[[#Headers],[20.85%]]</f>
        <v>783.82956239999987</v>
      </c>
      <c r="L2936" s="282">
        <f>++Tabla4[[#This Row],[Precio Unitario Neto]]-Tabla4[[#This Row],[20.85%]]</f>
        <v>2975.5448375999999</v>
      </c>
      <c r="M2936" s="282" t="e">
        <f>(INDEX(Tabla6[#All],MATCH(Tabla4[[#This Row],[Producto]],Tabla6[[#All],[PRODUCTO]],0),MATCH(Tabla4[[#This Row],[Mes]],Tabla6[#Headers],0)))*(1+Catalogos!$L$2)</f>
        <v>#N/A</v>
      </c>
      <c r="N2936" s="283" t="e">
        <f>+(Tabla4[[#This Row],[Precio Descontado]]-Tabla4[[#This Row],[Precio Base]])*Tabla4[[#This Row],[Cantidad]]</f>
        <v>#N/A</v>
      </c>
      <c r="O2936" s="284" t="e">
        <f>++Tabla4[[#This Row],[Utilidad Total]]/Tabla4[[#This Row],[Total]]</f>
        <v>#N/A</v>
      </c>
      <c r="P2936" s="282">
        <f>++Tabla4[[#This Row],[Precio Descontado]]*Tabla4[[#This Row],[Cantidad]]</f>
        <v>2975.5448375999999</v>
      </c>
      <c r="Q2936" s="282" t="e">
        <f>(INDEX(Tabla6[#All],MATCH(Tabla4[[#This Row],[Producto]],Tabla6[[#All],[PRODUCTO]],0),MATCH(Tabla4[[#This Row],[Mes]],Tabla6[#Headers],0)))</f>
        <v>#N/A</v>
      </c>
      <c r="R2936" s="282" t="e">
        <f>++Tabla4[[#This Row],[Precio Unitario Neto]]-Tabla4[[#This Row],[20.85%]]-Tabla4[[#This Row],[Costo]]</f>
        <v>#N/A</v>
      </c>
      <c r="S2936" s="282" t="e">
        <f>++Tabla4[[#This Row],[U. Bruta Uni]]*Tabla4[[#This Row],[Cantidad]]</f>
        <v>#N/A</v>
      </c>
      <c r="T2936" s="369" t="str">
        <f>VLOOKUP(Tabla4[[#This Row],[Producto]],Tabla6[#All],14,FALSE)</f>
        <v>Termico Solar</v>
      </c>
      <c r="U2936" s="284" t="e">
        <f>(IF(Tabla4[[#This Row],[Familia]]="termico solar",Tabla4[[#This Row],[Utilidad Total]]*6%,Tabla4[[#This Row],[Utilidad Total]]*11.5%))/Tabla4[[#This Row],[Total]]</f>
        <v>#N/A</v>
      </c>
      <c r="V2936" s="282" t="e">
        <f>+Tabla4[[#This Row],[Comisión Calculada]]*Tabla4[[#This Row],[Total]]</f>
        <v>#N/A</v>
      </c>
    </row>
    <row r="2937" spans="1:22" hidden="1" x14ac:dyDescent="0.25">
      <c r="A2937" s="100">
        <v>45792</v>
      </c>
      <c r="B2937" t="str">
        <f t="shared" si="140"/>
        <v>May</v>
      </c>
      <c r="C2937" s="46" t="s">
        <v>280</v>
      </c>
      <c r="F2937" s="366" t="s">
        <v>1847</v>
      </c>
      <c r="G2937" s="46" t="s">
        <v>16</v>
      </c>
      <c r="H2937" s="46">
        <v>2</v>
      </c>
      <c r="I2937" s="51">
        <v>4103.8500000000004</v>
      </c>
      <c r="J2937" s="281">
        <f>++Tabla4[[#This Row],[Precio Bruto]]*1.16</f>
        <v>4760.4660000000003</v>
      </c>
      <c r="K2937" s="281">
        <f>+Tabla4[[#This Row],[Precio Unitario Neto]]*Tabla4[[#Headers],[20.85%]]</f>
        <v>992.55716100000006</v>
      </c>
      <c r="L2937" s="282">
        <f>++Tabla4[[#This Row],[Precio Unitario Neto]]-Tabla4[[#This Row],[20.85%]]</f>
        <v>3767.9088390000002</v>
      </c>
      <c r="M2937" s="282" t="e">
        <f>(INDEX(Tabla6[#All],MATCH(Tabla4[[#This Row],[Producto]],Tabla6[[#All],[PRODUCTO]],0),MATCH(Tabla4[[#This Row],[Mes]],Tabla6[#Headers],0)))*(1+Catalogos!$L$2)</f>
        <v>#N/A</v>
      </c>
      <c r="N2937" s="283" t="e">
        <f>+(Tabla4[[#This Row],[Precio Descontado]]-Tabla4[[#This Row],[Precio Base]])*Tabla4[[#This Row],[Cantidad]]</f>
        <v>#N/A</v>
      </c>
      <c r="O2937" s="284" t="e">
        <f>++Tabla4[[#This Row],[Utilidad Total]]/Tabla4[[#This Row],[Total]]</f>
        <v>#N/A</v>
      </c>
      <c r="P2937" s="282">
        <f>++Tabla4[[#This Row],[Precio Descontado]]*Tabla4[[#This Row],[Cantidad]]</f>
        <v>7535.8176780000003</v>
      </c>
      <c r="Q2937" s="282" t="e">
        <f>(INDEX(Tabla6[#All],MATCH(Tabla4[[#This Row],[Producto]],Tabla6[[#All],[PRODUCTO]],0),MATCH(Tabla4[[#This Row],[Mes]],Tabla6[#Headers],0)))</f>
        <v>#N/A</v>
      </c>
      <c r="R2937" s="282" t="e">
        <f>++Tabla4[[#This Row],[Precio Unitario Neto]]-Tabla4[[#This Row],[20.85%]]-Tabla4[[#This Row],[Costo]]</f>
        <v>#N/A</v>
      </c>
      <c r="S2937" s="282" t="e">
        <f>++Tabla4[[#This Row],[U. Bruta Uni]]*Tabla4[[#This Row],[Cantidad]]</f>
        <v>#N/A</v>
      </c>
      <c r="T2937" s="369" t="str">
        <f>VLOOKUP(Tabla4[[#This Row],[Producto]],Tabla6[#All],14,FALSE)</f>
        <v>Termico Solar</v>
      </c>
      <c r="U2937" s="284" t="e">
        <f>(IF(Tabla4[[#This Row],[Familia]]="termico solar",Tabla4[[#This Row],[Utilidad Total]]*6%,Tabla4[[#This Row],[Utilidad Total]]*11.5%))/Tabla4[[#This Row],[Total]]</f>
        <v>#N/A</v>
      </c>
      <c r="V2937" s="282" t="e">
        <f>+Tabla4[[#This Row],[Comisión Calculada]]*Tabla4[[#This Row],[Total]]</f>
        <v>#N/A</v>
      </c>
    </row>
    <row r="2938" spans="1:22" hidden="1" x14ac:dyDescent="0.25">
      <c r="A2938" s="100">
        <v>45792</v>
      </c>
      <c r="B2938" t="str">
        <f t="shared" ref="B2938:B2969" si="141">TEXT(A2938, "mmmm")</f>
        <v>May</v>
      </c>
      <c r="C2938" s="46" t="s">
        <v>280</v>
      </c>
      <c r="F2938" s="366" t="s">
        <v>1848</v>
      </c>
      <c r="G2938" s="46" t="s">
        <v>83</v>
      </c>
      <c r="H2938" s="46">
        <v>1</v>
      </c>
      <c r="I2938" s="51">
        <v>8858.76</v>
      </c>
      <c r="J2938" s="281">
        <f>++Tabla4[[#This Row],[Precio Bruto]]*1.16</f>
        <v>10276.161599999999</v>
      </c>
      <c r="K2938" s="281">
        <f>+Tabla4[[#This Row],[Precio Unitario Neto]]*Tabla4[[#Headers],[20.85%]]</f>
        <v>2142.5796935999997</v>
      </c>
      <c r="L2938" s="282">
        <f>++Tabla4[[#This Row],[Precio Unitario Neto]]-Tabla4[[#This Row],[20.85%]]</f>
        <v>8133.5819063999998</v>
      </c>
      <c r="M2938" s="282" t="e">
        <f>(INDEX(Tabla6[#All],MATCH(Tabla4[[#This Row],[Producto]],Tabla6[[#All],[PRODUCTO]],0),MATCH(Tabla4[[#This Row],[Mes]],Tabla6[#Headers],0)))*(1+Catalogos!$L$2)</f>
        <v>#N/A</v>
      </c>
      <c r="N2938" s="283" t="e">
        <f>+(Tabla4[[#This Row],[Precio Descontado]]-Tabla4[[#This Row],[Precio Base]])*Tabla4[[#This Row],[Cantidad]]</f>
        <v>#N/A</v>
      </c>
      <c r="O2938" s="284" t="e">
        <f>++Tabla4[[#This Row],[Utilidad Total]]/Tabla4[[#This Row],[Total]]</f>
        <v>#N/A</v>
      </c>
      <c r="P2938" s="282">
        <f>++Tabla4[[#This Row],[Precio Descontado]]*Tabla4[[#This Row],[Cantidad]]</f>
        <v>8133.5819063999998</v>
      </c>
      <c r="Q2938" s="282" t="e">
        <f>(INDEX(Tabla6[#All],MATCH(Tabla4[[#This Row],[Producto]],Tabla6[[#All],[PRODUCTO]],0),MATCH(Tabla4[[#This Row],[Mes]],Tabla6[#Headers],0)))</f>
        <v>#N/A</v>
      </c>
      <c r="R2938" s="282" t="e">
        <f>++Tabla4[[#This Row],[Precio Unitario Neto]]-Tabla4[[#This Row],[20.85%]]-Tabla4[[#This Row],[Costo]]</f>
        <v>#N/A</v>
      </c>
      <c r="S2938" s="282" t="e">
        <f>++Tabla4[[#This Row],[U. Bruta Uni]]*Tabla4[[#This Row],[Cantidad]]</f>
        <v>#N/A</v>
      </c>
      <c r="T2938" s="369" t="str">
        <f>VLOOKUP(Tabla4[[#This Row],[Producto]],Tabla6[#All],14,FALSE)</f>
        <v>Termico Solar</v>
      </c>
      <c r="U2938" s="284" t="e">
        <f>(IF(Tabla4[[#This Row],[Familia]]="termico solar",Tabla4[[#This Row],[Utilidad Total]]*6%,Tabla4[[#This Row],[Utilidad Total]]*11.5%))/Tabla4[[#This Row],[Total]]</f>
        <v>#N/A</v>
      </c>
      <c r="V2938" s="282" t="e">
        <f>+Tabla4[[#This Row],[Comisión Calculada]]*Tabla4[[#This Row],[Total]]</f>
        <v>#N/A</v>
      </c>
    </row>
    <row r="2939" spans="1:22" hidden="1" x14ac:dyDescent="0.25">
      <c r="A2939" s="100">
        <v>45792</v>
      </c>
      <c r="B2939" t="str">
        <f t="shared" si="141"/>
        <v>May</v>
      </c>
      <c r="C2939" s="46" t="s">
        <v>280</v>
      </c>
      <c r="F2939" s="366" t="s">
        <v>1848</v>
      </c>
      <c r="G2939" s="46" t="s">
        <v>18</v>
      </c>
      <c r="H2939" s="46">
        <v>3</v>
      </c>
      <c r="I2939" s="51">
        <v>5367.6500000000005</v>
      </c>
      <c r="J2939" s="281">
        <f>++Tabla4[[#This Row],[Precio Bruto]]*1.16</f>
        <v>6226.4740000000002</v>
      </c>
      <c r="K2939" s="281">
        <f>+Tabla4[[#This Row],[Precio Unitario Neto]]*Tabla4[[#Headers],[20.85%]]</f>
        <v>1298.2198289999999</v>
      </c>
      <c r="L2939" s="282">
        <f>++Tabla4[[#This Row],[Precio Unitario Neto]]-Tabla4[[#This Row],[20.85%]]</f>
        <v>4928.2541710000005</v>
      </c>
      <c r="M2939" s="282" t="e">
        <f>(INDEX(Tabla6[#All],MATCH(Tabla4[[#This Row],[Producto]],Tabla6[[#All],[PRODUCTO]],0),MATCH(Tabla4[[#This Row],[Mes]],Tabla6[#Headers],0)))*(1+Catalogos!$L$2)</f>
        <v>#N/A</v>
      </c>
      <c r="N2939" s="283" t="e">
        <f>+(Tabla4[[#This Row],[Precio Descontado]]-Tabla4[[#This Row],[Precio Base]])*Tabla4[[#This Row],[Cantidad]]</f>
        <v>#N/A</v>
      </c>
      <c r="O2939" s="284" t="e">
        <f>++Tabla4[[#This Row],[Utilidad Total]]/Tabla4[[#This Row],[Total]]</f>
        <v>#N/A</v>
      </c>
      <c r="P2939" s="282">
        <f>++Tabla4[[#This Row],[Precio Descontado]]*Tabla4[[#This Row],[Cantidad]]</f>
        <v>14784.762513000001</v>
      </c>
      <c r="Q2939" s="282" t="e">
        <f>(INDEX(Tabla6[#All],MATCH(Tabla4[[#This Row],[Producto]],Tabla6[[#All],[PRODUCTO]],0),MATCH(Tabla4[[#This Row],[Mes]],Tabla6[#Headers],0)))</f>
        <v>#N/A</v>
      </c>
      <c r="R2939" s="282" t="e">
        <f>++Tabla4[[#This Row],[Precio Unitario Neto]]-Tabla4[[#This Row],[20.85%]]-Tabla4[[#This Row],[Costo]]</f>
        <v>#N/A</v>
      </c>
      <c r="S2939" s="282" t="e">
        <f>++Tabla4[[#This Row],[U. Bruta Uni]]*Tabla4[[#This Row],[Cantidad]]</f>
        <v>#N/A</v>
      </c>
      <c r="T2939" s="369" t="str">
        <f>VLOOKUP(Tabla4[[#This Row],[Producto]],Tabla6[#All],14,FALSE)</f>
        <v>Termico Solar</v>
      </c>
      <c r="U2939" s="284" t="e">
        <f>(IF(Tabla4[[#This Row],[Familia]]="termico solar",Tabla4[[#This Row],[Utilidad Total]]*6%,Tabla4[[#This Row],[Utilidad Total]]*11.5%))/Tabla4[[#This Row],[Total]]</f>
        <v>#N/A</v>
      </c>
      <c r="V2939" s="282" t="e">
        <f>+Tabla4[[#This Row],[Comisión Calculada]]*Tabla4[[#This Row],[Total]]</f>
        <v>#N/A</v>
      </c>
    </row>
    <row r="2940" spans="1:22" hidden="1" x14ac:dyDescent="0.25">
      <c r="A2940" s="100">
        <v>45792</v>
      </c>
      <c r="B2940" t="str">
        <f t="shared" si="141"/>
        <v>May</v>
      </c>
      <c r="C2940" s="46" t="s">
        <v>280</v>
      </c>
      <c r="F2940" s="366" t="s">
        <v>1849</v>
      </c>
      <c r="G2940" s="46" t="s">
        <v>17</v>
      </c>
      <c r="H2940" s="46">
        <v>1</v>
      </c>
      <c r="I2940" s="51">
        <v>4622.28</v>
      </c>
      <c r="J2940" s="281">
        <f>++Tabla4[[#This Row],[Precio Bruto]]*1.16</f>
        <v>5361.8447999999989</v>
      </c>
      <c r="K2940" s="281">
        <f>+Tabla4[[#This Row],[Precio Unitario Neto]]*Tabla4[[#Headers],[20.85%]]</f>
        <v>1117.9446407999997</v>
      </c>
      <c r="L2940" s="282">
        <f>++Tabla4[[#This Row],[Precio Unitario Neto]]-Tabla4[[#This Row],[20.85%]]</f>
        <v>4243.9001591999995</v>
      </c>
      <c r="M2940" s="282" t="e">
        <f>(INDEX(Tabla6[#All],MATCH(Tabla4[[#This Row],[Producto]],Tabla6[[#All],[PRODUCTO]],0),MATCH(Tabla4[[#This Row],[Mes]],Tabla6[#Headers],0)))*(1+Catalogos!$L$2)</f>
        <v>#N/A</v>
      </c>
      <c r="N2940" s="283" t="e">
        <f>+(Tabla4[[#This Row],[Precio Descontado]]-Tabla4[[#This Row],[Precio Base]])*Tabla4[[#This Row],[Cantidad]]</f>
        <v>#N/A</v>
      </c>
      <c r="O2940" s="284" t="e">
        <f>++Tabla4[[#This Row],[Utilidad Total]]/Tabla4[[#This Row],[Total]]</f>
        <v>#N/A</v>
      </c>
      <c r="P2940" s="282">
        <f>++Tabla4[[#This Row],[Precio Descontado]]*Tabla4[[#This Row],[Cantidad]]</f>
        <v>4243.9001591999995</v>
      </c>
      <c r="Q2940" s="282" t="e">
        <f>(INDEX(Tabla6[#All],MATCH(Tabla4[[#This Row],[Producto]],Tabla6[[#All],[PRODUCTO]],0),MATCH(Tabla4[[#This Row],[Mes]],Tabla6[#Headers],0)))</f>
        <v>#N/A</v>
      </c>
      <c r="R2940" s="282" t="e">
        <f>++Tabla4[[#This Row],[Precio Unitario Neto]]-Tabla4[[#This Row],[20.85%]]-Tabla4[[#This Row],[Costo]]</f>
        <v>#N/A</v>
      </c>
      <c r="S2940" s="282" t="e">
        <f>++Tabla4[[#This Row],[U. Bruta Uni]]*Tabla4[[#This Row],[Cantidad]]</f>
        <v>#N/A</v>
      </c>
      <c r="T2940" s="369" t="str">
        <f>VLOOKUP(Tabla4[[#This Row],[Producto]],Tabla6[#All],14,FALSE)</f>
        <v>Termico Solar</v>
      </c>
      <c r="U2940" s="284" t="e">
        <f>(IF(Tabla4[[#This Row],[Familia]]="termico solar",Tabla4[[#This Row],[Utilidad Total]]*6%,Tabla4[[#This Row],[Utilidad Total]]*11.5%))/Tabla4[[#This Row],[Total]]</f>
        <v>#N/A</v>
      </c>
      <c r="V2940" s="282" t="e">
        <f>+Tabla4[[#This Row],[Comisión Calculada]]*Tabla4[[#This Row],[Total]]</f>
        <v>#N/A</v>
      </c>
    </row>
    <row r="2941" spans="1:22" hidden="1" x14ac:dyDescent="0.25">
      <c r="A2941" s="100">
        <v>45792</v>
      </c>
      <c r="B2941" t="str">
        <f t="shared" si="141"/>
        <v>May</v>
      </c>
      <c r="C2941" s="46" t="s">
        <v>280</v>
      </c>
      <c r="F2941" s="366" t="s">
        <v>1849</v>
      </c>
      <c r="G2941" s="46" t="s">
        <v>566</v>
      </c>
      <c r="H2941" s="46">
        <v>1</v>
      </c>
      <c r="I2941" s="51">
        <v>2109.4499999999998</v>
      </c>
      <c r="J2941" s="281">
        <f>++Tabla4[[#This Row],[Precio Bruto]]*1.16</f>
        <v>2446.9619999999995</v>
      </c>
      <c r="K2941" s="281">
        <f>+Tabla4[[#This Row],[Precio Unitario Neto]]*Tabla4[[#Headers],[20.85%]]</f>
        <v>510.19157699999988</v>
      </c>
      <c r="L2941" s="282">
        <f>++Tabla4[[#This Row],[Precio Unitario Neto]]-Tabla4[[#This Row],[20.85%]]</f>
        <v>1936.7704229999997</v>
      </c>
      <c r="M2941" s="282" t="e">
        <f>(INDEX(Tabla6[#All],MATCH(Tabla4[[#This Row],[Producto]],Tabla6[[#All],[PRODUCTO]],0),MATCH(Tabla4[[#This Row],[Mes]],Tabla6[#Headers],0)))*(1+Catalogos!$L$2)</f>
        <v>#N/A</v>
      </c>
      <c r="N2941" s="283" t="e">
        <f>+(Tabla4[[#This Row],[Precio Descontado]]-Tabla4[[#This Row],[Precio Base]])*Tabla4[[#This Row],[Cantidad]]</f>
        <v>#N/A</v>
      </c>
      <c r="O2941" s="284" t="e">
        <f>++Tabla4[[#This Row],[Utilidad Total]]/Tabla4[[#This Row],[Total]]</f>
        <v>#N/A</v>
      </c>
      <c r="P2941" s="282">
        <f>++Tabla4[[#This Row],[Precio Descontado]]*Tabla4[[#This Row],[Cantidad]]</f>
        <v>1936.7704229999997</v>
      </c>
      <c r="Q2941" s="282" t="e">
        <f>(INDEX(Tabla6[#All],MATCH(Tabla4[[#This Row],[Producto]],Tabla6[[#All],[PRODUCTO]],0),MATCH(Tabla4[[#This Row],[Mes]],Tabla6[#Headers],0)))</f>
        <v>#N/A</v>
      </c>
      <c r="R2941" s="282" t="e">
        <f>++Tabla4[[#This Row],[Precio Unitario Neto]]-Tabla4[[#This Row],[20.85%]]-Tabla4[[#This Row],[Costo]]</f>
        <v>#N/A</v>
      </c>
      <c r="S2941" s="282" t="e">
        <f>++Tabla4[[#This Row],[U. Bruta Uni]]*Tabla4[[#This Row],[Cantidad]]</f>
        <v>#N/A</v>
      </c>
      <c r="T2941" s="369" t="str">
        <f>VLOOKUP(Tabla4[[#This Row],[Producto]],Tabla6[#All],14,FALSE)</f>
        <v>Termico Solar</v>
      </c>
      <c r="U2941" s="284" t="e">
        <f>(IF(Tabla4[[#This Row],[Familia]]="termico solar",Tabla4[[#This Row],[Utilidad Total]]*6%,Tabla4[[#This Row],[Utilidad Total]]*11.5%))/Tabla4[[#This Row],[Total]]</f>
        <v>#N/A</v>
      </c>
      <c r="V2941" s="282" t="e">
        <f>+Tabla4[[#This Row],[Comisión Calculada]]*Tabla4[[#This Row],[Total]]</f>
        <v>#N/A</v>
      </c>
    </row>
    <row r="2942" spans="1:22" hidden="1" x14ac:dyDescent="0.25">
      <c r="A2942" s="100">
        <v>45792</v>
      </c>
      <c r="B2942" t="str">
        <f t="shared" si="141"/>
        <v>May</v>
      </c>
      <c r="C2942" s="46" t="s">
        <v>280</v>
      </c>
      <c r="F2942" s="366" t="s">
        <v>1849</v>
      </c>
      <c r="G2942" s="46" t="s">
        <v>208</v>
      </c>
      <c r="H2942" s="46">
        <v>1</v>
      </c>
      <c r="I2942" s="51">
        <v>189.75</v>
      </c>
      <c r="J2942" s="281">
        <f>++Tabla4[[#This Row],[Precio Bruto]]*1.16</f>
        <v>220.10999999999999</v>
      </c>
      <c r="K2942" s="281">
        <f>+Tabla4[[#This Row],[Precio Unitario Neto]]*Tabla4[[#Headers],[20.85%]]</f>
        <v>45.892934999999994</v>
      </c>
      <c r="L2942" s="282">
        <f>++Tabla4[[#This Row],[Precio Unitario Neto]]-Tabla4[[#This Row],[20.85%]]</f>
        <v>174.21706499999999</v>
      </c>
      <c r="M2942" s="282" t="e">
        <f>(INDEX(Tabla6[#All],MATCH(Tabla4[[#This Row],[Producto]],Tabla6[[#All],[PRODUCTO]],0),MATCH(Tabla4[[#This Row],[Mes]],Tabla6[#Headers],0)))*(1+Catalogos!$L$2)</f>
        <v>#N/A</v>
      </c>
      <c r="N2942" s="283" t="e">
        <f>+(Tabla4[[#This Row],[Precio Descontado]]-Tabla4[[#This Row],[Precio Base]])*Tabla4[[#This Row],[Cantidad]]</f>
        <v>#N/A</v>
      </c>
      <c r="O2942" s="284" t="e">
        <f>++Tabla4[[#This Row],[Utilidad Total]]/Tabla4[[#This Row],[Total]]</f>
        <v>#N/A</v>
      </c>
      <c r="P2942" s="282">
        <f>++Tabla4[[#This Row],[Precio Descontado]]*Tabla4[[#This Row],[Cantidad]]</f>
        <v>174.21706499999999</v>
      </c>
      <c r="Q2942" s="282" t="e">
        <f>(INDEX(Tabla6[#All],MATCH(Tabla4[[#This Row],[Producto]],Tabla6[[#All],[PRODUCTO]],0),MATCH(Tabla4[[#This Row],[Mes]],Tabla6[#Headers],0)))</f>
        <v>#N/A</v>
      </c>
      <c r="R2942" s="282" t="e">
        <f>++Tabla4[[#This Row],[Precio Unitario Neto]]-Tabla4[[#This Row],[20.85%]]-Tabla4[[#This Row],[Costo]]</f>
        <v>#N/A</v>
      </c>
      <c r="S2942" s="282" t="e">
        <f>++Tabla4[[#This Row],[U. Bruta Uni]]*Tabla4[[#This Row],[Cantidad]]</f>
        <v>#N/A</v>
      </c>
      <c r="T2942" s="369" t="str">
        <f>VLOOKUP(Tabla4[[#This Row],[Producto]],Tabla6[#All],14,FALSE)</f>
        <v>Termico Solar</v>
      </c>
      <c r="U2942" s="284" t="e">
        <f>(IF(Tabla4[[#This Row],[Familia]]="termico solar",Tabla4[[#This Row],[Utilidad Total]]*6%,Tabla4[[#This Row],[Utilidad Total]]*11.5%))/Tabla4[[#This Row],[Total]]</f>
        <v>#N/A</v>
      </c>
      <c r="V2942" s="282" t="e">
        <f>+Tabla4[[#This Row],[Comisión Calculada]]*Tabla4[[#This Row],[Total]]</f>
        <v>#N/A</v>
      </c>
    </row>
    <row r="2943" spans="1:22" hidden="1" x14ac:dyDescent="0.25">
      <c r="A2943" s="100">
        <v>45792</v>
      </c>
      <c r="B2943" t="str">
        <f t="shared" si="141"/>
        <v>May</v>
      </c>
      <c r="C2943" s="46" t="s">
        <v>280</v>
      </c>
      <c r="F2943" s="366" t="s">
        <v>1850</v>
      </c>
      <c r="G2943" s="46" t="s">
        <v>83</v>
      </c>
      <c r="H2943" s="46">
        <v>1</v>
      </c>
      <c r="I2943" s="51">
        <v>8858.76</v>
      </c>
      <c r="J2943" s="281">
        <f>++Tabla4[[#This Row],[Precio Bruto]]*1.16</f>
        <v>10276.161599999999</v>
      </c>
      <c r="K2943" s="281">
        <f>+Tabla4[[#This Row],[Precio Unitario Neto]]*Tabla4[[#Headers],[20.85%]]</f>
        <v>2142.5796935999997</v>
      </c>
      <c r="L2943" s="282">
        <f>++Tabla4[[#This Row],[Precio Unitario Neto]]-Tabla4[[#This Row],[20.85%]]</f>
        <v>8133.5819063999998</v>
      </c>
      <c r="M2943" s="282" t="e">
        <f>(INDEX(Tabla6[#All],MATCH(Tabla4[[#This Row],[Producto]],Tabla6[[#All],[PRODUCTO]],0),MATCH(Tabla4[[#This Row],[Mes]],Tabla6[#Headers],0)))*(1+Catalogos!$L$2)</f>
        <v>#N/A</v>
      </c>
      <c r="N2943" s="283" t="e">
        <f>+(Tabla4[[#This Row],[Precio Descontado]]-Tabla4[[#This Row],[Precio Base]])*Tabla4[[#This Row],[Cantidad]]</f>
        <v>#N/A</v>
      </c>
      <c r="O2943" s="284" t="e">
        <f>++Tabla4[[#This Row],[Utilidad Total]]/Tabla4[[#This Row],[Total]]</f>
        <v>#N/A</v>
      </c>
      <c r="P2943" s="282">
        <f>++Tabla4[[#This Row],[Precio Descontado]]*Tabla4[[#This Row],[Cantidad]]</f>
        <v>8133.5819063999998</v>
      </c>
      <c r="Q2943" s="282" t="e">
        <f>(INDEX(Tabla6[#All],MATCH(Tabla4[[#This Row],[Producto]],Tabla6[[#All],[PRODUCTO]],0),MATCH(Tabla4[[#This Row],[Mes]],Tabla6[#Headers],0)))</f>
        <v>#N/A</v>
      </c>
      <c r="R2943" s="282" t="e">
        <f>++Tabla4[[#This Row],[Precio Unitario Neto]]-Tabla4[[#This Row],[20.85%]]-Tabla4[[#This Row],[Costo]]</f>
        <v>#N/A</v>
      </c>
      <c r="S2943" s="282" t="e">
        <f>++Tabla4[[#This Row],[U. Bruta Uni]]*Tabla4[[#This Row],[Cantidad]]</f>
        <v>#N/A</v>
      </c>
      <c r="T2943" s="369" t="str">
        <f>VLOOKUP(Tabla4[[#This Row],[Producto]],Tabla6[#All],14,FALSE)</f>
        <v>Termico Solar</v>
      </c>
      <c r="U2943" s="284" t="e">
        <f>(IF(Tabla4[[#This Row],[Familia]]="termico solar",Tabla4[[#This Row],[Utilidad Total]]*6%,Tabla4[[#This Row],[Utilidad Total]]*11.5%))/Tabla4[[#This Row],[Total]]</f>
        <v>#N/A</v>
      </c>
      <c r="V2943" s="282" t="e">
        <f>+Tabla4[[#This Row],[Comisión Calculada]]*Tabla4[[#This Row],[Total]]</f>
        <v>#N/A</v>
      </c>
    </row>
    <row r="2944" spans="1:22" hidden="1" x14ac:dyDescent="0.25">
      <c r="A2944" s="100">
        <v>45792</v>
      </c>
      <c r="B2944" t="str">
        <f t="shared" si="141"/>
        <v>May</v>
      </c>
      <c r="C2944" s="46" t="s">
        <v>280</v>
      </c>
      <c r="F2944" s="366" t="s">
        <v>1850</v>
      </c>
      <c r="G2944" s="46" t="s">
        <v>17</v>
      </c>
      <c r="H2944" s="46">
        <v>2</v>
      </c>
      <c r="I2944" s="51">
        <v>4622.28</v>
      </c>
      <c r="J2944" s="281">
        <f>++Tabla4[[#This Row],[Precio Bruto]]*1.16</f>
        <v>5361.8447999999989</v>
      </c>
      <c r="K2944" s="281">
        <f>+Tabla4[[#This Row],[Precio Unitario Neto]]*Tabla4[[#Headers],[20.85%]]</f>
        <v>1117.9446407999997</v>
      </c>
      <c r="L2944" s="282">
        <f>++Tabla4[[#This Row],[Precio Unitario Neto]]-Tabla4[[#This Row],[20.85%]]</f>
        <v>4243.9001591999995</v>
      </c>
      <c r="M2944" s="282" t="e">
        <f>(INDEX(Tabla6[#All],MATCH(Tabla4[[#This Row],[Producto]],Tabla6[[#All],[PRODUCTO]],0),MATCH(Tabla4[[#This Row],[Mes]],Tabla6[#Headers],0)))*(1+Catalogos!$L$2)</f>
        <v>#N/A</v>
      </c>
      <c r="N2944" s="283" t="e">
        <f>+(Tabla4[[#This Row],[Precio Descontado]]-Tabla4[[#This Row],[Precio Base]])*Tabla4[[#This Row],[Cantidad]]</f>
        <v>#N/A</v>
      </c>
      <c r="O2944" s="284" t="e">
        <f>++Tabla4[[#This Row],[Utilidad Total]]/Tabla4[[#This Row],[Total]]</f>
        <v>#N/A</v>
      </c>
      <c r="P2944" s="282">
        <f>++Tabla4[[#This Row],[Precio Descontado]]*Tabla4[[#This Row],[Cantidad]]</f>
        <v>8487.800318399999</v>
      </c>
      <c r="Q2944" s="282" t="e">
        <f>(INDEX(Tabla6[#All],MATCH(Tabla4[[#This Row],[Producto]],Tabla6[[#All],[PRODUCTO]],0),MATCH(Tabla4[[#This Row],[Mes]],Tabla6[#Headers],0)))</f>
        <v>#N/A</v>
      </c>
      <c r="R2944" s="282" t="e">
        <f>++Tabla4[[#This Row],[Precio Unitario Neto]]-Tabla4[[#This Row],[20.85%]]-Tabla4[[#This Row],[Costo]]</f>
        <v>#N/A</v>
      </c>
      <c r="S2944" s="282" t="e">
        <f>++Tabla4[[#This Row],[U. Bruta Uni]]*Tabla4[[#This Row],[Cantidad]]</f>
        <v>#N/A</v>
      </c>
      <c r="T2944" s="369" t="str">
        <f>VLOOKUP(Tabla4[[#This Row],[Producto]],Tabla6[#All],14,FALSE)</f>
        <v>Termico Solar</v>
      </c>
      <c r="U2944" s="284" t="e">
        <f>(IF(Tabla4[[#This Row],[Familia]]="termico solar",Tabla4[[#This Row],[Utilidad Total]]*6%,Tabla4[[#This Row],[Utilidad Total]]*11.5%))/Tabla4[[#This Row],[Total]]</f>
        <v>#N/A</v>
      </c>
      <c r="V2944" s="282" t="e">
        <f>+Tabla4[[#This Row],[Comisión Calculada]]*Tabla4[[#This Row],[Total]]</f>
        <v>#N/A</v>
      </c>
    </row>
    <row r="2945" spans="1:22" hidden="1" x14ac:dyDescent="0.25">
      <c r="A2945" s="100">
        <v>45792</v>
      </c>
      <c r="B2945" t="str">
        <f t="shared" si="141"/>
        <v>May</v>
      </c>
      <c r="C2945" s="46" t="s">
        <v>280</v>
      </c>
      <c r="F2945" s="366" t="s">
        <v>1850</v>
      </c>
      <c r="G2945" s="46" t="s">
        <v>18</v>
      </c>
      <c r="H2945" s="46">
        <v>1</v>
      </c>
      <c r="I2945" s="51">
        <v>5367.65</v>
      </c>
      <c r="J2945" s="281">
        <f>++Tabla4[[#This Row],[Precio Bruto]]*1.16</f>
        <v>6226.4739999999993</v>
      </c>
      <c r="K2945" s="281">
        <f>+Tabla4[[#This Row],[Precio Unitario Neto]]*Tabla4[[#Headers],[20.85%]]</f>
        <v>1298.2198289999999</v>
      </c>
      <c r="L2945" s="282">
        <f>++Tabla4[[#This Row],[Precio Unitario Neto]]-Tabla4[[#This Row],[20.85%]]</f>
        <v>4928.2541709999996</v>
      </c>
      <c r="M2945" s="282" t="e">
        <f>(INDEX(Tabla6[#All],MATCH(Tabla4[[#This Row],[Producto]],Tabla6[[#All],[PRODUCTO]],0),MATCH(Tabla4[[#This Row],[Mes]],Tabla6[#Headers],0)))*(1+Catalogos!$L$2)</f>
        <v>#N/A</v>
      </c>
      <c r="N2945" s="283" t="e">
        <f>+(Tabla4[[#This Row],[Precio Descontado]]-Tabla4[[#This Row],[Precio Base]])*Tabla4[[#This Row],[Cantidad]]</f>
        <v>#N/A</v>
      </c>
      <c r="O2945" s="284" t="e">
        <f>++Tabla4[[#This Row],[Utilidad Total]]/Tabla4[[#This Row],[Total]]</f>
        <v>#N/A</v>
      </c>
      <c r="P2945" s="282">
        <f>++Tabla4[[#This Row],[Precio Descontado]]*Tabla4[[#This Row],[Cantidad]]</f>
        <v>4928.2541709999996</v>
      </c>
      <c r="Q2945" s="282" t="e">
        <f>(INDEX(Tabla6[#All],MATCH(Tabla4[[#This Row],[Producto]],Tabla6[[#All],[PRODUCTO]],0),MATCH(Tabla4[[#This Row],[Mes]],Tabla6[#Headers],0)))</f>
        <v>#N/A</v>
      </c>
      <c r="R2945" s="282" t="e">
        <f>++Tabla4[[#This Row],[Precio Unitario Neto]]-Tabla4[[#This Row],[20.85%]]-Tabla4[[#This Row],[Costo]]</f>
        <v>#N/A</v>
      </c>
      <c r="S2945" s="282" t="e">
        <f>++Tabla4[[#This Row],[U. Bruta Uni]]*Tabla4[[#This Row],[Cantidad]]</f>
        <v>#N/A</v>
      </c>
      <c r="T2945" s="369" t="str">
        <f>VLOOKUP(Tabla4[[#This Row],[Producto]],Tabla6[#All],14,FALSE)</f>
        <v>Termico Solar</v>
      </c>
      <c r="U2945" s="284" t="e">
        <f>(IF(Tabla4[[#This Row],[Familia]]="termico solar",Tabla4[[#This Row],[Utilidad Total]]*6%,Tabla4[[#This Row],[Utilidad Total]]*11.5%))/Tabla4[[#This Row],[Total]]</f>
        <v>#N/A</v>
      </c>
      <c r="V2945" s="282" t="e">
        <f>+Tabla4[[#This Row],[Comisión Calculada]]*Tabla4[[#This Row],[Total]]</f>
        <v>#N/A</v>
      </c>
    </row>
    <row r="2946" spans="1:22" hidden="1" x14ac:dyDescent="0.25">
      <c r="A2946" s="100">
        <v>45792</v>
      </c>
      <c r="B2946" t="str">
        <f t="shared" si="141"/>
        <v>May</v>
      </c>
      <c r="C2946" s="46" t="s">
        <v>280</v>
      </c>
      <c r="F2946" s="366" t="s">
        <v>1850</v>
      </c>
      <c r="G2946" s="46" t="s">
        <v>566</v>
      </c>
      <c r="H2946" s="46">
        <v>1</v>
      </c>
      <c r="I2946" s="51">
        <v>2109.4499999999998</v>
      </c>
      <c r="J2946" s="281">
        <f>++Tabla4[[#This Row],[Precio Bruto]]*1.16</f>
        <v>2446.9619999999995</v>
      </c>
      <c r="K2946" s="281">
        <f>+Tabla4[[#This Row],[Precio Unitario Neto]]*Tabla4[[#Headers],[20.85%]]</f>
        <v>510.19157699999988</v>
      </c>
      <c r="L2946" s="282">
        <f>++Tabla4[[#This Row],[Precio Unitario Neto]]-Tabla4[[#This Row],[20.85%]]</f>
        <v>1936.7704229999997</v>
      </c>
      <c r="M2946" s="282" t="e">
        <f>(INDEX(Tabla6[#All],MATCH(Tabla4[[#This Row],[Producto]],Tabla6[[#All],[PRODUCTO]],0),MATCH(Tabla4[[#This Row],[Mes]],Tabla6[#Headers],0)))*(1+Catalogos!$L$2)</f>
        <v>#N/A</v>
      </c>
      <c r="N2946" s="283" t="e">
        <f>+(Tabla4[[#This Row],[Precio Descontado]]-Tabla4[[#This Row],[Precio Base]])*Tabla4[[#This Row],[Cantidad]]</f>
        <v>#N/A</v>
      </c>
      <c r="O2946" s="284" t="e">
        <f>++Tabla4[[#This Row],[Utilidad Total]]/Tabla4[[#This Row],[Total]]</f>
        <v>#N/A</v>
      </c>
      <c r="P2946" s="282">
        <f>++Tabla4[[#This Row],[Precio Descontado]]*Tabla4[[#This Row],[Cantidad]]</f>
        <v>1936.7704229999997</v>
      </c>
      <c r="Q2946" s="282" t="e">
        <f>(INDEX(Tabla6[#All],MATCH(Tabla4[[#This Row],[Producto]],Tabla6[[#All],[PRODUCTO]],0),MATCH(Tabla4[[#This Row],[Mes]],Tabla6[#Headers],0)))</f>
        <v>#N/A</v>
      </c>
      <c r="R2946" s="282" t="e">
        <f>++Tabla4[[#This Row],[Precio Unitario Neto]]-Tabla4[[#This Row],[20.85%]]-Tabla4[[#This Row],[Costo]]</f>
        <v>#N/A</v>
      </c>
      <c r="S2946" s="282" t="e">
        <f>++Tabla4[[#This Row],[U. Bruta Uni]]*Tabla4[[#This Row],[Cantidad]]</f>
        <v>#N/A</v>
      </c>
      <c r="T2946" s="369" t="str">
        <f>VLOOKUP(Tabla4[[#This Row],[Producto]],Tabla6[#All],14,FALSE)</f>
        <v>Termico Solar</v>
      </c>
      <c r="U2946" s="284" t="e">
        <f>(IF(Tabla4[[#This Row],[Familia]]="termico solar",Tabla4[[#This Row],[Utilidad Total]]*6%,Tabla4[[#This Row],[Utilidad Total]]*11.5%))/Tabla4[[#This Row],[Total]]</f>
        <v>#N/A</v>
      </c>
      <c r="V2946" s="282" t="e">
        <f>+Tabla4[[#This Row],[Comisión Calculada]]*Tabla4[[#This Row],[Total]]</f>
        <v>#N/A</v>
      </c>
    </row>
    <row r="2947" spans="1:22" hidden="1" x14ac:dyDescent="0.25">
      <c r="A2947" s="100">
        <v>45792</v>
      </c>
      <c r="B2947" t="str">
        <f t="shared" si="141"/>
        <v>May</v>
      </c>
      <c r="C2947" s="46" t="s">
        <v>280</v>
      </c>
      <c r="F2947" s="366" t="s">
        <v>1851</v>
      </c>
      <c r="G2947" s="46" t="s">
        <v>17</v>
      </c>
      <c r="H2947" s="46">
        <v>1</v>
      </c>
      <c r="I2947" s="51">
        <v>4622.28</v>
      </c>
      <c r="J2947" s="281">
        <f>++Tabla4[[#This Row],[Precio Bruto]]*1.16</f>
        <v>5361.8447999999989</v>
      </c>
      <c r="K2947" s="281">
        <f>+Tabla4[[#This Row],[Precio Unitario Neto]]*Tabla4[[#Headers],[20.85%]]</f>
        <v>1117.9446407999997</v>
      </c>
      <c r="L2947" s="282">
        <f>++Tabla4[[#This Row],[Precio Unitario Neto]]-Tabla4[[#This Row],[20.85%]]</f>
        <v>4243.9001591999995</v>
      </c>
      <c r="M2947" s="282" t="e">
        <f>(INDEX(Tabla6[#All],MATCH(Tabla4[[#This Row],[Producto]],Tabla6[[#All],[PRODUCTO]],0),MATCH(Tabla4[[#This Row],[Mes]],Tabla6[#Headers],0)))*(1+Catalogos!$L$2)</f>
        <v>#N/A</v>
      </c>
      <c r="N2947" s="283" t="e">
        <f>+(Tabla4[[#This Row],[Precio Descontado]]-Tabla4[[#This Row],[Precio Base]])*Tabla4[[#This Row],[Cantidad]]</f>
        <v>#N/A</v>
      </c>
      <c r="O2947" s="284" t="e">
        <f>++Tabla4[[#This Row],[Utilidad Total]]/Tabla4[[#This Row],[Total]]</f>
        <v>#N/A</v>
      </c>
      <c r="P2947" s="282">
        <f>++Tabla4[[#This Row],[Precio Descontado]]*Tabla4[[#This Row],[Cantidad]]</f>
        <v>4243.9001591999995</v>
      </c>
      <c r="Q2947" s="282" t="e">
        <f>(INDEX(Tabla6[#All],MATCH(Tabla4[[#This Row],[Producto]],Tabla6[[#All],[PRODUCTO]],0),MATCH(Tabla4[[#This Row],[Mes]],Tabla6[#Headers],0)))</f>
        <v>#N/A</v>
      </c>
      <c r="R2947" s="282" t="e">
        <f>++Tabla4[[#This Row],[Precio Unitario Neto]]-Tabla4[[#This Row],[20.85%]]-Tabla4[[#This Row],[Costo]]</f>
        <v>#N/A</v>
      </c>
      <c r="S2947" s="282" t="e">
        <f>++Tabla4[[#This Row],[U. Bruta Uni]]*Tabla4[[#This Row],[Cantidad]]</f>
        <v>#N/A</v>
      </c>
      <c r="T2947" s="369" t="str">
        <f>VLOOKUP(Tabla4[[#This Row],[Producto]],Tabla6[#All],14,FALSE)</f>
        <v>Termico Solar</v>
      </c>
      <c r="U2947" s="284" t="e">
        <f>(IF(Tabla4[[#This Row],[Familia]]="termico solar",Tabla4[[#This Row],[Utilidad Total]]*6%,Tabla4[[#This Row],[Utilidad Total]]*11.5%))/Tabla4[[#This Row],[Total]]</f>
        <v>#N/A</v>
      </c>
      <c r="V2947" s="282" t="e">
        <f>+Tabla4[[#This Row],[Comisión Calculada]]*Tabla4[[#This Row],[Total]]</f>
        <v>#N/A</v>
      </c>
    </row>
    <row r="2948" spans="1:22" hidden="1" x14ac:dyDescent="0.25">
      <c r="A2948" s="100">
        <v>45792</v>
      </c>
      <c r="B2948" t="str">
        <f t="shared" si="141"/>
        <v>May</v>
      </c>
      <c r="C2948" s="46" t="s">
        <v>280</v>
      </c>
      <c r="F2948" s="366" t="s">
        <v>1852</v>
      </c>
      <c r="G2948" s="46" t="s">
        <v>83</v>
      </c>
      <c r="H2948" s="46">
        <v>2</v>
      </c>
      <c r="I2948" s="51">
        <v>8858.76</v>
      </c>
      <c r="J2948" s="281">
        <f>++Tabla4[[#This Row],[Precio Bruto]]*1.16</f>
        <v>10276.161599999999</v>
      </c>
      <c r="K2948" s="281">
        <f>+Tabla4[[#This Row],[Precio Unitario Neto]]*Tabla4[[#Headers],[20.85%]]</f>
        <v>2142.5796935999997</v>
      </c>
      <c r="L2948" s="282">
        <f>++Tabla4[[#This Row],[Precio Unitario Neto]]-Tabla4[[#This Row],[20.85%]]</f>
        <v>8133.5819063999998</v>
      </c>
      <c r="M2948" s="282" t="e">
        <f>(INDEX(Tabla6[#All],MATCH(Tabla4[[#This Row],[Producto]],Tabla6[[#All],[PRODUCTO]],0),MATCH(Tabla4[[#This Row],[Mes]],Tabla6[#Headers],0)))*(1+Catalogos!$L$2)</f>
        <v>#N/A</v>
      </c>
      <c r="N2948" s="283" t="e">
        <f>+(Tabla4[[#This Row],[Precio Descontado]]-Tabla4[[#This Row],[Precio Base]])*Tabla4[[#This Row],[Cantidad]]</f>
        <v>#N/A</v>
      </c>
      <c r="O2948" s="284" t="e">
        <f>++Tabla4[[#This Row],[Utilidad Total]]/Tabla4[[#This Row],[Total]]</f>
        <v>#N/A</v>
      </c>
      <c r="P2948" s="282">
        <f>++Tabla4[[#This Row],[Precio Descontado]]*Tabla4[[#This Row],[Cantidad]]</f>
        <v>16267.1638128</v>
      </c>
      <c r="Q2948" s="282" t="e">
        <f>(INDEX(Tabla6[#All],MATCH(Tabla4[[#This Row],[Producto]],Tabla6[[#All],[PRODUCTO]],0),MATCH(Tabla4[[#This Row],[Mes]],Tabla6[#Headers],0)))</f>
        <v>#N/A</v>
      </c>
      <c r="R2948" s="282" t="e">
        <f>++Tabla4[[#This Row],[Precio Unitario Neto]]-Tabla4[[#This Row],[20.85%]]-Tabla4[[#This Row],[Costo]]</f>
        <v>#N/A</v>
      </c>
      <c r="S2948" s="282" t="e">
        <f>++Tabla4[[#This Row],[U. Bruta Uni]]*Tabla4[[#This Row],[Cantidad]]</f>
        <v>#N/A</v>
      </c>
      <c r="T2948" s="369" t="str">
        <f>VLOOKUP(Tabla4[[#This Row],[Producto]],Tabla6[#All],14,FALSE)</f>
        <v>Termico Solar</v>
      </c>
      <c r="U2948" s="284" t="e">
        <f>(IF(Tabla4[[#This Row],[Familia]]="termico solar",Tabla4[[#This Row],[Utilidad Total]]*6%,Tabla4[[#This Row],[Utilidad Total]]*11.5%))/Tabla4[[#This Row],[Total]]</f>
        <v>#N/A</v>
      </c>
      <c r="V2948" s="282" t="e">
        <f>+Tabla4[[#This Row],[Comisión Calculada]]*Tabla4[[#This Row],[Total]]</f>
        <v>#N/A</v>
      </c>
    </row>
    <row r="2949" spans="1:22" hidden="1" x14ac:dyDescent="0.25">
      <c r="A2949" s="100">
        <v>45792</v>
      </c>
      <c r="B2949" t="str">
        <f t="shared" si="141"/>
        <v>May</v>
      </c>
      <c r="C2949" s="46" t="s">
        <v>280</v>
      </c>
      <c r="F2949" s="366" t="s">
        <v>1852</v>
      </c>
      <c r="G2949" s="46" t="s">
        <v>17</v>
      </c>
      <c r="H2949" s="46">
        <v>6</v>
      </c>
      <c r="I2949" s="51">
        <v>4622.28</v>
      </c>
      <c r="J2949" s="281">
        <f>++Tabla4[[#This Row],[Precio Bruto]]*1.16</f>
        <v>5361.8447999999989</v>
      </c>
      <c r="K2949" s="281">
        <f>+Tabla4[[#This Row],[Precio Unitario Neto]]*Tabla4[[#Headers],[20.85%]]</f>
        <v>1117.9446407999997</v>
      </c>
      <c r="L2949" s="282">
        <f>++Tabla4[[#This Row],[Precio Unitario Neto]]-Tabla4[[#This Row],[20.85%]]</f>
        <v>4243.9001591999995</v>
      </c>
      <c r="M2949" s="282" t="e">
        <f>(INDEX(Tabla6[#All],MATCH(Tabla4[[#This Row],[Producto]],Tabla6[[#All],[PRODUCTO]],0),MATCH(Tabla4[[#This Row],[Mes]],Tabla6[#Headers],0)))*(1+Catalogos!$L$2)</f>
        <v>#N/A</v>
      </c>
      <c r="N2949" s="283" t="e">
        <f>+(Tabla4[[#This Row],[Precio Descontado]]-Tabla4[[#This Row],[Precio Base]])*Tabla4[[#This Row],[Cantidad]]</f>
        <v>#N/A</v>
      </c>
      <c r="O2949" s="284" t="e">
        <f>++Tabla4[[#This Row],[Utilidad Total]]/Tabla4[[#This Row],[Total]]</f>
        <v>#N/A</v>
      </c>
      <c r="P2949" s="282">
        <f>++Tabla4[[#This Row],[Precio Descontado]]*Tabla4[[#This Row],[Cantidad]]</f>
        <v>25463.400955199999</v>
      </c>
      <c r="Q2949" s="282" t="e">
        <f>(INDEX(Tabla6[#All],MATCH(Tabla4[[#This Row],[Producto]],Tabla6[[#All],[PRODUCTO]],0),MATCH(Tabla4[[#This Row],[Mes]],Tabla6[#Headers],0)))</f>
        <v>#N/A</v>
      </c>
      <c r="R2949" s="282" t="e">
        <f>++Tabla4[[#This Row],[Precio Unitario Neto]]-Tabla4[[#This Row],[20.85%]]-Tabla4[[#This Row],[Costo]]</f>
        <v>#N/A</v>
      </c>
      <c r="S2949" s="282" t="e">
        <f>++Tabla4[[#This Row],[U. Bruta Uni]]*Tabla4[[#This Row],[Cantidad]]</f>
        <v>#N/A</v>
      </c>
      <c r="T2949" s="369" t="str">
        <f>VLOOKUP(Tabla4[[#This Row],[Producto]],Tabla6[#All],14,FALSE)</f>
        <v>Termico Solar</v>
      </c>
      <c r="U2949" s="284" t="e">
        <f>(IF(Tabla4[[#This Row],[Familia]]="termico solar",Tabla4[[#This Row],[Utilidad Total]]*6%,Tabla4[[#This Row],[Utilidad Total]]*11.5%))/Tabla4[[#This Row],[Total]]</f>
        <v>#N/A</v>
      </c>
      <c r="V2949" s="282" t="e">
        <f>+Tabla4[[#This Row],[Comisión Calculada]]*Tabla4[[#This Row],[Total]]</f>
        <v>#N/A</v>
      </c>
    </row>
    <row r="2950" spans="1:22" hidden="1" x14ac:dyDescent="0.25">
      <c r="A2950" s="100">
        <v>45792</v>
      </c>
      <c r="B2950" t="str">
        <f t="shared" si="141"/>
        <v>May</v>
      </c>
      <c r="C2950" s="46" t="s">
        <v>280</v>
      </c>
      <c r="F2950" s="366" t="s">
        <v>1852</v>
      </c>
      <c r="G2950" s="46" t="s">
        <v>566</v>
      </c>
      <c r="H2950" s="46">
        <v>1</v>
      </c>
      <c r="I2950" s="51">
        <v>2109.4499999999998</v>
      </c>
      <c r="J2950" s="281">
        <f>++Tabla4[[#This Row],[Precio Bruto]]*1.16</f>
        <v>2446.9619999999995</v>
      </c>
      <c r="K2950" s="281">
        <f>+Tabla4[[#This Row],[Precio Unitario Neto]]*Tabla4[[#Headers],[20.85%]]</f>
        <v>510.19157699999988</v>
      </c>
      <c r="L2950" s="282">
        <f>++Tabla4[[#This Row],[Precio Unitario Neto]]-Tabla4[[#This Row],[20.85%]]</f>
        <v>1936.7704229999997</v>
      </c>
      <c r="M2950" s="282" t="e">
        <f>(INDEX(Tabla6[#All],MATCH(Tabla4[[#This Row],[Producto]],Tabla6[[#All],[PRODUCTO]],0),MATCH(Tabla4[[#This Row],[Mes]],Tabla6[#Headers],0)))*(1+Catalogos!$L$2)</f>
        <v>#N/A</v>
      </c>
      <c r="N2950" s="283" t="e">
        <f>+(Tabla4[[#This Row],[Precio Descontado]]-Tabla4[[#This Row],[Precio Base]])*Tabla4[[#This Row],[Cantidad]]</f>
        <v>#N/A</v>
      </c>
      <c r="O2950" s="284" t="e">
        <f>++Tabla4[[#This Row],[Utilidad Total]]/Tabla4[[#This Row],[Total]]</f>
        <v>#N/A</v>
      </c>
      <c r="P2950" s="282">
        <f>++Tabla4[[#This Row],[Precio Descontado]]*Tabla4[[#This Row],[Cantidad]]</f>
        <v>1936.7704229999997</v>
      </c>
      <c r="Q2950" s="282" t="e">
        <f>(INDEX(Tabla6[#All],MATCH(Tabla4[[#This Row],[Producto]],Tabla6[[#All],[PRODUCTO]],0),MATCH(Tabla4[[#This Row],[Mes]],Tabla6[#Headers],0)))</f>
        <v>#N/A</v>
      </c>
      <c r="R2950" s="282" t="e">
        <f>++Tabla4[[#This Row],[Precio Unitario Neto]]-Tabla4[[#This Row],[20.85%]]-Tabla4[[#This Row],[Costo]]</f>
        <v>#N/A</v>
      </c>
      <c r="S2950" s="282" t="e">
        <f>++Tabla4[[#This Row],[U. Bruta Uni]]*Tabla4[[#This Row],[Cantidad]]</f>
        <v>#N/A</v>
      </c>
      <c r="T2950" s="369" t="str">
        <f>VLOOKUP(Tabla4[[#This Row],[Producto]],Tabla6[#All],14,FALSE)</f>
        <v>Termico Solar</v>
      </c>
      <c r="U2950" s="284" t="e">
        <f>(IF(Tabla4[[#This Row],[Familia]]="termico solar",Tabla4[[#This Row],[Utilidad Total]]*6%,Tabla4[[#This Row],[Utilidad Total]]*11.5%))/Tabla4[[#This Row],[Total]]</f>
        <v>#N/A</v>
      </c>
      <c r="V2950" s="282" t="e">
        <f>+Tabla4[[#This Row],[Comisión Calculada]]*Tabla4[[#This Row],[Total]]</f>
        <v>#N/A</v>
      </c>
    </row>
    <row r="2951" spans="1:22" hidden="1" x14ac:dyDescent="0.25">
      <c r="A2951" s="100">
        <v>45792</v>
      </c>
      <c r="B2951" t="str">
        <f t="shared" si="141"/>
        <v>May</v>
      </c>
      <c r="C2951" s="46" t="s">
        <v>280</v>
      </c>
      <c r="F2951" s="366" t="s">
        <v>1852</v>
      </c>
      <c r="G2951" s="46" t="s">
        <v>208</v>
      </c>
      <c r="H2951" s="46">
        <v>1</v>
      </c>
      <c r="I2951" s="51">
        <v>189.75</v>
      </c>
      <c r="J2951" s="281">
        <f>++Tabla4[[#This Row],[Precio Bruto]]*1.16</f>
        <v>220.10999999999999</v>
      </c>
      <c r="K2951" s="281">
        <f>+Tabla4[[#This Row],[Precio Unitario Neto]]*Tabla4[[#Headers],[20.85%]]</f>
        <v>45.892934999999994</v>
      </c>
      <c r="L2951" s="282">
        <f>++Tabla4[[#This Row],[Precio Unitario Neto]]-Tabla4[[#This Row],[20.85%]]</f>
        <v>174.21706499999999</v>
      </c>
      <c r="M2951" s="282" t="e">
        <f>(INDEX(Tabla6[#All],MATCH(Tabla4[[#This Row],[Producto]],Tabla6[[#All],[PRODUCTO]],0),MATCH(Tabla4[[#This Row],[Mes]],Tabla6[#Headers],0)))*(1+Catalogos!$L$2)</f>
        <v>#N/A</v>
      </c>
      <c r="N2951" s="283" t="e">
        <f>+(Tabla4[[#This Row],[Precio Descontado]]-Tabla4[[#This Row],[Precio Base]])*Tabla4[[#This Row],[Cantidad]]</f>
        <v>#N/A</v>
      </c>
      <c r="O2951" s="284" t="e">
        <f>++Tabla4[[#This Row],[Utilidad Total]]/Tabla4[[#This Row],[Total]]</f>
        <v>#N/A</v>
      </c>
      <c r="P2951" s="282">
        <f>++Tabla4[[#This Row],[Precio Descontado]]*Tabla4[[#This Row],[Cantidad]]</f>
        <v>174.21706499999999</v>
      </c>
      <c r="Q2951" s="282" t="e">
        <f>(INDEX(Tabla6[#All],MATCH(Tabla4[[#This Row],[Producto]],Tabla6[[#All],[PRODUCTO]],0),MATCH(Tabla4[[#This Row],[Mes]],Tabla6[#Headers],0)))</f>
        <v>#N/A</v>
      </c>
      <c r="R2951" s="282" t="e">
        <f>++Tabla4[[#This Row],[Precio Unitario Neto]]-Tabla4[[#This Row],[20.85%]]-Tabla4[[#This Row],[Costo]]</f>
        <v>#N/A</v>
      </c>
      <c r="S2951" s="282" t="e">
        <f>++Tabla4[[#This Row],[U. Bruta Uni]]*Tabla4[[#This Row],[Cantidad]]</f>
        <v>#N/A</v>
      </c>
      <c r="T2951" s="369" t="str">
        <f>VLOOKUP(Tabla4[[#This Row],[Producto]],Tabla6[#All],14,FALSE)</f>
        <v>Termico Solar</v>
      </c>
      <c r="U2951" s="284" t="e">
        <f>(IF(Tabla4[[#This Row],[Familia]]="termico solar",Tabla4[[#This Row],[Utilidad Total]]*6%,Tabla4[[#This Row],[Utilidad Total]]*11.5%))/Tabla4[[#This Row],[Total]]</f>
        <v>#N/A</v>
      </c>
      <c r="V2951" s="282" t="e">
        <f>+Tabla4[[#This Row],[Comisión Calculada]]*Tabla4[[#This Row],[Total]]</f>
        <v>#N/A</v>
      </c>
    </row>
    <row r="2952" spans="1:22" hidden="1" x14ac:dyDescent="0.25">
      <c r="A2952" s="100">
        <v>45792</v>
      </c>
      <c r="B2952" t="str">
        <f t="shared" si="141"/>
        <v>May</v>
      </c>
      <c r="C2952" s="46" t="s">
        <v>280</v>
      </c>
      <c r="F2952" s="366" t="s">
        <v>1853</v>
      </c>
      <c r="G2952" s="46" t="s">
        <v>17</v>
      </c>
      <c r="H2952" s="46">
        <v>3</v>
      </c>
      <c r="I2952" s="51">
        <v>4622.28</v>
      </c>
      <c r="J2952" s="281">
        <f>++Tabla4[[#This Row],[Precio Bruto]]*1.16</f>
        <v>5361.8447999999989</v>
      </c>
      <c r="K2952" s="281">
        <f>+Tabla4[[#This Row],[Precio Unitario Neto]]*Tabla4[[#Headers],[20.85%]]</f>
        <v>1117.9446407999997</v>
      </c>
      <c r="L2952" s="282">
        <f>++Tabla4[[#This Row],[Precio Unitario Neto]]-Tabla4[[#This Row],[20.85%]]</f>
        <v>4243.9001591999995</v>
      </c>
      <c r="M2952" s="282" t="e">
        <f>(INDEX(Tabla6[#All],MATCH(Tabla4[[#This Row],[Producto]],Tabla6[[#All],[PRODUCTO]],0),MATCH(Tabla4[[#This Row],[Mes]],Tabla6[#Headers],0)))*(1+Catalogos!$L$2)</f>
        <v>#N/A</v>
      </c>
      <c r="N2952" s="283" t="e">
        <f>+(Tabla4[[#This Row],[Precio Descontado]]-Tabla4[[#This Row],[Precio Base]])*Tabla4[[#This Row],[Cantidad]]</f>
        <v>#N/A</v>
      </c>
      <c r="O2952" s="284" t="e">
        <f>++Tabla4[[#This Row],[Utilidad Total]]/Tabla4[[#This Row],[Total]]</f>
        <v>#N/A</v>
      </c>
      <c r="P2952" s="282">
        <f>++Tabla4[[#This Row],[Precio Descontado]]*Tabla4[[#This Row],[Cantidad]]</f>
        <v>12731.700477599999</v>
      </c>
      <c r="Q2952" s="282" t="e">
        <f>(INDEX(Tabla6[#All],MATCH(Tabla4[[#This Row],[Producto]],Tabla6[[#All],[PRODUCTO]],0),MATCH(Tabla4[[#This Row],[Mes]],Tabla6[#Headers],0)))</f>
        <v>#N/A</v>
      </c>
      <c r="R2952" s="282" t="e">
        <f>++Tabla4[[#This Row],[Precio Unitario Neto]]-Tabla4[[#This Row],[20.85%]]-Tabla4[[#This Row],[Costo]]</f>
        <v>#N/A</v>
      </c>
      <c r="S2952" s="282" t="e">
        <f>++Tabla4[[#This Row],[U. Bruta Uni]]*Tabla4[[#This Row],[Cantidad]]</f>
        <v>#N/A</v>
      </c>
      <c r="T2952" s="369" t="str">
        <f>VLOOKUP(Tabla4[[#This Row],[Producto]],Tabla6[#All],14,FALSE)</f>
        <v>Termico Solar</v>
      </c>
      <c r="U2952" s="284" t="e">
        <f>(IF(Tabla4[[#This Row],[Familia]]="termico solar",Tabla4[[#This Row],[Utilidad Total]]*6%,Tabla4[[#This Row],[Utilidad Total]]*11.5%))/Tabla4[[#This Row],[Total]]</f>
        <v>#N/A</v>
      </c>
      <c r="V2952" s="282" t="e">
        <f>+Tabla4[[#This Row],[Comisión Calculada]]*Tabla4[[#This Row],[Total]]</f>
        <v>#N/A</v>
      </c>
    </row>
    <row r="2953" spans="1:22" hidden="1" x14ac:dyDescent="0.25">
      <c r="A2953" s="100">
        <v>45792</v>
      </c>
      <c r="B2953" t="str">
        <f t="shared" si="141"/>
        <v>May</v>
      </c>
      <c r="C2953" s="46" t="s">
        <v>280</v>
      </c>
      <c r="F2953" s="366" t="s">
        <v>1854</v>
      </c>
      <c r="G2953" s="46" t="s">
        <v>83</v>
      </c>
      <c r="H2953" s="46">
        <v>3</v>
      </c>
      <c r="I2953" s="51">
        <v>8858.76</v>
      </c>
      <c r="J2953" s="281">
        <f>++Tabla4[[#This Row],[Precio Bruto]]*1.16</f>
        <v>10276.161599999999</v>
      </c>
      <c r="K2953" s="281">
        <f>+Tabla4[[#This Row],[Precio Unitario Neto]]*Tabla4[[#Headers],[20.85%]]</f>
        <v>2142.5796935999997</v>
      </c>
      <c r="L2953" s="282">
        <f>++Tabla4[[#This Row],[Precio Unitario Neto]]-Tabla4[[#This Row],[20.85%]]</f>
        <v>8133.5819063999998</v>
      </c>
      <c r="M2953" s="282" t="e">
        <f>(INDEX(Tabla6[#All],MATCH(Tabla4[[#This Row],[Producto]],Tabla6[[#All],[PRODUCTO]],0),MATCH(Tabla4[[#This Row],[Mes]],Tabla6[#Headers],0)))*(1+Catalogos!$L$2)</f>
        <v>#N/A</v>
      </c>
      <c r="N2953" s="283" t="e">
        <f>+(Tabla4[[#This Row],[Precio Descontado]]-Tabla4[[#This Row],[Precio Base]])*Tabla4[[#This Row],[Cantidad]]</f>
        <v>#N/A</v>
      </c>
      <c r="O2953" s="284" t="e">
        <f>++Tabla4[[#This Row],[Utilidad Total]]/Tabla4[[#This Row],[Total]]</f>
        <v>#N/A</v>
      </c>
      <c r="P2953" s="282">
        <f>++Tabla4[[#This Row],[Precio Descontado]]*Tabla4[[#This Row],[Cantidad]]</f>
        <v>24400.7457192</v>
      </c>
      <c r="Q2953" s="282" t="e">
        <f>(INDEX(Tabla6[#All],MATCH(Tabla4[[#This Row],[Producto]],Tabla6[[#All],[PRODUCTO]],0),MATCH(Tabla4[[#This Row],[Mes]],Tabla6[#Headers],0)))</f>
        <v>#N/A</v>
      </c>
      <c r="R2953" s="282" t="e">
        <f>++Tabla4[[#This Row],[Precio Unitario Neto]]-Tabla4[[#This Row],[20.85%]]-Tabla4[[#This Row],[Costo]]</f>
        <v>#N/A</v>
      </c>
      <c r="S2953" s="282" t="e">
        <f>++Tabla4[[#This Row],[U. Bruta Uni]]*Tabla4[[#This Row],[Cantidad]]</f>
        <v>#N/A</v>
      </c>
      <c r="T2953" s="369" t="str">
        <f>VLOOKUP(Tabla4[[#This Row],[Producto]],Tabla6[#All],14,FALSE)</f>
        <v>Termico Solar</v>
      </c>
      <c r="U2953" s="284" t="e">
        <f>(IF(Tabla4[[#This Row],[Familia]]="termico solar",Tabla4[[#This Row],[Utilidad Total]]*6%,Tabla4[[#This Row],[Utilidad Total]]*11.5%))/Tabla4[[#This Row],[Total]]</f>
        <v>#N/A</v>
      </c>
      <c r="V2953" s="282" t="e">
        <f>+Tabla4[[#This Row],[Comisión Calculada]]*Tabla4[[#This Row],[Total]]</f>
        <v>#N/A</v>
      </c>
    </row>
    <row r="2954" spans="1:22" hidden="1" x14ac:dyDescent="0.25">
      <c r="A2954" s="100">
        <v>45792</v>
      </c>
      <c r="B2954" t="str">
        <f t="shared" si="141"/>
        <v>May</v>
      </c>
      <c r="C2954" s="46" t="s">
        <v>280</v>
      </c>
      <c r="F2954" s="366" t="s">
        <v>1854</v>
      </c>
      <c r="G2954" s="46" t="s">
        <v>17</v>
      </c>
      <c r="H2954" s="46">
        <v>2</v>
      </c>
      <c r="I2954" s="51">
        <v>4622.28</v>
      </c>
      <c r="J2954" s="281">
        <f>++Tabla4[[#This Row],[Precio Bruto]]*1.16</f>
        <v>5361.8447999999989</v>
      </c>
      <c r="K2954" s="281">
        <f>+Tabla4[[#This Row],[Precio Unitario Neto]]*Tabla4[[#Headers],[20.85%]]</f>
        <v>1117.9446407999997</v>
      </c>
      <c r="L2954" s="282">
        <f>++Tabla4[[#This Row],[Precio Unitario Neto]]-Tabla4[[#This Row],[20.85%]]</f>
        <v>4243.9001591999995</v>
      </c>
      <c r="M2954" s="282" t="e">
        <f>(INDEX(Tabla6[#All],MATCH(Tabla4[[#This Row],[Producto]],Tabla6[[#All],[PRODUCTO]],0),MATCH(Tabla4[[#This Row],[Mes]],Tabla6[#Headers],0)))*(1+Catalogos!$L$2)</f>
        <v>#N/A</v>
      </c>
      <c r="N2954" s="283" t="e">
        <f>+(Tabla4[[#This Row],[Precio Descontado]]-Tabla4[[#This Row],[Precio Base]])*Tabla4[[#This Row],[Cantidad]]</f>
        <v>#N/A</v>
      </c>
      <c r="O2954" s="284" t="e">
        <f>++Tabla4[[#This Row],[Utilidad Total]]/Tabla4[[#This Row],[Total]]</f>
        <v>#N/A</v>
      </c>
      <c r="P2954" s="282">
        <f>++Tabla4[[#This Row],[Precio Descontado]]*Tabla4[[#This Row],[Cantidad]]</f>
        <v>8487.800318399999</v>
      </c>
      <c r="Q2954" s="282" t="e">
        <f>(INDEX(Tabla6[#All],MATCH(Tabla4[[#This Row],[Producto]],Tabla6[[#All],[PRODUCTO]],0),MATCH(Tabla4[[#This Row],[Mes]],Tabla6[#Headers],0)))</f>
        <v>#N/A</v>
      </c>
      <c r="R2954" s="282" t="e">
        <f>++Tabla4[[#This Row],[Precio Unitario Neto]]-Tabla4[[#This Row],[20.85%]]-Tabla4[[#This Row],[Costo]]</f>
        <v>#N/A</v>
      </c>
      <c r="S2954" s="282" t="e">
        <f>++Tabla4[[#This Row],[U. Bruta Uni]]*Tabla4[[#This Row],[Cantidad]]</f>
        <v>#N/A</v>
      </c>
      <c r="T2954" s="369" t="str">
        <f>VLOOKUP(Tabla4[[#This Row],[Producto]],Tabla6[#All],14,FALSE)</f>
        <v>Termico Solar</v>
      </c>
      <c r="U2954" s="284" t="e">
        <f>(IF(Tabla4[[#This Row],[Familia]]="termico solar",Tabla4[[#This Row],[Utilidad Total]]*6%,Tabla4[[#This Row],[Utilidad Total]]*11.5%))/Tabla4[[#This Row],[Total]]</f>
        <v>#N/A</v>
      </c>
      <c r="V2954" s="282" t="e">
        <f>+Tabla4[[#This Row],[Comisión Calculada]]*Tabla4[[#This Row],[Total]]</f>
        <v>#N/A</v>
      </c>
    </row>
    <row r="2955" spans="1:22" hidden="1" x14ac:dyDescent="0.25">
      <c r="A2955" s="100">
        <v>45792</v>
      </c>
      <c r="B2955" t="str">
        <f t="shared" si="141"/>
        <v>May</v>
      </c>
      <c r="C2955" s="46" t="s">
        <v>280</v>
      </c>
      <c r="F2955" s="366" t="s">
        <v>1854</v>
      </c>
      <c r="G2955" s="46" t="s">
        <v>18</v>
      </c>
      <c r="H2955" s="46">
        <v>4</v>
      </c>
      <c r="I2955" s="51">
        <v>5367.65</v>
      </c>
      <c r="J2955" s="281">
        <f>++Tabla4[[#This Row],[Precio Bruto]]*1.16</f>
        <v>6226.4739999999993</v>
      </c>
      <c r="K2955" s="281">
        <f>+Tabla4[[#This Row],[Precio Unitario Neto]]*Tabla4[[#Headers],[20.85%]]</f>
        <v>1298.2198289999999</v>
      </c>
      <c r="L2955" s="282">
        <f>++Tabla4[[#This Row],[Precio Unitario Neto]]-Tabla4[[#This Row],[20.85%]]</f>
        <v>4928.2541709999996</v>
      </c>
      <c r="M2955" s="282" t="e">
        <f>(INDEX(Tabla6[#All],MATCH(Tabla4[[#This Row],[Producto]],Tabla6[[#All],[PRODUCTO]],0),MATCH(Tabla4[[#This Row],[Mes]],Tabla6[#Headers],0)))*(1+Catalogos!$L$2)</f>
        <v>#N/A</v>
      </c>
      <c r="N2955" s="283" t="e">
        <f>+(Tabla4[[#This Row],[Precio Descontado]]-Tabla4[[#This Row],[Precio Base]])*Tabla4[[#This Row],[Cantidad]]</f>
        <v>#N/A</v>
      </c>
      <c r="O2955" s="284" t="e">
        <f>++Tabla4[[#This Row],[Utilidad Total]]/Tabla4[[#This Row],[Total]]</f>
        <v>#N/A</v>
      </c>
      <c r="P2955" s="282">
        <f>++Tabla4[[#This Row],[Precio Descontado]]*Tabla4[[#This Row],[Cantidad]]</f>
        <v>19713.016683999998</v>
      </c>
      <c r="Q2955" s="282" t="e">
        <f>(INDEX(Tabla6[#All],MATCH(Tabla4[[#This Row],[Producto]],Tabla6[[#All],[PRODUCTO]],0),MATCH(Tabla4[[#This Row],[Mes]],Tabla6[#Headers],0)))</f>
        <v>#N/A</v>
      </c>
      <c r="R2955" s="282" t="e">
        <f>++Tabla4[[#This Row],[Precio Unitario Neto]]-Tabla4[[#This Row],[20.85%]]-Tabla4[[#This Row],[Costo]]</f>
        <v>#N/A</v>
      </c>
      <c r="S2955" s="282" t="e">
        <f>++Tabla4[[#This Row],[U. Bruta Uni]]*Tabla4[[#This Row],[Cantidad]]</f>
        <v>#N/A</v>
      </c>
      <c r="T2955" s="369" t="str">
        <f>VLOOKUP(Tabla4[[#This Row],[Producto]],Tabla6[#All],14,FALSE)</f>
        <v>Termico Solar</v>
      </c>
      <c r="U2955" s="284" t="e">
        <f>(IF(Tabla4[[#This Row],[Familia]]="termico solar",Tabla4[[#This Row],[Utilidad Total]]*6%,Tabla4[[#This Row],[Utilidad Total]]*11.5%))/Tabla4[[#This Row],[Total]]</f>
        <v>#N/A</v>
      </c>
      <c r="V2955" s="282" t="e">
        <f>+Tabla4[[#This Row],[Comisión Calculada]]*Tabla4[[#This Row],[Total]]</f>
        <v>#N/A</v>
      </c>
    </row>
    <row r="2956" spans="1:22" hidden="1" x14ac:dyDescent="0.25">
      <c r="A2956" s="100">
        <v>45792</v>
      </c>
      <c r="B2956" t="str">
        <f t="shared" si="141"/>
        <v>May</v>
      </c>
      <c r="C2956" s="46" t="s">
        <v>280</v>
      </c>
      <c r="F2956" s="366" t="s">
        <v>1854</v>
      </c>
      <c r="G2956" s="46" t="s">
        <v>208</v>
      </c>
      <c r="H2956" s="46">
        <v>1</v>
      </c>
      <c r="I2956" s="51">
        <v>189.75</v>
      </c>
      <c r="J2956" s="281">
        <f>++Tabla4[[#This Row],[Precio Bruto]]*1.16</f>
        <v>220.10999999999999</v>
      </c>
      <c r="K2956" s="281">
        <f>+Tabla4[[#This Row],[Precio Unitario Neto]]*Tabla4[[#Headers],[20.85%]]</f>
        <v>45.892934999999994</v>
      </c>
      <c r="L2956" s="282">
        <f>++Tabla4[[#This Row],[Precio Unitario Neto]]-Tabla4[[#This Row],[20.85%]]</f>
        <v>174.21706499999999</v>
      </c>
      <c r="M2956" s="282" t="e">
        <f>(INDEX(Tabla6[#All],MATCH(Tabla4[[#This Row],[Producto]],Tabla6[[#All],[PRODUCTO]],0),MATCH(Tabla4[[#This Row],[Mes]],Tabla6[#Headers],0)))*(1+Catalogos!$L$2)</f>
        <v>#N/A</v>
      </c>
      <c r="N2956" s="283" t="e">
        <f>+(Tabla4[[#This Row],[Precio Descontado]]-Tabla4[[#This Row],[Precio Base]])*Tabla4[[#This Row],[Cantidad]]</f>
        <v>#N/A</v>
      </c>
      <c r="O2956" s="284" t="e">
        <f>++Tabla4[[#This Row],[Utilidad Total]]/Tabla4[[#This Row],[Total]]</f>
        <v>#N/A</v>
      </c>
      <c r="P2956" s="282">
        <f>++Tabla4[[#This Row],[Precio Descontado]]*Tabla4[[#This Row],[Cantidad]]</f>
        <v>174.21706499999999</v>
      </c>
      <c r="Q2956" s="282" t="e">
        <f>(INDEX(Tabla6[#All],MATCH(Tabla4[[#This Row],[Producto]],Tabla6[[#All],[PRODUCTO]],0),MATCH(Tabla4[[#This Row],[Mes]],Tabla6[#Headers],0)))</f>
        <v>#N/A</v>
      </c>
      <c r="R2956" s="282" t="e">
        <f>++Tabla4[[#This Row],[Precio Unitario Neto]]-Tabla4[[#This Row],[20.85%]]-Tabla4[[#This Row],[Costo]]</f>
        <v>#N/A</v>
      </c>
      <c r="S2956" s="282" t="e">
        <f>++Tabla4[[#This Row],[U. Bruta Uni]]*Tabla4[[#This Row],[Cantidad]]</f>
        <v>#N/A</v>
      </c>
      <c r="T2956" s="369" t="str">
        <f>VLOOKUP(Tabla4[[#This Row],[Producto]],Tabla6[#All],14,FALSE)</f>
        <v>Termico Solar</v>
      </c>
      <c r="U2956" s="284" t="e">
        <f>(IF(Tabla4[[#This Row],[Familia]]="termico solar",Tabla4[[#This Row],[Utilidad Total]]*6%,Tabla4[[#This Row],[Utilidad Total]]*11.5%))/Tabla4[[#This Row],[Total]]</f>
        <v>#N/A</v>
      </c>
      <c r="V2956" s="282" t="e">
        <f>+Tabla4[[#This Row],[Comisión Calculada]]*Tabla4[[#This Row],[Total]]</f>
        <v>#N/A</v>
      </c>
    </row>
    <row r="2957" spans="1:22" hidden="1" x14ac:dyDescent="0.25">
      <c r="A2957" s="100">
        <v>45792</v>
      </c>
      <c r="B2957" t="str">
        <f t="shared" si="141"/>
        <v>May</v>
      </c>
      <c r="C2957" s="46" t="s">
        <v>280</v>
      </c>
      <c r="F2957" s="366" t="s">
        <v>1855</v>
      </c>
      <c r="G2957" s="46" t="s">
        <v>18</v>
      </c>
      <c r="H2957" s="46">
        <v>1</v>
      </c>
      <c r="I2957" s="51">
        <v>5367.65</v>
      </c>
      <c r="J2957" s="281">
        <f>++Tabla4[[#This Row],[Precio Bruto]]*1.16</f>
        <v>6226.4739999999993</v>
      </c>
      <c r="K2957" s="281">
        <f>+Tabla4[[#This Row],[Precio Unitario Neto]]*Tabla4[[#Headers],[20.85%]]</f>
        <v>1298.2198289999999</v>
      </c>
      <c r="L2957" s="282">
        <f>++Tabla4[[#This Row],[Precio Unitario Neto]]-Tabla4[[#This Row],[20.85%]]</f>
        <v>4928.2541709999996</v>
      </c>
      <c r="M2957" s="282" t="e">
        <f>(INDEX(Tabla6[#All],MATCH(Tabla4[[#This Row],[Producto]],Tabla6[[#All],[PRODUCTO]],0),MATCH(Tabla4[[#This Row],[Mes]],Tabla6[#Headers],0)))*(1+Catalogos!$L$2)</f>
        <v>#N/A</v>
      </c>
      <c r="N2957" s="283" t="e">
        <f>+(Tabla4[[#This Row],[Precio Descontado]]-Tabla4[[#This Row],[Precio Base]])*Tabla4[[#This Row],[Cantidad]]</f>
        <v>#N/A</v>
      </c>
      <c r="O2957" s="284" t="e">
        <f>++Tabla4[[#This Row],[Utilidad Total]]/Tabla4[[#This Row],[Total]]</f>
        <v>#N/A</v>
      </c>
      <c r="P2957" s="282">
        <f>++Tabla4[[#This Row],[Precio Descontado]]*Tabla4[[#This Row],[Cantidad]]</f>
        <v>4928.2541709999996</v>
      </c>
      <c r="Q2957" s="282" t="e">
        <f>(INDEX(Tabla6[#All],MATCH(Tabla4[[#This Row],[Producto]],Tabla6[[#All],[PRODUCTO]],0),MATCH(Tabla4[[#This Row],[Mes]],Tabla6[#Headers],0)))</f>
        <v>#N/A</v>
      </c>
      <c r="R2957" s="282" t="e">
        <f>++Tabla4[[#This Row],[Precio Unitario Neto]]-Tabla4[[#This Row],[20.85%]]-Tabla4[[#This Row],[Costo]]</f>
        <v>#N/A</v>
      </c>
      <c r="S2957" s="282" t="e">
        <f>++Tabla4[[#This Row],[U. Bruta Uni]]*Tabla4[[#This Row],[Cantidad]]</f>
        <v>#N/A</v>
      </c>
      <c r="T2957" s="369" t="str">
        <f>VLOOKUP(Tabla4[[#This Row],[Producto]],Tabla6[#All],14,FALSE)</f>
        <v>Termico Solar</v>
      </c>
      <c r="U2957" s="284" t="e">
        <f>(IF(Tabla4[[#This Row],[Familia]]="termico solar",Tabla4[[#This Row],[Utilidad Total]]*6%,Tabla4[[#This Row],[Utilidad Total]]*11.5%))/Tabla4[[#This Row],[Total]]</f>
        <v>#N/A</v>
      </c>
      <c r="V2957" s="282" t="e">
        <f>+Tabla4[[#This Row],[Comisión Calculada]]*Tabla4[[#This Row],[Total]]</f>
        <v>#N/A</v>
      </c>
    </row>
    <row r="2958" spans="1:22" hidden="1" x14ac:dyDescent="0.25">
      <c r="A2958" s="100">
        <v>45792</v>
      </c>
      <c r="B2958" t="str">
        <f t="shared" si="141"/>
        <v>May</v>
      </c>
      <c r="C2958" s="46" t="s">
        <v>280</v>
      </c>
      <c r="F2958" s="366" t="s">
        <v>1855</v>
      </c>
      <c r="G2958" s="46" t="s">
        <v>394</v>
      </c>
      <c r="H2958" s="46">
        <v>16</v>
      </c>
      <c r="I2958" s="51">
        <v>224.29</v>
      </c>
      <c r="J2958" s="281">
        <f>++Tabla4[[#This Row],[Precio Bruto]]*1.16</f>
        <v>260.1764</v>
      </c>
      <c r="K2958" s="281">
        <f>+Tabla4[[#This Row],[Precio Unitario Neto]]*Tabla4[[#Headers],[20.85%]]</f>
        <v>54.246779400000001</v>
      </c>
      <c r="L2958" s="282">
        <f>++Tabla4[[#This Row],[Precio Unitario Neto]]-Tabla4[[#This Row],[20.85%]]</f>
        <v>205.92962059999999</v>
      </c>
      <c r="M2958" s="282" t="e">
        <f>(INDEX(Tabla6[#All],MATCH(Tabla4[[#This Row],[Producto]],Tabla6[[#All],[PRODUCTO]],0),MATCH(Tabla4[[#This Row],[Mes]],Tabla6[#Headers],0)))*(1+Catalogos!$L$2)</f>
        <v>#N/A</v>
      </c>
      <c r="N2958" s="283" t="e">
        <f>+(Tabla4[[#This Row],[Precio Descontado]]-Tabla4[[#This Row],[Precio Base]])*Tabla4[[#This Row],[Cantidad]]</f>
        <v>#N/A</v>
      </c>
      <c r="O2958" s="284" t="e">
        <f>++Tabla4[[#This Row],[Utilidad Total]]/Tabla4[[#This Row],[Total]]</f>
        <v>#N/A</v>
      </c>
      <c r="P2958" s="282">
        <f>++Tabla4[[#This Row],[Precio Descontado]]*Tabla4[[#This Row],[Cantidad]]</f>
        <v>3294.8739295999999</v>
      </c>
      <c r="Q2958" s="282" t="e">
        <f>(INDEX(Tabla6[#All],MATCH(Tabla4[[#This Row],[Producto]],Tabla6[[#All],[PRODUCTO]],0),MATCH(Tabla4[[#This Row],[Mes]],Tabla6[#Headers],0)))</f>
        <v>#N/A</v>
      </c>
      <c r="R2958" s="282" t="e">
        <f>++Tabla4[[#This Row],[Precio Unitario Neto]]-Tabla4[[#This Row],[20.85%]]-Tabla4[[#This Row],[Costo]]</f>
        <v>#N/A</v>
      </c>
      <c r="S2958" s="282" t="e">
        <f>++Tabla4[[#This Row],[U. Bruta Uni]]*Tabla4[[#This Row],[Cantidad]]</f>
        <v>#N/A</v>
      </c>
      <c r="T2958" s="369" t="str">
        <f>VLOOKUP(Tabla4[[#This Row],[Producto]],Tabla6[#All],14,FALSE)</f>
        <v>Termico Solar</v>
      </c>
      <c r="U2958" s="284" t="e">
        <f>(IF(Tabla4[[#This Row],[Familia]]="termico solar",Tabla4[[#This Row],[Utilidad Total]]*6%,Tabla4[[#This Row],[Utilidad Total]]*11.5%))/Tabla4[[#This Row],[Total]]</f>
        <v>#N/A</v>
      </c>
      <c r="V2958" s="282" t="e">
        <f>+Tabla4[[#This Row],[Comisión Calculada]]*Tabla4[[#This Row],[Total]]</f>
        <v>#N/A</v>
      </c>
    </row>
    <row r="2959" spans="1:22" hidden="1" x14ac:dyDescent="0.25">
      <c r="A2959" s="100">
        <v>45792</v>
      </c>
      <c r="B2959" t="str">
        <f t="shared" si="141"/>
        <v>May</v>
      </c>
      <c r="C2959" s="46" t="s">
        <v>280</v>
      </c>
      <c r="F2959" s="366" t="s">
        <v>1856</v>
      </c>
      <c r="G2959" s="46" t="s">
        <v>83</v>
      </c>
      <c r="H2959" s="46">
        <v>4</v>
      </c>
      <c r="I2959" s="51">
        <v>8858.76</v>
      </c>
      <c r="J2959" s="281">
        <f>++Tabla4[[#This Row],[Precio Bruto]]*1.16</f>
        <v>10276.161599999999</v>
      </c>
      <c r="K2959" s="281">
        <f>+Tabla4[[#This Row],[Precio Unitario Neto]]*Tabla4[[#Headers],[20.85%]]</f>
        <v>2142.5796935999997</v>
      </c>
      <c r="L2959" s="282">
        <f>++Tabla4[[#This Row],[Precio Unitario Neto]]-Tabla4[[#This Row],[20.85%]]</f>
        <v>8133.5819063999998</v>
      </c>
      <c r="M2959" s="282" t="e">
        <f>(INDEX(Tabla6[#All],MATCH(Tabla4[[#This Row],[Producto]],Tabla6[[#All],[PRODUCTO]],0),MATCH(Tabla4[[#This Row],[Mes]],Tabla6[#Headers],0)))*(1+Catalogos!$L$2)</f>
        <v>#N/A</v>
      </c>
      <c r="N2959" s="283" t="e">
        <f>+(Tabla4[[#This Row],[Precio Descontado]]-Tabla4[[#This Row],[Precio Base]])*Tabla4[[#This Row],[Cantidad]]</f>
        <v>#N/A</v>
      </c>
      <c r="O2959" s="284" t="e">
        <f>++Tabla4[[#This Row],[Utilidad Total]]/Tabla4[[#This Row],[Total]]</f>
        <v>#N/A</v>
      </c>
      <c r="P2959" s="282">
        <f>++Tabla4[[#This Row],[Precio Descontado]]*Tabla4[[#This Row],[Cantidad]]</f>
        <v>32534.327625599999</v>
      </c>
      <c r="Q2959" s="282" t="e">
        <f>(INDEX(Tabla6[#All],MATCH(Tabla4[[#This Row],[Producto]],Tabla6[[#All],[PRODUCTO]],0),MATCH(Tabla4[[#This Row],[Mes]],Tabla6[#Headers],0)))</f>
        <v>#N/A</v>
      </c>
      <c r="R2959" s="282" t="e">
        <f>++Tabla4[[#This Row],[Precio Unitario Neto]]-Tabla4[[#This Row],[20.85%]]-Tabla4[[#This Row],[Costo]]</f>
        <v>#N/A</v>
      </c>
      <c r="S2959" s="282" t="e">
        <f>++Tabla4[[#This Row],[U. Bruta Uni]]*Tabla4[[#This Row],[Cantidad]]</f>
        <v>#N/A</v>
      </c>
      <c r="T2959" s="369" t="str">
        <f>VLOOKUP(Tabla4[[#This Row],[Producto]],Tabla6[#All],14,FALSE)</f>
        <v>Termico Solar</v>
      </c>
      <c r="U2959" s="284" t="e">
        <f>(IF(Tabla4[[#This Row],[Familia]]="termico solar",Tabla4[[#This Row],[Utilidad Total]]*6%,Tabla4[[#This Row],[Utilidad Total]]*11.5%))/Tabla4[[#This Row],[Total]]</f>
        <v>#N/A</v>
      </c>
      <c r="V2959" s="282" t="e">
        <f>+Tabla4[[#This Row],[Comisión Calculada]]*Tabla4[[#This Row],[Total]]</f>
        <v>#N/A</v>
      </c>
    </row>
    <row r="2960" spans="1:22" hidden="1" x14ac:dyDescent="0.25">
      <c r="A2960" s="100">
        <v>45792</v>
      </c>
      <c r="B2960" t="str">
        <f t="shared" si="141"/>
        <v>May</v>
      </c>
      <c r="C2960" s="46" t="s">
        <v>280</v>
      </c>
      <c r="F2960" s="366" t="s">
        <v>1856</v>
      </c>
      <c r="G2960" s="46" t="s">
        <v>17</v>
      </c>
      <c r="H2960" s="46">
        <v>2</v>
      </c>
      <c r="I2960" s="51">
        <v>4622.28</v>
      </c>
      <c r="J2960" s="281">
        <f>++Tabla4[[#This Row],[Precio Bruto]]*1.16</f>
        <v>5361.8447999999989</v>
      </c>
      <c r="K2960" s="281">
        <f>+Tabla4[[#This Row],[Precio Unitario Neto]]*Tabla4[[#Headers],[20.85%]]</f>
        <v>1117.9446407999997</v>
      </c>
      <c r="L2960" s="282">
        <f>++Tabla4[[#This Row],[Precio Unitario Neto]]-Tabla4[[#This Row],[20.85%]]</f>
        <v>4243.9001591999995</v>
      </c>
      <c r="M2960" s="282" t="e">
        <f>(INDEX(Tabla6[#All],MATCH(Tabla4[[#This Row],[Producto]],Tabla6[[#All],[PRODUCTO]],0),MATCH(Tabla4[[#This Row],[Mes]],Tabla6[#Headers],0)))*(1+Catalogos!$L$2)</f>
        <v>#N/A</v>
      </c>
      <c r="N2960" s="283" t="e">
        <f>+(Tabla4[[#This Row],[Precio Descontado]]-Tabla4[[#This Row],[Precio Base]])*Tabla4[[#This Row],[Cantidad]]</f>
        <v>#N/A</v>
      </c>
      <c r="O2960" s="284" t="e">
        <f>++Tabla4[[#This Row],[Utilidad Total]]/Tabla4[[#This Row],[Total]]</f>
        <v>#N/A</v>
      </c>
      <c r="P2960" s="282">
        <f>++Tabla4[[#This Row],[Precio Descontado]]*Tabla4[[#This Row],[Cantidad]]</f>
        <v>8487.800318399999</v>
      </c>
      <c r="Q2960" s="282" t="e">
        <f>(INDEX(Tabla6[#All],MATCH(Tabla4[[#This Row],[Producto]],Tabla6[[#All],[PRODUCTO]],0),MATCH(Tabla4[[#This Row],[Mes]],Tabla6[#Headers],0)))</f>
        <v>#N/A</v>
      </c>
      <c r="R2960" s="282" t="e">
        <f>++Tabla4[[#This Row],[Precio Unitario Neto]]-Tabla4[[#This Row],[20.85%]]-Tabla4[[#This Row],[Costo]]</f>
        <v>#N/A</v>
      </c>
      <c r="S2960" s="282" t="e">
        <f>++Tabla4[[#This Row],[U. Bruta Uni]]*Tabla4[[#This Row],[Cantidad]]</f>
        <v>#N/A</v>
      </c>
      <c r="T2960" s="369" t="str">
        <f>VLOOKUP(Tabla4[[#This Row],[Producto]],Tabla6[#All],14,FALSE)</f>
        <v>Termico Solar</v>
      </c>
      <c r="U2960" s="284" t="e">
        <f>(IF(Tabla4[[#This Row],[Familia]]="termico solar",Tabla4[[#This Row],[Utilidad Total]]*6%,Tabla4[[#This Row],[Utilidad Total]]*11.5%))/Tabla4[[#This Row],[Total]]</f>
        <v>#N/A</v>
      </c>
      <c r="V2960" s="282" t="e">
        <f>+Tabla4[[#This Row],[Comisión Calculada]]*Tabla4[[#This Row],[Total]]</f>
        <v>#N/A</v>
      </c>
    </row>
    <row r="2961" spans="1:22" hidden="1" x14ac:dyDescent="0.25">
      <c r="A2961" s="100">
        <v>45792</v>
      </c>
      <c r="B2961" t="str">
        <f t="shared" si="141"/>
        <v>May</v>
      </c>
      <c r="C2961" s="46" t="s">
        <v>280</v>
      </c>
      <c r="F2961" s="366" t="s">
        <v>1856</v>
      </c>
      <c r="G2961" s="46" t="s">
        <v>18</v>
      </c>
      <c r="H2961" s="46">
        <v>2</v>
      </c>
      <c r="I2961" s="51">
        <v>5367.65</v>
      </c>
      <c r="J2961" s="281">
        <f>++Tabla4[[#This Row],[Precio Bruto]]*1.16</f>
        <v>6226.4739999999993</v>
      </c>
      <c r="K2961" s="281">
        <f>+Tabla4[[#This Row],[Precio Unitario Neto]]*Tabla4[[#Headers],[20.85%]]</f>
        <v>1298.2198289999999</v>
      </c>
      <c r="L2961" s="282">
        <f>++Tabla4[[#This Row],[Precio Unitario Neto]]-Tabla4[[#This Row],[20.85%]]</f>
        <v>4928.2541709999996</v>
      </c>
      <c r="M2961" s="282" t="e">
        <f>(INDEX(Tabla6[#All],MATCH(Tabla4[[#This Row],[Producto]],Tabla6[[#All],[PRODUCTO]],0),MATCH(Tabla4[[#This Row],[Mes]],Tabla6[#Headers],0)))*(1+Catalogos!$L$2)</f>
        <v>#N/A</v>
      </c>
      <c r="N2961" s="283" t="e">
        <f>+(Tabla4[[#This Row],[Precio Descontado]]-Tabla4[[#This Row],[Precio Base]])*Tabla4[[#This Row],[Cantidad]]</f>
        <v>#N/A</v>
      </c>
      <c r="O2961" s="284" t="e">
        <f>++Tabla4[[#This Row],[Utilidad Total]]/Tabla4[[#This Row],[Total]]</f>
        <v>#N/A</v>
      </c>
      <c r="P2961" s="282">
        <f>++Tabla4[[#This Row],[Precio Descontado]]*Tabla4[[#This Row],[Cantidad]]</f>
        <v>9856.5083419999992</v>
      </c>
      <c r="Q2961" s="282" t="e">
        <f>(INDEX(Tabla6[#All],MATCH(Tabla4[[#This Row],[Producto]],Tabla6[[#All],[PRODUCTO]],0),MATCH(Tabla4[[#This Row],[Mes]],Tabla6[#Headers],0)))</f>
        <v>#N/A</v>
      </c>
      <c r="R2961" s="282" t="e">
        <f>++Tabla4[[#This Row],[Precio Unitario Neto]]-Tabla4[[#This Row],[20.85%]]-Tabla4[[#This Row],[Costo]]</f>
        <v>#N/A</v>
      </c>
      <c r="S2961" s="282" t="e">
        <f>++Tabla4[[#This Row],[U. Bruta Uni]]*Tabla4[[#This Row],[Cantidad]]</f>
        <v>#N/A</v>
      </c>
      <c r="T2961" s="369" t="str">
        <f>VLOOKUP(Tabla4[[#This Row],[Producto]],Tabla6[#All],14,FALSE)</f>
        <v>Termico Solar</v>
      </c>
      <c r="U2961" s="284" t="e">
        <f>(IF(Tabla4[[#This Row],[Familia]]="termico solar",Tabla4[[#This Row],[Utilidad Total]]*6%,Tabla4[[#This Row],[Utilidad Total]]*11.5%))/Tabla4[[#This Row],[Total]]</f>
        <v>#N/A</v>
      </c>
      <c r="V2961" s="282" t="e">
        <f>+Tabla4[[#This Row],[Comisión Calculada]]*Tabla4[[#This Row],[Total]]</f>
        <v>#N/A</v>
      </c>
    </row>
    <row r="2962" spans="1:22" hidden="1" x14ac:dyDescent="0.25">
      <c r="A2962" s="100">
        <v>45792</v>
      </c>
      <c r="B2962" t="str">
        <f t="shared" si="141"/>
        <v>May</v>
      </c>
      <c r="C2962" s="46" t="s">
        <v>280</v>
      </c>
      <c r="F2962" s="366" t="s">
        <v>1856</v>
      </c>
      <c r="G2962" s="46" t="s">
        <v>566</v>
      </c>
      <c r="H2962" s="46">
        <v>1</v>
      </c>
      <c r="I2962" s="51">
        <v>2109.4499999999998</v>
      </c>
      <c r="J2962" s="281">
        <f>++Tabla4[[#This Row],[Precio Bruto]]*1.16</f>
        <v>2446.9619999999995</v>
      </c>
      <c r="K2962" s="281">
        <f>+Tabla4[[#This Row],[Precio Unitario Neto]]*Tabla4[[#Headers],[20.85%]]</f>
        <v>510.19157699999988</v>
      </c>
      <c r="L2962" s="282">
        <f>++Tabla4[[#This Row],[Precio Unitario Neto]]-Tabla4[[#This Row],[20.85%]]</f>
        <v>1936.7704229999997</v>
      </c>
      <c r="M2962" s="282" t="e">
        <f>(INDEX(Tabla6[#All],MATCH(Tabla4[[#This Row],[Producto]],Tabla6[[#All],[PRODUCTO]],0),MATCH(Tabla4[[#This Row],[Mes]],Tabla6[#Headers],0)))*(1+Catalogos!$L$2)</f>
        <v>#N/A</v>
      </c>
      <c r="N2962" s="283" t="e">
        <f>+(Tabla4[[#This Row],[Precio Descontado]]-Tabla4[[#This Row],[Precio Base]])*Tabla4[[#This Row],[Cantidad]]</f>
        <v>#N/A</v>
      </c>
      <c r="O2962" s="284" t="e">
        <f>++Tabla4[[#This Row],[Utilidad Total]]/Tabla4[[#This Row],[Total]]</f>
        <v>#N/A</v>
      </c>
      <c r="P2962" s="282">
        <f>++Tabla4[[#This Row],[Precio Descontado]]*Tabla4[[#This Row],[Cantidad]]</f>
        <v>1936.7704229999997</v>
      </c>
      <c r="Q2962" s="282" t="e">
        <f>(INDEX(Tabla6[#All],MATCH(Tabla4[[#This Row],[Producto]],Tabla6[[#All],[PRODUCTO]],0),MATCH(Tabla4[[#This Row],[Mes]],Tabla6[#Headers],0)))</f>
        <v>#N/A</v>
      </c>
      <c r="R2962" s="282" t="e">
        <f>++Tabla4[[#This Row],[Precio Unitario Neto]]-Tabla4[[#This Row],[20.85%]]-Tabla4[[#This Row],[Costo]]</f>
        <v>#N/A</v>
      </c>
      <c r="S2962" s="282" t="e">
        <f>++Tabla4[[#This Row],[U. Bruta Uni]]*Tabla4[[#This Row],[Cantidad]]</f>
        <v>#N/A</v>
      </c>
      <c r="T2962" s="369" t="str">
        <f>VLOOKUP(Tabla4[[#This Row],[Producto]],Tabla6[#All],14,FALSE)</f>
        <v>Termico Solar</v>
      </c>
      <c r="U2962" s="284" t="e">
        <f>(IF(Tabla4[[#This Row],[Familia]]="termico solar",Tabla4[[#This Row],[Utilidad Total]]*6%,Tabla4[[#This Row],[Utilidad Total]]*11.5%))/Tabla4[[#This Row],[Total]]</f>
        <v>#N/A</v>
      </c>
      <c r="V2962" s="282" t="e">
        <f>+Tabla4[[#This Row],[Comisión Calculada]]*Tabla4[[#This Row],[Total]]</f>
        <v>#N/A</v>
      </c>
    </row>
    <row r="2963" spans="1:22" hidden="1" x14ac:dyDescent="0.25">
      <c r="A2963" s="100">
        <v>45792</v>
      </c>
      <c r="B2963" t="str">
        <f t="shared" si="141"/>
        <v>May</v>
      </c>
      <c r="C2963" s="46" t="s">
        <v>280</v>
      </c>
      <c r="F2963" s="366" t="s">
        <v>1856</v>
      </c>
      <c r="G2963" s="46" t="s">
        <v>208</v>
      </c>
      <c r="H2963" s="46">
        <v>1</v>
      </c>
      <c r="I2963" s="51">
        <v>189.75</v>
      </c>
      <c r="J2963" s="281">
        <f>++Tabla4[[#This Row],[Precio Bruto]]*1.16</f>
        <v>220.10999999999999</v>
      </c>
      <c r="K2963" s="281">
        <f>+Tabla4[[#This Row],[Precio Unitario Neto]]*Tabla4[[#Headers],[20.85%]]</f>
        <v>45.892934999999994</v>
      </c>
      <c r="L2963" s="282">
        <f>++Tabla4[[#This Row],[Precio Unitario Neto]]-Tabla4[[#This Row],[20.85%]]</f>
        <v>174.21706499999999</v>
      </c>
      <c r="M2963" s="282" t="e">
        <f>(INDEX(Tabla6[#All],MATCH(Tabla4[[#This Row],[Producto]],Tabla6[[#All],[PRODUCTO]],0),MATCH(Tabla4[[#This Row],[Mes]],Tabla6[#Headers],0)))*(1+Catalogos!$L$2)</f>
        <v>#N/A</v>
      </c>
      <c r="N2963" s="283" t="e">
        <f>+(Tabla4[[#This Row],[Precio Descontado]]-Tabla4[[#This Row],[Precio Base]])*Tabla4[[#This Row],[Cantidad]]</f>
        <v>#N/A</v>
      </c>
      <c r="O2963" s="284" t="e">
        <f>++Tabla4[[#This Row],[Utilidad Total]]/Tabla4[[#This Row],[Total]]</f>
        <v>#N/A</v>
      </c>
      <c r="P2963" s="282">
        <f>++Tabla4[[#This Row],[Precio Descontado]]*Tabla4[[#This Row],[Cantidad]]</f>
        <v>174.21706499999999</v>
      </c>
      <c r="Q2963" s="282" t="e">
        <f>(INDEX(Tabla6[#All],MATCH(Tabla4[[#This Row],[Producto]],Tabla6[[#All],[PRODUCTO]],0),MATCH(Tabla4[[#This Row],[Mes]],Tabla6[#Headers],0)))</f>
        <v>#N/A</v>
      </c>
      <c r="R2963" s="282" t="e">
        <f>++Tabla4[[#This Row],[Precio Unitario Neto]]-Tabla4[[#This Row],[20.85%]]-Tabla4[[#This Row],[Costo]]</f>
        <v>#N/A</v>
      </c>
      <c r="S2963" s="282" t="e">
        <f>++Tabla4[[#This Row],[U. Bruta Uni]]*Tabla4[[#This Row],[Cantidad]]</f>
        <v>#N/A</v>
      </c>
      <c r="T2963" s="369" t="str">
        <f>VLOOKUP(Tabla4[[#This Row],[Producto]],Tabla6[#All],14,FALSE)</f>
        <v>Termico Solar</v>
      </c>
      <c r="U2963" s="284" t="e">
        <f>(IF(Tabla4[[#This Row],[Familia]]="termico solar",Tabla4[[#This Row],[Utilidad Total]]*6%,Tabla4[[#This Row],[Utilidad Total]]*11.5%))/Tabla4[[#This Row],[Total]]</f>
        <v>#N/A</v>
      </c>
      <c r="V2963" s="282" t="e">
        <f>+Tabla4[[#This Row],[Comisión Calculada]]*Tabla4[[#This Row],[Total]]</f>
        <v>#N/A</v>
      </c>
    </row>
    <row r="2964" spans="1:22" hidden="1" x14ac:dyDescent="0.25">
      <c r="A2964" s="100">
        <v>45792</v>
      </c>
      <c r="B2964" t="str">
        <f t="shared" si="141"/>
        <v>May</v>
      </c>
      <c r="C2964" s="46" t="s">
        <v>280</v>
      </c>
      <c r="F2964" s="366" t="s">
        <v>1857</v>
      </c>
      <c r="G2964" s="46" t="s">
        <v>18</v>
      </c>
      <c r="H2964" s="46">
        <v>1</v>
      </c>
      <c r="I2964" s="51">
        <v>5367.65</v>
      </c>
      <c r="J2964" s="281">
        <f>++Tabla4[[#This Row],[Precio Bruto]]*1.16</f>
        <v>6226.4739999999993</v>
      </c>
      <c r="K2964" s="281">
        <f>+Tabla4[[#This Row],[Precio Unitario Neto]]*Tabla4[[#Headers],[20.85%]]</f>
        <v>1298.2198289999999</v>
      </c>
      <c r="L2964" s="282">
        <f>++Tabla4[[#This Row],[Precio Unitario Neto]]-Tabla4[[#This Row],[20.85%]]</f>
        <v>4928.2541709999996</v>
      </c>
      <c r="M2964" s="282" t="e">
        <f>(INDEX(Tabla6[#All],MATCH(Tabla4[[#This Row],[Producto]],Tabla6[[#All],[PRODUCTO]],0),MATCH(Tabla4[[#This Row],[Mes]],Tabla6[#Headers],0)))*(1+Catalogos!$L$2)</f>
        <v>#N/A</v>
      </c>
      <c r="N2964" s="283" t="e">
        <f>+(Tabla4[[#This Row],[Precio Descontado]]-Tabla4[[#This Row],[Precio Base]])*Tabla4[[#This Row],[Cantidad]]</f>
        <v>#N/A</v>
      </c>
      <c r="O2964" s="284" t="e">
        <f>++Tabla4[[#This Row],[Utilidad Total]]/Tabla4[[#This Row],[Total]]</f>
        <v>#N/A</v>
      </c>
      <c r="P2964" s="282">
        <f>++Tabla4[[#This Row],[Precio Descontado]]*Tabla4[[#This Row],[Cantidad]]</f>
        <v>4928.2541709999996</v>
      </c>
      <c r="Q2964" s="282" t="e">
        <f>(INDEX(Tabla6[#All],MATCH(Tabla4[[#This Row],[Producto]],Tabla6[[#All],[PRODUCTO]],0),MATCH(Tabla4[[#This Row],[Mes]],Tabla6[#Headers],0)))</f>
        <v>#N/A</v>
      </c>
      <c r="R2964" s="282" t="e">
        <f>++Tabla4[[#This Row],[Precio Unitario Neto]]-Tabla4[[#This Row],[20.85%]]-Tabla4[[#This Row],[Costo]]</f>
        <v>#N/A</v>
      </c>
      <c r="S2964" s="282" t="e">
        <f>++Tabla4[[#This Row],[U. Bruta Uni]]*Tabla4[[#This Row],[Cantidad]]</f>
        <v>#N/A</v>
      </c>
      <c r="T2964" s="369" t="str">
        <f>VLOOKUP(Tabla4[[#This Row],[Producto]],Tabla6[#All],14,FALSE)</f>
        <v>Termico Solar</v>
      </c>
      <c r="U2964" s="284" t="e">
        <f>(IF(Tabla4[[#This Row],[Familia]]="termico solar",Tabla4[[#This Row],[Utilidad Total]]*6%,Tabla4[[#This Row],[Utilidad Total]]*11.5%))/Tabla4[[#This Row],[Total]]</f>
        <v>#N/A</v>
      </c>
      <c r="V2964" s="282" t="e">
        <f>+Tabla4[[#This Row],[Comisión Calculada]]*Tabla4[[#This Row],[Total]]</f>
        <v>#N/A</v>
      </c>
    </row>
    <row r="2965" spans="1:22" hidden="1" x14ac:dyDescent="0.25">
      <c r="A2965" s="100">
        <v>45792</v>
      </c>
      <c r="B2965" t="str">
        <f t="shared" si="141"/>
        <v>May</v>
      </c>
      <c r="C2965" s="46" t="s">
        <v>280</v>
      </c>
      <c r="F2965" s="366" t="s">
        <v>1858</v>
      </c>
      <c r="G2965" s="46" t="s">
        <v>18</v>
      </c>
      <c r="H2965" s="46">
        <v>2</v>
      </c>
      <c r="I2965" s="51">
        <v>5367.65</v>
      </c>
      <c r="J2965" s="281">
        <f>++Tabla4[[#This Row],[Precio Bruto]]*1.16</f>
        <v>6226.4739999999993</v>
      </c>
      <c r="K2965" s="281">
        <f>+Tabla4[[#This Row],[Precio Unitario Neto]]*Tabla4[[#Headers],[20.85%]]</f>
        <v>1298.2198289999999</v>
      </c>
      <c r="L2965" s="282">
        <f>++Tabla4[[#This Row],[Precio Unitario Neto]]-Tabla4[[#This Row],[20.85%]]</f>
        <v>4928.2541709999996</v>
      </c>
      <c r="M2965" s="282" t="e">
        <f>(INDEX(Tabla6[#All],MATCH(Tabla4[[#This Row],[Producto]],Tabla6[[#All],[PRODUCTO]],0),MATCH(Tabla4[[#This Row],[Mes]],Tabla6[#Headers],0)))*(1+Catalogos!$L$2)</f>
        <v>#N/A</v>
      </c>
      <c r="N2965" s="283" t="e">
        <f>+(Tabla4[[#This Row],[Precio Descontado]]-Tabla4[[#This Row],[Precio Base]])*Tabla4[[#This Row],[Cantidad]]</f>
        <v>#N/A</v>
      </c>
      <c r="O2965" s="284" t="e">
        <f>++Tabla4[[#This Row],[Utilidad Total]]/Tabla4[[#This Row],[Total]]</f>
        <v>#N/A</v>
      </c>
      <c r="P2965" s="282">
        <f>++Tabla4[[#This Row],[Precio Descontado]]*Tabla4[[#This Row],[Cantidad]]</f>
        <v>9856.5083419999992</v>
      </c>
      <c r="Q2965" s="282" t="e">
        <f>(INDEX(Tabla6[#All],MATCH(Tabla4[[#This Row],[Producto]],Tabla6[[#All],[PRODUCTO]],0),MATCH(Tabla4[[#This Row],[Mes]],Tabla6[#Headers],0)))</f>
        <v>#N/A</v>
      </c>
      <c r="R2965" s="282" t="e">
        <f>++Tabla4[[#This Row],[Precio Unitario Neto]]-Tabla4[[#This Row],[20.85%]]-Tabla4[[#This Row],[Costo]]</f>
        <v>#N/A</v>
      </c>
      <c r="S2965" s="282" t="e">
        <f>++Tabla4[[#This Row],[U. Bruta Uni]]*Tabla4[[#This Row],[Cantidad]]</f>
        <v>#N/A</v>
      </c>
      <c r="T2965" s="369" t="str">
        <f>VLOOKUP(Tabla4[[#This Row],[Producto]],Tabla6[#All],14,FALSE)</f>
        <v>Termico Solar</v>
      </c>
      <c r="U2965" s="284" t="e">
        <f>(IF(Tabla4[[#This Row],[Familia]]="termico solar",Tabla4[[#This Row],[Utilidad Total]]*6%,Tabla4[[#This Row],[Utilidad Total]]*11.5%))/Tabla4[[#This Row],[Total]]</f>
        <v>#N/A</v>
      </c>
      <c r="V2965" s="282" t="e">
        <f>+Tabla4[[#This Row],[Comisión Calculada]]*Tabla4[[#This Row],[Total]]</f>
        <v>#N/A</v>
      </c>
    </row>
    <row r="2966" spans="1:22" hidden="1" x14ac:dyDescent="0.25">
      <c r="A2966" s="100">
        <v>45792</v>
      </c>
      <c r="B2966" t="str">
        <f t="shared" si="141"/>
        <v>May</v>
      </c>
      <c r="C2966" s="46" t="s">
        <v>280</v>
      </c>
      <c r="F2966" s="366" t="s">
        <v>1859</v>
      </c>
      <c r="G2966" s="46" t="s">
        <v>83</v>
      </c>
      <c r="H2966" s="46">
        <v>1</v>
      </c>
      <c r="I2966" s="51">
        <v>8858.76</v>
      </c>
      <c r="J2966" s="281">
        <f>++Tabla4[[#This Row],[Precio Bruto]]*1.16</f>
        <v>10276.161599999999</v>
      </c>
      <c r="K2966" s="281">
        <f>+Tabla4[[#This Row],[Precio Unitario Neto]]*Tabla4[[#Headers],[20.85%]]</f>
        <v>2142.5796935999997</v>
      </c>
      <c r="L2966" s="282">
        <f>++Tabla4[[#This Row],[Precio Unitario Neto]]-Tabla4[[#This Row],[20.85%]]</f>
        <v>8133.5819063999998</v>
      </c>
      <c r="M2966" s="282" t="e">
        <f>(INDEX(Tabla6[#All],MATCH(Tabla4[[#This Row],[Producto]],Tabla6[[#All],[PRODUCTO]],0),MATCH(Tabla4[[#This Row],[Mes]],Tabla6[#Headers],0)))*(1+Catalogos!$L$2)</f>
        <v>#N/A</v>
      </c>
      <c r="N2966" s="283" t="e">
        <f>+(Tabla4[[#This Row],[Precio Descontado]]-Tabla4[[#This Row],[Precio Base]])*Tabla4[[#This Row],[Cantidad]]</f>
        <v>#N/A</v>
      </c>
      <c r="O2966" s="284" t="e">
        <f>++Tabla4[[#This Row],[Utilidad Total]]/Tabla4[[#This Row],[Total]]</f>
        <v>#N/A</v>
      </c>
      <c r="P2966" s="282">
        <f>++Tabla4[[#This Row],[Precio Descontado]]*Tabla4[[#This Row],[Cantidad]]</f>
        <v>8133.5819063999998</v>
      </c>
      <c r="Q2966" s="282" t="e">
        <f>(INDEX(Tabla6[#All],MATCH(Tabla4[[#This Row],[Producto]],Tabla6[[#All],[PRODUCTO]],0),MATCH(Tabla4[[#This Row],[Mes]],Tabla6[#Headers],0)))</f>
        <v>#N/A</v>
      </c>
      <c r="R2966" s="282" t="e">
        <f>++Tabla4[[#This Row],[Precio Unitario Neto]]-Tabla4[[#This Row],[20.85%]]-Tabla4[[#This Row],[Costo]]</f>
        <v>#N/A</v>
      </c>
      <c r="S2966" s="282" t="e">
        <f>++Tabla4[[#This Row],[U. Bruta Uni]]*Tabla4[[#This Row],[Cantidad]]</f>
        <v>#N/A</v>
      </c>
      <c r="T2966" s="369" t="str">
        <f>VLOOKUP(Tabla4[[#This Row],[Producto]],Tabla6[#All],14,FALSE)</f>
        <v>Termico Solar</v>
      </c>
      <c r="U2966" s="284" t="e">
        <f>(IF(Tabla4[[#This Row],[Familia]]="termico solar",Tabla4[[#This Row],[Utilidad Total]]*6%,Tabla4[[#This Row],[Utilidad Total]]*11.5%))/Tabla4[[#This Row],[Total]]</f>
        <v>#N/A</v>
      </c>
      <c r="V2966" s="282" t="e">
        <f>+Tabla4[[#This Row],[Comisión Calculada]]*Tabla4[[#This Row],[Total]]</f>
        <v>#N/A</v>
      </c>
    </row>
    <row r="2967" spans="1:22" hidden="1" x14ac:dyDescent="0.25">
      <c r="A2967" s="100">
        <v>45792</v>
      </c>
      <c r="B2967" t="str">
        <f t="shared" si="141"/>
        <v>May</v>
      </c>
      <c r="C2967" s="46" t="s">
        <v>280</v>
      </c>
      <c r="F2967" s="366" t="s">
        <v>1859</v>
      </c>
      <c r="G2967" s="46" t="s">
        <v>17</v>
      </c>
      <c r="H2967" s="46">
        <v>5</v>
      </c>
      <c r="I2967" s="51">
        <v>4622.2800000000007</v>
      </c>
      <c r="J2967" s="281">
        <f>++Tabla4[[#This Row],[Precio Bruto]]*1.16</f>
        <v>5361.8448000000008</v>
      </c>
      <c r="K2967" s="281">
        <f>+Tabla4[[#This Row],[Precio Unitario Neto]]*Tabla4[[#Headers],[20.85%]]</f>
        <v>1117.9446408000001</v>
      </c>
      <c r="L2967" s="282">
        <f>++Tabla4[[#This Row],[Precio Unitario Neto]]-Tabla4[[#This Row],[20.85%]]</f>
        <v>4243.9001592000004</v>
      </c>
      <c r="M2967" s="282" t="e">
        <f>(INDEX(Tabla6[#All],MATCH(Tabla4[[#This Row],[Producto]],Tabla6[[#All],[PRODUCTO]],0),MATCH(Tabla4[[#This Row],[Mes]],Tabla6[#Headers],0)))*(1+Catalogos!$L$2)</f>
        <v>#N/A</v>
      </c>
      <c r="N2967" s="283" t="e">
        <f>+(Tabla4[[#This Row],[Precio Descontado]]-Tabla4[[#This Row],[Precio Base]])*Tabla4[[#This Row],[Cantidad]]</f>
        <v>#N/A</v>
      </c>
      <c r="O2967" s="284" t="e">
        <f>++Tabla4[[#This Row],[Utilidad Total]]/Tabla4[[#This Row],[Total]]</f>
        <v>#N/A</v>
      </c>
      <c r="P2967" s="282">
        <f>++Tabla4[[#This Row],[Precio Descontado]]*Tabla4[[#This Row],[Cantidad]]</f>
        <v>21219.500796</v>
      </c>
      <c r="Q2967" s="282" t="e">
        <f>(INDEX(Tabla6[#All],MATCH(Tabla4[[#This Row],[Producto]],Tabla6[[#All],[PRODUCTO]],0),MATCH(Tabla4[[#This Row],[Mes]],Tabla6[#Headers],0)))</f>
        <v>#N/A</v>
      </c>
      <c r="R2967" s="282" t="e">
        <f>++Tabla4[[#This Row],[Precio Unitario Neto]]-Tabla4[[#This Row],[20.85%]]-Tabla4[[#This Row],[Costo]]</f>
        <v>#N/A</v>
      </c>
      <c r="S2967" s="282" t="e">
        <f>++Tabla4[[#This Row],[U. Bruta Uni]]*Tabla4[[#This Row],[Cantidad]]</f>
        <v>#N/A</v>
      </c>
      <c r="T2967" s="369" t="str">
        <f>VLOOKUP(Tabla4[[#This Row],[Producto]],Tabla6[#All],14,FALSE)</f>
        <v>Termico Solar</v>
      </c>
      <c r="U2967" s="284" t="e">
        <f>(IF(Tabla4[[#This Row],[Familia]]="termico solar",Tabla4[[#This Row],[Utilidad Total]]*6%,Tabla4[[#This Row],[Utilidad Total]]*11.5%))/Tabla4[[#This Row],[Total]]</f>
        <v>#N/A</v>
      </c>
      <c r="V2967" s="282" t="e">
        <f>+Tabla4[[#This Row],[Comisión Calculada]]*Tabla4[[#This Row],[Total]]</f>
        <v>#N/A</v>
      </c>
    </row>
    <row r="2968" spans="1:22" hidden="1" x14ac:dyDescent="0.25">
      <c r="A2968" s="100">
        <v>45792</v>
      </c>
      <c r="B2968" t="str">
        <f t="shared" si="141"/>
        <v>May</v>
      </c>
      <c r="C2968" s="46" t="s">
        <v>280</v>
      </c>
      <c r="F2968" s="366" t="s">
        <v>1859</v>
      </c>
      <c r="G2968" s="46" t="s">
        <v>566</v>
      </c>
      <c r="H2968" s="46">
        <v>1</v>
      </c>
      <c r="I2968" s="51">
        <v>2109.4499999999998</v>
      </c>
      <c r="J2968" s="281">
        <f>++Tabla4[[#This Row],[Precio Bruto]]*1.16</f>
        <v>2446.9619999999995</v>
      </c>
      <c r="K2968" s="281">
        <f>+Tabla4[[#This Row],[Precio Unitario Neto]]*Tabla4[[#Headers],[20.85%]]</f>
        <v>510.19157699999988</v>
      </c>
      <c r="L2968" s="282">
        <f>++Tabla4[[#This Row],[Precio Unitario Neto]]-Tabla4[[#This Row],[20.85%]]</f>
        <v>1936.7704229999997</v>
      </c>
      <c r="M2968" s="282" t="e">
        <f>(INDEX(Tabla6[#All],MATCH(Tabla4[[#This Row],[Producto]],Tabla6[[#All],[PRODUCTO]],0),MATCH(Tabla4[[#This Row],[Mes]],Tabla6[#Headers],0)))*(1+Catalogos!$L$2)</f>
        <v>#N/A</v>
      </c>
      <c r="N2968" s="283" t="e">
        <f>+(Tabla4[[#This Row],[Precio Descontado]]-Tabla4[[#This Row],[Precio Base]])*Tabla4[[#This Row],[Cantidad]]</f>
        <v>#N/A</v>
      </c>
      <c r="O2968" s="284" t="e">
        <f>++Tabla4[[#This Row],[Utilidad Total]]/Tabla4[[#This Row],[Total]]</f>
        <v>#N/A</v>
      </c>
      <c r="P2968" s="282">
        <f>++Tabla4[[#This Row],[Precio Descontado]]*Tabla4[[#This Row],[Cantidad]]</f>
        <v>1936.7704229999997</v>
      </c>
      <c r="Q2968" s="282" t="e">
        <f>(INDEX(Tabla6[#All],MATCH(Tabla4[[#This Row],[Producto]],Tabla6[[#All],[PRODUCTO]],0),MATCH(Tabla4[[#This Row],[Mes]],Tabla6[#Headers],0)))</f>
        <v>#N/A</v>
      </c>
      <c r="R2968" s="282" t="e">
        <f>++Tabla4[[#This Row],[Precio Unitario Neto]]-Tabla4[[#This Row],[20.85%]]-Tabla4[[#This Row],[Costo]]</f>
        <v>#N/A</v>
      </c>
      <c r="S2968" s="282" t="e">
        <f>++Tabla4[[#This Row],[U. Bruta Uni]]*Tabla4[[#This Row],[Cantidad]]</f>
        <v>#N/A</v>
      </c>
      <c r="T2968" s="369" t="str">
        <f>VLOOKUP(Tabla4[[#This Row],[Producto]],Tabla6[#All],14,FALSE)</f>
        <v>Termico Solar</v>
      </c>
      <c r="U2968" s="284" t="e">
        <f>(IF(Tabla4[[#This Row],[Familia]]="termico solar",Tabla4[[#This Row],[Utilidad Total]]*6%,Tabla4[[#This Row],[Utilidad Total]]*11.5%))/Tabla4[[#This Row],[Total]]</f>
        <v>#N/A</v>
      </c>
      <c r="V2968" s="282" t="e">
        <f>+Tabla4[[#This Row],[Comisión Calculada]]*Tabla4[[#This Row],[Total]]</f>
        <v>#N/A</v>
      </c>
    </row>
    <row r="2969" spans="1:22" hidden="1" x14ac:dyDescent="0.25">
      <c r="A2969" s="100">
        <v>45792</v>
      </c>
      <c r="B2969" t="str">
        <f t="shared" si="141"/>
        <v>May</v>
      </c>
      <c r="C2969" s="46" t="s">
        <v>280</v>
      </c>
      <c r="F2969" s="366" t="s">
        <v>1860</v>
      </c>
      <c r="G2969" s="46" t="s">
        <v>83</v>
      </c>
      <c r="H2969" s="46">
        <v>5</v>
      </c>
      <c r="I2969" s="51">
        <v>8858.76</v>
      </c>
      <c r="J2969" s="281">
        <f>++Tabla4[[#This Row],[Precio Bruto]]*1.16</f>
        <v>10276.161599999999</v>
      </c>
      <c r="K2969" s="281">
        <f>+Tabla4[[#This Row],[Precio Unitario Neto]]*Tabla4[[#Headers],[20.85%]]</f>
        <v>2142.5796935999997</v>
      </c>
      <c r="L2969" s="282">
        <f>++Tabla4[[#This Row],[Precio Unitario Neto]]-Tabla4[[#This Row],[20.85%]]</f>
        <v>8133.5819063999998</v>
      </c>
      <c r="M2969" s="282" t="e">
        <f>(INDEX(Tabla6[#All],MATCH(Tabla4[[#This Row],[Producto]],Tabla6[[#All],[PRODUCTO]],0),MATCH(Tabla4[[#This Row],[Mes]],Tabla6[#Headers],0)))*(1+Catalogos!$L$2)</f>
        <v>#N/A</v>
      </c>
      <c r="N2969" s="283" t="e">
        <f>+(Tabla4[[#This Row],[Precio Descontado]]-Tabla4[[#This Row],[Precio Base]])*Tabla4[[#This Row],[Cantidad]]</f>
        <v>#N/A</v>
      </c>
      <c r="O2969" s="284" t="e">
        <f>++Tabla4[[#This Row],[Utilidad Total]]/Tabla4[[#This Row],[Total]]</f>
        <v>#N/A</v>
      </c>
      <c r="P2969" s="282">
        <f>++Tabla4[[#This Row],[Precio Descontado]]*Tabla4[[#This Row],[Cantidad]]</f>
        <v>40667.909531999998</v>
      </c>
      <c r="Q2969" s="282" t="e">
        <f>(INDEX(Tabla6[#All],MATCH(Tabla4[[#This Row],[Producto]],Tabla6[[#All],[PRODUCTO]],0),MATCH(Tabla4[[#This Row],[Mes]],Tabla6[#Headers],0)))</f>
        <v>#N/A</v>
      </c>
      <c r="R2969" s="282" t="e">
        <f>++Tabla4[[#This Row],[Precio Unitario Neto]]-Tabla4[[#This Row],[20.85%]]-Tabla4[[#This Row],[Costo]]</f>
        <v>#N/A</v>
      </c>
      <c r="S2969" s="282" t="e">
        <f>++Tabla4[[#This Row],[U. Bruta Uni]]*Tabla4[[#This Row],[Cantidad]]</f>
        <v>#N/A</v>
      </c>
      <c r="T2969" s="369" t="str">
        <f>VLOOKUP(Tabla4[[#This Row],[Producto]],Tabla6[#All],14,FALSE)</f>
        <v>Termico Solar</v>
      </c>
      <c r="U2969" s="284" t="e">
        <f>(IF(Tabla4[[#This Row],[Familia]]="termico solar",Tabla4[[#This Row],[Utilidad Total]]*6%,Tabla4[[#This Row],[Utilidad Total]]*11.5%))/Tabla4[[#This Row],[Total]]</f>
        <v>#N/A</v>
      </c>
      <c r="V2969" s="282" t="e">
        <f>+Tabla4[[#This Row],[Comisión Calculada]]*Tabla4[[#This Row],[Total]]</f>
        <v>#N/A</v>
      </c>
    </row>
    <row r="2970" spans="1:22" hidden="1" x14ac:dyDescent="0.25">
      <c r="A2970" s="100">
        <v>45792</v>
      </c>
      <c r="B2970" t="str">
        <f t="shared" ref="B2970:B3001" si="142">TEXT(A2970, "mmmm")</f>
        <v>May</v>
      </c>
      <c r="C2970" s="46" t="s">
        <v>280</v>
      </c>
      <c r="F2970" s="366" t="s">
        <v>1860</v>
      </c>
      <c r="G2970" s="46" t="s">
        <v>412</v>
      </c>
      <c r="H2970" s="46">
        <v>1</v>
      </c>
      <c r="I2970" s="51">
        <v>3240.84</v>
      </c>
      <c r="J2970" s="281">
        <f>++Tabla4[[#This Row],[Precio Bruto]]*1.16</f>
        <v>3759.3743999999997</v>
      </c>
      <c r="K2970" s="281">
        <f>+Tabla4[[#This Row],[Precio Unitario Neto]]*Tabla4[[#Headers],[20.85%]]</f>
        <v>783.82956239999987</v>
      </c>
      <c r="L2970" s="282">
        <f>++Tabla4[[#This Row],[Precio Unitario Neto]]-Tabla4[[#This Row],[20.85%]]</f>
        <v>2975.5448375999999</v>
      </c>
      <c r="M2970" s="282" t="e">
        <f>(INDEX(Tabla6[#All],MATCH(Tabla4[[#This Row],[Producto]],Tabla6[[#All],[PRODUCTO]],0),MATCH(Tabla4[[#This Row],[Mes]],Tabla6[#Headers],0)))*(1+Catalogos!$L$2)</f>
        <v>#N/A</v>
      </c>
      <c r="N2970" s="283" t="e">
        <f>+(Tabla4[[#This Row],[Precio Descontado]]-Tabla4[[#This Row],[Precio Base]])*Tabla4[[#This Row],[Cantidad]]</f>
        <v>#N/A</v>
      </c>
      <c r="O2970" s="284" t="e">
        <f>++Tabla4[[#This Row],[Utilidad Total]]/Tabla4[[#This Row],[Total]]</f>
        <v>#N/A</v>
      </c>
      <c r="P2970" s="282">
        <f>++Tabla4[[#This Row],[Precio Descontado]]*Tabla4[[#This Row],[Cantidad]]</f>
        <v>2975.5448375999999</v>
      </c>
      <c r="Q2970" s="282" t="e">
        <f>(INDEX(Tabla6[#All],MATCH(Tabla4[[#This Row],[Producto]],Tabla6[[#All],[PRODUCTO]],0),MATCH(Tabla4[[#This Row],[Mes]],Tabla6[#Headers],0)))</f>
        <v>#N/A</v>
      </c>
      <c r="R2970" s="282" t="e">
        <f>++Tabla4[[#This Row],[Precio Unitario Neto]]-Tabla4[[#This Row],[20.85%]]-Tabla4[[#This Row],[Costo]]</f>
        <v>#N/A</v>
      </c>
      <c r="S2970" s="282" t="e">
        <f>++Tabla4[[#This Row],[U. Bruta Uni]]*Tabla4[[#This Row],[Cantidad]]</f>
        <v>#N/A</v>
      </c>
      <c r="T2970" s="369" t="str">
        <f>VLOOKUP(Tabla4[[#This Row],[Producto]],Tabla6[#All],14,FALSE)</f>
        <v>Termico Solar</v>
      </c>
      <c r="U2970" s="284" t="e">
        <f>(IF(Tabla4[[#This Row],[Familia]]="termico solar",Tabla4[[#This Row],[Utilidad Total]]*6%,Tabla4[[#This Row],[Utilidad Total]]*11.5%))/Tabla4[[#This Row],[Total]]</f>
        <v>#N/A</v>
      </c>
      <c r="V2970" s="282" t="e">
        <f>+Tabla4[[#This Row],[Comisión Calculada]]*Tabla4[[#This Row],[Total]]</f>
        <v>#N/A</v>
      </c>
    </row>
    <row r="2971" spans="1:22" ht="15.75" hidden="1" customHeight="1" x14ac:dyDescent="0.25">
      <c r="A2971" s="100">
        <v>45792</v>
      </c>
      <c r="B2971" t="str">
        <f t="shared" si="142"/>
        <v>May</v>
      </c>
      <c r="C2971" s="46" t="s">
        <v>280</v>
      </c>
      <c r="F2971" s="366" t="s">
        <v>1860</v>
      </c>
      <c r="G2971" s="46" t="s">
        <v>16</v>
      </c>
      <c r="H2971" s="46">
        <v>2</v>
      </c>
      <c r="I2971" s="51">
        <v>4103.8500000000004</v>
      </c>
      <c r="J2971" s="281">
        <f>++Tabla4[[#This Row],[Precio Bruto]]*1.16</f>
        <v>4760.4660000000003</v>
      </c>
      <c r="K2971" s="281">
        <f>+Tabla4[[#This Row],[Precio Unitario Neto]]*Tabla4[[#Headers],[20.85%]]</f>
        <v>992.55716100000006</v>
      </c>
      <c r="L2971" s="282">
        <f>++Tabla4[[#This Row],[Precio Unitario Neto]]-Tabla4[[#This Row],[20.85%]]</f>
        <v>3767.9088390000002</v>
      </c>
      <c r="M2971" s="282" t="e">
        <f>(INDEX(Tabla6[#All],MATCH(Tabla4[[#This Row],[Producto]],Tabla6[[#All],[PRODUCTO]],0),MATCH(Tabla4[[#This Row],[Mes]],Tabla6[#Headers],0)))*(1+Catalogos!$L$2)</f>
        <v>#N/A</v>
      </c>
      <c r="N2971" s="283" t="e">
        <f>+(Tabla4[[#This Row],[Precio Descontado]]-Tabla4[[#This Row],[Precio Base]])*Tabla4[[#This Row],[Cantidad]]</f>
        <v>#N/A</v>
      </c>
      <c r="O2971" s="284" t="e">
        <f>++Tabla4[[#This Row],[Utilidad Total]]/Tabla4[[#This Row],[Total]]</f>
        <v>#N/A</v>
      </c>
      <c r="P2971" s="282">
        <f>++Tabla4[[#This Row],[Precio Descontado]]*Tabla4[[#This Row],[Cantidad]]</f>
        <v>7535.8176780000003</v>
      </c>
      <c r="Q2971" s="282" t="e">
        <f>(INDEX(Tabla6[#All],MATCH(Tabla4[[#This Row],[Producto]],Tabla6[[#All],[PRODUCTO]],0),MATCH(Tabla4[[#This Row],[Mes]],Tabla6[#Headers],0)))</f>
        <v>#N/A</v>
      </c>
      <c r="R2971" s="282" t="e">
        <f>++Tabla4[[#This Row],[Precio Unitario Neto]]-Tabla4[[#This Row],[20.85%]]-Tabla4[[#This Row],[Costo]]</f>
        <v>#N/A</v>
      </c>
      <c r="S2971" s="282" t="e">
        <f>++Tabla4[[#This Row],[U. Bruta Uni]]*Tabla4[[#This Row],[Cantidad]]</f>
        <v>#N/A</v>
      </c>
      <c r="T2971" s="369" t="str">
        <f>VLOOKUP(Tabla4[[#This Row],[Producto]],Tabla6[#All],14,FALSE)</f>
        <v>Termico Solar</v>
      </c>
      <c r="U2971" s="284" t="e">
        <f>(IF(Tabla4[[#This Row],[Familia]]="termico solar",Tabla4[[#This Row],[Utilidad Total]]*6%,Tabla4[[#This Row],[Utilidad Total]]*11.5%))/Tabla4[[#This Row],[Total]]</f>
        <v>#N/A</v>
      </c>
      <c r="V2971" s="282" t="e">
        <f>+Tabla4[[#This Row],[Comisión Calculada]]*Tabla4[[#This Row],[Total]]</f>
        <v>#N/A</v>
      </c>
    </row>
    <row r="2972" spans="1:22" hidden="1" x14ac:dyDescent="0.25">
      <c r="A2972" s="100">
        <v>45792</v>
      </c>
      <c r="B2972" t="str">
        <f t="shared" si="142"/>
        <v>May</v>
      </c>
      <c r="C2972" s="46" t="s">
        <v>280</v>
      </c>
      <c r="F2972" s="366" t="s">
        <v>1861</v>
      </c>
      <c r="G2972" s="46" t="s">
        <v>83</v>
      </c>
      <c r="H2972" s="46">
        <v>2</v>
      </c>
      <c r="I2972" s="51">
        <v>8858.76</v>
      </c>
      <c r="J2972" s="281">
        <f>++Tabla4[[#This Row],[Precio Bruto]]*1.16</f>
        <v>10276.161599999999</v>
      </c>
      <c r="K2972" s="281">
        <f>+Tabla4[[#This Row],[Precio Unitario Neto]]*Tabla4[[#Headers],[20.85%]]</f>
        <v>2142.5796935999997</v>
      </c>
      <c r="L2972" s="282">
        <f>++Tabla4[[#This Row],[Precio Unitario Neto]]-Tabla4[[#This Row],[20.85%]]</f>
        <v>8133.5819063999998</v>
      </c>
      <c r="M2972" s="282" t="e">
        <f>(INDEX(Tabla6[#All],MATCH(Tabla4[[#This Row],[Producto]],Tabla6[[#All],[PRODUCTO]],0),MATCH(Tabla4[[#This Row],[Mes]],Tabla6[#Headers],0)))*(1+Catalogos!$L$2)</f>
        <v>#N/A</v>
      </c>
      <c r="N2972" s="283" t="e">
        <f>+(Tabla4[[#This Row],[Precio Descontado]]-Tabla4[[#This Row],[Precio Base]])*Tabla4[[#This Row],[Cantidad]]</f>
        <v>#N/A</v>
      </c>
      <c r="O2972" s="284" t="e">
        <f>++Tabla4[[#This Row],[Utilidad Total]]/Tabla4[[#This Row],[Total]]</f>
        <v>#N/A</v>
      </c>
      <c r="P2972" s="282">
        <f>++Tabla4[[#This Row],[Precio Descontado]]*Tabla4[[#This Row],[Cantidad]]</f>
        <v>16267.1638128</v>
      </c>
      <c r="Q2972" s="282" t="e">
        <f>(INDEX(Tabla6[#All],MATCH(Tabla4[[#This Row],[Producto]],Tabla6[[#All],[PRODUCTO]],0),MATCH(Tabla4[[#This Row],[Mes]],Tabla6[#Headers],0)))</f>
        <v>#N/A</v>
      </c>
      <c r="R2972" s="282" t="e">
        <f>++Tabla4[[#This Row],[Precio Unitario Neto]]-Tabla4[[#This Row],[20.85%]]-Tabla4[[#This Row],[Costo]]</f>
        <v>#N/A</v>
      </c>
      <c r="S2972" s="282" t="e">
        <f>++Tabla4[[#This Row],[U. Bruta Uni]]*Tabla4[[#This Row],[Cantidad]]</f>
        <v>#N/A</v>
      </c>
      <c r="T2972" s="369" t="str">
        <f>VLOOKUP(Tabla4[[#This Row],[Producto]],Tabla6[#All],14,FALSE)</f>
        <v>Termico Solar</v>
      </c>
      <c r="U2972" s="284" t="e">
        <f>(IF(Tabla4[[#This Row],[Familia]]="termico solar",Tabla4[[#This Row],[Utilidad Total]]*6%,Tabla4[[#This Row],[Utilidad Total]]*11.5%))/Tabla4[[#This Row],[Total]]</f>
        <v>#N/A</v>
      </c>
      <c r="V2972" s="282" t="e">
        <f>+Tabla4[[#This Row],[Comisión Calculada]]*Tabla4[[#This Row],[Total]]</f>
        <v>#N/A</v>
      </c>
    </row>
    <row r="2973" spans="1:22" hidden="1" x14ac:dyDescent="0.25">
      <c r="A2973" s="100">
        <v>45792</v>
      </c>
      <c r="B2973" t="str">
        <f t="shared" si="142"/>
        <v>May</v>
      </c>
      <c r="C2973" s="46" t="s">
        <v>280</v>
      </c>
      <c r="F2973" s="366" t="s">
        <v>1862</v>
      </c>
      <c r="G2973" s="46" t="s">
        <v>17</v>
      </c>
      <c r="H2973" s="46">
        <v>3</v>
      </c>
      <c r="I2973" s="51">
        <v>4622.28</v>
      </c>
      <c r="J2973" s="281">
        <f>++Tabla4[[#This Row],[Precio Bruto]]*1.16</f>
        <v>5361.8447999999989</v>
      </c>
      <c r="K2973" s="281">
        <f>+Tabla4[[#This Row],[Precio Unitario Neto]]*Tabla4[[#Headers],[20.85%]]</f>
        <v>1117.9446407999997</v>
      </c>
      <c r="L2973" s="282">
        <f>++Tabla4[[#This Row],[Precio Unitario Neto]]-Tabla4[[#This Row],[20.85%]]</f>
        <v>4243.9001591999995</v>
      </c>
      <c r="M2973" s="282" t="e">
        <f>(INDEX(Tabla6[#All],MATCH(Tabla4[[#This Row],[Producto]],Tabla6[[#All],[PRODUCTO]],0),MATCH(Tabla4[[#This Row],[Mes]],Tabla6[#Headers],0)))*(1+Catalogos!$L$2)</f>
        <v>#N/A</v>
      </c>
      <c r="N2973" s="283" t="e">
        <f>+(Tabla4[[#This Row],[Precio Descontado]]-Tabla4[[#This Row],[Precio Base]])*Tabla4[[#This Row],[Cantidad]]</f>
        <v>#N/A</v>
      </c>
      <c r="O2973" s="284" t="e">
        <f>++Tabla4[[#This Row],[Utilidad Total]]/Tabla4[[#This Row],[Total]]</f>
        <v>#N/A</v>
      </c>
      <c r="P2973" s="282">
        <f>++Tabla4[[#This Row],[Precio Descontado]]*Tabla4[[#This Row],[Cantidad]]</f>
        <v>12731.700477599999</v>
      </c>
      <c r="Q2973" s="282" t="e">
        <f>(INDEX(Tabla6[#All],MATCH(Tabla4[[#This Row],[Producto]],Tabla6[[#All],[PRODUCTO]],0),MATCH(Tabla4[[#This Row],[Mes]],Tabla6[#Headers],0)))</f>
        <v>#N/A</v>
      </c>
      <c r="R2973" s="282" t="e">
        <f>++Tabla4[[#This Row],[Precio Unitario Neto]]-Tabla4[[#This Row],[20.85%]]-Tabla4[[#This Row],[Costo]]</f>
        <v>#N/A</v>
      </c>
      <c r="S2973" s="282" t="e">
        <f>++Tabla4[[#This Row],[U. Bruta Uni]]*Tabla4[[#This Row],[Cantidad]]</f>
        <v>#N/A</v>
      </c>
      <c r="T2973" s="369" t="str">
        <f>VLOOKUP(Tabla4[[#This Row],[Producto]],Tabla6[#All],14,FALSE)</f>
        <v>Termico Solar</v>
      </c>
      <c r="U2973" s="284" t="e">
        <f>(IF(Tabla4[[#This Row],[Familia]]="termico solar",Tabla4[[#This Row],[Utilidad Total]]*6%,Tabla4[[#This Row],[Utilidad Total]]*11.5%))/Tabla4[[#This Row],[Total]]</f>
        <v>#N/A</v>
      </c>
      <c r="V2973" s="282" t="e">
        <f>+Tabla4[[#This Row],[Comisión Calculada]]*Tabla4[[#This Row],[Total]]</f>
        <v>#N/A</v>
      </c>
    </row>
    <row r="2974" spans="1:22" hidden="1" x14ac:dyDescent="0.25">
      <c r="A2974" s="100">
        <v>45792</v>
      </c>
      <c r="B2974" t="str">
        <f t="shared" si="142"/>
        <v>May</v>
      </c>
      <c r="C2974" s="46" t="s">
        <v>280</v>
      </c>
      <c r="F2974" s="366" t="s">
        <v>1862</v>
      </c>
      <c r="G2974" s="46" t="s">
        <v>18</v>
      </c>
      <c r="H2974" s="46">
        <v>4</v>
      </c>
      <c r="I2974" s="51">
        <v>5367.65</v>
      </c>
      <c r="J2974" s="281">
        <f>++Tabla4[[#This Row],[Precio Bruto]]*1.16</f>
        <v>6226.4739999999993</v>
      </c>
      <c r="K2974" s="281">
        <f>+Tabla4[[#This Row],[Precio Unitario Neto]]*Tabla4[[#Headers],[20.85%]]</f>
        <v>1298.2198289999999</v>
      </c>
      <c r="L2974" s="282">
        <f>++Tabla4[[#This Row],[Precio Unitario Neto]]-Tabla4[[#This Row],[20.85%]]</f>
        <v>4928.2541709999996</v>
      </c>
      <c r="M2974" s="282" t="e">
        <f>(INDEX(Tabla6[#All],MATCH(Tabla4[[#This Row],[Producto]],Tabla6[[#All],[PRODUCTO]],0),MATCH(Tabla4[[#This Row],[Mes]],Tabla6[#Headers],0)))*(1+Catalogos!$L$2)</f>
        <v>#N/A</v>
      </c>
      <c r="N2974" s="283" t="e">
        <f>+(Tabla4[[#This Row],[Precio Descontado]]-Tabla4[[#This Row],[Precio Base]])*Tabla4[[#This Row],[Cantidad]]</f>
        <v>#N/A</v>
      </c>
      <c r="O2974" s="284" t="e">
        <f>++Tabla4[[#This Row],[Utilidad Total]]/Tabla4[[#This Row],[Total]]</f>
        <v>#N/A</v>
      </c>
      <c r="P2974" s="282">
        <f>++Tabla4[[#This Row],[Precio Descontado]]*Tabla4[[#This Row],[Cantidad]]</f>
        <v>19713.016683999998</v>
      </c>
      <c r="Q2974" s="282" t="e">
        <f>(INDEX(Tabla6[#All],MATCH(Tabla4[[#This Row],[Producto]],Tabla6[[#All],[PRODUCTO]],0),MATCH(Tabla4[[#This Row],[Mes]],Tabla6[#Headers],0)))</f>
        <v>#N/A</v>
      </c>
      <c r="R2974" s="282" t="e">
        <f>++Tabla4[[#This Row],[Precio Unitario Neto]]-Tabla4[[#This Row],[20.85%]]-Tabla4[[#This Row],[Costo]]</f>
        <v>#N/A</v>
      </c>
      <c r="S2974" s="282" t="e">
        <f>++Tabla4[[#This Row],[U. Bruta Uni]]*Tabla4[[#This Row],[Cantidad]]</f>
        <v>#N/A</v>
      </c>
      <c r="T2974" s="369" t="str">
        <f>VLOOKUP(Tabla4[[#This Row],[Producto]],Tabla6[#All],14,FALSE)</f>
        <v>Termico Solar</v>
      </c>
      <c r="U2974" s="284" t="e">
        <f>(IF(Tabla4[[#This Row],[Familia]]="termico solar",Tabla4[[#This Row],[Utilidad Total]]*6%,Tabla4[[#This Row],[Utilidad Total]]*11.5%))/Tabla4[[#This Row],[Total]]</f>
        <v>#N/A</v>
      </c>
      <c r="V2974" s="282" t="e">
        <f>+Tabla4[[#This Row],[Comisión Calculada]]*Tabla4[[#This Row],[Total]]</f>
        <v>#N/A</v>
      </c>
    </row>
    <row r="2975" spans="1:22" hidden="1" x14ac:dyDescent="0.25">
      <c r="A2975" s="100">
        <v>45792</v>
      </c>
      <c r="B2975" t="str">
        <f t="shared" si="142"/>
        <v>May</v>
      </c>
      <c r="C2975" s="46" t="s">
        <v>280</v>
      </c>
      <c r="F2975" s="366" t="s">
        <v>1862</v>
      </c>
      <c r="G2975" s="46" t="s">
        <v>19</v>
      </c>
      <c r="H2975" s="46">
        <v>2</v>
      </c>
      <c r="I2975" s="51">
        <v>6412.03</v>
      </c>
      <c r="J2975" s="281">
        <f>++Tabla4[[#This Row],[Precio Bruto]]*1.16</f>
        <v>7437.9547999999995</v>
      </c>
      <c r="K2975" s="281">
        <f>+Tabla4[[#This Row],[Precio Unitario Neto]]*Tabla4[[#Headers],[20.85%]]</f>
        <v>1550.8135757999999</v>
      </c>
      <c r="L2975" s="282">
        <f>++Tabla4[[#This Row],[Precio Unitario Neto]]-Tabla4[[#This Row],[20.85%]]</f>
        <v>5887.1412241999997</v>
      </c>
      <c r="M2975" s="282" t="e">
        <f>(INDEX(Tabla6[#All],MATCH(Tabla4[[#This Row],[Producto]],Tabla6[[#All],[PRODUCTO]],0),MATCH(Tabla4[[#This Row],[Mes]],Tabla6[#Headers],0)))*(1+Catalogos!$L$2)</f>
        <v>#N/A</v>
      </c>
      <c r="N2975" s="283" t="e">
        <f>+(Tabla4[[#This Row],[Precio Descontado]]-Tabla4[[#This Row],[Precio Base]])*Tabla4[[#This Row],[Cantidad]]</f>
        <v>#N/A</v>
      </c>
      <c r="O2975" s="284" t="e">
        <f>++Tabla4[[#This Row],[Utilidad Total]]/Tabla4[[#This Row],[Total]]</f>
        <v>#N/A</v>
      </c>
      <c r="P2975" s="282">
        <f>++Tabla4[[#This Row],[Precio Descontado]]*Tabla4[[#This Row],[Cantidad]]</f>
        <v>11774.282448399999</v>
      </c>
      <c r="Q2975" s="282" t="e">
        <f>(INDEX(Tabla6[#All],MATCH(Tabla4[[#This Row],[Producto]],Tabla6[[#All],[PRODUCTO]],0),MATCH(Tabla4[[#This Row],[Mes]],Tabla6[#Headers],0)))</f>
        <v>#N/A</v>
      </c>
      <c r="R2975" s="282" t="e">
        <f>++Tabla4[[#This Row],[Precio Unitario Neto]]-Tabla4[[#This Row],[20.85%]]-Tabla4[[#This Row],[Costo]]</f>
        <v>#N/A</v>
      </c>
      <c r="S2975" s="282" t="e">
        <f>++Tabla4[[#This Row],[U. Bruta Uni]]*Tabla4[[#This Row],[Cantidad]]</f>
        <v>#N/A</v>
      </c>
      <c r="T2975" s="369" t="str">
        <f>VLOOKUP(Tabla4[[#This Row],[Producto]],Tabla6[#All],14,FALSE)</f>
        <v>Termico Solar</v>
      </c>
      <c r="U2975" s="284" t="e">
        <f>(IF(Tabla4[[#This Row],[Familia]]="termico solar",Tabla4[[#This Row],[Utilidad Total]]*6%,Tabla4[[#This Row],[Utilidad Total]]*11.5%))/Tabla4[[#This Row],[Total]]</f>
        <v>#N/A</v>
      </c>
      <c r="V2975" s="282" t="e">
        <f>+Tabla4[[#This Row],[Comisión Calculada]]*Tabla4[[#This Row],[Total]]</f>
        <v>#N/A</v>
      </c>
    </row>
    <row r="2976" spans="1:22" hidden="1" x14ac:dyDescent="0.25">
      <c r="A2976" s="100">
        <v>45792</v>
      </c>
      <c r="B2976" t="str">
        <f t="shared" si="142"/>
        <v>May</v>
      </c>
      <c r="C2976" s="46" t="s">
        <v>280</v>
      </c>
      <c r="F2976" s="366" t="s">
        <v>1862</v>
      </c>
      <c r="G2976" s="46" t="s">
        <v>566</v>
      </c>
      <c r="H2976" s="46">
        <v>1</v>
      </c>
      <c r="I2976" s="51">
        <v>2109.4499999999998</v>
      </c>
      <c r="J2976" s="281">
        <f>++Tabla4[[#This Row],[Precio Bruto]]*1.16</f>
        <v>2446.9619999999995</v>
      </c>
      <c r="K2976" s="281">
        <f>+Tabla4[[#This Row],[Precio Unitario Neto]]*Tabla4[[#Headers],[20.85%]]</f>
        <v>510.19157699999988</v>
      </c>
      <c r="L2976" s="282">
        <f>++Tabla4[[#This Row],[Precio Unitario Neto]]-Tabla4[[#This Row],[20.85%]]</f>
        <v>1936.7704229999997</v>
      </c>
      <c r="M2976" s="282" t="e">
        <f>(INDEX(Tabla6[#All],MATCH(Tabla4[[#This Row],[Producto]],Tabla6[[#All],[PRODUCTO]],0),MATCH(Tabla4[[#This Row],[Mes]],Tabla6[#Headers],0)))*(1+Catalogos!$L$2)</f>
        <v>#N/A</v>
      </c>
      <c r="N2976" s="283" t="e">
        <f>+(Tabla4[[#This Row],[Precio Descontado]]-Tabla4[[#This Row],[Precio Base]])*Tabla4[[#This Row],[Cantidad]]</f>
        <v>#N/A</v>
      </c>
      <c r="O2976" s="284" t="e">
        <f>++Tabla4[[#This Row],[Utilidad Total]]/Tabla4[[#This Row],[Total]]</f>
        <v>#N/A</v>
      </c>
      <c r="P2976" s="282">
        <f>++Tabla4[[#This Row],[Precio Descontado]]*Tabla4[[#This Row],[Cantidad]]</f>
        <v>1936.7704229999997</v>
      </c>
      <c r="Q2976" s="282" t="e">
        <f>(INDEX(Tabla6[#All],MATCH(Tabla4[[#This Row],[Producto]],Tabla6[[#All],[PRODUCTO]],0),MATCH(Tabla4[[#This Row],[Mes]],Tabla6[#Headers],0)))</f>
        <v>#N/A</v>
      </c>
      <c r="R2976" s="282" t="e">
        <f>++Tabla4[[#This Row],[Precio Unitario Neto]]-Tabla4[[#This Row],[20.85%]]-Tabla4[[#This Row],[Costo]]</f>
        <v>#N/A</v>
      </c>
      <c r="S2976" s="282" t="e">
        <f>++Tabla4[[#This Row],[U. Bruta Uni]]*Tabla4[[#This Row],[Cantidad]]</f>
        <v>#N/A</v>
      </c>
      <c r="T2976" s="369" t="str">
        <f>VLOOKUP(Tabla4[[#This Row],[Producto]],Tabla6[#All],14,FALSE)</f>
        <v>Termico Solar</v>
      </c>
      <c r="U2976" s="284" t="e">
        <f>(IF(Tabla4[[#This Row],[Familia]]="termico solar",Tabla4[[#This Row],[Utilidad Total]]*6%,Tabla4[[#This Row],[Utilidad Total]]*11.5%))/Tabla4[[#This Row],[Total]]</f>
        <v>#N/A</v>
      </c>
      <c r="V2976" s="282" t="e">
        <f>+Tabla4[[#This Row],[Comisión Calculada]]*Tabla4[[#This Row],[Total]]</f>
        <v>#N/A</v>
      </c>
    </row>
    <row r="2977" spans="1:22" hidden="1" x14ac:dyDescent="0.25">
      <c r="A2977" s="100">
        <v>45792</v>
      </c>
      <c r="B2977" t="str">
        <f t="shared" si="142"/>
        <v>May</v>
      </c>
      <c r="C2977" s="46" t="s">
        <v>280</v>
      </c>
      <c r="F2977" s="366" t="s">
        <v>1862</v>
      </c>
      <c r="G2977" s="46" t="s">
        <v>16</v>
      </c>
      <c r="H2977" s="46">
        <v>1</v>
      </c>
      <c r="I2977" s="51">
        <v>4103.8500000000004</v>
      </c>
      <c r="J2977" s="281">
        <f>++Tabla4[[#This Row],[Precio Bruto]]*1.16</f>
        <v>4760.4660000000003</v>
      </c>
      <c r="K2977" s="281">
        <f>+Tabla4[[#This Row],[Precio Unitario Neto]]*Tabla4[[#Headers],[20.85%]]</f>
        <v>992.55716100000006</v>
      </c>
      <c r="L2977" s="282">
        <f>++Tabla4[[#This Row],[Precio Unitario Neto]]-Tabla4[[#This Row],[20.85%]]</f>
        <v>3767.9088390000002</v>
      </c>
      <c r="M2977" s="282" t="e">
        <f>(INDEX(Tabla6[#All],MATCH(Tabla4[[#This Row],[Producto]],Tabla6[[#All],[PRODUCTO]],0),MATCH(Tabla4[[#This Row],[Mes]],Tabla6[#Headers],0)))*(1+Catalogos!$L$2)</f>
        <v>#N/A</v>
      </c>
      <c r="N2977" s="283" t="e">
        <f>+(Tabla4[[#This Row],[Precio Descontado]]-Tabla4[[#This Row],[Precio Base]])*Tabla4[[#This Row],[Cantidad]]</f>
        <v>#N/A</v>
      </c>
      <c r="O2977" s="284" t="e">
        <f>++Tabla4[[#This Row],[Utilidad Total]]/Tabla4[[#This Row],[Total]]</f>
        <v>#N/A</v>
      </c>
      <c r="P2977" s="282">
        <f>++Tabla4[[#This Row],[Precio Descontado]]*Tabla4[[#This Row],[Cantidad]]</f>
        <v>3767.9088390000002</v>
      </c>
      <c r="Q2977" s="282" t="e">
        <f>(INDEX(Tabla6[#All],MATCH(Tabla4[[#This Row],[Producto]],Tabla6[[#All],[PRODUCTO]],0),MATCH(Tabla4[[#This Row],[Mes]],Tabla6[#Headers],0)))</f>
        <v>#N/A</v>
      </c>
      <c r="R2977" s="282" t="e">
        <f>++Tabla4[[#This Row],[Precio Unitario Neto]]-Tabla4[[#This Row],[20.85%]]-Tabla4[[#This Row],[Costo]]</f>
        <v>#N/A</v>
      </c>
      <c r="S2977" s="282" t="e">
        <f>++Tabla4[[#This Row],[U. Bruta Uni]]*Tabla4[[#This Row],[Cantidad]]</f>
        <v>#N/A</v>
      </c>
      <c r="T2977" s="369" t="str">
        <f>VLOOKUP(Tabla4[[#This Row],[Producto]],Tabla6[#All],14,FALSE)</f>
        <v>Termico Solar</v>
      </c>
      <c r="U2977" s="284" t="e">
        <f>(IF(Tabla4[[#This Row],[Familia]]="termico solar",Tabla4[[#This Row],[Utilidad Total]]*6%,Tabla4[[#This Row],[Utilidad Total]]*11.5%))/Tabla4[[#This Row],[Total]]</f>
        <v>#N/A</v>
      </c>
      <c r="V2977" s="282" t="e">
        <f>+Tabla4[[#This Row],[Comisión Calculada]]*Tabla4[[#This Row],[Total]]</f>
        <v>#N/A</v>
      </c>
    </row>
    <row r="2978" spans="1:22" hidden="1" x14ac:dyDescent="0.25">
      <c r="A2978" s="100">
        <v>45792</v>
      </c>
      <c r="B2978" t="str">
        <f t="shared" si="142"/>
        <v>May</v>
      </c>
      <c r="C2978" s="46" t="s">
        <v>280</v>
      </c>
      <c r="F2978" s="366" t="s">
        <v>1863</v>
      </c>
      <c r="G2978" s="46" t="s">
        <v>83</v>
      </c>
      <c r="H2978" s="46">
        <v>1</v>
      </c>
      <c r="I2978" s="51">
        <v>8858.76</v>
      </c>
      <c r="J2978" s="281">
        <f>++Tabla4[[#This Row],[Precio Bruto]]*1.16</f>
        <v>10276.161599999999</v>
      </c>
      <c r="K2978" s="281">
        <f>+Tabla4[[#This Row],[Precio Unitario Neto]]*Tabla4[[#Headers],[20.85%]]</f>
        <v>2142.5796935999997</v>
      </c>
      <c r="L2978" s="282">
        <f>++Tabla4[[#This Row],[Precio Unitario Neto]]-Tabla4[[#This Row],[20.85%]]</f>
        <v>8133.5819063999998</v>
      </c>
      <c r="M2978" s="282" t="e">
        <f>(INDEX(Tabla6[#All],MATCH(Tabla4[[#This Row],[Producto]],Tabla6[[#All],[PRODUCTO]],0),MATCH(Tabla4[[#This Row],[Mes]],Tabla6[#Headers],0)))*(1+Catalogos!$L$2)</f>
        <v>#N/A</v>
      </c>
      <c r="N2978" s="283" t="e">
        <f>+(Tabla4[[#This Row],[Precio Descontado]]-Tabla4[[#This Row],[Precio Base]])*Tabla4[[#This Row],[Cantidad]]</f>
        <v>#N/A</v>
      </c>
      <c r="O2978" s="284" t="e">
        <f>++Tabla4[[#This Row],[Utilidad Total]]/Tabla4[[#This Row],[Total]]</f>
        <v>#N/A</v>
      </c>
      <c r="P2978" s="282">
        <f>++Tabla4[[#This Row],[Precio Descontado]]*Tabla4[[#This Row],[Cantidad]]</f>
        <v>8133.5819063999998</v>
      </c>
      <c r="Q2978" s="282" t="e">
        <f>(INDEX(Tabla6[#All],MATCH(Tabla4[[#This Row],[Producto]],Tabla6[[#All],[PRODUCTO]],0),MATCH(Tabla4[[#This Row],[Mes]],Tabla6[#Headers],0)))</f>
        <v>#N/A</v>
      </c>
      <c r="R2978" s="282" t="e">
        <f>++Tabla4[[#This Row],[Precio Unitario Neto]]-Tabla4[[#This Row],[20.85%]]-Tabla4[[#This Row],[Costo]]</f>
        <v>#N/A</v>
      </c>
      <c r="S2978" s="282" t="e">
        <f>++Tabla4[[#This Row],[U. Bruta Uni]]*Tabla4[[#This Row],[Cantidad]]</f>
        <v>#N/A</v>
      </c>
      <c r="T2978" s="369" t="str">
        <f>VLOOKUP(Tabla4[[#This Row],[Producto]],Tabla6[#All],14,FALSE)</f>
        <v>Termico Solar</v>
      </c>
      <c r="U2978" s="284" t="e">
        <f>(IF(Tabla4[[#This Row],[Familia]]="termico solar",Tabla4[[#This Row],[Utilidad Total]]*6%,Tabla4[[#This Row],[Utilidad Total]]*11.5%))/Tabla4[[#This Row],[Total]]</f>
        <v>#N/A</v>
      </c>
      <c r="V2978" s="282" t="e">
        <f>+Tabla4[[#This Row],[Comisión Calculada]]*Tabla4[[#This Row],[Total]]</f>
        <v>#N/A</v>
      </c>
    </row>
    <row r="2979" spans="1:22" hidden="1" x14ac:dyDescent="0.25">
      <c r="A2979" s="100">
        <v>45792</v>
      </c>
      <c r="B2979" t="str">
        <f t="shared" si="142"/>
        <v>May</v>
      </c>
      <c r="C2979" s="46" t="s">
        <v>280</v>
      </c>
      <c r="F2979" s="366" t="s">
        <v>1863</v>
      </c>
      <c r="G2979" s="46" t="s">
        <v>17</v>
      </c>
      <c r="H2979" s="46">
        <v>1</v>
      </c>
      <c r="I2979" s="51">
        <v>4622.28</v>
      </c>
      <c r="J2979" s="281">
        <f>++Tabla4[[#This Row],[Precio Bruto]]*1.16</f>
        <v>5361.8447999999989</v>
      </c>
      <c r="K2979" s="281">
        <f>+Tabla4[[#This Row],[Precio Unitario Neto]]*Tabla4[[#Headers],[20.85%]]</f>
        <v>1117.9446407999997</v>
      </c>
      <c r="L2979" s="282">
        <f>++Tabla4[[#This Row],[Precio Unitario Neto]]-Tabla4[[#This Row],[20.85%]]</f>
        <v>4243.9001591999995</v>
      </c>
      <c r="M2979" s="282" t="e">
        <f>(INDEX(Tabla6[#All],MATCH(Tabla4[[#This Row],[Producto]],Tabla6[[#All],[PRODUCTO]],0),MATCH(Tabla4[[#This Row],[Mes]],Tabla6[#Headers],0)))*(1+Catalogos!$L$2)</f>
        <v>#N/A</v>
      </c>
      <c r="N2979" s="283" t="e">
        <f>+(Tabla4[[#This Row],[Precio Descontado]]-Tabla4[[#This Row],[Precio Base]])*Tabla4[[#This Row],[Cantidad]]</f>
        <v>#N/A</v>
      </c>
      <c r="O2979" s="284" t="e">
        <f>++Tabla4[[#This Row],[Utilidad Total]]/Tabla4[[#This Row],[Total]]</f>
        <v>#N/A</v>
      </c>
      <c r="P2979" s="282">
        <f>++Tabla4[[#This Row],[Precio Descontado]]*Tabla4[[#This Row],[Cantidad]]</f>
        <v>4243.9001591999995</v>
      </c>
      <c r="Q2979" s="282" t="e">
        <f>(INDEX(Tabla6[#All],MATCH(Tabla4[[#This Row],[Producto]],Tabla6[[#All],[PRODUCTO]],0),MATCH(Tabla4[[#This Row],[Mes]],Tabla6[#Headers],0)))</f>
        <v>#N/A</v>
      </c>
      <c r="R2979" s="282" t="e">
        <f>++Tabla4[[#This Row],[Precio Unitario Neto]]-Tabla4[[#This Row],[20.85%]]-Tabla4[[#This Row],[Costo]]</f>
        <v>#N/A</v>
      </c>
      <c r="S2979" s="282" t="e">
        <f>++Tabla4[[#This Row],[U. Bruta Uni]]*Tabla4[[#This Row],[Cantidad]]</f>
        <v>#N/A</v>
      </c>
      <c r="T2979" s="369" t="str">
        <f>VLOOKUP(Tabla4[[#This Row],[Producto]],Tabla6[#All],14,FALSE)</f>
        <v>Termico Solar</v>
      </c>
      <c r="U2979" s="284" t="e">
        <f>(IF(Tabla4[[#This Row],[Familia]]="termico solar",Tabla4[[#This Row],[Utilidad Total]]*6%,Tabla4[[#This Row],[Utilidad Total]]*11.5%))/Tabla4[[#This Row],[Total]]</f>
        <v>#N/A</v>
      </c>
      <c r="V2979" s="282" t="e">
        <f>+Tabla4[[#This Row],[Comisión Calculada]]*Tabla4[[#This Row],[Total]]</f>
        <v>#N/A</v>
      </c>
    </row>
    <row r="2980" spans="1:22" hidden="1" x14ac:dyDescent="0.25">
      <c r="A2980" s="100">
        <v>45792</v>
      </c>
      <c r="B2980" t="str">
        <f t="shared" si="142"/>
        <v>May</v>
      </c>
      <c r="C2980" s="46" t="s">
        <v>280</v>
      </c>
      <c r="F2980" s="366" t="s">
        <v>1863</v>
      </c>
      <c r="G2980" s="46" t="s">
        <v>16</v>
      </c>
      <c r="H2980" s="46">
        <v>1</v>
      </c>
      <c r="I2980" s="51">
        <v>4103.8500000000004</v>
      </c>
      <c r="J2980" s="281">
        <f>++Tabla4[[#This Row],[Precio Bruto]]*1.16</f>
        <v>4760.4660000000003</v>
      </c>
      <c r="K2980" s="281">
        <f>+Tabla4[[#This Row],[Precio Unitario Neto]]*Tabla4[[#Headers],[20.85%]]</f>
        <v>992.55716100000006</v>
      </c>
      <c r="L2980" s="282">
        <f>++Tabla4[[#This Row],[Precio Unitario Neto]]-Tabla4[[#This Row],[20.85%]]</f>
        <v>3767.9088390000002</v>
      </c>
      <c r="M2980" s="282" t="e">
        <f>(INDEX(Tabla6[#All],MATCH(Tabla4[[#This Row],[Producto]],Tabla6[[#All],[PRODUCTO]],0),MATCH(Tabla4[[#This Row],[Mes]],Tabla6[#Headers],0)))*(1+Catalogos!$L$2)</f>
        <v>#N/A</v>
      </c>
      <c r="N2980" s="283" t="e">
        <f>+(Tabla4[[#This Row],[Precio Descontado]]-Tabla4[[#This Row],[Precio Base]])*Tabla4[[#This Row],[Cantidad]]</f>
        <v>#N/A</v>
      </c>
      <c r="O2980" s="284" t="e">
        <f>++Tabla4[[#This Row],[Utilidad Total]]/Tabla4[[#This Row],[Total]]</f>
        <v>#N/A</v>
      </c>
      <c r="P2980" s="282">
        <f>++Tabla4[[#This Row],[Precio Descontado]]*Tabla4[[#This Row],[Cantidad]]</f>
        <v>3767.9088390000002</v>
      </c>
      <c r="Q2980" s="282" t="e">
        <f>(INDEX(Tabla6[#All],MATCH(Tabla4[[#This Row],[Producto]],Tabla6[[#All],[PRODUCTO]],0),MATCH(Tabla4[[#This Row],[Mes]],Tabla6[#Headers],0)))</f>
        <v>#N/A</v>
      </c>
      <c r="R2980" s="282" t="e">
        <f>++Tabla4[[#This Row],[Precio Unitario Neto]]-Tabla4[[#This Row],[20.85%]]-Tabla4[[#This Row],[Costo]]</f>
        <v>#N/A</v>
      </c>
      <c r="S2980" s="282" t="e">
        <f>++Tabla4[[#This Row],[U. Bruta Uni]]*Tabla4[[#This Row],[Cantidad]]</f>
        <v>#N/A</v>
      </c>
      <c r="T2980" s="369" t="str">
        <f>VLOOKUP(Tabla4[[#This Row],[Producto]],Tabla6[#All],14,FALSE)</f>
        <v>Termico Solar</v>
      </c>
      <c r="U2980" s="284" t="e">
        <f>(IF(Tabla4[[#This Row],[Familia]]="termico solar",Tabla4[[#This Row],[Utilidad Total]]*6%,Tabla4[[#This Row],[Utilidad Total]]*11.5%))/Tabla4[[#This Row],[Total]]</f>
        <v>#N/A</v>
      </c>
      <c r="V2980" s="282" t="e">
        <f>+Tabla4[[#This Row],[Comisión Calculada]]*Tabla4[[#This Row],[Total]]</f>
        <v>#N/A</v>
      </c>
    </row>
    <row r="2981" spans="1:22" hidden="1" x14ac:dyDescent="0.25">
      <c r="A2981" s="100">
        <v>45792</v>
      </c>
      <c r="B2981" t="str">
        <f t="shared" si="142"/>
        <v>May</v>
      </c>
      <c r="C2981" s="46" t="s">
        <v>280</v>
      </c>
      <c r="F2981" s="366" t="s">
        <v>1863</v>
      </c>
      <c r="G2981" s="46" t="s">
        <v>208</v>
      </c>
      <c r="H2981" s="46">
        <v>2</v>
      </c>
      <c r="I2981" s="51">
        <v>189.75</v>
      </c>
      <c r="J2981" s="281">
        <f>++Tabla4[[#This Row],[Precio Bruto]]*1.16</f>
        <v>220.10999999999999</v>
      </c>
      <c r="K2981" s="281">
        <f>+Tabla4[[#This Row],[Precio Unitario Neto]]*Tabla4[[#Headers],[20.85%]]</f>
        <v>45.892934999999994</v>
      </c>
      <c r="L2981" s="282">
        <f>++Tabla4[[#This Row],[Precio Unitario Neto]]-Tabla4[[#This Row],[20.85%]]</f>
        <v>174.21706499999999</v>
      </c>
      <c r="M2981" s="282" t="e">
        <f>(INDEX(Tabla6[#All],MATCH(Tabla4[[#This Row],[Producto]],Tabla6[[#All],[PRODUCTO]],0),MATCH(Tabla4[[#This Row],[Mes]],Tabla6[#Headers],0)))*(1+Catalogos!$L$2)</f>
        <v>#N/A</v>
      </c>
      <c r="N2981" s="283" t="e">
        <f>+(Tabla4[[#This Row],[Precio Descontado]]-Tabla4[[#This Row],[Precio Base]])*Tabla4[[#This Row],[Cantidad]]</f>
        <v>#N/A</v>
      </c>
      <c r="O2981" s="284" t="e">
        <f>++Tabla4[[#This Row],[Utilidad Total]]/Tabla4[[#This Row],[Total]]</f>
        <v>#N/A</v>
      </c>
      <c r="P2981" s="282">
        <f>++Tabla4[[#This Row],[Precio Descontado]]*Tabla4[[#This Row],[Cantidad]]</f>
        <v>348.43412999999998</v>
      </c>
      <c r="Q2981" s="282" t="e">
        <f>(INDEX(Tabla6[#All],MATCH(Tabla4[[#This Row],[Producto]],Tabla6[[#All],[PRODUCTO]],0),MATCH(Tabla4[[#This Row],[Mes]],Tabla6[#Headers],0)))</f>
        <v>#N/A</v>
      </c>
      <c r="R2981" s="282" t="e">
        <f>++Tabla4[[#This Row],[Precio Unitario Neto]]-Tabla4[[#This Row],[20.85%]]-Tabla4[[#This Row],[Costo]]</f>
        <v>#N/A</v>
      </c>
      <c r="S2981" s="282" t="e">
        <f>++Tabla4[[#This Row],[U. Bruta Uni]]*Tabla4[[#This Row],[Cantidad]]</f>
        <v>#N/A</v>
      </c>
      <c r="T2981" s="369" t="str">
        <f>VLOOKUP(Tabla4[[#This Row],[Producto]],Tabla6[#All],14,FALSE)</f>
        <v>Termico Solar</v>
      </c>
      <c r="U2981" s="284" t="e">
        <f>(IF(Tabla4[[#This Row],[Familia]]="termico solar",Tabla4[[#This Row],[Utilidad Total]]*6%,Tabla4[[#This Row],[Utilidad Total]]*11.5%))/Tabla4[[#This Row],[Total]]</f>
        <v>#N/A</v>
      </c>
      <c r="V2981" s="282" t="e">
        <f>+Tabla4[[#This Row],[Comisión Calculada]]*Tabla4[[#This Row],[Total]]</f>
        <v>#N/A</v>
      </c>
    </row>
    <row r="2982" spans="1:22" hidden="1" x14ac:dyDescent="0.25">
      <c r="A2982" s="100">
        <v>45792</v>
      </c>
      <c r="B2982" t="str">
        <f t="shared" si="142"/>
        <v>May</v>
      </c>
      <c r="C2982" s="46" t="s">
        <v>280</v>
      </c>
      <c r="F2982" s="366" t="s">
        <v>1863</v>
      </c>
      <c r="G2982" s="46" t="s">
        <v>209</v>
      </c>
      <c r="H2982" s="46">
        <v>3</v>
      </c>
      <c r="I2982" s="51">
        <v>347.48</v>
      </c>
      <c r="J2982" s="281">
        <f>++Tabla4[[#This Row],[Precio Bruto]]*1.16</f>
        <v>403.07679999999999</v>
      </c>
      <c r="K2982" s="281">
        <f>+Tabla4[[#This Row],[Precio Unitario Neto]]*Tabla4[[#Headers],[20.85%]]</f>
        <v>84.041512799999992</v>
      </c>
      <c r="L2982" s="282">
        <f>++Tabla4[[#This Row],[Precio Unitario Neto]]-Tabla4[[#This Row],[20.85%]]</f>
        <v>319.03528719999997</v>
      </c>
      <c r="M2982" s="282" t="e">
        <f>(INDEX(Tabla6[#All],MATCH(Tabla4[[#This Row],[Producto]],Tabla6[[#All],[PRODUCTO]],0),MATCH(Tabla4[[#This Row],[Mes]],Tabla6[#Headers],0)))*(1+Catalogos!$L$2)</f>
        <v>#N/A</v>
      </c>
      <c r="N2982" s="283" t="e">
        <f>+(Tabla4[[#This Row],[Precio Descontado]]-Tabla4[[#This Row],[Precio Base]])*Tabla4[[#This Row],[Cantidad]]</f>
        <v>#N/A</v>
      </c>
      <c r="O2982" s="284" t="e">
        <f>++Tabla4[[#This Row],[Utilidad Total]]/Tabla4[[#This Row],[Total]]</f>
        <v>#N/A</v>
      </c>
      <c r="P2982" s="282">
        <f>++Tabla4[[#This Row],[Precio Descontado]]*Tabla4[[#This Row],[Cantidad]]</f>
        <v>957.10586159999991</v>
      </c>
      <c r="Q2982" s="282" t="e">
        <f>(INDEX(Tabla6[#All],MATCH(Tabla4[[#This Row],[Producto]],Tabla6[[#All],[PRODUCTO]],0),MATCH(Tabla4[[#This Row],[Mes]],Tabla6[#Headers],0)))</f>
        <v>#N/A</v>
      </c>
      <c r="R2982" s="282" t="e">
        <f>++Tabla4[[#This Row],[Precio Unitario Neto]]-Tabla4[[#This Row],[20.85%]]-Tabla4[[#This Row],[Costo]]</f>
        <v>#N/A</v>
      </c>
      <c r="S2982" s="282" t="e">
        <f>++Tabla4[[#This Row],[U. Bruta Uni]]*Tabla4[[#This Row],[Cantidad]]</f>
        <v>#N/A</v>
      </c>
      <c r="T2982" s="369" t="str">
        <f>VLOOKUP(Tabla4[[#This Row],[Producto]],Tabla6[#All],14,FALSE)</f>
        <v>Termico Solar</v>
      </c>
      <c r="U2982" s="284" t="e">
        <f>(IF(Tabla4[[#This Row],[Familia]]="termico solar",Tabla4[[#This Row],[Utilidad Total]]*6%,Tabla4[[#This Row],[Utilidad Total]]*11.5%))/Tabla4[[#This Row],[Total]]</f>
        <v>#N/A</v>
      </c>
      <c r="V2982" s="282" t="e">
        <f>+Tabla4[[#This Row],[Comisión Calculada]]*Tabla4[[#This Row],[Total]]</f>
        <v>#N/A</v>
      </c>
    </row>
    <row r="2983" spans="1:22" hidden="1" x14ac:dyDescent="0.25">
      <c r="A2983" s="100">
        <v>45792</v>
      </c>
      <c r="B2983" t="str">
        <f t="shared" si="142"/>
        <v>May</v>
      </c>
      <c r="C2983" s="46" t="s">
        <v>280</v>
      </c>
      <c r="F2983" s="366" t="s">
        <v>1864</v>
      </c>
      <c r="G2983" s="46" t="s">
        <v>17</v>
      </c>
      <c r="H2983" s="46">
        <v>1</v>
      </c>
      <c r="I2983" s="51">
        <v>4622.28</v>
      </c>
      <c r="J2983" s="281">
        <f>++Tabla4[[#This Row],[Precio Bruto]]*1.16</f>
        <v>5361.8447999999989</v>
      </c>
      <c r="K2983" s="281">
        <f>+Tabla4[[#This Row],[Precio Unitario Neto]]*Tabla4[[#Headers],[20.85%]]</f>
        <v>1117.9446407999997</v>
      </c>
      <c r="L2983" s="282">
        <f>++Tabla4[[#This Row],[Precio Unitario Neto]]-Tabla4[[#This Row],[20.85%]]</f>
        <v>4243.9001591999995</v>
      </c>
      <c r="M2983" s="282" t="e">
        <f>(INDEX(Tabla6[#All],MATCH(Tabla4[[#This Row],[Producto]],Tabla6[[#All],[PRODUCTO]],0),MATCH(Tabla4[[#This Row],[Mes]],Tabla6[#Headers],0)))*(1+Catalogos!$L$2)</f>
        <v>#N/A</v>
      </c>
      <c r="N2983" s="283" t="e">
        <f>+(Tabla4[[#This Row],[Precio Descontado]]-Tabla4[[#This Row],[Precio Base]])*Tabla4[[#This Row],[Cantidad]]</f>
        <v>#N/A</v>
      </c>
      <c r="O2983" s="284" t="e">
        <f>++Tabla4[[#This Row],[Utilidad Total]]/Tabla4[[#This Row],[Total]]</f>
        <v>#N/A</v>
      </c>
      <c r="P2983" s="282">
        <f>++Tabla4[[#This Row],[Precio Descontado]]*Tabla4[[#This Row],[Cantidad]]</f>
        <v>4243.9001591999995</v>
      </c>
      <c r="Q2983" s="282" t="e">
        <f>(INDEX(Tabla6[#All],MATCH(Tabla4[[#This Row],[Producto]],Tabla6[[#All],[PRODUCTO]],0),MATCH(Tabla4[[#This Row],[Mes]],Tabla6[#Headers],0)))</f>
        <v>#N/A</v>
      </c>
      <c r="R2983" s="282" t="e">
        <f>++Tabla4[[#This Row],[Precio Unitario Neto]]-Tabla4[[#This Row],[20.85%]]-Tabla4[[#This Row],[Costo]]</f>
        <v>#N/A</v>
      </c>
      <c r="S2983" s="282" t="e">
        <f>++Tabla4[[#This Row],[U. Bruta Uni]]*Tabla4[[#This Row],[Cantidad]]</f>
        <v>#N/A</v>
      </c>
      <c r="T2983" s="369" t="str">
        <f>VLOOKUP(Tabla4[[#This Row],[Producto]],Tabla6[#All],14,FALSE)</f>
        <v>Termico Solar</v>
      </c>
      <c r="U2983" s="284" t="e">
        <f>(IF(Tabla4[[#This Row],[Familia]]="termico solar",Tabla4[[#This Row],[Utilidad Total]]*6%,Tabla4[[#This Row],[Utilidad Total]]*11.5%))/Tabla4[[#This Row],[Total]]</f>
        <v>#N/A</v>
      </c>
      <c r="V2983" s="282" t="e">
        <f>+Tabla4[[#This Row],[Comisión Calculada]]*Tabla4[[#This Row],[Total]]</f>
        <v>#N/A</v>
      </c>
    </row>
    <row r="2984" spans="1:22" hidden="1" x14ac:dyDescent="0.25">
      <c r="A2984" s="100">
        <v>45792</v>
      </c>
      <c r="B2984" t="str">
        <f t="shared" si="142"/>
        <v>May</v>
      </c>
      <c r="C2984" s="46" t="s">
        <v>280</v>
      </c>
      <c r="F2984" s="366" t="s">
        <v>1864</v>
      </c>
      <c r="G2984" s="46" t="s">
        <v>566</v>
      </c>
      <c r="H2984" s="46">
        <v>1</v>
      </c>
      <c r="I2984" s="51">
        <v>2109.4499999999998</v>
      </c>
      <c r="J2984" s="281">
        <f>++Tabla4[[#This Row],[Precio Bruto]]*1.16</f>
        <v>2446.9619999999995</v>
      </c>
      <c r="K2984" s="281">
        <f>+Tabla4[[#This Row],[Precio Unitario Neto]]*Tabla4[[#Headers],[20.85%]]</f>
        <v>510.19157699999988</v>
      </c>
      <c r="L2984" s="282">
        <f>++Tabla4[[#This Row],[Precio Unitario Neto]]-Tabla4[[#This Row],[20.85%]]</f>
        <v>1936.7704229999997</v>
      </c>
      <c r="M2984" s="282" t="e">
        <f>(INDEX(Tabla6[#All],MATCH(Tabla4[[#This Row],[Producto]],Tabla6[[#All],[PRODUCTO]],0),MATCH(Tabla4[[#This Row],[Mes]],Tabla6[#Headers],0)))*(1+Catalogos!$L$2)</f>
        <v>#N/A</v>
      </c>
      <c r="N2984" s="283" t="e">
        <f>+(Tabla4[[#This Row],[Precio Descontado]]-Tabla4[[#This Row],[Precio Base]])*Tabla4[[#This Row],[Cantidad]]</f>
        <v>#N/A</v>
      </c>
      <c r="O2984" s="284" t="e">
        <f>++Tabla4[[#This Row],[Utilidad Total]]/Tabla4[[#This Row],[Total]]</f>
        <v>#N/A</v>
      </c>
      <c r="P2984" s="282">
        <f>++Tabla4[[#This Row],[Precio Descontado]]*Tabla4[[#This Row],[Cantidad]]</f>
        <v>1936.7704229999997</v>
      </c>
      <c r="Q2984" s="282" t="e">
        <f>(INDEX(Tabla6[#All],MATCH(Tabla4[[#This Row],[Producto]],Tabla6[[#All],[PRODUCTO]],0),MATCH(Tabla4[[#This Row],[Mes]],Tabla6[#Headers],0)))</f>
        <v>#N/A</v>
      </c>
      <c r="R2984" s="282" t="e">
        <f>++Tabla4[[#This Row],[Precio Unitario Neto]]-Tabla4[[#This Row],[20.85%]]-Tabla4[[#This Row],[Costo]]</f>
        <v>#N/A</v>
      </c>
      <c r="S2984" s="282" t="e">
        <f>++Tabla4[[#This Row],[U. Bruta Uni]]*Tabla4[[#This Row],[Cantidad]]</f>
        <v>#N/A</v>
      </c>
      <c r="T2984" s="369" t="str">
        <f>VLOOKUP(Tabla4[[#This Row],[Producto]],Tabla6[#All],14,FALSE)</f>
        <v>Termico Solar</v>
      </c>
      <c r="U2984" s="284" t="e">
        <f>(IF(Tabla4[[#This Row],[Familia]]="termico solar",Tabla4[[#This Row],[Utilidad Total]]*6%,Tabla4[[#This Row],[Utilidad Total]]*11.5%))/Tabla4[[#This Row],[Total]]</f>
        <v>#N/A</v>
      </c>
      <c r="V2984" s="282" t="e">
        <f>+Tabla4[[#This Row],[Comisión Calculada]]*Tabla4[[#This Row],[Total]]</f>
        <v>#N/A</v>
      </c>
    </row>
    <row r="2985" spans="1:22" hidden="1" x14ac:dyDescent="0.25">
      <c r="A2985" s="100">
        <v>45792</v>
      </c>
      <c r="B2985" t="str">
        <f t="shared" si="142"/>
        <v>May</v>
      </c>
      <c r="C2985" s="46" t="s">
        <v>280</v>
      </c>
      <c r="F2985" s="366" t="s">
        <v>1864</v>
      </c>
      <c r="G2985" s="46" t="s">
        <v>16</v>
      </c>
      <c r="H2985" s="46">
        <v>2</v>
      </c>
      <c r="I2985" s="51">
        <v>4103.8500000000004</v>
      </c>
      <c r="J2985" s="281">
        <f>++Tabla4[[#This Row],[Precio Bruto]]*1.16</f>
        <v>4760.4660000000003</v>
      </c>
      <c r="K2985" s="281">
        <f>+Tabla4[[#This Row],[Precio Unitario Neto]]*Tabla4[[#Headers],[20.85%]]</f>
        <v>992.55716100000006</v>
      </c>
      <c r="L2985" s="282">
        <f>++Tabla4[[#This Row],[Precio Unitario Neto]]-Tabla4[[#This Row],[20.85%]]</f>
        <v>3767.9088390000002</v>
      </c>
      <c r="M2985" s="282" t="e">
        <f>(INDEX(Tabla6[#All],MATCH(Tabla4[[#This Row],[Producto]],Tabla6[[#All],[PRODUCTO]],0),MATCH(Tabla4[[#This Row],[Mes]],Tabla6[#Headers],0)))*(1+Catalogos!$L$2)</f>
        <v>#N/A</v>
      </c>
      <c r="N2985" s="283" t="e">
        <f>+(Tabla4[[#This Row],[Precio Descontado]]-Tabla4[[#This Row],[Precio Base]])*Tabla4[[#This Row],[Cantidad]]</f>
        <v>#N/A</v>
      </c>
      <c r="O2985" s="284" t="e">
        <f>++Tabla4[[#This Row],[Utilidad Total]]/Tabla4[[#This Row],[Total]]</f>
        <v>#N/A</v>
      </c>
      <c r="P2985" s="282">
        <f>++Tabla4[[#This Row],[Precio Descontado]]*Tabla4[[#This Row],[Cantidad]]</f>
        <v>7535.8176780000003</v>
      </c>
      <c r="Q2985" s="282" t="e">
        <f>(INDEX(Tabla6[#All],MATCH(Tabla4[[#This Row],[Producto]],Tabla6[[#All],[PRODUCTO]],0),MATCH(Tabla4[[#This Row],[Mes]],Tabla6[#Headers],0)))</f>
        <v>#N/A</v>
      </c>
      <c r="R2985" s="282" t="e">
        <f>++Tabla4[[#This Row],[Precio Unitario Neto]]-Tabla4[[#This Row],[20.85%]]-Tabla4[[#This Row],[Costo]]</f>
        <v>#N/A</v>
      </c>
      <c r="S2985" s="282" t="e">
        <f>++Tabla4[[#This Row],[U. Bruta Uni]]*Tabla4[[#This Row],[Cantidad]]</f>
        <v>#N/A</v>
      </c>
      <c r="T2985" s="369" t="str">
        <f>VLOOKUP(Tabla4[[#This Row],[Producto]],Tabla6[#All],14,FALSE)</f>
        <v>Termico Solar</v>
      </c>
      <c r="U2985" s="284" t="e">
        <f>(IF(Tabla4[[#This Row],[Familia]]="termico solar",Tabla4[[#This Row],[Utilidad Total]]*6%,Tabla4[[#This Row],[Utilidad Total]]*11.5%))/Tabla4[[#This Row],[Total]]</f>
        <v>#N/A</v>
      </c>
      <c r="V2985" s="282" t="e">
        <f>+Tabla4[[#This Row],[Comisión Calculada]]*Tabla4[[#This Row],[Total]]</f>
        <v>#N/A</v>
      </c>
    </row>
    <row r="2986" spans="1:22" hidden="1" x14ac:dyDescent="0.25">
      <c r="A2986" s="100">
        <v>45792</v>
      </c>
      <c r="B2986" t="str">
        <f t="shared" si="142"/>
        <v>May</v>
      </c>
      <c r="C2986" s="46" t="s">
        <v>280</v>
      </c>
      <c r="F2986" s="366" t="s">
        <v>1865</v>
      </c>
      <c r="G2986" s="46" t="s">
        <v>83</v>
      </c>
      <c r="H2986" s="46">
        <v>1</v>
      </c>
      <c r="I2986" s="51">
        <v>8858.76</v>
      </c>
      <c r="J2986" s="281">
        <f>++Tabla4[[#This Row],[Precio Bruto]]*1.16</f>
        <v>10276.161599999999</v>
      </c>
      <c r="K2986" s="281">
        <f>+Tabla4[[#This Row],[Precio Unitario Neto]]*Tabla4[[#Headers],[20.85%]]</f>
        <v>2142.5796935999997</v>
      </c>
      <c r="L2986" s="282">
        <f>++Tabla4[[#This Row],[Precio Unitario Neto]]-Tabla4[[#This Row],[20.85%]]</f>
        <v>8133.5819063999998</v>
      </c>
      <c r="M2986" s="282" t="e">
        <f>(INDEX(Tabla6[#All],MATCH(Tabla4[[#This Row],[Producto]],Tabla6[[#All],[PRODUCTO]],0),MATCH(Tabla4[[#This Row],[Mes]],Tabla6[#Headers],0)))*(1+Catalogos!$L$2)</f>
        <v>#N/A</v>
      </c>
      <c r="N2986" s="283" t="e">
        <f>+(Tabla4[[#This Row],[Precio Descontado]]-Tabla4[[#This Row],[Precio Base]])*Tabla4[[#This Row],[Cantidad]]</f>
        <v>#N/A</v>
      </c>
      <c r="O2986" s="284" t="e">
        <f>++Tabla4[[#This Row],[Utilidad Total]]/Tabla4[[#This Row],[Total]]</f>
        <v>#N/A</v>
      </c>
      <c r="P2986" s="282">
        <f>++Tabla4[[#This Row],[Precio Descontado]]*Tabla4[[#This Row],[Cantidad]]</f>
        <v>8133.5819063999998</v>
      </c>
      <c r="Q2986" s="282" t="e">
        <f>(INDEX(Tabla6[#All],MATCH(Tabla4[[#This Row],[Producto]],Tabla6[[#All],[PRODUCTO]],0),MATCH(Tabla4[[#This Row],[Mes]],Tabla6[#Headers],0)))</f>
        <v>#N/A</v>
      </c>
      <c r="R2986" s="282" t="e">
        <f>++Tabla4[[#This Row],[Precio Unitario Neto]]-Tabla4[[#This Row],[20.85%]]-Tabla4[[#This Row],[Costo]]</f>
        <v>#N/A</v>
      </c>
      <c r="S2986" s="282" t="e">
        <f>++Tabla4[[#This Row],[U. Bruta Uni]]*Tabla4[[#This Row],[Cantidad]]</f>
        <v>#N/A</v>
      </c>
      <c r="T2986" s="369" t="str">
        <f>VLOOKUP(Tabla4[[#This Row],[Producto]],Tabla6[#All],14,FALSE)</f>
        <v>Termico Solar</v>
      </c>
      <c r="U2986" s="284" t="e">
        <f>(IF(Tabla4[[#This Row],[Familia]]="termico solar",Tabla4[[#This Row],[Utilidad Total]]*6%,Tabla4[[#This Row],[Utilidad Total]]*11.5%))/Tabla4[[#This Row],[Total]]</f>
        <v>#N/A</v>
      </c>
      <c r="V2986" s="282" t="e">
        <f>+Tabla4[[#This Row],[Comisión Calculada]]*Tabla4[[#This Row],[Total]]</f>
        <v>#N/A</v>
      </c>
    </row>
    <row r="2987" spans="1:22" hidden="1" x14ac:dyDescent="0.25">
      <c r="A2987" s="100">
        <v>45792</v>
      </c>
      <c r="B2987" t="str">
        <f t="shared" si="142"/>
        <v>May</v>
      </c>
      <c r="C2987" s="46" t="s">
        <v>280</v>
      </c>
      <c r="F2987" s="366" t="s">
        <v>1865</v>
      </c>
      <c r="G2987" s="46" t="s">
        <v>18</v>
      </c>
      <c r="H2987" s="46">
        <v>3</v>
      </c>
      <c r="I2987" s="51">
        <v>5367.6500000000005</v>
      </c>
      <c r="J2987" s="281">
        <f>++Tabla4[[#This Row],[Precio Bruto]]*1.16</f>
        <v>6226.4740000000002</v>
      </c>
      <c r="K2987" s="281">
        <f>+Tabla4[[#This Row],[Precio Unitario Neto]]*Tabla4[[#Headers],[20.85%]]</f>
        <v>1298.2198289999999</v>
      </c>
      <c r="L2987" s="282">
        <f>++Tabla4[[#This Row],[Precio Unitario Neto]]-Tabla4[[#This Row],[20.85%]]</f>
        <v>4928.2541710000005</v>
      </c>
      <c r="M2987" s="282" t="e">
        <f>(INDEX(Tabla6[#All],MATCH(Tabla4[[#This Row],[Producto]],Tabla6[[#All],[PRODUCTO]],0),MATCH(Tabla4[[#This Row],[Mes]],Tabla6[#Headers],0)))*(1+Catalogos!$L$2)</f>
        <v>#N/A</v>
      </c>
      <c r="N2987" s="283" t="e">
        <f>+(Tabla4[[#This Row],[Precio Descontado]]-Tabla4[[#This Row],[Precio Base]])*Tabla4[[#This Row],[Cantidad]]</f>
        <v>#N/A</v>
      </c>
      <c r="O2987" s="284" t="e">
        <f>++Tabla4[[#This Row],[Utilidad Total]]/Tabla4[[#This Row],[Total]]</f>
        <v>#N/A</v>
      </c>
      <c r="P2987" s="282">
        <f>++Tabla4[[#This Row],[Precio Descontado]]*Tabla4[[#This Row],[Cantidad]]</f>
        <v>14784.762513000001</v>
      </c>
      <c r="Q2987" s="282" t="e">
        <f>(INDEX(Tabla6[#All],MATCH(Tabla4[[#This Row],[Producto]],Tabla6[[#All],[PRODUCTO]],0),MATCH(Tabla4[[#This Row],[Mes]],Tabla6[#Headers],0)))</f>
        <v>#N/A</v>
      </c>
      <c r="R2987" s="282" t="e">
        <f>++Tabla4[[#This Row],[Precio Unitario Neto]]-Tabla4[[#This Row],[20.85%]]-Tabla4[[#This Row],[Costo]]</f>
        <v>#N/A</v>
      </c>
      <c r="S2987" s="282" t="e">
        <f>++Tabla4[[#This Row],[U. Bruta Uni]]*Tabla4[[#This Row],[Cantidad]]</f>
        <v>#N/A</v>
      </c>
      <c r="T2987" s="369" t="str">
        <f>VLOOKUP(Tabla4[[#This Row],[Producto]],Tabla6[#All],14,FALSE)</f>
        <v>Termico Solar</v>
      </c>
      <c r="U2987" s="284" t="e">
        <f>(IF(Tabla4[[#This Row],[Familia]]="termico solar",Tabla4[[#This Row],[Utilidad Total]]*6%,Tabla4[[#This Row],[Utilidad Total]]*11.5%))/Tabla4[[#This Row],[Total]]</f>
        <v>#N/A</v>
      </c>
      <c r="V2987" s="282" t="e">
        <f>+Tabla4[[#This Row],[Comisión Calculada]]*Tabla4[[#This Row],[Total]]</f>
        <v>#N/A</v>
      </c>
    </row>
    <row r="2988" spans="1:22" hidden="1" x14ac:dyDescent="0.25">
      <c r="A2988" s="100">
        <v>45792</v>
      </c>
      <c r="B2988" t="str">
        <f t="shared" si="142"/>
        <v>May</v>
      </c>
      <c r="C2988" s="46" t="s">
        <v>280</v>
      </c>
      <c r="F2988" s="366" t="s">
        <v>1865</v>
      </c>
      <c r="G2988" s="46" t="s">
        <v>208</v>
      </c>
      <c r="H2988" s="46">
        <v>4</v>
      </c>
      <c r="I2988" s="51">
        <v>189.75</v>
      </c>
      <c r="J2988" s="281">
        <f>++Tabla4[[#This Row],[Precio Bruto]]*1.16</f>
        <v>220.10999999999999</v>
      </c>
      <c r="K2988" s="281">
        <f>+Tabla4[[#This Row],[Precio Unitario Neto]]*Tabla4[[#Headers],[20.85%]]</f>
        <v>45.892934999999994</v>
      </c>
      <c r="L2988" s="282">
        <f>++Tabla4[[#This Row],[Precio Unitario Neto]]-Tabla4[[#This Row],[20.85%]]</f>
        <v>174.21706499999999</v>
      </c>
      <c r="M2988" s="282" t="e">
        <f>(INDEX(Tabla6[#All],MATCH(Tabla4[[#This Row],[Producto]],Tabla6[[#All],[PRODUCTO]],0),MATCH(Tabla4[[#This Row],[Mes]],Tabla6[#Headers],0)))*(1+Catalogos!$L$2)</f>
        <v>#N/A</v>
      </c>
      <c r="N2988" s="283" t="e">
        <f>+(Tabla4[[#This Row],[Precio Descontado]]-Tabla4[[#This Row],[Precio Base]])*Tabla4[[#This Row],[Cantidad]]</f>
        <v>#N/A</v>
      </c>
      <c r="O2988" s="284" t="e">
        <f>++Tabla4[[#This Row],[Utilidad Total]]/Tabla4[[#This Row],[Total]]</f>
        <v>#N/A</v>
      </c>
      <c r="P2988" s="282">
        <f>++Tabla4[[#This Row],[Precio Descontado]]*Tabla4[[#This Row],[Cantidad]]</f>
        <v>696.86825999999996</v>
      </c>
      <c r="Q2988" s="282" t="e">
        <f>(INDEX(Tabla6[#All],MATCH(Tabla4[[#This Row],[Producto]],Tabla6[[#All],[PRODUCTO]],0),MATCH(Tabla4[[#This Row],[Mes]],Tabla6[#Headers],0)))</f>
        <v>#N/A</v>
      </c>
      <c r="R2988" s="282" t="e">
        <f>++Tabla4[[#This Row],[Precio Unitario Neto]]-Tabla4[[#This Row],[20.85%]]-Tabla4[[#This Row],[Costo]]</f>
        <v>#N/A</v>
      </c>
      <c r="S2988" s="282" t="e">
        <f>++Tabla4[[#This Row],[U. Bruta Uni]]*Tabla4[[#This Row],[Cantidad]]</f>
        <v>#N/A</v>
      </c>
      <c r="T2988" s="369" t="str">
        <f>VLOOKUP(Tabla4[[#This Row],[Producto]],Tabla6[#All],14,FALSE)</f>
        <v>Termico Solar</v>
      </c>
      <c r="U2988" s="284" t="e">
        <f>(IF(Tabla4[[#This Row],[Familia]]="termico solar",Tabla4[[#This Row],[Utilidad Total]]*6%,Tabla4[[#This Row],[Utilidad Total]]*11.5%))/Tabla4[[#This Row],[Total]]</f>
        <v>#N/A</v>
      </c>
      <c r="V2988" s="282" t="e">
        <f>+Tabla4[[#This Row],[Comisión Calculada]]*Tabla4[[#This Row],[Total]]</f>
        <v>#N/A</v>
      </c>
    </row>
    <row r="2989" spans="1:22" hidden="1" x14ac:dyDescent="0.25">
      <c r="A2989" s="100">
        <v>45792</v>
      </c>
      <c r="B2989" t="str">
        <f t="shared" si="142"/>
        <v>May</v>
      </c>
      <c r="C2989" s="46" t="s">
        <v>280</v>
      </c>
      <c r="F2989" s="366" t="s">
        <v>1866</v>
      </c>
      <c r="G2989" s="46" t="s">
        <v>17</v>
      </c>
      <c r="H2989" s="46">
        <v>1</v>
      </c>
      <c r="I2989" s="51">
        <v>4622.28</v>
      </c>
      <c r="J2989" s="281">
        <f>++Tabla4[[#This Row],[Precio Bruto]]*1.16</f>
        <v>5361.8447999999989</v>
      </c>
      <c r="K2989" s="281">
        <f>+Tabla4[[#This Row],[Precio Unitario Neto]]*Tabla4[[#Headers],[20.85%]]</f>
        <v>1117.9446407999997</v>
      </c>
      <c r="L2989" s="282">
        <f>++Tabla4[[#This Row],[Precio Unitario Neto]]-Tabla4[[#This Row],[20.85%]]</f>
        <v>4243.9001591999995</v>
      </c>
      <c r="M2989" s="282" t="e">
        <f>(INDEX(Tabla6[#All],MATCH(Tabla4[[#This Row],[Producto]],Tabla6[[#All],[PRODUCTO]],0),MATCH(Tabla4[[#This Row],[Mes]],Tabla6[#Headers],0)))*(1+Catalogos!$L$2)</f>
        <v>#N/A</v>
      </c>
      <c r="N2989" s="283" t="e">
        <f>+(Tabla4[[#This Row],[Precio Descontado]]-Tabla4[[#This Row],[Precio Base]])*Tabla4[[#This Row],[Cantidad]]</f>
        <v>#N/A</v>
      </c>
      <c r="O2989" s="284" t="e">
        <f>++Tabla4[[#This Row],[Utilidad Total]]/Tabla4[[#This Row],[Total]]</f>
        <v>#N/A</v>
      </c>
      <c r="P2989" s="282">
        <f>++Tabla4[[#This Row],[Precio Descontado]]*Tabla4[[#This Row],[Cantidad]]</f>
        <v>4243.9001591999995</v>
      </c>
      <c r="Q2989" s="282" t="e">
        <f>(INDEX(Tabla6[#All],MATCH(Tabla4[[#This Row],[Producto]],Tabla6[[#All],[PRODUCTO]],0),MATCH(Tabla4[[#This Row],[Mes]],Tabla6[#Headers],0)))</f>
        <v>#N/A</v>
      </c>
      <c r="R2989" s="282" t="e">
        <f>++Tabla4[[#This Row],[Precio Unitario Neto]]-Tabla4[[#This Row],[20.85%]]-Tabla4[[#This Row],[Costo]]</f>
        <v>#N/A</v>
      </c>
      <c r="S2989" s="282" t="e">
        <f>++Tabla4[[#This Row],[U. Bruta Uni]]*Tabla4[[#This Row],[Cantidad]]</f>
        <v>#N/A</v>
      </c>
      <c r="T2989" s="369" t="str">
        <f>VLOOKUP(Tabla4[[#This Row],[Producto]],Tabla6[#All],14,FALSE)</f>
        <v>Termico Solar</v>
      </c>
      <c r="U2989" s="284" t="e">
        <f>(IF(Tabla4[[#This Row],[Familia]]="termico solar",Tabla4[[#This Row],[Utilidad Total]]*6%,Tabla4[[#This Row],[Utilidad Total]]*11.5%))/Tabla4[[#This Row],[Total]]</f>
        <v>#N/A</v>
      </c>
      <c r="V2989" s="282" t="e">
        <f>+Tabla4[[#This Row],[Comisión Calculada]]*Tabla4[[#This Row],[Total]]</f>
        <v>#N/A</v>
      </c>
    </row>
    <row r="2990" spans="1:22" hidden="1" x14ac:dyDescent="0.25">
      <c r="A2990" s="100">
        <v>45792</v>
      </c>
      <c r="B2990" t="str">
        <f t="shared" si="142"/>
        <v>May</v>
      </c>
      <c r="C2990" s="46" t="s">
        <v>280</v>
      </c>
      <c r="F2990" s="366" t="s">
        <v>1867</v>
      </c>
      <c r="G2990" s="46" t="s">
        <v>394</v>
      </c>
      <c r="H2990" s="46">
        <v>16</v>
      </c>
      <c r="I2990" s="51">
        <v>224.29</v>
      </c>
      <c r="J2990" s="281">
        <f>++Tabla4[[#This Row],[Precio Bruto]]*1.16</f>
        <v>260.1764</v>
      </c>
      <c r="K2990" s="281">
        <f>+Tabla4[[#This Row],[Precio Unitario Neto]]*Tabla4[[#Headers],[20.85%]]</f>
        <v>54.246779400000001</v>
      </c>
      <c r="L2990" s="282">
        <f>++Tabla4[[#This Row],[Precio Unitario Neto]]-Tabla4[[#This Row],[20.85%]]</f>
        <v>205.92962059999999</v>
      </c>
      <c r="M2990" s="282" t="e">
        <f>(INDEX(Tabla6[#All],MATCH(Tabla4[[#This Row],[Producto]],Tabla6[[#All],[PRODUCTO]],0),MATCH(Tabla4[[#This Row],[Mes]],Tabla6[#Headers],0)))*(1+Catalogos!$L$2)</f>
        <v>#N/A</v>
      </c>
      <c r="N2990" s="283" t="e">
        <f>+(Tabla4[[#This Row],[Precio Descontado]]-Tabla4[[#This Row],[Precio Base]])*Tabla4[[#This Row],[Cantidad]]</f>
        <v>#N/A</v>
      </c>
      <c r="O2990" s="284" t="e">
        <f>++Tabla4[[#This Row],[Utilidad Total]]/Tabla4[[#This Row],[Total]]</f>
        <v>#N/A</v>
      </c>
      <c r="P2990" s="282">
        <f>++Tabla4[[#This Row],[Precio Descontado]]*Tabla4[[#This Row],[Cantidad]]</f>
        <v>3294.8739295999999</v>
      </c>
      <c r="Q2990" s="282" t="e">
        <f>(INDEX(Tabla6[#All],MATCH(Tabla4[[#This Row],[Producto]],Tabla6[[#All],[PRODUCTO]],0),MATCH(Tabla4[[#This Row],[Mes]],Tabla6[#Headers],0)))</f>
        <v>#N/A</v>
      </c>
      <c r="R2990" s="282" t="e">
        <f>++Tabla4[[#This Row],[Precio Unitario Neto]]-Tabla4[[#This Row],[20.85%]]-Tabla4[[#This Row],[Costo]]</f>
        <v>#N/A</v>
      </c>
      <c r="S2990" s="282" t="e">
        <f>++Tabla4[[#This Row],[U. Bruta Uni]]*Tabla4[[#This Row],[Cantidad]]</f>
        <v>#N/A</v>
      </c>
      <c r="T2990" s="369" t="str">
        <f>VLOOKUP(Tabla4[[#This Row],[Producto]],Tabla6[#All],14,FALSE)</f>
        <v>Termico Solar</v>
      </c>
      <c r="U2990" s="284" t="e">
        <f>(IF(Tabla4[[#This Row],[Familia]]="termico solar",Tabla4[[#This Row],[Utilidad Total]]*6%,Tabla4[[#This Row],[Utilidad Total]]*11.5%))/Tabla4[[#This Row],[Total]]</f>
        <v>#N/A</v>
      </c>
      <c r="V2990" s="282" t="e">
        <f>+Tabla4[[#This Row],[Comisión Calculada]]*Tabla4[[#This Row],[Total]]</f>
        <v>#N/A</v>
      </c>
    </row>
    <row r="2991" spans="1:22" hidden="1" x14ac:dyDescent="0.25">
      <c r="A2991" s="100">
        <v>45792</v>
      </c>
      <c r="B2991" t="str">
        <f t="shared" si="142"/>
        <v>May</v>
      </c>
      <c r="C2991" s="46" t="s">
        <v>280</v>
      </c>
      <c r="F2991" s="366" t="s">
        <v>1867</v>
      </c>
      <c r="G2991" s="46" t="s">
        <v>209</v>
      </c>
      <c r="H2991" s="46">
        <v>5</v>
      </c>
      <c r="I2991" s="51">
        <v>347.48</v>
      </c>
      <c r="J2991" s="281">
        <f>++Tabla4[[#This Row],[Precio Bruto]]*1.16</f>
        <v>403.07679999999999</v>
      </c>
      <c r="K2991" s="281">
        <f>+Tabla4[[#This Row],[Precio Unitario Neto]]*Tabla4[[#Headers],[20.85%]]</f>
        <v>84.041512799999992</v>
      </c>
      <c r="L2991" s="282">
        <f>++Tabla4[[#This Row],[Precio Unitario Neto]]-Tabla4[[#This Row],[20.85%]]</f>
        <v>319.03528719999997</v>
      </c>
      <c r="M2991" s="282" t="e">
        <f>(INDEX(Tabla6[#All],MATCH(Tabla4[[#This Row],[Producto]],Tabla6[[#All],[PRODUCTO]],0),MATCH(Tabla4[[#This Row],[Mes]],Tabla6[#Headers],0)))*(1+Catalogos!$L$2)</f>
        <v>#N/A</v>
      </c>
      <c r="N2991" s="283" t="e">
        <f>+(Tabla4[[#This Row],[Precio Descontado]]-Tabla4[[#This Row],[Precio Base]])*Tabla4[[#This Row],[Cantidad]]</f>
        <v>#N/A</v>
      </c>
      <c r="O2991" s="284" t="e">
        <f>++Tabla4[[#This Row],[Utilidad Total]]/Tabla4[[#This Row],[Total]]</f>
        <v>#N/A</v>
      </c>
      <c r="P2991" s="282">
        <f>++Tabla4[[#This Row],[Precio Descontado]]*Tabla4[[#This Row],[Cantidad]]</f>
        <v>1595.1764359999997</v>
      </c>
      <c r="Q2991" s="282" t="e">
        <f>(INDEX(Tabla6[#All],MATCH(Tabla4[[#This Row],[Producto]],Tabla6[[#All],[PRODUCTO]],0),MATCH(Tabla4[[#This Row],[Mes]],Tabla6[#Headers],0)))</f>
        <v>#N/A</v>
      </c>
      <c r="R2991" s="282" t="e">
        <f>++Tabla4[[#This Row],[Precio Unitario Neto]]-Tabla4[[#This Row],[20.85%]]-Tabla4[[#This Row],[Costo]]</f>
        <v>#N/A</v>
      </c>
      <c r="S2991" s="282" t="e">
        <f>++Tabla4[[#This Row],[U. Bruta Uni]]*Tabla4[[#This Row],[Cantidad]]</f>
        <v>#N/A</v>
      </c>
      <c r="T2991" s="369" t="str">
        <f>VLOOKUP(Tabla4[[#This Row],[Producto]],Tabla6[#All],14,FALSE)</f>
        <v>Termico Solar</v>
      </c>
      <c r="U2991" s="284" t="e">
        <f>(IF(Tabla4[[#This Row],[Familia]]="termico solar",Tabla4[[#This Row],[Utilidad Total]]*6%,Tabla4[[#This Row],[Utilidad Total]]*11.5%))/Tabla4[[#This Row],[Total]]</f>
        <v>#N/A</v>
      </c>
      <c r="V2991" s="282" t="e">
        <f>+Tabla4[[#This Row],[Comisión Calculada]]*Tabla4[[#This Row],[Total]]</f>
        <v>#N/A</v>
      </c>
    </row>
    <row r="2992" spans="1:22" hidden="1" x14ac:dyDescent="0.25">
      <c r="A2992" s="100">
        <v>45792</v>
      </c>
      <c r="B2992" t="str">
        <f t="shared" si="142"/>
        <v>May</v>
      </c>
      <c r="C2992" s="46" t="s">
        <v>280</v>
      </c>
      <c r="F2992" s="366" t="s">
        <v>1868</v>
      </c>
      <c r="G2992" s="46" t="s">
        <v>83</v>
      </c>
      <c r="H2992" s="46">
        <v>2</v>
      </c>
      <c r="I2992" s="51">
        <v>8858.76</v>
      </c>
      <c r="J2992" s="281">
        <f>++Tabla4[[#This Row],[Precio Bruto]]*1.16</f>
        <v>10276.161599999999</v>
      </c>
      <c r="K2992" s="281">
        <f>+Tabla4[[#This Row],[Precio Unitario Neto]]*Tabla4[[#Headers],[20.85%]]</f>
        <v>2142.5796935999997</v>
      </c>
      <c r="L2992" s="282">
        <f>++Tabla4[[#This Row],[Precio Unitario Neto]]-Tabla4[[#This Row],[20.85%]]</f>
        <v>8133.5819063999998</v>
      </c>
      <c r="M2992" s="282" t="e">
        <f>(INDEX(Tabla6[#All],MATCH(Tabla4[[#This Row],[Producto]],Tabla6[[#All],[PRODUCTO]],0),MATCH(Tabla4[[#This Row],[Mes]],Tabla6[#Headers],0)))*(1+Catalogos!$L$2)</f>
        <v>#N/A</v>
      </c>
      <c r="N2992" s="283" t="e">
        <f>+(Tabla4[[#This Row],[Precio Descontado]]-Tabla4[[#This Row],[Precio Base]])*Tabla4[[#This Row],[Cantidad]]</f>
        <v>#N/A</v>
      </c>
      <c r="O2992" s="284" t="e">
        <f>++Tabla4[[#This Row],[Utilidad Total]]/Tabla4[[#This Row],[Total]]</f>
        <v>#N/A</v>
      </c>
      <c r="P2992" s="282">
        <f>++Tabla4[[#This Row],[Precio Descontado]]*Tabla4[[#This Row],[Cantidad]]</f>
        <v>16267.1638128</v>
      </c>
      <c r="Q2992" s="282" t="e">
        <f>(INDEX(Tabla6[#All],MATCH(Tabla4[[#This Row],[Producto]],Tabla6[[#All],[PRODUCTO]],0),MATCH(Tabla4[[#This Row],[Mes]],Tabla6[#Headers],0)))</f>
        <v>#N/A</v>
      </c>
      <c r="R2992" s="282" t="e">
        <f>++Tabla4[[#This Row],[Precio Unitario Neto]]-Tabla4[[#This Row],[20.85%]]-Tabla4[[#This Row],[Costo]]</f>
        <v>#N/A</v>
      </c>
      <c r="S2992" s="282" t="e">
        <f>++Tabla4[[#This Row],[U. Bruta Uni]]*Tabla4[[#This Row],[Cantidad]]</f>
        <v>#N/A</v>
      </c>
      <c r="T2992" s="369" t="str">
        <f>VLOOKUP(Tabla4[[#This Row],[Producto]],Tabla6[#All],14,FALSE)</f>
        <v>Termico Solar</v>
      </c>
      <c r="U2992" s="284" t="e">
        <f>(IF(Tabla4[[#This Row],[Familia]]="termico solar",Tabla4[[#This Row],[Utilidad Total]]*6%,Tabla4[[#This Row],[Utilidad Total]]*11.5%))/Tabla4[[#This Row],[Total]]</f>
        <v>#N/A</v>
      </c>
      <c r="V2992" s="282" t="e">
        <f>+Tabla4[[#This Row],[Comisión Calculada]]*Tabla4[[#This Row],[Total]]</f>
        <v>#N/A</v>
      </c>
    </row>
    <row r="2993" spans="1:22" hidden="1" x14ac:dyDescent="0.25">
      <c r="A2993" s="100">
        <v>45792</v>
      </c>
      <c r="B2993" t="str">
        <f t="shared" si="142"/>
        <v>May</v>
      </c>
      <c r="C2993" s="46" t="s">
        <v>280</v>
      </c>
      <c r="F2993" s="366" t="s">
        <v>1868</v>
      </c>
      <c r="G2993" s="46" t="s">
        <v>17</v>
      </c>
      <c r="H2993" s="46">
        <v>2</v>
      </c>
      <c r="I2993" s="51">
        <v>4622.28</v>
      </c>
      <c r="J2993" s="281">
        <f>++Tabla4[[#This Row],[Precio Bruto]]*1.16</f>
        <v>5361.8447999999989</v>
      </c>
      <c r="K2993" s="281">
        <f>+Tabla4[[#This Row],[Precio Unitario Neto]]*Tabla4[[#Headers],[20.85%]]</f>
        <v>1117.9446407999997</v>
      </c>
      <c r="L2993" s="282">
        <f>++Tabla4[[#This Row],[Precio Unitario Neto]]-Tabla4[[#This Row],[20.85%]]</f>
        <v>4243.9001591999995</v>
      </c>
      <c r="M2993" s="282" t="e">
        <f>(INDEX(Tabla6[#All],MATCH(Tabla4[[#This Row],[Producto]],Tabla6[[#All],[PRODUCTO]],0),MATCH(Tabla4[[#This Row],[Mes]],Tabla6[#Headers],0)))*(1+Catalogos!$L$2)</f>
        <v>#N/A</v>
      </c>
      <c r="N2993" s="283" t="e">
        <f>+(Tabla4[[#This Row],[Precio Descontado]]-Tabla4[[#This Row],[Precio Base]])*Tabla4[[#This Row],[Cantidad]]</f>
        <v>#N/A</v>
      </c>
      <c r="O2993" s="284" t="e">
        <f>++Tabla4[[#This Row],[Utilidad Total]]/Tabla4[[#This Row],[Total]]</f>
        <v>#N/A</v>
      </c>
      <c r="P2993" s="282">
        <f>++Tabla4[[#This Row],[Precio Descontado]]*Tabla4[[#This Row],[Cantidad]]</f>
        <v>8487.800318399999</v>
      </c>
      <c r="Q2993" s="282" t="e">
        <f>(INDEX(Tabla6[#All],MATCH(Tabla4[[#This Row],[Producto]],Tabla6[[#All],[PRODUCTO]],0),MATCH(Tabla4[[#This Row],[Mes]],Tabla6[#Headers],0)))</f>
        <v>#N/A</v>
      </c>
      <c r="R2993" s="282" t="e">
        <f>++Tabla4[[#This Row],[Precio Unitario Neto]]-Tabla4[[#This Row],[20.85%]]-Tabla4[[#This Row],[Costo]]</f>
        <v>#N/A</v>
      </c>
      <c r="S2993" s="282" t="e">
        <f>++Tabla4[[#This Row],[U. Bruta Uni]]*Tabla4[[#This Row],[Cantidad]]</f>
        <v>#N/A</v>
      </c>
      <c r="T2993" s="369" t="str">
        <f>VLOOKUP(Tabla4[[#This Row],[Producto]],Tabla6[#All],14,FALSE)</f>
        <v>Termico Solar</v>
      </c>
      <c r="U2993" s="284" t="e">
        <f>(IF(Tabla4[[#This Row],[Familia]]="termico solar",Tabla4[[#This Row],[Utilidad Total]]*6%,Tabla4[[#This Row],[Utilidad Total]]*11.5%))/Tabla4[[#This Row],[Total]]</f>
        <v>#N/A</v>
      </c>
      <c r="V2993" s="282" t="e">
        <f>+Tabla4[[#This Row],[Comisión Calculada]]*Tabla4[[#This Row],[Total]]</f>
        <v>#N/A</v>
      </c>
    </row>
    <row r="2994" spans="1:22" hidden="1" x14ac:dyDescent="0.25">
      <c r="A2994" s="100">
        <v>45792</v>
      </c>
      <c r="B2994" t="str">
        <f t="shared" si="142"/>
        <v>May</v>
      </c>
      <c r="C2994" s="46" t="s">
        <v>280</v>
      </c>
      <c r="F2994" s="366" t="s">
        <v>1868</v>
      </c>
      <c r="G2994" s="46" t="s">
        <v>18</v>
      </c>
      <c r="H2994" s="46">
        <v>2</v>
      </c>
      <c r="I2994" s="51">
        <v>5367.65</v>
      </c>
      <c r="J2994" s="281">
        <f>++Tabla4[[#This Row],[Precio Bruto]]*1.16</f>
        <v>6226.4739999999993</v>
      </c>
      <c r="K2994" s="281">
        <f>+Tabla4[[#This Row],[Precio Unitario Neto]]*Tabla4[[#Headers],[20.85%]]</f>
        <v>1298.2198289999999</v>
      </c>
      <c r="L2994" s="282">
        <f>++Tabla4[[#This Row],[Precio Unitario Neto]]-Tabla4[[#This Row],[20.85%]]</f>
        <v>4928.2541709999996</v>
      </c>
      <c r="M2994" s="282" t="e">
        <f>(INDEX(Tabla6[#All],MATCH(Tabla4[[#This Row],[Producto]],Tabla6[[#All],[PRODUCTO]],0),MATCH(Tabla4[[#This Row],[Mes]],Tabla6[#Headers],0)))*(1+Catalogos!$L$2)</f>
        <v>#N/A</v>
      </c>
      <c r="N2994" s="283" t="e">
        <f>+(Tabla4[[#This Row],[Precio Descontado]]-Tabla4[[#This Row],[Precio Base]])*Tabla4[[#This Row],[Cantidad]]</f>
        <v>#N/A</v>
      </c>
      <c r="O2994" s="284" t="e">
        <f>++Tabla4[[#This Row],[Utilidad Total]]/Tabla4[[#This Row],[Total]]</f>
        <v>#N/A</v>
      </c>
      <c r="P2994" s="282">
        <f>++Tabla4[[#This Row],[Precio Descontado]]*Tabla4[[#This Row],[Cantidad]]</f>
        <v>9856.5083419999992</v>
      </c>
      <c r="Q2994" s="282" t="e">
        <f>(INDEX(Tabla6[#All],MATCH(Tabla4[[#This Row],[Producto]],Tabla6[[#All],[PRODUCTO]],0),MATCH(Tabla4[[#This Row],[Mes]],Tabla6[#Headers],0)))</f>
        <v>#N/A</v>
      </c>
      <c r="R2994" s="282" t="e">
        <f>++Tabla4[[#This Row],[Precio Unitario Neto]]-Tabla4[[#This Row],[20.85%]]-Tabla4[[#This Row],[Costo]]</f>
        <v>#N/A</v>
      </c>
      <c r="S2994" s="282" t="e">
        <f>++Tabla4[[#This Row],[U. Bruta Uni]]*Tabla4[[#This Row],[Cantidad]]</f>
        <v>#N/A</v>
      </c>
      <c r="T2994" s="369" t="str">
        <f>VLOOKUP(Tabla4[[#This Row],[Producto]],Tabla6[#All],14,FALSE)</f>
        <v>Termico Solar</v>
      </c>
      <c r="U2994" s="284" t="e">
        <f>(IF(Tabla4[[#This Row],[Familia]]="termico solar",Tabla4[[#This Row],[Utilidad Total]]*6%,Tabla4[[#This Row],[Utilidad Total]]*11.5%))/Tabla4[[#This Row],[Total]]</f>
        <v>#N/A</v>
      </c>
      <c r="V2994" s="282" t="e">
        <f>+Tabla4[[#This Row],[Comisión Calculada]]*Tabla4[[#This Row],[Total]]</f>
        <v>#N/A</v>
      </c>
    </row>
    <row r="2995" spans="1:22" hidden="1" x14ac:dyDescent="0.25">
      <c r="A2995" s="100">
        <v>45792</v>
      </c>
      <c r="B2995" t="str">
        <f t="shared" si="142"/>
        <v>May</v>
      </c>
      <c r="C2995" s="46" t="s">
        <v>280</v>
      </c>
      <c r="F2995" s="366" t="s">
        <v>1868</v>
      </c>
      <c r="G2995" s="46" t="s">
        <v>208</v>
      </c>
      <c r="H2995" s="46">
        <v>1</v>
      </c>
      <c r="I2995" s="51">
        <v>189.75</v>
      </c>
      <c r="J2995" s="281">
        <f>++Tabla4[[#This Row],[Precio Bruto]]*1.16</f>
        <v>220.10999999999999</v>
      </c>
      <c r="K2995" s="281">
        <f>+Tabla4[[#This Row],[Precio Unitario Neto]]*Tabla4[[#Headers],[20.85%]]</f>
        <v>45.892934999999994</v>
      </c>
      <c r="L2995" s="282">
        <f>++Tabla4[[#This Row],[Precio Unitario Neto]]-Tabla4[[#This Row],[20.85%]]</f>
        <v>174.21706499999999</v>
      </c>
      <c r="M2995" s="282" t="e">
        <f>(INDEX(Tabla6[#All],MATCH(Tabla4[[#This Row],[Producto]],Tabla6[[#All],[PRODUCTO]],0),MATCH(Tabla4[[#This Row],[Mes]],Tabla6[#Headers],0)))*(1+Catalogos!$L$2)</f>
        <v>#N/A</v>
      </c>
      <c r="N2995" s="283" t="e">
        <f>+(Tabla4[[#This Row],[Precio Descontado]]-Tabla4[[#This Row],[Precio Base]])*Tabla4[[#This Row],[Cantidad]]</f>
        <v>#N/A</v>
      </c>
      <c r="O2995" s="284" t="e">
        <f>++Tabla4[[#This Row],[Utilidad Total]]/Tabla4[[#This Row],[Total]]</f>
        <v>#N/A</v>
      </c>
      <c r="P2995" s="282">
        <f>++Tabla4[[#This Row],[Precio Descontado]]*Tabla4[[#This Row],[Cantidad]]</f>
        <v>174.21706499999999</v>
      </c>
      <c r="Q2995" s="282" t="e">
        <f>(INDEX(Tabla6[#All],MATCH(Tabla4[[#This Row],[Producto]],Tabla6[[#All],[PRODUCTO]],0),MATCH(Tabla4[[#This Row],[Mes]],Tabla6[#Headers],0)))</f>
        <v>#N/A</v>
      </c>
      <c r="R2995" s="282" t="e">
        <f>++Tabla4[[#This Row],[Precio Unitario Neto]]-Tabla4[[#This Row],[20.85%]]-Tabla4[[#This Row],[Costo]]</f>
        <v>#N/A</v>
      </c>
      <c r="S2995" s="282" t="e">
        <f>++Tabla4[[#This Row],[U. Bruta Uni]]*Tabla4[[#This Row],[Cantidad]]</f>
        <v>#N/A</v>
      </c>
      <c r="T2995" s="369" t="str">
        <f>VLOOKUP(Tabla4[[#This Row],[Producto]],Tabla6[#All],14,FALSE)</f>
        <v>Termico Solar</v>
      </c>
      <c r="U2995" s="284" t="e">
        <f>(IF(Tabla4[[#This Row],[Familia]]="termico solar",Tabla4[[#This Row],[Utilidad Total]]*6%,Tabla4[[#This Row],[Utilidad Total]]*11.5%))/Tabla4[[#This Row],[Total]]</f>
        <v>#N/A</v>
      </c>
      <c r="V2995" s="282" t="e">
        <f>+Tabla4[[#This Row],[Comisión Calculada]]*Tabla4[[#This Row],[Total]]</f>
        <v>#N/A</v>
      </c>
    </row>
    <row r="2996" spans="1:22" hidden="1" x14ac:dyDescent="0.25">
      <c r="A2996" s="100">
        <v>45792</v>
      </c>
      <c r="B2996" t="str">
        <f t="shared" si="142"/>
        <v>May</v>
      </c>
      <c r="C2996" s="46" t="s">
        <v>280</v>
      </c>
      <c r="F2996" s="366" t="s">
        <v>1869</v>
      </c>
      <c r="G2996" s="46" t="s">
        <v>83</v>
      </c>
      <c r="H2996" s="46">
        <v>2</v>
      </c>
      <c r="I2996" s="51">
        <v>8858.76</v>
      </c>
      <c r="J2996" s="281">
        <f>++Tabla4[[#This Row],[Precio Bruto]]*1.16</f>
        <v>10276.161599999999</v>
      </c>
      <c r="K2996" s="281">
        <f>+Tabla4[[#This Row],[Precio Unitario Neto]]*Tabla4[[#Headers],[20.85%]]</f>
        <v>2142.5796935999997</v>
      </c>
      <c r="L2996" s="282">
        <f>++Tabla4[[#This Row],[Precio Unitario Neto]]-Tabla4[[#This Row],[20.85%]]</f>
        <v>8133.5819063999998</v>
      </c>
      <c r="M2996" s="282" t="e">
        <f>(INDEX(Tabla6[#All],MATCH(Tabla4[[#This Row],[Producto]],Tabla6[[#All],[PRODUCTO]],0),MATCH(Tabla4[[#This Row],[Mes]],Tabla6[#Headers],0)))*(1+Catalogos!$L$2)</f>
        <v>#N/A</v>
      </c>
      <c r="N2996" s="283" t="e">
        <f>+(Tabla4[[#This Row],[Precio Descontado]]-Tabla4[[#This Row],[Precio Base]])*Tabla4[[#This Row],[Cantidad]]</f>
        <v>#N/A</v>
      </c>
      <c r="O2996" s="284" t="e">
        <f>++Tabla4[[#This Row],[Utilidad Total]]/Tabla4[[#This Row],[Total]]</f>
        <v>#N/A</v>
      </c>
      <c r="P2996" s="282">
        <f>++Tabla4[[#This Row],[Precio Descontado]]*Tabla4[[#This Row],[Cantidad]]</f>
        <v>16267.1638128</v>
      </c>
      <c r="Q2996" s="282" t="e">
        <f>(INDEX(Tabla6[#All],MATCH(Tabla4[[#This Row],[Producto]],Tabla6[[#All],[PRODUCTO]],0),MATCH(Tabla4[[#This Row],[Mes]],Tabla6[#Headers],0)))</f>
        <v>#N/A</v>
      </c>
      <c r="R2996" s="282" t="e">
        <f>++Tabla4[[#This Row],[Precio Unitario Neto]]-Tabla4[[#This Row],[20.85%]]-Tabla4[[#This Row],[Costo]]</f>
        <v>#N/A</v>
      </c>
      <c r="S2996" s="282" t="e">
        <f>++Tabla4[[#This Row],[U. Bruta Uni]]*Tabla4[[#This Row],[Cantidad]]</f>
        <v>#N/A</v>
      </c>
      <c r="T2996" s="369" t="str">
        <f>VLOOKUP(Tabla4[[#This Row],[Producto]],Tabla6[#All],14,FALSE)</f>
        <v>Termico Solar</v>
      </c>
      <c r="U2996" s="284" t="e">
        <f>(IF(Tabla4[[#This Row],[Familia]]="termico solar",Tabla4[[#This Row],[Utilidad Total]]*6%,Tabla4[[#This Row],[Utilidad Total]]*11.5%))/Tabla4[[#This Row],[Total]]</f>
        <v>#N/A</v>
      </c>
      <c r="V2996" s="282" t="e">
        <f>+Tabla4[[#This Row],[Comisión Calculada]]*Tabla4[[#This Row],[Total]]</f>
        <v>#N/A</v>
      </c>
    </row>
    <row r="2997" spans="1:22" hidden="1" x14ac:dyDescent="0.25">
      <c r="A2997" s="100">
        <v>45792</v>
      </c>
      <c r="B2997" t="str">
        <f t="shared" si="142"/>
        <v>May</v>
      </c>
      <c r="C2997" s="46" t="s">
        <v>280</v>
      </c>
      <c r="F2997" s="366" t="s">
        <v>1869</v>
      </c>
      <c r="G2997" s="46" t="s">
        <v>17</v>
      </c>
      <c r="H2997" s="46">
        <v>1</v>
      </c>
      <c r="I2997" s="51">
        <v>4622.28</v>
      </c>
      <c r="J2997" s="281">
        <f>++Tabla4[[#This Row],[Precio Bruto]]*1.16</f>
        <v>5361.8447999999989</v>
      </c>
      <c r="K2997" s="281">
        <f>+Tabla4[[#This Row],[Precio Unitario Neto]]*Tabla4[[#Headers],[20.85%]]</f>
        <v>1117.9446407999997</v>
      </c>
      <c r="L2997" s="282">
        <f>++Tabla4[[#This Row],[Precio Unitario Neto]]-Tabla4[[#This Row],[20.85%]]</f>
        <v>4243.9001591999995</v>
      </c>
      <c r="M2997" s="282" t="e">
        <f>(INDEX(Tabla6[#All],MATCH(Tabla4[[#This Row],[Producto]],Tabla6[[#All],[PRODUCTO]],0),MATCH(Tabla4[[#This Row],[Mes]],Tabla6[#Headers],0)))*(1+Catalogos!$L$2)</f>
        <v>#N/A</v>
      </c>
      <c r="N2997" s="283" t="e">
        <f>+(Tabla4[[#This Row],[Precio Descontado]]-Tabla4[[#This Row],[Precio Base]])*Tabla4[[#This Row],[Cantidad]]</f>
        <v>#N/A</v>
      </c>
      <c r="O2997" s="284" t="e">
        <f>++Tabla4[[#This Row],[Utilidad Total]]/Tabla4[[#This Row],[Total]]</f>
        <v>#N/A</v>
      </c>
      <c r="P2997" s="282">
        <f>++Tabla4[[#This Row],[Precio Descontado]]*Tabla4[[#This Row],[Cantidad]]</f>
        <v>4243.9001591999995</v>
      </c>
      <c r="Q2997" s="282" t="e">
        <f>(INDEX(Tabla6[#All],MATCH(Tabla4[[#This Row],[Producto]],Tabla6[[#All],[PRODUCTO]],0),MATCH(Tabla4[[#This Row],[Mes]],Tabla6[#Headers],0)))</f>
        <v>#N/A</v>
      </c>
      <c r="R2997" s="282" t="e">
        <f>++Tabla4[[#This Row],[Precio Unitario Neto]]-Tabla4[[#This Row],[20.85%]]-Tabla4[[#This Row],[Costo]]</f>
        <v>#N/A</v>
      </c>
      <c r="S2997" s="282" t="e">
        <f>++Tabla4[[#This Row],[U. Bruta Uni]]*Tabla4[[#This Row],[Cantidad]]</f>
        <v>#N/A</v>
      </c>
      <c r="T2997" s="369" t="str">
        <f>VLOOKUP(Tabla4[[#This Row],[Producto]],Tabla6[#All],14,FALSE)</f>
        <v>Termico Solar</v>
      </c>
      <c r="U2997" s="284" t="e">
        <f>(IF(Tabla4[[#This Row],[Familia]]="termico solar",Tabla4[[#This Row],[Utilidad Total]]*6%,Tabla4[[#This Row],[Utilidad Total]]*11.5%))/Tabla4[[#This Row],[Total]]</f>
        <v>#N/A</v>
      </c>
      <c r="V2997" s="282" t="e">
        <f>+Tabla4[[#This Row],[Comisión Calculada]]*Tabla4[[#This Row],[Total]]</f>
        <v>#N/A</v>
      </c>
    </row>
    <row r="2998" spans="1:22" hidden="1" x14ac:dyDescent="0.25">
      <c r="A2998" s="100">
        <v>45792</v>
      </c>
      <c r="B2998" t="str">
        <f t="shared" si="142"/>
        <v>May</v>
      </c>
      <c r="C2998" s="46" t="s">
        <v>280</v>
      </c>
      <c r="F2998" s="366" t="s">
        <v>1869</v>
      </c>
      <c r="G2998" s="46" t="s">
        <v>18</v>
      </c>
      <c r="H2998" s="46">
        <v>2</v>
      </c>
      <c r="I2998" s="51">
        <v>5367.65</v>
      </c>
      <c r="J2998" s="281">
        <f>++Tabla4[[#This Row],[Precio Bruto]]*1.16</f>
        <v>6226.4739999999993</v>
      </c>
      <c r="K2998" s="281">
        <f>+Tabla4[[#This Row],[Precio Unitario Neto]]*Tabla4[[#Headers],[20.85%]]</f>
        <v>1298.2198289999999</v>
      </c>
      <c r="L2998" s="282">
        <f>++Tabla4[[#This Row],[Precio Unitario Neto]]-Tabla4[[#This Row],[20.85%]]</f>
        <v>4928.2541709999996</v>
      </c>
      <c r="M2998" s="282" t="e">
        <f>(INDEX(Tabla6[#All],MATCH(Tabla4[[#This Row],[Producto]],Tabla6[[#All],[PRODUCTO]],0),MATCH(Tabla4[[#This Row],[Mes]],Tabla6[#Headers],0)))*(1+Catalogos!$L$2)</f>
        <v>#N/A</v>
      </c>
      <c r="N2998" s="283" t="e">
        <f>+(Tabla4[[#This Row],[Precio Descontado]]-Tabla4[[#This Row],[Precio Base]])*Tabla4[[#This Row],[Cantidad]]</f>
        <v>#N/A</v>
      </c>
      <c r="O2998" s="284" t="e">
        <f>++Tabla4[[#This Row],[Utilidad Total]]/Tabla4[[#This Row],[Total]]</f>
        <v>#N/A</v>
      </c>
      <c r="P2998" s="282">
        <f>++Tabla4[[#This Row],[Precio Descontado]]*Tabla4[[#This Row],[Cantidad]]</f>
        <v>9856.5083419999992</v>
      </c>
      <c r="Q2998" s="282" t="e">
        <f>(INDEX(Tabla6[#All],MATCH(Tabla4[[#This Row],[Producto]],Tabla6[[#All],[PRODUCTO]],0),MATCH(Tabla4[[#This Row],[Mes]],Tabla6[#Headers],0)))</f>
        <v>#N/A</v>
      </c>
      <c r="R2998" s="282" t="e">
        <f>++Tabla4[[#This Row],[Precio Unitario Neto]]-Tabla4[[#This Row],[20.85%]]-Tabla4[[#This Row],[Costo]]</f>
        <v>#N/A</v>
      </c>
      <c r="S2998" s="282" t="e">
        <f>++Tabla4[[#This Row],[U. Bruta Uni]]*Tabla4[[#This Row],[Cantidad]]</f>
        <v>#N/A</v>
      </c>
      <c r="T2998" s="369" t="str">
        <f>VLOOKUP(Tabla4[[#This Row],[Producto]],Tabla6[#All],14,FALSE)</f>
        <v>Termico Solar</v>
      </c>
      <c r="U2998" s="284" t="e">
        <f>(IF(Tabla4[[#This Row],[Familia]]="termico solar",Tabla4[[#This Row],[Utilidad Total]]*6%,Tabla4[[#This Row],[Utilidad Total]]*11.5%))/Tabla4[[#This Row],[Total]]</f>
        <v>#N/A</v>
      </c>
      <c r="V2998" s="282" t="e">
        <f>+Tabla4[[#This Row],[Comisión Calculada]]*Tabla4[[#This Row],[Total]]</f>
        <v>#N/A</v>
      </c>
    </row>
    <row r="2999" spans="1:22" hidden="1" x14ac:dyDescent="0.25">
      <c r="A2999" s="100">
        <v>45792</v>
      </c>
      <c r="B2999" t="str">
        <f t="shared" si="142"/>
        <v>May</v>
      </c>
      <c r="C2999" s="46" t="s">
        <v>280</v>
      </c>
      <c r="F2999" s="366" t="s">
        <v>1869</v>
      </c>
      <c r="G2999" s="46" t="s">
        <v>208</v>
      </c>
      <c r="H2999" s="46">
        <v>2</v>
      </c>
      <c r="I2999" s="51">
        <v>189.75</v>
      </c>
      <c r="J2999" s="281">
        <f>++Tabla4[[#This Row],[Precio Bruto]]*1.16</f>
        <v>220.10999999999999</v>
      </c>
      <c r="K2999" s="281">
        <f>+Tabla4[[#This Row],[Precio Unitario Neto]]*Tabla4[[#Headers],[20.85%]]</f>
        <v>45.892934999999994</v>
      </c>
      <c r="L2999" s="282">
        <f>++Tabla4[[#This Row],[Precio Unitario Neto]]-Tabla4[[#This Row],[20.85%]]</f>
        <v>174.21706499999999</v>
      </c>
      <c r="M2999" s="282" t="e">
        <f>(INDEX(Tabla6[#All],MATCH(Tabla4[[#This Row],[Producto]],Tabla6[[#All],[PRODUCTO]],0),MATCH(Tabla4[[#This Row],[Mes]],Tabla6[#Headers],0)))*(1+Catalogos!$L$2)</f>
        <v>#N/A</v>
      </c>
      <c r="N2999" s="283" t="e">
        <f>+(Tabla4[[#This Row],[Precio Descontado]]-Tabla4[[#This Row],[Precio Base]])*Tabla4[[#This Row],[Cantidad]]</f>
        <v>#N/A</v>
      </c>
      <c r="O2999" s="284" t="e">
        <f>++Tabla4[[#This Row],[Utilidad Total]]/Tabla4[[#This Row],[Total]]</f>
        <v>#N/A</v>
      </c>
      <c r="P2999" s="282">
        <f>++Tabla4[[#This Row],[Precio Descontado]]*Tabla4[[#This Row],[Cantidad]]</f>
        <v>348.43412999999998</v>
      </c>
      <c r="Q2999" s="282" t="e">
        <f>(INDEX(Tabla6[#All],MATCH(Tabla4[[#This Row],[Producto]],Tabla6[[#All],[PRODUCTO]],0),MATCH(Tabla4[[#This Row],[Mes]],Tabla6[#Headers],0)))</f>
        <v>#N/A</v>
      </c>
      <c r="R2999" s="282" t="e">
        <f>++Tabla4[[#This Row],[Precio Unitario Neto]]-Tabla4[[#This Row],[20.85%]]-Tabla4[[#This Row],[Costo]]</f>
        <v>#N/A</v>
      </c>
      <c r="S2999" s="282" t="e">
        <f>++Tabla4[[#This Row],[U. Bruta Uni]]*Tabla4[[#This Row],[Cantidad]]</f>
        <v>#N/A</v>
      </c>
      <c r="T2999" s="369" t="str">
        <f>VLOOKUP(Tabla4[[#This Row],[Producto]],Tabla6[#All],14,FALSE)</f>
        <v>Termico Solar</v>
      </c>
      <c r="U2999" s="284" t="e">
        <f>(IF(Tabla4[[#This Row],[Familia]]="termico solar",Tabla4[[#This Row],[Utilidad Total]]*6%,Tabla4[[#This Row],[Utilidad Total]]*11.5%))/Tabla4[[#This Row],[Total]]</f>
        <v>#N/A</v>
      </c>
      <c r="V2999" s="282" t="e">
        <f>+Tabla4[[#This Row],[Comisión Calculada]]*Tabla4[[#This Row],[Total]]</f>
        <v>#N/A</v>
      </c>
    </row>
    <row r="3000" spans="1:22" hidden="1" x14ac:dyDescent="0.25">
      <c r="A3000" s="100">
        <v>45792</v>
      </c>
      <c r="B3000" t="str">
        <f t="shared" si="142"/>
        <v>May</v>
      </c>
      <c r="C3000" s="46" t="s">
        <v>280</v>
      </c>
      <c r="F3000" s="366" t="s">
        <v>1870</v>
      </c>
      <c r="G3000" s="46" t="s">
        <v>83</v>
      </c>
      <c r="H3000" s="46">
        <v>1</v>
      </c>
      <c r="I3000" s="51">
        <v>8858.76</v>
      </c>
      <c r="J3000" s="281">
        <f>++Tabla4[[#This Row],[Precio Bruto]]*1.16</f>
        <v>10276.161599999999</v>
      </c>
      <c r="K3000" s="281">
        <f>+Tabla4[[#This Row],[Precio Unitario Neto]]*Tabla4[[#Headers],[20.85%]]</f>
        <v>2142.5796935999997</v>
      </c>
      <c r="L3000" s="282">
        <f>++Tabla4[[#This Row],[Precio Unitario Neto]]-Tabla4[[#This Row],[20.85%]]</f>
        <v>8133.5819063999998</v>
      </c>
      <c r="M3000" s="282" t="e">
        <f>(INDEX(Tabla6[#All],MATCH(Tabla4[[#This Row],[Producto]],Tabla6[[#All],[PRODUCTO]],0),MATCH(Tabla4[[#This Row],[Mes]],Tabla6[#Headers],0)))*(1+Catalogos!$L$2)</f>
        <v>#N/A</v>
      </c>
      <c r="N3000" s="283" t="e">
        <f>+(Tabla4[[#This Row],[Precio Descontado]]-Tabla4[[#This Row],[Precio Base]])*Tabla4[[#This Row],[Cantidad]]</f>
        <v>#N/A</v>
      </c>
      <c r="O3000" s="284" t="e">
        <f>++Tabla4[[#This Row],[Utilidad Total]]/Tabla4[[#This Row],[Total]]</f>
        <v>#N/A</v>
      </c>
      <c r="P3000" s="282">
        <f>++Tabla4[[#This Row],[Precio Descontado]]*Tabla4[[#This Row],[Cantidad]]</f>
        <v>8133.5819063999998</v>
      </c>
      <c r="Q3000" s="282" t="e">
        <f>(INDEX(Tabla6[#All],MATCH(Tabla4[[#This Row],[Producto]],Tabla6[[#All],[PRODUCTO]],0),MATCH(Tabla4[[#This Row],[Mes]],Tabla6[#Headers],0)))</f>
        <v>#N/A</v>
      </c>
      <c r="R3000" s="282" t="e">
        <f>++Tabla4[[#This Row],[Precio Unitario Neto]]-Tabla4[[#This Row],[20.85%]]-Tabla4[[#This Row],[Costo]]</f>
        <v>#N/A</v>
      </c>
      <c r="S3000" s="282" t="e">
        <f>++Tabla4[[#This Row],[U. Bruta Uni]]*Tabla4[[#This Row],[Cantidad]]</f>
        <v>#N/A</v>
      </c>
      <c r="T3000" s="369" t="str">
        <f>VLOOKUP(Tabla4[[#This Row],[Producto]],Tabla6[#All],14,FALSE)</f>
        <v>Termico Solar</v>
      </c>
      <c r="U3000" s="284" t="e">
        <f>(IF(Tabla4[[#This Row],[Familia]]="termico solar",Tabla4[[#This Row],[Utilidad Total]]*6%,Tabla4[[#This Row],[Utilidad Total]]*11.5%))/Tabla4[[#This Row],[Total]]</f>
        <v>#N/A</v>
      </c>
      <c r="V3000" s="282" t="e">
        <f>+Tabla4[[#This Row],[Comisión Calculada]]*Tabla4[[#This Row],[Total]]</f>
        <v>#N/A</v>
      </c>
    </row>
    <row r="3001" spans="1:22" hidden="1" x14ac:dyDescent="0.25">
      <c r="A3001" s="100">
        <v>45792</v>
      </c>
      <c r="B3001" t="str">
        <f t="shared" si="142"/>
        <v>May</v>
      </c>
      <c r="C3001" s="46" t="s">
        <v>280</v>
      </c>
      <c r="F3001" s="366" t="s">
        <v>1870</v>
      </c>
      <c r="G3001" s="46" t="s">
        <v>18</v>
      </c>
      <c r="H3001" s="46">
        <v>2</v>
      </c>
      <c r="I3001" s="51">
        <v>5367.65</v>
      </c>
      <c r="J3001" s="281">
        <f>++Tabla4[[#This Row],[Precio Bruto]]*1.16</f>
        <v>6226.4739999999993</v>
      </c>
      <c r="K3001" s="281">
        <f>+Tabla4[[#This Row],[Precio Unitario Neto]]*Tabla4[[#Headers],[20.85%]]</f>
        <v>1298.2198289999999</v>
      </c>
      <c r="L3001" s="282">
        <f>++Tabla4[[#This Row],[Precio Unitario Neto]]-Tabla4[[#This Row],[20.85%]]</f>
        <v>4928.2541709999996</v>
      </c>
      <c r="M3001" s="282" t="e">
        <f>(INDEX(Tabla6[#All],MATCH(Tabla4[[#This Row],[Producto]],Tabla6[[#All],[PRODUCTO]],0),MATCH(Tabla4[[#This Row],[Mes]],Tabla6[#Headers],0)))*(1+Catalogos!$L$2)</f>
        <v>#N/A</v>
      </c>
      <c r="N3001" s="283" t="e">
        <f>+(Tabla4[[#This Row],[Precio Descontado]]-Tabla4[[#This Row],[Precio Base]])*Tabla4[[#This Row],[Cantidad]]</f>
        <v>#N/A</v>
      </c>
      <c r="O3001" s="284" t="e">
        <f>++Tabla4[[#This Row],[Utilidad Total]]/Tabla4[[#This Row],[Total]]</f>
        <v>#N/A</v>
      </c>
      <c r="P3001" s="282">
        <f>++Tabla4[[#This Row],[Precio Descontado]]*Tabla4[[#This Row],[Cantidad]]</f>
        <v>9856.5083419999992</v>
      </c>
      <c r="Q3001" s="282" t="e">
        <f>(INDEX(Tabla6[#All],MATCH(Tabla4[[#This Row],[Producto]],Tabla6[[#All],[PRODUCTO]],0),MATCH(Tabla4[[#This Row],[Mes]],Tabla6[#Headers],0)))</f>
        <v>#N/A</v>
      </c>
      <c r="R3001" s="282" t="e">
        <f>++Tabla4[[#This Row],[Precio Unitario Neto]]-Tabla4[[#This Row],[20.85%]]-Tabla4[[#This Row],[Costo]]</f>
        <v>#N/A</v>
      </c>
      <c r="S3001" s="282" t="e">
        <f>++Tabla4[[#This Row],[U. Bruta Uni]]*Tabla4[[#This Row],[Cantidad]]</f>
        <v>#N/A</v>
      </c>
      <c r="T3001" s="369" t="str">
        <f>VLOOKUP(Tabla4[[#This Row],[Producto]],Tabla6[#All],14,FALSE)</f>
        <v>Termico Solar</v>
      </c>
      <c r="U3001" s="284" t="e">
        <f>(IF(Tabla4[[#This Row],[Familia]]="termico solar",Tabla4[[#This Row],[Utilidad Total]]*6%,Tabla4[[#This Row],[Utilidad Total]]*11.5%))/Tabla4[[#This Row],[Total]]</f>
        <v>#N/A</v>
      </c>
      <c r="V3001" s="282" t="e">
        <f>+Tabla4[[#This Row],[Comisión Calculada]]*Tabla4[[#This Row],[Total]]</f>
        <v>#N/A</v>
      </c>
    </row>
    <row r="3002" spans="1:22" hidden="1" x14ac:dyDescent="0.25">
      <c r="A3002" s="100">
        <v>45792</v>
      </c>
      <c r="B3002" t="str">
        <f t="shared" ref="B3002:B3033" si="143">TEXT(A3002, "mmmm")</f>
        <v>May</v>
      </c>
      <c r="C3002" s="46" t="s">
        <v>280</v>
      </c>
      <c r="F3002" s="366" t="s">
        <v>1871</v>
      </c>
      <c r="G3002" s="46" t="s">
        <v>18</v>
      </c>
      <c r="H3002" s="46">
        <v>3</v>
      </c>
      <c r="I3002" s="51">
        <v>5367.6500000000005</v>
      </c>
      <c r="J3002" s="281">
        <f>++Tabla4[[#This Row],[Precio Bruto]]*1.16</f>
        <v>6226.4740000000002</v>
      </c>
      <c r="K3002" s="281">
        <f>+Tabla4[[#This Row],[Precio Unitario Neto]]*Tabla4[[#Headers],[20.85%]]</f>
        <v>1298.2198289999999</v>
      </c>
      <c r="L3002" s="282">
        <f>++Tabla4[[#This Row],[Precio Unitario Neto]]-Tabla4[[#This Row],[20.85%]]</f>
        <v>4928.2541710000005</v>
      </c>
      <c r="M3002" s="282" t="e">
        <f>(INDEX(Tabla6[#All],MATCH(Tabla4[[#This Row],[Producto]],Tabla6[[#All],[PRODUCTO]],0),MATCH(Tabla4[[#This Row],[Mes]],Tabla6[#Headers],0)))*(1+Catalogos!$L$2)</f>
        <v>#N/A</v>
      </c>
      <c r="N3002" s="283" t="e">
        <f>+(Tabla4[[#This Row],[Precio Descontado]]-Tabla4[[#This Row],[Precio Base]])*Tabla4[[#This Row],[Cantidad]]</f>
        <v>#N/A</v>
      </c>
      <c r="O3002" s="284" t="e">
        <f>++Tabla4[[#This Row],[Utilidad Total]]/Tabla4[[#This Row],[Total]]</f>
        <v>#N/A</v>
      </c>
      <c r="P3002" s="282">
        <f>++Tabla4[[#This Row],[Precio Descontado]]*Tabla4[[#This Row],[Cantidad]]</f>
        <v>14784.762513000001</v>
      </c>
      <c r="Q3002" s="282" t="e">
        <f>(INDEX(Tabla6[#All],MATCH(Tabla4[[#This Row],[Producto]],Tabla6[[#All],[PRODUCTO]],0),MATCH(Tabla4[[#This Row],[Mes]],Tabla6[#Headers],0)))</f>
        <v>#N/A</v>
      </c>
      <c r="R3002" s="282" t="e">
        <f>++Tabla4[[#This Row],[Precio Unitario Neto]]-Tabla4[[#This Row],[20.85%]]-Tabla4[[#This Row],[Costo]]</f>
        <v>#N/A</v>
      </c>
      <c r="S3002" s="282" t="e">
        <f>++Tabla4[[#This Row],[U. Bruta Uni]]*Tabla4[[#This Row],[Cantidad]]</f>
        <v>#N/A</v>
      </c>
      <c r="T3002" s="369" t="str">
        <f>VLOOKUP(Tabla4[[#This Row],[Producto]],Tabla6[#All],14,FALSE)</f>
        <v>Termico Solar</v>
      </c>
      <c r="U3002" s="284" t="e">
        <f>(IF(Tabla4[[#This Row],[Familia]]="termico solar",Tabla4[[#This Row],[Utilidad Total]]*6%,Tabla4[[#This Row],[Utilidad Total]]*11.5%))/Tabla4[[#This Row],[Total]]</f>
        <v>#N/A</v>
      </c>
      <c r="V3002" s="282" t="e">
        <f>+Tabla4[[#This Row],[Comisión Calculada]]*Tabla4[[#This Row],[Total]]</f>
        <v>#N/A</v>
      </c>
    </row>
    <row r="3003" spans="1:22" hidden="1" x14ac:dyDescent="0.25">
      <c r="A3003" s="100">
        <v>45792</v>
      </c>
      <c r="B3003" t="str">
        <f t="shared" si="143"/>
        <v>May</v>
      </c>
      <c r="C3003" s="46" t="s">
        <v>280</v>
      </c>
      <c r="F3003" s="366" t="s">
        <v>1871</v>
      </c>
      <c r="G3003" s="46" t="s">
        <v>208</v>
      </c>
      <c r="H3003" s="46">
        <v>12</v>
      </c>
      <c r="I3003" s="51">
        <v>189.75</v>
      </c>
      <c r="J3003" s="281">
        <f>++Tabla4[[#This Row],[Precio Bruto]]*1.16</f>
        <v>220.10999999999999</v>
      </c>
      <c r="K3003" s="281">
        <f>+Tabla4[[#This Row],[Precio Unitario Neto]]*Tabla4[[#Headers],[20.85%]]</f>
        <v>45.892934999999994</v>
      </c>
      <c r="L3003" s="282">
        <f>++Tabla4[[#This Row],[Precio Unitario Neto]]-Tabla4[[#This Row],[20.85%]]</f>
        <v>174.21706499999999</v>
      </c>
      <c r="M3003" s="282" t="e">
        <f>(INDEX(Tabla6[#All],MATCH(Tabla4[[#This Row],[Producto]],Tabla6[[#All],[PRODUCTO]],0),MATCH(Tabla4[[#This Row],[Mes]],Tabla6[#Headers],0)))*(1+Catalogos!$L$2)</f>
        <v>#N/A</v>
      </c>
      <c r="N3003" s="283" t="e">
        <f>+(Tabla4[[#This Row],[Precio Descontado]]-Tabla4[[#This Row],[Precio Base]])*Tabla4[[#This Row],[Cantidad]]</f>
        <v>#N/A</v>
      </c>
      <c r="O3003" s="284" t="e">
        <f>++Tabla4[[#This Row],[Utilidad Total]]/Tabla4[[#This Row],[Total]]</f>
        <v>#N/A</v>
      </c>
      <c r="P3003" s="282">
        <f>++Tabla4[[#This Row],[Precio Descontado]]*Tabla4[[#This Row],[Cantidad]]</f>
        <v>2090.6047799999997</v>
      </c>
      <c r="Q3003" s="282" t="e">
        <f>(INDEX(Tabla6[#All],MATCH(Tabla4[[#This Row],[Producto]],Tabla6[[#All],[PRODUCTO]],0),MATCH(Tabla4[[#This Row],[Mes]],Tabla6[#Headers],0)))</f>
        <v>#N/A</v>
      </c>
      <c r="R3003" s="282" t="e">
        <f>++Tabla4[[#This Row],[Precio Unitario Neto]]-Tabla4[[#This Row],[20.85%]]-Tabla4[[#This Row],[Costo]]</f>
        <v>#N/A</v>
      </c>
      <c r="S3003" s="282" t="e">
        <f>++Tabla4[[#This Row],[U. Bruta Uni]]*Tabla4[[#This Row],[Cantidad]]</f>
        <v>#N/A</v>
      </c>
      <c r="T3003" s="369" t="str">
        <f>VLOOKUP(Tabla4[[#This Row],[Producto]],Tabla6[#All],14,FALSE)</f>
        <v>Termico Solar</v>
      </c>
      <c r="U3003" s="284" t="e">
        <f>(IF(Tabla4[[#This Row],[Familia]]="termico solar",Tabla4[[#This Row],[Utilidad Total]]*6%,Tabla4[[#This Row],[Utilidad Total]]*11.5%))/Tabla4[[#This Row],[Total]]</f>
        <v>#N/A</v>
      </c>
      <c r="V3003" s="282" t="e">
        <f>+Tabla4[[#This Row],[Comisión Calculada]]*Tabla4[[#This Row],[Total]]</f>
        <v>#N/A</v>
      </c>
    </row>
    <row r="3004" spans="1:22" hidden="1" x14ac:dyDescent="0.25">
      <c r="A3004" s="100">
        <v>45792</v>
      </c>
      <c r="B3004" t="str">
        <f t="shared" si="143"/>
        <v>May</v>
      </c>
      <c r="C3004" s="46" t="s">
        <v>280</v>
      </c>
      <c r="F3004" s="366" t="s">
        <v>1872</v>
      </c>
      <c r="G3004" s="46" t="s">
        <v>83</v>
      </c>
      <c r="H3004" s="46">
        <v>3</v>
      </c>
      <c r="I3004" s="51">
        <v>8858.76</v>
      </c>
      <c r="J3004" s="281">
        <f>++Tabla4[[#This Row],[Precio Bruto]]*1.16</f>
        <v>10276.161599999999</v>
      </c>
      <c r="K3004" s="281">
        <f>+Tabla4[[#This Row],[Precio Unitario Neto]]*Tabla4[[#Headers],[20.85%]]</f>
        <v>2142.5796935999997</v>
      </c>
      <c r="L3004" s="282">
        <f>++Tabla4[[#This Row],[Precio Unitario Neto]]-Tabla4[[#This Row],[20.85%]]</f>
        <v>8133.5819063999998</v>
      </c>
      <c r="M3004" s="282" t="e">
        <f>(INDEX(Tabla6[#All],MATCH(Tabla4[[#This Row],[Producto]],Tabla6[[#All],[PRODUCTO]],0),MATCH(Tabla4[[#This Row],[Mes]],Tabla6[#Headers],0)))*(1+Catalogos!$L$2)</f>
        <v>#N/A</v>
      </c>
      <c r="N3004" s="283" t="e">
        <f>+(Tabla4[[#This Row],[Precio Descontado]]-Tabla4[[#This Row],[Precio Base]])*Tabla4[[#This Row],[Cantidad]]</f>
        <v>#N/A</v>
      </c>
      <c r="O3004" s="284" t="e">
        <f>++Tabla4[[#This Row],[Utilidad Total]]/Tabla4[[#This Row],[Total]]</f>
        <v>#N/A</v>
      </c>
      <c r="P3004" s="282">
        <f>++Tabla4[[#This Row],[Precio Descontado]]*Tabla4[[#This Row],[Cantidad]]</f>
        <v>24400.7457192</v>
      </c>
      <c r="Q3004" s="282" t="e">
        <f>(INDEX(Tabla6[#All],MATCH(Tabla4[[#This Row],[Producto]],Tabla6[[#All],[PRODUCTO]],0),MATCH(Tabla4[[#This Row],[Mes]],Tabla6[#Headers],0)))</f>
        <v>#N/A</v>
      </c>
      <c r="R3004" s="282" t="e">
        <f>++Tabla4[[#This Row],[Precio Unitario Neto]]-Tabla4[[#This Row],[20.85%]]-Tabla4[[#This Row],[Costo]]</f>
        <v>#N/A</v>
      </c>
      <c r="S3004" s="282" t="e">
        <f>++Tabla4[[#This Row],[U. Bruta Uni]]*Tabla4[[#This Row],[Cantidad]]</f>
        <v>#N/A</v>
      </c>
      <c r="T3004" s="369" t="str">
        <f>VLOOKUP(Tabla4[[#This Row],[Producto]],Tabla6[#All],14,FALSE)</f>
        <v>Termico Solar</v>
      </c>
      <c r="U3004" s="284" t="e">
        <f>(IF(Tabla4[[#This Row],[Familia]]="termico solar",Tabla4[[#This Row],[Utilidad Total]]*6%,Tabla4[[#This Row],[Utilidad Total]]*11.5%))/Tabla4[[#This Row],[Total]]</f>
        <v>#N/A</v>
      </c>
      <c r="V3004" s="282" t="e">
        <f>+Tabla4[[#This Row],[Comisión Calculada]]*Tabla4[[#This Row],[Total]]</f>
        <v>#N/A</v>
      </c>
    </row>
    <row r="3005" spans="1:22" hidden="1" x14ac:dyDescent="0.25">
      <c r="A3005" s="100">
        <v>45792</v>
      </c>
      <c r="B3005" t="str">
        <f t="shared" si="143"/>
        <v>May</v>
      </c>
      <c r="C3005" s="46" t="s">
        <v>280</v>
      </c>
      <c r="F3005" s="366" t="s">
        <v>1873</v>
      </c>
      <c r="G3005" s="46" t="s">
        <v>83</v>
      </c>
      <c r="H3005" s="46">
        <v>2</v>
      </c>
      <c r="I3005" s="51">
        <v>8858.76</v>
      </c>
      <c r="J3005" s="281">
        <f>++Tabla4[[#This Row],[Precio Bruto]]*1.16</f>
        <v>10276.161599999999</v>
      </c>
      <c r="K3005" s="281">
        <f>+Tabla4[[#This Row],[Precio Unitario Neto]]*Tabla4[[#Headers],[20.85%]]</f>
        <v>2142.5796935999997</v>
      </c>
      <c r="L3005" s="282">
        <f>++Tabla4[[#This Row],[Precio Unitario Neto]]-Tabla4[[#This Row],[20.85%]]</f>
        <v>8133.5819063999998</v>
      </c>
      <c r="M3005" s="282" t="e">
        <f>(INDEX(Tabla6[#All],MATCH(Tabla4[[#This Row],[Producto]],Tabla6[[#All],[PRODUCTO]],0),MATCH(Tabla4[[#This Row],[Mes]],Tabla6[#Headers],0)))*(1+Catalogos!$L$2)</f>
        <v>#N/A</v>
      </c>
      <c r="N3005" s="283" t="e">
        <f>+(Tabla4[[#This Row],[Precio Descontado]]-Tabla4[[#This Row],[Precio Base]])*Tabla4[[#This Row],[Cantidad]]</f>
        <v>#N/A</v>
      </c>
      <c r="O3005" s="284" t="e">
        <f>++Tabla4[[#This Row],[Utilidad Total]]/Tabla4[[#This Row],[Total]]</f>
        <v>#N/A</v>
      </c>
      <c r="P3005" s="282">
        <f>++Tabla4[[#This Row],[Precio Descontado]]*Tabla4[[#This Row],[Cantidad]]</f>
        <v>16267.1638128</v>
      </c>
      <c r="Q3005" s="282" t="e">
        <f>(INDEX(Tabla6[#All],MATCH(Tabla4[[#This Row],[Producto]],Tabla6[[#All],[PRODUCTO]],0),MATCH(Tabla4[[#This Row],[Mes]],Tabla6[#Headers],0)))</f>
        <v>#N/A</v>
      </c>
      <c r="R3005" s="282" t="e">
        <f>++Tabla4[[#This Row],[Precio Unitario Neto]]-Tabla4[[#This Row],[20.85%]]-Tabla4[[#This Row],[Costo]]</f>
        <v>#N/A</v>
      </c>
      <c r="S3005" s="282" t="e">
        <f>++Tabla4[[#This Row],[U. Bruta Uni]]*Tabla4[[#This Row],[Cantidad]]</f>
        <v>#N/A</v>
      </c>
      <c r="T3005" s="369" t="str">
        <f>VLOOKUP(Tabla4[[#This Row],[Producto]],Tabla6[#All],14,FALSE)</f>
        <v>Termico Solar</v>
      </c>
      <c r="U3005" s="284" t="e">
        <f>(IF(Tabla4[[#This Row],[Familia]]="termico solar",Tabla4[[#This Row],[Utilidad Total]]*6%,Tabla4[[#This Row],[Utilidad Total]]*11.5%))/Tabla4[[#This Row],[Total]]</f>
        <v>#N/A</v>
      </c>
      <c r="V3005" s="282" t="e">
        <f>+Tabla4[[#This Row],[Comisión Calculada]]*Tabla4[[#This Row],[Total]]</f>
        <v>#N/A</v>
      </c>
    </row>
    <row r="3006" spans="1:22" hidden="1" x14ac:dyDescent="0.25">
      <c r="A3006" s="100">
        <v>45792</v>
      </c>
      <c r="B3006" t="str">
        <f t="shared" si="143"/>
        <v>May</v>
      </c>
      <c r="C3006" s="46" t="s">
        <v>280</v>
      </c>
      <c r="F3006" s="366" t="s">
        <v>1873</v>
      </c>
      <c r="G3006" s="46" t="s">
        <v>17</v>
      </c>
      <c r="H3006" s="46">
        <v>4</v>
      </c>
      <c r="I3006" s="51">
        <v>4622.28</v>
      </c>
      <c r="J3006" s="281">
        <f>++Tabla4[[#This Row],[Precio Bruto]]*1.16</f>
        <v>5361.8447999999989</v>
      </c>
      <c r="K3006" s="281">
        <f>+Tabla4[[#This Row],[Precio Unitario Neto]]*Tabla4[[#Headers],[20.85%]]</f>
        <v>1117.9446407999997</v>
      </c>
      <c r="L3006" s="282">
        <f>++Tabla4[[#This Row],[Precio Unitario Neto]]-Tabla4[[#This Row],[20.85%]]</f>
        <v>4243.9001591999995</v>
      </c>
      <c r="M3006" s="282" t="e">
        <f>(INDEX(Tabla6[#All],MATCH(Tabla4[[#This Row],[Producto]],Tabla6[[#All],[PRODUCTO]],0),MATCH(Tabla4[[#This Row],[Mes]],Tabla6[#Headers],0)))*(1+Catalogos!$L$2)</f>
        <v>#N/A</v>
      </c>
      <c r="N3006" s="283" t="e">
        <f>+(Tabla4[[#This Row],[Precio Descontado]]-Tabla4[[#This Row],[Precio Base]])*Tabla4[[#This Row],[Cantidad]]</f>
        <v>#N/A</v>
      </c>
      <c r="O3006" s="284" t="e">
        <f>++Tabla4[[#This Row],[Utilidad Total]]/Tabla4[[#This Row],[Total]]</f>
        <v>#N/A</v>
      </c>
      <c r="P3006" s="282">
        <f>++Tabla4[[#This Row],[Precio Descontado]]*Tabla4[[#This Row],[Cantidad]]</f>
        <v>16975.600636799998</v>
      </c>
      <c r="Q3006" s="282" t="e">
        <f>(INDEX(Tabla6[#All],MATCH(Tabla4[[#This Row],[Producto]],Tabla6[[#All],[PRODUCTO]],0),MATCH(Tabla4[[#This Row],[Mes]],Tabla6[#Headers],0)))</f>
        <v>#N/A</v>
      </c>
      <c r="R3006" s="282" t="e">
        <f>++Tabla4[[#This Row],[Precio Unitario Neto]]-Tabla4[[#This Row],[20.85%]]-Tabla4[[#This Row],[Costo]]</f>
        <v>#N/A</v>
      </c>
      <c r="S3006" s="282" t="e">
        <f>++Tabla4[[#This Row],[U. Bruta Uni]]*Tabla4[[#This Row],[Cantidad]]</f>
        <v>#N/A</v>
      </c>
      <c r="T3006" s="369" t="str">
        <f>VLOOKUP(Tabla4[[#This Row],[Producto]],Tabla6[#All],14,FALSE)</f>
        <v>Termico Solar</v>
      </c>
      <c r="U3006" s="284" t="e">
        <f>(IF(Tabla4[[#This Row],[Familia]]="termico solar",Tabla4[[#This Row],[Utilidad Total]]*6%,Tabla4[[#This Row],[Utilidad Total]]*11.5%))/Tabla4[[#This Row],[Total]]</f>
        <v>#N/A</v>
      </c>
      <c r="V3006" s="282" t="e">
        <f>+Tabla4[[#This Row],[Comisión Calculada]]*Tabla4[[#This Row],[Total]]</f>
        <v>#N/A</v>
      </c>
    </row>
    <row r="3007" spans="1:22" hidden="1" x14ac:dyDescent="0.25">
      <c r="A3007" s="100">
        <v>45792</v>
      </c>
      <c r="B3007" t="str">
        <f t="shared" si="143"/>
        <v>May</v>
      </c>
      <c r="C3007" s="46" t="s">
        <v>280</v>
      </c>
      <c r="F3007" s="366" t="s">
        <v>1873</v>
      </c>
      <c r="G3007" s="46" t="s">
        <v>566</v>
      </c>
      <c r="H3007" s="46">
        <v>2</v>
      </c>
      <c r="I3007" s="51">
        <v>2109.4499999999998</v>
      </c>
      <c r="J3007" s="281">
        <f>++Tabla4[[#This Row],[Precio Bruto]]*1.16</f>
        <v>2446.9619999999995</v>
      </c>
      <c r="K3007" s="281">
        <f>+Tabla4[[#This Row],[Precio Unitario Neto]]*Tabla4[[#Headers],[20.85%]]</f>
        <v>510.19157699999988</v>
      </c>
      <c r="L3007" s="282">
        <f>++Tabla4[[#This Row],[Precio Unitario Neto]]-Tabla4[[#This Row],[20.85%]]</f>
        <v>1936.7704229999997</v>
      </c>
      <c r="M3007" s="282" t="e">
        <f>(INDEX(Tabla6[#All],MATCH(Tabla4[[#This Row],[Producto]],Tabla6[[#All],[PRODUCTO]],0),MATCH(Tabla4[[#This Row],[Mes]],Tabla6[#Headers],0)))*(1+Catalogos!$L$2)</f>
        <v>#N/A</v>
      </c>
      <c r="N3007" s="283" t="e">
        <f>+(Tabla4[[#This Row],[Precio Descontado]]-Tabla4[[#This Row],[Precio Base]])*Tabla4[[#This Row],[Cantidad]]</f>
        <v>#N/A</v>
      </c>
      <c r="O3007" s="284" t="e">
        <f>++Tabla4[[#This Row],[Utilidad Total]]/Tabla4[[#This Row],[Total]]</f>
        <v>#N/A</v>
      </c>
      <c r="P3007" s="282">
        <f>++Tabla4[[#This Row],[Precio Descontado]]*Tabla4[[#This Row],[Cantidad]]</f>
        <v>3873.5408459999994</v>
      </c>
      <c r="Q3007" s="282" t="e">
        <f>(INDEX(Tabla6[#All],MATCH(Tabla4[[#This Row],[Producto]],Tabla6[[#All],[PRODUCTO]],0),MATCH(Tabla4[[#This Row],[Mes]],Tabla6[#Headers],0)))</f>
        <v>#N/A</v>
      </c>
      <c r="R3007" s="282" t="e">
        <f>++Tabla4[[#This Row],[Precio Unitario Neto]]-Tabla4[[#This Row],[20.85%]]-Tabla4[[#This Row],[Costo]]</f>
        <v>#N/A</v>
      </c>
      <c r="S3007" s="282" t="e">
        <f>++Tabla4[[#This Row],[U. Bruta Uni]]*Tabla4[[#This Row],[Cantidad]]</f>
        <v>#N/A</v>
      </c>
      <c r="T3007" s="369" t="str">
        <f>VLOOKUP(Tabla4[[#This Row],[Producto]],Tabla6[#All],14,FALSE)</f>
        <v>Termico Solar</v>
      </c>
      <c r="U3007" s="284" t="e">
        <f>(IF(Tabla4[[#This Row],[Familia]]="termico solar",Tabla4[[#This Row],[Utilidad Total]]*6%,Tabla4[[#This Row],[Utilidad Total]]*11.5%))/Tabla4[[#This Row],[Total]]</f>
        <v>#N/A</v>
      </c>
      <c r="V3007" s="282" t="e">
        <f>+Tabla4[[#This Row],[Comisión Calculada]]*Tabla4[[#This Row],[Total]]</f>
        <v>#N/A</v>
      </c>
    </row>
    <row r="3008" spans="1:22" hidden="1" x14ac:dyDescent="0.25">
      <c r="A3008" s="100">
        <v>45792</v>
      </c>
      <c r="B3008" t="str">
        <f t="shared" si="143"/>
        <v>May</v>
      </c>
      <c r="C3008" s="46" t="s">
        <v>280</v>
      </c>
      <c r="F3008" s="366" t="s">
        <v>1873</v>
      </c>
      <c r="G3008" s="46" t="s">
        <v>16</v>
      </c>
      <c r="H3008" s="46">
        <v>2</v>
      </c>
      <c r="I3008" s="51">
        <v>4103.8500000000004</v>
      </c>
      <c r="J3008" s="281">
        <f>++Tabla4[[#This Row],[Precio Bruto]]*1.16</f>
        <v>4760.4660000000003</v>
      </c>
      <c r="K3008" s="281">
        <f>+Tabla4[[#This Row],[Precio Unitario Neto]]*Tabla4[[#Headers],[20.85%]]</f>
        <v>992.55716100000006</v>
      </c>
      <c r="L3008" s="282">
        <f>++Tabla4[[#This Row],[Precio Unitario Neto]]-Tabla4[[#This Row],[20.85%]]</f>
        <v>3767.9088390000002</v>
      </c>
      <c r="M3008" s="282" t="e">
        <f>(INDEX(Tabla6[#All],MATCH(Tabla4[[#This Row],[Producto]],Tabla6[[#All],[PRODUCTO]],0),MATCH(Tabla4[[#This Row],[Mes]],Tabla6[#Headers],0)))*(1+Catalogos!$L$2)</f>
        <v>#N/A</v>
      </c>
      <c r="N3008" s="283" t="e">
        <f>+(Tabla4[[#This Row],[Precio Descontado]]-Tabla4[[#This Row],[Precio Base]])*Tabla4[[#This Row],[Cantidad]]</f>
        <v>#N/A</v>
      </c>
      <c r="O3008" s="284" t="e">
        <f>++Tabla4[[#This Row],[Utilidad Total]]/Tabla4[[#This Row],[Total]]</f>
        <v>#N/A</v>
      </c>
      <c r="P3008" s="282">
        <f>++Tabla4[[#This Row],[Precio Descontado]]*Tabla4[[#This Row],[Cantidad]]</f>
        <v>7535.8176780000003</v>
      </c>
      <c r="Q3008" s="282" t="e">
        <f>(INDEX(Tabla6[#All],MATCH(Tabla4[[#This Row],[Producto]],Tabla6[[#All],[PRODUCTO]],0),MATCH(Tabla4[[#This Row],[Mes]],Tabla6[#Headers],0)))</f>
        <v>#N/A</v>
      </c>
      <c r="R3008" s="282" t="e">
        <f>++Tabla4[[#This Row],[Precio Unitario Neto]]-Tabla4[[#This Row],[20.85%]]-Tabla4[[#This Row],[Costo]]</f>
        <v>#N/A</v>
      </c>
      <c r="S3008" s="282" t="e">
        <f>++Tabla4[[#This Row],[U. Bruta Uni]]*Tabla4[[#This Row],[Cantidad]]</f>
        <v>#N/A</v>
      </c>
      <c r="T3008" s="369" t="str">
        <f>VLOOKUP(Tabla4[[#This Row],[Producto]],Tabla6[#All],14,FALSE)</f>
        <v>Termico Solar</v>
      </c>
      <c r="U3008" s="284" t="e">
        <f>(IF(Tabla4[[#This Row],[Familia]]="termico solar",Tabla4[[#This Row],[Utilidad Total]]*6%,Tabla4[[#This Row],[Utilidad Total]]*11.5%))/Tabla4[[#This Row],[Total]]</f>
        <v>#N/A</v>
      </c>
      <c r="V3008" s="282" t="e">
        <f>+Tabla4[[#This Row],[Comisión Calculada]]*Tabla4[[#This Row],[Total]]</f>
        <v>#N/A</v>
      </c>
    </row>
    <row r="3009" spans="1:22" hidden="1" x14ac:dyDescent="0.25">
      <c r="A3009" s="100">
        <v>45792</v>
      </c>
      <c r="B3009" t="str">
        <f t="shared" si="143"/>
        <v>May</v>
      </c>
      <c r="C3009" s="46" t="s">
        <v>280</v>
      </c>
      <c r="F3009" s="366" t="s">
        <v>1874</v>
      </c>
      <c r="G3009" s="46" t="s">
        <v>83</v>
      </c>
      <c r="H3009" s="46">
        <v>2</v>
      </c>
      <c r="I3009" s="51">
        <v>8858.76</v>
      </c>
      <c r="J3009" s="281">
        <f>++Tabla4[[#This Row],[Precio Bruto]]*1.16</f>
        <v>10276.161599999999</v>
      </c>
      <c r="K3009" s="281">
        <f>+Tabla4[[#This Row],[Precio Unitario Neto]]*Tabla4[[#Headers],[20.85%]]</f>
        <v>2142.5796935999997</v>
      </c>
      <c r="L3009" s="282">
        <f>++Tabla4[[#This Row],[Precio Unitario Neto]]-Tabla4[[#This Row],[20.85%]]</f>
        <v>8133.5819063999998</v>
      </c>
      <c r="M3009" s="282" t="e">
        <f>(INDEX(Tabla6[#All],MATCH(Tabla4[[#This Row],[Producto]],Tabla6[[#All],[PRODUCTO]],0),MATCH(Tabla4[[#This Row],[Mes]],Tabla6[#Headers],0)))*(1+Catalogos!$L$2)</f>
        <v>#N/A</v>
      </c>
      <c r="N3009" s="283" t="e">
        <f>+(Tabla4[[#This Row],[Precio Descontado]]-Tabla4[[#This Row],[Precio Base]])*Tabla4[[#This Row],[Cantidad]]</f>
        <v>#N/A</v>
      </c>
      <c r="O3009" s="284" t="e">
        <f>++Tabla4[[#This Row],[Utilidad Total]]/Tabla4[[#This Row],[Total]]</f>
        <v>#N/A</v>
      </c>
      <c r="P3009" s="282">
        <f>++Tabla4[[#This Row],[Precio Descontado]]*Tabla4[[#This Row],[Cantidad]]</f>
        <v>16267.1638128</v>
      </c>
      <c r="Q3009" s="282" t="e">
        <f>(INDEX(Tabla6[#All],MATCH(Tabla4[[#This Row],[Producto]],Tabla6[[#All],[PRODUCTO]],0),MATCH(Tabla4[[#This Row],[Mes]],Tabla6[#Headers],0)))</f>
        <v>#N/A</v>
      </c>
      <c r="R3009" s="282" t="e">
        <f>++Tabla4[[#This Row],[Precio Unitario Neto]]-Tabla4[[#This Row],[20.85%]]-Tabla4[[#This Row],[Costo]]</f>
        <v>#N/A</v>
      </c>
      <c r="S3009" s="282" t="e">
        <f>++Tabla4[[#This Row],[U. Bruta Uni]]*Tabla4[[#This Row],[Cantidad]]</f>
        <v>#N/A</v>
      </c>
      <c r="T3009" s="369" t="str">
        <f>VLOOKUP(Tabla4[[#This Row],[Producto]],Tabla6[#All],14,FALSE)</f>
        <v>Termico Solar</v>
      </c>
      <c r="U3009" s="284" t="e">
        <f>(IF(Tabla4[[#This Row],[Familia]]="termico solar",Tabla4[[#This Row],[Utilidad Total]]*6%,Tabla4[[#This Row],[Utilidad Total]]*11.5%))/Tabla4[[#This Row],[Total]]</f>
        <v>#N/A</v>
      </c>
      <c r="V3009" s="282" t="e">
        <f>+Tabla4[[#This Row],[Comisión Calculada]]*Tabla4[[#This Row],[Total]]</f>
        <v>#N/A</v>
      </c>
    </row>
    <row r="3010" spans="1:22" hidden="1" x14ac:dyDescent="0.25">
      <c r="A3010" s="100">
        <v>45792</v>
      </c>
      <c r="B3010" t="str">
        <f t="shared" si="143"/>
        <v>May</v>
      </c>
      <c r="C3010" s="46" t="s">
        <v>280</v>
      </c>
      <c r="F3010" s="366" t="s">
        <v>1874</v>
      </c>
      <c r="G3010" s="46" t="s">
        <v>17</v>
      </c>
      <c r="H3010" s="46">
        <v>1</v>
      </c>
      <c r="I3010" s="51">
        <v>4622.28</v>
      </c>
      <c r="J3010" s="281">
        <f>++Tabla4[[#This Row],[Precio Bruto]]*1.16</f>
        <v>5361.8447999999989</v>
      </c>
      <c r="K3010" s="281">
        <f>+Tabla4[[#This Row],[Precio Unitario Neto]]*Tabla4[[#Headers],[20.85%]]</f>
        <v>1117.9446407999997</v>
      </c>
      <c r="L3010" s="282">
        <f>++Tabla4[[#This Row],[Precio Unitario Neto]]-Tabla4[[#This Row],[20.85%]]</f>
        <v>4243.9001591999995</v>
      </c>
      <c r="M3010" s="282" t="e">
        <f>(INDEX(Tabla6[#All],MATCH(Tabla4[[#This Row],[Producto]],Tabla6[[#All],[PRODUCTO]],0),MATCH(Tabla4[[#This Row],[Mes]],Tabla6[#Headers],0)))*(1+Catalogos!$L$2)</f>
        <v>#N/A</v>
      </c>
      <c r="N3010" s="283" t="e">
        <f>+(Tabla4[[#This Row],[Precio Descontado]]-Tabla4[[#This Row],[Precio Base]])*Tabla4[[#This Row],[Cantidad]]</f>
        <v>#N/A</v>
      </c>
      <c r="O3010" s="284" t="e">
        <f>++Tabla4[[#This Row],[Utilidad Total]]/Tabla4[[#This Row],[Total]]</f>
        <v>#N/A</v>
      </c>
      <c r="P3010" s="282">
        <f>++Tabla4[[#This Row],[Precio Descontado]]*Tabla4[[#This Row],[Cantidad]]</f>
        <v>4243.9001591999995</v>
      </c>
      <c r="Q3010" s="282" t="e">
        <f>(INDEX(Tabla6[#All],MATCH(Tabla4[[#This Row],[Producto]],Tabla6[[#All],[PRODUCTO]],0),MATCH(Tabla4[[#This Row],[Mes]],Tabla6[#Headers],0)))</f>
        <v>#N/A</v>
      </c>
      <c r="R3010" s="282" t="e">
        <f>++Tabla4[[#This Row],[Precio Unitario Neto]]-Tabla4[[#This Row],[20.85%]]-Tabla4[[#This Row],[Costo]]</f>
        <v>#N/A</v>
      </c>
      <c r="S3010" s="282" t="e">
        <f>++Tabla4[[#This Row],[U. Bruta Uni]]*Tabla4[[#This Row],[Cantidad]]</f>
        <v>#N/A</v>
      </c>
      <c r="T3010" s="369" t="str">
        <f>VLOOKUP(Tabla4[[#This Row],[Producto]],Tabla6[#All],14,FALSE)</f>
        <v>Termico Solar</v>
      </c>
      <c r="U3010" s="284" t="e">
        <f>(IF(Tabla4[[#This Row],[Familia]]="termico solar",Tabla4[[#This Row],[Utilidad Total]]*6%,Tabla4[[#This Row],[Utilidad Total]]*11.5%))/Tabla4[[#This Row],[Total]]</f>
        <v>#N/A</v>
      </c>
      <c r="V3010" s="282" t="e">
        <f>+Tabla4[[#This Row],[Comisión Calculada]]*Tabla4[[#This Row],[Total]]</f>
        <v>#N/A</v>
      </c>
    </row>
    <row r="3011" spans="1:22" hidden="1" x14ac:dyDescent="0.25">
      <c r="A3011" s="100">
        <v>45792</v>
      </c>
      <c r="B3011" t="str">
        <f t="shared" si="143"/>
        <v>May</v>
      </c>
      <c r="C3011" s="46" t="s">
        <v>280</v>
      </c>
      <c r="F3011" s="366" t="s">
        <v>1874</v>
      </c>
      <c r="G3011" s="46" t="s">
        <v>566</v>
      </c>
      <c r="H3011" s="46">
        <v>1</v>
      </c>
      <c r="I3011" s="51">
        <v>2109.4499999999998</v>
      </c>
      <c r="J3011" s="281">
        <f>++Tabla4[[#This Row],[Precio Bruto]]*1.16</f>
        <v>2446.9619999999995</v>
      </c>
      <c r="K3011" s="281">
        <f>+Tabla4[[#This Row],[Precio Unitario Neto]]*Tabla4[[#Headers],[20.85%]]</f>
        <v>510.19157699999988</v>
      </c>
      <c r="L3011" s="282">
        <f>++Tabla4[[#This Row],[Precio Unitario Neto]]-Tabla4[[#This Row],[20.85%]]</f>
        <v>1936.7704229999997</v>
      </c>
      <c r="M3011" s="282" t="e">
        <f>(INDEX(Tabla6[#All],MATCH(Tabla4[[#This Row],[Producto]],Tabla6[[#All],[PRODUCTO]],0),MATCH(Tabla4[[#This Row],[Mes]],Tabla6[#Headers],0)))*(1+Catalogos!$L$2)</f>
        <v>#N/A</v>
      </c>
      <c r="N3011" s="283" t="e">
        <f>+(Tabla4[[#This Row],[Precio Descontado]]-Tabla4[[#This Row],[Precio Base]])*Tabla4[[#This Row],[Cantidad]]</f>
        <v>#N/A</v>
      </c>
      <c r="O3011" s="284" t="e">
        <f>++Tabla4[[#This Row],[Utilidad Total]]/Tabla4[[#This Row],[Total]]</f>
        <v>#N/A</v>
      </c>
      <c r="P3011" s="282">
        <f>++Tabla4[[#This Row],[Precio Descontado]]*Tabla4[[#This Row],[Cantidad]]</f>
        <v>1936.7704229999997</v>
      </c>
      <c r="Q3011" s="282" t="e">
        <f>(INDEX(Tabla6[#All],MATCH(Tabla4[[#This Row],[Producto]],Tabla6[[#All],[PRODUCTO]],0),MATCH(Tabla4[[#This Row],[Mes]],Tabla6[#Headers],0)))</f>
        <v>#N/A</v>
      </c>
      <c r="R3011" s="282" t="e">
        <f>++Tabla4[[#This Row],[Precio Unitario Neto]]-Tabla4[[#This Row],[20.85%]]-Tabla4[[#This Row],[Costo]]</f>
        <v>#N/A</v>
      </c>
      <c r="S3011" s="282" t="e">
        <f>++Tabla4[[#This Row],[U. Bruta Uni]]*Tabla4[[#This Row],[Cantidad]]</f>
        <v>#N/A</v>
      </c>
      <c r="T3011" s="369" t="str">
        <f>VLOOKUP(Tabla4[[#This Row],[Producto]],Tabla6[#All],14,FALSE)</f>
        <v>Termico Solar</v>
      </c>
      <c r="U3011" s="284" t="e">
        <f>(IF(Tabla4[[#This Row],[Familia]]="termico solar",Tabla4[[#This Row],[Utilidad Total]]*6%,Tabla4[[#This Row],[Utilidad Total]]*11.5%))/Tabla4[[#This Row],[Total]]</f>
        <v>#N/A</v>
      </c>
      <c r="V3011" s="282" t="e">
        <f>+Tabla4[[#This Row],[Comisión Calculada]]*Tabla4[[#This Row],[Total]]</f>
        <v>#N/A</v>
      </c>
    </row>
    <row r="3012" spans="1:22" hidden="1" x14ac:dyDescent="0.25">
      <c r="A3012" s="100">
        <v>45792</v>
      </c>
      <c r="B3012" t="str">
        <f t="shared" si="143"/>
        <v>May</v>
      </c>
      <c r="C3012" s="46" t="s">
        <v>280</v>
      </c>
      <c r="F3012" s="366" t="s">
        <v>1875</v>
      </c>
      <c r="G3012" s="46" t="s">
        <v>18</v>
      </c>
      <c r="H3012" s="46">
        <v>8</v>
      </c>
      <c r="I3012" s="51">
        <v>5367.65</v>
      </c>
      <c r="J3012" s="281">
        <f>++Tabla4[[#This Row],[Precio Bruto]]*1.16</f>
        <v>6226.4739999999993</v>
      </c>
      <c r="K3012" s="281">
        <f>+Tabla4[[#This Row],[Precio Unitario Neto]]*Tabla4[[#Headers],[20.85%]]</f>
        <v>1298.2198289999999</v>
      </c>
      <c r="L3012" s="282">
        <f>++Tabla4[[#This Row],[Precio Unitario Neto]]-Tabla4[[#This Row],[20.85%]]</f>
        <v>4928.2541709999996</v>
      </c>
      <c r="M3012" s="282" t="e">
        <f>(INDEX(Tabla6[#All],MATCH(Tabla4[[#This Row],[Producto]],Tabla6[[#All],[PRODUCTO]],0),MATCH(Tabla4[[#This Row],[Mes]],Tabla6[#Headers],0)))*(1+Catalogos!$L$2)</f>
        <v>#N/A</v>
      </c>
      <c r="N3012" s="283" t="e">
        <f>+(Tabla4[[#This Row],[Precio Descontado]]-Tabla4[[#This Row],[Precio Base]])*Tabla4[[#This Row],[Cantidad]]</f>
        <v>#N/A</v>
      </c>
      <c r="O3012" s="284" t="e">
        <f>++Tabla4[[#This Row],[Utilidad Total]]/Tabla4[[#This Row],[Total]]</f>
        <v>#N/A</v>
      </c>
      <c r="P3012" s="282">
        <f>++Tabla4[[#This Row],[Precio Descontado]]*Tabla4[[#This Row],[Cantidad]]</f>
        <v>39426.033367999997</v>
      </c>
      <c r="Q3012" s="282" t="e">
        <f>(INDEX(Tabla6[#All],MATCH(Tabla4[[#This Row],[Producto]],Tabla6[[#All],[PRODUCTO]],0),MATCH(Tabla4[[#This Row],[Mes]],Tabla6[#Headers],0)))</f>
        <v>#N/A</v>
      </c>
      <c r="R3012" s="282" t="e">
        <f>++Tabla4[[#This Row],[Precio Unitario Neto]]-Tabla4[[#This Row],[20.85%]]-Tabla4[[#This Row],[Costo]]</f>
        <v>#N/A</v>
      </c>
      <c r="S3012" s="282" t="e">
        <f>++Tabla4[[#This Row],[U. Bruta Uni]]*Tabla4[[#This Row],[Cantidad]]</f>
        <v>#N/A</v>
      </c>
      <c r="T3012" s="369" t="str">
        <f>VLOOKUP(Tabla4[[#This Row],[Producto]],Tabla6[#All],14,FALSE)</f>
        <v>Termico Solar</v>
      </c>
      <c r="U3012" s="284" t="e">
        <f>(IF(Tabla4[[#This Row],[Familia]]="termico solar",Tabla4[[#This Row],[Utilidad Total]]*6%,Tabla4[[#This Row],[Utilidad Total]]*11.5%))/Tabla4[[#This Row],[Total]]</f>
        <v>#N/A</v>
      </c>
      <c r="V3012" s="282" t="e">
        <f>+Tabla4[[#This Row],[Comisión Calculada]]*Tabla4[[#This Row],[Total]]</f>
        <v>#N/A</v>
      </c>
    </row>
    <row r="3013" spans="1:22" hidden="1" x14ac:dyDescent="0.25">
      <c r="A3013" s="100">
        <v>45792</v>
      </c>
      <c r="B3013" t="str">
        <f t="shared" si="143"/>
        <v>May</v>
      </c>
      <c r="C3013" s="46" t="s">
        <v>280</v>
      </c>
      <c r="F3013" s="366" t="s">
        <v>1875</v>
      </c>
      <c r="G3013" s="46" t="s">
        <v>566</v>
      </c>
      <c r="H3013" s="46">
        <v>1</v>
      </c>
      <c r="I3013" s="51">
        <v>2109.4499999999998</v>
      </c>
      <c r="J3013" s="281">
        <f>++Tabla4[[#This Row],[Precio Bruto]]*1.16</f>
        <v>2446.9619999999995</v>
      </c>
      <c r="K3013" s="281">
        <f>+Tabla4[[#This Row],[Precio Unitario Neto]]*Tabla4[[#Headers],[20.85%]]</f>
        <v>510.19157699999988</v>
      </c>
      <c r="L3013" s="282">
        <f>++Tabla4[[#This Row],[Precio Unitario Neto]]-Tabla4[[#This Row],[20.85%]]</f>
        <v>1936.7704229999997</v>
      </c>
      <c r="M3013" s="282" t="e">
        <f>(INDEX(Tabla6[#All],MATCH(Tabla4[[#This Row],[Producto]],Tabla6[[#All],[PRODUCTO]],0),MATCH(Tabla4[[#This Row],[Mes]],Tabla6[#Headers],0)))*(1+Catalogos!$L$2)</f>
        <v>#N/A</v>
      </c>
      <c r="N3013" s="283" t="e">
        <f>+(Tabla4[[#This Row],[Precio Descontado]]-Tabla4[[#This Row],[Precio Base]])*Tabla4[[#This Row],[Cantidad]]</f>
        <v>#N/A</v>
      </c>
      <c r="O3013" s="284" t="e">
        <f>++Tabla4[[#This Row],[Utilidad Total]]/Tabla4[[#This Row],[Total]]</f>
        <v>#N/A</v>
      </c>
      <c r="P3013" s="282">
        <f>++Tabla4[[#This Row],[Precio Descontado]]*Tabla4[[#This Row],[Cantidad]]</f>
        <v>1936.7704229999997</v>
      </c>
      <c r="Q3013" s="282" t="e">
        <f>(INDEX(Tabla6[#All],MATCH(Tabla4[[#This Row],[Producto]],Tabla6[[#All],[PRODUCTO]],0),MATCH(Tabla4[[#This Row],[Mes]],Tabla6[#Headers],0)))</f>
        <v>#N/A</v>
      </c>
      <c r="R3013" s="282" t="e">
        <f>++Tabla4[[#This Row],[Precio Unitario Neto]]-Tabla4[[#This Row],[20.85%]]-Tabla4[[#This Row],[Costo]]</f>
        <v>#N/A</v>
      </c>
      <c r="S3013" s="282" t="e">
        <f>++Tabla4[[#This Row],[U. Bruta Uni]]*Tabla4[[#This Row],[Cantidad]]</f>
        <v>#N/A</v>
      </c>
      <c r="T3013" s="369" t="str">
        <f>VLOOKUP(Tabla4[[#This Row],[Producto]],Tabla6[#All],14,FALSE)</f>
        <v>Termico Solar</v>
      </c>
      <c r="U3013" s="284" t="e">
        <f>(IF(Tabla4[[#This Row],[Familia]]="termico solar",Tabla4[[#This Row],[Utilidad Total]]*6%,Tabla4[[#This Row],[Utilidad Total]]*11.5%))/Tabla4[[#This Row],[Total]]</f>
        <v>#N/A</v>
      </c>
      <c r="V3013" s="282" t="e">
        <f>+Tabla4[[#This Row],[Comisión Calculada]]*Tabla4[[#This Row],[Total]]</f>
        <v>#N/A</v>
      </c>
    </row>
    <row r="3014" spans="1:22" hidden="1" x14ac:dyDescent="0.25">
      <c r="A3014" s="100">
        <v>45792</v>
      </c>
      <c r="B3014" t="str">
        <f t="shared" si="143"/>
        <v>May</v>
      </c>
      <c r="C3014" s="46" t="s">
        <v>280</v>
      </c>
      <c r="F3014" s="366" t="s">
        <v>1875</v>
      </c>
      <c r="G3014" s="46" t="s">
        <v>16</v>
      </c>
      <c r="H3014" s="46">
        <v>3</v>
      </c>
      <c r="I3014" s="51">
        <v>4103.8499999999995</v>
      </c>
      <c r="J3014" s="281">
        <f>++Tabla4[[#This Row],[Precio Bruto]]*1.16</f>
        <v>4760.4659999999994</v>
      </c>
      <c r="K3014" s="281">
        <f>+Tabla4[[#This Row],[Precio Unitario Neto]]*Tabla4[[#Headers],[20.85%]]</f>
        <v>992.55716099999984</v>
      </c>
      <c r="L3014" s="282">
        <f>++Tabla4[[#This Row],[Precio Unitario Neto]]-Tabla4[[#This Row],[20.85%]]</f>
        <v>3767.9088389999997</v>
      </c>
      <c r="M3014" s="282" t="e">
        <f>(INDEX(Tabla6[#All],MATCH(Tabla4[[#This Row],[Producto]],Tabla6[[#All],[PRODUCTO]],0),MATCH(Tabla4[[#This Row],[Mes]],Tabla6[#Headers],0)))*(1+Catalogos!$L$2)</f>
        <v>#N/A</v>
      </c>
      <c r="N3014" s="283" t="e">
        <f>+(Tabla4[[#This Row],[Precio Descontado]]-Tabla4[[#This Row],[Precio Base]])*Tabla4[[#This Row],[Cantidad]]</f>
        <v>#N/A</v>
      </c>
      <c r="O3014" s="284" t="e">
        <f>++Tabla4[[#This Row],[Utilidad Total]]/Tabla4[[#This Row],[Total]]</f>
        <v>#N/A</v>
      </c>
      <c r="P3014" s="282">
        <f>++Tabla4[[#This Row],[Precio Descontado]]*Tabla4[[#This Row],[Cantidad]]</f>
        <v>11303.726516999999</v>
      </c>
      <c r="Q3014" s="282" t="e">
        <f>(INDEX(Tabla6[#All],MATCH(Tabla4[[#This Row],[Producto]],Tabla6[[#All],[PRODUCTO]],0),MATCH(Tabla4[[#This Row],[Mes]],Tabla6[#Headers],0)))</f>
        <v>#N/A</v>
      </c>
      <c r="R3014" s="282" t="e">
        <f>++Tabla4[[#This Row],[Precio Unitario Neto]]-Tabla4[[#This Row],[20.85%]]-Tabla4[[#This Row],[Costo]]</f>
        <v>#N/A</v>
      </c>
      <c r="S3014" s="282" t="e">
        <f>++Tabla4[[#This Row],[U. Bruta Uni]]*Tabla4[[#This Row],[Cantidad]]</f>
        <v>#N/A</v>
      </c>
      <c r="T3014" s="369" t="str">
        <f>VLOOKUP(Tabla4[[#This Row],[Producto]],Tabla6[#All],14,FALSE)</f>
        <v>Termico Solar</v>
      </c>
      <c r="U3014" s="284" t="e">
        <f>(IF(Tabla4[[#This Row],[Familia]]="termico solar",Tabla4[[#This Row],[Utilidad Total]]*6%,Tabla4[[#This Row],[Utilidad Total]]*11.5%))/Tabla4[[#This Row],[Total]]</f>
        <v>#N/A</v>
      </c>
      <c r="V3014" s="282" t="e">
        <f>+Tabla4[[#This Row],[Comisión Calculada]]*Tabla4[[#This Row],[Total]]</f>
        <v>#N/A</v>
      </c>
    </row>
    <row r="3015" spans="1:22" hidden="1" x14ac:dyDescent="0.25">
      <c r="A3015" s="100">
        <v>45792</v>
      </c>
      <c r="B3015" t="str">
        <f t="shared" si="143"/>
        <v>May</v>
      </c>
      <c r="C3015" s="46" t="s">
        <v>280</v>
      </c>
      <c r="F3015" s="366" t="s">
        <v>1876</v>
      </c>
      <c r="G3015" s="46" t="s">
        <v>83</v>
      </c>
      <c r="H3015" s="46">
        <v>1</v>
      </c>
      <c r="I3015" s="51">
        <v>8858.76</v>
      </c>
      <c r="J3015" s="281">
        <f>++Tabla4[[#This Row],[Precio Bruto]]*1.16</f>
        <v>10276.161599999999</v>
      </c>
      <c r="K3015" s="281">
        <f>+Tabla4[[#This Row],[Precio Unitario Neto]]*Tabla4[[#Headers],[20.85%]]</f>
        <v>2142.5796935999997</v>
      </c>
      <c r="L3015" s="282">
        <f>++Tabla4[[#This Row],[Precio Unitario Neto]]-Tabla4[[#This Row],[20.85%]]</f>
        <v>8133.5819063999998</v>
      </c>
      <c r="M3015" s="282" t="e">
        <f>(INDEX(Tabla6[#All],MATCH(Tabla4[[#This Row],[Producto]],Tabla6[[#All],[PRODUCTO]],0),MATCH(Tabla4[[#This Row],[Mes]],Tabla6[#Headers],0)))*(1+Catalogos!$L$2)</f>
        <v>#N/A</v>
      </c>
      <c r="N3015" s="283" t="e">
        <f>+(Tabla4[[#This Row],[Precio Descontado]]-Tabla4[[#This Row],[Precio Base]])*Tabla4[[#This Row],[Cantidad]]</f>
        <v>#N/A</v>
      </c>
      <c r="O3015" s="284" t="e">
        <f>++Tabla4[[#This Row],[Utilidad Total]]/Tabla4[[#This Row],[Total]]</f>
        <v>#N/A</v>
      </c>
      <c r="P3015" s="282">
        <f>++Tabla4[[#This Row],[Precio Descontado]]*Tabla4[[#This Row],[Cantidad]]</f>
        <v>8133.5819063999998</v>
      </c>
      <c r="Q3015" s="282" t="e">
        <f>(INDEX(Tabla6[#All],MATCH(Tabla4[[#This Row],[Producto]],Tabla6[[#All],[PRODUCTO]],0),MATCH(Tabla4[[#This Row],[Mes]],Tabla6[#Headers],0)))</f>
        <v>#N/A</v>
      </c>
      <c r="R3015" s="282" t="e">
        <f>++Tabla4[[#This Row],[Precio Unitario Neto]]-Tabla4[[#This Row],[20.85%]]-Tabla4[[#This Row],[Costo]]</f>
        <v>#N/A</v>
      </c>
      <c r="S3015" s="282" t="e">
        <f>++Tabla4[[#This Row],[U. Bruta Uni]]*Tabla4[[#This Row],[Cantidad]]</f>
        <v>#N/A</v>
      </c>
      <c r="T3015" s="369" t="str">
        <f>VLOOKUP(Tabla4[[#This Row],[Producto]],Tabla6[#All],14,FALSE)</f>
        <v>Termico Solar</v>
      </c>
      <c r="U3015" s="284" t="e">
        <f>(IF(Tabla4[[#This Row],[Familia]]="termico solar",Tabla4[[#This Row],[Utilidad Total]]*6%,Tabla4[[#This Row],[Utilidad Total]]*11.5%))/Tabla4[[#This Row],[Total]]</f>
        <v>#N/A</v>
      </c>
      <c r="V3015" s="282" t="e">
        <f>+Tabla4[[#This Row],[Comisión Calculada]]*Tabla4[[#This Row],[Total]]</f>
        <v>#N/A</v>
      </c>
    </row>
    <row r="3016" spans="1:22" hidden="1" x14ac:dyDescent="0.25">
      <c r="A3016" s="100">
        <v>45792</v>
      </c>
      <c r="B3016" t="str">
        <f t="shared" si="143"/>
        <v>May</v>
      </c>
      <c r="C3016" s="46" t="s">
        <v>280</v>
      </c>
      <c r="F3016" s="366" t="s">
        <v>1876</v>
      </c>
      <c r="G3016" s="46" t="s">
        <v>17</v>
      </c>
      <c r="H3016" s="46">
        <v>3</v>
      </c>
      <c r="I3016" s="51">
        <v>4622.28</v>
      </c>
      <c r="J3016" s="281">
        <f>++Tabla4[[#This Row],[Precio Bruto]]*1.16</f>
        <v>5361.8447999999989</v>
      </c>
      <c r="K3016" s="281">
        <f>+Tabla4[[#This Row],[Precio Unitario Neto]]*Tabla4[[#Headers],[20.85%]]</f>
        <v>1117.9446407999997</v>
      </c>
      <c r="L3016" s="282">
        <f>++Tabla4[[#This Row],[Precio Unitario Neto]]-Tabla4[[#This Row],[20.85%]]</f>
        <v>4243.9001591999995</v>
      </c>
      <c r="M3016" s="282" t="e">
        <f>(INDEX(Tabla6[#All],MATCH(Tabla4[[#This Row],[Producto]],Tabla6[[#All],[PRODUCTO]],0),MATCH(Tabla4[[#This Row],[Mes]],Tabla6[#Headers],0)))*(1+Catalogos!$L$2)</f>
        <v>#N/A</v>
      </c>
      <c r="N3016" s="283" t="e">
        <f>+(Tabla4[[#This Row],[Precio Descontado]]-Tabla4[[#This Row],[Precio Base]])*Tabla4[[#This Row],[Cantidad]]</f>
        <v>#N/A</v>
      </c>
      <c r="O3016" s="284" t="e">
        <f>++Tabla4[[#This Row],[Utilidad Total]]/Tabla4[[#This Row],[Total]]</f>
        <v>#N/A</v>
      </c>
      <c r="P3016" s="282">
        <f>++Tabla4[[#This Row],[Precio Descontado]]*Tabla4[[#This Row],[Cantidad]]</f>
        <v>12731.700477599999</v>
      </c>
      <c r="Q3016" s="282" t="e">
        <f>(INDEX(Tabla6[#All],MATCH(Tabla4[[#This Row],[Producto]],Tabla6[[#All],[PRODUCTO]],0),MATCH(Tabla4[[#This Row],[Mes]],Tabla6[#Headers],0)))</f>
        <v>#N/A</v>
      </c>
      <c r="R3016" s="282" t="e">
        <f>++Tabla4[[#This Row],[Precio Unitario Neto]]-Tabla4[[#This Row],[20.85%]]-Tabla4[[#This Row],[Costo]]</f>
        <v>#N/A</v>
      </c>
      <c r="S3016" s="282" t="e">
        <f>++Tabla4[[#This Row],[U. Bruta Uni]]*Tabla4[[#This Row],[Cantidad]]</f>
        <v>#N/A</v>
      </c>
      <c r="T3016" s="369" t="str">
        <f>VLOOKUP(Tabla4[[#This Row],[Producto]],Tabla6[#All],14,FALSE)</f>
        <v>Termico Solar</v>
      </c>
      <c r="U3016" s="284" t="e">
        <f>(IF(Tabla4[[#This Row],[Familia]]="termico solar",Tabla4[[#This Row],[Utilidad Total]]*6%,Tabla4[[#This Row],[Utilidad Total]]*11.5%))/Tabla4[[#This Row],[Total]]</f>
        <v>#N/A</v>
      </c>
      <c r="V3016" s="282" t="e">
        <f>+Tabla4[[#This Row],[Comisión Calculada]]*Tabla4[[#This Row],[Total]]</f>
        <v>#N/A</v>
      </c>
    </row>
    <row r="3017" spans="1:22" hidden="1" x14ac:dyDescent="0.25">
      <c r="A3017" s="100">
        <v>45792</v>
      </c>
      <c r="B3017" t="str">
        <f t="shared" si="143"/>
        <v>May</v>
      </c>
      <c r="C3017" s="46" t="s">
        <v>280</v>
      </c>
      <c r="F3017" s="366" t="s">
        <v>1876</v>
      </c>
      <c r="G3017" s="46" t="s">
        <v>16</v>
      </c>
      <c r="H3017" s="46">
        <v>2</v>
      </c>
      <c r="I3017" s="51">
        <v>4103.8500000000004</v>
      </c>
      <c r="J3017" s="281">
        <f>++Tabla4[[#This Row],[Precio Bruto]]*1.16</f>
        <v>4760.4660000000003</v>
      </c>
      <c r="K3017" s="281">
        <f>+Tabla4[[#This Row],[Precio Unitario Neto]]*Tabla4[[#Headers],[20.85%]]</f>
        <v>992.55716100000006</v>
      </c>
      <c r="L3017" s="282">
        <f>++Tabla4[[#This Row],[Precio Unitario Neto]]-Tabla4[[#This Row],[20.85%]]</f>
        <v>3767.9088390000002</v>
      </c>
      <c r="M3017" s="282" t="e">
        <f>(INDEX(Tabla6[#All],MATCH(Tabla4[[#This Row],[Producto]],Tabla6[[#All],[PRODUCTO]],0),MATCH(Tabla4[[#This Row],[Mes]],Tabla6[#Headers],0)))*(1+Catalogos!$L$2)</f>
        <v>#N/A</v>
      </c>
      <c r="N3017" s="283" t="e">
        <f>+(Tabla4[[#This Row],[Precio Descontado]]-Tabla4[[#This Row],[Precio Base]])*Tabla4[[#This Row],[Cantidad]]</f>
        <v>#N/A</v>
      </c>
      <c r="O3017" s="284" t="e">
        <f>++Tabla4[[#This Row],[Utilidad Total]]/Tabla4[[#This Row],[Total]]</f>
        <v>#N/A</v>
      </c>
      <c r="P3017" s="282">
        <f>++Tabla4[[#This Row],[Precio Descontado]]*Tabla4[[#This Row],[Cantidad]]</f>
        <v>7535.8176780000003</v>
      </c>
      <c r="Q3017" s="282" t="e">
        <f>(INDEX(Tabla6[#All],MATCH(Tabla4[[#This Row],[Producto]],Tabla6[[#All],[PRODUCTO]],0),MATCH(Tabla4[[#This Row],[Mes]],Tabla6[#Headers],0)))</f>
        <v>#N/A</v>
      </c>
      <c r="R3017" s="282" t="e">
        <f>++Tabla4[[#This Row],[Precio Unitario Neto]]-Tabla4[[#This Row],[20.85%]]-Tabla4[[#This Row],[Costo]]</f>
        <v>#N/A</v>
      </c>
      <c r="S3017" s="282" t="e">
        <f>++Tabla4[[#This Row],[U. Bruta Uni]]*Tabla4[[#This Row],[Cantidad]]</f>
        <v>#N/A</v>
      </c>
      <c r="T3017" s="369" t="str">
        <f>VLOOKUP(Tabla4[[#This Row],[Producto]],Tabla6[#All],14,FALSE)</f>
        <v>Termico Solar</v>
      </c>
      <c r="U3017" s="284" t="e">
        <f>(IF(Tabla4[[#This Row],[Familia]]="termico solar",Tabla4[[#This Row],[Utilidad Total]]*6%,Tabla4[[#This Row],[Utilidad Total]]*11.5%))/Tabla4[[#This Row],[Total]]</f>
        <v>#N/A</v>
      </c>
      <c r="V3017" s="282" t="e">
        <f>+Tabla4[[#This Row],[Comisión Calculada]]*Tabla4[[#This Row],[Total]]</f>
        <v>#N/A</v>
      </c>
    </row>
    <row r="3018" spans="1:22" hidden="1" x14ac:dyDescent="0.25">
      <c r="A3018" s="100">
        <v>45792</v>
      </c>
      <c r="B3018" t="str">
        <f t="shared" si="143"/>
        <v>May</v>
      </c>
      <c r="C3018" s="46" t="s">
        <v>280</v>
      </c>
      <c r="F3018" s="366" t="s">
        <v>1876</v>
      </c>
      <c r="G3018" s="46" t="s">
        <v>208</v>
      </c>
      <c r="H3018" s="46">
        <v>1</v>
      </c>
      <c r="I3018" s="51">
        <v>189.75</v>
      </c>
      <c r="J3018" s="281">
        <f>++Tabla4[[#This Row],[Precio Bruto]]*1.16</f>
        <v>220.10999999999999</v>
      </c>
      <c r="K3018" s="281">
        <f>+Tabla4[[#This Row],[Precio Unitario Neto]]*Tabla4[[#Headers],[20.85%]]</f>
        <v>45.892934999999994</v>
      </c>
      <c r="L3018" s="282">
        <f>++Tabla4[[#This Row],[Precio Unitario Neto]]-Tabla4[[#This Row],[20.85%]]</f>
        <v>174.21706499999999</v>
      </c>
      <c r="M3018" s="282" t="e">
        <f>(INDEX(Tabla6[#All],MATCH(Tabla4[[#This Row],[Producto]],Tabla6[[#All],[PRODUCTO]],0),MATCH(Tabla4[[#This Row],[Mes]],Tabla6[#Headers],0)))*(1+Catalogos!$L$2)</f>
        <v>#N/A</v>
      </c>
      <c r="N3018" s="283" t="e">
        <f>+(Tabla4[[#This Row],[Precio Descontado]]-Tabla4[[#This Row],[Precio Base]])*Tabla4[[#This Row],[Cantidad]]</f>
        <v>#N/A</v>
      </c>
      <c r="O3018" s="284" t="e">
        <f>++Tabla4[[#This Row],[Utilidad Total]]/Tabla4[[#This Row],[Total]]</f>
        <v>#N/A</v>
      </c>
      <c r="P3018" s="282">
        <f>++Tabla4[[#This Row],[Precio Descontado]]*Tabla4[[#This Row],[Cantidad]]</f>
        <v>174.21706499999999</v>
      </c>
      <c r="Q3018" s="282" t="e">
        <f>(INDEX(Tabla6[#All],MATCH(Tabla4[[#This Row],[Producto]],Tabla6[[#All],[PRODUCTO]],0),MATCH(Tabla4[[#This Row],[Mes]],Tabla6[#Headers],0)))</f>
        <v>#N/A</v>
      </c>
      <c r="R3018" s="282" t="e">
        <f>++Tabla4[[#This Row],[Precio Unitario Neto]]-Tabla4[[#This Row],[20.85%]]-Tabla4[[#This Row],[Costo]]</f>
        <v>#N/A</v>
      </c>
      <c r="S3018" s="282" t="e">
        <f>++Tabla4[[#This Row],[U. Bruta Uni]]*Tabla4[[#This Row],[Cantidad]]</f>
        <v>#N/A</v>
      </c>
      <c r="T3018" s="369" t="str">
        <f>VLOOKUP(Tabla4[[#This Row],[Producto]],Tabla6[#All],14,FALSE)</f>
        <v>Termico Solar</v>
      </c>
      <c r="U3018" s="284" t="e">
        <f>(IF(Tabla4[[#This Row],[Familia]]="termico solar",Tabla4[[#This Row],[Utilidad Total]]*6%,Tabla4[[#This Row],[Utilidad Total]]*11.5%))/Tabla4[[#This Row],[Total]]</f>
        <v>#N/A</v>
      </c>
      <c r="V3018" s="282" t="e">
        <f>+Tabla4[[#This Row],[Comisión Calculada]]*Tabla4[[#This Row],[Total]]</f>
        <v>#N/A</v>
      </c>
    </row>
    <row r="3019" spans="1:22" hidden="1" x14ac:dyDescent="0.25">
      <c r="A3019" s="100">
        <v>45792</v>
      </c>
      <c r="B3019" t="str">
        <f t="shared" si="143"/>
        <v>May</v>
      </c>
      <c r="C3019" s="46" t="s">
        <v>280</v>
      </c>
      <c r="F3019" s="366" t="s">
        <v>1877</v>
      </c>
      <c r="G3019" s="46" t="s">
        <v>18</v>
      </c>
      <c r="H3019" s="46">
        <v>1</v>
      </c>
      <c r="I3019" s="51">
        <v>5367.65</v>
      </c>
      <c r="J3019" s="281">
        <f>++Tabla4[[#This Row],[Precio Bruto]]*1.16</f>
        <v>6226.4739999999993</v>
      </c>
      <c r="K3019" s="281">
        <f>+Tabla4[[#This Row],[Precio Unitario Neto]]*Tabla4[[#Headers],[20.85%]]</f>
        <v>1298.2198289999999</v>
      </c>
      <c r="L3019" s="282">
        <f>++Tabla4[[#This Row],[Precio Unitario Neto]]-Tabla4[[#This Row],[20.85%]]</f>
        <v>4928.2541709999996</v>
      </c>
      <c r="M3019" s="282" t="e">
        <f>(INDEX(Tabla6[#All],MATCH(Tabla4[[#This Row],[Producto]],Tabla6[[#All],[PRODUCTO]],0),MATCH(Tabla4[[#This Row],[Mes]],Tabla6[#Headers],0)))*(1+Catalogos!$L$2)</f>
        <v>#N/A</v>
      </c>
      <c r="N3019" s="283" t="e">
        <f>+(Tabla4[[#This Row],[Precio Descontado]]-Tabla4[[#This Row],[Precio Base]])*Tabla4[[#This Row],[Cantidad]]</f>
        <v>#N/A</v>
      </c>
      <c r="O3019" s="284" t="e">
        <f>++Tabla4[[#This Row],[Utilidad Total]]/Tabla4[[#This Row],[Total]]</f>
        <v>#N/A</v>
      </c>
      <c r="P3019" s="282">
        <f>++Tabla4[[#This Row],[Precio Descontado]]*Tabla4[[#This Row],[Cantidad]]</f>
        <v>4928.2541709999996</v>
      </c>
      <c r="Q3019" s="282" t="e">
        <f>(INDEX(Tabla6[#All],MATCH(Tabla4[[#This Row],[Producto]],Tabla6[[#All],[PRODUCTO]],0),MATCH(Tabla4[[#This Row],[Mes]],Tabla6[#Headers],0)))</f>
        <v>#N/A</v>
      </c>
      <c r="R3019" s="282" t="e">
        <f>++Tabla4[[#This Row],[Precio Unitario Neto]]-Tabla4[[#This Row],[20.85%]]-Tabla4[[#This Row],[Costo]]</f>
        <v>#N/A</v>
      </c>
      <c r="S3019" s="282" t="e">
        <f>++Tabla4[[#This Row],[U. Bruta Uni]]*Tabla4[[#This Row],[Cantidad]]</f>
        <v>#N/A</v>
      </c>
      <c r="T3019" s="369" t="str">
        <f>VLOOKUP(Tabla4[[#This Row],[Producto]],Tabla6[#All],14,FALSE)</f>
        <v>Termico Solar</v>
      </c>
      <c r="U3019" s="284" t="e">
        <f>(IF(Tabla4[[#This Row],[Familia]]="termico solar",Tabla4[[#This Row],[Utilidad Total]]*6%,Tabla4[[#This Row],[Utilidad Total]]*11.5%))/Tabla4[[#This Row],[Total]]</f>
        <v>#N/A</v>
      </c>
      <c r="V3019" s="282" t="e">
        <f>+Tabla4[[#This Row],[Comisión Calculada]]*Tabla4[[#This Row],[Total]]</f>
        <v>#N/A</v>
      </c>
    </row>
    <row r="3020" spans="1:22" hidden="1" x14ac:dyDescent="0.25">
      <c r="A3020" s="100">
        <v>45792</v>
      </c>
      <c r="B3020" t="str">
        <f t="shared" si="143"/>
        <v>May</v>
      </c>
      <c r="C3020" s="46" t="s">
        <v>280</v>
      </c>
      <c r="F3020" s="366" t="s">
        <v>1877</v>
      </c>
      <c r="G3020" s="46" t="s">
        <v>208</v>
      </c>
      <c r="H3020" s="46">
        <v>2</v>
      </c>
      <c r="I3020" s="51">
        <v>189.75</v>
      </c>
      <c r="J3020" s="281">
        <f>++Tabla4[[#This Row],[Precio Bruto]]*1.16</f>
        <v>220.10999999999999</v>
      </c>
      <c r="K3020" s="281">
        <f>+Tabla4[[#This Row],[Precio Unitario Neto]]*Tabla4[[#Headers],[20.85%]]</f>
        <v>45.892934999999994</v>
      </c>
      <c r="L3020" s="282">
        <f>++Tabla4[[#This Row],[Precio Unitario Neto]]-Tabla4[[#This Row],[20.85%]]</f>
        <v>174.21706499999999</v>
      </c>
      <c r="M3020" s="282" t="e">
        <f>(INDEX(Tabla6[#All],MATCH(Tabla4[[#This Row],[Producto]],Tabla6[[#All],[PRODUCTO]],0),MATCH(Tabla4[[#This Row],[Mes]],Tabla6[#Headers],0)))*(1+Catalogos!$L$2)</f>
        <v>#N/A</v>
      </c>
      <c r="N3020" s="283" t="e">
        <f>+(Tabla4[[#This Row],[Precio Descontado]]-Tabla4[[#This Row],[Precio Base]])*Tabla4[[#This Row],[Cantidad]]</f>
        <v>#N/A</v>
      </c>
      <c r="O3020" s="284" t="e">
        <f>++Tabla4[[#This Row],[Utilidad Total]]/Tabla4[[#This Row],[Total]]</f>
        <v>#N/A</v>
      </c>
      <c r="P3020" s="282">
        <f>++Tabla4[[#This Row],[Precio Descontado]]*Tabla4[[#This Row],[Cantidad]]</f>
        <v>348.43412999999998</v>
      </c>
      <c r="Q3020" s="282" t="e">
        <f>(INDEX(Tabla6[#All],MATCH(Tabla4[[#This Row],[Producto]],Tabla6[[#All],[PRODUCTO]],0),MATCH(Tabla4[[#This Row],[Mes]],Tabla6[#Headers],0)))</f>
        <v>#N/A</v>
      </c>
      <c r="R3020" s="282" t="e">
        <f>++Tabla4[[#This Row],[Precio Unitario Neto]]-Tabla4[[#This Row],[20.85%]]-Tabla4[[#This Row],[Costo]]</f>
        <v>#N/A</v>
      </c>
      <c r="S3020" s="282" t="e">
        <f>++Tabla4[[#This Row],[U. Bruta Uni]]*Tabla4[[#This Row],[Cantidad]]</f>
        <v>#N/A</v>
      </c>
      <c r="T3020" s="369" t="str">
        <f>VLOOKUP(Tabla4[[#This Row],[Producto]],Tabla6[#All],14,FALSE)</f>
        <v>Termico Solar</v>
      </c>
      <c r="U3020" s="284" t="e">
        <f>(IF(Tabla4[[#This Row],[Familia]]="termico solar",Tabla4[[#This Row],[Utilidad Total]]*6%,Tabla4[[#This Row],[Utilidad Total]]*11.5%))/Tabla4[[#This Row],[Total]]</f>
        <v>#N/A</v>
      </c>
      <c r="V3020" s="282" t="e">
        <f>+Tabla4[[#This Row],[Comisión Calculada]]*Tabla4[[#This Row],[Total]]</f>
        <v>#N/A</v>
      </c>
    </row>
    <row r="3021" spans="1:22" hidden="1" x14ac:dyDescent="0.25">
      <c r="A3021" s="100">
        <v>45792</v>
      </c>
      <c r="B3021" t="str">
        <f t="shared" si="143"/>
        <v>May</v>
      </c>
      <c r="C3021" s="46" t="s">
        <v>280</v>
      </c>
      <c r="F3021" s="366" t="s">
        <v>1878</v>
      </c>
      <c r="G3021" s="46" t="s">
        <v>566</v>
      </c>
      <c r="H3021" s="46">
        <v>1</v>
      </c>
      <c r="I3021" s="51">
        <v>2109.4499999999998</v>
      </c>
      <c r="J3021" s="281">
        <f>++Tabla4[[#This Row],[Precio Bruto]]*1.16</f>
        <v>2446.9619999999995</v>
      </c>
      <c r="K3021" s="281">
        <f>+Tabla4[[#This Row],[Precio Unitario Neto]]*Tabla4[[#Headers],[20.85%]]</f>
        <v>510.19157699999988</v>
      </c>
      <c r="L3021" s="282">
        <f>++Tabla4[[#This Row],[Precio Unitario Neto]]-Tabla4[[#This Row],[20.85%]]</f>
        <v>1936.7704229999997</v>
      </c>
      <c r="M3021" s="282" t="e">
        <f>(INDEX(Tabla6[#All],MATCH(Tabla4[[#This Row],[Producto]],Tabla6[[#All],[PRODUCTO]],0),MATCH(Tabla4[[#This Row],[Mes]],Tabla6[#Headers],0)))*(1+Catalogos!$L$2)</f>
        <v>#N/A</v>
      </c>
      <c r="N3021" s="283" t="e">
        <f>+(Tabla4[[#This Row],[Precio Descontado]]-Tabla4[[#This Row],[Precio Base]])*Tabla4[[#This Row],[Cantidad]]</f>
        <v>#N/A</v>
      </c>
      <c r="O3021" s="284" t="e">
        <f>++Tabla4[[#This Row],[Utilidad Total]]/Tabla4[[#This Row],[Total]]</f>
        <v>#N/A</v>
      </c>
      <c r="P3021" s="282">
        <f>++Tabla4[[#This Row],[Precio Descontado]]*Tabla4[[#This Row],[Cantidad]]</f>
        <v>1936.7704229999997</v>
      </c>
      <c r="Q3021" s="282" t="e">
        <f>(INDEX(Tabla6[#All],MATCH(Tabla4[[#This Row],[Producto]],Tabla6[[#All],[PRODUCTO]],0),MATCH(Tabla4[[#This Row],[Mes]],Tabla6[#Headers],0)))</f>
        <v>#N/A</v>
      </c>
      <c r="R3021" s="282" t="e">
        <f>++Tabla4[[#This Row],[Precio Unitario Neto]]-Tabla4[[#This Row],[20.85%]]-Tabla4[[#This Row],[Costo]]</f>
        <v>#N/A</v>
      </c>
      <c r="S3021" s="282" t="e">
        <f>++Tabla4[[#This Row],[U. Bruta Uni]]*Tabla4[[#This Row],[Cantidad]]</f>
        <v>#N/A</v>
      </c>
      <c r="T3021" s="369" t="str">
        <f>VLOOKUP(Tabla4[[#This Row],[Producto]],Tabla6[#All],14,FALSE)</f>
        <v>Termico Solar</v>
      </c>
      <c r="U3021" s="284" t="e">
        <f>(IF(Tabla4[[#This Row],[Familia]]="termico solar",Tabla4[[#This Row],[Utilidad Total]]*6%,Tabla4[[#This Row],[Utilidad Total]]*11.5%))/Tabla4[[#This Row],[Total]]</f>
        <v>#N/A</v>
      </c>
      <c r="V3021" s="282" t="e">
        <f>+Tabla4[[#This Row],[Comisión Calculada]]*Tabla4[[#This Row],[Total]]</f>
        <v>#N/A</v>
      </c>
    </row>
    <row r="3022" spans="1:22" hidden="1" x14ac:dyDescent="0.25">
      <c r="A3022" s="100">
        <v>45792</v>
      </c>
      <c r="B3022" t="str">
        <f t="shared" si="143"/>
        <v>May</v>
      </c>
      <c r="C3022" s="46" t="s">
        <v>280</v>
      </c>
      <c r="F3022" s="366" t="s">
        <v>1878</v>
      </c>
      <c r="G3022" s="46" t="s">
        <v>412</v>
      </c>
      <c r="H3022" s="46">
        <v>1</v>
      </c>
      <c r="I3022" s="51">
        <v>3240.84</v>
      </c>
      <c r="J3022" s="281">
        <f>++Tabla4[[#This Row],[Precio Bruto]]*1.16</f>
        <v>3759.3743999999997</v>
      </c>
      <c r="K3022" s="281">
        <f>+Tabla4[[#This Row],[Precio Unitario Neto]]*Tabla4[[#Headers],[20.85%]]</f>
        <v>783.82956239999987</v>
      </c>
      <c r="L3022" s="282">
        <f>++Tabla4[[#This Row],[Precio Unitario Neto]]-Tabla4[[#This Row],[20.85%]]</f>
        <v>2975.5448375999999</v>
      </c>
      <c r="M3022" s="282" t="e">
        <f>(INDEX(Tabla6[#All],MATCH(Tabla4[[#This Row],[Producto]],Tabla6[[#All],[PRODUCTO]],0),MATCH(Tabla4[[#This Row],[Mes]],Tabla6[#Headers],0)))*(1+Catalogos!$L$2)</f>
        <v>#N/A</v>
      </c>
      <c r="N3022" s="283" t="e">
        <f>+(Tabla4[[#This Row],[Precio Descontado]]-Tabla4[[#This Row],[Precio Base]])*Tabla4[[#This Row],[Cantidad]]</f>
        <v>#N/A</v>
      </c>
      <c r="O3022" s="284" t="e">
        <f>++Tabla4[[#This Row],[Utilidad Total]]/Tabla4[[#This Row],[Total]]</f>
        <v>#N/A</v>
      </c>
      <c r="P3022" s="282">
        <f>++Tabla4[[#This Row],[Precio Descontado]]*Tabla4[[#This Row],[Cantidad]]</f>
        <v>2975.5448375999999</v>
      </c>
      <c r="Q3022" s="282" t="e">
        <f>(INDEX(Tabla6[#All],MATCH(Tabla4[[#This Row],[Producto]],Tabla6[[#All],[PRODUCTO]],0),MATCH(Tabla4[[#This Row],[Mes]],Tabla6[#Headers],0)))</f>
        <v>#N/A</v>
      </c>
      <c r="R3022" s="282" t="e">
        <f>++Tabla4[[#This Row],[Precio Unitario Neto]]-Tabla4[[#This Row],[20.85%]]-Tabla4[[#This Row],[Costo]]</f>
        <v>#N/A</v>
      </c>
      <c r="S3022" s="282" t="e">
        <f>++Tabla4[[#This Row],[U. Bruta Uni]]*Tabla4[[#This Row],[Cantidad]]</f>
        <v>#N/A</v>
      </c>
      <c r="T3022" s="369" t="str">
        <f>VLOOKUP(Tabla4[[#This Row],[Producto]],Tabla6[#All],14,FALSE)</f>
        <v>Termico Solar</v>
      </c>
      <c r="U3022" s="284" t="e">
        <f>(IF(Tabla4[[#This Row],[Familia]]="termico solar",Tabla4[[#This Row],[Utilidad Total]]*6%,Tabla4[[#This Row],[Utilidad Total]]*11.5%))/Tabla4[[#This Row],[Total]]</f>
        <v>#N/A</v>
      </c>
      <c r="V3022" s="282" t="e">
        <f>+Tabla4[[#This Row],[Comisión Calculada]]*Tabla4[[#This Row],[Total]]</f>
        <v>#N/A</v>
      </c>
    </row>
    <row r="3023" spans="1:22" hidden="1" x14ac:dyDescent="0.25">
      <c r="A3023" s="100">
        <v>45792</v>
      </c>
      <c r="B3023" t="str">
        <f t="shared" si="143"/>
        <v>May</v>
      </c>
      <c r="C3023" s="46" t="s">
        <v>280</v>
      </c>
      <c r="F3023" s="366" t="s">
        <v>1879</v>
      </c>
      <c r="G3023" s="46" t="s">
        <v>83</v>
      </c>
      <c r="H3023" s="46">
        <v>1</v>
      </c>
      <c r="I3023" s="51">
        <v>8858.76</v>
      </c>
      <c r="J3023" s="281">
        <f>++Tabla4[[#This Row],[Precio Bruto]]*1.16</f>
        <v>10276.161599999999</v>
      </c>
      <c r="K3023" s="281">
        <f>+Tabla4[[#This Row],[Precio Unitario Neto]]*Tabla4[[#Headers],[20.85%]]</f>
        <v>2142.5796935999997</v>
      </c>
      <c r="L3023" s="282">
        <f>++Tabla4[[#This Row],[Precio Unitario Neto]]-Tabla4[[#This Row],[20.85%]]</f>
        <v>8133.5819063999998</v>
      </c>
      <c r="M3023" s="282" t="e">
        <f>(INDEX(Tabla6[#All],MATCH(Tabla4[[#This Row],[Producto]],Tabla6[[#All],[PRODUCTO]],0),MATCH(Tabla4[[#This Row],[Mes]],Tabla6[#Headers],0)))*(1+Catalogos!$L$2)</f>
        <v>#N/A</v>
      </c>
      <c r="N3023" s="283" t="e">
        <f>+(Tabla4[[#This Row],[Precio Descontado]]-Tabla4[[#This Row],[Precio Base]])*Tabla4[[#This Row],[Cantidad]]</f>
        <v>#N/A</v>
      </c>
      <c r="O3023" s="284" t="e">
        <f>++Tabla4[[#This Row],[Utilidad Total]]/Tabla4[[#This Row],[Total]]</f>
        <v>#N/A</v>
      </c>
      <c r="P3023" s="282">
        <f>++Tabla4[[#This Row],[Precio Descontado]]*Tabla4[[#This Row],[Cantidad]]</f>
        <v>8133.5819063999998</v>
      </c>
      <c r="Q3023" s="282" t="e">
        <f>(INDEX(Tabla6[#All],MATCH(Tabla4[[#This Row],[Producto]],Tabla6[[#All],[PRODUCTO]],0),MATCH(Tabla4[[#This Row],[Mes]],Tabla6[#Headers],0)))</f>
        <v>#N/A</v>
      </c>
      <c r="R3023" s="282" t="e">
        <f>++Tabla4[[#This Row],[Precio Unitario Neto]]-Tabla4[[#This Row],[20.85%]]-Tabla4[[#This Row],[Costo]]</f>
        <v>#N/A</v>
      </c>
      <c r="S3023" s="282" t="e">
        <f>++Tabla4[[#This Row],[U. Bruta Uni]]*Tabla4[[#This Row],[Cantidad]]</f>
        <v>#N/A</v>
      </c>
      <c r="T3023" s="369" t="str">
        <f>VLOOKUP(Tabla4[[#This Row],[Producto]],Tabla6[#All],14,FALSE)</f>
        <v>Termico Solar</v>
      </c>
      <c r="U3023" s="284" t="e">
        <f>(IF(Tabla4[[#This Row],[Familia]]="termico solar",Tabla4[[#This Row],[Utilidad Total]]*6%,Tabla4[[#This Row],[Utilidad Total]]*11.5%))/Tabla4[[#This Row],[Total]]</f>
        <v>#N/A</v>
      </c>
      <c r="V3023" s="282" t="e">
        <f>+Tabla4[[#This Row],[Comisión Calculada]]*Tabla4[[#This Row],[Total]]</f>
        <v>#N/A</v>
      </c>
    </row>
    <row r="3024" spans="1:22" hidden="1" x14ac:dyDescent="0.25">
      <c r="A3024" s="100">
        <v>45792</v>
      </c>
      <c r="B3024" t="str">
        <f t="shared" si="143"/>
        <v>May</v>
      </c>
      <c r="C3024" s="46" t="s">
        <v>280</v>
      </c>
      <c r="F3024" s="366" t="s">
        <v>1879</v>
      </c>
      <c r="G3024" s="46" t="s">
        <v>17</v>
      </c>
      <c r="H3024" s="46">
        <v>2</v>
      </c>
      <c r="I3024" s="51">
        <v>4622.28</v>
      </c>
      <c r="J3024" s="281">
        <f>++Tabla4[[#This Row],[Precio Bruto]]*1.16</f>
        <v>5361.8447999999989</v>
      </c>
      <c r="K3024" s="281">
        <f>+Tabla4[[#This Row],[Precio Unitario Neto]]*Tabla4[[#Headers],[20.85%]]</f>
        <v>1117.9446407999997</v>
      </c>
      <c r="L3024" s="282">
        <f>++Tabla4[[#This Row],[Precio Unitario Neto]]-Tabla4[[#This Row],[20.85%]]</f>
        <v>4243.9001591999995</v>
      </c>
      <c r="M3024" s="282" t="e">
        <f>(INDEX(Tabla6[#All],MATCH(Tabla4[[#This Row],[Producto]],Tabla6[[#All],[PRODUCTO]],0),MATCH(Tabla4[[#This Row],[Mes]],Tabla6[#Headers],0)))*(1+Catalogos!$L$2)</f>
        <v>#N/A</v>
      </c>
      <c r="N3024" s="283" t="e">
        <f>+(Tabla4[[#This Row],[Precio Descontado]]-Tabla4[[#This Row],[Precio Base]])*Tabla4[[#This Row],[Cantidad]]</f>
        <v>#N/A</v>
      </c>
      <c r="O3024" s="284" t="e">
        <f>++Tabla4[[#This Row],[Utilidad Total]]/Tabla4[[#This Row],[Total]]</f>
        <v>#N/A</v>
      </c>
      <c r="P3024" s="282">
        <f>++Tabla4[[#This Row],[Precio Descontado]]*Tabla4[[#This Row],[Cantidad]]</f>
        <v>8487.800318399999</v>
      </c>
      <c r="Q3024" s="282" t="e">
        <f>(INDEX(Tabla6[#All],MATCH(Tabla4[[#This Row],[Producto]],Tabla6[[#All],[PRODUCTO]],0),MATCH(Tabla4[[#This Row],[Mes]],Tabla6[#Headers],0)))</f>
        <v>#N/A</v>
      </c>
      <c r="R3024" s="282" t="e">
        <f>++Tabla4[[#This Row],[Precio Unitario Neto]]-Tabla4[[#This Row],[20.85%]]-Tabla4[[#This Row],[Costo]]</f>
        <v>#N/A</v>
      </c>
      <c r="S3024" s="282" t="e">
        <f>++Tabla4[[#This Row],[U. Bruta Uni]]*Tabla4[[#This Row],[Cantidad]]</f>
        <v>#N/A</v>
      </c>
      <c r="T3024" s="369" t="str">
        <f>VLOOKUP(Tabla4[[#This Row],[Producto]],Tabla6[#All],14,FALSE)</f>
        <v>Termico Solar</v>
      </c>
      <c r="U3024" s="284" t="e">
        <f>(IF(Tabla4[[#This Row],[Familia]]="termico solar",Tabla4[[#This Row],[Utilidad Total]]*6%,Tabla4[[#This Row],[Utilidad Total]]*11.5%))/Tabla4[[#This Row],[Total]]</f>
        <v>#N/A</v>
      </c>
      <c r="V3024" s="282" t="e">
        <f>+Tabla4[[#This Row],[Comisión Calculada]]*Tabla4[[#This Row],[Total]]</f>
        <v>#N/A</v>
      </c>
    </row>
    <row r="3025" spans="1:22" hidden="1" x14ac:dyDescent="0.25">
      <c r="A3025" s="100">
        <v>45792</v>
      </c>
      <c r="B3025" t="str">
        <f t="shared" si="143"/>
        <v>May</v>
      </c>
      <c r="C3025" s="46" t="s">
        <v>280</v>
      </c>
      <c r="F3025" s="366" t="s">
        <v>1879</v>
      </c>
      <c r="G3025" s="46" t="s">
        <v>208</v>
      </c>
      <c r="H3025" s="46">
        <v>1</v>
      </c>
      <c r="I3025" s="51">
        <v>189.75</v>
      </c>
      <c r="J3025" s="281">
        <f>++Tabla4[[#This Row],[Precio Bruto]]*1.16</f>
        <v>220.10999999999999</v>
      </c>
      <c r="K3025" s="281">
        <f>+Tabla4[[#This Row],[Precio Unitario Neto]]*Tabla4[[#Headers],[20.85%]]</f>
        <v>45.892934999999994</v>
      </c>
      <c r="L3025" s="282">
        <f>++Tabla4[[#This Row],[Precio Unitario Neto]]-Tabla4[[#This Row],[20.85%]]</f>
        <v>174.21706499999999</v>
      </c>
      <c r="M3025" s="282" t="e">
        <f>(INDEX(Tabla6[#All],MATCH(Tabla4[[#This Row],[Producto]],Tabla6[[#All],[PRODUCTO]],0),MATCH(Tabla4[[#This Row],[Mes]],Tabla6[#Headers],0)))*(1+Catalogos!$L$2)</f>
        <v>#N/A</v>
      </c>
      <c r="N3025" s="283" t="e">
        <f>+(Tabla4[[#This Row],[Precio Descontado]]-Tabla4[[#This Row],[Precio Base]])*Tabla4[[#This Row],[Cantidad]]</f>
        <v>#N/A</v>
      </c>
      <c r="O3025" s="284" t="e">
        <f>++Tabla4[[#This Row],[Utilidad Total]]/Tabla4[[#This Row],[Total]]</f>
        <v>#N/A</v>
      </c>
      <c r="P3025" s="282">
        <f>++Tabla4[[#This Row],[Precio Descontado]]*Tabla4[[#This Row],[Cantidad]]</f>
        <v>174.21706499999999</v>
      </c>
      <c r="Q3025" s="282" t="e">
        <f>(INDEX(Tabla6[#All],MATCH(Tabla4[[#This Row],[Producto]],Tabla6[[#All],[PRODUCTO]],0),MATCH(Tabla4[[#This Row],[Mes]],Tabla6[#Headers],0)))</f>
        <v>#N/A</v>
      </c>
      <c r="R3025" s="282" t="e">
        <f>++Tabla4[[#This Row],[Precio Unitario Neto]]-Tabla4[[#This Row],[20.85%]]-Tabla4[[#This Row],[Costo]]</f>
        <v>#N/A</v>
      </c>
      <c r="S3025" s="282" t="e">
        <f>++Tabla4[[#This Row],[U. Bruta Uni]]*Tabla4[[#This Row],[Cantidad]]</f>
        <v>#N/A</v>
      </c>
      <c r="T3025" s="369" t="str">
        <f>VLOOKUP(Tabla4[[#This Row],[Producto]],Tabla6[#All],14,FALSE)</f>
        <v>Termico Solar</v>
      </c>
      <c r="U3025" s="284" t="e">
        <f>(IF(Tabla4[[#This Row],[Familia]]="termico solar",Tabla4[[#This Row],[Utilidad Total]]*6%,Tabla4[[#This Row],[Utilidad Total]]*11.5%))/Tabla4[[#This Row],[Total]]</f>
        <v>#N/A</v>
      </c>
      <c r="V3025" s="282" t="e">
        <f>+Tabla4[[#This Row],[Comisión Calculada]]*Tabla4[[#This Row],[Total]]</f>
        <v>#N/A</v>
      </c>
    </row>
    <row r="3026" spans="1:22" hidden="1" x14ac:dyDescent="0.25">
      <c r="A3026" s="100">
        <v>45792</v>
      </c>
      <c r="B3026" t="str">
        <f t="shared" si="143"/>
        <v>May</v>
      </c>
      <c r="C3026" s="46" t="s">
        <v>280</v>
      </c>
      <c r="F3026" s="366" t="s">
        <v>1880</v>
      </c>
      <c r="G3026" s="46" t="s">
        <v>83</v>
      </c>
      <c r="H3026" s="46">
        <v>3</v>
      </c>
      <c r="I3026" s="51">
        <v>8858.76</v>
      </c>
      <c r="J3026" s="281">
        <f>++Tabla4[[#This Row],[Precio Bruto]]*1.16</f>
        <v>10276.161599999999</v>
      </c>
      <c r="K3026" s="281">
        <f>+Tabla4[[#This Row],[Precio Unitario Neto]]*Tabla4[[#Headers],[20.85%]]</f>
        <v>2142.5796935999997</v>
      </c>
      <c r="L3026" s="282">
        <f>++Tabla4[[#This Row],[Precio Unitario Neto]]-Tabla4[[#This Row],[20.85%]]</f>
        <v>8133.5819063999998</v>
      </c>
      <c r="M3026" s="282" t="e">
        <f>(INDEX(Tabla6[#All],MATCH(Tabla4[[#This Row],[Producto]],Tabla6[[#All],[PRODUCTO]],0),MATCH(Tabla4[[#This Row],[Mes]],Tabla6[#Headers],0)))*(1+Catalogos!$L$2)</f>
        <v>#N/A</v>
      </c>
      <c r="N3026" s="283" t="e">
        <f>+(Tabla4[[#This Row],[Precio Descontado]]-Tabla4[[#This Row],[Precio Base]])*Tabla4[[#This Row],[Cantidad]]</f>
        <v>#N/A</v>
      </c>
      <c r="O3026" s="284" t="e">
        <f>++Tabla4[[#This Row],[Utilidad Total]]/Tabla4[[#This Row],[Total]]</f>
        <v>#N/A</v>
      </c>
      <c r="P3026" s="282">
        <f>++Tabla4[[#This Row],[Precio Descontado]]*Tabla4[[#This Row],[Cantidad]]</f>
        <v>24400.7457192</v>
      </c>
      <c r="Q3026" s="282" t="e">
        <f>(INDEX(Tabla6[#All],MATCH(Tabla4[[#This Row],[Producto]],Tabla6[[#All],[PRODUCTO]],0),MATCH(Tabla4[[#This Row],[Mes]],Tabla6[#Headers],0)))</f>
        <v>#N/A</v>
      </c>
      <c r="R3026" s="282" t="e">
        <f>++Tabla4[[#This Row],[Precio Unitario Neto]]-Tabla4[[#This Row],[20.85%]]-Tabla4[[#This Row],[Costo]]</f>
        <v>#N/A</v>
      </c>
      <c r="S3026" s="282" t="e">
        <f>++Tabla4[[#This Row],[U. Bruta Uni]]*Tabla4[[#This Row],[Cantidad]]</f>
        <v>#N/A</v>
      </c>
      <c r="T3026" s="369" t="str">
        <f>VLOOKUP(Tabla4[[#This Row],[Producto]],Tabla6[#All],14,FALSE)</f>
        <v>Termico Solar</v>
      </c>
      <c r="U3026" s="284" t="e">
        <f>(IF(Tabla4[[#This Row],[Familia]]="termico solar",Tabla4[[#This Row],[Utilidad Total]]*6%,Tabla4[[#This Row],[Utilidad Total]]*11.5%))/Tabla4[[#This Row],[Total]]</f>
        <v>#N/A</v>
      </c>
      <c r="V3026" s="282" t="e">
        <f>+Tabla4[[#This Row],[Comisión Calculada]]*Tabla4[[#This Row],[Total]]</f>
        <v>#N/A</v>
      </c>
    </row>
    <row r="3027" spans="1:22" hidden="1" x14ac:dyDescent="0.25">
      <c r="A3027" s="100">
        <v>45792</v>
      </c>
      <c r="B3027" t="str">
        <f t="shared" si="143"/>
        <v>May</v>
      </c>
      <c r="C3027" s="46" t="s">
        <v>280</v>
      </c>
      <c r="F3027" s="366" t="s">
        <v>1880</v>
      </c>
      <c r="G3027" s="46" t="s">
        <v>17</v>
      </c>
      <c r="H3027" s="46">
        <v>1</v>
      </c>
      <c r="I3027" s="51">
        <v>4622.28</v>
      </c>
      <c r="J3027" s="281">
        <f>++Tabla4[[#This Row],[Precio Bruto]]*1.16</f>
        <v>5361.8447999999989</v>
      </c>
      <c r="K3027" s="281">
        <f>+Tabla4[[#This Row],[Precio Unitario Neto]]*Tabla4[[#Headers],[20.85%]]</f>
        <v>1117.9446407999997</v>
      </c>
      <c r="L3027" s="282">
        <f>++Tabla4[[#This Row],[Precio Unitario Neto]]-Tabla4[[#This Row],[20.85%]]</f>
        <v>4243.9001591999995</v>
      </c>
      <c r="M3027" s="282" t="e">
        <f>(INDEX(Tabla6[#All],MATCH(Tabla4[[#This Row],[Producto]],Tabla6[[#All],[PRODUCTO]],0),MATCH(Tabla4[[#This Row],[Mes]],Tabla6[#Headers],0)))*(1+Catalogos!$L$2)</f>
        <v>#N/A</v>
      </c>
      <c r="N3027" s="283" t="e">
        <f>+(Tabla4[[#This Row],[Precio Descontado]]-Tabla4[[#This Row],[Precio Base]])*Tabla4[[#This Row],[Cantidad]]</f>
        <v>#N/A</v>
      </c>
      <c r="O3027" s="284" t="e">
        <f>++Tabla4[[#This Row],[Utilidad Total]]/Tabla4[[#This Row],[Total]]</f>
        <v>#N/A</v>
      </c>
      <c r="P3027" s="282">
        <f>++Tabla4[[#This Row],[Precio Descontado]]*Tabla4[[#This Row],[Cantidad]]</f>
        <v>4243.9001591999995</v>
      </c>
      <c r="Q3027" s="282" t="e">
        <f>(INDEX(Tabla6[#All],MATCH(Tabla4[[#This Row],[Producto]],Tabla6[[#All],[PRODUCTO]],0),MATCH(Tabla4[[#This Row],[Mes]],Tabla6[#Headers],0)))</f>
        <v>#N/A</v>
      </c>
      <c r="R3027" s="282" t="e">
        <f>++Tabla4[[#This Row],[Precio Unitario Neto]]-Tabla4[[#This Row],[20.85%]]-Tabla4[[#This Row],[Costo]]</f>
        <v>#N/A</v>
      </c>
      <c r="S3027" s="282" t="e">
        <f>++Tabla4[[#This Row],[U. Bruta Uni]]*Tabla4[[#This Row],[Cantidad]]</f>
        <v>#N/A</v>
      </c>
      <c r="T3027" s="369" t="str">
        <f>VLOOKUP(Tabla4[[#This Row],[Producto]],Tabla6[#All],14,FALSE)</f>
        <v>Termico Solar</v>
      </c>
      <c r="U3027" s="284" t="e">
        <f>(IF(Tabla4[[#This Row],[Familia]]="termico solar",Tabla4[[#This Row],[Utilidad Total]]*6%,Tabla4[[#This Row],[Utilidad Total]]*11.5%))/Tabla4[[#This Row],[Total]]</f>
        <v>#N/A</v>
      </c>
      <c r="V3027" s="282" t="e">
        <f>+Tabla4[[#This Row],[Comisión Calculada]]*Tabla4[[#This Row],[Total]]</f>
        <v>#N/A</v>
      </c>
    </row>
    <row r="3028" spans="1:22" hidden="1" x14ac:dyDescent="0.25">
      <c r="A3028" s="100">
        <v>45792</v>
      </c>
      <c r="B3028" t="str">
        <f t="shared" si="143"/>
        <v>May</v>
      </c>
      <c r="C3028" s="46" t="s">
        <v>280</v>
      </c>
      <c r="F3028" s="366" t="s">
        <v>1880</v>
      </c>
      <c r="G3028" s="46" t="s">
        <v>566</v>
      </c>
      <c r="H3028" s="46">
        <v>1</v>
      </c>
      <c r="I3028" s="51">
        <v>2109.4499999999998</v>
      </c>
      <c r="J3028" s="281">
        <f>++Tabla4[[#This Row],[Precio Bruto]]*1.16</f>
        <v>2446.9619999999995</v>
      </c>
      <c r="K3028" s="281">
        <f>+Tabla4[[#This Row],[Precio Unitario Neto]]*Tabla4[[#Headers],[20.85%]]</f>
        <v>510.19157699999988</v>
      </c>
      <c r="L3028" s="282">
        <f>++Tabla4[[#This Row],[Precio Unitario Neto]]-Tabla4[[#This Row],[20.85%]]</f>
        <v>1936.7704229999997</v>
      </c>
      <c r="M3028" s="282" t="e">
        <f>(INDEX(Tabla6[#All],MATCH(Tabla4[[#This Row],[Producto]],Tabla6[[#All],[PRODUCTO]],0),MATCH(Tabla4[[#This Row],[Mes]],Tabla6[#Headers],0)))*(1+Catalogos!$L$2)</f>
        <v>#N/A</v>
      </c>
      <c r="N3028" s="283" t="e">
        <f>+(Tabla4[[#This Row],[Precio Descontado]]-Tabla4[[#This Row],[Precio Base]])*Tabla4[[#This Row],[Cantidad]]</f>
        <v>#N/A</v>
      </c>
      <c r="O3028" s="284" t="e">
        <f>++Tabla4[[#This Row],[Utilidad Total]]/Tabla4[[#This Row],[Total]]</f>
        <v>#N/A</v>
      </c>
      <c r="P3028" s="282">
        <f>++Tabla4[[#This Row],[Precio Descontado]]*Tabla4[[#This Row],[Cantidad]]</f>
        <v>1936.7704229999997</v>
      </c>
      <c r="Q3028" s="282" t="e">
        <f>(INDEX(Tabla6[#All],MATCH(Tabla4[[#This Row],[Producto]],Tabla6[[#All],[PRODUCTO]],0),MATCH(Tabla4[[#This Row],[Mes]],Tabla6[#Headers],0)))</f>
        <v>#N/A</v>
      </c>
      <c r="R3028" s="282" t="e">
        <f>++Tabla4[[#This Row],[Precio Unitario Neto]]-Tabla4[[#This Row],[20.85%]]-Tabla4[[#This Row],[Costo]]</f>
        <v>#N/A</v>
      </c>
      <c r="S3028" s="282" t="e">
        <f>++Tabla4[[#This Row],[U. Bruta Uni]]*Tabla4[[#This Row],[Cantidad]]</f>
        <v>#N/A</v>
      </c>
      <c r="T3028" s="369" t="str">
        <f>VLOOKUP(Tabla4[[#This Row],[Producto]],Tabla6[#All],14,FALSE)</f>
        <v>Termico Solar</v>
      </c>
      <c r="U3028" s="284" t="e">
        <f>(IF(Tabla4[[#This Row],[Familia]]="termico solar",Tabla4[[#This Row],[Utilidad Total]]*6%,Tabla4[[#This Row],[Utilidad Total]]*11.5%))/Tabla4[[#This Row],[Total]]</f>
        <v>#N/A</v>
      </c>
      <c r="V3028" s="282" t="e">
        <f>+Tabla4[[#This Row],[Comisión Calculada]]*Tabla4[[#This Row],[Total]]</f>
        <v>#N/A</v>
      </c>
    </row>
    <row r="3029" spans="1:22" hidden="1" x14ac:dyDescent="0.25">
      <c r="A3029" s="100">
        <v>45792</v>
      </c>
      <c r="B3029" t="str">
        <f t="shared" si="143"/>
        <v>May</v>
      </c>
      <c r="C3029" s="46" t="s">
        <v>280</v>
      </c>
      <c r="F3029" s="366" t="s">
        <v>1880</v>
      </c>
      <c r="G3029" s="46" t="s">
        <v>16</v>
      </c>
      <c r="H3029" s="46">
        <v>3</v>
      </c>
      <c r="I3029" s="51">
        <v>4103.8499999999995</v>
      </c>
      <c r="J3029" s="281">
        <f>++Tabla4[[#This Row],[Precio Bruto]]*1.16</f>
        <v>4760.4659999999994</v>
      </c>
      <c r="K3029" s="281">
        <f>+Tabla4[[#This Row],[Precio Unitario Neto]]*Tabla4[[#Headers],[20.85%]]</f>
        <v>992.55716099999984</v>
      </c>
      <c r="L3029" s="282">
        <f>++Tabla4[[#This Row],[Precio Unitario Neto]]-Tabla4[[#This Row],[20.85%]]</f>
        <v>3767.9088389999997</v>
      </c>
      <c r="M3029" s="282" t="e">
        <f>(INDEX(Tabla6[#All],MATCH(Tabla4[[#This Row],[Producto]],Tabla6[[#All],[PRODUCTO]],0),MATCH(Tabla4[[#This Row],[Mes]],Tabla6[#Headers],0)))*(1+Catalogos!$L$2)</f>
        <v>#N/A</v>
      </c>
      <c r="N3029" s="283" t="e">
        <f>+(Tabla4[[#This Row],[Precio Descontado]]-Tabla4[[#This Row],[Precio Base]])*Tabla4[[#This Row],[Cantidad]]</f>
        <v>#N/A</v>
      </c>
      <c r="O3029" s="284" t="e">
        <f>++Tabla4[[#This Row],[Utilidad Total]]/Tabla4[[#This Row],[Total]]</f>
        <v>#N/A</v>
      </c>
      <c r="P3029" s="282">
        <f>++Tabla4[[#This Row],[Precio Descontado]]*Tabla4[[#This Row],[Cantidad]]</f>
        <v>11303.726516999999</v>
      </c>
      <c r="Q3029" s="282" t="e">
        <f>(INDEX(Tabla6[#All],MATCH(Tabla4[[#This Row],[Producto]],Tabla6[[#All],[PRODUCTO]],0),MATCH(Tabla4[[#This Row],[Mes]],Tabla6[#Headers],0)))</f>
        <v>#N/A</v>
      </c>
      <c r="R3029" s="282" t="e">
        <f>++Tabla4[[#This Row],[Precio Unitario Neto]]-Tabla4[[#This Row],[20.85%]]-Tabla4[[#This Row],[Costo]]</f>
        <v>#N/A</v>
      </c>
      <c r="S3029" s="282" t="e">
        <f>++Tabla4[[#This Row],[U. Bruta Uni]]*Tabla4[[#This Row],[Cantidad]]</f>
        <v>#N/A</v>
      </c>
      <c r="T3029" s="369" t="str">
        <f>VLOOKUP(Tabla4[[#This Row],[Producto]],Tabla6[#All],14,FALSE)</f>
        <v>Termico Solar</v>
      </c>
      <c r="U3029" s="284" t="e">
        <f>(IF(Tabla4[[#This Row],[Familia]]="termico solar",Tabla4[[#This Row],[Utilidad Total]]*6%,Tabla4[[#This Row],[Utilidad Total]]*11.5%))/Tabla4[[#This Row],[Total]]</f>
        <v>#N/A</v>
      </c>
      <c r="V3029" s="282" t="e">
        <f>+Tabla4[[#This Row],[Comisión Calculada]]*Tabla4[[#This Row],[Total]]</f>
        <v>#N/A</v>
      </c>
    </row>
    <row r="3030" spans="1:22" hidden="1" x14ac:dyDescent="0.25">
      <c r="A3030" s="100">
        <v>45792</v>
      </c>
      <c r="B3030" t="str">
        <f t="shared" si="143"/>
        <v>May</v>
      </c>
      <c r="C3030" s="46" t="s">
        <v>280</v>
      </c>
      <c r="F3030" s="366" t="s">
        <v>1881</v>
      </c>
      <c r="G3030" s="46" t="s">
        <v>83</v>
      </c>
      <c r="H3030" s="46">
        <v>1</v>
      </c>
      <c r="I3030" s="51">
        <v>8858.76</v>
      </c>
      <c r="J3030" s="281">
        <f>++Tabla4[[#This Row],[Precio Bruto]]*1.16</f>
        <v>10276.161599999999</v>
      </c>
      <c r="K3030" s="281">
        <f>+Tabla4[[#This Row],[Precio Unitario Neto]]*Tabla4[[#Headers],[20.85%]]</f>
        <v>2142.5796935999997</v>
      </c>
      <c r="L3030" s="282">
        <f>++Tabla4[[#This Row],[Precio Unitario Neto]]-Tabla4[[#This Row],[20.85%]]</f>
        <v>8133.5819063999998</v>
      </c>
      <c r="M3030" s="282" t="e">
        <f>(INDEX(Tabla6[#All],MATCH(Tabla4[[#This Row],[Producto]],Tabla6[[#All],[PRODUCTO]],0),MATCH(Tabla4[[#This Row],[Mes]],Tabla6[#Headers],0)))*(1+Catalogos!$L$2)</f>
        <v>#N/A</v>
      </c>
      <c r="N3030" s="283" t="e">
        <f>+(Tabla4[[#This Row],[Precio Descontado]]-Tabla4[[#This Row],[Precio Base]])*Tabla4[[#This Row],[Cantidad]]</f>
        <v>#N/A</v>
      </c>
      <c r="O3030" s="284" t="e">
        <f>++Tabla4[[#This Row],[Utilidad Total]]/Tabla4[[#This Row],[Total]]</f>
        <v>#N/A</v>
      </c>
      <c r="P3030" s="282">
        <f>++Tabla4[[#This Row],[Precio Descontado]]*Tabla4[[#This Row],[Cantidad]]</f>
        <v>8133.5819063999998</v>
      </c>
      <c r="Q3030" s="282" t="e">
        <f>(INDEX(Tabla6[#All],MATCH(Tabla4[[#This Row],[Producto]],Tabla6[[#All],[PRODUCTO]],0),MATCH(Tabla4[[#This Row],[Mes]],Tabla6[#Headers],0)))</f>
        <v>#N/A</v>
      </c>
      <c r="R3030" s="282" t="e">
        <f>++Tabla4[[#This Row],[Precio Unitario Neto]]-Tabla4[[#This Row],[20.85%]]-Tabla4[[#This Row],[Costo]]</f>
        <v>#N/A</v>
      </c>
      <c r="S3030" s="282" t="e">
        <f>++Tabla4[[#This Row],[U. Bruta Uni]]*Tabla4[[#This Row],[Cantidad]]</f>
        <v>#N/A</v>
      </c>
      <c r="T3030" s="369" t="str">
        <f>VLOOKUP(Tabla4[[#This Row],[Producto]],Tabla6[#All],14,FALSE)</f>
        <v>Termico Solar</v>
      </c>
      <c r="U3030" s="284" t="e">
        <f>(IF(Tabla4[[#This Row],[Familia]]="termico solar",Tabla4[[#This Row],[Utilidad Total]]*6%,Tabla4[[#This Row],[Utilidad Total]]*11.5%))/Tabla4[[#This Row],[Total]]</f>
        <v>#N/A</v>
      </c>
      <c r="V3030" s="282" t="e">
        <f>+Tabla4[[#This Row],[Comisión Calculada]]*Tabla4[[#This Row],[Total]]</f>
        <v>#N/A</v>
      </c>
    </row>
    <row r="3031" spans="1:22" hidden="1" x14ac:dyDescent="0.25">
      <c r="A3031" s="100">
        <v>45792</v>
      </c>
      <c r="B3031" t="str">
        <f t="shared" si="143"/>
        <v>May</v>
      </c>
      <c r="C3031" s="46" t="s">
        <v>280</v>
      </c>
      <c r="F3031" s="366" t="s">
        <v>1881</v>
      </c>
      <c r="G3031" s="46" t="s">
        <v>208</v>
      </c>
      <c r="H3031" s="46">
        <v>1</v>
      </c>
      <c r="I3031" s="51">
        <v>189.75</v>
      </c>
      <c r="J3031" s="281">
        <f>++Tabla4[[#This Row],[Precio Bruto]]*1.16</f>
        <v>220.10999999999999</v>
      </c>
      <c r="K3031" s="281">
        <f>+Tabla4[[#This Row],[Precio Unitario Neto]]*Tabla4[[#Headers],[20.85%]]</f>
        <v>45.892934999999994</v>
      </c>
      <c r="L3031" s="282">
        <f>++Tabla4[[#This Row],[Precio Unitario Neto]]-Tabla4[[#This Row],[20.85%]]</f>
        <v>174.21706499999999</v>
      </c>
      <c r="M3031" s="282" t="e">
        <f>(INDEX(Tabla6[#All],MATCH(Tabla4[[#This Row],[Producto]],Tabla6[[#All],[PRODUCTO]],0),MATCH(Tabla4[[#This Row],[Mes]],Tabla6[#Headers],0)))*(1+Catalogos!$L$2)</f>
        <v>#N/A</v>
      </c>
      <c r="N3031" s="283" t="e">
        <f>+(Tabla4[[#This Row],[Precio Descontado]]-Tabla4[[#This Row],[Precio Base]])*Tabla4[[#This Row],[Cantidad]]</f>
        <v>#N/A</v>
      </c>
      <c r="O3031" s="284" t="e">
        <f>++Tabla4[[#This Row],[Utilidad Total]]/Tabla4[[#This Row],[Total]]</f>
        <v>#N/A</v>
      </c>
      <c r="P3031" s="282">
        <f>++Tabla4[[#This Row],[Precio Descontado]]*Tabla4[[#This Row],[Cantidad]]</f>
        <v>174.21706499999999</v>
      </c>
      <c r="Q3031" s="282" t="e">
        <f>(INDEX(Tabla6[#All],MATCH(Tabla4[[#This Row],[Producto]],Tabla6[[#All],[PRODUCTO]],0),MATCH(Tabla4[[#This Row],[Mes]],Tabla6[#Headers],0)))</f>
        <v>#N/A</v>
      </c>
      <c r="R3031" s="282" t="e">
        <f>++Tabla4[[#This Row],[Precio Unitario Neto]]-Tabla4[[#This Row],[20.85%]]-Tabla4[[#This Row],[Costo]]</f>
        <v>#N/A</v>
      </c>
      <c r="S3031" s="282" t="e">
        <f>++Tabla4[[#This Row],[U. Bruta Uni]]*Tabla4[[#This Row],[Cantidad]]</f>
        <v>#N/A</v>
      </c>
      <c r="T3031" s="369" t="str">
        <f>VLOOKUP(Tabla4[[#This Row],[Producto]],Tabla6[#All],14,FALSE)</f>
        <v>Termico Solar</v>
      </c>
      <c r="U3031" s="284" t="e">
        <f>(IF(Tabla4[[#This Row],[Familia]]="termico solar",Tabla4[[#This Row],[Utilidad Total]]*6%,Tabla4[[#This Row],[Utilidad Total]]*11.5%))/Tabla4[[#This Row],[Total]]</f>
        <v>#N/A</v>
      </c>
      <c r="V3031" s="282" t="e">
        <f>+Tabla4[[#This Row],[Comisión Calculada]]*Tabla4[[#This Row],[Total]]</f>
        <v>#N/A</v>
      </c>
    </row>
    <row r="3032" spans="1:22" hidden="1" x14ac:dyDescent="0.25">
      <c r="A3032" s="100">
        <v>45792</v>
      </c>
      <c r="B3032" t="str">
        <f t="shared" si="143"/>
        <v>May</v>
      </c>
      <c r="C3032" s="46" t="s">
        <v>280</v>
      </c>
      <c r="F3032" s="366" t="s">
        <v>1882</v>
      </c>
      <c r="G3032" s="46" t="s">
        <v>18</v>
      </c>
      <c r="H3032" s="46">
        <v>6</v>
      </c>
      <c r="I3032" s="51">
        <v>5367.6500000000005</v>
      </c>
      <c r="J3032" s="281">
        <f>++Tabla4[[#This Row],[Precio Bruto]]*1.16</f>
        <v>6226.4740000000002</v>
      </c>
      <c r="K3032" s="281">
        <f>+Tabla4[[#This Row],[Precio Unitario Neto]]*Tabla4[[#Headers],[20.85%]]</f>
        <v>1298.2198289999999</v>
      </c>
      <c r="L3032" s="282">
        <f>++Tabla4[[#This Row],[Precio Unitario Neto]]-Tabla4[[#This Row],[20.85%]]</f>
        <v>4928.2541710000005</v>
      </c>
      <c r="M3032" s="282" t="e">
        <f>(INDEX(Tabla6[#All],MATCH(Tabla4[[#This Row],[Producto]],Tabla6[[#All],[PRODUCTO]],0),MATCH(Tabla4[[#This Row],[Mes]],Tabla6[#Headers],0)))*(1+Catalogos!$L$2)</f>
        <v>#N/A</v>
      </c>
      <c r="N3032" s="283" t="e">
        <f>+(Tabla4[[#This Row],[Precio Descontado]]-Tabla4[[#This Row],[Precio Base]])*Tabla4[[#This Row],[Cantidad]]</f>
        <v>#N/A</v>
      </c>
      <c r="O3032" s="284" t="e">
        <f>++Tabla4[[#This Row],[Utilidad Total]]/Tabla4[[#This Row],[Total]]</f>
        <v>#N/A</v>
      </c>
      <c r="P3032" s="282">
        <f>++Tabla4[[#This Row],[Precio Descontado]]*Tabla4[[#This Row],[Cantidad]]</f>
        <v>29569.525026000003</v>
      </c>
      <c r="Q3032" s="282" t="e">
        <f>(INDEX(Tabla6[#All],MATCH(Tabla4[[#This Row],[Producto]],Tabla6[[#All],[PRODUCTO]],0),MATCH(Tabla4[[#This Row],[Mes]],Tabla6[#Headers],0)))</f>
        <v>#N/A</v>
      </c>
      <c r="R3032" s="282" t="e">
        <f>++Tabla4[[#This Row],[Precio Unitario Neto]]-Tabla4[[#This Row],[20.85%]]-Tabla4[[#This Row],[Costo]]</f>
        <v>#N/A</v>
      </c>
      <c r="S3032" s="282" t="e">
        <f>++Tabla4[[#This Row],[U. Bruta Uni]]*Tabla4[[#This Row],[Cantidad]]</f>
        <v>#N/A</v>
      </c>
      <c r="T3032" s="369" t="str">
        <f>VLOOKUP(Tabla4[[#This Row],[Producto]],Tabla6[#All],14,FALSE)</f>
        <v>Termico Solar</v>
      </c>
      <c r="U3032" s="284" t="e">
        <f>(IF(Tabla4[[#This Row],[Familia]]="termico solar",Tabla4[[#This Row],[Utilidad Total]]*6%,Tabla4[[#This Row],[Utilidad Total]]*11.5%))/Tabla4[[#This Row],[Total]]</f>
        <v>#N/A</v>
      </c>
      <c r="V3032" s="282" t="e">
        <f>+Tabla4[[#This Row],[Comisión Calculada]]*Tabla4[[#This Row],[Total]]</f>
        <v>#N/A</v>
      </c>
    </row>
    <row r="3033" spans="1:22" hidden="1" x14ac:dyDescent="0.25">
      <c r="A3033" s="100">
        <v>45792</v>
      </c>
      <c r="B3033" t="str">
        <f t="shared" si="143"/>
        <v>May</v>
      </c>
      <c r="C3033" s="46" t="s">
        <v>280</v>
      </c>
      <c r="F3033" s="366" t="s">
        <v>1882</v>
      </c>
      <c r="G3033" s="46" t="s">
        <v>16</v>
      </c>
      <c r="H3033" s="46">
        <v>1</v>
      </c>
      <c r="I3033" s="51">
        <v>4103.8500000000004</v>
      </c>
      <c r="J3033" s="281">
        <f>++Tabla4[[#This Row],[Precio Bruto]]*1.16</f>
        <v>4760.4660000000003</v>
      </c>
      <c r="K3033" s="281">
        <f>+Tabla4[[#This Row],[Precio Unitario Neto]]*Tabla4[[#Headers],[20.85%]]</f>
        <v>992.55716100000006</v>
      </c>
      <c r="L3033" s="282">
        <f>++Tabla4[[#This Row],[Precio Unitario Neto]]-Tabla4[[#This Row],[20.85%]]</f>
        <v>3767.9088390000002</v>
      </c>
      <c r="M3033" s="282" t="e">
        <f>(INDEX(Tabla6[#All],MATCH(Tabla4[[#This Row],[Producto]],Tabla6[[#All],[PRODUCTO]],0),MATCH(Tabla4[[#This Row],[Mes]],Tabla6[#Headers],0)))*(1+Catalogos!$L$2)</f>
        <v>#N/A</v>
      </c>
      <c r="N3033" s="283" t="e">
        <f>+(Tabla4[[#This Row],[Precio Descontado]]-Tabla4[[#This Row],[Precio Base]])*Tabla4[[#This Row],[Cantidad]]</f>
        <v>#N/A</v>
      </c>
      <c r="O3033" s="284" t="e">
        <f>++Tabla4[[#This Row],[Utilidad Total]]/Tabla4[[#This Row],[Total]]</f>
        <v>#N/A</v>
      </c>
      <c r="P3033" s="282">
        <f>++Tabla4[[#This Row],[Precio Descontado]]*Tabla4[[#This Row],[Cantidad]]</f>
        <v>3767.9088390000002</v>
      </c>
      <c r="Q3033" s="282" t="e">
        <f>(INDEX(Tabla6[#All],MATCH(Tabla4[[#This Row],[Producto]],Tabla6[[#All],[PRODUCTO]],0),MATCH(Tabla4[[#This Row],[Mes]],Tabla6[#Headers],0)))</f>
        <v>#N/A</v>
      </c>
      <c r="R3033" s="282" t="e">
        <f>++Tabla4[[#This Row],[Precio Unitario Neto]]-Tabla4[[#This Row],[20.85%]]-Tabla4[[#This Row],[Costo]]</f>
        <v>#N/A</v>
      </c>
      <c r="S3033" s="282" t="e">
        <f>++Tabla4[[#This Row],[U. Bruta Uni]]*Tabla4[[#This Row],[Cantidad]]</f>
        <v>#N/A</v>
      </c>
      <c r="T3033" s="369" t="str">
        <f>VLOOKUP(Tabla4[[#This Row],[Producto]],Tabla6[#All],14,FALSE)</f>
        <v>Termico Solar</v>
      </c>
      <c r="U3033" s="284" t="e">
        <f>(IF(Tabla4[[#This Row],[Familia]]="termico solar",Tabla4[[#This Row],[Utilidad Total]]*6%,Tabla4[[#This Row],[Utilidad Total]]*11.5%))/Tabla4[[#This Row],[Total]]</f>
        <v>#N/A</v>
      </c>
      <c r="V3033" s="282" t="e">
        <f>+Tabla4[[#This Row],[Comisión Calculada]]*Tabla4[[#This Row],[Total]]</f>
        <v>#N/A</v>
      </c>
    </row>
    <row r="3034" spans="1:22" hidden="1" x14ac:dyDescent="0.25">
      <c r="A3034" s="100">
        <v>45792</v>
      </c>
      <c r="B3034" t="str">
        <f t="shared" ref="B3034:B3043" si="144">TEXT(A3034, "mmmm")</f>
        <v>May</v>
      </c>
      <c r="C3034" s="46" t="s">
        <v>280</v>
      </c>
      <c r="F3034" s="366" t="s">
        <v>1882</v>
      </c>
      <c r="G3034" s="46" t="s">
        <v>208</v>
      </c>
      <c r="H3034" s="46">
        <v>2</v>
      </c>
      <c r="I3034" s="51">
        <v>189.75</v>
      </c>
      <c r="J3034" s="281">
        <f>++Tabla4[[#This Row],[Precio Bruto]]*1.16</f>
        <v>220.10999999999999</v>
      </c>
      <c r="K3034" s="281">
        <f>+Tabla4[[#This Row],[Precio Unitario Neto]]*Tabla4[[#Headers],[20.85%]]</f>
        <v>45.892934999999994</v>
      </c>
      <c r="L3034" s="282">
        <f>++Tabla4[[#This Row],[Precio Unitario Neto]]-Tabla4[[#This Row],[20.85%]]</f>
        <v>174.21706499999999</v>
      </c>
      <c r="M3034" s="282" t="e">
        <f>(INDEX(Tabla6[#All],MATCH(Tabla4[[#This Row],[Producto]],Tabla6[[#All],[PRODUCTO]],0),MATCH(Tabla4[[#This Row],[Mes]],Tabla6[#Headers],0)))*(1+Catalogos!$L$2)</f>
        <v>#N/A</v>
      </c>
      <c r="N3034" s="283" t="e">
        <f>+(Tabla4[[#This Row],[Precio Descontado]]-Tabla4[[#This Row],[Precio Base]])*Tabla4[[#This Row],[Cantidad]]</f>
        <v>#N/A</v>
      </c>
      <c r="O3034" s="284" t="e">
        <f>++Tabla4[[#This Row],[Utilidad Total]]/Tabla4[[#This Row],[Total]]</f>
        <v>#N/A</v>
      </c>
      <c r="P3034" s="282">
        <f>++Tabla4[[#This Row],[Precio Descontado]]*Tabla4[[#This Row],[Cantidad]]</f>
        <v>348.43412999999998</v>
      </c>
      <c r="Q3034" s="282" t="e">
        <f>(INDEX(Tabla6[#All],MATCH(Tabla4[[#This Row],[Producto]],Tabla6[[#All],[PRODUCTO]],0),MATCH(Tabla4[[#This Row],[Mes]],Tabla6[#Headers],0)))</f>
        <v>#N/A</v>
      </c>
      <c r="R3034" s="282" t="e">
        <f>++Tabla4[[#This Row],[Precio Unitario Neto]]-Tabla4[[#This Row],[20.85%]]-Tabla4[[#This Row],[Costo]]</f>
        <v>#N/A</v>
      </c>
      <c r="S3034" s="282" t="e">
        <f>++Tabla4[[#This Row],[U. Bruta Uni]]*Tabla4[[#This Row],[Cantidad]]</f>
        <v>#N/A</v>
      </c>
      <c r="T3034" s="369" t="str">
        <f>VLOOKUP(Tabla4[[#This Row],[Producto]],Tabla6[#All],14,FALSE)</f>
        <v>Termico Solar</v>
      </c>
      <c r="U3034" s="284" t="e">
        <f>(IF(Tabla4[[#This Row],[Familia]]="termico solar",Tabla4[[#This Row],[Utilidad Total]]*6%,Tabla4[[#This Row],[Utilidad Total]]*11.5%))/Tabla4[[#This Row],[Total]]</f>
        <v>#N/A</v>
      </c>
      <c r="V3034" s="282" t="e">
        <f>+Tabla4[[#This Row],[Comisión Calculada]]*Tabla4[[#This Row],[Total]]</f>
        <v>#N/A</v>
      </c>
    </row>
    <row r="3035" spans="1:22" ht="15.75" hidden="1" customHeight="1" x14ac:dyDescent="0.25">
      <c r="A3035" s="100">
        <v>45792</v>
      </c>
      <c r="B3035" t="str">
        <f t="shared" si="144"/>
        <v>May</v>
      </c>
      <c r="C3035" s="46" t="s">
        <v>280</v>
      </c>
      <c r="F3035" s="366" t="s">
        <v>1883</v>
      </c>
      <c r="G3035" s="46" t="s">
        <v>18</v>
      </c>
      <c r="H3035" s="46">
        <v>2</v>
      </c>
      <c r="I3035" s="51">
        <v>5367.65</v>
      </c>
      <c r="J3035" s="281">
        <f>++Tabla4[[#This Row],[Precio Bruto]]*1.16</f>
        <v>6226.4739999999993</v>
      </c>
      <c r="K3035" s="281">
        <f>+Tabla4[[#This Row],[Precio Unitario Neto]]*Tabla4[[#Headers],[20.85%]]</f>
        <v>1298.2198289999999</v>
      </c>
      <c r="L3035" s="282">
        <f>++Tabla4[[#This Row],[Precio Unitario Neto]]-Tabla4[[#This Row],[20.85%]]</f>
        <v>4928.2541709999996</v>
      </c>
      <c r="M3035" s="282" t="e">
        <f>(INDEX(Tabla6[#All],MATCH(Tabla4[[#This Row],[Producto]],Tabla6[[#All],[PRODUCTO]],0),MATCH(Tabla4[[#This Row],[Mes]],Tabla6[#Headers],0)))*(1+Catalogos!$L$2)</f>
        <v>#N/A</v>
      </c>
      <c r="N3035" s="283" t="e">
        <f>+(Tabla4[[#This Row],[Precio Descontado]]-Tabla4[[#This Row],[Precio Base]])*Tabla4[[#This Row],[Cantidad]]</f>
        <v>#N/A</v>
      </c>
      <c r="O3035" s="284" t="e">
        <f>++Tabla4[[#This Row],[Utilidad Total]]/Tabla4[[#This Row],[Total]]</f>
        <v>#N/A</v>
      </c>
      <c r="P3035" s="282">
        <f>++Tabla4[[#This Row],[Precio Descontado]]*Tabla4[[#This Row],[Cantidad]]</f>
        <v>9856.5083419999992</v>
      </c>
      <c r="Q3035" s="282" t="e">
        <f>(INDEX(Tabla6[#All],MATCH(Tabla4[[#This Row],[Producto]],Tabla6[[#All],[PRODUCTO]],0),MATCH(Tabla4[[#This Row],[Mes]],Tabla6[#Headers],0)))</f>
        <v>#N/A</v>
      </c>
      <c r="R3035" s="282" t="e">
        <f>++Tabla4[[#This Row],[Precio Unitario Neto]]-Tabla4[[#This Row],[20.85%]]-Tabla4[[#This Row],[Costo]]</f>
        <v>#N/A</v>
      </c>
      <c r="S3035" s="282" t="e">
        <f>++Tabla4[[#This Row],[U. Bruta Uni]]*Tabla4[[#This Row],[Cantidad]]</f>
        <v>#N/A</v>
      </c>
      <c r="T3035" s="369" t="str">
        <f>VLOOKUP(Tabla4[[#This Row],[Producto]],Tabla6[#All],14,FALSE)</f>
        <v>Termico Solar</v>
      </c>
      <c r="U3035" s="284" t="e">
        <f>(IF(Tabla4[[#This Row],[Familia]]="termico solar",Tabla4[[#This Row],[Utilidad Total]]*6%,Tabla4[[#This Row],[Utilidad Total]]*11.5%))/Tabla4[[#This Row],[Total]]</f>
        <v>#N/A</v>
      </c>
      <c r="V3035" s="282" t="e">
        <f>+Tabla4[[#This Row],[Comisión Calculada]]*Tabla4[[#This Row],[Total]]</f>
        <v>#N/A</v>
      </c>
    </row>
    <row r="3036" spans="1:22" ht="15.75" hidden="1" customHeight="1" x14ac:dyDescent="0.25">
      <c r="A3036" s="100">
        <v>45792</v>
      </c>
      <c r="B3036" t="str">
        <f t="shared" si="144"/>
        <v>May</v>
      </c>
      <c r="C3036" s="46" t="s">
        <v>280</v>
      </c>
      <c r="F3036" s="366" t="s">
        <v>1884</v>
      </c>
      <c r="G3036" s="46" t="s">
        <v>17</v>
      </c>
      <c r="H3036" s="46">
        <v>3</v>
      </c>
      <c r="I3036" s="51">
        <v>4622.28</v>
      </c>
      <c r="J3036" s="281">
        <f>++Tabla4[[#This Row],[Precio Bruto]]*1.16</f>
        <v>5361.8447999999989</v>
      </c>
      <c r="K3036" s="281">
        <f>+Tabla4[[#This Row],[Precio Unitario Neto]]*Tabla4[[#Headers],[20.85%]]</f>
        <v>1117.9446407999997</v>
      </c>
      <c r="L3036" s="282">
        <f>++Tabla4[[#This Row],[Precio Unitario Neto]]-Tabla4[[#This Row],[20.85%]]</f>
        <v>4243.9001591999995</v>
      </c>
      <c r="M3036" s="282" t="e">
        <f>(INDEX(Tabla6[#All],MATCH(Tabla4[[#This Row],[Producto]],Tabla6[[#All],[PRODUCTO]],0),MATCH(Tabla4[[#This Row],[Mes]],Tabla6[#Headers],0)))*(1+Catalogos!$L$2)</f>
        <v>#N/A</v>
      </c>
      <c r="N3036" s="283" t="e">
        <f>+(Tabla4[[#This Row],[Precio Descontado]]-Tabla4[[#This Row],[Precio Base]])*Tabla4[[#This Row],[Cantidad]]</f>
        <v>#N/A</v>
      </c>
      <c r="O3036" s="284" t="e">
        <f>++Tabla4[[#This Row],[Utilidad Total]]/Tabla4[[#This Row],[Total]]</f>
        <v>#N/A</v>
      </c>
      <c r="P3036" s="282">
        <f>++Tabla4[[#This Row],[Precio Descontado]]*Tabla4[[#This Row],[Cantidad]]</f>
        <v>12731.700477599999</v>
      </c>
      <c r="Q3036" s="282" t="e">
        <f>(INDEX(Tabla6[#All],MATCH(Tabla4[[#This Row],[Producto]],Tabla6[[#All],[PRODUCTO]],0),MATCH(Tabla4[[#This Row],[Mes]],Tabla6[#Headers],0)))</f>
        <v>#N/A</v>
      </c>
      <c r="R3036" s="282" t="e">
        <f>++Tabla4[[#This Row],[Precio Unitario Neto]]-Tabla4[[#This Row],[20.85%]]-Tabla4[[#This Row],[Costo]]</f>
        <v>#N/A</v>
      </c>
      <c r="S3036" s="282" t="e">
        <f>++Tabla4[[#This Row],[U. Bruta Uni]]*Tabla4[[#This Row],[Cantidad]]</f>
        <v>#N/A</v>
      </c>
      <c r="T3036" s="369" t="str">
        <f>VLOOKUP(Tabla4[[#This Row],[Producto]],Tabla6[#All],14,FALSE)</f>
        <v>Termico Solar</v>
      </c>
      <c r="U3036" s="284" t="e">
        <f>(IF(Tabla4[[#This Row],[Familia]]="termico solar",Tabla4[[#This Row],[Utilidad Total]]*6%,Tabla4[[#This Row],[Utilidad Total]]*11.5%))/Tabla4[[#This Row],[Total]]</f>
        <v>#N/A</v>
      </c>
      <c r="V3036" s="282" t="e">
        <f>+Tabla4[[#This Row],[Comisión Calculada]]*Tabla4[[#This Row],[Total]]</f>
        <v>#N/A</v>
      </c>
    </row>
    <row r="3037" spans="1:22" ht="15.75" hidden="1" customHeight="1" x14ac:dyDescent="0.25">
      <c r="A3037" s="100">
        <v>45792</v>
      </c>
      <c r="B3037" t="str">
        <f t="shared" si="144"/>
        <v>May</v>
      </c>
      <c r="C3037" s="46" t="s">
        <v>280</v>
      </c>
      <c r="F3037" s="366" t="s">
        <v>1885</v>
      </c>
      <c r="G3037" s="46" t="s">
        <v>17</v>
      </c>
      <c r="H3037" s="46">
        <v>2</v>
      </c>
      <c r="I3037" s="51">
        <v>4622.28</v>
      </c>
      <c r="J3037" s="281">
        <f>++Tabla4[[#This Row],[Precio Bruto]]*1.16</f>
        <v>5361.8447999999989</v>
      </c>
      <c r="K3037" s="281">
        <f>+Tabla4[[#This Row],[Precio Unitario Neto]]*Tabla4[[#Headers],[20.85%]]</f>
        <v>1117.9446407999997</v>
      </c>
      <c r="L3037" s="282">
        <f>++Tabla4[[#This Row],[Precio Unitario Neto]]-Tabla4[[#This Row],[20.85%]]</f>
        <v>4243.9001591999995</v>
      </c>
      <c r="M3037" s="282" t="e">
        <f>(INDEX(Tabla6[#All],MATCH(Tabla4[[#This Row],[Producto]],Tabla6[[#All],[PRODUCTO]],0),MATCH(Tabla4[[#This Row],[Mes]],Tabla6[#Headers],0)))*(1+Catalogos!$L$2)</f>
        <v>#N/A</v>
      </c>
      <c r="N3037" s="283" t="e">
        <f>+(Tabla4[[#This Row],[Precio Descontado]]-Tabla4[[#This Row],[Precio Base]])*Tabla4[[#This Row],[Cantidad]]</f>
        <v>#N/A</v>
      </c>
      <c r="O3037" s="284" t="e">
        <f>++Tabla4[[#This Row],[Utilidad Total]]/Tabla4[[#This Row],[Total]]</f>
        <v>#N/A</v>
      </c>
      <c r="P3037" s="282">
        <f>++Tabla4[[#This Row],[Precio Descontado]]*Tabla4[[#This Row],[Cantidad]]</f>
        <v>8487.800318399999</v>
      </c>
      <c r="Q3037" s="282" t="e">
        <f>(INDEX(Tabla6[#All],MATCH(Tabla4[[#This Row],[Producto]],Tabla6[[#All],[PRODUCTO]],0),MATCH(Tabla4[[#This Row],[Mes]],Tabla6[#Headers],0)))</f>
        <v>#N/A</v>
      </c>
      <c r="R3037" s="282" t="e">
        <f>++Tabla4[[#This Row],[Precio Unitario Neto]]-Tabla4[[#This Row],[20.85%]]-Tabla4[[#This Row],[Costo]]</f>
        <v>#N/A</v>
      </c>
      <c r="S3037" s="282" t="e">
        <f>++Tabla4[[#This Row],[U. Bruta Uni]]*Tabla4[[#This Row],[Cantidad]]</f>
        <v>#N/A</v>
      </c>
      <c r="T3037" s="369" t="str">
        <f>VLOOKUP(Tabla4[[#This Row],[Producto]],Tabla6[#All],14,FALSE)</f>
        <v>Termico Solar</v>
      </c>
      <c r="U3037" s="284" t="e">
        <f>(IF(Tabla4[[#This Row],[Familia]]="termico solar",Tabla4[[#This Row],[Utilidad Total]]*6%,Tabla4[[#This Row],[Utilidad Total]]*11.5%))/Tabla4[[#This Row],[Total]]</f>
        <v>#N/A</v>
      </c>
      <c r="V3037" s="282" t="e">
        <f>+Tabla4[[#This Row],[Comisión Calculada]]*Tabla4[[#This Row],[Total]]</f>
        <v>#N/A</v>
      </c>
    </row>
    <row r="3038" spans="1:22" ht="15.75" hidden="1" customHeight="1" x14ac:dyDescent="0.25">
      <c r="A3038" s="100">
        <v>45792</v>
      </c>
      <c r="B3038" t="str">
        <f t="shared" si="144"/>
        <v>May</v>
      </c>
      <c r="C3038" s="46" t="s">
        <v>280</v>
      </c>
      <c r="F3038" s="366" t="s">
        <v>1885</v>
      </c>
      <c r="G3038" s="46" t="s">
        <v>18</v>
      </c>
      <c r="H3038" s="46">
        <v>3</v>
      </c>
      <c r="I3038" s="51">
        <v>5367.6500000000005</v>
      </c>
      <c r="J3038" s="281">
        <f>++Tabla4[[#This Row],[Precio Bruto]]*1.16</f>
        <v>6226.4740000000002</v>
      </c>
      <c r="K3038" s="281">
        <f>+Tabla4[[#This Row],[Precio Unitario Neto]]*Tabla4[[#Headers],[20.85%]]</f>
        <v>1298.2198289999999</v>
      </c>
      <c r="L3038" s="282">
        <f>++Tabla4[[#This Row],[Precio Unitario Neto]]-Tabla4[[#This Row],[20.85%]]</f>
        <v>4928.2541710000005</v>
      </c>
      <c r="M3038" s="282" t="e">
        <f>(INDEX(Tabla6[#All],MATCH(Tabla4[[#This Row],[Producto]],Tabla6[[#All],[PRODUCTO]],0),MATCH(Tabla4[[#This Row],[Mes]],Tabla6[#Headers],0)))*(1+Catalogos!$L$2)</f>
        <v>#N/A</v>
      </c>
      <c r="N3038" s="283" t="e">
        <f>+(Tabla4[[#This Row],[Precio Descontado]]-Tabla4[[#This Row],[Precio Base]])*Tabla4[[#This Row],[Cantidad]]</f>
        <v>#N/A</v>
      </c>
      <c r="O3038" s="284" t="e">
        <f>++Tabla4[[#This Row],[Utilidad Total]]/Tabla4[[#This Row],[Total]]</f>
        <v>#N/A</v>
      </c>
      <c r="P3038" s="282">
        <f>++Tabla4[[#This Row],[Precio Descontado]]*Tabla4[[#This Row],[Cantidad]]</f>
        <v>14784.762513000001</v>
      </c>
      <c r="Q3038" s="282" t="e">
        <f>(INDEX(Tabla6[#All],MATCH(Tabla4[[#This Row],[Producto]],Tabla6[[#All],[PRODUCTO]],0),MATCH(Tabla4[[#This Row],[Mes]],Tabla6[#Headers],0)))</f>
        <v>#N/A</v>
      </c>
      <c r="R3038" s="282" t="e">
        <f>++Tabla4[[#This Row],[Precio Unitario Neto]]-Tabla4[[#This Row],[20.85%]]-Tabla4[[#This Row],[Costo]]</f>
        <v>#N/A</v>
      </c>
      <c r="S3038" s="282" t="e">
        <f>++Tabla4[[#This Row],[U. Bruta Uni]]*Tabla4[[#This Row],[Cantidad]]</f>
        <v>#N/A</v>
      </c>
      <c r="T3038" s="369" t="str">
        <f>VLOOKUP(Tabla4[[#This Row],[Producto]],Tabla6[#All],14,FALSE)</f>
        <v>Termico Solar</v>
      </c>
      <c r="U3038" s="284" t="e">
        <f>(IF(Tabla4[[#This Row],[Familia]]="termico solar",Tabla4[[#This Row],[Utilidad Total]]*6%,Tabla4[[#This Row],[Utilidad Total]]*11.5%))/Tabla4[[#This Row],[Total]]</f>
        <v>#N/A</v>
      </c>
      <c r="V3038" s="282" t="e">
        <f>+Tabla4[[#This Row],[Comisión Calculada]]*Tabla4[[#This Row],[Total]]</f>
        <v>#N/A</v>
      </c>
    </row>
    <row r="3039" spans="1:22" ht="15.75" hidden="1" customHeight="1" x14ac:dyDescent="0.25">
      <c r="A3039" s="100">
        <v>45792</v>
      </c>
      <c r="B3039" t="str">
        <f t="shared" si="144"/>
        <v>May</v>
      </c>
      <c r="C3039" s="46" t="s">
        <v>280</v>
      </c>
      <c r="F3039" s="366" t="s">
        <v>1885</v>
      </c>
      <c r="G3039" s="46" t="s">
        <v>208</v>
      </c>
      <c r="H3039" s="46">
        <v>2</v>
      </c>
      <c r="I3039" s="51">
        <v>189.75</v>
      </c>
      <c r="J3039" s="281">
        <f>++Tabla4[[#This Row],[Precio Bruto]]*1.16</f>
        <v>220.10999999999999</v>
      </c>
      <c r="K3039" s="281">
        <f>+Tabla4[[#This Row],[Precio Unitario Neto]]*Tabla4[[#Headers],[20.85%]]</f>
        <v>45.892934999999994</v>
      </c>
      <c r="L3039" s="282">
        <f>++Tabla4[[#This Row],[Precio Unitario Neto]]-Tabla4[[#This Row],[20.85%]]</f>
        <v>174.21706499999999</v>
      </c>
      <c r="M3039" s="282" t="e">
        <f>(INDEX(Tabla6[#All],MATCH(Tabla4[[#This Row],[Producto]],Tabla6[[#All],[PRODUCTO]],0),MATCH(Tabla4[[#This Row],[Mes]],Tabla6[#Headers],0)))*(1+Catalogos!$L$2)</f>
        <v>#N/A</v>
      </c>
      <c r="N3039" s="283" t="e">
        <f>+(Tabla4[[#This Row],[Precio Descontado]]-Tabla4[[#This Row],[Precio Base]])*Tabla4[[#This Row],[Cantidad]]</f>
        <v>#N/A</v>
      </c>
      <c r="O3039" s="284" t="e">
        <f>++Tabla4[[#This Row],[Utilidad Total]]/Tabla4[[#This Row],[Total]]</f>
        <v>#N/A</v>
      </c>
      <c r="P3039" s="282">
        <f>++Tabla4[[#This Row],[Precio Descontado]]*Tabla4[[#This Row],[Cantidad]]</f>
        <v>348.43412999999998</v>
      </c>
      <c r="Q3039" s="282" t="e">
        <f>(INDEX(Tabla6[#All],MATCH(Tabla4[[#This Row],[Producto]],Tabla6[[#All],[PRODUCTO]],0),MATCH(Tabla4[[#This Row],[Mes]],Tabla6[#Headers],0)))</f>
        <v>#N/A</v>
      </c>
      <c r="R3039" s="282" t="e">
        <f>++Tabla4[[#This Row],[Precio Unitario Neto]]-Tabla4[[#This Row],[20.85%]]-Tabla4[[#This Row],[Costo]]</f>
        <v>#N/A</v>
      </c>
      <c r="S3039" s="282" t="e">
        <f>++Tabla4[[#This Row],[U. Bruta Uni]]*Tabla4[[#This Row],[Cantidad]]</f>
        <v>#N/A</v>
      </c>
      <c r="T3039" s="369" t="str">
        <f>VLOOKUP(Tabla4[[#This Row],[Producto]],Tabla6[#All],14,FALSE)</f>
        <v>Termico Solar</v>
      </c>
      <c r="U3039" s="284" t="e">
        <f>(IF(Tabla4[[#This Row],[Familia]]="termico solar",Tabla4[[#This Row],[Utilidad Total]]*6%,Tabla4[[#This Row],[Utilidad Total]]*11.5%))/Tabla4[[#This Row],[Total]]</f>
        <v>#N/A</v>
      </c>
      <c r="V3039" s="282" t="e">
        <f>+Tabla4[[#This Row],[Comisión Calculada]]*Tabla4[[#This Row],[Total]]</f>
        <v>#N/A</v>
      </c>
    </row>
    <row r="3040" spans="1:22" hidden="1" x14ac:dyDescent="0.25">
      <c r="A3040" s="100">
        <v>45792</v>
      </c>
      <c r="B3040" t="str">
        <f t="shared" si="144"/>
        <v>May</v>
      </c>
      <c r="C3040" s="46" t="s">
        <v>280</v>
      </c>
      <c r="F3040" s="366" t="s">
        <v>1886</v>
      </c>
      <c r="G3040" s="46" t="s">
        <v>83</v>
      </c>
      <c r="H3040" s="46">
        <v>2</v>
      </c>
      <c r="I3040" s="51">
        <v>8858.76</v>
      </c>
      <c r="J3040" s="281">
        <f>++Tabla4[[#This Row],[Precio Bruto]]*1.16</f>
        <v>10276.161599999999</v>
      </c>
      <c r="K3040" s="281">
        <f>+Tabla4[[#This Row],[Precio Unitario Neto]]*Tabla4[[#Headers],[20.85%]]</f>
        <v>2142.5796935999997</v>
      </c>
      <c r="L3040" s="282">
        <f>++Tabla4[[#This Row],[Precio Unitario Neto]]-Tabla4[[#This Row],[20.85%]]</f>
        <v>8133.5819063999998</v>
      </c>
      <c r="M3040" s="282" t="e">
        <f>(INDEX(Tabla6[#All],MATCH(Tabla4[[#This Row],[Producto]],Tabla6[[#All],[PRODUCTO]],0),MATCH(Tabla4[[#This Row],[Mes]],Tabla6[#Headers],0)))*(1+Catalogos!$L$2)</f>
        <v>#N/A</v>
      </c>
      <c r="N3040" s="283" t="e">
        <f>+(Tabla4[[#This Row],[Precio Descontado]]-Tabla4[[#This Row],[Precio Base]])*Tabla4[[#This Row],[Cantidad]]</f>
        <v>#N/A</v>
      </c>
      <c r="O3040" s="284" t="e">
        <f>++Tabla4[[#This Row],[Utilidad Total]]/Tabla4[[#This Row],[Total]]</f>
        <v>#N/A</v>
      </c>
      <c r="P3040" s="282">
        <f>++Tabla4[[#This Row],[Precio Descontado]]*Tabla4[[#This Row],[Cantidad]]</f>
        <v>16267.1638128</v>
      </c>
      <c r="Q3040" s="282" t="e">
        <f>(INDEX(Tabla6[#All],MATCH(Tabla4[[#This Row],[Producto]],Tabla6[[#All],[PRODUCTO]],0),MATCH(Tabla4[[#This Row],[Mes]],Tabla6[#Headers],0)))</f>
        <v>#N/A</v>
      </c>
      <c r="R3040" s="282" t="e">
        <f>++Tabla4[[#This Row],[Precio Unitario Neto]]-Tabla4[[#This Row],[20.85%]]-Tabla4[[#This Row],[Costo]]</f>
        <v>#N/A</v>
      </c>
      <c r="S3040" s="282" t="e">
        <f>++Tabla4[[#This Row],[U. Bruta Uni]]*Tabla4[[#This Row],[Cantidad]]</f>
        <v>#N/A</v>
      </c>
      <c r="T3040" s="369" t="str">
        <f>VLOOKUP(Tabla4[[#This Row],[Producto]],Tabla6[#All],14,FALSE)</f>
        <v>Termico Solar</v>
      </c>
      <c r="U3040" s="284" t="e">
        <f>(IF(Tabla4[[#This Row],[Familia]]="termico solar",Tabla4[[#This Row],[Utilidad Total]]*6%,Tabla4[[#This Row],[Utilidad Total]]*11.5%))/Tabla4[[#This Row],[Total]]</f>
        <v>#N/A</v>
      </c>
      <c r="V3040" s="282" t="e">
        <f>+Tabla4[[#This Row],[Comisión Calculada]]*Tabla4[[#This Row],[Total]]</f>
        <v>#N/A</v>
      </c>
    </row>
    <row r="3041" spans="1:22" hidden="1" x14ac:dyDescent="0.25">
      <c r="A3041" s="100">
        <v>45792</v>
      </c>
      <c r="B3041" t="str">
        <f t="shared" si="144"/>
        <v>May</v>
      </c>
      <c r="C3041" s="46" t="s">
        <v>280</v>
      </c>
      <c r="F3041" s="366" t="s">
        <v>1886</v>
      </c>
      <c r="G3041" s="46" t="s">
        <v>566</v>
      </c>
      <c r="H3041" s="46">
        <v>1</v>
      </c>
      <c r="I3041" s="51">
        <v>2109.4499999999998</v>
      </c>
      <c r="J3041" s="281">
        <f>++Tabla4[[#This Row],[Precio Bruto]]*1.16</f>
        <v>2446.9619999999995</v>
      </c>
      <c r="K3041" s="281">
        <f>+Tabla4[[#This Row],[Precio Unitario Neto]]*Tabla4[[#Headers],[20.85%]]</f>
        <v>510.19157699999988</v>
      </c>
      <c r="L3041" s="282">
        <f>++Tabla4[[#This Row],[Precio Unitario Neto]]-Tabla4[[#This Row],[20.85%]]</f>
        <v>1936.7704229999997</v>
      </c>
      <c r="M3041" s="282" t="e">
        <f>(INDEX(Tabla6[#All],MATCH(Tabla4[[#This Row],[Producto]],Tabla6[[#All],[PRODUCTO]],0),MATCH(Tabla4[[#This Row],[Mes]],Tabla6[#Headers],0)))*(1+Catalogos!$L$2)</f>
        <v>#N/A</v>
      </c>
      <c r="N3041" s="283" t="e">
        <f>+(Tabla4[[#This Row],[Precio Descontado]]-Tabla4[[#This Row],[Precio Base]])*Tabla4[[#This Row],[Cantidad]]</f>
        <v>#N/A</v>
      </c>
      <c r="O3041" s="284" t="e">
        <f>++Tabla4[[#This Row],[Utilidad Total]]/Tabla4[[#This Row],[Total]]</f>
        <v>#N/A</v>
      </c>
      <c r="P3041" s="282">
        <f>++Tabla4[[#This Row],[Precio Descontado]]*Tabla4[[#This Row],[Cantidad]]</f>
        <v>1936.7704229999997</v>
      </c>
      <c r="Q3041" s="282" t="e">
        <f>(INDEX(Tabla6[#All],MATCH(Tabla4[[#This Row],[Producto]],Tabla6[[#All],[PRODUCTO]],0),MATCH(Tabla4[[#This Row],[Mes]],Tabla6[#Headers],0)))</f>
        <v>#N/A</v>
      </c>
      <c r="R3041" s="282" t="e">
        <f>++Tabla4[[#This Row],[Precio Unitario Neto]]-Tabla4[[#This Row],[20.85%]]-Tabla4[[#This Row],[Costo]]</f>
        <v>#N/A</v>
      </c>
      <c r="S3041" s="282" t="e">
        <f>++Tabla4[[#This Row],[U. Bruta Uni]]*Tabla4[[#This Row],[Cantidad]]</f>
        <v>#N/A</v>
      </c>
      <c r="T3041" s="369" t="str">
        <f>VLOOKUP(Tabla4[[#This Row],[Producto]],Tabla6[#All],14,FALSE)</f>
        <v>Termico Solar</v>
      </c>
      <c r="U3041" s="284" t="e">
        <f>(IF(Tabla4[[#This Row],[Familia]]="termico solar",Tabla4[[#This Row],[Utilidad Total]]*6%,Tabla4[[#This Row],[Utilidad Total]]*11.5%))/Tabla4[[#This Row],[Total]]</f>
        <v>#N/A</v>
      </c>
      <c r="V3041" s="282" t="e">
        <f>+Tabla4[[#This Row],[Comisión Calculada]]*Tabla4[[#This Row],[Total]]</f>
        <v>#N/A</v>
      </c>
    </row>
    <row r="3042" spans="1:22" hidden="1" x14ac:dyDescent="0.25">
      <c r="A3042" s="100">
        <v>45792</v>
      </c>
      <c r="B3042" t="str">
        <f t="shared" si="144"/>
        <v>May</v>
      </c>
      <c r="C3042" s="46" t="s">
        <v>280</v>
      </c>
      <c r="F3042" s="366" t="s">
        <v>1887</v>
      </c>
      <c r="G3042" s="46" t="s">
        <v>18</v>
      </c>
      <c r="H3042" s="46">
        <v>3</v>
      </c>
      <c r="I3042" s="51">
        <v>5367.6500000000005</v>
      </c>
      <c r="J3042" s="281">
        <f>++Tabla4[[#This Row],[Precio Bruto]]*1.16</f>
        <v>6226.4740000000002</v>
      </c>
      <c r="K3042" s="281">
        <f>+Tabla4[[#This Row],[Precio Unitario Neto]]*Tabla4[[#Headers],[20.85%]]</f>
        <v>1298.2198289999999</v>
      </c>
      <c r="L3042" s="282">
        <f>++Tabla4[[#This Row],[Precio Unitario Neto]]-Tabla4[[#This Row],[20.85%]]</f>
        <v>4928.2541710000005</v>
      </c>
      <c r="M3042" s="282" t="e">
        <f>(INDEX(Tabla6[#All],MATCH(Tabla4[[#This Row],[Producto]],Tabla6[[#All],[PRODUCTO]],0),MATCH(Tabla4[[#This Row],[Mes]],Tabla6[#Headers],0)))*(1+Catalogos!$L$2)</f>
        <v>#N/A</v>
      </c>
      <c r="N3042" s="283" t="e">
        <f>+(Tabla4[[#This Row],[Precio Descontado]]-Tabla4[[#This Row],[Precio Base]])*Tabla4[[#This Row],[Cantidad]]</f>
        <v>#N/A</v>
      </c>
      <c r="O3042" s="284" t="e">
        <f>++Tabla4[[#This Row],[Utilidad Total]]/Tabla4[[#This Row],[Total]]</f>
        <v>#N/A</v>
      </c>
      <c r="P3042" s="282">
        <f>++Tabla4[[#This Row],[Precio Descontado]]*Tabla4[[#This Row],[Cantidad]]</f>
        <v>14784.762513000001</v>
      </c>
      <c r="Q3042" s="282" t="e">
        <f>(INDEX(Tabla6[#All],MATCH(Tabla4[[#This Row],[Producto]],Tabla6[[#All],[PRODUCTO]],0),MATCH(Tabla4[[#This Row],[Mes]],Tabla6[#Headers],0)))</f>
        <v>#N/A</v>
      </c>
      <c r="R3042" s="282" t="e">
        <f>++Tabla4[[#This Row],[Precio Unitario Neto]]-Tabla4[[#This Row],[20.85%]]-Tabla4[[#This Row],[Costo]]</f>
        <v>#N/A</v>
      </c>
      <c r="S3042" s="282" t="e">
        <f>++Tabla4[[#This Row],[U. Bruta Uni]]*Tabla4[[#This Row],[Cantidad]]</f>
        <v>#N/A</v>
      </c>
      <c r="T3042" s="369" t="str">
        <f>VLOOKUP(Tabla4[[#This Row],[Producto]],Tabla6[#All],14,FALSE)</f>
        <v>Termico Solar</v>
      </c>
      <c r="U3042" s="284" t="e">
        <f>(IF(Tabla4[[#This Row],[Familia]]="termico solar",Tabla4[[#This Row],[Utilidad Total]]*6%,Tabla4[[#This Row],[Utilidad Total]]*11.5%))/Tabla4[[#This Row],[Total]]</f>
        <v>#N/A</v>
      </c>
      <c r="V3042" s="282" t="e">
        <f>+Tabla4[[#This Row],[Comisión Calculada]]*Tabla4[[#This Row],[Total]]</f>
        <v>#N/A</v>
      </c>
    </row>
    <row r="3043" spans="1:22" hidden="1" x14ac:dyDescent="0.25">
      <c r="A3043" s="100">
        <v>45792</v>
      </c>
      <c r="B3043" t="str">
        <f t="shared" si="144"/>
        <v>May</v>
      </c>
      <c r="C3043" s="46" t="s">
        <v>280</v>
      </c>
      <c r="F3043" s="366" t="s">
        <v>1887</v>
      </c>
      <c r="G3043" s="46" t="s">
        <v>566</v>
      </c>
      <c r="H3043" s="46">
        <v>1</v>
      </c>
      <c r="I3043" s="51">
        <v>2109.4499999999998</v>
      </c>
      <c r="J3043" s="281">
        <f>++Tabla4[[#This Row],[Precio Bruto]]*1.16</f>
        <v>2446.9619999999995</v>
      </c>
      <c r="K3043" s="281">
        <f>+Tabla4[[#This Row],[Precio Unitario Neto]]*Tabla4[[#Headers],[20.85%]]</f>
        <v>510.19157699999988</v>
      </c>
      <c r="L3043" s="282">
        <f>++Tabla4[[#This Row],[Precio Unitario Neto]]-Tabla4[[#This Row],[20.85%]]</f>
        <v>1936.7704229999997</v>
      </c>
      <c r="M3043" s="282" t="e">
        <f>(INDEX(Tabla6[#All],MATCH(Tabla4[[#This Row],[Producto]],Tabla6[[#All],[PRODUCTO]],0),MATCH(Tabla4[[#This Row],[Mes]],Tabla6[#Headers],0)))*(1+Catalogos!$L$2)</f>
        <v>#N/A</v>
      </c>
      <c r="N3043" s="283" t="e">
        <f>+(Tabla4[[#This Row],[Precio Descontado]]-Tabla4[[#This Row],[Precio Base]])*Tabla4[[#This Row],[Cantidad]]</f>
        <v>#N/A</v>
      </c>
      <c r="O3043" s="284" t="e">
        <f>++Tabla4[[#This Row],[Utilidad Total]]/Tabla4[[#This Row],[Total]]</f>
        <v>#N/A</v>
      </c>
      <c r="P3043" s="282">
        <f>++Tabla4[[#This Row],[Precio Descontado]]*Tabla4[[#This Row],[Cantidad]]</f>
        <v>1936.7704229999997</v>
      </c>
      <c r="Q3043" s="282" t="e">
        <f>(INDEX(Tabla6[#All],MATCH(Tabla4[[#This Row],[Producto]],Tabla6[[#All],[PRODUCTO]],0),MATCH(Tabla4[[#This Row],[Mes]],Tabla6[#Headers],0)))</f>
        <v>#N/A</v>
      </c>
      <c r="R3043" s="282" t="e">
        <f>++Tabla4[[#This Row],[Precio Unitario Neto]]-Tabla4[[#This Row],[20.85%]]-Tabla4[[#This Row],[Costo]]</f>
        <v>#N/A</v>
      </c>
      <c r="S3043" s="282" t="e">
        <f>++Tabla4[[#This Row],[U. Bruta Uni]]*Tabla4[[#This Row],[Cantidad]]</f>
        <v>#N/A</v>
      </c>
      <c r="T3043" s="369" t="str">
        <f>VLOOKUP(Tabla4[[#This Row],[Producto]],Tabla6[#All],14,FALSE)</f>
        <v>Termico Solar</v>
      </c>
      <c r="U3043" s="284" t="e">
        <f>(IF(Tabla4[[#This Row],[Familia]]="termico solar",Tabla4[[#This Row],[Utilidad Total]]*6%,Tabla4[[#This Row],[Utilidad Total]]*11.5%))/Tabla4[[#This Row],[Total]]</f>
        <v>#N/A</v>
      </c>
      <c r="V3043" s="282" t="e">
        <f>+Tabla4[[#This Row],[Comisión Calculada]]*Tabla4[[#This Row],[Total]]</f>
        <v>#N/A</v>
      </c>
    </row>
    <row r="3044" spans="1:22" hidden="1" x14ac:dyDescent="0.25">
      <c r="A3044" s="100">
        <v>45792</v>
      </c>
      <c r="B3044" t="str">
        <f t="shared" ref="B3044:B3049" si="145">TEXT(A3044, "mmmm")</f>
        <v>May</v>
      </c>
      <c r="C3044" s="46" t="s">
        <v>280</v>
      </c>
      <c r="F3044" s="366" t="s">
        <v>1888</v>
      </c>
      <c r="G3044" s="46" t="s">
        <v>208</v>
      </c>
      <c r="H3044" s="46">
        <v>2</v>
      </c>
      <c r="I3044" s="51">
        <v>189.75</v>
      </c>
      <c r="J3044" s="281">
        <f>++Tabla4[[#This Row],[Precio Bruto]]*1.16</f>
        <v>220.10999999999999</v>
      </c>
      <c r="K3044" s="281">
        <f>+Tabla4[[#This Row],[Precio Unitario Neto]]*Tabla4[[#Headers],[20.85%]]</f>
        <v>45.892934999999994</v>
      </c>
      <c r="L3044" s="282">
        <f>++Tabla4[[#This Row],[Precio Unitario Neto]]-Tabla4[[#This Row],[20.85%]]</f>
        <v>174.21706499999999</v>
      </c>
      <c r="M3044" s="282" t="e">
        <f>(INDEX(Tabla6[#All],MATCH(Tabla4[[#This Row],[Producto]],Tabla6[[#All],[PRODUCTO]],0),MATCH(Tabla4[[#This Row],[Mes]],Tabla6[#Headers],0)))*(1+Catalogos!$L$2)</f>
        <v>#N/A</v>
      </c>
      <c r="N3044" s="283" t="e">
        <f>+(Tabla4[[#This Row],[Precio Descontado]]-Tabla4[[#This Row],[Precio Base]])*Tabla4[[#This Row],[Cantidad]]</f>
        <v>#N/A</v>
      </c>
      <c r="O3044" s="284" t="e">
        <f>++Tabla4[[#This Row],[Utilidad Total]]/Tabla4[[#This Row],[Total]]</f>
        <v>#N/A</v>
      </c>
      <c r="P3044" s="282">
        <f>++Tabla4[[#This Row],[Precio Descontado]]*Tabla4[[#This Row],[Cantidad]]</f>
        <v>348.43412999999998</v>
      </c>
      <c r="Q3044" s="282" t="e">
        <f>(INDEX(Tabla6[#All],MATCH(Tabla4[[#This Row],[Producto]],Tabla6[[#All],[PRODUCTO]],0),MATCH(Tabla4[[#This Row],[Mes]],Tabla6[#Headers],0)))</f>
        <v>#N/A</v>
      </c>
      <c r="R3044" s="282" t="e">
        <f>++Tabla4[[#This Row],[Precio Unitario Neto]]-Tabla4[[#This Row],[20.85%]]-Tabla4[[#This Row],[Costo]]</f>
        <v>#N/A</v>
      </c>
      <c r="S3044" s="282" t="e">
        <f>++Tabla4[[#This Row],[U. Bruta Uni]]*Tabla4[[#This Row],[Cantidad]]</f>
        <v>#N/A</v>
      </c>
      <c r="T3044" s="369" t="str">
        <f>VLOOKUP(Tabla4[[#This Row],[Producto]],Tabla6[#All],14,FALSE)</f>
        <v>Termico Solar</v>
      </c>
      <c r="U3044" s="284" t="e">
        <f>(IF(Tabla4[[#This Row],[Familia]]="termico solar",Tabla4[[#This Row],[Utilidad Total]]*6%,Tabla4[[#This Row],[Utilidad Total]]*11.5%))/Tabla4[[#This Row],[Total]]</f>
        <v>#N/A</v>
      </c>
      <c r="V3044" s="282" t="e">
        <f>+Tabla4[[#This Row],[Comisión Calculada]]*Tabla4[[#This Row],[Total]]</f>
        <v>#N/A</v>
      </c>
    </row>
    <row r="3045" spans="1:22" hidden="1" x14ac:dyDescent="0.25">
      <c r="A3045" s="100">
        <v>45792</v>
      </c>
      <c r="B3045" t="str">
        <f t="shared" si="145"/>
        <v>May</v>
      </c>
      <c r="C3045" s="46" t="s">
        <v>280</v>
      </c>
      <c r="F3045" s="366" t="s">
        <v>1889</v>
      </c>
      <c r="G3045" s="46" t="s">
        <v>16</v>
      </c>
      <c r="H3045" s="46">
        <v>1</v>
      </c>
      <c r="I3045" s="51">
        <v>4103.8500000000004</v>
      </c>
      <c r="J3045" s="281">
        <f>++Tabla4[[#This Row],[Precio Bruto]]*1.16</f>
        <v>4760.4660000000003</v>
      </c>
      <c r="K3045" s="281">
        <f>+Tabla4[[#This Row],[Precio Unitario Neto]]*Tabla4[[#Headers],[20.85%]]</f>
        <v>992.55716100000006</v>
      </c>
      <c r="L3045" s="282">
        <f>++Tabla4[[#This Row],[Precio Unitario Neto]]-Tabla4[[#This Row],[20.85%]]</f>
        <v>3767.9088390000002</v>
      </c>
      <c r="M3045" s="282" t="e">
        <f>(INDEX(Tabla6[#All],MATCH(Tabla4[[#This Row],[Producto]],Tabla6[[#All],[PRODUCTO]],0),MATCH(Tabla4[[#This Row],[Mes]],Tabla6[#Headers],0)))*(1+Catalogos!$L$2)</f>
        <v>#N/A</v>
      </c>
      <c r="N3045" s="283" t="e">
        <f>+(Tabla4[[#This Row],[Precio Descontado]]-Tabla4[[#This Row],[Precio Base]])*Tabla4[[#This Row],[Cantidad]]</f>
        <v>#N/A</v>
      </c>
      <c r="O3045" s="284" t="e">
        <f>++Tabla4[[#This Row],[Utilidad Total]]/Tabla4[[#This Row],[Total]]</f>
        <v>#N/A</v>
      </c>
      <c r="P3045" s="282">
        <f>++Tabla4[[#This Row],[Precio Descontado]]*Tabla4[[#This Row],[Cantidad]]</f>
        <v>3767.9088390000002</v>
      </c>
      <c r="Q3045" s="282" t="e">
        <f>(INDEX(Tabla6[#All],MATCH(Tabla4[[#This Row],[Producto]],Tabla6[[#All],[PRODUCTO]],0),MATCH(Tabla4[[#This Row],[Mes]],Tabla6[#Headers],0)))</f>
        <v>#N/A</v>
      </c>
      <c r="R3045" s="282" t="e">
        <f>++Tabla4[[#This Row],[Precio Unitario Neto]]-Tabla4[[#This Row],[20.85%]]-Tabla4[[#This Row],[Costo]]</f>
        <v>#N/A</v>
      </c>
      <c r="S3045" s="282" t="e">
        <f>++Tabla4[[#This Row],[U. Bruta Uni]]*Tabla4[[#This Row],[Cantidad]]</f>
        <v>#N/A</v>
      </c>
      <c r="T3045" s="369" t="str">
        <f>VLOOKUP(Tabla4[[#This Row],[Producto]],Tabla6[#All],14,FALSE)</f>
        <v>Termico Solar</v>
      </c>
      <c r="U3045" s="284" t="e">
        <f>(IF(Tabla4[[#This Row],[Familia]]="termico solar",Tabla4[[#This Row],[Utilidad Total]]*6%,Tabla4[[#This Row],[Utilidad Total]]*11.5%))/Tabla4[[#This Row],[Total]]</f>
        <v>#N/A</v>
      </c>
      <c r="V3045" s="282" t="e">
        <f>+Tabla4[[#This Row],[Comisión Calculada]]*Tabla4[[#This Row],[Total]]</f>
        <v>#N/A</v>
      </c>
    </row>
    <row r="3046" spans="1:22" hidden="1" x14ac:dyDescent="0.25">
      <c r="A3046" s="100">
        <v>45792</v>
      </c>
      <c r="B3046" t="str">
        <f t="shared" si="145"/>
        <v>May</v>
      </c>
      <c r="C3046" s="46" t="s">
        <v>280</v>
      </c>
      <c r="F3046" s="366" t="s">
        <v>1890</v>
      </c>
      <c r="G3046" s="46" t="s">
        <v>18</v>
      </c>
      <c r="H3046" s="46">
        <v>3</v>
      </c>
      <c r="I3046" s="51">
        <v>5367.6500000000005</v>
      </c>
      <c r="J3046" s="281">
        <f>++Tabla4[[#This Row],[Precio Bruto]]*1.16</f>
        <v>6226.4740000000002</v>
      </c>
      <c r="K3046" s="281">
        <f>+Tabla4[[#This Row],[Precio Unitario Neto]]*Tabla4[[#Headers],[20.85%]]</f>
        <v>1298.2198289999999</v>
      </c>
      <c r="L3046" s="282">
        <f>++Tabla4[[#This Row],[Precio Unitario Neto]]-Tabla4[[#This Row],[20.85%]]</f>
        <v>4928.2541710000005</v>
      </c>
      <c r="M3046" s="282" t="e">
        <f>(INDEX(Tabla6[#All],MATCH(Tabla4[[#This Row],[Producto]],Tabla6[[#All],[PRODUCTO]],0),MATCH(Tabla4[[#This Row],[Mes]],Tabla6[#Headers],0)))*(1+Catalogos!$L$2)</f>
        <v>#N/A</v>
      </c>
      <c r="N3046" s="283" t="e">
        <f>+(Tabla4[[#This Row],[Precio Descontado]]-Tabla4[[#This Row],[Precio Base]])*Tabla4[[#This Row],[Cantidad]]</f>
        <v>#N/A</v>
      </c>
      <c r="O3046" s="284" t="e">
        <f>++Tabla4[[#This Row],[Utilidad Total]]/Tabla4[[#This Row],[Total]]</f>
        <v>#N/A</v>
      </c>
      <c r="P3046" s="282">
        <f>++Tabla4[[#This Row],[Precio Descontado]]*Tabla4[[#This Row],[Cantidad]]</f>
        <v>14784.762513000001</v>
      </c>
      <c r="Q3046" s="282" t="e">
        <f>(INDEX(Tabla6[#All],MATCH(Tabla4[[#This Row],[Producto]],Tabla6[[#All],[PRODUCTO]],0),MATCH(Tabla4[[#This Row],[Mes]],Tabla6[#Headers],0)))</f>
        <v>#N/A</v>
      </c>
      <c r="R3046" s="282" t="e">
        <f>++Tabla4[[#This Row],[Precio Unitario Neto]]-Tabla4[[#This Row],[20.85%]]-Tabla4[[#This Row],[Costo]]</f>
        <v>#N/A</v>
      </c>
      <c r="S3046" s="282" t="e">
        <f>++Tabla4[[#This Row],[U. Bruta Uni]]*Tabla4[[#This Row],[Cantidad]]</f>
        <v>#N/A</v>
      </c>
      <c r="T3046" s="369" t="str">
        <f>VLOOKUP(Tabla4[[#This Row],[Producto]],Tabla6[#All],14,FALSE)</f>
        <v>Termico Solar</v>
      </c>
      <c r="U3046" s="284" t="e">
        <f>(IF(Tabla4[[#This Row],[Familia]]="termico solar",Tabla4[[#This Row],[Utilidad Total]]*6%,Tabla4[[#This Row],[Utilidad Total]]*11.5%))/Tabla4[[#This Row],[Total]]</f>
        <v>#N/A</v>
      </c>
      <c r="V3046" s="282" t="e">
        <f>+Tabla4[[#This Row],[Comisión Calculada]]*Tabla4[[#This Row],[Total]]</f>
        <v>#N/A</v>
      </c>
    </row>
    <row r="3047" spans="1:22" hidden="1" x14ac:dyDescent="0.25">
      <c r="A3047" s="100">
        <v>45792</v>
      </c>
      <c r="B3047" t="str">
        <f t="shared" si="145"/>
        <v>May</v>
      </c>
      <c r="C3047" s="46" t="s">
        <v>280</v>
      </c>
      <c r="F3047" s="366" t="s">
        <v>1891</v>
      </c>
      <c r="G3047" s="46" t="s">
        <v>18</v>
      </c>
      <c r="H3047" s="46">
        <v>1</v>
      </c>
      <c r="I3047" s="51">
        <v>5367.65</v>
      </c>
      <c r="J3047" s="281">
        <f>++Tabla4[[#This Row],[Precio Bruto]]*1.16</f>
        <v>6226.4739999999993</v>
      </c>
      <c r="K3047" s="281">
        <f>+Tabla4[[#This Row],[Precio Unitario Neto]]*Tabla4[[#Headers],[20.85%]]</f>
        <v>1298.2198289999999</v>
      </c>
      <c r="L3047" s="282">
        <f>++Tabla4[[#This Row],[Precio Unitario Neto]]-Tabla4[[#This Row],[20.85%]]</f>
        <v>4928.2541709999996</v>
      </c>
      <c r="M3047" s="282" t="e">
        <f>(INDEX(Tabla6[#All],MATCH(Tabla4[[#This Row],[Producto]],Tabla6[[#All],[PRODUCTO]],0),MATCH(Tabla4[[#This Row],[Mes]],Tabla6[#Headers],0)))*(1+Catalogos!$L$2)</f>
        <v>#N/A</v>
      </c>
      <c r="N3047" s="283" t="e">
        <f>+(Tabla4[[#This Row],[Precio Descontado]]-Tabla4[[#This Row],[Precio Base]])*Tabla4[[#This Row],[Cantidad]]</f>
        <v>#N/A</v>
      </c>
      <c r="O3047" s="284" t="e">
        <f>++Tabla4[[#This Row],[Utilidad Total]]/Tabla4[[#This Row],[Total]]</f>
        <v>#N/A</v>
      </c>
      <c r="P3047" s="282">
        <f>++Tabla4[[#This Row],[Precio Descontado]]*Tabla4[[#This Row],[Cantidad]]</f>
        <v>4928.2541709999996</v>
      </c>
      <c r="Q3047" s="282" t="e">
        <f>(INDEX(Tabla6[#All],MATCH(Tabla4[[#This Row],[Producto]],Tabla6[[#All],[PRODUCTO]],0),MATCH(Tabla4[[#This Row],[Mes]],Tabla6[#Headers],0)))</f>
        <v>#N/A</v>
      </c>
      <c r="R3047" s="282" t="e">
        <f>++Tabla4[[#This Row],[Precio Unitario Neto]]-Tabla4[[#This Row],[20.85%]]-Tabla4[[#This Row],[Costo]]</f>
        <v>#N/A</v>
      </c>
      <c r="S3047" s="282" t="e">
        <f>++Tabla4[[#This Row],[U. Bruta Uni]]*Tabla4[[#This Row],[Cantidad]]</f>
        <v>#N/A</v>
      </c>
      <c r="T3047" s="369" t="str">
        <f>VLOOKUP(Tabla4[[#This Row],[Producto]],Tabla6[#All],14,FALSE)</f>
        <v>Termico Solar</v>
      </c>
      <c r="U3047" s="284" t="e">
        <f>(IF(Tabla4[[#This Row],[Familia]]="termico solar",Tabla4[[#This Row],[Utilidad Total]]*6%,Tabla4[[#This Row],[Utilidad Total]]*11.5%))/Tabla4[[#This Row],[Total]]</f>
        <v>#N/A</v>
      </c>
      <c r="V3047" s="282" t="e">
        <f>+Tabla4[[#This Row],[Comisión Calculada]]*Tabla4[[#This Row],[Total]]</f>
        <v>#N/A</v>
      </c>
    </row>
    <row r="3048" spans="1:22" hidden="1" x14ac:dyDescent="0.25">
      <c r="A3048" s="100">
        <v>45792</v>
      </c>
      <c r="B3048" t="str">
        <f t="shared" si="145"/>
        <v>May</v>
      </c>
      <c r="C3048" s="46" t="s">
        <v>280</v>
      </c>
      <c r="F3048" s="366" t="s">
        <v>1892</v>
      </c>
      <c r="G3048" s="46" t="s">
        <v>209</v>
      </c>
      <c r="H3048" s="46">
        <v>1</v>
      </c>
      <c r="I3048" s="51">
        <v>347.48</v>
      </c>
      <c r="J3048" s="281">
        <f>++Tabla4[[#This Row],[Precio Bruto]]*1.16</f>
        <v>403.07679999999999</v>
      </c>
      <c r="K3048" s="281">
        <f>+Tabla4[[#This Row],[Precio Unitario Neto]]*Tabla4[[#Headers],[20.85%]]</f>
        <v>84.041512799999992</v>
      </c>
      <c r="L3048" s="282">
        <f>++Tabla4[[#This Row],[Precio Unitario Neto]]-Tabla4[[#This Row],[20.85%]]</f>
        <v>319.03528719999997</v>
      </c>
      <c r="M3048" s="282" t="e">
        <f>(INDEX(Tabla6[#All],MATCH(Tabla4[[#This Row],[Producto]],Tabla6[[#All],[PRODUCTO]],0),MATCH(Tabla4[[#This Row],[Mes]],Tabla6[#Headers],0)))*(1+Catalogos!$L$2)</f>
        <v>#N/A</v>
      </c>
      <c r="N3048" s="283" t="e">
        <f>+(Tabla4[[#This Row],[Precio Descontado]]-Tabla4[[#This Row],[Precio Base]])*Tabla4[[#This Row],[Cantidad]]</f>
        <v>#N/A</v>
      </c>
      <c r="O3048" s="284" t="e">
        <f>++Tabla4[[#This Row],[Utilidad Total]]/Tabla4[[#This Row],[Total]]</f>
        <v>#N/A</v>
      </c>
      <c r="P3048" s="282">
        <f>++Tabla4[[#This Row],[Precio Descontado]]*Tabla4[[#This Row],[Cantidad]]</f>
        <v>319.03528719999997</v>
      </c>
      <c r="Q3048" s="282" t="e">
        <f>(INDEX(Tabla6[#All],MATCH(Tabla4[[#This Row],[Producto]],Tabla6[[#All],[PRODUCTO]],0),MATCH(Tabla4[[#This Row],[Mes]],Tabla6[#Headers],0)))</f>
        <v>#N/A</v>
      </c>
      <c r="R3048" s="282" t="e">
        <f>++Tabla4[[#This Row],[Precio Unitario Neto]]-Tabla4[[#This Row],[20.85%]]-Tabla4[[#This Row],[Costo]]</f>
        <v>#N/A</v>
      </c>
      <c r="S3048" s="282" t="e">
        <f>++Tabla4[[#This Row],[U. Bruta Uni]]*Tabla4[[#This Row],[Cantidad]]</f>
        <v>#N/A</v>
      </c>
      <c r="T3048" s="369" t="str">
        <f>VLOOKUP(Tabla4[[#This Row],[Producto]],Tabla6[#All],14,FALSE)</f>
        <v>Termico Solar</v>
      </c>
      <c r="U3048" s="284" t="e">
        <f>(IF(Tabla4[[#This Row],[Familia]]="termico solar",Tabla4[[#This Row],[Utilidad Total]]*6%,Tabla4[[#This Row],[Utilidad Total]]*11.5%))/Tabla4[[#This Row],[Total]]</f>
        <v>#N/A</v>
      </c>
      <c r="V3048" s="282" t="e">
        <f>+Tabla4[[#This Row],[Comisión Calculada]]*Tabla4[[#This Row],[Total]]</f>
        <v>#N/A</v>
      </c>
    </row>
    <row r="3049" spans="1:22" hidden="1" x14ac:dyDescent="0.25">
      <c r="A3049" s="100">
        <v>45792</v>
      </c>
      <c r="B3049" t="str">
        <f t="shared" si="145"/>
        <v>May</v>
      </c>
      <c r="C3049" s="46" t="s">
        <v>280</v>
      </c>
      <c r="F3049" s="366" t="s">
        <v>1893</v>
      </c>
      <c r="G3049" s="46" t="s">
        <v>16</v>
      </c>
      <c r="H3049" s="46">
        <v>1</v>
      </c>
      <c r="I3049" s="51">
        <v>4103.8500000000004</v>
      </c>
      <c r="J3049" s="281">
        <f>++Tabla4[[#This Row],[Precio Bruto]]*1.16</f>
        <v>4760.4660000000003</v>
      </c>
      <c r="K3049" s="281">
        <f>+Tabla4[[#This Row],[Precio Unitario Neto]]*Tabla4[[#Headers],[20.85%]]</f>
        <v>992.55716100000006</v>
      </c>
      <c r="L3049" s="282">
        <f>++Tabla4[[#This Row],[Precio Unitario Neto]]-Tabla4[[#This Row],[20.85%]]</f>
        <v>3767.9088390000002</v>
      </c>
      <c r="M3049" s="282" t="e">
        <f>(INDEX(Tabla6[#All],MATCH(Tabla4[[#This Row],[Producto]],Tabla6[[#All],[PRODUCTO]],0),MATCH(Tabla4[[#This Row],[Mes]],Tabla6[#Headers],0)))*(1+Catalogos!$L$2)</f>
        <v>#N/A</v>
      </c>
      <c r="N3049" s="283" t="e">
        <f>+(Tabla4[[#This Row],[Precio Descontado]]-Tabla4[[#This Row],[Precio Base]])*Tabla4[[#This Row],[Cantidad]]</f>
        <v>#N/A</v>
      </c>
      <c r="O3049" s="284" t="e">
        <f>++Tabla4[[#This Row],[Utilidad Total]]/Tabla4[[#This Row],[Total]]</f>
        <v>#N/A</v>
      </c>
      <c r="P3049" s="282">
        <f>++Tabla4[[#This Row],[Precio Descontado]]*Tabla4[[#This Row],[Cantidad]]</f>
        <v>3767.9088390000002</v>
      </c>
      <c r="Q3049" s="282" t="e">
        <f>(INDEX(Tabla6[#All],MATCH(Tabla4[[#This Row],[Producto]],Tabla6[[#All],[PRODUCTO]],0),MATCH(Tabla4[[#This Row],[Mes]],Tabla6[#Headers],0)))</f>
        <v>#N/A</v>
      </c>
      <c r="R3049" s="282" t="e">
        <f>++Tabla4[[#This Row],[Precio Unitario Neto]]-Tabla4[[#This Row],[20.85%]]-Tabla4[[#This Row],[Costo]]</f>
        <v>#N/A</v>
      </c>
      <c r="S3049" s="282" t="e">
        <f>++Tabla4[[#This Row],[U. Bruta Uni]]*Tabla4[[#This Row],[Cantidad]]</f>
        <v>#N/A</v>
      </c>
      <c r="T3049" s="369" t="str">
        <f>VLOOKUP(Tabla4[[#This Row],[Producto]],Tabla6[#All],14,FALSE)</f>
        <v>Termico Solar</v>
      </c>
      <c r="U3049" s="284" t="e">
        <f>(IF(Tabla4[[#This Row],[Familia]]="termico solar",Tabla4[[#This Row],[Utilidad Total]]*6%,Tabla4[[#This Row],[Utilidad Total]]*11.5%))/Tabla4[[#This Row],[Total]]</f>
        <v>#N/A</v>
      </c>
      <c r="V3049" s="282" t="e">
        <f>+Tabla4[[#This Row],[Comisión Calculada]]*Tabla4[[#This Row],[Total]]</f>
        <v>#N/A</v>
      </c>
    </row>
    <row r="3050" spans="1:22" hidden="1" x14ac:dyDescent="0.25">
      <c r="A3050" s="100">
        <v>45792</v>
      </c>
      <c r="B3050" t="str">
        <f t="shared" ref="B3050:B3094" si="146">TEXT(A3050, "mmmm")</f>
        <v>May</v>
      </c>
      <c r="C3050" s="46" t="s">
        <v>280</v>
      </c>
      <c r="F3050" s="366" t="s">
        <v>1894</v>
      </c>
      <c r="G3050" s="46" t="s">
        <v>566</v>
      </c>
      <c r="H3050" s="46">
        <v>1</v>
      </c>
      <c r="I3050" s="51">
        <v>2109.4499999999998</v>
      </c>
      <c r="J3050" s="281">
        <f>++Tabla4[[#This Row],[Precio Bruto]]*1.16</f>
        <v>2446.9619999999995</v>
      </c>
      <c r="K3050" s="281">
        <f>+Tabla4[[#This Row],[Precio Unitario Neto]]*Tabla4[[#Headers],[20.85%]]</f>
        <v>510.19157699999988</v>
      </c>
      <c r="L3050" s="282">
        <f>++Tabla4[[#This Row],[Precio Unitario Neto]]-Tabla4[[#This Row],[20.85%]]</f>
        <v>1936.7704229999997</v>
      </c>
      <c r="M3050" s="282" t="e">
        <f>(INDEX(Tabla6[#All],MATCH(Tabla4[[#This Row],[Producto]],Tabla6[[#All],[PRODUCTO]],0),MATCH(Tabla4[[#This Row],[Mes]],Tabla6[#Headers],0)))*(1+Catalogos!$L$2)</f>
        <v>#N/A</v>
      </c>
      <c r="N3050" s="283" t="e">
        <f>+(Tabla4[[#This Row],[Precio Descontado]]-Tabla4[[#This Row],[Precio Base]])*Tabla4[[#This Row],[Cantidad]]</f>
        <v>#N/A</v>
      </c>
      <c r="O3050" s="284" t="e">
        <f>++Tabla4[[#This Row],[Utilidad Total]]/Tabla4[[#This Row],[Total]]</f>
        <v>#N/A</v>
      </c>
      <c r="P3050" s="282">
        <f>++Tabla4[[#This Row],[Precio Descontado]]*Tabla4[[#This Row],[Cantidad]]</f>
        <v>1936.7704229999997</v>
      </c>
      <c r="Q3050" s="282" t="e">
        <f>(INDEX(Tabla6[#All],MATCH(Tabla4[[#This Row],[Producto]],Tabla6[[#All],[PRODUCTO]],0),MATCH(Tabla4[[#This Row],[Mes]],Tabla6[#Headers],0)))</f>
        <v>#N/A</v>
      </c>
      <c r="R3050" s="282" t="e">
        <f>++Tabla4[[#This Row],[Precio Unitario Neto]]-Tabla4[[#This Row],[20.85%]]-Tabla4[[#This Row],[Costo]]</f>
        <v>#N/A</v>
      </c>
      <c r="S3050" s="282" t="e">
        <f>++Tabla4[[#This Row],[U. Bruta Uni]]*Tabla4[[#This Row],[Cantidad]]</f>
        <v>#N/A</v>
      </c>
      <c r="T3050" s="369" t="str">
        <f>VLOOKUP(Tabla4[[#This Row],[Producto]],Tabla6[#All],14,FALSE)</f>
        <v>Termico Solar</v>
      </c>
      <c r="U3050" s="284" t="e">
        <f>(IF(Tabla4[[#This Row],[Familia]]="termico solar",Tabla4[[#This Row],[Utilidad Total]]*6%,Tabla4[[#This Row],[Utilidad Total]]*11.5%))/Tabla4[[#This Row],[Total]]</f>
        <v>#N/A</v>
      </c>
      <c r="V3050" s="282" t="e">
        <f>+Tabla4[[#This Row],[Comisión Calculada]]*Tabla4[[#This Row],[Total]]</f>
        <v>#N/A</v>
      </c>
    </row>
    <row r="3051" spans="1:22" hidden="1" x14ac:dyDescent="0.25">
      <c r="A3051" s="100">
        <v>45792</v>
      </c>
      <c r="B3051" t="str">
        <f t="shared" si="146"/>
        <v>May</v>
      </c>
      <c r="C3051" s="46" t="s">
        <v>280</v>
      </c>
      <c r="F3051" s="366" t="s">
        <v>1894</v>
      </c>
      <c r="G3051" s="46" t="s">
        <v>412</v>
      </c>
      <c r="H3051" s="46">
        <v>1</v>
      </c>
      <c r="I3051" s="51">
        <v>3240.84</v>
      </c>
      <c r="J3051" s="281">
        <f>++Tabla4[[#This Row],[Precio Bruto]]*1.16</f>
        <v>3759.3743999999997</v>
      </c>
      <c r="K3051" s="281">
        <f>+Tabla4[[#This Row],[Precio Unitario Neto]]*Tabla4[[#Headers],[20.85%]]</f>
        <v>783.82956239999987</v>
      </c>
      <c r="L3051" s="282">
        <f>++Tabla4[[#This Row],[Precio Unitario Neto]]-Tabla4[[#This Row],[20.85%]]</f>
        <v>2975.5448375999999</v>
      </c>
      <c r="M3051" s="282" t="e">
        <f>(INDEX(Tabla6[#All],MATCH(Tabla4[[#This Row],[Producto]],Tabla6[[#All],[PRODUCTO]],0),MATCH(Tabla4[[#This Row],[Mes]],Tabla6[#Headers],0)))*(1+Catalogos!$L$2)</f>
        <v>#N/A</v>
      </c>
      <c r="N3051" s="283" t="e">
        <f>+(Tabla4[[#This Row],[Precio Descontado]]-Tabla4[[#This Row],[Precio Base]])*Tabla4[[#This Row],[Cantidad]]</f>
        <v>#N/A</v>
      </c>
      <c r="O3051" s="284" t="e">
        <f>++Tabla4[[#This Row],[Utilidad Total]]/Tabla4[[#This Row],[Total]]</f>
        <v>#N/A</v>
      </c>
      <c r="P3051" s="282">
        <f>++Tabla4[[#This Row],[Precio Descontado]]*Tabla4[[#This Row],[Cantidad]]</f>
        <v>2975.5448375999999</v>
      </c>
      <c r="Q3051" s="282" t="e">
        <f>(INDEX(Tabla6[#All],MATCH(Tabla4[[#This Row],[Producto]],Tabla6[[#All],[PRODUCTO]],0),MATCH(Tabla4[[#This Row],[Mes]],Tabla6[#Headers],0)))</f>
        <v>#N/A</v>
      </c>
      <c r="R3051" s="282" t="e">
        <f>++Tabla4[[#This Row],[Precio Unitario Neto]]-Tabla4[[#This Row],[20.85%]]-Tabla4[[#This Row],[Costo]]</f>
        <v>#N/A</v>
      </c>
      <c r="S3051" s="282" t="e">
        <f>++Tabla4[[#This Row],[U. Bruta Uni]]*Tabla4[[#This Row],[Cantidad]]</f>
        <v>#N/A</v>
      </c>
      <c r="T3051" s="369" t="str">
        <f>VLOOKUP(Tabla4[[#This Row],[Producto]],Tabla6[#All],14,FALSE)</f>
        <v>Termico Solar</v>
      </c>
      <c r="U3051" s="284" t="e">
        <f>(IF(Tabla4[[#This Row],[Familia]]="termico solar",Tabla4[[#This Row],[Utilidad Total]]*6%,Tabla4[[#This Row],[Utilidad Total]]*11.5%))/Tabla4[[#This Row],[Total]]</f>
        <v>#N/A</v>
      </c>
      <c r="V3051" s="282" t="e">
        <f>+Tabla4[[#This Row],[Comisión Calculada]]*Tabla4[[#This Row],[Total]]</f>
        <v>#N/A</v>
      </c>
    </row>
    <row r="3052" spans="1:22" hidden="1" x14ac:dyDescent="0.25">
      <c r="A3052" s="100">
        <v>45792</v>
      </c>
      <c r="B3052" t="str">
        <f t="shared" si="146"/>
        <v>May</v>
      </c>
      <c r="C3052" s="46" t="s">
        <v>280</v>
      </c>
      <c r="F3052" s="366" t="s">
        <v>1894</v>
      </c>
      <c r="G3052" s="46" t="s">
        <v>208</v>
      </c>
      <c r="H3052" s="46">
        <v>5</v>
      </c>
      <c r="I3052" s="51">
        <v>189.75</v>
      </c>
      <c r="J3052" s="281">
        <f>++Tabla4[[#This Row],[Precio Bruto]]*1.16</f>
        <v>220.10999999999999</v>
      </c>
      <c r="K3052" s="281">
        <f>+Tabla4[[#This Row],[Precio Unitario Neto]]*Tabla4[[#Headers],[20.85%]]</f>
        <v>45.892934999999994</v>
      </c>
      <c r="L3052" s="282">
        <f>++Tabla4[[#This Row],[Precio Unitario Neto]]-Tabla4[[#This Row],[20.85%]]</f>
        <v>174.21706499999999</v>
      </c>
      <c r="M3052" s="282" t="e">
        <f>(INDEX(Tabla6[#All],MATCH(Tabla4[[#This Row],[Producto]],Tabla6[[#All],[PRODUCTO]],0),MATCH(Tabla4[[#This Row],[Mes]],Tabla6[#Headers],0)))*(1+Catalogos!$L$2)</f>
        <v>#N/A</v>
      </c>
      <c r="N3052" s="283" t="e">
        <f>+(Tabla4[[#This Row],[Precio Descontado]]-Tabla4[[#This Row],[Precio Base]])*Tabla4[[#This Row],[Cantidad]]</f>
        <v>#N/A</v>
      </c>
      <c r="O3052" s="284" t="e">
        <f>++Tabla4[[#This Row],[Utilidad Total]]/Tabla4[[#This Row],[Total]]</f>
        <v>#N/A</v>
      </c>
      <c r="P3052" s="282">
        <f>++Tabla4[[#This Row],[Precio Descontado]]*Tabla4[[#This Row],[Cantidad]]</f>
        <v>871.08532500000001</v>
      </c>
      <c r="Q3052" s="282" t="e">
        <f>(INDEX(Tabla6[#All],MATCH(Tabla4[[#This Row],[Producto]],Tabla6[[#All],[PRODUCTO]],0),MATCH(Tabla4[[#This Row],[Mes]],Tabla6[#Headers],0)))</f>
        <v>#N/A</v>
      </c>
      <c r="R3052" s="282" t="e">
        <f>++Tabla4[[#This Row],[Precio Unitario Neto]]-Tabla4[[#This Row],[20.85%]]-Tabla4[[#This Row],[Costo]]</f>
        <v>#N/A</v>
      </c>
      <c r="S3052" s="282" t="e">
        <f>++Tabla4[[#This Row],[U. Bruta Uni]]*Tabla4[[#This Row],[Cantidad]]</f>
        <v>#N/A</v>
      </c>
      <c r="T3052" s="369" t="str">
        <f>VLOOKUP(Tabla4[[#This Row],[Producto]],Tabla6[#All],14,FALSE)</f>
        <v>Termico Solar</v>
      </c>
      <c r="U3052" s="284" t="e">
        <f>(IF(Tabla4[[#This Row],[Familia]]="termico solar",Tabla4[[#This Row],[Utilidad Total]]*6%,Tabla4[[#This Row],[Utilidad Total]]*11.5%))/Tabla4[[#This Row],[Total]]</f>
        <v>#N/A</v>
      </c>
      <c r="V3052" s="282" t="e">
        <f>+Tabla4[[#This Row],[Comisión Calculada]]*Tabla4[[#This Row],[Total]]</f>
        <v>#N/A</v>
      </c>
    </row>
    <row r="3053" spans="1:22" hidden="1" x14ac:dyDescent="0.25">
      <c r="A3053" s="100">
        <v>45792</v>
      </c>
      <c r="B3053" t="str">
        <f t="shared" si="146"/>
        <v>May</v>
      </c>
      <c r="C3053" s="46" t="s">
        <v>280</v>
      </c>
      <c r="F3053" s="366" t="s">
        <v>1895</v>
      </c>
      <c r="G3053" s="46" t="s">
        <v>18</v>
      </c>
      <c r="H3053" s="46">
        <v>1</v>
      </c>
      <c r="I3053" s="51">
        <v>5367.65</v>
      </c>
      <c r="J3053" s="281">
        <f>++Tabla4[[#This Row],[Precio Bruto]]*1.16</f>
        <v>6226.4739999999993</v>
      </c>
      <c r="K3053" s="281">
        <f>+Tabla4[[#This Row],[Precio Unitario Neto]]*Tabla4[[#Headers],[20.85%]]</f>
        <v>1298.2198289999999</v>
      </c>
      <c r="L3053" s="282">
        <f>++Tabla4[[#This Row],[Precio Unitario Neto]]-Tabla4[[#This Row],[20.85%]]</f>
        <v>4928.2541709999996</v>
      </c>
      <c r="M3053" s="282" t="e">
        <f>(INDEX(Tabla6[#All],MATCH(Tabla4[[#This Row],[Producto]],Tabla6[[#All],[PRODUCTO]],0),MATCH(Tabla4[[#This Row],[Mes]],Tabla6[#Headers],0)))*(1+Catalogos!$L$2)</f>
        <v>#N/A</v>
      </c>
      <c r="N3053" s="283" t="e">
        <f>+(Tabla4[[#This Row],[Precio Descontado]]-Tabla4[[#This Row],[Precio Base]])*Tabla4[[#This Row],[Cantidad]]</f>
        <v>#N/A</v>
      </c>
      <c r="O3053" s="284" t="e">
        <f>++Tabla4[[#This Row],[Utilidad Total]]/Tabla4[[#This Row],[Total]]</f>
        <v>#N/A</v>
      </c>
      <c r="P3053" s="282">
        <f>++Tabla4[[#This Row],[Precio Descontado]]*Tabla4[[#This Row],[Cantidad]]</f>
        <v>4928.2541709999996</v>
      </c>
      <c r="Q3053" s="282" t="e">
        <f>(INDEX(Tabla6[#All],MATCH(Tabla4[[#This Row],[Producto]],Tabla6[[#All],[PRODUCTO]],0),MATCH(Tabla4[[#This Row],[Mes]],Tabla6[#Headers],0)))</f>
        <v>#N/A</v>
      </c>
      <c r="R3053" s="282" t="e">
        <f>++Tabla4[[#This Row],[Precio Unitario Neto]]-Tabla4[[#This Row],[20.85%]]-Tabla4[[#This Row],[Costo]]</f>
        <v>#N/A</v>
      </c>
      <c r="S3053" s="282" t="e">
        <f>++Tabla4[[#This Row],[U. Bruta Uni]]*Tabla4[[#This Row],[Cantidad]]</f>
        <v>#N/A</v>
      </c>
      <c r="T3053" s="369" t="str">
        <f>VLOOKUP(Tabla4[[#This Row],[Producto]],Tabla6[#All],14,FALSE)</f>
        <v>Termico Solar</v>
      </c>
      <c r="U3053" s="284" t="e">
        <f>(IF(Tabla4[[#This Row],[Familia]]="termico solar",Tabla4[[#This Row],[Utilidad Total]]*6%,Tabla4[[#This Row],[Utilidad Total]]*11.5%))/Tabla4[[#This Row],[Total]]</f>
        <v>#N/A</v>
      </c>
      <c r="V3053" s="282" t="e">
        <f>+Tabla4[[#This Row],[Comisión Calculada]]*Tabla4[[#This Row],[Total]]</f>
        <v>#N/A</v>
      </c>
    </row>
    <row r="3054" spans="1:22" hidden="1" x14ac:dyDescent="0.25">
      <c r="A3054" s="100">
        <v>45792</v>
      </c>
      <c r="B3054" t="str">
        <f t="shared" si="146"/>
        <v>May</v>
      </c>
      <c r="C3054" s="46" t="s">
        <v>280</v>
      </c>
      <c r="F3054" s="366" t="s">
        <v>1896</v>
      </c>
      <c r="G3054" s="46" t="s">
        <v>18</v>
      </c>
      <c r="H3054" s="46">
        <v>2</v>
      </c>
      <c r="I3054" s="51">
        <v>5367.65</v>
      </c>
      <c r="J3054" s="281">
        <f>++Tabla4[[#This Row],[Precio Bruto]]*1.16</f>
        <v>6226.4739999999993</v>
      </c>
      <c r="K3054" s="281">
        <f>+Tabla4[[#This Row],[Precio Unitario Neto]]*Tabla4[[#Headers],[20.85%]]</f>
        <v>1298.2198289999999</v>
      </c>
      <c r="L3054" s="282">
        <f>++Tabla4[[#This Row],[Precio Unitario Neto]]-Tabla4[[#This Row],[20.85%]]</f>
        <v>4928.2541709999996</v>
      </c>
      <c r="M3054" s="282" t="e">
        <f>(INDEX(Tabla6[#All],MATCH(Tabla4[[#This Row],[Producto]],Tabla6[[#All],[PRODUCTO]],0),MATCH(Tabla4[[#This Row],[Mes]],Tabla6[#Headers],0)))*(1+Catalogos!$L$2)</f>
        <v>#N/A</v>
      </c>
      <c r="N3054" s="283" t="e">
        <f>+(Tabla4[[#This Row],[Precio Descontado]]-Tabla4[[#This Row],[Precio Base]])*Tabla4[[#This Row],[Cantidad]]</f>
        <v>#N/A</v>
      </c>
      <c r="O3054" s="284" t="e">
        <f>++Tabla4[[#This Row],[Utilidad Total]]/Tabla4[[#This Row],[Total]]</f>
        <v>#N/A</v>
      </c>
      <c r="P3054" s="282">
        <f>++Tabla4[[#This Row],[Precio Descontado]]*Tabla4[[#This Row],[Cantidad]]</f>
        <v>9856.5083419999992</v>
      </c>
      <c r="Q3054" s="282" t="e">
        <f>(INDEX(Tabla6[#All],MATCH(Tabla4[[#This Row],[Producto]],Tabla6[[#All],[PRODUCTO]],0),MATCH(Tabla4[[#This Row],[Mes]],Tabla6[#Headers],0)))</f>
        <v>#N/A</v>
      </c>
      <c r="R3054" s="282" t="e">
        <f>++Tabla4[[#This Row],[Precio Unitario Neto]]-Tabla4[[#This Row],[20.85%]]-Tabla4[[#This Row],[Costo]]</f>
        <v>#N/A</v>
      </c>
      <c r="S3054" s="282" t="e">
        <f>++Tabla4[[#This Row],[U. Bruta Uni]]*Tabla4[[#This Row],[Cantidad]]</f>
        <v>#N/A</v>
      </c>
      <c r="T3054" s="369" t="str">
        <f>VLOOKUP(Tabla4[[#This Row],[Producto]],Tabla6[#All],14,FALSE)</f>
        <v>Termico Solar</v>
      </c>
      <c r="U3054" s="284" t="e">
        <f>(IF(Tabla4[[#This Row],[Familia]]="termico solar",Tabla4[[#This Row],[Utilidad Total]]*6%,Tabla4[[#This Row],[Utilidad Total]]*11.5%))/Tabla4[[#This Row],[Total]]</f>
        <v>#N/A</v>
      </c>
      <c r="V3054" s="282" t="e">
        <f>+Tabla4[[#This Row],[Comisión Calculada]]*Tabla4[[#This Row],[Total]]</f>
        <v>#N/A</v>
      </c>
    </row>
    <row r="3055" spans="1:22" hidden="1" x14ac:dyDescent="0.25">
      <c r="A3055" s="100">
        <v>45792</v>
      </c>
      <c r="B3055" t="str">
        <f t="shared" si="146"/>
        <v>May</v>
      </c>
      <c r="C3055" s="46" t="s">
        <v>280</v>
      </c>
      <c r="F3055" s="366" t="s">
        <v>1896</v>
      </c>
      <c r="G3055" s="46" t="s">
        <v>566</v>
      </c>
      <c r="H3055" s="46">
        <v>1</v>
      </c>
      <c r="I3055" s="51">
        <v>2109.4499999999998</v>
      </c>
      <c r="J3055" s="281">
        <f>++Tabla4[[#This Row],[Precio Bruto]]*1.16</f>
        <v>2446.9619999999995</v>
      </c>
      <c r="K3055" s="281">
        <f>+Tabla4[[#This Row],[Precio Unitario Neto]]*Tabla4[[#Headers],[20.85%]]</f>
        <v>510.19157699999988</v>
      </c>
      <c r="L3055" s="282">
        <f>++Tabla4[[#This Row],[Precio Unitario Neto]]-Tabla4[[#This Row],[20.85%]]</f>
        <v>1936.7704229999997</v>
      </c>
      <c r="M3055" s="282" t="e">
        <f>(INDEX(Tabla6[#All],MATCH(Tabla4[[#This Row],[Producto]],Tabla6[[#All],[PRODUCTO]],0),MATCH(Tabla4[[#This Row],[Mes]],Tabla6[#Headers],0)))*(1+Catalogos!$L$2)</f>
        <v>#N/A</v>
      </c>
      <c r="N3055" s="283" t="e">
        <f>+(Tabla4[[#This Row],[Precio Descontado]]-Tabla4[[#This Row],[Precio Base]])*Tabla4[[#This Row],[Cantidad]]</f>
        <v>#N/A</v>
      </c>
      <c r="O3055" s="284" t="e">
        <f>++Tabla4[[#This Row],[Utilidad Total]]/Tabla4[[#This Row],[Total]]</f>
        <v>#N/A</v>
      </c>
      <c r="P3055" s="282">
        <f>++Tabla4[[#This Row],[Precio Descontado]]*Tabla4[[#This Row],[Cantidad]]</f>
        <v>1936.7704229999997</v>
      </c>
      <c r="Q3055" s="282" t="e">
        <f>(INDEX(Tabla6[#All],MATCH(Tabla4[[#This Row],[Producto]],Tabla6[[#All],[PRODUCTO]],0),MATCH(Tabla4[[#This Row],[Mes]],Tabla6[#Headers],0)))</f>
        <v>#N/A</v>
      </c>
      <c r="R3055" s="282" t="e">
        <f>++Tabla4[[#This Row],[Precio Unitario Neto]]-Tabla4[[#This Row],[20.85%]]-Tabla4[[#This Row],[Costo]]</f>
        <v>#N/A</v>
      </c>
      <c r="S3055" s="282" t="e">
        <f>++Tabla4[[#This Row],[U. Bruta Uni]]*Tabla4[[#This Row],[Cantidad]]</f>
        <v>#N/A</v>
      </c>
      <c r="T3055" s="369" t="str">
        <f>VLOOKUP(Tabla4[[#This Row],[Producto]],Tabla6[#All],14,FALSE)</f>
        <v>Termico Solar</v>
      </c>
      <c r="U3055" s="284" t="e">
        <f>(IF(Tabla4[[#This Row],[Familia]]="termico solar",Tabla4[[#This Row],[Utilidad Total]]*6%,Tabla4[[#This Row],[Utilidad Total]]*11.5%))/Tabla4[[#This Row],[Total]]</f>
        <v>#N/A</v>
      </c>
      <c r="V3055" s="282" t="e">
        <f>+Tabla4[[#This Row],[Comisión Calculada]]*Tabla4[[#This Row],[Total]]</f>
        <v>#N/A</v>
      </c>
    </row>
    <row r="3056" spans="1:22" hidden="1" x14ac:dyDescent="0.25">
      <c r="A3056" s="100">
        <v>45792</v>
      </c>
      <c r="B3056" t="str">
        <f t="shared" si="146"/>
        <v>May</v>
      </c>
      <c r="C3056" s="46" t="s">
        <v>280</v>
      </c>
      <c r="F3056" s="366" t="s">
        <v>1897</v>
      </c>
      <c r="G3056" s="46" t="s">
        <v>18</v>
      </c>
      <c r="H3056" s="46">
        <v>1</v>
      </c>
      <c r="I3056" s="51">
        <v>5367.65</v>
      </c>
      <c r="J3056" s="281">
        <f>++Tabla4[[#This Row],[Precio Bruto]]*1.16</f>
        <v>6226.4739999999993</v>
      </c>
      <c r="K3056" s="281">
        <f>+Tabla4[[#This Row],[Precio Unitario Neto]]*Tabla4[[#Headers],[20.85%]]</f>
        <v>1298.2198289999999</v>
      </c>
      <c r="L3056" s="282">
        <f>++Tabla4[[#This Row],[Precio Unitario Neto]]-Tabla4[[#This Row],[20.85%]]</f>
        <v>4928.2541709999996</v>
      </c>
      <c r="M3056" s="282" t="e">
        <f>(INDEX(Tabla6[#All],MATCH(Tabla4[[#This Row],[Producto]],Tabla6[[#All],[PRODUCTO]],0),MATCH(Tabla4[[#This Row],[Mes]],Tabla6[#Headers],0)))*(1+Catalogos!$L$2)</f>
        <v>#N/A</v>
      </c>
      <c r="N3056" s="283" t="e">
        <f>+(Tabla4[[#This Row],[Precio Descontado]]-Tabla4[[#This Row],[Precio Base]])*Tabla4[[#This Row],[Cantidad]]</f>
        <v>#N/A</v>
      </c>
      <c r="O3056" s="284" t="e">
        <f>++Tabla4[[#This Row],[Utilidad Total]]/Tabla4[[#This Row],[Total]]</f>
        <v>#N/A</v>
      </c>
      <c r="P3056" s="282">
        <f>++Tabla4[[#This Row],[Precio Descontado]]*Tabla4[[#This Row],[Cantidad]]</f>
        <v>4928.2541709999996</v>
      </c>
      <c r="Q3056" s="282" t="e">
        <f>(INDEX(Tabla6[#All],MATCH(Tabla4[[#This Row],[Producto]],Tabla6[[#All],[PRODUCTO]],0),MATCH(Tabla4[[#This Row],[Mes]],Tabla6[#Headers],0)))</f>
        <v>#N/A</v>
      </c>
      <c r="R3056" s="282" t="e">
        <f>++Tabla4[[#This Row],[Precio Unitario Neto]]-Tabla4[[#This Row],[20.85%]]-Tabla4[[#This Row],[Costo]]</f>
        <v>#N/A</v>
      </c>
      <c r="S3056" s="282" t="e">
        <f>++Tabla4[[#This Row],[U. Bruta Uni]]*Tabla4[[#This Row],[Cantidad]]</f>
        <v>#N/A</v>
      </c>
      <c r="T3056" s="369" t="str">
        <f>VLOOKUP(Tabla4[[#This Row],[Producto]],Tabla6[#All],14,FALSE)</f>
        <v>Termico Solar</v>
      </c>
      <c r="U3056" s="284" t="e">
        <f>(IF(Tabla4[[#This Row],[Familia]]="termico solar",Tabla4[[#This Row],[Utilidad Total]]*6%,Tabla4[[#This Row],[Utilidad Total]]*11.5%))/Tabla4[[#This Row],[Total]]</f>
        <v>#N/A</v>
      </c>
      <c r="V3056" s="282" t="e">
        <f>+Tabla4[[#This Row],[Comisión Calculada]]*Tabla4[[#This Row],[Total]]</f>
        <v>#N/A</v>
      </c>
    </row>
    <row r="3057" spans="1:22" hidden="1" x14ac:dyDescent="0.25">
      <c r="A3057" s="100">
        <v>45792</v>
      </c>
      <c r="B3057" t="str">
        <f t="shared" si="146"/>
        <v>May</v>
      </c>
      <c r="C3057" s="46" t="s">
        <v>280</v>
      </c>
      <c r="F3057" s="366" t="s">
        <v>1898</v>
      </c>
      <c r="G3057" s="46" t="s">
        <v>208</v>
      </c>
      <c r="H3057" s="46">
        <v>1</v>
      </c>
      <c r="I3057" s="51">
        <v>189.75</v>
      </c>
      <c r="J3057" s="281">
        <f>++Tabla4[[#This Row],[Precio Bruto]]*1.16</f>
        <v>220.10999999999999</v>
      </c>
      <c r="K3057" s="281">
        <f>+Tabla4[[#This Row],[Precio Unitario Neto]]*Tabla4[[#Headers],[20.85%]]</f>
        <v>45.892934999999994</v>
      </c>
      <c r="L3057" s="282">
        <f>++Tabla4[[#This Row],[Precio Unitario Neto]]-Tabla4[[#This Row],[20.85%]]</f>
        <v>174.21706499999999</v>
      </c>
      <c r="M3057" s="282" t="e">
        <f>(INDEX(Tabla6[#All],MATCH(Tabla4[[#This Row],[Producto]],Tabla6[[#All],[PRODUCTO]],0),MATCH(Tabla4[[#This Row],[Mes]],Tabla6[#Headers],0)))*(1+Catalogos!$L$2)</f>
        <v>#N/A</v>
      </c>
      <c r="N3057" s="283" t="e">
        <f>+(Tabla4[[#This Row],[Precio Descontado]]-Tabla4[[#This Row],[Precio Base]])*Tabla4[[#This Row],[Cantidad]]</f>
        <v>#N/A</v>
      </c>
      <c r="O3057" s="284" t="e">
        <f>++Tabla4[[#This Row],[Utilidad Total]]/Tabla4[[#This Row],[Total]]</f>
        <v>#N/A</v>
      </c>
      <c r="P3057" s="282">
        <f>++Tabla4[[#This Row],[Precio Descontado]]*Tabla4[[#This Row],[Cantidad]]</f>
        <v>174.21706499999999</v>
      </c>
      <c r="Q3057" s="282" t="e">
        <f>(INDEX(Tabla6[#All],MATCH(Tabla4[[#This Row],[Producto]],Tabla6[[#All],[PRODUCTO]],0),MATCH(Tabla4[[#This Row],[Mes]],Tabla6[#Headers],0)))</f>
        <v>#N/A</v>
      </c>
      <c r="R3057" s="282" t="e">
        <f>++Tabla4[[#This Row],[Precio Unitario Neto]]-Tabla4[[#This Row],[20.85%]]-Tabla4[[#This Row],[Costo]]</f>
        <v>#N/A</v>
      </c>
      <c r="S3057" s="282" t="e">
        <f>++Tabla4[[#This Row],[U. Bruta Uni]]*Tabla4[[#This Row],[Cantidad]]</f>
        <v>#N/A</v>
      </c>
      <c r="T3057" s="369" t="str">
        <f>VLOOKUP(Tabla4[[#This Row],[Producto]],Tabla6[#All],14,FALSE)</f>
        <v>Termico Solar</v>
      </c>
      <c r="U3057" s="284" t="e">
        <f>(IF(Tabla4[[#This Row],[Familia]]="termico solar",Tabla4[[#This Row],[Utilidad Total]]*6%,Tabla4[[#This Row],[Utilidad Total]]*11.5%))/Tabla4[[#This Row],[Total]]</f>
        <v>#N/A</v>
      </c>
      <c r="V3057" s="282" t="e">
        <f>+Tabla4[[#This Row],[Comisión Calculada]]*Tabla4[[#This Row],[Total]]</f>
        <v>#N/A</v>
      </c>
    </row>
    <row r="3058" spans="1:22" hidden="1" x14ac:dyDescent="0.25">
      <c r="A3058" s="100">
        <v>45792</v>
      </c>
      <c r="B3058" t="str">
        <f t="shared" si="146"/>
        <v>May</v>
      </c>
      <c r="C3058" s="46" t="s">
        <v>280</v>
      </c>
      <c r="F3058" s="366" t="s">
        <v>1898</v>
      </c>
      <c r="G3058" s="46" t="s">
        <v>209</v>
      </c>
      <c r="H3058" s="46">
        <v>1</v>
      </c>
      <c r="I3058" s="51">
        <v>347.48</v>
      </c>
      <c r="J3058" s="281">
        <f>++Tabla4[[#This Row],[Precio Bruto]]*1.16</f>
        <v>403.07679999999999</v>
      </c>
      <c r="K3058" s="281">
        <f>+Tabla4[[#This Row],[Precio Unitario Neto]]*Tabla4[[#Headers],[20.85%]]</f>
        <v>84.041512799999992</v>
      </c>
      <c r="L3058" s="282">
        <f>++Tabla4[[#This Row],[Precio Unitario Neto]]-Tabla4[[#This Row],[20.85%]]</f>
        <v>319.03528719999997</v>
      </c>
      <c r="M3058" s="282" t="e">
        <f>(INDEX(Tabla6[#All],MATCH(Tabla4[[#This Row],[Producto]],Tabla6[[#All],[PRODUCTO]],0),MATCH(Tabla4[[#This Row],[Mes]],Tabla6[#Headers],0)))*(1+Catalogos!$L$2)</f>
        <v>#N/A</v>
      </c>
      <c r="N3058" s="283" t="e">
        <f>+(Tabla4[[#This Row],[Precio Descontado]]-Tabla4[[#This Row],[Precio Base]])*Tabla4[[#This Row],[Cantidad]]</f>
        <v>#N/A</v>
      </c>
      <c r="O3058" s="284" t="e">
        <f>++Tabla4[[#This Row],[Utilidad Total]]/Tabla4[[#This Row],[Total]]</f>
        <v>#N/A</v>
      </c>
      <c r="P3058" s="282">
        <f>++Tabla4[[#This Row],[Precio Descontado]]*Tabla4[[#This Row],[Cantidad]]</f>
        <v>319.03528719999997</v>
      </c>
      <c r="Q3058" s="282" t="e">
        <f>(INDEX(Tabla6[#All],MATCH(Tabla4[[#This Row],[Producto]],Tabla6[[#All],[PRODUCTO]],0),MATCH(Tabla4[[#This Row],[Mes]],Tabla6[#Headers],0)))</f>
        <v>#N/A</v>
      </c>
      <c r="R3058" s="282" t="e">
        <f>++Tabla4[[#This Row],[Precio Unitario Neto]]-Tabla4[[#This Row],[20.85%]]-Tabla4[[#This Row],[Costo]]</f>
        <v>#N/A</v>
      </c>
      <c r="S3058" s="282" t="e">
        <f>++Tabla4[[#This Row],[U. Bruta Uni]]*Tabla4[[#This Row],[Cantidad]]</f>
        <v>#N/A</v>
      </c>
      <c r="T3058" s="369" t="str">
        <f>VLOOKUP(Tabla4[[#This Row],[Producto]],Tabla6[#All],14,FALSE)</f>
        <v>Termico Solar</v>
      </c>
      <c r="U3058" s="284" t="e">
        <f>(IF(Tabla4[[#This Row],[Familia]]="termico solar",Tabla4[[#This Row],[Utilidad Total]]*6%,Tabla4[[#This Row],[Utilidad Total]]*11.5%))/Tabla4[[#This Row],[Total]]</f>
        <v>#N/A</v>
      </c>
      <c r="V3058" s="282" t="e">
        <f>+Tabla4[[#This Row],[Comisión Calculada]]*Tabla4[[#This Row],[Total]]</f>
        <v>#N/A</v>
      </c>
    </row>
    <row r="3059" spans="1:22" hidden="1" x14ac:dyDescent="0.25">
      <c r="A3059" s="100">
        <v>45792</v>
      </c>
      <c r="B3059" t="str">
        <f t="shared" si="146"/>
        <v>May</v>
      </c>
      <c r="C3059" s="46" t="s">
        <v>280</v>
      </c>
      <c r="F3059" s="366" t="s">
        <v>1899</v>
      </c>
      <c r="G3059" s="46" t="s">
        <v>18</v>
      </c>
      <c r="H3059" s="46">
        <v>3</v>
      </c>
      <c r="I3059" s="51">
        <v>5367.6500000000005</v>
      </c>
      <c r="J3059" s="281">
        <f>++Tabla4[[#This Row],[Precio Bruto]]*1.16</f>
        <v>6226.4740000000002</v>
      </c>
      <c r="K3059" s="281">
        <f>+Tabla4[[#This Row],[Precio Unitario Neto]]*Tabla4[[#Headers],[20.85%]]</f>
        <v>1298.2198289999999</v>
      </c>
      <c r="L3059" s="282">
        <f>++Tabla4[[#This Row],[Precio Unitario Neto]]-Tabla4[[#This Row],[20.85%]]</f>
        <v>4928.2541710000005</v>
      </c>
      <c r="M3059" s="282" t="e">
        <f>(INDEX(Tabla6[#All],MATCH(Tabla4[[#This Row],[Producto]],Tabla6[[#All],[PRODUCTO]],0),MATCH(Tabla4[[#This Row],[Mes]],Tabla6[#Headers],0)))*(1+Catalogos!$L$2)</f>
        <v>#N/A</v>
      </c>
      <c r="N3059" s="283" t="e">
        <f>+(Tabla4[[#This Row],[Precio Descontado]]-Tabla4[[#This Row],[Precio Base]])*Tabla4[[#This Row],[Cantidad]]</f>
        <v>#N/A</v>
      </c>
      <c r="O3059" s="284" t="e">
        <f>++Tabla4[[#This Row],[Utilidad Total]]/Tabla4[[#This Row],[Total]]</f>
        <v>#N/A</v>
      </c>
      <c r="P3059" s="282">
        <f>++Tabla4[[#This Row],[Precio Descontado]]*Tabla4[[#This Row],[Cantidad]]</f>
        <v>14784.762513000001</v>
      </c>
      <c r="Q3059" s="282" t="e">
        <f>(INDEX(Tabla6[#All],MATCH(Tabla4[[#This Row],[Producto]],Tabla6[[#All],[PRODUCTO]],0),MATCH(Tabla4[[#This Row],[Mes]],Tabla6[#Headers],0)))</f>
        <v>#N/A</v>
      </c>
      <c r="R3059" s="282" t="e">
        <f>++Tabla4[[#This Row],[Precio Unitario Neto]]-Tabla4[[#This Row],[20.85%]]-Tabla4[[#This Row],[Costo]]</f>
        <v>#N/A</v>
      </c>
      <c r="S3059" s="282" t="e">
        <f>++Tabla4[[#This Row],[U. Bruta Uni]]*Tabla4[[#This Row],[Cantidad]]</f>
        <v>#N/A</v>
      </c>
      <c r="T3059" s="369" t="str">
        <f>VLOOKUP(Tabla4[[#This Row],[Producto]],Tabla6[#All],14,FALSE)</f>
        <v>Termico Solar</v>
      </c>
      <c r="U3059" s="284" t="e">
        <f>(IF(Tabla4[[#This Row],[Familia]]="termico solar",Tabla4[[#This Row],[Utilidad Total]]*6%,Tabla4[[#This Row],[Utilidad Total]]*11.5%))/Tabla4[[#This Row],[Total]]</f>
        <v>#N/A</v>
      </c>
      <c r="V3059" s="282" t="e">
        <f>+Tabla4[[#This Row],[Comisión Calculada]]*Tabla4[[#This Row],[Total]]</f>
        <v>#N/A</v>
      </c>
    </row>
    <row r="3060" spans="1:22" hidden="1" x14ac:dyDescent="0.25">
      <c r="A3060" s="100">
        <v>45792</v>
      </c>
      <c r="B3060" t="str">
        <f t="shared" si="146"/>
        <v>May</v>
      </c>
      <c r="C3060" s="46" t="s">
        <v>280</v>
      </c>
      <c r="F3060" s="366" t="s">
        <v>1900</v>
      </c>
      <c r="G3060" s="46" t="s">
        <v>17</v>
      </c>
      <c r="H3060" s="46">
        <v>14</v>
      </c>
      <c r="I3060" s="51">
        <v>4622.28</v>
      </c>
      <c r="J3060" s="281">
        <f>++Tabla4[[#This Row],[Precio Bruto]]*1.16</f>
        <v>5361.8447999999989</v>
      </c>
      <c r="K3060" s="281">
        <f>+Tabla4[[#This Row],[Precio Unitario Neto]]*Tabla4[[#Headers],[20.85%]]</f>
        <v>1117.9446407999997</v>
      </c>
      <c r="L3060" s="282">
        <f>++Tabla4[[#This Row],[Precio Unitario Neto]]-Tabla4[[#This Row],[20.85%]]</f>
        <v>4243.9001591999995</v>
      </c>
      <c r="M3060" s="282" t="e">
        <f>(INDEX(Tabla6[#All],MATCH(Tabla4[[#This Row],[Producto]],Tabla6[[#All],[PRODUCTO]],0),MATCH(Tabla4[[#This Row],[Mes]],Tabla6[#Headers],0)))*(1+Catalogos!$L$2)</f>
        <v>#N/A</v>
      </c>
      <c r="N3060" s="283" t="e">
        <f>+(Tabla4[[#This Row],[Precio Descontado]]-Tabla4[[#This Row],[Precio Base]])*Tabla4[[#This Row],[Cantidad]]</f>
        <v>#N/A</v>
      </c>
      <c r="O3060" s="284" t="e">
        <f>++Tabla4[[#This Row],[Utilidad Total]]/Tabla4[[#This Row],[Total]]</f>
        <v>#N/A</v>
      </c>
      <c r="P3060" s="282">
        <f>++Tabla4[[#This Row],[Precio Descontado]]*Tabla4[[#This Row],[Cantidad]]</f>
        <v>59414.602228799995</v>
      </c>
      <c r="Q3060" s="282" t="e">
        <f>(INDEX(Tabla6[#All],MATCH(Tabla4[[#This Row],[Producto]],Tabla6[[#All],[PRODUCTO]],0),MATCH(Tabla4[[#This Row],[Mes]],Tabla6[#Headers],0)))</f>
        <v>#N/A</v>
      </c>
      <c r="R3060" s="282" t="e">
        <f>++Tabla4[[#This Row],[Precio Unitario Neto]]-Tabla4[[#This Row],[20.85%]]-Tabla4[[#This Row],[Costo]]</f>
        <v>#N/A</v>
      </c>
      <c r="S3060" s="282" t="e">
        <f>++Tabla4[[#This Row],[U. Bruta Uni]]*Tabla4[[#This Row],[Cantidad]]</f>
        <v>#N/A</v>
      </c>
      <c r="T3060" s="369" t="str">
        <f>VLOOKUP(Tabla4[[#This Row],[Producto]],Tabla6[#All],14,FALSE)</f>
        <v>Termico Solar</v>
      </c>
      <c r="U3060" s="284" t="e">
        <f>(IF(Tabla4[[#This Row],[Familia]]="termico solar",Tabla4[[#This Row],[Utilidad Total]]*6%,Tabla4[[#This Row],[Utilidad Total]]*11.5%))/Tabla4[[#This Row],[Total]]</f>
        <v>#N/A</v>
      </c>
      <c r="V3060" s="282" t="e">
        <f>+Tabla4[[#This Row],[Comisión Calculada]]*Tabla4[[#This Row],[Total]]</f>
        <v>#N/A</v>
      </c>
    </row>
    <row r="3061" spans="1:22" hidden="1" x14ac:dyDescent="0.25">
      <c r="A3061" s="100">
        <v>45792</v>
      </c>
      <c r="B3061" t="str">
        <f t="shared" si="146"/>
        <v>May</v>
      </c>
      <c r="C3061" s="46" t="s">
        <v>280</v>
      </c>
      <c r="F3061" s="366" t="s">
        <v>1900</v>
      </c>
      <c r="G3061" s="46" t="s">
        <v>18</v>
      </c>
      <c r="H3061" s="46">
        <v>1</v>
      </c>
      <c r="I3061" s="51">
        <v>5367.65</v>
      </c>
      <c r="J3061" s="281">
        <f>++Tabla4[[#This Row],[Precio Bruto]]*1.16</f>
        <v>6226.4739999999993</v>
      </c>
      <c r="K3061" s="281">
        <f>+Tabla4[[#This Row],[Precio Unitario Neto]]*Tabla4[[#Headers],[20.85%]]</f>
        <v>1298.2198289999999</v>
      </c>
      <c r="L3061" s="282">
        <f>++Tabla4[[#This Row],[Precio Unitario Neto]]-Tabla4[[#This Row],[20.85%]]</f>
        <v>4928.2541709999996</v>
      </c>
      <c r="M3061" s="282" t="e">
        <f>(INDEX(Tabla6[#All],MATCH(Tabla4[[#This Row],[Producto]],Tabla6[[#All],[PRODUCTO]],0),MATCH(Tabla4[[#This Row],[Mes]],Tabla6[#Headers],0)))*(1+Catalogos!$L$2)</f>
        <v>#N/A</v>
      </c>
      <c r="N3061" s="283" t="e">
        <f>+(Tabla4[[#This Row],[Precio Descontado]]-Tabla4[[#This Row],[Precio Base]])*Tabla4[[#This Row],[Cantidad]]</f>
        <v>#N/A</v>
      </c>
      <c r="O3061" s="284" t="e">
        <f>++Tabla4[[#This Row],[Utilidad Total]]/Tabla4[[#This Row],[Total]]</f>
        <v>#N/A</v>
      </c>
      <c r="P3061" s="282">
        <f>++Tabla4[[#This Row],[Precio Descontado]]*Tabla4[[#This Row],[Cantidad]]</f>
        <v>4928.2541709999996</v>
      </c>
      <c r="Q3061" s="282" t="e">
        <f>(INDEX(Tabla6[#All],MATCH(Tabla4[[#This Row],[Producto]],Tabla6[[#All],[PRODUCTO]],0),MATCH(Tabla4[[#This Row],[Mes]],Tabla6[#Headers],0)))</f>
        <v>#N/A</v>
      </c>
      <c r="R3061" s="282" t="e">
        <f>++Tabla4[[#This Row],[Precio Unitario Neto]]-Tabla4[[#This Row],[20.85%]]-Tabla4[[#This Row],[Costo]]</f>
        <v>#N/A</v>
      </c>
      <c r="S3061" s="282" t="e">
        <f>++Tabla4[[#This Row],[U. Bruta Uni]]*Tabla4[[#This Row],[Cantidad]]</f>
        <v>#N/A</v>
      </c>
      <c r="T3061" s="369" t="str">
        <f>VLOOKUP(Tabla4[[#This Row],[Producto]],Tabla6[#All],14,FALSE)</f>
        <v>Termico Solar</v>
      </c>
      <c r="U3061" s="284" t="e">
        <f>(IF(Tabla4[[#This Row],[Familia]]="termico solar",Tabla4[[#This Row],[Utilidad Total]]*6%,Tabla4[[#This Row],[Utilidad Total]]*11.5%))/Tabla4[[#This Row],[Total]]</f>
        <v>#N/A</v>
      </c>
      <c r="V3061" s="282" t="e">
        <f>+Tabla4[[#This Row],[Comisión Calculada]]*Tabla4[[#This Row],[Total]]</f>
        <v>#N/A</v>
      </c>
    </row>
    <row r="3062" spans="1:22" hidden="1" x14ac:dyDescent="0.25">
      <c r="A3062" s="100">
        <v>45792</v>
      </c>
      <c r="B3062" t="str">
        <f t="shared" si="146"/>
        <v>May</v>
      </c>
      <c r="C3062" s="46" t="s">
        <v>280</v>
      </c>
      <c r="F3062" s="366" t="s">
        <v>1900</v>
      </c>
      <c r="G3062" s="46" t="s">
        <v>566</v>
      </c>
      <c r="H3062" s="46">
        <v>2</v>
      </c>
      <c r="I3062" s="51">
        <v>2109.4499999999998</v>
      </c>
      <c r="J3062" s="281">
        <f>++Tabla4[[#This Row],[Precio Bruto]]*1.16</f>
        <v>2446.9619999999995</v>
      </c>
      <c r="K3062" s="281">
        <f>+Tabla4[[#This Row],[Precio Unitario Neto]]*Tabla4[[#Headers],[20.85%]]</f>
        <v>510.19157699999988</v>
      </c>
      <c r="L3062" s="282">
        <f>++Tabla4[[#This Row],[Precio Unitario Neto]]-Tabla4[[#This Row],[20.85%]]</f>
        <v>1936.7704229999997</v>
      </c>
      <c r="M3062" s="282" t="e">
        <f>(INDEX(Tabla6[#All],MATCH(Tabla4[[#This Row],[Producto]],Tabla6[[#All],[PRODUCTO]],0),MATCH(Tabla4[[#This Row],[Mes]],Tabla6[#Headers],0)))*(1+Catalogos!$L$2)</f>
        <v>#N/A</v>
      </c>
      <c r="N3062" s="283" t="e">
        <f>+(Tabla4[[#This Row],[Precio Descontado]]-Tabla4[[#This Row],[Precio Base]])*Tabla4[[#This Row],[Cantidad]]</f>
        <v>#N/A</v>
      </c>
      <c r="O3062" s="284" t="e">
        <f>++Tabla4[[#This Row],[Utilidad Total]]/Tabla4[[#This Row],[Total]]</f>
        <v>#N/A</v>
      </c>
      <c r="P3062" s="282">
        <f>++Tabla4[[#This Row],[Precio Descontado]]*Tabla4[[#This Row],[Cantidad]]</f>
        <v>3873.5408459999994</v>
      </c>
      <c r="Q3062" s="282" t="e">
        <f>(INDEX(Tabla6[#All],MATCH(Tabla4[[#This Row],[Producto]],Tabla6[[#All],[PRODUCTO]],0),MATCH(Tabla4[[#This Row],[Mes]],Tabla6[#Headers],0)))</f>
        <v>#N/A</v>
      </c>
      <c r="R3062" s="282" t="e">
        <f>++Tabla4[[#This Row],[Precio Unitario Neto]]-Tabla4[[#This Row],[20.85%]]-Tabla4[[#This Row],[Costo]]</f>
        <v>#N/A</v>
      </c>
      <c r="S3062" s="282" t="e">
        <f>++Tabla4[[#This Row],[U. Bruta Uni]]*Tabla4[[#This Row],[Cantidad]]</f>
        <v>#N/A</v>
      </c>
      <c r="T3062" s="369" t="str">
        <f>VLOOKUP(Tabla4[[#This Row],[Producto]],Tabla6[#All],14,FALSE)</f>
        <v>Termico Solar</v>
      </c>
      <c r="U3062" s="284" t="e">
        <f>(IF(Tabla4[[#This Row],[Familia]]="termico solar",Tabla4[[#This Row],[Utilidad Total]]*6%,Tabla4[[#This Row],[Utilidad Total]]*11.5%))/Tabla4[[#This Row],[Total]]</f>
        <v>#N/A</v>
      </c>
      <c r="V3062" s="282" t="e">
        <f>+Tabla4[[#This Row],[Comisión Calculada]]*Tabla4[[#This Row],[Total]]</f>
        <v>#N/A</v>
      </c>
    </row>
    <row r="3063" spans="1:22" hidden="1" x14ac:dyDescent="0.25">
      <c r="A3063" s="100">
        <v>45792</v>
      </c>
      <c r="B3063" t="str">
        <f t="shared" si="146"/>
        <v>May</v>
      </c>
      <c r="C3063" s="46" t="s">
        <v>280</v>
      </c>
      <c r="F3063" s="366" t="s">
        <v>1901</v>
      </c>
      <c r="G3063" s="46" t="s">
        <v>22</v>
      </c>
      <c r="H3063" s="46">
        <v>2</v>
      </c>
      <c r="I3063" s="51">
        <v>13355.75</v>
      </c>
      <c r="J3063" s="281">
        <f>++Tabla4[[#This Row],[Precio Bruto]]*1.16</f>
        <v>15492.669999999998</v>
      </c>
      <c r="K3063" s="281">
        <f>+Tabla4[[#This Row],[Precio Unitario Neto]]*Tabla4[[#Headers],[20.85%]]</f>
        <v>3230.2216949999993</v>
      </c>
      <c r="L3063" s="282">
        <f>++Tabla4[[#This Row],[Precio Unitario Neto]]-Tabla4[[#This Row],[20.85%]]</f>
        <v>12262.448304999998</v>
      </c>
      <c r="M3063" s="282" t="e">
        <f>(INDEX(Tabla6[#All],MATCH(Tabla4[[#This Row],[Producto]],Tabla6[[#All],[PRODUCTO]],0),MATCH(Tabla4[[#This Row],[Mes]],Tabla6[#Headers],0)))*(1+Catalogos!$L$2)</f>
        <v>#N/A</v>
      </c>
      <c r="N3063" s="283" t="e">
        <f>+(Tabla4[[#This Row],[Precio Descontado]]-Tabla4[[#This Row],[Precio Base]])*Tabla4[[#This Row],[Cantidad]]</f>
        <v>#N/A</v>
      </c>
      <c r="O3063" s="284" t="e">
        <f>++Tabla4[[#This Row],[Utilidad Total]]/Tabla4[[#This Row],[Total]]</f>
        <v>#N/A</v>
      </c>
      <c r="P3063" s="282">
        <f>++Tabla4[[#This Row],[Precio Descontado]]*Tabla4[[#This Row],[Cantidad]]</f>
        <v>24524.896609999996</v>
      </c>
      <c r="Q3063" s="282" t="e">
        <f>(INDEX(Tabla6[#All],MATCH(Tabla4[[#This Row],[Producto]],Tabla6[[#All],[PRODUCTO]],0),MATCH(Tabla4[[#This Row],[Mes]],Tabla6[#Headers],0)))</f>
        <v>#N/A</v>
      </c>
      <c r="R3063" s="282" t="e">
        <f>++Tabla4[[#This Row],[Precio Unitario Neto]]-Tabla4[[#This Row],[20.85%]]-Tabla4[[#This Row],[Costo]]</f>
        <v>#N/A</v>
      </c>
      <c r="S3063" s="282" t="e">
        <f>++Tabla4[[#This Row],[U. Bruta Uni]]*Tabla4[[#This Row],[Cantidad]]</f>
        <v>#N/A</v>
      </c>
      <c r="T3063" s="369" t="str">
        <f>VLOOKUP(Tabla4[[#This Row],[Producto]],Tabla6[#All],14,FALSE)</f>
        <v>Termico Solar</v>
      </c>
      <c r="U3063" s="284" t="e">
        <f>(IF(Tabla4[[#This Row],[Familia]]="termico solar",Tabla4[[#This Row],[Utilidad Total]]*6%,Tabla4[[#This Row],[Utilidad Total]]*11.5%))/Tabla4[[#This Row],[Total]]</f>
        <v>#N/A</v>
      </c>
      <c r="V3063" s="282" t="e">
        <f>+Tabla4[[#This Row],[Comisión Calculada]]*Tabla4[[#This Row],[Total]]</f>
        <v>#N/A</v>
      </c>
    </row>
    <row r="3064" spans="1:22" hidden="1" x14ac:dyDescent="0.25">
      <c r="A3064" s="100">
        <v>45792</v>
      </c>
      <c r="B3064" t="str">
        <f t="shared" si="146"/>
        <v>May</v>
      </c>
      <c r="C3064" s="46" t="s">
        <v>280</v>
      </c>
      <c r="F3064" s="366" t="s">
        <v>1902</v>
      </c>
      <c r="G3064" s="46" t="s">
        <v>17</v>
      </c>
      <c r="H3064" s="46">
        <v>2</v>
      </c>
      <c r="I3064" s="51">
        <v>4622.28</v>
      </c>
      <c r="J3064" s="281">
        <f>++Tabla4[[#This Row],[Precio Bruto]]*1.16</f>
        <v>5361.8447999999989</v>
      </c>
      <c r="K3064" s="281">
        <f>+Tabla4[[#This Row],[Precio Unitario Neto]]*Tabla4[[#Headers],[20.85%]]</f>
        <v>1117.9446407999997</v>
      </c>
      <c r="L3064" s="282">
        <f>++Tabla4[[#This Row],[Precio Unitario Neto]]-Tabla4[[#This Row],[20.85%]]</f>
        <v>4243.9001591999995</v>
      </c>
      <c r="M3064" s="282" t="e">
        <f>(INDEX(Tabla6[#All],MATCH(Tabla4[[#This Row],[Producto]],Tabla6[[#All],[PRODUCTO]],0),MATCH(Tabla4[[#This Row],[Mes]],Tabla6[#Headers],0)))*(1+Catalogos!$L$2)</f>
        <v>#N/A</v>
      </c>
      <c r="N3064" s="283" t="e">
        <f>+(Tabla4[[#This Row],[Precio Descontado]]-Tabla4[[#This Row],[Precio Base]])*Tabla4[[#This Row],[Cantidad]]</f>
        <v>#N/A</v>
      </c>
      <c r="O3064" s="284" t="e">
        <f>++Tabla4[[#This Row],[Utilidad Total]]/Tabla4[[#This Row],[Total]]</f>
        <v>#N/A</v>
      </c>
      <c r="P3064" s="282">
        <f>++Tabla4[[#This Row],[Precio Descontado]]*Tabla4[[#This Row],[Cantidad]]</f>
        <v>8487.800318399999</v>
      </c>
      <c r="Q3064" s="282" t="e">
        <f>(INDEX(Tabla6[#All],MATCH(Tabla4[[#This Row],[Producto]],Tabla6[[#All],[PRODUCTO]],0),MATCH(Tabla4[[#This Row],[Mes]],Tabla6[#Headers],0)))</f>
        <v>#N/A</v>
      </c>
      <c r="R3064" s="282" t="e">
        <f>++Tabla4[[#This Row],[Precio Unitario Neto]]-Tabla4[[#This Row],[20.85%]]-Tabla4[[#This Row],[Costo]]</f>
        <v>#N/A</v>
      </c>
      <c r="S3064" s="282" t="e">
        <f>++Tabla4[[#This Row],[U. Bruta Uni]]*Tabla4[[#This Row],[Cantidad]]</f>
        <v>#N/A</v>
      </c>
      <c r="T3064" s="369" t="str">
        <f>VLOOKUP(Tabla4[[#This Row],[Producto]],Tabla6[#All],14,FALSE)</f>
        <v>Termico Solar</v>
      </c>
      <c r="U3064" s="284" t="e">
        <f>(IF(Tabla4[[#This Row],[Familia]]="termico solar",Tabla4[[#This Row],[Utilidad Total]]*6%,Tabla4[[#This Row],[Utilidad Total]]*11.5%))/Tabla4[[#This Row],[Total]]</f>
        <v>#N/A</v>
      </c>
      <c r="V3064" s="282" t="e">
        <f>+Tabla4[[#This Row],[Comisión Calculada]]*Tabla4[[#This Row],[Total]]</f>
        <v>#N/A</v>
      </c>
    </row>
    <row r="3065" spans="1:22" hidden="1" x14ac:dyDescent="0.25">
      <c r="A3065" s="100">
        <v>45792</v>
      </c>
      <c r="B3065" t="str">
        <f t="shared" si="146"/>
        <v>May</v>
      </c>
      <c r="C3065" s="46" t="s">
        <v>280</v>
      </c>
      <c r="F3065" s="366" t="s">
        <v>1902</v>
      </c>
      <c r="G3065" s="46" t="s">
        <v>18</v>
      </c>
      <c r="H3065" s="46">
        <v>4</v>
      </c>
      <c r="I3065" s="51">
        <v>5367.65</v>
      </c>
      <c r="J3065" s="281">
        <f>++Tabla4[[#This Row],[Precio Bruto]]*1.16</f>
        <v>6226.4739999999993</v>
      </c>
      <c r="K3065" s="281">
        <f>+Tabla4[[#This Row],[Precio Unitario Neto]]*Tabla4[[#Headers],[20.85%]]</f>
        <v>1298.2198289999999</v>
      </c>
      <c r="L3065" s="282">
        <f>++Tabla4[[#This Row],[Precio Unitario Neto]]-Tabla4[[#This Row],[20.85%]]</f>
        <v>4928.2541709999996</v>
      </c>
      <c r="M3065" s="282" t="e">
        <f>(INDEX(Tabla6[#All],MATCH(Tabla4[[#This Row],[Producto]],Tabla6[[#All],[PRODUCTO]],0),MATCH(Tabla4[[#This Row],[Mes]],Tabla6[#Headers],0)))*(1+Catalogos!$L$2)</f>
        <v>#N/A</v>
      </c>
      <c r="N3065" s="283" t="e">
        <f>+(Tabla4[[#This Row],[Precio Descontado]]-Tabla4[[#This Row],[Precio Base]])*Tabla4[[#This Row],[Cantidad]]</f>
        <v>#N/A</v>
      </c>
      <c r="O3065" s="284" t="e">
        <f>++Tabla4[[#This Row],[Utilidad Total]]/Tabla4[[#This Row],[Total]]</f>
        <v>#N/A</v>
      </c>
      <c r="P3065" s="282">
        <f>++Tabla4[[#This Row],[Precio Descontado]]*Tabla4[[#This Row],[Cantidad]]</f>
        <v>19713.016683999998</v>
      </c>
      <c r="Q3065" s="282" t="e">
        <f>(INDEX(Tabla6[#All],MATCH(Tabla4[[#This Row],[Producto]],Tabla6[[#All],[PRODUCTO]],0),MATCH(Tabla4[[#This Row],[Mes]],Tabla6[#Headers],0)))</f>
        <v>#N/A</v>
      </c>
      <c r="R3065" s="282" t="e">
        <f>++Tabla4[[#This Row],[Precio Unitario Neto]]-Tabla4[[#This Row],[20.85%]]-Tabla4[[#This Row],[Costo]]</f>
        <v>#N/A</v>
      </c>
      <c r="S3065" s="282" t="e">
        <f>++Tabla4[[#This Row],[U. Bruta Uni]]*Tabla4[[#This Row],[Cantidad]]</f>
        <v>#N/A</v>
      </c>
      <c r="T3065" s="369" t="str">
        <f>VLOOKUP(Tabla4[[#This Row],[Producto]],Tabla6[#All],14,FALSE)</f>
        <v>Termico Solar</v>
      </c>
      <c r="U3065" s="284" t="e">
        <f>(IF(Tabla4[[#This Row],[Familia]]="termico solar",Tabla4[[#This Row],[Utilidad Total]]*6%,Tabla4[[#This Row],[Utilidad Total]]*11.5%))/Tabla4[[#This Row],[Total]]</f>
        <v>#N/A</v>
      </c>
      <c r="V3065" s="282" t="e">
        <f>+Tabla4[[#This Row],[Comisión Calculada]]*Tabla4[[#This Row],[Total]]</f>
        <v>#N/A</v>
      </c>
    </row>
    <row r="3066" spans="1:22" hidden="1" x14ac:dyDescent="0.25">
      <c r="A3066" s="100">
        <v>45792</v>
      </c>
      <c r="B3066" t="str">
        <f t="shared" si="146"/>
        <v>May</v>
      </c>
      <c r="C3066" s="46" t="s">
        <v>280</v>
      </c>
      <c r="F3066" s="366" t="s">
        <v>1902</v>
      </c>
      <c r="G3066" s="46" t="s">
        <v>566</v>
      </c>
      <c r="H3066" s="46">
        <v>1</v>
      </c>
      <c r="I3066" s="51">
        <v>2109.4499999999998</v>
      </c>
      <c r="J3066" s="281">
        <f>++Tabla4[[#This Row],[Precio Bruto]]*1.16</f>
        <v>2446.9619999999995</v>
      </c>
      <c r="K3066" s="281">
        <f>+Tabla4[[#This Row],[Precio Unitario Neto]]*Tabla4[[#Headers],[20.85%]]</f>
        <v>510.19157699999988</v>
      </c>
      <c r="L3066" s="282">
        <f>++Tabla4[[#This Row],[Precio Unitario Neto]]-Tabla4[[#This Row],[20.85%]]</f>
        <v>1936.7704229999997</v>
      </c>
      <c r="M3066" s="282" t="e">
        <f>(INDEX(Tabla6[#All],MATCH(Tabla4[[#This Row],[Producto]],Tabla6[[#All],[PRODUCTO]],0),MATCH(Tabla4[[#This Row],[Mes]],Tabla6[#Headers],0)))*(1+Catalogos!$L$2)</f>
        <v>#N/A</v>
      </c>
      <c r="N3066" s="283" t="e">
        <f>+(Tabla4[[#This Row],[Precio Descontado]]-Tabla4[[#This Row],[Precio Base]])*Tabla4[[#This Row],[Cantidad]]</f>
        <v>#N/A</v>
      </c>
      <c r="O3066" s="284" t="e">
        <f>++Tabla4[[#This Row],[Utilidad Total]]/Tabla4[[#This Row],[Total]]</f>
        <v>#N/A</v>
      </c>
      <c r="P3066" s="282">
        <f>++Tabla4[[#This Row],[Precio Descontado]]*Tabla4[[#This Row],[Cantidad]]</f>
        <v>1936.7704229999997</v>
      </c>
      <c r="Q3066" s="282" t="e">
        <f>(INDEX(Tabla6[#All],MATCH(Tabla4[[#This Row],[Producto]],Tabla6[[#All],[PRODUCTO]],0),MATCH(Tabla4[[#This Row],[Mes]],Tabla6[#Headers],0)))</f>
        <v>#N/A</v>
      </c>
      <c r="R3066" s="282" t="e">
        <f>++Tabla4[[#This Row],[Precio Unitario Neto]]-Tabla4[[#This Row],[20.85%]]-Tabla4[[#This Row],[Costo]]</f>
        <v>#N/A</v>
      </c>
      <c r="S3066" s="282" t="e">
        <f>++Tabla4[[#This Row],[U. Bruta Uni]]*Tabla4[[#This Row],[Cantidad]]</f>
        <v>#N/A</v>
      </c>
      <c r="T3066" s="369" t="str">
        <f>VLOOKUP(Tabla4[[#This Row],[Producto]],Tabla6[#All],14,FALSE)</f>
        <v>Termico Solar</v>
      </c>
      <c r="U3066" s="284" t="e">
        <f>(IF(Tabla4[[#This Row],[Familia]]="termico solar",Tabla4[[#This Row],[Utilidad Total]]*6%,Tabla4[[#This Row],[Utilidad Total]]*11.5%))/Tabla4[[#This Row],[Total]]</f>
        <v>#N/A</v>
      </c>
      <c r="V3066" s="282" t="e">
        <f>+Tabla4[[#This Row],[Comisión Calculada]]*Tabla4[[#This Row],[Total]]</f>
        <v>#N/A</v>
      </c>
    </row>
    <row r="3067" spans="1:22" hidden="1" x14ac:dyDescent="0.25">
      <c r="A3067" s="100">
        <v>45792</v>
      </c>
      <c r="B3067" t="str">
        <f t="shared" si="146"/>
        <v>May</v>
      </c>
      <c r="C3067" s="46" t="s">
        <v>280</v>
      </c>
      <c r="F3067" s="366" t="s">
        <v>1902</v>
      </c>
      <c r="G3067" s="46" t="s">
        <v>16</v>
      </c>
      <c r="H3067" s="46">
        <v>3</v>
      </c>
      <c r="I3067" s="51">
        <v>4103.8499999999995</v>
      </c>
      <c r="J3067" s="281">
        <f>++Tabla4[[#This Row],[Precio Bruto]]*1.16</f>
        <v>4760.4659999999994</v>
      </c>
      <c r="K3067" s="281">
        <f>+Tabla4[[#This Row],[Precio Unitario Neto]]*Tabla4[[#Headers],[20.85%]]</f>
        <v>992.55716099999984</v>
      </c>
      <c r="L3067" s="282">
        <f>++Tabla4[[#This Row],[Precio Unitario Neto]]-Tabla4[[#This Row],[20.85%]]</f>
        <v>3767.9088389999997</v>
      </c>
      <c r="M3067" s="282" t="e">
        <f>(INDEX(Tabla6[#All],MATCH(Tabla4[[#This Row],[Producto]],Tabla6[[#All],[PRODUCTO]],0),MATCH(Tabla4[[#This Row],[Mes]],Tabla6[#Headers],0)))*(1+Catalogos!$L$2)</f>
        <v>#N/A</v>
      </c>
      <c r="N3067" s="283" t="e">
        <f>+(Tabla4[[#This Row],[Precio Descontado]]-Tabla4[[#This Row],[Precio Base]])*Tabla4[[#This Row],[Cantidad]]</f>
        <v>#N/A</v>
      </c>
      <c r="O3067" s="284" t="e">
        <f>++Tabla4[[#This Row],[Utilidad Total]]/Tabla4[[#This Row],[Total]]</f>
        <v>#N/A</v>
      </c>
      <c r="P3067" s="282">
        <f>++Tabla4[[#This Row],[Precio Descontado]]*Tabla4[[#This Row],[Cantidad]]</f>
        <v>11303.726516999999</v>
      </c>
      <c r="Q3067" s="282" t="e">
        <f>(INDEX(Tabla6[#All],MATCH(Tabla4[[#This Row],[Producto]],Tabla6[[#All],[PRODUCTO]],0),MATCH(Tabla4[[#This Row],[Mes]],Tabla6[#Headers],0)))</f>
        <v>#N/A</v>
      </c>
      <c r="R3067" s="282" t="e">
        <f>++Tabla4[[#This Row],[Precio Unitario Neto]]-Tabla4[[#This Row],[20.85%]]-Tabla4[[#This Row],[Costo]]</f>
        <v>#N/A</v>
      </c>
      <c r="S3067" s="282" t="e">
        <f>++Tabla4[[#This Row],[U. Bruta Uni]]*Tabla4[[#This Row],[Cantidad]]</f>
        <v>#N/A</v>
      </c>
      <c r="T3067" s="369" t="str">
        <f>VLOOKUP(Tabla4[[#This Row],[Producto]],Tabla6[#All],14,FALSE)</f>
        <v>Termico Solar</v>
      </c>
      <c r="U3067" s="284" t="e">
        <f>(IF(Tabla4[[#This Row],[Familia]]="termico solar",Tabla4[[#This Row],[Utilidad Total]]*6%,Tabla4[[#This Row],[Utilidad Total]]*11.5%))/Tabla4[[#This Row],[Total]]</f>
        <v>#N/A</v>
      </c>
      <c r="V3067" s="282" t="e">
        <f>+Tabla4[[#This Row],[Comisión Calculada]]*Tabla4[[#This Row],[Total]]</f>
        <v>#N/A</v>
      </c>
    </row>
    <row r="3068" spans="1:22" hidden="1" x14ac:dyDescent="0.25">
      <c r="A3068" s="100">
        <v>45792</v>
      </c>
      <c r="B3068" t="str">
        <f t="shared" si="146"/>
        <v>May</v>
      </c>
      <c r="C3068" s="46" t="s">
        <v>280</v>
      </c>
      <c r="F3068" s="366" t="s">
        <v>1903</v>
      </c>
      <c r="G3068" s="46" t="s">
        <v>17</v>
      </c>
      <c r="H3068" s="46">
        <v>2</v>
      </c>
      <c r="I3068" s="51">
        <v>4622.28</v>
      </c>
      <c r="J3068" s="281">
        <f>++Tabla4[[#This Row],[Precio Bruto]]*1.16</f>
        <v>5361.8447999999989</v>
      </c>
      <c r="K3068" s="281">
        <f>+Tabla4[[#This Row],[Precio Unitario Neto]]*Tabla4[[#Headers],[20.85%]]</f>
        <v>1117.9446407999997</v>
      </c>
      <c r="L3068" s="282">
        <f>++Tabla4[[#This Row],[Precio Unitario Neto]]-Tabla4[[#This Row],[20.85%]]</f>
        <v>4243.9001591999995</v>
      </c>
      <c r="M3068" s="282" t="e">
        <f>(INDEX(Tabla6[#All],MATCH(Tabla4[[#This Row],[Producto]],Tabla6[[#All],[PRODUCTO]],0),MATCH(Tabla4[[#This Row],[Mes]],Tabla6[#Headers],0)))*(1+Catalogos!$L$2)</f>
        <v>#N/A</v>
      </c>
      <c r="N3068" s="283" t="e">
        <f>+(Tabla4[[#This Row],[Precio Descontado]]-Tabla4[[#This Row],[Precio Base]])*Tabla4[[#This Row],[Cantidad]]</f>
        <v>#N/A</v>
      </c>
      <c r="O3068" s="284" t="e">
        <f>++Tabla4[[#This Row],[Utilidad Total]]/Tabla4[[#This Row],[Total]]</f>
        <v>#N/A</v>
      </c>
      <c r="P3068" s="282">
        <f>++Tabla4[[#This Row],[Precio Descontado]]*Tabla4[[#This Row],[Cantidad]]</f>
        <v>8487.800318399999</v>
      </c>
      <c r="Q3068" s="282" t="e">
        <f>(INDEX(Tabla6[#All],MATCH(Tabla4[[#This Row],[Producto]],Tabla6[[#All],[PRODUCTO]],0),MATCH(Tabla4[[#This Row],[Mes]],Tabla6[#Headers],0)))</f>
        <v>#N/A</v>
      </c>
      <c r="R3068" s="282" t="e">
        <f>++Tabla4[[#This Row],[Precio Unitario Neto]]-Tabla4[[#This Row],[20.85%]]-Tabla4[[#This Row],[Costo]]</f>
        <v>#N/A</v>
      </c>
      <c r="S3068" s="282" t="e">
        <f>++Tabla4[[#This Row],[U. Bruta Uni]]*Tabla4[[#This Row],[Cantidad]]</f>
        <v>#N/A</v>
      </c>
      <c r="T3068" s="369" t="str">
        <f>VLOOKUP(Tabla4[[#This Row],[Producto]],Tabla6[#All],14,FALSE)</f>
        <v>Termico Solar</v>
      </c>
      <c r="U3068" s="284" t="e">
        <f>(IF(Tabla4[[#This Row],[Familia]]="termico solar",Tabla4[[#This Row],[Utilidad Total]]*6%,Tabla4[[#This Row],[Utilidad Total]]*11.5%))/Tabla4[[#This Row],[Total]]</f>
        <v>#N/A</v>
      </c>
      <c r="V3068" s="282" t="e">
        <f>+Tabla4[[#This Row],[Comisión Calculada]]*Tabla4[[#This Row],[Total]]</f>
        <v>#N/A</v>
      </c>
    </row>
    <row r="3069" spans="1:22" hidden="1" x14ac:dyDescent="0.25">
      <c r="A3069" s="100">
        <v>45792</v>
      </c>
      <c r="B3069" t="str">
        <f t="shared" si="146"/>
        <v>May</v>
      </c>
      <c r="C3069" s="46" t="s">
        <v>280</v>
      </c>
      <c r="F3069" s="366" t="s">
        <v>1903</v>
      </c>
      <c r="G3069" s="46" t="s">
        <v>18</v>
      </c>
      <c r="H3069" s="46">
        <v>3</v>
      </c>
      <c r="I3069" s="51">
        <v>5367.6500000000005</v>
      </c>
      <c r="J3069" s="281">
        <f>++Tabla4[[#This Row],[Precio Bruto]]*1.16</f>
        <v>6226.4740000000002</v>
      </c>
      <c r="K3069" s="281">
        <f>+Tabla4[[#This Row],[Precio Unitario Neto]]*Tabla4[[#Headers],[20.85%]]</f>
        <v>1298.2198289999999</v>
      </c>
      <c r="L3069" s="282">
        <f>++Tabla4[[#This Row],[Precio Unitario Neto]]-Tabla4[[#This Row],[20.85%]]</f>
        <v>4928.2541710000005</v>
      </c>
      <c r="M3069" s="282" t="e">
        <f>(INDEX(Tabla6[#All],MATCH(Tabla4[[#This Row],[Producto]],Tabla6[[#All],[PRODUCTO]],0),MATCH(Tabla4[[#This Row],[Mes]],Tabla6[#Headers],0)))*(1+Catalogos!$L$2)</f>
        <v>#N/A</v>
      </c>
      <c r="N3069" s="283" t="e">
        <f>+(Tabla4[[#This Row],[Precio Descontado]]-Tabla4[[#This Row],[Precio Base]])*Tabla4[[#This Row],[Cantidad]]</f>
        <v>#N/A</v>
      </c>
      <c r="O3069" s="284" t="e">
        <f>++Tabla4[[#This Row],[Utilidad Total]]/Tabla4[[#This Row],[Total]]</f>
        <v>#N/A</v>
      </c>
      <c r="P3069" s="282">
        <f>++Tabla4[[#This Row],[Precio Descontado]]*Tabla4[[#This Row],[Cantidad]]</f>
        <v>14784.762513000001</v>
      </c>
      <c r="Q3069" s="282" t="e">
        <f>(INDEX(Tabla6[#All],MATCH(Tabla4[[#This Row],[Producto]],Tabla6[[#All],[PRODUCTO]],0),MATCH(Tabla4[[#This Row],[Mes]],Tabla6[#Headers],0)))</f>
        <v>#N/A</v>
      </c>
      <c r="R3069" s="282" t="e">
        <f>++Tabla4[[#This Row],[Precio Unitario Neto]]-Tabla4[[#This Row],[20.85%]]-Tabla4[[#This Row],[Costo]]</f>
        <v>#N/A</v>
      </c>
      <c r="S3069" s="282" t="e">
        <f>++Tabla4[[#This Row],[U. Bruta Uni]]*Tabla4[[#This Row],[Cantidad]]</f>
        <v>#N/A</v>
      </c>
      <c r="T3069" s="369" t="str">
        <f>VLOOKUP(Tabla4[[#This Row],[Producto]],Tabla6[#All],14,FALSE)</f>
        <v>Termico Solar</v>
      </c>
      <c r="U3069" s="284" t="e">
        <f>(IF(Tabla4[[#This Row],[Familia]]="termico solar",Tabla4[[#This Row],[Utilidad Total]]*6%,Tabla4[[#This Row],[Utilidad Total]]*11.5%))/Tabla4[[#This Row],[Total]]</f>
        <v>#N/A</v>
      </c>
      <c r="V3069" s="282" t="e">
        <f>+Tabla4[[#This Row],[Comisión Calculada]]*Tabla4[[#This Row],[Total]]</f>
        <v>#N/A</v>
      </c>
    </row>
    <row r="3070" spans="1:22" hidden="1" x14ac:dyDescent="0.25">
      <c r="A3070" s="100">
        <v>45792</v>
      </c>
      <c r="B3070" t="str">
        <f t="shared" si="146"/>
        <v>May</v>
      </c>
      <c r="C3070" s="46" t="s">
        <v>280</v>
      </c>
      <c r="F3070" s="366" t="s">
        <v>1904</v>
      </c>
      <c r="G3070" s="46" t="s">
        <v>83</v>
      </c>
      <c r="H3070" s="46">
        <v>8</v>
      </c>
      <c r="I3070" s="51">
        <v>8858.76</v>
      </c>
      <c r="J3070" s="281">
        <f>++Tabla4[[#This Row],[Precio Bruto]]*1.16</f>
        <v>10276.161599999999</v>
      </c>
      <c r="K3070" s="281">
        <f>+Tabla4[[#This Row],[Precio Unitario Neto]]*Tabla4[[#Headers],[20.85%]]</f>
        <v>2142.5796935999997</v>
      </c>
      <c r="L3070" s="282">
        <f>++Tabla4[[#This Row],[Precio Unitario Neto]]-Tabla4[[#This Row],[20.85%]]</f>
        <v>8133.5819063999998</v>
      </c>
      <c r="M3070" s="282" t="e">
        <f>(INDEX(Tabla6[#All],MATCH(Tabla4[[#This Row],[Producto]],Tabla6[[#All],[PRODUCTO]],0),MATCH(Tabla4[[#This Row],[Mes]],Tabla6[#Headers],0)))*(1+Catalogos!$L$2)</f>
        <v>#N/A</v>
      </c>
      <c r="N3070" s="283" t="e">
        <f>+(Tabla4[[#This Row],[Precio Descontado]]-Tabla4[[#This Row],[Precio Base]])*Tabla4[[#This Row],[Cantidad]]</f>
        <v>#N/A</v>
      </c>
      <c r="O3070" s="284" t="e">
        <f>++Tabla4[[#This Row],[Utilidad Total]]/Tabla4[[#This Row],[Total]]</f>
        <v>#N/A</v>
      </c>
      <c r="P3070" s="282">
        <f>++Tabla4[[#This Row],[Precio Descontado]]*Tabla4[[#This Row],[Cantidad]]</f>
        <v>65068.655251199998</v>
      </c>
      <c r="Q3070" s="282" t="e">
        <f>(INDEX(Tabla6[#All],MATCH(Tabla4[[#This Row],[Producto]],Tabla6[[#All],[PRODUCTO]],0),MATCH(Tabla4[[#This Row],[Mes]],Tabla6[#Headers],0)))</f>
        <v>#N/A</v>
      </c>
      <c r="R3070" s="282" t="e">
        <f>++Tabla4[[#This Row],[Precio Unitario Neto]]-Tabla4[[#This Row],[20.85%]]-Tabla4[[#This Row],[Costo]]</f>
        <v>#N/A</v>
      </c>
      <c r="S3070" s="282" t="e">
        <f>++Tabla4[[#This Row],[U. Bruta Uni]]*Tabla4[[#This Row],[Cantidad]]</f>
        <v>#N/A</v>
      </c>
      <c r="T3070" s="369" t="str">
        <f>VLOOKUP(Tabla4[[#This Row],[Producto]],Tabla6[#All],14,FALSE)</f>
        <v>Termico Solar</v>
      </c>
      <c r="U3070" s="284" t="e">
        <f>(IF(Tabla4[[#This Row],[Familia]]="termico solar",Tabla4[[#This Row],[Utilidad Total]]*6%,Tabla4[[#This Row],[Utilidad Total]]*11.5%))/Tabla4[[#This Row],[Total]]</f>
        <v>#N/A</v>
      </c>
      <c r="V3070" s="282" t="e">
        <f>+Tabla4[[#This Row],[Comisión Calculada]]*Tabla4[[#This Row],[Total]]</f>
        <v>#N/A</v>
      </c>
    </row>
    <row r="3071" spans="1:22" hidden="1" x14ac:dyDescent="0.25">
      <c r="A3071" s="100">
        <v>45792</v>
      </c>
      <c r="B3071" t="str">
        <f t="shared" si="146"/>
        <v>May</v>
      </c>
      <c r="C3071" s="46" t="s">
        <v>280</v>
      </c>
      <c r="F3071" s="366" t="s">
        <v>1904</v>
      </c>
      <c r="G3071" s="46" t="s">
        <v>18</v>
      </c>
      <c r="H3071" s="46">
        <v>2</v>
      </c>
      <c r="I3071" s="51">
        <v>5367.65</v>
      </c>
      <c r="J3071" s="281">
        <f>++Tabla4[[#This Row],[Precio Bruto]]*1.16</f>
        <v>6226.4739999999993</v>
      </c>
      <c r="K3071" s="281">
        <f>+Tabla4[[#This Row],[Precio Unitario Neto]]*Tabla4[[#Headers],[20.85%]]</f>
        <v>1298.2198289999999</v>
      </c>
      <c r="L3071" s="282">
        <f>++Tabla4[[#This Row],[Precio Unitario Neto]]-Tabla4[[#This Row],[20.85%]]</f>
        <v>4928.2541709999996</v>
      </c>
      <c r="M3071" s="282" t="e">
        <f>(INDEX(Tabla6[#All],MATCH(Tabla4[[#This Row],[Producto]],Tabla6[[#All],[PRODUCTO]],0),MATCH(Tabla4[[#This Row],[Mes]],Tabla6[#Headers],0)))*(1+Catalogos!$L$2)</f>
        <v>#N/A</v>
      </c>
      <c r="N3071" s="283" t="e">
        <f>+(Tabla4[[#This Row],[Precio Descontado]]-Tabla4[[#This Row],[Precio Base]])*Tabla4[[#This Row],[Cantidad]]</f>
        <v>#N/A</v>
      </c>
      <c r="O3071" s="284" t="e">
        <f>++Tabla4[[#This Row],[Utilidad Total]]/Tabla4[[#This Row],[Total]]</f>
        <v>#N/A</v>
      </c>
      <c r="P3071" s="282">
        <f>++Tabla4[[#This Row],[Precio Descontado]]*Tabla4[[#This Row],[Cantidad]]</f>
        <v>9856.5083419999992</v>
      </c>
      <c r="Q3071" s="282" t="e">
        <f>(INDEX(Tabla6[#All],MATCH(Tabla4[[#This Row],[Producto]],Tabla6[[#All],[PRODUCTO]],0),MATCH(Tabla4[[#This Row],[Mes]],Tabla6[#Headers],0)))</f>
        <v>#N/A</v>
      </c>
      <c r="R3071" s="282" t="e">
        <f>++Tabla4[[#This Row],[Precio Unitario Neto]]-Tabla4[[#This Row],[20.85%]]-Tabla4[[#This Row],[Costo]]</f>
        <v>#N/A</v>
      </c>
      <c r="S3071" s="282" t="e">
        <f>++Tabla4[[#This Row],[U. Bruta Uni]]*Tabla4[[#This Row],[Cantidad]]</f>
        <v>#N/A</v>
      </c>
      <c r="T3071" s="369" t="str">
        <f>VLOOKUP(Tabla4[[#This Row],[Producto]],Tabla6[#All],14,FALSE)</f>
        <v>Termico Solar</v>
      </c>
      <c r="U3071" s="284" t="e">
        <f>(IF(Tabla4[[#This Row],[Familia]]="termico solar",Tabla4[[#This Row],[Utilidad Total]]*6%,Tabla4[[#This Row],[Utilidad Total]]*11.5%))/Tabla4[[#This Row],[Total]]</f>
        <v>#N/A</v>
      </c>
      <c r="V3071" s="282" t="e">
        <f>+Tabla4[[#This Row],[Comisión Calculada]]*Tabla4[[#This Row],[Total]]</f>
        <v>#N/A</v>
      </c>
    </row>
    <row r="3072" spans="1:22" hidden="1" x14ac:dyDescent="0.25">
      <c r="A3072" s="100">
        <v>45792</v>
      </c>
      <c r="B3072" t="str">
        <f t="shared" si="146"/>
        <v>May</v>
      </c>
      <c r="C3072" s="46" t="s">
        <v>280</v>
      </c>
      <c r="F3072" s="366" t="s">
        <v>1904</v>
      </c>
      <c r="G3072" s="46" t="s">
        <v>16</v>
      </c>
      <c r="H3072" s="46">
        <v>2</v>
      </c>
      <c r="I3072" s="51">
        <v>4103.8500000000004</v>
      </c>
      <c r="J3072" s="281">
        <f>++Tabla4[[#This Row],[Precio Bruto]]*1.16</f>
        <v>4760.4660000000003</v>
      </c>
      <c r="K3072" s="281">
        <f>+Tabla4[[#This Row],[Precio Unitario Neto]]*Tabla4[[#Headers],[20.85%]]</f>
        <v>992.55716100000006</v>
      </c>
      <c r="L3072" s="282">
        <f>++Tabla4[[#This Row],[Precio Unitario Neto]]-Tabla4[[#This Row],[20.85%]]</f>
        <v>3767.9088390000002</v>
      </c>
      <c r="M3072" s="282" t="e">
        <f>(INDEX(Tabla6[#All],MATCH(Tabla4[[#This Row],[Producto]],Tabla6[[#All],[PRODUCTO]],0),MATCH(Tabla4[[#This Row],[Mes]],Tabla6[#Headers],0)))*(1+Catalogos!$L$2)</f>
        <v>#N/A</v>
      </c>
      <c r="N3072" s="283" t="e">
        <f>+(Tabla4[[#This Row],[Precio Descontado]]-Tabla4[[#This Row],[Precio Base]])*Tabla4[[#This Row],[Cantidad]]</f>
        <v>#N/A</v>
      </c>
      <c r="O3072" s="284" t="e">
        <f>++Tabla4[[#This Row],[Utilidad Total]]/Tabla4[[#This Row],[Total]]</f>
        <v>#N/A</v>
      </c>
      <c r="P3072" s="282">
        <f>++Tabla4[[#This Row],[Precio Descontado]]*Tabla4[[#This Row],[Cantidad]]</f>
        <v>7535.8176780000003</v>
      </c>
      <c r="Q3072" s="282" t="e">
        <f>(INDEX(Tabla6[#All],MATCH(Tabla4[[#This Row],[Producto]],Tabla6[[#All],[PRODUCTO]],0),MATCH(Tabla4[[#This Row],[Mes]],Tabla6[#Headers],0)))</f>
        <v>#N/A</v>
      </c>
      <c r="R3072" s="282" t="e">
        <f>++Tabla4[[#This Row],[Precio Unitario Neto]]-Tabla4[[#This Row],[20.85%]]-Tabla4[[#This Row],[Costo]]</f>
        <v>#N/A</v>
      </c>
      <c r="S3072" s="282" t="e">
        <f>++Tabla4[[#This Row],[U. Bruta Uni]]*Tabla4[[#This Row],[Cantidad]]</f>
        <v>#N/A</v>
      </c>
      <c r="T3072" s="369" t="str">
        <f>VLOOKUP(Tabla4[[#This Row],[Producto]],Tabla6[#All],14,FALSE)</f>
        <v>Termico Solar</v>
      </c>
      <c r="U3072" s="284" t="e">
        <f>(IF(Tabla4[[#This Row],[Familia]]="termico solar",Tabla4[[#This Row],[Utilidad Total]]*6%,Tabla4[[#This Row],[Utilidad Total]]*11.5%))/Tabla4[[#This Row],[Total]]</f>
        <v>#N/A</v>
      </c>
      <c r="V3072" s="282" t="e">
        <f>+Tabla4[[#This Row],[Comisión Calculada]]*Tabla4[[#This Row],[Total]]</f>
        <v>#N/A</v>
      </c>
    </row>
    <row r="3073" spans="1:22" hidden="1" x14ac:dyDescent="0.25">
      <c r="A3073" s="100">
        <v>45792</v>
      </c>
      <c r="B3073" t="str">
        <f t="shared" si="146"/>
        <v>May</v>
      </c>
      <c r="C3073" s="46" t="s">
        <v>280</v>
      </c>
      <c r="F3073" s="366" t="s">
        <v>1905</v>
      </c>
      <c r="G3073" s="46" t="s">
        <v>83</v>
      </c>
      <c r="H3073" s="46">
        <v>1</v>
      </c>
      <c r="I3073" s="51">
        <v>8858.76</v>
      </c>
      <c r="J3073" s="281">
        <f>++Tabla4[[#This Row],[Precio Bruto]]*1.16</f>
        <v>10276.161599999999</v>
      </c>
      <c r="K3073" s="281">
        <f>+Tabla4[[#This Row],[Precio Unitario Neto]]*Tabla4[[#Headers],[20.85%]]</f>
        <v>2142.5796935999997</v>
      </c>
      <c r="L3073" s="282">
        <f>++Tabla4[[#This Row],[Precio Unitario Neto]]-Tabla4[[#This Row],[20.85%]]</f>
        <v>8133.5819063999998</v>
      </c>
      <c r="M3073" s="282" t="e">
        <f>(INDEX(Tabla6[#All],MATCH(Tabla4[[#This Row],[Producto]],Tabla6[[#All],[PRODUCTO]],0),MATCH(Tabla4[[#This Row],[Mes]],Tabla6[#Headers],0)))*(1+Catalogos!$L$2)</f>
        <v>#N/A</v>
      </c>
      <c r="N3073" s="283" t="e">
        <f>+(Tabla4[[#This Row],[Precio Descontado]]-Tabla4[[#This Row],[Precio Base]])*Tabla4[[#This Row],[Cantidad]]</f>
        <v>#N/A</v>
      </c>
      <c r="O3073" s="284" t="e">
        <f>++Tabla4[[#This Row],[Utilidad Total]]/Tabla4[[#This Row],[Total]]</f>
        <v>#N/A</v>
      </c>
      <c r="P3073" s="282">
        <f>++Tabla4[[#This Row],[Precio Descontado]]*Tabla4[[#This Row],[Cantidad]]</f>
        <v>8133.5819063999998</v>
      </c>
      <c r="Q3073" s="282" t="e">
        <f>(INDEX(Tabla6[#All],MATCH(Tabla4[[#This Row],[Producto]],Tabla6[[#All],[PRODUCTO]],0),MATCH(Tabla4[[#This Row],[Mes]],Tabla6[#Headers],0)))</f>
        <v>#N/A</v>
      </c>
      <c r="R3073" s="282" t="e">
        <f>++Tabla4[[#This Row],[Precio Unitario Neto]]-Tabla4[[#This Row],[20.85%]]-Tabla4[[#This Row],[Costo]]</f>
        <v>#N/A</v>
      </c>
      <c r="S3073" s="282" t="e">
        <f>++Tabla4[[#This Row],[U. Bruta Uni]]*Tabla4[[#This Row],[Cantidad]]</f>
        <v>#N/A</v>
      </c>
      <c r="T3073" s="369" t="str">
        <f>VLOOKUP(Tabla4[[#This Row],[Producto]],Tabla6[#All],14,FALSE)</f>
        <v>Termico Solar</v>
      </c>
      <c r="U3073" s="284" t="e">
        <f>(IF(Tabla4[[#This Row],[Familia]]="termico solar",Tabla4[[#This Row],[Utilidad Total]]*6%,Tabla4[[#This Row],[Utilidad Total]]*11.5%))/Tabla4[[#This Row],[Total]]</f>
        <v>#N/A</v>
      </c>
      <c r="V3073" s="282" t="e">
        <f>+Tabla4[[#This Row],[Comisión Calculada]]*Tabla4[[#This Row],[Total]]</f>
        <v>#N/A</v>
      </c>
    </row>
    <row r="3074" spans="1:22" hidden="1" x14ac:dyDescent="0.25">
      <c r="A3074" s="100">
        <v>45792</v>
      </c>
      <c r="B3074" t="str">
        <f t="shared" si="146"/>
        <v>May</v>
      </c>
      <c r="C3074" s="46" t="s">
        <v>280</v>
      </c>
      <c r="F3074" s="366" t="s">
        <v>1905</v>
      </c>
      <c r="G3074" s="46" t="s">
        <v>17</v>
      </c>
      <c r="H3074" s="46">
        <v>2</v>
      </c>
      <c r="I3074" s="51">
        <v>4622.28</v>
      </c>
      <c r="J3074" s="281">
        <f>++Tabla4[[#This Row],[Precio Bruto]]*1.16</f>
        <v>5361.8447999999989</v>
      </c>
      <c r="K3074" s="281">
        <f>+Tabla4[[#This Row],[Precio Unitario Neto]]*Tabla4[[#Headers],[20.85%]]</f>
        <v>1117.9446407999997</v>
      </c>
      <c r="L3074" s="282">
        <f>++Tabla4[[#This Row],[Precio Unitario Neto]]-Tabla4[[#This Row],[20.85%]]</f>
        <v>4243.9001591999995</v>
      </c>
      <c r="M3074" s="282" t="e">
        <f>(INDEX(Tabla6[#All],MATCH(Tabla4[[#This Row],[Producto]],Tabla6[[#All],[PRODUCTO]],0),MATCH(Tabla4[[#This Row],[Mes]],Tabla6[#Headers],0)))*(1+Catalogos!$L$2)</f>
        <v>#N/A</v>
      </c>
      <c r="N3074" s="283" t="e">
        <f>+(Tabla4[[#This Row],[Precio Descontado]]-Tabla4[[#This Row],[Precio Base]])*Tabla4[[#This Row],[Cantidad]]</f>
        <v>#N/A</v>
      </c>
      <c r="O3074" s="284" t="e">
        <f>++Tabla4[[#This Row],[Utilidad Total]]/Tabla4[[#This Row],[Total]]</f>
        <v>#N/A</v>
      </c>
      <c r="P3074" s="282">
        <f>++Tabla4[[#This Row],[Precio Descontado]]*Tabla4[[#This Row],[Cantidad]]</f>
        <v>8487.800318399999</v>
      </c>
      <c r="Q3074" s="282" t="e">
        <f>(INDEX(Tabla6[#All],MATCH(Tabla4[[#This Row],[Producto]],Tabla6[[#All],[PRODUCTO]],0),MATCH(Tabla4[[#This Row],[Mes]],Tabla6[#Headers],0)))</f>
        <v>#N/A</v>
      </c>
      <c r="R3074" s="282" t="e">
        <f>++Tabla4[[#This Row],[Precio Unitario Neto]]-Tabla4[[#This Row],[20.85%]]-Tabla4[[#This Row],[Costo]]</f>
        <v>#N/A</v>
      </c>
      <c r="S3074" s="282" t="e">
        <f>++Tabla4[[#This Row],[U. Bruta Uni]]*Tabla4[[#This Row],[Cantidad]]</f>
        <v>#N/A</v>
      </c>
      <c r="T3074" s="369" t="str">
        <f>VLOOKUP(Tabla4[[#This Row],[Producto]],Tabla6[#All],14,FALSE)</f>
        <v>Termico Solar</v>
      </c>
      <c r="U3074" s="284" t="e">
        <f>(IF(Tabla4[[#This Row],[Familia]]="termico solar",Tabla4[[#This Row],[Utilidad Total]]*6%,Tabla4[[#This Row],[Utilidad Total]]*11.5%))/Tabla4[[#This Row],[Total]]</f>
        <v>#N/A</v>
      </c>
      <c r="V3074" s="282" t="e">
        <f>+Tabla4[[#This Row],[Comisión Calculada]]*Tabla4[[#This Row],[Total]]</f>
        <v>#N/A</v>
      </c>
    </row>
    <row r="3075" spans="1:22" hidden="1" x14ac:dyDescent="0.25">
      <c r="A3075" s="100">
        <v>45792</v>
      </c>
      <c r="B3075" t="str">
        <f t="shared" si="146"/>
        <v>May</v>
      </c>
      <c r="C3075" s="46" t="s">
        <v>280</v>
      </c>
      <c r="F3075" s="366" t="s">
        <v>1906</v>
      </c>
      <c r="G3075" s="46" t="s">
        <v>18</v>
      </c>
      <c r="H3075" s="46">
        <v>1</v>
      </c>
      <c r="I3075" s="51">
        <v>5367.65</v>
      </c>
      <c r="J3075" s="281">
        <f>++Tabla4[[#This Row],[Precio Bruto]]*1.16</f>
        <v>6226.4739999999993</v>
      </c>
      <c r="K3075" s="281">
        <f>+Tabla4[[#This Row],[Precio Unitario Neto]]*Tabla4[[#Headers],[20.85%]]</f>
        <v>1298.2198289999999</v>
      </c>
      <c r="L3075" s="282">
        <f>++Tabla4[[#This Row],[Precio Unitario Neto]]-Tabla4[[#This Row],[20.85%]]</f>
        <v>4928.2541709999996</v>
      </c>
      <c r="M3075" s="282" t="e">
        <f>(INDEX(Tabla6[#All],MATCH(Tabla4[[#This Row],[Producto]],Tabla6[[#All],[PRODUCTO]],0),MATCH(Tabla4[[#This Row],[Mes]],Tabla6[#Headers],0)))*(1+Catalogos!$L$2)</f>
        <v>#N/A</v>
      </c>
      <c r="N3075" s="283" t="e">
        <f>+(Tabla4[[#This Row],[Precio Descontado]]-Tabla4[[#This Row],[Precio Base]])*Tabla4[[#This Row],[Cantidad]]</f>
        <v>#N/A</v>
      </c>
      <c r="O3075" s="284" t="e">
        <f>++Tabla4[[#This Row],[Utilidad Total]]/Tabla4[[#This Row],[Total]]</f>
        <v>#N/A</v>
      </c>
      <c r="P3075" s="282">
        <f>++Tabla4[[#This Row],[Precio Descontado]]*Tabla4[[#This Row],[Cantidad]]</f>
        <v>4928.2541709999996</v>
      </c>
      <c r="Q3075" s="282" t="e">
        <f>(INDEX(Tabla6[#All],MATCH(Tabla4[[#This Row],[Producto]],Tabla6[[#All],[PRODUCTO]],0),MATCH(Tabla4[[#This Row],[Mes]],Tabla6[#Headers],0)))</f>
        <v>#N/A</v>
      </c>
      <c r="R3075" s="282" t="e">
        <f>++Tabla4[[#This Row],[Precio Unitario Neto]]-Tabla4[[#This Row],[20.85%]]-Tabla4[[#This Row],[Costo]]</f>
        <v>#N/A</v>
      </c>
      <c r="S3075" s="282" t="e">
        <f>++Tabla4[[#This Row],[U. Bruta Uni]]*Tabla4[[#This Row],[Cantidad]]</f>
        <v>#N/A</v>
      </c>
      <c r="T3075" s="369" t="str">
        <f>VLOOKUP(Tabla4[[#This Row],[Producto]],Tabla6[#All],14,FALSE)</f>
        <v>Termico Solar</v>
      </c>
      <c r="U3075" s="284" t="e">
        <f>(IF(Tabla4[[#This Row],[Familia]]="termico solar",Tabla4[[#This Row],[Utilidad Total]]*6%,Tabla4[[#This Row],[Utilidad Total]]*11.5%))/Tabla4[[#This Row],[Total]]</f>
        <v>#N/A</v>
      </c>
      <c r="V3075" s="282" t="e">
        <f>+Tabla4[[#This Row],[Comisión Calculada]]*Tabla4[[#This Row],[Total]]</f>
        <v>#N/A</v>
      </c>
    </row>
    <row r="3076" spans="1:22" hidden="1" x14ac:dyDescent="0.25">
      <c r="A3076" s="100">
        <v>45792</v>
      </c>
      <c r="B3076" t="str">
        <f t="shared" si="146"/>
        <v>May</v>
      </c>
      <c r="C3076" s="46" t="s">
        <v>280</v>
      </c>
      <c r="F3076" s="366" t="s">
        <v>1907</v>
      </c>
      <c r="G3076" s="46" t="s">
        <v>83</v>
      </c>
      <c r="H3076" s="46">
        <v>1</v>
      </c>
      <c r="I3076" s="51">
        <v>8858.76</v>
      </c>
      <c r="J3076" s="281">
        <f>++Tabla4[[#This Row],[Precio Bruto]]*1.16</f>
        <v>10276.161599999999</v>
      </c>
      <c r="K3076" s="281">
        <f>+Tabla4[[#This Row],[Precio Unitario Neto]]*Tabla4[[#Headers],[20.85%]]</f>
        <v>2142.5796935999997</v>
      </c>
      <c r="L3076" s="282">
        <f>++Tabla4[[#This Row],[Precio Unitario Neto]]-Tabla4[[#This Row],[20.85%]]</f>
        <v>8133.5819063999998</v>
      </c>
      <c r="M3076" s="282" t="e">
        <f>(INDEX(Tabla6[#All],MATCH(Tabla4[[#This Row],[Producto]],Tabla6[[#All],[PRODUCTO]],0),MATCH(Tabla4[[#This Row],[Mes]],Tabla6[#Headers],0)))*(1+Catalogos!$L$2)</f>
        <v>#N/A</v>
      </c>
      <c r="N3076" s="283" t="e">
        <f>+(Tabla4[[#This Row],[Precio Descontado]]-Tabla4[[#This Row],[Precio Base]])*Tabla4[[#This Row],[Cantidad]]</f>
        <v>#N/A</v>
      </c>
      <c r="O3076" s="284" t="e">
        <f>++Tabla4[[#This Row],[Utilidad Total]]/Tabla4[[#This Row],[Total]]</f>
        <v>#N/A</v>
      </c>
      <c r="P3076" s="282">
        <f>++Tabla4[[#This Row],[Precio Descontado]]*Tabla4[[#This Row],[Cantidad]]</f>
        <v>8133.5819063999998</v>
      </c>
      <c r="Q3076" s="282" t="e">
        <f>(INDEX(Tabla6[#All],MATCH(Tabla4[[#This Row],[Producto]],Tabla6[[#All],[PRODUCTO]],0),MATCH(Tabla4[[#This Row],[Mes]],Tabla6[#Headers],0)))</f>
        <v>#N/A</v>
      </c>
      <c r="R3076" s="282" t="e">
        <f>++Tabla4[[#This Row],[Precio Unitario Neto]]-Tabla4[[#This Row],[20.85%]]-Tabla4[[#This Row],[Costo]]</f>
        <v>#N/A</v>
      </c>
      <c r="S3076" s="282" t="e">
        <f>++Tabla4[[#This Row],[U. Bruta Uni]]*Tabla4[[#This Row],[Cantidad]]</f>
        <v>#N/A</v>
      </c>
      <c r="T3076" s="369" t="str">
        <f>VLOOKUP(Tabla4[[#This Row],[Producto]],Tabla6[#All],14,FALSE)</f>
        <v>Termico Solar</v>
      </c>
      <c r="U3076" s="284" t="e">
        <f>(IF(Tabla4[[#This Row],[Familia]]="termico solar",Tabla4[[#This Row],[Utilidad Total]]*6%,Tabla4[[#This Row],[Utilidad Total]]*11.5%))/Tabla4[[#This Row],[Total]]</f>
        <v>#N/A</v>
      </c>
      <c r="V3076" s="282" t="e">
        <f>+Tabla4[[#This Row],[Comisión Calculada]]*Tabla4[[#This Row],[Total]]</f>
        <v>#N/A</v>
      </c>
    </row>
    <row r="3077" spans="1:22" hidden="1" x14ac:dyDescent="0.25">
      <c r="A3077" s="100">
        <v>45792</v>
      </c>
      <c r="B3077" t="str">
        <f t="shared" si="146"/>
        <v>May</v>
      </c>
      <c r="C3077" s="46" t="s">
        <v>280</v>
      </c>
      <c r="F3077" s="366" t="s">
        <v>1907</v>
      </c>
      <c r="G3077" s="46" t="s">
        <v>17</v>
      </c>
      <c r="H3077" s="46">
        <v>3</v>
      </c>
      <c r="I3077" s="51">
        <v>4622.28</v>
      </c>
      <c r="J3077" s="281">
        <f>++Tabla4[[#This Row],[Precio Bruto]]*1.16</f>
        <v>5361.8447999999989</v>
      </c>
      <c r="K3077" s="281">
        <f>+Tabla4[[#This Row],[Precio Unitario Neto]]*Tabla4[[#Headers],[20.85%]]</f>
        <v>1117.9446407999997</v>
      </c>
      <c r="L3077" s="282">
        <f>++Tabla4[[#This Row],[Precio Unitario Neto]]-Tabla4[[#This Row],[20.85%]]</f>
        <v>4243.9001591999995</v>
      </c>
      <c r="M3077" s="282" t="e">
        <f>(INDEX(Tabla6[#All],MATCH(Tabla4[[#This Row],[Producto]],Tabla6[[#All],[PRODUCTO]],0),MATCH(Tabla4[[#This Row],[Mes]],Tabla6[#Headers],0)))*(1+Catalogos!$L$2)</f>
        <v>#N/A</v>
      </c>
      <c r="N3077" s="283" t="e">
        <f>+(Tabla4[[#This Row],[Precio Descontado]]-Tabla4[[#This Row],[Precio Base]])*Tabla4[[#This Row],[Cantidad]]</f>
        <v>#N/A</v>
      </c>
      <c r="O3077" s="284" t="e">
        <f>++Tabla4[[#This Row],[Utilidad Total]]/Tabla4[[#This Row],[Total]]</f>
        <v>#N/A</v>
      </c>
      <c r="P3077" s="282">
        <f>++Tabla4[[#This Row],[Precio Descontado]]*Tabla4[[#This Row],[Cantidad]]</f>
        <v>12731.700477599999</v>
      </c>
      <c r="Q3077" s="282" t="e">
        <f>(INDEX(Tabla6[#All],MATCH(Tabla4[[#This Row],[Producto]],Tabla6[[#All],[PRODUCTO]],0),MATCH(Tabla4[[#This Row],[Mes]],Tabla6[#Headers],0)))</f>
        <v>#N/A</v>
      </c>
      <c r="R3077" s="282" t="e">
        <f>++Tabla4[[#This Row],[Precio Unitario Neto]]-Tabla4[[#This Row],[20.85%]]-Tabla4[[#This Row],[Costo]]</f>
        <v>#N/A</v>
      </c>
      <c r="S3077" s="282" t="e">
        <f>++Tabla4[[#This Row],[U. Bruta Uni]]*Tabla4[[#This Row],[Cantidad]]</f>
        <v>#N/A</v>
      </c>
      <c r="T3077" s="369" t="str">
        <f>VLOOKUP(Tabla4[[#This Row],[Producto]],Tabla6[#All],14,FALSE)</f>
        <v>Termico Solar</v>
      </c>
      <c r="U3077" s="284" t="e">
        <f>(IF(Tabla4[[#This Row],[Familia]]="termico solar",Tabla4[[#This Row],[Utilidad Total]]*6%,Tabla4[[#This Row],[Utilidad Total]]*11.5%))/Tabla4[[#This Row],[Total]]</f>
        <v>#N/A</v>
      </c>
      <c r="V3077" s="282" t="e">
        <f>+Tabla4[[#This Row],[Comisión Calculada]]*Tabla4[[#This Row],[Total]]</f>
        <v>#N/A</v>
      </c>
    </row>
    <row r="3078" spans="1:22" hidden="1" x14ac:dyDescent="0.25">
      <c r="A3078" s="100">
        <v>45792</v>
      </c>
      <c r="B3078" t="str">
        <f t="shared" si="146"/>
        <v>May</v>
      </c>
      <c r="C3078" s="46" t="s">
        <v>280</v>
      </c>
      <c r="F3078" s="366" t="s">
        <v>1907</v>
      </c>
      <c r="G3078" s="46" t="s">
        <v>208</v>
      </c>
      <c r="H3078" s="46">
        <v>1</v>
      </c>
      <c r="I3078" s="51">
        <v>189.75</v>
      </c>
      <c r="J3078" s="281">
        <f>++Tabla4[[#This Row],[Precio Bruto]]*1.16</f>
        <v>220.10999999999999</v>
      </c>
      <c r="K3078" s="281">
        <f>+Tabla4[[#This Row],[Precio Unitario Neto]]*Tabla4[[#Headers],[20.85%]]</f>
        <v>45.892934999999994</v>
      </c>
      <c r="L3078" s="282">
        <f>++Tabla4[[#This Row],[Precio Unitario Neto]]-Tabla4[[#This Row],[20.85%]]</f>
        <v>174.21706499999999</v>
      </c>
      <c r="M3078" s="282" t="e">
        <f>(INDEX(Tabla6[#All],MATCH(Tabla4[[#This Row],[Producto]],Tabla6[[#All],[PRODUCTO]],0),MATCH(Tabla4[[#This Row],[Mes]],Tabla6[#Headers],0)))*(1+Catalogos!$L$2)</f>
        <v>#N/A</v>
      </c>
      <c r="N3078" s="283" t="e">
        <f>+(Tabla4[[#This Row],[Precio Descontado]]-Tabla4[[#This Row],[Precio Base]])*Tabla4[[#This Row],[Cantidad]]</f>
        <v>#N/A</v>
      </c>
      <c r="O3078" s="284" t="e">
        <f>++Tabla4[[#This Row],[Utilidad Total]]/Tabla4[[#This Row],[Total]]</f>
        <v>#N/A</v>
      </c>
      <c r="P3078" s="282">
        <f>++Tabla4[[#This Row],[Precio Descontado]]*Tabla4[[#This Row],[Cantidad]]</f>
        <v>174.21706499999999</v>
      </c>
      <c r="Q3078" s="282" t="e">
        <f>(INDEX(Tabla6[#All],MATCH(Tabla4[[#This Row],[Producto]],Tabla6[[#All],[PRODUCTO]],0),MATCH(Tabla4[[#This Row],[Mes]],Tabla6[#Headers],0)))</f>
        <v>#N/A</v>
      </c>
      <c r="R3078" s="282" t="e">
        <f>++Tabla4[[#This Row],[Precio Unitario Neto]]-Tabla4[[#This Row],[20.85%]]-Tabla4[[#This Row],[Costo]]</f>
        <v>#N/A</v>
      </c>
      <c r="S3078" s="282" t="e">
        <f>++Tabla4[[#This Row],[U. Bruta Uni]]*Tabla4[[#This Row],[Cantidad]]</f>
        <v>#N/A</v>
      </c>
      <c r="T3078" s="369" t="str">
        <f>VLOOKUP(Tabla4[[#This Row],[Producto]],Tabla6[#All],14,FALSE)</f>
        <v>Termico Solar</v>
      </c>
      <c r="U3078" s="284" t="e">
        <f>(IF(Tabla4[[#This Row],[Familia]]="termico solar",Tabla4[[#This Row],[Utilidad Total]]*6%,Tabla4[[#This Row],[Utilidad Total]]*11.5%))/Tabla4[[#This Row],[Total]]</f>
        <v>#N/A</v>
      </c>
      <c r="V3078" s="282" t="e">
        <f>+Tabla4[[#This Row],[Comisión Calculada]]*Tabla4[[#This Row],[Total]]</f>
        <v>#N/A</v>
      </c>
    </row>
    <row r="3079" spans="1:22" hidden="1" x14ac:dyDescent="0.25">
      <c r="A3079" s="100">
        <v>45792</v>
      </c>
      <c r="B3079" t="str">
        <f t="shared" si="146"/>
        <v>May</v>
      </c>
      <c r="C3079" s="46" t="s">
        <v>280</v>
      </c>
      <c r="F3079" s="366" t="s">
        <v>1908</v>
      </c>
      <c r="G3079" s="46" t="s">
        <v>83</v>
      </c>
      <c r="H3079" s="46">
        <v>2</v>
      </c>
      <c r="I3079" s="51">
        <v>8858.76</v>
      </c>
      <c r="J3079" s="281">
        <f>++Tabla4[[#This Row],[Precio Bruto]]*1.16</f>
        <v>10276.161599999999</v>
      </c>
      <c r="K3079" s="281">
        <f>+Tabla4[[#This Row],[Precio Unitario Neto]]*Tabla4[[#Headers],[20.85%]]</f>
        <v>2142.5796935999997</v>
      </c>
      <c r="L3079" s="282">
        <f>++Tabla4[[#This Row],[Precio Unitario Neto]]-Tabla4[[#This Row],[20.85%]]</f>
        <v>8133.5819063999998</v>
      </c>
      <c r="M3079" s="282" t="e">
        <f>(INDEX(Tabla6[#All],MATCH(Tabla4[[#This Row],[Producto]],Tabla6[[#All],[PRODUCTO]],0),MATCH(Tabla4[[#This Row],[Mes]],Tabla6[#Headers],0)))*(1+Catalogos!$L$2)</f>
        <v>#N/A</v>
      </c>
      <c r="N3079" s="283" t="e">
        <f>+(Tabla4[[#This Row],[Precio Descontado]]-Tabla4[[#This Row],[Precio Base]])*Tabla4[[#This Row],[Cantidad]]</f>
        <v>#N/A</v>
      </c>
      <c r="O3079" s="284" t="e">
        <f>++Tabla4[[#This Row],[Utilidad Total]]/Tabla4[[#This Row],[Total]]</f>
        <v>#N/A</v>
      </c>
      <c r="P3079" s="282">
        <f>++Tabla4[[#This Row],[Precio Descontado]]*Tabla4[[#This Row],[Cantidad]]</f>
        <v>16267.1638128</v>
      </c>
      <c r="Q3079" s="282" t="e">
        <f>(INDEX(Tabla6[#All],MATCH(Tabla4[[#This Row],[Producto]],Tabla6[[#All],[PRODUCTO]],0),MATCH(Tabla4[[#This Row],[Mes]],Tabla6[#Headers],0)))</f>
        <v>#N/A</v>
      </c>
      <c r="R3079" s="282" t="e">
        <f>++Tabla4[[#This Row],[Precio Unitario Neto]]-Tabla4[[#This Row],[20.85%]]-Tabla4[[#This Row],[Costo]]</f>
        <v>#N/A</v>
      </c>
      <c r="S3079" s="282" t="e">
        <f>++Tabla4[[#This Row],[U. Bruta Uni]]*Tabla4[[#This Row],[Cantidad]]</f>
        <v>#N/A</v>
      </c>
      <c r="T3079" s="369" t="str">
        <f>VLOOKUP(Tabla4[[#This Row],[Producto]],Tabla6[#All],14,FALSE)</f>
        <v>Termico Solar</v>
      </c>
      <c r="U3079" s="284" t="e">
        <f>(IF(Tabla4[[#This Row],[Familia]]="termico solar",Tabla4[[#This Row],[Utilidad Total]]*6%,Tabla4[[#This Row],[Utilidad Total]]*11.5%))/Tabla4[[#This Row],[Total]]</f>
        <v>#N/A</v>
      </c>
      <c r="V3079" s="282" t="e">
        <f>+Tabla4[[#This Row],[Comisión Calculada]]*Tabla4[[#This Row],[Total]]</f>
        <v>#N/A</v>
      </c>
    </row>
    <row r="3080" spans="1:22" hidden="1" x14ac:dyDescent="0.25">
      <c r="A3080" s="100">
        <v>45792</v>
      </c>
      <c r="B3080" t="str">
        <f t="shared" si="146"/>
        <v>May</v>
      </c>
      <c r="C3080" s="46" t="s">
        <v>280</v>
      </c>
      <c r="F3080" s="366" t="s">
        <v>1908</v>
      </c>
      <c r="G3080" s="46" t="s">
        <v>18</v>
      </c>
      <c r="H3080" s="46">
        <v>3</v>
      </c>
      <c r="I3080" s="51">
        <v>5367.6500000000005</v>
      </c>
      <c r="J3080" s="281">
        <f>++Tabla4[[#This Row],[Precio Bruto]]*1.16</f>
        <v>6226.4740000000002</v>
      </c>
      <c r="K3080" s="281">
        <f>+Tabla4[[#This Row],[Precio Unitario Neto]]*Tabla4[[#Headers],[20.85%]]</f>
        <v>1298.2198289999999</v>
      </c>
      <c r="L3080" s="282">
        <f>++Tabla4[[#This Row],[Precio Unitario Neto]]-Tabla4[[#This Row],[20.85%]]</f>
        <v>4928.2541710000005</v>
      </c>
      <c r="M3080" s="282" t="e">
        <f>(INDEX(Tabla6[#All],MATCH(Tabla4[[#This Row],[Producto]],Tabla6[[#All],[PRODUCTO]],0),MATCH(Tabla4[[#This Row],[Mes]],Tabla6[#Headers],0)))*(1+Catalogos!$L$2)</f>
        <v>#N/A</v>
      </c>
      <c r="N3080" s="283" t="e">
        <f>+(Tabla4[[#This Row],[Precio Descontado]]-Tabla4[[#This Row],[Precio Base]])*Tabla4[[#This Row],[Cantidad]]</f>
        <v>#N/A</v>
      </c>
      <c r="O3080" s="284" t="e">
        <f>++Tabla4[[#This Row],[Utilidad Total]]/Tabla4[[#This Row],[Total]]</f>
        <v>#N/A</v>
      </c>
      <c r="P3080" s="282">
        <f>++Tabla4[[#This Row],[Precio Descontado]]*Tabla4[[#This Row],[Cantidad]]</f>
        <v>14784.762513000001</v>
      </c>
      <c r="Q3080" s="282" t="e">
        <f>(INDEX(Tabla6[#All],MATCH(Tabla4[[#This Row],[Producto]],Tabla6[[#All],[PRODUCTO]],0),MATCH(Tabla4[[#This Row],[Mes]],Tabla6[#Headers],0)))</f>
        <v>#N/A</v>
      </c>
      <c r="R3080" s="282" t="e">
        <f>++Tabla4[[#This Row],[Precio Unitario Neto]]-Tabla4[[#This Row],[20.85%]]-Tabla4[[#This Row],[Costo]]</f>
        <v>#N/A</v>
      </c>
      <c r="S3080" s="282" t="e">
        <f>++Tabla4[[#This Row],[U. Bruta Uni]]*Tabla4[[#This Row],[Cantidad]]</f>
        <v>#N/A</v>
      </c>
      <c r="T3080" s="369" t="str">
        <f>VLOOKUP(Tabla4[[#This Row],[Producto]],Tabla6[#All],14,FALSE)</f>
        <v>Termico Solar</v>
      </c>
      <c r="U3080" s="284" t="e">
        <f>(IF(Tabla4[[#This Row],[Familia]]="termico solar",Tabla4[[#This Row],[Utilidad Total]]*6%,Tabla4[[#This Row],[Utilidad Total]]*11.5%))/Tabla4[[#This Row],[Total]]</f>
        <v>#N/A</v>
      </c>
      <c r="V3080" s="282" t="e">
        <f>+Tabla4[[#This Row],[Comisión Calculada]]*Tabla4[[#This Row],[Total]]</f>
        <v>#N/A</v>
      </c>
    </row>
    <row r="3081" spans="1:22" hidden="1" x14ac:dyDescent="0.25">
      <c r="A3081" s="100">
        <v>45792</v>
      </c>
      <c r="B3081" t="str">
        <f t="shared" si="146"/>
        <v>May</v>
      </c>
      <c r="C3081" s="46" t="s">
        <v>280</v>
      </c>
      <c r="F3081" s="366" t="s">
        <v>1909</v>
      </c>
      <c r="G3081" s="46" t="s">
        <v>82</v>
      </c>
      <c r="H3081" s="46">
        <v>18</v>
      </c>
      <c r="I3081" s="51">
        <v>7690</v>
      </c>
      <c r="J3081" s="281">
        <f>++Tabla4[[#This Row],[Precio Bruto]]*1.16</f>
        <v>8920.4</v>
      </c>
      <c r="K3081" s="281">
        <f>+Tabla4[[#This Row],[Precio Unitario Neto]]*Tabla4[[#Headers],[20.85%]]</f>
        <v>1859.9033999999999</v>
      </c>
      <c r="L3081" s="282">
        <f>++Tabla4[[#This Row],[Precio Unitario Neto]]-Tabla4[[#This Row],[20.85%]]</f>
        <v>7060.4965999999995</v>
      </c>
      <c r="M3081" s="282" t="e">
        <f>(INDEX(Tabla6[#All],MATCH(Tabla4[[#This Row],[Producto]],Tabla6[[#All],[PRODUCTO]],0),MATCH(Tabla4[[#This Row],[Mes]],Tabla6[#Headers],0)))*(1+Catalogos!$L$2)</f>
        <v>#N/A</v>
      </c>
      <c r="N3081" s="283" t="e">
        <f>+(Tabla4[[#This Row],[Precio Descontado]]-Tabla4[[#This Row],[Precio Base]])*Tabla4[[#This Row],[Cantidad]]</f>
        <v>#N/A</v>
      </c>
      <c r="O3081" s="284" t="e">
        <f>++Tabla4[[#This Row],[Utilidad Total]]/Tabla4[[#This Row],[Total]]</f>
        <v>#N/A</v>
      </c>
      <c r="P3081" s="282">
        <f>++Tabla4[[#This Row],[Precio Descontado]]*Tabla4[[#This Row],[Cantidad]]</f>
        <v>127088.93879999999</v>
      </c>
      <c r="Q3081" s="282" t="e">
        <f>(INDEX(Tabla6[#All],MATCH(Tabla4[[#This Row],[Producto]],Tabla6[[#All],[PRODUCTO]],0),MATCH(Tabla4[[#This Row],[Mes]],Tabla6[#Headers],0)))</f>
        <v>#N/A</v>
      </c>
      <c r="R3081" s="282" t="e">
        <f>++Tabla4[[#This Row],[Precio Unitario Neto]]-Tabla4[[#This Row],[20.85%]]-Tabla4[[#This Row],[Costo]]</f>
        <v>#N/A</v>
      </c>
      <c r="S3081" s="282" t="e">
        <f>++Tabla4[[#This Row],[U. Bruta Uni]]*Tabla4[[#This Row],[Cantidad]]</f>
        <v>#N/A</v>
      </c>
      <c r="T3081" s="369" t="str">
        <f>VLOOKUP(Tabla4[[#This Row],[Producto]],Tabla6[#All],14,FALSE)</f>
        <v>Termico Solar</v>
      </c>
      <c r="U3081" s="284" t="e">
        <f>(IF(Tabla4[[#This Row],[Familia]]="termico solar",Tabla4[[#This Row],[Utilidad Total]]*6%,Tabla4[[#This Row],[Utilidad Total]]*11.5%))/Tabla4[[#This Row],[Total]]</f>
        <v>#N/A</v>
      </c>
      <c r="V3081" s="282" t="e">
        <f>+Tabla4[[#This Row],[Comisión Calculada]]*Tabla4[[#This Row],[Total]]</f>
        <v>#N/A</v>
      </c>
    </row>
    <row r="3082" spans="1:22" hidden="1" x14ac:dyDescent="0.25">
      <c r="A3082" s="100">
        <v>45792</v>
      </c>
      <c r="B3082" t="str">
        <f t="shared" si="146"/>
        <v>May</v>
      </c>
      <c r="C3082" s="46" t="s">
        <v>280</v>
      </c>
      <c r="F3082" s="366" t="s">
        <v>1909</v>
      </c>
      <c r="G3082" s="46" t="s">
        <v>255</v>
      </c>
      <c r="H3082" s="46">
        <v>18</v>
      </c>
      <c r="I3082" s="51">
        <v>1200</v>
      </c>
      <c r="J3082" s="281">
        <f>++Tabla4[[#This Row],[Precio Bruto]]*1.16</f>
        <v>1392</v>
      </c>
      <c r="K3082" s="281">
        <f>+Tabla4[[#This Row],[Precio Unitario Neto]]*Tabla4[[#Headers],[20.85%]]</f>
        <v>290.23199999999997</v>
      </c>
      <c r="L3082" s="282">
        <f>++Tabla4[[#This Row],[Precio Unitario Neto]]-Tabla4[[#This Row],[20.85%]]</f>
        <v>1101.768</v>
      </c>
      <c r="M3082" s="282" t="e">
        <f>(INDEX(Tabla6[#All],MATCH(Tabla4[[#This Row],[Producto]],Tabla6[[#All],[PRODUCTO]],0),MATCH(Tabla4[[#This Row],[Mes]],Tabla6[#Headers],0)))*(1+Catalogos!$L$2)</f>
        <v>#N/A</v>
      </c>
      <c r="N3082" s="283" t="e">
        <f>+(Tabla4[[#This Row],[Precio Descontado]]-Tabla4[[#This Row],[Precio Base]])*Tabla4[[#This Row],[Cantidad]]</f>
        <v>#N/A</v>
      </c>
      <c r="O3082" s="284" t="e">
        <f>++Tabla4[[#This Row],[Utilidad Total]]/Tabla4[[#This Row],[Total]]</f>
        <v>#N/A</v>
      </c>
      <c r="P3082" s="282">
        <f>++Tabla4[[#This Row],[Precio Descontado]]*Tabla4[[#This Row],[Cantidad]]</f>
        <v>19831.824000000001</v>
      </c>
      <c r="Q3082" s="282" t="e">
        <f>(INDEX(Tabla6[#All],MATCH(Tabla4[[#This Row],[Producto]],Tabla6[[#All],[PRODUCTO]],0),MATCH(Tabla4[[#This Row],[Mes]],Tabla6[#Headers],0)))</f>
        <v>#N/A</v>
      </c>
      <c r="R3082" s="282" t="e">
        <f>++Tabla4[[#This Row],[Precio Unitario Neto]]-Tabla4[[#This Row],[20.85%]]-Tabla4[[#This Row],[Costo]]</f>
        <v>#N/A</v>
      </c>
      <c r="S3082" s="282" t="e">
        <f>++Tabla4[[#This Row],[U. Bruta Uni]]*Tabla4[[#This Row],[Cantidad]]</f>
        <v>#N/A</v>
      </c>
      <c r="T3082" s="369" t="str">
        <f>VLOOKUP(Tabla4[[#This Row],[Producto]],Tabla6[#All],14,FALSE)</f>
        <v>Termico Solar</v>
      </c>
      <c r="U3082" s="284" t="e">
        <f>(IF(Tabla4[[#This Row],[Familia]]="termico solar",Tabla4[[#This Row],[Utilidad Total]]*6%,Tabla4[[#This Row],[Utilidad Total]]*11.5%))/Tabla4[[#This Row],[Total]]</f>
        <v>#N/A</v>
      </c>
      <c r="V3082" s="282" t="e">
        <f>+Tabla4[[#This Row],[Comisión Calculada]]*Tabla4[[#This Row],[Total]]</f>
        <v>#N/A</v>
      </c>
    </row>
    <row r="3083" spans="1:22" hidden="1" x14ac:dyDescent="0.25">
      <c r="A3083" s="100">
        <v>45792</v>
      </c>
      <c r="B3083" t="str">
        <f t="shared" si="146"/>
        <v>May</v>
      </c>
      <c r="C3083" s="46" t="s">
        <v>280</v>
      </c>
      <c r="F3083" s="366" t="s">
        <v>1910</v>
      </c>
      <c r="G3083" s="46" t="s">
        <v>83</v>
      </c>
      <c r="H3083" s="46">
        <v>3</v>
      </c>
      <c r="I3083" s="51">
        <v>8858.76</v>
      </c>
      <c r="J3083" s="281">
        <f>++Tabla4[[#This Row],[Precio Bruto]]*1.16</f>
        <v>10276.161599999999</v>
      </c>
      <c r="K3083" s="281">
        <f>+Tabla4[[#This Row],[Precio Unitario Neto]]*Tabla4[[#Headers],[20.85%]]</f>
        <v>2142.5796935999997</v>
      </c>
      <c r="L3083" s="282">
        <f>++Tabla4[[#This Row],[Precio Unitario Neto]]-Tabla4[[#This Row],[20.85%]]</f>
        <v>8133.5819063999998</v>
      </c>
      <c r="M3083" s="282" t="e">
        <f>(INDEX(Tabla6[#All],MATCH(Tabla4[[#This Row],[Producto]],Tabla6[[#All],[PRODUCTO]],0),MATCH(Tabla4[[#This Row],[Mes]],Tabla6[#Headers],0)))*(1+Catalogos!$L$2)</f>
        <v>#N/A</v>
      </c>
      <c r="N3083" s="283" t="e">
        <f>+(Tabla4[[#This Row],[Precio Descontado]]-Tabla4[[#This Row],[Precio Base]])*Tabla4[[#This Row],[Cantidad]]</f>
        <v>#N/A</v>
      </c>
      <c r="O3083" s="284" t="e">
        <f>++Tabla4[[#This Row],[Utilidad Total]]/Tabla4[[#This Row],[Total]]</f>
        <v>#N/A</v>
      </c>
      <c r="P3083" s="282">
        <f>++Tabla4[[#This Row],[Precio Descontado]]*Tabla4[[#This Row],[Cantidad]]</f>
        <v>24400.7457192</v>
      </c>
      <c r="Q3083" s="282" t="e">
        <f>(INDEX(Tabla6[#All],MATCH(Tabla4[[#This Row],[Producto]],Tabla6[[#All],[PRODUCTO]],0),MATCH(Tabla4[[#This Row],[Mes]],Tabla6[#Headers],0)))</f>
        <v>#N/A</v>
      </c>
      <c r="R3083" s="282" t="e">
        <f>++Tabla4[[#This Row],[Precio Unitario Neto]]-Tabla4[[#This Row],[20.85%]]-Tabla4[[#This Row],[Costo]]</f>
        <v>#N/A</v>
      </c>
      <c r="S3083" s="282" t="e">
        <f>++Tabla4[[#This Row],[U. Bruta Uni]]*Tabla4[[#This Row],[Cantidad]]</f>
        <v>#N/A</v>
      </c>
      <c r="T3083" s="369" t="str">
        <f>VLOOKUP(Tabla4[[#This Row],[Producto]],Tabla6[#All],14,FALSE)</f>
        <v>Termico Solar</v>
      </c>
      <c r="U3083" s="284" t="e">
        <f>(IF(Tabla4[[#This Row],[Familia]]="termico solar",Tabla4[[#This Row],[Utilidad Total]]*6%,Tabla4[[#This Row],[Utilidad Total]]*11.5%))/Tabla4[[#This Row],[Total]]</f>
        <v>#N/A</v>
      </c>
      <c r="V3083" s="282" t="e">
        <f>+Tabla4[[#This Row],[Comisión Calculada]]*Tabla4[[#This Row],[Total]]</f>
        <v>#N/A</v>
      </c>
    </row>
    <row r="3084" spans="1:22" hidden="1" x14ac:dyDescent="0.25">
      <c r="A3084" s="100">
        <v>45792</v>
      </c>
      <c r="B3084" t="str">
        <f t="shared" si="146"/>
        <v>May</v>
      </c>
      <c r="C3084" s="46" t="s">
        <v>280</v>
      </c>
      <c r="F3084" s="366" t="s">
        <v>1910</v>
      </c>
      <c r="G3084" s="46" t="s">
        <v>17</v>
      </c>
      <c r="H3084" s="46">
        <v>2</v>
      </c>
      <c r="I3084" s="51">
        <v>4622.28</v>
      </c>
      <c r="J3084" s="281">
        <f>++Tabla4[[#This Row],[Precio Bruto]]*1.16</f>
        <v>5361.8447999999989</v>
      </c>
      <c r="K3084" s="281">
        <f>+Tabla4[[#This Row],[Precio Unitario Neto]]*Tabla4[[#Headers],[20.85%]]</f>
        <v>1117.9446407999997</v>
      </c>
      <c r="L3084" s="282">
        <f>++Tabla4[[#This Row],[Precio Unitario Neto]]-Tabla4[[#This Row],[20.85%]]</f>
        <v>4243.9001591999995</v>
      </c>
      <c r="M3084" s="282" t="e">
        <f>(INDEX(Tabla6[#All],MATCH(Tabla4[[#This Row],[Producto]],Tabla6[[#All],[PRODUCTO]],0),MATCH(Tabla4[[#This Row],[Mes]],Tabla6[#Headers],0)))*(1+Catalogos!$L$2)</f>
        <v>#N/A</v>
      </c>
      <c r="N3084" s="283" t="e">
        <f>+(Tabla4[[#This Row],[Precio Descontado]]-Tabla4[[#This Row],[Precio Base]])*Tabla4[[#This Row],[Cantidad]]</f>
        <v>#N/A</v>
      </c>
      <c r="O3084" s="284" t="e">
        <f>++Tabla4[[#This Row],[Utilidad Total]]/Tabla4[[#This Row],[Total]]</f>
        <v>#N/A</v>
      </c>
      <c r="P3084" s="282">
        <f>++Tabla4[[#This Row],[Precio Descontado]]*Tabla4[[#This Row],[Cantidad]]</f>
        <v>8487.800318399999</v>
      </c>
      <c r="Q3084" s="282" t="e">
        <f>(INDEX(Tabla6[#All],MATCH(Tabla4[[#This Row],[Producto]],Tabla6[[#All],[PRODUCTO]],0),MATCH(Tabla4[[#This Row],[Mes]],Tabla6[#Headers],0)))</f>
        <v>#N/A</v>
      </c>
      <c r="R3084" s="282" t="e">
        <f>++Tabla4[[#This Row],[Precio Unitario Neto]]-Tabla4[[#This Row],[20.85%]]-Tabla4[[#This Row],[Costo]]</f>
        <v>#N/A</v>
      </c>
      <c r="S3084" s="282" t="e">
        <f>++Tabla4[[#This Row],[U. Bruta Uni]]*Tabla4[[#This Row],[Cantidad]]</f>
        <v>#N/A</v>
      </c>
      <c r="T3084" s="369" t="str">
        <f>VLOOKUP(Tabla4[[#This Row],[Producto]],Tabla6[#All],14,FALSE)</f>
        <v>Termico Solar</v>
      </c>
      <c r="U3084" s="284" t="e">
        <f>(IF(Tabla4[[#This Row],[Familia]]="termico solar",Tabla4[[#This Row],[Utilidad Total]]*6%,Tabla4[[#This Row],[Utilidad Total]]*11.5%))/Tabla4[[#This Row],[Total]]</f>
        <v>#N/A</v>
      </c>
      <c r="V3084" s="282" t="e">
        <f>+Tabla4[[#This Row],[Comisión Calculada]]*Tabla4[[#This Row],[Total]]</f>
        <v>#N/A</v>
      </c>
    </row>
    <row r="3085" spans="1:22" hidden="1" x14ac:dyDescent="0.25">
      <c r="A3085" s="100">
        <v>45792</v>
      </c>
      <c r="B3085" t="str">
        <f t="shared" si="146"/>
        <v>May</v>
      </c>
      <c r="C3085" s="46" t="s">
        <v>280</v>
      </c>
      <c r="F3085" s="366" t="s">
        <v>1910</v>
      </c>
      <c r="G3085" s="46" t="s">
        <v>18</v>
      </c>
      <c r="H3085" s="46">
        <v>2</v>
      </c>
      <c r="I3085" s="51">
        <v>5367.65</v>
      </c>
      <c r="J3085" s="281">
        <f>++Tabla4[[#This Row],[Precio Bruto]]*1.16</f>
        <v>6226.4739999999993</v>
      </c>
      <c r="K3085" s="281">
        <f>+Tabla4[[#This Row],[Precio Unitario Neto]]*Tabla4[[#Headers],[20.85%]]</f>
        <v>1298.2198289999999</v>
      </c>
      <c r="L3085" s="282">
        <f>++Tabla4[[#This Row],[Precio Unitario Neto]]-Tabla4[[#This Row],[20.85%]]</f>
        <v>4928.2541709999996</v>
      </c>
      <c r="M3085" s="282" t="e">
        <f>(INDEX(Tabla6[#All],MATCH(Tabla4[[#This Row],[Producto]],Tabla6[[#All],[PRODUCTO]],0),MATCH(Tabla4[[#This Row],[Mes]],Tabla6[#Headers],0)))*(1+Catalogos!$L$2)</f>
        <v>#N/A</v>
      </c>
      <c r="N3085" s="283" t="e">
        <f>+(Tabla4[[#This Row],[Precio Descontado]]-Tabla4[[#This Row],[Precio Base]])*Tabla4[[#This Row],[Cantidad]]</f>
        <v>#N/A</v>
      </c>
      <c r="O3085" s="284" t="e">
        <f>++Tabla4[[#This Row],[Utilidad Total]]/Tabla4[[#This Row],[Total]]</f>
        <v>#N/A</v>
      </c>
      <c r="P3085" s="282">
        <f>++Tabla4[[#This Row],[Precio Descontado]]*Tabla4[[#This Row],[Cantidad]]</f>
        <v>9856.5083419999992</v>
      </c>
      <c r="Q3085" s="282" t="e">
        <f>(INDEX(Tabla6[#All],MATCH(Tabla4[[#This Row],[Producto]],Tabla6[[#All],[PRODUCTO]],0),MATCH(Tabla4[[#This Row],[Mes]],Tabla6[#Headers],0)))</f>
        <v>#N/A</v>
      </c>
      <c r="R3085" s="282" t="e">
        <f>++Tabla4[[#This Row],[Precio Unitario Neto]]-Tabla4[[#This Row],[20.85%]]-Tabla4[[#This Row],[Costo]]</f>
        <v>#N/A</v>
      </c>
      <c r="S3085" s="282" t="e">
        <f>++Tabla4[[#This Row],[U. Bruta Uni]]*Tabla4[[#This Row],[Cantidad]]</f>
        <v>#N/A</v>
      </c>
      <c r="T3085" s="369" t="str">
        <f>VLOOKUP(Tabla4[[#This Row],[Producto]],Tabla6[#All],14,FALSE)</f>
        <v>Termico Solar</v>
      </c>
      <c r="U3085" s="284" t="e">
        <f>(IF(Tabla4[[#This Row],[Familia]]="termico solar",Tabla4[[#This Row],[Utilidad Total]]*6%,Tabla4[[#This Row],[Utilidad Total]]*11.5%))/Tabla4[[#This Row],[Total]]</f>
        <v>#N/A</v>
      </c>
      <c r="V3085" s="282" t="e">
        <f>+Tabla4[[#This Row],[Comisión Calculada]]*Tabla4[[#This Row],[Total]]</f>
        <v>#N/A</v>
      </c>
    </row>
    <row r="3086" spans="1:22" hidden="1" x14ac:dyDescent="0.25">
      <c r="A3086" s="100">
        <v>45792</v>
      </c>
      <c r="B3086" t="str">
        <f t="shared" si="146"/>
        <v>May</v>
      </c>
      <c r="C3086" s="46" t="s">
        <v>280</v>
      </c>
      <c r="F3086" s="366" t="s">
        <v>1910</v>
      </c>
      <c r="G3086" s="46" t="s">
        <v>16</v>
      </c>
      <c r="H3086" s="46">
        <v>1</v>
      </c>
      <c r="I3086" s="51">
        <v>4103.8500000000004</v>
      </c>
      <c r="J3086" s="281">
        <f>++Tabla4[[#This Row],[Precio Bruto]]*1.16</f>
        <v>4760.4660000000003</v>
      </c>
      <c r="K3086" s="281">
        <f>+Tabla4[[#This Row],[Precio Unitario Neto]]*Tabla4[[#Headers],[20.85%]]</f>
        <v>992.55716100000006</v>
      </c>
      <c r="L3086" s="282">
        <f>++Tabla4[[#This Row],[Precio Unitario Neto]]-Tabla4[[#This Row],[20.85%]]</f>
        <v>3767.9088390000002</v>
      </c>
      <c r="M3086" s="282" t="e">
        <f>(INDEX(Tabla6[#All],MATCH(Tabla4[[#This Row],[Producto]],Tabla6[[#All],[PRODUCTO]],0),MATCH(Tabla4[[#This Row],[Mes]],Tabla6[#Headers],0)))*(1+Catalogos!$L$2)</f>
        <v>#N/A</v>
      </c>
      <c r="N3086" s="283" t="e">
        <f>+(Tabla4[[#This Row],[Precio Descontado]]-Tabla4[[#This Row],[Precio Base]])*Tabla4[[#This Row],[Cantidad]]</f>
        <v>#N/A</v>
      </c>
      <c r="O3086" s="284" t="e">
        <f>++Tabla4[[#This Row],[Utilidad Total]]/Tabla4[[#This Row],[Total]]</f>
        <v>#N/A</v>
      </c>
      <c r="P3086" s="282">
        <f>++Tabla4[[#This Row],[Precio Descontado]]*Tabla4[[#This Row],[Cantidad]]</f>
        <v>3767.9088390000002</v>
      </c>
      <c r="Q3086" s="282" t="e">
        <f>(INDEX(Tabla6[#All],MATCH(Tabla4[[#This Row],[Producto]],Tabla6[[#All],[PRODUCTO]],0),MATCH(Tabla4[[#This Row],[Mes]],Tabla6[#Headers],0)))</f>
        <v>#N/A</v>
      </c>
      <c r="R3086" s="282" t="e">
        <f>++Tabla4[[#This Row],[Precio Unitario Neto]]-Tabla4[[#This Row],[20.85%]]-Tabla4[[#This Row],[Costo]]</f>
        <v>#N/A</v>
      </c>
      <c r="S3086" s="282" t="e">
        <f>++Tabla4[[#This Row],[U. Bruta Uni]]*Tabla4[[#This Row],[Cantidad]]</f>
        <v>#N/A</v>
      </c>
      <c r="T3086" s="369" t="str">
        <f>VLOOKUP(Tabla4[[#This Row],[Producto]],Tabla6[#All],14,FALSE)</f>
        <v>Termico Solar</v>
      </c>
      <c r="U3086" s="284" t="e">
        <f>(IF(Tabla4[[#This Row],[Familia]]="termico solar",Tabla4[[#This Row],[Utilidad Total]]*6%,Tabla4[[#This Row],[Utilidad Total]]*11.5%))/Tabla4[[#This Row],[Total]]</f>
        <v>#N/A</v>
      </c>
      <c r="V3086" s="282" t="e">
        <f>+Tabla4[[#This Row],[Comisión Calculada]]*Tabla4[[#This Row],[Total]]</f>
        <v>#N/A</v>
      </c>
    </row>
    <row r="3087" spans="1:22" hidden="1" x14ac:dyDescent="0.25">
      <c r="A3087" s="100">
        <v>45808</v>
      </c>
      <c r="B3087" t="str">
        <f t="shared" si="146"/>
        <v>May</v>
      </c>
      <c r="C3087" s="46" t="s">
        <v>280</v>
      </c>
      <c r="F3087" s="366" t="s">
        <v>1911</v>
      </c>
      <c r="G3087" s="46" t="s">
        <v>83</v>
      </c>
      <c r="H3087" s="46">
        <v>2</v>
      </c>
      <c r="I3087" s="51">
        <v>8858.76</v>
      </c>
      <c r="J3087" s="281">
        <f>++Tabla4[[#This Row],[Precio Bruto]]*1.16</f>
        <v>10276.161599999999</v>
      </c>
      <c r="K3087" s="281">
        <f>+Tabla4[[#This Row],[Precio Unitario Neto]]*Tabla4[[#Headers],[20.85%]]</f>
        <v>2142.5796935999997</v>
      </c>
      <c r="L3087" s="282">
        <f>++Tabla4[[#This Row],[Precio Unitario Neto]]-Tabla4[[#This Row],[20.85%]]</f>
        <v>8133.5819063999998</v>
      </c>
      <c r="M3087" s="282" t="e">
        <f>(INDEX(Tabla6[#All],MATCH(Tabla4[[#This Row],[Producto]],Tabla6[[#All],[PRODUCTO]],0),MATCH(Tabla4[[#This Row],[Mes]],Tabla6[#Headers],0)))*(1+Catalogos!$L$2)</f>
        <v>#N/A</v>
      </c>
      <c r="N3087" s="283" t="e">
        <f>+(Tabla4[[#This Row],[Precio Descontado]]-Tabla4[[#This Row],[Precio Base]])*Tabla4[[#This Row],[Cantidad]]</f>
        <v>#N/A</v>
      </c>
      <c r="O3087" s="284" t="e">
        <f>++Tabla4[[#This Row],[Utilidad Total]]/Tabla4[[#This Row],[Total]]</f>
        <v>#N/A</v>
      </c>
      <c r="P3087" s="282">
        <f>++Tabla4[[#This Row],[Precio Descontado]]*Tabla4[[#This Row],[Cantidad]]</f>
        <v>16267.1638128</v>
      </c>
      <c r="Q3087" s="282" t="e">
        <f>(INDEX(Tabla6[#All],MATCH(Tabla4[[#This Row],[Producto]],Tabla6[[#All],[PRODUCTO]],0),MATCH(Tabla4[[#This Row],[Mes]],Tabla6[#Headers],0)))</f>
        <v>#N/A</v>
      </c>
      <c r="R3087" s="282" t="e">
        <f>++Tabla4[[#This Row],[Precio Unitario Neto]]-Tabla4[[#This Row],[20.85%]]-Tabla4[[#This Row],[Costo]]</f>
        <v>#N/A</v>
      </c>
      <c r="S3087" s="282" t="e">
        <f>++Tabla4[[#This Row],[U. Bruta Uni]]*Tabla4[[#This Row],[Cantidad]]</f>
        <v>#N/A</v>
      </c>
      <c r="T3087" s="369" t="str">
        <f>VLOOKUP(Tabla4[[#This Row],[Producto]],Tabla6[#All],14,FALSE)</f>
        <v>Termico Solar</v>
      </c>
      <c r="U3087" s="284" t="e">
        <f>(IF(Tabla4[[#This Row],[Familia]]="termico solar",Tabla4[[#This Row],[Utilidad Total]]*6%,Tabla4[[#This Row],[Utilidad Total]]*11.5%))/Tabla4[[#This Row],[Total]]</f>
        <v>#N/A</v>
      </c>
      <c r="V3087" s="282" t="e">
        <f>+Tabla4[[#This Row],[Comisión Calculada]]*Tabla4[[#This Row],[Total]]</f>
        <v>#N/A</v>
      </c>
    </row>
    <row r="3088" spans="1:22" hidden="1" x14ac:dyDescent="0.25">
      <c r="A3088" s="100">
        <v>45808</v>
      </c>
      <c r="B3088" t="str">
        <f t="shared" si="146"/>
        <v>May</v>
      </c>
      <c r="C3088" s="46" t="s">
        <v>280</v>
      </c>
      <c r="F3088" s="366" t="s">
        <v>1911</v>
      </c>
      <c r="G3088" s="46" t="s">
        <v>17</v>
      </c>
      <c r="H3088" s="46">
        <v>3</v>
      </c>
      <c r="I3088" s="51">
        <v>4622.28</v>
      </c>
      <c r="J3088" s="281">
        <f>++Tabla4[[#This Row],[Precio Bruto]]*1.16</f>
        <v>5361.8447999999989</v>
      </c>
      <c r="K3088" s="281">
        <f>+Tabla4[[#This Row],[Precio Unitario Neto]]*Tabla4[[#Headers],[20.85%]]</f>
        <v>1117.9446407999997</v>
      </c>
      <c r="L3088" s="282">
        <f>++Tabla4[[#This Row],[Precio Unitario Neto]]-Tabla4[[#This Row],[20.85%]]</f>
        <v>4243.9001591999995</v>
      </c>
      <c r="M3088" s="282" t="e">
        <f>(INDEX(Tabla6[#All],MATCH(Tabla4[[#This Row],[Producto]],Tabla6[[#All],[PRODUCTO]],0),MATCH(Tabla4[[#This Row],[Mes]],Tabla6[#Headers],0)))*(1+Catalogos!$L$2)</f>
        <v>#N/A</v>
      </c>
      <c r="N3088" s="283" t="e">
        <f>+(Tabla4[[#This Row],[Precio Descontado]]-Tabla4[[#This Row],[Precio Base]])*Tabla4[[#This Row],[Cantidad]]</f>
        <v>#N/A</v>
      </c>
      <c r="O3088" s="284" t="e">
        <f>++Tabla4[[#This Row],[Utilidad Total]]/Tabla4[[#This Row],[Total]]</f>
        <v>#N/A</v>
      </c>
      <c r="P3088" s="282">
        <f>++Tabla4[[#This Row],[Precio Descontado]]*Tabla4[[#This Row],[Cantidad]]</f>
        <v>12731.700477599999</v>
      </c>
      <c r="Q3088" s="282" t="e">
        <f>(INDEX(Tabla6[#All],MATCH(Tabla4[[#This Row],[Producto]],Tabla6[[#All],[PRODUCTO]],0),MATCH(Tabla4[[#This Row],[Mes]],Tabla6[#Headers],0)))</f>
        <v>#N/A</v>
      </c>
      <c r="R3088" s="282" t="e">
        <f>++Tabla4[[#This Row],[Precio Unitario Neto]]-Tabla4[[#This Row],[20.85%]]-Tabla4[[#This Row],[Costo]]</f>
        <v>#N/A</v>
      </c>
      <c r="S3088" s="282" t="e">
        <f>++Tabla4[[#This Row],[U. Bruta Uni]]*Tabla4[[#This Row],[Cantidad]]</f>
        <v>#N/A</v>
      </c>
      <c r="T3088" s="369" t="str">
        <f>VLOOKUP(Tabla4[[#This Row],[Producto]],Tabla6[#All],14,FALSE)</f>
        <v>Termico Solar</v>
      </c>
      <c r="U3088" s="284" t="e">
        <f>(IF(Tabla4[[#This Row],[Familia]]="termico solar",Tabla4[[#This Row],[Utilidad Total]]*6%,Tabla4[[#This Row],[Utilidad Total]]*11.5%))/Tabla4[[#This Row],[Total]]</f>
        <v>#N/A</v>
      </c>
      <c r="V3088" s="282" t="e">
        <f>+Tabla4[[#This Row],[Comisión Calculada]]*Tabla4[[#This Row],[Total]]</f>
        <v>#N/A</v>
      </c>
    </row>
    <row r="3089" spans="1:22" hidden="1" x14ac:dyDescent="0.25">
      <c r="A3089" s="100">
        <v>45808</v>
      </c>
      <c r="B3089" t="str">
        <f t="shared" si="146"/>
        <v>May</v>
      </c>
      <c r="C3089" s="46" t="s">
        <v>280</v>
      </c>
      <c r="F3089" s="366" t="s">
        <v>1911</v>
      </c>
      <c r="G3089" s="46" t="s">
        <v>566</v>
      </c>
      <c r="H3089" s="46">
        <v>1</v>
      </c>
      <c r="I3089" s="51">
        <v>2109.4499999999998</v>
      </c>
      <c r="J3089" s="281">
        <f>++Tabla4[[#This Row],[Precio Bruto]]*1.16</f>
        <v>2446.9619999999995</v>
      </c>
      <c r="K3089" s="281">
        <f>+Tabla4[[#This Row],[Precio Unitario Neto]]*Tabla4[[#Headers],[20.85%]]</f>
        <v>510.19157699999988</v>
      </c>
      <c r="L3089" s="282">
        <f>++Tabla4[[#This Row],[Precio Unitario Neto]]-Tabla4[[#This Row],[20.85%]]</f>
        <v>1936.7704229999997</v>
      </c>
      <c r="M3089" s="282" t="e">
        <f>(INDEX(Tabla6[#All],MATCH(Tabla4[[#This Row],[Producto]],Tabla6[[#All],[PRODUCTO]],0),MATCH(Tabla4[[#This Row],[Mes]],Tabla6[#Headers],0)))*(1+Catalogos!$L$2)</f>
        <v>#N/A</v>
      </c>
      <c r="N3089" s="283" t="e">
        <f>+(Tabla4[[#This Row],[Precio Descontado]]-Tabla4[[#This Row],[Precio Base]])*Tabla4[[#This Row],[Cantidad]]</f>
        <v>#N/A</v>
      </c>
      <c r="O3089" s="284" t="e">
        <f>++Tabla4[[#This Row],[Utilidad Total]]/Tabla4[[#This Row],[Total]]</f>
        <v>#N/A</v>
      </c>
      <c r="P3089" s="282">
        <f>++Tabla4[[#This Row],[Precio Descontado]]*Tabla4[[#This Row],[Cantidad]]</f>
        <v>1936.7704229999997</v>
      </c>
      <c r="Q3089" s="282" t="e">
        <f>(INDEX(Tabla6[#All],MATCH(Tabla4[[#This Row],[Producto]],Tabla6[[#All],[PRODUCTO]],0),MATCH(Tabla4[[#This Row],[Mes]],Tabla6[#Headers],0)))</f>
        <v>#N/A</v>
      </c>
      <c r="R3089" s="282" t="e">
        <f>++Tabla4[[#This Row],[Precio Unitario Neto]]-Tabla4[[#This Row],[20.85%]]-Tabla4[[#This Row],[Costo]]</f>
        <v>#N/A</v>
      </c>
      <c r="S3089" s="282" t="e">
        <f>++Tabla4[[#This Row],[U. Bruta Uni]]*Tabla4[[#This Row],[Cantidad]]</f>
        <v>#N/A</v>
      </c>
      <c r="T3089" s="369" t="str">
        <f>VLOOKUP(Tabla4[[#This Row],[Producto]],Tabla6[#All],14,FALSE)</f>
        <v>Termico Solar</v>
      </c>
      <c r="U3089" s="284" t="e">
        <f>(IF(Tabla4[[#This Row],[Familia]]="termico solar",Tabla4[[#This Row],[Utilidad Total]]*6%,Tabla4[[#This Row],[Utilidad Total]]*11.5%))/Tabla4[[#This Row],[Total]]</f>
        <v>#N/A</v>
      </c>
      <c r="V3089" s="282" t="e">
        <f>+Tabla4[[#This Row],[Comisión Calculada]]*Tabla4[[#This Row],[Total]]</f>
        <v>#N/A</v>
      </c>
    </row>
    <row r="3090" spans="1:22" hidden="1" x14ac:dyDescent="0.25">
      <c r="A3090" s="100">
        <v>45808</v>
      </c>
      <c r="B3090" t="str">
        <f t="shared" si="146"/>
        <v>May</v>
      </c>
      <c r="C3090" s="46" t="s">
        <v>280</v>
      </c>
      <c r="F3090" s="366" t="s">
        <v>1911</v>
      </c>
      <c r="G3090" s="46" t="s">
        <v>16</v>
      </c>
      <c r="H3090" s="46">
        <v>2</v>
      </c>
      <c r="I3090" s="51">
        <v>4103.8500000000004</v>
      </c>
      <c r="J3090" s="281">
        <f>++Tabla4[[#This Row],[Precio Bruto]]*1.16</f>
        <v>4760.4660000000003</v>
      </c>
      <c r="K3090" s="281">
        <f>+Tabla4[[#This Row],[Precio Unitario Neto]]*Tabla4[[#Headers],[20.85%]]</f>
        <v>992.55716100000006</v>
      </c>
      <c r="L3090" s="282">
        <f>++Tabla4[[#This Row],[Precio Unitario Neto]]-Tabla4[[#This Row],[20.85%]]</f>
        <v>3767.9088390000002</v>
      </c>
      <c r="M3090" s="282" t="e">
        <f>(INDEX(Tabla6[#All],MATCH(Tabla4[[#This Row],[Producto]],Tabla6[[#All],[PRODUCTO]],0),MATCH(Tabla4[[#This Row],[Mes]],Tabla6[#Headers],0)))*(1+Catalogos!$L$2)</f>
        <v>#N/A</v>
      </c>
      <c r="N3090" s="283" t="e">
        <f>+(Tabla4[[#This Row],[Precio Descontado]]-Tabla4[[#This Row],[Precio Base]])*Tabla4[[#This Row],[Cantidad]]</f>
        <v>#N/A</v>
      </c>
      <c r="O3090" s="284" t="e">
        <f>++Tabla4[[#This Row],[Utilidad Total]]/Tabla4[[#This Row],[Total]]</f>
        <v>#N/A</v>
      </c>
      <c r="P3090" s="282">
        <f>++Tabla4[[#This Row],[Precio Descontado]]*Tabla4[[#This Row],[Cantidad]]</f>
        <v>7535.8176780000003</v>
      </c>
      <c r="Q3090" s="282" t="e">
        <f>(INDEX(Tabla6[#All],MATCH(Tabla4[[#This Row],[Producto]],Tabla6[[#All],[PRODUCTO]],0),MATCH(Tabla4[[#This Row],[Mes]],Tabla6[#Headers],0)))</f>
        <v>#N/A</v>
      </c>
      <c r="R3090" s="282" t="e">
        <f>++Tabla4[[#This Row],[Precio Unitario Neto]]-Tabla4[[#This Row],[20.85%]]-Tabla4[[#This Row],[Costo]]</f>
        <v>#N/A</v>
      </c>
      <c r="S3090" s="282" t="e">
        <f>++Tabla4[[#This Row],[U. Bruta Uni]]*Tabla4[[#This Row],[Cantidad]]</f>
        <v>#N/A</v>
      </c>
      <c r="T3090" s="369" t="str">
        <f>VLOOKUP(Tabla4[[#This Row],[Producto]],Tabla6[#All],14,FALSE)</f>
        <v>Termico Solar</v>
      </c>
      <c r="U3090" s="284" t="e">
        <f>(IF(Tabla4[[#This Row],[Familia]]="termico solar",Tabla4[[#This Row],[Utilidad Total]]*6%,Tabla4[[#This Row],[Utilidad Total]]*11.5%))/Tabla4[[#This Row],[Total]]</f>
        <v>#N/A</v>
      </c>
      <c r="V3090" s="282" t="e">
        <f>+Tabla4[[#This Row],[Comisión Calculada]]*Tabla4[[#This Row],[Total]]</f>
        <v>#N/A</v>
      </c>
    </row>
    <row r="3091" spans="1:22" hidden="1" x14ac:dyDescent="0.25">
      <c r="A3091" s="100">
        <v>45808</v>
      </c>
      <c r="B3091" t="str">
        <f t="shared" si="146"/>
        <v>May</v>
      </c>
      <c r="C3091" s="46" t="s">
        <v>280</v>
      </c>
      <c r="F3091" s="366" t="s">
        <v>1912</v>
      </c>
      <c r="G3091" s="46" t="s">
        <v>208</v>
      </c>
      <c r="H3091" s="46">
        <v>45</v>
      </c>
      <c r="I3091" s="51">
        <v>140.63</v>
      </c>
      <c r="J3091" s="281">
        <f>++Tabla4[[#This Row],[Precio Bruto]]*1.16</f>
        <v>163.13079999999999</v>
      </c>
      <c r="K3091" s="281">
        <f>+Tabla4[[#This Row],[Precio Unitario Neto]]*Tabla4[[#Headers],[20.85%]]</f>
        <v>34.012771799999996</v>
      </c>
      <c r="L3091" s="282">
        <f>++Tabla4[[#This Row],[Precio Unitario Neto]]-Tabla4[[#This Row],[20.85%]]</f>
        <v>129.1180282</v>
      </c>
      <c r="M3091" s="282" t="e">
        <f>(INDEX(Tabla6[#All],MATCH(Tabla4[[#This Row],[Producto]],Tabla6[[#All],[PRODUCTO]],0),MATCH(Tabla4[[#This Row],[Mes]],Tabla6[#Headers],0)))*(1+Catalogos!$L$2)</f>
        <v>#N/A</v>
      </c>
      <c r="N3091" s="283" t="e">
        <f>+(Tabla4[[#This Row],[Precio Descontado]]-Tabla4[[#This Row],[Precio Base]])*Tabla4[[#This Row],[Cantidad]]</f>
        <v>#N/A</v>
      </c>
      <c r="O3091" s="284" t="e">
        <f>++Tabla4[[#This Row],[Utilidad Total]]/Tabla4[[#This Row],[Total]]</f>
        <v>#N/A</v>
      </c>
      <c r="P3091" s="282">
        <f>++Tabla4[[#This Row],[Precio Descontado]]*Tabla4[[#This Row],[Cantidad]]</f>
        <v>5810.3112689999998</v>
      </c>
      <c r="Q3091" s="282" t="e">
        <f>(INDEX(Tabla6[#All],MATCH(Tabla4[[#This Row],[Producto]],Tabla6[[#All],[PRODUCTO]],0),MATCH(Tabla4[[#This Row],[Mes]],Tabla6[#Headers],0)))</f>
        <v>#N/A</v>
      </c>
      <c r="R3091" s="282" t="e">
        <f>++Tabla4[[#This Row],[Precio Unitario Neto]]-Tabla4[[#This Row],[20.85%]]-Tabla4[[#This Row],[Costo]]</f>
        <v>#N/A</v>
      </c>
      <c r="S3091" s="282" t="e">
        <f>++Tabla4[[#This Row],[U. Bruta Uni]]*Tabla4[[#This Row],[Cantidad]]</f>
        <v>#N/A</v>
      </c>
      <c r="T3091" s="369" t="str">
        <f>VLOOKUP(Tabla4[[#This Row],[Producto]],Tabla6[#All],14,FALSE)</f>
        <v>Termico Solar</v>
      </c>
      <c r="U3091" s="284" t="e">
        <f>(IF(Tabla4[[#This Row],[Familia]]="termico solar",Tabla4[[#This Row],[Utilidad Total]]*6%,Tabla4[[#This Row],[Utilidad Total]]*11.5%))/Tabla4[[#This Row],[Total]]</f>
        <v>#N/A</v>
      </c>
      <c r="V3091" s="282" t="e">
        <f>+Tabla4[[#This Row],[Comisión Calculada]]*Tabla4[[#This Row],[Total]]</f>
        <v>#N/A</v>
      </c>
    </row>
    <row r="3092" spans="1:22" hidden="1" x14ac:dyDescent="0.25">
      <c r="A3092" s="100">
        <v>45808</v>
      </c>
      <c r="B3092" t="str">
        <f t="shared" si="146"/>
        <v>May</v>
      </c>
      <c r="C3092" s="46" t="s">
        <v>280</v>
      </c>
      <c r="F3092" s="366" t="s">
        <v>1912</v>
      </c>
      <c r="G3092" s="46" t="s">
        <v>394</v>
      </c>
      <c r="H3092" s="46">
        <v>16</v>
      </c>
      <c r="I3092" s="51">
        <v>224.29</v>
      </c>
      <c r="J3092" s="281">
        <f>++Tabla4[[#This Row],[Precio Bruto]]*1.16</f>
        <v>260.1764</v>
      </c>
      <c r="K3092" s="281">
        <f>+Tabla4[[#This Row],[Precio Unitario Neto]]*Tabla4[[#Headers],[20.85%]]</f>
        <v>54.246779400000001</v>
      </c>
      <c r="L3092" s="282">
        <f>++Tabla4[[#This Row],[Precio Unitario Neto]]-Tabla4[[#This Row],[20.85%]]</f>
        <v>205.92962059999999</v>
      </c>
      <c r="M3092" s="282" t="e">
        <f>(INDEX(Tabla6[#All],MATCH(Tabla4[[#This Row],[Producto]],Tabla6[[#All],[PRODUCTO]],0),MATCH(Tabla4[[#This Row],[Mes]],Tabla6[#Headers],0)))*(1+Catalogos!$L$2)</f>
        <v>#N/A</v>
      </c>
      <c r="N3092" s="283" t="e">
        <f>+(Tabla4[[#This Row],[Precio Descontado]]-Tabla4[[#This Row],[Precio Base]])*Tabla4[[#This Row],[Cantidad]]</f>
        <v>#N/A</v>
      </c>
      <c r="O3092" s="284" t="e">
        <f>++Tabla4[[#This Row],[Utilidad Total]]/Tabla4[[#This Row],[Total]]</f>
        <v>#N/A</v>
      </c>
      <c r="P3092" s="282">
        <f>++Tabla4[[#This Row],[Precio Descontado]]*Tabla4[[#This Row],[Cantidad]]</f>
        <v>3294.8739295999999</v>
      </c>
      <c r="Q3092" s="282" t="e">
        <f>(INDEX(Tabla6[#All],MATCH(Tabla4[[#This Row],[Producto]],Tabla6[[#All],[PRODUCTO]],0),MATCH(Tabla4[[#This Row],[Mes]],Tabla6[#Headers],0)))</f>
        <v>#N/A</v>
      </c>
      <c r="R3092" s="282" t="e">
        <f>++Tabla4[[#This Row],[Precio Unitario Neto]]-Tabla4[[#This Row],[20.85%]]-Tabla4[[#This Row],[Costo]]</f>
        <v>#N/A</v>
      </c>
      <c r="S3092" s="282" t="e">
        <f>++Tabla4[[#This Row],[U. Bruta Uni]]*Tabla4[[#This Row],[Cantidad]]</f>
        <v>#N/A</v>
      </c>
      <c r="T3092" s="369" t="str">
        <f>VLOOKUP(Tabla4[[#This Row],[Producto]],Tabla6[#All],14,FALSE)</f>
        <v>Termico Solar</v>
      </c>
      <c r="U3092" s="284" t="e">
        <f>(IF(Tabla4[[#This Row],[Familia]]="termico solar",Tabla4[[#This Row],[Utilidad Total]]*6%,Tabla4[[#This Row],[Utilidad Total]]*11.5%))/Tabla4[[#This Row],[Total]]</f>
        <v>#N/A</v>
      </c>
      <c r="V3092" s="282" t="e">
        <f>+Tabla4[[#This Row],[Comisión Calculada]]*Tabla4[[#This Row],[Total]]</f>
        <v>#N/A</v>
      </c>
    </row>
    <row r="3093" spans="1:22" hidden="1" x14ac:dyDescent="0.25">
      <c r="A3093" s="100">
        <v>45808</v>
      </c>
      <c r="B3093" t="str">
        <f t="shared" si="146"/>
        <v>May</v>
      </c>
      <c r="C3093" s="46" t="s">
        <v>280</v>
      </c>
      <c r="F3093" s="366" t="s">
        <v>1912</v>
      </c>
      <c r="G3093" s="46" t="s">
        <v>555</v>
      </c>
      <c r="H3093" s="46">
        <v>8</v>
      </c>
      <c r="I3093" s="51">
        <v>389.47</v>
      </c>
      <c r="J3093" s="281">
        <f>++Tabla4[[#This Row],[Precio Bruto]]*1.16</f>
        <v>451.78519999999997</v>
      </c>
      <c r="K3093" s="281">
        <f>+Tabla4[[#This Row],[Precio Unitario Neto]]*Tabla4[[#Headers],[20.85%]]</f>
        <v>94.197214199999991</v>
      </c>
      <c r="L3093" s="282">
        <f>++Tabla4[[#This Row],[Precio Unitario Neto]]-Tabla4[[#This Row],[20.85%]]</f>
        <v>357.58798579999996</v>
      </c>
      <c r="M3093" s="282" t="e">
        <f>(INDEX(Tabla6[#All],MATCH(Tabla4[[#This Row],[Producto]],Tabla6[[#All],[PRODUCTO]],0),MATCH(Tabla4[[#This Row],[Mes]],Tabla6[#Headers],0)))*(1+Catalogos!$L$2)</f>
        <v>#N/A</v>
      </c>
      <c r="N3093" s="283" t="e">
        <f>+(Tabla4[[#This Row],[Precio Descontado]]-Tabla4[[#This Row],[Precio Base]])*Tabla4[[#This Row],[Cantidad]]</f>
        <v>#N/A</v>
      </c>
      <c r="O3093" s="284" t="e">
        <f>++Tabla4[[#This Row],[Utilidad Total]]/Tabla4[[#This Row],[Total]]</f>
        <v>#N/A</v>
      </c>
      <c r="P3093" s="282">
        <f>++Tabla4[[#This Row],[Precio Descontado]]*Tabla4[[#This Row],[Cantidad]]</f>
        <v>2860.7038863999996</v>
      </c>
      <c r="Q3093" s="282" t="e">
        <f>(INDEX(Tabla6[#All],MATCH(Tabla4[[#This Row],[Producto]],Tabla6[[#All],[PRODUCTO]],0),MATCH(Tabla4[[#This Row],[Mes]],Tabla6[#Headers],0)))</f>
        <v>#N/A</v>
      </c>
      <c r="R3093" s="282" t="e">
        <f>++Tabla4[[#This Row],[Precio Unitario Neto]]-Tabla4[[#This Row],[20.85%]]-Tabla4[[#This Row],[Costo]]</f>
        <v>#N/A</v>
      </c>
      <c r="S3093" s="282" t="e">
        <f>++Tabla4[[#This Row],[U. Bruta Uni]]*Tabla4[[#This Row],[Cantidad]]</f>
        <v>#N/A</v>
      </c>
      <c r="T3093" s="369" t="str">
        <f>VLOOKUP(Tabla4[[#This Row],[Producto]],Tabla6[#All],14,FALSE)</f>
        <v>Termico Solar</v>
      </c>
      <c r="U3093" s="284" t="e">
        <f>(IF(Tabla4[[#This Row],[Familia]]="termico solar",Tabla4[[#This Row],[Utilidad Total]]*6%,Tabla4[[#This Row],[Utilidad Total]]*11.5%))/Tabla4[[#This Row],[Total]]</f>
        <v>#N/A</v>
      </c>
      <c r="V3093" s="282" t="e">
        <f>+Tabla4[[#This Row],[Comisión Calculada]]*Tabla4[[#This Row],[Total]]</f>
        <v>#N/A</v>
      </c>
    </row>
    <row r="3094" spans="1:22" hidden="1" x14ac:dyDescent="0.25">
      <c r="A3094" s="100">
        <v>45808</v>
      </c>
      <c r="B3094" t="str">
        <f t="shared" si="146"/>
        <v>May</v>
      </c>
      <c r="C3094" s="46" t="s">
        <v>280</v>
      </c>
      <c r="F3094" s="366" t="s">
        <v>1912</v>
      </c>
      <c r="G3094" s="46" t="s">
        <v>208</v>
      </c>
      <c r="H3094" s="46">
        <v>2</v>
      </c>
      <c r="I3094" s="51">
        <v>189.75</v>
      </c>
      <c r="J3094" s="281">
        <f>++Tabla4[[#This Row],[Precio Bruto]]*1.16</f>
        <v>220.10999999999999</v>
      </c>
      <c r="K3094" s="281">
        <f>+Tabla4[[#This Row],[Precio Unitario Neto]]*Tabla4[[#Headers],[20.85%]]</f>
        <v>45.892934999999994</v>
      </c>
      <c r="L3094" s="282">
        <f>++Tabla4[[#This Row],[Precio Unitario Neto]]-Tabla4[[#This Row],[20.85%]]</f>
        <v>174.21706499999999</v>
      </c>
      <c r="M3094" s="282" t="e">
        <f>(INDEX(Tabla6[#All],MATCH(Tabla4[[#This Row],[Producto]],Tabla6[[#All],[PRODUCTO]],0),MATCH(Tabla4[[#This Row],[Mes]],Tabla6[#Headers],0)))*(1+Catalogos!$L$2)</f>
        <v>#N/A</v>
      </c>
      <c r="N3094" s="283" t="e">
        <f>+(Tabla4[[#This Row],[Precio Descontado]]-Tabla4[[#This Row],[Precio Base]])*Tabla4[[#This Row],[Cantidad]]</f>
        <v>#N/A</v>
      </c>
      <c r="O3094" s="284" t="e">
        <f>++Tabla4[[#This Row],[Utilidad Total]]/Tabla4[[#This Row],[Total]]</f>
        <v>#N/A</v>
      </c>
      <c r="P3094" s="282">
        <f>++Tabla4[[#This Row],[Precio Descontado]]*Tabla4[[#This Row],[Cantidad]]</f>
        <v>348.43412999999998</v>
      </c>
      <c r="Q3094" s="282" t="e">
        <f>(INDEX(Tabla6[#All],MATCH(Tabla4[[#This Row],[Producto]],Tabla6[[#All],[PRODUCTO]],0),MATCH(Tabla4[[#This Row],[Mes]],Tabla6[#Headers],0)))</f>
        <v>#N/A</v>
      </c>
      <c r="R3094" s="282" t="e">
        <f>++Tabla4[[#This Row],[Precio Unitario Neto]]-Tabla4[[#This Row],[20.85%]]-Tabla4[[#This Row],[Costo]]</f>
        <v>#N/A</v>
      </c>
      <c r="S3094" s="282" t="e">
        <f>++Tabla4[[#This Row],[U. Bruta Uni]]*Tabla4[[#This Row],[Cantidad]]</f>
        <v>#N/A</v>
      </c>
      <c r="T3094" s="369" t="str">
        <f>VLOOKUP(Tabla4[[#This Row],[Producto]],Tabla6[#All],14,FALSE)</f>
        <v>Termico Solar</v>
      </c>
      <c r="U3094" s="284" t="e">
        <f>(IF(Tabla4[[#This Row],[Familia]]="termico solar",Tabla4[[#This Row],[Utilidad Total]]*6%,Tabla4[[#This Row],[Utilidad Total]]*11.5%))/Tabla4[[#This Row],[Total]]</f>
        <v>#N/A</v>
      </c>
      <c r="V3094" s="282" t="e">
        <f>+Tabla4[[#This Row],[Comisión Calculada]]*Tabla4[[#This Row],[Total]]</f>
        <v>#N/A</v>
      </c>
    </row>
    <row r="3095" spans="1:22" hidden="1" x14ac:dyDescent="0.25">
      <c r="A3095" s="100">
        <v>45808</v>
      </c>
      <c r="B3095" t="str">
        <f t="shared" ref="B3095:B3103" si="147">TEXT(A3095, "mmmm")</f>
        <v>May</v>
      </c>
      <c r="C3095" s="46" t="s">
        <v>280</v>
      </c>
      <c r="F3095" s="366" t="s">
        <v>1913</v>
      </c>
      <c r="G3095" s="46" t="s">
        <v>17</v>
      </c>
      <c r="H3095" s="46">
        <v>1</v>
      </c>
      <c r="I3095" s="51">
        <v>4622.28</v>
      </c>
      <c r="J3095" s="281">
        <f>++Tabla4[[#This Row],[Precio Bruto]]*1.16</f>
        <v>5361.8447999999989</v>
      </c>
      <c r="K3095" s="281">
        <f>+Tabla4[[#This Row],[Precio Unitario Neto]]*Tabla4[[#Headers],[20.85%]]</f>
        <v>1117.9446407999997</v>
      </c>
      <c r="L3095" s="282">
        <f>++Tabla4[[#This Row],[Precio Unitario Neto]]-Tabla4[[#This Row],[20.85%]]</f>
        <v>4243.9001591999995</v>
      </c>
      <c r="M3095" s="282" t="e">
        <f>(INDEX(Tabla6[#All],MATCH(Tabla4[[#This Row],[Producto]],Tabla6[[#All],[PRODUCTO]],0),MATCH(Tabla4[[#This Row],[Mes]],Tabla6[#Headers],0)))*(1+Catalogos!$L$2)</f>
        <v>#N/A</v>
      </c>
      <c r="N3095" s="283" t="e">
        <f>+(Tabla4[[#This Row],[Precio Descontado]]-Tabla4[[#This Row],[Precio Base]])*Tabla4[[#This Row],[Cantidad]]</f>
        <v>#N/A</v>
      </c>
      <c r="O3095" s="284" t="e">
        <f>++Tabla4[[#This Row],[Utilidad Total]]/Tabla4[[#This Row],[Total]]</f>
        <v>#N/A</v>
      </c>
      <c r="P3095" s="282">
        <f>++Tabla4[[#This Row],[Precio Descontado]]*Tabla4[[#This Row],[Cantidad]]</f>
        <v>4243.9001591999995</v>
      </c>
      <c r="Q3095" s="282" t="e">
        <f>(INDEX(Tabla6[#All],MATCH(Tabla4[[#This Row],[Producto]],Tabla6[[#All],[PRODUCTO]],0),MATCH(Tabla4[[#This Row],[Mes]],Tabla6[#Headers],0)))</f>
        <v>#N/A</v>
      </c>
      <c r="R3095" s="282" t="e">
        <f>++Tabla4[[#This Row],[Precio Unitario Neto]]-Tabla4[[#This Row],[20.85%]]-Tabla4[[#This Row],[Costo]]</f>
        <v>#N/A</v>
      </c>
      <c r="S3095" s="282" t="e">
        <f>++Tabla4[[#This Row],[U. Bruta Uni]]*Tabla4[[#This Row],[Cantidad]]</f>
        <v>#N/A</v>
      </c>
      <c r="T3095" s="369" t="str">
        <f>VLOOKUP(Tabla4[[#This Row],[Producto]],Tabla6[#All],14,FALSE)</f>
        <v>Termico Solar</v>
      </c>
      <c r="U3095" s="284" t="e">
        <f>(IF(Tabla4[[#This Row],[Familia]]="termico solar",Tabla4[[#This Row],[Utilidad Total]]*6%,Tabla4[[#This Row],[Utilidad Total]]*11.5%))/Tabla4[[#This Row],[Total]]</f>
        <v>#N/A</v>
      </c>
      <c r="V3095" s="282" t="e">
        <f>+Tabla4[[#This Row],[Comisión Calculada]]*Tabla4[[#This Row],[Total]]</f>
        <v>#N/A</v>
      </c>
    </row>
    <row r="3096" spans="1:22" hidden="1" x14ac:dyDescent="0.25">
      <c r="A3096" s="100">
        <v>45808</v>
      </c>
      <c r="B3096" t="str">
        <f t="shared" si="147"/>
        <v>May</v>
      </c>
      <c r="C3096" s="46" t="s">
        <v>280</v>
      </c>
      <c r="F3096" s="366" t="s">
        <v>1913</v>
      </c>
      <c r="G3096" s="46" t="s">
        <v>18</v>
      </c>
      <c r="H3096" s="46">
        <v>2</v>
      </c>
      <c r="I3096" s="51">
        <v>5367.65</v>
      </c>
      <c r="J3096" s="281">
        <f>++Tabla4[[#This Row],[Precio Bruto]]*1.16</f>
        <v>6226.4739999999993</v>
      </c>
      <c r="K3096" s="281">
        <f>+Tabla4[[#This Row],[Precio Unitario Neto]]*Tabla4[[#Headers],[20.85%]]</f>
        <v>1298.2198289999999</v>
      </c>
      <c r="L3096" s="282">
        <f>++Tabla4[[#This Row],[Precio Unitario Neto]]-Tabla4[[#This Row],[20.85%]]</f>
        <v>4928.2541709999996</v>
      </c>
      <c r="M3096" s="282" t="e">
        <f>(INDEX(Tabla6[#All],MATCH(Tabla4[[#This Row],[Producto]],Tabla6[[#All],[PRODUCTO]],0),MATCH(Tabla4[[#This Row],[Mes]],Tabla6[#Headers],0)))*(1+Catalogos!$L$2)</f>
        <v>#N/A</v>
      </c>
      <c r="N3096" s="283" t="e">
        <f>+(Tabla4[[#This Row],[Precio Descontado]]-Tabla4[[#This Row],[Precio Base]])*Tabla4[[#This Row],[Cantidad]]</f>
        <v>#N/A</v>
      </c>
      <c r="O3096" s="284" t="e">
        <f>++Tabla4[[#This Row],[Utilidad Total]]/Tabla4[[#This Row],[Total]]</f>
        <v>#N/A</v>
      </c>
      <c r="P3096" s="282">
        <f>++Tabla4[[#This Row],[Precio Descontado]]*Tabla4[[#This Row],[Cantidad]]</f>
        <v>9856.5083419999992</v>
      </c>
      <c r="Q3096" s="282" t="e">
        <f>(INDEX(Tabla6[#All],MATCH(Tabla4[[#This Row],[Producto]],Tabla6[[#All],[PRODUCTO]],0),MATCH(Tabla4[[#This Row],[Mes]],Tabla6[#Headers],0)))</f>
        <v>#N/A</v>
      </c>
      <c r="R3096" s="282" t="e">
        <f>++Tabla4[[#This Row],[Precio Unitario Neto]]-Tabla4[[#This Row],[20.85%]]-Tabla4[[#This Row],[Costo]]</f>
        <v>#N/A</v>
      </c>
      <c r="S3096" s="282" t="e">
        <f>++Tabla4[[#This Row],[U. Bruta Uni]]*Tabla4[[#This Row],[Cantidad]]</f>
        <v>#N/A</v>
      </c>
      <c r="T3096" s="369" t="str">
        <f>VLOOKUP(Tabla4[[#This Row],[Producto]],Tabla6[#All],14,FALSE)</f>
        <v>Termico Solar</v>
      </c>
      <c r="U3096" s="284" t="e">
        <f>(IF(Tabla4[[#This Row],[Familia]]="termico solar",Tabla4[[#This Row],[Utilidad Total]]*6%,Tabla4[[#This Row],[Utilidad Total]]*11.5%))/Tabla4[[#This Row],[Total]]</f>
        <v>#N/A</v>
      </c>
      <c r="V3096" s="282" t="e">
        <f>+Tabla4[[#This Row],[Comisión Calculada]]*Tabla4[[#This Row],[Total]]</f>
        <v>#N/A</v>
      </c>
    </row>
    <row r="3097" spans="1:22" hidden="1" x14ac:dyDescent="0.25">
      <c r="A3097" s="100">
        <v>45808</v>
      </c>
      <c r="B3097" t="str">
        <f t="shared" si="147"/>
        <v>May</v>
      </c>
      <c r="C3097" s="46" t="s">
        <v>280</v>
      </c>
      <c r="F3097" s="366" t="s">
        <v>1913</v>
      </c>
      <c r="G3097" s="46" t="s">
        <v>20</v>
      </c>
      <c r="H3097" s="46">
        <v>10</v>
      </c>
      <c r="I3097" s="51">
        <v>7751.9800000000005</v>
      </c>
      <c r="J3097" s="281">
        <f>++Tabla4[[#This Row],[Precio Bruto]]*1.16</f>
        <v>8992.2968000000001</v>
      </c>
      <c r="K3097" s="281">
        <f>+Tabla4[[#This Row],[Precio Unitario Neto]]*Tabla4[[#Headers],[20.85%]]</f>
        <v>1874.8938828</v>
      </c>
      <c r="L3097" s="282">
        <f>++Tabla4[[#This Row],[Precio Unitario Neto]]-Tabla4[[#This Row],[20.85%]]</f>
        <v>7117.4029172</v>
      </c>
      <c r="M3097" s="282" t="e">
        <f>(INDEX(Tabla6[#All],MATCH(Tabla4[[#This Row],[Producto]],Tabla6[[#All],[PRODUCTO]],0),MATCH(Tabla4[[#This Row],[Mes]],Tabla6[#Headers],0)))*(1+Catalogos!$L$2)</f>
        <v>#N/A</v>
      </c>
      <c r="N3097" s="283" t="e">
        <f>+(Tabla4[[#This Row],[Precio Descontado]]-Tabla4[[#This Row],[Precio Base]])*Tabla4[[#This Row],[Cantidad]]</f>
        <v>#N/A</v>
      </c>
      <c r="O3097" s="284" t="e">
        <f>++Tabla4[[#This Row],[Utilidad Total]]/Tabla4[[#This Row],[Total]]</f>
        <v>#N/A</v>
      </c>
      <c r="P3097" s="282">
        <f>++Tabla4[[#This Row],[Precio Descontado]]*Tabla4[[#This Row],[Cantidad]]</f>
        <v>71174.029171999995</v>
      </c>
      <c r="Q3097" s="282" t="e">
        <f>(INDEX(Tabla6[#All],MATCH(Tabla4[[#This Row],[Producto]],Tabla6[[#All],[PRODUCTO]],0),MATCH(Tabla4[[#This Row],[Mes]],Tabla6[#Headers],0)))</f>
        <v>#N/A</v>
      </c>
      <c r="R3097" s="282" t="e">
        <f>++Tabla4[[#This Row],[Precio Unitario Neto]]-Tabla4[[#This Row],[20.85%]]-Tabla4[[#This Row],[Costo]]</f>
        <v>#N/A</v>
      </c>
      <c r="S3097" s="282" t="e">
        <f>++Tabla4[[#This Row],[U. Bruta Uni]]*Tabla4[[#This Row],[Cantidad]]</f>
        <v>#N/A</v>
      </c>
      <c r="T3097" s="369" t="str">
        <f>VLOOKUP(Tabla4[[#This Row],[Producto]],Tabla6[#All],14,FALSE)</f>
        <v>Termico Solar</v>
      </c>
      <c r="U3097" s="284" t="e">
        <f>(IF(Tabla4[[#This Row],[Familia]]="termico solar",Tabla4[[#This Row],[Utilidad Total]]*6%,Tabla4[[#This Row],[Utilidad Total]]*11.5%))/Tabla4[[#This Row],[Total]]</f>
        <v>#N/A</v>
      </c>
      <c r="V3097" s="282" t="e">
        <f>+Tabla4[[#This Row],[Comisión Calculada]]*Tabla4[[#This Row],[Total]]</f>
        <v>#N/A</v>
      </c>
    </row>
    <row r="3098" spans="1:22" hidden="1" x14ac:dyDescent="0.25">
      <c r="A3098" s="100">
        <v>45808</v>
      </c>
      <c r="B3098" t="str">
        <f t="shared" si="147"/>
        <v>May</v>
      </c>
      <c r="C3098" s="46" t="s">
        <v>280</v>
      </c>
      <c r="F3098" s="366" t="s">
        <v>1913</v>
      </c>
      <c r="G3098" s="46" t="s">
        <v>21</v>
      </c>
      <c r="H3098" s="46">
        <v>6</v>
      </c>
      <c r="I3098" s="51">
        <v>9282.19</v>
      </c>
      <c r="J3098" s="281">
        <f>++Tabla4[[#This Row],[Precio Bruto]]*1.16</f>
        <v>10767.340399999999</v>
      </c>
      <c r="K3098" s="281">
        <f>+Tabla4[[#This Row],[Precio Unitario Neto]]*Tabla4[[#Headers],[20.85%]]</f>
        <v>2244.9904733999997</v>
      </c>
      <c r="L3098" s="282">
        <f>++Tabla4[[#This Row],[Precio Unitario Neto]]-Tabla4[[#This Row],[20.85%]]</f>
        <v>8522.3499265999999</v>
      </c>
      <c r="M3098" s="282" t="e">
        <f>(INDEX(Tabla6[#All],MATCH(Tabla4[[#This Row],[Producto]],Tabla6[[#All],[PRODUCTO]],0),MATCH(Tabla4[[#This Row],[Mes]],Tabla6[#Headers],0)))*(1+Catalogos!$L$2)</f>
        <v>#N/A</v>
      </c>
      <c r="N3098" s="283" t="e">
        <f>+(Tabla4[[#This Row],[Precio Descontado]]-Tabla4[[#This Row],[Precio Base]])*Tabla4[[#This Row],[Cantidad]]</f>
        <v>#N/A</v>
      </c>
      <c r="O3098" s="284" t="e">
        <f>++Tabla4[[#This Row],[Utilidad Total]]/Tabla4[[#This Row],[Total]]</f>
        <v>#N/A</v>
      </c>
      <c r="P3098" s="282">
        <f>++Tabla4[[#This Row],[Precio Descontado]]*Tabla4[[#This Row],[Cantidad]]</f>
        <v>51134.099559599999</v>
      </c>
      <c r="Q3098" s="282" t="e">
        <f>(INDEX(Tabla6[#All],MATCH(Tabla4[[#This Row],[Producto]],Tabla6[[#All],[PRODUCTO]],0),MATCH(Tabla4[[#This Row],[Mes]],Tabla6[#Headers],0)))</f>
        <v>#N/A</v>
      </c>
      <c r="R3098" s="282" t="e">
        <f>++Tabla4[[#This Row],[Precio Unitario Neto]]-Tabla4[[#This Row],[20.85%]]-Tabla4[[#This Row],[Costo]]</f>
        <v>#N/A</v>
      </c>
      <c r="S3098" s="282" t="e">
        <f>++Tabla4[[#This Row],[U. Bruta Uni]]*Tabla4[[#This Row],[Cantidad]]</f>
        <v>#N/A</v>
      </c>
      <c r="T3098" s="369" t="str">
        <f>VLOOKUP(Tabla4[[#This Row],[Producto]],Tabla6[#All],14,FALSE)</f>
        <v>Termico Solar</v>
      </c>
      <c r="U3098" s="284" t="e">
        <f>(IF(Tabla4[[#This Row],[Familia]]="termico solar",Tabla4[[#This Row],[Utilidad Total]]*6%,Tabla4[[#This Row],[Utilidad Total]]*11.5%))/Tabla4[[#This Row],[Total]]</f>
        <v>#N/A</v>
      </c>
      <c r="V3098" s="282" t="e">
        <f>+Tabla4[[#This Row],[Comisión Calculada]]*Tabla4[[#This Row],[Total]]</f>
        <v>#N/A</v>
      </c>
    </row>
    <row r="3099" spans="1:22" hidden="1" x14ac:dyDescent="0.25">
      <c r="A3099" s="100">
        <v>45808</v>
      </c>
      <c r="B3099" t="str">
        <f t="shared" si="147"/>
        <v>May</v>
      </c>
      <c r="C3099" s="46" t="s">
        <v>280</v>
      </c>
      <c r="F3099" s="366" t="s">
        <v>1913</v>
      </c>
      <c r="G3099" s="46" t="s">
        <v>22</v>
      </c>
      <c r="H3099" s="46">
        <v>8</v>
      </c>
      <c r="I3099" s="51">
        <v>13355.75</v>
      </c>
      <c r="J3099" s="281">
        <f>++Tabla4[[#This Row],[Precio Bruto]]*1.16</f>
        <v>15492.669999999998</v>
      </c>
      <c r="K3099" s="281">
        <f>+Tabla4[[#This Row],[Precio Unitario Neto]]*Tabla4[[#Headers],[20.85%]]</f>
        <v>3230.2216949999993</v>
      </c>
      <c r="L3099" s="282">
        <f>++Tabla4[[#This Row],[Precio Unitario Neto]]-Tabla4[[#This Row],[20.85%]]</f>
        <v>12262.448304999998</v>
      </c>
      <c r="M3099" s="282" t="e">
        <f>(INDEX(Tabla6[#All],MATCH(Tabla4[[#This Row],[Producto]],Tabla6[[#All],[PRODUCTO]],0),MATCH(Tabla4[[#This Row],[Mes]],Tabla6[#Headers],0)))*(1+Catalogos!$L$2)</f>
        <v>#N/A</v>
      </c>
      <c r="N3099" s="283" t="e">
        <f>+(Tabla4[[#This Row],[Precio Descontado]]-Tabla4[[#This Row],[Precio Base]])*Tabla4[[#This Row],[Cantidad]]</f>
        <v>#N/A</v>
      </c>
      <c r="O3099" s="284" t="e">
        <f>++Tabla4[[#This Row],[Utilidad Total]]/Tabla4[[#This Row],[Total]]</f>
        <v>#N/A</v>
      </c>
      <c r="P3099" s="282">
        <f>++Tabla4[[#This Row],[Precio Descontado]]*Tabla4[[#This Row],[Cantidad]]</f>
        <v>98099.586439999985</v>
      </c>
      <c r="Q3099" s="282" t="e">
        <f>(INDEX(Tabla6[#All],MATCH(Tabla4[[#This Row],[Producto]],Tabla6[[#All],[PRODUCTO]],0),MATCH(Tabla4[[#This Row],[Mes]],Tabla6[#Headers],0)))</f>
        <v>#N/A</v>
      </c>
      <c r="R3099" s="282" t="e">
        <f>++Tabla4[[#This Row],[Precio Unitario Neto]]-Tabla4[[#This Row],[20.85%]]-Tabla4[[#This Row],[Costo]]</f>
        <v>#N/A</v>
      </c>
      <c r="S3099" s="282" t="e">
        <f>++Tabla4[[#This Row],[U. Bruta Uni]]*Tabla4[[#This Row],[Cantidad]]</f>
        <v>#N/A</v>
      </c>
      <c r="T3099" s="369" t="str">
        <f>VLOOKUP(Tabla4[[#This Row],[Producto]],Tabla6[#All],14,FALSE)</f>
        <v>Termico Solar</v>
      </c>
      <c r="U3099" s="284" t="e">
        <f>(IF(Tabla4[[#This Row],[Familia]]="termico solar",Tabla4[[#This Row],[Utilidad Total]]*6%,Tabla4[[#This Row],[Utilidad Total]]*11.5%))/Tabla4[[#This Row],[Total]]</f>
        <v>#N/A</v>
      </c>
      <c r="V3099" s="282" t="e">
        <f>+Tabla4[[#This Row],[Comisión Calculada]]*Tabla4[[#This Row],[Total]]</f>
        <v>#N/A</v>
      </c>
    </row>
    <row r="3100" spans="1:22" hidden="1" x14ac:dyDescent="0.25">
      <c r="A3100" s="100">
        <v>45808</v>
      </c>
      <c r="B3100" t="str">
        <f t="shared" si="147"/>
        <v>May</v>
      </c>
      <c r="C3100" s="46" t="s">
        <v>280</v>
      </c>
      <c r="F3100" s="366" t="s">
        <v>1913</v>
      </c>
      <c r="G3100" s="46" t="s">
        <v>84</v>
      </c>
      <c r="H3100" s="46">
        <v>6</v>
      </c>
      <c r="I3100" s="51">
        <v>16601.829999999998</v>
      </c>
      <c r="J3100" s="281">
        <f>++Tabla4[[#This Row],[Precio Bruto]]*1.16</f>
        <v>19258.122799999997</v>
      </c>
      <c r="K3100" s="281">
        <f>+Tabla4[[#This Row],[Precio Unitario Neto]]*Tabla4[[#Headers],[20.85%]]</f>
        <v>4015.3186037999994</v>
      </c>
      <c r="L3100" s="282">
        <f>++Tabla4[[#This Row],[Precio Unitario Neto]]-Tabla4[[#This Row],[20.85%]]</f>
        <v>15242.804196199999</v>
      </c>
      <c r="M3100" s="282" t="e">
        <f>(INDEX(Tabla6[#All],MATCH(Tabla4[[#This Row],[Producto]],Tabla6[[#All],[PRODUCTO]],0),MATCH(Tabla4[[#This Row],[Mes]],Tabla6[#Headers],0)))*(1+Catalogos!$L$2)</f>
        <v>#N/A</v>
      </c>
      <c r="N3100" s="283" t="e">
        <f>+(Tabla4[[#This Row],[Precio Descontado]]-Tabla4[[#This Row],[Precio Base]])*Tabla4[[#This Row],[Cantidad]]</f>
        <v>#N/A</v>
      </c>
      <c r="O3100" s="284" t="e">
        <f>++Tabla4[[#This Row],[Utilidad Total]]/Tabla4[[#This Row],[Total]]</f>
        <v>#N/A</v>
      </c>
      <c r="P3100" s="282">
        <f>++Tabla4[[#This Row],[Precio Descontado]]*Tabla4[[#This Row],[Cantidad]]</f>
        <v>91456.825177199993</v>
      </c>
      <c r="Q3100" s="282" t="e">
        <f>(INDEX(Tabla6[#All],MATCH(Tabla4[[#This Row],[Producto]],Tabla6[[#All],[PRODUCTO]],0),MATCH(Tabla4[[#This Row],[Mes]],Tabla6[#Headers],0)))</f>
        <v>#N/A</v>
      </c>
      <c r="R3100" s="282" t="e">
        <f>++Tabla4[[#This Row],[Precio Unitario Neto]]-Tabla4[[#This Row],[20.85%]]-Tabla4[[#This Row],[Costo]]</f>
        <v>#N/A</v>
      </c>
      <c r="S3100" s="282" t="e">
        <f>++Tabla4[[#This Row],[U. Bruta Uni]]*Tabla4[[#This Row],[Cantidad]]</f>
        <v>#N/A</v>
      </c>
      <c r="T3100" s="369" t="str">
        <f>VLOOKUP(Tabla4[[#This Row],[Producto]],Tabla6[#All],14,FALSE)</f>
        <v>Termico Solar</v>
      </c>
      <c r="U3100" s="284" t="e">
        <f>(IF(Tabla4[[#This Row],[Familia]]="termico solar",Tabla4[[#This Row],[Utilidad Total]]*6%,Tabla4[[#This Row],[Utilidad Total]]*11.5%))/Tabla4[[#This Row],[Total]]</f>
        <v>#N/A</v>
      </c>
      <c r="V3100" s="282" t="e">
        <f>+Tabla4[[#This Row],[Comisión Calculada]]*Tabla4[[#This Row],[Total]]</f>
        <v>#N/A</v>
      </c>
    </row>
    <row r="3101" spans="1:22" hidden="1" x14ac:dyDescent="0.25">
      <c r="A3101" s="100">
        <v>45808</v>
      </c>
      <c r="B3101" t="str">
        <f t="shared" si="147"/>
        <v>May</v>
      </c>
      <c r="C3101" s="46" t="s">
        <v>280</v>
      </c>
      <c r="F3101" s="366" t="s">
        <v>1913</v>
      </c>
      <c r="G3101" s="46" t="s">
        <v>566</v>
      </c>
      <c r="H3101" s="46">
        <v>1</v>
      </c>
      <c r="I3101" s="51">
        <v>2109.4499999999998</v>
      </c>
      <c r="J3101" s="281">
        <f>++Tabla4[[#This Row],[Precio Bruto]]*1.16</f>
        <v>2446.9619999999995</v>
      </c>
      <c r="K3101" s="281">
        <f>+Tabla4[[#This Row],[Precio Unitario Neto]]*Tabla4[[#Headers],[20.85%]]</f>
        <v>510.19157699999988</v>
      </c>
      <c r="L3101" s="282">
        <f>++Tabla4[[#This Row],[Precio Unitario Neto]]-Tabla4[[#This Row],[20.85%]]</f>
        <v>1936.7704229999997</v>
      </c>
      <c r="M3101" s="282" t="e">
        <f>(INDEX(Tabla6[#All],MATCH(Tabla4[[#This Row],[Producto]],Tabla6[[#All],[PRODUCTO]],0),MATCH(Tabla4[[#This Row],[Mes]],Tabla6[#Headers],0)))*(1+Catalogos!$L$2)</f>
        <v>#N/A</v>
      </c>
      <c r="N3101" s="283" t="e">
        <f>+(Tabla4[[#This Row],[Precio Descontado]]-Tabla4[[#This Row],[Precio Base]])*Tabla4[[#This Row],[Cantidad]]</f>
        <v>#N/A</v>
      </c>
      <c r="O3101" s="284" t="e">
        <f>++Tabla4[[#This Row],[Utilidad Total]]/Tabla4[[#This Row],[Total]]</f>
        <v>#N/A</v>
      </c>
      <c r="P3101" s="282">
        <f>++Tabla4[[#This Row],[Precio Descontado]]*Tabla4[[#This Row],[Cantidad]]</f>
        <v>1936.7704229999997</v>
      </c>
      <c r="Q3101" s="282" t="e">
        <f>(INDEX(Tabla6[#All],MATCH(Tabla4[[#This Row],[Producto]],Tabla6[[#All],[PRODUCTO]],0),MATCH(Tabla4[[#This Row],[Mes]],Tabla6[#Headers],0)))</f>
        <v>#N/A</v>
      </c>
      <c r="R3101" s="282" t="e">
        <f>++Tabla4[[#This Row],[Precio Unitario Neto]]-Tabla4[[#This Row],[20.85%]]-Tabla4[[#This Row],[Costo]]</f>
        <v>#N/A</v>
      </c>
      <c r="S3101" s="282" t="e">
        <f>++Tabla4[[#This Row],[U. Bruta Uni]]*Tabla4[[#This Row],[Cantidad]]</f>
        <v>#N/A</v>
      </c>
      <c r="T3101" s="369" t="str">
        <f>VLOOKUP(Tabla4[[#This Row],[Producto]],Tabla6[#All],14,FALSE)</f>
        <v>Termico Solar</v>
      </c>
      <c r="U3101" s="284" t="e">
        <f>(IF(Tabla4[[#This Row],[Familia]]="termico solar",Tabla4[[#This Row],[Utilidad Total]]*6%,Tabla4[[#This Row],[Utilidad Total]]*11.5%))/Tabla4[[#This Row],[Total]]</f>
        <v>#N/A</v>
      </c>
      <c r="V3101" s="282" t="e">
        <f>+Tabla4[[#This Row],[Comisión Calculada]]*Tabla4[[#This Row],[Total]]</f>
        <v>#N/A</v>
      </c>
    </row>
    <row r="3102" spans="1:22" hidden="1" x14ac:dyDescent="0.25">
      <c r="A3102" s="100">
        <v>45808</v>
      </c>
      <c r="B3102" t="str">
        <f t="shared" si="147"/>
        <v>May</v>
      </c>
      <c r="C3102" s="46" t="s">
        <v>280</v>
      </c>
      <c r="F3102" s="366" t="s">
        <v>1913</v>
      </c>
      <c r="G3102" s="46" t="s">
        <v>16</v>
      </c>
      <c r="H3102" s="46">
        <v>4</v>
      </c>
      <c r="I3102" s="51">
        <v>4103.8500000000004</v>
      </c>
      <c r="J3102" s="281">
        <f>++Tabla4[[#This Row],[Precio Bruto]]*1.16</f>
        <v>4760.4660000000003</v>
      </c>
      <c r="K3102" s="281">
        <f>+Tabla4[[#This Row],[Precio Unitario Neto]]*Tabla4[[#Headers],[20.85%]]</f>
        <v>992.55716100000006</v>
      </c>
      <c r="L3102" s="282">
        <f>++Tabla4[[#This Row],[Precio Unitario Neto]]-Tabla4[[#This Row],[20.85%]]</f>
        <v>3767.9088390000002</v>
      </c>
      <c r="M3102" s="282" t="e">
        <f>(INDEX(Tabla6[#All],MATCH(Tabla4[[#This Row],[Producto]],Tabla6[[#All],[PRODUCTO]],0),MATCH(Tabla4[[#This Row],[Mes]],Tabla6[#Headers],0)))*(1+Catalogos!$L$2)</f>
        <v>#N/A</v>
      </c>
      <c r="N3102" s="283" t="e">
        <f>+(Tabla4[[#This Row],[Precio Descontado]]-Tabla4[[#This Row],[Precio Base]])*Tabla4[[#This Row],[Cantidad]]</f>
        <v>#N/A</v>
      </c>
      <c r="O3102" s="284" t="e">
        <f>++Tabla4[[#This Row],[Utilidad Total]]/Tabla4[[#This Row],[Total]]</f>
        <v>#N/A</v>
      </c>
      <c r="P3102" s="282">
        <f>++Tabla4[[#This Row],[Precio Descontado]]*Tabla4[[#This Row],[Cantidad]]</f>
        <v>15071.635356000001</v>
      </c>
      <c r="Q3102" s="282" t="e">
        <f>(INDEX(Tabla6[#All],MATCH(Tabla4[[#This Row],[Producto]],Tabla6[[#All],[PRODUCTO]],0),MATCH(Tabla4[[#This Row],[Mes]],Tabla6[#Headers],0)))</f>
        <v>#N/A</v>
      </c>
      <c r="R3102" s="282" t="e">
        <f>++Tabla4[[#This Row],[Precio Unitario Neto]]-Tabla4[[#This Row],[20.85%]]-Tabla4[[#This Row],[Costo]]</f>
        <v>#N/A</v>
      </c>
      <c r="S3102" s="282" t="e">
        <f>++Tabla4[[#This Row],[U. Bruta Uni]]*Tabla4[[#This Row],[Cantidad]]</f>
        <v>#N/A</v>
      </c>
      <c r="T3102" s="369" t="str">
        <f>VLOOKUP(Tabla4[[#This Row],[Producto]],Tabla6[#All],14,FALSE)</f>
        <v>Termico Solar</v>
      </c>
      <c r="U3102" s="284" t="e">
        <f>(IF(Tabla4[[#This Row],[Familia]]="termico solar",Tabla4[[#This Row],[Utilidad Total]]*6%,Tabla4[[#This Row],[Utilidad Total]]*11.5%))/Tabla4[[#This Row],[Total]]</f>
        <v>#N/A</v>
      </c>
      <c r="V3102" s="282" t="e">
        <f>+Tabla4[[#This Row],[Comisión Calculada]]*Tabla4[[#This Row],[Total]]</f>
        <v>#N/A</v>
      </c>
    </row>
    <row r="3103" spans="1:22" hidden="1" x14ac:dyDescent="0.25">
      <c r="A3103" s="100">
        <v>45808</v>
      </c>
      <c r="B3103" t="str">
        <f t="shared" si="147"/>
        <v>May</v>
      </c>
      <c r="C3103" s="46" t="s">
        <v>280</v>
      </c>
      <c r="F3103" s="366" t="s">
        <v>1913</v>
      </c>
      <c r="G3103" s="46" t="s">
        <v>208</v>
      </c>
      <c r="H3103" s="46">
        <v>1</v>
      </c>
      <c r="I3103" s="51">
        <v>189.75</v>
      </c>
      <c r="J3103" s="281">
        <f>++Tabla4[[#This Row],[Precio Bruto]]*1.16</f>
        <v>220.10999999999999</v>
      </c>
      <c r="K3103" s="281">
        <f>+Tabla4[[#This Row],[Precio Unitario Neto]]*Tabla4[[#Headers],[20.85%]]</f>
        <v>45.892934999999994</v>
      </c>
      <c r="L3103" s="282">
        <f>++Tabla4[[#This Row],[Precio Unitario Neto]]-Tabla4[[#This Row],[20.85%]]</f>
        <v>174.21706499999999</v>
      </c>
      <c r="M3103" s="282" t="e">
        <f>(INDEX(Tabla6[#All],MATCH(Tabla4[[#This Row],[Producto]],Tabla6[[#All],[PRODUCTO]],0),MATCH(Tabla4[[#This Row],[Mes]],Tabla6[#Headers],0)))*(1+Catalogos!$L$2)</f>
        <v>#N/A</v>
      </c>
      <c r="N3103" s="283" t="e">
        <f>+(Tabla4[[#This Row],[Precio Descontado]]-Tabla4[[#This Row],[Precio Base]])*Tabla4[[#This Row],[Cantidad]]</f>
        <v>#N/A</v>
      </c>
      <c r="O3103" s="284" t="e">
        <f>++Tabla4[[#This Row],[Utilidad Total]]/Tabla4[[#This Row],[Total]]</f>
        <v>#N/A</v>
      </c>
      <c r="P3103" s="282">
        <f>++Tabla4[[#This Row],[Precio Descontado]]*Tabla4[[#This Row],[Cantidad]]</f>
        <v>174.21706499999999</v>
      </c>
      <c r="Q3103" s="282" t="e">
        <f>(INDEX(Tabla6[#All],MATCH(Tabla4[[#This Row],[Producto]],Tabla6[[#All],[PRODUCTO]],0),MATCH(Tabla4[[#This Row],[Mes]],Tabla6[#Headers],0)))</f>
        <v>#N/A</v>
      </c>
      <c r="R3103" s="282" t="e">
        <f>++Tabla4[[#This Row],[Precio Unitario Neto]]-Tabla4[[#This Row],[20.85%]]-Tabla4[[#This Row],[Costo]]</f>
        <v>#N/A</v>
      </c>
      <c r="S3103" s="282" t="e">
        <f>++Tabla4[[#This Row],[U. Bruta Uni]]*Tabla4[[#This Row],[Cantidad]]</f>
        <v>#N/A</v>
      </c>
      <c r="T3103" s="369" t="str">
        <f>VLOOKUP(Tabla4[[#This Row],[Producto]],Tabla6[#All],14,FALSE)</f>
        <v>Termico Solar</v>
      </c>
      <c r="U3103" s="284" t="e">
        <f>(IF(Tabla4[[#This Row],[Familia]]="termico solar",Tabla4[[#This Row],[Utilidad Total]]*6%,Tabla4[[#This Row],[Utilidad Total]]*11.5%))/Tabla4[[#This Row],[Total]]</f>
        <v>#N/A</v>
      </c>
      <c r="V3103" s="282" t="e">
        <f>+Tabla4[[#This Row],[Comisión Calculada]]*Tabla4[[#This Row],[Total]]</f>
        <v>#N/A</v>
      </c>
    </row>
    <row r="3104" spans="1:22" hidden="1" x14ac:dyDescent="0.25">
      <c r="A3104" s="100">
        <v>45808</v>
      </c>
      <c r="B3104" t="str">
        <f t="shared" ref="B3104:B3114" si="148">TEXT(A3104, "mmmm")</f>
        <v>May</v>
      </c>
      <c r="C3104" s="46" t="s">
        <v>280</v>
      </c>
      <c r="F3104" s="366" t="s">
        <v>1914</v>
      </c>
      <c r="G3104" s="46" t="s">
        <v>17</v>
      </c>
      <c r="H3104" s="46">
        <v>3</v>
      </c>
      <c r="I3104" s="51">
        <v>4622.28</v>
      </c>
      <c r="J3104" s="281">
        <f>++Tabla4[[#This Row],[Precio Bruto]]*1.16</f>
        <v>5361.8447999999989</v>
      </c>
      <c r="K3104" s="281">
        <f>+Tabla4[[#This Row],[Precio Unitario Neto]]*Tabla4[[#Headers],[20.85%]]</f>
        <v>1117.9446407999997</v>
      </c>
      <c r="L3104" s="282">
        <f>++Tabla4[[#This Row],[Precio Unitario Neto]]-Tabla4[[#This Row],[20.85%]]</f>
        <v>4243.9001591999995</v>
      </c>
      <c r="M3104" s="282" t="e">
        <f>(INDEX(Tabla6[#All],MATCH(Tabla4[[#This Row],[Producto]],Tabla6[[#All],[PRODUCTO]],0),MATCH(Tabla4[[#This Row],[Mes]],Tabla6[#Headers],0)))*(1+Catalogos!$L$2)</f>
        <v>#N/A</v>
      </c>
      <c r="N3104" s="283" t="e">
        <f>+(Tabla4[[#This Row],[Precio Descontado]]-Tabla4[[#This Row],[Precio Base]])*Tabla4[[#This Row],[Cantidad]]</f>
        <v>#N/A</v>
      </c>
      <c r="O3104" s="284" t="e">
        <f>++Tabla4[[#This Row],[Utilidad Total]]/Tabla4[[#This Row],[Total]]</f>
        <v>#N/A</v>
      </c>
      <c r="P3104" s="282">
        <f>++Tabla4[[#This Row],[Precio Descontado]]*Tabla4[[#This Row],[Cantidad]]</f>
        <v>12731.700477599999</v>
      </c>
      <c r="Q3104" s="282" t="e">
        <f>(INDEX(Tabla6[#All],MATCH(Tabla4[[#This Row],[Producto]],Tabla6[[#All],[PRODUCTO]],0),MATCH(Tabla4[[#This Row],[Mes]],Tabla6[#Headers],0)))</f>
        <v>#N/A</v>
      </c>
      <c r="R3104" s="282" t="e">
        <f>++Tabla4[[#This Row],[Precio Unitario Neto]]-Tabla4[[#This Row],[20.85%]]-Tabla4[[#This Row],[Costo]]</f>
        <v>#N/A</v>
      </c>
      <c r="S3104" s="282" t="e">
        <f>++Tabla4[[#This Row],[U. Bruta Uni]]*Tabla4[[#This Row],[Cantidad]]</f>
        <v>#N/A</v>
      </c>
      <c r="T3104" s="369" t="str">
        <f>VLOOKUP(Tabla4[[#This Row],[Producto]],Tabla6[#All],14,FALSE)</f>
        <v>Termico Solar</v>
      </c>
      <c r="U3104" s="284" t="e">
        <f>(IF(Tabla4[[#This Row],[Familia]]="termico solar",Tabla4[[#This Row],[Utilidad Total]]*6%,Tabla4[[#This Row],[Utilidad Total]]*11.5%))/Tabla4[[#This Row],[Total]]</f>
        <v>#N/A</v>
      </c>
      <c r="V3104" s="282" t="e">
        <f>+Tabla4[[#This Row],[Comisión Calculada]]*Tabla4[[#This Row],[Total]]</f>
        <v>#N/A</v>
      </c>
    </row>
    <row r="3105" spans="1:22" hidden="1" x14ac:dyDescent="0.25">
      <c r="A3105" s="100">
        <v>45808</v>
      </c>
      <c r="B3105" t="str">
        <f t="shared" si="148"/>
        <v>May</v>
      </c>
      <c r="C3105" s="46" t="s">
        <v>280</v>
      </c>
      <c r="F3105" s="366" t="s">
        <v>1914</v>
      </c>
      <c r="G3105" s="46" t="s">
        <v>566</v>
      </c>
      <c r="H3105" s="46">
        <v>1</v>
      </c>
      <c r="I3105" s="51">
        <v>2109.4499999999998</v>
      </c>
      <c r="J3105" s="281">
        <f>++Tabla4[[#This Row],[Precio Bruto]]*1.16</f>
        <v>2446.9619999999995</v>
      </c>
      <c r="K3105" s="281">
        <f>+Tabla4[[#This Row],[Precio Unitario Neto]]*Tabla4[[#Headers],[20.85%]]</f>
        <v>510.19157699999988</v>
      </c>
      <c r="L3105" s="282">
        <f>++Tabla4[[#This Row],[Precio Unitario Neto]]-Tabla4[[#This Row],[20.85%]]</f>
        <v>1936.7704229999997</v>
      </c>
      <c r="M3105" s="282" t="e">
        <f>(INDEX(Tabla6[#All],MATCH(Tabla4[[#This Row],[Producto]],Tabla6[[#All],[PRODUCTO]],0),MATCH(Tabla4[[#This Row],[Mes]],Tabla6[#Headers],0)))*(1+Catalogos!$L$2)</f>
        <v>#N/A</v>
      </c>
      <c r="N3105" s="283" t="e">
        <f>+(Tabla4[[#This Row],[Precio Descontado]]-Tabla4[[#This Row],[Precio Base]])*Tabla4[[#This Row],[Cantidad]]</f>
        <v>#N/A</v>
      </c>
      <c r="O3105" s="284" t="e">
        <f>++Tabla4[[#This Row],[Utilidad Total]]/Tabla4[[#This Row],[Total]]</f>
        <v>#N/A</v>
      </c>
      <c r="P3105" s="282">
        <f>++Tabla4[[#This Row],[Precio Descontado]]*Tabla4[[#This Row],[Cantidad]]</f>
        <v>1936.7704229999997</v>
      </c>
      <c r="Q3105" s="282" t="e">
        <f>(INDEX(Tabla6[#All],MATCH(Tabla4[[#This Row],[Producto]],Tabla6[[#All],[PRODUCTO]],0),MATCH(Tabla4[[#This Row],[Mes]],Tabla6[#Headers],0)))</f>
        <v>#N/A</v>
      </c>
      <c r="R3105" s="282" t="e">
        <f>++Tabla4[[#This Row],[Precio Unitario Neto]]-Tabla4[[#This Row],[20.85%]]-Tabla4[[#This Row],[Costo]]</f>
        <v>#N/A</v>
      </c>
      <c r="S3105" s="282" t="e">
        <f>++Tabla4[[#This Row],[U. Bruta Uni]]*Tabla4[[#This Row],[Cantidad]]</f>
        <v>#N/A</v>
      </c>
      <c r="T3105" s="369" t="str">
        <f>VLOOKUP(Tabla4[[#This Row],[Producto]],Tabla6[#All],14,FALSE)</f>
        <v>Termico Solar</v>
      </c>
      <c r="U3105" s="284" t="e">
        <f>(IF(Tabla4[[#This Row],[Familia]]="termico solar",Tabla4[[#This Row],[Utilidad Total]]*6%,Tabla4[[#This Row],[Utilidad Total]]*11.5%))/Tabla4[[#This Row],[Total]]</f>
        <v>#N/A</v>
      </c>
      <c r="V3105" s="282" t="e">
        <f>+Tabla4[[#This Row],[Comisión Calculada]]*Tabla4[[#This Row],[Total]]</f>
        <v>#N/A</v>
      </c>
    </row>
    <row r="3106" spans="1:22" hidden="1" x14ac:dyDescent="0.25">
      <c r="A3106" s="100">
        <v>45808</v>
      </c>
      <c r="B3106" t="str">
        <f t="shared" si="148"/>
        <v>May</v>
      </c>
      <c r="C3106" s="46" t="s">
        <v>280</v>
      </c>
      <c r="F3106" s="366" t="s">
        <v>1915</v>
      </c>
      <c r="G3106" s="46" t="s">
        <v>83</v>
      </c>
      <c r="H3106" s="46">
        <v>2</v>
      </c>
      <c r="I3106" s="51">
        <v>8858.76</v>
      </c>
      <c r="J3106" s="281">
        <f>++Tabla4[[#This Row],[Precio Bruto]]*1.16</f>
        <v>10276.161599999999</v>
      </c>
      <c r="K3106" s="281">
        <f>+Tabla4[[#This Row],[Precio Unitario Neto]]*Tabla4[[#Headers],[20.85%]]</f>
        <v>2142.5796935999997</v>
      </c>
      <c r="L3106" s="282">
        <f>++Tabla4[[#This Row],[Precio Unitario Neto]]-Tabla4[[#This Row],[20.85%]]</f>
        <v>8133.5819063999998</v>
      </c>
      <c r="M3106" s="282" t="e">
        <f>(INDEX(Tabla6[#All],MATCH(Tabla4[[#This Row],[Producto]],Tabla6[[#All],[PRODUCTO]],0),MATCH(Tabla4[[#This Row],[Mes]],Tabla6[#Headers],0)))*(1+Catalogos!$L$2)</f>
        <v>#N/A</v>
      </c>
      <c r="N3106" s="283" t="e">
        <f>+(Tabla4[[#This Row],[Precio Descontado]]-Tabla4[[#This Row],[Precio Base]])*Tabla4[[#This Row],[Cantidad]]</f>
        <v>#N/A</v>
      </c>
      <c r="O3106" s="284" t="e">
        <f>++Tabla4[[#This Row],[Utilidad Total]]/Tabla4[[#This Row],[Total]]</f>
        <v>#N/A</v>
      </c>
      <c r="P3106" s="282">
        <f>++Tabla4[[#This Row],[Precio Descontado]]*Tabla4[[#This Row],[Cantidad]]</f>
        <v>16267.1638128</v>
      </c>
      <c r="Q3106" s="282" t="e">
        <f>(INDEX(Tabla6[#All],MATCH(Tabla4[[#This Row],[Producto]],Tabla6[[#All],[PRODUCTO]],0),MATCH(Tabla4[[#This Row],[Mes]],Tabla6[#Headers],0)))</f>
        <v>#N/A</v>
      </c>
      <c r="R3106" s="282" t="e">
        <f>++Tabla4[[#This Row],[Precio Unitario Neto]]-Tabla4[[#This Row],[20.85%]]-Tabla4[[#This Row],[Costo]]</f>
        <v>#N/A</v>
      </c>
      <c r="S3106" s="282" t="e">
        <f>++Tabla4[[#This Row],[U. Bruta Uni]]*Tabla4[[#This Row],[Cantidad]]</f>
        <v>#N/A</v>
      </c>
      <c r="T3106" s="369" t="str">
        <f>VLOOKUP(Tabla4[[#This Row],[Producto]],Tabla6[#All],14,FALSE)</f>
        <v>Termico Solar</v>
      </c>
      <c r="U3106" s="284" t="e">
        <f>(IF(Tabla4[[#This Row],[Familia]]="termico solar",Tabla4[[#This Row],[Utilidad Total]]*6%,Tabla4[[#This Row],[Utilidad Total]]*11.5%))/Tabla4[[#This Row],[Total]]</f>
        <v>#N/A</v>
      </c>
      <c r="V3106" s="282" t="e">
        <f>+Tabla4[[#This Row],[Comisión Calculada]]*Tabla4[[#This Row],[Total]]</f>
        <v>#N/A</v>
      </c>
    </row>
    <row r="3107" spans="1:22" hidden="1" x14ac:dyDescent="0.25">
      <c r="A3107" s="100">
        <v>45808</v>
      </c>
      <c r="B3107" t="str">
        <f t="shared" si="148"/>
        <v>May</v>
      </c>
      <c r="C3107" s="46" t="s">
        <v>280</v>
      </c>
      <c r="F3107" s="366" t="s">
        <v>1916</v>
      </c>
      <c r="G3107" s="46" t="s">
        <v>208</v>
      </c>
      <c r="H3107" s="46">
        <v>2</v>
      </c>
      <c r="I3107" s="51">
        <v>189.75</v>
      </c>
      <c r="J3107" s="281">
        <f>++Tabla4[[#This Row],[Precio Bruto]]*1.16</f>
        <v>220.10999999999999</v>
      </c>
      <c r="K3107" s="281">
        <f>+Tabla4[[#This Row],[Precio Unitario Neto]]*Tabla4[[#Headers],[20.85%]]</f>
        <v>45.892934999999994</v>
      </c>
      <c r="L3107" s="282">
        <f>++Tabla4[[#This Row],[Precio Unitario Neto]]-Tabla4[[#This Row],[20.85%]]</f>
        <v>174.21706499999999</v>
      </c>
      <c r="M3107" s="282" t="e">
        <f>(INDEX(Tabla6[#All],MATCH(Tabla4[[#This Row],[Producto]],Tabla6[[#All],[PRODUCTO]],0),MATCH(Tabla4[[#This Row],[Mes]],Tabla6[#Headers],0)))*(1+Catalogos!$L$2)</f>
        <v>#N/A</v>
      </c>
      <c r="N3107" s="283" t="e">
        <f>+(Tabla4[[#This Row],[Precio Descontado]]-Tabla4[[#This Row],[Precio Base]])*Tabla4[[#This Row],[Cantidad]]</f>
        <v>#N/A</v>
      </c>
      <c r="O3107" s="284" t="e">
        <f>++Tabla4[[#This Row],[Utilidad Total]]/Tabla4[[#This Row],[Total]]</f>
        <v>#N/A</v>
      </c>
      <c r="P3107" s="282">
        <f>++Tabla4[[#This Row],[Precio Descontado]]*Tabla4[[#This Row],[Cantidad]]</f>
        <v>348.43412999999998</v>
      </c>
      <c r="Q3107" s="282" t="e">
        <f>(INDEX(Tabla6[#All],MATCH(Tabla4[[#This Row],[Producto]],Tabla6[[#All],[PRODUCTO]],0),MATCH(Tabla4[[#This Row],[Mes]],Tabla6[#Headers],0)))</f>
        <v>#N/A</v>
      </c>
      <c r="R3107" s="282" t="e">
        <f>++Tabla4[[#This Row],[Precio Unitario Neto]]-Tabla4[[#This Row],[20.85%]]-Tabla4[[#This Row],[Costo]]</f>
        <v>#N/A</v>
      </c>
      <c r="S3107" s="282" t="e">
        <f>++Tabla4[[#This Row],[U. Bruta Uni]]*Tabla4[[#This Row],[Cantidad]]</f>
        <v>#N/A</v>
      </c>
      <c r="T3107" s="369" t="str">
        <f>VLOOKUP(Tabla4[[#This Row],[Producto]],Tabla6[#All],14,FALSE)</f>
        <v>Termico Solar</v>
      </c>
      <c r="U3107" s="284" t="e">
        <f>(IF(Tabla4[[#This Row],[Familia]]="termico solar",Tabla4[[#This Row],[Utilidad Total]]*6%,Tabla4[[#This Row],[Utilidad Total]]*11.5%))/Tabla4[[#This Row],[Total]]</f>
        <v>#N/A</v>
      </c>
      <c r="V3107" s="282" t="e">
        <f>+Tabla4[[#This Row],[Comisión Calculada]]*Tabla4[[#This Row],[Total]]</f>
        <v>#N/A</v>
      </c>
    </row>
    <row r="3108" spans="1:22" hidden="1" x14ac:dyDescent="0.25">
      <c r="A3108" s="100">
        <v>45808</v>
      </c>
      <c r="B3108" t="str">
        <f t="shared" si="148"/>
        <v>May</v>
      </c>
      <c r="C3108" s="46" t="s">
        <v>280</v>
      </c>
      <c r="F3108" s="366" t="s">
        <v>1917</v>
      </c>
      <c r="G3108" s="46" t="s">
        <v>17</v>
      </c>
      <c r="H3108" s="46">
        <v>3</v>
      </c>
      <c r="I3108" s="51">
        <v>4622.28</v>
      </c>
      <c r="J3108" s="281">
        <f>++Tabla4[[#This Row],[Precio Bruto]]*1.16</f>
        <v>5361.8447999999989</v>
      </c>
      <c r="K3108" s="281">
        <f>+Tabla4[[#This Row],[Precio Unitario Neto]]*Tabla4[[#Headers],[20.85%]]</f>
        <v>1117.9446407999997</v>
      </c>
      <c r="L3108" s="282">
        <f>++Tabla4[[#This Row],[Precio Unitario Neto]]-Tabla4[[#This Row],[20.85%]]</f>
        <v>4243.9001591999995</v>
      </c>
      <c r="M3108" s="282" t="e">
        <f>(INDEX(Tabla6[#All],MATCH(Tabla4[[#This Row],[Producto]],Tabla6[[#All],[PRODUCTO]],0),MATCH(Tabla4[[#This Row],[Mes]],Tabla6[#Headers],0)))*(1+Catalogos!$L$2)</f>
        <v>#N/A</v>
      </c>
      <c r="N3108" s="283" t="e">
        <f>+(Tabla4[[#This Row],[Precio Descontado]]-Tabla4[[#This Row],[Precio Base]])*Tabla4[[#This Row],[Cantidad]]</f>
        <v>#N/A</v>
      </c>
      <c r="O3108" s="284" t="e">
        <f>++Tabla4[[#This Row],[Utilidad Total]]/Tabla4[[#This Row],[Total]]</f>
        <v>#N/A</v>
      </c>
      <c r="P3108" s="282">
        <f>++Tabla4[[#This Row],[Precio Descontado]]*Tabla4[[#This Row],[Cantidad]]</f>
        <v>12731.700477599999</v>
      </c>
      <c r="Q3108" s="282" t="e">
        <f>(INDEX(Tabla6[#All],MATCH(Tabla4[[#This Row],[Producto]],Tabla6[[#All],[PRODUCTO]],0),MATCH(Tabla4[[#This Row],[Mes]],Tabla6[#Headers],0)))</f>
        <v>#N/A</v>
      </c>
      <c r="R3108" s="282" t="e">
        <f>++Tabla4[[#This Row],[Precio Unitario Neto]]-Tabla4[[#This Row],[20.85%]]-Tabla4[[#This Row],[Costo]]</f>
        <v>#N/A</v>
      </c>
      <c r="S3108" s="282" t="e">
        <f>++Tabla4[[#This Row],[U. Bruta Uni]]*Tabla4[[#This Row],[Cantidad]]</f>
        <v>#N/A</v>
      </c>
      <c r="T3108" s="369" t="str">
        <f>VLOOKUP(Tabla4[[#This Row],[Producto]],Tabla6[#All],14,FALSE)</f>
        <v>Termico Solar</v>
      </c>
      <c r="U3108" s="284" t="e">
        <f>(IF(Tabla4[[#This Row],[Familia]]="termico solar",Tabla4[[#This Row],[Utilidad Total]]*6%,Tabla4[[#This Row],[Utilidad Total]]*11.5%))/Tabla4[[#This Row],[Total]]</f>
        <v>#N/A</v>
      </c>
      <c r="V3108" s="282" t="e">
        <f>+Tabla4[[#This Row],[Comisión Calculada]]*Tabla4[[#This Row],[Total]]</f>
        <v>#N/A</v>
      </c>
    </row>
    <row r="3109" spans="1:22" hidden="1" x14ac:dyDescent="0.25">
      <c r="A3109" s="100">
        <v>45808</v>
      </c>
      <c r="B3109" t="str">
        <f t="shared" si="148"/>
        <v>May</v>
      </c>
      <c r="C3109" s="46" t="s">
        <v>280</v>
      </c>
      <c r="F3109" s="366" t="s">
        <v>1917</v>
      </c>
      <c r="G3109" s="46" t="s">
        <v>566</v>
      </c>
      <c r="H3109" s="46">
        <v>1</v>
      </c>
      <c r="I3109" s="51">
        <v>2109.4499999999998</v>
      </c>
      <c r="J3109" s="281">
        <f>++Tabla4[[#This Row],[Precio Bruto]]*1.16</f>
        <v>2446.9619999999995</v>
      </c>
      <c r="K3109" s="281">
        <f>+Tabla4[[#This Row],[Precio Unitario Neto]]*Tabla4[[#Headers],[20.85%]]</f>
        <v>510.19157699999988</v>
      </c>
      <c r="L3109" s="282">
        <f>++Tabla4[[#This Row],[Precio Unitario Neto]]-Tabla4[[#This Row],[20.85%]]</f>
        <v>1936.7704229999997</v>
      </c>
      <c r="M3109" s="282" t="e">
        <f>(INDEX(Tabla6[#All],MATCH(Tabla4[[#This Row],[Producto]],Tabla6[[#All],[PRODUCTO]],0),MATCH(Tabla4[[#This Row],[Mes]],Tabla6[#Headers],0)))*(1+Catalogos!$L$2)</f>
        <v>#N/A</v>
      </c>
      <c r="N3109" s="283" t="e">
        <f>+(Tabla4[[#This Row],[Precio Descontado]]-Tabla4[[#This Row],[Precio Base]])*Tabla4[[#This Row],[Cantidad]]</f>
        <v>#N/A</v>
      </c>
      <c r="O3109" s="284" t="e">
        <f>++Tabla4[[#This Row],[Utilidad Total]]/Tabla4[[#This Row],[Total]]</f>
        <v>#N/A</v>
      </c>
      <c r="P3109" s="282">
        <f>++Tabla4[[#This Row],[Precio Descontado]]*Tabla4[[#This Row],[Cantidad]]</f>
        <v>1936.7704229999997</v>
      </c>
      <c r="Q3109" s="282" t="e">
        <f>(INDEX(Tabla6[#All],MATCH(Tabla4[[#This Row],[Producto]],Tabla6[[#All],[PRODUCTO]],0),MATCH(Tabla4[[#This Row],[Mes]],Tabla6[#Headers],0)))</f>
        <v>#N/A</v>
      </c>
      <c r="R3109" s="282" t="e">
        <f>++Tabla4[[#This Row],[Precio Unitario Neto]]-Tabla4[[#This Row],[20.85%]]-Tabla4[[#This Row],[Costo]]</f>
        <v>#N/A</v>
      </c>
      <c r="S3109" s="282" t="e">
        <f>++Tabla4[[#This Row],[U. Bruta Uni]]*Tabla4[[#This Row],[Cantidad]]</f>
        <v>#N/A</v>
      </c>
      <c r="T3109" s="369" t="str">
        <f>VLOOKUP(Tabla4[[#This Row],[Producto]],Tabla6[#All],14,FALSE)</f>
        <v>Termico Solar</v>
      </c>
      <c r="U3109" s="284" t="e">
        <f>(IF(Tabla4[[#This Row],[Familia]]="termico solar",Tabla4[[#This Row],[Utilidad Total]]*6%,Tabla4[[#This Row],[Utilidad Total]]*11.5%))/Tabla4[[#This Row],[Total]]</f>
        <v>#N/A</v>
      </c>
      <c r="V3109" s="282" t="e">
        <f>+Tabla4[[#This Row],[Comisión Calculada]]*Tabla4[[#This Row],[Total]]</f>
        <v>#N/A</v>
      </c>
    </row>
    <row r="3110" spans="1:22" hidden="1" x14ac:dyDescent="0.25">
      <c r="A3110" s="100">
        <v>45808</v>
      </c>
      <c r="B3110" t="str">
        <f t="shared" si="148"/>
        <v>May</v>
      </c>
      <c r="C3110" s="46" t="s">
        <v>280</v>
      </c>
      <c r="F3110" s="366" t="s">
        <v>1917</v>
      </c>
      <c r="G3110" s="46" t="s">
        <v>16</v>
      </c>
      <c r="H3110" s="46">
        <v>1</v>
      </c>
      <c r="I3110" s="51">
        <v>4103.8500000000004</v>
      </c>
      <c r="J3110" s="281">
        <f>++Tabla4[[#This Row],[Precio Bruto]]*1.16</f>
        <v>4760.4660000000003</v>
      </c>
      <c r="K3110" s="281">
        <f>+Tabla4[[#This Row],[Precio Unitario Neto]]*Tabla4[[#Headers],[20.85%]]</f>
        <v>992.55716100000006</v>
      </c>
      <c r="L3110" s="282">
        <f>++Tabla4[[#This Row],[Precio Unitario Neto]]-Tabla4[[#This Row],[20.85%]]</f>
        <v>3767.9088390000002</v>
      </c>
      <c r="M3110" s="282" t="e">
        <f>(INDEX(Tabla6[#All],MATCH(Tabla4[[#This Row],[Producto]],Tabla6[[#All],[PRODUCTO]],0),MATCH(Tabla4[[#This Row],[Mes]],Tabla6[#Headers],0)))*(1+Catalogos!$L$2)</f>
        <v>#N/A</v>
      </c>
      <c r="N3110" s="283" t="e">
        <f>+(Tabla4[[#This Row],[Precio Descontado]]-Tabla4[[#This Row],[Precio Base]])*Tabla4[[#This Row],[Cantidad]]</f>
        <v>#N/A</v>
      </c>
      <c r="O3110" s="284" t="e">
        <f>++Tabla4[[#This Row],[Utilidad Total]]/Tabla4[[#This Row],[Total]]</f>
        <v>#N/A</v>
      </c>
      <c r="P3110" s="282">
        <f>++Tabla4[[#This Row],[Precio Descontado]]*Tabla4[[#This Row],[Cantidad]]</f>
        <v>3767.9088390000002</v>
      </c>
      <c r="Q3110" s="282" t="e">
        <f>(INDEX(Tabla6[#All],MATCH(Tabla4[[#This Row],[Producto]],Tabla6[[#All],[PRODUCTO]],0),MATCH(Tabla4[[#This Row],[Mes]],Tabla6[#Headers],0)))</f>
        <v>#N/A</v>
      </c>
      <c r="R3110" s="282" t="e">
        <f>++Tabla4[[#This Row],[Precio Unitario Neto]]-Tabla4[[#This Row],[20.85%]]-Tabla4[[#This Row],[Costo]]</f>
        <v>#N/A</v>
      </c>
      <c r="S3110" s="282" t="e">
        <f>++Tabla4[[#This Row],[U. Bruta Uni]]*Tabla4[[#This Row],[Cantidad]]</f>
        <v>#N/A</v>
      </c>
      <c r="T3110" s="369" t="str">
        <f>VLOOKUP(Tabla4[[#This Row],[Producto]],Tabla6[#All],14,FALSE)</f>
        <v>Termico Solar</v>
      </c>
      <c r="U3110" s="284" t="e">
        <f>(IF(Tabla4[[#This Row],[Familia]]="termico solar",Tabla4[[#This Row],[Utilidad Total]]*6%,Tabla4[[#This Row],[Utilidad Total]]*11.5%))/Tabla4[[#This Row],[Total]]</f>
        <v>#N/A</v>
      </c>
      <c r="V3110" s="282" t="e">
        <f>+Tabla4[[#This Row],[Comisión Calculada]]*Tabla4[[#This Row],[Total]]</f>
        <v>#N/A</v>
      </c>
    </row>
    <row r="3111" spans="1:22" hidden="1" x14ac:dyDescent="0.25">
      <c r="A3111" s="100">
        <v>45808</v>
      </c>
      <c r="B3111" t="str">
        <f t="shared" si="148"/>
        <v>May</v>
      </c>
      <c r="C3111" s="46" t="s">
        <v>280</v>
      </c>
      <c r="F3111" s="366" t="s">
        <v>1918</v>
      </c>
      <c r="G3111" s="46" t="s">
        <v>200</v>
      </c>
      <c r="H3111" s="46">
        <v>12</v>
      </c>
      <c r="I3111" s="51">
        <v>393.22</v>
      </c>
      <c r="J3111" s="281">
        <f>++Tabla4[[#This Row],[Precio Bruto]]*1.16</f>
        <v>456.1352</v>
      </c>
      <c r="K3111" s="281">
        <f>+Tabla4[[#This Row],[Precio Unitario Neto]]*Tabla4[[#Headers],[20.85%]]</f>
        <v>95.104189199999993</v>
      </c>
      <c r="L3111" s="282">
        <f>++Tabla4[[#This Row],[Precio Unitario Neto]]-Tabla4[[#This Row],[20.85%]]</f>
        <v>361.03101079999999</v>
      </c>
      <c r="M3111" s="282" t="e">
        <f>(INDEX(Tabla6[#All],MATCH(Tabla4[[#This Row],[Producto]],Tabla6[[#All],[PRODUCTO]],0),MATCH(Tabla4[[#This Row],[Mes]],Tabla6[#Headers],0)))*(1+Catalogos!$L$2)</f>
        <v>#N/A</v>
      </c>
      <c r="N3111" s="283" t="e">
        <f>+(Tabla4[[#This Row],[Precio Descontado]]-Tabla4[[#This Row],[Precio Base]])*Tabla4[[#This Row],[Cantidad]]</f>
        <v>#N/A</v>
      </c>
      <c r="O3111" s="284" t="e">
        <f>++Tabla4[[#This Row],[Utilidad Total]]/Tabla4[[#This Row],[Total]]</f>
        <v>#N/A</v>
      </c>
      <c r="P3111" s="282">
        <f>++Tabla4[[#This Row],[Precio Descontado]]*Tabla4[[#This Row],[Cantidad]]</f>
        <v>4332.3721296000003</v>
      </c>
      <c r="Q3111" s="282" t="e">
        <f>(INDEX(Tabla6[#All],MATCH(Tabla4[[#This Row],[Producto]],Tabla6[[#All],[PRODUCTO]],0),MATCH(Tabla4[[#This Row],[Mes]],Tabla6[#Headers],0)))</f>
        <v>#N/A</v>
      </c>
      <c r="R3111" s="282" t="e">
        <f>++Tabla4[[#This Row],[Precio Unitario Neto]]-Tabla4[[#This Row],[20.85%]]-Tabla4[[#This Row],[Costo]]</f>
        <v>#N/A</v>
      </c>
      <c r="S3111" s="282" t="e">
        <f>++Tabla4[[#This Row],[U. Bruta Uni]]*Tabla4[[#This Row],[Cantidad]]</f>
        <v>#N/A</v>
      </c>
      <c r="T3111" s="369" t="str">
        <f>VLOOKUP(Tabla4[[#This Row],[Producto]],Tabla6[#All],14,FALSE)</f>
        <v>Termico Solar</v>
      </c>
      <c r="U3111" s="284" t="e">
        <f>(IF(Tabla4[[#This Row],[Familia]]="termico solar",Tabla4[[#This Row],[Utilidad Total]]*6%,Tabla4[[#This Row],[Utilidad Total]]*11.5%))/Tabla4[[#This Row],[Total]]</f>
        <v>#N/A</v>
      </c>
      <c r="V3111" s="282" t="e">
        <f>+Tabla4[[#This Row],[Comisión Calculada]]*Tabla4[[#This Row],[Total]]</f>
        <v>#N/A</v>
      </c>
    </row>
    <row r="3112" spans="1:22" hidden="1" x14ac:dyDescent="0.25">
      <c r="A3112" s="100">
        <v>45808</v>
      </c>
      <c r="B3112" t="str">
        <f t="shared" si="148"/>
        <v>May</v>
      </c>
      <c r="C3112" s="46" t="s">
        <v>280</v>
      </c>
      <c r="F3112" s="366" t="s">
        <v>1918</v>
      </c>
      <c r="G3112" s="46" t="s">
        <v>545</v>
      </c>
      <c r="H3112" s="46">
        <v>24</v>
      </c>
      <c r="I3112" s="51">
        <v>304.32</v>
      </c>
      <c r="J3112" s="281">
        <f>++Tabla4[[#This Row],[Precio Bruto]]*1.16</f>
        <v>353.01119999999997</v>
      </c>
      <c r="K3112" s="281">
        <f>+Tabla4[[#This Row],[Precio Unitario Neto]]*Tabla4[[#Headers],[20.85%]]</f>
        <v>73.602835199999987</v>
      </c>
      <c r="L3112" s="282">
        <f>++Tabla4[[#This Row],[Precio Unitario Neto]]-Tabla4[[#This Row],[20.85%]]</f>
        <v>279.40836479999996</v>
      </c>
      <c r="M3112" s="282" t="e">
        <f>(INDEX(Tabla6[#All],MATCH(Tabla4[[#This Row],[Producto]],Tabla6[[#All],[PRODUCTO]],0),MATCH(Tabla4[[#This Row],[Mes]],Tabla6[#Headers],0)))*(1+Catalogos!$L$2)</f>
        <v>#N/A</v>
      </c>
      <c r="N3112" s="283" t="e">
        <f>+(Tabla4[[#This Row],[Precio Descontado]]-Tabla4[[#This Row],[Precio Base]])*Tabla4[[#This Row],[Cantidad]]</f>
        <v>#N/A</v>
      </c>
      <c r="O3112" s="284" t="e">
        <f>++Tabla4[[#This Row],[Utilidad Total]]/Tabla4[[#This Row],[Total]]</f>
        <v>#N/A</v>
      </c>
      <c r="P3112" s="282">
        <f>++Tabla4[[#This Row],[Precio Descontado]]*Tabla4[[#This Row],[Cantidad]]</f>
        <v>6705.800755199999</v>
      </c>
      <c r="Q3112" s="282" t="e">
        <f>(INDEX(Tabla6[#All],MATCH(Tabla4[[#This Row],[Producto]],Tabla6[[#All],[PRODUCTO]],0),MATCH(Tabla4[[#This Row],[Mes]],Tabla6[#Headers],0)))</f>
        <v>#N/A</v>
      </c>
      <c r="R3112" s="282" t="e">
        <f>++Tabla4[[#This Row],[Precio Unitario Neto]]-Tabla4[[#This Row],[20.85%]]-Tabla4[[#This Row],[Costo]]</f>
        <v>#N/A</v>
      </c>
      <c r="S3112" s="282" t="e">
        <f>++Tabla4[[#This Row],[U. Bruta Uni]]*Tabla4[[#This Row],[Cantidad]]</f>
        <v>#N/A</v>
      </c>
      <c r="T3112" s="369" t="str">
        <f>VLOOKUP(Tabla4[[#This Row],[Producto]],Tabla6[#All],14,FALSE)</f>
        <v>Termico Solar</v>
      </c>
      <c r="U3112" s="284" t="e">
        <f>(IF(Tabla4[[#This Row],[Familia]]="termico solar",Tabla4[[#This Row],[Utilidad Total]]*6%,Tabla4[[#This Row],[Utilidad Total]]*11.5%))/Tabla4[[#This Row],[Total]]</f>
        <v>#N/A</v>
      </c>
      <c r="V3112" s="282" t="e">
        <f>+Tabla4[[#This Row],[Comisión Calculada]]*Tabla4[[#This Row],[Total]]</f>
        <v>#N/A</v>
      </c>
    </row>
    <row r="3113" spans="1:22" hidden="1" x14ac:dyDescent="0.25">
      <c r="A3113" s="100">
        <v>45808</v>
      </c>
      <c r="B3113" t="str">
        <f t="shared" si="148"/>
        <v>May</v>
      </c>
      <c r="C3113" s="46" t="s">
        <v>280</v>
      </c>
      <c r="F3113" s="366" t="s">
        <v>1918</v>
      </c>
      <c r="G3113" s="46" t="s">
        <v>209</v>
      </c>
      <c r="H3113" s="46">
        <v>4</v>
      </c>
      <c r="I3113" s="51">
        <v>347.48</v>
      </c>
      <c r="J3113" s="281">
        <f>++Tabla4[[#This Row],[Precio Bruto]]*1.16</f>
        <v>403.07679999999999</v>
      </c>
      <c r="K3113" s="281">
        <f>+Tabla4[[#This Row],[Precio Unitario Neto]]*Tabla4[[#Headers],[20.85%]]</f>
        <v>84.041512799999992</v>
      </c>
      <c r="L3113" s="282">
        <f>++Tabla4[[#This Row],[Precio Unitario Neto]]-Tabla4[[#This Row],[20.85%]]</f>
        <v>319.03528719999997</v>
      </c>
      <c r="M3113" s="282" t="e">
        <f>(INDEX(Tabla6[#All],MATCH(Tabla4[[#This Row],[Producto]],Tabla6[[#All],[PRODUCTO]],0),MATCH(Tabla4[[#This Row],[Mes]],Tabla6[#Headers],0)))*(1+Catalogos!$L$2)</f>
        <v>#N/A</v>
      </c>
      <c r="N3113" s="283" t="e">
        <f>+(Tabla4[[#This Row],[Precio Descontado]]-Tabla4[[#This Row],[Precio Base]])*Tabla4[[#This Row],[Cantidad]]</f>
        <v>#N/A</v>
      </c>
      <c r="O3113" s="284" t="e">
        <f>++Tabla4[[#This Row],[Utilidad Total]]/Tabla4[[#This Row],[Total]]</f>
        <v>#N/A</v>
      </c>
      <c r="P3113" s="282">
        <f>++Tabla4[[#This Row],[Precio Descontado]]*Tabla4[[#This Row],[Cantidad]]</f>
        <v>1276.1411487999999</v>
      </c>
      <c r="Q3113" s="282" t="e">
        <f>(INDEX(Tabla6[#All],MATCH(Tabla4[[#This Row],[Producto]],Tabla6[[#All],[PRODUCTO]],0),MATCH(Tabla4[[#This Row],[Mes]],Tabla6[#Headers],0)))</f>
        <v>#N/A</v>
      </c>
      <c r="R3113" s="282" t="e">
        <f>++Tabla4[[#This Row],[Precio Unitario Neto]]-Tabla4[[#This Row],[20.85%]]-Tabla4[[#This Row],[Costo]]</f>
        <v>#N/A</v>
      </c>
      <c r="S3113" s="282" t="e">
        <f>++Tabla4[[#This Row],[U. Bruta Uni]]*Tabla4[[#This Row],[Cantidad]]</f>
        <v>#N/A</v>
      </c>
      <c r="T3113" s="369" t="str">
        <f>VLOOKUP(Tabla4[[#This Row],[Producto]],Tabla6[#All],14,FALSE)</f>
        <v>Termico Solar</v>
      </c>
      <c r="U3113" s="284" t="e">
        <f>(IF(Tabla4[[#This Row],[Familia]]="termico solar",Tabla4[[#This Row],[Utilidad Total]]*6%,Tabla4[[#This Row],[Utilidad Total]]*11.5%))/Tabla4[[#This Row],[Total]]</f>
        <v>#N/A</v>
      </c>
      <c r="V3113" s="282" t="e">
        <f>+Tabla4[[#This Row],[Comisión Calculada]]*Tabla4[[#This Row],[Total]]</f>
        <v>#N/A</v>
      </c>
    </row>
    <row r="3114" spans="1:22" hidden="1" x14ac:dyDescent="0.25">
      <c r="A3114" s="100">
        <v>45808</v>
      </c>
      <c r="B3114" t="str">
        <f t="shared" si="148"/>
        <v>May</v>
      </c>
      <c r="C3114" s="46" t="s">
        <v>280</v>
      </c>
      <c r="F3114" s="366" t="s">
        <v>1919</v>
      </c>
      <c r="G3114" s="46" t="s">
        <v>16</v>
      </c>
      <c r="H3114" s="46">
        <v>1</v>
      </c>
      <c r="I3114" s="51">
        <v>4103.8500000000004</v>
      </c>
      <c r="J3114" s="281">
        <f>++Tabla4[[#This Row],[Precio Bruto]]*1.16</f>
        <v>4760.4660000000003</v>
      </c>
      <c r="K3114" s="281">
        <f>+Tabla4[[#This Row],[Precio Unitario Neto]]*Tabla4[[#Headers],[20.85%]]</f>
        <v>992.55716100000006</v>
      </c>
      <c r="L3114" s="282">
        <f>++Tabla4[[#This Row],[Precio Unitario Neto]]-Tabla4[[#This Row],[20.85%]]</f>
        <v>3767.9088390000002</v>
      </c>
      <c r="M3114" s="282" t="e">
        <f>(INDEX(Tabla6[#All],MATCH(Tabla4[[#This Row],[Producto]],Tabla6[[#All],[PRODUCTO]],0),MATCH(Tabla4[[#This Row],[Mes]],Tabla6[#Headers],0)))*(1+Catalogos!$L$2)</f>
        <v>#N/A</v>
      </c>
      <c r="N3114" s="283" t="e">
        <f>+(Tabla4[[#This Row],[Precio Descontado]]-Tabla4[[#This Row],[Precio Base]])*Tabla4[[#This Row],[Cantidad]]</f>
        <v>#N/A</v>
      </c>
      <c r="O3114" s="284" t="e">
        <f>++Tabla4[[#This Row],[Utilidad Total]]/Tabla4[[#This Row],[Total]]</f>
        <v>#N/A</v>
      </c>
      <c r="P3114" s="282">
        <f>++Tabla4[[#This Row],[Precio Descontado]]*Tabla4[[#This Row],[Cantidad]]</f>
        <v>3767.9088390000002</v>
      </c>
      <c r="Q3114" s="282" t="e">
        <f>(INDEX(Tabla6[#All],MATCH(Tabla4[[#This Row],[Producto]],Tabla6[[#All],[PRODUCTO]],0),MATCH(Tabla4[[#This Row],[Mes]],Tabla6[#Headers],0)))</f>
        <v>#N/A</v>
      </c>
      <c r="R3114" s="282" t="e">
        <f>++Tabla4[[#This Row],[Precio Unitario Neto]]-Tabla4[[#This Row],[20.85%]]-Tabla4[[#This Row],[Costo]]</f>
        <v>#N/A</v>
      </c>
      <c r="S3114" s="282" t="e">
        <f>++Tabla4[[#This Row],[U. Bruta Uni]]*Tabla4[[#This Row],[Cantidad]]</f>
        <v>#N/A</v>
      </c>
      <c r="T3114" s="369" t="str">
        <f>VLOOKUP(Tabla4[[#This Row],[Producto]],Tabla6[#All],14,FALSE)</f>
        <v>Termico Solar</v>
      </c>
      <c r="U3114" s="284" t="e">
        <f>(IF(Tabla4[[#This Row],[Familia]]="termico solar",Tabla4[[#This Row],[Utilidad Total]]*6%,Tabla4[[#This Row],[Utilidad Total]]*11.5%))/Tabla4[[#This Row],[Total]]</f>
        <v>#N/A</v>
      </c>
      <c r="V3114" s="282" t="e">
        <f>+Tabla4[[#This Row],[Comisión Calculada]]*Tabla4[[#This Row],[Total]]</f>
        <v>#N/A</v>
      </c>
    </row>
    <row r="3115" spans="1:22" hidden="1" x14ac:dyDescent="0.25">
      <c r="A3115" s="100">
        <v>45808</v>
      </c>
      <c r="B3115" t="str">
        <f t="shared" ref="B3115:B3122" si="149">TEXT(A3115, "mmmm")</f>
        <v>May</v>
      </c>
      <c r="C3115" s="46" t="s">
        <v>280</v>
      </c>
      <c r="F3115" s="366" t="s">
        <v>1920</v>
      </c>
      <c r="G3115" s="46" t="s">
        <v>83</v>
      </c>
      <c r="H3115" s="46">
        <v>3</v>
      </c>
      <c r="I3115" s="51">
        <v>8858.76</v>
      </c>
      <c r="J3115" s="281">
        <f>++Tabla4[[#This Row],[Precio Bruto]]*1.16</f>
        <v>10276.161599999999</v>
      </c>
      <c r="K3115" s="281">
        <f>+Tabla4[[#This Row],[Precio Unitario Neto]]*Tabla4[[#Headers],[20.85%]]</f>
        <v>2142.5796935999997</v>
      </c>
      <c r="L3115" s="282">
        <f>++Tabla4[[#This Row],[Precio Unitario Neto]]-Tabla4[[#This Row],[20.85%]]</f>
        <v>8133.5819063999998</v>
      </c>
      <c r="M3115" s="282" t="e">
        <f>(INDEX(Tabla6[#All],MATCH(Tabla4[[#This Row],[Producto]],Tabla6[[#All],[PRODUCTO]],0),MATCH(Tabla4[[#This Row],[Mes]],Tabla6[#Headers],0)))*(1+Catalogos!$L$2)</f>
        <v>#N/A</v>
      </c>
      <c r="N3115" s="283" t="e">
        <f>+(Tabla4[[#This Row],[Precio Descontado]]-Tabla4[[#This Row],[Precio Base]])*Tabla4[[#This Row],[Cantidad]]</f>
        <v>#N/A</v>
      </c>
      <c r="O3115" s="284" t="e">
        <f>++Tabla4[[#This Row],[Utilidad Total]]/Tabla4[[#This Row],[Total]]</f>
        <v>#N/A</v>
      </c>
      <c r="P3115" s="282">
        <f>++Tabla4[[#This Row],[Precio Descontado]]*Tabla4[[#This Row],[Cantidad]]</f>
        <v>24400.7457192</v>
      </c>
      <c r="Q3115" s="282" t="e">
        <f>(INDEX(Tabla6[#All],MATCH(Tabla4[[#This Row],[Producto]],Tabla6[[#All],[PRODUCTO]],0),MATCH(Tabla4[[#This Row],[Mes]],Tabla6[#Headers],0)))</f>
        <v>#N/A</v>
      </c>
      <c r="R3115" s="282" t="e">
        <f>++Tabla4[[#This Row],[Precio Unitario Neto]]-Tabla4[[#This Row],[20.85%]]-Tabla4[[#This Row],[Costo]]</f>
        <v>#N/A</v>
      </c>
      <c r="S3115" s="282" t="e">
        <f>++Tabla4[[#This Row],[U. Bruta Uni]]*Tabla4[[#This Row],[Cantidad]]</f>
        <v>#N/A</v>
      </c>
      <c r="T3115" s="369" t="str">
        <f>VLOOKUP(Tabla4[[#This Row],[Producto]],Tabla6[#All],14,FALSE)</f>
        <v>Termico Solar</v>
      </c>
      <c r="U3115" s="284" t="e">
        <f>(IF(Tabla4[[#This Row],[Familia]]="termico solar",Tabla4[[#This Row],[Utilidad Total]]*6%,Tabla4[[#This Row],[Utilidad Total]]*11.5%))/Tabla4[[#This Row],[Total]]</f>
        <v>#N/A</v>
      </c>
      <c r="V3115" s="282" t="e">
        <f>+Tabla4[[#This Row],[Comisión Calculada]]*Tabla4[[#This Row],[Total]]</f>
        <v>#N/A</v>
      </c>
    </row>
    <row r="3116" spans="1:22" hidden="1" x14ac:dyDescent="0.25">
      <c r="A3116" s="100">
        <v>45808</v>
      </c>
      <c r="B3116" t="str">
        <f t="shared" si="149"/>
        <v>May</v>
      </c>
      <c r="C3116" s="46" t="s">
        <v>280</v>
      </c>
      <c r="F3116" s="366" t="s">
        <v>1920</v>
      </c>
      <c r="G3116" s="46" t="s">
        <v>566</v>
      </c>
      <c r="H3116" s="46">
        <v>1</v>
      </c>
      <c r="I3116" s="51">
        <v>2109.4499999999998</v>
      </c>
      <c r="J3116" s="281">
        <f>++Tabla4[[#This Row],[Precio Bruto]]*1.16</f>
        <v>2446.9619999999995</v>
      </c>
      <c r="K3116" s="281">
        <f>+Tabla4[[#This Row],[Precio Unitario Neto]]*Tabla4[[#Headers],[20.85%]]</f>
        <v>510.19157699999988</v>
      </c>
      <c r="L3116" s="282">
        <f>++Tabla4[[#This Row],[Precio Unitario Neto]]-Tabla4[[#This Row],[20.85%]]</f>
        <v>1936.7704229999997</v>
      </c>
      <c r="M3116" s="282" t="e">
        <f>(INDEX(Tabla6[#All],MATCH(Tabla4[[#This Row],[Producto]],Tabla6[[#All],[PRODUCTO]],0),MATCH(Tabla4[[#This Row],[Mes]],Tabla6[#Headers],0)))*(1+Catalogos!$L$2)</f>
        <v>#N/A</v>
      </c>
      <c r="N3116" s="283" t="e">
        <f>+(Tabla4[[#This Row],[Precio Descontado]]-Tabla4[[#This Row],[Precio Base]])*Tabla4[[#This Row],[Cantidad]]</f>
        <v>#N/A</v>
      </c>
      <c r="O3116" s="284" t="e">
        <f>++Tabla4[[#This Row],[Utilidad Total]]/Tabla4[[#This Row],[Total]]</f>
        <v>#N/A</v>
      </c>
      <c r="P3116" s="282">
        <f>++Tabla4[[#This Row],[Precio Descontado]]*Tabla4[[#This Row],[Cantidad]]</f>
        <v>1936.7704229999997</v>
      </c>
      <c r="Q3116" s="282" t="e">
        <f>(INDEX(Tabla6[#All],MATCH(Tabla4[[#This Row],[Producto]],Tabla6[[#All],[PRODUCTO]],0),MATCH(Tabla4[[#This Row],[Mes]],Tabla6[#Headers],0)))</f>
        <v>#N/A</v>
      </c>
      <c r="R3116" s="282" t="e">
        <f>++Tabla4[[#This Row],[Precio Unitario Neto]]-Tabla4[[#This Row],[20.85%]]-Tabla4[[#This Row],[Costo]]</f>
        <v>#N/A</v>
      </c>
      <c r="S3116" s="282" t="e">
        <f>++Tabla4[[#This Row],[U. Bruta Uni]]*Tabla4[[#This Row],[Cantidad]]</f>
        <v>#N/A</v>
      </c>
      <c r="T3116" s="369" t="str">
        <f>VLOOKUP(Tabla4[[#This Row],[Producto]],Tabla6[#All],14,FALSE)</f>
        <v>Termico Solar</v>
      </c>
      <c r="U3116" s="284" t="e">
        <f>(IF(Tabla4[[#This Row],[Familia]]="termico solar",Tabla4[[#This Row],[Utilidad Total]]*6%,Tabla4[[#This Row],[Utilidad Total]]*11.5%))/Tabla4[[#This Row],[Total]]</f>
        <v>#N/A</v>
      </c>
      <c r="V3116" s="282" t="e">
        <f>+Tabla4[[#This Row],[Comisión Calculada]]*Tabla4[[#This Row],[Total]]</f>
        <v>#N/A</v>
      </c>
    </row>
    <row r="3117" spans="1:22" hidden="1" x14ac:dyDescent="0.25">
      <c r="A3117" s="100">
        <v>45808</v>
      </c>
      <c r="B3117" t="str">
        <f t="shared" si="149"/>
        <v>May</v>
      </c>
      <c r="C3117" s="46" t="s">
        <v>280</v>
      </c>
      <c r="F3117" s="366" t="s">
        <v>1920</v>
      </c>
      <c r="G3117" s="46" t="s">
        <v>412</v>
      </c>
      <c r="H3117" s="46">
        <v>1</v>
      </c>
      <c r="I3117" s="51">
        <v>3240.84</v>
      </c>
      <c r="J3117" s="281">
        <f>++Tabla4[[#This Row],[Precio Bruto]]*1.16</f>
        <v>3759.3743999999997</v>
      </c>
      <c r="K3117" s="281">
        <f>+Tabla4[[#This Row],[Precio Unitario Neto]]*Tabla4[[#Headers],[20.85%]]</f>
        <v>783.82956239999987</v>
      </c>
      <c r="L3117" s="282">
        <f>++Tabla4[[#This Row],[Precio Unitario Neto]]-Tabla4[[#This Row],[20.85%]]</f>
        <v>2975.5448375999999</v>
      </c>
      <c r="M3117" s="282" t="e">
        <f>(INDEX(Tabla6[#All],MATCH(Tabla4[[#This Row],[Producto]],Tabla6[[#All],[PRODUCTO]],0),MATCH(Tabla4[[#This Row],[Mes]],Tabla6[#Headers],0)))*(1+Catalogos!$L$2)</f>
        <v>#N/A</v>
      </c>
      <c r="N3117" s="283" t="e">
        <f>+(Tabla4[[#This Row],[Precio Descontado]]-Tabla4[[#This Row],[Precio Base]])*Tabla4[[#This Row],[Cantidad]]</f>
        <v>#N/A</v>
      </c>
      <c r="O3117" s="284" t="e">
        <f>++Tabla4[[#This Row],[Utilidad Total]]/Tabla4[[#This Row],[Total]]</f>
        <v>#N/A</v>
      </c>
      <c r="P3117" s="282">
        <f>++Tabla4[[#This Row],[Precio Descontado]]*Tabla4[[#This Row],[Cantidad]]</f>
        <v>2975.5448375999999</v>
      </c>
      <c r="Q3117" s="282" t="e">
        <f>(INDEX(Tabla6[#All],MATCH(Tabla4[[#This Row],[Producto]],Tabla6[[#All],[PRODUCTO]],0),MATCH(Tabla4[[#This Row],[Mes]],Tabla6[#Headers],0)))</f>
        <v>#N/A</v>
      </c>
      <c r="R3117" s="282" t="e">
        <f>++Tabla4[[#This Row],[Precio Unitario Neto]]-Tabla4[[#This Row],[20.85%]]-Tabla4[[#This Row],[Costo]]</f>
        <v>#N/A</v>
      </c>
      <c r="S3117" s="282" t="e">
        <f>++Tabla4[[#This Row],[U. Bruta Uni]]*Tabla4[[#This Row],[Cantidad]]</f>
        <v>#N/A</v>
      </c>
      <c r="T3117" s="369" t="str">
        <f>VLOOKUP(Tabla4[[#This Row],[Producto]],Tabla6[#All],14,FALSE)</f>
        <v>Termico Solar</v>
      </c>
      <c r="U3117" s="284" t="e">
        <f>(IF(Tabla4[[#This Row],[Familia]]="termico solar",Tabla4[[#This Row],[Utilidad Total]]*6%,Tabla4[[#This Row],[Utilidad Total]]*11.5%))/Tabla4[[#This Row],[Total]]</f>
        <v>#N/A</v>
      </c>
      <c r="V3117" s="282" t="e">
        <f>+Tabla4[[#This Row],[Comisión Calculada]]*Tabla4[[#This Row],[Total]]</f>
        <v>#N/A</v>
      </c>
    </row>
    <row r="3118" spans="1:22" hidden="1" x14ac:dyDescent="0.25">
      <c r="A3118" s="100">
        <v>45808</v>
      </c>
      <c r="B3118" t="str">
        <f t="shared" si="149"/>
        <v>May</v>
      </c>
      <c r="C3118" s="46" t="s">
        <v>280</v>
      </c>
      <c r="F3118" s="366" t="s">
        <v>1920</v>
      </c>
      <c r="G3118" s="46" t="s">
        <v>394</v>
      </c>
      <c r="H3118" s="46">
        <v>16</v>
      </c>
      <c r="I3118" s="51">
        <v>224.29</v>
      </c>
      <c r="J3118" s="281">
        <f>++Tabla4[[#This Row],[Precio Bruto]]*1.16</f>
        <v>260.1764</v>
      </c>
      <c r="K3118" s="281">
        <f>+Tabla4[[#This Row],[Precio Unitario Neto]]*Tabla4[[#Headers],[20.85%]]</f>
        <v>54.246779400000001</v>
      </c>
      <c r="L3118" s="282">
        <f>++Tabla4[[#This Row],[Precio Unitario Neto]]-Tabla4[[#This Row],[20.85%]]</f>
        <v>205.92962059999999</v>
      </c>
      <c r="M3118" s="282" t="e">
        <f>(INDEX(Tabla6[#All],MATCH(Tabla4[[#This Row],[Producto]],Tabla6[[#All],[PRODUCTO]],0),MATCH(Tabla4[[#This Row],[Mes]],Tabla6[#Headers],0)))*(1+Catalogos!$L$2)</f>
        <v>#N/A</v>
      </c>
      <c r="N3118" s="283" t="e">
        <f>+(Tabla4[[#This Row],[Precio Descontado]]-Tabla4[[#This Row],[Precio Base]])*Tabla4[[#This Row],[Cantidad]]</f>
        <v>#N/A</v>
      </c>
      <c r="O3118" s="284" t="e">
        <f>++Tabla4[[#This Row],[Utilidad Total]]/Tabla4[[#This Row],[Total]]</f>
        <v>#N/A</v>
      </c>
      <c r="P3118" s="282">
        <f>++Tabla4[[#This Row],[Precio Descontado]]*Tabla4[[#This Row],[Cantidad]]</f>
        <v>3294.8739295999999</v>
      </c>
      <c r="Q3118" s="282" t="e">
        <f>(INDEX(Tabla6[#All],MATCH(Tabla4[[#This Row],[Producto]],Tabla6[[#All],[PRODUCTO]],0),MATCH(Tabla4[[#This Row],[Mes]],Tabla6[#Headers],0)))</f>
        <v>#N/A</v>
      </c>
      <c r="R3118" s="282" t="e">
        <f>++Tabla4[[#This Row],[Precio Unitario Neto]]-Tabla4[[#This Row],[20.85%]]-Tabla4[[#This Row],[Costo]]</f>
        <v>#N/A</v>
      </c>
      <c r="S3118" s="282" t="e">
        <f>++Tabla4[[#This Row],[U. Bruta Uni]]*Tabla4[[#This Row],[Cantidad]]</f>
        <v>#N/A</v>
      </c>
      <c r="T3118" s="369" t="str">
        <f>VLOOKUP(Tabla4[[#This Row],[Producto]],Tabla6[#All],14,FALSE)</f>
        <v>Termico Solar</v>
      </c>
      <c r="U3118" s="284" t="e">
        <f>(IF(Tabla4[[#This Row],[Familia]]="termico solar",Tabla4[[#This Row],[Utilidad Total]]*6%,Tabla4[[#This Row],[Utilidad Total]]*11.5%))/Tabla4[[#This Row],[Total]]</f>
        <v>#N/A</v>
      </c>
      <c r="V3118" s="282" t="e">
        <f>+Tabla4[[#This Row],[Comisión Calculada]]*Tabla4[[#This Row],[Total]]</f>
        <v>#N/A</v>
      </c>
    </row>
    <row r="3119" spans="1:22" hidden="1" x14ac:dyDescent="0.25">
      <c r="A3119" s="100">
        <v>45808</v>
      </c>
      <c r="B3119" t="str">
        <f t="shared" si="149"/>
        <v>May</v>
      </c>
      <c r="C3119" s="46" t="s">
        <v>280</v>
      </c>
      <c r="F3119" s="366" t="s">
        <v>1920</v>
      </c>
      <c r="G3119" s="46" t="s">
        <v>200</v>
      </c>
      <c r="H3119" s="46">
        <v>12</v>
      </c>
      <c r="I3119" s="51">
        <v>393.22</v>
      </c>
      <c r="J3119" s="281">
        <f>++Tabla4[[#This Row],[Precio Bruto]]*1.16</f>
        <v>456.1352</v>
      </c>
      <c r="K3119" s="281">
        <f>+Tabla4[[#This Row],[Precio Unitario Neto]]*Tabla4[[#Headers],[20.85%]]</f>
        <v>95.104189199999993</v>
      </c>
      <c r="L3119" s="282">
        <f>++Tabla4[[#This Row],[Precio Unitario Neto]]-Tabla4[[#This Row],[20.85%]]</f>
        <v>361.03101079999999</v>
      </c>
      <c r="M3119" s="282" t="e">
        <f>(INDEX(Tabla6[#All],MATCH(Tabla4[[#This Row],[Producto]],Tabla6[[#All],[PRODUCTO]],0),MATCH(Tabla4[[#This Row],[Mes]],Tabla6[#Headers],0)))*(1+Catalogos!$L$2)</f>
        <v>#N/A</v>
      </c>
      <c r="N3119" s="283" t="e">
        <f>+(Tabla4[[#This Row],[Precio Descontado]]-Tabla4[[#This Row],[Precio Base]])*Tabla4[[#This Row],[Cantidad]]</f>
        <v>#N/A</v>
      </c>
      <c r="O3119" s="284" t="e">
        <f>++Tabla4[[#This Row],[Utilidad Total]]/Tabla4[[#This Row],[Total]]</f>
        <v>#N/A</v>
      </c>
      <c r="P3119" s="282">
        <f>++Tabla4[[#This Row],[Precio Descontado]]*Tabla4[[#This Row],[Cantidad]]</f>
        <v>4332.3721296000003</v>
      </c>
      <c r="Q3119" s="282" t="e">
        <f>(INDEX(Tabla6[#All],MATCH(Tabla4[[#This Row],[Producto]],Tabla6[[#All],[PRODUCTO]],0),MATCH(Tabla4[[#This Row],[Mes]],Tabla6[#Headers],0)))</f>
        <v>#N/A</v>
      </c>
      <c r="R3119" s="282" t="e">
        <f>++Tabla4[[#This Row],[Precio Unitario Neto]]-Tabla4[[#This Row],[20.85%]]-Tabla4[[#This Row],[Costo]]</f>
        <v>#N/A</v>
      </c>
      <c r="S3119" s="282" t="e">
        <f>++Tabla4[[#This Row],[U. Bruta Uni]]*Tabla4[[#This Row],[Cantidad]]</f>
        <v>#N/A</v>
      </c>
      <c r="T3119" s="369" t="str">
        <f>VLOOKUP(Tabla4[[#This Row],[Producto]],Tabla6[#All],14,FALSE)</f>
        <v>Termico Solar</v>
      </c>
      <c r="U3119" s="284" t="e">
        <f>(IF(Tabla4[[#This Row],[Familia]]="termico solar",Tabla4[[#This Row],[Utilidad Total]]*6%,Tabla4[[#This Row],[Utilidad Total]]*11.5%))/Tabla4[[#This Row],[Total]]</f>
        <v>#N/A</v>
      </c>
      <c r="V3119" s="282" t="e">
        <f>+Tabla4[[#This Row],[Comisión Calculada]]*Tabla4[[#This Row],[Total]]</f>
        <v>#N/A</v>
      </c>
    </row>
    <row r="3120" spans="1:22" hidden="1" x14ac:dyDescent="0.25">
      <c r="A3120" s="100">
        <v>45808</v>
      </c>
      <c r="B3120" t="str">
        <f t="shared" si="149"/>
        <v>May</v>
      </c>
      <c r="C3120" s="46" t="s">
        <v>280</v>
      </c>
      <c r="F3120" s="366" t="s">
        <v>1920</v>
      </c>
      <c r="G3120" s="46" t="s">
        <v>555</v>
      </c>
      <c r="H3120" s="46">
        <v>8</v>
      </c>
      <c r="I3120" s="51">
        <v>389.47</v>
      </c>
      <c r="J3120" s="281">
        <f>++Tabla4[[#This Row],[Precio Bruto]]*1.16</f>
        <v>451.78519999999997</v>
      </c>
      <c r="K3120" s="281">
        <f>+Tabla4[[#This Row],[Precio Unitario Neto]]*Tabla4[[#Headers],[20.85%]]</f>
        <v>94.197214199999991</v>
      </c>
      <c r="L3120" s="282">
        <f>++Tabla4[[#This Row],[Precio Unitario Neto]]-Tabla4[[#This Row],[20.85%]]</f>
        <v>357.58798579999996</v>
      </c>
      <c r="M3120" s="282" t="e">
        <f>(INDEX(Tabla6[#All],MATCH(Tabla4[[#This Row],[Producto]],Tabla6[[#All],[PRODUCTO]],0),MATCH(Tabla4[[#This Row],[Mes]],Tabla6[#Headers],0)))*(1+Catalogos!$L$2)</f>
        <v>#N/A</v>
      </c>
      <c r="N3120" s="283" t="e">
        <f>+(Tabla4[[#This Row],[Precio Descontado]]-Tabla4[[#This Row],[Precio Base]])*Tabla4[[#This Row],[Cantidad]]</f>
        <v>#N/A</v>
      </c>
      <c r="O3120" s="284" t="e">
        <f>++Tabla4[[#This Row],[Utilidad Total]]/Tabla4[[#This Row],[Total]]</f>
        <v>#N/A</v>
      </c>
      <c r="P3120" s="282">
        <f>++Tabla4[[#This Row],[Precio Descontado]]*Tabla4[[#This Row],[Cantidad]]</f>
        <v>2860.7038863999996</v>
      </c>
      <c r="Q3120" s="282" t="e">
        <f>(INDEX(Tabla6[#All],MATCH(Tabla4[[#This Row],[Producto]],Tabla6[[#All],[PRODUCTO]],0),MATCH(Tabla4[[#This Row],[Mes]],Tabla6[#Headers],0)))</f>
        <v>#N/A</v>
      </c>
      <c r="R3120" s="282" t="e">
        <f>++Tabla4[[#This Row],[Precio Unitario Neto]]-Tabla4[[#This Row],[20.85%]]-Tabla4[[#This Row],[Costo]]</f>
        <v>#N/A</v>
      </c>
      <c r="S3120" s="282" t="e">
        <f>++Tabla4[[#This Row],[U. Bruta Uni]]*Tabla4[[#This Row],[Cantidad]]</f>
        <v>#N/A</v>
      </c>
      <c r="T3120" s="369" t="str">
        <f>VLOOKUP(Tabla4[[#This Row],[Producto]],Tabla6[#All],14,FALSE)</f>
        <v>Termico Solar</v>
      </c>
      <c r="U3120" s="284" t="e">
        <f>(IF(Tabla4[[#This Row],[Familia]]="termico solar",Tabla4[[#This Row],[Utilidad Total]]*6%,Tabla4[[#This Row],[Utilidad Total]]*11.5%))/Tabla4[[#This Row],[Total]]</f>
        <v>#N/A</v>
      </c>
      <c r="V3120" s="282" t="e">
        <f>+Tabla4[[#This Row],[Comisión Calculada]]*Tabla4[[#This Row],[Total]]</f>
        <v>#N/A</v>
      </c>
    </row>
    <row r="3121" spans="1:22" hidden="1" x14ac:dyDescent="0.25">
      <c r="A3121" s="100">
        <v>45808</v>
      </c>
      <c r="B3121" t="str">
        <f t="shared" si="149"/>
        <v>May</v>
      </c>
      <c r="C3121" s="46" t="s">
        <v>280</v>
      </c>
      <c r="F3121" s="366" t="s">
        <v>1920</v>
      </c>
      <c r="G3121" s="46" t="s">
        <v>545</v>
      </c>
      <c r="H3121" s="46">
        <v>24</v>
      </c>
      <c r="I3121" s="51">
        <v>304.32</v>
      </c>
      <c r="J3121" s="281">
        <f>++Tabla4[[#This Row],[Precio Bruto]]*1.16</f>
        <v>353.01119999999997</v>
      </c>
      <c r="K3121" s="281">
        <f>+Tabla4[[#This Row],[Precio Unitario Neto]]*Tabla4[[#Headers],[20.85%]]</f>
        <v>73.602835199999987</v>
      </c>
      <c r="L3121" s="282">
        <f>++Tabla4[[#This Row],[Precio Unitario Neto]]-Tabla4[[#This Row],[20.85%]]</f>
        <v>279.40836479999996</v>
      </c>
      <c r="M3121" s="282" t="e">
        <f>(INDEX(Tabla6[#All],MATCH(Tabla4[[#This Row],[Producto]],Tabla6[[#All],[PRODUCTO]],0),MATCH(Tabla4[[#This Row],[Mes]],Tabla6[#Headers],0)))*(1+Catalogos!$L$2)</f>
        <v>#N/A</v>
      </c>
      <c r="N3121" s="283" t="e">
        <f>+(Tabla4[[#This Row],[Precio Descontado]]-Tabla4[[#This Row],[Precio Base]])*Tabla4[[#This Row],[Cantidad]]</f>
        <v>#N/A</v>
      </c>
      <c r="O3121" s="284" t="e">
        <f>++Tabla4[[#This Row],[Utilidad Total]]/Tabla4[[#This Row],[Total]]</f>
        <v>#N/A</v>
      </c>
      <c r="P3121" s="282">
        <f>++Tabla4[[#This Row],[Precio Descontado]]*Tabla4[[#This Row],[Cantidad]]</f>
        <v>6705.800755199999</v>
      </c>
      <c r="Q3121" s="282" t="e">
        <f>(INDEX(Tabla6[#All],MATCH(Tabla4[[#This Row],[Producto]],Tabla6[[#All],[PRODUCTO]],0),MATCH(Tabla4[[#This Row],[Mes]],Tabla6[#Headers],0)))</f>
        <v>#N/A</v>
      </c>
      <c r="R3121" s="282" t="e">
        <f>++Tabla4[[#This Row],[Precio Unitario Neto]]-Tabla4[[#This Row],[20.85%]]-Tabla4[[#This Row],[Costo]]</f>
        <v>#N/A</v>
      </c>
      <c r="S3121" s="282" t="e">
        <f>++Tabla4[[#This Row],[U. Bruta Uni]]*Tabla4[[#This Row],[Cantidad]]</f>
        <v>#N/A</v>
      </c>
      <c r="T3121" s="369" t="str">
        <f>VLOOKUP(Tabla4[[#This Row],[Producto]],Tabla6[#All],14,FALSE)</f>
        <v>Termico Solar</v>
      </c>
      <c r="U3121" s="284" t="e">
        <f>(IF(Tabla4[[#This Row],[Familia]]="termico solar",Tabla4[[#This Row],[Utilidad Total]]*6%,Tabla4[[#This Row],[Utilidad Total]]*11.5%))/Tabla4[[#This Row],[Total]]</f>
        <v>#N/A</v>
      </c>
      <c r="V3121" s="282" t="e">
        <f>+Tabla4[[#This Row],[Comisión Calculada]]*Tabla4[[#This Row],[Total]]</f>
        <v>#N/A</v>
      </c>
    </row>
    <row r="3122" spans="1:22" ht="15.75" hidden="1" customHeight="1" x14ac:dyDescent="0.25">
      <c r="A3122" s="100">
        <v>45808</v>
      </c>
      <c r="B3122" t="str">
        <f t="shared" si="149"/>
        <v>May</v>
      </c>
      <c r="C3122" s="46" t="s">
        <v>280</v>
      </c>
      <c r="F3122" s="366" t="s">
        <v>1920</v>
      </c>
      <c r="G3122" s="46" t="s">
        <v>208</v>
      </c>
      <c r="H3122" s="46">
        <v>5</v>
      </c>
      <c r="I3122" s="51">
        <v>189.75</v>
      </c>
      <c r="J3122" s="281">
        <f>++Tabla4[[#This Row],[Precio Bruto]]*1.16</f>
        <v>220.10999999999999</v>
      </c>
      <c r="K3122" s="281">
        <f>+Tabla4[[#This Row],[Precio Unitario Neto]]*Tabla4[[#Headers],[20.85%]]</f>
        <v>45.892934999999994</v>
      </c>
      <c r="L3122" s="282">
        <f>++Tabla4[[#This Row],[Precio Unitario Neto]]-Tabla4[[#This Row],[20.85%]]</f>
        <v>174.21706499999999</v>
      </c>
      <c r="M3122" s="282" t="e">
        <f>(INDEX(Tabla6[#All],MATCH(Tabla4[[#This Row],[Producto]],Tabla6[[#All],[PRODUCTO]],0),MATCH(Tabla4[[#This Row],[Mes]],Tabla6[#Headers],0)))*(1+Catalogos!$L$2)</f>
        <v>#N/A</v>
      </c>
      <c r="N3122" s="283" t="e">
        <f>+(Tabla4[[#This Row],[Precio Descontado]]-Tabla4[[#This Row],[Precio Base]])*Tabla4[[#This Row],[Cantidad]]</f>
        <v>#N/A</v>
      </c>
      <c r="O3122" s="284" t="e">
        <f>++Tabla4[[#This Row],[Utilidad Total]]/Tabla4[[#This Row],[Total]]</f>
        <v>#N/A</v>
      </c>
      <c r="P3122" s="282">
        <f>++Tabla4[[#This Row],[Precio Descontado]]*Tabla4[[#This Row],[Cantidad]]</f>
        <v>871.08532500000001</v>
      </c>
      <c r="Q3122" s="282" t="e">
        <f>(INDEX(Tabla6[#All],MATCH(Tabla4[[#This Row],[Producto]],Tabla6[[#All],[PRODUCTO]],0),MATCH(Tabla4[[#This Row],[Mes]],Tabla6[#Headers],0)))</f>
        <v>#N/A</v>
      </c>
      <c r="R3122" s="282" t="e">
        <f>++Tabla4[[#This Row],[Precio Unitario Neto]]-Tabla4[[#This Row],[20.85%]]-Tabla4[[#This Row],[Costo]]</f>
        <v>#N/A</v>
      </c>
      <c r="S3122" s="282" t="e">
        <f>++Tabla4[[#This Row],[U. Bruta Uni]]*Tabla4[[#This Row],[Cantidad]]</f>
        <v>#N/A</v>
      </c>
      <c r="T3122" s="369" t="str">
        <f>VLOOKUP(Tabla4[[#This Row],[Producto]],Tabla6[#All],14,FALSE)</f>
        <v>Termico Solar</v>
      </c>
      <c r="U3122" s="284" t="e">
        <f>(IF(Tabla4[[#This Row],[Familia]]="termico solar",Tabla4[[#This Row],[Utilidad Total]]*6%,Tabla4[[#This Row],[Utilidad Total]]*11.5%))/Tabla4[[#This Row],[Total]]</f>
        <v>#N/A</v>
      </c>
      <c r="V3122" s="282" t="e">
        <f>+Tabla4[[#This Row],[Comisión Calculada]]*Tabla4[[#This Row],[Total]]</f>
        <v>#N/A</v>
      </c>
    </row>
    <row r="3123" spans="1:22" ht="15.75" hidden="1" customHeight="1" x14ac:dyDescent="0.25">
      <c r="A3123" s="100">
        <v>45808</v>
      </c>
      <c r="B3123" t="str">
        <f t="shared" ref="B3123:B3145" si="150">TEXT(A3123, "mmmm")</f>
        <v>May</v>
      </c>
      <c r="C3123" s="46" t="s">
        <v>280</v>
      </c>
      <c r="F3123" s="366" t="s">
        <v>1921</v>
      </c>
      <c r="G3123" s="46" t="s">
        <v>83</v>
      </c>
      <c r="H3123" s="46">
        <v>2</v>
      </c>
      <c r="I3123" s="51">
        <v>8858.76</v>
      </c>
      <c r="J3123" s="281">
        <f>++Tabla4[[#This Row],[Precio Bruto]]*1.16</f>
        <v>10276.161599999999</v>
      </c>
      <c r="K3123" s="281">
        <f>+Tabla4[[#This Row],[Precio Unitario Neto]]*Tabla4[[#Headers],[20.85%]]</f>
        <v>2142.5796935999997</v>
      </c>
      <c r="L3123" s="282">
        <f>++Tabla4[[#This Row],[Precio Unitario Neto]]-Tabla4[[#This Row],[20.85%]]</f>
        <v>8133.5819063999998</v>
      </c>
      <c r="M3123" s="282" t="e">
        <f>(INDEX(Tabla6[#All],MATCH(Tabla4[[#This Row],[Producto]],Tabla6[[#All],[PRODUCTO]],0),MATCH(Tabla4[[#This Row],[Mes]],Tabla6[#Headers],0)))*(1+Catalogos!$L$2)</f>
        <v>#N/A</v>
      </c>
      <c r="N3123" s="283" t="e">
        <f>+(Tabla4[[#This Row],[Precio Descontado]]-Tabla4[[#This Row],[Precio Base]])*Tabla4[[#This Row],[Cantidad]]</f>
        <v>#N/A</v>
      </c>
      <c r="O3123" s="284" t="e">
        <f>++Tabla4[[#This Row],[Utilidad Total]]/Tabla4[[#This Row],[Total]]</f>
        <v>#N/A</v>
      </c>
      <c r="P3123" s="282">
        <f>++Tabla4[[#This Row],[Precio Descontado]]*Tabla4[[#This Row],[Cantidad]]</f>
        <v>16267.1638128</v>
      </c>
      <c r="Q3123" s="282" t="e">
        <f>(INDEX(Tabla6[#All],MATCH(Tabla4[[#This Row],[Producto]],Tabla6[[#All],[PRODUCTO]],0),MATCH(Tabla4[[#This Row],[Mes]],Tabla6[#Headers],0)))</f>
        <v>#N/A</v>
      </c>
      <c r="R3123" s="282" t="e">
        <f>++Tabla4[[#This Row],[Precio Unitario Neto]]-Tabla4[[#This Row],[20.85%]]-Tabla4[[#This Row],[Costo]]</f>
        <v>#N/A</v>
      </c>
      <c r="S3123" s="282" t="e">
        <f>++Tabla4[[#This Row],[U. Bruta Uni]]*Tabla4[[#This Row],[Cantidad]]</f>
        <v>#N/A</v>
      </c>
      <c r="T3123" s="369" t="str">
        <f>VLOOKUP(Tabla4[[#This Row],[Producto]],Tabla6[#All],14,FALSE)</f>
        <v>Termico Solar</v>
      </c>
      <c r="U3123" s="284" t="e">
        <f>(IF(Tabla4[[#This Row],[Familia]]="termico solar",Tabla4[[#This Row],[Utilidad Total]]*6%,Tabla4[[#This Row],[Utilidad Total]]*11.5%))/Tabla4[[#This Row],[Total]]</f>
        <v>#N/A</v>
      </c>
      <c r="V3123" s="282" t="e">
        <f>+Tabla4[[#This Row],[Comisión Calculada]]*Tabla4[[#This Row],[Total]]</f>
        <v>#N/A</v>
      </c>
    </row>
    <row r="3124" spans="1:22" hidden="1" x14ac:dyDescent="0.25">
      <c r="A3124" s="100">
        <v>45808</v>
      </c>
      <c r="B3124" t="str">
        <f t="shared" si="150"/>
        <v>May</v>
      </c>
      <c r="C3124" s="46" t="s">
        <v>280</v>
      </c>
      <c r="F3124" s="366" t="s">
        <v>1921</v>
      </c>
      <c r="G3124" s="46" t="s">
        <v>17</v>
      </c>
      <c r="H3124" s="46">
        <v>2</v>
      </c>
      <c r="I3124" s="51">
        <v>4622.28</v>
      </c>
      <c r="J3124" s="281">
        <f>++Tabla4[[#This Row],[Precio Bruto]]*1.16</f>
        <v>5361.8447999999989</v>
      </c>
      <c r="K3124" s="281">
        <f>+Tabla4[[#This Row],[Precio Unitario Neto]]*Tabla4[[#Headers],[20.85%]]</f>
        <v>1117.9446407999997</v>
      </c>
      <c r="L3124" s="282">
        <f>++Tabla4[[#This Row],[Precio Unitario Neto]]-Tabla4[[#This Row],[20.85%]]</f>
        <v>4243.9001591999995</v>
      </c>
      <c r="M3124" s="282" t="e">
        <f>(INDEX(Tabla6[#All],MATCH(Tabla4[[#This Row],[Producto]],Tabla6[[#All],[PRODUCTO]],0),MATCH(Tabla4[[#This Row],[Mes]],Tabla6[#Headers],0)))*(1+Catalogos!$L$2)</f>
        <v>#N/A</v>
      </c>
      <c r="N3124" s="283" t="e">
        <f>+(Tabla4[[#This Row],[Precio Descontado]]-Tabla4[[#This Row],[Precio Base]])*Tabla4[[#This Row],[Cantidad]]</f>
        <v>#N/A</v>
      </c>
      <c r="O3124" s="284" t="e">
        <f>++Tabla4[[#This Row],[Utilidad Total]]/Tabla4[[#This Row],[Total]]</f>
        <v>#N/A</v>
      </c>
      <c r="P3124" s="282">
        <f>++Tabla4[[#This Row],[Precio Descontado]]*Tabla4[[#This Row],[Cantidad]]</f>
        <v>8487.800318399999</v>
      </c>
      <c r="Q3124" s="282" t="e">
        <f>(INDEX(Tabla6[#All],MATCH(Tabla4[[#This Row],[Producto]],Tabla6[[#All],[PRODUCTO]],0),MATCH(Tabla4[[#This Row],[Mes]],Tabla6[#Headers],0)))</f>
        <v>#N/A</v>
      </c>
      <c r="R3124" s="282" t="e">
        <f>++Tabla4[[#This Row],[Precio Unitario Neto]]-Tabla4[[#This Row],[20.85%]]-Tabla4[[#This Row],[Costo]]</f>
        <v>#N/A</v>
      </c>
      <c r="S3124" s="282" t="e">
        <f>++Tabla4[[#This Row],[U. Bruta Uni]]*Tabla4[[#This Row],[Cantidad]]</f>
        <v>#N/A</v>
      </c>
      <c r="T3124" s="369" t="str">
        <f>VLOOKUP(Tabla4[[#This Row],[Producto]],Tabla6[#All],14,FALSE)</f>
        <v>Termico Solar</v>
      </c>
      <c r="U3124" s="284" t="e">
        <f>(IF(Tabla4[[#This Row],[Familia]]="termico solar",Tabla4[[#This Row],[Utilidad Total]]*6%,Tabla4[[#This Row],[Utilidad Total]]*11.5%))/Tabla4[[#This Row],[Total]]</f>
        <v>#N/A</v>
      </c>
      <c r="V3124" s="282" t="e">
        <f>+Tabla4[[#This Row],[Comisión Calculada]]*Tabla4[[#This Row],[Total]]</f>
        <v>#N/A</v>
      </c>
    </row>
    <row r="3125" spans="1:22" hidden="1" x14ac:dyDescent="0.25">
      <c r="A3125" s="100">
        <v>45808</v>
      </c>
      <c r="B3125" t="str">
        <f t="shared" si="150"/>
        <v>May</v>
      </c>
      <c r="C3125" s="46" t="s">
        <v>280</v>
      </c>
      <c r="F3125" s="366" t="s">
        <v>1921</v>
      </c>
      <c r="G3125" s="46" t="s">
        <v>18</v>
      </c>
      <c r="H3125" s="46">
        <v>1</v>
      </c>
      <c r="I3125" s="51">
        <v>5367.65</v>
      </c>
      <c r="J3125" s="281">
        <f>++Tabla4[[#This Row],[Precio Bruto]]*1.16</f>
        <v>6226.4739999999993</v>
      </c>
      <c r="K3125" s="281">
        <f>+Tabla4[[#This Row],[Precio Unitario Neto]]*Tabla4[[#Headers],[20.85%]]</f>
        <v>1298.2198289999999</v>
      </c>
      <c r="L3125" s="282">
        <f>++Tabla4[[#This Row],[Precio Unitario Neto]]-Tabla4[[#This Row],[20.85%]]</f>
        <v>4928.2541709999996</v>
      </c>
      <c r="M3125" s="282" t="e">
        <f>(INDEX(Tabla6[#All],MATCH(Tabla4[[#This Row],[Producto]],Tabla6[[#All],[PRODUCTO]],0),MATCH(Tabla4[[#This Row],[Mes]],Tabla6[#Headers],0)))*(1+Catalogos!$L$2)</f>
        <v>#N/A</v>
      </c>
      <c r="N3125" s="283" t="e">
        <f>+(Tabla4[[#This Row],[Precio Descontado]]-Tabla4[[#This Row],[Precio Base]])*Tabla4[[#This Row],[Cantidad]]</f>
        <v>#N/A</v>
      </c>
      <c r="O3125" s="284" t="e">
        <f>++Tabla4[[#This Row],[Utilidad Total]]/Tabla4[[#This Row],[Total]]</f>
        <v>#N/A</v>
      </c>
      <c r="P3125" s="282">
        <f>++Tabla4[[#This Row],[Precio Descontado]]*Tabla4[[#This Row],[Cantidad]]</f>
        <v>4928.2541709999996</v>
      </c>
      <c r="Q3125" s="282" t="e">
        <f>(INDEX(Tabla6[#All],MATCH(Tabla4[[#This Row],[Producto]],Tabla6[[#All],[PRODUCTO]],0),MATCH(Tabla4[[#This Row],[Mes]],Tabla6[#Headers],0)))</f>
        <v>#N/A</v>
      </c>
      <c r="R3125" s="282" t="e">
        <f>++Tabla4[[#This Row],[Precio Unitario Neto]]-Tabla4[[#This Row],[20.85%]]-Tabla4[[#This Row],[Costo]]</f>
        <v>#N/A</v>
      </c>
      <c r="S3125" s="282" t="e">
        <f>++Tabla4[[#This Row],[U. Bruta Uni]]*Tabla4[[#This Row],[Cantidad]]</f>
        <v>#N/A</v>
      </c>
      <c r="T3125" s="369" t="str">
        <f>VLOOKUP(Tabla4[[#This Row],[Producto]],Tabla6[#All],14,FALSE)</f>
        <v>Termico Solar</v>
      </c>
      <c r="U3125" s="284" t="e">
        <f>(IF(Tabla4[[#This Row],[Familia]]="termico solar",Tabla4[[#This Row],[Utilidad Total]]*6%,Tabla4[[#This Row],[Utilidad Total]]*11.5%))/Tabla4[[#This Row],[Total]]</f>
        <v>#N/A</v>
      </c>
      <c r="V3125" s="282" t="e">
        <f>+Tabla4[[#This Row],[Comisión Calculada]]*Tabla4[[#This Row],[Total]]</f>
        <v>#N/A</v>
      </c>
    </row>
    <row r="3126" spans="1:22" hidden="1" x14ac:dyDescent="0.25">
      <c r="A3126" s="100">
        <v>45808</v>
      </c>
      <c r="B3126" t="str">
        <f t="shared" si="150"/>
        <v>May</v>
      </c>
      <c r="C3126" s="46" t="s">
        <v>280</v>
      </c>
      <c r="F3126" s="366" t="s">
        <v>1921</v>
      </c>
      <c r="G3126" s="46" t="s">
        <v>566</v>
      </c>
      <c r="H3126" s="46">
        <v>1</v>
      </c>
      <c r="I3126" s="51">
        <v>2109.4499999999998</v>
      </c>
      <c r="J3126" s="281">
        <f>++Tabla4[[#This Row],[Precio Bruto]]*1.16</f>
        <v>2446.9619999999995</v>
      </c>
      <c r="K3126" s="281">
        <f>+Tabla4[[#This Row],[Precio Unitario Neto]]*Tabla4[[#Headers],[20.85%]]</f>
        <v>510.19157699999988</v>
      </c>
      <c r="L3126" s="282">
        <f>++Tabla4[[#This Row],[Precio Unitario Neto]]-Tabla4[[#This Row],[20.85%]]</f>
        <v>1936.7704229999997</v>
      </c>
      <c r="M3126" s="282" t="e">
        <f>(INDEX(Tabla6[#All],MATCH(Tabla4[[#This Row],[Producto]],Tabla6[[#All],[PRODUCTO]],0),MATCH(Tabla4[[#This Row],[Mes]],Tabla6[#Headers],0)))*(1+Catalogos!$L$2)</f>
        <v>#N/A</v>
      </c>
      <c r="N3126" s="283" t="e">
        <f>+(Tabla4[[#This Row],[Precio Descontado]]-Tabla4[[#This Row],[Precio Base]])*Tabla4[[#This Row],[Cantidad]]</f>
        <v>#N/A</v>
      </c>
      <c r="O3126" s="284" t="e">
        <f>++Tabla4[[#This Row],[Utilidad Total]]/Tabla4[[#This Row],[Total]]</f>
        <v>#N/A</v>
      </c>
      <c r="P3126" s="282">
        <f>++Tabla4[[#This Row],[Precio Descontado]]*Tabla4[[#This Row],[Cantidad]]</f>
        <v>1936.7704229999997</v>
      </c>
      <c r="Q3126" s="282" t="e">
        <f>(INDEX(Tabla6[#All],MATCH(Tabla4[[#This Row],[Producto]],Tabla6[[#All],[PRODUCTO]],0),MATCH(Tabla4[[#This Row],[Mes]],Tabla6[#Headers],0)))</f>
        <v>#N/A</v>
      </c>
      <c r="R3126" s="282" t="e">
        <f>++Tabla4[[#This Row],[Precio Unitario Neto]]-Tabla4[[#This Row],[20.85%]]-Tabla4[[#This Row],[Costo]]</f>
        <v>#N/A</v>
      </c>
      <c r="S3126" s="282" t="e">
        <f>++Tabla4[[#This Row],[U. Bruta Uni]]*Tabla4[[#This Row],[Cantidad]]</f>
        <v>#N/A</v>
      </c>
      <c r="T3126" s="369" t="str">
        <f>VLOOKUP(Tabla4[[#This Row],[Producto]],Tabla6[#All],14,FALSE)</f>
        <v>Termico Solar</v>
      </c>
      <c r="U3126" s="284" t="e">
        <f>(IF(Tabla4[[#This Row],[Familia]]="termico solar",Tabla4[[#This Row],[Utilidad Total]]*6%,Tabla4[[#This Row],[Utilidad Total]]*11.5%))/Tabla4[[#This Row],[Total]]</f>
        <v>#N/A</v>
      </c>
      <c r="V3126" s="282" t="e">
        <f>+Tabla4[[#This Row],[Comisión Calculada]]*Tabla4[[#This Row],[Total]]</f>
        <v>#N/A</v>
      </c>
    </row>
    <row r="3127" spans="1:22" hidden="1" x14ac:dyDescent="0.25">
      <c r="A3127" s="100">
        <v>45808</v>
      </c>
      <c r="B3127" t="str">
        <f t="shared" si="150"/>
        <v>May</v>
      </c>
      <c r="C3127" s="46" t="s">
        <v>280</v>
      </c>
      <c r="F3127" s="366" t="s">
        <v>1921</v>
      </c>
      <c r="G3127" s="46" t="s">
        <v>16</v>
      </c>
      <c r="H3127" s="46">
        <v>2</v>
      </c>
      <c r="I3127" s="51">
        <v>4103.8500000000004</v>
      </c>
      <c r="J3127" s="281">
        <f>++Tabla4[[#This Row],[Precio Bruto]]*1.16</f>
        <v>4760.4660000000003</v>
      </c>
      <c r="K3127" s="281">
        <f>+Tabla4[[#This Row],[Precio Unitario Neto]]*Tabla4[[#Headers],[20.85%]]</f>
        <v>992.55716100000006</v>
      </c>
      <c r="L3127" s="282">
        <f>++Tabla4[[#This Row],[Precio Unitario Neto]]-Tabla4[[#This Row],[20.85%]]</f>
        <v>3767.9088390000002</v>
      </c>
      <c r="M3127" s="282" t="e">
        <f>(INDEX(Tabla6[#All],MATCH(Tabla4[[#This Row],[Producto]],Tabla6[[#All],[PRODUCTO]],0),MATCH(Tabla4[[#This Row],[Mes]],Tabla6[#Headers],0)))*(1+Catalogos!$L$2)</f>
        <v>#N/A</v>
      </c>
      <c r="N3127" s="283" t="e">
        <f>+(Tabla4[[#This Row],[Precio Descontado]]-Tabla4[[#This Row],[Precio Base]])*Tabla4[[#This Row],[Cantidad]]</f>
        <v>#N/A</v>
      </c>
      <c r="O3127" s="284" t="e">
        <f>++Tabla4[[#This Row],[Utilidad Total]]/Tabla4[[#This Row],[Total]]</f>
        <v>#N/A</v>
      </c>
      <c r="P3127" s="282">
        <f>++Tabla4[[#This Row],[Precio Descontado]]*Tabla4[[#This Row],[Cantidad]]</f>
        <v>7535.8176780000003</v>
      </c>
      <c r="Q3127" s="282" t="e">
        <f>(INDEX(Tabla6[#All],MATCH(Tabla4[[#This Row],[Producto]],Tabla6[[#All],[PRODUCTO]],0),MATCH(Tabla4[[#This Row],[Mes]],Tabla6[#Headers],0)))</f>
        <v>#N/A</v>
      </c>
      <c r="R3127" s="282" t="e">
        <f>++Tabla4[[#This Row],[Precio Unitario Neto]]-Tabla4[[#This Row],[20.85%]]-Tabla4[[#This Row],[Costo]]</f>
        <v>#N/A</v>
      </c>
      <c r="S3127" s="282" t="e">
        <f>++Tabla4[[#This Row],[U. Bruta Uni]]*Tabla4[[#This Row],[Cantidad]]</f>
        <v>#N/A</v>
      </c>
      <c r="T3127" s="369" t="str">
        <f>VLOOKUP(Tabla4[[#This Row],[Producto]],Tabla6[#All],14,FALSE)</f>
        <v>Termico Solar</v>
      </c>
      <c r="U3127" s="284" t="e">
        <f>(IF(Tabla4[[#This Row],[Familia]]="termico solar",Tabla4[[#This Row],[Utilidad Total]]*6%,Tabla4[[#This Row],[Utilidad Total]]*11.5%))/Tabla4[[#This Row],[Total]]</f>
        <v>#N/A</v>
      </c>
      <c r="V3127" s="282" t="e">
        <f>+Tabla4[[#This Row],[Comisión Calculada]]*Tabla4[[#This Row],[Total]]</f>
        <v>#N/A</v>
      </c>
    </row>
    <row r="3128" spans="1:22" hidden="1" x14ac:dyDescent="0.25">
      <c r="A3128" s="100">
        <v>45808</v>
      </c>
      <c r="B3128" t="str">
        <f t="shared" si="150"/>
        <v>May</v>
      </c>
      <c r="C3128" s="46" t="s">
        <v>280</v>
      </c>
      <c r="F3128" s="366" t="s">
        <v>1922</v>
      </c>
      <c r="G3128" s="46" t="s">
        <v>83</v>
      </c>
      <c r="H3128" s="46">
        <v>1</v>
      </c>
      <c r="I3128" s="51">
        <v>8858.76</v>
      </c>
      <c r="J3128" s="281">
        <f>++Tabla4[[#This Row],[Precio Bruto]]*1.16</f>
        <v>10276.161599999999</v>
      </c>
      <c r="K3128" s="281">
        <f>+Tabla4[[#This Row],[Precio Unitario Neto]]*Tabla4[[#Headers],[20.85%]]</f>
        <v>2142.5796935999997</v>
      </c>
      <c r="L3128" s="282">
        <f>++Tabla4[[#This Row],[Precio Unitario Neto]]-Tabla4[[#This Row],[20.85%]]</f>
        <v>8133.5819063999998</v>
      </c>
      <c r="M3128" s="282" t="e">
        <f>(INDEX(Tabla6[#All],MATCH(Tabla4[[#This Row],[Producto]],Tabla6[[#All],[PRODUCTO]],0),MATCH(Tabla4[[#This Row],[Mes]],Tabla6[#Headers],0)))*(1+Catalogos!$L$2)</f>
        <v>#N/A</v>
      </c>
      <c r="N3128" s="283" t="e">
        <f>+(Tabla4[[#This Row],[Precio Descontado]]-Tabla4[[#This Row],[Precio Base]])*Tabla4[[#This Row],[Cantidad]]</f>
        <v>#N/A</v>
      </c>
      <c r="O3128" s="284" t="e">
        <f>++Tabla4[[#This Row],[Utilidad Total]]/Tabla4[[#This Row],[Total]]</f>
        <v>#N/A</v>
      </c>
      <c r="P3128" s="282">
        <f>++Tabla4[[#This Row],[Precio Descontado]]*Tabla4[[#This Row],[Cantidad]]</f>
        <v>8133.5819063999998</v>
      </c>
      <c r="Q3128" s="282" t="e">
        <f>(INDEX(Tabla6[#All],MATCH(Tabla4[[#This Row],[Producto]],Tabla6[[#All],[PRODUCTO]],0),MATCH(Tabla4[[#This Row],[Mes]],Tabla6[#Headers],0)))</f>
        <v>#N/A</v>
      </c>
      <c r="R3128" s="282" t="e">
        <f>++Tabla4[[#This Row],[Precio Unitario Neto]]-Tabla4[[#This Row],[20.85%]]-Tabla4[[#This Row],[Costo]]</f>
        <v>#N/A</v>
      </c>
      <c r="S3128" s="282" t="e">
        <f>++Tabla4[[#This Row],[U. Bruta Uni]]*Tabla4[[#This Row],[Cantidad]]</f>
        <v>#N/A</v>
      </c>
      <c r="T3128" s="369" t="str">
        <f>VLOOKUP(Tabla4[[#This Row],[Producto]],Tabla6[#All],14,FALSE)</f>
        <v>Termico Solar</v>
      </c>
      <c r="U3128" s="284" t="e">
        <f>(IF(Tabla4[[#This Row],[Familia]]="termico solar",Tabla4[[#This Row],[Utilidad Total]]*6%,Tabla4[[#This Row],[Utilidad Total]]*11.5%))/Tabla4[[#This Row],[Total]]</f>
        <v>#N/A</v>
      </c>
      <c r="V3128" s="282" t="e">
        <f>+Tabla4[[#This Row],[Comisión Calculada]]*Tabla4[[#This Row],[Total]]</f>
        <v>#N/A</v>
      </c>
    </row>
    <row r="3129" spans="1:22" hidden="1" x14ac:dyDescent="0.25">
      <c r="A3129" s="100">
        <v>45808</v>
      </c>
      <c r="B3129" t="str">
        <f t="shared" si="150"/>
        <v>May</v>
      </c>
      <c r="C3129" s="46" t="s">
        <v>280</v>
      </c>
      <c r="F3129" s="366" t="s">
        <v>1922</v>
      </c>
      <c r="G3129" s="46" t="s">
        <v>17</v>
      </c>
      <c r="H3129" s="46">
        <v>5</v>
      </c>
      <c r="I3129" s="51">
        <v>4622.2800000000007</v>
      </c>
      <c r="J3129" s="281">
        <f>++Tabla4[[#This Row],[Precio Bruto]]*1.16</f>
        <v>5361.8448000000008</v>
      </c>
      <c r="K3129" s="281">
        <f>+Tabla4[[#This Row],[Precio Unitario Neto]]*Tabla4[[#Headers],[20.85%]]</f>
        <v>1117.9446408000001</v>
      </c>
      <c r="L3129" s="282">
        <f>++Tabla4[[#This Row],[Precio Unitario Neto]]-Tabla4[[#This Row],[20.85%]]</f>
        <v>4243.9001592000004</v>
      </c>
      <c r="M3129" s="282" t="e">
        <f>(INDEX(Tabla6[#All],MATCH(Tabla4[[#This Row],[Producto]],Tabla6[[#All],[PRODUCTO]],0),MATCH(Tabla4[[#This Row],[Mes]],Tabla6[#Headers],0)))*(1+Catalogos!$L$2)</f>
        <v>#N/A</v>
      </c>
      <c r="N3129" s="283" t="e">
        <f>+(Tabla4[[#This Row],[Precio Descontado]]-Tabla4[[#This Row],[Precio Base]])*Tabla4[[#This Row],[Cantidad]]</f>
        <v>#N/A</v>
      </c>
      <c r="O3129" s="284" t="e">
        <f>++Tabla4[[#This Row],[Utilidad Total]]/Tabla4[[#This Row],[Total]]</f>
        <v>#N/A</v>
      </c>
      <c r="P3129" s="282">
        <f>++Tabla4[[#This Row],[Precio Descontado]]*Tabla4[[#This Row],[Cantidad]]</f>
        <v>21219.500796</v>
      </c>
      <c r="Q3129" s="282" t="e">
        <f>(INDEX(Tabla6[#All],MATCH(Tabla4[[#This Row],[Producto]],Tabla6[[#All],[PRODUCTO]],0),MATCH(Tabla4[[#This Row],[Mes]],Tabla6[#Headers],0)))</f>
        <v>#N/A</v>
      </c>
      <c r="R3129" s="282" t="e">
        <f>++Tabla4[[#This Row],[Precio Unitario Neto]]-Tabla4[[#This Row],[20.85%]]-Tabla4[[#This Row],[Costo]]</f>
        <v>#N/A</v>
      </c>
      <c r="S3129" s="282" t="e">
        <f>++Tabla4[[#This Row],[U. Bruta Uni]]*Tabla4[[#This Row],[Cantidad]]</f>
        <v>#N/A</v>
      </c>
      <c r="T3129" s="369" t="str">
        <f>VLOOKUP(Tabla4[[#This Row],[Producto]],Tabla6[#All],14,FALSE)</f>
        <v>Termico Solar</v>
      </c>
      <c r="U3129" s="284" t="e">
        <f>(IF(Tabla4[[#This Row],[Familia]]="termico solar",Tabla4[[#This Row],[Utilidad Total]]*6%,Tabla4[[#This Row],[Utilidad Total]]*11.5%))/Tabla4[[#This Row],[Total]]</f>
        <v>#N/A</v>
      </c>
      <c r="V3129" s="282" t="e">
        <f>+Tabla4[[#This Row],[Comisión Calculada]]*Tabla4[[#This Row],[Total]]</f>
        <v>#N/A</v>
      </c>
    </row>
    <row r="3130" spans="1:22" hidden="1" x14ac:dyDescent="0.25">
      <c r="A3130" s="100">
        <v>45808</v>
      </c>
      <c r="B3130" t="str">
        <f t="shared" si="150"/>
        <v>May</v>
      </c>
      <c r="C3130" s="46" t="s">
        <v>280</v>
      </c>
      <c r="F3130" s="366" t="s">
        <v>1922</v>
      </c>
      <c r="G3130" s="46" t="s">
        <v>566</v>
      </c>
      <c r="H3130" s="46">
        <v>1</v>
      </c>
      <c r="I3130" s="51">
        <v>2109.4499999999998</v>
      </c>
      <c r="J3130" s="281">
        <f>++Tabla4[[#This Row],[Precio Bruto]]*1.16</f>
        <v>2446.9619999999995</v>
      </c>
      <c r="K3130" s="281">
        <f>+Tabla4[[#This Row],[Precio Unitario Neto]]*Tabla4[[#Headers],[20.85%]]</f>
        <v>510.19157699999988</v>
      </c>
      <c r="L3130" s="282">
        <f>++Tabla4[[#This Row],[Precio Unitario Neto]]-Tabla4[[#This Row],[20.85%]]</f>
        <v>1936.7704229999997</v>
      </c>
      <c r="M3130" s="282" t="e">
        <f>(INDEX(Tabla6[#All],MATCH(Tabla4[[#This Row],[Producto]],Tabla6[[#All],[PRODUCTO]],0),MATCH(Tabla4[[#This Row],[Mes]],Tabla6[#Headers],0)))*(1+Catalogos!$L$2)</f>
        <v>#N/A</v>
      </c>
      <c r="N3130" s="283" t="e">
        <f>+(Tabla4[[#This Row],[Precio Descontado]]-Tabla4[[#This Row],[Precio Base]])*Tabla4[[#This Row],[Cantidad]]</f>
        <v>#N/A</v>
      </c>
      <c r="O3130" s="284" t="e">
        <f>++Tabla4[[#This Row],[Utilidad Total]]/Tabla4[[#This Row],[Total]]</f>
        <v>#N/A</v>
      </c>
      <c r="P3130" s="282">
        <f>++Tabla4[[#This Row],[Precio Descontado]]*Tabla4[[#This Row],[Cantidad]]</f>
        <v>1936.7704229999997</v>
      </c>
      <c r="Q3130" s="282" t="e">
        <f>(INDEX(Tabla6[#All],MATCH(Tabla4[[#This Row],[Producto]],Tabla6[[#All],[PRODUCTO]],0),MATCH(Tabla4[[#This Row],[Mes]],Tabla6[#Headers],0)))</f>
        <v>#N/A</v>
      </c>
      <c r="R3130" s="282" t="e">
        <f>++Tabla4[[#This Row],[Precio Unitario Neto]]-Tabla4[[#This Row],[20.85%]]-Tabla4[[#This Row],[Costo]]</f>
        <v>#N/A</v>
      </c>
      <c r="S3130" s="282" t="e">
        <f>++Tabla4[[#This Row],[U. Bruta Uni]]*Tabla4[[#This Row],[Cantidad]]</f>
        <v>#N/A</v>
      </c>
      <c r="T3130" s="369" t="str">
        <f>VLOOKUP(Tabla4[[#This Row],[Producto]],Tabla6[#All],14,FALSE)</f>
        <v>Termico Solar</v>
      </c>
      <c r="U3130" s="284" t="e">
        <f>(IF(Tabla4[[#This Row],[Familia]]="termico solar",Tabla4[[#This Row],[Utilidad Total]]*6%,Tabla4[[#This Row],[Utilidad Total]]*11.5%))/Tabla4[[#This Row],[Total]]</f>
        <v>#N/A</v>
      </c>
      <c r="V3130" s="282" t="e">
        <f>+Tabla4[[#This Row],[Comisión Calculada]]*Tabla4[[#This Row],[Total]]</f>
        <v>#N/A</v>
      </c>
    </row>
    <row r="3131" spans="1:22" hidden="1" x14ac:dyDescent="0.25">
      <c r="A3131" s="100">
        <v>45808</v>
      </c>
      <c r="B3131" t="str">
        <f t="shared" si="150"/>
        <v>May</v>
      </c>
      <c r="C3131" s="46" t="s">
        <v>280</v>
      </c>
      <c r="F3131" s="366" t="s">
        <v>1923</v>
      </c>
      <c r="G3131" s="46" t="s">
        <v>83</v>
      </c>
      <c r="H3131" s="46">
        <v>1</v>
      </c>
      <c r="I3131" s="51">
        <v>8858.76</v>
      </c>
      <c r="J3131" s="281">
        <f>++Tabla4[[#This Row],[Precio Bruto]]*1.16</f>
        <v>10276.161599999999</v>
      </c>
      <c r="K3131" s="281">
        <f>+Tabla4[[#This Row],[Precio Unitario Neto]]*Tabla4[[#Headers],[20.85%]]</f>
        <v>2142.5796935999997</v>
      </c>
      <c r="L3131" s="282">
        <f>++Tabla4[[#This Row],[Precio Unitario Neto]]-Tabla4[[#This Row],[20.85%]]</f>
        <v>8133.5819063999998</v>
      </c>
      <c r="M3131" s="282" t="e">
        <f>(INDEX(Tabla6[#All],MATCH(Tabla4[[#This Row],[Producto]],Tabla6[[#All],[PRODUCTO]],0),MATCH(Tabla4[[#This Row],[Mes]],Tabla6[#Headers],0)))*(1+Catalogos!$L$2)</f>
        <v>#N/A</v>
      </c>
      <c r="N3131" s="283" t="e">
        <f>+(Tabla4[[#This Row],[Precio Descontado]]-Tabla4[[#This Row],[Precio Base]])*Tabla4[[#This Row],[Cantidad]]</f>
        <v>#N/A</v>
      </c>
      <c r="O3131" s="284" t="e">
        <f>++Tabla4[[#This Row],[Utilidad Total]]/Tabla4[[#This Row],[Total]]</f>
        <v>#N/A</v>
      </c>
      <c r="P3131" s="282">
        <f>++Tabla4[[#This Row],[Precio Descontado]]*Tabla4[[#This Row],[Cantidad]]</f>
        <v>8133.5819063999998</v>
      </c>
      <c r="Q3131" s="282" t="e">
        <f>(INDEX(Tabla6[#All],MATCH(Tabla4[[#This Row],[Producto]],Tabla6[[#All],[PRODUCTO]],0),MATCH(Tabla4[[#This Row],[Mes]],Tabla6[#Headers],0)))</f>
        <v>#N/A</v>
      </c>
      <c r="R3131" s="282" t="e">
        <f>++Tabla4[[#This Row],[Precio Unitario Neto]]-Tabla4[[#This Row],[20.85%]]-Tabla4[[#This Row],[Costo]]</f>
        <v>#N/A</v>
      </c>
      <c r="S3131" s="282" t="e">
        <f>++Tabla4[[#This Row],[U. Bruta Uni]]*Tabla4[[#This Row],[Cantidad]]</f>
        <v>#N/A</v>
      </c>
      <c r="T3131" s="369" t="str">
        <f>VLOOKUP(Tabla4[[#This Row],[Producto]],Tabla6[#All],14,FALSE)</f>
        <v>Termico Solar</v>
      </c>
      <c r="U3131" s="284" t="e">
        <f>(IF(Tabla4[[#This Row],[Familia]]="termico solar",Tabla4[[#This Row],[Utilidad Total]]*6%,Tabla4[[#This Row],[Utilidad Total]]*11.5%))/Tabla4[[#This Row],[Total]]</f>
        <v>#N/A</v>
      </c>
      <c r="V3131" s="282" t="e">
        <f>+Tabla4[[#This Row],[Comisión Calculada]]*Tabla4[[#This Row],[Total]]</f>
        <v>#N/A</v>
      </c>
    </row>
    <row r="3132" spans="1:22" hidden="1" x14ac:dyDescent="0.25">
      <c r="A3132" s="100">
        <v>45808</v>
      </c>
      <c r="B3132" t="str">
        <f t="shared" si="150"/>
        <v>May</v>
      </c>
      <c r="C3132" s="46" t="s">
        <v>280</v>
      </c>
      <c r="F3132" s="366" t="s">
        <v>1923</v>
      </c>
      <c r="G3132" s="46" t="s">
        <v>17</v>
      </c>
      <c r="H3132" s="46">
        <v>1</v>
      </c>
      <c r="I3132" s="51">
        <v>4622.28</v>
      </c>
      <c r="J3132" s="281">
        <f>++Tabla4[[#This Row],[Precio Bruto]]*1.16</f>
        <v>5361.8447999999989</v>
      </c>
      <c r="K3132" s="281">
        <f>+Tabla4[[#This Row],[Precio Unitario Neto]]*Tabla4[[#Headers],[20.85%]]</f>
        <v>1117.9446407999997</v>
      </c>
      <c r="L3132" s="282">
        <f>++Tabla4[[#This Row],[Precio Unitario Neto]]-Tabla4[[#This Row],[20.85%]]</f>
        <v>4243.9001591999995</v>
      </c>
      <c r="M3132" s="282" t="e">
        <f>(INDEX(Tabla6[#All],MATCH(Tabla4[[#This Row],[Producto]],Tabla6[[#All],[PRODUCTO]],0),MATCH(Tabla4[[#This Row],[Mes]],Tabla6[#Headers],0)))*(1+Catalogos!$L$2)</f>
        <v>#N/A</v>
      </c>
      <c r="N3132" s="283" t="e">
        <f>+(Tabla4[[#This Row],[Precio Descontado]]-Tabla4[[#This Row],[Precio Base]])*Tabla4[[#This Row],[Cantidad]]</f>
        <v>#N/A</v>
      </c>
      <c r="O3132" s="284" t="e">
        <f>++Tabla4[[#This Row],[Utilidad Total]]/Tabla4[[#This Row],[Total]]</f>
        <v>#N/A</v>
      </c>
      <c r="P3132" s="282">
        <f>++Tabla4[[#This Row],[Precio Descontado]]*Tabla4[[#This Row],[Cantidad]]</f>
        <v>4243.9001591999995</v>
      </c>
      <c r="Q3132" s="282" t="e">
        <f>(INDEX(Tabla6[#All],MATCH(Tabla4[[#This Row],[Producto]],Tabla6[[#All],[PRODUCTO]],0),MATCH(Tabla4[[#This Row],[Mes]],Tabla6[#Headers],0)))</f>
        <v>#N/A</v>
      </c>
      <c r="R3132" s="282" t="e">
        <f>++Tabla4[[#This Row],[Precio Unitario Neto]]-Tabla4[[#This Row],[20.85%]]-Tabla4[[#This Row],[Costo]]</f>
        <v>#N/A</v>
      </c>
      <c r="S3132" s="282" t="e">
        <f>++Tabla4[[#This Row],[U. Bruta Uni]]*Tabla4[[#This Row],[Cantidad]]</f>
        <v>#N/A</v>
      </c>
      <c r="T3132" s="369" t="str">
        <f>VLOOKUP(Tabla4[[#This Row],[Producto]],Tabla6[#All],14,FALSE)</f>
        <v>Termico Solar</v>
      </c>
      <c r="U3132" s="284" t="e">
        <f>(IF(Tabla4[[#This Row],[Familia]]="termico solar",Tabla4[[#This Row],[Utilidad Total]]*6%,Tabla4[[#This Row],[Utilidad Total]]*11.5%))/Tabla4[[#This Row],[Total]]</f>
        <v>#N/A</v>
      </c>
      <c r="V3132" s="282" t="e">
        <f>+Tabla4[[#This Row],[Comisión Calculada]]*Tabla4[[#This Row],[Total]]</f>
        <v>#N/A</v>
      </c>
    </row>
    <row r="3133" spans="1:22" hidden="1" x14ac:dyDescent="0.25">
      <c r="A3133" s="100">
        <v>45808</v>
      </c>
      <c r="B3133" t="str">
        <f t="shared" si="150"/>
        <v>May</v>
      </c>
      <c r="C3133" s="46" t="s">
        <v>280</v>
      </c>
      <c r="F3133" s="366" t="s">
        <v>1923</v>
      </c>
      <c r="G3133" s="46" t="s">
        <v>18</v>
      </c>
      <c r="H3133" s="46">
        <v>2</v>
      </c>
      <c r="I3133" s="51">
        <v>5367.65</v>
      </c>
      <c r="J3133" s="281">
        <f>++Tabla4[[#This Row],[Precio Bruto]]*1.16</f>
        <v>6226.4739999999993</v>
      </c>
      <c r="K3133" s="281">
        <f>+Tabla4[[#This Row],[Precio Unitario Neto]]*Tabla4[[#Headers],[20.85%]]</f>
        <v>1298.2198289999999</v>
      </c>
      <c r="L3133" s="282">
        <f>++Tabla4[[#This Row],[Precio Unitario Neto]]-Tabla4[[#This Row],[20.85%]]</f>
        <v>4928.2541709999996</v>
      </c>
      <c r="M3133" s="282" t="e">
        <f>(INDEX(Tabla6[#All],MATCH(Tabla4[[#This Row],[Producto]],Tabla6[[#All],[PRODUCTO]],0),MATCH(Tabla4[[#This Row],[Mes]],Tabla6[#Headers],0)))*(1+Catalogos!$L$2)</f>
        <v>#N/A</v>
      </c>
      <c r="N3133" s="283" t="e">
        <f>+(Tabla4[[#This Row],[Precio Descontado]]-Tabla4[[#This Row],[Precio Base]])*Tabla4[[#This Row],[Cantidad]]</f>
        <v>#N/A</v>
      </c>
      <c r="O3133" s="284" t="e">
        <f>++Tabla4[[#This Row],[Utilidad Total]]/Tabla4[[#This Row],[Total]]</f>
        <v>#N/A</v>
      </c>
      <c r="P3133" s="282">
        <f>++Tabla4[[#This Row],[Precio Descontado]]*Tabla4[[#This Row],[Cantidad]]</f>
        <v>9856.5083419999992</v>
      </c>
      <c r="Q3133" s="282" t="e">
        <f>(INDEX(Tabla6[#All],MATCH(Tabla4[[#This Row],[Producto]],Tabla6[[#All],[PRODUCTO]],0),MATCH(Tabla4[[#This Row],[Mes]],Tabla6[#Headers],0)))</f>
        <v>#N/A</v>
      </c>
      <c r="R3133" s="282" t="e">
        <f>++Tabla4[[#This Row],[Precio Unitario Neto]]-Tabla4[[#This Row],[20.85%]]-Tabla4[[#This Row],[Costo]]</f>
        <v>#N/A</v>
      </c>
      <c r="S3133" s="282" t="e">
        <f>++Tabla4[[#This Row],[U. Bruta Uni]]*Tabla4[[#This Row],[Cantidad]]</f>
        <v>#N/A</v>
      </c>
      <c r="T3133" s="369" t="str">
        <f>VLOOKUP(Tabla4[[#This Row],[Producto]],Tabla6[#All],14,FALSE)</f>
        <v>Termico Solar</v>
      </c>
      <c r="U3133" s="284" t="e">
        <f>(IF(Tabla4[[#This Row],[Familia]]="termico solar",Tabla4[[#This Row],[Utilidad Total]]*6%,Tabla4[[#This Row],[Utilidad Total]]*11.5%))/Tabla4[[#This Row],[Total]]</f>
        <v>#N/A</v>
      </c>
      <c r="V3133" s="282" t="e">
        <f>+Tabla4[[#This Row],[Comisión Calculada]]*Tabla4[[#This Row],[Total]]</f>
        <v>#N/A</v>
      </c>
    </row>
    <row r="3134" spans="1:22" hidden="1" x14ac:dyDescent="0.25">
      <c r="A3134" s="100">
        <v>45808</v>
      </c>
      <c r="B3134" t="str">
        <f t="shared" si="150"/>
        <v>May</v>
      </c>
      <c r="C3134" s="46" t="s">
        <v>280</v>
      </c>
      <c r="F3134" s="366" t="s">
        <v>1923</v>
      </c>
      <c r="G3134" s="46" t="s">
        <v>16</v>
      </c>
      <c r="H3134" s="46">
        <v>4</v>
      </c>
      <c r="I3134" s="51">
        <v>4103.8500000000004</v>
      </c>
      <c r="J3134" s="281">
        <f>++Tabla4[[#This Row],[Precio Bruto]]*1.16</f>
        <v>4760.4660000000003</v>
      </c>
      <c r="K3134" s="281">
        <f>+Tabla4[[#This Row],[Precio Unitario Neto]]*Tabla4[[#Headers],[20.85%]]</f>
        <v>992.55716100000006</v>
      </c>
      <c r="L3134" s="282">
        <f>++Tabla4[[#This Row],[Precio Unitario Neto]]-Tabla4[[#This Row],[20.85%]]</f>
        <v>3767.9088390000002</v>
      </c>
      <c r="M3134" s="282" t="e">
        <f>(INDEX(Tabla6[#All],MATCH(Tabla4[[#This Row],[Producto]],Tabla6[[#All],[PRODUCTO]],0),MATCH(Tabla4[[#This Row],[Mes]],Tabla6[#Headers],0)))*(1+Catalogos!$L$2)</f>
        <v>#N/A</v>
      </c>
      <c r="N3134" s="283" t="e">
        <f>+(Tabla4[[#This Row],[Precio Descontado]]-Tabla4[[#This Row],[Precio Base]])*Tabla4[[#This Row],[Cantidad]]</f>
        <v>#N/A</v>
      </c>
      <c r="O3134" s="284" t="e">
        <f>++Tabla4[[#This Row],[Utilidad Total]]/Tabla4[[#This Row],[Total]]</f>
        <v>#N/A</v>
      </c>
      <c r="P3134" s="282">
        <f>++Tabla4[[#This Row],[Precio Descontado]]*Tabla4[[#This Row],[Cantidad]]</f>
        <v>15071.635356000001</v>
      </c>
      <c r="Q3134" s="282" t="e">
        <f>(INDEX(Tabla6[#All],MATCH(Tabla4[[#This Row],[Producto]],Tabla6[[#All],[PRODUCTO]],0),MATCH(Tabla4[[#This Row],[Mes]],Tabla6[#Headers],0)))</f>
        <v>#N/A</v>
      </c>
      <c r="R3134" s="282" t="e">
        <f>++Tabla4[[#This Row],[Precio Unitario Neto]]-Tabla4[[#This Row],[20.85%]]-Tabla4[[#This Row],[Costo]]</f>
        <v>#N/A</v>
      </c>
      <c r="S3134" s="282" t="e">
        <f>++Tabla4[[#This Row],[U. Bruta Uni]]*Tabla4[[#This Row],[Cantidad]]</f>
        <v>#N/A</v>
      </c>
      <c r="T3134" s="369" t="str">
        <f>VLOOKUP(Tabla4[[#This Row],[Producto]],Tabla6[#All],14,FALSE)</f>
        <v>Termico Solar</v>
      </c>
      <c r="U3134" s="284" t="e">
        <f>(IF(Tabla4[[#This Row],[Familia]]="termico solar",Tabla4[[#This Row],[Utilidad Total]]*6%,Tabla4[[#This Row],[Utilidad Total]]*11.5%))/Tabla4[[#This Row],[Total]]</f>
        <v>#N/A</v>
      </c>
      <c r="V3134" s="282" t="e">
        <f>+Tabla4[[#This Row],[Comisión Calculada]]*Tabla4[[#This Row],[Total]]</f>
        <v>#N/A</v>
      </c>
    </row>
    <row r="3135" spans="1:22" hidden="1" x14ac:dyDescent="0.25">
      <c r="A3135" s="100">
        <v>45808</v>
      </c>
      <c r="B3135" t="str">
        <f t="shared" si="150"/>
        <v>May</v>
      </c>
      <c r="C3135" s="46" t="s">
        <v>280</v>
      </c>
      <c r="F3135" s="366" t="s">
        <v>1924</v>
      </c>
      <c r="G3135" s="46" t="s">
        <v>18</v>
      </c>
      <c r="H3135" s="46">
        <v>1</v>
      </c>
      <c r="I3135" s="51">
        <v>5367.65</v>
      </c>
      <c r="J3135" s="281">
        <f>++Tabla4[[#This Row],[Precio Bruto]]*1.16</f>
        <v>6226.4739999999993</v>
      </c>
      <c r="K3135" s="281">
        <f>+Tabla4[[#This Row],[Precio Unitario Neto]]*Tabla4[[#Headers],[20.85%]]</f>
        <v>1298.2198289999999</v>
      </c>
      <c r="L3135" s="282">
        <f>++Tabla4[[#This Row],[Precio Unitario Neto]]-Tabla4[[#This Row],[20.85%]]</f>
        <v>4928.2541709999996</v>
      </c>
      <c r="M3135" s="282" t="e">
        <f>(INDEX(Tabla6[#All],MATCH(Tabla4[[#This Row],[Producto]],Tabla6[[#All],[PRODUCTO]],0),MATCH(Tabla4[[#This Row],[Mes]],Tabla6[#Headers],0)))*(1+Catalogos!$L$2)</f>
        <v>#N/A</v>
      </c>
      <c r="N3135" s="283" t="e">
        <f>+(Tabla4[[#This Row],[Precio Descontado]]-Tabla4[[#This Row],[Precio Base]])*Tabla4[[#This Row],[Cantidad]]</f>
        <v>#N/A</v>
      </c>
      <c r="O3135" s="284" t="e">
        <f>++Tabla4[[#This Row],[Utilidad Total]]/Tabla4[[#This Row],[Total]]</f>
        <v>#N/A</v>
      </c>
      <c r="P3135" s="282">
        <f>++Tabla4[[#This Row],[Precio Descontado]]*Tabla4[[#This Row],[Cantidad]]</f>
        <v>4928.2541709999996</v>
      </c>
      <c r="Q3135" s="282" t="e">
        <f>(INDEX(Tabla6[#All],MATCH(Tabla4[[#This Row],[Producto]],Tabla6[[#All],[PRODUCTO]],0),MATCH(Tabla4[[#This Row],[Mes]],Tabla6[#Headers],0)))</f>
        <v>#N/A</v>
      </c>
      <c r="R3135" s="282" t="e">
        <f>++Tabla4[[#This Row],[Precio Unitario Neto]]-Tabla4[[#This Row],[20.85%]]-Tabla4[[#This Row],[Costo]]</f>
        <v>#N/A</v>
      </c>
      <c r="S3135" s="282" t="e">
        <f>++Tabla4[[#This Row],[U. Bruta Uni]]*Tabla4[[#This Row],[Cantidad]]</f>
        <v>#N/A</v>
      </c>
      <c r="T3135" s="369" t="str">
        <f>VLOOKUP(Tabla4[[#This Row],[Producto]],Tabla6[#All],14,FALSE)</f>
        <v>Termico Solar</v>
      </c>
      <c r="U3135" s="284" t="e">
        <f>(IF(Tabla4[[#This Row],[Familia]]="termico solar",Tabla4[[#This Row],[Utilidad Total]]*6%,Tabla4[[#This Row],[Utilidad Total]]*11.5%))/Tabla4[[#This Row],[Total]]</f>
        <v>#N/A</v>
      </c>
      <c r="V3135" s="282" t="e">
        <f>+Tabla4[[#This Row],[Comisión Calculada]]*Tabla4[[#This Row],[Total]]</f>
        <v>#N/A</v>
      </c>
    </row>
    <row r="3136" spans="1:22" hidden="1" x14ac:dyDescent="0.25">
      <c r="A3136" s="100">
        <v>45808</v>
      </c>
      <c r="B3136" t="str">
        <f t="shared" si="150"/>
        <v>May</v>
      </c>
      <c r="C3136" s="46" t="s">
        <v>280</v>
      </c>
      <c r="F3136" s="366" t="s">
        <v>1925</v>
      </c>
      <c r="G3136" s="46" t="s">
        <v>18</v>
      </c>
      <c r="H3136" s="46">
        <v>1</v>
      </c>
      <c r="I3136" s="51">
        <v>5367.65</v>
      </c>
      <c r="J3136" s="281">
        <f>++Tabla4[[#This Row],[Precio Bruto]]*1.16</f>
        <v>6226.4739999999993</v>
      </c>
      <c r="K3136" s="281">
        <f>+Tabla4[[#This Row],[Precio Unitario Neto]]*Tabla4[[#Headers],[20.85%]]</f>
        <v>1298.2198289999999</v>
      </c>
      <c r="L3136" s="282">
        <f>++Tabla4[[#This Row],[Precio Unitario Neto]]-Tabla4[[#This Row],[20.85%]]</f>
        <v>4928.2541709999996</v>
      </c>
      <c r="M3136" s="282" t="e">
        <f>(INDEX(Tabla6[#All],MATCH(Tabla4[[#This Row],[Producto]],Tabla6[[#All],[PRODUCTO]],0),MATCH(Tabla4[[#This Row],[Mes]],Tabla6[#Headers],0)))*(1+Catalogos!$L$2)</f>
        <v>#N/A</v>
      </c>
      <c r="N3136" s="283" t="e">
        <f>+(Tabla4[[#This Row],[Precio Descontado]]-Tabla4[[#This Row],[Precio Base]])*Tabla4[[#This Row],[Cantidad]]</f>
        <v>#N/A</v>
      </c>
      <c r="O3136" s="284" t="e">
        <f>++Tabla4[[#This Row],[Utilidad Total]]/Tabla4[[#This Row],[Total]]</f>
        <v>#N/A</v>
      </c>
      <c r="P3136" s="282">
        <f>++Tabla4[[#This Row],[Precio Descontado]]*Tabla4[[#This Row],[Cantidad]]</f>
        <v>4928.2541709999996</v>
      </c>
      <c r="Q3136" s="282" t="e">
        <f>(INDEX(Tabla6[#All],MATCH(Tabla4[[#This Row],[Producto]],Tabla6[[#All],[PRODUCTO]],0),MATCH(Tabla4[[#This Row],[Mes]],Tabla6[#Headers],0)))</f>
        <v>#N/A</v>
      </c>
      <c r="R3136" s="282" t="e">
        <f>++Tabla4[[#This Row],[Precio Unitario Neto]]-Tabla4[[#This Row],[20.85%]]-Tabla4[[#This Row],[Costo]]</f>
        <v>#N/A</v>
      </c>
      <c r="S3136" s="282" t="e">
        <f>++Tabla4[[#This Row],[U. Bruta Uni]]*Tabla4[[#This Row],[Cantidad]]</f>
        <v>#N/A</v>
      </c>
      <c r="T3136" s="369" t="str">
        <f>VLOOKUP(Tabla4[[#This Row],[Producto]],Tabla6[#All],14,FALSE)</f>
        <v>Termico Solar</v>
      </c>
      <c r="U3136" s="284" t="e">
        <f>(IF(Tabla4[[#This Row],[Familia]]="termico solar",Tabla4[[#This Row],[Utilidad Total]]*6%,Tabla4[[#This Row],[Utilidad Total]]*11.5%))/Tabla4[[#This Row],[Total]]</f>
        <v>#N/A</v>
      </c>
      <c r="V3136" s="282" t="e">
        <f>+Tabla4[[#This Row],[Comisión Calculada]]*Tabla4[[#This Row],[Total]]</f>
        <v>#N/A</v>
      </c>
    </row>
    <row r="3137" spans="1:22" hidden="1" x14ac:dyDescent="0.25">
      <c r="A3137" s="100">
        <v>45808</v>
      </c>
      <c r="B3137" t="str">
        <f t="shared" si="150"/>
        <v>May</v>
      </c>
      <c r="C3137" s="46" t="s">
        <v>280</v>
      </c>
      <c r="F3137" s="366" t="s">
        <v>1925</v>
      </c>
      <c r="G3137" s="46" t="s">
        <v>208</v>
      </c>
      <c r="H3137" s="46">
        <v>1</v>
      </c>
      <c r="I3137" s="51">
        <v>189.75</v>
      </c>
      <c r="J3137" s="281">
        <f>++Tabla4[[#This Row],[Precio Bruto]]*1.16</f>
        <v>220.10999999999999</v>
      </c>
      <c r="K3137" s="281">
        <f>+Tabla4[[#This Row],[Precio Unitario Neto]]*Tabla4[[#Headers],[20.85%]]</f>
        <v>45.892934999999994</v>
      </c>
      <c r="L3137" s="282">
        <f>++Tabla4[[#This Row],[Precio Unitario Neto]]-Tabla4[[#This Row],[20.85%]]</f>
        <v>174.21706499999999</v>
      </c>
      <c r="M3137" s="282" t="e">
        <f>(INDEX(Tabla6[#All],MATCH(Tabla4[[#This Row],[Producto]],Tabla6[[#All],[PRODUCTO]],0),MATCH(Tabla4[[#This Row],[Mes]],Tabla6[#Headers],0)))*(1+Catalogos!$L$2)</f>
        <v>#N/A</v>
      </c>
      <c r="N3137" s="283" t="e">
        <f>+(Tabla4[[#This Row],[Precio Descontado]]-Tabla4[[#This Row],[Precio Base]])*Tabla4[[#This Row],[Cantidad]]</f>
        <v>#N/A</v>
      </c>
      <c r="O3137" s="284" t="e">
        <f>++Tabla4[[#This Row],[Utilidad Total]]/Tabla4[[#This Row],[Total]]</f>
        <v>#N/A</v>
      </c>
      <c r="P3137" s="282">
        <f>++Tabla4[[#This Row],[Precio Descontado]]*Tabla4[[#This Row],[Cantidad]]</f>
        <v>174.21706499999999</v>
      </c>
      <c r="Q3137" s="282" t="e">
        <f>(INDEX(Tabla6[#All],MATCH(Tabla4[[#This Row],[Producto]],Tabla6[[#All],[PRODUCTO]],0),MATCH(Tabla4[[#This Row],[Mes]],Tabla6[#Headers],0)))</f>
        <v>#N/A</v>
      </c>
      <c r="R3137" s="282" t="e">
        <f>++Tabla4[[#This Row],[Precio Unitario Neto]]-Tabla4[[#This Row],[20.85%]]-Tabla4[[#This Row],[Costo]]</f>
        <v>#N/A</v>
      </c>
      <c r="S3137" s="282" t="e">
        <f>++Tabla4[[#This Row],[U. Bruta Uni]]*Tabla4[[#This Row],[Cantidad]]</f>
        <v>#N/A</v>
      </c>
      <c r="T3137" s="369" t="str">
        <f>VLOOKUP(Tabla4[[#This Row],[Producto]],Tabla6[#All],14,FALSE)</f>
        <v>Termico Solar</v>
      </c>
      <c r="U3137" s="284" t="e">
        <f>(IF(Tabla4[[#This Row],[Familia]]="termico solar",Tabla4[[#This Row],[Utilidad Total]]*6%,Tabla4[[#This Row],[Utilidad Total]]*11.5%))/Tabla4[[#This Row],[Total]]</f>
        <v>#N/A</v>
      </c>
      <c r="V3137" s="282" t="e">
        <f>+Tabla4[[#This Row],[Comisión Calculada]]*Tabla4[[#This Row],[Total]]</f>
        <v>#N/A</v>
      </c>
    </row>
    <row r="3138" spans="1:22" hidden="1" x14ac:dyDescent="0.25">
      <c r="A3138" s="100">
        <v>45808</v>
      </c>
      <c r="B3138" t="str">
        <f t="shared" si="150"/>
        <v>May</v>
      </c>
      <c r="C3138" s="46" t="s">
        <v>280</v>
      </c>
      <c r="F3138" s="366" t="s">
        <v>1926</v>
      </c>
      <c r="G3138" s="46" t="s">
        <v>18</v>
      </c>
      <c r="H3138" s="46">
        <v>1</v>
      </c>
      <c r="I3138" s="51">
        <v>5367.65</v>
      </c>
      <c r="J3138" s="281">
        <f>++Tabla4[[#This Row],[Precio Bruto]]*1.16</f>
        <v>6226.4739999999993</v>
      </c>
      <c r="K3138" s="281">
        <f>+Tabla4[[#This Row],[Precio Unitario Neto]]*Tabla4[[#Headers],[20.85%]]</f>
        <v>1298.2198289999999</v>
      </c>
      <c r="L3138" s="282">
        <f>++Tabla4[[#This Row],[Precio Unitario Neto]]-Tabla4[[#This Row],[20.85%]]</f>
        <v>4928.2541709999996</v>
      </c>
      <c r="M3138" s="282" t="e">
        <f>(INDEX(Tabla6[#All],MATCH(Tabla4[[#This Row],[Producto]],Tabla6[[#All],[PRODUCTO]],0),MATCH(Tabla4[[#This Row],[Mes]],Tabla6[#Headers],0)))*(1+Catalogos!$L$2)</f>
        <v>#N/A</v>
      </c>
      <c r="N3138" s="283" t="e">
        <f>+(Tabla4[[#This Row],[Precio Descontado]]-Tabla4[[#This Row],[Precio Base]])*Tabla4[[#This Row],[Cantidad]]</f>
        <v>#N/A</v>
      </c>
      <c r="O3138" s="284" t="e">
        <f>++Tabla4[[#This Row],[Utilidad Total]]/Tabla4[[#This Row],[Total]]</f>
        <v>#N/A</v>
      </c>
      <c r="P3138" s="282">
        <f>++Tabla4[[#This Row],[Precio Descontado]]*Tabla4[[#This Row],[Cantidad]]</f>
        <v>4928.2541709999996</v>
      </c>
      <c r="Q3138" s="282" t="e">
        <f>(INDEX(Tabla6[#All],MATCH(Tabla4[[#This Row],[Producto]],Tabla6[[#All],[PRODUCTO]],0),MATCH(Tabla4[[#This Row],[Mes]],Tabla6[#Headers],0)))</f>
        <v>#N/A</v>
      </c>
      <c r="R3138" s="282" t="e">
        <f>++Tabla4[[#This Row],[Precio Unitario Neto]]-Tabla4[[#This Row],[20.85%]]-Tabla4[[#This Row],[Costo]]</f>
        <v>#N/A</v>
      </c>
      <c r="S3138" s="282" t="e">
        <f>++Tabla4[[#This Row],[U. Bruta Uni]]*Tabla4[[#This Row],[Cantidad]]</f>
        <v>#N/A</v>
      </c>
      <c r="T3138" s="369" t="str">
        <f>VLOOKUP(Tabla4[[#This Row],[Producto]],Tabla6[#All],14,FALSE)</f>
        <v>Termico Solar</v>
      </c>
      <c r="U3138" s="284" t="e">
        <f>(IF(Tabla4[[#This Row],[Familia]]="termico solar",Tabla4[[#This Row],[Utilidad Total]]*6%,Tabla4[[#This Row],[Utilidad Total]]*11.5%))/Tabla4[[#This Row],[Total]]</f>
        <v>#N/A</v>
      </c>
      <c r="V3138" s="282" t="e">
        <f>+Tabla4[[#This Row],[Comisión Calculada]]*Tabla4[[#This Row],[Total]]</f>
        <v>#N/A</v>
      </c>
    </row>
    <row r="3139" spans="1:22" hidden="1" x14ac:dyDescent="0.25">
      <c r="A3139" s="100">
        <v>45808</v>
      </c>
      <c r="B3139" t="str">
        <f t="shared" si="150"/>
        <v>May</v>
      </c>
      <c r="C3139" s="46" t="s">
        <v>280</v>
      </c>
      <c r="F3139" s="366" t="s">
        <v>1927</v>
      </c>
      <c r="G3139" s="46" t="s">
        <v>18</v>
      </c>
      <c r="H3139" s="46">
        <v>2</v>
      </c>
      <c r="I3139" s="51">
        <v>5367.65</v>
      </c>
      <c r="J3139" s="281">
        <f>++Tabla4[[#This Row],[Precio Bruto]]*1.16</f>
        <v>6226.4739999999993</v>
      </c>
      <c r="K3139" s="281">
        <f>+Tabla4[[#This Row],[Precio Unitario Neto]]*Tabla4[[#Headers],[20.85%]]</f>
        <v>1298.2198289999999</v>
      </c>
      <c r="L3139" s="282">
        <f>++Tabla4[[#This Row],[Precio Unitario Neto]]-Tabla4[[#This Row],[20.85%]]</f>
        <v>4928.2541709999996</v>
      </c>
      <c r="M3139" s="282" t="e">
        <f>(INDEX(Tabla6[#All],MATCH(Tabla4[[#This Row],[Producto]],Tabla6[[#All],[PRODUCTO]],0),MATCH(Tabla4[[#This Row],[Mes]],Tabla6[#Headers],0)))*(1+Catalogos!$L$2)</f>
        <v>#N/A</v>
      </c>
      <c r="N3139" s="283" t="e">
        <f>+(Tabla4[[#This Row],[Precio Descontado]]-Tabla4[[#This Row],[Precio Base]])*Tabla4[[#This Row],[Cantidad]]</f>
        <v>#N/A</v>
      </c>
      <c r="O3139" s="284" t="e">
        <f>++Tabla4[[#This Row],[Utilidad Total]]/Tabla4[[#This Row],[Total]]</f>
        <v>#N/A</v>
      </c>
      <c r="P3139" s="282">
        <f>++Tabla4[[#This Row],[Precio Descontado]]*Tabla4[[#This Row],[Cantidad]]</f>
        <v>9856.5083419999992</v>
      </c>
      <c r="Q3139" s="282" t="e">
        <f>(INDEX(Tabla6[#All],MATCH(Tabla4[[#This Row],[Producto]],Tabla6[[#All],[PRODUCTO]],0),MATCH(Tabla4[[#This Row],[Mes]],Tabla6[#Headers],0)))</f>
        <v>#N/A</v>
      </c>
      <c r="R3139" s="282" t="e">
        <f>++Tabla4[[#This Row],[Precio Unitario Neto]]-Tabla4[[#This Row],[20.85%]]-Tabla4[[#This Row],[Costo]]</f>
        <v>#N/A</v>
      </c>
      <c r="S3139" s="282" t="e">
        <f>++Tabla4[[#This Row],[U. Bruta Uni]]*Tabla4[[#This Row],[Cantidad]]</f>
        <v>#N/A</v>
      </c>
      <c r="T3139" s="369" t="str">
        <f>VLOOKUP(Tabla4[[#This Row],[Producto]],Tabla6[#All],14,FALSE)</f>
        <v>Termico Solar</v>
      </c>
      <c r="U3139" s="284" t="e">
        <f>(IF(Tabla4[[#This Row],[Familia]]="termico solar",Tabla4[[#This Row],[Utilidad Total]]*6%,Tabla4[[#This Row],[Utilidad Total]]*11.5%))/Tabla4[[#This Row],[Total]]</f>
        <v>#N/A</v>
      </c>
      <c r="V3139" s="282" t="e">
        <f>+Tabla4[[#This Row],[Comisión Calculada]]*Tabla4[[#This Row],[Total]]</f>
        <v>#N/A</v>
      </c>
    </row>
    <row r="3140" spans="1:22" hidden="1" x14ac:dyDescent="0.25">
      <c r="A3140" s="100">
        <v>45808</v>
      </c>
      <c r="B3140" t="str">
        <f t="shared" si="150"/>
        <v>May</v>
      </c>
      <c r="C3140" s="46" t="s">
        <v>280</v>
      </c>
      <c r="F3140" s="366" t="s">
        <v>1928</v>
      </c>
      <c r="G3140" s="46" t="s">
        <v>18</v>
      </c>
      <c r="H3140" s="46">
        <v>1</v>
      </c>
      <c r="I3140" s="51">
        <v>5367.65</v>
      </c>
      <c r="J3140" s="281">
        <f>++Tabla4[[#This Row],[Precio Bruto]]*1.16</f>
        <v>6226.4739999999993</v>
      </c>
      <c r="K3140" s="281">
        <f>+Tabla4[[#This Row],[Precio Unitario Neto]]*Tabla4[[#Headers],[20.85%]]</f>
        <v>1298.2198289999999</v>
      </c>
      <c r="L3140" s="282">
        <f>++Tabla4[[#This Row],[Precio Unitario Neto]]-Tabla4[[#This Row],[20.85%]]</f>
        <v>4928.2541709999996</v>
      </c>
      <c r="M3140" s="282" t="e">
        <f>(INDEX(Tabla6[#All],MATCH(Tabla4[[#This Row],[Producto]],Tabla6[[#All],[PRODUCTO]],0),MATCH(Tabla4[[#This Row],[Mes]],Tabla6[#Headers],0)))*(1+Catalogos!$L$2)</f>
        <v>#N/A</v>
      </c>
      <c r="N3140" s="283" t="e">
        <f>+(Tabla4[[#This Row],[Precio Descontado]]-Tabla4[[#This Row],[Precio Base]])*Tabla4[[#This Row],[Cantidad]]</f>
        <v>#N/A</v>
      </c>
      <c r="O3140" s="284" t="e">
        <f>++Tabla4[[#This Row],[Utilidad Total]]/Tabla4[[#This Row],[Total]]</f>
        <v>#N/A</v>
      </c>
      <c r="P3140" s="282">
        <f>++Tabla4[[#This Row],[Precio Descontado]]*Tabla4[[#This Row],[Cantidad]]</f>
        <v>4928.2541709999996</v>
      </c>
      <c r="Q3140" s="282" t="e">
        <f>(INDEX(Tabla6[#All],MATCH(Tabla4[[#This Row],[Producto]],Tabla6[[#All],[PRODUCTO]],0),MATCH(Tabla4[[#This Row],[Mes]],Tabla6[#Headers],0)))</f>
        <v>#N/A</v>
      </c>
      <c r="R3140" s="282" t="e">
        <f>++Tabla4[[#This Row],[Precio Unitario Neto]]-Tabla4[[#This Row],[20.85%]]-Tabla4[[#This Row],[Costo]]</f>
        <v>#N/A</v>
      </c>
      <c r="S3140" s="282" t="e">
        <f>++Tabla4[[#This Row],[U. Bruta Uni]]*Tabla4[[#This Row],[Cantidad]]</f>
        <v>#N/A</v>
      </c>
      <c r="T3140" s="369" t="str">
        <f>VLOOKUP(Tabla4[[#This Row],[Producto]],Tabla6[#All],14,FALSE)</f>
        <v>Termico Solar</v>
      </c>
      <c r="U3140" s="284" t="e">
        <f>(IF(Tabla4[[#This Row],[Familia]]="termico solar",Tabla4[[#This Row],[Utilidad Total]]*6%,Tabla4[[#This Row],[Utilidad Total]]*11.5%))/Tabla4[[#This Row],[Total]]</f>
        <v>#N/A</v>
      </c>
      <c r="V3140" s="282" t="e">
        <f>+Tabla4[[#This Row],[Comisión Calculada]]*Tabla4[[#This Row],[Total]]</f>
        <v>#N/A</v>
      </c>
    </row>
    <row r="3141" spans="1:22" hidden="1" x14ac:dyDescent="0.25">
      <c r="A3141" s="100">
        <v>45808</v>
      </c>
      <c r="B3141" t="str">
        <f t="shared" si="150"/>
        <v>May</v>
      </c>
      <c r="C3141" s="46" t="s">
        <v>280</v>
      </c>
      <c r="F3141" s="366" t="s">
        <v>1929</v>
      </c>
      <c r="G3141" s="46" t="s">
        <v>18</v>
      </c>
      <c r="H3141" s="46">
        <v>3</v>
      </c>
      <c r="I3141" s="51">
        <v>5367.6500000000005</v>
      </c>
      <c r="J3141" s="281">
        <f>++Tabla4[[#This Row],[Precio Bruto]]*1.16</f>
        <v>6226.4740000000002</v>
      </c>
      <c r="K3141" s="281">
        <f>+Tabla4[[#This Row],[Precio Unitario Neto]]*Tabla4[[#Headers],[20.85%]]</f>
        <v>1298.2198289999999</v>
      </c>
      <c r="L3141" s="282">
        <f>++Tabla4[[#This Row],[Precio Unitario Neto]]-Tabla4[[#This Row],[20.85%]]</f>
        <v>4928.2541710000005</v>
      </c>
      <c r="M3141" s="282" t="e">
        <f>(INDEX(Tabla6[#All],MATCH(Tabla4[[#This Row],[Producto]],Tabla6[[#All],[PRODUCTO]],0),MATCH(Tabla4[[#This Row],[Mes]],Tabla6[#Headers],0)))*(1+Catalogos!$L$2)</f>
        <v>#N/A</v>
      </c>
      <c r="N3141" s="283" t="e">
        <f>+(Tabla4[[#This Row],[Precio Descontado]]-Tabla4[[#This Row],[Precio Base]])*Tabla4[[#This Row],[Cantidad]]</f>
        <v>#N/A</v>
      </c>
      <c r="O3141" s="284" t="e">
        <f>++Tabla4[[#This Row],[Utilidad Total]]/Tabla4[[#This Row],[Total]]</f>
        <v>#N/A</v>
      </c>
      <c r="P3141" s="282">
        <f>++Tabla4[[#This Row],[Precio Descontado]]*Tabla4[[#This Row],[Cantidad]]</f>
        <v>14784.762513000001</v>
      </c>
      <c r="Q3141" s="282" t="e">
        <f>(INDEX(Tabla6[#All],MATCH(Tabla4[[#This Row],[Producto]],Tabla6[[#All],[PRODUCTO]],0),MATCH(Tabla4[[#This Row],[Mes]],Tabla6[#Headers],0)))</f>
        <v>#N/A</v>
      </c>
      <c r="R3141" s="282" t="e">
        <f>++Tabla4[[#This Row],[Precio Unitario Neto]]-Tabla4[[#This Row],[20.85%]]-Tabla4[[#This Row],[Costo]]</f>
        <v>#N/A</v>
      </c>
      <c r="S3141" s="282" t="e">
        <f>++Tabla4[[#This Row],[U. Bruta Uni]]*Tabla4[[#This Row],[Cantidad]]</f>
        <v>#N/A</v>
      </c>
      <c r="T3141" s="369" t="str">
        <f>VLOOKUP(Tabla4[[#This Row],[Producto]],Tabla6[#All],14,FALSE)</f>
        <v>Termico Solar</v>
      </c>
      <c r="U3141" s="284" t="e">
        <f>(IF(Tabla4[[#This Row],[Familia]]="termico solar",Tabla4[[#This Row],[Utilidad Total]]*6%,Tabla4[[#This Row],[Utilidad Total]]*11.5%))/Tabla4[[#This Row],[Total]]</f>
        <v>#N/A</v>
      </c>
      <c r="V3141" s="282" t="e">
        <f>+Tabla4[[#This Row],[Comisión Calculada]]*Tabla4[[#This Row],[Total]]</f>
        <v>#N/A</v>
      </c>
    </row>
    <row r="3142" spans="1:22" hidden="1" x14ac:dyDescent="0.25">
      <c r="A3142" s="100">
        <v>45808</v>
      </c>
      <c r="B3142" t="str">
        <f t="shared" si="150"/>
        <v>May</v>
      </c>
      <c r="C3142" s="46" t="s">
        <v>280</v>
      </c>
      <c r="F3142" s="366" t="s">
        <v>1929</v>
      </c>
      <c r="G3142" s="46" t="s">
        <v>208</v>
      </c>
      <c r="H3142" s="46">
        <v>2</v>
      </c>
      <c r="I3142" s="51">
        <v>189.75</v>
      </c>
      <c r="J3142" s="281">
        <f>++Tabla4[[#This Row],[Precio Bruto]]*1.16</f>
        <v>220.10999999999999</v>
      </c>
      <c r="K3142" s="281">
        <f>+Tabla4[[#This Row],[Precio Unitario Neto]]*Tabla4[[#Headers],[20.85%]]</f>
        <v>45.892934999999994</v>
      </c>
      <c r="L3142" s="282">
        <f>++Tabla4[[#This Row],[Precio Unitario Neto]]-Tabla4[[#This Row],[20.85%]]</f>
        <v>174.21706499999999</v>
      </c>
      <c r="M3142" s="282" t="e">
        <f>(INDEX(Tabla6[#All],MATCH(Tabla4[[#This Row],[Producto]],Tabla6[[#All],[PRODUCTO]],0),MATCH(Tabla4[[#This Row],[Mes]],Tabla6[#Headers],0)))*(1+Catalogos!$L$2)</f>
        <v>#N/A</v>
      </c>
      <c r="N3142" s="283" t="e">
        <f>+(Tabla4[[#This Row],[Precio Descontado]]-Tabla4[[#This Row],[Precio Base]])*Tabla4[[#This Row],[Cantidad]]</f>
        <v>#N/A</v>
      </c>
      <c r="O3142" s="284" t="e">
        <f>++Tabla4[[#This Row],[Utilidad Total]]/Tabla4[[#This Row],[Total]]</f>
        <v>#N/A</v>
      </c>
      <c r="P3142" s="282">
        <f>++Tabla4[[#This Row],[Precio Descontado]]*Tabla4[[#This Row],[Cantidad]]</f>
        <v>348.43412999999998</v>
      </c>
      <c r="Q3142" s="282" t="e">
        <f>(INDEX(Tabla6[#All],MATCH(Tabla4[[#This Row],[Producto]],Tabla6[[#All],[PRODUCTO]],0),MATCH(Tabla4[[#This Row],[Mes]],Tabla6[#Headers],0)))</f>
        <v>#N/A</v>
      </c>
      <c r="R3142" s="282" t="e">
        <f>++Tabla4[[#This Row],[Precio Unitario Neto]]-Tabla4[[#This Row],[20.85%]]-Tabla4[[#This Row],[Costo]]</f>
        <v>#N/A</v>
      </c>
      <c r="S3142" s="282" t="e">
        <f>++Tabla4[[#This Row],[U. Bruta Uni]]*Tabla4[[#This Row],[Cantidad]]</f>
        <v>#N/A</v>
      </c>
      <c r="T3142" s="369" t="str">
        <f>VLOOKUP(Tabla4[[#This Row],[Producto]],Tabla6[#All],14,FALSE)</f>
        <v>Termico Solar</v>
      </c>
      <c r="U3142" s="284" t="e">
        <f>(IF(Tabla4[[#This Row],[Familia]]="termico solar",Tabla4[[#This Row],[Utilidad Total]]*6%,Tabla4[[#This Row],[Utilidad Total]]*11.5%))/Tabla4[[#This Row],[Total]]</f>
        <v>#N/A</v>
      </c>
      <c r="V3142" s="282" t="e">
        <f>+Tabla4[[#This Row],[Comisión Calculada]]*Tabla4[[#This Row],[Total]]</f>
        <v>#N/A</v>
      </c>
    </row>
    <row r="3143" spans="1:22" hidden="1" x14ac:dyDescent="0.25">
      <c r="A3143" s="100">
        <v>45808</v>
      </c>
      <c r="B3143" t="str">
        <f t="shared" si="150"/>
        <v>May</v>
      </c>
      <c r="C3143" s="46" t="s">
        <v>280</v>
      </c>
      <c r="F3143" s="366" t="s">
        <v>1930</v>
      </c>
      <c r="G3143" s="46" t="s">
        <v>16</v>
      </c>
      <c r="H3143" s="46">
        <v>1</v>
      </c>
      <c r="I3143" s="51">
        <v>4103.8500000000004</v>
      </c>
      <c r="J3143" s="281">
        <f>++Tabla4[[#This Row],[Precio Bruto]]*1.16</f>
        <v>4760.4660000000003</v>
      </c>
      <c r="K3143" s="281">
        <f>+Tabla4[[#This Row],[Precio Unitario Neto]]*Tabla4[[#Headers],[20.85%]]</f>
        <v>992.55716100000006</v>
      </c>
      <c r="L3143" s="282">
        <f>++Tabla4[[#This Row],[Precio Unitario Neto]]-Tabla4[[#This Row],[20.85%]]</f>
        <v>3767.9088390000002</v>
      </c>
      <c r="M3143" s="282" t="e">
        <f>(INDEX(Tabla6[#All],MATCH(Tabla4[[#This Row],[Producto]],Tabla6[[#All],[PRODUCTO]],0),MATCH(Tabla4[[#This Row],[Mes]],Tabla6[#Headers],0)))*(1+Catalogos!$L$2)</f>
        <v>#N/A</v>
      </c>
      <c r="N3143" s="283" t="e">
        <f>+(Tabla4[[#This Row],[Precio Descontado]]-Tabla4[[#This Row],[Precio Base]])*Tabla4[[#This Row],[Cantidad]]</f>
        <v>#N/A</v>
      </c>
      <c r="O3143" s="284" t="e">
        <f>++Tabla4[[#This Row],[Utilidad Total]]/Tabla4[[#This Row],[Total]]</f>
        <v>#N/A</v>
      </c>
      <c r="P3143" s="282">
        <f>++Tabla4[[#This Row],[Precio Descontado]]*Tabla4[[#This Row],[Cantidad]]</f>
        <v>3767.9088390000002</v>
      </c>
      <c r="Q3143" s="282" t="e">
        <f>(INDEX(Tabla6[#All],MATCH(Tabla4[[#This Row],[Producto]],Tabla6[[#All],[PRODUCTO]],0),MATCH(Tabla4[[#This Row],[Mes]],Tabla6[#Headers],0)))</f>
        <v>#N/A</v>
      </c>
      <c r="R3143" s="282" t="e">
        <f>++Tabla4[[#This Row],[Precio Unitario Neto]]-Tabla4[[#This Row],[20.85%]]-Tabla4[[#This Row],[Costo]]</f>
        <v>#N/A</v>
      </c>
      <c r="S3143" s="282" t="e">
        <f>++Tabla4[[#This Row],[U. Bruta Uni]]*Tabla4[[#This Row],[Cantidad]]</f>
        <v>#N/A</v>
      </c>
      <c r="T3143" s="369" t="str">
        <f>VLOOKUP(Tabla4[[#This Row],[Producto]],Tabla6[#All],14,FALSE)</f>
        <v>Termico Solar</v>
      </c>
      <c r="U3143" s="284" t="e">
        <f>(IF(Tabla4[[#This Row],[Familia]]="termico solar",Tabla4[[#This Row],[Utilidad Total]]*6%,Tabla4[[#This Row],[Utilidad Total]]*11.5%))/Tabla4[[#This Row],[Total]]</f>
        <v>#N/A</v>
      </c>
      <c r="V3143" s="282" t="e">
        <f>+Tabla4[[#This Row],[Comisión Calculada]]*Tabla4[[#This Row],[Total]]</f>
        <v>#N/A</v>
      </c>
    </row>
    <row r="3144" spans="1:22" hidden="1" x14ac:dyDescent="0.25">
      <c r="A3144" s="100">
        <v>45808</v>
      </c>
      <c r="B3144" t="str">
        <f t="shared" si="150"/>
        <v>May</v>
      </c>
      <c r="C3144" s="46" t="s">
        <v>280</v>
      </c>
      <c r="F3144" s="366" t="s">
        <v>1930</v>
      </c>
      <c r="G3144" s="46" t="s">
        <v>208</v>
      </c>
      <c r="H3144" s="46">
        <v>1</v>
      </c>
      <c r="I3144" s="51">
        <v>189.75</v>
      </c>
      <c r="J3144" s="281">
        <f>++Tabla4[[#This Row],[Precio Bruto]]*1.16</f>
        <v>220.10999999999999</v>
      </c>
      <c r="K3144" s="281">
        <f>+Tabla4[[#This Row],[Precio Unitario Neto]]*Tabla4[[#Headers],[20.85%]]</f>
        <v>45.892934999999994</v>
      </c>
      <c r="L3144" s="282">
        <f>++Tabla4[[#This Row],[Precio Unitario Neto]]-Tabla4[[#This Row],[20.85%]]</f>
        <v>174.21706499999999</v>
      </c>
      <c r="M3144" s="282" t="e">
        <f>(INDEX(Tabla6[#All],MATCH(Tabla4[[#This Row],[Producto]],Tabla6[[#All],[PRODUCTO]],0),MATCH(Tabla4[[#This Row],[Mes]],Tabla6[#Headers],0)))*(1+Catalogos!$L$2)</f>
        <v>#N/A</v>
      </c>
      <c r="N3144" s="283" t="e">
        <f>+(Tabla4[[#This Row],[Precio Descontado]]-Tabla4[[#This Row],[Precio Base]])*Tabla4[[#This Row],[Cantidad]]</f>
        <v>#N/A</v>
      </c>
      <c r="O3144" s="284" t="e">
        <f>++Tabla4[[#This Row],[Utilidad Total]]/Tabla4[[#This Row],[Total]]</f>
        <v>#N/A</v>
      </c>
      <c r="P3144" s="282">
        <f>++Tabla4[[#This Row],[Precio Descontado]]*Tabla4[[#This Row],[Cantidad]]</f>
        <v>174.21706499999999</v>
      </c>
      <c r="Q3144" s="282" t="e">
        <f>(INDEX(Tabla6[#All],MATCH(Tabla4[[#This Row],[Producto]],Tabla6[[#All],[PRODUCTO]],0),MATCH(Tabla4[[#This Row],[Mes]],Tabla6[#Headers],0)))</f>
        <v>#N/A</v>
      </c>
      <c r="R3144" s="282" t="e">
        <f>++Tabla4[[#This Row],[Precio Unitario Neto]]-Tabla4[[#This Row],[20.85%]]-Tabla4[[#This Row],[Costo]]</f>
        <v>#N/A</v>
      </c>
      <c r="S3144" s="282" t="e">
        <f>++Tabla4[[#This Row],[U. Bruta Uni]]*Tabla4[[#This Row],[Cantidad]]</f>
        <v>#N/A</v>
      </c>
      <c r="T3144" s="369" t="str">
        <f>VLOOKUP(Tabla4[[#This Row],[Producto]],Tabla6[#All],14,FALSE)</f>
        <v>Termico Solar</v>
      </c>
      <c r="U3144" s="284" t="e">
        <f>(IF(Tabla4[[#This Row],[Familia]]="termico solar",Tabla4[[#This Row],[Utilidad Total]]*6%,Tabla4[[#This Row],[Utilidad Total]]*11.5%))/Tabla4[[#This Row],[Total]]</f>
        <v>#N/A</v>
      </c>
      <c r="V3144" s="282" t="e">
        <f>+Tabla4[[#This Row],[Comisión Calculada]]*Tabla4[[#This Row],[Total]]</f>
        <v>#N/A</v>
      </c>
    </row>
    <row r="3145" spans="1:22" hidden="1" x14ac:dyDescent="0.25">
      <c r="A3145" s="100">
        <v>45808</v>
      </c>
      <c r="B3145" t="str">
        <f t="shared" si="150"/>
        <v>May</v>
      </c>
      <c r="C3145" s="46" t="s">
        <v>280</v>
      </c>
      <c r="F3145" s="366" t="s">
        <v>1931</v>
      </c>
      <c r="G3145" s="46" t="s">
        <v>208</v>
      </c>
      <c r="H3145" s="46">
        <v>1</v>
      </c>
      <c r="I3145" s="51">
        <v>189.75</v>
      </c>
      <c r="J3145" s="281">
        <f>++Tabla4[[#This Row],[Precio Bruto]]*1.16</f>
        <v>220.10999999999999</v>
      </c>
      <c r="K3145" s="281">
        <f>+Tabla4[[#This Row],[Precio Unitario Neto]]*Tabla4[[#Headers],[20.85%]]</f>
        <v>45.892934999999994</v>
      </c>
      <c r="L3145" s="282">
        <f>++Tabla4[[#This Row],[Precio Unitario Neto]]-Tabla4[[#This Row],[20.85%]]</f>
        <v>174.21706499999999</v>
      </c>
      <c r="M3145" s="282" t="e">
        <f>(INDEX(Tabla6[#All],MATCH(Tabla4[[#This Row],[Producto]],Tabla6[[#All],[PRODUCTO]],0),MATCH(Tabla4[[#This Row],[Mes]],Tabla6[#Headers],0)))*(1+Catalogos!$L$2)</f>
        <v>#N/A</v>
      </c>
      <c r="N3145" s="283" t="e">
        <f>+(Tabla4[[#This Row],[Precio Descontado]]-Tabla4[[#This Row],[Precio Base]])*Tabla4[[#This Row],[Cantidad]]</f>
        <v>#N/A</v>
      </c>
      <c r="O3145" s="284" t="e">
        <f>++Tabla4[[#This Row],[Utilidad Total]]/Tabla4[[#This Row],[Total]]</f>
        <v>#N/A</v>
      </c>
      <c r="P3145" s="282">
        <f>++Tabla4[[#This Row],[Precio Descontado]]*Tabla4[[#This Row],[Cantidad]]</f>
        <v>174.21706499999999</v>
      </c>
      <c r="Q3145" s="282" t="e">
        <f>(INDEX(Tabla6[#All],MATCH(Tabla4[[#This Row],[Producto]],Tabla6[[#All],[PRODUCTO]],0),MATCH(Tabla4[[#This Row],[Mes]],Tabla6[#Headers],0)))</f>
        <v>#N/A</v>
      </c>
      <c r="R3145" s="282" t="e">
        <f>++Tabla4[[#This Row],[Precio Unitario Neto]]-Tabla4[[#This Row],[20.85%]]-Tabla4[[#This Row],[Costo]]</f>
        <v>#N/A</v>
      </c>
      <c r="S3145" s="282" t="e">
        <f>++Tabla4[[#This Row],[U. Bruta Uni]]*Tabla4[[#This Row],[Cantidad]]</f>
        <v>#N/A</v>
      </c>
      <c r="T3145" s="369" t="str">
        <f>VLOOKUP(Tabla4[[#This Row],[Producto]],Tabla6[#All],14,FALSE)</f>
        <v>Termico Solar</v>
      </c>
      <c r="U3145" s="284" t="e">
        <f>(IF(Tabla4[[#This Row],[Familia]]="termico solar",Tabla4[[#This Row],[Utilidad Total]]*6%,Tabla4[[#This Row],[Utilidad Total]]*11.5%))/Tabla4[[#This Row],[Total]]</f>
        <v>#N/A</v>
      </c>
      <c r="V3145" s="282" t="e">
        <f>+Tabla4[[#This Row],[Comisión Calculada]]*Tabla4[[#This Row],[Total]]</f>
        <v>#N/A</v>
      </c>
    </row>
    <row r="3146" spans="1:22" hidden="1" x14ac:dyDescent="0.25">
      <c r="A3146" s="100">
        <v>45808</v>
      </c>
      <c r="B3146" t="str">
        <f t="shared" ref="B3146:B3151" si="151">TEXT(A3146, "mmmm")</f>
        <v>May</v>
      </c>
      <c r="C3146" s="46" t="s">
        <v>280</v>
      </c>
      <c r="F3146" s="366" t="s">
        <v>1932</v>
      </c>
      <c r="G3146" s="46" t="s">
        <v>83</v>
      </c>
      <c r="H3146" s="46">
        <v>5</v>
      </c>
      <c r="I3146" s="51">
        <v>8858.76</v>
      </c>
      <c r="J3146" s="281">
        <f>++Tabla4[[#This Row],[Precio Bruto]]*1.16</f>
        <v>10276.161599999999</v>
      </c>
      <c r="K3146" s="281">
        <f>+Tabla4[[#This Row],[Precio Unitario Neto]]*Tabla4[[#Headers],[20.85%]]</f>
        <v>2142.5796935999997</v>
      </c>
      <c r="L3146" s="282">
        <f>++Tabla4[[#This Row],[Precio Unitario Neto]]-Tabla4[[#This Row],[20.85%]]</f>
        <v>8133.5819063999998</v>
      </c>
      <c r="M3146" s="282" t="e">
        <f>(INDEX(Tabla6[#All],MATCH(Tabla4[[#This Row],[Producto]],Tabla6[[#All],[PRODUCTO]],0),MATCH(Tabla4[[#This Row],[Mes]],Tabla6[#Headers],0)))*(1+Catalogos!$L$2)</f>
        <v>#N/A</v>
      </c>
      <c r="N3146" s="283" t="e">
        <f>+(Tabla4[[#This Row],[Precio Descontado]]-Tabla4[[#This Row],[Precio Base]])*Tabla4[[#This Row],[Cantidad]]</f>
        <v>#N/A</v>
      </c>
      <c r="O3146" s="284" t="e">
        <f>++Tabla4[[#This Row],[Utilidad Total]]/Tabla4[[#This Row],[Total]]</f>
        <v>#N/A</v>
      </c>
      <c r="P3146" s="282">
        <f>++Tabla4[[#This Row],[Precio Descontado]]*Tabla4[[#This Row],[Cantidad]]</f>
        <v>40667.909531999998</v>
      </c>
      <c r="Q3146" s="282" t="e">
        <f>(INDEX(Tabla6[#All],MATCH(Tabla4[[#This Row],[Producto]],Tabla6[[#All],[PRODUCTO]],0),MATCH(Tabla4[[#This Row],[Mes]],Tabla6[#Headers],0)))</f>
        <v>#N/A</v>
      </c>
      <c r="R3146" s="282" t="e">
        <f>++Tabla4[[#This Row],[Precio Unitario Neto]]-Tabla4[[#This Row],[20.85%]]-Tabla4[[#This Row],[Costo]]</f>
        <v>#N/A</v>
      </c>
      <c r="S3146" s="282" t="e">
        <f>++Tabla4[[#This Row],[U. Bruta Uni]]*Tabla4[[#This Row],[Cantidad]]</f>
        <v>#N/A</v>
      </c>
      <c r="T3146" s="369" t="str">
        <f>VLOOKUP(Tabla4[[#This Row],[Producto]],Tabla6[#All],14,FALSE)</f>
        <v>Termico Solar</v>
      </c>
      <c r="U3146" s="284" t="e">
        <f>(IF(Tabla4[[#This Row],[Familia]]="termico solar",Tabla4[[#This Row],[Utilidad Total]]*6%,Tabla4[[#This Row],[Utilidad Total]]*11.5%))/Tabla4[[#This Row],[Total]]</f>
        <v>#N/A</v>
      </c>
      <c r="V3146" s="282" t="e">
        <f>+Tabla4[[#This Row],[Comisión Calculada]]*Tabla4[[#This Row],[Total]]</f>
        <v>#N/A</v>
      </c>
    </row>
    <row r="3147" spans="1:22" hidden="1" x14ac:dyDescent="0.25">
      <c r="A3147" s="100">
        <v>45808</v>
      </c>
      <c r="B3147" t="str">
        <f t="shared" si="151"/>
        <v>May</v>
      </c>
      <c r="C3147" s="46" t="s">
        <v>280</v>
      </c>
      <c r="F3147" s="366" t="s">
        <v>1932</v>
      </c>
      <c r="G3147" s="46" t="s">
        <v>17</v>
      </c>
      <c r="H3147" s="46">
        <v>6</v>
      </c>
      <c r="I3147" s="51">
        <v>4622.28</v>
      </c>
      <c r="J3147" s="281">
        <f>++Tabla4[[#This Row],[Precio Bruto]]*1.16</f>
        <v>5361.8447999999989</v>
      </c>
      <c r="K3147" s="281">
        <f>+Tabla4[[#This Row],[Precio Unitario Neto]]*Tabla4[[#Headers],[20.85%]]</f>
        <v>1117.9446407999997</v>
      </c>
      <c r="L3147" s="282">
        <f>++Tabla4[[#This Row],[Precio Unitario Neto]]-Tabla4[[#This Row],[20.85%]]</f>
        <v>4243.9001591999995</v>
      </c>
      <c r="M3147" s="282" t="e">
        <f>(INDEX(Tabla6[#All],MATCH(Tabla4[[#This Row],[Producto]],Tabla6[[#All],[PRODUCTO]],0),MATCH(Tabla4[[#This Row],[Mes]],Tabla6[#Headers],0)))*(1+Catalogos!$L$2)</f>
        <v>#N/A</v>
      </c>
      <c r="N3147" s="283" t="e">
        <f>+(Tabla4[[#This Row],[Precio Descontado]]-Tabla4[[#This Row],[Precio Base]])*Tabla4[[#This Row],[Cantidad]]</f>
        <v>#N/A</v>
      </c>
      <c r="O3147" s="284" t="e">
        <f>++Tabla4[[#This Row],[Utilidad Total]]/Tabla4[[#This Row],[Total]]</f>
        <v>#N/A</v>
      </c>
      <c r="P3147" s="282">
        <f>++Tabla4[[#This Row],[Precio Descontado]]*Tabla4[[#This Row],[Cantidad]]</f>
        <v>25463.400955199999</v>
      </c>
      <c r="Q3147" s="282" t="e">
        <f>(INDEX(Tabla6[#All],MATCH(Tabla4[[#This Row],[Producto]],Tabla6[[#All],[PRODUCTO]],0),MATCH(Tabla4[[#This Row],[Mes]],Tabla6[#Headers],0)))</f>
        <v>#N/A</v>
      </c>
      <c r="R3147" s="282" t="e">
        <f>++Tabla4[[#This Row],[Precio Unitario Neto]]-Tabla4[[#This Row],[20.85%]]-Tabla4[[#This Row],[Costo]]</f>
        <v>#N/A</v>
      </c>
      <c r="S3147" s="282" t="e">
        <f>++Tabla4[[#This Row],[U. Bruta Uni]]*Tabla4[[#This Row],[Cantidad]]</f>
        <v>#N/A</v>
      </c>
      <c r="T3147" s="369" t="str">
        <f>VLOOKUP(Tabla4[[#This Row],[Producto]],Tabla6[#All],14,FALSE)</f>
        <v>Termico Solar</v>
      </c>
      <c r="U3147" s="284" t="e">
        <f>(IF(Tabla4[[#This Row],[Familia]]="termico solar",Tabla4[[#This Row],[Utilidad Total]]*6%,Tabla4[[#This Row],[Utilidad Total]]*11.5%))/Tabla4[[#This Row],[Total]]</f>
        <v>#N/A</v>
      </c>
      <c r="V3147" s="282" t="e">
        <f>+Tabla4[[#This Row],[Comisión Calculada]]*Tabla4[[#This Row],[Total]]</f>
        <v>#N/A</v>
      </c>
    </row>
    <row r="3148" spans="1:22" hidden="1" x14ac:dyDescent="0.25">
      <c r="A3148" s="100">
        <v>45808</v>
      </c>
      <c r="B3148" t="str">
        <f t="shared" si="151"/>
        <v>May</v>
      </c>
      <c r="C3148" s="46" t="s">
        <v>280</v>
      </c>
      <c r="F3148" s="366" t="s">
        <v>1932</v>
      </c>
      <c r="G3148" s="46" t="s">
        <v>18</v>
      </c>
      <c r="H3148" s="46">
        <v>2</v>
      </c>
      <c r="I3148" s="51">
        <v>5367.65</v>
      </c>
      <c r="J3148" s="281">
        <f>++Tabla4[[#This Row],[Precio Bruto]]*1.16</f>
        <v>6226.4739999999993</v>
      </c>
      <c r="K3148" s="281">
        <f>+Tabla4[[#This Row],[Precio Unitario Neto]]*Tabla4[[#Headers],[20.85%]]</f>
        <v>1298.2198289999999</v>
      </c>
      <c r="L3148" s="282">
        <f>++Tabla4[[#This Row],[Precio Unitario Neto]]-Tabla4[[#This Row],[20.85%]]</f>
        <v>4928.2541709999996</v>
      </c>
      <c r="M3148" s="282" t="e">
        <f>(INDEX(Tabla6[#All],MATCH(Tabla4[[#This Row],[Producto]],Tabla6[[#All],[PRODUCTO]],0),MATCH(Tabla4[[#This Row],[Mes]],Tabla6[#Headers],0)))*(1+Catalogos!$L$2)</f>
        <v>#N/A</v>
      </c>
      <c r="N3148" s="283" t="e">
        <f>+(Tabla4[[#This Row],[Precio Descontado]]-Tabla4[[#This Row],[Precio Base]])*Tabla4[[#This Row],[Cantidad]]</f>
        <v>#N/A</v>
      </c>
      <c r="O3148" s="284" t="e">
        <f>++Tabla4[[#This Row],[Utilidad Total]]/Tabla4[[#This Row],[Total]]</f>
        <v>#N/A</v>
      </c>
      <c r="P3148" s="282">
        <f>++Tabla4[[#This Row],[Precio Descontado]]*Tabla4[[#This Row],[Cantidad]]</f>
        <v>9856.5083419999992</v>
      </c>
      <c r="Q3148" s="282" t="e">
        <f>(INDEX(Tabla6[#All],MATCH(Tabla4[[#This Row],[Producto]],Tabla6[[#All],[PRODUCTO]],0),MATCH(Tabla4[[#This Row],[Mes]],Tabla6[#Headers],0)))</f>
        <v>#N/A</v>
      </c>
      <c r="R3148" s="282" t="e">
        <f>++Tabla4[[#This Row],[Precio Unitario Neto]]-Tabla4[[#This Row],[20.85%]]-Tabla4[[#This Row],[Costo]]</f>
        <v>#N/A</v>
      </c>
      <c r="S3148" s="282" t="e">
        <f>++Tabla4[[#This Row],[U. Bruta Uni]]*Tabla4[[#This Row],[Cantidad]]</f>
        <v>#N/A</v>
      </c>
      <c r="T3148" s="369" t="str">
        <f>VLOOKUP(Tabla4[[#This Row],[Producto]],Tabla6[#All],14,FALSE)</f>
        <v>Termico Solar</v>
      </c>
      <c r="U3148" s="284" t="e">
        <f>(IF(Tabla4[[#This Row],[Familia]]="termico solar",Tabla4[[#This Row],[Utilidad Total]]*6%,Tabla4[[#This Row],[Utilidad Total]]*11.5%))/Tabla4[[#This Row],[Total]]</f>
        <v>#N/A</v>
      </c>
      <c r="V3148" s="282" t="e">
        <f>+Tabla4[[#This Row],[Comisión Calculada]]*Tabla4[[#This Row],[Total]]</f>
        <v>#N/A</v>
      </c>
    </row>
    <row r="3149" spans="1:22" hidden="1" x14ac:dyDescent="0.25">
      <c r="A3149" s="100">
        <v>45808</v>
      </c>
      <c r="B3149" t="str">
        <f t="shared" si="151"/>
        <v>May</v>
      </c>
      <c r="C3149" s="46" t="s">
        <v>280</v>
      </c>
      <c r="F3149" s="366" t="s">
        <v>1932</v>
      </c>
      <c r="G3149" s="46" t="s">
        <v>19</v>
      </c>
      <c r="H3149" s="46">
        <v>4</v>
      </c>
      <c r="I3149" s="51">
        <v>6412.03</v>
      </c>
      <c r="J3149" s="281">
        <f>++Tabla4[[#This Row],[Precio Bruto]]*1.16</f>
        <v>7437.9547999999995</v>
      </c>
      <c r="K3149" s="281">
        <f>+Tabla4[[#This Row],[Precio Unitario Neto]]*Tabla4[[#Headers],[20.85%]]</f>
        <v>1550.8135757999999</v>
      </c>
      <c r="L3149" s="282">
        <f>++Tabla4[[#This Row],[Precio Unitario Neto]]-Tabla4[[#This Row],[20.85%]]</f>
        <v>5887.1412241999997</v>
      </c>
      <c r="M3149" s="282" t="e">
        <f>(INDEX(Tabla6[#All],MATCH(Tabla4[[#This Row],[Producto]],Tabla6[[#All],[PRODUCTO]],0),MATCH(Tabla4[[#This Row],[Mes]],Tabla6[#Headers],0)))*(1+Catalogos!$L$2)</f>
        <v>#N/A</v>
      </c>
      <c r="N3149" s="283" t="e">
        <f>+(Tabla4[[#This Row],[Precio Descontado]]-Tabla4[[#This Row],[Precio Base]])*Tabla4[[#This Row],[Cantidad]]</f>
        <v>#N/A</v>
      </c>
      <c r="O3149" s="284" t="e">
        <f>++Tabla4[[#This Row],[Utilidad Total]]/Tabla4[[#This Row],[Total]]</f>
        <v>#N/A</v>
      </c>
      <c r="P3149" s="282">
        <f>++Tabla4[[#This Row],[Precio Descontado]]*Tabla4[[#This Row],[Cantidad]]</f>
        <v>23548.564896799999</v>
      </c>
      <c r="Q3149" s="282" t="e">
        <f>(INDEX(Tabla6[#All],MATCH(Tabla4[[#This Row],[Producto]],Tabla6[[#All],[PRODUCTO]],0),MATCH(Tabla4[[#This Row],[Mes]],Tabla6[#Headers],0)))</f>
        <v>#N/A</v>
      </c>
      <c r="R3149" s="282" t="e">
        <f>++Tabla4[[#This Row],[Precio Unitario Neto]]-Tabla4[[#This Row],[20.85%]]-Tabla4[[#This Row],[Costo]]</f>
        <v>#N/A</v>
      </c>
      <c r="S3149" s="282" t="e">
        <f>++Tabla4[[#This Row],[U. Bruta Uni]]*Tabla4[[#This Row],[Cantidad]]</f>
        <v>#N/A</v>
      </c>
      <c r="T3149" s="369" t="str">
        <f>VLOOKUP(Tabla4[[#This Row],[Producto]],Tabla6[#All],14,FALSE)</f>
        <v>Termico Solar</v>
      </c>
      <c r="U3149" s="284" t="e">
        <f>(IF(Tabla4[[#This Row],[Familia]]="termico solar",Tabla4[[#This Row],[Utilidad Total]]*6%,Tabla4[[#This Row],[Utilidad Total]]*11.5%))/Tabla4[[#This Row],[Total]]</f>
        <v>#N/A</v>
      </c>
      <c r="V3149" s="282" t="e">
        <f>+Tabla4[[#This Row],[Comisión Calculada]]*Tabla4[[#This Row],[Total]]</f>
        <v>#N/A</v>
      </c>
    </row>
    <row r="3150" spans="1:22" hidden="1" x14ac:dyDescent="0.25">
      <c r="A3150" s="100">
        <v>45808</v>
      </c>
      <c r="B3150" t="str">
        <f t="shared" si="151"/>
        <v>May</v>
      </c>
      <c r="C3150" s="46" t="s">
        <v>280</v>
      </c>
      <c r="F3150" s="366" t="s">
        <v>1932</v>
      </c>
      <c r="G3150" s="46" t="s">
        <v>22</v>
      </c>
      <c r="H3150" s="46">
        <v>4</v>
      </c>
      <c r="I3150" s="51">
        <v>13355.75</v>
      </c>
      <c r="J3150" s="281">
        <f>++Tabla4[[#This Row],[Precio Bruto]]*1.16</f>
        <v>15492.669999999998</v>
      </c>
      <c r="K3150" s="281">
        <f>+Tabla4[[#This Row],[Precio Unitario Neto]]*Tabla4[[#Headers],[20.85%]]</f>
        <v>3230.2216949999993</v>
      </c>
      <c r="L3150" s="282">
        <f>++Tabla4[[#This Row],[Precio Unitario Neto]]-Tabla4[[#This Row],[20.85%]]</f>
        <v>12262.448304999998</v>
      </c>
      <c r="M3150" s="282" t="e">
        <f>(INDEX(Tabla6[#All],MATCH(Tabla4[[#This Row],[Producto]],Tabla6[[#All],[PRODUCTO]],0),MATCH(Tabla4[[#This Row],[Mes]],Tabla6[#Headers],0)))*(1+Catalogos!$L$2)</f>
        <v>#N/A</v>
      </c>
      <c r="N3150" s="283" t="e">
        <f>+(Tabla4[[#This Row],[Precio Descontado]]-Tabla4[[#This Row],[Precio Base]])*Tabla4[[#This Row],[Cantidad]]</f>
        <v>#N/A</v>
      </c>
      <c r="O3150" s="284" t="e">
        <f>++Tabla4[[#This Row],[Utilidad Total]]/Tabla4[[#This Row],[Total]]</f>
        <v>#N/A</v>
      </c>
      <c r="P3150" s="282">
        <f>++Tabla4[[#This Row],[Precio Descontado]]*Tabla4[[#This Row],[Cantidad]]</f>
        <v>49049.793219999992</v>
      </c>
      <c r="Q3150" s="282" t="e">
        <f>(INDEX(Tabla6[#All],MATCH(Tabla4[[#This Row],[Producto]],Tabla6[[#All],[PRODUCTO]],0),MATCH(Tabla4[[#This Row],[Mes]],Tabla6[#Headers],0)))</f>
        <v>#N/A</v>
      </c>
      <c r="R3150" s="282" t="e">
        <f>++Tabla4[[#This Row],[Precio Unitario Neto]]-Tabla4[[#This Row],[20.85%]]-Tabla4[[#This Row],[Costo]]</f>
        <v>#N/A</v>
      </c>
      <c r="S3150" s="282" t="e">
        <f>++Tabla4[[#This Row],[U. Bruta Uni]]*Tabla4[[#This Row],[Cantidad]]</f>
        <v>#N/A</v>
      </c>
      <c r="T3150" s="369" t="str">
        <f>VLOOKUP(Tabla4[[#This Row],[Producto]],Tabla6[#All],14,FALSE)</f>
        <v>Termico Solar</v>
      </c>
      <c r="U3150" s="284" t="e">
        <f>(IF(Tabla4[[#This Row],[Familia]]="termico solar",Tabla4[[#This Row],[Utilidad Total]]*6%,Tabla4[[#This Row],[Utilidad Total]]*11.5%))/Tabla4[[#This Row],[Total]]</f>
        <v>#N/A</v>
      </c>
      <c r="V3150" s="282" t="e">
        <f>+Tabla4[[#This Row],[Comisión Calculada]]*Tabla4[[#This Row],[Total]]</f>
        <v>#N/A</v>
      </c>
    </row>
    <row r="3151" spans="1:22" hidden="1" x14ac:dyDescent="0.25">
      <c r="A3151" s="100">
        <v>45808</v>
      </c>
      <c r="B3151" t="str">
        <f t="shared" si="151"/>
        <v>May</v>
      </c>
      <c r="C3151" s="46" t="s">
        <v>280</v>
      </c>
      <c r="F3151" s="366" t="s">
        <v>1932</v>
      </c>
      <c r="G3151" s="46" t="s">
        <v>566</v>
      </c>
      <c r="H3151" s="46">
        <v>1</v>
      </c>
      <c r="I3151" s="51">
        <v>2109.4499999999998</v>
      </c>
      <c r="J3151" s="281">
        <f>++Tabla4[[#This Row],[Precio Bruto]]*1.16</f>
        <v>2446.9619999999995</v>
      </c>
      <c r="K3151" s="281">
        <f>+Tabla4[[#This Row],[Precio Unitario Neto]]*Tabla4[[#Headers],[20.85%]]</f>
        <v>510.19157699999988</v>
      </c>
      <c r="L3151" s="282">
        <f>++Tabla4[[#This Row],[Precio Unitario Neto]]-Tabla4[[#This Row],[20.85%]]</f>
        <v>1936.7704229999997</v>
      </c>
      <c r="M3151" s="282" t="e">
        <f>(INDEX(Tabla6[#All],MATCH(Tabla4[[#This Row],[Producto]],Tabla6[[#All],[PRODUCTO]],0),MATCH(Tabla4[[#This Row],[Mes]],Tabla6[#Headers],0)))*(1+Catalogos!$L$2)</f>
        <v>#N/A</v>
      </c>
      <c r="N3151" s="283" t="e">
        <f>+(Tabla4[[#This Row],[Precio Descontado]]-Tabla4[[#This Row],[Precio Base]])*Tabla4[[#This Row],[Cantidad]]</f>
        <v>#N/A</v>
      </c>
      <c r="O3151" s="284" t="e">
        <f>++Tabla4[[#This Row],[Utilidad Total]]/Tabla4[[#This Row],[Total]]</f>
        <v>#N/A</v>
      </c>
      <c r="P3151" s="282">
        <f>++Tabla4[[#This Row],[Precio Descontado]]*Tabla4[[#This Row],[Cantidad]]</f>
        <v>1936.7704229999997</v>
      </c>
      <c r="Q3151" s="282" t="e">
        <f>(INDEX(Tabla6[#All],MATCH(Tabla4[[#This Row],[Producto]],Tabla6[[#All],[PRODUCTO]],0),MATCH(Tabla4[[#This Row],[Mes]],Tabla6[#Headers],0)))</f>
        <v>#N/A</v>
      </c>
      <c r="R3151" s="282" t="e">
        <f>++Tabla4[[#This Row],[Precio Unitario Neto]]-Tabla4[[#This Row],[20.85%]]-Tabla4[[#This Row],[Costo]]</f>
        <v>#N/A</v>
      </c>
      <c r="S3151" s="282" t="e">
        <f>++Tabla4[[#This Row],[U. Bruta Uni]]*Tabla4[[#This Row],[Cantidad]]</f>
        <v>#N/A</v>
      </c>
      <c r="T3151" s="369" t="str">
        <f>VLOOKUP(Tabla4[[#This Row],[Producto]],Tabla6[#All],14,FALSE)</f>
        <v>Termico Solar</v>
      </c>
      <c r="U3151" s="284" t="e">
        <f>(IF(Tabla4[[#This Row],[Familia]]="termico solar",Tabla4[[#This Row],[Utilidad Total]]*6%,Tabla4[[#This Row],[Utilidad Total]]*11.5%))/Tabla4[[#This Row],[Total]]</f>
        <v>#N/A</v>
      </c>
      <c r="V3151" s="282" t="e">
        <f>+Tabla4[[#This Row],[Comisión Calculada]]*Tabla4[[#This Row],[Total]]</f>
        <v>#N/A</v>
      </c>
    </row>
    <row r="3152" spans="1:22" hidden="1" x14ac:dyDescent="0.25">
      <c r="A3152" s="100">
        <v>45808</v>
      </c>
      <c r="B3152" t="str">
        <f t="shared" ref="B3152:B3162" si="152">TEXT(A3152, "mmmm")</f>
        <v>May</v>
      </c>
      <c r="C3152" s="46" t="s">
        <v>280</v>
      </c>
      <c r="F3152" s="366" t="s">
        <v>1933</v>
      </c>
      <c r="G3152" s="46" t="s">
        <v>83</v>
      </c>
      <c r="H3152" s="46">
        <v>4</v>
      </c>
      <c r="I3152" s="51">
        <v>8858.76</v>
      </c>
      <c r="J3152" s="281">
        <f>++Tabla4[[#This Row],[Precio Bruto]]*1.16</f>
        <v>10276.161599999999</v>
      </c>
      <c r="K3152" s="281">
        <f>+Tabla4[[#This Row],[Precio Unitario Neto]]*Tabla4[[#Headers],[20.85%]]</f>
        <v>2142.5796935999997</v>
      </c>
      <c r="L3152" s="282">
        <f>++Tabla4[[#This Row],[Precio Unitario Neto]]-Tabla4[[#This Row],[20.85%]]</f>
        <v>8133.5819063999998</v>
      </c>
      <c r="M3152" s="282" t="e">
        <f>(INDEX(Tabla6[#All],MATCH(Tabla4[[#This Row],[Producto]],Tabla6[[#All],[PRODUCTO]],0),MATCH(Tabla4[[#This Row],[Mes]],Tabla6[#Headers],0)))*(1+Catalogos!$L$2)</f>
        <v>#N/A</v>
      </c>
      <c r="N3152" s="283" t="e">
        <f>+(Tabla4[[#This Row],[Precio Descontado]]-Tabla4[[#This Row],[Precio Base]])*Tabla4[[#This Row],[Cantidad]]</f>
        <v>#N/A</v>
      </c>
      <c r="O3152" s="284" t="e">
        <f>++Tabla4[[#This Row],[Utilidad Total]]/Tabla4[[#This Row],[Total]]</f>
        <v>#N/A</v>
      </c>
      <c r="P3152" s="282">
        <f>++Tabla4[[#This Row],[Precio Descontado]]*Tabla4[[#This Row],[Cantidad]]</f>
        <v>32534.327625599999</v>
      </c>
      <c r="Q3152" s="282" t="e">
        <f>(INDEX(Tabla6[#All],MATCH(Tabla4[[#This Row],[Producto]],Tabla6[[#All],[PRODUCTO]],0),MATCH(Tabla4[[#This Row],[Mes]],Tabla6[#Headers],0)))</f>
        <v>#N/A</v>
      </c>
      <c r="R3152" s="282" t="e">
        <f>++Tabla4[[#This Row],[Precio Unitario Neto]]-Tabla4[[#This Row],[20.85%]]-Tabla4[[#This Row],[Costo]]</f>
        <v>#N/A</v>
      </c>
      <c r="S3152" s="282" t="e">
        <f>++Tabla4[[#This Row],[U. Bruta Uni]]*Tabla4[[#This Row],[Cantidad]]</f>
        <v>#N/A</v>
      </c>
      <c r="T3152" s="369" t="str">
        <f>VLOOKUP(Tabla4[[#This Row],[Producto]],Tabla6[#All],14,FALSE)</f>
        <v>Termico Solar</v>
      </c>
      <c r="U3152" s="284" t="e">
        <f>(IF(Tabla4[[#This Row],[Familia]]="termico solar",Tabla4[[#This Row],[Utilidad Total]]*6%,Tabla4[[#This Row],[Utilidad Total]]*11.5%))/Tabla4[[#This Row],[Total]]</f>
        <v>#N/A</v>
      </c>
      <c r="V3152" s="282" t="e">
        <f>+Tabla4[[#This Row],[Comisión Calculada]]*Tabla4[[#This Row],[Total]]</f>
        <v>#N/A</v>
      </c>
    </row>
    <row r="3153" spans="1:22" hidden="1" x14ac:dyDescent="0.25">
      <c r="A3153" s="100">
        <v>45808</v>
      </c>
      <c r="B3153" t="str">
        <f t="shared" si="152"/>
        <v>May</v>
      </c>
      <c r="C3153" s="46" t="s">
        <v>280</v>
      </c>
      <c r="F3153" s="366" t="s">
        <v>1933</v>
      </c>
      <c r="G3153" s="46" t="s">
        <v>17</v>
      </c>
      <c r="H3153" s="46">
        <v>14</v>
      </c>
      <c r="I3153" s="51">
        <v>4622.28</v>
      </c>
      <c r="J3153" s="281">
        <f>++Tabla4[[#This Row],[Precio Bruto]]*1.16</f>
        <v>5361.8447999999989</v>
      </c>
      <c r="K3153" s="281">
        <f>+Tabla4[[#This Row],[Precio Unitario Neto]]*Tabla4[[#Headers],[20.85%]]</f>
        <v>1117.9446407999997</v>
      </c>
      <c r="L3153" s="282">
        <f>++Tabla4[[#This Row],[Precio Unitario Neto]]-Tabla4[[#This Row],[20.85%]]</f>
        <v>4243.9001591999995</v>
      </c>
      <c r="M3153" s="282" t="e">
        <f>(INDEX(Tabla6[#All],MATCH(Tabla4[[#This Row],[Producto]],Tabla6[[#All],[PRODUCTO]],0),MATCH(Tabla4[[#This Row],[Mes]],Tabla6[#Headers],0)))*(1+Catalogos!$L$2)</f>
        <v>#N/A</v>
      </c>
      <c r="N3153" s="283" t="e">
        <f>+(Tabla4[[#This Row],[Precio Descontado]]-Tabla4[[#This Row],[Precio Base]])*Tabla4[[#This Row],[Cantidad]]</f>
        <v>#N/A</v>
      </c>
      <c r="O3153" s="284" t="e">
        <f>++Tabla4[[#This Row],[Utilidad Total]]/Tabla4[[#This Row],[Total]]</f>
        <v>#N/A</v>
      </c>
      <c r="P3153" s="282">
        <f>++Tabla4[[#This Row],[Precio Descontado]]*Tabla4[[#This Row],[Cantidad]]</f>
        <v>59414.602228799995</v>
      </c>
      <c r="Q3153" s="282" t="e">
        <f>(INDEX(Tabla6[#All],MATCH(Tabla4[[#This Row],[Producto]],Tabla6[[#All],[PRODUCTO]],0),MATCH(Tabla4[[#This Row],[Mes]],Tabla6[#Headers],0)))</f>
        <v>#N/A</v>
      </c>
      <c r="R3153" s="282" t="e">
        <f>++Tabla4[[#This Row],[Precio Unitario Neto]]-Tabla4[[#This Row],[20.85%]]-Tabla4[[#This Row],[Costo]]</f>
        <v>#N/A</v>
      </c>
      <c r="S3153" s="282" t="e">
        <f>++Tabla4[[#This Row],[U. Bruta Uni]]*Tabla4[[#This Row],[Cantidad]]</f>
        <v>#N/A</v>
      </c>
      <c r="T3153" s="369" t="str">
        <f>VLOOKUP(Tabla4[[#This Row],[Producto]],Tabla6[#All],14,FALSE)</f>
        <v>Termico Solar</v>
      </c>
      <c r="U3153" s="284" t="e">
        <f>(IF(Tabla4[[#This Row],[Familia]]="termico solar",Tabla4[[#This Row],[Utilidad Total]]*6%,Tabla4[[#This Row],[Utilidad Total]]*11.5%))/Tabla4[[#This Row],[Total]]</f>
        <v>#N/A</v>
      </c>
      <c r="V3153" s="282" t="e">
        <f>+Tabla4[[#This Row],[Comisión Calculada]]*Tabla4[[#This Row],[Total]]</f>
        <v>#N/A</v>
      </c>
    </row>
    <row r="3154" spans="1:22" hidden="1" x14ac:dyDescent="0.25">
      <c r="A3154" s="100">
        <v>45808</v>
      </c>
      <c r="B3154" t="str">
        <f t="shared" si="152"/>
        <v>May</v>
      </c>
      <c r="C3154" s="46" t="s">
        <v>280</v>
      </c>
      <c r="F3154" s="366" t="s">
        <v>1933</v>
      </c>
      <c r="G3154" s="46" t="s">
        <v>18</v>
      </c>
      <c r="H3154" s="46">
        <v>8</v>
      </c>
      <c r="I3154" s="51">
        <v>5367.65</v>
      </c>
      <c r="J3154" s="281">
        <f>++Tabla4[[#This Row],[Precio Bruto]]*1.16</f>
        <v>6226.4739999999993</v>
      </c>
      <c r="K3154" s="281">
        <f>+Tabla4[[#This Row],[Precio Unitario Neto]]*Tabla4[[#Headers],[20.85%]]</f>
        <v>1298.2198289999999</v>
      </c>
      <c r="L3154" s="282">
        <f>++Tabla4[[#This Row],[Precio Unitario Neto]]-Tabla4[[#This Row],[20.85%]]</f>
        <v>4928.2541709999996</v>
      </c>
      <c r="M3154" s="282" t="e">
        <f>(INDEX(Tabla6[#All],MATCH(Tabla4[[#This Row],[Producto]],Tabla6[[#All],[PRODUCTO]],0),MATCH(Tabla4[[#This Row],[Mes]],Tabla6[#Headers],0)))*(1+Catalogos!$L$2)</f>
        <v>#N/A</v>
      </c>
      <c r="N3154" s="283" t="e">
        <f>+(Tabla4[[#This Row],[Precio Descontado]]-Tabla4[[#This Row],[Precio Base]])*Tabla4[[#This Row],[Cantidad]]</f>
        <v>#N/A</v>
      </c>
      <c r="O3154" s="284" t="e">
        <f>++Tabla4[[#This Row],[Utilidad Total]]/Tabla4[[#This Row],[Total]]</f>
        <v>#N/A</v>
      </c>
      <c r="P3154" s="282">
        <f>++Tabla4[[#This Row],[Precio Descontado]]*Tabla4[[#This Row],[Cantidad]]</f>
        <v>39426.033367999997</v>
      </c>
      <c r="Q3154" s="282" t="e">
        <f>(INDEX(Tabla6[#All],MATCH(Tabla4[[#This Row],[Producto]],Tabla6[[#All],[PRODUCTO]],0),MATCH(Tabla4[[#This Row],[Mes]],Tabla6[#Headers],0)))</f>
        <v>#N/A</v>
      </c>
      <c r="R3154" s="282" t="e">
        <f>++Tabla4[[#This Row],[Precio Unitario Neto]]-Tabla4[[#This Row],[20.85%]]-Tabla4[[#This Row],[Costo]]</f>
        <v>#N/A</v>
      </c>
      <c r="S3154" s="282" t="e">
        <f>++Tabla4[[#This Row],[U. Bruta Uni]]*Tabla4[[#This Row],[Cantidad]]</f>
        <v>#N/A</v>
      </c>
      <c r="T3154" s="369" t="str">
        <f>VLOOKUP(Tabla4[[#This Row],[Producto]],Tabla6[#All],14,FALSE)</f>
        <v>Termico Solar</v>
      </c>
      <c r="U3154" s="284" t="e">
        <f>(IF(Tabla4[[#This Row],[Familia]]="termico solar",Tabla4[[#This Row],[Utilidad Total]]*6%,Tabla4[[#This Row],[Utilidad Total]]*11.5%))/Tabla4[[#This Row],[Total]]</f>
        <v>#N/A</v>
      </c>
      <c r="V3154" s="282" t="e">
        <f>+Tabla4[[#This Row],[Comisión Calculada]]*Tabla4[[#This Row],[Total]]</f>
        <v>#N/A</v>
      </c>
    </row>
    <row r="3155" spans="1:22" hidden="1" x14ac:dyDescent="0.25">
      <c r="A3155" s="100">
        <v>45808</v>
      </c>
      <c r="B3155" t="str">
        <f t="shared" si="152"/>
        <v>May</v>
      </c>
      <c r="C3155" s="46" t="s">
        <v>280</v>
      </c>
      <c r="F3155" s="366" t="s">
        <v>1933</v>
      </c>
      <c r="G3155" s="46" t="s">
        <v>19</v>
      </c>
      <c r="H3155" s="46">
        <v>5</v>
      </c>
      <c r="I3155" s="51">
        <v>6412.0300000000007</v>
      </c>
      <c r="J3155" s="281">
        <f>++Tabla4[[#This Row],[Precio Bruto]]*1.16</f>
        <v>7437.9548000000004</v>
      </c>
      <c r="K3155" s="281">
        <f>+Tabla4[[#This Row],[Precio Unitario Neto]]*Tabla4[[#Headers],[20.85%]]</f>
        <v>1550.8135758000001</v>
      </c>
      <c r="L3155" s="282">
        <f>++Tabla4[[#This Row],[Precio Unitario Neto]]-Tabla4[[#This Row],[20.85%]]</f>
        <v>5887.1412242000006</v>
      </c>
      <c r="M3155" s="282" t="e">
        <f>(INDEX(Tabla6[#All],MATCH(Tabla4[[#This Row],[Producto]],Tabla6[[#All],[PRODUCTO]],0),MATCH(Tabla4[[#This Row],[Mes]],Tabla6[#Headers],0)))*(1+Catalogos!$L$2)</f>
        <v>#N/A</v>
      </c>
      <c r="N3155" s="283" t="e">
        <f>+(Tabla4[[#This Row],[Precio Descontado]]-Tabla4[[#This Row],[Precio Base]])*Tabla4[[#This Row],[Cantidad]]</f>
        <v>#N/A</v>
      </c>
      <c r="O3155" s="284" t="e">
        <f>++Tabla4[[#This Row],[Utilidad Total]]/Tabla4[[#This Row],[Total]]</f>
        <v>#N/A</v>
      </c>
      <c r="P3155" s="282">
        <f>++Tabla4[[#This Row],[Precio Descontado]]*Tabla4[[#This Row],[Cantidad]]</f>
        <v>29435.706121000003</v>
      </c>
      <c r="Q3155" s="282" t="e">
        <f>(INDEX(Tabla6[#All],MATCH(Tabla4[[#This Row],[Producto]],Tabla6[[#All],[PRODUCTO]],0),MATCH(Tabla4[[#This Row],[Mes]],Tabla6[#Headers],0)))</f>
        <v>#N/A</v>
      </c>
      <c r="R3155" s="282" t="e">
        <f>++Tabla4[[#This Row],[Precio Unitario Neto]]-Tabla4[[#This Row],[20.85%]]-Tabla4[[#This Row],[Costo]]</f>
        <v>#N/A</v>
      </c>
      <c r="S3155" s="282" t="e">
        <f>++Tabla4[[#This Row],[U. Bruta Uni]]*Tabla4[[#This Row],[Cantidad]]</f>
        <v>#N/A</v>
      </c>
      <c r="T3155" s="369" t="str">
        <f>VLOOKUP(Tabla4[[#This Row],[Producto]],Tabla6[#All],14,FALSE)</f>
        <v>Termico Solar</v>
      </c>
      <c r="U3155" s="284" t="e">
        <f>(IF(Tabla4[[#This Row],[Familia]]="termico solar",Tabla4[[#This Row],[Utilidad Total]]*6%,Tabla4[[#This Row],[Utilidad Total]]*11.5%))/Tabla4[[#This Row],[Total]]</f>
        <v>#N/A</v>
      </c>
      <c r="V3155" s="282" t="e">
        <f>+Tabla4[[#This Row],[Comisión Calculada]]*Tabla4[[#This Row],[Total]]</f>
        <v>#N/A</v>
      </c>
    </row>
    <row r="3156" spans="1:22" hidden="1" x14ac:dyDescent="0.25">
      <c r="A3156" s="100">
        <v>45808</v>
      </c>
      <c r="B3156" t="str">
        <f t="shared" si="152"/>
        <v>May</v>
      </c>
      <c r="C3156" s="46" t="s">
        <v>280</v>
      </c>
      <c r="F3156" s="366" t="s">
        <v>1933</v>
      </c>
      <c r="G3156" s="46" t="s">
        <v>21</v>
      </c>
      <c r="H3156" s="46">
        <v>4</v>
      </c>
      <c r="I3156" s="51">
        <v>9282.19</v>
      </c>
      <c r="J3156" s="281">
        <f>++Tabla4[[#This Row],[Precio Bruto]]*1.16</f>
        <v>10767.340399999999</v>
      </c>
      <c r="K3156" s="281">
        <f>+Tabla4[[#This Row],[Precio Unitario Neto]]*Tabla4[[#Headers],[20.85%]]</f>
        <v>2244.9904733999997</v>
      </c>
      <c r="L3156" s="282">
        <f>++Tabla4[[#This Row],[Precio Unitario Neto]]-Tabla4[[#This Row],[20.85%]]</f>
        <v>8522.3499265999999</v>
      </c>
      <c r="M3156" s="282" t="e">
        <f>(INDEX(Tabla6[#All],MATCH(Tabla4[[#This Row],[Producto]],Tabla6[[#All],[PRODUCTO]],0),MATCH(Tabla4[[#This Row],[Mes]],Tabla6[#Headers],0)))*(1+Catalogos!$L$2)</f>
        <v>#N/A</v>
      </c>
      <c r="N3156" s="283" t="e">
        <f>+(Tabla4[[#This Row],[Precio Descontado]]-Tabla4[[#This Row],[Precio Base]])*Tabla4[[#This Row],[Cantidad]]</f>
        <v>#N/A</v>
      </c>
      <c r="O3156" s="284" t="e">
        <f>++Tabla4[[#This Row],[Utilidad Total]]/Tabla4[[#This Row],[Total]]</f>
        <v>#N/A</v>
      </c>
      <c r="P3156" s="282">
        <f>++Tabla4[[#This Row],[Precio Descontado]]*Tabla4[[#This Row],[Cantidad]]</f>
        <v>34089.3997064</v>
      </c>
      <c r="Q3156" s="282" t="e">
        <f>(INDEX(Tabla6[#All],MATCH(Tabla4[[#This Row],[Producto]],Tabla6[[#All],[PRODUCTO]],0),MATCH(Tabla4[[#This Row],[Mes]],Tabla6[#Headers],0)))</f>
        <v>#N/A</v>
      </c>
      <c r="R3156" s="282" t="e">
        <f>++Tabla4[[#This Row],[Precio Unitario Neto]]-Tabla4[[#This Row],[20.85%]]-Tabla4[[#This Row],[Costo]]</f>
        <v>#N/A</v>
      </c>
      <c r="S3156" s="282" t="e">
        <f>++Tabla4[[#This Row],[U. Bruta Uni]]*Tabla4[[#This Row],[Cantidad]]</f>
        <v>#N/A</v>
      </c>
      <c r="T3156" s="369" t="str">
        <f>VLOOKUP(Tabla4[[#This Row],[Producto]],Tabla6[#All],14,FALSE)</f>
        <v>Termico Solar</v>
      </c>
      <c r="U3156" s="284" t="e">
        <f>(IF(Tabla4[[#This Row],[Familia]]="termico solar",Tabla4[[#This Row],[Utilidad Total]]*6%,Tabla4[[#This Row],[Utilidad Total]]*11.5%))/Tabla4[[#This Row],[Total]]</f>
        <v>#N/A</v>
      </c>
      <c r="V3156" s="282" t="e">
        <f>+Tabla4[[#This Row],[Comisión Calculada]]*Tabla4[[#This Row],[Total]]</f>
        <v>#N/A</v>
      </c>
    </row>
    <row r="3157" spans="1:22" hidden="1" x14ac:dyDescent="0.25">
      <c r="A3157" s="100">
        <v>45808</v>
      </c>
      <c r="B3157" t="str">
        <f t="shared" si="152"/>
        <v>May</v>
      </c>
      <c r="C3157" s="46" t="s">
        <v>280</v>
      </c>
      <c r="F3157" s="366" t="s">
        <v>1933</v>
      </c>
      <c r="G3157" s="46" t="s">
        <v>22</v>
      </c>
      <c r="H3157" s="46">
        <v>1</v>
      </c>
      <c r="I3157" s="51">
        <v>13355.75</v>
      </c>
      <c r="J3157" s="281">
        <f>++Tabla4[[#This Row],[Precio Bruto]]*1.16</f>
        <v>15492.669999999998</v>
      </c>
      <c r="K3157" s="281">
        <f>+Tabla4[[#This Row],[Precio Unitario Neto]]*Tabla4[[#Headers],[20.85%]]</f>
        <v>3230.2216949999993</v>
      </c>
      <c r="L3157" s="282">
        <f>++Tabla4[[#This Row],[Precio Unitario Neto]]-Tabla4[[#This Row],[20.85%]]</f>
        <v>12262.448304999998</v>
      </c>
      <c r="M3157" s="282" t="e">
        <f>(INDEX(Tabla6[#All],MATCH(Tabla4[[#This Row],[Producto]],Tabla6[[#All],[PRODUCTO]],0),MATCH(Tabla4[[#This Row],[Mes]],Tabla6[#Headers],0)))*(1+Catalogos!$L$2)</f>
        <v>#N/A</v>
      </c>
      <c r="N3157" s="283" t="e">
        <f>+(Tabla4[[#This Row],[Precio Descontado]]-Tabla4[[#This Row],[Precio Base]])*Tabla4[[#This Row],[Cantidad]]</f>
        <v>#N/A</v>
      </c>
      <c r="O3157" s="284" t="e">
        <f>++Tabla4[[#This Row],[Utilidad Total]]/Tabla4[[#This Row],[Total]]</f>
        <v>#N/A</v>
      </c>
      <c r="P3157" s="282">
        <f>++Tabla4[[#This Row],[Precio Descontado]]*Tabla4[[#This Row],[Cantidad]]</f>
        <v>12262.448304999998</v>
      </c>
      <c r="Q3157" s="282" t="e">
        <f>(INDEX(Tabla6[#All],MATCH(Tabla4[[#This Row],[Producto]],Tabla6[[#All],[PRODUCTO]],0),MATCH(Tabla4[[#This Row],[Mes]],Tabla6[#Headers],0)))</f>
        <v>#N/A</v>
      </c>
      <c r="R3157" s="282" t="e">
        <f>++Tabla4[[#This Row],[Precio Unitario Neto]]-Tabla4[[#This Row],[20.85%]]-Tabla4[[#This Row],[Costo]]</f>
        <v>#N/A</v>
      </c>
      <c r="S3157" s="282" t="e">
        <f>++Tabla4[[#This Row],[U. Bruta Uni]]*Tabla4[[#This Row],[Cantidad]]</f>
        <v>#N/A</v>
      </c>
      <c r="T3157" s="369" t="str">
        <f>VLOOKUP(Tabla4[[#This Row],[Producto]],Tabla6[#All],14,FALSE)</f>
        <v>Termico Solar</v>
      </c>
      <c r="U3157" s="284" t="e">
        <f>(IF(Tabla4[[#This Row],[Familia]]="termico solar",Tabla4[[#This Row],[Utilidad Total]]*6%,Tabla4[[#This Row],[Utilidad Total]]*11.5%))/Tabla4[[#This Row],[Total]]</f>
        <v>#N/A</v>
      </c>
      <c r="V3157" s="282" t="e">
        <f>+Tabla4[[#This Row],[Comisión Calculada]]*Tabla4[[#This Row],[Total]]</f>
        <v>#N/A</v>
      </c>
    </row>
    <row r="3158" spans="1:22" hidden="1" x14ac:dyDescent="0.25">
      <c r="A3158" s="100">
        <v>45808</v>
      </c>
      <c r="B3158" t="str">
        <f t="shared" si="152"/>
        <v>May</v>
      </c>
      <c r="C3158" s="46" t="s">
        <v>280</v>
      </c>
      <c r="F3158" s="366" t="s">
        <v>1933</v>
      </c>
      <c r="G3158" s="46" t="s">
        <v>84</v>
      </c>
      <c r="H3158" s="46">
        <v>2</v>
      </c>
      <c r="I3158" s="51">
        <v>16601.830000000002</v>
      </c>
      <c r="J3158" s="281">
        <f>++Tabla4[[#This Row],[Precio Bruto]]*1.16</f>
        <v>19258.122800000001</v>
      </c>
      <c r="K3158" s="281">
        <f>+Tabla4[[#This Row],[Precio Unitario Neto]]*Tabla4[[#Headers],[20.85%]]</f>
        <v>4015.3186037999999</v>
      </c>
      <c r="L3158" s="282">
        <f>++Tabla4[[#This Row],[Precio Unitario Neto]]-Tabla4[[#This Row],[20.85%]]</f>
        <v>15242.804196200001</v>
      </c>
      <c r="M3158" s="282" t="e">
        <f>(INDEX(Tabla6[#All],MATCH(Tabla4[[#This Row],[Producto]],Tabla6[[#All],[PRODUCTO]],0),MATCH(Tabla4[[#This Row],[Mes]],Tabla6[#Headers],0)))*(1+Catalogos!$L$2)</f>
        <v>#N/A</v>
      </c>
      <c r="N3158" s="283" t="e">
        <f>+(Tabla4[[#This Row],[Precio Descontado]]-Tabla4[[#This Row],[Precio Base]])*Tabla4[[#This Row],[Cantidad]]</f>
        <v>#N/A</v>
      </c>
      <c r="O3158" s="284" t="e">
        <f>++Tabla4[[#This Row],[Utilidad Total]]/Tabla4[[#This Row],[Total]]</f>
        <v>#N/A</v>
      </c>
      <c r="P3158" s="282">
        <f>++Tabla4[[#This Row],[Precio Descontado]]*Tabla4[[#This Row],[Cantidad]]</f>
        <v>30485.608392400001</v>
      </c>
      <c r="Q3158" s="282" t="e">
        <f>(INDEX(Tabla6[#All],MATCH(Tabla4[[#This Row],[Producto]],Tabla6[[#All],[PRODUCTO]],0),MATCH(Tabla4[[#This Row],[Mes]],Tabla6[#Headers],0)))</f>
        <v>#N/A</v>
      </c>
      <c r="R3158" s="282" t="e">
        <f>++Tabla4[[#This Row],[Precio Unitario Neto]]-Tabla4[[#This Row],[20.85%]]-Tabla4[[#This Row],[Costo]]</f>
        <v>#N/A</v>
      </c>
      <c r="S3158" s="282" t="e">
        <f>++Tabla4[[#This Row],[U. Bruta Uni]]*Tabla4[[#This Row],[Cantidad]]</f>
        <v>#N/A</v>
      </c>
      <c r="T3158" s="369" t="str">
        <f>VLOOKUP(Tabla4[[#This Row],[Producto]],Tabla6[#All],14,FALSE)</f>
        <v>Termico Solar</v>
      </c>
      <c r="U3158" s="284" t="e">
        <f>(IF(Tabla4[[#This Row],[Familia]]="termico solar",Tabla4[[#This Row],[Utilidad Total]]*6%,Tabla4[[#This Row],[Utilidad Total]]*11.5%))/Tabla4[[#This Row],[Total]]</f>
        <v>#N/A</v>
      </c>
      <c r="V3158" s="282" t="e">
        <f>+Tabla4[[#This Row],[Comisión Calculada]]*Tabla4[[#This Row],[Total]]</f>
        <v>#N/A</v>
      </c>
    </row>
    <row r="3159" spans="1:22" hidden="1" x14ac:dyDescent="0.25">
      <c r="A3159" s="100">
        <v>45808</v>
      </c>
      <c r="B3159" t="str">
        <f t="shared" si="152"/>
        <v>May</v>
      </c>
      <c r="C3159" s="46" t="s">
        <v>280</v>
      </c>
      <c r="F3159" s="366" t="s">
        <v>1933</v>
      </c>
      <c r="G3159" s="46" t="s">
        <v>566</v>
      </c>
      <c r="H3159" s="46">
        <v>4</v>
      </c>
      <c r="I3159" s="51">
        <v>2109.4499999999998</v>
      </c>
      <c r="J3159" s="281">
        <f>++Tabla4[[#This Row],[Precio Bruto]]*1.16</f>
        <v>2446.9619999999995</v>
      </c>
      <c r="K3159" s="281">
        <f>+Tabla4[[#This Row],[Precio Unitario Neto]]*Tabla4[[#Headers],[20.85%]]</f>
        <v>510.19157699999988</v>
      </c>
      <c r="L3159" s="282">
        <f>++Tabla4[[#This Row],[Precio Unitario Neto]]-Tabla4[[#This Row],[20.85%]]</f>
        <v>1936.7704229999997</v>
      </c>
      <c r="M3159" s="282" t="e">
        <f>(INDEX(Tabla6[#All],MATCH(Tabla4[[#This Row],[Producto]],Tabla6[[#All],[PRODUCTO]],0),MATCH(Tabla4[[#This Row],[Mes]],Tabla6[#Headers],0)))*(1+Catalogos!$L$2)</f>
        <v>#N/A</v>
      </c>
      <c r="N3159" s="283" t="e">
        <f>+(Tabla4[[#This Row],[Precio Descontado]]-Tabla4[[#This Row],[Precio Base]])*Tabla4[[#This Row],[Cantidad]]</f>
        <v>#N/A</v>
      </c>
      <c r="O3159" s="284" t="e">
        <f>++Tabla4[[#This Row],[Utilidad Total]]/Tabla4[[#This Row],[Total]]</f>
        <v>#N/A</v>
      </c>
      <c r="P3159" s="282">
        <f>++Tabla4[[#This Row],[Precio Descontado]]*Tabla4[[#This Row],[Cantidad]]</f>
        <v>7747.0816919999988</v>
      </c>
      <c r="Q3159" s="282" t="e">
        <f>(INDEX(Tabla6[#All],MATCH(Tabla4[[#This Row],[Producto]],Tabla6[[#All],[PRODUCTO]],0),MATCH(Tabla4[[#This Row],[Mes]],Tabla6[#Headers],0)))</f>
        <v>#N/A</v>
      </c>
      <c r="R3159" s="282" t="e">
        <f>++Tabla4[[#This Row],[Precio Unitario Neto]]-Tabla4[[#This Row],[20.85%]]-Tabla4[[#This Row],[Costo]]</f>
        <v>#N/A</v>
      </c>
      <c r="S3159" s="282" t="e">
        <f>++Tabla4[[#This Row],[U. Bruta Uni]]*Tabla4[[#This Row],[Cantidad]]</f>
        <v>#N/A</v>
      </c>
      <c r="T3159" s="369" t="str">
        <f>VLOOKUP(Tabla4[[#This Row],[Producto]],Tabla6[#All],14,FALSE)</f>
        <v>Termico Solar</v>
      </c>
      <c r="U3159" s="284" t="e">
        <f>(IF(Tabla4[[#This Row],[Familia]]="termico solar",Tabla4[[#This Row],[Utilidad Total]]*6%,Tabla4[[#This Row],[Utilidad Total]]*11.5%))/Tabla4[[#This Row],[Total]]</f>
        <v>#N/A</v>
      </c>
      <c r="V3159" s="282" t="e">
        <f>+Tabla4[[#This Row],[Comisión Calculada]]*Tabla4[[#This Row],[Total]]</f>
        <v>#N/A</v>
      </c>
    </row>
    <row r="3160" spans="1:22" hidden="1" x14ac:dyDescent="0.25">
      <c r="A3160" s="100">
        <v>45808</v>
      </c>
      <c r="B3160" t="str">
        <f t="shared" si="152"/>
        <v>May</v>
      </c>
      <c r="C3160" s="46" t="s">
        <v>280</v>
      </c>
      <c r="F3160" s="366" t="s">
        <v>1933</v>
      </c>
      <c r="G3160" s="46" t="s">
        <v>412</v>
      </c>
      <c r="H3160" s="46">
        <v>1</v>
      </c>
      <c r="I3160" s="51">
        <v>3240.84</v>
      </c>
      <c r="J3160" s="281">
        <f>++Tabla4[[#This Row],[Precio Bruto]]*1.16</f>
        <v>3759.3743999999997</v>
      </c>
      <c r="K3160" s="281">
        <f>+Tabla4[[#This Row],[Precio Unitario Neto]]*Tabla4[[#Headers],[20.85%]]</f>
        <v>783.82956239999987</v>
      </c>
      <c r="L3160" s="282">
        <f>++Tabla4[[#This Row],[Precio Unitario Neto]]-Tabla4[[#This Row],[20.85%]]</f>
        <v>2975.5448375999999</v>
      </c>
      <c r="M3160" s="282" t="e">
        <f>(INDEX(Tabla6[#All],MATCH(Tabla4[[#This Row],[Producto]],Tabla6[[#All],[PRODUCTO]],0),MATCH(Tabla4[[#This Row],[Mes]],Tabla6[#Headers],0)))*(1+Catalogos!$L$2)</f>
        <v>#N/A</v>
      </c>
      <c r="N3160" s="283" t="e">
        <f>+(Tabla4[[#This Row],[Precio Descontado]]-Tabla4[[#This Row],[Precio Base]])*Tabla4[[#This Row],[Cantidad]]</f>
        <v>#N/A</v>
      </c>
      <c r="O3160" s="284" t="e">
        <f>++Tabla4[[#This Row],[Utilidad Total]]/Tabla4[[#This Row],[Total]]</f>
        <v>#N/A</v>
      </c>
      <c r="P3160" s="282">
        <f>++Tabla4[[#This Row],[Precio Descontado]]*Tabla4[[#This Row],[Cantidad]]</f>
        <v>2975.5448375999999</v>
      </c>
      <c r="Q3160" s="282" t="e">
        <f>(INDEX(Tabla6[#All],MATCH(Tabla4[[#This Row],[Producto]],Tabla6[[#All],[PRODUCTO]],0),MATCH(Tabla4[[#This Row],[Mes]],Tabla6[#Headers],0)))</f>
        <v>#N/A</v>
      </c>
      <c r="R3160" s="282" t="e">
        <f>++Tabla4[[#This Row],[Precio Unitario Neto]]-Tabla4[[#This Row],[20.85%]]-Tabla4[[#This Row],[Costo]]</f>
        <v>#N/A</v>
      </c>
      <c r="S3160" s="282" t="e">
        <f>++Tabla4[[#This Row],[U. Bruta Uni]]*Tabla4[[#This Row],[Cantidad]]</f>
        <v>#N/A</v>
      </c>
      <c r="T3160" s="369" t="str">
        <f>VLOOKUP(Tabla4[[#This Row],[Producto]],Tabla6[#All],14,FALSE)</f>
        <v>Termico Solar</v>
      </c>
      <c r="U3160" s="284" t="e">
        <f>(IF(Tabla4[[#This Row],[Familia]]="termico solar",Tabla4[[#This Row],[Utilidad Total]]*6%,Tabla4[[#This Row],[Utilidad Total]]*11.5%))/Tabla4[[#This Row],[Total]]</f>
        <v>#N/A</v>
      </c>
      <c r="V3160" s="282" t="e">
        <f>+Tabla4[[#This Row],[Comisión Calculada]]*Tabla4[[#This Row],[Total]]</f>
        <v>#N/A</v>
      </c>
    </row>
    <row r="3161" spans="1:22" hidden="1" x14ac:dyDescent="0.25">
      <c r="A3161" s="100">
        <v>45808</v>
      </c>
      <c r="B3161" t="str">
        <f t="shared" si="152"/>
        <v>May</v>
      </c>
      <c r="C3161" s="46" t="s">
        <v>280</v>
      </c>
      <c r="F3161" s="366" t="s">
        <v>1933</v>
      </c>
      <c r="G3161" s="46" t="s">
        <v>16</v>
      </c>
      <c r="H3161" s="46">
        <v>4</v>
      </c>
      <c r="I3161" s="51">
        <v>4103.8500000000004</v>
      </c>
      <c r="J3161" s="281">
        <f>++Tabla4[[#This Row],[Precio Bruto]]*1.16</f>
        <v>4760.4660000000003</v>
      </c>
      <c r="K3161" s="281">
        <f>+Tabla4[[#This Row],[Precio Unitario Neto]]*Tabla4[[#Headers],[20.85%]]</f>
        <v>992.55716100000006</v>
      </c>
      <c r="L3161" s="282">
        <f>++Tabla4[[#This Row],[Precio Unitario Neto]]-Tabla4[[#This Row],[20.85%]]</f>
        <v>3767.9088390000002</v>
      </c>
      <c r="M3161" s="282" t="e">
        <f>(INDEX(Tabla6[#All],MATCH(Tabla4[[#This Row],[Producto]],Tabla6[[#All],[PRODUCTO]],0),MATCH(Tabla4[[#This Row],[Mes]],Tabla6[#Headers],0)))*(1+Catalogos!$L$2)</f>
        <v>#N/A</v>
      </c>
      <c r="N3161" s="283" t="e">
        <f>+(Tabla4[[#This Row],[Precio Descontado]]-Tabla4[[#This Row],[Precio Base]])*Tabla4[[#This Row],[Cantidad]]</f>
        <v>#N/A</v>
      </c>
      <c r="O3161" s="284" t="e">
        <f>++Tabla4[[#This Row],[Utilidad Total]]/Tabla4[[#This Row],[Total]]</f>
        <v>#N/A</v>
      </c>
      <c r="P3161" s="282">
        <f>++Tabla4[[#This Row],[Precio Descontado]]*Tabla4[[#This Row],[Cantidad]]</f>
        <v>15071.635356000001</v>
      </c>
      <c r="Q3161" s="282" t="e">
        <f>(INDEX(Tabla6[#All],MATCH(Tabla4[[#This Row],[Producto]],Tabla6[[#All],[PRODUCTO]],0),MATCH(Tabla4[[#This Row],[Mes]],Tabla6[#Headers],0)))</f>
        <v>#N/A</v>
      </c>
      <c r="R3161" s="282" t="e">
        <f>++Tabla4[[#This Row],[Precio Unitario Neto]]-Tabla4[[#This Row],[20.85%]]-Tabla4[[#This Row],[Costo]]</f>
        <v>#N/A</v>
      </c>
      <c r="S3161" s="282" t="e">
        <f>++Tabla4[[#This Row],[U. Bruta Uni]]*Tabla4[[#This Row],[Cantidad]]</f>
        <v>#N/A</v>
      </c>
      <c r="T3161" s="369" t="str">
        <f>VLOOKUP(Tabla4[[#This Row],[Producto]],Tabla6[#All],14,FALSE)</f>
        <v>Termico Solar</v>
      </c>
      <c r="U3161" s="284" t="e">
        <f>(IF(Tabla4[[#This Row],[Familia]]="termico solar",Tabla4[[#This Row],[Utilidad Total]]*6%,Tabla4[[#This Row],[Utilidad Total]]*11.5%))/Tabla4[[#This Row],[Total]]</f>
        <v>#N/A</v>
      </c>
      <c r="V3161" s="282" t="e">
        <f>+Tabla4[[#This Row],[Comisión Calculada]]*Tabla4[[#This Row],[Total]]</f>
        <v>#N/A</v>
      </c>
    </row>
    <row r="3162" spans="1:22" hidden="1" x14ac:dyDescent="0.25">
      <c r="A3162" s="100">
        <v>45808</v>
      </c>
      <c r="B3162" t="str">
        <f t="shared" si="152"/>
        <v>May</v>
      </c>
      <c r="C3162" s="46" t="s">
        <v>280</v>
      </c>
      <c r="F3162" s="366" t="s">
        <v>1933</v>
      </c>
      <c r="G3162" s="46" t="s">
        <v>208</v>
      </c>
      <c r="H3162" s="46">
        <v>3</v>
      </c>
      <c r="I3162" s="51">
        <v>189.75</v>
      </c>
      <c r="J3162" s="281">
        <f>++Tabla4[[#This Row],[Precio Bruto]]*1.16</f>
        <v>220.10999999999999</v>
      </c>
      <c r="K3162" s="281">
        <f>+Tabla4[[#This Row],[Precio Unitario Neto]]*Tabla4[[#Headers],[20.85%]]</f>
        <v>45.892934999999994</v>
      </c>
      <c r="L3162" s="282">
        <f>++Tabla4[[#This Row],[Precio Unitario Neto]]-Tabla4[[#This Row],[20.85%]]</f>
        <v>174.21706499999999</v>
      </c>
      <c r="M3162" s="282" t="e">
        <f>(INDEX(Tabla6[#All],MATCH(Tabla4[[#This Row],[Producto]],Tabla6[[#All],[PRODUCTO]],0),MATCH(Tabla4[[#This Row],[Mes]],Tabla6[#Headers],0)))*(1+Catalogos!$L$2)</f>
        <v>#N/A</v>
      </c>
      <c r="N3162" s="283" t="e">
        <f>+(Tabla4[[#This Row],[Precio Descontado]]-Tabla4[[#This Row],[Precio Base]])*Tabla4[[#This Row],[Cantidad]]</f>
        <v>#N/A</v>
      </c>
      <c r="O3162" s="284" t="e">
        <f>++Tabla4[[#This Row],[Utilidad Total]]/Tabla4[[#This Row],[Total]]</f>
        <v>#N/A</v>
      </c>
      <c r="P3162" s="282">
        <f>++Tabla4[[#This Row],[Precio Descontado]]*Tabla4[[#This Row],[Cantidad]]</f>
        <v>522.65119499999992</v>
      </c>
      <c r="Q3162" s="282" t="e">
        <f>(INDEX(Tabla6[#All],MATCH(Tabla4[[#This Row],[Producto]],Tabla6[[#All],[PRODUCTO]],0),MATCH(Tabla4[[#This Row],[Mes]],Tabla6[#Headers],0)))</f>
        <v>#N/A</v>
      </c>
      <c r="R3162" s="282" t="e">
        <f>++Tabla4[[#This Row],[Precio Unitario Neto]]-Tabla4[[#This Row],[20.85%]]-Tabla4[[#This Row],[Costo]]</f>
        <v>#N/A</v>
      </c>
      <c r="S3162" s="282" t="e">
        <f>++Tabla4[[#This Row],[U. Bruta Uni]]*Tabla4[[#This Row],[Cantidad]]</f>
        <v>#N/A</v>
      </c>
      <c r="T3162" s="369" t="str">
        <f>VLOOKUP(Tabla4[[#This Row],[Producto]],Tabla6[#All],14,FALSE)</f>
        <v>Termico Solar</v>
      </c>
      <c r="U3162" s="284" t="e">
        <f>(IF(Tabla4[[#This Row],[Familia]]="termico solar",Tabla4[[#This Row],[Utilidad Total]]*6%,Tabla4[[#This Row],[Utilidad Total]]*11.5%))/Tabla4[[#This Row],[Total]]</f>
        <v>#N/A</v>
      </c>
      <c r="V3162" s="282" t="e">
        <f>+Tabla4[[#This Row],[Comisión Calculada]]*Tabla4[[#This Row],[Total]]</f>
        <v>#N/A</v>
      </c>
    </row>
    <row r="3163" spans="1:22" hidden="1" x14ac:dyDescent="0.25">
      <c r="A3163" s="100">
        <v>45808</v>
      </c>
      <c r="B3163" t="str">
        <f t="shared" ref="B3163:B3194" si="153">TEXT(A3163, "mmmm")</f>
        <v>May</v>
      </c>
      <c r="C3163" s="46" t="s">
        <v>280</v>
      </c>
      <c r="F3163" s="366" t="s">
        <v>1934</v>
      </c>
      <c r="G3163" s="46" t="s">
        <v>17</v>
      </c>
      <c r="H3163" s="46">
        <v>1</v>
      </c>
      <c r="I3163" s="51">
        <v>4622.28</v>
      </c>
      <c r="J3163" s="281">
        <f>++Tabla4[[#This Row],[Precio Bruto]]*1.16</f>
        <v>5361.8447999999989</v>
      </c>
      <c r="K3163" s="281">
        <f>+Tabla4[[#This Row],[Precio Unitario Neto]]*Tabla4[[#Headers],[20.85%]]</f>
        <v>1117.9446407999997</v>
      </c>
      <c r="L3163" s="282">
        <f>++Tabla4[[#This Row],[Precio Unitario Neto]]-Tabla4[[#This Row],[20.85%]]</f>
        <v>4243.9001591999995</v>
      </c>
      <c r="M3163" s="282" t="e">
        <f>(INDEX(Tabla6[#All],MATCH(Tabla4[[#This Row],[Producto]],Tabla6[[#All],[PRODUCTO]],0),MATCH(Tabla4[[#This Row],[Mes]],Tabla6[#Headers],0)))*(1+Catalogos!$L$2)</f>
        <v>#N/A</v>
      </c>
      <c r="N3163" s="283" t="e">
        <f>+(Tabla4[[#This Row],[Precio Descontado]]-Tabla4[[#This Row],[Precio Base]])*Tabla4[[#This Row],[Cantidad]]</f>
        <v>#N/A</v>
      </c>
      <c r="O3163" s="284" t="e">
        <f>++Tabla4[[#This Row],[Utilidad Total]]/Tabla4[[#This Row],[Total]]</f>
        <v>#N/A</v>
      </c>
      <c r="P3163" s="282">
        <f>++Tabla4[[#This Row],[Precio Descontado]]*Tabla4[[#This Row],[Cantidad]]</f>
        <v>4243.9001591999995</v>
      </c>
      <c r="Q3163" s="282" t="e">
        <f>(INDEX(Tabla6[#All],MATCH(Tabla4[[#This Row],[Producto]],Tabla6[[#All],[PRODUCTO]],0),MATCH(Tabla4[[#This Row],[Mes]],Tabla6[#Headers],0)))</f>
        <v>#N/A</v>
      </c>
      <c r="R3163" s="282" t="e">
        <f>++Tabla4[[#This Row],[Precio Unitario Neto]]-Tabla4[[#This Row],[20.85%]]-Tabla4[[#This Row],[Costo]]</f>
        <v>#N/A</v>
      </c>
      <c r="S3163" s="282" t="e">
        <f>++Tabla4[[#This Row],[U. Bruta Uni]]*Tabla4[[#This Row],[Cantidad]]</f>
        <v>#N/A</v>
      </c>
      <c r="T3163" s="369" t="str">
        <f>VLOOKUP(Tabla4[[#This Row],[Producto]],Tabla6[#All],14,FALSE)</f>
        <v>Termico Solar</v>
      </c>
      <c r="U3163" s="284" t="e">
        <f>(IF(Tabla4[[#This Row],[Familia]]="termico solar",Tabla4[[#This Row],[Utilidad Total]]*6%,Tabla4[[#This Row],[Utilidad Total]]*11.5%))/Tabla4[[#This Row],[Total]]</f>
        <v>#N/A</v>
      </c>
      <c r="V3163" s="282" t="e">
        <f>+Tabla4[[#This Row],[Comisión Calculada]]*Tabla4[[#This Row],[Total]]</f>
        <v>#N/A</v>
      </c>
    </row>
    <row r="3164" spans="1:22" hidden="1" x14ac:dyDescent="0.25">
      <c r="A3164" s="100">
        <v>45808</v>
      </c>
      <c r="B3164" t="str">
        <f t="shared" si="153"/>
        <v>May</v>
      </c>
      <c r="C3164" s="46" t="s">
        <v>280</v>
      </c>
      <c r="F3164" s="366" t="s">
        <v>1934</v>
      </c>
      <c r="G3164" s="46" t="s">
        <v>16</v>
      </c>
      <c r="H3164" s="46">
        <v>1</v>
      </c>
      <c r="I3164" s="51">
        <v>4103.8500000000004</v>
      </c>
      <c r="J3164" s="281">
        <f>++Tabla4[[#This Row],[Precio Bruto]]*1.16</f>
        <v>4760.4660000000003</v>
      </c>
      <c r="K3164" s="281">
        <f>+Tabla4[[#This Row],[Precio Unitario Neto]]*Tabla4[[#Headers],[20.85%]]</f>
        <v>992.55716100000006</v>
      </c>
      <c r="L3164" s="282">
        <f>++Tabla4[[#This Row],[Precio Unitario Neto]]-Tabla4[[#This Row],[20.85%]]</f>
        <v>3767.9088390000002</v>
      </c>
      <c r="M3164" s="282" t="e">
        <f>(INDEX(Tabla6[#All],MATCH(Tabla4[[#This Row],[Producto]],Tabla6[[#All],[PRODUCTO]],0),MATCH(Tabla4[[#This Row],[Mes]],Tabla6[#Headers],0)))*(1+Catalogos!$L$2)</f>
        <v>#N/A</v>
      </c>
      <c r="N3164" s="283" t="e">
        <f>+(Tabla4[[#This Row],[Precio Descontado]]-Tabla4[[#This Row],[Precio Base]])*Tabla4[[#This Row],[Cantidad]]</f>
        <v>#N/A</v>
      </c>
      <c r="O3164" s="284" t="e">
        <f>++Tabla4[[#This Row],[Utilidad Total]]/Tabla4[[#This Row],[Total]]</f>
        <v>#N/A</v>
      </c>
      <c r="P3164" s="282">
        <f>++Tabla4[[#This Row],[Precio Descontado]]*Tabla4[[#This Row],[Cantidad]]</f>
        <v>3767.9088390000002</v>
      </c>
      <c r="Q3164" s="282" t="e">
        <f>(INDEX(Tabla6[#All],MATCH(Tabla4[[#This Row],[Producto]],Tabla6[[#All],[PRODUCTO]],0),MATCH(Tabla4[[#This Row],[Mes]],Tabla6[#Headers],0)))</f>
        <v>#N/A</v>
      </c>
      <c r="R3164" s="282" t="e">
        <f>++Tabla4[[#This Row],[Precio Unitario Neto]]-Tabla4[[#This Row],[20.85%]]-Tabla4[[#This Row],[Costo]]</f>
        <v>#N/A</v>
      </c>
      <c r="S3164" s="282" t="e">
        <f>++Tabla4[[#This Row],[U. Bruta Uni]]*Tabla4[[#This Row],[Cantidad]]</f>
        <v>#N/A</v>
      </c>
      <c r="T3164" s="369" t="str">
        <f>VLOOKUP(Tabla4[[#This Row],[Producto]],Tabla6[#All],14,FALSE)</f>
        <v>Termico Solar</v>
      </c>
      <c r="U3164" s="284" t="e">
        <f>(IF(Tabla4[[#This Row],[Familia]]="termico solar",Tabla4[[#This Row],[Utilidad Total]]*6%,Tabla4[[#This Row],[Utilidad Total]]*11.5%))/Tabla4[[#This Row],[Total]]</f>
        <v>#N/A</v>
      </c>
      <c r="V3164" s="282" t="e">
        <f>+Tabla4[[#This Row],[Comisión Calculada]]*Tabla4[[#This Row],[Total]]</f>
        <v>#N/A</v>
      </c>
    </row>
    <row r="3165" spans="1:22" hidden="1" x14ac:dyDescent="0.25">
      <c r="A3165" s="100">
        <v>45808</v>
      </c>
      <c r="B3165" t="str">
        <f t="shared" si="153"/>
        <v>May</v>
      </c>
      <c r="C3165" s="46" t="s">
        <v>280</v>
      </c>
      <c r="F3165" s="366" t="s">
        <v>1935</v>
      </c>
      <c r="G3165" s="46" t="s">
        <v>83</v>
      </c>
      <c r="H3165" s="46">
        <v>1</v>
      </c>
      <c r="I3165" s="51">
        <v>8858.76</v>
      </c>
      <c r="J3165" s="281">
        <f>++Tabla4[[#This Row],[Precio Bruto]]*1.16</f>
        <v>10276.161599999999</v>
      </c>
      <c r="K3165" s="281">
        <f>+Tabla4[[#This Row],[Precio Unitario Neto]]*Tabla4[[#Headers],[20.85%]]</f>
        <v>2142.5796935999997</v>
      </c>
      <c r="L3165" s="282">
        <f>++Tabla4[[#This Row],[Precio Unitario Neto]]-Tabla4[[#This Row],[20.85%]]</f>
        <v>8133.5819063999998</v>
      </c>
      <c r="M3165" s="282" t="e">
        <f>(INDEX(Tabla6[#All],MATCH(Tabla4[[#This Row],[Producto]],Tabla6[[#All],[PRODUCTO]],0),MATCH(Tabla4[[#This Row],[Mes]],Tabla6[#Headers],0)))*(1+Catalogos!$L$2)</f>
        <v>#N/A</v>
      </c>
      <c r="N3165" s="283" t="e">
        <f>+(Tabla4[[#This Row],[Precio Descontado]]-Tabla4[[#This Row],[Precio Base]])*Tabla4[[#This Row],[Cantidad]]</f>
        <v>#N/A</v>
      </c>
      <c r="O3165" s="284" t="e">
        <f>++Tabla4[[#This Row],[Utilidad Total]]/Tabla4[[#This Row],[Total]]</f>
        <v>#N/A</v>
      </c>
      <c r="P3165" s="282">
        <f>++Tabla4[[#This Row],[Precio Descontado]]*Tabla4[[#This Row],[Cantidad]]</f>
        <v>8133.5819063999998</v>
      </c>
      <c r="Q3165" s="282" t="e">
        <f>(INDEX(Tabla6[#All],MATCH(Tabla4[[#This Row],[Producto]],Tabla6[[#All],[PRODUCTO]],0),MATCH(Tabla4[[#This Row],[Mes]],Tabla6[#Headers],0)))</f>
        <v>#N/A</v>
      </c>
      <c r="R3165" s="282" t="e">
        <f>++Tabla4[[#This Row],[Precio Unitario Neto]]-Tabla4[[#This Row],[20.85%]]-Tabla4[[#This Row],[Costo]]</f>
        <v>#N/A</v>
      </c>
      <c r="S3165" s="282" t="e">
        <f>++Tabla4[[#This Row],[U. Bruta Uni]]*Tabla4[[#This Row],[Cantidad]]</f>
        <v>#N/A</v>
      </c>
      <c r="T3165" s="369" t="str">
        <f>VLOOKUP(Tabla4[[#This Row],[Producto]],Tabla6[#All],14,FALSE)</f>
        <v>Termico Solar</v>
      </c>
      <c r="U3165" s="284" t="e">
        <f>(IF(Tabla4[[#This Row],[Familia]]="termico solar",Tabla4[[#This Row],[Utilidad Total]]*6%,Tabla4[[#This Row],[Utilidad Total]]*11.5%))/Tabla4[[#This Row],[Total]]</f>
        <v>#N/A</v>
      </c>
      <c r="V3165" s="282" t="e">
        <f>+Tabla4[[#This Row],[Comisión Calculada]]*Tabla4[[#This Row],[Total]]</f>
        <v>#N/A</v>
      </c>
    </row>
    <row r="3166" spans="1:22" hidden="1" x14ac:dyDescent="0.25">
      <c r="A3166" s="100">
        <v>45808</v>
      </c>
      <c r="B3166" t="str">
        <f t="shared" si="153"/>
        <v>May</v>
      </c>
      <c r="C3166" s="46" t="s">
        <v>280</v>
      </c>
      <c r="F3166" s="366" t="s">
        <v>1935</v>
      </c>
      <c r="G3166" s="46" t="s">
        <v>17</v>
      </c>
      <c r="H3166" s="46">
        <v>1</v>
      </c>
      <c r="I3166" s="51">
        <v>4622.28</v>
      </c>
      <c r="J3166" s="281">
        <f>++Tabla4[[#This Row],[Precio Bruto]]*1.16</f>
        <v>5361.8447999999989</v>
      </c>
      <c r="K3166" s="281">
        <f>+Tabla4[[#This Row],[Precio Unitario Neto]]*Tabla4[[#Headers],[20.85%]]</f>
        <v>1117.9446407999997</v>
      </c>
      <c r="L3166" s="282">
        <f>++Tabla4[[#This Row],[Precio Unitario Neto]]-Tabla4[[#This Row],[20.85%]]</f>
        <v>4243.9001591999995</v>
      </c>
      <c r="M3166" s="282" t="e">
        <f>(INDEX(Tabla6[#All],MATCH(Tabla4[[#This Row],[Producto]],Tabla6[[#All],[PRODUCTO]],0),MATCH(Tabla4[[#This Row],[Mes]],Tabla6[#Headers],0)))*(1+Catalogos!$L$2)</f>
        <v>#N/A</v>
      </c>
      <c r="N3166" s="283" t="e">
        <f>+(Tabla4[[#This Row],[Precio Descontado]]-Tabla4[[#This Row],[Precio Base]])*Tabla4[[#This Row],[Cantidad]]</f>
        <v>#N/A</v>
      </c>
      <c r="O3166" s="284" t="e">
        <f>++Tabla4[[#This Row],[Utilidad Total]]/Tabla4[[#This Row],[Total]]</f>
        <v>#N/A</v>
      </c>
      <c r="P3166" s="282">
        <f>++Tabla4[[#This Row],[Precio Descontado]]*Tabla4[[#This Row],[Cantidad]]</f>
        <v>4243.9001591999995</v>
      </c>
      <c r="Q3166" s="282" t="e">
        <f>(INDEX(Tabla6[#All],MATCH(Tabla4[[#This Row],[Producto]],Tabla6[[#All],[PRODUCTO]],0),MATCH(Tabla4[[#This Row],[Mes]],Tabla6[#Headers],0)))</f>
        <v>#N/A</v>
      </c>
      <c r="R3166" s="282" t="e">
        <f>++Tabla4[[#This Row],[Precio Unitario Neto]]-Tabla4[[#This Row],[20.85%]]-Tabla4[[#This Row],[Costo]]</f>
        <v>#N/A</v>
      </c>
      <c r="S3166" s="282" t="e">
        <f>++Tabla4[[#This Row],[U. Bruta Uni]]*Tabla4[[#This Row],[Cantidad]]</f>
        <v>#N/A</v>
      </c>
      <c r="T3166" s="369" t="str">
        <f>VLOOKUP(Tabla4[[#This Row],[Producto]],Tabla6[#All],14,FALSE)</f>
        <v>Termico Solar</v>
      </c>
      <c r="U3166" s="284" t="e">
        <f>(IF(Tabla4[[#This Row],[Familia]]="termico solar",Tabla4[[#This Row],[Utilidad Total]]*6%,Tabla4[[#This Row],[Utilidad Total]]*11.5%))/Tabla4[[#This Row],[Total]]</f>
        <v>#N/A</v>
      </c>
      <c r="V3166" s="282" t="e">
        <f>+Tabla4[[#This Row],[Comisión Calculada]]*Tabla4[[#This Row],[Total]]</f>
        <v>#N/A</v>
      </c>
    </row>
    <row r="3167" spans="1:22" hidden="1" x14ac:dyDescent="0.25">
      <c r="A3167" s="100">
        <v>45808</v>
      </c>
      <c r="B3167" t="str">
        <f t="shared" si="153"/>
        <v>May</v>
      </c>
      <c r="C3167" s="46" t="s">
        <v>280</v>
      </c>
      <c r="F3167" s="366" t="s">
        <v>1935</v>
      </c>
      <c r="G3167" s="46" t="s">
        <v>18</v>
      </c>
      <c r="H3167" s="46">
        <v>1</v>
      </c>
      <c r="I3167" s="51">
        <v>5367.65</v>
      </c>
      <c r="J3167" s="281">
        <f>++Tabla4[[#This Row],[Precio Bruto]]*1.16</f>
        <v>6226.4739999999993</v>
      </c>
      <c r="K3167" s="281">
        <f>+Tabla4[[#This Row],[Precio Unitario Neto]]*Tabla4[[#Headers],[20.85%]]</f>
        <v>1298.2198289999999</v>
      </c>
      <c r="L3167" s="282">
        <f>++Tabla4[[#This Row],[Precio Unitario Neto]]-Tabla4[[#This Row],[20.85%]]</f>
        <v>4928.2541709999996</v>
      </c>
      <c r="M3167" s="282" t="e">
        <f>(INDEX(Tabla6[#All],MATCH(Tabla4[[#This Row],[Producto]],Tabla6[[#All],[PRODUCTO]],0),MATCH(Tabla4[[#This Row],[Mes]],Tabla6[#Headers],0)))*(1+Catalogos!$L$2)</f>
        <v>#N/A</v>
      </c>
      <c r="N3167" s="283" t="e">
        <f>+(Tabla4[[#This Row],[Precio Descontado]]-Tabla4[[#This Row],[Precio Base]])*Tabla4[[#This Row],[Cantidad]]</f>
        <v>#N/A</v>
      </c>
      <c r="O3167" s="284" t="e">
        <f>++Tabla4[[#This Row],[Utilidad Total]]/Tabla4[[#This Row],[Total]]</f>
        <v>#N/A</v>
      </c>
      <c r="P3167" s="282">
        <f>++Tabla4[[#This Row],[Precio Descontado]]*Tabla4[[#This Row],[Cantidad]]</f>
        <v>4928.2541709999996</v>
      </c>
      <c r="Q3167" s="282" t="e">
        <f>(INDEX(Tabla6[#All],MATCH(Tabla4[[#This Row],[Producto]],Tabla6[[#All],[PRODUCTO]],0),MATCH(Tabla4[[#This Row],[Mes]],Tabla6[#Headers],0)))</f>
        <v>#N/A</v>
      </c>
      <c r="R3167" s="282" t="e">
        <f>++Tabla4[[#This Row],[Precio Unitario Neto]]-Tabla4[[#This Row],[20.85%]]-Tabla4[[#This Row],[Costo]]</f>
        <v>#N/A</v>
      </c>
      <c r="S3167" s="282" t="e">
        <f>++Tabla4[[#This Row],[U. Bruta Uni]]*Tabla4[[#This Row],[Cantidad]]</f>
        <v>#N/A</v>
      </c>
      <c r="T3167" s="369" t="str">
        <f>VLOOKUP(Tabla4[[#This Row],[Producto]],Tabla6[#All],14,FALSE)</f>
        <v>Termico Solar</v>
      </c>
      <c r="U3167" s="284" t="e">
        <f>(IF(Tabla4[[#This Row],[Familia]]="termico solar",Tabla4[[#This Row],[Utilidad Total]]*6%,Tabla4[[#This Row],[Utilidad Total]]*11.5%))/Tabla4[[#This Row],[Total]]</f>
        <v>#N/A</v>
      </c>
      <c r="V3167" s="282" t="e">
        <f>+Tabla4[[#This Row],[Comisión Calculada]]*Tabla4[[#This Row],[Total]]</f>
        <v>#N/A</v>
      </c>
    </row>
    <row r="3168" spans="1:22" hidden="1" x14ac:dyDescent="0.25">
      <c r="A3168" s="100">
        <v>45808</v>
      </c>
      <c r="B3168" t="str">
        <f t="shared" si="153"/>
        <v>May</v>
      </c>
      <c r="C3168" s="46" t="s">
        <v>280</v>
      </c>
      <c r="F3168" s="366" t="s">
        <v>1936</v>
      </c>
      <c r="G3168" s="46" t="s">
        <v>83</v>
      </c>
      <c r="H3168" s="46">
        <v>1</v>
      </c>
      <c r="I3168" s="51">
        <v>8858.76</v>
      </c>
      <c r="J3168" s="281">
        <f>++Tabla4[[#This Row],[Precio Bruto]]*1.16</f>
        <v>10276.161599999999</v>
      </c>
      <c r="K3168" s="281">
        <f>+Tabla4[[#This Row],[Precio Unitario Neto]]*Tabla4[[#Headers],[20.85%]]</f>
        <v>2142.5796935999997</v>
      </c>
      <c r="L3168" s="282">
        <f>++Tabla4[[#This Row],[Precio Unitario Neto]]-Tabla4[[#This Row],[20.85%]]</f>
        <v>8133.5819063999998</v>
      </c>
      <c r="M3168" s="282" t="e">
        <f>(INDEX(Tabla6[#All],MATCH(Tabla4[[#This Row],[Producto]],Tabla6[[#All],[PRODUCTO]],0),MATCH(Tabla4[[#This Row],[Mes]],Tabla6[#Headers],0)))*(1+Catalogos!$L$2)</f>
        <v>#N/A</v>
      </c>
      <c r="N3168" s="283" t="e">
        <f>+(Tabla4[[#This Row],[Precio Descontado]]-Tabla4[[#This Row],[Precio Base]])*Tabla4[[#This Row],[Cantidad]]</f>
        <v>#N/A</v>
      </c>
      <c r="O3168" s="284" t="e">
        <f>++Tabla4[[#This Row],[Utilidad Total]]/Tabla4[[#This Row],[Total]]</f>
        <v>#N/A</v>
      </c>
      <c r="P3168" s="282">
        <f>++Tabla4[[#This Row],[Precio Descontado]]*Tabla4[[#This Row],[Cantidad]]</f>
        <v>8133.5819063999998</v>
      </c>
      <c r="Q3168" s="282" t="e">
        <f>(INDEX(Tabla6[#All],MATCH(Tabla4[[#This Row],[Producto]],Tabla6[[#All],[PRODUCTO]],0),MATCH(Tabla4[[#This Row],[Mes]],Tabla6[#Headers],0)))</f>
        <v>#N/A</v>
      </c>
      <c r="R3168" s="282" t="e">
        <f>++Tabla4[[#This Row],[Precio Unitario Neto]]-Tabla4[[#This Row],[20.85%]]-Tabla4[[#This Row],[Costo]]</f>
        <v>#N/A</v>
      </c>
      <c r="S3168" s="282" t="e">
        <f>++Tabla4[[#This Row],[U. Bruta Uni]]*Tabla4[[#This Row],[Cantidad]]</f>
        <v>#N/A</v>
      </c>
      <c r="T3168" s="369" t="str">
        <f>VLOOKUP(Tabla4[[#This Row],[Producto]],Tabla6[#All],14,FALSE)</f>
        <v>Termico Solar</v>
      </c>
      <c r="U3168" s="284" t="e">
        <f>(IF(Tabla4[[#This Row],[Familia]]="termico solar",Tabla4[[#This Row],[Utilidad Total]]*6%,Tabla4[[#This Row],[Utilidad Total]]*11.5%))/Tabla4[[#This Row],[Total]]</f>
        <v>#N/A</v>
      </c>
      <c r="V3168" s="282" t="e">
        <f>+Tabla4[[#This Row],[Comisión Calculada]]*Tabla4[[#This Row],[Total]]</f>
        <v>#N/A</v>
      </c>
    </row>
    <row r="3169" spans="1:22" hidden="1" x14ac:dyDescent="0.25">
      <c r="A3169" s="100">
        <v>45808</v>
      </c>
      <c r="B3169" t="str">
        <f t="shared" si="153"/>
        <v>May</v>
      </c>
      <c r="C3169" s="46" t="s">
        <v>280</v>
      </c>
      <c r="F3169" s="366" t="s">
        <v>1936</v>
      </c>
      <c r="G3169" s="46" t="s">
        <v>16</v>
      </c>
      <c r="H3169" s="46">
        <v>1</v>
      </c>
      <c r="I3169" s="51">
        <v>4103.8500000000004</v>
      </c>
      <c r="J3169" s="281">
        <f>++Tabla4[[#This Row],[Precio Bruto]]*1.16</f>
        <v>4760.4660000000003</v>
      </c>
      <c r="K3169" s="281">
        <f>+Tabla4[[#This Row],[Precio Unitario Neto]]*Tabla4[[#Headers],[20.85%]]</f>
        <v>992.55716100000006</v>
      </c>
      <c r="L3169" s="282">
        <f>++Tabla4[[#This Row],[Precio Unitario Neto]]-Tabla4[[#This Row],[20.85%]]</f>
        <v>3767.9088390000002</v>
      </c>
      <c r="M3169" s="282" t="e">
        <f>(INDEX(Tabla6[#All],MATCH(Tabla4[[#This Row],[Producto]],Tabla6[[#All],[PRODUCTO]],0),MATCH(Tabla4[[#This Row],[Mes]],Tabla6[#Headers],0)))*(1+Catalogos!$L$2)</f>
        <v>#N/A</v>
      </c>
      <c r="N3169" s="283" t="e">
        <f>+(Tabla4[[#This Row],[Precio Descontado]]-Tabla4[[#This Row],[Precio Base]])*Tabla4[[#This Row],[Cantidad]]</f>
        <v>#N/A</v>
      </c>
      <c r="O3169" s="284" t="e">
        <f>++Tabla4[[#This Row],[Utilidad Total]]/Tabla4[[#This Row],[Total]]</f>
        <v>#N/A</v>
      </c>
      <c r="P3169" s="282">
        <f>++Tabla4[[#This Row],[Precio Descontado]]*Tabla4[[#This Row],[Cantidad]]</f>
        <v>3767.9088390000002</v>
      </c>
      <c r="Q3169" s="282" t="e">
        <f>(INDEX(Tabla6[#All],MATCH(Tabla4[[#This Row],[Producto]],Tabla6[[#All],[PRODUCTO]],0),MATCH(Tabla4[[#This Row],[Mes]],Tabla6[#Headers],0)))</f>
        <v>#N/A</v>
      </c>
      <c r="R3169" s="282" t="e">
        <f>++Tabla4[[#This Row],[Precio Unitario Neto]]-Tabla4[[#This Row],[20.85%]]-Tabla4[[#This Row],[Costo]]</f>
        <v>#N/A</v>
      </c>
      <c r="S3169" s="282" t="e">
        <f>++Tabla4[[#This Row],[U. Bruta Uni]]*Tabla4[[#This Row],[Cantidad]]</f>
        <v>#N/A</v>
      </c>
      <c r="T3169" s="369" t="str">
        <f>VLOOKUP(Tabla4[[#This Row],[Producto]],Tabla6[#All],14,FALSE)</f>
        <v>Termico Solar</v>
      </c>
      <c r="U3169" s="284" t="e">
        <f>(IF(Tabla4[[#This Row],[Familia]]="termico solar",Tabla4[[#This Row],[Utilidad Total]]*6%,Tabla4[[#This Row],[Utilidad Total]]*11.5%))/Tabla4[[#This Row],[Total]]</f>
        <v>#N/A</v>
      </c>
      <c r="V3169" s="282" t="e">
        <f>+Tabla4[[#This Row],[Comisión Calculada]]*Tabla4[[#This Row],[Total]]</f>
        <v>#N/A</v>
      </c>
    </row>
    <row r="3170" spans="1:22" hidden="1" x14ac:dyDescent="0.25">
      <c r="A3170" s="100">
        <v>45808</v>
      </c>
      <c r="B3170" t="str">
        <f t="shared" si="153"/>
        <v>May</v>
      </c>
      <c r="C3170" s="46" t="s">
        <v>280</v>
      </c>
      <c r="F3170" s="366" t="s">
        <v>1937</v>
      </c>
      <c r="G3170" s="46" t="s">
        <v>83</v>
      </c>
      <c r="H3170" s="46">
        <v>1</v>
      </c>
      <c r="I3170" s="51">
        <v>8858.76</v>
      </c>
      <c r="J3170" s="281">
        <f>++Tabla4[[#This Row],[Precio Bruto]]*1.16</f>
        <v>10276.161599999999</v>
      </c>
      <c r="K3170" s="281">
        <f>+Tabla4[[#This Row],[Precio Unitario Neto]]*Tabla4[[#Headers],[20.85%]]</f>
        <v>2142.5796935999997</v>
      </c>
      <c r="L3170" s="282">
        <f>++Tabla4[[#This Row],[Precio Unitario Neto]]-Tabla4[[#This Row],[20.85%]]</f>
        <v>8133.5819063999998</v>
      </c>
      <c r="M3170" s="282" t="e">
        <f>(INDEX(Tabla6[#All],MATCH(Tabla4[[#This Row],[Producto]],Tabla6[[#All],[PRODUCTO]],0),MATCH(Tabla4[[#This Row],[Mes]],Tabla6[#Headers],0)))*(1+Catalogos!$L$2)</f>
        <v>#N/A</v>
      </c>
      <c r="N3170" s="283" t="e">
        <f>+(Tabla4[[#This Row],[Precio Descontado]]-Tabla4[[#This Row],[Precio Base]])*Tabla4[[#This Row],[Cantidad]]</f>
        <v>#N/A</v>
      </c>
      <c r="O3170" s="284" t="e">
        <f>++Tabla4[[#This Row],[Utilidad Total]]/Tabla4[[#This Row],[Total]]</f>
        <v>#N/A</v>
      </c>
      <c r="P3170" s="282">
        <f>++Tabla4[[#This Row],[Precio Descontado]]*Tabla4[[#This Row],[Cantidad]]</f>
        <v>8133.5819063999998</v>
      </c>
      <c r="Q3170" s="282" t="e">
        <f>(INDEX(Tabla6[#All],MATCH(Tabla4[[#This Row],[Producto]],Tabla6[[#All],[PRODUCTO]],0),MATCH(Tabla4[[#This Row],[Mes]],Tabla6[#Headers],0)))</f>
        <v>#N/A</v>
      </c>
      <c r="R3170" s="282" t="e">
        <f>++Tabla4[[#This Row],[Precio Unitario Neto]]-Tabla4[[#This Row],[20.85%]]-Tabla4[[#This Row],[Costo]]</f>
        <v>#N/A</v>
      </c>
      <c r="S3170" s="282" t="e">
        <f>++Tabla4[[#This Row],[U. Bruta Uni]]*Tabla4[[#This Row],[Cantidad]]</f>
        <v>#N/A</v>
      </c>
      <c r="T3170" s="369" t="str">
        <f>VLOOKUP(Tabla4[[#This Row],[Producto]],Tabla6[#All],14,FALSE)</f>
        <v>Termico Solar</v>
      </c>
      <c r="U3170" s="284" t="e">
        <f>(IF(Tabla4[[#This Row],[Familia]]="termico solar",Tabla4[[#This Row],[Utilidad Total]]*6%,Tabla4[[#This Row],[Utilidad Total]]*11.5%))/Tabla4[[#This Row],[Total]]</f>
        <v>#N/A</v>
      </c>
      <c r="V3170" s="282" t="e">
        <f>+Tabla4[[#This Row],[Comisión Calculada]]*Tabla4[[#This Row],[Total]]</f>
        <v>#N/A</v>
      </c>
    </row>
    <row r="3171" spans="1:22" hidden="1" x14ac:dyDescent="0.25">
      <c r="A3171" s="100">
        <v>45808</v>
      </c>
      <c r="B3171" t="str">
        <f t="shared" si="153"/>
        <v>May</v>
      </c>
      <c r="C3171" s="46" t="s">
        <v>280</v>
      </c>
      <c r="F3171" s="366" t="s">
        <v>1937</v>
      </c>
      <c r="G3171" s="46" t="s">
        <v>18</v>
      </c>
      <c r="H3171" s="46">
        <v>1</v>
      </c>
      <c r="I3171" s="51">
        <v>5367.65</v>
      </c>
      <c r="J3171" s="281">
        <f>++Tabla4[[#This Row],[Precio Bruto]]*1.16</f>
        <v>6226.4739999999993</v>
      </c>
      <c r="K3171" s="281">
        <f>+Tabla4[[#This Row],[Precio Unitario Neto]]*Tabla4[[#Headers],[20.85%]]</f>
        <v>1298.2198289999999</v>
      </c>
      <c r="L3171" s="282">
        <f>++Tabla4[[#This Row],[Precio Unitario Neto]]-Tabla4[[#This Row],[20.85%]]</f>
        <v>4928.2541709999996</v>
      </c>
      <c r="M3171" s="282" t="e">
        <f>(INDEX(Tabla6[#All],MATCH(Tabla4[[#This Row],[Producto]],Tabla6[[#All],[PRODUCTO]],0),MATCH(Tabla4[[#This Row],[Mes]],Tabla6[#Headers],0)))*(1+Catalogos!$L$2)</f>
        <v>#N/A</v>
      </c>
      <c r="N3171" s="283" t="e">
        <f>+(Tabla4[[#This Row],[Precio Descontado]]-Tabla4[[#This Row],[Precio Base]])*Tabla4[[#This Row],[Cantidad]]</f>
        <v>#N/A</v>
      </c>
      <c r="O3171" s="284" t="e">
        <f>++Tabla4[[#This Row],[Utilidad Total]]/Tabla4[[#This Row],[Total]]</f>
        <v>#N/A</v>
      </c>
      <c r="P3171" s="282">
        <f>++Tabla4[[#This Row],[Precio Descontado]]*Tabla4[[#This Row],[Cantidad]]</f>
        <v>4928.2541709999996</v>
      </c>
      <c r="Q3171" s="282" t="e">
        <f>(INDEX(Tabla6[#All],MATCH(Tabla4[[#This Row],[Producto]],Tabla6[[#All],[PRODUCTO]],0),MATCH(Tabla4[[#This Row],[Mes]],Tabla6[#Headers],0)))</f>
        <v>#N/A</v>
      </c>
      <c r="R3171" s="282" t="e">
        <f>++Tabla4[[#This Row],[Precio Unitario Neto]]-Tabla4[[#This Row],[20.85%]]-Tabla4[[#This Row],[Costo]]</f>
        <v>#N/A</v>
      </c>
      <c r="S3171" s="282" t="e">
        <f>++Tabla4[[#This Row],[U. Bruta Uni]]*Tabla4[[#This Row],[Cantidad]]</f>
        <v>#N/A</v>
      </c>
      <c r="T3171" s="369" t="str">
        <f>VLOOKUP(Tabla4[[#This Row],[Producto]],Tabla6[#All],14,FALSE)</f>
        <v>Termico Solar</v>
      </c>
      <c r="U3171" s="284" t="e">
        <f>(IF(Tabla4[[#This Row],[Familia]]="termico solar",Tabla4[[#This Row],[Utilidad Total]]*6%,Tabla4[[#This Row],[Utilidad Total]]*11.5%))/Tabla4[[#This Row],[Total]]</f>
        <v>#N/A</v>
      </c>
      <c r="V3171" s="282" t="e">
        <f>+Tabla4[[#This Row],[Comisión Calculada]]*Tabla4[[#This Row],[Total]]</f>
        <v>#N/A</v>
      </c>
    </row>
    <row r="3172" spans="1:22" hidden="1" x14ac:dyDescent="0.25">
      <c r="A3172" s="100">
        <v>45808</v>
      </c>
      <c r="B3172" t="str">
        <f t="shared" si="153"/>
        <v>May</v>
      </c>
      <c r="C3172" s="46" t="s">
        <v>280</v>
      </c>
      <c r="F3172" s="366" t="s">
        <v>1937</v>
      </c>
      <c r="G3172" s="46" t="s">
        <v>566</v>
      </c>
      <c r="H3172" s="46">
        <v>1</v>
      </c>
      <c r="I3172" s="51">
        <v>2109.4499999999998</v>
      </c>
      <c r="J3172" s="281">
        <f>++Tabla4[[#This Row],[Precio Bruto]]*1.16</f>
        <v>2446.9619999999995</v>
      </c>
      <c r="K3172" s="281">
        <f>+Tabla4[[#This Row],[Precio Unitario Neto]]*Tabla4[[#Headers],[20.85%]]</f>
        <v>510.19157699999988</v>
      </c>
      <c r="L3172" s="282">
        <f>++Tabla4[[#This Row],[Precio Unitario Neto]]-Tabla4[[#This Row],[20.85%]]</f>
        <v>1936.7704229999997</v>
      </c>
      <c r="M3172" s="282" t="e">
        <f>(INDEX(Tabla6[#All],MATCH(Tabla4[[#This Row],[Producto]],Tabla6[[#All],[PRODUCTO]],0),MATCH(Tabla4[[#This Row],[Mes]],Tabla6[#Headers],0)))*(1+Catalogos!$L$2)</f>
        <v>#N/A</v>
      </c>
      <c r="N3172" s="283" t="e">
        <f>+(Tabla4[[#This Row],[Precio Descontado]]-Tabla4[[#This Row],[Precio Base]])*Tabla4[[#This Row],[Cantidad]]</f>
        <v>#N/A</v>
      </c>
      <c r="O3172" s="284" t="e">
        <f>++Tabla4[[#This Row],[Utilidad Total]]/Tabla4[[#This Row],[Total]]</f>
        <v>#N/A</v>
      </c>
      <c r="P3172" s="282">
        <f>++Tabla4[[#This Row],[Precio Descontado]]*Tabla4[[#This Row],[Cantidad]]</f>
        <v>1936.7704229999997</v>
      </c>
      <c r="Q3172" s="282" t="e">
        <f>(INDEX(Tabla6[#All],MATCH(Tabla4[[#This Row],[Producto]],Tabla6[[#All],[PRODUCTO]],0),MATCH(Tabla4[[#This Row],[Mes]],Tabla6[#Headers],0)))</f>
        <v>#N/A</v>
      </c>
      <c r="R3172" s="282" t="e">
        <f>++Tabla4[[#This Row],[Precio Unitario Neto]]-Tabla4[[#This Row],[20.85%]]-Tabla4[[#This Row],[Costo]]</f>
        <v>#N/A</v>
      </c>
      <c r="S3172" s="282" t="e">
        <f>++Tabla4[[#This Row],[U. Bruta Uni]]*Tabla4[[#This Row],[Cantidad]]</f>
        <v>#N/A</v>
      </c>
      <c r="T3172" s="369" t="str">
        <f>VLOOKUP(Tabla4[[#This Row],[Producto]],Tabla6[#All],14,FALSE)</f>
        <v>Termico Solar</v>
      </c>
      <c r="U3172" s="284" t="e">
        <f>(IF(Tabla4[[#This Row],[Familia]]="termico solar",Tabla4[[#This Row],[Utilidad Total]]*6%,Tabla4[[#This Row],[Utilidad Total]]*11.5%))/Tabla4[[#This Row],[Total]]</f>
        <v>#N/A</v>
      </c>
      <c r="V3172" s="282" t="e">
        <f>+Tabla4[[#This Row],[Comisión Calculada]]*Tabla4[[#This Row],[Total]]</f>
        <v>#N/A</v>
      </c>
    </row>
    <row r="3173" spans="1:22" hidden="1" x14ac:dyDescent="0.25">
      <c r="A3173" s="100">
        <v>45808</v>
      </c>
      <c r="B3173" t="str">
        <f t="shared" si="153"/>
        <v>May</v>
      </c>
      <c r="C3173" s="46" t="s">
        <v>280</v>
      </c>
      <c r="F3173" s="366" t="s">
        <v>1938</v>
      </c>
      <c r="G3173" s="46" t="s">
        <v>566</v>
      </c>
      <c r="H3173" s="46">
        <v>1</v>
      </c>
      <c r="I3173" s="51">
        <v>2109.4499999999998</v>
      </c>
      <c r="J3173" s="281">
        <f>++Tabla4[[#This Row],[Precio Bruto]]*1.16</f>
        <v>2446.9619999999995</v>
      </c>
      <c r="K3173" s="281">
        <f>+Tabla4[[#This Row],[Precio Unitario Neto]]*Tabla4[[#Headers],[20.85%]]</f>
        <v>510.19157699999988</v>
      </c>
      <c r="L3173" s="282">
        <f>++Tabla4[[#This Row],[Precio Unitario Neto]]-Tabla4[[#This Row],[20.85%]]</f>
        <v>1936.7704229999997</v>
      </c>
      <c r="M3173" s="282" t="e">
        <f>(INDEX(Tabla6[#All],MATCH(Tabla4[[#This Row],[Producto]],Tabla6[[#All],[PRODUCTO]],0),MATCH(Tabla4[[#This Row],[Mes]],Tabla6[#Headers],0)))*(1+Catalogos!$L$2)</f>
        <v>#N/A</v>
      </c>
      <c r="N3173" s="283" t="e">
        <f>+(Tabla4[[#This Row],[Precio Descontado]]-Tabla4[[#This Row],[Precio Base]])*Tabla4[[#This Row],[Cantidad]]</f>
        <v>#N/A</v>
      </c>
      <c r="O3173" s="284" t="e">
        <f>++Tabla4[[#This Row],[Utilidad Total]]/Tabla4[[#This Row],[Total]]</f>
        <v>#N/A</v>
      </c>
      <c r="P3173" s="282">
        <f>++Tabla4[[#This Row],[Precio Descontado]]*Tabla4[[#This Row],[Cantidad]]</f>
        <v>1936.7704229999997</v>
      </c>
      <c r="Q3173" s="282" t="e">
        <f>(INDEX(Tabla6[#All],MATCH(Tabla4[[#This Row],[Producto]],Tabla6[[#All],[PRODUCTO]],0),MATCH(Tabla4[[#This Row],[Mes]],Tabla6[#Headers],0)))</f>
        <v>#N/A</v>
      </c>
      <c r="R3173" s="282" t="e">
        <f>++Tabla4[[#This Row],[Precio Unitario Neto]]-Tabla4[[#This Row],[20.85%]]-Tabla4[[#This Row],[Costo]]</f>
        <v>#N/A</v>
      </c>
      <c r="S3173" s="282" t="e">
        <f>++Tabla4[[#This Row],[U. Bruta Uni]]*Tabla4[[#This Row],[Cantidad]]</f>
        <v>#N/A</v>
      </c>
      <c r="T3173" s="369" t="str">
        <f>VLOOKUP(Tabla4[[#This Row],[Producto]],Tabla6[#All],14,FALSE)</f>
        <v>Termico Solar</v>
      </c>
      <c r="U3173" s="284" t="e">
        <f>(IF(Tabla4[[#This Row],[Familia]]="termico solar",Tabla4[[#This Row],[Utilidad Total]]*6%,Tabla4[[#This Row],[Utilidad Total]]*11.5%))/Tabla4[[#This Row],[Total]]</f>
        <v>#N/A</v>
      </c>
      <c r="V3173" s="282" t="e">
        <f>+Tabla4[[#This Row],[Comisión Calculada]]*Tabla4[[#This Row],[Total]]</f>
        <v>#N/A</v>
      </c>
    </row>
    <row r="3174" spans="1:22" hidden="1" x14ac:dyDescent="0.25">
      <c r="A3174" s="100">
        <v>45808</v>
      </c>
      <c r="B3174" t="str">
        <f t="shared" si="153"/>
        <v>May</v>
      </c>
      <c r="C3174" s="46" t="s">
        <v>280</v>
      </c>
      <c r="F3174" s="366" t="s">
        <v>1938</v>
      </c>
      <c r="G3174" s="46" t="s">
        <v>16</v>
      </c>
      <c r="H3174" s="46">
        <v>1</v>
      </c>
      <c r="I3174" s="51">
        <v>4103.8500000000004</v>
      </c>
      <c r="J3174" s="281">
        <f>++Tabla4[[#This Row],[Precio Bruto]]*1.16</f>
        <v>4760.4660000000003</v>
      </c>
      <c r="K3174" s="281">
        <f>+Tabla4[[#This Row],[Precio Unitario Neto]]*Tabla4[[#Headers],[20.85%]]</f>
        <v>992.55716100000006</v>
      </c>
      <c r="L3174" s="282">
        <f>++Tabla4[[#This Row],[Precio Unitario Neto]]-Tabla4[[#This Row],[20.85%]]</f>
        <v>3767.9088390000002</v>
      </c>
      <c r="M3174" s="282" t="e">
        <f>(INDEX(Tabla6[#All],MATCH(Tabla4[[#This Row],[Producto]],Tabla6[[#All],[PRODUCTO]],0),MATCH(Tabla4[[#This Row],[Mes]],Tabla6[#Headers],0)))*(1+Catalogos!$L$2)</f>
        <v>#N/A</v>
      </c>
      <c r="N3174" s="283" t="e">
        <f>+(Tabla4[[#This Row],[Precio Descontado]]-Tabla4[[#This Row],[Precio Base]])*Tabla4[[#This Row],[Cantidad]]</f>
        <v>#N/A</v>
      </c>
      <c r="O3174" s="284" t="e">
        <f>++Tabla4[[#This Row],[Utilidad Total]]/Tabla4[[#This Row],[Total]]</f>
        <v>#N/A</v>
      </c>
      <c r="P3174" s="282">
        <f>++Tabla4[[#This Row],[Precio Descontado]]*Tabla4[[#This Row],[Cantidad]]</f>
        <v>3767.9088390000002</v>
      </c>
      <c r="Q3174" s="282" t="e">
        <f>(INDEX(Tabla6[#All],MATCH(Tabla4[[#This Row],[Producto]],Tabla6[[#All],[PRODUCTO]],0),MATCH(Tabla4[[#This Row],[Mes]],Tabla6[#Headers],0)))</f>
        <v>#N/A</v>
      </c>
      <c r="R3174" s="282" t="e">
        <f>++Tabla4[[#This Row],[Precio Unitario Neto]]-Tabla4[[#This Row],[20.85%]]-Tabla4[[#This Row],[Costo]]</f>
        <v>#N/A</v>
      </c>
      <c r="S3174" s="282" t="e">
        <f>++Tabla4[[#This Row],[U. Bruta Uni]]*Tabla4[[#This Row],[Cantidad]]</f>
        <v>#N/A</v>
      </c>
      <c r="T3174" s="369" t="str">
        <f>VLOOKUP(Tabla4[[#This Row],[Producto]],Tabla6[#All],14,FALSE)</f>
        <v>Termico Solar</v>
      </c>
      <c r="U3174" s="284" t="e">
        <f>(IF(Tabla4[[#This Row],[Familia]]="termico solar",Tabla4[[#This Row],[Utilidad Total]]*6%,Tabla4[[#This Row],[Utilidad Total]]*11.5%))/Tabla4[[#This Row],[Total]]</f>
        <v>#N/A</v>
      </c>
      <c r="V3174" s="282" t="e">
        <f>+Tabla4[[#This Row],[Comisión Calculada]]*Tabla4[[#This Row],[Total]]</f>
        <v>#N/A</v>
      </c>
    </row>
    <row r="3175" spans="1:22" hidden="1" x14ac:dyDescent="0.25">
      <c r="A3175" s="100">
        <v>45808</v>
      </c>
      <c r="B3175" t="str">
        <f t="shared" si="153"/>
        <v>May</v>
      </c>
      <c r="C3175" s="46" t="s">
        <v>280</v>
      </c>
      <c r="F3175" s="366" t="s">
        <v>1939</v>
      </c>
      <c r="G3175" s="46" t="s">
        <v>16</v>
      </c>
      <c r="H3175" s="46">
        <v>1</v>
      </c>
      <c r="I3175" s="51">
        <v>4103.8500000000004</v>
      </c>
      <c r="J3175" s="281">
        <f>++Tabla4[[#This Row],[Precio Bruto]]*1.16</f>
        <v>4760.4660000000003</v>
      </c>
      <c r="K3175" s="281">
        <f>+Tabla4[[#This Row],[Precio Unitario Neto]]*Tabla4[[#Headers],[20.85%]]</f>
        <v>992.55716100000006</v>
      </c>
      <c r="L3175" s="282">
        <f>++Tabla4[[#This Row],[Precio Unitario Neto]]-Tabla4[[#This Row],[20.85%]]</f>
        <v>3767.9088390000002</v>
      </c>
      <c r="M3175" s="282" t="e">
        <f>(INDEX(Tabla6[#All],MATCH(Tabla4[[#This Row],[Producto]],Tabla6[[#All],[PRODUCTO]],0),MATCH(Tabla4[[#This Row],[Mes]],Tabla6[#Headers],0)))*(1+Catalogos!$L$2)</f>
        <v>#N/A</v>
      </c>
      <c r="N3175" s="283" t="e">
        <f>+(Tabla4[[#This Row],[Precio Descontado]]-Tabla4[[#This Row],[Precio Base]])*Tabla4[[#This Row],[Cantidad]]</f>
        <v>#N/A</v>
      </c>
      <c r="O3175" s="284" t="e">
        <f>++Tabla4[[#This Row],[Utilidad Total]]/Tabla4[[#This Row],[Total]]</f>
        <v>#N/A</v>
      </c>
      <c r="P3175" s="282">
        <f>++Tabla4[[#This Row],[Precio Descontado]]*Tabla4[[#This Row],[Cantidad]]</f>
        <v>3767.9088390000002</v>
      </c>
      <c r="Q3175" s="282" t="e">
        <f>(INDEX(Tabla6[#All],MATCH(Tabla4[[#This Row],[Producto]],Tabla6[[#All],[PRODUCTO]],0),MATCH(Tabla4[[#This Row],[Mes]],Tabla6[#Headers],0)))</f>
        <v>#N/A</v>
      </c>
      <c r="R3175" s="282" t="e">
        <f>++Tabla4[[#This Row],[Precio Unitario Neto]]-Tabla4[[#This Row],[20.85%]]-Tabla4[[#This Row],[Costo]]</f>
        <v>#N/A</v>
      </c>
      <c r="S3175" s="282" t="e">
        <f>++Tabla4[[#This Row],[U. Bruta Uni]]*Tabla4[[#This Row],[Cantidad]]</f>
        <v>#N/A</v>
      </c>
      <c r="T3175" s="369" t="str">
        <f>VLOOKUP(Tabla4[[#This Row],[Producto]],Tabla6[#All],14,FALSE)</f>
        <v>Termico Solar</v>
      </c>
      <c r="U3175" s="284" t="e">
        <f>(IF(Tabla4[[#This Row],[Familia]]="termico solar",Tabla4[[#This Row],[Utilidad Total]]*6%,Tabla4[[#This Row],[Utilidad Total]]*11.5%))/Tabla4[[#This Row],[Total]]</f>
        <v>#N/A</v>
      </c>
      <c r="V3175" s="282" t="e">
        <f>+Tabla4[[#This Row],[Comisión Calculada]]*Tabla4[[#This Row],[Total]]</f>
        <v>#N/A</v>
      </c>
    </row>
    <row r="3176" spans="1:22" hidden="1" x14ac:dyDescent="0.25">
      <c r="A3176" s="100">
        <v>45808</v>
      </c>
      <c r="B3176" t="str">
        <f t="shared" si="153"/>
        <v>May</v>
      </c>
      <c r="C3176" s="46" t="s">
        <v>280</v>
      </c>
      <c r="F3176" s="366" t="s">
        <v>1940</v>
      </c>
      <c r="G3176" s="46" t="s">
        <v>83</v>
      </c>
      <c r="H3176" s="46">
        <v>2</v>
      </c>
      <c r="I3176" s="51">
        <v>8858.76</v>
      </c>
      <c r="J3176" s="281">
        <f>++Tabla4[[#This Row],[Precio Bruto]]*1.16</f>
        <v>10276.161599999999</v>
      </c>
      <c r="K3176" s="281">
        <f>+Tabla4[[#This Row],[Precio Unitario Neto]]*Tabla4[[#Headers],[20.85%]]</f>
        <v>2142.5796935999997</v>
      </c>
      <c r="L3176" s="282">
        <f>++Tabla4[[#This Row],[Precio Unitario Neto]]-Tabla4[[#This Row],[20.85%]]</f>
        <v>8133.5819063999998</v>
      </c>
      <c r="M3176" s="282" t="e">
        <f>(INDEX(Tabla6[#All],MATCH(Tabla4[[#This Row],[Producto]],Tabla6[[#All],[PRODUCTO]],0),MATCH(Tabla4[[#This Row],[Mes]],Tabla6[#Headers],0)))*(1+Catalogos!$L$2)</f>
        <v>#N/A</v>
      </c>
      <c r="N3176" s="283" t="e">
        <f>+(Tabla4[[#This Row],[Precio Descontado]]-Tabla4[[#This Row],[Precio Base]])*Tabla4[[#This Row],[Cantidad]]</f>
        <v>#N/A</v>
      </c>
      <c r="O3176" s="284" t="e">
        <f>++Tabla4[[#This Row],[Utilidad Total]]/Tabla4[[#This Row],[Total]]</f>
        <v>#N/A</v>
      </c>
      <c r="P3176" s="282">
        <f>++Tabla4[[#This Row],[Precio Descontado]]*Tabla4[[#This Row],[Cantidad]]</f>
        <v>16267.1638128</v>
      </c>
      <c r="Q3176" s="282" t="e">
        <f>(INDEX(Tabla6[#All],MATCH(Tabla4[[#This Row],[Producto]],Tabla6[[#All],[PRODUCTO]],0),MATCH(Tabla4[[#This Row],[Mes]],Tabla6[#Headers],0)))</f>
        <v>#N/A</v>
      </c>
      <c r="R3176" s="282" t="e">
        <f>++Tabla4[[#This Row],[Precio Unitario Neto]]-Tabla4[[#This Row],[20.85%]]-Tabla4[[#This Row],[Costo]]</f>
        <v>#N/A</v>
      </c>
      <c r="S3176" s="282" t="e">
        <f>++Tabla4[[#This Row],[U. Bruta Uni]]*Tabla4[[#This Row],[Cantidad]]</f>
        <v>#N/A</v>
      </c>
      <c r="T3176" s="369" t="str">
        <f>VLOOKUP(Tabla4[[#This Row],[Producto]],Tabla6[#All],14,FALSE)</f>
        <v>Termico Solar</v>
      </c>
      <c r="U3176" s="284" t="e">
        <f>(IF(Tabla4[[#This Row],[Familia]]="termico solar",Tabla4[[#This Row],[Utilidad Total]]*6%,Tabla4[[#This Row],[Utilidad Total]]*11.5%))/Tabla4[[#This Row],[Total]]</f>
        <v>#N/A</v>
      </c>
      <c r="V3176" s="282" t="e">
        <f>+Tabla4[[#This Row],[Comisión Calculada]]*Tabla4[[#This Row],[Total]]</f>
        <v>#N/A</v>
      </c>
    </row>
    <row r="3177" spans="1:22" hidden="1" x14ac:dyDescent="0.25">
      <c r="A3177" s="100">
        <v>45808</v>
      </c>
      <c r="B3177" t="str">
        <f t="shared" si="153"/>
        <v>May</v>
      </c>
      <c r="C3177" s="46" t="s">
        <v>280</v>
      </c>
      <c r="F3177" s="366" t="s">
        <v>1941</v>
      </c>
      <c r="G3177" s="46" t="s">
        <v>83</v>
      </c>
      <c r="H3177" s="46">
        <v>2</v>
      </c>
      <c r="I3177" s="51">
        <v>8858.76</v>
      </c>
      <c r="J3177" s="281">
        <f>++Tabla4[[#This Row],[Precio Bruto]]*1.16</f>
        <v>10276.161599999999</v>
      </c>
      <c r="K3177" s="281">
        <f>+Tabla4[[#This Row],[Precio Unitario Neto]]*Tabla4[[#Headers],[20.85%]]</f>
        <v>2142.5796935999997</v>
      </c>
      <c r="L3177" s="282">
        <f>++Tabla4[[#This Row],[Precio Unitario Neto]]-Tabla4[[#This Row],[20.85%]]</f>
        <v>8133.5819063999998</v>
      </c>
      <c r="M3177" s="282" t="e">
        <f>(INDEX(Tabla6[#All],MATCH(Tabla4[[#This Row],[Producto]],Tabla6[[#All],[PRODUCTO]],0),MATCH(Tabla4[[#This Row],[Mes]],Tabla6[#Headers],0)))*(1+Catalogos!$L$2)</f>
        <v>#N/A</v>
      </c>
      <c r="N3177" s="283" t="e">
        <f>+(Tabla4[[#This Row],[Precio Descontado]]-Tabla4[[#This Row],[Precio Base]])*Tabla4[[#This Row],[Cantidad]]</f>
        <v>#N/A</v>
      </c>
      <c r="O3177" s="284" t="e">
        <f>++Tabla4[[#This Row],[Utilidad Total]]/Tabla4[[#This Row],[Total]]</f>
        <v>#N/A</v>
      </c>
      <c r="P3177" s="282">
        <f>++Tabla4[[#This Row],[Precio Descontado]]*Tabla4[[#This Row],[Cantidad]]</f>
        <v>16267.1638128</v>
      </c>
      <c r="Q3177" s="282" t="e">
        <f>(INDEX(Tabla6[#All],MATCH(Tabla4[[#This Row],[Producto]],Tabla6[[#All],[PRODUCTO]],0),MATCH(Tabla4[[#This Row],[Mes]],Tabla6[#Headers],0)))</f>
        <v>#N/A</v>
      </c>
      <c r="R3177" s="282" t="e">
        <f>++Tabla4[[#This Row],[Precio Unitario Neto]]-Tabla4[[#This Row],[20.85%]]-Tabla4[[#This Row],[Costo]]</f>
        <v>#N/A</v>
      </c>
      <c r="S3177" s="282" t="e">
        <f>++Tabla4[[#This Row],[U. Bruta Uni]]*Tabla4[[#This Row],[Cantidad]]</f>
        <v>#N/A</v>
      </c>
      <c r="T3177" s="369" t="str">
        <f>VLOOKUP(Tabla4[[#This Row],[Producto]],Tabla6[#All],14,FALSE)</f>
        <v>Termico Solar</v>
      </c>
      <c r="U3177" s="284" t="e">
        <f>(IF(Tabla4[[#This Row],[Familia]]="termico solar",Tabla4[[#This Row],[Utilidad Total]]*6%,Tabla4[[#This Row],[Utilidad Total]]*11.5%))/Tabla4[[#This Row],[Total]]</f>
        <v>#N/A</v>
      </c>
      <c r="V3177" s="282" t="e">
        <f>+Tabla4[[#This Row],[Comisión Calculada]]*Tabla4[[#This Row],[Total]]</f>
        <v>#N/A</v>
      </c>
    </row>
    <row r="3178" spans="1:22" hidden="1" x14ac:dyDescent="0.25">
      <c r="A3178" s="100">
        <v>45808</v>
      </c>
      <c r="B3178" t="str">
        <f t="shared" si="153"/>
        <v>May</v>
      </c>
      <c r="C3178" s="46" t="s">
        <v>280</v>
      </c>
      <c r="F3178" s="366" t="s">
        <v>1942</v>
      </c>
      <c r="G3178" s="46" t="s">
        <v>16</v>
      </c>
      <c r="H3178" s="46">
        <v>1</v>
      </c>
      <c r="I3178" s="51">
        <v>4103.8500000000004</v>
      </c>
      <c r="J3178" s="281">
        <f>++Tabla4[[#This Row],[Precio Bruto]]*1.16</f>
        <v>4760.4660000000003</v>
      </c>
      <c r="K3178" s="281">
        <f>+Tabla4[[#This Row],[Precio Unitario Neto]]*Tabla4[[#Headers],[20.85%]]</f>
        <v>992.55716100000006</v>
      </c>
      <c r="L3178" s="282">
        <f>++Tabla4[[#This Row],[Precio Unitario Neto]]-Tabla4[[#This Row],[20.85%]]</f>
        <v>3767.9088390000002</v>
      </c>
      <c r="M3178" s="282" t="e">
        <f>(INDEX(Tabla6[#All],MATCH(Tabla4[[#This Row],[Producto]],Tabla6[[#All],[PRODUCTO]],0),MATCH(Tabla4[[#This Row],[Mes]],Tabla6[#Headers],0)))*(1+Catalogos!$L$2)</f>
        <v>#N/A</v>
      </c>
      <c r="N3178" s="283" t="e">
        <f>+(Tabla4[[#This Row],[Precio Descontado]]-Tabla4[[#This Row],[Precio Base]])*Tabla4[[#This Row],[Cantidad]]</f>
        <v>#N/A</v>
      </c>
      <c r="O3178" s="284" t="e">
        <f>++Tabla4[[#This Row],[Utilidad Total]]/Tabla4[[#This Row],[Total]]</f>
        <v>#N/A</v>
      </c>
      <c r="P3178" s="282">
        <f>++Tabla4[[#This Row],[Precio Descontado]]*Tabla4[[#This Row],[Cantidad]]</f>
        <v>3767.9088390000002</v>
      </c>
      <c r="Q3178" s="282" t="e">
        <f>(INDEX(Tabla6[#All],MATCH(Tabla4[[#This Row],[Producto]],Tabla6[[#All],[PRODUCTO]],0),MATCH(Tabla4[[#This Row],[Mes]],Tabla6[#Headers],0)))</f>
        <v>#N/A</v>
      </c>
      <c r="R3178" s="282" t="e">
        <f>++Tabla4[[#This Row],[Precio Unitario Neto]]-Tabla4[[#This Row],[20.85%]]-Tabla4[[#This Row],[Costo]]</f>
        <v>#N/A</v>
      </c>
      <c r="S3178" s="282" t="e">
        <f>++Tabla4[[#This Row],[U. Bruta Uni]]*Tabla4[[#This Row],[Cantidad]]</f>
        <v>#N/A</v>
      </c>
      <c r="T3178" s="369" t="str">
        <f>VLOOKUP(Tabla4[[#This Row],[Producto]],Tabla6[#All],14,FALSE)</f>
        <v>Termico Solar</v>
      </c>
      <c r="U3178" s="284" t="e">
        <f>(IF(Tabla4[[#This Row],[Familia]]="termico solar",Tabla4[[#This Row],[Utilidad Total]]*6%,Tabla4[[#This Row],[Utilidad Total]]*11.5%))/Tabla4[[#This Row],[Total]]</f>
        <v>#N/A</v>
      </c>
      <c r="V3178" s="282" t="e">
        <f>+Tabla4[[#This Row],[Comisión Calculada]]*Tabla4[[#This Row],[Total]]</f>
        <v>#N/A</v>
      </c>
    </row>
    <row r="3179" spans="1:22" hidden="1" x14ac:dyDescent="0.25">
      <c r="A3179" s="100">
        <v>45808</v>
      </c>
      <c r="B3179" t="str">
        <f t="shared" si="153"/>
        <v>May</v>
      </c>
      <c r="C3179" s="46" t="s">
        <v>280</v>
      </c>
      <c r="F3179" s="366" t="s">
        <v>1943</v>
      </c>
      <c r="G3179" s="46" t="s">
        <v>83</v>
      </c>
      <c r="H3179" s="46">
        <v>4</v>
      </c>
      <c r="I3179" s="51">
        <v>8858.76</v>
      </c>
      <c r="J3179" s="281">
        <f>++Tabla4[[#This Row],[Precio Bruto]]*1.16</f>
        <v>10276.161599999999</v>
      </c>
      <c r="K3179" s="281">
        <f>+Tabla4[[#This Row],[Precio Unitario Neto]]*Tabla4[[#Headers],[20.85%]]</f>
        <v>2142.5796935999997</v>
      </c>
      <c r="L3179" s="282">
        <f>++Tabla4[[#This Row],[Precio Unitario Neto]]-Tabla4[[#This Row],[20.85%]]</f>
        <v>8133.5819063999998</v>
      </c>
      <c r="M3179" s="282" t="e">
        <f>(INDEX(Tabla6[#All],MATCH(Tabla4[[#This Row],[Producto]],Tabla6[[#All],[PRODUCTO]],0),MATCH(Tabla4[[#This Row],[Mes]],Tabla6[#Headers],0)))*(1+Catalogos!$L$2)</f>
        <v>#N/A</v>
      </c>
      <c r="N3179" s="283" t="e">
        <f>+(Tabla4[[#This Row],[Precio Descontado]]-Tabla4[[#This Row],[Precio Base]])*Tabla4[[#This Row],[Cantidad]]</f>
        <v>#N/A</v>
      </c>
      <c r="O3179" s="284" t="e">
        <f>++Tabla4[[#This Row],[Utilidad Total]]/Tabla4[[#This Row],[Total]]</f>
        <v>#N/A</v>
      </c>
      <c r="P3179" s="282">
        <f>++Tabla4[[#This Row],[Precio Descontado]]*Tabla4[[#This Row],[Cantidad]]</f>
        <v>32534.327625599999</v>
      </c>
      <c r="Q3179" s="282" t="e">
        <f>(INDEX(Tabla6[#All],MATCH(Tabla4[[#This Row],[Producto]],Tabla6[[#All],[PRODUCTO]],0),MATCH(Tabla4[[#This Row],[Mes]],Tabla6[#Headers],0)))</f>
        <v>#N/A</v>
      </c>
      <c r="R3179" s="282" t="e">
        <f>++Tabla4[[#This Row],[Precio Unitario Neto]]-Tabla4[[#This Row],[20.85%]]-Tabla4[[#This Row],[Costo]]</f>
        <v>#N/A</v>
      </c>
      <c r="S3179" s="282" t="e">
        <f>++Tabla4[[#This Row],[U. Bruta Uni]]*Tabla4[[#This Row],[Cantidad]]</f>
        <v>#N/A</v>
      </c>
      <c r="T3179" s="369" t="str">
        <f>VLOOKUP(Tabla4[[#This Row],[Producto]],Tabla6[#All],14,FALSE)</f>
        <v>Termico Solar</v>
      </c>
      <c r="U3179" s="284" t="e">
        <f>(IF(Tabla4[[#This Row],[Familia]]="termico solar",Tabla4[[#This Row],[Utilidad Total]]*6%,Tabla4[[#This Row],[Utilidad Total]]*11.5%))/Tabla4[[#This Row],[Total]]</f>
        <v>#N/A</v>
      </c>
      <c r="V3179" s="282" t="e">
        <f>+Tabla4[[#This Row],[Comisión Calculada]]*Tabla4[[#This Row],[Total]]</f>
        <v>#N/A</v>
      </c>
    </row>
    <row r="3180" spans="1:22" hidden="1" x14ac:dyDescent="0.25">
      <c r="A3180" s="100">
        <v>45808</v>
      </c>
      <c r="B3180" t="str">
        <f t="shared" si="153"/>
        <v>May</v>
      </c>
      <c r="C3180" s="46" t="s">
        <v>280</v>
      </c>
      <c r="F3180" s="366" t="s">
        <v>1943</v>
      </c>
      <c r="G3180" s="46" t="s">
        <v>17</v>
      </c>
      <c r="H3180" s="46">
        <v>2</v>
      </c>
      <c r="I3180" s="51">
        <v>4622.28</v>
      </c>
      <c r="J3180" s="281">
        <f>++Tabla4[[#This Row],[Precio Bruto]]*1.16</f>
        <v>5361.8447999999989</v>
      </c>
      <c r="K3180" s="281">
        <f>+Tabla4[[#This Row],[Precio Unitario Neto]]*Tabla4[[#Headers],[20.85%]]</f>
        <v>1117.9446407999997</v>
      </c>
      <c r="L3180" s="282">
        <f>++Tabla4[[#This Row],[Precio Unitario Neto]]-Tabla4[[#This Row],[20.85%]]</f>
        <v>4243.9001591999995</v>
      </c>
      <c r="M3180" s="282" t="e">
        <f>(INDEX(Tabla6[#All],MATCH(Tabla4[[#This Row],[Producto]],Tabla6[[#All],[PRODUCTO]],0),MATCH(Tabla4[[#This Row],[Mes]],Tabla6[#Headers],0)))*(1+Catalogos!$L$2)</f>
        <v>#N/A</v>
      </c>
      <c r="N3180" s="283" t="e">
        <f>+(Tabla4[[#This Row],[Precio Descontado]]-Tabla4[[#This Row],[Precio Base]])*Tabla4[[#This Row],[Cantidad]]</f>
        <v>#N/A</v>
      </c>
      <c r="O3180" s="284" t="e">
        <f>++Tabla4[[#This Row],[Utilidad Total]]/Tabla4[[#This Row],[Total]]</f>
        <v>#N/A</v>
      </c>
      <c r="P3180" s="282">
        <f>++Tabla4[[#This Row],[Precio Descontado]]*Tabla4[[#This Row],[Cantidad]]</f>
        <v>8487.800318399999</v>
      </c>
      <c r="Q3180" s="282" t="e">
        <f>(INDEX(Tabla6[#All],MATCH(Tabla4[[#This Row],[Producto]],Tabla6[[#All],[PRODUCTO]],0),MATCH(Tabla4[[#This Row],[Mes]],Tabla6[#Headers],0)))</f>
        <v>#N/A</v>
      </c>
      <c r="R3180" s="282" t="e">
        <f>++Tabla4[[#This Row],[Precio Unitario Neto]]-Tabla4[[#This Row],[20.85%]]-Tabla4[[#This Row],[Costo]]</f>
        <v>#N/A</v>
      </c>
      <c r="S3180" s="282" t="e">
        <f>++Tabla4[[#This Row],[U. Bruta Uni]]*Tabla4[[#This Row],[Cantidad]]</f>
        <v>#N/A</v>
      </c>
      <c r="T3180" s="369" t="str">
        <f>VLOOKUP(Tabla4[[#This Row],[Producto]],Tabla6[#All],14,FALSE)</f>
        <v>Termico Solar</v>
      </c>
      <c r="U3180" s="284" t="e">
        <f>(IF(Tabla4[[#This Row],[Familia]]="termico solar",Tabla4[[#This Row],[Utilidad Total]]*6%,Tabla4[[#This Row],[Utilidad Total]]*11.5%))/Tabla4[[#This Row],[Total]]</f>
        <v>#N/A</v>
      </c>
      <c r="V3180" s="282" t="e">
        <f>+Tabla4[[#This Row],[Comisión Calculada]]*Tabla4[[#This Row],[Total]]</f>
        <v>#N/A</v>
      </c>
    </row>
    <row r="3181" spans="1:22" hidden="1" x14ac:dyDescent="0.25">
      <c r="A3181" s="100">
        <v>45808</v>
      </c>
      <c r="B3181" t="str">
        <f t="shared" si="153"/>
        <v>May</v>
      </c>
      <c r="C3181" s="46" t="s">
        <v>280</v>
      </c>
      <c r="F3181" s="366" t="s">
        <v>1943</v>
      </c>
      <c r="G3181" s="46" t="s">
        <v>16</v>
      </c>
      <c r="H3181" s="46">
        <v>2</v>
      </c>
      <c r="I3181" s="51">
        <v>4103.8500000000004</v>
      </c>
      <c r="J3181" s="281">
        <f>++Tabla4[[#This Row],[Precio Bruto]]*1.16</f>
        <v>4760.4660000000003</v>
      </c>
      <c r="K3181" s="281">
        <f>+Tabla4[[#This Row],[Precio Unitario Neto]]*Tabla4[[#Headers],[20.85%]]</f>
        <v>992.55716100000006</v>
      </c>
      <c r="L3181" s="282">
        <f>++Tabla4[[#This Row],[Precio Unitario Neto]]-Tabla4[[#This Row],[20.85%]]</f>
        <v>3767.9088390000002</v>
      </c>
      <c r="M3181" s="282" t="e">
        <f>(INDEX(Tabla6[#All],MATCH(Tabla4[[#This Row],[Producto]],Tabla6[[#All],[PRODUCTO]],0),MATCH(Tabla4[[#This Row],[Mes]],Tabla6[#Headers],0)))*(1+Catalogos!$L$2)</f>
        <v>#N/A</v>
      </c>
      <c r="N3181" s="283" t="e">
        <f>+(Tabla4[[#This Row],[Precio Descontado]]-Tabla4[[#This Row],[Precio Base]])*Tabla4[[#This Row],[Cantidad]]</f>
        <v>#N/A</v>
      </c>
      <c r="O3181" s="284" t="e">
        <f>++Tabla4[[#This Row],[Utilidad Total]]/Tabla4[[#This Row],[Total]]</f>
        <v>#N/A</v>
      </c>
      <c r="P3181" s="282">
        <f>++Tabla4[[#This Row],[Precio Descontado]]*Tabla4[[#This Row],[Cantidad]]</f>
        <v>7535.8176780000003</v>
      </c>
      <c r="Q3181" s="282" t="e">
        <f>(INDEX(Tabla6[#All],MATCH(Tabla4[[#This Row],[Producto]],Tabla6[[#All],[PRODUCTO]],0),MATCH(Tabla4[[#This Row],[Mes]],Tabla6[#Headers],0)))</f>
        <v>#N/A</v>
      </c>
      <c r="R3181" s="282" t="e">
        <f>++Tabla4[[#This Row],[Precio Unitario Neto]]-Tabla4[[#This Row],[20.85%]]-Tabla4[[#This Row],[Costo]]</f>
        <v>#N/A</v>
      </c>
      <c r="S3181" s="282" t="e">
        <f>++Tabla4[[#This Row],[U. Bruta Uni]]*Tabla4[[#This Row],[Cantidad]]</f>
        <v>#N/A</v>
      </c>
      <c r="T3181" s="369" t="str">
        <f>VLOOKUP(Tabla4[[#This Row],[Producto]],Tabla6[#All],14,FALSE)</f>
        <v>Termico Solar</v>
      </c>
      <c r="U3181" s="284" t="e">
        <f>(IF(Tabla4[[#This Row],[Familia]]="termico solar",Tabla4[[#This Row],[Utilidad Total]]*6%,Tabla4[[#This Row],[Utilidad Total]]*11.5%))/Tabla4[[#This Row],[Total]]</f>
        <v>#N/A</v>
      </c>
      <c r="V3181" s="282" t="e">
        <f>+Tabla4[[#This Row],[Comisión Calculada]]*Tabla4[[#This Row],[Total]]</f>
        <v>#N/A</v>
      </c>
    </row>
    <row r="3182" spans="1:22" hidden="1" x14ac:dyDescent="0.25">
      <c r="A3182" s="100">
        <v>45808</v>
      </c>
      <c r="B3182" t="str">
        <f t="shared" si="153"/>
        <v>May</v>
      </c>
      <c r="C3182" s="46" t="s">
        <v>280</v>
      </c>
      <c r="F3182" s="366" t="s">
        <v>1943</v>
      </c>
      <c r="G3182" s="46" t="s">
        <v>208</v>
      </c>
      <c r="H3182" s="46">
        <v>2</v>
      </c>
      <c r="I3182" s="51">
        <v>189.75</v>
      </c>
      <c r="J3182" s="281">
        <f>++Tabla4[[#This Row],[Precio Bruto]]*1.16</f>
        <v>220.10999999999999</v>
      </c>
      <c r="K3182" s="281">
        <f>+Tabla4[[#This Row],[Precio Unitario Neto]]*Tabla4[[#Headers],[20.85%]]</f>
        <v>45.892934999999994</v>
      </c>
      <c r="L3182" s="282">
        <f>++Tabla4[[#This Row],[Precio Unitario Neto]]-Tabla4[[#This Row],[20.85%]]</f>
        <v>174.21706499999999</v>
      </c>
      <c r="M3182" s="282" t="e">
        <f>(INDEX(Tabla6[#All],MATCH(Tabla4[[#This Row],[Producto]],Tabla6[[#All],[PRODUCTO]],0),MATCH(Tabla4[[#This Row],[Mes]],Tabla6[#Headers],0)))*(1+Catalogos!$L$2)</f>
        <v>#N/A</v>
      </c>
      <c r="N3182" s="283" t="e">
        <f>+(Tabla4[[#This Row],[Precio Descontado]]-Tabla4[[#This Row],[Precio Base]])*Tabla4[[#This Row],[Cantidad]]</f>
        <v>#N/A</v>
      </c>
      <c r="O3182" s="284" t="e">
        <f>++Tabla4[[#This Row],[Utilidad Total]]/Tabla4[[#This Row],[Total]]</f>
        <v>#N/A</v>
      </c>
      <c r="P3182" s="282">
        <f>++Tabla4[[#This Row],[Precio Descontado]]*Tabla4[[#This Row],[Cantidad]]</f>
        <v>348.43412999999998</v>
      </c>
      <c r="Q3182" s="282" t="e">
        <f>(INDEX(Tabla6[#All],MATCH(Tabla4[[#This Row],[Producto]],Tabla6[[#All],[PRODUCTO]],0),MATCH(Tabla4[[#This Row],[Mes]],Tabla6[#Headers],0)))</f>
        <v>#N/A</v>
      </c>
      <c r="R3182" s="282" t="e">
        <f>++Tabla4[[#This Row],[Precio Unitario Neto]]-Tabla4[[#This Row],[20.85%]]-Tabla4[[#This Row],[Costo]]</f>
        <v>#N/A</v>
      </c>
      <c r="S3182" s="282" t="e">
        <f>++Tabla4[[#This Row],[U. Bruta Uni]]*Tabla4[[#This Row],[Cantidad]]</f>
        <v>#N/A</v>
      </c>
      <c r="T3182" s="369" t="str">
        <f>VLOOKUP(Tabla4[[#This Row],[Producto]],Tabla6[#All],14,FALSE)</f>
        <v>Termico Solar</v>
      </c>
      <c r="U3182" s="284" t="e">
        <f>(IF(Tabla4[[#This Row],[Familia]]="termico solar",Tabla4[[#This Row],[Utilidad Total]]*6%,Tabla4[[#This Row],[Utilidad Total]]*11.5%))/Tabla4[[#This Row],[Total]]</f>
        <v>#N/A</v>
      </c>
      <c r="V3182" s="282" t="e">
        <f>+Tabla4[[#This Row],[Comisión Calculada]]*Tabla4[[#This Row],[Total]]</f>
        <v>#N/A</v>
      </c>
    </row>
    <row r="3183" spans="1:22" hidden="1" x14ac:dyDescent="0.25">
      <c r="A3183" s="100">
        <v>45808</v>
      </c>
      <c r="B3183" t="str">
        <f t="shared" si="153"/>
        <v>May</v>
      </c>
      <c r="C3183" s="46" t="s">
        <v>280</v>
      </c>
      <c r="F3183" s="366" t="s">
        <v>1944</v>
      </c>
      <c r="G3183" s="46" t="s">
        <v>83</v>
      </c>
      <c r="H3183" s="46">
        <v>1</v>
      </c>
      <c r="I3183" s="51">
        <v>8858.76</v>
      </c>
      <c r="J3183" s="281">
        <f>++Tabla4[[#This Row],[Precio Bruto]]*1.16</f>
        <v>10276.161599999999</v>
      </c>
      <c r="K3183" s="281">
        <f>+Tabla4[[#This Row],[Precio Unitario Neto]]*Tabla4[[#Headers],[20.85%]]</f>
        <v>2142.5796935999997</v>
      </c>
      <c r="L3183" s="282">
        <f>++Tabla4[[#This Row],[Precio Unitario Neto]]-Tabla4[[#This Row],[20.85%]]</f>
        <v>8133.5819063999998</v>
      </c>
      <c r="M3183" s="282" t="e">
        <f>(INDEX(Tabla6[#All],MATCH(Tabla4[[#This Row],[Producto]],Tabla6[[#All],[PRODUCTO]],0),MATCH(Tabla4[[#This Row],[Mes]],Tabla6[#Headers],0)))*(1+Catalogos!$L$2)</f>
        <v>#N/A</v>
      </c>
      <c r="N3183" s="283" t="e">
        <f>+(Tabla4[[#This Row],[Precio Descontado]]-Tabla4[[#This Row],[Precio Base]])*Tabla4[[#This Row],[Cantidad]]</f>
        <v>#N/A</v>
      </c>
      <c r="O3183" s="284" t="e">
        <f>++Tabla4[[#This Row],[Utilidad Total]]/Tabla4[[#This Row],[Total]]</f>
        <v>#N/A</v>
      </c>
      <c r="P3183" s="282">
        <f>++Tabla4[[#This Row],[Precio Descontado]]*Tabla4[[#This Row],[Cantidad]]</f>
        <v>8133.5819063999998</v>
      </c>
      <c r="Q3183" s="282" t="e">
        <f>(INDEX(Tabla6[#All],MATCH(Tabla4[[#This Row],[Producto]],Tabla6[[#All],[PRODUCTO]],0),MATCH(Tabla4[[#This Row],[Mes]],Tabla6[#Headers],0)))</f>
        <v>#N/A</v>
      </c>
      <c r="R3183" s="282" t="e">
        <f>++Tabla4[[#This Row],[Precio Unitario Neto]]-Tabla4[[#This Row],[20.85%]]-Tabla4[[#This Row],[Costo]]</f>
        <v>#N/A</v>
      </c>
      <c r="S3183" s="282" t="e">
        <f>++Tabla4[[#This Row],[U. Bruta Uni]]*Tabla4[[#This Row],[Cantidad]]</f>
        <v>#N/A</v>
      </c>
      <c r="T3183" s="369" t="str">
        <f>VLOOKUP(Tabla4[[#This Row],[Producto]],Tabla6[#All],14,FALSE)</f>
        <v>Termico Solar</v>
      </c>
      <c r="U3183" s="284" t="e">
        <f>(IF(Tabla4[[#This Row],[Familia]]="termico solar",Tabla4[[#This Row],[Utilidad Total]]*6%,Tabla4[[#This Row],[Utilidad Total]]*11.5%))/Tabla4[[#This Row],[Total]]</f>
        <v>#N/A</v>
      </c>
      <c r="V3183" s="282" t="e">
        <f>+Tabla4[[#This Row],[Comisión Calculada]]*Tabla4[[#This Row],[Total]]</f>
        <v>#N/A</v>
      </c>
    </row>
    <row r="3184" spans="1:22" hidden="1" x14ac:dyDescent="0.25">
      <c r="A3184" s="100">
        <v>45808</v>
      </c>
      <c r="B3184" t="str">
        <f t="shared" si="153"/>
        <v>May</v>
      </c>
      <c r="C3184" s="46" t="s">
        <v>280</v>
      </c>
      <c r="F3184" s="366" t="s">
        <v>1944</v>
      </c>
      <c r="G3184" s="46" t="s">
        <v>566</v>
      </c>
      <c r="H3184" s="46">
        <v>1</v>
      </c>
      <c r="I3184" s="51">
        <v>2109.4499999999998</v>
      </c>
      <c r="J3184" s="281">
        <f>++Tabla4[[#This Row],[Precio Bruto]]*1.16</f>
        <v>2446.9619999999995</v>
      </c>
      <c r="K3184" s="281">
        <f>+Tabla4[[#This Row],[Precio Unitario Neto]]*Tabla4[[#Headers],[20.85%]]</f>
        <v>510.19157699999988</v>
      </c>
      <c r="L3184" s="282">
        <f>++Tabla4[[#This Row],[Precio Unitario Neto]]-Tabla4[[#This Row],[20.85%]]</f>
        <v>1936.7704229999997</v>
      </c>
      <c r="M3184" s="282" t="e">
        <f>(INDEX(Tabla6[#All],MATCH(Tabla4[[#This Row],[Producto]],Tabla6[[#All],[PRODUCTO]],0),MATCH(Tabla4[[#This Row],[Mes]],Tabla6[#Headers],0)))*(1+Catalogos!$L$2)</f>
        <v>#N/A</v>
      </c>
      <c r="N3184" s="283" t="e">
        <f>+(Tabla4[[#This Row],[Precio Descontado]]-Tabla4[[#This Row],[Precio Base]])*Tabla4[[#This Row],[Cantidad]]</f>
        <v>#N/A</v>
      </c>
      <c r="O3184" s="284" t="e">
        <f>++Tabla4[[#This Row],[Utilidad Total]]/Tabla4[[#This Row],[Total]]</f>
        <v>#N/A</v>
      </c>
      <c r="P3184" s="282">
        <f>++Tabla4[[#This Row],[Precio Descontado]]*Tabla4[[#This Row],[Cantidad]]</f>
        <v>1936.7704229999997</v>
      </c>
      <c r="Q3184" s="282" t="e">
        <f>(INDEX(Tabla6[#All],MATCH(Tabla4[[#This Row],[Producto]],Tabla6[[#All],[PRODUCTO]],0),MATCH(Tabla4[[#This Row],[Mes]],Tabla6[#Headers],0)))</f>
        <v>#N/A</v>
      </c>
      <c r="R3184" s="282" t="e">
        <f>++Tabla4[[#This Row],[Precio Unitario Neto]]-Tabla4[[#This Row],[20.85%]]-Tabla4[[#This Row],[Costo]]</f>
        <v>#N/A</v>
      </c>
      <c r="S3184" s="282" t="e">
        <f>++Tabla4[[#This Row],[U. Bruta Uni]]*Tabla4[[#This Row],[Cantidad]]</f>
        <v>#N/A</v>
      </c>
      <c r="T3184" s="369" t="str">
        <f>VLOOKUP(Tabla4[[#This Row],[Producto]],Tabla6[#All],14,FALSE)</f>
        <v>Termico Solar</v>
      </c>
      <c r="U3184" s="284" t="e">
        <f>(IF(Tabla4[[#This Row],[Familia]]="termico solar",Tabla4[[#This Row],[Utilidad Total]]*6%,Tabla4[[#This Row],[Utilidad Total]]*11.5%))/Tabla4[[#This Row],[Total]]</f>
        <v>#N/A</v>
      </c>
      <c r="V3184" s="282" t="e">
        <f>+Tabla4[[#This Row],[Comisión Calculada]]*Tabla4[[#This Row],[Total]]</f>
        <v>#N/A</v>
      </c>
    </row>
    <row r="3185" spans="1:22" hidden="1" x14ac:dyDescent="0.25">
      <c r="A3185" s="100">
        <v>45808</v>
      </c>
      <c r="B3185" t="str">
        <f t="shared" si="153"/>
        <v>May</v>
      </c>
      <c r="C3185" s="46" t="s">
        <v>280</v>
      </c>
      <c r="F3185" s="366" t="s">
        <v>1944</v>
      </c>
      <c r="G3185" s="46" t="s">
        <v>16</v>
      </c>
      <c r="H3185" s="46">
        <v>1</v>
      </c>
      <c r="I3185" s="51">
        <v>4103.8500000000004</v>
      </c>
      <c r="J3185" s="281">
        <f>++Tabla4[[#This Row],[Precio Bruto]]*1.16</f>
        <v>4760.4660000000003</v>
      </c>
      <c r="K3185" s="281">
        <f>+Tabla4[[#This Row],[Precio Unitario Neto]]*Tabla4[[#Headers],[20.85%]]</f>
        <v>992.55716100000006</v>
      </c>
      <c r="L3185" s="282">
        <f>++Tabla4[[#This Row],[Precio Unitario Neto]]-Tabla4[[#This Row],[20.85%]]</f>
        <v>3767.9088390000002</v>
      </c>
      <c r="M3185" s="282" t="e">
        <f>(INDEX(Tabla6[#All],MATCH(Tabla4[[#This Row],[Producto]],Tabla6[[#All],[PRODUCTO]],0),MATCH(Tabla4[[#This Row],[Mes]],Tabla6[#Headers],0)))*(1+Catalogos!$L$2)</f>
        <v>#N/A</v>
      </c>
      <c r="N3185" s="283" t="e">
        <f>+(Tabla4[[#This Row],[Precio Descontado]]-Tabla4[[#This Row],[Precio Base]])*Tabla4[[#This Row],[Cantidad]]</f>
        <v>#N/A</v>
      </c>
      <c r="O3185" s="284" t="e">
        <f>++Tabla4[[#This Row],[Utilidad Total]]/Tabla4[[#This Row],[Total]]</f>
        <v>#N/A</v>
      </c>
      <c r="P3185" s="282">
        <f>++Tabla4[[#This Row],[Precio Descontado]]*Tabla4[[#This Row],[Cantidad]]</f>
        <v>3767.9088390000002</v>
      </c>
      <c r="Q3185" s="282" t="e">
        <f>(INDEX(Tabla6[#All],MATCH(Tabla4[[#This Row],[Producto]],Tabla6[[#All],[PRODUCTO]],0),MATCH(Tabla4[[#This Row],[Mes]],Tabla6[#Headers],0)))</f>
        <v>#N/A</v>
      </c>
      <c r="R3185" s="282" t="e">
        <f>++Tabla4[[#This Row],[Precio Unitario Neto]]-Tabla4[[#This Row],[20.85%]]-Tabla4[[#This Row],[Costo]]</f>
        <v>#N/A</v>
      </c>
      <c r="S3185" s="282" t="e">
        <f>++Tabla4[[#This Row],[U. Bruta Uni]]*Tabla4[[#This Row],[Cantidad]]</f>
        <v>#N/A</v>
      </c>
      <c r="T3185" s="369" t="str">
        <f>VLOOKUP(Tabla4[[#This Row],[Producto]],Tabla6[#All],14,FALSE)</f>
        <v>Termico Solar</v>
      </c>
      <c r="U3185" s="284" t="e">
        <f>(IF(Tabla4[[#This Row],[Familia]]="termico solar",Tabla4[[#This Row],[Utilidad Total]]*6%,Tabla4[[#This Row],[Utilidad Total]]*11.5%))/Tabla4[[#This Row],[Total]]</f>
        <v>#N/A</v>
      </c>
      <c r="V3185" s="282" t="e">
        <f>+Tabla4[[#This Row],[Comisión Calculada]]*Tabla4[[#This Row],[Total]]</f>
        <v>#N/A</v>
      </c>
    </row>
    <row r="3186" spans="1:22" hidden="1" x14ac:dyDescent="0.25">
      <c r="A3186" s="100">
        <v>45808</v>
      </c>
      <c r="B3186" t="str">
        <f t="shared" si="153"/>
        <v>May</v>
      </c>
      <c r="C3186" s="46" t="s">
        <v>280</v>
      </c>
      <c r="F3186" s="366" t="s">
        <v>1945</v>
      </c>
      <c r="G3186" s="46" t="s">
        <v>83</v>
      </c>
      <c r="H3186" s="46">
        <v>2</v>
      </c>
      <c r="I3186" s="51">
        <v>8858.76</v>
      </c>
      <c r="J3186" s="281">
        <f>++Tabla4[[#This Row],[Precio Bruto]]*1.16</f>
        <v>10276.161599999999</v>
      </c>
      <c r="K3186" s="281">
        <f>+Tabla4[[#This Row],[Precio Unitario Neto]]*Tabla4[[#Headers],[20.85%]]</f>
        <v>2142.5796935999997</v>
      </c>
      <c r="L3186" s="282">
        <f>++Tabla4[[#This Row],[Precio Unitario Neto]]-Tabla4[[#This Row],[20.85%]]</f>
        <v>8133.5819063999998</v>
      </c>
      <c r="M3186" s="282" t="e">
        <f>(INDEX(Tabla6[#All],MATCH(Tabla4[[#This Row],[Producto]],Tabla6[[#All],[PRODUCTO]],0),MATCH(Tabla4[[#This Row],[Mes]],Tabla6[#Headers],0)))*(1+Catalogos!$L$2)</f>
        <v>#N/A</v>
      </c>
      <c r="N3186" s="283" t="e">
        <f>+(Tabla4[[#This Row],[Precio Descontado]]-Tabla4[[#This Row],[Precio Base]])*Tabla4[[#This Row],[Cantidad]]</f>
        <v>#N/A</v>
      </c>
      <c r="O3186" s="284" t="e">
        <f>++Tabla4[[#This Row],[Utilidad Total]]/Tabla4[[#This Row],[Total]]</f>
        <v>#N/A</v>
      </c>
      <c r="P3186" s="282">
        <f>++Tabla4[[#This Row],[Precio Descontado]]*Tabla4[[#This Row],[Cantidad]]</f>
        <v>16267.1638128</v>
      </c>
      <c r="Q3186" s="282" t="e">
        <f>(INDEX(Tabla6[#All],MATCH(Tabla4[[#This Row],[Producto]],Tabla6[[#All],[PRODUCTO]],0),MATCH(Tabla4[[#This Row],[Mes]],Tabla6[#Headers],0)))</f>
        <v>#N/A</v>
      </c>
      <c r="R3186" s="282" t="e">
        <f>++Tabla4[[#This Row],[Precio Unitario Neto]]-Tabla4[[#This Row],[20.85%]]-Tabla4[[#This Row],[Costo]]</f>
        <v>#N/A</v>
      </c>
      <c r="S3186" s="282" t="e">
        <f>++Tabla4[[#This Row],[U. Bruta Uni]]*Tabla4[[#This Row],[Cantidad]]</f>
        <v>#N/A</v>
      </c>
      <c r="T3186" s="369" t="str">
        <f>VLOOKUP(Tabla4[[#This Row],[Producto]],Tabla6[#All],14,FALSE)</f>
        <v>Termico Solar</v>
      </c>
      <c r="U3186" s="284" t="e">
        <f>(IF(Tabla4[[#This Row],[Familia]]="termico solar",Tabla4[[#This Row],[Utilidad Total]]*6%,Tabla4[[#This Row],[Utilidad Total]]*11.5%))/Tabla4[[#This Row],[Total]]</f>
        <v>#N/A</v>
      </c>
      <c r="V3186" s="282" t="e">
        <f>+Tabla4[[#This Row],[Comisión Calculada]]*Tabla4[[#This Row],[Total]]</f>
        <v>#N/A</v>
      </c>
    </row>
    <row r="3187" spans="1:22" hidden="1" x14ac:dyDescent="0.25">
      <c r="A3187" s="100">
        <v>45808</v>
      </c>
      <c r="B3187" t="str">
        <f t="shared" si="153"/>
        <v>May</v>
      </c>
      <c r="C3187" s="46" t="s">
        <v>280</v>
      </c>
      <c r="F3187" s="366" t="s">
        <v>1945</v>
      </c>
      <c r="G3187" s="46" t="s">
        <v>17</v>
      </c>
      <c r="H3187" s="46">
        <v>2</v>
      </c>
      <c r="I3187" s="51">
        <v>4622.28</v>
      </c>
      <c r="J3187" s="281">
        <f>++Tabla4[[#This Row],[Precio Bruto]]*1.16</f>
        <v>5361.8447999999989</v>
      </c>
      <c r="K3187" s="281">
        <f>+Tabla4[[#This Row],[Precio Unitario Neto]]*Tabla4[[#Headers],[20.85%]]</f>
        <v>1117.9446407999997</v>
      </c>
      <c r="L3187" s="282">
        <f>++Tabla4[[#This Row],[Precio Unitario Neto]]-Tabla4[[#This Row],[20.85%]]</f>
        <v>4243.9001591999995</v>
      </c>
      <c r="M3187" s="282" t="e">
        <f>(INDEX(Tabla6[#All],MATCH(Tabla4[[#This Row],[Producto]],Tabla6[[#All],[PRODUCTO]],0),MATCH(Tabla4[[#This Row],[Mes]],Tabla6[#Headers],0)))*(1+Catalogos!$L$2)</f>
        <v>#N/A</v>
      </c>
      <c r="N3187" s="283" t="e">
        <f>+(Tabla4[[#This Row],[Precio Descontado]]-Tabla4[[#This Row],[Precio Base]])*Tabla4[[#This Row],[Cantidad]]</f>
        <v>#N/A</v>
      </c>
      <c r="O3187" s="284" t="e">
        <f>++Tabla4[[#This Row],[Utilidad Total]]/Tabla4[[#This Row],[Total]]</f>
        <v>#N/A</v>
      </c>
      <c r="P3187" s="282">
        <f>++Tabla4[[#This Row],[Precio Descontado]]*Tabla4[[#This Row],[Cantidad]]</f>
        <v>8487.800318399999</v>
      </c>
      <c r="Q3187" s="282" t="e">
        <f>(INDEX(Tabla6[#All],MATCH(Tabla4[[#This Row],[Producto]],Tabla6[[#All],[PRODUCTO]],0),MATCH(Tabla4[[#This Row],[Mes]],Tabla6[#Headers],0)))</f>
        <v>#N/A</v>
      </c>
      <c r="R3187" s="282" t="e">
        <f>++Tabla4[[#This Row],[Precio Unitario Neto]]-Tabla4[[#This Row],[20.85%]]-Tabla4[[#This Row],[Costo]]</f>
        <v>#N/A</v>
      </c>
      <c r="S3187" s="282" t="e">
        <f>++Tabla4[[#This Row],[U. Bruta Uni]]*Tabla4[[#This Row],[Cantidad]]</f>
        <v>#N/A</v>
      </c>
      <c r="T3187" s="369" t="str">
        <f>VLOOKUP(Tabla4[[#This Row],[Producto]],Tabla6[#All],14,FALSE)</f>
        <v>Termico Solar</v>
      </c>
      <c r="U3187" s="284" t="e">
        <f>(IF(Tabla4[[#This Row],[Familia]]="termico solar",Tabla4[[#This Row],[Utilidad Total]]*6%,Tabla4[[#This Row],[Utilidad Total]]*11.5%))/Tabla4[[#This Row],[Total]]</f>
        <v>#N/A</v>
      </c>
      <c r="V3187" s="282" t="e">
        <f>+Tabla4[[#This Row],[Comisión Calculada]]*Tabla4[[#This Row],[Total]]</f>
        <v>#N/A</v>
      </c>
    </row>
    <row r="3188" spans="1:22" hidden="1" x14ac:dyDescent="0.25">
      <c r="A3188" s="100">
        <v>45808</v>
      </c>
      <c r="B3188" t="str">
        <f t="shared" si="153"/>
        <v>May</v>
      </c>
      <c r="C3188" s="46" t="s">
        <v>280</v>
      </c>
      <c r="F3188" s="366" t="s">
        <v>1945</v>
      </c>
      <c r="G3188" s="46" t="s">
        <v>16</v>
      </c>
      <c r="H3188" s="46">
        <v>2</v>
      </c>
      <c r="I3188" s="51">
        <v>4103.8500000000004</v>
      </c>
      <c r="J3188" s="281">
        <f>++Tabla4[[#This Row],[Precio Bruto]]*1.16</f>
        <v>4760.4660000000003</v>
      </c>
      <c r="K3188" s="281">
        <f>+Tabla4[[#This Row],[Precio Unitario Neto]]*Tabla4[[#Headers],[20.85%]]</f>
        <v>992.55716100000006</v>
      </c>
      <c r="L3188" s="282">
        <f>++Tabla4[[#This Row],[Precio Unitario Neto]]-Tabla4[[#This Row],[20.85%]]</f>
        <v>3767.9088390000002</v>
      </c>
      <c r="M3188" s="282" t="e">
        <f>(INDEX(Tabla6[#All],MATCH(Tabla4[[#This Row],[Producto]],Tabla6[[#All],[PRODUCTO]],0),MATCH(Tabla4[[#This Row],[Mes]],Tabla6[#Headers],0)))*(1+Catalogos!$L$2)</f>
        <v>#N/A</v>
      </c>
      <c r="N3188" s="283" t="e">
        <f>+(Tabla4[[#This Row],[Precio Descontado]]-Tabla4[[#This Row],[Precio Base]])*Tabla4[[#This Row],[Cantidad]]</f>
        <v>#N/A</v>
      </c>
      <c r="O3188" s="284" t="e">
        <f>++Tabla4[[#This Row],[Utilidad Total]]/Tabla4[[#This Row],[Total]]</f>
        <v>#N/A</v>
      </c>
      <c r="P3188" s="282">
        <f>++Tabla4[[#This Row],[Precio Descontado]]*Tabla4[[#This Row],[Cantidad]]</f>
        <v>7535.8176780000003</v>
      </c>
      <c r="Q3188" s="282" t="e">
        <f>(INDEX(Tabla6[#All],MATCH(Tabla4[[#This Row],[Producto]],Tabla6[[#All],[PRODUCTO]],0),MATCH(Tabla4[[#This Row],[Mes]],Tabla6[#Headers],0)))</f>
        <v>#N/A</v>
      </c>
      <c r="R3188" s="282" t="e">
        <f>++Tabla4[[#This Row],[Precio Unitario Neto]]-Tabla4[[#This Row],[20.85%]]-Tabla4[[#This Row],[Costo]]</f>
        <v>#N/A</v>
      </c>
      <c r="S3188" s="282" t="e">
        <f>++Tabla4[[#This Row],[U. Bruta Uni]]*Tabla4[[#This Row],[Cantidad]]</f>
        <v>#N/A</v>
      </c>
      <c r="T3188" s="369" t="str">
        <f>VLOOKUP(Tabla4[[#This Row],[Producto]],Tabla6[#All],14,FALSE)</f>
        <v>Termico Solar</v>
      </c>
      <c r="U3188" s="284" t="e">
        <f>(IF(Tabla4[[#This Row],[Familia]]="termico solar",Tabla4[[#This Row],[Utilidad Total]]*6%,Tabla4[[#This Row],[Utilidad Total]]*11.5%))/Tabla4[[#This Row],[Total]]</f>
        <v>#N/A</v>
      </c>
      <c r="V3188" s="282" t="e">
        <f>+Tabla4[[#This Row],[Comisión Calculada]]*Tabla4[[#This Row],[Total]]</f>
        <v>#N/A</v>
      </c>
    </row>
    <row r="3189" spans="1:22" hidden="1" x14ac:dyDescent="0.25">
      <c r="A3189" s="100">
        <v>45808</v>
      </c>
      <c r="B3189" t="str">
        <f t="shared" si="153"/>
        <v>May</v>
      </c>
      <c r="C3189" s="46" t="s">
        <v>280</v>
      </c>
      <c r="F3189" s="366" t="s">
        <v>1946</v>
      </c>
      <c r="G3189" s="46" t="s">
        <v>17</v>
      </c>
      <c r="H3189" s="46">
        <v>3</v>
      </c>
      <c r="I3189" s="51">
        <v>4622.28</v>
      </c>
      <c r="J3189" s="281">
        <f>++Tabla4[[#This Row],[Precio Bruto]]*1.16</f>
        <v>5361.8447999999989</v>
      </c>
      <c r="K3189" s="281">
        <f>+Tabla4[[#This Row],[Precio Unitario Neto]]*Tabla4[[#Headers],[20.85%]]</f>
        <v>1117.9446407999997</v>
      </c>
      <c r="L3189" s="282">
        <f>++Tabla4[[#This Row],[Precio Unitario Neto]]-Tabla4[[#This Row],[20.85%]]</f>
        <v>4243.9001591999995</v>
      </c>
      <c r="M3189" s="282" t="e">
        <f>(INDEX(Tabla6[#All],MATCH(Tabla4[[#This Row],[Producto]],Tabla6[[#All],[PRODUCTO]],0),MATCH(Tabla4[[#This Row],[Mes]],Tabla6[#Headers],0)))*(1+Catalogos!$L$2)</f>
        <v>#N/A</v>
      </c>
      <c r="N3189" s="283" t="e">
        <f>+(Tabla4[[#This Row],[Precio Descontado]]-Tabla4[[#This Row],[Precio Base]])*Tabla4[[#This Row],[Cantidad]]</f>
        <v>#N/A</v>
      </c>
      <c r="O3189" s="284" t="e">
        <f>++Tabla4[[#This Row],[Utilidad Total]]/Tabla4[[#This Row],[Total]]</f>
        <v>#N/A</v>
      </c>
      <c r="P3189" s="282">
        <f>++Tabla4[[#This Row],[Precio Descontado]]*Tabla4[[#This Row],[Cantidad]]</f>
        <v>12731.700477599999</v>
      </c>
      <c r="Q3189" s="282" t="e">
        <f>(INDEX(Tabla6[#All],MATCH(Tabla4[[#This Row],[Producto]],Tabla6[[#All],[PRODUCTO]],0),MATCH(Tabla4[[#This Row],[Mes]],Tabla6[#Headers],0)))</f>
        <v>#N/A</v>
      </c>
      <c r="R3189" s="282" t="e">
        <f>++Tabla4[[#This Row],[Precio Unitario Neto]]-Tabla4[[#This Row],[20.85%]]-Tabla4[[#This Row],[Costo]]</f>
        <v>#N/A</v>
      </c>
      <c r="S3189" s="282" t="e">
        <f>++Tabla4[[#This Row],[U. Bruta Uni]]*Tabla4[[#This Row],[Cantidad]]</f>
        <v>#N/A</v>
      </c>
      <c r="T3189" s="369" t="str">
        <f>VLOOKUP(Tabla4[[#This Row],[Producto]],Tabla6[#All],14,FALSE)</f>
        <v>Termico Solar</v>
      </c>
      <c r="U3189" s="284" t="e">
        <f>(IF(Tabla4[[#This Row],[Familia]]="termico solar",Tabla4[[#This Row],[Utilidad Total]]*6%,Tabla4[[#This Row],[Utilidad Total]]*11.5%))/Tabla4[[#This Row],[Total]]</f>
        <v>#N/A</v>
      </c>
      <c r="V3189" s="282" t="e">
        <f>+Tabla4[[#This Row],[Comisión Calculada]]*Tabla4[[#This Row],[Total]]</f>
        <v>#N/A</v>
      </c>
    </row>
    <row r="3190" spans="1:22" hidden="1" x14ac:dyDescent="0.25">
      <c r="A3190" s="100">
        <v>45808</v>
      </c>
      <c r="B3190" t="str">
        <f t="shared" si="153"/>
        <v>May</v>
      </c>
      <c r="C3190" s="46" t="s">
        <v>280</v>
      </c>
      <c r="F3190" s="366" t="s">
        <v>1947</v>
      </c>
      <c r="G3190" s="46" t="s">
        <v>83</v>
      </c>
      <c r="H3190" s="46">
        <v>3</v>
      </c>
      <c r="I3190" s="51">
        <v>8858.76</v>
      </c>
      <c r="J3190" s="281">
        <f>++Tabla4[[#This Row],[Precio Bruto]]*1.16</f>
        <v>10276.161599999999</v>
      </c>
      <c r="K3190" s="281">
        <f>+Tabla4[[#This Row],[Precio Unitario Neto]]*Tabla4[[#Headers],[20.85%]]</f>
        <v>2142.5796935999997</v>
      </c>
      <c r="L3190" s="282">
        <f>++Tabla4[[#This Row],[Precio Unitario Neto]]-Tabla4[[#This Row],[20.85%]]</f>
        <v>8133.5819063999998</v>
      </c>
      <c r="M3190" s="282" t="e">
        <f>(INDEX(Tabla6[#All],MATCH(Tabla4[[#This Row],[Producto]],Tabla6[[#All],[PRODUCTO]],0),MATCH(Tabla4[[#This Row],[Mes]],Tabla6[#Headers],0)))*(1+Catalogos!$L$2)</f>
        <v>#N/A</v>
      </c>
      <c r="N3190" s="283" t="e">
        <f>+(Tabla4[[#This Row],[Precio Descontado]]-Tabla4[[#This Row],[Precio Base]])*Tabla4[[#This Row],[Cantidad]]</f>
        <v>#N/A</v>
      </c>
      <c r="O3190" s="284" t="e">
        <f>++Tabla4[[#This Row],[Utilidad Total]]/Tabla4[[#This Row],[Total]]</f>
        <v>#N/A</v>
      </c>
      <c r="P3190" s="282">
        <f>++Tabla4[[#This Row],[Precio Descontado]]*Tabla4[[#This Row],[Cantidad]]</f>
        <v>24400.7457192</v>
      </c>
      <c r="Q3190" s="282" t="e">
        <f>(INDEX(Tabla6[#All],MATCH(Tabla4[[#This Row],[Producto]],Tabla6[[#All],[PRODUCTO]],0),MATCH(Tabla4[[#This Row],[Mes]],Tabla6[#Headers],0)))</f>
        <v>#N/A</v>
      </c>
      <c r="R3190" s="282" t="e">
        <f>++Tabla4[[#This Row],[Precio Unitario Neto]]-Tabla4[[#This Row],[20.85%]]-Tabla4[[#This Row],[Costo]]</f>
        <v>#N/A</v>
      </c>
      <c r="S3190" s="282" t="e">
        <f>++Tabla4[[#This Row],[U. Bruta Uni]]*Tabla4[[#This Row],[Cantidad]]</f>
        <v>#N/A</v>
      </c>
      <c r="T3190" s="369" t="str">
        <f>VLOOKUP(Tabla4[[#This Row],[Producto]],Tabla6[#All],14,FALSE)</f>
        <v>Termico Solar</v>
      </c>
      <c r="U3190" s="284" t="e">
        <f>(IF(Tabla4[[#This Row],[Familia]]="termico solar",Tabla4[[#This Row],[Utilidad Total]]*6%,Tabla4[[#This Row],[Utilidad Total]]*11.5%))/Tabla4[[#This Row],[Total]]</f>
        <v>#N/A</v>
      </c>
      <c r="V3190" s="282" t="e">
        <f>+Tabla4[[#This Row],[Comisión Calculada]]*Tabla4[[#This Row],[Total]]</f>
        <v>#N/A</v>
      </c>
    </row>
    <row r="3191" spans="1:22" hidden="1" x14ac:dyDescent="0.25">
      <c r="A3191" s="100">
        <v>45808</v>
      </c>
      <c r="B3191" t="str">
        <f t="shared" si="153"/>
        <v>May</v>
      </c>
      <c r="C3191" s="46" t="s">
        <v>280</v>
      </c>
      <c r="F3191" s="366" t="s">
        <v>1947</v>
      </c>
      <c r="G3191" s="46" t="s">
        <v>17</v>
      </c>
      <c r="H3191" s="46">
        <v>13</v>
      </c>
      <c r="I3191" s="51">
        <v>4622.28</v>
      </c>
      <c r="J3191" s="281">
        <f>++Tabla4[[#This Row],[Precio Bruto]]*1.16</f>
        <v>5361.8447999999989</v>
      </c>
      <c r="K3191" s="281">
        <f>+Tabla4[[#This Row],[Precio Unitario Neto]]*Tabla4[[#Headers],[20.85%]]</f>
        <v>1117.9446407999997</v>
      </c>
      <c r="L3191" s="282">
        <f>++Tabla4[[#This Row],[Precio Unitario Neto]]-Tabla4[[#This Row],[20.85%]]</f>
        <v>4243.9001591999995</v>
      </c>
      <c r="M3191" s="282" t="e">
        <f>(INDEX(Tabla6[#All],MATCH(Tabla4[[#This Row],[Producto]],Tabla6[[#All],[PRODUCTO]],0),MATCH(Tabla4[[#This Row],[Mes]],Tabla6[#Headers],0)))*(1+Catalogos!$L$2)</f>
        <v>#N/A</v>
      </c>
      <c r="N3191" s="283" t="e">
        <f>+(Tabla4[[#This Row],[Precio Descontado]]-Tabla4[[#This Row],[Precio Base]])*Tabla4[[#This Row],[Cantidad]]</f>
        <v>#N/A</v>
      </c>
      <c r="O3191" s="284" t="e">
        <f>++Tabla4[[#This Row],[Utilidad Total]]/Tabla4[[#This Row],[Total]]</f>
        <v>#N/A</v>
      </c>
      <c r="P3191" s="282">
        <f>++Tabla4[[#This Row],[Precio Descontado]]*Tabla4[[#This Row],[Cantidad]]</f>
        <v>55170.702069599996</v>
      </c>
      <c r="Q3191" s="282" t="e">
        <f>(INDEX(Tabla6[#All],MATCH(Tabla4[[#This Row],[Producto]],Tabla6[[#All],[PRODUCTO]],0),MATCH(Tabla4[[#This Row],[Mes]],Tabla6[#Headers],0)))</f>
        <v>#N/A</v>
      </c>
      <c r="R3191" s="282" t="e">
        <f>++Tabla4[[#This Row],[Precio Unitario Neto]]-Tabla4[[#This Row],[20.85%]]-Tabla4[[#This Row],[Costo]]</f>
        <v>#N/A</v>
      </c>
      <c r="S3191" s="282" t="e">
        <f>++Tabla4[[#This Row],[U. Bruta Uni]]*Tabla4[[#This Row],[Cantidad]]</f>
        <v>#N/A</v>
      </c>
      <c r="T3191" s="369" t="str">
        <f>VLOOKUP(Tabla4[[#This Row],[Producto]],Tabla6[#All],14,FALSE)</f>
        <v>Termico Solar</v>
      </c>
      <c r="U3191" s="284" t="e">
        <f>(IF(Tabla4[[#This Row],[Familia]]="termico solar",Tabla4[[#This Row],[Utilidad Total]]*6%,Tabla4[[#This Row],[Utilidad Total]]*11.5%))/Tabla4[[#This Row],[Total]]</f>
        <v>#N/A</v>
      </c>
      <c r="V3191" s="282" t="e">
        <f>+Tabla4[[#This Row],[Comisión Calculada]]*Tabla4[[#This Row],[Total]]</f>
        <v>#N/A</v>
      </c>
    </row>
    <row r="3192" spans="1:22" hidden="1" x14ac:dyDescent="0.25">
      <c r="A3192" s="100">
        <v>45808</v>
      </c>
      <c r="B3192" t="str">
        <f t="shared" si="153"/>
        <v>May</v>
      </c>
      <c r="C3192" s="46" t="s">
        <v>280</v>
      </c>
      <c r="F3192" s="366" t="s">
        <v>1947</v>
      </c>
      <c r="G3192" s="46" t="s">
        <v>18</v>
      </c>
      <c r="H3192" s="46">
        <v>7</v>
      </c>
      <c r="I3192" s="51">
        <v>5367.6500000000005</v>
      </c>
      <c r="J3192" s="281">
        <f>++Tabla4[[#This Row],[Precio Bruto]]*1.16</f>
        <v>6226.4740000000002</v>
      </c>
      <c r="K3192" s="281">
        <f>+Tabla4[[#This Row],[Precio Unitario Neto]]*Tabla4[[#Headers],[20.85%]]</f>
        <v>1298.2198289999999</v>
      </c>
      <c r="L3192" s="282">
        <f>++Tabla4[[#This Row],[Precio Unitario Neto]]-Tabla4[[#This Row],[20.85%]]</f>
        <v>4928.2541710000005</v>
      </c>
      <c r="M3192" s="282" t="e">
        <f>(INDEX(Tabla6[#All],MATCH(Tabla4[[#This Row],[Producto]],Tabla6[[#All],[PRODUCTO]],0),MATCH(Tabla4[[#This Row],[Mes]],Tabla6[#Headers],0)))*(1+Catalogos!$L$2)</f>
        <v>#N/A</v>
      </c>
      <c r="N3192" s="283" t="e">
        <f>+(Tabla4[[#This Row],[Precio Descontado]]-Tabla4[[#This Row],[Precio Base]])*Tabla4[[#This Row],[Cantidad]]</f>
        <v>#N/A</v>
      </c>
      <c r="O3192" s="284" t="e">
        <f>++Tabla4[[#This Row],[Utilidad Total]]/Tabla4[[#This Row],[Total]]</f>
        <v>#N/A</v>
      </c>
      <c r="P3192" s="282">
        <f>++Tabla4[[#This Row],[Precio Descontado]]*Tabla4[[#This Row],[Cantidad]]</f>
        <v>34497.779197000003</v>
      </c>
      <c r="Q3192" s="282" t="e">
        <f>(INDEX(Tabla6[#All],MATCH(Tabla4[[#This Row],[Producto]],Tabla6[[#All],[PRODUCTO]],0),MATCH(Tabla4[[#This Row],[Mes]],Tabla6[#Headers],0)))</f>
        <v>#N/A</v>
      </c>
      <c r="R3192" s="282" t="e">
        <f>++Tabla4[[#This Row],[Precio Unitario Neto]]-Tabla4[[#This Row],[20.85%]]-Tabla4[[#This Row],[Costo]]</f>
        <v>#N/A</v>
      </c>
      <c r="S3192" s="282" t="e">
        <f>++Tabla4[[#This Row],[U. Bruta Uni]]*Tabla4[[#This Row],[Cantidad]]</f>
        <v>#N/A</v>
      </c>
      <c r="T3192" s="369" t="str">
        <f>VLOOKUP(Tabla4[[#This Row],[Producto]],Tabla6[#All],14,FALSE)</f>
        <v>Termico Solar</v>
      </c>
      <c r="U3192" s="284" t="e">
        <f>(IF(Tabla4[[#This Row],[Familia]]="termico solar",Tabla4[[#This Row],[Utilidad Total]]*6%,Tabla4[[#This Row],[Utilidad Total]]*11.5%))/Tabla4[[#This Row],[Total]]</f>
        <v>#N/A</v>
      </c>
      <c r="V3192" s="282" t="e">
        <f>+Tabla4[[#This Row],[Comisión Calculada]]*Tabla4[[#This Row],[Total]]</f>
        <v>#N/A</v>
      </c>
    </row>
    <row r="3193" spans="1:22" hidden="1" x14ac:dyDescent="0.25">
      <c r="A3193" s="100">
        <v>45808</v>
      </c>
      <c r="B3193" t="str">
        <f t="shared" si="153"/>
        <v>May</v>
      </c>
      <c r="C3193" s="46" t="s">
        <v>280</v>
      </c>
      <c r="F3193" s="366" t="s">
        <v>1947</v>
      </c>
      <c r="G3193" s="46" t="s">
        <v>16</v>
      </c>
      <c r="H3193" s="46">
        <v>5</v>
      </c>
      <c r="I3193" s="51">
        <v>4103.8500000000004</v>
      </c>
      <c r="J3193" s="281">
        <f>++Tabla4[[#This Row],[Precio Bruto]]*1.16</f>
        <v>4760.4660000000003</v>
      </c>
      <c r="K3193" s="281">
        <f>+Tabla4[[#This Row],[Precio Unitario Neto]]*Tabla4[[#Headers],[20.85%]]</f>
        <v>992.55716100000006</v>
      </c>
      <c r="L3193" s="282">
        <f>++Tabla4[[#This Row],[Precio Unitario Neto]]-Tabla4[[#This Row],[20.85%]]</f>
        <v>3767.9088390000002</v>
      </c>
      <c r="M3193" s="282" t="e">
        <f>(INDEX(Tabla6[#All],MATCH(Tabla4[[#This Row],[Producto]],Tabla6[[#All],[PRODUCTO]],0),MATCH(Tabla4[[#This Row],[Mes]],Tabla6[#Headers],0)))*(1+Catalogos!$L$2)</f>
        <v>#N/A</v>
      </c>
      <c r="N3193" s="283" t="e">
        <f>+(Tabla4[[#This Row],[Precio Descontado]]-Tabla4[[#This Row],[Precio Base]])*Tabla4[[#This Row],[Cantidad]]</f>
        <v>#N/A</v>
      </c>
      <c r="O3193" s="284" t="e">
        <f>++Tabla4[[#This Row],[Utilidad Total]]/Tabla4[[#This Row],[Total]]</f>
        <v>#N/A</v>
      </c>
      <c r="P3193" s="282">
        <f>++Tabla4[[#This Row],[Precio Descontado]]*Tabla4[[#This Row],[Cantidad]]</f>
        <v>18839.544195000002</v>
      </c>
      <c r="Q3193" s="282" t="e">
        <f>(INDEX(Tabla6[#All],MATCH(Tabla4[[#This Row],[Producto]],Tabla6[[#All],[PRODUCTO]],0),MATCH(Tabla4[[#This Row],[Mes]],Tabla6[#Headers],0)))</f>
        <v>#N/A</v>
      </c>
      <c r="R3193" s="282" t="e">
        <f>++Tabla4[[#This Row],[Precio Unitario Neto]]-Tabla4[[#This Row],[20.85%]]-Tabla4[[#This Row],[Costo]]</f>
        <v>#N/A</v>
      </c>
      <c r="S3193" s="282" t="e">
        <f>++Tabla4[[#This Row],[U. Bruta Uni]]*Tabla4[[#This Row],[Cantidad]]</f>
        <v>#N/A</v>
      </c>
      <c r="T3193" s="369" t="str">
        <f>VLOOKUP(Tabla4[[#This Row],[Producto]],Tabla6[#All],14,FALSE)</f>
        <v>Termico Solar</v>
      </c>
      <c r="U3193" s="284" t="e">
        <f>(IF(Tabla4[[#This Row],[Familia]]="termico solar",Tabla4[[#This Row],[Utilidad Total]]*6%,Tabla4[[#This Row],[Utilidad Total]]*11.5%))/Tabla4[[#This Row],[Total]]</f>
        <v>#N/A</v>
      </c>
      <c r="V3193" s="282" t="e">
        <f>+Tabla4[[#This Row],[Comisión Calculada]]*Tabla4[[#This Row],[Total]]</f>
        <v>#N/A</v>
      </c>
    </row>
    <row r="3194" spans="1:22" hidden="1" x14ac:dyDescent="0.25">
      <c r="A3194" s="100">
        <v>45808</v>
      </c>
      <c r="B3194" t="str">
        <f t="shared" si="153"/>
        <v>May</v>
      </c>
      <c r="C3194" s="46" t="s">
        <v>280</v>
      </c>
      <c r="F3194" s="366" t="s">
        <v>1948</v>
      </c>
      <c r="G3194" s="46" t="s">
        <v>17</v>
      </c>
      <c r="H3194" s="46">
        <v>1</v>
      </c>
      <c r="I3194" s="51">
        <v>4622.28</v>
      </c>
      <c r="J3194" s="281">
        <f>++Tabla4[[#This Row],[Precio Bruto]]*1.16</f>
        <v>5361.8447999999989</v>
      </c>
      <c r="K3194" s="281">
        <f>+Tabla4[[#This Row],[Precio Unitario Neto]]*Tabla4[[#Headers],[20.85%]]</f>
        <v>1117.9446407999997</v>
      </c>
      <c r="L3194" s="282">
        <f>++Tabla4[[#This Row],[Precio Unitario Neto]]-Tabla4[[#This Row],[20.85%]]</f>
        <v>4243.9001591999995</v>
      </c>
      <c r="M3194" s="282" t="e">
        <f>(INDEX(Tabla6[#All],MATCH(Tabla4[[#This Row],[Producto]],Tabla6[[#All],[PRODUCTO]],0),MATCH(Tabla4[[#This Row],[Mes]],Tabla6[#Headers],0)))*(1+Catalogos!$L$2)</f>
        <v>#N/A</v>
      </c>
      <c r="N3194" s="283" t="e">
        <f>+(Tabla4[[#This Row],[Precio Descontado]]-Tabla4[[#This Row],[Precio Base]])*Tabla4[[#This Row],[Cantidad]]</f>
        <v>#N/A</v>
      </c>
      <c r="O3194" s="284" t="e">
        <f>++Tabla4[[#This Row],[Utilidad Total]]/Tabla4[[#This Row],[Total]]</f>
        <v>#N/A</v>
      </c>
      <c r="P3194" s="282">
        <f>++Tabla4[[#This Row],[Precio Descontado]]*Tabla4[[#This Row],[Cantidad]]</f>
        <v>4243.9001591999995</v>
      </c>
      <c r="Q3194" s="282" t="e">
        <f>(INDEX(Tabla6[#All],MATCH(Tabla4[[#This Row],[Producto]],Tabla6[[#All],[PRODUCTO]],0),MATCH(Tabla4[[#This Row],[Mes]],Tabla6[#Headers],0)))</f>
        <v>#N/A</v>
      </c>
      <c r="R3194" s="282" t="e">
        <f>++Tabla4[[#This Row],[Precio Unitario Neto]]-Tabla4[[#This Row],[20.85%]]-Tabla4[[#This Row],[Costo]]</f>
        <v>#N/A</v>
      </c>
      <c r="S3194" s="282" t="e">
        <f>++Tabla4[[#This Row],[U. Bruta Uni]]*Tabla4[[#This Row],[Cantidad]]</f>
        <v>#N/A</v>
      </c>
      <c r="T3194" s="369" t="str">
        <f>VLOOKUP(Tabla4[[#This Row],[Producto]],Tabla6[#All],14,FALSE)</f>
        <v>Termico Solar</v>
      </c>
      <c r="U3194" s="284" t="e">
        <f>(IF(Tabla4[[#This Row],[Familia]]="termico solar",Tabla4[[#This Row],[Utilidad Total]]*6%,Tabla4[[#This Row],[Utilidad Total]]*11.5%))/Tabla4[[#This Row],[Total]]</f>
        <v>#N/A</v>
      </c>
      <c r="V3194" s="282" t="e">
        <f>+Tabla4[[#This Row],[Comisión Calculada]]*Tabla4[[#This Row],[Total]]</f>
        <v>#N/A</v>
      </c>
    </row>
    <row r="3195" spans="1:22" hidden="1" x14ac:dyDescent="0.25">
      <c r="A3195" s="100">
        <v>45808</v>
      </c>
      <c r="B3195" t="str">
        <f t="shared" ref="B3195:B3226" si="154">TEXT(A3195, "mmmm")</f>
        <v>May</v>
      </c>
      <c r="C3195" s="46" t="s">
        <v>280</v>
      </c>
      <c r="F3195" s="366" t="s">
        <v>1948</v>
      </c>
      <c r="G3195" s="46" t="s">
        <v>18</v>
      </c>
      <c r="H3195" s="46">
        <v>4</v>
      </c>
      <c r="I3195" s="51">
        <v>5367.65</v>
      </c>
      <c r="J3195" s="281">
        <f>++Tabla4[[#This Row],[Precio Bruto]]*1.16</f>
        <v>6226.4739999999993</v>
      </c>
      <c r="K3195" s="281">
        <f>+Tabla4[[#This Row],[Precio Unitario Neto]]*Tabla4[[#Headers],[20.85%]]</f>
        <v>1298.2198289999999</v>
      </c>
      <c r="L3195" s="282">
        <f>++Tabla4[[#This Row],[Precio Unitario Neto]]-Tabla4[[#This Row],[20.85%]]</f>
        <v>4928.2541709999996</v>
      </c>
      <c r="M3195" s="282" t="e">
        <f>(INDEX(Tabla6[#All],MATCH(Tabla4[[#This Row],[Producto]],Tabla6[[#All],[PRODUCTO]],0),MATCH(Tabla4[[#This Row],[Mes]],Tabla6[#Headers],0)))*(1+Catalogos!$L$2)</f>
        <v>#N/A</v>
      </c>
      <c r="N3195" s="283" t="e">
        <f>+(Tabla4[[#This Row],[Precio Descontado]]-Tabla4[[#This Row],[Precio Base]])*Tabla4[[#This Row],[Cantidad]]</f>
        <v>#N/A</v>
      </c>
      <c r="O3195" s="284" t="e">
        <f>++Tabla4[[#This Row],[Utilidad Total]]/Tabla4[[#This Row],[Total]]</f>
        <v>#N/A</v>
      </c>
      <c r="P3195" s="282">
        <f>++Tabla4[[#This Row],[Precio Descontado]]*Tabla4[[#This Row],[Cantidad]]</f>
        <v>19713.016683999998</v>
      </c>
      <c r="Q3195" s="282" t="e">
        <f>(INDEX(Tabla6[#All],MATCH(Tabla4[[#This Row],[Producto]],Tabla6[[#All],[PRODUCTO]],0),MATCH(Tabla4[[#This Row],[Mes]],Tabla6[#Headers],0)))</f>
        <v>#N/A</v>
      </c>
      <c r="R3195" s="282" t="e">
        <f>++Tabla4[[#This Row],[Precio Unitario Neto]]-Tabla4[[#This Row],[20.85%]]-Tabla4[[#This Row],[Costo]]</f>
        <v>#N/A</v>
      </c>
      <c r="S3195" s="282" t="e">
        <f>++Tabla4[[#This Row],[U. Bruta Uni]]*Tabla4[[#This Row],[Cantidad]]</f>
        <v>#N/A</v>
      </c>
      <c r="T3195" s="369" t="str">
        <f>VLOOKUP(Tabla4[[#This Row],[Producto]],Tabla6[#All],14,FALSE)</f>
        <v>Termico Solar</v>
      </c>
      <c r="U3195" s="284" t="e">
        <f>(IF(Tabla4[[#This Row],[Familia]]="termico solar",Tabla4[[#This Row],[Utilidad Total]]*6%,Tabla4[[#This Row],[Utilidad Total]]*11.5%))/Tabla4[[#This Row],[Total]]</f>
        <v>#N/A</v>
      </c>
      <c r="V3195" s="282" t="e">
        <f>+Tabla4[[#This Row],[Comisión Calculada]]*Tabla4[[#This Row],[Total]]</f>
        <v>#N/A</v>
      </c>
    </row>
    <row r="3196" spans="1:22" hidden="1" x14ac:dyDescent="0.25">
      <c r="A3196" s="100">
        <v>45808</v>
      </c>
      <c r="B3196" t="str">
        <f t="shared" si="154"/>
        <v>May</v>
      </c>
      <c r="C3196" s="46" t="s">
        <v>280</v>
      </c>
      <c r="F3196" s="366" t="s">
        <v>1948</v>
      </c>
      <c r="G3196" s="46" t="s">
        <v>394</v>
      </c>
      <c r="H3196" s="46">
        <v>9</v>
      </c>
      <c r="I3196" s="51">
        <v>108.1</v>
      </c>
      <c r="J3196" s="281">
        <f>++Tabla4[[#This Row],[Precio Bruto]]*1.16</f>
        <v>125.39599999999999</v>
      </c>
      <c r="K3196" s="281">
        <f>+Tabla4[[#This Row],[Precio Unitario Neto]]*Tabla4[[#Headers],[20.85%]]</f>
        <v>26.145065999999996</v>
      </c>
      <c r="L3196" s="282">
        <f>++Tabla4[[#This Row],[Precio Unitario Neto]]-Tabla4[[#This Row],[20.85%]]</f>
        <v>99.250933999999987</v>
      </c>
      <c r="M3196" s="282" t="e">
        <f>(INDEX(Tabla6[#All],MATCH(Tabla4[[#This Row],[Producto]],Tabla6[[#All],[PRODUCTO]],0),MATCH(Tabla4[[#This Row],[Mes]],Tabla6[#Headers],0)))*(1+Catalogos!$L$2)</f>
        <v>#N/A</v>
      </c>
      <c r="N3196" s="283" t="e">
        <f>+(Tabla4[[#This Row],[Precio Descontado]]-Tabla4[[#This Row],[Precio Base]])*Tabla4[[#This Row],[Cantidad]]</f>
        <v>#N/A</v>
      </c>
      <c r="O3196" s="284" t="e">
        <f>++Tabla4[[#This Row],[Utilidad Total]]/Tabla4[[#This Row],[Total]]</f>
        <v>#N/A</v>
      </c>
      <c r="P3196" s="282">
        <f>++Tabla4[[#This Row],[Precio Descontado]]*Tabla4[[#This Row],[Cantidad]]</f>
        <v>893.25840599999992</v>
      </c>
      <c r="Q3196" s="282" t="e">
        <f>(INDEX(Tabla6[#All],MATCH(Tabla4[[#This Row],[Producto]],Tabla6[[#All],[PRODUCTO]],0),MATCH(Tabla4[[#This Row],[Mes]],Tabla6[#Headers],0)))</f>
        <v>#N/A</v>
      </c>
      <c r="R3196" s="282" t="e">
        <f>++Tabla4[[#This Row],[Precio Unitario Neto]]-Tabla4[[#This Row],[20.85%]]-Tabla4[[#This Row],[Costo]]</f>
        <v>#N/A</v>
      </c>
      <c r="S3196" s="282" t="e">
        <f>++Tabla4[[#This Row],[U. Bruta Uni]]*Tabla4[[#This Row],[Cantidad]]</f>
        <v>#N/A</v>
      </c>
      <c r="T3196" s="369" t="str">
        <f>VLOOKUP(Tabla4[[#This Row],[Producto]],Tabla6[#All],14,FALSE)</f>
        <v>Termico Solar</v>
      </c>
      <c r="U3196" s="284" t="e">
        <f>(IF(Tabla4[[#This Row],[Familia]]="termico solar",Tabla4[[#This Row],[Utilidad Total]]*6%,Tabla4[[#This Row],[Utilidad Total]]*11.5%))/Tabla4[[#This Row],[Total]]</f>
        <v>#N/A</v>
      </c>
      <c r="V3196" s="282" t="e">
        <f>+Tabla4[[#This Row],[Comisión Calculada]]*Tabla4[[#This Row],[Total]]</f>
        <v>#N/A</v>
      </c>
    </row>
    <row r="3197" spans="1:22" hidden="1" x14ac:dyDescent="0.25">
      <c r="A3197" s="100">
        <v>45808</v>
      </c>
      <c r="B3197" t="str">
        <f t="shared" si="154"/>
        <v>May</v>
      </c>
      <c r="C3197" s="46" t="s">
        <v>280</v>
      </c>
      <c r="F3197" s="366" t="s">
        <v>1948</v>
      </c>
      <c r="G3197" s="46" t="s">
        <v>208</v>
      </c>
      <c r="H3197" s="46">
        <v>1</v>
      </c>
      <c r="I3197" s="51">
        <v>189.75</v>
      </c>
      <c r="J3197" s="281">
        <f>++Tabla4[[#This Row],[Precio Bruto]]*1.16</f>
        <v>220.10999999999999</v>
      </c>
      <c r="K3197" s="281">
        <f>+Tabla4[[#This Row],[Precio Unitario Neto]]*Tabla4[[#Headers],[20.85%]]</f>
        <v>45.892934999999994</v>
      </c>
      <c r="L3197" s="282">
        <f>++Tabla4[[#This Row],[Precio Unitario Neto]]-Tabla4[[#This Row],[20.85%]]</f>
        <v>174.21706499999999</v>
      </c>
      <c r="M3197" s="282" t="e">
        <f>(INDEX(Tabla6[#All],MATCH(Tabla4[[#This Row],[Producto]],Tabla6[[#All],[PRODUCTO]],0),MATCH(Tabla4[[#This Row],[Mes]],Tabla6[#Headers],0)))*(1+Catalogos!$L$2)</f>
        <v>#N/A</v>
      </c>
      <c r="N3197" s="283" t="e">
        <f>+(Tabla4[[#This Row],[Precio Descontado]]-Tabla4[[#This Row],[Precio Base]])*Tabla4[[#This Row],[Cantidad]]</f>
        <v>#N/A</v>
      </c>
      <c r="O3197" s="284" t="e">
        <f>++Tabla4[[#This Row],[Utilidad Total]]/Tabla4[[#This Row],[Total]]</f>
        <v>#N/A</v>
      </c>
      <c r="P3197" s="282">
        <f>++Tabla4[[#This Row],[Precio Descontado]]*Tabla4[[#This Row],[Cantidad]]</f>
        <v>174.21706499999999</v>
      </c>
      <c r="Q3197" s="282" t="e">
        <f>(INDEX(Tabla6[#All],MATCH(Tabla4[[#This Row],[Producto]],Tabla6[[#All],[PRODUCTO]],0),MATCH(Tabla4[[#This Row],[Mes]],Tabla6[#Headers],0)))</f>
        <v>#N/A</v>
      </c>
      <c r="R3197" s="282" t="e">
        <f>++Tabla4[[#This Row],[Precio Unitario Neto]]-Tabla4[[#This Row],[20.85%]]-Tabla4[[#This Row],[Costo]]</f>
        <v>#N/A</v>
      </c>
      <c r="S3197" s="282" t="e">
        <f>++Tabla4[[#This Row],[U. Bruta Uni]]*Tabla4[[#This Row],[Cantidad]]</f>
        <v>#N/A</v>
      </c>
      <c r="T3197" s="369" t="str">
        <f>VLOOKUP(Tabla4[[#This Row],[Producto]],Tabla6[#All],14,FALSE)</f>
        <v>Termico Solar</v>
      </c>
      <c r="U3197" s="284" t="e">
        <f>(IF(Tabla4[[#This Row],[Familia]]="termico solar",Tabla4[[#This Row],[Utilidad Total]]*6%,Tabla4[[#This Row],[Utilidad Total]]*11.5%))/Tabla4[[#This Row],[Total]]</f>
        <v>#N/A</v>
      </c>
      <c r="V3197" s="282" t="e">
        <f>+Tabla4[[#This Row],[Comisión Calculada]]*Tabla4[[#This Row],[Total]]</f>
        <v>#N/A</v>
      </c>
    </row>
    <row r="3198" spans="1:22" hidden="1" x14ac:dyDescent="0.25">
      <c r="A3198" s="100">
        <v>45808</v>
      </c>
      <c r="B3198" t="str">
        <f t="shared" si="154"/>
        <v>May</v>
      </c>
      <c r="C3198" s="46" t="s">
        <v>280</v>
      </c>
      <c r="F3198" s="366" t="s">
        <v>1949</v>
      </c>
      <c r="G3198" s="46" t="s">
        <v>83</v>
      </c>
      <c r="H3198" s="46">
        <v>2</v>
      </c>
      <c r="I3198" s="51">
        <v>8858.76</v>
      </c>
      <c r="J3198" s="281">
        <f>++Tabla4[[#This Row],[Precio Bruto]]*1.16</f>
        <v>10276.161599999999</v>
      </c>
      <c r="K3198" s="281">
        <f>+Tabla4[[#This Row],[Precio Unitario Neto]]*Tabla4[[#Headers],[20.85%]]</f>
        <v>2142.5796935999997</v>
      </c>
      <c r="L3198" s="282">
        <f>++Tabla4[[#This Row],[Precio Unitario Neto]]-Tabla4[[#This Row],[20.85%]]</f>
        <v>8133.5819063999998</v>
      </c>
      <c r="M3198" s="282" t="e">
        <f>(INDEX(Tabla6[#All],MATCH(Tabla4[[#This Row],[Producto]],Tabla6[[#All],[PRODUCTO]],0),MATCH(Tabla4[[#This Row],[Mes]],Tabla6[#Headers],0)))*(1+Catalogos!$L$2)</f>
        <v>#N/A</v>
      </c>
      <c r="N3198" s="283" t="e">
        <f>+(Tabla4[[#This Row],[Precio Descontado]]-Tabla4[[#This Row],[Precio Base]])*Tabla4[[#This Row],[Cantidad]]</f>
        <v>#N/A</v>
      </c>
      <c r="O3198" s="284" t="e">
        <f>++Tabla4[[#This Row],[Utilidad Total]]/Tabla4[[#This Row],[Total]]</f>
        <v>#N/A</v>
      </c>
      <c r="P3198" s="282">
        <f>++Tabla4[[#This Row],[Precio Descontado]]*Tabla4[[#This Row],[Cantidad]]</f>
        <v>16267.1638128</v>
      </c>
      <c r="Q3198" s="282" t="e">
        <f>(INDEX(Tabla6[#All],MATCH(Tabla4[[#This Row],[Producto]],Tabla6[[#All],[PRODUCTO]],0),MATCH(Tabla4[[#This Row],[Mes]],Tabla6[#Headers],0)))</f>
        <v>#N/A</v>
      </c>
      <c r="R3198" s="282" t="e">
        <f>++Tabla4[[#This Row],[Precio Unitario Neto]]-Tabla4[[#This Row],[20.85%]]-Tabla4[[#This Row],[Costo]]</f>
        <v>#N/A</v>
      </c>
      <c r="S3198" s="282" t="e">
        <f>++Tabla4[[#This Row],[U. Bruta Uni]]*Tabla4[[#This Row],[Cantidad]]</f>
        <v>#N/A</v>
      </c>
      <c r="T3198" s="369" t="str">
        <f>VLOOKUP(Tabla4[[#This Row],[Producto]],Tabla6[#All],14,FALSE)</f>
        <v>Termico Solar</v>
      </c>
      <c r="U3198" s="284" t="e">
        <f>(IF(Tabla4[[#This Row],[Familia]]="termico solar",Tabla4[[#This Row],[Utilidad Total]]*6%,Tabla4[[#This Row],[Utilidad Total]]*11.5%))/Tabla4[[#This Row],[Total]]</f>
        <v>#N/A</v>
      </c>
      <c r="V3198" s="282" t="e">
        <f>+Tabla4[[#This Row],[Comisión Calculada]]*Tabla4[[#This Row],[Total]]</f>
        <v>#N/A</v>
      </c>
    </row>
    <row r="3199" spans="1:22" ht="17.25" hidden="1" customHeight="1" x14ac:dyDescent="0.25">
      <c r="A3199" s="100">
        <v>45808</v>
      </c>
      <c r="B3199" t="str">
        <f t="shared" si="154"/>
        <v>May</v>
      </c>
      <c r="C3199" s="46" t="s">
        <v>280</v>
      </c>
      <c r="F3199" s="366" t="s">
        <v>1949</v>
      </c>
      <c r="G3199" s="46" t="s">
        <v>18</v>
      </c>
      <c r="H3199" s="46">
        <v>1</v>
      </c>
      <c r="I3199" s="51">
        <v>5367.65</v>
      </c>
      <c r="J3199" s="281">
        <f>++Tabla4[[#This Row],[Precio Bruto]]*1.16</f>
        <v>6226.4739999999993</v>
      </c>
      <c r="K3199" s="281">
        <f>+Tabla4[[#This Row],[Precio Unitario Neto]]*Tabla4[[#Headers],[20.85%]]</f>
        <v>1298.2198289999999</v>
      </c>
      <c r="L3199" s="282">
        <f>++Tabla4[[#This Row],[Precio Unitario Neto]]-Tabla4[[#This Row],[20.85%]]</f>
        <v>4928.2541709999996</v>
      </c>
      <c r="M3199" s="282" t="e">
        <f>(INDEX(Tabla6[#All],MATCH(Tabla4[[#This Row],[Producto]],Tabla6[[#All],[PRODUCTO]],0),MATCH(Tabla4[[#This Row],[Mes]],Tabla6[#Headers],0)))*(1+Catalogos!$L$2)</f>
        <v>#N/A</v>
      </c>
      <c r="N3199" s="283" t="e">
        <f>+(Tabla4[[#This Row],[Precio Descontado]]-Tabla4[[#This Row],[Precio Base]])*Tabla4[[#This Row],[Cantidad]]</f>
        <v>#N/A</v>
      </c>
      <c r="O3199" s="284" t="e">
        <f>++Tabla4[[#This Row],[Utilidad Total]]/Tabla4[[#This Row],[Total]]</f>
        <v>#N/A</v>
      </c>
      <c r="P3199" s="282">
        <f>++Tabla4[[#This Row],[Precio Descontado]]*Tabla4[[#This Row],[Cantidad]]</f>
        <v>4928.2541709999996</v>
      </c>
      <c r="Q3199" s="282" t="e">
        <f>(INDEX(Tabla6[#All],MATCH(Tabla4[[#This Row],[Producto]],Tabla6[[#All],[PRODUCTO]],0),MATCH(Tabla4[[#This Row],[Mes]],Tabla6[#Headers],0)))</f>
        <v>#N/A</v>
      </c>
      <c r="R3199" s="282" t="e">
        <f>++Tabla4[[#This Row],[Precio Unitario Neto]]-Tabla4[[#This Row],[20.85%]]-Tabla4[[#This Row],[Costo]]</f>
        <v>#N/A</v>
      </c>
      <c r="S3199" s="282" t="e">
        <f>++Tabla4[[#This Row],[U. Bruta Uni]]*Tabla4[[#This Row],[Cantidad]]</f>
        <v>#N/A</v>
      </c>
      <c r="T3199" s="369" t="str">
        <f>VLOOKUP(Tabla4[[#This Row],[Producto]],Tabla6[#All],14,FALSE)</f>
        <v>Termico Solar</v>
      </c>
      <c r="U3199" s="284" t="e">
        <f>(IF(Tabla4[[#This Row],[Familia]]="termico solar",Tabla4[[#This Row],[Utilidad Total]]*6%,Tabla4[[#This Row],[Utilidad Total]]*11.5%))/Tabla4[[#This Row],[Total]]</f>
        <v>#N/A</v>
      </c>
      <c r="V3199" s="282" t="e">
        <f>+Tabla4[[#This Row],[Comisión Calculada]]*Tabla4[[#This Row],[Total]]</f>
        <v>#N/A</v>
      </c>
    </row>
    <row r="3200" spans="1:22" ht="17.25" hidden="1" customHeight="1" x14ac:dyDescent="0.25">
      <c r="A3200" s="100">
        <v>45808</v>
      </c>
      <c r="B3200" t="str">
        <f t="shared" si="154"/>
        <v>May</v>
      </c>
      <c r="C3200" s="46" t="s">
        <v>280</v>
      </c>
      <c r="F3200" s="366" t="s">
        <v>1950</v>
      </c>
      <c r="G3200" s="46" t="s">
        <v>83</v>
      </c>
      <c r="H3200" s="46">
        <v>9</v>
      </c>
      <c r="I3200" s="51">
        <v>8858.76</v>
      </c>
      <c r="J3200" s="281">
        <f>++Tabla4[[#This Row],[Precio Bruto]]*1.16</f>
        <v>10276.161599999999</v>
      </c>
      <c r="K3200" s="281">
        <f>+Tabla4[[#This Row],[Precio Unitario Neto]]*Tabla4[[#Headers],[20.85%]]</f>
        <v>2142.5796935999997</v>
      </c>
      <c r="L3200" s="282">
        <f>++Tabla4[[#This Row],[Precio Unitario Neto]]-Tabla4[[#This Row],[20.85%]]</f>
        <v>8133.5819063999998</v>
      </c>
      <c r="M3200" s="282" t="e">
        <f>(INDEX(Tabla6[#All],MATCH(Tabla4[[#This Row],[Producto]],Tabla6[[#All],[PRODUCTO]],0),MATCH(Tabla4[[#This Row],[Mes]],Tabla6[#Headers],0)))*(1+Catalogos!$L$2)</f>
        <v>#N/A</v>
      </c>
      <c r="N3200" s="283" t="e">
        <f>+(Tabla4[[#This Row],[Precio Descontado]]-Tabla4[[#This Row],[Precio Base]])*Tabla4[[#This Row],[Cantidad]]</f>
        <v>#N/A</v>
      </c>
      <c r="O3200" s="284" t="e">
        <f>++Tabla4[[#This Row],[Utilidad Total]]/Tabla4[[#This Row],[Total]]</f>
        <v>#N/A</v>
      </c>
      <c r="P3200" s="282">
        <f>++Tabla4[[#This Row],[Precio Descontado]]*Tabla4[[#This Row],[Cantidad]]</f>
        <v>73202.237157600001</v>
      </c>
      <c r="Q3200" s="282" t="e">
        <f>(INDEX(Tabla6[#All],MATCH(Tabla4[[#This Row],[Producto]],Tabla6[[#All],[PRODUCTO]],0),MATCH(Tabla4[[#This Row],[Mes]],Tabla6[#Headers],0)))</f>
        <v>#N/A</v>
      </c>
      <c r="R3200" s="282" t="e">
        <f>++Tabla4[[#This Row],[Precio Unitario Neto]]-Tabla4[[#This Row],[20.85%]]-Tabla4[[#This Row],[Costo]]</f>
        <v>#N/A</v>
      </c>
      <c r="S3200" s="282" t="e">
        <f>++Tabla4[[#This Row],[U. Bruta Uni]]*Tabla4[[#This Row],[Cantidad]]</f>
        <v>#N/A</v>
      </c>
      <c r="T3200" s="369" t="str">
        <f>VLOOKUP(Tabla4[[#This Row],[Producto]],Tabla6[#All],14,FALSE)</f>
        <v>Termico Solar</v>
      </c>
      <c r="U3200" s="284" t="e">
        <f>(IF(Tabla4[[#This Row],[Familia]]="termico solar",Tabla4[[#This Row],[Utilidad Total]]*6%,Tabla4[[#This Row],[Utilidad Total]]*11.5%))/Tabla4[[#This Row],[Total]]</f>
        <v>#N/A</v>
      </c>
      <c r="V3200" s="282" t="e">
        <f>+Tabla4[[#This Row],[Comisión Calculada]]*Tabla4[[#This Row],[Total]]</f>
        <v>#N/A</v>
      </c>
    </row>
    <row r="3201" spans="1:22" ht="17.25" hidden="1" customHeight="1" x14ac:dyDescent="0.25">
      <c r="A3201" s="100">
        <v>45808</v>
      </c>
      <c r="B3201" t="str">
        <f t="shared" si="154"/>
        <v>May</v>
      </c>
      <c r="C3201" s="46" t="s">
        <v>280</v>
      </c>
      <c r="F3201" s="366" t="s">
        <v>1950</v>
      </c>
      <c r="G3201" s="46" t="s">
        <v>18</v>
      </c>
      <c r="H3201" s="46">
        <v>15</v>
      </c>
      <c r="I3201" s="51">
        <v>5367.65</v>
      </c>
      <c r="J3201" s="281">
        <f>++Tabla4[[#This Row],[Precio Bruto]]*1.16</f>
        <v>6226.4739999999993</v>
      </c>
      <c r="K3201" s="281">
        <f>+Tabla4[[#This Row],[Precio Unitario Neto]]*Tabla4[[#Headers],[20.85%]]</f>
        <v>1298.2198289999999</v>
      </c>
      <c r="L3201" s="282">
        <f>++Tabla4[[#This Row],[Precio Unitario Neto]]-Tabla4[[#This Row],[20.85%]]</f>
        <v>4928.2541709999996</v>
      </c>
      <c r="M3201" s="282" t="e">
        <f>(INDEX(Tabla6[#All],MATCH(Tabla4[[#This Row],[Producto]],Tabla6[[#All],[PRODUCTO]],0),MATCH(Tabla4[[#This Row],[Mes]],Tabla6[#Headers],0)))*(1+Catalogos!$L$2)</f>
        <v>#N/A</v>
      </c>
      <c r="N3201" s="283" t="e">
        <f>+(Tabla4[[#This Row],[Precio Descontado]]-Tabla4[[#This Row],[Precio Base]])*Tabla4[[#This Row],[Cantidad]]</f>
        <v>#N/A</v>
      </c>
      <c r="O3201" s="284" t="e">
        <f>++Tabla4[[#This Row],[Utilidad Total]]/Tabla4[[#This Row],[Total]]</f>
        <v>#N/A</v>
      </c>
      <c r="P3201" s="282">
        <f>++Tabla4[[#This Row],[Precio Descontado]]*Tabla4[[#This Row],[Cantidad]]</f>
        <v>73923.812565</v>
      </c>
      <c r="Q3201" s="282" t="e">
        <f>(INDEX(Tabla6[#All],MATCH(Tabla4[[#This Row],[Producto]],Tabla6[[#All],[PRODUCTO]],0),MATCH(Tabla4[[#This Row],[Mes]],Tabla6[#Headers],0)))</f>
        <v>#N/A</v>
      </c>
      <c r="R3201" s="282" t="e">
        <f>++Tabla4[[#This Row],[Precio Unitario Neto]]-Tabla4[[#This Row],[20.85%]]-Tabla4[[#This Row],[Costo]]</f>
        <v>#N/A</v>
      </c>
      <c r="S3201" s="282" t="e">
        <f>++Tabla4[[#This Row],[U. Bruta Uni]]*Tabla4[[#This Row],[Cantidad]]</f>
        <v>#N/A</v>
      </c>
      <c r="T3201" s="369" t="str">
        <f>VLOOKUP(Tabla4[[#This Row],[Producto]],Tabla6[#All],14,FALSE)</f>
        <v>Termico Solar</v>
      </c>
      <c r="U3201" s="284" t="e">
        <f>(IF(Tabla4[[#This Row],[Familia]]="termico solar",Tabla4[[#This Row],[Utilidad Total]]*6%,Tabla4[[#This Row],[Utilidad Total]]*11.5%))/Tabla4[[#This Row],[Total]]</f>
        <v>#N/A</v>
      </c>
      <c r="V3201" s="282" t="e">
        <f>+Tabla4[[#This Row],[Comisión Calculada]]*Tabla4[[#This Row],[Total]]</f>
        <v>#N/A</v>
      </c>
    </row>
    <row r="3202" spans="1:22" ht="17.25" hidden="1" customHeight="1" x14ac:dyDescent="0.25">
      <c r="A3202" s="100">
        <v>45808</v>
      </c>
      <c r="B3202" t="str">
        <f t="shared" si="154"/>
        <v>May</v>
      </c>
      <c r="C3202" s="46" t="s">
        <v>280</v>
      </c>
      <c r="F3202" s="366" t="s">
        <v>1950</v>
      </c>
      <c r="G3202" s="46" t="s">
        <v>16</v>
      </c>
      <c r="H3202" s="46">
        <v>9</v>
      </c>
      <c r="I3202" s="51">
        <v>4103.8500000000004</v>
      </c>
      <c r="J3202" s="281">
        <f>++Tabla4[[#This Row],[Precio Bruto]]*1.16</f>
        <v>4760.4660000000003</v>
      </c>
      <c r="K3202" s="281">
        <f>+Tabla4[[#This Row],[Precio Unitario Neto]]*Tabla4[[#Headers],[20.85%]]</f>
        <v>992.55716100000006</v>
      </c>
      <c r="L3202" s="282">
        <f>++Tabla4[[#This Row],[Precio Unitario Neto]]-Tabla4[[#This Row],[20.85%]]</f>
        <v>3767.9088390000002</v>
      </c>
      <c r="M3202" s="282" t="e">
        <f>(INDEX(Tabla6[#All],MATCH(Tabla4[[#This Row],[Producto]],Tabla6[[#All],[PRODUCTO]],0),MATCH(Tabla4[[#This Row],[Mes]],Tabla6[#Headers],0)))*(1+Catalogos!$L$2)</f>
        <v>#N/A</v>
      </c>
      <c r="N3202" s="283" t="e">
        <f>+(Tabla4[[#This Row],[Precio Descontado]]-Tabla4[[#This Row],[Precio Base]])*Tabla4[[#This Row],[Cantidad]]</f>
        <v>#N/A</v>
      </c>
      <c r="O3202" s="284" t="e">
        <f>++Tabla4[[#This Row],[Utilidad Total]]/Tabla4[[#This Row],[Total]]</f>
        <v>#N/A</v>
      </c>
      <c r="P3202" s="282">
        <f>++Tabla4[[#This Row],[Precio Descontado]]*Tabla4[[#This Row],[Cantidad]]</f>
        <v>33911.179551000001</v>
      </c>
      <c r="Q3202" s="282" t="e">
        <f>(INDEX(Tabla6[#All],MATCH(Tabla4[[#This Row],[Producto]],Tabla6[[#All],[PRODUCTO]],0),MATCH(Tabla4[[#This Row],[Mes]],Tabla6[#Headers],0)))</f>
        <v>#N/A</v>
      </c>
      <c r="R3202" s="282" t="e">
        <f>++Tabla4[[#This Row],[Precio Unitario Neto]]-Tabla4[[#This Row],[20.85%]]-Tabla4[[#This Row],[Costo]]</f>
        <v>#N/A</v>
      </c>
      <c r="S3202" s="282" t="e">
        <f>++Tabla4[[#This Row],[U. Bruta Uni]]*Tabla4[[#This Row],[Cantidad]]</f>
        <v>#N/A</v>
      </c>
      <c r="T3202" s="369" t="str">
        <f>VLOOKUP(Tabla4[[#This Row],[Producto]],Tabla6[#All],14,FALSE)</f>
        <v>Termico Solar</v>
      </c>
      <c r="U3202" s="284" t="e">
        <f>(IF(Tabla4[[#This Row],[Familia]]="termico solar",Tabla4[[#This Row],[Utilidad Total]]*6%,Tabla4[[#This Row],[Utilidad Total]]*11.5%))/Tabla4[[#This Row],[Total]]</f>
        <v>#N/A</v>
      </c>
      <c r="V3202" s="282" t="e">
        <f>+Tabla4[[#This Row],[Comisión Calculada]]*Tabla4[[#This Row],[Total]]</f>
        <v>#N/A</v>
      </c>
    </row>
    <row r="3203" spans="1:22" hidden="1" x14ac:dyDescent="0.25">
      <c r="A3203" s="100">
        <v>45808</v>
      </c>
      <c r="B3203" t="str">
        <f t="shared" si="154"/>
        <v>May</v>
      </c>
      <c r="C3203" s="46" t="s">
        <v>280</v>
      </c>
      <c r="F3203" s="366" t="s">
        <v>1951</v>
      </c>
      <c r="G3203" s="46" t="s">
        <v>17</v>
      </c>
      <c r="H3203" s="46">
        <v>1</v>
      </c>
      <c r="I3203" s="51">
        <v>4622.28</v>
      </c>
      <c r="J3203" s="281">
        <f>++Tabla4[[#This Row],[Precio Bruto]]*1.16</f>
        <v>5361.8447999999989</v>
      </c>
      <c r="K3203" s="281">
        <f>+Tabla4[[#This Row],[Precio Unitario Neto]]*Tabla4[[#Headers],[20.85%]]</f>
        <v>1117.9446407999997</v>
      </c>
      <c r="L3203" s="282">
        <f>++Tabla4[[#This Row],[Precio Unitario Neto]]-Tabla4[[#This Row],[20.85%]]</f>
        <v>4243.9001591999995</v>
      </c>
      <c r="M3203" s="282" t="e">
        <f>(INDEX(Tabla6[#All],MATCH(Tabla4[[#This Row],[Producto]],Tabla6[[#All],[PRODUCTO]],0),MATCH(Tabla4[[#This Row],[Mes]],Tabla6[#Headers],0)))*(1+Catalogos!$L$2)</f>
        <v>#N/A</v>
      </c>
      <c r="N3203" s="283" t="e">
        <f>+(Tabla4[[#This Row],[Precio Descontado]]-Tabla4[[#This Row],[Precio Base]])*Tabla4[[#This Row],[Cantidad]]</f>
        <v>#N/A</v>
      </c>
      <c r="O3203" s="284" t="e">
        <f>++Tabla4[[#This Row],[Utilidad Total]]/Tabla4[[#This Row],[Total]]</f>
        <v>#N/A</v>
      </c>
      <c r="P3203" s="282">
        <f>++Tabla4[[#This Row],[Precio Descontado]]*Tabla4[[#This Row],[Cantidad]]</f>
        <v>4243.9001591999995</v>
      </c>
      <c r="Q3203" s="282" t="e">
        <f>(INDEX(Tabla6[#All],MATCH(Tabla4[[#This Row],[Producto]],Tabla6[[#All],[PRODUCTO]],0),MATCH(Tabla4[[#This Row],[Mes]],Tabla6[#Headers],0)))</f>
        <v>#N/A</v>
      </c>
      <c r="R3203" s="282" t="e">
        <f>++Tabla4[[#This Row],[Precio Unitario Neto]]-Tabla4[[#This Row],[20.85%]]-Tabla4[[#This Row],[Costo]]</f>
        <v>#N/A</v>
      </c>
      <c r="S3203" s="282" t="e">
        <f>++Tabla4[[#This Row],[U. Bruta Uni]]*Tabla4[[#This Row],[Cantidad]]</f>
        <v>#N/A</v>
      </c>
      <c r="T3203" s="369" t="str">
        <f>VLOOKUP(Tabla4[[#This Row],[Producto]],Tabla6[#All],14,FALSE)</f>
        <v>Termico Solar</v>
      </c>
      <c r="U3203" s="284" t="e">
        <f>(IF(Tabla4[[#This Row],[Familia]]="termico solar",Tabla4[[#This Row],[Utilidad Total]]*6%,Tabla4[[#This Row],[Utilidad Total]]*11.5%))/Tabla4[[#This Row],[Total]]</f>
        <v>#N/A</v>
      </c>
      <c r="V3203" s="282" t="e">
        <f>+Tabla4[[#This Row],[Comisión Calculada]]*Tabla4[[#This Row],[Total]]</f>
        <v>#N/A</v>
      </c>
    </row>
    <row r="3204" spans="1:22" hidden="1" x14ac:dyDescent="0.25">
      <c r="A3204" s="100">
        <v>45808</v>
      </c>
      <c r="B3204" t="str">
        <f t="shared" si="154"/>
        <v>May</v>
      </c>
      <c r="C3204" s="46" t="s">
        <v>280</v>
      </c>
      <c r="F3204" s="366" t="s">
        <v>1951</v>
      </c>
      <c r="G3204" s="46" t="s">
        <v>18</v>
      </c>
      <c r="H3204" s="46">
        <v>1</v>
      </c>
      <c r="I3204" s="51">
        <v>5367.65</v>
      </c>
      <c r="J3204" s="281">
        <f>++Tabla4[[#This Row],[Precio Bruto]]*1.16</f>
        <v>6226.4739999999993</v>
      </c>
      <c r="K3204" s="281">
        <f>+Tabla4[[#This Row],[Precio Unitario Neto]]*Tabla4[[#Headers],[20.85%]]</f>
        <v>1298.2198289999999</v>
      </c>
      <c r="L3204" s="282">
        <f>++Tabla4[[#This Row],[Precio Unitario Neto]]-Tabla4[[#This Row],[20.85%]]</f>
        <v>4928.2541709999996</v>
      </c>
      <c r="M3204" s="282" t="e">
        <f>(INDEX(Tabla6[#All],MATCH(Tabla4[[#This Row],[Producto]],Tabla6[[#All],[PRODUCTO]],0),MATCH(Tabla4[[#This Row],[Mes]],Tabla6[#Headers],0)))*(1+Catalogos!$L$2)</f>
        <v>#N/A</v>
      </c>
      <c r="N3204" s="283" t="e">
        <f>+(Tabla4[[#This Row],[Precio Descontado]]-Tabla4[[#This Row],[Precio Base]])*Tabla4[[#This Row],[Cantidad]]</f>
        <v>#N/A</v>
      </c>
      <c r="O3204" s="284" t="e">
        <f>++Tabla4[[#This Row],[Utilidad Total]]/Tabla4[[#This Row],[Total]]</f>
        <v>#N/A</v>
      </c>
      <c r="P3204" s="282">
        <f>++Tabla4[[#This Row],[Precio Descontado]]*Tabla4[[#This Row],[Cantidad]]</f>
        <v>4928.2541709999996</v>
      </c>
      <c r="Q3204" s="282" t="e">
        <f>(INDEX(Tabla6[#All],MATCH(Tabla4[[#This Row],[Producto]],Tabla6[[#All],[PRODUCTO]],0),MATCH(Tabla4[[#This Row],[Mes]],Tabla6[#Headers],0)))</f>
        <v>#N/A</v>
      </c>
      <c r="R3204" s="282" t="e">
        <f>++Tabla4[[#This Row],[Precio Unitario Neto]]-Tabla4[[#This Row],[20.85%]]-Tabla4[[#This Row],[Costo]]</f>
        <v>#N/A</v>
      </c>
      <c r="S3204" s="282" t="e">
        <f>++Tabla4[[#This Row],[U. Bruta Uni]]*Tabla4[[#This Row],[Cantidad]]</f>
        <v>#N/A</v>
      </c>
      <c r="T3204" s="369" t="str">
        <f>VLOOKUP(Tabla4[[#This Row],[Producto]],Tabla6[#All],14,FALSE)</f>
        <v>Termico Solar</v>
      </c>
      <c r="U3204" s="284" t="e">
        <f>(IF(Tabla4[[#This Row],[Familia]]="termico solar",Tabla4[[#This Row],[Utilidad Total]]*6%,Tabla4[[#This Row],[Utilidad Total]]*11.5%))/Tabla4[[#This Row],[Total]]</f>
        <v>#N/A</v>
      </c>
      <c r="V3204" s="282" t="e">
        <f>+Tabla4[[#This Row],[Comisión Calculada]]*Tabla4[[#This Row],[Total]]</f>
        <v>#N/A</v>
      </c>
    </row>
    <row r="3205" spans="1:22" hidden="1" x14ac:dyDescent="0.25">
      <c r="A3205" s="100">
        <v>45808</v>
      </c>
      <c r="B3205" t="str">
        <f t="shared" si="154"/>
        <v>May</v>
      </c>
      <c r="C3205" s="46" t="s">
        <v>280</v>
      </c>
      <c r="F3205" s="366" t="s">
        <v>1952</v>
      </c>
      <c r="G3205" s="46" t="s">
        <v>83</v>
      </c>
      <c r="H3205" s="46">
        <v>2</v>
      </c>
      <c r="I3205" s="51">
        <v>8858.76</v>
      </c>
      <c r="J3205" s="281">
        <f>++Tabla4[[#This Row],[Precio Bruto]]*1.16</f>
        <v>10276.161599999999</v>
      </c>
      <c r="K3205" s="281">
        <f>+Tabla4[[#This Row],[Precio Unitario Neto]]*Tabla4[[#Headers],[20.85%]]</f>
        <v>2142.5796935999997</v>
      </c>
      <c r="L3205" s="282">
        <f>++Tabla4[[#This Row],[Precio Unitario Neto]]-Tabla4[[#This Row],[20.85%]]</f>
        <v>8133.5819063999998</v>
      </c>
      <c r="M3205" s="282" t="e">
        <f>(INDEX(Tabla6[#All],MATCH(Tabla4[[#This Row],[Producto]],Tabla6[[#All],[PRODUCTO]],0),MATCH(Tabla4[[#This Row],[Mes]],Tabla6[#Headers],0)))*(1+Catalogos!$L$2)</f>
        <v>#N/A</v>
      </c>
      <c r="N3205" s="283" t="e">
        <f>+(Tabla4[[#This Row],[Precio Descontado]]-Tabla4[[#This Row],[Precio Base]])*Tabla4[[#This Row],[Cantidad]]</f>
        <v>#N/A</v>
      </c>
      <c r="O3205" s="284" t="e">
        <f>++Tabla4[[#This Row],[Utilidad Total]]/Tabla4[[#This Row],[Total]]</f>
        <v>#N/A</v>
      </c>
      <c r="P3205" s="282">
        <f>++Tabla4[[#This Row],[Precio Descontado]]*Tabla4[[#This Row],[Cantidad]]</f>
        <v>16267.1638128</v>
      </c>
      <c r="Q3205" s="282" t="e">
        <f>(INDEX(Tabla6[#All],MATCH(Tabla4[[#This Row],[Producto]],Tabla6[[#All],[PRODUCTO]],0),MATCH(Tabla4[[#This Row],[Mes]],Tabla6[#Headers],0)))</f>
        <v>#N/A</v>
      </c>
      <c r="R3205" s="282" t="e">
        <f>++Tabla4[[#This Row],[Precio Unitario Neto]]-Tabla4[[#This Row],[20.85%]]-Tabla4[[#This Row],[Costo]]</f>
        <v>#N/A</v>
      </c>
      <c r="S3205" s="282" t="e">
        <f>++Tabla4[[#This Row],[U. Bruta Uni]]*Tabla4[[#This Row],[Cantidad]]</f>
        <v>#N/A</v>
      </c>
      <c r="T3205" s="369" t="str">
        <f>VLOOKUP(Tabla4[[#This Row],[Producto]],Tabla6[#All],14,FALSE)</f>
        <v>Termico Solar</v>
      </c>
      <c r="U3205" s="284" t="e">
        <f>(IF(Tabla4[[#This Row],[Familia]]="termico solar",Tabla4[[#This Row],[Utilidad Total]]*6%,Tabla4[[#This Row],[Utilidad Total]]*11.5%))/Tabla4[[#This Row],[Total]]</f>
        <v>#N/A</v>
      </c>
      <c r="V3205" s="282" t="e">
        <f>+Tabla4[[#This Row],[Comisión Calculada]]*Tabla4[[#This Row],[Total]]</f>
        <v>#N/A</v>
      </c>
    </row>
    <row r="3206" spans="1:22" hidden="1" x14ac:dyDescent="0.25">
      <c r="A3206" s="100">
        <v>45808</v>
      </c>
      <c r="B3206" t="str">
        <f t="shared" si="154"/>
        <v>May</v>
      </c>
      <c r="C3206" s="46" t="s">
        <v>280</v>
      </c>
      <c r="F3206" s="366" t="s">
        <v>1952</v>
      </c>
      <c r="G3206" s="46" t="s">
        <v>19</v>
      </c>
      <c r="H3206" s="46">
        <v>1</v>
      </c>
      <c r="I3206" s="51">
        <v>6412.03</v>
      </c>
      <c r="J3206" s="281">
        <f>++Tabla4[[#This Row],[Precio Bruto]]*1.16</f>
        <v>7437.9547999999995</v>
      </c>
      <c r="K3206" s="281">
        <f>+Tabla4[[#This Row],[Precio Unitario Neto]]*Tabla4[[#Headers],[20.85%]]</f>
        <v>1550.8135757999999</v>
      </c>
      <c r="L3206" s="282">
        <f>++Tabla4[[#This Row],[Precio Unitario Neto]]-Tabla4[[#This Row],[20.85%]]</f>
        <v>5887.1412241999997</v>
      </c>
      <c r="M3206" s="282" t="e">
        <f>(INDEX(Tabla6[#All],MATCH(Tabla4[[#This Row],[Producto]],Tabla6[[#All],[PRODUCTO]],0),MATCH(Tabla4[[#This Row],[Mes]],Tabla6[#Headers],0)))*(1+Catalogos!$L$2)</f>
        <v>#N/A</v>
      </c>
      <c r="N3206" s="283" t="e">
        <f>+(Tabla4[[#This Row],[Precio Descontado]]-Tabla4[[#This Row],[Precio Base]])*Tabla4[[#This Row],[Cantidad]]</f>
        <v>#N/A</v>
      </c>
      <c r="O3206" s="284" t="e">
        <f>++Tabla4[[#This Row],[Utilidad Total]]/Tabla4[[#This Row],[Total]]</f>
        <v>#N/A</v>
      </c>
      <c r="P3206" s="282">
        <f>++Tabla4[[#This Row],[Precio Descontado]]*Tabla4[[#This Row],[Cantidad]]</f>
        <v>5887.1412241999997</v>
      </c>
      <c r="Q3206" s="282" t="e">
        <f>(INDEX(Tabla6[#All],MATCH(Tabla4[[#This Row],[Producto]],Tabla6[[#All],[PRODUCTO]],0),MATCH(Tabla4[[#This Row],[Mes]],Tabla6[#Headers],0)))</f>
        <v>#N/A</v>
      </c>
      <c r="R3206" s="282" t="e">
        <f>++Tabla4[[#This Row],[Precio Unitario Neto]]-Tabla4[[#This Row],[20.85%]]-Tabla4[[#This Row],[Costo]]</f>
        <v>#N/A</v>
      </c>
      <c r="S3206" s="282" t="e">
        <f>++Tabla4[[#This Row],[U. Bruta Uni]]*Tabla4[[#This Row],[Cantidad]]</f>
        <v>#N/A</v>
      </c>
      <c r="T3206" s="369" t="str">
        <f>VLOOKUP(Tabla4[[#This Row],[Producto]],Tabla6[#All],14,FALSE)</f>
        <v>Termico Solar</v>
      </c>
      <c r="U3206" s="284" t="e">
        <f>(IF(Tabla4[[#This Row],[Familia]]="termico solar",Tabla4[[#This Row],[Utilidad Total]]*6%,Tabla4[[#This Row],[Utilidad Total]]*11.5%))/Tabla4[[#This Row],[Total]]</f>
        <v>#N/A</v>
      </c>
      <c r="V3206" s="282" t="e">
        <f>+Tabla4[[#This Row],[Comisión Calculada]]*Tabla4[[#This Row],[Total]]</f>
        <v>#N/A</v>
      </c>
    </row>
    <row r="3207" spans="1:22" hidden="1" x14ac:dyDescent="0.25">
      <c r="A3207" s="100">
        <v>45808</v>
      </c>
      <c r="B3207" t="str">
        <f t="shared" si="154"/>
        <v>May</v>
      </c>
      <c r="C3207" s="46" t="s">
        <v>280</v>
      </c>
      <c r="F3207" s="366" t="s">
        <v>1952</v>
      </c>
      <c r="G3207" s="46" t="s">
        <v>209</v>
      </c>
      <c r="H3207" s="46">
        <v>3</v>
      </c>
      <c r="I3207" s="51">
        <v>347.48</v>
      </c>
      <c r="J3207" s="281">
        <f>++Tabla4[[#This Row],[Precio Bruto]]*1.16</f>
        <v>403.07679999999999</v>
      </c>
      <c r="K3207" s="281">
        <f>+Tabla4[[#This Row],[Precio Unitario Neto]]*Tabla4[[#Headers],[20.85%]]</f>
        <v>84.041512799999992</v>
      </c>
      <c r="L3207" s="282">
        <f>++Tabla4[[#This Row],[Precio Unitario Neto]]-Tabla4[[#This Row],[20.85%]]</f>
        <v>319.03528719999997</v>
      </c>
      <c r="M3207" s="282" t="e">
        <f>(INDEX(Tabla6[#All],MATCH(Tabla4[[#This Row],[Producto]],Tabla6[[#All],[PRODUCTO]],0),MATCH(Tabla4[[#This Row],[Mes]],Tabla6[#Headers],0)))*(1+Catalogos!$L$2)</f>
        <v>#N/A</v>
      </c>
      <c r="N3207" s="283" t="e">
        <f>+(Tabla4[[#This Row],[Precio Descontado]]-Tabla4[[#This Row],[Precio Base]])*Tabla4[[#This Row],[Cantidad]]</f>
        <v>#N/A</v>
      </c>
      <c r="O3207" s="284" t="e">
        <f>++Tabla4[[#This Row],[Utilidad Total]]/Tabla4[[#This Row],[Total]]</f>
        <v>#N/A</v>
      </c>
      <c r="P3207" s="282">
        <f>++Tabla4[[#This Row],[Precio Descontado]]*Tabla4[[#This Row],[Cantidad]]</f>
        <v>957.10586159999991</v>
      </c>
      <c r="Q3207" s="282" t="e">
        <f>(INDEX(Tabla6[#All],MATCH(Tabla4[[#This Row],[Producto]],Tabla6[[#All],[PRODUCTO]],0),MATCH(Tabla4[[#This Row],[Mes]],Tabla6[#Headers],0)))</f>
        <v>#N/A</v>
      </c>
      <c r="R3207" s="282" t="e">
        <f>++Tabla4[[#This Row],[Precio Unitario Neto]]-Tabla4[[#This Row],[20.85%]]-Tabla4[[#This Row],[Costo]]</f>
        <v>#N/A</v>
      </c>
      <c r="S3207" s="282" t="e">
        <f>++Tabla4[[#This Row],[U. Bruta Uni]]*Tabla4[[#This Row],[Cantidad]]</f>
        <v>#N/A</v>
      </c>
      <c r="T3207" s="369" t="str">
        <f>VLOOKUP(Tabla4[[#This Row],[Producto]],Tabla6[#All],14,FALSE)</f>
        <v>Termico Solar</v>
      </c>
      <c r="U3207" s="284" t="e">
        <f>(IF(Tabla4[[#This Row],[Familia]]="termico solar",Tabla4[[#This Row],[Utilidad Total]]*6%,Tabla4[[#This Row],[Utilidad Total]]*11.5%))/Tabla4[[#This Row],[Total]]</f>
        <v>#N/A</v>
      </c>
      <c r="V3207" s="282" t="e">
        <f>+Tabla4[[#This Row],[Comisión Calculada]]*Tabla4[[#This Row],[Total]]</f>
        <v>#N/A</v>
      </c>
    </row>
    <row r="3208" spans="1:22" hidden="1" x14ac:dyDescent="0.25">
      <c r="A3208" s="100">
        <v>45808</v>
      </c>
      <c r="B3208" t="str">
        <f t="shared" si="154"/>
        <v>May</v>
      </c>
      <c r="C3208" s="46" t="s">
        <v>280</v>
      </c>
      <c r="F3208" s="366" t="s">
        <v>1953</v>
      </c>
      <c r="G3208" s="46" t="s">
        <v>83</v>
      </c>
      <c r="H3208" s="46">
        <v>1</v>
      </c>
      <c r="I3208" s="51">
        <v>8858.76</v>
      </c>
      <c r="J3208" s="281">
        <f>++Tabla4[[#This Row],[Precio Bruto]]*1.16</f>
        <v>10276.161599999999</v>
      </c>
      <c r="K3208" s="281">
        <f>+Tabla4[[#This Row],[Precio Unitario Neto]]*Tabla4[[#Headers],[20.85%]]</f>
        <v>2142.5796935999997</v>
      </c>
      <c r="L3208" s="282">
        <f>++Tabla4[[#This Row],[Precio Unitario Neto]]-Tabla4[[#This Row],[20.85%]]</f>
        <v>8133.5819063999998</v>
      </c>
      <c r="M3208" s="282" t="e">
        <f>(INDEX(Tabla6[#All],MATCH(Tabla4[[#This Row],[Producto]],Tabla6[[#All],[PRODUCTO]],0),MATCH(Tabla4[[#This Row],[Mes]],Tabla6[#Headers],0)))*(1+Catalogos!$L$2)</f>
        <v>#N/A</v>
      </c>
      <c r="N3208" s="283" t="e">
        <f>+(Tabla4[[#This Row],[Precio Descontado]]-Tabla4[[#This Row],[Precio Base]])*Tabla4[[#This Row],[Cantidad]]</f>
        <v>#N/A</v>
      </c>
      <c r="O3208" s="284" t="e">
        <f>++Tabla4[[#This Row],[Utilidad Total]]/Tabla4[[#This Row],[Total]]</f>
        <v>#N/A</v>
      </c>
      <c r="P3208" s="282">
        <f>++Tabla4[[#This Row],[Precio Descontado]]*Tabla4[[#This Row],[Cantidad]]</f>
        <v>8133.5819063999998</v>
      </c>
      <c r="Q3208" s="282" t="e">
        <f>(INDEX(Tabla6[#All],MATCH(Tabla4[[#This Row],[Producto]],Tabla6[[#All],[PRODUCTO]],0),MATCH(Tabla4[[#This Row],[Mes]],Tabla6[#Headers],0)))</f>
        <v>#N/A</v>
      </c>
      <c r="R3208" s="282" t="e">
        <f>++Tabla4[[#This Row],[Precio Unitario Neto]]-Tabla4[[#This Row],[20.85%]]-Tabla4[[#This Row],[Costo]]</f>
        <v>#N/A</v>
      </c>
      <c r="S3208" s="282" t="e">
        <f>++Tabla4[[#This Row],[U. Bruta Uni]]*Tabla4[[#This Row],[Cantidad]]</f>
        <v>#N/A</v>
      </c>
      <c r="T3208" s="369" t="str">
        <f>VLOOKUP(Tabla4[[#This Row],[Producto]],Tabla6[#All],14,FALSE)</f>
        <v>Termico Solar</v>
      </c>
      <c r="U3208" s="284" t="e">
        <f>(IF(Tabla4[[#This Row],[Familia]]="termico solar",Tabla4[[#This Row],[Utilidad Total]]*6%,Tabla4[[#This Row],[Utilidad Total]]*11.5%))/Tabla4[[#This Row],[Total]]</f>
        <v>#N/A</v>
      </c>
      <c r="V3208" s="282" t="e">
        <f>+Tabla4[[#This Row],[Comisión Calculada]]*Tabla4[[#This Row],[Total]]</f>
        <v>#N/A</v>
      </c>
    </row>
    <row r="3209" spans="1:22" hidden="1" x14ac:dyDescent="0.25">
      <c r="A3209" s="100">
        <v>45808</v>
      </c>
      <c r="B3209" t="str">
        <f t="shared" si="154"/>
        <v>May</v>
      </c>
      <c r="C3209" s="46" t="s">
        <v>280</v>
      </c>
      <c r="F3209" s="366" t="s">
        <v>1953</v>
      </c>
      <c r="G3209" s="46" t="s">
        <v>17</v>
      </c>
      <c r="H3209" s="46">
        <v>1</v>
      </c>
      <c r="I3209" s="51">
        <v>4622.28</v>
      </c>
      <c r="J3209" s="281">
        <f>++Tabla4[[#This Row],[Precio Bruto]]*1.16</f>
        <v>5361.8447999999989</v>
      </c>
      <c r="K3209" s="281">
        <f>+Tabla4[[#This Row],[Precio Unitario Neto]]*Tabla4[[#Headers],[20.85%]]</f>
        <v>1117.9446407999997</v>
      </c>
      <c r="L3209" s="282">
        <f>++Tabla4[[#This Row],[Precio Unitario Neto]]-Tabla4[[#This Row],[20.85%]]</f>
        <v>4243.9001591999995</v>
      </c>
      <c r="M3209" s="282" t="e">
        <f>(INDEX(Tabla6[#All],MATCH(Tabla4[[#This Row],[Producto]],Tabla6[[#All],[PRODUCTO]],0),MATCH(Tabla4[[#This Row],[Mes]],Tabla6[#Headers],0)))*(1+Catalogos!$L$2)</f>
        <v>#N/A</v>
      </c>
      <c r="N3209" s="283" t="e">
        <f>+(Tabla4[[#This Row],[Precio Descontado]]-Tabla4[[#This Row],[Precio Base]])*Tabla4[[#This Row],[Cantidad]]</f>
        <v>#N/A</v>
      </c>
      <c r="O3209" s="284" t="e">
        <f>++Tabla4[[#This Row],[Utilidad Total]]/Tabla4[[#This Row],[Total]]</f>
        <v>#N/A</v>
      </c>
      <c r="P3209" s="282">
        <f>++Tabla4[[#This Row],[Precio Descontado]]*Tabla4[[#This Row],[Cantidad]]</f>
        <v>4243.9001591999995</v>
      </c>
      <c r="Q3209" s="282" t="e">
        <f>(INDEX(Tabla6[#All],MATCH(Tabla4[[#This Row],[Producto]],Tabla6[[#All],[PRODUCTO]],0),MATCH(Tabla4[[#This Row],[Mes]],Tabla6[#Headers],0)))</f>
        <v>#N/A</v>
      </c>
      <c r="R3209" s="282" t="e">
        <f>++Tabla4[[#This Row],[Precio Unitario Neto]]-Tabla4[[#This Row],[20.85%]]-Tabla4[[#This Row],[Costo]]</f>
        <v>#N/A</v>
      </c>
      <c r="S3209" s="282" t="e">
        <f>++Tabla4[[#This Row],[U. Bruta Uni]]*Tabla4[[#This Row],[Cantidad]]</f>
        <v>#N/A</v>
      </c>
      <c r="T3209" s="369" t="str">
        <f>VLOOKUP(Tabla4[[#This Row],[Producto]],Tabla6[#All],14,FALSE)</f>
        <v>Termico Solar</v>
      </c>
      <c r="U3209" s="284" t="e">
        <f>(IF(Tabla4[[#This Row],[Familia]]="termico solar",Tabla4[[#This Row],[Utilidad Total]]*6%,Tabla4[[#This Row],[Utilidad Total]]*11.5%))/Tabla4[[#This Row],[Total]]</f>
        <v>#N/A</v>
      </c>
      <c r="V3209" s="282" t="e">
        <f>+Tabla4[[#This Row],[Comisión Calculada]]*Tabla4[[#This Row],[Total]]</f>
        <v>#N/A</v>
      </c>
    </row>
    <row r="3210" spans="1:22" hidden="1" x14ac:dyDescent="0.25">
      <c r="A3210" s="100">
        <v>45808</v>
      </c>
      <c r="B3210" t="str">
        <f t="shared" si="154"/>
        <v>May</v>
      </c>
      <c r="C3210" s="46" t="s">
        <v>280</v>
      </c>
      <c r="F3210" s="366" t="s">
        <v>1953</v>
      </c>
      <c r="G3210" s="46" t="s">
        <v>18</v>
      </c>
      <c r="H3210" s="46">
        <v>2</v>
      </c>
      <c r="I3210" s="51">
        <v>5367.65</v>
      </c>
      <c r="J3210" s="281">
        <f>++Tabla4[[#This Row],[Precio Bruto]]*1.16</f>
        <v>6226.4739999999993</v>
      </c>
      <c r="K3210" s="281">
        <f>+Tabla4[[#This Row],[Precio Unitario Neto]]*Tabla4[[#Headers],[20.85%]]</f>
        <v>1298.2198289999999</v>
      </c>
      <c r="L3210" s="282">
        <f>++Tabla4[[#This Row],[Precio Unitario Neto]]-Tabla4[[#This Row],[20.85%]]</f>
        <v>4928.2541709999996</v>
      </c>
      <c r="M3210" s="282" t="e">
        <f>(INDEX(Tabla6[#All],MATCH(Tabla4[[#This Row],[Producto]],Tabla6[[#All],[PRODUCTO]],0),MATCH(Tabla4[[#This Row],[Mes]],Tabla6[#Headers],0)))*(1+Catalogos!$L$2)</f>
        <v>#N/A</v>
      </c>
      <c r="N3210" s="283" t="e">
        <f>+(Tabla4[[#This Row],[Precio Descontado]]-Tabla4[[#This Row],[Precio Base]])*Tabla4[[#This Row],[Cantidad]]</f>
        <v>#N/A</v>
      </c>
      <c r="O3210" s="284" t="e">
        <f>++Tabla4[[#This Row],[Utilidad Total]]/Tabla4[[#This Row],[Total]]</f>
        <v>#N/A</v>
      </c>
      <c r="P3210" s="282">
        <f>++Tabla4[[#This Row],[Precio Descontado]]*Tabla4[[#This Row],[Cantidad]]</f>
        <v>9856.5083419999992</v>
      </c>
      <c r="Q3210" s="282" t="e">
        <f>(INDEX(Tabla6[#All],MATCH(Tabla4[[#This Row],[Producto]],Tabla6[[#All],[PRODUCTO]],0),MATCH(Tabla4[[#This Row],[Mes]],Tabla6[#Headers],0)))</f>
        <v>#N/A</v>
      </c>
      <c r="R3210" s="282" t="e">
        <f>++Tabla4[[#This Row],[Precio Unitario Neto]]-Tabla4[[#This Row],[20.85%]]-Tabla4[[#This Row],[Costo]]</f>
        <v>#N/A</v>
      </c>
      <c r="S3210" s="282" t="e">
        <f>++Tabla4[[#This Row],[U. Bruta Uni]]*Tabla4[[#This Row],[Cantidad]]</f>
        <v>#N/A</v>
      </c>
      <c r="T3210" s="369" t="str">
        <f>VLOOKUP(Tabla4[[#This Row],[Producto]],Tabla6[#All],14,FALSE)</f>
        <v>Termico Solar</v>
      </c>
      <c r="U3210" s="284" t="e">
        <f>(IF(Tabla4[[#This Row],[Familia]]="termico solar",Tabla4[[#This Row],[Utilidad Total]]*6%,Tabla4[[#This Row],[Utilidad Total]]*11.5%))/Tabla4[[#This Row],[Total]]</f>
        <v>#N/A</v>
      </c>
      <c r="V3210" s="282" t="e">
        <f>+Tabla4[[#This Row],[Comisión Calculada]]*Tabla4[[#This Row],[Total]]</f>
        <v>#N/A</v>
      </c>
    </row>
    <row r="3211" spans="1:22" hidden="1" x14ac:dyDescent="0.25">
      <c r="A3211" s="100">
        <v>45808</v>
      </c>
      <c r="B3211" t="str">
        <f t="shared" si="154"/>
        <v>May</v>
      </c>
      <c r="C3211" s="46" t="s">
        <v>280</v>
      </c>
      <c r="F3211" s="366" t="s">
        <v>1953</v>
      </c>
      <c r="G3211" s="46" t="s">
        <v>208</v>
      </c>
      <c r="H3211" s="46">
        <v>1</v>
      </c>
      <c r="I3211" s="51">
        <v>189.75</v>
      </c>
      <c r="J3211" s="281">
        <f>++Tabla4[[#This Row],[Precio Bruto]]*1.16</f>
        <v>220.10999999999999</v>
      </c>
      <c r="K3211" s="281">
        <f>+Tabla4[[#This Row],[Precio Unitario Neto]]*Tabla4[[#Headers],[20.85%]]</f>
        <v>45.892934999999994</v>
      </c>
      <c r="L3211" s="282">
        <f>++Tabla4[[#This Row],[Precio Unitario Neto]]-Tabla4[[#This Row],[20.85%]]</f>
        <v>174.21706499999999</v>
      </c>
      <c r="M3211" s="282" t="e">
        <f>(INDEX(Tabla6[#All],MATCH(Tabla4[[#This Row],[Producto]],Tabla6[[#All],[PRODUCTO]],0),MATCH(Tabla4[[#This Row],[Mes]],Tabla6[#Headers],0)))*(1+Catalogos!$L$2)</f>
        <v>#N/A</v>
      </c>
      <c r="N3211" s="283" t="e">
        <f>+(Tabla4[[#This Row],[Precio Descontado]]-Tabla4[[#This Row],[Precio Base]])*Tabla4[[#This Row],[Cantidad]]</f>
        <v>#N/A</v>
      </c>
      <c r="O3211" s="284" t="e">
        <f>++Tabla4[[#This Row],[Utilidad Total]]/Tabla4[[#This Row],[Total]]</f>
        <v>#N/A</v>
      </c>
      <c r="P3211" s="282">
        <f>++Tabla4[[#This Row],[Precio Descontado]]*Tabla4[[#This Row],[Cantidad]]</f>
        <v>174.21706499999999</v>
      </c>
      <c r="Q3211" s="282" t="e">
        <f>(INDEX(Tabla6[#All],MATCH(Tabla4[[#This Row],[Producto]],Tabla6[[#All],[PRODUCTO]],0),MATCH(Tabla4[[#This Row],[Mes]],Tabla6[#Headers],0)))</f>
        <v>#N/A</v>
      </c>
      <c r="R3211" s="282" t="e">
        <f>++Tabla4[[#This Row],[Precio Unitario Neto]]-Tabla4[[#This Row],[20.85%]]-Tabla4[[#This Row],[Costo]]</f>
        <v>#N/A</v>
      </c>
      <c r="S3211" s="282" t="e">
        <f>++Tabla4[[#This Row],[U. Bruta Uni]]*Tabla4[[#This Row],[Cantidad]]</f>
        <v>#N/A</v>
      </c>
      <c r="T3211" s="369" t="str">
        <f>VLOOKUP(Tabla4[[#This Row],[Producto]],Tabla6[#All],14,FALSE)</f>
        <v>Termico Solar</v>
      </c>
      <c r="U3211" s="284" t="e">
        <f>(IF(Tabla4[[#This Row],[Familia]]="termico solar",Tabla4[[#This Row],[Utilidad Total]]*6%,Tabla4[[#This Row],[Utilidad Total]]*11.5%))/Tabla4[[#This Row],[Total]]</f>
        <v>#N/A</v>
      </c>
      <c r="V3211" s="282" t="e">
        <f>+Tabla4[[#This Row],[Comisión Calculada]]*Tabla4[[#This Row],[Total]]</f>
        <v>#N/A</v>
      </c>
    </row>
    <row r="3212" spans="1:22" hidden="1" x14ac:dyDescent="0.25">
      <c r="A3212" s="100">
        <v>45808</v>
      </c>
      <c r="B3212" t="str">
        <f t="shared" si="154"/>
        <v>May</v>
      </c>
      <c r="C3212" s="46" t="s">
        <v>280</v>
      </c>
      <c r="F3212" s="366" t="s">
        <v>1954</v>
      </c>
      <c r="G3212" s="46" t="s">
        <v>566</v>
      </c>
      <c r="H3212" s="46">
        <v>1</v>
      </c>
      <c r="I3212" s="51">
        <v>2109.4499999999998</v>
      </c>
      <c r="J3212" s="281">
        <f>++Tabla4[[#This Row],[Precio Bruto]]*1.16</f>
        <v>2446.9619999999995</v>
      </c>
      <c r="K3212" s="281">
        <f>+Tabla4[[#This Row],[Precio Unitario Neto]]*Tabla4[[#Headers],[20.85%]]</f>
        <v>510.19157699999988</v>
      </c>
      <c r="L3212" s="282">
        <f>++Tabla4[[#This Row],[Precio Unitario Neto]]-Tabla4[[#This Row],[20.85%]]</f>
        <v>1936.7704229999997</v>
      </c>
      <c r="M3212" s="282" t="e">
        <f>(INDEX(Tabla6[#All],MATCH(Tabla4[[#This Row],[Producto]],Tabla6[[#All],[PRODUCTO]],0),MATCH(Tabla4[[#This Row],[Mes]],Tabla6[#Headers],0)))*(1+Catalogos!$L$2)</f>
        <v>#N/A</v>
      </c>
      <c r="N3212" s="283" t="e">
        <f>+(Tabla4[[#This Row],[Precio Descontado]]-Tabla4[[#This Row],[Precio Base]])*Tabla4[[#This Row],[Cantidad]]</f>
        <v>#N/A</v>
      </c>
      <c r="O3212" s="284" t="e">
        <f>++Tabla4[[#This Row],[Utilidad Total]]/Tabla4[[#This Row],[Total]]</f>
        <v>#N/A</v>
      </c>
      <c r="P3212" s="282">
        <f>++Tabla4[[#This Row],[Precio Descontado]]*Tabla4[[#This Row],[Cantidad]]</f>
        <v>1936.7704229999997</v>
      </c>
      <c r="Q3212" s="282" t="e">
        <f>(INDEX(Tabla6[#All],MATCH(Tabla4[[#This Row],[Producto]],Tabla6[[#All],[PRODUCTO]],0),MATCH(Tabla4[[#This Row],[Mes]],Tabla6[#Headers],0)))</f>
        <v>#N/A</v>
      </c>
      <c r="R3212" s="282" t="e">
        <f>++Tabla4[[#This Row],[Precio Unitario Neto]]-Tabla4[[#This Row],[20.85%]]-Tabla4[[#This Row],[Costo]]</f>
        <v>#N/A</v>
      </c>
      <c r="S3212" s="282" t="e">
        <f>++Tabla4[[#This Row],[U. Bruta Uni]]*Tabla4[[#This Row],[Cantidad]]</f>
        <v>#N/A</v>
      </c>
      <c r="T3212" s="369" t="str">
        <f>VLOOKUP(Tabla4[[#This Row],[Producto]],Tabla6[#All],14,FALSE)</f>
        <v>Termico Solar</v>
      </c>
      <c r="U3212" s="284" t="e">
        <f>(IF(Tabla4[[#This Row],[Familia]]="termico solar",Tabla4[[#This Row],[Utilidad Total]]*6%,Tabla4[[#This Row],[Utilidad Total]]*11.5%))/Tabla4[[#This Row],[Total]]</f>
        <v>#N/A</v>
      </c>
      <c r="V3212" s="282" t="e">
        <f>+Tabla4[[#This Row],[Comisión Calculada]]*Tabla4[[#This Row],[Total]]</f>
        <v>#N/A</v>
      </c>
    </row>
    <row r="3213" spans="1:22" hidden="1" x14ac:dyDescent="0.25">
      <c r="A3213" s="100">
        <v>45808</v>
      </c>
      <c r="B3213" t="str">
        <f t="shared" si="154"/>
        <v>May</v>
      </c>
      <c r="C3213" s="46" t="s">
        <v>280</v>
      </c>
      <c r="F3213" s="366" t="s">
        <v>1954</v>
      </c>
      <c r="G3213" s="46" t="s">
        <v>16</v>
      </c>
      <c r="H3213" s="46">
        <v>1</v>
      </c>
      <c r="I3213" s="51">
        <v>4103.8500000000004</v>
      </c>
      <c r="J3213" s="281">
        <f>++Tabla4[[#This Row],[Precio Bruto]]*1.16</f>
        <v>4760.4660000000003</v>
      </c>
      <c r="K3213" s="281">
        <f>+Tabla4[[#This Row],[Precio Unitario Neto]]*Tabla4[[#Headers],[20.85%]]</f>
        <v>992.55716100000006</v>
      </c>
      <c r="L3213" s="282">
        <f>++Tabla4[[#This Row],[Precio Unitario Neto]]-Tabla4[[#This Row],[20.85%]]</f>
        <v>3767.9088390000002</v>
      </c>
      <c r="M3213" s="282" t="e">
        <f>(INDEX(Tabla6[#All],MATCH(Tabla4[[#This Row],[Producto]],Tabla6[[#All],[PRODUCTO]],0),MATCH(Tabla4[[#This Row],[Mes]],Tabla6[#Headers],0)))*(1+Catalogos!$L$2)</f>
        <v>#N/A</v>
      </c>
      <c r="N3213" s="283" t="e">
        <f>+(Tabla4[[#This Row],[Precio Descontado]]-Tabla4[[#This Row],[Precio Base]])*Tabla4[[#This Row],[Cantidad]]</f>
        <v>#N/A</v>
      </c>
      <c r="O3213" s="284" t="e">
        <f>++Tabla4[[#This Row],[Utilidad Total]]/Tabla4[[#This Row],[Total]]</f>
        <v>#N/A</v>
      </c>
      <c r="P3213" s="282">
        <f>++Tabla4[[#This Row],[Precio Descontado]]*Tabla4[[#This Row],[Cantidad]]</f>
        <v>3767.9088390000002</v>
      </c>
      <c r="Q3213" s="282" t="e">
        <f>(INDEX(Tabla6[#All],MATCH(Tabla4[[#This Row],[Producto]],Tabla6[[#All],[PRODUCTO]],0),MATCH(Tabla4[[#This Row],[Mes]],Tabla6[#Headers],0)))</f>
        <v>#N/A</v>
      </c>
      <c r="R3213" s="282" t="e">
        <f>++Tabla4[[#This Row],[Precio Unitario Neto]]-Tabla4[[#This Row],[20.85%]]-Tabla4[[#This Row],[Costo]]</f>
        <v>#N/A</v>
      </c>
      <c r="S3213" s="282" t="e">
        <f>++Tabla4[[#This Row],[U. Bruta Uni]]*Tabla4[[#This Row],[Cantidad]]</f>
        <v>#N/A</v>
      </c>
      <c r="T3213" s="369" t="str">
        <f>VLOOKUP(Tabla4[[#This Row],[Producto]],Tabla6[#All],14,FALSE)</f>
        <v>Termico Solar</v>
      </c>
      <c r="U3213" s="284" t="e">
        <f>(IF(Tabla4[[#This Row],[Familia]]="termico solar",Tabla4[[#This Row],[Utilidad Total]]*6%,Tabla4[[#This Row],[Utilidad Total]]*11.5%))/Tabla4[[#This Row],[Total]]</f>
        <v>#N/A</v>
      </c>
      <c r="V3213" s="282" t="e">
        <f>+Tabla4[[#This Row],[Comisión Calculada]]*Tabla4[[#This Row],[Total]]</f>
        <v>#N/A</v>
      </c>
    </row>
    <row r="3214" spans="1:22" hidden="1" x14ac:dyDescent="0.25">
      <c r="A3214" s="100">
        <v>45808</v>
      </c>
      <c r="B3214" t="str">
        <f t="shared" si="154"/>
        <v>May</v>
      </c>
      <c r="C3214" s="46" t="s">
        <v>280</v>
      </c>
      <c r="F3214" s="366" t="s">
        <v>1955</v>
      </c>
      <c r="G3214" s="46" t="s">
        <v>17</v>
      </c>
      <c r="H3214" s="46">
        <v>3</v>
      </c>
      <c r="I3214" s="51">
        <v>4622.28</v>
      </c>
      <c r="J3214" s="281">
        <f>++Tabla4[[#This Row],[Precio Bruto]]*1.16</f>
        <v>5361.8447999999989</v>
      </c>
      <c r="K3214" s="281">
        <f>+Tabla4[[#This Row],[Precio Unitario Neto]]*Tabla4[[#Headers],[20.85%]]</f>
        <v>1117.9446407999997</v>
      </c>
      <c r="L3214" s="282">
        <f>++Tabla4[[#This Row],[Precio Unitario Neto]]-Tabla4[[#This Row],[20.85%]]</f>
        <v>4243.9001591999995</v>
      </c>
      <c r="M3214" s="282" t="e">
        <f>(INDEX(Tabla6[#All],MATCH(Tabla4[[#This Row],[Producto]],Tabla6[[#All],[PRODUCTO]],0),MATCH(Tabla4[[#This Row],[Mes]],Tabla6[#Headers],0)))*(1+Catalogos!$L$2)</f>
        <v>#N/A</v>
      </c>
      <c r="N3214" s="283" t="e">
        <f>+(Tabla4[[#This Row],[Precio Descontado]]-Tabla4[[#This Row],[Precio Base]])*Tabla4[[#This Row],[Cantidad]]</f>
        <v>#N/A</v>
      </c>
      <c r="O3214" s="284" t="e">
        <f>++Tabla4[[#This Row],[Utilidad Total]]/Tabla4[[#This Row],[Total]]</f>
        <v>#N/A</v>
      </c>
      <c r="P3214" s="282">
        <f>++Tabla4[[#This Row],[Precio Descontado]]*Tabla4[[#This Row],[Cantidad]]</f>
        <v>12731.700477599999</v>
      </c>
      <c r="Q3214" s="282" t="e">
        <f>(INDEX(Tabla6[#All],MATCH(Tabla4[[#This Row],[Producto]],Tabla6[[#All],[PRODUCTO]],0),MATCH(Tabla4[[#This Row],[Mes]],Tabla6[#Headers],0)))</f>
        <v>#N/A</v>
      </c>
      <c r="R3214" s="282" t="e">
        <f>++Tabla4[[#This Row],[Precio Unitario Neto]]-Tabla4[[#This Row],[20.85%]]-Tabla4[[#This Row],[Costo]]</f>
        <v>#N/A</v>
      </c>
      <c r="S3214" s="282" t="e">
        <f>++Tabla4[[#This Row],[U. Bruta Uni]]*Tabla4[[#This Row],[Cantidad]]</f>
        <v>#N/A</v>
      </c>
      <c r="T3214" s="369" t="str">
        <f>VLOOKUP(Tabla4[[#This Row],[Producto]],Tabla6[#All],14,FALSE)</f>
        <v>Termico Solar</v>
      </c>
      <c r="U3214" s="284" t="e">
        <f>(IF(Tabla4[[#This Row],[Familia]]="termico solar",Tabla4[[#This Row],[Utilidad Total]]*6%,Tabla4[[#This Row],[Utilidad Total]]*11.5%))/Tabla4[[#This Row],[Total]]</f>
        <v>#N/A</v>
      </c>
      <c r="V3214" s="282" t="e">
        <f>+Tabla4[[#This Row],[Comisión Calculada]]*Tabla4[[#This Row],[Total]]</f>
        <v>#N/A</v>
      </c>
    </row>
    <row r="3215" spans="1:22" hidden="1" x14ac:dyDescent="0.25">
      <c r="A3215" s="100">
        <v>45808</v>
      </c>
      <c r="B3215" t="str">
        <f t="shared" si="154"/>
        <v>May</v>
      </c>
      <c r="C3215" s="46" t="s">
        <v>280</v>
      </c>
      <c r="F3215" s="366" t="s">
        <v>1955</v>
      </c>
      <c r="G3215" s="46" t="s">
        <v>18</v>
      </c>
      <c r="H3215" s="46">
        <v>1</v>
      </c>
      <c r="I3215" s="51">
        <v>5367.65</v>
      </c>
      <c r="J3215" s="281">
        <f>++Tabla4[[#This Row],[Precio Bruto]]*1.16</f>
        <v>6226.4739999999993</v>
      </c>
      <c r="K3215" s="281">
        <f>+Tabla4[[#This Row],[Precio Unitario Neto]]*Tabla4[[#Headers],[20.85%]]</f>
        <v>1298.2198289999999</v>
      </c>
      <c r="L3215" s="282">
        <f>++Tabla4[[#This Row],[Precio Unitario Neto]]-Tabla4[[#This Row],[20.85%]]</f>
        <v>4928.2541709999996</v>
      </c>
      <c r="M3215" s="282" t="e">
        <f>(INDEX(Tabla6[#All],MATCH(Tabla4[[#This Row],[Producto]],Tabla6[[#All],[PRODUCTO]],0),MATCH(Tabla4[[#This Row],[Mes]],Tabla6[#Headers],0)))*(1+Catalogos!$L$2)</f>
        <v>#N/A</v>
      </c>
      <c r="N3215" s="283" t="e">
        <f>+(Tabla4[[#This Row],[Precio Descontado]]-Tabla4[[#This Row],[Precio Base]])*Tabla4[[#This Row],[Cantidad]]</f>
        <v>#N/A</v>
      </c>
      <c r="O3215" s="284" t="e">
        <f>++Tabla4[[#This Row],[Utilidad Total]]/Tabla4[[#This Row],[Total]]</f>
        <v>#N/A</v>
      </c>
      <c r="P3215" s="282">
        <f>++Tabla4[[#This Row],[Precio Descontado]]*Tabla4[[#This Row],[Cantidad]]</f>
        <v>4928.2541709999996</v>
      </c>
      <c r="Q3215" s="282" t="e">
        <f>(INDEX(Tabla6[#All],MATCH(Tabla4[[#This Row],[Producto]],Tabla6[[#All],[PRODUCTO]],0),MATCH(Tabla4[[#This Row],[Mes]],Tabla6[#Headers],0)))</f>
        <v>#N/A</v>
      </c>
      <c r="R3215" s="282" t="e">
        <f>++Tabla4[[#This Row],[Precio Unitario Neto]]-Tabla4[[#This Row],[20.85%]]-Tabla4[[#This Row],[Costo]]</f>
        <v>#N/A</v>
      </c>
      <c r="S3215" s="282" t="e">
        <f>++Tabla4[[#This Row],[U. Bruta Uni]]*Tabla4[[#This Row],[Cantidad]]</f>
        <v>#N/A</v>
      </c>
      <c r="T3215" s="369" t="str">
        <f>VLOOKUP(Tabla4[[#This Row],[Producto]],Tabla6[#All],14,FALSE)</f>
        <v>Termico Solar</v>
      </c>
      <c r="U3215" s="284" t="e">
        <f>(IF(Tabla4[[#This Row],[Familia]]="termico solar",Tabla4[[#This Row],[Utilidad Total]]*6%,Tabla4[[#This Row],[Utilidad Total]]*11.5%))/Tabla4[[#This Row],[Total]]</f>
        <v>#N/A</v>
      </c>
      <c r="V3215" s="282" t="e">
        <f>+Tabla4[[#This Row],[Comisión Calculada]]*Tabla4[[#This Row],[Total]]</f>
        <v>#N/A</v>
      </c>
    </row>
    <row r="3216" spans="1:22" hidden="1" x14ac:dyDescent="0.25">
      <c r="A3216" s="100">
        <v>45808</v>
      </c>
      <c r="B3216" t="str">
        <f t="shared" si="154"/>
        <v>May</v>
      </c>
      <c r="C3216" s="46" t="s">
        <v>280</v>
      </c>
      <c r="F3216" s="366" t="s">
        <v>1955</v>
      </c>
      <c r="G3216" s="46" t="s">
        <v>566</v>
      </c>
      <c r="H3216" s="46">
        <v>1</v>
      </c>
      <c r="I3216" s="51">
        <v>2109.4499999999998</v>
      </c>
      <c r="J3216" s="281">
        <f>++Tabla4[[#This Row],[Precio Bruto]]*1.16</f>
        <v>2446.9619999999995</v>
      </c>
      <c r="K3216" s="281">
        <f>+Tabla4[[#This Row],[Precio Unitario Neto]]*Tabla4[[#Headers],[20.85%]]</f>
        <v>510.19157699999988</v>
      </c>
      <c r="L3216" s="282">
        <f>++Tabla4[[#This Row],[Precio Unitario Neto]]-Tabla4[[#This Row],[20.85%]]</f>
        <v>1936.7704229999997</v>
      </c>
      <c r="M3216" s="282" t="e">
        <f>(INDEX(Tabla6[#All],MATCH(Tabla4[[#This Row],[Producto]],Tabla6[[#All],[PRODUCTO]],0),MATCH(Tabla4[[#This Row],[Mes]],Tabla6[#Headers],0)))*(1+Catalogos!$L$2)</f>
        <v>#N/A</v>
      </c>
      <c r="N3216" s="283" t="e">
        <f>+(Tabla4[[#This Row],[Precio Descontado]]-Tabla4[[#This Row],[Precio Base]])*Tabla4[[#This Row],[Cantidad]]</f>
        <v>#N/A</v>
      </c>
      <c r="O3216" s="284" t="e">
        <f>++Tabla4[[#This Row],[Utilidad Total]]/Tabla4[[#This Row],[Total]]</f>
        <v>#N/A</v>
      </c>
      <c r="P3216" s="282">
        <f>++Tabla4[[#This Row],[Precio Descontado]]*Tabla4[[#This Row],[Cantidad]]</f>
        <v>1936.7704229999997</v>
      </c>
      <c r="Q3216" s="282" t="e">
        <f>(INDEX(Tabla6[#All],MATCH(Tabla4[[#This Row],[Producto]],Tabla6[[#All],[PRODUCTO]],0),MATCH(Tabla4[[#This Row],[Mes]],Tabla6[#Headers],0)))</f>
        <v>#N/A</v>
      </c>
      <c r="R3216" s="282" t="e">
        <f>++Tabla4[[#This Row],[Precio Unitario Neto]]-Tabla4[[#This Row],[20.85%]]-Tabla4[[#This Row],[Costo]]</f>
        <v>#N/A</v>
      </c>
      <c r="S3216" s="282" t="e">
        <f>++Tabla4[[#This Row],[U. Bruta Uni]]*Tabla4[[#This Row],[Cantidad]]</f>
        <v>#N/A</v>
      </c>
      <c r="T3216" s="369" t="str">
        <f>VLOOKUP(Tabla4[[#This Row],[Producto]],Tabla6[#All],14,FALSE)</f>
        <v>Termico Solar</v>
      </c>
      <c r="U3216" s="284" t="e">
        <f>(IF(Tabla4[[#This Row],[Familia]]="termico solar",Tabla4[[#This Row],[Utilidad Total]]*6%,Tabla4[[#This Row],[Utilidad Total]]*11.5%))/Tabla4[[#This Row],[Total]]</f>
        <v>#N/A</v>
      </c>
      <c r="V3216" s="282" t="e">
        <f>+Tabla4[[#This Row],[Comisión Calculada]]*Tabla4[[#This Row],[Total]]</f>
        <v>#N/A</v>
      </c>
    </row>
    <row r="3217" spans="1:22" hidden="1" x14ac:dyDescent="0.25">
      <c r="A3217" s="100">
        <v>45808</v>
      </c>
      <c r="B3217" t="str">
        <f t="shared" si="154"/>
        <v>May</v>
      </c>
      <c r="C3217" s="46" t="s">
        <v>280</v>
      </c>
      <c r="F3217" s="366" t="s">
        <v>1956</v>
      </c>
      <c r="G3217" s="46" t="s">
        <v>18</v>
      </c>
      <c r="H3217" s="46">
        <v>1</v>
      </c>
      <c r="I3217" s="51">
        <v>5367.65</v>
      </c>
      <c r="J3217" s="281">
        <f>++Tabla4[[#This Row],[Precio Bruto]]*1.16</f>
        <v>6226.4739999999993</v>
      </c>
      <c r="K3217" s="281">
        <f>+Tabla4[[#This Row],[Precio Unitario Neto]]*Tabla4[[#Headers],[20.85%]]</f>
        <v>1298.2198289999999</v>
      </c>
      <c r="L3217" s="282">
        <f>++Tabla4[[#This Row],[Precio Unitario Neto]]-Tabla4[[#This Row],[20.85%]]</f>
        <v>4928.2541709999996</v>
      </c>
      <c r="M3217" s="282" t="e">
        <f>(INDEX(Tabla6[#All],MATCH(Tabla4[[#This Row],[Producto]],Tabla6[[#All],[PRODUCTO]],0),MATCH(Tabla4[[#This Row],[Mes]],Tabla6[#Headers],0)))*(1+Catalogos!$L$2)</f>
        <v>#N/A</v>
      </c>
      <c r="N3217" s="283" t="e">
        <f>+(Tabla4[[#This Row],[Precio Descontado]]-Tabla4[[#This Row],[Precio Base]])*Tabla4[[#This Row],[Cantidad]]</f>
        <v>#N/A</v>
      </c>
      <c r="O3217" s="284" t="e">
        <f>++Tabla4[[#This Row],[Utilidad Total]]/Tabla4[[#This Row],[Total]]</f>
        <v>#N/A</v>
      </c>
      <c r="P3217" s="282">
        <f>++Tabla4[[#This Row],[Precio Descontado]]*Tabla4[[#This Row],[Cantidad]]</f>
        <v>4928.2541709999996</v>
      </c>
      <c r="Q3217" s="282" t="e">
        <f>(INDEX(Tabla6[#All],MATCH(Tabla4[[#This Row],[Producto]],Tabla6[[#All],[PRODUCTO]],0),MATCH(Tabla4[[#This Row],[Mes]],Tabla6[#Headers],0)))</f>
        <v>#N/A</v>
      </c>
      <c r="R3217" s="282" t="e">
        <f>++Tabla4[[#This Row],[Precio Unitario Neto]]-Tabla4[[#This Row],[20.85%]]-Tabla4[[#This Row],[Costo]]</f>
        <v>#N/A</v>
      </c>
      <c r="S3217" s="282" t="e">
        <f>++Tabla4[[#This Row],[U. Bruta Uni]]*Tabla4[[#This Row],[Cantidad]]</f>
        <v>#N/A</v>
      </c>
      <c r="T3217" s="369" t="str">
        <f>VLOOKUP(Tabla4[[#This Row],[Producto]],Tabla6[#All],14,FALSE)</f>
        <v>Termico Solar</v>
      </c>
      <c r="U3217" s="284" t="e">
        <f>(IF(Tabla4[[#This Row],[Familia]]="termico solar",Tabla4[[#This Row],[Utilidad Total]]*6%,Tabla4[[#This Row],[Utilidad Total]]*11.5%))/Tabla4[[#This Row],[Total]]</f>
        <v>#N/A</v>
      </c>
      <c r="V3217" s="282" t="e">
        <f>+Tabla4[[#This Row],[Comisión Calculada]]*Tabla4[[#This Row],[Total]]</f>
        <v>#N/A</v>
      </c>
    </row>
    <row r="3218" spans="1:22" hidden="1" x14ac:dyDescent="0.25">
      <c r="A3218" s="100">
        <v>45808</v>
      </c>
      <c r="B3218" t="str">
        <f t="shared" si="154"/>
        <v>May</v>
      </c>
      <c r="C3218" s="46" t="s">
        <v>280</v>
      </c>
      <c r="F3218" s="366" t="s">
        <v>1956</v>
      </c>
      <c r="G3218" s="46" t="s">
        <v>16</v>
      </c>
      <c r="H3218" s="46">
        <v>2</v>
      </c>
      <c r="I3218" s="51">
        <v>4103.8500000000004</v>
      </c>
      <c r="J3218" s="281">
        <f>++Tabla4[[#This Row],[Precio Bruto]]*1.16</f>
        <v>4760.4660000000003</v>
      </c>
      <c r="K3218" s="281">
        <f>+Tabla4[[#This Row],[Precio Unitario Neto]]*Tabla4[[#Headers],[20.85%]]</f>
        <v>992.55716100000006</v>
      </c>
      <c r="L3218" s="282">
        <f>++Tabla4[[#This Row],[Precio Unitario Neto]]-Tabla4[[#This Row],[20.85%]]</f>
        <v>3767.9088390000002</v>
      </c>
      <c r="M3218" s="282" t="e">
        <f>(INDEX(Tabla6[#All],MATCH(Tabla4[[#This Row],[Producto]],Tabla6[[#All],[PRODUCTO]],0),MATCH(Tabla4[[#This Row],[Mes]],Tabla6[#Headers],0)))*(1+Catalogos!$L$2)</f>
        <v>#N/A</v>
      </c>
      <c r="N3218" s="283" t="e">
        <f>+(Tabla4[[#This Row],[Precio Descontado]]-Tabla4[[#This Row],[Precio Base]])*Tabla4[[#This Row],[Cantidad]]</f>
        <v>#N/A</v>
      </c>
      <c r="O3218" s="284" t="e">
        <f>++Tabla4[[#This Row],[Utilidad Total]]/Tabla4[[#This Row],[Total]]</f>
        <v>#N/A</v>
      </c>
      <c r="P3218" s="282">
        <f>++Tabla4[[#This Row],[Precio Descontado]]*Tabla4[[#This Row],[Cantidad]]</f>
        <v>7535.8176780000003</v>
      </c>
      <c r="Q3218" s="282" t="e">
        <f>(INDEX(Tabla6[#All],MATCH(Tabla4[[#This Row],[Producto]],Tabla6[[#All],[PRODUCTO]],0),MATCH(Tabla4[[#This Row],[Mes]],Tabla6[#Headers],0)))</f>
        <v>#N/A</v>
      </c>
      <c r="R3218" s="282" t="e">
        <f>++Tabla4[[#This Row],[Precio Unitario Neto]]-Tabla4[[#This Row],[20.85%]]-Tabla4[[#This Row],[Costo]]</f>
        <v>#N/A</v>
      </c>
      <c r="S3218" s="282" t="e">
        <f>++Tabla4[[#This Row],[U. Bruta Uni]]*Tabla4[[#This Row],[Cantidad]]</f>
        <v>#N/A</v>
      </c>
      <c r="T3218" s="369" t="str">
        <f>VLOOKUP(Tabla4[[#This Row],[Producto]],Tabla6[#All],14,FALSE)</f>
        <v>Termico Solar</v>
      </c>
      <c r="U3218" s="284" t="e">
        <f>(IF(Tabla4[[#This Row],[Familia]]="termico solar",Tabla4[[#This Row],[Utilidad Total]]*6%,Tabla4[[#This Row],[Utilidad Total]]*11.5%))/Tabla4[[#This Row],[Total]]</f>
        <v>#N/A</v>
      </c>
      <c r="V3218" s="282" t="e">
        <f>+Tabla4[[#This Row],[Comisión Calculada]]*Tabla4[[#This Row],[Total]]</f>
        <v>#N/A</v>
      </c>
    </row>
    <row r="3219" spans="1:22" hidden="1" x14ac:dyDescent="0.25">
      <c r="A3219" s="100">
        <v>45808</v>
      </c>
      <c r="B3219" t="str">
        <f t="shared" si="154"/>
        <v>May</v>
      </c>
      <c r="C3219" s="46" t="s">
        <v>280</v>
      </c>
      <c r="F3219" s="366" t="s">
        <v>1957</v>
      </c>
      <c r="G3219" s="46" t="s">
        <v>566</v>
      </c>
      <c r="H3219" s="46">
        <v>1</v>
      </c>
      <c r="I3219" s="51">
        <v>2109.4499999999998</v>
      </c>
      <c r="J3219" s="281">
        <f>++Tabla4[[#This Row],[Precio Bruto]]*1.16</f>
        <v>2446.9619999999995</v>
      </c>
      <c r="K3219" s="281">
        <f>+Tabla4[[#This Row],[Precio Unitario Neto]]*Tabla4[[#Headers],[20.85%]]</f>
        <v>510.19157699999988</v>
      </c>
      <c r="L3219" s="282">
        <f>++Tabla4[[#This Row],[Precio Unitario Neto]]-Tabla4[[#This Row],[20.85%]]</f>
        <v>1936.7704229999997</v>
      </c>
      <c r="M3219" s="282" t="e">
        <f>(INDEX(Tabla6[#All],MATCH(Tabla4[[#This Row],[Producto]],Tabla6[[#All],[PRODUCTO]],0),MATCH(Tabla4[[#This Row],[Mes]],Tabla6[#Headers],0)))*(1+Catalogos!$L$2)</f>
        <v>#N/A</v>
      </c>
      <c r="N3219" s="283" t="e">
        <f>+(Tabla4[[#This Row],[Precio Descontado]]-Tabla4[[#This Row],[Precio Base]])*Tabla4[[#This Row],[Cantidad]]</f>
        <v>#N/A</v>
      </c>
      <c r="O3219" s="284" t="e">
        <f>++Tabla4[[#This Row],[Utilidad Total]]/Tabla4[[#This Row],[Total]]</f>
        <v>#N/A</v>
      </c>
      <c r="P3219" s="282">
        <f>++Tabla4[[#This Row],[Precio Descontado]]*Tabla4[[#This Row],[Cantidad]]</f>
        <v>1936.7704229999997</v>
      </c>
      <c r="Q3219" s="282" t="e">
        <f>(INDEX(Tabla6[#All],MATCH(Tabla4[[#This Row],[Producto]],Tabla6[[#All],[PRODUCTO]],0),MATCH(Tabla4[[#This Row],[Mes]],Tabla6[#Headers],0)))</f>
        <v>#N/A</v>
      </c>
      <c r="R3219" s="282" t="e">
        <f>++Tabla4[[#This Row],[Precio Unitario Neto]]-Tabla4[[#This Row],[20.85%]]-Tabla4[[#This Row],[Costo]]</f>
        <v>#N/A</v>
      </c>
      <c r="S3219" s="282" t="e">
        <f>++Tabla4[[#This Row],[U. Bruta Uni]]*Tabla4[[#This Row],[Cantidad]]</f>
        <v>#N/A</v>
      </c>
      <c r="T3219" s="369" t="str">
        <f>VLOOKUP(Tabla4[[#This Row],[Producto]],Tabla6[#All],14,FALSE)</f>
        <v>Termico Solar</v>
      </c>
      <c r="U3219" s="284" t="e">
        <f>(IF(Tabla4[[#This Row],[Familia]]="termico solar",Tabla4[[#This Row],[Utilidad Total]]*6%,Tabla4[[#This Row],[Utilidad Total]]*11.5%))/Tabla4[[#This Row],[Total]]</f>
        <v>#N/A</v>
      </c>
      <c r="V3219" s="282" t="e">
        <f>+Tabla4[[#This Row],[Comisión Calculada]]*Tabla4[[#This Row],[Total]]</f>
        <v>#N/A</v>
      </c>
    </row>
    <row r="3220" spans="1:22" hidden="1" x14ac:dyDescent="0.25">
      <c r="A3220" s="100">
        <v>45808</v>
      </c>
      <c r="B3220" t="str">
        <f t="shared" si="154"/>
        <v>May</v>
      </c>
      <c r="C3220" s="46" t="s">
        <v>280</v>
      </c>
      <c r="F3220" s="366" t="s">
        <v>1957</v>
      </c>
      <c r="G3220" s="46" t="s">
        <v>209</v>
      </c>
      <c r="H3220" s="46">
        <v>2</v>
      </c>
      <c r="I3220" s="51">
        <v>347.48</v>
      </c>
      <c r="J3220" s="281">
        <f>++Tabla4[[#This Row],[Precio Bruto]]*1.16</f>
        <v>403.07679999999999</v>
      </c>
      <c r="K3220" s="281">
        <f>+Tabla4[[#This Row],[Precio Unitario Neto]]*Tabla4[[#Headers],[20.85%]]</f>
        <v>84.041512799999992</v>
      </c>
      <c r="L3220" s="282">
        <f>++Tabla4[[#This Row],[Precio Unitario Neto]]-Tabla4[[#This Row],[20.85%]]</f>
        <v>319.03528719999997</v>
      </c>
      <c r="M3220" s="282" t="e">
        <f>(INDEX(Tabla6[#All],MATCH(Tabla4[[#This Row],[Producto]],Tabla6[[#All],[PRODUCTO]],0),MATCH(Tabla4[[#This Row],[Mes]],Tabla6[#Headers],0)))*(1+Catalogos!$L$2)</f>
        <v>#N/A</v>
      </c>
      <c r="N3220" s="283" t="e">
        <f>+(Tabla4[[#This Row],[Precio Descontado]]-Tabla4[[#This Row],[Precio Base]])*Tabla4[[#This Row],[Cantidad]]</f>
        <v>#N/A</v>
      </c>
      <c r="O3220" s="284" t="e">
        <f>++Tabla4[[#This Row],[Utilidad Total]]/Tabla4[[#This Row],[Total]]</f>
        <v>#N/A</v>
      </c>
      <c r="P3220" s="282">
        <f>++Tabla4[[#This Row],[Precio Descontado]]*Tabla4[[#This Row],[Cantidad]]</f>
        <v>638.07057439999994</v>
      </c>
      <c r="Q3220" s="282" t="e">
        <f>(INDEX(Tabla6[#All],MATCH(Tabla4[[#This Row],[Producto]],Tabla6[[#All],[PRODUCTO]],0),MATCH(Tabla4[[#This Row],[Mes]],Tabla6[#Headers],0)))</f>
        <v>#N/A</v>
      </c>
      <c r="R3220" s="282" t="e">
        <f>++Tabla4[[#This Row],[Precio Unitario Neto]]-Tabla4[[#This Row],[20.85%]]-Tabla4[[#This Row],[Costo]]</f>
        <v>#N/A</v>
      </c>
      <c r="S3220" s="282" t="e">
        <f>++Tabla4[[#This Row],[U. Bruta Uni]]*Tabla4[[#This Row],[Cantidad]]</f>
        <v>#N/A</v>
      </c>
      <c r="T3220" s="369" t="str">
        <f>VLOOKUP(Tabla4[[#This Row],[Producto]],Tabla6[#All],14,FALSE)</f>
        <v>Termico Solar</v>
      </c>
      <c r="U3220" s="284" t="e">
        <f>(IF(Tabla4[[#This Row],[Familia]]="termico solar",Tabla4[[#This Row],[Utilidad Total]]*6%,Tabla4[[#This Row],[Utilidad Total]]*11.5%))/Tabla4[[#This Row],[Total]]</f>
        <v>#N/A</v>
      </c>
      <c r="V3220" s="282" t="e">
        <f>+Tabla4[[#This Row],[Comisión Calculada]]*Tabla4[[#This Row],[Total]]</f>
        <v>#N/A</v>
      </c>
    </row>
    <row r="3221" spans="1:22" hidden="1" x14ac:dyDescent="0.25">
      <c r="A3221" s="100">
        <v>45808</v>
      </c>
      <c r="B3221" t="str">
        <f t="shared" si="154"/>
        <v>May</v>
      </c>
      <c r="C3221" s="46" t="s">
        <v>280</v>
      </c>
      <c r="F3221" s="366" t="s">
        <v>1958</v>
      </c>
      <c r="G3221" s="46" t="s">
        <v>83</v>
      </c>
      <c r="H3221" s="46">
        <v>5</v>
      </c>
      <c r="I3221" s="51">
        <v>8858.76</v>
      </c>
      <c r="J3221" s="281">
        <f>++Tabla4[[#This Row],[Precio Bruto]]*1.16</f>
        <v>10276.161599999999</v>
      </c>
      <c r="K3221" s="281">
        <f>+Tabla4[[#This Row],[Precio Unitario Neto]]*Tabla4[[#Headers],[20.85%]]</f>
        <v>2142.5796935999997</v>
      </c>
      <c r="L3221" s="282">
        <f>++Tabla4[[#This Row],[Precio Unitario Neto]]-Tabla4[[#This Row],[20.85%]]</f>
        <v>8133.5819063999998</v>
      </c>
      <c r="M3221" s="282" t="e">
        <f>(INDEX(Tabla6[#All],MATCH(Tabla4[[#This Row],[Producto]],Tabla6[[#All],[PRODUCTO]],0),MATCH(Tabla4[[#This Row],[Mes]],Tabla6[#Headers],0)))*(1+Catalogos!$L$2)</f>
        <v>#N/A</v>
      </c>
      <c r="N3221" s="283" t="e">
        <f>+(Tabla4[[#This Row],[Precio Descontado]]-Tabla4[[#This Row],[Precio Base]])*Tabla4[[#This Row],[Cantidad]]</f>
        <v>#N/A</v>
      </c>
      <c r="O3221" s="284" t="e">
        <f>++Tabla4[[#This Row],[Utilidad Total]]/Tabla4[[#This Row],[Total]]</f>
        <v>#N/A</v>
      </c>
      <c r="P3221" s="282">
        <f>++Tabla4[[#This Row],[Precio Descontado]]*Tabla4[[#This Row],[Cantidad]]</f>
        <v>40667.909531999998</v>
      </c>
      <c r="Q3221" s="282" t="e">
        <f>(INDEX(Tabla6[#All],MATCH(Tabla4[[#This Row],[Producto]],Tabla6[[#All],[PRODUCTO]],0),MATCH(Tabla4[[#This Row],[Mes]],Tabla6[#Headers],0)))</f>
        <v>#N/A</v>
      </c>
      <c r="R3221" s="282" t="e">
        <f>++Tabla4[[#This Row],[Precio Unitario Neto]]-Tabla4[[#This Row],[20.85%]]-Tabla4[[#This Row],[Costo]]</f>
        <v>#N/A</v>
      </c>
      <c r="S3221" s="282" t="e">
        <f>++Tabla4[[#This Row],[U. Bruta Uni]]*Tabla4[[#This Row],[Cantidad]]</f>
        <v>#N/A</v>
      </c>
      <c r="T3221" s="369" t="str">
        <f>VLOOKUP(Tabla4[[#This Row],[Producto]],Tabla6[#All],14,FALSE)</f>
        <v>Termico Solar</v>
      </c>
      <c r="U3221" s="284" t="e">
        <f>(IF(Tabla4[[#This Row],[Familia]]="termico solar",Tabla4[[#This Row],[Utilidad Total]]*6%,Tabla4[[#This Row],[Utilidad Total]]*11.5%))/Tabla4[[#This Row],[Total]]</f>
        <v>#N/A</v>
      </c>
      <c r="V3221" s="282" t="e">
        <f>+Tabla4[[#This Row],[Comisión Calculada]]*Tabla4[[#This Row],[Total]]</f>
        <v>#N/A</v>
      </c>
    </row>
    <row r="3222" spans="1:22" hidden="1" x14ac:dyDescent="0.25">
      <c r="A3222" s="100">
        <v>45808</v>
      </c>
      <c r="B3222" t="str">
        <f t="shared" si="154"/>
        <v>May</v>
      </c>
      <c r="C3222" s="46" t="s">
        <v>280</v>
      </c>
      <c r="F3222" s="366" t="s">
        <v>1958</v>
      </c>
      <c r="G3222" s="46" t="s">
        <v>17</v>
      </c>
      <c r="H3222" s="46">
        <v>5</v>
      </c>
      <c r="I3222" s="51">
        <v>4622.2800000000007</v>
      </c>
      <c r="J3222" s="281">
        <f>++Tabla4[[#This Row],[Precio Bruto]]*1.16</f>
        <v>5361.8448000000008</v>
      </c>
      <c r="K3222" s="281">
        <f>+Tabla4[[#This Row],[Precio Unitario Neto]]*Tabla4[[#Headers],[20.85%]]</f>
        <v>1117.9446408000001</v>
      </c>
      <c r="L3222" s="282">
        <f>++Tabla4[[#This Row],[Precio Unitario Neto]]-Tabla4[[#This Row],[20.85%]]</f>
        <v>4243.9001592000004</v>
      </c>
      <c r="M3222" s="282" t="e">
        <f>(INDEX(Tabla6[#All],MATCH(Tabla4[[#This Row],[Producto]],Tabla6[[#All],[PRODUCTO]],0),MATCH(Tabla4[[#This Row],[Mes]],Tabla6[#Headers],0)))*(1+Catalogos!$L$2)</f>
        <v>#N/A</v>
      </c>
      <c r="N3222" s="283" t="e">
        <f>+(Tabla4[[#This Row],[Precio Descontado]]-Tabla4[[#This Row],[Precio Base]])*Tabla4[[#This Row],[Cantidad]]</f>
        <v>#N/A</v>
      </c>
      <c r="O3222" s="284" t="e">
        <f>++Tabla4[[#This Row],[Utilidad Total]]/Tabla4[[#This Row],[Total]]</f>
        <v>#N/A</v>
      </c>
      <c r="P3222" s="282">
        <f>++Tabla4[[#This Row],[Precio Descontado]]*Tabla4[[#This Row],[Cantidad]]</f>
        <v>21219.500796</v>
      </c>
      <c r="Q3222" s="282" t="e">
        <f>(INDEX(Tabla6[#All],MATCH(Tabla4[[#This Row],[Producto]],Tabla6[[#All],[PRODUCTO]],0),MATCH(Tabla4[[#This Row],[Mes]],Tabla6[#Headers],0)))</f>
        <v>#N/A</v>
      </c>
      <c r="R3222" s="282" t="e">
        <f>++Tabla4[[#This Row],[Precio Unitario Neto]]-Tabla4[[#This Row],[20.85%]]-Tabla4[[#This Row],[Costo]]</f>
        <v>#N/A</v>
      </c>
      <c r="S3222" s="282" t="e">
        <f>++Tabla4[[#This Row],[U. Bruta Uni]]*Tabla4[[#This Row],[Cantidad]]</f>
        <v>#N/A</v>
      </c>
      <c r="T3222" s="369" t="str">
        <f>VLOOKUP(Tabla4[[#This Row],[Producto]],Tabla6[#All],14,FALSE)</f>
        <v>Termico Solar</v>
      </c>
      <c r="U3222" s="284" t="e">
        <f>(IF(Tabla4[[#This Row],[Familia]]="termico solar",Tabla4[[#This Row],[Utilidad Total]]*6%,Tabla4[[#This Row],[Utilidad Total]]*11.5%))/Tabla4[[#This Row],[Total]]</f>
        <v>#N/A</v>
      </c>
      <c r="V3222" s="282" t="e">
        <f>+Tabla4[[#This Row],[Comisión Calculada]]*Tabla4[[#This Row],[Total]]</f>
        <v>#N/A</v>
      </c>
    </row>
    <row r="3223" spans="1:22" hidden="1" x14ac:dyDescent="0.25">
      <c r="A3223" s="100">
        <v>45808</v>
      </c>
      <c r="B3223" t="str">
        <f t="shared" si="154"/>
        <v>May</v>
      </c>
      <c r="C3223" s="46" t="s">
        <v>280</v>
      </c>
      <c r="F3223" s="366" t="s">
        <v>1958</v>
      </c>
      <c r="G3223" s="46" t="s">
        <v>16</v>
      </c>
      <c r="H3223" s="46">
        <v>1</v>
      </c>
      <c r="I3223" s="51">
        <v>4103.8500000000004</v>
      </c>
      <c r="J3223" s="281">
        <f>++Tabla4[[#This Row],[Precio Bruto]]*1.16</f>
        <v>4760.4660000000003</v>
      </c>
      <c r="K3223" s="281">
        <f>+Tabla4[[#This Row],[Precio Unitario Neto]]*Tabla4[[#Headers],[20.85%]]</f>
        <v>992.55716100000006</v>
      </c>
      <c r="L3223" s="282">
        <f>++Tabla4[[#This Row],[Precio Unitario Neto]]-Tabla4[[#This Row],[20.85%]]</f>
        <v>3767.9088390000002</v>
      </c>
      <c r="M3223" s="282" t="e">
        <f>(INDEX(Tabla6[#All],MATCH(Tabla4[[#This Row],[Producto]],Tabla6[[#All],[PRODUCTO]],0),MATCH(Tabla4[[#This Row],[Mes]],Tabla6[#Headers],0)))*(1+Catalogos!$L$2)</f>
        <v>#N/A</v>
      </c>
      <c r="N3223" s="283" t="e">
        <f>+(Tabla4[[#This Row],[Precio Descontado]]-Tabla4[[#This Row],[Precio Base]])*Tabla4[[#This Row],[Cantidad]]</f>
        <v>#N/A</v>
      </c>
      <c r="O3223" s="284" t="e">
        <f>++Tabla4[[#This Row],[Utilidad Total]]/Tabla4[[#This Row],[Total]]</f>
        <v>#N/A</v>
      </c>
      <c r="P3223" s="282">
        <f>++Tabla4[[#This Row],[Precio Descontado]]*Tabla4[[#This Row],[Cantidad]]</f>
        <v>3767.9088390000002</v>
      </c>
      <c r="Q3223" s="282" t="e">
        <f>(INDEX(Tabla6[#All],MATCH(Tabla4[[#This Row],[Producto]],Tabla6[[#All],[PRODUCTO]],0),MATCH(Tabla4[[#This Row],[Mes]],Tabla6[#Headers],0)))</f>
        <v>#N/A</v>
      </c>
      <c r="R3223" s="282" t="e">
        <f>++Tabla4[[#This Row],[Precio Unitario Neto]]-Tabla4[[#This Row],[20.85%]]-Tabla4[[#This Row],[Costo]]</f>
        <v>#N/A</v>
      </c>
      <c r="S3223" s="282" t="e">
        <f>++Tabla4[[#This Row],[U. Bruta Uni]]*Tabla4[[#This Row],[Cantidad]]</f>
        <v>#N/A</v>
      </c>
      <c r="T3223" s="369" t="str">
        <f>VLOOKUP(Tabla4[[#This Row],[Producto]],Tabla6[#All],14,FALSE)</f>
        <v>Termico Solar</v>
      </c>
      <c r="U3223" s="284" t="e">
        <f>(IF(Tabla4[[#This Row],[Familia]]="termico solar",Tabla4[[#This Row],[Utilidad Total]]*6%,Tabla4[[#This Row],[Utilidad Total]]*11.5%))/Tabla4[[#This Row],[Total]]</f>
        <v>#N/A</v>
      </c>
      <c r="V3223" s="282" t="e">
        <f>+Tabla4[[#This Row],[Comisión Calculada]]*Tabla4[[#This Row],[Total]]</f>
        <v>#N/A</v>
      </c>
    </row>
    <row r="3224" spans="1:22" hidden="1" x14ac:dyDescent="0.25">
      <c r="A3224" s="100">
        <v>45808</v>
      </c>
      <c r="B3224" t="str">
        <f t="shared" si="154"/>
        <v>May</v>
      </c>
      <c r="C3224" s="46" t="s">
        <v>280</v>
      </c>
      <c r="F3224" s="366" t="s">
        <v>1959</v>
      </c>
      <c r="G3224" s="46" t="s">
        <v>18</v>
      </c>
      <c r="H3224" s="46">
        <v>1</v>
      </c>
      <c r="I3224" s="51">
        <v>5367.65</v>
      </c>
      <c r="J3224" s="281">
        <f>++Tabla4[[#This Row],[Precio Bruto]]*1.16</f>
        <v>6226.4739999999993</v>
      </c>
      <c r="K3224" s="281">
        <f>+Tabla4[[#This Row],[Precio Unitario Neto]]*Tabla4[[#Headers],[20.85%]]</f>
        <v>1298.2198289999999</v>
      </c>
      <c r="L3224" s="282">
        <f>++Tabla4[[#This Row],[Precio Unitario Neto]]-Tabla4[[#This Row],[20.85%]]</f>
        <v>4928.2541709999996</v>
      </c>
      <c r="M3224" s="282" t="e">
        <f>(INDEX(Tabla6[#All],MATCH(Tabla4[[#This Row],[Producto]],Tabla6[[#All],[PRODUCTO]],0),MATCH(Tabla4[[#This Row],[Mes]],Tabla6[#Headers],0)))*(1+Catalogos!$L$2)</f>
        <v>#N/A</v>
      </c>
      <c r="N3224" s="283" t="e">
        <f>+(Tabla4[[#This Row],[Precio Descontado]]-Tabla4[[#This Row],[Precio Base]])*Tabla4[[#This Row],[Cantidad]]</f>
        <v>#N/A</v>
      </c>
      <c r="O3224" s="284" t="e">
        <f>++Tabla4[[#This Row],[Utilidad Total]]/Tabla4[[#This Row],[Total]]</f>
        <v>#N/A</v>
      </c>
      <c r="P3224" s="282">
        <f>++Tabla4[[#This Row],[Precio Descontado]]*Tabla4[[#This Row],[Cantidad]]</f>
        <v>4928.2541709999996</v>
      </c>
      <c r="Q3224" s="282" t="e">
        <f>(INDEX(Tabla6[#All],MATCH(Tabla4[[#This Row],[Producto]],Tabla6[[#All],[PRODUCTO]],0),MATCH(Tabla4[[#This Row],[Mes]],Tabla6[#Headers],0)))</f>
        <v>#N/A</v>
      </c>
      <c r="R3224" s="282" t="e">
        <f>++Tabla4[[#This Row],[Precio Unitario Neto]]-Tabla4[[#This Row],[20.85%]]-Tabla4[[#This Row],[Costo]]</f>
        <v>#N/A</v>
      </c>
      <c r="S3224" s="282" t="e">
        <f>++Tabla4[[#This Row],[U. Bruta Uni]]*Tabla4[[#This Row],[Cantidad]]</f>
        <v>#N/A</v>
      </c>
      <c r="T3224" s="369" t="str">
        <f>VLOOKUP(Tabla4[[#This Row],[Producto]],Tabla6[#All],14,FALSE)</f>
        <v>Termico Solar</v>
      </c>
      <c r="U3224" s="284" t="e">
        <f>(IF(Tabla4[[#This Row],[Familia]]="termico solar",Tabla4[[#This Row],[Utilidad Total]]*6%,Tabla4[[#This Row],[Utilidad Total]]*11.5%))/Tabla4[[#This Row],[Total]]</f>
        <v>#N/A</v>
      </c>
      <c r="V3224" s="282" t="e">
        <f>+Tabla4[[#This Row],[Comisión Calculada]]*Tabla4[[#This Row],[Total]]</f>
        <v>#N/A</v>
      </c>
    </row>
    <row r="3225" spans="1:22" hidden="1" x14ac:dyDescent="0.25">
      <c r="A3225" s="100">
        <v>45808</v>
      </c>
      <c r="B3225" t="str">
        <f t="shared" si="154"/>
        <v>May</v>
      </c>
      <c r="C3225" s="46" t="s">
        <v>280</v>
      </c>
      <c r="F3225" s="366" t="s">
        <v>1959</v>
      </c>
      <c r="G3225" s="46" t="s">
        <v>566</v>
      </c>
      <c r="H3225" s="46">
        <v>1</v>
      </c>
      <c r="I3225" s="51">
        <v>2109.4499999999998</v>
      </c>
      <c r="J3225" s="281">
        <f>++Tabla4[[#This Row],[Precio Bruto]]*1.16</f>
        <v>2446.9619999999995</v>
      </c>
      <c r="K3225" s="281">
        <f>+Tabla4[[#This Row],[Precio Unitario Neto]]*Tabla4[[#Headers],[20.85%]]</f>
        <v>510.19157699999988</v>
      </c>
      <c r="L3225" s="282">
        <f>++Tabla4[[#This Row],[Precio Unitario Neto]]-Tabla4[[#This Row],[20.85%]]</f>
        <v>1936.7704229999997</v>
      </c>
      <c r="M3225" s="282" t="e">
        <f>(INDEX(Tabla6[#All],MATCH(Tabla4[[#This Row],[Producto]],Tabla6[[#All],[PRODUCTO]],0),MATCH(Tabla4[[#This Row],[Mes]],Tabla6[#Headers],0)))*(1+Catalogos!$L$2)</f>
        <v>#N/A</v>
      </c>
      <c r="N3225" s="283" t="e">
        <f>+(Tabla4[[#This Row],[Precio Descontado]]-Tabla4[[#This Row],[Precio Base]])*Tabla4[[#This Row],[Cantidad]]</f>
        <v>#N/A</v>
      </c>
      <c r="O3225" s="284" t="e">
        <f>++Tabla4[[#This Row],[Utilidad Total]]/Tabla4[[#This Row],[Total]]</f>
        <v>#N/A</v>
      </c>
      <c r="P3225" s="282">
        <f>++Tabla4[[#This Row],[Precio Descontado]]*Tabla4[[#This Row],[Cantidad]]</f>
        <v>1936.7704229999997</v>
      </c>
      <c r="Q3225" s="282" t="e">
        <f>(INDEX(Tabla6[#All],MATCH(Tabla4[[#This Row],[Producto]],Tabla6[[#All],[PRODUCTO]],0),MATCH(Tabla4[[#This Row],[Mes]],Tabla6[#Headers],0)))</f>
        <v>#N/A</v>
      </c>
      <c r="R3225" s="282" t="e">
        <f>++Tabla4[[#This Row],[Precio Unitario Neto]]-Tabla4[[#This Row],[20.85%]]-Tabla4[[#This Row],[Costo]]</f>
        <v>#N/A</v>
      </c>
      <c r="S3225" s="282" t="e">
        <f>++Tabla4[[#This Row],[U. Bruta Uni]]*Tabla4[[#This Row],[Cantidad]]</f>
        <v>#N/A</v>
      </c>
      <c r="T3225" s="369" t="str">
        <f>VLOOKUP(Tabla4[[#This Row],[Producto]],Tabla6[#All],14,FALSE)</f>
        <v>Termico Solar</v>
      </c>
      <c r="U3225" s="284" t="e">
        <f>(IF(Tabla4[[#This Row],[Familia]]="termico solar",Tabla4[[#This Row],[Utilidad Total]]*6%,Tabla4[[#This Row],[Utilidad Total]]*11.5%))/Tabla4[[#This Row],[Total]]</f>
        <v>#N/A</v>
      </c>
      <c r="V3225" s="282" t="e">
        <f>+Tabla4[[#This Row],[Comisión Calculada]]*Tabla4[[#This Row],[Total]]</f>
        <v>#N/A</v>
      </c>
    </row>
    <row r="3226" spans="1:22" hidden="1" x14ac:dyDescent="0.25">
      <c r="A3226" s="100">
        <v>45808</v>
      </c>
      <c r="B3226" t="str">
        <f t="shared" si="154"/>
        <v>May</v>
      </c>
      <c r="C3226" s="46" t="s">
        <v>280</v>
      </c>
      <c r="F3226" s="366" t="s">
        <v>1960</v>
      </c>
      <c r="G3226" s="46" t="s">
        <v>208</v>
      </c>
      <c r="H3226" s="46">
        <v>7</v>
      </c>
      <c r="I3226" s="51">
        <v>189.75</v>
      </c>
      <c r="J3226" s="281">
        <f>++Tabla4[[#This Row],[Precio Bruto]]*1.16</f>
        <v>220.10999999999999</v>
      </c>
      <c r="K3226" s="281">
        <f>+Tabla4[[#This Row],[Precio Unitario Neto]]*Tabla4[[#Headers],[20.85%]]</f>
        <v>45.892934999999994</v>
      </c>
      <c r="L3226" s="282">
        <f>++Tabla4[[#This Row],[Precio Unitario Neto]]-Tabla4[[#This Row],[20.85%]]</f>
        <v>174.21706499999999</v>
      </c>
      <c r="M3226" s="282" t="e">
        <f>(INDEX(Tabla6[#All],MATCH(Tabla4[[#This Row],[Producto]],Tabla6[[#All],[PRODUCTO]],0),MATCH(Tabla4[[#This Row],[Mes]],Tabla6[#Headers],0)))*(1+Catalogos!$L$2)</f>
        <v>#N/A</v>
      </c>
      <c r="N3226" s="283" t="e">
        <f>+(Tabla4[[#This Row],[Precio Descontado]]-Tabla4[[#This Row],[Precio Base]])*Tabla4[[#This Row],[Cantidad]]</f>
        <v>#N/A</v>
      </c>
      <c r="O3226" s="284" t="e">
        <f>++Tabla4[[#This Row],[Utilidad Total]]/Tabla4[[#This Row],[Total]]</f>
        <v>#N/A</v>
      </c>
      <c r="P3226" s="282">
        <f>++Tabla4[[#This Row],[Precio Descontado]]*Tabla4[[#This Row],[Cantidad]]</f>
        <v>1219.5194549999999</v>
      </c>
      <c r="Q3226" s="282" t="e">
        <f>(INDEX(Tabla6[#All],MATCH(Tabla4[[#This Row],[Producto]],Tabla6[[#All],[PRODUCTO]],0),MATCH(Tabla4[[#This Row],[Mes]],Tabla6[#Headers],0)))</f>
        <v>#N/A</v>
      </c>
      <c r="R3226" s="282" t="e">
        <f>++Tabla4[[#This Row],[Precio Unitario Neto]]-Tabla4[[#This Row],[20.85%]]-Tabla4[[#This Row],[Costo]]</f>
        <v>#N/A</v>
      </c>
      <c r="S3226" s="282" t="e">
        <f>++Tabla4[[#This Row],[U. Bruta Uni]]*Tabla4[[#This Row],[Cantidad]]</f>
        <v>#N/A</v>
      </c>
      <c r="T3226" s="369" t="str">
        <f>VLOOKUP(Tabla4[[#This Row],[Producto]],Tabla6[#All],14,FALSE)</f>
        <v>Termico Solar</v>
      </c>
      <c r="U3226" s="284" t="e">
        <f>(IF(Tabla4[[#This Row],[Familia]]="termico solar",Tabla4[[#This Row],[Utilidad Total]]*6%,Tabla4[[#This Row],[Utilidad Total]]*11.5%))/Tabla4[[#This Row],[Total]]</f>
        <v>#N/A</v>
      </c>
      <c r="V3226" s="282" t="e">
        <f>+Tabla4[[#This Row],[Comisión Calculada]]*Tabla4[[#This Row],[Total]]</f>
        <v>#N/A</v>
      </c>
    </row>
    <row r="3227" spans="1:22" hidden="1" x14ac:dyDescent="0.25">
      <c r="A3227" s="100">
        <v>45808</v>
      </c>
      <c r="B3227" t="str">
        <f t="shared" ref="B3227:B3258" si="155">TEXT(A3227, "mmmm")</f>
        <v>May</v>
      </c>
      <c r="C3227" s="46" t="s">
        <v>280</v>
      </c>
      <c r="F3227" s="366" t="s">
        <v>1960</v>
      </c>
      <c r="G3227" s="46" t="s">
        <v>209</v>
      </c>
      <c r="H3227" s="46">
        <v>1</v>
      </c>
      <c r="I3227" s="51">
        <v>347.48</v>
      </c>
      <c r="J3227" s="281">
        <f>++Tabla4[[#This Row],[Precio Bruto]]*1.16</f>
        <v>403.07679999999999</v>
      </c>
      <c r="K3227" s="281">
        <f>+Tabla4[[#This Row],[Precio Unitario Neto]]*Tabla4[[#Headers],[20.85%]]</f>
        <v>84.041512799999992</v>
      </c>
      <c r="L3227" s="282">
        <f>++Tabla4[[#This Row],[Precio Unitario Neto]]-Tabla4[[#This Row],[20.85%]]</f>
        <v>319.03528719999997</v>
      </c>
      <c r="M3227" s="282" t="e">
        <f>(INDEX(Tabla6[#All],MATCH(Tabla4[[#This Row],[Producto]],Tabla6[[#All],[PRODUCTO]],0),MATCH(Tabla4[[#This Row],[Mes]],Tabla6[#Headers],0)))*(1+Catalogos!$L$2)</f>
        <v>#N/A</v>
      </c>
      <c r="N3227" s="283" t="e">
        <f>+(Tabla4[[#This Row],[Precio Descontado]]-Tabla4[[#This Row],[Precio Base]])*Tabla4[[#This Row],[Cantidad]]</f>
        <v>#N/A</v>
      </c>
      <c r="O3227" s="284" t="e">
        <f>++Tabla4[[#This Row],[Utilidad Total]]/Tabla4[[#This Row],[Total]]</f>
        <v>#N/A</v>
      </c>
      <c r="P3227" s="282">
        <f>++Tabla4[[#This Row],[Precio Descontado]]*Tabla4[[#This Row],[Cantidad]]</f>
        <v>319.03528719999997</v>
      </c>
      <c r="Q3227" s="282" t="e">
        <f>(INDEX(Tabla6[#All],MATCH(Tabla4[[#This Row],[Producto]],Tabla6[[#All],[PRODUCTO]],0),MATCH(Tabla4[[#This Row],[Mes]],Tabla6[#Headers],0)))</f>
        <v>#N/A</v>
      </c>
      <c r="R3227" s="282" t="e">
        <f>++Tabla4[[#This Row],[Precio Unitario Neto]]-Tabla4[[#This Row],[20.85%]]-Tabla4[[#This Row],[Costo]]</f>
        <v>#N/A</v>
      </c>
      <c r="S3227" s="282" t="e">
        <f>++Tabla4[[#This Row],[U. Bruta Uni]]*Tabla4[[#This Row],[Cantidad]]</f>
        <v>#N/A</v>
      </c>
      <c r="T3227" s="369" t="str">
        <f>VLOOKUP(Tabla4[[#This Row],[Producto]],Tabla6[#All],14,FALSE)</f>
        <v>Termico Solar</v>
      </c>
      <c r="U3227" s="284" t="e">
        <f>(IF(Tabla4[[#This Row],[Familia]]="termico solar",Tabla4[[#This Row],[Utilidad Total]]*6%,Tabla4[[#This Row],[Utilidad Total]]*11.5%))/Tabla4[[#This Row],[Total]]</f>
        <v>#N/A</v>
      </c>
      <c r="V3227" s="282" t="e">
        <f>+Tabla4[[#This Row],[Comisión Calculada]]*Tabla4[[#This Row],[Total]]</f>
        <v>#N/A</v>
      </c>
    </row>
    <row r="3228" spans="1:22" hidden="1" x14ac:dyDescent="0.25">
      <c r="A3228" s="100">
        <v>45808</v>
      </c>
      <c r="B3228" t="str">
        <f t="shared" si="155"/>
        <v>May</v>
      </c>
      <c r="C3228" s="46" t="s">
        <v>280</v>
      </c>
      <c r="F3228" s="366" t="s">
        <v>1961</v>
      </c>
      <c r="G3228" s="46" t="s">
        <v>20</v>
      </c>
      <c r="H3228" s="46">
        <v>1</v>
      </c>
      <c r="I3228" s="51">
        <v>7751.98</v>
      </c>
      <c r="J3228" s="281">
        <f>++Tabla4[[#This Row],[Precio Bruto]]*1.16</f>
        <v>8992.2967999999983</v>
      </c>
      <c r="K3228" s="281">
        <f>+Tabla4[[#This Row],[Precio Unitario Neto]]*Tabla4[[#Headers],[20.85%]]</f>
        <v>1874.8938827999996</v>
      </c>
      <c r="L3228" s="282">
        <f>++Tabla4[[#This Row],[Precio Unitario Neto]]-Tabla4[[#This Row],[20.85%]]</f>
        <v>7117.4029171999991</v>
      </c>
      <c r="M3228" s="282" t="e">
        <f>(INDEX(Tabla6[#All],MATCH(Tabla4[[#This Row],[Producto]],Tabla6[[#All],[PRODUCTO]],0),MATCH(Tabla4[[#This Row],[Mes]],Tabla6[#Headers],0)))*(1+Catalogos!$L$2)</f>
        <v>#N/A</v>
      </c>
      <c r="N3228" s="283" t="e">
        <f>+(Tabla4[[#This Row],[Precio Descontado]]-Tabla4[[#This Row],[Precio Base]])*Tabla4[[#This Row],[Cantidad]]</f>
        <v>#N/A</v>
      </c>
      <c r="O3228" s="284" t="e">
        <f>++Tabla4[[#This Row],[Utilidad Total]]/Tabla4[[#This Row],[Total]]</f>
        <v>#N/A</v>
      </c>
      <c r="P3228" s="282">
        <f>++Tabla4[[#This Row],[Precio Descontado]]*Tabla4[[#This Row],[Cantidad]]</f>
        <v>7117.4029171999991</v>
      </c>
      <c r="Q3228" s="282" t="e">
        <f>(INDEX(Tabla6[#All],MATCH(Tabla4[[#This Row],[Producto]],Tabla6[[#All],[PRODUCTO]],0),MATCH(Tabla4[[#This Row],[Mes]],Tabla6[#Headers],0)))</f>
        <v>#N/A</v>
      </c>
      <c r="R3228" s="282" t="e">
        <f>++Tabla4[[#This Row],[Precio Unitario Neto]]-Tabla4[[#This Row],[20.85%]]-Tabla4[[#This Row],[Costo]]</f>
        <v>#N/A</v>
      </c>
      <c r="S3228" s="282" t="e">
        <f>++Tabla4[[#This Row],[U. Bruta Uni]]*Tabla4[[#This Row],[Cantidad]]</f>
        <v>#N/A</v>
      </c>
      <c r="T3228" s="369" t="str">
        <f>VLOOKUP(Tabla4[[#This Row],[Producto]],Tabla6[#All],14,FALSE)</f>
        <v>Termico Solar</v>
      </c>
      <c r="U3228" s="284" t="e">
        <f>(IF(Tabla4[[#This Row],[Familia]]="termico solar",Tabla4[[#This Row],[Utilidad Total]]*6%,Tabla4[[#This Row],[Utilidad Total]]*11.5%))/Tabla4[[#This Row],[Total]]</f>
        <v>#N/A</v>
      </c>
      <c r="V3228" s="282" t="e">
        <f>+Tabla4[[#This Row],[Comisión Calculada]]*Tabla4[[#This Row],[Total]]</f>
        <v>#N/A</v>
      </c>
    </row>
    <row r="3229" spans="1:22" hidden="1" x14ac:dyDescent="0.25">
      <c r="A3229" s="100">
        <v>45808</v>
      </c>
      <c r="B3229" t="str">
        <f t="shared" si="155"/>
        <v>May</v>
      </c>
      <c r="C3229" s="46" t="s">
        <v>280</v>
      </c>
      <c r="F3229" s="366" t="s">
        <v>1961</v>
      </c>
      <c r="G3229" s="46" t="s">
        <v>22</v>
      </c>
      <c r="H3229" s="46">
        <v>1</v>
      </c>
      <c r="I3229" s="51">
        <v>13355.75</v>
      </c>
      <c r="J3229" s="281">
        <f>++Tabla4[[#This Row],[Precio Bruto]]*1.16</f>
        <v>15492.669999999998</v>
      </c>
      <c r="K3229" s="281">
        <f>+Tabla4[[#This Row],[Precio Unitario Neto]]*Tabla4[[#Headers],[20.85%]]</f>
        <v>3230.2216949999993</v>
      </c>
      <c r="L3229" s="282">
        <f>++Tabla4[[#This Row],[Precio Unitario Neto]]-Tabla4[[#This Row],[20.85%]]</f>
        <v>12262.448304999998</v>
      </c>
      <c r="M3229" s="282" t="e">
        <f>(INDEX(Tabla6[#All],MATCH(Tabla4[[#This Row],[Producto]],Tabla6[[#All],[PRODUCTO]],0),MATCH(Tabla4[[#This Row],[Mes]],Tabla6[#Headers],0)))*(1+Catalogos!$L$2)</f>
        <v>#N/A</v>
      </c>
      <c r="N3229" s="283" t="e">
        <f>+(Tabla4[[#This Row],[Precio Descontado]]-Tabla4[[#This Row],[Precio Base]])*Tabla4[[#This Row],[Cantidad]]</f>
        <v>#N/A</v>
      </c>
      <c r="O3229" s="284" t="e">
        <f>++Tabla4[[#This Row],[Utilidad Total]]/Tabla4[[#This Row],[Total]]</f>
        <v>#N/A</v>
      </c>
      <c r="P3229" s="282">
        <f>++Tabla4[[#This Row],[Precio Descontado]]*Tabla4[[#This Row],[Cantidad]]</f>
        <v>12262.448304999998</v>
      </c>
      <c r="Q3229" s="282" t="e">
        <f>(INDEX(Tabla6[#All],MATCH(Tabla4[[#This Row],[Producto]],Tabla6[[#All],[PRODUCTO]],0),MATCH(Tabla4[[#This Row],[Mes]],Tabla6[#Headers],0)))</f>
        <v>#N/A</v>
      </c>
      <c r="R3229" s="282" t="e">
        <f>++Tabla4[[#This Row],[Precio Unitario Neto]]-Tabla4[[#This Row],[20.85%]]-Tabla4[[#This Row],[Costo]]</f>
        <v>#N/A</v>
      </c>
      <c r="S3229" s="282" t="e">
        <f>++Tabla4[[#This Row],[U. Bruta Uni]]*Tabla4[[#This Row],[Cantidad]]</f>
        <v>#N/A</v>
      </c>
      <c r="T3229" s="369" t="str">
        <f>VLOOKUP(Tabla4[[#This Row],[Producto]],Tabla6[#All],14,FALSE)</f>
        <v>Termico Solar</v>
      </c>
      <c r="U3229" s="284" t="e">
        <f>(IF(Tabla4[[#This Row],[Familia]]="termico solar",Tabla4[[#This Row],[Utilidad Total]]*6%,Tabla4[[#This Row],[Utilidad Total]]*11.5%))/Tabla4[[#This Row],[Total]]</f>
        <v>#N/A</v>
      </c>
      <c r="V3229" s="282" t="e">
        <f>+Tabla4[[#This Row],[Comisión Calculada]]*Tabla4[[#This Row],[Total]]</f>
        <v>#N/A</v>
      </c>
    </row>
    <row r="3230" spans="1:22" hidden="1" x14ac:dyDescent="0.25">
      <c r="A3230" s="100">
        <v>45808</v>
      </c>
      <c r="B3230" t="str">
        <f t="shared" si="155"/>
        <v>May</v>
      </c>
      <c r="C3230" s="46" t="s">
        <v>280</v>
      </c>
      <c r="F3230" s="366" t="s">
        <v>1962</v>
      </c>
      <c r="G3230" s="46" t="s">
        <v>19</v>
      </c>
      <c r="H3230" s="46">
        <v>3</v>
      </c>
      <c r="I3230" s="51">
        <v>6412.03</v>
      </c>
      <c r="J3230" s="281">
        <f>++Tabla4[[#This Row],[Precio Bruto]]*1.16</f>
        <v>7437.9547999999995</v>
      </c>
      <c r="K3230" s="281">
        <f>+Tabla4[[#This Row],[Precio Unitario Neto]]*Tabla4[[#Headers],[20.85%]]</f>
        <v>1550.8135757999999</v>
      </c>
      <c r="L3230" s="282">
        <f>++Tabla4[[#This Row],[Precio Unitario Neto]]-Tabla4[[#This Row],[20.85%]]</f>
        <v>5887.1412241999997</v>
      </c>
      <c r="M3230" s="282" t="e">
        <f>(INDEX(Tabla6[#All],MATCH(Tabla4[[#This Row],[Producto]],Tabla6[[#All],[PRODUCTO]],0),MATCH(Tabla4[[#This Row],[Mes]],Tabla6[#Headers],0)))*(1+Catalogos!$L$2)</f>
        <v>#N/A</v>
      </c>
      <c r="N3230" s="283" t="e">
        <f>+(Tabla4[[#This Row],[Precio Descontado]]-Tabla4[[#This Row],[Precio Base]])*Tabla4[[#This Row],[Cantidad]]</f>
        <v>#N/A</v>
      </c>
      <c r="O3230" s="284" t="e">
        <f>++Tabla4[[#This Row],[Utilidad Total]]/Tabla4[[#This Row],[Total]]</f>
        <v>#N/A</v>
      </c>
      <c r="P3230" s="282">
        <f>++Tabla4[[#This Row],[Precio Descontado]]*Tabla4[[#This Row],[Cantidad]]</f>
        <v>17661.423672599998</v>
      </c>
      <c r="Q3230" s="282" t="e">
        <f>(INDEX(Tabla6[#All],MATCH(Tabla4[[#This Row],[Producto]],Tabla6[[#All],[PRODUCTO]],0),MATCH(Tabla4[[#This Row],[Mes]],Tabla6[#Headers],0)))</f>
        <v>#N/A</v>
      </c>
      <c r="R3230" s="282" t="e">
        <f>++Tabla4[[#This Row],[Precio Unitario Neto]]-Tabla4[[#This Row],[20.85%]]-Tabla4[[#This Row],[Costo]]</f>
        <v>#N/A</v>
      </c>
      <c r="S3230" s="282" t="e">
        <f>++Tabla4[[#This Row],[U. Bruta Uni]]*Tabla4[[#This Row],[Cantidad]]</f>
        <v>#N/A</v>
      </c>
      <c r="T3230" s="369" t="str">
        <f>VLOOKUP(Tabla4[[#This Row],[Producto]],Tabla6[#All],14,FALSE)</f>
        <v>Termico Solar</v>
      </c>
      <c r="U3230" s="284" t="e">
        <f>(IF(Tabla4[[#This Row],[Familia]]="termico solar",Tabla4[[#This Row],[Utilidad Total]]*6%,Tabla4[[#This Row],[Utilidad Total]]*11.5%))/Tabla4[[#This Row],[Total]]</f>
        <v>#N/A</v>
      </c>
      <c r="V3230" s="282" t="e">
        <f>+Tabla4[[#This Row],[Comisión Calculada]]*Tabla4[[#This Row],[Total]]</f>
        <v>#N/A</v>
      </c>
    </row>
    <row r="3231" spans="1:22" hidden="1" x14ac:dyDescent="0.25">
      <c r="A3231" s="100">
        <v>45808</v>
      </c>
      <c r="B3231" t="str">
        <f t="shared" si="155"/>
        <v>May</v>
      </c>
      <c r="C3231" s="46" t="s">
        <v>280</v>
      </c>
      <c r="F3231" s="366" t="s">
        <v>1962</v>
      </c>
      <c r="G3231" s="46" t="s">
        <v>566</v>
      </c>
      <c r="H3231" s="46">
        <v>2</v>
      </c>
      <c r="I3231" s="51">
        <v>2109.4499999999998</v>
      </c>
      <c r="J3231" s="281">
        <f>++Tabla4[[#This Row],[Precio Bruto]]*1.16</f>
        <v>2446.9619999999995</v>
      </c>
      <c r="K3231" s="281">
        <f>+Tabla4[[#This Row],[Precio Unitario Neto]]*Tabla4[[#Headers],[20.85%]]</f>
        <v>510.19157699999988</v>
      </c>
      <c r="L3231" s="282">
        <f>++Tabla4[[#This Row],[Precio Unitario Neto]]-Tabla4[[#This Row],[20.85%]]</f>
        <v>1936.7704229999997</v>
      </c>
      <c r="M3231" s="282" t="e">
        <f>(INDEX(Tabla6[#All],MATCH(Tabla4[[#This Row],[Producto]],Tabla6[[#All],[PRODUCTO]],0),MATCH(Tabla4[[#This Row],[Mes]],Tabla6[#Headers],0)))*(1+Catalogos!$L$2)</f>
        <v>#N/A</v>
      </c>
      <c r="N3231" s="283" t="e">
        <f>+(Tabla4[[#This Row],[Precio Descontado]]-Tabla4[[#This Row],[Precio Base]])*Tabla4[[#This Row],[Cantidad]]</f>
        <v>#N/A</v>
      </c>
      <c r="O3231" s="284" t="e">
        <f>++Tabla4[[#This Row],[Utilidad Total]]/Tabla4[[#This Row],[Total]]</f>
        <v>#N/A</v>
      </c>
      <c r="P3231" s="282">
        <f>++Tabla4[[#This Row],[Precio Descontado]]*Tabla4[[#This Row],[Cantidad]]</f>
        <v>3873.5408459999994</v>
      </c>
      <c r="Q3231" s="282" t="e">
        <f>(INDEX(Tabla6[#All],MATCH(Tabla4[[#This Row],[Producto]],Tabla6[[#All],[PRODUCTO]],0),MATCH(Tabla4[[#This Row],[Mes]],Tabla6[#Headers],0)))</f>
        <v>#N/A</v>
      </c>
      <c r="R3231" s="282" t="e">
        <f>++Tabla4[[#This Row],[Precio Unitario Neto]]-Tabla4[[#This Row],[20.85%]]-Tabla4[[#This Row],[Costo]]</f>
        <v>#N/A</v>
      </c>
      <c r="S3231" s="282" t="e">
        <f>++Tabla4[[#This Row],[U. Bruta Uni]]*Tabla4[[#This Row],[Cantidad]]</f>
        <v>#N/A</v>
      </c>
      <c r="T3231" s="369" t="str">
        <f>VLOOKUP(Tabla4[[#This Row],[Producto]],Tabla6[#All],14,FALSE)</f>
        <v>Termico Solar</v>
      </c>
      <c r="U3231" s="284" t="e">
        <f>(IF(Tabla4[[#This Row],[Familia]]="termico solar",Tabla4[[#This Row],[Utilidad Total]]*6%,Tabla4[[#This Row],[Utilidad Total]]*11.5%))/Tabla4[[#This Row],[Total]]</f>
        <v>#N/A</v>
      </c>
      <c r="V3231" s="282" t="e">
        <f>+Tabla4[[#This Row],[Comisión Calculada]]*Tabla4[[#This Row],[Total]]</f>
        <v>#N/A</v>
      </c>
    </row>
    <row r="3232" spans="1:22" hidden="1" x14ac:dyDescent="0.25">
      <c r="A3232" s="100">
        <v>45808</v>
      </c>
      <c r="B3232" t="str">
        <f t="shared" si="155"/>
        <v>May</v>
      </c>
      <c r="C3232" s="46" t="s">
        <v>280</v>
      </c>
      <c r="F3232" s="366" t="s">
        <v>1962</v>
      </c>
      <c r="G3232" s="46" t="s">
        <v>16</v>
      </c>
      <c r="H3232" s="46">
        <v>1</v>
      </c>
      <c r="I3232" s="51">
        <v>4103.8500000000004</v>
      </c>
      <c r="J3232" s="281">
        <f>++Tabla4[[#This Row],[Precio Bruto]]*1.16</f>
        <v>4760.4660000000003</v>
      </c>
      <c r="K3232" s="281">
        <f>+Tabla4[[#This Row],[Precio Unitario Neto]]*Tabla4[[#Headers],[20.85%]]</f>
        <v>992.55716100000006</v>
      </c>
      <c r="L3232" s="282">
        <f>++Tabla4[[#This Row],[Precio Unitario Neto]]-Tabla4[[#This Row],[20.85%]]</f>
        <v>3767.9088390000002</v>
      </c>
      <c r="M3232" s="282" t="e">
        <f>(INDEX(Tabla6[#All],MATCH(Tabla4[[#This Row],[Producto]],Tabla6[[#All],[PRODUCTO]],0),MATCH(Tabla4[[#This Row],[Mes]],Tabla6[#Headers],0)))*(1+Catalogos!$L$2)</f>
        <v>#N/A</v>
      </c>
      <c r="N3232" s="283" t="e">
        <f>+(Tabla4[[#This Row],[Precio Descontado]]-Tabla4[[#This Row],[Precio Base]])*Tabla4[[#This Row],[Cantidad]]</f>
        <v>#N/A</v>
      </c>
      <c r="O3232" s="284" t="e">
        <f>++Tabla4[[#This Row],[Utilidad Total]]/Tabla4[[#This Row],[Total]]</f>
        <v>#N/A</v>
      </c>
      <c r="P3232" s="282">
        <f>++Tabla4[[#This Row],[Precio Descontado]]*Tabla4[[#This Row],[Cantidad]]</f>
        <v>3767.9088390000002</v>
      </c>
      <c r="Q3232" s="282" t="e">
        <f>(INDEX(Tabla6[#All],MATCH(Tabla4[[#This Row],[Producto]],Tabla6[[#All],[PRODUCTO]],0),MATCH(Tabla4[[#This Row],[Mes]],Tabla6[#Headers],0)))</f>
        <v>#N/A</v>
      </c>
      <c r="R3232" s="282" t="e">
        <f>++Tabla4[[#This Row],[Precio Unitario Neto]]-Tabla4[[#This Row],[20.85%]]-Tabla4[[#This Row],[Costo]]</f>
        <v>#N/A</v>
      </c>
      <c r="S3232" s="282" t="e">
        <f>++Tabla4[[#This Row],[U. Bruta Uni]]*Tabla4[[#This Row],[Cantidad]]</f>
        <v>#N/A</v>
      </c>
      <c r="T3232" s="369" t="str">
        <f>VLOOKUP(Tabla4[[#This Row],[Producto]],Tabla6[#All],14,FALSE)</f>
        <v>Termico Solar</v>
      </c>
      <c r="U3232" s="284" t="e">
        <f>(IF(Tabla4[[#This Row],[Familia]]="termico solar",Tabla4[[#This Row],[Utilidad Total]]*6%,Tabla4[[#This Row],[Utilidad Total]]*11.5%))/Tabla4[[#This Row],[Total]]</f>
        <v>#N/A</v>
      </c>
      <c r="V3232" s="282" t="e">
        <f>+Tabla4[[#This Row],[Comisión Calculada]]*Tabla4[[#This Row],[Total]]</f>
        <v>#N/A</v>
      </c>
    </row>
    <row r="3233" spans="1:22" hidden="1" x14ac:dyDescent="0.25">
      <c r="A3233" s="100">
        <v>45808</v>
      </c>
      <c r="B3233" t="str">
        <f t="shared" si="155"/>
        <v>May</v>
      </c>
      <c r="C3233" s="46" t="s">
        <v>280</v>
      </c>
      <c r="F3233" s="366" t="s">
        <v>1962</v>
      </c>
      <c r="G3233" s="46" t="s">
        <v>208</v>
      </c>
      <c r="H3233" s="46">
        <v>14</v>
      </c>
      <c r="I3233" s="51">
        <v>189.75</v>
      </c>
      <c r="J3233" s="281">
        <f>++Tabla4[[#This Row],[Precio Bruto]]*1.16</f>
        <v>220.10999999999999</v>
      </c>
      <c r="K3233" s="281">
        <f>+Tabla4[[#This Row],[Precio Unitario Neto]]*Tabla4[[#Headers],[20.85%]]</f>
        <v>45.892934999999994</v>
      </c>
      <c r="L3233" s="282">
        <f>++Tabla4[[#This Row],[Precio Unitario Neto]]-Tabla4[[#This Row],[20.85%]]</f>
        <v>174.21706499999999</v>
      </c>
      <c r="M3233" s="282" t="e">
        <f>(INDEX(Tabla6[#All],MATCH(Tabla4[[#This Row],[Producto]],Tabla6[[#All],[PRODUCTO]],0),MATCH(Tabla4[[#This Row],[Mes]],Tabla6[#Headers],0)))*(1+Catalogos!$L$2)</f>
        <v>#N/A</v>
      </c>
      <c r="N3233" s="283" t="e">
        <f>+(Tabla4[[#This Row],[Precio Descontado]]-Tabla4[[#This Row],[Precio Base]])*Tabla4[[#This Row],[Cantidad]]</f>
        <v>#N/A</v>
      </c>
      <c r="O3233" s="284" t="e">
        <f>++Tabla4[[#This Row],[Utilidad Total]]/Tabla4[[#This Row],[Total]]</f>
        <v>#N/A</v>
      </c>
      <c r="P3233" s="282">
        <f>++Tabla4[[#This Row],[Precio Descontado]]*Tabla4[[#This Row],[Cantidad]]</f>
        <v>2439.0389099999998</v>
      </c>
      <c r="Q3233" s="282" t="e">
        <f>(INDEX(Tabla6[#All],MATCH(Tabla4[[#This Row],[Producto]],Tabla6[[#All],[PRODUCTO]],0),MATCH(Tabla4[[#This Row],[Mes]],Tabla6[#Headers],0)))</f>
        <v>#N/A</v>
      </c>
      <c r="R3233" s="282" t="e">
        <f>++Tabla4[[#This Row],[Precio Unitario Neto]]-Tabla4[[#This Row],[20.85%]]-Tabla4[[#This Row],[Costo]]</f>
        <v>#N/A</v>
      </c>
      <c r="S3233" s="282" t="e">
        <f>++Tabla4[[#This Row],[U. Bruta Uni]]*Tabla4[[#This Row],[Cantidad]]</f>
        <v>#N/A</v>
      </c>
      <c r="T3233" s="369" t="str">
        <f>VLOOKUP(Tabla4[[#This Row],[Producto]],Tabla6[#All],14,FALSE)</f>
        <v>Termico Solar</v>
      </c>
      <c r="U3233" s="284" t="e">
        <f>(IF(Tabla4[[#This Row],[Familia]]="termico solar",Tabla4[[#This Row],[Utilidad Total]]*6%,Tabla4[[#This Row],[Utilidad Total]]*11.5%))/Tabla4[[#This Row],[Total]]</f>
        <v>#N/A</v>
      </c>
      <c r="V3233" s="282" t="e">
        <f>+Tabla4[[#This Row],[Comisión Calculada]]*Tabla4[[#This Row],[Total]]</f>
        <v>#N/A</v>
      </c>
    </row>
    <row r="3234" spans="1:22" hidden="1" x14ac:dyDescent="0.25">
      <c r="A3234" s="100">
        <v>45808</v>
      </c>
      <c r="B3234" t="str">
        <f t="shared" si="155"/>
        <v>May</v>
      </c>
      <c r="C3234" s="46" t="s">
        <v>280</v>
      </c>
      <c r="F3234" s="366" t="s">
        <v>1962</v>
      </c>
      <c r="G3234" s="46" t="s">
        <v>209</v>
      </c>
      <c r="H3234" s="46">
        <v>3</v>
      </c>
      <c r="I3234" s="51">
        <v>347.48</v>
      </c>
      <c r="J3234" s="281">
        <f>++Tabla4[[#This Row],[Precio Bruto]]*1.16</f>
        <v>403.07679999999999</v>
      </c>
      <c r="K3234" s="281">
        <f>+Tabla4[[#This Row],[Precio Unitario Neto]]*Tabla4[[#Headers],[20.85%]]</f>
        <v>84.041512799999992</v>
      </c>
      <c r="L3234" s="282">
        <f>++Tabla4[[#This Row],[Precio Unitario Neto]]-Tabla4[[#This Row],[20.85%]]</f>
        <v>319.03528719999997</v>
      </c>
      <c r="M3234" s="282" t="e">
        <f>(INDEX(Tabla6[#All],MATCH(Tabla4[[#This Row],[Producto]],Tabla6[[#All],[PRODUCTO]],0),MATCH(Tabla4[[#This Row],[Mes]],Tabla6[#Headers],0)))*(1+Catalogos!$L$2)</f>
        <v>#N/A</v>
      </c>
      <c r="N3234" s="283" t="e">
        <f>+(Tabla4[[#This Row],[Precio Descontado]]-Tabla4[[#This Row],[Precio Base]])*Tabla4[[#This Row],[Cantidad]]</f>
        <v>#N/A</v>
      </c>
      <c r="O3234" s="284" t="e">
        <f>++Tabla4[[#This Row],[Utilidad Total]]/Tabla4[[#This Row],[Total]]</f>
        <v>#N/A</v>
      </c>
      <c r="P3234" s="282">
        <f>++Tabla4[[#This Row],[Precio Descontado]]*Tabla4[[#This Row],[Cantidad]]</f>
        <v>957.10586159999991</v>
      </c>
      <c r="Q3234" s="282" t="e">
        <f>(INDEX(Tabla6[#All],MATCH(Tabla4[[#This Row],[Producto]],Tabla6[[#All],[PRODUCTO]],0),MATCH(Tabla4[[#This Row],[Mes]],Tabla6[#Headers],0)))</f>
        <v>#N/A</v>
      </c>
      <c r="R3234" s="282" t="e">
        <f>++Tabla4[[#This Row],[Precio Unitario Neto]]-Tabla4[[#This Row],[20.85%]]-Tabla4[[#This Row],[Costo]]</f>
        <v>#N/A</v>
      </c>
      <c r="S3234" s="282" t="e">
        <f>++Tabla4[[#This Row],[U. Bruta Uni]]*Tabla4[[#This Row],[Cantidad]]</f>
        <v>#N/A</v>
      </c>
      <c r="T3234" s="369" t="str">
        <f>VLOOKUP(Tabla4[[#This Row],[Producto]],Tabla6[#All],14,FALSE)</f>
        <v>Termico Solar</v>
      </c>
      <c r="U3234" s="284" t="e">
        <f>(IF(Tabla4[[#This Row],[Familia]]="termico solar",Tabla4[[#This Row],[Utilidad Total]]*6%,Tabla4[[#This Row],[Utilidad Total]]*11.5%))/Tabla4[[#This Row],[Total]]</f>
        <v>#N/A</v>
      </c>
      <c r="V3234" s="282" t="e">
        <f>+Tabla4[[#This Row],[Comisión Calculada]]*Tabla4[[#This Row],[Total]]</f>
        <v>#N/A</v>
      </c>
    </row>
    <row r="3235" spans="1:22" hidden="1" x14ac:dyDescent="0.25">
      <c r="A3235" s="100">
        <v>45808</v>
      </c>
      <c r="B3235" t="str">
        <f t="shared" si="155"/>
        <v>May</v>
      </c>
      <c r="C3235" s="46" t="s">
        <v>280</v>
      </c>
      <c r="F3235" s="366" t="s">
        <v>1963</v>
      </c>
      <c r="G3235" s="46" t="s">
        <v>18</v>
      </c>
      <c r="H3235" s="46">
        <v>2</v>
      </c>
      <c r="I3235" s="51">
        <v>5367.65</v>
      </c>
      <c r="J3235" s="281">
        <f>++Tabla4[[#This Row],[Precio Bruto]]*1.16</f>
        <v>6226.4739999999993</v>
      </c>
      <c r="K3235" s="281">
        <f>+Tabla4[[#This Row],[Precio Unitario Neto]]*Tabla4[[#Headers],[20.85%]]</f>
        <v>1298.2198289999999</v>
      </c>
      <c r="L3235" s="282">
        <f>++Tabla4[[#This Row],[Precio Unitario Neto]]-Tabla4[[#This Row],[20.85%]]</f>
        <v>4928.2541709999996</v>
      </c>
      <c r="M3235" s="282" t="e">
        <f>(INDEX(Tabla6[#All],MATCH(Tabla4[[#This Row],[Producto]],Tabla6[[#All],[PRODUCTO]],0),MATCH(Tabla4[[#This Row],[Mes]],Tabla6[#Headers],0)))*(1+Catalogos!$L$2)</f>
        <v>#N/A</v>
      </c>
      <c r="N3235" s="283" t="e">
        <f>+(Tabla4[[#This Row],[Precio Descontado]]-Tabla4[[#This Row],[Precio Base]])*Tabla4[[#This Row],[Cantidad]]</f>
        <v>#N/A</v>
      </c>
      <c r="O3235" s="284" t="e">
        <f>++Tabla4[[#This Row],[Utilidad Total]]/Tabla4[[#This Row],[Total]]</f>
        <v>#N/A</v>
      </c>
      <c r="P3235" s="282">
        <f>++Tabla4[[#This Row],[Precio Descontado]]*Tabla4[[#This Row],[Cantidad]]</f>
        <v>9856.5083419999992</v>
      </c>
      <c r="Q3235" s="282" t="e">
        <f>(INDEX(Tabla6[#All],MATCH(Tabla4[[#This Row],[Producto]],Tabla6[[#All],[PRODUCTO]],0),MATCH(Tabla4[[#This Row],[Mes]],Tabla6[#Headers],0)))</f>
        <v>#N/A</v>
      </c>
      <c r="R3235" s="282" t="e">
        <f>++Tabla4[[#This Row],[Precio Unitario Neto]]-Tabla4[[#This Row],[20.85%]]-Tabla4[[#This Row],[Costo]]</f>
        <v>#N/A</v>
      </c>
      <c r="S3235" s="282" t="e">
        <f>++Tabla4[[#This Row],[U. Bruta Uni]]*Tabla4[[#This Row],[Cantidad]]</f>
        <v>#N/A</v>
      </c>
      <c r="T3235" s="369" t="str">
        <f>VLOOKUP(Tabla4[[#This Row],[Producto]],Tabla6[#All],14,FALSE)</f>
        <v>Termico Solar</v>
      </c>
      <c r="U3235" s="284" t="e">
        <f>(IF(Tabla4[[#This Row],[Familia]]="termico solar",Tabla4[[#This Row],[Utilidad Total]]*6%,Tabla4[[#This Row],[Utilidad Total]]*11.5%))/Tabla4[[#This Row],[Total]]</f>
        <v>#N/A</v>
      </c>
      <c r="V3235" s="282" t="e">
        <f>+Tabla4[[#This Row],[Comisión Calculada]]*Tabla4[[#This Row],[Total]]</f>
        <v>#N/A</v>
      </c>
    </row>
    <row r="3236" spans="1:22" hidden="1" x14ac:dyDescent="0.25">
      <c r="A3236" s="100">
        <v>45808</v>
      </c>
      <c r="B3236" t="str">
        <f t="shared" si="155"/>
        <v>May</v>
      </c>
      <c r="C3236" s="46" t="s">
        <v>280</v>
      </c>
      <c r="F3236" s="366" t="s">
        <v>1963</v>
      </c>
      <c r="G3236" s="46" t="s">
        <v>208</v>
      </c>
      <c r="H3236" s="46">
        <v>3</v>
      </c>
      <c r="I3236" s="51">
        <v>189.75</v>
      </c>
      <c r="J3236" s="281">
        <f>++Tabla4[[#This Row],[Precio Bruto]]*1.16</f>
        <v>220.10999999999999</v>
      </c>
      <c r="K3236" s="281">
        <f>+Tabla4[[#This Row],[Precio Unitario Neto]]*Tabla4[[#Headers],[20.85%]]</f>
        <v>45.892934999999994</v>
      </c>
      <c r="L3236" s="282">
        <f>++Tabla4[[#This Row],[Precio Unitario Neto]]-Tabla4[[#This Row],[20.85%]]</f>
        <v>174.21706499999999</v>
      </c>
      <c r="M3236" s="282" t="e">
        <f>(INDEX(Tabla6[#All],MATCH(Tabla4[[#This Row],[Producto]],Tabla6[[#All],[PRODUCTO]],0),MATCH(Tabla4[[#This Row],[Mes]],Tabla6[#Headers],0)))*(1+Catalogos!$L$2)</f>
        <v>#N/A</v>
      </c>
      <c r="N3236" s="283" t="e">
        <f>+(Tabla4[[#This Row],[Precio Descontado]]-Tabla4[[#This Row],[Precio Base]])*Tabla4[[#This Row],[Cantidad]]</f>
        <v>#N/A</v>
      </c>
      <c r="O3236" s="284" t="e">
        <f>++Tabla4[[#This Row],[Utilidad Total]]/Tabla4[[#This Row],[Total]]</f>
        <v>#N/A</v>
      </c>
      <c r="P3236" s="282">
        <f>++Tabla4[[#This Row],[Precio Descontado]]*Tabla4[[#This Row],[Cantidad]]</f>
        <v>522.65119499999992</v>
      </c>
      <c r="Q3236" s="282" t="e">
        <f>(INDEX(Tabla6[#All],MATCH(Tabla4[[#This Row],[Producto]],Tabla6[[#All],[PRODUCTO]],0),MATCH(Tabla4[[#This Row],[Mes]],Tabla6[#Headers],0)))</f>
        <v>#N/A</v>
      </c>
      <c r="R3236" s="282" t="e">
        <f>++Tabla4[[#This Row],[Precio Unitario Neto]]-Tabla4[[#This Row],[20.85%]]-Tabla4[[#This Row],[Costo]]</f>
        <v>#N/A</v>
      </c>
      <c r="S3236" s="282" t="e">
        <f>++Tabla4[[#This Row],[U. Bruta Uni]]*Tabla4[[#This Row],[Cantidad]]</f>
        <v>#N/A</v>
      </c>
      <c r="T3236" s="369" t="str">
        <f>VLOOKUP(Tabla4[[#This Row],[Producto]],Tabla6[#All],14,FALSE)</f>
        <v>Termico Solar</v>
      </c>
      <c r="U3236" s="284" t="e">
        <f>(IF(Tabla4[[#This Row],[Familia]]="termico solar",Tabla4[[#This Row],[Utilidad Total]]*6%,Tabla4[[#This Row],[Utilidad Total]]*11.5%))/Tabla4[[#This Row],[Total]]</f>
        <v>#N/A</v>
      </c>
      <c r="V3236" s="282" t="e">
        <f>+Tabla4[[#This Row],[Comisión Calculada]]*Tabla4[[#This Row],[Total]]</f>
        <v>#N/A</v>
      </c>
    </row>
    <row r="3237" spans="1:22" hidden="1" x14ac:dyDescent="0.25">
      <c r="A3237" s="100">
        <v>45808</v>
      </c>
      <c r="B3237" t="str">
        <f t="shared" si="155"/>
        <v>May</v>
      </c>
      <c r="C3237" s="46" t="s">
        <v>280</v>
      </c>
      <c r="F3237" s="366" t="s">
        <v>1964</v>
      </c>
      <c r="G3237" s="46" t="s">
        <v>83</v>
      </c>
      <c r="H3237" s="46">
        <v>1</v>
      </c>
      <c r="I3237" s="51">
        <v>8858.76</v>
      </c>
      <c r="J3237" s="281">
        <f>++Tabla4[[#This Row],[Precio Bruto]]*1.16</f>
        <v>10276.161599999999</v>
      </c>
      <c r="K3237" s="281">
        <f>+Tabla4[[#This Row],[Precio Unitario Neto]]*Tabla4[[#Headers],[20.85%]]</f>
        <v>2142.5796935999997</v>
      </c>
      <c r="L3237" s="282">
        <f>++Tabla4[[#This Row],[Precio Unitario Neto]]-Tabla4[[#This Row],[20.85%]]</f>
        <v>8133.5819063999998</v>
      </c>
      <c r="M3237" s="282" t="e">
        <f>(INDEX(Tabla6[#All],MATCH(Tabla4[[#This Row],[Producto]],Tabla6[[#All],[PRODUCTO]],0),MATCH(Tabla4[[#This Row],[Mes]],Tabla6[#Headers],0)))*(1+Catalogos!$L$2)</f>
        <v>#N/A</v>
      </c>
      <c r="N3237" s="283" t="e">
        <f>+(Tabla4[[#This Row],[Precio Descontado]]-Tabla4[[#This Row],[Precio Base]])*Tabla4[[#This Row],[Cantidad]]</f>
        <v>#N/A</v>
      </c>
      <c r="O3237" s="284" t="e">
        <f>++Tabla4[[#This Row],[Utilidad Total]]/Tabla4[[#This Row],[Total]]</f>
        <v>#N/A</v>
      </c>
      <c r="P3237" s="282">
        <f>++Tabla4[[#This Row],[Precio Descontado]]*Tabla4[[#This Row],[Cantidad]]</f>
        <v>8133.5819063999998</v>
      </c>
      <c r="Q3237" s="282" t="e">
        <f>(INDEX(Tabla6[#All],MATCH(Tabla4[[#This Row],[Producto]],Tabla6[[#All],[PRODUCTO]],0),MATCH(Tabla4[[#This Row],[Mes]],Tabla6[#Headers],0)))</f>
        <v>#N/A</v>
      </c>
      <c r="R3237" s="282" t="e">
        <f>++Tabla4[[#This Row],[Precio Unitario Neto]]-Tabla4[[#This Row],[20.85%]]-Tabla4[[#This Row],[Costo]]</f>
        <v>#N/A</v>
      </c>
      <c r="S3237" s="282" t="e">
        <f>++Tabla4[[#This Row],[U. Bruta Uni]]*Tabla4[[#This Row],[Cantidad]]</f>
        <v>#N/A</v>
      </c>
      <c r="T3237" s="369" t="str">
        <f>VLOOKUP(Tabla4[[#This Row],[Producto]],Tabla6[#All],14,FALSE)</f>
        <v>Termico Solar</v>
      </c>
      <c r="U3237" s="284" t="e">
        <f>(IF(Tabla4[[#This Row],[Familia]]="termico solar",Tabla4[[#This Row],[Utilidad Total]]*6%,Tabla4[[#This Row],[Utilidad Total]]*11.5%))/Tabla4[[#This Row],[Total]]</f>
        <v>#N/A</v>
      </c>
      <c r="V3237" s="282" t="e">
        <f>+Tabla4[[#This Row],[Comisión Calculada]]*Tabla4[[#This Row],[Total]]</f>
        <v>#N/A</v>
      </c>
    </row>
    <row r="3238" spans="1:22" hidden="1" x14ac:dyDescent="0.25">
      <c r="A3238" s="100">
        <v>45808</v>
      </c>
      <c r="B3238" t="str">
        <f t="shared" si="155"/>
        <v>May</v>
      </c>
      <c r="C3238" s="46" t="s">
        <v>280</v>
      </c>
      <c r="F3238" s="366" t="s">
        <v>1964</v>
      </c>
      <c r="G3238" s="46" t="s">
        <v>17</v>
      </c>
      <c r="H3238" s="46">
        <v>1</v>
      </c>
      <c r="I3238" s="51">
        <v>4622.28</v>
      </c>
      <c r="J3238" s="281">
        <f>++Tabla4[[#This Row],[Precio Bruto]]*1.16</f>
        <v>5361.8447999999989</v>
      </c>
      <c r="K3238" s="281">
        <f>+Tabla4[[#This Row],[Precio Unitario Neto]]*Tabla4[[#Headers],[20.85%]]</f>
        <v>1117.9446407999997</v>
      </c>
      <c r="L3238" s="282">
        <f>++Tabla4[[#This Row],[Precio Unitario Neto]]-Tabla4[[#This Row],[20.85%]]</f>
        <v>4243.9001591999995</v>
      </c>
      <c r="M3238" s="282" t="e">
        <f>(INDEX(Tabla6[#All],MATCH(Tabla4[[#This Row],[Producto]],Tabla6[[#All],[PRODUCTO]],0),MATCH(Tabla4[[#This Row],[Mes]],Tabla6[#Headers],0)))*(1+Catalogos!$L$2)</f>
        <v>#N/A</v>
      </c>
      <c r="N3238" s="283" t="e">
        <f>+(Tabla4[[#This Row],[Precio Descontado]]-Tabla4[[#This Row],[Precio Base]])*Tabla4[[#This Row],[Cantidad]]</f>
        <v>#N/A</v>
      </c>
      <c r="O3238" s="284" t="e">
        <f>++Tabla4[[#This Row],[Utilidad Total]]/Tabla4[[#This Row],[Total]]</f>
        <v>#N/A</v>
      </c>
      <c r="P3238" s="282">
        <f>++Tabla4[[#This Row],[Precio Descontado]]*Tabla4[[#This Row],[Cantidad]]</f>
        <v>4243.9001591999995</v>
      </c>
      <c r="Q3238" s="282" t="e">
        <f>(INDEX(Tabla6[#All],MATCH(Tabla4[[#This Row],[Producto]],Tabla6[[#All],[PRODUCTO]],0),MATCH(Tabla4[[#This Row],[Mes]],Tabla6[#Headers],0)))</f>
        <v>#N/A</v>
      </c>
      <c r="R3238" s="282" t="e">
        <f>++Tabla4[[#This Row],[Precio Unitario Neto]]-Tabla4[[#This Row],[20.85%]]-Tabla4[[#This Row],[Costo]]</f>
        <v>#N/A</v>
      </c>
      <c r="S3238" s="282" t="e">
        <f>++Tabla4[[#This Row],[U. Bruta Uni]]*Tabla4[[#This Row],[Cantidad]]</f>
        <v>#N/A</v>
      </c>
      <c r="T3238" s="369" t="str">
        <f>VLOOKUP(Tabla4[[#This Row],[Producto]],Tabla6[#All],14,FALSE)</f>
        <v>Termico Solar</v>
      </c>
      <c r="U3238" s="284" t="e">
        <f>(IF(Tabla4[[#This Row],[Familia]]="termico solar",Tabla4[[#This Row],[Utilidad Total]]*6%,Tabla4[[#This Row],[Utilidad Total]]*11.5%))/Tabla4[[#This Row],[Total]]</f>
        <v>#N/A</v>
      </c>
      <c r="V3238" s="282" t="e">
        <f>+Tabla4[[#This Row],[Comisión Calculada]]*Tabla4[[#This Row],[Total]]</f>
        <v>#N/A</v>
      </c>
    </row>
    <row r="3239" spans="1:22" hidden="1" x14ac:dyDescent="0.25">
      <c r="A3239" s="100">
        <v>45808</v>
      </c>
      <c r="B3239" t="str">
        <f t="shared" si="155"/>
        <v>May</v>
      </c>
      <c r="C3239" s="46" t="s">
        <v>280</v>
      </c>
      <c r="F3239" s="366" t="s">
        <v>1964</v>
      </c>
      <c r="G3239" s="46" t="s">
        <v>18</v>
      </c>
      <c r="H3239" s="46">
        <v>1</v>
      </c>
      <c r="I3239" s="51">
        <v>5367.65</v>
      </c>
      <c r="J3239" s="281">
        <f>++Tabla4[[#This Row],[Precio Bruto]]*1.16</f>
        <v>6226.4739999999993</v>
      </c>
      <c r="K3239" s="281">
        <f>+Tabla4[[#This Row],[Precio Unitario Neto]]*Tabla4[[#Headers],[20.85%]]</f>
        <v>1298.2198289999999</v>
      </c>
      <c r="L3239" s="282">
        <f>++Tabla4[[#This Row],[Precio Unitario Neto]]-Tabla4[[#This Row],[20.85%]]</f>
        <v>4928.2541709999996</v>
      </c>
      <c r="M3239" s="282" t="e">
        <f>(INDEX(Tabla6[#All],MATCH(Tabla4[[#This Row],[Producto]],Tabla6[[#All],[PRODUCTO]],0),MATCH(Tabla4[[#This Row],[Mes]],Tabla6[#Headers],0)))*(1+Catalogos!$L$2)</f>
        <v>#N/A</v>
      </c>
      <c r="N3239" s="283" t="e">
        <f>+(Tabla4[[#This Row],[Precio Descontado]]-Tabla4[[#This Row],[Precio Base]])*Tabla4[[#This Row],[Cantidad]]</f>
        <v>#N/A</v>
      </c>
      <c r="O3239" s="284" t="e">
        <f>++Tabla4[[#This Row],[Utilidad Total]]/Tabla4[[#This Row],[Total]]</f>
        <v>#N/A</v>
      </c>
      <c r="P3239" s="282">
        <f>++Tabla4[[#This Row],[Precio Descontado]]*Tabla4[[#This Row],[Cantidad]]</f>
        <v>4928.2541709999996</v>
      </c>
      <c r="Q3239" s="282" t="e">
        <f>(INDEX(Tabla6[#All],MATCH(Tabla4[[#This Row],[Producto]],Tabla6[[#All],[PRODUCTO]],0),MATCH(Tabla4[[#This Row],[Mes]],Tabla6[#Headers],0)))</f>
        <v>#N/A</v>
      </c>
      <c r="R3239" s="282" t="e">
        <f>++Tabla4[[#This Row],[Precio Unitario Neto]]-Tabla4[[#This Row],[20.85%]]-Tabla4[[#This Row],[Costo]]</f>
        <v>#N/A</v>
      </c>
      <c r="S3239" s="282" t="e">
        <f>++Tabla4[[#This Row],[U. Bruta Uni]]*Tabla4[[#This Row],[Cantidad]]</f>
        <v>#N/A</v>
      </c>
      <c r="T3239" s="369" t="str">
        <f>VLOOKUP(Tabla4[[#This Row],[Producto]],Tabla6[#All],14,FALSE)</f>
        <v>Termico Solar</v>
      </c>
      <c r="U3239" s="284" t="e">
        <f>(IF(Tabla4[[#This Row],[Familia]]="termico solar",Tabla4[[#This Row],[Utilidad Total]]*6%,Tabla4[[#This Row],[Utilidad Total]]*11.5%))/Tabla4[[#This Row],[Total]]</f>
        <v>#N/A</v>
      </c>
      <c r="V3239" s="282" t="e">
        <f>+Tabla4[[#This Row],[Comisión Calculada]]*Tabla4[[#This Row],[Total]]</f>
        <v>#N/A</v>
      </c>
    </row>
    <row r="3240" spans="1:22" hidden="1" x14ac:dyDescent="0.25">
      <c r="A3240" s="100">
        <v>45808</v>
      </c>
      <c r="B3240" t="str">
        <f t="shared" si="155"/>
        <v>May</v>
      </c>
      <c r="C3240" s="46" t="s">
        <v>280</v>
      </c>
      <c r="F3240" s="366" t="s">
        <v>1964</v>
      </c>
      <c r="G3240" s="46" t="s">
        <v>16</v>
      </c>
      <c r="H3240" s="46">
        <v>1</v>
      </c>
      <c r="I3240" s="51">
        <v>4103.8500000000004</v>
      </c>
      <c r="J3240" s="281">
        <f>++Tabla4[[#This Row],[Precio Bruto]]*1.16</f>
        <v>4760.4660000000003</v>
      </c>
      <c r="K3240" s="281">
        <f>+Tabla4[[#This Row],[Precio Unitario Neto]]*Tabla4[[#Headers],[20.85%]]</f>
        <v>992.55716100000006</v>
      </c>
      <c r="L3240" s="282">
        <f>++Tabla4[[#This Row],[Precio Unitario Neto]]-Tabla4[[#This Row],[20.85%]]</f>
        <v>3767.9088390000002</v>
      </c>
      <c r="M3240" s="282" t="e">
        <f>(INDEX(Tabla6[#All],MATCH(Tabla4[[#This Row],[Producto]],Tabla6[[#All],[PRODUCTO]],0),MATCH(Tabla4[[#This Row],[Mes]],Tabla6[#Headers],0)))*(1+Catalogos!$L$2)</f>
        <v>#N/A</v>
      </c>
      <c r="N3240" s="283" t="e">
        <f>+(Tabla4[[#This Row],[Precio Descontado]]-Tabla4[[#This Row],[Precio Base]])*Tabla4[[#This Row],[Cantidad]]</f>
        <v>#N/A</v>
      </c>
      <c r="O3240" s="284" t="e">
        <f>++Tabla4[[#This Row],[Utilidad Total]]/Tabla4[[#This Row],[Total]]</f>
        <v>#N/A</v>
      </c>
      <c r="P3240" s="282">
        <f>++Tabla4[[#This Row],[Precio Descontado]]*Tabla4[[#This Row],[Cantidad]]</f>
        <v>3767.9088390000002</v>
      </c>
      <c r="Q3240" s="282" t="e">
        <f>(INDEX(Tabla6[#All],MATCH(Tabla4[[#This Row],[Producto]],Tabla6[[#All],[PRODUCTO]],0),MATCH(Tabla4[[#This Row],[Mes]],Tabla6[#Headers],0)))</f>
        <v>#N/A</v>
      </c>
      <c r="R3240" s="282" t="e">
        <f>++Tabla4[[#This Row],[Precio Unitario Neto]]-Tabla4[[#This Row],[20.85%]]-Tabla4[[#This Row],[Costo]]</f>
        <v>#N/A</v>
      </c>
      <c r="S3240" s="282" t="e">
        <f>++Tabla4[[#This Row],[U. Bruta Uni]]*Tabla4[[#This Row],[Cantidad]]</f>
        <v>#N/A</v>
      </c>
      <c r="T3240" s="369" t="str">
        <f>VLOOKUP(Tabla4[[#This Row],[Producto]],Tabla6[#All],14,FALSE)</f>
        <v>Termico Solar</v>
      </c>
      <c r="U3240" s="284" t="e">
        <f>(IF(Tabla4[[#This Row],[Familia]]="termico solar",Tabla4[[#This Row],[Utilidad Total]]*6%,Tabla4[[#This Row],[Utilidad Total]]*11.5%))/Tabla4[[#This Row],[Total]]</f>
        <v>#N/A</v>
      </c>
      <c r="V3240" s="282" t="e">
        <f>+Tabla4[[#This Row],[Comisión Calculada]]*Tabla4[[#This Row],[Total]]</f>
        <v>#N/A</v>
      </c>
    </row>
    <row r="3241" spans="1:22" hidden="1" x14ac:dyDescent="0.25">
      <c r="A3241" s="100">
        <v>45808</v>
      </c>
      <c r="B3241" t="str">
        <f t="shared" si="155"/>
        <v>May</v>
      </c>
      <c r="C3241" s="46" t="s">
        <v>280</v>
      </c>
      <c r="F3241" s="366" t="s">
        <v>1965</v>
      </c>
      <c r="G3241" s="46" t="s">
        <v>16</v>
      </c>
      <c r="H3241" s="46">
        <v>2</v>
      </c>
      <c r="I3241" s="51">
        <v>4103.8500000000004</v>
      </c>
      <c r="J3241" s="281">
        <f>++Tabla4[[#This Row],[Precio Bruto]]*1.16</f>
        <v>4760.4660000000003</v>
      </c>
      <c r="K3241" s="281">
        <f>+Tabla4[[#This Row],[Precio Unitario Neto]]*Tabla4[[#Headers],[20.85%]]</f>
        <v>992.55716100000006</v>
      </c>
      <c r="L3241" s="282">
        <f>++Tabla4[[#This Row],[Precio Unitario Neto]]-Tabla4[[#This Row],[20.85%]]</f>
        <v>3767.9088390000002</v>
      </c>
      <c r="M3241" s="282" t="e">
        <f>(INDEX(Tabla6[#All],MATCH(Tabla4[[#This Row],[Producto]],Tabla6[[#All],[PRODUCTO]],0),MATCH(Tabla4[[#This Row],[Mes]],Tabla6[#Headers],0)))*(1+Catalogos!$L$2)</f>
        <v>#N/A</v>
      </c>
      <c r="N3241" s="283" t="e">
        <f>+(Tabla4[[#This Row],[Precio Descontado]]-Tabla4[[#This Row],[Precio Base]])*Tabla4[[#This Row],[Cantidad]]</f>
        <v>#N/A</v>
      </c>
      <c r="O3241" s="284" t="e">
        <f>++Tabla4[[#This Row],[Utilidad Total]]/Tabla4[[#This Row],[Total]]</f>
        <v>#N/A</v>
      </c>
      <c r="P3241" s="282">
        <f>++Tabla4[[#This Row],[Precio Descontado]]*Tabla4[[#This Row],[Cantidad]]</f>
        <v>7535.8176780000003</v>
      </c>
      <c r="Q3241" s="282" t="e">
        <f>(INDEX(Tabla6[#All],MATCH(Tabla4[[#This Row],[Producto]],Tabla6[[#All],[PRODUCTO]],0),MATCH(Tabla4[[#This Row],[Mes]],Tabla6[#Headers],0)))</f>
        <v>#N/A</v>
      </c>
      <c r="R3241" s="282" t="e">
        <f>++Tabla4[[#This Row],[Precio Unitario Neto]]-Tabla4[[#This Row],[20.85%]]-Tabla4[[#This Row],[Costo]]</f>
        <v>#N/A</v>
      </c>
      <c r="S3241" s="282" t="e">
        <f>++Tabla4[[#This Row],[U. Bruta Uni]]*Tabla4[[#This Row],[Cantidad]]</f>
        <v>#N/A</v>
      </c>
      <c r="T3241" s="369" t="str">
        <f>VLOOKUP(Tabla4[[#This Row],[Producto]],Tabla6[#All],14,FALSE)</f>
        <v>Termico Solar</v>
      </c>
      <c r="U3241" s="284" t="e">
        <f>(IF(Tabla4[[#This Row],[Familia]]="termico solar",Tabla4[[#This Row],[Utilidad Total]]*6%,Tabla4[[#This Row],[Utilidad Total]]*11.5%))/Tabla4[[#This Row],[Total]]</f>
        <v>#N/A</v>
      </c>
      <c r="V3241" s="282" t="e">
        <f>+Tabla4[[#This Row],[Comisión Calculada]]*Tabla4[[#This Row],[Total]]</f>
        <v>#N/A</v>
      </c>
    </row>
    <row r="3242" spans="1:22" hidden="1" x14ac:dyDescent="0.25">
      <c r="A3242" s="100">
        <v>45808</v>
      </c>
      <c r="B3242" t="str">
        <f t="shared" si="155"/>
        <v>May</v>
      </c>
      <c r="C3242" s="46" t="s">
        <v>280</v>
      </c>
      <c r="F3242" s="366" t="s">
        <v>1965</v>
      </c>
      <c r="G3242" s="46" t="s">
        <v>208</v>
      </c>
      <c r="H3242" s="46">
        <v>2</v>
      </c>
      <c r="I3242" s="51">
        <v>189.75</v>
      </c>
      <c r="J3242" s="281">
        <f>++Tabla4[[#This Row],[Precio Bruto]]*1.16</f>
        <v>220.10999999999999</v>
      </c>
      <c r="K3242" s="281">
        <f>+Tabla4[[#This Row],[Precio Unitario Neto]]*Tabla4[[#Headers],[20.85%]]</f>
        <v>45.892934999999994</v>
      </c>
      <c r="L3242" s="282">
        <f>++Tabla4[[#This Row],[Precio Unitario Neto]]-Tabla4[[#This Row],[20.85%]]</f>
        <v>174.21706499999999</v>
      </c>
      <c r="M3242" s="282" t="e">
        <f>(INDEX(Tabla6[#All],MATCH(Tabla4[[#This Row],[Producto]],Tabla6[[#All],[PRODUCTO]],0),MATCH(Tabla4[[#This Row],[Mes]],Tabla6[#Headers],0)))*(1+Catalogos!$L$2)</f>
        <v>#N/A</v>
      </c>
      <c r="N3242" s="283" t="e">
        <f>+(Tabla4[[#This Row],[Precio Descontado]]-Tabla4[[#This Row],[Precio Base]])*Tabla4[[#This Row],[Cantidad]]</f>
        <v>#N/A</v>
      </c>
      <c r="O3242" s="284" t="e">
        <f>++Tabla4[[#This Row],[Utilidad Total]]/Tabla4[[#This Row],[Total]]</f>
        <v>#N/A</v>
      </c>
      <c r="P3242" s="282">
        <f>++Tabla4[[#This Row],[Precio Descontado]]*Tabla4[[#This Row],[Cantidad]]</f>
        <v>348.43412999999998</v>
      </c>
      <c r="Q3242" s="282" t="e">
        <f>(INDEX(Tabla6[#All],MATCH(Tabla4[[#This Row],[Producto]],Tabla6[[#All],[PRODUCTO]],0),MATCH(Tabla4[[#This Row],[Mes]],Tabla6[#Headers],0)))</f>
        <v>#N/A</v>
      </c>
      <c r="R3242" s="282" t="e">
        <f>++Tabla4[[#This Row],[Precio Unitario Neto]]-Tabla4[[#This Row],[20.85%]]-Tabla4[[#This Row],[Costo]]</f>
        <v>#N/A</v>
      </c>
      <c r="S3242" s="282" t="e">
        <f>++Tabla4[[#This Row],[U. Bruta Uni]]*Tabla4[[#This Row],[Cantidad]]</f>
        <v>#N/A</v>
      </c>
      <c r="T3242" s="369" t="str">
        <f>VLOOKUP(Tabla4[[#This Row],[Producto]],Tabla6[#All],14,FALSE)</f>
        <v>Termico Solar</v>
      </c>
      <c r="U3242" s="284" t="e">
        <f>(IF(Tabla4[[#This Row],[Familia]]="termico solar",Tabla4[[#This Row],[Utilidad Total]]*6%,Tabla4[[#This Row],[Utilidad Total]]*11.5%))/Tabla4[[#This Row],[Total]]</f>
        <v>#N/A</v>
      </c>
      <c r="V3242" s="282" t="e">
        <f>+Tabla4[[#This Row],[Comisión Calculada]]*Tabla4[[#This Row],[Total]]</f>
        <v>#N/A</v>
      </c>
    </row>
    <row r="3243" spans="1:22" hidden="1" x14ac:dyDescent="0.25">
      <c r="A3243" s="100">
        <v>45808</v>
      </c>
      <c r="B3243" t="str">
        <f t="shared" si="155"/>
        <v>May</v>
      </c>
      <c r="C3243" s="46" t="s">
        <v>280</v>
      </c>
      <c r="F3243" s="366" t="s">
        <v>1966</v>
      </c>
      <c r="G3243" s="46" t="s">
        <v>83</v>
      </c>
      <c r="H3243" s="46">
        <v>3</v>
      </c>
      <c r="I3243" s="51">
        <v>8858.76</v>
      </c>
      <c r="J3243" s="281">
        <f>++Tabla4[[#This Row],[Precio Bruto]]*1.16</f>
        <v>10276.161599999999</v>
      </c>
      <c r="K3243" s="281">
        <f>+Tabla4[[#This Row],[Precio Unitario Neto]]*Tabla4[[#Headers],[20.85%]]</f>
        <v>2142.5796935999997</v>
      </c>
      <c r="L3243" s="282">
        <f>++Tabla4[[#This Row],[Precio Unitario Neto]]-Tabla4[[#This Row],[20.85%]]</f>
        <v>8133.5819063999998</v>
      </c>
      <c r="M3243" s="282" t="e">
        <f>(INDEX(Tabla6[#All],MATCH(Tabla4[[#This Row],[Producto]],Tabla6[[#All],[PRODUCTO]],0),MATCH(Tabla4[[#This Row],[Mes]],Tabla6[#Headers],0)))*(1+Catalogos!$L$2)</f>
        <v>#N/A</v>
      </c>
      <c r="N3243" s="283" t="e">
        <f>+(Tabla4[[#This Row],[Precio Descontado]]-Tabla4[[#This Row],[Precio Base]])*Tabla4[[#This Row],[Cantidad]]</f>
        <v>#N/A</v>
      </c>
      <c r="O3243" s="284" t="e">
        <f>++Tabla4[[#This Row],[Utilidad Total]]/Tabla4[[#This Row],[Total]]</f>
        <v>#N/A</v>
      </c>
      <c r="P3243" s="282">
        <f>++Tabla4[[#This Row],[Precio Descontado]]*Tabla4[[#This Row],[Cantidad]]</f>
        <v>24400.7457192</v>
      </c>
      <c r="Q3243" s="282" t="e">
        <f>(INDEX(Tabla6[#All],MATCH(Tabla4[[#This Row],[Producto]],Tabla6[[#All],[PRODUCTO]],0),MATCH(Tabla4[[#This Row],[Mes]],Tabla6[#Headers],0)))</f>
        <v>#N/A</v>
      </c>
      <c r="R3243" s="282" t="e">
        <f>++Tabla4[[#This Row],[Precio Unitario Neto]]-Tabla4[[#This Row],[20.85%]]-Tabla4[[#This Row],[Costo]]</f>
        <v>#N/A</v>
      </c>
      <c r="S3243" s="282" t="e">
        <f>++Tabla4[[#This Row],[U. Bruta Uni]]*Tabla4[[#This Row],[Cantidad]]</f>
        <v>#N/A</v>
      </c>
      <c r="T3243" s="369" t="str">
        <f>VLOOKUP(Tabla4[[#This Row],[Producto]],Tabla6[#All],14,FALSE)</f>
        <v>Termico Solar</v>
      </c>
      <c r="U3243" s="284" t="e">
        <f>(IF(Tabla4[[#This Row],[Familia]]="termico solar",Tabla4[[#This Row],[Utilidad Total]]*6%,Tabla4[[#This Row],[Utilidad Total]]*11.5%))/Tabla4[[#This Row],[Total]]</f>
        <v>#N/A</v>
      </c>
      <c r="V3243" s="282" t="e">
        <f>+Tabla4[[#This Row],[Comisión Calculada]]*Tabla4[[#This Row],[Total]]</f>
        <v>#N/A</v>
      </c>
    </row>
    <row r="3244" spans="1:22" hidden="1" x14ac:dyDescent="0.25">
      <c r="A3244" s="100">
        <v>45808</v>
      </c>
      <c r="B3244" t="str">
        <f t="shared" si="155"/>
        <v>May</v>
      </c>
      <c r="C3244" s="46" t="s">
        <v>280</v>
      </c>
      <c r="F3244" s="366" t="s">
        <v>1966</v>
      </c>
      <c r="G3244" s="46" t="s">
        <v>18</v>
      </c>
      <c r="H3244" s="46">
        <v>1</v>
      </c>
      <c r="I3244" s="51">
        <v>5367.65</v>
      </c>
      <c r="J3244" s="281">
        <f>++Tabla4[[#This Row],[Precio Bruto]]*1.16</f>
        <v>6226.4739999999993</v>
      </c>
      <c r="K3244" s="281">
        <f>+Tabla4[[#This Row],[Precio Unitario Neto]]*Tabla4[[#Headers],[20.85%]]</f>
        <v>1298.2198289999999</v>
      </c>
      <c r="L3244" s="282">
        <f>++Tabla4[[#This Row],[Precio Unitario Neto]]-Tabla4[[#This Row],[20.85%]]</f>
        <v>4928.2541709999996</v>
      </c>
      <c r="M3244" s="282" t="e">
        <f>(INDEX(Tabla6[#All],MATCH(Tabla4[[#This Row],[Producto]],Tabla6[[#All],[PRODUCTO]],0),MATCH(Tabla4[[#This Row],[Mes]],Tabla6[#Headers],0)))*(1+Catalogos!$L$2)</f>
        <v>#N/A</v>
      </c>
      <c r="N3244" s="283" t="e">
        <f>+(Tabla4[[#This Row],[Precio Descontado]]-Tabla4[[#This Row],[Precio Base]])*Tabla4[[#This Row],[Cantidad]]</f>
        <v>#N/A</v>
      </c>
      <c r="O3244" s="284" t="e">
        <f>++Tabla4[[#This Row],[Utilidad Total]]/Tabla4[[#This Row],[Total]]</f>
        <v>#N/A</v>
      </c>
      <c r="P3244" s="282">
        <f>++Tabla4[[#This Row],[Precio Descontado]]*Tabla4[[#This Row],[Cantidad]]</f>
        <v>4928.2541709999996</v>
      </c>
      <c r="Q3244" s="282" t="e">
        <f>(INDEX(Tabla6[#All],MATCH(Tabla4[[#This Row],[Producto]],Tabla6[[#All],[PRODUCTO]],0),MATCH(Tabla4[[#This Row],[Mes]],Tabla6[#Headers],0)))</f>
        <v>#N/A</v>
      </c>
      <c r="R3244" s="282" t="e">
        <f>++Tabla4[[#This Row],[Precio Unitario Neto]]-Tabla4[[#This Row],[20.85%]]-Tabla4[[#This Row],[Costo]]</f>
        <v>#N/A</v>
      </c>
      <c r="S3244" s="282" t="e">
        <f>++Tabla4[[#This Row],[U. Bruta Uni]]*Tabla4[[#This Row],[Cantidad]]</f>
        <v>#N/A</v>
      </c>
      <c r="T3244" s="369" t="str">
        <f>VLOOKUP(Tabla4[[#This Row],[Producto]],Tabla6[#All],14,FALSE)</f>
        <v>Termico Solar</v>
      </c>
      <c r="U3244" s="284" t="e">
        <f>(IF(Tabla4[[#This Row],[Familia]]="termico solar",Tabla4[[#This Row],[Utilidad Total]]*6%,Tabla4[[#This Row],[Utilidad Total]]*11.5%))/Tabla4[[#This Row],[Total]]</f>
        <v>#N/A</v>
      </c>
      <c r="V3244" s="282" t="e">
        <f>+Tabla4[[#This Row],[Comisión Calculada]]*Tabla4[[#This Row],[Total]]</f>
        <v>#N/A</v>
      </c>
    </row>
    <row r="3245" spans="1:22" hidden="1" x14ac:dyDescent="0.25">
      <c r="A3245" s="100">
        <v>45808</v>
      </c>
      <c r="B3245" t="str">
        <f t="shared" si="155"/>
        <v>May</v>
      </c>
      <c r="C3245" s="46" t="s">
        <v>280</v>
      </c>
      <c r="F3245" s="366" t="s">
        <v>1966</v>
      </c>
      <c r="G3245" s="46" t="s">
        <v>16</v>
      </c>
      <c r="H3245" s="46">
        <v>2</v>
      </c>
      <c r="I3245" s="51">
        <v>4103.8500000000004</v>
      </c>
      <c r="J3245" s="281">
        <f>++Tabla4[[#This Row],[Precio Bruto]]*1.16</f>
        <v>4760.4660000000003</v>
      </c>
      <c r="K3245" s="281">
        <f>+Tabla4[[#This Row],[Precio Unitario Neto]]*Tabla4[[#Headers],[20.85%]]</f>
        <v>992.55716100000006</v>
      </c>
      <c r="L3245" s="282">
        <f>++Tabla4[[#This Row],[Precio Unitario Neto]]-Tabla4[[#This Row],[20.85%]]</f>
        <v>3767.9088390000002</v>
      </c>
      <c r="M3245" s="282" t="e">
        <f>(INDEX(Tabla6[#All],MATCH(Tabla4[[#This Row],[Producto]],Tabla6[[#All],[PRODUCTO]],0),MATCH(Tabla4[[#This Row],[Mes]],Tabla6[#Headers],0)))*(1+Catalogos!$L$2)</f>
        <v>#N/A</v>
      </c>
      <c r="N3245" s="283" t="e">
        <f>+(Tabla4[[#This Row],[Precio Descontado]]-Tabla4[[#This Row],[Precio Base]])*Tabla4[[#This Row],[Cantidad]]</f>
        <v>#N/A</v>
      </c>
      <c r="O3245" s="284" t="e">
        <f>++Tabla4[[#This Row],[Utilidad Total]]/Tabla4[[#This Row],[Total]]</f>
        <v>#N/A</v>
      </c>
      <c r="P3245" s="282">
        <f>++Tabla4[[#This Row],[Precio Descontado]]*Tabla4[[#This Row],[Cantidad]]</f>
        <v>7535.8176780000003</v>
      </c>
      <c r="Q3245" s="282" t="e">
        <f>(INDEX(Tabla6[#All],MATCH(Tabla4[[#This Row],[Producto]],Tabla6[[#All],[PRODUCTO]],0),MATCH(Tabla4[[#This Row],[Mes]],Tabla6[#Headers],0)))</f>
        <v>#N/A</v>
      </c>
      <c r="R3245" s="282" t="e">
        <f>++Tabla4[[#This Row],[Precio Unitario Neto]]-Tabla4[[#This Row],[20.85%]]-Tabla4[[#This Row],[Costo]]</f>
        <v>#N/A</v>
      </c>
      <c r="S3245" s="282" t="e">
        <f>++Tabla4[[#This Row],[U. Bruta Uni]]*Tabla4[[#This Row],[Cantidad]]</f>
        <v>#N/A</v>
      </c>
      <c r="T3245" s="369" t="str">
        <f>VLOOKUP(Tabla4[[#This Row],[Producto]],Tabla6[#All],14,FALSE)</f>
        <v>Termico Solar</v>
      </c>
      <c r="U3245" s="284" t="e">
        <f>(IF(Tabla4[[#This Row],[Familia]]="termico solar",Tabla4[[#This Row],[Utilidad Total]]*6%,Tabla4[[#This Row],[Utilidad Total]]*11.5%))/Tabla4[[#This Row],[Total]]</f>
        <v>#N/A</v>
      </c>
      <c r="V3245" s="282" t="e">
        <f>+Tabla4[[#This Row],[Comisión Calculada]]*Tabla4[[#This Row],[Total]]</f>
        <v>#N/A</v>
      </c>
    </row>
    <row r="3246" spans="1:22" hidden="1" x14ac:dyDescent="0.25">
      <c r="A3246" s="100">
        <v>45808</v>
      </c>
      <c r="B3246" t="str">
        <f t="shared" si="155"/>
        <v>May</v>
      </c>
      <c r="C3246" s="46" t="s">
        <v>280</v>
      </c>
      <c r="F3246" s="366" t="s">
        <v>1966</v>
      </c>
      <c r="G3246" s="46" t="s">
        <v>555</v>
      </c>
      <c r="H3246" s="46">
        <v>8</v>
      </c>
      <c r="I3246" s="51">
        <v>389.47</v>
      </c>
      <c r="J3246" s="281">
        <f>++Tabla4[[#This Row],[Precio Bruto]]*1.16</f>
        <v>451.78519999999997</v>
      </c>
      <c r="K3246" s="281">
        <f>+Tabla4[[#This Row],[Precio Unitario Neto]]*Tabla4[[#Headers],[20.85%]]</f>
        <v>94.197214199999991</v>
      </c>
      <c r="L3246" s="282">
        <f>++Tabla4[[#This Row],[Precio Unitario Neto]]-Tabla4[[#This Row],[20.85%]]</f>
        <v>357.58798579999996</v>
      </c>
      <c r="M3246" s="282" t="e">
        <f>(INDEX(Tabla6[#All],MATCH(Tabla4[[#This Row],[Producto]],Tabla6[[#All],[PRODUCTO]],0),MATCH(Tabla4[[#This Row],[Mes]],Tabla6[#Headers],0)))*(1+Catalogos!$L$2)</f>
        <v>#N/A</v>
      </c>
      <c r="N3246" s="283" t="e">
        <f>+(Tabla4[[#This Row],[Precio Descontado]]-Tabla4[[#This Row],[Precio Base]])*Tabla4[[#This Row],[Cantidad]]</f>
        <v>#N/A</v>
      </c>
      <c r="O3246" s="284" t="e">
        <f>++Tabla4[[#This Row],[Utilidad Total]]/Tabla4[[#This Row],[Total]]</f>
        <v>#N/A</v>
      </c>
      <c r="P3246" s="282">
        <f>++Tabla4[[#This Row],[Precio Descontado]]*Tabla4[[#This Row],[Cantidad]]</f>
        <v>2860.7038863999996</v>
      </c>
      <c r="Q3246" s="282" t="e">
        <f>(INDEX(Tabla6[#All],MATCH(Tabla4[[#This Row],[Producto]],Tabla6[[#All],[PRODUCTO]],0),MATCH(Tabla4[[#This Row],[Mes]],Tabla6[#Headers],0)))</f>
        <v>#N/A</v>
      </c>
      <c r="R3246" s="282" t="e">
        <f>++Tabla4[[#This Row],[Precio Unitario Neto]]-Tabla4[[#This Row],[20.85%]]-Tabla4[[#This Row],[Costo]]</f>
        <v>#N/A</v>
      </c>
      <c r="S3246" s="282" t="e">
        <f>++Tabla4[[#This Row],[U. Bruta Uni]]*Tabla4[[#This Row],[Cantidad]]</f>
        <v>#N/A</v>
      </c>
      <c r="T3246" s="369" t="str">
        <f>VLOOKUP(Tabla4[[#This Row],[Producto]],Tabla6[#All],14,FALSE)</f>
        <v>Termico Solar</v>
      </c>
      <c r="U3246" s="284" t="e">
        <f>(IF(Tabla4[[#This Row],[Familia]]="termico solar",Tabla4[[#This Row],[Utilidad Total]]*6%,Tabla4[[#This Row],[Utilidad Total]]*11.5%))/Tabla4[[#This Row],[Total]]</f>
        <v>#N/A</v>
      </c>
      <c r="V3246" s="282" t="e">
        <f>+Tabla4[[#This Row],[Comisión Calculada]]*Tabla4[[#This Row],[Total]]</f>
        <v>#N/A</v>
      </c>
    </row>
    <row r="3247" spans="1:22" hidden="1" x14ac:dyDescent="0.25">
      <c r="A3247" s="100">
        <v>45808</v>
      </c>
      <c r="B3247" t="str">
        <f t="shared" si="155"/>
        <v>May</v>
      </c>
      <c r="C3247" s="46" t="s">
        <v>280</v>
      </c>
      <c r="F3247" s="366" t="s">
        <v>1966</v>
      </c>
      <c r="G3247" s="46" t="s">
        <v>208</v>
      </c>
      <c r="H3247" s="46">
        <v>16</v>
      </c>
      <c r="I3247" s="51">
        <v>189.75</v>
      </c>
      <c r="J3247" s="281">
        <f>++Tabla4[[#This Row],[Precio Bruto]]*1.16</f>
        <v>220.10999999999999</v>
      </c>
      <c r="K3247" s="281">
        <f>+Tabla4[[#This Row],[Precio Unitario Neto]]*Tabla4[[#Headers],[20.85%]]</f>
        <v>45.892934999999994</v>
      </c>
      <c r="L3247" s="282">
        <f>++Tabla4[[#This Row],[Precio Unitario Neto]]-Tabla4[[#This Row],[20.85%]]</f>
        <v>174.21706499999999</v>
      </c>
      <c r="M3247" s="282" t="e">
        <f>(INDEX(Tabla6[#All],MATCH(Tabla4[[#This Row],[Producto]],Tabla6[[#All],[PRODUCTO]],0),MATCH(Tabla4[[#This Row],[Mes]],Tabla6[#Headers],0)))*(1+Catalogos!$L$2)</f>
        <v>#N/A</v>
      </c>
      <c r="N3247" s="283" t="e">
        <f>+(Tabla4[[#This Row],[Precio Descontado]]-Tabla4[[#This Row],[Precio Base]])*Tabla4[[#This Row],[Cantidad]]</f>
        <v>#N/A</v>
      </c>
      <c r="O3247" s="284" t="e">
        <f>++Tabla4[[#This Row],[Utilidad Total]]/Tabla4[[#This Row],[Total]]</f>
        <v>#N/A</v>
      </c>
      <c r="P3247" s="282">
        <f>++Tabla4[[#This Row],[Precio Descontado]]*Tabla4[[#This Row],[Cantidad]]</f>
        <v>2787.4730399999999</v>
      </c>
      <c r="Q3247" s="282" t="e">
        <f>(INDEX(Tabla6[#All],MATCH(Tabla4[[#This Row],[Producto]],Tabla6[[#All],[PRODUCTO]],0),MATCH(Tabla4[[#This Row],[Mes]],Tabla6[#Headers],0)))</f>
        <v>#N/A</v>
      </c>
      <c r="R3247" s="282" t="e">
        <f>++Tabla4[[#This Row],[Precio Unitario Neto]]-Tabla4[[#This Row],[20.85%]]-Tabla4[[#This Row],[Costo]]</f>
        <v>#N/A</v>
      </c>
      <c r="S3247" s="282" t="e">
        <f>++Tabla4[[#This Row],[U. Bruta Uni]]*Tabla4[[#This Row],[Cantidad]]</f>
        <v>#N/A</v>
      </c>
      <c r="T3247" s="369" t="str">
        <f>VLOOKUP(Tabla4[[#This Row],[Producto]],Tabla6[#All],14,FALSE)</f>
        <v>Termico Solar</v>
      </c>
      <c r="U3247" s="284" t="e">
        <f>(IF(Tabla4[[#This Row],[Familia]]="termico solar",Tabla4[[#This Row],[Utilidad Total]]*6%,Tabla4[[#This Row],[Utilidad Total]]*11.5%))/Tabla4[[#This Row],[Total]]</f>
        <v>#N/A</v>
      </c>
      <c r="V3247" s="282" t="e">
        <f>+Tabla4[[#This Row],[Comisión Calculada]]*Tabla4[[#This Row],[Total]]</f>
        <v>#N/A</v>
      </c>
    </row>
    <row r="3248" spans="1:22" hidden="1" x14ac:dyDescent="0.25">
      <c r="A3248" s="100">
        <v>45808</v>
      </c>
      <c r="B3248" t="str">
        <f t="shared" si="155"/>
        <v>May</v>
      </c>
      <c r="C3248" s="46" t="s">
        <v>280</v>
      </c>
      <c r="F3248" s="366" t="s">
        <v>1967</v>
      </c>
      <c r="G3248" s="46" t="s">
        <v>17</v>
      </c>
      <c r="H3248" s="46">
        <v>1</v>
      </c>
      <c r="I3248" s="51">
        <v>4622.28</v>
      </c>
      <c r="J3248" s="281">
        <f>++Tabla4[[#This Row],[Precio Bruto]]*1.16</f>
        <v>5361.8447999999989</v>
      </c>
      <c r="K3248" s="281">
        <f>+Tabla4[[#This Row],[Precio Unitario Neto]]*Tabla4[[#Headers],[20.85%]]</f>
        <v>1117.9446407999997</v>
      </c>
      <c r="L3248" s="282">
        <f>++Tabla4[[#This Row],[Precio Unitario Neto]]-Tabla4[[#This Row],[20.85%]]</f>
        <v>4243.9001591999995</v>
      </c>
      <c r="M3248" s="282" t="e">
        <f>(INDEX(Tabla6[#All],MATCH(Tabla4[[#This Row],[Producto]],Tabla6[[#All],[PRODUCTO]],0),MATCH(Tabla4[[#This Row],[Mes]],Tabla6[#Headers],0)))*(1+Catalogos!$L$2)</f>
        <v>#N/A</v>
      </c>
      <c r="N3248" s="283" t="e">
        <f>+(Tabla4[[#This Row],[Precio Descontado]]-Tabla4[[#This Row],[Precio Base]])*Tabla4[[#This Row],[Cantidad]]</f>
        <v>#N/A</v>
      </c>
      <c r="O3248" s="284" t="e">
        <f>++Tabla4[[#This Row],[Utilidad Total]]/Tabla4[[#This Row],[Total]]</f>
        <v>#N/A</v>
      </c>
      <c r="P3248" s="282">
        <f>++Tabla4[[#This Row],[Precio Descontado]]*Tabla4[[#This Row],[Cantidad]]</f>
        <v>4243.9001591999995</v>
      </c>
      <c r="Q3248" s="282" t="e">
        <f>(INDEX(Tabla6[#All],MATCH(Tabla4[[#This Row],[Producto]],Tabla6[[#All],[PRODUCTO]],0),MATCH(Tabla4[[#This Row],[Mes]],Tabla6[#Headers],0)))</f>
        <v>#N/A</v>
      </c>
      <c r="R3248" s="282" t="e">
        <f>++Tabla4[[#This Row],[Precio Unitario Neto]]-Tabla4[[#This Row],[20.85%]]-Tabla4[[#This Row],[Costo]]</f>
        <v>#N/A</v>
      </c>
      <c r="S3248" s="282" t="e">
        <f>++Tabla4[[#This Row],[U. Bruta Uni]]*Tabla4[[#This Row],[Cantidad]]</f>
        <v>#N/A</v>
      </c>
      <c r="T3248" s="369" t="str">
        <f>VLOOKUP(Tabla4[[#This Row],[Producto]],Tabla6[#All],14,FALSE)</f>
        <v>Termico Solar</v>
      </c>
      <c r="U3248" s="284" t="e">
        <f>(IF(Tabla4[[#This Row],[Familia]]="termico solar",Tabla4[[#This Row],[Utilidad Total]]*6%,Tabla4[[#This Row],[Utilidad Total]]*11.5%))/Tabla4[[#This Row],[Total]]</f>
        <v>#N/A</v>
      </c>
      <c r="V3248" s="282" t="e">
        <f>+Tabla4[[#This Row],[Comisión Calculada]]*Tabla4[[#This Row],[Total]]</f>
        <v>#N/A</v>
      </c>
    </row>
    <row r="3249" spans="1:22" hidden="1" x14ac:dyDescent="0.25">
      <c r="A3249" s="100">
        <v>45808</v>
      </c>
      <c r="B3249" t="str">
        <f t="shared" si="155"/>
        <v>May</v>
      </c>
      <c r="C3249" s="46" t="s">
        <v>280</v>
      </c>
      <c r="F3249" s="366" t="s">
        <v>1967</v>
      </c>
      <c r="G3249" s="46" t="s">
        <v>566</v>
      </c>
      <c r="H3249" s="46">
        <v>1</v>
      </c>
      <c r="I3249" s="51">
        <v>2109.4499999999998</v>
      </c>
      <c r="J3249" s="281">
        <f>++Tabla4[[#This Row],[Precio Bruto]]*1.16</f>
        <v>2446.9619999999995</v>
      </c>
      <c r="K3249" s="281">
        <f>+Tabla4[[#This Row],[Precio Unitario Neto]]*Tabla4[[#Headers],[20.85%]]</f>
        <v>510.19157699999988</v>
      </c>
      <c r="L3249" s="282">
        <f>++Tabla4[[#This Row],[Precio Unitario Neto]]-Tabla4[[#This Row],[20.85%]]</f>
        <v>1936.7704229999997</v>
      </c>
      <c r="M3249" s="282" t="e">
        <f>(INDEX(Tabla6[#All],MATCH(Tabla4[[#This Row],[Producto]],Tabla6[[#All],[PRODUCTO]],0),MATCH(Tabla4[[#This Row],[Mes]],Tabla6[#Headers],0)))*(1+Catalogos!$L$2)</f>
        <v>#N/A</v>
      </c>
      <c r="N3249" s="283" t="e">
        <f>+(Tabla4[[#This Row],[Precio Descontado]]-Tabla4[[#This Row],[Precio Base]])*Tabla4[[#This Row],[Cantidad]]</f>
        <v>#N/A</v>
      </c>
      <c r="O3249" s="284" t="e">
        <f>++Tabla4[[#This Row],[Utilidad Total]]/Tabla4[[#This Row],[Total]]</f>
        <v>#N/A</v>
      </c>
      <c r="P3249" s="282">
        <f>++Tabla4[[#This Row],[Precio Descontado]]*Tabla4[[#This Row],[Cantidad]]</f>
        <v>1936.7704229999997</v>
      </c>
      <c r="Q3249" s="282" t="e">
        <f>(INDEX(Tabla6[#All],MATCH(Tabla4[[#This Row],[Producto]],Tabla6[[#All],[PRODUCTO]],0),MATCH(Tabla4[[#This Row],[Mes]],Tabla6[#Headers],0)))</f>
        <v>#N/A</v>
      </c>
      <c r="R3249" s="282" t="e">
        <f>++Tabla4[[#This Row],[Precio Unitario Neto]]-Tabla4[[#This Row],[20.85%]]-Tabla4[[#This Row],[Costo]]</f>
        <v>#N/A</v>
      </c>
      <c r="S3249" s="282" t="e">
        <f>++Tabla4[[#This Row],[U. Bruta Uni]]*Tabla4[[#This Row],[Cantidad]]</f>
        <v>#N/A</v>
      </c>
      <c r="T3249" s="369" t="str">
        <f>VLOOKUP(Tabla4[[#This Row],[Producto]],Tabla6[#All],14,FALSE)</f>
        <v>Termico Solar</v>
      </c>
      <c r="U3249" s="284" t="e">
        <f>(IF(Tabla4[[#This Row],[Familia]]="termico solar",Tabla4[[#This Row],[Utilidad Total]]*6%,Tabla4[[#This Row],[Utilidad Total]]*11.5%))/Tabla4[[#This Row],[Total]]</f>
        <v>#N/A</v>
      </c>
      <c r="V3249" s="282" t="e">
        <f>+Tabla4[[#This Row],[Comisión Calculada]]*Tabla4[[#This Row],[Total]]</f>
        <v>#N/A</v>
      </c>
    </row>
    <row r="3250" spans="1:22" hidden="1" x14ac:dyDescent="0.25">
      <c r="A3250" s="100">
        <v>45808</v>
      </c>
      <c r="B3250" t="str">
        <f t="shared" si="155"/>
        <v>May</v>
      </c>
      <c r="C3250" s="46" t="s">
        <v>280</v>
      </c>
      <c r="F3250" s="366" t="s">
        <v>1968</v>
      </c>
      <c r="G3250" s="46" t="s">
        <v>19</v>
      </c>
      <c r="H3250" s="46">
        <v>1</v>
      </c>
      <c r="I3250" s="51">
        <v>6412.03</v>
      </c>
      <c r="J3250" s="281">
        <f>++Tabla4[[#This Row],[Precio Bruto]]*1.16</f>
        <v>7437.9547999999995</v>
      </c>
      <c r="K3250" s="281">
        <f>+Tabla4[[#This Row],[Precio Unitario Neto]]*Tabla4[[#Headers],[20.85%]]</f>
        <v>1550.8135757999999</v>
      </c>
      <c r="L3250" s="282">
        <f>++Tabla4[[#This Row],[Precio Unitario Neto]]-Tabla4[[#This Row],[20.85%]]</f>
        <v>5887.1412241999997</v>
      </c>
      <c r="M3250" s="282" t="e">
        <f>(INDEX(Tabla6[#All],MATCH(Tabla4[[#This Row],[Producto]],Tabla6[[#All],[PRODUCTO]],0),MATCH(Tabla4[[#This Row],[Mes]],Tabla6[#Headers],0)))*(1+Catalogos!$L$2)</f>
        <v>#N/A</v>
      </c>
      <c r="N3250" s="283" t="e">
        <f>+(Tabla4[[#This Row],[Precio Descontado]]-Tabla4[[#This Row],[Precio Base]])*Tabla4[[#This Row],[Cantidad]]</f>
        <v>#N/A</v>
      </c>
      <c r="O3250" s="284" t="e">
        <f>++Tabla4[[#This Row],[Utilidad Total]]/Tabla4[[#This Row],[Total]]</f>
        <v>#N/A</v>
      </c>
      <c r="P3250" s="282">
        <f>++Tabla4[[#This Row],[Precio Descontado]]*Tabla4[[#This Row],[Cantidad]]</f>
        <v>5887.1412241999997</v>
      </c>
      <c r="Q3250" s="282" t="e">
        <f>(INDEX(Tabla6[#All],MATCH(Tabla4[[#This Row],[Producto]],Tabla6[[#All],[PRODUCTO]],0),MATCH(Tabla4[[#This Row],[Mes]],Tabla6[#Headers],0)))</f>
        <v>#N/A</v>
      </c>
      <c r="R3250" s="282" t="e">
        <f>++Tabla4[[#This Row],[Precio Unitario Neto]]-Tabla4[[#This Row],[20.85%]]-Tabla4[[#This Row],[Costo]]</f>
        <v>#N/A</v>
      </c>
      <c r="S3250" s="282" t="e">
        <f>++Tabla4[[#This Row],[U. Bruta Uni]]*Tabla4[[#This Row],[Cantidad]]</f>
        <v>#N/A</v>
      </c>
      <c r="T3250" s="369" t="str">
        <f>VLOOKUP(Tabla4[[#This Row],[Producto]],Tabla6[#All],14,FALSE)</f>
        <v>Termico Solar</v>
      </c>
      <c r="U3250" s="284" t="e">
        <f>(IF(Tabla4[[#This Row],[Familia]]="termico solar",Tabla4[[#This Row],[Utilidad Total]]*6%,Tabla4[[#This Row],[Utilidad Total]]*11.5%))/Tabla4[[#This Row],[Total]]</f>
        <v>#N/A</v>
      </c>
      <c r="V3250" s="282" t="e">
        <f>+Tabla4[[#This Row],[Comisión Calculada]]*Tabla4[[#This Row],[Total]]</f>
        <v>#N/A</v>
      </c>
    </row>
    <row r="3251" spans="1:22" hidden="1" x14ac:dyDescent="0.25">
      <c r="A3251" s="100">
        <v>45808</v>
      </c>
      <c r="B3251" t="str">
        <f t="shared" si="155"/>
        <v>May</v>
      </c>
      <c r="C3251" s="46" t="s">
        <v>280</v>
      </c>
      <c r="F3251" s="366" t="s">
        <v>1968</v>
      </c>
      <c r="G3251" s="46" t="s">
        <v>208</v>
      </c>
      <c r="H3251" s="46">
        <v>4</v>
      </c>
      <c r="I3251" s="51">
        <v>189.75</v>
      </c>
      <c r="J3251" s="281">
        <f>++Tabla4[[#This Row],[Precio Bruto]]*1.16</f>
        <v>220.10999999999999</v>
      </c>
      <c r="K3251" s="281">
        <f>+Tabla4[[#This Row],[Precio Unitario Neto]]*Tabla4[[#Headers],[20.85%]]</f>
        <v>45.892934999999994</v>
      </c>
      <c r="L3251" s="282">
        <f>++Tabla4[[#This Row],[Precio Unitario Neto]]-Tabla4[[#This Row],[20.85%]]</f>
        <v>174.21706499999999</v>
      </c>
      <c r="M3251" s="282" t="e">
        <f>(INDEX(Tabla6[#All],MATCH(Tabla4[[#This Row],[Producto]],Tabla6[[#All],[PRODUCTO]],0),MATCH(Tabla4[[#This Row],[Mes]],Tabla6[#Headers],0)))*(1+Catalogos!$L$2)</f>
        <v>#N/A</v>
      </c>
      <c r="N3251" s="283" t="e">
        <f>+(Tabla4[[#This Row],[Precio Descontado]]-Tabla4[[#This Row],[Precio Base]])*Tabla4[[#This Row],[Cantidad]]</f>
        <v>#N/A</v>
      </c>
      <c r="O3251" s="284" t="e">
        <f>++Tabla4[[#This Row],[Utilidad Total]]/Tabla4[[#This Row],[Total]]</f>
        <v>#N/A</v>
      </c>
      <c r="P3251" s="282">
        <f>++Tabla4[[#This Row],[Precio Descontado]]*Tabla4[[#This Row],[Cantidad]]</f>
        <v>696.86825999999996</v>
      </c>
      <c r="Q3251" s="282" t="e">
        <f>(INDEX(Tabla6[#All],MATCH(Tabla4[[#This Row],[Producto]],Tabla6[[#All],[PRODUCTO]],0),MATCH(Tabla4[[#This Row],[Mes]],Tabla6[#Headers],0)))</f>
        <v>#N/A</v>
      </c>
      <c r="R3251" s="282" t="e">
        <f>++Tabla4[[#This Row],[Precio Unitario Neto]]-Tabla4[[#This Row],[20.85%]]-Tabla4[[#This Row],[Costo]]</f>
        <v>#N/A</v>
      </c>
      <c r="S3251" s="282" t="e">
        <f>++Tabla4[[#This Row],[U. Bruta Uni]]*Tabla4[[#This Row],[Cantidad]]</f>
        <v>#N/A</v>
      </c>
      <c r="T3251" s="369" t="str">
        <f>VLOOKUP(Tabla4[[#This Row],[Producto]],Tabla6[#All],14,FALSE)</f>
        <v>Termico Solar</v>
      </c>
      <c r="U3251" s="284" t="e">
        <f>(IF(Tabla4[[#This Row],[Familia]]="termico solar",Tabla4[[#This Row],[Utilidad Total]]*6%,Tabla4[[#This Row],[Utilidad Total]]*11.5%))/Tabla4[[#This Row],[Total]]</f>
        <v>#N/A</v>
      </c>
      <c r="V3251" s="282" t="e">
        <f>+Tabla4[[#This Row],[Comisión Calculada]]*Tabla4[[#This Row],[Total]]</f>
        <v>#N/A</v>
      </c>
    </row>
    <row r="3252" spans="1:22" hidden="1" x14ac:dyDescent="0.25">
      <c r="A3252" s="100">
        <v>45808</v>
      </c>
      <c r="B3252" t="str">
        <f t="shared" si="155"/>
        <v>May</v>
      </c>
      <c r="C3252" s="46" t="s">
        <v>280</v>
      </c>
      <c r="F3252" s="366" t="s">
        <v>1968</v>
      </c>
      <c r="G3252" s="46" t="s">
        <v>209</v>
      </c>
      <c r="H3252" s="46">
        <v>1</v>
      </c>
      <c r="I3252" s="51">
        <v>347.48</v>
      </c>
      <c r="J3252" s="281">
        <f>++Tabla4[[#This Row],[Precio Bruto]]*1.16</f>
        <v>403.07679999999999</v>
      </c>
      <c r="K3252" s="281">
        <f>+Tabla4[[#This Row],[Precio Unitario Neto]]*Tabla4[[#Headers],[20.85%]]</f>
        <v>84.041512799999992</v>
      </c>
      <c r="L3252" s="282">
        <f>++Tabla4[[#This Row],[Precio Unitario Neto]]-Tabla4[[#This Row],[20.85%]]</f>
        <v>319.03528719999997</v>
      </c>
      <c r="M3252" s="282" t="e">
        <f>(INDEX(Tabla6[#All],MATCH(Tabla4[[#This Row],[Producto]],Tabla6[[#All],[PRODUCTO]],0),MATCH(Tabla4[[#This Row],[Mes]],Tabla6[#Headers],0)))*(1+Catalogos!$L$2)</f>
        <v>#N/A</v>
      </c>
      <c r="N3252" s="283" t="e">
        <f>+(Tabla4[[#This Row],[Precio Descontado]]-Tabla4[[#This Row],[Precio Base]])*Tabla4[[#This Row],[Cantidad]]</f>
        <v>#N/A</v>
      </c>
      <c r="O3252" s="284" t="e">
        <f>++Tabla4[[#This Row],[Utilidad Total]]/Tabla4[[#This Row],[Total]]</f>
        <v>#N/A</v>
      </c>
      <c r="P3252" s="282">
        <f>++Tabla4[[#This Row],[Precio Descontado]]*Tabla4[[#This Row],[Cantidad]]</f>
        <v>319.03528719999997</v>
      </c>
      <c r="Q3252" s="282" t="e">
        <f>(INDEX(Tabla6[#All],MATCH(Tabla4[[#This Row],[Producto]],Tabla6[[#All],[PRODUCTO]],0),MATCH(Tabla4[[#This Row],[Mes]],Tabla6[#Headers],0)))</f>
        <v>#N/A</v>
      </c>
      <c r="R3252" s="282" t="e">
        <f>++Tabla4[[#This Row],[Precio Unitario Neto]]-Tabla4[[#This Row],[20.85%]]-Tabla4[[#This Row],[Costo]]</f>
        <v>#N/A</v>
      </c>
      <c r="S3252" s="282" t="e">
        <f>++Tabla4[[#This Row],[U. Bruta Uni]]*Tabla4[[#This Row],[Cantidad]]</f>
        <v>#N/A</v>
      </c>
      <c r="T3252" s="369" t="str">
        <f>VLOOKUP(Tabla4[[#This Row],[Producto]],Tabla6[#All],14,FALSE)</f>
        <v>Termico Solar</v>
      </c>
      <c r="U3252" s="284" t="e">
        <f>(IF(Tabla4[[#This Row],[Familia]]="termico solar",Tabla4[[#This Row],[Utilidad Total]]*6%,Tabla4[[#This Row],[Utilidad Total]]*11.5%))/Tabla4[[#This Row],[Total]]</f>
        <v>#N/A</v>
      </c>
      <c r="V3252" s="282" t="e">
        <f>+Tabla4[[#This Row],[Comisión Calculada]]*Tabla4[[#This Row],[Total]]</f>
        <v>#N/A</v>
      </c>
    </row>
    <row r="3253" spans="1:22" hidden="1" x14ac:dyDescent="0.25">
      <c r="A3253" s="100">
        <v>45808</v>
      </c>
      <c r="B3253" t="str">
        <f t="shared" si="155"/>
        <v>May</v>
      </c>
      <c r="C3253" s="46" t="s">
        <v>280</v>
      </c>
      <c r="F3253" s="366" t="s">
        <v>1969</v>
      </c>
      <c r="G3253" s="46" t="s">
        <v>19</v>
      </c>
      <c r="H3253" s="46">
        <v>3</v>
      </c>
      <c r="I3253" s="51">
        <v>6412.03</v>
      </c>
      <c r="J3253" s="281">
        <f>++Tabla4[[#This Row],[Precio Bruto]]*1.16</f>
        <v>7437.9547999999995</v>
      </c>
      <c r="K3253" s="281">
        <f>+Tabla4[[#This Row],[Precio Unitario Neto]]*Tabla4[[#Headers],[20.85%]]</f>
        <v>1550.8135757999999</v>
      </c>
      <c r="L3253" s="282">
        <f>++Tabla4[[#This Row],[Precio Unitario Neto]]-Tabla4[[#This Row],[20.85%]]</f>
        <v>5887.1412241999997</v>
      </c>
      <c r="M3253" s="282" t="e">
        <f>(INDEX(Tabla6[#All],MATCH(Tabla4[[#This Row],[Producto]],Tabla6[[#All],[PRODUCTO]],0),MATCH(Tabla4[[#This Row],[Mes]],Tabla6[#Headers],0)))*(1+Catalogos!$L$2)</f>
        <v>#N/A</v>
      </c>
      <c r="N3253" s="283" t="e">
        <f>+(Tabla4[[#This Row],[Precio Descontado]]-Tabla4[[#This Row],[Precio Base]])*Tabla4[[#This Row],[Cantidad]]</f>
        <v>#N/A</v>
      </c>
      <c r="O3253" s="284" t="e">
        <f>++Tabla4[[#This Row],[Utilidad Total]]/Tabla4[[#This Row],[Total]]</f>
        <v>#N/A</v>
      </c>
      <c r="P3253" s="282">
        <f>++Tabla4[[#This Row],[Precio Descontado]]*Tabla4[[#This Row],[Cantidad]]</f>
        <v>17661.423672599998</v>
      </c>
      <c r="Q3253" s="282" t="e">
        <f>(INDEX(Tabla6[#All],MATCH(Tabla4[[#This Row],[Producto]],Tabla6[[#All],[PRODUCTO]],0),MATCH(Tabla4[[#This Row],[Mes]],Tabla6[#Headers],0)))</f>
        <v>#N/A</v>
      </c>
      <c r="R3253" s="282" t="e">
        <f>++Tabla4[[#This Row],[Precio Unitario Neto]]-Tabla4[[#This Row],[20.85%]]-Tabla4[[#This Row],[Costo]]</f>
        <v>#N/A</v>
      </c>
      <c r="S3253" s="282" t="e">
        <f>++Tabla4[[#This Row],[U. Bruta Uni]]*Tabla4[[#This Row],[Cantidad]]</f>
        <v>#N/A</v>
      </c>
      <c r="T3253" s="369" t="str">
        <f>VLOOKUP(Tabla4[[#This Row],[Producto]],Tabla6[#All],14,FALSE)</f>
        <v>Termico Solar</v>
      </c>
      <c r="U3253" s="284" t="e">
        <f>(IF(Tabla4[[#This Row],[Familia]]="termico solar",Tabla4[[#This Row],[Utilidad Total]]*6%,Tabla4[[#This Row],[Utilidad Total]]*11.5%))/Tabla4[[#This Row],[Total]]</f>
        <v>#N/A</v>
      </c>
      <c r="V3253" s="282" t="e">
        <f>+Tabla4[[#This Row],[Comisión Calculada]]*Tabla4[[#This Row],[Total]]</f>
        <v>#N/A</v>
      </c>
    </row>
    <row r="3254" spans="1:22" hidden="1" x14ac:dyDescent="0.25">
      <c r="A3254" s="100">
        <v>45808</v>
      </c>
      <c r="B3254" t="str">
        <f t="shared" si="155"/>
        <v>May</v>
      </c>
      <c r="C3254" s="46" t="s">
        <v>280</v>
      </c>
      <c r="F3254" s="366" t="s">
        <v>1969</v>
      </c>
      <c r="G3254" s="46" t="s">
        <v>208</v>
      </c>
      <c r="H3254" s="46">
        <v>4</v>
      </c>
      <c r="I3254" s="51">
        <v>189.75</v>
      </c>
      <c r="J3254" s="281">
        <f>++Tabla4[[#This Row],[Precio Bruto]]*1.16</f>
        <v>220.10999999999999</v>
      </c>
      <c r="K3254" s="281">
        <f>+Tabla4[[#This Row],[Precio Unitario Neto]]*Tabla4[[#Headers],[20.85%]]</f>
        <v>45.892934999999994</v>
      </c>
      <c r="L3254" s="282">
        <f>++Tabla4[[#This Row],[Precio Unitario Neto]]-Tabla4[[#This Row],[20.85%]]</f>
        <v>174.21706499999999</v>
      </c>
      <c r="M3254" s="282" t="e">
        <f>(INDEX(Tabla6[#All],MATCH(Tabla4[[#This Row],[Producto]],Tabla6[[#All],[PRODUCTO]],0),MATCH(Tabla4[[#This Row],[Mes]],Tabla6[#Headers],0)))*(1+Catalogos!$L$2)</f>
        <v>#N/A</v>
      </c>
      <c r="N3254" s="283" t="e">
        <f>+(Tabla4[[#This Row],[Precio Descontado]]-Tabla4[[#This Row],[Precio Base]])*Tabla4[[#This Row],[Cantidad]]</f>
        <v>#N/A</v>
      </c>
      <c r="O3254" s="284" t="e">
        <f>++Tabla4[[#This Row],[Utilidad Total]]/Tabla4[[#This Row],[Total]]</f>
        <v>#N/A</v>
      </c>
      <c r="P3254" s="282">
        <f>++Tabla4[[#This Row],[Precio Descontado]]*Tabla4[[#This Row],[Cantidad]]</f>
        <v>696.86825999999996</v>
      </c>
      <c r="Q3254" s="282" t="e">
        <f>(INDEX(Tabla6[#All],MATCH(Tabla4[[#This Row],[Producto]],Tabla6[[#All],[PRODUCTO]],0),MATCH(Tabla4[[#This Row],[Mes]],Tabla6[#Headers],0)))</f>
        <v>#N/A</v>
      </c>
      <c r="R3254" s="282" t="e">
        <f>++Tabla4[[#This Row],[Precio Unitario Neto]]-Tabla4[[#This Row],[20.85%]]-Tabla4[[#This Row],[Costo]]</f>
        <v>#N/A</v>
      </c>
      <c r="S3254" s="282" t="e">
        <f>++Tabla4[[#This Row],[U. Bruta Uni]]*Tabla4[[#This Row],[Cantidad]]</f>
        <v>#N/A</v>
      </c>
      <c r="T3254" s="369" t="str">
        <f>VLOOKUP(Tabla4[[#This Row],[Producto]],Tabla6[#All],14,FALSE)</f>
        <v>Termico Solar</v>
      </c>
      <c r="U3254" s="284" t="e">
        <f>(IF(Tabla4[[#This Row],[Familia]]="termico solar",Tabla4[[#This Row],[Utilidad Total]]*6%,Tabla4[[#This Row],[Utilidad Total]]*11.5%))/Tabla4[[#This Row],[Total]]</f>
        <v>#N/A</v>
      </c>
      <c r="V3254" s="282" t="e">
        <f>+Tabla4[[#This Row],[Comisión Calculada]]*Tabla4[[#This Row],[Total]]</f>
        <v>#N/A</v>
      </c>
    </row>
    <row r="3255" spans="1:22" hidden="1" x14ac:dyDescent="0.25">
      <c r="A3255" s="100">
        <v>45808</v>
      </c>
      <c r="B3255" t="str">
        <f t="shared" si="155"/>
        <v>May</v>
      </c>
      <c r="C3255" s="46" t="s">
        <v>280</v>
      </c>
      <c r="F3255" s="366" t="s">
        <v>1970</v>
      </c>
      <c r="G3255" s="46" t="s">
        <v>18</v>
      </c>
      <c r="H3255" s="46">
        <v>1</v>
      </c>
      <c r="I3255" s="51">
        <v>5367.65</v>
      </c>
      <c r="J3255" s="281">
        <f>++Tabla4[[#This Row],[Precio Bruto]]*1.16</f>
        <v>6226.4739999999993</v>
      </c>
      <c r="K3255" s="281">
        <f>+Tabla4[[#This Row],[Precio Unitario Neto]]*Tabla4[[#Headers],[20.85%]]</f>
        <v>1298.2198289999999</v>
      </c>
      <c r="L3255" s="282">
        <f>++Tabla4[[#This Row],[Precio Unitario Neto]]-Tabla4[[#This Row],[20.85%]]</f>
        <v>4928.2541709999996</v>
      </c>
      <c r="M3255" s="282" t="e">
        <f>(INDEX(Tabla6[#All],MATCH(Tabla4[[#This Row],[Producto]],Tabla6[[#All],[PRODUCTO]],0),MATCH(Tabla4[[#This Row],[Mes]],Tabla6[#Headers],0)))*(1+Catalogos!$L$2)</f>
        <v>#N/A</v>
      </c>
      <c r="N3255" s="283" t="e">
        <f>+(Tabla4[[#This Row],[Precio Descontado]]-Tabla4[[#This Row],[Precio Base]])*Tabla4[[#This Row],[Cantidad]]</f>
        <v>#N/A</v>
      </c>
      <c r="O3255" s="284" t="e">
        <f>++Tabla4[[#This Row],[Utilidad Total]]/Tabla4[[#This Row],[Total]]</f>
        <v>#N/A</v>
      </c>
      <c r="P3255" s="282">
        <f>++Tabla4[[#This Row],[Precio Descontado]]*Tabla4[[#This Row],[Cantidad]]</f>
        <v>4928.2541709999996</v>
      </c>
      <c r="Q3255" s="282" t="e">
        <f>(INDEX(Tabla6[#All],MATCH(Tabla4[[#This Row],[Producto]],Tabla6[[#All],[PRODUCTO]],0),MATCH(Tabla4[[#This Row],[Mes]],Tabla6[#Headers],0)))</f>
        <v>#N/A</v>
      </c>
      <c r="R3255" s="282" t="e">
        <f>++Tabla4[[#This Row],[Precio Unitario Neto]]-Tabla4[[#This Row],[20.85%]]-Tabla4[[#This Row],[Costo]]</f>
        <v>#N/A</v>
      </c>
      <c r="S3255" s="282" t="e">
        <f>++Tabla4[[#This Row],[U. Bruta Uni]]*Tabla4[[#This Row],[Cantidad]]</f>
        <v>#N/A</v>
      </c>
      <c r="T3255" s="369" t="str">
        <f>VLOOKUP(Tabla4[[#This Row],[Producto]],Tabla6[#All],14,FALSE)</f>
        <v>Termico Solar</v>
      </c>
      <c r="U3255" s="284" t="e">
        <f>(IF(Tabla4[[#This Row],[Familia]]="termico solar",Tabla4[[#This Row],[Utilidad Total]]*6%,Tabla4[[#This Row],[Utilidad Total]]*11.5%))/Tabla4[[#This Row],[Total]]</f>
        <v>#N/A</v>
      </c>
      <c r="V3255" s="282" t="e">
        <f>+Tabla4[[#This Row],[Comisión Calculada]]*Tabla4[[#This Row],[Total]]</f>
        <v>#N/A</v>
      </c>
    </row>
    <row r="3256" spans="1:22" hidden="1" x14ac:dyDescent="0.25">
      <c r="A3256" s="100">
        <v>45808</v>
      </c>
      <c r="B3256" t="str">
        <f t="shared" si="155"/>
        <v>May</v>
      </c>
      <c r="C3256" s="46" t="s">
        <v>280</v>
      </c>
      <c r="F3256" s="366" t="s">
        <v>1971</v>
      </c>
      <c r="G3256" s="46" t="s">
        <v>17</v>
      </c>
      <c r="H3256" s="46">
        <v>3</v>
      </c>
      <c r="I3256" s="51">
        <v>4622.28</v>
      </c>
      <c r="J3256" s="281">
        <f>++Tabla4[[#This Row],[Precio Bruto]]*1.16</f>
        <v>5361.8447999999989</v>
      </c>
      <c r="K3256" s="281">
        <f>+Tabla4[[#This Row],[Precio Unitario Neto]]*Tabla4[[#Headers],[20.85%]]</f>
        <v>1117.9446407999997</v>
      </c>
      <c r="L3256" s="282">
        <f>++Tabla4[[#This Row],[Precio Unitario Neto]]-Tabla4[[#This Row],[20.85%]]</f>
        <v>4243.9001591999995</v>
      </c>
      <c r="M3256" s="282" t="e">
        <f>(INDEX(Tabla6[#All],MATCH(Tabla4[[#This Row],[Producto]],Tabla6[[#All],[PRODUCTO]],0),MATCH(Tabla4[[#This Row],[Mes]],Tabla6[#Headers],0)))*(1+Catalogos!$L$2)</f>
        <v>#N/A</v>
      </c>
      <c r="N3256" s="283" t="e">
        <f>+(Tabla4[[#This Row],[Precio Descontado]]-Tabla4[[#This Row],[Precio Base]])*Tabla4[[#This Row],[Cantidad]]</f>
        <v>#N/A</v>
      </c>
      <c r="O3256" s="284" t="e">
        <f>++Tabla4[[#This Row],[Utilidad Total]]/Tabla4[[#This Row],[Total]]</f>
        <v>#N/A</v>
      </c>
      <c r="P3256" s="282">
        <f>++Tabla4[[#This Row],[Precio Descontado]]*Tabla4[[#This Row],[Cantidad]]</f>
        <v>12731.700477599999</v>
      </c>
      <c r="Q3256" s="282" t="e">
        <f>(INDEX(Tabla6[#All],MATCH(Tabla4[[#This Row],[Producto]],Tabla6[[#All],[PRODUCTO]],0),MATCH(Tabla4[[#This Row],[Mes]],Tabla6[#Headers],0)))</f>
        <v>#N/A</v>
      </c>
      <c r="R3256" s="282" t="e">
        <f>++Tabla4[[#This Row],[Precio Unitario Neto]]-Tabla4[[#This Row],[20.85%]]-Tabla4[[#This Row],[Costo]]</f>
        <v>#N/A</v>
      </c>
      <c r="S3256" s="282" t="e">
        <f>++Tabla4[[#This Row],[U. Bruta Uni]]*Tabla4[[#This Row],[Cantidad]]</f>
        <v>#N/A</v>
      </c>
      <c r="T3256" s="369" t="str">
        <f>VLOOKUP(Tabla4[[#This Row],[Producto]],Tabla6[#All],14,FALSE)</f>
        <v>Termico Solar</v>
      </c>
      <c r="U3256" s="284" t="e">
        <f>(IF(Tabla4[[#This Row],[Familia]]="termico solar",Tabla4[[#This Row],[Utilidad Total]]*6%,Tabla4[[#This Row],[Utilidad Total]]*11.5%))/Tabla4[[#This Row],[Total]]</f>
        <v>#N/A</v>
      </c>
      <c r="V3256" s="282" t="e">
        <f>+Tabla4[[#This Row],[Comisión Calculada]]*Tabla4[[#This Row],[Total]]</f>
        <v>#N/A</v>
      </c>
    </row>
    <row r="3257" spans="1:22" hidden="1" x14ac:dyDescent="0.25">
      <c r="A3257" s="100">
        <v>45808</v>
      </c>
      <c r="B3257" t="str">
        <f t="shared" si="155"/>
        <v>May</v>
      </c>
      <c r="C3257" s="46" t="s">
        <v>280</v>
      </c>
      <c r="F3257" s="366" t="s">
        <v>1971</v>
      </c>
      <c r="G3257" s="46" t="s">
        <v>18</v>
      </c>
      <c r="H3257" s="46">
        <v>4</v>
      </c>
      <c r="I3257" s="51">
        <v>5367.65</v>
      </c>
      <c r="J3257" s="281">
        <f>++Tabla4[[#This Row],[Precio Bruto]]*1.16</f>
        <v>6226.4739999999993</v>
      </c>
      <c r="K3257" s="281">
        <f>+Tabla4[[#This Row],[Precio Unitario Neto]]*Tabla4[[#Headers],[20.85%]]</f>
        <v>1298.2198289999999</v>
      </c>
      <c r="L3257" s="282">
        <f>++Tabla4[[#This Row],[Precio Unitario Neto]]-Tabla4[[#This Row],[20.85%]]</f>
        <v>4928.2541709999996</v>
      </c>
      <c r="M3257" s="282" t="e">
        <f>(INDEX(Tabla6[#All],MATCH(Tabla4[[#This Row],[Producto]],Tabla6[[#All],[PRODUCTO]],0),MATCH(Tabla4[[#This Row],[Mes]],Tabla6[#Headers],0)))*(1+Catalogos!$L$2)</f>
        <v>#N/A</v>
      </c>
      <c r="N3257" s="283" t="e">
        <f>+(Tabla4[[#This Row],[Precio Descontado]]-Tabla4[[#This Row],[Precio Base]])*Tabla4[[#This Row],[Cantidad]]</f>
        <v>#N/A</v>
      </c>
      <c r="O3257" s="284" t="e">
        <f>++Tabla4[[#This Row],[Utilidad Total]]/Tabla4[[#This Row],[Total]]</f>
        <v>#N/A</v>
      </c>
      <c r="P3257" s="282">
        <f>++Tabla4[[#This Row],[Precio Descontado]]*Tabla4[[#This Row],[Cantidad]]</f>
        <v>19713.016683999998</v>
      </c>
      <c r="Q3257" s="282" t="e">
        <f>(INDEX(Tabla6[#All],MATCH(Tabla4[[#This Row],[Producto]],Tabla6[[#All],[PRODUCTO]],0),MATCH(Tabla4[[#This Row],[Mes]],Tabla6[#Headers],0)))</f>
        <v>#N/A</v>
      </c>
      <c r="R3257" s="282" t="e">
        <f>++Tabla4[[#This Row],[Precio Unitario Neto]]-Tabla4[[#This Row],[20.85%]]-Tabla4[[#This Row],[Costo]]</f>
        <v>#N/A</v>
      </c>
      <c r="S3257" s="282" t="e">
        <f>++Tabla4[[#This Row],[U. Bruta Uni]]*Tabla4[[#This Row],[Cantidad]]</f>
        <v>#N/A</v>
      </c>
      <c r="T3257" s="369" t="str">
        <f>VLOOKUP(Tabla4[[#This Row],[Producto]],Tabla6[#All],14,FALSE)</f>
        <v>Termico Solar</v>
      </c>
      <c r="U3257" s="284" t="e">
        <f>(IF(Tabla4[[#This Row],[Familia]]="termico solar",Tabla4[[#This Row],[Utilidad Total]]*6%,Tabla4[[#This Row],[Utilidad Total]]*11.5%))/Tabla4[[#This Row],[Total]]</f>
        <v>#N/A</v>
      </c>
      <c r="V3257" s="282" t="e">
        <f>+Tabla4[[#This Row],[Comisión Calculada]]*Tabla4[[#This Row],[Total]]</f>
        <v>#N/A</v>
      </c>
    </row>
    <row r="3258" spans="1:22" hidden="1" x14ac:dyDescent="0.25">
      <c r="A3258" s="100">
        <v>45808</v>
      </c>
      <c r="B3258" t="str">
        <f t="shared" si="155"/>
        <v>May</v>
      </c>
      <c r="C3258" s="46" t="s">
        <v>280</v>
      </c>
      <c r="F3258" s="366" t="s">
        <v>1971</v>
      </c>
      <c r="G3258" s="46" t="s">
        <v>19</v>
      </c>
      <c r="H3258" s="46">
        <v>1</v>
      </c>
      <c r="I3258" s="51">
        <v>6412.03</v>
      </c>
      <c r="J3258" s="281">
        <f>++Tabla4[[#This Row],[Precio Bruto]]*1.16</f>
        <v>7437.9547999999995</v>
      </c>
      <c r="K3258" s="281">
        <f>+Tabla4[[#This Row],[Precio Unitario Neto]]*Tabla4[[#Headers],[20.85%]]</f>
        <v>1550.8135757999999</v>
      </c>
      <c r="L3258" s="282">
        <f>++Tabla4[[#This Row],[Precio Unitario Neto]]-Tabla4[[#This Row],[20.85%]]</f>
        <v>5887.1412241999997</v>
      </c>
      <c r="M3258" s="282" t="e">
        <f>(INDEX(Tabla6[#All],MATCH(Tabla4[[#This Row],[Producto]],Tabla6[[#All],[PRODUCTO]],0),MATCH(Tabla4[[#This Row],[Mes]],Tabla6[#Headers],0)))*(1+Catalogos!$L$2)</f>
        <v>#N/A</v>
      </c>
      <c r="N3258" s="283" t="e">
        <f>+(Tabla4[[#This Row],[Precio Descontado]]-Tabla4[[#This Row],[Precio Base]])*Tabla4[[#This Row],[Cantidad]]</f>
        <v>#N/A</v>
      </c>
      <c r="O3258" s="284" t="e">
        <f>++Tabla4[[#This Row],[Utilidad Total]]/Tabla4[[#This Row],[Total]]</f>
        <v>#N/A</v>
      </c>
      <c r="P3258" s="282">
        <f>++Tabla4[[#This Row],[Precio Descontado]]*Tabla4[[#This Row],[Cantidad]]</f>
        <v>5887.1412241999997</v>
      </c>
      <c r="Q3258" s="282" t="e">
        <f>(INDEX(Tabla6[#All],MATCH(Tabla4[[#This Row],[Producto]],Tabla6[[#All],[PRODUCTO]],0),MATCH(Tabla4[[#This Row],[Mes]],Tabla6[#Headers],0)))</f>
        <v>#N/A</v>
      </c>
      <c r="R3258" s="282" t="e">
        <f>++Tabla4[[#This Row],[Precio Unitario Neto]]-Tabla4[[#This Row],[20.85%]]-Tabla4[[#This Row],[Costo]]</f>
        <v>#N/A</v>
      </c>
      <c r="S3258" s="282" t="e">
        <f>++Tabla4[[#This Row],[U. Bruta Uni]]*Tabla4[[#This Row],[Cantidad]]</f>
        <v>#N/A</v>
      </c>
      <c r="T3258" s="369" t="str">
        <f>VLOOKUP(Tabla4[[#This Row],[Producto]],Tabla6[#All],14,FALSE)</f>
        <v>Termico Solar</v>
      </c>
      <c r="U3258" s="284" t="e">
        <f>(IF(Tabla4[[#This Row],[Familia]]="termico solar",Tabla4[[#This Row],[Utilidad Total]]*6%,Tabla4[[#This Row],[Utilidad Total]]*11.5%))/Tabla4[[#This Row],[Total]]</f>
        <v>#N/A</v>
      </c>
      <c r="V3258" s="282" t="e">
        <f>+Tabla4[[#This Row],[Comisión Calculada]]*Tabla4[[#This Row],[Total]]</f>
        <v>#N/A</v>
      </c>
    </row>
    <row r="3259" spans="1:22" hidden="1" x14ac:dyDescent="0.25">
      <c r="A3259" s="100">
        <v>45808</v>
      </c>
      <c r="B3259" t="str">
        <f t="shared" ref="B3259" si="156">TEXT(A3259, "mmmm")</f>
        <v>May</v>
      </c>
      <c r="C3259" s="46" t="s">
        <v>280</v>
      </c>
      <c r="F3259" s="366" t="s">
        <v>1971</v>
      </c>
      <c r="G3259" s="46" t="s">
        <v>566</v>
      </c>
      <c r="H3259" s="46">
        <v>1</v>
      </c>
      <c r="I3259" s="51">
        <v>2109.4499999999998</v>
      </c>
      <c r="J3259" s="281">
        <f>++Tabla4[[#This Row],[Precio Bruto]]*1.16</f>
        <v>2446.9619999999995</v>
      </c>
      <c r="K3259" s="281">
        <f>+Tabla4[[#This Row],[Precio Unitario Neto]]*Tabla4[[#Headers],[20.85%]]</f>
        <v>510.19157699999988</v>
      </c>
      <c r="L3259" s="282">
        <f>++Tabla4[[#This Row],[Precio Unitario Neto]]-Tabla4[[#This Row],[20.85%]]</f>
        <v>1936.7704229999997</v>
      </c>
      <c r="M3259" s="282" t="e">
        <f>(INDEX(Tabla6[#All],MATCH(Tabla4[[#This Row],[Producto]],Tabla6[[#All],[PRODUCTO]],0),MATCH(Tabla4[[#This Row],[Mes]],Tabla6[#Headers],0)))*(1+Catalogos!$L$2)</f>
        <v>#N/A</v>
      </c>
      <c r="N3259" s="283" t="e">
        <f>+(Tabla4[[#This Row],[Precio Descontado]]-Tabla4[[#This Row],[Precio Base]])*Tabla4[[#This Row],[Cantidad]]</f>
        <v>#N/A</v>
      </c>
      <c r="O3259" s="284" t="e">
        <f>++Tabla4[[#This Row],[Utilidad Total]]/Tabla4[[#This Row],[Total]]</f>
        <v>#N/A</v>
      </c>
      <c r="P3259" s="282">
        <f>++Tabla4[[#This Row],[Precio Descontado]]*Tabla4[[#This Row],[Cantidad]]</f>
        <v>1936.7704229999997</v>
      </c>
      <c r="Q3259" s="282" t="e">
        <f>(INDEX(Tabla6[#All],MATCH(Tabla4[[#This Row],[Producto]],Tabla6[[#All],[PRODUCTO]],0),MATCH(Tabla4[[#This Row],[Mes]],Tabla6[#Headers],0)))</f>
        <v>#N/A</v>
      </c>
      <c r="R3259" s="282" t="e">
        <f>++Tabla4[[#This Row],[Precio Unitario Neto]]-Tabla4[[#This Row],[20.85%]]-Tabla4[[#This Row],[Costo]]</f>
        <v>#N/A</v>
      </c>
      <c r="S3259" s="282" t="e">
        <f>++Tabla4[[#This Row],[U. Bruta Uni]]*Tabla4[[#This Row],[Cantidad]]</f>
        <v>#N/A</v>
      </c>
      <c r="T3259" s="369" t="str">
        <f>VLOOKUP(Tabla4[[#This Row],[Producto]],Tabla6[#All],14,FALSE)</f>
        <v>Termico Solar</v>
      </c>
      <c r="U3259" s="284" t="e">
        <f>(IF(Tabla4[[#This Row],[Familia]]="termico solar",Tabla4[[#This Row],[Utilidad Total]]*6%,Tabla4[[#This Row],[Utilidad Total]]*11.5%))/Tabla4[[#This Row],[Total]]</f>
        <v>#N/A</v>
      </c>
      <c r="V3259" s="282" t="e">
        <f>+Tabla4[[#This Row],[Comisión Calculada]]*Tabla4[[#This Row],[Total]]</f>
        <v>#N/A</v>
      </c>
    </row>
    <row r="3260" spans="1:22" hidden="1" x14ac:dyDescent="0.25">
      <c r="A3260" s="100">
        <v>45808</v>
      </c>
      <c r="B3260" t="str">
        <f t="shared" ref="B3260:B3265" si="157">TEXT(A3260, "mmmm")</f>
        <v>May</v>
      </c>
      <c r="C3260" s="46" t="s">
        <v>280</v>
      </c>
      <c r="F3260" s="366" t="s">
        <v>1972</v>
      </c>
      <c r="G3260" s="46" t="s">
        <v>17</v>
      </c>
      <c r="H3260" s="46">
        <v>2</v>
      </c>
      <c r="I3260" s="51">
        <v>4622.28</v>
      </c>
      <c r="J3260" s="281">
        <f>++Tabla4[[#This Row],[Precio Bruto]]*1.16</f>
        <v>5361.8447999999989</v>
      </c>
      <c r="K3260" s="281">
        <f>+Tabla4[[#This Row],[Precio Unitario Neto]]*Tabla4[[#Headers],[20.85%]]</f>
        <v>1117.9446407999997</v>
      </c>
      <c r="L3260" s="282">
        <f>++Tabla4[[#This Row],[Precio Unitario Neto]]-Tabla4[[#This Row],[20.85%]]</f>
        <v>4243.9001591999995</v>
      </c>
      <c r="M3260" s="282" t="e">
        <f>(INDEX(Tabla6[#All],MATCH(Tabla4[[#This Row],[Producto]],Tabla6[[#All],[PRODUCTO]],0),MATCH(Tabla4[[#This Row],[Mes]],Tabla6[#Headers],0)))*(1+Catalogos!$L$2)</f>
        <v>#N/A</v>
      </c>
      <c r="N3260" s="283" t="e">
        <f>+(Tabla4[[#This Row],[Precio Descontado]]-Tabla4[[#This Row],[Precio Base]])*Tabla4[[#This Row],[Cantidad]]</f>
        <v>#N/A</v>
      </c>
      <c r="O3260" s="284" t="e">
        <f>++Tabla4[[#This Row],[Utilidad Total]]/Tabla4[[#This Row],[Total]]</f>
        <v>#N/A</v>
      </c>
      <c r="P3260" s="282">
        <f>++Tabla4[[#This Row],[Precio Descontado]]*Tabla4[[#This Row],[Cantidad]]</f>
        <v>8487.800318399999</v>
      </c>
      <c r="Q3260" s="282" t="e">
        <f>(INDEX(Tabla6[#All],MATCH(Tabla4[[#This Row],[Producto]],Tabla6[[#All],[PRODUCTO]],0),MATCH(Tabla4[[#This Row],[Mes]],Tabla6[#Headers],0)))</f>
        <v>#N/A</v>
      </c>
      <c r="R3260" s="282" t="e">
        <f>++Tabla4[[#This Row],[Precio Unitario Neto]]-Tabla4[[#This Row],[20.85%]]-Tabla4[[#This Row],[Costo]]</f>
        <v>#N/A</v>
      </c>
      <c r="S3260" s="282" t="e">
        <f>++Tabla4[[#This Row],[U. Bruta Uni]]*Tabla4[[#This Row],[Cantidad]]</f>
        <v>#N/A</v>
      </c>
      <c r="T3260" s="369" t="str">
        <f>VLOOKUP(Tabla4[[#This Row],[Producto]],Tabla6[#All],14,FALSE)</f>
        <v>Termico Solar</v>
      </c>
      <c r="U3260" s="284" t="e">
        <f>(IF(Tabla4[[#This Row],[Familia]]="termico solar",Tabla4[[#This Row],[Utilidad Total]]*6%,Tabla4[[#This Row],[Utilidad Total]]*11.5%))/Tabla4[[#This Row],[Total]]</f>
        <v>#N/A</v>
      </c>
      <c r="V3260" s="282" t="e">
        <f>+Tabla4[[#This Row],[Comisión Calculada]]*Tabla4[[#This Row],[Total]]</f>
        <v>#N/A</v>
      </c>
    </row>
    <row r="3261" spans="1:22" hidden="1" x14ac:dyDescent="0.25">
      <c r="A3261" s="100">
        <v>45808</v>
      </c>
      <c r="B3261" t="str">
        <f t="shared" si="157"/>
        <v>May</v>
      </c>
      <c r="C3261" s="46" t="s">
        <v>280</v>
      </c>
      <c r="F3261" s="366" t="s">
        <v>1972</v>
      </c>
      <c r="G3261" s="46" t="s">
        <v>18</v>
      </c>
      <c r="H3261" s="46">
        <v>3</v>
      </c>
      <c r="I3261" s="51">
        <v>5367.6500000000005</v>
      </c>
      <c r="J3261" s="281">
        <f>++Tabla4[[#This Row],[Precio Bruto]]*1.16</f>
        <v>6226.4740000000002</v>
      </c>
      <c r="K3261" s="281">
        <f>+Tabla4[[#This Row],[Precio Unitario Neto]]*Tabla4[[#Headers],[20.85%]]</f>
        <v>1298.2198289999999</v>
      </c>
      <c r="L3261" s="282">
        <f>++Tabla4[[#This Row],[Precio Unitario Neto]]-Tabla4[[#This Row],[20.85%]]</f>
        <v>4928.2541710000005</v>
      </c>
      <c r="M3261" s="282" t="e">
        <f>(INDEX(Tabla6[#All],MATCH(Tabla4[[#This Row],[Producto]],Tabla6[[#All],[PRODUCTO]],0),MATCH(Tabla4[[#This Row],[Mes]],Tabla6[#Headers],0)))*(1+Catalogos!$L$2)</f>
        <v>#N/A</v>
      </c>
      <c r="N3261" s="283" t="e">
        <f>+(Tabla4[[#This Row],[Precio Descontado]]-Tabla4[[#This Row],[Precio Base]])*Tabla4[[#This Row],[Cantidad]]</f>
        <v>#N/A</v>
      </c>
      <c r="O3261" s="284" t="e">
        <f>++Tabla4[[#This Row],[Utilidad Total]]/Tabla4[[#This Row],[Total]]</f>
        <v>#N/A</v>
      </c>
      <c r="P3261" s="282">
        <f>++Tabla4[[#This Row],[Precio Descontado]]*Tabla4[[#This Row],[Cantidad]]</f>
        <v>14784.762513000001</v>
      </c>
      <c r="Q3261" s="282" t="e">
        <f>(INDEX(Tabla6[#All],MATCH(Tabla4[[#This Row],[Producto]],Tabla6[[#All],[PRODUCTO]],0),MATCH(Tabla4[[#This Row],[Mes]],Tabla6[#Headers],0)))</f>
        <v>#N/A</v>
      </c>
      <c r="R3261" s="282" t="e">
        <f>++Tabla4[[#This Row],[Precio Unitario Neto]]-Tabla4[[#This Row],[20.85%]]-Tabla4[[#This Row],[Costo]]</f>
        <v>#N/A</v>
      </c>
      <c r="S3261" s="282" t="e">
        <f>++Tabla4[[#This Row],[U. Bruta Uni]]*Tabla4[[#This Row],[Cantidad]]</f>
        <v>#N/A</v>
      </c>
      <c r="T3261" s="369" t="str">
        <f>VLOOKUP(Tabla4[[#This Row],[Producto]],Tabla6[#All],14,FALSE)</f>
        <v>Termico Solar</v>
      </c>
      <c r="U3261" s="284" t="e">
        <f>(IF(Tabla4[[#This Row],[Familia]]="termico solar",Tabla4[[#This Row],[Utilidad Total]]*6%,Tabla4[[#This Row],[Utilidad Total]]*11.5%))/Tabla4[[#This Row],[Total]]</f>
        <v>#N/A</v>
      </c>
      <c r="V3261" s="282" t="e">
        <f>+Tabla4[[#This Row],[Comisión Calculada]]*Tabla4[[#This Row],[Total]]</f>
        <v>#N/A</v>
      </c>
    </row>
    <row r="3262" spans="1:22" hidden="1" x14ac:dyDescent="0.25">
      <c r="A3262" s="100">
        <v>45808</v>
      </c>
      <c r="B3262" t="str">
        <f t="shared" si="157"/>
        <v>May</v>
      </c>
      <c r="C3262" s="46" t="s">
        <v>280</v>
      </c>
      <c r="F3262" s="366" t="s">
        <v>1972</v>
      </c>
      <c r="G3262" s="46" t="s">
        <v>20</v>
      </c>
      <c r="H3262" s="46">
        <v>1</v>
      </c>
      <c r="I3262" s="51">
        <v>7751.98</v>
      </c>
      <c r="J3262" s="281">
        <f>++Tabla4[[#This Row],[Precio Bruto]]*1.16</f>
        <v>8992.2967999999983</v>
      </c>
      <c r="K3262" s="281">
        <f>+Tabla4[[#This Row],[Precio Unitario Neto]]*Tabla4[[#Headers],[20.85%]]</f>
        <v>1874.8938827999996</v>
      </c>
      <c r="L3262" s="282">
        <f>++Tabla4[[#This Row],[Precio Unitario Neto]]-Tabla4[[#This Row],[20.85%]]</f>
        <v>7117.4029171999991</v>
      </c>
      <c r="M3262" s="282" t="e">
        <f>(INDEX(Tabla6[#All],MATCH(Tabla4[[#This Row],[Producto]],Tabla6[[#All],[PRODUCTO]],0),MATCH(Tabla4[[#This Row],[Mes]],Tabla6[#Headers],0)))*(1+Catalogos!$L$2)</f>
        <v>#N/A</v>
      </c>
      <c r="N3262" s="283" t="e">
        <f>+(Tabla4[[#This Row],[Precio Descontado]]-Tabla4[[#This Row],[Precio Base]])*Tabla4[[#This Row],[Cantidad]]</f>
        <v>#N/A</v>
      </c>
      <c r="O3262" s="284" t="e">
        <f>++Tabla4[[#This Row],[Utilidad Total]]/Tabla4[[#This Row],[Total]]</f>
        <v>#N/A</v>
      </c>
      <c r="P3262" s="282">
        <f>++Tabla4[[#This Row],[Precio Descontado]]*Tabla4[[#This Row],[Cantidad]]</f>
        <v>7117.4029171999991</v>
      </c>
      <c r="Q3262" s="282" t="e">
        <f>(INDEX(Tabla6[#All],MATCH(Tabla4[[#This Row],[Producto]],Tabla6[[#All],[PRODUCTO]],0),MATCH(Tabla4[[#This Row],[Mes]],Tabla6[#Headers],0)))</f>
        <v>#N/A</v>
      </c>
      <c r="R3262" s="282" t="e">
        <f>++Tabla4[[#This Row],[Precio Unitario Neto]]-Tabla4[[#This Row],[20.85%]]-Tabla4[[#This Row],[Costo]]</f>
        <v>#N/A</v>
      </c>
      <c r="S3262" s="282" t="e">
        <f>++Tabla4[[#This Row],[U. Bruta Uni]]*Tabla4[[#This Row],[Cantidad]]</f>
        <v>#N/A</v>
      </c>
      <c r="T3262" s="369" t="str">
        <f>VLOOKUP(Tabla4[[#This Row],[Producto]],Tabla6[#All],14,FALSE)</f>
        <v>Termico Solar</v>
      </c>
      <c r="U3262" s="284" t="e">
        <f>(IF(Tabla4[[#This Row],[Familia]]="termico solar",Tabla4[[#This Row],[Utilidad Total]]*6%,Tabla4[[#This Row],[Utilidad Total]]*11.5%))/Tabla4[[#This Row],[Total]]</f>
        <v>#N/A</v>
      </c>
      <c r="V3262" s="282" t="e">
        <f>+Tabla4[[#This Row],[Comisión Calculada]]*Tabla4[[#This Row],[Total]]</f>
        <v>#N/A</v>
      </c>
    </row>
    <row r="3263" spans="1:22" hidden="1" x14ac:dyDescent="0.25">
      <c r="A3263" s="100">
        <v>45808</v>
      </c>
      <c r="B3263" t="str">
        <f t="shared" si="157"/>
        <v>May</v>
      </c>
      <c r="C3263" s="46" t="s">
        <v>280</v>
      </c>
      <c r="F3263" s="366" t="s">
        <v>1972</v>
      </c>
      <c r="G3263" s="46" t="s">
        <v>566</v>
      </c>
      <c r="H3263" s="46">
        <v>1</v>
      </c>
      <c r="I3263" s="51">
        <v>2109.4499999999998</v>
      </c>
      <c r="J3263" s="281">
        <f>++Tabla4[[#This Row],[Precio Bruto]]*1.16</f>
        <v>2446.9619999999995</v>
      </c>
      <c r="K3263" s="281">
        <f>+Tabla4[[#This Row],[Precio Unitario Neto]]*Tabla4[[#Headers],[20.85%]]</f>
        <v>510.19157699999988</v>
      </c>
      <c r="L3263" s="282">
        <f>++Tabla4[[#This Row],[Precio Unitario Neto]]-Tabla4[[#This Row],[20.85%]]</f>
        <v>1936.7704229999997</v>
      </c>
      <c r="M3263" s="282" t="e">
        <f>(INDEX(Tabla6[#All],MATCH(Tabla4[[#This Row],[Producto]],Tabla6[[#All],[PRODUCTO]],0),MATCH(Tabla4[[#This Row],[Mes]],Tabla6[#Headers],0)))*(1+Catalogos!$L$2)</f>
        <v>#N/A</v>
      </c>
      <c r="N3263" s="283" t="e">
        <f>+(Tabla4[[#This Row],[Precio Descontado]]-Tabla4[[#This Row],[Precio Base]])*Tabla4[[#This Row],[Cantidad]]</f>
        <v>#N/A</v>
      </c>
      <c r="O3263" s="284" t="e">
        <f>++Tabla4[[#This Row],[Utilidad Total]]/Tabla4[[#This Row],[Total]]</f>
        <v>#N/A</v>
      </c>
      <c r="P3263" s="282">
        <f>++Tabla4[[#This Row],[Precio Descontado]]*Tabla4[[#This Row],[Cantidad]]</f>
        <v>1936.7704229999997</v>
      </c>
      <c r="Q3263" s="282" t="e">
        <f>(INDEX(Tabla6[#All],MATCH(Tabla4[[#This Row],[Producto]],Tabla6[[#All],[PRODUCTO]],0),MATCH(Tabla4[[#This Row],[Mes]],Tabla6[#Headers],0)))</f>
        <v>#N/A</v>
      </c>
      <c r="R3263" s="282" t="e">
        <f>++Tabla4[[#This Row],[Precio Unitario Neto]]-Tabla4[[#This Row],[20.85%]]-Tabla4[[#This Row],[Costo]]</f>
        <v>#N/A</v>
      </c>
      <c r="S3263" s="282" t="e">
        <f>++Tabla4[[#This Row],[U. Bruta Uni]]*Tabla4[[#This Row],[Cantidad]]</f>
        <v>#N/A</v>
      </c>
      <c r="T3263" s="369" t="str">
        <f>VLOOKUP(Tabla4[[#This Row],[Producto]],Tabla6[#All],14,FALSE)</f>
        <v>Termico Solar</v>
      </c>
      <c r="U3263" s="284" t="e">
        <f>(IF(Tabla4[[#This Row],[Familia]]="termico solar",Tabla4[[#This Row],[Utilidad Total]]*6%,Tabla4[[#This Row],[Utilidad Total]]*11.5%))/Tabla4[[#This Row],[Total]]</f>
        <v>#N/A</v>
      </c>
      <c r="V3263" s="282" t="e">
        <f>+Tabla4[[#This Row],[Comisión Calculada]]*Tabla4[[#This Row],[Total]]</f>
        <v>#N/A</v>
      </c>
    </row>
    <row r="3264" spans="1:22" hidden="1" x14ac:dyDescent="0.25">
      <c r="A3264" s="100">
        <v>45808</v>
      </c>
      <c r="B3264" t="str">
        <f t="shared" si="157"/>
        <v>May</v>
      </c>
      <c r="C3264" s="46" t="s">
        <v>280</v>
      </c>
      <c r="F3264" s="366" t="s">
        <v>1972</v>
      </c>
      <c r="G3264" s="46" t="s">
        <v>16</v>
      </c>
      <c r="H3264" s="46">
        <v>1</v>
      </c>
      <c r="I3264" s="51">
        <v>4103.8500000000004</v>
      </c>
      <c r="J3264" s="281">
        <f>++Tabla4[[#This Row],[Precio Bruto]]*1.16</f>
        <v>4760.4660000000003</v>
      </c>
      <c r="K3264" s="281">
        <f>+Tabla4[[#This Row],[Precio Unitario Neto]]*Tabla4[[#Headers],[20.85%]]</f>
        <v>992.55716100000006</v>
      </c>
      <c r="L3264" s="282">
        <f>++Tabla4[[#This Row],[Precio Unitario Neto]]-Tabla4[[#This Row],[20.85%]]</f>
        <v>3767.9088390000002</v>
      </c>
      <c r="M3264" s="282" t="e">
        <f>(INDEX(Tabla6[#All],MATCH(Tabla4[[#This Row],[Producto]],Tabla6[[#All],[PRODUCTO]],0),MATCH(Tabla4[[#This Row],[Mes]],Tabla6[#Headers],0)))*(1+Catalogos!$L$2)</f>
        <v>#N/A</v>
      </c>
      <c r="N3264" s="283" t="e">
        <f>+(Tabla4[[#This Row],[Precio Descontado]]-Tabla4[[#This Row],[Precio Base]])*Tabla4[[#This Row],[Cantidad]]</f>
        <v>#N/A</v>
      </c>
      <c r="O3264" s="284" t="e">
        <f>++Tabla4[[#This Row],[Utilidad Total]]/Tabla4[[#This Row],[Total]]</f>
        <v>#N/A</v>
      </c>
      <c r="P3264" s="282">
        <f>++Tabla4[[#This Row],[Precio Descontado]]*Tabla4[[#This Row],[Cantidad]]</f>
        <v>3767.9088390000002</v>
      </c>
      <c r="Q3264" s="282" t="e">
        <f>(INDEX(Tabla6[#All],MATCH(Tabla4[[#This Row],[Producto]],Tabla6[[#All],[PRODUCTO]],0),MATCH(Tabla4[[#This Row],[Mes]],Tabla6[#Headers],0)))</f>
        <v>#N/A</v>
      </c>
      <c r="R3264" s="282" t="e">
        <f>++Tabla4[[#This Row],[Precio Unitario Neto]]-Tabla4[[#This Row],[20.85%]]-Tabla4[[#This Row],[Costo]]</f>
        <v>#N/A</v>
      </c>
      <c r="S3264" s="282" t="e">
        <f>++Tabla4[[#This Row],[U. Bruta Uni]]*Tabla4[[#This Row],[Cantidad]]</f>
        <v>#N/A</v>
      </c>
      <c r="T3264" s="369" t="str">
        <f>VLOOKUP(Tabla4[[#This Row],[Producto]],Tabla6[#All],14,FALSE)</f>
        <v>Termico Solar</v>
      </c>
      <c r="U3264" s="284" t="e">
        <f>(IF(Tabla4[[#This Row],[Familia]]="termico solar",Tabla4[[#This Row],[Utilidad Total]]*6%,Tabla4[[#This Row],[Utilidad Total]]*11.5%))/Tabla4[[#This Row],[Total]]</f>
        <v>#N/A</v>
      </c>
      <c r="V3264" s="282" t="e">
        <f>+Tabla4[[#This Row],[Comisión Calculada]]*Tabla4[[#This Row],[Total]]</f>
        <v>#N/A</v>
      </c>
    </row>
    <row r="3265" spans="1:22" hidden="1" x14ac:dyDescent="0.25">
      <c r="A3265" s="100">
        <v>45808</v>
      </c>
      <c r="B3265" t="str">
        <f t="shared" si="157"/>
        <v>May</v>
      </c>
      <c r="C3265" s="46" t="s">
        <v>280</v>
      </c>
      <c r="F3265" s="366" t="s">
        <v>1972</v>
      </c>
      <c r="G3265" s="46" t="s">
        <v>208</v>
      </c>
      <c r="H3265" s="46">
        <v>1</v>
      </c>
      <c r="I3265" s="51">
        <v>189.75</v>
      </c>
      <c r="J3265" s="281">
        <f>++Tabla4[[#This Row],[Precio Bruto]]*1.16</f>
        <v>220.10999999999999</v>
      </c>
      <c r="K3265" s="281">
        <f>+Tabla4[[#This Row],[Precio Unitario Neto]]*Tabla4[[#Headers],[20.85%]]</f>
        <v>45.892934999999994</v>
      </c>
      <c r="L3265" s="282">
        <f>++Tabla4[[#This Row],[Precio Unitario Neto]]-Tabla4[[#This Row],[20.85%]]</f>
        <v>174.21706499999999</v>
      </c>
      <c r="M3265" s="282" t="e">
        <f>(INDEX(Tabla6[#All],MATCH(Tabla4[[#This Row],[Producto]],Tabla6[[#All],[PRODUCTO]],0),MATCH(Tabla4[[#This Row],[Mes]],Tabla6[#Headers],0)))*(1+Catalogos!$L$2)</f>
        <v>#N/A</v>
      </c>
      <c r="N3265" s="283" t="e">
        <f>+(Tabla4[[#This Row],[Precio Descontado]]-Tabla4[[#This Row],[Precio Base]])*Tabla4[[#This Row],[Cantidad]]</f>
        <v>#N/A</v>
      </c>
      <c r="O3265" s="284" t="e">
        <f>++Tabla4[[#This Row],[Utilidad Total]]/Tabla4[[#This Row],[Total]]</f>
        <v>#N/A</v>
      </c>
      <c r="P3265" s="282">
        <f>++Tabla4[[#This Row],[Precio Descontado]]*Tabla4[[#This Row],[Cantidad]]</f>
        <v>174.21706499999999</v>
      </c>
      <c r="Q3265" s="282" t="e">
        <f>(INDEX(Tabla6[#All],MATCH(Tabla4[[#This Row],[Producto]],Tabla6[[#All],[PRODUCTO]],0),MATCH(Tabla4[[#This Row],[Mes]],Tabla6[#Headers],0)))</f>
        <v>#N/A</v>
      </c>
      <c r="R3265" s="282" t="e">
        <f>++Tabla4[[#This Row],[Precio Unitario Neto]]-Tabla4[[#This Row],[20.85%]]-Tabla4[[#This Row],[Costo]]</f>
        <v>#N/A</v>
      </c>
      <c r="S3265" s="282" t="e">
        <f>++Tabla4[[#This Row],[U. Bruta Uni]]*Tabla4[[#This Row],[Cantidad]]</f>
        <v>#N/A</v>
      </c>
      <c r="T3265" s="369" t="str">
        <f>VLOOKUP(Tabla4[[#This Row],[Producto]],Tabla6[#All],14,FALSE)</f>
        <v>Termico Solar</v>
      </c>
      <c r="U3265" s="284" t="e">
        <f>(IF(Tabla4[[#This Row],[Familia]]="termico solar",Tabla4[[#This Row],[Utilidad Total]]*6%,Tabla4[[#This Row],[Utilidad Total]]*11.5%))/Tabla4[[#This Row],[Total]]</f>
        <v>#N/A</v>
      </c>
      <c r="V3265" s="282" t="e">
        <f>+Tabla4[[#This Row],[Comisión Calculada]]*Tabla4[[#This Row],[Total]]</f>
        <v>#N/A</v>
      </c>
    </row>
    <row r="3266" spans="1:22" hidden="1" x14ac:dyDescent="0.25">
      <c r="A3266" s="100">
        <v>45808</v>
      </c>
      <c r="B3266" t="str">
        <f t="shared" ref="B3266:B3307" si="158">TEXT(A3266, "mmmm")</f>
        <v>May</v>
      </c>
      <c r="C3266" s="46" t="s">
        <v>280</v>
      </c>
      <c r="F3266" s="366" t="s">
        <v>1973</v>
      </c>
      <c r="G3266" s="46" t="s">
        <v>208</v>
      </c>
      <c r="H3266" s="46">
        <v>2</v>
      </c>
      <c r="I3266" s="51">
        <v>189.75</v>
      </c>
      <c r="J3266" s="281">
        <f>++Tabla4[[#This Row],[Precio Bruto]]*1.16</f>
        <v>220.10999999999999</v>
      </c>
      <c r="K3266" s="281">
        <f>+Tabla4[[#This Row],[Precio Unitario Neto]]*Tabla4[[#Headers],[20.85%]]</f>
        <v>45.892934999999994</v>
      </c>
      <c r="L3266" s="282">
        <f>++Tabla4[[#This Row],[Precio Unitario Neto]]-Tabla4[[#This Row],[20.85%]]</f>
        <v>174.21706499999999</v>
      </c>
      <c r="M3266" s="282" t="e">
        <f>(INDEX(Tabla6[#All],MATCH(Tabla4[[#This Row],[Producto]],Tabla6[[#All],[PRODUCTO]],0),MATCH(Tabla4[[#This Row],[Mes]],Tabla6[#Headers],0)))*(1+Catalogos!$L$2)</f>
        <v>#N/A</v>
      </c>
      <c r="N3266" s="283" t="e">
        <f>+(Tabla4[[#This Row],[Precio Descontado]]-Tabla4[[#This Row],[Precio Base]])*Tabla4[[#This Row],[Cantidad]]</f>
        <v>#N/A</v>
      </c>
      <c r="O3266" s="284" t="e">
        <f>++Tabla4[[#This Row],[Utilidad Total]]/Tabla4[[#This Row],[Total]]</f>
        <v>#N/A</v>
      </c>
      <c r="P3266" s="282">
        <f>++Tabla4[[#This Row],[Precio Descontado]]*Tabla4[[#This Row],[Cantidad]]</f>
        <v>348.43412999999998</v>
      </c>
      <c r="Q3266" s="282" t="e">
        <f>(INDEX(Tabla6[#All],MATCH(Tabla4[[#This Row],[Producto]],Tabla6[[#All],[PRODUCTO]],0),MATCH(Tabla4[[#This Row],[Mes]],Tabla6[#Headers],0)))</f>
        <v>#N/A</v>
      </c>
      <c r="R3266" s="282" t="e">
        <f>++Tabla4[[#This Row],[Precio Unitario Neto]]-Tabla4[[#This Row],[20.85%]]-Tabla4[[#This Row],[Costo]]</f>
        <v>#N/A</v>
      </c>
      <c r="S3266" s="282" t="e">
        <f>++Tabla4[[#This Row],[U. Bruta Uni]]*Tabla4[[#This Row],[Cantidad]]</f>
        <v>#N/A</v>
      </c>
      <c r="T3266" s="369" t="str">
        <f>VLOOKUP(Tabla4[[#This Row],[Producto]],Tabla6[#All],14,FALSE)</f>
        <v>Termico Solar</v>
      </c>
      <c r="U3266" s="284" t="e">
        <f>(IF(Tabla4[[#This Row],[Familia]]="termico solar",Tabla4[[#This Row],[Utilidad Total]]*6%,Tabla4[[#This Row],[Utilidad Total]]*11.5%))/Tabla4[[#This Row],[Total]]</f>
        <v>#N/A</v>
      </c>
      <c r="V3266" s="282" t="e">
        <f>+Tabla4[[#This Row],[Comisión Calculada]]*Tabla4[[#This Row],[Total]]</f>
        <v>#N/A</v>
      </c>
    </row>
    <row r="3267" spans="1:22" hidden="1" x14ac:dyDescent="0.25">
      <c r="A3267" s="100">
        <v>45808</v>
      </c>
      <c r="B3267" t="str">
        <f t="shared" si="158"/>
        <v>May</v>
      </c>
      <c r="C3267" s="46" t="s">
        <v>280</v>
      </c>
      <c r="F3267" s="366" t="s">
        <v>1974</v>
      </c>
      <c r="G3267" s="46" t="s">
        <v>555</v>
      </c>
      <c r="H3267" s="46">
        <v>8</v>
      </c>
      <c r="I3267" s="51">
        <v>389.47</v>
      </c>
      <c r="J3267" s="281">
        <f>++Tabla4[[#This Row],[Precio Bruto]]*1.16</f>
        <v>451.78519999999997</v>
      </c>
      <c r="K3267" s="281">
        <f>+Tabla4[[#This Row],[Precio Unitario Neto]]*Tabla4[[#Headers],[20.85%]]</f>
        <v>94.197214199999991</v>
      </c>
      <c r="L3267" s="282">
        <f>++Tabla4[[#This Row],[Precio Unitario Neto]]-Tabla4[[#This Row],[20.85%]]</f>
        <v>357.58798579999996</v>
      </c>
      <c r="M3267" s="282" t="e">
        <f>(INDEX(Tabla6[#All],MATCH(Tabla4[[#This Row],[Producto]],Tabla6[[#All],[PRODUCTO]],0),MATCH(Tabla4[[#This Row],[Mes]],Tabla6[#Headers],0)))*(1+Catalogos!$L$2)</f>
        <v>#N/A</v>
      </c>
      <c r="N3267" s="283" t="e">
        <f>+(Tabla4[[#This Row],[Precio Descontado]]-Tabla4[[#This Row],[Precio Base]])*Tabla4[[#This Row],[Cantidad]]</f>
        <v>#N/A</v>
      </c>
      <c r="O3267" s="284" t="e">
        <f>++Tabla4[[#This Row],[Utilidad Total]]/Tabla4[[#This Row],[Total]]</f>
        <v>#N/A</v>
      </c>
      <c r="P3267" s="282">
        <f>++Tabla4[[#This Row],[Precio Descontado]]*Tabla4[[#This Row],[Cantidad]]</f>
        <v>2860.7038863999996</v>
      </c>
      <c r="Q3267" s="282" t="e">
        <f>(INDEX(Tabla6[#All],MATCH(Tabla4[[#This Row],[Producto]],Tabla6[[#All],[PRODUCTO]],0),MATCH(Tabla4[[#This Row],[Mes]],Tabla6[#Headers],0)))</f>
        <v>#N/A</v>
      </c>
      <c r="R3267" s="282" t="e">
        <f>++Tabla4[[#This Row],[Precio Unitario Neto]]-Tabla4[[#This Row],[20.85%]]-Tabla4[[#This Row],[Costo]]</f>
        <v>#N/A</v>
      </c>
      <c r="S3267" s="282" t="e">
        <f>++Tabla4[[#This Row],[U. Bruta Uni]]*Tabla4[[#This Row],[Cantidad]]</f>
        <v>#N/A</v>
      </c>
      <c r="T3267" s="369" t="str">
        <f>VLOOKUP(Tabla4[[#This Row],[Producto]],Tabla6[#All],14,FALSE)</f>
        <v>Termico Solar</v>
      </c>
      <c r="U3267" s="284" t="e">
        <f>(IF(Tabla4[[#This Row],[Familia]]="termico solar",Tabla4[[#This Row],[Utilidad Total]]*6%,Tabla4[[#This Row],[Utilidad Total]]*11.5%))/Tabla4[[#This Row],[Total]]</f>
        <v>#N/A</v>
      </c>
      <c r="V3267" s="282" t="e">
        <f>+Tabla4[[#This Row],[Comisión Calculada]]*Tabla4[[#This Row],[Total]]</f>
        <v>#N/A</v>
      </c>
    </row>
    <row r="3268" spans="1:22" hidden="1" x14ac:dyDescent="0.25">
      <c r="A3268" s="100">
        <v>45808</v>
      </c>
      <c r="B3268" t="str">
        <f t="shared" si="158"/>
        <v>May</v>
      </c>
      <c r="C3268" s="46" t="s">
        <v>280</v>
      </c>
      <c r="F3268" s="366" t="s">
        <v>1974</v>
      </c>
      <c r="G3268" s="46" t="s">
        <v>208</v>
      </c>
      <c r="H3268" s="46">
        <v>12</v>
      </c>
      <c r="I3268" s="51">
        <v>189.75</v>
      </c>
      <c r="J3268" s="281">
        <f>++Tabla4[[#This Row],[Precio Bruto]]*1.16</f>
        <v>220.10999999999999</v>
      </c>
      <c r="K3268" s="281">
        <f>+Tabla4[[#This Row],[Precio Unitario Neto]]*Tabla4[[#Headers],[20.85%]]</f>
        <v>45.892934999999994</v>
      </c>
      <c r="L3268" s="282">
        <f>++Tabla4[[#This Row],[Precio Unitario Neto]]-Tabla4[[#This Row],[20.85%]]</f>
        <v>174.21706499999999</v>
      </c>
      <c r="M3268" s="282" t="e">
        <f>(INDEX(Tabla6[#All],MATCH(Tabla4[[#This Row],[Producto]],Tabla6[[#All],[PRODUCTO]],0),MATCH(Tabla4[[#This Row],[Mes]],Tabla6[#Headers],0)))*(1+Catalogos!$L$2)</f>
        <v>#N/A</v>
      </c>
      <c r="N3268" s="283" t="e">
        <f>+(Tabla4[[#This Row],[Precio Descontado]]-Tabla4[[#This Row],[Precio Base]])*Tabla4[[#This Row],[Cantidad]]</f>
        <v>#N/A</v>
      </c>
      <c r="O3268" s="284" t="e">
        <f>++Tabla4[[#This Row],[Utilidad Total]]/Tabla4[[#This Row],[Total]]</f>
        <v>#N/A</v>
      </c>
      <c r="P3268" s="282">
        <f>++Tabla4[[#This Row],[Precio Descontado]]*Tabla4[[#This Row],[Cantidad]]</f>
        <v>2090.6047799999997</v>
      </c>
      <c r="Q3268" s="282" t="e">
        <f>(INDEX(Tabla6[#All],MATCH(Tabla4[[#This Row],[Producto]],Tabla6[[#All],[PRODUCTO]],0),MATCH(Tabla4[[#This Row],[Mes]],Tabla6[#Headers],0)))</f>
        <v>#N/A</v>
      </c>
      <c r="R3268" s="282" t="e">
        <f>++Tabla4[[#This Row],[Precio Unitario Neto]]-Tabla4[[#This Row],[20.85%]]-Tabla4[[#This Row],[Costo]]</f>
        <v>#N/A</v>
      </c>
      <c r="S3268" s="282" t="e">
        <f>++Tabla4[[#This Row],[U. Bruta Uni]]*Tabla4[[#This Row],[Cantidad]]</f>
        <v>#N/A</v>
      </c>
      <c r="T3268" s="369" t="str">
        <f>VLOOKUP(Tabla4[[#This Row],[Producto]],Tabla6[#All],14,FALSE)</f>
        <v>Termico Solar</v>
      </c>
      <c r="U3268" s="284" t="e">
        <f>(IF(Tabla4[[#This Row],[Familia]]="termico solar",Tabla4[[#This Row],[Utilidad Total]]*6%,Tabla4[[#This Row],[Utilidad Total]]*11.5%))/Tabla4[[#This Row],[Total]]</f>
        <v>#N/A</v>
      </c>
      <c r="V3268" s="282" t="e">
        <f>+Tabla4[[#This Row],[Comisión Calculada]]*Tabla4[[#This Row],[Total]]</f>
        <v>#N/A</v>
      </c>
    </row>
    <row r="3269" spans="1:22" hidden="1" x14ac:dyDescent="0.25">
      <c r="A3269" s="100">
        <v>45808</v>
      </c>
      <c r="B3269" t="str">
        <f t="shared" si="158"/>
        <v>May</v>
      </c>
      <c r="C3269" s="46" t="s">
        <v>280</v>
      </c>
      <c r="F3269" s="366" t="s">
        <v>1974</v>
      </c>
      <c r="G3269" s="46" t="s">
        <v>209</v>
      </c>
      <c r="H3269" s="46">
        <v>1</v>
      </c>
      <c r="I3269" s="51">
        <v>347.48</v>
      </c>
      <c r="J3269" s="281">
        <f>++Tabla4[[#This Row],[Precio Bruto]]*1.16</f>
        <v>403.07679999999999</v>
      </c>
      <c r="K3269" s="281">
        <f>+Tabla4[[#This Row],[Precio Unitario Neto]]*Tabla4[[#Headers],[20.85%]]</f>
        <v>84.041512799999992</v>
      </c>
      <c r="L3269" s="282">
        <f>++Tabla4[[#This Row],[Precio Unitario Neto]]-Tabla4[[#This Row],[20.85%]]</f>
        <v>319.03528719999997</v>
      </c>
      <c r="M3269" s="282" t="e">
        <f>(INDEX(Tabla6[#All],MATCH(Tabla4[[#This Row],[Producto]],Tabla6[[#All],[PRODUCTO]],0),MATCH(Tabla4[[#This Row],[Mes]],Tabla6[#Headers],0)))*(1+Catalogos!$L$2)</f>
        <v>#N/A</v>
      </c>
      <c r="N3269" s="283" t="e">
        <f>+(Tabla4[[#This Row],[Precio Descontado]]-Tabla4[[#This Row],[Precio Base]])*Tabla4[[#This Row],[Cantidad]]</f>
        <v>#N/A</v>
      </c>
      <c r="O3269" s="284" t="e">
        <f>++Tabla4[[#This Row],[Utilidad Total]]/Tabla4[[#This Row],[Total]]</f>
        <v>#N/A</v>
      </c>
      <c r="P3269" s="282">
        <f>++Tabla4[[#This Row],[Precio Descontado]]*Tabla4[[#This Row],[Cantidad]]</f>
        <v>319.03528719999997</v>
      </c>
      <c r="Q3269" s="282" t="e">
        <f>(INDEX(Tabla6[#All],MATCH(Tabla4[[#This Row],[Producto]],Tabla6[[#All],[PRODUCTO]],0),MATCH(Tabla4[[#This Row],[Mes]],Tabla6[#Headers],0)))</f>
        <v>#N/A</v>
      </c>
      <c r="R3269" s="282" t="e">
        <f>++Tabla4[[#This Row],[Precio Unitario Neto]]-Tabla4[[#This Row],[20.85%]]-Tabla4[[#This Row],[Costo]]</f>
        <v>#N/A</v>
      </c>
      <c r="S3269" s="282" t="e">
        <f>++Tabla4[[#This Row],[U. Bruta Uni]]*Tabla4[[#This Row],[Cantidad]]</f>
        <v>#N/A</v>
      </c>
      <c r="T3269" s="369" t="str">
        <f>VLOOKUP(Tabla4[[#This Row],[Producto]],Tabla6[#All],14,FALSE)</f>
        <v>Termico Solar</v>
      </c>
      <c r="U3269" s="284" t="e">
        <f>(IF(Tabla4[[#This Row],[Familia]]="termico solar",Tabla4[[#This Row],[Utilidad Total]]*6%,Tabla4[[#This Row],[Utilidad Total]]*11.5%))/Tabla4[[#This Row],[Total]]</f>
        <v>#N/A</v>
      </c>
      <c r="V3269" s="282" t="e">
        <f>+Tabla4[[#This Row],[Comisión Calculada]]*Tabla4[[#This Row],[Total]]</f>
        <v>#N/A</v>
      </c>
    </row>
    <row r="3270" spans="1:22" hidden="1" x14ac:dyDescent="0.25">
      <c r="A3270" s="100">
        <v>45808</v>
      </c>
      <c r="B3270" t="str">
        <f t="shared" si="158"/>
        <v>May</v>
      </c>
      <c r="C3270" s="46" t="s">
        <v>280</v>
      </c>
      <c r="F3270" s="366" t="s">
        <v>1975</v>
      </c>
      <c r="G3270" s="46" t="s">
        <v>83</v>
      </c>
      <c r="H3270" s="46">
        <v>2</v>
      </c>
      <c r="I3270" s="51">
        <v>8858.76</v>
      </c>
      <c r="J3270" s="281">
        <f>++Tabla4[[#This Row],[Precio Bruto]]*1.16</f>
        <v>10276.161599999999</v>
      </c>
      <c r="K3270" s="281">
        <f>+Tabla4[[#This Row],[Precio Unitario Neto]]*Tabla4[[#Headers],[20.85%]]</f>
        <v>2142.5796935999997</v>
      </c>
      <c r="L3270" s="282">
        <f>++Tabla4[[#This Row],[Precio Unitario Neto]]-Tabla4[[#This Row],[20.85%]]</f>
        <v>8133.5819063999998</v>
      </c>
      <c r="M3270" s="282" t="e">
        <f>(INDEX(Tabla6[#All],MATCH(Tabla4[[#This Row],[Producto]],Tabla6[[#All],[PRODUCTO]],0),MATCH(Tabla4[[#This Row],[Mes]],Tabla6[#Headers],0)))*(1+Catalogos!$L$2)</f>
        <v>#N/A</v>
      </c>
      <c r="N3270" s="283" t="e">
        <f>+(Tabla4[[#This Row],[Precio Descontado]]-Tabla4[[#This Row],[Precio Base]])*Tabla4[[#This Row],[Cantidad]]</f>
        <v>#N/A</v>
      </c>
      <c r="O3270" s="284" t="e">
        <f>++Tabla4[[#This Row],[Utilidad Total]]/Tabla4[[#This Row],[Total]]</f>
        <v>#N/A</v>
      </c>
      <c r="P3270" s="282">
        <f>++Tabla4[[#This Row],[Precio Descontado]]*Tabla4[[#This Row],[Cantidad]]</f>
        <v>16267.1638128</v>
      </c>
      <c r="Q3270" s="282" t="e">
        <f>(INDEX(Tabla6[#All],MATCH(Tabla4[[#This Row],[Producto]],Tabla6[[#All],[PRODUCTO]],0),MATCH(Tabla4[[#This Row],[Mes]],Tabla6[#Headers],0)))</f>
        <v>#N/A</v>
      </c>
      <c r="R3270" s="282" t="e">
        <f>++Tabla4[[#This Row],[Precio Unitario Neto]]-Tabla4[[#This Row],[20.85%]]-Tabla4[[#This Row],[Costo]]</f>
        <v>#N/A</v>
      </c>
      <c r="S3270" s="282" t="e">
        <f>++Tabla4[[#This Row],[U. Bruta Uni]]*Tabla4[[#This Row],[Cantidad]]</f>
        <v>#N/A</v>
      </c>
      <c r="T3270" s="369" t="str">
        <f>VLOOKUP(Tabla4[[#This Row],[Producto]],Tabla6[#All],14,FALSE)</f>
        <v>Termico Solar</v>
      </c>
      <c r="U3270" s="284" t="e">
        <f>(IF(Tabla4[[#This Row],[Familia]]="termico solar",Tabla4[[#This Row],[Utilidad Total]]*6%,Tabla4[[#This Row],[Utilidad Total]]*11.5%))/Tabla4[[#This Row],[Total]]</f>
        <v>#N/A</v>
      </c>
      <c r="V3270" s="282" t="e">
        <f>+Tabla4[[#This Row],[Comisión Calculada]]*Tabla4[[#This Row],[Total]]</f>
        <v>#N/A</v>
      </c>
    </row>
    <row r="3271" spans="1:22" hidden="1" x14ac:dyDescent="0.25">
      <c r="A3271" s="100">
        <v>45808</v>
      </c>
      <c r="B3271" t="str">
        <f t="shared" si="158"/>
        <v>May</v>
      </c>
      <c r="C3271" s="46" t="s">
        <v>280</v>
      </c>
      <c r="F3271" s="366" t="s">
        <v>1975</v>
      </c>
      <c r="G3271" s="46" t="s">
        <v>16</v>
      </c>
      <c r="H3271" s="46">
        <v>3</v>
      </c>
      <c r="I3271" s="51">
        <v>4103.8499999999995</v>
      </c>
      <c r="J3271" s="281">
        <f>++Tabla4[[#This Row],[Precio Bruto]]*1.16</f>
        <v>4760.4659999999994</v>
      </c>
      <c r="K3271" s="281">
        <f>+Tabla4[[#This Row],[Precio Unitario Neto]]*Tabla4[[#Headers],[20.85%]]</f>
        <v>992.55716099999984</v>
      </c>
      <c r="L3271" s="282">
        <f>++Tabla4[[#This Row],[Precio Unitario Neto]]-Tabla4[[#This Row],[20.85%]]</f>
        <v>3767.9088389999997</v>
      </c>
      <c r="M3271" s="282" t="e">
        <f>(INDEX(Tabla6[#All],MATCH(Tabla4[[#This Row],[Producto]],Tabla6[[#All],[PRODUCTO]],0),MATCH(Tabla4[[#This Row],[Mes]],Tabla6[#Headers],0)))*(1+Catalogos!$L$2)</f>
        <v>#N/A</v>
      </c>
      <c r="N3271" s="283" t="e">
        <f>+(Tabla4[[#This Row],[Precio Descontado]]-Tabla4[[#This Row],[Precio Base]])*Tabla4[[#This Row],[Cantidad]]</f>
        <v>#N/A</v>
      </c>
      <c r="O3271" s="284" t="e">
        <f>++Tabla4[[#This Row],[Utilidad Total]]/Tabla4[[#This Row],[Total]]</f>
        <v>#N/A</v>
      </c>
      <c r="P3271" s="282">
        <f>++Tabla4[[#This Row],[Precio Descontado]]*Tabla4[[#This Row],[Cantidad]]</f>
        <v>11303.726516999999</v>
      </c>
      <c r="Q3271" s="282" t="e">
        <f>(INDEX(Tabla6[#All],MATCH(Tabla4[[#This Row],[Producto]],Tabla6[[#All],[PRODUCTO]],0),MATCH(Tabla4[[#This Row],[Mes]],Tabla6[#Headers],0)))</f>
        <v>#N/A</v>
      </c>
      <c r="R3271" s="282" t="e">
        <f>++Tabla4[[#This Row],[Precio Unitario Neto]]-Tabla4[[#This Row],[20.85%]]-Tabla4[[#This Row],[Costo]]</f>
        <v>#N/A</v>
      </c>
      <c r="S3271" s="282" t="e">
        <f>++Tabla4[[#This Row],[U. Bruta Uni]]*Tabla4[[#This Row],[Cantidad]]</f>
        <v>#N/A</v>
      </c>
      <c r="T3271" s="369" t="str">
        <f>VLOOKUP(Tabla4[[#This Row],[Producto]],Tabla6[#All],14,FALSE)</f>
        <v>Termico Solar</v>
      </c>
      <c r="U3271" s="284" t="e">
        <f>(IF(Tabla4[[#This Row],[Familia]]="termico solar",Tabla4[[#This Row],[Utilidad Total]]*6%,Tabla4[[#This Row],[Utilidad Total]]*11.5%))/Tabla4[[#This Row],[Total]]</f>
        <v>#N/A</v>
      </c>
      <c r="V3271" s="282" t="e">
        <f>+Tabla4[[#This Row],[Comisión Calculada]]*Tabla4[[#This Row],[Total]]</f>
        <v>#N/A</v>
      </c>
    </row>
    <row r="3272" spans="1:22" hidden="1" x14ac:dyDescent="0.25">
      <c r="A3272" s="100">
        <v>45808</v>
      </c>
      <c r="B3272" t="str">
        <f t="shared" si="158"/>
        <v>May</v>
      </c>
      <c r="C3272" s="46" t="s">
        <v>280</v>
      </c>
      <c r="F3272" s="366" t="s">
        <v>1975</v>
      </c>
      <c r="G3272" s="46" t="s">
        <v>208</v>
      </c>
      <c r="H3272" s="46">
        <v>5</v>
      </c>
      <c r="I3272" s="51">
        <v>189.75</v>
      </c>
      <c r="J3272" s="281">
        <f>++Tabla4[[#This Row],[Precio Bruto]]*1.16</f>
        <v>220.10999999999999</v>
      </c>
      <c r="K3272" s="281">
        <f>+Tabla4[[#This Row],[Precio Unitario Neto]]*Tabla4[[#Headers],[20.85%]]</f>
        <v>45.892934999999994</v>
      </c>
      <c r="L3272" s="282">
        <f>++Tabla4[[#This Row],[Precio Unitario Neto]]-Tabla4[[#This Row],[20.85%]]</f>
        <v>174.21706499999999</v>
      </c>
      <c r="M3272" s="282" t="e">
        <f>(INDEX(Tabla6[#All],MATCH(Tabla4[[#This Row],[Producto]],Tabla6[[#All],[PRODUCTO]],0),MATCH(Tabla4[[#This Row],[Mes]],Tabla6[#Headers],0)))*(1+Catalogos!$L$2)</f>
        <v>#N/A</v>
      </c>
      <c r="N3272" s="283" t="e">
        <f>+(Tabla4[[#This Row],[Precio Descontado]]-Tabla4[[#This Row],[Precio Base]])*Tabla4[[#This Row],[Cantidad]]</f>
        <v>#N/A</v>
      </c>
      <c r="O3272" s="284" t="e">
        <f>++Tabla4[[#This Row],[Utilidad Total]]/Tabla4[[#This Row],[Total]]</f>
        <v>#N/A</v>
      </c>
      <c r="P3272" s="282">
        <f>++Tabla4[[#This Row],[Precio Descontado]]*Tabla4[[#This Row],[Cantidad]]</f>
        <v>871.08532500000001</v>
      </c>
      <c r="Q3272" s="282" t="e">
        <f>(INDEX(Tabla6[#All],MATCH(Tabla4[[#This Row],[Producto]],Tabla6[[#All],[PRODUCTO]],0),MATCH(Tabla4[[#This Row],[Mes]],Tabla6[#Headers],0)))</f>
        <v>#N/A</v>
      </c>
      <c r="R3272" s="282" t="e">
        <f>++Tabla4[[#This Row],[Precio Unitario Neto]]-Tabla4[[#This Row],[20.85%]]-Tabla4[[#This Row],[Costo]]</f>
        <v>#N/A</v>
      </c>
      <c r="S3272" s="282" t="e">
        <f>++Tabla4[[#This Row],[U. Bruta Uni]]*Tabla4[[#This Row],[Cantidad]]</f>
        <v>#N/A</v>
      </c>
      <c r="T3272" s="369" t="str">
        <f>VLOOKUP(Tabla4[[#This Row],[Producto]],Tabla6[#All],14,FALSE)</f>
        <v>Termico Solar</v>
      </c>
      <c r="U3272" s="284" t="e">
        <f>(IF(Tabla4[[#This Row],[Familia]]="termico solar",Tabla4[[#This Row],[Utilidad Total]]*6%,Tabla4[[#This Row],[Utilidad Total]]*11.5%))/Tabla4[[#This Row],[Total]]</f>
        <v>#N/A</v>
      </c>
      <c r="V3272" s="282" t="e">
        <f>+Tabla4[[#This Row],[Comisión Calculada]]*Tabla4[[#This Row],[Total]]</f>
        <v>#N/A</v>
      </c>
    </row>
    <row r="3273" spans="1:22" hidden="1" x14ac:dyDescent="0.25">
      <c r="A3273" s="100">
        <v>45808</v>
      </c>
      <c r="B3273" t="str">
        <f t="shared" si="158"/>
        <v>May</v>
      </c>
      <c r="C3273" s="46" t="s">
        <v>280</v>
      </c>
      <c r="F3273" s="366" t="s">
        <v>1976</v>
      </c>
      <c r="G3273" s="46" t="s">
        <v>566</v>
      </c>
      <c r="H3273" s="46">
        <v>1</v>
      </c>
      <c r="I3273" s="51">
        <v>2109.4499999999998</v>
      </c>
      <c r="J3273" s="281">
        <f>++Tabla4[[#This Row],[Precio Bruto]]*1.16</f>
        <v>2446.9619999999995</v>
      </c>
      <c r="K3273" s="281">
        <f>+Tabla4[[#This Row],[Precio Unitario Neto]]*Tabla4[[#Headers],[20.85%]]</f>
        <v>510.19157699999988</v>
      </c>
      <c r="L3273" s="282">
        <f>++Tabla4[[#This Row],[Precio Unitario Neto]]-Tabla4[[#This Row],[20.85%]]</f>
        <v>1936.7704229999997</v>
      </c>
      <c r="M3273" s="282" t="e">
        <f>(INDEX(Tabla6[#All],MATCH(Tabla4[[#This Row],[Producto]],Tabla6[[#All],[PRODUCTO]],0),MATCH(Tabla4[[#This Row],[Mes]],Tabla6[#Headers],0)))*(1+Catalogos!$L$2)</f>
        <v>#N/A</v>
      </c>
      <c r="N3273" s="283" t="e">
        <f>+(Tabla4[[#This Row],[Precio Descontado]]-Tabla4[[#This Row],[Precio Base]])*Tabla4[[#This Row],[Cantidad]]</f>
        <v>#N/A</v>
      </c>
      <c r="O3273" s="284" t="e">
        <f>++Tabla4[[#This Row],[Utilidad Total]]/Tabla4[[#This Row],[Total]]</f>
        <v>#N/A</v>
      </c>
      <c r="P3273" s="282">
        <f>++Tabla4[[#This Row],[Precio Descontado]]*Tabla4[[#This Row],[Cantidad]]</f>
        <v>1936.7704229999997</v>
      </c>
      <c r="Q3273" s="282" t="e">
        <f>(INDEX(Tabla6[#All],MATCH(Tabla4[[#This Row],[Producto]],Tabla6[[#All],[PRODUCTO]],0),MATCH(Tabla4[[#This Row],[Mes]],Tabla6[#Headers],0)))</f>
        <v>#N/A</v>
      </c>
      <c r="R3273" s="282" t="e">
        <f>++Tabla4[[#This Row],[Precio Unitario Neto]]-Tabla4[[#This Row],[20.85%]]-Tabla4[[#This Row],[Costo]]</f>
        <v>#N/A</v>
      </c>
      <c r="S3273" s="282" t="e">
        <f>++Tabla4[[#This Row],[U. Bruta Uni]]*Tabla4[[#This Row],[Cantidad]]</f>
        <v>#N/A</v>
      </c>
      <c r="T3273" s="369" t="str">
        <f>VLOOKUP(Tabla4[[#This Row],[Producto]],Tabla6[#All],14,FALSE)</f>
        <v>Termico Solar</v>
      </c>
      <c r="U3273" s="284" t="e">
        <f>(IF(Tabla4[[#This Row],[Familia]]="termico solar",Tabla4[[#This Row],[Utilidad Total]]*6%,Tabla4[[#This Row],[Utilidad Total]]*11.5%))/Tabla4[[#This Row],[Total]]</f>
        <v>#N/A</v>
      </c>
      <c r="V3273" s="282" t="e">
        <f>+Tabla4[[#This Row],[Comisión Calculada]]*Tabla4[[#This Row],[Total]]</f>
        <v>#N/A</v>
      </c>
    </row>
    <row r="3274" spans="1:22" hidden="1" x14ac:dyDescent="0.25">
      <c r="A3274" s="100">
        <v>45808</v>
      </c>
      <c r="B3274" t="str">
        <f t="shared" si="158"/>
        <v>May</v>
      </c>
      <c r="C3274" s="46" t="s">
        <v>280</v>
      </c>
      <c r="F3274" s="366" t="s">
        <v>1976</v>
      </c>
      <c r="G3274" s="46" t="s">
        <v>16</v>
      </c>
      <c r="H3274" s="46">
        <v>1</v>
      </c>
      <c r="I3274" s="51">
        <v>4103.8500000000004</v>
      </c>
      <c r="J3274" s="281">
        <f>++Tabla4[[#This Row],[Precio Bruto]]*1.16</f>
        <v>4760.4660000000003</v>
      </c>
      <c r="K3274" s="281">
        <f>+Tabla4[[#This Row],[Precio Unitario Neto]]*Tabla4[[#Headers],[20.85%]]</f>
        <v>992.55716100000006</v>
      </c>
      <c r="L3274" s="282">
        <f>++Tabla4[[#This Row],[Precio Unitario Neto]]-Tabla4[[#This Row],[20.85%]]</f>
        <v>3767.9088390000002</v>
      </c>
      <c r="M3274" s="282" t="e">
        <f>(INDEX(Tabla6[#All],MATCH(Tabla4[[#This Row],[Producto]],Tabla6[[#All],[PRODUCTO]],0),MATCH(Tabla4[[#This Row],[Mes]],Tabla6[#Headers],0)))*(1+Catalogos!$L$2)</f>
        <v>#N/A</v>
      </c>
      <c r="N3274" s="283" t="e">
        <f>+(Tabla4[[#This Row],[Precio Descontado]]-Tabla4[[#This Row],[Precio Base]])*Tabla4[[#This Row],[Cantidad]]</f>
        <v>#N/A</v>
      </c>
      <c r="O3274" s="284" t="e">
        <f>++Tabla4[[#This Row],[Utilidad Total]]/Tabla4[[#This Row],[Total]]</f>
        <v>#N/A</v>
      </c>
      <c r="P3274" s="282">
        <f>++Tabla4[[#This Row],[Precio Descontado]]*Tabla4[[#This Row],[Cantidad]]</f>
        <v>3767.9088390000002</v>
      </c>
      <c r="Q3274" s="282" t="e">
        <f>(INDEX(Tabla6[#All],MATCH(Tabla4[[#This Row],[Producto]],Tabla6[[#All],[PRODUCTO]],0),MATCH(Tabla4[[#This Row],[Mes]],Tabla6[#Headers],0)))</f>
        <v>#N/A</v>
      </c>
      <c r="R3274" s="282" t="e">
        <f>++Tabla4[[#This Row],[Precio Unitario Neto]]-Tabla4[[#This Row],[20.85%]]-Tabla4[[#This Row],[Costo]]</f>
        <v>#N/A</v>
      </c>
      <c r="S3274" s="282" t="e">
        <f>++Tabla4[[#This Row],[U. Bruta Uni]]*Tabla4[[#This Row],[Cantidad]]</f>
        <v>#N/A</v>
      </c>
      <c r="T3274" s="369" t="str">
        <f>VLOOKUP(Tabla4[[#This Row],[Producto]],Tabla6[#All],14,FALSE)</f>
        <v>Termico Solar</v>
      </c>
      <c r="U3274" s="284" t="e">
        <f>(IF(Tabla4[[#This Row],[Familia]]="termico solar",Tabla4[[#This Row],[Utilidad Total]]*6%,Tabla4[[#This Row],[Utilidad Total]]*11.5%))/Tabla4[[#This Row],[Total]]</f>
        <v>#N/A</v>
      </c>
      <c r="V3274" s="282" t="e">
        <f>+Tabla4[[#This Row],[Comisión Calculada]]*Tabla4[[#This Row],[Total]]</f>
        <v>#N/A</v>
      </c>
    </row>
    <row r="3275" spans="1:22" hidden="1" x14ac:dyDescent="0.25">
      <c r="A3275" s="100">
        <v>45808</v>
      </c>
      <c r="B3275" t="str">
        <f t="shared" si="158"/>
        <v>May</v>
      </c>
      <c r="C3275" s="46" t="s">
        <v>280</v>
      </c>
      <c r="F3275" s="366" t="s">
        <v>1976</v>
      </c>
      <c r="G3275" s="46" t="s">
        <v>208</v>
      </c>
      <c r="H3275" s="46">
        <v>1</v>
      </c>
      <c r="I3275" s="51">
        <v>189.75</v>
      </c>
      <c r="J3275" s="281">
        <f>++Tabla4[[#This Row],[Precio Bruto]]*1.16</f>
        <v>220.10999999999999</v>
      </c>
      <c r="K3275" s="281">
        <f>+Tabla4[[#This Row],[Precio Unitario Neto]]*Tabla4[[#Headers],[20.85%]]</f>
        <v>45.892934999999994</v>
      </c>
      <c r="L3275" s="282">
        <f>++Tabla4[[#This Row],[Precio Unitario Neto]]-Tabla4[[#This Row],[20.85%]]</f>
        <v>174.21706499999999</v>
      </c>
      <c r="M3275" s="282" t="e">
        <f>(INDEX(Tabla6[#All],MATCH(Tabla4[[#This Row],[Producto]],Tabla6[[#All],[PRODUCTO]],0),MATCH(Tabla4[[#This Row],[Mes]],Tabla6[#Headers],0)))*(1+Catalogos!$L$2)</f>
        <v>#N/A</v>
      </c>
      <c r="N3275" s="283" t="e">
        <f>+(Tabla4[[#This Row],[Precio Descontado]]-Tabla4[[#This Row],[Precio Base]])*Tabla4[[#This Row],[Cantidad]]</f>
        <v>#N/A</v>
      </c>
      <c r="O3275" s="284" t="e">
        <f>++Tabla4[[#This Row],[Utilidad Total]]/Tabla4[[#This Row],[Total]]</f>
        <v>#N/A</v>
      </c>
      <c r="P3275" s="282">
        <f>++Tabla4[[#This Row],[Precio Descontado]]*Tabla4[[#This Row],[Cantidad]]</f>
        <v>174.21706499999999</v>
      </c>
      <c r="Q3275" s="282" t="e">
        <f>(INDEX(Tabla6[#All],MATCH(Tabla4[[#This Row],[Producto]],Tabla6[[#All],[PRODUCTO]],0),MATCH(Tabla4[[#This Row],[Mes]],Tabla6[#Headers],0)))</f>
        <v>#N/A</v>
      </c>
      <c r="R3275" s="282" t="e">
        <f>++Tabla4[[#This Row],[Precio Unitario Neto]]-Tabla4[[#This Row],[20.85%]]-Tabla4[[#This Row],[Costo]]</f>
        <v>#N/A</v>
      </c>
      <c r="S3275" s="282" t="e">
        <f>++Tabla4[[#This Row],[U. Bruta Uni]]*Tabla4[[#This Row],[Cantidad]]</f>
        <v>#N/A</v>
      </c>
      <c r="T3275" s="369" t="str">
        <f>VLOOKUP(Tabla4[[#This Row],[Producto]],Tabla6[#All],14,FALSE)</f>
        <v>Termico Solar</v>
      </c>
      <c r="U3275" s="284" t="e">
        <f>(IF(Tabla4[[#This Row],[Familia]]="termico solar",Tabla4[[#This Row],[Utilidad Total]]*6%,Tabla4[[#This Row],[Utilidad Total]]*11.5%))/Tabla4[[#This Row],[Total]]</f>
        <v>#N/A</v>
      </c>
      <c r="V3275" s="282" t="e">
        <f>+Tabla4[[#This Row],[Comisión Calculada]]*Tabla4[[#This Row],[Total]]</f>
        <v>#N/A</v>
      </c>
    </row>
    <row r="3276" spans="1:22" hidden="1" x14ac:dyDescent="0.25">
      <c r="A3276" s="100">
        <v>45808</v>
      </c>
      <c r="B3276" t="str">
        <f t="shared" si="158"/>
        <v>May</v>
      </c>
      <c r="C3276" s="46" t="s">
        <v>280</v>
      </c>
      <c r="F3276" s="366" t="s">
        <v>1977</v>
      </c>
      <c r="G3276" s="46" t="s">
        <v>17</v>
      </c>
      <c r="H3276" s="46">
        <v>3</v>
      </c>
      <c r="I3276" s="51">
        <v>4622.28</v>
      </c>
      <c r="J3276" s="281">
        <f>++Tabla4[[#This Row],[Precio Bruto]]*1.16</f>
        <v>5361.8447999999989</v>
      </c>
      <c r="K3276" s="281">
        <f>+Tabla4[[#This Row],[Precio Unitario Neto]]*Tabla4[[#Headers],[20.85%]]</f>
        <v>1117.9446407999997</v>
      </c>
      <c r="L3276" s="282">
        <f>++Tabla4[[#This Row],[Precio Unitario Neto]]-Tabla4[[#This Row],[20.85%]]</f>
        <v>4243.9001591999995</v>
      </c>
      <c r="M3276" s="282" t="e">
        <f>(INDEX(Tabla6[#All],MATCH(Tabla4[[#This Row],[Producto]],Tabla6[[#All],[PRODUCTO]],0),MATCH(Tabla4[[#This Row],[Mes]],Tabla6[#Headers],0)))*(1+Catalogos!$L$2)</f>
        <v>#N/A</v>
      </c>
      <c r="N3276" s="283" t="e">
        <f>+(Tabla4[[#This Row],[Precio Descontado]]-Tabla4[[#This Row],[Precio Base]])*Tabla4[[#This Row],[Cantidad]]</f>
        <v>#N/A</v>
      </c>
      <c r="O3276" s="284" t="e">
        <f>++Tabla4[[#This Row],[Utilidad Total]]/Tabla4[[#This Row],[Total]]</f>
        <v>#N/A</v>
      </c>
      <c r="P3276" s="282">
        <f>++Tabla4[[#This Row],[Precio Descontado]]*Tabla4[[#This Row],[Cantidad]]</f>
        <v>12731.700477599999</v>
      </c>
      <c r="Q3276" s="282" t="e">
        <f>(INDEX(Tabla6[#All],MATCH(Tabla4[[#This Row],[Producto]],Tabla6[[#All],[PRODUCTO]],0),MATCH(Tabla4[[#This Row],[Mes]],Tabla6[#Headers],0)))</f>
        <v>#N/A</v>
      </c>
      <c r="R3276" s="282" t="e">
        <f>++Tabla4[[#This Row],[Precio Unitario Neto]]-Tabla4[[#This Row],[20.85%]]-Tabla4[[#This Row],[Costo]]</f>
        <v>#N/A</v>
      </c>
      <c r="S3276" s="282" t="e">
        <f>++Tabla4[[#This Row],[U. Bruta Uni]]*Tabla4[[#This Row],[Cantidad]]</f>
        <v>#N/A</v>
      </c>
      <c r="T3276" s="369" t="str">
        <f>VLOOKUP(Tabla4[[#This Row],[Producto]],Tabla6[#All],14,FALSE)</f>
        <v>Termico Solar</v>
      </c>
      <c r="U3276" s="284" t="e">
        <f>(IF(Tabla4[[#This Row],[Familia]]="termico solar",Tabla4[[#This Row],[Utilidad Total]]*6%,Tabla4[[#This Row],[Utilidad Total]]*11.5%))/Tabla4[[#This Row],[Total]]</f>
        <v>#N/A</v>
      </c>
      <c r="V3276" s="282" t="e">
        <f>+Tabla4[[#This Row],[Comisión Calculada]]*Tabla4[[#This Row],[Total]]</f>
        <v>#N/A</v>
      </c>
    </row>
    <row r="3277" spans="1:22" hidden="1" x14ac:dyDescent="0.25">
      <c r="A3277" s="100">
        <v>45808</v>
      </c>
      <c r="B3277" t="str">
        <f t="shared" si="158"/>
        <v>May</v>
      </c>
      <c r="C3277" s="46" t="s">
        <v>280</v>
      </c>
      <c r="F3277" s="366" t="s">
        <v>1977</v>
      </c>
      <c r="G3277" s="46" t="s">
        <v>18</v>
      </c>
      <c r="H3277" s="46">
        <v>3</v>
      </c>
      <c r="I3277" s="51">
        <v>5367.6500000000005</v>
      </c>
      <c r="J3277" s="281">
        <f>++Tabla4[[#This Row],[Precio Bruto]]*1.16</f>
        <v>6226.4740000000002</v>
      </c>
      <c r="K3277" s="281">
        <f>+Tabla4[[#This Row],[Precio Unitario Neto]]*Tabla4[[#Headers],[20.85%]]</f>
        <v>1298.2198289999999</v>
      </c>
      <c r="L3277" s="282">
        <f>++Tabla4[[#This Row],[Precio Unitario Neto]]-Tabla4[[#This Row],[20.85%]]</f>
        <v>4928.2541710000005</v>
      </c>
      <c r="M3277" s="282" t="e">
        <f>(INDEX(Tabla6[#All],MATCH(Tabla4[[#This Row],[Producto]],Tabla6[[#All],[PRODUCTO]],0),MATCH(Tabla4[[#This Row],[Mes]],Tabla6[#Headers],0)))*(1+Catalogos!$L$2)</f>
        <v>#N/A</v>
      </c>
      <c r="N3277" s="283" t="e">
        <f>+(Tabla4[[#This Row],[Precio Descontado]]-Tabla4[[#This Row],[Precio Base]])*Tabla4[[#This Row],[Cantidad]]</f>
        <v>#N/A</v>
      </c>
      <c r="O3277" s="284" t="e">
        <f>++Tabla4[[#This Row],[Utilidad Total]]/Tabla4[[#This Row],[Total]]</f>
        <v>#N/A</v>
      </c>
      <c r="P3277" s="282">
        <f>++Tabla4[[#This Row],[Precio Descontado]]*Tabla4[[#This Row],[Cantidad]]</f>
        <v>14784.762513000001</v>
      </c>
      <c r="Q3277" s="282" t="e">
        <f>(INDEX(Tabla6[#All],MATCH(Tabla4[[#This Row],[Producto]],Tabla6[[#All],[PRODUCTO]],0),MATCH(Tabla4[[#This Row],[Mes]],Tabla6[#Headers],0)))</f>
        <v>#N/A</v>
      </c>
      <c r="R3277" s="282" t="e">
        <f>++Tabla4[[#This Row],[Precio Unitario Neto]]-Tabla4[[#This Row],[20.85%]]-Tabla4[[#This Row],[Costo]]</f>
        <v>#N/A</v>
      </c>
      <c r="S3277" s="282" t="e">
        <f>++Tabla4[[#This Row],[U. Bruta Uni]]*Tabla4[[#This Row],[Cantidad]]</f>
        <v>#N/A</v>
      </c>
      <c r="T3277" s="369" t="str">
        <f>VLOOKUP(Tabla4[[#This Row],[Producto]],Tabla6[#All],14,FALSE)</f>
        <v>Termico Solar</v>
      </c>
      <c r="U3277" s="284" t="e">
        <f>(IF(Tabla4[[#This Row],[Familia]]="termico solar",Tabla4[[#This Row],[Utilidad Total]]*6%,Tabla4[[#This Row],[Utilidad Total]]*11.5%))/Tabla4[[#This Row],[Total]]</f>
        <v>#N/A</v>
      </c>
      <c r="V3277" s="282" t="e">
        <f>+Tabla4[[#This Row],[Comisión Calculada]]*Tabla4[[#This Row],[Total]]</f>
        <v>#N/A</v>
      </c>
    </row>
    <row r="3278" spans="1:22" hidden="1" x14ac:dyDescent="0.25">
      <c r="A3278" s="100">
        <v>45808</v>
      </c>
      <c r="B3278" t="str">
        <f t="shared" si="158"/>
        <v>May</v>
      </c>
      <c r="C3278" s="46" t="s">
        <v>280</v>
      </c>
      <c r="F3278" s="366" t="s">
        <v>1977</v>
      </c>
      <c r="G3278" s="46" t="s">
        <v>19</v>
      </c>
      <c r="H3278" s="46">
        <v>1</v>
      </c>
      <c r="I3278" s="51">
        <v>6412.03</v>
      </c>
      <c r="J3278" s="281">
        <f>++Tabla4[[#This Row],[Precio Bruto]]*1.16</f>
        <v>7437.9547999999995</v>
      </c>
      <c r="K3278" s="281">
        <f>+Tabla4[[#This Row],[Precio Unitario Neto]]*Tabla4[[#Headers],[20.85%]]</f>
        <v>1550.8135757999999</v>
      </c>
      <c r="L3278" s="282">
        <f>++Tabla4[[#This Row],[Precio Unitario Neto]]-Tabla4[[#This Row],[20.85%]]</f>
        <v>5887.1412241999997</v>
      </c>
      <c r="M3278" s="282" t="e">
        <f>(INDEX(Tabla6[#All],MATCH(Tabla4[[#This Row],[Producto]],Tabla6[[#All],[PRODUCTO]],0),MATCH(Tabla4[[#This Row],[Mes]],Tabla6[#Headers],0)))*(1+Catalogos!$L$2)</f>
        <v>#N/A</v>
      </c>
      <c r="N3278" s="283" t="e">
        <f>+(Tabla4[[#This Row],[Precio Descontado]]-Tabla4[[#This Row],[Precio Base]])*Tabla4[[#This Row],[Cantidad]]</f>
        <v>#N/A</v>
      </c>
      <c r="O3278" s="284" t="e">
        <f>++Tabla4[[#This Row],[Utilidad Total]]/Tabla4[[#This Row],[Total]]</f>
        <v>#N/A</v>
      </c>
      <c r="P3278" s="282">
        <f>++Tabla4[[#This Row],[Precio Descontado]]*Tabla4[[#This Row],[Cantidad]]</f>
        <v>5887.1412241999997</v>
      </c>
      <c r="Q3278" s="282" t="e">
        <f>(INDEX(Tabla6[#All],MATCH(Tabla4[[#This Row],[Producto]],Tabla6[[#All],[PRODUCTO]],0),MATCH(Tabla4[[#This Row],[Mes]],Tabla6[#Headers],0)))</f>
        <v>#N/A</v>
      </c>
      <c r="R3278" s="282" t="e">
        <f>++Tabla4[[#This Row],[Precio Unitario Neto]]-Tabla4[[#This Row],[20.85%]]-Tabla4[[#This Row],[Costo]]</f>
        <v>#N/A</v>
      </c>
      <c r="S3278" s="282" t="e">
        <f>++Tabla4[[#This Row],[U. Bruta Uni]]*Tabla4[[#This Row],[Cantidad]]</f>
        <v>#N/A</v>
      </c>
      <c r="T3278" s="369" t="str">
        <f>VLOOKUP(Tabla4[[#This Row],[Producto]],Tabla6[#All],14,FALSE)</f>
        <v>Termico Solar</v>
      </c>
      <c r="U3278" s="284" t="e">
        <f>(IF(Tabla4[[#This Row],[Familia]]="termico solar",Tabla4[[#This Row],[Utilidad Total]]*6%,Tabla4[[#This Row],[Utilidad Total]]*11.5%))/Tabla4[[#This Row],[Total]]</f>
        <v>#N/A</v>
      </c>
      <c r="V3278" s="282" t="e">
        <f>+Tabla4[[#This Row],[Comisión Calculada]]*Tabla4[[#This Row],[Total]]</f>
        <v>#N/A</v>
      </c>
    </row>
    <row r="3279" spans="1:22" hidden="1" x14ac:dyDescent="0.25">
      <c r="A3279" s="100">
        <v>45808</v>
      </c>
      <c r="B3279" t="str">
        <f t="shared" si="158"/>
        <v>May</v>
      </c>
      <c r="C3279" s="46" t="s">
        <v>280</v>
      </c>
      <c r="F3279" s="366" t="s">
        <v>1977</v>
      </c>
      <c r="G3279" s="46" t="s">
        <v>566</v>
      </c>
      <c r="H3279" s="46">
        <v>1</v>
      </c>
      <c r="I3279" s="51">
        <v>2109.4499999999998</v>
      </c>
      <c r="J3279" s="281">
        <f>++Tabla4[[#This Row],[Precio Bruto]]*1.16</f>
        <v>2446.9619999999995</v>
      </c>
      <c r="K3279" s="281">
        <f>+Tabla4[[#This Row],[Precio Unitario Neto]]*Tabla4[[#Headers],[20.85%]]</f>
        <v>510.19157699999988</v>
      </c>
      <c r="L3279" s="282">
        <f>++Tabla4[[#This Row],[Precio Unitario Neto]]-Tabla4[[#This Row],[20.85%]]</f>
        <v>1936.7704229999997</v>
      </c>
      <c r="M3279" s="282" t="e">
        <f>(INDEX(Tabla6[#All],MATCH(Tabla4[[#This Row],[Producto]],Tabla6[[#All],[PRODUCTO]],0),MATCH(Tabla4[[#This Row],[Mes]],Tabla6[#Headers],0)))*(1+Catalogos!$L$2)</f>
        <v>#N/A</v>
      </c>
      <c r="N3279" s="283" t="e">
        <f>+(Tabla4[[#This Row],[Precio Descontado]]-Tabla4[[#This Row],[Precio Base]])*Tabla4[[#This Row],[Cantidad]]</f>
        <v>#N/A</v>
      </c>
      <c r="O3279" s="284" t="e">
        <f>++Tabla4[[#This Row],[Utilidad Total]]/Tabla4[[#This Row],[Total]]</f>
        <v>#N/A</v>
      </c>
      <c r="P3279" s="282">
        <f>++Tabla4[[#This Row],[Precio Descontado]]*Tabla4[[#This Row],[Cantidad]]</f>
        <v>1936.7704229999997</v>
      </c>
      <c r="Q3279" s="282" t="e">
        <f>(INDEX(Tabla6[#All],MATCH(Tabla4[[#This Row],[Producto]],Tabla6[[#All],[PRODUCTO]],0),MATCH(Tabla4[[#This Row],[Mes]],Tabla6[#Headers],0)))</f>
        <v>#N/A</v>
      </c>
      <c r="R3279" s="282" t="e">
        <f>++Tabla4[[#This Row],[Precio Unitario Neto]]-Tabla4[[#This Row],[20.85%]]-Tabla4[[#This Row],[Costo]]</f>
        <v>#N/A</v>
      </c>
      <c r="S3279" s="282" t="e">
        <f>++Tabla4[[#This Row],[U. Bruta Uni]]*Tabla4[[#This Row],[Cantidad]]</f>
        <v>#N/A</v>
      </c>
      <c r="T3279" s="369" t="str">
        <f>VLOOKUP(Tabla4[[#This Row],[Producto]],Tabla6[#All],14,FALSE)</f>
        <v>Termico Solar</v>
      </c>
      <c r="U3279" s="284" t="e">
        <f>(IF(Tabla4[[#This Row],[Familia]]="termico solar",Tabla4[[#This Row],[Utilidad Total]]*6%,Tabla4[[#This Row],[Utilidad Total]]*11.5%))/Tabla4[[#This Row],[Total]]</f>
        <v>#N/A</v>
      </c>
      <c r="V3279" s="282" t="e">
        <f>+Tabla4[[#This Row],[Comisión Calculada]]*Tabla4[[#This Row],[Total]]</f>
        <v>#N/A</v>
      </c>
    </row>
    <row r="3280" spans="1:22" hidden="1" x14ac:dyDescent="0.25">
      <c r="A3280" s="100">
        <v>45808</v>
      </c>
      <c r="B3280" t="str">
        <f t="shared" si="158"/>
        <v>May</v>
      </c>
      <c r="C3280" s="46" t="s">
        <v>280</v>
      </c>
      <c r="F3280" s="366" t="s">
        <v>1978</v>
      </c>
      <c r="G3280" s="46" t="s">
        <v>17</v>
      </c>
      <c r="H3280" s="46">
        <v>3</v>
      </c>
      <c r="I3280" s="51">
        <v>4622.28</v>
      </c>
      <c r="J3280" s="281">
        <f>++Tabla4[[#This Row],[Precio Bruto]]*1.16</f>
        <v>5361.8447999999989</v>
      </c>
      <c r="K3280" s="281">
        <f>+Tabla4[[#This Row],[Precio Unitario Neto]]*Tabla4[[#Headers],[20.85%]]</f>
        <v>1117.9446407999997</v>
      </c>
      <c r="L3280" s="282">
        <f>++Tabla4[[#This Row],[Precio Unitario Neto]]-Tabla4[[#This Row],[20.85%]]</f>
        <v>4243.9001591999995</v>
      </c>
      <c r="M3280" s="282" t="e">
        <f>(INDEX(Tabla6[#All],MATCH(Tabla4[[#This Row],[Producto]],Tabla6[[#All],[PRODUCTO]],0),MATCH(Tabla4[[#This Row],[Mes]],Tabla6[#Headers],0)))*(1+Catalogos!$L$2)</f>
        <v>#N/A</v>
      </c>
      <c r="N3280" s="283" t="e">
        <f>+(Tabla4[[#This Row],[Precio Descontado]]-Tabla4[[#This Row],[Precio Base]])*Tabla4[[#This Row],[Cantidad]]</f>
        <v>#N/A</v>
      </c>
      <c r="O3280" s="284" t="e">
        <f>++Tabla4[[#This Row],[Utilidad Total]]/Tabla4[[#This Row],[Total]]</f>
        <v>#N/A</v>
      </c>
      <c r="P3280" s="282">
        <f>++Tabla4[[#This Row],[Precio Descontado]]*Tabla4[[#This Row],[Cantidad]]</f>
        <v>12731.700477599999</v>
      </c>
      <c r="Q3280" s="282" t="e">
        <f>(INDEX(Tabla6[#All],MATCH(Tabla4[[#This Row],[Producto]],Tabla6[[#All],[PRODUCTO]],0),MATCH(Tabla4[[#This Row],[Mes]],Tabla6[#Headers],0)))</f>
        <v>#N/A</v>
      </c>
      <c r="R3280" s="282" t="e">
        <f>++Tabla4[[#This Row],[Precio Unitario Neto]]-Tabla4[[#This Row],[20.85%]]-Tabla4[[#This Row],[Costo]]</f>
        <v>#N/A</v>
      </c>
      <c r="S3280" s="282" t="e">
        <f>++Tabla4[[#This Row],[U. Bruta Uni]]*Tabla4[[#This Row],[Cantidad]]</f>
        <v>#N/A</v>
      </c>
      <c r="T3280" s="369" t="str">
        <f>VLOOKUP(Tabla4[[#This Row],[Producto]],Tabla6[#All],14,FALSE)</f>
        <v>Termico Solar</v>
      </c>
      <c r="U3280" s="284" t="e">
        <f>(IF(Tabla4[[#This Row],[Familia]]="termico solar",Tabla4[[#This Row],[Utilidad Total]]*6%,Tabla4[[#This Row],[Utilidad Total]]*11.5%))/Tabla4[[#This Row],[Total]]</f>
        <v>#N/A</v>
      </c>
      <c r="V3280" s="282" t="e">
        <f>+Tabla4[[#This Row],[Comisión Calculada]]*Tabla4[[#This Row],[Total]]</f>
        <v>#N/A</v>
      </c>
    </row>
    <row r="3281" spans="1:22" hidden="1" x14ac:dyDescent="0.25">
      <c r="A3281" s="100">
        <v>45808</v>
      </c>
      <c r="B3281" t="str">
        <f t="shared" si="158"/>
        <v>May</v>
      </c>
      <c r="C3281" s="46" t="s">
        <v>280</v>
      </c>
      <c r="F3281" s="366" t="s">
        <v>1978</v>
      </c>
      <c r="G3281" s="46" t="s">
        <v>566</v>
      </c>
      <c r="H3281" s="46">
        <v>1</v>
      </c>
      <c r="I3281" s="51">
        <v>2109.4499999999998</v>
      </c>
      <c r="J3281" s="281">
        <f>++Tabla4[[#This Row],[Precio Bruto]]*1.16</f>
        <v>2446.9619999999995</v>
      </c>
      <c r="K3281" s="281">
        <f>+Tabla4[[#This Row],[Precio Unitario Neto]]*Tabla4[[#Headers],[20.85%]]</f>
        <v>510.19157699999988</v>
      </c>
      <c r="L3281" s="282">
        <f>++Tabla4[[#This Row],[Precio Unitario Neto]]-Tabla4[[#This Row],[20.85%]]</f>
        <v>1936.7704229999997</v>
      </c>
      <c r="M3281" s="282" t="e">
        <f>(INDEX(Tabla6[#All],MATCH(Tabla4[[#This Row],[Producto]],Tabla6[[#All],[PRODUCTO]],0),MATCH(Tabla4[[#This Row],[Mes]],Tabla6[#Headers],0)))*(1+Catalogos!$L$2)</f>
        <v>#N/A</v>
      </c>
      <c r="N3281" s="283" t="e">
        <f>+(Tabla4[[#This Row],[Precio Descontado]]-Tabla4[[#This Row],[Precio Base]])*Tabla4[[#This Row],[Cantidad]]</f>
        <v>#N/A</v>
      </c>
      <c r="O3281" s="284" t="e">
        <f>++Tabla4[[#This Row],[Utilidad Total]]/Tabla4[[#This Row],[Total]]</f>
        <v>#N/A</v>
      </c>
      <c r="P3281" s="282">
        <f>++Tabla4[[#This Row],[Precio Descontado]]*Tabla4[[#This Row],[Cantidad]]</f>
        <v>1936.7704229999997</v>
      </c>
      <c r="Q3281" s="282" t="e">
        <f>(INDEX(Tabla6[#All],MATCH(Tabla4[[#This Row],[Producto]],Tabla6[[#All],[PRODUCTO]],0),MATCH(Tabla4[[#This Row],[Mes]],Tabla6[#Headers],0)))</f>
        <v>#N/A</v>
      </c>
      <c r="R3281" s="282" t="e">
        <f>++Tabla4[[#This Row],[Precio Unitario Neto]]-Tabla4[[#This Row],[20.85%]]-Tabla4[[#This Row],[Costo]]</f>
        <v>#N/A</v>
      </c>
      <c r="S3281" s="282" t="e">
        <f>++Tabla4[[#This Row],[U. Bruta Uni]]*Tabla4[[#This Row],[Cantidad]]</f>
        <v>#N/A</v>
      </c>
      <c r="T3281" s="369" t="str">
        <f>VLOOKUP(Tabla4[[#This Row],[Producto]],Tabla6[#All],14,FALSE)</f>
        <v>Termico Solar</v>
      </c>
      <c r="U3281" s="284" t="e">
        <f>(IF(Tabla4[[#This Row],[Familia]]="termico solar",Tabla4[[#This Row],[Utilidad Total]]*6%,Tabla4[[#This Row],[Utilidad Total]]*11.5%))/Tabla4[[#This Row],[Total]]</f>
        <v>#N/A</v>
      </c>
      <c r="V3281" s="282" t="e">
        <f>+Tabla4[[#This Row],[Comisión Calculada]]*Tabla4[[#This Row],[Total]]</f>
        <v>#N/A</v>
      </c>
    </row>
    <row r="3282" spans="1:22" hidden="1" x14ac:dyDescent="0.25">
      <c r="A3282" s="100">
        <v>45808</v>
      </c>
      <c r="B3282" t="str">
        <f t="shared" si="158"/>
        <v>May</v>
      </c>
      <c r="C3282" s="46" t="s">
        <v>280</v>
      </c>
      <c r="F3282" s="366" t="s">
        <v>1979</v>
      </c>
      <c r="G3282" s="46" t="s">
        <v>18</v>
      </c>
      <c r="H3282" s="46">
        <v>1</v>
      </c>
      <c r="I3282" s="51">
        <v>5367.65</v>
      </c>
      <c r="J3282" s="281">
        <f>++Tabla4[[#This Row],[Precio Bruto]]*1.16</f>
        <v>6226.4739999999993</v>
      </c>
      <c r="K3282" s="281">
        <f>+Tabla4[[#This Row],[Precio Unitario Neto]]*Tabla4[[#Headers],[20.85%]]</f>
        <v>1298.2198289999999</v>
      </c>
      <c r="L3282" s="282">
        <f>++Tabla4[[#This Row],[Precio Unitario Neto]]-Tabla4[[#This Row],[20.85%]]</f>
        <v>4928.2541709999996</v>
      </c>
      <c r="M3282" s="282" t="e">
        <f>(INDEX(Tabla6[#All],MATCH(Tabla4[[#This Row],[Producto]],Tabla6[[#All],[PRODUCTO]],0),MATCH(Tabla4[[#This Row],[Mes]],Tabla6[#Headers],0)))*(1+Catalogos!$L$2)</f>
        <v>#N/A</v>
      </c>
      <c r="N3282" s="283" t="e">
        <f>+(Tabla4[[#This Row],[Precio Descontado]]-Tabla4[[#This Row],[Precio Base]])*Tabla4[[#This Row],[Cantidad]]</f>
        <v>#N/A</v>
      </c>
      <c r="O3282" s="284" t="e">
        <f>++Tabla4[[#This Row],[Utilidad Total]]/Tabla4[[#This Row],[Total]]</f>
        <v>#N/A</v>
      </c>
      <c r="P3282" s="282">
        <f>++Tabla4[[#This Row],[Precio Descontado]]*Tabla4[[#This Row],[Cantidad]]</f>
        <v>4928.2541709999996</v>
      </c>
      <c r="Q3282" s="282" t="e">
        <f>(INDEX(Tabla6[#All],MATCH(Tabla4[[#This Row],[Producto]],Tabla6[[#All],[PRODUCTO]],0),MATCH(Tabla4[[#This Row],[Mes]],Tabla6[#Headers],0)))</f>
        <v>#N/A</v>
      </c>
      <c r="R3282" s="282" t="e">
        <f>++Tabla4[[#This Row],[Precio Unitario Neto]]-Tabla4[[#This Row],[20.85%]]-Tabla4[[#This Row],[Costo]]</f>
        <v>#N/A</v>
      </c>
      <c r="S3282" s="282" t="e">
        <f>++Tabla4[[#This Row],[U. Bruta Uni]]*Tabla4[[#This Row],[Cantidad]]</f>
        <v>#N/A</v>
      </c>
      <c r="T3282" s="369" t="str">
        <f>VLOOKUP(Tabla4[[#This Row],[Producto]],Tabla6[#All],14,FALSE)</f>
        <v>Termico Solar</v>
      </c>
      <c r="U3282" s="284" t="e">
        <f>(IF(Tabla4[[#This Row],[Familia]]="termico solar",Tabla4[[#This Row],[Utilidad Total]]*6%,Tabla4[[#This Row],[Utilidad Total]]*11.5%))/Tabla4[[#This Row],[Total]]</f>
        <v>#N/A</v>
      </c>
      <c r="V3282" s="282" t="e">
        <f>+Tabla4[[#This Row],[Comisión Calculada]]*Tabla4[[#This Row],[Total]]</f>
        <v>#N/A</v>
      </c>
    </row>
    <row r="3283" spans="1:22" hidden="1" x14ac:dyDescent="0.25">
      <c r="A3283" s="100">
        <v>45808</v>
      </c>
      <c r="B3283" t="str">
        <f t="shared" si="158"/>
        <v>May</v>
      </c>
      <c r="C3283" s="46" t="s">
        <v>280</v>
      </c>
      <c r="F3283" s="366" t="s">
        <v>1979</v>
      </c>
      <c r="G3283" s="46" t="s">
        <v>208</v>
      </c>
      <c r="H3283" s="46">
        <v>1</v>
      </c>
      <c r="I3283" s="51">
        <v>189.75</v>
      </c>
      <c r="J3283" s="281">
        <f>++Tabla4[[#This Row],[Precio Bruto]]*1.16</f>
        <v>220.10999999999999</v>
      </c>
      <c r="K3283" s="281">
        <f>+Tabla4[[#This Row],[Precio Unitario Neto]]*Tabla4[[#Headers],[20.85%]]</f>
        <v>45.892934999999994</v>
      </c>
      <c r="L3283" s="282">
        <f>++Tabla4[[#This Row],[Precio Unitario Neto]]-Tabla4[[#This Row],[20.85%]]</f>
        <v>174.21706499999999</v>
      </c>
      <c r="M3283" s="282" t="e">
        <f>(INDEX(Tabla6[#All],MATCH(Tabla4[[#This Row],[Producto]],Tabla6[[#All],[PRODUCTO]],0),MATCH(Tabla4[[#This Row],[Mes]],Tabla6[#Headers],0)))*(1+Catalogos!$L$2)</f>
        <v>#N/A</v>
      </c>
      <c r="N3283" s="283" t="e">
        <f>+(Tabla4[[#This Row],[Precio Descontado]]-Tabla4[[#This Row],[Precio Base]])*Tabla4[[#This Row],[Cantidad]]</f>
        <v>#N/A</v>
      </c>
      <c r="O3283" s="284" t="e">
        <f>++Tabla4[[#This Row],[Utilidad Total]]/Tabla4[[#This Row],[Total]]</f>
        <v>#N/A</v>
      </c>
      <c r="P3283" s="282">
        <f>++Tabla4[[#This Row],[Precio Descontado]]*Tabla4[[#This Row],[Cantidad]]</f>
        <v>174.21706499999999</v>
      </c>
      <c r="Q3283" s="282" t="e">
        <f>(INDEX(Tabla6[#All],MATCH(Tabla4[[#This Row],[Producto]],Tabla6[[#All],[PRODUCTO]],0),MATCH(Tabla4[[#This Row],[Mes]],Tabla6[#Headers],0)))</f>
        <v>#N/A</v>
      </c>
      <c r="R3283" s="282" t="e">
        <f>++Tabla4[[#This Row],[Precio Unitario Neto]]-Tabla4[[#This Row],[20.85%]]-Tabla4[[#This Row],[Costo]]</f>
        <v>#N/A</v>
      </c>
      <c r="S3283" s="282" t="e">
        <f>++Tabla4[[#This Row],[U. Bruta Uni]]*Tabla4[[#This Row],[Cantidad]]</f>
        <v>#N/A</v>
      </c>
      <c r="T3283" s="369" t="str">
        <f>VLOOKUP(Tabla4[[#This Row],[Producto]],Tabla6[#All],14,FALSE)</f>
        <v>Termico Solar</v>
      </c>
      <c r="U3283" s="284" t="e">
        <f>(IF(Tabla4[[#This Row],[Familia]]="termico solar",Tabla4[[#This Row],[Utilidad Total]]*6%,Tabla4[[#This Row],[Utilidad Total]]*11.5%))/Tabla4[[#This Row],[Total]]</f>
        <v>#N/A</v>
      </c>
      <c r="V3283" s="282" t="e">
        <f>+Tabla4[[#This Row],[Comisión Calculada]]*Tabla4[[#This Row],[Total]]</f>
        <v>#N/A</v>
      </c>
    </row>
    <row r="3284" spans="1:22" hidden="1" x14ac:dyDescent="0.25">
      <c r="A3284" s="100">
        <v>45808</v>
      </c>
      <c r="B3284" t="str">
        <f t="shared" si="158"/>
        <v>May</v>
      </c>
      <c r="C3284" s="46" t="s">
        <v>280</v>
      </c>
      <c r="F3284" s="366" t="s">
        <v>1980</v>
      </c>
      <c r="G3284" s="46" t="s">
        <v>16</v>
      </c>
      <c r="H3284" s="46">
        <v>1</v>
      </c>
      <c r="I3284" s="51">
        <v>4103.8500000000004</v>
      </c>
      <c r="J3284" s="281">
        <f>++Tabla4[[#This Row],[Precio Bruto]]*1.16</f>
        <v>4760.4660000000003</v>
      </c>
      <c r="K3284" s="281">
        <f>+Tabla4[[#This Row],[Precio Unitario Neto]]*Tabla4[[#Headers],[20.85%]]</f>
        <v>992.55716100000006</v>
      </c>
      <c r="L3284" s="282">
        <f>++Tabla4[[#This Row],[Precio Unitario Neto]]-Tabla4[[#This Row],[20.85%]]</f>
        <v>3767.9088390000002</v>
      </c>
      <c r="M3284" s="282" t="e">
        <f>(INDEX(Tabla6[#All],MATCH(Tabla4[[#This Row],[Producto]],Tabla6[[#All],[PRODUCTO]],0),MATCH(Tabla4[[#This Row],[Mes]],Tabla6[#Headers],0)))*(1+Catalogos!$L$2)</f>
        <v>#N/A</v>
      </c>
      <c r="N3284" s="283" t="e">
        <f>+(Tabla4[[#This Row],[Precio Descontado]]-Tabla4[[#This Row],[Precio Base]])*Tabla4[[#This Row],[Cantidad]]</f>
        <v>#N/A</v>
      </c>
      <c r="O3284" s="284" t="e">
        <f>++Tabla4[[#This Row],[Utilidad Total]]/Tabla4[[#This Row],[Total]]</f>
        <v>#N/A</v>
      </c>
      <c r="P3284" s="282">
        <f>++Tabla4[[#This Row],[Precio Descontado]]*Tabla4[[#This Row],[Cantidad]]</f>
        <v>3767.9088390000002</v>
      </c>
      <c r="Q3284" s="282" t="e">
        <f>(INDEX(Tabla6[#All],MATCH(Tabla4[[#This Row],[Producto]],Tabla6[[#All],[PRODUCTO]],0),MATCH(Tabla4[[#This Row],[Mes]],Tabla6[#Headers],0)))</f>
        <v>#N/A</v>
      </c>
      <c r="R3284" s="282" t="e">
        <f>++Tabla4[[#This Row],[Precio Unitario Neto]]-Tabla4[[#This Row],[20.85%]]-Tabla4[[#This Row],[Costo]]</f>
        <v>#N/A</v>
      </c>
      <c r="S3284" s="282" t="e">
        <f>++Tabla4[[#This Row],[U. Bruta Uni]]*Tabla4[[#This Row],[Cantidad]]</f>
        <v>#N/A</v>
      </c>
      <c r="T3284" s="369" t="str">
        <f>VLOOKUP(Tabla4[[#This Row],[Producto]],Tabla6[#All],14,FALSE)</f>
        <v>Termico Solar</v>
      </c>
      <c r="U3284" s="284" t="e">
        <f>(IF(Tabla4[[#This Row],[Familia]]="termico solar",Tabla4[[#This Row],[Utilidad Total]]*6%,Tabla4[[#This Row],[Utilidad Total]]*11.5%))/Tabla4[[#This Row],[Total]]</f>
        <v>#N/A</v>
      </c>
      <c r="V3284" s="282" t="e">
        <f>+Tabla4[[#This Row],[Comisión Calculada]]*Tabla4[[#This Row],[Total]]</f>
        <v>#N/A</v>
      </c>
    </row>
    <row r="3285" spans="1:22" hidden="1" x14ac:dyDescent="0.25">
      <c r="A3285" s="100">
        <v>45808</v>
      </c>
      <c r="B3285" t="str">
        <f t="shared" si="158"/>
        <v>May</v>
      </c>
      <c r="C3285" s="46" t="s">
        <v>280</v>
      </c>
      <c r="F3285" s="366" t="s">
        <v>1981</v>
      </c>
      <c r="G3285" s="46" t="s">
        <v>18</v>
      </c>
      <c r="H3285" s="46">
        <v>3</v>
      </c>
      <c r="I3285" s="51">
        <v>5367.6500000000005</v>
      </c>
      <c r="J3285" s="281">
        <f>++Tabla4[[#This Row],[Precio Bruto]]*1.16</f>
        <v>6226.4740000000002</v>
      </c>
      <c r="K3285" s="281">
        <f>+Tabla4[[#This Row],[Precio Unitario Neto]]*Tabla4[[#Headers],[20.85%]]</f>
        <v>1298.2198289999999</v>
      </c>
      <c r="L3285" s="282">
        <f>++Tabla4[[#This Row],[Precio Unitario Neto]]-Tabla4[[#This Row],[20.85%]]</f>
        <v>4928.2541710000005</v>
      </c>
      <c r="M3285" s="282" t="e">
        <f>(INDEX(Tabla6[#All],MATCH(Tabla4[[#This Row],[Producto]],Tabla6[[#All],[PRODUCTO]],0),MATCH(Tabla4[[#This Row],[Mes]],Tabla6[#Headers],0)))*(1+Catalogos!$L$2)</f>
        <v>#N/A</v>
      </c>
      <c r="N3285" s="283" t="e">
        <f>+(Tabla4[[#This Row],[Precio Descontado]]-Tabla4[[#This Row],[Precio Base]])*Tabla4[[#This Row],[Cantidad]]</f>
        <v>#N/A</v>
      </c>
      <c r="O3285" s="284" t="e">
        <f>++Tabla4[[#This Row],[Utilidad Total]]/Tabla4[[#This Row],[Total]]</f>
        <v>#N/A</v>
      </c>
      <c r="P3285" s="282">
        <f>++Tabla4[[#This Row],[Precio Descontado]]*Tabla4[[#This Row],[Cantidad]]</f>
        <v>14784.762513000001</v>
      </c>
      <c r="Q3285" s="282" t="e">
        <f>(INDEX(Tabla6[#All],MATCH(Tabla4[[#This Row],[Producto]],Tabla6[[#All],[PRODUCTO]],0),MATCH(Tabla4[[#This Row],[Mes]],Tabla6[#Headers],0)))</f>
        <v>#N/A</v>
      </c>
      <c r="R3285" s="282" t="e">
        <f>++Tabla4[[#This Row],[Precio Unitario Neto]]-Tabla4[[#This Row],[20.85%]]-Tabla4[[#This Row],[Costo]]</f>
        <v>#N/A</v>
      </c>
      <c r="S3285" s="282" t="e">
        <f>++Tabla4[[#This Row],[U. Bruta Uni]]*Tabla4[[#This Row],[Cantidad]]</f>
        <v>#N/A</v>
      </c>
      <c r="T3285" s="369" t="str">
        <f>VLOOKUP(Tabla4[[#This Row],[Producto]],Tabla6[#All],14,FALSE)</f>
        <v>Termico Solar</v>
      </c>
      <c r="U3285" s="284" t="e">
        <f>(IF(Tabla4[[#This Row],[Familia]]="termico solar",Tabla4[[#This Row],[Utilidad Total]]*6%,Tabla4[[#This Row],[Utilidad Total]]*11.5%))/Tabla4[[#This Row],[Total]]</f>
        <v>#N/A</v>
      </c>
      <c r="V3285" s="282" t="e">
        <f>+Tabla4[[#This Row],[Comisión Calculada]]*Tabla4[[#This Row],[Total]]</f>
        <v>#N/A</v>
      </c>
    </row>
    <row r="3286" spans="1:22" hidden="1" x14ac:dyDescent="0.25">
      <c r="A3286" s="100">
        <v>45808</v>
      </c>
      <c r="B3286" t="str">
        <f t="shared" si="158"/>
        <v>May</v>
      </c>
      <c r="C3286" s="46" t="s">
        <v>280</v>
      </c>
      <c r="F3286" s="366" t="s">
        <v>1982</v>
      </c>
      <c r="G3286" s="46" t="s">
        <v>83</v>
      </c>
      <c r="H3286" s="46">
        <v>1</v>
      </c>
      <c r="I3286" s="51">
        <v>8858.76</v>
      </c>
      <c r="J3286" s="281">
        <f>++Tabla4[[#This Row],[Precio Bruto]]*1.16</f>
        <v>10276.161599999999</v>
      </c>
      <c r="K3286" s="281">
        <f>+Tabla4[[#This Row],[Precio Unitario Neto]]*Tabla4[[#Headers],[20.85%]]</f>
        <v>2142.5796935999997</v>
      </c>
      <c r="L3286" s="282">
        <f>++Tabla4[[#This Row],[Precio Unitario Neto]]-Tabla4[[#This Row],[20.85%]]</f>
        <v>8133.5819063999998</v>
      </c>
      <c r="M3286" s="282" t="e">
        <f>(INDEX(Tabla6[#All],MATCH(Tabla4[[#This Row],[Producto]],Tabla6[[#All],[PRODUCTO]],0),MATCH(Tabla4[[#This Row],[Mes]],Tabla6[#Headers],0)))*(1+Catalogos!$L$2)</f>
        <v>#N/A</v>
      </c>
      <c r="N3286" s="283" t="e">
        <f>+(Tabla4[[#This Row],[Precio Descontado]]-Tabla4[[#This Row],[Precio Base]])*Tabla4[[#This Row],[Cantidad]]</f>
        <v>#N/A</v>
      </c>
      <c r="O3286" s="284" t="e">
        <f>++Tabla4[[#This Row],[Utilidad Total]]/Tabla4[[#This Row],[Total]]</f>
        <v>#N/A</v>
      </c>
      <c r="P3286" s="282">
        <f>++Tabla4[[#This Row],[Precio Descontado]]*Tabla4[[#This Row],[Cantidad]]</f>
        <v>8133.5819063999998</v>
      </c>
      <c r="Q3286" s="282" t="e">
        <f>(INDEX(Tabla6[#All],MATCH(Tabla4[[#This Row],[Producto]],Tabla6[[#All],[PRODUCTO]],0),MATCH(Tabla4[[#This Row],[Mes]],Tabla6[#Headers],0)))</f>
        <v>#N/A</v>
      </c>
      <c r="R3286" s="282" t="e">
        <f>++Tabla4[[#This Row],[Precio Unitario Neto]]-Tabla4[[#This Row],[20.85%]]-Tabla4[[#This Row],[Costo]]</f>
        <v>#N/A</v>
      </c>
      <c r="S3286" s="282" t="e">
        <f>++Tabla4[[#This Row],[U. Bruta Uni]]*Tabla4[[#This Row],[Cantidad]]</f>
        <v>#N/A</v>
      </c>
      <c r="T3286" s="369" t="str">
        <f>VLOOKUP(Tabla4[[#This Row],[Producto]],Tabla6[#All],14,FALSE)</f>
        <v>Termico Solar</v>
      </c>
      <c r="U3286" s="284" t="e">
        <f>(IF(Tabla4[[#This Row],[Familia]]="termico solar",Tabla4[[#This Row],[Utilidad Total]]*6%,Tabla4[[#This Row],[Utilidad Total]]*11.5%))/Tabla4[[#This Row],[Total]]</f>
        <v>#N/A</v>
      </c>
      <c r="V3286" s="282" t="e">
        <f>+Tabla4[[#This Row],[Comisión Calculada]]*Tabla4[[#This Row],[Total]]</f>
        <v>#N/A</v>
      </c>
    </row>
    <row r="3287" spans="1:22" hidden="1" x14ac:dyDescent="0.25">
      <c r="A3287" s="100">
        <v>45808</v>
      </c>
      <c r="B3287" t="str">
        <f t="shared" si="158"/>
        <v>May</v>
      </c>
      <c r="C3287" s="46" t="s">
        <v>280</v>
      </c>
      <c r="F3287" s="366" t="s">
        <v>1982</v>
      </c>
      <c r="G3287" s="46" t="s">
        <v>19</v>
      </c>
      <c r="H3287" s="46">
        <v>2</v>
      </c>
      <c r="I3287" s="51">
        <v>6412.03</v>
      </c>
      <c r="J3287" s="281">
        <f>++Tabla4[[#This Row],[Precio Bruto]]*1.16</f>
        <v>7437.9547999999995</v>
      </c>
      <c r="K3287" s="281">
        <f>+Tabla4[[#This Row],[Precio Unitario Neto]]*Tabla4[[#Headers],[20.85%]]</f>
        <v>1550.8135757999999</v>
      </c>
      <c r="L3287" s="282">
        <f>++Tabla4[[#This Row],[Precio Unitario Neto]]-Tabla4[[#This Row],[20.85%]]</f>
        <v>5887.1412241999997</v>
      </c>
      <c r="M3287" s="282" t="e">
        <f>(INDEX(Tabla6[#All],MATCH(Tabla4[[#This Row],[Producto]],Tabla6[[#All],[PRODUCTO]],0),MATCH(Tabla4[[#This Row],[Mes]],Tabla6[#Headers],0)))*(1+Catalogos!$L$2)</f>
        <v>#N/A</v>
      </c>
      <c r="N3287" s="283" t="e">
        <f>+(Tabla4[[#This Row],[Precio Descontado]]-Tabla4[[#This Row],[Precio Base]])*Tabla4[[#This Row],[Cantidad]]</f>
        <v>#N/A</v>
      </c>
      <c r="O3287" s="284" t="e">
        <f>++Tabla4[[#This Row],[Utilidad Total]]/Tabla4[[#This Row],[Total]]</f>
        <v>#N/A</v>
      </c>
      <c r="P3287" s="282">
        <f>++Tabla4[[#This Row],[Precio Descontado]]*Tabla4[[#This Row],[Cantidad]]</f>
        <v>11774.282448399999</v>
      </c>
      <c r="Q3287" s="282" t="e">
        <f>(INDEX(Tabla6[#All],MATCH(Tabla4[[#This Row],[Producto]],Tabla6[[#All],[PRODUCTO]],0),MATCH(Tabla4[[#This Row],[Mes]],Tabla6[#Headers],0)))</f>
        <v>#N/A</v>
      </c>
      <c r="R3287" s="282" t="e">
        <f>++Tabla4[[#This Row],[Precio Unitario Neto]]-Tabla4[[#This Row],[20.85%]]-Tabla4[[#This Row],[Costo]]</f>
        <v>#N/A</v>
      </c>
      <c r="S3287" s="282" t="e">
        <f>++Tabla4[[#This Row],[U. Bruta Uni]]*Tabla4[[#This Row],[Cantidad]]</f>
        <v>#N/A</v>
      </c>
      <c r="T3287" s="369" t="str">
        <f>VLOOKUP(Tabla4[[#This Row],[Producto]],Tabla6[#All],14,FALSE)</f>
        <v>Termico Solar</v>
      </c>
      <c r="U3287" s="284" t="e">
        <f>(IF(Tabla4[[#This Row],[Familia]]="termico solar",Tabla4[[#This Row],[Utilidad Total]]*6%,Tabla4[[#This Row],[Utilidad Total]]*11.5%))/Tabla4[[#This Row],[Total]]</f>
        <v>#N/A</v>
      </c>
      <c r="V3287" s="282" t="e">
        <f>+Tabla4[[#This Row],[Comisión Calculada]]*Tabla4[[#This Row],[Total]]</f>
        <v>#N/A</v>
      </c>
    </row>
    <row r="3288" spans="1:22" hidden="1" x14ac:dyDescent="0.25">
      <c r="A3288" s="100">
        <v>45808</v>
      </c>
      <c r="B3288" t="str">
        <f t="shared" si="158"/>
        <v>May</v>
      </c>
      <c r="C3288" s="46" t="s">
        <v>280</v>
      </c>
      <c r="F3288" s="366" t="s">
        <v>1982</v>
      </c>
      <c r="G3288" s="46" t="s">
        <v>566</v>
      </c>
      <c r="H3288" s="46">
        <v>1</v>
      </c>
      <c r="I3288" s="51">
        <v>2109.4499999999998</v>
      </c>
      <c r="J3288" s="281">
        <f>++Tabla4[[#This Row],[Precio Bruto]]*1.16</f>
        <v>2446.9619999999995</v>
      </c>
      <c r="K3288" s="281">
        <f>+Tabla4[[#This Row],[Precio Unitario Neto]]*Tabla4[[#Headers],[20.85%]]</f>
        <v>510.19157699999988</v>
      </c>
      <c r="L3288" s="282">
        <f>++Tabla4[[#This Row],[Precio Unitario Neto]]-Tabla4[[#This Row],[20.85%]]</f>
        <v>1936.7704229999997</v>
      </c>
      <c r="M3288" s="282" t="e">
        <f>(INDEX(Tabla6[#All],MATCH(Tabla4[[#This Row],[Producto]],Tabla6[[#All],[PRODUCTO]],0),MATCH(Tabla4[[#This Row],[Mes]],Tabla6[#Headers],0)))*(1+Catalogos!$L$2)</f>
        <v>#N/A</v>
      </c>
      <c r="N3288" s="283" t="e">
        <f>+(Tabla4[[#This Row],[Precio Descontado]]-Tabla4[[#This Row],[Precio Base]])*Tabla4[[#This Row],[Cantidad]]</f>
        <v>#N/A</v>
      </c>
      <c r="O3288" s="284" t="e">
        <f>++Tabla4[[#This Row],[Utilidad Total]]/Tabla4[[#This Row],[Total]]</f>
        <v>#N/A</v>
      </c>
      <c r="P3288" s="282">
        <f>++Tabla4[[#This Row],[Precio Descontado]]*Tabla4[[#This Row],[Cantidad]]</f>
        <v>1936.7704229999997</v>
      </c>
      <c r="Q3288" s="282" t="e">
        <f>(INDEX(Tabla6[#All],MATCH(Tabla4[[#This Row],[Producto]],Tabla6[[#All],[PRODUCTO]],0),MATCH(Tabla4[[#This Row],[Mes]],Tabla6[#Headers],0)))</f>
        <v>#N/A</v>
      </c>
      <c r="R3288" s="282" t="e">
        <f>++Tabla4[[#This Row],[Precio Unitario Neto]]-Tabla4[[#This Row],[20.85%]]-Tabla4[[#This Row],[Costo]]</f>
        <v>#N/A</v>
      </c>
      <c r="S3288" s="282" t="e">
        <f>++Tabla4[[#This Row],[U. Bruta Uni]]*Tabla4[[#This Row],[Cantidad]]</f>
        <v>#N/A</v>
      </c>
      <c r="T3288" s="369" t="str">
        <f>VLOOKUP(Tabla4[[#This Row],[Producto]],Tabla6[#All],14,FALSE)</f>
        <v>Termico Solar</v>
      </c>
      <c r="U3288" s="284" t="e">
        <f>(IF(Tabla4[[#This Row],[Familia]]="termico solar",Tabla4[[#This Row],[Utilidad Total]]*6%,Tabla4[[#This Row],[Utilidad Total]]*11.5%))/Tabla4[[#This Row],[Total]]</f>
        <v>#N/A</v>
      </c>
      <c r="V3288" s="282" t="e">
        <f>+Tabla4[[#This Row],[Comisión Calculada]]*Tabla4[[#This Row],[Total]]</f>
        <v>#N/A</v>
      </c>
    </row>
    <row r="3289" spans="1:22" hidden="1" x14ac:dyDescent="0.25">
      <c r="A3289" s="100">
        <v>45808</v>
      </c>
      <c r="B3289" t="str">
        <f t="shared" si="158"/>
        <v>May</v>
      </c>
      <c r="C3289" s="46" t="s">
        <v>280</v>
      </c>
      <c r="F3289" s="366" t="s">
        <v>1982</v>
      </c>
      <c r="G3289" s="46" t="s">
        <v>208</v>
      </c>
      <c r="H3289" s="46">
        <v>1</v>
      </c>
      <c r="I3289" s="51">
        <v>189.75</v>
      </c>
      <c r="J3289" s="281">
        <f>++Tabla4[[#This Row],[Precio Bruto]]*1.16</f>
        <v>220.10999999999999</v>
      </c>
      <c r="K3289" s="281">
        <f>+Tabla4[[#This Row],[Precio Unitario Neto]]*Tabla4[[#Headers],[20.85%]]</f>
        <v>45.892934999999994</v>
      </c>
      <c r="L3289" s="282">
        <f>++Tabla4[[#This Row],[Precio Unitario Neto]]-Tabla4[[#This Row],[20.85%]]</f>
        <v>174.21706499999999</v>
      </c>
      <c r="M3289" s="282" t="e">
        <f>(INDEX(Tabla6[#All],MATCH(Tabla4[[#This Row],[Producto]],Tabla6[[#All],[PRODUCTO]],0),MATCH(Tabla4[[#This Row],[Mes]],Tabla6[#Headers],0)))*(1+Catalogos!$L$2)</f>
        <v>#N/A</v>
      </c>
      <c r="N3289" s="283" t="e">
        <f>+(Tabla4[[#This Row],[Precio Descontado]]-Tabla4[[#This Row],[Precio Base]])*Tabla4[[#This Row],[Cantidad]]</f>
        <v>#N/A</v>
      </c>
      <c r="O3289" s="284" t="e">
        <f>++Tabla4[[#This Row],[Utilidad Total]]/Tabla4[[#This Row],[Total]]</f>
        <v>#N/A</v>
      </c>
      <c r="P3289" s="282">
        <f>++Tabla4[[#This Row],[Precio Descontado]]*Tabla4[[#This Row],[Cantidad]]</f>
        <v>174.21706499999999</v>
      </c>
      <c r="Q3289" s="282" t="e">
        <f>(INDEX(Tabla6[#All],MATCH(Tabla4[[#This Row],[Producto]],Tabla6[[#All],[PRODUCTO]],0),MATCH(Tabla4[[#This Row],[Mes]],Tabla6[#Headers],0)))</f>
        <v>#N/A</v>
      </c>
      <c r="R3289" s="282" t="e">
        <f>++Tabla4[[#This Row],[Precio Unitario Neto]]-Tabla4[[#This Row],[20.85%]]-Tabla4[[#This Row],[Costo]]</f>
        <v>#N/A</v>
      </c>
      <c r="S3289" s="282" t="e">
        <f>++Tabla4[[#This Row],[U. Bruta Uni]]*Tabla4[[#This Row],[Cantidad]]</f>
        <v>#N/A</v>
      </c>
      <c r="T3289" s="369" t="str">
        <f>VLOOKUP(Tabla4[[#This Row],[Producto]],Tabla6[#All],14,FALSE)</f>
        <v>Termico Solar</v>
      </c>
      <c r="U3289" s="284" t="e">
        <f>(IF(Tabla4[[#This Row],[Familia]]="termico solar",Tabla4[[#This Row],[Utilidad Total]]*6%,Tabla4[[#This Row],[Utilidad Total]]*11.5%))/Tabla4[[#This Row],[Total]]</f>
        <v>#N/A</v>
      </c>
      <c r="V3289" s="282" t="e">
        <f>+Tabla4[[#This Row],[Comisión Calculada]]*Tabla4[[#This Row],[Total]]</f>
        <v>#N/A</v>
      </c>
    </row>
    <row r="3290" spans="1:22" hidden="1" x14ac:dyDescent="0.25">
      <c r="A3290" s="100">
        <v>45808</v>
      </c>
      <c r="B3290" t="str">
        <f t="shared" si="158"/>
        <v>May</v>
      </c>
      <c r="C3290" s="46" t="s">
        <v>280</v>
      </c>
      <c r="F3290" s="366" t="s">
        <v>1982</v>
      </c>
      <c r="G3290" s="46" t="s">
        <v>209</v>
      </c>
      <c r="H3290" s="46">
        <v>1</v>
      </c>
      <c r="I3290" s="51">
        <v>347.48</v>
      </c>
      <c r="J3290" s="281">
        <f>++Tabla4[[#This Row],[Precio Bruto]]*1.16</f>
        <v>403.07679999999999</v>
      </c>
      <c r="K3290" s="281">
        <f>+Tabla4[[#This Row],[Precio Unitario Neto]]*Tabla4[[#Headers],[20.85%]]</f>
        <v>84.041512799999992</v>
      </c>
      <c r="L3290" s="282">
        <f>++Tabla4[[#This Row],[Precio Unitario Neto]]-Tabla4[[#This Row],[20.85%]]</f>
        <v>319.03528719999997</v>
      </c>
      <c r="M3290" s="282" t="e">
        <f>(INDEX(Tabla6[#All],MATCH(Tabla4[[#This Row],[Producto]],Tabla6[[#All],[PRODUCTO]],0),MATCH(Tabla4[[#This Row],[Mes]],Tabla6[#Headers],0)))*(1+Catalogos!$L$2)</f>
        <v>#N/A</v>
      </c>
      <c r="N3290" s="283" t="e">
        <f>+(Tabla4[[#This Row],[Precio Descontado]]-Tabla4[[#This Row],[Precio Base]])*Tabla4[[#This Row],[Cantidad]]</f>
        <v>#N/A</v>
      </c>
      <c r="O3290" s="284" t="e">
        <f>++Tabla4[[#This Row],[Utilidad Total]]/Tabla4[[#This Row],[Total]]</f>
        <v>#N/A</v>
      </c>
      <c r="P3290" s="282">
        <f>++Tabla4[[#This Row],[Precio Descontado]]*Tabla4[[#This Row],[Cantidad]]</f>
        <v>319.03528719999997</v>
      </c>
      <c r="Q3290" s="282" t="e">
        <f>(INDEX(Tabla6[#All],MATCH(Tabla4[[#This Row],[Producto]],Tabla6[[#All],[PRODUCTO]],0),MATCH(Tabla4[[#This Row],[Mes]],Tabla6[#Headers],0)))</f>
        <v>#N/A</v>
      </c>
      <c r="R3290" s="282" t="e">
        <f>++Tabla4[[#This Row],[Precio Unitario Neto]]-Tabla4[[#This Row],[20.85%]]-Tabla4[[#This Row],[Costo]]</f>
        <v>#N/A</v>
      </c>
      <c r="S3290" s="282" t="e">
        <f>++Tabla4[[#This Row],[U. Bruta Uni]]*Tabla4[[#This Row],[Cantidad]]</f>
        <v>#N/A</v>
      </c>
      <c r="T3290" s="369" t="str">
        <f>VLOOKUP(Tabla4[[#This Row],[Producto]],Tabla6[#All],14,FALSE)</f>
        <v>Termico Solar</v>
      </c>
      <c r="U3290" s="284" t="e">
        <f>(IF(Tabla4[[#This Row],[Familia]]="termico solar",Tabla4[[#This Row],[Utilidad Total]]*6%,Tabla4[[#This Row],[Utilidad Total]]*11.5%))/Tabla4[[#This Row],[Total]]</f>
        <v>#N/A</v>
      </c>
      <c r="V3290" s="282" t="e">
        <f>+Tabla4[[#This Row],[Comisión Calculada]]*Tabla4[[#This Row],[Total]]</f>
        <v>#N/A</v>
      </c>
    </row>
    <row r="3291" spans="1:22" hidden="1" x14ac:dyDescent="0.25">
      <c r="A3291" s="100">
        <v>45808</v>
      </c>
      <c r="B3291" t="str">
        <f t="shared" si="158"/>
        <v>May</v>
      </c>
      <c r="C3291" s="46" t="s">
        <v>280</v>
      </c>
      <c r="F3291" s="366" t="s">
        <v>1983</v>
      </c>
      <c r="G3291" s="46" t="s">
        <v>17</v>
      </c>
      <c r="H3291" s="46">
        <v>1</v>
      </c>
      <c r="I3291" s="51">
        <v>4622.28</v>
      </c>
      <c r="J3291" s="281">
        <f>++Tabla4[[#This Row],[Precio Bruto]]*1.16</f>
        <v>5361.8447999999989</v>
      </c>
      <c r="K3291" s="281">
        <f>+Tabla4[[#This Row],[Precio Unitario Neto]]*Tabla4[[#Headers],[20.85%]]</f>
        <v>1117.9446407999997</v>
      </c>
      <c r="L3291" s="282">
        <f>++Tabla4[[#This Row],[Precio Unitario Neto]]-Tabla4[[#This Row],[20.85%]]</f>
        <v>4243.9001591999995</v>
      </c>
      <c r="M3291" s="282" t="e">
        <f>(INDEX(Tabla6[#All],MATCH(Tabla4[[#This Row],[Producto]],Tabla6[[#All],[PRODUCTO]],0),MATCH(Tabla4[[#This Row],[Mes]],Tabla6[#Headers],0)))*(1+Catalogos!$L$2)</f>
        <v>#N/A</v>
      </c>
      <c r="N3291" s="283" t="e">
        <f>+(Tabla4[[#This Row],[Precio Descontado]]-Tabla4[[#This Row],[Precio Base]])*Tabla4[[#This Row],[Cantidad]]</f>
        <v>#N/A</v>
      </c>
      <c r="O3291" s="284" t="e">
        <f>++Tabla4[[#This Row],[Utilidad Total]]/Tabla4[[#This Row],[Total]]</f>
        <v>#N/A</v>
      </c>
      <c r="P3291" s="282">
        <f>++Tabla4[[#This Row],[Precio Descontado]]*Tabla4[[#This Row],[Cantidad]]</f>
        <v>4243.9001591999995</v>
      </c>
      <c r="Q3291" s="282" t="e">
        <f>(INDEX(Tabla6[#All],MATCH(Tabla4[[#This Row],[Producto]],Tabla6[[#All],[PRODUCTO]],0),MATCH(Tabla4[[#This Row],[Mes]],Tabla6[#Headers],0)))</f>
        <v>#N/A</v>
      </c>
      <c r="R3291" s="282" t="e">
        <f>++Tabla4[[#This Row],[Precio Unitario Neto]]-Tabla4[[#This Row],[20.85%]]-Tabla4[[#This Row],[Costo]]</f>
        <v>#N/A</v>
      </c>
      <c r="S3291" s="282" t="e">
        <f>++Tabla4[[#This Row],[U. Bruta Uni]]*Tabla4[[#This Row],[Cantidad]]</f>
        <v>#N/A</v>
      </c>
      <c r="T3291" s="369" t="str">
        <f>VLOOKUP(Tabla4[[#This Row],[Producto]],Tabla6[#All],14,FALSE)</f>
        <v>Termico Solar</v>
      </c>
      <c r="U3291" s="284" t="e">
        <f>(IF(Tabla4[[#This Row],[Familia]]="termico solar",Tabla4[[#This Row],[Utilidad Total]]*6%,Tabla4[[#This Row],[Utilidad Total]]*11.5%))/Tabla4[[#This Row],[Total]]</f>
        <v>#N/A</v>
      </c>
      <c r="V3291" s="282" t="e">
        <f>+Tabla4[[#This Row],[Comisión Calculada]]*Tabla4[[#This Row],[Total]]</f>
        <v>#N/A</v>
      </c>
    </row>
    <row r="3292" spans="1:22" hidden="1" x14ac:dyDescent="0.25">
      <c r="A3292" s="100">
        <v>45808</v>
      </c>
      <c r="B3292" t="str">
        <f t="shared" si="158"/>
        <v>May</v>
      </c>
      <c r="C3292" s="46" t="s">
        <v>280</v>
      </c>
      <c r="F3292" s="366" t="s">
        <v>1983</v>
      </c>
      <c r="G3292" s="46" t="s">
        <v>19</v>
      </c>
      <c r="H3292" s="46">
        <v>1</v>
      </c>
      <c r="I3292" s="51">
        <v>6412.03</v>
      </c>
      <c r="J3292" s="281">
        <f>++Tabla4[[#This Row],[Precio Bruto]]*1.16</f>
        <v>7437.9547999999995</v>
      </c>
      <c r="K3292" s="281">
        <f>+Tabla4[[#This Row],[Precio Unitario Neto]]*Tabla4[[#Headers],[20.85%]]</f>
        <v>1550.8135757999999</v>
      </c>
      <c r="L3292" s="282">
        <f>++Tabla4[[#This Row],[Precio Unitario Neto]]-Tabla4[[#This Row],[20.85%]]</f>
        <v>5887.1412241999997</v>
      </c>
      <c r="M3292" s="282" t="e">
        <f>(INDEX(Tabla6[#All],MATCH(Tabla4[[#This Row],[Producto]],Tabla6[[#All],[PRODUCTO]],0),MATCH(Tabla4[[#This Row],[Mes]],Tabla6[#Headers],0)))*(1+Catalogos!$L$2)</f>
        <v>#N/A</v>
      </c>
      <c r="N3292" s="283" t="e">
        <f>+(Tabla4[[#This Row],[Precio Descontado]]-Tabla4[[#This Row],[Precio Base]])*Tabla4[[#This Row],[Cantidad]]</f>
        <v>#N/A</v>
      </c>
      <c r="O3292" s="284" t="e">
        <f>++Tabla4[[#This Row],[Utilidad Total]]/Tabla4[[#This Row],[Total]]</f>
        <v>#N/A</v>
      </c>
      <c r="P3292" s="282">
        <f>++Tabla4[[#This Row],[Precio Descontado]]*Tabla4[[#This Row],[Cantidad]]</f>
        <v>5887.1412241999997</v>
      </c>
      <c r="Q3292" s="282" t="e">
        <f>(INDEX(Tabla6[#All],MATCH(Tabla4[[#This Row],[Producto]],Tabla6[[#All],[PRODUCTO]],0),MATCH(Tabla4[[#This Row],[Mes]],Tabla6[#Headers],0)))</f>
        <v>#N/A</v>
      </c>
      <c r="R3292" s="282" t="e">
        <f>++Tabla4[[#This Row],[Precio Unitario Neto]]-Tabla4[[#This Row],[20.85%]]-Tabla4[[#This Row],[Costo]]</f>
        <v>#N/A</v>
      </c>
      <c r="S3292" s="282" t="e">
        <f>++Tabla4[[#This Row],[U. Bruta Uni]]*Tabla4[[#This Row],[Cantidad]]</f>
        <v>#N/A</v>
      </c>
      <c r="T3292" s="369" t="str">
        <f>VLOOKUP(Tabla4[[#This Row],[Producto]],Tabla6[#All],14,FALSE)</f>
        <v>Termico Solar</v>
      </c>
      <c r="U3292" s="284" t="e">
        <f>(IF(Tabla4[[#This Row],[Familia]]="termico solar",Tabla4[[#This Row],[Utilidad Total]]*6%,Tabla4[[#This Row],[Utilidad Total]]*11.5%))/Tabla4[[#This Row],[Total]]</f>
        <v>#N/A</v>
      </c>
      <c r="V3292" s="282" t="e">
        <f>+Tabla4[[#This Row],[Comisión Calculada]]*Tabla4[[#This Row],[Total]]</f>
        <v>#N/A</v>
      </c>
    </row>
    <row r="3293" spans="1:22" hidden="1" x14ac:dyDescent="0.25">
      <c r="A3293" s="100">
        <v>45808</v>
      </c>
      <c r="B3293" t="str">
        <f t="shared" si="158"/>
        <v>May</v>
      </c>
      <c r="C3293" s="46" t="s">
        <v>280</v>
      </c>
      <c r="F3293" s="366" t="s">
        <v>1983</v>
      </c>
      <c r="G3293" s="46" t="s">
        <v>394</v>
      </c>
      <c r="H3293" s="46">
        <v>16</v>
      </c>
      <c r="I3293" s="51">
        <v>224.29</v>
      </c>
      <c r="J3293" s="281">
        <f>++Tabla4[[#This Row],[Precio Bruto]]*1.16</f>
        <v>260.1764</v>
      </c>
      <c r="K3293" s="281">
        <f>+Tabla4[[#This Row],[Precio Unitario Neto]]*Tabla4[[#Headers],[20.85%]]</f>
        <v>54.246779400000001</v>
      </c>
      <c r="L3293" s="282">
        <f>++Tabla4[[#This Row],[Precio Unitario Neto]]-Tabla4[[#This Row],[20.85%]]</f>
        <v>205.92962059999999</v>
      </c>
      <c r="M3293" s="282" t="e">
        <f>(INDEX(Tabla6[#All],MATCH(Tabla4[[#This Row],[Producto]],Tabla6[[#All],[PRODUCTO]],0),MATCH(Tabla4[[#This Row],[Mes]],Tabla6[#Headers],0)))*(1+Catalogos!$L$2)</f>
        <v>#N/A</v>
      </c>
      <c r="N3293" s="283" t="e">
        <f>+(Tabla4[[#This Row],[Precio Descontado]]-Tabla4[[#This Row],[Precio Base]])*Tabla4[[#This Row],[Cantidad]]</f>
        <v>#N/A</v>
      </c>
      <c r="O3293" s="284" t="e">
        <f>++Tabla4[[#This Row],[Utilidad Total]]/Tabla4[[#This Row],[Total]]</f>
        <v>#N/A</v>
      </c>
      <c r="P3293" s="282">
        <f>++Tabla4[[#This Row],[Precio Descontado]]*Tabla4[[#This Row],[Cantidad]]</f>
        <v>3294.8739295999999</v>
      </c>
      <c r="Q3293" s="282" t="e">
        <f>(INDEX(Tabla6[#All],MATCH(Tabla4[[#This Row],[Producto]],Tabla6[[#All],[PRODUCTO]],0),MATCH(Tabla4[[#This Row],[Mes]],Tabla6[#Headers],0)))</f>
        <v>#N/A</v>
      </c>
      <c r="R3293" s="282" t="e">
        <f>++Tabla4[[#This Row],[Precio Unitario Neto]]-Tabla4[[#This Row],[20.85%]]-Tabla4[[#This Row],[Costo]]</f>
        <v>#N/A</v>
      </c>
      <c r="S3293" s="282" t="e">
        <f>++Tabla4[[#This Row],[U. Bruta Uni]]*Tabla4[[#This Row],[Cantidad]]</f>
        <v>#N/A</v>
      </c>
      <c r="T3293" s="369" t="str">
        <f>VLOOKUP(Tabla4[[#This Row],[Producto]],Tabla6[#All],14,FALSE)</f>
        <v>Termico Solar</v>
      </c>
      <c r="U3293" s="284" t="e">
        <f>(IF(Tabla4[[#This Row],[Familia]]="termico solar",Tabla4[[#This Row],[Utilidad Total]]*6%,Tabla4[[#This Row],[Utilidad Total]]*11.5%))/Tabla4[[#This Row],[Total]]</f>
        <v>#N/A</v>
      </c>
      <c r="V3293" s="282" t="e">
        <f>+Tabla4[[#This Row],[Comisión Calculada]]*Tabla4[[#This Row],[Total]]</f>
        <v>#N/A</v>
      </c>
    </row>
    <row r="3294" spans="1:22" hidden="1" x14ac:dyDescent="0.25">
      <c r="A3294" s="100">
        <v>45808</v>
      </c>
      <c r="B3294" t="str">
        <f t="shared" si="158"/>
        <v>May</v>
      </c>
      <c r="C3294" s="46" t="s">
        <v>280</v>
      </c>
      <c r="F3294" s="366" t="s">
        <v>1983</v>
      </c>
      <c r="G3294" s="46" t="s">
        <v>209</v>
      </c>
      <c r="H3294" s="46">
        <v>1</v>
      </c>
      <c r="I3294" s="51">
        <v>347.48</v>
      </c>
      <c r="J3294" s="281">
        <f>++Tabla4[[#This Row],[Precio Bruto]]*1.16</f>
        <v>403.07679999999999</v>
      </c>
      <c r="K3294" s="281">
        <f>+Tabla4[[#This Row],[Precio Unitario Neto]]*Tabla4[[#Headers],[20.85%]]</f>
        <v>84.041512799999992</v>
      </c>
      <c r="L3294" s="282">
        <f>++Tabla4[[#This Row],[Precio Unitario Neto]]-Tabla4[[#This Row],[20.85%]]</f>
        <v>319.03528719999997</v>
      </c>
      <c r="M3294" s="282" t="e">
        <f>(INDEX(Tabla6[#All],MATCH(Tabla4[[#This Row],[Producto]],Tabla6[[#All],[PRODUCTO]],0),MATCH(Tabla4[[#This Row],[Mes]],Tabla6[#Headers],0)))*(1+Catalogos!$L$2)</f>
        <v>#N/A</v>
      </c>
      <c r="N3294" s="283" t="e">
        <f>+(Tabla4[[#This Row],[Precio Descontado]]-Tabla4[[#This Row],[Precio Base]])*Tabla4[[#This Row],[Cantidad]]</f>
        <v>#N/A</v>
      </c>
      <c r="O3294" s="284" t="e">
        <f>++Tabla4[[#This Row],[Utilidad Total]]/Tabla4[[#This Row],[Total]]</f>
        <v>#N/A</v>
      </c>
      <c r="P3294" s="282">
        <f>++Tabla4[[#This Row],[Precio Descontado]]*Tabla4[[#This Row],[Cantidad]]</f>
        <v>319.03528719999997</v>
      </c>
      <c r="Q3294" s="282" t="e">
        <f>(INDEX(Tabla6[#All],MATCH(Tabla4[[#This Row],[Producto]],Tabla6[[#All],[PRODUCTO]],0),MATCH(Tabla4[[#This Row],[Mes]],Tabla6[#Headers],0)))</f>
        <v>#N/A</v>
      </c>
      <c r="R3294" s="282" t="e">
        <f>++Tabla4[[#This Row],[Precio Unitario Neto]]-Tabla4[[#This Row],[20.85%]]-Tabla4[[#This Row],[Costo]]</f>
        <v>#N/A</v>
      </c>
      <c r="S3294" s="282" t="e">
        <f>++Tabla4[[#This Row],[U. Bruta Uni]]*Tabla4[[#This Row],[Cantidad]]</f>
        <v>#N/A</v>
      </c>
      <c r="T3294" s="369" t="str">
        <f>VLOOKUP(Tabla4[[#This Row],[Producto]],Tabla6[#All],14,FALSE)</f>
        <v>Termico Solar</v>
      </c>
      <c r="U3294" s="284" t="e">
        <f>(IF(Tabla4[[#This Row],[Familia]]="termico solar",Tabla4[[#This Row],[Utilidad Total]]*6%,Tabla4[[#This Row],[Utilidad Total]]*11.5%))/Tabla4[[#This Row],[Total]]</f>
        <v>#N/A</v>
      </c>
      <c r="V3294" s="282" t="e">
        <f>+Tabla4[[#This Row],[Comisión Calculada]]*Tabla4[[#This Row],[Total]]</f>
        <v>#N/A</v>
      </c>
    </row>
    <row r="3295" spans="1:22" hidden="1" x14ac:dyDescent="0.25">
      <c r="A3295" s="100">
        <v>45808</v>
      </c>
      <c r="B3295" t="str">
        <f t="shared" si="158"/>
        <v>May</v>
      </c>
      <c r="C3295" s="46" t="s">
        <v>280</v>
      </c>
      <c r="F3295" s="366" t="s">
        <v>1984</v>
      </c>
      <c r="G3295" s="46" t="s">
        <v>17</v>
      </c>
      <c r="H3295" s="46">
        <v>1</v>
      </c>
      <c r="I3295" s="51">
        <v>4622.28</v>
      </c>
      <c r="J3295" s="281">
        <f>++Tabla4[[#This Row],[Precio Bruto]]*1.16</f>
        <v>5361.8447999999989</v>
      </c>
      <c r="K3295" s="281">
        <f>+Tabla4[[#This Row],[Precio Unitario Neto]]*Tabla4[[#Headers],[20.85%]]</f>
        <v>1117.9446407999997</v>
      </c>
      <c r="L3295" s="282">
        <f>++Tabla4[[#This Row],[Precio Unitario Neto]]-Tabla4[[#This Row],[20.85%]]</f>
        <v>4243.9001591999995</v>
      </c>
      <c r="M3295" s="282" t="e">
        <f>(INDEX(Tabla6[#All],MATCH(Tabla4[[#This Row],[Producto]],Tabla6[[#All],[PRODUCTO]],0),MATCH(Tabla4[[#This Row],[Mes]],Tabla6[#Headers],0)))*(1+Catalogos!$L$2)</f>
        <v>#N/A</v>
      </c>
      <c r="N3295" s="283" t="e">
        <f>+(Tabla4[[#This Row],[Precio Descontado]]-Tabla4[[#This Row],[Precio Base]])*Tabla4[[#This Row],[Cantidad]]</f>
        <v>#N/A</v>
      </c>
      <c r="O3295" s="284" t="e">
        <f>++Tabla4[[#This Row],[Utilidad Total]]/Tabla4[[#This Row],[Total]]</f>
        <v>#N/A</v>
      </c>
      <c r="P3295" s="282">
        <f>++Tabla4[[#This Row],[Precio Descontado]]*Tabla4[[#This Row],[Cantidad]]</f>
        <v>4243.9001591999995</v>
      </c>
      <c r="Q3295" s="282" t="e">
        <f>(INDEX(Tabla6[#All],MATCH(Tabla4[[#This Row],[Producto]],Tabla6[[#All],[PRODUCTO]],0),MATCH(Tabla4[[#This Row],[Mes]],Tabla6[#Headers],0)))</f>
        <v>#N/A</v>
      </c>
      <c r="R3295" s="282" t="e">
        <f>++Tabla4[[#This Row],[Precio Unitario Neto]]-Tabla4[[#This Row],[20.85%]]-Tabla4[[#This Row],[Costo]]</f>
        <v>#N/A</v>
      </c>
      <c r="S3295" s="282" t="e">
        <f>++Tabla4[[#This Row],[U. Bruta Uni]]*Tabla4[[#This Row],[Cantidad]]</f>
        <v>#N/A</v>
      </c>
      <c r="T3295" s="369" t="str">
        <f>VLOOKUP(Tabla4[[#This Row],[Producto]],Tabla6[#All],14,FALSE)</f>
        <v>Termico Solar</v>
      </c>
      <c r="U3295" s="284" t="e">
        <f>(IF(Tabla4[[#This Row],[Familia]]="termico solar",Tabla4[[#This Row],[Utilidad Total]]*6%,Tabla4[[#This Row],[Utilidad Total]]*11.5%))/Tabla4[[#This Row],[Total]]</f>
        <v>#N/A</v>
      </c>
      <c r="V3295" s="282" t="e">
        <f>+Tabla4[[#This Row],[Comisión Calculada]]*Tabla4[[#This Row],[Total]]</f>
        <v>#N/A</v>
      </c>
    </row>
    <row r="3296" spans="1:22" hidden="1" x14ac:dyDescent="0.25">
      <c r="A3296" s="100">
        <v>45808</v>
      </c>
      <c r="B3296" t="str">
        <f t="shared" si="158"/>
        <v>May</v>
      </c>
      <c r="C3296" s="46" t="s">
        <v>280</v>
      </c>
      <c r="F3296" s="366" t="s">
        <v>1985</v>
      </c>
      <c r="G3296" s="46" t="s">
        <v>83</v>
      </c>
      <c r="H3296" s="46">
        <v>1</v>
      </c>
      <c r="I3296" s="51">
        <v>8858.76</v>
      </c>
      <c r="J3296" s="281">
        <f>++Tabla4[[#This Row],[Precio Bruto]]*1.16</f>
        <v>10276.161599999999</v>
      </c>
      <c r="K3296" s="281">
        <f>+Tabla4[[#This Row],[Precio Unitario Neto]]*Tabla4[[#Headers],[20.85%]]</f>
        <v>2142.5796935999997</v>
      </c>
      <c r="L3296" s="282">
        <f>++Tabla4[[#This Row],[Precio Unitario Neto]]-Tabla4[[#This Row],[20.85%]]</f>
        <v>8133.5819063999998</v>
      </c>
      <c r="M3296" s="282" t="e">
        <f>(INDEX(Tabla6[#All],MATCH(Tabla4[[#This Row],[Producto]],Tabla6[[#All],[PRODUCTO]],0),MATCH(Tabla4[[#This Row],[Mes]],Tabla6[#Headers],0)))*(1+Catalogos!$L$2)</f>
        <v>#N/A</v>
      </c>
      <c r="N3296" s="283" t="e">
        <f>+(Tabla4[[#This Row],[Precio Descontado]]-Tabla4[[#This Row],[Precio Base]])*Tabla4[[#This Row],[Cantidad]]</f>
        <v>#N/A</v>
      </c>
      <c r="O3296" s="284" t="e">
        <f>++Tabla4[[#This Row],[Utilidad Total]]/Tabla4[[#This Row],[Total]]</f>
        <v>#N/A</v>
      </c>
      <c r="P3296" s="282">
        <f>++Tabla4[[#This Row],[Precio Descontado]]*Tabla4[[#This Row],[Cantidad]]</f>
        <v>8133.5819063999998</v>
      </c>
      <c r="Q3296" s="282" t="e">
        <f>(INDEX(Tabla6[#All],MATCH(Tabla4[[#This Row],[Producto]],Tabla6[[#All],[PRODUCTO]],0),MATCH(Tabla4[[#This Row],[Mes]],Tabla6[#Headers],0)))</f>
        <v>#N/A</v>
      </c>
      <c r="R3296" s="282" t="e">
        <f>++Tabla4[[#This Row],[Precio Unitario Neto]]-Tabla4[[#This Row],[20.85%]]-Tabla4[[#This Row],[Costo]]</f>
        <v>#N/A</v>
      </c>
      <c r="S3296" s="282" t="e">
        <f>++Tabla4[[#This Row],[U. Bruta Uni]]*Tabla4[[#This Row],[Cantidad]]</f>
        <v>#N/A</v>
      </c>
      <c r="T3296" s="369" t="str">
        <f>VLOOKUP(Tabla4[[#This Row],[Producto]],Tabla6[#All],14,FALSE)</f>
        <v>Termico Solar</v>
      </c>
      <c r="U3296" s="284" t="e">
        <f>(IF(Tabla4[[#This Row],[Familia]]="termico solar",Tabla4[[#This Row],[Utilidad Total]]*6%,Tabla4[[#This Row],[Utilidad Total]]*11.5%))/Tabla4[[#This Row],[Total]]</f>
        <v>#N/A</v>
      </c>
      <c r="V3296" s="282" t="e">
        <f>+Tabla4[[#This Row],[Comisión Calculada]]*Tabla4[[#This Row],[Total]]</f>
        <v>#N/A</v>
      </c>
    </row>
    <row r="3297" spans="1:22" hidden="1" x14ac:dyDescent="0.25">
      <c r="A3297" s="100">
        <v>45808</v>
      </c>
      <c r="B3297" t="str">
        <f t="shared" si="158"/>
        <v>May</v>
      </c>
      <c r="C3297" s="46" t="s">
        <v>280</v>
      </c>
      <c r="F3297" s="366" t="s">
        <v>1985</v>
      </c>
      <c r="G3297" s="46" t="s">
        <v>17</v>
      </c>
      <c r="H3297" s="46">
        <v>1</v>
      </c>
      <c r="I3297" s="51">
        <v>4622.28</v>
      </c>
      <c r="J3297" s="281">
        <f>++Tabla4[[#This Row],[Precio Bruto]]*1.16</f>
        <v>5361.8447999999989</v>
      </c>
      <c r="K3297" s="281">
        <f>+Tabla4[[#This Row],[Precio Unitario Neto]]*Tabla4[[#Headers],[20.85%]]</f>
        <v>1117.9446407999997</v>
      </c>
      <c r="L3297" s="282">
        <f>++Tabla4[[#This Row],[Precio Unitario Neto]]-Tabla4[[#This Row],[20.85%]]</f>
        <v>4243.9001591999995</v>
      </c>
      <c r="M3297" s="282" t="e">
        <f>(INDEX(Tabla6[#All],MATCH(Tabla4[[#This Row],[Producto]],Tabla6[[#All],[PRODUCTO]],0),MATCH(Tabla4[[#This Row],[Mes]],Tabla6[#Headers],0)))*(1+Catalogos!$L$2)</f>
        <v>#N/A</v>
      </c>
      <c r="N3297" s="283" t="e">
        <f>+(Tabla4[[#This Row],[Precio Descontado]]-Tabla4[[#This Row],[Precio Base]])*Tabla4[[#This Row],[Cantidad]]</f>
        <v>#N/A</v>
      </c>
      <c r="O3297" s="284" t="e">
        <f>++Tabla4[[#This Row],[Utilidad Total]]/Tabla4[[#This Row],[Total]]</f>
        <v>#N/A</v>
      </c>
      <c r="P3297" s="282">
        <f>++Tabla4[[#This Row],[Precio Descontado]]*Tabla4[[#This Row],[Cantidad]]</f>
        <v>4243.9001591999995</v>
      </c>
      <c r="Q3297" s="282" t="e">
        <f>(INDEX(Tabla6[#All],MATCH(Tabla4[[#This Row],[Producto]],Tabla6[[#All],[PRODUCTO]],0),MATCH(Tabla4[[#This Row],[Mes]],Tabla6[#Headers],0)))</f>
        <v>#N/A</v>
      </c>
      <c r="R3297" s="282" t="e">
        <f>++Tabla4[[#This Row],[Precio Unitario Neto]]-Tabla4[[#This Row],[20.85%]]-Tabla4[[#This Row],[Costo]]</f>
        <v>#N/A</v>
      </c>
      <c r="S3297" s="282" t="e">
        <f>++Tabla4[[#This Row],[U. Bruta Uni]]*Tabla4[[#This Row],[Cantidad]]</f>
        <v>#N/A</v>
      </c>
      <c r="T3297" s="369" t="str">
        <f>VLOOKUP(Tabla4[[#This Row],[Producto]],Tabla6[#All],14,FALSE)</f>
        <v>Termico Solar</v>
      </c>
      <c r="U3297" s="284" t="e">
        <f>(IF(Tabla4[[#This Row],[Familia]]="termico solar",Tabla4[[#This Row],[Utilidad Total]]*6%,Tabla4[[#This Row],[Utilidad Total]]*11.5%))/Tabla4[[#This Row],[Total]]</f>
        <v>#N/A</v>
      </c>
      <c r="V3297" s="282" t="e">
        <f>+Tabla4[[#This Row],[Comisión Calculada]]*Tabla4[[#This Row],[Total]]</f>
        <v>#N/A</v>
      </c>
    </row>
    <row r="3298" spans="1:22" hidden="1" x14ac:dyDescent="0.25">
      <c r="A3298" s="100">
        <v>45808</v>
      </c>
      <c r="B3298" t="str">
        <f t="shared" si="158"/>
        <v>May</v>
      </c>
      <c r="C3298" s="46" t="s">
        <v>280</v>
      </c>
      <c r="F3298" s="366" t="s">
        <v>1985</v>
      </c>
      <c r="G3298" s="46" t="s">
        <v>16</v>
      </c>
      <c r="H3298" s="46">
        <v>1</v>
      </c>
      <c r="I3298" s="51">
        <v>4103.8500000000004</v>
      </c>
      <c r="J3298" s="281">
        <f>++Tabla4[[#This Row],[Precio Bruto]]*1.16</f>
        <v>4760.4660000000003</v>
      </c>
      <c r="K3298" s="281">
        <f>+Tabla4[[#This Row],[Precio Unitario Neto]]*Tabla4[[#Headers],[20.85%]]</f>
        <v>992.55716100000006</v>
      </c>
      <c r="L3298" s="282">
        <f>++Tabla4[[#This Row],[Precio Unitario Neto]]-Tabla4[[#This Row],[20.85%]]</f>
        <v>3767.9088390000002</v>
      </c>
      <c r="M3298" s="282" t="e">
        <f>(INDEX(Tabla6[#All],MATCH(Tabla4[[#This Row],[Producto]],Tabla6[[#All],[PRODUCTO]],0),MATCH(Tabla4[[#This Row],[Mes]],Tabla6[#Headers],0)))*(1+Catalogos!$L$2)</f>
        <v>#N/A</v>
      </c>
      <c r="N3298" s="283" t="e">
        <f>+(Tabla4[[#This Row],[Precio Descontado]]-Tabla4[[#This Row],[Precio Base]])*Tabla4[[#This Row],[Cantidad]]</f>
        <v>#N/A</v>
      </c>
      <c r="O3298" s="284" t="e">
        <f>++Tabla4[[#This Row],[Utilidad Total]]/Tabla4[[#This Row],[Total]]</f>
        <v>#N/A</v>
      </c>
      <c r="P3298" s="282">
        <f>++Tabla4[[#This Row],[Precio Descontado]]*Tabla4[[#This Row],[Cantidad]]</f>
        <v>3767.9088390000002</v>
      </c>
      <c r="Q3298" s="282" t="e">
        <f>(INDEX(Tabla6[#All],MATCH(Tabla4[[#This Row],[Producto]],Tabla6[[#All],[PRODUCTO]],0),MATCH(Tabla4[[#This Row],[Mes]],Tabla6[#Headers],0)))</f>
        <v>#N/A</v>
      </c>
      <c r="R3298" s="282" t="e">
        <f>++Tabla4[[#This Row],[Precio Unitario Neto]]-Tabla4[[#This Row],[20.85%]]-Tabla4[[#This Row],[Costo]]</f>
        <v>#N/A</v>
      </c>
      <c r="S3298" s="282" t="e">
        <f>++Tabla4[[#This Row],[U. Bruta Uni]]*Tabla4[[#This Row],[Cantidad]]</f>
        <v>#N/A</v>
      </c>
      <c r="T3298" s="369" t="str">
        <f>VLOOKUP(Tabla4[[#This Row],[Producto]],Tabla6[#All],14,FALSE)</f>
        <v>Termico Solar</v>
      </c>
      <c r="U3298" s="284" t="e">
        <f>(IF(Tabla4[[#This Row],[Familia]]="termico solar",Tabla4[[#This Row],[Utilidad Total]]*6%,Tabla4[[#This Row],[Utilidad Total]]*11.5%))/Tabla4[[#This Row],[Total]]</f>
        <v>#N/A</v>
      </c>
      <c r="V3298" s="282" t="e">
        <f>+Tabla4[[#This Row],[Comisión Calculada]]*Tabla4[[#This Row],[Total]]</f>
        <v>#N/A</v>
      </c>
    </row>
    <row r="3299" spans="1:22" hidden="1" x14ac:dyDescent="0.25">
      <c r="A3299" s="100">
        <v>45808</v>
      </c>
      <c r="B3299" t="str">
        <f t="shared" si="158"/>
        <v>May</v>
      </c>
      <c r="C3299" s="46" t="s">
        <v>280</v>
      </c>
      <c r="F3299" s="366" t="s">
        <v>1986</v>
      </c>
      <c r="G3299" s="46" t="s">
        <v>83</v>
      </c>
      <c r="H3299" s="46">
        <v>2</v>
      </c>
      <c r="I3299" s="51">
        <v>8858.76</v>
      </c>
      <c r="J3299" s="281">
        <f>++Tabla4[[#This Row],[Precio Bruto]]*1.16</f>
        <v>10276.161599999999</v>
      </c>
      <c r="K3299" s="281">
        <f>+Tabla4[[#This Row],[Precio Unitario Neto]]*Tabla4[[#Headers],[20.85%]]</f>
        <v>2142.5796935999997</v>
      </c>
      <c r="L3299" s="282">
        <f>++Tabla4[[#This Row],[Precio Unitario Neto]]-Tabla4[[#This Row],[20.85%]]</f>
        <v>8133.5819063999998</v>
      </c>
      <c r="M3299" s="282" t="e">
        <f>(INDEX(Tabla6[#All],MATCH(Tabla4[[#This Row],[Producto]],Tabla6[[#All],[PRODUCTO]],0),MATCH(Tabla4[[#This Row],[Mes]],Tabla6[#Headers],0)))*(1+Catalogos!$L$2)</f>
        <v>#N/A</v>
      </c>
      <c r="N3299" s="283" t="e">
        <f>+(Tabla4[[#This Row],[Precio Descontado]]-Tabla4[[#This Row],[Precio Base]])*Tabla4[[#This Row],[Cantidad]]</f>
        <v>#N/A</v>
      </c>
      <c r="O3299" s="284" t="e">
        <f>++Tabla4[[#This Row],[Utilidad Total]]/Tabla4[[#This Row],[Total]]</f>
        <v>#N/A</v>
      </c>
      <c r="P3299" s="282">
        <f>++Tabla4[[#This Row],[Precio Descontado]]*Tabla4[[#This Row],[Cantidad]]</f>
        <v>16267.1638128</v>
      </c>
      <c r="Q3299" s="282" t="e">
        <f>(INDEX(Tabla6[#All],MATCH(Tabla4[[#This Row],[Producto]],Tabla6[[#All],[PRODUCTO]],0),MATCH(Tabla4[[#This Row],[Mes]],Tabla6[#Headers],0)))</f>
        <v>#N/A</v>
      </c>
      <c r="R3299" s="282" t="e">
        <f>++Tabla4[[#This Row],[Precio Unitario Neto]]-Tabla4[[#This Row],[20.85%]]-Tabla4[[#This Row],[Costo]]</f>
        <v>#N/A</v>
      </c>
      <c r="S3299" s="282" t="e">
        <f>++Tabla4[[#This Row],[U. Bruta Uni]]*Tabla4[[#This Row],[Cantidad]]</f>
        <v>#N/A</v>
      </c>
      <c r="T3299" s="369" t="str">
        <f>VLOOKUP(Tabla4[[#This Row],[Producto]],Tabla6[#All],14,FALSE)</f>
        <v>Termico Solar</v>
      </c>
      <c r="U3299" s="284" t="e">
        <f>(IF(Tabla4[[#This Row],[Familia]]="termico solar",Tabla4[[#This Row],[Utilidad Total]]*6%,Tabla4[[#This Row],[Utilidad Total]]*11.5%))/Tabla4[[#This Row],[Total]]</f>
        <v>#N/A</v>
      </c>
      <c r="V3299" s="282" t="e">
        <f>+Tabla4[[#This Row],[Comisión Calculada]]*Tabla4[[#This Row],[Total]]</f>
        <v>#N/A</v>
      </c>
    </row>
    <row r="3300" spans="1:22" hidden="1" x14ac:dyDescent="0.25">
      <c r="A3300" s="100">
        <v>45808</v>
      </c>
      <c r="B3300" t="str">
        <f t="shared" si="158"/>
        <v>May</v>
      </c>
      <c r="C3300" s="46" t="s">
        <v>280</v>
      </c>
      <c r="F3300" s="366" t="s">
        <v>1986</v>
      </c>
      <c r="G3300" s="46" t="s">
        <v>17</v>
      </c>
      <c r="H3300" s="46">
        <v>1</v>
      </c>
      <c r="I3300" s="51">
        <v>4622.28</v>
      </c>
      <c r="J3300" s="281">
        <f>++Tabla4[[#This Row],[Precio Bruto]]*1.16</f>
        <v>5361.8447999999989</v>
      </c>
      <c r="K3300" s="281">
        <f>+Tabla4[[#This Row],[Precio Unitario Neto]]*Tabla4[[#Headers],[20.85%]]</f>
        <v>1117.9446407999997</v>
      </c>
      <c r="L3300" s="282">
        <f>++Tabla4[[#This Row],[Precio Unitario Neto]]-Tabla4[[#This Row],[20.85%]]</f>
        <v>4243.9001591999995</v>
      </c>
      <c r="M3300" s="282" t="e">
        <f>(INDEX(Tabla6[#All],MATCH(Tabla4[[#This Row],[Producto]],Tabla6[[#All],[PRODUCTO]],0),MATCH(Tabla4[[#This Row],[Mes]],Tabla6[#Headers],0)))*(1+Catalogos!$L$2)</f>
        <v>#N/A</v>
      </c>
      <c r="N3300" s="283" t="e">
        <f>+(Tabla4[[#This Row],[Precio Descontado]]-Tabla4[[#This Row],[Precio Base]])*Tabla4[[#This Row],[Cantidad]]</f>
        <v>#N/A</v>
      </c>
      <c r="O3300" s="284" t="e">
        <f>++Tabla4[[#This Row],[Utilidad Total]]/Tabla4[[#This Row],[Total]]</f>
        <v>#N/A</v>
      </c>
      <c r="P3300" s="282">
        <f>++Tabla4[[#This Row],[Precio Descontado]]*Tabla4[[#This Row],[Cantidad]]</f>
        <v>4243.9001591999995</v>
      </c>
      <c r="Q3300" s="282" t="e">
        <f>(INDEX(Tabla6[#All],MATCH(Tabla4[[#This Row],[Producto]],Tabla6[[#All],[PRODUCTO]],0),MATCH(Tabla4[[#This Row],[Mes]],Tabla6[#Headers],0)))</f>
        <v>#N/A</v>
      </c>
      <c r="R3300" s="282" t="e">
        <f>++Tabla4[[#This Row],[Precio Unitario Neto]]-Tabla4[[#This Row],[20.85%]]-Tabla4[[#This Row],[Costo]]</f>
        <v>#N/A</v>
      </c>
      <c r="S3300" s="282" t="e">
        <f>++Tabla4[[#This Row],[U. Bruta Uni]]*Tabla4[[#This Row],[Cantidad]]</f>
        <v>#N/A</v>
      </c>
      <c r="T3300" s="369" t="str">
        <f>VLOOKUP(Tabla4[[#This Row],[Producto]],Tabla6[#All],14,FALSE)</f>
        <v>Termico Solar</v>
      </c>
      <c r="U3300" s="284" t="e">
        <f>(IF(Tabla4[[#This Row],[Familia]]="termico solar",Tabla4[[#This Row],[Utilidad Total]]*6%,Tabla4[[#This Row],[Utilidad Total]]*11.5%))/Tabla4[[#This Row],[Total]]</f>
        <v>#N/A</v>
      </c>
      <c r="V3300" s="282" t="e">
        <f>+Tabla4[[#This Row],[Comisión Calculada]]*Tabla4[[#This Row],[Total]]</f>
        <v>#N/A</v>
      </c>
    </row>
    <row r="3301" spans="1:22" hidden="1" x14ac:dyDescent="0.25">
      <c r="A3301" s="100">
        <v>45808</v>
      </c>
      <c r="B3301" t="str">
        <f t="shared" si="158"/>
        <v>May</v>
      </c>
      <c r="C3301" s="46" t="s">
        <v>280</v>
      </c>
      <c r="F3301" s="366" t="s">
        <v>1986</v>
      </c>
      <c r="G3301" s="46" t="s">
        <v>18</v>
      </c>
      <c r="H3301" s="46">
        <v>2</v>
      </c>
      <c r="I3301" s="51">
        <v>5367.65</v>
      </c>
      <c r="J3301" s="281">
        <f>++Tabla4[[#This Row],[Precio Bruto]]*1.16</f>
        <v>6226.4739999999993</v>
      </c>
      <c r="K3301" s="281">
        <f>+Tabla4[[#This Row],[Precio Unitario Neto]]*Tabla4[[#Headers],[20.85%]]</f>
        <v>1298.2198289999999</v>
      </c>
      <c r="L3301" s="282">
        <f>++Tabla4[[#This Row],[Precio Unitario Neto]]-Tabla4[[#This Row],[20.85%]]</f>
        <v>4928.2541709999996</v>
      </c>
      <c r="M3301" s="282" t="e">
        <f>(INDEX(Tabla6[#All],MATCH(Tabla4[[#This Row],[Producto]],Tabla6[[#All],[PRODUCTO]],0),MATCH(Tabla4[[#This Row],[Mes]],Tabla6[#Headers],0)))*(1+Catalogos!$L$2)</f>
        <v>#N/A</v>
      </c>
      <c r="N3301" s="283" t="e">
        <f>+(Tabla4[[#This Row],[Precio Descontado]]-Tabla4[[#This Row],[Precio Base]])*Tabla4[[#This Row],[Cantidad]]</f>
        <v>#N/A</v>
      </c>
      <c r="O3301" s="284" t="e">
        <f>++Tabla4[[#This Row],[Utilidad Total]]/Tabla4[[#This Row],[Total]]</f>
        <v>#N/A</v>
      </c>
      <c r="P3301" s="282">
        <f>++Tabla4[[#This Row],[Precio Descontado]]*Tabla4[[#This Row],[Cantidad]]</f>
        <v>9856.5083419999992</v>
      </c>
      <c r="Q3301" s="282" t="e">
        <f>(INDEX(Tabla6[#All],MATCH(Tabla4[[#This Row],[Producto]],Tabla6[[#All],[PRODUCTO]],0),MATCH(Tabla4[[#This Row],[Mes]],Tabla6[#Headers],0)))</f>
        <v>#N/A</v>
      </c>
      <c r="R3301" s="282" t="e">
        <f>++Tabla4[[#This Row],[Precio Unitario Neto]]-Tabla4[[#This Row],[20.85%]]-Tabla4[[#This Row],[Costo]]</f>
        <v>#N/A</v>
      </c>
      <c r="S3301" s="282" t="e">
        <f>++Tabla4[[#This Row],[U. Bruta Uni]]*Tabla4[[#This Row],[Cantidad]]</f>
        <v>#N/A</v>
      </c>
      <c r="T3301" s="369" t="str">
        <f>VLOOKUP(Tabla4[[#This Row],[Producto]],Tabla6[#All],14,FALSE)</f>
        <v>Termico Solar</v>
      </c>
      <c r="U3301" s="284" t="e">
        <f>(IF(Tabla4[[#This Row],[Familia]]="termico solar",Tabla4[[#This Row],[Utilidad Total]]*6%,Tabla4[[#This Row],[Utilidad Total]]*11.5%))/Tabla4[[#This Row],[Total]]</f>
        <v>#N/A</v>
      </c>
      <c r="V3301" s="282" t="e">
        <f>+Tabla4[[#This Row],[Comisión Calculada]]*Tabla4[[#This Row],[Total]]</f>
        <v>#N/A</v>
      </c>
    </row>
    <row r="3302" spans="1:22" hidden="1" x14ac:dyDescent="0.25">
      <c r="A3302" s="100">
        <v>45808</v>
      </c>
      <c r="B3302" t="str">
        <f t="shared" si="158"/>
        <v>May</v>
      </c>
      <c r="C3302" s="46" t="s">
        <v>280</v>
      </c>
      <c r="F3302" s="366" t="s">
        <v>1986</v>
      </c>
      <c r="G3302" s="46" t="s">
        <v>16</v>
      </c>
      <c r="H3302" s="46">
        <v>1</v>
      </c>
      <c r="I3302" s="51">
        <v>4103.8500000000004</v>
      </c>
      <c r="J3302" s="281">
        <f>++Tabla4[[#This Row],[Precio Bruto]]*1.16</f>
        <v>4760.4660000000003</v>
      </c>
      <c r="K3302" s="281">
        <f>+Tabla4[[#This Row],[Precio Unitario Neto]]*Tabla4[[#Headers],[20.85%]]</f>
        <v>992.55716100000006</v>
      </c>
      <c r="L3302" s="282">
        <f>++Tabla4[[#This Row],[Precio Unitario Neto]]-Tabla4[[#This Row],[20.85%]]</f>
        <v>3767.9088390000002</v>
      </c>
      <c r="M3302" s="282" t="e">
        <f>(INDEX(Tabla6[#All],MATCH(Tabla4[[#This Row],[Producto]],Tabla6[[#All],[PRODUCTO]],0),MATCH(Tabla4[[#This Row],[Mes]],Tabla6[#Headers],0)))*(1+Catalogos!$L$2)</f>
        <v>#N/A</v>
      </c>
      <c r="N3302" s="283" t="e">
        <f>+(Tabla4[[#This Row],[Precio Descontado]]-Tabla4[[#This Row],[Precio Base]])*Tabla4[[#This Row],[Cantidad]]</f>
        <v>#N/A</v>
      </c>
      <c r="O3302" s="284" t="e">
        <f>++Tabla4[[#This Row],[Utilidad Total]]/Tabla4[[#This Row],[Total]]</f>
        <v>#N/A</v>
      </c>
      <c r="P3302" s="282">
        <f>++Tabla4[[#This Row],[Precio Descontado]]*Tabla4[[#This Row],[Cantidad]]</f>
        <v>3767.9088390000002</v>
      </c>
      <c r="Q3302" s="282" t="e">
        <f>(INDEX(Tabla6[#All],MATCH(Tabla4[[#This Row],[Producto]],Tabla6[[#All],[PRODUCTO]],0),MATCH(Tabla4[[#This Row],[Mes]],Tabla6[#Headers],0)))</f>
        <v>#N/A</v>
      </c>
      <c r="R3302" s="282" t="e">
        <f>++Tabla4[[#This Row],[Precio Unitario Neto]]-Tabla4[[#This Row],[20.85%]]-Tabla4[[#This Row],[Costo]]</f>
        <v>#N/A</v>
      </c>
      <c r="S3302" s="282" t="e">
        <f>++Tabla4[[#This Row],[U. Bruta Uni]]*Tabla4[[#This Row],[Cantidad]]</f>
        <v>#N/A</v>
      </c>
      <c r="T3302" s="369" t="str">
        <f>VLOOKUP(Tabla4[[#This Row],[Producto]],Tabla6[#All],14,FALSE)</f>
        <v>Termico Solar</v>
      </c>
      <c r="U3302" s="284" t="e">
        <f>(IF(Tabla4[[#This Row],[Familia]]="termico solar",Tabla4[[#This Row],[Utilidad Total]]*6%,Tabla4[[#This Row],[Utilidad Total]]*11.5%))/Tabla4[[#This Row],[Total]]</f>
        <v>#N/A</v>
      </c>
      <c r="V3302" s="282" t="e">
        <f>+Tabla4[[#This Row],[Comisión Calculada]]*Tabla4[[#This Row],[Total]]</f>
        <v>#N/A</v>
      </c>
    </row>
    <row r="3303" spans="1:22" hidden="1" x14ac:dyDescent="0.25">
      <c r="A3303" s="100">
        <v>45808</v>
      </c>
      <c r="B3303" t="str">
        <f t="shared" si="158"/>
        <v>May</v>
      </c>
      <c r="C3303" s="46" t="s">
        <v>280</v>
      </c>
      <c r="F3303" s="366" t="s">
        <v>1987</v>
      </c>
      <c r="G3303" s="46" t="s">
        <v>83</v>
      </c>
      <c r="H3303" s="46">
        <v>2</v>
      </c>
      <c r="I3303" s="51">
        <v>8858.76</v>
      </c>
      <c r="J3303" s="281">
        <f>++Tabla4[[#This Row],[Precio Bruto]]*1.16</f>
        <v>10276.161599999999</v>
      </c>
      <c r="K3303" s="281">
        <f>+Tabla4[[#This Row],[Precio Unitario Neto]]*Tabla4[[#Headers],[20.85%]]</f>
        <v>2142.5796935999997</v>
      </c>
      <c r="L3303" s="282">
        <f>++Tabla4[[#This Row],[Precio Unitario Neto]]-Tabla4[[#This Row],[20.85%]]</f>
        <v>8133.5819063999998</v>
      </c>
      <c r="M3303" s="282" t="e">
        <f>(INDEX(Tabla6[#All],MATCH(Tabla4[[#This Row],[Producto]],Tabla6[[#All],[PRODUCTO]],0),MATCH(Tabla4[[#This Row],[Mes]],Tabla6[#Headers],0)))*(1+Catalogos!$L$2)</f>
        <v>#N/A</v>
      </c>
      <c r="N3303" s="283" t="e">
        <f>+(Tabla4[[#This Row],[Precio Descontado]]-Tabla4[[#This Row],[Precio Base]])*Tabla4[[#This Row],[Cantidad]]</f>
        <v>#N/A</v>
      </c>
      <c r="O3303" s="284" t="e">
        <f>++Tabla4[[#This Row],[Utilidad Total]]/Tabla4[[#This Row],[Total]]</f>
        <v>#N/A</v>
      </c>
      <c r="P3303" s="282">
        <f>++Tabla4[[#This Row],[Precio Descontado]]*Tabla4[[#This Row],[Cantidad]]</f>
        <v>16267.1638128</v>
      </c>
      <c r="Q3303" s="282" t="e">
        <f>(INDEX(Tabla6[#All],MATCH(Tabla4[[#This Row],[Producto]],Tabla6[[#All],[PRODUCTO]],0),MATCH(Tabla4[[#This Row],[Mes]],Tabla6[#Headers],0)))</f>
        <v>#N/A</v>
      </c>
      <c r="R3303" s="282" t="e">
        <f>++Tabla4[[#This Row],[Precio Unitario Neto]]-Tabla4[[#This Row],[20.85%]]-Tabla4[[#This Row],[Costo]]</f>
        <v>#N/A</v>
      </c>
      <c r="S3303" s="282" t="e">
        <f>++Tabla4[[#This Row],[U. Bruta Uni]]*Tabla4[[#This Row],[Cantidad]]</f>
        <v>#N/A</v>
      </c>
      <c r="T3303" s="369" t="str">
        <f>VLOOKUP(Tabla4[[#This Row],[Producto]],Tabla6[#All],14,FALSE)</f>
        <v>Termico Solar</v>
      </c>
      <c r="U3303" s="284" t="e">
        <f>(IF(Tabla4[[#This Row],[Familia]]="termico solar",Tabla4[[#This Row],[Utilidad Total]]*6%,Tabla4[[#This Row],[Utilidad Total]]*11.5%))/Tabla4[[#This Row],[Total]]</f>
        <v>#N/A</v>
      </c>
      <c r="V3303" s="282" t="e">
        <f>+Tabla4[[#This Row],[Comisión Calculada]]*Tabla4[[#This Row],[Total]]</f>
        <v>#N/A</v>
      </c>
    </row>
    <row r="3304" spans="1:22" hidden="1" x14ac:dyDescent="0.25">
      <c r="A3304" s="100">
        <v>45808</v>
      </c>
      <c r="B3304" t="str">
        <f t="shared" si="158"/>
        <v>May</v>
      </c>
      <c r="C3304" s="46" t="s">
        <v>280</v>
      </c>
      <c r="F3304" s="366" t="s">
        <v>1987</v>
      </c>
      <c r="G3304" s="46" t="s">
        <v>17</v>
      </c>
      <c r="H3304" s="46">
        <v>3</v>
      </c>
      <c r="I3304" s="51">
        <v>4622.28</v>
      </c>
      <c r="J3304" s="281">
        <f>++Tabla4[[#This Row],[Precio Bruto]]*1.16</f>
        <v>5361.8447999999989</v>
      </c>
      <c r="K3304" s="281">
        <f>+Tabla4[[#This Row],[Precio Unitario Neto]]*Tabla4[[#Headers],[20.85%]]</f>
        <v>1117.9446407999997</v>
      </c>
      <c r="L3304" s="282">
        <f>++Tabla4[[#This Row],[Precio Unitario Neto]]-Tabla4[[#This Row],[20.85%]]</f>
        <v>4243.9001591999995</v>
      </c>
      <c r="M3304" s="282" t="e">
        <f>(INDEX(Tabla6[#All],MATCH(Tabla4[[#This Row],[Producto]],Tabla6[[#All],[PRODUCTO]],0),MATCH(Tabla4[[#This Row],[Mes]],Tabla6[#Headers],0)))*(1+Catalogos!$L$2)</f>
        <v>#N/A</v>
      </c>
      <c r="N3304" s="283" t="e">
        <f>+(Tabla4[[#This Row],[Precio Descontado]]-Tabla4[[#This Row],[Precio Base]])*Tabla4[[#This Row],[Cantidad]]</f>
        <v>#N/A</v>
      </c>
      <c r="O3304" s="284" t="e">
        <f>++Tabla4[[#This Row],[Utilidad Total]]/Tabla4[[#This Row],[Total]]</f>
        <v>#N/A</v>
      </c>
      <c r="P3304" s="282">
        <f>++Tabla4[[#This Row],[Precio Descontado]]*Tabla4[[#This Row],[Cantidad]]</f>
        <v>12731.700477599999</v>
      </c>
      <c r="Q3304" s="282" t="e">
        <f>(INDEX(Tabla6[#All],MATCH(Tabla4[[#This Row],[Producto]],Tabla6[[#All],[PRODUCTO]],0),MATCH(Tabla4[[#This Row],[Mes]],Tabla6[#Headers],0)))</f>
        <v>#N/A</v>
      </c>
      <c r="R3304" s="282" t="e">
        <f>++Tabla4[[#This Row],[Precio Unitario Neto]]-Tabla4[[#This Row],[20.85%]]-Tabla4[[#This Row],[Costo]]</f>
        <v>#N/A</v>
      </c>
      <c r="S3304" s="282" t="e">
        <f>++Tabla4[[#This Row],[U. Bruta Uni]]*Tabla4[[#This Row],[Cantidad]]</f>
        <v>#N/A</v>
      </c>
      <c r="T3304" s="369" t="str">
        <f>VLOOKUP(Tabla4[[#This Row],[Producto]],Tabla6[#All],14,FALSE)</f>
        <v>Termico Solar</v>
      </c>
      <c r="U3304" s="284" t="e">
        <f>(IF(Tabla4[[#This Row],[Familia]]="termico solar",Tabla4[[#This Row],[Utilidad Total]]*6%,Tabla4[[#This Row],[Utilidad Total]]*11.5%))/Tabla4[[#This Row],[Total]]</f>
        <v>#N/A</v>
      </c>
      <c r="V3304" s="282" t="e">
        <f>+Tabla4[[#This Row],[Comisión Calculada]]*Tabla4[[#This Row],[Total]]</f>
        <v>#N/A</v>
      </c>
    </row>
    <row r="3305" spans="1:22" hidden="1" x14ac:dyDescent="0.25">
      <c r="A3305" s="100">
        <v>45808</v>
      </c>
      <c r="B3305" t="str">
        <f t="shared" si="158"/>
        <v>May</v>
      </c>
      <c r="C3305" s="46" t="s">
        <v>280</v>
      </c>
      <c r="F3305" s="366" t="s">
        <v>1987</v>
      </c>
      <c r="G3305" s="46" t="s">
        <v>18</v>
      </c>
      <c r="H3305" s="46">
        <v>3</v>
      </c>
      <c r="I3305" s="51">
        <v>5367.6500000000005</v>
      </c>
      <c r="J3305" s="281">
        <f>++Tabla4[[#This Row],[Precio Bruto]]*1.16</f>
        <v>6226.4740000000002</v>
      </c>
      <c r="K3305" s="281">
        <f>+Tabla4[[#This Row],[Precio Unitario Neto]]*Tabla4[[#Headers],[20.85%]]</f>
        <v>1298.2198289999999</v>
      </c>
      <c r="L3305" s="282">
        <f>++Tabla4[[#This Row],[Precio Unitario Neto]]-Tabla4[[#This Row],[20.85%]]</f>
        <v>4928.2541710000005</v>
      </c>
      <c r="M3305" s="282" t="e">
        <f>(INDEX(Tabla6[#All],MATCH(Tabla4[[#This Row],[Producto]],Tabla6[[#All],[PRODUCTO]],0),MATCH(Tabla4[[#This Row],[Mes]],Tabla6[#Headers],0)))*(1+Catalogos!$L$2)</f>
        <v>#N/A</v>
      </c>
      <c r="N3305" s="283" t="e">
        <f>+(Tabla4[[#This Row],[Precio Descontado]]-Tabla4[[#This Row],[Precio Base]])*Tabla4[[#This Row],[Cantidad]]</f>
        <v>#N/A</v>
      </c>
      <c r="O3305" s="284" t="e">
        <f>++Tabla4[[#This Row],[Utilidad Total]]/Tabla4[[#This Row],[Total]]</f>
        <v>#N/A</v>
      </c>
      <c r="P3305" s="282">
        <f>++Tabla4[[#This Row],[Precio Descontado]]*Tabla4[[#This Row],[Cantidad]]</f>
        <v>14784.762513000001</v>
      </c>
      <c r="Q3305" s="282" t="e">
        <f>(INDEX(Tabla6[#All],MATCH(Tabla4[[#This Row],[Producto]],Tabla6[[#All],[PRODUCTO]],0),MATCH(Tabla4[[#This Row],[Mes]],Tabla6[#Headers],0)))</f>
        <v>#N/A</v>
      </c>
      <c r="R3305" s="282" t="e">
        <f>++Tabla4[[#This Row],[Precio Unitario Neto]]-Tabla4[[#This Row],[20.85%]]-Tabla4[[#This Row],[Costo]]</f>
        <v>#N/A</v>
      </c>
      <c r="S3305" s="282" t="e">
        <f>++Tabla4[[#This Row],[U. Bruta Uni]]*Tabla4[[#This Row],[Cantidad]]</f>
        <v>#N/A</v>
      </c>
      <c r="T3305" s="369" t="str">
        <f>VLOOKUP(Tabla4[[#This Row],[Producto]],Tabla6[#All],14,FALSE)</f>
        <v>Termico Solar</v>
      </c>
      <c r="U3305" s="284" t="e">
        <f>(IF(Tabla4[[#This Row],[Familia]]="termico solar",Tabla4[[#This Row],[Utilidad Total]]*6%,Tabla4[[#This Row],[Utilidad Total]]*11.5%))/Tabla4[[#This Row],[Total]]</f>
        <v>#N/A</v>
      </c>
      <c r="V3305" s="282" t="e">
        <f>+Tabla4[[#This Row],[Comisión Calculada]]*Tabla4[[#This Row],[Total]]</f>
        <v>#N/A</v>
      </c>
    </row>
    <row r="3306" spans="1:22" hidden="1" x14ac:dyDescent="0.25">
      <c r="A3306" s="100">
        <v>45808</v>
      </c>
      <c r="B3306" t="str">
        <f t="shared" si="158"/>
        <v>May</v>
      </c>
      <c r="C3306" s="46" t="s">
        <v>280</v>
      </c>
      <c r="F3306" s="366" t="s">
        <v>1987</v>
      </c>
      <c r="G3306" s="46" t="s">
        <v>566</v>
      </c>
      <c r="H3306" s="46">
        <v>1</v>
      </c>
      <c r="I3306" s="51">
        <v>2109.4499999999998</v>
      </c>
      <c r="J3306" s="281">
        <f>++Tabla4[[#This Row],[Precio Bruto]]*1.16</f>
        <v>2446.9619999999995</v>
      </c>
      <c r="K3306" s="281">
        <f>+Tabla4[[#This Row],[Precio Unitario Neto]]*Tabla4[[#Headers],[20.85%]]</f>
        <v>510.19157699999988</v>
      </c>
      <c r="L3306" s="282">
        <f>++Tabla4[[#This Row],[Precio Unitario Neto]]-Tabla4[[#This Row],[20.85%]]</f>
        <v>1936.7704229999997</v>
      </c>
      <c r="M3306" s="282" t="e">
        <f>(INDEX(Tabla6[#All],MATCH(Tabla4[[#This Row],[Producto]],Tabla6[[#All],[PRODUCTO]],0),MATCH(Tabla4[[#This Row],[Mes]],Tabla6[#Headers],0)))*(1+Catalogos!$L$2)</f>
        <v>#N/A</v>
      </c>
      <c r="N3306" s="283" t="e">
        <f>+(Tabla4[[#This Row],[Precio Descontado]]-Tabla4[[#This Row],[Precio Base]])*Tabla4[[#This Row],[Cantidad]]</f>
        <v>#N/A</v>
      </c>
      <c r="O3306" s="284" t="e">
        <f>++Tabla4[[#This Row],[Utilidad Total]]/Tabla4[[#This Row],[Total]]</f>
        <v>#N/A</v>
      </c>
      <c r="P3306" s="282">
        <f>++Tabla4[[#This Row],[Precio Descontado]]*Tabla4[[#This Row],[Cantidad]]</f>
        <v>1936.7704229999997</v>
      </c>
      <c r="Q3306" s="282" t="e">
        <f>(INDEX(Tabla6[#All],MATCH(Tabla4[[#This Row],[Producto]],Tabla6[[#All],[PRODUCTO]],0),MATCH(Tabla4[[#This Row],[Mes]],Tabla6[#Headers],0)))</f>
        <v>#N/A</v>
      </c>
      <c r="R3306" s="282" t="e">
        <f>++Tabla4[[#This Row],[Precio Unitario Neto]]-Tabla4[[#This Row],[20.85%]]-Tabla4[[#This Row],[Costo]]</f>
        <v>#N/A</v>
      </c>
      <c r="S3306" s="282" t="e">
        <f>++Tabla4[[#This Row],[U. Bruta Uni]]*Tabla4[[#This Row],[Cantidad]]</f>
        <v>#N/A</v>
      </c>
      <c r="T3306" s="369" t="str">
        <f>VLOOKUP(Tabla4[[#This Row],[Producto]],Tabla6[#All],14,FALSE)</f>
        <v>Termico Solar</v>
      </c>
      <c r="U3306" s="284" t="e">
        <f>(IF(Tabla4[[#This Row],[Familia]]="termico solar",Tabla4[[#This Row],[Utilidad Total]]*6%,Tabla4[[#This Row],[Utilidad Total]]*11.5%))/Tabla4[[#This Row],[Total]]</f>
        <v>#N/A</v>
      </c>
      <c r="V3306" s="282" t="e">
        <f>+Tabla4[[#This Row],[Comisión Calculada]]*Tabla4[[#This Row],[Total]]</f>
        <v>#N/A</v>
      </c>
    </row>
    <row r="3307" spans="1:22" hidden="1" x14ac:dyDescent="0.25">
      <c r="A3307" s="100">
        <v>45808</v>
      </c>
      <c r="B3307" t="str">
        <f t="shared" si="158"/>
        <v>May</v>
      </c>
      <c r="C3307" s="46" t="s">
        <v>280</v>
      </c>
      <c r="F3307" s="366" t="s">
        <v>1987</v>
      </c>
      <c r="G3307" s="46" t="s">
        <v>208</v>
      </c>
      <c r="H3307" s="46">
        <v>2</v>
      </c>
      <c r="I3307" s="51">
        <v>189.75</v>
      </c>
      <c r="J3307" s="281">
        <f>++Tabla4[[#This Row],[Precio Bruto]]*1.16</f>
        <v>220.10999999999999</v>
      </c>
      <c r="K3307" s="281">
        <f>+Tabla4[[#This Row],[Precio Unitario Neto]]*Tabla4[[#Headers],[20.85%]]</f>
        <v>45.892934999999994</v>
      </c>
      <c r="L3307" s="282">
        <f>++Tabla4[[#This Row],[Precio Unitario Neto]]-Tabla4[[#This Row],[20.85%]]</f>
        <v>174.21706499999999</v>
      </c>
      <c r="M3307" s="282" t="e">
        <f>(INDEX(Tabla6[#All],MATCH(Tabla4[[#This Row],[Producto]],Tabla6[[#All],[PRODUCTO]],0),MATCH(Tabla4[[#This Row],[Mes]],Tabla6[#Headers],0)))*(1+Catalogos!$L$2)</f>
        <v>#N/A</v>
      </c>
      <c r="N3307" s="283" t="e">
        <f>+(Tabla4[[#This Row],[Precio Descontado]]-Tabla4[[#This Row],[Precio Base]])*Tabla4[[#This Row],[Cantidad]]</f>
        <v>#N/A</v>
      </c>
      <c r="O3307" s="284" t="e">
        <f>++Tabla4[[#This Row],[Utilidad Total]]/Tabla4[[#This Row],[Total]]</f>
        <v>#N/A</v>
      </c>
      <c r="P3307" s="282">
        <f>++Tabla4[[#This Row],[Precio Descontado]]*Tabla4[[#This Row],[Cantidad]]</f>
        <v>348.43412999999998</v>
      </c>
      <c r="Q3307" s="282" t="e">
        <f>(INDEX(Tabla6[#All],MATCH(Tabla4[[#This Row],[Producto]],Tabla6[[#All],[PRODUCTO]],0),MATCH(Tabla4[[#This Row],[Mes]],Tabla6[#Headers],0)))</f>
        <v>#N/A</v>
      </c>
      <c r="R3307" s="282" t="e">
        <f>++Tabla4[[#This Row],[Precio Unitario Neto]]-Tabla4[[#This Row],[20.85%]]-Tabla4[[#This Row],[Costo]]</f>
        <v>#N/A</v>
      </c>
      <c r="S3307" s="282" t="e">
        <f>++Tabla4[[#This Row],[U. Bruta Uni]]*Tabla4[[#This Row],[Cantidad]]</f>
        <v>#N/A</v>
      </c>
      <c r="T3307" s="369" t="str">
        <f>VLOOKUP(Tabla4[[#This Row],[Producto]],Tabla6[#All],14,FALSE)</f>
        <v>Termico Solar</v>
      </c>
      <c r="U3307" s="284" t="e">
        <f>(IF(Tabla4[[#This Row],[Familia]]="termico solar",Tabla4[[#This Row],[Utilidad Total]]*6%,Tabla4[[#This Row],[Utilidad Total]]*11.5%))/Tabla4[[#This Row],[Total]]</f>
        <v>#N/A</v>
      </c>
      <c r="V3307" s="282" t="e">
        <f>+Tabla4[[#This Row],[Comisión Calculada]]*Tabla4[[#This Row],[Total]]</f>
        <v>#N/A</v>
      </c>
    </row>
    <row r="3308" spans="1:22" hidden="1" x14ac:dyDescent="0.25">
      <c r="A3308" s="100">
        <v>45808</v>
      </c>
      <c r="B3308" t="str">
        <f t="shared" ref="B3308:B3313" si="159">TEXT(A3308, "mmmm")</f>
        <v>May</v>
      </c>
      <c r="C3308" s="46" t="s">
        <v>280</v>
      </c>
      <c r="F3308" s="366" t="s">
        <v>1988</v>
      </c>
      <c r="G3308" s="46" t="s">
        <v>83</v>
      </c>
      <c r="H3308" s="46">
        <v>4</v>
      </c>
      <c r="I3308" s="51">
        <v>8858.76</v>
      </c>
      <c r="J3308" s="281">
        <f>++Tabla4[[#This Row],[Precio Bruto]]*1.16</f>
        <v>10276.161599999999</v>
      </c>
      <c r="K3308" s="281">
        <f>+Tabla4[[#This Row],[Precio Unitario Neto]]*Tabla4[[#Headers],[20.85%]]</f>
        <v>2142.5796935999997</v>
      </c>
      <c r="L3308" s="282">
        <f>++Tabla4[[#This Row],[Precio Unitario Neto]]-Tabla4[[#This Row],[20.85%]]</f>
        <v>8133.5819063999998</v>
      </c>
      <c r="M3308" s="282" t="e">
        <f>(INDEX(Tabla6[#All],MATCH(Tabla4[[#This Row],[Producto]],Tabla6[[#All],[PRODUCTO]],0),MATCH(Tabla4[[#This Row],[Mes]],Tabla6[#Headers],0)))*(1+Catalogos!$L$2)</f>
        <v>#N/A</v>
      </c>
      <c r="N3308" s="283" t="e">
        <f>+(Tabla4[[#This Row],[Precio Descontado]]-Tabla4[[#This Row],[Precio Base]])*Tabla4[[#This Row],[Cantidad]]</f>
        <v>#N/A</v>
      </c>
      <c r="O3308" s="284" t="e">
        <f>++Tabla4[[#This Row],[Utilidad Total]]/Tabla4[[#This Row],[Total]]</f>
        <v>#N/A</v>
      </c>
      <c r="P3308" s="282">
        <f>++Tabla4[[#This Row],[Precio Descontado]]*Tabla4[[#This Row],[Cantidad]]</f>
        <v>32534.327625599999</v>
      </c>
      <c r="Q3308" s="282" t="e">
        <f>(INDEX(Tabla6[#All],MATCH(Tabla4[[#This Row],[Producto]],Tabla6[[#All],[PRODUCTO]],0),MATCH(Tabla4[[#This Row],[Mes]],Tabla6[#Headers],0)))</f>
        <v>#N/A</v>
      </c>
      <c r="R3308" s="282" t="e">
        <f>++Tabla4[[#This Row],[Precio Unitario Neto]]-Tabla4[[#This Row],[20.85%]]-Tabla4[[#This Row],[Costo]]</f>
        <v>#N/A</v>
      </c>
      <c r="S3308" s="282" t="e">
        <f>++Tabla4[[#This Row],[U. Bruta Uni]]*Tabla4[[#This Row],[Cantidad]]</f>
        <v>#N/A</v>
      </c>
      <c r="T3308" s="369" t="str">
        <f>VLOOKUP(Tabla4[[#This Row],[Producto]],Tabla6[#All],14,FALSE)</f>
        <v>Termico Solar</v>
      </c>
      <c r="U3308" s="284" t="e">
        <f>(IF(Tabla4[[#This Row],[Familia]]="termico solar",Tabla4[[#This Row],[Utilidad Total]]*6%,Tabla4[[#This Row],[Utilidad Total]]*11.5%))/Tabla4[[#This Row],[Total]]</f>
        <v>#N/A</v>
      </c>
      <c r="V3308" s="282" t="e">
        <f>+Tabla4[[#This Row],[Comisión Calculada]]*Tabla4[[#This Row],[Total]]</f>
        <v>#N/A</v>
      </c>
    </row>
    <row r="3309" spans="1:22" hidden="1" x14ac:dyDescent="0.25">
      <c r="A3309" s="100">
        <v>45808</v>
      </c>
      <c r="B3309" t="str">
        <f t="shared" si="159"/>
        <v>May</v>
      </c>
      <c r="C3309" s="46" t="s">
        <v>280</v>
      </c>
      <c r="F3309" s="366" t="s">
        <v>1988</v>
      </c>
      <c r="G3309" s="46" t="s">
        <v>17</v>
      </c>
      <c r="H3309" s="46">
        <v>4</v>
      </c>
      <c r="I3309" s="51">
        <v>4622.28</v>
      </c>
      <c r="J3309" s="281">
        <f>++Tabla4[[#This Row],[Precio Bruto]]*1.16</f>
        <v>5361.8447999999989</v>
      </c>
      <c r="K3309" s="281">
        <f>+Tabla4[[#This Row],[Precio Unitario Neto]]*Tabla4[[#Headers],[20.85%]]</f>
        <v>1117.9446407999997</v>
      </c>
      <c r="L3309" s="282">
        <f>++Tabla4[[#This Row],[Precio Unitario Neto]]-Tabla4[[#This Row],[20.85%]]</f>
        <v>4243.9001591999995</v>
      </c>
      <c r="M3309" s="282" t="e">
        <f>(INDEX(Tabla6[#All],MATCH(Tabla4[[#This Row],[Producto]],Tabla6[[#All],[PRODUCTO]],0),MATCH(Tabla4[[#This Row],[Mes]],Tabla6[#Headers],0)))*(1+Catalogos!$L$2)</f>
        <v>#N/A</v>
      </c>
      <c r="N3309" s="283" t="e">
        <f>+(Tabla4[[#This Row],[Precio Descontado]]-Tabla4[[#This Row],[Precio Base]])*Tabla4[[#This Row],[Cantidad]]</f>
        <v>#N/A</v>
      </c>
      <c r="O3309" s="284" t="e">
        <f>++Tabla4[[#This Row],[Utilidad Total]]/Tabla4[[#This Row],[Total]]</f>
        <v>#N/A</v>
      </c>
      <c r="P3309" s="282">
        <f>++Tabla4[[#This Row],[Precio Descontado]]*Tabla4[[#This Row],[Cantidad]]</f>
        <v>16975.600636799998</v>
      </c>
      <c r="Q3309" s="282" t="e">
        <f>(INDEX(Tabla6[#All],MATCH(Tabla4[[#This Row],[Producto]],Tabla6[[#All],[PRODUCTO]],0),MATCH(Tabla4[[#This Row],[Mes]],Tabla6[#Headers],0)))</f>
        <v>#N/A</v>
      </c>
      <c r="R3309" s="282" t="e">
        <f>++Tabla4[[#This Row],[Precio Unitario Neto]]-Tabla4[[#This Row],[20.85%]]-Tabla4[[#This Row],[Costo]]</f>
        <v>#N/A</v>
      </c>
      <c r="S3309" s="282" t="e">
        <f>++Tabla4[[#This Row],[U. Bruta Uni]]*Tabla4[[#This Row],[Cantidad]]</f>
        <v>#N/A</v>
      </c>
      <c r="T3309" s="369" t="str">
        <f>VLOOKUP(Tabla4[[#This Row],[Producto]],Tabla6[#All],14,FALSE)</f>
        <v>Termico Solar</v>
      </c>
      <c r="U3309" s="284" t="e">
        <f>(IF(Tabla4[[#This Row],[Familia]]="termico solar",Tabla4[[#This Row],[Utilidad Total]]*6%,Tabla4[[#This Row],[Utilidad Total]]*11.5%))/Tabla4[[#This Row],[Total]]</f>
        <v>#N/A</v>
      </c>
      <c r="V3309" s="282" t="e">
        <f>+Tabla4[[#This Row],[Comisión Calculada]]*Tabla4[[#This Row],[Total]]</f>
        <v>#N/A</v>
      </c>
    </row>
    <row r="3310" spans="1:22" hidden="1" x14ac:dyDescent="0.25">
      <c r="A3310" s="100">
        <v>45808</v>
      </c>
      <c r="B3310" t="str">
        <f t="shared" si="159"/>
        <v>May</v>
      </c>
      <c r="C3310" s="46" t="s">
        <v>280</v>
      </c>
      <c r="F3310" s="366" t="s">
        <v>1988</v>
      </c>
      <c r="G3310" s="46" t="s">
        <v>566</v>
      </c>
      <c r="H3310" s="46">
        <v>1</v>
      </c>
      <c r="I3310" s="51">
        <v>2109.4499999999998</v>
      </c>
      <c r="J3310" s="281">
        <f>++Tabla4[[#This Row],[Precio Bruto]]*1.16</f>
        <v>2446.9619999999995</v>
      </c>
      <c r="K3310" s="281">
        <f>+Tabla4[[#This Row],[Precio Unitario Neto]]*Tabla4[[#Headers],[20.85%]]</f>
        <v>510.19157699999988</v>
      </c>
      <c r="L3310" s="282">
        <f>++Tabla4[[#This Row],[Precio Unitario Neto]]-Tabla4[[#This Row],[20.85%]]</f>
        <v>1936.7704229999997</v>
      </c>
      <c r="M3310" s="282" t="e">
        <f>(INDEX(Tabla6[#All],MATCH(Tabla4[[#This Row],[Producto]],Tabla6[[#All],[PRODUCTO]],0),MATCH(Tabla4[[#This Row],[Mes]],Tabla6[#Headers],0)))*(1+Catalogos!$L$2)</f>
        <v>#N/A</v>
      </c>
      <c r="N3310" s="283" t="e">
        <f>+(Tabla4[[#This Row],[Precio Descontado]]-Tabla4[[#This Row],[Precio Base]])*Tabla4[[#This Row],[Cantidad]]</f>
        <v>#N/A</v>
      </c>
      <c r="O3310" s="284" t="e">
        <f>++Tabla4[[#This Row],[Utilidad Total]]/Tabla4[[#This Row],[Total]]</f>
        <v>#N/A</v>
      </c>
      <c r="P3310" s="282">
        <f>++Tabla4[[#This Row],[Precio Descontado]]*Tabla4[[#This Row],[Cantidad]]</f>
        <v>1936.7704229999997</v>
      </c>
      <c r="Q3310" s="282" t="e">
        <f>(INDEX(Tabla6[#All],MATCH(Tabla4[[#This Row],[Producto]],Tabla6[[#All],[PRODUCTO]],0),MATCH(Tabla4[[#This Row],[Mes]],Tabla6[#Headers],0)))</f>
        <v>#N/A</v>
      </c>
      <c r="R3310" s="282" t="e">
        <f>++Tabla4[[#This Row],[Precio Unitario Neto]]-Tabla4[[#This Row],[20.85%]]-Tabla4[[#This Row],[Costo]]</f>
        <v>#N/A</v>
      </c>
      <c r="S3310" s="282" t="e">
        <f>++Tabla4[[#This Row],[U. Bruta Uni]]*Tabla4[[#This Row],[Cantidad]]</f>
        <v>#N/A</v>
      </c>
      <c r="T3310" s="369" t="str">
        <f>VLOOKUP(Tabla4[[#This Row],[Producto]],Tabla6[#All],14,FALSE)</f>
        <v>Termico Solar</v>
      </c>
      <c r="U3310" s="284" t="e">
        <f>(IF(Tabla4[[#This Row],[Familia]]="termico solar",Tabla4[[#This Row],[Utilidad Total]]*6%,Tabla4[[#This Row],[Utilidad Total]]*11.5%))/Tabla4[[#This Row],[Total]]</f>
        <v>#N/A</v>
      </c>
      <c r="V3310" s="282" t="e">
        <f>+Tabla4[[#This Row],[Comisión Calculada]]*Tabla4[[#This Row],[Total]]</f>
        <v>#N/A</v>
      </c>
    </row>
    <row r="3311" spans="1:22" hidden="1" x14ac:dyDescent="0.25">
      <c r="A3311" s="100">
        <v>45808</v>
      </c>
      <c r="B3311" t="str">
        <f t="shared" si="159"/>
        <v>May</v>
      </c>
      <c r="C3311" s="46" t="s">
        <v>280</v>
      </c>
      <c r="F3311" s="366" t="s">
        <v>1988</v>
      </c>
      <c r="G3311" s="46" t="s">
        <v>16</v>
      </c>
      <c r="H3311" s="46">
        <v>4</v>
      </c>
      <c r="I3311" s="51">
        <v>4103.8500000000004</v>
      </c>
      <c r="J3311" s="281">
        <f>++Tabla4[[#This Row],[Precio Bruto]]*1.16</f>
        <v>4760.4660000000003</v>
      </c>
      <c r="K3311" s="281">
        <f>+Tabla4[[#This Row],[Precio Unitario Neto]]*Tabla4[[#Headers],[20.85%]]</f>
        <v>992.55716100000006</v>
      </c>
      <c r="L3311" s="282">
        <f>++Tabla4[[#This Row],[Precio Unitario Neto]]-Tabla4[[#This Row],[20.85%]]</f>
        <v>3767.9088390000002</v>
      </c>
      <c r="M3311" s="282" t="e">
        <f>(INDEX(Tabla6[#All],MATCH(Tabla4[[#This Row],[Producto]],Tabla6[[#All],[PRODUCTO]],0),MATCH(Tabla4[[#This Row],[Mes]],Tabla6[#Headers],0)))*(1+Catalogos!$L$2)</f>
        <v>#N/A</v>
      </c>
      <c r="N3311" s="283" t="e">
        <f>+(Tabla4[[#This Row],[Precio Descontado]]-Tabla4[[#This Row],[Precio Base]])*Tabla4[[#This Row],[Cantidad]]</f>
        <v>#N/A</v>
      </c>
      <c r="O3311" s="284" t="e">
        <f>++Tabla4[[#This Row],[Utilidad Total]]/Tabla4[[#This Row],[Total]]</f>
        <v>#N/A</v>
      </c>
      <c r="P3311" s="282">
        <f>++Tabla4[[#This Row],[Precio Descontado]]*Tabla4[[#This Row],[Cantidad]]</f>
        <v>15071.635356000001</v>
      </c>
      <c r="Q3311" s="282" t="e">
        <f>(INDEX(Tabla6[#All],MATCH(Tabla4[[#This Row],[Producto]],Tabla6[[#All],[PRODUCTO]],0),MATCH(Tabla4[[#This Row],[Mes]],Tabla6[#Headers],0)))</f>
        <v>#N/A</v>
      </c>
      <c r="R3311" s="282" t="e">
        <f>++Tabla4[[#This Row],[Precio Unitario Neto]]-Tabla4[[#This Row],[20.85%]]-Tabla4[[#This Row],[Costo]]</f>
        <v>#N/A</v>
      </c>
      <c r="S3311" s="282" t="e">
        <f>++Tabla4[[#This Row],[U. Bruta Uni]]*Tabla4[[#This Row],[Cantidad]]</f>
        <v>#N/A</v>
      </c>
      <c r="T3311" s="369" t="str">
        <f>VLOOKUP(Tabla4[[#This Row],[Producto]],Tabla6[#All],14,FALSE)</f>
        <v>Termico Solar</v>
      </c>
      <c r="U3311" s="284" t="e">
        <f>(IF(Tabla4[[#This Row],[Familia]]="termico solar",Tabla4[[#This Row],[Utilidad Total]]*6%,Tabla4[[#This Row],[Utilidad Total]]*11.5%))/Tabla4[[#This Row],[Total]]</f>
        <v>#N/A</v>
      </c>
      <c r="V3311" s="282" t="e">
        <f>+Tabla4[[#This Row],[Comisión Calculada]]*Tabla4[[#This Row],[Total]]</f>
        <v>#N/A</v>
      </c>
    </row>
    <row r="3312" spans="1:22" hidden="1" x14ac:dyDescent="0.25">
      <c r="A3312" s="100">
        <v>45808</v>
      </c>
      <c r="B3312" t="str">
        <f t="shared" si="159"/>
        <v>May</v>
      </c>
      <c r="C3312" s="46" t="s">
        <v>280</v>
      </c>
      <c r="F3312" s="366" t="s">
        <v>1988</v>
      </c>
      <c r="G3312" s="46" t="s">
        <v>394</v>
      </c>
      <c r="H3312" s="46">
        <v>16</v>
      </c>
      <c r="I3312" s="51">
        <v>224.29</v>
      </c>
      <c r="J3312" s="281">
        <f>++Tabla4[[#This Row],[Precio Bruto]]*1.16</f>
        <v>260.1764</v>
      </c>
      <c r="K3312" s="281">
        <f>+Tabla4[[#This Row],[Precio Unitario Neto]]*Tabla4[[#Headers],[20.85%]]</f>
        <v>54.246779400000001</v>
      </c>
      <c r="L3312" s="282">
        <f>++Tabla4[[#This Row],[Precio Unitario Neto]]-Tabla4[[#This Row],[20.85%]]</f>
        <v>205.92962059999999</v>
      </c>
      <c r="M3312" s="282" t="e">
        <f>(INDEX(Tabla6[#All],MATCH(Tabla4[[#This Row],[Producto]],Tabla6[[#All],[PRODUCTO]],0),MATCH(Tabla4[[#This Row],[Mes]],Tabla6[#Headers],0)))*(1+Catalogos!$L$2)</f>
        <v>#N/A</v>
      </c>
      <c r="N3312" s="283" t="e">
        <f>+(Tabla4[[#This Row],[Precio Descontado]]-Tabla4[[#This Row],[Precio Base]])*Tabla4[[#This Row],[Cantidad]]</f>
        <v>#N/A</v>
      </c>
      <c r="O3312" s="284" t="e">
        <f>++Tabla4[[#This Row],[Utilidad Total]]/Tabla4[[#This Row],[Total]]</f>
        <v>#N/A</v>
      </c>
      <c r="P3312" s="282">
        <f>++Tabla4[[#This Row],[Precio Descontado]]*Tabla4[[#This Row],[Cantidad]]</f>
        <v>3294.8739295999999</v>
      </c>
      <c r="Q3312" s="282" t="e">
        <f>(INDEX(Tabla6[#All],MATCH(Tabla4[[#This Row],[Producto]],Tabla6[[#All],[PRODUCTO]],0),MATCH(Tabla4[[#This Row],[Mes]],Tabla6[#Headers],0)))</f>
        <v>#N/A</v>
      </c>
      <c r="R3312" s="282" t="e">
        <f>++Tabla4[[#This Row],[Precio Unitario Neto]]-Tabla4[[#This Row],[20.85%]]-Tabla4[[#This Row],[Costo]]</f>
        <v>#N/A</v>
      </c>
      <c r="S3312" s="282" t="e">
        <f>++Tabla4[[#This Row],[U. Bruta Uni]]*Tabla4[[#This Row],[Cantidad]]</f>
        <v>#N/A</v>
      </c>
      <c r="T3312" s="369" t="str">
        <f>VLOOKUP(Tabla4[[#This Row],[Producto]],Tabla6[#All],14,FALSE)</f>
        <v>Termico Solar</v>
      </c>
      <c r="U3312" s="284" t="e">
        <f>(IF(Tabla4[[#This Row],[Familia]]="termico solar",Tabla4[[#This Row],[Utilidad Total]]*6%,Tabla4[[#This Row],[Utilidad Total]]*11.5%))/Tabla4[[#This Row],[Total]]</f>
        <v>#N/A</v>
      </c>
      <c r="V3312" s="282" t="e">
        <f>+Tabla4[[#This Row],[Comisión Calculada]]*Tabla4[[#This Row],[Total]]</f>
        <v>#N/A</v>
      </c>
    </row>
    <row r="3313" spans="1:22" hidden="1" x14ac:dyDescent="0.25">
      <c r="A3313" s="100">
        <v>45808</v>
      </c>
      <c r="B3313" t="str">
        <f t="shared" si="159"/>
        <v>May</v>
      </c>
      <c r="C3313" s="46" t="s">
        <v>280</v>
      </c>
      <c r="F3313" s="366" t="s">
        <v>1988</v>
      </c>
      <c r="G3313" s="46" t="s">
        <v>208</v>
      </c>
      <c r="H3313" s="46">
        <v>2</v>
      </c>
      <c r="I3313" s="51">
        <v>189.75</v>
      </c>
      <c r="J3313" s="281">
        <f>++Tabla4[[#This Row],[Precio Bruto]]*1.16</f>
        <v>220.10999999999999</v>
      </c>
      <c r="K3313" s="281">
        <f>+Tabla4[[#This Row],[Precio Unitario Neto]]*Tabla4[[#Headers],[20.85%]]</f>
        <v>45.892934999999994</v>
      </c>
      <c r="L3313" s="282">
        <f>++Tabla4[[#This Row],[Precio Unitario Neto]]-Tabla4[[#This Row],[20.85%]]</f>
        <v>174.21706499999999</v>
      </c>
      <c r="M3313" s="282" t="e">
        <f>(INDEX(Tabla6[#All],MATCH(Tabla4[[#This Row],[Producto]],Tabla6[[#All],[PRODUCTO]],0),MATCH(Tabla4[[#This Row],[Mes]],Tabla6[#Headers],0)))*(1+Catalogos!$L$2)</f>
        <v>#N/A</v>
      </c>
      <c r="N3313" s="283" t="e">
        <f>+(Tabla4[[#This Row],[Precio Descontado]]-Tabla4[[#This Row],[Precio Base]])*Tabla4[[#This Row],[Cantidad]]</f>
        <v>#N/A</v>
      </c>
      <c r="O3313" s="284" t="e">
        <f>++Tabla4[[#This Row],[Utilidad Total]]/Tabla4[[#This Row],[Total]]</f>
        <v>#N/A</v>
      </c>
      <c r="P3313" s="282">
        <f>++Tabla4[[#This Row],[Precio Descontado]]*Tabla4[[#This Row],[Cantidad]]</f>
        <v>348.43412999999998</v>
      </c>
      <c r="Q3313" s="282" t="e">
        <f>(INDEX(Tabla6[#All],MATCH(Tabla4[[#This Row],[Producto]],Tabla6[[#All],[PRODUCTO]],0),MATCH(Tabla4[[#This Row],[Mes]],Tabla6[#Headers],0)))</f>
        <v>#N/A</v>
      </c>
      <c r="R3313" s="282" t="e">
        <f>++Tabla4[[#This Row],[Precio Unitario Neto]]-Tabla4[[#This Row],[20.85%]]-Tabla4[[#This Row],[Costo]]</f>
        <v>#N/A</v>
      </c>
      <c r="S3313" s="282" t="e">
        <f>++Tabla4[[#This Row],[U. Bruta Uni]]*Tabla4[[#This Row],[Cantidad]]</f>
        <v>#N/A</v>
      </c>
      <c r="T3313" s="369" t="str">
        <f>VLOOKUP(Tabla4[[#This Row],[Producto]],Tabla6[#All],14,FALSE)</f>
        <v>Termico Solar</v>
      </c>
      <c r="U3313" s="284" t="e">
        <f>(IF(Tabla4[[#This Row],[Familia]]="termico solar",Tabla4[[#This Row],[Utilidad Total]]*6%,Tabla4[[#This Row],[Utilidad Total]]*11.5%))/Tabla4[[#This Row],[Total]]</f>
        <v>#N/A</v>
      </c>
      <c r="V3313" s="282" t="e">
        <f>+Tabla4[[#This Row],[Comisión Calculada]]*Tabla4[[#This Row],[Total]]</f>
        <v>#N/A</v>
      </c>
    </row>
    <row r="3314" spans="1:22" ht="15.75" hidden="1" customHeight="1" x14ac:dyDescent="0.25">
      <c r="A3314" s="100">
        <v>45808</v>
      </c>
      <c r="B3314" t="str">
        <f t="shared" ref="B3314:B3377" si="160">TEXT(A3314, "mmmm")</f>
        <v>May</v>
      </c>
      <c r="C3314" s="46" t="s">
        <v>280</v>
      </c>
      <c r="F3314" s="366" t="s">
        <v>1989</v>
      </c>
      <c r="G3314" s="46" t="s">
        <v>83</v>
      </c>
      <c r="H3314" s="46">
        <v>1</v>
      </c>
      <c r="I3314" s="51">
        <v>8858.76</v>
      </c>
      <c r="J3314" s="281">
        <f>++Tabla4[[#This Row],[Precio Bruto]]*1.16</f>
        <v>10276.161599999999</v>
      </c>
      <c r="K3314" s="281">
        <f>+Tabla4[[#This Row],[Precio Unitario Neto]]*Tabla4[[#Headers],[20.85%]]</f>
        <v>2142.5796935999997</v>
      </c>
      <c r="L3314" s="282">
        <f>++Tabla4[[#This Row],[Precio Unitario Neto]]-Tabla4[[#This Row],[20.85%]]</f>
        <v>8133.5819063999998</v>
      </c>
      <c r="M3314" s="282" t="e">
        <f>(INDEX(Tabla6[#All],MATCH(Tabla4[[#This Row],[Producto]],Tabla6[[#All],[PRODUCTO]],0),MATCH(Tabla4[[#This Row],[Mes]],Tabla6[#Headers],0)))*(1+Catalogos!$L$2)</f>
        <v>#N/A</v>
      </c>
      <c r="N3314" s="283" t="e">
        <f>+(Tabla4[[#This Row],[Precio Descontado]]-Tabla4[[#This Row],[Precio Base]])*Tabla4[[#This Row],[Cantidad]]</f>
        <v>#N/A</v>
      </c>
      <c r="O3314" s="284" t="e">
        <f>++Tabla4[[#This Row],[Utilidad Total]]/Tabla4[[#This Row],[Total]]</f>
        <v>#N/A</v>
      </c>
      <c r="P3314" s="282">
        <f>++Tabla4[[#This Row],[Precio Descontado]]*Tabla4[[#This Row],[Cantidad]]</f>
        <v>8133.5819063999998</v>
      </c>
      <c r="Q3314" s="282" t="e">
        <f>(INDEX(Tabla6[#All],MATCH(Tabla4[[#This Row],[Producto]],Tabla6[[#All],[PRODUCTO]],0),MATCH(Tabla4[[#This Row],[Mes]],Tabla6[#Headers],0)))</f>
        <v>#N/A</v>
      </c>
      <c r="R3314" s="282" t="e">
        <f>++Tabla4[[#This Row],[Precio Unitario Neto]]-Tabla4[[#This Row],[20.85%]]-Tabla4[[#This Row],[Costo]]</f>
        <v>#N/A</v>
      </c>
      <c r="S3314" s="282" t="e">
        <f>++Tabla4[[#This Row],[U. Bruta Uni]]*Tabla4[[#This Row],[Cantidad]]</f>
        <v>#N/A</v>
      </c>
      <c r="T3314" s="369" t="str">
        <f>VLOOKUP(Tabla4[[#This Row],[Producto]],Tabla6[#All],14,FALSE)</f>
        <v>Termico Solar</v>
      </c>
      <c r="U3314" s="284" t="e">
        <f>(IF(Tabla4[[#This Row],[Familia]]="termico solar",Tabla4[[#This Row],[Utilidad Total]]*6%,Tabla4[[#This Row],[Utilidad Total]]*11.5%))/Tabla4[[#This Row],[Total]]</f>
        <v>#N/A</v>
      </c>
      <c r="V3314" s="282" t="e">
        <f>+Tabla4[[#This Row],[Comisión Calculada]]*Tabla4[[#This Row],[Total]]</f>
        <v>#N/A</v>
      </c>
    </row>
    <row r="3315" spans="1:22" ht="15.75" hidden="1" customHeight="1" x14ac:dyDescent="0.25">
      <c r="A3315" s="100">
        <v>45808</v>
      </c>
      <c r="B3315" t="str">
        <f t="shared" si="160"/>
        <v>May</v>
      </c>
      <c r="C3315" s="46" t="s">
        <v>280</v>
      </c>
      <c r="F3315" s="366" t="s">
        <v>1989</v>
      </c>
      <c r="G3315" s="46" t="s">
        <v>18</v>
      </c>
      <c r="H3315" s="46">
        <v>1</v>
      </c>
      <c r="I3315" s="51">
        <v>5367.65</v>
      </c>
      <c r="J3315" s="281">
        <f>++Tabla4[[#This Row],[Precio Bruto]]*1.16</f>
        <v>6226.4739999999993</v>
      </c>
      <c r="K3315" s="281">
        <f>+Tabla4[[#This Row],[Precio Unitario Neto]]*Tabla4[[#Headers],[20.85%]]</f>
        <v>1298.2198289999999</v>
      </c>
      <c r="L3315" s="282">
        <f>++Tabla4[[#This Row],[Precio Unitario Neto]]-Tabla4[[#This Row],[20.85%]]</f>
        <v>4928.2541709999996</v>
      </c>
      <c r="M3315" s="282" t="e">
        <f>(INDEX(Tabla6[#All],MATCH(Tabla4[[#This Row],[Producto]],Tabla6[[#All],[PRODUCTO]],0),MATCH(Tabla4[[#This Row],[Mes]],Tabla6[#Headers],0)))*(1+Catalogos!$L$2)</f>
        <v>#N/A</v>
      </c>
      <c r="N3315" s="283" t="e">
        <f>+(Tabla4[[#This Row],[Precio Descontado]]-Tabla4[[#This Row],[Precio Base]])*Tabla4[[#This Row],[Cantidad]]</f>
        <v>#N/A</v>
      </c>
      <c r="O3315" s="284" t="e">
        <f>++Tabla4[[#This Row],[Utilidad Total]]/Tabla4[[#This Row],[Total]]</f>
        <v>#N/A</v>
      </c>
      <c r="P3315" s="282">
        <f>++Tabla4[[#This Row],[Precio Descontado]]*Tabla4[[#This Row],[Cantidad]]</f>
        <v>4928.2541709999996</v>
      </c>
      <c r="Q3315" s="282" t="e">
        <f>(INDEX(Tabla6[#All],MATCH(Tabla4[[#This Row],[Producto]],Tabla6[[#All],[PRODUCTO]],0),MATCH(Tabla4[[#This Row],[Mes]],Tabla6[#Headers],0)))</f>
        <v>#N/A</v>
      </c>
      <c r="R3315" s="282" t="e">
        <f>++Tabla4[[#This Row],[Precio Unitario Neto]]-Tabla4[[#This Row],[20.85%]]-Tabla4[[#This Row],[Costo]]</f>
        <v>#N/A</v>
      </c>
      <c r="S3315" s="282" t="e">
        <f>++Tabla4[[#This Row],[U. Bruta Uni]]*Tabla4[[#This Row],[Cantidad]]</f>
        <v>#N/A</v>
      </c>
      <c r="T3315" s="369" t="str">
        <f>VLOOKUP(Tabla4[[#This Row],[Producto]],Tabla6[#All],14,FALSE)</f>
        <v>Termico Solar</v>
      </c>
      <c r="U3315" s="284" t="e">
        <f>(IF(Tabla4[[#This Row],[Familia]]="termico solar",Tabla4[[#This Row],[Utilidad Total]]*6%,Tabla4[[#This Row],[Utilidad Total]]*11.5%))/Tabla4[[#This Row],[Total]]</f>
        <v>#N/A</v>
      </c>
      <c r="V3315" s="282" t="e">
        <f>+Tabla4[[#This Row],[Comisión Calculada]]*Tabla4[[#This Row],[Total]]</f>
        <v>#N/A</v>
      </c>
    </row>
    <row r="3316" spans="1:22" hidden="1" x14ac:dyDescent="0.25">
      <c r="A3316" s="100">
        <v>45808</v>
      </c>
      <c r="B3316" t="str">
        <f t="shared" si="160"/>
        <v>May</v>
      </c>
      <c r="C3316" s="46" t="s">
        <v>280</v>
      </c>
      <c r="F3316" s="366" t="s">
        <v>1989</v>
      </c>
      <c r="G3316" s="46" t="s">
        <v>566</v>
      </c>
      <c r="H3316" s="46">
        <v>1</v>
      </c>
      <c r="I3316" s="51">
        <v>2109.4499999999998</v>
      </c>
      <c r="J3316" s="281">
        <f>++Tabla4[[#This Row],[Precio Bruto]]*1.16</f>
        <v>2446.9619999999995</v>
      </c>
      <c r="K3316" s="281">
        <f>+Tabla4[[#This Row],[Precio Unitario Neto]]*Tabla4[[#Headers],[20.85%]]</f>
        <v>510.19157699999988</v>
      </c>
      <c r="L3316" s="282">
        <f>++Tabla4[[#This Row],[Precio Unitario Neto]]-Tabla4[[#This Row],[20.85%]]</f>
        <v>1936.7704229999997</v>
      </c>
      <c r="M3316" s="282" t="e">
        <f>(INDEX(Tabla6[#All],MATCH(Tabla4[[#This Row],[Producto]],Tabla6[[#All],[PRODUCTO]],0),MATCH(Tabla4[[#This Row],[Mes]],Tabla6[#Headers],0)))*(1+Catalogos!$L$2)</f>
        <v>#N/A</v>
      </c>
      <c r="N3316" s="283" t="e">
        <f>+(Tabla4[[#This Row],[Precio Descontado]]-Tabla4[[#This Row],[Precio Base]])*Tabla4[[#This Row],[Cantidad]]</f>
        <v>#N/A</v>
      </c>
      <c r="O3316" s="284" t="e">
        <f>++Tabla4[[#This Row],[Utilidad Total]]/Tabla4[[#This Row],[Total]]</f>
        <v>#N/A</v>
      </c>
      <c r="P3316" s="282">
        <f>++Tabla4[[#This Row],[Precio Descontado]]*Tabla4[[#This Row],[Cantidad]]</f>
        <v>1936.7704229999997</v>
      </c>
      <c r="Q3316" s="282" t="e">
        <f>(INDEX(Tabla6[#All],MATCH(Tabla4[[#This Row],[Producto]],Tabla6[[#All],[PRODUCTO]],0),MATCH(Tabla4[[#This Row],[Mes]],Tabla6[#Headers],0)))</f>
        <v>#N/A</v>
      </c>
      <c r="R3316" s="282" t="e">
        <f>++Tabla4[[#This Row],[Precio Unitario Neto]]-Tabla4[[#This Row],[20.85%]]-Tabla4[[#This Row],[Costo]]</f>
        <v>#N/A</v>
      </c>
      <c r="S3316" s="282" t="e">
        <f>++Tabla4[[#This Row],[U. Bruta Uni]]*Tabla4[[#This Row],[Cantidad]]</f>
        <v>#N/A</v>
      </c>
      <c r="T3316" s="369" t="str">
        <f>VLOOKUP(Tabla4[[#This Row],[Producto]],Tabla6[#All],14,FALSE)</f>
        <v>Termico Solar</v>
      </c>
      <c r="U3316" s="284" t="e">
        <f>(IF(Tabla4[[#This Row],[Familia]]="termico solar",Tabla4[[#This Row],[Utilidad Total]]*6%,Tabla4[[#This Row],[Utilidad Total]]*11.5%))/Tabla4[[#This Row],[Total]]</f>
        <v>#N/A</v>
      </c>
      <c r="V3316" s="282" t="e">
        <f>+Tabla4[[#This Row],[Comisión Calculada]]*Tabla4[[#This Row],[Total]]</f>
        <v>#N/A</v>
      </c>
    </row>
    <row r="3317" spans="1:22" hidden="1" x14ac:dyDescent="0.25">
      <c r="A3317" s="100">
        <v>45823</v>
      </c>
      <c r="B3317" t="str">
        <f t="shared" si="160"/>
        <v>June</v>
      </c>
      <c r="C3317" s="46" t="s">
        <v>280</v>
      </c>
      <c r="F3317" s="366" t="s">
        <v>1990</v>
      </c>
      <c r="G3317" s="46" t="s">
        <v>17</v>
      </c>
      <c r="H3317" s="46">
        <v>4</v>
      </c>
      <c r="I3317" s="51">
        <v>4622.28</v>
      </c>
      <c r="J3317" s="281">
        <f>++Tabla4[[#This Row],[Precio Bruto]]*1.16</f>
        <v>5361.8447999999989</v>
      </c>
      <c r="K3317" s="281">
        <f>+Tabla4[[#This Row],[Precio Unitario Neto]]*Tabla4[[#Headers],[20.85%]]</f>
        <v>1117.9446407999997</v>
      </c>
      <c r="L3317" s="282">
        <f>++Tabla4[[#This Row],[Precio Unitario Neto]]-Tabla4[[#This Row],[20.85%]]</f>
        <v>4243.9001591999995</v>
      </c>
      <c r="M3317" s="282" t="e">
        <f>(INDEX(Tabla6[#All],MATCH(Tabla4[[#This Row],[Producto]],Tabla6[[#All],[PRODUCTO]],0),MATCH(Tabla4[[#This Row],[Mes]],Tabla6[#Headers],0)))*(1+Catalogos!$L$2)</f>
        <v>#N/A</v>
      </c>
      <c r="N3317" s="283" t="e">
        <f>+(Tabla4[[#This Row],[Precio Descontado]]-Tabla4[[#This Row],[Precio Base]])*Tabla4[[#This Row],[Cantidad]]</f>
        <v>#N/A</v>
      </c>
      <c r="O3317" s="284" t="e">
        <f>++Tabla4[[#This Row],[Utilidad Total]]/Tabla4[[#This Row],[Total]]</f>
        <v>#N/A</v>
      </c>
      <c r="P3317" s="282">
        <f>++Tabla4[[#This Row],[Precio Descontado]]*Tabla4[[#This Row],[Cantidad]]</f>
        <v>16975.600636799998</v>
      </c>
      <c r="Q3317" s="282" t="e">
        <f>(INDEX(Tabla6[#All],MATCH(Tabla4[[#This Row],[Producto]],Tabla6[[#All],[PRODUCTO]],0),MATCH(Tabla4[[#This Row],[Mes]],Tabla6[#Headers],0)))</f>
        <v>#N/A</v>
      </c>
      <c r="R3317" s="282" t="e">
        <f>++Tabla4[[#This Row],[Precio Unitario Neto]]-Tabla4[[#This Row],[20.85%]]-Tabla4[[#This Row],[Costo]]</f>
        <v>#N/A</v>
      </c>
      <c r="S3317" s="282" t="e">
        <f>++Tabla4[[#This Row],[U. Bruta Uni]]*Tabla4[[#This Row],[Cantidad]]</f>
        <v>#N/A</v>
      </c>
      <c r="T3317" s="369" t="str">
        <f>VLOOKUP(Tabla4[[#This Row],[Producto]],Tabla6[#All],14,FALSE)</f>
        <v>Termico Solar</v>
      </c>
      <c r="U3317" s="284" t="e">
        <f>(IF(Tabla4[[#This Row],[Familia]]="termico solar",Tabla4[[#This Row],[Utilidad Total]]*6%,Tabla4[[#This Row],[Utilidad Total]]*11.5%))/Tabla4[[#This Row],[Total]]</f>
        <v>#N/A</v>
      </c>
      <c r="V3317" s="282" t="e">
        <f>+Tabla4[[#This Row],[Comisión Calculada]]*Tabla4[[#This Row],[Total]]</f>
        <v>#N/A</v>
      </c>
    </row>
    <row r="3318" spans="1:22" hidden="1" x14ac:dyDescent="0.25">
      <c r="A3318" s="100">
        <v>45823</v>
      </c>
      <c r="B3318" t="str">
        <f t="shared" si="160"/>
        <v>June</v>
      </c>
      <c r="C3318" s="46" t="s">
        <v>280</v>
      </c>
      <c r="F3318" s="366" t="s">
        <v>1990</v>
      </c>
      <c r="G3318" s="46" t="s">
        <v>19</v>
      </c>
      <c r="H3318" s="46">
        <v>1</v>
      </c>
      <c r="I3318" s="51">
        <v>6412.03</v>
      </c>
      <c r="J3318" s="281">
        <f>++Tabla4[[#This Row],[Precio Bruto]]*1.16</f>
        <v>7437.9547999999995</v>
      </c>
      <c r="K3318" s="281">
        <f>+Tabla4[[#This Row],[Precio Unitario Neto]]*Tabla4[[#Headers],[20.85%]]</f>
        <v>1550.8135757999999</v>
      </c>
      <c r="L3318" s="282">
        <f>++Tabla4[[#This Row],[Precio Unitario Neto]]-Tabla4[[#This Row],[20.85%]]</f>
        <v>5887.1412241999997</v>
      </c>
      <c r="M3318" s="282" t="e">
        <f>(INDEX(Tabla6[#All],MATCH(Tabla4[[#This Row],[Producto]],Tabla6[[#All],[PRODUCTO]],0),MATCH(Tabla4[[#This Row],[Mes]],Tabla6[#Headers],0)))*(1+Catalogos!$L$2)</f>
        <v>#N/A</v>
      </c>
      <c r="N3318" s="283" t="e">
        <f>+(Tabla4[[#This Row],[Precio Descontado]]-Tabla4[[#This Row],[Precio Base]])*Tabla4[[#This Row],[Cantidad]]</f>
        <v>#N/A</v>
      </c>
      <c r="O3318" s="284" t="e">
        <f>++Tabla4[[#This Row],[Utilidad Total]]/Tabla4[[#This Row],[Total]]</f>
        <v>#N/A</v>
      </c>
      <c r="P3318" s="282">
        <f>++Tabla4[[#This Row],[Precio Descontado]]*Tabla4[[#This Row],[Cantidad]]</f>
        <v>5887.1412241999997</v>
      </c>
      <c r="Q3318" s="282" t="e">
        <f>(INDEX(Tabla6[#All],MATCH(Tabla4[[#This Row],[Producto]],Tabla6[[#All],[PRODUCTO]],0),MATCH(Tabla4[[#This Row],[Mes]],Tabla6[#Headers],0)))</f>
        <v>#N/A</v>
      </c>
      <c r="R3318" s="282" t="e">
        <f>++Tabla4[[#This Row],[Precio Unitario Neto]]-Tabla4[[#This Row],[20.85%]]-Tabla4[[#This Row],[Costo]]</f>
        <v>#N/A</v>
      </c>
      <c r="S3318" s="282" t="e">
        <f>++Tabla4[[#This Row],[U. Bruta Uni]]*Tabla4[[#This Row],[Cantidad]]</f>
        <v>#N/A</v>
      </c>
      <c r="T3318" s="369" t="str">
        <f>VLOOKUP(Tabla4[[#This Row],[Producto]],Tabla6[#All],14,FALSE)</f>
        <v>Termico Solar</v>
      </c>
      <c r="U3318" s="284" t="e">
        <f>(IF(Tabla4[[#This Row],[Familia]]="termico solar",Tabla4[[#This Row],[Utilidad Total]]*6%,Tabla4[[#This Row],[Utilidad Total]]*11.5%))/Tabla4[[#This Row],[Total]]</f>
        <v>#N/A</v>
      </c>
      <c r="V3318" s="282" t="e">
        <f>+Tabla4[[#This Row],[Comisión Calculada]]*Tabla4[[#This Row],[Total]]</f>
        <v>#N/A</v>
      </c>
    </row>
    <row r="3319" spans="1:22" ht="15.75" hidden="1" customHeight="1" x14ac:dyDescent="0.25">
      <c r="A3319" s="100">
        <v>45823</v>
      </c>
      <c r="B3319" t="str">
        <f t="shared" si="160"/>
        <v>June</v>
      </c>
      <c r="C3319" s="46" t="s">
        <v>280</v>
      </c>
      <c r="F3319" s="366" t="s">
        <v>1990</v>
      </c>
      <c r="G3319" s="46" t="s">
        <v>208</v>
      </c>
      <c r="H3319" s="46">
        <v>4</v>
      </c>
      <c r="I3319" s="51">
        <v>189.75</v>
      </c>
      <c r="J3319" s="281">
        <f>++Tabla4[[#This Row],[Precio Bruto]]*1.16</f>
        <v>220.10999999999999</v>
      </c>
      <c r="K3319" s="281">
        <f>+Tabla4[[#This Row],[Precio Unitario Neto]]*Tabla4[[#Headers],[20.85%]]</f>
        <v>45.892934999999994</v>
      </c>
      <c r="L3319" s="282">
        <f>++Tabla4[[#This Row],[Precio Unitario Neto]]-Tabla4[[#This Row],[20.85%]]</f>
        <v>174.21706499999999</v>
      </c>
      <c r="M3319" s="282" t="e">
        <f>(INDEX(Tabla6[#All],MATCH(Tabla4[[#This Row],[Producto]],Tabla6[[#All],[PRODUCTO]],0),MATCH(Tabla4[[#This Row],[Mes]],Tabla6[#Headers],0)))*(1+Catalogos!$L$2)</f>
        <v>#N/A</v>
      </c>
      <c r="N3319" s="283" t="e">
        <f>+(Tabla4[[#This Row],[Precio Descontado]]-Tabla4[[#This Row],[Precio Base]])*Tabla4[[#This Row],[Cantidad]]</f>
        <v>#N/A</v>
      </c>
      <c r="O3319" s="284" t="e">
        <f>++Tabla4[[#This Row],[Utilidad Total]]/Tabla4[[#This Row],[Total]]</f>
        <v>#N/A</v>
      </c>
      <c r="P3319" s="282">
        <f>++Tabla4[[#This Row],[Precio Descontado]]*Tabla4[[#This Row],[Cantidad]]</f>
        <v>696.86825999999996</v>
      </c>
      <c r="Q3319" s="282" t="e">
        <f>(INDEX(Tabla6[#All],MATCH(Tabla4[[#This Row],[Producto]],Tabla6[[#All],[PRODUCTO]],0),MATCH(Tabla4[[#This Row],[Mes]],Tabla6[#Headers],0)))</f>
        <v>#N/A</v>
      </c>
      <c r="R3319" s="282" t="e">
        <f>++Tabla4[[#This Row],[Precio Unitario Neto]]-Tabla4[[#This Row],[20.85%]]-Tabla4[[#This Row],[Costo]]</f>
        <v>#N/A</v>
      </c>
      <c r="S3319" s="282" t="e">
        <f>++Tabla4[[#This Row],[U. Bruta Uni]]*Tabla4[[#This Row],[Cantidad]]</f>
        <v>#N/A</v>
      </c>
      <c r="T3319" s="369" t="str">
        <f>VLOOKUP(Tabla4[[#This Row],[Producto]],Tabla6[#All],14,FALSE)</f>
        <v>Termico Solar</v>
      </c>
      <c r="U3319" s="284" t="e">
        <f>(IF(Tabla4[[#This Row],[Familia]]="termico solar",Tabla4[[#This Row],[Utilidad Total]]*6%,Tabla4[[#This Row],[Utilidad Total]]*11.5%))/Tabla4[[#This Row],[Total]]</f>
        <v>#N/A</v>
      </c>
      <c r="V3319" s="282" t="e">
        <f>+Tabla4[[#This Row],[Comisión Calculada]]*Tabla4[[#This Row],[Total]]</f>
        <v>#N/A</v>
      </c>
    </row>
    <row r="3320" spans="1:22" hidden="1" x14ac:dyDescent="0.25">
      <c r="A3320" s="100">
        <v>45823</v>
      </c>
      <c r="B3320" t="str">
        <f t="shared" si="160"/>
        <v>June</v>
      </c>
      <c r="C3320" s="46" t="s">
        <v>280</v>
      </c>
      <c r="F3320" s="366" t="s">
        <v>1991</v>
      </c>
      <c r="G3320" s="46" t="s">
        <v>208</v>
      </c>
      <c r="H3320" s="46">
        <v>2</v>
      </c>
      <c r="I3320" s="51">
        <v>189.75</v>
      </c>
      <c r="J3320" s="281">
        <f>++Tabla4[[#This Row],[Precio Bruto]]*1.16</f>
        <v>220.10999999999999</v>
      </c>
      <c r="K3320" s="281">
        <f>+Tabla4[[#This Row],[Precio Unitario Neto]]*Tabla4[[#Headers],[20.85%]]</f>
        <v>45.892934999999994</v>
      </c>
      <c r="L3320" s="282">
        <f>++Tabla4[[#This Row],[Precio Unitario Neto]]-Tabla4[[#This Row],[20.85%]]</f>
        <v>174.21706499999999</v>
      </c>
      <c r="M3320" s="282" t="e">
        <f>(INDEX(Tabla6[#All],MATCH(Tabla4[[#This Row],[Producto]],Tabla6[[#All],[PRODUCTO]],0),MATCH(Tabla4[[#This Row],[Mes]],Tabla6[#Headers],0)))*(1+Catalogos!$L$2)</f>
        <v>#N/A</v>
      </c>
      <c r="N3320" s="283" t="e">
        <f>+(Tabla4[[#This Row],[Precio Descontado]]-Tabla4[[#This Row],[Precio Base]])*Tabla4[[#This Row],[Cantidad]]</f>
        <v>#N/A</v>
      </c>
      <c r="O3320" s="284" t="e">
        <f>++Tabla4[[#This Row],[Utilidad Total]]/Tabla4[[#This Row],[Total]]</f>
        <v>#N/A</v>
      </c>
      <c r="P3320" s="282">
        <f>++Tabla4[[#This Row],[Precio Descontado]]*Tabla4[[#This Row],[Cantidad]]</f>
        <v>348.43412999999998</v>
      </c>
      <c r="Q3320" s="282" t="e">
        <f>(INDEX(Tabla6[#All],MATCH(Tabla4[[#This Row],[Producto]],Tabla6[[#All],[PRODUCTO]],0),MATCH(Tabla4[[#This Row],[Mes]],Tabla6[#Headers],0)))</f>
        <v>#N/A</v>
      </c>
      <c r="R3320" s="282" t="e">
        <f>++Tabla4[[#This Row],[Precio Unitario Neto]]-Tabla4[[#This Row],[20.85%]]-Tabla4[[#This Row],[Costo]]</f>
        <v>#N/A</v>
      </c>
      <c r="S3320" s="282" t="e">
        <f>++Tabla4[[#This Row],[U. Bruta Uni]]*Tabla4[[#This Row],[Cantidad]]</f>
        <v>#N/A</v>
      </c>
      <c r="T3320" s="369" t="str">
        <f>VLOOKUP(Tabla4[[#This Row],[Producto]],Tabla6[#All],14,FALSE)</f>
        <v>Termico Solar</v>
      </c>
      <c r="U3320" s="284" t="e">
        <f>(IF(Tabla4[[#This Row],[Familia]]="termico solar",Tabla4[[#This Row],[Utilidad Total]]*6%,Tabla4[[#This Row],[Utilidad Total]]*11.5%))/Tabla4[[#This Row],[Total]]</f>
        <v>#N/A</v>
      </c>
      <c r="V3320" s="282" t="e">
        <f>+Tabla4[[#This Row],[Comisión Calculada]]*Tabla4[[#This Row],[Total]]</f>
        <v>#N/A</v>
      </c>
    </row>
    <row r="3321" spans="1:22" hidden="1" x14ac:dyDescent="0.25">
      <c r="A3321" s="100">
        <v>45823</v>
      </c>
      <c r="B3321" t="str">
        <f t="shared" si="160"/>
        <v>June</v>
      </c>
      <c r="C3321" s="46" t="s">
        <v>280</v>
      </c>
      <c r="F3321" s="366" t="s">
        <v>1992</v>
      </c>
      <c r="G3321" s="46" t="s">
        <v>17</v>
      </c>
      <c r="H3321" s="46">
        <v>1</v>
      </c>
      <c r="I3321" s="51">
        <v>4622.28</v>
      </c>
      <c r="J3321" s="281">
        <f>++Tabla4[[#This Row],[Precio Bruto]]*1.16</f>
        <v>5361.8447999999989</v>
      </c>
      <c r="K3321" s="281">
        <f>+Tabla4[[#This Row],[Precio Unitario Neto]]*Tabla4[[#Headers],[20.85%]]</f>
        <v>1117.9446407999997</v>
      </c>
      <c r="L3321" s="282">
        <f>++Tabla4[[#This Row],[Precio Unitario Neto]]-Tabla4[[#This Row],[20.85%]]</f>
        <v>4243.9001591999995</v>
      </c>
      <c r="M3321" s="282" t="e">
        <f>(INDEX(Tabla6[#All],MATCH(Tabla4[[#This Row],[Producto]],Tabla6[[#All],[PRODUCTO]],0),MATCH(Tabla4[[#This Row],[Mes]],Tabla6[#Headers],0)))*(1+Catalogos!$L$2)</f>
        <v>#N/A</v>
      </c>
      <c r="N3321" s="283" t="e">
        <f>+(Tabla4[[#This Row],[Precio Descontado]]-Tabla4[[#This Row],[Precio Base]])*Tabla4[[#This Row],[Cantidad]]</f>
        <v>#N/A</v>
      </c>
      <c r="O3321" s="284" t="e">
        <f>++Tabla4[[#This Row],[Utilidad Total]]/Tabla4[[#This Row],[Total]]</f>
        <v>#N/A</v>
      </c>
      <c r="P3321" s="282">
        <f>++Tabla4[[#This Row],[Precio Descontado]]*Tabla4[[#This Row],[Cantidad]]</f>
        <v>4243.9001591999995</v>
      </c>
      <c r="Q3321" s="282" t="e">
        <f>(INDEX(Tabla6[#All],MATCH(Tabla4[[#This Row],[Producto]],Tabla6[[#All],[PRODUCTO]],0),MATCH(Tabla4[[#This Row],[Mes]],Tabla6[#Headers],0)))</f>
        <v>#N/A</v>
      </c>
      <c r="R3321" s="282" t="e">
        <f>++Tabla4[[#This Row],[Precio Unitario Neto]]-Tabla4[[#This Row],[20.85%]]-Tabla4[[#This Row],[Costo]]</f>
        <v>#N/A</v>
      </c>
      <c r="S3321" s="282" t="e">
        <f>++Tabla4[[#This Row],[U. Bruta Uni]]*Tabla4[[#This Row],[Cantidad]]</f>
        <v>#N/A</v>
      </c>
      <c r="T3321" s="369" t="str">
        <f>VLOOKUP(Tabla4[[#This Row],[Producto]],Tabla6[#All],14,FALSE)</f>
        <v>Termico Solar</v>
      </c>
      <c r="U3321" s="284" t="e">
        <f>(IF(Tabla4[[#This Row],[Familia]]="termico solar",Tabla4[[#This Row],[Utilidad Total]]*6%,Tabla4[[#This Row],[Utilidad Total]]*11.5%))/Tabla4[[#This Row],[Total]]</f>
        <v>#N/A</v>
      </c>
      <c r="V3321" s="282" t="e">
        <f>+Tabla4[[#This Row],[Comisión Calculada]]*Tabla4[[#This Row],[Total]]</f>
        <v>#N/A</v>
      </c>
    </row>
    <row r="3322" spans="1:22" hidden="1" x14ac:dyDescent="0.25">
      <c r="A3322" s="100">
        <v>45823</v>
      </c>
      <c r="B3322" t="str">
        <f t="shared" si="160"/>
        <v>June</v>
      </c>
      <c r="C3322" s="46" t="s">
        <v>280</v>
      </c>
      <c r="F3322" s="366" t="s">
        <v>1992</v>
      </c>
      <c r="G3322" s="46" t="s">
        <v>18</v>
      </c>
      <c r="H3322" s="46">
        <v>1</v>
      </c>
      <c r="I3322" s="51">
        <v>5367.65</v>
      </c>
      <c r="J3322" s="281">
        <f>++Tabla4[[#This Row],[Precio Bruto]]*1.16</f>
        <v>6226.4739999999993</v>
      </c>
      <c r="K3322" s="281">
        <f>+Tabla4[[#This Row],[Precio Unitario Neto]]*Tabla4[[#Headers],[20.85%]]</f>
        <v>1298.2198289999999</v>
      </c>
      <c r="L3322" s="282">
        <f>++Tabla4[[#This Row],[Precio Unitario Neto]]-Tabla4[[#This Row],[20.85%]]</f>
        <v>4928.2541709999996</v>
      </c>
      <c r="M3322" s="282" t="e">
        <f>(INDEX(Tabla6[#All],MATCH(Tabla4[[#This Row],[Producto]],Tabla6[[#All],[PRODUCTO]],0),MATCH(Tabla4[[#This Row],[Mes]],Tabla6[#Headers],0)))*(1+Catalogos!$L$2)</f>
        <v>#N/A</v>
      </c>
      <c r="N3322" s="283" t="e">
        <f>+(Tabla4[[#This Row],[Precio Descontado]]-Tabla4[[#This Row],[Precio Base]])*Tabla4[[#This Row],[Cantidad]]</f>
        <v>#N/A</v>
      </c>
      <c r="O3322" s="284" t="e">
        <f>++Tabla4[[#This Row],[Utilidad Total]]/Tabla4[[#This Row],[Total]]</f>
        <v>#N/A</v>
      </c>
      <c r="P3322" s="282">
        <f>++Tabla4[[#This Row],[Precio Descontado]]*Tabla4[[#This Row],[Cantidad]]</f>
        <v>4928.2541709999996</v>
      </c>
      <c r="Q3322" s="282" t="e">
        <f>(INDEX(Tabla6[#All],MATCH(Tabla4[[#This Row],[Producto]],Tabla6[[#All],[PRODUCTO]],0),MATCH(Tabla4[[#This Row],[Mes]],Tabla6[#Headers],0)))</f>
        <v>#N/A</v>
      </c>
      <c r="R3322" s="282" t="e">
        <f>++Tabla4[[#This Row],[Precio Unitario Neto]]-Tabla4[[#This Row],[20.85%]]-Tabla4[[#This Row],[Costo]]</f>
        <v>#N/A</v>
      </c>
      <c r="S3322" s="282" t="e">
        <f>++Tabla4[[#This Row],[U. Bruta Uni]]*Tabla4[[#This Row],[Cantidad]]</f>
        <v>#N/A</v>
      </c>
      <c r="T3322" s="369" t="str">
        <f>VLOOKUP(Tabla4[[#This Row],[Producto]],Tabla6[#All],14,FALSE)</f>
        <v>Termico Solar</v>
      </c>
      <c r="U3322" s="284" t="e">
        <f>(IF(Tabla4[[#This Row],[Familia]]="termico solar",Tabla4[[#This Row],[Utilidad Total]]*6%,Tabla4[[#This Row],[Utilidad Total]]*11.5%))/Tabla4[[#This Row],[Total]]</f>
        <v>#N/A</v>
      </c>
      <c r="V3322" s="282" t="e">
        <f>+Tabla4[[#This Row],[Comisión Calculada]]*Tabla4[[#This Row],[Total]]</f>
        <v>#N/A</v>
      </c>
    </row>
    <row r="3323" spans="1:22" hidden="1" x14ac:dyDescent="0.25">
      <c r="A3323" s="100">
        <v>45823</v>
      </c>
      <c r="B3323" t="str">
        <f t="shared" si="160"/>
        <v>June</v>
      </c>
      <c r="C3323" s="46" t="s">
        <v>280</v>
      </c>
      <c r="F3323" s="366" t="s">
        <v>1992</v>
      </c>
      <c r="G3323" s="46" t="s">
        <v>19</v>
      </c>
      <c r="H3323" s="46">
        <v>2</v>
      </c>
      <c r="I3323" s="51">
        <v>6412.03</v>
      </c>
      <c r="J3323" s="281">
        <f>++Tabla4[[#This Row],[Precio Bruto]]*1.16</f>
        <v>7437.9547999999995</v>
      </c>
      <c r="K3323" s="281">
        <f>+Tabla4[[#This Row],[Precio Unitario Neto]]*Tabla4[[#Headers],[20.85%]]</f>
        <v>1550.8135757999999</v>
      </c>
      <c r="L3323" s="282">
        <f>++Tabla4[[#This Row],[Precio Unitario Neto]]-Tabla4[[#This Row],[20.85%]]</f>
        <v>5887.1412241999997</v>
      </c>
      <c r="M3323" s="282" t="e">
        <f>(INDEX(Tabla6[#All],MATCH(Tabla4[[#This Row],[Producto]],Tabla6[[#All],[PRODUCTO]],0),MATCH(Tabla4[[#This Row],[Mes]],Tabla6[#Headers],0)))*(1+Catalogos!$L$2)</f>
        <v>#N/A</v>
      </c>
      <c r="N3323" s="283" t="e">
        <f>+(Tabla4[[#This Row],[Precio Descontado]]-Tabla4[[#This Row],[Precio Base]])*Tabla4[[#This Row],[Cantidad]]</f>
        <v>#N/A</v>
      </c>
      <c r="O3323" s="284" t="e">
        <f>++Tabla4[[#This Row],[Utilidad Total]]/Tabla4[[#This Row],[Total]]</f>
        <v>#N/A</v>
      </c>
      <c r="P3323" s="282">
        <f>++Tabla4[[#This Row],[Precio Descontado]]*Tabla4[[#This Row],[Cantidad]]</f>
        <v>11774.282448399999</v>
      </c>
      <c r="Q3323" s="282" t="e">
        <f>(INDEX(Tabla6[#All],MATCH(Tabla4[[#This Row],[Producto]],Tabla6[[#All],[PRODUCTO]],0),MATCH(Tabla4[[#This Row],[Mes]],Tabla6[#Headers],0)))</f>
        <v>#N/A</v>
      </c>
      <c r="R3323" s="282" t="e">
        <f>++Tabla4[[#This Row],[Precio Unitario Neto]]-Tabla4[[#This Row],[20.85%]]-Tabla4[[#This Row],[Costo]]</f>
        <v>#N/A</v>
      </c>
      <c r="S3323" s="282" t="e">
        <f>++Tabla4[[#This Row],[U. Bruta Uni]]*Tabla4[[#This Row],[Cantidad]]</f>
        <v>#N/A</v>
      </c>
      <c r="T3323" s="369" t="str">
        <f>VLOOKUP(Tabla4[[#This Row],[Producto]],Tabla6[#All],14,FALSE)</f>
        <v>Termico Solar</v>
      </c>
      <c r="U3323" s="284" t="e">
        <f>(IF(Tabla4[[#This Row],[Familia]]="termico solar",Tabla4[[#This Row],[Utilidad Total]]*6%,Tabla4[[#This Row],[Utilidad Total]]*11.5%))/Tabla4[[#This Row],[Total]]</f>
        <v>#N/A</v>
      </c>
      <c r="V3323" s="282" t="e">
        <f>+Tabla4[[#This Row],[Comisión Calculada]]*Tabla4[[#This Row],[Total]]</f>
        <v>#N/A</v>
      </c>
    </row>
    <row r="3324" spans="1:22" hidden="1" x14ac:dyDescent="0.25">
      <c r="A3324" s="100">
        <v>45823</v>
      </c>
      <c r="B3324" t="str">
        <f t="shared" si="160"/>
        <v>June</v>
      </c>
      <c r="C3324" s="46" t="s">
        <v>280</v>
      </c>
      <c r="F3324" s="366" t="s">
        <v>1992</v>
      </c>
      <c r="G3324" s="46" t="s">
        <v>566</v>
      </c>
      <c r="H3324" s="46">
        <v>1</v>
      </c>
      <c r="I3324" s="51">
        <v>2109.4499999999998</v>
      </c>
      <c r="J3324" s="281">
        <f>++Tabla4[[#This Row],[Precio Bruto]]*1.16</f>
        <v>2446.9619999999995</v>
      </c>
      <c r="K3324" s="281">
        <f>+Tabla4[[#This Row],[Precio Unitario Neto]]*Tabla4[[#Headers],[20.85%]]</f>
        <v>510.19157699999988</v>
      </c>
      <c r="L3324" s="282">
        <f>++Tabla4[[#This Row],[Precio Unitario Neto]]-Tabla4[[#This Row],[20.85%]]</f>
        <v>1936.7704229999997</v>
      </c>
      <c r="M3324" s="282" t="e">
        <f>(INDEX(Tabla6[#All],MATCH(Tabla4[[#This Row],[Producto]],Tabla6[[#All],[PRODUCTO]],0),MATCH(Tabla4[[#This Row],[Mes]],Tabla6[#Headers],0)))*(1+Catalogos!$L$2)</f>
        <v>#N/A</v>
      </c>
      <c r="N3324" s="283" t="e">
        <f>+(Tabla4[[#This Row],[Precio Descontado]]-Tabla4[[#This Row],[Precio Base]])*Tabla4[[#This Row],[Cantidad]]</f>
        <v>#N/A</v>
      </c>
      <c r="O3324" s="284" t="e">
        <f>++Tabla4[[#This Row],[Utilidad Total]]/Tabla4[[#This Row],[Total]]</f>
        <v>#N/A</v>
      </c>
      <c r="P3324" s="282">
        <f>++Tabla4[[#This Row],[Precio Descontado]]*Tabla4[[#This Row],[Cantidad]]</f>
        <v>1936.7704229999997</v>
      </c>
      <c r="Q3324" s="282" t="e">
        <f>(INDEX(Tabla6[#All],MATCH(Tabla4[[#This Row],[Producto]],Tabla6[[#All],[PRODUCTO]],0),MATCH(Tabla4[[#This Row],[Mes]],Tabla6[#Headers],0)))</f>
        <v>#N/A</v>
      </c>
      <c r="R3324" s="282" t="e">
        <f>++Tabla4[[#This Row],[Precio Unitario Neto]]-Tabla4[[#This Row],[20.85%]]-Tabla4[[#This Row],[Costo]]</f>
        <v>#N/A</v>
      </c>
      <c r="S3324" s="282" t="e">
        <f>++Tabla4[[#This Row],[U. Bruta Uni]]*Tabla4[[#This Row],[Cantidad]]</f>
        <v>#N/A</v>
      </c>
      <c r="T3324" s="369" t="str">
        <f>VLOOKUP(Tabla4[[#This Row],[Producto]],Tabla6[#All],14,FALSE)</f>
        <v>Termico Solar</v>
      </c>
      <c r="U3324" s="284" t="e">
        <f>(IF(Tabla4[[#This Row],[Familia]]="termico solar",Tabla4[[#This Row],[Utilidad Total]]*6%,Tabla4[[#This Row],[Utilidad Total]]*11.5%))/Tabla4[[#This Row],[Total]]</f>
        <v>#N/A</v>
      </c>
      <c r="V3324" s="282" t="e">
        <f>+Tabla4[[#This Row],[Comisión Calculada]]*Tabla4[[#This Row],[Total]]</f>
        <v>#N/A</v>
      </c>
    </row>
    <row r="3325" spans="1:22" hidden="1" x14ac:dyDescent="0.25">
      <c r="A3325" s="100">
        <v>45823</v>
      </c>
      <c r="B3325" t="str">
        <f t="shared" si="160"/>
        <v>June</v>
      </c>
      <c r="C3325" s="46" t="s">
        <v>280</v>
      </c>
      <c r="F3325" s="366" t="s">
        <v>1992</v>
      </c>
      <c r="G3325" s="46" t="s">
        <v>16</v>
      </c>
      <c r="H3325" s="46">
        <v>1</v>
      </c>
      <c r="I3325" s="51">
        <v>4103.8500000000004</v>
      </c>
      <c r="J3325" s="281">
        <f>++Tabla4[[#This Row],[Precio Bruto]]*1.16</f>
        <v>4760.4660000000003</v>
      </c>
      <c r="K3325" s="281">
        <f>+Tabla4[[#This Row],[Precio Unitario Neto]]*Tabla4[[#Headers],[20.85%]]</f>
        <v>992.55716100000006</v>
      </c>
      <c r="L3325" s="282">
        <f>++Tabla4[[#This Row],[Precio Unitario Neto]]-Tabla4[[#This Row],[20.85%]]</f>
        <v>3767.9088390000002</v>
      </c>
      <c r="M3325" s="282" t="e">
        <f>(INDEX(Tabla6[#All],MATCH(Tabla4[[#This Row],[Producto]],Tabla6[[#All],[PRODUCTO]],0),MATCH(Tabla4[[#This Row],[Mes]],Tabla6[#Headers],0)))*(1+Catalogos!$L$2)</f>
        <v>#N/A</v>
      </c>
      <c r="N3325" s="283" t="e">
        <f>+(Tabla4[[#This Row],[Precio Descontado]]-Tabla4[[#This Row],[Precio Base]])*Tabla4[[#This Row],[Cantidad]]</f>
        <v>#N/A</v>
      </c>
      <c r="O3325" s="284" t="e">
        <f>++Tabla4[[#This Row],[Utilidad Total]]/Tabla4[[#This Row],[Total]]</f>
        <v>#N/A</v>
      </c>
      <c r="P3325" s="282">
        <f>++Tabla4[[#This Row],[Precio Descontado]]*Tabla4[[#This Row],[Cantidad]]</f>
        <v>3767.9088390000002</v>
      </c>
      <c r="Q3325" s="282" t="e">
        <f>(INDEX(Tabla6[#All],MATCH(Tabla4[[#This Row],[Producto]],Tabla6[[#All],[PRODUCTO]],0),MATCH(Tabla4[[#This Row],[Mes]],Tabla6[#Headers],0)))</f>
        <v>#N/A</v>
      </c>
      <c r="R3325" s="282" t="e">
        <f>++Tabla4[[#This Row],[Precio Unitario Neto]]-Tabla4[[#This Row],[20.85%]]-Tabla4[[#This Row],[Costo]]</f>
        <v>#N/A</v>
      </c>
      <c r="S3325" s="282" t="e">
        <f>++Tabla4[[#This Row],[U. Bruta Uni]]*Tabla4[[#This Row],[Cantidad]]</f>
        <v>#N/A</v>
      </c>
      <c r="T3325" s="369" t="str">
        <f>VLOOKUP(Tabla4[[#This Row],[Producto]],Tabla6[#All],14,FALSE)</f>
        <v>Termico Solar</v>
      </c>
      <c r="U3325" s="284" t="e">
        <f>(IF(Tabla4[[#This Row],[Familia]]="termico solar",Tabla4[[#This Row],[Utilidad Total]]*6%,Tabla4[[#This Row],[Utilidad Total]]*11.5%))/Tabla4[[#This Row],[Total]]</f>
        <v>#N/A</v>
      </c>
      <c r="V3325" s="282" t="e">
        <f>+Tabla4[[#This Row],[Comisión Calculada]]*Tabla4[[#This Row],[Total]]</f>
        <v>#N/A</v>
      </c>
    </row>
    <row r="3326" spans="1:22" hidden="1" x14ac:dyDescent="0.25">
      <c r="A3326" s="100">
        <v>45823</v>
      </c>
      <c r="B3326" t="str">
        <f t="shared" si="160"/>
        <v>June</v>
      </c>
      <c r="C3326" s="46" t="s">
        <v>280</v>
      </c>
      <c r="F3326" s="366" t="s">
        <v>1993</v>
      </c>
      <c r="G3326" s="46" t="s">
        <v>17</v>
      </c>
      <c r="H3326" s="46">
        <v>2</v>
      </c>
      <c r="I3326" s="51">
        <v>4622.28</v>
      </c>
      <c r="J3326" s="281">
        <f>++Tabla4[[#This Row],[Precio Bruto]]*1.16</f>
        <v>5361.8447999999989</v>
      </c>
      <c r="K3326" s="281">
        <f>+Tabla4[[#This Row],[Precio Unitario Neto]]*Tabla4[[#Headers],[20.85%]]</f>
        <v>1117.9446407999997</v>
      </c>
      <c r="L3326" s="282">
        <f>++Tabla4[[#This Row],[Precio Unitario Neto]]-Tabla4[[#This Row],[20.85%]]</f>
        <v>4243.9001591999995</v>
      </c>
      <c r="M3326" s="282" t="e">
        <f>(INDEX(Tabla6[#All],MATCH(Tabla4[[#This Row],[Producto]],Tabla6[[#All],[PRODUCTO]],0),MATCH(Tabla4[[#This Row],[Mes]],Tabla6[#Headers],0)))*(1+Catalogos!$L$2)</f>
        <v>#N/A</v>
      </c>
      <c r="N3326" s="283" t="e">
        <f>+(Tabla4[[#This Row],[Precio Descontado]]-Tabla4[[#This Row],[Precio Base]])*Tabla4[[#This Row],[Cantidad]]</f>
        <v>#N/A</v>
      </c>
      <c r="O3326" s="284" t="e">
        <f>++Tabla4[[#This Row],[Utilidad Total]]/Tabla4[[#This Row],[Total]]</f>
        <v>#N/A</v>
      </c>
      <c r="P3326" s="282">
        <f>++Tabla4[[#This Row],[Precio Descontado]]*Tabla4[[#This Row],[Cantidad]]</f>
        <v>8487.800318399999</v>
      </c>
      <c r="Q3326" s="282" t="e">
        <f>(INDEX(Tabla6[#All],MATCH(Tabla4[[#This Row],[Producto]],Tabla6[[#All],[PRODUCTO]],0),MATCH(Tabla4[[#This Row],[Mes]],Tabla6[#Headers],0)))</f>
        <v>#N/A</v>
      </c>
      <c r="R3326" s="282" t="e">
        <f>++Tabla4[[#This Row],[Precio Unitario Neto]]-Tabla4[[#This Row],[20.85%]]-Tabla4[[#This Row],[Costo]]</f>
        <v>#N/A</v>
      </c>
      <c r="S3326" s="282" t="e">
        <f>++Tabla4[[#This Row],[U. Bruta Uni]]*Tabla4[[#This Row],[Cantidad]]</f>
        <v>#N/A</v>
      </c>
      <c r="T3326" s="369" t="str">
        <f>VLOOKUP(Tabla4[[#This Row],[Producto]],Tabla6[#All],14,FALSE)</f>
        <v>Termico Solar</v>
      </c>
      <c r="U3326" s="284" t="e">
        <f>(IF(Tabla4[[#This Row],[Familia]]="termico solar",Tabla4[[#This Row],[Utilidad Total]]*6%,Tabla4[[#This Row],[Utilidad Total]]*11.5%))/Tabla4[[#This Row],[Total]]</f>
        <v>#N/A</v>
      </c>
      <c r="V3326" s="282" t="e">
        <f>+Tabla4[[#This Row],[Comisión Calculada]]*Tabla4[[#This Row],[Total]]</f>
        <v>#N/A</v>
      </c>
    </row>
    <row r="3327" spans="1:22" hidden="1" x14ac:dyDescent="0.25">
      <c r="A3327" s="100">
        <v>45823</v>
      </c>
      <c r="B3327" t="str">
        <f t="shared" si="160"/>
        <v>June</v>
      </c>
      <c r="C3327" s="46" t="s">
        <v>280</v>
      </c>
      <c r="F3327" s="366" t="s">
        <v>1994</v>
      </c>
      <c r="G3327" s="46" t="s">
        <v>83</v>
      </c>
      <c r="H3327" s="46">
        <v>3</v>
      </c>
      <c r="I3327" s="51">
        <v>8858.76</v>
      </c>
      <c r="J3327" s="281">
        <f>++Tabla4[[#This Row],[Precio Bruto]]*1.16</f>
        <v>10276.161599999999</v>
      </c>
      <c r="K3327" s="281">
        <f>+Tabla4[[#This Row],[Precio Unitario Neto]]*Tabla4[[#Headers],[20.85%]]</f>
        <v>2142.5796935999997</v>
      </c>
      <c r="L3327" s="282">
        <f>++Tabla4[[#This Row],[Precio Unitario Neto]]-Tabla4[[#This Row],[20.85%]]</f>
        <v>8133.5819063999998</v>
      </c>
      <c r="M3327" s="282" t="e">
        <f>(INDEX(Tabla6[#All],MATCH(Tabla4[[#This Row],[Producto]],Tabla6[[#All],[PRODUCTO]],0),MATCH(Tabla4[[#This Row],[Mes]],Tabla6[#Headers],0)))*(1+Catalogos!$L$2)</f>
        <v>#N/A</v>
      </c>
      <c r="N3327" s="283" t="e">
        <f>+(Tabla4[[#This Row],[Precio Descontado]]-Tabla4[[#This Row],[Precio Base]])*Tabla4[[#This Row],[Cantidad]]</f>
        <v>#N/A</v>
      </c>
      <c r="O3327" s="284" t="e">
        <f>++Tabla4[[#This Row],[Utilidad Total]]/Tabla4[[#This Row],[Total]]</f>
        <v>#N/A</v>
      </c>
      <c r="P3327" s="282">
        <f>++Tabla4[[#This Row],[Precio Descontado]]*Tabla4[[#This Row],[Cantidad]]</f>
        <v>24400.7457192</v>
      </c>
      <c r="Q3327" s="282" t="e">
        <f>(INDEX(Tabla6[#All],MATCH(Tabla4[[#This Row],[Producto]],Tabla6[[#All],[PRODUCTO]],0),MATCH(Tabla4[[#This Row],[Mes]],Tabla6[#Headers],0)))</f>
        <v>#N/A</v>
      </c>
      <c r="R3327" s="282" t="e">
        <f>++Tabla4[[#This Row],[Precio Unitario Neto]]-Tabla4[[#This Row],[20.85%]]-Tabla4[[#This Row],[Costo]]</f>
        <v>#N/A</v>
      </c>
      <c r="S3327" s="282" t="e">
        <f>++Tabla4[[#This Row],[U. Bruta Uni]]*Tabla4[[#This Row],[Cantidad]]</f>
        <v>#N/A</v>
      </c>
      <c r="T3327" s="369" t="str">
        <f>VLOOKUP(Tabla4[[#This Row],[Producto]],Tabla6[#All],14,FALSE)</f>
        <v>Termico Solar</v>
      </c>
      <c r="U3327" s="284" t="e">
        <f>(IF(Tabla4[[#This Row],[Familia]]="termico solar",Tabla4[[#This Row],[Utilidad Total]]*6%,Tabla4[[#This Row],[Utilidad Total]]*11.5%))/Tabla4[[#This Row],[Total]]</f>
        <v>#N/A</v>
      </c>
      <c r="V3327" s="282" t="e">
        <f>+Tabla4[[#This Row],[Comisión Calculada]]*Tabla4[[#This Row],[Total]]</f>
        <v>#N/A</v>
      </c>
    </row>
    <row r="3328" spans="1:22" hidden="1" x14ac:dyDescent="0.25">
      <c r="A3328" s="100">
        <v>45823</v>
      </c>
      <c r="B3328" t="str">
        <f t="shared" si="160"/>
        <v>June</v>
      </c>
      <c r="C3328" s="46" t="s">
        <v>280</v>
      </c>
      <c r="F3328" s="366" t="s">
        <v>1994</v>
      </c>
      <c r="G3328" s="46" t="s">
        <v>566</v>
      </c>
      <c r="H3328" s="46">
        <v>2</v>
      </c>
      <c r="I3328" s="51">
        <v>2109.4499999999998</v>
      </c>
      <c r="J3328" s="281">
        <f>++Tabla4[[#This Row],[Precio Bruto]]*1.16</f>
        <v>2446.9619999999995</v>
      </c>
      <c r="K3328" s="281">
        <f>+Tabla4[[#This Row],[Precio Unitario Neto]]*Tabla4[[#Headers],[20.85%]]</f>
        <v>510.19157699999988</v>
      </c>
      <c r="L3328" s="282">
        <f>++Tabla4[[#This Row],[Precio Unitario Neto]]-Tabla4[[#This Row],[20.85%]]</f>
        <v>1936.7704229999997</v>
      </c>
      <c r="M3328" s="282" t="e">
        <f>(INDEX(Tabla6[#All],MATCH(Tabla4[[#This Row],[Producto]],Tabla6[[#All],[PRODUCTO]],0),MATCH(Tabla4[[#This Row],[Mes]],Tabla6[#Headers],0)))*(1+Catalogos!$L$2)</f>
        <v>#N/A</v>
      </c>
      <c r="N3328" s="283" t="e">
        <f>+(Tabla4[[#This Row],[Precio Descontado]]-Tabla4[[#This Row],[Precio Base]])*Tabla4[[#This Row],[Cantidad]]</f>
        <v>#N/A</v>
      </c>
      <c r="O3328" s="284" t="e">
        <f>++Tabla4[[#This Row],[Utilidad Total]]/Tabla4[[#This Row],[Total]]</f>
        <v>#N/A</v>
      </c>
      <c r="P3328" s="282">
        <f>++Tabla4[[#This Row],[Precio Descontado]]*Tabla4[[#This Row],[Cantidad]]</f>
        <v>3873.5408459999994</v>
      </c>
      <c r="Q3328" s="282" t="e">
        <f>(INDEX(Tabla6[#All],MATCH(Tabla4[[#This Row],[Producto]],Tabla6[[#All],[PRODUCTO]],0),MATCH(Tabla4[[#This Row],[Mes]],Tabla6[#Headers],0)))</f>
        <v>#N/A</v>
      </c>
      <c r="R3328" s="282" t="e">
        <f>++Tabla4[[#This Row],[Precio Unitario Neto]]-Tabla4[[#This Row],[20.85%]]-Tabla4[[#This Row],[Costo]]</f>
        <v>#N/A</v>
      </c>
      <c r="S3328" s="282" t="e">
        <f>++Tabla4[[#This Row],[U. Bruta Uni]]*Tabla4[[#This Row],[Cantidad]]</f>
        <v>#N/A</v>
      </c>
      <c r="T3328" s="369" t="str">
        <f>VLOOKUP(Tabla4[[#This Row],[Producto]],Tabla6[#All],14,FALSE)</f>
        <v>Termico Solar</v>
      </c>
      <c r="U3328" s="284" t="e">
        <f>(IF(Tabla4[[#This Row],[Familia]]="termico solar",Tabla4[[#This Row],[Utilidad Total]]*6%,Tabla4[[#This Row],[Utilidad Total]]*11.5%))/Tabla4[[#This Row],[Total]]</f>
        <v>#N/A</v>
      </c>
      <c r="V3328" s="282" t="e">
        <f>+Tabla4[[#This Row],[Comisión Calculada]]*Tabla4[[#This Row],[Total]]</f>
        <v>#N/A</v>
      </c>
    </row>
    <row r="3329" spans="1:22" hidden="1" x14ac:dyDescent="0.25">
      <c r="A3329" s="100">
        <v>45823</v>
      </c>
      <c r="B3329" t="str">
        <f t="shared" si="160"/>
        <v>June</v>
      </c>
      <c r="C3329" s="46" t="s">
        <v>280</v>
      </c>
      <c r="F3329" s="366" t="s">
        <v>1995</v>
      </c>
      <c r="G3329" s="46" t="s">
        <v>83</v>
      </c>
      <c r="H3329" s="46">
        <v>4</v>
      </c>
      <c r="I3329" s="51">
        <v>8858.76</v>
      </c>
      <c r="J3329" s="281">
        <f>++Tabla4[[#This Row],[Precio Bruto]]*1.16</f>
        <v>10276.161599999999</v>
      </c>
      <c r="K3329" s="281">
        <f>+Tabla4[[#This Row],[Precio Unitario Neto]]*Tabla4[[#Headers],[20.85%]]</f>
        <v>2142.5796935999997</v>
      </c>
      <c r="L3329" s="282">
        <f>++Tabla4[[#This Row],[Precio Unitario Neto]]-Tabla4[[#This Row],[20.85%]]</f>
        <v>8133.5819063999998</v>
      </c>
      <c r="M3329" s="282" t="e">
        <f>(INDEX(Tabla6[#All],MATCH(Tabla4[[#This Row],[Producto]],Tabla6[[#All],[PRODUCTO]],0),MATCH(Tabla4[[#This Row],[Mes]],Tabla6[#Headers],0)))*(1+Catalogos!$L$2)</f>
        <v>#N/A</v>
      </c>
      <c r="N3329" s="283" t="e">
        <f>+(Tabla4[[#This Row],[Precio Descontado]]-Tabla4[[#This Row],[Precio Base]])*Tabla4[[#This Row],[Cantidad]]</f>
        <v>#N/A</v>
      </c>
      <c r="O3329" s="284" t="e">
        <f>++Tabla4[[#This Row],[Utilidad Total]]/Tabla4[[#This Row],[Total]]</f>
        <v>#N/A</v>
      </c>
      <c r="P3329" s="282">
        <f>++Tabla4[[#This Row],[Precio Descontado]]*Tabla4[[#This Row],[Cantidad]]</f>
        <v>32534.327625599999</v>
      </c>
      <c r="Q3329" s="282" t="e">
        <f>(INDEX(Tabla6[#All],MATCH(Tabla4[[#This Row],[Producto]],Tabla6[[#All],[PRODUCTO]],0),MATCH(Tabla4[[#This Row],[Mes]],Tabla6[#Headers],0)))</f>
        <v>#N/A</v>
      </c>
      <c r="R3329" s="282" t="e">
        <f>++Tabla4[[#This Row],[Precio Unitario Neto]]-Tabla4[[#This Row],[20.85%]]-Tabla4[[#This Row],[Costo]]</f>
        <v>#N/A</v>
      </c>
      <c r="S3329" s="282" t="e">
        <f>++Tabla4[[#This Row],[U. Bruta Uni]]*Tabla4[[#This Row],[Cantidad]]</f>
        <v>#N/A</v>
      </c>
      <c r="T3329" s="369" t="str">
        <f>VLOOKUP(Tabla4[[#This Row],[Producto]],Tabla6[#All],14,FALSE)</f>
        <v>Termico Solar</v>
      </c>
      <c r="U3329" s="284" t="e">
        <f>(IF(Tabla4[[#This Row],[Familia]]="termico solar",Tabla4[[#This Row],[Utilidad Total]]*6%,Tabla4[[#This Row],[Utilidad Total]]*11.5%))/Tabla4[[#This Row],[Total]]</f>
        <v>#N/A</v>
      </c>
      <c r="V3329" s="282" t="e">
        <f>+Tabla4[[#This Row],[Comisión Calculada]]*Tabla4[[#This Row],[Total]]</f>
        <v>#N/A</v>
      </c>
    </row>
    <row r="3330" spans="1:22" hidden="1" x14ac:dyDescent="0.25">
      <c r="A3330" s="100">
        <v>45823</v>
      </c>
      <c r="B3330" t="str">
        <f t="shared" si="160"/>
        <v>June</v>
      </c>
      <c r="C3330" s="46" t="s">
        <v>280</v>
      </c>
      <c r="F3330" s="366" t="s">
        <v>1995</v>
      </c>
      <c r="G3330" s="46" t="s">
        <v>18</v>
      </c>
      <c r="H3330" s="46">
        <v>1</v>
      </c>
      <c r="I3330" s="51">
        <v>5367.65</v>
      </c>
      <c r="J3330" s="281">
        <f>++Tabla4[[#This Row],[Precio Bruto]]*1.16</f>
        <v>6226.4739999999993</v>
      </c>
      <c r="K3330" s="281">
        <f>+Tabla4[[#This Row],[Precio Unitario Neto]]*Tabla4[[#Headers],[20.85%]]</f>
        <v>1298.2198289999999</v>
      </c>
      <c r="L3330" s="282">
        <f>++Tabla4[[#This Row],[Precio Unitario Neto]]-Tabla4[[#This Row],[20.85%]]</f>
        <v>4928.2541709999996</v>
      </c>
      <c r="M3330" s="282" t="e">
        <f>(INDEX(Tabla6[#All],MATCH(Tabla4[[#This Row],[Producto]],Tabla6[[#All],[PRODUCTO]],0),MATCH(Tabla4[[#This Row],[Mes]],Tabla6[#Headers],0)))*(1+Catalogos!$L$2)</f>
        <v>#N/A</v>
      </c>
      <c r="N3330" s="283" t="e">
        <f>+(Tabla4[[#This Row],[Precio Descontado]]-Tabla4[[#This Row],[Precio Base]])*Tabla4[[#This Row],[Cantidad]]</f>
        <v>#N/A</v>
      </c>
      <c r="O3330" s="284" t="e">
        <f>++Tabla4[[#This Row],[Utilidad Total]]/Tabla4[[#This Row],[Total]]</f>
        <v>#N/A</v>
      </c>
      <c r="P3330" s="282">
        <f>++Tabla4[[#This Row],[Precio Descontado]]*Tabla4[[#This Row],[Cantidad]]</f>
        <v>4928.2541709999996</v>
      </c>
      <c r="Q3330" s="282" t="e">
        <f>(INDEX(Tabla6[#All],MATCH(Tabla4[[#This Row],[Producto]],Tabla6[[#All],[PRODUCTO]],0),MATCH(Tabla4[[#This Row],[Mes]],Tabla6[#Headers],0)))</f>
        <v>#N/A</v>
      </c>
      <c r="R3330" s="282" t="e">
        <f>++Tabla4[[#This Row],[Precio Unitario Neto]]-Tabla4[[#This Row],[20.85%]]-Tabla4[[#This Row],[Costo]]</f>
        <v>#N/A</v>
      </c>
      <c r="S3330" s="282" t="e">
        <f>++Tabla4[[#This Row],[U. Bruta Uni]]*Tabla4[[#This Row],[Cantidad]]</f>
        <v>#N/A</v>
      </c>
      <c r="T3330" s="369" t="str">
        <f>VLOOKUP(Tabla4[[#This Row],[Producto]],Tabla6[#All],14,FALSE)</f>
        <v>Termico Solar</v>
      </c>
      <c r="U3330" s="284" t="e">
        <f>(IF(Tabla4[[#This Row],[Familia]]="termico solar",Tabla4[[#This Row],[Utilidad Total]]*6%,Tabla4[[#This Row],[Utilidad Total]]*11.5%))/Tabla4[[#This Row],[Total]]</f>
        <v>#N/A</v>
      </c>
      <c r="V3330" s="282" t="e">
        <f>+Tabla4[[#This Row],[Comisión Calculada]]*Tabla4[[#This Row],[Total]]</f>
        <v>#N/A</v>
      </c>
    </row>
    <row r="3331" spans="1:22" hidden="1" x14ac:dyDescent="0.25">
      <c r="A3331" s="100">
        <v>45823</v>
      </c>
      <c r="B3331" t="str">
        <f t="shared" si="160"/>
        <v>June</v>
      </c>
      <c r="C3331" s="46" t="s">
        <v>280</v>
      </c>
      <c r="F3331" s="366" t="s">
        <v>1995</v>
      </c>
      <c r="G3331" s="46" t="s">
        <v>566</v>
      </c>
      <c r="H3331" s="46">
        <v>1</v>
      </c>
      <c r="I3331" s="51">
        <v>2109.4499999999998</v>
      </c>
      <c r="J3331" s="281">
        <f>++Tabla4[[#This Row],[Precio Bruto]]*1.16</f>
        <v>2446.9619999999995</v>
      </c>
      <c r="K3331" s="281">
        <f>+Tabla4[[#This Row],[Precio Unitario Neto]]*Tabla4[[#Headers],[20.85%]]</f>
        <v>510.19157699999988</v>
      </c>
      <c r="L3331" s="282">
        <f>++Tabla4[[#This Row],[Precio Unitario Neto]]-Tabla4[[#This Row],[20.85%]]</f>
        <v>1936.7704229999997</v>
      </c>
      <c r="M3331" s="282" t="e">
        <f>(INDEX(Tabla6[#All],MATCH(Tabla4[[#This Row],[Producto]],Tabla6[[#All],[PRODUCTO]],0),MATCH(Tabla4[[#This Row],[Mes]],Tabla6[#Headers],0)))*(1+Catalogos!$L$2)</f>
        <v>#N/A</v>
      </c>
      <c r="N3331" s="283" t="e">
        <f>+(Tabla4[[#This Row],[Precio Descontado]]-Tabla4[[#This Row],[Precio Base]])*Tabla4[[#This Row],[Cantidad]]</f>
        <v>#N/A</v>
      </c>
      <c r="O3331" s="284" t="e">
        <f>++Tabla4[[#This Row],[Utilidad Total]]/Tabla4[[#This Row],[Total]]</f>
        <v>#N/A</v>
      </c>
      <c r="P3331" s="282">
        <f>++Tabla4[[#This Row],[Precio Descontado]]*Tabla4[[#This Row],[Cantidad]]</f>
        <v>1936.7704229999997</v>
      </c>
      <c r="Q3331" s="282" t="e">
        <f>(INDEX(Tabla6[#All],MATCH(Tabla4[[#This Row],[Producto]],Tabla6[[#All],[PRODUCTO]],0),MATCH(Tabla4[[#This Row],[Mes]],Tabla6[#Headers],0)))</f>
        <v>#N/A</v>
      </c>
      <c r="R3331" s="282" t="e">
        <f>++Tabla4[[#This Row],[Precio Unitario Neto]]-Tabla4[[#This Row],[20.85%]]-Tabla4[[#This Row],[Costo]]</f>
        <v>#N/A</v>
      </c>
      <c r="S3331" s="282" t="e">
        <f>++Tabla4[[#This Row],[U. Bruta Uni]]*Tabla4[[#This Row],[Cantidad]]</f>
        <v>#N/A</v>
      </c>
      <c r="T3331" s="369" t="str">
        <f>VLOOKUP(Tabla4[[#This Row],[Producto]],Tabla6[#All],14,FALSE)</f>
        <v>Termico Solar</v>
      </c>
      <c r="U3331" s="284" t="e">
        <f>(IF(Tabla4[[#This Row],[Familia]]="termico solar",Tabla4[[#This Row],[Utilidad Total]]*6%,Tabla4[[#This Row],[Utilidad Total]]*11.5%))/Tabla4[[#This Row],[Total]]</f>
        <v>#N/A</v>
      </c>
      <c r="V3331" s="282" t="e">
        <f>+Tabla4[[#This Row],[Comisión Calculada]]*Tabla4[[#This Row],[Total]]</f>
        <v>#N/A</v>
      </c>
    </row>
    <row r="3332" spans="1:22" hidden="1" x14ac:dyDescent="0.25">
      <c r="A3332" s="100">
        <v>45823</v>
      </c>
      <c r="B3332" t="str">
        <f t="shared" si="160"/>
        <v>June</v>
      </c>
      <c r="C3332" s="46" t="s">
        <v>280</v>
      </c>
      <c r="F3332" s="366" t="s">
        <v>1996</v>
      </c>
      <c r="G3332" s="46" t="s">
        <v>83</v>
      </c>
      <c r="H3332" s="46">
        <v>3</v>
      </c>
      <c r="I3332" s="51">
        <v>8858.76</v>
      </c>
      <c r="J3332" s="281">
        <f>++Tabla4[[#This Row],[Precio Bruto]]*1.16</f>
        <v>10276.161599999999</v>
      </c>
      <c r="K3332" s="281">
        <f>+Tabla4[[#This Row],[Precio Unitario Neto]]*Tabla4[[#Headers],[20.85%]]</f>
        <v>2142.5796935999997</v>
      </c>
      <c r="L3332" s="282">
        <f>++Tabla4[[#This Row],[Precio Unitario Neto]]-Tabla4[[#This Row],[20.85%]]</f>
        <v>8133.5819063999998</v>
      </c>
      <c r="M3332" s="282" t="e">
        <f>(INDEX(Tabla6[#All],MATCH(Tabla4[[#This Row],[Producto]],Tabla6[[#All],[PRODUCTO]],0),MATCH(Tabla4[[#This Row],[Mes]],Tabla6[#Headers],0)))*(1+Catalogos!$L$2)</f>
        <v>#N/A</v>
      </c>
      <c r="N3332" s="283" t="e">
        <f>+(Tabla4[[#This Row],[Precio Descontado]]-Tabla4[[#This Row],[Precio Base]])*Tabla4[[#This Row],[Cantidad]]</f>
        <v>#N/A</v>
      </c>
      <c r="O3332" s="284" t="e">
        <f>++Tabla4[[#This Row],[Utilidad Total]]/Tabla4[[#This Row],[Total]]</f>
        <v>#N/A</v>
      </c>
      <c r="P3332" s="282">
        <f>++Tabla4[[#This Row],[Precio Descontado]]*Tabla4[[#This Row],[Cantidad]]</f>
        <v>24400.7457192</v>
      </c>
      <c r="Q3332" s="282" t="e">
        <f>(INDEX(Tabla6[#All],MATCH(Tabla4[[#This Row],[Producto]],Tabla6[[#All],[PRODUCTO]],0),MATCH(Tabla4[[#This Row],[Mes]],Tabla6[#Headers],0)))</f>
        <v>#N/A</v>
      </c>
      <c r="R3332" s="282" t="e">
        <f>++Tabla4[[#This Row],[Precio Unitario Neto]]-Tabla4[[#This Row],[20.85%]]-Tabla4[[#This Row],[Costo]]</f>
        <v>#N/A</v>
      </c>
      <c r="S3332" s="282" t="e">
        <f>++Tabla4[[#This Row],[U. Bruta Uni]]*Tabla4[[#This Row],[Cantidad]]</f>
        <v>#N/A</v>
      </c>
      <c r="T3332" s="369" t="str">
        <f>VLOOKUP(Tabla4[[#This Row],[Producto]],Tabla6[#All],14,FALSE)</f>
        <v>Termico Solar</v>
      </c>
      <c r="U3332" s="284" t="e">
        <f>(IF(Tabla4[[#This Row],[Familia]]="termico solar",Tabla4[[#This Row],[Utilidad Total]]*6%,Tabla4[[#This Row],[Utilidad Total]]*11.5%))/Tabla4[[#This Row],[Total]]</f>
        <v>#N/A</v>
      </c>
      <c r="V3332" s="282" t="e">
        <f>+Tabla4[[#This Row],[Comisión Calculada]]*Tabla4[[#This Row],[Total]]</f>
        <v>#N/A</v>
      </c>
    </row>
    <row r="3333" spans="1:22" hidden="1" x14ac:dyDescent="0.25">
      <c r="A3333" s="100">
        <v>45823</v>
      </c>
      <c r="B3333" t="str">
        <f t="shared" si="160"/>
        <v>June</v>
      </c>
      <c r="C3333" s="46" t="s">
        <v>280</v>
      </c>
      <c r="F3333" s="366" t="s">
        <v>1996</v>
      </c>
      <c r="G3333" s="46" t="s">
        <v>18</v>
      </c>
      <c r="H3333" s="46">
        <v>4</v>
      </c>
      <c r="I3333" s="51">
        <v>5367.65</v>
      </c>
      <c r="J3333" s="281">
        <f>++Tabla4[[#This Row],[Precio Bruto]]*1.16</f>
        <v>6226.4739999999993</v>
      </c>
      <c r="K3333" s="281">
        <f>+Tabla4[[#This Row],[Precio Unitario Neto]]*Tabla4[[#Headers],[20.85%]]</f>
        <v>1298.2198289999999</v>
      </c>
      <c r="L3333" s="282">
        <f>++Tabla4[[#This Row],[Precio Unitario Neto]]-Tabla4[[#This Row],[20.85%]]</f>
        <v>4928.2541709999996</v>
      </c>
      <c r="M3333" s="282" t="e">
        <f>(INDEX(Tabla6[#All],MATCH(Tabla4[[#This Row],[Producto]],Tabla6[[#All],[PRODUCTO]],0),MATCH(Tabla4[[#This Row],[Mes]],Tabla6[#Headers],0)))*(1+Catalogos!$L$2)</f>
        <v>#N/A</v>
      </c>
      <c r="N3333" s="283" t="e">
        <f>+(Tabla4[[#This Row],[Precio Descontado]]-Tabla4[[#This Row],[Precio Base]])*Tabla4[[#This Row],[Cantidad]]</f>
        <v>#N/A</v>
      </c>
      <c r="O3333" s="284" t="e">
        <f>++Tabla4[[#This Row],[Utilidad Total]]/Tabla4[[#This Row],[Total]]</f>
        <v>#N/A</v>
      </c>
      <c r="P3333" s="282">
        <f>++Tabla4[[#This Row],[Precio Descontado]]*Tabla4[[#This Row],[Cantidad]]</f>
        <v>19713.016683999998</v>
      </c>
      <c r="Q3333" s="282" t="e">
        <f>(INDEX(Tabla6[#All],MATCH(Tabla4[[#This Row],[Producto]],Tabla6[[#All],[PRODUCTO]],0),MATCH(Tabla4[[#This Row],[Mes]],Tabla6[#Headers],0)))</f>
        <v>#N/A</v>
      </c>
      <c r="R3333" s="282" t="e">
        <f>++Tabla4[[#This Row],[Precio Unitario Neto]]-Tabla4[[#This Row],[20.85%]]-Tabla4[[#This Row],[Costo]]</f>
        <v>#N/A</v>
      </c>
      <c r="S3333" s="282" t="e">
        <f>++Tabla4[[#This Row],[U. Bruta Uni]]*Tabla4[[#This Row],[Cantidad]]</f>
        <v>#N/A</v>
      </c>
      <c r="T3333" s="369" t="str">
        <f>VLOOKUP(Tabla4[[#This Row],[Producto]],Tabla6[#All],14,FALSE)</f>
        <v>Termico Solar</v>
      </c>
      <c r="U3333" s="284" t="e">
        <f>(IF(Tabla4[[#This Row],[Familia]]="termico solar",Tabla4[[#This Row],[Utilidad Total]]*6%,Tabla4[[#This Row],[Utilidad Total]]*11.5%))/Tabla4[[#This Row],[Total]]</f>
        <v>#N/A</v>
      </c>
      <c r="V3333" s="282" t="e">
        <f>+Tabla4[[#This Row],[Comisión Calculada]]*Tabla4[[#This Row],[Total]]</f>
        <v>#N/A</v>
      </c>
    </row>
    <row r="3334" spans="1:22" hidden="1" x14ac:dyDescent="0.25">
      <c r="A3334" s="100">
        <v>45823</v>
      </c>
      <c r="B3334" t="str">
        <f t="shared" si="160"/>
        <v>June</v>
      </c>
      <c r="C3334" s="46" t="s">
        <v>280</v>
      </c>
      <c r="F3334" s="366" t="s">
        <v>1996</v>
      </c>
      <c r="G3334" s="46" t="s">
        <v>16</v>
      </c>
      <c r="H3334" s="46">
        <v>1</v>
      </c>
      <c r="I3334" s="51">
        <v>4103.8500000000004</v>
      </c>
      <c r="J3334" s="281">
        <f>++Tabla4[[#This Row],[Precio Bruto]]*1.16</f>
        <v>4760.4660000000003</v>
      </c>
      <c r="K3334" s="281">
        <f>+Tabla4[[#This Row],[Precio Unitario Neto]]*Tabla4[[#Headers],[20.85%]]</f>
        <v>992.55716100000006</v>
      </c>
      <c r="L3334" s="282">
        <f>++Tabla4[[#This Row],[Precio Unitario Neto]]-Tabla4[[#This Row],[20.85%]]</f>
        <v>3767.9088390000002</v>
      </c>
      <c r="M3334" s="282" t="e">
        <f>(INDEX(Tabla6[#All],MATCH(Tabla4[[#This Row],[Producto]],Tabla6[[#All],[PRODUCTO]],0),MATCH(Tabla4[[#This Row],[Mes]],Tabla6[#Headers],0)))*(1+Catalogos!$L$2)</f>
        <v>#N/A</v>
      </c>
      <c r="N3334" s="283" t="e">
        <f>+(Tabla4[[#This Row],[Precio Descontado]]-Tabla4[[#This Row],[Precio Base]])*Tabla4[[#This Row],[Cantidad]]</f>
        <v>#N/A</v>
      </c>
      <c r="O3334" s="284" t="e">
        <f>++Tabla4[[#This Row],[Utilidad Total]]/Tabla4[[#This Row],[Total]]</f>
        <v>#N/A</v>
      </c>
      <c r="P3334" s="282">
        <f>++Tabla4[[#This Row],[Precio Descontado]]*Tabla4[[#This Row],[Cantidad]]</f>
        <v>3767.9088390000002</v>
      </c>
      <c r="Q3334" s="282" t="e">
        <f>(INDEX(Tabla6[#All],MATCH(Tabla4[[#This Row],[Producto]],Tabla6[[#All],[PRODUCTO]],0),MATCH(Tabla4[[#This Row],[Mes]],Tabla6[#Headers],0)))</f>
        <v>#N/A</v>
      </c>
      <c r="R3334" s="282" t="e">
        <f>++Tabla4[[#This Row],[Precio Unitario Neto]]-Tabla4[[#This Row],[20.85%]]-Tabla4[[#This Row],[Costo]]</f>
        <v>#N/A</v>
      </c>
      <c r="S3334" s="282" t="e">
        <f>++Tabla4[[#This Row],[U. Bruta Uni]]*Tabla4[[#This Row],[Cantidad]]</f>
        <v>#N/A</v>
      </c>
      <c r="T3334" s="369" t="str">
        <f>VLOOKUP(Tabla4[[#This Row],[Producto]],Tabla6[#All],14,FALSE)</f>
        <v>Termico Solar</v>
      </c>
      <c r="U3334" s="284" t="e">
        <f>(IF(Tabla4[[#This Row],[Familia]]="termico solar",Tabla4[[#This Row],[Utilidad Total]]*6%,Tabla4[[#This Row],[Utilidad Total]]*11.5%))/Tabla4[[#This Row],[Total]]</f>
        <v>#N/A</v>
      </c>
      <c r="V3334" s="282" t="e">
        <f>+Tabla4[[#This Row],[Comisión Calculada]]*Tabla4[[#This Row],[Total]]</f>
        <v>#N/A</v>
      </c>
    </row>
    <row r="3335" spans="1:22" hidden="1" x14ac:dyDescent="0.25">
      <c r="A3335" s="100">
        <v>45823</v>
      </c>
      <c r="B3335" t="str">
        <f t="shared" si="160"/>
        <v>June</v>
      </c>
      <c r="C3335" s="46" t="s">
        <v>280</v>
      </c>
      <c r="F3335" s="366" t="s">
        <v>1996</v>
      </c>
      <c r="G3335" s="46" t="s">
        <v>208</v>
      </c>
      <c r="H3335" s="46">
        <v>1</v>
      </c>
      <c r="I3335" s="51">
        <v>189.75</v>
      </c>
      <c r="J3335" s="281">
        <f>++Tabla4[[#This Row],[Precio Bruto]]*1.16</f>
        <v>220.10999999999999</v>
      </c>
      <c r="K3335" s="281">
        <f>+Tabla4[[#This Row],[Precio Unitario Neto]]*Tabla4[[#Headers],[20.85%]]</f>
        <v>45.892934999999994</v>
      </c>
      <c r="L3335" s="282">
        <f>++Tabla4[[#This Row],[Precio Unitario Neto]]-Tabla4[[#This Row],[20.85%]]</f>
        <v>174.21706499999999</v>
      </c>
      <c r="M3335" s="282" t="e">
        <f>(INDEX(Tabla6[#All],MATCH(Tabla4[[#This Row],[Producto]],Tabla6[[#All],[PRODUCTO]],0),MATCH(Tabla4[[#This Row],[Mes]],Tabla6[#Headers],0)))*(1+Catalogos!$L$2)</f>
        <v>#N/A</v>
      </c>
      <c r="N3335" s="283" t="e">
        <f>+(Tabla4[[#This Row],[Precio Descontado]]-Tabla4[[#This Row],[Precio Base]])*Tabla4[[#This Row],[Cantidad]]</f>
        <v>#N/A</v>
      </c>
      <c r="O3335" s="284" t="e">
        <f>++Tabla4[[#This Row],[Utilidad Total]]/Tabla4[[#This Row],[Total]]</f>
        <v>#N/A</v>
      </c>
      <c r="P3335" s="282">
        <f>++Tabla4[[#This Row],[Precio Descontado]]*Tabla4[[#This Row],[Cantidad]]</f>
        <v>174.21706499999999</v>
      </c>
      <c r="Q3335" s="282" t="e">
        <f>(INDEX(Tabla6[#All],MATCH(Tabla4[[#This Row],[Producto]],Tabla6[[#All],[PRODUCTO]],0),MATCH(Tabla4[[#This Row],[Mes]],Tabla6[#Headers],0)))</f>
        <v>#N/A</v>
      </c>
      <c r="R3335" s="282" t="e">
        <f>++Tabla4[[#This Row],[Precio Unitario Neto]]-Tabla4[[#This Row],[20.85%]]-Tabla4[[#This Row],[Costo]]</f>
        <v>#N/A</v>
      </c>
      <c r="S3335" s="282" t="e">
        <f>++Tabla4[[#This Row],[U. Bruta Uni]]*Tabla4[[#This Row],[Cantidad]]</f>
        <v>#N/A</v>
      </c>
      <c r="T3335" s="369" t="str">
        <f>VLOOKUP(Tabla4[[#This Row],[Producto]],Tabla6[#All],14,FALSE)</f>
        <v>Termico Solar</v>
      </c>
      <c r="U3335" s="284" t="e">
        <f>(IF(Tabla4[[#This Row],[Familia]]="termico solar",Tabla4[[#This Row],[Utilidad Total]]*6%,Tabla4[[#This Row],[Utilidad Total]]*11.5%))/Tabla4[[#This Row],[Total]]</f>
        <v>#N/A</v>
      </c>
      <c r="V3335" s="282" t="e">
        <f>+Tabla4[[#This Row],[Comisión Calculada]]*Tabla4[[#This Row],[Total]]</f>
        <v>#N/A</v>
      </c>
    </row>
    <row r="3336" spans="1:22" hidden="1" x14ac:dyDescent="0.25">
      <c r="A3336" s="100">
        <v>45823</v>
      </c>
      <c r="B3336" t="str">
        <f t="shared" si="160"/>
        <v>June</v>
      </c>
      <c r="C3336" s="46" t="s">
        <v>280</v>
      </c>
      <c r="F3336" s="366" t="s">
        <v>1997</v>
      </c>
      <c r="G3336" s="46" t="s">
        <v>83</v>
      </c>
      <c r="H3336" s="46">
        <v>2</v>
      </c>
      <c r="I3336" s="51">
        <v>8858.76</v>
      </c>
      <c r="J3336" s="281">
        <f>++Tabla4[[#This Row],[Precio Bruto]]*1.16</f>
        <v>10276.161599999999</v>
      </c>
      <c r="K3336" s="281">
        <f>+Tabla4[[#This Row],[Precio Unitario Neto]]*Tabla4[[#Headers],[20.85%]]</f>
        <v>2142.5796935999997</v>
      </c>
      <c r="L3336" s="282">
        <f>++Tabla4[[#This Row],[Precio Unitario Neto]]-Tabla4[[#This Row],[20.85%]]</f>
        <v>8133.5819063999998</v>
      </c>
      <c r="M3336" s="282" t="e">
        <f>(INDEX(Tabla6[#All],MATCH(Tabla4[[#This Row],[Producto]],Tabla6[[#All],[PRODUCTO]],0),MATCH(Tabla4[[#This Row],[Mes]],Tabla6[#Headers],0)))*(1+Catalogos!$L$2)</f>
        <v>#N/A</v>
      </c>
      <c r="N3336" s="283" t="e">
        <f>+(Tabla4[[#This Row],[Precio Descontado]]-Tabla4[[#This Row],[Precio Base]])*Tabla4[[#This Row],[Cantidad]]</f>
        <v>#N/A</v>
      </c>
      <c r="O3336" s="284" t="e">
        <f>++Tabla4[[#This Row],[Utilidad Total]]/Tabla4[[#This Row],[Total]]</f>
        <v>#N/A</v>
      </c>
      <c r="P3336" s="282">
        <f>++Tabla4[[#This Row],[Precio Descontado]]*Tabla4[[#This Row],[Cantidad]]</f>
        <v>16267.1638128</v>
      </c>
      <c r="Q3336" s="282" t="e">
        <f>(INDEX(Tabla6[#All],MATCH(Tabla4[[#This Row],[Producto]],Tabla6[[#All],[PRODUCTO]],0),MATCH(Tabla4[[#This Row],[Mes]],Tabla6[#Headers],0)))</f>
        <v>#N/A</v>
      </c>
      <c r="R3336" s="282" t="e">
        <f>++Tabla4[[#This Row],[Precio Unitario Neto]]-Tabla4[[#This Row],[20.85%]]-Tabla4[[#This Row],[Costo]]</f>
        <v>#N/A</v>
      </c>
      <c r="S3336" s="282" t="e">
        <f>++Tabla4[[#This Row],[U. Bruta Uni]]*Tabla4[[#This Row],[Cantidad]]</f>
        <v>#N/A</v>
      </c>
      <c r="T3336" s="369" t="str">
        <f>VLOOKUP(Tabla4[[#This Row],[Producto]],Tabla6[#All],14,FALSE)</f>
        <v>Termico Solar</v>
      </c>
      <c r="U3336" s="284" t="e">
        <f>(IF(Tabla4[[#This Row],[Familia]]="termico solar",Tabla4[[#This Row],[Utilidad Total]]*6%,Tabla4[[#This Row],[Utilidad Total]]*11.5%))/Tabla4[[#This Row],[Total]]</f>
        <v>#N/A</v>
      </c>
      <c r="V3336" s="282" t="e">
        <f>+Tabla4[[#This Row],[Comisión Calculada]]*Tabla4[[#This Row],[Total]]</f>
        <v>#N/A</v>
      </c>
    </row>
    <row r="3337" spans="1:22" hidden="1" x14ac:dyDescent="0.25">
      <c r="A3337" s="100">
        <v>45823</v>
      </c>
      <c r="B3337" t="str">
        <f t="shared" si="160"/>
        <v>June</v>
      </c>
      <c r="C3337" s="46" t="s">
        <v>280</v>
      </c>
      <c r="F3337" s="366" t="s">
        <v>1997</v>
      </c>
      <c r="G3337" s="46" t="s">
        <v>17</v>
      </c>
      <c r="H3337" s="46">
        <v>1</v>
      </c>
      <c r="I3337" s="51">
        <v>4622.28</v>
      </c>
      <c r="J3337" s="281">
        <f>++Tabla4[[#This Row],[Precio Bruto]]*1.16</f>
        <v>5361.8447999999989</v>
      </c>
      <c r="K3337" s="281">
        <f>+Tabla4[[#This Row],[Precio Unitario Neto]]*Tabla4[[#Headers],[20.85%]]</f>
        <v>1117.9446407999997</v>
      </c>
      <c r="L3337" s="282">
        <f>++Tabla4[[#This Row],[Precio Unitario Neto]]-Tabla4[[#This Row],[20.85%]]</f>
        <v>4243.9001591999995</v>
      </c>
      <c r="M3337" s="282" t="e">
        <f>(INDEX(Tabla6[#All],MATCH(Tabla4[[#This Row],[Producto]],Tabla6[[#All],[PRODUCTO]],0),MATCH(Tabla4[[#This Row],[Mes]],Tabla6[#Headers],0)))*(1+Catalogos!$L$2)</f>
        <v>#N/A</v>
      </c>
      <c r="N3337" s="283" t="e">
        <f>+(Tabla4[[#This Row],[Precio Descontado]]-Tabla4[[#This Row],[Precio Base]])*Tabla4[[#This Row],[Cantidad]]</f>
        <v>#N/A</v>
      </c>
      <c r="O3337" s="284" t="e">
        <f>++Tabla4[[#This Row],[Utilidad Total]]/Tabla4[[#This Row],[Total]]</f>
        <v>#N/A</v>
      </c>
      <c r="P3337" s="282">
        <f>++Tabla4[[#This Row],[Precio Descontado]]*Tabla4[[#This Row],[Cantidad]]</f>
        <v>4243.9001591999995</v>
      </c>
      <c r="Q3337" s="282" t="e">
        <f>(INDEX(Tabla6[#All],MATCH(Tabla4[[#This Row],[Producto]],Tabla6[[#All],[PRODUCTO]],0),MATCH(Tabla4[[#This Row],[Mes]],Tabla6[#Headers],0)))</f>
        <v>#N/A</v>
      </c>
      <c r="R3337" s="282" t="e">
        <f>++Tabla4[[#This Row],[Precio Unitario Neto]]-Tabla4[[#This Row],[20.85%]]-Tabla4[[#This Row],[Costo]]</f>
        <v>#N/A</v>
      </c>
      <c r="S3337" s="282" t="e">
        <f>++Tabla4[[#This Row],[U. Bruta Uni]]*Tabla4[[#This Row],[Cantidad]]</f>
        <v>#N/A</v>
      </c>
      <c r="T3337" s="369" t="str">
        <f>VLOOKUP(Tabla4[[#This Row],[Producto]],Tabla6[#All],14,FALSE)</f>
        <v>Termico Solar</v>
      </c>
      <c r="U3337" s="284" t="e">
        <f>(IF(Tabla4[[#This Row],[Familia]]="termico solar",Tabla4[[#This Row],[Utilidad Total]]*6%,Tabla4[[#This Row],[Utilidad Total]]*11.5%))/Tabla4[[#This Row],[Total]]</f>
        <v>#N/A</v>
      </c>
      <c r="V3337" s="282" t="e">
        <f>+Tabla4[[#This Row],[Comisión Calculada]]*Tabla4[[#This Row],[Total]]</f>
        <v>#N/A</v>
      </c>
    </row>
    <row r="3338" spans="1:22" hidden="1" x14ac:dyDescent="0.25">
      <c r="A3338" s="100">
        <v>45823</v>
      </c>
      <c r="B3338" t="str">
        <f t="shared" si="160"/>
        <v>June</v>
      </c>
      <c r="C3338" s="46" t="s">
        <v>280</v>
      </c>
      <c r="F3338" s="366" t="s">
        <v>1997</v>
      </c>
      <c r="G3338" s="46" t="s">
        <v>18</v>
      </c>
      <c r="H3338" s="46">
        <v>3</v>
      </c>
      <c r="I3338" s="51">
        <v>5367.6500000000005</v>
      </c>
      <c r="J3338" s="281">
        <f>++Tabla4[[#This Row],[Precio Bruto]]*1.16</f>
        <v>6226.4740000000002</v>
      </c>
      <c r="K3338" s="281">
        <f>+Tabla4[[#This Row],[Precio Unitario Neto]]*Tabla4[[#Headers],[20.85%]]</f>
        <v>1298.2198289999999</v>
      </c>
      <c r="L3338" s="282">
        <f>++Tabla4[[#This Row],[Precio Unitario Neto]]-Tabla4[[#This Row],[20.85%]]</f>
        <v>4928.2541710000005</v>
      </c>
      <c r="M3338" s="282" t="e">
        <f>(INDEX(Tabla6[#All],MATCH(Tabla4[[#This Row],[Producto]],Tabla6[[#All],[PRODUCTO]],0),MATCH(Tabla4[[#This Row],[Mes]],Tabla6[#Headers],0)))*(1+Catalogos!$L$2)</f>
        <v>#N/A</v>
      </c>
      <c r="N3338" s="283" t="e">
        <f>+(Tabla4[[#This Row],[Precio Descontado]]-Tabla4[[#This Row],[Precio Base]])*Tabla4[[#This Row],[Cantidad]]</f>
        <v>#N/A</v>
      </c>
      <c r="O3338" s="284" t="e">
        <f>++Tabla4[[#This Row],[Utilidad Total]]/Tabla4[[#This Row],[Total]]</f>
        <v>#N/A</v>
      </c>
      <c r="P3338" s="282">
        <f>++Tabla4[[#This Row],[Precio Descontado]]*Tabla4[[#This Row],[Cantidad]]</f>
        <v>14784.762513000001</v>
      </c>
      <c r="Q3338" s="282" t="e">
        <f>(INDEX(Tabla6[#All],MATCH(Tabla4[[#This Row],[Producto]],Tabla6[[#All],[PRODUCTO]],0),MATCH(Tabla4[[#This Row],[Mes]],Tabla6[#Headers],0)))</f>
        <v>#N/A</v>
      </c>
      <c r="R3338" s="282" t="e">
        <f>++Tabla4[[#This Row],[Precio Unitario Neto]]-Tabla4[[#This Row],[20.85%]]-Tabla4[[#This Row],[Costo]]</f>
        <v>#N/A</v>
      </c>
      <c r="S3338" s="282" t="e">
        <f>++Tabla4[[#This Row],[U. Bruta Uni]]*Tabla4[[#This Row],[Cantidad]]</f>
        <v>#N/A</v>
      </c>
      <c r="T3338" s="369" t="str">
        <f>VLOOKUP(Tabla4[[#This Row],[Producto]],Tabla6[#All],14,FALSE)</f>
        <v>Termico Solar</v>
      </c>
      <c r="U3338" s="284" t="e">
        <f>(IF(Tabla4[[#This Row],[Familia]]="termico solar",Tabla4[[#This Row],[Utilidad Total]]*6%,Tabla4[[#This Row],[Utilidad Total]]*11.5%))/Tabla4[[#This Row],[Total]]</f>
        <v>#N/A</v>
      </c>
      <c r="V3338" s="282" t="e">
        <f>+Tabla4[[#This Row],[Comisión Calculada]]*Tabla4[[#This Row],[Total]]</f>
        <v>#N/A</v>
      </c>
    </row>
    <row r="3339" spans="1:22" hidden="1" x14ac:dyDescent="0.25">
      <c r="A3339" s="100">
        <v>45823</v>
      </c>
      <c r="B3339" t="str">
        <f t="shared" si="160"/>
        <v>June</v>
      </c>
      <c r="C3339" s="46" t="s">
        <v>280</v>
      </c>
      <c r="F3339" s="366" t="s">
        <v>1998</v>
      </c>
      <c r="G3339" s="46" t="s">
        <v>17</v>
      </c>
      <c r="H3339" s="46">
        <v>1</v>
      </c>
      <c r="I3339" s="51">
        <v>4622.28</v>
      </c>
      <c r="J3339" s="281">
        <f>++Tabla4[[#This Row],[Precio Bruto]]*1.16</f>
        <v>5361.8447999999989</v>
      </c>
      <c r="K3339" s="281">
        <f>+Tabla4[[#This Row],[Precio Unitario Neto]]*Tabla4[[#Headers],[20.85%]]</f>
        <v>1117.9446407999997</v>
      </c>
      <c r="L3339" s="282">
        <f>++Tabla4[[#This Row],[Precio Unitario Neto]]-Tabla4[[#This Row],[20.85%]]</f>
        <v>4243.9001591999995</v>
      </c>
      <c r="M3339" s="282" t="e">
        <f>(INDEX(Tabla6[#All],MATCH(Tabla4[[#This Row],[Producto]],Tabla6[[#All],[PRODUCTO]],0),MATCH(Tabla4[[#This Row],[Mes]],Tabla6[#Headers],0)))*(1+Catalogos!$L$2)</f>
        <v>#N/A</v>
      </c>
      <c r="N3339" s="283" t="e">
        <f>+(Tabla4[[#This Row],[Precio Descontado]]-Tabla4[[#This Row],[Precio Base]])*Tabla4[[#This Row],[Cantidad]]</f>
        <v>#N/A</v>
      </c>
      <c r="O3339" s="284" t="e">
        <f>++Tabla4[[#This Row],[Utilidad Total]]/Tabla4[[#This Row],[Total]]</f>
        <v>#N/A</v>
      </c>
      <c r="P3339" s="282">
        <f>++Tabla4[[#This Row],[Precio Descontado]]*Tabla4[[#This Row],[Cantidad]]</f>
        <v>4243.9001591999995</v>
      </c>
      <c r="Q3339" s="282" t="e">
        <f>(INDEX(Tabla6[#All],MATCH(Tabla4[[#This Row],[Producto]],Tabla6[[#All],[PRODUCTO]],0),MATCH(Tabla4[[#This Row],[Mes]],Tabla6[#Headers],0)))</f>
        <v>#N/A</v>
      </c>
      <c r="R3339" s="282" t="e">
        <f>++Tabla4[[#This Row],[Precio Unitario Neto]]-Tabla4[[#This Row],[20.85%]]-Tabla4[[#This Row],[Costo]]</f>
        <v>#N/A</v>
      </c>
      <c r="S3339" s="282" t="e">
        <f>++Tabla4[[#This Row],[U. Bruta Uni]]*Tabla4[[#This Row],[Cantidad]]</f>
        <v>#N/A</v>
      </c>
      <c r="T3339" s="369" t="str">
        <f>VLOOKUP(Tabla4[[#This Row],[Producto]],Tabla6[#All],14,FALSE)</f>
        <v>Termico Solar</v>
      </c>
      <c r="U3339" s="284" t="e">
        <f>(IF(Tabla4[[#This Row],[Familia]]="termico solar",Tabla4[[#This Row],[Utilidad Total]]*6%,Tabla4[[#This Row],[Utilidad Total]]*11.5%))/Tabla4[[#This Row],[Total]]</f>
        <v>#N/A</v>
      </c>
      <c r="V3339" s="282" t="e">
        <f>+Tabla4[[#This Row],[Comisión Calculada]]*Tabla4[[#This Row],[Total]]</f>
        <v>#N/A</v>
      </c>
    </row>
    <row r="3340" spans="1:22" hidden="1" x14ac:dyDescent="0.25">
      <c r="A3340" s="100">
        <v>45823</v>
      </c>
      <c r="B3340" t="str">
        <f t="shared" si="160"/>
        <v>June</v>
      </c>
      <c r="C3340" s="46" t="s">
        <v>280</v>
      </c>
      <c r="F3340" s="366" t="s">
        <v>1998</v>
      </c>
      <c r="G3340" s="46" t="s">
        <v>18</v>
      </c>
      <c r="H3340" s="46">
        <v>4</v>
      </c>
      <c r="I3340" s="51">
        <v>5367.65</v>
      </c>
      <c r="J3340" s="281">
        <f>++Tabla4[[#This Row],[Precio Bruto]]*1.16</f>
        <v>6226.4739999999993</v>
      </c>
      <c r="K3340" s="281">
        <f>+Tabla4[[#This Row],[Precio Unitario Neto]]*Tabla4[[#Headers],[20.85%]]</f>
        <v>1298.2198289999999</v>
      </c>
      <c r="L3340" s="282">
        <f>++Tabla4[[#This Row],[Precio Unitario Neto]]-Tabla4[[#This Row],[20.85%]]</f>
        <v>4928.2541709999996</v>
      </c>
      <c r="M3340" s="282" t="e">
        <f>(INDEX(Tabla6[#All],MATCH(Tabla4[[#This Row],[Producto]],Tabla6[[#All],[PRODUCTO]],0),MATCH(Tabla4[[#This Row],[Mes]],Tabla6[#Headers],0)))*(1+Catalogos!$L$2)</f>
        <v>#N/A</v>
      </c>
      <c r="N3340" s="283" t="e">
        <f>+(Tabla4[[#This Row],[Precio Descontado]]-Tabla4[[#This Row],[Precio Base]])*Tabla4[[#This Row],[Cantidad]]</f>
        <v>#N/A</v>
      </c>
      <c r="O3340" s="284" t="e">
        <f>++Tabla4[[#This Row],[Utilidad Total]]/Tabla4[[#This Row],[Total]]</f>
        <v>#N/A</v>
      </c>
      <c r="P3340" s="282">
        <f>++Tabla4[[#This Row],[Precio Descontado]]*Tabla4[[#This Row],[Cantidad]]</f>
        <v>19713.016683999998</v>
      </c>
      <c r="Q3340" s="282" t="e">
        <f>(INDEX(Tabla6[#All],MATCH(Tabla4[[#This Row],[Producto]],Tabla6[[#All],[PRODUCTO]],0),MATCH(Tabla4[[#This Row],[Mes]],Tabla6[#Headers],0)))</f>
        <v>#N/A</v>
      </c>
      <c r="R3340" s="282" t="e">
        <f>++Tabla4[[#This Row],[Precio Unitario Neto]]-Tabla4[[#This Row],[20.85%]]-Tabla4[[#This Row],[Costo]]</f>
        <v>#N/A</v>
      </c>
      <c r="S3340" s="282" t="e">
        <f>++Tabla4[[#This Row],[U. Bruta Uni]]*Tabla4[[#This Row],[Cantidad]]</f>
        <v>#N/A</v>
      </c>
      <c r="T3340" s="369" t="str">
        <f>VLOOKUP(Tabla4[[#This Row],[Producto]],Tabla6[#All],14,FALSE)</f>
        <v>Termico Solar</v>
      </c>
      <c r="U3340" s="284" t="e">
        <f>(IF(Tabla4[[#This Row],[Familia]]="termico solar",Tabla4[[#This Row],[Utilidad Total]]*6%,Tabla4[[#This Row],[Utilidad Total]]*11.5%))/Tabla4[[#This Row],[Total]]</f>
        <v>#N/A</v>
      </c>
      <c r="V3340" s="282" t="e">
        <f>+Tabla4[[#This Row],[Comisión Calculada]]*Tabla4[[#This Row],[Total]]</f>
        <v>#N/A</v>
      </c>
    </row>
    <row r="3341" spans="1:22" hidden="1" x14ac:dyDescent="0.25">
      <c r="A3341" s="100">
        <v>45823</v>
      </c>
      <c r="B3341" t="str">
        <f t="shared" si="160"/>
        <v>June</v>
      </c>
      <c r="C3341" s="46" t="s">
        <v>280</v>
      </c>
      <c r="F3341" s="366" t="s">
        <v>1998</v>
      </c>
      <c r="G3341" s="46" t="s">
        <v>394</v>
      </c>
      <c r="H3341" s="46">
        <v>16</v>
      </c>
      <c r="I3341" s="51">
        <v>224.29</v>
      </c>
      <c r="J3341" s="281">
        <f>++Tabla4[[#This Row],[Precio Bruto]]*1.16</f>
        <v>260.1764</v>
      </c>
      <c r="K3341" s="281">
        <f>+Tabla4[[#This Row],[Precio Unitario Neto]]*Tabla4[[#Headers],[20.85%]]</f>
        <v>54.246779400000001</v>
      </c>
      <c r="L3341" s="282">
        <f>++Tabla4[[#This Row],[Precio Unitario Neto]]-Tabla4[[#This Row],[20.85%]]</f>
        <v>205.92962059999999</v>
      </c>
      <c r="M3341" s="282" t="e">
        <f>(INDEX(Tabla6[#All],MATCH(Tabla4[[#This Row],[Producto]],Tabla6[[#All],[PRODUCTO]],0),MATCH(Tabla4[[#This Row],[Mes]],Tabla6[#Headers],0)))*(1+Catalogos!$L$2)</f>
        <v>#N/A</v>
      </c>
      <c r="N3341" s="283" t="e">
        <f>+(Tabla4[[#This Row],[Precio Descontado]]-Tabla4[[#This Row],[Precio Base]])*Tabla4[[#This Row],[Cantidad]]</f>
        <v>#N/A</v>
      </c>
      <c r="O3341" s="284" t="e">
        <f>++Tabla4[[#This Row],[Utilidad Total]]/Tabla4[[#This Row],[Total]]</f>
        <v>#N/A</v>
      </c>
      <c r="P3341" s="282">
        <f>++Tabla4[[#This Row],[Precio Descontado]]*Tabla4[[#This Row],[Cantidad]]</f>
        <v>3294.8739295999999</v>
      </c>
      <c r="Q3341" s="282" t="e">
        <f>(INDEX(Tabla6[#All],MATCH(Tabla4[[#This Row],[Producto]],Tabla6[[#All],[PRODUCTO]],0),MATCH(Tabla4[[#This Row],[Mes]],Tabla6[#Headers],0)))</f>
        <v>#N/A</v>
      </c>
      <c r="R3341" s="282" t="e">
        <f>++Tabla4[[#This Row],[Precio Unitario Neto]]-Tabla4[[#This Row],[20.85%]]-Tabla4[[#This Row],[Costo]]</f>
        <v>#N/A</v>
      </c>
      <c r="S3341" s="282" t="e">
        <f>++Tabla4[[#This Row],[U. Bruta Uni]]*Tabla4[[#This Row],[Cantidad]]</f>
        <v>#N/A</v>
      </c>
      <c r="T3341" s="369" t="str">
        <f>VLOOKUP(Tabla4[[#This Row],[Producto]],Tabla6[#All],14,FALSE)</f>
        <v>Termico Solar</v>
      </c>
      <c r="U3341" s="284" t="e">
        <f>(IF(Tabla4[[#This Row],[Familia]]="termico solar",Tabla4[[#This Row],[Utilidad Total]]*6%,Tabla4[[#This Row],[Utilidad Total]]*11.5%))/Tabla4[[#This Row],[Total]]</f>
        <v>#N/A</v>
      </c>
      <c r="V3341" s="282" t="e">
        <f>+Tabla4[[#This Row],[Comisión Calculada]]*Tabla4[[#This Row],[Total]]</f>
        <v>#N/A</v>
      </c>
    </row>
    <row r="3342" spans="1:22" hidden="1" x14ac:dyDescent="0.25">
      <c r="A3342" s="100">
        <v>45823</v>
      </c>
      <c r="B3342" t="str">
        <f t="shared" si="160"/>
        <v>June</v>
      </c>
      <c r="C3342" s="46" t="s">
        <v>280</v>
      </c>
      <c r="F3342" s="366" t="s">
        <v>1999</v>
      </c>
      <c r="G3342" s="46" t="s">
        <v>83</v>
      </c>
      <c r="H3342" s="46">
        <v>3</v>
      </c>
      <c r="I3342" s="51">
        <v>8858.76</v>
      </c>
      <c r="J3342" s="281">
        <f>++Tabla4[[#This Row],[Precio Bruto]]*1.16</f>
        <v>10276.161599999999</v>
      </c>
      <c r="K3342" s="281">
        <f>+Tabla4[[#This Row],[Precio Unitario Neto]]*Tabla4[[#Headers],[20.85%]]</f>
        <v>2142.5796935999997</v>
      </c>
      <c r="L3342" s="282">
        <f>++Tabla4[[#This Row],[Precio Unitario Neto]]-Tabla4[[#This Row],[20.85%]]</f>
        <v>8133.5819063999998</v>
      </c>
      <c r="M3342" s="282" t="e">
        <f>(INDEX(Tabla6[#All],MATCH(Tabla4[[#This Row],[Producto]],Tabla6[[#All],[PRODUCTO]],0),MATCH(Tabla4[[#This Row],[Mes]],Tabla6[#Headers],0)))*(1+Catalogos!$L$2)</f>
        <v>#N/A</v>
      </c>
      <c r="N3342" s="283" t="e">
        <f>+(Tabla4[[#This Row],[Precio Descontado]]-Tabla4[[#This Row],[Precio Base]])*Tabla4[[#This Row],[Cantidad]]</f>
        <v>#N/A</v>
      </c>
      <c r="O3342" s="284" t="e">
        <f>++Tabla4[[#This Row],[Utilidad Total]]/Tabla4[[#This Row],[Total]]</f>
        <v>#N/A</v>
      </c>
      <c r="P3342" s="282">
        <f>++Tabla4[[#This Row],[Precio Descontado]]*Tabla4[[#This Row],[Cantidad]]</f>
        <v>24400.7457192</v>
      </c>
      <c r="Q3342" s="282" t="e">
        <f>(INDEX(Tabla6[#All],MATCH(Tabla4[[#This Row],[Producto]],Tabla6[[#All],[PRODUCTO]],0),MATCH(Tabla4[[#This Row],[Mes]],Tabla6[#Headers],0)))</f>
        <v>#N/A</v>
      </c>
      <c r="R3342" s="282" t="e">
        <f>++Tabla4[[#This Row],[Precio Unitario Neto]]-Tabla4[[#This Row],[20.85%]]-Tabla4[[#This Row],[Costo]]</f>
        <v>#N/A</v>
      </c>
      <c r="S3342" s="282" t="e">
        <f>++Tabla4[[#This Row],[U. Bruta Uni]]*Tabla4[[#This Row],[Cantidad]]</f>
        <v>#N/A</v>
      </c>
      <c r="T3342" s="369" t="str">
        <f>VLOOKUP(Tabla4[[#This Row],[Producto]],Tabla6[#All],14,FALSE)</f>
        <v>Termico Solar</v>
      </c>
      <c r="U3342" s="284" t="e">
        <f>(IF(Tabla4[[#This Row],[Familia]]="termico solar",Tabla4[[#This Row],[Utilidad Total]]*6%,Tabla4[[#This Row],[Utilidad Total]]*11.5%))/Tabla4[[#This Row],[Total]]</f>
        <v>#N/A</v>
      </c>
      <c r="V3342" s="282" t="e">
        <f>+Tabla4[[#This Row],[Comisión Calculada]]*Tabla4[[#This Row],[Total]]</f>
        <v>#N/A</v>
      </c>
    </row>
    <row r="3343" spans="1:22" hidden="1" x14ac:dyDescent="0.25">
      <c r="A3343" s="100">
        <v>45823</v>
      </c>
      <c r="B3343" t="str">
        <f t="shared" si="160"/>
        <v>June</v>
      </c>
      <c r="C3343" s="46" t="s">
        <v>280</v>
      </c>
      <c r="F3343" s="366" t="s">
        <v>1999</v>
      </c>
      <c r="G3343" s="46" t="s">
        <v>18</v>
      </c>
      <c r="H3343" s="46">
        <v>1</v>
      </c>
      <c r="I3343" s="51">
        <v>5367.65</v>
      </c>
      <c r="J3343" s="281">
        <f>++Tabla4[[#This Row],[Precio Bruto]]*1.16</f>
        <v>6226.4739999999993</v>
      </c>
      <c r="K3343" s="281">
        <f>+Tabla4[[#This Row],[Precio Unitario Neto]]*Tabla4[[#Headers],[20.85%]]</f>
        <v>1298.2198289999999</v>
      </c>
      <c r="L3343" s="282">
        <f>++Tabla4[[#This Row],[Precio Unitario Neto]]-Tabla4[[#This Row],[20.85%]]</f>
        <v>4928.2541709999996</v>
      </c>
      <c r="M3343" s="282" t="e">
        <f>(INDEX(Tabla6[#All],MATCH(Tabla4[[#This Row],[Producto]],Tabla6[[#All],[PRODUCTO]],0),MATCH(Tabla4[[#This Row],[Mes]],Tabla6[#Headers],0)))*(1+Catalogos!$L$2)</f>
        <v>#N/A</v>
      </c>
      <c r="N3343" s="283" t="e">
        <f>+(Tabla4[[#This Row],[Precio Descontado]]-Tabla4[[#This Row],[Precio Base]])*Tabla4[[#This Row],[Cantidad]]</f>
        <v>#N/A</v>
      </c>
      <c r="O3343" s="284" t="e">
        <f>++Tabla4[[#This Row],[Utilidad Total]]/Tabla4[[#This Row],[Total]]</f>
        <v>#N/A</v>
      </c>
      <c r="P3343" s="282">
        <f>++Tabla4[[#This Row],[Precio Descontado]]*Tabla4[[#This Row],[Cantidad]]</f>
        <v>4928.2541709999996</v>
      </c>
      <c r="Q3343" s="282" t="e">
        <f>(INDEX(Tabla6[#All],MATCH(Tabla4[[#This Row],[Producto]],Tabla6[[#All],[PRODUCTO]],0),MATCH(Tabla4[[#This Row],[Mes]],Tabla6[#Headers],0)))</f>
        <v>#N/A</v>
      </c>
      <c r="R3343" s="282" t="e">
        <f>++Tabla4[[#This Row],[Precio Unitario Neto]]-Tabla4[[#This Row],[20.85%]]-Tabla4[[#This Row],[Costo]]</f>
        <v>#N/A</v>
      </c>
      <c r="S3343" s="282" t="e">
        <f>++Tabla4[[#This Row],[U. Bruta Uni]]*Tabla4[[#This Row],[Cantidad]]</f>
        <v>#N/A</v>
      </c>
      <c r="T3343" s="369" t="str">
        <f>VLOOKUP(Tabla4[[#This Row],[Producto]],Tabla6[#All],14,FALSE)</f>
        <v>Termico Solar</v>
      </c>
      <c r="U3343" s="284" t="e">
        <f>(IF(Tabla4[[#This Row],[Familia]]="termico solar",Tabla4[[#This Row],[Utilidad Total]]*6%,Tabla4[[#This Row],[Utilidad Total]]*11.5%))/Tabla4[[#This Row],[Total]]</f>
        <v>#N/A</v>
      </c>
      <c r="V3343" s="282" t="e">
        <f>+Tabla4[[#This Row],[Comisión Calculada]]*Tabla4[[#This Row],[Total]]</f>
        <v>#N/A</v>
      </c>
    </row>
    <row r="3344" spans="1:22" hidden="1" x14ac:dyDescent="0.25">
      <c r="A3344" s="100">
        <v>45823</v>
      </c>
      <c r="B3344" t="str">
        <f t="shared" si="160"/>
        <v>June</v>
      </c>
      <c r="C3344" s="46" t="s">
        <v>280</v>
      </c>
      <c r="F3344" s="366" t="s">
        <v>1999</v>
      </c>
      <c r="G3344" s="46" t="s">
        <v>16</v>
      </c>
      <c r="H3344" s="46">
        <v>2</v>
      </c>
      <c r="I3344" s="51">
        <v>4103.8500000000004</v>
      </c>
      <c r="J3344" s="281">
        <f>++Tabla4[[#This Row],[Precio Bruto]]*1.16</f>
        <v>4760.4660000000003</v>
      </c>
      <c r="K3344" s="281">
        <f>+Tabla4[[#This Row],[Precio Unitario Neto]]*Tabla4[[#Headers],[20.85%]]</f>
        <v>992.55716100000006</v>
      </c>
      <c r="L3344" s="282">
        <f>++Tabla4[[#This Row],[Precio Unitario Neto]]-Tabla4[[#This Row],[20.85%]]</f>
        <v>3767.9088390000002</v>
      </c>
      <c r="M3344" s="282" t="e">
        <f>(INDEX(Tabla6[#All],MATCH(Tabla4[[#This Row],[Producto]],Tabla6[[#All],[PRODUCTO]],0),MATCH(Tabla4[[#This Row],[Mes]],Tabla6[#Headers],0)))*(1+Catalogos!$L$2)</f>
        <v>#N/A</v>
      </c>
      <c r="N3344" s="283" t="e">
        <f>+(Tabla4[[#This Row],[Precio Descontado]]-Tabla4[[#This Row],[Precio Base]])*Tabla4[[#This Row],[Cantidad]]</f>
        <v>#N/A</v>
      </c>
      <c r="O3344" s="284" t="e">
        <f>++Tabla4[[#This Row],[Utilidad Total]]/Tabla4[[#This Row],[Total]]</f>
        <v>#N/A</v>
      </c>
      <c r="P3344" s="282">
        <f>++Tabla4[[#This Row],[Precio Descontado]]*Tabla4[[#This Row],[Cantidad]]</f>
        <v>7535.8176780000003</v>
      </c>
      <c r="Q3344" s="282" t="e">
        <f>(INDEX(Tabla6[#All],MATCH(Tabla4[[#This Row],[Producto]],Tabla6[[#All],[PRODUCTO]],0),MATCH(Tabla4[[#This Row],[Mes]],Tabla6[#Headers],0)))</f>
        <v>#N/A</v>
      </c>
      <c r="R3344" s="282" t="e">
        <f>++Tabla4[[#This Row],[Precio Unitario Neto]]-Tabla4[[#This Row],[20.85%]]-Tabla4[[#This Row],[Costo]]</f>
        <v>#N/A</v>
      </c>
      <c r="S3344" s="282" t="e">
        <f>++Tabla4[[#This Row],[U. Bruta Uni]]*Tabla4[[#This Row],[Cantidad]]</f>
        <v>#N/A</v>
      </c>
      <c r="T3344" s="369" t="str">
        <f>VLOOKUP(Tabla4[[#This Row],[Producto]],Tabla6[#All],14,FALSE)</f>
        <v>Termico Solar</v>
      </c>
      <c r="U3344" s="284" t="e">
        <f>(IF(Tabla4[[#This Row],[Familia]]="termico solar",Tabla4[[#This Row],[Utilidad Total]]*6%,Tabla4[[#This Row],[Utilidad Total]]*11.5%))/Tabla4[[#This Row],[Total]]</f>
        <v>#N/A</v>
      </c>
      <c r="V3344" s="282" t="e">
        <f>+Tabla4[[#This Row],[Comisión Calculada]]*Tabla4[[#This Row],[Total]]</f>
        <v>#N/A</v>
      </c>
    </row>
    <row r="3345" spans="1:22" hidden="1" x14ac:dyDescent="0.25">
      <c r="A3345" s="100">
        <v>45823</v>
      </c>
      <c r="B3345" t="str">
        <f t="shared" si="160"/>
        <v>June</v>
      </c>
      <c r="C3345" s="46" t="s">
        <v>280</v>
      </c>
      <c r="F3345" s="366" t="s">
        <v>1999</v>
      </c>
      <c r="G3345" s="46" t="s">
        <v>208</v>
      </c>
      <c r="H3345" s="46">
        <v>1</v>
      </c>
      <c r="I3345" s="51">
        <v>189.75</v>
      </c>
      <c r="J3345" s="281">
        <f>++Tabla4[[#This Row],[Precio Bruto]]*1.16</f>
        <v>220.10999999999999</v>
      </c>
      <c r="K3345" s="281">
        <f>+Tabla4[[#This Row],[Precio Unitario Neto]]*Tabla4[[#Headers],[20.85%]]</f>
        <v>45.892934999999994</v>
      </c>
      <c r="L3345" s="282">
        <f>++Tabla4[[#This Row],[Precio Unitario Neto]]-Tabla4[[#This Row],[20.85%]]</f>
        <v>174.21706499999999</v>
      </c>
      <c r="M3345" s="282" t="e">
        <f>(INDEX(Tabla6[#All],MATCH(Tabla4[[#This Row],[Producto]],Tabla6[[#All],[PRODUCTO]],0),MATCH(Tabla4[[#This Row],[Mes]],Tabla6[#Headers],0)))*(1+Catalogos!$L$2)</f>
        <v>#N/A</v>
      </c>
      <c r="N3345" s="283" t="e">
        <f>+(Tabla4[[#This Row],[Precio Descontado]]-Tabla4[[#This Row],[Precio Base]])*Tabla4[[#This Row],[Cantidad]]</f>
        <v>#N/A</v>
      </c>
      <c r="O3345" s="284" t="e">
        <f>++Tabla4[[#This Row],[Utilidad Total]]/Tabla4[[#This Row],[Total]]</f>
        <v>#N/A</v>
      </c>
      <c r="P3345" s="282">
        <f>++Tabla4[[#This Row],[Precio Descontado]]*Tabla4[[#This Row],[Cantidad]]</f>
        <v>174.21706499999999</v>
      </c>
      <c r="Q3345" s="282" t="e">
        <f>(INDEX(Tabla6[#All],MATCH(Tabla4[[#This Row],[Producto]],Tabla6[[#All],[PRODUCTO]],0),MATCH(Tabla4[[#This Row],[Mes]],Tabla6[#Headers],0)))</f>
        <v>#N/A</v>
      </c>
      <c r="R3345" s="282" t="e">
        <f>++Tabla4[[#This Row],[Precio Unitario Neto]]-Tabla4[[#This Row],[20.85%]]-Tabla4[[#This Row],[Costo]]</f>
        <v>#N/A</v>
      </c>
      <c r="S3345" s="282" t="e">
        <f>++Tabla4[[#This Row],[U. Bruta Uni]]*Tabla4[[#This Row],[Cantidad]]</f>
        <v>#N/A</v>
      </c>
      <c r="T3345" s="369" t="str">
        <f>VLOOKUP(Tabla4[[#This Row],[Producto]],Tabla6[#All],14,FALSE)</f>
        <v>Termico Solar</v>
      </c>
      <c r="U3345" s="284" t="e">
        <f>(IF(Tabla4[[#This Row],[Familia]]="termico solar",Tabla4[[#This Row],[Utilidad Total]]*6%,Tabla4[[#This Row],[Utilidad Total]]*11.5%))/Tabla4[[#This Row],[Total]]</f>
        <v>#N/A</v>
      </c>
      <c r="V3345" s="282" t="e">
        <f>+Tabla4[[#This Row],[Comisión Calculada]]*Tabla4[[#This Row],[Total]]</f>
        <v>#N/A</v>
      </c>
    </row>
    <row r="3346" spans="1:22" ht="14.25" hidden="1" customHeight="1" x14ac:dyDescent="0.25">
      <c r="A3346" s="100">
        <v>45823</v>
      </c>
      <c r="B3346" t="str">
        <f t="shared" si="160"/>
        <v>June</v>
      </c>
      <c r="C3346" s="46" t="s">
        <v>280</v>
      </c>
      <c r="F3346" s="366" t="s">
        <v>2000</v>
      </c>
      <c r="G3346" s="46" t="s">
        <v>18</v>
      </c>
      <c r="H3346" s="46">
        <v>1</v>
      </c>
      <c r="I3346" s="51">
        <v>5367.65</v>
      </c>
      <c r="J3346" s="281">
        <f>++Tabla4[[#This Row],[Precio Bruto]]*1.16</f>
        <v>6226.4739999999993</v>
      </c>
      <c r="K3346" s="281">
        <f>+Tabla4[[#This Row],[Precio Unitario Neto]]*Tabla4[[#Headers],[20.85%]]</f>
        <v>1298.2198289999999</v>
      </c>
      <c r="L3346" s="282">
        <f>++Tabla4[[#This Row],[Precio Unitario Neto]]-Tabla4[[#This Row],[20.85%]]</f>
        <v>4928.2541709999996</v>
      </c>
      <c r="M3346" s="282" t="e">
        <f>(INDEX(Tabla6[#All],MATCH(Tabla4[[#This Row],[Producto]],Tabla6[[#All],[PRODUCTO]],0),MATCH(Tabla4[[#This Row],[Mes]],Tabla6[#Headers],0)))*(1+Catalogos!$L$2)</f>
        <v>#N/A</v>
      </c>
      <c r="N3346" s="283" t="e">
        <f>+(Tabla4[[#This Row],[Precio Descontado]]-Tabla4[[#This Row],[Precio Base]])*Tabla4[[#This Row],[Cantidad]]</f>
        <v>#N/A</v>
      </c>
      <c r="O3346" s="284" t="e">
        <f>++Tabla4[[#This Row],[Utilidad Total]]/Tabla4[[#This Row],[Total]]</f>
        <v>#N/A</v>
      </c>
      <c r="P3346" s="282">
        <f>++Tabla4[[#This Row],[Precio Descontado]]*Tabla4[[#This Row],[Cantidad]]</f>
        <v>4928.2541709999996</v>
      </c>
      <c r="Q3346" s="282" t="e">
        <f>(INDEX(Tabla6[#All],MATCH(Tabla4[[#This Row],[Producto]],Tabla6[[#All],[PRODUCTO]],0),MATCH(Tabla4[[#This Row],[Mes]],Tabla6[#Headers],0)))</f>
        <v>#N/A</v>
      </c>
      <c r="R3346" s="282" t="e">
        <f>++Tabla4[[#This Row],[Precio Unitario Neto]]-Tabla4[[#This Row],[20.85%]]-Tabla4[[#This Row],[Costo]]</f>
        <v>#N/A</v>
      </c>
      <c r="S3346" s="282" t="e">
        <f>++Tabla4[[#This Row],[U. Bruta Uni]]*Tabla4[[#This Row],[Cantidad]]</f>
        <v>#N/A</v>
      </c>
      <c r="T3346" s="369" t="str">
        <f>VLOOKUP(Tabla4[[#This Row],[Producto]],Tabla6[#All],14,FALSE)</f>
        <v>Termico Solar</v>
      </c>
      <c r="U3346" s="284" t="e">
        <f>(IF(Tabla4[[#This Row],[Familia]]="termico solar",Tabla4[[#This Row],[Utilidad Total]]*6%,Tabla4[[#This Row],[Utilidad Total]]*11.5%))/Tabla4[[#This Row],[Total]]</f>
        <v>#N/A</v>
      </c>
      <c r="V3346" s="282" t="e">
        <f>+Tabla4[[#This Row],[Comisión Calculada]]*Tabla4[[#This Row],[Total]]</f>
        <v>#N/A</v>
      </c>
    </row>
    <row r="3347" spans="1:22" ht="14.25" hidden="1" customHeight="1" x14ac:dyDescent="0.25">
      <c r="A3347" s="100">
        <v>45823</v>
      </c>
      <c r="B3347" t="str">
        <f t="shared" si="160"/>
        <v>June</v>
      </c>
      <c r="C3347" s="46" t="s">
        <v>280</v>
      </c>
      <c r="F3347" s="366" t="s">
        <v>2001</v>
      </c>
      <c r="G3347" s="46" t="s">
        <v>83</v>
      </c>
      <c r="H3347" s="46">
        <v>1</v>
      </c>
      <c r="I3347" s="51">
        <v>8858.76</v>
      </c>
      <c r="J3347" s="281">
        <f>++Tabla4[[#This Row],[Precio Bruto]]*1.16</f>
        <v>10276.161599999999</v>
      </c>
      <c r="K3347" s="281">
        <f>+Tabla4[[#This Row],[Precio Unitario Neto]]*Tabla4[[#Headers],[20.85%]]</f>
        <v>2142.5796935999997</v>
      </c>
      <c r="L3347" s="282">
        <f>++Tabla4[[#This Row],[Precio Unitario Neto]]-Tabla4[[#This Row],[20.85%]]</f>
        <v>8133.5819063999998</v>
      </c>
      <c r="M3347" s="282" t="e">
        <f>(INDEX(Tabla6[#All],MATCH(Tabla4[[#This Row],[Producto]],Tabla6[[#All],[PRODUCTO]],0),MATCH(Tabla4[[#This Row],[Mes]],Tabla6[#Headers],0)))*(1+Catalogos!$L$2)</f>
        <v>#N/A</v>
      </c>
      <c r="N3347" s="283" t="e">
        <f>+(Tabla4[[#This Row],[Precio Descontado]]-Tabla4[[#This Row],[Precio Base]])*Tabla4[[#This Row],[Cantidad]]</f>
        <v>#N/A</v>
      </c>
      <c r="O3347" s="284" t="e">
        <f>++Tabla4[[#This Row],[Utilidad Total]]/Tabla4[[#This Row],[Total]]</f>
        <v>#N/A</v>
      </c>
      <c r="P3347" s="282">
        <f>++Tabla4[[#This Row],[Precio Descontado]]*Tabla4[[#This Row],[Cantidad]]</f>
        <v>8133.5819063999998</v>
      </c>
      <c r="Q3347" s="282" t="e">
        <f>(INDEX(Tabla6[#All],MATCH(Tabla4[[#This Row],[Producto]],Tabla6[[#All],[PRODUCTO]],0),MATCH(Tabla4[[#This Row],[Mes]],Tabla6[#Headers],0)))</f>
        <v>#N/A</v>
      </c>
      <c r="R3347" s="282" t="e">
        <f>++Tabla4[[#This Row],[Precio Unitario Neto]]-Tabla4[[#This Row],[20.85%]]-Tabla4[[#This Row],[Costo]]</f>
        <v>#N/A</v>
      </c>
      <c r="S3347" s="282" t="e">
        <f>++Tabla4[[#This Row],[U. Bruta Uni]]*Tabla4[[#This Row],[Cantidad]]</f>
        <v>#N/A</v>
      </c>
      <c r="T3347" s="369" t="str">
        <f>VLOOKUP(Tabla4[[#This Row],[Producto]],Tabla6[#All],14,FALSE)</f>
        <v>Termico Solar</v>
      </c>
      <c r="U3347" s="284" t="e">
        <f>(IF(Tabla4[[#This Row],[Familia]]="termico solar",Tabla4[[#This Row],[Utilidad Total]]*6%,Tabla4[[#This Row],[Utilidad Total]]*11.5%))/Tabla4[[#This Row],[Total]]</f>
        <v>#N/A</v>
      </c>
      <c r="V3347" s="282" t="e">
        <f>+Tabla4[[#This Row],[Comisión Calculada]]*Tabla4[[#This Row],[Total]]</f>
        <v>#N/A</v>
      </c>
    </row>
    <row r="3348" spans="1:22" hidden="1" x14ac:dyDescent="0.25">
      <c r="A3348" s="100">
        <v>45823</v>
      </c>
      <c r="B3348" t="str">
        <f t="shared" si="160"/>
        <v>June</v>
      </c>
      <c r="C3348" s="46" t="s">
        <v>280</v>
      </c>
      <c r="F3348" s="366" t="s">
        <v>2001</v>
      </c>
      <c r="G3348" s="46" t="s">
        <v>17</v>
      </c>
      <c r="H3348" s="46">
        <v>1</v>
      </c>
      <c r="I3348" s="51">
        <v>4622.28</v>
      </c>
      <c r="J3348" s="281">
        <f>++Tabla4[[#This Row],[Precio Bruto]]*1.16</f>
        <v>5361.8447999999989</v>
      </c>
      <c r="K3348" s="281">
        <f>+Tabla4[[#This Row],[Precio Unitario Neto]]*Tabla4[[#Headers],[20.85%]]</f>
        <v>1117.9446407999997</v>
      </c>
      <c r="L3348" s="282">
        <f>++Tabla4[[#This Row],[Precio Unitario Neto]]-Tabla4[[#This Row],[20.85%]]</f>
        <v>4243.9001591999995</v>
      </c>
      <c r="M3348" s="282" t="e">
        <f>(INDEX(Tabla6[#All],MATCH(Tabla4[[#This Row],[Producto]],Tabla6[[#All],[PRODUCTO]],0),MATCH(Tabla4[[#This Row],[Mes]],Tabla6[#Headers],0)))*(1+Catalogos!$L$2)</f>
        <v>#N/A</v>
      </c>
      <c r="N3348" s="283" t="e">
        <f>+(Tabla4[[#This Row],[Precio Descontado]]-Tabla4[[#This Row],[Precio Base]])*Tabla4[[#This Row],[Cantidad]]</f>
        <v>#N/A</v>
      </c>
      <c r="O3348" s="284" t="e">
        <f>++Tabla4[[#This Row],[Utilidad Total]]/Tabla4[[#This Row],[Total]]</f>
        <v>#N/A</v>
      </c>
      <c r="P3348" s="282">
        <f>++Tabla4[[#This Row],[Precio Descontado]]*Tabla4[[#This Row],[Cantidad]]</f>
        <v>4243.9001591999995</v>
      </c>
      <c r="Q3348" s="282" t="e">
        <f>(INDEX(Tabla6[#All],MATCH(Tabla4[[#This Row],[Producto]],Tabla6[[#All],[PRODUCTO]],0),MATCH(Tabla4[[#This Row],[Mes]],Tabla6[#Headers],0)))</f>
        <v>#N/A</v>
      </c>
      <c r="R3348" s="282" t="e">
        <f>++Tabla4[[#This Row],[Precio Unitario Neto]]-Tabla4[[#This Row],[20.85%]]-Tabla4[[#This Row],[Costo]]</f>
        <v>#N/A</v>
      </c>
      <c r="S3348" s="282" t="e">
        <f>++Tabla4[[#This Row],[U. Bruta Uni]]*Tabla4[[#This Row],[Cantidad]]</f>
        <v>#N/A</v>
      </c>
      <c r="T3348" s="369" t="str">
        <f>VLOOKUP(Tabla4[[#This Row],[Producto]],Tabla6[#All],14,FALSE)</f>
        <v>Termico Solar</v>
      </c>
      <c r="U3348" s="284" t="e">
        <f>(IF(Tabla4[[#This Row],[Familia]]="termico solar",Tabla4[[#This Row],[Utilidad Total]]*6%,Tabla4[[#This Row],[Utilidad Total]]*11.5%))/Tabla4[[#This Row],[Total]]</f>
        <v>#N/A</v>
      </c>
      <c r="V3348" s="282" t="e">
        <f>+Tabla4[[#This Row],[Comisión Calculada]]*Tabla4[[#This Row],[Total]]</f>
        <v>#N/A</v>
      </c>
    </row>
    <row r="3349" spans="1:22" hidden="1" x14ac:dyDescent="0.25">
      <c r="A3349" s="100">
        <v>45823</v>
      </c>
      <c r="B3349" t="str">
        <f t="shared" si="160"/>
        <v>June</v>
      </c>
      <c r="C3349" s="46" t="s">
        <v>280</v>
      </c>
      <c r="F3349" s="366" t="s">
        <v>2001</v>
      </c>
      <c r="G3349" s="46" t="s">
        <v>18</v>
      </c>
      <c r="H3349" s="46">
        <v>1</v>
      </c>
      <c r="I3349" s="51">
        <v>5367.65</v>
      </c>
      <c r="J3349" s="281">
        <f>++Tabla4[[#This Row],[Precio Bruto]]*1.16</f>
        <v>6226.4739999999993</v>
      </c>
      <c r="K3349" s="281">
        <f>+Tabla4[[#This Row],[Precio Unitario Neto]]*Tabla4[[#Headers],[20.85%]]</f>
        <v>1298.2198289999999</v>
      </c>
      <c r="L3349" s="282">
        <f>++Tabla4[[#This Row],[Precio Unitario Neto]]-Tabla4[[#This Row],[20.85%]]</f>
        <v>4928.2541709999996</v>
      </c>
      <c r="M3349" s="282" t="e">
        <f>(INDEX(Tabla6[#All],MATCH(Tabla4[[#This Row],[Producto]],Tabla6[[#All],[PRODUCTO]],0),MATCH(Tabla4[[#This Row],[Mes]],Tabla6[#Headers],0)))*(1+Catalogos!$L$2)</f>
        <v>#N/A</v>
      </c>
      <c r="N3349" s="283" t="e">
        <f>+(Tabla4[[#This Row],[Precio Descontado]]-Tabla4[[#This Row],[Precio Base]])*Tabla4[[#This Row],[Cantidad]]</f>
        <v>#N/A</v>
      </c>
      <c r="O3349" s="284" t="e">
        <f>++Tabla4[[#This Row],[Utilidad Total]]/Tabla4[[#This Row],[Total]]</f>
        <v>#N/A</v>
      </c>
      <c r="P3349" s="282">
        <f>++Tabla4[[#This Row],[Precio Descontado]]*Tabla4[[#This Row],[Cantidad]]</f>
        <v>4928.2541709999996</v>
      </c>
      <c r="Q3349" s="282" t="e">
        <f>(INDEX(Tabla6[#All],MATCH(Tabla4[[#This Row],[Producto]],Tabla6[[#All],[PRODUCTO]],0),MATCH(Tabla4[[#This Row],[Mes]],Tabla6[#Headers],0)))</f>
        <v>#N/A</v>
      </c>
      <c r="R3349" s="282" t="e">
        <f>++Tabla4[[#This Row],[Precio Unitario Neto]]-Tabla4[[#This Row],[20.85%]]-Tabla4[[#This Row],[Costo]]</f>
        <v>#N/A</v>
      </c>
      <c r="S3349" s="282" t="e">
        <f>++Tabla4[[#This Row],[U. Bruta Uni]]*Tabla4[[#This Row],[Cantidad]]</f>
        <v>#N/A</v>
      </c>
      <c r="T3349" s="369" t="str">
        <f>VLOOKUP(Tabla4[[#This Row],[Producto]],Tabla6[#All],14,FALSE)</f>
        <v>Termico Solar</v>
      </c>
      <c r="U3349" s="284" t="e">
        <f>(IF(Tabla4[[#This Row],[Familia]]="termico solar",Tabla4[[#This Row],[Utilidad Total]]*6%,Tabla4[[#This Row],[Utilidad Total]]*11.5%))/Tabla4[[#This Row],[Total]]</f>
        <v>#N/A</v>
      </c>
      <c r="V3349" s="282" t="e">
        <f>+Tabla4[[#This Row],[Comisión Calculada]]*Tabla4[[#This Row],[Total]]</f>
        <v>#N/A</v>
      </c>
    </row>
    <row r="3350" spans="1:22" hidden="1" x14ac:dyDescent="0.25">
      <c r="A3350" s="100">
        <v>45823</v>
      </c>
      <c r="B3350" t="str">
        <f t="shared" si="160"/>
        <v>June</v>
      </c>
      <c r="C3350" s="46" t="s">
        <v>280</v>
      </c>
      <c r="F3350" s="366" t="s">
        <v>2002</v>
      </c>
      <c r="G3350" s="46" t="s">
        <v>83</v>
      </c>
      <c r="H3350" s="46">
        <v>5</v>
      </c>
      <c r="I3350" s="51">
        <v>8858.76</v>
      </c>
      <c r="J3350" s="281">
        <f>++Tabla4[[#This Row],[Precio Bruto]]*1.16</f>
        <v>10276.161599999999</v>
      </c>
      <c r="K3350" s="281">
        <f>+Tabla4[[#This Row],[Precio Unitario Neto]]*Tabla4[[#Headers],[20.85%]]</f>
        <v>2142.5796935999997</v>
      </c>
      <c r="L3350" s="282">
        <f>++Tabla4[[#This Row],[Precio Unitario Neto]]-Tabla4[[#This Row],[20.85%]]</f>
        <v>8133.5819063999998</v>
      </c>
      <c r="M3350" s="282" t="e">
        <f>(INDEX(Tabla6[#All],MATCH(Tabla4[[#This Row],[Producto]],Tabla6[[#All],[PRODUCTO]],0),MATCH(Tabla4[[#This Row],[Mes]],Tabla6[#Headers],0)))*(1+Catalogos!$L$2)</f>
        <v>#N/A</v>
      </c>
      <c r="N3350" s="283" t="e">
        <f>+(Tabla4[[#This Row],[Precio Descontado]]-Tabla4[[#This Row],[Precio Base]])*Tabla4[[#This Row],[Cantidad]]</f>
        <v>#N/A</v>
      </c>
      <c r="O3350" s="284" t="e">
        <f>++Tabla4[[#This Row],[Utilidad Total]]/Tabla4[[#This Row],[Total]]</f>
        <v>#N/A</v>
      </c>
      <c r="P3350" s="282">
        <f>++Tabla4[[#This Row],[Precio Descontado]]*Tabla4[[#This Row],[Cantidad]]</f>
        <v>40667.909531999998</v>
      </c>
      <c r="Q3350" s="282" t="e">
        <f>(INDEX(Tabla6[#All],MATCH(Tabla4[[#This Row],[Producto]],Tabla6[[#All],[PRODUCTO]],0),MATCH(Tabla4[[#This Row],[Mes]],Tabla6[#Headers],0)))</f>
        <v>#N/A</v>
      </c>
      <c r="R3350" s="282" t="e">
        <f>++Tabla4[[#This Row],[Precio Unitario Neto]]-Tabla4[[#This Row],[20.85%]]-Tabla4[[#This Row],[Costo]]</f>
        <v>#N/A</v>
      </c>
      <c r="S3350" s="282" t="e">
        <f>++Tabla4[[#This Row],[U. Bruta Uni]]*Tabla4[[#This Row],[Cantidad]]</f>
        <v>#N/A</v>
      </c>
      <c r="T3350" s="369" t="str">
        <f>VLOOKUP(Tabla4[[#This Row],[Producto]],Tabla6[#All],14,FALSE)</f>
        <v>Termico Solar</v>
      </c>
      <c r="U3350" s="284" t="e">
        <f>(IF(Tabla4[[#This Row],[Familia]]="termico solar",Tabla4[[#This Row],[Utilidad Total]]*6%,Tabla4[[#This Row],[Utilidad Total]]*11.5%))/Tabla4[[#This Row],[Total]]</f>
        <v>#N/A</v>
      </c>
      <c r="V3350" s="282" t="e">
        <f>+Tabla4[[#This Row],[Comisión Calculada]]*Tabla4[[#This Row],[Total]]</f>
        <v>#N/A</v>
      </c>
    </row>
    <row r="3351" spans="1:22" hidden="1" x14ac:dyDescent="0.25">
      <c r="A3351" s="100">
        <v>45823</v>
      </c>
      <c r="B3351" t="str">
        <f t="shared" si="160"/>
        <v>June</v>
      </c>
      <c r="C3351" s="46" t="s">
        <v>280</v>
      </c>
      <c r="F3351" s="366" t="s">
        <v>2002</v>
      </c>
      <c r="G3351" s="46" t="s">
        <v>17</v>
      </c>
      <c r="H3351" s="46">
        <v>5</v>
      </c>
      <c r="I3351" s="51">
        <v>4622.2800000000007</v>
      </c>
      <c r="J3351" s="281">
        <f>++Tabla4[[#This Row],[Precio Bruto]]*1.16</f>
        <v>5361.8448000000008</v>
      </c>
      <c r="K3351" s="281">
        <f>+Tabla4[[#This Row],[Precio Unitario Neto]]*Tabla4[[#Headers],[20.85%]]</f>
        <v>1117.9446408000001</v>
      </c>
      <c r="L3351" s="282">
        <f>++Tabla4[[#This Row],[Precio Unitario Neto]]-Tabla4[[#This Row],[20.85%]]</f>
        <v>4243.9001592000004</v>
      </c>
      <c r="M3351" s="282" t="e">
        <f>(INDEX(Tabla6[#All],MATCH(Tabla4[[#This Row],[Producto]],Tabla6[[#All],[PRODUCTO]],0),MATCH(Tabla4[[#This Row],[Mes]],Tabla6[#Headers],0)))*(1+Catalogos!$L$2)</f>
        <v>#N/A</v>
      </c>
      <c r="N3351" s="283" t="e">
        <f>+(Tabla4[[#This Row],[Precio Descontado]]-Tabla4[[#This Row],[Precio Base]])*Tabla4[[#This Row],[Cantidad]]</f>
        <v>#N/A</v>
      </c>
      <c r="O3351" s="284" t="e">
        <f>++Tabla4[[#This Row],[Utilidad Total]]/Tabla4[[#This Row],[Total]]</f>
        <v>#N/A</v>
      </c>
      <c r="P3351" s="282">
        <f>++Tabla4[[#This Row],[Precio Descontado]]*Tabla4[[#This Row],[Cantidad]]</f>
        <v>21219.500796</v>
      </c>
      <c r="Q3351" s="282" t="e">
        <f>(INDEX(Tabla6[#All],MATCH(Tabla4[[#This Row],[Producto]],Tabla6[[#All],[PRODUCTO]],0),MATCH(Tabla4[[#This Row],[Mes]],Tabla6[#Headers],0)))</f>
        <v>#N/A</v>
      </c>
      <c r="R3351" s="282" t="e">
        <f>++Tabla4[[#This Row],[Precio Unitario Neto]]-Tabla4[[#This Row],[20.85%]]-Tabla4[[#This Row],[Costo]]</f>
        <v>#N/A</v>
      </c>
      <c r="S3351" s="282" t="e">
        <f>++Tabla4[[#This Row],[U. Bruta Uni]]*Tabla4[[#This Row],[Cantidad]]</f>
        <v>#N/A</v>
      </c>
      <c r="T3351" s="369" t="str">
        <f>VLOOKUP(Tabla4[[#This Row],[Producto]],Tabla6[#All],14,FALSE)</f>
        <v>Termico Solar</v>
      </c>
      <c r="U3351" s="284" t="e">
        <f>(IF(Tabla4[[#This Row],[Familia]]="termico solar",Tabla4[[#This Row],[Utilidad Total]]*6%,Tabla4[[#This Row],[Utilidad Total]]*11.5%))/Tabla4[[#This Row],[Total]]</f>
        <v>#N/A</v>
      </c>
      <c r="V3351" s="282" t="e">
        <f>+Tabla4[[#This Row],[Comisión Calculada]]*Tabla4[[#This Row],[Total]]</f>
        <v>#N/A</v>
      </c>
    </row>
    <row r="3352" spans="1:22" hidden="1" x14ac:dyDescent="0.25">
      <c r="A3352" s="100">
        <v>45823</v>
      </c>
      <c r="B3352" t="str">
        <f t="shared" si="160"/>
        <v>June</v>
      </c>
      <c r="C3352" s="46" t="s">
        <v>280</v>
      </c>
      <c r="F3352" s="366" t="s">
        <v>2002</v>
      </c>
      <c r="G3352" s="46" t="s">
        <v>18</v>
      </c>
      <c r="H3352" s="46">
        <v>1</v>
      </c>
      <c r="I3352" s="51">
        <v>5367.65</v>
      </c>
      <c r="J3352" s="281">
        <f>++Tabla4[[#This Row],[Precio Bruto]]*1.16</f>
        <v>6226.4739999999993</v>
      </c>
      <c r="K3352" s="281">
        <f>+Tabla4[[#This Row],[Precio Unitario Neto]]*Tabla4[[#Headers],[20.85%]]</f>
        <v>1298.2198289999999</v>
      </c>
      <c r="L3352" s="282">
        <f>++Tabla4[[#This Row],[Precio Unitario Neto]]-Tabla4[[#This Row],[20.85%]]</f>
        <v>4928.2541709999996</v>
      </c>
      <c r="M3352" s="282" t="e">
        <f>(INDEX(Tabla6[#All],MATCH(Tabla4[[#This Row],[Producto]],Tabla6[[#All],[PRODUCTO]],0),MATCH(Tabla4[[#This Row],[Mes]],Tabla6[#Headers],0)))*(1+Catalogos!$L$2)</f>
        <v>#N/A</v>
      </c>
      <c r="N3352" s="283" t="e">
        <f>+(Tabla4[[#This Row],[Precio Descontado]]-Tabla4[[#This Row],[Precio Base]])*Tabla4[[#This Row],[Cantidad]]</f>
        <v>#N/A</v>
      </c>
      <c r="O3352" s="284" t="e">
        <f>++Tabla4[[#This Row],[Utilidad Total]]/Tabla4[[#This Row],[Total]]</f>
        <v>#N/A</v>
      </c>
      <c r="P3352" s="282">
        <f>++Tabla4[[#This Row],[Precio Descontado]]*Tabla4[[#This Row],[Cantidad]]</f>
        <v>4928.2541709999996</v>
      </c>
      <c r="Q3352" s="282" t="e">
        <f>(INDEX(Tabla6[#All],MATCH(Tabla4[[#This Row],[Producto]],Tabla6[[#All],[PRODUCTO]],0),MATCH(Tabla4[[#This Row],[Mes]],Tabla6[#Headers],0)))</f>
        <v>#N/A</v>
      </c>
      <c r="R3352" s="282" t="e">
        <f>++Tabla4[[#This Row],[Precio Unitario Neto]]-Tabla4[[#This Row],[20.85%]]-Tabla4[[#This Row],[Costo]]</f>
        <v>#N/A</v>
      </c>
      <c r="S3352" s="282" t="e">
        <f>++Tabla4[[#This Row],[U. Bruta Uni]]*Tabla4[[#This Row],[Cantidad]]</f>
        <v>#N/A</v>
      </c>
      <c r="T3352" s="369" t="str">
        <f>VLOOKUP(Tabla4[[#This Row],[Producto]],Tabla6[#All],14,FALSE)</f>
        <v>Termico Solar</v>
      </c>
      <c r="U3352" s="284" t="e">
        <f>(IF(Tabla4[[#This Row],[Familia]]="termico solar",Tabla4[[#This Row],[Utilidad Total]]*6%,Tabla4[[#This Row],[Utilidad Total]]*11.5%))/Tabla4[[#This Row],[Total]]</f>
        <v>#N/A</v>
      </c>
      <c r="V3352" s="282" t="e">
        <f>+Tabla4[[#This Row],[Comisión Calculada]]*Tabla4[[#This Row],[Total]]</f>
        <v>#N/A</v>
      </c>
    </row>
    <row r="3353" spans="1:22" hidden="1" x14ac:dyDescent="0.25">
      <c r="A3353" s="100">
        <v>45823</v>
      </c>
      <c r="B3353" t="str">
        <f t="shared" si="160"/>
        <v>June</v>
      </c>
      <c r="C3353" s="46" t="s">
        <v>280</v>
      </c>
      <c r="F3353" s="366" t="s">
        <v>2002</v>
      </c>
      <c r="G3353" s="46" t="s">
        <v>545</v>
      </c>
      <c r="H3353" s="46">
        <v>24</v>
      </c>
      <c r="I3353" s="51">
        <v>304.32</v>
      </c>
      <c r="J3353" s="281">
        <f>++Tabla4[[#This Row],[Precio Bruto]]*1.16</f>
        <v>353.01119999999997</v>
      </c>
      <c r="K3353" s="281">
        <f>+Tabla4[[#This Row],[Precio Unitario Neto]]*Tabla4[[#Headers],[20.85%]]</f>
        <v>73.602835199999987</v>
      </c>
      <c r="L3353" s="282">
        <f>++Tabla4[[#This Row],[Precio Unitario Neto]]-Tabla4[[#This Row],[20.85%]]</f>
        <v>279.40836479999996</v>
      </c>
      <c r="M3353" s="282" t="e">
        <f>(INDEX(Tabla6[#All],MATCH(Tabla4[[#This Row],[Producto]],Tabla6[[#All],[PRODUCTO]],0),MATCH(Tabla4[[#This Row],[Mes]],Tabla6[#Headers],0)))*(1+Catalogos!$L$2)</f>
        <v>#N/A</v>
      </c>
      <c r="N3353" s="283" t="e">
        <f>+(Tabla4[[#This Row],[Precio Descontado]]-Tabla4[[#This Row],[Precio Base]])*Tabla4[[#This Row],[Cantidad]]</f>
        <v>#N/A</v>
      </c>
      <c r="O3353" s="284" t="e">
        <f>++Tabla4[[#This Row],[Utilidad Total]]/Tabla4[[#This Row],[Total]]</f>
        <v>#N/A</v>
      </c>
      <c r="P3353" s="282">
        <f>++Tabla4[[#This Row],[Precio Descontado]]*Tabla4[[#This Row],[Cantidad]]</f>
        <v>6705.800755199999</v>
      </c>
      <c r="Q3353" s="282" t="e">
        <f>(INDEX(Tabla6[#All],MATCH(Tabla4[[#This Row],[Producto]],Tabla6[[#All],[PRODUCTO]],0),MATCH(Tabla4[[#This Row],[Mes]],Tabla6[#Headers],0)))</f>
        <v>#N/A</v>
      </c>
      <c r="R3353" s="282" t="e">
        <f>++Tabla4[[#This Row],[Precio Unitario Neto]]-Tabla4[[#This Row],[20.85%]]-Tabla4[[#This Row],[Costo]]</f>
        <v>#N/A</v>
      </c>
      <c r="S3353" s="282" t="e">
        <f>++Tabla4[[#This Row],[U. Bruta Uni]]*Tabla4[[#This Row],[Cantidad]]</f>
        <v>#N/A</v>
      </c>
      <c r="T3353" s="369" t="str">
        <f>VLOOKUP(Tabla4[[#This Row],[Producto]],Tabla6[#All],14,FALSE)</f>
        <v>Termico Solar</v>
      </c>
      <c r="U3353" s="284" t="e">
        <f>(IF(Tabla4[[#This Row],[Familia]]="termico solar",Tabla4[[#This Row],[Utilidad Total]]*6%,Tabla4[[#This Row],[Utilidad Total]]*11.5%))/Tabla4[[#This Row],[Total]]</f>
        <v>#N/A</v>
      </c>
      <c r="V3353" s="282" t="e">
        <f>+Tabla4[[#This Row],[Comisión Calculada]]*Tabla4[[#This Row],[Total]]</f>
        <v>#N/A</v>
      </c>
    </row>
    <row r="3354" spans="1:22" hidden="1" x14ac:dyDescent="0.25">
      <c r="A3354" s="100">
        <v>45823</v>
      </c>
      <c r="B3354" t="str">
        <f t="shared" si="160"/>
        <v>June</v>
      </c>
      <c r="C3354" s="46" t="s">
        <v>280</v>
      </c>
      <c r="F3354" s="366" t="s">
        <v>2002</v>
      </c>
      <c r="G3354" s="46" t="s">
        <v>208</v>
      </c>
      <c r="H3354" s="46">
        <v>1</v>
      </c>
      <c r="I3354" s="51">
        <v>189.75</v>
      </c>
      <c r="J3354" s="281">
        <f>++Tabla4[[#This Row],[Precio Bruto]]*1.16</f>
        <v>220.10999999999999</v>
      </c>
      <c r="K3354" s="281">
        <f>+Tabla4[[#This Row],[Precio Unitario Neto]]*Tabla4[[#Headers],[20.85%]]</f>
        <v>45.892934999999994</v>
      </c>
      <c r="L3354" s="282">
        <f>++Tabla4[[#This Row],[Precio Unitario Neto]]-Tabla4[[#This Row],[20.85%]]</f>
        <v>174.21706499999999</v>
      </c>
      <c r="M3354" s="282" t="e">
        <f>(INDEX(Tabla6[#All],MATCH(Tabla4[[#This Row],[Producto]],Tabla6[[#All],[PRODUCTO]],0),MATCH(Tabla4[[#This Row],[Mes]],Tabla6[#Headers],0)))*(1+Catalogos!$L$2)</f>
        <v>#N/A</v>
      </c>
      <c r="N3354" s="283" t="e">
        <f>+(Tabla4[[#This Row],[Precio Descontado]]-Tabla4[[#This Row],[Precio Base]])*Tabla4[[#This Row],[Cantidad]]</f>
        <v>#N/A</v>
      </c>
      <c r="O3354" s="284" t="e">
        <f>++Tabla4[[#This Row],[Utilidad Total]]/Tabla4[[#This Row],[Total]]</f>
        <v>#N/A</v>
      </c>
      <c r="P3354" s="282">
        <f>++Tabla4[[#This Row],[Precio Descontado]]*Tabla4[[#This Row],[Cantidad]]</f>
        <v>174.21706499999999</v>
      </c>
      <c r="Q3354" s="282" t="e">
        <f>(INDEX(Tabla6[#All],MATCH(Tabla4[[#This Row],[Producto]],Tabla6[[#All],[PRODUCTO]],0),MATCH(Tabla4[[#This Row],[Mes]],Tabla6[#Headers],0)))</f>
        <v>#N/A</v>
      </c>
      <c r="R3354" s="282" t="e">
        <f>++Tabla4[[#This Row],[Precio Unitario Neto]]-Tabla4[[#This Row],[20.85%]]-Tabla4[[#This Row],[Costo]]</f>
        <v>#N/A</v>
      </c>
      <c r="S3354" s="282" t="e">
        <f>++Tabla4[[#This Row],[U. Bruta Uni]]*Tabla4[[#This Row],[Cantidad]]</f>
        <v>#N/A</v>
      </c>
      <c r="T3354" s="369" t="str">
        <f>VLOOKUP(Tabla4[[#This Row],[Producto]],Tabla6[#All],14,FALSE)</f>
        <v>Termico Solar</v>
      </c>
      <c r="U3354" s="284" t="e">
        <f>(IF(Tabla4[[#This Row],[Familia]]="termico solar",Tabla4[[#This Row],[Utilidad Total]]*6%,Tabla4[[#This Row],[Utilidad Total]]*11.5%))/Tabla4[[#This Row],[Total]]</f>
        <v>#N/A</v>
      </c>
      <c r="V3354" s="282" t="e">
        <f>+Tabla4[[#This Row],[Comisión Calculada]]*Tabla4[[#This Row],[Total]]</f>
        <v>#N/A</v>
      </c>
    </row>
    <row r="3355" spans="1:22" hidden="1" x14ac:dyDescent="0.25">
      <c r="A3355" s="100">
        <v>45823</v>
      </c>
      <c r="B3355" t="str">
        <f t="shared" si="160"/>
        <v>June</v>
      </c>
      <c r="C3355" s="46" t="s">
        <v>280</v>
      </c>
      <c r="F3355" s="366" t="s">
        <v>2003</v>
      </c>
      <c r="G3355" s="46" t="s">
        <v>83</v>
      </c>
      <c r="H3355" s="46">
        <v>1</v>
      </c>
      <c r="I3355" s="51">
        <v>8858.76</v>
      </c>
      <c r="J3355" s="281">
        <f>++Tabla4[[#This Row],[Precio Bruto]]*1.16</f>
        <v>10276.161599999999</v>
      </c>
      <c r="K3355" s="281">
        <f>+Tabla4[[#This Row],[Precio Unitario Neto]]*Tabla4[[#Headers],[20.85%]]</f>
        <v>2142.5796935999997</v>
      </c>
      <c r="L3355" s="282">
        <f>++Tabla4[[#This Row],[Precio Unitario Neto]]-Tabla4[[#This Row],[20.85%]]</f>
        <v>8133.5819063999998</v>
      </c>
      <c r="M3355" s="282" t="e">
        <f>(INDEX(Tabla6[#All],MATCH(Tabla4[[#This Row],[Producto]],Tabla6[[#All],[PRODUCTO]],0),MATCH(Tabla4[[#This Row],[Mes]],Tabla6[#Headers],0)))*(1+Catalogos!$L$2)</f>
        <v>#N/A</v>
      </c>
      <c r="N3355" s="283" t="e">
        <f>+(Tabla4[[#This Row],[Precio Descontado]]-Tabla4[[#This Row],[Precio Base]])*Tabla4[[#This Row],[Cantidad]]</f>
        <v>#N/A</v>
      </c>
      <c r="O3355" s="284" t="e">
        <f>++Tabla4[[#This Row],[Utilidad Total]]/Tabla4[[#This Row],[Total]]</f>
        <v>#N/A</v>
      </c>
      <c r="P3355" s="282">
        <f>++Tabla4[[#This Row],[Precio Descontado]]*Tabla4[[#This Row],[Cantidad]]</f>
        <v>8133.5819063999998</v>
      </c>
      <c r="Q3355" s="282" t="e">
        <f>(INDEX(Tabla6[#All],MATCH(Tabla4[[#This Row],[Producto]],Tabla6[[#All],[PRODUCTO]],0),MATCH(Tabla4[[#This Row],[Mes]],Tabla6[#Headers],0)))</f>
        <v>#N/A</v>
      </c>
      <c r="R3355" s="282" t="e">
        <f>++Tabla4[[#This Row],[Precio Unitario Neto]]-Tabla4[[#This Row],[20.85%]]-Tabla4[[#This Row],[Costo]]</f>
        <v>#N/A</v>
      </c>
      <c r="S3355" s="282" t="e">
        <f>++Tabla4[[#This Row],[U. Bruta Uni]]*Tabla4[[#This Row],[Cantidad]]</f>
        <v>#N/A</v>
      </c>
      <c r="T3355" s="369" t="str">
        <f>VLOOKUP(Tabla4[[#This Row],[Producto]],Tabla6[#All],14,FALSE)</f>
        <v>Termico Solar</v>
      </c>
      <c r="U3355" s="284" t="e">
        <f>(IF(Tabla4[[#This Row],[Familia]]="termico solar",Tabla4[[#This Row],[Utilidad Total]]*6%,Tabla4[[#This Row],[Utilidad Total]]*11.5%))/Tabla4[[#This Row],[Total]]</f>
        <v>#N/A</v>
      </c>
      <c r="V3355" s="282" t="e">
        <f>+Tabla4[[#This Row],[Comisión Calculada]]*Tabla4[[#This Row],[Total]]</f>
        <v>#N/A</v>
      </c>
    </row>
    <row r="3356" spans="1:22" hidden="1" x14ac:dyDescent="0.25">
      <c r="A3356" s="100">
        <v>45823</v>
      </c>
      <c r="B3356" t="str">
        <f t="shared" si="160"/>
        <v>June</v>
      </c>
      <c r="C3356" s="46" t="s">
        <v>280</v>
      </c>
      <c r="F3356" s="366" t="s">
        <v>2003</v>
      </c>
      <c r="G3356" s="46" t="s">
        <v>18</v>
      </c>
      <c r="H3356" s="46">
        <v>1</v>
      </c>
      <c r="I3356" s="51">
        <v>5367.65</v>
      </c>
      <c r="J3356" s="281">
        <f>++Tabla4[[#This Row],[Precio Bruto]]*1.16</f>
        <v>6226.4739999999993</v>
      </c>
      <c r="K3356" s="281">
        <f>+Tabla4[[#This Row],[Precio Unitario Neto]]*Tabla4[[#Headers],[20.85%]]</f>
        <v>1298.2198289999999</v>
      </c>
      <c r="L3356" s="282">
        <f>++Tabla4[[#This Row],[Precio Unitario Neto]]-Tabla4[[#This Row],[20.85%]]</f>
        <v>4928.2541709999996</v>
      </c>
      <c r="M3356" s="282" t="e">
        <f>(INDEX(Tabla6[#All],MATCH(Tabla4[[#This Row],[Producto]],Tabla6[[#All],[PRODUCTO]],0),MATCH(Tabla4[[#This Row],[Mes]],Tabla6[#Headers],0)))*(1+Catalogos!$L$2)</f>
        <v>#N/A</v>
      </c>
      <c r="N3356" s="283" t="e">
        <f>+(Tabla4[[#This Row],[Precio Descontado]]-Tabla4[[#This Row],[Precio Base]])*Tabla4[[#This Row],[Cantidad]]</f>
        <v>#N/A</v>
      </c>
      <c r="O3356" s="284" t="e">
        <f>++Tabla4[[#This Row],[Utilidad Total]]/Tabla4[[#This Row],[Total]]</f>
        <v>#N/A</v>
      </c>
      <c r="P3356" s="282">
        <f>++Tabla4[[#This Row],[Precio Descontado]]*Tabla4[[#This Row],[Cantidad]]</f>
        <v>4928.2541709999996</v>
      </c>
      <c r="Q3356" s="282" t="e">
        <f>(INDEX(Tabla6[#All],MATCH(Tabla4[[#This Row],[Producto]],Tabla6[[#All],[PRODUCTO]],0),MATCH(Tabla4[[#This Row],[Mes]],Tabla6[#Headers],0)))</f>
        <v>#N/A</v>
      </c>
      <c r="R3356" s="282" t="e">
        <f>++Tabla4[[#This Row],[Precio Unitario Neto]]-Tabla4[[#This Row],[20.85%]]-Tabla4[[#This Row],[Costo]]</f>
        <v>#N/A</v>
      </c>
      <c r="S3356" s="282" t="e">
        <f>++Tabla4[[#This Row],[U. Bruta Uni]]*Tabla4[[#This Row],[Cantidad]]</f>
        <v>#N/A</v>
      </c>
      <c r="T3356" s="369" t="str">
        <f>VLOOKUP(Tabla4[[#This Row],[Producto]],Tabla6[#All],14,FALSE)</f>
        <v>Termico Solar</v>
      </c>
      <c r="U3356" s="284" t="e">
        <f>(IF(Tabla4[[#This Row],[Familia]]="termico solar",Tabla4[[#This Row],[Utilidad Total]]*6%,Tabla4[[#This Row],[Utilidad Total]]*11.5%))/Tabla4[[#This Row],[Total]]</f>
        <v>#N/A</v>
      </c>
      <c r="V3356" s="282" t="e">
        <f>+Tabla4[[#This Row],[Comisión Calculada]]*Tabla4[[#This Row],[Total]]</f>
        <v>#N/A</v>
      </c>
    </row>
    <row r="3357" spans="1:22" hidden="1" x14ac:dyDescent="0.25">
      <c r="A3357" s="100">
        <v>45823</v>
      </c>
      <c r="B3357" t="str">
        <f t="shared" si="160"/>
        <v>June</v>
      </c>
      <c r="C3357" s="46" t="s">
        <v>280</v>
      </c>
      <c r="F3357" s="366" t="s">
        <v>2003</v>
      </c>
      <c r="G3357" s="46" t="s">
        <v>566</v>
      </c>
      <c r="H3357" s="46">
        <v>1</v>
      </c>
      <c r="I3357" s="51">
        <v>2109.4499999999998</v>
      </c>
      <c r="J3357" s="281">
        <f>++Tabla4[[#This Row],[Precio Bruto]]*1.16</f>
        <v>2446.9619999999995</v>
      </c>
      <c r="K3357" s="281">
        <f>+Tabla4[[#This Row],[Precio Unitario Neto]]*Tabla4[[#Headers],[20.85%]]</f>
        <v>510.19157699999988</v>
      </c>
      <c r="L3357" s="282">
        <f>++Tabla4[[#This Row],[Precio Unitario Neto]]-Tabla4[[#This Row],[20.85%]]</f>
        <v>1936.7704229999997</v>
      </c>
      <c r="M3357" s="282" t="e">
        <f>(INDEX(Tabla6[#All],MATCH(Tabla4[[#This Row],[Producto]],Tabla6[[#All],[PRODUCTO]],0),MATCH(Tabla4[[#This Row],[Mes]],Tabla6[#Headers],0)))*(1+Catalogos!$L$2)</f>
        <v>#N/A</v>
      </c>
      <c r="N3357" s="283" t="e">
        <f>+(Tabla4[[#This Row],[Precio Descontado]]-Tabla4[[#This Row],[Precio Base]])*Tabla4[[#This Row],[Cantidad]]</f>
        <v>#N/A</v>
      </c>
      <c r="O3357" s="284" t="e">
        <f>++Tabla4[[#This Row],[Utilidad Total]]/Tabla4[[#This Row],[Total]]</f>
        <v>#N/A</v>
      </c>
      <c r="P3357" s="282">
        <f>++Tabla4[[#This Row],[Precio Descontado]]*Tabla4[[#This Row],[Cantidad]]</f>
        <v>1936.7704229999997</v>
      </c>
      <c r="Q3357" s="282" t="e">
        <f>(INDEX(Tabla6[#All],MATCH(Tabla4[[#This Row],[Producto]],Tabla6[[#All],[PRODUCTO]],0),MATCH(Tabla4[[#This Row],[Mes]],Tabla6[#Headers],0)))</f>
        <v>#N/A</v>
      </c>
      <c r="R3357" s="282" t="e">
        <f>++Tabla4[[#This Row],[Precio Unitario Neto]]-Tabla4[[#This Row],[20.85%]]-Tabla4[[#This Row],[Costo]]</f>
        <v>#N/A</v>
      </c>
      <c r="S3357" s="282" t="e">
        <f>++Tabla4[[#This Row],[U. Bruta Uni]]*Tabla4[[#This Row],[Cantidad]]</f>
        <v>#N/A</v>
      </c>
      <c r="T3357" s="369" t="str">
        <f>VLOOKUP(Tabla4[[#This Row],[Producto]],Tabla6[#All],14,FALSE)</f>
        <v>Termico Solar</v>
      </c>
      <c r="U3357" s="284" t="e">
        <f>(IF(Tabla4[[#This Row],[Familia]]="termico solar",Tabla4[[#This Row],[Utilidad Total]]*6%,Tabla4[[#This Row],[Utilidad Total]]*11.5%))/Tabla4[[#This Row],[Total]]</f>
        <v>#N/A</v>
      </c>
      <c r="V3357" s="282" t="e">
        <f>+Tabla4[[#This Row],[Comisión Calculada]]*Tabla4[[#This Row],[Total]]</f>
        <v>#N/A</v>
      </c>
    </row>
    <row r="3358" spans="1:22" hidden="1" x14ac:dyDescent="0.25">
      <c r="A3358" s="100">
        <v>45823</v>
      </c>
      <c r="B3358" t="str">
        <f t="shared" si="160"/>
        <v>June</v>
      </c>
      <c r="C3358" s="46" t="s">
        <v>280</v>
      </c>
      <c r="F3358" s="366" t="s">
        <v>2004</v>
      </c>
      <c r="G3358" s="46" t="s">
        <v>16</v>
      </c>
      <c r="H3358" s="46">
        <v>1</v>
      </c>
      <c r="I3358" s="51">
        <v>4103.8500000000004</v>
      </c>
      <c r="J3358" s="281">
        <f>++Tabla4[[#This Row],[Precio Bruto]]*1.16</f>
        <v>4760.4660000000003</v>
      </c>
      <c r="K3358" s="281">
        <f>+Tabla4[[#This Row],[Precio Unitario Neto]]*Tabla4[[#Headers],[20.85%]]</f>
        <v>992.55716100000006</v>
      </c>
      <c r="L3358" s="282">
        <f>++Tabla4[[#This Row],[Precio Unitario Neto]]-Tabla4[[#This Row],[20.85%]]</f>
        <v>3767.9088390000002</v>
      </c>
      <c r="M3358" s="282" t="e">
        <f>(INDEX(Tabla6[#All],MATCH(Tabla4[[#This Row],[Producto]],Tabla6[[#All],[PRODUCTO]],0),MATCH(Tabla4[[#This Row],[Mes]],Tabla6[#Headers],0)))*(1+Catalogos!$L$2)</f>
        <v>#N/A</v>
      </c>
      <c r="N3358" s="283" t="e">
        <f>+(Tabla4[[#This Row],[Precio Descontado]]-Tabla4[[#This Row],[Precio Base]])*Tabla4[[#This Row],[Cantidad]]</f>
        <v>#N/A</v>
      </c>
      <c r="O3358" s="284" t="e">
        <f>++Tabla4[[#This Row],[Utilidad Total]]/Tabla4[[#This Row],[Total]]</f>
        <v>#N/A</v>
      </c>
      <c r="P3358" s="282">
        <f>++Tabla4[[#This Row],[Precio Descontado]]*Tabla4[[#This Row],[Cantidad]]</f>
        <v>3767.9088390000002</v>
      </c>
      <c r="Q3358" s="282" t="e">
        <f>(INDEX(Tabla6[#All],MATCH(Tabla4[[#This Row],[Producto]],Tabla6[[#All],[PRODUCTO]],0),MATCH(Tabla4[[#This Row],[Mes]],Tabla6[#Headers],0)))</f>
        <v>#N/A</v>
      </c>
      <c r="R3358" s="282" t="e">
        <f>++Tabla4[[#This Row],[Precio Unitario Neto]]-Tabla4[[#This Row],[20.85%]]-Tabla4[[#This Row],[Costo]]</f>
        <v>#N/A</v>
      </c>
      <c r="S3358" s="282" t="e">
        <f>++Tabla4[[#This Row],[U. Bruta Uni]]*Tabla4[[#This Row],[Cantidad]]</f>
        <v>#N/A</v>
      </c>
      <c r="T3358" s="369" t="str">
        <f>VLOOKUP(Tabla4[[#This Row],[Producto]],Tabla6[#All],14,FALSE)</f>
        <v>Termico Solar</v>
      </c>
      <c r="U3358" s="284" t="e">
        <f>(IF(Tabla4[[#This Row],[Familia]]="termico solar",Tabla4[[#This Row],[Utilidad Total]]*6%,Tabla4[[#This Row],[Utilidad Total]]*11.5%))/Tabla4[[#This Row],[Total]]</f>
        <v>#N/A</v>
      </c>
      <c r="V3358" s="282" t="e">
        <f>+Tabla4[[#This Row],[Comisión Calculada]]*Tabla4[[#This Row],[Total]]</f>
        <v>#N/A</v>
      </c>
    </row>
    <row r="3359" spans="1:22" hidden="1" x14ac:dyDescent="0.25">
      <c r="A3359" s="100">
        <v>45823</v>
      </c>
      <c r="B3359" t="str">
        <f t="shared" si="160"/>
        <v>June</v>
      </c>
      <c r="C3359" s="46" t="s">
        <v>280</v>
      </c>
      <c r="F3359" s="366" t="s">
        <v>2005</v>
      </c>
      <c r="G3359" s="46" t="s">
        <v>83</v>
      </c>
      <c r="H3359" s="46">
        <v>2</v>
      </c>
      <c r="I3359" s="51">
        <v>8858.76</v>
      </c>
      <c r="J3359" s="281">
        <f>++Tabla4[[#This Row],[Precio Bruto]]*1.16</f>
        <v>10276.161599999999</v>
      </c>
      <c r="K3359" s="281">
        <f>+Tabla4[[#This Row],[Precio Unitario Neto]]*Tabla4[[#Headers],[20.85%]]</f>
        <v>2142.5796935999997</v>
      </c>
      <c r="L3359" s="282">
        <f>++Tabla4[[#This Row],[Precio Unitario Neto]]-Tabla4[[#This Row],[20.85%]]</f>
        <v>8133.5819063999998</v>
      </c>
      <c r="M3359" s="282" t="e">
        <f>(INDEX(Tabla6[#All],MATCH(Tabla4[[#This Row],[Producto]],Tabla6[[#All],[PRODUCTO]],0),MATCH(Tabla4[[#This Row],[Mes]],Tabla6[#Headers],0)))*(1+Catalogos!$L$2)</f>
        <v>#N/A</v>
      </c>
      <c r="N3359" s="283" t="e">
        <f>+(Tabla4[[#This Row],[Precio Descontado]]-Tabla4[[#This Row],[Precio Base]])*Tabla4[[#This Row],[Cantidad]]</f>
        <v>#N/A</v>
      </c>
      <c r="O3359" s="284" t="e">
        <f>++Tabla4[[#This Row],[Utilidad Total]]/Tabla4[[#This Row],[Total]]</f>
        <v>#N/A</v>
      </c>
      <c r="P3359" s="282">
        <f>++Tabla4[[#This Row],[Precio Descontado]]*Tabla4[[#This Row],[Cantidad]]</f>
        <v>16267.1638128</v>
      </c>
      <c r="Q3359" s="282" t="e">
        <f>(INDEX(Tabla6[#All],MATCH(Tabla4[[#This Row],[Producto]],Tabla6[[#All],[PRODUCTO]],0),MATCH(Tabla4[[#This Row],[Mes]],Tabla6[#Headers],0)))</f>
        <v>#N/A</v>
      </c>
      <c r="R3359" s="282" t="e">
        <f>++Tabla4[[#This Row],[Precio Unitario Neto]]-Tabla4[[#This Row],[20.85%]]-Tabla4[[#This Row],[Costo]]</f>
        <v>#N/A</v>
      </c>
      <c r="S3359" s="282" t="e">
        <f>++Tabla4[[#This Row],[U. Bruta Uni]]*Tabla4[[#This Row],[Cantidad]]</f>
        <v>#N/A</v>
      </c>
      <c r="T3359" s="369" t="str">
        <f>VLOOKUP(Tabla4[[#This Row],[Producto]],Tabla6[#All],14,FALSE)</f>
        <v>Termico Solar</v>
      </c>
      <c r="U3359" s="284" t="e">
        <f>(IF(Tabla4[[#This Row],[Familia]]="termico solar",Tabla4[[#This Row],[Utilidad Total]]*6%,Tabla4[[#This Row],[Utilidad Total]]*11.5%))/Tabla4[[#This Row],[Total]]</f>
        <v>#N/A</v>
      </c>
      <c r="V3359" s="282" t="e">
        <f>+Tabla4[[#This Row],[Comisión Calculada]]*Tabla4[[#This Row],[Total]]</f>
        <v>#N/A</v>
      </c>
    </row>
    <row r="3360" spans="1:22" hidden="1" x14ac:dyDescent="0.25">
      <c r="A3360" s="100">
        <v>45823</v>
      </c>
      <c r="B3360" t="str">
        <f t="shared" si="160"/>
        <v>June</v>
      </c>
      <c r="C3360" s="46" t="s">
        <v>280</v>
      </c>
      <c r="F3360" s="366" t="s">
        <v>2005</v>
      </c>
      <c r="G3360" s="46" t="s">
        <v>18</v>
      </c>
      <c r="H3360" s="46">
        <v>4</v>
      </c>
      <c r="I3360" s="51">
        <v>5367.65</v>
      </c>
      <c r="J3360" s="281">
        <f>++Tabla4[[#This Row],[Precio Bruto]]*1.16</f>
        <v>6226.4739999999993</v>
      </c>
      <c r="K3360" s="281">
        <f>+Tabla4[[#This Row],[Precio Unitario Neto]]*Tabla4[[#Headers],[20.85%]]</f>
        <v>1298.2198289999999</v>
      </c>
      <c r="L3360" s="282">
        <f>++Tabla4[[#This Row],[Precio Unitario Neto]]-Tabla4[[#This Row],[20.85%]]</f>
        <v>4928.2541709999996</v>
      </c>
      <c r="M3360" s="282" t="e">
        <f>(INDEX(Tabla6[#All],MATCH(Tabla4[[#This Row],[Producto]],Tabla6[[#All],[PRODUCTO]],0),MATCH(Tabla4[[#This Row],[Mes]],Tabla6[#Headers],0)))*(1+Catalogos!$L$2)</f>
        <v>#N/A</v>
      </c>
      <c r="N3360" s="283" t="e">
        <f>+(Tabla4[[#This Row],[Precio Descontado]]-Tabla4[[#This Row],[Precio Base]])*Tabla4[[#This Row],[Cantidad]]</f>
        <v>#N/A</v>
      </c>
      <c r="O3360" s="284" t="e">
        <f>++Tabla4[[#This Row],[Utilidad Total]]/Tabla4[[#This Row],[Total]]</f>
        <v>#N/A</v>
      </c>
      <c r="P3360" s="282">
        <f>++Tabla4[[#This Row],[Precio Descontado]]*Tabla4[[#This Row],[Cantidad]]</f>
        <v>19713.016683999998</v>
      </c>
      <c r="Q3360" s="282" t="e">
        <f>(INDEX(Tabla6[#All],MATCH(Tabla4[[#This Row],[Producto]],Tabla6[[#All],[PRODUCTO]],0),MATCH(Tabla4[[#This Row],[Mes]],Tabla6[#Headers],0)))</f>
        <v>#N/A</v>
      </c>
      <c r="R3360" s="282" t="e">
        <f>++Tabla4[[#This Row],[Precio Unitario Neto]]-Tabla4[[#This Row],[20.85%]]-Tabla4[[#This Row],[Costo]]</f>
        <v>#N/A</v>
      </c>
      <c r="S3360" s="282" t="e">
        <f>++Tabla4[[#This Row],[U. Bruta Uni]]*Tabla4[[#This Row],[Cantidad]]</f>
        <v>#N/A</v>
      </c>
      <c r="T3360" s="369" t="str">
        <f>VLOOKUP(Tabla4[[#This Row],[Producto]],Tabla6[#All],14,FALSE)</f>
        <v>Termico Solar</v>
      </c>
      <c r="U3360" s="284" t="e">
        <f>(IF(Tabla4[[#This Row],[Familia]]="termico solar",Tabla4[[#This Row],[Utilidad Total]]*6%,Tabla4[[#This Row],[Utilidad Total]]*11.5%))/Tabla4[[#This Row],[Total]]</f>
        <v>#N/A</v>
      </c>
      <c r="V3360" s="282" t="e">
        <f>+Tabla4[[#This Row],[Comisión Calculada]]*Tabla4[[#This Row],[Total]]</f>
        <v>#N/A</v>
      </c>
    </row>
    <row r="3361" spans="1:22" hidden="1" x14ac:dyDescent="0.25">
      <c r="A3361" s="100">
        <v>45823</v>
      </c>
      <c r="B3361" t="str">
        <f t="shared" si="160"/>
        <v>June</v>
      </c>
      <c r="C3361" s="46" t="s">
        <v>280</v>
      </c>
      <c r="F3361" s="366" t="s">
        <v>2006</v>
      </c>
      <c r="G3361" s="46" t="s">
        <v>83</v>
      </c>
      <c r="H3361" s="46">
        <v>7</v>
      </c>
      <c r="I3361" s="51">
        <v>8858.76</v>
      </c>
      <c r="J3361" s="281">
        <f>++Tabla4[[#This Row],[Precio Bruto]]*1.16</f>
        <v>10276.161599999999</v>
      </c>
      <c r="K3361" s="281">
        <f>+Tabla4[[#This Row],[Precio Unitario Neto]]*Tabla4[[#Headers],[20.85%]]</f>
        <v>2142.5796935999997</v>
      </c>
      <c r="L3361" s="282">
        <f>++Tabla4[[#This Row],[Precio Unitario Neto]]-Tabla4[[#This Row],[20.85%]]</f>
        <v>8133.5819063999998</v>
      </c>
      <c r="M3361" s="282" t="e">
        <f>(INDEX(Tabla6[#All],MATCH(Tabla4[[#This Row],[Producto]],Tabla6[[#All],[PRODUCTO]],0),MATCH(Tabla4[[#This Row],[Mes]],Tabla6[#Headers],0)))*(1+Catalogos!$L$2)</f>
        <v>#N/A</v>
      </c>
      <c r="N3361" s="283" t="e">
        <f>+(Tabla4[[#This Row],[Precio Descontado]]-Tabla4[[#This Row],[Precio Base]])*Tabla4[[#This Row],[Cantidad]]</f>
        <v>#N/A</v>
      </c>
      <c r="O3361" s="284" t="e">
        <f>++Tabla4[[#This Row],[Utilidad Total]]/Tabla4[[#This Row],[Total]]</f>
        <v>#N/A</v>
      </c>
      <c r="P3361" s="282">
        <f>++Tabla4[[#This Row],[Precio Descontado]]*Tabla4[[#This Row],[Cantidad]]</f>
        <v>56935.073344799996</v>
      </c>
      <c r="Q3361" s="282" t="e">
        <f>(INDEX(Tabla6[#All],MATCH(Tabla4[[#This Row],[Producto]],Tabla6[[#All],[PRODUCTO]],0),MATCH(Tabla4[[#This Row],[Mes]],Tabla6[#Headers],0)))</f>
        <v>#N/A</v>
      </c>
      <c r="R3361" s="282" t="e">
        <f>++Tabla4[[#This Row],[Precio Unitario Neto]]-Tabla4[[#This Row],[20.85%]]-Tabla4[[#This Row],[Costo]]</f>
        <v>#N/A</v>
      </c>
      <c r="S3361" s="282" t="e">
        <f>++Tabla4[[#This Row],[U. Bruta Uni]]*Tabla4[[#This Row],[Cantidad]]</f>
        <v>#N/A</v>
      </c>
      <c r="T3361" s="369" t="str">
        <f>VLOOKUP(Tabla4[[#This Row],[Producto]],Tabla6[#All],14,FALSE)</f>
        <v>Termico Solar</v>
      </c>
      <c r="U3361" s="284" t="e">
        <f>(IF(Tabla4[[#This Row],[Familia]]="termico solar",Tabla4[[#This Row],[Utilidad Total]]*6%,Tabla4[[#This Row],[Utilidad Total]]*11.5%))/Tabla4[[#This Row],[Total]]</f>
        <v>#N/A</v>
      </c>
      <c r="V3361" s="282" t="e">
        <f>+Tabla4[[#This Row],[Comisión Calculada]]*Tabla4[[#This Row],[Total]]</f>
        <v>#N/A</v>
      </c>
    </row>
    <row r="3362" spans="1:22" hidden="1" x14ac:dyDescent="0.25">
      <c r="A3362" s="100">
        <v>45823</v>
      </c>
      <c r="B3362" t="str">
        <f t="shared" si="160"/>
        <v>June</v>
      </c>
      <c r="C3362" s="46" t="s">
        <v>280</v>
      </c>
      <c r="F3362" s="366" t="s">
        <v>2006</v>
      </c>
      <c r="G3362" s="46" t="s">
        <v>555</v>
      </c>
      <c r="H3362" s="46">
        <v>8</v>
      </c>
      <c r="I3362" s="51">
        <v>389.47</v>
      </c>
      <c r="J3362" s="281">
        <f>++Tabla4[[#This Row],[Precio Bruto]]*1.16</f>
        <v>451.78519999999997</v>
      </c>
      <c r="K3362" s="281">
        <f>+Tabla4[[#This Row],[Precio Unitario Neto]]*Tabla4[[#Headers],[20.85%]]</f>
        <v>94.197214199999991</v>
      </c>
      <c r="L3362" s="282">
        <f>++Tabla4[[#This Row],[Precio Unitario Neto]]-Tabla4[[#This Row],[20.85%]]</f>
        <v>357.58798579999996</v>
      </c>
      <c r="M3362" s="282" t="e">
        <f>(INDEX(Tabla6[#All],MATCH(Tabla4[[#This Row],[Producto]],Tabla6[[#All],[PRODUCTO]],0),MATCH(Tabla4[[#This Row],[Mes]],Tabla6[#Headers],0)))*(1+Catalogos!$L$2)</f>
        <v>#N/A</v>
      </c>
      <c r="N3362" s="283" t="e">
        <f>+(Tabla4[[#This Row],[Precio Descontado]]-Tabla4[[#This Row],[Precio Base]])*Tabla4[[#This Row],[Cantidad]]</f>
        <v>#N/A</v>
      </c>
      <c r="O3362" s="284" t="e">
        <f>++Tabla4[[#This Row],[Utilidad Total]]/Tabla4[[#This Row],[Total]]</f>
        <v>#N/A</v>
      </c>
      <c r="P3362" s="282">
        <f>++Tabla4[[#This Row],[Precio Descontado]]*Tabla4[[#This Row],[Cantidad]]</f>
        <v>2860.7038863999996</v>
      </c>
      <c r="Q3362" s="282" t="e">
        <f>(INDEX(Tabla6[#All],MATCH(Tabla4[[#This Row],[Producto]],Tabla6[[#All],[PRODUCTO]],0),MATCH(Tabla4[[#This Row],[Mes]],Tabla6[#Headers],0)))</f>
        <v>#N/A</v>
      </c>
      <c r="R3362" s="282" t="e">
        <f>++Tabla4[[#This Row],[Precio Unitario Neto]]-Tabla4[[#This Row],[20.85%]]-Tabla4[[#This Row],[Costo]]</f>
        <v>#N/A</v>
      </c>
      <c r="S3362" s="282" t="e">
        <f>++Tabla4[[#This Row],[U. Bruta Uni]]*Tabla4[[#This Row],[Cantidad]]</f>
        <v>#N/A</v>
      </c>
      <c r="T3362" s="369" t="str">
        <f>VLOOKUP(Tabla4[[#This Row],[Producto]],Tabla6[#All],14,FALSE)</f>
        <v>Termico Solar</v>
      </c>
      <c r="U3362" s="284" t="e">
        <f>(IF(Tabla4[[#This Row],[Familia]]="termico solar",Tabla4[[#This Row],[Utilidad Total]]*6%,Tabla4[[#This Row],[Utilidad Total]]*11.5%))/Tabla4[[#This Row],[Total]]</f>
        <v>#N/A</v>
      </c>
      <c r="V3362" s="282" t="e">
        <f>+Tabla4[[#This Row],[Comisión Calculada]]*Tabla4[[#This Row],[Total]]</f>
        <v>#N/A</v>
      </c>
    </row>
    <row r="3363" spans="1:22" hidden="1" x14ac:dyDescent="0.25">
      <c r="A3363" s="100">
        <v>45823</v>
      </c>
      <c r="B3363" t="str">
        <f t="shared" si="160"/>
        <v>June</v>
      </c>
      <c r="C3363" s="46" t="s">
        <v>280</v>
      </c>
      <c r="F3363" s="366" t="s">
        <v>2006</v>
      </c>
      <c r="G3363" s="46" t="s">
        <v>208</v>
      </c>
      <c r="H3363" s="46">
        <v>4</v>
      </c>
      <c r="I3363" s="51">
        <v>189.75</v>
      </c>
      <c r="J3363" s="281">
        <f>++Tabla4[[#This Row],[Precio Bruto]]*1.16</f>
        <v>220.10999999999999</v>
      </c>
      <c r="K3363" s="281">
        <f>+Tabla4[[#This Row],[Precio Unitario Neto]]*Tabla4[[#Headers],[20.85%]]</f>
        <v>45.892934999999994</v>
      </c>
      <c r="L3363" s="282">
        <f>++Tabla4[[#This Row],[Precio Unitario Neto]]-Tabla4[[#This Row],[20.85%]]</f>
        <v>174.21706499999999</v>
      </c>
      <c r="M3363" s="282" t="e">
        <f>(INDEX(Tabla6[#All],MATCH(Tabla4[[#This Row],[Producto]],Tabla6[[#All],[PRODUCTO]],0),MATCH(Tabla4[[#This Row],[Mes]],Tabla6[#Headers],0)))*(1+Catalogos!$L$2)</f>
        <v>#N/A</v>
      </c>
      <c r="N3363" s="283" t="e">
        <f>+(Tabla4[[#This Row],[Precio Descontado]]-Tabla4[[#This Row],[Precio Base]])*Tabla4[[#This Row],[Cantidad]]</f>
        <v>#N/A</v>
      </c>
      <c r="O3363" s="284" t="e">
        <f>++Tabla4[[#This Row],[Utilidad Total]]/Tabla4[[#This Row],[Total]]</f>
        <v>#N/A</v>
      </c>
      <c r="P3363" s="282">
        <f>++Tabla4[[#This Row],[Precio Descontado]]*Tabla4[[#This Row],[Cantidad]]</f>
        <v>696.86825999999996</v>
      </c>
      <c r="Q3363" s="282" t="e">
        <f>(INDEX(Tabla6[#All],MATCH(Tabla4[[#This Row],[Producto]],Tabla6[[#All],[PRODUCTO]],0),MATCH(Tabla4[[#This Row],[Mes]],Tabla6[#Headers],0)))</f>
        <v>#N/A</v>
      </c>
      <c r="R3363" s="282" t="e">
        <f>++Tabla4[[#This Row],[Precio Unitario Neto]]-Tabla4[[#This Row],[20.85%]]-Tabla4[[#This Row],[Costo]]</f>
        <v>#N/A</v>
      </c>
      <c r="S3363" s="282" t="e">
        <f>++Tabla4[[#This Row],[U. Bruta Uni]]*Tabla4[[#This Row],[Cantidad]]</f>
        <v>#N/A</v>
      </c>
      <c r="T3363" s="369" t="str">
        <f>VLOOKUP(Tabla4[[#This Row],[Producto]],Tabla6[#All],14,FALSE)</f>
        <v>Termico Solar</v>
      </c>
      <c r="U3363" s="284" t="e">
        <f>(IF(Tabla4[[#This Row],[Familia]]="termico solar",Tabla4[[#This Row],[Utilidad Total]]*6%,Tabla4[[#This Row],[Utilidad Total]]*11.5%))/Tabla4[[#This Row],[Total]]</f>
        <v>#N/A</v>
      </c>
      <c r="V3363" s="282" t="e">
        <f>+Tabla4[[#This Row],[Comisión Calculada]]*Tabla4[[#This Row],[Total]]</f>
        <v>#N/A</v>
      </c>
    </row>
    <row r="3364" spans="1:22" hidden="1" x14ac:dyDescent="0.25">
      <c r="A3364" s="100">
        <v>45823</v>
      </c>
      <c r="B3364" t="str">
        <f t="shared" si="160"/>
        <v>June</v>
      </c>
      <c r="C3364" s="46" t="s">
        <v>280</v>
      </c>
      <c r="F3364" s="366" t="s">
        <v>2007</v>
      </c>
      <c r="G3364" s="46" t="s">
        <v>83</v>
      </c>
      <c r="H3364" s="46">
        <v>3</v>
      </c>
      <c r="I3364" s="51">
        <v>8858.76</v>
      </c>
      <c r="J3364" s="281">
        <f>++Tabla4[[#This Row],[Precio Bruto]]*1.16</f>
        <v>10276.161599999999</v>
      </c>
      <c r="K3364" s="281">
        <f>+Tabla4[[#This Row],[Precio Unitario Neto]]*Tabla4[[#Headers],[20.85%]]</f>
        <v>2142.5796935999997</v>
      </c>
      <c r="L3364" s="282">
        <f>++Tabla4[[#This Row],[Precio Unitario Neto]]-Tabla4[[#This Row],[20.85%]]</f>
        <v>8133.5819063999998</v>
      </c>
      <c r="M3364" s="282" t="e">
        <f>(INDEX(Tabla6[#All],MATCH(Tabla4[[#This Row],[Producto]],Tabla6[[#All],[PRODUCTO]],0),MATCH(Tabla4[[#This Row],[Mes]],Tabla6[#Headers],0)))*(1+Catalogos!$L$2)</f>
        <v>#N/A</v>
      </c>
      <c r="N3364" s="283" t="e">
        <f>+(Tabla4[[#This Row],[Precio Descontado]]-Tabla4[[#This Row],[Precio Base]])*Tabla4[[#This Row],[Cantidad]]</f>
        <v>#N/A</v>
      </c>
      <c r="O3364" s="284" t="e">
        <f>++Tabla4[[#This Row],[Utilidad Total]]/Tabla4[[#This Row],[Total]]</f>
        <v>#N/A</v>
      </c>
      <c r="P3364" s="282">
        <f>++Tabla4[[#This Row],[Precio Descontado]]*Tabla4[[#This Row],[Cantidad]]</f>
        <v>24400.7457192</v>
      </c>
      <c r="Q3364" s="282" t="e">
        <f>(INDEX(Tabla6[#All],MATCH(Tabla4[[#This Row],[Producto]],Tabla6[[#All],[PRODUCTO]],0),MATCH(Tabla4[[#This Row],[Mes]],Tabla6[#Headers],0)))</f>
        <v>#N/A</v>
      </c>
      <c r="R3364" s="282" t="e">
        <f>++Tabla4[[#This Row],[Precio Unitario Neto]]-Tabla4[[#This Row],[20.85%]]-Tabla4[[#This Row],[Costo]]</f>
        <v>#N/A</v>
      </c>
      <c r="S3364" s="282" t="e">
        <f>++Tabla4[[#This Row],[U. Bruta Uni]]*Tabla4[[#This Row],[Cantidad]]</f>
        <v>#N/A</v>
      </c>
      <c r="T3364" s="369" t="str">
        <f>VLOOKUP(Tabla4[[#This Row],[Producto]],Tabla6[#All],14,FALSE)</f>
        <v>Termico Solar</v>
      </c>
      <c r="U3364" s="284" t="e">
        <f>(IF(Tabla4[[#This Row],[Familia]]="termico solar",Tabla4[[#This Row],[Utilidad Total]]*6%,Tabla4[[#This Row],[Utilidad Total]]*11.5%))/Tabla4[[#This Row],[Total]]</f>
        <v>#N/A</v>
      </c>
      <c r="V3364" s="282" t="e">
        <f>+Tabla4[[#This Row],[Comisión Calculada]]*Tabla4[[#This Row],[Total]]</f>
        <v>#N/A</v>
      </c>
    </row>
    <row r="3365" spans="1:22" hidden="1" x14ac:dyDescent="0.25">
      <c r="A3365" s="100">
        <v>45823</v>
      </c>
      <c r="B3365" t="str">
        <f t="shared" si="160"/>
        <v>June</v>
      </c>
      <c r="C3365" s="46" t="s">
        <v>280</v>
      </c>
      <c r="F3365" s="366" t="s">
        <v>2007</v>
      </c>
      <c r="G3365" s="46" t="s">
        <v>566</v>
      </c>
      <c r="H3365" s="46">
        <v>1</v>
      </c>
      <c r="I3365" s="51">
        <v>2109.4499999999998</v>
      </c>
      <c r="J3365" s="281">
        <f>++Tabla4[[#This Row],[Precio Bruto]]*1.16</f>
        <v>2446.9619999999995</v>
      </c>
      <c r="K3365" s="281">
        <f>+Tabla4[[#This Row],[Precio Unitario Neto]]*Tabla4[[#Headers],[20.85%]]</f>
        <v>510.19157699999988</v>
      </c>
      <c r="L3365" s="282">
        <f>++Tabla4[[#This Row],[Precio Unitario Neto]]-Tabla4[[#This Row],[20.85%]]</f>
        <v>1936.7704229999997</v>
      </c>
      <c r="M3365" s="282" t="e">
        <f>(INDEX(Tabla6[#All],MATCH(Tabla4[[#This Row],[Producto]],Tabla6[[#All],[PRODUCTO]],0),MATCH(Tabla4[[#This Row],[Mes]],Tabla6[#Headers],0)))*(1+Catalogos!$L$2)</f>
        <v>#N/A</v>
      </c>
      <c r="N3365" s="283" t="e">
        <f>+(Tabla4[[#This Row],[Precio Descontado]]-Tabla4[[#This Row],[Precio Base]])*Tabla4[[#This Row],[Cantidad]]</f>
        <v>#N/A</v>
      </c>
      <c r="O3365" s="284" t="e">
        <f>++Tabla4[[#This Row],[Utilidad Total]]/Tabla4[[#This Row],[Total]]</f>
        <v>#N/A</v>
      </c>
      <c r="P3365" s="282">
        <f>++Tabla4[[#This Row],[Precio Descontado]]*Tabla4[[#This Row],[Cantidad]]</f>
        <v>1936.7704229999997</v>
      </c>
      <c r="Q3365" s="282" t="e">
        <f>(INDEX(Tabla6[#All],MATCH(Tabla4[[#This Row],[Producto]],Tabla6[[#All],[PRODUCTO]],0),MATCH(Tabla4[[#This Row],[Mes]],Tabla6[#Headers],0)))</f>
        <v>#N/A</v>
      </c>
      <c r="R3365" s="282" t="e">
        <f>++Tabla4[[#This Row],[Precio Unitario Neto]]-Tabla4[[#This Row],[20.85%]]-Tabla4[[#This Row],[Costo]]</f>
        <v>#N/A</v>
      </c>
      <c r="S3365" s="282" t="e">
        <f>++Tabla4[[#This Row],[U. Bruta Uni]]*Tabla4[[#This Row],[Cantidad]]</f>
        <v>#N/A</v>
      </c>
      <c r="T3365" s="369" t="str">
        <f>VLOOKUP(Tabla4[[#This Row],[Producto]],Tabla6[#All],14,FALSE)</f>
        <v>Termico Solar</v>
      </c>
      <c r="U3365" s="284" t="e">
        <f>(IF(Tabla4[[#This Row],[Familia]]="termico solar",Tabla4[[#This Row],[Utilidad Total]]*6%,Tabla4[[#This Row],[Utilidad Total]]*11.5%))/Tabla4[[#This Row],[Total]]</f>
        <v>#N/A</v>
      </c>
      <c r="V3365" s="282" t="e">
        <f>+Tabla4[[#This Row],[Comisión Calculada]]*Tabla4[[#This Row],[Total]]</f>
        <v>#N/A</v>
      </c>
    </row>
    <row r="3366" spans="1:22" hidden="1" x14ac:dyDescent="0.25">
      <c r="A3366" s="100">
        <v>45823</v>
      </c>
      <c r="B3366" t="str">
        <f t="shared" si="160"/>
        <v>June</v>
      </c>
      <c r="C3366" s="46" t="s">
        <v>280</v>
      </c>
      <c r="F3366" s="366" t="s">
        <v>2008</v>
      </c>
      <c r="G3366" s="46" t="s">
        <v>83</v>
      </c>
      <c r="H3366" s="46">
        <v>3</v>
      </c>
      <c r="I3366" s="51">
        <v>8858.76</v>
      </c>
      <c r="J3366" s="281">
        <f>++Tabla4[[#This Row],[Precio Bruto]]*1.16</f>
        <v>10276.161599999999</v>
      </c>
      <c r="K3366" s="281">
        <f>+Tabla4[[#This Row],[Precio Unitario Neto]]*Tabla4[[#Headers],[20.85%]]</f>
        <v>2142.5796935999997</v>
      </c>
      <c r="L3366" s="282">
        <f>++Tabla4[[#This Row],[Precio Unitario Neto]]-Tabla4[[#This Row],[20.85%]]</f>
        <v>8133.5819063999998</v>
      </c>
      <c r="M3366" s="282" t="e">
        <f>(INDEX(Tabla6[#All],MATCH(Tabla4[[#This Row],[Producto]],Tabla6[[#All],[PRODUCTO]],0),MATCH(Tabla4[[#This Row],[Mes]],Tabla6[#Headers],0)))*(1+Catalogos!$L$2)</f>
        <v>#N/A</v>
      </c>
      <c r="N3366" s="283" t="e">
        <f>+(Tabla4[[#This Row],[Precio Descontado]]-Tabla4[[#This Row],[Precio Base]])*Tabla4[[#This Row],[Cantidad]]</f>
        <v>#N/A</v>
      </c>
      <c r="O3366" s="284" t="e">
        <f>++Tabla4[[#This Row],[Utilidad Total]]/Tabla4[[#This Row],[Total]]</f>
        <v>#N/A</v>
      </c>
      <c r="P3366" s="282">
        <f>++Tabla4[[#This Row],[Precio Descontado]]*Tabla4[[#This Row],[Cantidad]]</f>
        <v>24400.7457192</v>
      </c>
      <c r="Q3366" s="282" t="e">
        <f>(INDEX(Tabla6[#All],MATCH(Tabla4[[#This Row],[Producto]],Tabla6[[#All],[PRODUCTO]],0),MATCH(Tabla4[[#This Row],[Mes]],Tabla6[#Headers],0)))</f>
        <v>#N/A</v>
      </c>
      <c r="R3366" s="282" t="e">
        <f>++Tabla4[[#This Row],[Precio Unitario Neto]]-Tabla4[[#This Row],[20.85%]]-Tabla4[[#This Row],[Costo]]</f>
        <v>#N/A</v>
      </c>
      <c r="S3366" s="282" t="e">
        <f>++Tabla4[[#This Row],[U. Bruta Uni]]*Tabla4[[#This Row],[Cantidad]]</f>
        <v>#N/A</v>
      </c>
      <c r="T3366" s="369" t="str">
        <f>VLOOKUP(Tabla4[[#This Row],[Producto]],Tabla6[#All],14,FALSE)</f>
        <v>Termico Solar</v>
      </c>
      <c r="U3366" s="284" t="e">
        <f>(IF(Tabla4[[#This Row],[Familia]]="termico solar",Tabla4[[#This Row],[Utilidad Total]]*6%,Tabla4[[#This Row],[Utilidad Total]]*11.5%))/Tabla4[[#This Row],[Total]]</f>
        <v>#N/A</v>
      </c>
      <c r="V3366" s="282" t="e">
        <f>+Tabla4[[#This Row],[Comisión Calculada]]*Tabla4[[#This Row],[Total]]</f>
        <v>#N/A</v>
      </c>
    </row>
    <row r="3367" spans="1:22" hidden="1" x14ac:dyDescent="0.25">
      <c r="A3367" s="100">
        <v>45823</v>
      </c>
      <c r="B3367" t="str">
        <f t="shared" si="160"/>
        <v>June</v>
      </c>
      <c r="C3367" s="46" t="s">
        <v>280</v>
      </c>
      <c r="F3367" s="366" t="s">
        <v>2008</v>
      </c>
      <c r="G3367" s="46" t="s">
        <v>17</v>
      </c>
      <c r="H3367" s="46">
        <v>1</v>
      </c>
      <c r="I3367" s="51">
        <v>4622.28</v>
      </c>
      <c r="J3367" s="281">
        <f>++Tabla4[[#This Row],[Precio Bruto]]*1.16</f>
        <v>5361.8447999999989</v>
      </c>
      <c r="K3367" s="281">
        <f>+Tabla4[[#This Row],[Precio Unitario Neto]]*Tabla4[[#Headers],[20.85%]]</f>
        <v>1117.9446407999997</v>
      </c>
      <c r="L3367" s="282">
        <f>++Tabla4[[#This Row],[Precio Unitario Neto]]-Tabla4[[#This Row],[20.85%]]</f>
        <v>4243.9001591999995</v>
      </c>
      <c r="M3367" s="282" t="e">
        <f>(INDEX(Tabla6[#All],MATCH(Tabla4[[#This Row],[Producto]],Tabla6[[#All],[PRODUCTO]],0),MATCH(Tabla4[[#This Row],[Mes]],Tabla6[#Headers],0)))*(1+Catalogos!$L$2)</f>
        <v>#N/A</v>
      </c>
      <c r="N3367" s="283" t="e">
        <f>+(Tabla4[[#This Row],[Precio Descontado]]-Tabla4[[#This Row],[Precio Base]])*Tabla4[[#This Row],[Cantidad]]</f>
        <v>#N/A</v>
      </c>
      <c r="O3367" s="284" t="e">
        <f>++Tabla4[[#This Row],[Utilidad Total]]/Tabla4[[#This Row],[Total]]</f>
        <v>#N/A</v>
      </c>
      <c r="P3367" s="282">
        <f>++Tabla4[[#This Row],[Precio Descontado]]*Tabla4[[#This Row],[Cantidad]]</f>
        <v>4243.9001591999995</v>
      </c>
      <c r="Q3367" s="282" t="e">
        <f>(INDEX(Tabla6[#All],MATCH(Tabla4[[#This Row],[Producto]],Tabla6[[#All],[PRODUCTO]],0),MATCH(Tabla4[[#This Row],[Mes]],Tabla6[#Headers],0)))</f>
        <v>#N/A</v>
      </c>
      <c r="R3367" s="282" t="e">
        <f>++Tabla4[[#This Row],[Precio Unitario Neto]]-Tabla4[[#This Row],[20.85%]]-Tabla4[[#This Row],[Costo]]</f>
        <v>#N/A</v>
      </c>
      <c r="S3367" s="282" t="e">
        <f>++Tabla4[[#This Row],[U. Bruta Uni]]*Tabla4[[#This Row],[Cantidad]]</f>
        <v>#N/A</v>
      </c>
      <c r="T3367" s="369" t="str">
        <f>VLOOKUP(Tabla4[[#This Row],[Producto]],Tabla6[#All],14,FALSE)</f>
        <v>Termico Solar</v>
      </c>
      <c r="U3367" s="284" t="e">
        <f>(IF(Tabla4[[#This Row],[Familia]]="termico solar",Tabla4[[#This Row],[Utilidad Total]]*6%,Tabla4[[#This Row],[Utilidad Total]]*11.5%))/Tabla4[[#This Row],[Total]]</f>
        <v>#N/A</v>
      </c>
      <c r="V3367" s="282" t="e">
        <f>+Tabla4[[#This Row],[Comisión Calculada]]*Tabla4[[#This Row],[Total]]</f>
        <v>#N/A</v>
      </c>
    </row>
    <row r="3368" spans="1:22" hidden="1" x14ac:dyDescent="0.25">
      <c r="A3368" s="100">
        <v>45823</v>
      </c>
      <c r="B3368" t="str">
        <f t="shared" si="160"/>
        <v>June</v>
      </c>
      <c r="C3368" s="46" t="s">
        <v>280</v>
      </c>
      <c r="F3368" s="366" t="s">
        <v>2008</v>
      </c>
      <c r="G3368" s="46" t="s">
        <v>18</v>
      </c>
      <c r="H3368" s="46">
        <v>1</v>
      </c>
      <c r="I3368" s="51">
        <v>5367.65</v>
      </c>
      <c r="J3368" s="281">
        <f>++Tabla4[[#This Row],[Precio Bruto]]*1.16</f>
        <v>6226.4739999999993</v>
      </c>
      <c r="K3368" s="281">
        <f>+Tabla4[[#This Row],[Precio Unitario Neto]]*Tabla4[[#Headers],[20.85%]]</f>
        <v>1298.2198289999999</v>
      </c>
      <c r="L3368" s="282">
        <f>++Tabla4[[#This Row],[Precio Unitario Neto]]-Tabla4[[#This Row],[20.85%]]</f>
        <v>4928.2541709999996</v>
      </c>
      <c r="M3368" s="282" t="e">
        <f>(INDEX(Tabla6[#All],MATCH(Tabla4[[#This Row],[Producto]],Tabla6[[#All],[PRODUCTO]],0),MATCH(Tabla4[[#This Row],[Mes]],Tabla6[#Headers],0)))*(1+Catalogos!$L$2)</f>
        <v>#N/A</v>
      </c>
      <c r="N3368" s="283" t="e">
        <f>+(Tabla4[[#This Row],[Precio Descontado]]-Tabla4[[#This Row],[Precio Base]])*Tabla4[[#This Row],[Cantidad]]</f>
        <v>#N/A</v>
      </c>
      <c r="O3368" s="284" t="e">
        <f>++Tabla4[[#This Row],[Utilidad Total]]/Tabla4[[#This Row],[Total]]</f>
        <v>#N/A</v>
      </c>
      <c r="P3368" s="282">
        <f>++Tabla4[[#This Row],[Precio Descontado]]*Tabla4[[#This Row],[Cantidad]]</f>
        <v>4928.2541709999996</v>
      </c>
      <c r="Q3368" s="282" t="e">
        <f>(INDEX(Tabla6[#All],MATCH(Tabla4[[#This Row],[Producto]],Tabla6[[#All],[PRODUCTO]],0),MATCH(Tabla4[[#This Row],[Mes]],Tabla6[#Headers],0)))</f>
        <v>#N/A</v>
      </c>
      <c r="R3368" s="282" t="e">
        <f>++Tabla4[[#This Row],[Precio Unitario Neto]]-Tabla4[[#This Row],[20.85%]]-Tabla4[[#This Row],[Costo]]</f>
        <v>#N/A</v>
      </c>
      <c r="S3368" s="282" t="e">
        <f>++Tabla4[[#This Row],[U. Bruta Uni]]*Tabla4[[#This Row],[Cantidad]]</f>
        <v>#N/A</v>
      </c>
      <c r="T3368" s="369" t="str">
        <f>VLOOKUP(Tabla4[[#This Row],[Producto]],Tabla6[#All],14,FALSE)</f>
        <v>Termico Solar</v>
      </c>
      <c r="U3368" s="284" t="e">
        <f>(IF(Tabla4[[#This Row],[Familia]]="termico solar",Tabla4[[#This Row],[Utilidad Total]]*6%,Tabla4[[#This Row],[Utilidad Total]]*11.5%))/Tabla4[[#This Row],[Total]]</f>
        <v>#N/A</v>
      </c>
      <c r="V3368" s="282" t="e">
        <f>+Tabla4[[#This Row],[Comisión Calculada]]*Tabla4[[#This Row],[Total]]</f>
        <v>#N/A</v>
      </c>
    </row>
    <row r="3369" spans="1:22" hidden="1" x14ac:dyDescent="0.25">
      <c r="A3369" s="100">
        <v>45823</v>
      </c>
      <c r="B3369" t="str">
        <f t="shared" si="160"/>
        <v>June</v>
      </c>
      <c r="C3369" s="46" t="s">
        <v>280</v>
      </c>
      <c r="F3369" s="366" t="s">
        <v>2009</v>
      </c>
      <c r="G3369" s="46" t="s">
        <v>83</v>
      </c>
      <c r="H3369" s="46">
        <v>1</v>
      </c>
      <c r="I3369" s="51">
        <v>8858.76</v>
      </c>
      <c r="J3369" s="281">
        <f>++Tabla4[[#This Row],[Precio Bruto]]*1.16</f>
        <v>10276.161599999999</v>
      </c>
      <c r="K3369" s="281">
        <f>+Tabla4[[#This Row],[Precio Unitario Neto]]*Tabla4[[#Headers],[20.85%]]</f>
        <v>2142.5796935999997</v>
      </c>
      <c r="L3369" s="282">
        <f>++Tabla4[[#This Row],[Precio Unitario Neto]]-Tabla4[[#This Row],[20.85%]]</f>
        <v>8133.5819063999998</v>
      </c>
      <c r="M3369" s="282" t="e">
        <f>(INDEX(Tabla6[#All],MATCH(Tabla4[[#This Row],[Producto]],Tabla6[[#All],[PRODUCTO]],0),MATCH(Tabla4[[#This Row],[Mes]],Tabla6[#Headers],0)))*(1+Catalogos!$L$2)</f>
        <v>#N/A</v>
      </c>
      <c r="N3369" s="283" t="e">
        <f>+(Tabla4[[#This Row],[Precio Descontado]]-Tabla4[[#This Row],[Precio Base]])*Tabla4[[#This Row],[Cantidad]]</f>
        <v>#N/A</v>
      </c>
      <c r="O3369" s="284" t="e">
        <f>++Tabla4[[#This Row],[Utilidad Total]]/Tabla4[[#This Row],[Total]]</f>
        <v>#N/A</v>
      </c>
      <c r="P3369" s="282">
        <f>++Tabla4[[#This Row],[Precio Descontado]]*Tabla4[[#This Row],[Cantidad]]</f>
        <v>8133.5819063999998</v>
      </c>
      <c r="Q3369" s="282" t="e">
        <f>(INDEX(Tabla6[#All],MATCH(Tabla4[[#This Row],[Producto]],Tabla6[[#All],[PRODUCTO]],0),MATCH(Tabla4[[#This Row],[Mes]],Tabla6[#Headers],0)))</f>
        <v>#N/A</v>
      </c>
      <c r="R3369" s="282" t="e">
        <f>++Tabla4[[#This Row],[Precio Unitario Neto]]-Tabla4[[#This Row],[20.85%]]-Tabla4[[#This Row],[Costo]]</f>
        <v>#N/A</v>
      </c>
      <c r="S3369" s="282" t="e">
        <f>++Tabla4[[#This Row],[U. Bruta Uni]]*Tabla4[[#This Row],[Cantidad]]</f>
        <v>#N/A</v>
      </c>
      <c r="T3369" s="369" t="str">
        <f>VLOOKUP(Tabla4[[#This Row],[Producto]],Tabla6[#All],14,FALSE)</f>
        <v>Termico Solar</v>
      </c>
      <c r="U3369" s="284" t="e">
        <f>(IF(Tabla4[[#This Row],[Familia]]="termico solar",Tabla4[[#This Row],[Utilidad Total]]*6%,Tabla4[[#This Row],[Utilidad Total]]*11.5%))/Tabla4[[#This Row],[Total]]</f>
        <v>#N/A</v>
      </c>
      <c r="V3369" s="282" t="e">
        <f>+Tabla4[[#This Row],[Comisión Calculada]]*Tabla4[[#This Row],[Total]]</f>
        <v>#N/A</v>
      </c>
    </row>
    <row r="3370" spans="1:22" hidden="1" x14ac:dyDescent="0.25">
      <c r="A3370" s="100">
        <v>45823</v>
      </c>
      <c r="B3370" t="str">
        <f t="shared" si="160"/>
        <v>June</v>
      </c>
      <c r="C3370" s="46" t="s">
        <v>280</v>
      </c>
      <c r="F3370" s="366" t="s">
        <v>2010</v>
      </c>
      <c r="G3370" s="46" t="s">
        <v>18</v>
      </c>
      <c r="H3370" s="46">
        <v>3</v>
      </c>
      <c r="I3370" s="51">
        <v>5367.6500000000005</v>
      </c>
      <c r="J3370" s="281">
        <f>++Tabla4[[#This Row],[Precio Bruto]]*1.16</f>
        <v>6226.4740000000002</v>
      </c>
      <c r="K3370" s="281">
        <f>+Tabla4[[#This Row],[Precio Unitario Neto]]*Tabla4[[#Headers],[20.85%]]</f>
        <v>1298.2198289999999</v>
      </c>
      <c r="L3370" s="282">
        <f>++Tabla4[[#This Row],[Precio Unitario Neto]]-Tabla4[[#This Row],[20.85%]]</f>
        <v>4928.2541710000005</v>
      </c>
      <c r="M3370" s="282" t="e">
        <f>(INDEX(Tabla6[#All],MATCH(Tabla4[[#This Row],[Producto]],Tabla6[[#All],[PRODUCTO]],0),MATCH(Tabla4[[#This Row],[Mes]],Tabla6[#Headers],0)))*(1+Catalogos!$L$2)</f>
        <v>#N/A</v>
      </c>
      <c r="N3370" s="283" t="e">
        <f>+(Tabla4[[#This Row],[Precio Descontado]]-Tabla4[[#This Row],[Precio Base]])*Tabla4[[#This Row],[Cantidad]]</f>
        <v>#N/A</v>
      </c>
      <c r="O3370" s="284" t="e">
        <f>++Tabla4[[#This Row],[Utilidad Total]]/Tabla4[[#This Row],[Total]]</f>
        <v>#N/A</v>
      </c>
      <c r="P3370" s="282">
        <f>++Tabla4[[#This Row],[Precio Descontado]]*Tabla4[[#This Row],[Cantidad]]</f>
        <v>14784.762513000001</v>
      </c>
      <c r="Q3370" s="282" t="e">
        <f>(INDEX(Tabla6[#All],MATCH(Tabla4[[#This Row],[Producto]],Tabla6[[#All],[PRODUCTO]],0),MATCH(Tabla4[[#This Row],[Mes]],Tabla6[#Headers],0)))</f>
        <v>#N/A</v>
      </c>
      <c r="R3370" s="282" t="e">
        <f>++Tabla4[[#This Row],[Precio Unitario Neto]]-Tabla4[[#This Row],[20.85%]]-Tabla4[[#This Row],[Costo]]</f>
        <v>#N/A</v>
      </c>
      <c r="S3370" s="282" t="e">
        <f>++Tabla4[[#This Row],[U. Bruta Uni]]*Tabla4[[#This Row],[Cantidad]]</f>
        <v>#N/A</v>
      </c>
      <c r="T3370" s="369" t="str">
        <f>VLOOKUP(Tabla4[[#This Row],[Producto]],Tabla6[#All],14,FALSE)</f>
        <v>Termico Solar</v>
      </c>
      <c r="U3370" s="284" t="e">
        <f>(IF(Tabla4[[#This Row],[Familia]]="termico solar",Tabla4[[#This Row],[Utilidad Total]]*6%,Tabla4[[#This Row],[Utilidad Total]]*11.5%))/Tabla4[[#This Row],[Total]]</f>
        <v>#N/A</v>
      </c>
      <c r="V3370" s="282" t="e">
        <f>+Tabla4[[#This Row],[Comisión Calculada]]*Tabla4[[#This Row],[Total]]</f>
        <v>#N/A</v>
      </c>
    </row>
    <row r="3371" spans="1:22" hidden="1" x14ac:dyDescent="0.25">
      <c r="A3371" s="100">
        <v>45823</v>
      </c>
      <c r="B3371" t="str">
        <f t="shared" si="160"/>
        <v>June</v>
      </c>
      <c r="C3371" s="46" t="s">
        <v>280</v>
      </c>
      <c r="F3371" s="366" t="s">
        <v>2011</v>
      </c>
      <c r="G3371" s="46" t="s">
        <v>17</v>
      </c>
      <c r="H3371" s="46">
        <v>2</v>
      </c>
      <c r="I3371" s="51">
        <v>4622.28</v>
      </c>
      <c r="J3371" s="281">
        <f>++Tabla4[[#This Row],[Precio Bruto]]*1.16</f>
        <v>5361.8447999999989</v>
      </c>
      <c r="K3371" s="281">
        <f>+Tabla4[[#This Row],[Precio Unitario Neto]]*Tabla4[[#Headers],[20.85%]]</f>
        <v>1117.9446407999997</v>
      </c>
      <c r="L3371" s="282">
        <f>++Tabla4[[#This Row],[Precio Unitario Neto]]-Tabla4[[#This Row],[20.85%]]</f>
        <v>4243.9001591999995</v>
      </c>
      <c r="M3371" s="282" t="e">
        <f>(INDEX(Tabla6[#All],MATCH(Tabla4[[#This Row],[Producto]],Tabla6[[#All],[PRODUCTO]],0),MATCH(Tabla4[[#This Row],[Mes]],Tabla6[#Headers],0)))*(1+Catalogos!$L$2)</f>
        <v>#N/A</v>
      </c>
      <c r="N3371" s="283" t="e">
        <f>+(Tabla4[[#This Row],[Precio Descontado]]-Tabla4[[#This Row],[Precio Base]])*Tabla4[[#This Row],[Cantidad]]</f>
        <v>#N/A</v>
      </c>
      <c r="O3371" s="284" t="e">
        <f>++Tabla4[[#This Row],[Utilidad Total]]/Tabla4[[#This Row],[Total]]</f>
        <v>#N/A</v>
      </c>
      <c r="P3371" s="282">
        <f>++Tabla4[[#This Row],[Precio Descontado]]*Tabla4[[#This Row],[Cantidad]]</f>
        <v>8487.800318399999</v>
      </c>
      <c r="Q3371" s="282" t="e">
        <f>(INDEX(Tabla6[#All],MATCH(Tabla4[[#This Row],[Producto]],Tabla6[[#All],[PRODUCTO]],0),MATCH(Tabla4[[#This Row],[Mes]],Tabla6[#Headers],0)))</f>
        <v>#N/A</v>
      </c>
      <c r="R3371" s="282" t="e">
        <f>++Tabla4[[#This Row],[Precio Unitario Neto]]-Tabla4[[#This Row],[20.85%]]-Tabla4[[#This Row],[Costo]]</f>
        <v>#N/A</v>
      </c>
      <c r="S3371" s="282" t="e">
        <f>++Tabla4[[#This Row],[U. Bruta Uni]]*Tabla4[[#This Row],[Cantidad]]</f>
        <v>#N/A</v>
      </c>
      <c r="T3371" s="369" t="str">
        <f>VLOOKUP(Tabla4[[#This Row],[Producto]],Tabla6[#All],14,FALSE)</f>
        <v>Termico Solar</v>
      </c>
      <c r="U3371" s="284" t="e">
        <f>(IF(Tabla4[[#This Row],[Familia]]="termico solar",Tabla4[[#This Row],[Utilidad Total]]*6%,Tabla4[[#This Row],[Utilidad Total]]*11.5%))/Tabla4[[#This Row],[Total]]</f>
        <v>#N/A</v>
      </c>
      <c r="V3371" s="282" t="e">
        <f>+Tabla4[[#This Row],[Comisión Calculada]]*Tabla4[[#This Row],[Total]]</f>
        <v>#N/A</v>
      </c>
    </row>
    <row r="3372" spans="1:22" hidden="1" x14ac:dyDescent="0.25">
      <c r="A3372" s="100">
        <v>45823</v>
      </c>
      <c r="B3372" t="str">
        <f t="shared" si="160"/>
        <v>June</v>
      </c>
      <c r="C3372" s="46" t="s">
        <v>280</v>
      </c>
      <c r="F3372" s="366" t="s">
        <v>2012</v>
      </c>
      <c r="G3372" s="46" t="s">
        <v>18</v>
      </c>
      <c r="H3372" s="46">
        <v>1</v>
      </c>
      <c r="I3372" s="51">
        <v>5367.65</v>
      </c>
      <c r="J3372" s="281">
        <f>++Tabla4[[#This Row],[Precio Bruto]]*1.16</f>
        <v>6226.4739999999993</v>
      </c>
      <c r="K3372" s="281">
        <f>+Tabla4[[#This Row],[Precio Unitario Neto]]*Tabla4[[#Headers],[20.85%]]</f>
        <v>1298.2198289999999</v>
      </c>
      <c r="L3372" s="282">
        <f>++Tabla4[[#This Row],[Precio Unitario Neto]]-Tabla4[[#This Row],[20.85%]]</f>
        <v>4928.2541709999996</v>
      </c>
      <c r="M3372" s="282" t="e">
        <f>(INDEX(Tabla6[#All],MATCH(Tabla4[[#This Row],[Producto]],Tabla6[[#All],[PRODUCTO]],0),MATCH(Tabla4[[#This Row],[Mes]],Tabla6[#Headers],0)))*(1+Catalogos!$L$2)</f>
        <v>#N/A</v>
      </c>
      <c r="N3372" s="283" t="e">
        <f>+(Tabla4[[#This Row],[Precio Descontado]]-Tabla4[[#This Row],[Precio Base]])*Tabla4[[#This Row],[Cantidad]]</f>
        <v>#N/A</v>
      </c>
      <c r="O3372" s="284" t="e">
        <f>++Tabla4[[#This Row],[Utilidad Total]]/Tabla4[[#This Row],[Total]]</f>
        <v>#N/A</v>
      </c>
      <c r="P3372" s="282">
        <f>++Tabla4[[#This Row],[Precio Descontado]]*Tabla4[[#This Row],[Cantidad]]</f>
        <v>4928.2541709999996</v>
      </c>
      <c r="Q3372" s="282" t="e">
        <f>(INDEX(Tabla6[#All],MATCH(Tabla4[[#This Row],[Producto]],Tabla6[[#All],[PRODUCTO]],0),MATCH(Tabla4[[#This Row],[Mes]],Tabla6[#Headers],0)))</f>
        <v>#N/A</v>
      </c>
      <c r="R3372" s="282" t="e">
        <f>++Tabla4[[#This Row],[Precio Unitario Neto]]-Tabla4[[#This Row],[20.85%]]-Tabla4[[#This Row],[Costo]]</f>
        <v>#N/A</v>
      </c>
      <c r="S3372" s="282" t="e">
        <f>++Tabla4[[#This Row],[U. Bruta Uni]]*Tabla4[[#This Row],[Cantidad]]</f>
        <v>#N/A</v>
      </c>
      <c r="T3372" s="369" t="str">
        <f>VLOOKUP(Tabla4[[#This Row],[Producto]],Tabla6[#All],14,FALSE)</f>
        <v>Termico Solar</v>
      </c>
      <c r="U3372" s="284" t="e">
        <f>(IF(Tabla4[[#This Row],[Familia]]="termico solar",Tabla4[[#This Row],[Utilidad Total]]*6%,Tabla4[[#This Row],[Utilidad Total]]*11.5%))/Tabla4[[#This Row],[Total]]</f>
        <v>#N/A</v>
      </c>
      <c r="V3372" s="282" t="e">
        <f>+Tabla4[[#This Row],[Comisión Calculada]]*Tabla4[[#This Row],[Total]]</f>
        <v>#N/A</v>
      </c>
    </row>
    <row r="3373" spans="1:22" hidden="1" x14ac:dyDescent="0.25">
      <c r="A3373" s="100">
        <v>45823</v>
      </c>
      <c r="B3373" t="str">
        <f t="shared" si="160"/>
        <v>June</v>
      </c>
      <c r="C3373" s="46" t="s">
        <v>280</v>
      </c>
      <c r="F3373" s="366" t="s">
        <v>2013</v>
      </c>
      <c r="G3373" s="46" t="s">
        <v>83</v>
      </c>
      <c r="H3373" s="46">
        <v>6</v>
      </c>
      <c r="I3373" s="51">
        <v>8858.76</v>
      </c>
      <c r="J3373" s="281">
        <f>++Tabla4[[#This Row],[Precio Bruto]]*1.16</f>
        <v>10276.161599999999</v>
      </c>
      <c r="K3373" s="281">
        <f>+Tabla4[[#This Row],[Precio Unitario Neto]]*Tabla4[[#Headers],[20.85%]]</f>
        <v>2142.5796935999997</v>
      </c>
      <c r="L3373" s="282">
        <f>++Tabla4[[#This Row],[Precio Unitario Neto]]-Tabla4[[#This Row],[20.85%]]</f>
        <v>8133.5819063999998</v>
      </c>
      <c r="M3373" s="282" t="e">
        <f>(INDEX(Tabla6[#All],MATCH(Tabla4[[#This Row],[Producto]],Tabla6[[#All],[PRODUCTO]],0),MATCH(Tabla4[[#This Row],[Mes]],Tabla6[#Headers],0)))*(1+Catalogos!$L$2)</f>
        <v>#N/A</v>
      </c>
      <c r="N3373" s="283" t="e">
        <f>+(Tabla4[[#This Row],[Precio Descontado]]-Tabla4[[#This Row],[Precio Base]])*Tabla4[[#This Row],[Cantidad]]</f>
        <v>#N/A</v>
      </c>
      <c r="O3373" s="284" t="e">
        <f>++Tabla4[[#This Row],[Utilidad Total]]/Tabla4[[#This Row],[Total]]</f>
        <v>#N/A</v>
      </c>
      <c r="P3373" s="282">
        <f>++Tabla4[[#This Row],[Precio Descontado]]*Tabla4[[#This Row],[Cantidad]]</f>
        <v>48801.4914384</v>
      </c>
      <c r="Q3373" s="282" t="e">
        <f>(INDEX(Tabla6[#All],MATCH(Tabla4[[#This Row],[Producto]],Tabla6[[#All],[PRODUCTO]],0),MATCH(Tabla4[[#This Row],[Mes]],Tabla6[#Headers],0)))</f>
        <v>#N/A</v>
      </c>
      <c r="R3373" s="282" t="e">
        <f>++Tabla4[[#This Row],[Precio Unitario Neto]]-Tabla4[[#This Row],[20.85%]]-Tabla4[[#This Row],[Costo]]</f>
        <v>#N/A</v>
      </c>
      <c r="S3373" s="282" t="e">
        <f>++Tabla4[[#This Row],[U. Bruta Uni]]*Tabla4[[#This Row],[Cantidad]]</f>
        <v>#N/A</v>
      </c>
      <c r="T3373" s="369" t="str">
        <f>VLOOKUP(Tabla4[[#This Row],[Producto]],Tabla6[#All],14,FALSE)</f>
        <v>Termico Solar</v>
      </c>
      <c r="U3373" s="284" t="e">
        <f>(IF(Tabla4[[#This Row],[Familia]]="termico solar",Tabla4[[#This Row],[Utilidad Total]]*6%,Tabla4[[#This Row],[Utilidad Total]]*11.5%))/Tabla4[[#This Row],[Total]]</f>
        <v>#N/A</v>
      </c>
      <c r="V3373" s="282" t="e">
        <f>+Tabla4[[#This Row],[Comisión Calculada]]*Tabla4[[#This Row],[Total]]</f>
        <v>#N/A</v>
      </c>
    </row>
    <row r="3374" spans="1:22" hidden="1" x14ac:dyDescent="0.25">
      <c r="A3374" s="100">
        <v>45823</v>
      </c>
      <c r="B3374" t="str">
        <f t="shared" si="160"/>
        <v>June</v>
      </c>
      <c r="C3374" s="46" t="s">
        <v>280</v>
      </c>
      <c r="F3374" s="366" t="s">
        <v>2013</v>
      </c>
      <c r="G3374" s="46" t="s">
        <v>17</v>
      </c>
      <c r="H3374" s="46">
        <v>2</v>
      </c>
      <c r="I3374" s="51">
        <v>4622.28</v>
      </c>
      <c r="J3374" s="281">
        <f>++Tabla4[[#This Row],[Precio Bruto]]*1.16</f>
        <v>5361.8447999999989</v>
      </c>
      <c r="K3374" s="281">
        <f>+Tabla4[[#This Row],[Precio Unitario Neto]]*Tabla4[[#Headers],[20.85%]]</f>
        <v>1117.9446407999997</v>
      </c>
      <c r="L3374" s="282">
        <f>++Tabla4[[#This Row],[Precio Unitario Neto]]-Tabla4[[#This Row],[20.85%]]</f>
        <v>4243.9001591999995</v>
      </c>
      <c r="M3374" s="282" t="e">
        <f>(INDEX(Tabla6[#All],MATCH(Tabla4[[#This Row],[Producto]],Tabla6[[#All],[PRODUCTO]],0),MATCH(Tabla4[[#This Row],[Mes]],Tabla6[#Headers],0)))*(1+Catalogos!$L$2)</f>
        <v>#N/A</v>
      </c>
      <c r="N3374" s="283" t="e">
        <f>+(Tabla4[[#This Row],[Precio Descontado]]-Tabla4[[#This Row],[Precio Base]])*Tabla4[[#This Row],[Cantidad]]</f>
        <v>#N/A</v>
      </c>
      <c r="O3374" s="284" t="e">
        <f>++Tabla4[[#This Row],[Utilidad Total]]/Tabla4[[#This Row],[Total]]</f>
        <v>#N/A</v>
      </c>
      <c r="P3374" s="282">
        <f>++Tabla4[[#This Row],[Precio Descontado]]*Tabla4[[#This Row],[Cantidad]]</f>
        <v>8487.800318399999</v>
      </c>
      <c r="Q3374" s="282" t="e">
        <f>(INDEX(Tabla6[#All],MATCH(Tabla4[[#This Row],[Producto]],Tabla6[[#All],[PRODUCTO]],0),MATCH(Tabla4[[#This Row],[Mes]],Tabla6[#Headers],0)))</f>
        <v>#N/A</v>
      </c>
      <c r="R3374" s="282" t="e">
        <f>++Tabla4[[#This Row],[Precio Unitario Neto]]-Tabla4[[#This Row],[20.85%]]-Tabla4[[#This Row],[Costo]]</f>
        <v>#N/A</v>
      </c>
      <c r="S3374" s="282" t="e">
        <f>++Tabla4[[#This Row],[U. Bruta Uni]]*Tabla4[[#This Row],[Cantidad]]</f>
        <v>#N/A</v>
      </c>
      <c r="T3374" s="369" t="str">
        <f>VLOOKUP(Tabla4[[#This Row],[Producto]],Tabla6[#All],14,FALSE)</f>
        <v>Termico Solar</v>
      </c>
      <c r="U3374" s="284" t="e">
        <f>(IF(Tabla4[[#This Row],[Familia]]="termico solar",Tabla4[[#This Row],[Utilidad Total]]*6%,Tabla4[[#This Row],[Utilidad Total]]*11.5%))/Tabla4[[#This Row],[Total]]</f>
        <v>#N/A</v>
      </c>
      <c r="V3374" s="282" t="e">
        <f>+Tabla4[[#This Row],[Comisión Calculada]]*Tabla4[[#This Row],[Total]]</f>
        <v>#N/A</v>
      </c>
    </row>
    <row r="3375" spans="1:22" hidden="1" x14ac:dyDescent="0.25">
      <c r="A3375" s="100">
        <v>45823</v>
      </c>
      <c r="B3375" t="str">
        <f t="shared" si="160"/>
        <v>June</v>
      </c>
      <c r="C3375" s="46" t="s">
        <v>280</v>
      </c>
      <c r="F3375" s="366" t="s">
        <v>2013</v>
      </c>
      <c r="G3375" s="46" t="s">
        <v>18</v>
      </c>
      <c r="H3375" s="46">
        <v>1</v>
      </c>
      <c r="I3375" s="51">
        <v>5367.65</v>
      </c>
      <c r="J3375" s="281">
        <f>++Tabla4[[#This Row],[Precio Bruto]]*1.16</f>
        <v>6226.4739999999993</v>
      </c>
      <c r="K3375" s="281">
        <f>+Tabla4[[#This Row],[Precio Unitario Neto]]*Tabla4[[#Headers],[20.85%]]</f>
        <v>1298.2198289999999</v>
      </c>
      <c r="L3375" s="282">
        <f>++Tabla4[[#This Row],[Precio Unitario Neto]]-Tabla4[[#This Row],[20.85%]]</f>
        <v>4928.2541709999996</v>
      </c>
      <c r="M3375" s="282" t="e">
        <f>(INDEX(Tabla6[#All],MATCH(Tabla4[[#This Row],[Producto]],Tabla6[[#All],[PRODUCTO]],0),MATCH(Tabla4[[#This Row],[Mes]],Tabla6[#Headers],0)))*(1+Catalogos!$L$2)</f>
        <v>#N/A</v>
      </c>
      <c r="N3375" s="283" t="e">
        <f>+(Tabla4[[#This Row],[Precio Descontado]]-Tabla4[[#This Row],[Precio Base]])*Tabla4[[#This Row],[Cantidad]]</f>
        <v>#N/A</v>
      </c>
      <c r="O3375" s="284" t="e">
        <f>++Tabla4[[#This Row],[Utilidad Total]]/Tabla4[[#This Row],[Total]]</f>
        <v>#N/A</v>
      </c>
      <c r="P3375" s="282">
        <f>++Tabla4[[#This Row],[Precio Descontado]]*Tabla4[[#This Row],[Cantidad]]</f>
        <v>4928.2541709999996</v>
      </c>
      <c r="Q3375" s="282" t="e">
        <f>(INDEX(Tabla6[#All],MATCH(Tabla4[[#This Row],[Producto]],Tabla6[[#All],[PRODUCTO]],0),MATCH(Tabla4[[#This Row],[Mes]],Tabla6[#Headers],0)))</f>
        <v>#N/A</v>
      </c>
      <c r="R3375" s="282" t="e">
        <f>++Tabla4[[#This Row],[Precio Unitario Neto]]-Tabla4[[#This Row],[20.85%]]-Tabla4[[#This Row],[Costo]]</f>
        <v>#N/A</v>
      </c>
      <c r="S3375" s="282" t="e">
        <f>++Tabla4[[#This Row],[U. Bruta Uni]]*Tabla4[[#This Row],[Cantidad]]</f>
        <v>#N/A</v>
      </c>
      <c r="T3375" s="369" t="str">
        <f>VLOOKUP(Tabla4[[#This Row],[Producto]],Tabla6[#All],14,FALSE)</f>
        <v>Termico Solar</v>
      </c>
      <c r="U3375" s="284" t="e">
        <f>(IF(Tabla4[[#This Row],[Familia]]="termico solar",Tabla4[[#This Row],[Utilidad Total]]*6%,Tabla4[[#This Row],[Utilidad Total]]*11.5%))/Tabla4[[#This Row],[Total]]</f>
        <v>#N/A</v>
      </c>
      <c r="V3375" s="282" t="e">
        <f>+Tabla4[[#This Row],[Comisión Calculada]]*Tabla4[[#This Row],[Total]]</f>
        <v>#N/A</v>
      </c>
    </row>
    <row r="3376" spans="1:22" hidden="1" x14ac:dyDescent="0.25">
      <c r="A3376" s="100">
        <v>45823</v>
      </c>
      <c r="B3376" t="str">
        <f t="shared" si="160"/>
        <v>June</v>
      </c>
      <c r="C3376" s="46" t="s">
        <v>280</v>
      </c>
      <c r="F3376" s="366" t="s">
        <v>2013</v>
      </c>
      <c r="G3376" s="46" t="s">
        <v>394</v>
      </c>
      <c r="H3376" s="46">
        <v>9</v>
      </c>
      <c r="I3376" s="51">
        <v>108.1</v>
      </c>
      <c r="J3376" s="281">
        <f>++Tabla4[[#This Row],[Precio Bruto]]*1.16</f>
        <v>125.39599999999999</v>
      </c>
      <c r="K3376" s="281">
        <f>+Tabla4[[#This Row],[Precio Unitario Neto]]*Tabla4[[#Headers],[20.85%]]</f>
        <v>26.145065999999996</v>
      </c>
      <c r="L3376" s="282">
        <f>++Tabla4[[#This Row],[Precio Unitario Neto]]-Tabla4[[#This Row],[20.85%]]</f>
        <v>99.250933999999987</v>
      </c>
      <c r="M3376" s="282" t="e">
        <f>(INDEX(Tabla6[#All],MATCH(Tabla4[[#This Row],[Producto]],Tabla6[[#All],[PRODUCTO]],0),MATCH(Tabla4[[#This Row],[Mes]],Tabla6[#Headers],0)))*(1+Catalogos!$L$2)</f>
        <v>#N/A</v>
      </c>
      <c r="N3376" s="283" t="e">
        <f>+(Tabla4[[#This Row],[Precio Descontado]]-Tabla4[[#This Row],[Precio Base]])*Tabla4[[#This Row],[Cantidad]]</f>
        <v>#N/A</v>
      </c>
      <c r="O3376" s="284" t="e">
        <f>++Tabla4[[#This Row],[Utilidad Total]]/Tabla4[[#This Row],[Total]]</f>
        <v>#N/A</v>
      </c>
      <c r="P3376" s="282">
        <f>++Tabla4[[#This Row],[Precio Descontado]]*Tabla4[[#This Row],[Cantidad]]</f>
        <v>893.25840599999992</v>
      </c>
      <c r="Q3376" s="282" t="e">
        <f>(INDEX(Tabla6[#All],MATCH(Tabla4[[#This Row],[Producto]],Tabla6[[#All],[PRODUCTO]],0),MATCH(Tabla4[[#This Row],[Mes]],Tabla6[#Headers],0)))</f>
        <v>#N/A</v>
      </c>
      <c r="R3376" s="282" t="e">
        <f>++Tabla4[[#This Row],[Precio Unitario Neto]]-Tabla4[[#This Row],[20.85%]]-Tabla4[[#This Row],[Costo]]</f>
        <v>#N/A</v>
      </c>
      <c r="S3376" s="282" t="e">
        <f>++Tabla4[[#This Row],[U. Bruta Uni]]*Tabla4[[#This Row],[Cantidad]]</f>
        <v>#N/A</v>
      </c>
      <c r="T3376" s="369" t="str">
        <f>VLOOKUP(Tabla4[[#This Row],[Producto]],Tabla6[#All],14,FALSE)</f>
        <v>Termico Solar</v>
      </c>
      <c r="U3376" s="284" t="e">
        <f>(IF(Tabla4[[#This Row],[Familia]]="termico solar",Tabla4[[#This Row],[Utilidad Total]]*6%,Tabla4[[#This Row],[Utilidad Total]]*11.5%))/Tabla4[[#This Row],[Total]]</f>
        <v>#N/A</v>
      </c>
      <c r="V3376" s="282" t="e">
        <f>+Tabla4[[#This Row],[Comisión Calculada]]*Tabla4[[#This Row],[Total]]</f>
        <v>#N/A</v>
      </c>
    </row>
    <row r="3377" spans="1:22" hidden="1" x14ac:dyDescent="0.25">
      <c r="A3377" s="100">
        <v>45823</v>
      </c>
      <c r="B3377" t="str">
        <f t="shared" si="160"/>
        <v>June</v>
      </c>
      <c r="C3377" s="46" t="s">
        <v>280</v>
      </c>
      <c r="F3377" s="366" t="s">
        <v>2013</v>
      </c>
      <c r="G3377" s="46" t="s">
        <v>208</v>
      </c>
      <c r="H3377" s="46">
        <v>2</v>
      </c>
      <c r="I3377" s="51">
        <v>189.75</v>
      </c>
      <c r="J3377" s="281">
        <f>++Tabla4[[#This Row],[Precio Bruto]]*1.16</f>
        <v>220.10999999999999</v>
      </c>
      <c r="K3377" s="281">
        <f>+Tabla4[[#This Row],[Precio Unitario Neto]]*Tabla4[[#Headers],[20.85%]]</f>
        <v>45.892934999999994</v>
      </c>
      <c r="L3377" s="282">
        <f>++Tabla4[[#This Row],[Precio Unitario Neto]]-Tabla4[[#This Row],[20.85%]]</f>
        <v>174.21706499999999</v>
      </c>
      <c r="M3377" s="282" t="e">
        <f>(INDEX(Tabla6[#All],MATCH(Tabla4[[#This Row],[Producto]],Tabla6[[#All],[PRODUCTO]],0),MATCH(Tabla4[[#This Row],[Mes]],Tabla6[#Headers],0)))*(1+Catalogos!$L$2)</f>
        <v>#N/A</v>
      </c>
      <c r="N3377" s="283" t="e">
        <f>+(Tabla4[[#This Row],[Precio Descontado]]-Tabla4[[#This Row],[Precio Base]])*Tabla4[[#This Row],[Cantidad]]</f>
        <v>#N/A</v>
      </c>
      <c r="O3377" s="284" t="e">
        <f>++Tabla4[[#This Row],[Utilidad Total]]/Tabla4[[#This Row],[Total]]</f>
        <v>#N/A</v>
      </c>
      <c r="P3377" s="282">
        <f>++Tabla4[[#This Row],[Precio Descontado]]*Tabla4[[#This Row],[Cantidad]]</f>
        <v>348.43412999999998</v>
      </c>
      <c r="Q3377" s="282" t="e">
        <f>(INDEX(Tabla6[#All],MATCH(Tabla4[[#This Row],[Producto]],Tabla6[[#All],[PRODUCTO]],0),MATCH(Tabla4[[#This Row],[Mes]],Tabla6[#Headers],0)))</f>
        <v>#N/A</v>
      </c>
      <c r="R3377" s="282" t="e">
        <f>++Tabla4[[#This Row],[Precio Unitario Neto]]-Tabla4[[#This Row],[20.85%]]-Tabla4[[#This Row],[Costo]]</f>
        <v>#N/A</v>
      </c>
      <c r="S3377" s="282" t="e">
        <f>++Tabla4[[#This Row],[U. Bruta Uni]]*Tabla4[[#This Row],[Cantidad]]</f>
        <v>#N/A</v>
      </c>
      <c r="T3377" s="369" t="str">
        <f>VLOOKUP(Tabla4[[#This Row],[Producto]],Tabla6[#All],14,FALSE)</f>
        <v>Termico Solar</v>
      </c>
      <c r="U3377" s="284" t="e">
        <f>(IF(Tabla4[[#This Row],[Familia]]="termico solar",Tabla4[[#This Row],[Utilidad Total]]*6%,Tabla4[[#This Row],[Utilidad Total]]*11.5%))/Tabla4[[#This Row],[Total]]</f>
        <v>#N/A</v>
      </c>
      <c r="V3377" s="282" t="e">
        <f>+Tabla4[[#This Row],[Comisión Calculada]]*Tabla4[[#This Row],[Total]]</f>
        <v>#N/A</v>
      </c>
    </row>
    <row r="3378" spans="1:22" hidden="1" x14ac:dyDescent="0.25">
      <c r="A3378" s="100">
        <v>45823</v>
      </c>
      <c r="B3378" t="str">
        <f t="shared" ref="B3378:B3441" si="161">TEXT(A3378, "mmmm")</f>
        <v>June</v>
      </c>
      <c r="C3378" s="46" t="s">
        <v>280</v>
      </c>
      <c r="F3378" s="366" t="s">
        <v>2014</v>
      </c>
      <c r="G3378" s="46" t="s">
        <v>83</v>
      </c>
      <c r="H3378" s="46">
        <v>1</v>
      </c>
      <c r="I3378" s="51">
        <v>8858.76</v>
      </c>
      <c r="J3378" s="281">
        <f>++Tabla4[[#This Row],[Precio Bruto]]*1.16</f>
        <v>10276.161599999999</v>
      </c>
      <c r="K3378" s="281">
        <f>+Tabla4[[#This Row],[Precio Unitario Neto]]*Tabla4[[#Headers],[20.85%]]</f>
        <v>2142.5796935999997</v>
      </c>
      <c r="L3378" s="282">
        <f>++Tabla4[[#This Row],[Precio Unitario Neto]]-Tabla4[[#This Row],[20.85%]]</f>
        <v>8133.5819063999998</v>
      </c>
      <c r="M3378" s="282" t="e">
        <f>(INDEX(Tabla6[#All],MATCH(Tabla4[[#This Row],[Producto]],Tabla6[[#All],[PRODUCTO]],0),MATCH(Tabla4[[#This Row],[Mes]],Tabla6[#Headers],0)))*(1+Catalogos!$L$2)</f>
        <v>#N/A</v>
      </c>
      <c r="N3378" s="283" t="e">
        <f>+(Tabla4[[#This Row],[Precio Descontado]]-Tabla4[[#This Row],[Precio Base]])*Tabla4[[#This Row],[Cantidad]]</f>
        <v>#N/A</v>
      </c>
      <c r="O3378" s="284" t="e">
        <f>++Tabla4[[#This Row],[Utilidad Total]]/Tabla4[[#This Row],[Total]]</f>
        <v>#N/A</v>
      </c>
      <c r="P3378" s="282">
        <f>++Tabla4[[#This Row],[Precio Descontado]]*Tabla4[[#This Row],[Cantidad]]</f>
        <v>8133.5819063999998</v>
      </c>
      <c r="Q3378" s="282" t="e">
        <f>(INDEX(Tabla6[#All],MATCH(Tabla4[[#This Row],[Producto]],Tabla6[[#All],[PRODUCTO]],0),MATCH(Tabla4[[#This Row],[Mes]],Tabla6[#Headers],0)))</f>
        <v>#N/A</v>
      </c>
      <c r="R3378" s="282" t="e">
        <f>++Tabla4[[#This Row],[Precio Unitario Neto]]-Tabla4[[#This Row],[20.85%]]-Tabla4[[#This Row],[Costo]]</f>
        <v>#N/A</v>
      </c>
      <c r="S3378" s="282" t="e">
        <f>++Tabla4[[#This Row],[U. Bruta Uni]]*Tabla4[[#This Row],[Cantidad]]</f>
        <v>#N/A</v>
      </c>
      <c r="T3378" s="369" t="str">
        <f>VLOOKUP(Tabla4[[#This Row],[Producto]],Tabla6[#All],14,FALSE)</f>
        <v>Termico Solar</v>
      </c>
      <c r="U3378" s="284" t="e">
        <f>(IF(Tabla4[[#This Row],[Familia]]="termico solar",Tabla4[[#This Row],[Utilidad Total]]*6%,Tabla4[[#This Row],[Utilidad Total]]*11.5%))/Tabla4[[#This Row],[Total]]</f>
        <v>#N/A</v>
      </c>
      <c r="V3378" s="282" t="e">
        <f>+Tabla4[[#This Row],[Comisión Calculada]]*Tabla4[[#This Row],[Total]]</f>
        <v>#N/A</v>
      </c>
    </row>
    <row r="3379" spans="1:22" hidden="1" x14ac:dyDescent="0.25">
      <c r="A3379" s="100">
        <v>45823</v>
      </c>
      <c r="B3379" t="str">
        <f t="shared" si="161"/>
        <v>June</v>
      </c>
      <c r="C3379" s="46" t="s">
        <v>280</v>
      </c>
      <c r="F3379" s="366" t="s">
        <v>2014</v>
      </c>
      <c r="G3379" s="46" t="s">
        <v>17</v>
      </c>
      <c r="H3379" s="46">
        <v>4</v>
      </c>
      <c r="I3379" s="51">
        <v>4622.28</v>
      </c>
      <c r="J3379" s="281">
        <f>++Tabla4[[#This Row],[Precio Bruto]]*1.16</f>
        <v>5361.8447999999989</v>
      </c>
      <c r="K3379" s="281">
        <f>+Tabla4[[#This Row],[Precio Unitario Neto]]*Tabla4[[#Headers],[20.85%]]</f>
        <v>1117.9446407999997</v>
      </c>
      <c r="L3379" s="282">
        <f>++Tabla4[[#This Row],[Precio Unitario Neto]]-Tabla4[[#This Row],[20.85%]]</f>
        <v>4243.9001591999995</v>
      </c>
      <c r="M3379" s="282" t="e">
        <f>(INDEX(Tabla6[#All],MATCH(Tabla4[[#This Row],[Producto]],Tabla6[[#All],[PRODUCTO]],0),MATCH(Tabla4[[#This Row],[Mes]],Tabla6[#Headers],0)))*(1+Catalogos!$L$2)</f>
        <v>#N/A</v>
      </c>
      <c r="N3379" s="283" t="e">
        <f>+(Tabla4[[#This Row],[Precio Descontado]]-Tabla4[[#This Row],[Precio Base]])*Tabla4[[#This Row],[Cantidad]]</f>
        <v>#N/A</v>
      </c>
      <c r="O3379" s="284" t="e">
        <f>++Tabla4[[#This Row],[Utilidad Total]]/Tabla4[[#This Row],[Total]]</f>
        <v>#N/A</v>
      </c>
      <c r="P3379" s="282">
        <f>++Tabla4[[#This Row],[Precio Descontado]]*Tabla4[[#This Row],[Cantidad]]</f>
        <v>16975.600636799998</v>
      </c>
      <c r="Q3379" s="282" t="e">
        <f>(INDEX(Tabla6[#All],MATCH(Tabla4[[#This Row],[Producto]],Tabla6[[#All],[PRODUCTO]],0),MATCH(Tabla4[[#This Row],[Mes]],Tabla6[#Headers],0)))</f>
        <v>#N/A</v>
      </c>
      <c r="R3379" s="282" t="e">
        <f>++Tabla4[[#This Row],[Precio Unitario Neto]]-Tabla4[[#This Row],[20.85%]]-Tabla4[[#This Row],[Costo]]</f>
        <v>#N/A</v>
      </c>
      <c r="S3379" s="282" t="e">
        <f>++Tabla4[[#This Row],[U. Bruta Uni]]*Tabla4[[#This Row],[Cantidad]]</f>
        <v>#N/A</v>
      </c>
      <c r="T3379" s="369" t="str">
        <f>VLOOKUP(Tabla4[[#This Row],[Producto]],Tabla6[#All],14,FALSE)</f>
        <v>Termico Solar</v>
      </c>
      <c r="U3379" s="284" t="e">
        <f>(IF(Tabla4[[#This Row],[Familia]]="termico solar",Tabla4[[#This Row],[Utilidad Total]]*6%,Tabla4[[#This Row],[Utilidad Total]]*11.5%))/Tabla4[[#This Row],[Total]]</f>
        <v>#N/A</v>
      </c>
      <c r="V3379" s="282" t="e">
        <f>+Tabla4[[#This Row],[Comisión Calculada]]*Tabla4[[#This Row],[Total]]</f>
        <v>#N/A</v>
      </c>
    </row>
    <row r="3380" spans="1:22" hidden="1" x14ac:dyDescent="0.25">
      <c r="A3380" s="100">
        <v>45823</v>
      </c>
      <c r="B3380" t="str">
        <f t="shared" si="161"/>
        <v>June</v>
      </c>
      <c r="C3380" s="46" t="s">
        <v>280</v>
      </c>
      <c r="F3380" s="366" t="s">
        <v>2014</v>
      </c>
      <c r="G3380" s="46" t="s">
        <v>566</v>
      </c>
      <c r="H3380" s="46">
        <v>1</v>
      </c>
      <c r="I3380" s="51">
        <v>2109.4499999999998</v>
      </c>
      <c r="J3380" s="281">
        <f>++Tabla4[[#This Row],[Precio Bruto]]*1.16</f>
        <v>2446.9619999999995</v>
      </c>
      <c r="K3380" s="281">
        <f>+Tabla4[[#This Row],[Precio Unitario Neto]]*Tabla4[[#Headers],[20.85%]]</f>
        <v>510.19157699999988</v>
      </c>
      <c r="L3380" s="282">
        <f>++Tabla4[[#This Row],[Precio Unitario Neto]]-Tabla4[[#This Row],[20.85%]]</f>
        <v>1936.7704229999997</v>
      </c>
      <c r="M3380" s="282" t="e">
        <f>(INDEX(Tabla6[#All],MATCH(Tabla4[[#This Row],[Producto]],Tabla6[[#All],[PRODUCTO]],0),MATCH(Tabla4[[#This Row],[Mes]],Tabla6[#Headers],0)))*(1+Catalogos!$L$2)</f>
        <v>#N/A</v>
      </c>
      <c r="N3380" s="283" t="e">
        <f>+(Tabla4[[#This Row],[Precio Descontado]]-Tabla4[[#This Row],[Precio Base]])*Tabla4[[#This Row],[Cantidad]]</f>
        <v>#N/A</v>
      </c>
      <c r="O3380" s="284" t="e">
        <f>++Tabla4[[#This Row],[Utilidad Total]]/Tabla4[[#This Row],[Total]]</f>
        <v>#N/A</v>
      </c>
      <c r="P3380" s="282">
        <f>++Tabla4[[#This Row],[Precio Descontado]]*Tabla4[[#This Row],[Cantidad]]</f>
        <v>1936.7704229999997</v>
      </c>
      <c r="Q3380" s="282" t="e">
        <f>(INDEX(Tabla6[#All],MATCH(Tabla4[[#This Row],[Producto]],Tabla6[[#All],[PRODUCTO]],0),MATCH(Tabla4[[#This Row],[Mes]],Tabla6[#Headers],0)))</f>
        <v>#N/A</v>
      </c>
      <c r="R3380" s="282" t="e">
        <f>++Tabla4[[#This Row],[Precio Unitario Neto]]-Tabla4[[#This Row],[20.85%]]-Tabla4[[#This Row],[Costo]]</f>
        <v>#N/A</v>
      </c>
      <c r="S3380" s="282" t="e">
        <f>++Tabla4[[#This Row],[U. Bruta Uni]]*Tabla4[[#This Row],[Cantidad]]</f>
        <v>#N/A</v>
      </c>
      <c r="T3380" s="369" t="str">
        <f>VLOOKUP(Tabla4[[#This Row],[Producto]],Tabla6[#All],14,FALSE)</f>
        <v>Termico Solar</v>
      </c>
      <c r="U3380" s="284" t="e">
        <f>(IF(Tabla4[[#This Row],[Familia]]="termico solar",Tabla4[[#This Row],[Utilidad Total]]*6%,Tabla4[[#This Row],[Utilidad Total]]*11.5%))/Tabla4[[#This Row],[Total]]</f>
        <v>#N/A</v>
      </c>
      <c r="V3380" s="282" t="e">
        <f>+Tabla4[[#This Row],[Comisión Calculada]]*Tabla4[[#This Row],[Total]]</f>
        <v>#N/A</v>
      </c>
    </row>
    <row r="3381" spans="1:22" hidden="1" x14ac:dyDescent="0.25">
      <c r="A3381" s="100">
        <v>45823</v>
      </c>
      <c r="B3381" t="str">
        <f t="shared" si="161"/>
        <v>June</v>
      </c>
      <c r="C3381" s="46" t="s">
        <v>280</v>
      </c>
      <c r="F3381" s="366" t="s">
        <v>2014</v>
      </c>
      <c r="G3381" s="46" t="s">
        <v>16</v>
      </c>
      <c r="H3381" s="46">
        <v>1</v>
      </c>
      <c r="I3381" s="51">
        <v>4103.8500000000004</v>
      </c>
      <c r="J3381" s="281">
        <f>++Tabla4[[#This Row],[Precio Bruto]]*1.16</f>
        <v>4760.4660000000003</v>
      </c>
      <c r="K3381" s="281">
        <f>+Tabla4[[#This Row],[Precio Unitario Neto]]*Tabla4[[#Headers],[20.85%]]</f>
        <v>992.55716100000006</v>
      </c>
      <c r="L3381" s="282">
        <f>++Tabla4[[#This Row],[Precio Unitario Neto]]-Tabla4[[#This Row],[20.85%]]</f>
        <v>3767.9088390000002</v>
      </c>
      <c r="M3381" s="282" t="e">
        <f>(INDEX(Tabla6[#All],MATCH(Tabla4[[#This Row],[Producto]],Tabla6[[#All],[PRODUCTO]],0),MATCH(Tabla4[[#This Row],[Mes]],Tabla6[#Headers],0)))*(1+Catalogos!$L$2)</f>
        <v>#N/A</v>
      </c>
      <c r="N3381" s="283" t="e">
        <f>+(Tabla4[[#This Row],[Precio Descontado]]-Tabla4[[#This Row],[Precio Base]])*Tabla4[[#This Row],[Cantidad]]</f>
        <v>#N/A</v>
      </c>
      <c r="O3381" s="284" t="e">
        <f>++Tabla4[[#This Row],[Utilidad Total]]/Tabla4[[#This Row],[Total]]</f>
        <v>#N/A</v>
      </c>
      <c r="P3381" s="282">
        <f>++Tabla4[[#This Row],[Precio Descontado]]*Tabla4[[#This Row],[Cantidad]]</f>
        <v>3767.9088390000002</v>
      </c>
      <c r="Q3381" s="282" t="e">
        <f>(INDEX(Tabla6[#All],MATCH(Tabla4[[#This Row],[Producto]],Tabla6[[#All],[PRODUCTO]],0),MATCH(Tabla4[[#This Row],[Mes]],Tabla6[#Headers],0)))</f>
        <v>#N/A</v>
      </c>
      <c r="R3381" s="282" t="e">
        <f>++Tabla4[[#This Row],[Precio Unitario Neto]]-Tabla4[[#This Row],[20.85%]]-Tabla4[[#This Row],[Costo]]</f>
        <v>#N/A</v>
      </c>
      <c r="S3381" s="282" t="e">
        <f>++Tabla4[[#This Row],[U. Bruta Uni]]*Tabla4[[#This Row],[Cantidad]]</f>
        <v>#N/A</v>
      </c>
      <c r="T3381" s="369" t="str">
        <f>VLOOKUP(Tabla4[[#This Row],[Producto]],Tabla6[#All],14,FALSE)</f>
        <v>Termico Solar</v>
      </c>
      <c r="U3381" s="284" t="e">
        <f>(IF(Tabla4[[#This Row],[Familia]]="termico solar",Tabla4[[#This Row],[Utilidad Total]]*6%,Tabla4[[#This Row],[Utilidad Total]]*11.5%))/Tabla4[[#This Row],[Total]]</f>
        <v>#N/A</v>
      </c>
      <c r="V3381" s="282" t="e">
        <f>+Tabla4[[#This Row],[Comisión Calculada]]*Tabla4[[#This Row],[Total]]</f>
        <v>#N/A</v>
      </c>
    </row>
    <row r="3382" spans="1:22" hidden="1" x14ac:dyDescent="0.25">
      <c r="A3382" s="100">
        <v>45823</v>
      </c>
      <c r="B3382" t="str">
        <f t="shared" si="161"/>
        <v>June</v>
      </c>
      <c r="C3382" s="46" t="s">
        <v>280</v>
      </c>
      <c r="F3382" s="366" t="s">
        <v>2015</v>
      </c>
      <c r="G3382" s="46" t="s">
        <v>18</v>
      </c>
      <c r="H3382" s="46">
        <v>3</v>
      </c>
      <c r="I3382" s="51">
        <v>5367.6500000000005</v>
      </c>
      <c r="J3382" s="281">
        <f>++Tabla4[[#This Row],[Precio Bruto]]*1.16</f>
        <v>6226.4740000000002</v>
      </c>
      <c r="K3382" s="281">
        <f>+Tabla4[[#This Row],[Precio Unitario Neto]]*Tabla4[[#Headers],[20.85%]]</f>
        <v>1298.2198289999999</v>
      </c>
      <c r="L3382" s="282">
        <f>++Tabla4[[#This Row],[Precio Unitario Neto]]-Tabla4[[#This Row],[20.85%]]</f>
        <v>4928.2541710000005</v>
      </c>
      <c r="M3382" s="282" t="e">
        <f>(INDEX(Tabla6[#All],MATCH(Tabla4[[#This Row],[Producto]],Tabla6[[#All],[PRODUCTO]],0),MATCH(Tabla4[[#This Row],[Mes]],Tabla6[#Headers],0)))*(1+Catalogos!$L$2)</f>
        <v>#N/A</v>
      </c>
      <c r="N3382" s="283" t="e">
        <f>+(Tabla4[[#This Row],[Precio Descontado]]-Tabla4[[#This Row],[Precio Base]])*Tabla4[[#This Row],[Cantidad]]</f>
        <v>#N/A</v>
      </c>
      <c r="O3382" s="284" t="e">
        <f>++Tabla4[[#This Row],[Utilidad Total]]/Tabla4[[#This Row],[Total]]</f>
        <v>#N/A</v>
      </c>
      <c r="P3382" s="282">
        <f>++Tabla4[[#This Row],[Precio Descontado]]*Tabla4[[#This Row],[Cantidad]]</f>
        <v>14784.762513000001</v>
      </c>
      <c r="Q3382" s="282" t="e">
        <f>(INDEX(Tabla6[#All],MATCH(Tabla4[[#This Row],[Producto]],Tabla6[[#All],[PRODUCTO]],0),MATCH(Tabla4[[#This Row],[Mes]],Tabla6[#Headers],0)))</f>
        <v>#N/A</v>
      </c>
      <c r="R3382" s="282" t="e">
        <f>++Tabla4[[#This Row],[Precio Unitario Neto]]-Tabla4[[#This Row],[20.85%]]-Tabla4[[#This Row],[Costo]]</f>
        <v>#N/A</v>
      </c>
      <c r="S3382" s="282" t="e">
        <f>++Tabla4[[#This Row],[U. Bruta Uni]]*Tabla4[[#This Row],[Cantidad]]</f>
        <v>#N/A</v>
      </c>
      <c r="T3382" s="369" t="str">
        <f>VLOOKUP(Tabla4[[#This Row],[Producto]],Tabla6[#All],14,FALSE)</f>
        <v>Termico Solar</v>
      </c>
      <c r="U3382" s="284" t="e">
        <f>(IF(Tabla4[[#This Row],[Familia]]="termico solar",Tabla4[[#This Row],[Utilidad Total]]*6%,Tabla4[[#This Row],[Utilidad Total]]*11.5%))/Tabla4[[#This Row],[Total]]</f>
        <v>#N/A</v>
      </c>
      <c r="V3382" s="282" t="e">
        <f>+Tabla4[[#This Row],[Comisión Calculada]]*Tabla4[[#This Row],[Total]]</f>
        <v>#N/A</v>
      </c>
    </row>
    <row r="3383" spans="1:22" hidden="1" x14ac:dyDescent="0.25">
      <c r="A3383" s="100">
        <v>45823</v>
      </c>
      <c r="B3383" t="str">
        <f t="shared" si="161"/>
        <v>June</v>
      </c>
      <c r="C3383" s="46" t="s">
        <v>280</v>
      </c>
      <c r="F3383" s="366" t="s">
        <v>2015</v>
      </c>
      <c r="G3383" s="46" t="s">
        <v>566</v>
      </c>
      <c r="H3383" s="46">
        <v>1</v>
      </c>
      <c r="I3383" s="51">
        <v>2109.4499999999998</v>
      </c>
      <c r="J3383" s="281">
        <f>++Tabla4[[#This Row],[Precio Bruto]]*1.16</f>
        <v>2446.9619999999995</v>
      </c>
      <c r="K3383" s="281">
        <f>+Tabla4[[#This Row],[Precio Unitario Neto]]*Tabla4[[#Headers],[20.85%]]</f>
        <v>510.19157699999988</v>
      </c>
      <c r="L3383" s="282">
        <f>++Tabla4[[#This Row],[Precio Unitario Neto]]-Tabla4[[#This Row],[20.85%]]</f>
        <v>1936.7704229999997</v>
      </c>
      <c r="M3383" s="282" t="e">
        <f>(INDEX(Tabla6[#All],MATCH(Tabla4[[#This Row],[Producto]],Tabla6[[#All],[PRODUCTO]],0),MATCH(Tabla4[[#This Row],[Mes]],Tabla6[#Headers],0)))*(1+Catalogos!$L$2)</f>
        <v>#N/A</v>
      </c>
      <c r="N3383" s="283" t="e">
        <f>+(Tabla4[[#This Row],[Precio Descontado]]-Tabla4[[#This Row],[Precio Base]])*Tabla4[[#This Row],[Cantidad]]</f>
        <v>#N/A</v>
      </c>
      <c r="O3383" s="284" t="e">
        <f>++Tabla4[[#This Row],[Utilidad Total]]/Tabla4[[#This Row],[Total]]</f>
        <v>#N/A</v>
      </c>
      <c r="P3383" s="282">
        <f>++Tabla4[[#This Row],[Precio Descontado]]*Tabla4[[#This Row],[Cantidad]]</f>
        <v>1936.7704229999997</v>
      </c>
      <c r="Q3383" s="282" t="e">
        <f>(INDEX(Tabla6[#All],MATCH(Tabla4[[#This Row],[Producto]],Tabla6[[#All],[PRODUCTO]],0),MATCH(Tabla4[[#This Row],[Mes]],Tabla6[#Headers],0)))</f>
        <v>#N/A</v>
      </c>
      <c r="R3383" s="282" t="e">
        <f>++Tabla4[[#This Row],[Precio Unitario Neto]]-Tabla4[[#This Row],[20.85%]]-Tabla4[[#This Row],[Costo]]</f>
        <v>#N/A</v>
      </c>
      <c r="S3383" s="282" t="e">
        <f>++Tabla4[[#This Row],[U. Bruta Uni]]*Tabla4[[#This Row],[Cantidad]]</f>
        <v>#N/A</v>
      </c>
      <c r="T3383" s="369" t="str">
        <f>VLOOKUP(Tabla4[[#This Row],[Producto]],Tabla6[#All],14,FALSE)</f>
        <v>Termico Solar</v>
      </c>
      <c r="U3383" s="284" t="e">
        <f>(IF(Tabla4[[#This Row],[Familia]]="termico solar",Tabla4[[#This Row],[Utilidad Total]]*6%,Tabla4[[#This Row],[Utilidad Total]]*11.5%))/Tabla4[[#This Row],[Total]]</f>
        <v>#N/A</v>
      </c>
      <c r="V3383" s="282" t="e">
        <f>+Tabla4[[#This Row],[Comisión Calculada]]*Tabla4[[#This Row],[Total]]</f>
        <v>#N/A</v>
      </c>
    </row>
    <row r="3384" spans="1:22" hidden="1" x14ac:dyDescent="0.25">
      <c r="A3384" s="100">
        <v>45823</v>
      </c>
      <c r="B3384" t="str">
        <f t="shared" si="161"/>
        <v>June</v>
      </c>
      <c r="C3384" s="46" t="s">
        <v>280</v>
      </c>
      <c r="F3384" s="366" t="s">
        <v>2015</v>
      </c>
      <c r="G3384" s="46" t="s">
        <v>16</v>
      </c>
      <c r="H3384" s="46">
        <v>3</v>
      </c>
      <c r="I3384" s="51">
        <v>4103.8499999999995</v>
      </c>
      <c r="J3384" s="281">
        <f>++Tabla4[[#This Row],[Precio Bruto]]*1.16</f>
        <v>4760.4659999999994</v>
      </c>
      <c r="K3384" s="281">
        <f>+Tabla4[[#This Row],[Precio Unitario Neto]]*Tabla4[[#Headers],[20.85%]]</f>
        <v>992.55716099999984</v>
      </c>
      <c r="L3384" s="282">
        <f>++Tabla4[[#This Row],[Precio Unitario Neto]]-Tabla4[[#This Row],[20.85%]]</f>
        <v>3767.9088389999997</v>
      </c>
      <c r="M3384" s="282" t="e">
        <f>(INDEX(Tabla6[#All],MATCH(Tabla4[[#This Row],[Producto]],Tabla6[[#All],[PRODUCTO]],0),MATCH(Tabla4[[#This Row],[Mes]],Tabla6[#Headers],0)))*(1+Catalogos!$L$2)</f>
        <v>#N/A</v>
      </c>
      <c r="N3384" s="283" t="e">
        <f>+(Tabla4[[#This Row],[Precio Descontado]]-Tabla4[[#This Row],[Precio Base]])*Tabla4[[#This Row],[Cantidad]]</f>
        <v>#N/A</v>
      </c>
      <c r="O3384" s="284" t="e">
        <f>++Tabla4[[#This Row],[Utilidad Total]]/Tabla4[[#This Row],[Total]]</f>
        <v>#N/A</v>
      </c>
      <c r="P3384" s="282">
        <f>++Tabla4[[#This Row],[Precio Descontado]]*Tabla4[[#This Row],[Cantidad]]</f>
        <v>11303.726516999999</v>
      </c>
      <c r="Q3384" s="282" t="e">
        <f>(INDEX(Tabla6[#All],MATCH(Tabla4[[#This Row],[Producto]],Tabla6[[#All],[PRODUCTO]],0),MATCH(Tabla4[[#This Row],[Mes]],Tabla6[#Headers],0)))</f>
        <v>#N/A</v>
      </c>
      <c r="R3384" s="282" t="e">
        <f>++Tabla4[[#This Row],[Precio Unitario Neto]]-Tabla4[[#This Row],[20.85%]]-Tabla4[[#This Row],[Costo]]</f>
        <v>#N/A</v>
      </c>
      <c r="S3384" s="282" t="e">
        <f>++Tabla4[[#This Row],[U. Bruta Uni]]*Tabla4[[#This Row],[Cantidad]]</f>
        <v>#N/A</v>
      </c>
      <c r="T3384" s="369" t="str">
        <f>VLOOKUP(Tabla4[[#This Row],[Producto]],Tabla6[#All],14,FALSE)</f>
        <v>Termico Solar</v>
      </c>
      <c r="U3384" s="284" t="e">
        <f>(IF(Tabla4[[#This Row],[Familia]]="termico solar",Tabla4[[#This Row],[Utilidad Total]]*6%,Tabla4[[#This Row],[Utilidad Total]]*11.5%))/Tabla4[[#This Row],[Total]]</f>
        <v>#N/A</v>
      </c>
      <c r="V3384" s="282" t="e">
        <f>+Tabla4[[#This Row],[Comisión Calculada]]*Tabla4[[#This Row],[Total]]</f>
        <v>#N/A</v>
      </c>
    </row>
    <row r="3385" spans="1:22" hidden="1" x14ac:dyDescent="0.25">
      <c r="A3385" s="100">
        <v>45823</v>
      </c>
      <c r="B3385" t="str">
        <f t="shared" si="161"/>
        <v>June</v>
      </c>
      <c r="C3385" s="46" t="s">
        <v>280</v>
      </c>
      <c r="F3385" s="366" t="s">
        <v>2016</v>
      </c>
      <c r="G3385" s="46" t="s">
        <v>83</v>
      </c>
      <c r="H3385" s="46">
        <v>1</v>
      </c>
      <c r="I3385" s="51">
        <v>8858.76</v>
      </c>
      <c r="J3385" s="281">
        <f>++Tabla4[[#This Row],[Precio Bruto]]*1.16</f>
        <v>10276.161599999999</v>
      </c>
      <c r="K3385" s="281">
        <f>+Tabla4[[#This Row],[Precio Unitario Neto]]*Tabla4[[#Headers],[20.85%]]</f>
        <v>2142.5796935999997</v>
      </c>
      <c r="L3385" s="282">
        <f>++Tabla4[[#This Row],[Precio Unitario Neto]]-Tabla4[[#This Row],[20.85%]]</f>
        <v>8133.5819063999998</v>
      </c>
      <c r="M3385" s="282" t="e">
        <f>(INDEX(Tabla6[#All],MATCH(Tabla4[[#This Row],[Producto]],Tabla6[[#All],[PRODUCTO]],0),MATCH(Tabla4[[#This Row],[Mes]],Tabla6[#Headers],0)))*(1+Catalogos!$L$2)</f>
        <v>#N/A</v>
      </c>
      <c r="N3385" s="283" t="e">
        <f>+(Tabla4[[#This Row],[Precio Descontado]]-Tabla4[[#This Row],[Precio Base]])*Tabla4[[#This Row],[Cantidad]]</f>
        <v>#N/A</v>
      </c>
      <c r="O3385" s="284" t="e">
        <f>++Tabla4[[#This Row],[Utilidad Total]]/Tabla4[[#This Row],[Total]]</f>
        <v>#N/A</v>
      </c>
      <c r="P3385" s="282">
        <f>++Tabla4[[#This Row],[Precio Descontado]]*Tabla4[[#This Row],[Cantidad]]</f>
        <v>8133.5819063999998</v>
      </c>
      <c r="Q3385" s="282" t="e">
        <f>(INDEX(Tabla6[#All],MATCH(Tabla4[[#This Row],[Producto]],Tabla6[[#All],[PRODUCTO]],0),MATCH(Tabla4[[#This Row],[Mes]],Tabla6[#Headers],0)))</f>
        <v>#N/A</v>
      </c>
      <c r="R3385" s="282" t="e">
        <f>++Tabla4[[#This Row],[Precio Unitario Neto]]-Tabla4[[#This Row],[20.85%]]-Tabla4[[#This Row],[Costo]]</f>
        <v>#N/A</v>
      </c>
      <c r="S3385" s="282" t="e">
        <f>++Tabla4[[#This Row],[U. Bruta Uni]]*Tabla4[[#This Row],[Cantidad]]</f>
        <v>#N/A</v>
      </c>
      <c r="T3385" s="369" t="str">
        <f>VLOOKUP(Tabla4[[#This Row],[Producto]],Tabla6[#All],14,FALSE)</f>
        <v>Termico Solar</v>
      </c>
      <c r="U3385" s="284" t="e">
        <f>(IF(Tabla4[[#This Row],[Familia]]="termico solar",Tabla4[[#This Row],[Utilidad Total]]*6%,Tabla4[[#This Row],[Utilidad Total]]*11.5%))/Tabla4[[#This Row],[Total]]</f>
        <v>#N/A</v>
      </c>
      <c r="V3385" s="282" t="e">
        <f>+Tabla4[[#This Row],[Comisión Calculada]]*Tabla4[[#This Row],[Total]]</f>
        <v>#N/A</v>
      </c>
    </row>
    <row r="3386" spans="1:22" hidden="1" x14ac:dyDescent="0.25">
      <c r="A3386" s="100">
        <v>45823</v>
      </c>
      <c r="B3386" t="str">
        <f t="shared" si="161"/>
        <v>June</v>
      </c>
      <c r="C3386" s="46" t="s">
        <v>280</v>
      </c>
      <c r="F3386" s="366" t="s">
        <v>2016</v>
      </c>
      <c r="G3386" s="46" t="s">
        <v>566</v>
      </c>
      <c r="H3386" s="46">
        <v>2</v>
      </c>
      <c r="I3386" s="51">
        <v>2109.4499999999998</v>
      </c>
      <c r="J3386" s="281">
        <f>++Tabla4[[#This Row],[Precio Bruto]]*1.16</f>
        <v>2446.9619999999995</v>
      </c>
      <c r="K3386" s="281">
        <f>+Tabla4[[#This Row],[Precio Unitario Neto]]*Tabla4[[#Headers],[20.85%]]</f>
        <v>510.19157699999988</v>
      </c>
      <c r="L3386" s="282">
        <f>++Tabla4[[#This Row],[Precio Unitario Neto]]-Tabla4[[#This Row],[20.85%]]</f>
        <v>1936.7704229999997</v>
      </c>
      <c r="M3386" s="282" t="e">
        <f>(INDEX(Tabla6[#All],MATCH(Tabla4[[#This Row],[Producto]],Tabla6[[#All],[PRODUCTO]],0),MATCH(Tabla4[[#This Row],[Mes]],Tabla6[#Headers],0)))*(1+Catalogos!$L$2)</f>
        <v>#N/A</v>
      </c>
      <c r="N3386" s="283" t="e">
        <f>+(Tabla4[[#This Row],[Precio Descontado]]-Tabla4[[#This Row],[Precio Base]])*Tabla4[[#This Row],[Cantidad]]</f>
        <v>#N/A</v>
      </c>
      <c r="O3386" s="284" t="e">
        <f>++Tabla4[[#This Row],[Utilidad Total]]/Tabla4[[#This Row],[Total]]</f>
        <v>#N/A</v>
      </c>
      <c r="P3386" s="282">
        <f>++Tabla4[[#This Row],[Precio Descontado]]*Tabla4[[#This Row],[Cantidad]]</f>
        <v>3873.5408459999994</v>
      </c>
      <c r="Q3386" s="282" t="e">
        <f>(INDEX(Tabla6[#All],MATCH(Tabla4[[#This Row],[Producto]],Tabla6[[#All],[PRODUCTO]],0),MATCH(Tabla4[[#This Row],[Mes]],Tabla6[#Headers],0)))</f>
        <v>#N/A</v>
      </c>
      <c r="R3386" s="282" t="e">
        <f>++Tabla4[[#This Row],[Precio Unitario Neto]]-Tabla4[[#This Row],[20.85%]]-Tabla4[[#This Row],[Costo]]</f>
        <v>#N/A</v>
      </c>
      <c r="S3386" s="282" t="e">
        <f>++Tabla4[[#This Row],[U. Bruta Uni]]*Tabla4[[#This Row],[Cantidad]]</f>
        <v>#N/A</v>
      </c>
      <c r="T3386" s="369" t="str">
        <f>VLOOKUP(Tabla4[[#This Row],[Producto]],Tabla6[#All],14,FALSE)</f>
        <v>Termico Solar</v>
      </c>
      <c r="U3386" s="284" t="e">
        <f>(IF(Tabla4[[#This Row],[Familia]]="termico solar",Tabla4[[#This Row],[Utilidad Total]]*6%,Tabla4[[#This Row],[Utilidad Total]]*11.5%))/Tabla4[[#This Row],[Total]]</f>
        <v>#N/A</v>
      </c>
      <c r="V3386" s="282" t="e">
        <f>+Tabla4[[#This Row],[Comisión Calculada]]*Tabla4[[#This Row],[Total]]</f>
        <v>#N/A</v>
      </c>
    </row>
    <row r="3387" spans="1:22" hidden="1" x14ac:dyDescent="0.25">
      <c r="A3387" s="100">
        <v>45823</v>
      </c>
      <c r="B3387" t="str">
        <f t="shared" si="161"/>
        <v>June</v>
      </c>
      <c r="C3387" s="46" t="s">
        <v>280</v>
      </c>
      <c r="F3387" s="366" t="s">
        <v>2016</v>
      </c>
      <c r="G3387" s="46" t="s">
        <v>208</v>
      </c>
      <c r="H3387" s="46">
        <v>2</v>
      </c>
      <c r="I3387" s="51">
        <v>189.75</v>
      </c>
      <c r="J3387" s="281">
        <f>++Tabla4[[#This Row],[Precio Bruto]]*1.16</f>
        <v>220.10999999999999</v>
      </c>
      <c r="K3387" s="281">
        <f>+Tabla4[[#This Row],[Precio Unitario Neto]]*Tabla4[[#Headers],[20.85%]]</f>
        <v>45.892934999999994</v>
      </c>
      <c r="L3387" s="282">
        <f>++Tabla4[[#This Row],[Precio Unitario Neto]]-Tabla4[[#This Row],[20.85%]]</f>
        <v>174.21706499999999</v>
      </c>
      <c r="M3387" s="282" t="e">
        <f>(INDEX(Tabla6[#All],MATCH(Tabla4[[#This Row],[Producto]],Tabla6[[#All],[PRODUCTO]],0),MATCH(Tabla4[[#This Row],[Mes]],Tabla6[#Headers],0)))*(1+Catalogos!$L$2)</f>
        <v>#N/A</v>
      </c>
      <c r="N3387" s="283" t="e">
        <f>+(Tabla4[[#This Row],[Precio Descontado]]-Tabla4[[#This Row],[Precio Base]])*Tabla4[[#This Row],[Cantidad]]</f>
        <v>#N/A</v>
      </c>
      <c r="O3387" s="284" t="e">
        <f>++Tabla4[[#This Row],[Utilidad Total]]/Tabla4[[#This Row],[Total]]</f>
        <v>#N/A</v>
      </c>
      <c r="P3387" s="282">
        <f>++Tabla4[[#This Row],[Precio Descontado]]*Tabla4[[#This Row],[Cantidad]]</f>
        <v>348.43412999999998</v>
      </c>
      <c r="Q3387" s="282" t="e">
        <f>(INDEX(Tabla6[#All],MATCH(Tabla4[[#This Row],[Producto]],Tabla6[[#All],[PRODUCTO]],0),MATCH(Tabla4[[#This Row],[Mes]],Tabla6[#Headers],0)))</f>
        <v>#N/A</v>
      </c>
      <c r="R3387" s="282" t="e">
        <f>++Tabla4[[#This Row],[Precio Unitario Neto]]-Tabla4[[#This Row],[20.85%]]-Tabla4[[#This Row],[Costo]]</f>
        <v>#N/A</v>
      </c>
      <c r="S3387" s="282" t="e">
        <f>++Tabla4[[#This Row],[U. Bruta Uni]]*Tabla4[[#This Row],[Cantidad]]</f>
        <v>#N/A</v>
      </c>
      <c r="T3387" s="369" t="str">
        <f>VLOOKUP(Tabla4[[#This Row],[Producto]],Tabla6[#All],14,FALSE)</f>
        <v>Termico Solar</v>
      </c>
      <c r="U3387" s="284" t="e">
        <f>(IF(Tabla4[[#This Row],[Familia]]="termico solar",Tabla4[[#This Row],[Utilidad Total]]*6%,Tabla4[[#This Row],[Utilidad Total]]*11.5%))/Tabla4[[#This Row],[Total]]</f>
        <v>#N/A</v>
      </c>
      <c r="V3387" s="282" t="e">
        <f>+Tabla4[[#This Row],[Comisión Calculada]]*Tabla4[[#This Row],[Total]]</f>
        <v>#N/A</v>
      </c>
    </row>
    <row r="3388" spans="1:22" hidden="1" x14ac:dyDescent="0.25">
      <c r="A3388" s="100">
        <v>45823</v>
      </c>
      <c r="B3388" t="str">
        <f t="shared" si="161"/>
        <v>June</v>
      </c>
      <c r="C3388" s="46" t="s">
        <v>280</v>
      </c>
      <c r="F3388" s="366" t="s">
        <v>2017</v>
      </c>
      <c r="G3388" s="46" t="s">
        <v>17</v>
      </c>
      <c r="H3388" s="46">
        <v>3</v>
      </c>
      <c r="I3388" s="51">
        <v>4622.28</v>
      </c>
      <c r="J3388" s="281">
        <f>++Tabla4[[#This Row],[Precio Bruto]]*1.16</f>
        <v>5361.8447999999989</v>
      </c>
      <c r="K3388" s="281">
        <f>+Tabla4[[#This Row],[Precio Unitario Neto]]*Tabla4[[#Headers],[20.85%]]</f>
        <v>1117.9446407999997</v>
      </c>
      <c r="L3388" s="282">
        <f>++Tabla4[[#This Row],[Precio Unitario Neto]]-Tabla4[[#This Row],[20.85%]]</f>
        <v>4243.9001591999995</v>
      </c>
      <c r="M3388" s="282" t="e">
        <f>(INDEX(Tabla6[#All],MATCH(Tabla4[[#This Row],[Producto]],Tabla6[[#All],[PRODUCTO]],0),MATCH(Tabla4[[#This Row],[Mes]],Tabla6[#Headers],0)))*(1+Catalogos!$L$2)</f>
        <v>#N/A</v>
      </c>
      <c r="N3388" s="283" t="e">
        <f>+(Tabla4[[#This Row],[Precio Descontado]]-Tabla4[[#This Row],[Precio Base]])*Tabla4[[#This Row],[Cantidad]]</f>
        <v>#N/A</v>
      </c>
      <c r="O3388" s="284" t="e">
        <f>++Tabla4[[#This Row],[Utilidad Total]]/Tabla4[[#This Row],[Total]]</f>
        <v>#N/A</v>
      </c>
      <c r="P3388" s="282">
        <f>++Tabla4[[#This Row],[Precio Descontado]]*Tabla4[[#This Row],[Cantidad]]</f>
        <v>12731.700477599999</v>
      </c>
      <c r="Q3388" s="282" t="e">
        <f>(INDEX(Tabla6[#All],MATCH(Tabla4[[#This Row],[Producto]],Tabla6[[#All],[PRODUCTO]],0),MATCH(Tabla4[[#This Row],[Mes]],Tabla6[#Headers],0)))</f>
        <v>#N/A</v>
      </c>
      <c r="R3388" s="282" t="e">
        <f>++Tabla4[[#This Row],[Precio Unitario Neto]]-Tabla4[[#This Row],[20.85%]]-Tabla4[[#This Row],[Costo]]</f>
        <v>#N/A</v>
      </c>
      <c r="S3388" s="282" t="e">
        <f>++Tabla4[[#This Row],[U. Bruta Uni]]*Tabla4[[#This Row],[Cantidad]]</f>
        <v>#N/A</v>
      </c>
      <c r="T3388" s="369" t="str">
        <f>VLOOKUP(Tabla4[[#This Row],[Producto]],Tabla6[#All],14,FALSE)</f>
        <v>Termico Solar</v>
      </c>
      <c r="U3388" s="284" t="e">
        <f>(IF(Tabla4[[#This Row],[Familia]]="termico solar",Tabla4[[#This Row],[Utilidad Total]]*6%,Tabla4[[#This Row],[Utilidad Total]]*11.5%))/Tabla4[[#This Row],[Total]]</f>
        <v>#N/A</v>
      </c>
      <c r="V3388" s="282" t="e">
        <f>+Tabla4[[#This Row],[Comisión Calculada]]*Tabla4[[#This Row],[Total]]</f>
        <v>#N/A</v>
      </c>
    </row>
    <row r="3389" spans="1:22" hidden="1" x14ac:dyDescent="0.25">
      <c r="A3389" s="100">
        <v>45823</v>
      </c>
      <c r="B3389" t="str">
        <f t="shared" si="161"/>
        <v>June</v>
      </c>
      <c r="C3389" s="46" t="s">
        <v>280</v>
      </c>
      <c r="F3389" s="366" t="s">
        <v>2017</v>
      </c>
      <c r="G3389" s="46" t="s">
        <v>18</v>
      </c>
      <c r="H3389" s="46">
        <v>1</v>
      </c>
      <c r="I3389" s="51">
        <v>5367.65</v>
      </c>
      <c r="J3389" s="281">
        <f>++Tabla4[[#This Row],[Precio Bruto]]*1.16</f>
        <v>6226.4739999999993</v>
      </c>
      <c r="K3389" s="281">
        <f>+Tabla4[[#This Row],[Precio Unitario Neto]]*Tabla4[[#Headers],[20.85%]]</f>
        <v>1298.2198289999999</v>
      </c>
      <c r="L3389" s="282">
        <f>++Tabla4[[#This Row],[Precio Unitario Neto]]-Tabla4[[#This Row],[20.85%]]</f>
        <v>4928.2541709999996</v>
      </c>
      <c r="M3389" s="282" t="e">
        <f>(INDEX(Tabla6[#All],MATCH(Tabla4[[#This Row],[Producto]],Tabla6[[#All],[PRODUCTO]],0),MATCH(Tabla4[[#This Row],[Mes]],Tabla6[#Headers],0)))*(1+Catalogos!$L$2)</f>
        <v>#N/A</v>
      </c>
      <c r="N3389" s="283" t="e">
        <f>+(Tabla4[[#This Row],[Precio Descontado]]-Tabla4[[#This Row],[Precio Base]])*Tabla4[[#This Row],[Cantidad]]</f>
        <v>#N/A</v>
      </c>
      <c r="O3389" s="284" t="e">
        <f>++Tabla4[[#This Row],[Utilidad Total]]/Tabla4[[#This Row],[Total]]</f>
        <v>#N/A</v>
      </c>
      <c r="P3389" s="282">
        <f>++Tabla4[[#This Row],[Precio Descontado]]*Tabla4[[#This Row],[Cantidad]]</f>
        <v>4928.2541709999996</v>
      </c>
      <c r="Q3389" s="282" t="e">
        <f>(INDEX(Tabla6[#All],MATCH(Tabla4[[#This Row],[Producto]],Tabla6[[#All],[PRODUCTO]],0),MATCH(Tabla4[[#This Row],[Mes]],Tabla6[#Headers],0)))</f>
        <v>#N/A</v>
      </c>
      <c r="R3389" s="282" t="e">
        <f>++Tabla4[[#This Row],[Precio Unitario Neto]]-Tabla4[[#This Row],[20.85%]]-Tabla4[[#This Row],[Costo]]</f>
        <v>#N/A</v>
      </c>
      <c r="S3389" s="282" t="e">
        <f>++Tabla4[[#This Row],[U. Bruta Uni]]*Tabla4[[#This Row],[Cantidad]]</f>
        <v>#N/A</v>
      </c>
      <c r="T3389" s="369" t="str">
        <f>VLOOKUP(Tabla4[[#This Row],[Producto]],Tabla6[#All],14,FALSE)</f>
        <v>Termico Solar</v>
      </c>
      <c r="U3389" s="284" t="e">
        <f>(IF(Tabla4[[#This Row],[Familia]]="termico solar",Tabla4[[#This Row],[Utilidad Total]]*6%,Tabla4[[#This Row],[Utilidad Total]]*11.5%))/Tabla4[[#This Row],[Total]]</f>
        <v>#N/A</v>
      </c>
      <c r="V3389" s="282" t="e">
        <f>+Tabla4[[#This Row],[Comisión Calculada]]*Tabla4[[#This Row],[Total]]</f>
        <v>#N/A</v>
      </c>
    </row>
    <row r="3390" spans="1:22" ht="15.75" hidden="1" customHeight="1" x14ac:dyDescent="0.25">
      <c r="A3390" s="100">
        <v>45823</v>
      </c>
      <c r="B3390" t="str">
        <f t="shared" si="161"/>
        <v>June</v>
      </c>
      <c r="C3390" s="46" t="s">
        <v>280</v>
      </c>
      <c r="F3390" s="366" t="s">
        <v>2017</v>
      </c>
      <c r="G3390" s="46" t="s">
        <v>566</v>
      </c>
      <c r="H3390" s="46">
        <v>1</v>
      </c>
      <c r="I3390" s="51">
        <v>2109.4499999999998</v>
      </c>
      <c r="J3390" s="281">
        <f>++Tabla4[[#This Row],[Precio Bruto]]*1.16</f>
        <v>2446.9619999999995</v>
      </c>
      <c r="K3390" s="281">
        <f>+Tabla4[[#This Row],[Precio Unitario Neto]]*Tabla4[[#Headers],[20.85%]]</f>
        <v>510.19157699999988</v>
      </c>
      <c r="L3390" s="282">
        <f>++Tabla4[[#This Row],[Precio Unitario Neto]]-Tabla4[[#This Row],[20.85%]]</f>
        <v>1936.7704229999997</v>
      </c>
      <c r="M3390" s="282" t="e">
        <f>(INDEX(Tabla6[#All],MATCH(Tabla4[[#This Row],[Producto]],Tabla6[[#All],[PRODUCTO]],0),MATCH(Tabla4[[#This Row],[Mes]],Tabla6[#Headers],0)))*(1+Catalogos!$L$2)</f>
        <v>#N/A</v>
      </c>
      <c r="N3390" s="283" t="e">
        <f>+(Tabla4[[#This Row],[Precio Descontado]]-Tabla4[[#This Row],[Precio Base]])*Tabla4[[#This Row],[Cantidad]]</f>
        <v>#N/A</v>
      </c>
      <c r="O3390" s="284" t="e">
        <f>++Tabla4[[#This Row],[Utilidad Total]]/Tabla4[[#This Row],[Total]]</f>
        <v>#N/A</v>
      </c>
      <c r="P3390" s="282">
        <f>++Tabla4[[#This Row],[Precio Descontado]]*Tabla4[[#This Row],[Cantidad]]</f>
        <v>1936.7704229999997</v>
      </c>
      <c r="Q3390" s="282" t="e">
        <f>(INDEX(Tabla6[#All],MATCH(Tabla4[[#This Row],[Producto]],Tabla6[[#All],[PRODUCTO]],0),MATCH(Tabla4[[#This Row],[Mes]],Tabla6[#Headers],0)))</f>
        <v>#N/A</v>
      </c>
      <c r="R3390" s="282" t="e">
        <f>++Tabla4[[#This Row],[Precio Unitario Neto]]-Tabla4[[#This Row],[20.85%]]-Tabla4[[#This Row],[Costo]]</f>
        <v>#N/A</v>
      </c>
      <c r="S3390" s="282" t="e">
        <f>++Tabla4[[#This Row],[U. Bruta Uni]]*Tabla4[[#This Row],[Cantidad]]</f>
        <v>#N/A</v>
      </c>
      <c r="T3390" s="369" t="str">
        <f>VLOOKUP(Tabla4[[#This Row],[Producto]],Tabla6[#All],14,FALSE)</f>
        <v>Termico Solar</v>
      </c>
      <c r="U3390" s="284" t="e">
        <f>(IF(Tabla4[[#This Row],[Familia]]="termico solar",Tabla4[[#This Row],[Utilidad Total]]*6%,Tabla4[[#This Row],[Utilidad Total]]*11.5%))/Tabla4[[#This Row],[Total]]</f>
        <v>#N/A</v>
      </c>
      <c r="V3390" s="282" t="e">
        <f>+Tabla4[[#This Row],[Comisión Calculada]]*Tabla4[[#This Row],[Total]]</f>
        <v>#N/A</v>
      </c>
    </row>
    <row r="3391" spans="1:22" ht="15.75" hidden="1" customHeight="1" x14ac:dyDescent="0.25">
      <c r="A3391" s="100">
        <v>45823</v>
      </c>
      <c r="B3391" t="str">
        <f t="shared" si="161"/>
        <v>June</v>
      </c>
      <c r="C3391" s="46" t="s">
        <v>280</v>
      </c>
      <c r="F3391" s="366" t="s">
        <v>2017</v>
      </c>
      <c r="G3391" s="46" t="s">
        <v>16</v>
      </c>
      <c r="H3391" s="46">
        <v>1</v>
      </c>
      <c r="I3391" s="51">
        <v>4103.8500000000004</v>
      </c>
      <c r="J3391" s="281">
        <f>++Tabla4[[#This Row],[Precio Bruto]]*1.16</f>
        <v>4760.4660000000003</v>
      </c>
      <c r="K3391" s="281">
        <f>+Tabla4[[#This Row],[Precio Unitario Neto]]*Tabla4[[#Headers],[20.85%]]</f>
        <v>992.55716100000006</v>
      </c>
      <c r="L3391" s="282">
        <f>++Tabla4[[#This Row],[Precio Unitario Neto]]-Tabla4[[#This Row],[20.85%]]</f>
        <v>3767.9088390000002</v>
      </c>
      <c r="M3391" s="282" t="e">
        <f>(INDEX(Tabla6[#All],MATCH(Tabla4[[#This Row],[Producto]],Tabla6[[#All],[PRODUCTO]],0),MATCH(Tabla4[[#This Row],[Mes]],Tabla6[#Headers],0)))*(1+Catalogos!$L$2)</f>
        <v>#N/A</v>
      </c>
      <c r="N3391" s="283" t="e">
        <f>+(Tabla4[[#This Row],[Precio Descontado]]-Tabla4[[#This Row],[Precio Base]])*Tabla4[[#This Row],[Cantidad]]</f>
        <v>#N/A</v>
      </c>
      <c r="O3391" s="284" t="e">
        <f>++Tabla4[[#This Row],[Utilidad Total]]/Tabla4[[#This Row],[Total]]</f>
        <v>#N/A</v>
      </c>
      <c r="P3391" s="282">
        <f>++Tabla4[[#This Row],[Precio Descontado]]*Tabla4[[#This Row],[Cantidad]]</f>
        <v>3767.9088390000002</v>
      </c>
      <c r="Q3391" s="282" t="e">
        <f>(INDEX(Tabla6[#All],MATCH(Tabla4[[#This Row],[Producto]],Tabla6[[#All],[PRODUCTO]],0),MATCH(Tabla4[[#This Row],[Mes]],Tabla6[#Headers],0)))</f>
        <v>#N/A</v>
      </c>
      <c r="R3391" s="282" t="e">
        <f>++Tabla4[[#This Row],[Precio Unitario Neto]]-Tabla4[[#This Row],[20.85%]]-Tabla4[[#This Row],[Costo]]</f>
        <v>#N/A</v>
      </c>
      <c r="S3391" s="282" t="e">
        <f>++Tabla4[[#This Row],[U. Bruta Uni]]*Tabla4[[#This Row],[Cantidad]]</f>
        <v>#N/A</v>
      </c>
      <c r="T3391" s="369" t="str">
        <f>VLOOKUP(Tabla4[[#This Row],[Producto]],Tabla6[#All],14,FALSE)</f>
        <v>Termico Solar</v>
      </c>
      <c r="U3391" s="284" t="e">
        <f>(IF(Tabla4[[#This Row],[Familia]]="termico solar",Tabla4[[#This Row],[Utilidad Total]]*6%,Tabla4[[#This Row],[Utilidad Total]]*11.5%))/Tabla4[[#This Row],[Total]]</f>
        <v>#N/A</v>
      </c>
      <c r="V3391" s="282" t="e">
        <f>+Tabla4[[#This Row],[Comisión Calculada]]*Tabla4[[#This Row],[Total]]</f>
        <v>#N/A</v>
      </c>
    </row>
    <row r="3392" spans="1:22" hidden="1" x14ac:dyDescent="0.25">
      <c r="A3392" s="100">
        <v>45823</v>
      </c>
      <c r="B3392" t="str">
        <f t="shared" si="161"/>
        <v>June</v>
      </c>
      <c r="C3392" s="46" t="s">
        <v>280</v>
      </c>
      <c r="F3392" s="366" t="s">
        <v>2017</v>
      </c>
      <c r="G3392" s="46" t="s">
        <v>208</v>
      </c>
      <c r="H3392" s="46">
        <v>1</v>
      </c>
      <c r="I3392" s="51">
        <v>189.75</v>
      </c>
      <c r="J3392" s="281">
        <f>++Tabla4[[#This Row],[Precio Bruto]]*1.16</f>
        <v>220.10999999999999</v>
      </c>
      <c r="K3392" s="281">
        <f>+Tabla4[[#This Row],[Precio Unitario Neto]]*Tabla4[[#Headers],[20.85%]]</f>
        <v>45.892934999999994</v>
      </c>
      <c r="L3392" s="282">
        <f>++Tabla4[[#This Row],[Precio Unitario Neto]]-Tabla4[[#This Row],[20.85%]]</f>
        <v>174.21706499999999</v>
      </c>
      <c r="M3392" s="282" t="e">
        <f>(INDEX(Tabla6[#All],MATCH(Tabla4[[#This Row],[Producto]],Tabla6[[#All],[PRODUCTO]],0),MATCH(Tabla4[[#This Row],[Mes]],Tabla6[#Headers],0)))*(1+Catalogos!$L$2)</f>
        <v>#N/A</v>
      </c>
      <c r="N3392" s="283" t="e">
        <f>+(Tabla4[[#This Row],[Precio Descontado]]-Tabla4[[#This Row],[Precio Base]])*Tabla4[[#This Row],[Cantidad]]</f>
        <v>#N/A</v>
      </c>
      <c r="O3392" s="284" t="e">
        <f>++Tabla4[[#This Row],[Utilidad Total]]/Tabla4[[#This Row],[Total]]</f>
        <v>#N/A</v>
      </c>
      <c r="P3392" s="282">
        <f>++Tabla4[[#This Row],[Precio Descontado]]*Tabla4[[#This Row],[Cantidad]]</f>
        <v>174.21706499999999</v>
      </c>
      <c r="Q3392" s="282" t="e">
        <f>(INDEX(Tabla6[#All],MATCH(Tabla4[[#This Row],[Producto]],Tabla6[[#All],[PRODUCTO]],0),MATCH(Tabla4[[#This Row],[Mes]],Tabla6[#Headers],0)))</f>
        <v>#N/A</v>
      </c>
      <c r="R3392" s="282" t="e">
        <f>++Tabla4[[#This Row],[Precio Unitario Neto]]-Tabla4[[#This Row],[20.85%]]-Tabla4[[#This Row],[Costo]]</f>
        <v>#N/A</v>
      </c>
      <c r="S3392" s="282" t="e">
        <f>++Tabla4[[#This Row],[U. Bruta Uni]]*Tabla4[[#This Row],[Cantidad]]</f>
        <v>#N/A</v>
      </c>
      <c r="T3392" s="369" t="str">
        <f>VLOOKUP(Tabla4[[#This Row],[Producto]],Tabla6[#All],14,FALSE)</f>
        <v>Termico Solar</v>
      </c>
      <c r="U3392" s="284" t="e">
        <f>(IF(Tabla4[[#This Row],[Familia]]="termico solar",Tabla4[[#This Row],[Utilidad Total]]*6%,Tabla4[[#This Row],[Utilidad Total]]*11.5%))/Tabla4[[#This Row],[Total]]</f>
        <v>#N/A</v>
      </c>
      <c r="V3392" s="282" t="e">
        <f>+Tabla4[[#This Row],[Comisión Calculada]]*Tabla4[[#This Row],[Total]]</f>
        <v>#N/A</v>
      </c>
    </row>
    <row r="3393" spans="1:22" hidden="1" x14ac:dyDescent="0.25">
      <c r="A3393" s="100">
        <v>45823</v>
      </c>
      <c r="B3393" t="str">
        <f t="shared" si="161"/>
        <v>June</v>
      </c>
      <c r="C3393" s="46" t="s">
        <v>280</v>
      </c>
      <c r="F3393" s="366" t="s">
        <v>2018</v>
      </c>
      <c r="G3393" s="46" t="s">
        <v>17</v>
      </c>
      <c r="H3393" s="46">
        <v>4</v>
      </c>
      <c r="I3393" s="51">
        <v>4622.28</v>
      </c>
      <c r="J3393" s="281">
        <f>++Tabla4[[#This Row],[Precio Bruto]]*1.16</f>
        <v>5361.8447999999989</v>
      </c>
      <c r="K3393" s="281">
        <f>+Tabla4[[#This Row],[Precio Unitario Neto]]*Tabla4[[#Headers],[20.85%]]</f>
        <v>1117.9446407999997</v>
      </c>
      <c r="L3393" s="282">
        <f>++Tabla4[[#This Row],[Precio Unitario Neto]]-Tabla4[[#This Row],[20.85%]]</f>
        <v>4243.9001591999995</v>
      </c>
      <c r="M3393" s="282" t="e">
        <f>(INDEX(Tabla6[#All],MATCH(Tabla4[[#This Row],[Producto]],Tabla6[[#All],[PRODUCTO]],0),MATCH(Tabla4[[#This Row],[Mes]],Tabla6[#Headers],0)))*(1+Catalogos!$L$2)</f>
        <v>#N/A</v>
      </c>
      <c r="N3393" s="283" t="e">
        <f>+(Tabla4[[#This Row],[Precio Descontado]]-Tabla4[[#This Row],[Precio Base]])*Tabla4[[#This Row],[Cantidad]]</f>
        <v>#N/A</v>
      </c>
      <c r="O3393" s="284" t="e">
        <f>++Tabla4[[#This Row],[Utilidad Total]]/Tabla4[[#This Row],[Total]]</f>
        <v>#N/A</v>
      </c>
      <c r="P3393" s="282">
        <f>++Tabla4[[#This Row],[Precio Descontado]]*Tabla4[[#This Row],[Cantidad]]</f>
        <v>16975.600636799998</v>
      </c>
      <c r="Q3393" s="282" t="e">
        <f>(INDEX(Tabla6[#All],MATCH(Tabla4[[#This Row],[Producto]],Tabla6[[#All],[PRODUCTO]],0),MATCH(Tabla4[[#This Row],[Mes]],Tabla6[#Headers],0)))</f>
        <v>#N/A</v>
      </c>
      <c r="R3393" s="282" t="e">
        <f>++Tabla4[[#This Row],[Precio Unitario Neto]]-Tabla4[[#This Row],[20.85%]]-Tabla4[[#This Row],[Costo]]</f>
        <v>#N/A</v>
      </c>
      <c r="S3393" s="282" t="e">
        <f>++Tabla4[[#This Row],[U. Bruta Uni]]*Tabla4[[#This Row],[Cantidad]]</f>
        <v>#N/A</v>
      </c>
      <c r="T3393" s="369" t="str">
        <f>VLOOKUP(Tabla4[[#This Row],[Producto]],Tabla6[#All],14,FALSE)</f>
        <v>Termico Solar</v>
      </c>
      <c r="U3393" s="284" t="e">
        <f>(IF(Tabla4[[#This Row],[Familia]]="termico solar",Tabla4[[#This Row],[Utilidad Total]]*6%,Tabla4[[#This Row],[Utilidad Total]]*11.5%))/Tabla4[[#This Row],[Total]]</f>
        <v>#N/A</v>
      </c>
      <c r="V3393" s="282" t="e">
        <f>+Tabla4[[#This Row],[Comisión Calculada]]*Tabla4[[#This Row],[Total]]</f>
        <v>#N/A</v>
      </c>
    </row>
    <row r="3394" spans="1:22" hidden="1" x14ac:dyDescent="0.25">
      <c r="A3394" s="100">
        <v>45823</v>
      </c>
      <c r="B3394" t="str">
        <f t="shared" si="161"/>
        <v>June</v>
      </c>
      <c r="C3394" s="46" t="s">
        <v>280</v>
      </c>
      <c r="F3394" s="366" t="s">
        <v>2018</v>
      </c>
      <c r="G3394" s="46" t="s">
        <v>18</v>
      </c>
      <c r="H3394" s="46">
        <v>3</v>
      </c>
      <c r="I3394" s="51">
        <v>5367.6500000000005</v>
      </c>
      <c r="J3394" s="281">
        <f>++Tabla4[[#This Row],[Precio Bruto]]*1.16</f>
        <v>6226.4740000000002</v>
      </c>
      <c r="K3394" s="281">
        <f>+Tabla4[[#This Row],[Precio Unitario Neto]]*Tabla4[[#Headers],[20.85%]]</f>
        <v>1298.2198289999999</v>
      </c>
      <c r="L3394" s="282">
        <f>++Tabla4[[#This Row],[Precio Unitario Neto]]-Tabla4[[#This Row],[20.85%]]</f>
        <v>4928.2541710000005</v>
      </c>
      <c r="M3394" s="282" t="e">
        <f>(INDEX(Tabla6[#All],MATCH(Tabla4[[#This Row],[Producto]],Tabla6[[#All],[PRODUCTO]],0),MATCH(Tabla4[[#This Row],[Mes]],Tabla6[#Headers],0)))*(1+Catalogos!$L$2)</f>
        <v>#N/A</v>
      </c>
      <c r="N3394" s="283" t="e">
        <f>+(Tabla4[[#This Row],[Precio Descontado]]-Tabla4[[#This Row],[Precio Base]])*Tabla4[[#This Row],[Cantidad]]</f>
        <v>#N/A</v>
      </c>
      <c r="O3394" s="284" t="e">
        <f>++Tabla4[[#This Row],[Utilidad Total]]/Tabla4[[#This Row],[Total]]</f>
        <v>#N/A</v>
      </c>
      <c r="P3394" s="282">
        <f>++Tabla4[[#This Row],[Precio Descontado]]*Tabla4[[#This Row],[Cantidad]]</f>
        <v>14784.762513000001</v>
      </c>
      <c r="Q3394" s="282" t="e">
        <f>(INDEX(Tabla6[#All],MATCH(Tabla4[[#This Row],[Producto]],Tabla6[[#All],[PRODUCTO]],0),MATCH(Tabla4[[#This Row],[Mes]],Tabla6[#Headers],0)))</f>
        <v>#N/A</v>
      </c>
      <c r="R3394" s="282" t="e">
        <f>++Tabla4[[#This Row],[Precio Unitario Neto]]-Tabla4[[#This Row],[20.85%]]-Tabla4[[#This Row],[Costo]]</f>
        <v>#N/A</v>
      </c>
      <c r="S3394" s="282" t="e">
        <f>++Tabla4[[#This Row],[U. Bruta Uni]]*Tabla4[[#This Row],[Cantidad]]</f>
        <v>#N/A</v>
      </c>
      <c r="T3394" s="369" t="str">
        <f>VLOOKUP(Tabla4[[#This Row],[Producto]],Tabla6[#All],14,FALSE)</f>
        <v>Termico Solar</v>
      </c>
      <c r="U3394" s="284" t="e">
        <f>(IF(Tabla4[[#This Row],[Familia]]="termico solar",Tabla4[[#This Row],[Utilidad Total]]*6%,Tabla4[[#This Row],[Utilidad Total]]*11.5%))/Tabla4[[#This Row],[Total]]</f>
        <v>#N/A</v>
      </c>
      <c r="V3394" s="282" t="e">
        <f>+Tabla4[[#This Row],[Comisión Calculada]]*Tabla4[[#This Row],[Total]]</f>
        <v>#N/A</v>
      </c>
    </row>
    <row r="3395" spans="1:22" hidden="1" x14ac:dyDescent="0.25">
      <c r="A3395" s="100">
        <v>45823</v>
      </c>
      <c r="B3395" t="str">
        <f t="shared" si="161"/>
        <v>June</v>
      </c>
      <c r="C3395" s="46" t="s">
        <v>280</v>
      </c>
      <c r="F3395" s="366" t="s">
        <v>2018</v>
      </c>
      <c r="G3395" s="46" t="s">
        <v>20</v>
      </c>
      <c r="H3395" s="46">
        <v>1</v>
      </c>
      <c r="I3395" s="51">
        <v>7751.98</v>
      </c>
      <c r="J3395" s="281">
        <f>++Tabla4[[#This Row],[Precio Bruto]]*1.16</f>
        <v>8992.2967999999983</v>
      </c>
      <c r="K3395" s="281">
        <f>+Tabla4[[#This Row],[Precio Unitario Neto]]*Tabla4[[#Headers],[20.85%]]</f>
        <v>1874.8938827999996</v>
      </c>
      <c r="L3395" s="282">
        <f>++Tabla4[[#This Row],[Precio Unitario Neto]]-Tabla4[[#This Row],[20.85%]]</f>
        <v>7117.4029171999991</v>
      </c>
      <c r="M3395" s="282" t="e">
        <f>(INDEX(Tabla6[#All],MATCH(Tabla4[[#This Row],[Producto]],Tabla6[[#All],[PRODUCTO]],0),MATCH(Tabla4[[#This Row],[Mes]],Tabla6[#Headers],0)))*(1+Catalogos!$L$2)</f>
        <v>#N/A</v>
      </c>
      <c r="N3395" s="283" t="e">
        <f>+(Tabla4[[#This Row],[Precio Descontado]]-Tabla4[[#This Row],[Precio Base]])*Tabla4[[#This Row],[Cantidad]]</f>
        <v>#N/A</v>
      </c>
      <c r="O3395" s="284" t="e">
        <f>++Tabla4[[#This Row],[Utilidad Total]]/Tabla4[[#This Row],[Total]]</f>
        <v>#N/A</v>
      </c>
      <c r="P3395" s="282">
        <f>++Tabla4[[#This Row],[Precio Descontado]]*Tabla4[[#This Row],[Cantidad]]</f>
        <v>7117.4029171999991</v>
      </c>
      <c r="Q3395" s="282" t="e">
        <f>(INDEX(Tabla6[#All],MATCH(Tabla4[[#This Row],[Producto]],Tabla6[[#All],[PRODUCTO]],0),MATCH(Tabla4[[#This Row],[Mes]],Tabla6[#Headers],0)))</f>
        <v>#N/A</v>
      </c>
      <c r="R3395" s="282" t="e">
        <f>++Tabla4[[#This Row],[Precio Unitario Neto]]-Tabla4[[#This Row],[20.85%]]-Tabla4[[#This Row],[Costo]]</f>
        <v>#N/A</v>
      </c>
      <c r="S3395" s="282" t="e">
        <f>++Tabla4[[#This Row],[U. Bruta Uni]]*Tabla4[[#This Row],[Cantidad]]</f>
        <v>#N/A</v>
      </c>
      <c r="T3395" s="369" t="str">
        <f>VLOOKUP(Tabla4[[#This Row],[Producto]],Tabla6[#All],14,FALSE)</f>
        <v>Termico Solar</v>
      </c>
      <c r="U3395" s="284" t="e">
        <f>(IF(Tabla4[[#This Row],[Familia]]="termico solar",Tabla4[[#This Row],[Utilidad Total]]*6%,Tabla4[[#This Row],[Utilidad Total]]*11.5%))/Tabla4[[#This Row],[Total]]</f>
        <v>#N/A</v>
      </c>
      <c r="V3395" s="282" t="e">
        <f>+Tabla4[[#This Row],[Comisión Calculada]]*Tabla4[[#This Row],[Total]]</f>
        <v>#N/A</v>
      </c>
    </row>
    <row r="3396" spans="1:22" hidden="1" x14ac:dyDescent="0.25">
      <c r="A3396" s="100">
        <v>45823</v>
      </c>
      <c r="B3396" t="str">
        <f t="shared" si="161"/>
        <v>June</v>
      </c>
      <c r="C3396" s="46" t="s">
        <v>280</v>
      </c>
      <c r="F3396" s="366" t="s">
        <v>2018</v>
      </c>
      <c r="G3396" s="46" t="s">
        <v>16</v>
      </c>
      <c r="H3396" s="46">
        <v>1</v>
      </c>
      <c r="I3396" s="51">
        <v>4103.8500000000004</v>
      </c>
      <c r="J3396" s="281">
        <f>++Tabla4[[#This Row],[Precio Bruto]]*1.16</f>
        <v>4760.4660000000003</v>
      </c>
      <c r="K3396" s="281">
        <f>+Tabla4[[#This Row],[Precio Unitario Neto]]*Tabla4[[#Headers],[20.85%]]</f>
        <v>992.55716100000006</v>
      </c>
      <c r="L3396" s="282">
        <f>++Tabla4[[#This Row],[Precio Unitario Neto]]-Tabla4[[#This Row],[20.85%]]</f>
        <v>3767.9088390000002</v>
      </c>
      <c r="M3396" s="282" t="e">
        <f>(INDEX(Tabla6[#All],MATCH(Tabla4[[#This Row],[Producto]],Tabla6[[#All],[PRODUCTO]],0),MATCH(Tabla4[[#This Row],[Mes]],Tabla6[#Headers],0)))*(1+Catalogos!$L$2)</f>
        <v>#N/A</v>
      </c>
      <c r="N3396" s="283" t="e">
        <f>+(Tabla4[[#This Row],[Precio Descontado]]-Tabla4[[#This Row],[Precio Base]])*Tabla4[[#This Row],[Cantidad]]</f>
        <v>#N/A</v>
      </c>
      <c r="O3396" s="284" t="e">
        <f>++Tabla4[[#This Row],[Utilidad Total]]/Tabla4[[#This Row],[Total]]</f>
        <v>#N/A</v>
      </c>
      <c r="P3396" s="282">
        <f>++Tabla4[[#This Row],[Precio Descontado]]*Tabla4[[#This Row],[Cantidad]]</f>
        <v>3767.9088390000002</v>
      </c>
      <c r="Q3396" s="282" t="e">
        <f>(INDEX(Tabla6[#All],MATCH(Tabla4[[#This Row],[Producto]],Tabla6[[#All],[PRODUCTO]],0),MATCH(Tabla4[[#This Row],[Mes]],Tabla6[#Headers],0)))</f>
        <v>#N/A</v>
      </c>
      <c r="R3396" s="282" t="e">
        <f>++Tabla4[[#This Row],[Precio Unitario Neto]]-Tabla4[[#This Row],[20.85%]]-Tabla4[[#This Row],[Costo]]</f>
        <v>#N/A</v>
      </c>
      <c r="S3396" s="282" t="e">
        <f>++Tabla4[[#This Row],[U. Bruta Uni]]*Tabla4[[#This Row],[Cantidad]]</f>
        <v>#N/A</v>
      </c>
      <c r="T3396" s="369" t="str">
        <f>VLOOKUP(Tabla4[[#This Row],[Producto]],Tabla6[#All],14,FALSE)</f>
        <v>Termico Solar</v>
      </c>
      <c r="U3396" s="284" t="e">
        <f>(IF(Tabla4[[#This Row],[Familia]]="termico solar",Tabla4[[#This Row],[Utilidad Total]]*6%,Tabla4[[#This Row],[Utilidad Total]]*11.5%))/Tabla4[[#This Row],[Total]]</f>
        <v>#N/A</v>
      </c>
      <c r="V3396" s="282" t="e">
        <f>+Tabla4[[#This Row],[Comisión Calculada]]*Tabla4[[#This Row],[Total]]</f>
        <v>#N/A</v>
      </c>
    </row>
    <row r="3397" spans="1:22" hidden="1" x14ac:dyDescent="0.25">
      <c r="A3397" s="100">
        <v>45823</v>
      </c>
      <c r="B3397" t="str">
        <f t="shared" si="161"/>
        <v>June</v>
      </c>
      <c r="C3397" s="46" t="s">
        <v>280</v>
      </c>
      <c r="F3397" s="366" t="s">
        <v>2019</v>
      </c>
      <c r="G3397" s="46" t="s">
        <v>83</v>
      </c>
      <c r="H3397" s="46">
        <v>3</v>
      </c>
      <c r="I3397" s="51">
        <v>8858.76</v>
      </c>
      <c r="J3397" s="281">
        <f>++Tabla4[[#This Row],[Precio Bruto]]*1.16</f>
        <v>10276.161599999999</v>
      </c>
      <c r="K3397" s="281">
        <f>+Tabla4[[#This Row],[Precio Unitario Neto]]*Tabla4[[#Headers],[20.85%]]</f>
        <v>2142.5796935999997</v>
      </c>
      <c r="L3397" s="282">
        <f>++Tabla4[[#This Row],[Precio Unitario Neto]]-Tabla4[[#This Row],[20.85%]]</f>
        <v>8133.5819063999998</v>
      </c>
      <c r="M3397" s="282" t="e">
        <f>(INDEX(Tabla6[#All],MATCH(Tabla4[[#This Row],[Producto]],Tabla6[[#All],[PRODUCTO]],0),MATCH(Tabla4[[#This Row],[Mes]],Tabla6[#Headers],0)))*(1+Catalogos!$L$2)</f>
        <v>#N/A</v>
      </c>
      <c r="N3397" s="283" t="e">
        <f>+(Tabla4[[#This Row],[Precio Descontado]]-Tabla4[[#This Row],[Precio Base]])*Tabla4[[#This Row],[Cantidad]]</f>
        <v>#N/A</v>
      </c>
      <c r="O3397" s="284" t="e">
        <f>++Tabla4[[#This Row],[Utilidad Total]]/Tabla4[[#This Row],[Total]]</f>
        <v>#N/A</v>
      </c>
      <c r="P3397" s="282">
        <f>++Tabla4[[#This Row],[Precio Descontado]]*Tabla4[[#This Row],[Cantidad]]</f>
        <v>24400.7457192</v>
      </c>
      <c r="Q3397" s="282" t="e">
        <f>(INDEX(Tabla6[#All],MATCH(Tabla4[[#This Row],[Producto]],Tabla6[[#All],[PRODUCTO]],0),MATCH(Tabla4[[#This Row],[Mes]],Tabla6[#Headers],0)))</f>
        <v>#N/A</v>
      </c>
      <c r="R3397" s="282" t="e">
        <f>++Tabla4[[#This Row],[Precio Unitario Neto]]-Tabla4[[#This Row],[20.85%]]-Tabla4[[#This Row],[Costo]]</f>
        <v>#N/A</v>
      </c>
      <c r="S3397" s="282" t="e">
        <f>++Tabla4[[#This Row],[U. Bruta Uni]]*Tabla4[[#This Row],[Cantidad]]</f>
        <v>#N/A</v>
      </c>
      <c r="T3397" s="369" t="str">
        <f>VLOOKUP(Tabla4[[#This Row],[Producto]],Tabla6[#All],14,FALSE)</f>
        <v>Termico Solar</v>
      </c>
      <c r="U3397" s="284" t="e">
        <f>(IF(Tabla4[[#This Row],[Familia]]="termico solar",Tabla4[[#This Row],[Utilidad Total]]*6%,Tabla4[[#This Row],[Utilidad Total]]*11.5%))/Tabla4[[#This Row],[Total]]</f>
        <v>#N/A</v>
      </c>
      <c r="V3397" s="282" t="e">
        <f>+Tabla4[[#This Row],[Comisión Calculada]]*Tabla4[[#This Row],[Total]]</f>
        <v>#N/A</v>
      </c>
    </row>
    <row r="3398" spans="1:22" hidden="1" x14ac:dyDescent="0.25">
      <c r="A3398" s="100">
        <v>45823</v>
      </c>
      <c r="B3398" t="str">
        <f t="shared" si="161"/>
        <v>June</v>
      </c>
      <c r="C3398" s="46" t="s">
        <v>280</v>
      </c>
      <c r="F3398" s="366" t="s">
        <v>2019</v>
      </c>
      <c r="G3398" s="46" t="s">
        <v>17</v>
      </c>
      <c r="H3398" s="46">
        <v>9</v>
      </c>
      <c r="I3398" s="51">
        <v>4622.28</v>
      </c>
      <c r="J3398" s="281">
        <f>++Tabla4[[#This Row],[Precio Bruto]]*1.16</f>
        <v>5361.8447999999989</v>
      </c>
      <c r="K3398" s="281">
        <f>+Tabla4[[#This Row],[Precio Unitario Neto]]*Tabla4[[#Headers],[20.85%]]</f>
        <v>1117.9446407999997</v>
      </c>
      <c r="L3398" s="282">
        <f>++Tabla4[[#This Row],[Precio Unitario Neto]]-Tabla4[[#This Row],[20.85%]]</f>
        <v>4243.9001591999995</v>
      </c>
      <c r="M3398" s="282" t="e">
        <f>(INDEX(Tabla6[#All],MATCH(Tabla4[[#This Row],[Producto]],Tabla6[[#All],[PRODUCTO]],0),MATCH(Tabla4[[#This Row],[Mes]],Tabla6[#Headers],0)))*(1+Catalogos!$L$2)</f>
        <v>#N/A</v>
      </c>
      <c r="N3398" s="283" t="e">
        <f>+(Tabla4[[#This Row],[Precio Descontado]]-Tabla4[[#This Row],[Precio Base]])*Tabla4[[#This Row],[Cantidad]]</f>
        <v>#N/A</v>
      </c>
      <c r="O3398" s="284" t="e">
        <f>++Tabla4[[#This Row],[Utilidad Total]]/Tabla4[[#This Row],[Total]]</f>
        <v>#N/A</v>
      </c>
      <c r="P3398" s="282">
        <f>++Tabla4[[#This Row],[Precio Descontado]]*Tabla4[[#This Row],[Cantidad]]</f>
        <v>38195.101432799995</v>
      </c>
      <c r="Q3398" s="282" t="e">
        <f>(INDEX(Tabla6[#All],MATCH(Tabla4[[#This Row],[Producto]],Tabla6[[#All],[PRODUCTO]],0),MATCH(Tabla4[[#This Row],[Mes]],Tabla6[#Headers],0)))</f>
        <v>#N/A</v>
      </c>
      <c r="R3398" s="282" t="e">
        <f>++Tabla4[[#This Row],[Precio Unitario Neto]]-Tabla4[[#This Row],[20.85%]]-Tabla4[[#This Row],[Costo]]</f>
        <v>#N/A</v>
      </c>
      <c r="S3398" s="282" t="e">
        <f>++Tabla4[[#This Row],[U. Bruta Uni]]*Tabla4[[#This Row],[Cantidad]]</f>
        <v>#N/A</v>
      </c>
      <c r="T3398" s="369" t="str">
        <f>VLOOKUP(Tabla4[[#This Row],[Producto]],Tabla6[#All],14,FALSE)</f>
        <v>Termico Solar</v>
      </c>
      <c r="U3398" s="284" t="e">
        <f>(IF(Tabla4[[#This Row],[Familia]]="termico solar",Tabla4[[#This Row],[Utilidad Total]]*6%,Tabla4[[#This Row],[Utilidad Total]]*11.5%))/Tabla4[[#This Row],[Total]]</f>
        <v>#N/A</v>
      </c>
      <c r="V3398" s="282" t="e">
        <f>+Tabla4[[#This Row],[Comisión Calculada]]*Tabla4[[#This Row],[Total]]</f>
        <v>#N/A</v>
      </c>
    </row>
    <row r="3399" spans="1:22" hidden="1" x14ac:dyDescent="0.25">
      <c r="A3399" s="100">
        <v>45823</v>
      </c>
      <c r="B3399" t="str">
        <f t="shared" si="161"/>
        <v>June</v>
      </c>
      <c r="C3399" s="46" t="s">
        <v>280</v>
      </c>
      <c r="F3399" s="366" t="s">
        <v>2019</v>
      </c>
      <c r="G3399" s="46" t="s">
        <v>16</v>
      </c>
      <c r="H3399" s="46">
        <v>1</v>
      </c>
      <c r="I3399" s="51">
        <v>4103.8500000000004</v>
      </c>
      <c r="J3399" s="281">
        <f>++Tabla4[[#This Row],[Precio Bruto]]*1.16</f>
        <v>4760.4660000000003</v>
      </c>
      <c r="K3399" s="281">
        <f>+Tabla4[[#This Row],[Precio Unitario Neto]]*Tabla4[[#Headers],[20.85%]]</f>
        <v>992.55716100000006</v>
      </c>
      <c r="L3399" s="282">
        <f>++Tabla4[[#This Row],[Precio Unitario Neto]]-Tabla4[[#This Row],[20.85%]]</f>
        <v>3767.9088390000002</v>
      </c>
      <c r="M3399" s="282" t="e">
        <f>(INDEX(Tabla6[#All],MATCH(Tabla4[[#This Row],[Producto]],Tabla6[[#All],[PRODUCTO]],0),MATCH(Tabla4[[#This Row],[Mes]],Tabla6[#Headers],0)))*(1+Catalogos!$L$2)</f>
        <v>#N/A</v>
      </c>
      <c r="N3399" s="283" t="e">
        <f>+(Tabla4[[#This Row],[Precio Descontado]]-Tabla4[[#This Row],[Precio Base]])*Tabla4[[#This Row],[Cantidad]]</f>
        <v>#N/A</v>
      </c>
      <c r="O3399" s="284" t="e">
        <f>++Tabla4[[#This Row],[Utilidad Total]]/Tabla4[[#This Row],[Total]]</f>
        <v>#N/A</v>
      </c>
      <c r="P3399" s="282">
        <f>++Tabla4[[#This Row],[Precio Descontado]]*Tabla4[[#This Row],[Cantidad]]</f>
        <v>3767.9088390000002</v>
      </c>
      <c r="Q3399" s="282" t="e">
        <f>(INDEX(Tabla6[#All],MATCH(Tabla4[[#This Row],[Producto]],Tabla6[[#All],[PRODUCTO]],0),MATCH(Tabla4[[#This Row],[Mes]],Tabla6[#Headers],0)))</f>
        <v>#N/A</v>
      </c>
      <c r="R3399" s="282" t="e">
        <f>++Tabla4[[#This Row],[Precio Unitario Neto]]-Tabla4[[#This Row],[20.85%]]-Tabla4[[#This Row],[Costo]]</f>
        <v>#N/A</v>
      </c>
      <c r="S3399" s="282" t="e">
        <f>++Tabla4[[#This Row],[U. Bruta Uni]]*Tabla4[[#This Row],[Cantidad]]</f>
        <v>#N/A</v>
      </c>
      <c r="T3399" s="369" t="str">
        <f>VLOOKUP(Tabla4[[#This Row],[Producto]],Tabla6[#All],14,FALSE)</f>
        <v>Termico Solar</v>
      </c>
      <c r="U3399" s="284" t="e">
        <f>(IF(Tabla4[[#This Row],[Familia]]="termico solar",Tabla4[[#This Row],[Utilidad Total]]*6%,Tabla4[[#This Row],[Utilidad Total]]*11.5%))/Tabla4[[#This Row],[Total]]</f>
        <v>#N/A</v>
      </c>
      <c r="V3399" s="282" t="e">
        <f>+Tabla4[[#This Row],[Comisión Calculada]]*Tabla4[[#This Row],[Total]]</f>
        <v>#N/A</v>
      </c>
    </row>
    <row r="3400" spans="1:22" hidden="1" x14ac:dyDescent="0.25">
      <c r="A3400" s="100">
        <v>45823</v>
      </c>
      <c r="B3400" t="str">
        <f t="shared" si="161"/>
        <v>June</v>
      </c>
      <c r="C3400" s="46" t="s">
        <v>280</v>
      </c>
      <c r="F3400" s="366" t="s">
        <v>2020</v>
      </c>
      <c r="G3400" s="46" t="s">
        <v>17</v>
      </c>
      <c r="H3400" s="46">
        <v>5</v>
      </c>
      <c r="I3400" s="51">
        <v>4622.2800000000007</v>
      </c>
      <c r="J3400" s="281">
        <f>++Tabla4[[#This Row],[Precio Bruto]]*1.16</f>
        <v>5361.8448000000008</v>
      </c>
      <c r="K3400" s="281">
        <f>+Tabla4[[#This Row],[Precio Unitario Neto]]*Tabla4[[#Headers],[20.85%]]</f>
        <v>1117.9446408000001</v>
      </c>
      <c r="L3400" s="282">
        <f>++Tabla4[[#This Row],[Precio Unitario Neto]]-Tabla4[[#This Row],[20.85%]]</f>
        <v>4243.9001592000004</v>
      </c>
      <c r="M3400" s="282" t="e">
        <f>(INDEX(Tabla6[#All],MATCH(Tabla4[[#This Row],[Producto]],Tabla6[[#All],[PRODUCTO]],0),MATCH(Tabla4[[#This Row],[Mes]],Tabla6[#Headers],0)))*(1+Catalogos!$L$2)</f>
        <v>#N/A</v>
      </c>
      <c r="N3400" s="283" t="e">
        <f>+(Tabla4[[#This Row],[Precio Descontado]]-Tabla4[[#This Row],[Precio Base]])*Tabla4[[#This Row],[Cantidad]]</f>
        <v>#N/A</v>
      </c>
      <c r="O3400" s="284" t="e">
        <f>++Tabla4[[#This Row],[Utilidad Total]]/Tabla4[[#This Row],[Total]]</f>
        <v>#N/A</v>
      </c>
      <c r="P3400" s="282">
        <f>++Tabla4[[#This Row],[Precio Descontado]]*Tabla4[[#This Row],[Cantidad]]</f>
        <v>21219.500796</v>
      </c>
      <c r="Q3400" s="282" t="e">
        <f>(INDEX(Tabla6[#All],MATCH(Tabla4[[#This Row],[Producto]],Tabla6[[#All],[PRODUCTO]],0),MATCH(Tabla4[[#This Row],[Mes]],Tabla6[#Headers],0)))</f>
        <v>#N/A</v>
      </c>
      <c r="R3400" s="282" t="e">
        <f>++Tabla4[[#This Row],[Precio Unitario Neto]]-Tabla4[[#This Row],[20.85%]]-Tabla4[[#This Row],[Costo]]</f>
        <v>#N/A</v>
      </c>
      <c r="S3400" s="282" t="e">
        <f>++Tabla4[[#This Row],[U. Bruta Uni]]*Tabla4[[#This Row],[Cantidad]]</f>
        <v>#N/A</v>
      </c>
      <c r="T3400" s="369" t="str">
        <f>VLOOKUP(Tabla4[[#This Row],[Producto]],Tabla6[#All],14,FALSE)</f>
        <v>Termico Solar</v>
      </c>
      <c r="U3400" s="284" t="e">
        <f>(IF(Tabla4[[#This Row],[Familia]]="termico solar",Tabla4[[#This Row],[Utilidad Total]]*6%,Tabla4[[#This Row],[Utilidad Total]]*11.5%))/Tabla4[[#This Row],[Total]]</f>
        <v>#N/A</v>
      </c>
      <c r="V3400" s="282" t="e">
        <f>+Tabla4[[#This Row],[Comisión Calculada]]*Tabla4[[#This Row],[Total]]</f>
        <v>#N/A</v>
      </c>
    </row>
    <row r="3401" spans="1:22" hidden="1" x14ac:dyDescent="0.25">
      <c r="A3401" s="100">
        <v>45823</v>
      </c>
      <c r="B3401" t="str">
        <f t="shared" si="161"/>
        <v>June</v>
      </c>
      <c r="C3401" s="46" t="s">
        <v>280</v>
      </c>
      <c r="F3401" s="366" t="s">
        <v>2021</v>
      </c>
      <c r="G3401" s="46" t="s">
        <v>17</v>
      </c>
      <c r="H3401" s="46">
        <v>2</v>
      </c>
      <c r="I3401" s="51">
        <v>4622.28</v>
      </c>
      <c r="J3401" s="281">
        <f>++Tabla4[[#This Row],[Precio Bruto]]*1.16</f>
        <v>5361.8447999999989</v>
      </c>
      <c r="K3401" s="281">
        <f>+Tabla4[[#This Row],[Precio Unitario Neto]]*Tabla4[[#Headers],[20.85%]]</f>
        <v>1117.9446407999997</v>
      </c>
      <c r="L3401" s="282">
        <f>++Tabla4[[#This Row],[Precio Unitario Neto]]-Tabla4[[#This Row],[20.85%]]</f>
        <v>4243.9001591999995</v>
      </c>
      <c r="M3401" s="282" t="e">
        <f>(INDEX(Tabla6[#All],MATCH(Tabla4[[#This Row],[Producto]],Tabla6[[#All],[PRODUCTO]],0),MATCH(Tabla4[[#This Row],[Mes]],Tabla6[#Headers],0)))*(1+Catalogos!$L$2)</f>
        <v>#N/A</v>
      </c>
      <c r="N3401" s="283" t="e">
        <f>+(Tabla4[[#This Row],[Precio Descontado]]-Tabla4[[#This Row],[Precio Base]])*Tabla4[[#This Row],[Cantidad]]</f>
        <v>#N/A</v>
      </c>
      <c r="O3401" s="284" t="e">
        <f>++Tabla4[[#This Row],[Utilidad Total]]/Tabla4[[#This Row],[Total]]</f>
        <v>#N/A</v>
      </c>
      <c r="P3401" s="282">
        <f>++Tabla4[[#This Row],[Precio Descontado]]*Tabla4[[#This Row],[Cantidad]]</f>
        <v>8487.800318399999</v>
      </c>
      <c r="Q3401" s="282" t="e">
        <f>(INDEX(Tabla6[#All],MATCH(Tabla4[[#This Row],[Producto]],Tabla6[[#All],[PRODUCTO]],0),MATCH(Tabla4[[#This Row],[Mes]],Tabla6[#Headers],0)))</f>
        <v>#N/A</v>
      </c>
      <c r="R3401" s="282" t="e">
        <f>++Tabla4[[#This Row],[Precio Unitario Neto]]-Tabla4[[#This Row],[20.85%]]-Tabla4[[#This Row],[Costo]]</f>
        <v>#N/A</v>
      </c>
      <c r="S3401" s="282" t="e">
        <f>++Tabla4[[#This Row],[U. Bruta Uni]]*Tabla4[[#This Row],[Cantidad]]</f>
        <v>#N/A</v>
      </c>
      <c r="T3401" s="369" t="str">
        <f>VLOOKUP(Tabla4[[#This Row],[Producto]],Tabla6[#All],14,FALSE)</f>
        <v>Termico Solar</v>
      </c>
      <c r="U3401" s="284" t="e">
        <f>(IF(Tabla4[[#This Row],[Familia]]="termico solar",Tabla4[[#This Row],[Utilidad Total]]*6%,Tabla4[[#This Row],[Utilidad Total]]*11.5%))/Tabla4[[#This Row],[Total]]</f>
        <v>#N/A</v>
      </c>
      <c r="V3401" s="282" t="e">
        <f>+Tabla4[[#This Row],[Comisión Calculada]]*Tabla4[[#This Row],[Total]]</f>
        <v>#N/A</v>
      </c>
    </row>
    <row r="3402" spans="1:22" hidden="1" x14ac:dyDescent="0.25">
      <c r="A3402" s="100">
        <v>45823</v>
      </c>
      <c r="B3402" t="str">
        <f t="shared" si="161"/>
        <v>June</v>
      </c>
      <c r="C3402" s="46" t="s">
        <v>280</v>
      </c>
      <c r="F3402" s="366" t="s">
        <v>2021</v>
      </c>
      <c r="G3402" s="46" t="s">
        <v>18</v>
      </c>
      <c r="H3402" s="46">
        <v>1</v>
      </c>
      <c r="I3402" s="51">
        <v>5367.65</v>
      </c>
      <c r="J3402" s="281">
        <f>++Tabla4[[#This Row],[Precio Bruto]]*1.16</f>
        <v>6226.4739999999993</v>
      </c>
      <c r="K3402" s="281">
        <f>+Tabla4[[#This Row],[Precio Unitario Neto]]*Tabla4[[#Headers],[20.85%]]</f>
        <v>1298.2198289999999</v>
      </c>
      <c r="L3402" s="282">
        <f>++Tabla4[[#This Row],[Precio Unitario Neto]]-Tabla4[[#This Row],[20.85%]]</f>
        <v>4928.2541709999996</v>
      </c>
      <c r="M3402" s="282" t="e">
        <f>(INDEX(Tabla6[#All],MATCH(Tabla4[[#This Row],[Producto]],Tabla6[[#All],[PRODUCTO]],0),MATCH(Tabla4[[#This Row],[Mes]],Tabla6[#Headers],0)))*(1+Catalogos!$L$2)</f>
        <v>#N/A</v>
      </c>
      <c r="N3402" s="283" t="e">
        <f>+(Tabla4[[#This Row],[Precio Descontado]]-Tabla4[[#This Row],[Precio Base]])*Tabla4[[#This Row],[Cantidad]]</f>
        <v>#N/A</v>
      </c>
      <c r="O3402" s="284" t="e">
        <f>++Tabla4[[#This Row],[Utilidad Total]]/Tabla4[[#This Row],[Total]]</f>
        <v>#N/A</v>
      </c>
      <c r="P3402" s="282">
        <f>++Tabla4[[#This Row],[Precio Descontado]]*Tabla4[[#This Row],[Cantidad]]</f>
        <v>4928.2541709999996</v>
      </c>
      <c r="Q3402" s="282" t="e">
        <f>(INDEX(Tabla6[#All],MATCH(Tabla4[[#This Row],[Producto]],Tabla6[[#All],[PRODUCTO]],0),MATCH(Tabla4[[#This Row],[Mes]],Tabla6[#Headers],0)))</f>
        <v>#N/A</v>
      </c>
      <c r="R3402" s="282" t="e">
        <f>++Tabla4[[#This Row],[Precio Unitario Neto]]-Tabla4[[#This Row],[20.85%]]-Tabla4[[#This Row],[Costo]]</f>
        <v>#N/A</v>
      </c>
      <c r="S3402" s="282" t="e">
        <f>++Tabla4[[#This Row],[U. Bruta Uni]]*Tabla4[[#This Row],[Cantidad]]</f>
        <v>#N/A</v>
      </c>
      <c r="T3402" s="369" t="str">
        <f>VLOOKUP(Tabla4[[#This Row],[Producto]],Tabla6[#All],14,FALSE)</f>
        <v>Termico Solar</v>
      </c>
      <c r="U3402" s="284" t="e">
        <f>(IF(Tabla4[[#This Row],[Familia]]="termico solar",Tabla4[[#This Row],[Utilidad Total]]*6%,Tabla4[[#This Row],[Utilidad Total]]*11.5%))/Tabla4[[#This Row],[Total]]</f>
        <v>#N/A</v>
      </c>
      <c r="V3402" s="282" t="e">
        <f>+Tabla4[[#This Row],[Comisión Calculada]]*Tabla4[[#This Row],[Total]]</f>
        <v>#N/A</v>
      </c>
    </row>
    <row r="3403" spans="1:22" hidden="1" x14ac:dyDescent="0.25">
      <c r="A3403" s="100">
        <v>45823</v>
      </c>
      <c r="B3403" t="str">
        <f t="shared" si="161"/>
        <v>June</v>
      </c>
      <c r="C3403" s="46" t="s">
        <v>280</v>
      </c>
      <c r="F3403" s="366" t="s">
        <v>2021</v>
      </c>
      <c r="G3403" s="46" t="s">
        <v>566</v>
      </c>
      <c r="H3403" s="46">
        <v>3</v>
      </c>
      <c r="I3403" s="51">
        <v>2109.4500000000003</v>
      </c>
      <c r="J3403" s="281">
        <f>++Tabla4[[#This Row],[Precio Bruto]]*1.16</f>
        <v>2446.962</v>
      </c>
      <c r="K3403" s="281">
        <f>+Tabla4[[#This Row],[Precio Unitario Neto]]*Tabla4[[#Headers],[20.85%]]</f>
        <v>510.191577</v>
      </c>
      <c r="L3403" s="282">
        <f>++Tabla4[[#This Row],[Precio Unitario Neto]]-Tabla4[[#This Row],[20.85%]]</f>
        <v>1936.7704229999999</v>
      </c>
      <c r="M3403" s="282" t="e">
        <f>(INDEX(Tabla6[#All],MATCH(Tabla4[[#This Row],[Producto]],Tabla6[[#All],[PRODUCTO]],0),MATCH(Tabla4[[#This Row],[Mes]],Tabla6[#Headers],0)))*(1+Catalogos!$L$2)</f>
        <v>#N/A</v>
      </c>
      <c r="N3403" s="283" t="e">
        <f>+(Tabla4[[#This Row],[Precio Descontado]]-Tabla4[[#This Row],[Precio Base]])*Tabla4[[#This Row],[Cantidad]]</f>
        <v>#N/A</v>
      </c>
      <c r="O3403" s="284" t="e">
        <f>++Tabla4[[#This Row],[Utilidad Total]]/Tabla4[[#This Row],[Total]]</f>
        <v>#N/A</v>
      </c>
      <c r="P3403" s="282">
        <f>++Tabla4[[#This Row],[Precio Descontado]]*Tabla4[[#This Row],[Cantidad]]</f>
        <v>5810.3112689999998</v>
      </c>
      <c r="Q3403" s="282" t="e">
        <f>(INDEX(Tabla6[#All],MATCH(Tabla4[[#This Row],[Producto]],Tabla6[[#All],[PRODUCTO]],0),MATCH(Tabla4[[#This Row],[Mes]],Tabla6[#Headers],0)))</f>
        <v>#N/A</v>
      </c>
      <c r="R3403" s="282" t="e">
        <f>++Tabla4[[#This Row],[Precio Unitario Neto]]-Tabla4[[#This Row],[20.85%]]-Tabla4[[#This Row],[Costo]]</f>
        <v>#N/A</v>
      </c>
      <c r="S3403" s="282" t="e">
        <f>++Tabla4[[#This Row],[U. Bruta Uni]]*Tabla4[[#This Row],[Cantidad]]</f>
        <v>#N/A</v>
      </c>
      <c r="T3403" s="369" t="str">
        <f>VLOOKUP(Tabla4[[#This Row],[Producto]],Tabla6[#All],14,FALSE)</f>
        <v>Termico Solar</v>
      </c>
      <c r="U3403" s="284" t="e">
        <f>(IF(Tabla4[[#This Row],[Familia]]="termico solar",Tabla4[[#This Row],[Utilidad Total]]*6%,Tabla4[[#This Row],[Utilidad Total]]*11.5%))/Tabla4[[#This Row],[Total]]</f>
        <v>#N/A</v>
      </c>
      <c r="V3403" s="282" t="e">
        <f>+Tabla4[[#This Row],[Comisión Calculada]]*Tabla4[[#This Row],[Total]]</f>
        <v>#N/A</v>
      </c>
    </row>
    <row r="3404" spans="1:22" hidden="1" x14ac:dyDescent="0.25">
      <c r="A3404" s="100">
        <v>45823</v>
      </c>
      <c r="B3404" t="str">
        <f t="shared" si="161"/>
        <v>June</v>
      </c>
      <c r="C3404" s="46" t="s">
        <v>280</v>
      </c>
      <c r="F3404" s="366" t="s">
        <v>2022</v>
      </c>
      <c r="G3404" s="46" t="s">
        <v>17</v>
      </c>
      <c r="H3404" s="46">
        <v>2</v>
      </c>
      <c r="I3404" s="51">
        <v>4622.28</v>
      </c>
      <c r="J3404" s="281">
        <f>++Tabla4[[#This Row],[Precio Bruto]]*1.16</f>
        <v>5361.8447999999989</v>
      </c>
      <c r="K3404" s="281">
        <f>+Tabla4[[#This Row],[Precio Unitario Neto]]*Tabla4[[#Headers],[20.85%]]</f>
        <v>1117.9446407999997</v>
      </c>
      <c r="L3404" s="282">
        <f>++Tabla4[[#This Row],[Precio Unitario Neto]]-Tabla4[[#This Row],[20.85%]]</f>
        <v>4243.9001591999995</v>
      </c>
      <c r="M3404" s="282" t="e">
        <f>(INDEX(Tabla6[#All],MATCH(Tabla4[[#This Row],[Producto]],Tabla6[[#All],[PRODUCTO]],0),MATCH(Tabla4[[#This Row],[Mes]],Tabla6[#Headers],0)))*(1+Catalogos!$L$2)</f>
        <v>#N/A</v>
      </c>
      <c r="N3404" s="283" t="e">
        <f>+(Tabla4[[#This Row],[Precio Descontado]]-Tabla4[[#This Row],[Precio Base]])*Tabla4[[#This Row],[Cantidad]]</f>
        <v>#N/A</v>
      </c>
      <c r="O3404" s="284" t="e">
        <f>++Tabla4[[#This Row],[Utilidad Total]]/Tabla4[[#This Row],[Total]]</f>
        <v>#N/A</v>
      </c>
      <c r="P3404" s="282">
        <f>++Tabla4[[#This Row],[Precio Descontado]]*Tabla4[[#This Row],[Cantidad]]</f>
        <v>8487.800318399999</v>
      </c>
      <c r="Q3404" s="282" t="e">
        <f>(INDEX(Tabla6[#All],MATCH(Tabla4[[#This Row],[Producto]],Tabla6[[#All],[PRODUCTO]],0),MATCH(Tabla4[[#This Row],[Mes]],Tabla6[#Headers],0)))</f>
        <v>#N/A</v>
      </c>
      <c r="R3404" s="282" t="e">
        <f>++Tabla4[[#This Row],[Precio Unitario Neto]]-Tabla4[[#This Row],[20.85%]]-Tabla4[[#This Row],[Costo]]</f>
        <v>#N/A</v>
      </c>
      <c r="S3404" s="282" t="e">
        <f>++Tabla4[[#This Row],[U. Bruta Uni]]*Tabla4[[#This Row],[Cantidad]]</f>
        <v>#N/A</v>
      </c>
      <c r="T3404" s="369" t="str">
        <f>VLOOKUP(Tabla4[[#This Row],[Producto]],Tabla6[#All],14,FALSE)</f>
        <v>Termico Solar</v>
      </c>
      <c r="U3404" s="284" t="e">
        <f>(IF(Tabla4[[#This Row],[Familia]]="termico solar",Tabla4[[#This Row],[Utilidad Total]]*6%,Tabla4[[#This Row],[Utilidad Total]]*11.5%))/Tabla4[[#This Row],[Total]]</f>
        <v>#N/A</v>
      </c>
      <c r="V3404" s="282" t="e">
        <f>+Tabla4[[#This Row],[Comisión Calculada]]*Tabla4[[#This Row],[Total]]</f>
        <v>#N/A</v>
      </c>
    </row>
    <row r="3405" spans="1:22" hidden="1" x14ac:dyDescent="0.25">
      <c r="A3405" s="100">
        <v>45823</v>
      </c>
      <c r="B3405" t="str">
        <f t="shared" si="161"/>
        <v>June</v>
      </c>
      <c r="C3405" s="46" t="s">
        <v>280</v>
      </c>
      <c r="F3405" s="366" t="s">
        <v>2022</v>
      </c>
      <c r="G3405" s="46" t="s">
        <v>18</v>
      </c>
      <c r="H3405" s="46">
        <v>1</v>
      </c>
      <c r="I3405" s="51">
        <v>5367.65</v>
      </c>
      <c r="J3405" s="281">
        <f>++Tabla4[[#This Row],[Precio Bruto]]*1.16</f>
        <v>6226.4739999999993</v>
      </c>
      <c r="K3405" s="281">
        <f>+Tabla4[[#This Row],[Precio Unitario Neto]]*Tabla4[[#Headers],[20.85%]]</f>
        <v>1298.2198289999999</v>
      </c>
      <c r="L3405" s="282">
        <f>++Tabla4[[#This Row],[Precio Unitario Neto]]-Tabla4[[#This Row],[20.85%]]</f>
        <v>4928.2541709999996</v>
      </c>
      <c r="M3405" s="282" t="e">
        <f>(INDEX(Tabla6[#All],MATCH(Tabla4[[#This Row],[Producto]],Tabla6[[#All],[PRODUCTO]],0),MATCH(Tabla4[[#This Row],[Mes]],Tabla6[#Headers],0)))*(1+Catalogos!$L$2)</f>
        <v>#N/A</v>
      </c>
      <c r="N3405" s="283" t="e">
        <f>+(Tabla4[[#This Row],[Precio Descontado]]-Tabla4[[#This Row],[Precio Base]])*Tabla4[[#This Row],[Cantidad]]</f>
        <v>#N/A</v>
      </c>
      <c r="O3405" s="284" t="e">
        <f>++Tabla4[[#This Row],[Utilidad Total]]/Tabla4[[#This Row],[Total]]</f>
        <v>#N/A</v>
      </c>
      <c r="P3405" s="282">
        <f>++Tabla4[[#This Row],[Precio Descontado]]*Tabla4[[#This Row],[Cantidad]]</f>
        <v>4928.2541709999996</v>
      </c>
      <c r="Q3405" s="282" t="e">
        <f>(INDEX(Tabla6[#All],MATCH(Tabla4[[#This Row],[Producto]],Tabla6[[#All],[PRODUCTO]],0),MATCH(Tabla4[[#This Row],[Mes]],Tabla6[#Headers],0)))</f>
        <v>#N/A</v>
      </c>
      <c r="R3405" s="282" t="e">
        <f>++Tabla4[[#This Row],[Precio Unitario Neto]]-Tabla4[[#This Row],[20.85%]]-Tabla4[[#This Row],[Costo]]</f>
        <v>#N/A</v>
      </c>
      <c r="S3405" s="282" t="e">
        <f>++Tabla4[[#This Row],[U. Bruta Uni]]*Tabla4[[#This Row],[Cantidad]]</f>
        <v>#N/A</v>
      </c>
      <c r="T3405" s="369" t="str">
        <f>VLOOKUP(Tabla4[[#This Row],[Producto]],Tabla6[#All],14,FALSE)</f>
        <v>Termico Solar</v>
      </c>
      <c r="U3405" s="284" t="e">
        <f>(IF(Tabla4[[#This Row],[Familia]]="termico solar",Tabla4[[#This Row],[Utilidad Total]]*6%,Tabla4[[#This Row],[Utilidad Total]]*11.5%))/Tabla4[[#This Row],[Total]]</f>
        <v>#N/A</v>
      </c>
      <c r="V3405" s="282" t="e">
        <f>+Tabla4[[#This Row],[Comisión Calculada]]*Tabla4[[#This Row],[Total]]</f>
        <v>#N/A</v>
      </c>
    </row>
    <row r="3406" spans="1:22" hidden="1" x14ac:dyDescent="0.25">
      <c r="A3406" s="100">
        <v>45823</v>
      </c>
      <c r="B3406" t="str">
        <f t="shared" si="161"/>
        <v>June</v>
      </c>
      <c r="C3406" s="46" t="s">
        <v>280</v>
      </c>
      <c r="F3406" s="366" t="s">
        <v>2023</v>
      </c>
      <c r="G3406" s="46" t="s">
        <v>83</v>
      </c>
      <c r="H3406" s="46">
        <v>1</v>
      </c>
      <c r="I3406" s="51">
        <v>8858.76</v>
      </c>
      <c r="J3406" s="281">
        <f>++Tabla4[[#This Row],[Precio Bruto]]*1.16</f>
        <v>10276.161599999999</v>
      </c>
      <c r="K3406" s="281">
        <f>+Tabla4[[#This Row],[Precio Unitario Neto]]*Tabla4[[#Headers],[20.85%]]</f>
        <v>2142.5796935999997</v>
      </c>
      <c r="L3406" s="282">
        <f>++Tabla4[[#This Row],[Precio Unitario Neto]]-Tabla4[[#This Row],[20.85%]]</f>
        <v>8133.5819063999998</v>
      </c>
      <c r="M3406" s="282" t="e">
        <f>(INDEX(Tabla6[#All],MATCH(Tabla4[[#This Row],[Producto]],Tabla6[[#All],[PRODUCTO]],0),MATCH(Tabla4[[#This Row],[Mes]],Tabla6[#Headers],0)))*(1+Catalogos!$L$2)</f>
        <v>#N/A</v>
      </c>
      <c r="N3406" s="283" t="e">
        <f>+(Tabla4[[#This Row],[Precio Descontado]]-Tabla4[[#This Row],[Precio Base]])*Tabla4[[#This Row],[Cantidad]]</f>
        <v>#N/A</v>
      </c>
      <c r="O3406" s="284" t="e">
        <f>++Tabla4[[#This Row],[Utilidad Total]]/Tabla4[[#This Row],[Total]]</f>
        <v>#N/A</v>
      </c>
      <c r="P3406" s="282">
        <f>++Tabla4[[#This Row],[Precio Descontado]]*Tabla4[[#This Row],[Cantidad]]</f>
        <v>8133.5819063999998</v>
      </c>
      <c r="Q3406" s="282" t="e">
        <f>(INDEX(Tabla6[#All],MATCH(Tabla4[[#This Row],[Producto]],Tabla6[[#All],[PRODUCTO]],0),MATCH(Tabla4[[#This Row],[Mes]],Tabla6[#Headers],0)))</f>
        <v>#N/A</v>
      </c>
      <c r="R3406" s="282" t="e">
        <f>++Tabla4[[#This Row],[Precio Unitario Neto]]-Tabla4[[#This Row],[20.85%]]-Tabla4[[#This Row],[Costo]]</f>
        <v>#N/A</v>
      </c>
      <c r="S3406" s="282" t="e">
        <f>++Tabla4[[#This Row],[U. Bruta Uni]]*Tabla4[[#This Row],[Cantidad]]</f>
        <v>#N/A</v>
      </c>
      <c r="T3406" s="369" t="str">
        <f>VLOOKUP(Tabla4[[#This Row],[Producto]],Tabla6[#All],14,FALSE)</f>
        <v>Termico Solar</v>
      </c>
      <c r="U3406" s="284" t="e">
        <f>(IF(Tabla4[[#This Row],[Familia]]="termico solar",Tabla4[[#This Row],[Utilidad Total]]*6%,Tabla4[[#This Row],[Utilidad Total]]*11.5%))/Tabla4[[#This Row],[Total]]</f>
        <v>#N/A</v>
      </c>
      <c r="V3406" s="282" t="e">
        <f>+Tabla4[[#This Row],[Comisión Calculada]]*Tabla4[[#This Row],[Total]]</f>
        <v>#N/A</v>
      </c>
    </row>
    <row r="3407" spans="1:22" hidden="1" x14ac:dyDescent="0.25">
      <c r="A3407" s="100">
        <v>45823</v>
      </c>
      <c r="B3407" t="str">
        <f t="shared" si="161"/>
        <v>June</v>
      </c>
      <c r="C3407" s="46" t="s">
        <v>280</v>
      </c>
      <c r="F3407" s="366" t="s">
        <v>2023</v>
      </c>
      <c r="G3407" s="46" t="s">
        <v>18</v>
      </c>
      <c r="H3407" s="46">
        <v>1</v>
      </c>
      <c r="I3407" s="51">
        <v>5367.65</v>
      </c>
      <c r="J3407" s="281">
        <f>++Tabla4[[#This Row],[Precio Bruto]]*1.16</f>
        <v>6226.4739999999993</v>
      </c>
      <c r="K3407" s="281">
        <f>+Tabla4[[#This Row],[Precio Unitario Neto]]*Tabla4[[#Headers],[20.85%]]</f>
        <v>1298.2198289999999</v>
      </c>
      <c r="L3407" s="282">
        <f>++Tabla4[[#This Row],[Precio Unitario Neto]]-Tabla4[[#This Row],[20.85%]]</f>
        <v>4928.2541709999996</v>
      </c>
      <c r="M3407" s="282" t="e">
        <f>(INDEX(Tabla6[#All],MATCH(Tabla4[[#This Row],[Producto]],Tabla6[[#All],[PRODUCTO]],0),MATCH(Tabla4[[#This Row],[Mes]],Tabla6[#Headers],0)))*(1+Catalogos!$L$2)</f>
        <v>#N/A</v>
      </c>
      <c r="N3407" s="283" t="e">
        <f>+(Tabla4[[#This Row],[Precio Descontado]]-Tabla4[[#This Row],[Precio Base]])*Tabla4[[#This Row],[Cantidad]]</f>
        <v>#N/A</v>
      </c>
      <c r="O3407" s="284" t="e">
        <f>++Tabla4[[#This Row],[Utilidad Total]]/Tabla4[[#This Row],[Total]]</f>
        <v>#N/A</v>
      </c>
      <c r="P3407" s="282">
        <f>++Tabla4[[#This Row],[Precio Descontado]]*Tabla4[[#This Row],[Cantidad]]</f>
        <v>4928.2541709999996</v>
      </c>
      <c r="Q3407" s="282" t="e">
        <f>(INDEX(Tabla6[#All],MATCH(Tabla4[[#This Row],[Producto]],Tabla6[[#All],[PRODUCTO]],0),MATCH(Tabla4[[#This Row],[Mes]],Tabla6[#Headers],0)))</f>
        <v>#N/A</v>
      </c>
      <c r="R3407" s="282" t="e">
        <f>++Tabla4[[#This Row],[Precio Unitario Neto]]-Tabla4[[#This Row],[20.85%]]-Tabla4[[#This Row],[Costo]]</f>
        <v>#N/A</v>
      </c>
      <c r="S3407" s="282" t="e">
        <f>++Tabla4[[#This Row],[U. Bruta Uni]]*Tabla4[[#This Row],[Cantidad]]</f>
        <v>#N/A</v>
      </c>
      <c r="T3407" s="369" t="str">
        <f>VLOOKUP(Tabla4[[#This Row],[Producto]],Tabla6[#All],14,FALSE)</f>
        <v>Termico Solar</v>
      </c>
      <c r="U3407" s="284" t="e">
        <f>(IF(Tabla4[[#This Row],[Familia]]="termico solar",Tabla4[[#This Row],[Utilidad Total]]*6%,Tabla4[[#This Row],[Utilidad Total]]*11.5%))/Tabla4[[#This Row],[Total]]</f>
        <v>#N/A</v>
      </c>
      <c r="V3407" s="282" t="e">
        <f>+Tabla4[[#This Row],[Comisión Calculada]]*Tabla4[[#This Row],[Total]]</f>
        <v>#N/A</v>
      </c>
    </row>
    <row r="3408" spans="1:22" hidden="1" x14ac:dyDescent="0.25">
      <c r="A3408" s="100">
        <v>45823</v>
      </c>
      <c r="B3408" t="str">
        <f t="shared" si="161"/>
        <v>June</v>
      </c>
      <c r="C3408" s="46" t="s">
        <v>280</v>
      </c>
      <c r="F3408" s="366" t="s">
        <v>2023</v>
      </c>
      <c r="G3408" s="46" t="s">
        <v>208</v>
      </c>
      <c r="H3408" s="46">
        <v>1</v>
      </c>
      <c r="I3408" s="51">
        <v>189.75</v>
      </c>
      <c r="J3408" s="281">
        <f>++Tabla4[[#This Row],[Precio Bruto]]*1.16</f>
        <v>220.10999999999999</v>
      </c>
      <c r="K3408" s="281">
        <f>+Tabla4[[#This Row],[Precio Unitario Neto]]*Tabla4[[#Headers],[20.85%]]</f>
        <v>45.892934999999994</v>
      </c>
      <c r="L3408" s="282">
        <f>++Tabla4[[#This Row],[Precio Unitario Neto]]-Tabla4[[#This Row],[20.85%]]</f>
        <v>174.21706499999999</v>
      </c>
      <c r="M3408" s="282" t="e">
        <f>(INDEX(Tabla6[#All],MATCH(Tabla4[[#This Row],[Producto]],Tabla6[[#All],[PRODUCTO]],0),MATCH(Tabla4[[#This Row],[Mes]],Tabla6[#Headers],0)))*(1+Catalogos!$L$2)</f>
        <v>#N/A</v>
      </c>
      <c r="N3408" s="283" t="e">
        <f>+(Tabla4[[#This Row],[Precio Descontado]]-Tabla4[[#This Row],[Precio Base]])*Tabla4[[#This Row],[Cantidad]]</f>
        <v>#N/A</v>
      </c>
      <c r="O3408" s="284" t="e">
        <f>++Tabla4[[#This Row],[Utilidad Total]]/Tabla4[[#This Row],[Total]]</f>
        <v>#N/A</v>
      </c>
      <c r="P3408" s="282">
        <f>++Tabla4[[#This Row],[Precio Descontado]]*Tabla4[[#This Row],[Cantidad]]</f>
        <v>174.21706499999999</v>
      </c>
      <c r="Q3408" s="282" t="e">
        <f>(INDEX(Tabla6[#All],MATCH(Tabla4[[#This Row],[Producto]],Tabla6[[#All],[PRODUCTO]],0),MATCH(Tabla4[[#This Row],[Mes]],Tabla6[#Headers],0)))</f>
        <v>#N/A</v>
      </c>
      <c r="R3408" s="282" t="e">
        <f>++Tabla4[[#This Row],[Precio Unitario Neto]]-Tabla4[[#This Row],[20.85%]]-Tabla4[[#This Row],[Costo]]</f>
        <v>#N/A</v>
      </c>
      <c r="S3408" s="282" t="e">
        <f>++Tabla4[[#This Row],[U. Bruta Uni]]*Tabla4[[#This Row],[Cantidad]]</f>
        <v>#N/A</v>
      </c>
      <c r="T3408" s="369" t="str">
        <f>VLOOKUP(Tabla4[[#This Row],[Producto]],Tabla6[#All],14,FALSE)</f>
        <v>Termico Solar</v>
      </c>
      <c r="U3408" s="284" t="e">
        <f>(IF(Tabla4[[#This Row],[Familia]]="termico solar",Tabla4[[#This Row],[Utilidad Total]]*6%,Tabla4[[#This Row],[Utilidad Total]]*11.5%))/Tabla4[[#This Row],[Total]]</f>
        <v>#N/A</v>
      </c>
      <c r="V3408" s="282" t="e">
        <f>+Tabla4[[#This Row],[Comisión Calculada]]*Tabla4[[#This Row],[Total]]</f>
        <v>#N/A</v>
      </c>
    </row>
    <row r="3409" spans="1:22" hidden="1" x14ac:dyDescent="0.25">
      <c r="A3409" s="100">
        <v>45823</v>
      </c>
      <c r="B3409" t="str">
        <f t="shared" si="161"/>
        <v>June</v>
      </c>
      <c r="C3409" s="46" t="s">
        <v>280</v>
      </c>
      <c r="F3409" s="366" t="s">
        <v>2024</v>
      </c>
      <c r="G3409" s="46" t="s">
        <v>208</v>
      </c>
      <c r="H3409" s="46">
        <v>1</v>
      </c>
      <c r="I3409" s="51">
        <v>189.75</v>
      </c>
      <c r="J3409" s="281">
        <f>++Tabla4[[#This Row],[Precio Bruto]]*1.16</f>
        <v>220.10999999999999</v>
      </c>
      <c r="K3409" s="281">
        <f>+Tabla4[[#This Row],[Precio Unitario Neto]]*Tabla4[[#Headers],[20.85%]]</f>
        <v>45.892934999999994</v>
      </c>
      <c r="L3409" s="282">
        <f>++Tabla4[[#This Row],[Precio Unitario Neto]]-Tabla4[[#This Row],[20.85%]]</f>
        <v>174.21706499999999</v>
      </c>
      <c r="M3409" s="282" t="e">
        <f>(INDEX(Tabla6[#All],MATCH(Tabla4[[#This Row],[Producto]],Tabla6[[#All],[PRODUCTO]],0),MATCH(Tabla4[[#This Row],[Mes]],Tabla6[#Headers],0)))*(1+Catalogos!$L$2)</f>
        <v>#N/A</v>
      </c>
      <c r="N3409" s="283" t="e">
        <f>+(Tabla4[[#This Row],[Precio Descontado]]-Tabla4[[#This Row],[Precio Base]])*Tabla4[[#This Row],[Cantidad]]</f>
        <v>#N/A</v>
      </c>
      <c r="O3409" s="284" t="e">
        <f>++Tabla4[[#This Row],[Utilidad Total]]/Tabla4[[#This Row],[Total]]</f>
        <v>#N/A</v>
      </c>
      <c r="P3409" s="282">
        <f>++Tabla4[[#This Row],[Precio Descontado]]*Tabla4[[#This Row],[Cantidad]]</f>
        <v>174.21706499999999</v>
      </c>
      <c r="Q3409" s="282" t="e">
        <f>(INDEX(Tabla6[#All],MATCH(Tabla4[[#This Row],[Producto]],Tabla6[[#All],[PRODUCTO]],0),MATCH(Tabla4[[#This Row],[Mes]],Tabla6[#Headers],0)))</f>
        <v>#N/A</v>
      </c>
      <c r="R3409" s="282" t="e">
        <f>++Tabla4[[#This Row],[Precio Unitario Neto]]-Tabla4[[#This Row],[20.85%]]-Tabla4[[#This Row],[Costo]]</f>
        <v>#N/A</v>
      </c>
      <c r="S3409" s="282" t="e">
        <f>++Tabla4[[#This Row],[U. Bruta Uni]]*Tabla4[[#This Row],[Cantidad]]</f>
        <v>#N/A</v>
      </c>
      <c r="T3409" s="369" t="str">
        <f>VLOOKUP(Tabla4[[#This Row],[Producto]],Tabla6[#All],14,FALSE)</f>
        <v>Termico Solar</v>
      </c>
      <c r="U3409" s="284" t="e">
        <f>(IF(Tabla4[[#This Row],[Familia]]="termico solar",Tabla4[[#This Row],[Utilidad Total]]*6%,Tabla4[[#This Row],[Utilidad Total]]*11.5%))/Tabla4[[#This Row],[Total]]</f>
        <v>#N/A</v>
      </c>
      <c r="V3409" s="282" t="e">
        <f>+Tabla4[[#This Row],[Comisión Calculada]]*Tabla4[[#This Row],[Total]]</f>
        <v>#N/A</v>
      </c>
    </row>
    <row r="3410" spans="1:22" hidden="1" x14ac:dyDescent="0.25">
      <c r="A3410" s="100">
        <v>45823</v>
      </c>
      <c r="B3410" t="str">
        <f t="shared" si="161"/>
        <v>June</v>
      </c>
      <c r="C3410" s="46" t="s">
        <v>280</v>
      </c>
      <c r="F3410" s="366" t="s">
        <v>2025</v>
      </c>
      <c r="G3410" s="46" t="s">
        <v>16</v>
      </c>
      <c r="H3410" s="46">
        <v>1</v>
      </c>
      <c r="I3410" s="51">
        <v>4103.8500000000004</v>
      </c>
      <c r="J3410" s="281">
        <f>++Tabla4[[#This Row],[Precio Bruto]]*1.16</f>
        <v>4760.4660000000003</v>
      </c>
      <c r="K3410" s="281">
        <f>+Tabla4[[#This Row],[Precio Unitario Neto]]*Tabla4[[#Headers],[20.85%]]</f>
        <v>992.55716100000006</v>
      </c>
      <c r="L3410" s="282">
        <f>++Tabla4[[#This Row],[Precio Unitario Neto]]-Tabla4[[#This Row],[20.85%]]</f>
        <v>3767.9088390000002</v>
      </c>
      <c r="M3410" s="282" t="e">
        <f>(INDEX(Tabla6[#All],MATCH(Tabla4[[#This Row],[Producto]],Tabla6[[#All],[PRODUCTO]],0),MATCH(Tabla4[[#This Row],[Mes]],Tabla6[#Headers],0)))*(1+Catalogos!$L$2)</f>
        <v>#N/A</v>
      </c>
      <c r="N3410" s="283" t="e">
        <f>+(Tabla4[[#This Row],[Precio Descontado]]-Tabla4[[#This Row],[Precio Base]])*Tabla4[[#This Row],[Cantidad]]</f>
        <v>#N/A</v>
      </c>
      <c r="O3410" s="284" t="e">
        <f>++Tabla4[[#This Row],[Utilidad Total]]/Tabla4[[#This Row],[Total]]</f>
        <v>#N/A</v>
      </c>
      <c r="P3410" s="282">
        <f>++Tabla4[[#This Row],[Precio Descontado]]*Tabla4[[#This Row],[Cantidad]]</f>
        <v>3767.9088390000002</v>
      </c>
      <c r="Q3410" s="282" t="e">
        <f>(INDEX(Tabla6[#All],MATCH(Tabla4[[#This Row],[Producto]],Tabla6[[#All],[PRODUCTO]],0),MATCH(Tabla4[[#This Row],[Mes]],Tabla6[#Headers],0)))</f>
        <v>#N/A</v>
      </c>
      <c r="R3410" s="282" t="e">
        <f>++Tabla4[[#This Row],[Precio Unitario Neto]]-Tabla4[[#This Row],[20.85%]]-Tabla4[[#This Row],[Costo]]</f>
        <v>#N/A</v>
      </c>
      <c r="S3410" s="282" t="e">
        <f>++Tabla4[[#This Row],[U. Bruta Uni]]*Tabla4[[#This Row],[Cantidad]]</f>
        <v>#N/A</v>
      </c>
      <c r="T3410" s="369" t="str">
        <f>VLOOKUP(Tabla4[[#This Row],[Producto]],Tabla6[#All],14,FALSE)</f>
        <v>Termico Solar</v>
      </c>
      <c r="U3410" s="284" t="e">
        <f>(IF(Tabla4[[#This Row],[Familia]]="termico solar",Tabla4[[#This Row],[Utilidad Total]]*6%,Tabla4[[#This Row],[Utilidad Total]]*11.5%))/Tabla4[[#This Row],[Total]]</f>
        <v>#N/A</v>
      </c>
      <c r="V3410" s="282" t="e">
        <f>+Tabla4[[#This Row],[Comisión Calculada]]*Tabla4[[#This Row],[Total]]</f>
        <v>#N/A</v>
      </c>
    </row>
    <row r="3411" spans="1:22" hidden="1" x14ac:dyDescent="0.25">
      <c r="A3411" s="100">
        <v>45823</v>
      </c>
      <c r="B3411" t="str">
        <f t="shared" si="161"/>
        <v>June</v>
      </c>
      <c r="C3411" s="46" t="s">
        <v>280</v>
      </c>
      <c r="F3411" s="366" t="s">
        <v>2026</v>
      </c>
      <c r="G3411" s="46" t="s">
        <v>83</v>
      </c>
      <c r="H3411" s="46">
        <v>2</v>
      </c>
      <c r="I3411" s="51">
        <v>8858.76</v>
      </c>
      <c r="J3411" s="281">
        <f>++Tabla4[[#This Row],[Precio Bruto]]*1.16</f>
        <v>10276.161599999999</v>
      </c>
      <c r="K3411" s="281">
        <f>+Tabla4[[#This Row],[Precio Unitario Neto]]*Tabla4[[#Headers],[20.85%]]</f>
        <v>2142.5796935999997</v>
      </c>
      <c r="L3411" s="282">
        <f>++Tabla4[[#This Row],[Precio Unitario Neto]]-Tabla4[[#This Row],[20.85%]]</f>
        <v>8133.5819063999998</v>
      </c>
      <c r="M3411" s="282" t="e">
        <f>(INDEX(Tabla6[#All],MATCH(Tabla4[[#This Row],[Producto]],Tabla6[[#All],[PRODUCTO]],0),MATCH(Tabla4[[#This Row],[Mes]],Tabla6[#Headers],0)))*(1+Catalogos!$L$2)</f>
        <v>#N/A</v>
      </c>
      <c r="N3411" s="283" t="e">
        <f>+(Tabla4[[#This Row],[Precio Descontado]]-Tabla4[[#This Row],[Precio Base]])*Tabla4[[#This Row],[Cantidad]]</f>
        <v>#N/A</v>
      </c>
      <c r="O3411" s="284" t="e">
        <f>++Tabla4[[#This Row],[Utilidad Total]]/Tabla4[[#This Row],[Total]]</f>
        <v>#N/A</v>
      </c>
      <c r="P3411" s="282">
        <f>++Tabla4[[#This Row],[Precio Descontado]]*Tabla4[[#This Row],[Cantidad]]</f>
        <v>16267.1638128</v>
      </c>
      <c r="Q3411" s="282" t="e">
        <f>(INDEX(Tabla6[#All],MATCH(Tabla4[[#This Row],[Producto]],Tabla6[[#All],[PRODUCTO]],0),MATCH(Tabla4[[#This Row],[Mes]],Tabla6[#Headers],0)))</f>
        <v>#N/A</v>
      </c>
      <c r="R3411" s="282" t="e">
        <f>++Tabla4[[#This Row],[Precio Unitario Neto]]-Tabla4[[#This Row],[20.85%]]-Tabla4[[#This Row],[Costo]]</f>
        <v>#N/A</v>
      </c>
      <c r="S3411" s="282" t="e">
        <f>++Tabla4[[#This Row],[U. Bruta Uni]]*Tabla4[[#This Row],[Cantidad]]</f>
        <v>#N/A</v>
      </c>
      <c r="T3411" s="369" t="str">
        <f>VLOOKUP(Tabla4[[#This Row],[Producto]],Tabla6[#All],14,FALSE)</f>
        <v>Termico Solar</v>
      </c>
      <c r="U3411" s="284" t="e">
        <f>(IF(Tabla4[[#This Row],[Familia]]="termico solar",Tabla4[[#This Row],[Utilidad Total]]*6%,Tabla4[[#This Row],[Utilidad Total]]*11.5%))/Tabla4[[#This Row],[Total]]</f>
        <v>#N/A</v>
      </c>
      <c r="V3411" s="282" t="e">
        <f>+Tabla4[[#This Row],[Comisión Calculada]]*Tabla4[[#This Row],[Total]]</f>
        <v>#N/A</v>
      </c>
    </row>
    <row r="3412" spans="1:22" hidden="1" x14ac:dyDescent="0.25">
      <c r="A3412" s="100">
        <v>45823</v>
      </c>
      <c r="B3412" t="str">
        <f t="shared" si="161"/>
        <v>June</v>
      </c>
      <c r="C3412" s="46" t="s">
        <v>280</v>
      </c>
      <c r="F3412" s="366" t="s">
        <v>2026</v>
      </c>
      <c r="G3412" s="46" t="s">
        <v>17</v>
      </c>
      <c r="H3412" s="46">
        <v>1</v>
      </c>
      <c r="I3412" s="51">
        <v>4622.28</v>
      </c>
      <c r="J3412" s="281">
        <f>++Tabla4[[#This Row],[Precio Bruto]]*1.16</f>
        <v>5361.8447999999989</v>
      </c>
      <c r="K3412" s="281">
        <f>+Tabla4[[#This Row],[Precio Unitario Neto]]*Tabla4[[#Headers],[20.85%]]</f>
        <v>1117.9446407999997</v>
      </c>
      <c r="L3412" s="282">
        <f>++Tabla4[[#This Row],[Precio Unitario Neto]]-Tabla4[[#This Row],[20.85%]]</f>
        <v>4243.9001591999995</v>
      </c>
      <c r="M3412" s="282" t="e">
        <f>(INDEX(Tabla6[#All],MATCH(Tabla4[[#This Row],[Producto]],Tabla6[[#All],[PRODUCTO]],0),MATCH(Tabla4[[#This Row],[Mes]],Tabla6[#Headers],0)))*(1+Catalogos!$L$2)</f>
        <v>#N/A</v>
      </c>
      <c r="N3412" s="283" t="e">
        <f>+(Tabla4[[#This Row],[Precio Descontado]]-Tabla4[[#This Row],[Precio Base]])*Tabla4[[#This Row],[Cantidad]]</f>
        <v>#N/A</v>
      </c>
      <c r="O3412" s="284" t="e">
        <f>++Tabla4[[#This Row],[Utilidad Total]]/Tabla4[[#This Row],[Total]]</f>
        <v>#N/A</v>
      </c>
      <c r="P3412" s="282">
        <f>++Tabla4[[#This Row],[Precio Descontado]]*Tabla4[[#This Row],[Cantidad]]</f>
        <v>4243.9001591999995</v>
      </c>
      <c r="Q3412" s="282" t="e">
        <f>(INDEX(Tabla6[#All],MATCH(Tabla4[[#This Row],[Producto]],Tabla6[[#All],[PRODUCTO]],0),MATCH(Tabla4[[#This Row],[Mes]],Tabla6[#Headers],0)))</f>
        <v>#N/A</v>
      </c>
      <c r="R3412" s="282" t="e">
        <f>++Tabla4[[#This Row],[Precio Unitario Neto]]-Tabla4[[#This Row],[20.85%]]-Tabla4[[#This Row],[Costo]]</f>
        <v>#N/A</v>
      </c>
      <c r="S3412" s="282" t="e">
        <f>++Tabla4[[#This Row],[U. Bruta Uni]]*Tabla4[[#This Row],[Cantidad]]</f>
        <v>#N/A</v>
      </c>
      <c r="T3412" s="369" t="str">
        <f>VLOOKUP(Tabla4[[#This Row],[Producto]],Tabla6[#All],14,FALSE)</f>
        <v>Termico Solar</v>
      </c>
      <c r="U3412" s="284" t="e">
        <f>(IF(Tabla4[[#This Row],[Familia]]="termico solar",Tabla4[[#This Row],[Utilidad Total]]*6%,Tabla4[[#This Row],[Utilidad Total]]*11.5%))/Tabla4[[#This Row],[Total]]</f>
        <v>#N/A</v>
      </c>
      <c r="V3412" s="282" t="e">
        <f>+Tabla4[[#This Row],[Comisión Calculada]]*Tabla4[[#This Row],[Total]]</f>
        <v>#N/A</v>
      </c>
    </row>
    <row r="3413" spans="1:22" hidden="1" x14ac:dyDescent="0.25">
      <c r="A3413" s="100">
        <v>45823</v>
      </c>
      <c r="B3413" t="str">
        <f t="shared" si="161"/>
        <v>June</v>
      </c>
      <c r="C3413" s="46" t="s">
        <v>280</v>
      </c>
      <c r="F3413" s="366" t="s">
        <v>2026</v>
      </c>
      <c r="G3413" s="46" t="s">
        <v>16</v>
      </c>
      <c r="H3413" s="46">
        <v>1</v>
      </c>
      <c r="I3413" s="51">
        <v>4103.8500000000004</v>
      </c>
      <c r="J3413" s="281">
        <f>++Tabla4[[#This Row],[Precio Bruto]]*1.16</f>
        <v>4760.4660000000003</v>
      </c>
      <c r="K3413" s="281">
        <f>+Tabla4[[#This Row],[Precio Unitario Neto]]*Tabla4[[#Headers],[20.85%]]</f>
        <v>992.55716100000006</v>
      </c>
      <c r="L3413" s="282">
        <f>++Tabla4[[#This Row],[Precio Unitario Neto]]-Tabla4[[#This Row],[20.85%]]</f>
        <v>3767.9088390000002</v>
      </c>
      <c r="M3413" s="282" t="e">
        <f>(INDEX(Tabla6[#All],MATCH(Tabla4[[#This Row],[Producto]],Tabla6[[#All],[PRODUCTO]],0),MATCH(Tabla4[[#This Row],[Mes]],Tabla6[#Headers],0)))*(1+Catalogos!$L$2)</f>
        <v>#N/A</v>
      </c>
      <c r="N3413" s="283" t="e">
        <f>+(Tabla4[[#This Row],[Precio Descontado]]-Tabla4[[#This Row],[Precio Base]])*Tabla4[[#This Row],[Cantidad]]</f>
        <v>#N/A</v>
      </c>
      <c r="O3413" s="284" t="e">
        <f>++Tabla4[[#This Row],[Utilidad Total]]/Tabla4[[#This Row],[Total]]</f>
        <v>#N/A</v>
      </c>
      <c r="P3413" s="282">
        <f>++Tabla4[[#This Row],[Precio Descontado]]*Tabla4[[#This Row],[Cantidad]]</f>
        <v>3767.9088390000002</v>
      </c>
      <c r="Q3413" s="282" t="e">
        <f>(INDEX(Tabla6[#All],MATCH(Tabla4[[#This Row],[Producto]],Tabla6[[#All],[PRODUCTO]],0),MATCH(Tabla4[[#This Row],[Mes]],Tabla6[#Headers],0)))</f>
        <v>#N/A</v>
      </c>
      <c r="R3413" s="282" t="e">
        <f>++Tabla4[[#This Row],[Precio Unitario Neto]]-Tabla4[[#This Row],[20.85%]]-Tabla4[[#This Row],[Costo]]</f>
        <v>#N/A</v>
      </c>
      <c r="S3413" s="282" t="e">
        <f>++Tabla4[[#This Row],[U. Bruta Uni]]*Tabla4[[#This Row],[Cantidad]]</f>
        <v>#N/A</v>
      </c>
      <c r="T3413" s="369" t="str">
        <f>VLOOKUP(Tabla4[[#This Row],[Producto]],Tabla6[#All],14,FALSE)</f>
        <v>Termico Solar</v>
      </c>
      <c r="U3413" s="284" t="e">
        <f>(IF(Tabla4[[#This Row],[Familia]]="termico solar",Tabla4[[#This Row],[Utilidad Total]]*6%,Tabla4[[#This Row],[Utilidad Total]]*11.5%))/Tabla4[[#This Row],[Total]]</f>
        <v>#N/A</v>
      </c>
      <c r="V3413" s="282" t="e">
        <f>+Tabla4[[#This Row],[Comisión Calculada]]*Tabla4[[#This Row],[Total]]</f>
        <v>#N/A</v>
      </c>
    </row>
    <row r="3414" spans="1:22" hidden="1" x14ac:dyDescent="0.25">
      <c r="A3414" s="100">
        <v>45823</v>
      </c>
      <c r="B3414" t="str">
        <f t="shared" si="161"/>
        <v>June</v>
      </c>
      <c r="C3414" s="46" t="s">
        <v>280</v>
      </c>
      <c r="F3414" s="366" t="s">
        <v>2027</v>
      </c>
      <c r="G3414" s="46" t="s">
        <v>83</v>
      </c>
      <c r="H3414" s="46">
        <v>1</v>
      </c>
      <c r="I3414" s="51">
        <v>8858.76</v>
      </c>
      <c r="J3414" s="281">
        <f>++Tabla4[[#This Row],[Precio Bruto]]*1.16</f>
        <v>10276.161599999999</v>
      </c>
      <c r="K3414" s="281">
        <f>+Tabla4[[#This Row],[Precio Unitario Neto]]*Tabla4[[#Headers],[20.85%]]</f>
        <v>2142.5796935999997</v>
      </c>
      <c r="L3414" s="282">
        <f>++Tabla4[[#This Row],[Precio Unitario Neto]]-Tabla4[[#This Row],[20.85%]]</f>
        <v>8133.5819063999998</v>
      </c>
      <c r="M3414" s="282" t="e">
        <f>(INDEX(Tabla6[#All],MATCH(Tabla4[[#This Row],[Producto]],Tabla6[[#All],[PRODUCTO]],0),MATCH(Tabla4[[#This Row],[Mes]],Tabla6[#Headers],0)))*(1+Catalogos!$L$2)</f>
        <v>#N/A</v>
      </c>
      <c r="N3414" s="283" t="e">
        <f>+(Tabla4[[#This Row],[Precio Descontado]]-Tabla4[[#This Row],[Precio Base]])*Tabla4[[#This Row],[Cantidad]]</f>
        <v>#N/A</v>
      </c>
      <c r="O3414" s="284" t="e">
        <f>++Tabla4[[#This Row],[Utilidad Total]]/Tabla4[[#This Row],[Total]]</f>
        <v>#N/A</v>
      </c>
      <c r="P3414" s="282">
        <f>++Tabla4[[#This Row],[Precio Descontado]]*Tabla4[[#This Row],[Cantidad]]</f>
        <v>8133.5819063999998</v>
      </c>
      <c r="Q3414" s="282" t="e">
        <f>(INDEX(Tabla6[#All],MATCH(Tabla4[[#This Row],[Producto]],Tabla6[[#All],[PRODUCTO]],0),MATCH(Tabla4[[#This Row],[Mes]],Tabla6[#Headers],0)))</f>
        <v>#N/A</v>
      </c>
      <c r="R3414" s="282" t="e">
        <f>++Tabla4[[#This Row],[Precio Unitario Neto]]-Tabla4[[#This Row],[20.85%]]-Tabla4[[#This Row],[Costo]]</f>
        <v>#N/A</v>
      </c>
      <c r="S3414" s="282" t="e">
        <f>++Tabla4[[#This Row],[U. Bruta Uni]]*Tabla4[[#This Row],[Cantidad]]</f>
        <v>#N/A</v>
      </c>
      <c r="T3414" s="369" t="str">
        <f>VLOOKUP(Tabla4[[#This Row],[Producto]],Tabla6[#All],14,FALSE)</f>
        <v>Termico Solar</v>
      </c>
      <c r="U3414" s="284" t="e">
        <f>(IF(Tabla4[[#This Row],[Familia]]="termico solar",Tabla4[[#This Row],[Utilidad Total]]*6%,Tabla4[[#This Row],[Utilidad Total]]*11.5%))/Tabla4[[#This Row],[Total]]</f>
        <v>#N/A</v>
      </c>
      <c r="V3414" s="282" t="e">
        <f>+Tabla4[[#This Row],[Comisión Calculada]]*Tabla4[[#This Row],[Total]]</f>
        <v>#N/A</v>
      </c>
    </row>
    <row r="3415" spans="1:22" hidden="1" x14ac:dyDescent="0.25">
      <c r="A3415" s="100">
        <v>45823</v>
      </c>
      <c r="B3415" t="str">
        <f t="shared" si="161"/>
        <v>June</v>
      </c>
      <c r="C3415" s="46" t="s">
        <v>280</v>
      </c>
      <c r="F3415" s="366" t="s">
        <v>2027</v>
      </c>
      <c r="G3415" s="46" t="s">
        <v>566</v>
      </c>
      <c r="H3415" s="46">
        <v>1</v>
      </c>
      <c r="I3415" s="51">
        <v>2109.4499999999998</v>
      </c>
      <c r="J3415" s="281">
        <f>++Tabla4[[#This Row],[Precio Bruto]]*1.16</f>
        <v>2446.9619999999995</v>
      </c>
      <c r="K3415" s="281">
        <f>+Tabla4[[#This Row],[Precio Unitario Neto]]*Tabla4[[#Headers],[20.85%]]</f>
        <v>510.19157699999988</v>
      </c>
      <c r="L3415" s="282">
        <f>++Tabla4[[#This Row],[Precio Unitario Neto]]-Tabla4[[#This Row],[20.85%]]</f>
        <v>1936.7704229999997</v>
      </c>
      <c r="M3415" s="282" t="e">
        <f>(INDEX(Tabla6[#All],MATCH(Tabla4[[#This Row],[Producto]],Tabla6[[#All],[PRODUCTO]],0),MATCH(Tabla4[[#This Row],[Mes]],Tabla6[#Headers],0)))*(1+Catalogos!$L$2)</f>
        <v>#N/A</v>
      </c>
      <c r="N3415" s="283" t="e">
        <f>+(Tabla4[[#This Row],[Precio Descontado]]-Tabla4[[#This Row],[Precio Base]])*Tabla4[[#This Row],[Cantidad]]</f>
        <v>#N/A</v>
      </c>
      <c r="O3415" s="284" t="e">
        <f>++Tabla4[[#This Row],[Utilidad Total]]/Tabla4[[#This Row],[Total]]</f>
        <v>#N/A</v>
      </c>
      <c r="P3415" s="282">
        <f>++Tabla4[[#This Row],[Precio Descontado]]*Tabla4[[#This Row],[Cantidad]]</f>
        <v>1936.7704229999997</v>
      </c>
      <c r="Q3415" s="282" t="e">
        <f>(INDEX(Tabla6[#All],MATCH(Tabla4[[#This Row],[Producto]],Tabla6[[#All],[PRODUCTO]],0),MATCH(Tabla4[[#This Row],[Mes]],Tabla6[#Headers],0)))</f>
        <v>#N/A</v>
      </c>
      <c r="R3415" s="282" t="e">
        <f>++Tabla4[[#This Row],[Precio Unitario Neto]]-Tabla4[[#This Row],[20.85%]]-Tabla4[[#This Row],[Costo]]</f>
        <v>#N/A</v>
      </c>
      <c r="S3415" s="282" t="e">
        <f>++Tabla4[[#This Row],[U. Bruta Uni]]*Tabla4[[#This Row],[Cantidad]]</f>
        <v>#N/A</v>
      </c>
      <c r="T3415" s="369" t="str">
        <f>VLOOKUP(Tabla4[[#This Row],[Producto]],Tabla6[#All],14,FALSE)</f>
        <v>Termico Solar</v>
      </c>
      <c r="U3415" s="284" t="e">
        <f>(IF(Tabla4[[#This Row],[Familia]]="termico solar",Tabla4[[#This Row],[Utilidad Total]]*6%,Tabla4[[#This Row],[Utilidad Total]]*11.5%))/Tabla4[[#This Row],[Total]]</f>
        <v>#N/A</v>
      </c>
      <c r="V3415" s="282" t="e">
        <f>+Tabla4[[#This Row],[Comisión Calculada]]*Tabla4[[#This Row],[Total]]</f>
        <v>#N/A</v>
      </c>
    </row>
    <row r="3416" spans="1:22" hidden="1" x14ac:dyDescent="0.25">
      <c r="A3416" s="100">
        <v>45823</v>
      </c>
      <c r="B3416" t="str">
        <f t="shared" si="161"/>
        <v>June</v>
      </c>
      <c r="C3416" s="46" t="s">
        <v>280</v>
      </c>
      <c r="F3416" s="366" t="s">
        <v>2027</v>
      </c>
      <c r="G3416" s="46" t="s">
        <v>208</v>
      </c>
      <c r="H3416" s="46">
        <v>1</v>
      </c>
      <c r="I3416" s="51">
        <v>189.75</v>
      </c>
      <c r="J3416" s="281">
        <f>++Tabla4[[#This Row],[Precio Bruto]]*1.16</f>
        <v>220.10999999999999</v>
      </c>
      <c r="K3416" s="281">
        <f>+Tabla4[[#This Row],[Precio Unitario Neto]]*Tabla4[[#Headers],[20.85%]]</f>
        <v>45.892934999999994</v>
      </c>
      <c r="L3416" s="282">
        <f>++Tabla4[[#This Row],[Precio Unitario Neto]]-Tabla4[[#This Row],[20.85%]]</f>
        <v>174.21706499999999</v>
      </c>
      <c r="M3416" s="282" t="e">
        <f>(INDEX(Tabla6[#All],MATCH(Tabla4[[#This Row],[Producto]],Tabla6[[#All],[PRODUCTO]],0),MATCH(Tabla4[[#This Row],[Mes]],Tabla6[#Headers],0)))*(1+Catalogos!$L$2)</f>
        <v>#N/A</v>
      </c>
      <c r="N3416" s="283" t="e">
        <f>+(Tabla4[[#This Row],[Precio Descontado]]-Tabla4[[#This Row],[Precio Base]])*Tabla4[[#This Row],[Cantidad]]</f>
        <v>#N/A</v>
      </c>
      <c r="O3416" s="284" t="e">
        <f>++Tabla4[[#This Row],[Utilidad Total]]/Tabla4[[#This Row],[Total]]</f>
        <v>#N/A</v>
      </c>
      <c r="P3416" s="282">
        <f>++Tabla4[[#This Row],[Precio Descontado]]*Tabla4[[#This Row],[Cantidad]]</f>
        <v>174.21706499999999</v>
      </c>
      <c r="Q3416" s="282" t="e">
        <f>(INDEX(Tabla6[#All],MATCH(Tabla4[[#This Row],[Producto]],Tabla6[[#All],[PRODUCTO]],0),MATCH(Tabla4[[#This Row],[Mes]],Tabla6[#Headers],0)))</f>
        <v>#N/A</v>
      </c>
      <c r="R3416" s="282" t="e">
        <f>++Tabla4[[#This Row],[Precio Unitario Neto]]-Tabla4[[#This Row],[20.85%]]-Tabla4[[#This Row],[Costo]]</f>
        <v>#N/A</v>
      </c>
      <c r="S3416" s="282" t="e">
        <f>++Tabla4[[#This Row],[U. Bruta Uni]]*Tabla4[[#This Row],[Cantidad]]</f>
        <v>#N/A</v>
      </c>
      <c r="T3416" s="369" t="str">
        <f>VLOOKUP(Tabla4[[#This Row],[Producto]],Tabla6[#All],14,FALSE)</f>
        <v>Termico Solar</v>
      </c>
      <c r="U3416" s="284" t="e">
        <f>(IF(Tabla4[[#This Row],[Familia]]="termico solar",Tabla4[[#This Row],[Utilidad Total]]*6%,Tabla4[[#This Row],[Utilidad Total]]*11.5%))/Tabla4[[#This Row],[Total]]</f>
        <v>#N/A</v>
      </c>
      <c r="V3416" s="282" t="e">
        <f>+Tabla4[[#This Row],[Comisión Calculada]]*Tabla4[[#This Row],[Total]]</f>
        <v>#N/A</v>
      </c>
    </row>
    <row r="3417" spans="1:22" hidden="1" x14ac:dyDescent="0.25">
      <c r="A3417" s="100">
        <v>45823</v>
      </c>
      <c r="B3417" t="str">
        <f t="shared" si="161"/>
        <v>June</v>
      </c>
      <c r="C3417" s="46" t="s">
        <v>280</v>
      </c>
      <c r="F3417" s="366" t="s">
        <v>2028</v>
      </c>
      <c r="G3417" s="46" t="s">
        <v>83</v>
      </c>
      <c r="H3417" s="46">
        <v>1</v>
      </c>
      <c r="I3417" s="51">
        <v>8858.76</v>
      </c>
      <c r="J3417" s="281">
        <f>++Tabla4[[#This Row],[Precio Bruto]]*1.16</f>
        <v>10276.161599999999</v>
      </c>
      <c r="K3417" s="281">
        <f>+Tabla4[[#This Row],[Precio Unitario Neto]]*Tabla4[[#Headers],[20.85%]]</f>
        <v>2142.5796935999997</v>
      </c>
      <c r="L3417" s="282">
        <f>++Tabla4[[#This Row],[Precio Unitario Neto]]-Tabla4[[#This Row],[20.85%]]</f>
        <v>8133.5819063999998</v>
      </c>
      <c r="M3417" s="282" t="e">
        <f>(INDEX(Tabla6[#All],MATCH(Tabla4[[#This Row],[Producto]],Tabla6[[#All],[PRODUCTO]],0),MATCH(Tabla4[[#This Row],[Mes]],Tabla6[#Headers],0)))*(1+Catalogos!$L$2)</f>
        <v>#N/A</v>
      </c>
      <c r="N3417" s="283" t="e">
        <f>+(Tabla4[[#This Row],[Precio Descontado]]-Tabla4[[#This Row],[Precio Base]])*Tabla4[[#This Row],[Cantidad]]</f>
        <v>#N/A</v>
      </c>
      <c r="O3417" s="284" t="e">
        <f>++Tabla4[[#This Row],[Utilidad Total]]/Tabla4[[#This Row],[Total]]</f>
        <v>#N/A</v>
      </c>
      <c r="P3417" s="282">
        <f>++Tabla4[[#This Row],[Precio Descontado]]*Tabla4[[#This Row],[Cantidad]]</f>
        <v>8133.5819063999998</v>
      </c>
      <c r="Q3417" s="282" t="e">
        <f>(INDEX(Tabla6[#All],MATCH(Tabla4[[#This Row],[Producto]],Tabla6[[#All],[PRODUCTO]],0),MATCH(Tabla4[[#This Row],[Mes]],Tabla6[#Headers],0)))</f>
        <v>#N/A</v>
      </c>
      <c r="R3417" s="282" t="e">
        <f>++Tabla4[[#This Row],[Precio Unitario Neto]]-Tabla4[[#This Row],[20.85%]]-Tabla4[[#This Row],[Costo]]</f>
        <v>#N/A</v>
      </c>
      <c r="S3417" s="282" t="e">
        <f>++Tabla4[[#This Row],[U. Bruta Uni]]*Tabla4[[#This Row],[Cantidad]]</f>
        <v>#N/A</v>
      </c>
      <c r="T3417" s="369" t="str">
        <f>VLOOKUP(Tabla4[[#This Row],[Producto]],Tabla6[#All],14,FALSE)</f>
        <v>Termico Solar</v>
      </c>
      <c r="U3417" s="284" t="e">
        <f>(IF(Tabla4[[#This Row],[Familia]]="termico solar",Tabla4[[#This Row],[Utilidad Total]]*6%,Tabla4[[#This Row],[Utilidad Total]]*11.5%))/Tabla4[[#This Row],[Total]]</f>
        <v>#N/A</v>
      </c>
      <c r="V3417" s="282" t="e">
        <f>+Tabla4[[#This Row],[Comisión Calculada]]*Tabla4[[#This Row],[Total]]</f>
        <v>#N/A</v>
      </c>
    </row>
    <row r="3418" spans="1:22" hidden="1" x14ac:dyDescent="0.25">
      <c r="A3418" s="100">
        <v>45823</v>
      </c>
      <c r="B3418" t="str">
        <f t="shared" si="161"/>
        <v>June</v>
      </c>
      <c r="C3418" s="46" t="s">
        <v>280</v>
      </c>
      <c r="F3418" s="366" t="s">
        <v>2028</v>
      </c>
      <c r="G3418" s="46" t="s">
        <v>18</v>
      </c>
      <c r="H3418" s="46">
        <v>2</v>
      </c>
      <c r="I3418" s="51">
        <v>5367.65</v>
      </c>
      <c r="J3418" s="281">
        <f>++Tabla4[[#This Row],[Precio Bruto]]*1.16</f>
        <v>6226.4739999999993</v>
      </c>
      <c r="K3418" s="281">
        <f>+Tabla4[[#This Row],[Precio Unitario Neto]]*Tabla4[[#Headers],[20.85%]]</f>
        <v>1298.2198289999999</v>
      </c>
      <c r="L3418" s="282">
        <f>++Tabla4[[#This Row],[Precio Unitario Neto]]-Tabla4[[#This Row],[20.85%]]</f>
        <v>4928.2541709999996</v>
      </c>
      <c r="M3418" s="282" t="e">
        <f>(INDEX(Tabla6[#All],MATCH(Tabla4[[#This Row],[Producto]],Tabla6[[#All],[PRODUCTO]],0),MATCH(Tabla4[[#This Row],[Mes]],Tabla6[#Headers],0)))*(1+Catalogos!$L$2)</f>
        <v>#N/A</v>
      </c>
      <c r="N3418" s="283" t="e">
        <f>+(Tabla4[[#This Row],[Precio Descontado]]-Tabla4[[#This Row],[Precio Base]])*Tabla4[[#This Row],[Cantidad]]</f>
        <v>#N/A</v>
      </c>
      <c r="O3418" s="284" t="e">
        <f>++Tabla4[[#This Row],[Utilidad Total]]/Tabla4[[#This Row],[Total]]</f>
        <v>#N/A</v>
      </c>
      <c r="P3418" s="282">
        <f>++Tabla4[[#This Row],[Precio Descontado]]*Tabla4[[#This Row],[Cantidad]]</f>
        <v>9856.5083419999992</v>
      </c>
      <c r="Q3418" s="282" t="e">
        <f>(INDEX(Tabla6[#All],MATCH(Tabla4[[#This Row],[Producto]],Tabla6[[#All],[PRODUCTO]],0),MATCH(Tabla4[[#This Row],[Mes]],Tabla6[#Headers],0)))</f>
        <v>#N/A</v>
      </c>
      <c r="R3418" s="282" t="e">
        <f>++Tabla4[[#This Row],[Precio Unitario Neto]]-Tabla4[[#This Row],[20.85%]]-Tabla4[[#This Row],[Costo]]</f>
        <v>#N/A</v>
      </c>
      <c r="S3418" s="282" t="e">
        <f>++Tabla4[[#This Row],[U. Bruta Uni]]*Tabla4[[#This Row],[Cantidad]]</f>
        <v>#N/A</v>
      </c>
      <c r="T3418" s="369" t="str">
        <f>VLOOKUP(Tabla4[[#This Row],[Producto]],Tabla6[#All],14,FALSE)</f>
        <v>Termico Solar</v>
      </c>
      <c r="U3418" s="284" t="e">
        <f>(IF(Tabla4[[#This Row],[Familia]]="termico solar",Tabla4[[#This Row],[Utilidad Total]]*6%,Tabla4[[#This Row],[Utilidad Total]]*11.5%))/Tabla4[[#This Row],[Total]]</f>
        <v>#N/A</v>
      </c>
      <c r="V3418" s="282" t="e">
        <f>+Tabla4[[#This Row],[Comisión Calculada]]*Tabla4[[#This Row],[Total]]</f>
        <v>#N/A</v>
      </c>
    </row>
    <row r="3419" spans="1:22" hidden="1" x14ac:dyDescent="0.25">
      <c r="A3419" s="100">
        <v>45823</v>
      </c>
      <c r="B3419" t="str">
        <f t="shared" si="161"/>
        <v>June</v>
      </c>
      <c r="C3419" s="46" t="s">
        <v>280</v>
      </c>
      <c r="F3419" s="366" t="s">
        <v>2029</v>
      </c>
      <c r="G3419" s="46" t="s">
        <v>17</v>
      </c>
      <c r="H3419" s="46">
        <v>1</v>
      </c>
      <c r="I3419" s="51">
        <v>4622.28</v>
      </c>
      <c r="J3419" s="281">
        <f>++Tabla4[[#This Row],[Precio Bruto]]*1.16</f>
        <v>5361.8447999999989</v>
      </c>
      <c r="K3419" s="281">
        <f>+Tabla4[[#This Row],[Precio Unitario Neto]]*Tabla4[[#Headers],[20.85%]]</f>
        <v>1117.9446407999997</v>
      </c>
      <c r="L3419" s="282">
        <f>++Tabla4[[#This Row],[Precio Unitario Neto]]-Tabla4[[#This Row],[20.85%]]</f>
        <v>4243.9001591999995</v>
      </c>
      <c r="M3419" s="282" t="e">
        <f>(INDEX(Tabla6[#All],MATCH(Tabla4[[#This Row],[Producto]],Tabla6[[#All],[PRODUCTO]],0),MATCH(Tabla4[[#This Row],[Mes]],Tabla6[#Headers],0)))*(1+Catalogos!$L$2)</f>
        <v>#N/A</v>
      </c>
      <c r="N3419" s="283" t="e">
        <f>+(Tabla4[[#This Row],[Precio Descontado]]-Tabla4[[#This Row],[Precio Base]])*Tabla4[[#This Row],[Cantidad]]</f>
        <v>#N/A</v>
      </c>
      <c r="O3419" s="284" t="e">
        <f>++Tabla4[[#This Row],[Utilidad Total]]/Tabla4[[#This Row],[Total]]</f>
        <v>#N/A</v>
      </c>
      <c r="P3419" s="282">
        <f>++Tabla4[[#This Row],[Precio Descontado]]*Tabla4[[#This Row],[Cantidad]]</f>
        <v>4243.9001591999995</v>
      </c>
      <c r="Q3419" s="282" t="e">
        <f>(INDEX(Tabla6[#All],MATCH(Tabla4[[#This Row],[Producto]],Tabla6[[#All],[PRODUCTO]],0),MATCH(Tabla4[[#This Row],[Mes]],Tabla6[#Headers],0)))</f>
        <v>#N/A</v>
      </c>
      <c r="R3419" s="282" t="e">
        <f>++Tabla4[[#This Row],[Precio Unitario Neto]]-Tabla4[[#This Row],[20.85%]]-Tabla4[[#This Row],[Costo]]</f>
        <v>#N/A</v>
      </c>
      <c r="S3419" s="282" t="e">
        <f>++Tabla4[[#This Row],[U. Bruta Uni]]*Tabla4[[#This Row],[Cantidad]]</f>
        <v>#N/A</v>
      </c>
      <c r="T3419" s="369" t="str">
        <f>VLOOKUP(Tabla4[[#This Row],[Producto]],Tabla6[#All],14,FALSE)</f>
        <v>Termico Solar</v>
      </c>
      <c r="U3419" s="284" t="e">
        <f>(IF(Tabla4[[#This Row],[Familia]]="termico solar",Tabla4[[#This Row],[Utilidad Total]]*6%,Tabla4[[#This Row],[Utilidad Total]]*11.5%))/Tabla4[[#This Row],[Total]]</f>
        <v>#N/A</v>
      </c>
      <c r="V3419" s="282" t="e">
        <f>+Tabla4[[#This Row],[Comisión Calculada]]*Tabla4[[#This Row],[Total]]</f>
        <v>#N/A</v>
      </c>
    </row>
    <row r="3420" spans="1:22" hidden="1" x14ac:dyDescent="0.25">
      <c r="A3420" s="100">
        <v>45823</v>
      </c>
      <c r="B3420" t="str">
        <f t="shared" si="161"/>
        <v>June</v>
      </c>
      <c r="C3420" s="46" t="s">
        <v>280</v>
      </c>
      <c r="F3420" s="366" t="s">
        <v>2029</v>
      </c>
      <c r="G3420" s="46" t="s">
        <v>18</v>
      </c>
      <c r="H3420" s="46">
        <v>2</v>
      </c>
      <c r="I3420" s="51">
        <v>5367.65</v>
      </c>
      <c r="J3420" s="281">
        <f>++Tabla4[[#This Row],[Precio Bruto]]*1.16</f>
        <v>6226.4739999999993</v>
      </c>
      <c r="K3420" s="281">
        <f>+Tabla4[[#This Row],[Precio Unitario Neto]]*Tabla4[[#Headers],[20.85%]]</f>
        <v>1298.2198289999999</v>
      </c>
      <c r="L3420" s="282">
        <f>++Tabla4[[#This Row],[Precio Unitario Neto]]-Tabla4[[#This Row],[20.85%]]</f>
        <v>4928.2541709999996</v>
      </c>
      <c r="M3420" s="282" t="e">
        <f>(INDEX(Tabla6[#All],MATCH(Tabla4[[#This Row],[Producto]],Tabla6[[#All],[PRODUCTO]],0),MATCH(Tabla4[[#This Row],[Mes]],Tabla6[#Headers],0)))*(1+Catalogos!$L$2)</f>
        <v>#N/A</v>
      </c>
      <c r="N3420" s="283" t="e">
        <f>+(Tabla4[[#This Row],[Precio Descontado]]-Tabla4[[#This Row],[Precio Base]])*Tabla4[[#This Row],[Cantidad]]</f>
        <v>#N/A</v>
      </c>
      <c r="O3420" s="284" t="e">
        <f>++Tabla4[[#This Row],[Utilidad Total]]/Tabla4[[#This Row],[Total]]</f>
        <v>#N/A</v>
      </c>
      <c r="P3420" s="282">
        <f>++Tabla4[[#This Row],[Precio Descontado]]*Tabla4[[#This Row],[Cantidad]]</f>
        <v>9856.5083419999992</v>
      </c>
      <c r="Q3420" s="282" t="e">
        <f>(INDEX(Tabla6[#All],MATCH(Tabla4[[#This Row],[Producto]],Tabla6[[#All],[PRODUCTO]],0),MATCH(Tabla4[[#This Row],[Mes]],Tabla6[#Headers],0)))</f>
        <v>#N/A</v>
      </c>
      <c r="R3420" s="282" t="e">
        <f>++Tabla4[[#This Row],[Precio Unitario Neto]]-Tabla4[[#This Row],[20.85%]]-Tabla4[[#This Row],[Costo]]</f>
        <v>#N/A</v>
      </c>
      <c r="S3420" s="282" t="e">
        <f>++Tabla4[[#This Row],[U. Bruta Uni]]*Tabla4[[#This Row],[Cantidad]]</f>
        <v>#N/A</v>
      </c>
      <c r="T3420" s="369" t="str">
        <f>VLOOKUP(Tabla4[[#This Row],[Producto]],Tabla6[#All],14,FALSE)</f>
        <v>Termico Solar</v>
      </c>
      <c r="U3420" s="284" t="e">
        <f>(IF(Tabla4[[#This Row],[Familia]]="termico solar",Tabla4[[#This Row],[Utilidad Total]]*6%,Tabla4[[#This Row],[Utilidad Total]]*11.5%))/Tabla4[[#This Row],[Total]]</f>
        <v>#N/A</v>
      </c>
      <c r="V3420" s="282" t="e">
        <f>+Tabla4[[#This Row],[Comisión Calculada]]*Tabla4[[#This Row],[Total]]</f>
        <v>#N/A</v>
      </c>
    </row>
    <row r="3421" spans="1:22" hidden="1" x14ac:dyDescent="0.25">
      <c r="A3421" s="100">
        <v>45823</v>
      </c>
      <c r="B3421" t="str">
        <f t="shared" si="161"/>
        <v>June</v>
      </c>
      <c r="C3421" s="46" t="s">
        <v>280</v>
      </c>
      <c r="F3421" s="366" t="s">
        <v>2030</v>
      </c>
      <c r="G3421" s="46" t="s">
        <v>83</v>
      </c>
      <c r="H3421" s="46">
        <v>2</v>
      </c>
      <c r="I3421" s="51">
        <v>8858.76</v>
      </c>
      <c r="J3421" s="281">
        <f>++Tabla4[[#This Row],[Precio Bruto]]*1.16</f>
        <v>10276.161599999999</v>
      </c>
      <c r="K3421" s="281">
        <f>+Tabla4[[#This Row],[Precio Unitario Neto]]*Tabla4[[#Headers],[20.85%]]</f>
        <v>2142.5796935999997</v>
      </c>
      <c r="L3421" s="282">
        <f>++Tabla4[[#This Row],[Precio Unitario Neto]]-Tabla4[[#This Row],[20.85%]]</f>
        <v>8133.5819063999998</v>
      </c>
      <c r="M3421" s="282" t="e">
        <f>(INDEX(Tabla6[#All],MATCH(Tabla4[[#This Row],[Producto]],Tabla6[[#All],[PRODUCTO]],0),MATCH(Tabla4[[#This Row],[Mes]],Tabla6[#Headers],0)))*(1+Catalogos!$L$2)</f>
        <v>#N/A</v>
      </c>
      <c r="N3421" s="283" t="e">
        <f>+(Tabla4[[#This Row],[Precio Descontado]]-Tabla4[[#This Row],[Precio Base]])*Tabla4[[#This Row],[Cantidad]]</f>
        <v>#N/A</v>
      </c>
      <c r="O3421" s="284" t="e">
        <f>++Tabla4[[#This Row],[Utilidad Total]]/Tabla4[[#This Row],[Total]]</f>
        <v>#N/A</v>
      </c>
      <c r="P3421" s="282">
        <f>++Tabla4[[#This Row],[Precio Descontado]]*Tabla4[[#This Row],[Cantidad]]</f>
        <v>16267.1638128</v>
      </c>
      <c r="Q3421" s="282" t="e">
        <f>(INDEX(Tabla6[#All],MATCH(Tabla4[[#This Row],[Producto]],Tabla6[[#All],[PRODUCTO]],0),MATCH(Tabla4[[#This Row],[Mes]],Tabla6[#Headers],0)))</f>
        <v>#N/A</v>
      </c>
      <c r="R3421" s="282" t="e">
        <f>++Tabla4[[#This Row],[Precio Unitario Neto]]-Tabla4[[#This Row],[20.85%]]-Tabla4[[#This Row],[Costo]]</f>
        <v>#N/A</v>
      </c>
      <c r="S3421" s="282" t="e">
        <f>++Tabla4[[#This Row],[U. Bruta Uni]]*Tabla4[[#This Row],[Cantidad]]</f>
        <v>#N/A</v>
      </c>
      <c r="T3421" s="369" t="str">
        <f>VLOOKUP(Tabla4[[#This Row],[Producto]],Tabla6[#All],14,FALSE)</f>
        <v>Termico Solar</v>
      </c>
      <c r="U3421" s="284" t="e">
        <f>(IF(Tabla4[[#This Row],[Familia]]="termico solar",Tabla4[[#This Row],[Utilidad Total]]*6%,Tabla4[[#This Row],[Utilidad Total]]*11.5%))/Tabla4[[#This Row],[Total]]</f>
        <v>#N/A</v>
      </c>
      <c r="V3421" s="282" t="e">
        <f>+Tabla4[[#This Row],[Comisión Calculada]]*Tabla4[[#This Row],[Total]]</f>
        <v>#N/A</v>
      </c>
    </row>
    <row r="3422" spans="1:22" hidden="1" x14ac:dyDescent="0.25">
      <c r="A3422" s="100">
        <v>45823</v>
      </c>
      <c r="B3422" t="str">
        <f t="shared" si="161"/>
        <v>June</v>
      </c>
      <c r="C3422" s="46" t="s">
        <v>280</v>
      </c>
      <c r="F3422" s="366" t="s">
        <v>2030</v>
      </c>
      <c r="G3422" s="46" t="s">
        <v>17</v>
      </c>
      <c r="H3422" s="46">
        <v>1</v>
      </c>
      <c r="I3422" s="51">
        <v>4622.28</v>
      </c>
      <c r="J3422" s="281">
        <f>++Tabla4[[#This Row],[Precio Bruto]]*1.16</f>
        <v>5361.8447999999989</v>
      </c>
      <c r="K3422" s="281">
        <f>+Tabla4[[#This Row],[Precio Unitario Neto]]*Tabla4[[#Headers],[20.85%]]</f>
        <v>1117.9446407999997</v>
      </c>
      <c r="L3422" s="282">
        <f>++Tabla4[[#This Row],[Precio Unitario Neto]]-Tabla4[[#This Row],[20.85%]]</f>
        <v>4243.9001591999995</v>
      </c>
      <c r="M3422" s="282" t="e">
        <f>(INDEX(Tabla6[#All],MATCH(Tabla4[[#This Row],[Producto]],Tabla6[[#All],[PRODUCTO]],0),MATCH(Tabla4[[#This Row],[Mes]],Tabla6[#Headers],0)))*(1+Catalogos!$L$2)</f>
        <v>#N/A</v>
      </c>
      <c r="N3422" s="283" t="e">
        <f>+(Tabla4[[#This Row],[Precio Descontado]]-Tabla4[[#This Row],[Precio Base]])*Tabla4[[#This Row],[Cantidad]]</f>
        <v>#N/A</v>
      </c>
      <c r="O3422" s="284" t="e">
        <f>++Tabla4[[#This Row],[Utilidad Total]]/Tabla4[[#This Row],[Total]]</f>
        <v>#N/A</v>
      </c>
      <c r="P3422" s="282">
        <f>++Tabla4[[#This Row],[Precio Descontado]]*Tabla4[[#This Row],[Cantidad]]</f>
        <v>4243.9001591999995</v>
      </c>
      <c r="Q3422" s="282" t="e">
        <f>(INDEX(Tabla6[#All],MATCH(Tabla4[[#This Row],[Producto]],Tabla6[[#All],[PRODUCTO]],0),MATCH(Tabla4[[#This Row],[Mes]],Tabla6[#Headers],0)))</f>
        <v>#N/A</v>
      </c>
      <c r="R3422" s="282" t="e">
        <f>++Tabla4[[#This Row],[Precio Unitario Neto]]-Tabla4[[#This Row],[20.85%]]-Tabla4[[#This Row],[Costo]]</f>
        <v>#N/A</v>
      </c>
      <c r="S3422" s="282" t="e">
        <f>++Tabla4[[#This Row],[U. Bruta Uni]]*Tabla4[[#This Row],[Cantidad]]</f>
        <v>#N/A</v>
      </c>
      <c r="T3422" s="369" t="str">
        <f>VLOOKUP(Tabla4[[#This Row],[Producto]],Tabla6[#All],14,FALSE)</f>
        <v>Termico Solar</v>
      </c>
      <c r="U3422" s="284" t="e">
        <f>(IF(Tabla4[[#This Row],[Familia]]="termico solar",Tabla4[[#This Row],[Utilidad Total]]*6%,Tabla4[[#This Row],[Utilidad Total]]*11.5%))/Tabla4[[#This Row],[Total]]</f>
        <v>#N/A</v>
      </c>
      <c r="V3422" s="282" t="e">
        <f>+Tabla4[[#This Row],[Comisión Calculada]]*Tabla4[[#This Row],[Total]]</f>
        <v>#N/A</v>
      </c>
    </row>
    <row r="3423" spans="1:22" hidden="1" x14ac:dyDescent="0.25">
      <c r="A3423" s="100">
        <v>45823</v>
      </c>
      <c r="B3423" t="str">
        <f t="shared" si="161"/>
        <v>June</v>
      </c>
      <c r="C3423" s="46" t="s">
        <v>280</v>
      </c>
      <c r="F3423" s="366" t="s">
        <v>2030</v>
      </c>
      <c r="G3423" s="46" t="s">
        <v>18</v>
      </c>
      <c r="H3423" s="46">
        <v>3</v>
      </c>
      <c r="I3423" s="51">
        <v>5367.6500000000005</v>
      </c>
      <c r="J3423" s="281">
        <f>++Tabla4[[#This Row],[Precio Bruto]]*1.16</f>
        <v>6226.4740000000002</v>
      </c>
      <c r="K3423" s="281">
        <f>+Tabla4[[#This Row],[Precio Unitario Neto]]*Tabla4[[#Headers],[20.85%]]</f>
        <v>1298.2198289999999</v>
      </c>
      <c r="L3423" s="282">
        <f>++Tabla4[[#This Row],[Precio Unitario Neto]]-Tabla4[[#This Row],[20.85%]]</f>
        <v>4928.2541710000005</v>
      </c>
      <c r="M3423" s="282" t="e">
        <f>(INDEX(Tabla6[#All],MATCH(Tabla4[[#This Row],[Producto]],Tabla6[[#All],[PRODUCTO]],0),MATCH(Tabla4[[#This Row],[Mes]],Tabla6[#Headers],0)))*(1+Catalogos!$L$2)</f>
        <v>#N/A</v>
      </c>
      <c r="N3423" s="283" t="e">
        <f>+(Tabla4[[#This Row],[Precio Descontado]]-Tabla4[[#This Row],[Precio Base]])*Tabla4[[#This Row],[Cantidad]]</f>
        <v>#N/A</v>
      </c>
      <c r="O3423" s="284" t="e">
        <f>++Tabla4[[#This Row],[Utilidad Total]]/Tabla4[[#This Row],[Total]]</f>
        <v>#N/A</v>
      </c>
      <c r="P3423" s="282">
        <f>++Tabla4[[#This Row],[Precio Descontado]]*Tabla4[[#This Row],[Cantidad]]</f>
        <v>14784.762513000001</v>
      </c>
      <c r="Q3423" s="282" t="e">
        <f>(INDEX(Tabla6[#All],MATCH(Tabla4[[#This Row],[Producto]],Tabla6[[#All],[PRODUCTO]],0),MATCH(Tabla4[[#This Row],[Mes]],Tabla6[#Headers],0)))</f>
        <v>#N/A</v>
      </c>
      <c r="R3423" s="282" t="e">
        <f>++Tabla4[[#This Row],[Precio Unitario Neto]]-Tabla4[[#This Row],[20.85%]]-Tabla4[[#This Row],[Costo]]</f>
        <v>#N/A</v>
      </c>
      <c r="S3423" s="282" t="e">
        <f>++Tabla4[[#This Row],[U. Bruta Uni]]*Tabla4[[#This Row],[Cantidad]]</f>
        <v>#N/A</v>
      </c>
      <c r="T3423" s="369" t="str">
        <f>VLOOKUP(Tabla4[[#This Row],[Producto]],Tabla6[#All],14,FALSE)</f>
        <v>Termico Solar</v>
      </c>
      <c r="U3423" s="284" t="e">
        <f>(IF(Tabla4[[#This Row],[Familia]]="termico solar",Tabla4[[#This Row],[Utilidad Total]]*6%,Tabla4[[#This Row],[Utilidad Total]]*11.5%))/Tabla4[[#This Row],[Total]]</f>
        <v>#N/A</v>
      </c>
      <c r="V3423" s="282" t="e">
        <f>+Tabla4[[#This Row],[Comisión Calculada]]*Tabla4[[#This Row],[Total]]</f>
        <v>#N/A</v>
      </c>
    </row>
    <row r="3424" spans="1:22" hidden="1" x14ac:dyDescent="0.25">
      <c r="A3424" s="100">
        <v>45823</v>
      </c>
      <c r="B3424" t="str">
        <f t="shared" si="161"/>
        <v>June</v>
      </c>
      <c r="C3424" s="46" t="s">
        <v>280</v>
      </c>
      <c r="F3424" s="366" t="s">
        <v>2030</v>
      </c>
      <c r="G3424" s="46" t="s">
        <v>208</v>
      </c>
      <c r="H3424" s="46">
        <v>1</v>
      </c>
      <c r="I3424" s="51">
        <v>189.75</v>
      </c>
      <c r="J3424" s="281">
        <f>++Tabla4[[#This Row],[Precio Bruto]]*1.16</f>
        <v>220.10999999999999</v>
      </c>
      <c r="K3424" s="281">
        <f>+Tabla4[[#This Row],[Precio Unitario Neto]]*Tabla4[[#Headers],[20.85%]]</f>
        <v>45.892934999999994</v>
      </c>
      <c r="L3424" s="282">
        <f>++Tabla4[[#This Row],[Precio Unitario Neto]]-Tabla4[[#This Row],[20.85%]]</f>
        <v>174.21706499999999</v>
      </c>
      <c r="M3424" s="282" t="e">
        <f>(INDEX(Tabla6[#All],MATCH(Tabla4[[#This Row],[Producto]],Tabla6[[#All],[PRODUCTO]],0),MATCH(Tabla4[[#This Row],[Mes]],Tabla6[#Headers],0)))*(1+Catalogos!$L$2)</f>
        <v>#N/A</v>
      </c>
      <c r="N3424" s="283" t="e">
        <f>+(Tabla4[[#This Row],[Precio Descontado]]-Tabla4[[#This Row],[Precio Base]])*Tabla4[[#This Row],[Cantidad]]</f>
        <v>#N/A</v>
      </c>
      <c r="O3424" s="284" t="e">
        <f>++Tabla4[[#This Row],[Utilidad Total]]/Tabla4[[#This Row],[Total]]</f>
        <v>#N/A</v>
      </c>
      <c r="P3424" s="282">
        <f>++Tabla4[[#This Row],[Precio Descontado]]*Tabla4[[#This Row],[Cantidad]]</f>
        <v>174.21706499999999</v>
      </c>
      <c r="Q3424" s="282" t="e">
        <f>(INDEX(Tabla6[#All],MATCH(Tabla4[[#This Row],[Producto]],Tabla6[[#All],[PRODUCTO]],0),MATCH(Tabla4[[#This Row],[Mes]],Tabla6[#Headers],0)))</f>
        <v>#N/A</v>
      </c>
      <c r="R3424" s="282" t="e">
        <f>++Tabla4[[#This Row],[Precio Unitario Neto]]-Tabla4[[#This Row],[20.85%]]-Tabla4[[#This Row],[Costo]]</f>
        <v>#N/A</v>
      </c>
      <c r="S3424" s="282" t="e">
        <f>++Tabla4[[#This Row],[U. Bruta Uni]]*Tabla4[[#This Row],[Cantidad]]</f>
        <v>#N/A</v>
      </c>
      <c r="T3424" s="369" t="str">
        <f>VLOOKUP(Tabla4[[#This Row],[Producto]],Tabla6[#All],14,FALSE)</f>
        <v>Termico Solar</v>
      </c>
      <c r="U3424" s="284" t="e">
        <f>(IF(Tabla4[[#This Row],[Familia]]="termico solar",Tabla4[[#This Row],[Utilidad Total]]*6%,Tabla4[[#This Row],[Utilidad Total]]*11.5%))/Tabla4[[#This Row],[Total]]</f>
        <v>#N/A</v>
      </c>
      <c r="V3424" s="282" t="e">
        <f>+Tabla4[[#This Row],[Comisión Calculada]]*Tabla4[[#This Row],[Total]]</f>
        <v>#N/A</v>
      </c>
    </row>
    <row r="3425" spans="1:22" hidden="1" x14ac:dyDescent="0.25">
      <c r="A3425" s="100">
        <v>45823</v>
      </c>
      <c r="B3425" t="str">
        <f t="shared" si="161"/>
        <v>June</v>
      </c>
      <c r="C3425" s="46" t="s">
        <v>280</v>
      </c>
      <c r="F3425" s="366" t="s">
        <v>2031</v>
      </c>
      <c r="G3425" s="46" t="s">
        <v>83</v>
      </c>
      <c r="H3425" s="46">
        <v>3</v>
      </c>
      <c r="I3425" s="51">
        <v>8858.76</v>
      </c>
      <c r="J3425" s="281">
        <f>++Tabla4[[#This Row],[Precio Bruto]]*1.16</f>
        <v>10276.161599999999</v>
      </c>
      <c r="K3425" s="281">
        <f>+Tabla4[[#This Row],[Precio Unitario Neto]]*Tabla4[[#Headers],[20.85%]]</f>
        <v>2142.5796935999997</v>
      </c>
      <c r="L3425" s="282">
        <f>++Tabla4[[#This Row],[Precio Unitario Neto]]-Tabla4[[#This Row],[20.85%]]</f>
        <v>8133.5819063999998</v>
      </c>
      <c r="M3425" s="282" t="e">
        <f>(INDEX(Tabla6[#All],MATCH(Tabla4[[#This Row],[Producto]],Tabla6[[#All],[PRODUCTO]],0),MATCH(Tabla4[[#This Row],[Mes]],Tabla6[#Headers],0)))*(1+Catalogos!$L$2)</f>
        <v>#N/A</v>
      </c>
      <c r="N3425" s="283" t="e">
        <f>+(Tabla4[[#This Row],[Precio Descontado]]-Tabla4[[#This Row],[Precio Base]])*Tabla4[[#This Row],[Cantidad]]</f>
        <v>#N/A</v>
      </c>
      <c r="O3425" s="284" t="e">
        <f>++Tabla4[[#This Row],[Utilidad Total]]/Tabla4[[#This Row],[Total]]</f>
        <v>#N/A</v>
      </c>
      <c r="P3425" s="282">
        <f>++Tabla4[[#This Row],[Precio Descontado]]*Tabla4[[#This Row],[Cantidad]]</f>
        <v>24400.7457192</v>
      </c>
      <c r="Q3425" s="282" t="e">
        <f>(INDEX(Tabla6[#All],MATCH(Tabla4[[#This Row],[Producto]],Tabla6[[#All],[PRODUCTO]],0),MATCH(Tabla4[[#This Row],[Mes]],Tabla6[#Headers],0)))</f>
        <v>#N/A</v>
      </c>
      <c r="R3425" s="282" t="e">
        <f>++Tabla4[[#This Row],[Precio Unitario Neto]]-Tabla4[[#This Row],[20.85%]]-Tabla4[[#This Row],[Costo]]</f>
        <v>#N/A</v>
      </c>
      <c r="S3425" s="282" t="e">
        <f>++Tabla4[[#This Row],[U. Bruta Uni]]*Tabla4[[#This Row],[Cantidad]]</f>
        <v>#N/A</v>
      </c>
      <c r="T3425" s="369" t="str">
        <f>VLOOKUP(Tabla4[[#This Row],[Producto]],Tabla6[#All],14,FALSE)</f>
        <v>Termico Solar</v>
      </c>
      <c r="U3425" s="284" t="e">
        <f>(IF(Tabla4[[#This Row],[Familia]]="termico solar",Tabla4[[#This Row],[Utilidad Total]]*6%,Tabla4[[#This Row],[Utilidad Total]]*11.5%))/Tabla4[[#This Row],[Total]]</f>
        <v>#N/A</v>
      </c>
      <c r="V3425" s="282" t="e">
        <f>+Tabla4[[#This Row],[Comisión Calculada]]*Tabla4[[#This Row],[Total]]</f>
        <v>#N/A</v>
      </c>
    </row>
    <row r="3426" spans="1:22" hidden="1" x14ac:dyDescent="0.25">
      <c r="A3426" s="100">
        <v>45823</v>
      </c>
      <c r="B3426" t="str">
        <f t="shared" si="161"/>
        <v>June</v>
      </c>
      <c r="C3426" s="46" t="s">
        <v>280</v>
      </c>
      <c r="F3426" s="366" t="s">
        <v>2031</v>
      </c>
      <c r="G3426" s="46" t="s">
        <v>566</v>
      </c>
      <c r="H3426" s="46">
        <v>1</v>
      </c>
      <c r="I3426" s="51">
        <v>2109.4499999999998</v>
      </c>
      <c r="J3426" s="281">
        <f>++Tabla4[[#This Row],[Precio Bruto]]*1.16</f>
        <v>2446.9619999999995</v>
      </c>
      <c r="K3426" s="281">
        <f>+Tabla4[[#This Row],[Precio Unitario Neto]]*Tabla4[[#Headers],[20.85%]]</f>
        <v>510.19157699999988</v>
      </c>
      <c r="L3426" s="282">
        <f>++Tabla4[[#This Row],[Precio Unitario Neto]]-Tabla4[[#This Row],[20.85%]]</f>
        <v>1936.7704229999997</v>
      </c>
      <c r="M3426" s="282" t="e">
        <f>(INDEX(Tabla6[#All],MATCH(Tabla4[[#This Row],[Producto]],Tabla6[[#All],[PRODUCTO]],0),MATCH(Tabla4[[#This Row],[Mes]],Tabla6[#Headers],0)))*(1+Catalogos!$L$2)</f>
        <v>#N/A</v>
      </c>
      <c r="N3426" s="283" t="e">
        <f>+(Tabla4[[#This Row],[Precio Descontado]]-Tabla4[[#This Row],[Precio Base]])*Tabla4[[#This Row],[Cantidad]]</f>
        <v>#N/A</v>
      </c>
      <c r="O3426" s="284" t="e">
        <f>++Tabla4[[#This Row],[Utilidad Total]]/Tabla4[[#This Row],[Total]]</f>
        <v>#N/A</v>
      </c>
      <c r="P3426" s="282">
        <f>++Tabla4[[#This Row],[Precio Descontado]]*Tabla4[[#This Row],[Cantidad]]</f>
        <v>1936.7704229999997</v>
      </c>
      <c r="Q3426" s="282" t="e">
        <f>(INDEX(Tabla6[#All],MATCH(Tabla4[[#This Row],[Producto]],Tabla6[[#All],[PRODUCTO]],0),MATCH(Tabla4[[#This Row],[Mes]],Tabla6[#Headers],0)))</f>
        <v>#N/A</v>
      </c>
      <c r="R3426" s="282" t="e">
        <f>++Tabla4[[#This Row],[Precio Unitario Neto]]-Tabla4[[#This Row],[20.85%]]-Tabla4[[#This Row],[Costo]]</f>
        <v>#N/A</v>
      </c>
      <c r="S3426" s="282" t="e">
        <f>++Tabla4[[#This Row],[U. Bruta Uni]]*Tabla4[[#This Row],[Cantidad]]</f>
        <v>#N/A</v>
      </c>
      <c r="T3426" s="369" t="str">
        <f>VLOOKUP(Tabla4[[#This Row],[Producto]],Tabla6[#All],14,FALSE)</f>
        <v>Termico Solar</v>
      </c>
      <c r="U3426" s="284" t="e">
        <f>(IF(Tabla4[[#This Row],[Familia]]="termico solar",Tabla4[[#This Row],[Utilidad Total]]*6%,Tabla4[[#This Row],[Utilidad Total]]*11.5%))/Tabla4[[#This Row],[Total]]</f>
        <v>#N/A</v>
      </c>
      <c r="V3426" s="282" t="e">
        <f>+Tabla4[[#This Row],[Comisión Calculada]]*Tabla4[[#This Row],[Total]]</f>
        <v>#N/A</v>
      </c>
    </row>
    <row r="3427" spans="1:22" hidden="1" x14ac:dyDescent="0.25">
      <c r="A3427" s="100">
        <v>45823</v>
      </c>
      <c r="B3427" t="str">
        <f t="shared" si="161"/>
        <v>June</v>
      </c>
      <c r="C3427" s="46" t="s">
        <v>280</v>
      </c>
      <c r="F3427" s="366" t="s">
        <v>2031</v>
      </c>
      <c r="G3427" s="46" t="s">
        <v>208</v>
      </c>
      <c r="H3427" s="46">
        <v>1</v>
      </c>
      <c r="I3427" s="51">
        <v>189.75</v>
      </c>
      <c r="J3427" s="281">
        <f>++Tabla4[[#This Row],[Precio Bruto]]*1.16</f>
        <v>220.10999999999999</v>
      </c>
      <c r="K3427" s="281">
        <f>+Tabla4[[#This Row],[Precio Unitario Neto]]*Tabla4[[#Headers],[20.85%]]</f>
        <v>45.892934999999994</v>
      </c>
      <c r="L3427" s="282">
        <f>++Tabla4[[#This Row],[Precio Unitario Neto]]-Tabla4[[#This Row],[20.85%]]</f>
        <v>174.21706499999999</v>
      </c>
      <c r="M3427" s="282" t="e">
        <f>(INDEX(Tabla6[#All],MATCH(Tabla4[[#This Row],[Producto]],Tabla6[[#All],[PRODUCTO]],0),MATCH(Tabla4[[#This Row],[Mes]],Tabla6[#Headers],0)))*(1+Catalogos!$L$2)</f>
        <v>#N/A</v>
      </c>
      <c r="N3427" s="283" t="e">
        <f>+(Tabla4[[#This Row],[Precio Descontado]]-Tabla4[[#This Row],[Precio Base]])*Tabla4[[#This Row],[Cantidad]]</f>
        <v>#N/A</v>
      </c>
      <c r="O3427" s="284" t="e">
        <f>++Tabla4[[#This Row],[Utilidad Total]]/Tabla4[[#This Row],[Total]]</f>
        <v>#N/A</v>
      </c>
      <c r="P3427" s="282">
        <f>++Tabla4[[#This Row],[Precio Descontado]]*Tabla4[[#This Row],[Cantidad]]</f>
        <v>174.21706499999999</v>
      </c>
      <c r="Q3427" s="282" t="e">
        <f>(INDEX(Tabla6[#All],MATCH(Tabla4[[#This Row],[Producto]],Tabla6[[#All],[PRODUCTO]],0),MATCH(Tabla4[[#This Row],[Mes]],Tabla6[#Headers],0)))</f>
        <v>#N/A</v>
      </c>
      <c r="R3427" s="282" t="e">
        <f>++Tabla4[[#This Row],[Precio Unitario Neto]]-Tabla4[[#This Row],[20.85%]]-Tabla4[[#This Row],[Costo]]</f>
        <v>#N/A</v>
      </c>
      <c r="S3427" s="282" t="e">
        <f>++Tabla4[[#This Row],[U. Bruta Uni]]*Tabla4[[#This Row],[Cantidad]]</f>
        <v>#N/A</v>
      </c>
      <c r="T3427" s="369" t="str">
        <f>VLOOKUP(Tabla4[[#This Row],[Producto]],Tabla6[#All],14,FALSE)</f>
        <v>Termico Solar</v>
      </c>
      <c r="U3427" s="284" t="e">
        <f>(IF(Tabla4[[#This Row],[Familia]]="termico solar",Tabla4[[#This Row],[Utilidad Total]]*6%,Tabla4[[#This Row],[Utilidad Total]]*11.5%))/Tabla4[[#This Row],[Total]]</f>
        <v>#N/A</v>
      </c>
      <c r="V3427" s="282" t="e">
        <f>+Tabla4[[#This Row],[Comisión Calculada]]*Tabla4[[#This Row],[Total]]</f>
        <v>#N/A</v>
      </c>
    </row>
    <row r="3428" spans="1:22" hidden="1" x14ac:dyDescent="0.25">
      <c r="A3428" s="100">
        <v>45823</v>
      </c>
      <c r="B3428" t="str">
        <f t="shared" si="161"/>
        <v>June</v>
      </c>
      <c r="C3428" s="46" t="s">
        <v>280</v>
      </c>
      <c r="F3428" s="366" t="s">
        <v>2032</v>
      </c>
      <c r="G3428" s="46" t="s">
        <v>83</v>
      </c>
      <c r="H3428" s="46">
        <v>1</v>
      </c>
      <c r="I3428" s="51">
        <v>8858.76</v>
      </c>
      <c r="J3428" s="281">
        <f>++Tabla4[[#This Row],[Precio Bruto]]*1.16</f>
        <v>10276.161599999999</v>
      </c>
      <c r="K3428" s="281">
        <f>+Tabla4[[#This Row],[Precio Unitario Neto]]*Tabla4[[#Headers],[20.85%]]</f>
        <v>2142.5796935999997</v>
      </c>
      <c r="L3428" s="282">
        <f>++Tabla4[[#This Row],[Precio Unitario Neto]]-Tabla4[[#This Row],[20.85%]]</f>
        <v>8133.5819063999998</v>
      </c>
      <c r="M3428" s="282" t="e">
        <f>(INDEX(Tabla6[#All],MATCH(Tabla4[[#This Row],[Producto]],Tabla6[[#All],[PRODUCTO]],0),MATCH(Tabla4[[#This Row],[Mes]],Tabla6[#Headers],0)))*(1+Catalogos!$L$2)</f>
        <v>#N/A</v>
      </c>
      <c r="N3428" s="283" t="e">
        <f>+(Tabla4[[#This Row],[Precio Descontado]]-Tabla4[[#This Row],[Precio Base]])*Tabla4[[#This Row],[Cantidad]]</f>
        <v>#N/A</v>
      </c>
      <c r="O3428" s="284" t="e">
        <f>++Tabla4[[#This Row],[Utilidad Total]]/Tabla4[[#This Row],[Total]]</f>
        <v>#N/A</v>
      </c>
      <c r="P3428" s="282">
        <f>++Tabla4[[#This Row],[Precio Descontado]]*Tabla4[[#This Row],[Cantidad]]</f>
        <v>8133.5819063999998</v>
      </c>
      <c r="Q3428" s="282" t="e">
        <f>(INDEX(Tabla6[#All],MATCH(Tabla4[[#This Row],[Producto]],Tabla6[[#All],[PRODUCTO]],0),MATCH(Tabla4[[#This Row],[Mes]],Tabla6[#Headers],0)))</f>
        <v>#N/A</v>
      </c>
      <c r="R3428" s="282" t="e">
        <f>++Tabla4[[#This Row],[Precio Unitario Neto]]-Tabla4[[#This Row],[20.85%]]-Tabla4[[#This Row],[Costo]]</f>
        <v>#N/A</v>
      </c>
      <c r="S3428" s="282" t="e">
        <f>++Tabla4[[#This Row],[U. Bruta Uni]]*Tabla4[[#This Row],[Cantidad]]</f>
        <v>#N/A</v>
      </c>
      <c r="T3428" s="369" t="str">
        <f>VLOOKUP(Tabla4[[#This Row],[Producto]],Tabla6[#All],14,FALSE)</f>
        <v>Termico Solar</v>
      </c>
      <c r="U3428" s="284" t="e">
        <f>(IF(Tabla4[[#This Row],[Familia]]="termico solar",Tabla4[[#This Row],[Utilidad Total]]*6%,Tabla4[[#This Row],[Utilidad Total]]*11.5%))/Tabla4[[#This Row],[Total]]</f>
        <v>#N/A</v>
      </c>
      <c r="V3428" s="282" t="e">
        <f>+Tabla4[[#This Row],[Comisión Calculada]]*Tabla4[[#This Row],[Total]]</f>
        <v>#N/A</v>
      </c>
    </row>
    <row r="3429" spans="1:22" hidden="1" x14ac:dyDescent="0.25">
      <c r="A3429" s="100">
        <v>45823</v>
      </c>
      <c r="B3429" t="str">
        <f t="shared" si="161"/>
        <v>June</v>
      </c>
      <c r="C3429" s="46" t="s">
        <v>280</v>
      </c>
      <c r="F3429" s="366" t="s">
        <v>2033</v>
      </c>
      <c r="G3429" s="46" t="s">
        <v>83</v>
      </c>
      <c r="H3429" s="46">
        <v>2</v>
      </c>
      <c r="I3429" s="51">
        <v>8858.76</v>
      </c>
      <c r="J3429" s="281">
        <f>++Tabla4[[#This Row],[Precio Bruto]]*1.16</f>
        <v>10276.161599999999</v>
      </c>
      <c r="K3429" s="281">
        <f>+Tabla4[[#This Row],[Precio Unitario Neto]]*Tabla4[[#Headers],[20.85%]]</f>
        <v>2142.5796935999997</v>
      </c>
      <c r="L3429" s="282">
        <f>++Tabla4[[#This Row],[Precio Unitario Neto]]-Tabla4[[#This Row],[20.85%]]</f>
        <v>8133.5819063999998</v>
      </c>
      <c r="M3429" s="282" t="e">
        <f>(INDEX(Tabla6[#All],MATCH(Tabla4[[#This Row],[Producto]],Tabla6[[#All],[PRODUCTO]],0),MATCH(Tabla4[[#This Row],[Mes]],Tabla6[#Headers],0)))*(1+Catalogos!$L$2)</f>
        <v>#N/A</v>
      </c>
      <c r="N3429" s="283" t="e">
        <f>+(Tabla4[[#This Row],[Precio Descontado]]-Tabla4[[#This Row],[Precio Base]])*Tabla4[[#This Row],[Cantidad]]</f>
        <v>#N/A</v>
      </c>
      <c r="O3429" s="284" t="e">
        <f>++Tabla4[[#This Row],[Utilidad Total]]/Tabla4[[#This Row],[Total]]</f>
        <v>#N/A</v>
      </c>
      <c r="P3429" s="282">
        <f>++Tabla4[[#This Row],[Precio Descontado]]*Tabla4[[#This Row],[Cantidad]]</f>
        <v>16267.1638128</v>
      </c>
      <c r="Q3429" s="282" t="e">
        <f>(INDEX(Tabla6[#All],MATCH(Tabla4[[#This Row],[Producto]],Tabla6[[#All],[PRODUCTO]],0),MATCH(Tabla4[[#This Row],[Mes]],Tabla6[#Headers],0)))</f>
        <v>#N/A</v>
      </c>
      <c r="R3429" s="282" t="e">
        <f>++Tabla4[[#This Row],[Precio Unitario Neto]]-Tabla4[[#This Row],[20.85%]]-Tabla4[[#This Row],[Costo]]</f>
        <v>#N/A</v>
      </c>
      <c r="S3429" s="282" t="e">
        <f>++Tabla4[[#This Row],[U. Bruta Uni]]*Tabla4[[#This Row],[Cantidad]]</f>
        <v>#N/A</v>
      </c>
      <c r="T3429" s="369" t="str">
        <f>VLOOKUP(Tabla4[[#This Row],[Producto]],Tabla6[#All],14,FALSE)</f>
        <v>Termico Solar</v>
      </c>
      <c r="U3429" s="284" t="e">
        <f>(IF(Tabla4[[#This Row],[Familia]]="termico solar",Tabla4[[#This Row],[Utilidad Total]]*6%,Tabla4[[#This Row],[Utilidad Total]]*11.5%))/Tabla4[[#This Row],[Total]]</f>
        <v>#N/A</v>
      </c>
      <c r="V3429" s="282" t="e">
        <f>+Tabla4[[#This Row],[Comisión Calculada]]*Tabla4[[#This Row],[Total]]</f>
        <v>#N/A</v>
      </c>
    </row>
    <row r="3430" spans="1:22" hidden="1" x14ac:dyDescent="0.25">
      <c r="A3430" s="100">
        <v>45823</v>
      </c>
      <c r="B3430" t="str">
        <f t="shared" si="161"/>
        <v>June</v>
      </c>
      <c r="C3430" s="46" t="s">
        <v>280</v>
      </c>
      <c r="F3430" s="366" t="s">
        <v>2034</v>
      </c>
      <c r="G3430" s="46" t="s">
        <v>83</v>
      </c>
      <c r="H3430" s="46">
        <v>4</v>
      </c>
      <c r="I3430" s="51">
        <v>8858.76</v>
      </c>
      <c r="J3430" s="281">
        <f>++Tabla4[[#This Row],[Precio Bruto]]*1.16</f>
        <v>10276.161599999999</v>
      </c>
      <c r="K3430" s="281">
        <f>+Tabla4[[#This Row],[Precio Unitario Neto]]*Tabla4[[#Headers],[20.85%]]</f>
        <v>2142.5796935999997</v>
      </c>
      <c r="L3430" s="282">
        <f>++Tabla4[[#This Row],[Precio Unitario Neto]]-Tabla4[[#This Row],[20.85%]]</f>
        <v>8133.5819063999998</v>
      </c>
      <c r="M3430" s="282" t="e">
        <f>(INDEX(Tabla6[#All],MATCH(Tabla4[[#This Row],[Producto]],Tabla6[[#All],[PRODUCTO]],0),MATCH(Tabla4[[#This Row],[Mes]],Tabla6[#Headers],0)))*(1+Catalogos!$L$2)</f>
        <v>#N/A</v>
      </c>
      <c r="N3430" s="283" t="e">
        <f>+(Tabla4[[#This Row],[Precio Descontado]]-Tabla4[[#This Row],[Precio Base]])*Tabla4[[#This Row],[Cantidad]]</f>
        <v>#N/A</v>
      </c>
      <c r="O3430" s="284" t="e">
        <f>++Tabla4[[#This Row],[Utilidad Total]]/Tabla4[[#This Row],[Total]]</f>
        <v>#N/A</v>
      </c>
      <c r="P3430" s="282">
        <f>++Tabla4[[#This Row],[Precio Descontado]]*Tabla4[[#This Row],[Cantidad]]</f>
        <v>32534.327625599999</v>
      </c>
      <c r="Q3430" s="282" t="e">
        <f>(INDEX(Tabla6[#All],MATCH(Tabla4[[#This Row],[Producto]],Tabla6[[#All],[PRODUCTO]],0),MATCH(Tabla4[[#This Row],[Mes]],Tabla6[#Headers],0)))</f>
        <v>#N/A</v>
      </c>
      <c r="R3430" s="282" t="e">
        <f>++Tabla4[[#This Row],[Precio Unitario Neto]]-Tabla4[[#This Row],[20.85%]]-Tabla4[[#This Row],[Costo]]</f>
        <v>#N/A</v>
      </c>
      <c r="S3430" s="282" t="e">
        <f>++Tabla4[[#This Row],[U. Bruta Uni]]*Tabla4[[#This Row],[Cantidad]]</f>
        <v>#N/A</v>
      </c>
      <c r="T3430" s="369" t="str">
        <f>VLOOKUP(Tabla4[[#This Row],[Producto]],Tabla6[#All],14,FALSE)</f>
        <v>Termico Solar</v>
      </c>
      <c r="U3430" s="284" t="e">
        <f>(IF(Tabla4[[#This Row],[Familia]]="termico solar",Tabla4[[#This Row],[Utilidad Total]]*6%,Tabla4[[#This Row],[Utilidad Total]]*11.5%))/Tabla4[[#This Row],[Total]]</f>
        <v>#N/A</v>
      </c>
      <c r="V3430" s="282" t="e">
        <f>+Tabla4[[#This Row],[Comisión Calculada]]*Tabla4[[#This Row],[Total]]</f>
        <v>#N/A</v>
      </c>
    </row>
    <row r="3431" spans="1:22" hidden="1" x14ac:dyDescent="0.25">
      <c r="A3431" s="100">
        <v>45823</v>
      </c>
      <c r="B3431" t="str">
        <f t="shared" si="161"/>
        <v>June</v>
      </c>
      <c r="C3431" s="46" t="s">
        <v>280</v>
      </c>
      <c r="F3431" s="366" t="s">
        <v>2034</v>
      </c>
      <c r="G3431" s="46" t="s">
        <v>412</v>
      </c>
      <c r="H3431" s="46">
        <v>1</v>
      </c>
      <c r="I3431" s="51">
        <v>3240.84</v>
      </c>
      <c r="J3431" s="281">
        <f>++Tabla4[[#This Row],[Precio Bruto]]*1.16</f>
        <v>3759.3743999999997</v>
      </c>
      <c r="K3431" s="281">
        <f>+Tabla4[[#This Row],[Precio Unitario Neto]]*Tabla4[[#Headers],[20.85%]]</f>
        <v>783.82956239999987</v>
      </c>
      <c r="L3431" s="282">
        <f>++Tabla4[[#This Row],[Precio Unitario Neto]]-Tabla4[[#This Row],[20.85%]]</f>
        <v>2975.5448375999999</v>
      </c>
      <c r="M3431" s="282" t="e">
        <f>(INDEX(Tabla6[#All],MATCH(Tabla4[[#This Row],[Producto]],Tabla6[[#All],[PRODUCTO]],0),MATCH(Tabla4[[#This Row],[Mes]],Tabla6[#Headers],0)))*(1+Catalogos!$L$2)</f>
        <v>#N/A</v>
      </c>
      <c r="N3431" s="283" t="e">
        <f>+(Tabla4[[#This Row],[Precio Descontado]]-Tabla4[[#This Row],[Precio Base]])*Tabla4[[#This Row],[Cantidad]]</f>
        <v>#N/A</v>
      </c>
      <c r="O3431" s="284" t="e">
        <f>++Tabla4[[#This Row],[Utilidad Total]]/Tabla4[[#This Row],[Total]]</f>
        <v>#N/A</v>
      </c>
      <c r="P3431" s="282">
        <f>++Tabla4[[#This Row],[Precio Descontado]]*Tabla4[[#This Row],[Cantidad]]</f>
        <v>2975.5448375999999</v>
      </c>
      <c r="Q3431" s="282" t="e">
        <f>(INDEX(Tabla6[#All],MATCH(Tabla4[[#This Row],[Producto]],Tabla6[[#All],[PRODUCTO]],0),MATCH(Tabla4[[#This Row],[Mes]],Tabla6[#Headers],0)))</f>
        <v>#N/A</v>
      </c>
      <c r="R3431" s="282" t="e">
        <f>++Tabla4[[#This Row],[Precio Unitario Neto]]-Tabla4[[#This Row],[20.85%]]-Tabla4[[#This Row],[Costo]]</f>
        <v>#N/A</v>
      </c>
      <c r="S3431" s="282" t="e">
        <f>++Tabla4[[#This Row],[U. Bruta Uni]]*Tabla4[[#This Row],[Cantidad]]</f>
        <v>#N/A</v>
      </c>
      <c r="T3431" s="369" t="str">
        <f>VLOOKUP(Tabla4[[#This Row],[Producto]],Tabla6[#All],14,FALSE)</f>
        <v>Termico Solar</v>
      </c>
      <c r="U3431" s="284" t="e">
        <f>(IF(Tabla4[[#This Row],[Familia]]="termico solar",Tabla4[[#This Row],[Utilidad Total]]*6%,Tabla4[[#This Row],[Utilidad Total]]*11.5%))/Tabla4[[#This Row],[Total]]</f>
        <v>#N/A</v>
      </c>
      <c r="V3431" s="282" t="e">
        <f>+Tabla4[[#This Row],[Comisión Calculada]]*Tabla4[[#This Row],[Total]]</f>
        <v>#N/A</v>
      </c>
    </row>
    <row r="3432" spans="1:22" hidden="1" x14ac:dyDescent="0.25">
      <c r="A3432" s="100">
        <v>45823</v>
      </c>
      <c r="B3432" t="str">
        <f t="shared" si="161"/>
        <v>June</v>
      </c>
      <c r="C3432" s="46" t="s">
        <v>280</v>
      </c>
      <c r="F3432" s="366" t="s">
        <v>2035</v>
      </c>
      <c r="G3432" s="46" t="s">
        <v>17</v>
      </c>
      <c r="H3432" s="46">
        <v>3</v>
      </c>
      <c r="I3432" s="51">
        <v>4622.28</v>
      </c>
      <c r="J3432" s="281">
        <f>++Tabla4[[#This Row],[Precio Bruto]]*1.16</f>
        <v>5361.8447999999989</v>
      </c>
      <c r="K3432" s="281">
        <f>+Tabla4[[#This Row],[Precio Unitario Neto]]*Tabla4[[#Headers],[20.85%]]</f>
        <v>1117.9446407999997</v>
      </c>
      <c r="L3432" s="282">
        <f>++Tabla4[[#This Row],[Precio Unitario Neto]]-Tabla4[[#This Row],[20.85%]]</f>
        <v>4243.9001591999995</v>
      </c>
      <c r="M3432" s="282" t="e">
        <f>(INDEX(Tabla6[#All],MATCH(Tabla4[[#This Row],[Producto]],Tabla6[[#All],[PRODUCTO]],0),MATCH(Tabla4[[#This Row],[Mes]],Tabla6[#Headers],0)))*(1+Catalogos!$L$2)</f>
        <v>#N/A</v>
      </c>
      <c r="N3432" s="283" t="e">
        <f>+(Tabla4[[#This Row],[Precio Descontado]]-Tabla4[[#This Row],[Precio Base]])*Tabla4[[#This Row],[Cantidad]]</f>
        <v>#N/A</v>
      </c>
      <c r="O3432" s="284" t="e">
        <f>++Tabla4[[#This Row],[Utilidad Total]]/Tabla4[[#This Row],[Total]]</f>
        <v>#N/A</v>
      </c>
      <c r="P3432" s="282">
        <f>++Tabla4[[#This Row],[Precio Descontado]]*Tabla4[[#This Row],[Cantidad]]</f>
        <v>12731.700477599999</v>
      </c>
      <c r="Q3432" s="282" t="e">
        <f>(INDEX(Tabla6[#All],MATCH(Tabla4[[#This Row],[Producto]],Tabla6[[#All],[PRODUCTO]],0),MATCH(Tabla4[[#This Row],[Mes]],Tabla6[#Headers],0)))</f>
        <v>#N/A</v>
      </c>
      <c r="R3432" s="282" t="e">
        <f>++Tabla4[[#This Row],[Precio Unitario Neto]]-Tabla4[[#This Row],[20.85%]]-Tabla4[[#This Row],[Costo]]</f>
        <v>#N/A</v>
      </c>
      <c r="S3432" s="282" t="e">
        <f>++Tabla4[[#This Row],[U. Bruta Uni]]*Tabla4[[#This Row],[Cantidad]]</f>
        <v>#N/A</v>
      </c>
      <c r="T3432" s="369" t="str">
        <f>VLOOKUP(Tabla4[[#This Row],[Producto]],Tabla6[#All],14,FALSE)</f>
        <v>Termico Solar</v>
      </c>
      <c r="U3432" s="284" t="e">
        <f>(IF(Tabla4[[#This Row],[Familia]]="termico solar",Tabla4[[#This Row],[Utilidad Total]]*6%,Tabla4[[#This Row],[Utilidad Total]]*11.5%))/Tabla4[[#This Row],[Total]]</f>
        <v>#N/A</v>
      </c>
      <c r="V3432" s="282" t="e">
        <f>+Tabla4[[#This Row],[Comisión Calculada]]*Tabla4[[#This Row],[Total]]</f>
        <v>#N/A</v>
      </c>
    </row>
    <row r="3433" spans="1:22" hidden="1" x14ac:dyDescent="0.25">
      <c r="A3433" s="100">
        <v>45823</v>
      </c>
      <c r="B3433" t="str">
        <f t="shared" si="161"/>
        <v>June</v>
      </c>
      <c r="C3433" s="46" t="s">
        <v>280</v>
      </c>
      <c r="F3433" s="366" t="s">
        <v>2035</v>
      </c>
      <c r="G3433" s="46" t="s">
        <v>566</v>
      </c>
      <c r="H3433" s="46">
        <v>1</v>
      </c>
      <c r="I3433" s="51">
        <v>2109.4499999999998</v>
      </c>
      <c r="J3433" s="281">
        <f>++Tabla4[[#This Row],[Precio Bruto]]*1.16</f>
        <v>2446.9619999999995</v>
      </c>
      <c r="K3433" s="281">
        <f>+Tabla4[[#This Row],[Precio Unitario Neto]]*Tabla4[[#Headers],[20.85%]]</f>
        <v>510.19157699999988</v>
      </c>
      <c r="L3433" s="282">
        <f>++Tabla4[[#This Row],[Precio Unitario Neto]]-Tabla4[[#This Row],[20.85%]]</f>
        <v>1936.7704229999997</v>
      </c>
      <c r="M3433" s="282" t="e">
        <f>(INDEX(Tabla6[#All],MATCH(Tabla4[[#This Row],[Producto]],Tabla6[[#All],[PRODUCTO]],0),MATCH(Tabla4[[#This Row],[Mes]],Tabla6[#Headers],0)))*(1+Catalogos!$L$2)</f>
        <v>#N/A</v>
      </c>
      <c r="N3433" s="283" t="e">
        <f>+(Tabla4[[#This Row],[Precio Descontado]]-Tabla4[[#This Row],[Precio Base]])*Tabla4[[#This Row],[Cantidad]]</f>
        <v>#N/A</v>
      </c>
      <c r="O3433" s="284" t="e">
        <f>++Tabla4[[#This Row],[Utilidad Total]]/Tabla4[[#This Row],[Total]]</f>
        <v>#N/A</v>
      </c>
      <c r="P3433" s="282">
        <f>++Tabla4[[#This Row],[Precio Descontado]]*Tabla4[[#This Row],[Cantidad]]</f>
        <v>1936.7704229999997</v>
      </c>
      <c r="Q3433" s="282" t="e">
        <f>(INDEX(Tabla6[#All],MATCH(Tabla4[[#This Row],[Producto]],Tabla6[[#All],[PRODUCTO]],0),MATCH(Tabla4[[#This Row],[Mes]],Tabla6[#Headers],0)))</f>
        <v>#N/A</v>
      </c>
      <c r="R3433" s="282" t="e">
        <f>++Tabla4[[#This Row],[Precio Unitario Neto]]-Tabla4[[#This Row],[20.85%]]-Tabla4[[#This Row],[Costo]]</f>
        <v>#N/A</v>
      </c>
      <c r="S3433" s="282" t="e">
        <f>++Tabla4[[#This Row],[U. Bruta Uni]]*Tabla4[[#This Row],[Cantidad]]</f>
        <v>#N/A</v>
      </c>
      <c r="T3433" s="369" t="str">
        <f>VLOOKUP(Tabla4[[#This Row],[Producto]],Tabla6[#All],14,FALSE)</f>
        <v>Termico Solar</v>
      </c>
      <c r="U3433" s="284" t="e">
        <f>(IF(Tabla4[[#This Row],[Familia]]="termico solar",Tabla4[[#This Row],[Utilidad Total]]*6%,Tabla4[[#This Row],[Utilidad Total]]*11.5%))/Tabla4[[#This Row],[Total]]</f>
        <v>#N/A</v>
      </c>
      <c r="V3433" s="282" t="e">
        <f>+Tabla4[[#This Row],[Comisión Calculada]]*Tabla4[[#This Row],[Total]]</f>
        <v>#N/A</v>
      </c>
    </row>
    <row r="3434" spans="1:22" hidden="1" x14ac:dyDescent="0.25">
      <c r="A3434" s="100">
        <v>45823</v>
      </c>
      <c r="B3434" t="str">
        <f t="shared" si="161"/>
        <v>June</v>
      </c>
      <c r="C3434" s="46" t="s">
        <v>280</v>
      </c>
      <c r="F3434" s="366" t="s">
        <v>2036</v>
      </c>
      <c r="G3434" s="46" t="s">
        <v>18</v>
      </c>
      <c r="H3434" s="46">
        <v>1</v>
      </c>
      <c r="I3434" s="51">
        <v>5367.65</v>
      </c>
      <c r="J3434" s="281">
        <f>++Tabla4[[#This Row],[Precio Bruto]]*1.16</f>
        <v>6226.4739999999993</v>
      </c>
      <c r="K3434" s="281">
        <f>+Tabla4[[#This Row],[Precio Unitario Neto]]*Tabla4[[#Headers],[20.85%]]</f>
        <v>1298.2198289999999</v>
      </c>
      <c r="L3434" s="282">
        <f>++Tabla4[[#This Row],[Precio Unitario Neto]]-Tabla4[[#This Row],[20.85%]]</f>
        <v>4928.2541709999996</v>
      </c>
      <c r="M3434" s="282" t="e">
        <f>(INDEX(Tabla6[#All],MATCH(Tabla4[[#This Row],[Producto]],Tabla6[[#All],[PRODUCTO]],0),MATCH(Tabla4[[#This Row],[Mes]],Tabla6[#Headers],0)))*(1+Catalogos!$L$2)</f>
        <v>#N/A</v>
      </c>
      <c r="N3434" s="283" t="e">
        <f>+(Tabla4[[#This Row],[Precio Descontado]]-Tabla4[[#This Row],[Precio Base]])*Tabla4[[#This Row],[Cantidad]]</f>
        <v>#N/A</v>
      </c>
      <c r="O3434" s="284" t="e">
        <f>++Tabla4[[#This Row],[Utilidad Total]]/Tabla4[[#This Row],[Total]]</f>
        <v>#N/A</v>
      </c>
      <c r="P3434" s="282">
        <f>++Tabla4[[#This Row],[Precio Descontado]]*Tabla4[[#This Row],[Cantidad]]</f>
        <v>4928.2541709999996</v>
      </c>
      <c r="Q3434" s="282" t="e">
        <f>(INDEX(Tabla6[#All],MATCH(Tabla4[[#This Row],[Producto]],Tabla6[[#All],[PRODUCTO]],0),MATCH(Tabla4[[#This Row],[Mes]],Tabla6[#Headers],0)))</f>
        <v>#N/A</v>
      </c>
      <c r="R3434" s="282" t="e">
        <f>++Tabla4[[#This Row],[Precio Unitario Neto]]-Tabla4[[#This Row],[20.85%]]-Tabla4[[#This Row],[Costo]]</f>
        <v>#N/A</v>
      </c>
      <c r="S3434" s="282" t="e">
        <f>++Tabla4[[#This Row],[U. Bruta Uni]]*Tabla4[[#This Row],[Cantidad]]</f>
        <v>#N/A</v>
      </c>
      <c r="T3434" s="369" t="str">
        <f>VLOOKUP(Tabla4[[#This Row],[Producto]],Tabla6[#All],14,FALSE)</f>
        <v>Termico Solar</v>
      </c>
      <c r="U3434" s="284" t="e">
        <f>(IF(Tabla4[[#This Row],[Familia]]="termico solar",Tabla4[[#This Row],[Utilidad Total]]*6%,Tabla4[[#This Row],[Utilidad Total]]*11.5%))/Tabla4[[#This Row],[Total]]</f>
        <v>#N/A</v>
      </c>
      <c r="V3434" s="282" t="e">
        <f>+Tabla4[[#This Row],[Comisión Calculada]]*Tabla4[[#This Row],[Total]]</f>
        <v>#N/A</v>
      </c>
    </row>
    <row r="3435" spans="1:22" hidden="1" x14ac:dyDescent="0.25">
      <c r="A3435" s="100">
        <v>45823</v>
      </c>
      <c r="B3435" t="str">
        <f t="shared" si="161"/>
        <v>June</v>
      </c>
      <c r="C3435" s="46" t="s">
        <v>280</v>
      </c>
      <c r="F3435" s="366" t="s">
        <v>2036</v>
      </c>
      <c r="G3435" s="46" t="s">
        <v>394</v>
      </c>
      <c r="H3435" s="46">
        <v>16</v>
      </c>
      <c r="I3435" s="51">
        <v>224.29</v>
      </c>
      <c r="J3435" s="281">
        <f>++Tabla4[[#This Row],[Precio Bruto]]*1.16</f>
        <v>260.1764</v>
      </c>
      <c r="K3435" s="281">
        <f>+Tabla4[[#This Row],[Precio Unitario Neto]]*Tabla4[[#Headers],[20.85%]]</f>
        <v>54.246779400000001</v>
      </c>
      <c r="L3435" s="282">
        <f>++Tabla4[[#This Row],[Precio Unitario Neto]]-Tabla4[[#This Row],[20.85%]]</f>
        <v>205.92962059999999</v>
      </c>
      <c r="M3435" s="282" t="e">
        <f>(INDEX(Tabla6[#All],MATCH(Tabla4[[#This Row],[Producto]],Tabla6[[#All],[PRODUCTO]],0),MATCH(Tabla4[[#This Row],[Mes]],Tabla6[#Headers],0)))*(1+Catalogos!$L$2)</f>
        <v>#N/A</v>
      </c>
      <c r="N3435" s="283" t="e">
        <f>+(Tabla4[[#This Row],[Precio Descontado]]-Tabla4[[#This Row],[Precio Base]])*Tabla4[[#This Row],[Cantidad]]</f>
        <v>#N/A</v>
      </c>
      <c r="O3435" s="284" t="e">
        <f>++Tabla4[[#This Row],[Utilidad Total]]/Tabla4[[#This Row],[Total]]</f>
        <v>#N/A</v>
      </c>
      <c r="P3435" s="282">
        <f>++Tabla4[[#This Row],[Precio Descontado]]*Tabla4[[#This Row],[Cantidad]]</f>
        <v>3294.8739295999999</v>
      </c>
      <c r="Q3435" s="282" t="e">
        <f>(INDEX(Tabla6[#All],MATCH(Tabla4[[#This Row],[Producto]],Tabla6[[#All],[PRODUCTO]],0),MATCH(Tabla4[[#This Row],[Mes]],Tabla6[#Headers],0)))</f>
        <v>#N/A</v>
      </c>
      <c r="R3435" s="282" t="e">
        <f>++Tabla4[[#This Row],[Precio Unitario Neto]]-Tabla4[[#This Row],[20.85%]]-Tabla4[[#This Row],[Costo]]</f>
        <v>#N/A</v>
      </c>
      <c r="S3435" s="282" t="e">
        <f>++Tabla4[[#This Row],[U. Bruta Uni]]*Tabla4[[#This Row],[Cantidad]]</f>
        <v>#N/A</v>
      </c>
      <c r="T3435" s="369" t="str">
        <f>VLOOKUP(Tabla4[[#This Row],[Producto]],Tabla6[#All],14,FALSE)</f>
        <v>Termico Solar</v>
      </c>
      <c r="U3435" s="284" t="e">
        <f>(IF(Tabla4[[#This Row],[Familia]]="termico solar",Tabla4[[#This Row],[Utilidad Total]]*6%,Tabla4[[#This Row],[Utilidad Total]]*11.5%))/Tabla4[[#This Row],[Total]]</f>
        <v>#N/A</v>
      </c>
      <c r="V3435" s="282" t="e">
        <f>+Tabla4[[#This Row],[Comisión Calculada]]*Tabla4[[#This Row],[Total]]</f>
        <v>#N/A</v>
      </c>
    </row>
    <row r="3436" spans="1:22" hidden="1" x14ac:dyDescent="0.25">
      <c r="A3436" s="100">
        <v>45823</v>
      </c>
      <c r="B3436" t="str">
        <f t="shared" si="161"/>
        <v>June</v>
      </c>
      <c r="C3436" s="46" t="s">
        <v>280</v>
      </c>
      <c r="F3436" s="366" t="s">
        <v>2036</v>
      </c>
      <c r="G3436" s="46" t="s">
        <v>208</v>
      </c>
      <c r="H3436" s="46">
        <v>1</v>
      </c>
      <c r="I3436" s="51">
        <v>189.75</v>
      </c>
      <c r="J3436" s="281">
        <f>++Tabla4[[#This Row],[Precio Bruto]]*1.16</f>
        <v>220.10999999999999</v>
      </c>
      <c r="K3436" s="281">
        <f>+Tabla4[[#This Row],[Precio Unitario Neto]]*Tabla4[[#Headers],[20.85%]]</f>
        <v>45.892934999999994</v>
      </c>
      <c r="L3436" s="282">
        <f>++Tabla4[[#This Row],[Precio Unitario Neto]]-Tabla4[[#This Row],[20.85%]]</f>
        <v>174.21706499999999</v>
      </c>
      <c r="M3436" s="282" t="e">
        <f>(INDEX(Tabla6[#All],MATCH(Tabla4[[#This Row],[Producto]],Tabla6[[#All],[PRODUCTO]],0),MATCH(Tabla4[[#This Row],[Mes]],Tabla6[#Headers],0)))*(1+Catalogos!$L$2)</f>
        <v>#N/A</v>
      </c>
      <c r="N3436" s="283" t="e">
        <f>+(Tabla4[[#This Row],[Precio Descontado]]-Tabla4[[#This Row],[Precio Base]])*Tabla4[[#This Row],[Cantidad]]</f>
        <v>#N/A</v>
      </c>
      <c r="O3436" s="284" t="e">
        <f>++Tabla4[[#This Row],[Utilidad Total]]/Tabla4[[#This Row],[Total]]</f>
        <v>#N/A</v>
      </c>
      <c r="P3436" s="282">
        <f>++Tabla4[[#This Row],[Precio Descontado]]*Tabla4[[#This Row],[Cantidad]]</f>
        <v>174.21706499999999</v>
      </c>
      <c r="Q3436" s="282" t="e">
        <f>(INDEX(Tabla6[#All],MATCH(Tabla4[[#This Row],[Producto]],Tabla6[[#All],[PRODUCTO]],0),MATCH(Tabla4[[#This Row],[Mes]],Tabla6[#Headers],0)))</f>
        <v>#N/A</v>
      </c>
      <c r="R3436" s="282" t="e">
        <f>++Tabla4[[#This Row],[Precio Unitario Neto]]-Tabla4[[#This Row],[20.85%]]-Tabla4[[#This Row],[Costo]]</f>
        <v>#N/A</v>
      </c>
      <c r="S3436" s="282" t="e">
        <f>++Tabla4[[#This Row],[U. Bruta Uni]]*Tabla4[[#This Row],[Cantidad]]</f>
        <v>#N/A</v>
      </c>
      <c r="T3436" s="369" t="str">
        <f>VLOOKUP(Tabla4[[#This Row],[Producto]],Tabla6[#All],14,FALSE)</f>
        <v>Termico Solar</v>
      </c>
      <c r="U3436" s="284" t="e">
        <f>(IF(Tabla4[[#This Row],[Familia]]="termico solar",Tabla4[[#This Row],[Utilidad Total]]*6%,Tabla4[[#This Row],[Utilidad Total]]*11.5%))/Tabla4[[#This Row],[Total]]</f>
        <v>#N/A</v>
      </c>
      <c r="V3436" s="282" t="e">
        <f>+Tabla4[[#This Row],[Comisión Calculada]]*Tabla4[[#This Row],[Total]]</f>
        <v>#N/A</v>
      </c>
    </row>
    <row r="3437" spans="1:22" hidden="1" x14ac:dyDescent="0.25">
      <c r="A3437" s="100">
        <v>45823</v>
      </c>
      <c r="B3437" t="str">
        <f t="shared" si="161"/>
        <v>June</v>
      </c>
      <c r="C3437" s="46" t="s">
        <v>280</v>
      </c>
      <c r="F3437" s="366" t="s">
        <v>2037</v>
      </c>
      <c r="G3437" s="46" t="s">
        <v>83</v>
      </c>
      <c r="H3437" s="46">
        <v>1</v>
      </c>
      <c r="I3437" s="51">
        <v>8858.76</v>
      </c>
      <c r="J3437" s="281">
        <f>++Tabla4[[#This Row],[Precio Bruto]]*1.16</f>
        <v>10276.161599999999</v>
      </c>
      <c r="K3437" s="281">
        <f>+Tabla4[[#This Row],[Precio Unitario Neto]]*Tabla4[[#Headers],[20.85%]]</f>
        <v>2142.5796935999997</v>
      </c>
      <c r="L3437" s="282">
        <f>++Tabla4[[#This Row],[Precio Unitario Neto]]-Tabla4[[#This Row],[20.85%]]</f>
        <v>8133.5819063999998</v>
      </c>
      <c r="M3437" s="282" t="e">
        <f>(INDEX(Tabla6[#All],MATCH(Tabla4[[#This Row],[Producto]],Tabla6[[#All],[PRODUCTO]],0),MATCH(Tabla4[[#This Row],[Mes]],Tabla6[#Headers],0)))*(1+Catalogos!$L$2)</f>
        <v>#N/A</v>
      </c>
      <c r="N3437" s="283" t="e">
        <f>+(Tabla4[[#This Row],[Precio Descontado]]-Tabla4[[#This Row],[Precio Base]])*Tabla4[[#This Row],[Cantidad]]</f>
        <v>#N/A</v>
      </c>
      <c r="O3437" s="284" t="e">
        <f>++Tabla4[[#This Row],[Utilidad Total]]/Tabla4[[#This Row],[Total]]</f>
        <v>#N/A</v>
      </c>
      <c r="P3437" s="282">
        <f>++Tabla4[[#This Row],[Precio Descontado]]*Tabla4[[#This Row],[Cantidad]]</f>
        <v>8133.5819063999998</v>
      </c>
      <c r="Q3437" s="282" t="e">
        <f>(INDEX(Tabla6[#All],MATCH(Tabla4[[#This Row],[Producto]],Tabla6[[#All],[PRODUCTO]],0),MATCH(Tabla4[[#This Row],[Mes]],Tabla6[#Headers],0)))</f>
        <v>#N/A</v>
      </c>
      <c r="R3437" s="282" t="e">
        <f>++Tabla4[[#This Row],[Precio Unitario Neto]]-Tabla4[[#This Row],[20.85%]]-Tabla4[[#This Row],[Costo]]</f>
        <v>#N/A</v>
      </c>
      <c r="S3437" s="282" t="e">
        <f>++Tabla4[[#This Row],[U. Bruta Uni]]*Tabla4[[#This Row],[Cantidad]]</f>
        <v>#N/A</v>
      </c>
      <c r="T3437" s="369" t="str">
        <f>VLOOKUP(Tabla4[[#This Row],[Producto]],Tabla6[#All],14,FALSE)</f>
        <v>Termico Solar</v>
      </c>
      <c r="U3437" s="284" t="e">
        <f>(IF(Tabla4[[#This Row],[Familia]]="termico solar",Tabla4[[#This Row],[Utilidad Total]]*6%,Tabla4[[#This Row],[Utilidad Total]]*11.5%))/Tabla4[[#This Row],[Total]]</f>
        <v>#N/A</v>
      </c>
      <c r="V3437" s="282" t="e">
        <f>+Tabla4[[#This Row],[Comisión Calculada]]*Tabla4[[#This Row],[Total]]</f>
        <v>#N/A</v>
      </c>
    </row>
    <row r="3438" spans="1:22" hidden="1" x14ac:dyDescent="0.25">
      <c r="A3438" s="100">
        <v>45823</v>
      </c>
      <c r="B3438" t="str">
        <f t="shared" si="161"/>
        <v>June</v>
      </c>
      <c r="C3438" s="46" t="s">
        <v>280</v>
      </c>
      <c r="F3438" s="366" t="s">
        <v>2037</v>
      </c>
      <c r="G3438" s="46" t="s">
        <v>17</v>
      </c>
      <c r="H3438" s="46">
        <v>1</v>
      </c>
      <c r="I3438" s="51">
        <v>4622.28</v>
      </c>
      <c r="J3438" s="281">
        <f>++Tabla4[[#This Row],[Precio Bruto]]*1.16</f>
        <v>5361.8447999999989</v>
      </c>
      <c r="K3438" s="281">
        <f>+Tabla4[[#This Row],[Precio Unitario Neto]]*Tabla4[[#Headers],[20.85%]]</f>
        <v>1117.9446407999997</v>
      </c>
      <c r="L3438" s="282">
        <f>++Tabla4[[#This Row],[Precio Unitario Neto]]-Tabla4[[#This Row],[20.85%]]</f>
        <v>4243.9001591999995</v>
      </c>
      <c r="M3438" s="282" t="e">
        <f>(INDEX(Tabla6[#All],MATCH(Tabla4[[#This Row],[Producto]],Tabla6[[#All],[PRODUCTO]],0),MATCH(Tabla4[[#This Row],[Mes]],Tabla6[#Headers],0)))*(1+Catalogos!$L$2)</f>
        <v>#N/A</v>
      </c>
      <c r="N3438" s="283" t="e">
        <f>+(Tabla4[[#This Row],[Precio Descontado]]-Tabla4[[#This Row],[Precio Base]])*Tabla4[[#This Row],[Cantidad]]</f>
        <v>#N/A</v>
      </c>
      <c r="O3438" s="284" t="e">
        <f>++Tabla4[[#This Row],[Utilidad Total]]/Tabla4[[#This Row],[Total]]</f>
        <v>#N/A</v>
      </c>
      <c r="P3438" s="282">
        <f>++Tabla4[[#This Row],[Precio Descontado]]*Tabla4[[#This Row],[Cantidad]]</f>
        <v>4243.9001591999995</v>
      </c>
      <c r="Q3438" s="282" t="e">
        <f>(INDEX(Tabla6[#All],MATCH(Tabla4[[#This Row],[Producto]],Tabla6[[#All],[PRODUCTO]],0),MATCH(Tabla4[[#This Row],[Mes]],Tabla6[#Headers],0)))</f>
        <v>#N/A</v>
      </c>
      <c r="R3438" s="282" t="e">
        <f>++Tabla4[[#This Row],[Precio Unitario Neto]]-Tabla4[[#This Row],[20.85%]]-Tabla4[[#This Row],[Costo]]</f>
        <v>#N/A</v>
      </c>
      <c r="S3438" s="282" t="e">
        <f>++Tabla4[[#This Row],[U. Bruta Uni]]*Tabla4[[#This Row],[Cantidad]]</f>
        <v>#N/A</v>
      </c>
      <c r="T3438" s="369" t="str">
        <f>VLOOKUP(Tabla4[[#This Row],[Producto]],Tabla6[#All],14,FALSE)</f>
        <v>Termico Solar</v>
      </c>
      <c r="U3438" s="284" t="e">
        <f>(IF(Tabla4[[#This Row],[Familia]]="termico solar",Tabla4[[#This Row],[Utilidad Total]]*6%,Tabla4[[#This Row],[Utilidad Total]]*11.5%))/Tabla4[[#This Row],[Total]]</f>
        <v>#N/A</v>
      </c>
      <c r="V3438" s="282" t="e">
        <f>+Tabla4[[#This Row],[Comisión Calculada]]*Tabla4[[#This Row],[Total]]</f>
        <v>#N/A</v>
      </c>
    </row>
    <row r="3439" spans="1:22" hidden="1" x14ac:dyDescent="0.25">
      <c r="A3439" s="100">
        <v>45823</v>
      </c>
      <c r="B3439" t="str">
        <f t="shared" si="161"/>
        <v>June</v>
      </c>
      <c r="C3439" s="46" t="s">
        <v>280</v>
      </c>
      <c r="F3439" s="366" t="s">
        <v>2037</v>
      </c>
      <c r="G3439" s="46" t="s">
        <v>555</v>
      </c>
      <c r="H3439" s="46">
        <v>8</v>
      </c>
      <c r="I3439" s="51">
        <v>389.47</v>
      </c>
      <c r="J3439" s="281">
        <f>++Tabla4[[#This Row],[Precio Bruto]]*1.16</f>
        <v>451.78519999999997</v>
      </c>
      <c r="K3439" s="281">
        <f>+Tabla4[[#This Row],[Precio Unitario Neto]]*Tabla4[[#Headers],[20.85%]]</f>
        <v>94.197214199999991</v>
      </c>
      <c r="L3439" s="282">
        <f>++Tabla4[[#This Row],[Precio Unitario Neto]]-Tabla4[[#This Row],[20.85%]]</f>
        <v>357.58798579999996</v>
      </c>
      <c r="M3439" s="282" t="e">
        <f>(INDEX(Tabla6[#All],MATCH(Tabla4[[#This Row],[Producto]],Tabla6[[#All],[PRODUCTO]],0),MATCH(Tabla4[[#This Row],[Mes]],Tabla6[#Headers],0)))*(1+Catalogos!$L$2)</f>
        <v>#N/A</v>
      </c>
      <c r="N3439" s="283" t="e">
        <f>+(Tabla4[[#This Row],[Precio Descontado]]-Tabla4[[#This Row],[Precio Base]])*Tabla4[[#This Row],[Cantidad]]</f>
        <v>#N/A</v>
      </c>
      <c r="O3439" s="284" t="e">
        <f>++Tabla4[[#This Row],[Utilidad Total]]/Tabla4[[#This Row],[Total]]</f>
        <v>#N/A</v>
      </c>
      <c r="P3439" s="282">
        <f>++Tabla4[[#This Row],[Precio Descontado]]*Tabla4[[#This Row],[Cantidad]]</f>
        <v>2860.7038863999996</v>
      </c>
      <c r="Q3439" s="282" t="e">
        <f>(INDEX(Tabla6[#All],MATCH(Tabla4[[#This Row],[Producto]],Tabla6[[#All],[PRODUCTO]],0),MATCH(Tabla4[[#This Row],[Mes]],Tabla6[#Headers],0)))</f>
        <v>#N/A</v>
      </c>
      <c r="R3439" s="282" t="e">
        <f>++Tabla4[[#This Row],[Precio Unitario Neto]]-Tabla4[[#This Row],[20.85%]]-Tabla4[[#This Row],[Costo]]</f>
        <v>#N/A</v>
      </c>
      <c r="S3439" s="282" t="e">
        <f>++Tabla4[[#This Row],[U. Bruta Uni]]*Tabla4[[#This Row],[Cantidad]]</f>
        <v>#N/A</v>
      </c>
      <c r="T3439" s="369" t="str">
        <f>VLOOKUP(Tabla4[[#This Row],[Producto]],Tabla6[#All],14,FALSE)</f>
        <v>Termico Solar</v>
      </c>
      <c r="U3439" s="284" t="e">
        <f>(IF(Tabla4[[#This Row],[Familia]]="termico solar",Tabla4[[#This Row],[Utilidad Total]]*6%,Tabla4[[#This Row],[Utilidad Total]]*11.5%))/Tabla4[[#This Row],[Total]]</f>
        <v>#N/A</v>
      </c>
      <c r="V3439" s="282" t="e">
        <f>+Tabla4[[#This Row],[Comisión Calculada]]*Tabla4[[#This Row],[Total]]</f>
        <v>#N/A</v>
      </c>
    </row>
    <row r="3440" spans="1:22" hidden="1" x14ac:dyDescent="0.25">
      <c r="A3440" s="100">
        <v>45823</v>
      </c>
      <c r="B3440" t="str">
        <f t="shared" si="161"/>
        <v>June</v>
      </c>
      <c r="C3440" s="46" t="s">
        <v>280</v>
      </c>
      <c r="F3440" s="366" t="s">
        <v>2038</v>
      </c>
      <c r="G3440" s="46" t="s">
        <v>17</v>
      </c>
      <c r="H3440" s="46">
        <v>1</v>
      </c>
      <c r="I3440" s="51">
        <v>4622.28</v>
      </c>
      <c r="J3440" s="281">
        <f>++Tabla4[[#This Row],[Precio Bruto]]*1.16</f>
        <v>5361.8447999999989</v>
      </c>
      <c r="K3440" s="281">
        <f>+Tabla4[[#This Row],[Precio Unitario Neto]]*Tabla4[[#Headers],[20.85%]]</f>
        <v>1117.9446407999997</v>
      </c>
      <c r="L3440" s="282">
        <f>++Tabla4[[#This Row],[Precio Unitario Neto]]-Tabla4[[#This Row],[20.85%]]</f>
        <v>4243.9001591999995</v>
      </c>
      <c r="M3440" s="282" t="e">
        <f>(INDEX(Tabla6[#All],MATCH(Tabla4[[#This Row],[Producto]],Tabla6[[#All],[PRODUCTO]],0),MATCH(Tabla4[[#This Row],[Mes]],Tabla6[#Headers],0)))*(1+Catalogos!$L$2)</f>
        <v>#N/A</v>
      </c>
      <c r="N3440" s="283" t="e">
        <f>+(Tabla4[[#This Row],[Precio Descontado]]-Tabla4[[#This Row],[Precio Base]])*Tabla4[[#This Row],[Cantidad]]</f>
        <v>#N/A</v>
      </c>
      <c r="O3440" s="284" t="e">
        <f>++Tabla4[[#This Row],[Utilidad Total]]/Tabla4[[#This Row],[Total]]</f>
        <v>#N/A</v>
      </c>
      <c r="P3440" s="282">
        <f>++Tabla4[[#This Row],[Precio Descontado]]*Tabla4[[#This Row],[Cantidad]]</f>
        <v>4243.9001591999995</v>
      </c>
      <c r="Q3440" s="282" t="e">
        <f>(INDEX(Tabla6[#All],MATCH(Tabla4[[#This Row],[Producto]],Tabla6[[#All],[PRODUCTO]],0),MATCH(Tabla4[[#This Row],[Mes]],Tabla6[#Headers],0)))</f>
        <v>#N/A</v>
      </c>
      <c r="R3440" s="282" t="e">
        <f>++Tabla4[[#This Row],[Precio Unitario Neto]]-Tabla4[[#This Row],[20.85%]]-Tabla4[[#This Row],[Costo]]</f>
        <v>#N/A</v>
      </c>
      <c r="S3440" s="282" t="e">
        <f>++Tabla4[[#This Row],[U. Bruta Uni]]*Tabla4[[#This Row],[Cantidad]]</f>
        <v>#N/A</v>
      </c>
      <c r="T3440" s="369" t="str">
        <f>VLOOKUP(Tabla4[[#This Row],[Producto]],Tabla6[#All],14,FALSE)</f>
        <v>Termico Solar</v>
      </c>
      <c r="U3440" s="284" t="e">
        <f>(IF(Tabla4[[#This Row],[Familia]]="termico solar",Tabla4[[#This Row],[Utilidad Total]]*6%,Tabla4[[#This Row],[Utilidad Total]]*11.5%))/Tabla4[[#This Row],[Total]]</f>
        <v>#N/A</v>
      </c>
      <c r="V3440" s="282" t="e">
        <f>+Tabla4[[#This Row],[Comisión Calculada]]*Tabla4[[#This Row],[Total]]</f>
        <v>#N/A</v>
      </c>
    </row>
    <row r="3441" spans="1:22" hidden="1" x14ac:dyDescent="0.25">
      <c r="A3441" s="100">
        <v>45823</v>
      </c>
      <c r="B3441" t="str">
        <f t="shared" si="161"/>
        <v>June</v>
      </c>
      <c r="C3441" s="46" t="s">
        <v>280</v>
      </c>
      <c r="F3441" s="366" t="s">
        <v>2038</v>
      </c>
      <c r="G3441" s="46" t="s">
        <v>566</v>
      </c>
      <c r="H3441" s="46">
        <v>1</v>
      </c>
      <c r="I3441" s="51">
        <v>2109.4499999999998</v>
      </c>
      <c r="J3441" s="281">
        <f>++Tabla4[[#This Row],[Precio Bruto]]*1.16</f>
        <v>2446.9619999999995</v>
      </c>
      <c r="K3441" s="281">
        <f>+Tabla4[[#This Row],[Precio Unitario Neto]]*Tabla4[[#Headers],[20.85%]]</f>
        <v>510.19157699999988</v>
      </c>
      <c r="L3441" s="282">
        <f>++Tabla4[[#This Row],[Precio Unitario Neto]]-Tabla4[[#This Row],[20.85%]]</f>
        <v>1936.7704229999997</v>
      </c>
      <c r="M3441" s="282" t="e">
        <f>(INDEX(Tabla6[#All],MATCH(Tabla4[[#This Row],[Producto]],Tabla6[[#All],[PRODUCTO]],0),MATCH(Tabla4[[#This Row],[Mes]],Tabla6[#Headers],0)))*(1+Catalogos!$L$2)</f>
        <v>#N/A</v>
      </c>
      <c r="N3441" s="283" t="e">
        <f>+(Tabla4[[#This Row],[Precio Descontado]]-Tabla4[[#This Row],[Precio Base]])*Tabla4[[#This Row],[Cantidad]]</f>
        <v>#N/A</v>
      </c>
      <c r="O3441" s="284" t="e">
        <f>++Tabla4[[#This Row],[Utilidad Total]]/Tabla4[[#This Row],[Total]]</f>
        <v>#N/A</v>
      </c>
      <c r="P3441" s="282">
        <f>++Tabla4[[#This Row],[Precio Descontado]]*Tabla4[[#This Row],[Cantidad]]</f>
        <v>1936.7704229999997</v>
      </c>
      <c r="Q3441" s="282" t="e">
        <f>(INDEX(Tabla6[#All],MATCH(Tabla4[[#This Row],[Producto]],Tabla6[[#All],[PRODUCTO]],0),MATCH(Tabla4[[#This Row],[Mes]],Tabla6[#Headers],0)))</f>
        <v>#N/A</v>
      </c>
      <c r="R3441" s="282" t="e">
        <f>++Tabla4[[#This Row],[Precio Unitario Neto]]-Tabla4[[#This Row],[20.85%]]-Tabla4[[#This Row],[Costo]]</f>
        <v>#N/A</v>
      </c>
      <c r="S3441" s="282" t="e">
        <f>++Tabla4[[#This Row],[U. Bruta Uni]]*Tabla4[[#This Row],[Cantidad]]</f>
        <v>#N/A</v>
      </c>
      <c r="T3441" s="369" t="str">
        <f>VLOOKUP(Tabla4[[#This Row],[Producto]],Tabla6[#All],14,FALSE)</f>
        <v>Termico Solar</v>
      </c>
      <c r="U3441" s="284" t="e">
        <f>(IF(Tabla4[[#This Row],[Familia]]="termico solar",Tabla4[[#This Row],[Utilidad Total]]*6%,Tabla4[[#This Row],[Utilidad Total]]*11.5%))/Tabla4[[#This Row],[Total]]</f>
        <v>#N/A</v>
      </c>
      <c r="V3441" s="282" t="e">
        <f>+Tabla4[[#This Row],[Comisión Calculada]]*Tabla4[[#This Row],[Total]]</f>
        <v>#N/A</v>
      </c>
    </row>
    <row r="3442" spans="1:22" hidden="1" x14ac:dyDescent="0.25">
      <c r="A3442" s="100">
        <v>45823</v>
      </c>
      <c r="B3442" t="str">
        <f t="shared" ref="B3442:B3505" si="162">TEXT(A3442, "mmmm")</f>
        <v>June</v>
      </c>
      <c r="C3442" s="46" t="s">
        <v>280</v>
      </c>
      <c r="F3442" s="366" t="s">
        <v>2038</v>
      </c>
      <c r="G3442" s="46" t="s">
        <v>208</v>
      </c>
      <c r="H3442" s="46">
        <v>1</v>
      </c>
      <c r="I3442" s="51">
        <v>189.75</v>
      </c>
      <c r="J3442" s="281">
        <f>++Tabla4[[#This Row],[Precio Bruto]]*1.16</f>
        <v>220.10999999999999</v>
      </c>
      <c r="K3442" s="281">
        <f>+Tabla4[[#This Row],[Precio Unitario Neto]]*Tabla4[[#Headers],[20.85%]]</f>
        <v>45.892934999999994</v>
      </c>
      <c r="L3442" s="282">
        <f>++Tabla4[[#This Row],[Precio Unitario Neto]]-Tabla4[[#This Row],[20.85%]]</f>
        <v>174.21706499999999</v>
      </c>
      <c r="M3442" s="282" t="e">
        <f>(INDEX(Tabla6[#All],MATCH(Tabla4[[#This Row],[Producto]],Tabla6[[#All],[PRODUCTO]],0),MATCH(Tabla4[[#This Row],[Mes]],Tabla6[#Headers],0)))*(1+Catalogos!$L$2)</f>
        <v>#N/A</v>
      </c>
      <c r="N3442" s="283" t="e">
        <f>+(Tabla4[[#This Row],[Precio Descontado]]-Tabla4[[#This Row],[Precio Base]])*Tabla4[[#This Row],[Cantidad]]</f>
        <v>#N/A</v>
      </c>
      <c r="O3442" s="284" t="e">
        <f>++Tabla4[[#This Row],[Utilidad Total]]/Tabla4[[#This Row],[Total]]</f>
        <v>#N/A</v>
      </c>
      <c r="P3442" s="282">
        <f>++Tabla4[[#This Row],[Precio Descontado]]*Tabla4[[#This Row],[Cantidad]]</f>
        <v>174.21706499999999</v>
      </c>
      <c r="Q3442" s="282" t="e">
        <f>(INDEX(Tabla6[#All],MATCH(Tabla4[[#This Row],[Producto]],Tabla6[[#All],[PRODUCTO]],0),MATCH(Tabla4[[#This Row],[Mes]],Tabla6[#Headers],0)))</f>
        <v>#N/A</v>
      </c>
      <c r="R3442" s="282" t="e">
        <f>++Tabla4[[#This Row],[Precio Unitario Neto]]-Tabla4[[#This Row],[20.85%]]-Tabla4[[#This Row],[Costo]]</f>
        <v>#N/A</v>
      </c>
      <c r="S3442" s="282" t="e">
        <f>++Tabla4[[#This Row],[U. Bruta Uni]]*Tabla4[[#This Row],[Cantidad]]</f>
        <v>#N/A</v>
      </c>
      <c r="T3442" s="369" t="str">
        <f>VLOOKUP(Tabla4[[#This Row],[Producto]],Tabla6[#All],14,FALSE)</f>
        <v>Termico Solar</v>
      </c>
      <c r="U3442" s="284" t="e">
        <f>(IF(Tabla4[[#This Row],[Familia]]="termico solar",Tabla4[[#This Row],[Utilidad Total]]*6%,Tabla4[[#This Row],[Utilidad Total]]*11.5%))/Tabla4[[#This Row],[Total]]</f>
        <v>#N/A</v>
      </c>
      <c r="V3442" s="282" t="e">
        <f>+Tabla4[[#This Row],[Comisión Calculada]]*Tabla4[[#This Row],[Total]]</f>
        <v>#N/A</v>
      </c>
    </row>
    <row r="3443" spans="1:22" hidden="1" x14ac:dyDescent="0.25">
      <c r="A3443" s="100">
        <v>45823</v>
      </c>
      <c r="B3443" t="str">
        <f t="shared" si="162"/>
        <v>June</v>
      </c>
      <c r="C3443" s="46" t="s">
        <v>280</v>
      </c>
      <c r="F3443" s="366" t="s">
        <v>2039</v>
      </c>
      <c r="G3443" s="46" t="s">
        <v>18</v>
      </c>
      <c r="H3443" s="46">
        <v>2</v>
      </c>
      <c r="I3443" s="51">
        <v>5367.65</v>
      </c>
      <c r="J3443" s="281">
        <f>++Tabla4[[#This Row],[Precio Bruto]]*1.16</f>
        <v>6226.4739999999993</v>
      </c>
      <c r="K3443" s="281">
        <f>+Tabla4[[#This Row],[Precio Unitario Neto]]*Tabla4[[#Headers],[20.85%]]</f>
        <v>1298.2198289999999</v>
      </c>
      <c r="L3443" s="282">
        <f>++Tabla4[[#This Row],[Precio Unitario Neto]]-Tabla4[[#This Row],[20.85%]]</f>
        <v>4928.2541709999996</v>
      </c>
      <c r="M3443" s="282" t="e">
        <f>(INDEX(Tabla6[#All],MATCH(Tabla4[[#This Row],[Producto]],Tabla6[[#All],[PRODUCTO]],0),MATCH(Tabla4[[#This Row],[Mes]],Tabla6[#Headers],0)))*(1+Catalogos!$L$2)</f>
        <v>#N/A</v>
      </c>
      <c r="N3443" s="283" t="e">
        <f>+(Tabla4[[#This Row],[Precio Descontado]]-Tabla4[[#This Row],[Precio Base]])*Tabla4[[#This Row],[Cantidad]]</f>
        <v>#N/A</v>
      </c>
      <c r="O3443" s="284" t="e">
        <f>++Tabla4[[#This Row],[Utilidad Total]]/Tabla4[[#This Row],[Total]]</f>
        <v>#N/A</v>
      </c>
      <c r="P3443" s="282">
        <f>++Tabla4[[#This Row],[Precio Descontado]]*Tabla4[[#This Row],[Cantidad]]</f>
        <v>9856.5083419999992</v>
      </c>
      <c r="Q3443" s="282" t="e">
        <f>(INDEX(Tabla6[#All],MATCH(Tabla4[[#This Row],[Producto]],Tabla6[[#All],[PRODUCTO]],0),MATCH(Tabla4[[#This Row],[Mes]],Tabla6[#Headers],0)))</f>
        <v>#N/A</v>
      </c>
      <c r="R3443" s="282" t="e">
        <f>++Tabla4[[#This Row],[Precio Unitario Neto]]-Tabla4[[#This Row],[20.85%]]-Tabla4[[#This Row],[Costo]]</f>
        <v>#N/A</v>
      </c>
      <c r="S3443" s="282" t="e">
        <f>++Tabla4[[#This Row],[U. Bruta Uni]]*Tabla4[[#This Row],[Cantidad]]</f>
        <v>#N/A</v>
      </c>
      <c r="T3443" s="369" t="str">
        <f>VLOOKUP(Tabla4[[#This Row],[Producto]],Tabla6[#All],14,FALSE)</f>
        <v>Termico Solar</v>
      </c>
      <c r="U3443" s="284" t="e">
        <f>(IF(Tabla4[[#This Row],[Familia]]="termico solar",Tabla4[[#This Row],[Utilidad Total]]*6%,Tabla4[[#This Row],[Utilidad Total]]*11.5%))/Tabla4[[#This Row],[Total]]</f>
        <v>#N/A</v>
      </c>
      <c r="V3443" s="282" t="e">
        <f>+Tabla4[[#This Row],[Comisión Calculada]]*Tabla4[[#This Row],[Total]]</f>
        <v>#N/A</v>
      </c>
    </row>
    <row r="3444" spans="1:22" hidden="1" x14ac:dyDescent="0.25">
      <c r="A3444" s="100">
        <v>45823</v>
      </c>
      <c r="B3444" t="str">
        <f t="shared" si="162"/>
        <v>June</v>
      </c>
      <c r="C3444" s="46" t="s">
        <v>280</v>
      </c>
      <c r="F3444" s="366" t="s">
        <v>2040</v>
      </c>
      <c r="G3444" s="46" t="s">
        <v>83</v>
      </c>
      <c r="H3444" s="46">
        <v>2</v>
      </c>
      <c r="I3444" s="51">
        <v>8858.76</v>
      </c>
      <c r="J3444" s="281">
        <f>++Tabla4[[#This Row],[Precio Bruto]]*1.16</f>
        <v>10276.161599999999</v>
      </c>
      <c r="K3444" s="281">
        <f>+Tabla4[[#This Row],[Precio Unitario Neto]]*Tabla4[[#Headers],[20.85%]]</f>
        <v>2142.5796935999997</v>
      </c>
      <c r="L3444" s="282">
        <f>++Tabla4[[#This Row],[Precio Unitario Neto]]-Tabla4[[#This Row],[20.85%]]</f>
        <v>8133.5819063999998</v>
      </c>
      <c r="M3444" s="282" t="e">
        <f>(INDEX(Tabla6[#All],MATCH(Tabla4[[#This Row],[Producto]],Tabla6[[#All],[PRODUCTO]],0),MATCH(Tabla4[[#This Row],[Mes]],Tabla6[#Headers],0)))*(1+Catalogos!$L$2)</f>
        <v>#N/A</v>
      </c>
      <c r="N3444" s="283" t="e">
        <f>+(Tabla4[[#This Row],[Precio Descontado]]-Tabla4[[#This Row],[Precio Base]])*Tabla4[[#This Row],[Cantidad]]</f>
        <v>#N/A</v>
      </c>
      <c r="O3444" s="284" t="e">
        <f>++Tabla4[[#This Row],[Utilidad Total]]/Tabla4[[#This Row],[Total]]</f>
        <v>#N/A</v>
      </c>
      <c r="P3444" s="282">
        <f>++Tabla4[[#This Row],[Precio Descontado]]*Tabla4[[#This Row],[Cantidad]]</f>
        <v>16267.1638128</v>
      </c>
      <c r="Q3444" s="282" t="e">
        <f>(INDEX(Tabla6[#All],MATCH(Tabla4[[#This Row],[Producto]],Tabla6[[#All],[PRODUCTO]],0),MATCH(Tabla4[[#This Row],[Mes]],Tabla6[#Headers],0)))</f>
        <v>#N/A</v>
      </c>
      <c r="R3444" s="282" t="e">
        <f>++Tabla4[[#This Row],[Precio Unitario Neto]]-Tabla4[[#This Row],[20.85%]]-Tabla4[[#This Row],[Costo]]</f>
        <v>#N/A</v>
      </c>
      <c r="S3444" s="282" t="e">
        <f>++Tabla4[[#This Row],[U. Bruta Uni]]*Tabla4[[#This Row],[Cantidad]]</f>
        <v>#N/A</v>
      </c>
      <c r="T3444" s="369" t="str">
        <f>VLOOKUP(Tabla4[[#This Row],[Producto]],Tabla6[#All],14,FALSE)</f>
        <v>Termico Solar</v>
      </c>
      <c r="U3444" s="284" t="e">
        <f>(IF(Tabla4[[#This Row],[Familia]]="termico solar",Tabla4[[#This Row],[Utilidad Total]]*6%,Tabla4[[#This Row],[Utilidad Total]]*11.5%))/Tabla4[[#This Row],[Total]]</f>
        <v>#N/A</v>
      </c>
      <c r="V3444" s="282" t="e">
        <f>+Tabla4[[#This Row],[Comisión Calculada]]*Tabla4[[#This Row],[Total]]</f>
        <v>#N/A</v>
      </c>
    </row>
    <row r="3445" spans="1:22" hidden="1" x14ac:dyDescent="0.25">
      <c r="A3445" s="100">
        <v>45823</v>
      </c>
      <c r="B3445" t="str">
        <f t="shared" si="162"/>
        <v>June</v>
      </c>
      <c r="C3445" s="46" t="s">
        <v>280</v>
      </c>
      <c r="F3445" s="366" t="s">
        <v>2040</v>
      </c>
      <c r="G3445" s="46" t="s">
        <v>208</v>
      </c>
      <c r="H3445" s="46">
        <v>15</v>
      </c>
      <c r="I3445" s="51">
        <v>140.63</v>
      </c>
      <c r="J3445" s="281">
        <f>++Tabla4[[#This Row],[Precio Bruto]]*1.16</f>
        <v>163.13079999999999</v>
      </c>
      <c r="K3445" s="281">
        <f>+Tabla4[[#This Row],[Precio Unitario Neto]]*Tabla4[[#Headers],[20.85%]]</f>
        <v>34.012771799999996</v>
      </c>
      <c r="L3445" s="282">
        <f>++Tabla4[[#This Row],[Precio Unitario Neto]]-Tabla4[[#This Row],[20.85%]]</f>
        <v>129.1180282</v>
      </c>
      <c r="M3445" s="282" t="e">
        <f>(INDEX(Tabla6[#All],MATCH(Tabla4[[#This Row],[Producto]],Tabla6[[#All],[PRODUCTO]],0),MATCH(Tabla4[[#This Row],[Mes]],Tabla6[#Headers],0)))*(1+Catalogos!$L$2)</f>
        <v>#N/A</v>
      </c>
      <c r="N3445" s="283" t="e">
        <f>+(Tabla4[[#This Row],[Precio Descontado]]-Tabla4[[#This Row],[Precio Base]])*Tabla4[[#This Row],[Cantidad]]</f>
        <v>#N/A</v>
      </c>
      <c r="O3445" s="284" t="e">
        <f>++Tabla4[[#This Row],[Utilidad Total]]/Tabla4[[#This Row],[Total]]</f>
        <v>#N/A</v>
      </c>
      <c r="P3445" s="282">
        <f>++Tabla4[[#This Row],[Precio Descontado]]*Tabla4[[#This Row],[Cantidad]]</f>
        <v>1936.7704229999999</v>
      </c>
      <c r="Q3445" s="282" t="e">
        <f>(INDEX(Tabla6[#All],MATCH(Tabla4[[#This Row],[Producto]],Tabla6[[#All],[PRODUCTO]],0),MATCH(Tabla4[[#This Row],[Mes]],Tabla6[#Headers],0)))</f>
        <v>#N/A</v>
      </c>
      <c r="R3445" s="282" t="e">
        <f>++Tabla4[[#This Row],[Precio Unitario Neto]]-Tabla4[[#This Row],[20.85%]]-Tabla4[[#This Row],[Costo]]</f>
        <v>#N/A</v>
      </c>
      <c r="S3445" s="282" t="e">
        <f>++Tabla4[[#This Row],[U. Bruta Uni]]*Tabla4[[#This Row],[Cantidad]]</f>
        <v>#N/A</v>
      </c>
      <c r="T3445" s="369" t="str">
        <f>VLOOKUP(Tabla4[[#This Row],[Producto]],Tabla6[#All],14,FALSE)</f>
        <v>Termico Solar</v>
      </c>
      <c r="U3445" s="284" t="e">
        <f>(IF(Tabla4[[#This Row],[Familia]]="termico solar",Tabla4[[#This Row],[Utilidad Total]]*6%,Tabla4[[#This Row],[Utilidad Total]]*11.5%))/Tabla4[[#This Row],[Total]]</f>
        <v>#N/A</v>
      </c>
      <c r="V3445" s="282" t="e">
        <f>+Tabla4[[#This Row],[Comisión Calculada]]*Tabla4[[#This Row],[Total]]</f>
        <v>#N/A</v>
      </c>
    </row>
    <row r="3446" spans="1:22" hidden="1" x14ac:dyDescent="0.25">
      <c r="A3446" s="100">
        <v>45823</v>
      </c>
      <c r="B3446" t="str">
        <f t="shared" si="162"/>
        <v>June</v>
      </c>
      <c r="C3446" s="46" t="s">
        <v>280</v>
      </c>
      <c r="F3446" s="366" t="s">
        <v>2041</v>
      </c>
      <c r="G3446" s="46" t="s">
        <v>83</v>
      </c>
      <c r="H3446" s="46">
        <v>4</v>
      </c>
      <c r="I3446" s="51">
        <v>8858.76</v>
      </c>
      <c r="J3446" s="281">
        <f>++Tabla4[[#This Row],[Precio Bruto]]*1.16</f>
        <v>10276.161599999999</v>
      </c>
      <c r="K3446" s="281">
        <f>+Tabla4[[#This Row],[Precio Unitario Neto]]*Tabla4[[#Headers],[20.85%]]</f>
        <v>2142.5796935999997</v>
      </c>
      <c r="L3446" s="282">
        <f>++Tabla4[[#This Row],[Precio Unitario Neto]]-Tabla4[[#This Row],[20.85%]]</f>
        <v>8133.5819063999998</v>
      </c>
      <c r="M3446" s="282" t="e">
        <f>(INDEX(Tabla6[#All],MATCH(Tabla4[[#This Row],[Producto]],Tabla6[[#All],[PRODUCTO]],0),MATCH(Tabla4[[#This Row],[Mes]],Tabla6[#Headers],0)))*(1+Catalogos!$L$2)</f>
        <v>#N/A</v>
      </c>
      <c r="N3446" s="283" t="e">
        <f>+(Tabla4[[#This Row],[Precio Descontado]]-Tabla4[[#This Row],[Precio Base]])*Tabla4[[#This Row],[Cantidad]]</f>
        <v>#N/A</v>
      </c>
      <c r="O3446" s="284" t="e">
        <f>++Tabla4[[#This Row],[Utilidad Total]]/Tabla4[[#This Row],[Total]]</f>
        <v>#N/A</v>
      </c>
      <c r="P3446" s="282">
        <f>++Tabla4[[#This Row],[Precio Descontado]]*Tabla4[[#This Row],[Cantidad]]</f>
        <v>32534.327625599999</v>
      </c>
      <c r="Q3446" s="282" t="e">
        <f>(INDEX(Tabla6[#All],MATCH(Tabla4[[#This Row],[Producto]],Tabla6[[#All],[PRODUCTO]],0),MATCH(Tabla4[[#This Row],[Mes]],Tabla6[#Headers],0)))</f>
        <v>#N/A</v>
      </c>
      <c r="R3446" s="282" t="e">
        <f>++Tabla4[[#This Row],[Precio Unitario Neto]]-Tabla4[[#This Row],[20.85%]]-Tabla4[[#This Row],[Costo]]</f>
        <v>#N/A</v>
      </c>
      <c r="S3446" s="282" t="e">
        <f>++Tabla4[[#This Row],[U. Bruta Uni]]*Tabla4[[#This Row],[Cantidad]]</f>
        <v>#N/A</v>
      </c>
      <c r="T3446" s="369" t="str">
        <f>VLOOKUP(Tabla4[[#This Row],[Producto]],Tabla6[#All],14,FALSE)</f>
        <v>Termico Solar</v>
      </c>
      <c r="U3446" s="284" t="e">
        <f>(IF(Tabla4[[#This Row],[Familia]]="termico solar",Tabla4[[#This Row],[Utilidad Total]]*6%,Tabla4[[#This Row],[Utilidad Total]]*11.5%))/Tabla4[[#This Row],[Total]]</f>
        <v>#N/A</v>
      </c>
      <c r="V3446" s="282" t="e">
        <f>+Tabla4[[#This Row],[Comisión Calculada]]*Tabla4[[#This Row],[Total]]</f>
        <v>#N/A</v>
      </c>
    </row>
    <row r="3447" spans="1:22" hidden="1" x14ac:dyDescent="0.25">
      <c r="A3447" s="100">
        <v>45823</v>
      </c>
      <c r="B3447" t="str">
        <f t="shared" si="162"/>
        <v>June</v>
      </c>
      <c r="C3447" s="46" t="s">
        <v>280</v>
      </c>
      <c r="F3447" s="366" t="s">
        <v>2041</v>
      </c>
      <c r="G3447" s="46" t="s">
        <v>17</v>
      </c>
      <c r="H3447" s="46">
        <v>3</v>
      </c>
      <c r="I3447" s="51">
        <v>4622.28</v>
      </c>
      <c r="J3447" s="281">
        <f>++Tabla4[[#This Row],[Precio Bruto]]*1.16</f>
        <v>5361.8447999999989</v>
      </c>
      <c r="K3447" s="281">
        <f>+Tabla4[[#This Row],[Precio Unitario Neto]]*Tabla4[[#Headers],[20.85%]]</f>
        <v>1117.9446407999997</v>
      </c>
      <c r="L3447" s="282">
        <f>++Tabla4[[#This Row],[Precio Unitario Neto]]-Tabla4[[#This Row],[20.85%]]</f>
        <v>4243.9001591999995</v>
      </c>
      <c r="M3447" s="282" t="e">
        <f>(INDEX(Tabla6[#All],MATCH(Tabla4[[#This Row],[Producto]],Tabla6[[#All],[PRODUCTO]],0),MATCH(Tabla4[[#This Row],[Mes]],Tabla6[#Headers],0)))*(1+Catalogos!$L$2)</f>
        <v>#N/A</v>
      </c>
      <c r="N3447" s="283" t="e">
        <f>+(Tabla4[[#This Row],[Precio Descontado]]-Tabla4[[#This Row],[Precio Base]])*Tabla4[[#This Row],[Cantidad]]</f>
        <v>#N/A</v>
      </c>
      <c r="O3447" s="284" t="e">
        <f>++Tabla4[[#This Row],[Utilidad Total]]/Tabla4[[#This Row],[Total]]</f>
        <v>#N/A</v>
      </c>
      <c r="P3447" s="282">
        <f>++Tabla4[[#This Row],[Precio Descontado]]*Tabla4[[#This Row],[Cantidad]]</f>
        <v>12731.700477599999</v>
      </c>
      <c r="Q3447" s="282" t="e">
        <f>(INDEX(Tabla6[#All],MATCH(Tabla4[[#This Row],[Producto]],Tabla6[[#All],[PRODUCTO]],0),MATCH(Tabla4[[#This Row],[Mes]],Tabla6[#Headers],0)))</f>
        <v>#N/A</v>
      </c>
      <c r="R3447" s="282" t="e">
        <f>++Tabla4[[#This Row],[Precio Unitario Neto]]-Tabla4[[#This Row],[20.85%]]-Tabla4[[#This Row],[Costo]]</f>
        <v>#N/A</v>
      </c>
      <c r="S3447" s="282" t="e">
        <f>++Tabla4[[#This Row],[U. Bruta Uni]]*Tabla4[[#This Row],[Cantidad]]</f>
        <v>#N/A</v>
      </c>
      <c r="T3447" s="369" t="str">
        <f>VLOOKUP(Tabla4[[#This Row],[Producto]],Tabla6[#All],14,FALSE)</f>
        <v>Termico Solar</v>
      </c>
      <c r="U3447" s="284" t="e">
        <f>(IF(Tabla4[[#This Row],[Familia]]="termico solar",Tabla4[[#This Row],[Utilidad Total]]*6%,Tabla4[[#This Row],[Utilidad Total]]*11.5%))/Tabla4[[#This Row],[Total]]</f>
        <v>#N/A</v>
      </c>
      <c r="V3447" s="282" t="e">
        <f>+Tabla4[[#This Row],[Comisión Calculada]]*Tabla4[[#This Row],[Total]]</f>
        <v>#N/A</v>
      </c>
    </row>
    <row r="3448" spans="1:22" hidden="1" x14ac:dyDescent="0.25">
      <c r="A3448" s="100">
        <v>45823</v>
      </c>
      <c r="B3448" t="str">
        <f t="shared" si="162"/>
        <v>June</v>
      </c>
      <c r="C3448" s="46" t="s">
        <v>280</v>
      </c>
      <c r="F3448" s="366" t="s">
        <v>2041</v>
      </c>
      <c r="G3448" s="46" t="s">
        <v>19</v>
      </c>
      <c r="H3448" s="46">
        <v>1</v>
      </c>
      <c r="I3448" s="51">
        <v>6412.03</v>
      </c>
      <c r="J3448" s="281">
        <f>++Tabla4[[#This Row],[Precio Bruto]]*1.16</f>
        <v>7437.9547999999995</v>
      </c>
      <c r="K3448" s="281">
        <f>+Tabla4[[#This Row],[Precio Unitario Neto]]*Tabla4[[#Headers],[20.85%]]</f>
        <v>1550.8135757999999</v>
      </c>
      <c r="L3448" s="282">
        <f>++Tabla4[[#This Row],[Precio Unitario Neto]]-Tabla4[[#This Row],[20.85%]]</f>
        <v>5887.1412241999997</v>
      </c>
      <c r="M3448" s="282" t="e">
        <f>(INDEX(Tabla6[#All],MATCH(Tabla4[[#This Row],[Producto]],Tabla6[[#All],[PRODUCTO]],0),MATCH(Tabla4[[#This Row],[Mes]],Tabla6[#Headers],0)))*(1+Catalogos!$L$2)</f>
        <v>#N/A</v>
      </c>
      <c r="N3448" s="283" t="e">
        <f>+(Tabla4[[#This Row],[Precio Descontado]]-Tabla4[[#This Row],[Precio Base]])*Tabla4[[#This Row],[Cantidad]]</f>
        <v>#N/A</v>
      </c>
      <c r="O3448" s="284" t="e">
        <f>++Tabla4[[#This Row],[Utilidad Total]]/Tabla4[[#This Row],[Total]]</f>
        <v>#N/A</v>
      </c>
      <c r="P3448" s="282">
        <f>++Tabla4[[#This Row],[Precio Descontado]]*Tabla4[[#This Row],[Cantidad]]</f>
        <v>5887.1412241999997</v>
      </c>
      <c r="Q3448" s="282" t="e">
        <f>(INDEX(Tabla6[#All],MATCH(Tabla4[[#This Row],[Producto]],Tabla6[[#All],[PRODUCTO]],0),MATCH(Tabla4[[#This Row],[Mes]],Tabla6[#Headers],0)))</f>
        <v>#N/A</v>
      </c>
      <c r="R3448" s="282" t="e">
        <f>++Tabla4[[#This Row],[Precio Unitario Neto]]-Tabla4[[#This Row],[20.85%]]-Tabla4[[#This Row],[Costo]]</f>
        <v>#N/A</v>
      </c>
      <c r="S3448" s="282" t="e">
        <f>++Tabla4[[#This Row],[U. Bruta Uni]]*Tabla4[[#This Row],[Cantidad]]</f>
        <v>#N/A</v>
      </c>
      <c r="T3448" s="369" t="str">
        <f>VLOOKUP(Tabla4[[#This Row],[Producto]],Tabla6[#All],14,FALSE)</f>
        <v>Termico Solar</v>
      </c>
      <c r="U3448" s="284" t="e">
        <f>(IF(Tabla4[[#This Row],[Familia]]="termico solar",Tabla4[[#This Row],[Utilidad Total]]*6%,Tabla4[[#This Row],[Utilidad Total]]*11.5%))/Tabla4[[#This Row],[Total]]</f>
        <v>#N/A</v>
      </c>
      <c r="V3448" s="282" t="e">
        <f>+Tabla4[[#This Row],[Comisión Calculada]]*Tabla4[[#This Row],[Total]]</f>
        <v>#N/A</v>
      </c>
    </row>
    <row r="3449" spans="1:22" hidden="1" x14ac:dyDescent="0.25">
      <c r="A3449" s="100">
        <v>45823</v>
      </c>
      <c r="B3449" t="str">
        <f t="shared" si="162"/>
        <v>June</v>
      </c>
      <c r="C3449" s="46" t="s">
        <v>280</v>
      </c>
      <c r="F3449" s="366" t="s">
        <v>2041</v>
      </c>
      <c r="G3449" s="46" t="s">
        <v>16</v>
      </c>
      <c r="H3449" s="46">
        <v>1</v>
      </c>
      <c r="I3449" s="51">
        <v>4103.8500000000004</v>
      </c>
      <c r="J3449" s="281">
        <f>++Tabla4[[#This Row],[Precio Bruto]]*1.16</f>
        <v>4760.4660000000003</v>
      </c>
      <c r="K3449" s="281">
        <f>+Tabla4[[#This Row],[Precio Unitario Neto]]*Tabla4[[#Headers],[20.85%]]</f>
        <v>992.55716100000006</v>
      </c>
      <c r="L3449" s="282">
        <f>++Tabla4[[#This Row],[Precio Unitario Neto]]-Tabla4[[#This Row],[20.85%]]</f>
        <v>3767.9088390000002</v>
      </c>
      <c r="M3449" s="282" t="e">
        <f>(INDEX(Tabla6[#All],MATCH(Tabla4[[#This Row],[Producto]],Tabla6[[#All],[PRODUCTO]],0),MATCH(Tabla4[[#This Row],[Mes]],Tabla6[#Headers],0)))*(1+Catalogos!$L$2)</f>
        <v>#N/A</v>
      </c>
      <c r="N3449" s="283" t="e">
        <f>+(Tabla4[[#This Row],[Precio Descontado]]-Tabla4[[#This Row],[Precio Base]])*Tabla4[[#This Row],[Cantidad]]</f>
        <v>#N/A</v>
      </c>
      <c r="O3449" s="284" t="e">
        <f>++Tabla4[[#This Row],[Utilidad Total]]/Tabla4[[#This Row],[Total]]</f>
        <v>#N/A</v>
      </c>
      <c r="P3449" s="282">
        <f>++Tabla4[[#This Row],[Precio Descontado]]*Tabla4[[#This Row],[Cantidad]]</f>
        <v>3767.9088390000002</v>
      </c>
      <c r="Q3449" s="282" t="e">
        <f>(INDEX(Tabla6[#All],MATCH(Tabla4[[#This Row],[Producto]],Tabla6[[#All],[PRODUCTO]],0),MATCH(Tabla4[[#This Row],[Mes]],Tabla6[#Headers],0)))</f>
        <v>#N/A</v>
      </c>
      <c r="R3449" s="282" t="e">
        <f>++Tabla4[[#This Row],[Precio Unitario Neto]]-Tabla4[[#This Row],[20.85%]]-Tabla4[[#This Row],[Costo]]</f>
        <v>#N/A</v>
      </c>
      <c r="S3449" s="282" t="e">
        <f>++Tabla4[[#This Row],[U. Bruta Uni]]*Tabla4[[#This Row],[Cantidad]]</f>
        <v>#N/A</v>
      </c>
      <c r="T3449" s="369" t="str">
        <f>VLOOKUP(Tabla4[[#This Row],[Producto]],Tabla6[#All],14,FALSE)</f>
        <v>Termico Solar</v>
      </c>
      <c r="U3449" s="284" t="e">
        <f>(IF(Tabla4[[#This Row],[Familia]]="termico solar",Tabla4[[#This Row],[Utilidad Total]]*6%,Tabla4[[#This Row],[Utilidad Total]]*11.5%))/Tabla4[[#This Row],[Total]]</f>
        <v>#N/A</v>
      </c>
      <c r="V3449" s="282" t="e">
        <f>+Tabla4[[#This Row],[Comisión Calculada]]*Tabla4[[#This Row],[Total]]</f>
        <v>#N/A</v>
      </c>
    </row>
    <row r="3450" spans="1:22" hidden="1" x14ac:dyDescent="0.25">
      <c r="A3450" s="100">
        <v>45823</v>
      </c>
      <c r="B3450" t="str">
        <f t="shared" si="162"/>
        <v>June</v>
      </c>
      <c r="C3450" s="46" t="s">
        <v>280</v>
      </c>
      <c r="F3450" s="366" t="s">
        <v>2041</v>
      </c>
      <c r="G3450" s="46" t="s">
        <v>208</v>
      </c>
      <c r="H3450" s="46">
        <v>2</v>
      </c>
      <c r="I3450" s="51">
        <v>189.75</v>
      </c>
      <c r="J3450" s="281">
        <f>++Tabla4[[#This Row],[Precio Bruto]]*1.16</f>
        <v>220.10999999999999</v>
      </c>
      <c r="K3450" s="281">
        <f>+Tabla4[[#This Row],[Precio Unitario Neto]]*Tabla4[[#Headers],[20.85%]]</f>
        <v>45.892934999999994</v>
      </c>
      <c r="L3450" s="282">
        <f>++Tabla4[[#This Row],[Precio Unitario Neto]]-Tabla4[[#This Row],[20.85%]]</f>
        <v>174.21706499999999</v>
      </c>
      <c r="M3450" s="282" t="e">
        <f>(INDEX(Tabla6[#All],MATCH(Tabla4[[#This Row],[Producto]],Tabla6[[#All],[PRODUCTO]],0),MATCH(Tabla4[[#This Row],[Mes]],Tabla6[#Headers],0)))*(1+Catalogos!$L$2)</f>
        <v>#N/A</v>
      </c>
      <c r="N3450" s="283" t="e">
        <f>+(Tabla4[[#This Row],[Precio Descontado]]-Tabla4[[#This Row],[Precio Base]])*Tabla4[[#This Row],[Cantidad]]</f>
        <v>#N/A</v>
      </c>
      <c r="O3450" s="284" t="e">
        <f>++Tabla4[[#This Row],[Utilidad Total]]/Tabla4[[#This Row],[Total]]</f>
        <v>#N/A</v>
      </c>
      <c r="P3450" s="282">
        <f>++Tabla4[[#This Row],[Precio Descontado]]*Tabla4[[#This Row],[Cantidad]]</f>
        <v>348.43412999999998</v>
      </c>
      <c r="Q3450" s="282" t="e">
        <f>(INDEX(Tabla6[#All],MATCH(Tabla4[[#This Row],[Producto]],Tabla6[[#All],[PRODUCTO]],0),MATCH(Tabla4[[#This Row],[Mes]],Tabla6[#Headers],0)))</f>
        <v>#N/A</v>
      </c>
      <c r="R3450" s="282" t="e">
        <f>++Tabla4[[#This Row],[Precio Unitario Neto]]-Tabla4[[#This Row],[20.85%]]-Tabla4[[#This Row],[Costo]]</f>
        <v>#N/A</v>
      </c>
      <c r="S3450" s="282" t="e">
        <f>++Tabla4[[#This Row],[U. Bruta Uni]]*Tabla4[[#This Row],[Cantidad]]</f>
        <v>#N/A</v>
      </c>
      <c r="T3450" s="369" t="str">
        <f>VLOOKUP(Tabla4[[#This Row],[Producto]],Tabla6[#All],14,FALSE)</f>
        <v>Termico Solar</v>
      </c>
      <c r="U3450" s="284" t="e">
        <f>(IF(Tabla4[[#This Row],[Familia]]="termico solar",Tabla4[[#This Row],[Utilidad Total]]*6%,Tabla4[[#This Row],[Utilidad Total]]*11.5%))/Tabla4[[#This Row],[Total]]</f>
        <v>#N/A</v>
      </c>
      <c r="V3450" s="282" t="e">
        <f>+Tabla4[[#This Row],[Comisión Calculada]]*Tabla4[[#This Row],[Total]]</f>
        <v>#N/A</v>
      </c>
    </row>
    <row r="3451" spans="1:22" hidden="1" x14ac:dyDescent="0.25">
      <c r="A3451" s="100">
        <v>45823</v>
      </c>
      <c r="B3451" t="str">
        <f t="shared" si="162"/>
        <v>June</v>
      </c>
      <c r="C3451" s="46" t="s">
        <v>280</v>
      </c>
      <c r="F3451" s="366" t="s">
        <v>2042</v>
      </c>
      <c r="G3451" s="46" t="s">
        <v>83</v>
      </c>
      <c r="H3451" s="46">
        <v>4</v>
      </c>
      <c r="I3451" s="51">
        <v>8858.76</v>
      </c>
      <c r="J3451" s="281">
        <f>++Tabla4[[#This Row],[Precio Bruto]]*1.16</f>
        <v>10276.161599999999</v>
      </c>
      <c r="K3451" s="281">
        <f>+Tabla4[[#This Row],[Precio Unitario Neto]]*Tabla4[[#Headers],[20.85%]]</f>
        <v>2142.5796935999997</v>
      </c>
      <c r="L3451" s="282">
        <f>++Tabla4[[#This Row],[Precio Unitario Neto]]-Tabla4[[#This Row],[20.85%]]</f>
        <v>8133.5819063999998</v>
      </c>
      <c r="M3451" s="282" t="e">
        <f>(INDEX(Tabla6[#All],MATCH(Tabla4[[#This Row],[Producto]],Tabla6[[#All],[PRODUCTO]],0),MATCH(Tabla4[[#This Row],[Mes]],Tabla6[#Headers],0)))*(1+Catalogos!$L$2)</f>
        <v>#N/A</v>
      </c>
      <c r="N3451" s="283" t="e">
        <f>+(Tabla4[[#This Row],[Precio Descontado]]-Tabla4[[#This Row],[Precio Base]])*Tabla4[[#This Row],[Cantidad]]</f>
        <v>#N/A</v>
      </c>
      <c r="O3451" s="284" t="e">
        <f>++Tabla4[[#This Row],[Utilidad Total]]/Tabla4[[#This Row],[Total]]</f>
        <v>#N/A</v>
      </c>
      <c r="P3451" s="282">
        <f>++Tabla4[[#This Row],[Precio Descontado]]*Tabla4[[#This Row],[Cantidad]]</f>
        <v>32534.327625599999</v>
      </c>
      <c r="Q3451" s="282" t="e">
        <f>(INDEX(Tabla6[#All],MATCH(Tabla4[[#This Row],[Producto]],Tabla6[[#All],[PRODUCTO]],0),MATCH(Tabla4[[#This Row],[Mes]],Tabla6[#Headers],0)))</f>
        <v>#N/A</v>
      </c>
      <c r="R3451" s="282" t="e">
        <f>++Tabla4[[#This Row],[Precio Unitario Neto]]-Tabla4[[#This Row],[20.85%]]-Tabla4[[#This Row],[Costo]]</f>
        <v>#N/A</v>
      </c>
      <c r="S3451" s="282" t="e">
        <f>++Tabla4[[#This Row],[U. Bruta Uni]]*Tabla4[[#This Row],[Cantidad]]</f>
        <v>#N/A</v>
      </c>
      <c r="T3451" s="369" t="str">
        <f>VLOOKUP(Tabla4[[#This Row],[Producto]],Tabla6[#All],14,FALSE)</f>
        <v>Termico Solar</v>
      </c>
      <c r="U3451" s="284" t="e">
        <f>(IF(Tabla4[[#This Row],[Familia]]="termico solar",Tabla4[[#This Row],[Utilidad Total]]*6%,Tabla4[[#This Row],[Utilidad Total]]*11.5%))/Tabla4[[#This Row],[Total]]</f>
        <v>#N/A</v>
      </c>
      <c r="V3451" s="282" t="e">
        <f>+Tabla4[[#This Row],[Comisión Calculada]]*Tabla4[[#This Row],[Total]]</f>
        <v>#N/A</v>
      </c>
    </row>
    <row r="3452" spans="1:22" hidden="1" x14ac:dyDescent="0.25">
      <c r="A3452" s="100">
        <v>45823</v>
      </c>
      <c r="B3452" t="str">
        <f t="shared" si="162"/>
        <v>June</v>
      </c>
      <c r="C3452" s="46" t="s">
        <v>280</v>
      </c>
      <c r="F3452" s="366" t="s">
        <v>2042</v>
      </c>
      <c r="G3452" s="46" t="s">
        <v>18</v>
      </c>
      <c r="H3452" s="46">
        <v>2</v>
      </c>
      <c r="I3452" s="51">
        <v>5367.65</v>
      </c>
      <c r="J3452" s="281">
        <f>++Tabla4[[#This Row],[Precio Bruto]]*1.16</f>
        <v>6226.4739999999993</v>
      </c>
      <c r="K3452" s="281">
        <f>+Tabla4[[#This Row],[Precio Unitario Neto]]*Tabla4[[#Headers],[20.85%]]</f>
        <v>1298.2198289999999</v>
      </c>
      <c r="L3452" s="282">
        <f>++Tabla4[[#This Row],[Precio Unitario Neto]]-Tabla4[[#This Row],[20.85%]]</f>
        <v>4928.2541709999996</v>
      </c>
      <c r="M3452" s="282" t="e">
        <f>(INDEX(Tabla6[#All],MATCH(Tabla4[[#This Row],[Producto]],Tabla6[[#All],[PRODUCTO]],0),MATCH(Tabla4[[#This Row],[Mes]],Tabla6[#Headers],0)))*(1+Catalogos!$L$2)</f>
        <v>#N/A</v>
      </c>
      <c r="N3452" s="283" t="e">
        <f>+(Tabla4[[#This Row],[Precio Descontado]]-Tabla4[[#This Row],[Precio Base]])*Tabla4[[#This Row],[Cantidad]]</f>
        <v>#N/A</v>
      </c>
      <c r="O3452" s="284" t="e">
        <f>++Tabla4[[#This Row],[Utilidad Total]]/Tabla4[[#This Row],[Total]]</f>
        <v>#N/A</v>
      </c>
      <c r="P3452" s="282">
        <f>++Tabla4[[#This Row],[Precio Descontado]]*Tabla4[[#This Row],[Cantidad]]</f>
        <v>9856.5083419999992</v>
      </c>
      <c r="Q3452" s="282" t="e">
        <f>(INDEX(Tabla6[#All],MATCH(Tabla4[[#This Row],[Producto]],Tabla6[[#All],[PRODUCTO]],0),MATCH(Tabla4[[#This Row],[Mes]],Tabla6[#Headers],0)))</f>
        <v>#N/A</v>
      </c>
      <c r="R3452" s="282" t="e">
        <f>++Tabla4[[#This Row],[Precio Unitario Neto]]-Tabla4[[#This Row],[20.85%]]-Tabla4[[#This Row],[Costo]]</f>
        <v>#N/A</v>
      </c>
      <c r="S3452" s="282" t="e">
        <f>++Tabla4[[#This Row],[U. Bruta Uni]]*Tabla4[[#This Row],[Cantidad]]</f>
        <v>#N/A</v>
      </c>
      <c r="T3452" s="369" t="str">
        <f>VLOOKUP(Tabla4[[#This Row],[Producto]],Tabla6[#All],14,FALSE)</f>
        <v>Termico Solar</v>
      </c>
      <c r="U3452" s="284" t="e">
        <f>(IF(Tabla4[[#This Row],[Familia]]="termico solar",Tabla4[[#This Row],[Utilidad Total]]*6%,Tabla4[[#This Row],[Utilidad Total]]*11.5%))/Tabla4[[#This Row],[Total]]</f>
        <v>#N/A</v>
      </c>
      <c r="V3452" s="282" t="e">
        <f>+Tabla4[[#This Row],[Comisión Calculada]]*Tabla4[[#This Row],[Total]]</f>
        <v>#N/A</v>
      </c>
    </row>
    <row r="3453" spans="1:22" hidden="1" x14ac:dyDescent="0.25">
      <c r="A3453" s="100">
        <v>45823</v>
      </c>
      <c r="B3453" t="str">
        <f t="shared" si="162"/>
        <v>June</v>
      </c>
      <c r="C3453" s="46" t="s">
        <v>280</v>
      </c>
      <c r="F3453" s="366" t="s">
        <v>2042</v>
      </c>
      <c r="G3453" s="46" t="s">
        <v>555</v>
      </c>
      <c r="H3453" s="46">
        <v>8</v>
      </c>
      <c r="I3453" s="51">
        <v>389.47</v>
      </c>
      <c r="J3453" s="281">
        <f>++Tabla4[[#This Row],[Precio Bruto]]*1.16</f>
        <v>451.78519999999997</v>
      </c>
      <c r="K3453" s="281">
        <f>+Tabla4[[#This Row],[Precio Unitario Neto]]*Tabla4[[#Headers],[20.85%]]</f>
        <v>94.197214199999991</v>
      </c>
      <c r="L3453" s="282">
        <f>++Tabla4[[#This Row],[Precio Unitario Neto]]-Tabla4[[#This Row],[20.85%]]</f>
        <v>357.58798579999996</v>
      </c>
      <c r="M3453" s="282" t="e">
        <f>(INDEX(Tabla6[#All],MATCH(Tabla4[[#This Row],[Producto]],Tabla6[[#All],[PRODUCTO]],0),MATCH(Tabla4[[#This Row],[Mes]],Tabla6[#Headers],0)))*(1+Catalogos!$L$2)</f>
        <v>#N/A</v>
      </c>
      <c r="N3453" s="283" t="e">
        <f>+(Tabla4[[#This Row],[Precio Descontado]]-Tabla4[[#This Row],[Precio Base]])*Tabla4[[#This Row],[Cantidad]]</f>
        <v>#N/A</v>
      </c>
      <c r="O3453" s="284" t="e">
        <f>++Tabla4[[#This Row],[Utilidad Total]]/Tabla4[[#This Row],[Total]]</f>
        <v>#N/A</v>
      </c>
      <c r="P3453" s="282">
        <f>++Tabla4[[#This Row],[Precio Descontado]]*Tabla4[[#This Row],[Cantidad]]</f>
        <v>2860.7038863999996</v>
      </c>
      <c r="Q3453" s="282" t="e">
        <f>(INDEX(Tabla6[#All],MATCH(Tabla4[[#This Row],[Producto]],Tabla6[[#All],[PRODUCTO]],0),MATCH(Tabla4[[#This Row],[Mes]],Tabla6[#Headers],0)))</f>
        <v>#N/A</v>
      </c>
      <c r="R3453" s="282" t="e">
        <f>++Tabla4[[#This Row],[Precio Unitario Neto]]-Tabla4[[#This Row],[20.85%]]-Tabla4[[#This Row],[Costo]]</f>
        <v>#N/A</v>
      </c>
      <c r="S3453" s="282" t="e">
        <f>++Tabla4[[#This Row],[U. Bruta Uni]]*Tabla4[[#This Row],[Cantidad]]</f>
        <v>#N/A</v>
      </c>
      <c r="T3453" s="369" t="str">
        <f>VLOOKUP(Tabla4[[#This Row],[Producto]],Tabla6[#All],14,FALSE)</f>
        <v>Termico Solar</v>
      </c>
      <c r="U3453" s="284" t="e">
        <f>(IF(Tabla4[[#This Row],[Familia]]="termico solar",Tabla4[[#This Row],[Utilidad Total]]*6%,Tabla4[[#This Row],[Utilidad Total]]*11.5%))/Tabla4[[#This Row],[Total]]</f>
        <v>#N/A</v>
      </c>
      <c r="V3453" s="282" t="e">
        <f>+Tabla4[[#This Row],[Comisión Calculada]]*Tabla4[[#This Row],[Total]]</f>
        <v>#N/A</v>
      </c>
    </row>
    <row r="3454" spans="1:22" hidden="1" x14ac:dyDescent="0.25">
      <c r="A3454" s="100">
        <v>45823</v>
      </c>
      <c r="B3454" t="str">
        <f t="shared" si="162"/>
        <v>June</v>
      </c>
      <c r="C3454" s="46" t="s">
        <v>280</v>
      </c>
      <c r="F3454" s="366" t="s">
        <v>2043</v>
      </c>
      <c r="G3454" s="46" t="s">
        <v>83</v>
      </c>
      <c r="H3454" s="46">
        <v>2</v>
      </c>
      <c r="I3454" s="51">
        <v>8858.76</v>
      </c>
      <c r="J3454" s="281">
        <f>++Tabla4[[#This Row],[Precio Bruto]]*1.16</f>
        <v>10276.161599999999</v>
      </c>
      <c r="K3454" s="281">
        <f>+Tabla4[[#This Row],[Precio Unitario Neto]]*Tabla4[[#Headers],[20.85%]]</f>
        <v>2142.5796935999997</v>
      </c>
      <c r="L3454" s="282">
        <f>++Tabla4[[#This Row],[Precio Unitario Neto]]-Tabla4[[#This Row],[20.85%]]</f>
        <v>8133.5819063999998</v>
      </c>
      <c r="M3454" s="282" t="e">
        <f>(INDEX(Tabla6[#All],MATCH(Tabla4[[#This Row],[Producto]],Tabla6[[#All],[PRODUCTO]],0),MATCH(Tabla4[[#This Row],[Mes]],Tabla6[#Headers],0)))*(1+Catalogos!$L$2)</f>
        <v>#N/A</v>
      </c>
      <c r="N3454" s="283" t="e">
        <f>+(Tabla4[[#This Row],[Precio Descontado]]-Tabla4[[#This Row],[Precio Base]])*Tabla4[[#This Row],[Cantidad]]</f>
        <v>#N/A</v>
      </c>
      <c r="O3454" s="284" t="e">
        <f>++Tabla4[[#This Row],[Utilidad Total]]/Tabla4[[#This Row],[Total]]</f>
        <v>#N/A</v>
      </c>
      <c r="P3454" s="282">
        <f>++Tabla4[[#This Row],[Precio Descontado]]*Tabla4[[#This Row],[Cantidad]]</f>
        <v>16267.1638128</v>
      </c>
      <c r="Q3454" s="282" t="e">
        <f>(INDEX(Tabla6[#All],MATCH(Tabla4[[#This Row],[Producto]],Tabla6[[#All],[PRODUCTO]],0),MATCH(Tabla4[[#This Row],[Mes]],Tabla6[#Headers],0)))</f>
        <v>#N/A</v>
      </c>
      <c r="R3454" s="282" t="e">
        <f>++Tabla4[[#This Row],[Precio Unitario Neto]]-Tabla4[[#This Row],[20.85%]]-Tabla4[[#This Row],[Costo]]</f>
        <v>#N/A</v>
      </c>
      <c r="S3454" s="282" t="e">
        <f>++Tabla4[[#This Row],[U. Bruta Uni]]*Tabla4[[#This Row],[Cantidad]]</f>
        <v>#N/A</v>
      </c>
      <c r="T3454" s="369" t="str">
        <f>VLOOKUP(Tabla4[[#This Row],[Producto]],Tabla6[#All],14,FALSE)</f>
        <v>Termico Solar</v>
      </c>
      <c r="U3454" s="284" t="e">
        <f>(IF(Tabla4[[#This Row],[Familia]]="termico solar",Tabla4[[#This Row],[Utilidad Total]]*6%,Tabla4[[#This Row],[Utilidad Total]]*11.5%))/Tabla4[[#This Row],[Total]]</f>
        <v>#N/A</v>
      </c>
      <c r="V3454" s="282" t="e">
        <f>+Tabla4[[#This Row],[Comisión Calculada]]*Tabla4[[#This Row],[Total]]</f>
        <v>#N/A</v>
      </c>
    </row>
    <row r="3455" spans="1:22" hidden="1" x14ac:dyDescent="0.25">
      <c r="A3455" s="100">
        <v>45823</v>
      </c>
      <c r="B3455" t="str">
        <f t="shared" si="162"/>
        <v>June</v>
      </c>
      <c r="C3455" s="46" t="s">
        <v>280</v>
      </c>
      <c r="F3455" s="366" t="s">
        <v>2043</v>
      </c>
      <c r="G3455" s="46" t="s">
        <v>17</v>
      </c>
      <c r="H3455" s="46">
        <v>3</v>
      </c>
      <c r="I3455" s="51">
        <v>4622.28</v>
      </c>
      <c r="J3455" s="281">
        <f>++Tabla4[[#This Row],[Precio Bruto]]*1.16</f>
        <v>5361.8447999999989</v>
      </c>
      <c r="K3455" s="281">
        <f>+Tabla4[[#This Row],[Precio Unitario Neto]]*Tabla4[[#Headers],[20.85%]]</f>
        <v>1117.9446407999997</v>
      </c>
      <c r="L3455" s="282">
        <f>++Tabla4[[#This Row],[Precio Unitario Neto]]-Tabla4[[#This Row],[20.85%]]</f>
        <v>4243.9001591999995</v>
      </c>
      <c r="M3455" s="282" t="e">
        <f>(INDEX(Tabla6[#All],MATCH(Tabla4[[#This Row],[Producto]],Tabla6[[#All],[PRODUCTO]],0),MATCH(Tabla4[[#This Row],[Mes]],Tabla6[#Headers],0)))*(1+Catalogos!$L$2)</f>
        <v>#N/A</v>
      </c>
      <c r="N3455" s="283" t="e">
        <f>+(Tabla4[[#This Row],[Precio Descontado]]-Tabla4[[#This Row],[Precio Base]])*Tabla4[[#This Row],[Cantidad]]</f>
        <v>#N/A</v>
      </c>
      <c r="O3455" s="284" t="e">
        <f>++Tabla4[[#This Row],[Utilidad Total]]/Tabla4[[#This Row],[Total]]</f>
        <v>#N/A</v>
      </c>
      <c r="P3455" s="282">
        <f>++Tabla4[[#This Row],[Precio Descontado]]*Tabla4[[#This Row],[Cantidad]]</f>
        <v>12731.700477599999</v>
      </c>
      <c r="Q3455" s="282" t="e">
        <f>(INDEX(Tabla6[#All],MATCH(Tabla4[[#This Row],[Producto]],Tabla6[[#All],[PRODUCTO]],0),MATCH(Tabla4[[#This Row],[Mes]],Tabla6[#Headers],0)))</f>
        <v>#N/A</v>
      </c>
      <c r="R3455" s="282" t="e">
        <f>++Tabla4[[#This Row],[Precio Unitario Neto]]-Tabla4[[#This Row],[20.85%]]-Tabla4[[#This Row],[Costo]]</f>
        <v>#N/A</v>
      </c>
      <c r="S3455" s="282" t="e">
        <f>++Tabla4[[#This Row],[U. Bruta Uni]]*Tabla4[[#This Row],[Cantidad]]</f>
        <v>#N/A</v>
      </c>
      <c r="T3455" s="369" t="str">
        <f>VLOOKUP(Tabla4[[#This Row],[Producto]],Tabla6[#All],14,FALSE)</f>
        <v>Termico Solar</v>
      </c>
      <c r="U3455" s="284" t="e">
        <f>(IF(Tabla4[[#This Row],[Familia]]="termico solar",Tabla4[[#This Row],[Utilidad Total]]*6%,Tabla4[[#This Row],[Utilidad Total]]*11.5%))/Tabla4[[#This Row],[Total]]</f>
        <v>#N/A</v>
      </c>
      <c r="V3455" s="282" t="e">
        <f>+Tabla4[[#This Row],[Comisión Calculada]]*Tabla4[[#This Row],[Total]]</f>
        <v>#N/A</v>
      </c>
    </row>
    <row r="3456" spans="1:22" hidden="1" x14ac:dyDescent="0.25">
      <c r="A3456" s="100">
        <v>45823</v>
      </c>
      <c r="B3456" t="str">
        <f t="shared" si="162"/>
        <v>June</v>
      </c>
      <c r="C3456" s="46" t="s">
        <v>280</v>
      </c>
      <c r="F3456" s="366" t="s">
        <v>2044</v>
      </c>
      <c r="G3456" s="46" t="s">
        <v>16</v>
      </c>
      <c r="H3456" s="46">
        <v>1</v>
      </c>
      <c r="I3456" s="51">
        <v>4103.8500000000004</v>
      </c>
      <c r="J3456" s="281">
        <f>++Tabla4[[#This Row],[Precio Bruto]]*1.16</f>
        <v>4760.4660000000003</v>
      </c>
      <c r="K3456" s="281">
        <f>+Tabla4[[#This Row],[Precio Unitario Neto]]*Tabla4[[#Headers],[20.85%]]</f>
        <v>992.55716100000006</v>
      </c>
      <c r="L3456" s="282">
        <f>++Tabla4[[#This Row],[Precio Unitario Neto]]-Tabla4[[#This Row],[20.85%]]</f>
        <v>3767.9088390000002</v>
      </c>
      <c r="M3456" s="282" t="e">
        <f>(INDEX(Tabla6[#All],MATCH(Tabla4[[#This Row],[Producto]],Tabla6[[#All],[PRODUCTO]],0),MATCH(Tabla4[[#This Row],[Mes]],Tabla6[#Headers],0)))*(1+Catalogos!$L$2)</f>
        <v>#N/A</v>
      </c>
      <c r="N3456" s="283" t="e">
        <f>+(Tabla4[[#This Row],[Precio Descontado]]-Tabla4[[#This Row],[Precio Base]])*Tabla4[[#This Row],[Cantidad]]</f>
        <v>#N/A</v>
      </c>
      <c r="O3456" s="284" t="e">
        <f>++Tabla4[[#This Row],[Utilidad Total]]/Tabla4[[#This Row],[Total]]</f>
        <v>#N/A</v>
      </c>
      <c r="P3456" s="282">
        <f>++Tabla4[[#This Row],[Precio Descontado]]*Tabla4[[#This Row],[Cantidad]]</f>
        <v>3767.9088390000002</v>
      </c>
      <c r="Q3456" s="282" t="e">
        <f>(INDEX(Tabla6[#All],MATCH(Tabla4[[#This Row],[Producto]],Tabla6[[#All],[PRODUCTO]],0),MATCH(Tabla4[[#This Row],[Mes]],Tabla6[#Headers],0)))</f>
        <v>#N/A</v>
      </c>
      <c r="R3456" s="282" t="e">
        <f>++Tabla4[[#This Row],[Precio Unitario Neto]]-Tabla4[[#This Row],[20.85%]]-Tabla4[[#This Row],[Costo]]</f>
        <v>#N/A</v>
      </c>
      <c r="S3456" s="282" t="e">
        <f>++Tabla4[[#This Row],[U. Bruta Uni]]*Tabla4[[#This Row],[Cantidad]]</f>
        <v>#N/A</v>
      </c>
      <c r="T3456" s="369" t="str">
        <f>VLOOKUP(Tabla4[[#This Row],[Producto]],Tabla6[#All],14,FALSE)</f>
        <v>Termico Solar</v>
      </c>
      <c r="U3456" s="284" t="e">
        <f>(IF(Tabla4[[#This Row],[Familia]]="termico solar",Tabla4[[#This Row],[Utilidad Total]]*6%,Tabla4[[#This Row],[Utilidad Total]]*11.5%))/Tabla4[[#This Row],[Total]]</f>
        <v>#N/A</v>
      </c>
      <c r="V3456" s="282" t="e">
        <f>+Tabla4[[#This Row],[Comisión Calculada]]*Tabla4[[#This Row],[Total]]</f>
        <v>#N/A</v>
      </c>
    </row>
    <row r="3457" spans="1:22" hidden="1" x14ac:dyDescent="0.25">
      <c r="A3457" s="100">
        <v>45823</v>
      </c>
      <c r="B3457" t="str">
        <f t="shared" si="162"/>
        <v>June</v>
      </c>
      <c r="C3457" s="46" t="s">
        <v>280</v>
      </c>
      <c r="F3457" s="366" t="s">
        <v>2044</v>
      </c>
      <c r="G3457" s="46" t="s">
        <v>208</v>
      </c>
      <c r="H3457" s="46">
        <v>3</v>
      </c>
      <c r="I3457" s="51">
        <v>189.75</v>
      </c>
      <c r="J3457" s="281">
        <f>++Tabla4[[#This Row],[Precio Bruto]]*1.16</f>
        <v>220.10999999999999</v>
      </c>
      <c r="K3457" s="281">
        <f>+Tabla4[[#This Row],[Precio Unitario Neto]]*Tabla4[[#Headers],[20.85%]]</f>
        <v>45.892934999999994</v>
      </c>
      <c r="L3457" s="282">
        <f>++Tabla4[[#This Row],[Precio Unitario Neto]]-Tabla4[[#This Row],[20.85%]]</f>
        <v>174.21706499999999</v>
      </c>
      <c r="M3457" s="282" t="e">
        <f>(INDEX(Tabla6[#All],MATCH(Tabla4[[#This Row],[Producto]],Tabla6[[#All],[PRODUCTO]],0),MATCH(Tabla4[[#This Row],[Mes]],Tabla6[#Headers],0)))*(1+Catalogos!$L$2)</f>
        <v>#N/A</v>
      </c>
      <c r="N3457" s="283" t="e">
        <f>+(Tabla4[[#This Row],[Precio Descontado]]-Tabla4[[#This Row],[Precio Base]])*Tabla4[[#This Row],[Cantidad]]</f>
        <v>#N/A</v>
      </c>
      <c r="O3457" s="284" t="e">
        <f>++Tabla4[[#This Row],[Utilidad Total]]/Tabla4[[#This Row],[Total]]</f>
        <v>#N/A</v>
      </c>
      <c r="P3457" s="282">
        <f>++Tabla4[[#This Row],[Precio Descontado]]*Tabla4[[#This Row],[Cantidad]]</f>
        <v>522.65119499999992</v>
      </c>
      <c r="Q3457" s="282" t="e">
        <f>(INDEX(Tabla6[#All],MATCH(Tabla4[[#This Row],[Producto]],Tabla6[[#All],[PRODUCTO]],0),MATCH(Tabla4[[#This Row],[Mes]],Tabla6[#Headers],0)))</f>
        <v>#N/A</v>
      </c>
      <c r="R3457" s="282" t="e">
        <f>++Tabla4[[#This Row],[Precio Unitario Neto]]-Tabla4[[#This Row],[20.85%]]-Tabla4[[#This Row],[Costo]]</f>
        <v>#N/A</v>
      </c>
      <c r="S3457" s="282" t="e">
        <f>++Tabla4[[#This Row],[U. Bruta Uni]]*Tabla4[[#This Row],[Cantidad]]</f>
        <v>#N/A</v>
      </c>
      <c r="T3457" s="369" t="str">
        <f>VLOOKUP(Tabla4[[#This Row],[Producto]],Tabla6[#All],14,FALSE)</f>
        <v>Termico Solar</v>
      </c>
      <c r="U3457" s="284" t="e">
        <f>(IF(Tabla4[[#This Row],[Familia]]="termico solar",Tabla4[[#This Row],[Utilidad Total]]*6%,Tabla4[[#This Row],[Utilidad Total]]*11.5%))/Tabla4[[#This Row],[Total]]</f>
        <v>#N/A</v>
      </c>
      <c r="V3457" s="282" t="e">
        <f>+Tabla4[[#This Row],[Comisión Calculada]]*Tabla4[[#This Row],[Total]]</f>
        <v>#N/A</v>
      </c>
    </row>
    <row r="3458" spans="1:22" hidden="1" x14ac:dyDescent="0.25">
      <c r="A3458" s="100">
        <v>45823</v>
      </c>
      <c r="B3458" t="str">
        <f t="shared" si="162"/>
        <v>June</v>
      </c>
      <c r="C3458" s="46" t="s">
        <v>280</v>
      </c>
      <c r="F3458" s="366" t="s">
        <v>2045</v>
      </c>
      <c r="G3458" s="46" t="s">
        <v>566</v>
      </c>
      <c r="H3458" s="46">
        <v>1</v>
      </c>
      <c r="I3458" s="51">
        <v>2109.4499999999998</v>
      </c>
      <c r="J3458" s="281">
        <f>++Tabla4[[#This Row],[Precio Bruto]]*1.16</f>
        <v>2446.9619999999995</v>
      </c>
      <c r="K3458" s="281">
        <f>+Tabla4[[#This Row],[Precio Unitario Neto]]*Tabla4[[#Headers],[20.85%]]</f>
        <v>510.19157699999988</v>
      </c>
      <c r="L3458" s="282">
        <f>++Tabla4[[#This Row],[Precio Unitario Neto]]-Tabla4[[#This Row],[20.85%]]</f>
        <v>1936.7704229999997</v>
      </c>
      <c r="M3458" s="282" t="e">
        <f>(INDEX(Tabla6[#All],MATCH(Tabla4[[#This Row],[Producto]],Tabla6[[#All],[PRODUCTO]],0),MATCH(Tabla4[[#This Row],[Mes]],Tabla6[#Headers],0)))*(1+Catalogos!$L$2)</f>
        <v>#N/A</v>
      </c>
      <c r="N3458" s="283" t="e">
        <f>+(Tabla4[[#This Row],[Precio Descontado]]-Tabla4[[#This Row],[Precio Base]])*Tabla4[[#This Row],[Cantidad]]</f>
        <v>#N/A</v>
      </c>
      <c r="O3458" s="284" t="e">
        <f>++Tabla4[[#This Row],[Utilidad Total]]/Tabla4[[#This Row],[Total]]</f>
        <v>#N/A</v>
      </c>
      <c r="P3458" s="282">
        <f>++Tabla4[[#This Row],[Precio Descontado]]*Tabla4[[#This Row],[Cantidad]]</f>
        <v>1936.7704229999997</v>
      </c>
      <c r="Q3458" s="282" t="e">
        <f>(INDEX(Tabla6[#All],MATCH(Tabla4[[#This Row],[Producto]],Tabla6[[#All],[PRODUCTO]],0),MATCH(Tabla4[[#This Row],[Mes]],Tabla6[#Headers],0)))</f>
        <v>#N/A</v>
      </c>
      <c r="R3458" s="282" t="e">
        <f>++Tabla4[[#This Row],[Precio Unitario Neto]]-Tabla4[[#This Row],[20.85%]]-Tabla4[[#This Row],[Costo]]</f>
        <v>#N/A</v>
      </c>
      <c r="S3458" s="282" t="e">
        <f>++Tabla4[[#This Row],[U. Bruta Uni]]*Tabla4[[#This Row],[Cantidad]]</f>
        <v>#N/A</v>
      </c>
      <c r="T3458" s="369" t="str">
        <f>VLOOKUP(Tabla4[[#This Row],[Producto]],Tabla6[#All],14,FALSE)</f>
        <v>Termico Solar</v>
      </c>
      <c r="U3458" s="284" t="e">
        <f>(IF(Tabla4[[#This Row],[Familia]]="termico solar",Tabla4[[#This Row],[Utilidad Total]]*6%,Tabla4[[#This Row],[Utilidad Total]]*11.5%))/Tabla4[[#This Row],[Total]]</f>
        <v>#N/A</v>
      </c>
      <c r="V3458" s="282" t="e">
        <f>+Tabla4[[#This Row],[Comisión Calculada]]*Tabla4[[#This Row],[Total]]</f>
        <v>#N/A</v>
      </c>
    </row>
    <row r="3459" spans="1:22" hidden="1" x14ac:dyDescent="0.25">
      <c r="A3459" s="100">
        <v>45823</v>
      </c>
      <c r="B3459" t="str">
        <f t="shared" si="162"/>
        <v>June</v>
      </c>
      <c r="C3459" s="46" t="s">
        <v>280</v>
      </c>
      <c r="F3459" s="366" t="s">
        <v>2046</v>
      </c>
      <c r="G3459" s="46" t="s">
        <v>566</v>
      </c>
      <c r="H3459" s="46">
        <v>1</v>
      </c>
      <c r="I3459" s="51">
        <v>2109.4499999999998</v>
      </c>
      <c r="J3459" s="281">
        <f>++Tabla4[[#This Row],[Precio Bruto]]*1.16</f>
        <v>2446.9619999999995</v>
      </c>
      <c r="K3459" s="281">
        <f>+Tabla4[[#This Row],[Precio Unitario Neto]]*Tabla4[[#Headers],[20.85%]]</f>
        <v>510.19157699999988</v>
      </c>
      <c r="L3459" s="282">
        <f>++Tabla4[[#This Row],[Precio Unitario Neto]]-Tabla4[[#This Row],[20.85%]]</f>
        <v>1936.7704229999997</v>
      </c>
      <c r="M3459" s="282" t="e">
        <f>(INDEX(Tabla6[#All],MATCH(Tabla4[[#This Row],[Producto]],Tabla6[[#All],[PRODUCTO]],0),MATCH(Tabla4[[#This Row],[Mes]],Tabla6[#Headers],0)))*(1+Catalogos!$L$2)</f>
        <v>#N/A</v>
      </c>
      <c r="N3459" s="283" t="e">
        <f>+(Tabla4[[#This Row],[Precio Descontado]]-Tabla4[[#This Row],[Precio Base]])*Tabla4[[#This Row],[Cantidad]]</f>
        <v>#N/A</v>
      </c>
      <c r="O3459" s="284" t="e">
        <f>++Tabla4[[#This Row],[Utilidad Total]]/Tabla4[[#This Row],[Total]]</f>
        <v>#N/A</v>
      </c>
      <c r="P3459" s="282">
        <f>++Tabla4[[#This Row],[Precio Descontado]]*Tabla4[[#This Row],[Cantidad]]</f>
        <v>1936.7704229999997</v>
      </c>
      <c r="Q3459" s="282" t="e">
        <f>(INDEX(Tabla6[#All],MATCH(Tabla4[[#This Row],[Producto]],Tabla6[[#All],[PRODUCTO]],0),MATCH(Tabla4[[#This Row],[Mes]],Tabla6[#Headers],0)))</f>
        <v>#N/A</v>
      </c>
      <c r="R3459" s="282" t="e">
        <f>++Tabla4[[#This Row],[Precio Unitario Neto]]-Tabla4[[#This Row],[20.85%]]-Tabla4[[#This Row],[Costo]]</f>
        <v>#N/A</v>
      </c>
      <c r="S3459" s="282" t="e">
        <f>++Tabla4[[#This Row],[U. Bruta Uni]]*Tabla4[[#This Row],[Cantidad]]</f>
        <v>#N/A</v>
      </c>
      <c r="T3459" s="369" t="str">
        <f>VLOOKUP(Tabla4[[#This Row],[Producto]],Tabla6[#All],14,FALSE)</f>
        <v>Termico Solar</v>
      </c>
      <c r="U3459" s="284" t="e">
        <f>(IF(Tabla4[[#This Row],[Familia]]="termico solar",Tabla4[[#This Row],[Utilidad Total]]*6%,Tabla4[[#This Row],[Utilidad Total]]*11.5%))/Tabla4[[#This Row],[Total]]</f>
        <v>#N/A</v>
      </c>
      <c r="V3459" s="282" t="e">
        <f>+Tabla4[[#This Row],[Comisión Calculada]]*Tabla4[[#This Row],[Total]]</f>
        <v>#N/A</v>
      </c>
    </row>
    <row r="3460" spans="1:22" hidden="1" x14ac:dyDescent="0.25">
      <c r="A3460" s="100">
        <v>45823</v>
      </c>
      <c r="B3460" t="str">
        <f t="shared" si="162"/>
        <v>June</v>
      </c>
      <c r="C3460" s="46" t="s">
        <v>280</v>
      </c>
      <c r="F3460" s="366" t="s">
        <v>2046</v>
      </c>
      <c r="G3460" s="46" t="s">
        <v>394</v>
      </c>
      <c r="H3460" s="46">
        <v>16</v>
      </c>
      <c r="I3460" s="51">
        <v>224.29</v>
      </c>
      <c r="J3460" s="281">
        <f>++Tabla4[[#This Row],[Precio Bruto]]*1.16</f>
        <v>260.1764</v>
      </c>
      <c r="K3460" s="281">
        <f>+Tabla4[[#This Row],[Precio Unitario Neto]]*Tabla4[[#Headers],[20.85%]]</f>
        <v>54.246779400000001</v>
      </c>
      <c r="L3460" s="282">
        <f>++Tabla4[[#This Row],[Precio Unitario Neto]]-Tabla4[[#This Row],[20.85%]]</f>
        <v>205.92962059999999</v>
      </c>
      <c r="M3460" s="282" t="e">
        <f>(INDEX(Tabla6[#All],MATCH(Tabla4[[#This Row],[Producto]],Tabla6[[#All],[PRODUCTO]],0),MATCH(Tabla4[[#This Row],[Mes]],Tabla6[#Headers],0)))*(1+Catalogos!$L$2)</f>
        <v>#N/A</v>
      </c>
      <c r="N3460" s="283" t="e">
        <f>+(Tabla4[[#This Row],[Precio Descontado]]-Tabla4[[#This Row],[Precio Base]])*Tabla4[[#This Row],[Cantidad]]</f>
        <v>#N/A</v>
      </c>
      <c r="O3460" s="284" t="e">
        <f>++Tabla4[[#This Row],[Utilidad Total]]/Tabla4[[#This Row],[Total]]</f>
        <v>#N/A</v>
      </c>
      <c r="P3460" s="282">
        <f>++Tabla4[[#This Row],[Precio Descontado]]*Tabla4[[#This Row],[Cantidad]]</f>
        <v>3294.8739295999999</v>
      </c>
      <c r="Q3460" s="282" t="e">
        <f>(INDEX(Tabla6[#All],MATCH(Tabla4[[#This Row],[Producto]],Tabla6[[#All],[PRODUCTO]],0),MATCH(Tabla4[[#This Row],[Mes]],Tabla6[#Headers],0)))</f>
        <v>#N/A</v>
      </c>
      <c r="R3460" s="282" t="e">
        <f>++Tabla4[[#This Row],[Precio Unitario Neto]]-Tabla4[[#This Row],[20.85%]]-Tabla4[[#This Row],[Costo]]</f>
        <v>#N/A</v>
      </c>
      <c r="S3460" s="282" t="e">
        <f>++Tabla4[[#This Row],[U. Bruta Uni]]*Tabla4[[#This Row],[Cantidad]]</f>
        <v>#N/A</v>
      </c>
      <c r="T3460" s="369" t="str">
        <f>VLOOKUP(Tabla4[[#This Row],[Producto]],Tabla6[#All],14,FALSE)</f>
        <v>Termico Solar</v>
      </c>
      <c r="U3460" s="284" t="e">
        <f>(IF(Tabla4[[#This Row],[Familia]]="termico solar",Tabla4[[#This Row],[Utilidad Total]]*6%,Tabla4[[#This Row],[Utilidad Total]]*11.5%))/Tabla4[[#This Row],[Total]]</f>
        <v>#N/A</v>
      </c>
      <c r="V3460" s="282" t="e">
        <f>+Tabla4[[#This Row],[Comisión Calculada]]*Tabla4[[#This Row],[Total]]</f>
        <v>#N/A</v>
      </c>
    </row>
    <row r="3461" spans="1:22" hidden="1" x14ac:dyDescent="0.25">
      <c r="A3461" s="100">
        <v>45823</v>
      </c>
      <c r="B3461" t="str">
        <f t="shared" si="162"/>
        <v>June</v>
      </c>
      <c r="C3461" s="46" t="s">
        <v>280</v>
      </c>
      <c r="F3461" s="366" t="s">
        <v>2046</v>
      </c>
      <c r="G3461" s="46" t="s">
        <v>208</v>
      </c>
      <c r="H3461" s="46">
        <v>1</v>
      </c>
      <c r="I3461" s="51">
        <v>189.75</v>
      </c>
      <c r="J3461" s="281">
        <f>++Tabla4[[#This Row],[Precio Bruto]]*1.16</f>
        <v>220.10999999999999</v>
      </c>
      <c r="K3461" s="281">
        <f>+Tabla4[[#This Row],[Precio Unitario Neto]]*Tabla4[[#Headers],[20.85%]]</f>
        <v>45.892934999999994</v>
      </c>
      <c r="L3461" s="282">
        <f>++Tabla4[[#This Row],[Precio Unitario Neto]]-Tabla4[[#This Row],[20.85%]]</f>
        <v>174.21706499999999</v>
      </c>
      <c r="M3461" s="282" t="e">
        <f>(INDEX(Tabla6[#All],MATCH(Tabla4[[#This Row],[Producto]],Tabla6[[#All],[PRODUCTO]],0),MATCH(Tabla4[[#This Row],[Mes]],Tabla6[#Headers],0)))*(1+Catalogos!$L$2)</f>
        <v>#N/A</v>
      </c>
      <c r="N3461" s="283" t="e">
        <f>+(Tabla4[[#This Row],[Precio Descontado]]-Tabla4[[#This Row],[Precio Base]])*Tabla4[[#This Row],[Cantidad]]</f>
        <v>#N/A</v>
      </c>
      <c r="O3461" s="284" t="e">
        <f>++Tabla4[[#This Row],[Utilidad Total]]/Tabla4[[#This Row],[Total]]</f>
        <v>#N/A</v>
      </c>
      <c r="P3461" s="282">
        <f>++Tabla4[[#This Row],[Precio Descontado]]*Tabla4[[#This Row],[Cantidad]]</f>
        <v>174.21706499999999</v>
      </c>
      <c r="Q3461" s="282" t="e">
        <f>(INDEX(Tabla6[#All],MATCH(Tabla4[[#This Row],[Producto]],Tabla6[[#All],[PRODUCTO]],0),MATCH(Tabla4[[#This Row],[Mes]],Tabla6[#Headers],0)))</f>
        <v>#N/A</v>
      </c>
      <c r="R3461" s="282" t="e">
        <f>++Tabla4[[#This Row],[Precio Unitario Neto]]-Tabla4[[#This Row],[20.85%]]-Tabla4[[#This Row],[Costo]]</f>
        <v>#N/A</v>
      </c>
      <c r="S3461" s="282" t="e">
        <f>++Tabla4[[#This Row],[U. Bruta Uni]]*Tabla4[[#This Row],[Cantidad]]</f>
        <v>#N/A</v>
      </c>
      <c r="T3461" s="369" t="str">
        <f>VLOOKUP(Tabla4[[#This Row],[Producto]],Tabla6[#All],14,FALSE)</f>
        <v>Termico Solar</v>
      </c>
      <c r="U3461" s="284" t="e">
        <f>(IF(Tabla4[[#This Row],[Familia]]="termico solar",Tabla4[[#This Row],[Utilidad Total]]*6%,Tabla4[[#This Row],[Utilidad Total]]*11.5%))/Tabla4[[#This Row],[Total]]</f>
        <v>#N/A</v>
      </c>
      <c r="V3461" s="282" t="e">
        <f>+Tabla4[[#This Row],[Comisión Calculada]]*Tabla4[[#This Row],[Total]]</f>
        <v>#N/A</v>
      </c>
    </row>
    <row r="3462" spans="1:22" hidden="1" x14ac:dyDescent="0.25">
      <c r="A3462" s="100">
        <v>45823</v>
      </c>
      <c r="B3462" t="str">
        <f t="shared" si="162"/>
        <v>June</v>
      </c>
      <c r="C3462" s="46" t="s">
        <v>280</v>
      </c>
      <c r="F3462" s="366" t="s">
        <v>2047</v>
      </c>
      <c r="G3462" s="46" t="s">
        <v>83</v>
      </c>
      <c r="H3462" s="46">
        <v>1</v>
      </c>
      <c r="I3462" s="51">
        <v>8858.76</v>
      </c>
      <c r="J3462" s="281">
        <f>++Tabla4[[#This Row],[Precio Bruto]]*1.16</f>
        <v>10276.161599999999</v>
      </c>
      <c r="K3462" s="281">
        <f>+Tabla4[[#This Row],[Precio Unitario Neto]]*Tabla4[[#Headers],[20.85%]]</f>
        <v>2142.5796935999997</v>
      </c>
      <c r="L3462" s="282">
        <f>++Tabla4[[#This Row],[Precio Unitario Neto]]-Tabla4[[#This Row],[20.85%]]</f>
        <v>8133.5819063999998</v>
      </c>
      <c r="M3462" s="282" t="e">
        <f>(INDEX(Tabla6[#All],MATCH(Tabla4[[#This Row],[Producto]],Tabla6[[#All],[PRODUCTO]],0),MATCH(Tabla4[[#This Row],[Mes]],Tabla6[#Headers],0)))*(1+Catalogos!$L$2)</f>
        <v>#N/A</v>
      </c>
      <c r="N3462" s="283" t="e">
        <f>+(Tabla4[[#This Row],[Precio Descontado]]-Tabla4[[#This Row],[Precio Base]])*Tabla4[[#This Row],[Cantidad]]</f>
        <v>#N/A</v>
      </c>
      <c r="O3462" s="284" t="e">
        <f>++Tabla4[[#This Row],[Utilidad Total]]/Tabla4[[#This Row],[Total]]</f>
        <v>#N/A</v>
      </c>
      <c r="P3462" s="282">
        <f>++Tabla4[[#This Row],[Precio Descontado]]*Tabla4[[#This Row],[Cantidad]]</f>
        <v>8133.5819063999998</v>
      </c>
      <c r="Q3462" s="282" t="e">
        <f>(INDEX(Tabla6[#All],MATCH(Tabla4[[#This Row],[Producto]],Tabla6[[#All],[PRODUCTO]],0),MATCH(Tabla4[[#This Row],[Mes]],Tabla6[#Headers],0)))</f>
        <v>#N/A</v>
      </c>
      <c r="R3462" s="282" t="e">
        <f>++Tabla4[[#This Row],[Precio Unitario Neto]]-Tabla4[[#This Row],[20.85%]]-Tabla4[[#This Row],[Costo]]</f>
        <v>#N/A</v>
      </c>
      <c r="S3462" s="282" t="e">
        <f>++Tabla4[[#This Row],[U. Bruta Uni]]*Tabla4[[#This Row],[Cantidad]]</f>
        <v>#N/A</v>
      </c>
      <c r="T3462" s="369" t="str">
        <f>VLOOKUP(Tabla4[[#This Row],[Producto]],Tabla6[#All],14,FALSE)</f>
        <v>Termico Solar</v>
      </c>
      <c r="U3462" s="284" t="e">
        <f>(IF(Tabla4[[#This Row],[Familia]]="termico solar",Tabla4[[#This Row],[Utilidad Total]]*6%,Tabla4[[#This Row],[Utilidad Total]]*11.5%))/Tabla4[[#This Row],[Total]]</f>
        <v>#N/A</v>
      </c>
      <c r="V3462" s="282" t="e">
        <f>+Tabla4[[#This Row],[Comisión Calculada]]*Tabla4[[#This Row],[Total]]</f>
        <v>#N/A</v>
      </c>
    </row>
    <row r="3463" spans="1:22" hidden="1" x14ac:dyDescent="0.25">
      <c r="A3463" s="100">
        <v>45823</v>
      </c>
      <c r="B3463" t="str">
        <f t="shared" si="162"/>
        <v>June</v>
      </c>
      <c r="C3463" s="46" t="s">
        <v>280</v>
      </c>
      <c r="F3463" s="366" t="s">
        <v>2047</v>
      </c>
      <c r="G3463" s="46" t="s">
        <v>208</v>
      </c>
      <c r="H3463" s="46">
        <v>1</v>
      </c>
      <c r="I3463" s="51">
        <v>189.75</v>
      </c>
      <c r="J3463" s="281">
        <f>++Tabla4[[#This Row],[Precio Bruto]]*1.16</f>
        <v>220.10999999999999</v>
      </c>
      <c r="K3463" s="281">
        <f>+Tabla4[[#This Row],[Precio Unitario Neto]]*Tabla4[[#Headers],[20.85%]]</f>
        <v>45.892934999999994</v>
      </c>
      <c r="L3463" s="282">
        <f>++Tabla4[[#This Row],[Precio Unitario Neto]]-Tabla4[[#This Row],[20.85%]]</f>
        <v>174.21706499999999</v>
      </c>
      <c r="M3463" s="282" t="e">
        <f>(INDEX(Tabla6[#All],MATCH(Tabla4[[#This Row],[Producto]],Tabla6[[#All],[PRODUCTO]],0),MATCH(Tabla4[[#This Row],[Mes]],Tabla6[#Headers],0)))*(1+Catalogos!$L$2)</f>
        <v>#N/A</v>
      </c>
      <c r="N3463" s="283" t="e">
        <f>+(Tabla4[[#This Row],[Precio Descontado]]-Tabla4[[#This Row],[Precio Base]])*Tabla4[[#This Row],[Cantidad]]</f>
        <v>#N/A</v>
      </c>
      <c r="O3463" s="284" t="e">
        <f>++Tabla4[[#This Row],[Utilidad Total]]/Tabla4[[#This Row],[Total]]</f>
        <v>#N/A</v>
      </c>
      <c r="P3463" s="282">
        <f>++Tabla4[[#This Row],[Precio Descontado]]*Tabla4[[#This Row],[Cantidad]]</f>
        <v>174.21706499999999</v>
      </c>
      <c r="Q3463" s="282" t="e">
        <f>(INDEX(Tabla6[#All],MATCH(Tabla4[[#This Row],[Producto]],Tabla6[[#All],[PRODUCTO]],0),MATCH(Tabla4[[#This Row],[Mes]],Tabla6[#Headers],0)))</f>
        <v>#N/A</v>
      </c>
      <c r="R3463" s="282" t="e">
        <f>++Tabla4[[#This Row],[Precio Unitario Neto]]-Tabla4[[#This Row],[20.85%]]-Tabla4[[#This Row],[Costo]]</f>
        <v>#N/A</v>
      </c>
      <c r="S3463" s="282" t="e">
        <f>++Tabla4[[#This Row],[U. Bruta Uni]]*Tabla4[[#This Row],[Cantidad]]</f>
        <v>#N/A</v>
      </c>
      <c r="T3463" s="369" t="str">
        <f>VLOOKUP(Tabla4[[#This Row],[Producto]],Tabla6[#All],14,FALSE)</f>
        <v>Termico Solar</v>
      </c>
      <c r="U3463" s="284" t="e">
        <f>(IF(Tabla4[[#This Row],[Familia]]="termico solar",Tabla4[[#This Row],[Utilidad Total]]*6%,Tabla4[[#This Row],[Utilidad Total]]*11.5%))/Tabla4[[#This Row],[Total]]</f>
        <v>#N/A</v>
      </c>
      <c r="V3463" s="282" t="e">
        <f>+Tabla4[[#This Row],[Comisión Calculada]]*Tabla4[[#This Row],[Total]]</f>
        <v>#N/A</v>
      </c>
    </row>
    <row r="3464" spans="1:22" hidden="1" x14ac:dyDescent="0.25">
      <c r="A3464" s="100">
        <v>45823</v>
      </c>
      <c r="B3464" t="str">
        <f t="shared" si="162"/>
        <v>June</v>
      </c>
      <c r="C3464" s="46" t="s">
        <v>280</v>
      </c>
      <c r="F3464" s="366" t="s">
        <v>2048</v>
      </c>
      <c r="G3464" s="46" t="s">
        <v>83</v>
      </c>
      <c r="H3464" s="46">
        <v>1</v>
      </c>
      <c r="I3464" s="51">
        <v>8858.76</v>
      </c>
      <c r="J3464" s="281">
        <f>++Tabla4[[#This Row],[Precio Bruto]]*1.16</f>
        <v>10276.161599999999</v>
      </c>
      <c r="K3464" s="281">
        <f>+Tabla4[[#This Row],[Precio Unitario Neto]]*Tabla4[[#Headers],[20.85%]]</f>
        <v>2142.5796935999997</v>
      </c>
      <c r="L3464" s="282">
        <f>++Tabla4[[#This Row],[Precio Unitario Neto]]-Tabla4[[#This Row],[20.85%]]</f>
        <v>8133.5819063999998</v>
      </c>
      <c r="M3464" s="282" t="e">
        <f>(INDEX(Tabla6[#All],MATCH(Tabla4[[#This Row],[Producto]],Tabla6[[#All],[PRODUCTO]],0),MATCH(Tabla4[[#This Row],[Mes]],Tabla6[#Headers],0)))*(1+Catalogos!$L$2)</f>
        <v>#N/A</v>
      </c>
      <c r="N3464" s="283" t="e">
        <f>+(Tabla4[[#This Row],[Precio Descontado]]-Tabla4[[#This Row],[Precio Base]])*Tabla4[[#This Row],[Cantidad]]</f>
        <v>#N/A</v>
      </c>
      <c r="O3464" s="284" t="e">
        <f>++Tabla4[[#This Row],[Utilidad Total]]/Tabla4[[#This Row],[Total]]</f>
        <v>#N/A</v>
      </c>
      <c r="P3464" s="282">
        <f>++Tabla4[[#This Row],[Precio Descontado]]*Tabla4[[#This Row],[Cantidad]]</f>
        <v>8133.5819063999998</v>
      </c>
      <c r="Q3464" s="282" t="e">
        <f>(INDEX(Tabla6[#All],MATCH(Tabla4[[#This Row],[Producto]],Tabla6[[#All],[PRODUCTO]],0),MATCH(Tabla4[[#This Row],[Mes]],Tabla6[#Headers],0)))</f>
        <v>#N/A</v>
      </c>
      <c r="R3464" s="282" t="e">
        <f>++Tabla4[[#This Row],[Precio Unitario Neto]]-Tabla4[[#This Row],[20.85%]]-Tabla4[[#This Row],[Costo]]</f>
        <v>#N/A</v>
      </c>
      <c r="S3464" s="282" t="e">
        <f>++Tabla4[[#This Row],[U. Bruta Uni]]*Tabla4[[#This Row],[Cantidad]]</f>
        <v>#N/A</v>
      </c>
      <c r="T3464" s="369" t="str">
        <f>VLOOKUP(Tabla4[[#This Row],[Producto]],Tabla6[#All],14,FALSE)</f>
        <v>Termico Solar</v>
      </c>
      <c r="U3464" s="284" t="e">
        <f>(IF(Tabla4[[#This Row],[Familia]]="termico solar",Tabla4[[#This Row],[Utilidad Total]]*6%,Tabla4[[#This Row],[Utilidad Total]]*11.5%))/Tabla4[[#This Row],[Total]]</f>
        <v>#N/A</v>
      </c>
      <c r="V3464" s="282" t="e">
        <f>+Tabla4[[#This Row],[Comisión Calculada]]*Tabla4[[#This Row],[Total]]</f>
        <v>#N/A</v>
      </c>
    </row>
    <row r="3465" spans="1:22" hidden="1" x14ac:dyDescent="0.25">
      <c r="A3465" s="100">
        <v>45823</v>
      </c>
      <c r="B3465" t="str">
        <f t="shared" si="162"/>
        <v>June</v>
      </c>
      <c r="C3465" s="46" t="s">
        <v>280</v>
      </c>
      <c r="F3465" s="366" t="s">
        <v>2048</v>
      </c>
      <c r="G3465" s="46" t="s">
        <v>555</v>
      </c>
      <c r="H3465" s="46">
        <v>8</v>
      </c>
      <c r="I3465" s="51">
        <v>389.47</v>
      </c>
      <c r="J3465" s="281">
        <f>++Tabla4[[#This Row],[Precio Bruto]]*1.16</f>
        <v>451.78519999999997</v>
      </c>
      <c r="K3465" s="281">
        <f>+Tabla4[[#This Row],[Precio Unitario Neto]]*Tabla4[[#Headers],[20.85%]]</f>
        <v>94.197214199999991</v>
      </c>
      <c r="L3465" s="282">
        <f>++Tabla4[[#This Row],[Precio Unitario Neto]]-Tabla4[[#This Row],[20.85%]]</f>
        <v>357.58798579999996</v>
      </c>
      <c r="M3465" s="282" t="e">
        <f>(INDEX(Tabla6[#All],MATCH(Tabla4[[#This Row],[Producto]],Tabla6[[#All],[PRODUCTO]],0),MATCH(Tabla4[[#This Row],[Mes]],Tabla6[#Headers],0)))*(1+Catalogos!$L$2)</f>
        <v>#N/A</v>
      </c>
      <c r="N3465" s="283" t="e">
        <f>+(Tabla4[[#This Row],[Precio Descontado]]-Tabla4[[#This Row],[Precio Base]])*Tabla4[[#This Row],[Cantidad]]</f>
        <v>#N/A</v>
      </c>
      <c r="O3465" s="284" t="e">
        <f>++Tabla4[[#This Row],[Utilidad Total]]/Tabla4[[#This Row],[Total]]</f>
        <v>#N/A</v>
      </c>
      <c r="P3465" s="282">
        <f>++Tabla4[[#This Row],[Precio Descontado]]*Tabla4[[#This Row],[Cantidad]]</f>
        <v>2860.7038863999996</v>
      </c>
      <c r="Q3465" s="282" t="e">
        <f>(INDEX(Tabla6[#All],MATCH(Tabla4[[#This Row],[Producto]],Tabla6[[#All],[PRODUCTO]],0),MATCH(Tabla4[[#This Row],[Mes]],Tabla6[#Headers],0)))</f>
        <v>#N/A</v>
      </c>
      <c r="R3465" s="282" t="e">
        <f>++Tabla4[[#This Row],[Precio Unitario Neto]]-Tabla4[[#This Row],[20.85%]]-Tabla4[[#This Row],[Costo]]</f>
        <v>#N/A</v>
      </c>
      <c r="S3465" s="282" t="e">
        <f>++Tabla4[[#This Row],[U. Bruta Uni]]*Tabla4[[#This Row],[Cantidad]]</f>
        <v>#N/A</v>
      </c>
      <c r="T3465" s="369" t="str">
        <f>VLOOKUP(Tabla4[[#This Row],[Producto]],Tabla6[#All],14,FALSE)</f>
        <v>Termico Solar</v>
      </c>
      <c r="U3465" s="284" t="e">
        <f>(IF(Tabla4[[#This Row],[Familia]]="termico solar",Tabla4[[#This Row],[Utilidad Total]]*6%,Tabla4[[#This Row],[Utilidad Total]]*11.5%))/Tabla4[[#This Row],[Total]]</f>
        <v>#N/A</v>
      </c>
      <c r="V3465" s="282" t="e">
        <f>+Tabla4[[#This Row],[Comisión Calculada]]*Tabla4[[#This Row],[Total]]</f>
        <v>#N/A</v>
      </c>
    </row>
    <row r="3466" spans="1:22" hidden="1" x14ac:dyDescent="0.25">
      <c r="A3466" s="100">
        <v>45823</v>
      </c>
      <c r="B3466" t="str">
        <f t="shared" si="162"/>
        <v>June</v>
      </c>
      <c r="C3466" s="46" t="s">
        <v>280</v>
      </c>
      <c r="F3466" s="366" t="s">
        <v>2048</v>
      </c>
      <c r="G3466" s="46" t="s">
        <v>208</v>
      </c>
      <c r="H3466" s="46">
        <v>1</v>
      </c>
      <c r="I3466" s="51">
        <v>189.75</v>
      </c>
      <c r="J3466" s="281">
        <f>++Tabla4[[#This Row],[Precio Bruto]]*1.16</f>
        <v>220.10999999999999</v>
      </c>
      <c r="K3466" s="281">
        <f>+Tabla4[[#This Row],[Precio Unitario Neto]]*Tabla4[[#Headers],[20.85%]]</f>
        <v>45.892934999999994</v>
      </c>
      <c r="L3466" s="282">
        <f>++Tabla4[[#This Row],[Precio Unitario Neto]]-Tabla4[[#This Row],[20.85%]]</f>
        <v>174.21706499999999</v>
      </c>
      <c r="M3466" s="282" t="e">
        <f>(INDEX(Tabla6[#All],MATCH(Tabla4[[#This Row],[Producto]],Tabla6[[#All],[PRODUCTO]],0),MATCH(Tabla4[[#This Row],[Mes]],Tabla6[#Headers],0)))*(1+Catalogos!$L$2)</f>
        <v>#N/A</v>
      </c>
      <c r="N3466" s="283" t="e">
        <f>+(Tabla4[[#This Row],[Precio Descontado]]-Tabla4[[#This Row],[Precio Base]])*Tabla4[[#This Row],[Cantidad]]</f>
        <v>#N/A</v>
      </c>
      <c r="O3466" s="284" t="e">
        <f>++Tabla4[[#This Row],[Utilidad Total]]/Tabla4[[#This Row],[Total]]</f>
        <v>#N/A</v>
      </c>
      <c r="P3466" s="282">
        <f>++Tabla4[[#This Row],[Precio Descontado]]*Tabla4[[#This Row],[Cantidad]]</f>
        <v>174.21706499999999</v>
      </c>
      <c r="Q3466" s="282" t="e">
        <f>(INDEX(Tabla6[#All],MATCH(Tabla4[[#This Row],[Producto]],Tabla6[[#All],[PRODUCTO]],0),MATCH(Tabla4[[#This Row],[Mes]],Tabla6[#Headers],0)))</f>
        <v>#N/A</v>
      </c>
      <c r="R3466" s="282" t="e">
        <f>++Tabla4[[#This Row],[Precio Unitario Neto]]-Tabla4[[#This Row],[20.85%]]-Tabla4[[#This Row],[Costo]]</f>
        <v>#N/A</v>
      </c>
      <c r="S3466" s="282" t="e">
        <f>++Tabla4[[#This Row],[U. Bruta Uni]]*Tabla4[[#This Row],[Cantidad]]</f>
        <v>#N/A</v>
      </c>
      <c r="T3466" s="369" t="str">
        <f>VLOOKUP(Tabla4[[#This Row],[Producto]],Tabla6[#All],14,FALSE)</f>
        <v>Termico Solar</v>
      </c>
      <c r="U3466" s="284" t="e">
        <f>(IF(Tabla4[[#This Row],[Familia]]="termico solar",Tabla4[[#This Row],[Utilidad Total]]*6%,Tabla4[[#This Row],[Utilidad Total]]*11.5%))/Tabla4[[#This Row],[Total]]</f>
        <v>#N/A</v>
      </c>
      <c r="V3466" s="282" t="e">
        <f>+Tabla4[[#This Row],[Comisión Calculada]]*Tabla4[[#This Row],[Total]]</f>
        <v>#N/A</v>
      </c>
    </row>
    <row r="3467" spans="1:22" hidden="1" x14ac:dyDescent="0.25">
      <c r="A3467" s="100">
        <v>45823</v>
      </c>
      <c r="B3467" t="str">
        <f t="shared" si="162"/>
        <v>June</v>
      </c>
      <c r="C3467" s="46" t="s">
        <v>280</v>
      </c>
      <c r="F3467" s="366" t="s">
        <v>2049</v>
      </c>
      <c r="G3467" s="46" t="s">
        <v>17</v>
      </c>
      <c r="H3467" s="46">
        <v>1</v>
      </c>
      <c r="I3467" s="51">
        <v>4622.28</v>
      </c>
      <c r="J3467" s="281">
        <f>++Tabla4[[#This Row],[Precio Bruto]]*1.16</f>
        <v>5361.8447999999989</v>
      </c>
      <c r="K3467" s="281">
        <f>+Tabla4[[#This Row],[Precio Unitario Neto]]*Tabla4[[#Headers],[20.85%]]</f>
        <v>1117.9446407999997</v>
      </c>
      <c r="L3467" s="282">
        <f>++Tabla4[[#This Row],[Precio Unitario Neto]]-Tabla4[[#This Row],[20.85%]]</f>
        <v>4243.9001591999995</v>
      </c>
      <c r="M3467" s="282" t="e">
        <f>(INDEX(Tabla6[#All],MATCH(Tabla4[[#This Row],[Producto]],Tabla6[[#All],[PRODUCTO]],0),MATCH(Tabla4[[#This Row],[Mes]],Tabla6[#Headers],0)))*(1+Catalogos!$L$2)</f>
        <v>#N/A</v>
      </c>
      <c r="N3467" s="283" t="e">
        <f>+(Tabla4[[#This Row],[Precio Descontado]]-Tabla4[[#This Row],[Precio Base]])*Tabla4[[#This Row],[Cantidad]]</f>
        <v>#N/A</v>
      </c>
      <c r="O3467" s="284" t="e">
        <f>++Tabla4[[#This Row],[Utilidad Total]]/Tabla4[[#This Row],[Total]]</f>
        <v>#N/A</v>
      </c>
      <c r="P3467" s="282">
        <f>++Tabla4[[#This Row],[Precio Descontado]]*Tabla4[[#This Row],[Cantidad]]</f>
        <v>4243.9001591999995</v>
      </c>
      <c r="Q3467" s="282" t="e">
        <f>(INDEX(Tabla6[#All],MATCH(Tabla4[[#This Row],[Producto]],Tabla6[[#All],[PRODUCTO]],0),MATCH(Tabla4[[#This Row],[Mes]],Tabla6[#Headers],0)))</f>
        <v>#N/A</v>
      </c>
      <c r="R3467" s="282" t="e">
        <f>++Tabla4[[#This Row],[Precio Unitario Neto]]-Tabla4[[#This Row],[20.85%]]-Tabla4[[#This Row],[Costo]]</f>
        <v>#N/A</v>
      </c>
      <c r="S3467" s="282" t="e">
        <f>++Tabla4[[#This Row],[U. Bruta Uni]]*Tabla4[[#This Row],[Cantidad]]</f>
        <v>#N/A</v>
      </c>
      <c r="T3467" s="369" t="str">
        <f>VLOOKUP(Tabla4[[#This Row],[Producto]],Tabla6[#All],14,FALSE)</f>
        <v>Termico Solar</v>
      </c>
      <c r="U3467" s="284" t="e">
        <f>(IF(Tabla4[[#This Row],[Familia]]="termico solar",Tabla4[[#This Row],[Utilidad Total]]*6%,Tabla4[[#This Row],[Utilidad Total]]*11.5%))/Tabla4[[#This Row],[Total]]</f>
        <v>#N/A</v>
      </c>
      <c r="V3467" s="282" t="e">
        <f>+Tabla4[[#This Row],[Comisión Calculada]]*Tabla4[[#This Row],[Total]]</f>
        <v>#N/A</v>
      </c>
    </row>
    <row r="3468" spans="1:22" hidden="1" x14ac:dyDescent="0.25">
      <c r="A3468" s="100">
        <v>45823</v>
      </c>
      <c r="B3468" t="str">
        <f t="shared" si="162"/>
        <v>June</v>
      </c>
      <c r="C3468" s="46" t="s">
        <v>280</v>
      </c>
      <c r="F3468" s="366" t="s">
        <v>2049</v>
      </c>
      <c r="G3468" s="46" t="s">
        <v>18</v>
      </c>
      <c r="H3468" s="46">
        <v>4</v>
      </c>
      <c r="I3468" s="51">
        <v>5367.65</v>
      </c>
      <c r="J3468" s="281">
        <f>++Tabla4[[#This Row],[Precio Bruto]]*1.16</f>
        <v>6226.4739999999993</v>
      </c>
      <c r="K3468" s="281">
        <f>+Tabla4[[#This Row],[Precio Unitario Neto]]*Tabla4[[#Headers],[20.85%]]</f>
        <v>1298.2198289999999</v>
      </c>
      <c r="L3468" s="282">
        <f>++Tabla4[[#This Row],[Precio Unitario Neto]]-Tabla4[[#This Row],[20.85%]]</f>
        <v>4928.2541709999996</v>
      </c>
      <c r="M3468" s="282" t="e">
        <f>(INDEX(Tabla6[#All],MATCH(Tabla4[[#This Row],[Producto]],Tabla6[[#All],[PRODUCTO]],0),MATCH(Tabla4[[#This Row],[Mes]],Tabla6[#Headers],0)))*(1+Catalogos!$L$2)</f>
        <v>#N/A</v>
      </c>
      <c r="N3468" s="283" t="e">
        <f>+(Tabla4[[#This Row],[Precio Descontado]]-Tabla4[[#This Row],[Precio Base]])*Tabla4[[#This Row],[Cantidad]]</f>
        <v>#N/A</v>
      </c>
      <c r="O3468" s="284" t="e">
        <f>++Tabla4[[#This Row],[Utilidad Total]]/Tabla4[[#This Row],[Total]]</f>
        <v>#N/A</v>
      </c>
      <c r="P3468" s="282">
        <f>++Tabla4[[#This Row],[Precio Descontado]]*Tabla4[[#This Row],[Cantidad]]</f>
        <v>19713.016683999998</v>
      </c>
      <c r="Q3468" s="282" t="e">
        <f>(INDEX(Tabla6[#All],MATCH(Tabla4[[#This Row],[Producto]],Tabla6[[#All],[PRODUCTO]],0),MATCH(Tabla4[[#This Row],[Mes]],Tabla6[#Headers],0)))</f>
        <v>#N/A</v>
      </c>
      <c r="R3468" s="282" t="e">
        <f>++Tabla4[[#This Row],[Precio Unitario Neto]]-Tabla4[[#This Row],[20.85%]]-Tabla4[[#This Row],[Costo]]</f>
        <v>#N/A</v>
      </c>
      <c r="S3468" s="282" t="e">
        <f>++Tabla4[[#This Row],[U. Bruta Uni]]*Tabla4[[#This Row],[Cantidad]]</f>
        <v>#N/A</v>
      </c>
      <c r="T3468" s="369" t="str">
        <f>VLOOKUP(Tabla4[[#This Row],[Producto]],Tabla6[#All],14,FALSE)</f>
        <v>Termico Solar</v>
      </c>
      <c r="U3468" s="284" t="e">
        <f>(IF(Tabla4[[#This Row],[Familia]]="termico solar",Tabla4[[#This Row],[Utilidad Total]]*6%,Tabla4[[#This Row],[Utilidad Total]]*11.5%))/Tabla4[[#This Row],[Total]]</f>
        <v>#N/A</v>
      </c>
      <c r="V3468" s="282" t="e">
        <f>+Tabla4[[#This Row],[Comisión Calculada]]*Tabla4[[#This Row],[Total]]</f>
        <v>#N/A</v>
      </c>
    </row>
    <row r="3469" spans="1:22" ht="17.25" hidden="1" customHeight="1" x14ac:dyDescent="0.25">
      <c r="A3469" s="100">
        <v>45823</v>
      </c>
      <c r="B3469" t="str">
        <f t="shared" si="162"/>
        <v>June</v>
      </c>
      <c r="C3469" s="46" t="s">
        <v>280</v>
      </c>
      <c r="F3469" s="366" t="s">
        <v>2049</v>
      </c>
      <c r="G3469" s="46" t="s">
        <v>19</v>
      </c>
      <c r="H3469" s="46">
        <v>1</v>
      </c>
      <c r="I3469" s="51">
        <v>6412.03</v>
      </c>
      <c r="J3469" s="281">
        <f>++Tabla4[[#This Row],[Precio Bruto]]*1.16</f>
        <v>7437.9547999999995</v>
      </c>
      <c r="K3469" s="281">
        <f>+Tabla4[[#This Row],[Precio Unitario Neto]]*Tabla4[[#Headers],[20.85%]]</f>
        <v>1550.8135757999999</v>
      </c>
      <c r="L3469" s="282">
        <f>++Tabla4[[#This Row],[Precio Unitario Neto]]-Tabla4[[#This Row],[20.85%]]</f>
        <v>5887.1412241999997</v>
      </c>
      <c r="M3469" s="282" t="e">
        <f>(INDEX(Tabla6[#All],MATCH(Tabla4[[#This Row],[Producto]],Tabla6[[#All],[PRODUCTO]],0),MATCH(Tabla4[[#This Row],[Mes]],Tabla6[#Headers],0)))*(1+Catalogos!$L$2)</f>
        <v>#N/A</v>
      </c>
      <c r="N3469" s="283" t="e">
        <f>+(Tabla4[[#This Row],[Precio Descontado]]-Tabla4[[#This Row],[Precio Base]])*Tabla4[[#This Row],[Cantidad]]</f>
        <v>#N/A</v>
      </c>
      <c r="O3469" s="284" t="e">
        <f>++Tabla4[[#This Row],[Utilidad Total]]/Tabla4[[#This Row],[Total]]</f>
        <v>#N/A</v>
      </c>
      <c r="P3469" s="282">
        <f>++Tabla4[[#This Row],[Precio Descontado]]*Tabla4[[#This Row],[Cantidad]]</f>
        <v>5887.1412241999997</v>
      </c>
      <c r="Q3469" s="282" t="e">
        <f>(INDEX(Tabla6[#All],MATCH(Tabla4[[#This Row],[Producto]],Tabla6[[#All],[PRODUCTO]],0),MATCH(Tabla4[[#This Row],[Mes]],Tabla6[#Headers],0)))</f>
        <v>#N/A</v>
      </c>
      <c r="R3469" s="282" t="e">
        <f>++Tabla4[[#This Row],[Precio Unitario Neto]]-Tabla4[[#This Row],[20.85%]]-Tabla4[[#This Row],[Costo]]</f>
        <v>#N/A</v>
      </c>
      <c r="S3469" s="282" t="e">
        <f>++Tabla4[[#This Row],[U. Bruta Uni]]*Tabla4[[#This Row],[Cantidad]]</f>
        <v>#N/A</v>
      </c>
      <c r="T3469" s="369" t="str">
        <f>VLOOKUP(Tabla4[[#This Row],[Producto]],Tabla6[#All],14,FALSE)</f>
        <v>Termico Solar</v>
      </c>
      <c r="U3469" s="284" t="e">
        <f>(IF(Tabla4[[#This Row],[Familia]]="termico solar",Tabla4[[#This Row],[Utilidad Total]]*6%,Tabla4[[#This Row],[Utilidad Total]]*11.5%))/Tabla4[[#This Row],[Total]]</f>
        <v>#N/A</v>
      </c>
      <c r="V3469" s="282" t="e">
        <f>+Tabla4[[#This Row],[Comisión Calculada]]*Tabla4[[#This Row],[Total]]</f>
        <v>#N/A</v>
      </c>
    </row>
    <row r="3470" spans="1:22" ht="17.25" hidden="1" customHeight="1" x14ac:dyDescent="0.25">
      <c r="A3470" s="100">
        <v>45823</v>
      </c>
      <c r="B3470" t="str">
        <f t="shared" si="162"/>
        <v>June</v>
      </c>
      <c r="C3470" s="46" t="s">
        <v>280</v>
      </c>
      <c r="F3470" s="366" t="s">
        <v>2050</v>
      </c>
      <c r="G3470" s="46" t="s">
        <v>17</v>
      </c>
      <c r="H3470" s="46">
        <v>1</v>
      </c>
      <c r="I3470" s="51">
        <v>4622.28</v>
      </c>
      <c r="J3470" s="281">
        <f>++Tabla4[[#This Row],[Precio Bruto]]*1.16</f>
        <v>5361.8447999999989</v>
      </c>
      <c r="K3470" s="281">
        <f>+Tabla4[[#This Row],[Precio Unitario Neto]]*Tabla4[[#Headers],[20.85%]]</f>
        <v>1117.9446407999997</v>
      </c>
      <c r="L3470" s="282">
        <f>++Tabla4[[#This Row],[Precio Unitario Neto]]-Tabla4[[#This Row],[20.85%]]</f>
        <v>4243.9001591999995</v>
      </c>
      <c r="M3470" s="282" t="e">
        <f>(INDEX(Tabla6[#All],MATCH(Tabla4[[#This Row],[Producto]],Tabla6[[#All],[PRODUCTO]],0),MATCH(Tabla4[[#This Row],[Mes]],Tabla6[#Headers],0)))*(1+Catalogos!$L$2)</f>
        <v>#N/A</v>
      </c>
      <c r="N3470" s="283" t="e">
        <f>+(Tabla4[[#This Row],[Precio Descontado]]-Tabla4[[#This Row],[Precio Base]])*Tabla4[[#This Row],[Cantidad]]</f>
        <v>#N/A</v>
      </c>
      <c r="O3470" s="284" t="e">
        <f>++Tabla4[[#This Row],[Utilidad Total]]/Tabla4[[#This Row],[Total]]</f>
        <v>#N/A</v>
      </c>
      <c r="P3470" s="282">
        <f>++Tabla4[[#This Row],[Precio Descontado]]*Tabla4[[#This Row],[Cantidad]]</f>
        <v>4243.9001591999995</v>
      </c>
      <c r="Q3470" s="282" t="e">
        <f>(INDEX(Tabla6[#All],MATCH(Tabla4[[#This Row],[Producto]],Tabla6[[#All],[PRODUCTO]],0),MATCH(Tabla4[[#This Row],[Mes]],Tabla6[#Headers],0)))</f>
        <v>#N/A</v>
      </c>
      <c r="R3470" s="282" t="e">
        <f>++Tabla4[[#This Row],[Precio Unitario Neto]]-Tabla4[[#This Row],[20.85%]]-Tabla4[[#This Row],[Costo]]</f>
        <v>#N/A</v>
      </c>
      <c r="S3470" s="282" t="e">
        <f>++Tabla4[[#This Row],[U. Bruta Uni]]*Tabla4[[#This Row],[Cantidad]]</f>
        <v>#N/A</v>
      </c>
      <c r="T3470" s="369" t="str">
        <f>VLOOKUP(Tabla4[[#This Row],[Producto]],Tabla6[#All],14,FALSE)</f>
        <v>Termico Solar</v>
      </c>
      <c r="U3470" s="284" t="e">
        <f>(IF(Tabla4[[#This Row],[Familia]]="termico solar",Tabla4[[#This Row],[Utilidad Total]]*6%,Tabla4[[#This Row],[Utilidad Total]]*11.5%))/Tabla4[[#This Row],[Total]]</f>
        <v>#N/A</v>
      </c>
      <c r="V3470" s="282" t="e">
        <f>+Tabla4[[#This Row],[Comisión Calculada]]*Tabla4[[#This Row],[Total]]</f>
        <v>#N/A</v>
      </c>
    </row>
    <row r="3471" spans="1:22" hidden="1" x14ac:dyDescent="0.25">
      <c r="A3471" s="100">
        <v>45823</v>
      </c>
      <c r="B3471" t="str">
        <f t="shared" si="162"/>
        <v>June</v>
      </c>
      <c r="C3471" s="46" t="s">
        <v>280</v>
      </c>
      <c r="F3471" s="366" t="s">
        <v>2050</v>
      </c>
      <c r="G3471" s="46" t="s">
        <v>18</v>
      </c>
      <c r="H3471" s="46">
        <v>2</v>
      </c>
      <c r="I3471" s="51">
        <v>5367.65</v>
      </c>
      <c r="J3471" s="281">
        <f>++Tabla4[[#This Row],[Precio Bruto]]*1.16</f>
        <v>6226.4739999999993</v>
      </c>
      <c r="K3471" s="281">
        <f>+Tabla4[[#This Row],[Precio Unitario Neto]]*Tabla4[[#Headers],[20.85%]]</f>
        <v>1298.2198289999999</v>
      </c>
      <c r="L3471" s="282">
        <f>++Tabla4[[#This Row],[Precio Unitario Neto]]-Tabla4[[#This Row],[20.85%]]</f>
        <v>4928.2541709999996</v>
      </c>
      <c r="M3471" s="282" t="e">
        <f>(INDEX(Tabla6[#All],MATCH(Tabla4[[#This Row],[Producto]],Tabla6[[#All],[PRODUCTO]],0),MATCH(Tabla4[[#This Row],[Mes]],Tabla6[#Headers],0)))*(1+Catalogos!$L$2)</f>
        <v>#N/A</v>
      </c>
      <c r="N3471" s="283" t="e">
        <f>+(Tabla4[[#This Row],[Precio Descontado]]-Tabla4[[#This Row],[Precio Base]])*Tabla4[[#This Row],[Cantidad]]</f>
        <v>#N/A</v>
      </c>
      <c r="O3471" s="284" t="e">
        <f>++Tabla4[[#This Row],[Utilidad Total]]/Tabla4[[#This Row],[Total]]</f>
        <v>#N/A</v>
      </c>
      <c r="P3471" s="282">
        <f>++Tabla4[[#This Row],[Precio Descontado]]*Tabla4[[#This Row],[Cantidad]]</f>
        <v>9856.5083419999992</v>
      </c>
      <c r="Q3471" s="282" t="e">
        <f>(INDEX(Tabla6[#All],MATCH(Tabla4[[#This Row],[Producto]],Tabla6[[#All],[PRODUCTO]],0),MATCH(Tabla4[[#This Row],[Mes]],Tabla6[#Headers],0)))</f>
        <v>#N/A</v>
      </c>
      <c r="R3471" s="282" t="e">
        <f>++Tabla4[[#This Row],[Precio Unitario Neto]]-Tabla4[[#This Row],[20.85%]]-Tabla4[[#This Row],[Costo]]</f>
        <v>#N/A</v>
      </c>
      <c r="S3471" s="282" t="e">
        <f>++Tabla4[[#This Row],[U. Bruta Uni]]*Tabla4[[#This Row],[Cantidad]]</f>
        <v>#N/A</v>
      </c>
      <c r="T3471" s="369" t="str">
        <f>VLOOKUP(Tabla4[[#This Row],[Producto]],Tabla6[#All],14,FALSE)</f>
        <v>Termico Solar</v>
      </c>
      <c r="U3471" s="284" t="e">
        <f>(IF(Tabla4[[#This Row],[Familia]]="termico solar",Tabla4[[#This Row],[Utilidad Total]]*6%,Tabla4[[#This Row],[Utilidad Total]]*11.5%))/Tabla4[[#This Row],[Total]]</f>
        <v>#N/A</v>
      </c>
      <c r="V3471" s="282" t="e">
        <f>+Tabla4[[#This Row],[Comisión Calculada]]*Tabla4[[#This Row],[Total]]</f>
        <v>#N/A</v>
      </c>
    </row>
    <row r="3472" spans="1:22" hidden="1" x14ac:dyDescent="0.25">
      <c r="A3472" s="100">
        <v>45823</v>
      </c>
      <c r="B3472" t="str">
        <f t="shared" si="162"/>
        <v>June</v>
      </c>
      <c r="C3472" s="46" t="s">
        <v>280</v>
      </c>
      <c r="F3472" s="366" t="s">
        <v>2051</v>
      </c>
      <c r="G3472" s="46" t="s">
        <v>83</v>
      </c>
      <c r="H3472" s="46">
        <v>5</v>
      </c>
      <c r="I3472" s="51">
        <v>8858.76</v>
      </c>
      <c r="J3472" s="281">
        <f>++Tabla4[[#This Row],[Precio Bruto]]*1.16</f>
        <v>10276.161599999999</v>
      </c>
      <c r="K3472" s="281">
        <f>+Tabla4[[#This Row],[Precio Unitario Neto]]*Tabla4[[#Headers],[20.85%]]</f>
        <v>2142.5796935999997</v>
      </c>
      <c r="L3472" s="282">
        <f>++Tabla4[[#This Row],[Precio Unitario Neto]]-Tabla4[[#This Row],[20.85%]]</f>
        <v>8133.5819063999998</v>
      </c>
      <c r="M3472" s="282" t="e">
        <f>(INDEX(Tabla6[#All],MATCH(Tabla4[[#This Row],[Producto]],Tabla6[[#All],[PRODUCTO]],0),MATCH(Tabla4[[#This Row],[Mes]],Tabla6[#Headers],0)))*(1+Catalogos!$L$2)</f>
        <v>#N/A</v>
      </c>
      <c r="N3472" s="283" t="e">
        <f>+(Tabla4[[#This Row],[Precio Descontado]]-Tabla4[[#This Row],[Precio Base]])*Tabla4[[#This Row],[Cantidad]]</f>
        <v>#N/A</v>
      </c>
      <c r="O3472" s="284" t="e">
        <f>++Tabla4[[#This Row],[Utilidad Total]]/Tabla4[[#This Row],[Total]]</f>
        <v>#N/A</v>
      </c>
      <c r="P3472" s="282">
        <f>++Tabla4[[#This Row],[Precio Descontado]]*Tabla4[[#This Row],[Cantidad]]</f>
        <v>40667.909531999998</v>
      </c>
      <c r="Q3472" s="282" t="e">
        <f>(INDEX(Tabla6[#All],MATCH(Tabla4[[#This Row],[Producto]],Tabla6[[#All],[PRODUCTO]],0),MATCH(Tabla4[[#This Row],[Mes]],Tabla6[#Headers],0)))</f>
        <v>#N/A</v>
      </c>
      <c r="R3472" s="282" t="e">
        <f>++Tabla4[[#This Row],[Precio Unitario Neto]]-Tabla4[[#This Row],[20.85%]]-Tabla4[[#This Row],[Costo]]</f>
        <v>#N/A</v>
      </c>
      <c r="S3472" s="282" t="e">
        <f>++Tabla4[[#This Row],[U. Bruta Uni]]*Tabla4[[#This Row],[Cantidad]]</f>
        <v>#N/A</v>
      </c>
      <c r="T3472" s="369" t="str">
        <f>VLOOKUP(Tabla4[[#This Row],[Producto]],Tabla6[#All],14,FALSE)</f>
        <v>Termico Solar</v>
      </c>
      <c r="U3472" s="284" t="e">
        <f>(IF(Tabla4[[#This Row],[Familia]]="termico solar",Tabla4[[#This Row],[Utilidad Total]]*6%,Tabla4[[#This Row],[Utilidad Total]]*11.5%))/Tabla4[[#This Row],[Total]]</f>
        <v>#N/A</v>
      </c>
      <c r="V3472" s="282" t="e">
        <f>+Tabla4[[#This Row],[Comisión Calculada]]*Tabla4[[#This Row],[Total]]</f>
        <v>#N/A</v>
      </c>
    </row>
    <row r="3473" spans="1:22" hidden="1" x14ac:dyDescent="0.25">
      <c r="A3473" s="100">
        <v>45823</v>
      </c>
      <c r="B3473" t="str">
        <f t="shared" si="162"/>
        <v>June</v>
      </c>
      <c r="C3473" s="46" t="s">
        <v>280</v>
      </c>
      <c r="F3473" s="366" t="s">
        <v>2051</v>
      </c>
      <c r="G3473" s="46" t="s">
        <v>17</v>
      </c>
      <c r="H3473" s="46">
        <v>1</v>
      </c>
      <c r="I3473" s="51">
        <v>4622.28</v>
      </c>
      <c r="J3473" s="281">
        <f>++Tabla4[[#This Row],[Precio Bruto]]*1.16</f>
        <v>5361.8447999999989</v>
      </c>
      <c r="K3473" s="281">
        <f>+Tabla4[[#This Row],[Precio Unitario Neto]]*Tabla4[[#Headers],[20.85%]]</f>
        <v>1117.9446407999997</v>
      </c>
      <c r="L3473" s="282">
        <f>++Tabla4[[#This Row],[Precio Unitario Neto]]-Tabla4[[#This Row],[20.85%]]</f>
        <v>4243.9001591999995</v>
      </c>
      <c r="M3473" s="282" t="e">
        <f>(INDEX(Tabla6[#All],MATCH(Tabla4[[#This Row],[Producto]],Tabla6[[#All],[PRODUCTO]],0),MATCH(Tabla4[[#This Row],[Mes]],Tabla6[#Headers],0)))*(1+Catalogos!$L$2)</f>
        <v>#N/A</v>
      </c>
      <c r="N3473" s="283" t="e">
        <f>+(Tabla4[[#This Row],[Precio Descontado]]-Tabla4[[#This Row],[Precio Base]])*Tabla4[[#This Row],[Cantidad]]</f>
        <v>#N/A</v>
      </c>
      <c r="O3473" s="284" t="e">
        <f>++Tabla4[[#This Row],[Utilidad Total]]/Tabla4[[#This Row],[Total]]</f>
        <v>#N/A</v>
      </c>
      <c r="P3473" s="282">
        <f>++Tabla4[[#This Row],[Precio Descontado]]*Tabla4[[#This Row],[Cantidad]]</f>
        <v>4243.9001591999995</v>
      </c>
      <c r="Q3473" s="282" t="e">
        <f>(INDEX(Tabla6[#All],MATCH(Tabla4[[#This Row],[Producto]],Tabla6[[#All],[PRODUCTO]],0),MATCH(Tabla4[[#This Row],[Mes]],Tabla6[#Headers],0)))</f>
        <v>#N/A</v>
      </c>
      <c r="R3473" s="282" t="e">
        <f>++Tabla4[[#This Row],[Precio Unitario Neto]]-Tabla4[[#This Row],[20.85%]]-Tabla4[[#This Row],[Costo]]</f>
        <v>#N/A</v>
      </c>
      <c r="S3473" s="282" t="e">
        <f>++Tabla4[[#This Row],[U. Bruta Uni]]*Tabla4[[#This Row],[Cantidad]]</f>
        <v>#N/A</v>
      </c>
      <c r="T3473" s="369" t="str">
        <f>VLOOKUP(Tabla4[[#This Row],[Producto]],Tabla6[#All],14,FALSE)</f>
        <v>Termico Solar</v>
      </c>
      <c r="U3473" s="284" t="e">
        <f>(IF(Tabla4[[#This Row],[Familia]]="termico solar",Tabla4[[#This Row],[Utilidad Total]]*6%,Tabla4[[#This Row],[Utilidad Total]]*11.5%))/Tabla4[[#This Row],[Total]]</f>
        <v>#N/A</v>
      </c>
      <c r="V3473" s="282" t="e">
        <f>+Tabla4[[#This Row],[Comisión Calculada]]*Tabla4[[#This Row],[Total]]</f>
        <v>#N/A</v>
      </c>
    </row>
    <row r="3474" spans="1:22" hidden="1" x14ac:dyDescent="0.25">
      <c r="A3474" s="100">
        <v>45823</v>
      </c>
      <c r="B3474" t="str">
        <f t="shared" si="162"/>
        <v>June</v>
      </c>
      <c r="C3474" s="46" t="s">
        <v>280</v>
      </c>
      <c r="F3474" s="366" t="s">
        <v>2051</v>
      </c>
      <c r="G3474" s="46" t="s">
        <v>566</v>
      </c>
      <c r="H3474" s="46">
        <v>1</v>
      </c>
      <c r="I3474" s="51">
        <v>2109.4499999999998</v>
      </c>
      <c r="J3474" s="281">
        <f>++Tabla4[[#This Row],[Precio Bruto]]*1.16</f>
        <v>2446.9619999999995</v>
      </c>
      <c r="K3474" s="281">
        <f>+Tabla4[[#This Row],[Precio Unitario Neto]]*Tabla4[[#Headers],[20.85%]]</f>
        <v>510.19157699999988</v>
      </c>
      <c r="L3474" s="282">
        <f>++Tabla4[[#This Row],[Precio Unitario Neto]]-Tabla4[[#This Row],[20.85%]]</f>
        <v>1936.7704229999997</v>
      </c>
      <c r="M3474" s="282" t="e">
        <f>(INDEX(Tabla6[#All],MATCH(Tabla4[[#This Row],[Producto]],Tabla6[[#All],[PRODUCTO]],0),MATCH(Tabla4[[#This Row],[Mes]],Tabla6[#Headers],0)))*(1+Catalogos!$L$2)</f>
        <v>#N/A</v>
      </c>
      <c r="N3474" s="283" t="e">
        <f>+(Tabla4[[#This Row],[Precio Descontado]]-Tabla4[[#This Row],[Precio Base]])*Tabla4[[#This Row],[Cantidad]]</f>
        <v>#N/A</v>
      </c>
      <c r="O3474" s="284" t="e">
        <f>++Tabla4[[#This Row],[Utilidad Total]]/Tabla4[[#This Row],[Total]]</f>
        <v>#N/A</v>
      </c>
      <c r="P3474" s="282">
        <f>++Tabla4[[#This Row],[Precio Descontado]]*Tabla4[[#This Row],[Cantidad]]</f>
        <v>1936.7704229999997</v>
      </c>
      <c r="Q3474" s="282" t="e">
        <f>(INDEX(Tabla6[#All],MATCH(Tabla4[[#This Row],[Producto]],Tabla6[[#All],[PRODUCTO]],0),MATCH(Tabla4[[#This Row],[Mes]],Tabla6[#Headers],0)))</f>
        <v>#N/A</v>
      </c>
      <c r="R3474" s="282" t="e">
        <f>++Tabla4[[#This Row],[Precio Unitario Neto]]-Tabla4[[#This Row],[20.85%]]-Tabla4[[#This Row],[Costo]]</f>
        <v>#N/A</v>
      </c>
      <c r="S3474" s="282" t="e">
        <f>++Tabla4[[#This Row],[U. Bruta Uni]]*Tabla4[[#This Row],[Cantidad]]</f>
        <v>#N/A</v>
      </c>
      <c r="T3474" s="369" t="str">
        <f>VLOOKUP(Tabla4[[#This Row],[Producto]],Tabla6[#All],14,FALSE)</f>
        <v>Termico Solar</v>
      </c>
      <c r="U3474" s="284" t="e">
        <f>(IF(Tabla4[[#This Row],[Familia]]="termico solar",Tabla4[[#This Row],[Utilidad Total]]*6%,Tabla4[[#This Row],[Utilidad Total]]*11.5%))/Tabla4[[#This Row],[Total]]</f>
        <v>#N/A</v>
      </c>
      <c r="V3474" s="282" t="e">
        <f>+Tabla4[[#This Row],[Comisión Calculada]]*Tabla4[[#This Row],[Total]]</f>
        <v>#N/A</v>
      </c>
    </row>
    <row r="3475" spans="1:22" hidden="1" x14ac:dyDescent="0.25">
      <c r="A3475" s="100">
        <v>45823</v>
      </c>
      <c r="B3475" t="str">
        <f t="shared" si="162"/>
        <v>June</v>
      </c>
      <c r="C3475" s="46" t="s">
        <v>280</v>
      </c>
      <c r="F3475" s="366" t="s">
        <v>2052</v>
      </c>
      <c r="G3475" s="46" t="s">
        <v>83</v>
      </c>
      <c r="H3475" s="46">
        <v>1</v>
      </c>
      <c r="I3475" s="51">
        <v>8858.76</v>
      </c>
      <c r="J3475" s="281">
        <f>++Tabla4[[#This Row],[Precio Bruto]]*1.16</f>
        <v>10276.161599999999</v>
      </c>
      <c r="K3475" s="281">
        <f>+Tabla4[[#This Row],[Precio Unitario Neto]]*Tabla4[[#Headers],[20.85%]]</f>
        <v>2142.5796935999997</v>
      </c>
      <c r="L3475" s="282">
        <f>++Tabla4[[#This Row],[Precio Unitario Neto]]-Tabla4[[#This Row],[20.85%]]</f>
        <v>8133.5819063999998</v>
      </c>
      <c r="M3475" s="282" t="e">
        <f>(INDEX(Tabla6[#All],MATCH(Tabla4[[#This Row],[Producto]],Tabla6[[#All],[PRODUCTO]],0),MATCH(Tabla4[[#This Row],[Mes]],Tabla6[#Headers],0)))*(1+Catalogos!$L$2)</f>
        <v>#N/A</v>
      </c>
      <c r="N3475" s="283" t="e">
        <f>+(Tabla4[[#This Row],[Precio Descontado]]-Tabla4[[#This Row],[Precio Base]])*Tabla4[[#This Row],[Cantidad]]</f>
        <v>#N/A</v>
      </c>
      <c r="O3475" s="284" t="e">
        <f>++Tabla4[[#This Row],[Utilidad Total]]/Tabla4[[#This Row],[Total]]</f>
        <v>#N/A</v>
      </c>
      <c r="P3475" s="282">
        <f>++Tabla4[[#This Row],[Precio Descontado]]*Tabla4[[#This Row],[Cantidad]]</f>
        <v>8133.5819063999998</v>
      </c>
      <c r="Q3475" s="282" t="e">
        <f>(INDEX(Tabla6[#All],MATCH(Tabla4[[#This Row],[Producto]],Tabla6[[#All],[PRODUCTO]],0),MATCH(Tabla4[[#This Row],[Mes]],Tabla6[#Headers],0)))</f>
        <v>#N/A</v>
      </c>
      <c r="R3475" s="282" t="e">
        <f>++Tabla4[[#This Row],[Precio Unitario Neto]]-Tabla4[[#This Row],[20.85%]]-Tabla4[[#This Row],[Costo]]</f>
        <v>#N/A</v>
      </c>
      <c r="S3475" s="282" t="e">
        <f>++Tabla4[[#This Row],[U. Bruta Uni]]*Tabla4[[#This Row],[Cantidad]]</f>
        <v>#N/A</v>
      </c>
      <c r="T3475" s="369" t="str">
        <f>VLOOKUP(Tabla4[[#This Row],[Producto]],Tabla6[#All],14,FALSE)</f>
        <v>Termico Solar</v>
      </c>
      <c r="U3475" s="284" t="e">
        <f>(IF(Tabla4[[#This Row],[Familia]]="termico solar",Tabla4[[#This Row],[Utilidad Total]]*6%,Tabla4[[#This Row],[Utilidad Total]]*11.5%))/Tabla4[[#This Row],[Total]]</f>
        <v>#N/A</v>
      </c>
      <c r="V3475" s="282" t="e">
        <f>+Tabla4[[#This Row],[Comisión Calculada]]*Tabla4[[#This Row],[Total]]</f>
        <v>#N/A</v>
      </c>
    </row>
    <row r="3476" spans="1:22" hidden="1" x14ac:dyDescent="0.25">
      <c r="A3476" s="100">
        <v>45823</v>
      </c>
      <c r="B3476" t="str">
        <f t="shared" si="162"/>
        <v>June</v>
      </c>
      <c r="C3476" s="46" t="s">
        <v>280</v>
      </c>
      <c r="F3476" s="366" t="s">
        <v>2052</v>
      </c>
      <c r="G3476" s="46" t="s">
        <v>566</v>
      </c>
      <c r="H3476" s="46">
        <v>1</v>
      </c>
      <c r="I3476" s="51">
        <v>2109.4499999999998</v>
      </c>
      <c r="J3476" s="281">
        <f>++Tabla4[[#This Row],[Precio Bruto]]*1.16</f>
        <v>2446.9619999999995</v>
      </c>
      <c r="K3476" s="281">
        <f>+Tabla4[[#This Row],[Precio Unitario Neto]]*Tabla4[[#Headers],[20.85%]]</f>
        <v>510.19157699999988</v>
      </c>
      <c r="L3476" s="282">
        <f>++Tabla4[[#This Row],[Precio Unitario Neto]]-Tabla4[[#This Row],[20.85%]]</f>
        <v>1936.7704229999997</v>
      </c>
      <c r="M3476" s="282" t="e">
        <f>(INDEX(Tabla6[#All],MATCH(Tabla4[[#This Row],[Producto]],Tabla6[[#All],[PRODUCTO]],0),MATCH(Tabla4[[#This Row],[Mes]],Tabla6[#Headers],0)))*(1+Catalogos!$L$2)</f>
        <v>#N/A</v>
      </c>
      <c r="N3476" s="283" t="e">
        <f>+(Tabla4[[#This Row],[Precio Descontado]]-Tabla4[[#This Row],[Precio Base]])*Tabla4[[#This Row],[Cantidad]]</f>
        <v>#N/A</v>
      </c>
      <c r="O3476" s="284" t="e">
        <f>++Tabla4[[#This Row],[Utilidad Total]]/Tabla4[[#This Row],[Total]]</f>
        <v>#N/A</v>
      </c>
      <c r="P3476" s="282">
        <f>++Tabla4[[#This Row],[Precio Descontado]]*Tabla4[[#This Row],[Cantidad]]</f>
        <v>1936.7704229999997</v>
      </c>
      <c r="Q3476" s="282" t="e">
        <f>(INDEX(Tabla6[#All],MATCH(Tabla4[[#This Row],[Producto]],Tabla6[[#All],[PRODUCTO]],0),MATCH(Tabla4[[#This Row],[Mes]],Tabla6[#Headers],0)))</f>
        <v>#N/A</v>
      </c>
      <c r="R3476" s="282" t="e">
        <f>++Tabla4[[#This Row],[Precio Unitario Neto]]-Tabla4[[#This Row],[20.85%]]-Tabla4[[#This Row],[Costo]]</f>
        <v>#N/A</v>
      </c>
      <c r="S3476" s="282" t="e">
        <f>++Tabla4[[#This Row],[U. Bruta Uni]]*Tabla4[[#This Row],[Cantidad]]</f>
        <v>#N/A</v>
      </c>
      <c r="T3476" s="369" t="str">
        <f>VLOOKUP(Tabla4[[#This Row],[Producto]],Tabla6[#All],14,FALSE)</f>
        <v>Termico Solar</v>
      </c>
      <c r="U3476" s="284" t="e">
        <f>(IF(Tabla4[[#This Row],[Familia]]="termico solar",Tabla4[[#This Row],[Utilidad Total]]*6%,Tabla4[[#This Row],[Utilidad Total]]*11.5%))/Tabla4[[#This Row],[Total]]</f>
        <v>#N/A</v>
      </c>
      <c r="V3476" s="282" t="e">
        <f>+Tabla4[[#This Row],[Comisión Calculada]]*Tabla4[[#This Row],[Total]]</f>
        <v>#N/A</v>
      </c>
    </row>
    <row r="3477" spans="1:22" hidden="1" x14ac:dyDescent="0.25">
      <c r="A3477" s="100">
        <v>45823</v>
      </c>
      <c r="B3477" t="str">
        <f t="shared" si="162"/>
        <v>June</v>
      </c>
      <c r="C3477" s="46" t="s">
        <v>280</v>
      </c>
      <c r="F3477" s="366" t="s">
        <v>2053</v>
      </c>
      <c r="G3477" s="46" t="s">
        <v>17</v>
      </c>
      <c r="H3477" s="46">
        <v>3</v>
      </c>
      <c r="I3477" s="51">
        <v>4622.28</v>
      </c>
      <c r="J3477" s="281">
        <f>++Tabla4[[#This Row],[Precio Bruto]]*1.16</f>
        <v>5361.8447999999989</v>
      </c>
      <c r="K3477" s="281">
        <f>+Tabla4[[#This Row],[Precio Unitario Neto]]*Tabla4[[#Headers],[20.85%]]</f>
        <v>1117.9446407999997</v>
      </c>
      <c r="L3477" s="282">
        <f>++Tabla4[[#This Row],[Precio Unitario Neto]]-Tabla4[[#This Row],[20.85%]]</f>
        <v>4243.9001591999995</v>
      </c>
      <c r="M3477" s="282" t="e">
        <f>(INDEX(Tabla6[#All],MATCH(Tabla4[[#This Row],[Producto]],Tabla6[[#All],[PRODUCTO]],0),MATCH(Tabla4[[#This Row],[Mes]],Tabla6[#Headers],0)))*(1+Catalogos!$L$2)</f>
        <v>#N/A</v>
      </c>
      <c r="N3477" s="283" t="e">
        <f>+(Tabla4[[#This Row],[Precio Descontado]]-Tabla4[[#This Row],[Precio Base]])*Tabla4[[#This Row],[Cantidad]]</f>
        <v>#N/A</v>
      </c>
      <c r="O3477" s="284" t="e">
        <f>++Tabla4[[#This Row],[Utilidad Total]]/Tabla4[[#This Row],[Total]]</f>
        <v>#N/A</v>
      </c>
      <c r="P3477" s="282">
        <f>++Tabla4[[#This Row],[Precio Descontado]]*Tabla4[[#This Row],[Cantidad]]</f>
        <v>12731.700477599999</v>
      </c>
      <c r="Q3477" s="282" t="e">
        <f>(INDEX(Tabla6[#All],MATCH(Tabla4[[#This Row],[Producto]],Tabla6[[#All],[PRODUCTO]],0),MATCH(Tabla4[[#This Row],[Mes]],Tabla6[#Headers],0)))</f>
        <v>#N/A</v>
      </c>
      <c r="R3477" s="282" t="e">
        <f>++Tabla4[[#This Row],[Precio Unitario Neto]]-Tabla4[[#This Row],[20.85%]]-Tabla4[[#This Row],[Costo]]</f>
        <v>#N/A</v>
      </c>
      <c r="S3477" s="282" t="e">
        <f>++Tabla4[[#This Row],[U. Bruta Uni]]*Tabla4[[#This Row],[Cantidad]]</f>
        <v>#N/A</v>
      </c>
      <c r="T3477" s="369" t="str">
        <f>VLOOKUP(Tabla4[[#This Row],[Producto]],Tabla6[#All],14,FALSE)</f>
        <v>Termico Solar</v>
      </c>
      <c r="U3477" s="284" t="e">
        <f>(IF(Tabla4[[#This Row],[Familia]]="termico solar",Tabla4[[#This Row],[Utilidad Total]]*6%,Tabla4[[#This Row],[Utilidad Total]]*11.5%))/Tabla4[[#This Row],[Total]]</f>
        <v>#N/A</v>
      </c>
      <c r="V3477" s="282" t="e">
        <f>+Tabla4[[#This Row],[Comisión Calculada]]*Tabla4[[#This Row],[Total]]</f>
        <v>#N/A</v>
      </c>
    </row>
    <row r="3478" spans="1:22" hidden="1" x14ac:dyDescent="0.25">
      <c r="A3478" s="100">
        <v>45823</v>
      </c>
      <c r="B3478" t="str">
        <f t="shared" si="162"/>
        <v>June</v>
      </c>
      <c r="C3478" s="46" t="s">
        <v>280</v>
      </c>
      <c r="F3478" s="366" t="s">
        <v>2053</v>
      </c>
      <c r="G3478" s="46" t="s">
        <v>18</v>
      </c>
      <c r="H3478" s="46">
        <v>2</v>
      </c>
      <c r="I3478" s="51">
        <v>5367.65</v>
      </c>
      <c r="J3478" s="281">
        <f>++Tabla4[[#This Row],[Precio Bruto]]*1.16</f>
        <v>6226.4739999999993</v>
      </c>
      <c r="K3478" s="281">
        <f>+Tabla4[[#This Row],[Precio Unitario Neto]]*Tabla4[[#Headers],[20.85%]]</f>
        <v>1298.2198289999999</v>
      </c>
      <c r="L3478" s="282">
        <f>++Tabla4[[#This Row],[Precio Unitario Neto]]-Tabla4[[#This Row],[20.85%]]</f>
        <v>4928.2541709999996</v>
      </c>
      <c r="M3478" s="282" t="e">
        <f>(INDEX(Tabla6[#All],MATCH(Tabla4[[#This Row],[Producto]],Tabla6[[#All],[PRODUCTO]],0),MATCH(Tabla4[[#This Row],[Mes]],Tabla6[#Headers],0)))*(1+Catalogos!$L$2)</f>
        <v>#N/A</v>
      </c>
      <c r="N3478" s="283" t="e">
        <f>+(Tabla4[[#This Row],[Precio Descontado]]-Tabla4[[#This Row],[Precio Base]])*Tabla4[[#This Row],[Cantidad]]</f>
        <v>#N/A</v>
      </c>
      <c r="O3478" s="284" t="e">
        <f>++Tabla4[[#This Row],[Utilidad Total]]/Tabla4[[#This Row],[Total]]</f>
        <v>#N/A</v>
      </c>
      <c r="P3478" s="282">
        <f>++Tabla4[[#This Row],[Precio Descontado]]*Tabla4[[#This Row],[Cantidad]]</f>
        <v>9856.5083419999992</v>
      </c>
      <c r="Q3478" s="282" t="e">
        <f>(INDEX(Tabla6[#All],MATCH(Tabla4[[#This Row],[Producto]],Tabla6[[#All],[PRODUCTO]],0),MATCH(Tabla4[[#This Row],[Mes]],Tabla6[#Headers],0)))</f>
        <v>#N/A</v>
      </c>
      <c r="R3478" s="282" t="e">
        <f>++Tabla4[[#This Row],[Precio Unitario Neto]]-Tabla4[[#This Row],[20.85%]]-Tabla4[[#This Row],[Costo]]</f>
        <v>#N/A</v>
      </c>
      <c r="S3478" s="282" t="e">
        <f>++Tabla4[[#This Row],[U. Bruta Uni]]*Tabla4[[#This Row],[Cantidad]]</f>
        <v>#N/A</v>
      </c>
      <c r="T3478" s="369" t="str">
        <f>VLOOKUP(Tabla4[[#This Row],[Producto]],Tabla6[#All],14,FALSE)</f>
        <v>Termico Solar</v>
      </c>
      <c r="U3478" s="284" t="e">
        <f>(IF(Tabla4[[#This Row],[Familia]]="termico solar",Tabla4[[#This Row],[Utilidad Total]]*6%,Tabla4[[#This Row],[Utilidad Total]]*11.5%))/Tabla4[[#This Row],[Total]]</f>
        <v>#N/A</v>
      </c>
      <c r="V3478" s="282" t="e">
        <f>+Tabla4[[#This Row],[Comisión Calculada]]*Tabla4[[#This Row],[Total]]</f>
        <v>#N/A</v>
      </c>
    </row>
    <row r="3479" spans="1:22" hidden="1" x14ac:dyDescent="0.25">
      <c r="A3479" s="100">
        <v>45823</v>
      </c>
      <c r="B3479" t="str">
        <f t="shared" si="162"/>
        <v>June</v>
      </c>
      <c r="C3479" s="46" t="s">
        <v>280</v>
      </c>
      <c r="F3479" s="366" t="s">
        <v>2053</v>
      </c>
      <c r="G3479" s="46" t="s">
        <v>566</v>
      </c>
      <c r="H3479" s="46">
        <v>1</v>
      </c>
      <c r="I3479" s="51">
        <v>2109.4499999999998</v>
      </c>
      <c r="J3479" s="281">
        <f>++Tabla4[[#This Row],[Precio Bruto]]*1.16</f>
        <v>2446.9619999999995</v>
      </c>
      <c r="K3479" s="281">
        <f>+Tabla4[[#This Row],[Precio Unitario Neto]]*Tabla4[[#Headers],[20.85%]]</f>
        <v>510.19157699999988</v>
      </c>
      <c r="L3479" s="282">
        <f>++Tabla4[[#This Row],[Precio Unitario Neto]]-Tabla4[[#This Row],[20.85%]]</f>
        <v>1936.7704229999997</v>
      </c>
      <c r="M3479" s="282" t="e">
        <f>(INDEX(Tabla6[#All],MATCH(Tabla4[[#This Row],[Producto]],Tabla6[[#All],[PRODUCTO]],0),MATCH(Tabla4[[#This Row],[Mes]],Tabla6[#Headers],0)))*(1+Catalogos!$L$2)</f>
        <v>#N/A</v>
      </c>
      <c r="N3479" s="283" t="e">
        <f>+(Tabla4[[#This Row],[Precio Descontado]]-Tabla4[[#This Row],[Precio Base]])*Tabla4[[#This Row],[Cantidad]]</f>
        <v>#N/A</v>
      </c>
      <c r="O3479" s="284" t="e">
        <f>++Tabla4[[#This Row],[Utilidad Total]]/Tabla4[[#This Row],[Total]]</f>
        <v>#N/A</v>
      </c>
      <c r="P3479" s="282">
        <f>++Tabla4[[#This Row],[Precio Descontado]]*Tabla4[[#This Row],[Cantidad]]</f>
        <v>1936.7704229999997</v>
      </c>
      <c r="Q3479" s="282" t="e">
        <f>(INDEX(Tabla6[#All],MATCH(Tabla4[[#This Row],[Producto]],Tabla6[[#All],[PRODUCTO]],0),MATCH(Tabla4[[#This Row],[Mes]],Tabla6[#Headers],0)))</f>
        <v>#N/A</v>
      </c>
      <c r="R3479" s="282" t="e">
        <f>++Tabla4[[#This Row],[Precio Unitario Neto]]-Tabla4[[#This Row],[20.85%]]-Tabla4[[#This Row],[Costo]]</f>
        <v>#N/A</v>
      </c>
      <c r="S3479" s="282" t="e">
        <f>++Tabla4[[#This Row],[U. Bruta Uni]]*Tabla4[[#This Row],[Cantidad]]</f>
        <v>#N/A</v>
      </c>
      <c r="T3479" s="369" t="str">
        <f>VLOOKUP(Tabla4[[#This Row],[Producto]],Tabla6[#All],14,FALSE)</f>
        <v>Termico Solar</v>
      </c>
      <c r="U3479" s="284" t="e">
        <f>(IF(Tabla4[[#This Row],[Familia]]="termico solar",Tabla4[[#This Row],[Utilidad Total]]*6%,Tabla4[[#This Row],[Utilidad Total]]*11.5%))/Tabla4[[#This Row],[Total]]</f>
        <v>#N/A</v>
      </c>
      <c r="V3479" s="282" t="e">
        <f>+Tabla4[[#This Row],[Comisión Calculada]]*Tabla4[[#This Row],[Total]]</f>
        <v>#N/A</v>
      </c>
    </row>
    <row r="3480" spans="1:22" hidden="1" x14ac:dyDescent="0.25">
      <c r="A3480" s="100">
        <v>45823</v>
      </c>
      <c r="B3480" t="str">
        <f t="shared" si="162"/>
        <v>June</v>
      </c>
      <c r="C3480" s="46" t="s">
        <v>280</v>
      </c>
      <c r="F3480" s="366" t="s">
        <v>2053</v>
      </c>
      <c r="G3480" s="46" t="s">
        <v>16</v>
      </c>
      <c r="H3480" s="46">
        <v>3</v>
      </c>
      <c r="I3480" s="51">
        <v>4103.8499999999995</v>
      </c>
      <c r="J3480" s="281">
        <f>++Tabla4[[#This Row],[Precio Bruto]]*1.16</f>
        <v>4760.4659999999994</v>
      </c>
      <c r="K3480" s="281">
        <f>+Tabla4[[#This Row],[Precio Unitario Neto]]*Tabla4[[#Headers],[20.85%]]</f>
        <v>992.55716099999984</v>
      </c>
      <c r="L3480" s="282">
        <f>++Tabla4[[#This Row],[Precio Unitario Neto]]-Tabla4[[#This Row],[20.85%]]</f>
        <v>3767.9088389999997</v>
      </c>
      <c r="M3480" s="282" t="e">
        <f>(INDEX(Tabla6[#All],MATCH(Tabla4[[#This Row],[Producto]],Tabla6[[#All],[PRODUCTO]],0),MATCH(Tabla4[[#This Row],[Mes]],Tabla6[#Headers],0)))*(1+Catalogos!$L$2)</f>
        <v>#N/A</v>
      </c>
      <c r="N3480" s="283" t="e">
        <f>+(Tabla4[[#This Row],[Precio Descontado]]-Tabla4[[#This Row],[Precio Base]])*Tabla4[[#This Row],[Cantidad]]</f>
        <v>#N/A</v>
      </c>
      <c r="O3480" s="284" t="e">
        <f>++Tabla4[[#This Row],[Utilidad Total]]/Tabla4[[#This Row],[Total]]</f>
        <v>#N/A</v>
      </c>
      <c r="P3480" s="282">
        <f>++Tabla4[[#This Row],[Precio Descontado]]*Tabla4[[#This Row],[Cantidad]]</f>
        <v>11303.726516999999</v>
      </c>
      <c r="Q3480" s="282" t="e">
        <f>(INDEX(Tabla6[#All],MATCH(Tabla4[[#This Row],[Producto]],Tabla6[[#All],[PRODUCTO]],0),MATCH(Tabla4[[#This Row],[Mes]],Tabla6[#Headers],0)))</f>
        <v>#N/A</v>
      </c>
      <c r="R3480" s="282" t="e">
        <f>++Tabla4[[#This Row],[Precio Unitario Neto]]-Tabla4[[#This Row],[20.85%]]-Tabla4[[#This Row],[Costo]]</f>
        <v>#N/A</v>
      </c>
      <c r="S3480" s="282" t="e">
        <f>++Tabla4[[#This Row],[U. Bruta Uni]]*Tabla4[[#This Row],[Cantidad]]</f>
        <v>#N/A</v>
      </c>
      <c r="T3480" s="369" t="str">
        <f>VLOOKUP(Tabla4[[#This Row],[Producto]],Tabla6[#All],14,FALSE)</f>
        <v>Termico Solar</v>
      </c>
      <c r="U3480" s="284" t="e">
        <f>(IF(Tabla4[[#This Row],[Familia]]="termico solar",Tabla4[[#This Row],[Utilidad Total]]*6%,Tabla4[[#This Row],[Utilidad Total]]*11.5%))/Tabla4[[#This Row],[Total]]</f>
        <v>#N/A</v>
      </c>
      <c r="V3480" s="282" t="e">
        <f>+Tabla4[[#This Row],[Comisión Calculada]]*Tabla4[[#This Row],[Total]]</f>
        <v>#N/A</v>
      </c>
    </row>
    <row r="3481" spans="1:22" hidden="1" x14ac:dyDescent="0.25">
      <c r="A3481" s="100">
        <v>45823</v>
      </c>
      <c r="B3481" t="str">
        <f t="shared" si="162"/>
        <v>June</v>
      </c>
      <c r="C3481" s="46" t="s">
        <v>280</v>
      </c>
      <c r="F3481" s="366" t="s">
        <v>2054</v>
      </c>
      <c r="G3481" s="46" t="s">
        <v>18</v>
      </c>
      <c r="H3481" s="46">
        <v>1</v>
      </c>
      <c r="I3481" s="51">
        <v>5367.65</v>
      </c>
      <c r="J3481" s="281">
        <f>++Tabla4[[#This Row],[Precio Bruto]]*1.16</f>
        <v>6226.4739999999993</v>
      </c>
      <c r="K3481" s="281">
        <f>+Tabla4[[#This Row],[Precio Unitario Neto]]*Tabla4[[#Headers],[20.85%]]</f>
        <v>1298.2198289999999</v>
      </c>
      <c r="L3481" s="282">
        <f>++Tabla4[[#This Row],[Precio Unitario Neto]]-Tabla4[[#This Row],[20.85%]]</f>
        <v>4928.2541709999996</v>
      </c>
      <c r="M3481" s="282" t="e">
        <f>(INDEX(Tabla6[#All],MATCH(Tabla4[[#This Row],[Producto]],Tabla6[[#All],[PRODUCTO]],0),MATCH(Tabla4[[#This Row],[Mes]],Tabla6[#Headers],0)))*(1+Catalogos!$L$2)</f>
        <v>#N/A</v>
      </c>
      <c r="N3481" s="283" t="e">
        <f>+(Tabla4[[#This Row],[Precio Descontado]]-Tabla4[[#This Row],[Precio Base]])*Tabla4[[#This Row],[Cantidad]]</f>
        <v>#N/A</v>
      </c>
      <c r="O3481" s="284" t="e">
        <f>++Tabla4[[#This Row],[Utilidad Total]]/Tabla4[[#This Row],[Total]]</f>
        <v>#N/A</v>
      </c>
      <c r="P3481" s="282">
        <f>++Tabla4[[#This Row],[Precio Descontado]]*Tabla4[[#This Row],[Cantidad]]</f>
        <v>4928.2541709999996</v>
      </c>
      <c r="Q3481" s="282" t="e">
        <f>(INDEX(Tabla6[#All],MATCH(Tabla4[[#This Row],[Producto]],Tabla6[[#All],[PRODUCTO]],0),MATCH(Tabla4[[#This Row],[Mes]],Tabla6[#Headers],0)))</f>
        <v>#N/A</v>
      </c>
      <c r="R3481" s="282" t="e">
        <f>++Tabla4[[#This Row],[Precio Unitario Neto]]-Tabla4[[#This Row],[20.85%]]-Tabla4[[#This Row],[Costo]]</f>
        <v>#N/A</v>
      </c>
      <c r="S3481" s="282" t="e">
        <f>++Tabla4[[#This Row],[U. Bruta Uni]]*Tabla4[[#This Row],[Cantidad]]</f>
        <v>#N/A</v>
      </c>
      <c r="T3481" s="369" t="str">
        <f>VLOOKUP(Tabla4[[#This Row],[Producto]],Tabla6[#All],14,FALSE)</f>
        <v>Termico Solar</v>
      </c>
      <c r="U3481" s="284" t="e">
        <f>(IF(Tabla4[[#This Row],[Familia]]="termico solar",Tabla4[[#This Row],[Utilidad Total]]*6%,Tabla4[[#This Row],[Utilidad Total]]*11.5%))/Tabla4[[#This Row],[Total]]</f>
        <v>#N/A</v>
      </c>
      <c r="V3481" s="282" t="e">
        <f>+Tabla4[[#This Row],[Comisión Calculada]]*Tabla4[[#This Row],[Total]]</f>
        <v>#N/A</v>
      </c>
    </row>
    <row r="3482" spans="1:22" hidden="1" x14ac:dyDescent="0.25">
      <c r="A3482" s="100">
        <v>45823</v>
      </c>
      <c r="B3482" t="str">
        <f t="shared" si="162"/>
        <v>June</v>
      </c>
      <c r="C3482" s="46" t="s">
        <v>280</v>
      </c>
      <c r="F3482" s="366" t="s">
        <v>2055</v>
      </c>
      <c r="G3482" s="46" t="s">
        <v>83</v>
      </c>
      <c r="H3482" s="46">
        <v>4</v>
      </c>
      <c r="I3482" s="51">
        <v>8858.76</v>
      </c>
      <c r="J3482" s="281">
        <f>++Tabla4[[#This Row],[Precio Bruto]]*1.16</f>
        <v>10276.161599999999</v>
      </c>
      <c r="K3482" s="281">
        <f>+Tabla4[[#This Row],[Precio Unitario Neto]]*Tabla4[[#Headers],[20.85%]]</f>
        <v>2142.5796935999997</v>
      </c>
      <c r="L3482" s="282">
        <f>++Tabla4[[#This Row],[Precio Unitario Neto]]-Tabla4[[#This Row],[20.85%]]</f>
        <v>8133.5819063999998</v>
      </c>
      <c r="M3482" s="282" t="e">
        <f>(INDEX(Tabla6[#All],MATCH(Tabla4[[#This Row],[Producto]],Tabla6[[#All],[PRODUCTO]],0),MATCH(Tabla4[[#This Row],[Mes]],Tabla6[#Headers],0)))*(1+Catalogos!$L$2)</f>
        <v>#N/A</v>
      </c>
      <c r="N3482" s="283" t="e">
        <f>+(Tabla4[[#This Row],[Precio Descontado]]-Tabla4[[#This Row],[Precio Base]])*Tabla4[[#This Row],[Cantidad]]</f>
        <v>#N/A</v>
      </c>
      <c r="O3482" s="284" t="e">
        <f>++Tabla4[[#This Row],[Utilidad Total]]/Tabla4[[#This Row],[Total]]</f>
        <v>#N/A</v>
      </c>
      <c r="P3482" s="282">
        <f>++Tabla4[[#This Row],[Precio Descontado]]*Tabla4[[#This Row],[Cantidad]]</f>
        <v>32534.327625599999</v>
      </c>
      <c r="Q3482" s="282" t="e">
        <f>(INDEX(Tabla6[#All],MATCH(Tabla4[[#This Row],[Producto]],Tabla6[[#All],[PRODUCTO]],0),MATCH(Tabla4[[#This Row],[Mes]],Tabla6[#Headers],0)))</f>
        <v>#N/A</v>
      </c>
      <c r="R3482" s="282" t="e">
        <f>++Tabla4[[#This Row],[Precio Unitario Neto]]-Tabla4[[#This Row],[20.85%]]-Tabla4[[#This Row],[Costo]]</f>
        <v>#N/A</v>
      </c>
      <c r="S3482" s="282" t="e">
        <f>++Tabla4[[#This Row],[U. Bruta Uni]]*Tabla4[[#This Row],[Cantidad]]</f>
        <v>#N/A</v>
      </c>
      <c r="T3482" s="369" t="str">
        <f>VLOOKUP(Tabla4[[#This Row],[Producto]],Tabla6[#All],14,FALSE)</f>
        <v>Termico Solar</v>
      </c>
      <c r="U3482" s="284" t="e">
        <f>(IF(Tabla4[[#This Row],[Familia]]="termico solar",Tabla4[[#This Row],[Utilidad Total]]*6%,Tabla4[[#This Row],[Utilidad Total]]*11.5%))/Tabla4[[#This Row],[Total]]</f>
        <v>#N/A</v>
      </c>
      <c r="V3482" s="282" t="e">
        <f>+Tabla4[[#This Row],[Comisión Calculada]]*Tabla4[[#This Row],[Total]]</f>
        <v>#N/A</v>
      </c>
    </row>
    <row r="3483" spans="1:22" hidden="1" x14ac:dyDescent="0.25">
      <c r="A3483" s="100">
        <v>45823</v>
      </c>
      <c r="B3483" t="str">
        <f t="shared" si="162"/>
        <v>June</v>
      </c>
      <c r="C3483" s="46" t="s">
        <v>280</v>
      </c>
      <c r="F3483" s="366" t="s">
        <v>2055</v>
      </c>
      <c r="G3483" s="46" t="s">
        <v>394</v>
      </c>
      <c r="H3483" s="46">
        <v>9</v>
      </c>
      <c r="I3483" s="51">
        <v>108.1</v>
      </c>
      <c r="J3483" s="281">
        <f>++Tabla4[[#This Row],[Precio Bruto]]*1.16</f>
        <v>125.39599999999999</v>
      </c>
      <c r="K3483" s="281">
        <f>+Tabla4[[#This Row],[Precio Unitario Neto]]*Tabla4[[#Headers],[20.85%]]</f>
        <v>26.145065999999996</v>
      </c>
      <c r="L3483" s="282">
        <f>++Tabla4[[#This Row],[Precio Unitario Neto]]-Tabla4[[#This Row],[20.85%]]</f>
        <v>99.250933999999987</v>
      </c>
      <c r="M3483" s="282" t="e">
        <f>(INDEX(Tabla6[#All],MATCH(Tabla4[[#This Row],[Producto]],Tabla6[[#All],[PRODUCTO]],0),MATCH(Tabla4[[#This Row],[Mes]],Tabla6[#Headers],0)))*(1+Catalogos!$L$2)</f>
        <v>#N/A</v>
      </c>
      <c r="N3483" s="283" t="e">
        <f>+(Tabla4[[#This Row],[Precio Descontado]]-Tabla4[[#This Row],[Precio Base]])*Tabla4[[#This Row],[Cantidad]]</f>
        <v>#N/A</v>
      </c>
      <c r="O3483" s="284" t="e">
        <f>++Tabla4[[#This Row],[Utilidad Total]]/Tabla4[[#This Row],[Total]]</f>
        <v>#N/A</v>
      </c>
      <c r="P3483" s="282">
        <f>++Tabla4[[#This Row],[Precio Descontado]]*Tabla4[[#This Row],[Cantidad]]</f>
        <v>893.25840599999992</v>
      </c>
      <c r="Q3483" s="282" t="e">
        <f>(INDEX(Tabla6[#All],MATCH(Tabla4[[#This Row],[Producto]],Tabla6[[#All],[PRODUCTO]],0),MATCH(Tabla4[[#This Row],[Mes]],Tabla6[#Headers],0)))</f>
        <v>#N/A</v>
      </c>
      <c r="R3483" s="282" t="e">
        <f>++Tabla4[[#This Row],[Precio Unitario Neto]]-Tabla4[[#This Row],[20.85%]]-Tabla4[[#This Row],[Costo]]</f>
        <v>#N/A</v>
      </c>
      <c r="S3483" s="282" t="e">
        <f>++Tabla4[[#This Row],[U. Bruta Uni]]*Tabla4[[#This Row],[Cantidad]]</f>
        <v>#N/A</v>
      </c>
      <c r="T3483" s="369" t="str">
        <f>VLOOKUP(Tabla4[[#This Row],[Producto]],Tabla6[#All],14,FALSE)</f>
        <v>Termico Solar</v>
      </c>
      <c r="U3483" s="284" t="e">
        <f>(IF(Tabla4[[#This Row],[Familia]]="termico solar",Tabla4[[#This Row],[Utilidad Total]]*6%,Tabla4[[#This Row],[Utilidad Total]]*11.5%))/Tabla4[[#This Row],[Total]]</f>
        <v>#N/A</v>
      </c>
      <c r="V3483" s="282" t="e">
        <f>+Tabla4[[#This Row],[Comisión Calculada]]*Tabla4[[#This Row],[Total]]</f>
        <v>#N/A</v>
      </c>
    </row>
    <row r="3484" spans="1:22" hidden="1" x14ac:dyDescent="0.25">
      <c r="A3484" s="100">
        <v>45823</v>
      </c>
      <c r="B3484" t="str">
        <f t="shared" si="162"/>
        <v>June</v>
      </c>
      <c r="C3484" s="46" t="s">
        <v>280</v>
      </c>
      <c r="F3484" s="366" t="s">
        <v>2056</v>
      </c>
      <c r="G3484" s="46" t="s">
        <v>83</v>
      </c>
      <c r="H3484" s="46">
        <v>6</v>
      </c>
      <c r="I3484" s="51">
        <v>8858.76</v>
      </c>
      <c r="J3484" s="281">
        <f>++Tabla4[[#This Row],[Precio Bruto]]*1.16</f>
        <v>10276.161599999999</v>
      </c>
      <c r="K3484" s="281">
        <f>+Tabla4[[#This Row],[Precio Unitario Neto]]*Tabla4[[#Headers],[20.85%]]</f>
        <v>2142.5796935999997</v>
      </c>
      <c r="L3484" s="282">
        <f>++Tabla4[[#This Row],[Precio Unitario Neto]]-Tabla4[[#This Row],[20.85%]]</f>
        <v>8133.5819063999998</v>
      </c>
      <c r="M3484" s="282" t="e">
        <f>(INDEX(Tabla6[#All],MATCH(Tabla4[[#This Row],[Producto]],Tabla6[[#All],[PRODUCTO]],0),MATCH(Tabla4[[#This Row],[Mes]],Tabla6[#Headers],0)))*(1+Catalogos!$L$2)</f>
        <v>#N/A</v>
      </c>
      <c r="N3484" s="283" t="e">
        <f>+(Tabla4[[#This Row],[Precio Descontado]]-Tabla4[[#This Row],[Precio Base]])*Tabla4[[#This Row],[Cantidad]]</f>
        <v>#N/A</v>
      </c>
      <c r="O3484" s="284" t="e">
        <f>++Tabla4[[#This Row],[Utilidad Total]]/Tabla4[[#This Row],[Total]]</f>
        <v>#N/A</v>
      </c>
      <c r="P3484" s="282">
        <f>++Tabla4[[#This Row],[Precio Descontado]]*Tabla4[[#This Row],[Cantidad]]</f>
        <v>48801.4914384</v>
      </c>
      <c r="Q3484" s="282" t="e">
        <f>(INDEX(Tabla6[#All],MATCH(Tabla4[[#This Row],[Producto]],Tabla6[[#All],[PRODUCTO]],0),MATCH(Tabla4[[#This Row],[Mes]],Tabla6[#Headers],0)))</f>
        <v>#N/A</v>
      </c>
      <c r="R3484" s="282" t="e">
        <f>++Tabla4[[#This Row],[Precio Unitario Neto]]-Tabla4[[#This Row],[20.85%]]-Tabla4[[#This Row],[Costo]]</f>
        <v>#N/A</v>
      </c>
      <c r="S3484" s="282" t="e">
        <f>++Tabla4[[#This Row],[U. Bruta Uni]]*Tabla4[[#This Row],[Cantidad]]</f>
        <v>#N/A</v>
      </c>
      <c r="T3484" s="369" t="str">
        <f>VLOOKUP(Tabla4[[#This Row],[Producto]],Tabla6[#All],14,FALSE)</f>
        <v>Termico Solar</v>
      </c>
      <c r="U3484" s="284" t="e">
        <f>(IF(Tabla4[[#This Row],[Familia]]="termico solar",Tabla4[[#This Row],[Utilidad Total]]*6%,Tabla4[[#This Row],[Utilidad Total]]*11.5%))/Tabla4[[#This Row],[Total]]</f>
        <v>#N/A</v>
      </c>
      <c r="V3484" s="282" t="e">
        <f>+Tabla4[[#This Row],[Comisión Calculada]]*Tabla4[[#This Row],[Total]]</f>
        <v>#N/A</v>
      </c>
    </row>
    <row r="3485" spans="1:22" hidden="1" x14ac:dyDescent="0.25">
      <c r="A3485" s="100">
        <v>45823</v>
      </c>
      <c r="B3485" t="str">
        <f t="shared" si="162"/>
        <v>June</v>
      </c>
      <c r="C3485" s="46" t="s">
        <v>280</v>
      </c>
      <c r="F3485" s="366" t="s">
        <v>2056</v>
      </c>
      <c r="G3485" s="46" t="s">
        <v>17</v>
      </c>
      <c r="H3485" s="46">
        <v>2</v>
      </c>
      <c r="I3485" s="51">
        <v>4622.28</v>
      </c>
      <c r="J3485" s="281">
        <f>++Tabla4[[#This Row],[Precio Bruto]]*1.16</f>
        <v>5361.8447999999989</v>
      </c>
      <c r="K3485" s="281">
        <f>+Tabla4[[#This Row],[Precio Unitario Neto]]*Tabla4[[#Headers],[20.85%]]</f>
        <v>1117.9446407999997</v>
      </c>
      <c r="L3485" s="282">
        <f>++Tabla4[[#This Row],[Precio Unitario Neto]]-Tabla4[[#This Row],[20.85%]]</f>
        <v>4243.9001591999995</v>
      </c>
      <c r="M3485" s="282" t="e">
        <f>(INDEX(Tabla6[#All],MATCH(Tabla4[[#This Row],[Producto]],Tabla6[[#All],[PRODUCTO]],0),MATCH(Tabla4[[#This Row],[Mes]],Tabla6[#Headers],0)))*(1+Catalogos!$L$2)</f>
        <v>#N/A</v>
      </c>
      <c r="N3485" s="283" t="e">
        <f>+(Tabla4[[#This Row],[Precio Descontado]]-Tabla4[[#This Row],[Precio Base]])*Tabla4[[#This Row],[Cantidad]]</f>
        <v>#N/A</v>
      </c>
      <c r="O3485" s="284" t="e">
        <f>++Tabla4[[#This Row],[Utilidad Total]]/Tabla4[[#This Row],[Total]]</f>
        <v>#N/A</v>
      </c>
      <c r="P3485" s="282">
        <f>++Tabla4[[#This Row],[Precio Descontado]]*Tabla4[[#This Row],[Cantidad]]</f>
        <v>8487.800318399999</v>
      </c>
      <c r="Q3485" s="282" t="e">
        <f>(INDEX(Tabla6[#All],MATCH(Tabla4[[#This Row],[Producto]],Tabla6[[#All],[PRODUCTO]],0),MATCH(Tabla4[[#This Row],[Mes]],Tabla6[#Headers],0)))</f>
        <v>#N/A</v>
      </c>
      <c r="R3485" s="282" t="e">
        <f>++Tabla4[[#This Row],[Precio Unitario Neto]]-Tabla4[[#This Row],[20.85%]]-Tabla4[[#This Row],[Costo]]</f>
        <v>#N/A</v>
      </c>
      <c r="S3485" s="282" t="e">
        <f>++Tabla4[[#This Row],[U. Bruta Uni]]*Tabla4[[#This Row],[Cantidad]]</f>
        <v>#N/A</v>
      </c>
      <c r="T3485" s="369" t="str">
        <f>VLOOKUP(Tabla4[[#This Row],[Producto]],Tabla6[#All],14,FALSE)</f>
        <v>Termico Solar</v>
      </c>
      <c r="U3485" s="284" t="e">
        <f>(IF(Tabla4[[#This Row],[Familia]]="termico solar",Tabla4[[#This Row],[Utilidad Total]]*6%,Tabla4[[#This Row],[Utilidad Total]]*11.5%))/Tabla4[[#This Row],[Total]]</f>
        <v>#N/A</v>
      </c>
      <c r="V3485" s="282" t="e">
        <f>+Tabla4[[#This Row],[Comisión Calculada]]*Tabla4[[#This Row],[Total]]</f>
        <v>#N/A</v>
      </c>
    </row>
    <row r="3486" spans="1:22" hidden="1" x14ac:dyDescent="0.25">
      <c r="A3486" s="100">
        <v>45823</v>
      </c>
      <c r="B3486" t="str">
        <f t="shared" si="162"/>
        <v>June</v>
      </c>
      <c r="C3486" s="46" t="s">
        <v>280</v>
      </c>
      <c r="F3486" s="366" t="s">
        <v>2056</v>
      </c>
      <c r="G3486" s="46" t="s">
        <v>18</v>
      </c>
      <c r="H3486" s="46">
        <v>3</v>
      </c>
      <c r="I3486" s="51">
        <v>5367.6500000000005</v>
      </c>
      <c r="J3486" s="281">
        <f>++Tabla4[[#This Row],[Precio Bruto]]*1.16</f>
        <v>6226.4740000000002</v>
      </c>
      <c r="K3486" s="281">
        <f>+Tabla4[[#This Row],[Precio Unitario Neto]]*Tabla4[[#Headers],[20.85%]]</f>
        <v>1298.2198289999999</v>
      </c>
      <c r="L3486" s="282">
        <f>++Tabla4[[#This Row],[Precio Unitario Neto]]-Tabla4[[#This Row],[20.85%]]</f>
        <v>4928.2541710000005</v>
      </c>
      <c r="M3486" s="282" t="e">
        <f>(INDEX(Tabla6[#All],MATCH(Tabla4[[#This Row],[Producto]],Tabla6[[#All],[PRODUCTO]],0),MATCH(Tabla4[[#This Row],[Mes]],Tabla6[#Headers],0)))*(1+Catalogos!$L$2)</f>
        <v>#N/A</v>
      </c>
      <c r="N3486" s="283" t="e">
        <f>+(Tabla4[[#This Row],[Precio Descontado]]-Tabla4[[#This Row],[Precio Base]])*Tabla4[[#This Row],[Cantidad]]</f>
        <v>#N/A</v>
      </c>
      <c r="O3486" s="284" t="e">
        <f>++Tabla4[[#This Row],[Utilidad Total]]/Tabla4[[#This Row],[Total]]</f>
        <v>#N/A</v>
      </c>
      <c r="P3486" s="282">
        <f>++Tabla4[[#This Row],[Precio Descontado]]*Tabla4[[#This Row],[Cantidad]]</f>
        <v>14784.762513000001</v>
      </c>
      <c r="Q3486" s="282" t="e">
        <f>(INDEX(Tabla6[#All],MATCH(Tabla4[[#This Row],[Producto]],Tabla6[[#All],[PRODUCTO]],0),MATCH(Tabla4[[#This Row],[Mes]],Tabla6[#Headers],0)))</f>
        <v>#N/A</v>
      </c>
      <c r="R3486" s="282" t="e">
        <f>++Tabla4[[#This Row],[Precio Unitario Neto]]-Tabla4[[#This Row],[20.85%]]-Tabla4[[#This Row],[Costo]]</f>
        <v>#N/A</v>
      </c>
      <c r="S3486" s="282" t="e">
        <f>++Tabla4[[#This Row],[U. Bruta Uni]]*Tabla4[[#This Row],[Cantidad]]</f>
        <v>#N/A</v>
      </c>
      <c r="T3486" s="369" t="str">
        <f>VLOOKUP(Tabla4[[#This Row],[Producto]],Tabla6[#All],14,FALSE)</f>
        <v>Termico Solar</v>
      </c>
      <c r="U3486" s="284" t="e">
        <f>(IF(Tabla4[[#This Row],[Familia]]="termico solar",Tabla4[[#This Row],[Utilidad Total]]*6%,Tabla4[[#This Row],[Utilidad Total]]*11.5%))/Tabla4[[#This Row],[Total]]</f>
        <v>#N/A</v>
      </c>
      <c r="V3486" s="282" t="e">
        <f>+Tabla4[[#This Row],[Comisión Calculada]]*Tabla4[[#This Row],[Total]]</f>
        <v>#N/A</v>
      </c>
    </row>
    <row r="3487" spans="1:22" hidden="1" x14ac:dyDescent="0.25">
      <c r="A3487" s="100">
        <v>45823</v>
      </c>
      <c r="B3487" t="str">
        <f t="shared" si="162"/>
        <v>June</v>
      </c>
      <c r="C3487" s="46" t="s">
        <v>280</v>
      </c>
      <c r="F3487" s="366" t="s">
        <v>2057</v>
      </c>
      <c r="G3487" s="46" t="s">
        <v>17</v>
      </c>
      <c r="H3487" s="46">
        <v>3</v>
      </c>
      <c r="I3487" s="51">
        <v>4622.28</v>
      </c>
      <c r="J3487" s="281">
        <f>++Tabla4[[#This Row],[Precio Bruto]]*1.16</f>
        <v>5361.8447999999989</v>
      </c>
      <c r="K3487" s="281">
        <f>+Tabla4[[#This Row],[Precio Unitario Neto]]*Tabla4[[#Headers],[20.85%]]</f>
        <v>1117.9446407999997</v>
      </c>
      <c r="L3487" s="282">
        <f>++Tabla4[[#This Row],[Precio Unitario Neto]]-Tabla4[[#This Row],[20.85%]]</f>
        <v>4243.9001591999995</v>
      </c>
      <c r="M3487" s="282" t="e">
        <f>(INDEX(Tabla6[#All],MATCH(Tabla4[[#This Row],[Producto]],Tabla6[[#All],[PRODUCTO]],0),MATCH(Tabla4[[#This Row],[Mes]],Tabla6[#Headers],0)))*(1+Catalogos!$L$2)</f>
        <v>#N/A</v>
      </c>
      <c r="N3487" s="283" t="e">
        <f>+(Tabla4[[#This Row],[Precio Descontado]]-Tabla4[[#This Row],[Precio Base]])*Tabla4[[#This Row],[Cantidad]]</f>
        <v>#N/A</v>
      </c>
      <c r="O3487" s="284" t="e">
        <f>++Tabla4[[#This Row],[Utilidad Total]]/Tabla4[[#This Row],[Total]]</f>
        <v>#N/A</v>
      </c>
      <c r="P3487" s="282">
        <f>++Tabla4[[#This Row],[Precio Descontado]]*Tabla4[[#This Row],[Cantidad]]</f>
        <v>12731.700477599999</v>
      </c>
      <c r="Q3487" s="282" t="e">
        <f>(INDEX(Tabla6[#All],MATCH(Tabla4[[#This Row],[Producto]],Tabla6[[#All],[PRODUCTO]],0),MATCH(Tabla4[[#This Row],[Mes]],Tabla6[#Headers],0)))</f>
        <v>#N/A</v>
      </c>
      <c r="R3487" s="282" t="e">
        <f>++Tabla4[[#This Row],[Precio Unitario Neto]]-Tabla4[[#This Row],[20.85%]]-Tabla4[[#This Row],[Costo]]</f>
        <v>#N/A</v>
      </c>
      <c r="S3487" s="282" t="e">
        <f>++Tabla4[[#This Row],[U. Bruta Uni]]*Tabla4[[#This Row],[Cantidad]]</f>
        <v>#N/A</v>
      </c>
      <c r="T3487" s="369" t="str">
        <f>VLOOKUP(Tabla4[[#This Row],[Producto]],Tabla6[#All],14,FALSE)</f>
        <v>Termico Solar</v>
      </c>
      <c r="U3487" s="284" t="e">
        <f>(IF(Tabla4[[#This Row],[Familia]]="termico solar",Tabla4[[#This Row],[Utilidad Total]]*6%,Tabla4[[#This Row],[Utilidad Total]]*11.5%))/Tabla4[[#This Row],[Total]]</f>
        <v>#N/A</v>
      </c>
      <c r="V3487" s="282" t="e">
        <f>+Tabla4[[#This Row],[Comisión Calculada]]*Tabla4[[#This Row],[Total]]</f>
        <v>#N/A</v>
      </c>
    </row>
    <row r="3488" spans="1:22" hidden="1" x14ac:dyDescent="0.25">
      <c r="A3488" s="100">
        <v>45823</v>
      </c>
      <c r="B3488" t="str">
        <f t="shared" si="162"/>
        <v>June</v>
      </c>
      <c r="C3488" s="46" t="s">
        <v>280</v>
      </c>
      <c r="F3488" s="366" t="s">
        <v>2057</v>
      </c>
      <c r="G3488" s="46" t="s">
        <v>16</v>
      </c>
      <c r="H3488" s="46">
        <v>2</v>
      </c>
      <c r="I3488" s="51">
        <v>4103.8500000000004</v>
      </c>
      <c r="J3488" s="281">
        <f>++Tabla4[[#This Row],[Precio Bruto]]*1.16</f>
        <v>4760.4660000000003</v>
      </c>
      <c r="K3488" s="281">
        <f>+Tabla4[[#This Row],[Precio Unitario Neto]]*Tabla4[[#Headers],[20.85%]]</f>
        <v>992.55716100000006</v>
      </c>
      <c r="L3488" s="282">
        <f>++Tabla4[[#This Row],[Precio Unitario Neto]]-Tabla4[[#This Row],[20.85%]]</f>
        <v>3767.9088390000002</v>
      </c>
      <c r="M3488" s="282" t="e">
        <f>(INDEX(Tabla6[#All],MATCH(Tabla4[[#This Row],[Producto]],Tabla6[[#All],[PRODUCTO]],0),MATCH(Tabla4[[#This Row],[Mes]],Tabla6[#Headers],0)))*(1+Catalogos!$L$2)</f>
        <v>#N/A</v>
      </c>
      <c r="N3488" s="283" t="e">
        <f>+(Tabla4[[#This Row],[Precio Descontado]]-Tabla4[[#This Row],[Precio Base]])*Tabla4[[#This Row],[Cantidad]]</f>
        <v>#N/A</v>
      </c>
      <c r="O3488" s="284" t="e">
        <f>++Tabla4[[#This Row],[Utilidad Total]]/Tabla4[[#This Row],[Total]]</f>
        <v>#N/A</v>
      </c>
      <c r="P3488" s="282">
        <f>++Tabla4[[#This Row],[Precio Descontado]]*Tabla4[[#This Row],[Cantidad]]</f>
        <v>7535.8176780000003</v>
      </c>
      <c r="Q3488" s="282" t="e">
        <f>(INDEX(Tabla6[#All],MATCH(Tabla4[[#This Row],[Producto]],Tabla6[[#All],[PRODUCTO]],0),MATCH(Tabla4[[#This Row],[Mes]],Tabla6[#Headers],0)))</f>
        <v>#N/A</v>
      </c>
      <c r="R3488" s="282" t="e">
        <f>++Tabla4[[#This Row],[Precio Unitario Neto]]-Tabla4[[#This Row],[20.85%]]-Tabla4[[#This Row],[Costo]]</f>
        <v>#N/A</v>
      </c>
      <c r="S3488" s="282" t="e">
        <f>++Tabla4[[#This Row],[U. Bruta Uni]]*Tabla4[[#This Row],[Cantidad]]</f>
        <v>#N/A</v>
      </c>
      <c r="T3488" s="369" t="str">
        <f>VLOOKUP(Tabla4[[#This Row],[Producto]],Tabla6[#All],14,FALSE)</f>
        <v>Termico Solar</v>
      </c>
      <c r="U3488" s="284" t="e">
        <f>(IF(Tabla4[[#This Row],[Familia]]="termico solar",Tabla4[[#This Row],[Utilidad Total]]*6%,Tabla4[[#This Row],[Utilidad Total]]*11.5%))/Tabla4[[#This Row],[Total]]</f>
        <v>#N/A</v>
      </c>
      <c r="V3488" s="282" t="e">
        <f>+Tabla4[[#This Row],[Comisión Calculada]]*Tabla4[[#This Row],[Total]]</f>
        <v>#N/A</v>
      </c>
    </row>
    <row r="3489" spans="1:22" hidden="1" x14ac:dyDescent="0.25">
      <c r="A3489" s="100">
        <v>45823</v>
      </c>
      <c r="B3489" t="str">
        <f t="shared" si="162"/>
        <v>June</v>
      </c>
      <c r="C3489" s="46" t="s">
        <v>280</v>
      </c>
      <c r="F3489" s="366" t="s">
        <v>2058</v>
      </c>
      <c r="G3489" s="46" t="s">
        <v>83</v>
      </c>
      <c r="H3489" s="46">
        <v>2</v>
      </c>
      <c r="I3489" s="51">
        <v>8858.76</v>
      </c>
      <c r="J3489" s="281">
        <f>++Tabla4[[#This Row],[Precio Bruto]]*1.16</f>
        <v>10276.161599999999</v>
      </c>
      <c r="K3489" s="281">
        <f>+Tabla4[[#This Row],[Precio Unitario Neto]]*Tabla4[[#Headers],[20.85%]]</f>
        <v>2142.5796935999997</v>
      </c>
      <c r="L3489" s="282">
        <f>++Tabla4[[#This Row],[Precio Unitario Neto]]-Tabla4[[#This Row],[20.85%]]</f>
        <v>8133.5819063999998</v>
      </c>
      <c r="M3489" s="282" t="e">
        <f>(INDEX(Tabla6[#All],MATCH(Tabla4[[#This Row],[Producto]],Tabla6[[#All],[PRODUCTO]],0),MATCH(Tabla4[[#This Row],[Mes]],Tabla6[#Headers],0)))*(1+Catalogos!$L$2)</f>
        <v>#N/A</v>
      </c>
      <c r="N3489" s="283" t="e">
        <f>+(Tabla4[[#This Row],[Precio Descontado]]-Tabla4[[#This Row],[Precio Base]])*Tabla4[[#This Row],[Cantidad]]</f>
        <v>#N/A</v>
      </c>
      <c r="O3489" s="284" t="e">
        <f>++Tabla4[[#This Row],[Utilidad Total]]/Tabla4[[#This Row],[Total]]</f>
        <v>#N/A</v>
      </c>
      <c r="P3489" s="282">
        <f>++Tabla4[[#This Row],[Precio Descontado]]*Tabla4[[#This Row],[Cantidad]]</f>
        <v>16267.1638128</v>
      </c>
      <c r="Q3489" s="282" t="e">
        <f>(INDEX(Tabla6[#All],MATCH(Tabla4[[#This Row],[Producto]],Tabla6[[#All],[PRODUCTO]],0),MATCH(Tabla4[[#This Row],[Mes]],Tabla6[#Headers],0)))</f>
        <v>#N/A</v>
      </c>
      <c r="R3489" s="282" t="e">
        <f>++Tabla4[[#This Row],[Precio Unitario Neto]]-Tabla4[[#This Row],[20.85%]]-Tabla4[[#This Row],[Costo]]</f>
        <v>#N/A</v>
      </c>
      <c r="S3489" s="282" t="e">
        <f>++Tabla4[[#This Row],[U. Bruta Uni]]*Tabla4[[#This Row],[Cantidad]]</f>
        <v>#N/A</v>
      </c>
      <c r="T3489" s="369" t="str">
        <f>VLOOKUP(Tabla4[[#This Row],[Producto]],Tabla6[#All],14,FALSE)</f>
        <v>Termico Solar</v>
      </c>
      <c r="U3489" s="284" t="e">
        <f>(IF(Tabla4[[#This Row],[Familia]]="termico solar",Tabla4[[#This Row],[Utilidad Total]]*6%,Tabla4[[#This Row],[Utilidad Total]]*11.5%))/Tabla4[[#This Row],[Total]]</f>
        <v>#N/A</v>
      </c>
      <c r="V3489" s="282" t="e">
        <f>+Tabla4[[#This Row],[Comisión Calculada]]*Tabla4[[#This Row],[Total]]</f>
        <v>#N/A</v>
      </c>
    </row>
    <row r="3490" spans="1:22" hidden="1" x14ac:dyDescent="0.25">
      <c r="A3490" s="100">
        <v>45823</v>
      </c>
      <c r="B3490" t="str">
        <f t="shared" si="162"/>
        <v>June</v>
      </c>
      <c r="C3490" s="46" t="s">
        <v>280</v>
      </c>
      <c r="F3490" s="366" t="s">
        <v>2059</v>
      </c>
      <c r="G3490" s="46" t="s">
        <v>83</v>
      </c>
      <c r="H3490" s="46">
        <v>1</v>
      </c>
      <c r="I3490" s="51">
        <v>8858.76</v>
      </c>
      <c r="J3490" s="281">
        <f>++Tabla4[[#This Row],[Precio Bruto]]*1.16</f>
        <v>10276.161599999999</v>
      </c>
      <c r="K3490" s="281">
        <f>+Tabla4[[#This Row],[Precio Unitario Neto]]*Tabla4[[#Headers],[20.85%]]</f>
        <v>2142.5796935999997</v>
      </c>
      <c r="L3490" s="282">
        <f>++Tabla4[[#This Row],[Precio Unitario Neto]]-Tabla4[[#This Row],[20.85%]]</f>
        <v>8133.5819063999998</v>
      </c>
      <c r="M3490" s="282" t="e">
        <f>(INDEX(Tabla6[#All],MATCH(Tabla4[[#This Row],[Producto]],Tabla6[[#All],[PRODUCTO]],0),MATCH(Tabla4[[#This Row],[Mes]],Tabla6[#Headers],0)))*(1+Catalogos!$L$2)</f>
        <v>#N/A</v>
      </c>
      <c r="N3490" s="283" t="e">
        <f>+(Tabla4[[#This Row],[Precio Descontado]]-Tabla4[[#This Row],[Precio Base]])*Tabla4[[#This Row],[Cantidad]]</f>
        <v>#N/A</v>
      </c>
      <c r="O3490" s="284" t="e">
        <f>++Tabla4[[#This Row],[Utilidad Total]]/Tabla4[[#This Row],[Total]]</f>
        <v>#N/A</v>
      </c>
      <c r="P3490" s="282">
        <f>++Tabla4[[#This Row],[Precio Descontado]]*Tabla4[[#This Row],[Cantidad]]</f>
        <v>8133.5819063999998</v>
      </c>
      <c r="Q3490" s="282" t="e">
        <f>(INDEX(Tabla6[#All],MATCH(Tabla4[[#This Row],[Producto]],Tabla6[[#All],[PRODUCTO]],0),MATCH(Tabla4[[#This Row],[Mes]],Tabla6[#Headers],0)))</f>
        <v>#N/A</v>
      </c>
      <c r="R3490" s="282" t="e">
        <f>++Tabla4[[#This Row],[Precio Unitario Neto]]-Tabla4[[#This Row],[20.85%]]-Tabla4[[#This Row],[Costo]]</f>
        <v>#N/A</v>
      </c>
      <c r="S3490" s="282" t="e">
        <f>++Tabla4[[#This Row],[U. Bruta Uni]]*Tabla4[[#This Row],[Cantidad]]</f>
        <v>#N/A</v>
      </c>
      <c r="T3490" s="369" t="str">
        <f>VLOOKUP(Tabla4[[#This Row],[Producto]],Tabla6[#All],14,FALSE)</f>
        <v>Termico Solar</v>
      </c>
      <c r="U3490" s="284" t="e">
        <f>(IF(Tabla4[[#This Row],[Familia]]="termico solar",Tabla4[[#This Row],[Utilidad Total]]*6%,Tabla4[[#This Row],[Utilidad Total]]*11.5%))/Tabla4[[#This Row],[Total]]</f>
        <v>#N/A</v>
      </c>
      <c r="V3490" s="282" t="e">
        <f>+Tabla4[[#This Row],[Comisión Calculada]]*Tabla4[[#This Row],[Total]]</f>
        <v>#N/A</v>
      </c>
    </row>
    <row r="3491" spans="1:22" hidden="1" x14ac:dyDescent="0.25">
      <c r="A3491" s="100">
        <v>45823</v>
      </c>
      <c r="B3491" t="str">
        <f t="shared" si="162"/>
        <v>June</v>
      </c>
      <c r="C3491" s="46" t="s">
        <v>280</v>
      </c>
      <c r="F3491" s="366" t="s">
        <v>2059</v>
      </c>
      <c r="G3491" s="46" t="s">
        <v>17</v>
      </c>
      <c r="H3491" s="46">
        <v>2</v>
      </c>
      <c r="I3491" s="51">
        <v>4622.28</v>
      </c>
      <c r="J3491" s="281">
        <f>++Tabla4[[#This Row],[Precio Bruto]]*1.16</f>
        <v>5361.8447999999989</v>
      </c>
      <c r="K3491" s="281">
        <f>+Tabla4[[#This Row],[Precio Unitario Neto]]*Tabla4[[#Headers],[20.85%]]</f>
        <v>1117.9446407999997</v>
      </c>
      <c r="L3491" s="282">
        <f>++Tabla4[[#This Row],[Precio Unitario Neto]]-Tabla4[[#This Row],[20.85%]]</f>
        <v>4243.9001591999995</v>
      </c>
      <c r="M3491" s="282" t="e">
        <f>(INDEX(Tabla6[#All],MATCH(Tabla4[[#This Row],[Producto]],Tabla6[[#All],[PRODUCTO]],0),MATCH(Tabla4[[#This Row],[Mes]],Tabla6[#Headers],0)))*(1+Catalogos!$L$2)</f>
        <v>#N/A</v>
      </c>
      <c r="N3491" s="283" t="e">
        <f>+(Tabla4[[#This Row],[Precio Descontado]]-Tabla4[[#This Row],[Precio Base]])*Tabla4[[#This Row],[Cantidad]]</f>
        <v>#N/A</v>
      </c>
      <c r="O3491" s="284" t="e">
        <f>++Tabla4[[#This Row],[Utilidad Total]]/Tabla4[[#This Row],[Total]]</f>
        <v>#N/A</v>
      </c>
      <c r="P3491" s="282">
        <f>++Tabla4[[#This Row],[Precio Descontado]]*Tabla4[[#This Row],[Cantidad]]</f>
        <v>8487.800318399999</v>
      </c>
      <c r="Q3491" s="282" t="e">
        <f>(INDEX(Tabla6[#All],MATCH(Tabla4[[#This Row],[Producto]],Tabla6[[#All],[PRODUCTO]],0),MATCH(Tabla4[[#This Row],[Mes]],Tabla6[#Headers],0)))</f>
        <v>#N/A</v>
      </c>
      <c r="R3491" s="282" t="e">
        <f>++Tabla4[[#This Row],[Precio Unitario Neto]]-Tabla4[[#This Row],[20.85%]]-Tabla4[[#This Row],[Costo]]</f>
        <v>#N/A</v>
      </c>
      <c r="S3491" s="282" t="e">
        <f>++Tabla4[[#This Row],[U. Bruta Uni]]*Tabla4[[#This Row],[Cantidad]]</f>
        <v>#N/A</v>
      </c>
      <c r="T3491" s="369" t="str">
        <f>VLOOKUP(Tabla4[[#This Row],[Producto]],Tabla6[#All],14,FALSE)</f>
        <v>Termico Solar</v>
      </c>
      <c r="U3491" s="284" t="e">
        <f>(IF(Tabla4[[#This Row],[Familia]]="termico solar",Tabla4[[#This Row],[Utilidad Total]]*6%,Tabla4[[#This Row],[Utilidad Total]]*11.5%))/Tabla4[[#This Row],[Total]]</f>
        <v>#N/A</v>
      </c>
      <c r="V3491" s="282" t="e">
        <f>+Tabla4[[#This Row],[Comisión Calculada]]*Tabla4[[#This Row],[Total]]</f>
        <v>#N/A</v>
      </c>
    </row>
    <row r="3492" spans="1:22" hidden="1" x14ac:dyDescent="0.25">
      <c r="A3492" s="100">
        <v>45823</v>
      </c>
      <c r="B3492" t="str">
        <f t="shared" si="162"/>
        <v>June</v>
      </c>
      <c r="C3492" s="46" t="s">
        <v>280</v>
      </c>
      <c r="F3492" s="366" t="s">
        <v>2059</v>
      </c>
      <c r="G3492" s="46" t="s">
        <v>18</v>
      </c>
      <c r="H3492" s="46">
        <v>2</v>
      </c>
      <c r="I3492" s="51">
        <v>5367.65</v>
      </c>
      <c r="J3492" s="281">
        <f>++Tabla4[[#This Row],[Precio Bruto]]*1.16</f>
        <v>6226.4739999999993</v>
      </c>
      <c r="K3492" s="281">
        <f>+Tabla4[[#This Row],[Precio Unitario Neto]]*Tabla4[[#Headers],[20.85%]]</f>
        <v>1298.2198289999999</v>
      </c>
      <c r="L3492" s="282">
        <f>++Tabla4[[#This Row],[Precio Unitario Neto]]-Tabla4[[#This Row],[20.85%]]</f>
        <v>4928.2541709999996</v>
      </c>
      <c r="M3492" s="282" t="e">
        <f>(INDEX(Tabla6[#All],MATCH(Tabla4[[#This Row],[Producto]],Tabla6[[#All],[PRODUCTO]],0),MATCH(Tabla4[[#This Row],[Mes]],Tabla6[#Headers],0)))*(1+Catalogos!$L$2)</f>
        <v>#N/A</v>
      </c>
      <c r="N3492" s="283" t="e">
        <f>+(Tabla4[[#This Row],[Precio Descontado]]-Tabla4[[#This Row],[Precio Base]])*Tabla4[[#This Row],[Cantidad]]</f>
        <v>#N/A</v>
      </c>
      <c r="O3492" s="284" t="e">
        <f>++Tabla4[[#This Row],[Utilidad Total]]/Tabla4[[#This Row],[Total]]</f>
        <v>#N/A</v>
      </c>
      <c r="P3492" s="282">
        <f>++Tabla4[[#This Row],[Precio Descontado]]*Tabla4[[#This Row],[Cantidad]]</f>
        <v>9856.5083419999992</v>
      </c>
      <c r="Q3492" s="282" t="e">
        <f>(INDEX(Tabla6[#All],MATCH(Tabla4[[#This Row],[Producto]],Tabla6[[#All],[PRODUCTO]],0),MATCH(Tabla4[[#This Row],[Mes]],Tabla6[#Headers],0)))</f>
        <v>#N/A</v>
      </c>
      <c r="R3492" s="282" t="e">
        <f>++Tabla4[[#This Row],[Precio Unitario Neto]]-Tabla4[[#This Row],[20.85%]]-Tabla4[[#This Row],[Costo]]</f>
        <v>#N/A</v>
      </c>
      <c r="S3492" s="282" t="e">
        <f>++Tabla4[[#This Row],[U. Bruta Uni]]*Tabla4[[#This Row],[Cantidad]]</f>
        <v>#N/A</v>
      </c>
      <c r="T3492" s="369" t="str">
        <f>VLOOKUP(Tabla4[[#This Row],[Producto]],Tabla6[#All],14,FALSE)</f>
        <v>Termico Solar</v>
      </c>
      <c r="U3492" s="284" t="e">
        <f>(IF(Tabla4[[#This Row],[Familia]]="termico solar",Tabla4[[#This Row],[Utilidad Total]]*6%,Tabla4[[#This Row],[Utilidad Total]]*11.5%))/Tabla4[[#This Row],[Total]]</f>
        <v>#N/A</v>
      </c>
      <c r="V3492" s="282" t="e">
        <f>+Tabla4[[#This Row],[Comisión Calculada]]*Tabla4[[#This Row],[Total]]</f>
        <v>#N/A</v>
      </c>
    </row>
    <row r="3493" spans="1:22" hidden="1" x14ac:dyDescent="0.25">
      <c r="A3493" s="100">
        <v>45823</v>
      </c>
      <c r="B3493" t="str">
        <f t="shared" si="162"/>
        <v>June</v>
      </c>
      <c r="C3493" s="46" t="s">
        <v>280</v>
      </c>
      <c r="F3493" s="366" t="s">
        <v>2060</v>
      </c>
      <c r="G3493" s="46" t="s">
        <v>83</v>
      </c>
      <c r="H3493" s="46">
        <v>2</v>
      </c>
      <c r="I3493" s="51">
        <v>8858.76</v>
      </c>
      <c r="J3493" s="281">
        <f>++Tabla4[[#This Row],[Precio Bruto]]*1.16</f>
        <v>10276.161599999999</v>
      </c>
      <c r="K3493" s="281">
        <f>+Tabla4[[#This Row],[Precio Unitario Neto]]*Tabla4[[#Headers],[20.85%]]</f>
        <v>2142.5796935999997</v>
      </c>
      <c r="L3493" s="282">
        <f>++Tabla4[[#This Row],[Precio Unitario Neto]]-Tabla4[[#This Row],[20.85%]]</f>
        <v>8133.5819063999998</v>
      </c>
      <c r="M3493" s="282" t="e">
        <f>(INDEX(Tabla6[#All],MATCH(Tabla4[[#This Row],[Producto]],Tabla6[[#All],[PRODUCTO]],0),MATCH(Tabla4[[#This Row],[Mes]],Tabla6[#Headers],0)))*(1+Catalogos!$L$2)</f>
        <v>#N/A</v>
      </c>
      <c r="N3493" s="283" t="e">
        <f>+(Tabla4[[#This Row],[Precio Descontado]]-Tabla4[[#This Row],[Precio Base]])*Tabla4[[#This Row],[Cantidad]]</f>
        <v>#N/A</v>
      </c>
      <c r="O3493" s="284" t="e">
        <f>++Tabla4[[#This Row],[Utilidad Total]]/Tabla4[[#This Row],[Total]]</f>
        <v>#N/A</v>
      </c>
      <c r="P3493" s="282">
        <f>++Tabla4[[#This Row],[Precio Descontado]]*Tabla4[[#This Row],[Cantidad]]</f>
        <v>16267.1638128</v>
      </c>
      <c r="Q3493" s="282" t="e">
        <f>(INDEX(Tabla6[#All],MATCH(Tabla4[[#This Row],[Producto]],Tabla6[[#All],[PRODUCTO]],0),MATCH(Tabla4[[#This Row],[Mes]],Tabla6[#Headers],0)))</f>
        <v>#N/A</v>
      </c>
      <c r="R3493" s="282" t="e">
        <f>++Tabla4[[#This Row],[Precio Unitario Neto]]-Tabla4[[#This Row],[20.85%]]-Tabla4[[#This Row],[Costo]]</f>
        <v>#N/A</v>
      </c>
      <c r="S3493" s="282" t="e">
        <f>++Tabla4[[#This Row],[U. Bruta Uni]]*Tabla4[[#This Row],[Cantidad]]</f>
        <v>#N/A</v>
      </c>
      <c r="T3493" s="369" t="str">
        <f>VLOOKUP(Tabla4[[#This Row],[Producto]],Tabla6[#All],14,FALSE)</f>
        <v>Termico Solar</v>
      </c>
      <c r="U3493" s="284" t="e">
        <f>(IF(Tabla4[[#This Row],[Familia]]="termico solar",Tabla4[[#This Row],[Utilidad Total]]*6%,Tabla4[[#This Row],[Utilidad Total]]*11.5%))/Tabla4[[#This Row],[Total]]</f>
        <v>#N/A</v>
      </c>
      <c r="V3493" s="282" t="e">
        <f>+Tabla4[[#This Row],[Comisión Calculada]]*Tabla4[[#This Row],[Total]]</f>
        <v>#N/A</v>
      </c>
    </row>
    <row r="3494" spans="1:22" hidden="1" x14ac:dyDescent="0.25">
      <c r="A3494" s="100">
        <v>45823</v>
      </c>
      <c r="B3494" t="str">
        <f t="shared" si="162"/>
        <v>June</v>
      </c>
      <c r="C3494" s="46" t="s">
        <v>280</v>
      </c>
      <c r="F3494" s="366" t="s">
        <v>2061</v>
      </c>
      <c r="G3494" s="46" t="s">
        <v>83</v>
      </c>
      <c r="H3494" s="46">
        <v>5</v>
      </c>
      <c r="I3494" s="51">
        <v>8858.76</v>
      </c>
      <c r="J3494" s="281">
        <f>++Tabla4[[#This Row],[Precio Bruto]]*1.16</f>
        <v>10276.161599999999</v>
      </c>
      <c r="K3494" s="281">
        <f>+Tabla4[[#This Row],[Precio Unitario Neto]]*Tabla4[[#Headers],[20.85%]]</f>
        <v>2142.5796935999997</v>
      </c>
      <c r="L3494" s="282">
        <f>++Tabla4[[#This Row],[Precio Unitario Neto]]-Tabla4[[#This Row],[20.85%]]</f>
        <v>8133.5819063999998</v>
      </c>
      <c r="M3494" s="282" t="e">
        <f>(INDEX(Tabla6[#All],MATCH(Tabla4[[#This Row],[Producto]],Tabla6[[#All],[PRODUCTO]],0),MATCH(Tabla4[[#This Row],[Mes]],Tabla6[#Headers],0)))*(1+Catalogos!$L$2)</f>
        <v>#N/A</v>
      </c>
      <c r="N3494" s="283" t="e">
        <f>+(Tabla4[[#This Row],[Precio Descontado]]-Tabla4[[#This Row],[Precio Base]])*Tabla4[[#This Row],[Cantidad]]</f>
        <v>#N/A</v>
      </c>
      <c r="O3494" s="284" t="e">
        <f>++Tabla4[[#This Row],[Utilidad Total]]/Tabla4[[#This Row],[Total]]</f>
        <v>#N/A</v>
      </c>
      <c r="P3494" s="282">
        <f>++Tabla4[[#This Row],[Precio Descontado]]*Tabla4[[#This Row],[Cantidad]]</f>
        <v>40667.909531999998</v>
      </c>
      <c r="Q3494" s="282" t="e">
        <f>(INDEX(Tabla6[#All],MATCH(Tabla4[[#This Row],[Producto]],Tabla6[[#All],[PRODUCTO]],0),MATCH(Tabla4[[#This Row],[Mes]],Tabla6[#Headers],0)))</f>
        <v>#N/A</v>
      </c>
      <c r="R3494" s="282" t="e">
        <f>++Tabla4[[#This Row],[Precio Unitario Neto]]-Tabla4[[#This Row],[20.85%]]-Tabla4[[#This Row],[Costo]]</f>
        <v>#N/A</v>
      </c>
      <c r="S3494" s="282" t="e">
        <f>++Tabla4[[#This Row],[U. Bruta Uni]]*Tabla4[[#This Row],[Cantidad]]</f>
        <v>#N/A</v>
      </c>
      <c r="T3494" s="369" t="str">
        <f>VLOOKUP(Tabla4[[#This Row],[Producto]],Tabla6[#All],14,FALSE)</f>
        <v>Termico Solar</v>
      </c>
      <c r="U3494" s="284" t="e">
        <f>(IF(Tabla4[[#This Row],[Familia]]="termico solar",Tabla4[[#This Row],[Utilidad Total]]*6%,Tabla4[[#This Row],[Utilidad Total]]*11.5%))/Tabla4[[#This Row],[Total]]</f>
        <v>#N/A</v>
      </c>
      <c r="V3494" s="282" t="e">
        <f>+Tabla4[[#This Row],[Comisión Calculada]]*Tabla4[[#This Row],[Total]]</f>
        <v>#N/A</v>
      </c>
    </row>
    <row r="3495" spans="1:22" hidden="1" x14ac:dyDescent="0.25">
      <c r="A3495" s="100">
        <v>45823</v>
      </c>
      <c r="B3495" t="str">
        <f t="shared" si="162"/>
        <v>June</v>
      </c>
      <c r="C3495" s="46" t="s">
        <v>280</v>
      </c>
      <c r="F3495" s="366" t="s">
        <v>2061</v>
      </c>
      <c r="G3495" s="46" t="s">
        <v>18</v>
      </c>
      <c r="H3495" s="46">
        <v>3</v>
      </c>
      <c r="I3495" s="51">
        <v>5367.6500000000005</v>
      </c>
      <c r="J3495" s="281">
        <f>++Tabla4[[#This Row],[Precio Bruto]]*1.16</f>
        <v>6226.4740000000002</v>
      </c>
      <c r="K3495" s="281">
        <f>+Tabla4[[#This Row],[Precio Unitario Neto]]*Tabla4[[#Headers],[20.85%]]</f>
        <v>1298.2198289999999</v>
      </c>
      <c r="L3495" s="282">
        <f>++Tabla4[[#This Row],[Precio Unitario Neto]]-Tabla4[[#This Row],[20.85%]]</f>
        <v>4928.2541710000005</v>
      </c>
      <c r="M3495" s="282" t="e">
        <f>(INDEX(Tabla6[#All],MATCH(Tabla4[[#This Row],[Producto]],Tabla6[[#All],[PRODUCTO]],0),MATCH(Tabla4[[#This Row],[Mes]],Tabla6[#Headers],0)))*(1+Catalogos!$L$2)</f>
        <v>#N/A</v>
      </c>
      <c r="N3495" s="283" t="e">
        <f>+(Tabla4[[#This Row],[Precio Descontado]]-Tabla4[[#This Row],[Precio Base]])*Tabla4[[#This Row],[Cantidad]]</f>
        <v>#N/A</v>
      </c>
      <c r="O3495" s="284" t="e">
        <f>++Tabla4[[#This Row],[Utilidad Total]]/Tabla4[[#This Row],[Total]]</f>
        <v>#N/A</v>
      </c>
      <c r="P3495" s="282">
        <f>++Tabla4[[#This Row],[Precio Descontado]]*Tabla4[[#This Row],[Cantidad]]</f>
        <v>14784.762513000001</v>
      </c>
      <c r="Q3495" s="282" t="e">
        <f>(INDEX(Tabla6[#All],MATCH(Tabla4[[#This Row],[Producto]],Tabla6[[#All],[PRODUCTO]],0),MATCH(Tabla4[[#This Row],[Mes]],Tabla6[#Headers],0)))</f>
        <v>#N/A</v>
      </c>
      <c r="R3495" s="282" t="e">
        <f>++Tabla4[[#This Row],[Precio Unitario Neto]]-Tabla4[[#This Row],[20.85%]]-Tabla4[[#This Row],[Costo]]</f>
        <v>#N/A</v>
      </c>
      <c r="S3495" s="282" t="e">
        <f>++Tabla4[[#This Row],[U. Bruta Uni]]*Tabla4[[#This Row],[Cantidad]]</f>
        <v>#N/A</v>
      </c>
      <c r="T3495" s="369" t="str">
        <f>VLOOKUP(Tabla4[[#This Row],[Producto]],Tabla6[#All],14,FALSE)</f>
        <v>Termico Solar</v>
      </c>
      <c r="U3495" s="284" t="e">
        <f>(IF(Tabla4[[#This Row],[Familia]]="termico solar",Tabla4[[#This Row],[Utilidad Total]]*6%,Tabla4[[#This Row],[Utilidad Total]]*11.5%))/Tabla4[[#This Row],[Total]]</f>
        <v>#N/A</v>
      </c>
      <c r="V3495" s="282" t="e">
        <f>+Tabla4[[#This Row],[Comisión Calculada]]*Tabla4[[#This Row],[Total]]</f>
        <v>#N/A</v>
      </c>
    </row>
    <row r="3496" spans="1:22" ht="15.75" hidden="1" customHeight="1" x14ac:dyDescent="0.25">
      <c r="A3496" s="100">
        <v>45823</v>
      </c>
      <c r="B3496" t="str">
        <f t="shared" si="162"/>
        <v>June</v>
      </c>
      <c r="C3496" s="46" t="s">
        <v>280</v>
      </c>
      <c r="F3496" s="366" t="s">
        <v>2061</v>
      </c>
      <c r="G3496" s="46" t="s">
        <v>566</v>
      </c>
      <c r="H3496" s="46">
        <v>1</v>
      </c>
      <c r="I3496" s="51">
        <v>2109.4499999999998</v>
      </c>
      <c r="J3496" s="281">
        <f>++Tabla4[[#This Row],[Precio Bruto]]*1.16</f>
        <v>2446.9619999999995</v>
      </c>
      <c r="K3496" s="281">
        <f>+Tabla4[[#This Row],[Precio Unitario Neto]]*Tabla4[[#Headers],[20.85%]]</f>
        <v>510.19157699999988</v>
      </c>
      <c r="L3496" s="282">
        <f>++Tabla4[[#This Row],[Precio Unitario Neto]]-Tabla4[[#This Row],[20.85%]]</f>
        <v>1936.7704229999997</v>
      </c>
      <c r="M3496" s="282" t="e">
        <f>(INDEX(Tabla6[#All],MATCH(Tabla4[[#This Row],[Producto]],Tabla6[[#All],[PRODUCTO]],0),MATCH(Tabla4[[#This Row],[Mes]],Tabla6[#Headers],0)))*(1+Catalogos!$L$2)</f>
        <v>#N/A</v>
      </c>
      <c r="N3496" s="283" t="e">
        <f>+(Tabla4[[#This Row],[Precio Descontado]]-Tabla4[[#This Row],[Precio Base]])*Tabla4[[#This Row],[Cantidad]]</f>
        <v>#N/A</v>
      </c>
      <c r="O3496" s="284" t="e">
        <f>++Tabla4[[#This Row],[Utilidad Total]]/Tabla4[[#This Row],[Total]]</f>
        <v>#N/A</v>
      </c>
      <c r="P3496" s="282">
        <f>++Tabla4[[#This Row],[Precio Descontado]]*Tabla4[[#This Row],[Cantidad]]</f>
        <v>1936.7704229999997</v>
      </c>
      <c r="Q3496" s="282" t="e">
        <f>(INDEX(Tabla6[#All],MATCH(Tabla4[[#This Row],[Producto]],Tabla6[[#All],[PRODUCTO]],0),MATCH(Tabla4[[#This Row],[Mes]],Tabla6[#Headers],0)))</f>
        <v>#N/A</v>
      </c>
      <c r="R3496" s="282" t="e">
        <f>++Tabla4[[#This Row],[Precio Unitario Neto]]-Tabla4[[#This Row],[20.85%]]-Tabla4[[#This Row],[Costo]]</f>
        <v>#N/A</v>
      </c>
      <c r="S3496" s="282" t="e">
        <f>++Tabla4[[#This Row],[U. Bruta Uni]]*Tabla4[[#This Row],[Cantidad]]</f>
        <v>#N/A</v>
      </c>
      <c r="T3496" s="369" t="str">
        <f>VLOOKUP(Tabla4[[#This Row],[Producto]],Tabla6[#All],14,FALSE)</f>
        <v>Termico Solar</v>
      </c>
      <c r="U3496" s="284" t="e">
        <f>(IF(Tabla4[[#This Row],[Familia]]="termico solar",Tabla4[[#This Row],[Utilidad Total]]*6%,Tabla4[[#This Row],[Utilidad Total]]*11.5%))/Tabla4[[#This Row],[Total]]</f>
        <v>#N/A</v>
      </c>
      <c r="V3496" s="282" t="e">
        <f>+Tabla4[[#This Row],[Comisión Calculada]]*Tabla4[[#This Row],[Total]]</f>
        <v>#N/A</v>
      </c>
    </row>
    <row r="3497" spans="1:22" ht="15.75" hidden="1" customHeight="1" x14ac:dyDescent="0.25">
      <c r="A3497" s="100">
        <v>45823</v>
      </c>
      <c r="B3497" t="str">
        <f t="shared" si="162"/>
        <v>June</v>
      </c>
      <c r="C3497" s="46" t="s">
        <v>280</v>
      </c>
      <c r="F3497" s="366" t="s">
        <v>2061</v>
      </c>
      <c r="G3497" s="46" t="s">
        <v>16</v>
      </c>
      <c r="H3497" s="46">
        <v>1</v>
      </c>
      <c r="I3497" s="51">
        <v>4103.8500000000004</v>
      </c>
      <c r="J3497" s="281">
        <f>++Tabla4[[#This Row],[Precio Bruto]]*1.16</f>
        <v>4760.4660000000003</v>
      </c>
      <c r="K3497" s="281">
        <f>+Tabla4[[#This Row],[Precio Unitario Neto]]*Tabla4[[#Headers],[20.85%]]</f>
        <v>992.55716100000006</v>
      </c>
      <c r="L3497" s="282">
        <f>++Tabla4[[#This Row],[Precio Unitario Neto]]-Tabla4[[#This Row],[20.85%]]</f>
        <v>3767.9088390000002</v>
      </c>
      <c r="M3497" s="282" t="e">
        <f>(INDEX(Tabla6[#All],MATCH(Tabla4[[#This Row],[Producto]],Tabla6[[#All],[PRODUCTO]],0),MATCH(Tabla4[[#This Row],[Mes]],Tabla6[#Headers],0)))*(1+Catalogos!$L$2)</f>
        <v>#N/A</v>
      </c>
      <c r="N3497" s="283" t="e">
        <f>+(Tabla4[[#This Row],[Precio Descontado]]-Tabla4[[#This Row],[Precio Base]])*Tabla4[[#This Row],[Cantidad]]</f>
        <v>#N/A</v>
      </c>
      <c r="O3497" s="284" t="e">
        <f>++Tabla4[[#This Row],[Utilidad Total]]/Tabla4[[#This Row],[Total]]</f>
        <v>#N/A</v>
      </c>
      <c r="P3497" s="282">
        <f>++Tabla4[[#This Row],[Precio Descontado]]*Tabla4[[#This Row],[Cantidad]]</f>
        <v>3767.9088390000002</v>
      </c>
      <c r="Q3497" s="282" t="e">
        <f>(INDEX(Tabla6[#All],MATCH(Tabla4[[#This Row],[Producto]],Tabla6[[#All],[PRODUCTO]],0),MATCH(Tabla4[[#This Row],[Mes]],Tabla6[#Headers],0)))</f>
        <v>#N/A</v>
      </c>
      <c r="R3497" s="282" t="e">
        <f>++Tabla4[[#This Row],[Precio Unitario Neto]]-Tabla4[[#This Row],[20.85%]]-Tabla4[[#This Row],[Costo]]</f>
        <v>#N/A</v>
      </c>
      <c r="S3497" s="282" t="e">
        <f>++Tabla4[[#This Row],[U. Bruta Uni]]*Tabla4[[#This Row],[Cantidad]]</f>
        <v>#N/A</v>
      </c>
      <c r="T3497" s="369" t="str">
        <f>VLOOKUP(Tabla4[[#This Row],[Producto]],Tabla6[#All],14,FALSE)</f>
        <v>Termico Solar</v>
      </c>
      <c r="U3497" s="284" t="e">
        <f>(IF(Tabla4[[#This Row],[Familia]]="termico solar",Tabla4[[#This Row],[Utilidad Total]]*6%,Tabla4[[#This Row],[Utilidad Total]]*11.5%))/Tabla4[[#This Row],[Total]]</f>
        <v>#N/A</v>
      </c>
      <c r="V3497" s="282" t="e">
        <f>+Tabla4[[#This Row],[Comisión Calculada]]*Tabla4[[#This Row],[Total]]</f>
        <v>#N/A</v>
      </c>
    </row>
    <row r="3498" spans="1:22" ht="15.75" hidden="1" customHeight="1" x14ac:dyDescent="0.25">
      <c r="A3498" s="100">
        <v>45823</v>
      </c>
      <c r="B3498" t="str">
        <f t="shared" si="162"/>
        <v>June</v>
      </c>
      <c r="C3498" s="46" t="s">
        <v>280</v>
      </c>
      <c r="F3498" s="366" t="s">
        <v>2061</v>
      </c>
      <c r="G3498" s="46" t="s">
        <v>208</v>
      </c>
      <c r="H3498" s="46">
        <v>1</v>
      </c>
      <c r="I3498" s="51">
        <v>189.75</v>
      </c>
      <c r="J3498" s="281">
        <f>++Tabla4[[#This Row],[Precio Bruto]]*1.16</f>
        <v>220.10999999999999</v>
      </c>
      <c r="K3498" s="281">
        <f>+Tabla4[[#This Row],[Precio Unitario Neto]]*Tabla4[[#Headers],[20.85%]]</f>
        <v>45.892934999999994</v>
      </c>
      <c r="L3498" s="282">
        <f>++Tabla4[[#This Row],[Precio Unitario Neto]]-Tabla4[[#This Row],[20.85%]]</f>
        <v>174.21706499999999</v>
      </c>
      <c r="M3498" s="282" t="e">
        <f>(INDEX(Tabla6[#All],MATCH(Tabla4[[#This Row],[Producto]],Tabla6[[#All],[PRODUCTO]],0),MATCH(Tabla4[[#This Row],[Mes]],Tabla6[#Headers],0)))*(1+Catalogos!$L$2)</f>
        <v>#N/A</v>
      </c>
      <c r="N3498" s="283" t="e">
        <f>+(Tabla4[[#This Row],[Precio Descontado]]-Tabla4[[#This Row],[Precio Base]])*Tabla4[[#This Row],[Cantidad]]</f>
        <v>#N/A</v>
      </c>
      <c r="O3498" s="284" t="e">
        <f>++Tabla4[[#This Row],[Utilidad Total]]/Tabla4[[#This Row],[Total]]</f>
        <v>#N/A</v>
      </c>
      <c r="P3498" s="282">
        <f>++Tabla4[[#This Row],[Precio Descontado]]*Tabla4[[#This Row],[Cantidad]]</f>
        <v>174.21706499999999</v>
      </c>
      <c r="Q3498" s="282" t="e">
        <f>(INDEX(Tabla6[#All],MATCH(Tabla4[[#This Row],[Producto]],Tabla6[[#All],[PRODUCTO]],0),MATCH(Tabla4[[#This Row],[Mes]],Tabla6[#Headers],0)))</f>
        <v>#N/A</v>
      </c>
      <c r="R3498" s="282" t="e">
        <f>++Tabla4[[#This Row],[Precio Unitario Neto]]-Tabla4[[#This Row],[20.85%]]-Tabla4[[#This Row],[Costo]]</f>
        <v>#N/A</v>
      </c>
      <c r="S3498" s="282" t="e">
        <f>++Tabla4[[#This Row],[U. Bruta Uni]]*Tabla4[[#This Row],[Cantidad]]</f>
        <v>#N/A</v>
      </c>
      <c r="T3498" s="369" t="str">
        <f>VLOOKUP(Tabla4[[#This Row],[Producto]],Tabla6[#All],14,FALSE)</f>
        <v>Termico Solar</v>
      </c>
      <c r="U3498" s="284" t="e">
        <f>(IF(Tabla4[[#This Row],[Familia]]="termico solar",Tabla4[[#This Row],[Utilidad Total]]*6%,Tabla4[[#This Row],[Utilidad Total]]*11.5%))/Tabla4[[#This Row],[Total]]</f>
        <v>#N/A</v>
      </c>
      <c r="V3498" s="282" t="e">
        <f>+Tabla4[[#This Row],[Comisión Calculada]]*Tabla4[[#This Row],[Total]]</f>
        <v>#N/A</v>
      </c>
    </row>
    <row r="3499" spans="1:22" hidden="1" x14ac:dyDescent="0.25">
      <c r="A3499" s="100">
        <v>45823</v>
      </c>
      <c r="B3499" t="str">
        <f t="shared" si="162"/>
        <v>June</v>
      </c>
      <c r="C3499" s="46" t="s">
        <v>280</v>
      </c>
      <c r="F3499" s="366" t="s">
        <v>2062</v>
      </c>
      <c r="G3499" s="46" t="s">
        <v>83</v>
      </c>
      <c r="H3499" s="46">
        <v>2</v>
      </c>
      <c r="I3499" s="51">
        <v>8858.76</v>
      </c>
      <c r="J3499" s="281">
        <f>++Tabla4[[#This Row],[Precio Bruto]]*1.16</f>
        <v>10276.161599999999</v>
      </c>
      <c r="K3499" s="281">
        <f>+Tabla4[[#This Row],[Precio Unitario Neto]]*Tabla4[[#Headers],[20.85%]]</f>
        <v>2142.5796935999997</v>
      </c>
      <c r="L3499" s="282">
        <f>++Tabla4[[#This Row],[Precio Unitario Neto]]-Tabla4[[#This Row],[20.85%]]</f>
        <v>8133.5819063999998</v>
      </c>
      <c r="M3499" s="282" t="e">
        <f>(INDEX(Tabla6[#All],MATCH(Tabla4[[#This Row],[Producto]],Tabla6[[#All],[PRODUCTO]],0),MATCH(Tabla4[[#This Row],[Mes]],Tabla6[#Headers],0)))*(1+Catalogos!$L$2)</f>
        <v>#N/A</v>
      </c>
      <c r="N3499" s="283" t="e">
        <f>+(Tabla4[[#This Row],[Precio Descontado]]-Tabla4[[#This Row],[Precio Base]])*Tabla4[[#This Row],[Cantidad]]</f>
        <v>#N/A</v>
      </c>
      <c r="O3499" s="284" t="e">
        <f>++Tabla4[[#This Row],[Utilidad Total]]/Tabla4[[#This Row],[Total]]</f>
        <v>#N/A</v>
      </c>
      <c r="P3499" s="282">
        <f>++Tabla4[[#This Row],[Precio Descontado]]*Tabla4[[#This Row],[Cantidad]]</f>
        <v>16267.1638128</v>
      </c>
      <c r="Q3499" s="282" t="e">
        <f>(INDEX(Tabla6[#All],MATCH(Tabla4[[#This Row],[Producto]],Tabla6[[#All],[PRODUCTO]],0),MATCH(Tabla4[[#This Row],[Mes]],Tabla6[#Headers],0)))</f>
        <v>#N/A</v>
      </c>
      <c r="R3499" s="282" t="e">
        <f>++Tabla4[[#This Row],[Precio Unitario Neto]]-Tabla4[[#This Row],[20.85%]]-Tabla4[[#This Row],[Costo]]</f>
        <v>#N/A</v>
      </c>
      <c r="S3499" s="282" t="e">
        <f>++Tabla4[[#This Row],[U. Bruta Uni]]*Tabla4[[#This Row],[Cantidad]]</f>
        <v>#N/A</v>
      </c>
      <c r="T3499" s="369" t="str">
        <f>VLOOKUP(Tabla4[[#This Row],[Producto]],Tabla6[#All],14,FALSE)</f>
        <v>Termico Solar</v>
      </c>
      <c r="U3499" s="284" t="e">
        <f>(IF(Tabla4[[#This Row],[Familia]]="termico solar",Tabla4[[#This Row],[Utilidad Total]]*6%,Tabla4[[#This Row],[Utilidad Total]]*11.5%))/Tabla4[[#This Row],[Total]]</f>
        <v>#N/A</v>
      </c>
      <c r="V3499" s="282" t="e">
        <f>+Tabla4[[#This Row],[Comisión Calculada]]*Tabla4[[#This Row],[Total]]</f>
        <v>#N/A</v>
      </c>
    </row>
    <row r="3500" spans="1:22" hidden="1" x14ac:dyDescent="0.25">
      <c r="A3500" s="100">
        <v>45823</v>
      </c>
      <c r="B3500" t="str">
        <f t="shared" si="162"/>
        <v>June</v>
      </c>
      <c r="C3500" s="46" t="s">
        <v>280</v>
      </c>
      <c r="F3500" s="366" t="s">
        <v>2063</v>
      </c>
      <c r="G3500" s="46" t="s">
        <v>83</v>
      </c>
      <c r="H3500" s="46">
        <v>3</v>
      </c>
      <c r="I3500" s="51">
        <v>8858.76</v>
      </c>
      <c r="J3500" s="281">
        <f>++Tabla4[[#This Row],[Precio Bruto]]*1.16</f>
        <v>10276.161599999999</v>
      </c>
      <c r="K3500" s="281">
        <f>+Tabla4[[#This Row],[Precio Unitario Neto]]*Tabla4[[#Headers],[20.85%]]</f>
        <v>2142.5796935999997</v>
      </c>
      <c r="L3500" s="282">
        <f>++Tabla4[[#This Row],[Precio Unitario Neto]]-Tabla4[[#This Row],[20.85%]]</f>
        <v>8133.5819063999998</v>
      </c>
      <c r="M3500" s="282" t="e">
        <f>(INDEX(Tabla6[#All],MATCH(Tabla4[[#This Row],[Producto]],Tabla6[[#All],[PRODUCTO]],0),MATCH(Tabla4[[#This Row],[Mes]],Tabla6[#Headers],0)))*(1+Catalogos!$L$2)</f>
        <v>#N/A</v>
      </c>
      <c r="N3500" s="283" t="e">
        <f>+(Tabla4[[#This Row],[Precio Descontado]]-Tabla4[[#This Row],[Precio Base]])*Tabla4[[#This Row],[Cantidad]]</f>
        <v>#N/A</v>
      </c>
      <c r="O3500" s="284" t="e">
        <f>++Tabla4[[#This Row],[Utilidad Total]]/Tabla4[[#This Row],[Total]]</f>
        <v>#N/A</v>
      </c>
      <c r="P3500" s="282">
        <f>++Tabla4[[#This Row],[Precio Descontado]]*Tabla4[[#This Row],[Cantidad]]</f>
        <v>24400.7457192</v>
      </c>
      <c r="Q3500" s="282" t="e">
        <f>(INDEX(Tabla6[#All],MATCH(Tabla4[[#This Row],[Producto]],Tabla6[[#All],[PRODUCTO]],0),MATCH(Tabla4[[#This Row],[Mes]],Tabla6[#Headers],0)))</f>
        <v>#N/A</v>
      </c>
      <c r="R3500" s="282" t="e">
        <f>++Tabla4[[#This Row],[Precio Unitario Neto]]-Tabla4[[#This Row],[20.85%]]-Tabla4[[#This Row],[Costo]]</f>
        <v>#N/A</v>
      </c>
      <c r="S3500" s="282" t="e">
        <f>++Tabla4[[#This Row],[U. Bruta Uni]]*Tabla4[[#This Row],[Cantidad]]</f>
        <v>#N/A</v>
      </c>
      <c r="T3500" s="369" t="str">
        <f>VLOOKUP(Tabla4[[#This Row],[Producto]],Tabla6[#All],14,FALSE)</f>
        <v>Termico Solar</v>
      </c>
      <c r="U3500" s="284" t="e">
        <f>(IF(Tabla4[[#This Row],[Familia]]="termico solar",Tabla4[[#This Row],[Utilidad Total]]*6%,Tabla4[[#This Row],[Utilidad Total]]*11.5%))/Tabla4[[#This Row],[Total]]</f>
        <v>#N/A</v>
      </c>
      <c r="V3500" s="282" t="e">
        <f>+Tabla4[[#This Row],[Comisión Calculada]]*Tabla4[[#This Row],[Total]]</f>
        <v>#N/A</v>
      </c>
    </row>
    <row r="3501" spans="1:22" hidden="1" x14ac:dyDescent="0.25">
      <c r="A3501" s="100">
        <v>45823</v>
      </c>
      <c r="B3501" t="str">
        <f t="shared" si="162"/>
        <v>June</v>
      </c>
      <c r="C3501" s="46" t="s">
        <v>280</v>
      </c>
      <c r="F3501" s="366" t="s">
        <v>2063</v>
      </c>
      <c r="G3501" s="46" t="s">
        <v>18</v>
      </c>
      <c r="H3501" s="46">
        <v>2</v>
      </c>
      <c r="I3501" s="51">
        <v>5367.65</v>
      </c>
      <c r="J3501" s="281">
        <f>++Tabla4[[#This Row],[Precio Bruto]]*1.16</f>
        <v>6226.4739999999993</v>
      </c>
      <c r="K3501" s="281">
        <f>+Tabla4[[#This Row],[Precio Unitario Neto]]*Tabla4[[#Headers],[20.85%]]</f>
        <v>1298.2198289999999</v>
      </c>
      <c r="L3501" s="282">
        <f>++Tabla4[[#This Row],[Precio Unitario Neto]]-Tabla4[[#This Row],[20.85%]]</f>
        <v>4928.2541709999996</v>
      </c>
      <c r="M3501" s="282" t="e">
        <f>(INDEX(Tabla6[#All],MATCH(Tabla4[[#This Row],[Producto]],Tabla6[[#All],[PRODUCTO]],0),MATCH(Tabla4[[#This Row],[Mes]],Tabla6[#Headers],0)))*(1+Catalogos!$L$2)</f>
        <v>#N/A</v>
      </c>
      <c r="N3501" s="283" t="e">
        <f>+(Tabla4[[#This Row],[Precio Descontado]]-Tabla4[[#This Row],[Precio Base]])*Tabla4[[#This Row],[Cantidad]]</f>
        <v>#N/A</v>
      </c>
      <c r="O3501" s="284" t="e">
        <f>++Tabla4[[#This Row],[Utilidad Total]]/Tabla4[[#This Row],[Total]]</f>
        <v>#N/A</v>
      </c>
      <c r="P3501" s="282">
        <f>++Tabla4[[#This Row],[Precio Descontado]]*Tabla4[[#This Row],[Cantidad]]</f>
        <v>9856.5083419999992</v>
      </c>
      <c r="Q3501" s="282" t="e">
        <f>(INDEX(Tabla6[#All],MATCH(Tabla4[[#This Row],[Producto]],Tabla6[[#All],[PRODUCTO]],0),MATCH(Tabla4[[#This Row],[Mes]],Tabla6[#Headers],0)))</f>
        <v>#N/A</v>
      </c>
      <c r="R3501" s="282" t="e">
        <f>++Tabla4[[#This Row],[Precio Unitario Neto]]-Tabla4[[#This Row],[20.85%]]-Tabla4[[#This Row],[Costo]]</f>
        <v>#N/A</v>
      </c>
      <c r="S3501" s="282" t="e">
        <f>++Tabla4[[#This Row],[U. Bruta Uni]]*Tabla4[[#This Row],[Cantidad]]</f>
        <v>#N/A</v>
      </c>
      <c r="T3501" s="369" t="str">
        <f>VLOOKUP(Tabla4[[#This Row],[Producto]],Tabla6[#All],14,FALSE)</f>
        <v>Termico Solar</v>
      </c>
      <c r="U3501" s="284" t="e">
        <f>(IF(Tabla4[[#This Row],[Familia]]="termico solar",Tabla4[[#This Row],[Utilidad Total]]*6%,Tabla4[[#This Row],[Utilidad Total]]*11.5%))/Tabla4[[#This Row],[Total]]</f>
        <v>#N/A</v>
      </c>
      <c r="V3501" s="282" t="e">
        <f>+Tabla4[[#This Row],[Comisión Calculada]]*Tabla4[[#This Row],[Total]]</f>
        <v>#N/A</v>
      </c>
    </row>
    <row r="3502" spans="1:22" hidden="1" x14ac:dyDescent="0.25">
      <c r="A3502" s="100">
        <v>45823</v>
      </c>
      <c r="B3502" t="str">
        <f t="shared" si="162"/>
        <v>June</v>
      </c>
      <c r="C3502" s="46" t="s">
        <v>280</v>
      </c>
      <c r="F3502" s="366" t="s">
        <v>2063</v>
      </c>
      <c r="G3502" s="46" t="s">
        <v>19</v>
      </c>
      <c r="H3502" s="46">
        <v>1</v>
      </c>
      <c r="I3502" s="51">
        <v>6412.03</v>
      </c>
      <c r="J3502" s="281">
        <f>++Tabla4[[#This Row],[Precio Bruto]]*1.16</f>
        <v>7437.9547999999995</v>
      </c>
      <c r="K3502" s="281">
        <f>+Tabla4[[#This Row],[Precio Unitario Neto]]*Tabla4[[#Headers],[20.85%]]</f>
        <v>1550.8135757999999</v>
      </c>
      <c r="L3502" s="282">
        <f>++Tabla4[[#This Row],[Precio Unitario Neto]]-Tabla4[[#This Row],[20.85%]]</f>
        <v>5887.1412241999997</v>
      </c>
      <c r="M3502" s="282" t="e">
        <f>(INDEX(Tabla6[#All],MATCH(Tabla4[[#This Row],[Producto]],Tabla6[[#All],[PRODUCTO]],0),MATCH(Tabla4[[#This Row],[Mes]],Tabla6[#Headers],0)))*(1+Catalogos!$L$2)</f>
        <v>#N/A</v>
      </c>
      <c r="N3502" s="283" t="e">
        <f>+(Tabla4[[#This Row],[Precio Descontado]]-Tabla4[[#This Row],[Precio Base]])*Tabla4[[#This Row],[Cantidad]]</f>
        <v>#N/A</v>
      </c>
      <c r="O3502" s="284" t="e">
        <f>++Tabla4[[#This Row],[Utilidad Total]]/Tabla4[[#This Row],[Total]]</f>
        <v>#N/A</v>
      </c>
      <c r="P3502" s="282">
        <f>++Tabla4[[#This Row],[Precio Descontado]]*Tabla4[[#This Row],[Cantidad]]</f>
        <v>5887.1412241999997</v>
      </c>
      <c r="Q3502" s="282" t="e">
        <f>(INDEX(Tabla6[#All],MATCH(Tabla4[[#This Row],[Producto]],Tabla6[[#All],[PRODUCTO]],0),MATCH(Tabla4[[#This Row],[Mes]],Tabla6[#Headers],0)))</f>
        <v>#N/A</v>
      </c>
      <c r="R3502" s="282" t="e">
        <f>++Tabla4[[#This Row],[Precio Unitario Neto]]-Tabla4[[#This Row],[20.85%]]-Tabla4[[#This Row],[Costo]]</f>
        <v>#N/A</v>
      </c>
      <c r="S3502" s="282" t="e">
        <f>++Tabla4[[#This Row],[U. Bruta Uni]]*Tabla4[[#This Row],[Cantidad]]</f>
        <v>#N/A</v>
      </c>
      <c r="T3502" s="369" t="str">
        <f>VLOOKUP(Tabla4[[#This Row],[Producto]],Tabla6[#All],14,FALSE)</f>
        <v>Termico Solar</v>
      </c>
      <c r="U3502" s="284" t="e">
        <f>(IF(Tabla4[[#This Row],[Familia]]="termico solar",Tabla4[[#This Row],[Utilidad Total]]*6%,Tabla4[[#This Row],[Utilidad Total]]*11.5%))/Tabla4[[#This Row],[Total]]</f>
        <v>#N/A</v>
      </c>
      <c r="V3502" s="282" t="e">
        <f>+Tabla4[[#This Row],[Comisión Calculada]]*Tabla4[[#This Row],[Total]]</f>
        <v>#N/A</v>
      </c>
    </row>
    <row r="3503" spans="1:22" hidden="1" x14ac:dyDescent="0.25">
      <c r="A3503" s="100">
        <v>45823</v>
      </c>
      <c r="B3503" t="str">
        <f t="shared" si="162"/>
        <v>June</v>
      </c>
      <c r="C3503" s="46" t="s">
        <v>280</v>
      </c>
      <c r="F3503" s="366" t="s">
        <v>2063</v>
      </c>
      <c r="G3503" s="46" t="s">
        <v>566</v>
      </c>
      <c r="H3503" s="46">
        <v>1</v>
      </c>
      <c r="I3503" s="51">
        <v>2109.4499999999998</v>
      </c>
      <c r="J3503" s="281">
        <f>++Tabla4[[#This Row],[Precio Bruto]]*1.16</f>
        <v>2446.9619999999995</v>
      </c>
      <c r="K3503" s="281">
        <f>+Tabla4[[#This Row],[Precio Unitario Neto]]*Tabla4[[#Headers],[20.85%]]</f>
        <v>510.19157699999988</v>
      </c>
      <c r="L3503" s="282">
        <f>++Tabla4[[#This Row],[Precio Unitario Neto]]-Tabla4[[#This Row],[20.85%]]</f>
        <v>1936.7704229999997</v>
      </c>
      <c r="M3503" s="282" t="e">
        <f>(INDEX(Tabla6[#All],MATCH(Tabla4[[#This Row],[Producto]],Tabla6[[#All],[PRODUCTO]],0),MATCH(Tabla4[[#This Row],[Mes]],Tabla6[#Headers],0)))*(1+Catalogos!$L$2)</f>
        <v>#N/A</v>
      </c>
      <c r="N3503" s="283" t="e">
        <f>+(Tabla4[[#This Row],[Precio Descontado]]-Tabla4[[#This Row],[Precio Base]])*Tabla4[[#This Row],[Cantidad]]</f>
        <v>#N/A</v>
      </c>
      <c r="O3503" s="284" t="e">
        <f>++Tabla4[[#This Row],[Utilidad Total]]/Tabla4[[#This Row],[Total]]</f>
        <v>#N/A</v>
      </c>
      <c r="P3503" s="282">
        <f>++Tabla4[[#This Row],[Precio Descontado]]*Tabla4[[#This Row],[Cantidad]]</f>
        <v>1936.7704229999997</v>
      </c>
      <c r="Q3503" s="282" t="e">
        <f>(INDEX(Tabla6[#All],MATCH(Tabla4[[#This Row],[Producto]],Tabla6[[#All],[PRODUCTO]],0),MATCH(Tabla4[[#This Row],[Mes]],Tabla6[#Headers],0)))</f>
        <v>#N/A</v>
      </c>
      <c r="R3503" s="282" t="e">
        <f>++Tabla4[[#This Row],[Precio Unitario Neto]]-Tabla4[[#This Row],[20.85%]]-Tabla4[[#This Row],[Costo]]</f>
        <v>#N/A</v>
      </c>
      <c r="S3503" s="282" t="e">
        <f>++Tabla4[[#This Row],[U. Bruta Uni]]*Tabla4[[#This Row],[Cantidad]]</f>
        <v>#N/A</v>
      </c>
      <c r="T3503" s="369" t="str">
        <f>VLOOKUP(Tabla4[[#This Row],[Producto]],Tabla6[#All],14,FALSE)</f>
        <v>Termico Solar</v>
      </c>
      <c r="U3503" s="284" t="e">
        <f>(IF(Tabla4[[#This Row],[Familia]]="termico solar",Tabla4[[#This Row],[Utilidad Total]]*6%,Tabla4[[#This Row],[Utilidad Total]]*11.5%))/Tabla4[[#This Row],[Total]]</f>
        <v>#N/A</v>
      </c>
      <c r="V3503" s="282" t="e">
        <f>+Tabla4[[#This Row],[Comisión Calculada]]*Tabla4[[#This Row],[Total]]</f>
        <v>#N/A</v>
      </c>
    </row>
    <row r="3504" spans="1:22" hidden="1" x14ac:dyDescent="0.25">
      <c r="A3504" s="100">
        <v>45823</v>
      </c>
      <c r="B3504" t="str">
        <f t="shared" si="162"/>
        <v>June</v>
      </c>
      <c r="C3504" s="46" t="s">
        <v>280</v>
      </c>
      <c r="F3504" s="366" t="s">
        <v>2063</v>
      </c>
      <c r="G3504" s="46" t="s">
        <v>16</v>
      </c>
      <c r="H3504" s="46">
        <v>1</v>
      </c>
      <c r="I3504" s="51">
        <v>4103.8500000000004</v>
      </c>
      <c r="J3504" s="281">
        <f>++Tabla4[[#This Row],[Precio Bruto]]*1.16</f>
        <v>4760.4660000000003</v>
      </c>
      <c r="K3504" s="281">
        <f>+Tabla4[[#This Row],[Precio Unitario Neto]]*Tabla4[[#Headers],[20.85%]]</f>
        <v>992.55716100000006</v>
      </c>
      <c r="L3504" s="282">
        <f>++Tabla4[[#This Row],[Precio Unitario Neto]]-Tabla4[[#This Row],[20.85%]]</f>
        <v>3767.9088390000002</v>
      </c>
      <c r="M3504" s="282" t="e">
        <f>(INDEX(Tabla6[#All],MATCH(Tabla4[[#This Row],[Producto]],Tabla6[[#All],[PRODUCTO]],0),MATCH(Tabla4[[#This Row],[Mes]],Tabla6[#Headers],0)))*(1+Catalogos!$L$2)</f>
        <v>#N/A</v>
      </c>
      <c r="N3504" s="283" t="e">
        <f>+(Tabla4[[#This Row],[Precio Descontado]]-Tabla4[[#This Row],[Precio Base]])*Tabla4[[#This Row],[Cantidad]]</f>
        <v>#N/A</v>
      </c>
      <c r="O3504" s="284" t="e">
        <f>++Tabla4[[#This Row],[Utilidad Total]]/Tabla4[[#This Row],[Total]]</f>
        <v>#N/A</v>
      </c>
      <c r="P3504" s="282">
        <f>++Tabla4[[#This Row],[Precio Descontado]]*Tabla4[[#This Row],[Cantidad]]</f>
        <v>3767.9088390000002</v>
      </c>
      <c r="Q3504" s="282" t="e">
        <f>(INDEX(Tabla6[#All],MATCH(Tabla4[[#This Row],[Producto]],Tabla6[[#All],[PRODUCTO]],0),MATCH(Tabla4[[#This Row],[Mes]],Tabla6[#Headers],0)))</f>
        <v>#N/A</v>
      </c>
      <c r="R3504" s="282" t="e">
        <f>++Tabla4[[#This Row],[Precio Unitario Neto]]-Tabla4[[#This Row],[20.85%]]-Tabla4[[#This Row],[Costo]]</f>
        <v>#N/A</v>
      </c>
      <c r="S3504" s="282" t="e">
        <f>++Tabla4[[#This Row],[U. Bruta Uni]]*Tabla4[[#This Row],[Cantidad]]</f>
        <v>#N/A</v>
      </c>
      <c r="T3504" s="369" t="str">
        <f>VLOOKUP(Tabla4[[#This Row],[Producto]],Tabla6[#All],14,FALSE)</f>
        <v>Termico Solar</v>
      </c>
      <c r="U3504" s="284" t="e">
        <f>(IF(Tabla4[[#This Row],[Familia]]="termico solar",Tabla4[[#This Row],[Utilidad Total]]*6%,Tabla4[[#This Row],[Utilidad Total]]*11.5%))/Tabla4[[#This Row],[Total]]</f>
        <v>#N/A</v>
      </c>
      <c r="V3504" s="282" t="e">
        <f>+Tabla4[[#This Row],[Comisión Calculada]]*Tabla4[[#This Row],[Total]]</f>
        <v>#N/A</v>
      </c>
    </row>
    <row r="3505" spans="1:22" hidden="1" x14ac:dyDescent="0.25">
      <c r="A3505" s="100">
        <v>45823</v>
      </c>
      <c r="B3505" t="str">
        <f t="shared" si="162"/>
        <v>June</v>
      </c>
      <c r="C3505" s="46" t="s">
        <v>280</v>
      </c>
      <c r="F3505" s="366" t="s">
        <v>2064</v>
      </c>
      <c r="G3505" s="46" t="s">
        <v>83</v>
      </c>
      <c r="H3505" s="46">
        <v>1</v>
      </c>
      <c r="I3505" s="51">
        <v>8858.76</v>
      </c>
      <c r="J3505" s="281">
        <f>++Tabla4[[#This Row],[Precio Bruto]]*1.16</f>
        <v>10276.161599999999</v>
      </c>
      <c r="K3505" s="281">
        <f>+Tabla4[[#This Row],[Precio Unitario Neto]]*Tabla4[[#Headers],[20.85%]]</f>
        <v>2142.5796935999997</v>
      </c>
      <c r="L3505" s="282">
        <f>++Tabla4[[#This Row],[Precio Unitario Neto]]-Tabla4[[#This Row],[20.85%]]</f>
        <v>8133.5819063999998</v>
      </c>
      <c r="M3505" s="282" t="e">
        <f>(INDEX(Tabla6[#All],MATCH(Tabla4[[#This Row],[Producto]],Tabla6[[#All],[PRODUCTO]],0),MATCH(Tabla4[[#This Row],[Mes]],Tabla6[#Headers],0)))*(1+Catalogos!$L$2)</f>
        <v>#N/A</v>
      </c>
      <c r="N3505" s="283" t="e">
        <f>+(Tabla4[[#This Row],[Precio Descontado]]-Tabla4[[#This Row],[Precio Base]])*Tabla4[[#This Row],[Cantidad]]</f>
        <v>#N/A</v>
      </c>
      <c r="O3505" s="284" t="e">
        <f>++Tabla4[[#This Row],[Utilidad Total]]/Tabla4[[#This Row],[Total]]</f>
        <v>#N/A</v>
      </c>
      <c r="P3505" s="282">
        <f>++Tabla4[[#This Row],[Precio Descontado]]*Tabla4[[#This Row],[Cantidad]]</f>
        <v>8133.5819063999998</v>
      </c>
      <c r="Q3505" s="282" t="e">
        <f>(INDEX(Tabla6[#All],MATCH(Tabla4[[#This Row],[Producto]],Tabla6[[#All],[PRODUCTO]],0),MATCH(Tabla4[[#This Row],[Mes]],Tabla6[#Headers],0)))</f>
        <v>#N/A</v>
      </c>
      <c r="R3505" s="282" t="e">
        <f>++Tabla4[[#This Row],[Precio Unitario Neto]]-Tabla4[[#This Row],[20.85%]]-Tabla4[[#This Row],[Costo]]</f>
        <v>#N/A</v>
      </c>
      <c r="S3505" s="282" t="e">
        <f>++Tabla4[[#This Row],[U. Bruta Uni]]*Tabla4[[#This Row],[Cantidad]]</f>
        <v>#N/A</v>
      </c>
      <c r="T3505" s="369" t="str">
        <f>VLOOKUP(Tabla4[[#This Row],[Producto]],Tabla6[#All],14,FALSE)</f>
        <v>Termico Solar</v>
      </c>
      <c r="U3505" s="284" t="e">
        <f>(IF(Tabla4[[#This Row],[Familia]]="termico solar",Tabla4[[#This Row],[Utilidad Total]]*6%,Tabla4[[#This Row],[Utilidad Total]]*11.5%))/Tabla4[[#This Row],[Total]]</f>
        <v>#N/A</v>
      </c>
      <c r="V3505" s="282" t="e">
        <f>+Tabla4[[#This Row],[Comisión Calculada]]*Tabla4[[#This Row],[Total]]</f>
        <v>#N/A</v>
      </c>
    </row>
    <row r="3506" spans="1:22" ht="18" hidden="1" customHeight="1" x14ac:dyDescent="0.25">
      <c r="A3506" s="100">
        <v>45823</v>
      </c>
      <c r="B3506" t="str">
        <f t="shared" ref="B3506:B3569" si="163">TEXT(A3506, "mmmm")</f>
        <v>June</v>
      </c>
      <c r="C3506" s="46" t="s">
        <v>280</v>
      </c>
      <c r="F3506" s="366" t="s">
        <v>2064</v>
      </c>
      <c r="G3506" s="46" t="s">
        <v>17</v>
      </c>
      <c r="H3506" s="46">
        <v>1</v>
      </c>
      <c r="I3506" s="51">
        <v>4622.28</v>
      </c>
      <c r="J3506" s="281">
        <f>++Tabla4[[#This Row],[Precio Bruto]]*1.16</f>
        <v>5361.8447999999989</v>
      </c>
      <c r="K3506" s="281">
        <f>+Tabla4[[#This Row],[Precio Unitario Neto]]*Tabla4[[#Headers],[20.85%]]</f>
        <v>1117.9446407999997</v>
      </c>
      <c r="L3506" s="282">
        <f>++Tabla4[[#This Row],[Precio Unitario Neto]]-Tabla4[[#This Row],[20.85%]]</f>
        <v>4243.9001591999995</v>
      </c>
      <c r="M3506" s="282" t="e">
        <f>(INDEX(Tabla6[#All],MATCH(Tabla4[[#This Row],[Producto]],Tabla6[[#All],[PRODUCTO]],0),MATCH(Tabla4[[#This Row],[Mes]],Tabla6[#Headers],0)))*(1+Catalogos!$L$2)</f>
        <v>#N/A</v>
      </c>
      <c r="N3506" s="283" t="e">
        <f>+(Tabla4[[#This Row],[Precio Descontado]]-Tabla4[[#This Row],[Precio Base]])*Tabla4[[#This Row],[Cantidad]]</f>
        <v>#N/A</v>
      </c>
      <c r="O3506" s="284" t="e">
        <f>++Tabla4[[#This Row],[Utilidad Total]]/Tabla4[[#This Row],[Total]]</f>
        <v>#N/A</v>
      </c>
      <c r="P3506" s="282">
        <f>++Tabla4[[#This Row],[Precio Descontado]]*Tabla4[[#This Row],[Cantidad]]</f>
        <v>4243.9001591999995</v>
      </c>
      <c r="Q3506" s="282" t="e">
        <f>(INDEX(Tabla6[#All],MATCH(Tabla4[[#This Row],[Producto]],Tabla6[[#All],[PRODUCTO]],0),MATCH(Tabla4[[#This Row],[Mes]],Tabla6[#Headers],0)))</f>
        <v>#N/A</v>
      </c>
      <c r="R3506" s="282" t="e">
        <f>++Tabla4[[#This Row],[Precio Unitario Neto]]-Tabla4[[#This Row],[20.85%]]-Tabla4[[#This Row],[Costo]]</f>
        <v>#N/A</v>
      </c>
      <c r="S3506" s="282" t="e">
        <f>++Tabla4[[#This Row],[U. Bruta Uni]]*Tabla4[[#This Row],[Cantidad]]</f>
        <v>#N/A</v>
      </c>
      <c r="T3506" s="369" t="str">
        <f>VLOOKUP(Tabla4[[#This Row],[Producto]],Tabla6[#All],14,FALSE)</f>
        <v>Termico Solar</v>
      </c>
      <c r="U3506" s="284" t="e">
        <f>(IF(Tabla4[[#This Row],[Familia]]="termico solar",Tabla4[[#This Row],[Utilidad Total]]*6%,Tabla4[[#This Row],[Utilidad Total]]*11.5%))/Tabla4[[#This Row],[Total]]</f>
        <v>#N/A</v>
      </c>
      <c r="V3506" s="282" t="e">
        <f>+Tabla4[[#This Row],[Comisión Calculada]]*Tabla4[[#This Row],[Total]]</f>
        <v>#N/A</v>
      </c>
    </row>
    <row r="3507" spans="1:22" ht="18" hidden="1" customHeight="1" x14ac:dyDescent="0.25">
      <c r="A3507" s="100">
        <v>45823</v>
      </c>
      <c r="B3507" t="str">
        <f t="shared" si="163"/>
        <v>June</v>
      </c>
      <c r="C3507" s="46" t="s">
        <v>280</v>
      </c>
      <c r="F3507" s="366" t="s">
        <v>2064</v>
      </c>
      <c r="G3507" s="46" t="s">
        <v>18</v>
      </c>
      <c r="H3507" s="46">
        <v>3</v>
      </c>
      <c r="I3507" s="51">
        <v>5367.6500000000005</v>
      </c>
      <c r="J3507" s="281">
        <f>++Tabla4[[#This Row],[Precio Bruto]]*1.16</f>
        <v>6226.4740000000002</v>
      </c>
      <c r="K3507" s="281">
        <f>+Tabla4[[#This Row],[Precio Unitario Neto]]*Tabla4[[#Headers],[20.85%]]</f>
        <v>1298.2198289999999</v>
      </c>
      <c r="L3507" s="282">
        <f>++Tabla4[[#This Row],[Precio Unitario Neto]]-Tabla4[[#This Row],[20.85%]]</f>
        <v>4928.2541710000005</v>
      </c>
      <c r="M3507" s="282" t="e">
        <f>(INDEX(Tabla6[#All],MATCH(Tabla4[[#This Row],[Producto]],Tabla6[[#All],[PRODUCTO]],0),MATCH(Tabla4[[#This Row],[Mes]],Tabla6[#Headers],0)))*(1+Catalogos!$L$2)</f>
        <v>#N/A</v>
      </c>
      <c r="N3507" s="283" t="e">
        <f>+(Tabla4[[#This Row],[Precio Descontado]]-Tabla4[[#This Row],[Precio Base]])*Tabla4[[#This Row],[Cantidad]]</f>
        <v>#N/A</v>
      </c>
      <c r="O3507" s="284" t="e">
        <f>++Tabla4[[#This Row],[Utilidad Total]]/Tabla4[[#This Row],[Total]]</f>
        <v>#N/A</v>
      </c>
      <c r="P3507" s="282">
        <f>++Tabla4[[#This Row],[Precio Descontado]]*Tabla4[[#This Row],[Cantidad]]</f>
        <v>14784.762513000001</v>
      </c>
      <c r="Q3507" s="282" t="e">
        <f>(INDEX(Tabla6[#All],MATCH(Tabla4[[#This Row],[Producto]],Tabla6[[#All],[PRODUCTO]],0),MATCH(Tabla4[[#This Row],[Mes]],Tabla6[#Headers],0)))</f>
        <v>#N/A</v>
      </c>
      <c r="R3507" s="282" t="e">
        <f>++Tabla4[[#This Row],[Precio Unitario Neto]]-Tabla4[[#This Row],[20.85%]]-Tabla4[[#This Row],[Costo]]</f>
        <v>#N/A</v>
      </c>
      <c r="S3507" s="282" t="e">
        <f>++Tabla4[[#This Row],[U. Bruta Uni]]*Tabla4[[#This Row],[Cantidad]]</f>
        <v>#N/A</v>
      </c>
      <c r="T3507" s="369" t="str">
        <f>VLOOKUP(Tabla4[[#This Row],[Producto]],Tabla6[#All],14,FALSE)</f>
        <v>Termico Solar</v>
      </c>
      <c r="U3507" s="284" t="e">
        <f>(IF(Tabla4[[#This Row],[Familia]]="termico solar",Tabla4[[#This Row],[Utilidad Total]]*6%,Tabla4[[#This Row],[Utilidad Total]]*11.5%))/Tabla4[[#This Row],[Total]]</f>
        <v>#N/A</v>
      </c>
      <c r="V3507" s="282" t="e">
        <f>+Tabla4[[#This Row],[Comisión Calculada]]*Tabla4[[#This Row],[Total]]</f>
        <v>#N/A</v>
      </c>
    </row>
    <row r="3508" spans="1:22" ht="18" hidden="1" customHeight="1" x14ac:dyDescent="0.25">
      <c r="A3508" s="100">
        <v>45823</v>
      </c>
      <c r="B3508" t="str">
        <f t="shared" si="163"/>
        <v>June</v>
      </c>
      <c r="C3508" s="46" t="s">
        <v>280</v>
      </c>
      <c r="F3508" s="366" t="s">
        <v>2064</v>
      </c>
      <c r="G3508" s="46" t="s">
        <v>19</v>
      </c>
      <c r="H3508" s="46">
        <v>1</v>
      </c>
      <c r="I3508" s="51">
        <v>6412.03</v>
      </c>
      <c r="J3508" s="281">
        <f>++Tabla4[[#This Row],[Precio Bruto]]*1.16</f>
        <v>7437.9547999999995</v>
      </c>
      <c r="K3508" s="281">
        <f>+Tabla4[[#This Row],[Precio Unitario Neto]]*Tabla4[[#Headers],[20.85%]]</f>
        <v>1550.8135757999999</v>
      </c>
      <c r="L3508" s="282">
        <f>++Tabla4[[#This Row],[Precio Unitario Neto]]-Tabla4[[#This Row],[20.85%]]</f>
        <v>5887.1412241999997</v>
      </c>
      <c r="M3508" s="282" t="e">
        <f>(INDEX(Tabla6[#All],MATCH(Tabla4[[#This Row],[Producto]],Tabla6[[#All],[PRODUCTO]],0),MATCH(Tabla4[[#This Row],[Mes]],Tabla6[#Headers],0)))*(1+Catalogos!$L$2)</f>
        <v>#N/A</v>
      </c>
      <c r="N3508" s="283" t="e">
        <f>+(Tabla4[[#This Row],[Precio Descontado]]-Tabla4[[#This Row],[Precio Base]])*Tabla4[[#This Row],[Cantidad]]</f>
        <v>#N/A</v>
      </c>
      <c r="O3508" s="284" t="e">
        <f>++Tabla4[[#This Row],[Utilidad Total]]/Tabla4[[#This Row],[Total]]</f>
        <v>#N/A</v>
      </c>
      <c r="P3508" s="282">
        <f>++Tabla4[[#This Row],[Precio Descontado]]*Tabla4[[#This Row],[Cantidad]]</f>
        <v>5887.1412241999997</v>
      </c>
      <c r="Q3508" s="282" t="e">
        <f>(INDEX(Tabla6[#All],MATCH(Tabla4[[#This Row],[Producto]],Tabla6[[#All],[PRODUCTO]],0),MATCH(Tabla4[[#This Row],[Mes]],Tabla6[#Headers],0)))</f>
        <v>#N/A</v>
      </c>
      <c r="R3508" s="282" t="e">
        <f>++Tabla4[[#This Row],[Precio Unitario Neto]]-Tabla4[[#This Row],[20.85%]]-Tabla4[[#This Row],[Costo]]</f>
        <v>#N/A</v>
      </c>
      <c r="S3508" s="282" t="e">
        <f>++Tabla4[[#This Row],[U. Bruta Uni]]*Tabla4[[#This Row],[Cantidad]]</f>
        <v>#N/A</v>
      </c>
      <c r="T3508" s="369" t="str">
        <f>VLOOKUP(Tabla4[[#This Row],[Producto]],Tabla6[#All],14,FALSE)</f>
        <v>Termico Solar</v>
      </c>
      <c r="U3508" s="284" t="e">
        <f>(IF(Tabla4[[#This Row],[Familia]]="termico solar",Tabla4[[#This Row],[Utilidad Total]]*6%,Tabla4[[#This Row],[Utilidad Total]]*11.5%))/Tabla4[[#This Row],[Total]]</f>
        <v>#N/A</v>
      </c>
      <c r="V3508" s="282" t="e">
        <f>+Tabla4[[#This Row],[Comisión Calculada]]*Tabla4[[#This Row],[Total]]</f>
        <v>#N/A</v>
      </c>
    </row>
    <row r="3509" spans="1:22" hidden="1" x14ac:dyDescent="0.25">
      <c r="A3509" s="100">
        <v>45823</v>
      </c>
      <c r="B3509" t="str">
        <f t="shared" si="163"/>
        <v>June</v>
      </c>
      <c r="C3509" s="46" t="s">
        <v>280</v>
      </c>
      <c r="F3509" s="366" t="s">
        <v>2064</v>
      </c>
      <c r="G3509" s="46" t="s">
        <v>566</v>
      </c>
      <c r="H3509" s="46">
        <v>2</v>
      </c>
      <c r="I3509" s="51">
        <v>2109.4499999999998</v>
      </c>
      <c r="J3509" s="281">
        <f>++Tabla4[[#This Row],[Precio Bruto]]*1.16</f>
        <v>2446.9619999999995</v>
      </c>
      <c r="K3509" s="281">
        <f>+Tabla4[[#This Row],[Precio Unitario Neto]]*Tabla4[[#Headers],[20.85%]]</f>
        <v>510.19157699999988</v>
      </c>
      <c r="L3509" s="282">
        <f>++Tabla4[[#This Row],[Precio Unitario Neto]]-Tabla4[[#This Row],[20.85%]]</f>
        <v>1936.7704229999997</v>
      </c>
      <c r="M3509" s="282" t="e">
        <f>(INDEX(Tabla6[#All],MATCH(Tabla4[[#This Row],[Producto]],Tabla6[[#All],[PRODUCTO]],0),MATCH(Tabla4[[#This Row],[Mes]],Tabla6[#Headers],0)))*(1+Catalogos!$L$2)</f>
        <v>#N/A</v>
      </c>
      <c r="N3509" s="283" t="e">
        <f>+(Tabla4[[#This Row],[Precio Descontado]]-Tabla4[[#This Row],[Precio Base]])*Tabla4[[#This Row],[Cantidad]]</f>
        <v>#N/A</v>
      </c>
      <c r="O3509" s="284" t="e">
        <f>++Tabla4[[#This Row],[Utilidad Total]]/Tabla4[[#This Row],[Total]]</f>
        <v>#N/A</v>
      </c>
      <c r="P3509" s="282">
        <f>++Tabla4[[#This Row],[Precio Descontado]]*Tabla4[[#This Row],[Cantidad]]</f>
        <v>3873.5408459999994</v>
      </c>
      <c r="Q3509" s="282" t="e">
        <f>(INDEX(Tabla6[#All],MATCH(Tabla4[[#This Row],[Producto]],Tabla6[[#All],[PRODUCTO]],0),MATCH(Tabla4[[#This Row],[Mes]],Tabla6[#Headers],0)))</f>
        <v>#N/A</v>
      </c>
      <c r="R3509" s="282" t="e">
        <f>++Tabla4[[#This Row],[Precio Unitario Neto]]-Tabla4[[#This Row],[20.85%]]-Tabla4[[#This Row],[Costo]]</f>
        <v>#N/A</v>
      </c>
      <c r="S3509" s="282" t="e">
        <f>++Tabla4[[#This Row],[U. Bruta Uni]]*Tabla4[[#This Row],[Cantidad]]</f>
        <v>#N/A</v>
      </c>
      <c r="T3509" s="369" t="str">
        <f>VLOOKUP(Tabla4[[#This Row],[Producto]],Tabla6[#All],14,FALSE)</f>
        <v>Termico Solar</v>
      </c>
      <c r="U3509" s="284" t="e">
        <f>(IF(Tabla4[[#This Row],[Familia]]="termico solar",Tabla4[[#This Row],[Utilidad Total]]*6%,Tabla4[[#This Row],[Utilidad Total]]*11.5%))/Tabla4[[#This Row],[Total]]</f>
        <v>#N/A</v>
      </c>
      <c r="V3509" s="282" t="e">
        <f>+Tabla4[[#This Row],[Comisión Calculada]]*Tabla4[[#This Row],[Total]]</f>
        <v>#N/A</v>
      </c>
    </row>
    <row r="3510" spans="1:22" hidden="1" x14ac:dyDescent="0.25">
      <c r="A3510" s="100">
        <v>45823</v>
      </c>
      <c r="B3510" t="str">
        <f t="shared" si="163"/>
        <v>June</v>
      </c>
      <c r="C3510" s="46" t="s">
        <v>280</v>
      </c>
      <c r="F3510" s="366" t="s">
        <v>2065</v>
      </c>
      <c r="G3510" s="46" t="s">
        <v>18</v>
      </c>
      <c r="H3510" s="46">
        <v>2</v>
      </c>
      <c r="I3510" s="51">
        <v>5367.65</v>
      </c>
      <c r="J3510" s="281">
        <f>++Tabla4[[#This Row],[Precio Bruto]]*1.16</f>
        <v>6226.4739999999993</v>
      </c>
      <c r="K3510" s="281">
        <f>+Tabla4[[#This Row],[Precio Unitario Neto]]*Tabla4[[#Headers],[20.85%]]</f>
        <v>1298.2198289999999</v>
      </c>
      <c r="L3510" s="282">
        <f>++Tabla4[[#This Row],[Precio Unitario Neto]]-Tabla4[[#This Row],[20.85%]]</f>
        <v>4928.2541709999996</v>
      </c>
      <c r="M3510" s="282" t="e">
        <f>(INDEX(Tabla6[#All],MATCH(Tabla4[[#This Row],[Producto]],Tabla6[[#All],[PRODUCTO]],0),MATCH(Tabla4[[#This Row],[Mes]],Tabla6[#Headers],0)))*(1+Catalogos!$L$2)</f>
        <v>#N/A</v>
      </c>
      <c r="N3510" s="283" t="e">
        <f>+(Tabla4[[#This Row],[Precio Descontado]]-Tabla4[[#This Row],[Precio Base]])*Tabla4[[#This Row],[Cantidad]]</f>
        <v>#N/A</v>
      </c>
      <c r="O3510" s="284" t="e">
        <f>++Tabla4[[#This Row],[Utilidad Total]]/Tabla4[[#This Row],[Total]]</f>
        <v>#N/A</v>
      </c>
      <c r="P3510" s="282">
        <f>++Tabla4[[#This Row],[Precio Descontado]]*Tabla4[[#This Row],[Cantidad]]</f>
        <v>9856.5083419999992</v>
      </c>
      <c r="Q3510" s="282" t="e">
        <f>(INDEX(Tabla6[#All],MATCH(Tabla4[[#This Row],[Producto]],Tabla6[[#All],[PRODUCTO]],0),MATCH(Tabla4[[#This Row],[Mes]],Tabla6[#Headers],0)))</f>
        <v>#N/A</v>
      </c>
      <c r="R3510" s="282" t="e">
        <f>++Tabla4[[#This Row],[Precio Unitario Neto]]-Tabla4[[#This Row],[20.85%]]-Tabla4[[#This Row],[Costo]]</f>
        <v>#N/A</v>
      </c>
      <c r="S3510" s="282" t="e">
        <f>++Tabla4[[#This Row],[U. Bruta Uni]]*Tabla4[[#This Row],[Cantidad]]</f>
        <v>#N/A</v>
      </c>
      <c r="T3510" s="369" t="str">
        <f>VLOOKUP(Tabla4[[#This Row],[Producto]],Tabla6[#All],14,FALSE)</f>
        <v>Termico Solar</v>
      </c>
      <c r="U3510" s="284" t="e">
        <f>(IF(Tabla4[[#This Row],[Familia]]="termico solar",Tabla4[[#This Row],[Utilidad Total]]*6%,Tabla4[[#This Row],[Utilidad Total]]*11.5%))/Tabla4[[#This Row],[Total]]</f>
        <v>#N/A</v>
      </c>
      <c r="V3510" s="282" t="e">
        <f>+Tabla4[[#This Row],[Comisión Calculada]]*Tabla4[[#This Row],[Total]]</f>
        <v>#N/A</v>
      </c>
    </row>
    <row r="3511" spans="1:22" hidden="1" x14ac:dyDescent="0.25">
      <c r="A3511" s="100">
        <v>45823</v>
      </c>
      <c r="B3511" t="str">
        <f t="shared" si="163"/>
        <v>June</v>
      </c>
      <c r="C3511" s="46" t="s">
        <v>280</v>
      </c>
      <c r="F3511" s="366" t="s">
        <v>2066</v>
      </c>
      <c r="G3511" s="46" t="s">
        <v>17</v>
      </c>
      <c r="H3511" s="46">
        <v>1</v>
      </c>
      <c r="I3511" s="51">
        <v>4622.28</v>
      </c>
      <c r="J3511" s="281">
        <f>++Tabla4[[#This Row],[Precio Bruto]]*1.16</f>
        <v>5361.8447999999989</v>
      </c>
      <c r="K3511" s="281">
        <f>+Tabla4[[#This Row],[Precio Unitario Neto]]*Tabla4[[#Headers],[20.85%]]</f>
        <v>1117.9446407999997</v>
      </c>
      <c r="L3511" s="282">
        <f>++Tabla4[[#This Row],[Precio Unitario Neto]]-Tabla4[[#This Row],[20.85%]]</f>
        <v>4243.9001591999995</v>
      </c>
      <c r="M3511" s="282" t="e">
        <f>(INDEX(Tabla6[#All],MATCH(Tabla4[[#This Row],[Producto]],Tabla6[[#All],[PRODUCTO]],0),MATCH(Tabla4[[#This Row],[Mes]],Tabla6[#Headers],0)))*(1+Catalogos!$L$2)</f>
        <v>#N/A</v>
      </c>
      <c r="N3511" s="283" t="e">
        <f>+(Tabla4[[#This Row],[Precio Descontado]]-Tabla4[[#This Row],[Precio Base]])*Tabla4[[#This Row],[Cantidad]]</f>
        <v>#N/A</v>
      </c>
      <c r="O3511" s="284" t="e">
        <f>++Tabla4[[#This Row],[Utilidad Total]]/Tabla4[[#This Row],[Total]]</f>
        <v>#N/A</v>
      </c>
      <c r="P3511" s="282">
        <f>++Tabla4[[#This Row],[Precio Descontado]]*Tabla4[[#This Row],[Cantidad]]</f>
        <v>4243.9001591999995</v>
      </c>
      <c r="Q3511" s="282" t="e">
        <f>(INDEX(Tabla6[#All],MATCH(Tabla4[[#This Row],[Producto]],Tabla6[[#All],[PRODUCTO]],0),MATCH(Tabla4[[#This Row],[Mes]],Tabla6[#Headers],0)))</f>
        <v>#N/A</v>
      </c>
      <c r="R3511" s="282" t="e">
        <f>++Tabla4[[#This Row],[Precio Unitario Neto]]-Tabla4[[#This Row],[20.85%]]-Tabla4[[#This Row],[Costo]]</f>
        <v>#N/A</v>
      </c>
      <c r="S3511" s="282" t="e">
        <f>++Tabla4[[#This Row],[U. Bruta Uni]]*Tabla4[[#This Row],[Cantidad]]</f>
        <v>#N/A</v>
      </c>
      <c r="T3511" s="369" t="str">
        <f>VLOOKUP(Tabla4[[#This Row],[Producto]],Tabla6[#All],14,FALSE)</f>
        <v>Termico Solar</v>
      </c>
      <c r="U3511" s="284" t="e">
        <f>(IF(Tabla4[[#This Row],[Familia]]="termico solar",Tabla4[[#This Row],[Utilidad Total]]*6%,Tabla4[[#This Row],[Utilidad Total]]*11.5%))/Tabla4[[#This Row],[Total]]</f>
        <v>#N/A</v>
      </c>
      <c r="V3511" s="282" t="e">
        <f>+Tabla4[[#This Row],[Comisión Calculada]]*Tabla4[[#This Row],[Total]]</f>
        <v>#N/A</v>
      </c>
    </row>
    <row r="3512" spans="1:22" hidden="1" x14ac:dyDescent="0.25">
      <c r="A3512" s="100">
        <v>45823</v>
      </c>
      <c r="B3512" t="str">
        <f t="shared" si="163"/>
        <v>June</v>
      </c>
      <c r="C3512" s="46" t="s">
        <v>280</v>
      </c>
      <c r="F3512" s="366" t="s">
        <v>2066</v>
      </c>
      <c r="G3512" s="46" t="s">
        <v>18</v>
      </c>
      <c r="H3512" s="46">
        <v>1</v>
      </c>
      <c r="I3512" s="51">
        <v>5367.65</v>
      </c>
      <c r="J3512" s="281">
        <f>++Tabla4[[#This Row],[Precio Bruto]]*1.16</f>
        <v>6226.4739999999993</v>
      </c>
      <c r="K3512" s="281">
        <f>+Tabla4[[#This Row],[Precio Unitario Neto]]*Tabla4[[#Headers],[20.85%]]</f>
        <v>1298.2198289999999</v>
      </c>
      <c r="L3512" s="282">
        <f>++Tabla4[[#This Row],[Precio Unitario Neto]]-Tabla4[[#This Row],[20.85%]]</f>
        <v>4928.2541709999996</v>
      </c>
      <c r="M3512" s="282" t="e">
        <f>(INDEX(Tabla6[#All],MATCH(Tabla4[[#This Row],[Producto]],Tabla6[[#All],[PRODUCTO]],0),MATCH(Tabla4[[#This Row],[Mes]],Tabla6[#Headers],0)))*(1+Catalogos!$L$2)</f>
        <v>#N/A</v>
      </c>
      <c r="N3512" s="283" t="e">
        <f>+(Tabla4[[#This Row],[Precio Descontado]]-Tabla4[[#This Row],[Precio Base]])*Tabla4[[#This Row],[Cantidad]]</f>
        <v>#N/A</v>
      </c>
      <c r="O3512" s="284" t="e">
        <f>++Tabla4[[#This Row],[Utilidad Total]]/Tabla4[[#This Row],[Total]]</f>
        <v>#N/A</v>
      </c>
      <c r="P3512" s="282">
        <f>++Tabla4[[#This Row],[Precio Descontado]]*Tabla4[[#This Row],[Cantidad]]</f>
        <v>4928.2541709999996</v>
      </c>
      <c r="Q3512" s="282" t="e">
        <f>(INDEX(Tabla6[#All],MATCH(Tabla4[[#This Row],[Producto]],Tabla6[[#All],[PRODUCTO]],0),MATCH(Tabla4[[#This Row],[Mes]],Tabla6[#Headers],0)))</f>
        <v>#N/A</v>
      </c>
      <c r="R3512" s="282" t="e">
        <f>++Tabla4[[#This Row],[Precio Unitario Neto]]-Tabla4[[#This Row],[20.85%]]-Tabla4[[#This Row],[Costo]]</f>
        <v>#N/A</v>
      </c>
      <c r="S3512" s="282" t="e">
        <f>++Tabla4[[#This Row],[U. Bruta Uni]]*Tabla4[[#This Row],[Cantidad]]</f>
        <v>#N/A</v>
      </c>
      <c r="T3512" s="369" t="str">
        <f>VLOOKUP(Tabla4[[#This Row],[Producto]],Tabla6[#All],14,FALSE)</f>
        <v>Termico Solar</v>
      </c>
      <c r="U3512" s="284" t="e">
        <f>(IF(Tabla4[[#This Row],[Familia]]="termico solar",Tabla4[[#This Row],[Utilidad Total]]*6%,Tabla4[[#This Row],[Utilidad Total]]*11.5%))/Tabla4[[#This Row],[Total]]</f>
        <v>#N/A</v>
      </c>
      <c r="V3512" s="282" t="e">
        <f>+Tabla4[[#This Row],[Comisión Calculada]]*Tabla4[[#This Row],[Total]]</f>
        <v>#N/A</v>
      </c>
    </row>
    <row r="3513" spans="1:22" hidden="1" x14ac:dyDescent="0.25">
      <c r="A3513" s="100">
        <v>45823</v>
      </c>
      <c r="B3513" t="str">
        <f t="shared" si="163"/>
        <v>June</v>
      </c>
      <c r="C3513" s="46" t="s">
        <v>280</v>
      </c>
      <c r="F3513" s="366" t="s">
        <v>2067</v>
      </c>
      <c r="G3513" s="46" t="s">
        <v>18</v>
      </c>
      <c r="H3513" s="46">
        <v>1</v>
      </c>
      <c r="I3513" s="51">
        <v>5367.65</v>
      </c>
      <c r="J3513" s="281">
        <f>++Tabla4[[#This Row],[Precio Bruto]]*1.16</f>
        <v>6226.4739999999993</v>
      </c>
      <c r="K3513" s="281">
        <f>+Tabla4[[#This Row],[Precio Unitario Neto]]*Tabla4[[#Headers],[20.85%]]</f>
        <v>1298.2198289999999</v>
      </c>
      <c r="L3513" s="282">
        <f>++Tabla4[[#This Row],[Precio Unitario Neto]]-Tabla4[[#This Row],[20.85%]]</f>
        <v>4928.2541709999996</v>
      </c>
      <c r="M3513" s="282" t="e">
        <f>(INDEX(Tabla6[#All],MATCH(Tabla4[[#This Row],[Producto]],Tabla6[[#All],[PRODUCTO]],0),MATCH(Tabla4[[#This Row],[Mes]],Tabla6[#Headers],0)))*(1+Catalogos!$L$2)</f>
        <v>#N/A</v>
      </c>
      <c r="N3513" s="283" t="e">
        <f>+(Tabla4[[#This Row],[Precio Descontado]]-Tabla4[[#This Row],[Precio Base]])*Tabla4[[#This Row],[Cantidad]]</f>
        <v>#N/A</v>
      </c>
      <c r="O3513" s="284" t="e">
        <f>++Tabla4[[#This Row],[Utilidad Total]]/Tabla4[[#This Row],[Total]]</f>
        <v>#N/A</v>
      </c>
      <c r="P3513" s="282">
        <f>++Tabla4[[#This Row],[Precio Descontado]]*Tabla4[[#This Row],[Cantidad]]</f>
        <v>4928.2541709999996</v>
      </c>
      <c r="Q3513" s="282" t="e">
        <f>(INDEX(Tabla6[#All],MATCH(Tabla4[[#This Row],[Producto]],Tabla6[[#All],[PRODUCTO]],0),MATCH(Tabla4[[#This Row],[Mes]],Tabla6[#Headers],0)))</f>
        <v>#N/A</v>
      </c>
      <c r="R3513" s="282" t="e">
        <f>++Tabla4[[#This Row],[Precio Unitario Neto]]-Tabla4[[#This Row],[20.85%]]-Tabla4[[#This Row],[Costo]]</f>
        <v>#N/A</v>
      </c>
      <c r="S3513" s="282" t="e">
        <f>++Tabla4[[#This Row],[U. Bruta Uni]]*Tabla4[[#This Row],[Cantidad]]</f>
        <v>#N/A</v>
      </c>
      <c r="T3513" s="369" t="str">
        <f>VLOOKUP(Tabla4[[#This Row],[Producto]],Tabla6[#All],14,FALSE)</f>
        <v>Termico Solar</v>
      </c>
      <c r="U3513" s="284" t="e">
        <f>(IF(Tabla4[[#This Row],[Familia]]="termico solar",Tabla4[[#This Row],[Utilidad Total]]*6%,Tabla4[[#This Row],[Utilidad Total]]*11.5%))/Tabla4[[#This Row],[Total]]</f>
        <v>#N/A</v>
      </c>
      <c r="V3513" s="282" t="e">
        <f>+Tabla4[[#This Row],[Comisión Calculada]]*Tabla4[[#This Row],[Total]]</f>
        <v>#N/A</v>
      </c>
    </row>
    <row r="3514" spans="1:22" hidden="1" x14ac:dyDescent="0.25">
      <c r="A3514" s="100">
        <v>45823</v>
      </c>
      <c r="B3514" t="str">
        <f t="shared" si="163"/>
        <v>June</v>
      </c>
      <c r="C3514" s="46" t="s">
        <v>280</v>
      </c>
      <c r="F3514" s="366" t="s">
        <v>2068</v>
      </c>
      <c r="G3514" s="46" t="s">
        <v>16</v>
      </c>
      <c r="H3514" s="46">
        <v>2</v>
      </c>
      <c r="I3514" s="51">
        <v>4103.8500000000004</v>
      </c>
      <c r="J3514" s="281">
        <f>++Tabla4[[#This Row],[Precio Bruto]]*1.16</f>
        <v>4760.4660000000003</v>
      </c>
      <c r="K3514" s="281">
        <f>+Tabla4[[#This Row],[Precio Unitario Neto]]*Tabla4[[#Headers],[20.85%]]</f>
        <v>992.55716100000006</v>
      </c>
      <c r="L3514" s="282">
        <f>++Tabla4[[#This Row],[Precio Unitario Neto]]-Tabla4[[#This Row],[20.85%]]</f>
        <v>3767.9088390000002</v>
      </c>
      <c r="M3514" s="282" t="e">
        <f>(INDEX(Tabla6[#All],MATCH(Tabla4[[#This Row],[Producto]],Tabla6[[#All],[PRODUCTO]],0),MATCH(Tabla4[[#This Row],[Mes]],Tabla6[#Headers],0)))*(1+Catalogos!$L$2)</f>
        <v>#N/A</v>
      </c>
      <c r="N3514" s="283" t="e">
        <f>+(Tabla4[[#This Row],[Precio Descontado]]-Tabla4[[#This Row],[Precio Base]])*Tabla4[[#This Row],[Cantidad]]</f>
        <v>#N/A</v>
      </c>
      <c r="O3514" s="284" t="e">
        <f>++Tabla4[[#This Row],[Utilidad Total]]/Tabla4[[#This Row],[Total]]</f>
        <v>#N/A</v>
      </c>
      <c r="P3514" s="282">
        <f>++Tabla4[[#This Row],[Precio Descontado]]*Tabla4[[#This Row],[Cantidad]]</f>
        <v>7535.8176780000003</v>
      </c>
      <c r="Q3514" s="282" t="e">
        <f>(INDEX(Tabla6[#All],MATCH(Tabla4[[#This Row],[Producto]],Tabla6[[#All],[PRODUCTO]],0),MATCH(Tabla4[[#This Row],[Mes]],Tabla6[#Headers],0)))</f>
        <v>#N/A</v>
      </c>
      <c r="R3514" s="282" t="e">
        <f>++Tabla4[[#This Row],[Precio Unitario Neto]]-Tabla4[[#This Row],[20.85%]]-Tabla4[[#This Row],[Costo]]</f>
        <v>#N/A</v>
      </c>
      <c r="S3514" s="282" t="e">
        <f>++Tabla4[[#This Row],[U. Bruta Uni]]*Tabla4[[#This Row],[Cantidad]]</f>
        <v>#N/A</v>
      </c>
      <c r="T3514" s="369" t="str">
        <f>VLOOKUP(Tabla4[[#This Row],[Producto]],Tabla6[#All],14,FALSE)</f>
        <v>Termico Solar</v>
      </c>
      <c r="U3514" s="284" t="e">
        <f>(IF(Tabla4[[#This Row],[Familia]]="termico solar",Tabla4[[#This Row],[Utilidad Total]]*6%,Tabla4[[#This Row],[Utilidad Total]]*11.5%))/Tabla4[[#This Row],[Total]]</f>
        <v>#N/A</v>
      </c>
      <c r="V3514" s="282" t="e">
        <f>+Tabla4[[#This Row],[Comisión Calculada]]*Tabla4[[#This Row],[Total]]</f>
        <v>#N/A</v>
      </c>
    </row>
    <row r="3515" spans="1:22" hidden="1" x14ac:dyDescent="0.25">
      <c r="A3515" s="100">
        <v>45823</v>
      </c>
      <c r="B3515" t="str">
        <f t="shared" si="163"/>
        <v>June</v>
      </c>
      <c r="C3515" s="46" t="s">
        <v>280</v>
      </c>
      <c r="F3515" s="366" t="s">
        <v>2069</v>
      </c>
      <c r="G3515" s="46" t="s">
        <v>18</v>
      </c>
      <c r="H3515" s="46">
        <v>1</v>
      </c>
      <c r="I3515" s="51">
        <v>5367.65</v>
      </c>
      <c r="J3515" s="281">
        <f>++Tabla4[[#This Row],[Precio Bruto]]*1.16</f>
        <v>6226.4739999999993</v>
      </c>
      <c r="K3515" s="281">
        <f>+Tabla4[[#This Row],[Precio Unitario Neto]]*Tabla4[[#Headers],[20.85%]]</f>
        <v>1298.2198289999999</v>
      </c>
      <c r="L3515" s="282">
        <f>++Tabla4[[#This Row],[Precio Unitario Neto]]-Tabla4[[#This Row],[20.85%]]</f>
        <v>4928.2541709999996</v>
      </c>
      <c r="M3515" s="282" t="e">
        <f>(INDEX(Tabla6[#All],MATCH(Tabla4[[#This Row],[Producto]],Tabla6[[#All],[PRODUCTO]],0),MATCH(Tabla4[[#This Row],[Mes]],Tabla6[#Headers],0)))*(1+Catalogos!$L$2)</f>
        <v>#N/A</v>
      </c>
      <c r="N3515" s="283" t="e">
        <f>+(Tabla4[[#This Row],[Precio Descontado]]-Tabla4[[#This Row],[Precio Base]])*Tabla4[[#This Row],[Cantidad]]</f>
        <v>#N/A</v>
      </c>
      <c r="O3515" s="284" t="e">
        <f>++Tabla4[[#This Row],[Utilidad Total]]/Tabla4[[#This Row],[Total]]</f>
        <v>#N/A</v>
      </c>
      <c r="P3515" s="282">
        <f>++Tabla4[[#This Row],[Precio Descontado]]*Tabla4[[#This Row],[Cantidad]]</f>
        <v>4928.2541709999996</v>
      </c>
      <c r="Q3515" s="282" t="e">
        <f>(INDEX(Tabla6[#All],MATCH(Tabla4[[#This Row],[Producto]],Tabla6[[#All],[PRODUCTO]],0),MATCH(Tabla4[[#This Row],[Mes]],Tabla6[#Headers],0)))</f>
        <v>#N/A</v>
      </c>
      <c r="R3515" s="282" t="e">
        <f>++Tabla4[[#This Row],[Precio Unitario Neto]]-Tabla4[[#This Row],[20.85%]]-Tabla4[[#This Row],[Costo]]</f>
        <v>#N/A</v>
      </c>
      <c r="S3515" s="282" t="e">
        <f>++Tabla4[[#This Row],[U. Bruta Uni]]*Tabla4[[#This Row],[Cantidad]]</f>
        <v>#N/A</v>
      </c>
      <c r="T3515" s="369" t="str">
        <f>VLOOKUP(Tabla4[[#This Row],[Producto]],Tabla6[#All],14,FALSE)</f>
        <v>Termico Solar</v>
      </c>
      <c r="U3515" s="284" t="e">
        <f>(IF(Tabla4[[#This Row],[Familia]]="termico solar",Tabla4[[#This Row],[Utilidad Total]]*6%,Tabla4[[#This Row],[Utilidad Total]]*11.5%))/Tabla4[[#This Row],[Total]]</f>
        <v>#N/A</v>
      </c>
      <c r="V3515" s="282" t="e">
        <f>+Tabla4[[#This Row],[Comisión Calculada]]*Tabla4[[#This Row],[Total]]</f>
        <v>#N/A</v>
      </c>
    </row>
    <row r="3516" spans="1:22" hidden="1" x14ac:dyDescent="0.25">
      <c r="A3516" s="100">
        <v>45823</v>
      </c>
      <c r="B3516" t="str">
        <f t="shared" si="163"/>
        <v>June</v>
      </c>
      <c r="C3516" s="46" t="s">
        <v>280</v>
      </c>
      <c r="F3516" s="366" t="s">
        <v>2069</v>
      </c>
      <c r="G3516" s="46" t="s">
        <v>208</v>
      </c>
      <c r="H3516" s="46">
        <v>2</v>
      </c>
      <c r="I3516" s="51">
        <v>189.75</v>
      </c>
      <c r="J3516" s="281">
        <f>++Tabla4[[#This Row],[Precio Bruto]]*1.16</f>
        <v>220.10999999999999</v>
      </c>
      <c r="K3516" s="281">
        <f>+Tabla4[[#This Row],[Precio Unitario Neto]]*Tabla4[[#Headers],[20.85%]]</f>
        <v>45.892934999999994</v>
      </c>
      <c r="L3516" s="282">
        <f>++Tabla4[[#This Row],[Precio Unitario Neto]]-Tabla4[[#This Row],[20.85%]]</f>
        <v>174.21706499999999</v>
      </c>
      <c r="M3516" s="282" t="e">
        <f>(INDEX(Tabla6[#All],MATCH(Tabla4[[#This Row],[Producto]],Tabla6[[#All],[PRODUCTO]],0),MATCH(Tabla4[[#This Row],[Mes]],Tabla6[#Headers],0)))*(1+Catalogos!$L$2)</f>
        <v>#N/A</v>
      </c>
      <c r="N3516" s="283" t="e">
        <f>+(Tabla4[[#This Row],[Precio Descontado]]-Tabla4[[#This Row],[Precio Base]])*Tabla4[[#This Row],[Cantidad]]</f>
        <v>#N/A</v>
      </c>
      <c r="O3516" s="284" t="e">
        <f>++Tabla4[[#This Row],[Utilidad Total]]/Tabla4[[#This Row],[Total]]</f>
        <v>#N/A</v>
      </c>
      <c r="P3516" s="282">
        <f>++Tabla4[[#This Row],[Precio Descontado]]*Tabla4[[#This Row],[Cantidad]]</f>
        <v>348.43412999999998</v>
      </c>
      <c r="Q3516" s="282" t="e">
        <f>(INDEX(Tabla6[#All],MATCH(Tabla4[[#This Row],[Producto]],Tabla6[[#All],[PRODUCTO]],0),MATCH(Tabla4[[#This Row],[Mes]],Tabla6[#Headers],0)))</f>
        <v>#N/A</v>
      </c>
      <c r="R3516" s="282" t="e">
        <f>++Tabla4[[#This Row],[Precio Unitario Neto]]-Tabla4[[#This Row],[20.85%]]-Tabla4[[#This Row],[Costo]]</f>
        <v>#N/A</v>
      </c>
      <c r="S3516" s="282" t="e">
        <f>++Tabla4[[#This Row],[U. Bruta Uni]]*Tabla4[[#This Row],[Cantidad]]</f>
        <v>#N/A</v>
      </c>
      <c r="T3516" s="369" t="str">
        <f>VLOOKUP(Tabla4[[#This Row],[Producto]],Tabla6[#All],14,FALSE)</f>
        <v>Termico Solar</v>
      </c>
      <c r="U3516" s="284" t="e">
        <f>(IF(Tabla4[[#This Row],[Familia]]="termico solar",Tabla4[[#This Row],[Utilidad Total]]*6%,Tabla4[[#This Row],[Utilidad Total]]*11.5%))/Tabla4[[#This Row],[Total]]</f>
        <v>#N/A</v>
      </c>
      <c r="V3516" s="282" t="e">
        <f>+Tabla4[[#This Row],[Comisión Calculada]]*Tabla4[[#This Row],[Total]]</f>
        <v>#N/A</v>
      </c>
    </row>
    <row r="3517" spans="1:22" hidden="1" x14ac:dyDescent="0.25">
      <c r="A3517" s="100">
        <v>45823</v>
      </c>
      <c r="B3517" t="str">
        <f t="shared" si="163"/>
        <v>June</v>
      </c>
      <c r="C3517" s="46" t="s">
        <v>280</v>
      </c>
      <c r="F3517" s="366" t="s">
        <v>2070</v>
      </c>
      <c r="G3517" s="46" t="s">
        <v>83</v>
      </c>
      <c r="H3517" s="46">
        <v>1</v>
      </c>
      <c r="I3517" s="51">
        <v>8858.76</v>
      </c>
      <c r="J3517" s="281">
        <f>++Tabla4[[#This Row],[Precio Bruto]]*1.16</f>
        <v>10276.161599999999</v>
      </c>
      <c r="K3517" s="281">
        <f>+Tabla4[[#This Row],[Precio Unitario Neto]]*Tabla4[[#Headers],[20.85%]]</f>
        <v>2142.5796935999997</v>
      </c>
      <c r="L3517" s="282">
        <f>++Tabla4[[#This Row],[Precio Unitario Neto]]-Tabla4[[#This Row],[20.85%]]</f>
        <v>8133.5819063999998</v>
      </c>
      <c r="M3517" s="282" t="e">
        <f>(INDEX(Tabla6[#All],MATCH(Tabla4[[#This Row],[Producto]],Tabla6[[#All],[PRODUCTO]],0),MATCH(Tabla4[[#This Row],[Mes]],Tabla6[#Headers],0)))*(1+Catalogos!$L$2)</f>
        <v>#N/A</v>
      </c>
      <c r="N3517" s="283" t="e">
        <f>+(Tabla4[[#This Row],[Precio Descontado]]-Tabla4[[#This Row],[Precio Base]])*Tabla4[[#This Row],[Cantidad]]</f>
        <v>#N/A</v>
      </c>
      <c r="O3517" s="284" t="e">
        <f>++Tabla4[[#This Row],[Utilidad Total]]/Tabla4[[#This Row],[Total]]</f>
        <v>#N/A</v>
      </c>
      <c r="P3517" s="282">
        <f>++Tabla4[[#This Row],[Precio Descontado]]*Tabla4[[#This Row],[Cantidad]]</f>
        <v>8133.5819063999998</v>
      </c>
      <c r="Q3517" s="282" t="e">
        <f>(INDEX(Tabla6[#All],MATCH(Tabla4[[#This Row],[Producto]],Tabla6[[#All],[PRODUCTO]],0),MATCH(Tabla4[[#This Row],[Mes]],Tabla6[#Headers],0)))</f>
        <v>#N/A</v>
      </c>
      <c r="R3517" s="282" t="e">
        <f>++Tabla4[[#This Row],[Precio Unitario Neto]]-Tabla4[[#This Row],[20.85%]]-Tabla4[[#This Row],[Costo]]</f>
        <v>#N/A</v>
      </c>
      <c r="S3517" s="282" t="e">
        <f>++Tabla4[[#This Row],[U. Bruta Uni]]*Tabla4[[#This Row],[Cantidad]]</f>
        <v>#N/A</v>
      </c>
      <c r="T3517" s="369" t="str">
        <f>VLOOKUP(Tabla4[[#This Row],[Producto]],Tabla6[#All],14,FALSE)</f>
        <v>Termico Solar</v>
      </c>
      <c r="U3517" s="284" t="e">
        <f>(IF(Tabla4[[#This Row],[Familia]]="termico solar",Tabla4[[#This Row],[Utilidad Total]]*6%,Tabla4[[#This Row],[Utilidad Total]]*11.5%))/Tabla4[[#This Row],[Total]]</f>
        <v>#N/A</v>
      </c>
      <c r="V3517" s="282" t="e">
        <f>+Tabla4[[#This Row],[Comisión Calculada]]*Tabla4[[#This Row],[Total]]</f>
        <v>#N/A</v>
      </c>
    </row>
    <row r="3518" spans="1:22" hidden="1" x14ac:dyDescent="0.25">
      <c r="A3518" s="100">
        <v>45823</v>
      </c>
      <c r="B3518" t="str">
        <f t="shared" si="163"/>
        <v>June</v>
      </c>
      <c r="C3518" s="46" t="s">
        <v>280</v>
      </c>
      <c r="F3518" s="366" t="s">
        <v>2070</v>
      </c>
      <c r="G3518" s="46" t="s">
        <v>17</v>
      </c>
      <c r="H3518" s="46">
        <v>1</v>
      </c>
      <c r="I3518" s="51">
        <v>4622.28</v>
      </c>
      <c r="J3518" s="281">
        <f>++Tabla4[[#This Row],[Precio Bruto]]*1.16</f>
        <v>5361.8447999999989</v>
      </c>
      <c r="K3518" s="281">
        <f>+Tabla4[[#This Row],[Precio Unitario Neto]]*Tabla4[[#Headers],[20.85%]]</f>
        <v>1117.9446407999997</v>
      </c>
      <c r="L3518" s="282">
        <f>++Tabla4[[#This Row],[Precio Unitario Neto]]-Tabla4[[#This Row],[20.85%]]</f>
        <v>4243.9001591999995</v>
      </c>
      <c r="M3518" s="282" t="e">
        <f>(INDEX(Tabla6[#All],MATCH(Tabla4[[#This Row],[Producto]],Tabla6[[#All],[PRODUCTO]],0),MATCH(Tabla4[[#This Row],[Mes]],Tabla6[#Headers],0)))*(1+Catalogos!$L$2)</f>
        <v>#N/A</v>
      </c>
      <c r="N3518" s="283" t="e">
        <f>+(Tabla4[[#This Row],[Precio Descontado]]-Tabla4[[#This Row],[Precio Base]])*Tabla4[[#This Row],[Cantidad]]</f>
        <v>#N/A</v>
      </c>
      <c r="O3518" s="284" t="e">
        <f>++Tabla4[[#This Row],[Utilidad Total]]/Tabla4[[#This Row],[Total]]</f>
        <v>#N/A</v>
      </c>
      <c r="P3518" s="282">
        <f>++Tabla4[[#This Row],[Precio Descontado]]*Tabla4[[#This Row],[Cantidad]]</f>
        <v>4243.9001591999995</v>
      </c>
      <c r="Q3518" s="282" t="e">
        <f>(INDEX(Tabla6[#All],MATCH(Tabla4[[#This Row],[Producto]],Tabla6[[#All],[PRODUCTO]],0),MATCH(Tabla4[[#This Row],[Mes]],Tabla6[#Headers],0)))</f>
        <v>#N/A</v>
      </c>
      <c r="R3518" s="282" t="e">
        <f>++Tabla4[[#This Row],[Precio Unitario Neto]]-Tabla4[[#This Row],[20.85%]]-Tabla4[[#This Row],[Costo]]</f>
        <v>#N/A</v>
      </c>
      <c r="S3518" s="282" t="e">
        <f>++Tabla4[[#This Row],[U. Bruta Uni]]*Tabla4[[#This Row],[Cantidad]]</f>
        <v>#N/A</v>
      </c>
      <c r="T3518" s="369" t="str">
        <f>VLOOKUP(Tabla4[[#This Row],[Producto]],Tabla6[#All],14,FALSE)</f>
        <v>Termico Solar</v>
      </c>
      <c r="U3518" s="284" t="e">
        <f>(IF(Tabla4[[#This Row],[Familia]]="termico solar",Tabla4[[#This Row],[Utilidad Total]]*6%,Tabla4[[#This Row],[Utilidad Total]]*11.5%))/Tabla4[[#This Row],[Total]]</f>
        <v>#N/A</v>
      </c>
      <c r="V3518" s="282" t="e">
        <f>+Tabla4[[#This Row],[Comisión Calculada]]*Tabla4[[#This Row],[Total]]</f>
        <v>#N/A</v>
      </c>
    </row>
    <row r="3519" spans="1:22" hidden="1" x14ac:dyDescent="0.25">
      <c r="A3519" s="100">
        <v>45823</v>
      </c>
      <c r="B3519" t="str">
        <f t="shared" si="163"/>
        <v>June</v>
      </c>
      <c r="C3519" s="46" t="s">
        <v>280</v>
      </c>
      <c r="F3519" s="366" t="s">
        <v>2070</v>
      </c>
      <c r="G3519" s="46" t="s">
        <v>208</v>
      </c>
      <c r="H3519" s="46">
        <v>1</v>
      </c>
      <c r="I3519" s="51">
        <v>189.75</v>
      </c>
      <c r="J3519" s="281">
        <f>++Tabla4[[#This Row],[Precio Bruto]]*1.16</f>
        <v>220.10999999999999</v>
      </c>
      <c r="K3519" s="281">
        <f>+Tabla4[[#This Row],[Precio Unitario Neto]]*Tabla4[[#Headers],[20.85%]]</f>
        <v>45.892934999999994</v>
      </c>
      <c r="L3519" s="282">
        <f>++Tabla4[[#This Row],[Precio Unitario Neto]]-Tabla4[[#This Row],[20.85%]]</f>
        <v>174.21706499999999</v>
      </c>
      <c r="M3519" s="282" t="e">
        <f>(INDEX(Tabla6[#All],MATCH(Tabla4[[#This Row],[Producto]],Tabla6[[#All],[PRODUCTO]],0),MATCH(Tabla4[[#This Row],[Mes]],Tabla6[#Headers],0)))*(1+Catalogos!$L$2)</f>
        <v>#N/A</v>
      </c>
      <c r="N3519" s="283" t="e">
        <f>+(Tabla4[[#This Row],[Precio Descontado]]-Tabla4[[#This Row],[Precio Base]])*Tabla4[[#This Row],[Cantidad]]</f>
        <v>#N/A</v>
      </c>
      <c r="O3519" s="284" t="e">
        <f>++Tabla4[[#This Row],[Utilidad Total]]/Tabla4[[#This Row],[Total]]</f>
        <v>#N/A</v>
      </c>
      <c r="P3519" s="282">
        <f>++Tabla4[[#This Row],[Precio Descontado]]*Tabla4[[#This Row],[Cantidad]]</f>
        <v>174.21706499999999</v>
      </c>
      <c r="Q3519" s="282" t="e">
        <f>(INDEX(Tabla6[#All],MATCH(Tabla4[[#This Row],[Producto]],Tabla6[[#All],[PRODUCTO]],0),MATCH(Tabla4[[#This Row],[Mes]],Tabla6[#Headers],0)))</f>
        <v>#N/A</v>
      </c>
      <c r="R3519" s="282" t="e">
        <f>++Tabla4[[#This Row],[Precio Unitario Neto]]-Tabla4[[#This Row],[20.85%]]-Tabla4[[#This Row],[Costo]]</f>
        <v>#N/A</v>
      </c>
      <c r="S3519" s="282" t="e">
        <f>++Tabla4[[#This Row],[U. Bruta Uni]]*Tabla4[[#This Row],[Cantidad]]</f>
        <v>#N/A</v>
      </c>
      <c r="T3519" s="369" t="str">
        <f>VLOOKUP(Tabla4[[#This Row],[Producto]],Tabla6[#All],14,FALSE)</f>
        <v>Termico Solar</v>
      </c>
      <c r="U3519" s="284" t="e">
        <f>(IF(Tabla4[[#This Row],[Familia]]="termico solar",Tabla4[[#This Row],[Utilidad Total]]*6%,Tabla4[[#This Row],[Utilidad Total]]*11.5%))/Tabla4[[#This Row],[Total]]</f>
        <v>#N/A</v>
      </c>
      <c r="V3519" s="282" t="e">
        <f>+Tabla4[[#This Row],[Comisión Calculada]]*Tabla4[[#This Row],[Total]]</f>
        <v>#N/A</v>
      </c>
    </row>
    <row r="3520" spans="1:22" hidden="1" x14ac:dyDescent="0.25">
      <c r="A3520" s="100">
        <v>45823</v>
      </c>
      <c r="B3520" t="str">
        <f t="shared" si="163"/>
        <v>June</v>
      </c>
      <c r="C3520" s="46" t="s">
        <v>280</v>
      </c>
      <c r="F3520" s="366" t="s">
        <v>2071</v>
      </c>
      <c r="G3520" s="46" t="s">
        <v>17</v>
      </c>
      <c r="H3520" s="46">
        <v>1</v>
      </c>
      <c r="I3520" s="51">
        <v>4622.28</v>
      </c>
      <c r="J3520" s="281">
        <f>++Tabla4[[#This Row],[Precio Bruto]]*1.16</f>
        <v>5361.8447999999989</v>
      </c>
      <c r="K3520" s="281">
        <f>+Tabla4[[#This Row],[Precio Unitario Neto]]*Tabla4[[#Headers],[20.85%]]</f>
        <v>1117.9446407999997</v>
      </c>
      <c r="L3520" s="282">
        <f>++Tabla4[[#This Row],[Precio Unitario Neto]]-Tabla4[[#This Row],[20.85%]]</f>
        <v>4243.9001591999995</v>
      </c>
      <c r="M3520" s="282" t="e">
        <f>(INDEX(Tabla6[#All],MATCH(Tabla4[[#This Row],[Producto]],Tabla6[[#All],[PRODUCTO]],0),MATCH(Tabla4[[#This Row],[Mes]],Tabla6[#Headers],0)))*(1+Catalogos!$L$2)</f>
        <v>#N/A</v>
      </c>
      <c r="N3520" s="283" t="e">
        <f>+(Tabla4[[#This Row],[Precio Descontado]]-Tabla4[[#This Row],[Precio Base]])*Tabla4[[#This Row],[Cantidad]]</f>
        <v>#N/A</v>
      </c>
      <c r="O3520" s="284" t="e">
        <f>++Tabla4[[#This Row],[Utilidad Total]]/Tabla4[[#This Row],[Total]]</f>
        <v>#N/A</v>
      </c>
      <c r="P3520" s="282">
        <f>++Tabla4[[#This Row],[Precio Descontado]]*Tabla4[[#This Row],[Cantidad]]</f>
        <v>4243.9001591999995</v>
      </c>
      <c r="Q3520" s="282" t="e">
        <f>(INDEX(Tabla6[#All],MATCH(Tabla4[[#This Row],[Producto]],Tabla6[[#All],[PRODUCTO]],0),MATCH(Tabla4[[#This Row],[Mes]],Tabla6[#Headers],0)))</f>
        <v>#N/A</v>
      </c>
      <c r="R3520" s="282" t="e">
        <f>++Tabla4[[#This Row],[Precio Unitario Neto]]-Tabla4[[#This Row],[20.85%]]-Tabla4[[#This Row],[Costo]]</f>
        <v>#N/A</v>
      </c>
      <c r="S3520" s="282" t="e">
        <f>++Tabla4[[#This Row],[U. Bruta Uni]]*Tabla4[[#This Row],[Cantidad]]</f>
        <v>#N/A</v>
      </c>
      <c r="T3520" s="369" t="str">
        <f>VLOOKUP(Tabla4[[#This Row],[Producto]],Tabla6[#All],14,FALSE)</f>
        <v>Termico Solar</v>
      </c>
      <c r="U3520" s="284" t="e">
        <f>(IF(Tabla4[[#This Row],[Familia]]="termico solar",Tabla4[[#This Row],[Utilidad Total]]*6%,Tabla4[[#This Row],[Utilidad Total]]*11.5%))/Tabla4[[#This Row],[Total]]</f>
        <v>#N/A</v>
      </c>
      <c r="V3520" s="282" t="e">
        <f>+Tabla4[[#This Row],[Comisión Calculada]]*Tabla4[[#This Row],[Total]]</f>
        <v>#N/A</v>
      </c>
    </row>
    <row r="3521" spans="1:22" hidden="1" x14ac:dyDescent="0.25">
      <c r="A3521" s="100">
        <v>45823</v>
      </c>
      <c r="B3521" t="str">
        <f t="shared" si="163"/>
        <v>June</v>
      </c>
      <c r="C3521" s="46" t="s">
        <v>280</v>
      </c>
      <c r="F3521" s="366" t="s">
        <v>2072</v>
      </c>
      <c r="G3521" s="46" t="s">
        <v>17</v>
      </c>
      <c r="H3521" s="46">
        <v>1</v>
      </c>
      <c r="I3521" s="51">
        <v>4622.28</v>
      </c>
      <c r="J3521" s="281">
        <f>++Tabla4[[#This Row],[Precio Bruto]]*1.16</f>
        <v>5361.8447999999989</v>
      </c>
      <c r="K3521" s="281">
        <f>+Tabla4[[#This Row],[Precio Unitario Neto]]*Tabla4[[#Headers],[20.85%]]</f>
        <v>1117.9446407999997</v>
      </c>
      <c r="L3521" s="282">
        <f>++Tabla4[[#This Row],[Precio Unitario Neto]]-Tabla4[[#This Row],[20.85%]]</f>
        <v>4243.9001591999995</v>
      </c>
      <c r="M3521" s="282" t="e">
        <f>(INDEX(Tabla6[#All],MATCH(Tabla4[[#This Row],[Producto]],Tabla6[[#All],[PRODUCTO]],0),MATCH(Tabla4[[#This Row],[Mes]],Tabla6[#Headers],0)))*(1+Catalogos!$L$2)</f>
        <v>#N/A</v>
      </c>
      <c r="N3521" s="283" t="e">
        <f>+(Tabla4[[#This Row],[Precio Descontado]]-Tabla4[[#This Row],[Precio Base]])*Tabla4[[#This Row],[Cantidad]]</f>
        <v>#N/A</v>
      </c>
      <c r="O3521" s="284" t="e">
        <f>++Tabla4[[#This Row],[Utilidad Total]]/Tabla4[[#This Row],[Total]]</f>
        <v>#N/A</v>
      </c>
      <c r="P3521" s="282">
        <f>++Tabla4[[#This Row],[Precio Descontado]]*Tabla4[[#This Row],[Cantidad]]</f>
        <v>4243.9001591999995</v>
      </c>
      <c r="Q3521" s="282" t="e">
        <f>(INDEX(Tabla6[#All],MATCH(Tabla4[[#This Row],[Producto]],Tabla6[[#All],[PRODUCTO]],0),MATCH(Tabla4[[#This Row],[Mes]],Tabla6[#Headers],0)))</f>
        <v>#N/A</v>
      </c>
      <c r="R3521" s="282" t="e">
        <f>++Tabla4[[#This Row],[Precio Unitario Neto]]-Tabla4[[#This Row],[20.85%]]-Tabla4[[#This Row],[Costo]]</f>
        <v>#N/A</v>
      </c>
      <c r="S3521" s="282" t="e">
        <f>++Tabla4[[#This Row],[U. Bruta Uni]]*Tabla4[[#This Row],[Cantidad]]</f>
        <v>#N/A</v>
      </c>
      <c r="T3521" s="369" t="str">
        <f>VLOOKUP(Tabla4[[#This Row],[Producto]],Tabla6[#All],14,FALSE)</f>
        <v>Termico Solar</v>
      </c>
      <c r="U3521" s="284" t="e">
        <f>(IF(Tabla4[[#This Row],[Familia]]="termico solar",Tabla4[[#This Row],[Utilidad Total]]*6%,Tabla4[[#This Row],[Utilidad Total]]*11.5%))/Tabla4[[#This Row],[Total]]</f>
        <v>#N/A</v>
      </c>
      <c r="V3521" s="282" t="e">
        <f>+Tabla4[[#This Row],[Comisión Calculada]]*Tabla4[[#This Row],[Total]]</f>
        <v>#N/A</v>
      </c>
    </row>
    <row r="3522" spans="1:22" hidden="1" x14ac:dyDescent="0.25">
      <c r="A3522" s="100">
        <v>45823</v>
      </c>
      <c r="B3522" t="str">
        <f t="shared" si="163"/>
        <v>June</v>
      </c>
      <c r="C3522" s="46" t="s">
        <v>280</v>
      </c>
      <c r="F3522" s="366" t="s">
        <v>2073</v>
      </c>
      <c r="G3522" s="46" t="s">
        <v>566</v>
      </c>
      <c r="H3522" s="46">
        <v>1</v>
      </c>
      <c r="I3522" s="51">
        <v>2109.4499999999998</v>
      </c>
      <c r="J3522" s="281">
        <f>++Tabla4[[#This Row],[Precio Bruto]]*1.16</f>
        <v>2446.9619999999995</v>
      </c>
      <c r="K3522" s="281">
        <f>+Tabla4[[#This Row],[Precio Unitario Neto]]*Tabla4[[#Headers],[20.85%]]</f>
        <v>510.19157699999988</v>
      </c>
      <c r="L3522" s="282">
        <f>++Tabla4[[#This Row],[Precio Unitario Neto]]-Tabla4[[#This Row],[20.85%]]</f>
        <v>1936.7704229999997</v>
      </c>
      <c r="M3522" s="282" t="e">
        <f>(INDEX(Tabla6[#All],MATCH(Tabla4[[#This Row],[Producto]],Tabla6[[#All],[PRODUCTO]],0),MATCH(Tabla4[[#This Row],[Mes]],Tabla6[#Headers],0)))*(1+Catalogos!$L$2)</f>
        <v>#N/A</v>
      </c>
      <c r="N3522" s="283" t="e">
        <f>+(Tabla4[[#This Row],[Precio Descontado]]-Tabla4[[#This Row],[Precio Base]])*Tabla4[[#This Row],[Cantidad]]</f>
        <v>#N/A</v>
      </c>
      <c r="O3522" s="284" t="e">
        <f>++Tabla4[[#This Row],[Utilidad Total]]/Tabla4[[#This Row],[Total]]</f>
        <v>#N/A</v>
      </c>
      <c r="P3522" s="282">
        <f>++Tabla4[[#This Row],[Precio Descontado]]*Tabla4[[#This Row],[Cantidad]]</f>
        <v>1936.7704229999997</v>
      </c>
      <c r="Q3522" s="282" t="e">
        <f>(INDEX(Tabla6[#All],MATCH(Tabla4[[#This Row],[Producto]],Tabla6[[#All],[PRODUCTO]],0),MATCH(Tabla4[[#This Row],[Mes]],Tabla6[#Headers],0)))</f>
        <v>#N/A</v>
      </c>
      <c r="R3522" s="282" t="e">
        <f>++Tabla4[[#This Row],[Precio Unitario Neto]]-Tabla4[[#This Row],[20.85%]]-Tabla4[[#This Row],[Costo]]</f>
        <v>#N/A</v>
      </c>
      <c r="S3522" s="282" t="e">
        <f>++Tabla4[[#This Row],[U. Bruta Uni]]*Tabla4[[#This Row],[Cantidad]]</f>
        <v>#N/A</v>
      </c>
      <c r="T3522" s="369" t="str">
        <f>VLOOKUP(Tabla4[[#This Row],[Producto]],Tabla6[#All],14,FALSE)</f>
        <v>Termico Solar</v>
      </c>
      <c r="U3522" s="284" t="e">
        <f>(IF(Tabla4[[#This Row],[Familia]]="termico solar",Tabla4[[#This Row],[Utilidad Total]]*6%,Tabla4[[#This Row],[Utilidad Total]]*11.5%))/Tabla4[[#This Row],[Total]]</f>
        <v>#N/A</v>
      </c>
      <c r="V3522" s="282" t="e">
        <f>+Tabla4[[#This Row],[Comisión Calculada]]*Tabla4[[#This Row],[Total]]</f>
        <v>#N/A</v>
      </c>
    </row>
    <row r="3523" spans="1:22" hidden="1" x14ac:dyDescent="0.25">
      <c r="A3523" s="100">
        <v>45823</v>
      </c>
      <c r="B3523" t="str">
        <f t="shared" si="163"/>
        <v>June</v>
      </c>
      <c r="C3523" s="46" t="s">
        <v>280</v>
      </c>
      <c r="F3523" s="366" t="s">
        <v>2073</v>
      </c>
      <c r="G3523" s="46" t="s">
        <v>394</v>
      </c>
      <c r="H3523" s="46">
        <v>9</v>
      </c>
      <c r="I3523" s="51">
        <v>108.1</v>
      </c>
      <c r="J3523" s="281">
        <f>++Tabla4[[#This Row],[Precio Bruto]]*1.16</f>
        <v>125.39599999999999</v>
      </c>
      <c r="K3523" s="281">
        <f>+Tabla4[[#This Row],[Precio Unitario Neto]]*Tabla4[[#Headers],[20.85%]]</f>
        <v>26.145065999999996</v>
      </c>
      <c r="L3523" s="282">
        <f>++Tabla4[[#This Row],[Precio Unitario Neto]]-Tabla4[[#This Row],[20.85%]]</f>
        <v>99.250933999999987</v>
      </c>
      <c r="M3523" s="282" t="e">
        <f>(INDEX(Tabla6[#All],MATCH(Tabla4[[#This Row],[Producto]],Tabla6[[#All],[PRODUCTO]],0),MATCH(Tabla4[[#This Row],[Mes]],Tabla6[#Headers],0)))*(1+Catalogos!$L$2)</f>
        <v>#N/A</v>
      </c>
      <c r="N3523" s="283" t="e">
        <f>+(Tabla4[[#This Row],[Precio Descontado]]-Tabla4[[#This Row],[Precio Base]])*Tabla4[[#This Row],[Cantidad]]</f>
        <v>#N/A</v>
      </c>
      <c r="O3523" s="284" t="e">
        <f>++Tabla4[[#This Row],[Utilidad Total]]/Tabla4[[#This Row],[Total]]</f>
        <v>#N/A</v>
      </c>
      <c r="P3523" s="282">
        <f>++Tabla4[[#This Row],[Precio Descontado]]*Tabla4[[#This Row],[Cantidad]]</f>
        <v>893.25840599999992</v>
      </c>
      <c r="Q3523" s="282" t="e">
        <f>(INDEX(Tabla6[#All],MATCH(Tabla4[[#This Row],[Producto]],Tabla6[[#All],[PRODUCTO]],0),MATCH(Tabla4[[#This Row],[Mes]],Tabla6[#Headers],0)))</f>
        <v>#N/A</v>
      </c>
      <c r="R3523" s="282" t="e">
        <f>++Tabla4[[#This Row],[Precio Unitario Neto]]-Tabla4[[#This Row],[20.85%]]-Tabla4[[#This Row],[Costo]]</f>
        <v>#N/A</v>
      </c>
      <c r="S3523" s="282" t="e">
        <f>++Tabla4[[#This Row],[U. Bruta Uni]]*Tabla4[[#This Row],[Cantidad]]</f>
        <v>#N/A</v>
      </c>
      <c r="T3523" s="369" t="str">
        <f>VLOOKUP(Tabla4[[#This Row],[Producto]],Tabla6[#All],14,FALSE)</f>
        <v>Termico Solar</v>
      </c>
      <c r="U3523" s="284" t="e">
        <f>(IF(Tabla4[[#This Row],[Familia]]="termico solar",Tabla4[[#This Row],[Utilidad Total]]*6%,Tabla4[[#This Row],[Utilidad Total]]*11.5%))/Tabla4[[#This Row],[Total]]</f>
        <v>#N/A</v>
      </c>
      <c r="V3523" s="282" t="e">
        <f>+Tabla4[[#This Row],[Comisión Calculada]]*Tabla4[[#This Row],[Total]]</f>
        <v>#N/A</v>
      </c>
    </row>
    <row r="3524" spans="1:22" hidden="1" x14ac:dyDescent="0.25">
      <c r="A3524" s="100">
        <v>45823</v>
      </c>
      <c r="B3524" t="str">
        <f t="shared" si="163"/>
        <v>June</v>
      </c>
      <c r="C3524" s="46" t="s">
        <v>280</v>
      </c>
      <c r="F3524" s="366" t="s">
        <v>2074</v>
      </c>
      <c r="G3524" s="46" t="s">
        <v>83</v>
      </c>
      <c r="H3524" s="46">
        <v>5</v>
      </c>
      <c r="I3524" s="51">
        <v>8858.76</v>
      </c>
      <c r="J3524" s="281">
        <f>++Tabla4[[#This Row],[Precio Bruto]]*1.16</f>
        <v>10276.161599999999</v>
      </c>
      <c r="K3524" s="281">
        <f>+Tabla4[[#This Row],[Precio Unitario Neto]]*Tabla4[[#Headers],[20.85%]]</f>
        <v>2142.5796935999997</v>
      </c>
      <c r="L3524" s="282">
        <f>++Tabla4[[#This Row],[Precio Unitario Neto]]-Tabla4[[#This Row],[20.85%]]</f>
        <v>8133.5819063999998</v>
      </c>
      <c r="M3524" s="282" t="e">
        <f>(INDEX(Tabla6[#All],MATCH(Tabla4[[#This Row],[Producto]],Tabla6[[#All],[PRODUCTO]],0),MATCH(Tabla4[[#This Row],[Mes]],Tabla6[#Headers],0)))*(1+Catalogos!$L$2)</f>
        <v>#N/A</v>
      </c>
      <c r="N3524" s="283" t="e">
        <f>+(Tabla4[[#This Row],[Precio Descontado]]-Tabla4[[#This Row],[Precio Base]])*Tabla4[[#This Row],[Cantidad]]</f>
        <v>#N/A</v>
      </c>
      <c r="O3524" s="284" t="e">
        <f>++Tabla4[[#This Row],[Utilidad Total]]/Tabla4[[#This Row],[Total]]</f>
        <v>#N/A</v>
      </c>
      <c r="P3524" s="282">
        <f>++Tabla4[[#This Row],[Precio Descontado]]*Tabla4[[#This Row],[Cantidad]]</f>
        <v>40667.909531999998</v>
      </c>
      <c r="Q3524" s="282" t="e">
        <f>(INDEX(Tabla6[#All],MATCH(Tabla4[[#This Row],[Producto]],Tabla6[[#All],[PRODUCTO]],0),MATCH(Tabla4[[#This Row],[Mes]],Tabla6[#Headers],0)))</f>
        <v>#N/A</v>
      </c>
      <c r="R3524" s="282" t="e">
        <f>++Tabla4[[#This Row],[Precio Unitario Neto]]-Tabla4[[#This Row],[20.85%]]-Tabla4[[#This Row],[Costo]]</f>
        <v>#N/A</v>
      </c>
      <c r="S3524" s="282" t="e">
        <f>++Tabla4[[#This Row],[U. Bruta Uni]]*Tabla4[[#This Row],[Cantidad]]</f>
        <v>#N/A</v>
      </c>
      <c r="T3524" s="369" t="str">
        <f>VLOOKUP(Tabla4[[#This Row],[Producto]],Tabla6[#All],14,FALSE)</f>
        <v>Termico Solar</v>
      </c>
      <c r="U3524" s="284" t="e">
        <f>(IF(Tabla4[[#This Row],[Familia]]="termico solar",Tabla4[[#This Row],[Utilidad Total]]*6%,Tabla4[[#This Row],[Utilidad Total]]*11.5%))/Tabla4[[#This Row],[Total]]</f>
        <v>#N/A</v>
      </c>
      <c r="V3524" s="282" t="e">
        <f>+Tabla4[[#This Row],[Comisión Calculada]]*Tabla4[[#This Row],[Total]]</f>
        <v>#N/A</v>
      </c>
    </row>
    <row r="3525" spans="1:22" hidden="1" x14ac:dyDescent="0.25">
      <c r="A3525" s="100">
        <v>45823</v>
      </c>
      <c r="B3525" t="str">
        <f t="shared" si="163"/>
        <v>June</v>
      </c>
      <c r="C3525" s="46" t="s">
        <v>280</v>
      </c>
      <c r="F3525" s="366" t="s">
        <v>2074</v>
      </c>
      <c r="G3525" s="46" t="s">
        <v>17</v>
      </c>
      <c r="H3525" s="46">
        <v>2</v>
      </c>
      <c r="I3525" s="51">
        <v>4622.28</v>
      </c>
      <c r="J3525" s="281">
        <f>++Tabla4[[#This Row],[Precio Bruto]]*1.16</f>
        <v>5361.8447999999989</v>
      </c>
      <c r="K3525" s="281">
        <f>+Tabla4[[#This Row],[Precio Unitario Neto]]*Tabla4[[#Headers],[20.85%]]</f>
        <v>1117.9446407999997</v>
      </c>
      <c r="L3525" s="282">
        <f>++Tabla4[[#This Row],[Precio Unitario Neto]]-Tabla4[[#This Row],[20.85%]]</f>
        <v>4243.9001591999995</v>
      </c>
      <c r="M3525" s="282" t="e">
        <f>(INDEX(Tabla6[#All],MATCH(Tabla4[[#This Row],[Producto]],Tabla6[[#All],[PRODUCTO]],0),MATCH(Tabla4[[#This Row],[Mes]],Tabla6[#Headers],0)))*(1+Catalogos!$L$2)</f>
        <v>#N/A</v>
      </c>
      <c r="N3525" s="283" t="e">
        <f>+(Tabla4[[#This Row],[Precio Descontado]]-Tabla4[[#This Row],[Precio Base]])*Tabla4[[#This Row],[Cantidad]]</f>
        <v>#N/A</v>
      </c>
      <c r="O3525" s="284" t="e">
        <f>++Tabla4[[#This Row],[Utilidad Total]]/Tabla4[[#This Row],[Total]]</f>
        <v>#N/A</v>
      </c>
      <c r="P3525" s="282">
        <f>++Tabla4[[#This Row],[Precio Descontado]]*Tabla4[[#This Row],[Cantidad]]</f>
        <v>8487.800318399999</v>
      </c>
      <c r="Q3525" s="282" t="e">
        <f>(INDEX(Tabla6[#All],MATCH(Tabla4[[#This Row],[Producto]],Tabla6[[#All],[PRODUCTO]],0),MATCH(Tabla4[[#This Row],[Mes]],Tabla6[#Headers],0)))</f>
        <v>#N/A</v>
      </c>
      <c r="R3525" s="282" t="e">
        <f>++Tabla4[[#This Row],[Precio Unitario Neto]]-Tabla4[[#This Row],[20.85%]]-Tabla4[[#This Row],[Costo]]</f>
        <v>#N/A</v>
      </c>
      <c r="S3525" s="282" t="e">
        <f>++Tabla4[[#This Row],[U. Bruta Uni]]*Tabla4[[#This Row],[Cantidad]]</f>
        <v>#N/A</v>
      </c>
      <c r="T3525" s="369" t="str">
        <f>VLOOKUP(Tabla4[[#This Row],[Producto]],Tabla6[#All],14,FALSE)</f>
        <v>Termico Solar</v>
      </c>
      <c r="U3525" s="284" t="e">
        <f>(IF(Tabla4[[#This Row],[Familia]]="termico solar",Tabla4[[#This Row],[Utilidad Total]]*6%,Tabla4[[#This Row],[Utilidad Total]]*11.5%))/Tabla4[[#This Row],[Total]]</f>
        <v>#N/A</v>
      </c>
      <c r="V3525" s="282" t="e">
        <f>+Tabla4[[#This Row],[Comisión Calculada]]*Tabla4[[#This Row],[Total]]</f>
        <v>#N/A</v>
      </c>
    </row>
    <row r="3526" spans="1:22" hidden="1" x14ac:dyDescent="0.25">
      <c r="A3526" s="100">
        <v>45823</v>
      </c>
      <c r="B3526" t="str">
        <f t="shared" si="163"/>
        <v>June</v>
      </c>
      <c r="C3526" s="46" t="s">
        <v>280</v>
      </c>
      <c r="F3526" s="366" t="s">
        <v>2074</v>
      </c>
      <c r="G3526" s="46" t="s">
        <v>18</v>
      </c>
      <c r="H3526" s="46">
        <v>2</v>
      </c>
      <c r="I3526" s="51">
        <v>5367.65</v>
      </c>
      <c r="J3526" s="281">
        <f>++Tabla4[[#This Row],[Precio Bruto]]*1.16</f>
        <v>6226.4739999999993</v>
      </c>
      <c r="K3526" s="281">
        <f>+Tabla4[[#This Row],[Precio Unitario Neto]]*Tabla4[[#Headers],[20.85%]]</f>
        <v>1298.2198289999999</v>
      </c>
      <c r="L3526" s="282">
        <f>++Tabla4[[#This Row],[Precio Unitario Neto]]-Tabla4[[#This Row],[20.85%]]</f>
        <v>4928.2541709999996</v>
      </c>
      <c r="M3526" s="282" t="e">
        <f>(INDEX(Tabla6[#All],MATCH(Tabla4[[#This Row],[Producto]],Tabla6[[#All],[PRODUCTO]],0),MATCH(Tabla4[[#This Row],[Mes]],Tabla6[#Headers],0)))*(1+Catalogos!$L$2)</f>
        <v>#N/A</v>
      </c>
      <c r="N3526" s="283" t="e">
        <f>+(Tabla4[[#This Row],[Precio Descontado]]-Tabla4[[#This Row],[Precio Base]])*Tabla4[[#This Row],[Cantidad]]</f>
        <v>#N/A</v>
      </c>
      <c r="O3526" s="284" t="e">
        <f>++Tabla4[[#This Row],[Utilidad Total]]/Tabla4[[#This Row],[Total]]</f>
        <v>#N/A</v>
      </c>
      <c r="P3526" s="282">
        <f>++Tabla4[[#This Row],[Precio Descontado]]*Tabla4[[#This Row],[Cantidad]]</f>
        <v>9856.5083419999992</v>
      </c>
      <c r="Q3526" s="282" t="e">
        <f>(INDEX(Tabla6[#All],MATCH(Tabla4[[#This Row],[Producto]],Tabla6[[#All],[PRODUCTO]],0),MATCH(Tabla4[[#This Row],[Mes]],Tabla6[#Headers],0)))</f>
        <v>#N/A</v>
      </c>
      <c r="R3526" s="282" t="e">
        <f>++Tabla4[[#This Row],[Precio Unitario Neto]]-Tabla4[[#This Row],[20.85%]]-Tabla4[[#This Row],[Costo]]</f>
        <v>#N/A</v>
      </c>
      <c r="S3526" s="282" t="e">
        <f>++Tabla4[[#This Row],[U. Bruta Uni]]*Tabla4[[#This Row],[Cantidad]]</f>
        <v>#N/A</v>
      </c>
      <c r="T3526" s="369" t="str">
        <f>VLOOKUP(Tabla4[[#This Row],[Producto]],Tabla6[#All],14,FALSE)</f>
        <v>Termico Solar</v>
      </c>
      <c r="U3526" s="284" t="e">
        <f>(IF(Tabla4[[#This Row],[Familia]]="termico solar",Tabla4[[#This Row],[Utilidad Total]]*6%,Tabla4[[#This Row],[Utilidad Total]]*11.5%))/Tabla4[[#This Row],[Total]]</f>
        <v>#N/A</v>
      </c>
      <c r="V3526" s="282" t="e">
        <f>+Tabla4[[#This Row],[Comisión Calculada]]*Tabla4[[#This Row],[Total]]</f>
        <v>#N/A</v>
      </c>
    </row>
    <row r="3527" spans="1:22" hidden="1" x14ac:dyDescent="0.25">
      <c r="A3527" s="100">
        <v>45823</v>
      </c>
      <c r="B3527" t="str">
        <f t="shared" si="163"/>
        <v>June</v>
      </c>
      <c r="C3527" s="46" t="s">
        <v>280</v>
      </c>
      <c r="F3527" s="366" t="s">
        <v>2074</v>
      </c>
      <c r="G3527" s="46" t="s">
        <v>394</v>
      </c>
      <c r="H3527" s="46">
        <v>16</v>
      </c>
      <c r="I3527" s="51">
        <v>224.29</v>
      </c>
      <c r="J3527" s="281">
        <f>++Tabla4[[#This Row],[Precio Bruto]]*1.16</f>
        <v>260.1764</v>
      </c>
      <c r="K3527" s="281">
        <f>+Tabla4[[#This Row],[Precio Unitario Neto]]*Tabla4[[#Headers],[20.85%]]</f>
        <v>54.246779400000001</v>
      </c>
      <c r="L3527" s="282">
        <f>++Tabla4[[#This Row],[Precio Unitario Neto]]-Tabla4[[#This Row],[20.85%]]</f>
        <v>205.92962059999999</v>
      </c>
      <c r="M3527" s="282" t="e">
        <f>(INDEX(Tabla6[#All],MATCH(Tabla4[[#This Row],[Producto]],Tabla6[[#All],[PRODUCTO]],0),MATCH(Tabla4[[#This Row],[Mes]],Tabla6[#Headers],0)))*(1+Catalogos!$L$2)</f>
        <v>#N/A</v>
      </c>
      <c r="N3527" s="283" t="e">
        <f>+(Tabla4[[#This Row],[Precio Descontado]]-Tabla4[[#This Row],[Precio Base]])*Tabla4[[#This Row],[Cantidad]]</f>
        <v>#N/A</v>
      </c>
      <c r="O3527" s="284" t="e">
        <f>++Tabla4[[#This Row],[Utilidad Total]]/Tabla4[[#This Row],[Total]]</f>
        <v>#N/A</v>
      </c>
      <c r="P3527" s="282">
        <f>++Tabla4[[#This Row],[Precio Descontado]]*Tabla4[[#This Row],[Cantidad]]</f>
        <v>3294.8739295999999</v>
      </c>
      <c r="Q3527" s="282" t="e">
        <f>(INDEX(Tabla6[#All],MATCH(Tabla4[[#This Row],[Producto]],Tabla6[[#All],[PRODUCTO]],0),MATCH(Tabla4[[#This Row],[Mes]],Tabla6[#Headers],0)))</f>
        <v>#N/A</v>
      </c>
      <c r="R3527" s="282" t="e">
        <f>++Tabla4[[#This Row],[Precio Unitario Neto]]-Tabla4[[#This Row],[20.85%]]-Tabla4[[#This Row],[Costo]]</f>
        <v>#N/A</v>
      </c>
      <c r="S3527" s="282" t="e">
        <f>++Tabla4[[#This Row],[U. Bruta Uni]]*Tabla4[[#This Row],[Cantidad]]</f>
        <v>#N/A</v>
      </c>
      <c r="T3527" s="369" t="str">
        <f>VLOOKUP(Tabla4[[#This Row],[Producto]],Tabla6[#All],14,FALSE)</f>
        <v>Termico Solar</v>
      </c>
      <c r="U3527" s="284" t="e">
        <f>(IF(Tabla4[[#This Row],[Familia]]="termico solar",Tabla4[[#This Row],[Utilidad Total]]*6%,Tabla4[[#This Row],[Utilidad Total]]*11.5%))/Tabla4[[#This Row],[Total]]</f>
        <v>#N/A</v>
      </c>
      <c r="V3527" s="282" t="e">
        <f>+Tabla4[[#This Row],[Comisión Calculada]]*Tabla4[[#This Row],[Total]]</f>
        <v>#N/A</v>
      </c>
    </row>
    <row r="3528" spans="1:22" hidden="1" x14ac:dyDescent="0.25">
      <c r="A3528" s="100">
        <v>45823</v>
      </c>
      <c r="B3528" t="str">
        <f t="shared" si="163"/>
        <v>June</v>
      </c>
      <c r="C3528" s="46" t="s">
        <v>280</v>
      </c>
      <c r="F3528" s="366" t="s">
        <v>2075</v>
      </c>
      <c r="G3528" s="46" t="s">
        <v>83</v>
      </c>
      <c r="H3528" s="46">
        <v>2</v>
      </c>
      <c r="I3528" s="51">
        <v>8858.76</v>
      </c>
      <c r="J3528" s="281">
        <f>++Tabla4[[#This Row],[Precio Bruto]]*1.16</f>
        <v>10276.161599999999</v>
      </c>
      <c r="K3528" s="281">
        <f>+Tabla4[[#This Row],[Precio Unitario Neto]]*Tabla4[[#Headers],[20.85%]]</f>
        <v>2142.5796935999997</v>
      </c>
      <c r="L3528" s="282">
        <f>++Tabla4[[#This Row],[Precio Unitario Neto]]-Tabla4[[#This Row],[20.85%]]</f>
        <v>8133.5819063999998</v>
      </c>
      <c r="M3528" s="282" t="e">
        <f>(INDEX(Tabla6[#All],MATCH(Tabla4[[#This Row],[Producto]],Tabla6[[#All],[PRODUCTO]],0),MATCH(Tabla4[[#This Row],[Mes]],Tabla6[#Headers],0)))*(1+Catalogos!$L$2)</f>
        <v>#N/A</v>
      </c>
      <c r="N3528" s="283" t="e">
        <f>+(Tabla4[[#This Row],[Precio Descontado]]-Tabla4[[#This Row],[Precio Base]])*Tabla4[[#This Row],[Cantidad]]</f>
        <v>#N/A</v>
      </c>
      <c r="O3528" s="284" t="e">
        <f>++Tabla4[[#This Row],[Utilidad Total]]/Tabla4[[#This Row],[Total]]</f>
        <v>#N/A</v>
      </c>
      <c r="P3528" s="282">
        <f>++Tabla4[[#This Row],[Precio Descontado]]*Tabla4[[#This Row],[Cantidad]]</f>
        <v>16267.1638128</v>
      </c>
      <c r="Q3528" s="282" t="e">
        <f>(INDEX(Tabla6[#All],MATCH(Tabla4[[#This Row],[Producto]],Tabla6[[#All],[PRODUCTO]],0),MATCH(Tabla4[[#This Row],[Mes]],Tabla6[#Headers],0)))</f>
        <v>#N/A</v>
      </c>
      <c r="R3528" s="282" t="e">
        <f>++Tabla4[[#This Row],[Precio Unitario Neto]]-Tabla4[[#This Row],[20.85%]]-Tabla4[[#This Row],[Costo]]</f>
        <v>#N/A</v>
      </c>
      <c r="S3528" s="282" t="e">
        <f>++Tabla4[[#This Row],[U. Bruta Uni]]*Tabla4[[#This Row],[Cantidad]]</f>
        <v>#N/A</v>
      </c>
      <c r="T3528" s="369" t="str">
        <f>VLOOKUP(Tabla4[[#This Row],[Producto]],Tabla6[#All],14,FALSE)</f>
        <v>Termico Solar</v>
      </c>
      <c r="U3528" s="284" t="e">
        <f>(IF(Tabla4[[#This Row],[Familia]]="termico solar",Tabla4[[#This Row],[Utilidad Total]]*6%,Tabla4[[#This Row],[Utilidad Total]]*11.5%))/Tabla4[[#This Row],[Total]]</f>
        <v>#N/A</v>
      </c>
      <c r="V3528" s="282" t="e">
        <f>+Tabla4[[#This Row],[Comisión Calculada]]*Tabla4[[#This Row],[Total]]</f>
        <v>#N/A</v>
      </c>
    </row>
    <row r="3529" spans="1:22" hidden="1" x14ac:dyDescent="0.25">
      <c r="A3529" s="100">
        <v>45823</v>
      </c>
      <c r="B3529" t="str">
        <f t="shared" si="163"/>
        <v>June</v>
      </c>
      <c r="C3529" s="46" t="s">
        <v>280</v>
      </c>
      <c r="F3529" s="366" t="s">
        <v>2075</v>
      </c>
      <c r="G3529" s="46" t="s">
        <v>17</v>
      </c>
      <c r="H3529" s="46">
        <v>7</v>
      </c>
      <c r="I3529" s="51">
        <v>4622.28</v>
      </c>
      <c r="J3529" s="281">
        <f>++Tabla4[[#This Row],[Precio Bruto]]*1.16</f>
        <v>5361.8447999999989</v>
      </c>
      <c r="K3529" s="281">
        <f>+Tabla4[[#This Row],[Precio Unitario Neto]]*Tabla4[[#Headers],[20.85%]]</f>
        <v>1117.9446407999997</v>
      </c>
      <c r="L3529" s="282">
        <f>++Tabla4[[#This Row],[Precio Unitario Neto]]-Tabla4[[#This Row],[20.85%]]</f>
        <v>4243.9001591999995</v>
      </c>
      <c r="M3529" s="282" t="e">
        <f>(INDEX(Tabla6[#All],MATCH(Tabla4[[#This Row],[Producto]],Tabla6[[#All],[PRODUCTO]],0),MATCH(Tabla4[[#This Row],[Mes]],Tabla6[#Headers],0)))*(1+Catalogos!$L$2)</f>
        <v>#N/A</v>
      </c>
      <c r="N3529" s="283" t="e">
        <f>+(Tabla4[[#This Row],[Precio Descontado]]-Tabla4[[#This Row],[Precio Base]])*Tabla4[[#This Row],[Cantidad]]</f>
        <v>#N/A</v>
      </c>
      <c r="O3529" s="284" t="e">
        <f>++Tabla4[[#This Row],[Utilidad Total]]/Tabla4[[#This Row],[Total]]</f>
        <v>#N/A</v>
      </c>
      <c r="P3529" s="282">
        <f>++Tabla4[[#This Row],[Precio Descontado]]*Tabla4[[#This Row],[Cantidad]]</f>
        <v>29707.301114399997</v>
      </c>
      <c r="Q3529" s="282" t="e">
        <f>(INDEX(Tabla6[#All],MATCH(Tabla4[[#This Row],[Producto]],Tabla6[[#All],[PRODUCTO]],0),MATCH(Tabla4[[#This Row],[Mes]],Tabla6[#Headers],0)))</f>
        <v>#N/A</v>
      </c>
      <c r="R3529" s="282" t="e">
        <f>++Tabla4[[#This Row],[Precio Unitario Neto]]-Tabla4[[#This Row],[20.85%]]-Tabla4[[#This Row],[Costo]]</f>
        <v>#N/A</v>
      </c>
      <c r="S3529" s="282" t="e">
        <f>++Tabla4[[#This Row],[U. Bruta Uni]]*Tabla4[[#This Row],[Cantidad]]</f>
        <v>#N/A</v>
      </c>
      <c r="T3529" s="369" t="str">
        <f>VLOOKUP(Tabla4[[#This Row],[Producto]],Tabla6[#All],14,FALSE)</f>
        <v>Termico Solar</v>
      </c>
      <c r="U3529" s="284" t="e">
        <f>(IF(Tabla4[[#This Row],[Familia]]="termico solar",Tabla4[[#This Row],[Utilidad Total]]*6%,Tabla4[[#This Row],[Utilidad Total]]*11.5%))/Tabla4[[#This Row],[Total]]</f>
        <v>#N/A</v>
      </c>
      <c r="V3529" s="282" t="e">
        <f>+Tabla4[[#This Row],[Comisión Calculada]]*Tabla4[[#This Row],[Total]]</f>
        <v>#N/A</v>
      </c>
    </row>
    <row r="3530" spans="1:22" hidden="1" x14ac:dyDescent="0.25">
      <c r="A3530" s="100">
        <v>45823</v>
      </c>
      <c r="B3530" t="str">
        <f t="shared" si="163"/>
        <v>June</v>
      </c>
      <c r="C3530" s="46" t="s">
        <v>280</v>
      </c>
      <c r="F3530" s="366" t="s">
        <v>2076</v>
      </c>
      <c r="G3530" s="46" t="s">
        <v>83</v>
      </c>
      <c r="H3530" s="46">
        <v>2</v>
      </c>
      <c r="I3530" s="51">
        <v>8858.76</v>
      </c>
      <c r="J3530" s="281">
        <f>++Tabla4[[#This Row],[Precio Bruto]]*1.16</f>
        <v>10276.161599999999</v>
      </c>
      <c r="K3530" s="281">
        <f>+Tabla4[[#This Row],[Precio Unitario Neto]]*Tabla4[[#Headers],[20.85%]]</f>
        <v>2142.5796935999997</v>
      </c>
      <c r="L3530" s="282">
        <f>++Tabla4[[#This Row],[Precio Unitario Neto]]-Tabla4[[#This Row],[20.85%]]</f>
        <v>8133.5819063999998</v>
      </c>
      <c r="M3530" s="282" t="e">
        <f>(INDEX(Tabla6[#All],MATCH(Tabla4[[#This Row],[Producto]],Tabla6[[#All],[PRODUCTO]],0),MATCH(Tabla4[[#This Row],[Mes]],Tabla6[#Headers],0)))*(1+Catalogos!$L$2)</f>
        <v>#N/A</v>
      </c>
      <c r="N3530" s="283" t="e">
        <f>+(Tabla4[[#This Row],[Precio Descontado]]-Tabla4[[#This Row],[Precio Base]])*Tabla4[[#This Row],[Cantidad]]</f>
        <v>#N/A</v>
      </c>
      <c r="O3530" s="284" t="e">
        <f>++Tabla4[[#This Row],[Utilidad Total]]/Tabla4[[#This Row],[Total]]</f>
        <v>#N/A</v>
      </c>
      <c r="P3530" s="282">
        <f>++Tabla4[[#This Row],[Precio Descontado]]*Tabla4[[#This Row],[Cantidad]]</f>
        <v>16267.1638128</v>
      </c>
      <c r="Q3530" s="282" t="e">
        <f>(INDEX(Tabla6[#All],MATCH(Tabla4[[#This Row],[Producto]],Tabla6[[#All],[PRODUCTO]],0),MATCH(Tabla4[[#This Row],[Mes]],Tabla6[#Headers],0)))</f>
        <v>#N/A</v>
      </c>
      <c r="R3530" s="282" t="e">
        <f>++Tabla4[[#This Row],[Precio Unitario Neto]]-Tabla4[[#This Row],[20.85%]]-Tabla4[[#This Row],[Costo]]</f>
        <v>#N/A</v>
      </c>
      <c r="S3530" s="282" t="e">
        <f>++Tabla4[[#This Row],[U. Bruta Uni]]*Tabla4[[#This Row],[Cantidad]]</f>
        <v>#N/A</v>
      </c>
      <c r="T3530" s="369" t="str">
        <f>VLOOKUP(Tabla4[[#This Row],[Producto]],Tabla6[#All],14,FALSE)</f>
        <v>Termico Solar</v>
      </c>
      <c r="U3530" s="284" t="e">
        <f>(IF(Tabla4[[#This Row],[Familia]]="termico solar",Tabla4[[#This Row],[Utilidad Total]]*6%,Tabla4[[#This Row],[Utilidad Total]]*11.5%))/Tabla4[[#This Row],[Total]]</f>
        <v>#N/A</v>
      </c>
      <c r="V3530" s="282" t="e">
        <f>+Tabla4[[#This Row],[Comisión Calculada]]*Tabla4[[#This Row],[Total]]</f>
        <v>#N/A</v>
      </c>
    </row>
    <row r="3531" spans="1:22" hidden="1" x14ac:dyDescent="0.25">
      <c r="A3531" s="100">
        <v>45823</v>
      </c>
      <c r="B3531" t="str">
        <f t="shared" si="163"/>
        <v>June</v>
      </c>
      <c r="C3531" s="46" t="s">
        <v>280</v>
      </c>
      <c r="F3531" s="366" t="s">
        <v>2076</v>
      </c>
      <c r="G3531" s="46" t="s">
        <v>17</v>
      </c>
      <c r="H3531" s="46">
        <v>2</v>
      </c>
      <c r="I3531" s="51">
        <v>4622.28</v>
      </c>
      <c r="J3531" s="281">
        <f>++Tabla4[[#This Row],[Precio Bruto]]*1.16</f>
        <v>5361.8447999999989</v>
      </c>
      <c r="K3531" s="281">
        <f>+Tabla4[[#This Row],[Precio Unitario Neto]]*Tabla4[[#Headers],[20.85%]]</f>
        <v>1117.9446407999997</v>
      </c>
      <c r="L3531" s="282">
        <f>++Tabla4[[#This Row],[Precio Unitario Neto]]-Tabla4[[#This Row],[20.85%]]</f>
        <v>4243.9001591999995</v>
      </c>
      <c r="M3531" s="282" t="e">
        <f>(INDEX(Tabla6[#All],MATCH(Tabla4[[#This Row],[Producto]],Tabla6[[#All],[PRODUCTO]],0),MATCH(Tabla4[[#This Row],[Mes]],Tabla6[#Headers],0)))*(1+Catalogos!$L$2)</f>
        <v>#N/A</v>
      </c>
      <c r="N3531" s="283" t="e">
        <f>+(Tabla4[[#This Row],[Precio Descontado]]-Tabla4[[#This Row],[Precio Base]])*Tabla4[[#This Row],[Cantidad]]</f>
        <v>#N/A</v>
      </c>
      <c r="O3531" s="284" t="e">
        <f>++Tabla4[[#This Row],[Utilidad Total]]/Tabla4[[#This Row],[Total]]</f>
        <v>#N/A</v>
      </c>
      <c r="P3531" s="282">
        <f>++Tabla4[[#This Row],[Precio Descontado]]*Tabla4[[#This Row],[Cantidad]]</f>
        <v>8487.800318399999</v>
      </c>
      <c r="Q3531" s="282" t="e">
        <f>(INDEX(Tabla6[#All],MATCH(Tabla4[[#This Row],[Producto]],Tabla6[[#All],[PRODUCTO]],0),MATCH(Tabla4[[#This Row],[Mes]],Tabla6[#Headers],0)))</f>
        <v>#N/A</v>
      </c>
      <c r="R3531" s="282" t="e">
        <f>++Tabla4[[#This Row],[Precio Unitario Neto]]-Tabla4[[#This Row],[20.85%]]-Tabla4[[#This Row],[Costo]]</f>
        <v>#N/A</v>
      </c>
      <c r="S3531" s="282" t="e">
        <f>++Tabla4[[#This Row],[U. Bruta Uni]]*Tabla4[[#This Row],[Cantidad]]</f>
        <v>#N/A</v>
      </c>
      <c r="T3531" s="369" t="str">
        <f>VLOOKUP(Tabla4[[#This Row],[Producto]],Tabla6[#All],14,FALSE)</f>
        <v>Termico Solar</v>
      </c>
      <c r="U3531" s="284" t="e">
        <f>(IF(Tabla4[[#This Row],[Familia]]="termico solar",Tabla4[[#This Row],[Utilidad Total]]*6%,Tabla4[[#This Row],[Utilidad Total]]*11.5%))/Tabla4[[#This Row],[Total]]</f>
        <v>#N/A</v>
      </c>
      <c r="V3531" s="282" t="e">
        <f>+Tabla4[[#This Row],[Comisión Calculada]]*Tabla4[[#This Row],[Total]]</f>
        <v>#N/A</v>
      </c>
    </row>
    <row r="3532" spans="1:22" hidden="1" x14ac:dyDescent="0.25">
      <c r="A3532" s="100">
        <v>45823</v>
      </c>
      <c r="B3532" t="str">
        <f t="shared" si="163"/>
        <v>June</v>
      </c>
      <c r="C3532" s="46" t="s">
        <v>280</v>
      </c>
      <c r="F3532" s="366" t="s">
        <v>2076</v>
      </c>
      <c r="G3532" s="46" t="s">
        <v>18</v>
      </c>
      <c r="H3532" s="46">
        <v>2</v>
      </c>
      <c r="I3532" s="51">
        <v>5367.65</v>
      </c>
      <c r="J3532" s="281">
        <f>++Tabla4[[#This Row],[Precio Bruto]]*1.16</f>
        <v>6226.4739999999993</v>
      </c>
      <c r="K3532" s="281">
        <f>+Tabla4[[#This Row],[Precio Unitario Neto]]*Tabla4[[#Headers],[20.85%]]</f>
        <v>1298.2198289999999</v>
      </c>
      <c r="L3532" s="282">
        <f>++Tabla4[[#This Row],[Precio Unitario Neto]]-Tabla4[[#This Row],[20.85%]]</f>
        <v>4928.2541709999996</v>
      </c>
      <c r="M3532" s="282" t="e">
        <f>(INDEX(Tabla6[#All],MATCH(Tabla4[[#This Row],[Producto]],Tabla6[[#All],[PRODUCTO]],0),MATCH(Tabla4[[#This Row],[Mes]],Tabla6[#Headers],0)))*(1+Catalogos!$L$2)</f>
        <v>#N/A</v>
      </c>
      <c r="N3532" s="283" t="e">
        <f>+(Tabla4[[#This Row],[Precio Descontado]]-Tabla4[[#This Row],[Precio Base]])*Tabla4[[#This Row],[Cantidad]]</f>
        <v>#N/A</v>
      </c>
      <c r="O3532" s="284" t="e">
        <f>++Tabla4[[#This Row],[Utilidad Total]]/Tabla4[[#This Row],[Total]]</f>
        <v>#N/A</v>
      </c>
      <c r="P3532" s="282">
        <f>++Tabla4[[#This Row],[Precio Descontado]]*Tabla4[[#This Row],[Cantidad]]</f>
        <v>9856.5083419999992</v>
      </c>
      <c r="Q3532" s="282" t="e">
        <f>(INDEX(Tabla6[#All],MATCH(Tabla4[[#This Row],[Producto]],Tabla6[[#All],[PRODUCTO]],0),MATCH(Tabla4[[#This Row],[Mes]],Tabla6[#Headers],0)))</f>
        <v>#N/A</v>
      </c>
      <c r="R3532" s="282" t="e">
        <f>++Tabla4[[#This Row],[Precio Unitario Neto]]-Tabla4[[#This Row],[20.85%]]-Tabla4[[#This Row],[Costo]]</f>
        <v>#N/A</v>
      </c>
      <c r="S3532" s="282" t="e">
        <f>++Tabla4[[#This Row],[U. Bruta Uni]]*Tabla4[[#This Row],[Cantidad]]</f>
        <v>#N/A</v>
      </c>
      <c r="T3532" s="369" t="str">
        <f>VLOOKUP(Tabla4[[#This Row],[Producto]],Tabla6[#All],14,FALSE)</f>
        <v>Termico Solar</v>
      </c>
      <c r="U3532" s="284" t="e">
        <f>(IF(Tabla4[[#This Row],[Familia]]="termico solar",Tabla4[[#This Row],[Utilidad Total]]*6%,Tabla4[[#This Row],[Utilidad Total]]*11.5%))/Tabla4[[#This Row],[Total]]</f>
        <v>#N/A</v>
      </c>
      <c r="V3532" s="282" t="e">
        <f>+Tabla4[[#This Row],[Comisión Calculada]]*Tabla4[[#This Row],[Total]]</f>
        <v>#N/A</v>
      </c>
    </row>
    <row r="3533" spans="1:22" hidden="1" x14ac:dyDescent="0.25">
      <c r="A3533" s="100">
        <v>45823</v>
      </c>
      <c r="B3533" t="str">
        <f t="shared" si="163"/>
        <v>June</v>
      </c>
      <c r="C3533" s="46" t="s">
        <v>280</v>
      </c>
      <c r="F3533" s="366" t="s">
        <v>2076</v>
      </c>
      <c r="G3533" s="46" t="s">
        <v>555</v>
      </c>
      <c r="H3533" s="46">
        <v>8</v>
      </c>
      <c r="I3533" s="51">
        <v>389.47</v>
      </c>
      <c r="J3533" s="281">
        <f>++Tabla4[[#This Row],[Precio Bruto]]*1.16</f>
        <v>451.78519999999997</v>
      </c>
      <c r="K3533" s="281">
        <f>+Tabla4[[#This Row],[Precio Unitario Neto]]*Tabla4[[#Headers],[20.85%]]</f>
        <v>94.197214199999991</v>
      </c>
      <c r="L3533" s="282">
        <f>++Tabla4[[#This Row],[Precio Unitario Neto]]-Tabla4[[#This Row],[20.85%]]</f>
        <v>357.58798579999996</v>
      </c>
      <c r="M3533" s="282" t="e">
        <f>(INDEX(Tabla6[#All],MATCH(Tabla4[[#This Row],[Producto]],Tabla6[[#All],[PRODUCTO]],0),MATCH(Tabla4[[#This Row],[Mes]],Tabla6[#Headers],0)))*(1+Catalogos!$L$2)</f>
        <v>#N/A</v>
      </c>
      <c r="N3533" s="283" t="e">
        <f>+(Tabla4[[#This Row],[Precio Descontado]]-Tabla4[[#This Row],[Precio Base]])*Tabla4[[#This Row],[Cantidad]]</f>
        <v>#N/A</v>
      </c>
      <c r="O3533" s="284" t="e">
        <f>++Tabla4[[#This Row],[Utilidad Total]]/Tabla4[[#This Row],[Total]]</f>
        <v>#N/A</v>
      </c>
      <c r="P3533" s="282">
        <f>++Tabla4[[#This Row],[Precio Descontado]]*Tabla4[[#This Row],[Cantidad]]</f>
        <v>2860.7038863999996</v>
      </c>
      <c r="Q3533" s="282" t="e">
        <f>(INDEX(Tabla6[#All],MATCH(Tabla4[[#This Row],[Producto]],Tabla6[[#All],[PRODUCTO]],0),MATCH(Tabla4[[#This Row],[Mes]],Tabla6[#Headers],0)))</f>
        <v>#N/A</v>
      </c>
      <c r="R3533" s="282" t="e">
        <f>++Tabla4[[#This Row],[Precio Unitario Neto]]-Tabla4[[#This Row],[20.85%]]-Tabla4[[#This Row],[Costo]]</f>
        <v>#N/A</v>
      </c>
      <c r="S3533" s="282" t="e">
        <f>++Tabla4[[#This Row],[U. Bruta Uni]]*Tabla4[[#This Row],[Cantidad]]</f>
        <v>#N/A</v>
      </c>
      <c r="T3533" s="369" t="str">
        <f>VLOOKUP(Tabla4[[#This Row],[Producto]],Tabla6[#All],14,FALSE)</f>
        <v>Termico Solar</v>
      </c>
      <c r="U3533" s="284" t="e">
        <f>(IF(Tabla4[[#This Row],[Familia]]="termico solar",Tabla4[[#This Row],[Utilidad Total]]*6%,Tabla4[[#This Row],[Utilidad Total]]*11.5%))/Tabla4[[#This Row],[Total]]</f>
        <v>#N/A</v>
      </c>
      <c r="V3533" s="282" t="e">
        <f>+Tabla4[[#This Row],[Comisión Calculada]]*Tabla4[[#This Row],[Total]]</f>
        <v>#N/A</v>
      </c>
    </row>
    <row r="3534" spans="1:22" hidden="1" x14ac:dyDescent="0.25">
      <c r="A3534" s="100">
        <v>45823</v>
      </c>
      <c r="B3534" t="str">
        <f t="shared" si="163"/>
        <v>June</v>
      </c>
      <c r="C3534" s="46" t="s">
        <v>280</v>
      </c>
      <c r="F3534" s="366" t="s">
        <v>2076</v>
      </c>
      <c r="G3534" s="46" t="s">
        <v>208</v>
      </c>
      <c r="H3534" s="46">
        <v>2</v>
      </c>
      <c r="I3534" s="51">
        <v>189.75</v>
      </c>
      <c r="J3534" s="281">
        <f>++Tabla4[[#This Row],[Precio Bruto]]*1.16</f>
        <v>220.10999999999999</v>
      </c>
      <c r="K3534" s="281">
        <f>+Tabla4[[#This Row],[Precio Unitario Neto]]*Tabla4[[#Headers],[20.85%]]</f>
        <v>45.892934999999994</v>
      </c>
      <c r="L3534" s="282">
        <f>++Tabla4[[#This Row],[Precio Unitario Neto]]-Tabla4[[#This Row],[20.85%]]</f>
        <v>174.21706499999999</v>
      </c>
      <c r="M3534" s="282" t="e">
        <f>(INDEX(Tabla6[#All],MATCH(Tabla4[[#This Row],[Producto]],Tabla6[[#All],[PRODUCTO]],0),MATCH(Tabla4[[#This Row],[Mes]],Tabla6[#Headers],0)))*(1+Catalogos!$L$2)</f>
        <v>#N/A</v>
      </c>
      <c r="N3534" s="283" t="e">
        <f>+(Tabla4[[#This Row],[Precio Descontado]]-Tabla4[[#This Row],[Precio Base]])*Tabla4[[#This Row],[Cantidad]]</f>
        <v>#N/A</v>
      </c>
      <c r="O3534" s="284" t="e">
        <f>++Tabla4[[#This Row],[Utilidad Total]]/Tabla4[[#This Row],[Total]]</f>
        <v>#N/A</v>
      </c>
      <c r="P3534" s="282">
        <f>++Tabla4[[#This Row],[Precio Descontado]]*Tabla4[[#This Row],[Cantidad]]</f>
        <v>348.43412999999998</v>
      </c>
      <c r="Q3534" s="282" t="e">
        <f>(INDEX(Tabla6[#All],MATCH(Tabla4[[#This Row],[Producto]],Tabla6[[#All],[PRODUCTO]],0),MATCH(Tabla4[[#This Row],[Mes]],Tabla6[#Headers],0)))</f>
        <v>#N/A</v>
      </c>
      <c r="R3534" s="282" t="e">
        <f>++Tabla4[[#This Row],[Precio Unitario Neto]]-Tabla4[[#This Row],[20.85%]]-Tabla4[[#This Row],[Costo]]</f>
        <v>#N/A</v>
      </c>
      <c r="S3534" s="282" t="e">
        <f>++Tabla4[[#This Row],[U. Bruta Uni]]*Tabla4[[#This Row],[Cantidad]]</f>
        <v>#N/A</v>
      </c>
      <c r="T3534" s="369" t="str">
        <f>VLOOKUP(Tabla4[[#This Row],[Producto]],Tabla6[#All],14,FALSE)</f>
        <v>Termico Solar</v>
      </c>
      <c r="U3534" s="284" t="e">
        <f>(IF(Tabla4[[#This Row],[Familia]]="termico solar",Tabla4[[#This Row],[Utilidad Total]]*6%,Tabla4[[#This Row],[Utilidad Total]]*11.5%))/Tabla4[[#This Row],[Total]]</f>
        <v>#N/A</v>
      </c>
      <c r="V3534" s="282" t="e">
        <f>+Tabla4[[#This Row],[Comisión Calculada]]*Tabla4[[#This Row],[Total]]</f>
        <v>#N/A</v>
      </c>
    </row>
    <row r="3535" spans="1:22" hidden="1" x14ac:dyDescent="0.25">
      <c r="A3535" s="100">
        <v>45823</v>
      </c>
      <c r="B3535" t="str">
        <f t="shared" si="163"/>
        <v>June</v>
      </c>
      <c r="C3535" s="46" t="s">
        <v>280</v>
      </c>
      <c r="F3535" s="366" t="s">
        <v>2077</v>
      </c>
      <c r="G3535" s="46" t="s">
        <v>17</v>
      </c>
      <c r="H3535" s="46">
        <v>2</v>
      </c>
      <c r="I3535" s="51">
        <v>4622.28</v>
      </c>
      <c r="J3535" s="281">
        <f>++Tabla4[[#This Row],[Precio Bruto]]*1.16</f>
        <v>5361.8447999999989</v>
      </c>
      <c r="K3535" s="281">
        <f>+Tabla4[[#This Row],[Precio Unitario Neto]]*Tabla4[[#Headers],[20.85%]]</f>
        <v>1117.9446407999997</v>
      </c>
      <c r="L3535" s="282">
        <f>++Tabla4[[#This Row],[Precio Unitario Neto]]-Tabla4[[#This Row],[20.85%]]</f>
        <v>4243.9001591999995</v>
      </c>
      <c r="M3535" s="282" t="e">
        <f>(INDEX(Tabla6[#All],MATCH(Tabla4[[#This Row],[Producto]],Tabla6[[#All],[PRODUCTO]],0),MATCH(Tabla4[[#This Row],[Mes]],Tabla6[#Headers],0)))*(1+Catalogos!$L$2)</f>
        <v>#N/A</v>
      </c>
      <c r="N3535" s="283" t="e">
        <f>+(Tabla4[[#This Row],[Precio Descontado]]-Tabla4[[#This Row],[Precio Base]])*Tabla4[[#This Row],[Cantidad]]</f>
        <v>#N/A</v>
      </c>
      <c r="O3535" s="284" t="e">
        <f>++Tabla4[[#This Row],[Utilidad Total]]/Tabla4[[#This Row],[Total]]</f>
        <v>#N/A</v>
      </c>
      <c r="P3535" s="282">
        <f>++Tabla4[[#This Row],[Precio Descontado]]*Tabla4[[#This Row],[Cantidad]]</f>
        <v>8487.800318399999</v>
      </c>
      <c r="Q3535" s="282" t="e">
        <f>(INDEX(Tabla6[#All],MATCH(Tabla4[[#This Row],[Producto]],Tabla6[[#All],[PRODUCTO]],0),MATCH(Tabla4[[#This Row],[Mes]],Tabla6[#Headers],0)))</f>
        <v>#N/A</v>
      </c>
      <c r="R3535" s="282" t="e">
        <f>++Tabla4[[#This Row],[Precio Unitario Neto]]-Tabla4[[#This Row],[20.85%]]-Tabla4[[#This Row],[Costo]]</f>
        <v>#N/A</v>
      </c>
      <c r="S3535" s="282" t="e">
        <f>++Tabla4[[#This Row],[U. Bruta Uni]]*Tabla4[[#This Row],[Cantidad]]</f>
        <v>#N/A</v>
      </c>
      <c r="T3535" s="369" t="str">
        <f>VLOOKUP(Tabla4[[#This Row],[Producto]],Tabla6[#All],14,FALSE)</f>
        <v>Termico Solar</v>
      </c>
      <c r="U3535" s="284" t="e">
        <f>(IF(Tabla4[[#This Row],[Familia]]="termico solar",Tabla4[[#This Row],[Utilidad Total]]*6%,Tabla4[[#This Row],[Utilidad Total]]*11.5%))/Tabla4[[#This Row],[Total]]</f>
        <v>#N/A</v>
      </c>
      <c r="V3535" s="282" t="e">
        <f>+Tabla4[[#This Row],[Comisión Calculada]]*Tabla4[[#This Row],[Total]]</f>
        <v>#N/A</v>
      </c>
    </row>
    <row r="3536" spans="1:22" hidden="1" x14ac:dyDescent="0.25">
      <c r="A3536" s="100">
        <v>45823</v>
      </c>
      <c r="B3536" t="str">
        <f t="shared" si="163"/>
        <v>June</v>
      </c>
      <c r="C3536" s="46" t="s">
        <v>280</v>
      </c>
      <c r="F3536" s="366" t="s">
        <v>2077</v>
      </c>
      <c r="G3536" s="46" t="s">
        <v>18</v>
      </c>
      <c r="H3536" s="46">
        <v>1</v>
      </c>
      <c r="I3536" s="51">
        <v>5367.65</v>
      </c>
      <c r="J3536" s="281">
        <f>++Tabla4[[#This Row],[Precio Bruto]]*1.16</f>
        <v>6226.4739999999993</v>
      </c>
      <c r="K3536" s="281">
        <f>+Tabla4[[#This Row],[Precio Unitario Neto]]*Tabla4[[#Headers],[20.85%]]</f>
        <v>1298.2198289999999</v>
      </c>
      <c r="L3536" s="282">
        <f>++Tabla4[[#This Row],[Precio Unitario Neto]]-Tabla4[[#This Row],[20.85%]]</f>
        <v>4928.2541709999996</v>
      </c>
      <c r="M3536" s="282" t="e">
        <f>(INDEX(Tabla6[#All],MATCH(Tabla4[[#This Row],[Producto]],Tabla6[[#All],[PRODUCTO]],0),MATCH(Tabla4[[#This Row],[Mes]],Tabla6[#Headers],0)))*(1+Catalogos!$L$2)</f>
        <v>#N/A</v>
      </c>
      <c r="N3536" s="283" t="e">
        <f>+(Tabla4[[#This Row],[Precio Descontado]]-Tabla4[[#This Row],[Precio Base]])*Tabla4[[#This Row],[Cantidad]]</f>
        <v>#N/A</v>
      </c>
      <c r="O3536" s="284" t="e">
        <f>++Tabla4[[#This Row],[Utilidad Total]]/Tabla4[[#This Row],[Total]]</f>
        <v>#N/A</v>
      </c>
      <c r="P3536" s="282">
        <f>++Tabla4[[#This Row],[Precio Descontado]]*Tabla4[[#This Row],[Cantidad]]</f>
        <v>4928.2541709999996</v>
      </c>
      <c r="Q3536" s="282" t="e">
        <f>(INDEX(Tabla6[#All],MATCH(Tabla4[[#This Row],[Producto]],Tabla6[[#All],[PRODUCTO]],0),MATCH(Tabla4[[#This Row],[Mes]],Tabla6[#Headers],0)))</f>
        <v>#N/A</v>
      </c>
      <c r="R3536" s="282" t="e">
        <f>++Tabla4[[#This Row],[Precio Unitario Neto]]-Tabla4[[#This Row],[20.85%]]-Tabla4[[#This Row],[Costo]]</f>
        <v>#N/A</v>
      </c>
      <c r="S3536" s="282" t="e">
        <f>++Tabla4[[#This Row],[U. Bruta Uni]]*Tabla4[[#This Row],[Cantidad]]</f>
        <v>#N/A</v>
      </c>
      <c r="T3536" s="369" t="str">
        <f>VLOOKUP(Tabla4[[#This Row],[Producto]],Tabla6[#All],14,FALSE)</f>
        <v>Termico Solar</v>
      </c>
      <c r="U3536" s="284" t="e">
        <f>(IF(Tabla4[[#This Row],[Familia]]="termico solar",Tabla4[[#This Row],[Utilidad Total]]*6%,Tabla4[[#This Row],[Utilidad Total]]*11.5%))/Tabla4[[#This Row],[Total]]</f>
        <v>#N/A</v>
      </c>
      <c r="V3536" s="282" t="e">
        <f>+Tabla4[[#This Row],[Comisión Calculada]]*Tabla4[[#This Row],[Total]]</f>
        <v>#N/A</v>
      </c>
    </row>
    <row r="3537" spans="1:22" hidden="1" x14ac:dyDescent="0.25">
      <c r="A3537" s="100">
        <v>45823</v>
      </c>
      <c r="B3537" t="str">
        <f t="shared" si="163"/>
        <v>June</v>
      </c>
      <c r="C3537" s="46" t="s">
        <v>280</v>
      </c>
      <c r="F3537" s="366" t="s">
        <v>2078</v>
      </c>
      <c r="G3537" s="46" t="s">
        <v>17</v>
      </c>
      <c r="H3537" s="46">
        <v>3</v>
      </c>
      <c r="I3537" s="51">
        <v>4622.28</v>
      </c>
      <c r="J3537" s="281">
        <f>++Tabla4[[#This Row],[Precio Bruto]]*1.16</f>
        <v>5361.8447999999989</v>
      </c>
      <c r="K3537" s="281">
        <f>+Tabla4[[#This Row],[Precio Unitario Neto]]*Tabla4[[#Headers],[20.85%]]</f>
        <v>1117.9446407999997</v>
      </c>
      <c r="L3537" s="282">
        <f>++Tabla4[[#This Row],[Precio Unitario Neto]]-Tabla4[[#This Row],[20.85%]]</f>
        <v>4243.9001591999995</v>
      </c>
      <c r="M3537" s="282" t="e">
        <f>(INDEX(Tabla6[#All],MATCH(Tabla4[[#This Row],[Producto]],Tabla6[[#All],[PRODUCTO]],0),MATCH(Tabla4[[#This Row],[Mes]],Tabla6[#Headers],0)))*(1+Catalogos!$L$2)</f>
        <v>#N/A</v>
      </c>
      <c r="N3537" s="283" t="e">
        <f>+(Tabla4[[#This Row],[Precio Descontado]]-Tabla4[[#This Row],[Precio Base]])*Tabla4[[#This Row],[Cantidad]]</f>
        <v>#N/A</v>
      </c>
      <c r="O3537" s="284" t="e">
        <f>++Tabla4[[#This Row],[Utilidad Total]]/Tabla4[[#This Row],[Total]]</f>
        <v>#N/A</v>
      </c>
      <c r="P3537" s="282">
        <f>++Tabla4[[#This Row],[Precio Descontado]]*Tabla4[[#This Row],[Cantidad]]</f>
        <v>12731.700477599999</v>
      </c>
      <c r="Q3537" s="282" t="e">
        <f>(INDEX(Tabla6[#All],MATCH(Tabla4[[#This Row],[Producto]],Tabla6[[#All],[PRODUCTO]],0),MATCH(Tabla4[[#This Row],[Mes]],Tabla6[#Headers],0)))</f>
        <v>#N/A</v>
      </c>
      <c r="R3537" s="282" t="e">
        <f>++Tabla4[[#This Row],[Precio Unitario Neto]]-Tabla4[[#This Row],[20.85%]]-Tabla4[[#This Row],[Costo]]</f>
        <v>#N/A</v>
      </c>
      <c r="S3537" s="282" t="e">
        <f>++Tabla4[[#This Row],[U. Bruta Uni]]*Tabla4[[#This Row],[Cantidad]]</f>
        <v>#N/A</v>
      </c>
      <c r="T3537" s="369" t="str">
        <f>VLOOKUP(Tabla4[[#This Row],[Producto]],Tabla6[#All],14,FALSE)</f>
        <v>Termico Solar</v>
      </c>
      <c r="U3537" s="284" t="e">
        <f>(IF(Tabla4[[#This Row],[Familia]]="termico solar",Tabla4[[#This Row],[Utilidad Total]]*6%,Tabla4[[#This Row],[Utilidad Total]]*11.5%))/Tabla4[[#This Row],[Total]]</f>
        <v>#N/A</v>
      </c>
      <c r="V3537" s="282" t="e">
        <f>+Tabla4[[#This Row],[Comisión Calculada]]*Tabla4[[#This Row],[Total]]</f>
        <v>#N/A</v>
      </c>
    </row>
    <row r="3538" spans="1:22" hidden="1" x14ac:dyDescent="0.25">
      <c r="A3538" s="100">
        <v>45823</v>
      </c>
      <c r="B3538" t="str">
        <f t="shared" si="163"/>
        <v>June</v>
      </c>
      <c r="C3538" s="46" t="s">
        <v>280</v>
      </c>
      <c r="F3538" s="366" t="s">
        <v>2078</v>
      </c>
      <c r="G3538" s="46" t="s">
        <v>18</v>
      </c>
      <c r="H3538" s="46">
        <v>3</v>
      </c>
      <c r="I3538" s="51">
        <v>5367.6500000000005</v>
      </c>
      <c r="J3538" s="281">
        <f>++Tabla4[[#This Row],[Precio Bruto]]*1.16</f>
        <v>6226.4740000000002</v>
      </c>
      <c r="K3538" s="281">
        <f>+Tabla4[[#This Row],[Precio Unitario Neto]]*Tabla4[[#Headers],[20.85%]]</f>
        <v>1298.2198289999999</v>
      </c>
      <c r="L3538" s="282">
        <f>++Tabla4[[#This Row],[Precio Unitario Neto]]-Tabla4[[#This Row],[20.85%]]</f>
        <v>4928.2541710000005</v>
      </c>
      <c r="M3538" s="282" t="e">
        <f>(INDEX(Tabla6[#All],MATCH(Tabla4[[#This Row],[Producto]],Tabla6[[#All],[PRODUCTO]],0),MATCH(Tabla4[[#This Row],[Mes]],Tabla6[#Headers],0)))*(1+Catalogos!$L$2)</f>
        <v>#N/A</v>
      </c>
      <c r="N3538" s="283" t="e">
        <f>+(Tabla4[[#This Row],[Precio Descontado]]-Tabla4[[#This Row],[Precio Base]])*Tabla4[[#This Row],[Cantidad]]</f>
        <v>#N/A</v>
      </c>
      <c r="O3538" s="284" t="e">
        <f>++Tabla4[[#This Row],[Utilidad Total]]/Tabla4[[#This Row],[Total]]</f>
        <v>#N/A</v>
      </c>
      <c r="P3538" s="282">
        <f>++Tabla4[[#This Row],[Precio Descontado]]*Tabla4[[#This Row],[Cantidad]]</f>
        <v>14784.762513000001</v>
      </c>
      <c r="Q3538" s="282" t="e">
        <f>(INDEX(Tabla6[#All],MATCH(Tabla4[[#This Row],[Producto]],Tabla6[[#All],[PRODUCTO]],0),MATCH(Tabla4[[#This Row],[Mes]],Tabla6[#Headers],0)))</f>
        <v>#N/A</v>
      </c>
      <c r="R3538" s="282" t="e">
        <f>++Tabla4[[#This Row],[Precio Unitario Neto]]-Tabla4[[#This Row],[20.85%]]-Tabla4[[#This Row],[Costo]]</f>
        <v>#N/A</v>
      </c>
      <c r="S3538" s="282" t="e">
        <f>++Tabla4[[#This Row],[U. Bruta Uni]]*Tabla4[[#This Row],[Cantidad]]</f>
        <v>#N/A</v>
      </c>
      <c r="T3538" s="369" t="str">
        <f>VLOOKUP(Tabla4[[#This Row],[Producto]],Tabla6[#All],14,FALSE)</f>
        <v>Termico Solar</v>
      </c>
      <c r="U3538" s="284" t="e">
        <f>(IF(Tabla4[[#This Row],[Familia]]="termico solar",Tabla4[[#This Row],[Utilidad Total]]*6%,Tabla4[[#This Row],[Utilidad Total]]*11.5%))/Tabla4[[#This Row],[Total]]</f>
        <v>#N/A</v>
      </c>
      <c r="V3538" s="282" t="e">
        <f>+Tabla4[[#This Row],[Comisión Calculada]]*Tabla4[[#This Row],[Total]]</f>
        <v>#N/A</v>
      </c>
    </row>
    <row r="3539" spans="1:22" hidden="1" x14ac:dyDescent="0.25">
      <c r="A3539" s="100">
        <v>45823</v>
      </c>
      <c r="B3539" t="str">
        <f t="shared" si="163"/>
        <v>June</v>
      </c>
      <c r="C3539" s="46" t="s">
        <v>280</v>
      </c>
      <c r="F3539" s="366" t="s">
        <v>2078</v>
      </c>
      <c r="G3539" s="46" t="s">
        <v>16</v>
      </c>
      <c r="H3539" s="46">
        <v>2</v>
      </c>
      <c r="I3539" s="51">
        <v>4103.8500000000004</v>
      </c>
      <c r="J3539" s="281">
        <f>++Tabla4[[#This Row],[Precio Bruto]]*1.16</f>
        <v>4760.4660000000003</v>
      </c>
      <c r="K3539" s="281">
        <f>+Tabla4[[#This Row],[Precio Unitario Neto]]*Tabla4[[#Headers],[20.85%]]</f>
        <v>992.55716100000006</v>
      </c>
      <c r="L3539" s="282">
        <f>++Tabla4[[#This Row],[Precio Unitario Neto]]-Tabla4[[#This Row],[20.85%]]</f>
        <v>3767.9088390000002</v>
      </c>
      <c r="M3539" s="282" t="e">
        <f>(INDEX(Tabla6[#All],MATCH(Tabla4[[#This Row],[Producto]],Tabla6[[#All],[PRODUCTO]],0),MATCH(Tabla4[[#This Row],[Mes]],Tabla6[#Headers],0)))*(1+Catalogos!$L$2)</f>
        <v>#N/A</v>
      </c>
      <c r="N3539" s="283" t="e">
        <f>+(Tabla4[[#This Row],[Precio Descontado]]-Tabla4[[#This Row],[Precio Base]])*Tabla4[[#This Row],[Cantidad]]</f>
        <v>#N/A</v>
      </c>
      <c r="O3539" s="284" t="e">
        <f>++Tabla4[[#This Row],[Utilidad Total]]/Tabla4[[#This Row],[Total]]</f>
        <v>#N/A</v>
      </c>
      <c r="P3539" s="282">
        <f>++Tabla4[[#This Row],[Precio Descontado]]*Tabla4[[#This Row],[Cantidad]]</f>
        <v>7535.8176780000003</v>
      </c>
      <c r="Q3539" s="282" t="e">
        <f>(INDEX(Tabla6[#All],MATCH(Tabla4[[#This Row],[Producto]],Tabla6[[#All],[PRODUCTO]],0),MATCH(Tabla4[[#This Row],[Mes]],Tabla6[#Headers],0)))</f>
        <v>#N/A</v>
      </c>
      <c r="R3539" s="282" t="e">
        <f>++Tabla4[[#This Row],[Precio Unitario Neto]]-Tabla4[[#This Row],[20.85%]]-Tabla4[[#This Row],[Costo]]</f>
        <v>#N/A</v>
      </c>
      <c r="S3539" s="282" t="e">
        <f>++Tabla4[[#This Row],[U. Bruta Uni]]*Tabla4[[#This Row],[Cantidad]]</f>
        <v>#N/A</v>
      </c>
      <c r="T3539" s="369" t="str">
        <f>VLOOKUP(Tabla4[[#This Row],[Producto]],Tabla6[#All],14,FALSE)</f>
        <v>Termico Solar</v>
      </c>
      <c r="U3539" s="284" t="e">
        <f>(IF(Tabla4[[#This Row],[Familia]]="termico solar",Tabla4[[#This Row],[Utilidad Total]]*6%,Tabla4[[#This Row],[Utilidad Total]]*11.5%))/Tabla4[[#This Row],[Total]]</f>
        <v>#N/A</v>
      </c>
      <c r="V3539" s="282" t="e">
        <f>+Tabla4[[#This Row],[Comisión Calculada]]*Tabla4[[#This Row],[Total]]</f>
        <v>#N/A</v>
      </c>
    </row>
    <row r="3540" spans="1:22" hidden="1" x14ac:dyDescent="0.25">
      <c r="A3540" s="100">
        <v>45823</v>
      </c>
      <c r="B3540" t="str">
        <f t="shared" si="163"/>
        <v>June</v>
      </c>
      <c r="C3540" s="46" t="s">
        <v>280</v>
      </c>
      <c r="F3540" s="366" t="s">
        <v>2079</v>
      </c>
      <c r="G3540" s="46" t="s">
        <v>83</v>
      </c>
      <c r="H3540" s="46">
        <v>1</v>
      </c>
      <c r="I3540" s="51">
        <v>8858.76</v>
      </c>
      <c r="J3540" s="281">
        <f>++Tabla4[[#This Row],[Precio Bruto]]*1.16</f>
        <v>10276.161599999999</v>
      </c>
      <c r="K3540" s="281">
        <f>+Tabla4[[#This Row],[Precio Unitario Neto]]*Tabla4[[#Headers],[20.85%]]</f>
        <v>2142.5796935999997</v>
      </c>
      <c r="L3540" s="282">
        <f>++Tabla4[[#This Row],[Precio Unitario Neto]]-Tabla4[[#This Row],[20.85%]]</f>
        <v>8133.5819063999998</v>
      </c>
      <c r="M3540" s="282" t="e">
        <f>(INDEX(Tabla6[#All],MATCH(Tabla4[[#This Row],[Producto]],Tabla6[[#All],[PRODUCTO]],0),MATCH(Tabla4[[#This Row],[Mes]],Tabla6[#Headers],0)))*(1+Catalogos!$L$2)</f>
        <v>#N/A</v>
      </c>
      <c r="N3540" s="283" t="e">
        <f>+(Tabla4[[#This Row],[Precio Descontado]]-Tabla4[[#This Row],[Precio Base]])*Tabla4[[#This Row],[Cantidad]]</f>
        <v>#N/A</v>
      </c>
      <c r="O3540" s="284" t="e">
        <f>++Tabla4[[#This Row],[Utilidad Total]]/Tabla4[[#This Row],[Total]]</f>
        <v>#N/A</v>
      </c>
      <c r="P3540" s="282">
        <f>++Tabla4[[#This Row],[Precio Descontado]]*Tabla4[[#This Row],[Cantidad]]</f>
        <v>8133.5819063999998</v>
      </c>
      <c r="Q3540" s="282" t="e">
        <f>(INDEX(Tabla6[#All],MATCH(Tabla4[[#This Row],[Producto]],Tabla6[[#All],[PRODUCTO]],0),MATCH(Tabla4[[#This Row],[Mes]],Tabla6[#Headers],0)))</f>
        <v>#N/A</v>
      </c>
      <c r="R3540" s="282" t="e">
        <f>++Tabla4[[#This Row],[Precio Unitario Neto]]-Tabla4[[#This Row],[20.85%]]-Tabla4[[#This Row],[Costo]]</f>
        <v>#N/A</v>
      </c>
      <c r="S3540" s="282" t="e">
        <f>++Tabla4[[#This Row],[U. Bruta Uni]]*Tabla4[[#This Row],[Cantidad]]</f>
        <v>#N/A</v>
      </c>
      <c r="T3540" s="369" t="str">
        <f>VLOOKUP(Tabla4[[#This Row],[Producto]],Tabla6[#All],14,FALSE)</f>
        <v>Termico Solar</v>
      </c>
      <c r="U3540" s="284" t="e">
        <f>(IF(Tabla4[[#This Row],[Familia]]="termico solar",Tabla4[[#This Row],[Utilidad Total]]*6%,Tabla4[[#This Row],[Utilidad Total]]*11.5%))/Tabla4[[#This Row],[Total]]</f>
        <v>#N/A</v>
      </c>
      <c r="V3540" s="282" t="e">
        <f>+Tabla4[[#This Row],[Comisión Calculada]]*Tabla4[[#This Row],[Total]]</f>
        <v>#N/A</v>
      </c>
    </row>
    <row r="3541" spans="1:22" hidden="1" x14ac:dyDescent="0.25">
      <c r="A3541" s="100">
        <v>45823</v>
      </c>
      <c r="B3541" t="str">
        <f t="shared" si="163"/>
        <v>June</v>
      </c>
      <c r="C3541" s="46" t="s">
        <v>280</v>
      </c>
      <c r="F3541" s="366" t="s">
        <v>2080</v>
      </c>
      <c r="G3541" s="46" t="s">
        <v>83</v>
      </c>
      <c r="H3541" s="46">
        <v>1</v>
      </c>
      <c r="I3541" s="51">
        <v>8858.76</v>
      </c>
      <c r="J3541" s="281">
        <f>++Tabla4[[#This Row],[Precio Bruto]]*1.16</f>
        <v>10276.161599999999</v>
      </c>
      <c r="K3541" s="281">
        <f>+Tabla4[[#This Row],[Precio Unitario Neto]]*Tabla4[[#Headers],[20.85%]]</f>
        <v>2142.5796935999997</v>
      </c>
      <c r="L3541" s="282">
        <f>++Tabla4[[#This Row],[Precio Unitario Neto]]-Tabla4[[#This Row],[20.85%]]</f>
        <v>8133.5819063999998</v>
      </c>
      <c r="M3541" s="282" t="e">
        <f>(INDEX(Tabla6[#All],MATCH(Tabla4[[#This Row],[Producto]],Tabla6[[#All],[PRODUCTO]],0),MATCH(Tabla4[[#This Row],[Mes]],Tabla6[#Headers],0)))*(1+Catalogos!$L$2)</f>
        <v>#N/A</v>
      </c>
      <c r="N3541" s="283" t="e">
        <f>+(Tabla4[[#This Row],[Precio Descontado]]-Tabla4[[#This Row],[Precio Base]])*Tabla4[[#This Row],[Cantidad]]</f>
        <v>#N/A</v>
      </c>
      <c r="O3541" s="284" t="e">
        <f>++Tabla4[[#This Row],[Utilidad Total]]/Tabla4[[#This Row],[Total]]</f>
        <v>#N/A</v>
      </c>
      <c r="P3541" s="282">
        <f>++Tabla4[[#This Row],[Precio Descontado]]*Tabla4[[#This Row],[Cantidad]]</f>
        <v>8133.5819063999998</v>
      </c>
      <c r="Q3541" s="282" t="e">
        <f>(INDEX(Tabla6[#All],MATCH(Tabla4[[#This Row],[Producto]],Tabla6[[#All],[PRODUCTO]],0),MATCH(Tabla4[[#This Row],[Mes]],Tabla6[#Headers],0)))</f>
        <v>#N/A</v>
      </c>
      <c r="R3541" s="282" t="e">
        <f>++Tabla4[[#This Row],[Precio Unitario Neto]]-Tabla4[[#This Row],[20.85%]]-Tabla4[[#This Row],[Costo]]</f>
        <v>#N/A</v>
      </c>
      <c r="S3541" s="282" t="e">
        <f>++Tabla4[[#This Row],[U. Bruta Uni]]*Tabla4[[#This Row],[Cantidad]]</f>
        <v>#N/A</v>
      </c>
      <c r="T3541" s="369" t="str">
        <f>VLOOKUP(Tabla4[[#This Row],[Producto]],Tabla6[#All],14,FALSE)</f>
        <v>Termico Solar</v>
      </c>
      <c r="U3541" s="284" t="e">
        <f>(IF(Tabla4[[#This Row],[Familia]]="termico solar",Tabla4[[#This Row],[Utilidad Total]]*6%,Tabla4[[#This Row],[Utilidad Total]]*11.5%))/Tabla4[[#This Row],[Total]]</f>
        <v>#N/A</v>
      </c>
      <c r="V3541" s="282" t="e">
        <f>+Tabla4[[#This Row],[Comisión Calculada]]*Tabla4[[#This Row],[Total]]</f>
        <v>#N/A</v>
      </c>
    </row>
    <row r="3542" spans="1:22" hidden="1" x14ac:dyDescent="0.25">
      <c r="A3542" s="100">
        <v>45823</v>
      </c>
      <c r="B3542" t="str">
        <f t="shared" si="163"/>
        <v>June</v>
      </c>
      <c r="C3542" s="46" t="s">
        <v>280</v>
      </c>
      <c r="F3542" s="366" t="s">
        <v>2081</v>
      </c>
      <c r="G3542" s="46" t="s">
        <v>566</v>
      </c>
      <c r="H3542" s="46">
        <v>1</v>
      </c>
      <c r="I3542" s="51">
        <v>2109.4499999999998</v>
      </c>
      <c r="J3542" s="281">
        <f>++Tabla4[[#This Row],[Precio Bruto]]*1.16</f>
        <v>2446.9619999999995</v>
      </c>
      <c r="K3542" s="281">
        <f>+Tabla4[[#This Row],[Precio Unitario Neto]]*Tabla4[[#Headers],[20.85%]]</f>
        <v>510.19157699999988</v>
      </c>
      <c r="L3542" s="282">
        <f>++Tabla4[[#This Row],[Precio Unitario Neto]]-Tabla4[[#This Row],[20.85%]]</f>
        <v>1936.7704229999997</v>
      </c>
      <c r="M3542" s="282" t="e">
        <f>(INDEX(Tabla6[#All],MATCH(Tabla4[[#This Row],[Producto]],Tabla6[[#All],[PRODUCTO]],0),MATCH(Tabla4[[#This Row],[Mes]],Tabla6[#Headers],0)))*(1+Catalogos!$L$2)</f>
        <v>#N/A</v>
      </c>
      <c r="N3542" s="283" t="e">
        <f>+(Tabla4[[#This Row],[Precio Descontado]]-Tabla4[[#This Row],[Precio Base]])*Tabla4[[#This Row],[Cantidad]]</f>
        <v>#N/A</v>
      </c>
      <c r="O3542" s="284" t="e">
        <f>++Tabla4[[#This Row],[Utilidad Total]]/Tabla4[[#This Row],[Total]]</f>
        <v>#N/A</v>
      </c>
      <c r="P3542" s="282">
        <f>++Tabla4[[#This Row],[Precio Descontado]]*Tabla4[[#This Row],[Cantidad]]</f>
        <v>1936.7704229999997</v>
      </c>
      <c r="Q3542" s="282" t="e">
        <f>(INDEX(Tabla6[#All],MATCH(Tabla4[[#This Row],[Producto]],Tabla6[[#All],[PRODUCTO]],0),MATCH(Tabla4[[#This Row],[Mes]],Tabla6[#Headers],0)))</f>
        <v>#N/A</v>
      </c>
      <c r="R3542" s="282" t="e">
        <f>++Tabla4[[#This Row],[Precio Unitario Neto]]-Tabla4[[#This Row],[20.85%]]-Tabla4[[#This Row],[Costo]]</f>
        <v>#N/A</v>
      </c>
      <c r="S3542" s="282" t="e">
        <f>++Tabla4[[#This Row],[U. Bruta Uni]]*Tabla4[[#This Row],[Cantidad]]</f>
        <v>#N/A</v>
      </c>
      <c r="T3542" s="369" t="str">
        <f>VLOOKUP(Tabla4[[#This Row],[Producto]],Tabla6[#All],14,FALSE)</f>
        <v>Termico Solar</v>
      </c>
      <c r="U3542" s="284" t="e">
        <f>(IF(Tabla4[[#This Row],[Familia]]="termico solar",Tabla4[[#This Row],[Utilidad Total]]*6%,Tabla4[[#This Row],[Utilidad Total]]*11.5%))/Tabla4[[#This Row],[Total]]</f>
        <v>#N/A</v>
      </c>
      <c r="V3542" s="282" t="e">
        <f>+Tabla4[[#This Row],[Comisión Calculada]]*Tabla4[[#This Row],[Total]]</f>
        <v>#N/A</v>
      </c>
    </row>
    <row r="3543" spans="1:22" hidden="1" x14ac:dyDescent="0.25">
      <c r="A3543" s="100">
        <v>45823</v>
      </c>
      <c r="B3543" t="str">
        <f t="shared" si="163"/>
        <v>June</v>
      </c>
      <c r="C3543" s="46" t="s">
        <v>280</v>
      </c>
      <c r="F3543" s="366" t="s">
        <v>2081</v>
      </c>
      <c r="G3543" s="46" t="s">
        <v>16</v>
      </c>
      <c r="H3543" s="46">
        <v>1</v>
      </c>
      <c r="I3543" s="51">
        <v>4103.8500000000004</v>
      </c>
      <c r="J3543" s="281">
        <f>++Tabla4[[#This Row],[Precio Bruto]]*1.16</f>
        <v>4760.4660000000003</v>
      </c>
      <c r="K3543" s="281">
        <f>+Tabla4[[#This Row],[Precio Unitario Neto]]*Tabla4[[#Headers],[20.85%]]</f>
        <v>992.55716100000006</v>
      </c>
      <c r="L3543" s="282">
        <f>++Tabla4[[#This Row],[Precio Unitario Neto]]-Tabla4[[#This Row],[20.85%]]</f>
        <v>3767.9088390000002</v>
      </c>
      <c r="M3543" s="282" t="e">
        <f>(INDEX(Tabla6[#All],MATCH(Tabla4[[#This Row],[Producto]],Tabla6[[#All],[PRODUCTO]],0),MATCH(Tabla4[[#This Row],[Mes]],Tabla6[#Headers],0)))*(1+Catalogos!$L$2)</f>
        <v>#N/A</v>
      </c>
      <c r="N3543" s="283" t="e">
        <f>+(Tabla4[[#This Row],[Precio Descontado]]-Tabla4[[#This Row],[Precio Base]])*Tabla4[[#This Row],[Cantidad]]</f>
        <v>#N/A</v>
      </c>
      <c r="O3543" s="284" t="e">
        <f>++Tabla4[[#This Row],[Utilidad Total]]/Tabla4[[#This Row],[Total]]</f>
        <v>#N/A</v>
      </c>
      <c r="P3543" s="282">
        <f>++Tabla4[[#This Row],[Precio Descontado]]*Tabla4[[#This Row],[Cantidad]]</f>
        <v>3767.9088390000002</v>
      </c>
      <c r="Q3543" s="282" t="e">
        <f>(INDEX(Tabla6[#All],MATCH(Tabla4[[#This Row],[Producto]],Tabla6[[#All],[PRODUCTO]],0),MATCH(Tabla4[[#This Row],[Mes]],Tabla6[#Headers],0)))</f>
        <v>#N/A</v>
      </c>
      <c r="R3543" s="282" t="e">
        <f>++Tabla4[[#This Row],[Precio Unitario Neto]]-Tabla4[[#This Row],[20.85%]]-Tabla4[[#This Row],[Costo]]</f>
        <v>#N/A</v>
      </c>
      <c r="S3543" s="282" t="e">
        <f>++Tabla4[[#This Row],[U. Bruta Uni]]*Tabla4[[#This Row],[Cantidad]]</f>
        <v>#N/A</v>
      </c>
      <c r="T3543" s="369" t="str">
        <f>VLOOKUP(Tabla4[[#This Row],[Producto]],Tabla6[#All],14,FALSE)</f>
        <v>Termico Solar</v>
      </c>
      <c r="U3543" s="284" t="e">
        <f>(IF(Tabla4[[#This Row],[Familia]]="termico solar",Tabla4[[#This Row],[Utilidad Total]]*6%,Tabla4[[#This Row],[Utilidad Total]]*11.5%))/Tabla4[[#This Row],[Total]]</f>
        <v>#N/A</v>
      </c>
      <c r="V3543" s="282" t="e">
        <f>+Tabla4[[#This Row],[Comisión Calculada]]*Tabla4[[#This Row],[Total]]</f>
        <v>#N/A</v>
      </c>
    </row>
    <row r="3544" spans="1:22" hidden="1" x14ac:dyDescent="0.25">
      <c r="A3544" s="100">
        <v>45823</v>
      </c>
      <c r="B3544" t="str">
        <f t="shared" si="163"/>
        <v>June</v>
      </c>
      <c r="C3544" s="46" t="s">
        <v>280</v>
      </c>
      <c r="F3544" s="366" t="s">
        <v>2082</v>
      </c>
      <c r="G3544" s="46" t="s">
        <v>17</v>
      </c>
      <c r="H3544" s="46">
        <v>2</v>
      </c>
      <c r="I3544" s="51">
        <v>4622.28</v>
      </c>
      <c r="J3544" s="281">
        <f>++Tabla4[[#This Row],[Precio Bruto]]*1.16</f>
        <v>5361.8447999999989</v>
      </c>
      <c r="K3544" s="281">
        <f>+Tabla4[[#This Row],[Precio Unitario Neto]]*Tabla4[[#Headers],[20.85%]]</f>
        <v>1117.9446407999997</v>
      </c>
      <c r="L3544" s="282">
        <f>++Tabla4[[#This Row],[Precio Unitario Neto]]-Tabla4[[#This Row],[20.85%]]</f>
        <v>4243.9001591999995</v>
      </c>
      <c r="M3544" s="282" t="e">
        <f>(INDEX(Tabla6[#All],MATCH(Tabla4[[#This Row],[Producto]],Tabla6[[#All],[PRODUCTO]],0),MATCH(Tabla4[[#This Row],[Mes]],Tabla6[#Headers],0)))*(1+Catalogos!$L$2)</f>
        <v>#N/A</v>
      </c>
      <c r="N3544" s="283" t="e">
        <f>+(Tabla4[[#This Row],[Precio Descontado]]-Tabla4[[#This Row],[Precio Base]])*Tabla4[[#This Row],[Cantidad]]</f>
        <v>#N/A</v>
      </c>
      <c r="O3544" s="284" t="e">
        <f>++Tabla4[[#This Row],[Utilidad Total]]/Tabla4[[#This Row],[Total]]</f>
        <v>#N/A</v>
      </c>
      <c r="P3544" s="282">
        <f>++Tabla4[[#This Row],[Precio Descontado]]*Tabla4[[#This Row],[Cantidad]]</f>
        <v>8487.800318399999</v>
      </c>
      <c r="Q3544" s="282" t="e">
        <f>(INDEX(Tabla6[#All],MATCH(Tabla4[[#This Row],[Producto]],Tabla6[[#All],[PRODUCTO]],0),MATCH(Tabla4[[#This Row],[Mes]],Tabla6[#Headers],0)))</f>
        <v>#N/A</v>
      </c>
      <c r="R3544" s="282" t="e">
        <f>++Tabla4[[#This Row],[Precio Unitario Neto]]-Tabla4[[#This Row],[20.85%]]-Tabla4[[#This Row],[Costo]]</f>
        <v>#N/A</v>
      </c>
      <c r="S3544" s="282" t="e">
        <f>++Tabla4[[#This Row],[U. Bruta Uni]]*Tabla4[[#This Row],[Cantidad]]</f>
        <v>#N/A</v>
      </c>
      <c r="T3544" s="369" t="str">
        <f>VLOOKUP(Tabla4[[#This Row],[Producto]],Tabla6[#All],14,FALSE)</f>
        <v>Termico Solar</v>
      </c>
      <c r="U3544" s="284" t="e">
        <f>(IF(Tabla4[[#This Row],[Familia]]="termico solar",Tabla4[[#This Row],[Utilidad Total]]*6%,Tabla4[[#This Row],[Utilidad Total]]*11.5%))/Tabla4[[#This Row],[Total]]</f>
        <v>#N/A</v>
      </c>
      <c r="V3544" s="282" t="e">
        <f>+Tabla4[[#This Row],[Comisión Calculada]]*Tabla4[[#This Row],[Total]]</f>
        <v>#N/A</v>
      </c>
    </row>
    <row r="3545" spans="1:22" hidden="1" x14ac:dyDescent="0.25">
      <c r="A3545" s="100">
        <v>45823</v>
      </c>
      <c r="B3545" t="str">
        <f t="shared" si="163"/>
        <v>June</v>
      </c>
      <c r="C3545" s="46" t="s">
        <v>280</v>
      </c>
      <c r="F3545" s="366" t="s">
        <v>2082</v>
      </c>
      <c r="G3545" s="46" t="s">
        <v>18</v>
      </c>
      <c r="H3545" s="46">
        <v>3</v>
      </c>
      <c r="I3545" s="51">
        <v>5367.6500000000005</v>
      </c>
      <c r="J3545" s="281">
        <f>++Tabla4[[#This Row],[Precio Bruto]]*1.16</f>
        <v>6226.4740000000002</v>
      </c>
      <c r="K3545" s="281">
        <f>+Tabla4[[#This Row],[Precio Unitario Neto]]*Tabla4[[#Headers],[20.85%]]</f>
        <v>1298.2198289999999</v>
      </c>
      <c r="L3545" s="282">
        <f>++Tabla4[[#This Row],[Precio Unitario Neto]]-Tabla4[[#This Row],[20.85%]]</f>
        <v>4928.2541710000005</v>
      </c>
      <c r="M3545" s="282" t="e">
        <f>(INDEX(Tabla6[#All],MATCH(Tabla4[[#This Row],[Producto]],Tabla6[[#All],[PRODUCTO]],0),MATCH(Tabla4[[#This Row],[Mes]],Tabla6[#Headers],0)))*(1+Catalogos!$L$2)</f>
        <v>#N/A</v>
      </c>
      <c r="N3545" s="283" t="e">
        <f>+(Tabla4[[#This Row],[Precio Descontado]]-Tabla4[[#This Row],[Precio Base]])*Tabla4[[#This Row],[Cantidad]]</f>
        <v>#N/A</v>
      </c>
      <c r="O3545" s="284" t="e">
        <f>++Tabla4[[#This Row],[Utilidad Total]]/Tabla4[[#This Row],[Total]]</f>
        <v>#N/A</v>
      </c>
      <c r="P3545" s="282">
        <f>++Tabla4[[#This Row],[Precio Descontado]]*Tabla4[[#This Row],[Cantidad]]</f>
        <v>14784.762513000001</v>
      </c>
      <c r="Q3545" s="282" t="e">
        <f>(INDEX(Tabla6[#All],MATCH(Tabla4[[#This Row],[Producto]],Tabla6[[#All],[PRODUCTO]],0),MATCH(Tabla4[[#This Row],[Mes]],Tabla6[#Headers],0)))</f>
        <v>#N/A</v>
      </c>
      <c r="R3545" s="282" t="e">
        <f>++Tabla4[[#This Row],[Precio Unitario Neto]]-Tabla4[[#This Row],[20.85%]]-Tabla4[[#This Row],[Costo]]</f>
        <v>#N/A</v>
      </c>
      <c r="S3545" s="282" t="e">
        <f>++Tabla4[[#This Row],[U. Bruta Uni]]*Tabla4[[#This Row],[Cantidad]]</f>
        <v>#N/A</v>
      </c>
      <c r="T3545" s="369" t="str">
        <f>VLOOKUP(Tabla4[[#This Row],[Producto]],Tabla6[#All],14,FALSE)</f>
        <v>Termico Solar</v>
      </c>
      <c r="U3545" s="284" t="e">
        <f>(IF(Tabla4[[#This Row],[Familia]]="termico solar",Tabla4[[#This Row],[Utilidad Total]]*6%,Tabla4[[#This Row],[Utilidad Total]]*11.5%))/Tabla4[[#This Row],[Total]]</f>
        <v>#N/A</v>
      </c>
      <c r="V3545" s="282" t="e">
        <f>+Tabla4[[#This Row],[Comisión Calculada]]*Tabla4[[#This Row],[Total]]</f>
        <v>#N/A</v>
      </c>
    </row>
    <row r="3546" spans="1:22" hidden="1" x14ac:dyDescent="0.25">
      <c r="A3546" s="100">
        <v>45823</v>
      </c>
      <c r="B3546" t="str">
        <f t="shared" si="163"/>
        <v>June</v>
      </c>
      <c r="C3546" s="46" t="s">
        <v>280</v>
      </c>
      <c r="F3546" s="366" t="s">
        <v>2082</v>
      </c>
      <c r="G3546" s="46" t="s">
        <v>566</v>
      </c>
      <c r="H3546" s="46">
        <v>1</v>
      </c>
      <c r="I3546" s="51">
        <v>2109.4499999999998</v>
      </c>
      <c r="J3546" s="281">
        <f>++Tabla4[[#This Row],[Precio Bruto]]*1.16</f>
        <v>2446.9619999999995</v>
      </c>
      <c r="K3546" s="281">
        <f>+Tabla4[[#This Row],[Precio Unitario Neto]]*Tabla4[[#Headers],[20.85%]]</f>
        <v>510.19157699999988</v>
      </c>
      <c r="L3546" s="282">
        <f>++Tabla4[[#This Row],[Precio Unitario Neto]]-Tabla4[[#This Row],[20.85%]]</f>
        <v>1936.7704229999997</v>
      </c>
      <c r="M3546" s="282" t="e">
        <f>(INDEX(Tabla6[#All],MATCH(Tabla4[[#This Row],[Producto]],Tabla6[[#All],[PRODUCTO]],0),MATCH(Tabla4[[#This Row],[Mes]],Tabla6[#Headers],0)))*(1+Catalogos!$L$2)</f>
        <v>#N/A</v>
      </c>
      <c r="N3546" s="283" t="e">
        <f>+(Tabla4[[#This Row],[Precio Descontado]]-Tabla4[[#This Row],[Precio Base]])*Tabla4[[#This Row],[Cantidad]]</f>
        <v>#N/A</v>
      </c>
      <c r="O3546" s="284" t="e">
        <f>++Tabla4[[#This Row],[Utilidad Total]]/Tabla4[[#This Row],[Total]]</f>
        <v>#N/A</v>
      </c>
      <c r="P3546" s="282">
        <f>++Tabla4[[#This Row],[Precio Descontado]]*Tabla4[[#This Row],[Cantidad]]</f>
        <v>1936.7704229999997</v>
      </c>
      <c r="Q3546" s="282" t="e">
        <f>(INDEX(Tabla6[#All],MATCH(Tabla4[[#This Row],[Producto]],Tabla6[[#All],[PRODUCTO]],0),MATCH(Tabla4[[#This Row],[Mes]],Tabla6[#Headers],0)))</f>
        <v>#N/A</v>
      </c>
      <c r="R3546" s="282" t="e">
        <f>++Tabla4[[#This Row],[Precio Unitario Neto]]-Tabla4[[#This Row],[20.85%]]-Tabla4[[#This Row],[Costo]]</f>
        <v>#N/A</v>
      </c>
      <c r="S3546" s="282" t="e">
        <f>++Tabla4[[#This Row],[U. Bruta Uni]]*Tabla4[[#This Row],[Cantidad]]</f>
        <v>#N/A</v>
      </c>
      <c r="T3546" s="369" t="str">
        <f>VLOOKUP(Tabla4[[#This Row],[Producto]],Tabla6[#All],14,FALSE)</f>
        <v>Termico Solar</v>
      </c>
      <c r="U3546" s="284" t="e">
        <f>(IF(Tabla4[[#This Row],[Familia]]="termico solar",Tabla4[[#This Row],[Utilidad Total]]*6%,Tabla4[[#This Row],[Utilidad Total]]*11.5%))/Tabla4[[#This Row],[Total]]</f>
        <v>#N/A</v>
      </c>
      <c r="V3546" s="282" t="e">
        <f>+Tabla4[[#This Row],[Comisión Calculada]]*Tabla4[[#This Row],[Total]]</f>
        <v>#N/A</v>
      </c>
    </row>
    <row r="3547" spans="1:22" hidden="1" x14ac:dyDescent="0.25">
      <c r="A3547" s="100">
        <v>45823</v>
      </c>
      <c r="B3547" t="str">
        <f t="shared" si="163"/>
        <v>June</v>
      </c>
      <c r="C3547" s="46" t="s">
        <v>280</v>
      </c>
      <c r="F3547" s="366" t="s">
        <v>2082</v>
      </c>
      <c r="G3547" s="46" t="s">
        <v>16</v>
      </c>
      <c r="H3547" s="46">
        <v>4</v>
      </c>
      <c r="I3547" s="51">
        <v>4103.8500000000004</v>
      </c>
      <c r="J3547" s="281">
        <f>++Tabla4[[#This Row],[Precio Bruto]]*1.16</f>
        <v>4760.4660000000003</v>
      </c>
      <c r="K3547" s="281">
        <f>+Tabla4[[#This Row],[Precio Unitario Neto]]*Tabla4[[#Headers],[20.85%]]</f>
        <v>992.55716100000006</v>
      </c>
      <c r="L3547" s="282">
        <f>++Tabla4[[#This Row],[Precio Unitario Neto]]-Tabla4[[#This Row],[20.85%]]</f>
        <v>3767.9088390000002</v>
      </c>
      <c r="M3547" s="282" t="e">
        <f>(INDEX(Tabla6[#All],MATCH(Tabla4[[#This Row],[Producto]],Tabla6[[#All],[PRODUCTO]],0),MATCH(Tabla4[[#This Row],[Mes]],Tabla6[#Headers],0)))*(1+Catalogos!$L$2)</f>
        <v>#N/A</v>
      </c>
      <c r="N3547" s="283" t="e">
        <f>+(Tabla4[[#This Row],[Precio Descontado]]-Tabla4[[#This Row],[Precio Base]])*Tabla4[[#This Row],[Cantidad]]</f>
        <v>#N/A</v>
      </c>
      <c r="O3547" s="284" t="e">
        <f>++Tabla4[[#This Row],[Utilidad Total]]/Tabla4[[#This Row],[Total]]</f>
        <v>#N/A</v>
      </c>
      <c r="P3547" s="282">
        <f>++Tabla4[[#This Row],[Precio Descontado]]*Tabla4[[#This Row],[Cantidad]]</f>
        <v>15071.635356000001</v>
      </c>
      <c r="Q3547" s="282" t="e">
        <f>(INDEX(Tabla6[#All],MATCH(Tabla4[[#This Row],[Producto]],Tabla6[[#All],[PRODUCTO]],0),MATCH(Tabla4[[#This Row],[Mes]],Tabla6[#Headers],0)))</f>
        <v>#N/A</v>
      </c>
      <c r="R3547" s="282" t="e">
        <f>++Tabla4[[#This Row],[Precio Unitario Neto]]-Tabla4[[#This Row],[20.85%]]-Tabla4[[#This Row],[Costo]]</f>
        <v>#N/A</v>
      </c>
      <c r="S3547" s="282" t="e">
        <f>++Tabla4[[#This Row],[U. Bruta Uni]]*Tabla4[[#This Row],[Cantidad]]</f>
        <v>#N/A</v>
      </c>
      <c r="T3547" s="369" t="str">
        <f>VLOOKUP(Tabla4[[#This Row],[Producto]],Tabla6[#All],14,FALSE)</f>
        <v>Termico Solar</v>
      </c>
      <c r="U3547" s="284" t="e">
        <f>(IF(Tabla4[[#This Row],[Familia]]="termico solar",Tabla4[[#This Row],[Utilidad Total]]*6%,Tabla4[[#This Row],[Utilidad Total]]*11.5%))/Tabla4[[#This Row],[Total]]</f>
        <v>#N/A</v>
      </c>
      <c r="V3547" s="282" t="e">
        <f>+Tabla4[[#This Row],[Comisión Calculada]]*Tabla4[[#This Row],[Total]]</f>
        <v>#N/A</v>
      </c>
    </row>
    <row r="3548" spans="1:22" hidden="1" x14ac:dyDescent="0.25">
      <c r="A3548" s="100">
        <v>45823</v>
      </c>
      <c r="B3548" t="str">
        <f t="shared" si="163"/>
        <v>June</v>
      </c>
      <c r="C3548" s="46" t="s">
        <v>280</v>
      </c>
      <c r="F3548" s="366" t="s">
        <v>2082</v>
      </c>
      <c r="G3548" s="46" t="s">
        <v>208</v>
      </c>
      <c r="H3548" s="46">
        <v>2</v>
      </c>
      <c r="I3548" s="51">
        <v>189.75</v>
      </c>
      <c r="J3548" s="281">
        <f>++Tabla4[[#This Row],[Precio Bruto]]*1.16</f>
        <v>220.10999999999999</v>
      </c>
      <c r="K3548" s="281">
        <f>+Tabla4[[#This Row],[Precio Unitario Neto]]*Tabla4[[#Headers],[20.85%]]</f>
        <v>45.892934999999994</v>
      </c>
      <c r="L3548" s="282">
        <f>++Tabla4[[#This Row],[Precio Unitario Neto]]-Tabla4[[#This Row],[20.85%]]</f>
        <v>174.21706499999999</v>
      </c>
      <c r="M3548" s="282" t="e">
        <f>(INDEX(Tabla6[#All],MATCH(Tabla4[[#This Row],[Producto]],Tabla6[[#All],[PRODUCTO]],0),MATCH(Tabla4[[#This Row],[Mes]],Tabla6[#Headers],0)))*(1+Catalogos!$L$2)</f>
        <v>#N/A</v>
      </c>
      <c r="N3548" s="283" t="e">
        <f>+(Tabla4[[#This Row],[Precio Descontado]]-Tabla4[[#This Row],[Precio Base]])*Tabla4[[#This Row],[Cantidad]]</f>
        <v>#N/A</v>
      </c>
      <c r="O3548" s="284" t="e">
        <f>++Tabla4[[#This Row],[Utilidad Total]]/Tabla4[[#This Row],[Total]]</f>
        <v>#N/A</v>
      </c>
      <c r="P3548" s="282">
        <f>++Tabla4[[#This Row],[Precio Descontado]]*Tabla4[[#This Row],[Cantidad]]</f>
        <v>348.43412999999998</v>
      </c>
      <c r="Q3548" s="282" t="e">
        <f>(INDEX(Tabla6[#All],MATCH(Tabla4[[#This Row],[Producto]],Tabla6[[#All],[PRODUCTO]],0),MATCH(Tabla4[[#This Row],[Mes]],Tabla6[#Headers],0)))</f>
        <v>#N/A</v>
      </c>
      <c r="R3548" s="282" t="e">
        <f>++Tabla4[[#This Row],[Precio Unitario Neto]]-Tabla4[[#This Row],[20.85%]]-Tabla4[[#This Row],[Costo]]</f>
        <v>#N/A</v>
      </c>
      <c r="S3548" s="282" t="e">
        <f>++Tabla4[[#This Row],[U. Bruta Uni]]*Tabla4[[#This Row],[Cantidad]]</f>
        <v>#N/A</v>
      </c>
      <c r="T3548" s="369" t="str">
        <f>VLOOKUP(Tabla4[[#This Row],[Producto]],Tabla6[#All],14,FALSE)</f>
        <v>Termico Solar</v>
      </c>
      <c r="U3548" s="284" t="e">
        <f>(IF(Tabla4[[#This Row],[Familia]]="termico solar",Tabla4[[#This Row],[Utilidad Total]]*6%,Tabla4[[#This Row],[Utilidad Total]]*11.5%))/Tabla4[[#This Row],[Total]]</f>
        <v>#N/A</v>
      </c>
      <c r="V3548" s="282" t="e">
        <f>+Tabla4[[#This Row],[Comisión Calculada]]*Tabla4[[#This Row],[Total]]</f>
        <v>#N/A</v>
      </c>
    </row>
    <row r="3549" spans="1:22" hidden="1" x14ac:dyDescent="0.25">
      <c r="A3549" s="100">
        <v>45823</v>
      </c>
      <c r="B3549" t="str">
        <f t="shared" si="163"/>
        <v>June</v>
      </c>
      <c r="C3549" s="46" t="s">
        <v>280</v>
      </c>
      <c r="F3549" s="366" t="s">
        <v>2083</v>
      </c>
      <c r="G3549" s="46" t="s">
        <v>566</v>
      </c>
      <c r="H3549" s="46">
        <v>1</v>
      </c>
      <c r="I3549" s="51">
        <v>2109.4499999999998</v>
      </c>
      <c r="J3549" s="281">
        <f>++Tabla4[[#This Row],[Precio Bruto]]*1.16</f>
        <v>2446.9619999999995</v>
      </c>
      <c r="K3549" s="281">
        <f>+Tabla4[[#This Row],[Precio Unitario Neto]]*Tabla4[[#Headers],[20.85%]]</f>
        <v>510.19157699999988</v>
      </c>
      <c r="L3549" s="282">
        <f>++Tabla4[[#This Row],[Precio Unitario Neto]]-Tabla4[[#This Row],[20.85%]]</f>
        <v>1936.7704229999997</v>
      </c>
      <c r="M3549" s="282" t="e">
        <f>(INDEX(Tabla6[#All],MATCH(Tabla4[[#This Row],[Producto]],Tabla6[[#All],[PRODUCTO]],0),MATCH(Tabla4[[#This Row],[Mes]],Tabla6[#Headers],0)))*(1+Catalogos!$L$2)</f>
        <v>#N/A</v>
      </c>
      <c r="N3549" s="283" t="e">
        <f>+(Tabla4[[#This Row],[Precio Descontado]]-Tabla4[[#This Row],[Precio Base]])*Tabla4[[#This Row],[Cantidad]]</f>
        <v>#N/A</v>
      </c>
      <c r="O3549" s="284" t="e">
        <f>++Tabla4[[#This Row],[Utilidad Total]]/Tabla4[[#This Row],[Total]]</f>
        <v>#N/A</v>
      </c>
      <c r="P3549" s="282">
        <f>++Tabla4[[#This Row],[Precio Descontado]]*Tabla4[[#This Row],[Cantidad]]</f>
        <v>1936.7704229999997</v>
      </c>
      <c r="Q3549" s="282" t="e">
        <f>(INDEX(Tabla6[#All],MATCH(Tabla4[[#This Row],[Producto]],Tabla6[[#All],[PRODUCTO]],0),MATCH(Tabla4[[#This Row],[Mes]],Tabla6[#Headers],0)))</f>
        <v>#N/A</v>
      </c>
      <c r="R3549" s="282" t="e">
        <f>++Tabla4[[#This Row],[Precio Unitario Neto]]-Tabla4[[#This Row],[20.85%]]-Tabla4[[#This Row],[Costo]]</f>
        <v>#N/A</v>
      </c>
      <c r="S3549" s="282" t="e">
        <f>++Tabla4[[#This Row],[U. Bruta Uni]]*Tabla4[[#This Row],[Cantidad]]</f>
        <v>#N/A</v>
      </c>
      <c r="T3549" s="369" t="str">
        <f>VLOOKUP(Tabla4[[#This Row],[Producto]],Tabla6[#All],14,FALSE)</f>
        <v>Termico Solar</v>
      </c>
      <c r="U3549" s="284" t="e">
        <f>(IF(Tabla4[[#This Row],[Familia]]="termico solar",Tabla4[[#This Row],[Utilidad Total]]*6%,Tabla4[[#This Row],[Utilidad Total]]*11.5%))/Tabla4[[#This Row],[Total]]</f>
        <v>#N/A</v>
      </c>
      <c r="V3549" s="282" t="e">
        <f>+Tabla4[[#This Row],[Comisión Calculada]]*Tabla4[[#This Row],[Total]]</f>
        <v>#N/A</v>
      </c>
    </row>
    <row r="3550" spans="1:22" hidden="1" x14ac:dyDescent="0.25">
      <c r="A3550" s="100">
        <v>45823</v>
      </c>
      <c r="B3550" t="str">
        <f t="shared" si="163"/>
        <v>June</v>
      </c>
      <c r="C3550" s="46" t="s">
        <v>280</v>
      </c>
      <c r="F3550" s="366" t="s">
        <v>2083</v>
      </c>
      <c r="G3550" s="46" t="s">
        <v>412</v>
      </c>
      <c r="H3550" s="46">
        <v>1</v>
      </c>
      <c r="I3550" s="51">
        <v>3240.84</v>
      </c>
      <c r="J3550" s="281">
        <f>++Tabla4[[#This Row],[Precio Bruto]]*1.16</f>
        <v>3759.3743999999997</v>
      </c>
      <c r="K3550" s="281">
        <f>+Tabla4[[#This Row],[Precio Unitario Neto]]*Tabla4[[#Headers],[20.85%]]</f>
        <v>783.82956239999987</v>
      </c>
      <c r="L3550" s="282">
        <f>++Tabla4[[#This Row],[Precio Unitario Neto]]-Tabla4[[#This Row],[20.85%]]</f>
        <v>2975.5448375999999</v>
      </c>
      <c r="M3550" s="282" t="e">
        <f>(INDEX(Tabla6[#All],MATCH(Tabla4[[#This Row],[Producto]],Tabla6[[#All],[PRODUCTO]],0),MATCH(Tabla4[[#This Row],[Mes]],Tabla6[#Headers],0)))*(1+Catalogos!$L$2)</f>
        <v>#N/A</v>
      </c>
      <c r="N3550" s="283" t="e">
        <f>+(Tabla4[[#This Row],[Precio Descontado]]-Tabla4[[#This Row],[Precio Base]])*Tabla4[[#This Row],[Cantidad]]</f>
        <v>#N/A</v>
      </c>
      <c r="O3550" s="284" t="e">
        <f>++Tabla4[[#This Row],[Utilidad Total]]/Tabla4[[#This Row],[Total]]</f>
        <v>#N/A</v>
      </c>
      <c r="P3550" s="282">
        <f>++Tabla4[[#This Row],[Precio Descontado]]*Tabla4[[#This Row],[Cantidad]]</f>
        <v>2975.5448375999999</v>
      </c>
      <c r="Q3550" s="282" t="e">
        <f>(INDEX(Tabla6[#All],MATCH(Tabla4[[#This Row],[Producto]],Tabla6[[#All],[PRODUCTO]],0),MATCH(Tabla4[[#This Row],[Mes]],Tabla6[#Headers],0)))</f>
        <v>#N/A</v>
      </c>
      <c r="R3550" s="282" t="e">
        <f>++Tabla4[[#This Row],[Precio Unitario Neto]]-Tabla4[[#This Row],[20.85%]]-Tabla4[[#This Row],[Costo]]</f>
        <v>#N/A</v>
      </c>
      <c r="S3550" s="282" t="e">
        <f>++Tabla4[[#This Row],[U. Bruta Uni]]*Tabla4[[#This Row],[Cantidad]]</f>
        <v>#N/A</v>
      </c>
      <c r="T3550" s="369" t="str">
        <f>VLOOKUP(Tabla4[[#This Row],[Producto]],Tabla6[#All],14,FALSE)</f>
        <v>Termico Solar</v>
      </c>
      <c r="U3550" s="284" t="e">
        <f>(IF(Tabla4[[#This Row],[Familia]]="termico solar",Tabla4[[#This Row],[Utilidad Total]]*6%,Tabla4[[#This Row],[Utilidad Total]]*11.5%))/Tabla4[[#This Row],[Total]]</f>
        <v>#N/A</v>
      </c>
      <c r="V3550" s="282" t="e">
        <f>+Tabla4[[#This Row],[Comisión Calculada]]*Tabla4[[#This Row],[Total]]</f>
        <v>#N/A</v>
      </c>
    </row>
    <row r="3551" spans="1:22" hidden="1" x14ac:dyDescent="0.25">
      <c r="A3551" s="100">
        <v>45823</v>
      </c>
      <c r="B3551" t="str">
        <f t="shared" si="163"/>
        <v>June</v>
      </c>
      <c r="C3551" s="46" t="s">
        <v>280</v>
      </c>
      <c r="F3551" s="366" t="s">
        <v>2083</v>
      </c>
      <c r="G3551" s="46" t="s">
        <v>208</v>
      </c>
      <c r="H3551" s="46">
        <v>1</v>
      </c>
      <c r="I3551" s="51">
        <v>189.75</v>
      </c>
      <c r="J3551" s="281">
        <f>++Tabla4[[#This Row],[Precio Bruto]]*1.16</f>
        <v>220.10999999999999</v>
      </c>
      <c r="K3551" s="281">
        <f>+Tabla4[[#This Row],[Precio Unitario Neto]]*Tabla4[[#Headers],[20.85%]]</f>
        <v>45.892934999999994</v>
      </c>
      <c r="L3551" s="282">
        <f>++Tabla4[[#This Row],[Precio Unitario Neto]]-Tabla4[[#This Row],[20.85%]]</f>
        <v>174.21706499999999</v>
      </c>
      <c r="M3551" s="282" t="e">
        <f>(INDEX(Tabla6[#All],MATCH(Tabla4[[#This Row],[Producto]],Tabla6[[#All],[PRODUCTO]],0),MATCH(Tabla4[[#This Row],[Mes]],Tabla6[#Headers],0)))*(1+Catalogos!$L$2)</f>
        <v>#N/A</v>
      </c>
      <c r="N3551" s="283" t="e">
        <f>+(Tabla4[[#This Row],[Precio Descontado]]-Tabla4[[#This Row],[Precio Base]])*Tabla4[[#This Row],[Cantidad]]</f>
        <v>#N/A</v>
      </c>
      <c r="O3551" s="284" t="e">
        <f>++Tabla4[[#This Row],[Utilidad Total]]/Tabla4[[#This Row],[Total]]</f>
        <v>#N/A</v>
      </c>
      <c r="P3551" s="282">
        <f>++Tabla4[[#This Row],[Precio Descontado]]*Tabla4[[#This Row],[Cantidad]]</f>
        <v>174.21706499999999</v>
      </c>
      <c r="Q3551" s="282" t="e">
        <f>(INDEX(Tabla6[#All],MATCH(Tabla4[[#This Row],[Producto]],Tabla6[[#All],[PRODUCTO]],0),MATCH(Tabla4[[#This Row],[Mes]],Tabla6[#Headers],0)))</f>
        <v>#N/A</v>
      </c>
      <c r="R3551" s="282" t="e">
        <f>++Tabla4[[#This Row],[Precio Unitario Neto]]-Tabla4[[#This Row],[20.85%]]-Tabla4[[#This Row],[Costo]]</f>
        <v>#N/A</v>
      </c>
      <c r="S3551" s="282" t="e">
        <f>++Tabla4[[#This Row],[U. Bruta Uni]]*Tabla4[[#This Row],[Cantidad]]</f>
        <v>#N/A</v>
      </c>
      <c r="T3551" s="369" t="str">
        <f>VLOOKUP(Tabla4[[#This Row],[Producto]],Tabla6[#All],14,FALSE)</f>
        <v>Termico Solar</v>
      </c>
      <c r="U3551" s="284" t="e">
        <f>(IF(Tabla4[[#This Row],[Familia]]="termico solar",Tabla4[[#This Row],[Utilidad Total]]*6%,Tabla4[[#This Row],[Utilidad Total]]*11.5%))/Tabla4[[#This Row],[Total]]</f>
        <v>#N/A</v>
      </c>
      <c r="V3551" s="282" t="e">
        <f>+Tabla4[[#This Row],[Comisión Calculada]]*Tabla4[[#This Row],[Total]]</f>
        <v>#N/A</v>
      </c>
    </row>
    <row r="3552" spans="1:22" hidden="1" x14ac:dyDescent="0.25">
      <c r="A3552" s="100">
        <v>45823</v>
      </c>
      <c r="B3552" t="str">
        <f t="shared" si="163"/>
        <v>June</v>
      </c>
      <c r="C3552" s="46" t="s">
        <v>280</v>
      </c>
      <c r="F3552" s="366" t="s">
        <v>2084</v>
      </c>
      <c r="G3552" s="46" t="s">
        <v>83</v>
      </c>
      <c r="H3552" s="46">
        <v>1</v>
      </c>
      <c r="I3552" s="51">
        <v>8858.76</v>
      </c>
      <c r="J3552" s="281">
        <f>++Tabla4[[#This Row],[Precio Bruto]]*1.16</f>
        <v>10276.161599999999</v>
      </c>
      <c r="K3552" s="281">
        <f>+Tabla4[[#This Row],[Precio Unitario Neto]]*Tabla4[[#Headers],[20.85%]]</f>
        <v>2142.5796935999997</v>
      </c>
      <c r="L3552" s="282">
        <f>++Tabla4[[#This Row],[Precio Unitario Neto]]-Tabla4[[#This Row],[20.85%]]</f>
        <v>8133.5819063999998</v>
      </c>
      <c r="M3552" s="282" t="e">
        <f>(INDEX(Tabla6[#All],MATCH(Tabla4[[#This Row],[Producto]],Tabla6[[#All],[PRODUCTO]],0),MATCH(Tabla4[[#This Row],[Mes]],Tabla6[#Headers],0)))*(1+Catalogos!$L$2)</f>
        <v>#N/A</v>
      </c>
      <c r="N3552" s="283" t="e">
        <f>+(Tabla4[[#This Row],[Precio Descontado]]-Tabla4[[#This Row],[Precio Base]])*Tabla4[[#This Row],[Cantidad]]</f>
        <v>#N/A</v>
      </c>
      <c r="O3552" s="284" t="e">
        <f>++Tabla4[[#This Row],[Utilidad Total]]/Tabla4[[#This Row],[Total]]</f>
        <v>#N/A</v>
      </c>
      <c r="P3552" s="282">
        <f>++Tabla4[[#This Row],[Precio Descontado]]*Tabla4[[#This Row],[Cantidad]]</f>
        <v>8133.5819063999998</v>
      </c>
      <c r="Q3552" s="282" t="e">
        <f>(INDEX(Tabla6[#All],MATCH(Tabla4[[#This Row],[Producto]],Tabla6[[#All],[PRODUCTO]],0),MATCH(Tabla4[[#This Row],[Mes]],Tabla6[#Headers],0)))</f>
        <v>#N/A</v>
      </c>
      <c r="R3552" s="282" t="e">
        <f>++Tabla4[[#This Row],[Precio Unitario Neto]]-Tabla4[[#This Row],[20.85%]]-Tabla4[[#This Row],[Costo]]</f>
        <v>#N/A</v>
      </c>
      <c r="S3552" s="282" t="e">
        <f>++Tabla4[[#This Row],[U. Bruta Uni]]*Tabla4[[#This Row],[Cantidad]]</f>
        <v>#N/A</v>
      </c>
      <c r="T3552" s="369" t="str">
        <f>VLOOKUP(Tabla4[[#This Row],[Producto]],Tabla6[#All],14,FALSE)</f>
        <v>Termico Solar</v>
      </c>
      <c r="U3552" s="284" t="e">
        <f>(IF(Tabla4[[#This Row],[Familia]]="termico solar",Tabla4[[#This Row],[Utilidad Total]]*6%,Tabla4[[#This Row],[Utilidad Total]]*11.5%))/Tabla4[[#This Row],[Total]]</f>
        <v>#N/A</v>
      </c>
      <c r="V3552" s="282" t="e">
        <f>+Tabla4[[#This Row],[Comisión Calculada]]*Tabla4[[#This Row],[Total]]</f>
        <v>#N/A</v>
      </c>
    </row>
    <row r="3553" spans="1:22" hidden="1" x14ac:dyDescent="0.25">
      <c r="A3553" s="100">
        <v>45823</v>
      </c>
      <c r="B3553" t="str">
        <f t="shared" si="163"/>
        <v>June</v>
      </c>
      <c r="C3553" s="46" t="s">
        <v>280</v>
      </c>
      <c r="F3553" s="366" t="s">
        <v>2084</v>
      </c>
      <c r="G3553" s="46" t="s">
        <v>17</v>
      </c>
      <c r="H3553" s="46">
        <v>9</v>
      </c>
      <c r="I3553" s="51">
        <v>4622.28</v>
      </c>
      <c r="J3553" s="281">
        <f>++Tabla4[[#This Row],[Precio Bruto]]*1.16</f>
        <v>5361.8447999999989</v>
      </c>
      <c r="K3553" s="281">
        <f>+Tabla4[[#This Row],[Precio Unitario Neto]]*Tabla4[[#Headers],[20.85%]]</f>
        <v>1117.9446407999997</v>
      </c>
      <c r="L3553" s="282">
        <f>++Tabla4[[#This Row],[Precio Unitario Neto]]-Tabla4[[#This Row],[20.85%]]</f>
        <v>4243.9001591999995</v>
      </c>
      <c r="M3553" s="282" t="e">
        <f>(INDEX(Tabla6[#All],MATCH(Tabla4[[#This Row],[Producto]],Tabla6[[#All],[PRODUCTO]],0),MATCH(Tabla4[[#This Row],[Mes]],Tabla6[#Headers],0)))*(1+Catalogos!$L$2)</f>
        <v>#N/A</v>
      </c>
      <c r="N3553" s="283" t="e">
        <f>+(Tabla4[[#This Row],[Precio Descontado]]-Tabla4[[#This Row],[Precio Base]])*Tabla4[[#This Row],[Cantidad]]</f>
        <v>#N/A</v>
      </c>
      <c r="O3553" s="284" t="e">
        <f>++Tabla4[[#This Row],[Utilidad Total]]/Tabla4[[#This Row],[Total]]</f>
        <v>#N/A</v>
      </c>
      <c r="P3553" s="282">
        <f>++Tabla4[[#This Row],[Precio Descontado]]*Tabla4[[#This Row],[Cantidad]]</f>
        <v>38195.101432799995</v>
      </c>
      <c r="Q3553" s="282" t="e">
        <f>(INDEX(Tabla6[#All],MATCH(Tabla4[[#This Row],[Producto]],Tabla6[[#All],[PRODUCTO]],0),MATCH(Tabla4[[#This Row],[Mes]],Tabla6[#Headers],0)))</f>
        <v>#N/A</v>
      </c>
      <c r="R3553" s="282" t="e">
        <f>++Tabla4[[#This Row],[Precio Unitario Neto]]-Tabla4[[#This Row],[20.85%]]-Tabla4[[#This Row],[Costo]]</f>
        <v>#N/A</v>
      </c>
      <c r="S3553" s="282" t="e">
        <f>++Tabla4[[#This Row],[U. Bruta Uni]]*Tabla4[[#This Row],[Cantidad]]</f>
        <v>#N/A</v>
      </c>
      <c r="T3553" s="369" t="str">
        <f>VLOOKUP(Tabla4[[#This Row],[Producto]],Tabla6[#All],14,FALSE)</f>
        <v>Termico Solar</v>
      </c>
      <c r="U3553" s="284" t="e">
        <f>(IF(Tabla4[[#This Row],[Familia]]="termico solar",Tabla4[[#This Row],[Utilidad Total]]*6%,Tabla4[[#This Row],[Utilidad Total]]*11.5%))/Tabla4[[#This Row],[Total]]</f>
        <v>#N/A</v>
      </c>
      <c r="V3553" s="282" t="e">
        <f>+Tabla4[[#This Row],[Comisión Calculada]]*Tabla4[[#This Row],[Total]]</f>
        <v>#N/A</v>
      </c>
    </row>
    <row r="3554" spans="1:22" hidden="1" x14ac:dyDescent="0.25">
      <c r="A3554" s="100">
        <v>45823</v>
      </c>
      <c r="B3554" t="str">
        <f t="shared" si="163"/>
        <v>June</v>
      </c>
      <c r="C3554" s="46" t="s">
        <v>280</v>
      </c>
      <c r="F3554" s="366" t="s">
        <v>2084</v>
      </c>
      <c r="G3554" s="46" t="s">
        <v>18</v>
      </c>
      <c r="H3554" s="46">
        <v>1</v>
      </c>
      <c r="I3554" s="51">
        <v>5367.65</v>
      </c>
      <c r="J3554" s="281">
        <f>++Tabla4[[#This Row],[Precio Bruto]]*1.16</f>
        <v>6226.4739999999993</v>
      </c>
      <c r="K3554" s="281">
        <f>+Tabla4[[#This Row],[Precio Unitario Neto]]*Tabla4[[#Headers],[20.85%]]</f>
        <v>1298.2198289999999</v>
      </c>
      <c r="L3554" s="282">
        <f>++Tabla4[[#This Row],[Precio Unitario Neto]]-Tabla4[[#This Row],[20.85%]]</f>
        <v>4928.2541709999996</v>
      </c>
      <c r="M3554" s="282" t="e">
        <f>(INDEX(Tabla6[#All],MATCH(Tabla4[[#This Row],[Producto]],Tabla6[[#All],[PRODUCTO]],0),MATCH(Tabla4[[#This Row],[Mes]],Tabla6[#Headers],0)))*(1+Catalogos!$L$2)</f>
        <v>#N/A</v>
      </c>
      <c r="N3554" s="283" t="e">
        <f>+(Tabla4[[#This Row],[Precio Descontado]]-Tabla4[[#This Row],[Precio Base]])*Tabla4[[#This Row],[Cantidad]]</f>
        <v>#N/A</v>
      </c>
      <c r="O3554" s="284" t="e">
        <f>++Tabla4[[#This Row],[Utilidad Total]]/Tabla4[[#This Row],[Total]]</f>
        <v>#N/A</v>
      </c>
      <c r="P3554" s="282">
        <f>++Tabla4[[#This Row],[Precio Descontado]]*Tabla4[[#This Row],[Cantidad]]</f>
        <v>4928.2541709999996</v>
      </c>
      <c r="Q3554" s="282" t="e">
        <f>(INDEX(Tabla6[#All],MATCH(Tabla4[[#This Row],[Producto]],Tabla6[[#All],[PRODUCTO]],0),MATCH(Tabla4[[#This Row],[Mes]],Tabla6[#Headers],0)))</f>
        <v>#N/A</v>
      </c>
      <c r="R3554" s="282" t="e">
        <f>++Tabla4[[#This Row],[Precio Unitario Neto]]-Tabla4[[#This Row],[20.85%]]-Tabla4[[#This Row],[Costo]]</f>
        <v>#N/A</v>
      </c>
      <c r="S3554" s="282" t="e">
        <f>++Tabla4[[#This Row],[U. Bruta Uni]]*Tabla4[[#This Row],[Cantidad]]</f>
        <v>#N/A</v>
      </c>
      <c r="T3554" s="369" t="str">
        <f>VLOOKUP(Tabla4[[#This Row],[Producto]],Tabla6[#All],14,FALSE)</f>
        <v>Termico Solar</v>
      </c>
      <c r="U3554" s="284" t="e">
        <f>(IF(Tabla4[[#This Row],[Familia]]="termico solar",Tabla4[[#This Row],[Utilidad Total]]*6%,Tabla4[[#This Row],[Utilidad Total]]*11.5%))/Tabla4[[#This Row],[Total]]</f>
        <v>#N/A</v>
      </c>
      <c r="V3554" s="282" t="e">
        <f>+Tabla4[[#This Row],[Comisión Calculada]]*Tabla4[[#This Row],[Total]]</f>
        <v>#N/A</v>
      </c>
    </row>
    <row r="3555" spans="1:22" hidden="1" x14ac:dyDescent="0.25">
      <c r="A3555" s="100">
        <v>45823</v>
      </c>
      <c r="B3555" t="str">
        <f t="shared" si="163"/>
        <v>June</v>
      </c>
      <c r="C3555" s="46" t="s">
        <v>280</v>
      </c>
      <c r="F3555" s="366" t="s">
        <v>2084</v>
      </c>
      <c r="G3555" s="46" t="s">
        <v>566</v>
      </c>
      <c r="H3555" s="46">
        <v>1</v>
      </c>
      <c r="I3555" s="51">
        <v>2109.4499999999998</v>
      </c>
      <c r="J3555" s="281">
        <f>++Tabla4[[#This Row],[Precio Bruto]]*1.16</f>
        <v>2446.9619999999995</v>
      </c>
      <c r="K3555" s="281">
        <f>+Tabla4[[#This Row],[Precio Unitario Neto]]*Tabla4[[#Headers],[20.85%]]</f>
        <v>510.19157699999988</v>
      </c>
      <c r="L3555" s="282">
        <f>++Tabla4[[#This Row],[Precio Unitario Neto]]-Tabla4[[#This Row],[20.85%]]</f>
        <v>1936.7704229999997</v>
      </c>
      <c r="M3555" s="282" t="e">
        <f>(INDEX(Tabla6[#All],MATCH(Tabla4[[#This Row],[Producto]],Tabla6[[#All],[PRODUCTO]],0),MATCH(Tabla4[[#This Row],[Mes]],Tabla6[#Headers],0)))*(1+Catalogos!$L$2)</f>
        <v>#N/A</v>
      </c>
      <c r="N3555" s="283" t="e">
        <f>+(Tabla4[[#This Row],[Precio Descontado]]-Tabla4[[#This Row],[Precio Base]])*Tabla4[[#This Row],[Cantidad]]</f>
        <v>#N/A</v>
      </c>
      <c r="O3555" s="284" t="e">
        <f>++Tabla4[[#This Row],[Utilidad Total]]/Tabla4[[#This Row],[Total]]</f>
        <v>#N/A</v>
      </c>
      <c r="P3555" s="282">
        <f>++Tabla4[[#This Row],[Precio Descontado]]*Tabla4[[#This Row],[Cantidad]]</f>
        <v>1936.7704229999997</v>
      </c>
      <c r="Q3555" s="282" t="e">
        <f>(INDEX(Tabla6[#All],MATCH(Tabla4[[#This Row],[Producto]],Tabla6[[#All],[PRODUCTO]],0),MATCH(Tabla4[[#This Row],[Mes]],Tabla6[#Headers],0)))</f>
        <v>#N/A</v>
      </c>
      <c r="R3555" s="282" t="e">
        <f>++Tabla4[[#This Row],[Precio Unitario Neto]]-Tabla4[[#This Row],[20.85%]]-Tabla4[[#This Row],[Costo]]</f>
        <v>#N/A</v>
      </c>
      <c r="S3555" s="282" t="e">
        <f>++Tabla4[[#This Row],[U. Bruta Uni]]*Tabla4[[#This Row],[Cantidad]]</f>
        <v>#N/A</v>
      </c>
      <c r="T3555" s="369" t="str">
        <f>VLOOKUP(Tabla4[[#This Row],[Producto]],Tabla6[#All],14,FALSE)</f>
        <v>Termico Solar</v>
      </c>
      <c r="U3555" s="284" t="e">
        <f>(IF(Tabla4[[#This Row],[Familia]]="termico solar",Tabla4[[#This Row],[Utilidad Total]]*6%,Tabla4[[#This Row],[Utilidad Total]]*11.5%))/Tabla4[[#This Row],[Total]]</f>
        <v>#N/A</v>
      </c>
      <c r="V3555" s="282" t="e">
        <f>+Tabla4[[#This Row],[Comisión Calculada]]*Tabla4[[#This Row],[Total]]</f>
        <v>#N/A</v>
      </c>
    </row>
    <row r="3556" spans="1:22" hidden="1" x14ac:dyDescent="0.25">
      <c r="A3556" s="100">
        <v>45823</v>
      </c>
      <c r="B3556" t="str">
        <f t="shared" si="163"/>
        <v>June</v>
      </c>
      <c r="C3556" s="46" t="s">
        <v>280</v>
      </c>
      <c r="F3556" s="366" t="s">
        <v>2085</v>
      </c>
      <c r="G3556" s="46" t="s">
        <v>17</v>
      </c>
      <c r="H3556" s="46">
        <v>5</v>
      </c>
      <c r="I3556" s="51">
        <v>4622.2800000000007</v>
      </c>
      <c r="J3556" s="281">
        <f>++Tabla4[[#This Row],[Precio Bruto]]*1.16</f>
        <v>5361.8448000000008</v>
      </c>
      <c r="K3556" s="281">
        <f>+Tabla4[[#This Row],[Precio Unitario Neto]]*Tabla4[[#Headers],[20.85%]]</f>
        <v>1117.9446408000001</v>
      </c>
      <c r="L3556" s="282">
        <f>++Tabla4[[#This Row],[Precio Unitario Neto]]-Tabla4[[#This Row],[20.85%]]</f>
        <v>4243.9001592000004</v>
      </c>
      <c r="M3556" s="282" t="e">
        <f>(INDEX(Tabla6[#All],MATCH(Tabla4[[#This Row],[Producto]],Tabla6[[#All],[PRODUCTO]],0),MATCH(Tabla4[[#This Row],[Mes]],Tabla6[#Headers],0)))*(1+Catalogos!$L$2)</f>
        <v>#N/A</v>
      </c>
      <c r="N3556" s="283" t="e">
        <f>+(Tabla4[[#This Row],[Precio Descontado]]-Tabla4[[#This Row],[Precio Base]])*Tabla4[[#This Row],[Cantidad]]</f>
        <v>#N/A</v>
      </c>
      <c r="O3556" s="284" t="e">
        <f>++Tabla4[[#This Row],[Utilidad Total]]/Tabla4[[#This Row],[Total]]</f>
        <v>#N/A</v>
      </c>
      <c r="P3556" s="282">
        <f>++Tabla4[[#This Row],[Precio Descontado]]*Tabla4[[#This Row],[Cantidad]]</f>
        <v>21219.500796</v>
      </c>
      <c r="Q3556" s="282" t="e">
        <f>(INDEX(Tabla6[#All],MATCH(Tabla4[[#This Row],[Producto]],Tabla6[[#All],[PRODUCTO]],0),MATCH(Tabla4[[#This Row],[Mes]],Tabla6[#Headers],0)))</f>
        <v>#N/A</v>
      </c>
      <c r="R3556" s="282" t="e">
        <f>++Tabla4[[#This Row],[Precio Unitario Neto]]-Tabla4[[#This Row],[20.85%]]-Tabla4[[#This Row],[Costo]]</f>
        <v>#N/A</v>
      </c>
      <c r="S3556" s="282" t="e">
        <f>++Tabla4[[#This Row],[U. Bruta Uni]]*Tabla4[[#This Row],[Cantidad]]</f>
        <v>#N/A</v>
      </c>
      <c r="T3556" s="369" t="str">
        <f>VLOOKUP(Tabla4[[#This Row],[Producto]],Tabla6[#All],14,FALSE)</f>
        <v>Termico Solar</v>
      </c>
      <c r="U3556" s="284" t="e">
        <f>(IF(Tabla4[[#This Row],[Familia]]="termico solar",Tabla4[[#This Row],[Utilidad Total]]*6%,Tabla4[[#This Row],[Utilidad Total]]*11.5%))/Tabla4[[#This Row],[Total]]</f>
        <v>#N/A</v>
      </c>
      <c r="V3556" s="282" t="e">
        <f>+Tabla4[[#This Row],[Comisión Calculada]]*Tabla4[[#This Row],[Total]]</f>
        <v>#N/A</v>
      </c>
    </row>
    <row r="3557" spans="1:22" hidden="1" x14ac:dyDescent="0.25">
      <c r="A3557" s="100">
        <v>45823</v>
      </c>
      <c r="B3557" t="str">
        <f t="shared" si="163"/>
        <v>June</v>
      </c>
      <c r="C3557" s="46" t="s">
        <v>280</v>
      </c>
      <c r="F3557" s="366" t="s">
        <v>2085</v>
      </c>
      <c r="G3557" s="46" t="s">
        <v>18</v>
      </c>
      <c r="H3557" s="46">
        <v>7</v>
      </c>
      <c r="I3557" s="51">
        <v>5367.6500000000005</v>
      </c>
      <c r="J3557" s="281">
        <f>++Tabla4[[#This Row],[Precio Bruto]]*1.16</f>
        <v>6226.4740000000002</v>
      </c>
      <c r="K3557" s="281">
        <f>+Tabla4[[#This Row],[Precio Unitario Neto]]*Tabla4[[#Headers],[20.85%]]</f>
        <v>1298.2198289999999</v>
      </c>
      <c r="L3557" s="282">
        <f>++Tabla4[[#This Row],[Precio Unitario Neto]]-Tabla4[[#This Row],[20.85%]]</f>
        <v>4928.2541710000005</v>
      </c>
      <c r="M3557" s="282" t="e">
        <f>(INDEX(Tabla6[#All],MATCH(Tabla4[[#This Row],[Producto]],Tabla6[[#All],[PRODUCTO]],0),MATCH(Tabla4[[#This Row],[Mes]],Tabla6[#Headers],0)))*(1+Catalogos!$L$2)</f>
        <v>#N/A</v>
      </c>
      <c r="N3557" s="283" t="e">
        <f>+(Tabla4[[#This Row],[Precio Descontado]]-Tabla4[[#This Row],[Precio Base]])*Tabla4[[#This Row],[Cantidad]]</f>
        <v>#N/A</v>
      </c>
      <c r="O3557" s="284" t="e">
        <f>++Tabla4[[#This Row],[Utilidad Total]]/Tabla4[[#This Row],[Total]]</f>
        <v>#N/A</v>
      </c>
      <c r="P3557" s="282">
        <f>++Tabla4[[#This Row],[Precio Descontado]]*Tabla4[[#This Row],[Cantidad]]</f>
        <v>34497.779197000003</v>
      </c>
      <c r="Q3557" s="282" t="e">
        <f>(INDEX(Tabla6[#All],MATCH(Tabla4[[#This Row],[Producto]],Tabla6[[#All],[PRODUCTO]],0),MATCH(Tabla4[[#This Row],[Mes]],Tabla6[#Headers],0)))</f>
        <v>#N/A</v>
      </c>
      <c r="R3557" s="282" t="e">
        <f>++Tabla4[[#This Row],[Precio Unitario Neto]]-Tabla4[[#This Row],[20.85%]]-Tabla4[[#This Row],[Costo]]</f>
        <v>#N/A</v>
      </c>
      <c r="S3557" s="282" t="e">
        <f>++Tabla4[[#This Row],[U. Bruta Uni]]*Tabla4[[#This Row],[Cantidad]]</f>
        <v>#N/A</v>
      </c>
      <c r="T3557" s="369" t="str">
        <f>VLOOKUP(Tabla4[[#This Row],[Producto]],Tabla6[#All],14,FALSE)</f>
        <v>Termico Solar</v>
      </c>
      <c r="U3557" s="284" t="e">
        <f>(IF(Tabla4[[#This Row],[Familia]]="termico solar",Tabla4[[#This Row],[Utilidad Total]]*6%,Tabla4[[#This Row],[Utilidad Total]]*11.5%))/Tabla4[[#This Row],[Total]]</f>
        <v>#N/A</v>
      </c>
      <c r="V3557" s="282" t="e">
        <f>+Tabla4[[#This Row],[Comisión Calculada]]*Tabla4[[#This Row],[Total]]</f>
        <v>#N/A</v>
      </c>
    </row>
    <row r="3558" spans="1:22" hidden="1" x14ac:dyDescent="0.25">
      <c r="A3558" s="100">
        <v>45823</v>
      </c>
      <c r="B3558" t="str">
        <f t="shared" si="163"/>
        <v>June</v>
      </c>
      <c r="C3558" s="46" t="s">
        <v>280</v>
      </c>
      <c r="F3558" s="366" t="s">
        <v>2085</v>
      </c>
      <c r="G3558" s="46" t="s">
        <v>16</v>
      </c>
      <c r="H3558" s="46">
        <v>4</v>
      </c>
      <c r="I3558" s="51">
        <v>4103.8500000000004</v>
      </c>
      <c r="J3558" s="281">
        <f>++Tabla4[[#This Row],[Precio Bruto]]*1.16</f>
        <v>4760.4660000000003</v>
      </c>
      <c r="K3558" s="281">
        <f>+Tabla4[[#This Row],[Precio Unitario Neto]]*Tabla4[[#Headers],[20.85%]]</f>
        <v>992.55716100000006</v>
      </c>
      <c r="L3558" s="282">
        <f>++Tabla4[[#This Row],[Precio Unitario Neto]]-Tabla4[[#This Row],[20.85%]]</f>
        <v>3767.9088390000002</v>
      </c>
      <c r="M3558" s="282" t="e">
        <f>(INDEX(Tabla6[#All],MATCH(Tabla4[[#This Row],[Producto]],Tabla6[[#All],[PRODUCTO]],0),MATCH(Tabla4[[#This Row],[Mes]],Tabla6[#Headers],0)))*(1+Catalogos!$L$2)</f>
        <v>#N/A</v>
      </c>
      <c r="N3558" s="283" t="e">
        <f>+(Tabla4[[#This Row],[Precio Descontado]]-Tabla4[[#This Row],[Precio Base]])*Tabla4[[#This Row],[Cantidad]]</f>
        <v>#N/A</v>
      </c>
      <c r="O3558" s="284" t="e">
        <f>++Tabla4[[#This Row],[Utilidad Total]]/Tabla4[[#This Row],[Total]]</f>
        <v>#N/A</v>
      </c>
      <c r="P3558" s="282">
        <f>++Tabla4[[#This Row],[Precio Descontado]]*Tabla4[[#This Row],[Cantidad]]</f>
        <v>15071.635356000001</v>
      </c>
      <c r="Q3558" s="282" t="e">
        <f>(INDEX(Tabla6[#All],MATCH(Tabla4[[#This Row],[Producto]],Tabla6[[#All],[PRODUCTO]],0),MATCH(Tabla4[[#This Row],[Mes]],Tabla6[#Headers],0)))</f>
        <v>#N/A</v>
      </c>
      <c r="R3558" s="282" t="e">
        <f>++Tabla4[[#This Row],[Precio Unitario Neto]]-Tabla4[[#This Row],[20.85%]]-Tabla4[[#This Row],[Costo]]</f>
        <v>#N/A</v>
      </c>
      <c r="S3558" s="282" t="e">
        <f>++Tabla4[[#This Row],[U. Bruta Uni]]*Tabla4[[#This Row],[Cantidad]]</f>
        <v>#N/A</v>
      </c>
      <c r="T3558" s="369" t="str">
        <f>VLOOKUP(Tabla4[[#This Row],[Producto]],Tabla6[#All],14,FALSE)</f>
        <v>Termico Solar</v>
      </c>
      <c r="U3558" s="284" t="e">
        <f>(IF(Tabla4[[#This Row],[Familia]]="termico solar",Tabla4[[#This Row],[Utilidad Total]]*6%,Tabla4[[#This Row],[Utilidad Total]]*11.5%))/Tabla4[[#This Row],[Total]]</f>
        <v>#N/A</v>
      </c>
      <c r="V3558" s="282" t="e">
        <f>+Tabla4[[#This Row],[Comisión Calculada]]*Tabla4[[#This Row],[Total]]</f>
        <v>#N/A</v>
      </c>
    </row>
    <row r="3559" spans="1:22" hidden="1" x14ac:dyDescent="0.25">
      <c r="A3559" s="100">
        <v>45823</v>
      </c>
      <c r="B3559" t="str">
        <f t="shared" si="163"/>
        <v>June</v>
      </c>
      <c r="C3559" s="46" t="s">
        <v>280</v>
      </c>
      <c r="F3559" s="366" t="s">
        <v>2085</v>
      </c>
      <c r="G3559" s="46" t="s">
        <v>555</v>
      </c>
      <c r="H3559" s="46">
        <v>8</v>
      </c>
      <c r="I3559" s="51">
        <v>389.47</v>
      </c>
      <c r="J3559" s="281">
        <f>++Tabla4[[#This Row],[Precio Bruto]]*1.16</f>
        <v>451.78519999999997</v>
      </c>
      <c r="K3559" s="281">
        <f>+Tabla4[[#This Row],[Precio Unitario Neto]]*Tabla4[[#Headers],[20.85%]]</f>
        <v>94.197214199999991</v>
      </c>
      <c r="L3559" s="282">
        <f>++Tabla4[[#This Row],[Precio Unitario Neto]]-Tabla4[[#This Row],[20.85%]]</f>
        <v>357.58798579999996</v>
      </c>
      <c r="M3559" s="282" t="e">
        <f>(INDEX(Tabla6[#All],MATCH(Tabla4[[#This Row],[Producto]],Tabla6[[#All],[PRODUCTO]],0),MATCH(Tabla4[[#This Row],[Mes]],Tabla6[#Headers],0)))*(1+Catalogos!$L$2)</f>
        <v>#N/A</v>
      </c>
      <c r="N3559" s="283" t="e">
        <f>+(Tabla4[[#This Row],[Precio Descontado]]-Tabla4[[#This Row],[Precio Base]])*Tabla4[[#This Row],[Cantidad]]</f>
        <v>#N/A</v>
      </c>
      <c r="O3559" s="284" t="e">
        <f>++Tabla4[[#This Row],[Utilidad Total]]/Tabla4[[#This Row],[Total]]</f>
        <v>#N/A</v>
      </c>
      <c r="P3559" s="282">
        <f>++Tabla4[[#This Row],[Precio Descontado]]*Tabla4[[#This Row],[Cantidad]]</f>
        <v>2860.7038863999996</v>
      </c>
      <c r="Q3559" s="282" t="e">
        <f>(INDEX(Tabla6[#All],MATCH(Tabla4[[#This Row],[Producto]],Tabla6[[#All],[PRODUCTO]],0),MATCH(Tabla4[[#This Row],[Mes]],Tabla6[#Headers],0)))</f>
        <v>#N/A</v>
      </c>
      <c r="R3559" s="282" t="e">
        <f>++Tabla4[[#This Row],[Precio Unitario Neto]]-Tabla4[[#This Row],[20.85%]]-Tabla4[[#This Row],[Costo]]</f>
        <v>#N/A</v>
      </c>
      <c r="S3559" s="282" t="e">
        <f>++Tabla4[[#This Row],[U. Bruta Uni]]*Tabla4[[#This Row],[Cantidad]]</f>
        <v>#N/A</v>
      </c>
      <c r="T3559" s="369" t="str">
        <f>VLOOKUP(Tabla4[[#This Row],[Producto]],Tabla6[#All],14,FALSE)</f>
        <v>Termico Solar</v>
      </c>
      <c r="U3559" s="284" t="e">
        <f>(IF(Tabla4[[#This Row],[Familia]]="termico solar",Tabla4[[#This Row],[Utilidad Total]]*6%,Tabla4[[#This Row],[Utilidad Total]]*11.5%))/Tabla4[[#This Row],[Total]]</f>
        <v>#N/A</v>
      </c>
      <c r="V3559" s="282" t="e">
        <f>+Tabla4[[#This Row],[Comisión Calculada]]*Tabla4[[#This Row],[Total]]</f>
        <v>#N/A</v>
      </c>
    </row>
    <row r="3560" spans="1:22" hidden="1" x14ac:dyDescent="0.25">
      <c r="A3560" s="100">
        <v>45823</v>
      </c>
      <c r="B3560" t="str">
        <f t="shared" si="163"/>
        <v>June</v>
      </c>
      <c r="C3560" s="46" t="s">
        <v>280</v>
      </c>
      <c r="F3560" s="366" t="s">
        <v>2086</v>
      </c>
      <c r="G3560" s="46" t="s">
        <v>16</v>
      </c>
      <c r="H3560" s="46">
        <v>2</v>
      </c>
      <c r="I3560" s="51">
        <v>4103.8500000000004</v>
      </c>
      <c r="J3560" s="281">
        <f>++Tabla4[[#This Row],[Precio Bruto]]*1.16</f>
        <v>4760.4660000000003</v>
      </c>
      <c r="K3560" s="281">
        <f>+Tabla4[[#This Row],[Precio Unitario Neto]]*Tabla4[[#Headers],[20.85%]]</f>
        <v>992.55716100000006</v>
      </c>
      <c r="L3560" s="282">
        <f>++Tabla4[[#This Row],[Precio Unitario Neto]]-Tabla4[[#This Row],[20.85%]]</f>
        <v>3767.9088390000002</v>
      </c>
      <c r="M3560" s="282" t="e">
        <f>(INDEX(Tabla6[#All],MATCH(Tabla4[[#This Row],[Producto]],Tabla6[[#All],[PRODUCTO]],0),MATCH(Tabla4[[#This Row],[Mes]],Tabla6[#Headers],0)))*(1+Catalogos!$L$2)</f>
        <v>#N/A</v>
      </c>
      <c r="N3560" s="283" t="e">
        <f>+(Tabla4[[#This Row],[Precio Descontado]]-Tabla4[[#This Row],[Precio Base]])*Tabla4[[#This Row],[Cantidad]]</f>
        <v>#N/A</v>
      </c>
      <c r="O3560" s="284" t="e">
        <f>++Tabla4[[#This Row],[Utilidad Total]]/Tabla4[[#This Row],[Total]]</f>
        <v>#N/A</v>
      </c>
      <c r="P3560" s="282">
        <f>++Tabla4[[#This Row],[Precio Descontado]]*Tabla4[[#This Row],[Cantidad]]</f>
        <v>7535.8176780000003</v>
      </c>
      <c r="Q3560" s="282" t="e">
        <f>(INDEX(Tabla6[#All],MATCH(Tabla4[[#This Row],[Producto]],Tabla6[[#All],[PRODUCTO]],0),MATCH(Tabla4[[#This Row],[Mes]],Tabla6[#Headers],0)))</f>
        <v>#N/A</v>
      </c>
      <c r="R3560" s="282" t="e">
        <f>++Tabla4[[#This Row],[Precio Unitario Neto]]-Tabla4[[#This Row],[20.85%]]-Tabla4[[#This Row],[Costo]]</f>
        <v>#N/A</v>
      </c>
      <c r="S3560" s="282" t="e">
        <f>++Tabla4[[#This Row],[U. Bruta Uni]]*Tabla4[[#This Row],[Cantidad]]</f>
        <v>#N/A</v>
      </c>
      <c r="T3560" s="369" t="str">
        <f>VLOOKUP(Tabla4[[#This Row],[Producto]],Tabla6[#All],14,FALSE)</f>
        <v>Termico Solar</v>
      </c>
      <c r="U3560" s="284" t="e">
        <f>(IF(Tabla4[[#This Row],[Familia]]="termico solar",Tabla4[[#This Row],[Utilidad Total]]*6%,Tabla4[[#This Row],[Utilidad Total]]*11.5%))/Tabla4[[#This Row],[Total]]</f>
        <v>#N/A</v>
      </c>
      <c r="V3560" s="282" t="e">
        <f>+Tabla4[[#This Row],[Comisión Calculada]]*Tabla4[[#This Row],[Total]]</f>
        <v>#N/A</v>
      </c>
    </row>
    <row r="3561" spans="1:22" hidden="1" x14ac:dyDescent="0.25">
      <c r="A3561" s="100">
        <v>45823</v>
      </c>
      <c r="B3561" t="str">
        <f t="shared" si="163"/>
        <v>June</v>
      </c>
      <c r="C3561" s="46" t="s">
        <v>280</v>
      </c>
      <c r="F3561" s="366" t="s">
        <v>2087</v>
      </c>
      <c r="G3561" s="46" t="s">
        <v>83</v>
      </c>
      <c r="H3561" s="46">
        <v>1</v>
      </c>
      <c r="I3561" s="51">
        <v>8858.76</v>
      </c>
      <c r="J3561" s="281">
        <f>++Tabla4[[#This Row],[Precio Bruto]]*1.16</f>
        <v>10276.161599999999</v>
      </c>
      <c r="K3561" s="281">
        <f>+Tabla4[[#This Row],[Precio Unitario Neto]]*Tabla4[[#Headers],[20.85%]]</f>
        <v>2142.5796935999997</v>
      </c>
      <c r="L3561" s="282">
        <f>++Tabla4[[#This Row],[Precio Unitario Neto]]-Tabla4[[#This Row],[20.85%]]</f>
        <v>8133.5819063999998</v>
      </c>
      <c r="M3561" s="282" t="e">
        <f>(INDEX(Tabla6[#All],MATCH(Tabla4[[#This Row],[Producto]],Tabla6[[#All],[PRODUCTO]],0),MATCH(Tabla4[[#This Row],[Mes]],Tabla6[#Headers],0)))*(1+Catalogos!$L$2)</f>
        <v>#N/A</v>
      </c>
      <c r="N3561" s="283" t="e">
        <f>+(Tabla4[[#This Row],[Precio Descontado]]-Tabla4[[#This Row],[Precio Base]])*Tabla4[[#This Row],[Cantidad]]</f>
        <v>#N/A</v>
      </c>
      <c r="O3561" s="284" t="e">
        <f>++Tabla4[[#This Row],[Utilidad Total]]/Tabla4[[#This Row],[Total]]</f>
        <v>#N/A</v>
      </c>
      <c r="P3561" s="282">
        <f>++Tabla4[[#This Row],[Precio Descontado]]*Tabla4[[#This Row],[Cantidad]]</f>
        <v>8133.5819063999998</v>
      </c>
      <c r="Q3561" s="282" t="e">
        <f>(INDEX(Tabla6[#All],MATCH(Tabla4[[#This Row],[Producto]],Tabla6[[#All],[PRODUCTO]],0),MATCH(Tabla4[[#This Row],[Mes]],Tabla6[#Headers],0)))</f>
        <v>#N/A</v>
      </c>
      <c r="R3561" s="282" t="e">
        <f>++Tabla4[[#This Row],[Precio Unitario Neto]]-Tabla4[[#This Row],[20.85%]]-Tabla4[[#This Row],[Costo]]</f>
        <v>#N/A</v>
      </c>
      <c r="S3561" s="282" t="e">
        <f>++Tabla4[[#This Row],[U. Bruta Uni]]*Tabla4[[#This Row],[Cantidad]]</f>
        <v>#N/A</v>
      </c>
      <c r="T3561" s="369" t="str">
        <f>VLOOKUP(Tabla4[[#This Row],[Producto]],Tabla6[#All],14,FALSE)</f>
        <v>Termico Solar</v>
      </c>
      <c r="U3561" s="284" t="e">
        <f>(IF(Tabla4[[#This Row],[Familia]]="termico solar",Tabla4[[#This Row],[Utilidad Total]]*6%,Tabla4[[#This Row],[Utilidad Total]]*11.5%))/Tabla4[[#This Row],[Total]]</f>
        <v>#N/A</v>
      </c>
      <c r="V3561" s="282" t="e">
        <f>+Tabla4[[#This Row],[Comisión Calculada]]*Tabla4[[#This Row],[Total]]</f>
        <v>#N/A</v>
      </c>
    </row>
    <row r="3562" spans="1:22" hidden="1" x14ac:dyDescent="0.25">
      <c r="A3562" s="100">
        <v>45823</v>
      </c>
      <c r="B3562" t="str">
        <f t="shared" si="163"/>
        <v>June</v>
      </c>
      <c r="C3562" s="46" t="s">
        <v>280</v>
      </c>
      <c r="F3562" s="366" t="s">
        <v>2087</v>
      </c>
      <c r="G3562" s="46" t="s">
        <v>208</v>
      </c>
      <c r="H3562" s="46">
        <v>5</v>
      </c>
      <c r="I3562" s="51">
        <v>189.75</v>
      </c>
      <c r="J3562" s="281">
        <f>++Tabla4[[#This Row],[Precio Bruto]]*1.16</f>
        <v>220.10999999999999</v>
      </c>
      <c r="K3562" s="281">
        <f>+Tabla4[[#This Row],[Precio Unitario Neto]]*Tabla4[[#Headers],[20.85%]]</f>
        <v>45.892934999999994</v>
      </c>
      <c r="L3562" s="282">
        <f>++Tabla4[[#This Row],[Precio Unitario Neto]]-Tabla4[[#This Row],[20.85%]]</f>
        <v>174.21706499999999</v>
      </c>
      <c r="M3562" s="282" t="e">
        <f>(INDEX(Tabla6[#All],MATCH(Tabla4[[#This Row],[Producto]],Tabla6[[#All],[PRODUCTO]],0),MATCH(Tabla4[[#This Row],[Mes]],Tabla6[#Headers],0)))*(1+Catalogos!$L$2)</f>
        <v>#N/A</v>
      </c>
      <c r="N3562" s="283" t="e">
        <f>+(Tabla4[[#This Row],[Precio Descontado]]-Tabla4[[#This Row],[Precio Base]])*Tabla4[[#This Row],[Cantidad]]</f>
        <v>#N/A</v>
      </c>
      <c r="O3562" s="284" t="e">
        <f>++Tabla4[[#This Row],[Utilidad Total]]/Tabla4[[#This Row],[Total]]</f>
        <v>#N/A</v>
      </c>
      <c r="P3562" s="282">
        <f>++Tabla4[[#This Row],[Precio Descontado]]*Tabla4[[#This Row],[Cantidad]]</f>
        <v>871.08532500000001</v>
      </c>
      <c r="Q3562" s="282" t="e">
        <f>(INDEX(Tabla6[#All],MATCH(Tabla4[[#This Row],[Producto]],Tabla6[[#All],[PRODUCTO]],0),MATCH(Tabla4[[#This Row],[Mes]],Tabla6[#Headers],0)))</f>
        <v>#N/A</v>
      </c>
      <c r="R3562" s="282" t="e">
        <f>++Tabla4[[#This Row],[Precio Unitario Neto]]-Tabla4[[#This Row],[20.85%]]-Tabla4[[#This Row],[Costo]]</f>
        <v>#N/A</v>
      </c>
      <c r="S3562" s="282" t="e">
        <f>++Tabla4[[#This Row],[U. Bruta Uni]]*Tabla4[[#This Row],[Cantidad]]</f>
        <v>#N/A</v>
      </c>
      <c r="T3562" s="369" t="str">
        <f>VLOOKUP(Tabla4[[#This Row],[Producto]],Tabla6[#All],14,FALSE)</f>
        <v>Termico Solar</v>
      </c>
      <c r="U3562" s="284" t="e">
        <f>(IF(Tabla4[[#This Row],[Familia]]="termico solar",Tabla4[[#This Row],[Utilidad Total]]*6%,Tabla4[[#This Row],[Utilidad Total]]*11.5%))/Tabla4[[#This Row],[Total]]</f>
        <v>#N/A</v>
      </c>
      <c r="V3562" s="282" t="e">
        <f>+Tabla4[[#This Row],[Comisión Calculada]]*Tabla4[[#This Row],[Total]]</f>
        <v>#N/A</v>
      </c>
    </row>
    <row r="3563" spans="1:22" hidden="1" x14ac:dyDescent="0.25">
      <c r="A3563" s="100">
        <v>45823</v>
      </c>
      <c r="B3563" t="str">
        <f t="shared" si="163"/>
        <v>June</v>
      </c>
      <c r="C3563" s="46" t="s">
        <v>280</v>
      </c>
      <c r="F3563" s="366" t="s">
        <v>2088</v>
      </c>
      <c r="G3563" s="46" t="s">
        <v>17</v>
      </c>
      <c r="H3563" s="46">
        <v>1</v>
      </c>
      <c r="I3563" s="51">
        <v>4622.28</v>
      </c>
      <c r="J3563" s="281">
        <f>++Tabla4[[#This Row],[Precio Bruto]]*1.16</f>
        <v>5361.8447999999989</v>
      </c>
      <c r="K3563" s="281">
        <f>+Tabla4[[#This Row],[Precio Unitario Neto]]*Tabla4[[#Headers],[20.85%]]</f>
        <v>1117.9446407999997</v>
      </c>
      <c r="L3563" s="282">
        <f>++Tabla4[[#This Row],[Precio Unitario Neto]]-Tabla4[[#This Row],[20.85%]]</f>
        <v>4243.9001591999995</v>
      </c>
      <c r="M3563" s="282" t="e">
        <f>(INDEX(Tabla6[#All],MATCH(Tabla4[[#This Row],[Producto]],Tabla6[[#All],[PRODUCTO]],0),MATCH(Tabla4[[#This Row],[Mes]],Tabla6[#Headers],0)))*(1+Catalogos!$L$2)</f>
        <v>#N/A</v>
      </c>
      <c r="N3563" s="283" t="e">
        <f>+(Tabla4[[#This Row],[Precio Descontado]]-Tabla4[[#This Row],[Precio Base]])*Tabla4[[#This Row],[Cantidad]]</f>
        <v>#N/A</v>
      </c>
      <c r="O3563" s="284" t="e">
        <f>++Tabla4[[#This Row],[Utilidad Total]]/Tabla4[[#This Row],[Total]]</f>
        <v>#N/A</v>
      </c>
      <c r="P3563" s="282">
        <f>++Tabla4[[#This Row],[Precio Descontado]]*Tabla4[[#This Row],[Cantidad]]</f>
        <v>4243.9001591999995</v>
      </c>
      <c r="Q3563" s="282" t="e">
        <f>(INDEX(Tabla6[#All],MATCH(Tabla4[[#This Row],[Producto]],Tabla6[[#All],[PRODUCTO]],0),MATCH(Tabla4[[#This Row],[Mes]],Tabla6[#Headers],0)))</f>
        <v>#N/A</v>
      </c>
      <c r="R3563" s="282" t="e">
        <f>++Tabla4[[#This Row],[Precio Unitario Neto]]-Tabla4[[#This Row],[20.85%]]-Tabla4[[#This Row],[Costo]]</f>
        <v>#N/A</v>
      </c>
      <c r="S3563" s="282" t="e">
        <f>++Tabla4[[#This Row],[U. Bruta Uni]]*Tabla4[[#This Row],[Cantidad]]</f>
        <v>#N/A</v>
      </c>
      <c r="T3563" s="369" t="str">
        <f>VLOOKUP(Tabla4[[#This Row],[Producto]],Tabla6[#All],14,FALSE)</f>
        <v>Termico Solar</v>
      </c>
      <c r="U3563" s="284" t="e">
        <f>(IF(Tabla4[[#This Row],[Familia]]="termico solar",Tabla4[[#This Row],[Utilidad Total]]*6%,Tabla4[[#This Row],[Utilidad Total]]*11.5%))/Tabla4[[#This Row],[Total]]</f>
        <v>#N/A</v>
      </c>
      <c r="V3563" s="282" t="e">
        <f>+Tabla4[[#This Row],[Comisión Calculada]]*Tabla4[[#This Row],[Total]]</f>
        <v>#N/A</v>
      </c>
    </row>
    <row r="3564" spans="1:22" hidden="1" x14ac:dyDescent="0.25">
      <c r="A3564" s="100">
        <v>45823</v>
      </c>
      <c r="B3564" t="str">
        <f t="shared" si="163"/>
        <v>June</v>
      </c>
      <c r="C3564" s="46" t="s">
        <v>280</v>
      </c>
      <c r="F3564" s="366" t="s">
        <v>2088</v>
      </c>
      <c r="G3564" s="46" t="s">
        <v>566</v>
      </c>
      <c r="H3564" s="46">
        <v>1</v>
      </c>
      <c r="I3564" s="51">
        <v>2109.4499999999998</v>
      </c>
      <c r="J3564" s="281">
        <f>++Tabla4[[#This Row],[Precio Bruto]]*1.16</f>
        <v>2446.9619999999995</v>
      </c>
      <c r="K3564" s="281">
        <f>+Tabla4[[#This Row],[Precio Unitario Neto]]*Tabla4[[#Headers],[20.85%]]</f>
        <v>510.19157699999988</v>
      </c>
      <c r="L3564" s="282">
        <f>++Tabla4[[#This Row],[Precio Unitario Neto]]-Tabla4[[#This Row],[20.85%]]</f>
        <v>1936.7704229999997</v>
      </c>
      <c r="M3564" s="282" t="e">
        <f>(INDEX(Tabla6[#All],MATCH(Tabla4[[#This Row],[Producto]],Tabla6[[#All],[PRODUCTO]],0),MATCH(Tabla4[[#This Row],[Mes]],Tabla6[#Headers],0)))*(1+Catalogos!$L$2)</f>
        <v>#N/A</v>
      </c>
      <c r="N3564" s="283" t="e">
        <f>+(Tabla4[[#This Row],[Precio Descontado]]-Tabla4[[#This Row],[Precio Base]])*Tabla4[[#This Row],[Cantidad]]</f>
        <v>#N/A</v>
      </c>
      <c r="O3564" s="284" t="e">
        <f>++Tabla4[[#This Row],[Utilidad Total]]/Tabla4[[#This Row],[Total]]</f>
        <v>#N/A</v>
      </c>
      <c r="P3564" s="282">
        <f>++Tabla4[[#This Row],[Precio Descontado]]*Tabla4[[#This Row],[Cantidad]]</f>
        <v>1936.7704229999997</v>
      </c>
      <c r="Q3564" s="282" t="e">
        <f>(INDEX(Tabla6[#All],MATCH(Tabla4[[#This Row],[Producto]],Tabla6[[#All],[PRODUCTO]],0),MATCH(Tabla4[[#This Row],[Mes]],Tabla6[#Headers],0)))</f>
        <v>#N/A</v>
      </c>
      <c r="R3564" s="282" t="e">
        <f>++Tabla4[[#This Row],[Precio Unitario Neto]]-Tabla4[[#This Row],[20.85%]]-Tabla4[[#This Row],[Costo]]</f>
        <v>#N/A</v>
      </c>
      <c r="S3564" s="282" t="e">
        <f>++Tabla4[[#This Row],[U. Bruta Uni]]*Tabla4[[#This Row],[Cantidad]]</f>
        <v>#N/A</v>
      </c>
      <c r="T3564" s="369" t="str">
        <f>VLOOKUP(Tabla4[[#This Row],[Producto]],Tabla6[#All],14,FALSE)</f>
        <v>Termico Solar</v>
      </c>
      <c r="U3564" s="284" t="e">
        <f>(IF(Tabla4[[#This Row],[Familia]]="termico solar",Tabla4[[#This Row],[Utilidad Total]]*6%,Tabla4[[#This Row],[Utilidad Total]]*11.5%))/Tabla4[[#This Row],[Total]]</f>
        <v>#N/A</v>
      </c>
      <c r="V3564" s="282" t="e">
        <f>+Tabla4[[#This Row],[Comisión Calculada]]*Tabla4[[#This Row],[Total]]</f>
        <v>#N/A</v>
      </c>
    </row>
    <row r="3565" spans="1:22" hidden="1" x14ac:dyDescent="0.25">
      <c r="A3565" s="100">
        <v>45823</v>
      </c>
      <c r="B3565" t="str">
        <f t="shared" si="163"/>
        <v>June</v>
      </c>
      <c r="C3565" s="46" t="s">
        <v>280</v>
      </c>
      <c r="F3565" s="366" t="s">
        <v>2089</v>
      </c>
      <c r="G3565" s="46" t="s">
        <v>16</v>
      </c>
      <c r="H3565" s="46">
        <v>2</v>
      </c>
      <c r="I3565" s="51">
        <v>4103.8500000000004</v>
      </c>
      <c r="J3565" s="281">
        <f>++Tabla4[[#This Row],[Precio Bruto]]*1.16</f>
        <v>4760.4660000000003</v>
      </c>
      <c r="K3565" s="281">
        <f>+Tabla4[[#This Row],[Precio Unitario Neto]]*Tabla4[[#Headers],[20.85%]]</f>
        <v>992.55716100000006</v>
      </c>
      <c r="L3565" s="282">
        <f>++Tabla4[[#This Row],[Precio Unitario Neto]]-Tabla4[[#This Row],[20.85%]]</f>
        <v>3767.9088390000002</v>
      </c>
      <c r="M3565" s="282" t="e">
        <f>(INDEX(Tabla6[#All],MATCH(Tabla4[[#This Row],[Producto]],Tabla6[[#All],[PRODUCTO]],0),MATCH(Tabla4[[#This Row],[Mes]],Tabla6[#Headers],0)))*(1+Catalogos!$L$2)</f>
        <v>#N/A</v>
      </c>
      <c r="N3565" s="283" t="e">
        <f>+(Tabla4[[#This Row],[Precio Descontado]]-Tabla4[[#This Row],[Precio Base]])*Tabla4[[#This Row],[Cantidad]]</f>
        <v>#N/A</v>
      </c>
      <c r="O3565" s="284" t="e">
        <f>++Tabla4[[#This Row],[Utilidad Total]]/Tabla4[[#This Row],[Total]]</f>
        <v>#N/A</v>
      </c>
      <c r="P3565" s="282">
        <f>++Tabla4[[#This Row],[Precio Descontado]]*Tabla4[[#This Row],[Cantidad]]</f>
        <v>7535.8176780000003</v>
      </c>
      <c r="Q3565" s="282" t="e">
        <f>(INDEX(Tabla6[#All],MATCH(Tabla4[[#This Row],[Producto]],Tabla6[[#All],[PRODUCTO]],0),MATCH(Tabla4[[#This Row],[Mes]],Tabla6[#Headers],0)))</f>
        <v>#N/A</v>
      </c>
      <c r="R3565" s="282" t="e">
        <f>++Tabla4[[#This Row],[Precio Unitario Neto]]-Tabla4[[#This Row],[20.85%]]-Tabla4[[#This Row],[Costo]]</f>
        <v>#N/A</v>
      </c>
      <c r="S3565" s="282" t="e">
        <f>++Tabla4[[#This Row],[U. Bruta Uni]]*Tabla4[[#This Row],[Cantidad]]</f>
        <v>#N/A</v>
      </c>
      <c r="T3565" s="369" t="str">
        <f>VLOOKUP(Tabla4[[#This Row],[Producto]],Tabla6[#All],14,FALSE)</f>
        <v>Termico Solar</v>
      </c>
      <c r="U3565" s="284" t="e">
        <f>(IF(Tabla4[[#This Row],[Familia]]="termico solar",Tabla4[[#This Row],[Utilidad Total]]*6%,Tabla4[[#This Row],[Utilidad Total]]*11.5%))/Tabla4[[#This Row],[Total]]</f>
        <v>#N/A</v>
      </c>
      <c r="V3565" s="282" t="e">
        <f>+Tabla4[[#This Row],[Comisión Calculada]]*Tabla4[[#This Row],[Total]]</f>
        <v>#N/A</v>
      </c>
    </row>
    <row r="3566" spans="1:22" hidden="1" x14ac:dyDescent="0.25">
      <c r="A3566" s="100">
        <v>45823</v>
      </c>
      <c r="B3566" t="str">
        <f t="shared" si="163"/>
        <v>June</v>
      </c>
      <c r="C3566" s="46" t="s">
        <v>280</v>
      </c>
      <c r="F3566" s="366" t="s">
        <v>2090</v>
      </c>
      <c r="G3566" s="46" t="s">
        <v>16</v>
      </c>
      <c r="H3566" s="46">
        <v>1</v>
      </c>
      <c r="I3566" s="51">
        <v>4103.8500000000004</v>
      </c>
      <c r="J3566" s="281">
        <f>++Tabla4[[#This Row],[Precio Bruto]]*1.16</f>
        <v>4760.4660000000003</v>
      </c>
      <c r="K3566" s="281">
        <f>+Tabla4[[#This Row],[Precio Unitario Neto]]*Tabla4[[#Headers],[20.85%]]</f>
        <v>992.55716100000006</v>
      </c>
      <c r="L3566" s="282">
        <f>++Tabla4[[#This Row],[Precio Unitario Neto]]-Tabla4[[#This Row],[20.85%]]</f>
        <v>3767.9088390000002</v>
      </c>
      <c r="M3566" s="282" t="e">
        <f>(INDEX(Tabla6[#All],MATCH(Tabla4[[#This Row],[Producto]],Tabla6[[#All],[PRODUCTO]],0),MATCH(Tabla4[[#This Row],[Mes]],Tabla6[#Headers],0)))*(1+Catalogos!$L$2)</f>
        <v>#N/A</v>
      </c>
      <c r="N3566" s="283" t="e">
        <f>+(Tabla4[[#This Row],[Precio Descontado]]-Tabla4[[#This Row],[Precio Base]])*Tabla4[[#This Row],[Cantidad]]</f>
        <v>#N/A</v>
      </c>
      <c r="O3566" s="284" t="e">
        <f>++Tabla4[[#This Row],[Utilidad Total]]/Tabla4[[#This Row],[Total]]</f>
        <v>#N/A</v>
      </c>
      <c r="P3566" s="282">
        <f>++Tabla4[[#This Row],[Precio Descontado]]*Tabla4[[#This Row],[Cantidad]]</f>
        <v>3767.9088390000002</v>
      </c>
      <c r="Q3566" s="282" t="e">
        <f>(INDEX(Tabla6[#All],MATCH(Tabla4[[#This Row],[Producto]],Tabla6[[#All],[PRODUCTO]],0),MATCH(Tabla4[[#This Row],[Mes]],Tabla6[#Headers],0)))</f>
        <v>#N/A</v>
      </c>
      <c r="R3566" s="282" t="e">
        <f>++Tabla4[[#This Row],[Precio Unitario Neto]]-Tabla4[[#This Row],[20.85%]]-Tabla4[[#This Row],[Costo]]</f>
        <v>#N/A</v>
      </c>
      <c r="S3566" s="282" t="e">
        <f>++Tabla4[[#This Row],[U. Bruta Uni]]*Tabla4[[#This Row],[Cantidad]]</f>
        <v>#N/A</v>
      </c>
      <c r="T3566" s="369" t="str">
        <f>VLOOKUP(Tabla4[[#This Row],[Producto]],Tabla6[#All],14,FALSE)</f>
        <v>Termico Solar</v>
      </c>
      <c r="U3566" s="284" t="e">
        <f>(IF(Tabla4[[#This Row],[Familia]]="termico solar",Tabla4[[#This Row],[Utilidad Total]]*6%,Tabla4[[#This Row],[Utilidad Total]]*11.5%))/Tabla4[[#This Row],[Total]]</f>
        <v>#N/A</v>
      </c>
      <c r="V3566" s="282" t="e">
        <f>+Tabla4[[#This Row],[Comisión Calculada]]*Tabla4[[#This Row],[Total]]</f>
        <v>#N/A</v>
      </c>
    </row>
    <row r="3567" spans="1:22" hidden="1" x14ac:dyDescent="0.25">
      <c r="A3567" s="100">
        <v>45823</v>
      </c>
      <c r="B3567" t="str">
        <f t="shared" si="163"/>
        <v>June</v>
      </c>
      <c r="C3567" s="46" t="s">
        <v>280</v>
      </c>
      <c r="F3567" s="366" t="s">
        <v>2091</v>
      </c>
      <c r="G3567" s="46" t="s">
        <v>17</v>
      </c>
      <c r="H3567" s="46">
        <v>10</v>
      </c>
      <c r="I3567" s="51">
        <v>4622.2800000000007</v>
      </c>
      <c r="J3567" s="281">
        <f>++Tabla4[[#This Row],[Precio Bruto]]*1.16</f>
        <v>5361.8448000000008</v>
      </c>
      <c r="K3567" s="281">
        <f>+Tabla4[[#This Row],[Precio Unitario Neto]]*Tabla4[[#Headers],[20.85%]]</f>
        <v>1117.9446408000001</v>
      </c>
      <c r="L3567" s="282">
        <f>++Tabla4[[#This Row],[Precio Unitario Neto]]-Tabla4[[#This Row],[20.85%]]</f>
        <v>4243.9001592000004</v>
      </c>
      <c r="M3567" s="282" t="e">
        <f>(INDEX(Tabla6[#All],MATCH(Tabla4[[#This Row],[Producto]],Tabla6[[#All],[PRODUCTO]],0),MATCH(Tabla4[[#This Row],[Mes]],Tabla6[#Headers],0)))*(1+Catalogos!$L$2)</f>
        <v>#N/A</v>
      </c>
      <c r="N3567" s="283" t="e">
        <f>+(Tabla4[[#This Row],[Precio Descontado]]-Tabla4[[#This Row],[Precio Base]])*Tabla4[[#This Row],[Cantidad]]</f>
        <v>#N/A</v>
      </c>
      <c r="O3567" s="284" t="e">
        <f>++Tabla4[[#This Row],[Utilidad Total]]/Tabla4[[#This Row],[Total]]</f>
        <v>#N/A</v>
      </c>
      <c r="P3567" s="282">
        <f>++Tabla4[[#This Row],[Precio Descontado]]*Tabla4[[#This Row],[Cantidad]]</f>
        <v>42439.001592000001</v>
      </c>
      <c r="Q3567" s="282" t="e">
        <f>(INDEX(Tabla6[#All],MATCH(Tabla4[[#This Row],[Producto]],Tabla6[[#All],[PRODUCTO]],0),MATCH(Tabla4[[#This Row],[Mes]],Tabla6[#Headers],0)))</f>
        <v>#N/A</v>
      </c>
      <c r="R3567" s="282" t="e">
        <f>++Tabla4[[#This Row],[Precio Unitario Neto]]-Tabla4[[#This Row],[20.85%]]-Tabla4[[#This Row],[Costo]]</f>
        <v>#N/A</v>
      </c>
      <c r="S3567" s="282" t="e">
        <f>++Tabla4[[#This Row],[U. Bruta Uni]]*Tabla4[[#This Row],[Cantidad]]</f>
        <v>#N/A</v>
      </c>
      <c r="T3567" s="369" t="str">
        <f>VLOOKUP(Tabla4[[#This Row],[Producto]],Tabla6[#All],14,FALSE)</f>
        <v>Termico Solar</v>
      </c>
      <c r="U3567" s="284" t="e">
        <f>(IF(Tabla4[[#This Row],[Familia]]="termico solar",Tabla4[[#This Row],[Utilidad Total]]*6%,Tabla4[[#This Row],[Utilidad Total]]*11.5%))/Tabla4[[#This Row],[Total]]</f>
        <v>#N/A</v>
      </c>
      <c r="V3567" s="282" t="e">
        <f>+Tabla4[[#This Row],[Comisión Calculada]]*Tabla4[[#This Row],[Total]]</f>
        <v>#N/A</v>
      </c>
    </row>
    <row r="3568" spans="1:22" hidden="1" x14ac:dyDescent="0.25">
      <c r="A3568" s="100">
        <v>45823</v>
      </c>
      <c r="B3568" t="str">
        <f t="shared" si="163"/>
        <v>June</v>
      </c>
      <c r="C3568" s="46" t="s">
        <v>280</v>
      </c>
      <c r="F3568" s="366" t="s">
        <v>2091</v>
      </c>
      <c r="G3568" s="46" t="s">
        <v>18</v>
      </c>
      <c r="H3568" s="46">
        <v>3</v>
      </c>
      <c r="I3568" s="51">
        <v>5367.6500000000005</v>
      </c>
      <c r="J3568" s="281">
        <f>++Tabla4[[#This Row],[Precio Bruto]]*1.16</f>
        <v>6226.4740000000002</v>
      </c>
      <c r="K3568" s="281">
        <f>+Tabla4[[#This Row],[Precio Unitario Neto]]*Tabla4[[#Headers],[20.85%]]</f>
        <v>1298.2198289999999</v>
      </c>
      <c r="L3568" s="282">
        <f>++Tabla4[[#This Row],[Precio Unitario Neto]]-Tabla4[[#This Row],[20.85%]]</f>
        <v>4928.2541710000005</v>
      </c>
      <c r="M3568" s="282" t="e">
        <f>(INDEX(Tabla6[#All],MATCH(Tabla4[[#This Row],[Producto]],Tabla6[[#All],[PRODUCTO]],0),MATCH(Tabla4[[#This Row],[Mes]],Tabla6[#Headers],0)))*(1+Catalogos!$L$2)</f>
        <v>#N/A</v>
      </c>
      <c r="N3568" s="283" t="e">
        <f>+(Tabla4[[#This Row],[Precio Descontado]]-Tabla4[[#This Row],[Precio Base]])*Tabla4[[#This Row],[Cantidad]]</f>
        <v>#N/A</v>
      </c>
      <c r="O3568" s="284" t="e">
        <f>++Tabla4[[#This Row],[Utilidad Total]]/Tabla4[[#This Row],[Total]]</f>
        <v>#N/A</v>
      </c>
      <c r="P3568" s="282">
        <f>++Tabla4[[#This Row],[Precio Descontado]]*Tabla4[[#This Row],[Cantidad]]</f>
        <v>14784.762513000001</v>
      </c>
      <c r="Q3568" s="282" t="e">
        <f>(INDEX(Tabla6[#All],MATCH(Tabla4[[#This Row],[Producto]],Tabla6[[#All],[PRODUCTO]],0),MATCH(Tabla4[[#This Row],[Mes]],Tabla6[#Headers],0)))</f>
        <v>#N/A</v>
      </c>
      <c r="R3568" s="282" t="e">
        <f>++Tabla4[[#This Row],[Precio Unitario Neto]]-Tabla4[[#This Row],[20.85%]]-Tabla4[[#This Row],[Costo]]</f>
        <v>#N/A</v>
      </c>
      <c r="S3568" s="282" t="e">
        <f>++Tabla4[[#This Row],[U. Bruta Uni]]*Tabla4[[#This Row],[Cantidad]]</f>
        <v>#N/A</v>
      </c>
      <c r="T3568" s="369" t="str">
        <f>VLOOKUP(Tabla4[[#This Row],[Producto]],Tabla6[#All],14,FALSE)</f>
        <v>Termico Solar</v>
      </c>
      <c r="U3568" s="284" t="e">
        <f>(IF(Tabla4[[#This Row],[Familia]]="termico solar",Tabla4[[#This Row],[Utilidad Total]]*6%,Tabla4[[#This Row],[Utilidad Total]]*11.5%))/Tabla4[[#This Row],[Total]]</f>
        <v>#N/A</v>
      </c>
      <c r="V3568" s="282" t="e">
        <f>+Tabla4[[#This Row],[Comisión Calculada]]*Tabla4[[#This Row],[Total]]</f>
        <v>#N/A</v>
      </c>
    </row>
    <row r="3569" spans="1:22" hidden="1" x14ac:dyDescent="0.25">
      <c r="A3569" s="100">
        <v>45823</v>
      </c>
      <c r="B3569" t="str">
        <f t="shared" si="163"/>
        <v>June</v>
      </c>
      <c r="C3569" s="46" t="s">
        <v>280</v>
      </c>
      <c r="F3569" s="366" t="s">
        <v>2091</v>
      </c>
      <c r="G3569" s="46" t="s">
        <v>16</v>
      </c>
      <c r="H3569" s="46">
        <v>3</v>
      </c>
      <c r="I3569" s="51">
        <v>4103.8499999999995</v>
      </c>
      <c r="J3569" s="281">
        <f>++Tabla4[[#This Row],[Precio Bruto]]*1.16</f>
        <v>4760.4659999999994</v>
      </c>
      <c r="K3569" s="281">
        <f>+Tabla4[[#This Row],[Precio Unitario Neto]]*Tabla4[[#Headers],[20.85%]]</f>
        <v>992.55716099999984</v>
      </c>
      <c r="L3569" s="282">
        <f>++Tabla4[[#This Row],[Precio Unitario Neto]]-Tabla4[[#This Row],[20.85%]]</f>
        <v>3767.9088389999997</v>
      </c>
      <c r="M3569" s="282" t="e">
        <f>(INDEX(Tabla6[#All],MATCH(Tabla4[[#This Row],[Producto]],Tabla6[[#All],[PRODUCTO]],0),MATCH(Tabla4[[#This Row],[Mes]],Tabla6[#Headers],0)))*(1+Catalogos!$L$2)</f>
        <v>#N/A</v>
      </c>
      <c r="N3569" s="283" t="e">
        <f>+(Tabla4[[#This Row],[Precio Descontado]]-Tabla4[[#This Row],[Precio Base]])*Tabla4[[#This Row],[Cantidad]]</f>
        <v>#N/A</v>
      </c>
      <c r="O3569" s="284" t="e">
        <f>++Tabla4[[#This Row],[Utilidad Total]]/Tabla4[[#This Row],[Total]]</f>
        <v>#N/A</v>
      </c>
      <c r="P3569" s="282">
        <f>++Tabla4[[#This Row],[Precio Descontado]]*Tabla4[[#This Row],[Cantidad]]</f>
        <v>11303.726516999999</v>
      </c>
      <c r="Q3569" s="282" t="e">
        <f>(INDEX(Tabla6[#All],MATCH(Tabla4[[#This Row],[Producto]],Tabla6[[#All],[PRODUCTO]],0),MATCH(Tabla4[[#This Row],[Mes]],Tabla6[#Headers],0)))</f>
        <v>#N/A</v>
      </c>
      <c r="R3569" s="282" t="e">
        <f>++Tabla4[[#This Row],[Precio Unitario Neto]]-Tabla4[[#This Row],[20.85%]]-Tabla4[[#This Row],[Costo]]</f>
        <v>#N/A</v>
      </c>
      <c r="S3569" s="282" t="e">
        <f>++Tabla4[[#This Row],[U. Bruta Uni]]*Tabla4[[#This Row],[Cantidad]]</f>
        <v>#N/A</v>
      </c>
      <c r="T3569" s="369" t="str">
        <f>VLOOKUP(Tabla4[[#This Row],[Producto]],Tabla6[#All],14,FALSE)</f>
        <v>Termico Solar</v>
      </c>
      <c r="U3569" s="284" t="e">
        <f>(IF(Tabla4[[#This Row],[Familia]]="termico solar",Tabla4[[#This Row],[Utilidad Total]]*6%,Tabla4[[#This Row],[Utilidad Total]]*11.5%))/Tabla4[[#This Row],[Total]]</f>
        <v>#N/A</v>
      </c>
      <c r="V3569" s="282" t="e">
        <f>+Tabla4[[#This Row],[Comisión Calculada]]*Tabla4[[#This Row],[Total]]</f>
        <v>#N/A</v>
      </c>
    </row>
    <row r="3570" spans="1:22" hidden="1" x14ac:dyDescent="0.25">
      <c r="A3570" s="100">
        <v>45823</v>
      </c>
      <c r="B3570" t="str">
        <f t="shared" ref="B3570:B3633" si="164">TEXT(A3570, "mmmm")</f>
        <v>June</v>
      </c>
      <c r="C3570" s="46" t="s">
        <v>280</v>
      </c>
      <c r="F3570" s="366" t="s">
        <v>2092</v>
      </c>
      <c r="G3570" s="46" t="s">
        <v>83</v>
      </c>
      <c r="H3570" s="46">
        <v>1</v>
      </c>
      <c r="I3570" s="51">
        <v>8858.76</v>
      </c>
      <c r="J3570" s="281">
        <f>++Tabla4[[#This Row],[Precio Bruto]]*1.16</f>
        <v>10276.161599999999</v>
      </c>
      <c r="K3570" s="281">
        <f>+Tabla4[[#This Row],[Precio Unitario Neto]]*Tabla4[[#Headers],[20.85%]]</f>
        <v>2142.5796935999997</v>
      </c>
      <c r="L3570" s="282">
        <f>++Tabla4[[#This Row],[Precio Unitario Neto]]-Tabla4[[#This Row],[20.85%]]</f>
        <v>8133.5819063999998</v>
      </c>
      <c r="M3570" s="282" t="e">
        <f>(INDEX(Tabla6[#All],MATCH(Tabla4[[#This Row],[Producto]],Tabla6[[#All],[PRODUCTO]],0),MATCH(Tabla4[[#This Row],[Mes]],Tabla6[#Headers],0)))*(1+Catalogos!$L$2)</f>
        <v>#N/A</v>
      </c>
      <c r="N3570" s="283" t="e">
        <f>+(Tabla4[[#This Row],[Precio Descontado]]-Tabla4[[#This Row],[Precio Base]])*Tabla4[[#This Row],[Cantidad]]</f>
        <v>#N/A</v>
      </c>
      <c r="O3570" s="284" t="e">
        <f>++Tabla4[[#This Row],[Utilidad Total]]/Tabla4[[#This Row],[Total]]</f>
        <v>#N/A</v>
      </c>
      <c r="P3570" s="282">
        <f>++Tabla4[[#This Row],[Precio Descontado]]*Tabla4[[#This Row],[Cantidad]]</f>
        <v>8133.5819063999998</v>
      </c>
      <c r="Q3570" s="282" t="e">
        <f>(INDEX(Tabla6[#All],MATCH(Tabla4[[#This Row],[Producto]],Tabla6[[#All],[PRODUCTO]],0),MATCH(Tabla4[[#This Row],[Mes]],Tabla6[#Headers],0)))</f>
        <v>#N/A</v>
      </c>
      <c r="R3570" s="282" t="e">
        <f>++Tabla4[[#This Row],[Precio Unitario Neto]]-Tabla4[[#This Row],[20.85%]]-Tabla4[[#This Row],[Costo]]</f>
        <v>#N/A</v>
      </c>
      <c r="S3570" s="282" t="e">
        <f>++Tabla4[[#This Row],[U. Bruta Uni]]*Tabla4[[#This Row],[Cantidad]]</f>
        <v>#N/A</v>
      </c>
      <c r="T3570" s="369" t="str">
        <f>VLOOKUP(Tabla4[[#This Row],[Producto]],Tabla6[#All],14,FALSE)</f>
        <v>Termico Solar</v>
      </c>
      <c r="U3570" s="284" t="e">
        <f>(IF(Tabla4[[#This Row],[Familia]]="termico solar",Tabla4[[#This Row],[Utilidad Total]]*6%,Tabla4[[#This Row],[Utilidad Total]]*11.5%))/Tabla4[[#This Row],[Total]]</f>
        <v>#N/A</v>
      </c>
      <c r="V3570" s="282" t="e">
        <f>+Tabla4[[#This Row],[Comisión Calculada]]*Tabla4[[#This Row],[Total]]</f>
        <v>#N/A</v>
      </c>
    </row>
    <row r="3571" spans="1:22" hidden="1" x14ac:dyDescent="0.25">
      <c r="A3571" s="100">
        <v>45823</v>
      </c>
      <c r="B3571" t="str">
        <f t="shared" si="164"/>
        <v>June</v>
      </c>
      <c r="C3571" s="46" t="s">
        <v>280</v>
      </c>
      <c r="F3571" s="366" t="s">
        <v>2092</v>
      </c>
      <c r="G3571" s="46" t="s">
        <v>18</v>
      </c>
      <c r="H3571" s="46">
        <v>2</v>
      </c>
      <c r="I3571" s="51">
        <v>5367.65</v>
      </c>
      <c r="J3571" s="281">
        <f>++Tabla4[[#This Row],[Precio Bruto]]*1.16</f>
        <v>6226.4739999999993</v>
      </c>
      <c r="K3571" s="281">
        <f>+Tabla4[[#This Row],[Precio Unitario Neto]]*Tabla4[[#Headers],[20.85%]]</f>
        <v>1298.2198289999999</v>
      </c>
      <c r="L3571" s="282">
        <f>++Tabla4[[#This Row],[Precio Unitario Neto]]-Tabla4[[#This Row],[20.85%]]</f>
        <v>4928.2541709999996</v>
      </c>
      <c r="M3571" s="282" t="e">
        <f>(INDEX(Tabla6[#All],MATCH(Tabla4[[#This Row],[Producto]],Tabla6[[#All],[PRODUCTO]],0),MATCH(Tabla4[[#This Row],[Mes]],Tabla6[#Headers],0)))*(1+Catalogos!$L$2)</f>
        <v>#N/A</v>
      </c>
      <c r="N3571" s="283" t="e">
        <f>+(Tabla4[[#This Row],[Precio Descontado]]-Tabla4[[#This Row],[Precio Base]])*Tabla4[[#This Row],[Cantidad]]</f>
        <v>#N/A</v>
      </c>
      <c r="O3571" s="284" t="e">
        <f>++Tabla4[[#This Row],[Utilidad Total]]/Tabla4[[#This Row],[Total]]</f>
        <v>#N/A</v>
      </c>
      <c r="P3571" s="282">
        <f>++Tabla4[[#This Row],[Precio Descontado]]*Tabla4[[#This Row],[Cantidad]]</f>
        <v>9856.5083419999992</v>
      </c>
      <c r="Q3571" s="282" t="e">
        <f>(INDEX(Tabla6[#All],MATCH(Tabla4[[#This Row],[Producto]],Tabla6[[#All],[PRODUCTO]],0),MATCH(Tabla4[[#This Row],[Mes]],Tabla6[#Headers],0)))</f>
        <v>#N/A</v>
      </c>
      <c r="R3571" s="282" t="e">
        <f>++Tabla4[[#This Row],[Precio Unitario Neto]]-Tabla4[[#This Row],[20.85%]]-Tabla4[[#This Row],[Costo]]</f>
        <v>#N/A</v>
      </c>
      <c r="S3571" s="282" t="e">
        <f>++Tabla4[[#This Row],[U. Bruta Uni]]*Tabla4[[#This Row],[Cantidad]]</f>
        <v>#N/A</v>
      </c>
      <c r="T3571" s="369" t="str">
        <f>VLOOKUP(Tabla4[[#This Row],[Producto]],Tabla6[#All],14,FALSE)</f>
        <v>Termico Solar</v>
      </c>
      <c r="U3571" s="284" t="e">
        <f>(IF(Tabla4[[#This Row],[Familia]]="termico solar",Tabla4[[#This Row],[Utilidad Total]]*6%,Tabla4[[#This Row],[Utilidad Total]]*11.5%))/Tabla4[[#This Row],[Total]]</f>
        <v>#N/A</v>
      </c>
      <c r="V3571" s="282" t="e">
        <f>+Tabla4[[#This Row],[Comisión Calculada]]*Tabla4[[#This Row],[Total]]</f>
        <v>#N/A</v>
      </c>
    </row>
    <row r="3572" spans="1:22" hidden="1" x14ac:dyDescent="0.25">
      <c r="A3572" s="100">
        <v>45823</v>
      </c>
      <c r="B3572" t="str">
        <f t="shared" si="164"/>
        <v>June</v>
      </c>
      <c r="C3572" s="46" t="s">
        <v>280</v>
      </c>
      <c r="F3572" s="366" t="s">
        <v>2093</v>
      </c>
      <c r="G3572" s="46" t="s">
        <v>17</v>
      </c>
      <c r="H3572" s="46">
        <v>1</v>
      </c>
      <c r="I3572" s="51">
        <v>4622.28</v>
      </c>
      <c r="J3572" s="281">
        <f>++Tabla4[[#This Row],[Precio Bruto]]*1.16</f>
        <v>5361.8447999999989</v>
      </c>
      <c r="K3572" s="281">
        <f>+Tabla4[[#This Row],[Precio Unitario Neto]]*Tabla4[[#Headers],[20.85%]]</f>
        <v>1117.9446407999997</v>
      </c>
      <c r="L3572" s="282">
        <f>++Tabla4[[#This Row],[Precio Unitario Neto]]-Tabla4[[#This Row],[20.85%]]</f>
        <v>4243.9001591999995</v>
      </c>
      <c r="M3572" s="282" t="e">
        <f>(INDEX(Tabla6[#All],MATCH(Tabla4[[#This Row],[Producto]],Tabla6[[#All],[PRODUCTO]],0),MATCH(Tabla4[[#This Row],[Mes]],Tabla6[#Headers],0)))*(1+Catalogos!$L$2)</f>
        <v>#N/A</v>
      </c>
      <c r="N3572" s="283" t="e">
        <f>+(Tabla4[[#This Row],[Precio Descontado]]-Tabla4[[#This Row],[Precio Base]])*Tabla4[[#This Row],[Cantidad]]</f>
        <v>#N/A</v>
      </c>
      <c r="O3572" s="284" t="e">
        <f>++Tabla4[[#This Row],[Utilidad Total]]/Tabla4[[#This Row],[Total]]</f>
        <v>#N/A</v>
      </c>
      <c r="P3572" s="282">
        <f>++Tabla4[[#This Row],[Precio Descontado]]*Tabla4[[#This Row],[Cantidad]]</f>
        <v>4243.9001591999995</v>
      </c>
      <c r="Q3572" s="282" t="e">
        <f>(INDEX(Tabla6[#All],MATCH(Tabla4[[#This Row],[Producto]],Tabla6[[#All],[PRODUCTO]],0),MATCH(Tabla4[[#This Row],[Mes]],Tabla6[#Headers],0)))</f>
        <v>#N/A</v>
      </c>
      <c r="R3572" s="282" t="e">
        <f>++Tabla4[[#This Row],[Precio Unitario Neto]]-Tabla4[[#This Row],[20.85%]]-Tabla4[[#This Row],[Costo]]</f>
        <v>#N/A</v>
      </c>
      <c r="S3572" s="282" t="e">
        <f>++Tabla4[[#This Row],[U. Bruta Uni]]*Tabla4[[#This Row],[Cantidad]]</f>
        <v>#N/A</v>
      </c>
      <c r="T3572" s="369" t="str">
        <f>VLOOKUP(Tabla4[[#This Row],[Producto]],Tabla6[#All],14,FALSE)</f>
        <v>Termico Solar</v>
      </c>
      <c r="U3572" s="284" t="e">
        <f>(IF(Tabla4[[#This Row],[Familia]]="termico solar",Tabla4[[#This Row],[Utilidad Total]]*6%,Tabla4[[#This Row],[Utilidad Total]]*11.5%))/Tabla4[[#This Row],[Total]]</f>
        <v>#N/A</v>
      </c>
      <c r="V3572" s="282" t="e">
        <f>+Tabla4[[#This Row],[Comisión Calculada]]*Tabla4[[#This Row],[Total]]</f>
        <v>#N/A</v>
      </c>
    </row>
    <row r="3573" spans="1:22" hidden="1" x14ac:dyDescent="0.25">
      <c r="A3573" s="100">
        <v>45823</v>
      </c>
      <c r="B3573" t="str">
        <f t="shared" si="164"/>
        <v>June</v>
      </c>
      <c r="C3573" s="46" t="s">
        <v>280</v>
      </c>
      <c r="F3573" s="366" t="s">
        <v>2093</v>
      </c>
      <c r="G3573" s="46" t="s">
        <v>18</v>
      </c>
      <c r="H3573" s="46">
        <v>1</v>
      </c>
      <c r="I3573" s="51">
        <v>5367.65</v>
      </c>
      <c r="J3573" s="281">
        <f>++Tabla4[[#This Row],[Precio Bruto]]*1.16</f>
        <v>6226.4739999999993</v>
      </c>
      <c r="K3573" s="281">
        <f>+Tabla4[[#This Row],[Precio Unitario Neto]]*Tabla4[[#Headers],[20.85%]]</f>
        <v>1298.2198289999999</v>
      </c>
      <c r="L3573" s="282">
        <f>++Tabla4[[#This Row],[Precio Unitario Neto]]-Tabla4[[#This Row],[20.85%]]</f>
        <v>4928.2541709999996</v>
      </c>
      <c r="M3573" s="282" t="e">
        <f>(INDEX(Tabla6[#All],MATCH(Tabla4[[#This Row],[Producto]],Tabla6[[#All],[PRODUCTO]],0),MATCH(Tabla4[[#This Row],[Mes]],Tabla6[#Headers],0)))*(1+Catalogos!$L$2)</f>
        <v>#N/A</v>
      </c>
      <c r="N3573" s="283" t="e">
        <f>+(Tabla4[[#This Row],[Precio Descontado]]-Tabla4[[#This Row],[Precio Base]])*Tabla4[[#This Row],[Cantidad]]</f>
        <v>#N/A</v>
      </c>
      <c r="O3573" s="284" t="e">
        <f>++Tabla4[[#This Row],[Utilidad Total]]/Tabla4[[#This Row],[Total]]</f>
        <v>#N/A</v>
      </c>
      <c r="P3573" s="282">
        <f>++Tabla4[[#This Row],[Precio Descontado]]*Tabla4[[#This Row],[Cantidad]]</f>
        <v>4928.2541709999996</v>
      </c>
      <c r="Q3573" s="282" t="e">
        <f>(INDEX(Tabla6[#All],MATCH(Tabla4[[#This Row],[Producto]],Tabla6[[#All],[PRODUCTO]],0),MATCH(Tabla4[[#This Row],[Mes]],Tabla6[#Headers],0)))</f>
        <v>#N/A</v>
      </c>
      <c r="R3573" s="282" t="e">
        <f>++Tabla4[[#This Row],[Precio Unitario Neto]]-Tabla4[[#This Row],[20.85%]]-Tabla4[[#This Row],[Costo]]</f>
        <v>#N/A</v>
      </c>
      <c r="S3573" s="282" t="e">
        <f>++Tabla4[[#This Row],[U. Bruta Uni]]*Tabla4[[#This Row],[Cantidad]]</f>
        <v>#N/A</v>
      </c>
      <c r="T3573" s="369" t="str">
        <f>VLOOKUP(Tabla4[[#This Row],[Producto]],Tabla6[#All],14,FALSE)</f>
        <v>Termico Solar</v>
      </c>
      <c r="U3573" s="284" t="e">
        <f>(IF(Tabla4[[#This Row],[Familia]]="termico solar",Tabla4[[#This Row],[Utilidad Total]]*6%,Tabla4[[#This Row],[Utilidad Total]]*11.5%))/Tabla4[[#This Row],[Total]]</f>
        <v>#N/A</v>
      </c>
      <c r="V3573" s="282" t="e">
        <f>+Tabla4[[#This Row],[Comisión Calculada]]*Tabla4[[#This Row],[Total]]</f>
        <v>#N/A</v>
      </c>
    </row>
    <row r="3574" spans="1:22" hidden="1" x14ac:dyDescent="0.25">
      <c r="A3574" s="100">
        <v>45823</v>
      </c>
      <c r="B3574" t="str">
        <f t="shared" si="164"/>
        <v>June</v>
      </c>
      <c r="C3574" s="46" t="s">
        <v>280</v>
      </c>
      <c r="F3574" s="366" t="s">
        <v>2093</v>
      </c>
      <c r="G3574" s="46" t="s">
        <v>208</v>
      </c>
      <c r="H3574" s="46">
        <v>1</v>
      </c>
      <c r="I3574" s="51">
        <v>189.75</v>
      </c>
      <c r="J3574" s="281">
        <f>++Tabla4[[#This Row],[Precio Bruto]]*1.16</f>
        <v>220.10999999999999</v>
      </c>
      <c r="K3574" s="281">
        <f>+Tabla4[[#This Row],[Precio Unitario Neto]]*Tabla4[[#Headers],[20.85%]]</f>
        <v>45.892934999999994</v>
      </c>
      <c r="L3574" s="282">
        <f>++Tabla4[[#This Row],[Precio Unitario Neto]]-Tabla4[[#This Row],[20.85%]]</f>
        <v>174.21706499999999</v>
      </c>
      <c r="M3574" s="282" t="e">
        <f>(INDEX(Tabla6[#All],MATCH(Tabla4[[#This Row],[Producto]],Tabla6[[#All],[PRODUCTO]],0),MATCH(Tabla4[[#This Row],[Mes]],Tabla6[#Headers],0)))*(1+Catalogos!$L$2)</f>
        <v>#N/A</v>
      </c>
      <c r="N3574" s="283" t="e">
        <f>+(Tabla4[[#This Row],[Precio Descontado]]-Tabla4[[#This Row],[Precio Base]])*Tabla4[[#This Row],[Cantidad]]</f>
        <v>#N/A</v>
      </c>
      <c r="O3574" s="284" t="e">
        <f>++Tabla4[[#This Row],[Utilidad Total]]/Tabla4[[#This Row],[Total]]</f>
        <v>#N/A</v>
      </c>
      <c r="P3574" s="282">
        <f>++Tabla4[[#This Row],[Precio Descontado]]*Tabla4[[#This Row],[Cantidad]]</f>
        <v>174.21706499999999</v>
      </c>
      <c r="Q3574" s="282" t="e">
        <f>(INDEX(Tabla6[#All],MATCH(Tabla4[[#This Row],[Producto]],Tabla6[[#All],[PRODUCTO]],0),MATCH(Tabla4[[#This Row],[Mes]],Tabla6[#Headers],0)))</f>
        <v>#N/A</v>
      </c>
      <c r="R3574" s="282" t="e">
        <f>++Tabla4[[#This Row],[Precio Unitario Neto]]-Tabla4[[#This Row],[20.85%]]-Tabla4[[#This Row],[Costo]]</f>
        <v>#N/A</v>
      </c>
      <c r="S3574" s="282" t="e">
        <f>++Tabla4[[#This Row],[U. Bruta Uni]]*Tabla4[[#This Row],[Cantidad]]</f>
        <v>#N/A</v>
      </c>
      <c r="T3574" s="369" t="str">
        <f>VLOOKUP(Tabla4[[#This Row],[Producto]],Tabla6[#All],14,FALSE)</f>
        <v>Termico Solar</v>
      </c>
      <c r="U3574" s="284" t="e">
        <f>(IF(Tabla4[[#This Row],[Familia]]="termico solar",Tabla4[[#This Row],[Utilidad Total]]*6%,Tabla4[[#This Row],[Utilidad Total]]*11.5%))/Tabla4[[#This Row],[Total]]</f>
        <v>#N/A</v>
      </c>
      <c r="V3574" s="282" t="e">
        <f>+Tabla4[[#This Row],[Comisión Calculada]]*Tabla4[[#This Row],[Total]]</f>
        <v>#N/A</v>
      </c>
    </row>
    <row r="3575" spans="1:22" hidden="1" x14ac:dyDescent="0.25">
      <c r="A3575" s="100">
        <v>45823</v>
      </c>
      <c r="B3575" t="str">
        <f t="shared" si="164"/>
        <v>June</v>
      </c>
      <c r="C3575" s="46" t="s">
        <v>280</v>
      </c>
      <c r="F3575" s="366" t="s">
        <v>2094</v>
      </c>
      <c r="G3575" s="46" t="s">
        <v>18</v>
      </c>
      <c r="H3575" s="46">
        <v>2</v>
      </c>
      <c r="I3575" s="51">
        <v>5367.65</v>
      </c>
      <c r="J3575" s="281">
        <f>++Tabla4[[#This Row],[Precio Bruto]]*1.16</f>
        <v>6226.4739999999993</v>
      </c>
      <c r="K3575" s="281">
        <f>+Tabla4[[#This Row],[Precio Unitario Neto]]*Tabla4[[#Headers],[20.85%]]</f>
        <v>1298.2198289999999</v>
      </c>
      <c r="L3575" s="282">
        <f>++Tabla4[[#This Row],[Precio Unitario Neto]]-Tabla4[[#This Row],[20.85%]]</f>
        <v>4928.2541709999996</v>
      </c>
      <c r="M3575" s="282" t="e">
        <f>(INDEX(Tabla6[#All],MATCH(Tabla4[[#This Row],[Producto]],Tabla6[[#All],[PRODUCTO]],0),MATCH(Tabla4[[#This Row],[Mes]],Tabla6[#Headers],0)))*(1+Catalogos!$L$2)</f>
        <v>#N/A</v>
      </c>
      <c r="N3575" s="283" t="e">
        <f>+(Tabla4[[#This Row],[Precio Descontado]]-Tabla4[[#This Row],[Precio Base]])*Tabla4[[#This Row],[Cantidad]]</f>
        <v>#N/A</v>
      </c>
      <c r="O3575" s="284" t="e">
        <f>++Tabla4[[#This Row],[Utilidad Total]]/Tabla4[[#This Row],[Total]]</f>
        <v>#N/A</v>
      </c>
      <c r="P3575" s="282">
        <f>++Tabla4[[#This Row],[Precio Descontado]]*Tabla4[[#This Row],[Cantidad]]</f>
        <v>9856.5083419999992</v>
      </c>
      <c r="Q3575" s="282" t="e">
        <f>(INDEX(Tabla6[#All],MATCH(Tabla4[[#This Row],[Producto]],Tabla6[[#All],[PRODUCTO]],0),MATCH(Tabla4[[#This Row],[Mes]],Tabla6[#Headers],0)))</f>
        <v>#N/A</v>
      </c>
      <c r="R3575" s="282" t="e">
        <f>++Tabla4[[#This Row],[Precio Unitario Neto]]-Tabla4[[#This Row],[20.85%]]-Tabla4[[#This Row],[Costo]]</f>
        <v>#N/A</v>
      </c>
      <c r="S3575" s="282" t="e">
        <f>++Tabla4[[#This Row],[U. Bruta Uni]]*Tabla4[[#This Row],[Cantidad]]</f>
        <v>#N/A</v>
      </c>
      <c r="T3575" s="369" t="str">
        <f>VLOOKUP(Tabla4[[#This Row],[Producto]],Tabla6[#All],14,FALSE)</f>
        <v>Termico Solar</v>
      </c>
      <c r="U3575" s="284" t="e">
        <f>(IF(Tabla4[[#This Row],[Familia]]="termico solar",Tabla4[[#This Row],[Utilidad Total]]*6%,Tabla4[[#This Row],[Utilidad Total]]*11.5%))/Tabla4[[#This Row],[Total]]</f>
        <v>#N/A</v>
      </c>
      <c r="V3575" s="282" t="e">
        <f>+Tabla4[[#This Row],[Comisión Calculada]]*Tabla4[[#This Row],[Total]]</f>
        <v>#N/A</v>
      </c>
    </row>
    <row r="3576" spans="1:22" hidden="1" x14ac:dyDescent="0.25">
      <c r="A3576" s="100">
        <v>45823</v>
      </c>
      <c r="B3576" t="str">
        <f t="shared" si="164"/>
        <v>June</v>
      </c>
      <c r="C3576" s="46" t="s">
        <v>280</v>
      </c>
      <c r="F3576" s="366" t="s">
        <v>2094</v>
      </c>
      <c r="G3576" s="46" t="s">
        <v>16</v>
      </c>
      <c r="H3576" s="46">
        <v>2</v>
      </c>
      <c r="I3576" s="51">
        <v>4103.8500000000004</v>
      </c>
      <c r="J3576" s="281">
        <f>++Tabla4[[#This Row],[Precio Bruto]]*1.16</f>
        <v>4760.4660000000003</v>
      </c>
      <c r="K3576" s="281">
        <f>+Tabla4[[#This Row],[Precio Unitario Neto]]*Tabla4[[#Headers],[20.85%]]</f>
        <v>992.55716100000006</v>
      </c>
      <c r="L3576" s="282">
        <f>++Tabla4[[#This Row],[Precio Unitario Neto]]-Tabla4[[#This Row],[20.85%]]</f>
        <v>3767.9088390000002</v>
      </c>
      <c r="M3576" s="282" t="e">
        <f>(INDEX(Tabla6[#All],MATCH(Tabla4[[#This Row],[Producto]],Tabla6[[#All],[PRODUCTO]],0),MATCH(Tabla4[[#This Row],[Mes]],Tabla6[#Headers],0)))*(1+Catalogos!$L$2)</f>
        <v>#N/A</v>
      </c>
      <c r="N3576" s="283" t="e">
        <f>+(Tabla4[[#This Row],[Precio Descontado]]-Tabla4[[#This Row],[Precio Base]])*Tabla4[[#This Row],[Cantidad]]</f>
        <v>#N/A</v>
      </c>
      <c r="O3576" s="284" t="e">
        <f>++Tabla4[[#This Row],[Utilidad Total]]/Tabla4[[#This Row],[Total]]</f>
        <v>#N/A</v>
      </c>
      <c r="P3576" s="282">
        <f>++Tabla4[[#This Row],[Precio Descontado]]*Tabla4[[#This Row],[Cantidad]]</f>
        <v>7535.8176780000003</v>
      </c>
      <c r="Q3576" s="282" t="e">
        <f>(INDEX(Tabla6[#All],MATCH(Tabla4[[#This Row],[Producto]],Tabla6[[#All],[PRODUCTO]],0),MATCH(Tabla4[[#This Row],[Mes]],Tabla6[#Headers],0)))</f>
        <v>#N/A</v>
      </c>
      <c r="R3576" s="282" t="e">
        <f>++Tabla4[[#This Row],[Precio Unitario Neto]]-Tabla4[[#This Row],[20.85%]]-Tabla4[[#This Row],[Costo]]</f>
        <v>#N/A</v>
      </c>
      <c r="S3576" s="282" t="e">
        <f>++Tabla4[[#This Row],[U. Bruta Uni]]*Tabla4[[#This Row],[Cantidad]]</f>
        <v>#N/A</v>
      </c>
      <c r="T3576" s="369" t="str">
        <f>VLOOKUP(Tabla4[[#This Row],[Producto]],Tabla6[#All],14,FALSE)</f>
        <v>Termico Solar</v>
      </c>
      <c r="U3576" s="284" t="e">
        <f>(IF(Tabla4[[#This Row],[Familia]]="termico solar",Tabla4[[#This Row],[Utilidad Total]]*6%,Tabla4[[#This Row],[Utilidad Total]]*11.5%))/Tabla4[[#This Row],[Total]]</f>
        <v>#N/A</v>
      </c>
      <c r="V3576" s="282" t="e">
        <f>+Tabla4[[#This Row],[Comisión Calculada]]*Tabla4[[#This Row],[Total]]</f>
        <v>#N/A</v>
      </c>
    </row>
    <row r="3577" spans="1:22" hidden="1" x14ac:dyDescent="0.25">
      <c r="A3577" s="100">
        <v>45823</v>
      </c>
      <c r="B3577" t="str">
        <f t="shared" si="164"/>
        <v>June</v>
      </c>
      <c r="C3577" s="46" t="s">
        <v>280</v>
      </c>
      <c r="F3577" s="366" t="s">
        <v>2095</v>
      </c>
      <c r="G3577" s="46" t="s">
        <v>83</v>
      </c>
      <c r="H3577" s="46">
        <v>1</v>
      </c>
      <c r="I3577" s="51">
        <v>8858.76</v>
      </c>
      <c r="J3577" s="281">
        <f>++Tabla4[[#This Row],[Precio Bruto]]*1.16</f>
        <v>10276.161599999999</v>
      </c>
      <c r="K3577" s="281">
        <f>+Tabla4[[#This Row],[Precio Unitario Neto]]*Tabla4[[#Headers],[20.85%]]</f>
        <v>2142.5796935999997</v>
      </c>
      <c r="L3577" s="282">
        <f>++Tabla4[[#This Row],[Precio Unitario Neto]]-Tabla4[[#This Row],[20.85%]]</f>
        <v>8133.5819063999998</v>
      </c>
      <c r="M3577" s="282" t="e">
        <f>(INDEX(Tabla6[#All],MATCH(Tabla4[[#This Row],[Producto]],Tabla6[[#All],[PRODUCTO]],0),MATCH(Tabla4[[#This Row],[Mes]],Tabla6[#Headers],0)))*(1+Catalogos!$L$2)</f>
        <v>#N/A</v>
      </c>
      <c r="N3577" s="283" t="e">
        <f>+(Tabla4[[#This Row],[Precio Descontado]]-Tabla4[[#This Row],[Precio Base]])*Tabla4[[#This Row],[Cantidad]]</f>
        <v>#N/A</v>
      </c>
      <c r="O3577" s="284" t="e">
        <f>++Tabla4[[#This Row],[Utilidad Total]]/Tabla4[[#This Row],[Total]]</f>
        <v>#N/A</v>
      </c>
      <c r="P3577" s="282">
        <f>++Tabla4[[#This Row],[Precio Descontado]]*Tabla4[[#This Row],[Cantidad]]</f>
        <v>8133.5819063999998</v>
      </c>
      <c r="Q3577" s="282" t="e">
        <f>(INDEX(Tabla6[#All],MATCH(Tabla4[[#This Row],[Producto]],Tabla6[[#All],[PRODUCTO]],0),MATCH(Tabla4[[#This Row],[Mes]],Tabla6[#Headers],0)))</f>
        <v>#N/A</v>
      </c>
      <c r="R3577" s="282" t="e">
        <f>++Tabla4[[#This Row],[Precio Unitario Neto]]-Tabla4[[#This Row],[20.85%]]-Tabla4[[#This Row],[Costo]]</f>
        <v>#N/A</v>
      </c>
      <c r="S3577" s="282" t="e">
        <f>++Tabla4[[#This Row],[U. Bruta Uni]]*Tabla4[[#This Row],[Cantidad]]</f>
        <v>#N/A</v>
      </c>
      <c r="T3577" s="369" t="str">
        <f>VLOOKUP(Tabla4[[#This Row],[Producto]],Tabla6[#All],14,FALSE)</f>
        <v>Termico Solar</v>
      </c>
      <c r="U3577" s="284" t="e">
        <f>(IF(Tabla4[[#This Row],[Familia]]="termico solar",Tabla4[[#This Row],[Utilidad Total]]*6%,Tabla4[[#This Row],[Utilidad Total]]*11.5%))/Tabla4[[#This Row],[Total]]</f>
        <v>#N/A</v>
      </c>
      <c r="V3577" s="282" t="e">
        <f>+Tabla4[[#This Row],[Comisión Calculada]]*Tabla4[[#This Row],[Total]]</f>
        <v>#N/A</v>
      </c>
    </row>
    <row r="3578" spans="1:22" hidden="1" x14ac:dyDescent="0.25">
      <c r="A3578" s="100">
        <v>45823</v>
      </c>
      <c r="B3578" t="str">
        <f t="shared" si="164"/>
        <v>June</v>
      </c>
      <c r="C3578" s="46" t="s">
        <v>280</v>
      </c>
      <c r="F3578" s="366" t="s">
        <v>2095</v>
      </c>
      <c r="G3578" s="46" t="s">
        <v>16</v>
      </c>
      <c r="H3578" s="46">
        <v>2</v>
      </c>
      <c r="I3578" s="51">
        <v>4103.8500000000004</v>
      </c>
      <c r="J3578" s="281">
        <f>++Tabla4[[#This Row],[Precio Bruto]]*1.16</f>
        <v>4760.4660000000003</v>
      </c>
      <c r="K3578" s="281">
        <f>+Tabla4[[#This Row],[Precio Unitario Neto]]*Tabla4[[#Headers],[20.85%]]</f>
        <v>992.55716100000006</v>
      </c>
      <c r="L3578" s="282">
        <f>++Tabla4[[#This Row],[Precio Unitario Neto]]-Tabla4[[#This Row],[20.85%]]</f>
        <v>3767.9088390000002</v>
      </c>
      <c r="M3578" s="282" t="e">
        <f>(INDEX(Tabla6[#All],MATCH(Tabla4[[#This Row],[Producto]],Tabla6[[#All],[PRODUCTO]],0),MATCH(Tabla4[[#This Row],[Mes]],Tabla6[#Headers],0)))*(1+Catalogos!$L$2)</f>
        <v>#N/A</v>
      </c>
      <c r="N3578" s="283" t="e">
        <f>+(Tabla4[[#This Row],[Precio Descontado]]-Tabla4[[#This Row],[Precio Base]])*Tabla4[[#This Row],[Cantidad]]</f>
        <v>#N/A</v>
      </c>
      <c r="O3578" s="284" t="e">
        <f>++Tabla4[[#This Row],[Utilidad Total]]/Tabla4[[#This Row],[Total]]</f>
        <v>#N/A</v>
      </c>
      <c r="P3578" s="282">
        <f>++Tabla4[[#This Row],[Precio Descontado]]*Tabla4[[#This Row],[Cantidad]]</f>
        <v>7535.8176780000003</v>
      </c>
      <c r="Q3578" s="282" t="e">
        <f>(INDEX(Tabla6[#All],MATCH(Tabla4[[#This Row],[Producto]],Tabla6[[#All],[PRODUCTO]],0),MATCH(Tabla4[[#This Row],[Mes]],Tabla6[#Headers],0)))</f>
        <v>#N/A</v>
      </c>
      <c r="R3578" s="282" t="e">
        <f>++Tabla4[[#This Row],[Precio Unitario Neto]]-Tabla4[[#This Row],[20.85%]]-Tabla4[[#This Row],[Costo]]</f>
        <v>#N/A</v>
      </c>
      <c r="S3578" s="282" t="e">
        <f>++Tabla4[[#This Row],[U. Bruta Uni]]*Tabla4[[#This Row],[Cantidad]]</f>
        <v>#N/A</v>
      </c>
      <c r="T3578" s="369" t="str">
        <f>VLOOKUP(Tabla4[[#This Row],[Producto]],Tabla6[#All],14,FALSE)</f>
        <v>Termico Solar</v>
      </c>
      <c r="U3578" s="284" t="e">
        <f>(IF(Tabla4[[#This Row],[Familia]]="termico solar",Tabla4[[#This Row],[Utilidad Total]]*6%,Tabla4[[#This Row],[Utilidad Total]]*11.5%))/Tabla4[[#This Row],[Total]]</f>
        <v>#N/A</v>
      </c>
      <c r="V3578" s="282" t="e">
        <f>+Tabla4[[#This Row],[Comisión Calculada]]*Tabla4[[#This Row],[Total]]</f>
        <v>#N/A</v>
      </c>
    </row>
    <row r="3579" spans="1:22" hidden="1" x14ac:dyDescent="0.25">
      <c r="A3579" s="100">
        <v>45823</v>
      </c>
      <c r="B3579" t="str">
        <f t="shared" si="164"/>
        <v>June</v>
      </c>
      <c r="C3579" s="46" t="s">
        <v>280</v>
      </c>
      <c r="F3579" s="366" t="s">
        <v>2096</v>
      </c>
      <c r="G3579" s="46" t="s">
        <v>17</v>
      </c>
      <c r="H3579" s="46">
        <v>3</v>
      </c>
      <c r="I3579" s="51">
        <v>4622.28</v>
      </c>
      <c r="J3579" s="281">
        <f>++Tabla4[[#This Row],[Precio Bruto]]*1.16</f>
        <v>5361.8447999999989</v>
      </c>
      <c r="K3579" s="281">
        <f>+Tabla4[[#This Row],[Precio Unitario Neto]]*Tabla4[[#Headers],[20.85%]]</f>
        <v>1117.9446407999997</v>
      </c>
      <c r="L3579" s="282">
        <f>++Tabla4[[#This Row],[Precio Unitario Neto]]-Tabla4[[#This Row],[20.85%]]</f>
        <v>4243.9001591999995</v>
      </c>
      <c r="M3579" s="282" t="e">
        <f>(INDEX(Tabla6[#All],MATCH(Tabla4[[#This Row],[Producto]],Tabla6[[#All],[PRODUCTO]],0),MATCH(Tabla4[[#This Row],[Mes]],Tabla6[#Headers],0)))*(1+Catalogos!$L$2)</f>
        <v>#N/A</v>
      </c>
      <c r="N3579" s="283" t="e">
        <f>+(Tabla4[[#This Row],[Precio Descontado]]-Tabla4[[#This Row],[Precio Base]])*Tabla4[[#This Row],[Cantidad]]</f>
        <v>#N/A</v>
      </c>
      <c r="O3579" s="284" t="e">
        <f>++Tabla4[[#This Row],[Utilidad Total]]/Tabla4[[#This Row],[Total]]</f>
        <v>#N/A</v>
      </c>
      <c r="P3579" s="282">
        <f>++Tabla4[[#This Row],[Precio Descontado]]*Tabla4[[#This Row],[Cantidad]]</f>
        <v>12731.700477599999</v>
      </c>
      <c r="Q3579" s="282" t="e">
        <f>(INDEX(Tabla6[#All],MATCH(Tabla4[[#This Row],[Producto]],Tabla6[[#All],[PRODUCTO]],0),MATCH(Tabla4[[#This Row],[Mes]],Tabla6[#Headers],0)))</f>
        <v>#N/A</v>
      </c>
      <c r="R3579" s="282" t="e">
        <f>++Tabla4[[#This Row],[Precio Unitario Neto]]-Tabla4[[#This Row],[20.85%]]-Tabla4[[#This Row],[Costo]]</f>
        <v>#N/A</v>
      </c>
      <c r="S3579" s="282" t="e">
        <f>++Tabla4[[#This Row],[U. Bruta Uni]]*Tabla4[[#This Row],[Cantidad]]</f>
        <v>#N/A</v>
      </c>
      <c r="T3579" s="369" t="str">
        <f>VLOOKUP(Tabla4[[#This Row],[Producto]],Tabla6[#All],14,FALSE)</f>
        <v>Termico Solar</v>
      </c>
      <c r="U3579" s="284" t="e">
        <f>(IF(Tabla4[[#This Row],[Familia]]="termico solar",Tabla4[[#This Row],[Utilidad Total]]*6%,Tabla4[[#This Row],[Utilidad Total]]*11.5%))/Tabla4[[#This Row],[Total]]</f>
        <v>#N/A</v>
      </c>
      <c r="V3579" s="282" t="e">
        <f>+Tabla4[[#This Row],[Comisión Calculada]]*Tabla4[[#This Row],[Total]]</f>
        <v>#N/A</v>
      </c>
    </row>
    <row r="3580" spans="1:22" hidden="1" x14ac:dyDescent="0.25">
      <c r="A3580" s="100">
        <v>45823</v>
      </c>
      <c r="B3580" t="str">
        <f t="shared" si="164"/>
        <v>June</v>
      </c>
      <c r="C3580" s="46" t="s">
        <v>280</v>
      </c>
      <c r="F3580" s="366" t="s">
        <v>2096</v>
      </c>
      <c r="G3580" s="46" t="s">
        <v>16</v>
      </c>
      <c r="H3580" s="46">
        <v>6</v>
      </c>
      <c r="I3580" s="51">
        <v>4103.8499999999995</v>
      </c>
      <c r="J3580" s="281">
        <f>++Tabla4[[#This Row],[Precio Bruto]]*1.16</f>
        <v>4760.4659999999994</v>
      </c>
      <c r="K3580" s="281">
        <f>+Tabla4[[#This Row],[Precio Unitario Neto]]*Tabla4[[#Headers],[20.85%]]</f>
        <v>992.55716099999984</v>
      </c>
      <c r="L3580" s="282">
        <f>++Tabla4[[#This Row],[Precio Unitario Neto]]-Tabla4[[#This Row],[20.85%]]</f>
        <v>3767.9088389999997</v>
      </c>
      <c r="M3580" s="282" t="e">
        <f>(INDEX(Tabla6[#All],MATCH(Tabla4[[#This Row],[Producto]],Tabla6[[#All],[PRODUCTO]],0),MATCH(Tabla4[[#This Row],[Mes]],Tabla6[#Headers],0)))*(1+Catalogos!$L$2)</f>
        <v>#N/A</v>
      </c>
      <c r="N3580" s="283" t="e">
        <f>+(Tabla4[[#This Row],[Precio Descontado]]-Tabla4[[#This Row],[Precio Base]])*Tabla4[[#This Row],[Cantidad]]</f>
        <v>#N/A</v>
      </c>
      <c r="O3580" s="284" t="e">
        <f>++Tabla4[[#This Row],[Utilidad Total]]/Tabla4[[#This Row],[Total]]</f>
        <v>#N/A</v>
      </c>
      <c r="P3580" s="282">
        <f>++Tabla4[[#This Row],[Precio Descontado]]*Tabla4[[#This Row],[Cantidad]]</f>
        <v>22607.453033999998</v>
      </c>
      <c r="Q3580" s="282" t="e">
        <f>(INDEX(Tabla6[#All],MATCH(Tabla4[[#This Row],[Producto]],Tabla6[[#All],[PRODUCTO]],0),MATCH(Tabla4[[#This Row],[Mes]],Tabla6[#Headers],0)))</f>
        <v>#N/A</v>
      </c>
      <c r="R3580" s="282" t="e">
        <f>++Tabla4[[#This Row],[Precio Unitario Neto]]-Tabla4[[#This Row],[20.85%]]-Tabla4[[#This Row],[Costo]]</f>
        <v>#N/A</v>
      </c>
      <c r="S3580" s="282" t="e">
        <f>++Tabla4[[#This Row],[U. Bruta Uni]]*Tabla4[[#This Row],[Cantidad]]</f>
        <v>#N/A</v>
      </c>
      <c r="T3580" s="369" t="str">
        <f>VLOOKUP(Tabla4[[#This Row],[Producto]],Tabla6[#All],14,FALSE)</f>
        <v>Termico Solar</v>
      </c>
      <c r="U3580" s="284" t="e">
        <f>(IF(Tabla4[[#This Row],[Familia]]="termico solar",Tabla4[[#This Row],[Utilidad Total]]*6%,Tabla4[[#This Row],[Utilidad Total]]*11.5%))/Tabla4[[#This Row],[Total]]</f>
        <v>#N/A</v>
      </c>
      <c r="V3580" s="282" t="e">
        <f>+Tabla4[[#This Row],[Comisión Calculada]]*Tabla4[[#This Row],[Total]]</f>
        <v>#N/A</v>
      </c>
    </row>
    <row r="3581" spans="1:22" ht="18" hidden="1" customHeight="1" x14ac:dyDescent="0.25">
      <c r="A3581" s="100">
        <v>45823</v>
      </c>
      <c r="B3581" t="str">
        <f t="shared" si="164"/>
        <v>June</v>
      </c>
      <c r="C3581" s="46" t="s">
        <v>280</v>
      </c>
      <c r="F3581" s="366" t="s">
        <v>2096</v>
      </c>
      <c r="G3581" s="46" t="s">
        <v>208</v>
      </c>
      <c r="H3581" s="46">
        <v>1</v>
      </c>
      <c r="I3581" s="51">
        <v>189.75</v>
      </c>
      <c r="J3581" s="281">
        <f>++Tabla4[[#This Row],[Precio Bruto]]*1.16</f>
        <v>220.10999999999999</v>
      </c>
      <c r="K3581" s="281">
        <f>+Tabla4[[#This Row],[Precio Unitario Neto]]*Tabla4[[#Headers],[20.85%]]</f>
        <v>45.892934999999994</v>
      </c>
      <c r="L3581" s="282">
        <f>++Tabla4[[#This Row],[Precio Unitario Neto]]-Tabla4[[#This Row],[20.85%]]</f>
        <v>174.21706499999999</v>
      </c>
      <c r="M3581" s="282" t="e">
        <f>(INDEX(Tabla6[#All],MATCH(Tabla4[[#This Row],[Producto]],Tabla6[[#All],[PRODUCTO]],0),MATCH(Tabla4[[#This Row],[Mes]],Tabla6[#Headers],0)))*(1+Catalogos!$L$2)</f>
        <v>#N/A</v>
      </c>
      <c r="N3581" s="283" t="e">
        <f>+(Tabla4[[#This Row],[Precio Descontado]]-Tabla4[[#This Row],[Precio Base]])*Tabla4[[#This Row],[Cantidad]]</f>
        <v>#N/A</v>
      </c>
      <c r="O3581" s="284" t="e">
        <f>++Tabla4[[#This Row],[Utilidad Total]]/Tabla4[[#This Row],[Total]]</f>
        <v>#N/A</v>
      </c>
      <c r="P3581" s="282">
        <f>++Tabla4[[#This Row],[Precio Descontado]]*Tabla4[[#This Row],[Cantidad]]</f>
        <v>174.21706499999999</v>
      </c>
      <c r="Q3581" s="282" t="e">
        <f>(INDEX(Tabla6[#All],MATCH(Tabla4[[#This Row],[Producto]],Tabla6[[#All],[PRODUCTO]],0),MATCH(Tabla4[[#This Row],[Mes]],Tabla6[#Headers],0)))</f>
        <v>#N/A</v>
      </c>
      <c r="R3581" s="282" t="e">
        <f>++Tabla4[[#This Row],[Precio Unitario Neto]]-Tabla4[[#This Row],[20.85%]]-Tabla4[[#This Row],[Costo]]</f>
        <v>#N/A</v>
      </c>
      <c r="S3581" s="282" t="e">
        <f>++Tabla4[[#This Row],[U. Bruta Uni]]*Tabla4[[#This Row],[Cantidad]]</f>
        <v>#N/A</v>
      </c>
      <c r="T3581" s="369" t="str">
        <f>VLOOKUP(Tabla4[[#This Row],[Producto]],Tabla6[#All],14,FALSE)</f>
        <v>Termico Solar</v>
      </c>
      <c r="U3581" s="284" t="e">
        <f>(IF(Tabla4[[#This Row],[Familia]]="termico solar",Tabla4[[#This Row],[Utilidad Total]]*6%,Tabla4[[#This Row],[Utilidad Total]]*11.5%))/Tabla4[[#This Row],[Total]]</f>
        <v>#N/A</v>
      </c>
      <c r="V3581" s="282" t="e">
        <f>+Tabla4[[#This Row],[Comisión Calculada]]*Tabla4[[#This Row],[Total]]</f>
        <v>#N/A</v>
      </c>
    </row>
    <row r="3582" spans="1:22" ht="18" hidden="1" customHeight="1" x14ac:dyDescent="0.25">
      <c r="A3582" s="100">
        <v>45823</v>
      </c>
      <c r="B3582" t="str">
        <f t="shared" si="164"/>
        <v>June</v>
      </c>
      <c r="C3582" s="46" t="s">
        <v>280</v>
      </c>
      <c r="F3582" s="366" t="s">
        <v>2097</v>
      </c>
      <c r="G3582" s="46" t="s">
        <v>18</v>
      </c>
      <c r="H3582" s="46">
        <v>2</v>
      </c>
      <c r="I3582" s="51">
        <v>5367.65</v>
      </c>
      <c r="J3582" s="281">
        <f>++Tabla4[[#This Row],[Precio Bruto]]*1.16</f>
        <v>6226.4739999999993</v>
      </c>
      <c r="K3582" s="281">
        <f>+Tabla4[[#This Row],[Precio Unitario Neto]]*Tabla4[[#Headers],[20.85%]]</f>
        <v>1298.2198289999999</v>
      </c>
      <c r="L3582" s="282">
        <f>++Tabla4[[#This Row],[Precio Unitario Neto]]-Tabla4[[#This Row],[20.85%]]</f>
        <v>4928.2541709999996</v>
      </c>
      <c r="M3582" s="282" t="e">
        <f>(INDEX(Tabla6[#All],MATCH(Tabla4[[#This Row],[Producto]],Tabla6[[#All],[PRODUCTO]],0),MATCH(Tabla4[[#This Row],[Mes]],Tabla6[#Headers],0)))*(1+Catalogos!$L$2)</f>
        <v>#N/A</v>
      </c>
      <c r="N3582" s="283" t="e">
        <f>+(Tabla4[[#This Row],[Precio Descontado]]-Tabla4[[#This Row],[Precio Base]])*Tabla4[[#This Row],[Cantidad]]</f>
        <v>#N/A</v>
      </c>
      <c r="O3582" s="284" t="e">
        <f>++Tabla4[[#This Row],[Utilidad Total]]/Tabla4[[#This Row],[Total]]</f>
        <v>#N/A</v>
      </c>
      <c r="P3582" s="282">
        <f>++Tabla4[[#This Row],[Precio Descontado]]*Tabla4[[#This Row],[Cantidad]]</f>
        <v>9856.5083419999992</v>
      </c>
      <c r="Q3582" s="282" t="e">
        <f>(INDEX(Tabla6[#All],MATCH(Tabla4[[#This Row],[Producto]],Tabla6[[#All],[PRODUCTO]],0),MATCH(Tabla4[[#This Row],[Mes]],Tabla6[#Headers],0)))</f>
        <v>#N/A</v>
      </c>
      <c r="R3582" s="282" t="e">
        <f>++Tabla4[[#This Row],[Precio Unitario Neto]]-Tabla4[[#This Row],[20.85%]]-Tabla4[[#This Row],[Costo]]</f>
        <v>#N/A</v>
      </c>
      <c r="S3582" s="282" t="e">
        <f>++Tabla4[[#This Row],[U. Bruta Uni]]*Tabla4[[#This Row],[Cantidad]]</f>
        <v>#N/A</v>
      </c>
      <c r="T3582" s="369" t="str">
        <f>VLOOKUP(Tabla4[[#This Row],[Producto]],Tabla6[#All],14,FALSE)</f>
        <v>Termico Solar</v>
      </c>
      <c r="U3582" s="284" t="e">
        <f>(IF(Tabla4[[#This Row],[Familia]]="termico solar",Tabla4[[#This Row],[Utilidad Total]]*6%,Tabla4[[#This Row],[Utilidad Total]]*11.5%))/Tabla4[[#This Row],[Total]]</f>
        <v>#N/A</v>
      </c>
      <c r="V3582" s="282" t="e">
        <f>+Tabla4[[#This Row],[Comisión Calculada]]*Tabla4[[#This Row],[Total]]</f>
        <v>#N/A</v>
      </c>
    </row>
    <row r="3583" spans="1:22" ht="18" hidden="1" customHeight="1" x14ac:dyDescent="0.25">
      <c r="A3583" s="100">
        <v>45823</v>
      </c>
      <c r="B3583" t="str">
        <f t="shared" si="164"/>
        <v>June</v>
      </c>
      <c r="C3583" s="46" t="s">
        <v>280</v>
      </c>
      <c r="F3583" s="366" t="s">
        <v>2098</v>
      </c>
      <c r="G3583" s="46" t="s">
        <v>17</v>
      </c>
      <c r="H3583" s="46">
        <v>6</v>
      </c>
      <c r="I3583" s="51">
        <v>4622.28</v>
      </c>
      <c r="J3583" s="281">
        <f>++Tabla4[[#This Row],[Precio Bruto]]*1.16</f>
        <v>5361.8447999999989</v>
      </c>
      <c r="K3583" s="281">
        <f>+Tabla4[[#This Row],[Precio Unitario Neto]]*Tabla4[[#Headers],[20.85%]]</f>
        <v>1117.9446407999997</v>
      </c>
      <c r="L3583" s="282">
        <f>++Tabla4[[#This Row],[Precio Unitario Neto]]-Tabla4[[#This Row],[20.85%]]</f>
        <v>4243.9001591999995</v>
      </c>
      <c r="M3583" s="282" t="e">
        <f>(INDEX(Tabla6[#All],MATCH(Tabla4[[#This Row],[Producto]],Tabla6[[#All],[PRODUCTO]],0),MATCH(Tabla4[[#This Row],[Mes]],Tabla6[#Headers],0)))*(1+Catalogos!$L$2)</f>
        <v>#N/A</v>
      </c>
      <c r="N3583" s="283" t="e">
        <f>+(Tabla4[[#This Row],[Precio Descontado]]-Tabla4[[#This Row],[Precio Base]])*Tabla4[[#This Row],[Cantidad]]</f>
        <v>#N/A</v>
      </c>
      <c r="O3583" s="284" t="e">
        <f>++Tabla4[[#This Row],[Utilidad Total]]/Tabla4[[#This Row],[Total]]</f>
        <v>#N/A</v>
      </c>
      <c r="P3583" s="282">
        <f>++Tabla4[[#This Row],[Precio Descontado]]*Tabla4[[#This Row],[Cantidad]]</f>
        <v>25463.400955199999</v>
      </c>
      <c r="Q3583" s="282" t="e">
        <f>(INDEX(Tabla6[#All],MATCH(Tabla4[[#This Row],[Producto]],Tabla6[[#All],[PRODUCTO]],0),MATCH(Tabla4[[#This Row],[Mes]],Tabla6[#Headers],0)))</f>
        <v>#N/A</v>
      </c>
      <c r="R3583" s="282" t="e">
        <f>++Tabla4[[#This Row],[Precio Unitario Neto]]-Tabla4[[#This Row],[20.85%]]-Tabla4[[#This Row],[Costo]]</f>
        <v>#N/A</v>
      </c>
      <c r="S3583" s="282" t="e">
        <f>++Tabla4[[#This Row],[U. Bruta Uni]]*Tabla4[[#This Row],[Cantidad]]</f>
        <v>#N/A</v>
      </c>
      <c r="T3583" s="369" t="str">
        <f>VLOOKUP(Tabla4[[#This Row],[Producto]],Tabla6[#All],14,FALSE)</f>
        <v>Termico Solar</v>
      </c>
      <c r="U3583" s="284" t="e">
        <f>(IF(Tabla4[[#This Row],[Familia]]="termico solar",Tabla4[[#This Row],[Utilidad Total]]*6%,Tabla4[[#This Row],[Utilidad Total]]*11.5%))/Tabla4[[#This Row],[Total]]</f>
        <v>#N/A</v>
      </c>
      <c r="V3583" s="282" t="e">
        <f>+Tabla4[[#This Row],[Comisión Calculada]]*Tabla4[[#This Row],[Total]]</f>
        <v>#N/A</v>
      </c>
    </row>
    <row r="3584" spans="1:22" hidden="1" x14ac:dyDescent="0.25">
      <c r="A3584" s="100">
        <v>45823</v>
      </c>
      <c r="B3584" t="str">
        <f t="shared" si="164"/>
        <v>June</v>
      </c>
      <c r="C3584" s="46" t="s">
        <v>280</v>
      </c>
      <c r="F3584" s="366" t="s">
        <v>2098</v>
      </c>
      <c r="G3584" s="46" t="s">
        <v>566</v>
      </c>
      <c r="H3584" s="46">
        <v>2</v>
      </c>
      <c r="I3584" s="51">
        <v>2109.4499999999998</v>
      </c>
      <c r="J3584" s="281">
        <f>++Tabla4[[#This Row],[Precio Bruto]]*1.16</f>
        <v>2446.9619999999995</v>
      </c>
      <c r="K3584" s="281">
        <f>+Tabla4[[#This Row],[Precio Unitario Neto]]*Tabla4[[#Headers],[20.85%]]</f>
        <v>510.19157699999988</v>
      </c>
      <c r="L3584" s="282">
        <f>++Tabla4[[#This Row],[Precio Unitario Neto]]-Tabla4[[#This Row],[20.85%]]</f>
        <v>1936.7704229999997</v>
      </c>
      <c r="M3584" s="282" t="e">
        <f>(INDEX(Tabla6[#All],MATCH(Tabla4[[#This Row],[Producto]],Tabla6[[#All],[PRODUCTO]],0),MATCH(Tabla4[[#This Row],[Mes]],Tabla6[#Headers],0)))*(1+Catalogos!$L$2)</f>
        <v>#N/A</v>
      </c>
      <c r="N3584" s="283" t="e">
        <f>+(Tabla4[[#This Row],[Precio Descontado]]-Tabla4[[#This Row],[Precio Base]])*Tabla4[[#This Row],[Cantidad]]</f>
        <v>#N/A</v>
      </c>
      <c r="O3584" s="284" t="e">
        <f>++Tabla4[[#This Row],[Utilidad Total]]/Tabla4[[#This Row],[Total]]</f>
        <v>#N/A</v>
      </c>
      <c r="P3584" s="282">
        <f>++Tabla4[[#This Row],[Precio Descontado]]*Tabla4[[#This Row],[Cantidad]]</f>
        <v>3873.5408459999994</v>
      </c>
      <c r="Q3584" s="282" t="e">
        <f>(INDEX(Tabla6[#All],MATCH(Tabla4[[#This Row],[Producto]],Tabla6[[#All],[PRODUCTO]],0),MATCH(Tabla4[[#This Row],[Mes]],Tabla6[#Headers],0)))</f>
        <v>#N/A</v>
      </c>
      <c r="R3584" s="282" t="e">
        <f>++Tabla4[[#This Row],[Precio Unitario Neto]]-Tabla4[[#This Row],[20.85%]]-Tabla4[[#This Row],[Costo]]</f>
        <v>#N/A</v>
      </c>
      <c r="S3584" s="282" t="e">
        <f>++Tabla4[[#This Row],[U. Bruta Uni]]*Tabla4[[#This Row],[Cantidad]]</f>
        <v>#N/A</v>
      </c>
      <c r="T3584" s="369" t="str">
        <f>VLOOKUP(Tabla4[[#This Row],[Producto]],Tabla6[#All],14,FALSE)</f>
        <v>Termico Solar</v>
      </c>
      <c r="U3584" s="284" t="e">
        <f>(IF(Tabla4[[#This Row],[Familia]]="termico solar",Tabla4[[#This Row],[Utilidad Total]]*6%,Tabla4[[#This Row],[Utilidad Total]]*11.5%))/Tabla4[[#This Row],[Total]]</f>
        <v>#N/A</v>
      </c>
      <c r="V3584" s="282" t="e">
        <f>+Tabla4[[#This Row],[Comisión Calculada]]*Tabla4[[#This Row],[Total]]</f>
        <v>#N/A</v>
      </c>
    </row>
    <row r="3585" spans="1:22" hidden="1" x14ac:dyDescent="0.25">
      <c r="A3585" s="100">
        <v>45823</v>
      </c>
      <c r="B3585" t="str">
        <f t="shared" si="164"/>
        <v>June</v>
      </c>
      <c r="C3585" s="46" t="s">
        <v>280</v>
      </c>
      <c r="F3585" s="366" t="s">
        <v>2099</v>
      </c>
      <c r="G3585" s="46" t="s">
        <v>17</v>
      </c>
      <c r="H3585" s="46">
        <v>4</v>
      </c>
      <c r="I3585" s="51">
        <v>4622.28</v>
      </c>
      <c r="J3585" s="281">
        <f>++Tabla4[[#This Row],[Precio Bruto]]*1.16</f>
        <v>5361.8447999999989</v>
      </c>
      <c r="K3585" s="281">
        <f>+Tabla4[[#This Row],[Precio Unitario Neto]]*Tabla4[[#Headers],[20.85%]]</f>
        <v>1117.9446407999997</v>
      </c>
      <c r="L3585" s="282">
        <f>++Tabla4[[#This Row],[Precio Unitario Neto]]-Tabla4[[#This Row],[20.85%]]</f>
        <v>4243.9001591999995</v>
      </c>
      <c r="M3585" s="282" t="e">
        <f>(INDEX(Tabla6[#All],MATCH(Tabla4[[#This Row],[Producto]],Tabla6[[#All],[PRODUCTO]],0),MATCH(Tabla4[[#This Row],[Mes]],Tabla6[#Headers],0)))*(1+Catalogos!$L$2)</f>
        <v>#N/A</v>
      </c>
      <c r="N3585" s="283" t="e">
        <f>+(Tabla4[[#This Row],[Precio Descontado]]-Tabla4[[#This Row],[Precio Base]])*Tabla4[[#This Row],[Cantidad]]</f>
        <v>#N/A</v>
      </c>
      <c r="O3585" s="284" t="e">
        <f>++Tabla4[[#This Row],[Utilidad Total]]/Tabla4[[#This Row],[Total]]</f>
        <v>#N/A</v>
      </c>
      <c r="P3585" s="282">
        <f>++Tabla4[[#This Row],[Precio Descontado]]*Tabla4[[#This Row],[Cantidad]]</f>
        <v>16975.600636799998</v>
      </c>
      <c r="Q3585" s="282" t="e">
        <f>(INDEX(Tabla6[#All],MATCH(Tabla4[[#This Row],[Producto]],Tabla6[[#All],[PRODUCTO]],0),MATCH(Tabla4[[#This Row],[Mes]],Tabla6[#Headers],0)))</f>
        <v>#N/A</v>
      </c>
      <c r="R3585" s="282" t="e">
        <f>++Tabla4[[#This Row],[Precio Unitario Neto]]-Tabla4[[#This Row],[20.85%]]-Tabla4[[#This Row],[Costo]]</f>
        <v>#N/A</v>
      </c>
      <c r="S3585" s="282" t="e">
        <f>++Tabla4[[#This Row],[U. Bruta Uni]]*Tabla4[[#This Row],[Cantidad]]</f>
        <v>#N/A</v>
      </c>
      <c r="T3585" s="369" t="str">
        <f>VLOOKUP(Tabla4[[#This Row],[Producto]],Tabla6[#All],14,FALSE)</f>
        <v>Termico Solar</v>
      </c>
      <c r="U3585" s="284" t="e">
        <f>(IF(Tabla4[[#This Row],[Familia]]="termico solar",Tabla4[[#This Row],[Utilidad Total]]*6%,Tabla4[[#This Row],[Utilidad Total]]*11.5%))/Tabla4[[#This Row],[Total]]</f>
        <v>#N/A</v>
      </c>
      <c r="V3585" s="282" t="e">
        <f>+Tabla4[[#This Row],[Comisión Calculada]]*Tabla4[[#This Row],[Total]]</f>
        <v>#N/A</v>
      </c>
    </row>
    <row r="3586" spans="1:22" hidden="1" x14ac:dyDescent="0.25">
      <c r="A3586" s="100">
        <v>45823</v>
      </c>
      <c r="B3586" t="str">
        <f t="shared" si="164"/>
        <v>June</v>
      </c>
      <c r="C3586" s="46" t="s">
        <v>280</v>
      </c>
      <c r="F3586" s="366" t="s">
        <v>2099</v>
      </c>
      <c r="G3586" s="46" t="s">
        <v>566</v>
      </c>
      <c r="H3586" s="46">
        <v>1</v>
      </c>
      <c r="I3586" s="51">
        <v>2109.4499999999998</v>
      </c>
      <c r="J3586" s="281">
        <f>++Tabla4[[#This Row],[Precio Bruto]]*1.16</f>
        <v>2446.9619999999995</v>
      </c>
      <c r="K3586" s="281">
        <f>+Tabla4[[#This Row],[Precio Unitario Neto]]*Tabla4[[#Headers],[20.85%]]</f>
        <v>510.19157699999988</v>
      </c>
      <c r="L3586" s="282">
        <f>++Tabla4[[#This Row],[Precio Unitario Neto]]-Tabla4[[#This Row],[20.85%]]</f>
        <v>1936.7704229999997</v>
      </c>
      <c r="M3586" s="282" t="e">
        <f>(INDEX(Tabla6[#All],MATCH(Tabla4[[#This Row],[Producto]],Tabla6[[#All],[PRODUCTO]],0),MATCH(Tabla4[[#This Row],[Mes]],Tabla6[#Headers],0)))*(1+Catalogos!$L$2)</f>
        <v>#N/A</v>
      </c>
      <c r="N3586" s="283" t="e">
        <f>+(Tabla4[[#This Row],[Precio Descontado]]-Tabla4[[#This Row],[Precio Base]])*Tabla4[[#This Row],[Cantidad]]</f>
        <v>#N/A</v>
      </c>
      <c r="O3586" s="284" t="e">
        <f>++Tabla4[[#This Row],[Utilidad Total]]/Tabla4[[#This Row],[Total]]</f>
        <v>#N/A</v>
      </c>
      <c r="P3586" s="282">
        <f>++Tabla4[[#This Row],[Precio Descontado]]*Tabla4[[#This Row],[Cantidad]]</f>
        <v>1936.7704229999997</v>
      </c>
      <c r="Q3586" s="282" t="e">
        <f>(INDEX(Tabla6[#All],MATCH(Tabla4[[#This Row],[Producto]],Tabla6[[#All],[PRODUCTO]],0),MATCH(Tabla4[[#This Row],[Mes]],Tabla6[#Headers],0)))</f>
        <v>#N/A</v>
      </c>
      <c r="R3586" s="282" t="e">
        <f>++Tabla4[[#This Row],[Precio Unitario Neto]]-Tabla4[[#This Row],[20.85%]]-Tabla4[[#This Row],[Costo]]</f>
        <v>#N/A</v>
      </c>
      <c r="S3586" s="282" t="e">
        <f>++Tabla4[[#This Row],[U. Bruta Uni]]*Tabla4[[#This Row],[Cantidad]]</f>
        <v>#N/A</v>
      </c>
      <c r="T3586" s="369" t="str">
        <f>VLOOKUP(Tabla4[[#This Row],[Producto]],Tabla6[#All],14,FALSE)</f>
        <v>Termico Solar</v>
      </c>
      <c r="U3586" s="284" t="e">
        <f>(IF(Tabla4[[#This Row],[Familia]]="termico solar",Tabla4[[#This Row],[Utilidad Total]]*6%,Tabla4[[#This Row],[Utilidad Total]]*11.5%))/Tabla4[[#This Row],[Total]]</f>
        <v>#N/A</v>
      </c>
      <c r="V3586" s="282" t="e">
        <f>+Tabla4[[#This Row],[Comisión Calculada]]*Tabla4[[#This Row],[Total]]</f>
        <v>#N/A</v>
      </c>
    </row>
    <row r="3587" spans="1:22" hidden="1" x14ac:dyDescent="0.25">
      <c r="A3587" s="100">
        <v>45823</v>
      </c>
      <c r="B3587" t="str">
        <f t="shared" si="164"/>
        <v>June</v>
      </c>
      <c r="C3587" s="46" t="s">
        <v>280</v>
      </c>
      <c r="F3587" s="366" t="s">
        <v>2100</v>
      </c>
      <c r="G3587" s="46" t="s">
        <v>566</v>
      </c>
      <c r="H3587" s="46">
        <v>1</v>
      </c>
      <c r="I3587" s="51">
        <v>2109.4499999999998</v>
      </c>
      <c r="J3587" s="281">
        <f>++Tabla4[[#This Row],[Precio Bruto]]*1.16</f>
        <v>2446.9619999999995</v>
      </c>
      <c r="K3587" s="281">
        <f>+Tabla4[[#This Row],[Precio Unitario Neto]]*Tabla4[[#Headers],[20.85%]]</f>
        <v>510.19157699999988</v>
      </c>
      <c r="L3587" s="282">
        <f>++Tabla4[[#This Row],[Precio Unitario Neto]]-Tabla4[[#This Row],[20.85%]]</f>
        <v>1936.7704229999997</v>
      </c>
      <c r="M3587" s="282" t="e">
        <f>(INDEX(Tabla6[#All],MATCH(Tabla4[[#This Row],[Producto]],Tabla6[[#All],[PRODUCTO]],0),MATCH(Tabla4[[#This Row],[Mes]],Tabla6[#Headers],0)))*(1+Catalogos!$L$2)</f>
        <v>#N/A</v>
      </c>
      <c r="N3587" s="283" t="e">
        <f>+(Tabla4[[#This Row],[Precio Descontado]]-Tabla4[[#This Row],[Precio Base]])*Tabla4[[#This Row],[Cantidad]]</f>
        <v>#N/A</v>
      </c>
      <c r="O3587" s="284" t="e">
        <f>++Tabla4[[#This Row],[Utilidad Total]]/Tabla4[[#This Row],[Total]]</f>
        <v>#N/A</v>
      </c>
      <c r="P3587" s="282">
        <f>++Tabla4[[#This Row],[Precio Descontado]]*Tabla4[[#This Row],[Cantidad]]</f>
        <v>1936.7704229999997</v>
      </c>
      <c r="Q3587" s="282" t="e">
        <f>(INDEX(Tabla6[#All],MATCH(Tabla4[[#This Row],[Producto]],Tabla6[[#All],[PRODUCTO]],0),MATCH(Tabla4[[#This Row],[Mes]],Tabla6[#Headers],0)))</f>
        <v>#N/A</v>
      </c>
      <c r="R3587" s="282" t="e">
        <f>++Tabla4[[#This Row],[Precio Unitario Neto]]-Tabla4[[#This Row],[20.85%]]-Tabla4[[#This Row],[Costo]]</f>
        <v>#N/A</v>
      </c>
      <c r="S3587" s="282" t="e">
        <f>++Tabla4[[#This Row],[U. Bruta Uni]]*Tabla4[[#This Row],[Cantidad]]</f>
        <v>#N/A</v>
      </c>
      <c r="T3587" s="369" t="str">
        <f>VLOOKUP(Tabla4[[#This Row],[Producto]],Tabla6[#All],14,FALSE)</f>
        <v>Termico Solar</v>
      </c>
      <c r="U3587" s="284" t="e">
        <f>(IF(Tabla4[[#This Row],[Familia]]="termico solar",Tabla4[[#This Row],[Utilidad Total]]*6%,Tabla4[[#This Row],[Utilidad Total]]*11.5%))/Tabla4[[#This Row],[Total]]</f>
        <v>#N/A</v>
      </c>
      <c r="V3587" s="282" t="e">
        <f>+Tabla4[[#This Row],[Comisión Calculada]]*Tabla4[[#This Row],[Total]]</f>
        <v>#N/A</v>
      </c>
    </row>
    <row r="3588" spans="1:22" hidden="1" x14ac:dyDescent="0.25">
      <c r="A3588" s="100">
        <v>45823</v>
      </c>
      <c r="B3588" t="str">
        <f t="shared" si="164"/>
        <v>June</v>
      </c>
      <c r="C3588" s="46" t="s">
        <v>280</v>
      </c>
      <c r="F3588" s="366" t="s">
        <v>2101</v>
      </c>
      <c r="G3588" s="46" t="s">
        <v>16</v>
      </c>
      <c r="H3588" s="46">
        <v>2</v>
      </c>
      <c r="I3588" s="51">
        <v>4103.8500000000004</v>
      </c>
      <c r="J3588" s="281">
        <f>++Tabla4[[#This Row],[Precio Bruto]]*1.16</f>
        <v>4760.4660000000003</v>
      </c>
      <c r="K3588" s="281">
        <f>+Tabla4[[#This Row],[Precio Unitario Neto]]*Tabla4[[#Headers],[20.85%]]</f>
        <v>992.55716100000006</v>
      </c>
      <c r="L3588" s="282">
        <f>++Tabla4[[#This Row],[Precio Unitario Neto]]-Tabla4[[#This Row],[20.85%]]</f>
        <v>3767.9088390000002</v>
      </c>
      <c r="M3588" s="282" t="e">
        <f>(INDEX(Tabla6[#All],MATCH(Tabla4[[#This Row],[Producto]],Tabla6[[#All],[PRODUCTO]],0),MATCH(Tabla4[[#This Row],[Mes]],Tabla6[#Headers],0)))*(1+Catalogos!$L$2)</f>
        <v>#N/A</v>
      </c>
      <c r="N3588" s="283" t="e">
        <f>+(Tabla4[[#This Row],[Precio Descontado]]-Tabla4[[#This Row],[Precio Base]])*Tabla4[[#This Row],[Cantidad]]</f>
        <v>#N/A</v>
      </c>
      <c r="O3588" s="284" t="e">
        <f>++Tabla4[[#This Row],[Utilidad Total]]/Tabla4[[#This Row],[Total]]</f>
        <v>#N/A</v>
      </c>
      <c r="P3588" s="282">
        <f>++Tabla4[[#This Row],[Precio Descontado]]*Tabla4[[#This Row],[Cantidad]]</f>
        <v>7535.8176780000003</v>
      </c>
      <c r="Q3588" s="282" t="e">
        <f>(INDEX(Tabla6[#All],MATCH(Tabla4[[#This Row],[Producto]],Tabla6[[#All],[PRODUCTO]],0),MATCH(Tabla4[[#This Row],[Mes]],Tabla6[#Headers],0)))</f>
        <v>#N/A</v>
      </c>
      <c r="R3588" s="282" t="e">
        <f>++Tabla4[[#This Row],[Precio Unitario Neto]]-Tabla4[[#This Row],[20.85%]]-Tabla4[[#This Row],[Costo]]</f>
        <v>#N/A</v>
      </c>
      <c r="S3588" s="282" t="e">
        <f>++Tabla4[[#This Row],[U. Bruta Uni]]*Tabla4[[#This Row],[Cantidad]]</f>
        <v>#N/A</v>
      </c>
      <c r="T3588" s="369" t="str">
        <f>VLOOKUP(Tabla4[[#This Row],[Producto]],Tabla6[#All],14,FALSE)</f>
        <v>Termico Solar</v>
      </c>
      <c r="U3588" s="284" t="e">
        <f>(IF(Tabla4[[#This Row],[Familia]]="termico solar",Tabla4[[#This Row],[Utilidad Total]]*6%,Tabla4[[#This Row],[Utilidad Total]]*11.5%))/Tabla4[[#This Row],[Total]]</f>
        <v>#N/A</v>
      </c>
      <c r="V3588" s="282" t="e">
        <f>+Tabla4[[#This Row],[Comisión Calculada]]*Tabla4[[#This Row],[Total]]</f>
        <v>#N/A</v>
      </c>
    </row>
    <row r="3589" spans="1:22" hidden="1" x14ac:dyDescent="0.25">
      <c r="A3589" s="100">
        <v>45823</v>
      </c>
      <c r="B3589" t="str">
        <f t="shared" si="164"/>
        <v>June</v>
      </c>
      <c r="C3589" s="46" t="s">
        <v>280</v>
      </c>
      <c r="F3589" s="366" t="s">
        <v>2102</v>
      </c>
      <c r="G3589" s="46" t="s">
        <v>17</v>
      </c>
      <c r="H3589" s="46">
        <v>1</v>
      </c>
      <c r="I3589" s="51">
        <v>4622.28</v>
      </c>
      <c r="J3589" s="281">
        <f>++Tabla4[[#This Row],[Precio Bruto]]*1.16</f>
        <v>5361.8447999999989</v>
      </c>
      <c r="K3589" s="281">
        <f>+Tabla4[[#This Row],[Precio Unitario Neto]]*Tabla4[[#Headers],[20.85%]]</f>
        <v>1117.9446407999997</v>
      </c>
      <c r="L3589" s="282">
        <f>++Tabla4[[#This Row],[Precio Unitario Neto]]-Tabla4[[#This Row],[20.85%]]</f>
        <v>4243.9001591999995</v>
      </c>
      <c r="M3589" s="282" t="e">
        <f>(INDEX(Tabla6[#All],MATCH(Tabla4[[#This Row],[Producto]],Tabla6[[#All],[PRODUCTO]],0),MATCH(Tabla4[[#This Row],[Mes]],Tabla6[#Headers],0)))*(1+Catalogos!$L$2)</f>
        <v>#N/A</v>
      </c>
      <c r="N3589" s="283" t="e">
        <f>+(Tabla4[[#This Row],[Precio Descontado]]-Tabla4[[#This Row],[Precio Base]])*Tabla4[[#This Row],[Cantidad]]</f>
        <v>#N/A</v>
      </c>
      <c r="O3589" s="284" t="e">
        <f>++Tabla4[[#This Row],[Utilidad Total]]/Tabla4[[#This Row],[Total]]</f>
        <v>#N/A</v>
      </c>
      <c r="P3589" s="282">
        <f>++Tabla4[[#This Row],[Precio Descontado]]*Tabla4[[#This Row],[Cantidad]]</f>
        <v>4243.9001591999995</v>
      </c>
      <c r="Q3589" s="282" t="e">
        <f>(INDEX(Tabla6[#All],MATCH(Tabla4[[#This Row],[Producto]],Tabla6[[#All],[PRODUCTO]],0),MATCH(Tabla4[[#This Row],[Mes]],Tabla6[#Headers],0)))</f>
        <v>#N/A</v>
      </c>
      <c r="R3589" s="282" t="e">
        <f>++Tabla4[[#This Row],[Precio Unitario Neto]]-Tabla4[[#This Row],[20.85%]]-Tabla4[[#This Row],[Costo]]</f>
        <v>#N/A</v>
      </c>
      <c r="S3589" s="282" t="e">
        <f>++Tabla4[[#This Row],[U. Bruta Uni]]*Tabla4[[#This Row],[Cantidad]]</f>
        <v>#N/A</v>
      </c>
      <c r="T3589" s="369" t="str">
        <f>VLOOKUP(Tabla4[[#This Row],[Producto]],Tabla6[#All],14,FALSE)</f>
        <v>Termico Solar</v>
      </c>
      <c r="U3589" s="284" t="e">
        <f>(IF(Tabla4[[#This Row],[Familia]]="termico solar",Tabla4[[#This Row],[Utilidad Total]]*6%,Tabla4[[#This Row],[Utilidad Total]]*11.5%))/Tabla4[[#This Row],[Total]]</f>
        <v>#N/A</v>
      </c>
      <c r="V3589" s="282" t="e">
        <f>+Tabla4[[#This Row],[Comisión Calculada]]*Tabla4[[#This Row],[Total]]</f>
        <v>#N/A</v>
      </c>
    </row>
    <row r="3590" spans="1:22" hidden="1" x14ac:dyDescent="0.25">
      <c r="A3590" s="100">
        <v>45823</v>
      </c>
      <c r="B3590" t="str">
        <f t="shared" si="164"/>
        <v>June</v>
      </c>
      <c r="C3590" s="46" t="s">
        <v>280</v>
      </c>
      <c r="F3590" s="366" t="s">
        <v>2103</v>
      </c>
      <c r="G3590" s="46" t="s">
        <v>17</v>
      </c>
      <c r="H3590" s="46">
        <v>1</v>
      </c>
      <c r="I3590" s="51">
        <v>4622.28</v>
      </c>
      <c r="J3590" s="281">
        <f>++Tabla4[[#This Row],[Precio Bruto]]*1.16</f>
        <v>5361.8447999999989</v>
      </c>
      <c r="K3590" s="281">
        <f>+Tabla4[[#This Row],[Precio Unitario Neto]]*Tabla4[[#Headers],[20.85%]]</f>
        <v>1117.9446407999997</v>
      </c>
      <c r="L3590" s="282">
        <f>++Tabla4[[#This Row],[Precio Unitario Neto]]-Tabla4[[#This Row],[20.85%]]</f>
        <v>4243.9001591999995</v>
      </c>
      <c r="M3590" s="282" t="e">
        <f>(INDEX(Tabla6[#All],MATCH(Tabla4[[#This Row],[Producto]],Tabla6[[#All],[PRODUCTO]],0),MATCH(Tabla4[[#This Row],[Mes]],Tabla6[#Headers],0)))*(1+Catalogos!$L$2)</f>
        <v>#N/A</v>
      </c>
      <c r="N3590" s="283" t="e">
        <f>+(Tabla4[[#This Row],[Precio Descontado]]-Tabla4[[#This Row],[Precio Base]])*Tabla4[[#This Row],[Cantidad]]</f>
        <v>#N/A</v>
      </c>
      <c r="O3590" s="284" t="e">
        <f>++Tabla4[[#This Row],[Utilidad Total]]/Tabla4[[#This Row],[Total]]</f>
        <v>#N/A</v>
      </c>
      <c r="P3590" s="282">
        <f>++Tabla4[[#This Row],[Precio Descontado]]*Tabla4[[#This Row],[Cantidad]]</f>
        <v>4243.9001591999995</v>
      </c>
      <c r="Q3590" s="282" t="e">
        <f>(INDEX(Tabla6[#All],MATCH(Tabla4[[#This Row],[Producto]],Tabla6[[#All],[PRODUCTO]],0),MATCH(Tabla4[[#This Row],[Mes]],Tabla6[#Headers],0)))</f>
        <v>#N/A</v>
      </c>
      <c r="R3590" s="282" t="e">
        <f>++Tabla4[[#This Row],[Precio Unitario Neto]]-Tabla4[[#This Row],[20.85%]]-Tabla4[[#This Row],[Costo]]</f>
        <v>#N/A</v>
      </c>
      <c r="S3590" s="282" t="e">
        <f>++Tabla4[[#This Row],[U. Bruta Uni]]*Tabla4[[#This Row],[Cantidad]]</f>
        <v>#N/A</v>
      </c>
      <c r="T3590" s="369" t="str">
        <f>VLOOKUP(Tabla4[[#This Row],[Producto]],Tabla6[#All],14,FALSE)</f>
        <v>Termico Solar</v>
      </c>
      <c r="U3590" s="284" t="e">
        <f>(IF(Tabla4[[#This Row],[Familia]]="termico solar",Tabla4[[#This Row],[Utilidad Total]]*6%,Tabla4[[#This Row],[Utilidad Total]]*11.5%))/Tabla4[[#This Row],[Total]]</f>
        <v>#N/A</v>
      </c>
      <c r="V3590" s="282" t="e">
        <f>+Tabla4[[#This Row],[Comisión Calculada]]*Tabla4[[#This Row],[Total]]</f>
        <v>#N/A</v>
      </c>
    </row>
    <row r="3591" spans="1:22" hidden="1" x14ac:dyDescent="0.25">
      <c r="A3591" s="100">
        <v>45823</v>
      </c>
      <c r="B3591" t="str">
        <f t="shared" si="164"/>
        <v>June</v>
      </c>
      <c r="C3591" s="46" t="s">
        <v>280</v>
      </c>
      <c r="F3591" s="366" t="s">
        <v>2103</v>
      </c>
      <c r="G3591" s="46" t="s">
        <v>566</v>
      </c>
      <c r="H3591" s="46">
        <v>1</v>
      </c>
      <c r="I3591" s="51">
        <v>2109.4499999999998</v>
      </c>
      <c r="J3591" s="281">
        <f>++Tabla4[[#This Row],[Precio Bruto]]*1.16</f>
        <v>2446.9619999999995</v>
      </c>
      <c r="K3591" s="281">
        <f>+Tabla4[[#This Row],[Precio Unitario Neto]]*Tabla4[[#Headers],[20.85%]]</f>
        <v>510.19157699999988</v>
      </c>
      <c r="L3591" s="282">
        <f>++Tabla4[[#This Row],[Precio Unitario Neto]]-Tabla4[[#This Row],[20.85%]]</f>
        <v>1936.7704229999997</v>
      </c>
      <c r="M3591" s="282" t="e">
        <f>(INDEX(Tabla6[#All],MATCH(Tabla4[[#This Row],[Producto]],Tabla6[[#All],[PRODUCTO]],0),MATCH(Tabla4[[#This Row],[Mes]],Tabla6[#Headers],0)))*(1+Catalogos!$L$2)</f>
        <v>#N/A</v>
      </c>
      <c r="N3591" s="283" t="e">
        <f>+(Tabla4[[#This Row],[Precio Descontado]]-Tabla4[[#This Row],[Precio Base]])*Tabla4[[#This Row],[Cantidad]]</f>
        <v>#N/A</v>
      </c>
      <c r="O3591" s="284" t="e">
        <f>++Tabla4[[#This Row],[Utilidad Total]]/Tabla4[[#This Row],[Total]]</f>
        <v>#N/A</v>
      </c>
      <c r="P3591" s="282">
        <f>++Tabla4[[#This Row],[Precio Descontado]]*Tabla4[[#This Row],[Cantidad]]</f>
        <v>1936.7704229999997</v>
      </c>
      <c r="Q3591" s="282" t="e">
        <f>(INDEX(Tabla6[#All],MATCH(Tabla4[[#This Row],[Producto]],Tabla6[[#All],[PRODUCTO]],0),MATCH(Tabla4[[#This Row],[Mes]],Tabla6[#Headers],0)))</f>
        <v>#N/A</v>
      </c>
      <c r="R3591" s="282" t="e">
        <f>++Tabla4[[#This Row],[Precio Unitario Neto]]-Tabla4[[#This Row],[20.85%]]-Tabla4[[#This Row],[Costo]]</f>
        <v>#N/A</v>
      </c>
      <c r="S3591" s="282" t="e">
        <f>++Tabla4[[#This Row],[U. Bruta Uni]]*Tabla4[[#This Row],[Cantidad]]</f>
        <v>#N/A</v>
      </c>
      <c r="T3591" s="369" t="str">
        <f>VLOOKUP(Tabla4[[#This Row],[Producto]],Tabla6[#All],14,FALSE)</f>
        <v>Termico Solar</v>
      </c>
      <c r="U3591" s="284" t="e">
        <f>(IF(Tabla4[[#This Row],[Familia]]="termico solar",Tabla4[[#This Row],[Utilidad Total]]*6%,Tabla4[[#This Row],[Utilidad Total]]*11.5%))/Tabla4[[#This Row],[Total]]</f>
        <v>#N/A</v>
      </c>
      <c r="V3591" s="282" t="e">
        <f>+Tabla4[[#This Row],[Comisión Calculada]]*Tabla4[[#This Row],[Total]]</f>
        <v>#N/A</v>
      </c>
    </row>
    <row r="3592" spans="1:22" hidden="1" x14ac:dyDescent="0.25">
      <c r="A3592" s="100">
        <v>45823</v>
      </c>
      <c r="B3592" t="str">
        <f t="shared" si="164"/>
        <v>June</v>
      </c>
      <c r="C3592" s="46" t="s">
        <v>280</v>
      </c>
      <c r="F3592" s="366" t="s">
        <v>2103</v>
      </c>
      <c r="G3592" s="46" t="s">
        <v>208</v>
      </c>
      <c r="H3592" s="46">
        <v>2</v>
      </c>
      <c r="I3592" s="51">
        <v>189.75</v>
      </c>
      <c r="J3592" s="281">
        <f>++Tabla4[[#This Row],[Precio Bruto]]*1.16</f>
        <v>220.10999999999999</v>
      </c>
      <c r="K3592" s="281">
        <f>+Tabla4[[#This Row],[Precio Unitario Neto]]*Tabla4[[#Headers],[20.85%]]</f>
        <v>45.892934999999994</v>
      </c>
      <c r="L3592" s="282">
        <f>++Tabla4[[#This Row],[Precio Unitario Neto]]-Tabla4[[#This Row],[20.85%]]</f>
        <v>174.21706499999999</v>
      </c>
      <c r="M3592" s="282" t="e">
        <f>(INDEX(Tabla6[#All],MATCH(Tabla4[[#This Row],[Producto]],Tabla6[[#All],[PRODUCTO]],0),MATCH(Tabla4[[#This Row],[Mes]],Tabla6[#Headers],0)))*(1+Catalogos!$L$2)</f>
        <v>#N/A</v>
      </c>
      <c r="N3592" s="283" t="e">
        <f>+(Tabla4[[#This Row],[Precio Descontado]]-Tabla4[[#This Row],[Precio Base]])*Tabla4[[#This Row],[Cantidad]]</f>
        <v>#N/A</v>
      </c>
      <c r="O3592" s="284" t="e">
        <f>++Tabla4[[#This Row],[Utilidad Total]]/Tabla4[[#This Row],[Total]]</f>
        <v>#N/A</v>
      </c>
      <c r="P3592" s="282">
        <f>++Tabla4[[#This Row],[Precio Descontado]]*Tabla4[[#This Row],[Cantidad]]</f>
        <v>348.43412999999998</v>
      </c>
      <c r="Q3592" s="282" t="e">
        <f>(INDEX(Tabla6[#All],MATCH(Tabla4[[#This Row],[Producto]],Tabla6[[#All],[PRODUCTO]],0),MATCH(Tabla4[[#This Row],[Mes]],Tabla6[#Headers],0)))</f>
        <v>#N/A</v>
      </c>
      <c r="R3592" s="282" t="e">
        <f>++Tabla4[[#This Row],[Precio Unitario Neto]]-Tabla4[[#This Row],[20.85%]]-Tabla4[[#This Row],[Costo]]</f>
        <v>#N/A</v>
      </c>
      <c r="S3592" s="282" t="e">
        <f>++Tabla4[[#This Row],[U. Bruta Uni]]*Tabla4[[#This Row],[Cantidad]]</f>
        <v>#N/A</v>
      </c>
      <c r="T3592" s="369" t="str">
        <f>VLOOKUP(Tabla4[[#This Row],[Producto]],Tabla6[#All],14,FALSE)</f>
        <v>Termico Solar</v>
      </c>
      <c r="U3592" s="284" t="e">
        <f>(IF(Tabla4[[#This Row],[Familia]]="termico solar",Tabla4[[#This Row],[Utilidad Total]]*6%,Tabla4[[#This Row],[Utilidad Total]]*11.5%))/Tabla4[[#This Row],[Total]]</f>
        <v>#N/A</v>
      </c>
      <c r="V3592" s="282" t="e">
        <f>+Tabla4[[#This Row],[Comisión Calculada]]*Tabla4[[#This Row],[Total]]</f>
        <v>#N/A</v>
      </c>
    </row>
    <row r="3593" spans="1:22" hidden="1" x14ac:dyDescent="0.25">
      <c r="A3593" s="100">
        <v>45823</v>
      </c>
      <c r="B3593" t="str">
        <f t="shared" si="164"/>
        <v>June</v>
      </c>
      <c r="C3593" s="46" t="s">
        <v>280</v>
      </c>
      <c r="F3593" s="366" t="s">
        <v>2104</v>
      </c>
      <c r="G3593" s="46" t="s">
        <v>18</v>
      </c>
      <c r="H3593" s="46">
        <v>4</v>
      </c>
      <c r="I3593" s="51">
        <v>5367.65</v>
      </c>
      <c r="J3593" s="281">
        <f>++Tabla4[[#This Row],[Precio Bruto]]*1.16</f>
        <v>6226.4739999999993</v>
      </c>
      <c r="K3593" s="281">
        <f>+Tabla4[[#This Row],[Precio Unitario Neto]]*Tabla4[[#Headers],[20.85%]]</f>
        <v>1298.2198289999999</v>
      </c>
      <c r="L3593" s="282">
        <f>++Tabla4[[#This Row],[Precio Unitario Neto]]-Tabla4[[#This Row],[20.85%]]</f>
        <v>4928.2541709999996</v>
      </c>
      <c r="M3593" s="282" t="e">
        <f>(INDEX(Tabla6[#All],MATCH(Tabla4[[#This Row],[Producto]],Tabla6[[#All],[PRODUCTO]],0),MATCH(Tabla4[[#This Row],[Mes]],Tabla6[#Headers],0)))*(1+Catalogos!$L$2)</f>
        <v>#N/A</v>
      </c>
      <c r="N3593" s="283" t="e">
        <f>+(Tabla4[[#This Row],[Precio Descontado]]-Tabla4[[#This Row],[Precio Base]])*Tabla4[[#This Row],[Cantidad]]</f>
        <v>#N/A</v>
      </c>
      <c r="O3593" s="284" t="e">
        <f>++Tabla4[[#This Row],[Utilidad Total]]/Tabla4[[#This Row],[Total]]</f>
        <v>#N/A</v>
      </c>
      <c r="P3593" s="282">
        <f>++Tabla4[[#This Row],[Precio Descontado]]*Tabla4[[#This Row],[Cantidad]]</f>
        <v>19713.016683999998</v>
      </c>
      <c r="Q3593" s="282" t="e">
        <f>(INDEX(Tabla6[#All],MATCH(Tabla4[[#This Row],[Producto]],Tabla6[[#All],[PRODUCTO]],0),MATCH(Tabla4[[#This Row],[Mes]],Tabla6[#Headers],0)))</f>
        <v>#N/A</v>
      </c>
      <c r="R3593" s="282" t="e">
        <f>++Tabla4[[#This Row],[Precio Unitario Neto]]-Tabla4[[#This Row],[20.85%]]-Tabla4[[#This Row],[Costo]]</f>
        <v>#N/A</v>
      </c>
      <c r="S3593" s="282" t="e">
        <f>++Tabla4[[#This Row],[U. Bruta Uni]]*Tabla4[[#This Row],[Cantidad]]</f>
        <v>#N/A</v>
      </c>
      <c r="T3593" s="369" t="str">
        <f>VLOOKUP(Tabla4[[#This Row],[Producto]],Tabla6[#All],14,FALSE)</f>
        <v>Termico Solar</v>
      </c>
      <c r="U3593" s="284" t="e">
        <f>(IF(Tabla4[[#This Row],[Familia]]="termico solar",Tabla4[[#This Row],[Utilidad Total]]*6%,Tabla4[[#This Row],[Utilidad Total]]*11.5%))/Tabla4[[#This Row],[Total]]</f>
        <v>#N/A</v>
      </c>
      <c r="V3593" s="282" t="e">
        <f>+Tabla4[[#This Row],[Comisión Calculada]]*Tabla4[[#This Row],[Total]]</f>
        <v>#N/A</v>
      </c>
    </row>
    <row r="3594" spans="1:22" hidden="1" x14ac:dyDescent="0.25">
      <c r="A3594" s="100">
        <v>45823</v>
      </c>
      <c r="B3594" t="str">
        <f t="shared" si="164"/>
        <v>June</v>
      </c>
      <c r="C3594" s="46" t="s">
        <v>280</v>
      </c>
      <c r="F3594" s="366" t="s">
        <v>2104</v>
      </c>
      <c r="G3594" s="46" t="s">
        <v>566</v>
      </c>
      <c r="H3594" s="46">
        <v>2</v>
      </c>
      <c r="I3594" s="51">
        <v>2109.4499999999998</v>
      </c>
      <c r="J3594" s="281">
        <f>++Tabla4[[#This Row],[Precio Bruto]]*1.16</f>
        <v>2446.9619999999995</v>
      </c>
      <c r="K3594" s="281">
        <f>+Tabla4[[#This Row],[Precio Unitario Neto]]*Tabla4[[#Headers],[20.85%]]</f>
        <v>510.19157699999988</v>
      </c>
      <c r="L3594" s="282">
        <f>++Tabla4[[#This Row],[Precio Unitario Neto]]-Tabla4[[#This Row],[20.85%]]</f>
        <v>1936.7704229999997</v>
      </c>
      <c r="M3594" s="282" t="e">
        <f>(INDEX(Tabla6[#All],MATCH(Tabla4[[#This Row],[Producto]],Tabla6[[#All],[PRODUCTO]],0),MATCH(Tabla4[[#This Row],[Mes]],Tabla6[#Headers],0)))*(1+Catalogos!$L$2)</f>
        <v>#N/A</v>
      </c>
      <c r="N3594" s="283" t="e">
        <f>+(Tabla4[[#This Row],[Precio Descontado]]-Tabla4[[#This Row],[Precio Base]])*Tabla4[[#This Row],[Cantidad]]</f>
        <v>#N/A</v>
      </c>
      <c r="O3594" s="284" t="e">
        <f>++Tabla4[[#This Row],[Utilidad Total]]/Tabla4[[#This Row],[Total]]</f>
        <v>#N/A</v>
      </c>
      <c r="P3594" s="282">
        <f>++Tabla4[[#This Row],[Precio Descontado]]*Tabla4[[#This Row],[Cantidad]]</f>
        <v>3873.5408459999994</v>
      </c>
      <c r="Q3594" s="282" t="e">
        <f>(INDEX(Tabla6[#All],MATCH(Tabla4[[#This Row],[Producto]],Tabla6[[#All],[PRODUCTO]],0),MATCH(Tabla4[[#This Row],[Mes]],Tabla6[#Headers],0)))</f>
        <v>#N/A</v>
      </c>
      <c r="R3594" s="282" t="e">
        <f>++Tabla4[[#This Row],[Precio Unitario Neto]]-Tabla4[[#This Row],[20.85%]]-Tabla4[[#This Row],[Costo]]</f>
        <v>#N/A</v>
      </c>
      <c r="S3594" s="282" t="e">
        <f>++Tabla4[[#This Row],[U. Bruta Uni]]*Tabla4[[#This Row],[Cantidad]]</f>
        <v>#N/A</v>
      </c>
      <c r="T3594" s="369" t="str">
        <f>VLOOKUP(Tabla4[[#This Row],[Producto]],Tabla6[#All],14,FALSE)</f>
        <v>Termico Solar</v>
      </c>
      <c r="U3594" s="284" t="e">
        <f>(IF(Tabla4[[#This Row],[Familia]]="termico solar",Tabla4[[#This Row],[Utilidad Total]]*6%,Tabla4[[#This Row],[Utilidad Total]]*11.5%))/Tabla4[[#This Row],[Total]]</f>
        <v>#N/A</v>
      </c>
      <c r="V3594" s="282" t="e">
        <f>+Tabla4[[#This Row],[Comisión Calculada]]*Tabla4[[#This Row],[Total]]</f>
        <v>#N/A</v>
      </c>
    </row>
    <row r="3595" spans="1:22" hidden="1" x14ac:dyDescent="0.25">
      <c r="A3595" s="100">
        <v>45823</v>
      </c>
      <c r="B3595" t="str">
        <f t="shared" si="164"/>
        <v>June</v>
      </c>
      <c r="C3595" s="46" t="s">
        <v>280</v>
      </c>
      <c r="F3595" s="366" t="s">
        <v>2104</v>
      </c>
      <c r="G3595" s="46" t="s">
        <v>208</v>
      </c>
      <c r="H3595" s="46">
        <v>4</v>
      </c>
      <c r="I3595" s="51">
        <v>189.75</v>
      </c>
      <c r="J3595" s="281">
        <f>++Tabla4[[#This Row],[Precio Bruto]]*1.16</f>
        <v>220.10999999999999</v>
      </c>
      <c r="K3595" s="281">
        <f>+Tabla4[[#This Row],[Precio Unitario Neto]]*Tabla4[[#Headers],[20.85%]]</f>
        <v>45.892934999999994</v>
      </c>
      <c r="L3595" s="282">
        <f>++Tabla4[[#This Row],[Precio Unitario Neto]]-Tabla4[[#This Row],[20.85%]]</f>
        <v>174.21706499999999</v>
      </c>
      <c r="M3595" s="282" t="e">
        <f>(INDEX(Tabla6[#All],MATCH(Tabla4[[#This Row],[Producto]],Tabla6[[#All],[PRODUCTO]],0),MATCH(Tabla4[[#This Row],[Mes]],Tabla6[#Headers],0)))*(1+Catalogos!$L$2)</f>
        <v>#N/A</v>
      </c>
      <c r="N3595" s="283" t="e">
        <f>+(Tabla4[[#This Row],[Precio Descontado]]-Tabla4[[#This Row],[Precio Base]])*Tabla4[[#This Row],[Cantidad]]</f>
        <v>#N/A</v>
      </c>
      <c r="O3595" s="284" t="e">
        <f>++Tabla4[[#This Row],[Utilidad Total]]/Tabla4[[#This Row],[Total]]</f>
        <v>#N/A</v>
      </c>
      <c r="P3595" s="282">
        <f>++Tabla4[[#This Row],[Precio Descontado]]*Tabla4[[#This Row],[Cantidad]]</f>
        <v>696.86825999999996</v>
      </c>
      <c r="Q3595" s="282" t="e">
        <f>(INDEX(Tabla6[#All],MATCH(Tabla4[[#This Row],[Producto]],Tabla6[[#All],[PRODUCTO]],0),MATCH(Tabla4[[#This Row],[Mes]],Tabla6[#Headers],0)))</f>
        <v>#N/A</v>
      </c>
      <c r="R3595" s="282" t="e">
        <f>++Tabla4[[#This Row],[Precio Unitario Neto]]-Tabla4[[#This Row],[20.85%]]-Tabla4[[#This Row],[Costo]]</f>
        <v>#N/A</v>
      </c>
      <c r="S3595" s="282" t="e">
        <f>++Tabla4[[#This Row],[U. Bruta Uni]]*Tabla4[[#This Row],[Cantidad]]</f>
        <v>#N/A</v>
      </c>
      <c r="T3595" s="369" t="str">
        <f>VLOOKUP(Tabla4[[#This Row],[Producto]],Tabla6[#All],14,FALSE)</f>
        <v>Termico Solar</v>
      </c>
      <c r="U3595" s="284" t="e">
        <f>(IF(Tabla4[[#This Row],[Familia]]="termico solar",Tabla4[[#This Row],[Utilidad Total]]*6%,Tabla4[[#This Row],[Utilidad Total]]*11.5%))/Tabla4[[#This Row],[Total]]</f>
        <v>#N/A</v>
      </c>
      <c r="V3595" s="282" t="e">
        <f>+Tabla4[[#This Row],[Comisión Calculada]]*Tabla4[[#This Row],[Total]]</f>
        <v>#N/A</v>
      </c>
    </row>
    <row r="3596" spans="1:22" hidden="1" x14ac:dyDescent="0.25">
      <c r="A3596" s="100">
        <v>45823</v>
      </c>
      <c r="B3596" t="str">
        <f t="shared" si="164"/>
        <v>June</v>
      </c>
      <c r="C3596" s="46" t="s">
        <v>280</v>
      </c>
      <c r="F3596" s="366" t="s">
        <v>2105</v>
      </c>
      <c r="G3596" s="46" t="s">
        <v>83</v>
      </c>
      <c r="H3596" s="46">
        <v>1</v>
      </c>
      <c r="I3596" s="51">
        <v>8858.76</v>
      </c>
      <c r="J3596" s="281">
        <f>++Tabla4[[#This Row],[Precio Bruto]]*1.16</f>
        <v>10276.161599999999</v>
      </c>
      <c r="K3596" s="281">
        <f>+Tabla4[[#This Row],[Precio Unitario Neto]]*Tabla4[[#Headers],[20.85%]]</f>
        <v>2142.5796935999997</v>
      </c>
      <c r="L3596" s="282">
        <f>++Tabla4[[#This Row],[Precio Unitario Neto]]-Tabla4[[#This Row],[20.85%]]</f>
        <v>8133.5819063999998</v>
      </c>
      <c r="M3596" s="282" t="e">
        <f>(INDEX(Tabla6[#All],MATCH(Tabla4[[#This Row],[Producto]],Tabla6[[#All],[PRODUCTO]],0),MATCH(Tabla4[[#This Row],[Mes]],Tabla6[#Headers],0)))*(1+Catalogos!$L$2)</f>
        <v>#N/A</v>
      </c>
      <c r="N3596" s="283" t="e">
        <f>+(Tabla4[[#This Row],[Precio Descontado]]-Tabla4[[#This Row],[Precio Base]])*Tabla4[[#This Row],[Cantidad]]</f>
        <v>#N/A</v>
      </c>
      <c r="O3596" s="284" t="e">
        <f>++Tabla4[[#This Row],[Utilidad Total]]/Tabla4[[#This Row],[Total]]</f>
        <v>#N/A</v>
      </c>
      <c r="P3596" s="282">
        <f>++Tabla4[[#This Row],[Precio Descontado]]*Tabla4[[#This Row],[Cantidad]]</f>
        <v>8133.5819063999998</v>
      </c>
      <c r="Q3596" s="282" t="e">
        <f>(INDEX(Tabla6[#All],MATCH(Tabla4[[#This Row],[Producto]],Tabla6[[#All],[PRODUCTO]],0),MATCH(Tabla4[[#This Row],[Mes]],Tabla6[#Headers],0)))</f>
        <v>#N/A</v>
      </c>
      <c r="R3596" s="282" t="e">
        <f>++Tabla4[[#This Row],[Precio Unitario Neto]]-Tabla4[[#This Row],[20.85%]]-Tabla4[[#This Row],[Costo]]</f>
        <v>#N/A</v>
      </c>
      <c r="S3596" s="282" t="e">
        <f>++Tabla4[[#This Row],[U. Bruta Uni]]*Tabla4[[#This Row],[Cantidad]]</f>
        <v>#N/A</v>
      </c>
      <c r="T3596" s="369" t="str">
        <f>VLOOKUP(Tabla4[[#This Row],[Producto]],Tabla6[#All],14,FALSE)</f>
        <v>Termico Solar</v>
      </c>
      <c r="U3596" s="284" t="e">
        <f>(IF(Tabla4[[#This Row],[Familia]]="termico solar",Tabla4[[#This Row],[Utilidad Total]]*6%,Tabla4[[#This Row],[Utilidad Total]]*11.5%))/Tabla4[[#This Row],[Total]]</f>
        <v>#N/A</v>
      </c>
      <c r="V3596" s="282" t="e">
        <f>+Tabla4[[#This Row],[Comisión Calculada]]*Tabla4[[#This Row],[Total]]</f>
        <v>#N/A</v>
      </c>
    </row>
    <row r="3597" spans="1:22" hidden="1" x14ac:dyDescent="0.25">
      <c r="A3597" s="100">
        <v>45823</v>
      </c>
      <c r="B3597" t="str">
        <f t="shared" si="164"/>
        <v>June</v>
      </c>
      <c r="C3597" s="46" t="s">
        <v>280</v>
      </c>
      <c r="F3597" s="366" t="s">
        <v>2105</v>
      </c>
      <c r="G3597" s="46" t="s">
        <v>17</v>
      </c>
      <c r="H3597" s="46">
        <v>1</v>
      </c>
      <c r="I3597" s="51">
        <v>4622.28</v>
      </c>
      <c r="J3597" s="281">
        <f>++Tabla4[[#This Row],[Precio Bruto]]*1.16</f>
        <v>5361.8447999999989</v>
      </c>
      <c r="K3597" s="281">
        <f>+Tabla4[[#This Row],[Precio Unitario Neto]]*Tabla4[[#Headers],[20.85%]]</f>
        <v>1117.9446407999997</v>
      </c>
      <c r="L3597" s="282">
        <f>++Tabla4[[#This Row],[Precio Unitario Neto]]-Tabla4[[#This Row],[20.85%]]</f>
        <v>4243.9001591999995</v>
      </c>
      <c r="M3597" s="282" t="e">
        <f>(INDEX(Tabla6[#All],MATCH(Tabla4[[#This Row],[Producto]],Tabla6[[#All],[PRODUCTO]],0),MATCH(Tabla4[[#This Row],[Mes]],Tabla6[#Headers],0)))*(1+Catalogos!$L$2)</f>
        <v>#N/A</v>
      </c>
      <c r="N3597" s="283" t="e">
        <f>+(Tabla4[[#This Row],[Precio Descontado]]-Tabla4[[#This Row],[Precio Base]])*Tabla4[[#This Row],[Cantidad]]</f>
        <v>#N/A</v>
      </c>
      <c r="O3597" s="284" t="e">
        <f>++Tabla4[[#This Row],[Utilidad Total]]/Tabla4[[#This Row],[Total]]</f>
        <v>#N/A</v>
      </c>
      <c r="P3597" s="282">
        <f>++Tabla4[[#This Row],[Precio Descontado]]*Tabla4[[#This Row],[Cantidad]]</f>
        <v>4243.9001591999995</v>
      </c>
      <c r="Q3597" s="282" t="e">
        <f>(INDEX(Tabla6[#All],MATCH(Tabla4[[#This Row],[Producto]],Tabla6[[#All],[PRODUCTO]],0),MATCH(Tabla4[[#This Row],[Mes]],Tabla6[#Headers],0)))</f>
        <v>#N/A</v>
      </c>
      <c r="R3597" s="282" t="e">
        <f>++Tabla4[[#This Row],[Precio Unitario Neto]]-Tabla4[[#This Row],[20.85%]]-Tabla4[[#This Row],[Costo]]</f>
        <v>#N/A</v>
      </c>
      <c r="S3597" s="282" t="e">
        <f>++Tabla4[[#This Row],[U. Bruta Uni]]*Tabla4[[#This Row],[Cantidad]]</f>
        <v>#N/A</v>
      </c>
      <c r="T3597" s="369" t="str">
        <f>VLOOKUP(Tabla4[[#This Row],[Producto]],Tabla6[#All],14,FALSE)</f>
        <v>Termico Solar</v>
      </c>
      <c r="U3597" s="284" t="e">
        <f>(IF(Tabla4[[#This Row],[Familia]]="termico solar",Tabla4[[#This Row],[Utilidad Total]]*6%,Tabla4[[#This Row],[Utilidad Total]]*11.5%))/Tabla4[[#This Row],[Total]]</f>
        <v>#N/A</v>
      </c>
      <c r="V3597" s="282" t="e">
        <f>+Tabla4[[#This Row],[Comisión Calculada]]*Tabla4[[#This Row],[Total]]</f>
        <v>#N/A</v>
      </c>
    </row>
    <row r="3598" spans="1:22" hidden="1" x14ac:dyDescent="0.25">
      <c r="A3598" s="100">
        <v>45823</v>
      </c>
      <c r="B3598" t="str">
        <f t="shared" si="164"/>
        <v>June</v>
      </c>
      <c r="C3598" s="46" t="s">
        <v>280</v>
      </c>
      <c r="F3598" s="366" t="s">
        <v>2105</v>
      </c>
      <c r="G3598" s="46" t="s">
        <v>208</v>
      </c>
      <c r="H3598" s="46">
        <v>4</v>
      </c>
      <c r="I3598" s="51">
        <v>189.75</v>
      </c>
      <c r="J3598" s="281">
        <f>++Tabla4[[#This Row],[Precio Bruto]]*1.16</f>
        <v>220.10999999999999</v>
      </c>
      <c r="K3598" s="281">
        <f>+Tabla4[[#This Row],[Precio Unitario Neto]]*Tabla4[[#Headers],[20.85%]]</f>
        <v>45.892934999999994</v>
      </c>
      <c r="L3598" s="282">
        <f>++Tabla4[[#This Row],[Precio Unitario Neto]]-Tabla4[[#This Row],[20.85%]]</f>
        <v>174.21706499999999</v>
      </c>
      <c r="M3598" s="282" t="e">
        <f>(INDEX(Tabla6[#All],MATCH(Tabla4[[#This Row],[Producto]],Tabla6[[#All],[PRODUCTO]],0),MATCH(Tabla4[[#This Row],[Mes]],Tabla6[#Headers],0)))*(1+Catalogos!$L$2)</f>
        <v>#N/A</v>
      </c>
      <c r="N3598" s="283" t="e">
        <f>+(Tabla4[[#This Row],[Precio Descontado]]-Tabla4[[#This Row],[Precio Base]])*Tabla4[[#This Row],[Cantidad]]</f>
        <v>#N/A</v>
      </c>
      <c r="O3598" s="284" t="e">
        <f>++Tabla4[[#This Row],[Utilidad Total]]/Tabla4[[#This Row],[Total]]</f>
        <v>#N/A</v>
      </c>
      <c r="P3598" s="282">
        <f>++Tabla4[[#This Row],[Precio Descontado]]*Tabla4[[#This Row],[Cantidad]]</f>
        <v>696.86825999999996</v>
      </c>
      <c r="Q3598" s="282" t="e">
        <f>(INDEX(Tabla6[#All],MATCH(Tabla4[[#This Row],[Producto]],Tabla6[[#All],[PRODUCTO]],0),MATCH(Tabla4[[#This Row],[Mes]],Tabla6[#Headers],0)))</f>
        <v>#N/A</v>
      </c>
      <c r="R3598" s="282" t="e">
        <f>++Tabla4[[#This Row],[Precio Unitario Neto]]-Tabla4[[#This Row],[20.85%]]-Tabla4[[#This Row],[Costo]]</f>
        <v>#N/A</v>
      </c>
      <c r="S3598" s="282" t="e">
        <f>++Tabla4[[#This Row],[U. Bruta Uni]]*Tabla4[[#This Row],[Cantidad]]</f>
        <v>#N/A</v>
      </c>
      <c r="T3598" s="369" t="str">
        <f>VLOOKUP(Tabla4[[#This Row],[Producto]],Tabla6[#All],14,FALSE)</f>
        <v>Termico Solar</v>
      </c>
      <c r="U3598" s="284" t="e">
        <f>(IF(Tabla4[[#This Row],[Familia]]="termico solar",Tabla4[[#This Row],[Utilidad Total]]*6%,Tabla4[[#This Row],[Utilidad Total]]*11.5%))/Tabla4[[#This Row],[Total]]</f>
        <v>#N/A</v>
      </c>
      <c r="V3598" s="282" t="e">
        <f>+Tabla4[[#This Row],[Comisión Calculada]]*Tabla4[[#This Row],[Total]]</f>
        <v>#N/A</v>
      </c>
    </row>
    <row r="3599" spans="1:22" hidden="1" x14ac:dyDescent="0.25">
      <c r="A3599" s="100">
        <v>45823</v>
      </c>
      <c r="B3599" t="str">
        <f t="shared" si="164"/>
        <v>June</v>
      </c>
      <c r="C3599" s="46" t="s">
        <v>280</v>
      </c>
      <c r="F3599" s="366" t="s">
        <v>2105</v>
      </c>
      <c r="G3599" s="46" t="s">
        <v>209</v>
      </c>
      <c r="H3599" s="46">
        <v>1</v>
      </c>
      <c r="I3599" s="51">
        <v>347.48</v>
      </c>
      <c r="J3599" s="281">
        <f>++Tabla4[[#This Row],[Precio Bruto]]*1.16</f>
        <v>403.07679999999999</v>
      </c>
      <c r="K3599" s="281">
        <f>+Tabla4[[#This Row],[Precio Unitario Neto]]*Tabla4[[#Headers],[20.85%]]</f>
        <v>84.041512799999992</v>
      </c>
      <c r="L3599" s="282">
        <f>++Tabla4[[#This Row],[Precio Unitario Neto]]-Tabla4[[#This Row],[20.85%]]</f>
        <v>319.03528719999997</v>
      </c>
      <c r="M3599" s="282" t="e">
        <f>(INDEX(Tabla6[#All],MATCH(Tabla4[[#This Row],[Producto]],Tabla6[[#All],[PRODUCTO]],0),MATCH(Tabla4[[#This Row],[Mes]],Tabla6[#Headers],0)))*(1+Catalogos!$L$2)</f>
        <v>#N/A</v>
      </c>
      <c r="N3599" s="283" t="e">
        <f>+(Tabla4[[#This Row],[Precio Descontado]]-Tabla4[[#This Row],[Precio Base]])*Tabla4[[#This Row],[Cantidad]]</f>
        <v>#N/A</v>
      </c>
      <c r="O3599" s="284" t="e">
        <f>++Tabla4[[#This Row],[Utilidad Total]]/Tabla4[[#This Row],[Total]]</f>
        <v>#N/A</v>
      </c>
      <c r="P3599" s="282">
        <f>++Tabla4[[#This Row],[Precio Descontado]]*Tabla4[[#This Row],[Cantidad]]</f>
        <v>319.03528719999997</v>
      </c>
      <c r="Q3599" s="282" t="e">
        <f>(INDEX(Tabla6[#All],MATCH(Tabla4[[#This Row],[Producto]],Tabla6[[#All],[PRODUCTO]],0),MATCH(Tabla4[[#This Row],[Mes]],Tabla6[#Headers],0)))</f>
        <v>#N/A</v>
      </c>
      <c r="R3599" s="282" t="e">
        <f>++Tabla4[[#This Row],[Precio Unitario Neto]]-Tabla4[[#This Row],[20.85%]]-Tabla4[[#This Row],[Costo]]</f>
        <v>#N/A</v>
      </c>
      <c r="S3599" s="282" t="e">
        <f>++Tabla4[[#This Row],[U. Bruta Uni]]*Tabla4[[#This Row],[Cantidad]]</f>
        <v>#N/A</v>
      </c>
      <c r="T3599" s="369" t="str">
        <f>VLOOKUP(Tabla4[[#This Row],[Producto]],Tabla6[#All],14,FALSE)</f>
        <v>Termico Solar</v>
      </c>
      <c r="U3599" s="284" t="e">
        <f>(IF(Tabla4[[#This Row],[Familia]]="termico solar",Tabla4[[#This Row],[Utilidad Total]]*6%,Tabla4[[#This Row],[Utilidad Total]]*11.5%))/Tabla4[[#This Row],[Total]]</f>
        <v>#N/A</v>
      </c>
      <c r="V3599" s="282" t="e">
        <f>+Tabla4[[#This Row],[Comisión Calculada]]*Tabla4[[#This Row],[Total]]</f>
        <v>#N/A</v>
      </c>
    </row>
    <row r="3600" spans="1:22" hidden="1" x14ac:dyDescent="0.25">
      <c r="A3600" s="100">
        <v>45823</v>
      </c>
      <c r="B3600" t="str">
        <f t="shared" si="164"/>
        <v>June</v>
      </c>
      <c r="C3600" s="46" t="s">
        <v>280</v>
      </c>
      <c r="F3600" s="366" t="s">
        <v>2106</v>
      </c>
      <c r="G3600" s="46" t="s">
        <v>566</v>
      </c>
      <c r="H3600" s="46">
        <v>2</v>
      </c>
      <c r="I3600" s="51">
        <v>2109.4499999999998</v>
      </c>
      <c r="J3600" s="281">
        <f>++Tabla4[[#This Row],[Precio Bruto]]*1.16</f>
        <v>2446.9619999999995</v>
      </c>
      <c r="K3600" s="281">
        <f>+Tabla4[[#This Row],[Precio Unitario Neto]]*Tabla4[[#Headers],[20.85%]]</f>
        <v>510.19157699999988</v>
      </c>
      <c r="L3600" s="282">
        <f>++Tabla4[[#This Row],[Precio Unitario Neto]]-Tabla4[[#This Row],[20.85%]]</f>
        <v>1936.7704229999997</v>
      </c>
      <c r="M3600" s="282" t="e">
        <f>(INDEX(Tabla6[#All],MATCH(Tabla4[[#This Row],[Producto]],Tabla6[[#All],[PRODUCTO]],0),MATCH(Tabla4[[#This Row],[Mes]],Tabla6[#Headers],0)))*(1+Catalogos!$L$2)</f>
        <v>#N/A</v>
      </c>
      <c r="N3600" s="283" t="e">
        <f>+(Tabla4[[#This Row],[Precio Descontado]]-Tabla4[[#This Row],[Precio Base]])*Tabla4[[#This Row],[Cantidad]]</f>
        <v>#N/A</v>
      </c>
      <c r="O3600" s="284" t="e">
        <f>++Tabla4[[#This Row],[Utilidad Total]]/Tabla4[[#This Row],[Total]]</f>
        <v>#N/A</v>
      </c>
      <c r="P3600" s="282">
        <f>++Tabla4[[#This Row],[Precio Descontado]]*Tabla4[[#This Row],[Cantidad]]</f>
        <v>3873.5408459999994</v>
      </c>
      <c r="Q3600" s="282" t="e">
        <f>(INDEX(Tabla6[#All],MATCH(Tabla4[[#This Row],[Producto]],Tabla6[[#All],[PRODUCTO]],0),MATCH(Tabla4[[#This Row],[Mes]],Tabla6[#Headers],0)))</f>
        <v>#N/A</v>
      </c>
      <c r="R3600" s="282" t="e">
        <f>++Tabla4[[#This Row],[Precio Unitario Neto]]-Tabla4[[#This Row],[20.85%]]-Tabla4[[#This Row],[Costo]]</f>
        <v>#N/A</v>
      </c>
      <c r="S3600" s="282" t="e">
        <f>++Tabla4[[#This Row],[U. Bruta Uni]]*Tabla4[[#This Row],[Cantidad]]</f>
        <v>#N/A</v>
      </c>
      <c r="T3600" s="369" t="str">
        <f>VLOOKUP(Tabla4[[#This Row],[Producto]],Tabla6[#All],14,FALSE)</f>
        <v>Termico Solar</v>
      </c>
      <c r="U3600" s="284" t="e">
        <f>(IF(Tabla4[[#This Row],[Familia]]="termico solar",Tabla4[[#This Row],[Utilidad Total]]*6%,Tabla4[[#This Row],[Utilidad Total]]*11.5%))/Tabla4[[#This Row],[Total]]</f>
        <v>#N/A</v>
      </c>
      <c r="V3600" s="282" t="e">
        <f>+Tabla4[[#This Row],[Comisión Calculada]]*Tabla4[[#This Row],[Total]]</f>
        <v>#N/A</v>
      </c>
    </row>
    <row r="3601" spans="1:22" hidden="1" x14ac:dyDescent="0.25">
      <c r="A3601" s="100">
        <v>45823</v>
      </c>
      <c r="B3601" t="str">
        <f t="shared" si="164"/>
        <v>June</v>
      </c>
      <c r="C3601" s="46" t="s">
        <v>280</v>
      </c>
      <c r="F3601" s="366" t="s">
        <v>2106</v>
      </c>
      <c r="G3601" s="46" t="s">
        <v>394</v>
      </c>
      <c r="H3601" s="46">
        <v>9</v>
      </c>
      <c r="I3601" s="51">
        <v>108.1</v>
      </c>
      <c r="J3601" s="281">
        <f>++Tabla4[[#This Row],[Precio Bruto]]*1.16</f>
        <v>125.39599999999999</v>
      </c>
      <c r="K3601" s="281">
        <f>+Tabla4[[#This Row],[Precio Unitario Neto]]*Tabla4[[#Headers],[20.85%]]</f>
        <v>26.145065999999996</v>
      </c>
      <c r="L3601" s="282">
        <f>++Tabla4[[#This Row],[Precio Unitario Neto]]-Tabla4[[#This Row],[20.85%]]</f>
        <v>99.250933999999987</v>
      </c>
      <c r="M3601" s="282" t="e">
        <f>(INDEX(Tabla6[#All],MATCH(Tabla4[[#This Row],[Producto]],Tabla6[[#All],[PRODUCTO]],0),MATCH(Tabla4[[#This Row],[Mes]],Tabla6[#Headers],0)))*(1+Catalogos!$L$2)</f>
        <v>#N/A</v>
      </c>
      <c r="N3601" s="283" t="e">
        <f>+(Tabla4[[#This Row],[Precio Descontado]]-Tabla4[[#This Row],[Precio Base]])*Tabla4[[#This Row],[Cantidad]]</f>
        <v>#N/A</v>
      </c>
      <c r="O3601" s="284" t="e">
        <f>++Tabla4[[#This Row],[Utilidad Total]]/Tabla4[[#This Row],[Total]]</f>
        <v>#N/A</v>
      </c>
      <c r="P3601" s="282">
        <f>++Tabla4[[#This Row],[Precio Descontado]]*Tabla4[[#This Row],[Cantidad]]</f>
        <v>893.25840599999992</v>
      </c>
      <c r="Q3601" s="282" t="e">
        <f>(INDEX(Tabla6[#All],MATCH(Tabla4[[#This Row],[Producto]],Tabla6[[#All],[PRODUCTO]],0),MATCH(Tabla4[[#This Row],[Mes]],Tabla6[#Headers],0)))</f>
        <v>#N/A</v>
      </c>
      <c r="R3601" s="282" t="e">
        <f>++Tabla4[[#This Row],[Precio Unitario Neto]]-Tabla4[[#This Row],[20.85%]]-Tabla4[[#This Row],[Costo]]</f>
        <v>#N/A</v>
      </c>
      <c r="S3601" s="282" t="e">
        <f>++Tabla4[[#This Row],[U. Bruta Uni]]*Tabla4[[#This Row],[Cantidad]]</f>
        <v>#N/A</v>
      </c>
      <c r="T3601" s="369" t="str">
        <f>VLOOKUP(Tabla4[[#This Row],[Producto]],Tabla6[#All],14,FALSE)</f>
        <v>Termico Solar</v>
      </c>
      <c r="U3601" s="284" t="e">
        <f>(IF(Tabla4[[#This Row],[Familia]]="termico solar",Tabla4[[#This Row],[Utilidad Total]]*6%,Tabla4[[#This Row],[Utilidad Total]]*11.5%))/Tabla4[[#This Row],[Total]]</f>
        <v>#N/A</v>
      </c>
      <c r="V3601" s="282" t="e">
        <f>+Tabla4[[#This Row],[Comisión Calculada]]*Tabla4[[#This Row],[Total]]</f>
        <v>#N/A</v>
      </c>
    </row>
    <row r="3602" spans="1:22" hidden="1" x14ac:dyDescent="0.25">
      <c r="A3602" s="100">
        <v>45823</v>
      </c>
      <c r="B3602" t="str">
        <f t="shared" si="164"/>
        <v>June</v>
      </c>
      <c r="C3602" s="46" t="s">
        <v>280</v>
      </c>
      <c r="F3602" s="366" t="s">
        <v>2106</v>
      </c>
      <c r="G3602" s="46" t="s">
        <v>394</v>
      </c>
      <c r="H3602" s="46">
        <v>16</v>
      </c>
      <c r="I3602" s="51">
        <v>224.29</v>
      </c>
      <c r="J3602" s="281">
        <f>++Tabla4[[#This Row],[Precio Bruto]]*1.16</f>
        <v>260.1764</v>
      </c>
      <c r="K3602" s="281">
        <f>+Tabla4[[#This Row],[Precio Unitario Neto]]*Tabla4[[#Headers],[20.85%]]</f>
        <v>54.246779400000001</v>
      </c>
      <c r="L3602" s="282">
        <f>++Tabla4[[#This Row],[Precio Unitario Neto]]-Tabla4[[#This Row],[20.85%]]</f>
        <v>205.92962059999999</v>
      </c>
      <c r="M3602" s="282" t="e">
        <f>(INDEX(Tabla6[#All],MATCH(Tabla4[[#This Row],[Producto]],Tabla6[[#All],[PRODUCTO]],0),MATCH(Tabla4[[#This Row],[Mes]],Tabla6[#Headers],0)))*(1+Catalogos!$L$2)</f>
        <v>#N/A</v>
      </c>
      <c r="N3602" s="283" t="e">
        <f>+(Tabla4[[#This Row],[Precio Descontado]]-Tabla4[[#This Row],[Precio Base]])*Tabla4[[#This Row],[Cantidad]]</f>
        <v>#N/A</v>
      </c>
      <c r="O3602" s="284" t="e">
        <f>++Tabla4[[#This Row],[Utilidad Total]]/Tabla4[[#This Row],[Total]]</f>
        <v>#N/A</v>
      </c>
      <c r="P3602" s="282">
        <f>++Tabla4[[#This Row],[Precio Descontado]]*Tabla4[[#This Row],[Cantidad]]</f>
        <v>3294.8739295999999</v>
      </c>
      <c r="Q3602" s="282" t="e">
        <f>(INDEX(Tabla6[#All],MATCH(Tabla4[[#This Row],[Producto]],Tabla6[[#All],[PRODUCTO]],0),MATCH(Tabla4[[#This Row],[Mes]],Tabla6[#Headers],0)))</f>
        <v>#N/A</v>
      </c>
      <c r="R3602" s="282" t="e">
        <f>++Tabla4[[#This Row],[Precio Unitario Neto]]-Tabla4[[#This Row],[20.85%]]-Tabla4[[#This Row],[Costo]]</f>
        <v>#N/A</v>
      </c>
      <c r="S3602" s="282" t="e">
        <f>++Tabla4[[#This Row],[U. Bruta Uni]]*Tabla4[[#This Row],[Cantidad]]</f>
        <v>#N/A</v>
      </c>
      <c r="T3602" s="369" t="str">
        <f>VLOOKUP(Tabla4[[#This Row],[Producto]],Tabla6[#All],14,FALSE)</f>
        <v>Termico Solar</v>
      </c>
      <c r="U3602" s="284" t="e">
        <f>(IF(Tabla4[[#This Row],[Familia]]="termico solar",Tabla4[[#This Row],[Utilidad Total]]*6%,Tabla4[[#This Row],[Utilidad Total]]*11.5%))/Tabla4[[#This Row],[Total]]</f>
        <v>#N/A</v>
      </c>
      <c r="V3602" s="282" t="e">
        <f>+Tabla4[[#This Row],[Comisión Calculada]]*Tabla4[[#This Row],[Total]]</f>
        <v>#N/A</v>
      </c>
    </row>
    <row r="3603" spans="1:22" hidden="1" x14ac:dyDescent="0.25">
      <c r="A3603" s="100">
        <v>45823</v>
      </c>
      <c r="B3603" t="str">
        <f t="shared" si="164"/>
        <v>June</v>
      </c>
      <c r="C3603" s="46" t="s">
        <v>280</v>
      </c>
      <c r="F3603" s="366" t="s">
        <v>2107</v>
      </c>
      <c r="G3603" s="46" t="s">
        <v>566</v>
      </c>
      <c r="H3603" s="46">
        <v>1</v>
      </c>
      <c r="I3603" s="51">
        <v>2109.4499999999998</v>
      </c>
      <c r="J3603" s="281">
        <f>++Tabla4[[#This Row],[Precio Bruto]]*1.16</f>
        <v>2446.9619999999995</v>
      </c>
      <c r="K3603" s="281">
        <f>+Tabla4[[#This Row],[Precio Unitario Neto]]*Tabla4[[#Headers],[20.85%]]</f>
        <v>510.19157699999988</v>
      </c>
      <c r="L3603" s="282">
        <f>++Tabla4[[#This Row],[Precio Unitario Neto]]-Tabla4[[#This Row],[20.85%]]</f>
        <v>1936.7704229999997</v>
      </c>
      <c r="M3603" s="282" t="e">
        <f>(INDEX(Tabla6[#All],MATCH(Tabla4[[#This Row],[Producto]],Tabla6[[#All],[PRODUCTO]],0),MATCH(Tabla4[[#This Row],[Mes]],Tabla6[#Headers],0)))*(1+Catalogos!$L$2)</f>
        <v>#N/A</v>
      </c>
      <c r="N3603" s="283" t="e">
        <f>+(Tabla4[[#This Row],[Precio Descontado]]-Tabla4[[#This Row],[Precio Base]])*Tabla4[[#This Row],[Cantidad]]</f>
        <v>#N/A</v>
      </c>
      <c r="O3603" s="284" t="e">
        <f>++Tabla4[[#This Row],[Utilidad Total]]/Tabla4[[#This Row],[Total]]</f>
        <v>#N/A</v>
      </c>
      <c r="P3603" s="282">
        <f>++Tabla4[[#This Row],[Precio Descontado]]*Tabla4[[#This Row],[Cantidad]]</f>
        <v>1936.7704229999997</v>
      </c>
      <c r="Q3603" s="282" t="e">
        <f>(INDEX(Tabla6[#All],MATCH(Tabla4[[#This Row],[Producto]],Tabla6[[#All],[PRODUCTO]],0),MATCH(Tabla4[[#This Row],[Mes]],Tabla6[#Headers],0)))</f>
        <v>#N/A</v>
      </c>
      <c r="R3603" s="282" t="e">
        <f>++Tabla4[[#This Row],[Precio Unitario Neto]]-Tabla4[[#This Row],[20.85%]]-Tabla4[[#This Row],[Costo]]</f>
        <v>#N/A</v>
      </c>
      <c r="S3603" s="282" t="e">
        <f>++Tabla4[[#This Row],[U. Bruta Uni]]*Tabla4[[#This Row],[Cantidad]]</f>
        <v>#N/A</v>
      </c>
      <c r="T3603" s="369" t="str">
        <f>VLOOKUP(Tabla4[[#This Row],[Producto]],Tabla6[#All],14,FALSE)</f>
        <v>Termico Solar</v>
      </c>
      <c r="U3603" s="284" t="e">
        <f>(IF(Tabla4[[#This Row],[Familia]]="termico solar",Tabla4[[#This Row],[Utilidad Total]]*6%,Tabla4[[#This Row],[Utilidad Total]]*11.5%))/Tabla4[[#This Row],[Total]]</f>
        <v>#N/A</v>
      </c>
      <c r="V3603" s="282" t="e">
        <f>+Tabla4[[#This Row],[Comisión Calculada]]*Tabla4[[#This Row],[Total]]</f>
        <v>#N/A</v>
      </c>
    </row>
    <row r="3604" spans="1:22" hidden="1" x14ac:dyDescent="0.25">
      <c r="A3604" s="100">
        <v>45823</v>
      </c>
      <c r="B3604" t="str">
        <f t="shared" si="164"/>
        <v>June</v>
      </c>
      <c r="C3604" s="46" t="s">
        <v>280</v>
      </c>
      <c r="F3604" s="366" t="s">
        <v>2108</v>
      </c>
      <c r="G3604" s="46" t="s">
        <v>566</v>
      </c>
      <c r="H3604" s="46">
        <v>1</v>
      </c>
      <c r="I3604" s="51">
        <v>2109.4499999999998</v>
      </c>
      <c r="J3604" s="281">
        <f>++Tabla4[[#This Row],[Precio Bruto]]*1.16</f>
        <v>2446.9619999999995</v>
      </c>
      <c r="K3604" s="281">
        <f>+Tabla4[[#This Row],[Precio Unitario Neto]]*Tabla4[[#Headers],[20.85%]]</f>
        <v>510.19157699999988</v>
      </c>
      <c r="L3604" s="282">
        <f>++Tabla4[[#This Row],[Precio Unitario Neto]]-Tabla4[[#This Row],[20.85%]]</f>
        <v>1936.7704229999997</v>
      </c>
      <c r="M3604" s="282" t="e">
        <f>(INDEX(Tabla6[#All],MATCH(Tabla4[[#This Row],[Producto]],Tabla6[[#All],[PRODUCTO]],0),MATCH(Tabla4[[#This Row],[Mes]],Tabla6[#Headers],0)))*(1+Catalogos!$L$2)</f>
        <v>#N/A</v>
      </c>
      <c r="N3604" s="283" t="e">
        <f>+(Tabla4[[#This Row],[Precio Descontado]]-Tabla4[[#This Row],[Precio Base]])*Tabla4[[#This Row],[Cantidad]]</f>
        <v>#N/A</v>
      </c>
      <c r="O3604" s="284" t="e">
        <f>++Tabla4[[#This Row],[Utilidad Total]]/Tabla4[[#This Row],[Total]]</f>
        <v>#N/A</v>
      </c>
      <c r="P3604" s="282">
        <f>++Tabla4[[#This Row],[Precio Descontado]]*Tabla4[[#This Row],[Cantidad]]</f>
        <v>1936.7704229999997</v>
      </c>
      <c r="Q3604" s="282" t="e">
        <f>(INDEX(Tabla6[#All],MATCH(Tabla4[[#This Row],[Producto]],Tabla6[[#All],[PRODUCTO]],0),MATCH(Tabla4[[#This Row],[Mes]],Tabla6[#Headers],0)))</f>
        <v>#N/A</v>
      </c>
      <c r="R3604" s="282" t="e">
        <f>++Tabla4[[#This Row],[Precio Unitario Neto]]-Tabla4[[#This Row],[20.85%]]-Tabla4[[#This Row],[Costo]]</f>
        <v>#N/A</v>
      </c>
      <c r="S3604" s="282" t="e">
        <f>++Tabla4[[#This Row],[U. Bruta Uni]]*Tabla4[[#This Row],[Cantidad]]</f>
        <v>#N/A</v>
      </c>
      <c r="T3604" s="369" t="str">
        <f>VLOOKUP(Tabla4[[#This Row],[Producto]],Tabla6[#All],14,FALSE)</f>
        <v>Termico Solar</v>
      </c>
      <c r="U3604" s="284" t="e">
        <f>(IF(Tabla4[[#This Row],[Familia]]="termico solar",Tabla4[[#This Row],[Utilidad Total]]*6%,Tabla4[[#This Row],[Utilidad Total]]*11.5%))/Tabla4[[#This Row],[Total]]</f>
        <v>#N/A</v>
      </c>
      <c r="V3604" s="282" t="e">
        <f>+Tabla4[[#This Row],[Comisión Calculada]]*Tabla4[[#This Row],[Total]]</f>
        <v>#N/A</v>
      </c>
    </row>
    <row r="3605" spans="1:22" hidden="1" x14ac:dyDescent="0.25">
      <c r="A3605" s="100">
        <v>45823</v>
      </c>
      <c r="B3605" t="str">
        <f t="shared" si="164"/>
        <v>June</v>
      </c>
      <c r="C3605" s="46" t="s">
        <v>280</v>
      </c>
      <c r="F3605" s="366" t="s">
        <v>2109</v>
      </c>
      <c r="G3605" s="46" t="s">
        <v>17</v>
      </c>
      <c r="H3605" s="46">
        <v>1</v>
      </c>
      <c r="I3605" s="51">
        <v>4622.28</v>
      </c>
      <c r="J3605" s="281">
        <f>++Tabla4[[#This Row],[Precio Bruto]]*1.16</f>
        <v>5361.8447999999989</v>
      </c>
      <c r="K3605" s="281">
        <f>+Tabla4[[#This Row],[Precio Unitario Neto]]*Tabla4[[#Headers],[20.85%]]</f>
        <v>1117.9446407999997</v>
      </c>
      <c r="L3605" s="282">
        <f>++Tabla4[[#This Row],[Precio Unitario Neto]]-Tabla4[[#This Row],[20.85%]]</f>
        <v>4243.9001591999995</v>
      </c>
      <c r="M3605" s="282" t="e">
        <f>(INDEX(Tabla6[#All],MATCH(Tabla4[[#This Row],[Producto]],Tabla6[[#All],[PRODUCTO]],0),MATCH(Tabla4[[#This Row],[Mes]],Tabla6[#Headers],0)))*(1+Catalogos!$L$2)</f>
        <v>#N/A</v>
      </c>
      <c r="N3605" s="283" t="e">
        <f>+(Tabla4[[#This Row],[Precio Descontado]]-Tabla4[[#This Row],[Precio Base]])*Tabla4[[#This Row],[Cantidad]]</f>
        <v>#N/A</v>
      </c>
      <c r="O3605" s="284" t="e">
        <f>++Tabla4[[#This Row],[Utilidad Total]]/Tabla4[[#This Row],[Total]]</f>
        <v>#N/A</v>
      </c>
      <c r="P3605" s="282">
        <f>++Tabla4[[#This Row],[Precio Descontado]]*Tabla4[[#This Row],[Cantidad]]</f>
        <v>4243.9001591999995</v>
      </c>
      <c r="Q3605" s="282" t="e">
        <f>(INDEX(Tabla6[#All],MATCH(Tabla4[[#This Row],[Producto]],Tabla6[[#All],[PRODUCTO]],0),MATCH(Tabla4[[#This Row],[Mes]],Tabla6[#Headers],0)))</f>
        <v>#N/A</v>
      </c>
      <c r="R3605" s="282" t="e">
        <f>++Tabla4[[#This Row],[Precio Unitario Neto]]-Tabla4[[#This Row],[20.85%]]-Tabla4[[#This Row],[Costo]]</f>
        <v>#N/A</v>
      </c>
      <c r="S3605" s="282" t="e">
        <f>++Tabla4[[#This Row],[U. Bruta Uni]]*Tabla4[[#This Row],[Cantidad]]</f>
        <v>#N/A</v>
      </c>
      <c r="T3605" s="369" t="str">
        <f>VLOOKUP(Tabla4[[#This Row],[Producto]],Tabla6[#All],14,FALSE)</f>
        <v>Termico Solar</v>
      </c>
      <c r="U3605" s="284" t="e">
        <f>(IF(Tabla4[[#This Row],[Familia]]="termico solar",Tabla4[[#This Row],[Utilidad Total]]*6%,Tabla4[[#This Row],[Utilidad Total]]*11.5%))/Tabla4[[#This Row],[Total]]</f>
        <v>#N/A</v>
      </c>
      <c r="V3605" s="282" t="e">
        <f>+Tabla4[[#This Row],[Comisión Calculada]]*Tabla4[[#This Row],[Total]]</f>
        <v>#N/A</v>
      </c>
    </row>
    <row r="3606" spans="1:22" hidden="1" x14ac:dyDescent="0.25">
      <c r="A3606" s="100">
        <v>45823</v>
      </c>
      <c r="B3606" t="str">
        <f t="shared" si="164"/>
        <v>June</v>
      </c>
      <c r="C3606" s="46" t="s">
        <v>280</v>
      </c>
      <c r="F3606" s="366" t="s">
        <v>2109</v>
      </c>
      <c r="G3606" s="46" t="s">
        <v>208</v>
      </c>
      <c r="H3606" s="46">
        <v>10</v>
      </c>
      <c r="I3606" s="51">
        <v>189.75</v>
      </c>
      <c r="J3606" s="281">
        <f>++Tabla4[[#This Row],[Precio Bruto]]*1.16</f>
        <v>220.10999999999999</v>
      </c>
      <c r="K3606" s="281">
        <f>+Tabla4[[#This Row],[Precio Unitario Neto]]*Tabla4[[#Headers],[20.85%]]</f>
        <v>45.892934999999994</v>
      </c>
      <c r="L3606" s="282">
        <f>++Tabla4[[#This Row],[Precio Unitario Neto]]-Tabla4[[#This Row],[20.85%]]</f>
        <v>174.21706499999999</v>
      </c>
      <c r="M3606" s="282" t="e">
        <f>(INDEX(Tabla6[#All],MATCH(Tabla4[[#This Row],[Producto]],Tabla6[[#All],[PRODUCTO]],0),MATCH(Tabla4[[#This Row],[Mes]],Tabla6[#Headers],0)))*(1+Catalogos!$L$2)</f>
        <v>#N/A</v>
      </c>
      <c r="N3606" s="283" t="e">
        <f>+(Tabla4[[#This Row],[Precio Descontado]]-Tabla4[[#This Row],[Precio Base]])*Tabla4[[#This Row],[Cantidad]]</f>
        <v>#N/A</v>
      </c>
      <c r="O3606" s="284" t="e">
        <f>++Tabla4[[#This Row],[Utilidad Total]]/Tabla4[[#This Row],[Total]]</f>
        <v>#N/A</v>
      </c>
      <c r="P3606" s="282">
        <f>++Tabla4[[#This Row],[Precio Descontado]]*Tabla4[[#This Row],[Cantidad]]</f>
        <v>1742.17065</v>
      </c>
      <c r="Q3606" s="282" t="e">
        <f>(INDEX(Tabla6[#All],MATCH(Tabla4[[#This Row],[Producto]],Tabla6[[#All],[PRODUCTO]],0),MATCH(Tabla4[[#This Row],[Mes]],Tabla6[#Headers],0)))</f>
        <v>#N/A</v>
      </c>
      <c r="R3606" s="282" t="e">
        <f>++Tabla4[[#This Row],[Precio Unitario Neto]]-Tabla4[[#This Row],[20.85%]]-Tabla4[[#This Row],[Costo]]</f>
        <v>#N/A</v>
      </c>
      <c r="S3606" s="282" t="e">
        <f>++Tabla4[[#This Row],[U. Bruta Uni]]*Tabla4[[#This Row],[Cantidad]]</f>
        <v>#N/A</v>
      </c>
      <c r="T3606" s="369" t="str">
        <f>VLOOKUP(Tabla4[[#This Row],[Producto]],Tabla6[#All],14,FALSE)</f>
        <v>Termico Solar</v>
      </c>
      <c r="U3606" s="284" t="e">
        <f>(IF(Tabla4[[#This Row],[Familia]]="termico solar",Tabla4[[#This Row],[Utilidad Total]]*6%,Tabla4[[#This Row],[Utilidad Total]]*11.5%))/Tabla4[[#This Row],[Total]]</f>
        <v>#N/A</v>
      </c>
      <c r="V3606" s="282" t="e">
        <f>+Tabla4[[#This Row],[Comisión Calculada]]*Tabla4[[#This Row],[Total]]</f>
        <v>#N/A</v>
      </c>
    </row>
    <row r="3607" spans="1:22" hidden="1" x14ac:dyDescent="0.25">
      <c r="A3607" s="100">
        <v>45823</v>
      </c>
      <c r="B3607" t="str">
        <f t="shared" si="164"/>
        <v>June</v>
      </c>
      <c r="C3607" s="46" t="s">
        <v>280</v>
      </c>
      <c r="F3607" s="366" t="s">
        <v>2110</v>
      </c>
      <c r="G3607" s="46" t="s">
        <v>566</v>
      </c>
      <c r="H3607" s="46">
        <v>3</v>
      </c>
      <c r="I3607" s="51">
        <v>2109.4500000000003</v>
      </c>
      <c r="J3607" s="281">
        <f>++Tabla4[[#This Row],[Precio Bruto]]*1.16</f>
        <v>2446.962</v>
      </c>
      <c r="K3607" s="281">
        <f>+Tabla4[[#This Row],[Precio Unitario Neto]]*Tabla4[[#Headers],[20.85%]]</f>
        <v>510.191577</v>
      </c>
      <c r="L3607" s="282">
        <f>++Tabla4[[#This Row],[Precio Unitario Neto]]-Tabla4[[#This Row],[20.85%]]</f>
        <v>1936.7704229999999</v>
      </c>
      <c r="M3607" s="282" t="e">
        <f>(INDEX(Tabla6[#All],MATCH(Tabla4[[#This Row],[Producto]],Tabla6[[#All],[PRODUCTO]],0),MATCH(Tabla4[[#This Row],[Mes]],Tabla6[#Headers],0)))*(1+Catalogos!$L$2)</f>
        <v>#N/A</v>
      </c>
      <c r="N3607" s="283" t="e">
        <f>+(Tabla4[[#This Row],[Precio Descontado]]-Tabla4[[#This Row],[Precio Base]])*Tabla4[[#This Row],[Cantidad]]</f>
        <v>#N/A</v>
      </c>
      <c r="O3607" s="284" t="e">
        <f>++Tabla4[[#This Row],[Utilidad Total]]/Tabla4[[#This Row],[Total]]</f>
        <v>#N/A</v>
      </c>
      <c r="P3607" s="282">
        <f>++Tabla4[[#This Row],[Precio Descontado]]*Tabla4[[#This Row],[Cantidad]]</f>
        <v>5810.3112689999998</v>
      </c>
      <c r="Q3607" s="282" t="e">
        <f>(INDEX(Tabla6[#All],MATCH(Tabla4[[#This Row],[Producto]],Tabla6[[#All],[PRODUCTO]],0),MATCH(Tabla4[[#This Row],[Mes]],Tabla6[#Headers],0)))</f>
        <v>#N/A</v>
      </c>
      <c r="R3607" s="282" t="e">
        <f>++Tabla4[[#This Row],[Precio Unitario Neto]]-Tabla4[[#This Row],[20.85%]]-Tabla4[[#This Row],[Costo]]</f>
        <v>#N/A</v>
      </c>
      <c r="S3607" s="282" t="e">
        <f>++Tabla4[[#This Row],[U. Bruta Uni]]*Tabla4[[#This Row],[Cantidad]]</f>
        <v>#N/A</v>
      </c>
      <c r="T3607" s="369" t="str">
        <f>VLOOKUP(Tabla4[[#This Row],[Producto]],Tabla6[#All],14,FALSE)</f>
        <v>Termico Solar</v>
      </c>
      <c r="U3607" s="284" t="e">
        <f>(IF(Tabla4[[#This Row],[Familia]]="termico solar",Tabla4[[#This Row],[Utilidad Total]]*6%,Tabla4[[#This Row],[Utilidad Total]]*11.5%))/Tabla4[[#This Row],[Total]]</f>
        <v>#N/A</v>
      </c>
      <c r="V3607" s="282" t="e">
        <f>+Tabla4[[#This Row],[Comisión Calculada]]*Tabla4[[#This Row],[Total]]</f>
        <v>#N/A</v>
      </c>
    </row>
    <row r="3608" spans="1:22" hidden="1" x14ac:dyDescent="0.25">
      <c r="A3608" s="100">
        <v>45823</v>
      </c>
      <c r="B3608" t="str">
        <f t="shared" si="164"/>
        <v>June</v>
      </c>
      <c r="C3608" s="46" t="s">
        <v>280</v>
      </c>
      <c r="F3608" s="366" t="s">
        <v>2111</v>
      </c>
      <c r="G3608" s="46" t="s">
        <v>17</v>
      </c>
      <c r="H3608" s="46">
        <v>1</v>
      </c>
      <c r="I3608" s="51">
        <v>4622.28</v>
      </c>
      <c r="J3608" s="281">
        <f>++Tabla4[[#This Row],[Precio Bruto]]*1.16</f>
        <v>5361.8447999999989</v>
      </c>
      <c r="K3608" s="281">
        <f>+Tabla4[[#This Row],[Precio Unitario Neto]]*Tabla4[[#Headers],[20.85%]]</f>
        <v>1117.9446407999997</v>
      </c>
      <c r="L3608" s="282">
        <f>++Tabla4[[#This Row],[Precio Unitario Neto]]-Tabla4[[#This Row],[20.85%]]</f>
        <v>4243.9001591999995</v>
      </c>
      <c r="M3608" s="282" t="e">
        <f>(INDEX(Tabla6[#All],MATCH(Tabla4[[#This Row],[Producto]],Tabla6[[#All],[PRODUCTO]],0),MATCH(Tabla4[[#This Row],[Mes]],Tabla6[#Headers],0)))*(1+Catalogos!$L$2)</f>
        <v>#N/A</v>
      </c>
      <c r="N3608" s="283" t="e">
        <f>+(Tabla4[[#This Row],[Precio Descontado]]-Tabla4[[#This Row],[Precio Base]])*Tabla4[[#This Row],[Cantidad]]</f>
        <v>#N/A</v>
      </c>
      <c r="O3608" s="284" t="e">
        <f>++Tabla4[[#This Row],[Utilidad Total]]/Tabla4[[#This Row],[Total]]</f>
        <v>#N/A</v>
      </c>
      <c r="P3608" s="282">
        <f>++Tabla4[[#This Row],[Precio Descontado]]*Tabla4[[#This Row],[Cantidad]]</f>
        <v>4243.9001591999995</v>
      </c>
      <c r="Q3608" s="282" t="e">
        <f>(INDEX(Tabla6[#All],MATCH(Tabla4[[#This Row],[Producto]],Tabla6[[#All],[PRODUCTO]],0),MATCH(Tabla4[[#This Row],[Mes]],Tabla6[#Headers],0)))</f>
        <v>#N/A</v>
      </c>
      <c r="R3608" s="282" t="e">
        <f>++Tabla4[[#This Row],[Precio Unitario Neto]]-Tabla4[[#This Row],[20.85%]]-Tabla4[[#This Row],[Costo]]</f>
        <v>#N/A</v>
      </c>
      <c r="S3608" s="282" t="e">
        <f>++Tabla4[[#This Row],[U. Bruta Uni]]*Tabla4[[#This Row],[Cantidad]]</f>
        <v>#N/A</v>
      </c>
      <c r="T3608" s="369" t="str">
        <f>VLOOKUP(Tabla4[[#This Row],[Producto]],Tabla6[#All],14,FALSE)</f>
        <v>Termico Solar</v>
      </c>
      <c r="U3608" s="284" t="e">
        <f>(IF(Tabla4[[#This Row],[Familia]]="termico solar",Tabla4[[#This Row],[Utilidad Total]]*6%,Tabla4[[#This Row],[Utilidad Total]]*11.5%))/Tabla4[[#This Row],[Total]]</f>
        <v>#N/A</v>
      </c>
      <c r="V3608" s="282" t="e">
        <f>+Tabla4[[#This Row],[Comisión Calculada]]*Tabla4[[#This Row],[Total]]</f>
        <v>#N/A</v>
      </c>
    </row>
    <row r="3609" spans="1:22" hidden="1" x14ac:dyDescent="0.25">
      <c r="A3609" s="100">
        <v>45823</v>
      </c>
      <c r="B3609" t="str">
        <f t="shared" si="164"/>
        <v>June</v>
      </c>
      <c r="C3609" s="46" t="s">
        <v>280</v>
      </c>
      <c r="F3609" s="366" t="s">
        <v>2111</v>
      </c>
      <c r="G3609" s="46" t="s">
        <v>19</v>
      </c>
      <c r="H3609" s="46">
        <v>4</v>
      </c>
      <c r="I3609" s="51">
        <v>6412.03</v>
      </c>
      <c r="J3609" s="281">
        <f>++Tabla4[[#This Row],[Precio Bruto]]*1.16</f>
        <v>7437.9547999999995</v>
      </c>
      <c r="K3609" s="281">
        <f>+Tabla4[[#This Row],[Precio Unitario Neto]]*Tabla4[[#Headers],[20.85%]]</f>
        <v>1550.8135757999999</v>
      </c>
      <c r="L3609" s="282">
        <f>++Tabla4[[#This Row],[Precio Unitario Neto]]-Tabla4[[#This Row],[20.85%]]</f>
        <v>5887.1412241999997</v>
      </c>
      <c r="M3609" s="282" t="e">
        <f>(INDEX(Tabla6[#All],MATCH(Tabla4[[#This Row],[Producto]],Tabla6[[#All],[PRODUCTO]],0),MATCH(Tabla4[[#This Row],[Mes]],Tabla6[#Headers],0)))*(1+Catalogos!$L$2)</f>
        <v>#N/A</v>
      </c>
      <c r="N3609" s="283" t="e">
        <f>+(Tabla4[[#This Row],[Precio Descontado]]-Tabla4[[#This Row],[Precio Base]])*Tabla4[[#This Row],[Cantidad]]</f>
        <v>#N/A</v>
      </c>
      <c r="O3609" s="284" t="e">
        <f>++Tabla4[[#This Row],[Utilidad Total]]/Tabla4[[#This Row],[Total]]</f>
        <v>#N/A</v>
      </c>
      <c r="P3609" s="282">
        <f>++Tabla4[[#This Row],[Precio Descontado]]*Tabla4[[#This Row],[Cantidad]]</f>
        <v>23548.564896799999</v>
      </c>
      <c r="Q3609" s="282" t="e">
        <f>(INDEX(Tabla6[#All],MATCH(Tabla4[[#This Row],[Producto]],Tabla6[[#All],[PRODUCTO]],0),MATCH(Tabla4[[#This Row],[Mes]],Tabla6[#Headers],0)))</f>
        <v>#N/A</v>
      </c>
      <c r="R3609" s="282" t="e">
        <f>++Tabla4[[#This Row],[Precio Unitario Neto]]-Tabla4[[#This Row],[20.85%]]-Tabla4[[#This Row],[Costo]]</f>
        <v>#N/A</v>
      </c>
      <c r="S3609" s="282" t="e">
        <f>++Tabla4[[#This Row],[U. Bruta Uni]]*Tabla4[[#This Row],[Cantidad]]</f>
        <v>#N/A</v>
      </c>
      <c r="T3609" s="369" t="str">
        <f>VLOOKUP(Tabla4[[#This Row],[Producto]],Tabla6[#All],14,FALSE)</f>
        <v>Termico Solar</v>
      </c>
      <c r="U3609" s="284" t="e">
        <f>(IF(Tabla4[[#This Row],[Familia]]="termico solar",Tabla4[[#This Row],[Utilidad Total]]*6%,Tabla4[[#This Row],[Utilidad Total]]*11.5%))/Tabla4[[#This Row],[Total]]</f>
        <v>#N/A</v>
      </c>
      <c r="V3609" s="282" t="e">
        <f>+Tabla4[[#This Row],[Comisión Calculada]]*Tabla4[[#This Row],[Total]]</f>
        <v>#N/A</v>
      </c>
    </row>
    <row r="3610" spans="1:22" hidden="1" x14ac:dyDescent="0.25">
      <c r="A3610" s="100">
        <v>45823</v>
      </c>
      <c r="B3610" t="str">
        <f t="shared" si="164"/>
        <v>June</v>
      </c>
      <c r="C3610" s="46" t="s">
        <v>280</v>
      </c>
      <c r="F3610" s="366" t="s">
        <v>2111</v>
      </c>
      <c r="G3610" s="46" t="s">
        <v>566</v>
      </c>
      <c r="H3610" s="46">
        <v>1</v>
      </c>
      <c r="I3610" s="51">
        <v>2109.4499999999998</v>
      </c>
      <c r="J3610" s="281">
        <f>++Tabla4[[#This Row],[Precio Bruto]]*1.16</f>
        <v>2446.9619999999995</v>
      </c>
      <c r="K3610" s="281">
        <f>+Tabla4[[#This Row],[Precio Unitario Neto]]*Tabla4[[#Headers],[20.85%]]</f>
        <v>510.19157699999988</v>
      </c>
      <c r="L3610" s="282">
        <f>++Tabla4[[#This Row],[Precio Unitario Neto]]-Tabla4[[#This Row],[20.85%]]</f>
        <v>1936.7704229999997</v>
      </c>
      <c r="M3610" s="282" t="e">
        <f>(INDEX(Tabla6[#All],MATCH(Tabla4[[#This Row],[Producto]],Tabla6[[#All],[PRODUCTO]],0),MATCH(Tabla4[[#This Row],[Mes]],Tabla6[#Headers],0)))*(1+Catalogos!$L$2)</f>
        <v>#N/A</v>
      </c>
      <c r="N3610" s="283" t="e">
        <f>+(Tabla4[[#This Row],[Precio Descontado]]-Tabla4[[#This Row],[Precio Base]])*Tabla4[[#This Row],[Cantidad]]</f>
        <v>#N/A</v>
      </c>
      <c r="O3610" s="284" t="e">
        <f>++Tabla4[[#This Row],[Utilidad Total]]/Tabla4[[#This Row],[Total]]</f>
        <v>#N/A</v>
      </c>
      <c r="P3610" s="282">
        <f>++Tabla4[[#This Row],[Precio Descontado]]*Tabla4[[#This Row],[Cantidad]]</f>
        <v>1936.7704229999997</v>
      </c>
      <c r="Q3610" s="282" t="e">
        <f>(INDEX(Tabla6[#All],MATCH(Tabla4[[#This Row],[Producto]],Tabla6[[#All],[PRODUCTO]],0),MATCH(Tabla4[[#This Row],[Mes]],Tabla6[#Headers],0)))</f>
        <v>#N/A</v>
      </c>
      <c r="R3610" s="282" t="e">
        <f>++Tabla4[[#This Row],[Precio Unitario Neto]]-Tabla4[[#This Row],[20.85%]]-Tabla4[[#This Row],[Costo]]</f>
        <v>#N/A</v>
      </c>
      <c r="S3610" s="282" t="e">
        <f>++Tabla4[[#This Row],[U. Bruta Uni]]*Tabla4[[#This Row],[Cantidad]]</f>
        <v>#N/A</v>
      </c>
      <c r="T3610" s="369" t="str">
        <f>VLOOKUP(Tabla4[[#This Row],[Producto]],Tabla6[#All],14,FALSE)</f>
        <v>Termico Solar</v>
      </c>
      <c r="U3610" s="284" t="e">
        <f>(IF(Tabla4[[#This Row],[Familia]]="termico solar",Tabla4[[#This Row],[Utilidad Total]]*6%,Tabla4[[#This Row],[Utilidad Total]]*11.5%))/Tabla4[[#This Row],[Total]]</f>
        <v>#N/A</v>
      </c>
      <c r="V3610" s="282" t="e">
        <f>+Tabla4[[#This Row],[Comisión Calculada]]*Tabla4[[#This Row],[Total]]</f>
        <v>#N/A</v>
      </c>
    </row>
    <row r="3611" spans="1:22" hidden="1" x14ac:dyDescent="0.25">
      <c r="A3611" s="100">
        <v>45823</v>
      </c>
      <c r="B3611" t="str">
        <f t="shared" si="164"/>
        <v>June</v>
      </c>
      <c r="C3611" s="46" t="s">
        <v>280</v>
      </c>
      <c r="F3611" s="366" t="s">
        <v>2111</v>
      </c>
      <c r="G3611" s="46" t="s">
        <v>208</v>
      </c>
      <c r="H3611" s="46">
        <v>17</v>
      </c>
      <c r="I3611" s="51">
        <v>189.75</v>
      </c>
      <c r="J3611" s="281">
        <f>++Tabla4[[#This Row],[Precio Bruto]]*1.16</f>
        <v>220.10999999999999</v>
      </c>
      <c r="K3611" s="281">
        <f>+Tabla4[[#This Row],[Precio Unitario Neto]]*Tabla4[[#Headers],[20.85%]]</f>
        <v>45.892934999999994</v>
      </c>
      <c r="L3611" s="282">
        <f>++Tabla4[[#This Row],[Precio Unitario Neto]]-Tabla4[[#This Row],[20.85%]]</f>
        <v>174.21706499999999</v>
      </c>
      <c r="M3611" s="282" t="e">
        <f>(INDEX(Tabla6[#All],MATCH(Tabla4[[#This Row],[Producto]],Tabla6[[#All],[PRODUCTO]],0),MATCH(Tabla4[[#This Row],[Mes]],Tabla6[#Headers],0)))*(1+Catalogos!$L$2)</f>
        <v>#N/A</v>
      </c>
      <c r="N3611" s="283" t="e">
        <f>+(Tabla4[[#This Row],[Precio Descontado]]-Tabla4[[#This Row],[Precio Base]])*Tabla4[[#This Row],[Cantidad]]</f>
        <v>#N/A</v>
      </c>
      <c r="O3611" s="284" t="e">
        <f>++Tabla4[[#This Row],[Utilidad Total]]/Tabla4[[#This Row],[Total]]</f>
        <v>#N/A</v>
      </c>
      <c r="P3611" s="282">
        <f>++Tabla4[[#This Row],[Precio Descontado]]*Tabla4[[#This Row],[Cantidad]]</f>
        <v>2961.6901049999997</v>
      </c>
      <c r="Q3611" s="282" t="e">
        <f>(INDEX(Tabla6[#All],MATCH(Tabla4[[#This Row],[Producto]],Tabla6[[#All],[PRODUCTO]],0),MATCH(Tabla4[[#This Row],[Mes]],Tabla6[#Headers],0)))</f>
        <v>#N/A</v>
      </c>
      <c r="R3611" s="282" t="e">
        <f>++Tabla4[[#This Row],[Precio Unitario Neto]]-Tabla4[[#This Row],[20.85%]]-Tabla4[[#This Row],[Costo]]</f>
        <v>#N/A</v>
      </c>
      <c r="S3611" s="282" t="e">
        <f>++Tabla4[[#This Row],[U. Bruta Uni]]*Tabla4[[#This Row],[Cantidad]]</f>
        <v>#N/A</v>
      </c>
      <c r="T3611" s="369" t="str">
        <f>VLOOKUP(Tabla4[[#This Row],[Producto]],Tabla6[#All],14,FALSE)</f>
        <v>Termico Solar</v>
      </c>
      <c r="U3611" s="284" t="e">
        <f>(IF(Tabla4[[#This Row],[Familia]]="termico solar",Tabla4[[#This Row],[Utilidad Total]]*6%,Tabla4[[#This Row],[Utilidad Total]]*11.5%))/Tabla4[[#This Row],[Total]]</f>
        <v>#N/A</v>
      </c>
      <c r="V3611" s="282" t="e">
        <f>+Tabla4[[#This Row],[Comisión Calculada]]*Tabla4[[#This Row],[Total]]</f>
        <v>#N/A</v>
      </c>
    </row>
    <row r="3612" spans="1:22" hidden="1" x14ac:dyDescent="0.25">
      <c r="A3612" s="100">
        <v>45823</v>
      </c>
      <c r="B3612" t="str">
        <f t="shared" si="164"/>
        <v>June</v>
      </c>
      <c r="C3612" s="46" t="s">
        <v>280</v>
      </c>
      <c r="F3612" s="366" t="s">
        <v>2112</v>
      </c>
      <c r="G3612" s="46" t="s">
        <v>17</v>
      </c>
      <c r="H3612" s="46">
        <v>1</v>
      </c>
      <c r="I3612" s="51">
        <v>4622.28</v>
      </c>
      <c r="J3612" s="281">
        <f>++Tabla4[[#This Row],[Precio Bruto]]*1.16</f>
        <v>5361.8447999999989</v>
      </c>
      <c r="K3612" s="281">
        <f>+Tabla4[[#This Row],[Precio Unitario Neto]]*Tabla4[[#Headers],[20.85%]]</f>
        <v>1117.9446407999997</v>
      </c>
      <c r="L3612" s="282">
        <f>++Tabla4[[#This Row],[Precio Unitario Neto]]-Tabla4[[#This Row],[20.85%]]</f>
        <v>4243.9001591999995</v>
      </c>
      <c r="M3612" s="282" t="e">
        <f>(INDEX(Tabla6[#All],MATCH(Tabla4[[#This Row],[Producto]],Tabla6[[#All],[PRODUCTO]],0),MATCH(Tabla4[[#This Row],[Mes]],Tabla6[#Headers],0)))*(1+Catalogos!$L$2)</f>
        <v>#N/A</v>
      </c>
      <c r="N3612" s="283" t="e">
        <f>+(Tabla4[[#This Row],[Precio Descontado]]-Tabla4[[#This Row],[Precio Base]])*Tabla4[[#This Row],[Cantidad]]</f>
        <v>#N/A</v>
      </c>
      <c r="O3612" s="284" t="e">
        <f>++Tabla4[[#This Row],[Utilidad Total]]/Tabla4[[#This Row],[Total]]</f>
        <v>#N/A</v>
      </c>
      <c r="P3612" s="282">
        <f>++Tabla4[[#This Row],[Precio Descontado]]*Tabla4[[#This Row],[Cantidad]]</f>
        <v>4243.9001591999995</v>
      </c>
      <c r="Q3612" s="282" t="e">
        <f>(INDEX(Tabla6[#All],MATCH(Tabla4[[#This Row],[Producto]],Tabla6[[#All],[PRODUCTO]],0),MATCH(Tabla4[[#This Row],[Mes]],Tabla6[#Headers],0)))</f>
        <v>#N/A</v>
      </c>
      <c r="R3612" s="282" t="e">
        <f>++Tabla4[[#This Row],[Precio Unitario Neto]]-Tabla4[[#This Row],[20.85%]]-Tabla4[[#This Row],[Costo]]</f>
        <v>#N/A</v>
      </c>
      <c r="S3612" s="282" t="e">
        <f>++Tabla4[[#This Row],[U. Bruta Uni]]*Tabla4[[#This Row],[Cantidad]]</f>
        <v>#N/A</v>
      </c>
      <c r="T3612" s="369" t="str">
        <f>VLOOKUP(Tabla4[[#This Row],[Producto]],Tabla6[#All],14,FALSE)</f>
        <v>Termico Solar</v>
      </c>
      <c r="U3612" s="284" t="e">
        <f>(IF(Tabla4[[#This Row],[Familia]]="termico solar",Tabla4[[#This Row],[Utilidad Total]]*6%,Tabla4[[#This Row],[Utilidad Total]]*11.5%))/Tabla4[[#This Row],[Total]]</f>
        <v>#N/A</v>
      </c>
      <c r="V3612" s="282" t="e">
        <f>+Tabla4[[#This Row],[Comisión Calculada]]*Tabla4[[#This Row],[Total]]</f>
        <v>#N/A</v>
      </c>
    </row>
    <row r="3613" spans="1:22" hidden="1" x14ac:dyDescent="0.25">
      <c r="A3613" s="100">
        <v>45823</v>
      </c>
      <c r="B3613" t="str">
        <f t="shared" si="164"/>
        <v>June</v>
      </c>
      <c r="C3613" s="46" t="s">
        <v>280</v>
      </c>
      <c r="F3613" s="366" t="s">
        <v>2112</v>
      </c>
      <c r="G3613" s="46" t="s">
        <v>566</v>
      </c>
      <c r="H3613" s="46">
        <v>1</v>
      </c>
      <c r="I3613" s="51">
        <v>2109.4499999999998</v>
      </c>
      <c r="J3613" s="281">
        <f>++Tabla4[[#This Row],[Precio Bruto]]*1.16</f>
        <v>2446.9619999999995</v>
      </c>
      <c r="K3613" s="281">
        <f>+Tabla4[[#This Row],[Precio Unitario Neto]]*Tabla4[[#Headers],[20.85%]]</f>
        <v>510.19157699999988</v>
      </c>
      <c r="L3613" s="282">
        <f>++Tabla4[[#This Row],[Precio Unitario Neto]]-Tabla4[[#This Row],[20.85%]]</f>
        <v>1936.7704229999997</v>
      </c>
      <c r="M3613" s="282" t="e">
        <f>(INDEX(Tabla6[#All],MATCH(Tabla4[[#This Row],[Producto]],Tabla6[[#All],[PRODUCTO]],0),MATCH(Tabla4[[#This Row],[Mes]],Tabla6[#Headers],0)))*(1+Catalogos!$L$2)</f>
        <v>#N/A</v>
      </c>
      <c r="N3613" s="283" t="e">
        <f>+(Tabla4[[#This Row],[Precio Descontado]]-Tabla4[[#This Row],[Precio Base]])*Tabla4[[#This Row],[Cantidad]]</f>
        <v>#N/A</v>
      </c>
      <c r="O3613" s="284" t="e">
        <f>++Tabla4[[#This Row],[Utilidad Total]]/Tabla4[[#This Row],[Total]]</f>
        <v>#N/A</v>
      </c>
      <c r="P3613" s="282">
        <f>++Tabla4[[#This Row],[Precio Descontado]]*Tabla4[[#This Row],[Cantidad]]</f>
        <v>1936.7704229999997</v>
      </c>
      <c r="Q3613" s="282" t="e">
        <f>(INDEX(Tabla6[#All],MATCH(Tabla4[[#This Row],[Producto]],Tabla6[[#All],[PRODUCTO]],0),MATCH(Tabla4[[#This Row],[Mes]],Tabla6[#Headers],0)))</f>
        <v>#N/A</v>
      </c>
      <c r="R3613" s="282" t="e">
        <f>++Tabla4[[#This Row],[Precio Unitario Neto]]-Tabla4[[#This Row],[20.85%]]-Tabla4[[#This Row],[Costo]]</f>
        <v>#N/A</v>
      </c>
      <c r="S3613" s="282" t="e">
        <f>++Tabla4[[#This Row],[U. Bruta Uni]]*Tabla4[[#This Row],[Cantidad]]</f>
        <v>#N/A</v>
      </c>
      <c r="T3613" s="369" t="str">
        <f>VLOOKUP(Tabla4[[#This Row],[Producto]],Tabla6[#All],14,FALSE)</f>
        <v>Termico Solar</v>
      </c>
      <c r="U3613" s="284" t="e">
        <f>(IF(Tabla4[[#This Row],[Familia]]="termico solar",Tabla4[[#This Row],[Utilidad Total]]*6%,Tabla4[[#This Row],[Utilidad Total]]*11.5%))/Tabla4[[#This Row],[Total]]</f>
        <v>#N/A</v>
      </c>
      <c r="V3613" s="282" t="e">
        <f>+Tabla4[[#This Row],[Comisión Calculada]]*Tabla4[[#This Row],[Total]]</f>
        <v>#N/A</v>
      </c>
    </row>
    <row r="3614" spans="1:22" hidden="1" x14ac:dyDescent="0.25">
      <c r="A3614" s="100">
        <v>45823</v>
      </c>
      <c r="B3614" t="str">
        <f t="shared" si="164"/>
        <v>June</v>
      </c>
      <c r="C3614" s="46" t="s">
        <v>280</v>
      </c>
      <c r="F3614" s="366" t="s">
        <v>2112</v>
      </c>
      <c r="G3614" s="46" t="s">
        <v>208</v>
      </c>
      <c r="H3614" s="46">
        <v>2</v>
      </c>
      <c r="I3614" s="51">
        <v>189.75</v>
      </c>
      <c r="J3614" s="281">
        <f>++Tabla4[[#This Row],[Precio Bruto]]*1.16</f>
        <v>220.10999999999999</v>
      </c>
      <c r="K3614" s="281">
        <f>+Tabla4[[#This Row],[Precio Unitario Neto]]*Tabla4[[#Headers],[20.85%]]</f>
        <v>45.892934999999994</v>
      </c>
      <c r="L3614" s="282">
        <f>++Tabla4[[#This Row],[Precio Unitario Neto]]-Tabla4[[#This Row],[20.85%]]</f>
        <v>174.21706499999999</v>
      </c>
      <c r="M3614" s="282" t="e">
        <f>(INDEX(Tabla6[#All],MATCH(Tabla4[[#This Row],[Producto]],Tabla6[[#All],[PRODUCTO]],0),MATCH(Tabla4[[#This Row],[Mes]],Tabla6[#Headers],0)))*(1+Catalogos!$L$2)</f>
        <v>#N/A</v>
      </c>
      <c r="N3614" s="283" t="e">
        <f>+(Tabla4[[#This Row],[Precio Descontado]]-Tabla4[[#This Row],[Precio Base]])*Tabla4[[#This Row],[Cantidad]]</f>
        <v>#N/A</v>
      </c>
      <c r="O3614" s="284" t="e">
        <f>++Tabla4[[#This Row],[Utilidad Total]]/Tabla4[[#This Row],[Total]]</f>
        <v>#N/A</v>
      </c>
      <c r="P3614" s="282">
        <f>++Tabla4[[#This Row],[Precio Descontado]]*Tabla4[[#This Row],[Cantidad]]</f>
        <v>348.43412999999998</v>
      </c>
      <c r="Q3614" s="282" t="e">
        <f>(INDEX(Tabla6[#All],MATCH(Tabla4[[#This Row],[Producto]],Tabla6[[#All],[PRODUCTO]],0),MATCH(Tabla4[[#This Row],[Mes]],Tabla6[#Headers],0)))</f>
        <v>#N/A</v>
      </c>
      <c r="R3614" s="282" t="e">
        <f>++Tabla4[[#This Row],[Precio Unitario Neto]]-Tabla4[[#This Row],[20.85%]]-Tabla4[[#This Row],[Costo]]</f>
        <v>#N/A</v>
      </c>
      <c r="S3614" s="282" t="e">
        <f>++Tabla4[[#This Row],[U. Bruta Uni]]*Tabla4[[#This Row],[Cantidad]]</f>
        <v>#N/A</v>
      </c>
      <c r="T3614" s="369" t="str">
        <f>VLOOKUP(Tabla4[[#This Row],[Producto]],Tabla6[#All],14,FALSE)</f>
        <v>Termico Solar</v>
      </c>
      <c r="U3614" s="284" t="e">
        <f>(IF(Tabla4[[#This Row],[Familia]]="termico solar",Tabla4[[#This Row],[Utilidad Total]]*6%,Tabla4[[#This Row],[Utilidad Total]]*11.5%))/Tabla4[[#This Row],[Total]]</f>
        <v>#N/A</v>
      </c>
      <c r="V3614" s="282" t="e">
        <f>+Tabla4[[#This Row],[Comisión Calculada]]*Tabla4[[#This Row],[Total]]</f>
        <v>#N/A</v>
      </c>
    </row>
    <row r="3615" spans="1:22" hidden="1" x14ac:dyDescent="0.25">
      <c r="A3615" s="100">
        <v>45823</v>
      </c>
      <c r="B3615" t="str">
        <f t="shared" si="164"/>
        <v>June</v>
      </c>
      <c r="C3615" s="46" t="s">
        <v>280</v>
      </c>
      <c r="F3615" s="366" t="s">
        <v>2113</v>
      </c>
      <c r="G3615" s="46" t="s">
        <v>18</v>
      </c>
      <c r="H3615" s="46">
        <v>1</v>
      </c>
      <c r="I3615" s="51">
        <v>5367.65</v>
      </c>
      <c r="J3615" s="281">
        <f>++Tabla4[[#This Row],[Precio Bruto]]*1.16</f>
        <v>6226.4739999999993</v>
      </c>
      <c r="K3615" s="281">
        <f>+Tabla4[[#This Row],[Precio Unitario Neto]]*Tabla4[[#Headers],[20.85%]]</f>
        <v>1298.2198289999999</v>
      </c>
      <c r="L3615" s="282">
        <f>++Tabla4[[#This Row],[Precio Unitario Neto]]-Tabla4[[#This Row],[20.85%]]</f>
        <v>4928.2541709999996</v>
      </c>
      <c r="M3615" s="282" t="e">
        <f>(INDEX(Tabla6[#All],MATCH(Tabla4[[#This Row],[Producto]],Tabla6[[#All],[PRODUCTO]],0),MATCH(Tabla4[[#This Row],[Mes]],Tabla6[#Headers],0)))*(1+Catalogos!$L$2)</f>
        <v>#N/A</v>
      </c>
      <c r="N3615" s="283" t="e">
        <f>+(Tabla4[[#This Row],[Precio Descontado]]-Tabla4[[#This Row],[Precio Base]])*Tabla4[[#This Row],[Cantidad]]</f>
        <v>#N/A</v>
      </c>
      <c r="O3615" s="284" t="e">
        <f>++Tabla4[[#This Row],[Utilidad Total]]/Tabla4[[#This Row],[Total]]</f>
        <v>#N/A</v>
      </c>
      <c r="P3615" s="282">
        <f>++Tabla4[[#This Row],[Precio Descontado]]*Tabla4[[#This Row],[Cantidad]]</f>
        <v>4928.2541709999996</v>
      </c>
      <c r="Q3615" s="282" t="e">
        <f>(INDEX(Tabla6[#All],MATCH(Tabla4[[#This Row],[Producto]],Tabla6[[#All],[PRODUCTO]],0),MATCH(Tabla4[[#This Row],[Mes]],Tabla6[#Headers],0)))</f>
        <v>#N/A</v>
      </c>
      <c r="R3615" s="282" t="e">
        <f>++Tabla4[[#This Row],[Precio Unitario Neto]]-Tabla4[[#This Row],[20.85%]]-Tabla4[[#This Row],[Costo]]</f>
        <v>#N/A</v>
      </c>
      <c r="S3615" s="282" t="e">
        <f>++Tabla4[[#This Row],[U. Bruta Uni]]*Tabla4[[#This Row],[Cantidad]]</f>
        <v>#N/A</v>
      </c>
      <c r="T3615" s="369" t="str">
        <f>VLOOKUP(Tabla4[[#This Row],[Producto]],Tabla6[#All],14,FALSE)</f>
        <v>Termico Solar</v>
      </c>
      <c r="U3615" s="284" t="e">
        <f>(IF(Tabla4[[#This Row],[Familia]]="termico solar",Tabla4[[#This Row],[Utilidad Total]]*6%,Tabla4[[#This Row],[Utilidad Total]]*11.5%))/Tabla4[[#This Row],[Total]]</f>
        <v>#N/A</v>
      </c>
      <c r="V3615" s="282" t="e">
        <f>+Tabla4[[#This Row],[Comisión Calculada]]*Tabla4[[#This Row],[Total]]</f>
        <v>#N/A</v>
      </c>
    </row>
    <row r="3616" spans="1:22" hidden="1" x14ac:dyDescent="0.25">
      <c r="A3616" s="100">
        <v>45823</v>
      </c>
      <c r="B3616" t="str">
        <f t="shared" si="164"/>
        <v>June</v>
      </c>
      <c r="C3616" s="46" t="s">
        <v>280</v>
      </c>
      <c r="F3616" s="366" t="s">
        <v>2113</v>
      </c>
      <c r="G3616" s="46" t="s">
        <v>566</v>
      </c>
      <c r="H3616" s="46">
        <v>1</v>
      </c>
      <c r="I3616" s="51">
        <v>2109.4499999999998</v>
      </c>
      <c r="J3616" s="281">
        <f>++Tabla4[[#This Row],[Precio Bruto]]*1.16</f>
        <v>2446.9619999999995</v>
      </c>
      <c r="K3616" s="281">
        <f>+Tabla4[[#This Row],[Precio Unitario Neto]]*Tabla4[[#Headers],[20.85%]]</f>
        <v>510.19157699999988</v>
      </c>
      <c r="L3616" s="282">
        <f>++Tabla4[[#This Row],[Precio Unitario Neto]]-Tabla4[[#This Row],[20.85%]]</f>
        <v>1936.7704229999997</v>
      </c>
      <c r="M3616" s="282" t="e">
        <f>(INDEX(Tabla6[#All],MATCH(Tabla4[[#This Row],[Producto]],Tabla6[[#All],[PRODUCTO]],0),MATCH(Tabla4[[#This Row],[Mes]],Tabla6[#Headers],0)))*(1+Catalogos!$L$2)</f>
        <v>#N/A</v>
      </c>
      <c r="N3616" s="283" t="e">
        <f>+(Tabla4[[#This Row],[Precio Descontado]]-Tabla4[[#This Row],[Precio Base]])*Tabla4[[#This Row],[Cantidad]]</f>
        <v>#N/A</v>
      </c>
      <c r="O3616" s="284" t="e">
        <f>++Tabla4[[#This Row],[Utilidad Total]]/Tabla4[[#This Row],[Total]]</f>
        <v>#N/A</v>
      </c>
      <c r="P3616" s="282">
        <f>++Tabla4[[#This Row],[Precio Descontado]]*Tabla4[[#This Row],[Cantidad]]</f>
        <v>1936.7704229999997</v>
      </c>
      <c r="Q3616" s="282" t="e">
        <f>(INDEX(Tabla6[#All],MATCH(Tabla4[[#This Row],[Producto]],Tabla6[[#All],[PRODUCTO]],0),MATCH(Tabla4[[#This Row],[Mes]],Tabla6[#Headers],0)))</f>
        <v>#N/A</v>
      </c>
      <c r="R3616" s="282" t="e">
        <f>++Tabla4[[#This Row],[Precio Unitario Neto]]-Tabla4[[#This Row],[20.85%]]-Tabla4[[#This Row],[Costo]]</f>
        <v>#N/A</v>
      </c>
      <c r="S3616" s="282" t="e">
        <f>++Tabla4[[#This Row],[U. Bruta Uni]]*Tabla4[[#This Row],[Cantidad]]</f>
        <v>#N/A</v>
      </c>
      <c r="T3616" s="369" t="str">
        <f>VLOOKUP(Tabla4[[#This Row],[Producto]],Tabla6[#All],14,FALSE)</f>
        <v>Termico Solar</v>
      </c>
      <c r="U3616" s="284" t="e">
        <f>(IF(Tabla4[[#This Row],[Familia]]="termico solar",Tabla4[[#This Row],[Utilidad Total]]*6%,Tabla4[[#This Row],[Utilidad Total]]*11.5%))/Tabla4[[#This Row],[Total]]</f>
        <v>#N/A</v>
      </c>
      <c r="V3616" s="282" t="e">
        <f>+Tabla4[[#This Row],[Comisión Calculada]]*Tabla4[[#This Row],[Total]]</f>
        <v>#N/A</v>
      </c>
    </row>
    <row r="3617" spans="1:22" hidden="1" x14ac:dyDescent="0.25">
      <c r="A3617" s="100">
        <v>45823</v>
      </c>
      <c r="B3617" t="str">
        <f t="shared" si="164"/>
        <v>June</v>
      </c>
      <c r="C3617" s="46" t="s">
        <v>280</v>
      </c>
      <c r="F3617" s="366" t="s">
        <v>2113</v>
      </c>
      <c r="G3617" s="46" t="s">
        <v>16</v>
      </c>
      <c r="H3617" s="46">
        <v>1</v>
      </c>
      <c r="I3617" s="51">
        <v>4103.8500000000004</v>
      </c>
      <c r="J3617" s="281">
        <f>++Tabla4[[#This Row],[Precio Bruto]]*1.16</f>
        <v>4760.4660000000003</v>
      </c>
      <c r="K3617" s="281">
        <f>+Tabla4[[#This Row],[Precio Unitario Neto]]*Tabla4[[#Headers],[20.85%]]</f>
        <v>992.55716100000006</v>
      </c>
      <c r="L3617" s="282">
        <f>++Tabla4[[#This Row],[Precio Unitario Neto]]-Tabla4[[#This Row],[20.85%]]</f>
        <v>3767.9088390000002</v>
      </c>
      <c r="M3617" s="282" t="e">
        <f>(INDEX(Tabla6[#All],MATCH(Tabla4[[#This Row],[Producto]],Tabla6[[#All],[PRODUCTO]],0),MATCH(Tabla4[[#This Row],[Mes]],Tabla6[#Headers],0)))*(1+Catalogos!$L$2)</f>
        <v>#N/A</v>
      </c>
      <c r="N3617" s="283" t="e">
        <f>+(Tabla4[[#This Row],[Precio Descontado]]-Tabla4[[#This Row],[Precio Base]])*Tabla4[[#This Row],[Cantidad]]</f>
        <v>#N/A</v>
      </c>
      <c r="O3617" s="284" t="e">
        <f>++Tabla4[[#This Row],[Utilidad Total]]/Tabla4[[#This Row],[Total]]</f>
        <v>#N/A</v>
      </c>
      <c r="P3617" s="282">
        <f>++Tabla4[[#This Row],[Precio Descontado]]*Tabla4[[#This Row],[Cantidad]]</f>
        <v>3767.9088390000002</v>
      </c>
      <c r="Q3617" s="282" t="e">
        <f>(INDEX(Tabla6[#All],MATCH(Tabla4[[#This Row],[Producto]],Tabla6[[#All],[PRODUCTO]],0),MATCH(Tabla4[[#This Row],[Mes]],Tabla6[#Headers],0)))</f>
        <v>#N/A</v>
      </c>
      <c r="R3617" s="282" t="e">
        <f>++Tabla4[[#This Row],[Precio Unitario Neto]]-Tabla4[[#This Row],[20.85%]]-Tabla4[[#This Row],[Costo]]</f>
        <v>#N/A</v>
      </c>
      <c r="S3617" s="282" t="e">
        <f>++Tabla4[[#This Row],[U. Bruta Uni]]*Tabla4[[#This Row],[Cantidad]]</f>
        <v>#N/A</v>
      </c>
      <c r="T3617" s="369" t="str">
        <f>VLOOKUP(Tabla4[[#This Row],[Producto]],Tabla6[#All],14,FALSE)</f>
        <v>Termico Solar</v>
      </c>
      <c r="U3617" s="284" t="e">
        <f>(IF(Tabla4[[#This Row],[Familia]]="termico solar",Tabla4[[#This Row],[Utilidad Total]]*6%,Tabla4[[#This Row],[Utilidad Total]]*11.5%))/Tabla4[[#This Row],[Total]]</f>
        <v>#N/A</v>
      </c>
      <c r="V3617" s="282" t="e">
        <f>+Tabla4[[#This Row],[Comisión Calculada]]*Tabla4[[#This Row],[Total]]</f>
        <v>#N/A</v>
      </c>
    </row>
    <row r="3618" spans="1:22" hidden="1" x14ac:dyDescent="0.25">
      <c r="A3618" s="100">
        <v>45823</v>
      </c>
      <c r="B3618" t="str">
        <f t="shared" si="164"/>
        <v>June</v>
      </c>
      <c r="C3618" s="46" t="s">
        <v>280</v>
      </c>
      <c r="F3618" s="366" t="s">
        <v>2113</v>
      </c>
      <c r="G3618" s="46" t="s">
        <v>208</v>
      </c>
      <c r="H3618" s="46">
        <v>3</v>
      </c>
      <c r="I3618" s="51">
        <v>189.75</v>
      </c>
      <c r="J3618" s="281">
        <f>++Tabla4[[#This Row],[Precio Bruto]]*1.16</f>
        <v>220.10999999999999</v>
      </c>
      <c r="K3618" s="281">
        <f>+Tabla4[[#This Row],[Precio Unitario Neto]]*Tabla4[[#Headers],[20.85%]]</f>
        <v>45.892934999999994</v>
      </c>
      <c r="L3618" s="282">
        <f>++Tabla4[[#This Row],[Precio Unitario Neto]]-Tabla4[[#This Row],[20.85%]]</f>
        <v>174.21706499999999</v>
      </c>
      <c r="M3618" s="282" t="e">
        <f>(INDEX(Tabla6[#All],MATCH(Tabla4[[#This Row],[Producto]],Tabla6[[#All],[PRODUCTO]],0),MATCH(Tabla4[[#This Row],[Mes]],Tabla6[#Headers],0)))*(1+Catalogos!$L$2)</f>
        <v>#N/A</v>
      </c>
      <c r="N3618" s="283" t="e">
        <f>+(Tabla4[[#This Row],[Precio Descontado]]-Tabla4[[#This Row],[Precio Base]])*Tabla4[[#This Row],[Cantidad]]</f>
        <v>#N/A</v>
      </c>
      <c r="O3618" s="284" t="e">
        <f>++Tabla4[[#This Row],[Utilidad Total]]/Tabla4[[#This Row],[Total]]</f>
        <v>#N/A</v>
      </c>
      <c r="P3618" s="282">
        <f>++Tabla4[[#This Row],[Precio Descontado]]*Tabla4[[#This Row],[Cantidad]]</f>
        <v>522.65119499999992</v>
      </c>
      <c r="Q3618" s="282" t="e">
        <f>(INDEX(Tabla6[#All],MATCH(Tabla4[[#This Row],[Producto]],Tabla6[[#All],[PRODUCTO]],0),MATCH(Tabla4[[#This Row],[Mes]],Tabla6[#Headers],0)))</f>
        <v>#N/A</v>
      </c>
      <c r="R3618" s="282" t="e">
        <f>++Tabla4[[#This Row],[Precio Unitario Neto]]-Tabla4[[#This Row],[20.85%]]-Tabla4[[#This Row],[Costo]]</f>
        <v>#N/A</v>
      </c>
      <c r="S3618" s="282" t="e">
        <f>++Tabla4[[#This Row],[U. Bruta Uni]]*Tabla4[[#This Row],[Cantidad]]</f>
        <v>#N/A</v>
      </c>
      <c r="T3618" s="369" t="str">
        <f>VLOOKUP(Tabla4[[#This Row],[Producto]],Tabla6[#All],14,FALSE)</f>
        <v>Termico Solar</v>
      </c>
      <c r="U3618" s="284" t="e">
        <f>(IF(Tabla4[[#This Row],[Familia]]="termico solar",Tabla4[[#This Row],[Utilidad Total]]*6%,Tabla4[[#This Row],[Utilidad Total]]*11.5%))/Tabla4[[#This Row],[Total]]</f>
        <v>#N/A</v>
      </c>
      <c r="V3618" s="282" t="e">
        <f>+Tabla4[[#This Row],[Comisión Calculada]]*Tabla4[[#This Row],[Total]]</f>
        <v>#N/A</v>
      </c>
    </row>
    <row r="3619" spans="1:22" hidden="1" x14ac:dyDescent="0.25">
      <c r="A3619" s="100">
        <v>45823</v>
      </c>
      <c r="B3619" t="str">
        <f t="shared" si="164"/>
        <v>June</v>
      </c>
      <c r="C3619" s="46" t="s">
        <v>280</v>
      </c>
      <c r="F3619" s="366" t="s">
        <v>2113</v>
      </c>
      <c r="G3619" s="46" t="s">
        <v>209</v>
      </c>
      <c r="H3619" s="46">
        <v>1</v>
      </c>
      <c r="I3619" s="51">
        <v>347.48</v>
      </c>
      <c r="J3619" s="281">
        <f>++Tabla4[[#This Row],[Precio Bruto]]*1.16</f>
        <v>403.07679999999999</v>
      </c>
      <c r="K3619" s="281">
        <f>+Tabla4[[#This Row],[Precio Unitario Neto]]*Tabla4[[#Headers],[20.85%]]</f>
        <v>84.041512799999992</v>
      </c>
      <c r="L3619" s="282">
        <f>++Tabla4[[#This Row],[Precio Unitario Neto]]-Tabla4[[#This Row],[20.85%]]</f>
        <v>319.03528719999997</v>
      </c>
      <c r="M3619" s="282" t="e">
        <f>(INDEX(Tabla6[#All],MATCH(Tabla4[[#This Row],[Producto]],Tabla6[[#All],[PRODUCTO]],0),MATCH(Tabla4[[#This Row],[Mes]],Tabla6[#Headers],0)))*(1+Catalogos!$L$2)</f>
        <v>#N/A</v>
      </c>
      <c r="N3619" s="283" t="e">
        <f>+(Tabla4[[#This Row],[Precio Descontado]]-Tabla4[[#This Row],[Precio Base]])*Tabla4[[#This Row],[Cantidad]]</f>
        <v>#N/A</v>
      </c>
      <c r="O3619" s="284" t="e">
        <f>++Tabla4[[#This Row],[Utilidad Total]]/Tabla4[[#This Row],[Total]]</f>
        <v>#N/A</v>
      </c>
      <c r="P3619" s="282">
        <f>++Tabla4[[#This Row],[Precio Descontado]]*Tabla4[[#This Row],[Cantidad]]</f>
        <v>319.03528719999997</v>
      </c>
      <c r="Q3619" s="282" t="e">
        <f>(INDEX(Tabla6[#All],MATCH(Tabla4[[#This Row],[Producto]],Tabla6[[#All],[PRODUCTO]],0),MATCH(Tabla4[[#This Row],[Mes]],Tabla6[#Headers],0)))</f>
        <v>#N/A</v>
      </c>
      <c r="R3619" s="282" t="e">
        <f>++Tabla4[[#This Row],[Precio Unitario Neto]]-Tabla4[[#This Row],[20.85%]]-Tabla4[[#This Row],[Costo]]</f>
        <v>#N/A</v>
      </c>
      <c r="S3619" s="282" t="e">
        <f>++Tabla4[[#This Row],[U. Bruta Uni]]*Tabla4[[#This Row],[Cantidad]]</f>
        <v>#N/A</v>
      </c>
      <c r="T3619" s="369" t="str">
        <f>VLOOKUP(Tabla4[[#This Row],[Producto]],Tabla6[#All],14,FALSE)</f>
        <v>Termico Solar</v>
      </c>
      <c r="U3619" s="284" t="e">
        <f>(IF(Tabla4[[#This Row],[Familia]]="termico solar",Tabla4[[#This Row],[Utilidad Total]]*6%,Tabla4[[#This Row],[Utilidad Total]]*11.5%))/Tabla4[[#This Row],[Total]]</f>
        <v>#N/A</v>
      </c>
      <c r="V3619" s="282" t="e">
        <f>+Tabla4[[#This Row],[Comisión Calculada]]*Tabla4[[#This Row],[Total]]</f>
        <v>#N/A</v>
      </c>
    </row>
    <row r="3620" spans="1:22" hidden="1" x14ac:dyDescent="0.25">
      <c r="A3620" s="100">
        <v>45823</v>
      </c>
      <c r="B3620" t="str">
        <f t="shared" si="164"/>
        <v>June</v>
      </c>
      <c r="C3620" s="46" t="s">
        <v>280</v>
      </c>
      <c r="F3620" s="366" t="s">
        <v>2114</v>
      </c>
      <c r="G3620" s="46" t="s">
        <v>18</v>
      </c>
      <c r="H3620" s="46">
        <v>2</v>
      </c>
      <c r="I3620" s="51">
        <v>5367.65</v>
      </c>
      <c r="J3620" s="281">
        <f>++Tabla4[[#This Row],[Precio Bruto]]*1.16</f>
        <v>6226.4739999999993</v>
      </c>
      <c r="K3620" s="281">
        <f>+Tabla4[[#This Row],[Precio Unitario Neto]]*Tabla4[[#Headers],[20.85%]]</f>
        <v>1298.2198289999999</v>
      </c>
      <c r="L3620" s="282">
        <f>++Tabla4[[#This Row],[Precio Unitario Neto]]-Tabla4[[#This Row],[20.85%]]</f>
        <v>4928.2541709999996</v>
      </c>
      <c r="M3620" s="282" t="e">
        <f>(INDEX(Tabla6[#All],MATCH(Tabla4[[#This Row],[Producto]],Tabla6[[#All],[PRODUCTO]],0),MATCH(Tabla4[[#This Row],[Mes]],Tabla6[#Headers],0)))*(1+Catalogos!$L$2)</f>
        <v>#N/A</v>
      </c>
      <c r="N3620" s="283" t="e">
        <f>+(Tabla4[[#This Row],[Precio Descontado]]-Tabla4[[#This Row],[Precio Base]])*Tabla4[[#This Row],[Cantidad]]</f>
        <v>#N/A</v>
      </c>
      <c r="O3620" s="284" t="e">
        <f>++Tabla4[[#This Row],[Utilidad Total]]/Tabla4[[#This Row],[Total]]</f>
        <v>#N/A</v>
      </c>
      <c r="P3620" s="282">
        <f>++Tabla4[[#This Row],[Precio Descontado]]*Tabla4[[#This Row],[Cantidad]]</f>
        <v>9856.5083419999992</v>
      </c>
      <c r="Q3620" s="282" t="e">
        <f>(INDEX(Tabla6[#All],MATCH(Tabla4[[#This Row],[Producto]],Tabla6[[#All],[PRODUCTO]],0),MATCH(Tabla4[[#This Row],[Mes]],Tabla6[#Headers],0)))</f>
        <v>#N/A</v>
      </c>
      <c r="R3620" s="282" t="e">
        <f>++Tabla4[[#This Row],[Precio Unitario Neto]]-Tabla4[[#This Row],[20.85%]]-Tabla4[[#This Row],[Costo]]</f>
        <v>#N/A</v>
      </c>
      <c r="S3620" s="282" t="e">
        <f>++Tabla4[[#This Row],[U. Bruta Uni]]*Tabla4[[#This Row],[Cantidad]]</f>
        <v>#N/A</v>
      </c>
      <c r="T3620" s="369" t="str">
        <f>VLOOKUP(Tabla4[[#This Row],[Producto]],Tabla6[#All],14,FALSE)</f>
        <v>Termico Solar</v>
      </c>
      <c r="U3620" s="284" t="e">
        <f>(IF(Tabla4[[#This Row],[Familia]]="termico solar",Tabla4[[#This Row],[Utilidad Total]]*6%,Tabla4[[#This Row],[Utilidad Total]]*11.5%))/Tabla4[[#This Row],[Total]]</f>
        <v>#N/A</v>
      </c>
      <c r="V3620" s="282" t="e">
        <f>+Tabla4[[#This Row],[Comisión Calculada]]*Tabla4[[#This Row],[Total]]</f>
        <v>#N/A</v>
      </c>
    </row>
    <row r="3621" spans="1:22" hidden="1" x14ac:dyDescent="0.25">
      <c r="A3621" s="100">
        <v>45823</v>
      </c>
      <c r="B3621" t="str">
        <f t="shared" si="164"/>
        <v>June</v>
      </c>
      <c r="C3621" s="46" t="s">
        <v>280</v>
      </c>
      <c r="F3621" s="366" t="s">
        <v>2114</v>
      </c>
      <c r="G3621" s="46" t="s">
        <v>208</v>
      </c>
      <c r="H3621" s="46">
        <v>2</v>
      </c>
      <c r="I3621" s="51">
        <v>189.75</v>
      </c>
      <c r="J3621" s="281">
        <f>++Tabla4[[#This Row],[Precio Bruto]]*1.16</f>
        <v>220.10999999999999</v>
      </c>
      <c r="K3621" s="281">
        <f>+Tabla4[[#This Row],[Precio Unitario Neto]]*Tabla4[[#Headers],[20.85%]]</f>
        <v>45.892934999999994</v>
      </c>
      <c r="L3621" s="282">
        <f>++Tabla4[[#This Row],[Precio Unitario Neto]]-Tabla4[[#This Row],[20.85%]]</f>
        <v>174.21706499999999</v>
      </c>
      <c r="M3621" s="282" t="e">
        <f>(INDEX(Tabla6[#All],MATCH(Tabla4[[#This Row],[Producto]],Tabla6[[#All],[PRODUCTO]],0),MATCH(Tabla4[[#This Row],[Mes]],Tabla6[#Headers],0)))*(1+Catalogos!$L$2)</f>
        <v>#N/A</v>
      </c>
      <c r="N3621" s="283" t="e">
        <f>+(Tabla4[[#This Row],[Precio Descontado]]-Tabla4[[#This Row],[Precio Base]])*Tabla4[[#This Row],[Cantidad]]</f>
        <v>#N/A</v>
      </c>
      <c r="O3621" s="284" t="e">
        <f>++Tabla4[[#This Row],[Utilidad Total]]/Tabla4[[#This Row],[Total]]</f>
        <v>#N/A</v>
      </c>
      <c r="P3621" s="282">
        <f>++Tabla4[[#This Row],[Precio Descontado]]*Tabla4[[#This Row],[Cantidad]]</f>
        <v>348.43412999999998</v>
      </c>
      <c r="Q3621" s="282" t="e">
        <f>(INDEX(Tabla6[#All],MATCH(Tabla4[[#This Row],[Producto]],Tabla6[[#All],[PRODUCTO]],0),MATCH(Tabla4[[#This Row],[Mes]],Tabla6[#Headers],0)))</f>
        <v>#N/A</v>
      </c>
      <c r="R3621" s="282" t="e">
        <f>++Tabla4[[#This Row],[Precio Unitario Neto]]-Tabla4[[#This Row],[20.85%]]-Tabla4[[#This Row],[Costo]]</f>
        <v>#N/A</v>
      </c>
      <c r="S3621" s="282" t="e">
        <f>++Tabla4[[#This Row],[U. Bruta Uni]]*Tabla4[[#This Row],[Cantidad]]</f>
        <v>#N/A</v>
      </c>
      <c r="T3621" s="369" t="str">
        <f>VLOOKUP(Tabla4[[#This Row],[Producto]],Tabla6[#All],14,FALSE)</f>
        <v>Termico Solar</v>
      </c>
      <c r="U3621" s="284" t="e">
        <f>(IF(Tabla4[[#This Row],[Familia]]="termico solar",Tabla4[[#This Row],[Utilidad Total]]*6%,Tabla4[[#This Row],[Utilidad Total]]*11.5%))/Tabla4[[#This Row],[Total]]</f>
        <v>#N/A</v>
      </c>
      <c r="V3621" s="282" t="e">
        <f>+Tabla4[[#This Row],[Comisión Calculada]]*Tabla4[[#This Row],[Total]]</f>
        <v>#N/A</v>
      </c>
    </row>
    <row r="3622" spans="1:22" hidden="1" x14ac:dyDescent="0.25">
      <c r="A3622" s="100">
        <v>45823</v>
      </c>
      <c r="B3622" t="str">
        <f t="shared" si="164"/>
        <v>June</v>
      </c>
      <c r="C3622" s="46" t="s">
        <v>280</v>
      </c>
      <c r="F3622" s="366" t="s">
        <v>2114</v>
      </c>
      <c r="G3622" s="46" t="s">
        <v>209</v>
      </c>
      <c r="H3622" s="46">
        <v>1</v>
      </c>
      <c r="I3622" s="51">
        <v>347.48</v>
      </c>
      <c r="J3622" s="281">
        <f>++Tabla4[[#This Row],[Precio Bruto]]*1.16</f>
        <v>403.07679999999999</v>
      </c>
      <c r="K3622" s="281">
        <f>+Tabla4[[#This Row],[Precio Unitario Neto]]*Tabla4[[#Headers],[20.85%]]</f>
        <v>84.041512799999992</v>
      </c>
      <c r="L3622" s="282">
        <f>++Tabla4[[#This Row],[Precio Unitario Neto]]-Tabla4[[#This Row],[20.85%]]</f>
        <v>319.03528719999997</v>
      </c>
      <c r="M3622" s="282" t="e">
        <f>(INDEX(Tabla6[#All],MATCH(Tabla4[[#This Row],[Producto]],Tabla6[[#All],[PRODUCTO]],0),MATCH(Tabla4[[#This Row],[Mes]],Tabla6[#Headers],0)))*(1+Catalogos!$L$2)</f>
        <v>#N/A</v>
      </c>
      <c r="N3622" s="283" t="e">
        <f>+(Tabla4[[#This Row],[Precio Descontado]]-Tabla4[[#This Row],[Precio Base]])*Tabla4[[#This Row],[Cantidad]]</f>
        <v>#N/A</v>
      </c>
      <c r="O3622" s="284" t="e">
        <f>++Tabla4[[#This Row],[Utilidad Total]]/Tabla4[[#This Row],[Total]]</f>
        <v>#N/A</v>
      </c>
      <c r="P3622" s="282">
        <f>++Tabla4[[#This Row],[Precio Descontado]]*Tabla4[[#This Row],[Cantidad]]</f>
        <v>319.03528719999997</v>
      </c>
      <c r="Q3622" s="282" t="e">
        <f>(INDEX(Tabla6[#All],MATCH(Tabla4[[#This Row],[Producto]],Tabla6[[#All],[PRODUCTO]],0),MATCH(Tabla4[[#This Row],[Mes]],Tabla6[#Headers],0)))</f>
        <v>#N/A</v>
      </c>
      <c r="R3622" s="282" t="e">
        <f>++Tabla4[[#This Row],[Precio Unitario Neto]]-Tabla4[[#This Row],[20.85%]]-Tabla4[[#This Row],[Costo]]</f>
        <v>#N/A</v>
      </c>
      <c r="S3622" s="282" t="e">
        <f>++Tabla4[[#This Row],[U. Bruta Uni]]*Tabla4[[#This Row],[Cantidad]]</f>
        <v>#N/A</v>
      </c>
      <c r="T3622" s="369" t="str">
        <f>VLOOKUP(Tabla4[[#This Row],[Producto]],Tabla6[#All],14,FALSE)</f>
        <v>Termico Solar</v>
      </c>
      <c r="U3622" s="284" t="e">
        <f>(IF(Tabla4[[#This Row],[Familia]]="termico solar",Tabla4[[#This Row],[Utilidad Total]]*6%,Tabla4[[#This Row],[Utilidad Total]]*11.5%))/Tabla4[[#This Row],[Total]]</f>
        <v>#N/A</v>
      </c>
      <c r="V3622" s="282" t="e">
        <f>+Tabla4[[#This Row],[Comisión Calculada]]*Tabla4[[#This Row],[Total]]</f>
        <v>#N/A</v>
      </c>
    </row>
    <row r="3623" spans="1:22" hidden="1" x14ac:dyDescent="0.25">
      <c r="A3623" s="100">
        <v>45823</v>
      </c>
      <c r="B3623" t="str">
        <f t="shared" si="164"/>
        <v>June</v>
      </c>
      <c r="C3623" s="46" t="s">
        <v>280</v>
      </c>
      <c r="F3623" s="366" t="s">
        <v>2115</v>
      </c>
      <c r="G3623" s="46" t="s">
        <v>83</v>
      </c>
      <c r="H3623" s="46">
        <v>1</v>
      </c>
      <c r="I3623" s="51">
        <v>8858.76</v>
      </c>
      <c r="J3623" s="281">
        <f>++Tabla4[[#This Row],[Precio Bruto]]*1.16</f>
        <v>10276.161599999999</v>
      </c>
      <c r="K3623" s="281">
        <f>+Tabla4[[#This Row],[Precio Unitario Neto]]*Tabla4[[#Headers],[20.85%]]</f>
        <v>2142.5796935999997</v>
      </c>
      <c r="L3623" s="282">
        <f>++Tabla4[[#This Row],[Precio Unitario Neto]]-Tabla4[[#This Row],[20.85%]]</f>
        <v>8133.5819063999998</v>
      </c>
      <c r="M3623" s="282" t="e">
        <f>(INDEX(Tabla6[#All],MATCH(Tabla4[[#This Row],[Producto]],Tabla6[[#All],[PRODUCTO]],0),MATCH(Tabla4[[#This Row],[Mes]],Tabla6[#Headers],0)))*(1+Catalogos!$L$2)</f>
        <v>#N/A</v>
      </c>
      <c r="N3623" s="283" t="e">
        <f>+(Tabla4[[#This Row],[Precio Descontado]]-Tabla4[[#This Row],[Precio Base]])*Tabla4[[#This Row],[Cantidad]]</f>
        <v>#N/A</v>
      </c>
      <c r="O3623" s="284" t="e">
        <f>++Tabla4[[#This Row],[Utilidad Total]]/Tabla4[[#This Row],[Total]]</f>
        <v>#N/A</v>
      </c>
      <c r="P3623" s="282">
        <f>++Tabla4[[#This Row],[Precio Descontado]]*Tabla4[[#This Row],[Cantidad]]</f>
        <v>8133.5819063999998</v>
      </c>
      <c r="Q3623" s="282" t="e">
        <f>(INDEX(Tabla6[#All],MATCH(Tabla4[[#This Row],[Producto]],Tabla6[[#All],[PRODUCTO]],0),MATCH(Tabla4[[#This Row],[Mes]],Tabla6[#Headers],0)))</f>
        <v>#N/A</v>
      </c>
      <c r="R3623" s="282" t="e">
        <f>++Tabla4[[#This Row],[Precio Unitario Neto]]-Tabla4[[#This Row],[20.85%]]-Tabla4[[#This Row],[Costo]]</f>
        <v>#N/A</v>
      </c>
      <c r="S3623" s="282" t="e">
        <f>++Tabla4[[#This Row],[U. Bruta Uni]]*Tabla4[[#This Row],[Cantidad]]</f>
        <v>#N/A</v>
      </c>
      <c r="T3623" s="369" t="str">
        <f>VLOOKUP(Tabla4[[#This Row],[Producto]],Tabla6[#All],14,FALSE)</f>
        <v>Termico Solar</v>
      </c>
      <c r="U3623" s="284" t="e">
        <f>(IF(Tabla4[[#This Row],[Familia]]="termico solar",Tabla4[[#This Row],[Utilidad Total]]*6%,Tabla4[[#This Row],[Utilidad Total]]*11.5%))/Tabla4[[#This Row],[Total]]</f>
        <v>#N/A</v>
      </c>
      <c r="V3623" s="282" t="e">
        <f>+Tabla4[[#This Row],[Comisión Calculada]]*Tabla4[[#This Row],[Total]]</f>
        <v>#N/A</v>
      </c>
    </row>
    <row r="3624" spans="1:22" hidden="1" x14ac:dyDescent="0.25">
      <c r="A3624" s="100">
        <v>45823</v>
      </c>
      <c r="B3624" t="str">
        <f t="shared" si="164"/>
        <v>June</v>
      </c>
      <c r="C3624" s="46" t="s">
        <v>280</v>
      </c>
      <c r="F3624" s="366" t="s">
        <v>2115</v>
      </c>
      <c r="G3624" s="46" t="s">
        <v>17</v>
      </c>
      <c r="H3624" s="46">
        <v>2</v>
      </c>
      <c r="I3624" s="51">
        <v>4622.28</v>
      </c>
      <c r="J3624" s="281">
        <f>++Tabla4[[#This Row],[Precio Bruto]]*1.16</f>
        <v>5361.8447999999989</v>
      </c>
      <c r="K3624" s="281">
        <f>+Tabla4[[#This Row],[Precio Unitario Neto]]*Tabla4[[#Headers],[20.85%]]</f>
        <v>1117.9446407999997</v>
      </c>
      <c r="L3624" s="282">
        <f>++Tabla4[[#This Row],[Precio Unitario Neto]]-Tabla4[[#This Row],[20.85%]]</f>
        <v>4243.9001591999995</v>
      </c>
      <c r="M3624" s="282" t="e">
        <f>(INDEX(Tabla6[#All],MATCH(Tabla4[[#This Row],[Producto]],Tabla6[[#All],[PRODUCTO]],0),MATCH(Tabla4[[#This Row],[Mes]],Tabla6[#Headers],0)))*(1+Catalogos!$L$2)</f>
        <v>#N/A</v>
      </c>
      <c r="N3624" s="283" t="e">
        <f>+(Tabla4[[#This Row],[Precio Descontado]]-Tabla4[[#This Row],[Precio Base]])*Tabla4[[#This Row],[Cantidad]]</f>
        <v>#N/A</v>
      </c>
      <c r="O3624" s="284" t="e">
        <f>++Tabla4[[#This Row],[Utilidad Total]]/Tabla4[[#This Row],[Total]]</f>
        <v>#N/A</v>
      </c>
      <c r="P3624" s="282">
        <f>++Tabla4[[#This Row],[Precio Descontado]]*Tabla4[[#This Row],[Cantidad]]</f>
        <v>8487.800318399999</v>
      </c>
      <c r="Q3624" s="282" t="e">
        <f>(INDEX(Tabla6[#All],MATCH(Tabla4[[#This Row],[Producto]],Tabla6[[#All],[PRODUCTO]],0),MATCH(Tabla4[[#This Row],[Mes]],Tabla6[#Headers],0)))</f>
        <v>#N/A</v>
      </c>
      <c r="R3624" s="282" t="e">
        <f>++Tabla4[[#This Row],[Precio Unitario Neto]]-Tabla4[[#This Row],[20.85%]]-Tabla4[[#This Row],[Costo]]</f>
        <v>#N/A</v>
      </c>
      <c r="S3624" s="282" t="e">
        <f>++Tabla4[[#This Row],[U. Bruta Uni]]*Tabla4[[#This Row],[Cantidad]]</f>
        <v>#N/A</v>
      </c>
      <c r="T3624" s="369" t="str">
        <f>VLOOKUP(Tabla4[[#This Row],[Producto]],Tabla6[#All],14,FALSE)</f>
        <v>Termico Solar</v>
      </c>
      <c r="U3624" s="284" t="e">
        <f>(IF(Tabla4[[#This Row],[Familia]]="termico solar",Tabla4[[#This Row],[Utilidad Total]]*6%,Tabla4[[#This Row],[Utilidad Total]]*11.5%))/Tabla4[[#This Row],[Total]]</f>
        <v>#N/A</v>
      </c>
      <c r="V3624" s="282" t="e">
        <f>+Tabla4[[#This Row],[Comisión Calculada]]*Tabla4[[#This Row],[Total]]</f>
        <v>#N/A</v>
      </c>
    </row>
    <row r="3625" spans="1:22" hidden="1" x14ac:dyDescent="0.25">
      <c r="A3625" s="100">
        <v>45823</v>
      </c>
      <c r="B3625" t="str">
        <f t="shared" si="164"/>
        <v>June</v>
      </c>
      <c r="C3625" s="46" t="s">
        <v>280</v>
      </c>
      <c r="F3625" s="366" t="s">
        <v>2115</v>
      </c>
      <c r="G3625" s="46" t="s">
        <v>566</v>
      </c>
      <c r="H3625" s="46">
        <v>2</v>
      </c>
      <c r="I3625" s="51">
        <v>2109.4499999999998</v>
      </c>
      <c r="J3625" s="281">
        <f>++Tabla4[[#This Row],[Precio Bruto]]*1.16</f>
        <v>2446.9619999999995</v>
      </c>
      <c r="K3625" s="281">
        <f>+Tabla4[[#This Row],[Precio Unitario Neto]]*Tabla4[[#Headers],[20.85%]]</f>
        <v>510.19157699999988</v>
      </c>
      <c r="L3625" s="282">
        <f>++Tabla4[[#This Row],[Precio Unitario Neto]]-Tabla4[[#This Row],[20.85%]]</f>
        <v>1936.7704229999997</v>
      </c>
      <c r="M3625" s="282" t="e">
        <f>(INDEX(Tabla6[#All],MATCH(Tabla4[[#This Row],[Producto]],Tabla6[[#All],[PRODUCTO]],0),MATCH(Tabla4[[#This Row],[Mes]],Tabla6[#Headers],0)))*(1+Catalogos!$L$2)</f>
        <v>#N/A</v>
      </c>
      <c r="N3625" s="283" t="e">
        <f>+(Tabla4[[#This Row],[Precio Descontado]]-Tabla4[[#This Row],[Precio Base]])*Tabla4[[#This Row],[Cantidad]]</f>
        <v>#N/A</v>
      </c>
      <c r="O3625" s="284" t="e">
        <f>++Tabla4[[#This Row],[Utilidad Total]]/Tabla4[[#This Row],[Total]]</f>
        <v>#N/A</v>
      </c>
      <c r="P3625" s="282">
        <f>++Tabla4[[#This Row],[Precio Descontado]]*Tabla4[[#This Row],[Cantidad]]</f>
        <v>3873.5408459999994</v>
      </c>
      <c r="Q3625" s="282" t="e">
        <f>(INDEX(Tabla6[#All],MATCH(Tabla4[[#This Row],[Producto]],Tabla6[[#All],[PRODUCTO]],0),MATCH(Tabla4[[#This Row],[Mes]],Tabla6[#Headers],0)))</f>
        <v>#N/A</v>
      </c>
      <c r="R3625" s="282" t="e">
        <f>++Tabla4[[#This Row],[Precio Unitario Neto]]-Tabla4[[#This Row],[20.85%]]-Tabla4[[#This Row],[Costo]]</f>
        <v>#N/A</v>
      </c>
      <c r="S3625" s="282" t="e">
        <f>++Tabla4[[#This Row],[U. Bruta Uni]]*Tabla4[[#This Row],[Cantidad]]</f>
        <v>#N/A</v>
      </c>
      <c r="T3625" s="369" t="str">
        <f>VLOOKUP(Tabla4[[#This Row],[Producto]],Tabla6[#All],14,FALSE)</f>
        <v>Termico Solar</v>
      </c>
      <c r="U3625" s="284" t="e">
        <f>(IF(Tabla4[[#This Row],[Familia]]="termico solar",Tabla4[[#This Row],[Utilidad Total]]*6%,Tabla4[[#This Row],[Utilidad Total]]*11.5%))/Tabla4[[#This Row],[Total]]</f>
        <v>#N/A</v>
      </c>
      <c r="V3625" s="282" t="e">
        <f>+Tabla4[[#This Row],[Comisión Calculada]]*Tabla4[[#This Row],[Total]]</f>
        <v>#N/A</v>
      </c>
    </row>
    <row r="3626" spans="1:22" hidden="1" x14ac:dyDescent="0.25">
      <c r="A3626" s="100">
        <v>45823</v>
      </c>
      <c r="B3626" t="str">
        <f t="shared" si="164"/>
        <v>June</v>
      </c>
      <c r="C3626" s="46" t="s">
        <v>280</v>
      </c>
      <c r="F3626" s="366" t="s">
        <v>2116</v>
      </c>
      <c r="G3626" s="46" t="s">
        <v>566</v>
      </c>
      <c r="H3626" s="46">
        <v>1</v>
      </c>
      <c r="I3626" s="51">
        <v>2109.4499999999998</v>
      </c>
      <c r="J3626" s="281">
        <f>++Tabla4[[#This Row],[Precio Bruto]]*1.16</f>
        <v>2446.9619999999995</v>
      </c>
      <c r="K3626" s="281">
        <f>+Tabla4[[#This Row],[Precio Unitario Neto]]*Tabla4[[#Headers],[20.85%]]</f>
        <v>510.19157699999988</v>
      </c>
      <c r="L3626" s="282">
        <f>++Tabla4[[#This Row],[Precio Unitario Neto]]-Tabla4[[#This Row],[20.85%]]</f>
        <v>1936.7704229999997</v>
      </c>
      <c r="M3626" s="282" t="e">
        <f>(INDEX(Tabla6[#All],MATCH(Tabla4[[#This Row],[Producto]],Tabla6[[#All],[PRODUCTO]],0),MATCH(Tabla4[[#This Row],[Mes]],Tabla6[#Headers],0)))*(1+Catalogos!$L$2)</f>
        <v>#N/A</v>
      </c>
      <c r="N3626" s="283" t="e">
        <f>+(Tabla4[[#This Row],[Precio Descontado]]-Tabla4[[#This Row],[Precio Base]])*Tabla4[[#This Row],[Cantidad]]</f>
        <v>#N/A</v>
      </c>
      <c r="O3626" s="284" t="e">
        <f>++Tabla4[[#This Row],[Utilidad Total]]/Tabla4[[#This Row],[Total]]</f>
        <v>#N/A</v>
      </c>
      <c r="P3626" s="282">
        <f>++Tabla4[[#This Row],[Precio Descontado]]*Tabla4[[#This Row],[Cantidad]]</f>
        <v>1936.7704229999997</v>
      </c>
      <c r="Q3626" s="282" t="e">
        <f>(INDEX(Tabla6[#All],MATCH(Tabla4[[#This Row],[Producto]],Tabla6[[#All],[PRODUCTO]],0),MATCH(Tabla4[[#This Row],[Mes]],Tabla6[#Headers],0)))</f>
        <v>#N/A</v>
      </c>
      <c r="R3626" s="282" t="e">
        <f>++Tabla4[[#This Row],[Precio Unitario Neto]]-Tabla4[[#This Row],[20.85%]]-Tabla4[[#This Row],[Costo]]</f>
        <v>#N/A</v>
      </c>
      <c r="S3626" s="282" t="e">
        <f>++Tabla4[[#This Row],[U. Bruta Uni]]*Tabla4[[#This Row],[Cantidad]]</f>
        <v>#N/A</v>
      </c>
      <c r="T3626" s="369" t="str">
        <f>VLOOKUP(Tabla4[[#This Row],[Producto]],Tabla6[#All],14,FALSE)</f>
        <v>Termico Solar</v>
      </c>
      <c r="U3626" s="284" t="e">
        <f>(IF(Tabla4[[#This Row],[Familia]]="termico solar",Tabla4[[#This Row],[Utilidad Total]]*6%,Tabla4[[#This Row],[Utilidad Total]]*11.5%))/Tabla4[[#This Row],[Total]]</f>
        <v>#N/A</v>
      </c>
      <c r="V3626" s="282" t="e">
        <f>+Tabla4[[#This Row],[Comisión Calculada]]*Tabla4[[#This Row],[Total]]</f>
        <v>#N/A</v>
      </c>
    </row>
    <row r="3627" spans="1:22" hidden="1" x14ac:dyDescent="0.25">
      <c r="A3627" s="100">
        <v>45823</v>
      </c>
      <c r="B3627" t="str">
        <f t="shared" si="164"/>
        <v>June</v>
      </c>
      <c r="C3627" s="46" t="s">
        <v>280</v>
      </c>
      <c r="F3627" s="366" t="s">
        <v>2116</v>
      </c>
      <c r="G3627" s="46" t="s">
        <v>16</v>
      </c>
      <c r="H3627" s="46">
        <v>1</v>
      </c>
      <c r="I3627" s="51">
        <v>4103.8500000000004</v>
      </c>
      <c r="J3627" s="281">
        <f>++Tabla4[[#This Row],[Precio Bruto]]*1.16</f>
        <v>4760.4660000000003</v>
      </c>
      <c r="K3627" s="281">
        <f>+Tabla4[[#This Row],[Precio Unitario Neto]]*Tabla4[[#Headers],[20.85%]]</f>
        <v>992.55716100000006</v>
      </c>
      <c r="L3627" s="282">
        <f>++Tabla4[[#This Row],[Precio Unitario Neto]]-Tabla4[[#This Row],[20.85%]]</f>
        <v>3767.9088390000002</v>
      </c>
      <c r="M3627" s="282" t="e">
        <f>(INDEX(Tabla6[#All],MATCH(Tabla4[[#This Row],[Producto]],Tabla6[[#All],[PRODUCTO]],0),MATCH(Tabla4[[#This Row],[Mes]],Tabla6[#Headers],0)))*(1+Catalogos!$L$2)</f>
        <v>#N/A</v>
      </c>
      <c r="N3627" s="283" t="e">
        <f>+(Tabla4[[#This Row],[Precio Descontado]]-Tabla4[[#This Row],[Precio Base]])*Tabla4[[#This Row],[Cantidad]]</f>
        <v>#N/A</v>
      </c>
      <c r="O3627" s="284" t="e">
        <f>++Tabla4[[#This Row],[Utilidad Total]]/Tabla4[[#This Row],[Total]]</f>
        <v>#N/A</v>
      </c>
      <c r="P3627" s="282">
        <f>++Tabla4[[#This Row],[Precio Descontado]]*Tabla4[[#This Row],[Cantidad]]</f>
        <v>3767.9088390000002</v>
      </c>
      <c r="Q3627" s="282" t="e">
        <f>(INDEX(Tabla6[#All],MATCH(Tabla4[[#This Row],[Producto]],Tabla6[[#All],[PRODUCTO]],0),MATCH(Tabla4[[#This Row],[Mes]],Tabla6[#Headers],0)))</f>
        <v>#N/A</v>
      </c>
      <c r="R3627" s="282" t="e">
        <f>++Tabla4[[#This Row],[Precio Unitario Neto]]-Tabla4[[#This Row],[20.85%]]-Tabla4[[#This Row],[Costo]]</f>
        <v>#N/A</v>
      </c>
      <c r="S3627" s="282" t="e">
        <f>++Tabla4[[#This Row],[U. Bruta Uni]]*Tabla4[[#This Row],[Cantidad]]</f>
        <v>#N/A</v>
      </c>
      <c r="T3627" s="369" t="str">
        <f>VLOOKUP(Tabla4[[#This Row],[Producto]],Tabla6[#All],14,FALSE)</f>
        <v>Termico Solar</v>
      </c>
      <c r="U3627" s="284" t="e">
        <f>(IF(Tabla4[[#This Row],[Familia]]="termico solar",Tabla4[[#This Row],[Utilidad Total]]*6%,Tabla4[[#This Row],[Utilidad Total]]*11.5%))/Tabla4[[#This Row],[Total]]</f>
        <v>#N/A</v>
      </c>
      <c r="V3627" s="282" t="e">
        <f>+Tabla4[[#This Row],[Comisión Calculada]]*Tabla4[[#This Row],[Total]]</f>
        <v>#N/A</v>
      </c>
    </row>
    <row r="3628" spans="1:22" hidden="1" x14ac:dyDescent="0.25">
      <c r="A3628" s="100">
        <v>45823</v>
      </c>
      <c r="B3628" t="str">
        <f t="shared" si="164"/>
        <v>June</v>
      </c>
      <c r="C3628" s="46" t="s">
        <v>280</v>
      </c>
      <c r="F3628" s="366" t="s">
        <v>2117</v>
      </c>
      <c r="G3628" s="46" t="s">
        <v>17</v>
      </c>
      <c r="H3628" s="46">
        <v>1</v>
      </c>
      <c r="I3628" s="51">
        <v>4622.28</v>
      </c>
      <c r="J3628" s="281">
        <f>++Tabla4[[#This Row],[Precio Bruto]]*1.16</f>
        <v>5361.8447999999989</v>
      </c>
      <c r="K3628" s="281">
        <f>+Tabla4[[#This Row],[Precio Unitario Neto]]*Tabla4[[#Headers],[20.85%]]</f>
        <v>1117.9446407999997</v>
      </c>
      <c r="L3628" s="282">
        <f>++Tabla4[[#This Row],[Precio Unitario Neto]]-Tabla4[[#This Row],[20.85%]]</f>
        <v>4243.9001591999995</v>
      </c>
      <c r="M3628" s="282" t="e">
        <f>(INDEX(Tabla6[#All],MATCH(Tabla4[[#This Row],[Producto]],Tabla6[[#All],[PRODUCTO]],0),MATCH(Tabla4[[#This Row],[Mes]],Tabla6[#Headers],0)))*(1+Catalogos!$L$2)</f>
        <v>#N/A</v>
      </c>
      <c r="N3628" s="283" t="e">
        <f>+(Tabla4[[#This Row],[Precio Descontado]]-Tabla4[[#This Row],[Precio Base]])*Tabla4[[#This Row],[Cantidad]]</f>
        <v>#N/A</v>
      </c>
      <c r="O3628" s="284" t="e">
        <f>++Tabla4[[#This Row],[Utilidad Total]]/Tabla4[[#This Row],[Total]]</f>
        <v>#N/A</v>
      </c>
      <c r="P3628" s="282">
        <f>++Tabla4[[#This Row],[Precio Descontado]]*Tabla4[[#This Row],[Cantidad]]</f>
        <v>4243.9001591999995</v>
      </c>
      <c r="Q3628" s="282" t="e">
        <f>(INDEX(Tabla6[#All],MATCH(Tabla4[[#This Row],[Producto]],Tabla6[[#All],[PRODUCTO]],0),MATCH(Tabla4[[#This Row],[Mes]],Tabla6[#Headers],0)))</f>
        <v>#N/A</v>
      </c>
      <c r="R3628" s="282" t="e">
        <f>++Tabla4[[#This Row],[Precio Unitario Neto]]-Tabla4[[#This Row],[20.85%]]-Tabla4[[#This Row],[Costo]]</f>
        <v>#N/A</v>
      </c>
      <c r="S3628" s="282" t="e">
        <f>++Tabla4[[#This Row],[U. Bruta Uni]]*Tabla4[[#This Row],[Cantidad]]</f>
        <v>#N/A</v>
      </c>
      <c r="T3628" s="369" t="str">
        <f>VLOOKUP(Tabla4[[#This Row],[Producto]],Tabla6[#All],14,FALSE)</f>
        <v>Termico Solar</v>
      </c>
      <c r="U3628" s="284" t="e">
        <f>(IF(Tabla4[[#This Row],[Familia]]="termico solar",Tabla4[[#This Row],[Utilidad Total]]*6%,Tabla4[[#This Row],[Utilidad Total]]*11.5%))/Tabla4[[#This Row],[Total]]</f>
        <v>#N/A</v>
      </c>
      <c r="V3628" s="282" t="e">
        <f>+Tabla4[[#This Row],[Comisión Calculada]]*Tabla4[[#This Row],[Total]]</f>
        <v>#N/A</v>
      </c>
    </row>
    <row r="3629" spans="1:22" hidden="1" x14ac:dyDescent="0.25">
      <c r="A3629" s="100">
        <v>45823</v>
      </c>
      <c r="B3629" t="str">
        <f t="shared" si="164"/>
        <v>June</v>
      </c>
      <c r="C3629" s="46" t="s">
        <v>280</v>
      </c>
      <c r="F3629" s="366" t="s">
        <v>2117</v>
      </c>
      <c r="G3629" s="46" t="s">
        <v>566</v>
      </c>
      <c r="H3629" s="46">
        <v>2</v>
      </c>
      <c r="I3629" s="51">
        <v>2109.4499999999998</v>
      </c>
      <c r="J3629" s="281">
        <f>++Tabla4[[#This Row],[Precio Bruto]]*1.16</f>
        <v>2446.9619999999995</v>
      </c>
      <c r="K3629" s="281">
        <f>+Tabla4[[#This Row],[Precio Unitario Neto]]*Tabla4[[#Headers],[20.85%]]</f>
        <v>510.19157699999988</v>
      </c>
      <c r="L3629" s="282">
        <f>++Tabla4[[#This Row],[Precio Unitario Neto]]-Tabla4[[#This Row],[20.85%]]</f>
        <v>1936.7704229999997</v>
      </c>
      <c r="M3629" s="282" t="e">
        <f>(INDEX(Tabla6[#All],MATCH(Tabla4[[#This Row],[Producto]],Tabla6[[#All],[PRODUCTO]],0),MATCH(Tabla4[[#This Row],[Mes]],Tabla6[#Headers],0)))*(1+Catalogos!$L$2)</f>
        <v>#N/A</v>
      </c>
      <c r="N3629" s="283" t="e">
        <f>+(Tabla4[[#This Row],[Precio Descontado]]-Tabla4[[#This Row],[Precio Base]])*Tabla4[[#This Row],[Cantidad]]</f>
        <v>#N/A</v>
      </c>
      <c r="O3629" s="284" t="e">
        <f>++Tabla4[[#This Row],[Utilidad Total]]/Tabla4[[#This Row],[Total]]</f>
        <v>#N/A</v>
      </c>
      <c r="P3629" s="282">
        <f>++Tabla4[[#This Row],[Precio Descontado]]*Tabla4[[#This Row],[Cantidad]]</f>
        <v>3873.5408459999994</v>
      </c>
      <c r="Q3629" s="282" t="e">
        <f>(INDEX(Tabla6[#All],MATCH(Tabla4[[#This Row],[Producto]],Tabla6[[#All],[PRODUCTO]],0),MATCH(Tabla4[[#This Row],[Mes]],Tabla6[#Headers],0)))</f>
        <v>#N/A</v>
      </c>
      <c r="R3629" s="282" t="e">
        <f>++Tabla4[[#This Row],[Precio Unitario Neto]]-Tabla4[[#This Row],[20.85%]]-Tabla4[[#This Row],[Costo]]</f>
        <v>#N/A</v>
      </c>
      <c r="S3629" s="282" t="e">
        <f>++Tabla4[[#This Row],[U. Bruta Uni]]*Tabla4[[#This Row],[Cantidad]]</f>
        <v>#N/A</v>
      </c>
      <c r="T3629" s="369" t="str">
        <f>VLOOKUP(Tabla4[[#This Row],[Producto]],Tabla6[#All],14,FALSE)</f>
        <v>Termico Solar</v>
      </c>
      <c r="U3629" s="284" t="e">
        <f>(IF(Tabla4[[#This Row],[Familia]]="termico solar",Tabla4[[#This Row],[Utilidad Total]]*6%,Tabla4[[#This Row],[Utilidad Total]]*11.5%))/Tabla4[[#This Row],[Total]]</f>
        <v>#N/A</v>
      </c>
      <c r="V3629" s="282" t="e">
        <f>+Tabla4[[#This Row],[Comisión Calculada]]*Tabla4[[#This Row],[Total]]</f>
        <v>#N/A</v>
      </c>
    </row>
    <row r="3630" spans="1:22" hidden="1" x14ac:dyDescent="0.25">
      <c r="A3630" s="100">
        <v>45823</v>
      </c>
      <c r="B3630" t="str">
        <f t="shared" si="164"/>
        <v>June</v>
      </c>
      <c r="C3630" s="46" t="s">
        <v>280</v>
      </c>
      <c r="F3630" s="366" t="s">
        <v>2117</v>
      </c>
      <c r="G3630" s="46" t="s">
        <v>412</v>
      </c>
      <c r="H3630" s="46">
        <v>1</v>
      </c>
      <c r="I3630" s="51">
        <v>3240.84</v>
      </c>
      <c r="J3630" s="281">
        <f>++Tabla4[[#This Row],[Precio Bruto]]*1.16</f>
        <v>3759.3743999999997</v>
      </c>
      <c r="K3630" s="281">
        <f>+Tabla4[[#This Row],[Precio Unitario Neto]]*Tabla4[[#Headers],[20.85%]]</f>
        <v>783.82956239999987</v>
      </c>
      <c r="L3630" s="282">
        <f>++Tabla4[[#This Row],[Precio Unitario Neto]]-Tabla4[[#This Row],[20.85%]]</f>
        <v>2975.5448375999999</v>
      </c>
      <c r="M3630" s="282" t="e">
        <f>(INDEX(Tabla6[#All],MATCH(Tabla4[[#This Row],[Producto]],Tabla6[[#All],[PRODUCTO]],0),MATCH(Tabla4[[#This Row],[Mes]],Tabla6[#Headers],0)))*(1+Catalogos!$L$2)</f>
        <v>#N/A</v>
      </c>
      <c r="N3630" s="283" t="e">
        <f>+(Tabla4[[#This Row],[Precio Descontado]]-Tabla4[[#This Row],[Precio Base]])*Tabla4[[#This Row],[Cantidad]]</f>
        <v>#N/A</v>
      </c>
      <c r="O3630" s="284" t="e">
        <f>++Tabla4[[#This Row],[Utilidad Total]]/Tabla4[[#This Row],[Total]]</f>
        <v>#N/A</v>
      </c>
      <c r="P3630" s="282">
        <f>++Tabla4[[#This Row],[Precio Descontado]]*Tabla4[[#This Row],[Cantidad]]</f>
        <v>2975.5448375999999</v>
      </c>
      <c r="Q3630" s="282" t="e">
        <f>(INDEX(Tabla6[#All],MATCH(Tabla4[[#This Row],[Producto]],Tabla6[[#All],[PRODUCTO]],0),MATCH(Tabla4[[#This Row],[Mes]],Tabla6[#Headers],0)))</f>
        <v>#N/A</v>
      </c>
      <c r="R3630" s="282" t="e">
        <f>++Tabla4[[#This Row],[Precio Unitario Neto]]-Tabla4[[#This Row],[20.85%]]-Tabla4[[#This Row],[Costo]]</f>
        <v>#N/A</v>
      </c>
      <c r="S3630" s="282" t="e">
        <f>++Tabla4[[#This Row],[U. Bruta Uni]]*Tabla4[[#This Row],[Cantidad]]</f>
        <v>#N/A</v>
      </c>
      <c r="T3630" s="369" t="str">
        <f>VLOOKUP(Tabla4[[#This Row],[Producto]],Tabla6[#All],14,FALSE)</f>
        <v>Termico Solar</v>
      </c>
      <c r="U3630" s="284" t="e">
        <f>(IF(Tabla4[[#This Row],[Familia]]="termico solar",Tabla4[[#This Row],[Utilidad Total]]*6%,Tabla4[[#This Row],[Utilidad Total]]*11.5%))/Tabla4[[#This Row],[Total]]</f>
        <v>#N/A</v>
      </c>
      <c r="V3630" s="282" t="e">
        <f>+Tabla4[[#This Row],[Comisión Calculada]]*Tabla4[[#This Row],[Total]]</f>
        <v>#N/A</v>
      </c>
    </row>
    <row r="3631" spans="1:22" hidden="1" x14ac:dyDescent="0.25">
      <c r="A3631" s="100">
        <v>45823</v>
      </c>
      <c r="B3631" t="str">
        <f t="shared" si="164"/>
        <v>June</v>
      </c>
      <c r="C3631" s="46" t="s">
        <v>280</v>
      </c>
      <c r="F3631" s="366" t="s">
        <v>2118</v>
      </c>
      <c r="G3631" s="46" t="s">
        <v>17</v>
      </c>
      <c r="H3631" s="46">
        <v>2</v>
      </c>
      <c r="I3631" s="51">
        <v>4622.28</v>
      </c>
      <c r="J3631" s="281">
        <f>++Tabla4[[#This Row],[Precio Bruto]]*1.16</f>
        <v>5361.8447999999989</v>
      </c>
      <c r="K3631" s="281">
        <f>+Tabla4[[#This Row],[Precio Unitario Neto]]*Tabla4[[#Headers],[20.85%]]</f>
        <v>1117.9446407999997</v>
      </c>
      <c r="L3631" s="282">
        <f>++Tabla4[[#This Row],[Precio Unitario Neto]]-Tabla4[[#This Row],[20.85%]]</f>
        <v>4243.9001591999995</v>
      </c>
      <c r="M3631" s="282" t="e">
        <f>(INDEX(Tabla6[#All],MATCH(Tabla4[[#This Row],[Producto]],Tabla6[[#All],[PRODUCTO]],0),MATCH(Tabla4[[#This Row],[Mes]],Tabla6[#Headers],0)))*(1+Catalogos!$L$2)</f>
        <v>#N/A</v>
      </c>
      <c r="N3631" s="283" t="e">
        <f>+(Tabla4[[#This Row],[Precio Descontado]]-Tabla4[[#This Row],[Precio Base]])*Tabla4[[#This Row],[Cantidad]]</f>
        <v>#N/A</v>
      </c>
      <c r="O3631" s="284" t="e">
        <f>++Tabla4[[#This Row],[Utilidad Total]]/Tabla4[[#This Row],[Total]]</f>
        <v>#N/A</v>
      </c>
      <c r="P3631" s="282">
        <f>++Tabla4[[#This Row],[Precio Descontado]]*Tabla4[[#This Row],[Cantidad]]</f>
        <v>8487.800318399999</v>
      </c>
      <c r="Q3631" s="282" t="e">
        <f>(INDEX(Tabla6[#All],MATCH(Tabla4[[#This Row],[Producto]],Tabla6[[#All],[PRODUCTO]],0),MATCH(Tabla4[[#This Row],[Mes]],Tabla6[#Headers],0)))</f>
        <v>#N/A</v>
      </c>
      <c r="R3631" s="282" t="e">
        <f>++Tabla4[[#This Row],[Precio Unitario Neto]]-Tabla4[[#This Row],[20.85%]]-Tabla4[[#This Row],[Costo]]</f>
        <v>#N/A</v>
      </c>
      <c r="S3631" s="282" t="e">
        <f>++Tabla4[[#This Row],[U. Bruta Uni]]*Tabla4[[#This Row],[Cantidad]]</f>
        <v>#N/A</v>
      </c>
      <c r="T3631" s="369" t="str">
        <f>VLOOKUP(Tabla4[[#This Row],[Producto]],Tabla6[#All],14,FALSE)</f>
        <v>Termico Solar</v>
      </c>
      <c r="U3631" s="284" t="e">
        <f>(IF(Tabla4[[#This Row],[Familia]]="termico solar",Tabla4[[#This Row],[Utilidad Total]]*6%,Tabla4[[#This Row],[Utilidad Total]]*11.5%))/Tabla4[[#This Row],[Total]]</f>
        <v>#N/A</v>
      </c>
      <c r="V3631" s="282" t="e">
        <f>+Tabla4[[#This Row],[Comisión Calculada]]*Tabla4[[#This Row],[Total]]</f>
        <v>#N/A</v>
      </c>
    </row>
    <row r="3632" spans="1:22" hidden="1" x14ac:dyDescent="0.25">
      <c r="A3632" s="100">
        <v>45823</v>
      </c>
      <c r="B3632" t="str">
        <f t="shared" si="164"/>
        <v>June</v>
      </c>
      <c r="C3632" s="46" t="s">
        <v>280</v>
      </c>
      <c r="F3632" s="366" t="s">
        <v>2118</v>
      </c>
      <c r="G3632" s="46" t="s">
        <v>566</v>
      </c>
      <c r="H3632" s="46">
        <v>1</v>
      </c>
      <c r="I3632" s="51">
        <v>2109.4499999999998</v>
      </c>
      <c r="J3632" s="281">
        <f>++Tabla4[[#This Row],[Precio Bruto]]*1.16</f>
        <v>2446.9619999999995</v>
      </c>
      <c r="K3632" s="281">
        <f>+Tabla4[[#This Row],[Precio Unitario Neto]]*Tabla4[[#Headers],[20.85%]]</f>
        <v>510.19157699999988</v>
      </c>
      <c r="L3632" s="282">
        <f>++Tabla4[[#This Row],[Precio Unitario Neto]]-Tabla4[[#This Row],[20.85%]]</f>
        <v>1936.7704229999997</v>
      </c>
      <c r="M3632" s="282" t="e">
        <f>(INDEX(Tabla6[#All],MATCH(Tabla4[[#This Row],[Producto]],Tabla6[[#All],[PRODUCTO]],0),MATCH(Tabla4[[#This Row],[Mes]],Tabla6[#Headers],0)))*(1+Catalogos!$L$2)</f>
        <v>#N/A</v>
      </c>
      <c r="N3632" s="283" t="e">
        <f>+(Tabla4[[#This Row],[Precio Descontado]]-Tabla4[[#This Row],[Precio Base]])*Tabla4[[#This Row],[Cantidad]]</f>
        <v>#N/A</v>
      </c>
      <c r="O3632" s="284" t="e">
        <f>++Tabla4[[#This Row],[Utilidad Total]]/Tabla4[[#This Row],[Total]]</f>
        <v>#N/A</v>
      </c>
      <c r="P3632" s="282">
        <f>++Tabla4[[#This Row],[Precio Descontado]]*Tabla4[[#This Row],[Cantidad]]</f>
        <v>1936.7704229999997</v>
      </c>
      <c r="Q3632" s="282" t="e">
        <f>(INDEX(Tabla6[#All],MATCH(Tabla4[[#This Row],[Producto]],Tabla6[[#All],[PRODUCTO]],0),MATCH(Tabla4[[#This Row],[Mes]],Tabla6[#Headers],0)))</f>
        <v>#N/A</v>
      </c>
      <c r="R3632" s="282" t="e">
        <f>++Tabla4[[#This Row],[Precio Unitario Neto]]-Tabla4[[#This Row],[20.85%]]-Tabla4[[#This Row],[Costo]]</f>
        <v>#N/A</v>
      </c>
      <c r="S3632" s="282" t="e">
        <f>++Tabla4[[#This Row],[U. Bruta Uni]]*Tabla4[[#This Row],[Cantidad]]</f>
        <v>#N/A</v>
      </c>
      <c r="T3632" s="369" t="str">
        <f>VLOOKUP(Tabla4[[#This Row],[Producto]],Tabla6[#All],14,FALSE)</f>
        <v>Termico Solar</v>
      </c>
      <c r="U3632" s="284" t="e">
        <f>(IF(Tabla4[[#This Row],[Familia]]="termico solar",Tabla4[[#This Row],[Utilidad Total]]*6%,Tabla4[[#This Row],[Utilidad Total]]*11.5%))/Tabla4[[#This Row],[Total]]</f>
        <v>#N/A</v>
      </c>
      <c r="V3632" s="282" t="e">
        <f>+Tabla4[[#This Row],[Comisión Calculada]]*Tabla4[[#This Row],[Total]]</f>
        <v>#N/A</v>
      </c>
    </row>
    <row r="3633" spans="1:22" hidden="1" x14ac:dyDescent="0.25">
      <c r="A3633" s="100">
        <v>45823</v>
      </c>
      <c r="B3633" t="str">
        <f t="shared" si="164"/>
        <v>June</v>
      </c>
      <c r="C3633" s="46" t="s">
        <v>280</v>
      </c>
      <c r="F3633" s="366" t="s">
        <v>2118</v>
      </c>
      <c r="G3633" s="46" t="s">
        <v>16</v>
      </c>
      <c r="H3633" s="46">
        <v>1</v>
      </c>
      <c r="I3633" s="51">
        <v>4103.8500000000004</v>
      </c>
      <c r="J3633" s="281">
        <f>++Tabla4[[#This Row],[Precio Bruto]]*1.16</f>
        <v>4760.4660000000003</v>
      </c>
      <c r="K3633" s="281">
        <f>+Tabla4[[#This Row],[Precio Unitario Neto]]*Tabla4[[#Headers],[20.85%]]</f>
        <v>992.55716100000006</v>
      </c>
      <c r="L3633" s="282">
        <f>++Tabla4[[#This Row],[Precio Unitario Neto]]-Tabla4[[#This Row],[20.85%]]</f>
        <v>3767.9088390000002</v>
      </c>
      <c r="M3633" s="282" t="e">
        <f>(INDEX(Tabla6[#All],MATCH(Tabla4[[#This Row],[Producto]],Tabla6[[#All],[PRODUCTO]],0),MATCH(Tabla4[[#This Row],[Mes]],Tabla6[#Headers],0)))*(1+Catalogos!$L$2)</f>
        <v>#N/A</v>
      </c>
      <c r="N3633" s="283" t="e">
        <f>+(Tabla4[[#This Row],[Precio Descontado]]-Tabla4[[#This Row],[Precio Base]])*Tabla4[[#This Row],[Cantidad]]</f>
        <v>#N/A</v>
      </c>
      <c r="O3633" s="284" t="e">
        <f>++Tabla4[[#This Row],[Utilidad Total]]/Tabla4[[#This Row],[Total]]</f>
        <v>#N/A</v>
      </c>
      <c r="P3633" s="282">
        <f>++Tabla4[[#This Row],[Precio Descontado]]*Tabla4[[#This Row],[Cantidad]]</f>
        <v>3767.9088390000002</v>
      </c>
      <c r="Q3633" s="282" t="e">
        <f>(INDEX(Tabla6[#All],MATCH(Tabla4[[#This Row],[Producto]],Tabla6[[#All],[PRODUCTO]],0),MATCH(Tabla4[[#This Row],[Mes]],Tabla6[#Headers],0)))</f>
        <v>#N/A</v>
      </c>
      <c r="R3633" s="282" t="e">
        <f>++Tabla4[[#This Row],[Precio Unitario Neto]]-Tabla4[[#This Row],[20.85%]]-Tabla4[[#This Row],[Costo]]</f>
        <v>#N/A</v>
      </c>
      <c r="S3633" s="282" t="e">
        <f>++Tabla4[[#This Row],[U. Bruta Uni]]*Tabla4[[#This Row],[Cantidad]]</f>
        <v>#N/A</v>
      </c>
      <c r="T3633" s="369" t="str">
        <f>VLOOKUP(Tabla4[[#This Row],[Producto]],Tabla6[#All],14,FALSE)</f>
        <v>Termico Solar</v>
      </c>
      <c r="U3633" s="284" t="e">
        <f>(IF(Tabla4[[#This Row],[Familia]]="termico solar",Tabla4[[#This Row],[Utilidad Total]]*6%,Tabla4[[#This Row],[Utilidad Total]]*11.5%))/Tabla4[[#This Row],[Total]]</f>
        <v>#N/A</v>
      </c>
      <c r="V3633" s="282" t="e">
        <f>+Tabla4[[#This Row],[Comisión Calculada]]*Tabla4[[#This Row],[Total]]</f>
        <v>#N/A</v>
      </c>
    </row>
    <row r="3634" spans="1:22" hidden="1" x14ac:dyDescent="0.25">
      <c r="A3634" s="100">
        <v>45823</v>
      </c>
      <c r="B3634" t="str">
        <f t="shared" ref="B3634:B3672" si="165">TEXT(A3634, "mmmm")</f>
        <v>June</v>
      </c>
      <c r="C3634" s="46" t="s">
        <v>280</v>
      </c>
      <c r="F3634" s="366" t="s">
        <v>2119</v>
      </c>
      <c r="G3634" s="46" t="s">
        <v>17</v>
      </c>
      <c r="H3634" s="46">
        <v>1</v>
      </c>
      <c r="I3634" s="51">
        <v>4622.28</v>
      </c>
      <c r="J3634" s="281">
        <f>++Tabla4[[#This Row],[Precio Bruto]]*1.16</f>
        <v>5361.8447999999989</v>
      </c>
      <c r="K3634" s="281">
        <f>+Tabla4[[#This Row],[Precio Unitario Neto]]*Tabla4[[#Headers],[20.85%]]</f>
        <v>1117.9446407999997</v>
      </c>
      <c r="L3634" s="282">
        <f>++Tabla4[[#This Row],[Precio Unitario Neto]]-Tabla4[[#This Row],[20.85%]]</f>
        <v>4243.9001591999995</v>
      </c>
      <c r="M3634" s="282" t="e">
        <f>(INDEX(Tabla6[#All],MATCH(Tabla4[[#This Row],[Producto]],Tabla6[[#All],[PRODUCTO]],0),MATCH(Tabla4[[#This Row],[Mes]],Tabla6[#Headers],0)))*(1+Catalogos!$L$2)</f>
        <v>#N/A</v>
      </c>
      <c r="N3634" s="283" t="e">
        <f>+(Tabla4[[#This Row],[Precio Descontado]]-Tabla4[[#This Row],[Precio Base]])*Tabla4[[#This Row],[Cantidad]]</f>
        <v>#N/A</v>
      </c>
      <c r="O3634" s="284" t="e">
        <f>++Tabla4[[#This Row],[Utilidad Total]]/Tabla4[[#This Row],[Total]]</f>
        <v>#N/A</v>
      </c>
      <c r="P3634" s="282">
        <f>++Tabla4[[#This Row],[Precio Descontado]]*Tabla4[[#This Row],[Cantidad]]</f>
        <v>4243.9001591999995</v>
      </c>
      <c r="Q3634" s="282" t="e">
        <f>(INDEX(Tabla6[#All],MATCH(Tabla4[[#This Row],[Producto]],Tabla6[[#All],[PRODUCTO]],0),MATCH(Tabla4[[#This Row],[Mes]],Tabla6[#Headers],0)))</f>
        <v>#N/A</v>
      </c>
      <c r="R3634" s="282" t="e">
        <f>++Tabla4[[#This Row],[Precio Unitario Neto]]-Tabla4[[#This Row],[20.85%]]-Tabla4[[#This Row],[Costo]]</f>
        <v>#N/A</v>
      </c>
      <c r="S3634" s="282" t="e">
        <f>++Tabla4[[#This Row],[U. Bruta Uni]]*Tabla4[[#This Row],[Cantidad]]</f>
        <v>#N/A</v>
      </c>
      <c r="T3634" s="369" t="str">
        <f>VLOOKUP(Tabla4[[#This Row],[Producto]],Tabla6[#All],14,FALSE)</f>
        <v>Termico Solar</v>
      </c>
      <c r="U3634" s="284" t="e">
        <f>(IF(Tabla4[[#This Row],[Familia]]="termico solar",Tabla4[[#This Row],[Utilidad Total]]*6%,Tabla4[[#This Row],[Utilidad Total]]*11.5%))/Tabla4[[#This Row],[Total]]</f>
        <v>#N/A</v>
      </c>
      <c r="V3634" s="282" t="e">
        <f>+Tabla4[[#This Row],[Comisión Calculada]]*Tabla4[[#This Row],[Total]]</f>
        <v>#N/A</v>
      </c>
    </row>
    <row r="3635" spans="1:22" hidden="1" x14ac:dyDescent="0.25">
      <c r="A3635" s="100">
        <v>45823</v>
      </c>
      <c r="B3635" t="str">
        <f t="shared" si="165"/>
        <v>June</v>
      </c>
      <c r="C3635" s="46" t="s">
        <v>280</v>
      </c>
      <c r="F3635" s="366" t="s">
        <v>2119</v>
      </c>
      <c r="G3635" s="46" t="s">
        <v>16</v>
      </c>
      <c r="H3635" s="46">
        <v>1</v>
      </c>
      <c r="I3635" s="51">
        <v>4103.8500000000004</v>
      </c>
      <c r="J3635" s="281">
        <f>++Tabla4[[#This Row],[Precio Bruto]]*1.16</f>
        <v>4760.4660000000003</v>
      </c>
      <c r="K3635" s="281">
        <f>+Tabla4[[#This Row],[Precio Unitario Neto]]*Tabla4[[#Headers],[20.85%]]</f>
        <v>992.55716100000006</v>
      </c>
      <c r="L3635" s="282">
        <f>++Tabla4[[#This Row],[Precio Unitario Neto]]-Tabla4[[#This Row],[20.85%]]</f>
        <v>3767.9088390000002</v>
      </c>
      <c r="M3635" s="282" t="e">
        <f>(INDEX(Tabla6[#All],MATCH(Tabla4[[#This Row],[Producto]],Tabla6[[#All],[PRODUCTO]],0),MATCH(Tabla4[[#This Row],[Mes]],Tabla6[#Headers],0)))*(1+Catalogos!$L$2)</f>
        <v>#N/A</v>
      </c>
      <c r="N3635" s="283" t="e">
        <f>+(Tabla4[[#This Row],[Precio Descontado]]-Tabla4[[#This Row],[Precio Base]])*Tabla4[[#This Row],[Cantidad]]</f>
        <v>#N/A</v>
      </c>
      <c r="O3635" s="284" t="e">
        <f>++Tabla4[[#This Row],[Utilidad Total]]/Tabla4[[#This Row],[Total]]</f>
        <v>#N/A</v>
      </c>
      <c r="P3635" s="282">
        <f>++Tabla4[[#This Row],[Precio Descontado]]*Tabla4[[#This Row],[Cantidad]]</f>
        <v>3767.9088390000002</v>
      </c>
      <c r="Q3635" s="282" t="e">
        <f>(INDEX(Tabla6[#All],MATCH(Tabla4[[#This Row],[Producto]],Tabla6[[#All],[PRODUCTO]],0),MATCH(Tabla4[[#This Row],[Mes]],Tabla6[#Headers],0)))</f>
        <v>#N/A</v>
      </c>
      <c r="R3635" s="282" t="e">
        <f>++Tabla4[[#This Row],[Precio Unitario Neto]]-Tabla4[[#This Row],[20.85%]]-Tabla4[[#This Row],[Costo]]</f>
        <v>#N/A</v>
      </c>
      <c r="S3635" s="282" t="e">
        <f>++Tabla4[[#This Row],[U. Bruta Uni]]*Tabla4[[#This Row],[Cantidad]]</f>
        <v>#N/A</v>
      </c>
      <c r="T3635" s="369" t="str">
        <f>VLOOKUP(Tabla4[[#This Row],[Producto]],Tabla6[#All],14,FALSE)</f>
        <v>Termico Solar</v>
      </c>
      <c r="U3635" s="284" t="e">
        <f>(IF(Tabla4[[#This Row],[Familia]]="termico solar",Tabla4[[#This Row],[Utilidad Total]]*6%,Tabla4[[#This Row],[Utilidad Total]]*11.5%))/Tabla4[[#This Row],[Total]]</f>
        <v>#N/A</v>
      </c>
      <c r="V3635" s="282" t="e">
        <f>+Tabla4[[#This Row],[Comisión Calculada]]*Tabla4[[#This Row],[Total]]</f>
        <v>#N/A</v>
      </c>
    </row>
    <row r="3636" spans="1:22" hidden="1" x14ac:dyDescent="0.25">
      <c r="A3636" s="100">
        <v>45823</v>
      </c>
      <c r="B3636" t="str">
        <f t="shared" si="165"/>
        <v>June</v>
      </c>
      <c r="C3636" s="46" t="s">
        <v>280</v>
      </c>
      <c r="F3636" s="366" t="s">
        <v>2120</v>
      </c>
      <c r="G3636" s="46" t="s">
        <v>17</v>
      </c>
      <c r="H3636" s="46">
        <v>2</v>
      </c>
      <c r="I3636" s="51">
        <v>4622.28</v>
      </c>
      <c r="J3636" s="281">
        <f>++Tabla4[[#This Row],[Precio Bruto]]*1.16</f>
        <v>5361.8447999999989</v>
      </c>
      <c r="K3636" s="281">
        <f>+Tabla4[[#This Row],[Precio Unitario Neto]]*Tabla4[[#Headers],[20.85%]]</f>
        <v>1117.9446407999997</v>
      </c>
      <c r="L3636" s="282">
        <f>++Tabla4[[#This Row],[Precio Unitario Neto]]-Tabla4[[#This Row],[20.85%]]</f>
        <v>4243.9001591999995</v>
      </c>
      <c r="M3636" s="282" t="e">
        <f>(INDEX(Tabla6[#All],MATCH(Tabla4[[#This Row],[Producto]],Tabla6[[#All],[PRODUCTO]],0),MATCH(Tabla4[[#This Row],[Mes]],Tabla6[#Headers],0)))*(1+Catalogos!$L$2)</f>
        <v>#N/A</v>
      </c>
      <c r="N3636" s="283" t="e">
        <f>+(Tabla4[[#This Row],[Precio Descontado]]-Tabla4[[#This Row],[Precio Base]])*Tabla4[[#This Row],[Cantidad]]</f>
        <v>#N/A</v>
      </c>
      <c r="O3636" s="284" t="e">
        <f>++Tabla4[[#This Row],[Utilidad Total]]/Tabla4[[#This Row],[Total]]</f>
        <v>#N/A</v>
      </c>
      <c r="P3636" s="282">
        <f>++Tabla4[[#This Row],[Precio Descontado]]*Tabla4[[#This Row],[Cantidad]]</f>
        <v>8487.800318399999</v>
      </c>
      <c r="Q3636" s="282" t="e">
        <f>(INDEX(Tabla6[#All],MATCH(Tabla4[[#This Row],[Producto]],Tabla6[[#All],[PRODUCTO]],0),MATCH(Tabla4[[#This Row],[Mes]],Tabla6[#Headers],0)))</f>
        <v>#N/A</v>
      </c>
      <c r="R3636" s="282" t="e">
        <f>++Tabla4[[#This Row],[Precio Unitario Neto]]-Tabla4[[#This Row],[20.85%]]-Tabla4[[#This Row],[Costo]]</f>
        <v>#N/A</v>
      </c>
      <c r="S3636" s="282" t="e">
        <f>++Tabla4[[#This Row],[U. Bruta Uni]]*Tabla4[[#This Row],[Cantidad]]</f>
        <v>#N/A</v>
      </c>
      <c r="T3636" s="369" t="str">
        <f>VLOOKUP(Tabla4[[#This Row],[Producto]],Tabla6[#All],14,FALSE)</f>
        <v>Termico Solar</v>
      </c>
      <c r="U3636" s="284" t="e">
        <f>(IF(Tabla4[[#This Row],[Familia]]="termico solar",Tabla4[[#This Row],[Utilidad Total]]*6%,Tabla4[[#This Row],[Utilidad Total]]*11.5%))/Tabla4[[#This Row],[Total]]</f>
        <v>#N/A</v>
      </c>
      <c r="V3636" s="282" t="e">
        <f>+Tabla4[[#This Row],[Comisión Calculada]]*Tabla4[[#This Row],[Total]]</f>
        <v>#N/A</v>
      </c>
    </row>
    <row r="3637" spans="1:22" hidden="1" x14ac:dyDescent="0.25">
      <c r="A3637" s="100">
        <v>45823</v>
      </c>
      <c r="B3637" t="str">
        <f t="shared" si="165"/>
        <v>June</v>
      </c>
      <c r="C3637" s="46" t="s">
        <v>280</v>
      </c>
      <c r="F3637" s="366" t="s">
        <v>2121</v>
      </c>
      <c r="G3637" s="46" t="s">
        <v>83</v>
      </c>
      <c r="H3637" s="46">
        <v>1</v>
      </c>
      <c r="I3637" s="51">
        <v>8858.76</v>
      </c>
      <c r="J3637" s="281">
        <f>++Tabla4[[#This Row],[Precio Bruto]]*1.16</f>
        <v>10276.161599999999</v>
      </c>
      <c r="K3637" s="281">
        <f>+Tabla4[[#This Row],[Precio Unitario Neto]]*Tabla4[[#Headers],[20.85%]]</f>
        <v>2142.5796935999997</v>
      </c>
      <c r="L3637" s="282">
        <f>++Tabla4[[#This Row],[Precio Unitario Neto]]-Tabla4[[#This Row],[20.85%]]</f>
        <v>8133.5819063999998</v>
      </c>
      <c r="M3637" s="282" t="e">
        <f>(INDEX(Tabla6[#All],MATCH(Tabla4[[#This Row],[Producto]],Tabla6[[#All],[PRODUCTO]],0),MATCH(Tabla4[[#This Row],[Mes]],Tabla6[#Headers],0)))*(1+Catalogos!$L$2)</f>
        <v>#N/A</v>
      </c>
      <c r="N3637" s="283" t="e">
        <f>+(Tabla4[[#This Row],[Precio Descontado]]-Tabla4[[#This Row],[Precio Base]])*Tabla4[[#This Row],[Cantidad]]</f>
        <v>#N/A</v>
      </c>
      <c r="O3637" s="284" t="e">
        <f>++Tabla4[[#This Row],[Utilidad Total]]/Tabla4[[#This Row],[Total]]</f>
        <v>#N/A</v>
      </c>
      <c r="P3637" s="282">
        <f>++Tabla4[[#This Row],[Precio Descontado]]*Tabla4[[#This Row],[Cantidad]]</f>
        <v>8133.5819063999998</v>
      </c>
      <c r="Q3637" s="282" t="e">
        <f>(INDEX(Tabla6[#All],MATCH(Tabla4[[#This Row],[Producto]],Tabla6[[#All],[PRODUCTO]],0),MATCH(Tabla4[[#This Row],[Mes]],Tabla6[#Headers],0)))</f>
        <v>#N/A</v>
      </c>
      <c r="R3637" s="282" t="e">
        <f>++Tabla4[[#This Row],[Precio Unitario Neto]]-Tabla4[[#This Row],[20.85%]]-Tabla4[[#This Row],[Costo]]</f>
        <v>#N/A</v>
      </c>
      <c r="S3637" s="282" t="e">
        <f>++Tabla4[[#This Row],[U. Bruta Uni]]*Tabla4[[#This Row],[Cantidad]]</f>
        <v>#N/A</v>
      </c>
      <c r="T3637" s="369" t="str">
        <f>VLOOKUP(Tabla4[[#This Row],[Producto]],Tabla6[#All],14,FALSE)</f>
        <v>Termico Solar</v>
      </c>
      <c r="U3637" s="284" t="e">
        <f>(IF(Tabla4[[#This Row],[Familia]]="termico solar",Tabla4[[#This Row],[Utilidad Total]]*6%,Tabla4[[#This Row],[Utilidad Total]]*11.5%))/Tabla4[[#This Row],[Total]]</f>
        <v>#N/A</v>
      </c>
      <c r="V3637" s="282" t="e">
        <f>+Tabla4[[#This Row],[Comisión Calculada]]*Tabla4[[#This Row],[Total]]</f>
        <v>#N/A</v>
      </c>
    </row>
    <row r="3638" spans="1:22" hidden="1" x14ac:dyDescent="0.25">
      <c r="A3638" s="100">
        <v>45823</v>
      </c>
      <c r="B3638" t="str">
        <f t="shared" si="165"/>
        <v>June</v>
      </c>
      <c r="C3638" s="46" t="s">
        <v>280</v>
      </c>
      <c r="F3638" s="366" t="s">
        <v>2121</v>
      </c>
      <c r="G3638" s="46" t="s">
        <v>17</v>
      </c>
      <c r="H3638" s="46">
        <v>5</v>
      </c>
      <c r="I3638" s="51">
        <v>4622.2800000000007</v>
      </c>
      <c r="J3638" s="281">
        <f>++Tabla4[[#This Row],[Precio Bruto]]*1.16</f>
        <v>5361.8448000000008</v>
      </c>
      <c r="K3638" s="281">
        <f>+Tabla4[[#This Row],[Precio Unitario Neto]]*Tabla4[[#Headers],[20.85%]]</f>
        <v>1117.9446408000001</v>
      </c>
      <c r="L3638" s="282">
        <f>++Tabla4[[#This Row],[Precio Unitario Neto]]-Tabla4[[#This Row],[20.85%]]</f>
        <v>4243.9001592000004</v>
      </c>
      <c r="M3638" s="282" t="e">
        <f>(INDEX(Tabla6[#All],MATCH(Tabla4[[#This Row],[Producto]],Tabla6[[#All],[PRODUCTO]],0),MATCH(Tabla4[[#This Row],[Mes]],Tabla6[#Headers],0)))*(1+Catalogos!$L$2)</f>
        <v>#N/A</v>
      </c>
      <c r="N3638" s="283" t="e">
        <f>+(Tabla4[[#This Row],[Precio Descontado]]-Tabla4[[#This Row],[Precio Base]])*Tabla4[[#This Row],[Cantidad]]</f>
        <v>#N/A</v>
      </c>
      <c r="O3638" s="284" t="e">
        <f>++Tabla4[[#This Row],[Utilidad Total]]/Tabla4[[#This Row],[Total]]</f>
        <v>#N/A</v>
      </c>
      <c r="P3638" s="282">
        <f>++Tabla4[[#This Row],[Precio Descontado]]*Tabla4[[#This Row],[Cantidad]]</f>
        <v>21219.500796</v>
      </c>
      <c r="Q3638" s="282" t="e">
        <f>(INDEX(Tabla6[#All],MATCH(Tabla4[[#This Row],[Producto]],Tabla6[[#All],[PRODUCTO]],0),MATCH(Tabla4[[#This Row],[Mes]],Tabla6[#Headers],0)))</f>
        <v>#N/A</v>
      </c>
      <c r="R3638" s="282" t="e">
        <f>++Tabla4[[#This Row],[Precio Unitario Neto]]-Tabla4[[#This Row],[20.85%]]-Tabla4[[#This Row],[Costo]]</f>
        <v>#N/A</v>
      </c>
      <c r="S3638" s="282" t="e">
        <f>++Tabla4[[#This Row],[U. Bruta Uni]]*Tabla4[[#This Row],[Cantidad]]</f>
        <v>#N/A</v>
      </c>
      <c r="T3638" s="369" t="str">
        <f>VLOOKUP(Tabla4[[#This Row],[Producto]],Tabla6[#All],14,FALSE)</f>
        <v>Termico Solar</v>
      </c>
      <c r="U3638" s="284" t="e">
        <f>(IF(Tabla4[[#This Row],[Familia]]="termico solar",Tabla4[[#This Row],[Utilidad Total]]*6%,Tabla4[[#This Row],[Utilidad Total]]*11.5%))/Tabla4[[#This Row],[Total]]</f>
        <v>#N/A</v>
      </c>
      <c r="V3638" s="282" t="e">
        <f>+Tabla4[[#This Row],[Comisión Calculada]]*Tabla4[[#This Row],[Total]]</f>
        <v>#N/A</v>
      </c>
    </row>
    <row r="3639" spans="1:22" hidden="1" x14ac:dyDescent="0.25">
      <c r="A3639" s="100">
        <v>45823</v>
      </c>
      <c r="B3639" t="str">
        <f t="shared" si="165"/>
        <v>June</v>
      </c>
      <c r="C3639" s="46" t="s">
        <v>280</v>
      </c>
      <c r="F3639" s="366" t="s">
        <v>2122</v>
      </c>
      <c r="G3639" s="46" t="s">
        <v>17</v>
      </c>
      <c r="H3639" s="46">
        <v>1</v>
      </c>
      <c r="I3639" s="51">
        <v>4622.28</v>
      </c>
      <c r="J3639" s="281">
        <f>++Tabla4[[#This Row],[Precio Bruto]]*1.16</f>
        <v>5361.8447999999989</v>
      </c>
      <c r="K3639" s="281">
        <f>+Tabla4[[#This Row],[Precio Unitario Neto]]*Tabla4[[#Headers],[20.85%]]</f>
        <v>1117.9446407999997</v>
      </c>
      <c r="L3639" s="282">
        <f>++Tabla4[[#This Row],[Precio Unitario Neto]]-Tabla4[[#This Row],[20.85%]]</f>
        <v>4243.9001591999995</v>
      </c>
      <c r="M3639" s="282" t="e">
        <f>(INDEX(Tabla6[#All],MATCH(Tabla4[[#This Row],[Producto]],Tabla6[[#All],[PRODUCTO]],0),MATCH(Tabla4[[#This Row],[Mes]],Tabla6[#Headers],0)))*(1+Catalogos!$L$2)</f>
        <v>#N/A</v>
      </c>
      <c r="N3639" s="283" t="e">
        <f>+(Tabla4[[#This Row],[Precio Descontado]]-Tabla4[[#This Row],[Precio Base]])*Tabla4[[#This Row],[Cantidad]]</f>
        <v>#N/A</v>
      </c>
      <c r="O3639" s="284" t="e">
        <f>++Tabla4[[#This Row],[Utilidad Total]]/Tabla4[[#This Row],[Total]]</f>
        <v>#N/A</v>
      </c>
      <c r="P3639" s="282">
        <f>++Tabla4[[#This Row],[Precio Descontado]]*Tabla4[[#This Row],[Cantidad]]</f>
        <v>4243.9001591999995</v>
      </c>
      <c r="Q3639" s="282" t="e">
        <f>(INDEX(Tabla6[#All],MATCH(Tabla4[[#This Row],[Producto]],Tabla6[[#All],[PRODUCTO]],0),MATCH(Tabla4[[#This Row],[Mes]],Tabla6[#Headers],0)))</f>
        <v>#N/A</v>
      </c>
      <c r="R3639" s="282" t="e">
        <f>++Tabla4[[#This Row],[Precio Unitario Neto]]-Tabla4[[#This Row],[20.85%]]-Tabla4[[#This Row],[Costo]]</f>
        <v>#N/A</v>
      </c>
      <c r="S3639" s="282" t="e">
        <f>++Tabla4[[#This Row],[U. Bruta Uni]]*Tabla4[[#This Row],[Cantidad]]</f>
        <v>#N/A</v>
      </c>
      <c r="T3639" s="369" t="str">
        <f>VLOOKUP(Tabla4[[#This Row],[Producto]],Tabla6[#All],14,FALSE)</f>
        <v>Termico Solar</v>
      </c>
      <c r="U3639" s="284" t="e">
        <f>(IF(Tabla4[[#This Row],[Familia]]="termico solar",Tabla4[[#This Row],[Utilidad Total]]*6%,Tabla4[[#This Row],[Utilidad Total]]*11.5%))/Tabla4[[#This Row],[Total]]</f>
        <v>#N/A</v>
      </c>
      <c r="V3639" s="282" t="e">
        <f>+Tabla4[[#This Row],[Comisión Calculada]]*Tabla4[[#This Row],[Total]]</f>
        <v>#N/A</v>
      </c>
    </row>
    <row r="3640" spans="1:22" hidden="1" x14ac:dyDescent="0.25">
      <c r="A3640" s="100">
        <v>45823</v>
      </c>
      <c r="B3640" t="str">
        <f t="shared" si="165"/>
        <v>June</v>
      </c>
      <c r="C3640" s="46" t="s">
        <v>280</v>
      </c>
      <c r="F3640" s="366" t="s">
        <v>2122</v>
      </c>
      <c r="G3640" s="46" t="s">
        <v>566</v>
      </c>
      <c r="H3640" s="46">
        <v>2</v>
      </c>
      <c r="I3640" s="51">
        <v>2109.4499999999998</v>
      </c>
      <c r="J3640" s="281">
        <f>++Tabla4[[#This Row],[Precio Bruto]]*1.16</f>
        <v>2446.9619999999995</v>
      </c>
      <c r="K3640" s="281">
        <f>+Tabla4[[#This Row],[Precio Unitario Neto]]*Tabla4[[#Headers],[20.85%]]</f>
        <v>510.19157699999988</v>
      </c>
      <c r="L3640" s="282">
        <f>++Tabla4[[#This Row],[Precio Unitario Neto]]-Tabla4[[#This Row],[20.85%]]</f>
        <v>1936.7704229999997</v>
      </c>
      <c r="M3640" s="282" t="e">
        <f>(INDEX(Tabla6[#All],MATCH(Tabla4[[#This Row],[Producto]],Tabla6[[#All],[PRODUCTO]],0),MATCH(Tabla4[[#This Row],[Mes]],Tabla6[#Headers],0)))*(1+Catalogos!$L$2)</f>
        <v>#N/A</v>
      </c>
      <c r="N3640" s="283" t="e">
        <f>+(Tabla4[[#This Row],[Precio Descontado]]-Tabla4[[#This Row],[Precio Base]])*Tabla4[[#This Row],[Cantidad]]</f>
        <v>#N/A</v>
      </c>
      <c r="O3640" s="284" t="e">
        <f>++Tabla4[[#This Row],[Utilidad Total]]/Tabla4[[#This Row],[Total]]</f>
        <v>#N/A</v>
      </c>
      <c r="P3640" s="282">
        <f>++Tabla4[[#This Row],[Precio Descontado]]*Tabla4[[#This Row],[Cantidad]]</f>
        <v>3873.5408459999994</v>
      </c>
      <c r="Q3640" s="282" t="e">
        <f>(INDEX(Tabla6[#All],MATCH(Tabla4[[#This Row],[Producto]],Tabla6[[#All],[PRODUCTO]],0),MATCH(Tabla4[[#This Row],[Mes]],Tabla6[#Headers],0)))</f>
        <v>#N/A</v>
      </c>
      <c r="R3640" s="282" t="e">
        <f>++Tabla4[[#This Row],[Precio Unitario Neto]]-Tabla4[[#This Row],[20.85%]]-Tabla4[[#This Row],[Costo]]</f>
        <v>#N/A</v>
      </c>
      <c r="S3640" s="282" t="e">
        <f>++Tabla4[[#This Row],[U. Bruta Uni]]*Tabla4[[#This Row],[Cantidad]]</f>
        <v>#N/A</v>
      </c>
      <c r="T3640" s="369" t="str">
        <f>VLOOKUP(Tabla4[[#This Row],[Producto]],Tabla6[#All],14,FALSE)</f>
        <v>Termico Solar</v>
      </c>
      <c r="U3640" s="284" t="e">
        <f>(IF(Tabla4[[#This Row],[Familia]]="termico solar",Tabla4[[#This Row],[Utilidad Total]]*6%,Tabla4[[#This Row],[Utilidad Total]]*11.5%))/Tabla4[[#This Row],[Total]]</f>
        <v>#N/A</v>
      </c>
      <c r="V3640" s="282" t="e">
        <f>+Tabla4[[#This Row],[Comisión Calculada]]*Tabla4[[#This Row],[Total]]</f>
        <v>#N/A</v>
      </c>
    </row>
    <row r="3641" spans="1:22" hidden="1" x14ac:dyDescent="0.25">
      <c r="A3641" s="100">
        <v>45823</v>
      </c>
      <c r="B3641" t="str">
        <f t="shared" si="165"/>
        <v>June</v>
      </c>
      <c r="C3641" s="46" t="s">
        <v>280</v>
      </c>
      <c r="F3641" s="366" t="s">
        <v>2122</v>
      </c>
      <c r="G3641" s="46" t="s">
        <v>208</v>
      </c>
      <c r="H3641" s="46">
        <v>1</v>
      </c>
      <c r="I3641" s="51">
        <v>189.75</v>
      </c>
      <c r="J3641" s="281">
        <f>++Tabla4[[#This Row],[Precio Bruto]]*1.16</f>
        <v>220.10999999999999</v>
      </c>
      <c r="K3641" s="281">
        <f>+Tabla4[[#This Row],[Precio Unitario Neto]]*Tabla4[[#Headers],[20.85%]]</f>
        <v>45.892934999999994</v>
      </c>
      <c r="L3641" s="282">
        <f>++Tabla4[[#This Row],[Precio Unitario Neto]]-Tabla4[[#This Row],[20.85%]]</f>
        <v>174.21706499999999</v>
      </c>
      <c r="M3641" s="282" t="e">
        <f>(INDEX(Tabla6[#All],MATCH(Tabla4[[#This Row],[Producto]],Tabla6[[#All],[PRODUCTO]],0),MATCH(Tabla4[[#This Row],[Mes]],Tabla6[#Headers],0)))*(1+Catalogos!$L$2)</f>
        <v>#N/A</v>
      </c>
      <c r="N3641" s="283" t="e">
        <f>+(Tabla4[[#This Row],[Precio Descontado]]-Tabla4[[#This Row],[Precio Base]])*Tabla4[[#This Row],[Cantidad]]</f>
        <v>#N/A</v>
      </c>
      <c r="O3641" s="284" t="e">
        <f>++Tabla4[[#This Row],[Utilidad Total]]/Tabla4[[#This Row],[Total]]</f>
        <v>#N/A</v>
      </c>
      <c r="P3641" s="282">
        <f>++Tabla4[[#This Row],[Precio Descontado]]*Tabla4[[#This Row],[Cantidad]]</f>
        <v>174.21706499999999</v>
      </c>
      <c r="Q3641" s="282" t="e">
        <f>(INDEX(Tabla6[#All],MATCH(Tabla4[[#This Row],[Producto]],Tabla6[[#All],[PRODUCTO]],0),MATCH(Tabla4[[#This Row],[Mes]],Tabla6[#Headers],0)))</f>
        <v>#N/A</v>
      </c>
      <c r="R3641" s="282" t="e">
        <f>++Tabla4[[#This Row],[Precio Unitario Neto]]-Tabla4[[#This Row],[20.85%]]-Tabla4[[#This Row],[Costo]]</f>
        <v>#N/A</v>
      </c>
      <c r="S3641" s="282" t="e">
        <f>++Tabla4[[#This Row],[U. Bruta Uni]]*Tabla4[[#This Row],[Cantidad]]</f>
        <v>#N/A</v>
      </c>
      <c r="T3641" s="369" t="str">
        <f>VLOOKUP(Tabla4[[#This Row],[Producto]],Tabla6[#All],14,FALSE)</f>
        <v>Termico Solar</v>
      </c>
      <c r="U3641" s="284" t="e">
        <f>(IF(Tabla4[[#This Row],[Familia]]="termico solar",Tabla4[[#This Row],[Utilidad Total]]*6%,Tabla4[[#This Row],[Utilidad Total]]*11.5%))/Tabla4[[#This Row],[Total]]</f>
        <v>#N/A</v>
      </c>
      <c r="V3641" s="282" t="e">
        <f>+Tabla4[[#This Row],[Comisión Calculada]]*Tabla4[[#This Row],[Total]]</f>
        <v>#N/A</v>
      </c>
    </row>
    <row r="3642" spans="1:22" hidden="1" x14ac:dyDescent="0.25">
      <c r="A3642" s="100">
        <v>45823</v>
      </c>
      <c r="B3642" t="str">
        <f t="shared" si="165"/>
        <v>June</v>
      </c>
      <c r="C3642" s="46" t="s">
        <v>280</v>
      </c>
      <c r="F3642" s="366" t="s">
        <v>2123</v>
      </c>
      <c r="G3642" s="46" t="s">
        <v>412</v>
      </c>
      <c r="H3642" s="46">
        <v>1</v>
      </c>
      <c r="I3642" s="51">
        <v>3240.84</v>
      </c>
      <c r="J3642" s="281">
        <f>++Tabla4[[#This Row],[Precio Bruto]]*1.16</f>
        <v>3759.3743999999997</v>
      </c>
      <c r="K3642" s="281">
        <f>+Tabla4[[#This Row],[Precio Unitario Neto]]*Tabla4[[#Headers],[20.85%]]</f>
        <v>783.82956239999987</v>
      </c>
      <c r="L3642" s="282">
        <f>++Tabla4[[#This Row],[Precio Unitario Neto]]-Tabla4[[#This Row],[20.85%]]</f>
        <v>2975.5448375999999</v>
      </c>
      <c r="M3642" s="282" t="e">
        <f>(INDEX(Tabla6[#All],MATCH(Tabla4[[#This Row],[Producto]],Tabla6[[#All],[PRODUCTO]],0),MATCH(Tabla4[[#This Row],[Mes]],Tabla6[#Headers],0)))*(1+Catalogos!$L$2)</f>
        <v>#N/A</v>
      </c>
      <c r="N3642" s="283" t="e">
        <f>+(Tabla4[[#This Row],[Precio Descontado]]-Tabla4[[#This Row],[Precio Base]])*Tabla4[[#This Row],[Cantidad]]</f>
        <v>#N/A</v>
      </c>
      <c r="O3642" s="284" t="e">
        <f>++Tabla4[[#This Row],[Utilidad Total]]/Tabla4[[#This Row],[Total]]</f>
        <v>#N/A</v>
      </c>
      <c r="P3642" s="282">
        <f>++Tabla4[[#This Row],[Precio Descontado]]*Tabla4[[#This Row],[Cantidad]]</f>
        <v>2975.5448375999999</v>
      </c>
      <c r="Q3642" s="282" t="e">
        <f>(INDEX(Tabla6[#All],MATCH(Tabla4[[#This Row],[Producto]],Tabla6[[#All],[PRODUCTO]],0),MATCH(Tabla4[[#This Row],[Mes]],Tabla6[#Headers],0)))</f>
        <v>#N/A</v>
      </c>
      <c r="R3642" s="282" t="e">
        <f>++Tabla4[[#This Row],[Precio Unitario Neto]]-Tabla4[[#This Row],[20.85%]]-Tabla4[[#This Row],[Costo]]</f>
        <v>#N/A</v>
      </c>
      <c r="S3642" s="282" t="e">
        <f>++Tabla4[[#This Row],[U. Bruta Uni]]*Tabla4[[#This Row],[Cantidad]]</f>
        <v>#N/A</v>
      </c>
      <c r="T3642" s="369" t="str">
        <f>VLOOKUP(Tabla4[[#This Row],[Producto]],Tabla6[#All],14,FALSE)</f>
        <v>Termico Solar</v>
      </c>
      <c r="U3642" s="284" t="e">
        <f>(IF(Tabla4[[#This Row],[Familia]]="termico solar",Tabla4[[#This Row],[Utilidad Total]]*6%,Tabla4[[#This Row],[Utilidad Total]]*11.5%))/Tabla4[[#This Row],[Total]]</f>
        <v>#N/A</v>
      </c>
      <c r="V3642" s="282" t="e">
        <f>+Tabla4[[#This Row],[Comisión Calculada]]*Tabla4[[#This Row],[Total]]</f>
        <v>#N/A</v>
      </c>
    </row>
    <row r="3643" spans="1:22" hidden="1" x14ac:dyDescent="0.25">
      <c r="A3643" s="100">
        <v>45823</v>
      </c>
      <c r="B3643" t="str">
        <f t="shared" si="165"/>
        <v>June</v>
      </c>
      <c r="C3643" s="46" t="s">
        <v>280</v>
      </c>
      <c r="F3643" s="366" t="s">
        <v>2123</v>
      </c>
      <c r="G3643" s="46" t="s">
        <v>208</v>
      </c>
      <c r="H3643" s="46">
        <v>2</v>
      </c>
      <c r="I3643" s="51">
        <v>189.75</v>
      </c>
      <c r="J3643" s="281">
        <f>++Tabla4[[#This Row],[Precio Bruto]]*1.16</f>
        <v>220.10999999999999</v>
      </c>
      <c r="K3643" s="281">
        <f>+Tabla4[[#This Row],[Precio Unitario Neto]]*Tabla4[[#Headers],[20.85%]]</f>
        <v>45.892934999999994</v>
      </c>
      <c r="L3643" s="282">
        <f>++Tabla4[[#This Row],[Precio Unitario Neto]]-Tabla4[[#This Row],[20.85%]]</f>
        <v>174.21706499999999</v>
      </c>
      <c r="M3643" s="282" t="e">
        <f>(INDEX(Tabla6[#All],MATCH(Tabla4[[#This Row],[Producto]],Tabla6[[#All],[PRODUCTO]],0),MATCH(Tabla4[[#This Row],[Mes]],Tabla6[#Headers],0)))*(1+Catalogos!$L$2)</f>
        <v>#N/A</v>
      </c>
      <c r="N3643" s="283" t="e">
        <f>+(Tabla4[[#This Row],[Precio Descontado]]-Tabla4[[#This Row],[Precio Base]])*Tabla4[[#This Row],[Cantidad]]</f>
        <v>#N/A</v>
      </c>
      <c r="O3643" s="284" t="e">
        <f>++Tabla4[[#This Row],[Utilidad Total]]/Tabla4[[#This Row],[Total]]</f>
        <v>#N/A</v>
      </c>
      <c r="P3643" s="282">
        <f>++Tabla4[[#This Row],[Precio Descontado]]*Tabla4[[#This Row],[Cantidad]]</f>
        <v>348.43412999999998</v>
      </c>
      <c r="Q3643" s="282" t="e">
        <f>(INDEX(Tabla6[#All],MATCH(Tabla4[[#This Row],[Producto]],Tabla6[[#All],[PRODUCTO]],0),MATCH(Tabla4[[#This Row],[Mes]],Tabla6[#Headers],0)))</f>
        <v>#N/A</v>
      </c>
      <c r="R3643" s="282" t="e">
        <f>++Tabla4[[#This Row],[Precio Unitario Neto]]-Tabla4[[#This Row],[20.85%]]-Tabla4[[#This Row],[Costo]]</f>
        <v>#N/A</v>
      </c>
      <c r="S3643" s="282" t="e">
        <f>++Tabla4[[#This Row],[U. Bruta Uni]]*Tabla4[[#This Row],[Cantidad]]</f>
        <v>#N/A</v>
      </c>
      <c r="T3643" s="369" t="str">
        <f>VLOOKUP(Tabla4[[#This Row],[Producto]],Tabla6[#All],14,FALSE)</f>
        <v>Termico Solar</v>
      </c>
      <c r="U3643" s="284" t="e">
        <f>(IF(Tabla4[[#This Row],[Familia]]="termico solar",Tabla4[[#This Row],[Utilidad Total]]*6%,Tabla4[[#This Row],[Utilidad Total]]*11.5%))/Tabla4[[#This Row],[Total]]</f>
        <v>#N/A</v>
      </c>
      <c r="V3643" s="282" t="e">
        <f>+Tabla4[[#This Row],[Comisión Calculada]]*Tabla4[[#This Row],[Total]]</f>
        <v>#N/A</v>
      </c>
    </row>
    <row r="3644" spans="1:22" hidden="1" x14ac:dyDescent="0.25">
      <c r="A3644" s="100">
        <v>45823</v>
      </c>
      <c r="B3644" t="str">
        <f t="shared" si="165"/>
        <v>June</v>
      </c>
      <c r="C3644" s="46" t="s">
        <v>280</v>
      </c>
      <c r="F3644" s="366" t="s">
        <v>2124</v>
      </c>
      <c r="G3644" s="46" t="s">
        <v>17</v>
      </c>
      <c r="H3644" s="46">
        <v>2</v>
      </c>
      <c r="I3644" s="51">
        <v>4622.28</v>
      </c>
      <c r="J3644" s="281">
        <f>++Tabla4[[#This Row],[Precio Bruto]]*1.16</f>
        <v>5361.8447999999989</v>
      </c>
      <c r="K3644" s="281">
        <f>+Tabla4[[#This Row],[Precio Unitario Neto]]*Tabla4[[#Headers],[20.85%]]</f>
        <v>1117.9446407999997</v>
      </c>
      <c r="L3644" s="282">
        <f>++Tabla4[[#This Row],[Precio Unitario Neto]]-Tabla4[[#This Row],[20.85%]]</f>
        <v>4243.9001591999995</v>
      </c>
      <c r="M3644" s="282" t="e">
        <f>(INDEX(Tabla6[#All],MATCH(Tabla4[[#This Row],[Producto]],Tabla6[[#All],[PRODUCTO]],0),MATCH(Tabla4[[#This Row],[Mes]],Tabla6[#Headers],0)))*(1+Catalogos!$L$2)</f>
        <v>#N/A</v>
      </c>
      <c r="N3644" s="283" t="e">
        <f>+(Tabla4[[#This Row],[Precio Descontado]]-Tabla4[[#This Row],[Precio Base]])*Tabla4[[#This Row],[Cantidad]]</f>
        <v>#N/A</v>
      </c>
      <c r="O3644" s="284" t="e">
        <f>++Tabla4[[#This Row],[Utilidad Total]]/Tabla4[[#This Row],[Total]]</f>
        <v>#N/A</v>
      </c>
      <c r="P3644" s="282">
        <f>++Tabla4[[#This Row],[Precio Descontado]]*Tabla4[[#This Row],[Cantidad]]</f>
        <v>8487.800318399999</v>
      </c>
      <c r="Q3644" s="282" t="e">
        <f>(INDEX(Tabla6[#All],MATCH(Tabla4[[#This Row],[Producto]],Tabla6[[#All],[PRODUCTO]],0),MATCH(Tabla4[[#This Row],[Mes]],Tabla6[#Headers],0)))</f>
        <v>#N/A</v>
      </c>
      <c r="R3644" s="282" t="e">
        <f>++Tabla4[[#This Row],[Precio Unitario Neto]]-Tabla4[[#This Row],[20.85%]]-Tabla4[[#This Row],[Costo]]</f>
        <v>#N/A</v>
      </c>
      <c r="S3644" s="282" t="e">
        <f>++Tabla4[[#This Row],[U. Bruta Uni]]*Tabla4[[#This Row],[Cantidad]]</f>
        <v>#N/A</v>
      </c>
      <c r="T3644" s="369" t="str">
        <f>VLOOKUP(Tabla4[[#This Row],[Producto]],Tabla6[#All],14,FALSE)</f>
        <v>Termico Solar</v>
      </c>
      <c r="U3644" s="284" t="e">
        <f>(IF(Tabla4[[#This Row],[Familia]]="termico solar",Tabla4[[#This Row],[Utilidad Total]]*6%,Tabla4[[#This Row],[Utilidad Total]]*11.5%))/Tabla4[[#This Row],[Total]]</f>
        <v>#N/A</v>
      </c>
      <c r="V3644" s="282" t="e">
        <f>+Tabla4[[#This Row],[Comisión Calculada]]*Tabla4[[#This Row],[Total]]</f>
        <v>#N/A</v>
      </c>
    </row>
    <row r="3645" spans="1:22" hidden="1" x14ac:dyDescent="0.25">
      <c r="A3645" s="100">
        <v>45823</v>
      </c>
      <c r="B3645" t="str">
        <f t="shared" si="165"/>
        <v>June</v>
      </c>
      <c r="C3645" s="46" t="s">
        <v>280</v>
      </c>
      <c r="F3645" s="366" t="s">
        <v>2124</v>
      </c>
      <c r="G3645" s="46" t="s">
        <v>18</v>
      </c>
      <c r="H3645" s="46">
        <v>4</v>
      </c>
      <c r="I3645" s="51">
        <v>5367.65</v>
      </c>
      <c r="J3645" s="281">
        <f>++Tabla4[[#This Row],[Precio Bruto]]*1.16</f>
        <v>6226.4739999999993</v>
      </c>
      <c r="K3645" s="281">
        <f>+Tabla4[[#This Row],[Precio Unitario Neto]]*Tabla4[[#Headers],[20.85%]]</f>
        <v>1298.2198289999999</v>
      </c>
      <c r="L3645" s="282">
        <f>++Tabla4[[#This Row],[Precio Unitario Neto]]-Tabla4[[#This Row],[20.85%]]</f>
        <v>4928.2541709999996</v>
      </c>
      <c r="M3645" s="282" t="e">
        <f>(INDEX(Tabla6[#All],MATCH(Tabla4[[#This Row],[Producto]],Tabla6[[#All],[PRODUCTO]],0),MATCH(Tabla4[[#This Row],[Mes]],Tabla6[#Headers],0)))*(1+Catalogos!$L$2)</f>
        <v>#N/A</v>
      </c>
      <c r="N3645" s="283" t="e">
        <f>+(Tabla4[[#This Row],[Precio Descontado]]-Tabla4[[#This Row],[Precio Base]])*Tabla4[[#This Row],[Cantidad]]</f>
        <v>#N/A</v>
      </c>
      <c r="O3645" s="284" t="e">
        <f>++Tabla4[[#This Row],[Utilidad Total]]/Tabla4[[#This Row],[Total]]</f>
        <v>#N/A</v>
      </c>
      <c r="P3645" s="282">
        <f>++Tabla4[[#This Row],[Precio Descontado]]*Tabla4[[#This Row],[Cantidad]]</f>
        <v>19713.016683999998</v>
      </c>
      <c r="Q3645" s="282" t="e">
        <f>(INDEX(Tabla6[#All],MATCH(Tabla4[[#This Row],[Producto]],Tabla6[[#All],[PRODUCTO]],0),MATCH(Tabla4[[#This Row],[Mes]],Tabla6[#Headers],0)))</f>
        <v>#N/A</v>
      </c>
      <c r="R3645" s="282" t="e">
        <f>++Tabla4[[#This Row],[Precio Unitario Neto]]-Tabla4[[#This Row],[20.85%]]-Tabla4[[#This Row],[Costo]]</f>
        <v>#N/A</v>
      </c>
      <c r="S3645" s="282" t="e">
        <f>++Tabla4[[#This Row],[U. Bruta Uni]]*Tabla4[[#This Row],[Cantidad]]</f>
        <v>#N/A</v>
      </c>
      <c r="T3645" s="369" t="str">
        <f>VLOOKUP(Tabla4[[#This Row],[Producto]],Tabla6[#All],14,FALSE)</f>
        <v>Termico Solar</v>
      </c>
      <c r="U3645" s="284" t="e">
        <f>(IF(Tabla4[[#This Row],[Familia]]="termico solar",Tabla4[[#This Row],[Utilidad Total]]*6%,Tabla4[[#This Row],[Utilidad Total]]*11.5%))/Tabla4[[#This Row],[Total]]</f>
        <v>#N/A</v>
      </c>
      <c r="V3645" s="282" t="e">
        <f>+Tabla4[[#This Row],[Comisión Calculada]]*Tabla4[[#This Row],[Total]]</f>
        <v>#N/A</v>
      </c>
    </row>
    <row r="3646" spans="1:22" hidden="1" x14ac:dyDescent="0.25">
      <c r="A3646" s="100">
        <v>45823</v>
      </c>
      <c r="B3646" t="str">
        <f t="shared" si="165"/>
        <v>June</v>
      </c>
      <c r="C3646" s="46" t="s">
        <v>280</v>
      </c>
      <c r="F3646" s="366" t="s">
        <v>2124</v>
      </c>
      <c r="G3646" s="46" t="s">
        <v>19</v>
      </c>
      <c r="H3646" s="46">
        <v>1</v>
      </c>
      <c r="I3646" s="51">
        <v>6412.03</v>
      </c>
      <c r="J3646" s="281">
        <f>++Tabla4[[#This Row],[Precio Bruto]]*1.16</f>
        <v>7437.9547999999995</v>
      </c>
      <c r="K3646" s="281">
        <f>+Tabla4[[#This Row],[Precio Unitario Neto]]*Tabla4[[#Headers],[20.85%]]</f>
        <v>1550.8135757999999</v>
      </c>
      <c r="L3646" s="282">
        <f>++Tabla4[[#This Row],[Precio Unitario Neto]]-Tabla4[[#This Row],[20.85%]]</f>
        <v>5887.1412241999997</v>
      </c>
      <c r="M3646" s="282" t="e">
        <f>(INDEX(Tabla6[#All],MATCH(Tabla4[[#This Row],[Producto]],Tabla6[[#All],[PRODUCTO]],0),MATCH(Tabla4[[#This Row],[Mes]],Tabla6[#Headers],0)))*(1+Catalogos!$L$2)</f>
        <v>#N/A</v>
      </c>
      <c r="N3646" s="283" t="e">
        <f>+(Tabla4[[#This Row],[Precio Descontado]]-Tabla4[[#This Row],[Precio Base]])*Tabla4[[#This Row],[Cantidad]]</f>
        <v>#N/A</v>
      </c>
      <c r="O3646" s="284" t="e">
        <f>++Tabla4[[#This Row],[Utilidad Total]]/Tabla4[[#This Row],[Total]]</f>
        <v>#N/A</v>
      </c>
      <c r="P3646" s="282">
        <f>++Tabla4[[#This Row],[Precio Descontado]]*Tabla4[[#This Row],[Cantidad]]</f>
        <v>5887.1412241999997</v>
      </c>
      <c r="Q3646" s="282" t="e">
        <f>(INDEX(Tabla6[#All],MATCH(Tabla4[[#This Row],[Producto]],Tabla6[[#All],[PRODUCTO]],0),MATCH(Tabla4[[#This Row],[Mes]],Tabla6[#Headers],0)))</f>
        <v>#N/A</v>
      </c>
      <c r="R3646" s="282" t="e">
        <f>++Tabla4[[#This Row],[Precio Unitario Neto]]-Tabla4[[#This Row],[20.85%]]-Tabla4[[#This Row],[Costo]]</f>
        <v>#N/A</v>
      </c>
      <c r="S3646" s="282" t="e">
        <f>++Tabla4[[#This Row],[U. Bruta Uni]]*Tabla4[[#This Row],[Cantidad]]</f>
        <v>#N/A</v>
      </c>
      <c r="T3646" s="369" t="str">
        <f>VLOOKUP(Tabla4[[#This Row],[Producto]],Tabla6[#All],14,FALSE)</f>
        <v>Termico Solar</v>
      </c>
      <c r="U3646" s="284" t="e">
        <f>(IF(Tabla4[[#This Row],[Familia]]="termico solar",Tabla4[[#This Row],[Utilidad Total]]*6%,Tabla4[[#This Row],[Utilidad Total]]*11.5%))/Tabla4[[#This Row],[Total]]</f>
        <v>#N/A</v>
      </c>
      <c r="V3646" s="282" t="e">
        <f>+Tabla4[[#This Row],[Comisión Calculada]]*Tabla4[[#This Row],[Total]]</f>
        <v>#N/A</v>
      </c>
    </row>
    <row r="3647" spans="1:22" hidden="1" x14ac:dyDescent="0.25">
      <c r="A3647" s="100">
        <v>45823</v>
      </c>
      <c r="B3647" t="str">
        <f t="shared" si="165"/>
        <v>June</v>
      </c>
      <c r="C3647" s="46" t="s">
        <v>280</v>
      </c>
      <c r="F3647" s="366" t="s">
        <v>2124</v>
      </c>
      <c r="G3647" s="46" t="s">
        <v>566</v>
      </c>
      <c r="H3647" s="46">
        <v>1</v>
      </c>
      <c r="I3647" s="51">
        <v>2109.4499999999998</v>
      </c>
      <c r="J3647" s="281">
        <f>++Tabla4[[#This Row],[Precio Bruto]]*1.16</f>
        <v>2446.9619999999995</v>
      </c>
      <c r="K3647" s="281">
        <f>+Tabla4[[#This Row],[Precio Unitario Neto]]*Tabla4[[#Headers],[20.85%]]</f>
        <v>510.19157699999988</v>
      </c>
      <c r="L3647" s="282">
        <f>++Tabla4[[#This Row],[Precio Unitario Neto]]-Tabla4[[#This Row],[20.85%]]</f>
        <v>1936.7704229999997</v>
      </c>
      <c r="M3647" s="282" t="e">
        <f>(INDEX(Tabla6[#All],MATCH(Tabla4[[#This Row],[Producto]],Tabla6[[#All],[PRODUCTO]],0),MATCH(Tabla4[[#This Row],[Mes]],Tabla6[#Headers],0)))*(1+Catalogos!$L$2)</f>
        <v>#N/A</v>
      </c>
      <c r="N3647" s="283" t="e">
        <f>+(Tabla4[[#This Row],[Precio Descontado]]-Tabla4[[#This Row],[Precio Base]])*Tabla4[[#This Row],[Cantidad]]</f>
        <v>#N/A</v>
      </c>
      <c r="O3647" s="284" t="e">
        <f>++Tabla4[[#This Row],[Utilidad Total]]/Tabla4[[#This Row],[Total]]</f>
        <v>#N/A</v>
      </c>
      <c r="P3647" s="282">
        <f>++Tabla4[[#This Row],[Precio Descontado]]*Tabla4[[#This Row],[Cantidad]]</f>
        <v>1936.7704229999997</v>
      </c>
      <c r="Q3647" s="282" t="e">
        <f>(INDEX(Tabla6[#All],MATCH(Tabla4[[#This Row],[Producto]],Tabla6[[#All],[PRODUCTO]],0),MATCH(Tabla4[[#This Row],[Mes]],Tabla6[#Headers],0)))</f>
        <v>#N/A</v>
      </c>
      <c r="R3647" s="282" t="e">
        <f>++Tabla4[[#This Row],[Precio Unitario Neto]]-Tabla4[[#This Row],[20.85%]]-Tabla4[[#This Row],[Costo]]</f>
        <v>#N/A</v>
      </c>
      <c r="S3647" s="282" t="e">
        <f>++Tabla4[[#This Row],[U. Bruta Uni]]*Tabla4[[#This Row],[Cantidad]]</f>
        <v>#N/A</v>
      </c>
      <c r="T3647" s="369" t="str">
        <f>VLOOKUP(Tabla4[[#This Row],[Producto]],Tabla6[#All],14,FALSE)</f>
        <v>Termico Solar</v>
      </c>
      <c r="U3647" s="284" t="e">
        <f>(IF(Tabla4[[#This Row],[Familia]]="termico solar",Tabla4[[#This Row],[Utilidad Total]]*6%,Tabla4[[#This Row],[Utilidad Total]]*11.5%))/Tabla4[[#This Row],[Total]]</f>
        <v>#N/A</v>
      </c>
      <c r="V3647" s="282" t="e">
        <f>+Tabla4[[#This Row],[Comisión Calculada]]*Tabla4[[#This Row],[Total]]</f>
        <v>#N/A</v>
      </c>
    </row>
    <row r="3648" spans="1:22" hidden="1" x14ac:dyDescent="0.25">
      <c r="A3648" s="100">
        <v>45823</v>
      </c>
      <c r="B3648" t="str">
        <f t="shared" si="165"/>
        <v>June</v>
      </c>
      <c r="C3648" s="46" t="s">
        <v>280</v>
      </c>
      <c r="F3648" s="366" t="s">
        <v>2125</v>
      </c>
      <c r="G3648" s="46" t="s">
        <v>17</v>
      </c>
      <c r="H3648" s="46">
        <v>1</v>
      </c>
      <c r="I3648" s="51">
        <v>4622.28</v>
      </c>
      <c r="J3648" s="281">
        <f>++Tabla4[[#This Row],[Precio Bruto]]*1.16</f>
        <v>5361.8447999999989</v>
      </c>
      <c r="K3648" s="281">
        <f>+Tabla4[[#This Row],[Precio Unitario Neto]]*Tabla4[[#Headers],[20.85%]]</f>
        <v>1117.9446407999997</v>
      </c>
      <c r="L3648" s="282">
        <f>++Tabla4[[#This Row],[Precio Unitario Neto]]-Tabla4[[#This Row],[20.85%]]</f>
        <v>4243.9001591999995</v>
      </c>
      <c r="M3648" s="282" t="e">
        <f>(INDEX(Tabla6[#All],MATCH(Tabla4[[#This Row],[Producto]],Tabla6[[#All],[PRODUCTO]],0),MATCH(Tabla4[[#This Row],[Mes]],Tabla6[#Headers],0)))*(1+Catalogos!$L$2)</f>
        <v>#N/A</v>
      </c>
      <c r="N3648" s="283" t="e">
        <f>+(Tabla4[[#This Row],[Precio Descontado]]-Tabla4[[#This Row],[Precio Base]])*Tabla4[[#This Row],[Cantidad]]</f>
        <v>#N/A</v>
      </c>
      <c r="O3648" s="284" t="e">
        <f>++Tabla4[[#This Row],[Utilidad Total]]/Tabla4[[#This Row],[Total]]</f>
        <v>#N/A</v>
      </c>
      <c r="P3648" s="282">
        <f>++Tabla4[[#This Row],[Precio Descontado]]*Tabla4[[#This Row],[Cantidad]]</f>
        <v>4243.9001591999995</v>
      </c>
      <c r="Q3648" s="282" t="e">
        <f>(INDEX(Tabla6[#All],MATCH(Tabla4[[#This Row],[Producto]],Tabla6[[#All],[PRODUCTO]],0),MATCH(Tabla4[[#This Row],[Mes]],Tabla6[#Headers],0)))</f>
        <v>#N/A</v>
      </c>
      <c r="R3648" s="282" t="e">
        <f>++Tabla4[[#This Row],[Precio Unitario Neto]]-Tabla4[[#This Row],[20.85%]]-Tabla4[[#This Row],[Costo]]</f>
        <v>#N/A</v>
      </c>
      <c r="S3648" s="282" t="e">
        <f>++Tabla4[[#This Row],[U. Bruta Uni]]*Tabla4[[#This Row],[Cantidad]]</f>
        <v>#N/A</v>
      </c>
      <c r="T3648" s="369" t="str">
        <f>VLOOKUP(Tabla4[[#This Row],[Producto]],Tabla6[#All],14,FALSE)</f>
        <v>Termico Solar</v>
      </c>
      <c r="U3648" s="284" t="e">
        <f>(IF(Tabla4[[#This Row],[Familia]]="termico solar",Tabla4[[#This Row],[Utilidad Total]]*6%,Tabla4[[#This Row],[Utilidad Total]]*11.5%))/Tabla4[[#This Row],[Total]]</f>
        <v>#N/A</v>
      </c>
      <c r="V3648" s="282" t="e">
        <f>+Tabla4[[#This Row],[Comisión Calculada]]*Tabla4[[#This Row],[Total]]</f>
        <v>#N/A</v>
      </c>
    </row>
    <row r="3649" spans="1:22" hidden="1" x14ac:dyDescent="0.25">
      <c r="A3649" s="100">
        <v>45823</v>
      </c>
      <c r="B3649" t="str">
        <f t="shared" si="165"/>
        <v>June</v>
      </c>
      <c r="C3649" s="46" t="s">
        <v>280</v>
      </c>
      <c r="F3649" s="366" t="s">
        <v>2125</v>
      </c>
      <c r="G3649" s="46" t="s">
        <v>18</v>
      </c>
      <c r="H3649" s="46">
        <v>1</v>
      </c>
      <c r="I3649" s="51">
        <v>5367.65</v>
      </c>
      <c r="J3649" s="281">
        <f>++Tabla4[[#This Row],[Precio Bruto]]*1.16</f>
        <v>6226.4739999999993</v>
      </c>
      <c r="K3649" s="281">
        <f>+Tabla4[[#This Row],[Precio Unitario Neto]]*Tabla4[[#Headers],[20.85%]]</f>
        <v>1298.2198289999999</v>
      </c>
      <c r="L3649" s="282">
        <f>++Tabla4[[#This Row],[Precio Unitario Neto]]-Tabla4[[#This Row],[20.85%]]</f>
        <v>4928.2541709999996</v>
      </c>
      <c r="M3649" s="282" t="e">
        <f>(INDEX(Tabla6[#All],MATCH(Tabla4[[#This Row],[Producto]],Tabla6[[#All],[PRODUCTO]],0),MATCH(Tabla4[[#This Row],[Mes]],Tabla6[#Headers],0)))*(1+Catalogos!$L$2)</f>
        <v>#N/A</v>
      </c>
      <c r="N3649" s="283" t="e">
        <f>+(Tabla4[[#This Row],[Precio Descontado]]-Tabla4[[#This Row],[Precio Base]])*Tabla4[[#This Row],[Cantidad]]</f>
        <v>#N/A</v>
      </c>
      <c r="O3649" s="284" t="e">
        <f>++Tabla4[[#This Row],[Utilidad Total]]/Tabla4[[#This Row],[Total]]</f>
        <v>#N/A</v>
      </c>
      <c r="P3649" s="282">
        <f>++Tabla4[[#This Row],[Precio Descontado]]*Tabla4[[#This Row],[Cantidad]]</f>
        <v>4928.2541709999996</v>
      </c>
      <c r="Q3649" s="282" t="e">
        <f>(INDEX(Tabla6[#All],MATCH(Tabla4[[#This Row],[Producto]],Tabla6[[#All],[PRODUCTO]],0),MATCH(Tabla4[[#This Row],[Mes]],Tabla6[#Headers],0)))</f>
        <v>#N/A</v>
      </c>
      <c r="R3649" s="282" t="e">
        <f>++Tabla4[[#This Row],[Precio Unitario Neto]]-Tabla4[[#This Row],[20.85%]]-Tabla4[[#This Row],[Costo]]</f>
        <v>#N/A</v>
      </c>
      <c r="S3649" s="282" t="e">
        <f>++Tabla4[[#This Row],[U. Bruta Uni]]*Tabla4[[#This Row],[Cantidad]]</f>
        <v>#N/A</v>
      </c>
      <c r="T3649" s="369" t="str">
        <f>VLOOKUP(Tabla4[[#This Row],[Producto]],Tabla6[#All],14,FALSE)</f>
        <v>Termico Solar</v>
      </c>
      <c r="U3649" s="284" t="e">
        <f>(IF(Tabla4[[#This Row],[Familia]]="termico solar",Tabla4[[#This Row],[Utilidad Total]]*6%,Tabla4[[#This Row],[Utilidad Total]]*11.5%))/Tabla4[[#This Row],[Total]]</f>
        <v>#N/A</v>
      </c>
      <c r="V3649" s="282" t="e">
        <f>+Tabla4[[#This Row],[Comisión Calculada]]*Tabla4[[#This Row],[Total]]</f>
        <v>#N/A</v>
      </c>
    </row>
    <row r="3650" spans="1:22" hidden="1" x14ac:dyDescent="0.25">
      <c r="A3650" s="100">
        <v>45823</v>
      </c>
      <c r="B3650" t="str">
        <f t="shared" si="165"/>
        <v>June</v>
      </c>
      <c r="C3650" s="46" t="s">
        <v>280</v>
      </c>
      <c r="F3650" s="366" t="s">
        <v>2125</v>
      </c>
      <c r="G3650" s="46" t="s">
        <v>566</v>
      </c>
      <c r="H3650" s="46">
        <v>1</v>
      </c>
      <c r="I3650" s="51">
        <v>2109.4499999999998</v>
      </c>
      <c r="J3650" s="281">
        <f>++Tabla4[[#This Row],[Precio Bruto]]*1.16</f>
        <v>2446.9619999999995</v>
      </c>
      <c r="K3650" s="281">
        <f>+Tabla4[[#This Row],[Precio Unitario Neto]]*Tabla4[[#Headers],[20.85%]]</f>
        <v>510.19157699999988</v>
      </c>
      <c r="L3650" s="282">
        <f>++Tabla4[[#This Row],[Precio Unitario Neto]]-Tabla4[[#This Row],[20.85%]]</f>
        <v>1936.7704229999997</v>
      </c>
      <c r="M3650" s="282" t="e">
        <f>(INDEX(Tabla6[#All],MATCH(Tabla4[[#This Row],[Producto]],Tabla6[[#All],[PRODUCTO]],0),MATCH(Tabla4[[#This Row],[Mes]],Tabla6[#Headers],0)))*(1+Catalogos!$L$2)</f>
        <v>#N/A</v>
      </c>
      <c r="N3650" s="283" t="e">
        <f>+(Tabla4[[#This Row],[Precio Descontado]]-Tabla4[[#This Row],[Precio Base]])*Tabla4[[#This Row],[Cantidad]]</f>
        <v>#N/A</v>
      </c>
      <c r="O3650" s="284" t="e">
        <f>++Tabla4[[#This Row],[Utilidad Total]]/Tabla4[[#This Row],[Total]]</f>
        <v>#N/A</v>
      </c>
      <c r="P3650" s="282">
        <f>++Tabla4[[#This Row],[Precio Descontado]]*Tabla4[[#This Row],[Cantidad]]</f>
        <v>1936.7704229999997</v>
      </c>
      <c r="Q3650" s="282" t="e">
        <f>(INDEX(Tabla6[#All],MATCH(Tabla4[[#This Row],[Producto]],Tabla6[[#All],[PRODUCTO]],0),MATCH(Tabla4[[#This Row],[Mes]],Tabla6[#Headers],0)))</f>
        <v>#N/A</v>
      </c>
      <c r="R3650" s="282" t="e">
        <f>++Tabla4[[#This Row],[Precio Unitario Neto]]-Tabla4[[#This Row],[20.85%]]-Tabla4[[#This Row],[Costo]]</f>
        <v>#N/A</v>
      </c>
      <c r="S3650" s="282" t="e">
        <f>++Tabla4[[#This Row],[U. Bruta Uni]]*Tabla4[[#This Row],[Cantidad]]</f>
        <v>#N/A</v>
      </c>
      <c r="T3650" s="369" t="str">
        <f>VLOOKUP(Tabla4[[#This Row],[Producto]],Tabla6[#All],14,FALSE)</f>
        <v>Termico Solar</v>
      </c>
      <c r="U3650" s="284" t="e">
        <f>(IF(Tabla4[[#This Row],[Familia]]="termico solar",Tabla4[[#This Row],[Utilidad Total]]*6%,Tabla4[[#This Row],[Utilidad Total]]*11.5%))/Tabla4[[#This Row],[Total]]</f>
        <v>#N/A</v>
      </c>
      <c r="V3650" s="282" t="e">
        <f>+Tabla4[[#This Row],[Comisión Calculada]]*Tabla4[[#This Row],[Total]]</f>
        <v>#N/A</v>
      </c>
    </row>
    <row r="3651" spans="1:22" hidden="1" x14ac:dyDescent="0.25">
      <c r="A3651" s="100">
        <v>45823</v>
      </c>
      <c r="B3651" t="str">
        <f t="shared" si="165"/>
        <v>June</v>
      </c>
      <c r="C3651" s="46" t="s">
        <v>280</v>
      </c>
      <c r="F3651" s="366" t="s">
        <v>2125</v>
      </c>
      <c r="G3651" s="46" t="s">
        <v>209</v>
      </c>
      <c r="H3651" s="46">
        <v>3</v>
      </c>
      <c r="I3651" s="51">
        <v>347.48</v>
      </c>
      <c r="J3651" s="281">
        <f>++Tabla4[[#This Row],[Precio Bruto]]*1.16</f>
        <v>403.07679999999999</v>
      </c>
      <c r="K3651" s="281">
        <f>+Tabla4[[#This Row],[Precio Unitario Neto]]*Tabla4[[#Headers],[20.85%]]</f>
        <v>84.041512799999992</v>
      </c>
      <c r="L3651" s="282">
        <f>++Tabla4[[#This Row],[Precio Unitario Neto]]-Tabla4[[#This Row],[20.85%]]</f>
        <v>319.03528719999997</v>
      </c>
      <c r="M3651" s="282" t="e">
        <f>(INDEX(Tabla6[#All],MATCH(Tabla4[[#This Row],[Producto]],Tabla6[[#All],[PRODUCTO]],0),MATCH(Tabla4[[#This Row],[Mes]],Tabla6[#Headers],0)))*(1+Catalogos!$L$2)</f>
        <v>#N/A</v>
      </c>
      <c r="N3651" s="283" t="e">
        <f>+(Tabla4[[#This Row],[Precio Descontado]]-Tabla4[[#This Row],[Precio Base]])*Tabla4[[#This Row],[Cantidad]]</f>
        <v>#N/A</v>
      </c>
      <c r="O3651" s="284" t="e">
        <f>++Tabla4[[#This Row],[Utilidad Total]]/Tabla4[[#This Row],[Total]]</f>
        <v>#N/A</v>
      </c>
      <c r="P3651" s="282">
        <f>++Tabla4[[#This Row],[Precio Descontado]]*Tabla4[[#This Row],[Cantidad]]</f>
        <v>957.10586159999991</v>
      </c>
      <c r="Q3651" s="282" t="e">
        <f>(INDEX(Tabla6[#All],MATCH(Tabla4[[#This Row],[Producto]],Tabla6[[#All],[PRODUCTO]],0),MATCH(Tabla4[[#This Row],[Mes]],Tabla6[#Headers],0)))</f>
        <v>#N/A</v>
      </c>
      <c r="R3651" s="282" t="e">
        <f>++Tabla4[[#This Row],[Precio Unitario Neto]]-Tabla4[[#This Row],[20.85%]]-Tabla4[[#This Row],[Costo]]</f>
        <v>#N/A</v>
      </c>
      <c r="S3651" s="282" t="e">
        <f>++Tabla4[[#This Row],[U. Bruta Uni]]*Tabla4[[#This Row],[Cantidad]]</f>
        <v>#N/A</v>
      </c>
      <c r="T3651" s="369" t="str">
        <f>VLOOKUP(Tabla4[[#This Row],[Producto]],Tabla6[#All],14,FALSE)</f>
        <v>Termico Solar</v>
      </c>
      <c r="U3651" s="284" t="e">
        <f>(IF(Tabla4[[#This Row],[Familia]]="termico solar",Tabla4[[#This Row],[Utilidad Total]]*6%,Tabla4[[#This Row],[Utilidad Total]]*11.5%))/Tabla4[[#This Row],[Total]]</f>
        <v>#N/A</v>
      </c>
      <c r="V3651" s="282" t="e">
        <f>+Tabla4[[#This Row],[Comisión Calculada]]*Tabla4[[#This Row],[Total]]</f>
        <v>#N/A</v>
      </c>
    </row>
    <row r="3652" spans="1:22" hidden="1" x14ac:dyDescent="0.25">
      <c r="A3652" s="100">
        <v>45823</v>
      </c>
      <c r="B3652" t="str">
        <f t="shared" si="165"/>
        <v>June</v>
      </c>
      <c r="C3652" s="46" t="s">
        <v>280</v>
      </c>
      <c r="F3652" s="366" t="s">
        <v>2126</v>
      </c>
      <c r="G3652" s="46" t="s">
        <v>83</v>
      </c>
      <c r="H3652" s="46">
        <v>1</v>
      </c>
      <c r="I3652" s="51">
        <v>8858.76</v>
      </c>
      <c r="J3652" s="281">
        <f>++Tabla4[[#This Row],[Precio Bruto]]*1.16</f>
        <v>10276.161599999999</v>
      </c>
      <c r="K3652" s="281">
        <f>+Tabla4[[#This Row],[Precio Unitario Neto]]*Tabla4[[#Headers],[20.85%]]</f>
        <v>2142.5796935999997</v>
      </c>
      <c r="L3652" s="282">
        <f>++Tabla4[[#This Row],[Precio Unitario Neto]]-Tabla4[[#This Row],[20.85%]]</f>
        <v>8133.5819063999998</v>
      </c>
      <c r="M3652" s="282" t="e">
        <f>(INDEX(Tabla6[#All],MATCH(Tabla4[[#This Row],[Producto]],Tabla6[[#All],[PRODUCTO]],0),MATCH(Tabla4[[#This Row],[Mes]],Tabla6[#Headers],0)))*(1+Catalogos!$L$2)</f>
        <v>#N/A</v>
      </c>
      <c r="N3652" s="283" t="e">
        <f>+(Tabla4[[#This Row],[Precio Descontado]]-Tabla4[[#This Row],[Precio Base]])*Tabla4[[#This Row],[Cantidad]]</f>
        <v>#N/A</v>
      </c>
      <c r="O3652" s="284" t="e">
        <f>++Tabla4[[#This Row],[Utilidad Total]]/Tabla4[[#This Row],[Total]]</f>
        <v>#N/A</v>
      </c>
      <c r="P3652" s="282">
        <f>++Tabla4[[#This Row],[Precio Descontado]]*Tabla4[[#This Row],[Cantidad]]</f>
        <v>8133.5819063999998</v>
      </c>
      <c r="Q3652" s="282" t="e">
        <f>(INDEX(Tabla6[#All],MATCH(Tabla4[[#This Row],[Producto]],Tabla6[[#All],[PRODUCTO]],0),MATCH(Tabla4[[#This Row],[Mes]],Tabla6[#Headers],0)))</f>
        <v>#N/A</v>
      </c>
      <c r="R3652" s="282" t="e">
        <f>++Tabla4[[#This Row],[Precio Unitario Neto]]-Tabla4[[#This Row],[20.85%]]-Tabla4[[#This Row],[Costo]]</f>
        <v>#N/A</v>
      </c>
      <c r="S3652" s="282" t="e">
        <f>++Tabla4[[#This Row],[U. Bruta Uni]]*Tabla4[[#This Row],[Cantidad]]</f>
        <v>#N/A</v>
      </c>
      <c r="T3652" s="369" t="str">
        <f>VLOOKUP(Tabla4[[#This Row],[Producto]],Tabla6[#All],14,FALSE)</f>
        <v>Termico Solar</v>
      </c>
      <c r="U3652" s="284" t="e">
        <f>(IF(Tabla4[[#This Row],[Familia]]="termico solar",Tabla4[[#This Row],[Utilidad Total]]*6%,Tabla4[[#This Row],[Utilidad Total]]*11.5%))/Tabla4[[#This Row],[Total]]</f>
        <v>#N/A</v>
      </c>
      <c r="V3652" s="282" t="e">
        <f>+Tabla4[[#This Row],[Comisión Calculada]]*Tabla4[[#This Row],[Total]]</f>
        <v>#N/A</v>
      </c>
    </row>
    <row r="3653" spans="1:22" hidden="1" x14ac:dyDescent="0.25">
      <c r="A3653" s="100">
        <v>45823</v>
      </c>
      <c r="B3653" t="str">
        <f t="shared" si="165"/>
        <v>June</v>
      </c>
      <c r="C3653" s="46" t="s">
        <v>280</v>
      </c>
      <c r="F3653" s="366" t="s">
        <v>2126</v>
      </c>
      <c r="G3653" s="46" t="s">
        <v>19</v>
      </c>
      <c r="H3653" s="46">
        <v>2</v>
      </c>
      <c r="I3653" s="51">
        <v>6412.03</v>
      </c>
      <c r="J3653" s="281">
        <f>++Tabla4[[#This Row],[Precio Bruto]]*1.16</f>
        <v>7437.9547999999995</v>
      </c>
      <c r="K3653" s="281">
        <f>+Tabla4[[#This Row],[Precio Unitario Neto]]*Tabla4[[#Headers],[20.85%]]</f>
        <v>1550.8135757999999</v>
      </c>
      <c r="L3653" s="282">
        <f>++Tabla4[[#This Row],[Precio Unitario Neto]]-Tabla4[[#This Row],[20.85%]]</f>
        <v>5887.1412241999997</v>
      </c>
      <c r="M3653" s="282" t="e">
        <f>(INDEX(Tabla6[#All],MATCH(Tabla4[[#This Row],[Producto]],Tabla6[[#All],[PRODUCTO]],0),MATCH(Tabla4[[#This Row],[Mes]],Tabla6[#Headers],0)))*(1+Catalogos!$L$2)</f>
        <v>#N/A</v>
      </c>
      <c r="N3653" s="283" t="e">
        <f>+(Tabla4[[#This Row],[Precio Descontado]]-Tabla4[[#This Row],[Precio Base]])*Tabla4[[#This Row],[Cantidad]]</f>
        <v>#N/A</v>
      </c>
      <c r="O3653" s="284" t="e">
        <f>++Tabla4[[#This Row],[Utilidad Total]]/Tabla4[[#This Row],[Total]]</f>
        <v>#N/A</v>
      </c>
      <c r="P3653" s="282">
        <f>++Tabla4[[#This Row],[Precio Descontado]]*Tabla4[[#This Row],[Cantidad]]</f>
        <v>11774.282448399999</v>
      </c>
      <c r="Q3653" s="282" t="e">
        <f>(INDEX(Tabla6[#All],MATCH(Tabla4[[#This Row],[Producto]],Tabla6[[#All],[PRODUCTO]],0),MATCH(Tabla4[[#This Row],[Mes]],Tabla6[#Headers],0)))</f>
        <v>#N/A</v>
      </c>
      <c r="R3653" s="282" t="e">
        <f>++Tabla4[[#This Row],[Precio Unitario Neto]]-Tabla4[[#This Row],[20.85%]]-Tabla4[[#This Row],[Costo]]</f>
        <v>#N/A</v>
      </c>
      <c r="S3653" s="282" t="e">
        <f>++Tabla4[[#This Row],[U. Bruta Uni]]*Tabla4[[#This Row],[Cantidad]]</f>
        <v>#N/A</v>
      </c>
      <c r="T3653" s="369" t="str">
        <f>VLOOKUP(Tabla4[[#This Row],[Producto]],Tabla6[#All],14,FALSE)</f>
        <v>Termico Solar</v>
      </c>
      <c r="U3653" s="284" t="e">
        <f>(IF(Tabla4[[#This Row],[Familia]]="termico solar",Tabla4[[#This Row],[Utilidad Total]]*6%,Tabla4[[#This Row],[Utilidad Total]]*11.5%))/Tabla4[[#This Row],[Total]]</f>
        <v>#N/A</v>
      </c>
      <c r="V3653" s="282" t="e">
        <f>+Tabla4[[#This Row],[Comisión Calculada]]*Tabla4[[#This Row],[Total]]</f>
        <v>#N/A</v>
      </c>
    </row>
    <row r="3654" spans="1:22" hidden="1" x14ac:dyDescent="0.25">
      <c r="A3654" s="100">
        <v>45823</v>
      </c>
      <c r="B3654" t="str">
        <f t="shared" si="165"/>
        <v>June</v>
      </c>
      <c r="C3654" s="46" t="s">
        <v>280</v>
      </c>
      <c r="F3654" s="366" t="s">
        <v>2126</v>
      </c>
      <c r="G3654" s="46" t="s">
        <v>209</v>
      </c>
      <c r="H3654" s="46">
        <v>3</v>
      </c>
      <c r="I3654" s="51">
        <v>347.48</v>
      </c>
      <c r="J3654" s="281">
        <f>++Tabla4[[#This Row],[Precio Bruto]]*1.16</f>
        <v>403.07679999999999</v>
      </c>
      <c r="K3654" s="281">
        <f>+Tabla4[[#This Row],[Precio Unitario Neto]]*Tabla4[[#Headers],[20.85%]]</f>
        <v>84.041512799999992</v>
      </c>
      <c r="L3654" s="282">
        <f>++Tabla4[[#This Row],[Precio Unitario Neto]]-Tabla4[[#This Row],[20.85%]]</f>
        <v>319.03528719999997</v>
      </c>
      <c r="M3654" s="282" t="e">
        <f>(INDEX(Tabla6[#All],MATCH(Tabla4[[#This Row],[Producto]],Tabla6[[#All],[PRODUCTO]],0),MATCH(Tabla4[[#This Row],[Mes]],Tabla6[#Headers],0)))*(1+Catalogos!$L$2)</f>
        <v>#N/A</v>
      </c>
      <c r="N3654" s="283" t="e">
        <f>+(Tabla4[[#This Row],[Precio Descontado]]-Tabla4[[#This Row],[Precio Base]])*Tabla4[[#This Row],[Cantidad]]</f>
        <v>#N/A</v>
      </c>
      <c r="O3654" s="284" t="e">
        <f>++Tabla4[[#This Row],[Utilidad Total]]/Tabla4[[#This Row],[Total]]</f>
        <v>#N/A</v>
      </c>
      <c r="P3654" s="282">
        <f>++Tabla4[[#This Row],[Precio Descontado]]*Tabla4[[#This Row],[Cantidad]]</f>
        <v>957.10586159999991</v>
      </c>
      <c r="Q3654" s="282" t="e">
        <f>(INDEX(Tabla6[#All],MATCH(Tabla4[[#This Row],[Producto]],Tabla6[[#All],[PRODUCTO]],0),MATCH(Tabla4[[#This Row],[Mes]],Tabla6[#Headers],0)))</f>
        <v>#N/A</v>
      </c>
      <c r="R3654" s="282" t="e">
        <f>++Tabla4[[#This Row],[Precio Unitario Neto]]-Tabla4[[#This Row],[20.85%]]-Tabla4[[#This Row],[Costo]]</f>
        <v>#N/A</v>
      </c>
      <c r="S3654" s="282" t="e">
        <f>++Tabla4[[#This Row],[U. Bruta Uni]]*Tabla4[[#This Row],[Cantidad]]</f>
        <v>#N/A</v>
      </c>
      <c r="T3654" s="369" t="str">
        <f>VLOOKUP(Tabla4[[#This Row],[Producto]],Tabla6[#All],14,FALSE)</f>
        <v>Termico Solar</v>
      </c>
      <c r="U3654" s="284" t="e">
        <f>(IF(Tabla4[[#This Row],[Familia]]="termico solar",Tabla4[[#This Row],[Utilidad Total]]*6%,Tabla4[[#This Row],[Utilidad Total]]*11.5%))/Tabla4[[#This Row],[Total]]</f>
        <v>#N/A</v>
      </c>
      <c r="V3654" s="282" t="e">
        <f>+Tabla4[[#This Row],[Comisión Calculada]]*Tabla4[[#This Row],[Total]]</f>
        <v>#N/A</v>
      </c>
    </row>
    <row r="3655" spans="1:22" hidden="1" x14ac:dyDescent="0.25">
      <c r="A3655" s="100">
        <v>45823</v>
      </c>
      <c r="B3655" t="str">
        <f t="shared" si="165"/>
        <v>June</v>
      </c>
      <c r="C3655" s="46" t="s">
        <v>280</v>
      </c>
      <c r="F3655" s="366" t="s">
        <v>2127</v>
      </c>
      <c r="G3655" s="46" t="s">
        <v>16</v>
      </c>
      <c r="H3655" s="46">
        <v>1</v>
      </c>
      <c r="I3655" s="51">
        <v>4103.8500000000004</v>
      </c>
      <c r="J3655" s="281">
        <f>++Tabla4[[#This Row],[Precio Bruto]]*1.16</f>
        <v>4760.4660000000003</v>
      </c>
      <c r="K3655" s="281">
        <f>+Tabla4[[#This Row],[Precio Unitario Neto]]*Tabla4[[#Headers],[20.85%]]</f>
        <v>992.55716100000006</v>
      </c>
      <c r="L3655" s="282">
        <f>++Tabla4[[#This Row],[Precio Unitario Neto]]-Tabla4[[#This Row],[20.85%]]</f>
        <v>3767.9088390000002</v>
      </c>
      <c r="M3655" s="282" t="e">
        <f>(INDEX(Tabla6[#All],MATCH(Tabla4[[#This Row],[Producto]],Tabla6[[#All],[PRODUCTO]],0),MATCH(Tabla4[[#This Row],[Mes]],Tabla6[#Headers],0)))*(1+Catalogos!$L$2)</f>
        <v>#N/A</v>
      </c>
      <c r="N3655" s="283" t="e">
        <f>+(Tabla4[[#This Row],[Precio Descontado]]-Tabla4[[#This Row],[Precio Base]])*Tabla4[[#This Row],[Cantidad]]</f>
        <v>#N/A</v>
      </c>
      <c r="O3655" s="284" t="e">
        <f>++Tabla4[[#This Row],[Utilidad Total]]/Tabla4[[#This Row],[Total]]</f>
        <v>#N/A</v>
      </c>
      <c r="P3655" s="282">
        <f>++Tabla4[[#This Row],[Precio Descontado]]*Tabla4[[#This Row],[Cantidad]]</f>
        <v>3767.9088390000002</v>
      </c>
      <c r="Q3655" s="282" t="e">
        <f>(INDEX(Tabla6[#All],MATCH(Tabla4[[#This Row],[Producto]],Tabla6[[#All],[PRODUCTO]],0),MATCH(Tabla4[[#This Row],[Mes]],Tabla6[#Headers],0)))</f>
        <v>#N/A</v>
      </c>
      <c r="R3655" s="282" t="e">
        <f>++Tabla4[[#This Row],[Precio Unitario Neto]]-Tabla4[[#This Row],[20.85%]]-Tabla4[[#This Row],[Costo]]</f>
        <v>#N/A</v>
      </c>
      <c r="S3655" s="282" t="e">
        <f>++Tabla4[[#This Row],[U. Bruta Uni]]*Tabla4[[#This Row],[Cantidad]]</f>
        <v>#N/A</v>
      </c>
      <c r="T3655" s="369" t="str">
        <f>VLOOKUP(Tabla4[[#This Row],[Producto]],Tabla6[#All],14,FALSE)</f>
        <v>Termico Solar</v>
      </c>
      <c r="U3655" s="284" t="e">
        <f>(IF(Tabla4[[#This Row],[Familia]]="termico solar",Tabla4[[#This Row],[Utilidad Total]]*6%,Tabla4[[#This Row],[Utilidad Total]]*11.5%))/Tabla4[[#This Row],[Total]]</f>
        <v>#N/A</v>
      </c>
      <c r="V3655" s="282" t="e">
        <f>+Tabla4[[#This Row],[Comisión Calculada]]*Tabla4[[#This Row],[Total]]</f>
        <v>#N/A</v>
      </c>
    </row>
    <row r="3656" spans="1:22" hidden="1" x14ac:dyDescent="0.25">
      <c r="A3656" s="100">
        <v>45823</v>
      </c>
      <c r="B3656" t="str">
        <f t="shared" si="165"/>
        <v>June</v>
      </c>
      <c r="C3656" s="46" t="s">
        <v>280</v>
      </c>
      <c r="F3656" s="366" t="s">
        <v>2128</v>
      </c>
      <c r="G3656" s="46" t="s">
        <v>17</v>
      </c>
      <c r="H3656" s="46">
        <v>2</v>
      </c>
      <c r="I3656" s="51">
        <v>4622.28</v>
      </c>
      <c r="J3656" s="281">
        <f>++Tabla4[[#This Row],[Precio Bruto]]*1.16</f>
        <v>5361.8447999999989</v>
      </c>
      <c r="K3656" s="281">
        <f>+Tabla4[[#This Row],[Precio Unitario Neto]]*Tabla4[[#Headers],[20.85%]]</f>
        <v>1117.9446407999997</v>
      </c>
      <c r="L3656" s="282">
        <f>++Tabla4[[#This Row],[Precio Unitario Neto]]-Tabla4[[#This Row],[20.85%]]</f>
        <v>4243.9001591999995</v>
      </c>
      <c r="M3656" s="282" t="e">
        <f>(INDEX(Tabla6[#All],MATCH(Tabla4[[#This Row],[Producto]],Tabla6[[#All],[PRODUCTO]],0),MATCH(Tabla4[[#This Row],[Mes]],Tabla6[#Headers],0)))*(1+Catalogos!$L$2)</f>
        <v>#N/A</v>
      </c>
      <c r="N3656" s="283" t="e">
        <f>+(Tabla4[[#This Row],[Precio Descontado]]-Tabla4[[#This Row],[Precio Base]])*Tabla4[[#This Row],[Cantidad]]</f>
        <v>#N/A</v>
      </c>
      <c r="O3656" s="284" t="e">
        <f>++Tabla4[[#This Row],[Utilidad Total]]/Tabla4[[#This Row],[Total]]</f>
        <v>#N/A</v>
      </c>
      <c r="P3656" s="282">
        <f>++Tabla4[[#This Row],[Precio Descontado]]*Tabla4[[#This Row],[Cantidad]]</f>
        <v>8487.800318399999</v>
      </c>
      <c r="Q3656" s="282" t="e">
        <f>(INDEX(Tabla6[#All],MATCH(Tabla4[[#This Row],[Producto]],Tabla6[[#All],[PRODUCTO]],0),MATCH(Tabla4[[#This Row],[Mes]],Tabla6[#Headers],0)))</f>
        <v>#N/A</v>
      </c>
      <c r="R3656" s="282" t="e">
        <f>++Tabla4[[#This Row],[Precio Unitario Neto]]-Tabla4[[#This Row],[20.85%]]-Tabla4[[#This Row],[Costo]]</f>
        <v>#N/A</v>
      </c>
      <c r="S3656" s="282" t="e">
        <f>++Tabla4[[#This Row],[U. Bruta Uni]]*Tabla4[[#This Row],[Cantidad]]</f>
        <v>#N/A</v>
      </c>
      <c r="T3656" s="369" t="str">
        <f>VLOOKUP(Tabla4[[#This Row],[Producto]],Tabla6[#All],14,FALSE)</f>
        <v>Termico Solar</v>
      </c>
      <c r="U3656" s="284" t="e">
        <f>(IF(Tabla4[[#This Row],[Familia]]="termico solar",Tabla4[[#This Row],[Utilidad Total]]*6%,Tabla4[[#This Row],[Utilidad Total]]*11.5%))/Tabla4[[#This Row],[Total]]</f>
        <v>#N/A</v>
      </c>
      <c r="V3656" s="282" t="e">
        <f>+Tabla4[[#This Row],[Comisión Calculada]]*Tabla4[[#This Row],[Total]]</f>
        <v>#N/A</v>
      </c>
    </row>
    <row r="3657" spans="1:22" hidden="1" x14ac:dyDescent="0.25">
      <c r="A3657" s="100">
        <v>45823</v>
      </c>
      <c r="B3657" t="str">
        <f t="shared" si="165"/>
        <v>June</v>
      </c>
      <c r="C3657" s="46" t="s">
        <v>280</v>
      </c>
      <c r="F3657" s="366" t="s">
        <v>2128</v>
      </c>
      <c r="G3657" s="46" t="s">
        <v>566</v>
      </c>
      <c r="H3657" s="46">
        <v>1</v>
      </c>
      <c r="I3657" s="51">
        <v>2109.4499999999998</v>
      </c>
      <c r="J3657" s="281">
        <f>++Tabla4[[#This Row],[Precio Bruto]]*1.16</f>
        <v>2446.9619999999995</v>
      </c>
      <c r="K3657" s="281">
        <f>+Tabla4[[#This Row],[Precio Unitario Neto]]*Tabla4[[#Headers],[20.85%]]</f>
        <v>510.19157699999988</v>
      </c>
      <c r="L3657" s="282">
        <f>++Tabla4[[#This Row],[Precio Unitario Neto]]-Tabla4[[#This Row],[20.85%]]</f>
        <v>1936.7704229999997</v>
      </c>
      <c r="M3657" s="282" t="e">
        <f>(INDEX(Tabla6[#All],MATCH(Tabla4[[#This Row],[Producto]],Tabla6[[#All],[PRODUCTO]],0),MATCH(Tabla4[[#This Row],[Mes]],Tabla6[#Headers],0)))*(1+Catalogos!$L$2)</f>
        <v>#N/A</v>
      </c>
      <c r="N3657" s="283" t="e">
        <f>+(Tabla4[[#This Row],[Precio Descontado]]-Tabla4[[#This Row],[Precio Base]])*Tabla4[[#This Row],[Cantidad]]</f>
        <v>#N/A</v>
      </c>
      <c r="O3657" s="284" t="e">
        <f>++Tabla4[[#This Row],[Utilidad Total]]/Tabla4[[#This Row],[Total]]</f>
        <v>#N/A</v>
      </c>
      <c r="P3657" s="282">
        <f>++Tabla4[[#This Row],[Precio Descontado]]*Tabla4[[#This Row],[Cantidad]]</f>
        <v>1936.7704229999997</v>
      </c>
      <c r="Q3657" s="282" t="e">
        <f>(INDEX(Tabla6[#All],MATCH(Tabla4[[#This Row],[Producto]],Tabla6[[#All],[PRODUCTO]],0),MATCH(Tabla4[[#This Row],[Mes]],Tabla6[#Headers],0)))</f>
        <v>#N/A</v>
      </c>
      <c r="R3657" s="282" t="e">
        <f>++Tabla4[[#This Row],[Precio Unitario Neto]]-Tabla4[[#This Row],[20.85%]]-Tabla4[[#This Row],[Costo]]</f>
        <v>#N/A</v>
      </c>
      <c r="S3657" s="282" t="e">
        <f>++Tabla4[[#This Row],[U. Bruta Uni]]*Tabla4[[#This Row],[Cantidad]]</f>
        <v>#N/A</v>
      </c>
      <c r="T3657" s="369" t="str">
        <f>VLOOKUP(Tabla4[[#This Row],[Producto]],Tabla6[#All],14,FALSE)</f>
        <v>Termico Solar</v>
      </c>
      <c r="U3657" s="284" t="e">
        <f>(IF(Tabla4[[#This Row],[Familia]]="termico solar",Tabla4[[#This Row],[Utilidad Total]]*6%,Tabla4[[#This Row],[Utilidad Total]]*11.5%))/Tabla4[[#This Row],[Total]]</f>
        <v>#N/A</v>
      </c>
      <c r="V3657" s="282" t="e">
        <f>+Tabla4[[#This Row],[Comisión Calculada]]*Tabla4[[#This Row],[Total]]</f>
        <v>#N/A</v>
      </c>
    </row>
    <row r="3658" spans="1:22" hidden="1" x14ac:dyDescent="0.25">
      <c r="A3658" s="100">
        <v>45823</v>
      </c>
      <c r="B3658" t="str">
        <f t="shared" si="165"/>
        <v>June</v>
      </c>
      <c r="C3658" s="46" t="s">
        <v>280</v>
      </c>
      <c r="F3658" s="366" t="s">
        <v>2129</v>
      </c>
      <c r="G3658" s="46" t="s">
        <v>17</v>
      </c>
      <c r="H3658" s="46">
        <v>5</v>
      </c>
      <c r="I3658" s="51">
        <v>4622.2800000000007</v>
      </c>
      <c r="J3658" s="281">
        <f>++Tabla4[[#This Row],[Precio Bruto]]*1.16</f>
        <v>5361.8448000000008</v>
      </c>
      <c r="K3658" s="281">
        <f>+Tabla4[[#This Row],[Precio Unitario Neto]]*Tabla4[[#Headers],[20.85%]]</f>
        <v>1117.9446408000001</v>
      </c>
      <c r="L3658" s="282">
        <f>++Tabla4[[#This Row],[Precio Unitario Neto]]-Tabla4[[#This Row],[20.85%]]</f>
        <v>4243.9001592000004</v>
      </c>
      <c r="M3658" s="282" t="e">
        <f>(INDEX(Tabla6[#All],MATCH(Tabla4[[#This Row],[Producto]],Tabla6[[#All],[PRODUCTO]],0),MATCH(Tabla4[[#This Row],[Mes]],Tabla6[#Headers],0)))*(1+Catalogos!$L$2)</f>
        <v>#N/A</v>
      </c>
      <c r="N3658" s="283" t="e">
        <f>+(Tabla4[[#This Row],[Precio Descontado]]-Tabla4[[#This Row],[Precio Base]])*Tabla4[[#This Row],[Cantidad]]</f>
        <v>#N/A</v>
      </c>
      <c r="O3658" s="284" t="e">
        <f>++Tabla4[[#This Row],[Utilidad Total]]/Tabla4[[#This Row],[Total]]</f>
        <v>#N/A</v>
      </c>
      <c r="P3658" s="282">
        <f>++Tabla4[[#This Row],[Precio Descontado]]*Tabla4[[#This Row],[Cantidad]]</f>
        <v>21219.500796</v>
      </c>
      <c r="Q3658" s="282" t="e">
        <f>(INDEX(Tabla6[#All],MATCH(Tabla4[[#This Row],[Producto]],Tabla6[[#All],[PRODUCTO]],0),MATCH(Tabla4[[#This Row],[Mes]],Tabla6[#Headers],0)))</f>
        <v>#N/A</v>
      </c>
      <c r="R3658" s="282" t="e">
        <f>++Tabla4[[#This Row],[Precio Unitario Neto]]-Tabla4[[#This Row],[20.85%]]-Tabla4[[#This Row],[Costo]]</f>
        <v>#N/A</v>
      </c>
      <c r="S3658" s="282" t="e">
        <f>++Tabla4[[#This Row],[U. Bruta Uni]]*Tabla4[[#This Row],[Cantidad]]</f>
        <v>#N/A</v>
      </c>
      <c r="T3658" s="369" t="str">
        <f>VLOOKUP(Tabla4[[#This Row],[Producto]],Tabla6[#All],14,FALSE)</f>
        <v>Termico Solar</v>
      </c>
      <c r="U3658" s="284" t="e">
        <f>(IF(Tabla4[[#This Row],[Familia]]="termico solar",Tabla4[[#This Row],[Utilidad Total]]*6%,Tabla4[[#This Row],[Utilidad Total]]*11.5%))/Tabla4[[#This Row],[Total]]</f>
        <v>#N/A</v>
      </c>
      <c r="V3658" s="282" t="e">
        <f>+Tabla4[[#This Row],[Comisión Calculada]]*Tabla4[[#This Row],[Total]]</f>
        <v>#N/A</v>
      </c>
    </row>
    <row r="3659" spans="1:22" hidden="1" x14ac:dyDescent="0.25">
      <c r="A3659" s="100">
        <v>45823</v>
      </c>
      <c r="B3659" t="str">
        <f t="shared" si="165"/>
        <v>June</v>
      </c>
      <c r="C3659" s="46" t="s">
        <v>280</v>
      </c>
      <c r="F3659" s="366" t="s">
        <v>2129</v>
      </c>
      <c r="G3659" s="46" t="s">
        <v>566</v>
      </c>
      <c r="H3659" s="46">
        <v>1</v>
      </c>
      <c r="I3659" s="51">
        <v>2109.4499999999998</v>
      </c>
      <c r="J3659" s="281">
        <f>++Tabla4[[#This Row],[Precio Bruto]]*1.16</f>
        <v>2446.9619999999995</v>
      </c>
      <c r="K3659" s="281">
        <f>+Tabla4[[#This Row],[Precio Unitario Neto]]*Tabla4[[#Headers],[20.85%]]</f>
        <v>510.19157699999988</v>
      </c>
      <c r="L3659" s="282">
        <f>++Tabla4[[#This Row],[Precio Unitario Neto]]-Tabla4[[#This Row],[20.85%]]</f>
        <v>1936.7704229999997</v>
      </c>
      <c r="M3659" s="282" t="e">
        <f>(INDEX(Tabla6[#All],MATCH(Tabla4[[#This Row],[Producto]],Tabla6[[#All],[PRODUCTO]],0),MATCH(Tabla4[[#This Row],[Mes]],Tabla6[#Headers],0)))*(1+Catalogos!$L$2)</f>
        <v>#N/A</v>
      </c>
      <c r="N3659" s="283" t="e">
        <f>+(Tabla4[[#This Row],[Precio Descontado]]-Tabla4[[#This Row],[Precio Base]])*Tabla4[[#This Row],[Cantidad]]</f>
        <v>#N/A</v>
      </c>
      <c r="O3659" s="284" t="e">
        <f>++Tabla4[[#This Row],[Utilidad Total]]/Tabla4[[#This Row],[Total]]</f>
        <v>#N/A</v>
      </c>
      <c r="P3659" s="282">
        <f>++Tabla4[[#This Row],[Precio Descontado]]*Tabla4[[#This Row],[Cantidad]]</f>
        <v>1936.7704229999997</v>
      </c>
      <c r="Q3659" s="282" t="e">
        <f>(INDEX(Tabla6[#All],MATCH(Tabla4[[#This Row],[Producto]],Tabla6[[#All],[PRODUCTO]],0),MATCH(Tabla4[[#This Row],[Mes]],Tabla6[#Headers],0)))</f>
        <v>#N/A</v>
      </c>
      <c r="R3659" s="282" t="e">
        <f>++Tabla4[[#This Row],[Precio Unitario Neto]]-Tabla4[[#This Row],[20.85%]]-Tabla4[[#This Row],[Costo]]</f>
        <v>#N/A</v>
      </c>
      <c r="S3659" s="282" t="e">
        <f>++Tabla4[[#This Row],[U. Bruta Uni]]*Tabla4[[#This Row],[Cantidad]]</f>
        <v>#N/A</v>
      </c>
      <c r="T3659" s="369" t="str">
        <f>VLOOKUP(Tabla4[[#This Row],[Producto]],Tabla6[#All],14,FALSE)</f>
        <v>Termico Solar</v>
      </c>
      <c r="U3659" s="284" t="e">
        <f>(IF(Tabla4[[#This Row],[Familia]]="termico solar",Tabla4[[#This Row],[Utilidad Total]]*6%,Tabla4[[#This Row],[Utilidad Total]]*11.5%))/Tabla4[[#This Row],[Total]]</f>
        <v>#N/A</v>
      </c>
      <c r="V3659" s="282" t="e">
        <f>+Tabla4[[#This Row],[Comisión Calculada]]*Tabla4[[#This Row],[Total]]</f>
        <v>#N/A</v>
      </c>
    </row>
    <row r="3660" spans="1:22" hidden="1" x14ac:dyDescent="0.25">
      <c r="A3660" s="100">
        <v>45823</v>
      </c>
      <c r="B3660" t="str">
        <f t="shared" si="165"/>
        <v>June</v>
      </c>
      <c r="C3660" s="46" t="s">
        <v>280</v>
      </c>
      <c r="F3660" s="366" t="s">
        <v>2130</v>
      </c>
      <c r="G3660" s="46" t="s">
        <v>17</v>
      </c>
      <c r="H3660" s="46">
        <v>3</v>
      </c>
      <c r="I3660" s="51">
        <v>4622.28</v>
      </c>
      <c r="J3660" s="281">
        <f>++Tabla4[[#This Row],[Precio Bruto]]*1.16</f>
        <v>5361.8447999999989</v>
      </c>
      <c r="K3660" s="281">
        <f>+Tabla4[[#This Row],[Precio Unitario Neto]]*Tabla4[[#Headers],[20.85%]]</f>
        <v>1117.9446407999997</v>
      </c>
      <c r="L3660" s="282">
        <f>++Tabla4[[#This Row],[Precio Unitario Neto]]-Tabla4[[#This Row],[20.85%]]</f>
        <v>4243.9001591999995</v>
      </c>
      <c r="M3660" s="282" t="e">
        <f>(INDEX(Tabla6[#All],MATCH(Tabla4[[#This Row],[Producto]],Tabla6[[#All],[PRODUCTO]],0),MATCH(Tabla4[[#This Row],[Mes]],Tabla6[#Headers],0)))*(1+Catalogos!$L$2)</f>
        <v>#N/A</v>
      </c>
      <c r="N3660" s="283" t="e">
        <f>+(Tabla4[[#This Row],[Precio Descontado]]-Tabla4[[#This Row],[Precio Base]])*Tabla4[[#This Row],[Cantidad]]</f>
        <v>#N/A</v>
      </c>
      <c r="O3660" s="284" t="e">
        <f>++Tabla4[[#This Row],[Utilidad Total]]/Tabla4[[#This Row],[Total]]</f>
        <v>#N/A</v>
      </c>
      <c r="P3660" s="282">
        <f>++Tabla4[[#This Row],[Precio Descontado]]*Tabla4[[#This Row],[Cantidad]]</f>
        <v>12731.700477599999</v>
      </c>
      <c r="Q3660" s="282" t="e">
        <f>(INDEX(Tabla6[#All],MATCH(Tabla4[[#This Row],[Producto]],Tabla6[[#All],[PRODUCTO]],0),MATCH(Tabla4[[#This Row],[Mes]],Tabla6[#Headers],0)))</f>
        <v>#N/A</v>
      </c>
      <c r="R3660" s="282" t="e">
        <f>++Tabla4[[#This Row],[Precio Unitario Neto]]-Tabla4[[#This Row],[20.85%]]-Tabla4[[#This Row],[Costo]]</f>
        <v>#N/A</v>
      </c>
      <c r="S3660" s="282" t="e">
        <f>++Tabla4[[#This Row],[U. Bruta Uni]]*Tabla4[[#This Row],[Cantidad]]</f>
        <v>#N/A</v>
      </c>
      <c r="T3660" s="369" t="str">
        <f>VLOOKUP(Tabla4[[#This Row],[Producto]],Tabla6[#All],14,FALSE)</f>
        <v>Termico Solar</v>
      </c>
      <c r="U3660" s="284" t="e">
        <f>(IF(Tabla4[[#This Row],[Familia]]="termico solar",Tabla4[[#This Row],[Utilidad Total]]*6%,Tabla4[[#This Row],[Utilidad Total]]*11.5%))/Tabla4[[#This Row],[Total]]</f>
        <v>#N/A</v>
      </c>
      <c r="V3660" s="282" t="e">
        <f>+Tabla4[[#This Row],[Comisión Calculada]]*Tabla4[[#This Row],[Total]]</f>
        <v>#N/A</v>
      </c>
    </row>
    <row r="3661" spans="1:22" hidden="1" x14ac:dyDescent="0.25">
      <c r="A3661" s="100">
        <v>45823</v>
      </c>
      <c r="B3661" t="str">
        <f t="shared" si="165"/>
        <v>June</v>
      </c>
      <c r="C3661" s="46" t="s">
        <v>280</v>
      </c>
      <c r="F3661" s="366" t="s">
        <v>2130</v>
      </c>
      <c r="G3661" s="46" t="s">
        <v>18</v>
      </c>
      <c r="H3661" s="46">
        <v>1</v>
      </c>
      <c r="I3661" s="51">
        <v>5367.65</v>
      </c>
      <c r="J3661" s="281">
        <f>++Tabla4[[#This Row],[Precio Bruto]]*1.16</f>
        <v>6226.4739999999993</v>
      </c>
      <c r="K3661" s="281">
        <f>+Tabla4[[#This Row],[Precio Unitario Neto]]*Tabla4[[#Headers],[20.85%]]</f>
        <v>1298.2198289999999</v>
      </c>
      <c r="L3661" s="282">
        <f>++Tabla4[[#This Row],[Precio Unitario Neto]]-Tabla4[[#This Row],[20.85%]]</f>
        <v>4928.2541709999996</v>
      </c>
      <c r="M3661" s="282" t="e">
        <f>(INDEX(Tabla6[#All],MATCH(Tabla4[[#This Row],[Producto]],Tabla6[[#All],[PRODUCTO]],0),MATCH(Tabla4[[#This Row],[Mes]],Tabla6[#Headers],0)))*(1+Catalogos!$L$2)</f>
        <v>#N/A</v>
      </c>
      <c r="N3661" s="283" t="e">
        <f>+(Tabla4[[#This Row],[Precio Descontado]]-Tabla4[[#This Row],[Precio Base]])*Tabla4[[#This Row],[Cantidad]]</f>
        <v>#N/A</v>
      </c>
      <c r="O3661" s="284" t="e">
        <f>++Tabla4[[#This Row],[Utilidad Total]]/Tabla4[[#This Row],[Total]]</f>
        <v>#N/A</v>
      </c>
      <c r="P3661" s="282">
        <f>++Tabla4[[#This Row],[Precio Descontado]]*Tabla4[[#This Row],[Cantidad]]</f>
        <v>4928.2541709999996</v>
      </c>
      <c r="Q3661" s="282" t="e">
        <f>(INDEX(Tabla6[#All],MATCH(Tabla4[[#This Row],[Producto]],Tabla6[[#All],[PRODUCTO]],0),MATCH(Tabla4[[#This Row],[Mes]],Tabla6[#Headers],0)))</f>
        <v>#N/A</v>
      </c>
      <c r="R3661" s="282" t="e">
        <f>++Tabla4[[#This Row],[Precio Unitario Neto]]-Tabla4[[#This Row],[20.85%]]-Tabla4[[#This Row],[Costo]]</f>
        <v>#N/A</v>
      </c>
      <c r="S3661" s="282" t="e">
        <f>++Tabla4[[#This Row],[U. Bruta Uni]]*Tabla4[[#This Row],[Cantidad]]</f>
        <v>#N/A</v>
      </c>
      <c r="T3661" s="369" t="str">
        <f>VLOOKUP(Tabla4[[#This Row],[Producto]],Tabla6[#All],14,FALSE)</f>
        <v>Termico Solar</v>
      </c>
      <c r="U3661" s="284" t="e">
        <f>(IF(Tabla4[[#This Row],[Familia]]="termico solar",Tabla4[[#This Row],[Utilidad Total]]*6%,Tabla4[[#This Row],[Utilidad Total]]*11.5%))/Tabla4[[#This Row],[Total]]</f>
        <v>#N/A</v>
      </c>
      <c r="V3661" s="282" t="e">
        <f>+Tabla4[[#This Row],[Comisión Calculada]]*Tabla4[[#This Row],[Total]]</f>
        <v>#N/A</v>
      </c>
    </row>
    <row r="3662" spans="1:22" hidden="1" x14ac:dyDescent="0.25">
      <c r="A3662" s="100">
        <v>45823</v>
      </c>
      <c r="B3662" t="str">
        <f t="shared" si="165"/>
        <v>June</v>
      </c>
      <c r="C3662" s="46" t="s">
        <v>280</v>
      </c>
      <c r="F3662" s="366" t="s">
        <v>2130</v>
      </c>
      <c r="G3662" s="46" t="s">
        <v>208</v>
      </c>
      <c r="H3662" s="46">
        <v>4</v>
      </c>
      <c r="I3662" s="51">
        <v>189.75</v>
      </c>
      <c r="J3662" s="281">
        <f>++Tabla4[[#This Row],[Precio Bruto]]*1.16</f>
        <v>220.10999999999999</v>
      </c>
      <c r="K3662" s="281">
        <f>+Tabla4[[#This Row],[Precio Unitario Neto]]*Tabla4[[#Headers],[20.85%]]</f>
        <v>45.892934999999994</v>
      </c>
      <c r="L3662" s="282">
        <f>++Tabla4[[#This Row],[Precio Unitario Neto]]-Tabla4[[#This Row],[20.85%]]</f>
        <v>174.21706499999999</v>
      </c>
      <c r="M3662" s="282" t="e">
        <f>(INDEX(Tabla6[#All],MATCH(Tabla4[[#This Row],[Producto]],Tabla6[[#All],[PRODUCTO]],0),MATCH(Tabla4[[#This Row],[Mes]],Tabla6[#Headers],0)))*(1+Catalogos!$L$2)</f>
        <v>#N/A</v>
      </c>
      <c r="N3662" s="283" t="e">
        <f>+(Tabla4[[#This Row],[Precio Descontado]]-Tabla4[[#This Row],[Precio Base]])*Tabla4[[#This Row],[Cantidad]]</f>
        <v>#N/A</v>
      </c>
      <c r="O3662" s="284" t="e">
        <f>++Tabla4[[#This Row],[Utilidad Total]]/Tabla4[[#This Row],[Total]]</f>
        <v>#N/A</v>
      </c>
      <c r="P3662" s="282">
        <f>++Tabla4[[#This Row],[Precio Descontado]]*Tabla4[[#This Row],[Cantidad]]</f>
        <v>696.86825999999996</v>
      </c>
      <c r="Q3662" s="282" t="e">
        <f>(INDEX(Tabla6[#All],MATCH(Tabla4[[#This Row],[Producto]],Tabla6[[#All],[PRODUCTO]],0),MATCH(Tabla4[[#This Row],[Mes]],Tabla6[#Headers],0)))</f>
        <v>#N/A</v>
      </c>
      <c r="R3662" s="282" t="e">
        <f>++Tabla4[[#This Row],[Precio Unitario Neto]]-Tabla4[[#This Row],[20.85%]]-Tabla4[[#This Row],[Costo]]</f>
        <v>#N/A</v>
      </c>
      <c r="S3662" s="282" t="e">
        <f>++Tabla4[[#This Row],[U. Bruta Uni]]*Tabla4[[#This Row],[Cantidad]]</f>
        <v>#N/A</v>
      </c>
      <c r="T3662" s="369" t="str">
        <f>VLOOKUP(Tabla4[[#This Row],[Producto]],Tabla6[#All],14,FALSE)</f>
        <v>Termico Solar</v>
      </c>
      <c r="U3662" s="284" t="e">
        <f>(IF(Tabla4[[#This Row],[Familia]]="termico solar",Tabla4[[#This Row],[Utilidad Total]]*6%,Tabla4[[#This Row],[Utilidad Total]]*11.5%))/Tabla4[[#This Row],[Total]]</f>
        <v>#N/A</v>
      </c>
      <c r="V3662" s="282" t="e">
        <f>+Tabla4[[#This Row],[Comisión Calculada]]*Tabla4[[#This Row],[Total]]</f>
        <v>#N/A</v>
      </c>
    </row>
    <row r="3663" spans="1:22" hidden="1" x14ac:dyDescent="0.25">
      <c r="A3663" s="100">
        <v>45823</v>
      </c>
      <c r="B3663" t="str">
        <f t="shared" si="165"/>
        <v>June</v>
      </c>
      <c r="C3663" s="46" t="s">
        <v>280</v>
      </c>
      <c r="F3663" s="366" t="s">
        <v>2131</v>
      </c>
      <c r="G3663" s="46" t="s">
        <v>18</v>
      </c>
      <c r="H3663" s="46">
        <v>3</v>
      </c>
      <c r="I3663" s="51">
        <v>5367.6500000000005</v>
      </c>
      <c r="J3663" s="281">
        <f>++Tabla4[[#This Row],[Precio Bruto]]*1.16</f>
        <v>6226.4740000000002</v>
      </c>
      <c r="K3663" s="281">
        <f>+Tabla4[[#This Row],[Precio Unitario Neto]]*Tabla4[[#Headers],[20.85%]]</f>
        <v>1298.2198289999999</v>
      </c>
      <c r="L3663" s="282">
        <f>++Tabla4[[#This Row],[Precio Unitario Neto]]-Tabla4[[#This Row],[20.85%]]</f>
        <v>4928.2541710000005</v>
      </c>
      <c r="M3663" s="282" t="e">
        <f>(INDEX(Tabla6[#All],MATCH(Tabla4[[#This Row],[Producto]],Tabla6[[#All],[PRODUCTO]],0),MATCH(Tabla4[[#This Row],[Mes]],Tabla6[#Headers],0)))*(1+Catalogos!$L$2)</f>
        <v>#N/A</v>
      </c>
      <c r="N3663" s="283" t="e">
        <f>+(Tabla4[[#This Row],[Precio Descontado]]-Tabla4[[#This Row],[Precio Base]])*Tabla4[[#This Row],[Cantidad]]</f>
        <v>#N/A</v>
      </c>
      <c r="O3663" s="284" t="e">
        <f>++Tabla4[[#This Row],[Utilidad Total]]/Tabla4[[#This Row],[Total]]</f>
        <v>#N/A</v>
      </c>
      <c r="P3663" s="282">
        <f>++Tabla4[[#This Row],[Precio Descontado]]*Tabla4[[#This Row],[Cantidad]]</f>
        <v>14784.762513000001</v>
      </c>
      <c r="Q3663" s="282" t="e">
        <f>(INDEX(Tabla6[#All],MATCH(Tabla4[[#This Row],[Producto]],Tabla6[[#All],[PRODUCTO]],0),MATCH(Tabla4[[#This Row],[Mes]],Tabla6[#Headers],0)))</f>
        <v>#N/A</v>
      </c>
      <c r="R3663" s="282" t="e">
        <f>++Tabla4[[#This Row],[Precio Unitario Neto]]-Tabla4[[#This Row],[20.85%]]-Tabla4[[#This Row],[Costo]]</f>
        <v>#N/A</v>
      </c>
      <c r="S3663" s="282" t="e">
        <f>++Tabla4[[#This Row],[U. Bruta Uni]]*Tabla4[[#This Row],[Cantidad]]</f>
        <v>#N/A</v>
      </c>
      <c r="T3663" s="369" t="str">
        <f>VLOOKUP(Tabla4[[#This Row],[Producto]],Tabla6[#All],14,FALSE)</f>
        <v>Termico Solar</v>
      </c>
      <c r="U3663" s="284" t="e">
        <f>(IF(Tabla4[[#This Row],[Familia]]="termico solar",Tabla4[[#This Row],[Utilidad Total]]*6%,Tabla4[[#This Row],[Utilidad Total]]*11.5%))/Tabla4[[#This Row],[Total]]</f>
        <v>#N/A</v>
      </c>
      <c r="V3663" s="282" t="e">
        <f>+Tabla4[[#This Row],[Comisión Calculada]]*Tabla4[[#This Row],[Total]]</f>
        <v>#N/A</v>
      </c>
    </row>
    <row r="3664" spans="1:22" hidden="1" x14ac:dyDescent="0.25">
      <c r="A3664" s="100">
        <v>45823</v>
      </c>
      <c r="B3664" t="str">
        <f t="shared" si="165"/>
        <v>June</v>
      </c>
      <c r="C3664" s="46" t="s">
        <v>280</v>
      </c>
      <c r="F3664" s="366" t="s">
        <v>2131</v>
      </c>
      <c r="G3664" s="46" t="s">
        <v>566</v>
      </c>
      <c r="H3664" s="46">
        <v>1</v>
      </c>
      <c r="I3664" s="51">
        <v>2109.4499999999998</v>
      </c>
      <c r="J3664" s="281">
        <f>++Tabla4[[#This Row],[Precio Bruto]]*1.16</f>
        <v>2446.9619999999995</v>
      </c>
      <c r="K3664" s="281">
        <f>+Tabla4[[#This Row],[Precio Unitario Neto]]*Tabla4[[#Headers],[20.85%]]</f>
        <v>510.19157699999988</v>
      </c>
      <c r="L3664" s="282">
        <f>++Tabla4[[#This Row],[Precio Unitario Neto]]-Tabla4[[#This Row],[20.85%]]</f>
        <v>1936.7704229999997</v>
      </c>
      <c r="M3664" s="282" t="e">
        <f>(INDEX(Tabla6[#All],MATCH(Tabla4[[#This Row],[Producto]],Tabla6[[#All],[PRODUCTO]],0),MATCH(Tabla4[[#This Row],[Mes]],Tabla6[#Headers],0)))*(1+Catalogos!$L$2)</f>
        <v>#N/A</v>
      </c>
      <c r="N3664" s="283" t="e">
        <f>+(Tabla4[[#This Row],[Precio Descontado]]-Tabla4[[#This Row],[Precio Base]])*Tabla4[[#This Row],[Cantidad]]</f>
        <v>#N/A</v>
      </c>
      <c r="O3664" s="284" t="e">
        <f>++Tabla4[[#This Row],[Utilidad Total]]/Tabla4[[#This Row],[Total]]</f>
        <v>#N/A</v>
      </c>
      <c r="P3664" s="282">
        <f>++Tabla4[[#This Row],[Precio Descontado]]*Tabla4[[#This Row],[Cantidad]]</f>
        <v>1936.7704229999997</v>
      </c>
      <c r="Q3664" s="282" t="e">
        <f>(INDEX(Tabla6[#All],MATCH(Tabla4[[#This Row],[Producto]],Tabla6[[#All],[PRODUCTO]],0),MATCH(Tabla4[[#This Row],[Mes]],Tabla6[#Headers],0)))</f>
        <v>#N/A</v>
      </c>
      <c r="R3664" s="282" t="e">
        <f>++Tabla4[[#This Row],[Precio Unitario Neto]]-Tabla4[[#This Row],[20.85%]]-Tabla4[[#This Row],[Costo]]</f>
        <v>#N/A</v>
      </c>
      <c r="S3664" s="282" t="e">
        <f>++Tabla4[[#This Row],[U. Bruta Uni]]*Tabla4[[#This Row],[Cantidad]]</f>
        <v>#N/A</v>
      </c>
      <c r="T3664" s="369" t="str">
        <f>VLOOKUP(Tabla4[[#This Row],[Producto]],Tabla6[#All],14,FALSE)</f>
        <v>Termico Solar</v>
      </c>
      <c r="U3664" s="284" t="e">
        <f>(IF(Tabla4[[#This Row],[Familia]]="termico solar",Tabla4[[#This Row],[Utilidad Total]]*6%,Tabla4[[#This Row],[Utilidad Total]]*11.5%))/Tabla4[[#This Row],[Total]]</f>
        <v>#N/A</v>
      </c>
      <c r="V3664" s="282" t="e">
        <f>+Tabla4[[#This Row],[Comisión Calculada]]*Tabla4[[#This Row],[Total]]</f>
        <v>#N/A</v>
      </c>
    </row>
    <row r="3665" spans="1:22" hidden="1" x14ac:dyDescent="0.25">
      <c r="A3665" s="100">
        <v>45823</v>
      </c>
      <c r="B3665" t="str">
        <f t="shared" si="165"/>
        <v>June</v>
      </c>
      <c r="C3665" s="46" t="s">
        <v>280</v>
      </c>
      <c r="F3665" s="366" t="s">
        <v>2131</v>
      </c>
      <c r="G3665" s="46" t="s">
        <v>16</v>
      </c>
      <c r="H3665" s="46">
        <v>1</v>
      </c>
      <c r="I3665" s="51">
        <v>4103.8500000000004</v>
      </c>
      <c r="J3665" s="281">
        <f>++Tabla4[[#This Row],[Precio Bruto]]*1.16</f>
        <v>4760.4660000000003</v>
      </c>
      <c r="K3665" s="281">
        <f>+Tabla4[[#This Row],[Precio Unitario Neto]]*Tabla4[[#Headers],[20.85%]]</f>
        <v>992.55716100000006</v>
      </c>
      <c r="L3665" s="282">
        <f>++Tabla4[[#This Row],[Precio Unitario Neto]]-Tabla4[[#This Row],[20.85%]]</f>
        <v>3767.9088390000002</v>
      </c>
      <c r="M3665" s="282" t="e">
        <f>(INDEX(Tabla6[#All],MATCH(Tabla4[[#This Row],[Producto]],Tabla6[[#All],[PRODUCTO]],0),MATCH(Tabla4[[#This Row],[Mes]],Tabla6[#Headers],0)))*(1+Catalogos!$L$2)</f>
        <v>#N/A</v>
      </c>
      <c r="N3665" s="283" t="e">
        <f>+(Tabla4[[#This Row],[Precio Descontado]]-Tabla4[[#This Row],[Precio Base]])*Tabla4[[#This Row],[Cantidad]]</f>
        <v>#N/A</v>
      </c>
      <c r="O3665" s="284" t="e">
        <f>++Tabla4[[#This Row],[Utilidad Total]]/Tabla4[[#This Row],[Total]]</f>
        <v>#N/A</v>
      </c>
      <c r="P3665" s="282">
        <f>++Tabla4[[#This Row],[Precio Descontado]]*Tabla4[[#This Row],[Cantidad]]</f>
        <v>3767.9088390000002</v>
      </c>
      <c r="Q3665" s="282" t="e">
        <f>(INDEX(Tabla6[#All],MATCH(Tabla4[[#This Row],[Producto]],Tabla6[[#All],[PRODUCTO]],0),MATCH(Tabla4[[#This Row],[Mes]],Tabla6[#Headers],0)))</f>
        <v>#N/A</v>
      </c>
      <c r="R3665" s="282" t="e">
        <f>++Tabla4[[#This Row],[Precio Unitario Neto]]-Tabla4[[#This Row],[20.85%]]-Tabla4[[#This Row],[Costo]]</f>
        <v>#N/A</v>
      </c>
      <c r="S3665" s="282" t="e">
        <f>++Tabla4[[#This Row],[U. Bruta Uni]]*Tabla4[[#This Row],[Cantidad]]</f>
        <v>#N/A</v>
      </c>
      <c r="T3665" s="369" t="str">
        <f>VLOOKUP(Tabla4[[#This Row],[Producto]],Tabla6[#All],14,FALSE)</f>
        <v>Termico Solar</v>
      </c>
      <c r="U3665" s="284" t="e">
        <f>(IF(Tabla4[[#This Row],[Familia]]="termico solar",Tabla4[[#This Row],[Utilidad Total]]*6%,Tabla4[[#This Row],[Utilidad Total]]*11.5%))/Tabla4[[#This Row],[Total]]</f>
        <v>#N/A</v>
      </c>
      <c r="V3665" s="282" t="e">
        <f>+Tabla4[[#This Row],[Comisión Calculada]]*Tabla4[[#This Row],[Total]]</f>
        <v>#N/A</v>
      </c>
    </row>
    <row r="3666" spans="1:22" hidden="1" x14ac:dyDescent="0.25">
      <c r="A3666" s="100">
        <v>45823</v>
      </c>
      <c r="B3666" t="str">
        <f t="shared" si="165"/>
        <v>June</v>
      </c>
      <c r="C3666" s="46" t="s">
        <v>280</v>
      </c>
      <c r="F3666" s="366" t="s">
        <v>2131</v>
      </c>
      <c r="G3666" s="46" t="s">
        <v>209</v>
      </c>
      <c r="H3666" s="46">
        <v>3</v>
      </c>
      <c r="I3666" s="51">
        <v>347.48</v>
      </c>
      <c r="J3666" s="281">
        <f>++Tabla4[[#This Row],[Precio Bruto]]*1.16</f>
        <v>403.07679999999999</v>
      </c>
      <c r="K3666" s="281">
        <f>+Tabla4[[#This Row],[Precio Unitario Neto]]*Tabla4[[#Headers],[20.85%]]</f>
        <v>84.041512799999992</v>
      </c>
      <c r="L3666" s="282">
        <f>++Tabla4[[#This Row],[Precio Unitario Neto]]-Tabla4[[#This Row],[20.85%]]</f>
        <v>319.03528719999997</v>
      </c>
      <c r="M3666" s="282" t="e">
        <f>(INDEX(Tabla6[#All],MATCH(Tabla4[[#This Row],[Producto]],Tabla6[[#All],[PRODUCTO]],0),MATCH(Tabla4[[#This Row],[Mes]],Tabla6[#Headers],0)))*(1+Catalogos!$L$2)</f>
        <v>#N/A</v>
      </c>
      <c r="N3666" s="283" t="e">
        <f>+(Tabla4[[#This Row],[Precio Descontado]]-Tabla4[[#This Row],[Precio Base]])*Tabla4[[#This Row],[Cantidad]]</f>
        <v>#N/A</v>
      </c>
      <c r="O3666" s="284" t="e">
        <f>++Tabla4[[#This Row],[Utilidad Total]]/Tabla4[[#This Row],[Total]]</f>
        <v>#N/A</v>
      </c>
      <c r="P3666" s="282">
        <f>++Tabla4[[#This Row],[Precio Descontado]]*Tabla4[[#This Row],[Cantidad]]</f>
        <v>957.10586159999991</v>
      </c>
      <c r="Q3666" s="282" t="e">
        <f>(INDEX(Tabla6[#All],MATCH(Tabla4[[#This Row],[Producto]],Tabla6[[#All],[PRODUCTO]],0),MATCH(Tabla4[[#This Row],[Mes]],Tabla6[#Headers],0)))</f>
        <v>#N/A</v>
      </c>
      <c r="R3666" s="282" t="e">
        <f>++Tabla4[[#This Row],[Precio Unitario Neto]]-Tabla4[[#This Row],[20.85%]]-Tabla4[[#This Row],[Costo]]</f>
        <v>#N/A</v>
      </c>
      <c r="S3666" s="282" t="e">
        <f>++Tabla4[[#This Row],[U. Bruta Uni]]*Tabla4[[#This Row],[Cantidad]]</f>
        <v>#N/A</v>
      </c>
      <c r="T3666" s="369" t="str">
        <f>VLOOKUP(Tabla4[[#This Row],[Producto]],Tabla6[#All],14,FALSE)</f>
        <v>Termico Solar</v>
      </c>
      <c r="U3666" s="284" t="e">
        <f>(IF(Tabla4[[#This Row],[Familia]]="termico solar",Tabla4[[#This Row],[Utilidad Total]]*6%,Tabla4[[#This Row],[Utilidad Total]]*11.5%))/Tabla4[[#This Row],[Total]]</f>
        <v>#N/A</v>
      </c>
      <c r="V3666" s="282" t="e">
        <f>+Tabla4[[#This Row],[Comisión Calculada]]*Tabla4[[#This Row],[Total]]</f>
        <v>#N/A</v>
      </c>
    </row>
    <row r="3667" spans="1:22" hidden="1" x14ac:dyDescent="0.25">
      <c r="A3667" s="100">
        <v>45823</v>
      </c>
      <c r="B3667" t="str">
        <f t="shared" si="165"/>
        <v>June</v>
      </c>
      <c r="C3667" s="46" t="s">
        <v>280</v>
      </c>
      <c r="F3667" s="366" t="s">
        <v>2132</v>
      </c>
      <c r="G3667" s="46" t="s">
        <v>16</v>
      </c>
      <c r="H3667" s="46">
        <v>1</v>
      </c>
      <c r="I3667" s="51">
        <v>4103.8500000000004</v>
      </c>
      <c r="J3667" s="281">
        <f>++Tabla4[[#This Row],[Precio Bruto]]*1.16</f>
        <v>4760.4660000000003</v>
      </c>
      <c r="K3667" s="281">
        <f>+Tabla4[[#This Row],[Precio Unitario Neto]]*Tabla4[[#Headers],[20.85%]]</f>
        <v>992.55716100000006</v>
      </c>
      <c r="L3667" s="282">
        <f>++Tabla4[[#This Row],[Precio Unitario Neto]]-Tabla4[[#This Row],[20.85%]]</f>
        <v>3767.9088390000002</v>
      </c>
      <c r="M3667" s="282" t="e">
        <f>(INDEX(Tabla6[#All],MATCH(Tabla4[[#This Row],[Producto]],Tabla6[[#All],[PRODUCTO]],0),MATCH(Tabla4[[#This Row],[Mes]],Tabla6[#Headers],0)))*(1+Catalogos!$L$2)</f>
        <v>#N/A</v>
      </c>
      <c r="N3667" s="283" t="e">
        <f>+(Tabla4[[#This Row],[Precio Descontado]]-Tabla4[[#This Row],[Precio Base]])*Tabla4[[#This Row],[Cantidad]]</f>
        <v>#N/A</v>
      </c>
      <c r="O3667" s="284" t="e">
        <f>++Tabla4[[#This Row],[Utilidad Total]]/Tabla4[[#This Row],[Total]]</f>
        <v>#N/A</v>
      </c>
      <c r="P3667" s="282">
        <f>++Tabla4[[#This Row],[Precio Descontado]]*Tabla4[[#This Row],[Cantidad]]</f>
        <v>3767.9088390000002</v>
      </c>
      <c r="Q3667" s="282" t="e">
        <f>(INDEX(Tabla6[#All],MATCH(Tabla4[[#This Row],[Producto]],Tabla6[[#All],[PRODUCTO]],0),MATCH(Tabla4[[#This Row],[Mes]],Tabla6[#Headers],0)))</f>
        <v>#N/A</v>
      </c>
      <c r="R3667" s="282" t="e">
        <f>++Tabla4[[#This Row],[Precio Unitario Neto]]-Tabla4[[#This Row],[20.85%]]-Tabla4[[#This Row],[Costo]]</f>
        <v>#N/A</v>
      </c>
      <c r="S3667" s="282" t="e">
        <f>++Tabla4[[#This Row],[U. Bruta Uni]]*Tabla4[[#This Row],[Cantidad]]</f>
        <v>#N/A</v>
      </c>
      <c r="T3667" s="369" t="str">
        <f>VLOOKUP(Tabla4[[#This Row],[Producto]],Tabla6[#All],14,FALSE)</f>
        <v>Termico Solar</v>
      </c>
      <c r="U3667" s="284" t="e">
        <f>(IF(Tabla4[[#This Row],[Familia]]="termico solar",Tabla4[[#This Row],[Utilidad Total]]*6%,Tabla4[[#This Row],[Utilidad Total]]*11.5%))/Tabla4[[#This Row],[Total]]</f>
        <v>#N/A</v>
      </c>
      <c r="V3667" s="282" t="e">
        <f>+Tabla4[[#This Row],[Comisión Calculada]]*Tabla4[[#This Row],[Total]]</f>
        <v>#N/A</v>
      </c>
    </row>
    <row r="3668" spans="1:22" hidden="1" x14ac:dyDescent="0.25">
      <c r="A3668" s="100">
        <v>45823</v>
      </c>
      <c r="B3668" t="str">
        <f t="shared" si="165"/>
        <v>June</v>
      </c>
      <c r="C3668" s="46" t="s">
        <v>280</v>
      </c>
      <c r="F3668" s="366" t="s">
        <v>2132</v>
      </c>
      <c r="G3668" s="46" t="s">
        <v>208</v>
      </c>
      <c r="H3668" s="46">
        <v>1</v>
      </c>
      <c r="I3668" s="51">
        <v>189.75</v>
      </c>
      <c r="J3668" s="281">
        <f>++Tabla4[[#This Row],[Precio Bruto]]*1.16</f>
        <v>220.10999999999999</v>
      </c>
      <c r="K3668" s="281">
        <f>+Tabla4[[#This Row],[Precio Unitario Neto]]*Tabla4[[#Headers],[20.85%]]</f>
        <v>45.892934999999994</v>
      </c>
      <c r="L3668" s="282">
        <f>++Tabla4[[#This Row],[Precio Unitario Neto]]-Tabla4[[#This Row],[20.85%]]</f>
        <v>174.21706499999999</v>
      </c>
      <c r="M3668" s="282" t="e">
        <f>(INDEX(Tabla6[#All],MATCH(Tabla4[[#This Row],[Producto]],Tabla6[[#All],[PRODUCTO]],0),MATCH(Tabla4[[#This Row],[Mes]],Tabla6[#Headers],0)))*(1+Catalogos!$L$2)</f>
        <v>#N/A</v>
      </c>
      <c r="N3668" s="283" t="e">
        <f>+(Tabla4[[#This Row],[Precio Descontado]]-Tabla4[[#This Row],[Precio Base]])*Tabla4[[#This Row],[Cantidad]]</f>
        <v>#N/A</v>
      </c>
      <c r="O3668" s="284" t="e">
        <f>++Tabla4[[#This Row],[Utilidad Total]]/Tabla4[[#This Row],[Total]]</f>
        <v>#N/A</v>
      </c>
      <c r="P3668" s="282">
        <f>++Tabla4[[#This Row],[Precio Descontado]]*Tabla4[[#This Row],[Cantidad]]</f>
        <v>174.21706499999999</v>
      </c>
      <c r="Q3668" s="282" t="e">
        <f>(INDEX(Tabla6[#All],MATCH(Tabla4[[#This Row],[Producto]],Tabla6[[#All],[PRODUCTO]],0),MATCH(Tabla4[[#This Row],[Mes]],Tabla6[#Headers],0)))</f>
        <v>#N/A</v>
      </c>
      <c r="R3668" s="282" t="e">
        <f>++Tabla4[[#This Row],[Precio Unitario Neto]]-Tabla4[[#This Row],[20.85%]]-Tabla4[[#This Row],[Costo]]</f>
        <v>#N/A</v>
      </c>
      <c r="S3668" s="282" t="e">
        <f>++Tabla4[[#This Row],[U. Bruta Uni]]*Tabla4[[#This Row],[Cantidad]]</f>
        <v>#N/A</v>
      </c>
      <c r="T3668" s="369" t="str">
        <f>VLOOKUP(Tabla4[[#This Row],[Producto]],Tabla6[#All],14,FALSE)</f>
        <v>Termico Solar</v>
      </c>
      <c r="U3668" s="284" t="e">
        <f>(IF(Tabla4[[#This Row],[Familia]]="termico solar",Tabla4[[#This Row],[Utilidad Total]]*6%,Tabla4[[#This Row],[Utilidad Total]]*11.5%))/Tabla4[[#This Row],[Total]]</f>
        <v>#N/A</v>
      </c>
      <c r="V3668" s="282" t="e">
        <f>+Tabla4[[#This Row],[Comisión Calculada]]*Tabla4[[#This Row],[Total]]</f>
        <v>#N/A</v>
      </c>
    </row>
    <row r="3669" spans="1:22" hidden="1" x14ac:dyDescent="0.25">
      <c r="A3669" s="100">
        <v>45823</v>
      </c>
      <c r="B3669" t="str">
        <f t="shared" si="165"/>
        <v>June</v>
      </c>
      <c r="C3669" s="46" t="s">
        <v>280</v>
      </c>
      <c r="F3669" s="366" t="s">
        <v>2133</v>
      </c>
      <c r="G3669" s="46" t="s">
        <v>83</v>
      </c>
      <c r="H3669" s="46">
        <v>2</v>
      </c>
      <c r="I3669" s="51">
        <v>8858.76</v>
      </c>
      <c r="J3669" s="281">
        <f>++Tabla4[[#This Row],[Precio Bruto]]*1.16</f>
        <v>10276.161599999999</v>
      </c>
      <c r="K3669" s="281">
        <f>+Tabla4[[#This Row],[Precio Unitario Neto]]*Tabla4[[#Headers],[20.85%]]</f>
        <v>2142.5796935999997</v>
      </c>
      <c r="L3669" s="282">
        <f>++Tabla4[[#This Row],[Precio Unitario Neto]]-Tabla4[[#This Row],[20.85%]]</f>
        <v>8133.5819063999998</v>
      </c>
      <c r="M3669" s="282" t="e">
        <f>(INDEX(Tabla6[#All],MATCH(Tabla4[[#This Row],[Producto]],Tabla6[[#All],[PRODUCTO]],0),MATCH(Tabla4[[#This Row],[Mes]],Tabla6[#Headers],0)))*(1+Catalogos!$L$2)</f>
        <v>#N/A</v>
      </c>
      <c r="N3669" s="283" t="e">
        <f>+(Tabla4[[#This Row],[Precio Descontado]]-Tabla4[[#This Row],[Precio Base]])*Tabla4[[#This Row],[Cantidad]]</f>
        <v>#N/A</v>
      </c>
      <c r="O3669" s="284" t="e">
        <f>++Tabla4[[#This Row],[Utilidad Total]]/Tabla4[[#This Row],[Total]]</f>
        <v>#N/A</v>
      </c>
      <c r="P3669" s="282">
        <f>++Tabla4[[#This Row],[Precio Descontado]]*Tabla4[[#This Row],[Cantidad]]</f>
        <v>16267.1638128</v>
      </c>
      <c r="Q3669" s="282" t="e">
        <f>(INDEX(Tabla6[#All],MATCH(Tabla4[[#This Row],[Producto]],Tabla6[[#All],[PRODUCTO]],0),MATCH(Tabla4[[#This Row],[Mes]],Tabla6[#Headers],0)))</f>
        <v>#N/A</v>
      </c>
      <c r="R3669" s="282" t="e">
        <f>++Tabla4[[#This Row],[Precio Unitario Neto]]-Tabla4[[#This Row],[20.85%]]-Tabla4[[#This Row],[Costo]]</f>
        <v>#N/A</v>
      </c>
      <c r="S3669" s="282" t="e">
        <f>++Tabla4[[#This Row],[U. Bruta Uni]]*Tabla4[[#This Row],[Cantidad]]</f>
        <v>#N/A</v>
      </c>
      <c r="T3669" s="369" t="str">
        <f>VLOOKUP(Tabla4[[#This Row],[Producto]],Tabla6[#All],14,FALSE)</f>
        <v>Termico Solar</v>
      </c>
      <c r="U3669" s="284" t="e">
        <f>(IF(Tabla4[[#This Row],[Familia]]="termico solar",Tabla4[[#This Row],[Utilidad Total]]*6%,Tabla4[[#This Row],[Utilidad Total]]*11.5%))/Tabla4[[#This Row],[Total]]</f>
        <v>#N/A</v>
      </c>
      <c r="V3669" s="282" t="e">
        <f>+Tabla4[[#This Row],[Comisión Calculada]]*Tabla4[[#This Row],[Total]]</f>
        <v>#N/A</v>
      </c>
    </row>
    <row r="3670" spans="1:22" hidden="1" x14ac:dyDescent="0.25">
      <c r="A3670" s="100">
        <v>45823</v>
      </c>
      <c r="B3670" t="str">
        <f t="shared" si="165"/>
        <v>June</v>
      </c>
      <c r="C3670" s="46" t="s">
        <v>280</v>
      </c>
      <c r="F3670" s="366" t="s">
        <v>2133</v>
      </c>
      <c r="G3670" s="46" t="s">
        <v>17</v>
      </c>
      <c r="H3670" s="46">
        <v>1</v>
      </c>
      <c r="I3670" s="51">
        <v>4622.28</v>
      </c>
      <c r="J3670" s="281">
        <f>++Tabla4[[#This Row],[Precio Bruto]]*1.16</f>
        <v>5361.8447999999989</v>
      </c>
      <c r="K3670" s="281">
        <f>+Tabla4[[#This Row],[Precio Unitario Neto]]*Tabla4[[#Headers],[20.85%]]</f>
        <v>1117.9446407999997</v>
      </c>
      <c r="L3670" s="282">
        <f>++Tabla4[[#This Row],[Precio Unitario Neto]]-Tabla4[[#This Row],[20.85%]]</f>
        <v>4243.9001591999995</v>
      </c>
      <c r="M3670" s="282" t="e">
        <f>(INDEX(Tabla6[#All],MATCH(Tabla4[[#This Row],[Producto]],Tabla6[[#All],[PRODUCTO]],0),MATCH(Tabla4[[#This Row],[Mes]],Tabla6[#Headers],0)))*(1+Catalogos!$L$2)</f>
        <v>#N/A</v>
      </c>
      <c r="N3670" s="283" t="e">
        <f>+(Tabla4[[#This Row],[Precio Descontado]]-Tabla4[[#This Row],[Precio Base]])*Tabla4[[#This Row],[Cantidad]]</f>
        <v>#N/A</v>
      </c>
      <c r="O3670" s="284" t="e">
        <f>++Tabla4[[#This Row],[Utilidad Total]]/Tabla4[[#This Row],[Total]]</f>
        <v>#N/A</v>
      </c>
      <c r="P3670" s="282">
        <f>++Tabla4[[#This Row],[Precio Descontado]]*Tabla4[[#This Row],[Cantidad]]</f>
        <v>4243.9001591999995</v>
      </c>
      <c r="Q3670" s="282" t="e">
        <f>(INDEX(Tabla6[#All],MATCH(Tabla4[[#This Row],[Producto]],Tabla6[[#All],[PRODUCTO]],0),MATCH(Tabla4[[#This Row],[Mes]],Tabla6[#Headers],0)))</f>
        <v>#N/A</v>
      </c>
      <c r="R3670" s="282" t="e">
        <f>++Tabla4[[#This Row],[Precio Unitario Neto]]-Tabla4[[#This Row],[20.85%]]-Tabla4[[#This Row],[Costo]]</f>
        <v>#N/A</v>
      </c>
      <c r="S3670" s="282" t="e">
        <f>++Tabla4[[#This Row],[U. Bruta Uni]]*Tabla4[[#This Row],[Cantidad]]</f>
        <v>#N/A</v>
      </c>
      <c r="T3670" s="369" t="str">
        <f>VLOOKUP(Tabla4[[#This Row],[Producto]],Tabla6[#All],14,FALSE)</f>
        <v>Termico Solar</v>
      </c>
      <c r="U3670" s="284" t="e">
        <f>(IF(Tabla4[[#This Row],[Familia]]="termico solar",Tabla4[[#This Row],[Utilidad Total]]*6%,Tabla4[[#This Row],[Utilidad Total]]*11.5%))/Tabla4[[#This Row],[Total]]</f>
        <v>#N/A</v>
      </c>
      <c r="V3670" s="282" t="e">
        <f>+Tabla4[[#This Row],[Comisión Calculada]]*Tabla4[[#This Row],[Total]]</f>
        <v>#N/A</v>
      </c>
    </row>
    <row r="3671" spans="1:22" hidden="1" x14ac:dyDescent="0.25">
      <c r="A3671" s="100">
        <v>45823</v>
      </c>
      <c r="B3671" t="str">
        <f t="shared" si="165"/>
        <v>June</v>
      </c>
      <c r="C3671" s="46" t="s">
        <v>280</v>
      </c>
      <c r="F3671" s="366" t="s">
        <v>2133</v>
      </c>
      <c r="G3671" s="46" t="s">
        <v>566</v>
      </c>
      <c r="H3671" s="46">
        <v>1</v>
      </c>
      <c r="I3671" s="51">
        <v>2109.4499999999998</v>
      </c>
      <c r="J3671" s="281">
        <f>++Tabla4[[#This Row],[Precio Bruto]]*1.16</f>
        <v>2446.9619999999995</v>
      </c>
      <c r="K3671" s="281">
        <f>+Tabla4[[#This Row],[Precio Unitario Neto]]*Tabla4[[#Headers],[20.85%]]</f>
        <v>510.19157699999988</v>
      </c>
      <c r="L3671" s="282">
        <f>++Tabla4[[#This Row],[Precio Unitario Neto]]-Tabla4[[#This Row],[20.85%]]</f>
        <v>1936.7704229999997</v>
      </c>
      <c r="M3671" s="282" t="e">
        <f>(INDEX(Tabla6[#All],MATCH(Tabla4[[#This Row],[Producto]],Tabla6[[#All],[PRODUCTO]],0),MATCH(Tabla4[[#This Row],[Mes]],Tabla6[#Headers],0)))*(1+Catalogos!$L$2)</f>
        <v>#N/A</v>
      </c>
      <c r="N3671" s="283" t="e">
        <f>+(Tabla4[[#This Row],[Precio Descontado]]-Tabla4[[#This Row],[Precio Base]])*Tabla4[[#This Row],[Cantidad]]</f>
        <v>#N/A</v>
      </c>
      <c r="O3671" s="284" t="e">
        <f>++Tabla4[[#This Row],[Utilidad Total]]/Tabla4[[#This Row],[Total]]</f>
        <v>#N/A</v>
      </c>
      <c r="P3671" s="282">
        <f>++Tabla4[[#This Row],[Precio Descontado]]*Tabla4[[#This Row],[Cantidad]]</f>
        <v>1936.7704229999997</v>
      </c>
      <c r="Q3671" s="282" t="e">
        <f>(INDEX(Tabla6[#All],MATCH(Tabla4[[#This Row],[Producto]],Tabla6[[#All],[PRODUCTO]],0),MATCH(Tabla4[[#This Row],[Mes]],Tabla6[#Headers],0)))</f>
        <v>#N/A</v>
      </c>
      <c r="R3671" s="282" t="e">
        <f>++Tabla4[[#This Row],[Precio Unitario Neto]]-Tabla4[[#This Row],[20.85%]]-Tabla4[[#This Row],[Costo]]</f>
        <v>#N/A</v>
      </c>
      <c r="S3671" s="282" t="e">
        <f>++Tabla4[[#This Row],[U. Bruta Uni]]*Tabla4[[#This Row],[Cantidad]]</f>
        <v>#N/A</v>
      </c>
      <c r="T3671" s="369" t="str">
        <f>VLOOKUP(Tabla4[[#This Row],[Producto]],Tabla6[#All],14,FALSE)</f>
        <v>Termico Solar</v>
      </c>
      <c r="U3671" s="284" t="e">
        <f>(IF(Tabla4[[#This Row],[Familia]]="termico solar",Tabla4[[#This Row],[Utilidad Total]]*6%,Tabla4[[#This Row],[Utilidad Total]]*11.5%))/Tabla4[[#This Row],[Total]]</f>
        <v>#N/A</v>
      </c>
      <c r="V3671" s="282" t="e">
        <f>+Tabla4[[#This Row],[Comisión Calculada]]*Tabla4[[#This Row],[Total]]</f>
        <v>#N/A</v>
      </c>
    </row>
    <row r="3672" spans="1:22" hidden="1" x14ac:dyDescent="0.25">
      <c r="A3672" s="100">
        <v>45823</v>
      </c>
      <c r="B3672" t="str">
        <f t="shared" si="165"/>
        <v>June</v>
      </c>
      <c r="C3672" s="46" t="s">
        <v>280</v>
      </c>
      <c r="F3672" s="366" t="s">
        <v>2134</v>
      </c>
      <c r="G3672" s="46" t="s">
        <v>566</v>
      </c>
      <c r="H3672" s="46">
        <v>1</v>
      </c>
      <c r="I3672" s="51">
        <v>2109.4499999999998</v>
      </c>
      <c r="J3672" s="281">
        <f>++Tabla4[[#This Row],[Precio Bruto]]*1.16</f>
        <v>2446.9619999999995</v>
      </c>
      <c r="K3672" s="281">
        <f>+Tabla4[[#This Row],[Precio Unitario Neto]]*Tabla4[[#Headers],[20.85%]]</f>
        <v>510.19157699999988</v>
      </c>
      <c r="L3672" s="282">
        <f>++Tabla4[[#This Row],[Precio Unitario Neto]]-Tabla4[[#This Row],[20.85%]]</f>
        <v>1936.7704229999997</v>
      </c>
      <c r="M3672" s="282" t="e">
        <f>(INDEX(Tabla6[#All],MATCH(Tabla4[[#This Row],[Producto]],Tabla6[[#All],[PRODUCTO]],0),MATCH(Tabla4[[#This Row],[Mes]],Tabla6[#Headers],0)))*(1+Catalogos!$L$2)</f>
        <v>#N/A</v>
      </c>
      <c r="N3672" s="283" t="e">
        <f>+(Tabla4[[#This Row],[Precio Descontado]]-Tabla4[[#This Row],[Precio Base]])*Tabla4[[#This Row],[Cantidad]]</f>
        <v>#N/A</v>
      </c>
      <c r="O3672" s="284" t="e">
        <f>++Tabla4[[#This Row],[Utilidad Total]]/Tabla4[[#This Row],[Total]]</f>
        <v>#N/A</v>
      </c>
      <c r="P3672" s="282">
        <f>++Tabla4[[#This Row],[Precio Descontado]]*Tabla4[[#This Row],[Cantidad]]</f>
        <v>1936.7704229999997</v>
      </c>
      <c r="Q3672" s="282" t="e">
        <f>(INDEX(Tabla6[#All],MATCH(Tabla4[[#This Row],[Producto]],Tabla6[[#All],[PRODUCTO]],0),MATCH(Tabla4[[#This Row],[Mes]],Tabla6[#Headers],0)))</f>
        <v>#N/A</v>
      </c>
      <c r="R3672" s="282" t="e">
        <f>++Tabla4[[#This Row],[Precio Unitario Neto]]-Tabla4[[#This Row],[20.85%]]-Tabla4[[#This Row],[Costo]]</f>
        <v>#N/A</v>
      </c>
      <c r="S3672" s="282" t="e">
        <f>++Tabla4[[#This Row],[U. Bruta Uni]]*Tabla4[[#This Row],[Cantidad]]</f>
        <v>#N/A</v>
      </c>
      <c r="T3672" s="369" t="str">
        <f>VLOOKUP(Tabla4[[#This Row],[Producto]],Tabla6[#All],14,FALSE)</f>
        <v>Termico Solar</v>
      </c>
      <c r="U3672" s="284" t="e">
        <f>(IF(Tabla4[[#This Row],[Familia]]="termico solar",Tabla4[[#This Row],[Utilidad Total]]*6%,Tabla4[[#This Row],[Utilidad Total]]*11.5%))/Tabla4[[#This Row],[Total]]</f>
        <v>#N/A</v>
      </c>
      <c r="V3672" s="282" t="e">
        <f>+Tabla4[[#This Row],[Comisión Calculada]]*Tabla4[[#This Row],[Total]]</f>
        <v>#N/A</v>
      </c>
    </row>
    <row r="3673" spans="1:22" hidden="1" x14ac:dyDescent="0.25">
      <c r="A3673" s="100">
        <v>45823</v>
      </c>
      <c r="B3673" t="str">
        <f t="shared" ref="B3673:B3678" si="166">TEXT(A3673, "mmmm")</f>
        <v>June</v>
      </c>
      <c r="C3673" s="46" t="s">
        <v>280</v>
      </c>
      <c r="F3673" s="366" t="s">
        <v>2135</v>
      </c>
      <c r="G3673" s="46" t="s">
        <v>17</v>
      </c>
      <c r="H3673" s="46">
        <v>2</v>
      </c>
      <c r="I3673" s="51">
        <v>4622.28</v>
      </c>
      <c r="J3673" s="281">
        <f>++Tabla4[[#This Row],[Precio Bruto]]*1.16</f>
        <v>5361.8447999999989</v>
      </c>
      <c r="K3673" s="281">
        <f>+Tabla4[[#This Row],[Precio Unitario Neto]]*Tabla4[[#Headers],[20.85%]]</f>
        <v>1117.9446407999997</v>
      </c>
      <c r="L3673" s="282">
        <f>++Tabla4[[#This Row],[Precio Unitario Neto]]-Tabla4[[#This Row],[20.85%]]</f>
        <v>4243.9001591999995</v>
      </c>
      <c r="M3673" s="282" t="e">
        <f>(INDEX(Tabla6[#All],MATCH(Tabla4[[#This Row],[Producto]],Tabla6[[#All],[PRODUCTO]],0),MATCH(Tabla4[[#This Row],[Mes]],Tabla6[#Headers],0)))*(1+Catalogos!$L$2)</f>
        <v>#N/A</v>
      </c>
      <c r="N3673" s="283" t="e">
        <f>+(Tabla4[[#This Row],[Precio Descontado]]-Tabla4[[#This Row],[Precio Base]])*Tabla4[[#This Row],[Cantidad]]</f>
        <v>#N/A</v>
      </c>
      <c r="O3673" s="284" t="e">
        <f>++Tabla4[[#This Row],[Utilidad Total]]/Tabla4[[#This Row],[Total]]</f>
        <v>#N/A</v>
      </c>
      <c r="P3673" s="282">
        <f>++Tabla4[[#This Row],[Precio Descontado]]*Tabla4[[#This Row],[Cantidad]]</f>
        <v>8487.800318399999</v>
      </c>
      <c r="Q3673" s="282" t="e">
        <f>(INDEX(Tabla6[#All],MATCH(Tabla4[[#This Row],[Producto]],Tabla6[[#All],[PRODUCTO]],0),MATCH(Tabla4[[#This Row],[Mes]],Tabla6[#Headers],0)))</f>
        <v>#N/A</v>
      </c>
      <c r="R3673" s="282" t="e">
        <f>++Tabla4[[#This Row],[Precio Unitario Neto]]-Tabla4[[#This Row],[20.85%]]-Tabla4[[#This Row],[Costo]]</f>
        <v>#N/A</v>
      </c>
      <c r="S3673" s="282" t="e">
        <f>++Tabla4[[#This Row],[U. Bruta Uni]]*Tabla4[[#This Row],[Cantidad]]</f>
        <v>#N/A</v>
      </c>
      <c r="T3673" s="369" t="str">
        <f>VLOOKUP(Tabla4[[#This Row],[Producto]],Tabla6[#All],14,FALSE)</f>
        <v>Termico Solar</v>
      </c>
      <c r="U3673" s="284" t="e">
        <f>(IF(Tabla4[[#This Row],[Familia]]="termico solar",Tabla4[[#This Row],[Utilidad Total]]*6%,Tabla4[[#This Row],[Utilidad Total]]*11.5%))/Tabla4[[#This Row],[Total]]</f>
        <v>#N/A</v>
      </c>
      <c r="V3673" s="282" t="e">
        <f>+Tabla4[[#This Row],[Comisión Calculada]]*Tabla4[[#This Row],[Total]]</f>
        <v>#N/A</v>
      </c>
    </row>
    <row r="3674" spans="1:22" hidden="1" x14ac:dyDescent="0.25">
      <c r="A3674" s="100">
        <v>45823</v>
      </c>
      <c r="B3674" t="str">
        <f t="shared" si="166"/>
        <v>June</v>
      </c>
      <c r="C3674" s="46" t="s">
        <v>280</v>
      </c>
      <c r="F3674" s="366" t="s">
        <v>2135</v>
      </c>
      <c r="G3674" s="46" t="s">
        <v>566</v>
      </c>
      <c r="H3674" s="46">
        <v>1</v>
      </c>
      <c r="I3674" s="51">
        <v>2109.4499999999998</v>
      </c>
      <c r="J3674" s="281">
        <f>++Tabla4[[#This Row],[Precio Bruto]]*1.16</f>
        <v>2446.9619999999995</v>
      </c>
      <c r="K3674" s="281">
        <f>+Tabla4[[#This Row],[Precio Unitario Neto]]*Tabla4[[#Headers],[20.85%]]</f>
        <v>510.19157699999988</v>
      </c>
      <c r="L3674" s="282">
        <f>++Tabla4[[#This Row],[Precio Unitario Neto]]-Tabla4[[#This Row],[20.85%]]</f>
        <v>1936.7704229999997</v>
      </c>
      <c r="M3674" s="282" t="e">
        <f>(INDEX(Tabla6[#All],MATCH(Tabla4[[#This Row],[Producto]],Tabla6[[#All],[PRODUCTO]],0),MATCH(Tabla4[[#This Row],[Mes]],Tabla6[#Headers],0)))*(1+Catalogos!$L$2)</f>
        <v>#N/A</v>
      </c>
      <c r="N3674" s="283" t="e">
        <f>+(Tabla4[[#This Row],[Precio Descontado]]-Tabla4[[#This Row],[Precio Base]])*Tabla4[[#This Row],[Cantidad]]</f>
        <v>#N/A</v>
      </c>
      <c r="O3674" s="284" t="e">
        <f>++Tabla4[[#This Row],[Utilidad Total]]/Tabla4[[#This Row],[Total]]</f>
        <v>#N/A</v>
      </c>
      <c r="P3674" s="282">
        <f>++Tabla4[[#This Row],[Precio Descontado]]*Tabla4[[#This Row],[Cantidad]]</f>
        <v>1936.7704229999997</v>
      </c>
      <c r="Q3674" s="282" t="e">
        <f>(INDEX(Tabla6[#All],MATCH(Tabla4[[#This Row],[Producto]],Tabla6[[#All],[PRODUCTO]],0),MATCH(Tabla4[[#This Row],[Mes]],Tabla6[#Headers],0)))</f>
        <v>#N/A</v>
      </c>
      <c r="R3674" s="282" t="e">
        <f>++Tabla4[[#This Row],[Precio Unitario Neto]]-Tabla4[[#This Row],[20.85%]]-Tabla4[[#This Row],[Costo]]</f>
        <v>#N/A</v>
      </c>
      <c r="S3674" s="282" t="e">
        <f>++Tabla4[[#This Row],[U. Bruta Uni]]*Tabla4[[#This Row],[Cantidad]]</f>
        <v>#N/A</v>
      </c>
      <c r="T3674" s="369" t="str">
        <f>VLOOKUP(Tabla4[[#This Row],[Producto]],Tabla6[#All],14,FALSE)</f>
        <v>Termico Solar</v>
      </c>
      <c r="U3674" s="284" t="e">
        <f>(IF(Tabla4[[#This Row],[Familia]]="termico solar",Tabla4[[#This Row],[Utilidad Total]]*6%,Tabla4[[#This Row],[Utilidad Total]]*11.5%))/Tabla4[[#This Row],[Total]]</f>
        <v>#N/A</v>
      </c>
      <c r="V3674" s="282" t="e">
        <f>+Tabla4[[#This Row],[Comisión Calculada]]*Tabla4[[#This Row],[Total]]</f>
        <v>#N/A</v>
      </c>
    </row>
    <row r="3675" spans="1:22" hidden="1" x14ac:dyDescent="0.25">
      <c r="A3675" s="100">
        <v>45823</v>
      </c>
      <c r="B3675" t="str">
        <f t="shared" si="166"/>
        <v>June</v>
      </c>
      <c r="C3675" s="46" t="s">
        <v>280</v>
      </c>
      <c r="F3675" s="366" t="s">
        <v>2135</v>
      </c>
      <c r="G3675" s="46" t="s">
        <v>394</v>
      </c>
      <c r="H3675" s="46">
        <v>9</v>
      </c>
      <c r="I3675" s="51">
        <v>108.1</v>
      </c>
      <c r="J3675" s="281">
        <f>++Tabla4[[#This Row],[Precio Bruto]]*1.16</f>
        <v>125.39599999999999</v>
      </c>
      <c r="K3675" s="281">
        <f>+Tabla4[[#This Row],[Precio Unitario Neto]]*Tabla4[[#Headers],[20.85%]]</f>
        <v>26.145065999999996</v>
      </c>
      <c r="L3675" s="282">
        <f>++Tabla4[[#This Row],[Precio Unitario Neto]]-Tabla4[[#This Row],[20.85%]]</f>
        <v>99.250933999999987</v>
      </c>
      <c r="M3675" s="282" t="e">
        <f>(INDEX(Tabla6[#All],MATCH(Tabla4[[#This Row],[Producto]],Tabla6[[#All],[PRODUCTO]],0),MATCH(Tabla4[[#This Row],[Mes]],Tabla6[#Headers],0)))*(1+Catalogos!$L$2)</f>
        <v>#N/A</v>
      </c>
      <c r="N3675" s="283" t="e">
        <f>+(Tabla4[[#This Row],[Precio Descontado]]-Tabla4[[#This Row],[Precio Base]])*Tabla4[[#This Row],[Cantidad]]</f>
        <v>#N/A</v>
      </c>
      <c r="O3675" s="284" t="e">
        <f>++Tabla4[[#This Row],[Utilidad Total]]/Tabla4[[#This Row],[Total]]</f>
        <v>#N/A</v>
      </c>
      <c r="P3675" s="282">
        <f>++Tabla4[[#This Row],[Precio Descontado]]*Tabla4[[#This Row],[Cantidad]]</f>
        <v>893.25840599999992</v>
      </c>
      <c r="Q3675" s="282" t="e">
        <f>(INDEX(Tabla6[#All],MATCH(Tabla4[[#This Row],[Producto]],Tabla6[[#All],[PRODUCTO]],0),MATCH(Tabla4[[#This Row],[Mes]],Tabla6[#Headers],0)))</f>
        <v>#N/A</v>
      </c>
      <c r="R3675" s="282" t="e">
        <f>++Tabla4[[#This Row],[Precio Unitario Neto]]-Tabla4[[#This Row],[20.85%]]-Tabla4[[#This Row],[Costo]]</f>
        <v>#N/A</v>
      </c>
      <c r="S3675" s="282" t="e">
        <f>++Tabla4[[#This Row],[U. Bruta Uni]]*Tabla4[[#This Row],[Cantidad]]</f>
        <v>#N/A</v>
      </c>
      <c r="T3675" s="369" t="str">
        <f>VLOOKUP(Tabla4[[#This Row],[Producto]],Tabla6[#All],14,FALSE)</f>
        <v>Termico Solar</v>
      </c>
      <c r="U3675" s="284" t="e">
        <f>(IF(Tabla4[[#This Row],[Familia]]="termico solar",Tabla4[[#This Row],[Utilidad Total]]*6%,Tabla4[[#This Row],[Utilidad Total]]*11.5%))/Tabla4[[#This Row],[Total]]</f>
        <v>#N/A</v>
      </c>
      <c r="V3675" s="282" t="e">
        <f>+Tabla4[[#This Row],[Comisión Calculada]]*Tabla4[[#This Row],[Total]]</f>
        <v>#N/A</v>
      </c>
    </row>
    <row r="3676" spans="1:22" hidden="1" x14ac:dyDescent="0.25">
      <c r="A3676" s="100">
        <v>45823</v>
      </c>
      <c r="B3676" t="str">
        <f t="shared" si="166"/>
        <v>June</v>
      </c>
      <c r="C3676" s="46" t="s">
        <v>280</v>
      </c>
      <c r="F3676" s="366" t="s">
        <v>2135</v>
      </c>
      <c r="G3676" s="46" t="s">
        <v>200</v>
      </c>
      <c r="H3676" s="46">
        <v>12</v>
      </c>
      <c r="I3676" s="51">
        <v>393.22</v>
      </c>
      <c r="J3676" s="281">
        <f>++Tabla4[[#This Row],[Precio Bruto]]*1.16</f>
        <v>456.1352</v>
      </c>
      <c r="K3676" s="281">
        <f>+Tabla4[[#This Row],[Precio Unitario Neto]]*Tabla4[[#Headers],[20.85%]]</f>
        <v>95.104189199999993</v>
      </c>
      <c r="L3676" s="282">
        <f>++Tabla4[[#This Row],[Precio Unitario Neto]]-Tabla4[[#This Row],[20.85%]]</f>
        <v>361.03101079999999</v>
      </c>
      <c r="M3676" s="282" t="e">
        <f>(INDEX(Tabla6[#All],MATCH(Tabla4[[#This Row],[Producto]],Tabla6[[#All],[PRODUCTO]],0),MATCH(Tabla4[[#This Row],[Mes]],Tabla6[#Headers],0)))*(1+Catalogos!$L$2)</f>
        <v>#N/A</v>
      </c>
      <c r="N3676" s="283" t="e">
        <f>+(Tabla4[[#This Row],[Precio Descontado]]-Tabla4[[#This Row],[Precio Base]])*Tabla4[[#This Row],[Cantidad]]</f>
        <v>#N/A</v>
      </c>
      <c r="O3676" s="284" t="e">
        <f>++Tabla4[[#This Row],[Utilidad Total]]/Tabla4[[#This Row],[Total]]</f>
        <v>#N/A</v>
      </c>
      <c r="P3676" s="282">
        <f>++Tabla4[[#This Row],[Precio Descontado]]*Tabla4[[#This Row],[Cantidad]]</f>
        <v>4332.3721296000003</v>
      </c>
      <c r="Q3676" s="282" t="e">
        <f>(INDEX(Tabla6[#All],MATCH(Tabla4[[#This Row],[Producto]],Tabla6[[#All],[PRODUCTO]],0),MATCH(Tabla4[[#This Row],[Mes]],Tabla6[#Headers],0)))</f>
        <v>#N/A</v>
      </c>
      <c r="R3676" s="282" t="e">
        <f>++Tabla4[[#This Row],[Precio Unitario Neto]]-Tabla4[[#This Row],[20.85%]]-Tabla4[[#This Row],[Costo]]</f>
        <v>#N/A</v>
      </c>
      <c r="S3676" s="282" t="e">
        <f>++Tabla4[[#This Row],[U. Bruta Uni]]*Tabla4[[#This Row],[Cantidad]]</f>
        <v>#N/A</v>
      </c>
      <c r="T3676" s="369" t="str">
        <f>VLOOKUP(Tabla4[[#This Row],[Producto]],Tabla6[#All],14,FALSE)</f>
        <v>Termico Solar</v>
      </c>
      <c r="U3676" s="284" t="e">
        <f>(IF(Tabla4[[#This Row],[Familia]]="termico solar",Tabla4[[#This Row],[Utilidad Total]]*6%,Tabla4[[#This Row],[Utilidad Total]]*11.5%))/Tabla4[[#This Row],[Total]]</f>
        <v>#N/A</v>
      </c>
      <c r="V3676" s="282" t="e">
        <f>+Tabla4[[#This Row],[Comisión Calculada]]*Tabla4[[#This Row],[Total]]</f>
        <v>#N/A</v>
      </c>
    </row>
    <row r="3677" spans="1:22" hidden="1" x14ac:dyDescent="0.25">
      <c r="A3677" s="100">
        <v>45823</v>
      </c>
      <c r="B3677" t="str">
        <f t="shared" si="166"/>
        <v>June</v>
      </c>
      <c r="C3677" s="46" t="s">
        <v>280</v>
      </c>
      <c r="F3677" s="366" t="s">
        <v>2135</v>
      </c>
      <c r="G3677" s="46" t="s">
        <v>545</v>
      </c>
      <c r="H3677" s="46">
        <v>24</v>
      </c>
      <c r="I3677" s="51">
        <v>304.32</v>
      </c>
      <c r="J3677" s="281">
        <f>++Tabla4[[#This Row],[Precio Bruto]]*1.16</f>
        <v>353.01119999999997</v>
      </c>
      <c r="K3677" s="281">
        <f>+Tabla4[[#This Row],[Precio Unitario Neto]]*Tabla4[[#Headers],[20.85%]]</f>
        <v>73.602835199999987</v>
      </c>
      <c r="L3677" s="282">
        <f>++Tabla4[[#This Row],[Precio Unitario Neto]]-Tabla4[[#This Row],[20.85%]]</f>
        <v>279.40836479999996</v>
      </c>
      <c r="M3677" s="282" t="e">
        <f>(INDEX(Tabla6[#All],MATCH(Tabla4[[#This Row],[Producto]],Tabla6[[#All],[PRODUCTO]],0),MATCH(Tabla4[[#This Row],[Mes]],Tabla6[#Headers],0)))*(1+Catalogos!$L$2)</f>
        <v>#N/A</v>
      </c>
      <c r="N3677" s="283" t="e">
        <f>+(Tabla4[[#This Row],[Precio Descontado]]-Tabla4[[#This Row],[Precio Base]])*Tabla4[[#This Row],[Cantidad]]</f>
        <v>#N/A</v>
      </c>
      <c r="O3677" s="284" t="e">
        <f>++Tabla4[[#This Row],[Utilidad Total]]/Tabla4[[#This Row],[Total]]</f>
        <v>#N/A</v>
      </c>
      <c r="P3677" s="282">
        <f>++Tabla4[[#This Row],[Precio Descontado]]*Tabla4[[#This Row],[Cantidad]]</f>
        <v>6705.800755199999</v>
      </c>
      <c r="Q3677" s="282" t="e">
        <f>(INDEX(Tabla6[#All],MATCH(Tabla4[[#This Row],[Producto]],Tabla6[[#All],[PRODUCTO]],0),MATCH(Tabla4[[#This Row],[Mes]],Tabla6[#Headers],0)))</f>
        <v>#N/A</v>
      </c>
      <c r="R3677" s="282" t="e">
        <f>++Tabla4[[#This Row],[Precio Unitario Neto]]-Tabla4[[#This Row],[20.85%]]-Tabla4[[#This Row],[Costo]]</f>
        <v>#N/A</v>
      </c>
      <c r="S3677" s="282" t="e">
        <f>++Tabla4[[#This Row],[U. Bruta Uni]]*Tabla4[[#This Row],[Cantidad]]</f>
        <v>#N/A</v>
      </c>
      <c r="T3677" s="369" t="str">
        <f>VLOOKUP(Tabla4[[#This Row],[Producto]],Tabla6[#All],14,FALSE)</f>
        <v>Termico Solar</v>
      </c>
      <c r="U3677" s="284" t="e">
        <f>(IF(Tabla4[[#This Row],[Familia]]="termico solar",Tabla4[[#This Row],[Utilidad Total]]*6%,Tabla4[[#This Row],[Utilidad Total]]*11.5%))/Tabla4[[#This Row],[Total]]</f>
        <v>#N/A</v>
      </c>
      <c r="V3677" s="282" t="e">
        <f>+Tabla4[[#This Row],[Comisión Calculada]]*Tabla4[[#This Row],[Total]]</f>
        <v>#N/A</v>
      </c>
    </row>
    <row r="3678" spans="1:22" hidden="1" x14ac:dyDescent="0.25">
      <c r="A3678" s="100">
        <v>45823</v>
      </c>
      <c r="B3678" t="str">
        <f t="shared" si="166"/>
        <v>June</v>
      </c>
      <c r="C3678" s="46" t="s">
        <v>280</v>
      </c>
      <c r="F3678" s="366" t="s">
        <v>2135</v>
      </c>
      <c r="G3678" s="46" t="s">
        <v>209</v>
      </c>
      <c r="H3678" s="46">
        <v>6</v>
      </c>
      <c r="I3678" s="51">
        <v>347.48</v>
      </c>
      <c r="J3678" s="281">
        <f>++Tabla4[[#This Row],[Precio Bruto]]*1.16</f>
        <v>403.07679999999999</v>
      </c>
      <c r="K3678" s="281">
        <f>+Tabla4[[#This Row],[Precio Unitario Neto]]*Tabla4[[#Headers],[20.85%]]</f>
        <v>84.041512799999992</v>
      </c>
      <c r="L3678" s="282">
        <f>++Tabla4[[#This Row],[Precio Unitario Neto]]-Tabla4[[#This Row],[20.85%]]</f>
        <v>319.03528719999997</v>
      </c>
      <c r="M3678" s="282" t="e">
        <f>(INDEX(Tabla6[#All],MATCH(Tabla4[[#This Row],[Producto]],Tabla6[[#All],[PRODUCTO]],0),MATCH(Tabla4[[#This Row],[Mes]],Tabla6[#Headers],0)))*(1+Catalogos!$L$2)</f>
        <v>#N/A</v>
      </c>
      <c r="N3678" s="283" t="e">
        <f>+(Tabla4[[#This Row],[Precio Descontado]]-Tabla4[[#This Row],[Precio Base]])*Tabla4[[#This Row],[Cantidad]]</f>
        <v>#N/A</v>
      </c>
      <c r="O3678" s="284" t="e">
        <f>++Tabla4[[#This Row],[Utilidad Total]]/Tabla4[[#This Row],[Total]]</f>
        <v>#N/A</v>
      </c>
      <c r="P3678" s="282">
        <f>++Tabla4[[#This Row],[Precio Descontado]]*Tabla4[[#This Row],[Cantidad]]</f>
        <v>1914.2117231999998</v>
      </c>
      <c r="Q3678" s="282" t="e">
        <f>(INDEX(Tabla6[#All],MATCH(Tabla4[[#This Row],[Producto]],Tabla6[[#All],[PRODUCTO]],0),MATCH(Tabla4[[#This Row],[Mes]],Tabla6[#Headers],0)))</f>
        <v>#N/A</v>
      </c>
      <c r="R3678" s="282" t="e">
        <f>++Tabla4[[#This Row],[Precio Unitario Neto]]-Tabla4[[#This Row],[20.85%]]-Tabla4[[#This Row],[Costo]]</f>
        <v>#N/A</v>
      </c>
      <c r="S3678" s="282" t="e">
        <f>++Tabla4[[#This Row],[U. Bruta Uni]]*Tabla4[[#This Row],[Cantidad]]</f>
        <v>#N/A</v>
      </c>
      <c r="T3678" s="369" t="str">
        <f>VLOOKUP(Tabla4[[#This Row],[Producto]],Tabla6[#All],14,FALSE)</f>
        <v>Termico Solar</v>
      </c>
      <c r="U3678" s="284" t="e">
        <f>(IF(Tabla4[[#This Row],[Familia]]="termico solar",Tabla4[[#This Row],[Utilidad Total]]*6%,Tabla4[[#This Row],[Utilidad Total]]*11.5%))/Tabla4[[#This Row],[Total]]</f>
        <v>#N/A</v>
      </c>
      <c r="V3678" s="282" t="e">
        <f>+Tabla4[[#This Row],[Comisión Calculada]]*Tabla4[[#This Row],[Total]]</f>
        <v>#N/A</v>
      </c>
    </row>
    <row r="3679" spans="1:22" hidden="1" x14ac:dyDescent="0.25">
      <c r="A3679" s="100">
        <v>45823</v>
      </c>
      <c r="B3679" t="str">
        <f>TEXT(A3679, "mmmm")</f>
        <v>June</v>
      </c>
      <c r="C3679" s="46" t="s">
        <v>280</v>
      </c>
      <c r="F3679" s="366" t="s">
        <v>2136</v>
      </c>
      <c r="G3679" s="46" t="s">
        <v>18</v>
      </c>
      <c r="H3679" s="46">
        <v>4</v>
      </c>
      <c r="I3679" s="51">
        <v>5367.65</v>
      </c>
      <c r="J3679" s="281">
        <f>++Tabla4[[#This Row],[Precio Bruto]]*1.16</f>
        <v>6226.4739999999993</v>
      </c>
      <c r="K3679" s="281">
        <f>+Tabla4[[#This Row],[Precio Unitario Neto]]*Tabla4[[#Headers],[20.85%]]</f>
        <v>1298.2198289999999</v>
      </c>
      <c r="L3679" s="282">
        <f>++Tabla4[[#This Row],[Precio Unitario Neto]]-Tabla4[[#This Row],[20.85%]]</f>
        <v>4928.2541709999996</v>
      </c>
      <c r="M3679" s="282" t="e">
        <f>(INDEX(Tabla6[#All],MATCH(Tabla4[[#This Row],[Producto]],Tabla6[[#All],[PRODUCTO]],0),MATCH(Tabla4[[#This Row],[Mes]],Tabla6[#Headers],0)))*(1+Catalogos!$L$2)</f>
        <v>#N/A</v>
      </c>
      <c r="N3679" s="283" t="e">
        <f>+(Tabla4[[#This Row],[Precio Descontado]]-Tabla4[[#This Row],[Precio Base]])*Tabla4[[#This Row],[Cantidad]]</f>
        <v>#N/A</v>
      </c>
      <c r="O3679" s="284" t="e">
        <f>++Tabla4[[#This Row],[Utilidad Total]]/Tabla4[[#This Row],[Total]]</f>
        <v>#N/A</v>
      </c>
      <c r="P3679" s="282">
        <f>++Tabla4[[#This Row],[Precio Descontado]]*Tabla4[[#This Row],[Cantidad]]</f>
        <v>19713.016683999998</v>
      </c>
      <c r="Q3679" s="282" t="e">
        <f>(INDEX(Tabla6[#All],MATCH(Tabla4[[#This Row],[Producto]],Tabla6[[#All],[PRODUCTO]],0),MATCH(Tabla4[[#This Row],[Mes]],Tabla6[#Headers],0)))</f>
        <v>#N/A</v>
      </c>
      <c r="R3679" s="282" t="e">
        <f>++Tabla4[[#This Row],[Precio Unitario Neto]]-Tabla4[[#This Row],[20.85%]]-Tabla4[[#This Row],[Costo]]</f>
        <v>#N/A</v>
      </c>
      <c r="S3679" s="282" t="e">
        <f>++Tabla4[[#This Row],[U. Bruta Uni]]*Tabla4[[#This Row],[Cantidad]]</f>
        <v>#N/A</v>
      </c>
      <c r="T3679" s="369" t="str">
        <f>VLOOKUP(Tabla4[[#This Row],[Producto]],Tabla6[#All],14,FALSE)</f>
        <v>Termico Solar</v>
      </c>
      <c r="U3679" s="284" t="e">
        <f>(IF(Tabla4[[#This Row],[Familia]]="termico solar",Tabla4[[#This Row],[Utilidad Total]]*6%,Tabla4[[#This Row],[Utilidad Total]]*11.5%))/Tabla4[[#This Row],[Total]]</f>
        <v>#N/A</v>
      </c>
      <c r="V3679" s="282" t="e">
        <f>+Tabla4[[#This Row],[Comisión Calculada]]*Tabla4[[#This Row],[Total]]</f>
        <v>#N/A</v>
      </c>
    </row>
    <row r="3680" spans="1:22" hidden="1" x14ac:dyDescent="0.25">
      <c r="A3680" s="100">
        <v>45823</v>
      </c>
      <c r="B3680" t="str">
        <f>TEXT(A3680, "mmmm")</f>
        <v>June</v>
      </c>
      <c r="C3680" s="46" t="s">
        <v>280</v>
      </c>
      <c r="F3680" s="366" t="s">
        <v>2136</v>
      </c>
      <c r="G3680" s="46" t="s">
        <v>566</v>
      </c>
      <c r="H3680" s="46">
        <v>1</v>
      </c>
      <c r="I3680" s="51">
        <v>2109.4499999999998</v>
      </c>
      <c r="J3680" s="281">
        <f>++Tabla4[[#This Row],[Precio Bruto]]*1.16</f>
        <v>2446.9619999999995</v>
      </c>
      <c r="K3680" s="281">
        <f>+Tabla4[[#This Row],[Precio Unitario Neto]]*Tabla4[[#Headers],[20.85%]]</f>
        <v>510.19157699999988</v>
      </c>
      <c r="L3680" s="282">
        <f>++Tabla4[[#This Row],[Precio Unitario Neto]]-Tabla4[[#This Row],[20.85%]]</f>
        <v>1936.7704229999997</v>
      </c>
      <c r="M3680" s="282" t="e">
        <f>(INDEX(Tabla6[#All],MATCH(Tabla4[[#This Row],[Producto]],Tabla6[[#All],[PRODUCTO]],0),MATCH(Tabla4[[#This Row],[Mes]],Tabla6[#Headers],0)))*(1+Catalogos!$L$2)</f>
        <v>#N/A</v>
      </c>
      <c r="N3680" s="283" t="e">
        <f>+(Tabla4[[#This Row],[Precio Descontado]]-Tabla4[[#This Row],[Precio Base]])*Tabla4[[#This Row],[Cantidad]]</f>
        <v>#N/A</v>
      </c>
      <c r="O3680" s="284" t="e">
        <f>++Tabla4[[#This Row],[Utilidad Total]]/Tabla4[[#This Row],[Total]]</f>
        <v>#N/A</v>
      </c>
      <c r="P3680" s="282">
        <f>++Tabla4[[#This Row],[Precio Descontado]]*Tabla4[[#This Row],[Cantidad]]</f>
        <v>1936.7704229999997</v>
      </c>
      <c r="Q3680" s="282" t="e">
        <f>(INDEX(Tabla6[#All],MATCH(Tabla4[[#This Row],[Producto]],Tabla6[[#All],[PRODUCTO]],0),MATCH(Tabla4[[#This Row],[Mes]],Tabla6[#Headers],0)))</f>
        <v>#N/A</v>
      </c>
      <c r="R3680" s="282" t="e">
        <f>++Tabla4[[#This Row],[Precio Unitario Neto]]-Tabla4[[#This Row],[20.85%]]-Tabla4[[#This Row],[Costo]]</f>
        <v>#N/A</v>
      </c>
      <c r="S3680" s="282" t="e">
        <f>++Tabla4[[#This Row],[U. Bruta Uni]]*Tabla4[[#This Row],[Cantidad]]</f>
        <v>#N/A</v>
      </c>
      <c r="T3680" s="369" t="str">
        <f>VLOOKUP(Tabla4[[#This Row],[Producto]],Tabla6[#All],14,FALSE)</f>
        <v>Termico Solar</v>
      </c>
      <c r="U3680" s="284" t="e">
        <f>(IF(Tabla4[[#This Row],[Familia]]="termico solar",Tabla4[[#This Row],[Utilidad Total]]*6%,Tabla4[[#This Row],[Utilidad Total]]*11.5%))/Tabla4[[#This Row],[Total]]</f>
        <v>#N/A</v>
      </c>
      <c r="V3680" s="282" t="e">
        <f>+Tabla4[[#This Row],[Comisión Calculada]]*Tabla4[[#This Row],[Total]]</f>
        <v>#N/A</v>
      </c>
    </row>
    <row r="3681" spans="1:22" hidden="1" x14ac:dyDescent="0.25">
      <c r="A3681" s="100">
        <v>45823</v>
      </c>
      <c r="B3681" t="str">
        <f t="shared" ref="B3681:B3686" si="167">TEXT(A3681, "mmmm")</f>
        <v>June</v>
      </c>
      <c r="C3681" s="46" t="s">
        <v>280</v>
      </c>
      <c r="F3681" s="366" t="s">
        <v>2137</v>
      </c>
      <c r="G3681" s="46" t="s">
        <v>83</v>
      </c>
      <c r="H3681" s="46">
        <v>2</v>
      </c>
      <c r="I3681" s="51">
        <v>8858.76</v>
      </c>
      <c r="J3681" s="281">
        <f>++Tabla4[[#This Row],[Precio Bruto]]*1.16</f>
        <v>10276.161599999999</v>
      </c>
      <c r="K3681" s="281">
        <f>+Tabla4[[#This Row],[Precio Unitario Neto]]*Tabla4[[#Headers],[20.85%]]</f>
        <v>2142.5796935999997</v>
      </c>
      <c r="L3681" s="282">
        <f>++Tabla4[[#This Row],[Precio Unitario Neto]]-Tabla4[[#This Row],[20.85%]]</f>
        <v>8133.5819063999998</v>
      </c>
      <c r="M3681" s="282" t="e">
        <f>(INDEX(Tabla6[#All],MATCH(Tabla4[[#This Row],[Producto]],Tabla6[[#All],[PRODUCTO]],0),MATCH(Tabla4[[#This Row],[Mes]],Tabla6[#Headers],0)))*(1+Catalogos!$L$2)</f>
        <v>#N/A</v>
      </c>
      <c r="N3681" s="283" t="e">
        <f>+(Tabla4[[#This Row],[Precio Descontado]]-Tabla4[[#This Row],[Precio Base]])*Tabla4[[#This Row],[Cantidad]]</f>
        <v>#N/A</v>
      </c>
      <c r="O3681" s="284" t="e">
        <f>++Tabla4[[#This Row],[Utilidad Total]]/Tabla4[[#This Row],[Total]]</f>
        <v>#N/A</v>
      </c>
      <c r="P3681" s="282">
        <f>++Tabla4[[#This Row],[Precio Descontado]]*Tabla4[[#This Row],[Cantidad]]</f>
        <v>16267.1638128</v>
      </c>
      <c r="Q3681" s="282" t="e">
        <f>(INDEX(Tabla6[#All],MATCH(Tabla4[[#This Row],[Producto]],Tabla6[[#All],[PRODUCTO]],0),MATCH(Tabla4[[#This Row],[Mes]],Tabla6[#Headers],0)))</f>
        <v>#N/A</v>
      </c>
      <c r="R3681" s="282" t="e">
        <f>++Tabla4[[#This Row],[Precio Unitario Neto]]-Tabla4[[#This Row],[20.85%]]-Tabla4[[#This Row],[Costo]]</f>
        <v>#N/A</v>
      </c>
      <c r="S3681" s="282" t="e">
        <f>++Tabla4[[#This Row],[U. Bruta Uni]]*Tabla4[[#This Row],[Cantidad]]</f>
        <v>#N/A</v>
      </c>
      <c r="T3681" s="369" t="str">
        <f>VLOOKUP(Tabla4[[#This Row],[Producto]],Tabla6[#All],14,FALSE)</f>
        <v>Termico Solar</v>
      </c>
      <c r="U3681" s="284" t="e">
        <f>(IF(Tabla4[[#This Row],[Familia]]="termico solar",Tabla4[[#This Row],[Utilidad Total]]*6%,Tabla4[[#This Row],[Utilidad Total]]*11.5%))/Tabla4[[#This Row],[Total]]</f>
        <v>#N/A</v>
      </c>
      <c r="V3681" s="282" t="e">
        <f>+Tabla4[[#This Row],[Comisión Calculada]]*Tabla4[[#This Row],[Total]]</f>
        <v>#N/A</v>
      </c>
    </row>
    <row r="3682" spans="1:22" hidden="1" x14ac:dyDescent="0.25">
      <c r="A3682" s="100">
        <v>45823</v>
      </c>
      <c r="B3682" t="str">
        <f t="shared" si="167"/>
        <v>June</v>
      </c>
      <c r="C3682" s="46" t="s">
        <v>280</v>
      </c>
      <c r="F3682" s="366" t="s">
        <v>2137</v>
      </c>
      <c r="G3682" s="46" t="s">
        <v>566</v>
      </c>
      <c r="H3682" s="46">
        <v>2</v>
      </c>
      <c r="I3682" s="51">
        <v>2109.4499999999998</v>
      </c>
      <c r="J3682" s="281">
        <f>++Tabla4[[#This Row],[Precio Bruto]]*1.16</f>
        <v>2446.9619999999995</v>
      </c>
      <c r="K3682" s="281">
        <f>+Tabla4[[#This Row],[Precio Unitario Neto]]*Tabla4[[#Headers],[20.85%]]</f>
        <v>510.19157699999988</v>
      </c>
      <c r="L3682" s="282">
        <f>++Tabla4[[#This Row],[Precio Unitario Neto]]-Tabla4[[#This Row],[20.85%]]</f>
        <v>1936.7704229999997</v>
      </c>
      <c r="M3682" s="282" t="e">
        <f>(INDEX(Tabla6[#All],MATCH(Tabla4[[#This Row],[Producto]],Tabla6[[#All],[PRODUCTO]],0),MATCH(Tabla4[[#This Row],[Mes]],Tabla6[#Headers],0)))*(1+Catalogos!$L$2)</f>
        <v>#N/A</v>
      </c>
      <c r="N3682" s="283" t="e">
        <f>+(Tabla4[[#This Row],[Precio Descontado]]-Tabla4[[#This Row],[Precio Base]])*Tabla4[[#This Row],[Cantidad]]</f>
        <v>#N/A</v>
      </c>
      <c r="O3682" s="284" t="e">
        <f>++Tabla4[[#This Row],[Utilidad Total]]/Tabla4[[#This Row],[Total]]</f>
        <v>#N/A</v>
      </c>
      <c r="P3682" s="282">
        <f>++Tabla4[[#This Row],[Precio Descontado]]*Tabla4[[#This Row],[Cantidad]]</f>
        <v>3873.5408459999994</v>
      </c>
      <c r="Q3682" s="282" t="e">
        <f>(INDEX(Tabla6[#All],MATCH(Tabla4[[#This Row],[Producto]],Tabla6[[#All],[PRODUCTO]],0),MATCH(Tabla4[[#This Row],[Mes]],Tabla6[#Headers],0)))</f>
        <v>#N/A</v>
      </c>
      <c r="R3682" s="282" t="e">
        <f>++Tabla4[[#This Row],[Precio Unitario Neto]]-Tabla4[[#This Row],[20.85%]]-Tabla4[[#This Row],[Costo]]</f>
        <v>#N/A</v>
      </c>
      <c r="S3682" s="282" t="e">
        <f>++Tabla4[[#This Row],[U. Bruta Uni]]*Tabla4[[#This Row],[Cantidad]]</f>
        <v>#N/A</v>
      </c>
      <c r="T3682" s="369" t="str">
        <f>VLOOKUP(Tabla4[[#This Row],[Producto]],Tabla6[#All],14,FALSE)</f>
        <v>Termico Solar</v>
      </c>
      <c r="U3682" s="284" t="e">
        <f>(IF(Tabla4[[#This Row],[Familia]]="termico solar",Tabla4[[#This Row],[Utilidad Total]]*6%,Tabla4[[#This Row],[Utilidad Total]]*11.5%))/Tabla4[[#This Row],[Total]]</f>
        <v>#N/A</v>
      </c>
      <c r="V3682" s="282" t="e">
        <f>+Tabla4[[#This Row],[Comisión Calculada]]*Tabla4[[#This Row],[Total]]</f>
        <v>#N/A</v>
      </c>
    </row>
    <row r="3683" spans="1:22" hidden="1" x14ac:dyDescent="0.25">
      <c r="A3683" s="100">
        <v>45823</v>
      </c>
      <c r="B3683" t="str">
        <f t="shared" si="167"/>
        <v>June</v>
      </c>
      <c r="C3683" s="46" t="s">
        <v>280</v>
      </c>
      <c r="F3683" s="366" t="s">
        <v>2137</v>
      </c>
      <c r="G3683" s="46" t="s">
        <v>16</v>
      </c>
      <c r="H3683" s="46">
        <v>1</v>
      </c>
      <c r="I3683" s="51">
        <v>4103.8500000000004</v>
      </c>
      <c r="J3683" s="281">
        <f>++Tabla4[[#This Row],[Precio Bruto]]*1.16</f>
        <v>4760.4660000000003</v>
      </c>
      <c r="K3683" s="281">
        <f>+Tabla4[[#This Row],[Precio Unitario Neto]]*Tabla4[[#Headers],[20.85%]]</f>
        <v>992.55716100000006</v>
      </c>
      <c r="L3683" s="282">
        <f>++Tabla4[[#This Row],[Precio Unitario Neto]]-Tabla4[[#This Row],[20.85%]]</f>
        <v>3767.9088390000002</v>
      </c>
      <c r="M3683" s="282" t="e">
        <f>(INDEX(Tabla6[#All],MATCH(Tabla4[[#This Row],[Producto]],Tabla6[[#All],[PRODUCTO]],0),MATCH(Tabla4[[#This Row],[Mes]],Tabla6[#Headers],0)))*(1+Catalogos!$L$2)</f>
        <v>#N/A</v>
      </c>
      <c r="N3683" s="283" t="e">
        <f>+(Tabla4[[#This Row],[Precio Descontado]]-Tabla4[[#This Row],[Precio Base]])*Tabla4[[#This Row],[Cantidad]]</f>
        <v>#N/A</v>
      </c>
      <c r="O3683" s="284" t="e">
        <f>++Tabla4[[#This Row],[Utilidad Total]]/Tabla4[[#This Row],[Total]]</f>
        <v>#N/A</v>
      </c>
      <c r="P3683" s="282">
        <f>++Tabla4[[#This Row],[Precio Descontado]]*Tabla4[[#This Row],[Cantidad]]</f>
        <v>3767.9088390000002</v>
      </c>
      <c r="Q3683" s="282" t="e">
        <f>(INDEX(Tabla6[#All],MATCH(Tabla4[[#This Row],[Producto]],Tabla6[[#All],[PRODUCTO]],0),MATCH(Tabla4[[#This Row],[Mes]],Tabla6[#Headers],0)))</f>
        <v>#N/A</v>
      </c>
      <c r="R3683" s="282" t="e">
        <f>++Tabla4[[#This Row],[Precio Unitario Neto]]-Tabla4[[#This Row],[20.85%]]-Tabla4[[#This Row],[Costo]]</f>
        <v>#N/A</v>
      </c>
      <c r="S3683" s="282" t="e">
        <f>++Tabla4[[#This Row],[U. Bruta Uni]]*Tabla4[[#This Row],[Cantidad]]</f>
        <v>#N/A</v>
      </c>
      <c r="T3683" s="369" t="str">
        <f>VLOOKUP(Tabla4[[#This Row],[Producto]],Tabla6[#All],14,FALSE)</f>
        <v>Termico Solar</v>
      </c>
      <c r="U3683" s="284" t="e">
        <f>(IF(Tabla4[[#This Row],[Familia]]="termico solar",Tabla4[[#This Row],[Utilidad Total]]*6%,Tabla4[[#This Row],[Utilidad Total]]*11.5%))/Tabla4[[#This Row],[Total]]</f>
        <v>#N/A</v>
      </c>
      <c r="V3683" s="282" t="e">
        <f>+Tabla4[[#This Row],[Comisión Calculada]]*Tabla4[[#This Row],[Total]]</f>
        <v>#N/A</v>
      </c>
    </row>
    <row r="3684" spans="1:22" hidden="1" x14ac:dyDescent="0.25">
      <c r="A3684" s="100">
        <v>45823</v>
      </c>
      <c r="B3684" t="str">
        <f t="shared" si="167"/>
        <v>June</v>
      </c>
      <c r="C3684" s="46" t="s">
        <v>280</v>
      </c>
      <c r="F3684" s="366" t="s">
        <v>2137</v>
      </c>
      <c r="G3684" s="46" t="s">
        <v>200</v>
      </c>
      <c r="H3684" s="46">
        <v>12</v>
      </c>
      <c r="I3684" s="51">
        <v>393.22</v>
      </c>
      <c r="J3684" s="281">
        <f>++Tabla4[[#This Row],[Precio Bruto]]*1.16</f>
        <v>456.1352</v>
      </c>
      <c r="K3684" s="281">
        <f>+Tabla4[[#This Row],[Precio Unitario Neto]]*Tabla4[[#Headers],[20.85%]]</f>
        <v>95.104189199999993</v>
      </c>
      <c r="L3684" s="282">
        <f>++Tabla4[[#This Row],[Precio Unitario Neto]]-Tabla4[[#This Row],[20.85%]]</f>
        <v>361.03101079999999</v>
      </c>
      <c r="M3684" s="282" t="e">
        <f>(INDEX(Tabla6[#All],MATCH(Tabla4[[#This Row],[Producto]],Tabla6[[#All],[PRODUCTO]],0),MATCH(Tabla4[[#This Row],[Mes]],Tabla6[#Headers],0)))*(1+Catalogos!$L$2)</f>
        <v>#N/A</v>
      </c>
      <c r="N3684" s="283" t="e">
        <f>+(Tabla4[[#This Row],[Precio Descontado]]-Tabla4[[#This Row],[Precio Base]])*Tabla4[[#This Row],[Cantidad]]</f>
        <v>#N/A</v>
      </c>
      <c r="O3684" s="284" t="e">
        <f>++Tabla4[[#This Row],[Utilidad Total]]/Tabla4[[#This Row],[Total]]</f>
        <v>#N/A</v>
      </c>
      <c r="P3684" s="282">
        <f>++Tabla4[[#This Row],[Precio Descontado]]*Tabla4[[#This Row],[Cantidad]]</f>
        <v>4332.3721296000003</v>
      </c>
      <c r="Q3684" s="282" t="e">
        <f>(INDEX(Tabla6[#All],MATCH(Tabla4[[#This Row],[Producto]],Tabla6[[#All],[PRODUCTO]],0),MATCH(Tabla4[[#This Row],[Mes]],Tabla6[#Headers],0)))</f>
        <v>#N/A</v>
      </c>
      <c r="R3684" s="282" t="e">
        <f>++Tabla4[[#This Row],[Precio Unitario Neto]]-Tabla4[[#This Row],[20.85%]]-Tabla4[[#This Row],[Costo]]</f>
        <v>#N/A</v>
      </c>
      <c r="S3684" s="282" t="e">
        <f>++Tabla4[[#This Row],[U. Bruta Uni]]*Tabla4[[#This Row],[Cantidad]]</f>
        <v>#N/A</v>
      </c>
      <c r="T3684" s="369" t="str">
        <f>VLOOKUP(Tabla4[[#This Row],[Producto]],Tabla6[#All],14,FALSE)</f>
        <v>Termico Solar</v>
      </c>
      <c r="U3684" s="284" t="e">
        <f>(IF(Tabla4[[#This Row],[Familia]]="termico solar",Tabla4[[#This Row],[Utilidad Total]]*6%,Tabla4[[#This Row],[Utilidad Total]]*11.5%))/Tabla4[[#This Row],[Total]]</f>
        <v>#N/A</v>
      </c>
      <c r="V3684" s="282" t="e">
        <f>+Tabla4[[#This Row],[Comisión Calculada]]*Tabla4[[#This Row],[Total]]</f>
        <v>#N/A</v>
      </c>
    </row>
    <row r="3685" spans="1:22" hidden="1" x14ac:dyDescent="0.25">
      <c r="A3685" s="100">
        <v>45823</v>
      </c>
      <c r="B3685" t="str">
        <f t="shared" si="167"/>
        <v>June</v>
      </c>
      <c r="C3685" s="46" t="s">
        <v>280</v>
      </c>
      <c r="F3685" s="366" t="s">
        <v>2137</v>
      </c>
      <c r="G3685" s="46" t="s">
        <v>545</v>
      </c>
      <c r="H3685" s="46">
        <v>24</v>
      </c>
      <c r="I3685" s="51">
        <v>304.32</v>
      </c>
      <c r="J3685" s="281">
        <f>++Tabla4[[#This Row],[Precio Bruto]]*1.16</f>
        <v>353.01119999999997</v>
      </c>
      <c r="K3685" s="281">
        <f>+Tabla4[[#This Row],[Precio Unitario Neto]]*Tabla4[[#Headers],[20.85%]]</f>
        <v>73.602835199999987</v>
      </c>
      <c r="L3685" s="282">
        <f>++Tabla4[[#This Row],[Precio Unitario Neto]]-Tabla4[[#This Row],[20.85%]]</f>
        <v>279.40836479999996</v>
      </c>
      <c r="M3685" s="282" t="e">
        <f>(INDEX(Tabla6[#All],MATCH(Tabla4[[#This Row],[Producto]],Tabla6[[#All],[PRODUCTO]],0),MATCH(Tabla4[[#This Row],[Mes]],Tabla6[#Headers],0)))*(1+Catalogos!$L$2)</f>
        <v>#N/A</v>
      </c>
      <c r="N3685" s="283" t="e">
        <f>+(Tabla4[[#This Row],[Precio Descontado]]-Tabla4[[#This Row],[Precio Base]])*Tabla4[[#This Row],[Cantidad]]</f>
        <v>#N/A</v>
      </c>
      <c r="O3685" s="284" t="e">
        <f>++Tabla4[[#This Row],[Utilidad Total]]/Tabla4[[#This Row],[Total]]</f>
        <v>#N/A</v>
      </c>
      <c r="P3685" s="282">
        <f>++Tabla4[[#This Row],[Precio Descontado]]*Tabla4[[#This Row],[Cantidad]]</f>
        <v>6705.800755199999</v>
      </c>
      <c r="Q3685" s="282" t="e">
        <f>(INDEX(Tabla6[#All],MATCH(Tabla4[[#This Row],[Producto]],Tabla6[[#All],[PRODUCTO]],0),MATCH(Tabla4[[#This Row],[Mes]],Tabla6[#Headers],0)))</f>
        <v>#N/A</v>
      </c>
      <c r="R3685" s="282" t="e">
        <f>++Tabla4[[#This Row],[Precio Unitario Neto]]-Tabla4[[#This Row],[20.85%]]-Tabla4[[#This Row],[Costo]]</f>
        <v>#N/A</v>
      </c>
      <c r="S3685" s="282" t="e">
        <f>++Tabla4[[#This Row],[U. Bruta Uni]]*Tabla4[[#This Row],[Cantidad]]</f>
        <v>#N/A</v>
      </c>
      <c r="T3685" s="369" t="str">
        <f>VLOOKUP(Tabla4[[#This Row],[Producto]],Tabla6[#All],14,FALSE)</f>
        <v>Termico Solar</v>
      </c>
      <c r="U3685" s="284" t="e">
        <f>(IF(Tabla4[[#This Row],[Familia]]="termico solar",Tabla4[[#This Row],[Utilidad Total]]*6%,Tabla4[[#This Row],[Utilidad Total]]*11.5%))/Tabla4[[#This Row],[Total]]</f>
        <v>#N/A</v>
      </c>
      <c r="V3685" s="282" t="e">
        <f>+Tabla4[[#This Row],[Comisión Calculada]]*Tabla4[[#This Row],[Total]]</f>
        <v>#N/A</v>
      </c>
    </row>
    <row r="3686" spans="1:22" hidden="1" x14ac:dyDescent="0.25">
      <c r="A3686" s="100">
        <v>45823</v>
      </c>
      <c r="B3686" t="str">
        <f t="shared" si="167"/>
        <v>June</v>
      </c>
      <c r="C3686" s="46" t="s">
        <v>280</v>
      </c>
      <c r="F3686" s="366" t="s">
        <v>2137</v>
      </c>
      <c r="G3686" s="46" t="s">
        <v>209</v>
      </c>
      <c r="H3686" s="46">
        <v>6</v>
      </c>
      <c r="I3686" s="51">
        <v>347.48</v>
      </c>
      <c r="J3686" s="281">
        <f>++Tabla4[[#This Row],[Precio Bruto]]*1.16</f>
        <v>403.07679999999999</v>
      </c>
      <c r="K3686" s="281">
        <f>+Tabla4[[#This Row],[Precio Unitario Neto]]*Tabla4[[#Headers],[20.85%]]</f>
        <v>84.041512799999992</v>
      </c>
      <c r="L3686" s="282">
        <f>++Tabla4[[#This Row],[Precio Unitario Neto]]-Tabla4[[#This Row],[20.85%]]</f>
        <v>319.03528719999997</v>
      </c>
      <c r="M3686" s="282" t="e">
        <f>(INDEX(Tabla6[#All],MATCH(Tabla4[[#This Row],[Producto]],Tabla6[[#All],[PRODUCTO]],0),MATCH(Tabla4[[#This Row],[Mes]],Tabla6[#Headers],0)))*(1+Catalogos!$L$2)</f>
        <v>#N/A</v>
      </c>
      <c r="N3686" s="283" t="e">
        <f>+(Tabla4[[#This Row],[Precio Descontado]]-Tabla4[[#This Row],[Precio Base]])*Tabla4[[#This Row],[Cantidad]]</f>
        <v>#N/A</v>
      </c>
      <c r="O3686" s="284" t="e">
        <f>++Tabla4[[#This Row],[Utilidad Total]]/Tabla4[[#This Row],[Total]]</f>
        <v>#N/A</v>
      </c>
      <c r="P3686" s="282">
        <f>++Tabla4[[#This Row],[Precio Descontado]]*Tabla4[[#This Row],[Cantidad]]</f>
        <v>1914.2117231999998</v>
      </c>
      <c r="Q3686" s="282" t="e">
        <f>(INDEX(Tabla6[#All],MATCH(Tabla4[[#This Row],[Producto]],Tabla6[[#All],[PRODUCTO]],0),MATCH(Tabla4[[#This Row],[Mes]],Tabla6[#Headers],0)))</f>
        <v>#N/A</v>
      </c>
      <c r="R3686" s="282" t="e">
        <f>++Tabla4[[#This Row],[Precio Unitario Neto]]-Tabla4[[#This Row],[20.85%]]-Tabla4[[#This Row],[Costo]]</f>
        <v>#N/A</v>
      </c>
      <c r="S3686" s="282" t="e">
        <f>++Tabla4[[#This Row],[U. Bruta Uni]]*Tabla4[[#This Row],[Cantidad]]</f>
        <v>#N/A</v>
      </c>
      <c r="T3686" s="369" t="str">
        <f>VLOOKUP(Tabla4[[#This Row],[Producto]],Tabla6[#All],14,FALSE)</f>
        <v>Termico Solar</v>
      </c>
      <c r="U3686" s="284" t="e">
        <f>(IF(Tabla4[[#This Row],[Familia]]="termico solar",Tabla4[[#This Row],[Utilidad Total]]*6%,Tabla4[[#This Row],[Utilidad Total]]*11.5%))/Tabla4[[#This Row],[Total]]</f>
        <v>#N/A</v>
      </c>
      <c r="V3686" s="282" t="e">
        <f>+Tabla4[[#This Row],[Comisión Calculada]]*Tabla4[[#This Row],[Total]]</f>
        <v>#N/A</v>
      </c>
    </row>
    <row r="3687" spans="1:22" hidden="1" x14ac:dyDescent="0.25">
      <c r="A3687" s="100">
        <v>45823</v>
      </c>
      <c r="B3687" t="str">
        <f t="shared" ref="B3687:B3695" si="168">TEXT(A3687, "mmmm")</f>
        <v>June</v>
      </c>
      <c r="C3687" s="46" t="s">
        <v>280</v>
      </c>
      <c r="F3687" s="366" t="s">
        <v>2138</v>
      </c>
      <c r="G3687" s="46" t="s">
        <v>17</v>
      </c>
      <c r="H3687" s="46">
        <v>6</v>
      </c>
      <c r="I3687" s="51">
        <v>4622.28</v>
      </c>
      <c r="J3687" s="281">
        <f>++Tabla4[[#This Row],[Precio Bruto]]*1.16</f>
        <v>5361.8447999999989</v>
      </c>
      <c r="K3687" s="281">
        <f>+Tabla4[[#This Row],[Precio Unitario Neto]]*Tabla4[[#Headers],[20.85%]]</f>
        <v>1117.9446407999997</v>
      </c>
      <c r="L3687" s="282">
        <f>++Tabla4[[#This Row],[Precio Unitario Neto]]-Tabla4[[#This Row],[20.85%]]</f>
        <v>4243.9001591999995</v>
      </c>
      <c r="M3687" s="282" t="e">
        <f>(INDEX(Tabla6[#All],MATCH(Tabla4[[#This Row],[Producto]],Tabla6[[#All],[PRODUCTO]],0),MATCH(Tabla4[[#This Row],[Mes]],Tabla6[#Headers],0)))*(1+Catalogos!$L$2)</f>
        <v>#N/A</v>
      </c>
      <c r="N3687" s="283" t="e">
        <f>+(Tabla4[[#This Row],[Precio Descontado]]-Tabla4[[#This Row],[Precio Base]])*Tabla4[[#This Row],[Cantidad]]</f>
        <v>#N/A</v>
      </c>
      <c r="O3687" s="284" t="e">
        <f>++Tabla4[[#This Row],[Utilidad Total]]/Tabla4[[#This Row],[Total]]</f>
        <v>#N/A</v>
      </c>
      <c r="P3687" s="282">
        <f>++Tabla4[[#This Row],[Precio Descontado]]*Tabla4[[#This Row],[Cantidad]]</f>
        <v>25463.400955199999</v>
      </c>
      <c r="Q3687" s="282" t="e">
        <f>(INDEX(Tabla6[#All],MATCH(Tabla4[[#This Row],[Producto]],Tabla6[[#All],[PRODUCTO]],0),MATCH(Tabla4[[#This Row],[Mes]],Tabla6[#Headers],0)))</f>
        <v>#N/A</v>
      </c>
      <c r="R3687" s="282" t="e">
        <f>++Tabla4[[#This Row],[Precio Unitario Neto]]-Tabla4[[#This Row],[20.85%]]-Tabla4[[#This Row],[Costo]]</f>
        <v>#N/A</v>
      </c>
      <c r="S3687" s="282" t="e">
        <f>++Tabla4[[#This Row],[U. Bruta Uni]]*Tabla4[[#This Row],[Cantidad]]</f>
        <v>#N/A</v>
      </c>
      <c r="T3687" s="369" t="str">
        <f>VLOOKUP(Tabla4[[#This Row],[Producto]],Tabla6[#All],14,FALSE)</f>
        <v>Termico Solar</v>
      </c>
      <c r="U3687" s="284" t="e">
        <f>(IF(Tabla4[[#This Row],[Familia]]="termico solar",Tabla4[[#This Row],[Utilidad Total]]*6%,Tabla4[[#This Row],[Utilidad Total]]*11.5%))/Tabla4[[#This Row],[Total]]</f>
        <v>#N/A</v>
      </c>
      <c r="V3687" s="282" t="e">
        <f>+Tabla4[[#This Row],[Comisión Calculada]]*Tabla4[[#This Row],[Total]]</f>
        <v>#N/A</v>
      </c>
    </row>
    <row r="3688" spans="1:22" hidden="1" x14ac:dyDescent="0.25">
      <c r="A3688" s="100">
        <v>45823</v>
      </c>
      <c r="B3688" t="str">
        <f t="shared" si="168"/>
        <v>June</v>
      </c>
      <c r="C3688" s="46" t="s">
        <v>280</v>
      </c>
      <c r="F3688" s="366" t="s">
        <v>2138</v>
      </c>
      <c r="G3688" s="46" t="s">
        <v>18</v>
      </c>
      <c r="H3688" s="46">
        <v>2</v>
      </c>
      <c r="I3688" s="51">
        <v>5367.65</v>
      </c>
      <c r="J3688" s="281">
        <f>++Tabla4[[#This Row],[Precio Bruto]]*1.16</f>
        <v>6226.4739999999993</v>
      </c>
      <c r="K3688" s="281">
        <f>+Tabla4[[#This Row],[Precio Unitario Neto]]*Tabla4[[#Headers],[20.85%]]</f>
        <v>1298.2198289999999</v>
      </c>
      <c r="L3688" s="282">
        <f>++Tabla4[[#This Row],[Precio Unitario Neto]]-Tabla4[[#This Row],[20.85%]]</f>
        <v>4928.2541709999996</v>
      </c>
      <c r="M3688" s="282" t="e">
        <f>(INDEX(Tabla6[#All],MATCH(Tabla4[[#This Row],[Producto]],Tabla6[[#All],[PRODUCTO]],0),MATCH(Tabla4[[#This Row],[Mes]],Tabla6[#Headers],0)))*(1+Catalogos!$L$2)</f>
        <v>#N/A</v>
      </c>
      <c r="N3688" s="283" t="e">
        <f>+(Tabla4[[#This Row],[Precio Descontado]]-Tabla4[[#This Row],[Precio Base]])*Tabla4[[#This Row],[Cantidad]]</f>
        <v>#N/A</v>
      </c>
      <c r="O3688" s="284" t="e">
        <f>++Tabla4[[#This Row],[Utilidad Total]]/Tabla4[[#This Row],[Total]]</f>
        <v>#N/A</v>
      </c>
      <c r="P3688" s="282">
        <f>++Tabla4[[#This Row],[Precio Descontado]]*Tabla4[[#This Row],[Cantidad]]</f>
        <v>9856.5083419999992</v>
      </c>
      <c r="Q3688" s="282" t="e">
        <f>(INDEX(Tabla6[#All],MATCH(Tabla4[[#This Row],[Producto]],Tabla6[[#All],[PRODUCTO]],0),MATCH(Tabla4[[#This Row],[Mes]],Tabla6[#Headers],0)))</f>
        <v>#N/A</v>
      </c>
      <c r="R3688" s="282" t="e">
        <f>++Tabla4[[#This Row],[Precio Unitario Neto]]-Tabla4[[#This Row],[20.85%]]-Tabla4[[#This Row],[Costo]]</f>
        <v>#N/A</v>
      </c>
      <c r="S3688" s="282" t="e">
        <f>++Tabla4[[#This Row],[U. Bruta Uni]]*Tabla4[[#This Row],[Cantidad]]</f>
        <v>#N/A</v>
      </c>
      <c r="T3688" s="369" t="str">
        <f>VLOOKUP(Tabla4[[#This Row],[Producto]],Tabla6[#All],14,FALSE)</f>
        <v>Termico Solar</v>
      </c>
      <c r="U3688" s="284" t="e">
        <f>(IF(Tabla4[[#This Row],[Familia]]="termico solar",Tabla4[[#This Row],[Utilidad Total]]*6%,Tabla4[[#This Row],[Utilidad Total]]*11.5%))/Tabla4[[#This Row],[Total]]</f>
        <v>#N/A</v>
      </c>
      <c r="V3688" s="282" t="e">
        <f>+Tabla4[[#This Row],[Comisión Calculada]]*Tabla4[[#This Row],[Total]]</f>
        <v>#N/A</v>
      </c>
    </row>
    <row r="3689" spans="1:22" hidden="1" x14ac:dyDescent="0.25">
      <c r="A3689" s="100">
        <v>45823</v>
      </c>
      <c r="B3689" t="str">
        <f t="shared" si="168"/>
        <v>June</v>
      </c>
      <c r="C3689" s="46" t="s">
        <v>280</v>
      </c>
      <c r="F3689" s="366" t="s">
        <v>2138</v>
      </c>
      <c r="G3689" s="46" t="s">
        <v>566</v>
      </c>
      <c r="H3689" s="46">
        <v>1</v>
      </c>
      <c r="I3689" s="51">
        <v>2109.4499999999998</v>
      </c>
      <c r="J3689" s="281">
        <f>++Tabla4[[#This Row],[Precio Bruto]]*1.16</f>
        <v>2446.9619999999995</v>
      </c>
      <c r="K3689" s="281">
        <f>+Tabla4[[#This Row],[Precio Unitario Neto]]*Tabla4[[#Headers],[20.85%]]</f>
        <v>510.19157699999988</v>
      </c>
      <c r="L3689" s="282">
        <f>++Tabla4[[#This Row],[Precio Unitario Neto]]-Tabla4[[#This Row],[20.85%]]</f>
        <v>1936.7704229999997</v>
      </c>
      <c r="M3689" s="282" t="e">
        <f>(INDEX(Tabla6[#All],MATCH(Tabla4[[#This Row],[Producto]],Tabla6[[#All],[PRODUCTO]],0),MATCH(Tabla4[[#This Row],[Mes]],Tabla6[#Headers],0)))*(1+Catalogos!$L$2)</f>
        <v>#N/A</v>
      </c>
      <c r="N3689" s="283" t="e">
        <f>+(Tabla4[[#This Row],[Precio Descontado]]-Tabla4[[#This Row],[Precio Base]])*Tabla4[[#This Row],[Cantidad]]</f>
        <v>#N/A</v>
      </c>
      <c r="O3689" s="284" t="e">
        <f>++Tabla4[[#This Row],[Utilidad Total]]/Tabla4[[#This Row],[Total]]</f>
        <v>#N/A</v>
      </c>
      <c r="P3689" s="282">
        <f>++Tabla4[[#This Row],[Precio Descontado]]*Tabla4[[#This Row],[Cantidad]]</f>
        <v>1936.7704229999997</v>
      </c>
      <c r="Q3689" s="282" t="e">
        <f>(INDEX(Tabla6[#All],MATCH(Tabla4[[#This Row],[Producto]],Tabla6[[#All],[PRODUCTO]],0),MATCH(Tabla4[[#This Row],[Mes]],Tabla6[#Headers],0)))</f>
        <v>#N/A</v>
      </c>
      <c r="R3689" s="282" t="e">
        <f>++Tabla4[[#This Row],[Precio Unitario Neto]]-Tabla4[[#This Row],[20.85%]]-Tabla4[[#This Row],[Costo]]</f>
        <v>#N/A</v>
      </c>
      <c r="S3689" s="282" t="e">
        <f>++Tabla4[[#This Row],[U. Bruta Uni]]*Tabla4[[#This Row],[Cantidad]]</f>
        <v>#N/A</v>
      </c>
      <c r="T3689" s="369" t="str">
        <f>VLOOKUP(Tabla4[[#This Row],[Producto]],Tabla6[#All],14,FALSE)</f>
        <v>Termico Solar</v>
      </c>
      <c r="U3689" s="284" t="e">
        <f>(IF(Tabla4[[#This Row],[Familia]]="termico solar",Tabla4[[#This Row],[Utilidad Total]]*6%,Tabla4[[#This Row],[Utilidad Total]]*11.5%))/Tabla4[[#This Row],[Total]]</f>
        <v>#N/A</v>
      </c>
      <c r="V3689" s="282" t="e">
        <f>+Tabla4[[#This Row],[Comisión Calculada]]*Tabla4[[#This Row],[Total]]</f>
        <v>#N/A</v>
      </c>
    </row>
    <row r="3690" spans="1:22" hidden="1" x14ac:dyDescent="0.25">
      <c r="A3690" s="100">
        <v>45823</v>
      </c>
      <c r="B3690" t="str">
        <f t="shared" si="168"/>
        <v>June</v>
      </c>
      <c r="C3690" s="46" t="s">
        <v>280</v>
      </c>
      <c r="F3690" s="366" t="s">
        <v>2139</v>
      </c>
      <c r="G3690" s="46" t="s">
        <v>83</v>
      </c>
      <c r="H3690" s="46">
        <v>7</v>
      </c>
      <c r="I3690" s="51">
        <v>8858.76</v>
      </c>
      <c r="J3690" s="281">
        <f>++Tabla4[[#This Row],[Precio Bruto]]*1.16</f>
        <v>10276.161599999999</v>
      </c>
      <c r="K3690" s="281">
        <f>+Tabla4[[#This Row],[Precio Unitario Neto]]*Tabla4[[#Headers],[20.85%]]</f>
        <v>2142.5796935999997</v>
      </c>
      <c r="L3690" s="282">
        <f>++Tabla4[[#This Row],[Precio Unitario Neto]]-Tabla4[[#This Row],[20.85%]]</f>
        <v>8133.5819063999998</v>
      </c>
      <c r="M3690" s="282" t="e">
        <f>(INDEX(Tabla6[#All],MATCH(Tabla4[[#This Row],[Producto]],Tabla6[[#All],[PRODUCTO]],0),MATCH(Tabla4[[#This Row],[Mes]],Tabla6[#Headers],0)))*(1+Catalogos!$L$2)</f>
        <v>#N/A</v>
      </c>
      <c r="N3690" s="283" t="e">
        <f>+(Tabla4[[#This Row],[Precio Descontado]]-Tabla4[[#This Row],[Precio Base]])*Tabla4[[#This Row],[Cantidad]]</f>
        <v>#N/A</v>
      </c>
      <c r="O3690" s="284" t="e">
        <f>++Tabla4[[#This Row],[Utilidad Total]]/Tabla4[[#This Row],[Total]]</f>
        <v>#N/A</v>
      </c>
      <c r="P3690" s="282">
        <f>++Tabla4[[#This Row],[Precio Descontado]]*Tabla4[[#This Row],[Cantidad]]</f>
        <v>56935.073344799996</v>
      </c>
      <c r="Q3690" s="282" t="e">
        <f>(INDEX(Tabla6[#All],MATCH(Tabla4[[#This Row],[Producto]],Tabla6[[#All],[PRODUCTO]],0),MATCH(Tabla4[[#This Row],[Mes]],Tabla6[#Headers],0)))</f>
        <v>#N/A</v>
      </c>
      <c r="R3690" s="282" t="e">
        <f>++Tabla4[[#This Row],[Precio Unitario Neto]]-Tabla4[[#This Row],[20.85%]]-Tabla4[[#This Row],[Costo]]</f>
        <v>#N/A</v>
      </c>
      <c r="S3690" s="282" t="e">
        <f>++Tabla4[[#This Row],[U. Bruta Uni]]*Tabla4[[#This Row],[Cantidad]]</f>
        <v>#N/A</v>
      </c>
      <c r="T3690" s="369" t="str">
        <f>VLOOKUP(Tabla4[[#This Row],[Producto]],Tabla6[#All],14,FALSE)</f>
        <v>Termico Solar</v>
      </c>
      <c r="U3690" s="284" t="e">
        <f>(IF(Tabla4[[#This Row],[Familia]]="termico solar",Tabla4[[#This Row],[Utilidad Total]]*6%,Tabla4[[#This Row],[Utilidad Total]]*11.5%))/Tabla4[[#This Row],[Total]]</f>
        <v>#N/A</v>
      </c>
      <c r="V3690" s="282" t="e">
        <f>+Tabla4[[#This Row],[Comisión Calculada]]*Tabla4[[#This Row],[Total]]</f>
        <v>#N/A</v>
      </c>
    </row>
    <row r="3691" spans="1:22" hidden="1" x14ac:dyDescent="0.25">
      <c r="A3691" s="100">
        <v>45823</v>
      </c>
      <c r="B3691" t="str">
        <f t="shared" si="168"/>
        <v>June</v>
      </c>
      <c r="C3691" s="46" t="s">
        <v>280</v>
      </c>
      <c r="F3691" s="366" t="s">
        <v>2139</v>
      </c>
      <c r="G3691" s="46" t="s">
        <v>17</v>
      </c>
      <c r="H3691" s="46">
        <v>17</v>
      </c>
      <c r="I3691" s="51">
        <v>4622.28</v>
      </c>
      <c r="J3691" s="281">
        <f>++Tabla4[[#This Row],[Precio Bruto]]*1.16</f>
        <v>5361.8447999999989</v>
      </c>
      <c r="K3691" s="281">
        <f>+Tabla4[[#This Row],[Precio Unitario Neto]]*Tabla4[[#Headers],[20.85%]]</f>
        <v>1117.9446407999997</v>
      </c>
      <c r="L3691" s="282">
        <f>++Tabla4[[#This Row],[Precio Unitario Neto]]-Tabla4[[#This Row],[20.85%]]</f>
        <v>4243.9001591999995</v>
      </c>
      <c r="M3691" s="282" t="e">
        <f>(INDEX(Tabla6[#All],MATCH(Tabla4[[#This Row],[Producto]],Tabla6[[#All],[PRODUCTO]],0),MATCH(Tabla4[[#This Row],[Mes]],Tabla6[#Headers],0)))*(1+Catalogos!$L$2)</f>
        <v>#N/A</v>
      </c>
      <c r="N3691" s="283" t="e">
        <f>+(Tabla4[[#This Row],[Precio Descontado]]-Tabla4[[#This Row],[Precio Base]])*Tabla4[[#This Row],[Cantidad]]</f>
        <v>#N/A</v>
      </c>
      <c r="O3691" s="284" t="e">
        <f>++Tabla4[[#This Row],[Utilidad Total]]/Tabla4[[#This Row],[Total]]</f>
        <v>#N/A</v>
      </c>
      <c r="P3691" s="282">
        <f>++Tabla4[[#This Row],[Precio Descontado]]*Tabla4[[#This Row],[Cantidad]]</f>
        <v>72146.302706399991</v>
      </c>
      <c r="Q3691" s="282" t="e">
        <f>(INDEX(Tabla6[#All],MATCH(Tabla4[[#This Row],[Producto]],Tabla6[[#All],[PRODUCTO]],0),MATCH(Tabla4[[#This Row],[Mes]],Tabla6[#Headers],0)))</f>
        <v>#N/A</v>
      </c>
      <c r="R3691" s="282" t="e">
        <f>++Tabla4[[#This Row],[Precio Unitario Neto]]-Tabla4[[#This Row],[20.85%]]-Tabla4[[#This Row],[Costo]]</f>
        <v>#N/A</v>
      </c>
      <c r="S3691" s="282" t="e">
        <f>++Tabla4[[#This Row],[U. Bruta Uni]]*Tabla4[[#This Row],[Cantidad]]</f>
        <v>#N/A</v>
      </c>
      <c r="T3691" s="369" t="str">
        <f>VLOOKUP(Tabla4[[#This Row],[Producto]],Tabla6[#All],14,FALSE)</f>
        <v>Termico Solar</v>
      </c>
      <c r="U3691" s="284" t="e">
        <f>(IF(Tabla4[[#This Row],[Familia]]="termico solar",Tabla4[[#This Row],[Utilidad Total]]*6%,Tabla4[[#This Row],[Utilidad Total]]*11.5%))/Tabla4[[#This Row],[Total]]</f>
        <v>#N/A</v>
      </c>
      <c r="V3691" s="282" t="e">
        <f>+Tabla4[[#This Row],[Comisión Calculada]]*Tabla4[[#This Row],[Total]]</f>
        <v>#N/A</v>
      </c>
    </row>
    <row r="3692" spans="1:22" hidden="1" x14ac:dyDescent="0.25">
      <c r="A3692" s="100">
        <v>45823</v>
      </c>
      <c r="B3692" t="str">
        <f t="shared" si="168"/>
        <v>June</v>
      </c>
      <c r="C3692" s="46" t="s">
        <v>280</v>
      </c>
      <c r="F3692" s="366" t="s">
        <v>2139</v>
      </c>
      <c r="G3692" s="46" t="s">
        <v>16</v>
      </c>
      <c r="H3692" s="46">
        <v>8</v>
      </c>
      <c r="I3692" s="51">
        <v>4103.8500000000004</v>
      </c>
      <c r="J3692" s="281">
        <f>++Tabla4[[#This Row],[Precio Bruto]]*1.16</f>
        <v>4760.4660000000003</v>
      </c>
      <c r="K3692" s="281">
        <f>+Tabla4[[#This Row],[Precio Unitario Neto]]*Tabla4[[#Headers],[20.85%]]</f>
        <v>992.55716100000006</v>
      </c>
      <c r="L3692" s="282">
        <f>++Tabla4[[#This Row],[Precio Unitario Neto]]-Tabla4[[#This Row],[20.85%]]</f>
        <v>3767.9088390000002</v>
      </c>
      <c r="M3692" s="282" t="e">
        <f>(INDEX(Tabla6[#All],MATCH(Tabla4[[#This Row],[Producto]],Tabla6[[#All],[PRODUCTO]],0),MATCH(Tabla4[[#This Row],[Mes]],Tabla6[#Headers],0)))*(1+Catalogos!$L$2)</f>
        <v>#N/A</v>
      </c>
      <c r="N3692" s="283" t="e">
        <f>+(Tabla4[[#This Row],[Precio Descontado]]-Tabla4[[#This Row],[Precio Base]])*Tabla4[[#This Row],[Cantidad]]</f>
        <v>#N/A</v>
      </c>
      <c r="O3692" s="284" t="e">
        <f>++Tabla4[[#This Row],[Utilidad Total]]/Tabla4[[#This Row],[Total]]</f>
        <v>#N/A</v>
      </c>
      <c r="P3692" s="282">
        <f>++Tabla4[[#This Row],[Precio Descontado]]*Tabla4[[#This Row],[Cantidad]]</f>
        <v>30143.270712000001</v>
      </c>
      <c r="Q3692" s="282" t="e">
        <f>(INDEX(Tabla6[#All],MATCH(Tabla4[[#This Row],[Producto]],Tabla6[[#All],[PRODUCTO]],0),MATCH(Tabla4[[#This Row],[Mes]],Tabla6[#Headers],0)))</f>
        <v>#N/A</v>
      </c>
      <c r="R3692" s="282" t="e">
        <f>++Tabla4[[#This Row],[Precio Unitario Neto]]-Tabla4[[#This Row],[20.85%]]-Tabla4[[#This Row],[Costo]]</f>
        <v>#N/A</v>
      </c>
      <c r="S3692" s="282" t="e">
        <f>++Tabla4[[#This Row],[U. Bruta Uni]]*Tabla4[[#This Row],[Cantidad]]</f>
        <v>#N/A</v>
      </c>
      <c r="T3692" s="369" t="str">
        <f>VLOOKUP(Tabla4[[#This Row],[Producto]],Tabla6[#All],14,FALSE)</f>
        <v>Termico Solar</v>
      </c>
      <c r="U3692" s="284" t="e">
        <f>(IF(Tabla4[[#This Row],[Familia]]="termico solar",Tabla4[[#This Row],[Utilidad Total]]*6%,Tabla4[[#This Row],[Utilidad Total]]*11.5%))/Tabla4[[#This Row],[Total]]</f>
        <v>#N/A</v>
      </c>
      <c r="V3692" s="282" t="e">
        <f>+Tabla4[[#This Row],[Comisión Calculada]]*Tabla4[[#This Row],[Total]]</f>
        <v>#N/A</v>
      </c>
    </row>
    <row r="3693" spans="1:22" hidden="1" x14ac:dyDescent="0.25">
      <c r="A3693" s="100">
        <v>45823</v>
      </c>
      <c r="B3693" t="str">
        <f t="shared" si="168"/>
        <v>June</v>
      </c>
      <c r="C3693" s="46" t="s">
        <v>280</v>
      </c>
      <c r="F3693" s="366" t="s">
        <v>2140</v>
      </c>
      <c r="G3693" s="46" t="s">
        <v>17</v>
      </c>
      <c r="H3693" s="46">
        <v>14</v>
      </c>
      <c r="I3693" s="51">
        <v>4622.28</v>
      </c>
      <c r="J3693" s="281">
        <f>++Tabla4[[#This Row],[Precio Bruto]]*1.16</f>
        <v>5361.8447999999989</v>
      </c>
      <c r="K3693" s="281">
        <f>+Tabla4[[#This Row],[Precio Unitario Neto]]*Tabla4[[#Headers],[20.85%]]</f>
        <v>1117.9446407999997</v>
      </c>
      <c r="L3693" s="282">
        <f>++Tabla4[[#This Row],[Precio Unitario Neto]]-Tabla4[[#This Row],[20.85%]]</f>
        <v>4243.9001591999995</v>
      </c>
      <c r="M3693" s="282" t="e">
        <f>(INDEX(Tabla6[#All],MATCH(Tabla4[[#This Row],[Producto]],Tabla6[[#All],[PRODUCTO]],0),MATCH(Tabla4[[#This Row],[Mes]],Tabla6[#Headers],0)))*(1+Catalogos!$L$2)</f>
        <v>#N/A</v>
      </c>
      <c r="N3693" s="283" t="e">
        <f>+(Tabla4[[#This Row],[Precio Descontado]]-Tabla4[[#This Row],[Precio Base]])*Tabla4[[#This Row],[Cantidad]]</f>
        <v>#N/A</v>
      </c>
      <c r="O3693" s="284" t="e">
        <f>++Tabla4[[#This Row],[Utilidad Total]]/Tabla4[[#This Row],[Total]]</f>
        <v>#N/A</v>
      </c>
      <c r="P3693" s="282">
        <f>++Tabla4[[#This Row],[Precio Descontado]]*Tabla4[[#This Row],[Cantidad]]</f>
        <v>59414.602228799995</v>
      </c>
      <c r="Q3693" s="282" t="e">
        <f>(INDEX(Tabla6[#All],MATCH(Tabla4[[#This Row],[Producto]],Tabla6[[#All],[PRODUCTO]],0),MATCH(Tabla4[[#This Row],[Mes]],Tabla6[#Headers],0)))</f>
        <v>#N/A</v>
      </c>
      <c r="R3693" s="282" t="e">
        <f>++Tabla4[[#This Row],[Precio Unitario Neto]]-Tabla4[[#This Row],[20.85%]]-Tabla4[[#This Row],[Costo]]</f>
        <v>#N/A</v>
      </c>
      <c r="S3693" s="282" t="e">
        <f>++Tabla4[[#This Row],[U. Bruta Uni]]*Tabla4[[#This Row],[Cantidad]]</f>
        <v>#N/A</v>
      </c>
      <c r="T3693" s="369" t="str">
        <f>VLOOKUP(Tabla4[[#This Row],[Producto]],Tabla6[#All],14,FALSE)</f>
        <v>Termico Solar</v>
      </c>
      <c r="U3693" s="284" t="e">
        <f>(IF(Tabla4[[#This Row],[Familia]]="termico solar",Tabla4[[#This Row],[Utilidad Total]]*6%,Tabla4[[#This Row],[Utilidad Total]]*11.5%))/Tabla4[[#This Row],[Total]]</f>
        <v>#N/A</v>
      </c>
      <c r="V3693" s="282" t="e">
        <f>+Tabla4[[#This Row],[Comisión Calculada]]*Tabla4[[#This Row],[Total]]</f>
        <v>#N/A</v>
      </c>
    </row>
    <row r="3694" spans="1:22" ht="14.25" hidden="1" customHeight="1" x14ac:dyDescent="0.25">
      <c r="A3694" s="100">
        <v>45823</v>
      </c>
      <c r="B3694" t="str">
        <f t="shared" si="168"/>
        <v>June</v>
      </c>
      <c r="C3694" s="46" t="s">
        <v>280</v>
      </c>
      <c r="F3694" s="366" t="s">
        <v>2140</v>
      </c>
      <c r="G3694" s="46" t="s">
        <v>18</v>
      </c>
      <c r="H3694" s="46">
        <v>12</v>
      </c>
      <c r="I3694" s="51">
        <v>5367.6500000000005</v>
      </c>
      <c r="J3694" s="281">
        <f>++Tabla4[[#This Row],[Precio Bruto]]*1.16</f>
        <v>6226.4740000000002</v>
      </c>
      <c r="K3694" s="281">
        <f>+Tabla4[[#This Row],[Precio Unitario Neto]]*Tabla4[[#Headers],[20.85%]]</f>
        <v>1298.2198289999999</v>
      </c>
      <c r="L3694" s="282">
        <f>++Tabla4[[#This Row],[Precio Unitario Neto]]-Tabla4[[#This Row],[20.85%]]</f>
        <v>4928.2541710000005</v>
      </c>
      <c r="M3694" s="282" t="e">
        <f>(INDEX(Tabla6[#All],MATCH(Tabla4[[#This Row],[Producto]],Tabla6[[#All],[PRODUCTO]],0),MATCH(Tabla4[[#This Row],[Mes]],Tabla6[#Headers],0)))*(1+Catalogos!$L$2)</f>
        <v>#N/A</v>
      </c>
      <c r="N3694" s="283" t="e">
        <f>+(Tabla4[[#This Row],[Precio Descontado]]-Tabla4[[#This Row],[Precio Base]])*Tabla4[[#This Row],[Cantidad]]</f>
        <v>#N/A</v>
      </c>
      <c r="O3694" s="284" t="e">
        <f>++Tabla4[[#This Row],[Utilidad Total]]/Tabla4[[#This Row],[Total]]</f>
        <v>#N/A</v>
      </c>
      <c r="P3694" s="282">
        <f>++Tabla4[[#This Row],[Precio Descontado]]*Tabla4[[#This Row],[Cantidad]]</f>
        <v>59139.050052000006</v>
      </c>
      <c r="Q3694" s="282" t="e">
        <f>(INDEX(Tabla6[#All],MATCH(Tabla4[[#This Row],[Producto]],Tabla6[[#All],[PRODUCTO]],0),MATCH(Tabla4[[#This Row],[Mes]],Tabla6[#Headers],0)))</f>
        <v>#N/A</v>
      </c>
      <c r="R3694" s="282" t="e">
        <f>++Tabla4[[#This Row],[Precio Unitario Neto]]-Tabla4[[#This Row],[20.85%]]-Tabla4[[#This Row],[Costo]]</f>
        <v>#N/A</v>
      </c>
      <c r="S3694" s="282" t="e">
        <f>++Tabla4[[#This Row],[U. Bruta Uni]]*Tabla4[[#This Row],[Cantidad]]</f>
        <v>#N/A</v>
      </c>
      <c r="T3694" s="369" t="str">
        <f>VLOOKUP(Tabla4[[#This Row],[Producto]],Tabla6[#All],14,FALSE)</f>
        <v>Termico Solar</v>
      </c>
      <c r="U3694" s="284" t="e">
        <f>(IF(Tabla4[[#This Row],[Familia]]="termico solar",Tabla4[[#This Row],[Utilidad Total]]*6%,Tabla4[[#This Row],[Utilidad Total]]*11.5%))/Tabla4[[#This Row],[Total]]</f>
        <v>#N/A</v>
      </c>
      <c r="V3694" s="282" t="e">
        <f>+Tabla4[[#This Row],[Comisión Calculada]]*Tabla4[[#This Row],[Total]]</f>
        <v>#N/A</v>
      </c>
    </row>
    <row r="3695" spans="1:22" hidden="1" x14ac:dyDescent="0.25">
      <c r="A3695" s="100">
        <v>45823</v>
      </c>
      <c r="B3695" t="str">
        <f t="shared" si="168"/>
        <v>June</v>
      </c>
      <c r="C3695" s="46" t="s">
        <v>280</v>
      </c>
      <c r="F3695" s="366" t="s">
        <v>2140</v>
      </c>
      <c r="G3695" s="46" t="s">
        <v>16</v>
      </c>
      <c r="H3695" s="46">
        <v>4</v>
      </c>
      <c r="I3695" s="51">
        <v>4103.8500000000004</v>
      </c>
      <c r="J3695" s="281">
        <f>++Tabla4[[#This Row],[Precio Bruto]]*1.16</f>
        <v>4760.4660000000003</v>
      </c>
      <c r="K3695" s="281">
        <f>+Tabla4[[#This Row],[Precio Unitario Neto]]*Tabla4[[#Headers],[20.85%]]</f>
        <v>992.55716100000006</v>
      </c>
      <c r="L3695" s="282">
        <f>++Tabla4[[#This Row],[Precio Unitario Neto]]-Tabla4[[#This Row],[20.85%]]</f>
        <v>3767.9088390000002</v>
      </c>
      <c r="M3695" s="282" t="e">
        <f>(INDEX(Tabla6[#All],MATCH(Tabla4[[#This Row],[Producto]],Tabla6[[#All],[PRODUCTO]],0),MATCH(Tabla4[[#This Row],[Mes]],Tabla6[#Headers],0)))*(1+Catalogos!$L$2)</f>
        <v>#N/A</v>
      </c>
      <c r="N3695" s="283" t="e">
        <f>+(Tabla4[[#This Row],[Precio Descontado]]-Tabla4[[#This Row],[Precio Base]])*Tabla4[[#This Row],[Cantidad]]</f>
        <v>#N/A</v>
      </c>
      <c r="O3695" s="284" t="e">
        <f>++Tabla4[[#This Row],[Utilidad Total]]/Tabla4[[#This Row],[Total]]</f>
        <v>#N/A</v>
      </c>
      <c r="P3695" s="282">
        <f>++Tabla4[[#This Row],[Precio Descontado]]*Tabla4[[#This Row],[Cantidad]]</f>
        <v>15071.635356000001</v>
      </c>
      <c r="Q3695" s="282" t="e">
        <f>(INDEX(Tabla6[#All],MATCH(Tabla4[[#This Row],[Producto]],Tabla6[[#All],[PRODUCTO]],0),MATCH(Tabla4[[#This Row],[Mes]],Tabla6[#Headers],0)))</f>
        <v>#N/A</v>
      </c>
      <c r="R3695" s="282" t="e">
        <f>++Tabla4[[#This Row],[Precio Unitario Neto]]-Tabla4[[#This Row],[20.85%]]-Tabla4[[#This Row],[Costo]]</f>
        <v>#N/A</v>
      </c>
      <c r="S3695" s="282" t="e">
        <f>++Tabla4[[#This Row],[U. Bruta Uni]]*Tabla4[[#This Row],[Cantidad]]</f>
        <v>#N/A</v>
      </c>
      <c r="T3695" s="369" t="str">
        <f>VLOOKUP(Tabla4[[#This Row],[Producto]],Tabla6[#All],14,FALSE)</f>
        <v>Termico Solar</v>
      </c>
      <c r="U3695" s="284" t="e">
        <f>(IF(Tabla4[[#This Row],[Familia]]="termico solar",Tabla4[[#This Row],[Utilidad Total]]*6%,Tabla4[[#This Row],[Utilidad Total]]*11.5%))/Tabla4[[#This Row],[Total]]</f>
        <v>#N/A</v>
      </c>
      <c r="V3695" s="282" t="e">
        <f>+Tabla4[[#This Row],[Comisión Calculada]]*Tabla4[[#This Row],[Total]]</f>
        <v>#N/A</v>
      </c>
    </row>
    <row r="3696" spans="1:22" hidden="1" x14ac:dyDescent="0.25">
      <c r="A3696" s="100">
        <v>45838</v>
      </c>
      <c r="B3696" t="str">
        <f t="shared" ref="B3696:B3702" si="169">TEXT(A3696, "mmmm")</f>
        <v>June</v>
      </c>
      <c r="C3696" s="46" t="s">
        <v>280</v>
      </c>
      <c r="F3696" s="366" t="s">
        <v>2141</v>
      </c>
      <c r="G3696" s="46" t="s">
        <v>17</v>
      </c>
      <c r="H3696" s="46">
        <v>1</v>
      </c>
      <c r="I3696" s="51">
        <v>4622.28</v>
      </c>
      <c r="J3696" s="281">
        <f>++Tabla4[[#This Row],[Precio Bruto]]*1.16</f>
        <v>5361.8447999999989</v>
      </c>
      <c r="K3696" s="281">
        <f>+Tabla4[[#This Row],[Precio Unitario Neto]]*Tabla4[[#Headers],[20.85%]]</f>
        <v>1117.9446407999997</v>
      </c>
      <c r="L3696" s="282">
        <f>++Tabla4[[#This Row],[Precio Unitario Neto]]-Tabla4[[#This Row],[20.85%]]</f>
        <v>4243.9001591999995</v>
      </c>
      <c r="M3696" s="282" t="e">
        <f>(INDEX(Tabla6[#All],MATCH(Tabla4[[#This Row],[Producto]],Tabla6[[#All],[PRODUCTO]],0),MATCH(Tabla4[[#This Row],[Mes]],Tabla6[#Headers],0)))*(1+Catalogos!$L$2)</f>
        <v>#N/A</v>
      </c>
      <c r="N3696" s="283" t="e">
        <f>+(Tabla4[[#This Row],[Precio Descontado]]-Tabla4[[#This Row],[Precio Base]])*Tabla4[[#This Row],[Cantidad]]</f>
        <v>#N/A</v>
      </c>
      <c r="O3696" s="284" t="e">
        <f>++Tabla4[[#This Row],[Utilidad Total]]/Tabla4[[#This Row],[Total]]</f>
        <v>#N/A</v>
      </c>
      <c r="P3696" s="282">
        <f>++Tabla4[[#This Row],[Precio Descontado]]*Tabla4[[#This Row],[Cantidad]]</f>
        <v>4243.9001591999995</v>
      </c>
      <c r="Q3696" s="282" t="e">
        <f>(INDEX(Tabla6[#All],MATCH(Tabla4[[#This Row],[Producto]],Tabla6[[#All],[PRODUCTO]],0),MATCH(Tabla4[[#This Row],[Mes]],Tabla6[#Headers],0)))</f>
        <v>#N/A</v>
      </c>
      <c r="R3696" s="282" t="e">
        <f>++Tabla4[[#This Row],[Precio Unitario Neto]]-Tabla4[[#This Row],[20.85%]]-Tabla4[[#This Row],[Costo]]</f>
        <v>#N/A</v>
      </c>
      <c r="S3696" s="282" t="e">
        <f>++Tabla4[[#This Row],[U. Bruta Uni]]*Tabla4[[#This Row],[Cantidad]]</f>
        <v>#N/A</v>
      </c>
      <c r="T3696" s="369" t="str">
        <f>VLOOKUP(Tabla4[[#This Row],[Producto]],Tabla6[#All],14,FALSE)</f>
        <v>Termico Solar</v>
      </c>
      <c r="U3696" s="284" t="e">
        <f>(IF(Tabla4[[#This Row],[Familia]]="termico solar",Tabla4[[#This Row],[Utilidad Total]]*6%,Tabla4[[#This Row],[Utilidad Total]]*11.5%))/Tabla4[[#This Row],[Total]]</f>
        <v>#N/A</v>
      </c>
      <c r="V3696" s="282" t="e">
        <f>+Tabla4[[#This Row],[Comisión Calculada]]*Tabla4[[#This Row],[Total]]</f>
        <v>#N/A</v>
      </c>
    </row>
    <row r="3697" spans="1:22" hidden="1" x14ac:dyDescent="0.25">
      <c r="A3697" s="100">
        <v>45838</v>
      </c>
      <c r="B3697" t="str">
        <f t="shared" si="169"/>
        <v>June</v>
      </c>
      <c r="C3697" s="46" t="s">
        <v>280</v>
      </c>
      <c r="F3697" s="366" t="s">
        <v>2141</v>
      </c>
      <c r="G3697" s="46" t="s">
        <v>18</v>
      </c>
      <c r="H3697" s="46">
        <v>2</v>
      </c>
      <c r="I3697" s="51">
        <v>5367.65</v>
      </c>
      <c r="J3697" s="281">
        <f>++Tabla4[[#This Row],[Precio Bruto]]*1.16</f>
        <v>6226.4739999999993</v>
      </c>
      <c r="K3697" s="281">
        <f>+Tabla4[[#This Row],[Precio Unitario Neto]]*Tabla4[[#Headers],[20.85%]]</f>
        <v>1298.2198289999999</v>
      </c>
      <c r="L3697" s="282">
        <f>++Tabla4[[#This Row],[Precio Unitario Neto]]-Tabla4[[#This Row],[20.85%]]</f>
        <v>4928.2541709999996</v>
      </c>
      <c r="M3697" s="282" t="e">
        <f>(INDEX(Tabla6[#All],MATCH(Tabla4[[#This Row],[Producto]],Tabla6[[#All],[PRODUCTO]],0),MATCH(Tabla4[[#This Row],[Mes]],Tabla6[#Headers],0)))*(1+Catalogos!$L$2)</f>
        <v>#N/A</v>
      </c>
      <c r="N3697" s="283" t="e">
        <f>+(Tabla4[[#This Row],[Precio Descontado]]-Tabla4[[#This Row],[Precio Base]])*Tabla4[[#This Row],[Cantidad]]</f>
        <v>#N/A</v>
      </c>
      <c r="O3697" s="284" t="e">
        <f>++Tabla4[[#This Row],[Utilidad Total]]/Tabla4[[#This Row],[Total]]</f>
        <v>#N/A</v>
      </c>
      <c r="P3697" s="282">
        <f>++Tabla4[[#This Row],[Precio Descontado]]*Tabla4[[#This Row],[Cantidad]]</f>
        <v>9856.5083419999992</v>
      </c>
      <c r="Q3697" s="282" t="e">
        <f>(INDEX(Tabla6[#All],MATCH(Tabla4[[#This Row],[Producto]],Tabla6[[#All],[PRODUCTO]],0),MATCH(Tabla4[[#This Row],[Mes]],Tabla6[#Headers],0)))</f>
        <v>#N/A</v>
      </c>
      <c r="R3697" s="282" t="e">
        <f>++Tabla4[[#This Row],[Precio Unitario Neto]]-Tabla4[[#This Row],[20.85%]]-Tabla4[[#This Row],[Costo]]</f>
        <v>#N/A</v>
      </c>
      <c r="S3697" s="282" t="e">
        <f>++Tabla4[[#This Row],[U. Bruta Uni]]*Tabla4[[#This Row],[Cantidad]]</f>
        <v>#N/A</v>
      </c>
      <c r="T3697" s="369" t="str">
        <f>VLOOKUP(Tabla4[[#This Row],[Producto]],Tabla6[#All],14,FALSE)</f>
        <v>Termico Solar</v>
      </c>
      <c r="U3697" s="284" t="e">
        <f>(IF(Tabla4[[#This Row],[Familia]]="termico solar",Tabla4[[#This Row],[Utilidad Total]]*6%,Tabla4[[#This Row],[Utilidad Total]]*11.5%))/Tabla4[[#This Row],[Total]]</f>
        <v>#N/A</v>
      </c>
      <c r="V3697" s="282" t="e">
        <f>+Tabla4[[#This Row],[Comisión Calculada]]*Tabla4[[#This Row],[Total]]</f>
        <v>#N/A</v>
      </c>
    </row>
    <row r="3698" spans="1:22" hidden="1" x14ac:dyDescent="0.25">
      <c r="A3698" s="100">
        <v>45838</v>
      </c>
      <c r="B3698" t="str">
        <f t="shared" si="169"/>
        <v>June</v>
      </c>
      <c r="C3698" s="46" t="s">
        <v>280</v>
      </c>
      <c r="F3698" s="366" t="s">
        <v>2141</v>
      </c>
      <c r="G3698" s="46" t="s">
        <v>21</v>
      </c>
      <c r="H3698" s="46">
        <v>3</v>
      </c>
      <c r="I3698" s="51">
        <v>9282.19</v>
      </c>
      <c r="J3698" s="281">
        <f>++Tabla4[[#This Row],[Precio Bruto]]*1.16</f>
        <v>10767.340399999999</v>
      </c>
      <c r="K3698" s="281">
        <f>+Tabla4[[#This Row],[Precio Unitario Neto]]*Tabla4[[#Headers],[20.85%]]</f>
        <v>2244.9904733999997</v>
      </c>
      <c r="L3698" s="282">
        <f>++Tabla4[[#This Row],[Precio Unitario Neto]]-Tabla4[[#This Row],[20.85%]]</f>
        <v>8522.3499265999999</v>
      </c>
      <c r="M3698" s="282" t="e">
        <f>(INDEX(Tabla6[#All],MATCH(Tabla4[[#This Row],[Producto]],Tabla6[[#All],[PRODUCTO]],0),MATCH(Tabla4[[#This Row],[Mes]],Tabla6[#Headers],0)))*(1+Catalogos!$L$2)</f>
        <v>#N/A</v>
      </c>
      <c r="N3698" s="283" t="e">
        <f>+(Tabla4[[#This Row],[Precio Descontado]]-Tabla4[[#This Row],[Precio Base]])*Tabla4[[#This Row],[Cantidad]]</f>
        <v>#N/A</v>
      </c>
      <c r="O3698" s="284" t="e">
        <f>++Tabla4[[#This Row],[Utilidad Total]]/Tabla4[[#This Row],[Total]]</f>
        <v>#N/A</v>
      </c>
      <c r="P3698" s="282">
        <f>++Tabla4[[#This Row],[Precio Descontado]]*Tabla4[[#This Row],[Cantidad]]</f>
        <v>25567.0497798</v>
      </c>
      <c r="Q3698" s="282" t="e">
        <f>(INDEX(Tabla6[#All],MATCH(Tabla4[[#This Row],[Producto]],Tabla6[[#All],[PRODUCTO]],0),MATCH(Tabla4[[#This Row],[Mes]],Tabla6[#Headers],0)))</f>
        <v>#N/A</v>
      </c>
      <c r="R3698" s="282" t="e">
        <f>++Tabla4[[#This Row],[Precio Unitario Neto]]-Tabla4[[#This Row],[20.85%]]-Tabla4[[#This Row],[Costo]]</f>
        <v>#N/A</v>
      </c>
      <c r="S3698" s="282" t="e">
        <f>++Tabla4[[#This Row],[U. Bruta Uni]]*Tabla4[[#This Row],[Cantidad]]</f>
        <v>#N/A</v>
      </c>
      <c r="T3698" s="369" t="str">
        <f>VLOOKUP(Tabla4[[#This Row],[Producto]],Tabla6[#All],14,FALSE)</f>
        <v>Termico Solar</v>
      </c>
      <c r="U3698" s="284" t="e">
        <f>(IF(Tabla4[[#This Row],[Familia]]="termico solar",Tabla4[[#This Row],[Utilidad Total]]*6%,Tabla4[[#This Row],[Utilidad Total]]*11.5%))/Tabla4[[#This Row],[Total]]</f>
        <v>#N/A</v>
      </c>
      <c r="V3698" s="282" t="e">
        <f>+Tabla4[[#This Row],[Comisión Calculada]]*Tabla4[[#This Row],[Total]]</f>
        <v>#N/A</v>
      </c>
    </row>
    <row r="3699" spans="1:22" hidden="1" x14ac:dyDescent="0.25">
      <c r="A3699" s="100">
        <v>45838</v>
      </c>
      <c r="B3699" t="str">
        <f t="shared" si="169"/>
        <v>June</v>
      </c>
      <c r="C3699" s="46" t="s">
        <v>280</v>
      </c>
      <c r="F3699" s="366" t="s">
        <v>2141</v>
      </c>
      <c r="G3699" s="46" t="s">
        <v>22</v>
      </c>
      <c r="H3699" s="46">
        <v>7</v>
      </c>
      <c r="I3699" s="51">
        <v>13355.75</v>
      </c>
      <c r="J3699" s="281">
        <f>++Tabla4[[#This Row],[Precio Bruto]]*1.16</f>
        <v>15492.669999999998</v>
      </c>
      <c r="K3699" s="281">
        <f>+Tabla4[[#This Row],[Precio Unitario Neto]]*Tabla4[[#Headers],[20.85%]]</f>
        <v>3230.2216949999993</v>
      </c>
      <c r="L3699" s="282">
        <f>++Tabla4[[#This Row],[Precio Unitario Neto]]-Tabla4[[#This Row],[20.85%]]</f>
        <v>12262.448304999998</v>
      </c>
      <c r="M3699" s="282" t="e">
        <f>(INDEX(Tabla6[#All],MATCH(Tabla4[[#This Row],[Producto]],Tabla6[[#All],[PRODUCTO]],0),MATCH(Tabla4[[#This Row],[Mes]],Tabla6[#Headers],0)))*(1+Catalogos!$L$2)</f>
        <v>#N/A</v>
      </c>
      <c r="N3699" s="283" t="e">
        <f>+(Tabla4[[#This Row],[Precio Descontado]]-Tabla4[[#This Row],[Precio Base]])*Tabla4[[#This Row],[Cantidad]]</f>
        <v>#N/A</v>
      </c>
      <c r="O3699" s="284" t="e">
        <f>++Tabla4[[#This Row],[Utilidad Total]]/Tabla4[[#This Row],[Total]]</f>
        <v>#N/A</v>
      </c>
      <c r="P3699" s="282">
        <f>++Tabla4[[#This Row],[Precio Descontado]]*Tabla4[[#This Row],[Cantidad]]</f>
        <v>85837.138134999987</v>
      </c>
      <c r="Q3699" s="282" t="e">
        <f>(INDEX(Tabla6[#All],MATCH(Tabla4[[#This Row],[Producto]],Tabla6[[#All],[PRODUCTO]],0),MATCH(Tabla4[[#This Row],[Mes]],Tabla6[#Headers],0)))</f>
        <v>#N/A</v>
      </c>
      <c r="R3699" s="282" t="e">
        <f>++Tabla4[[#This Row],[Precio Unitario Neto]]-Tabla4[[#This Row],[20.85%]]-Tabla4[[#This Row],[Costo]]</f>
        <v>#N/A</v>
      </c>
      <c r="S3699" s="282" t="e">
        <f>++Tabla4[[#This Row],[U. Bruta Uni]]*Tabla4[[#This Row],[Cantidad]]</f>
        <v>#N/A</v>
      </c>
      <c r="T3699" s="369" t="str">
        <f>VLOOKUP(Tabla4[[#This Row],[Producto]],Tabla6[#All],14,FALSE)</f>
        <v>Termico Solar</v>
      </c>
      <c r="U3699" s="284" t="e">
        <f>(IF(Tabla4[[#This Row],[Familia]]="termico solar",Tabla4[[#This Row],[Utilidad Total]]*6%,Tabla4[[#This Row],[Utilidad Total]]*11.5%))/Tabla4[[#This Row],[Total]]</f>
        <v>#N/A</v>
      </c>
      <c r="V3699" s="282" t="e">
        <f>+Tabla4[[#This Row],[Comisión Calculada]]*Tabla4[[#This Row],[Total]]</f>
        <v>#N/A</v>
      </c>
    </row>
    <row r="3700" spans="1:22" hidden="1" x14ac:dyDescent="0.25">
      <c r="A3700" s="100">
        <v>45838</v>
      </c>
      <c r="B3700" t="str">
        <f t="shared" si="169"/>
        <v>June</v>
      </c>
      <c r="C3700" s="46" t="s">
        <v>280</v>
      </c>
      <c r="F3700" s="366" t="s">
        <v>2141</v>
      </c>
      <c r="G3700" s="46" t="s">
        <v>84</v>
      </c>
      <c r="H3700" s="46">
        <v>2</v>
      </c>
      <c r="I3700" s="51">
        <v>16601.830000000002</v>
      </c>
      <c r="J3700" s="281">
        <f>++Tabla4[[#This Row],[Precio Bruto]]*1.16</f>
        <v>19258.122800000001</v>
      </c>
      <c r="K3700" s="281">
        <f>+Tabla4[[#This Row],[Precio Unitario Neto]]*Tabla4[[#Headers],[20.85%]]</f>
        <v>4015.3186037999999</v>
      </c>
      <c r="L3700" s="282">
        <f>++Tabla4[[#This Row],[Precio Unitario Neto]]-Tabla4[[#This Row],[20.85%]]</f>
        <v>15242.804196200001</v>
      </c>
      <c r="M3700" s="282" t="e">
        <f>(INDEX(Tabla6[#All],MATCH(Tabla4[[#This Row],[Producto]],Tabla6[[#All],[PRODUCTO]],0),MATCH(Tabla4[[#This Row],[Mes]],Tabla6[#Headers],0)))*(1+Catalogos!$L$2)</f>
        <v>#N/A</v>
      </c>
      <c r="N3700" s="283" t="e">
        <f>+(Tabla4[[#This Row],[Precio Descontado]]-Tabla4[[#This Row],[Precio Base]])*Tabla4[[#This Row],[Cantidad]]</f>
        <v>#N/A</v>
      </c>
      <c r="O3700" s="284" t="e">
        <f>++Tabla4[[#This Row],[Utilidad Total]]/Tabla4[[#This Row],[Total]]</f>
        <v>#N/A</v>
      </c>
      <c r="P3700" s="282">
        <f>++Tabla4[[#This Row],[Precio Descontado]]*Tabla4[[#This Row],[Cantidad]]</f>
        <v>30485.608392400001</v>
      </c>
      <c r="Q3700" s="282" t="e">
        <f>(INDEX(Tabla6[#All],MATCH(Tabla4[[#This Row],[Producto]],Tabla6[[#All],[PRODUCTO]],0),MATCH(Tabla4[[#This Row],[Mes]],Tabla6[#Headers],0)))</f>
        <v>#N/A</v>
      </c>
      <c r="R3700" s="282" t="e">
        <f>++Tabla4[[#This Row],[Precio Unitario Neto]]-Tabla4[[#This Row],[20.85%]]-Tabla4[[#This Row],[Costo]]</f>
        <v>#N/A</v>
      </c>
      <c r="S3700" s="282" t="e">
        <f>++Tabla4[[#This Row],[U. Bruta Uni]]*Tabla4[[#This Row],[Cantidad]]</f>
        <v>#N/A</v>
      </c>
      <c r="T3700" s="369" t="str">
        <f>VLOOKUP(Tabla4[[#This Row],[Producto]],Tabla6[#All],14,FALSE)</f>
        <v>Termico Solar</v>
      </c>
      <c r="U3700" s="284" t="e">
        <f>(IF(Tabla4[[#This Row],[Familia]]="termico solar",Tabla4[[#This Row],[Utilidad Total]]*6%,Tabla4[[#This Row],[Utilidad Total]]*11.5%))/Tabla4[[#This Row],[Total]]</f>
        <v>#N/A</v>
      </c>
      <c r="V3700" s="282" t="e">
        <f>+Tabla4[[#This Row],[Comisión Calculada]]*Tabla4[[#This Row],[Total]]</f>
        <v>#N/A</v>
      </c>
    </row>
    <row r="3701" spans="1:22" hidden="1" x14ac:dyDescent="0.25">
      <c r="A3701" s="100">
        <v>45838</v>
      </c>
      <c r="B3701" t="str">
        <f t="shared" si="169"/>
        <v>June</v>
      </c>
      <c r="C3701" s="46" t="s">
        <v>280</v>
      </c>
      <c r="F3701" s="366" t="s">
        <v>2141</v>
      </c>
      <c r="G3701" s="46" t="s">
        <v>566</v>
      </c>
      <c r="H3701" s="46">
        <v>1</v>
      </c>
      <c r="I3701" s="51">
        <v>2109.4499999999998</v>
      </c>
      <c r="J3701" s="281">
        <f>++Tabla4[[#This Row],[Precio Bruto]]*1.16</f>
        <v>2446.9619999999995</v>
      </c>
      <c r="K3701" s="281">
        <f>+Tabla4[[#This Row],[Precio Unitario Neto]]*Tabla4[[#Headers],[20.85%]]</f>
        <v>510.19157699999988</v>
      </c>
      <c r="L3701" s="282">
        <f>++Tabla4[[#This Row],[Precio Unitario Neto]]-Tabla4[[#This Row],[20.85%]]</f>
        <v>1936.7704229999997</v>
      </c>
      <c r="M3701" s="282" t="e">
        <f>(INDEX(Tabla6[#All],MATCH(Tabla4[[#This Row],[Producto]],Tabla6[[#All],[PRODUCTO]],0),MATCH(Tabla4[[#This Row],[Mes]],Tabla6[#Headers],0)))*(1+Catalogos!$L$2)</f>
        <v>#N/A</v>
      </c>
      <c r="N3701" s="283" t="e">
        <f>+(Tabla4[[#This Row],[Precio Descontado]]-Tabla4[[#This Row],[Precio Base]])*Tabla4[[#This Row],[Cantidad]]</f>
        <v>#N/A</v>
      </c>
      <c r="O3701" s="284" t="e">
        <f>++Tabla4[[#This Row],[Utilidad Total]]/Tabla4[[#This Row],[Total]]</f>
        <v>#N/A</v>
      </c>
      <c r="P3701" s="282">
        <f>++Tabla4[[#This Row],[Precio Descontado]]*Tabla4[[#This Row],[Cantidad]]</f>
        <v>1936.7704229999997</v>
      </c>
      <c r="Q3701" s="282" t="e">
        <f>(INDEX(Tabla6[#All],MATCH(Tabla4[[#This Row],[Producto]],Tabla6[[#All],[PRODUCTO]],0),MATCH(Tabla4[[#This Row],[Mes]],Tabla6[#Headers],0)))</f>
        <v>#N/A</v>
      </c>
      <c r="R3701" s="282" t="e">
        <f>++Tabla4[[#This Row],[Precio Unitario Neto]]-Tabla4[[#This Row],[20.85%]]-Tabla4[[#This Row],[Costo]]</f>
        <v>#N/A</v>
      </c>
      <c r="S3701" s="282" t="e">
        <f>++Tabla4[[#This Row],[U. Bruta Uni]]*Tabla4[[#This Row],[Cantidad]]</f>
        <v>#N/A</v>
      </c>
      <c r="T3701" s="369" t="str">
        <f>VLOOKUP(Tabla4[[#This Row],[Producto]],Tabla6[#All],14,FALSE)</f>
        <v>Termico Solar</v>
      </c>
      <c r="U3701" s="284" t="e">
        <f>(IF(Tabla4[[#This Row],[Familia]]="termico solar",Tabla4[[#This Row],[Utilidad Total]]*6%,Tabla4[[#This Row],[Utilidad Total]]*11.5%))/Tabla4[[#This Row],[Total]]</f>
        <v>#N/A</v>
      </c>
      <c r="V3701" s="282" t="e">
        <f>+Tabla4[[#This Row],[Comisión Calculada]]*Tabla4[[#This Row],[Total]]</f>
        <v>#N/A</v>
      </c>
    </row>
    <row r="3702" spans="1:22" hidden="1" x14ac:dyDescent="0.25">
      <c r="A3702" s="100">
        <v>45838</v>
      </c>
      <c r="B3702" t="str">
        <f t="shared" si="169"/>
        <v>June</v>
      </c>
      <c r="C3702" s="46" t="s">
        <v>280</v>
      </c>
      <c r="F3702" s="366" t="s">
        <v>2141</v>
      </c>
      <c r="G3702" s="46" t="s">
        <v>208</v>
      </c>
      <c r="H3702" s="46">
        <v>1</v>
      </c>
      <c r="I3702" s="51">
        <v>189.75</v>
      </c>
      <c r="J3702" s="281">
        <f>++Tabla4[[#This Row],[Precio Bruto]]*1.16</f>
        <v>220.10999999999999</v>
      </c>
      <c r="K3702" s="281">
        <f>+Tabla4[[#This Row],[Precio Unitario Neto]]*Tabla4[[#Headers],[20.85%]]</f>
        <v>45.892934999999994</v>
      </c>
      <c r="L3702" s="282">
        <f>++Tabla4[[#This Row],[Precio Unitario Neto]]-Tabla4[[#This Row],[20.85%]]</f>
        <v>174.21706499999999</v>
      </c>
      <c r="M3702" s="282" t="e">
        <f>(INDEX(Tabla6[#All],MATCH(Tabla4[[#This Row],[Producto]],Tabla6[[#All],[PRODUCTO]],0),MATCH(Tabla4[[#This Row],[Mes]],Tabla6[#Headers],0)))*(1+Catalogos!$L$2)</f>
        <v>#N/A</v>
      </c>
      <c r="N3702" s="283" t="e">
        <f>+(Tabla4[[#This Row],[Precio Descontado]]-Tabla4[[#This Row],[Precio Base]])*Tabla4[[#This Row],[Cantidad]]</f>
        <v>#N/A</v>
      </c>
      <c r="O3702" s="284" t="e">
        <f>++Tabla4[[#This Row],[Utilidad Total]]/Tabla4[[#This Row],[Total]]</f>
        <v>#N/A</v>
      </c>
      <c r="P3702" s="282">
        <f>++Tabla4[[#This Row],[Precio Descontado]]*Tabla4[[#This Row],[Cantidad]]</f>
        <v>174.21706499999999</v>
      </c>
      <c r="Q3702" s="282" t="e">
        <f>(INDEX(Tabla6[#All],MATCH(Tabla4[[#This Row],[Producto]],Tabla6[[#All],[PRODUCTO]],0),MATCH(Tabla4[[#This Row],[Mes]],Tabla6[#Headers],0)))</f>
        <v>#N/A</v>
      </c>
      <c r="R3702" s="282" t="e">
        <f>++Tabla4[[#This Row],[Precio Unitario Neto]]-Tabla4[[#This Row],[20.85%]]-Tabla4[[#This Row],[Costo]]</f>
        <v>#N/A</v>
      </c>
      <c r="S3702" s="282" t="e">
        <f>++Tabla4[[#This Row],[U. Bruta Uni]]*Tabla4[[#This Row],[Cantidad]]</f>
        <v>#N/A</v>
      </c>
      <c r="T3702" s="369" t="str">
        <f>VLOOKUP(Tabla4[[#This Row],[Producto]],Tabla6[#All],14,FALSE)</f>
        <v>Termico Solar</v>
      </c>
      <c r="U3702" s="284" t="e">
        <f>(IF(Tabla4[[#This Row],[Familia]]="termico solar",Tabla4[[#This Row],[Utilidad Total]]*6%,Tabla4[[#This Row],[Utilidad Total]]*11.5%))/Tabla4[[#This Row],[Total]]</f>
        <v>#N/A</v>
      </c>
      <c r="V3702" s="282" t="e">
        <f>+Tabla4[[#This Row],[Comisión Calculada]]*Tabla4[[#This Row],[Total]]</f>
        <v>#N/A</v>
      </c>
    </row>
    <row r="3703" spans="1:22" hidden="1" x14ac:dyDescent="0.25">
      <c r="A3703" s="100">
        <v>45838</v>
      </c>
      <c r="B3703" t="str">
        <f t="shared" ref="B3703:B3709" si="170">TEXT(A3703, "mmmm")</f>
        <v>June</v>
      </c>
      <c r="C3703" s="46" t="s">
        <v>280</v>
      </c>
      <c r="F3703" s="366" t="s">
        <v>2142</v>
      </c>
      <c r="G3703" s="46" t="s">
        <v>83</v>
      </c>
      <c r="H3703" s="46">
        <v>6</v>
      </c>
      <c r="I3703" s="51">
        <v>8858.76</v>
      </c>
      <c r="J3703" s="281">
        <f>++Tabla4[[#This Row],[Precio Bruto]]*1.16</f>
        <v>10276.161599999999</v>
      </c>
      <c r="K3703" s="281">
        <f>+Tabla4[[#This Row],[Precio Unitario Neto]]*Tabla4[[#Headers],[20.85%]]</f>
        <v>2142.5796935999997</v>
      </c>
      <c r="L3703" s="282">
        <f>++Tabla4[[#This Row],[Precio Unitario Neto]]-Tabla4[[#This Row],[20.85%]]</f>
        <v>8133.5819063999998</v>
      </c>
      <c r="M3703" s="282" t="e">
        <f>(INDEX(Tabla6[#All],MATCH(Tabla4[[#This Row],[Producto]],Tabla6[[#All],[PRODUCTO]],0),MATCH(Tabla4[[#This Row],[Mes]],Tabla6[#Headers],0)))*(1+Catalogos!$L$2)</f>
        <v>#N/A</v>
      </c>
      <c r="N3703" s="283" t="e">
        <f>+(Tabla4[[#This Row],[Precio Descontado]]-Tabla4[[#This Row],[Precio Base]])*Tabla4[[#This Row],[Cantidad]]</f>
        <v>#N/A</v>
      </c>
      <c r="O3703" s="284" t="e">
        <f>++Tabla4[[#This Row],[Utilidad Total]]/Tabla4[[#This Row],[Total]]</f>
        <v>#N/A</v>
      </c>
      <c r="P3703" s="282">
        <f>++Tabla4[[#This Row],[Precio Descontado]]*Tabla4[[#This Row],[Cantidad]]</f>
        <v>48801.4914384</v>
      </c>
      <c r="Q3703" s="282" t="e">
        <f>(INDEX(Tabla6[#All],MATCH(Tabla4[[#This Row],[Producto]],Tabla6[[#All],[PRODUCTO]],0),MATCH(Tabla4[[#This Row],[Mes]],Tabla6[#Headers],0)))</f>
        <v>#N/A</v>
      </c>
      <c r="R3703" s="282" t="e">
        <f>++Tabla4[[#This Row],[Precio Unitario Neto]]-Tabla4[[#This Row],[20.85%]]-Tabla4[[#This Row],[Costo]]</f>
        <v>#N/A</v>
      </c>
      <c r="S3703" s="282" t="e">
        <f>++Tabla4[[#This Row],[U. Bruta Uni]]*Tabla4[[#This Row],[Cantidad]]</f>
        <v>#N/A</v>
      </c>
      <c r="T3703" s="369" t="str">
        <f>VLOOKUP(Tabla4[[#This Row],[Producto]],Tabla6[#All],14,FALSE)</f>
        <v>Termico Solar</v>
      </c>
      <c r="U3703" s="284" t="e">
        <f>(IF(Tabla4[[#This Row],[Familia]]="termico solar",Tabla4[[#This Row],[Utilidad Total]]*6%,Tabla4[[#This Row],[Utilidad Total]]*11.5%))/Tabla4[[#This Row],[Total]]</f>
        <v>#N/A</v>
      </c>
      <c r="V3703" s="282" t="e">
        <f>+Tabla4[[#This Row],[Comisión Calculada]]*Tabla4[[#This Row],[Total]]</f>
        <v>#N/A</v>
      </c>
    </row>
    <row r="3704" spans="1:22" hidden="1" x14ac:dyDescent="0.25">
      <c r="A3704" s="100">
        <v>45838</v>
      </c>
      <c r="B3704" t="str">
        <f t="shared" si="170"/>
        <v>June</v>
      </c>
      <c r="C3704" s="46" t="s">
        <v>280</v>
      </c>
      <c r="F3704" s="366" t="s">
        <v>2142</v>
      </c>
      <c r="G3704" s="46" t="s">
        <v>19</v>
      </c>
      <c r="H3704" s="46">
        <v>4</v>
      </c>
      <c r="I3704" s="51">
        <v>6412.03</v>
      </c>
      <c r="J3704" s="281">
        <f>++Tabla4[[#This Row],[Precio Bruto]]*1.16</f>
        <v>7437.9547999999995</v>
      </c>
      <c r="K3704" s="281">
        <f>+Tabla4[[#This Row],[Precio Unitario Neto]]*Tabla4[[#Headers],[20.85%]]</f>
        <v>1550.8135757999999</v>
      </c>
      <c r="L3704" s="282">
        <f>++Tabla4[[#This Row],[Precio Unitario Neto]]-Tabla4[[#This Row],[20.85%]]</f>
        <v>5887.1412241999997</v>
      </c>
      <c r="M3704" s="282" t="e">
        <f>(INDEX(Tabla6[#All],MATCH(Tabla4[[#This Row],[Producto]],Tabla6[[#All],[PRODUCTO]],0),MATCH(Tabla4[[#This Row],[Mes]],Tabla6[#Headers],0)))*(1+Catalogos!$L$2)</f>
        <v>#N/A</v>
      </c>
      <c r="N3704" s="283" t="e">
        <f>+(Tabla4[[#This Row],[Precio Descontado]]-Tabla4[[#This Row],[Precio Base]])*Tabla4[[#This Row],[Cantidad]]</f>
        <v>#N/A</v>
      </c>
      <c r="O3704" s="284" t="e">
        <f>++Tabla4[[#This Row],[Utilidad Total]]/Tabla4[[#This Row],[Total]]</f>
        <v>#N/A</v>
      </c>
      <c r="P3704" s="282">
        <f>++Tabla4[[#This Row],[Precio Descontado]]*Tabla4[[#This Row],[Cantidad]]</f>
        <v>23548.564896799999</v>
      </c>
      <c r="Q3704" s="282" t="e">
        <f>(INDEX(Tabla6[#All],MATCH(Tabla4[[#This Row],[Producto]],Tabla6[[#All],[PRODUCTO]],0),MATCH(Tabla4[[#This Row],[Mes]],Tabla6[#Headers],0)))</f>
        <v>#N/A</v>
      </c>
      <c r="R3704" s="282" t="e">
        <f>++Tabla4[[#This Row],[Precio Unitario Neto]]-Tabla4[[#This Row],[20.85%]]-Tabla4[[#This Row],[Costo]]</f>
        <v>#N/A</v>
      </c>
      <c r="S3704" s="282" t="e">
        <f>++Tabla4[[#This Row],[U. Bruta Uni]]*Tabla4[[#This Row],[Cantidad]]</f>
        <v>#N/A</v>
      </c>
      <c r="T3704" s="369" t="str">
        <f>VLOOKUP(Tabla4[[#This Row],[Producto]],Tabla6[#All],14,FALSE)</f>
        <v>Termico Solar</v>
      </c>
      <c r="U3704" s="284" t="e">
        <f>(IF(Tabla4[[#This Row],[Familia]]="termico solar",Tabla4[[#This Row],[Utilidad Total]]*6%,Tabla4[[#This Row],[Utilidad Total]]*11.5%))/Tabla4[[#This Row],[Total]]</f>
        <v>#N/A</v>
      </c>
      <c r="V3704" s="282" t="e">
        <f>+Tabla4[[#This Row],[Comisión Calculada]]*Tabla4[[#This Row],[Total]]</f>
        <v>#N/A</v>
      </c>
    </row>
    <row r="3705" spans="1:22" hidden="1" x14ac:dyDescent="0.25">
      <c r="A3705" s="100">
        <v>45838</v>
      </c>
      <c r="B3705" t="str">
        <f t="shared" si="170"/>
        <v>June</v>
      </c>
      <c r="C3705" s="46" t="s">
        <v>280</v>
      </c>
      <c r="F3705" s="366" t="s">
        <v>2142</v>
      </c>
      <c r="G3705" s="46" t="s">
        <v>21</v>
      </c>
      <c r="H3705" s="46">
        <v>3</v>
      </c>
      <c r="I3705" s="51">
        <v>9282.19</v>
      </c>
      <c r="J3705" s="281">
        <f>++Tabla4[[#This Row],[Precio Bruto]]*1.16</f>
        <v>10767.340399999999</v>
      </c>
      <c r="K3705" s="281">
        <f>+Tabla4[[#This Row],[Precio Unitario Neto]]*Tabla4[[#Headers],[20.85%]]</f>
        <v>2244.9904733999997</v>
      </c>
      <c r="L3705" s="282">
        <f>++Tabla4[[#This Row],[Precio Unitario Neto]]-Tabla4[[#This Row],[20.85%]]</f>
        <v>8522.3499265999999</v>
      </c>
      <c r="M3705" s="282" t="e">
        <f>(INDEX(Tabla6[#All],MATCH(Tabla4[[#This Row],[Producto]],Tabla6[[#All],[PRODUCTO]],0),MATCH(Tabla4[[#This Row],[Mes]],Tabla6[#Headers],0)))*(1+Catalogos!$L$2)</f>
        <v>#N/A</v>
      </c>
      <c r="N3705" s="283" t="e">
        <f>+(Tabla4[[#This Row],[Precio Descontado]]-Tabla4[[#This Row],[Precio Base]])*Tabla4[[#This Row],[Cantidad]]</f>
        <v>#N/A</v>
      </c>
      <c r="O3705" s="284" t="e">
        <f>++Tabla4[[#This Row],[Utilidad Total]]/Tabla4[[#This Row],[Total]]</f>
        <v>#N/A</v>
      </c>
      <c r="P3705" s="282">
        <f>++Tabla4[[#This Row],[Precio Descontado]]*Tabla4[[#This Row],[Cantidad]]</f>
        <v>25567.0497798</v>
      </c>
      <c r="Q3705" s="282" t="e">
        <f>(INDEX(Tabla6[#All],MATCH(Tabla4[[#This Row],[Producto]],Tabla6[[#All],[PRODUCTO]],0),MATCH(Tabla4[[#This Row],[Mes]],Tabla6[#Headers],0)))</f>
        <v>#N/A</v>
      </c>
      <c r="R3705" s="282" t="e">
        <f>++Tabla4[[#This Row],[Precio Unitario Neto]]-Tabla4[[#This Row],[20.85%]]-Tabla4[[#This Row],[Costo]]</f>
        <v>#N/A</v>
      </c>
      <c r="S3705" s="282" t="e">
        <f>++Tabla4[[#This Row],[U. Bruta Uni]]*Tabla4[[#This Row],[Cantidad]]</f>
        <v>#N/A</v>
      </c>
      <c r="T3705" s="369" t="str">
        <f>VLOOKUP(Tabla4[[#This Row],[Producto]],Tabla6[#All],14,FALSE)</f>
        <v>Termico Solar</v>
      </c>
      <c r="U3705" s="284" t="e">
        <f>(IF(Tabla4[[#This Row],[Familia]]="termico solar",Tabla4[[#This Row],[Utilidad Total]]*6%,Tabla4[[#This Row],[Utilidad Total]]*11.5%))/Tabla4[[#This Row],[Total]]</f>
        <v>#N/A</v>
      </c>
      <c r="V3705" s="282" t="e">
        <f>+Tabla4[[#This Row],[Comisión Calculada]]*Tabla4[[#This Row],[Total]]</f>
        <v>#N/A</v>
      </c>
    </row>
    <row r="3706" spans="1:22" hidden="1" x14ac:dyDescent="0.25">
      <c r="A3706" s="100">
        <v>45838</v>
      </c>
      <c r="B3706" t="str">
        <f t="shared" si="170"/>
        <v>June</v>
      </c>
      <c r="C3706" s="46" t="s">
        <v>280</v>
      </c>
      <c r="F3706" s="366" t="s">
        <v>2142</v>
      </c>
      <c r="G3706" s="46" t="s">
        <v>22</v>
      </c>
      <c r="H3706" s="46">
        <v>4</v>
      </c>
      <c r="I3706" s="51">
        <v>13355.75</v>
      </c>
      <c r="J3706" s="281">
        <f>++Tabla4[[#This Row],[Precio Bruto]]*1.16</f>
        <v>15492.669999999998</v>
      </c>
      <c r="K3706" s="281">
        <f>+Tabla4[[#This Row],[Precio Unitario Neto]]*Tabla4[[#Headers],[20.85%]]</f>
        <v>3230.2216949999993</v>
      </c>
      <c r="L3706" s="282">
        <f>++Tabla4[[#This Row],[Precio Unitario Neto]]-Tabla4[[#This Row],[20.85%]]</f>
        <v>12262.448304999998</v>
      </c>
      <c r="M3706" s="282" t="e">
        <f>(INDEX(Tabla6[#All],MATCH(Tabla4[[#This Row],[Producto]],Tabla6[[#All],[PRODUCTO]],0),MATCH(Tabla4[[#This Row],[Mes]],Tabla6[#Headers],0)))*(1+Catalogos!$L$2)</f>
        <v>#N/A</v>
      </c>
      <c r="N3706" s="283" t="e">
        <f>+(Tabla4[[#This Row],[Precio Descontado]]-Tabla4[[#This Row],[Precio Base]])*Tabla4[[#This Row],[Cantidad]]</f>
        <v>#N/A</v>
      </c>
      <c r="O3706" s="284" t="e">
        <f>++Tabla4[[#This Row],[Utilidad Total]]/Tabla4[[#This Row],[Total]]</f>
        <v>#N/A</v>
      </c>
      <c r="P3706" s="282">
        <f>++Tabla4[[#This Row],[Precio Descontado]]*Tabla4[[#This Row],[Cantidad]]</f>
        <v>49049.793219999992</v>
      </c>
      <c r="Q3706" s="282" t="e">
        <f>(INDEX(Tabla6[#All],MATCH(Tabla4[[#This Row],[Producto]],Tabla6[[#All],[PRODUCTO]],0),MATCH(Tabla4[[#This Row],[Mes]],Tabla6[#Headers],0)))</f>
        <v>#N/A</v>
      </c>
      <c r="R3706" s="282" t="e">
        <f>++Tabla4[[#This Row],[Precio Unitario Neto]]-Tabla4[[#This Row],[20.85%]]-Tabla4[[#This Row],[Costo]]</f>
        <v>#N/A</v>
      </c>
      <c r="S3706" s="282" t="e">
        <f>++Tabla4[[#This Row],[U. Bruta Uni]]*Tabla4[[#This Row],[Cantidad]]</f>
        <v>#N/A</v>
      </c>
      <c r="T3706" s="369" t="str">
        <f>VLOOKUP(Tabla4[[#This Row],[Producto]],Tabla6[#All],14,FALSE)</f>
        <v>Termico Solar</v>
      </c>
      <c r="U3706" s="284" t="e">
        <f>(IF(Tabla4[[#This Row],[Familia]]="termico solar",Tabla4[[#This Row],[Utilidad Total]]*6%,Tabla4[[#This Row],[Utilidad Total]]*11.5%))/Tabla4[[#This Row],[Total]]</f>
        <v>#N/A</v>
      </c>
      <c r="V3706" s="282" t="e">
        <f>+Tabla4[[#This Row],[Comisión Calculada]]*Tabla4[[#This Row],[Total]]</f>
        <v>#N/A</v>
      </c>
    </row>
    <row r="3707" spans="1:22" hidden="1" x14ac:dyDescent="0.25">
      <c r="A3707" s="100">
        <v>45838</v>
      </c>
      <c r="B3707" t="str">
        <f t="shared" si="170"/>
        <v>June</v>
      </c>
      <c r="C3707" s="46" t="s">
        <v>280</v>
      </c>
      <c r="F3707" s="366" t="s">
        <v>2142</v>
      </c>
      <c r="G3707" s="46" t="s">
        <v>84</v>
      </c>
      <c r="H3707" s="46">
        <v>3</v>
      </c>
      <c r="I3707" s="51">
        <v>16601.829999999998</v>
      </c>
      <c r="J3707" s="281">
        <f>++Tabla4[[#This Row],[Precio Bruto]]*1.16</f>
        <v>19258.122799999997</v>
      </c>
      <c r="K3707" s="281">
        <f>+Tabla4[[#This Row],[Precio Unitario Neto]]*Tabla4[[#Headers],[20.85%]]</f>
        <v>4015.3186037999994</v>
      </c>
      <c r="L3707" s="282">
        <f>++Tabla4[[#This Row],[Precio Unitario Neto]]-Tabla4[[#This Row],[20.85%]]</f>
        <v>15242.804196199999</v>
      </c>
      <c r="M3707" s="282" t="e">
        <f>(INDEX(Tabla6[#All],MATCH(Tabla4[[#This Row],[Producto]],Tabla6[[#All],[PRODUCTO]],0),MATCH(Tabla4[[#This Row],[Mes]],Tabla6[#Headers],0)))*(1+Catalogos!$L$2)</f>
        <v>#N/A</v>
      </c>
      <c r="N3707" s="283" t="e">
        <f>+(Tabla4[[#This Row],[Precio Descontado]]-Tabla4[[#This Row],[Precio Base]])*Tabla4[[#This Row],[Cantidad]]</f>
        <v>#N/A</v>
      </c>
      <c r="O3707" s="284" t="e">
        <f>++Tabla4[[#This Row],[Utilidad Total]]/Tabla4[[#This Row],[Total]]</f>
        <v>#N/A</v>
      </c>
      <c r="P3707" s="282">
        <f>++Tabla4[[#This Row],[Precio Descontado]]*Tabla4[[#This Row],[Cantidad]]</f>
        <v>45728.412588599997</v>
      </c>
      <c r="Q3707" s="282" t="e">
        <f>(INDEX(Tabla6[#All],MATCH(Tabla4[[#This Row],[Producto]],Tabla6[[#All],[PRODUCTO]],0),MATCH(Tabla4[[#This Row],[Mes]],Tabla6[#Headers],0)))</f>
        <v>#N/A</v>
      </c>
      <c r="R3707" s="282" t="e">
        <f>++Tabla4[[#This Row],[Precio Unitario Neto]]-Tabla4[[#This Row],[20.85%]]-Tabla4[[#This Row],[Costo]]</f>
        <v>#N/A</v>
      </c>
      <c r="S3707" s="282" t="e">
        <f>++Tabla4[[#This Row],[U. Bruta Uni]]*Tabla4[[#This Row],[Cantidad]]</f>
        <v>#N/A</v>
      </c>
      <c r="T3707" s="369" t="str">
        <f>VLOOKUP(Tabla4[[#This Row],[Producto]],Tabla6[#All],14,FALSE)</f>
        <v>Termico Solar</v>
      </c>
      <c r="U3707" s="284" t="e">
        <f>(IF(Tabla4[[#This Row],[Familia]]="termico solar",Tabla4[[#This Row],[Utilidad Total]]*6%,Tabla4[[#This Row],[Utilidad Total]]*11.5%))/Tabla4[[#This Row],[Total]]</f>
        <v>#N/A</v>
      </c>
      <c r="V3707" s="282" t="e">
        <f>+Tabla4[[#This Row],[Comisión Calculada]]*Tabla4[[#This Row],[Total]]</f>
        <v>#N/A</v>
      </c>
    </row>
    <row r="3708" spans="1:22" hidden="1" x14ac:dyDescent="0.25">
      <c r="A3708" s="100">
        <v>45838</v>
      </c>
      <c r="B3708" t="str">
        <f t="shared" si="170"/>
        <v>June</v>
      </c>
      <c r="C3708" s="46" t="s">
        <v>280</v>
      </c>
      <c r="F3708" s="366" t="s">
        <v>2142</v>
      </c>
      <c r="G3708" s="46" t="s">
        <v>566</v>
      </c>
      <c r="H3708" s="46">
        <v>1</v>
      </c>
      <c r="I3708" s="51">
        <v>2109.4499999999998</v>
      </c>
      <c r="J3708" s="281">
        <f>++Tabla4[[#This Row],[Precio Bruto]]*1.16</f>
        <v>2446.9619999999995</v>
      </c>
      <c r="K3708" s="281">
        <f>+Tabla4[[#This Row],[Precio Unitario Neto]]*Tabla4[[#Headers],[20.85%]]</f>
        <v>510.19157699999988</v>
      </c>
      <c r="L3708" s="282">
        <f>++Tabla4[[#This Row],[Precio Unitario Neto]]-Tabla4[[#This Row],[20.85%]]</f>
        <v>1936.7704229999997</v>
      </c>
      <c r="M3708" s="282" t="e">
        <f>(INDEX(Tabla6[#All],MATCH(Tabla4[[#This Row],[Producto]],Tabla6[[#All],[PRODUCTO]],0),MATCH(Tabla4[[#This Row],[Mes]],Tabla6[#Headers],0)))*(1+Catalogos!$L$2)</f>
        <v>#N/A</v>
      </c>
      <c r="N3708" s="283" t="e">
        <f>+(Tabla4[[#This Row],[Precio Descontado]]-Tabla4[[#This Row],[Precio Base]])*Tabla4[[#This Row],[Cantidad]]</f>
        <v>#N/A</v>
      </c>
      <c r="O3708" s="284" t="e">
        <f>++Tabla4[[#This Row],[Utilidad Total]]/Tabla4[[#This Row],[Total]]</f>
        <v>#N/A</v>
      </c>
      <c r="P3708" s="282">
        <f>++Tabla4[[#This Row],[Precio Descontado]]*Tabla4[[#This Row],[Cantidad]]</f>
        <v>1936.7704229999997</v>
      </c>
      <c r="Q3708" s="282" t="e">
        <f>(INDEX(Tabla6[#All],MATCH(Tabla4[[#This Row],[Producto]],Tabla6[[#All],[PRODUCTO]],0),MATCH(Tabla4[[#This Row],[Mes]],Tabla6[#Headers],0)))</f>
        <v>#N/A</v>
      </c>
      <c r="R3708" s="282" t="e">
        <f>++Tabla4[[#This Row],[Precio Unitario Neto]]-Tabla4[[#This Row],[20.85%]]-Tabla4[[#This Row],[Costo]]</f>
        <v>#N/A</v>
      </c>
      <c r="S3708" s="282" t="e">
        <f>++Tabla4[[#This Row],[U. Bruta Uni]]*Tabla4[[#This Row],[Cantidad]]</f>
        <v>#N/A</v>
      </c>
      <c r="T3708" s="369" t="str">
        <f>VLOOKUP(Tabla4[[#This Row],[Producto]],Tabla6[#All],14,FALSE)</f>
        <v>Termico Solar</v>
      </c>
      <c r="U3708" s="284" t="e">
        <f>(IF(Tabla4[[#This Row],[Familia]]="termico solar",Tabla4[[#This Row],[Utilidad Total]]*6%,Tabla4[[#This Row],[Utilidad Total]]*11.5%))/Tabla4[[#This Row],[Total]]</f>
        <v>#N/A</v>
      </c>
      <c r="V3708" s="282" t="e">
        <f>+Tabla4[[#This Row],[Comisión Calculada]]*Tabla4[[#This Row],[Total]]</f>
        <v>#N/A</v>
      </c>
    </row>
    <row r="3709" spans="1:22" hidden="1" x14ac:dyDescent="0.25">
      <c r="A3709" s="100">
        <v>45838</v>
      </c>
      <c r="B3709" t="str">
        <f t="shared" si="170"/>
        <v>June</v>
      </c>
      <c r="C3709" s="46" t="s">
        <v>280</v>
      </c>
      <c r="F3709" s="366" t="s">
        <v>2142</v>
      </c>
      <c r="G3709" s="46" t="s">
        <v>16</v>
      </c>
      <c r="H3709" s="46">
        <v>3</v>
      </c>
      <c r="I3709" s="51">
        <v>4103.8499999999995</v>
      </c>
      <c r="J3709" s="281">
        <f>++Tabla4[[#This Row],[Precio Bruto]]*1.16</f>
        <v>4760.4659999999994</v>
      </c>
      <c r="K3709" s="281">
        <f>+Tabla4[[#This Row],[Precio Unitario Neto]]*Tabla4[[#Headers],[20.85%]]</f>
        <v>992.55716099999984</v>
      </c>
      <c r="L3709" s="282">
        <f>++Tabla4[[#This Row],[Precio Unitario Neto]]-Tabla4[[#This Row],[20.85%]]</f>
        <v>3767.9088389999997</v>
      </c>
      <c r="M3709" s="282" t="e">
        <f>(INDEX(Tabla6[#All],MATCH(Tabla4[[#This Row],[Producto]],Tabla6[[#All],[PRODUCTO]],0),MATCH(Tabla4[[#This Row],[Mes]],Tabla6[#Headers],0)))*(1+Catalogos!$L$2)</f>
        <v>#N/A</v>
      </c>
      <c r="N3709" s="283" t="e">
        <f>+(Tabla4[[#This Row],[Precio Descontado]]-Tabla4[[#This Row],[Precio Base]])*Tabla4[[#This Row],[Cantidad]]</f>
        <v>#N/A</v>
      </c>
      <c r="O3709" s="284" t="e">
        <f>++Tabla4[[#This Row],[Utilidad Total]]/Tabla4[[#This Row],[Total]]</f>
        <v>#N/A</v>
      </c>
      <c r="P3709" s="282">
        <f>++Tabla4[[#This Row],[Precio Descontado]]*Tabla4[[#This Row],[Cantidad]]</f>
        <v>11303.726516999999</v>
      </c>
      <c r="Q3709" s="282" t="e">
        <f>(INDEX(Tabla6[#All],MATCH(Tabla4[[#This Row],[Producto]],Tabla6[[#All],[PRODUCTO]],0),MATCH(Tabla4[[#This Row],[Mes]],Tabla6[#Headers],0)))</f>
        <v>#N/A</v>
      </c>
      <c r="R3709" s="282" t="e">
        <f>++Tabla4[[#This Row],[Precio Unitario Neto]]-Tabla4[[#This Row],[20.85%]]-Tabla4[[#This Row],[Costo]]</f>
        <v>#N/A</v>
      </c>
      <c r="S3709" s="282" t="e">
        <f>++Tabla4[[#This Row],[U. Bruta Uni]]*Tabla4[[#This Row],[Cantidad]]</f>
        <v>#N/A</v>
      </c>
      <c r="T3709" s="369" t="str">
        <f>VLOOKUP(Tabla4[[#This Row],[Producto]],Tabla6[#All],14,FALSE)</f>
        <v>Termico Solar</v>
      </c>
      <c r="U3709" s="284" t="e">
        <f>(IF(Tabla4[[#This Row],[Familia]]="termico solar",Tabla4[[#This Row],[Utilidad Total]]*6%,Tabla4[[#This Row],[Utilidad Total]]*11.5%))/Tabla4[[#This Row],[Total]]</f>
        <v>#N/A</v>
      </c>
      <c r="V3709" s="282" t="e">
        <f>+Tabla4[[#This Row],[Comisión Calculada]]*Tabla4[[#This Row],[Total]]</f>
        <v>#N/A</v>
      </c>
    </row>
    <row r="3710" spans="1:22" hidden="1" x14ac:dyDescent="0.25">
      <c r="A3710" s="100">
        <v>45838</v>
      </c>
      <c r="B3710" t="str">
        <f>TEXT(A3710, "mmmm")</f>
        <v>June</v>
      </c>
      <c r="C3710" s="46" t="s">
        <v>280</v>
      </c>
      <c r="F3710" s="366" t="s">
        <v>2143</v>
      </c>
      <c r="G3710" s="46" t="s">
        <v>17</v>
      </c>
      <c r="H3710" s="46">
        <v>7</v>
      </c>
      <c r="I3710" s="51">
        <v>4622.28</v>
      </c>
      <c r="J3710" s="281">
        <f>++Tabla4[[#This Row],[Precio Bruto]]*1.16</f>
        <v>5361.8447999999989</v>
      </c>
      <c r="K3710" s="281">
        <f>+Tabla4[[#This Row],[Precio Unitario Neto]]*Tabla4[[#Headers],[20.85%]]</f>
        <v>1117.9446407999997</v>
      </c>
      <c r="L3710" s="282">
        <f>++Tabla4[[#This Row],[Precio Unitario Neto]]-Tabla4[[#This Row],[20.85%]]</f>
        <v>4243.9001591999995</v>
      </c>
      <c r="M3710" s="282" t="e">
        <f>(INDEX(Tabla6[#All],MATCH(Tabla4[[#This Row],[Producto]],Tabla6[[#All],[PRODUCTO]],0),MATCH(Tabla4[[#This Row],[Mes]],Tabla6[#Headers],0)))*(1+Catalogos!$L$2)</f>
        <v>#N/A</v>
      </c>
      <c r="N3710" s="283" t="e">
        <f>+(Tabla4[[#This Row],[Precio Descontado]]-Tabla4[[#This Row],[Precio Base]])*Tabla4[[#This Row],[Cantidad]]</f>
        <v>#N/A</v>
      </c>
      <c r="O3710" s="284" t="e">
        <f>++Tabla4[[#This Row],[Utilidad Total]]/Tabla4[[#This Row],[Total]]</f>
        <v>#N/A</v>
      </c>
      <c r="P3710" s="282">
        <f>++Tabla4[[#This Row],[Precio Descontado]]*Tabla4[[#This Row],[Cantidad]]</f>
        <v>29707.301114399997</v>
      </c>
      <c r="Q3710" s="282" t="e">
        <f>(INDEX(Tabla6[#All],MATCH(Tabla4[[#This Row],[Producto]],Tabla6[[#All],[PRODUCTO]],0),MATCH(Tabla4[[#This Row],[Mes]],Tabla6[#Headers],0)))</f>
        <v>#N/A</v>
      </c>
      <c r="R3710" s="282" t="e">
        <f>++Tabla4[[#This Row],[Precio Unitario Neto]]-Tabla4[[#This Row],[20.85%]]-Tabla4[[#This Row],[Costo]]</f>
        <v>#N/A</v>
      </c>
      <c r="S3710" s="282" t="e">
        <f>++Tabla4[[#This Row],[U. Bruta Uni]]*Tabla4[[#This Row],[Cantidad]]</f>
        <v>#N/A</v>
      </c>
      <c r="T3710" s="369" t="str">
        <f>VLOOKUP(Tabla4[[#This Row],[Producto]],Tabla6[#All],14,FALSE)</f>
        <v>Termico Solar</v>
      </c>
      <c r="U3710" s="284" t="e">
        <f>(IF(Tabla4[[#This Row],[Familia]]="termico solar",Tabla4[[#This Row],[Utilidad Total]]*6%,Tabla4[[#This Row],[Utilidad Total]]*11.5%))/Tabla4[[#This Row],[Total]]</f>
        <v>#N/A</v>
      </c>
      <c r="V3710" s="282" t="e">
        <f>+Tabla4[[#This Row],[Comisión Calculada]]*Tabla4[[#This Row],[Total]]</f>
        <v>#N/A</v>
      </c>
    </row>
    <row r="3711" spans="1:22" hidden="1" x14ac:dyDescent="0.25">
      <c r="A3711" s="100">
        <v>45838</v>
      </c>
      <c r="B3711" t="str">
        <f>TEXT(A3711, "mmmm")</f>
        <v>June</v>
      </c>
      <c r="C3711" s="46" t="s">
        <v>280</v>
      </c>
      <c r="F3711" s="366" t="s">
        <v>2143</v>
      </c>
      <c r="G3711" s="46" t="s">
        <v>18</v>
      </c>
      <c r="H3711" s="46">
        <v>2</v>
      </c>
      <c r="I3711" s="51">
        <v>5367.65</v>
      </c>
      <c r="J3711" s="281">
        <f>++Tabla4[[#This Row],[Precio Bruto]]*1.16</f>
        <v>6226.4739999999993</v>
      </c>
      <c r="K3711" s="281">
        <f>+Tabla4[[#This Row],[Precio Unitario Neto]]*Tabla4[[#Headers],[20.85%]]</f>
        <v>1298.2198289999999</v>
      </c>
      <c r="L3711" s="282">
        <f>++Tabla4[[#This Row],[Precio Unitario Neto]]-Tabla4[[#This Row],[20.85%]]</f>
        <v>4928.2541709999996</v>
      </c>
      <c r="M3711" s="282" t="e">
        <f>(INDEX(Tabla6[#All],MATCH(Tabla4[[#This Row],[Producto]],Tabla6[[#All],[PRODUCTO]],0),MATCH(Tabla4[[#This Row],[Mes]],Tabla6[#Headers],0)))*(1+Catalogos!$L$2)</f>
        <v>#N/A</v>
      </c>
      <c r="N3711" s="283" t="e">
        <f>+(Tabla4[[#This Row],[Precio Descontado]]-Tabla4[[#This Row],[Precio Base]])*Tabla4[[#This Row],[Cantidad]]</f>
        <v>#N/A</v>
      </c>
      <c r="O3711" s="284" t="e">
        <f>++Tabla4[[#This Row],[Utilidad Total]]/Tabla4[[#This Row],[Total]]</f>
        <v>#N/A</v>
      </c>
      <c r="P3711" s="282">
        <f>++Tabla4[[#This Row],[Precio Descontado]]*Tabla4[[#This Row],[Cantidad]]</f>
        <v>9856.5083419999992</v>
      </c>
      <c r="Q3711" s="282" t="e">
        <f>(INDEX(Tabla6[#All],MATCH(Tabla4[[#This Row],[Producto]],Tabla6[[#All],[PRODUCTO]],0),MATCH(Tabla4[[#This Row],[Mes]],Tabla6[#Headers],0)))</f>
        <v>#N/A</v>
      </c>
      <c r="R3711" s="282" t="e">
        <f>++Tabla4[[#This Row],[Precio Unitario Neto]]-Tabla4[[#This Row],[20.85%]]-Tabla4[[#This Row],[Costo]]</f>
        <v>#N/A</v>
      </c>
      <c r="S3711" s="282" t="e">
        <f>++Tabla4[[#This Row],[U. Bruta Uni]]*Tabla4[[#This Row],[Cantidad]]</f>
        <v>#N/A</v>
      </c>
      <c r="T3711" s="369" t="str">
        <f>VLOOKUP(Tabla4[[#This Row],[Producto]],Tabla6[#All],14,FALSE)</f>
        <v>Termico Solar</v>
      </c>
      <c r="U3711" s="284" t="e">
        <f>(IF(Tabla4[[#This Row],[Familia]]="termico solar",Tabla4[[#This Row],[Utilidad Total]]*6%,Tabla4[[#This Row],[Utilidad Total]]*11.5%))/Tabla4[[#This Row],[Total]]</f>
        <v>#N/A</v>
      </c>
      <c r="V3711" s="282" t="e">
        <f>+Tabla4[[#This Row],[Comisión Calculada]]*Tabla4[[#This Row],[Total]]</f>
        <v>#N/A</v>
      </c>
    </row>
    <row r="3712" spans="1:22" hidden="1" x14ac:dyDescent="0.25">
      <c r="A3712" s="100">
        <v>45838</v>
      </c>
      <c r="B3712" t="str">
        <f>TEXT(A3712, "mmmm")</f>
        <v>June</v>
      </c>
      <c r="C3712" s="46" t="s">
        <v>280</v>
      </c>
      <c r="F3712" s="366" t="s">
        <v>2143</v>
      </c>
      <c r="G3712" s="46" t="s">
        <v>566</v>
      </c>
      <c r="H3712" s="46">
        <v>1</v>
      </c>
      <c r="I3712" s="51">
        <v>2109.4499999999998</v>
      </c>
      <c r="J3712" s="281">
        <f>++Tabla4[[#This Row],[Precio Bruto]]*1.16</f>
        <v>2446.9619999999995</v>
      </c>
      <c r="K3712" s="281">
        <f>+Tabla4[[#This Row],[Precio Unitario Neto]]*Tabla4[[#Headers],[20.85%]]</f>
        <v>510.19157699999988</v>
      </c>
      <c r="L3712" s="282">
        <f>++Tabla4[[#This Row],[Precio Unitario Neto]]-Tabla4[[#This Row],[20.85%]]</f>
        <v>1936.7704229999997</v>
      </c>
      <c r="M3712" s="282" t="e">
        <f>(INDEX(Tabla6[#All],MATCH(Tabla4[[#This Row],[Producto]],Tabla6[[#All],[PRODUCTO]],0),MATCH(Tabla4[[#This Row],[Mes]],Tabla6[#Headers],0)))*(1+Catalogos!$L$2)</f>
        <v>#N/A</v>
      </c>
      <c r="N3712" s="283" t="e">
        <f>+(Tabla4[[#This Row],[Precio Descontado]]-Tabla4[[#This Row],[Precio Base]])*Tabla4[[#This Row],[Cantidad]]</f>
        <v>#N/A</v>
      </c>
      <c r="O3712" s="284" t="e">
        <f>++Tabla4[[#This Row],[Utilidad Total]]/Tabla4[[#This Row],[Total]]</f>
        <v>#N/A</v>
      </c>
      <c r="P3712" s="282">
        <f>++Tabla4[[#This Row],[Precio Descontado]]*Tabla4[[#This Row],[Cantidad]]</f>
        <v>1936.7704229999997</v>
      </c>
      <c r="Q3712" s="282" t="e">
        <f>(INDEX(Tabla6[#All],MATCH(Tabla4[[#This Row],[Producto]],Tabla6[[#All],[PRODUCTO]],0),MATCH(Tabla4[[#This Row],[Mes]],Tabla6[#Headers],0)))</f>
        <v>#N/A</v>
      </c>
      <c r="R3712" s="282" t="e">
        <f>++Tabla4[[#This Row],[Precio Unitario Neto]]-Tabla4[[#This Row],[20.85%]]-Tabla4[[#This Row],[Costo]]</f>
        <v>#N/A</v>
      </c>
      <c r="S3712" s="282" t="e">
        <f>++Tabla4[[#This Row],[U. Bruta Uni]]*Tabla4[[#This Row],[Cantidad]]</f>
        <v>#N/A</v>
      </c>
      <c r="T3712" s="369" t="str">
        <f>VLOOKUP(Tabla4[[#This Row],[Producto]],Tabla6[#All],14,FALSE)</f>
        <v>Termico Solar</v>
      </c>
      <c r="U3712" s="284" t="e">
        <f>(IF(Tabla4[[#This Row],[Familia]]="termico solar",Tabla4[[#This Row],[Utilidad Total]]*6%,Tabla4[[#This Row],[Utilidad Total]]*11.5%))/Tabla4[[#This Row],[Total]]</f>
        <v>#N/A</v>
      </c>
      <c r="V3712" s="282" t="e">
        <f>+Tabla4[[#This Row],[Comisión Calculada]]*Tabla4[[#This Row],[Total]]</f>
        <v>#N/A</v>
      </c>
    </row>
    <row r="3713" spans="1:22" hidden="1" x14ac:dyDescent="0.25">
      <c r="A3713" s="100">
        <v>45838</v>
      </c>
      <c r="B3713" t="str">
        <f t="shared" ref="B3713:B3720" si="171">TEXT(A3713, "mmmm")</f>
        <v>June</v>
      </c>
      <c r="C3713" s="46" t="s">
        <v>280</v>
      </c>
      <c r="F3713" s="366" t="s">
        <v>2144</v>
      </c>
      <c r="G3713" s="46" t="s">
        <v>17</v>
      </c>
      <c r="H3713" s="46">
        <v>8</v>
      </c>
      <c r="I3713" s="51">
        <v>4622.28</v>
      </c>
      <c r="J3713" s="281">
        <f>++Tabla4[[#This Row],[Precio Bruto]]*1.16</f>
        <v>5361.8447999999989</v>
      </c>
      <c r="K3713" s="281">
        <f>+Tabla4[[#This Row],[Precio Unitario Neto]]*Tabla4[[#Headers],[20.85%]]</f>
        <v>1117.9446407999997</v>
      </c>
      <c r="L3713" s="282">
        <f>++Tabla4[[#This Row],[Precio Unitario Neto]]-Tabla4[[#This Row],[20.85%]]</f>
        <v>4243.9001591999995</v>
      </c>
      <c r="M3713" s="282" t="e">
        <f>(INDEX(Tabla6[#All],MATCH(Tabla4[[#This Row],[Producto]],Tabla6[[#All],[PRODUCTO]],0),MATCH(Tabla4[[#This Row],[Mes]],Tabla6[#Headers],0)))*(1+Catalogos!$L$2)</f>
        <v>#N/A</v>
      </c>
      <c r="N3713" s="283" t="e">
        <f>+(Tabla4[[#This Row],[Precio Descontado]]-Tabla4[[#This Row],[Precio Base]])*Tabla4[[#This Row],[Cantidad]]</f>
        <v>#N/A</v>
      </c>
      <c r="O3713" s="284" t="e">
        <f>++Tabla4[[#This Row],[Utilidad Total]]/Tabla4[[#This Row],[Total]]</f>
        <v>#N/A</v>
      </c>
      <c r="P3713" s="282">
        <f>++Tabla4[[#This Row],[Precio Descontado]]*Tabla4[[#This Row],[Cantidad]]</f>
        <v>33951.201273599996</v>
      </c>
      <c r="Q3713" s="282" t="e">
        <f>(INDEX(Tabla6[#All],MATCH(Tabla4[[#This Row],[Producto]],Tabla6[[#All],[PRODUCTO]],0),MATCH(Tabla4[[#This Row],[Mes]],Tabla6[#Headers],0)))</f>
        <v>#N/A</v>
      </c>
      <c r="R3713" s="282" t="e">
        <f>++Tabla4[[#This Row],[Precio Unitario Neto]]-Tabla4[[#This Row],[20.85%]]-Tabla4[[#This Row],[Costo]]</f>
        <v>#N/A</v>
      </c>
      <c r="S3713" s="282" t="e">
        <f>++Tabla4[[#This Row],[U. Bruta Uni]]*Tabla4[[#This Row],[Cantidad]]</f>
        <v>#N/A</v>
      </c>
      <c r="T3713" s="369" t="str">
        <f>VLOOKUP(Tabla4[[#This Row],[Producto]],Tabla6[#All],14,FALSE)</f>
        <v>Termico Solar</v>
      </c>
      <c r="U3713" s="284" t="e">
        <f>(IF(Tabla4[[#This Row],[Familia]]="termico solar",Tabla4[[#This Row],[Utilidad Total]]*6%,Tabla4[[#This Row],[Utilidad Total]]*11.5%))/Tabla4[[#This Row],[Total]]</f>
        <v>#N/A</v>
      </c>
      <c r="V3713" s="282" t="e">
        <f>+Tabla4[[#This Row],[Comisión Calculada]]*Tabla4[[#This Row],[Total]]</f>
        <v>#N/A</v>
      </c>
    </row>
    <row r="3714" spans="1:22" hidden="1" x14ac:dyDescent="0.25">
      <c r="A3714" s="100">
        <v>45838</v>
      </c>
      <c r="B3714" t="str">
        <f t="shared" si="171"/>
        <v>June</v>
      </c>
      <c r="C3714" s="46" t="s">
        <v>280</v>
      </c>
      <c r="F3714" s="366" t="s">
        <v>2144</v>
      </c>
      <c r="G3714" s="46" t="s">
        <v>18</v>
      </c>
      <c r="H3714" s="46">
        <v>8</v>
      </c>
      <c r="I3714" s="51">
        <v>5367.65</v>
      </c>
      <c r="J3714" s="281">
        <f>++Tabla4[[#This Row],[Precio Bruto]]*1.16</f>
        <v>6226.4739999999993</v>
      </c>
      <c r="K3714" s="281">
        <f>+Tabla4[[#This Row],[Precio Unitario Neto]]*Tabla4[[#Headers],[20.85%]]</f>
        <v>1298.2198289999999</v>
      </c>
      <c r="L3714" s="282">
        <f>++Tabla4[[#This Row],[Precio Unitario Neto]]-Tabla4[[#This Row],[20.85%]]</f>
        <v>4928.2541709999996</v>
      </c>
      <c r="M3714" s="282" t="e">
        <f>(INDEX(Tabla6[#All],MATCH(Tabla4[[#This Row],[Producto]],Tabla6[[#All],[PRODUCTO]],0),MATCH(Tabla4[[#This Row],[Mes]],Tabla6[#Headers],0)))*(1+Catalogos!$L$2)</f>
        <v>#N/A</v>
      </c>
      <c r="N3714" s="283" t="e">
        <f>+(Tabla4[[#This Row],[Precio Descontado]]-Tabla4[[#This Row],[Precio Base]])*Tabla4[[#This Row],[Cantidad]]</f>
        <v>#N/A</v>
      </c>
      <c r="O3714" s="284" t="e">
        <f>++Tabla4[[#This Row],[Utilidad Total]]/Tabla4[[#This Row],[Total]]</f>
        <v>#N/A</v>
      </c>
      <c r="P3714" s="282">
        <f>++Tabla4[[#This Row],[Precio Descontado]]*Tabla4[[#This Row],[Cantidad]]</f>
        <v>39426.033367999997</v>
      </c>
      <c r="Q3714" s="282" t="e">
        <f>(INDEX(Tabla6[#All],MATCH(Tabla4[[#This Row],[Producto]],Tabla6[[#All],[PRODUCTO]],0),MATCH(Tabla4[[#This Row],[Mes]],Tabla6[#Headers],0)))</f>
        <v>#N/A</v>
      </c>
      <c r="R3714" s="282" t="e">
        <f>++Tabla4[[#This Row],[Precio Unitario Neto]]-Tabla4[[#This Row],[20.85%]]-Tabla4[[#This Row],[Costo]]</f>
        <v>#N/A</v>
      </c>
      <c r="S3714" s="282" t="e">
        <f>++Tabla4[[#This Row],[U. Bruta Uni]]*Tabla4[[#This Row],[Cantidad]]</f>
        <v>#N/A</v>
      </c>
      <c r="T3714" s="369" t="str">
        <f>VLOOKUP(Tabla4[[#This Row],[Producto]],Tabla6[#All],14,FALSE)</f>
        <v>Termico Solar</v>
      </c>
      <c r="U3714" s="284" t="e">
        <f>(IF(Tabla4[[#This Row],[Familia]]="termico solar",Tabla4[[#This Row],[Utilidad Total]]*6%,Tabla4[[#This Row],[Utilidad Total]]*11.5%))/Tabla4[[#This Row],[Total]]</f>
        <v>#N/A</v>
      </c>
      <c r="V3714" s="282" t="e">
        <f>+Tabla4[[#This Row],[Comisión Calculada]]*Tabla4[[#This Row],[Total]]</f>
        <v>#N/A</v>
      </c>
    </row>
    <row r="3715" spans="1:22" hidden="1" x14ac:dyDescent="0.25">
      <c r="A3715" s="100">
        <v>45838</v>
      </c>
      <c r="B3715" t="str">
        <f t="shared" si="171"/>
        <v>June</v>
      </c>
      <c r="C3715" s="46" t="s">
        <v>280</v>
      </c>
      <c r="F3715" s="366" t="s">
        <v>2144</v>
      </c>
      <c r="G3715" s="46" t="s">
        <v>566</v>
      </c>
      <c r="H3715" s="46">
        <v>2</v>
      </c>
      <c r="I3715" s="51">
        <v>2109.4499999999998</v>
      </c>
      <c r="J3715" s="281">
        <f>++Tabla4[[#This Row],[Precio Bruto]]*1.16</f>
        <v>2446.9619999999995</v>
      </c>
      <c r="K3715" s="281">
        <f>+Tabla4[[#This Row],[Precio Unitario Neto]]*Tabla4[[#Headers],[20.85%]]</f>
        <v>510.19157699999988</v>
      </c>
      <c r="L3715" s="282">
        <f>++Tabla4[[#This Row],[Precio Unitario Neto]]-Tabla4[[#This Row],[20.85%]]</f>
        <v>1936.7704229999997</v>
      </c>
      <c r="M3715" s="282" t="e">
        <f>(INDEX(Tabla6[#All],MATCH(Tabla4[[#This Row],[Producto]],Tabla6[[#All],[PRODUCTO]],0),MATCH(Tabla4[[#This Row],[Mes]],Tabla6[#Headers],0)))*(1+Catalogos!$L$2)</f>
        <v>#N/A</v>
      </c>
      <c r="N3715" s="283" t="e">
        <f>+(Tabla4[[#This Row],[Precio Descontado]]-Tabla4[[#This Row],[Precio Base]])*Tabla4[[#This Row],[Cantidad]]</f>
        <v>#N/A</v>
      </c>
      <c r="O3715" s="284" t="e">
        <f>++Tabla4[[#This Row],[Utilidad Total]]/Tabla4[[#This Row],[Total]]</f>
        <v>#N/A</v>
      </c>
      <c r="P3715" s="282">
        <f>++Tabla4[[#This Row],[Precio Descontado]]*Tabla4[[#This Row],[Cantidad]]</f>
        <v>3873.5408459999994</v>
      </c>
      <c r="Q3715" s="282" t="e">
        <f>(INDEX(Tabla6[#All],MATCH(Tabla4[[#This Row],[Producto]],Tabla6[[#All],[PRODUCTO]],0),MATCH(Tabla4[[#This Row],[Mes]],Tabla6[#Headers],0)))</f>
        <v>#N/A</v>
      </c>
      <c r="R3715" s="282" t="e">
        <f>++Tabla4[[#This Row],[Precio Unitario Neto]]-Tabla4[[#This Row],[20.85%]]-Tabla4[[#This Row],[Costo]]</f>
        <v>#N/A</v>
      </c>
      <c r="S3715" s="282" t="e">
        <f>++Tabla4[[#This Row],[U. Bruta Uni]]*Tabla4[[#This Row],[Cantidad]]</f>
        <v>#N/A</v>
      </c>
      <c r="T3715" s="369" t="str">
        <f>VLOOKUP(Tabla4[[#This Row],[Producto]],Tabla6[#All],14,FALSE)</f>
        <v>Termico Solar</v>
      </c>
      <c r="U3715" s="284" t="e">
        <f>(IF(Tabla4[[#This Row],[Familia]]="termico solar",Tabla4[[#This Row],[Utilidad Total]]*6%,Tabla4[[#This Row],[Utilidad Total]]*11.5%))/Tabla4[[#This Row],[Total]]</f>
        <v>#N/A</v>
      </c>
      <c r="V3715" s="282" t="e">
        <f>+Tabla4[[#This Row],[Comisión Calculada]]*Tabla4[[#This Row],[Total]]</f>
        <v>#N/A</v>
      </c>
    </row>
    <row r="3716" spans="1:22" hidden="1" x14ac:dyDescent="0.25">
      <c r="A3716" s="100">
        <v>45838</v>
      </c>
      <c r="B3716" t="str">
        <f t="shared" si="171"/>
        <v>June</v>
      </c>
      <c r="C3716" s="46" t="s">
        <v>280</v>
      </c>
      <c r="F3716" s="366" t="s">
        <v>2144</v>
      </c>
      <c r="G3716" s="46" t="s">
        <v>16</v>
      </c>
      <c r="H3716" s="46">
        <v>6</v>
      </c>
      <c r="I3716" s="51">
        <v>4103.8499999999995</v>
      </c>
      <c r="J3716" s="281">
        <f>++Tabla4[[#This Row],[Precio Bruto]]*1.16</f>
        <v>4760.4659999999994</v>
      </c>
      <c r="K3716" s="281">
        <f>+Tabla4[[#This Row],[Precio Unitario Neto]]*Tabla4[[#Headers],[20.85%]]</f>
        <v>992.55716099999984</v>
      </c>
      <c r="L3716" s="282">
        <f>++Tabla4[[#This Row],[Precio Unitario Neto]]-Tabla4[[#This Row],[20.85%]]</f>
        <v>3767.9088389999997</v>
      </c>
      <c r="M3716" s="282" t="e">
        <f>(INDEX(Tabla6[#All],MATCH(Tabla4[[#This Row],[Producto]],Tabla6[[#All],[PRODUCTO]],0),MATCH(Tabla4[[#This Row],[Mes]],Tabla6[#Headers],0)))*(1+Catalogos!$L$2)</f>
        <v>#N/A</v>
      </c>
      <c r="N3716" s="283" t="e">
        <f>+(Tabla4[[#This Row],[Precio Descontado]]-Tabla4[[#This Row],[Precio Base]])*Tabla4[[#This Row],[Cantidad]]</f>
        <v>#N/A</v>
      </c>
      <c r="O3716" s="284" t="e">
        <f>++Tabla4[[#This Row],[Utilidad Total]]/Tabla4[[#This Row],[Total]]</f>
        <v>#N/A</v>
      </c>
      <c r="P3716" s="282">
        <f>++Tabla4[[#This Row],[Precio Descontado]]*Tabla4[[#This Row],[Cantidad]]</f>
        <v>22607.453033999998</v>
      </c>
      <c r="Q3716" s="282" t="e">
        <f>(INDEX(Tabla6[#All],MATCH(Tabla4[[#This Row],[Producto]],Tabla6[[#All],[PRODUCTO]],0),MATCH(Tabla4[[#This Row],[Mes]],Tabla6[#Headers],0)))</f>
        <v>#N/A</v>
      </c>
      <c r="R3716" s="282" t="e">
        <f>++Tabla4[[#This Row],[Precio Unitario Neto]]-Tabla4[[#This Row],[20.85%]]-Tabla4[[#This Row],[Costo]]</f>
        <v>#N/A</v>
      </c>
      <c r="S3716" s="282" t="e">
        <f>++Tabla4[[#This Row],[U. Bruta Uni]]*Tabla4[[#This Row],[Cantidad]]</f>
        <v>#N/A</v>
      </c>
      <c r="T3716" s="369" t="str">
        <f>VLOOKUP(Tabla4[[#This Row],[Producto]],Tabla6[#All],14,FALSE)</f>
        <v>Termico Solar</v>
      </c>
      <c r="U3716" s="284" t="e">
        <f>(IF(Tabla4[[#This Row],[Familia]]="termico solar",Tabla4[[#This Row],[Utilidad Total]]*6%,Tabla4[[#This Row],[Utilidad Total]]*11.5%))/Tabla4[[#This Row],[Total]]</f>
        <v>#N/A</v>
      </c>
      <c r="V3716" s="282" t="e">
        <f>+Tabla4[[#This Row],[Comisión Calculada]]*Tabla4[[#This Row],[Total]]</f>
        <v>#N/A</v>
      </c>
    </row>
    <row r="3717" spans="1:22" hidden="1" x14ac:dyDescent="0.25">
      <c r="A3717" s="100">
        <v>45838</v>
      </c>
      <c r="B3717" t="str">
        <f t="shared" si="171"/>
        <v>June</v>
      </c>
      <c r="C3717" s="46" t="s">
        <v>280</v>
      </c>
      <c r="F3717" s="366" t="s">
        <v>2144</v>
      </c>
      <c r="G3717" s="46" t="s">
        <v>200</v>
      </c>
      <c r="H3717" s="46">
        <v>12</v>
      </c>
      <c r="I3717" s="51">
        <v>393.22</v>
      </c>
      <c r="J3717" s="281">
        <f>++Tabla4[[#This Row],[Precio Bruto]]*1.16</f>
        <v>456.1352</v>
      </c>
      <c r="K3717" s="281">
        <f>+Tabla4[[#This Row],[Precio Unitario Neto]]*Tabla4[[#Headers],[20.85%]]</f>
        <v>95.104189199999993</v>
      </c>
      <c r="L3717" s="282">
        <f>++Tabla4[[#This Row],[Precio Unitario Neto]]-Tabla4[[#This Row],[20.85%]]</f>
        <v>361.03101079999999</v>
      </c>
      <c r="M3717" s="282" t="e">
        <f>(INDEX(Tabla6[#All],MATCH(Tabla4[[#This Row],[Producto]],Tabla6[[#All],[PRODUCTO]],0),MATCH(Tabla4[[#This Row],[Mes]],Tabla6[#Headers],0)))*(1+Catalogos!$L$2)</f>
        <v>#N/A</v>
      </c>
      <c r="N3717" s="283" t="e">
        <f>+(Tabla4[[#This Row],[Precio Descontado]]-Tabla4[[#This Row],[Precio Base]])*Tabla4[[#This Row],[Cantidad]]</f>
        <v>#N/A</v>
      </c>
      <c r="O3717" s="284" t="e">
        <f>++Tabla4[[#This Row],[Utilidad Total]]/Tabla4[[#This Row],[Total]]</f>
        <v>#N/A</v>
      </c>
      <c r="P3717" s="282">
        <f>++Tabla4[[#This Row],[Precio Descontado]]*Tabla4[[#This Row],[Cantidad]]</f>
        <v>4332.3721296000003</v>
      </c>
      <c r="Q3717" s="282" t="e">
        <f>(INDEX(Tabla6[#All],MATCH(Tabla4[[#This Row],[Producto]],Tabla6[[#All],[PRODUCTO]],0),MATCH(Tabla4[[#This Row],[Mes]],Tabla6[#Headers],0)))</f>
        <v>#N/A</v>
      </c>
      <c r="R3717" s="282" t="e">
        <f>++Tabla4[[#This Row],[Precio Unitario Neto]]-Tabla4[[#This Row],[20.85%]]-Tabla4[[#This Row],[Costo]]</f>
        <v>#N/A</v>
      </c>
      <c r="S3717" s="282" t="e">
        <f>++Tabla4[[#This Row],[U. Bruta Uni]]*Tabla4[[#This Row],[Cantidad]]</f>
        <v>#N/A</v>
      </c>
      <c r="T3717" s="369" t="str">
        <f>VLOOKUP(Tabla4[[#This Row],[Producto]],Tabla6[#All],14,FALSE)</f>
        <v>Termico Solar</v>
      </c>
      <c r="U3717" s="284" t="e">
        <f>(IF(Tabla4[[#This Row],[Familia]]="termico solar",Tabla4[[#This Row],[Utilidad Total]]*6%,Tabla4[[#This Row],[Utilidad Total]]*11.5%))/Tabla4[[#This Row],[Total]]</f>
        <v>#N/A</v>
      </c>
      <c r="V3717" s="282" t="e">
        <f>+Tabla4[[#This Row],[Comisión Calculada]]*Tabla4[[#This Row],[Total]]</f>
        <v>#N/A</v>
      </c>
    </row>
    <row r="3718" spans="1:22" hidden="1" x14ac:dyDescent="0.25">
      <c r="A3718" s="100">
        <v>45838</v>
      </c>
      <c r="B3718" t="str">
        <f t="shared" si="171"/>
        <v>June</v>
      </c>
      <c r="C3718" s="46" t="s">
        <v>280</v>
      </c>
      <c r="F3718" s="366" t="s">
        <v>2144</v>
      </c>
      <c r="G3718" s="46" t="s">
        <v>545</v>
      </c>
      <c r="H3718" s="46">
        <v>24</v>
      </c>
      <c r="I3718" s="51">
        <v>304.32</v>
      </c>
      <c r="J3718" s="281">
        <f>++Tabla4[[#This Row],[Precio Bruto]]*1.16</f>
        <v>353.01119999999997</v>
      </c>
      <c r="K3718" s="281">
        <f>+Tabla4[[#This Row],[Precio Unitario Neto]]*Tabla4[[#Headers],[20.85%]]</f>
        <v>73.602835199999987</v>
      </c>
      <c r="L3718" s="282">
        <f>++Tabla4[[#This Row],[Precio Unitario Neto]]-Tabla4[[#This Row],[20.85%]]</f>
        <v>279.40836479999996</v>
      </c>
      <c r="M3718" s="282" t="e">
        <f>(INDEX(Tabla6[#All],MATCH(Tabla4[[#This Row],[Producto]],Tabla6[[#All],[PRODUCTO]],0),MATCH(Tabla4[[#This Row],[Mes]],Tabla6[#Headers],0)))*(1+Catalogos!$L$2)</f>
        <v>#N/A</v>
      </c>
      <c r="N3718" s="283" t="e">
        <f>+(Tabla4[[#This Row],[Precio Descontado]]-Tabla4[[#This Row],[Precio Base]])*Tabla4[[#This Row],[Cantidad]]</f>
        <v>#N/A</v>
      </c>
      <c r="O3718" s="284" t="e">
        <f>++Tabla4[[#This Row],[Utilidad Total]]/Tabla4[[#This Row],[Total]]</f>
        <v>#N/A</v>
      </c>
      <c r="P3718" s="282">
        <f>++Tabla4[[#This Row],[Precio Descontado]]*Tabla4[[#This Row],[Cantidad]]</f>
        <v>6705.800755199999</v>
      </c>
      <c r="Q3718" s="282" t="e">
        <f>(INDEX(Tabla6[#All],MATCH(Tabla4[[#This Row],[Producto]],Tabla6[[#All],[PRODUCTO]],0),MATCH(Tabla4[[#This Row],[Mes]],Tabla6[#Headers],0)))</f>
        <v>#N/A</v>
      </c>
      <c r="R3718" s="282" t="e">
        <f>++Tabla4[[#This Row],[Precio Unitario Neto]]-Tabla4[[#This Row],[20.85%]]-Tabla4[[#This Row],[Costo]]</f>
        <v>#N/A</v>
      </c>
      <c r="S3718" s="282" t="e">
        <f>++Tabla4[[#This Row],[U. Bruta Uni]]*Tabla4[[#This Row],[Cantidad]]</f>
        <v>#N/A</v>
      </c>
      <c r="T3718" s="369" t="str">
        <f>VLOOKUP(Tabla4[[#This Row],[Producto]],Tabla6[#All],14,FALSE)</f>
        <v>Termico Solar</v>
      </c>
      <c r="U3718" s="284" t="e">
        <f>(IF(Tabla4[[#This Row],[Familia]]="termico solar",Tabla4[[#This Row],[Utilidad Total]]*6%,Tabla4[[#This Row],[Utilidad Total]]*11.5%))/Tabla4[[#This Row],[Total]]</f>
        <v>#N/A</v>
      </c>
      <c r="V3718" s="282" t="e">
        <f>+Tabla4[[#This Row],[Comisión Calculada]]*Tabla4[[#This Row],[Total]]</f>
        <v>#N/A</v>
      </c>
    </row>
    <row r="3719" spans="1:22" hidden="1" x14ac:dyDescent="0.25">
      <c r="A3719" s="100">
        <v>45838</v>
      </c>
      <c r="B3719" t="str">
        <f t="shared" si="171"/>
        <v>June</v>
      </c>
      <c r="C3719" s="46" t="s">
        <v>280</v>
      </c>
      <c r="F3719" s="366" t="s">
        <v>2144</v>
      </c>
      <c r="G3719" s="46" t="s">
        <v>208</v>
      </c>
      <c r="H3719" s="46">
        <v>1</v>
      </c>
      <c r="I3719" s="51">
        <v>189.75</v>
      </c>
      <c r="J3719" s="281">
        <f>++Tabla4[[#This Row],[Precio Bruto]]*1.16</f>
        <v>220.10999999999999</v>
      </c>
      <c r="K3719" s="281">
        <f>+Tabla4[[#This Row],[Precio Unitario Neto]]*Tabla4[[#Headers],[20.85%]]</f>
        <v>45.892934999999994</v>
      </c>
      <c r="L3719" s="282">
        <f>++Tabla4[[#This Row],[Precio Unitario Neto]]-Tabla4[[#This Row],[20.85%]]</f>
        <v>174.21706499999999</v>
      </c>
      <c r="M3719" s="282" t="e">
        <f>(INDEX(Tabla6[#All],MATCH(Tabla4[[#This Row],[Producto]],Tabla6[[#All],[PRODUCTO]],0),MATCH(Tabla4[[#This Row],[Mes]],Tabla6[#Headers],0)))*(1+Catalogos!$L$2)</f>
        <v>#N/A</v>
      </c>
      <c r="N3719" s="283" t="e">
        <f>+(Tabla4[[#This Row],[Precio Descontado]]-Tabla4[[#This Row],[Precio Base]])*Tabla4[[#This Row],[Cantidad]]</f>
        <v>#N/A</v>
      </c>
      <c r="O3719" s="284" t="e">
        <f>++Tabla4[[#This Row],[Utilidad Total]]/Tabla4[[#This Row],[Total]]</f>
        <v>#N/A</v>
      </c>
      <c r="P3719" s="282">
        <f>++Tabla4[[#This Row],[Precio Descontado]]*Tabla4[[#This Row],[Cantidad]]</f>
        <v>174.21706499999999</v>
      </c>
      <c r="Q3719" s="282" t="e">
        <f>(INDEX(Tabla6[#All],MATCH(Tabla4[[#This Row],[Producto]],Tabla6[[#All],[PRODUCTO]],0),MATCH(Tabla4[[#This Row],[Mes]],Tabla6[#Headers],0)))</f>
        <v>#N/A</v>
      </c>
      <c r="R3719" s="282" t="e">
        <f>++Tabla4[[#This Row],[Precio Unitario Neto]]-Tabla4[[#This Row],[20.85%]]-Tabla4[[#This Row],[Costo]]</f>
        <v>#N/A</v>
      </c>
      <c r="S3719" s="282" t="e">
        <f>++Tabla4[[#This Row],[U. Bruta Uni]]*Tabla4[[#This Row],[Cantidad]]</f>
        <v>#N/A</v>
      </c>
      <c r="T3719" s="369" t="str">
        <f>VLOOKUP(Tabla4[[#This Row],[Producto]],Tabla6[#All],14,FALSE)</f>
        <v>Termico Solar</v>
      </c>
      <c r="U3719" s="284" t="e">
        <f>(IF(Tabla4[[#This Row],[Familia]]="termico solar",Tabla4[[#This Row],[Utilidad Total]]*6%,Tabla4[[#This Row],[Utilidad Total]]*11.5%))/Tabla4[[#This Row],[Total]]</f>
        <v>#N/A</v>
      </c>
      <c r="V3719" s="282" t="e">
        <f>+Tabla4[[#This Row],[Comisión Calculada]]*Tabla4[[#This Row],[Total]]</f>
        <v>#N/A</v>
      </c>
    </row>
    <row r="3720" spans="1:22" hidden="1" x14ac:dyDescent="0.25">
      <c r="A3720" s="100">
        <v>45838</v>
      </c>
      <c r="B3720" t="str">
        <f t="shared" si="171"/>
        <v>June</v>
      </c>
      <c r="C3720" s="46" t="s">
        <v>280</v>
      </c>
      <c r="F3720" s="366" t="s">
        <v>2144</v>
      </c>
      <c r="G3720" s="46" t="s">
        <v>209</v>
      </c>
      <c r="H3720" s="46">
        <v>1</v>
      </c>
      <c r="I3720" s="51">
        <v>347.48</v>
      </c>
      <c r="J3720" s="281">
        <f>++Tabla4[[#This Row],[Precio Bruto]]*1.16</f>
        <v>403.07679999999999</v>
      </c>
      <c r="K3720" s="281">
        <f>+Tabla4[[#This Row],[Precio Unitario Neto]]*Tabla4[[#Headers],[20.85%]]</f>
        <v>84.041512799999992</v>
      </c>
      <c r="L3720" s="282">
        <f>++Tabla4[[#This Row],[Precio Unitario Neto]]-Tabla4[[#This Row],[20.85%]]</f>
        <v>319.03528719999997</v>
      </c>
      <c r="M3720" s="282" t="e">
        <f>(INDEX(Tabla6[#All],MATCH(Tabla4[[#This Row],[Producto]],Tabla6[[#All],[PRODUCTO]],0),MATCH(Tabla4[[#This Row],[Mes]],Tabla6[#Headers],0)))*(1+Catalogos!$L$2)</f>
        <v>#N/A</v>
      </c>
      <c r="N3720" s="283" t="e">
        <f>+(Tabla4[[#This Row],[Precio Descontado]]-Tabla4[[#This Row],[Precio Base]])*Tabla4[[#This Row],[Cantidad]]</f>
        <v>#N/A</v>
      </c>
      <c r="O3720" s="284" t="e">
        <f>++Tabla4[[#This Row],[Utilidad Total]]/Tabla4[[#This Row],[Total]]</f>
        <v>#N/A</v>
      </c>
      <c r="P3720" s="282">
        <f>++Tabla4[[#This Row],[Precio Descontado]]*Tabla4[[#This Row],[Cantidad]]</f>
        <v>319.03528719999997</v>
      </c>
      <c r="Q3720" s="282" t="e">
        <f>(INDEX(Tabla6[#All],MATCH(Tabla4[[#This Row],[Producto]],Tabla6[[#All],[PRODUCTO]],0),MATCH(Tabla4[[#This Row],[Mes]],Tabla6[#Headers],0)))</f>
        <v>#N/A</v>
      </c>
      <c r="R3720" s="282" t="e">
        <f>++Tabla4[[#This Row],[Precio Unitario Neto]]-Tabla4[[#This Row],[20.85%]]-Tabla4[[#This Row],[Costo]]</f>
        <v>#N/A</v>
      </c>
      <c r="S3720" s="282" t="e">
        <f>++Tabla4[[#This Row],[U. Bruta Uni]]*Tabla4[[#This Row],[Cantidad]]</f>
        <v>#N/A</v>
      </c>
      <c r="T3720" s="369" t="str">
        <f>VLOOKUP(Tabla4[[#This Row],[Producto]],Tabla6[#All],14,FALSE)</f>
        <v>Termico Solar</v>
      </c>
      <c r="U3720" s="284" t="e">
        <f>(IF(Tabla4[[#This Row],[Familia]]="termico solar",Tabla4[[#This Row],[Utilidad Total]]*6%,Tabla4[[#This Row],[Utilidad Total]]*11.5%))/Tabla4[[#This Row],[Total]]</f>
        <v>#N/A</v>
      </c>
      <c r="V3720" s="282" t="e">
        <f>+Tabla4[[#This Row],[Comisión Calculada]]*Tabla4[[#This Row],[Total]]</f>
        <v>#N/A</v>
      </c>
    </row>
    <row r="3721" spans="1:22" hidden="1" x14ac:dyDescent="0.25">
      <c r="A3721" s="100">
        <v>45838</v>
      </c>
      <c r="B3721" t="str">
        <f t="shared" ref="B3721:B3727" si="172">TEXT(A3721, "mmmm")</f>
        <v>June</v>
      </c>
      <c r="C3721" s="46" t="s">
        <v>280</v>
      </c>
      <c r="F3721" s="366" t="s">
        <v>2145</v>
      </c>
      <c r="G3721" s="46" t="s">
        <v>17</v>
      </c>
      <c r="H3721" s="46">
        <v>4</v>
      </c>
      <c r="I3721" s="51">
        <v>4622.28</v>
      </c>
      <c r="J3721" s="281">
        <f>++Tabla4[[#This Row],[Precio Bruto]]*1.16</f>
        <v>5361.8447999999989</v>
      </c>
      <c r="K3721" s="281">
        <f>+Tabla4[[#This Row],[Precio Unitario Neto]]*Tabla4[[#Headers],[20.85%]]</f>
        <v>1117.9446407999997</v>
      </c>
      <c r="L3721" s="282">
        <f>++Tabla4[[#This Row],[Precio Unitario Neto]]-Tabla4[[#This Row],[20.85%]]</f>
        <v>4243.9001591999995</v>
      </c>
      <c r="M3721" s="282" t="e">
        <f>(INDEX(Tabla6[#All],MATCH(Tabla4[[#This Row],[Producto]],Tabla6[[#All],[PRODUCTO]],0),MATCH(Tabla4[[#This Row],[Mes]],Tabla6[#Headers],0)))*(1+Catalogos!$L$2)</f>
        <v>#N/A</v>
      </c>
      <c r="N3721" s="283" t="e">
        <f>+(Tabla4[[#This Row],[Precio Descontado]]-Tabla4[[#This Row],[Precio Base]])*Tabla4[[#This Row],[Cantidad]]</f>
        <v>#N/A</v>
      </c>
      <c r="O3721" s="284" t="e">
        <f>++Tabla4[[#This Row],[Utilidad Total]]/Tabla4[[#This Row],[Total]]</f>
        <v>#N/A</v>
      </c>
      <c r="P3721" s="282">
        <f>++Tabla4[[#This Row],[Precio Descontado]]*Tabla4[[#This Row],[Cantidad]]</f>
        <v>16975.600636799998</v>
      </c>
      <c r="Q3721" s="282" t="e">
        <f>(INDEX(Tabla6[#All],MATCH(Tabla4[[#This Row],[Producto]],Tabla6[[#All],[PRODUCTO]],0),MATCH(Tabla4[[#This Row],[Mes]],Tabla6[#Headers],0)))</f>
        <v>#N/A</v>
      </c>
      <c r="R3721" s="282" t="e">
        <f>++Tabla4[[#This Row],[Precio Unitario Neto]]-Tabla4[[#This Row],[20.85%]]-Tabla4[[#This Row],[Costo]]</f>
        <v>#N/A</v>
      </c>
      <c r="S3721" s="282" t="e">
        <f>++Tabla4[[#This Row],[U. Bruta Uni]]*Tabla4[[#This Row],[Cantidad]]</f>
        <v>#N/A</v>
      </c>
      <c r="T3721" s="369" t="str">
        <f>VLOOKUP(Tabla4[[#This Row],[Producto]],Tabla6[#All],14,FALSE)</f>
        <v>Termico Solar</v>
      </c>
      <c r="U3721" s="284" t="e">
        <f>(IF(Tabla4[[#This Row],[Familia]]="termico solar",Tabla4[[#This Row],[Utilidad Total]]*6%,Tabla4[[#This Row],[Utilidad Total]]*11.5%))/Tabla4[[#This Row],[Total]]</f>
        <v>#N/A</v>
      </c>
      <c r="V3721" s="282" t="e">
        <f>+Tabla4[[#This Row],[Comisión Calculada]]*Tabla4[[#This Row],[Total]]</f>
        <v>#N/A</v>
      </c>
    </row>
    <row r="3722" spans="1:22" hidden="1" x14ac:dyDescent="0.25">
      <c r="A3722" s="100">
        <v>45838</v>
      </c>
      <c r="B3722" t="str">
        <f t="shared" si="172"/>
        <v>June</v>
      </c>
      <c r="C3722" s="46" t="s">
        <v>280</v>
      </c>
      <c r="F3722" s="366" t="s">
        <v>2145</v>
      </c>
      <c r="G3722" s="46" t="s">
        <v>18</v>
      </c>
      <c r="H3722" s="46">
        <v>1</v>
      </c>
      <c r="I3722" s="51">
        <v>5367.65</v>
      </c>
      <c r="J3722" s="281">
        <f>++Tabla4[[#This Row],[Precio Bruto]]*1.16</f>
        <v>6226.4739999999993</v>
      </c>
      <c r="K3722" s="281">
        <f>+Tabla4[[#This Row],[Precio Unitario Neto]]*Tabla4[[#Headers],[20.85%]]</f>
        <v>1298.2198289999999</v>
      </c>
      <c r="L3722" s="282">
        <f>++Tabla4[[#This Row],[Precio Unitario Neto]]-Tabla4[[#This Row],[20.85%]]</f>
        <v>4928.2541709999996</v>
      </c>
      <c r="M3722" s="282" t="e">
        <f>(INDEX(Tabla6[#All],MATCH(Tabla4[[#This Row],[Producto]],Tabla6[[#All],[PRODUCTO]],0),MATCH(Tabla4[[#This Row],[Mes]],Tabla6[#Headers],0)))*(1+Catalogos!$L$2)</f>
        <v>#N/A</v>
      </c>
      <c r="N3722" s="283" t="e">
        <f>+(Tabla4[[#This Row],[Precio Descontado]]-Tabla4[[#This Row],[Precio Base]])*Tabla4[[#This Row],[Cantidad]]</f>
        <v>#N/A</v>
      </c>
      <c r="O3722" s="284" t="e">
        <f>++Tabla4[[#This Row],[Utilidad Total]]/Tabla4[[#This Row],[Total]]</f>
        <v>#N/A</v>
      </c>
      <c r="P3722" s="282">
        <f>++Tabla4[[#This Row],[Precio Descontado]]*Tabla4[[#This Row],[Cantidad]]</f>
        <v>4928.2541709999996</v>
      </c>
      <c r="Q3722" s="282" t="e">
        <f>(INDEX(Tabla6[#All],MATCH(Tabla4[[#This Row],[Producto]],Tabla6[[#All],[PRODUCTO]],0),MATCH(Tabla4[[#This Row],[Mes]],Tabla6[#Headers],0)))</f>
        <v>#N/A</v>
      </c>
      <c r="R3722" s="282" t="e">
        <f>++Tabla4[[#This Row],[Precio Unitario Neto]]-Tabla4[[#This Row],[20.85%]]-Tabla4[[#This Row],[Costo]]</f>
        <v>#N/A</v>
      </c>
      <c r="S3722" s="282" t="e">
        <f>++Tabla4[[#This Row],[U. Bruta Uni]]*Tabla4[[#This Row],[Cantidad]]</f>
        <v>#N/A</v>
      </c>
      <c r="T3722" s="369" t="str">
        <f>VLOOKUP(Tabla4[[#This Row],[Producto]],Tabla6[#All],14,FALSE)</f>
        <v>Termico Solar</v>
      </c>
      <c r="U3722" s="284" t="e">
        <f>(IF(Tabla4[[#This Row],[Familia]]="termico solar",Tabla4[[#This Row],[Utilidad Total]]*6%,Tabla4[[#This Row],[Utilidad Total]]*11.5%))/Tabla4[[#This Row],[Total]]</f>
        <v>#N/A</v>
      </c>
      <c r="V3722" s="282" t="e">
        <f>+Tabla4[[#This Row],[Comisión Calculada]]*Tabla4[[#This Row],[Total]]</f>
        <v>#N/A</v>
      </c>
    </row>
    <row r="3723" spans="1:22" hidden="1" x14ac:dyDescent="0.25">
      <c r="A3723" s="100">
        <v>45838</v>
      </c>
      <c r="B3723" t="str">
        <f t="shared" si="172"/>
        <v>June</v>
      </c>
      <c r="C3723" s="46" t="s">
        <v>280</v>
      </c>
      <c r="F3723" s="366" t="s">
        <v>2145</v>
      </c>
      <c r="G3723" s="46" t="s">
        <v>19</v>
      </c>
      <c r="H3723" s="46">
        <v>1</v>
      </c>
      <c r="I3723" s="51">
        <v>6412.03</v>
      </c>
      <c r="J3723" s="281">
        <f>++Tabla4[[#This Row],[Precio Bruto]]*1.16</f>
        <v>7437.9547999999995</v>
      </c>
      <c r="K3723" s="281">
        <f>+Tabla4[[#This Row],[Precio Unitario Neto]]*Tabla4[[#Headers],[20.85%]]</f>
        <v>1550.8135757999999</v>
      </c>
      <c r="L3723" s="282">
        <f>++Tabla4[[#This Row],[Precio Unitario Neto]]-Tabla4[[#This Row],[20.85%]]</f>
        <v>5887.1412241999997</v>
      </c>
      <c r="M3723" s="282" t="e">
        <f>(INDEX(Tabla6[#All],MATCH(Tabla4[[#This Row],[Producto]],Tabla6[[#All],[PRODUCTO]],0),MATCH(Tabla4[[#This Row],[Mes]],Tabla6[#Headers],0)))*(1+Catalogos!$L$2)</f>
        <v>#N/A</v>
      </c>
      <c r="N3723" s="283" t="e">
        <f>+(Tabla4[[#This Row],[Precio Descontado]]-Tabla4[[#This Row],[Precio Base]])*Tabla4[[#This Row],[Cantidad]]</f>
        <v>#N/A</v>
      </c>
      <c r="O3723" s="284" t="e">
        <f>++Tabla4[[#This Row],[Utilidad Total]]/Tabla4[[#This Row],[Total]]</f>
        <v>#N/A</v>
      </c>
      <c r="P3723" s="282">
        <f>++Tabla4[[#This Row],[Precio Descontado]]*Tabla4[[#This Row],[Cantidad]]</f>
        <v>5887.1412241999997</v>
      </c>
      <c r="Q3723" s="282" t="e">
        <f>(INDEX(Tabla6[#All],MATCH(Tabla4[[#This Row],[Producto]],Tabla6[[#All],[PRODUCTO]],0),MATCH(Tabla4[[#This Row],[Mes]],Tabla6[#Headers],0)))</f>
        <v>#N/A</v>
      </c>
      <c r="R3723" s="282" t="e">
        <f>++Tabla4[[#This Row],[Precio Unitario Neto]]-Tabla4[[#This Row],[20.85%]]-Tabla4[[#This Row],[Costo]]</f>
        <v>#N/A</v>
      </c>
      <c r="S3723" s="282" t="e">
        <f>++Tabla4[[#This Row],[U. Bruta Uni]]*Tabla4[[#This Row],[Cantidad]]</f>
        <v>#N/A</v>
      </c>
      <c r="T3723" s="369" t="str">
        <f>VLOOKUP(Tabla4[[#This Row],[Producto]],Tabla6[#All],14,FALSE)</f>
        <v>Termico Solar</v>
      </c>
      <c r="U3723" s="284" t="e">
        <f>(IF(Tabla4[[#This Row],[Familia]]="termico solar",Tabla4[[#This Row],[Utilidad Total]]*6%,Tabla4[[#This Row],[Utilidad Total]]*11.5%))/Tabla4[[#This Row],[Total]]</f>
        <v>#N/A</v>
      </c>
      <c r="V3723" s="282" t="e">
        <f>+Tabla4[[#This Row],[Comisión Calculada]]*Tabla4[[#This Row],[Total]]</f>
        <v>#N/A</v>
      </c>
    </row>
    <row r="3724" spans="1:22" hidden="1" x14ac:dyDescent="0.25">
      <c r="A3724" s="100">
        <v>45838</v>
      </c>
      <c r="B3724" t="str">
        <f t="shared" si="172"/>
        <v>June</v>
      </c>
      <c r="C3724" s="46" t="s">
        <v>280</v>
      </c>
      <c r="F3724" s="366" t="s">
        <v>2145</v>
      </c>
      <c r="G3724" s="46" t="s">
        <v>566</v>
      </c>
      <c r="H3724" s="46">
        <v>1</v>
      </c>
      <c r="I3724" s="51">
        <v>2109.4499999999998</v>
      </c>
      <c r="J3724" s="281">
        <f>++Tabla4[[#This Row],[Precio Bruto]]*1.16</f>
        <v>2446.9619999999995</v>
      </c>
      <c r="K3724" s="281">
        <f>+Tabla4[[#This Row],[Precio Unitario Neto]]*Tabla4[[#Headers],[20.85%]]</f>
        <v>510.19157699999988</v>
      </c>
      <c r="L3724" s="282">
        <f>++Tabla4[[#This Row],[Precio Unitario Neto]]-Tabla4[[#This Row],[20.85%]]</f>
        <v>1936.7704229999997</v>
      </c>
      <c r="M3724" s="282" t="e">
        <f>(INDEX(Tabla6[#All],MATCH(Tabla4[[#This Row],[Producto]],Tabla6[[#All],[PRODUCTO]],0),MATCH(Tabla4[[#This Row],[Mes]],Tabla6[#Headers],0)))*(1+Catalogos!$L$2)</f>
        <v>#N/A</v>
      </c>
      <c r="N3724" s="283" t="e">
        <f>+(Tabla4[[#This Row],[Precio Descontado]]-Tabla4[[#This Row],[Precio Base]])*Tabla4[[#This Row],[Cantidad]]</f>
        <v>#N/A</v>
      </c>
      <c r="O3724" s="284" t="e">
        <f>++Tabla4[[#This Row],[Utilidad Total]]/Tabla4[[#This Row],[Total]]</f>
        <v>#N/A</v>
      </c>
      <c r="P3724" s="282">
        <f>++Tabla4[[#This Row],[Precio Descontado]]*Tabla4[[#This Row],[Cantidad]]</f>
        <v>1936.7704229999997</v>
      </c>
      <c r="Q3724" s="282" t="e">
        <f>(INDEX(Tabla6[#All],MATCH(Tabla4[[#This Row],[Producto]],Tabla6[[#All],[PRODUCTO]],0),MATCH(Tabla4[[#This Row],[Mes]],Tabla6[#Headers],0)))</f>
        <v>#N/A</v>
      </c>
      <c r="R3724" s="282" t="e">
        <f>++Tabla4[[#This Row],[Precio Unitario Neto]]-Tabla4[[#This Row],[20.85%]]-Tabla4[[#This Row],[Costo]]</f>
        <v>#N/A</v>
      </c>
      <c r="S3724" s="282" t="e">
        <f>++Tabla4[[#This Row],[U. Bruta Uni]]*Tabla4[[#This Row],[Cantidad]]</f>
        <v>#N/A</v>
      </c>
      <c r="T3724" s="369" t="str">
        <f>VLOOKUP(Tabla4[[#This Row],[Producto]],Tabla6[#All],14,FALSE)</f>
        <v>Termico Solar</v>
      </c>
      <c r="U3724" s="284" t="e">
        <f>(IF(Tabla4[[#This Row],[Familia]]="termico solar",Tabla4[[#This Row],[Utilidad Total]]*6%,Tabla4[[#This Row],[Utilidad Total]]*11.5%))/Tabla4[[#This Row],[Total]]</f>
        <v>#N/A</v>
      </c>
      <c r="V3724" s="282" t="e">
        <f>+Tabla4[[#This Row],[Comisión Calculada]]*Tabla4[[#This Row],[Total]]</f>
        <v>#N/A</v>
      </c>
    </row>
    <row r="3725" spans="1:22" hidden="1" x14ac:dyDescent="0.25">
      <c r="A3725" s="100">
        <v>45838</v>
      </c>
      <c r="B3725" t="str">
        <f t="shared" si="172"/>
        <v>June</v>
      </c>
      <c r="C3725" s="46" t="s">
        <v>280</v>
      </c>
      <c r="F3725" s="366" t="s">
        <v>2145</v>
      </c>
      <c r="G3725" s="46" t="s">
        <v>16</v>
      </c>
      <c r="H3725" s="46">
        <v>1</v>
      </c>
      <c r="I3725" s="51">
        <v>4103.8500000000004</v>
      </c>
      <c r="J3725" s="281">
        <f>++Tabla4[[#This Row],[Precio Bruto]]*1.16</f>
        <v>4760.4660000000003</v>
      </c>
      <c r="K3725" s="281">
        <f>+Tabla4[[#This Row],[Precio Unitario Neto]]*Tabla4[[#Headers],[20.85%]]</f>
        <v>992.55716100000006</v>
      </c>
      <c r="L3725" s="282">
        <f>++Tabla4[[#This Row],[Precio Unitario Neto]]-Tabla4[[#This Row],[20.85%]]</f>
        <v>3767.9088390000002</v>
      </c>
      <c r="M3725" s="282" t="e">
        <f>(INDEX(Tabla6[#All],MATCH(Tabla4[[#This Row],[Producto]],Tabla6[[#All],[PRODUCTO]],0),MATCH(Tabla4[[#This Row],[Mes]],Tabla6[#Headers],0)))*(1+Catalogos!$L$2)</f>
        <v>#N/A</v>
      </c>
      <c r="N3725" s="283" t="e">
        <f>+(Tabla4[[#This Row],[Precio Descontado]]-Tabla4[[#This Row],[Precio Base]])*Tabla4[[#This Row],[Cantidad]]</f>
        <v>#N/A</v>
      </c>
      <c r="O3725" s="284" t="e">
        <f>++Tabla4[[#This Row],[Utilidad Total]]/Tabla4[[#This Row],[Total]]</f>
        <v>#N/A</v>
      </c>
      <c r="P3725" s="282">
        <f>++Tabla4[[#This Row],[Precio Descontado]]*Tabla4[[#This Row],[Cantidad]]</f>
        <v>3767.9088390000002</v>
      </c>
      <c r="Q3725" s="282" t="e">
        <f>(INDEX(Tabla6[#All],MATCH(Tabla4[[#This Row],[Producto]],Tabla6[[#All],[PRODUCTO]],0),MATCH(Tabla4[[#This Row],[Mes]],Tabla6[#Headers],0)))</f>
        <v>#N/A</v>
      </c>
      <c r="R3725" s="282" t="e">
        <f>++Tabla4[[#This Row],[Precio Unitario Neto]]-Tabla4[[#This Row],[20.85%]]-Tabla4[[#This Row],[Costo]]</f>
        <v>#N/A</v>
      </c>
      <c r="S3725" s="282" t="e">
        <f>++Tabla4[[#This Row],[U. Bruta Uni]]*Tabla4[[#This Row],[Cantidad]]</f>
        <v>#N/A</v>
      </c>
      <c r="T3725" s="369" t="str">
        <f>VLOOKUP(Tabla4[[#This Row],[Producto]],Tabla6[#All],14,FALSE)</f>
        <v>Termico Solar</v>
      </c>
      <c r="U3725" s="284" t="e">
        <f>(IF(Tabla4[[#This Row],[Familia]]="termico solar",Tabla4[[#This Row],[Utilidad Total]]*6%,Tabla4[[#This Row],[Utilidad Total]]*11.5%))/Tabla4[[#This Row],[Total]]</f>
        <v>#N/A</v>
      </c>
      <c r="V3725" s="282" t="e">
        <f>+Tabla4[[#This Row],[Comisión Calculada]]*Tabla4[[#This Row],[Total]]</f>
        <v>#N/A</v>
      </c>
    </row>
    <row r="3726" spans="1:22" hidden="1" x14ac:dyDescent="0.25">
      <c r="A3726" s="100">
        <v>45838</v>
      </c>
      <c r="B3726" t="str">
        <f t="shared" si="172"/>
        <v>June</v>
      </c>
      <c r="C3726" s="46" t="s">
        <v>280</v>
      </c>
      <c r="F3726" s="366" t="s">
        <v>2145</v>
      </c>
      <c r="G3726" s="46" t="s">
        <v>555</v>
      </c>
      <c r="H3726" s="46">
        <v>8</v>
      </c>
      <c r="I3726" s="51">
        <v>389.47</v>
      </c>
      <c r="J3726" s="281">
        <f>++Tabla4[[#This Row],[Precio Bruto]]*1.16</f>
        <v>451.78519999999997</v>
      </c>
      <c r="K3726" s="281">
        <f>+Tabla4[[#This Row],[Precio Unitario Neto]]*Tabla4[[#Headers],[20.85%]]</f>
        <v>94.197214199999991</v>
      </c>
      <c r="L3726" s="282">
        <f>++Tabla4[[#This Row],[Precio Unitario Neto]]-Tabla4[[#This Row],[20.85%]]</f>
        <v>357.58798579999996</v>
      </c>
      <c r="M3726" s="282" t="e">
        <f>(INDEX(Tabla6[#All],MATCH(Tabla4[[#This Row],[Producto]],Tabla6[[#All],[PRODUCTO]],0),MATCH(Tabla4[[#This Row],[Mes]],Tabla6[#Headers],0)))*(1+Catalogos!$L$2)</f>
        <v>#N/A</v>
      </c>
      <c r="N3726" s="283" t="e">
        <f>+(Tabla4[[#This Row],[Precio Descontado]]-Tabla4[[#This Row],[Precio Base]])*Tabla4[[#This Row],[Cantidad]]</f>
        <v>#N/A</v>
      </c>
      <c r="O3726" s="284" t="e">
        <f>++Tabla4[[#This Row],[Utilidad Total]]/Tabla4[[#This Row],[Total]]</f>
        <v>#N/A</v>
      </c>
      <c r="P3726" s="282">
        <f>++Tabla4[[#This Row],[Precio Descontado]]*Tabla4[[#This Row],[Cantidad]]</f>
        <v>2860.7038863999996</v>
      </c>
      <c r="Q3726" s="282" t="e">
        <f>(INDEX(Tabla6[#All],MATCH(Tabla4[[#This Row],[Producto]],Tabla6[[#All],[PRODUCTO]],0),MATCH(Tabla4[[#This Row],[Mes]],Tabla6[#Headers],0)))</f>
        <v>#N/A</v>
      </c>
      <c r="R3726" s="282" t="e">
        <f>++Tabla4[[#This Row],[Precio Unitario Neto]]-Tabla4[[#This Row],[20.85%]]-Tabla4[[#This Row],[Costo]]</f>
        <v>#N/A</v>
      </c>
      <c r="S3726" s="282" t="e">
        <f>++Tabla4[[#This Row],[U. Bruta Uni]]*Tabla4[[#This Row],[Cantidad]]</f>
        <v>#N/A</v>
      </c>
      <c r="T3726" s="369" t="str">
        <f>VLOOKUP(Tabla4[[#This Row],[Producto]],Tabla6[#All],14,FALSE)</f>
        <v>Termico Solar</v>
      </c>
      <c r="U3726" s="284" t="e">
        <f>(IF(Tabla4[[#This Row],[Familia]]="termico solar",Tabla4[[#This Row],[Utilidad Total]]*6%,Tabla4[[#This Row],[Utilidad Total]]*11.5%))/Tabla4[[#This Row],[Total]]</f>
        <v>#N/A</v>
      </c>
      <c r="V3726" s="282" t="e">
        <f>+Tabla4[[#This Row],[Comisión Calculada]]*Tabla4[[#This Row],[Total]]</f>
        <v>#N/A</v>
      </c>
    </row>
    <row r="3727" spans="1:22" hidden="1" x14ac:dyDescent="0.25">
      <c r="A3727" s="100">
        <v>45838</v>
      </c>
      <c r="B3727" t="str">
        <f t="shared" si="172"/>
        <v>June</v>
      </c>
      <c r="C3727" s="46" t="s">
        <v>280</v>
      </c>
      <c r="F3727" s="366" t="s">
        <v>2145</v>
      </c>
      <c r="G3727" s="46" t="s">
        <v>208</v>
      </c>
      <c r="H3727" s="46">
        <v>1</v>
      </c>
      <c r="I3727" s="51">
        <v>189.75</v>
      </c>
      <c r="J3727" s="281">
        <f>++Tabla4[[#This Row],[Precio Bruto]]*1.16</f>
        <v>220.10999999999999</v>
      </c>
      <c r="K3727" s="281">
        <f>+Tabla4[[#This Row],[Precio Unitario Neto]]*Tabla4[[#Headers],[20.85%]]</f>
        <v>45.892934999999994</v>
      </c>
      <c r="L3727" s="282">
        <f>++Tabla4[[#This Row],[Precio Unitario Neto]]-Tabla4[[#This Row],[20.85%]]</f>
        <v>174.21706499999999</v>
      </c>
      <c r="M3727" s="282" t="e">
        <f>(INDEX(Tabla6[#All],MATCH(Tabla4[[#This Row],[Producto]],Tabla6[[#All],[PRODUCTO]],0),MATCH(Tabla4[[#This Row],[Mes]],Tabla6[#Headers],0)))*(1+Catalogos!$L$2)</f>
        <v>#N/A</v>
      </c>
      <c r="N3727" s="283" t="e">
        <f>+(Tabla4[[#This Row],[Precio Descontado]]-Tabla4[[#This Row],[Precio Base]])*Tabla4[[#This Row],[Cantidad]]</f>
        <v>#N/A</v>
      </c>
      <c r="O3727" s="284" t="e">
        <f>++Tabla4[[#This Row],[Utilidad Total]]/Tabla4[[#This Row],[Total]]</f>
        <v>#N/A</v>
      </c>
      <c r="P3727" s="282">
        <f>++Tabla4[[#This Row],[Precio Descontado]]*Tabla4[[#This Row],[Cantidad]]</f>
        <v>174.21706499999999</v>
      </c>
      <c r="Q3727" s="282" t="e">
        <f>(INDEX(Tabla6[#All],MATCH(Tabla4[[#This Row],[Producto]],Tabla6[[#All],[PRODUCTO]],0),MATCH(Tabla4[[#This Row],[Mes]],Tabla6[#Headers],0)))</f>
        <v>#N/A</v>
      </c>
      <c r="R3727" s="282" t="e">
        <f>++Tabla4[[#This Row],[Precio Unitario Neto]]-Tabla4[[#This Row],[20.85%]]-Tabla4[[#This Row],[Costo]]</f>
        <v>#N/A</v>
      </c>
      <c r="S3727" s="282" t="e">
        <f>++Tabla4[[#This Row],[U. Bruta Uni]]*Tabla4[[#This Row],[Cantidad]]</f>
        <v>#N/A</v>
      </c>
      <c r="T3727" s="369" t="str">
        <f>VLOOKUP(Tabla4[[#This Row],[Producto]],Tabla6[#All],14,FALSE)</f>
        <v>Termico Solar</v>
      </c>
      <c r="U3727" s="284" t="e">
        <f>(IF(Tabla4[[#This Row],[Familia]]="termico solar",Tabla4[[#This Row],[Utilidad Total]]*6%,Tabla4[[#This Row],[Utilidad Total]]*11.5%))/Tabla4[[#This Row],[Total]]</f>
        <v>#N/A</v>
      </c>
      <c r="V3727" s="282" t="e">
        <f>+Tabla4[[#This Row],[Comisión Calculada]]*Tabla4[[#This Row],[Total]]</f>
        <v>#N/A</v>
      </c>
    </row>
    <row r="3728" spans="1:22" hidden="1" x14ac:dyDescent="0.25">
      <c r="A3728" s="100">
        <v>45838</v>
      </c>
      <c r="B3728" t="str">
        <f t="shared" ref="B3728:B3752" si="173">TEXT(A3728, "mmmm")</f>
        <v>June</v>
      </c>
      <c r="C3728" s="46" t="s">
        <v>280</v>
      </c>
      <c r="F3728" s="366" t="s">
        <v>2146</v>
      </c>
      <c r="G3728" s="46" t="s">
        <v>83</v>
      </c>
      <c r="H3728" s="46">
        <v>1</v>
      </c>
      <c r="I3728" s="51">
        <v>8858.76</v>
      </c>
      <c r="J3728" s="281">
        <f>++Tabla4[[#This Row],[Precio Bruto]]*1.16</f>
        <v>10276.161599999999</v>
      </c>
      <c r="K3728" s="281">
        <f>+Tabla4[[#This Row],[Precio Unitario Neto]]*Tabla4[[#Headers],[20.85%]]</f>
        <v>2142.5796935999997</v>
      </c>
      <c r="L3728" s="282">
        <f>++Tabla4[[#This Row],[Precio Unitario Neto]]-Tabla4[[#This Row],[20.85%]]</f>
        <v>8133.5819063999998</v>
      </c>
      <c r="M3728" s="282" t="e">
        <f>(INDEX(Tabla6[#All],MATCH(Tabla4[[#This Row],[Producto]],Tabla6[[#All],[PRODUCTO]],0),MATCH(Tabla4[[#This Row],[Mes]],Tabla6[#Headers],0)))*(1+Catalogos!$L$2)</f>
        <v>#N/A</v>
      </c>
      <c r="N3728" s="283" t="e">
        <f>+(Tabla4[[#This Row],[Precio Descontado]]-Tabla4[[#This Row],[Precio Base]])*Tabla4[[#This Row],[Cantidad]]</f>
        <v>#N/A</v>
      </c>
      <c r="O3728" s="284" t="e">
        <f>++Tabla4[[#This Row],[Utilidad Total]]/Tabla4[[#This Row],[Total]]</f>
        <v>#N/A</v>
      </c>
      <c r="P3728" s="282">
        <f>++Tabla4[[#This Row],[Precio Descontado]]*Tabla4[[#This Row],[Cantidad]]</f>
        <v>8133.5819063999998</v>
      </c>
      <c r="Q3728" s="282" t="e">
        <f>(INDEX(Tabla6[#All],MATCH(Tabla4[[#This Row],[Producto]],Tabla6[[#All],[PRODUCTO]],0),MATCH(Tabla4[[#This Row],[Mes]],Tabla6[#Headers],0)))</f>
        <v>#N/A</v>
      </c>
      <c r="R3728" s="282" t="e">
        <f>++Tabla4[[#This Row],[Precio Unitario Neto]]-Tabla4[[#This Row],[20.85%]]-Tabla4[[#This Row],[Costo]]</f>
        <v>#N/A</v>
      </c>
      <c r="S3728" s="282" t="e">
        <f>++Tabla4[[#This Row],[U. Bruta Uni]]*Tabla4[[#This Row],[Cantidad]]</f>
        <v>#N/A</v>
      </c>
      <c r="T3728" s="369" t="str">
        <f>VLOOKUP(Tabla4[[#This Row],[Producto]],Tabla6[#All],14,FALSE)</f>
        <v>Termico Solar</v>
      </c>
      <c r="U3728" s="284" t="e">
        <f>(IF(Tabla4[[#This Row],[Familia]]="termico solar",Tabla4[[#This Row],[Utilidad Total]]*6%,Tabla4[[#This Row],[Utilidad Total]]*11.5%))/Tabla4[[#This Row],[Total]]</f>
        <v>#N/A</v>
      </c>
      <c r="V3728" s="282" t="e">
        <f>+Tabla4[[#This Row],[Comisión Calculada]]*Tabla4[[#This Row],[Total]]</f>
        <v>#N/A</v>
      </c>
    </row>
    <row r="3729" spans="1:22" hidden="1" x14ac:dyDescent="0.25">
      <c r="A3729" s="100">
        <v>45838</v>
      </c>
      <c r="B3729" t="str">
        <f t="shared" si="173"/>
        <v>June</v>
      </c>
      <c r="C3729" s="46" t="s">
        <v>280</v>
      </c>
      <c r="F3729" s="366" t="s">
        <v>2146</v>
      </c>
      <c r="G3729" s="46" t="s">
        <v>17</v>
      </c>
      <c r="H3729" s="46">
        <v>2</v>
      </c>
      <c r="I3729" s="51">
        <v>4622.28</v>
      </c>
      <c r="J3729" s="281">
        <f>++Tabla4[[#This Row],[Precio Bruto]]*1.16</f>
        <v>5361.8447999999989</v>
      </c>
      <c r="K3729" s="281">
        <f>+Tabla4[[#This Row],[Precio Unitario Neto]]*Tabla4[[#Headers],[20.85%]]</f>
        <v>1117.9446407999997</v>
      </c>
      <c r="L3729" s="282">
        <f>++Tabla4[[#This Row],[Precio Unitario Neto]]-Tabla4[[#This Row],[20.85%]]</f>
        <v>4243.9001591999995</v>
      </c>
      <c r="M3729" s="282" t="e">
        <f>(INDEX(Tabla6[#All],MATCH(Tabla4[[#This Row],[Producto]],Tabla6[[#All],[PRODUCTO]],0),MATCH(Tabla4[[#This Row],[Mes]],Tabla6[#Headers],0)))*(1+Catalogos!$L$2)</f>
        <v>#N/A</v>
      </c>
      <c r="N3729" s="283" t="e">
        <f>+(Tabla4[[#This Row],[Precio Descontado]]-Tabla4[[#This Row],[Precio Base]])*Tabla4[[#This Row],[Cantidad]]</f>
        <v>#N/A</v>
      </c>
      <c r="O3729" s="284" t="e">
        <f>++Tabla4[[#This Row],[Utilidad Total]]/Tabla4[[#This Row],[Total]]</f>
        <v>#N/A</v>
      </c>
      <c r="P3729" s="282">
        <f>++Tabla4[[#This Row],[Precio Descontado]]*Tabla4[[#This Row],[Cantidad]]</f>
        <v>8487.800318399999</v>
      </c>
      <c r="Q3729" s="282" t="e">
        <f>(INDEX(Tabla6[#All],MATCH(Tabla4[[#This Row],[Producto]],Tabla6[[#All],[PRODUCTO]],0),MATCH(Tabla4[[#This Row],[Mes]],Tabla6[#Headers],0)))</f>
        <v>#N/A</v>
      </c>
      <c r="R3729" s="282" t="e">
        <f>++Tabla4[[#This Row],[Precio Unitario Neto]]-Tabla4[[#This Row],[20.85%]]-Tabla4[[#This Row],[Costo]]</f>
        <v>#N/A</v>
      </c>
      <c r="S3729" s="282" t="e">
        <f>++Tabla4[[#This Row],[U. Bruta Uni]]*Tabla4[[#This Row],[Cantidad]]</f>
        <v>#N/A</v>
      </c>
      <c r="T3729" s="369" t="str">
        <f>VLOOKUP(Tabla4[[#This Row],[Producto]],Tabla6[#All],14,FALSE)</f>
        <v>Termico Solar</v>
      </c>
      <c r="U3729" s="284" t="e">
        <f>(IF(Tabla4[[#This Row],[Familia]]="termico solar",Tabla4[[#This Row],[Utilidad Total]]*6%,Tabla4[[#This Row],[Utilidad Total]]*11.5%))/Tabla4[[#This Row],[Total]]</f>
        <v>#N/A</v>
      </c>
      <c r="V3729" s="282" t="e">
        <f>+Tabla4[[#This Row],[Comisión Calculada]]*Tabla4[[#This Row],[Total]]</f>
        <v>#N/A</v>
      </c>
    </row>
    <row r="3730" spans="1:22" hidden="1" x14ac:dyDescent="0.25">
      <c r="A3730" s="100">
        <v>45838</v>
      </c>
      <c r="B3730" t="str">
        <f t="shared" si="173"/>
        <v>June</v>
      </c>
      <c r="C3730" s="46" t="s">
        <v>280</v>
      </c>
      <c r="F3730" s="366" t="s">
        <v>2146</v>
      </c>
      <c r="G3730" s="46" t="s">
        <v>18</v>
      </c>
      <c r="H3730" s="46">
        <v>5</v>
      </c>
      <c r="I3730" s="51">
        <v>5367.65</v>
      </c>
      <c r="J3730" s="281">
        <f>++Tabla4[[#This Row],[Precio Bruto]]*1.16</f>
        <v>6226.4739999999993</v>
      </c>
      <c r="K3730" s="281">
        <f>+Tabla4[[#This Row],[Precio Unitario Neto]]*Tabla4[[#Headers],[20.85%]]</f>
        <v>1298.2198289999999</v>
      </c>
      <c r="L3730" s="282">
        <f>++Tabla4[[#This Row],[Precio Unitario Neto]]-Tabla4[[#This Row],[20.85%]]</f>
        <v>4928.2541709999996</v>
      </c>
      <c r="M3730" s="282" t="e">
        <f>(INDEX(Tabla6[#All],MATCH(Tabla4[[#This Row],[Producto]],Tabla6[[#All],[PRODUCTO]],0),MATCH(Tabla4[[#This Row],[Mes]],Tabla6[#Headers],0)))*(1+Catalogos!$L$2)</f>
        <v>#N/A</v>
      </c>
      <c r="N3730" s="283" t="e">
        <f>+(Tabla4[[#This Row],[Precio Descontado]]-Tabla4[[#This Row],[Precio Base]])*Tabla4[[#This Row],[Cantidad]]</f>
        <v>#N/A</v>
      </c>
      <c r="O3730" s="284" t="e">
        <f>++Tabla4[[#This Row],[Utilidad Total]]/Tabla4[[#This Row],[Total]]</f>
        <v>#N/A</v>
      </c>
      <c r="P3730" s="282">
        <f>++Tabla4[[#This Row],[Precio Descontado]]*Tabla4[[#This Row],[Cantidad]]</f>
        <v>24641.270854999999</v>
      </c>
      <c r="Q3730" s="282" t="e">
        <f>(INDEX(Tabla6[#All],MATCH(Tabla4[[#This Row],[Producto]],Tabla6[[#All],[PRODUCTO]],0),MATCH(Tabla4[[#This Row],[Mes]],Tabla6[#Headers],0)))</f>
        <v>#N/A</v>
      </c>
      <c r="R3730" s="282" t="e">
        <f>++Tabla4[[#This Row],[Precio Unitario Neto]]-Tabla4[[#This Row],[20.85%]]-Tabla4[[#This Row],[Costo]]</f>
        <v>#N/A</v>
      </c>
      <c r="S3730" s="282" t="e">
        <f>++Tabla4[[#This Row],[U. Bruta Uni]]*Tabla4[[#This Row],[Cantidad]]</f>
        <v>#N/A</v>
      </c>
      <c r="T3730" s="369" t="str">
        <f>VLOOKUP(Tabla4[[#This Row],[Producto]],Tabla6[#All],14,FALSE)</f>
        <v>Termico Solar</v>
      </c>
      <c r="U3730" s="284" t="e">
        <f>(IF(Tabla4[[#This Row],[Familia]]="termico solar",Tabla4[[#This Row],[Utilidad Total]]*6%,Tabla4[[#This Row],[Utilidad Total]]*11.5%))/Tabla4[[#This Row],[Total]]</f>
        <v>#N/A</v>
      </c>
      <c r="V3730" s="282" t="e">
        <f>+Tabla4[[#This Row],[Comisión Calculada]]*Tabla4[[#This Row],[Total]]</f>
        <v>#N/A</v>
      </c>
    </row>
    <row r="3731" spans="1:22" hidden="1" x14ac:dyDescent="0.25">
      <c r="A3731" s="100">
        <v>45838</v>
      </c>
      <c r="B3731" t="str">
        <f t="shared" si="173"/>
        <v>June</v>
      </c>
      <c r="C3731" s="46" t="s">
        <v>280</v>
      </c>
      <c r="F3731" s="366" t="s">
        <v>2146</v>
      </c>
      <c r="G3731" s="46" t="s">
        <v>16</v>
      </c>
      <c r="H3731" s="46">
        <v>3</v>
      </c>
      <c r="I3731" s="51">
        <v>4103.8499999999995</v>
      </c>
      <c r="J3731" s="281">
        <f>++Tabla4[[#This Row],[Precio Bruto]]*1.16</f>
        <v>4760.4659999999994</v>
      </c>
      <c r="K3731" s="281">
        <f>+Tabla4[[#This Row],[Precio Unitario Neto]]*Tabla4[[#Headers],[20.85%]]</f>
        <v>992.55716099999984</v>
      </c>
      <c r="L3731" s="282">
        <f>++Tabla4[[#This Row],[Precio Unitario Neto]]-Tabla4[[#This Row],[20.85%]]</f>
        <v>3767.9088389999997</v>
      </c>
      <c r="M3731" s="282" t="e">
        <f>(INDEX(Tabla6[#All],MATCH(Tabla4[[#This Row],[Producto]],Tabla6[[#All],[PRODUCTO]],0),MATCH(Tabla4[[#This Row],[Mes]],Tabla6[#Headers],0)))*(1+Catalogos!$L$2)</f>
        <v>#N/A</v>
      </c>
      <c r="N3731" s="283" t="e">
        <f>+(Tabla4[[#This Row],[Precio Descontado]]-Tabla4[[#This Row],[Precio Base]])*Tabla4[[#This Row],[Cantidad]]</f>
        <v>#N/A</v>
      </c>
      <c r="O3731" s="284" t="e">
        <f>++Tabla4[[#This Row],[Utilidad Total]]/Tabla4[[#This Row],[Total]]</f>
        <v>#N/A</v>
      </c>
      <c r="P3731" s="282">
        <f>++Tabla4[[#This Row],[Precio Descontado]]*Tabla4[[#This Row],[Cantidad]]</f>
        <v>11303.726516999999</v>
      </c>
      <c r="Q3731" s="282" t="e">
        <f>(INDEX(Tabla6[#All],MATCH(Tabla4[[#This Row],[Producto]],Tabla6[[#All],[PRODUCTO]],0),MATCH(Tabla4[[#This Row],[Mes]],Tabla6[#Headers],0)))</f>
        <v>#N/A</v>
      </c>
      <c r="R3731" s="282" t="e">
        <f>++Tabla4[[#This Row],[Precio Unitario Neto]]-Tabla4[[#This Row],[20.85%]]-Tabla4[[#This Row],[Costo]]</f>
        <v>#N/A</v>
      </c>
      <c r="S3731" s="282" t="e">
        <f>++Tabla4[[#This Row],[U. Bruta Uni]]*Tabla4[[#This Row],[Cantidad]]</f>
        <v>#N/A</v>
      </c>
      <c r="T3731" s="369" t="str">
        <f>VLOOKUP(Tabla4[[#This Row],[Producto]],Tabla6[#All],14,FALSE)</f>
        <v>Termico Solar</v>
      </c>
      <c r="U3731" s="284" t="e">
        <f>(IF(Tabla4[[#This Row],[Familia]]="termico solar",Tabla4[[#This Row],[Utilidad Total]]*6%,Tabla4[[#This Row],[Utilidad Total]]*11.5%))/Tabla4[[#This Row],[Total]]</f>
        <v>#N/A</v>
      </c>
      <c r="V3731" s="282" t="e">
        <f>+Tabla4[[#This Row],[Comisión Calculada]]*Tabla4[[#This Row],[Total]]</f>
        <v>#N/A</v>
      </c>
    </row>
    <row r="3732" spans="1:22" hidden="1" x14ac:dyDescent="0.25">
      <c r="A3732" s="100">
        <v>45838</v>
      </c>
      <c r="B3732" t="str">
        <f t="shared" si="173"/>
        <v>June</v>
      </c>
      <c r="C3732" s="46" t="s">
        <v>280</v>
      </c>
      <c r="F3732" s="366" t="s">
        <v>2147</v>
      </c>
      <c r="G3732" s="46" t="s">
        <v>17</v>
      </c>
      <c r="H3732" s="46">
        <v>2</v>
      </c>
      <c r="I3732" s="51">
        <v>4622.28</v>
      </c>
      <c r="J3732" s="281">
        <f>++Tabla4[[#This Row],[Precio Bruto]]*1.16</f>
        <v>5361.8447999999989</v>
      </c>
      <c r="K3732" s="281">
        <f>+Tabla4[[#This Row],[Precio Unitario Neto]]*Tabla4[[#Headers],[20.85%]]</f>
        <v>1117.9446407999997</v>
      </c>
      <c r="L3732" s="282">
        <f>++Tabla4[[#This Row],[Precio Unitario Neto]]-Tabla4[[#This Row],[20.85%]]</f>
        <v>4243.9001591999995</v>
      </c>
      <c r="M3732" s="282" t="e">
        <f>(INDEX(Tabla6[#All],MATCH(Tabla4[[#This Row],[Producto]],Tabla6[[#All],[PRODUCTO]],0),MATCH(Tabla4[[#This Row],[Mes]],Tabla6[#Headers],0)))*(1+Catalogos!$L$2)</f>
        <v>#N/A</v>
      </c>
      <c r="N3732" s="283" t="e">
        <f>+(Tabla4[[#This Row],[Precio Descontado]]-Tabla4[[#This Row],[Precio Base]])*Tabla4[[#This Row],[Cantidad]]</f>
        <v>#N/A</v>
      </c>
      <c r="O3732" s="284" t="e">
        <f>++Tabla4[[#This Row],[Utilidad Total]]/Tabla4[[#This Row],[Total]]</f>
        <v>#N/A</v>
      </c>
      <c r="P3732" s="282">
        <f>++Tabla4[[#This Row],[Precio Descontado]]*Tabla4[[#This Row],[Cantidad]]</f>
        <v>8487.800318399999</v>
      </c>
      <c r="Q3732" s="282" t="e">
        <f>(INDEX(Tabla6[#All],MATCH(Tabla4[[#This Row],[Producto]],Tabla6[[#All],[PRODUCTO]],0),MATCH(Tabla4[[#This Row],[Mes]],Tabla6[#Headers],0)))</f>
        <v>#N/A</v>
      </c>
      <c r="R3732" s="282" t="e">
        <f>++Tabla4[[#This Row],[Precio Unitario Neto]]-Tabla4[[#This Row],[20.85%]]-Tabla4[[#This Row],[Costo]]</f>
        <v>#N/A</v>
      </c>
      <c r="S3732" s="282" t="e">
        <f>++Tabla4[[#This Row],[U. Bruta Uni]]*Tabla4[[#This Row],[Cantidad]]</f>
        <v>#N/A</v>
      </c>
      <c r="T3732" s="369" t="str">
        <f>VLOOKUP(Tabla4[[#This Row],[Producto]],Tabla6[#All],14,FALSE)</f>
        <v>Termico Solar</v>
      </c>
      <c r="U3732" s="284" t="e">
        <f>(IF(Tabla4[[#This Row],[Familia]]="termico solar",Tabla4[[#This Row],[Utilidad Total]]*6%,Tabla4[[#This Row],[Utilidad Total]]*11.5%))/Tabla4[[#This Row],[Total]]</f>
        <v>#N/A</v>
      </c>
      <c r="V3732" s="282" t="e">
        <f>+Tabla4[[#This Row],[Comisión Calculada]]*Tabla4[[#This Row],[Total]]</f>
        <v>#N/A</v>
      </c>
    </row>
    <row r="3733" spans="1:22" hidden="1" x14ac:dyDescent="0.25">
      <c r="A3733" s="100">
        <v>45838</v>
      </c>
      <c r="B3733" t="str">
        <f t="shared" si="173"/>
        <v>June</v>
      </c>
      <c r="C3733" s="46" t="s">
        <v>280</v>
      </c>
      <c r="F3733" s="366" t="s">
        <v>2147</v>
      </c>
      <c r="G3733" s="46" t="s">
        <v>18</v>
      </c>
      <c r="H3733" s="46">
        <v>3</v>
      </c>
      <c r="I3733" s="51">
        <v>5367.6500000000005</v>
      </c>
      <c r="J3733" s="281">
        <f>++Tabla4[[#This Row],[Precio Bruto]]*1.16</f>
        <v>6226.4740000000002</v>
      </c>
      <c r="K3733" s="281">
        <f>+Tabla4[[#This Row],[Precio Unitario Neto]]*Tabla4[[#Headers],[20.85%]]</f>
        <v>1298.2198289999999</v>
      </c>
      <c r="L3733" s="282">
        <f>++Tabla4[[#This Row],[Precio Unitario Neto]]-Tabla4[[#This Row],[20.85%]]</f>
        <v>4928.2541710000005</v>
      </c>
      <c r="M3733" s="282" t="e">
        <f>(INDEX(Tabla6[#All],MATCH(Tabla4[[#This Row],[Producto]],Tabla6[[#All],[PRODUCTO]],0),MATCH(Tabla4[[#This Row],[Mes]],Tabla6[#Headers],0)))*(1+Catalogos!$L$2)</f>
        <v>#N/A</v>
      </c>
      <c r="N3733" s="283" t="e">
        <f>+(Tabla4[[#This Row],[Precio Descontado]]-Tabla4[[#This Row],[Precio Base]])*Tabla4[[#This Row],[Cantidad]]</f>
        <v>#N/A</v>
      </c>
      <c r="O3733" s="284" t="e">
        <f>++Tabla4[[#This Row],[Utilidad Total]]/Tabla4[[#This Row],[Total]]</f>
        <v>#N/A</v>
      </c>
      <c r="P3733" s="282">
        <f>++Tabla4[[#This Row],[Precio Descontado]]*Tabla4[[#This Row],[Cantidad]]</f>
        <v>14784.762513000001</v>
      </c>
      <c r="Q3733" s="282" t="e">
        <f>(INDEX(Tabla6[#All],MATCH(Tabla4[[#This Row],[Producto]],Tabla6[[#All],[PRODUCTO]],0),MATCH(Tabla4[[#This Row],[Mes]],Tabla6[#Headers],0)))</f>
        <v>#N/A</v>
      </c>
      <c r="R3733" s="282" t="e">
        <f>++Tabla4[[#This Row],[Precio Unitario Neto]]-Tabla4[[#This Row],[20.85%]]-Tabla4[[#This Row],[Costo]]</f>
        <v>#N/A</v>
      </c>
      <c r="S3733" s="282" t="e">
        <f>++Tabla4[[#This Row],[U. Bruta Uni]]*Tabla4[[#This Row],[Cantidad]]</f>
        <v>#N/A</v>
      </c>
      <c r="T3733" s="369" t="str">
        <f>VLOOKUP(Tabla4[[#This Row],[Producto]],Tabla6[#All],14,FALSE)</f>
        <v>Termico Solar</v>
      </c>
      <c r="U3733" s="284" t="e">
        <f>(IF(Tabla4[[#This Row],[Familia]]="termico solar",Tabla4[[#This Row],[Utilidad Total]]*6%,Tabla4[[#This Row],[Utilidad Total]]*11.5%))/Tabla4[[#This Row],[Total]]</f>
        <v>#N/A</v>
      </c>
      <c r="V3733" s="282" t="e">
        <f>+Tabla4[[#This Row],[Comisión Calculada]]*Tabla4[[#This Row],[Total]]</f>
        <v>#N/A</v>
      </c>
    </row>
    <row r="3734" spans="1:22" hidden="1" x14ac:dyDescent="0.25">
      <c r="A3734" s="100">
        <v>45838</v>
      </c>
      <c r="B3734" t="str">
        <f t="shared" si="173"/>
        <v>June</v>
      </c>
      <c r="C3734" s="46" t="s">
        <v>280</v>
      </c>
      <c r="F3734" s="366" t="s">
        <v>2147</v>
      </c>
      <c r="G3734" s="46" t="s">
        <v>545</v>
      </c>
      <c r="H3734" s="46">
        <v>24</v>
      </c>
      <c r="I3734" s="51">
        <v>304.32</v>
      </c>
      <c r="J3734" s="281">
        <f>++Tabla4[[#This Row],[Precio Bruto]]*1.16</f>
        <v>353.01119999999997</v>
      </c>
      <c r="K3734" s="281">
        <f>+Tabla4[[#This Row],[Precio Unitario Neto]]*Tabla4[[#Headers],[20.85%]]</f>
        <v>73.602835199999987</v>
      </c>
      <c r="L3734" s="282">
        <f>++Tabla4[[#This Row],[Precio Unitario Neto]]-Tabla4[[#This Row],[20.85%]]</f>
        <v>279.40836479999996</v>
      </c>
      <c r="M3734" s="282" t="e">
        <f>(INDEX(Tabla6[#All],MATCH(Tabla4[[#This Row],[Producto]],Tabla6[[#All],[PRODUCTO]],0),MATCH(Tabla4[[#This Row],[Mes]],Tabla6[#Headers],0)))*(1+Catalogos!$L$2)</f>
        <v>#N/A</v>
      </c>
      <c r="N3734" s="283" t="e">
        <f>+(Tabla4[[#This Row],[Precio Descontado]]-Tabla4[[#This Row],[Precio Base]])*Tabla4[[#This Row],[Cantidad]]</f>
        <v>#N/A</v>
      </c>
      <c r="O3734" s="284" t="e">
        <f>++Tabla4[[#This Row],[Utilidad Total]]/Tabla4[[#This Row],[Total]]</f>
        <v>#N/A</v>
      </c>
      <c r="P3734" s="282">
        <f>++Tabla4[[#This Row],[Precio Descontado]]*Tabla4[[#This Row],[Cantidad]]</f>
        <v>6705.800755199999</v>
      </c>
      <c r="Q3734" s="282" t="e">
        <f>(INDEX(Tabla6[#All],MATCH(Tabla4[[#This Row],[Producto]],Tabla6[[#All],[PRODUCTO]],0),MATCH(Tabla4[[#This Row],[Mes]],Tabla6[#Headers],0)))</f>
        <v>#N/A</v>
      </c>
      <c r="R3734" s="282" t="e">
        <f>++Tabla4[[#This Row],[Precio Unitario Neto]]-Tabla4[[#This Row],[20.85%]]-Tabla4[[#This Row],[Costo]]</f>
        <v>#N/A</v>
      </c>
      <c r="S3734" s="282" t="e">
        <f>++Tabla4[[#This Row],[U. Bruta Uni]]*Tabla4[[#This Row],[Cantidad]]</f>
        <v>#N/A</v>
      </c>
      <c r="T3734" s="369" t="str">
        <f>VLOOKUP(Tabla4[[#This Row],[Producto]],Tabla6[#All],14,FALSE)</f>
        <v>Termico Solar</v>
      </c>
      <c r="U3734" s="284" t="e">
        <f>(IF(Tabla4[[#This Row],[Familia]]="termico solar",Tabla4[[#This Row],[Utilidad Total]]*6%,Tabla4[[#This Row],[Utilidad Total]]*11.5%))/Tabla4[[#This Row],[Total]]</f>
        <v>#N/A</v>
      </c>
      <c r="V3734" s="282" t="e">
        <f>+Tabla4[[#This Row],[Comisión Calculada]]*Tabla4[[#This Row],[Total]]</f>
        <v>#N/A</v>
      </c>
    </row>
    <row r="3735" spans="1:22" hidden="1" x14ac:dyDescent="0.25">
      <c r="A3735" s="100">
        <v>45838</v>
      </c>
      <c r="B3735" t="str">
        <f t="shared" si="173"/>
        <v>June</v>
      </c>
      <c r="C3735" s="46" t="s">
        <v>280</v>
      </c>
      <c r="F3735" s="366" t="s">
        <v>2148</v>
      </c>
      <c r="G3735" s="46" t="s">
        <v>17</v>
      </c>
      <c r="H3735" s="46">
        <v>2</v>
      </c>
      <c r="I3735" s="51">
        <v>4622.28</v>
      </c>
      <c r="J3735" s="281">
        <f>++Tabla4[[#This Row],[Precio Bruto]]*1.16</f>
        <v>5361.8447999999989</v>
      </c>
      <c r="K3735" s="281">
        <f>+Tabla4[[#This Row],[Precio Unitario Neto]]*Tabla4[[#Headers],[20.85%]]</f>
        <v>1117.9446407999997</v>
      </c>
      <c r="L3735" s="282">
        <f>++Tabla4[[#This Row],[Precio Unitario Neto]]-Tabla4[[#This Row],[20.85%]]</f>
        <v>4243.9001591999995</v>
      </c>
      <c r="M3735" s="282" t="e">
        <f>(INDEX(Tabla6[#All],MATCH(Tabla4[[#This Row],[Producto]],Tabla6[[#All],[PRODUCTO]],0),MATCH(Tabla4[[#This Row],[Mes]],Tabla6[#Headers],0)))*(1+Catalogos!$L$2)</f>
        <v>#N/A</v>
      </c>
      <c r="N3735" s="283" t="e">
        <f>+(Tabla4[[#This Row],[Precio Descontado]]-Tabla4[[#This Row],[Precio Base]])*Tabla4[[#This Row],[Cantidad]]</f>
        <v>#N/A</v>
      </c>
      <c r="O3735" s="284" t="e">
        <f>++Tabla4[[#This Row],[Utilidad Total]]/Tabla4[[#This Row],[Total]]</f>
        <v>#N/A</v>
      </c>
      <c r="P3735" s="282">
        <f>++Tabla4[[#This Row],[Precio Descontado]]*Tabla4[[#This Row],[Cantidad]]</f>
        <v>8487.800318399999</v>
      </c>
      <c r="Q3735" s="282" t="e">
        <f>(INDEX(Tabla6[#All],MATCH(Tabla4[[#This Row],[Producto]],Tabla6[[#All],[PRODUCTO]],0),MATCH(Tabla4[[#This Row],[Mes]],Tabla6[#Headers],0)))</f>
        <v>#N/A</v>
      </c>
      <c r="R3735" s="282" t="e">
        <f>++Tabla4[[#This Row],[Precio Unitario Neto]]-Tabla4[[#This Row],[20.85%]]-Tabla4[[#This Row],[Costo]]</f>
        <v>#N/A</v>
      </c>
      <c r="S3735" s="282" t="e">
        <f>++Tabla4[[#This Row],[U. Bruta Uni]]*Tabla4[[#This Row],[Cantidad]]</f>
        <v>#N/A</v>
      </c>
      <c r="T3735" s="369" t="str">
        <f>VLOOKUP(Tabla4[[#This Row],[Producto]],Tabla6[#All],14,FALSE)</f>
        <v>Termico Solar</v>
      </c>
      <c r="U3735" s="284" t="e">
        <f>(IF(Tabla4[[#This Row],[Familia]]="termico solar",Tabla4[[#This Row],[Utilidad Total]]*6%,Tabla4[[#This Row],[Utilidad Total]]*11.5%))/Tabla4[[#This Row],[Total]]</f>
        <v>#N/A</v>
      </c>
      <c r="V3735" s="282" t="e">
        <f>+Tabla4[[#This Row],[Comisión Calculada]]*Tabla4[[#This Row],[Total]]</f>
        <v>#N/A</v>
      </c>
    </row>
    <row r="3736" spans="1:22" hidden="1" x14ac:dyDescent="0.25">
      <c r="A3736" s="100">
        <v>45838</v>
      </c>
      <c r="B3736" t="str">
        <f t="shared" si="173"/>
        <v>June</v>
      </c>
      <c r="C3736" s="46" t="s">
        <v>280</v>
      </c>
      <c r="F3736" s="366" t="s">
        <v>2148</v>
      </c>
      <c r="G3736" s="46" t="s">
        <v>566</v>
      </c>
      <c r="H3736" s="46">
        <v>1</v>
      </c>
      <c r="I3736" s="51">
        <v>2109.4499999999998</v>
      </c>
      <c r="J3736" s="281">
        <f>++Tabla4[[#This Row],[Precio Bruto]]*1.16</f>
        <v>2446.9619999999995</v>
      </c>
      <c r="K3736" s="281">
        <f>+Tabla4[[#This Row],[Precio Unitario Neto]]*Tabla4[[#Headers],[20.85%]]</f>
        <v>510.19157699999988</v>
      </c>
      <c r="L3736" s="282">
        <f>++Tabla4[[#This Row],[Precio Unitario Neto]]-Tabla4[[#This Row],[20.85%]]</f>
        <v>1936.7704229999997</v>
      </c>
      <c r="M3736" s="282" t="e">
        <f>(INDEX(Tabla6[#All],MATCH(Tabla4[[#This Row],[Producto]],Tabla6[[#All],[PRODUCTO]],0),MATCH(Tabla4[[#This Row],[Mes]],Tabla6[#Headers],0)))*(1+Catalogos!$L$2)</f>
        <v>#N/A</v>
      </c>
      <c r="N3736" s="283" t="e">
        <f>+(Tabla4[[#This Row],[Precio Descontado]]-Tabla4[[#This Row],[Precio Base]])*Tabla4[[#This Row],[Cantidad]]</f>
        <v>#N/A</v>
      </c>
      <c r="O3736" s="284" t="e">
        <f>++Tabla4[[#This Row],[Utilidad Total]]/Tabla4[[#This Row],[Total]]</f>
        <v>#N/A</v>
      </c>
      <c r="P3736" s="282">
        <f>++Tabla4[[#This Row],[Precio Descontado]]*Tabla4[[#This Row],[Cantidad]]</f>
        <v>1936.7704229999997</v>
      </c>
      <c r="Q3736" s="282" t="e">
        <f>(INDEX(Tabla6[#All],MATCH(Tabla4[[#This Row],[Producto]],Tabla6[[#All],[PRODUCTO]],0),MATCH(Tabla4[[#This Row],[Mes]],Tabla6[#Headers],0)))</f>
        <v>#N/A</v>
      </c>
      <c r="R3736" s="282" t="e">
        <f>++Tabla4[[#This Row],[Precio Unitario Neto]]-Tabla4[[#This Row],[20.85%]]-Tabla4[[#This Row],[Costo]]</f>
        <v>#N/A</v>
      </c>
      <c r="S3736" s="282" t="e">
        <f>++Tabla4[[#This Row],[U. Bruta Uni]]*Tabla4[[#This Row],[Cantidad]]</f>
        <v>#N/A</v>
      </c>
      <c r="T3736" s="369" t="str">
        <f>VLOOKUP(Tabla4[[#This Row],[Producto]],Tabla6[#All],14,FALSE)</f>
        <v>Termico Solar</v>
      </c>
      <c r="U3736" s="284" t="e">
        <f>(IF(Tabla4[[#This Row],[Familia]]="termico solar",Tabla4[[#This Row],[Utilidad Total]]*6%,Tabla4[[#This Row],[Utilidad Total]]*11.5%))/Tabla4[[#This Row],[Total]]</f>
        <v>#N/A</v>
      </c>
      <c r="V3736" s="282" t="e">
        <f>+Tabla4[[#This Row],[Comisión Calculada]]*Tabla4[[#This Row],[Total]]</f>
        <v>#N/A</v>
      </c>
    </row>
    <row r="3737" spans="1:22" hidden="1" x14ac:dyDescent="0.25">
      <c r="A3737" s="100">
        <v>45838</v>
      </c>
      <c r="B3737" t="str">
        <f t="shared" si="173"/>
        <v>June</v>
      </c>
      <c r="C3737" s="46" t="s">
        <v>280</v>
      </c>
      <c r="F3737" s="366" t="s">
        <v>2148</v>
      </c>
      <c r="G3737" s="46" t="s">
        <v>16</v>
      </c>
      <c r="H3737" s="46">
        <v>3</v>
      </c>
      <c r="I3737" s="51">
        <v>4103.8499999999995</v>
      </c>
      <c r="J3737" s="281">
        <f>++Tabla4[[#This Row],[Precio Bruto]]*1.16</f>
        <v>4760.4659999999994</v>
      </c>
      <c r="K3737" s="281">
        <f>+Tabla4[[#This Row],[Precio Unitario Neto]]*Tabla4[[#Headers],[20.85%]]</f>
        <v>992.55716099999984</v>
      </c>
      <c r="L3737" s="282">
        <f>++Tabla4[[#This Row],[Precio Unitario Neto]]-Tabla4[[#This Row],[20.85%]]</f>
        <v>3767.9088389999997</v>
      </c>
      <c r="M3737" s="282" t="e">
        <f>(INDEX(Tabla6[#All],MATCH(Tabla4[[#This Row],[Producto]],Tabla6[[#All],[PRODUCTO]],0),MATCH(Tabla4[[#This Row],[Mes]],Tabla6[#Headers],0)))*(1+Catalogos!$L$2)</f>
        <v>#N/A</v>
      </c>
      <c r="N3737" s="283" t="e">
        <f>+(Tabla4[[#This Row],[Precio Descontado]]-Tabla4[[#This Row],[Precio Base]])*Tabla4[[#This Row],[Cantidad]]</f>
        <v>#N/A</v>
      </c>
      <c r="O3737" s="284" t="e">
        <f>++Tabla4[[#This Row],[Utilidad Total]]/Tabla4[[#This Row],[Total]]</f>
        <v>#N/A</v>
      </c>
      <c r="P3737" s="282">
        <f>++Tabla4[[#This Row],[Precio Descontado]]*Tabla4[[#This Row],[Cantidad]]</f>
        <v>11303.726516999999</v>
      </c>
      <c r="Q3737" s="282" t="e">
        <f>(INDEX(Tabla6[#All],MATCH(Tabla4[[#This Row],[Producto]],Tabla6[[#All],[PRODUCTO]],0),MATCH(Tabla4[[#This Row],[Mes]],Tabla6[#Headers],0)))</f>
        <v>#N/A</v>
      </c>
      <c r="R3737" s="282" t="e">
        <f>++Tabla4[[#This Row],[Precio Unitario Neto]]-Tabla4[[#This Row],[20.85%]]-Tabla4[[#This Row],[Costo]]</f>
        <v>#N/A</v>
      </c>
      <c r="S3737" s="282" t="e">
        <f>++Tabla4[[#This Row],[U. Bruta Uni]]*Tabla4[[#This Row],[Cantidad]]</f>
        <v>#N/A</v>
      </c>
      <c r="T3737" s="369" t="str">
        <f>VLOOKUP(Tabla4[[#This Row],[Producto]],Tabla6[#All],14,FALSE)</f>
        <v>Termico Solar</v>
      </c>
      <c r="U3737" s="284" t="e">
        <f>(IF(Tabla4[[#This Row],[Familia]]="termico solar",Tabla4[[#This Row],[Utilidad Total]]*6%,Tabla4[[#This Row],[Utilidad Total]]*11.5%))/Tabla4[[#This Row],[Total]]</f>
        <v>#N/A</v>
      </c>
      <c r="V3737" s="282" t="e">
        <f>+Tabla4[[#This Row],[Comisión Calculada]]*Tabla4[[#This Row],[Total]]</f>
        <v>#N/A</v>
      </c>
    </row>
    <row r="3738" spans="1:22" hidden="1" x14ac:dyDescent="0.25">
      <c r="A3738" s="100">
        <v>45838</v>
      </c>
      <c r="B3738" t="str">
        <f t="shared" si="173"/>
        <v>June</v>
      </c>
      <c r="C3738" s="46" t="s">
        <v>280</v>
      </c>
      <c r="F3738" s="366" t="s">
        <v>2149</v>
      </c>
      <c r="G3738" s="46" t="s">
        <v>83</v>
      </c>
      <c r="H3738" s="46">
        <v>2</v>
      </c>
      <c r="I3738" s="51">
        <v>8858.76</v>
      </c>
      <c r="J3738" s="281">
        <f>++Tabla4[[#This Row],[Precio Bruto]]*1.16</f>
        <v>10276.161599999999</v>
      </c>
      <c r="K3738" s="281">
        <f>+Tabla4[[#This Row],[Precio Unitario Neto]]*Tabla4[[#Headers],[20.85%]]</f>
        <v>2142.5796935999997</v>
      </c>
      <c r="L3738" s="282">
        <f>++Tabla4[[#This Row],[Precio Unitario Neto]]-Tabla4[[#This Row],[20.85%]]</f>
        <v>8133.5819063999998</v>
      </c>
      <c r="M3738" s="282" t="e">
        <f>(INDEX(Tabla6[#All],MATCH(Tabla4[[#This Row],[Producto]],Tabla6[[#All],[PRODUCTO]],0),MATCH(Tabla4[[#This Row],[Mes]],Tabla6[#Headers],0)))*(1+Catalogos!$L$2)</f>
        <v>#N/A</v>
      </c>
      <c r="N3738" s="283" t="e">
        <f>+(Tabla4[[#This Row],[Precio Descontado]]-Tabla4[[#This Row],[Precio Base]])*Tabla4[[#This Row],[Cantidad]]</f>
        <v>#N/A</v>
      </c>
      <c r="O3738" s="284" t="e">
        <f>++Tabla4[[#This Row],[Utilidad Total]]/Tabla4[[#This Row],[Total]]</f>
        <v>#N/A</v>
      </c>
      <c r="P3738" s="282">
        <f>++Tabla4[[#This Row],[Precio Descontado]]*Tabla4[[#This Row],[Cantidad]]</f>
        <v>16267.1638128</v>
      </c>
      <c r="Q3738" s="282" t="e">
        <f>(INDEX(Tabla6[#All],MATCH(Tabla4[[#This Row],[Producto]],Tabla6[[#All],[PRODUCTO]],0),MATCH(Tabla4[[#This Row],[Mes]],Tabla6[#Headers],0)))</f>
        <v>#N/A</v>
      </c>
      <c r="R3738" s="282" t="e">
        <f>++Tabla4[[#This Row],[Precio Unitario Neto]]-Tabla4[[#This Row],[20.85%]]-Tabla4[[#This Row],[Costo]]</f>
        <v>#N/A</v>
      </c>
      <c r="S3738" s="282" t="e">
        <f>++Tabla4[[#This Row],[U. Bruta Uni]]*Tabla4[[#This Row],[Cantidad]]</f>
        <v>#N/A</v>
      </c>
      <c r="T3738" s="369" t="str">
        <f>VLOOKUP(Tabla4[[#This Row],[Producto]],Tabla6[#All],14,FALSE)</f>
        <v>Termico Solar</v>
      </c>
      <c r="U3738" s="284" t="e">
        <f>(IF(Tabla4[[#This Row],[Familia]]="termico solar",Tabla4[[#This Row],[Utilidad Total]]*6%,Tabla4[[#This Row],[Utilidad Total]]*11.5%))/Tabla4[[#This Row],[Total]]</f>
        <v>#N/A</v>
      </c>
      <c r="V3738" s="282" t="e">
        <f>+Tabla4[[#This Row],[Comisión Calculada]]*Tabla4[[#This Row],[Total]]</f>
        <v>#N/A</v>
      </c>
    </row>
    <row r="3739" spans="1:22" hidden="1" x14ac:dyDescent="0.25">
      <c r="A3739" s="100">
        <v>45838</v>
      </c>
      <c r="B3739" t="str">
        <f t="shared" si="173"/>
        <v>June</v>
      </c>
      <c r="C3739" s="46" t="s">
        <v>280</v>
      </c>
      <c r="F3739" s="366" t="s">
        <v>2149</v>
      </c>
      <c r="G3739" s="46" t="s">
        <v>17</v>
      </c>
      <c r="H3739" s="46">
        <v>2</v>
      </c>
      <c r="I3739" s="51">
        <v>4622.28</v>
      </c>
      <c r="J3739" s="281">
        <f>++Tabla4[[#This Row],[Precio Bruto]]*1.16</f>
        <v>5361.8447999999989</v>
      </c>
      <c r="K3739" s="281">
        <f>+Tabla4[[#This Row],[Precio Unitario Neto]]*Tabla4[[#Headers],[20.85%]]</f>
        <v>1117.9446407999997</v>
      </c>
      <c r="L3739" s="282">
        <f>++Tabla4[[#This Row],[Precio Unitario Neto]]-Tabla4[[#This Row],[20.85%]]</f>
        <v>4243.9001591999995</v>
      </c>
      <c r="M3739" s="282" t="e">
        <f>(INDEX(Tabla6[#All],MATCH(Tabla4[[#This Row],[Producto]],Tabla6[[#All],[PRODUCTO]],0),MATCH(Tabla4[[#This Row],[Mes]],Tabla6[#Headers],0)))*(1+Catalogos!$L$2)</f>
        <v>#N/A</v>
      </c>
      <c r="N3739" s="283" t="e">
        <f>+(Tabla4[[#This Row],[Precio Descontado]]-Tabla4[[#This Row],[Precio Base]])*Tabla4[[#This Row],[Cantidad]]</f>
        <v>#N/A</v>
      </c>
      <c r="O3739" s="284" t="e">
        <f>++Tabla4[[#This Row],[Utilidad Total]]/Tabla4[[#This Row],[Total]]</f>
        <v>#N/A</v>
      </c>
      <c r="P3739" s="282">
        <f>++Tabla4[[#This Row],[Precio Descontado]]*Tabla4[[#This Row],[Cantidad]]</f>
        <v>8487.800318399999</v>
      </c>
      <c r="Q3739" s="282" t="e">
        <f>(INDEX(Tabla6[#All],MATCH(Tabla4[[#This Row],[Producto]],Tabla6[[#All],[PRODUCTO]],0),MATCH(Tabla4[[#This Row],[Mes]],Tabla6[#Headers],0)))</f>
        <v>#N/A</v>
      </c>
      <c r="R3739" s="282" t="e">
        <f>++Tabla4[[#This Row],[Precio Unitario Neto]]-Tabla4[[#This Row],[20.85%]]-Tabla4[[#This Row],[Costo]]</f>
        <v>#N/A</v>
      </c>
      <c r="S3739" s="282" t="e">
        <f>++Tabla4[[#This Row],[U. Bruta Uni]]*Tabla4[[#This Row],[Cantidad]]</f>
        <v>#N/A</v>
      </c>
      <c r="T3739" s="369" t="str">
        <f>VLOOKUP(Tabla4[[#This Row],[Producto]],Tabla6[#All],14,FALSE)</f>
        <v>Termico Solar</v>
      </c>
      <c r="U3739" s="284" t="e">
        <f>(IF(Tabla4[[#This Row],[Familia]]="termico solar",Tabla4[[#This Row],[Utilidad Total]]*6%,Tabla4[[#This Row],[Utilidad Total]]*11.5%))/Tabla4[[#This Row],[Total]]</f>
        <v>#N/A</v>
      </c>
      <c r="V3739" s="282" t="e">
        <f>+Tabla4[[#This Row],[Comisión Calculada]]*Tabla4[[#This Row],[Total]]</f>
        <v>#N/A</v>
      </c>
    </row>
    <row r="3740" spans="1:22" hidden="1" x14ac:dyDescent="0.25">
      <c r="A3740" s="100">
        <v>45838</v>
      </c>
      <c r="B3740" t="str">
        <f t="shared" si="173"/>
        <v>June</v>
      </c>
      <c r="C3740" s="46" t="s">
        <v>280</v>
      </c>
      <c r="F3740" s="366" t="s">
        <v>2149</v>
      </c>
      <c r="G3740" s="46" t="s">
        <v>18</v>
      </c>
      <c r="H3740" s="46">
        <v>4</v>
      </c>
      <c r="I3740" s="51">
        <v>5367.65</v>
      </c>
      <c r="J3740" s="281">
        <f>++Tabla4[[#This Row],[Precio Bruto]]*1.16</f>
        <v>6226.4739999999993</v>
      </c>
      <c r="K3740" s="281">
        <f>+Tabla4[[#This Row],[Precio Unitario Neto]]*Tabla4[[#Headers],[20.85%]]</f>
        <v>1298.2198289999999</v>
      </c>
      <c r="L3740" s="282">
        <f>++Tabla4[[#This Row],[Precio Unitario Neto]]-Tabla4[[#This Row],[20.85%]]</f>
        <v>4928.2541709999996</v>
      </c>
      <c r="M3740" s="282" t="e">
        <f>(INDEX(Tabla6[#All],MATCH(Tabla4[[#This Row],[Producto]],Tabla6[[#All],[PRODUCTO]],0),MATCH(Tabla4[[#This Row],[Mes]],Tabla6[#Headers],0)))*(1+Catalogos!$L$2)</f>
        <v>#N/A</v>
      </c>
      <c r="N3740" s="283" t="e">
        <f>+(Tabla4[[#This Row],[Precio Descontado]]-Tabla4[[#This Row],[Precio Base]])*Tabla4[[#This Row],[Cantidad]]</f>
        <v>#N/A</v>
      </c>
      <c r="O3740" s="284" t="e">
        <f>++Tabla4[[#This Row],[Utilidad Total]]/Tabla4[[#This Row],[Total]]</f>
        <v>#N/A</v>
      </c>
      <c r="P3740" s="282">
        <f>++Tabla4[[#This Row],[Precio Descontado]]*Tabla4[[#This Row],[Cantidad]]</f>
        <v>19713.016683999998</v>
      </c>
      <c r="Q3740" s="282" t="e">
        <f>(INDEX(Tabla6[#All],MATCH(Tabla4[[#This Row],[Producto]],Tabla6[[#All],[PRODUCTO]],0),MATCH(Tabla4[[#This Row],[Mes]],Tabla6[#Headers],0)))</f>
        <v>#N/A</v>
      </c>
      <c r="R3740" s="282" t="e">
        <f>++Tabla4[[#This Row],[Precio Unitario Neto]]-Tabla4[[#This Row],[20.85%]]-Tabla4[[#This Row],[Costo]]</f>
        <v>#N/A</v>
      </c>
      <c r="S3740" s="282" t="e">
        <f>++Tabla4[[#This Row],[U. Bruta Uni]]*Tabla4[[#This Row],[Cantidad]]</f>
        <v>#N/A</v>
      </c>
      <c r="T3740" s="369" t="str">
        <f>VLOOKUP(Tabla4[[#This Row],[Producto]],Tabla6[#All],14,FALSE)</f>
        <v>Termico Solar</v>
      </c>
      <c r="U3740" s="284" t="e">
        <f>(IF(Tabla4[[#This Row],[Familia]]="termico solar",Tabla4[[#This Row],[Utilidad Total]]*6%,Tabla4[[#This Row],[Utilidad Total]]*11.5%))/Tabla4[[#This Row],[Total]]</f>
        <v>#N/A</v>
      </c>
      <c r="V3740" s="282" t="e">
        <f>+Tabla4[[#This Row],[Comisión Calculada]]*Tabla4[[#This Row],[Total]]</f>
        <v>#N/A</v>
      </c>
    </row>
    <row r="3741" spans="1:22" hidden="1" x14ac:dyDescent="0.25">
      <c r="A3741" s="100">
        <v>45838</v>
      </c>
      <c r="B3741" t="str">
        <f t="shared" si="173"/>
        <v>June</v>
      </c>
      <c r="C3741" s="46" t="s">
        <v>280</v>
      </c>
      <c r="F3741" s="366" t="s">
        <v>2149</v>
      </c>
      <c r="G3741" s="46" t="s">
        <v>566</v>
      </c>
      <c r="H3741" s="46">
        <v>2</v>
      </c>
      <c r="I3741" s="51">
        <v>2109.4499999999998</v>
      </c>
      <c r="J3741" s="281">
        <f>++Tabla4[[#This Row],[Precio Bruto]]*1.16</f>
        <v>2446.9619999999995</v>
      </c>
      <c r="K3741" s="281">
        <f>+Tabla4[[#This Row],[Precio Unitario Neto]]*Tabla4[[#Headers],[20.85%]]</f>
        <v>510.19157699999988</v>
      </c>
      <c r="L3741" s="282">
        <f>++Tabla4[[#This Row],[Precio Unitario Neto]]-Tabla4[[#This Row],[20.85%]]</f>
        <v>1936.7704229999997</v>
      </c>
      <c r="M3741" s="282" t="e">
        <f>(INDEX(Tabla6[#All],MATCH(Tabla4[[#This Row],[Producto]],Tabla6[[#All],[PRODUCTO]],0),MATCH(Tabla4[[#This Row],[Mes]],Tabla6[#Headers],0)))*(1+Catalogos!$L$2)</f>
        <v>#N/A</v>
      </c>
      <c r="N3741" s="283" t="e">
        <f>+(Tabla4[[#This Row],[Precio Descontado]]-Tabla4[[#This Row],[Precio Base]])*Tabla4[[#This Row],[Cantidad]]</f>
        <v>#N/A</v>
      </c>
      <c r="O3741" s="284" t="e">
        <f>++Tabla4[[#This Row],[Utilidad Total]]/Tabla4[[#This Row],[Total]]</f>
        <v>#N/A</v>
      </c>
      <c r="P3741" s="282">
        <f>++Tabla4[[#This Row],[Precio Descontado]]*Tabla4[[#This Row],[Cantidad]]</f>
        <v>3873.5408459999994</v>
      </c>
      <c r="Q3741" s="282" t="e">
        <f>(INDEX(Tabla6[#All],MATCH(Tabla4[[#This Row],[Producto]],Tabla6[[#All],[PRODUCTO]],0),MATCH(Tabla4[[#This Row],[Mes]],Tabla6[#Headers],0)))</f>
        <v>#N/A</v>
      </c>
      <c r="R3741" s="282" t="e">
        <f>++Tabla4[[#This Row],[Precio Unitario Neto]]-Tabla4[[#This Row],[20.85%]]-Tabla4[[#This Row],[Costo]]</f>
        <v>#N/A</v>
      </c>
      <c r="S3741" s="282" t="e">
        <f>++Tabla4[[#This Row],[U. Bruta Uni]]*Tabla4[[#This Row],[Cantidad]]</f>
        <v>#N/A</v>
      </c>
      <c r="T3741" s="369" t="str">
        <f>VLOOKUP(Tabla4[[#This Row],[Producto]],Tabla6[#All],14,FALSE)</f>
        <v>Termico Solar</v>
      </c>
      <c r="U3741" s="284" t="e">
        <f>(IF(Tabla4[[#This Row],[Familia]]="termico solar",Tabla4[[#This Row],[Utilidad Total]]*6%,Tabla4[[#This Row],[Utilidad Total]]*11.5%))/Tabla4[[#This Row],[Total]]</f>
        <v>#N/A</v>
      </c>
      <c r="V3741" s="282" t="e">
        <f>+Tabla4[[#This Row],[Comisión Calculada]]*Tabla4[[#This Row],[Total]]</f>
        <v>#N/A</v>
      </c>
    </row>
    <row r="3742" spans="1:22" hidden="1" x14ac:dyDescent="0.25">
      <c r="A3742" s="100">
        <v>45838</v>
      </c>
      <c r="B3742" t="str">
        <f t="shared" si="173"/>
        <v>June</v>
      </c>
      <c r="C3742" s="46" t="s">
        <v>280</v>
      </c>
      <c r="F3742" s="366" t="s">
        <v>2149</v>
      </c>
      <c r="G3742" s="46" t="s">
        <v>16</v>
      </c>
      <c r="H3742" s="46">
        <v>2</v>
      </c>
      <c r="I3742" s="51">
        <v>4103.8500000000004</v>
      </c>
      <c r="J3742" s="281">
        <f>++Tabla4[[#This Row],[Precio Bruto]]*1.16</f>
        <v>4760.4660000000003</v>
      </c>
      <c r="K3742" s="281">
        <f>+Tabla4[[#This Row],[Precio Unitario Neto]]*Tabla4[[#Headers],[20.85%]]</f>
        <v>992.55716100000006</v>
      </c>
      <c r="L3742" s="282">
        <f>++Tabla4[[#This Row],[Precio Unitario Neto]]-Tabla4[[#This Row],[20.85%]]</f>
        <v>3767.9088390000002</v>
      </c>
      <c r="M3742" s="282" t="e">
        <f>(INDEX(Tabla6[#All],MATCH(Tabla4[[#This Row],[Producto]],Tabla6[[#All],[PRODUCTO]],0),MATCH(Tabla4[[#This Row],[Mes]],Tabla6[#Headers],0)))*(1+Catalogos!$L$2)</f>
        <v>#N/A</v>
      </c>
      <c r="N3742" s="283" t="e">
        <f>+(Tabla4[[#This Row],[Precio Descontado]]-Tabla4[[#This Row],[Precio Base]])*Tabla4[[#This Row],[Cantidad]]</f>
        <v>#N/A</v>
      </c>
      <c r="O3742" s="284" t="e">
        <f>++Tabla4[[#This Row],[Utilidad Total]]/Tabla4[[#This Row],[Total]]</f>
        <v>#N/A</v>
      </c>
      <c r="P3742" s="282">
        <f>++Tabla4[[#This Row],[Precio Descontado]]*Tabla4[[#This Row],[Cantidad]]</f>
        <v>7535.8176780000003</v>
      </c>
      <c r="Q3742" s="282" t="e">
        <f>(INDEX(Tabla6[#All],MATCH(Tabla4[[#This Row],[Producto]],Tabla6[[#All],[PRODUCTO]],0),MATCH(Tabla4[[#This Row],[Mes]],Tabla6[#Headers],0)))</f>
        <v>#N/A</v>
      </c>
      <c r="R3742" s="282" t="e">
        <f>++Tabla4[[#This Row],[Precio Unitario Neto]]-Tabla4[[#This Row],[20.85%]]-Tabla4[[#This Row],[Costo]]</f>
        <v>#N/A</v>
      </c>
      <c r="S3742" s="282" t="e">
        <f>++Tabla4[[#This Row],[U. Bruta Uni]]*Tabla4[[#This Row],[Cantidad]]</f>
        <v>#N/A</v>
      </c>
      <c r="T3742" s="369" t="str">
        <f>VLOOKUP(Tabla4[[#This Row],[Producto]],Tabla6[#All],14,FALSE)</f>
        <v>Termico Solar</v>
      </c>
      <c r="U3742" s="284" t="e">
        <f>(IF(Tabla4[[#This Row],[Familia]]="termico solar",Tabla4[[#This Row],[Utilidad Total]]*6%,Tabla4[[#This Row],[Utilidad Total]]*11.5%))/Tabla4[[#This Row],[Total]]</f>
        <v>#N/A</v>
      </c>
      <c r="V3742" s="282" t="e">
        <f>+Tabla4[[#This Row],[Comisión Calculada]]*Tabla4[[#This Row],[Total]]</f>
        <v>#N/A</v>
      </c>
    </row>
    <row r="3743" spans="1:22" hidden="1" x14ac:dyDescent="0.25">
      <c r="A3743" s="100">
        <v>45838</v>
      </c>
      <c r="B3743" t="str">
        <f t="shared" si="173"/>
        <v>June</v>
      </c>
      <c r="C3743" s="46" t="s">
        <v>280</v>
      </c>
      <c r="F3743" s="366" t="s">
        <v>2150</v>
      </c>
      <c r="G3743" s="46" t="s">
        <v>17</v>
      </c>
      <c r="H3743" s="46">
        <v>3</v>
      </c>
      <c r="I3743" s="51">
        <v>4622.28</v>
      </c>
      <c r="J3743" s="281">
        <f>++Tabla4[[#This Row],[Precio Bruto]]*1.16</f>
        <v>5361.8447999999989</v>
      </c>
      <c r="K3743" s="281">
        <f>+Tabla4[[#This Row],[Precio Unitario Neto]]*Tabla4[[#Headers],[20.85%]]</f>
        <v>1117.9446407999997</v>
      </c>
      <c r="L3743" s="282">
        <f>++Tabla4[[#This Row],[Precio Unitario Neto]]-Tabla4[[#This Row],[20.85%]]</f>
        <v>4243.9001591999995</v>
      </c>
      <c r="M3743" s="282" t="e">
        <f>(INDEX(Tabla6[#All],MATCH(Tabla4[[#This Row],[Producto]],Tabla6[[#All],[PRODUCTO]],0),MATCH(Tabla4[[#This Row],[Mes]],Tabla6[#Headers],0)))*(1+Catalogos!$L$2)</f>
        <v>#N/A</v>
      </c>
      <c r="N3743" s="283" t="e">
        <f>+(Tabla4[[#This Row],[Precio Descontado]]-Tabla4[[#This Row],[Precio Base]])*Tabla4[[#This Row],[Cantidad]]</f>
        <v>#N/A</v>
      </c>
      <c r="O3743" s="284" t="e">
        <f>++Tabla4[[#This Row],[Utilidad Total]]/Tabla4[[#This Row],[Total]]</f>
        <v>#N/A</v>
      </c>
      <c r="P3743" s="282">
        <f>++Tabla4[[#This Row],[Precio Descontado]]*Tabla4[[#This Row],[Cantidad]]</f>
        <v>12731.700477599999</v>
      </c>
      <c r="Q3743" s="282" t="e">
        <f>(INDEX(Tabla6[#All],MATCH(Tabla4[[#This Row],[Producto]],Tabla6[[#All],[PRODUCTO]],0),MATCH(Tabla4[[#This Row],[Mes]],Tabla6[#Headers],0)))</f>
        <v>#N/A</v>
      </c>
      <c r="R3743" s="282" t="e">
        <f>++Tabla4[[#This Row],[Precio Unitario Neto]]-Tabla4[[#This Row],[20.85%]]-Tabla4[[#This Row],[Costo]]</f>
        <v>#N/A</v>
      </c>
      <c r="S3743" s="282" t="e">
        <f>++Tabla4[[#This Row],[U. Bruta Uni]]*Tabla4[[#This Row],[Cantidad]]</f>
        <v>#N/A</v>
      </c>
      <c r="T3743" s="369" t="str">
        <f>VLOOKUP(Tabla4[[#This Row],[Producto]],Tabla6[#All],14,FALSE)</f>
        <v>Termico Solar</v>
      </c>
      <c r="U3743" s="284" t="e">
        <f>(IF(Tabla4[[#This Row],[Familia]]="termico solar",Tabla4[[#This Row],[Utilidad Total]]*6%,Tabla4[[#This Row],[Utilidad Total]]*11.5%))/Tabla4[[#This Row],[Total]]</f>
        <v>#N/A</v>
      </c>
      <c r="V3743" s="282" t="e">
        <f>+Tabla4[[#This Row],[Comisión Calculada]]*Tabla4[[#This Row],[Total]]</f>
        <v>#N/A</v>
      </c>
    </row>
    <row r="3744" spans="1:22" hidden="1" x14ac:dyDescent="0.25">
      <c r="A3744" s="100">
        <v>45838</v>
      </c>
      <c r="B3744" t="str">
        <f t="shared" si="173"/>
        <v>June</v>
      </c>
      <c r="C3744" s="46" t="s">
        <v>280</v>
      </c>
      <c r="F3744" s="366" t="s">
        <v>2150</v>
      </c>
      <c r="G3744" s="46" t="s">
        <v>18</v>
      </c>
      <c r="H3744" s="46">
        <v>1</v>
      </c>
      <c r="I3744" s="51">
        <v>5367.65</v>
      </c>
      <c r="J3744" s="281">
        <f>++Tabla4[[#This Row],[Precio Bruto]]*1.16</f>
        <v>6226.4739999999993</v>
      </c>
      <c r="K3744" s="281">
        <f>+Tabla4[[#This Row],[Precio Unitario Neto]]*Tabla4[[#Headers],[20.85%]]</f>
        <v>1298.2198289999999</v>
      </c>
      <c r="L3744" s="282">
        <f>++Tabla4[[#This Row],[Precio Unitario Neto]]-Tabla4[[#This Row],[20.85%]]</f>
        <v>4928.2541709999996</v>
      </c>
      <c r="M3744" s="282" t="e">
        <f>(INDEX(Tabla6[#All],MATCH(Tabla4[[#This Row],[Producto]],Tabla6[[#All],[PRODUCTO]],0),MATCH(Tabla4[[#This Row],[Mes]],Tabla6[#Headers],0)))*(1+Catalogos!$L$2)</f>
        <v>#N/A</v>
      </c>
      <c r="N3744" s="283" t="e">
        <f>+(Tabla4[[#This Row],[Precio Descontado]]-Tabla4[[#This Row],[Precio Base]])*Tabla4[[#This Row],[Cantidad]]</f>
        <v>#N/A</v>
      </c>
      <c r="O3744" s="284" t="e">
        <f>++Tabla4[[#This Row],[Utilidad Total]]/Tabla4[[#This Row],[Total]]</f>
        <v>#N/A</v>
      </c>
      <c r="P3744" s="282">
        <f>++Tabla4[[#This Row],[Precio Descontado]]*Tabla4[[#This Row],[Cantidad]]</f>
        <v>4928.2541709999996</v>
      </c>
      <c r="Q3744" s="282" t="e">
        <f>(INDEX(Tabla6[#All],MATCH(Tabla4[[#This Row],[Producto]],Tabla6[[#All],[PRODUCTO]],0),MATCH(Tabla4[[#This Row],[Mes]],Tabla6[#Headers],0)))</f>
        <v>#N/A</v>
      </c>
      <c r="R3744" s="282" t="e">
        <f>++Tabla4[[#This Row],[Precio Unitario Neto]]-Tabla4[[#This Row],[20.85%]]-Tabla4[[#This Row],[Costo]]</f>
        <v>#N/A</v>
      </c>
      <c r="S3744" s="282" t="e">
        <f>++Tabla4[[#This Row],[U. Bruta Uni]]*Tabla4[[#This Row],[Cantidad]]</f>
        <v>#N/A</v>
      </c>
      <c r="T3744" s="369" t="str">
        <f>VLOOKUP(Tabla4[[#This Row],[Producto]],Tabla6[#All],14,FALSE)</f>
        <v>Termico Solar</v>
      </c>
      <c r="U3744" s="284" t="e">
        <f>(IF(Tabla4[[#This Row],[Familia]]="termico solar",Tabla4[[#This Row],[Utilidad Total]]*6%,Tabla4[[#This Row],[Utilidad Total]]*11.5%))/Tabla4[[#This Row],[Total]]</f>
        <v>#N/A</v>
      </c>
      <c r="V3744" s="282" t="e">
        <f>+Tabla4[[#This Row],[Comisión Calculada]]*Tabla4[[#This Row],[Total]]</f>
        <v>#N/A</v>
      </c>
    </row>
    <row r="3745" spans="1:22" hidden="1" x14ac:dyDescent="0.25">
      <c r="A3745" s="100">
        <v>45838</v>
      </c>
      <c r="B3745" t="str">
        <f t="shared" si="173"/>
        <v>June</v>
      </c>
      <c r="C3745" s="46" t="s">
        <v>280</v>
      </c>
      <c r="F3745" s="366" t="s">
        <v>2150</v>
      </c>
      <c r="G3745" s="46" t="s">
        <v>566</v>
      </c>
      <c r="H3745" s="46">
        <v>1</v>
      </c>
      <c r="I3745" s="51">
        <v>2109.4499999999998</v>
      </c>
      <c r="J3745" s="281">
        <f>++Tabla4[[#This Row],[Precio Bruto]]*1.16</f>
        <v>2446.9619999999995</v>
      </c>
      <c r="K3745" s="281">
        <f>+Tabla4[[#This Row],[Precio Unitario Neto]]*Tabla4[[#Headers],[20.85%]]</f>
        <v>510.19157699999988</v>
      </c>
      <c r="L3745" s="282">
        <f>++Tabla4[[#This Row],[Precio Unitario Neto]]-Tabla4[[#This Row],[20.85%]]</f>
        <v>1936.7704229999997</v>
      </c>
      <c r="M3745" s="282" t="e">
        <f>(INDEX(Tabla6[#All],MATCH(Tabla4[[#This Row],[Producto]],Tabla6[[#All],[PRODUCTO]],0),MATCH(Tabla4[[#This Row],[Mes]],Tabla6[#Headers],0)))*(1+Catalogos!$L$2)</f>
        <v>#N/A</v>
      </c>
      <c r="N3745" s="283" t="e">
        <f>+(Tabla4[[#This Row],[Precio Descontado]]-Tabla4[[#This Row],[Precio Base]])*Tabla4[[#This Row],[Cantidad]]</f>
        <v>#N/A</v>
      </c>
      <c r="O3745" s="284" t="e">
        <f>++Tabla4[[#This Row],[Utilidad Total]]/Tabla4[[#This Row],[Total]]</f>
        <v>#N/A</v>
      </c>
      <c r="P3745" s="282">
        <f>++Tabla4[[#This Row],[Precio Descontado]]*Tabla4[[#This Row],[Cantidad]]</f>
        <v>1936.7704229999997</v>
      </c>
      <c r="Q3745" s="282" t="e">
        <f>(INDEX(Tabla6[#All],MATCH(Tabla4[[#This Row],[Producto]],Tabla6[[#All],[PRODUCTO]],0),MATCH(Tabla4[[#This Row],[Mes]],Tabla6[#Headers],0)))</f>
        <v>#N/A</v>
      </c>
      <c r="R3745" s="282" t="e">
        <f>++Tabla4[[#This Row],[Precio Unitario Neto]]-Tabla4[[#This Row],[20.85%]]-Tabla4[[#This Row],[Costo]]</f>
        <v>#N/A</v>
      </c>
      <c r="S3745" s="282" t="e">
        <f>++Tabla4[[#This Row],[U. Bruta Uni]]*Tabla4[[#This Row],[Cantidad]]</f>
        <v>#N/A</v>
      </c>
      <c r="T3745" s="369" t="str">
        <f>VLOOKUP(Tabla4[[#This Row],[Producto]],Tabla6[#All],14,FALSE)</f>
        <v>Termico Solar</v>
      </c>
      <c r="U3745" s="284" t="e">
        <f>(IF(Tabla4[[#This Row],[Familia]]="termico solar",Tabla4[[#This Row],[Utilidad Total]]*6%,Tabla4[[#This Row],[Utilidad Total]]*11.5%))/Tabla4[[#This Row],[Total]]</f>
        <v>#N/A</v>
      </c>
      <c r="V3745" s="282" t="e">
        <f>+Tabla4[[#This Row],[Comisión Calculada]]*Tabla4[[#This Row],[Total]]</f>
        <v>#N/A</v>
      </c>
    </row>
    <row r="3746" spans="1:22" hidden="1" x14ac:dyDescent="0.25">
      <c r="A3746" s="100">
        <v>45838</v>
      </c>
      <c r="B3746" t="str">
        <f t="shared" si="173"/>
        <v>June</v>
      </c>
      <c r="C3746" s="46" t="s">
        <v>280</v>
      </c>
      <c r="F3746" s="366" t="s">
        <v>2150</v>
      </c>
      <c r="G3746" s="46" t="s">
        <v>208</v>
      </c>
      <c r="H3746" s="46">
        <v>5</v>
      </c>
      <c r="I3746" s="51">
        <v>189.75</v>
      </c>
      <c r="J3746" s="281">
        <f>++Tabla4[[#This Row],[Precio Bruto]]*1.16</f>
        <v>220.10999999999999</v>
      </c>
      <c r="K3746" s="281">
        <f>+Tabla4[[#This Row],[Precio Unitario Neto]]*Tabla4[[#Headers],[20.85%]]</f>
        <v>45.892934999999994</v>
      </c>
      <c r="L3746" s="282">
        <f>++Tabla4[[#This Row],[Precio Unitario Neto]]-Tabla4[[#This Row],[20.85%]]</f>
        <v>174.21706499999999</v>
      </c>
      <c r="M3746" s="282" t="e">
        <f>(INDEX(Tabla6[#All],MATCH(Tabla4[[#This Row],[Producto]],Tabla6[[#All],[PRODUCTO]],0),MATCH(Tabla4[[#This Row],[Mes]],Tabla6[#Headers],0)))*(1+Catalogos!$L$2)</f>
        <v>#N/A</v>
      </c>
      <c r="N3746" s="283" t="e">
        <f>+(Tabla4[[#This Row],[Precio Descontado]]-Tabla4[[#This Row],[Precio Base]])*Tabla4[[#This Row],[Cantidad]]</f>
        <v>#N/A</v>
      </c>
      <c r="O3746" s="284" t="e">
        <f>++Tabla4[[#This Row],[Utilidad Total]]/Tabla4[[#This Row],[Total]]</f>
        <v>#N/A</v>
      </c>
      <c r="P3746" s="282">
        <f>++Tabla4[[#This Row],[Precio Descontado]]*Tabla4[[#This Row],[Cantidad]]</f>
        <v>871.08532500000001</v>
      </c>
      <c r="Q3746" s="282" t="e">
        <f>(INDEX(Tabla6[#All],MATCH(Tabla4[[#This Row],[Producto]],Tabla6[[#All],[PRODUCTO]],0),MATCH(Tabla4[[#This Row],[Mes]],Tabla6[#Headers],0)))</f>
        <v>#N/A</v>
      </c>
      <c r="R3746" s="282" t="e">
        <f>++Tabla4[[#This Row],[Precio Unitario Neto]]-Tabla4[[#This Row],[20.85%]]-Tabla4[[#This Row],[Costo]]</f>
        <v>#N/A</v>
      </c>
      <c r="S3746" s="282" t="e">
        <f>++Tabla4[[#This Row],[U. Bruta Uni]]*Tabla4[[#This Row],[Cantidad]]</f>
        <v>#N/A</v>
      </c>
      <c r="T3746" s="369" t="str">
        <f>VLOOKUP(Tabla4[[#This Row],[Producto]],Tabla6[#All],14,FALSE)</f>
        <v>Termico Solar</v>
      </c>
      <c r="U3746" s="284" t="e">
        <f>(IF(Tabla4[[#This Row],[Familia]]="termico solar",Tabla4[[#This Row],[Utilidad Total]]*6%,Tabla4[[#This Row],[Utilidad Total]]*11.5%))/Tabla4[[#This Row],[Total]]</f>
        <v>#N/A</v>
      </c>
      <c r="V3746" s="282" t="e">
        <f>+Tabla4[[#This Row],[Comisión Calculada]]*Tabla4[[#This Row],[Total]]</f>
        <v>#N/A</v>
      </c>
    </row>
    <row r="3747" spans="1:22" hidden="1" x14ac:dyDescent="0.25">
      <c r="A3747" s="100">
        <v>45838</v>
      </c>
      <c r="B3747" t="str">
        <f t="shared" si="173"/>
        <v>June</v>
      </c>
      <c r="C3747" s="46" t="s">
        <v>280</v>
      </c>
      <c r="F3747" s="366" t="s">
        <v>2151</v>
      </c>
      <c r="G3747" s="46" t="s">
        <v>83</v>
      </c>
      <c r="H3747" s="46">
        <v>1</v>
      </c>
      <c r="I3747" s="51">
        <v>8858.76</v>
      </c>
      <c r="J3747" s="281">
        <f>++Tabla4[[#This Row],[Precio Bruto]]*1.16</f>
        <v>10276.161599999999</v>
      </c>
      <c r="K3747" s="281">
        <f>+Tabla4[[#This Row],[Precio Unitario Neto]]*Tabla4[[#Headers],[20.85%]]</f>
        <v>2142.5796935999997</v>
      </c>
      <c r="L3747" s="282">
        <f>++Tabla4[[#This Row],[Precio Unitario Neto]]-Tabla4[[#This Row],[20.85%]]</f>
        <v>8133.5819063999998</v>
      </c>
      <c r="M3747" s="282" t="e">
        <f>(INDEX(Tabla6[#All],MATCH(Tabla4[[#This Row],[Producto]],Tabla6[[#All],[PRODUCTO]],0),MATCH(Tabla4[[#This Row],[Mes]],Tabla6[#Headers],0)))*(1+Catalogos!$L$2)</f>
        <v>#N/A</v>
      </c>
      <c r="N3747" s="283" t="e">
        <f>+(Tabla4[[#This Row],[Precio Descontado]]-Tabla4[[#This Row],[Precio Base]])*Tabla4[[#This Row],[Cantidad]]</f>
        <v>#N/A</v>
      </c>
      <c r="O3747" s="284" t="e">
        <f>++Tabla4[[#This Row],[Utilidad Total]]/Tabla4[[#This Row],[Total]]</f>
        <v>#N/A</v>
      </c>
      <c r="P3747" s="282">
        <f>++Tabla4[[#This Row],[Precio Descontado]]*Tabla4[[#This Row],[Cantidad]]</f>
        <v>8133.5819063999998</v>
      </c>
      <c r="Q3747" s="282" t="e">
        <f>(INDEX(Tabla6[#All],MATCH(Tabla4[[#This Row],[Producto]],Tabla6[[#All],[PRODUCTO]],0),MATCH(Tabla4[[#This Row],[Mes]],Tabla6[#Headers],0)))</f>
        <v>#N/A</v>
      </c>
      <c r="R3747" s="282" t="e">
        <f>++Tabla4[[#This Row],[Precio Unitario Neto]]-Tabla4[[#This Row],[20.85%]]-Tabla4[[#This Row],[Costo]]</f>
        <v>#N/A</v>
      </c>
      <c r="S3747" s="282" t="e">
        <f>++Tabla4[[#This Row],[U. Bruta Uni]]*Tabla4[[#This Row],[Cantidad]]</f>
        <v>#N/A</v>
      </c>
      <c r="T3747" s="369" t="str">
        <f>VLOOKUP(Tabla4[[#This Row],[Producto]],Tabla6[#All],14,FALSE)</f>
        <v>Termico Solar</v>
      </c>
      <c r="U3747" s="284" t="e">
        <f>(IF(Tabla4[[#This Row],[Familia]]="termico solar",Tabla4[[#This Row],[Utilidad Total]]*6%,Tabla4[[#This Row],[Utilidad Total]]*11.5%))/Tabla4[[#This Row],[Total]]</f>
        <v>#N/A</v>
      </c>
      <c r="V3747" s="282" t="e">
        <f>+Tabla4[[#This Row],[Comisión Calculada]]*Tabla4[[#This Row],[Total]]</f>
        <v>#N/A</v>
      </c>
    </row>
    <row r="3748" spans="1:22" hidden="1" x14ac:dyDescent="0.25">
      <c r="A3748" s="100">
        <v>45838</v>
      </c>
      <c r="B3748" t="str">
        <f t="shared" si="173"/>
        <v>June</v>
      </c>
      <c r="C3748" s="46" t="s">
        <v>280</v>
      </c>
      <c r="F3748" s="366" t="s">
        <v>2151</v>
      </c>
      <c r="G3748" s="46" t="s">
        <v>18</v>
      </c>
      <c r="H3748" s="46">
        <v>3</v>
      </c>
      <c r="I3748" s="51">
        <v>5367.6500000000005</v>
      </c>
      <c r="J3748" s="281">
        <f>++Tabla4[[#This Row],[Precio Bruto]]*1.16</f>
        <v>6226.4740000000002</v>
      </c>
      <c r="K3748" s="281">
        <f>+Tabla4[[#This Row],[Precio Unitario Neto]]*Tabla4[[#Headers],[20.85%]]</f>
        <v>1298.2198289999999</v>
      </c>
      <c r="L3748" s="282">
        <f>++Tabla4[[#This Row],[Precio Unitario Neto]]-Tabla4[[#This Row],[20.85%]]</f>
        <v>4928.2541710000005</v>
      </c>
      <c r="M3748" s="282" t="e">
        <f>(INDEX(Tabla6[#All],MATCH(Tabla4[[#This Row],[Producto]],Tabla6[[#All],[PRODUCTO]],0),MATCH(Tabla4[[#This Row],[Mes]],Tabla6[#Headers],0)))*(1+Catalogos!$L$2)</f>
        <v>#N/A</v>
      </c>
      <c r="N3748" s="283" t="e">
        <f>+(Tabla4[[#This Row],[Precio Descontado]]-Tabla4[[#This Row],[Precio Base]])*Tabla4[[#This Row],[Cantidad]]</f>
        <v>#N/A</v>
      </c>
      <c r="O3748" s="284" t="e">
        <f>++Tabla4[[#This Row],[Utilidad Total]]/Tabla4[[#This Row],[Total]]</f>
        <v>#N/A</v>
      </c>
      <c r="P3748" s="282">
        <f>++Tabla4[[#This Row],[Precio Descontado]]*Tabla4[[#This Row],[Cantidad]]</f>
        <v>14784.762513000001</v>
      </c>
      <c r="Q3748" s="282" t="e">
        <f>(INDEX(Tabla6[#All],MATCH(Tabla4[[#This Row],[Producto]],Tabla6[[#All],[PRODUCTO]],0),MATCH(Tabla4[[#This Row],[Mes]],Tabla6[#Headers],0)))</f>
        <v>#N/A</v>
      </c>
      <c r="R3748" s="282" t="e">
        <f>++Tabla4[[#This Row],[Precio Unitario Neto]]-Tabla4[[#This Row],[20.85%]]-Tabla4[[#This Row],[Costo]]</f>
        <v>#N/A</v>
      </c>
      <c r="S3748" s="282" t="e">
        <f>++Tabla4[[#This Row],[U. Bruta Uni]]*Tabla4[[#This Row],[Cantidad]]</f>
        <v>#N/A</v>
      </c>
      <c r="T3748" s="369" t="str">
        <f>VLOOKUP(Tabla4[[#This Row],[Producto]],Tabla6[#All],14,FALSE)</f>
        <v>Termico Solar</v>
      </c>
      <c r="U3748" s="284" t="e">
        <f>(IF(Tabla4[[#This Row],[Familia]]="termico solar",Tabla4[[#This Row],[Utilidad Total]]*6%,Tabla4[[#This Row],[Utilidad Total]]*11.5%))/Tabla4[[#This Row],[Total]]</f>
        <v>#N/A</v>
      </c>
      <c r="V3748" s="282" t="e">
        <f>+Tabla4[[#This Row],[Comisión Calculada]]*Tabla4[[#This Row],[Total]]</f>
        <v>#N/A</v>
      </c>
    </row>
    <row r="3749" spans="1:22" hidden="1" x14ac:dyDescent="0.25">
      <c r="A3749" s="100">
        <v>45838</v>
      </c>
      <c r="B3749" t="str">
        <f t="shared" si="173"/>
        <v>June</v>
      </c>
      <c r="C3749" s="46" t="s">
        <v>280</v>
      </c>
      <c r="F3749" s="366" t="s">
        <v>2151</v>
      </c>
      <c r="G3749" s="46" t="s">
        <v>566</v>
      </c>
      <c r="H3749" s="46">
        <v>1</v>
      </c>
      <c r="I3749" s="51">
        <v>2109.4499999999998</v>
      </c>
      <c r="J3749" s="281">
        <f>++Tabla4[[#This Row],[Precio Bruto]]*1.16</f>
        <v>2446.9619999999995</v>
      </c>
      <c r="K3749" s="281">
        <f>+Tabla4[[#This Row],[Precio Unitario Neto]]*Tabla4[[#Headers],[20.85%]]</f>
        <v>510.19157699999988</v>
      </c>
      <c r="L3749" s="282">
        <f>++Tabla4[[#This Row],[Precio Unitario Neto]]-Tabla4[[#This Row],[20.85%]]</f>
        <v>1936.7704229999997</v>
      </c>
      <c r="M3749" s="282" t="e">
        <f>(INDEX(Tabla6[#All],MATCH(Tabla4[[#This Row],[Producto]],Tabla6[[#All],[PRODUCTO]],0),MATCH(Tabla4[[#This Row],[Mes]],Tabla6[#Headers],0)))*(1+Catalogos!$L$2)</f>
        <v>#N/A</v>
      </c>
      <c r="N3749" s="283" t="e">
        <f>+(Tabla4[[#This Row],[Precio Descontado]]-Tabla4[[#This Row],[Precio Base]])*Tabla4[[#This Row],[Cantidad]]</f>
        <v>#N/A</v>
      </c>
      <c r="O3749" s="284" t="e">
        <f>++Tabla4[[#This Row],[Utilidad Total]]/Tabla4[[#This Row],[Total]]</f>
        <v>#N/A</v>
      </c>
      <c r="P3749" s="282">
        <f>++Tabla4[[#This Row],[Precio Descontado]]*Tabla4[[#This Row],[Cantidad]]</f>
        <v>1936.7704229999997</v>
      </c>
      <c r="Q3749" s="282" t="e">
        <f>(INDEX(Tabla6[#All],MATCH(Tabla4[[#This Row],[Producto]],Tabla6[[#All],[PRODUCTO]],0),MATCH(Tabla4[[#This Row],[Mes]],Tabla6[#Headers],0)))</f>
        <v>#N/A</v>
      </c>
      <c r="R3749" s="282" t="e">
        <f>++Tabla4[[#This Row],[Precio Unitario Neto]]-Tabla4[[#This Row],[20.85%]]-Tabla4[[#This Row],[Costo]]</f>
        <v>#N/A</v>
      </c>
      <c r="S3749" s="282" t="e">
        <f>++Tabla4[[#This Row],[U. Bruta Uni]]*Tabla4[[#This Row],[Cantidad]]</f>
        <v>#N/A</v>
      </c>
      <c r="T3749" s="369" t="str">
        <f>VLOOKUP(Tabla4[[#This Row],[Producto]],Tabla6[#All],14,FALSE)</f>
        <v>Termico Solar</v>
      </c>
      <c r="U3749" s="284" t="e">
        <f>(IF(Tabla4[[#This Row],[Familia]]="termico solar",Tabla4[[#This Row],[Utilidad Total]]*6%,Tabla4[[#This Row],[Utilidad Total]]*11.5%))/Tabla4[[#This Row],[Total]]</f>
        <v>#N/A</v>
      </c>
      <c r="V3749" s="282" t="e">
        <f>+Tabla4[[#This Row],[Comisión Calculada]]*Tabla4[[#This Row],[Total]]</f>
        <v>#N/A</v>
      </c>
    </row>
    <row r="3750" spans="1:22" hidden="1" x14ac:dyDescent="0.25">
      <c r="A3750" s="100">
        <v>45838</v>
      </c>
      <c r="B3750" t="str">
        <f t="shared" si="173"/>
        <v>June</v>
      </c>
      <c r="C3750" s="46" t="s">
        <v>280</v>
      </c>
      <c r="F3750" s="366" t="s">
        <v>2152</v>
      </c>
      <c r="G3750" s="46" t="s">
        <v>17</v>
      </c>
      <c r="H3750" s="46">
        <v>3</v>
      </c>
      <c r="I3750" s="51">
        <v>4622.28</v>
      </c>
      <c r="J3750" s="281">
        <f>++Tabla4[[#This Row],[Precio Bruto]]*1.16</f>
        <v>5361.8447999999989</v>
      </c>
      <c r="K3750" s="281">
        <f>+Tabla4[[#This Row],[Precio Unitario Neto]]*Tabla4[[#Headers],[20.85%]]</f>
        <v>1117.9446407999997</v>
      </c>
      <c r="L3750" s="282">
        <f>++Tabla4[[#This Row],[Precio Unitario Neto]]-Tabla4[[#This Row],[20.85%]]</f>
        <v>4243.9001591999995</v>
      </c>
      <c r="M3750" s="282" t="e">
        <f>(INDEX(Tabla6[#All],MATCH(Tabla4[[#This Row],[Producto]],Tabla6[[#All],[PRODUCTO]],0),MATCH(Tabla4[[#This Row],[Mes]],Tabla6[#Headers],0)))*(1+Catalogos!$L$2)</f>
        <v>#N/A</v>
      </c>
      <c r="N3750" s="283" t="e">
        <f>+(Tabla4[[#This Row],[Precio Descontado]]-Tabla4[[#This Row],[Precio Base]])*Tabla4[[#This Row],[Cantidad]]</f>
        <v>#N/A</v>
      </c>
      <c r="O3750" s="284" t="e">
        <f>++Tabla4[[#This Row],[Utilidad Total]]/Tabla4[[#This Row],[Total]]</f>
        <v>#N/A</v>
      </c>
      <c r="P3750" s="282">
        <f>++Tabla4[[#This Row],[Precio Descontado]]*Tabla4[[#This Row],[Cantidad]]</f>
        <v>12731.700477599999</v>
      </c>
      <c r="Q3750" s="282" t="e">
        <f>(INDEX(Tabla6[#All],MATCH(Tabla4[[#This Row],[Producto]],Tabla6[[#All],[PRODUCTO]],0),MATCH(Tabla4[[#This Row],[Mes]],Tabla6[#Headers],0)))</f>
        <v>#N/A</v>
      </c>
      <c r="R3750" s="282" t="e">
        <f>++Tabla4[[#This Row],[Precio Unitario Neto]]-Tabla4[[#This Row],[20.85%]]-Tabla4[[#This Row],[Costo]]</f>
        <v>#N/A</v>
      </c>
      <c r="S3750" s="282" t="e">
        <f>++Tabla4[[#This Row],[U. Bruta Uni]]*Tabla4[[#This Row],[Cantidad]]</f>
        <v>#N/A</v>
      </c>
      <c r="T3750" s="369" t="str">
        <f>VLOOKUP(Tabla4[[#This Row],[Producto]],Tabla6[#All],14,FALSE)</f>
        <v>Termico Solar</v>
      </c>
      <c r="U3750" s="284" t="e">
        <f>(IF(Tabla4[[#This Row],[Familia]]="termico solar",Tabla4[[#This Row],[Utilidad Total]]*6%,Tabla4[[#This Row],[Utilidad Total]]*11.5%))/Tabla4[[#This Row],[Total]]</f>
        <v>#N/A</v>
      </c>
      <c r="V3750" s="282" t="e">
        <f>+Tabla4[[#This Row],[Comisión Calculada]]*Tabla4[[#This Row],[Total]]</f>
        <v>#N/A</v>
      </c>
    </row>
    <row r="3751" spans="1:22" hidden="1" x14ac:dyDescent="0.25">
      <c r="A3751" s="100">
        <v>45838</v>
      </c>
      <c r="B3751" t="str">
        <f t="shared" si="173"/>
        <v>June</v>
      </c>
      <c r="C3751" s="46" t="s">
        <v>280</v>
      </c>
      <c r="F3751" s="366" t="s">
        <v>2152</v>
      </c>
      <c r="G3751" s="46" t="s">
        <v>19</v>
      </c>
      <c r="H3751" s="46">
        <v>1</v>
      </c>
      <c r="I3751" s="51">
        <v>6412.03</v>
      </c>
      <c r="J3751" s="281">
        <f>++Tabla4[[#This Row],[Precio Bruto]]*1.16</f>
        <v>7437.9547999999995</v>
      </c>
      <c r="K3751" s="281">
        <f>+Tabla4[[#This Row],[Precio Unitario Neto]]*Tabla4[[#Headers],[20.85%]]</f>
        <v>1550.8135757999999</v>
      </c>
      <c r="L3751" s="282">
        <f>++Tabla4[[#This Row],[Precio Unitario Neto]]-Tabla4[[#This Row],[20.85%]]</f>
        <v>5887.1412241999997</v>
      </c>
      <c r="M3751" s="282" t="e">
        <f>(INDEX(Tabla6[#All],MATCH(Tabla4[[#This Row],[Producto]],Tabla6[[#All],[PRODUCTO]],0),MATCH(Tabla4[[#This Row],[Mes]],Tabla6[#Headers],0)))*(1+Catalogos!$L$2)</f>
        <v>#N/A</v>
      </c>
      <c r="N3751" s="283" t="e">
        <f>+(Tabla4[[#This Row],[Precio Descontado]]-Tabla4[[#This Row],[Precio Base]])*Tabla4[[#This Row],[Cantidad]]</f>
        <v>#N/A</v>
      </c>
      <c r="O3751" s="284" t="e">
        <f>++Tabla4[[#This Row],[Utilidad Total]]/Tabla4[[#This Row],[Total]]</f>
        <v>#N/A</v>
      </c>
      <c r="P3751" s="282">
        <f>++Tabla4[[#This Row],[Precio Descontado]]*Tabla4[[#This Row],[Cantidad]]</f>
        <v>5887.1412241999997</v>
      </c>
      <c r="Q3751" s="282" t="e">
        <f>(INDEX(Tabla6[#All],MATCH(Tabla4[[#This Row],[Producto]],Tabla6[[#All],[PRODUCTO]],0),MATCH(Tabla4[[#This Row],[Mes]],Tabla6[#Headers],0)))</f>
        <v>#N/A</v>
      </c>
      <c r="R3751" s="282" t="e">
        <f>++Tabla4[[#This Row],[Precio Unitario Neto]]-Tabla4[[#This Row],[20.85%]]-Tabla4[[#This Row],[Costo]]</f>
        <v>#N/A</v>
      </c>
      <c r="S3751" s="282" t="e">
        <f>++Tabla4[[#This Row],[U. Bruta Uni]]*Tabla4[[#This Row],[Cantidad]]</f>
        <v>#N/A</v>
      </c>
      <c r="T3751" s="369" t="str">
        <f>VLOOKUP(Tabla4[[#This Row],[Producto]],Tabla6[#All],14,FALSE)</f>
        <v>Termico Solar</v>
      </c>
      <c r="U3751" s="284" t="e">
        <f>(IF(Tabla4[[#This Row],[Familia]]="termico solar",Tabla4[[#This Row],[Utilidad Total]]*6%,Tabla4[[#This Row],[Utilidad Total]]*11.5%))/Tabla4[[#This Row],[Total]]</f>
        <v>#N/A</v>
      </c>
      <c r="V3751" s="282" t="e">
        <f>+Tabla4[[#This Row],[Comisión Calculada]]*Tabla4[[#This Row],[Total]]</f>
        <v>#N/A</v>
      </c>
    </row>
    <row r="3752" spans="1:22" hidden="1" x14ac:dyDescent="0.25">
      <c r="A3752" s="100">
        <v>45838</v>
      </c>
      <c r="B3752" t="str">
        <f t="shared" si="173"/>
        <v>June</v>
      </c>
      <c r="C3752" s="46" t="s">
        <v>280</v>
      </c>
      <c r="F3752" s="366" t="s">
        <v>2152</v>
      </c>
      <c r="G3752" s="46" t="s">
        <v>208</v>
      </c>
      <c r="H3752" s="46">
        <v>1</v>
      </c>
      <c r="I3752" s="51">
        <v>189.75</v>
      </c>
      <c r="J3752" s="281">
        <f>++Tabla4[[#This Row],[Precio Bruto]]*1.16</f>
        <v>220.10999999999999</v>
      </c>
      <c r="K3752" s="281">
        <f>+Tabla4[[#This Row],[Precio Unitario Neto]]*Tabla4[[#Headers],[20.85%]]</f>
        <v>45.892934999999994</v>
      </c>
      <c r="L3752" s="282">
        <f>++Tabla4[[#This Row],[Precio Unitario Neto]]-Tabla4[[#This Row],[20.85%]]</f>
        <v>174.21706499999999</v>
      </c>
      <c r="M3752" s="282" t="e">
        <f>(INDEX(Tabla6[#All],MATCH(Tabla4[[#This Row],[Producto]],Tabla6[[#All],[PRODUCTO]],0),MATCH(Tabla4[[#This Row],[Mes]],Tabla6[#Headers],0)))*(1+Catalogos!$L$2)</f>
        <v>#N/A</v>
      </c>
      <c r="N3752" s="283" t="e">
        <f>+(Tabla4[[#This Row],[Precio Descontado]]-Tabla4[[#This Row],[Precio Base]])*Tabla4[[#This Row],[Cantidad]]</f>
        <v>#N/A</v>
      </c>
      <c r="O3752" s="284" t="e">
        <f>++Tabla4[[#This Row],[Utilidad Total]]/Tabla4[[#This Row],[Total]]</f>
        <v>#N/A</v>
      </c>
      <c r="P3752" s="282">
        <f>++Tabla4[[#This Row],[Precio Descontado]]*Tabla4[[#This Row],[Cantidad]]</f>
        <v>174.21706499999999</v>
      </c>
      <c r="Q3752" s="282" t="e">
        <f>(INDEX(Tabla6[#All],MATCH(Tabla4[[#This Row],[Producto]],Tabla6[[#All],[PRODUCTO]],0),MATCH(Tabla4[[#This Row],[Mes]],Tabla6[#Headers],0)))</f>
        <v>#N/A</v>
      </c>
      <c r="R3752" s="282" t="e">
        <f>++Tabla4[[#This Row],[Precio Unitario Neto]]-Tabla4[[#This Row],[20.85%]]-Tabla4[[#This Row],[Costo]]</f>
        <v>#N/A</v>
      </c>
      <c r="S3752" s="282" t="e">
        <f>++Tabla4[[#This Row],[U. Bruta Uni]]*Tabla4[[#This Row],[Cantidad]]</f>
        <v>#N/A</v>
      </c>
      <c r="T3752" s="369" t="str">
        <f>VLOOKUP(Tabla4[[#This Row],[Producto]],Tabla6[#All],14,FALSE)</f>
        <v>Termico Solar</v>
      </c>
      <c r="U3752" s="284" t="e">
        <f>(IF(Tabla4[[#This Row],[Familia]]="termico solar",Tabla4[[#This Row],[Utilidad Total]]*6%,Tabla4[[#This Row],[Utilidad Total]]*11.5%))/Tabla4[[#This Row],[Total]]</f>
        <v>#N/A</v>
      </c>
      <c r="V3752" s="282" t="e">
        <f>+Tabla4[[#This Row],[Comisión Calculada]]*Tabla4[[#This Row],[Total]]</f>
        <v>#N/A</v>
      </c>
    </row>
    <row r="3753" spans="1:22" hidden="1" x14ac:dyDescent="0.25">
      <c r="A3753" s="100">
        <v>45838</v>
      </c>
      <c r="B3753" t="str">
        <f t="shared" ref="B3753:B3758" si="174">TEXT(A3753, "mmmm")</f>
        <v>June</v>
      </c>
      <c r="C3753" s="46" t="s">
        <v>280</v>
      </c>
      <c r="F3753" s="366" t="s">
        <v>2153</v>
      </c>
      <c r="G3753" s="46" t="s">
        <v>83</v>
      </c>
      <c r="H3753" s="46">
        <v>2</v>
      </c>
      <c r="I3753" s="51">
        <v>8858.76</v>
      </c>
      <c r="J3753" s="281">
        <f>++Tabla4[[#This Row],[Precio Bruto]]*1.16</f>
        <v>10276.161599999999</v>
      </c>
      <c r="K3753" s="281">
        <f>+Tabla4[[#This Row],[Precio Unitario Neto]]*Tabla4[[#Headers],[20.85%]]</f>
        <v>2142.5796935999997</v>
      </c>
      <c r="L3753" s="282">
        <f>++Tabla4[[#This Row],[Precio Unitario Neto]]-Tabla4[[#This Row],[20.85%]]</f>
        <v>8133.5819063999998</v>
      </c>
      <c r="M3753" s="282" t="e">
        <f>(INDEX(Tabla6[#All],MATCH(Tabla4[[#This Row],[Producto]],Tabla6[[#All],[PRODUCTO]],0),MATCH(Tabla4[[#This Row],[Mes]],Tabla6[#Headers],0)))*(1+Catalogos!$L$2)</f>
        <v>#N/A</v>
      </c>
      <c r="N3753" s="283" t="e">
        <f>+(Tabla4[[#This Row],[Precio Descontado]]-Tabla4[[#This Row],[Precio Base]])*Tabla4[[#This Row],[Cantidad]]</f>
        <v>#N/A</v>
      </c>
      <c r="O3753" s="284" t="e">
        <f>++Tabla4[[#This Row],[Utilidad Total]]/Tabla4[[#This Row],[Total]]</f>
        <v>#N/A</v>
      </c>
      <c r="P3753" s="282">
        <f>++Tabla4[[#This Row],[Precio Descontado]]*Tabla4[[#This Row],[Cantidad]]</f>
        <v>16267.1638128</v>
      </c>
      <c r="Q3753" s="282" t="e">
        <f>(INDEX(Tabla6[#All],MATCH(Tabla4[[#This Row],[Producto]],Tabla6[[#All],[PRODUCTO]],0),MATCH(Tabla4[[#This Row],[Mes]],Tabla6[#Headers],0)))</f>
        <v>#N/A</v>
      </c>
      <c r="R3753" s="282" t="e">
        <f>++Tabla4[[#This Row],[Precio Unitario Neto]]-Tabla4[[#This Row],[20.85%]]-Tabla4[[#This Row],[Costo]]</f>
        <v>#N/A</v>
      </c>
      <c r="S3753" s="282" t="e">
        <f>++Tabla4[[#This Row],[U. Bruta Uni]]*Tabla4[[#This Row],[Cantidad]]</f>
        <v>#N/A</v>
      </c>
      <c r="T3753" s="369" t="str">
        <f>VLOOKUP(Tabla4[[#This Row],[Producto]],Tabla6[#All],14,FALSE)</f>
        <v>Termico Solar</v>
      </c>
      <c r="U3753" s="284" t="e">
        <f>(IF(Tabla4[[#This Row],[Familia]]="termico solar",Tabla4[[#This Row],[Utilidad Total]]*6%,Tabla4[[#This Row],[Utilidad Total]]*11.5%))/Tabla4[[#This Row],[Total]]</f>
        <v>#N/A</v>
      </c>
      <c r="V3753" s="282" t="e">
        <f>+Tabla4[[#This Row],[Comisión Calculada]]*Tabla4[[#This Row],[Total]]</f>
        <v>#N/A</v>
      </c>
    </row>
    <row r="3754" spans="1:22" hidden="1" x14ac:dyDescent="0.25">
      <c r="A3754" s="100">
        <v>45838</v>
      </c>
      <c r="B3754" t="str">
        <f t="shared" si="174"/>
        <v>June</v>
      </c>
      <c r="C3754" s="46" t="s">
        <v>280</v>
      </c>
      <c r="F3754" s="366" t="s">
        <v>2153</v>
      </c>
      <c r="G3754" s="46" t="s">
        <v>17</v>
      </c>
      <c r="H3754" s="46">
        <v>3</v>
      </c>
      <c r="I3754" s="51">
        <v>4622.28</v>
      </c>
      <c r="J3754" s="281">
        <f>++Tabla4[[#This Row],[Precio Bruto]]*1.16</f>
        <v>5361.8447999999989</v>
      </c>
      <c r="K3754" s="281">
        <f>+Tabla4[[#This Row],[Precio Unitario Neto]]*Tabla4[[#Headers],[20.85%]]</f>
        <v>1117.9446407999997</v>
      </c>
      <c r="L3754" s="282">
        <f>++Tabla4[[#This Row],[Precio Unitario Neto]]-Tabla4[[#This Row],[20.85%]]</f>
        <v>4243.9001591999995</v>
      </c>
      <c r="M3754" s="282" t="e">
        <f>(INDEX(Tabla6[#All],MATCH(Tabla4[[#This Row],[Producto]],Tabla6[[#All],[PRODUCTO]],0),MATCH(Tabla4[[#This Row],[Mes]],Tabla6[#Headers],0)))*(1+Catalogos!$L$2)</f>
        <v>#N/A</v>
      </c>
      <c r="N3754" s="283" t="e">
        <f>+(Tabla4[[#This Row],[Precio Descontado]]-Tabla4[[#This Row],[Precio Base]])*Tabla4[[#This Row],[Cantidad]]</f>
        <v>#N/A</v>
      </c>
      <c r="O3754" s="284" t="e">
        <f>++Tabla4[[#This Row],[Utilidad Total]]/Tabla4[[#This Row],[Total]]</f>
        <v>#N/A</v>
      </c>
      <c r="P3754" s="282">
        <f>++Tabla4[[#This Row],[Precio Descontado]]*Tabla4[[#This Row],[Cantidad]]</f>
        <v>12731.700477599999</v>
      </c>
      <c r="Q3754" s="282" t="e">
        <f>(INDEX(Tabla6[#All],MATCH(Tabla4[[#This Row],[Producto]],Tabla6[[#All],[PRODUCTO]],0),MATCH(Tabla4[[#This Row],[Mes]],Tabla6[#Headers],0)))</f>
        <v>#N/A</v>
      </c>
      <c r="R3754" s="282" t="e">
        <f>++Tabla4[[#This Row],[Precio Unitario Neto]]-Tabla4[[#This Row],[20.85%]]-Tabla4[[#This Row],[Costo]]</f>
        <v>#N/A</v>
      </c>
      <c r="S3754" s="282" t="e">
        <f>++Tabla4[[#This Row],[U. Bruta Uni]]*Tabla4[[#This Row],[Cantidad]]</f>
        <v>#N/A</v>
      </c>
      <c r="T3754" s="369" t="str">
        <f>VLOOKUP(Tabla4[[#This Row],[Producto]],Tabla6[#All],14,FALSE)</f>
        <v>Termico Solar</v>
      </c>
      <c r="U3754" s="284" t="e">
        <f>(IF(Tabla4[[#This Row],[Familia]]="termico solar",Tabla4[[#This Row],[Utilidad Total]]*6%,Tabla4[[#This Row],[Utilidad Total]]*11.5%))/Tabla4[[#This Row],[Total]]</f>
        <v>#N/A</v>
      </c>
      <c r="V3754" s="282" t="e">
        <f>+Tabla4[[#This Row],[Comisión Calculada]]*Tabla4[[#This Row],[Total]]</f>
        <v>#N/A</v>
      </c>
    </row>
    <row r="3755" spans="1:22" hidden="1" x14ac:dyDescent="0.25">
      <c r="A3755" s="100">
        <v>45838</v>
      </c>
      <c r="B3755" t="str">
        <f t="shared" si="174"/>
        <v>June</v>
      </c>
      <c r="C3755" s="46" t="s">
        <v>280</v>
      </c>
      <c r="F3755" s="366" t="s">
        <v>2153</v>
      </c>
      <c r="G3755" s="46" t="s">
        <v>18</v>
      </c>
      <c r="H3755" s="46">
        <v>1</v>
      </c>
      <c r="I3755" s="51">
        <v>5367.65</v>
      </c>
      <c r="J3755" s="281">
        <f>++Tabla4[[#This Row],[Precio Bruto]]*1.16</f>
        <v>6226.4739999999993</v>
      </c>
      <c r="K3755" s="281">
        <f>+Tabla4[[#This Row],[Precio Unitario Neto]]*Tabla4[[#Headers],[20.85%]]</f>
        <v>1298.2198289999999</v>
      </c>
      <c r="L3755" s="282">
        <f>++Tabla4[[#This Row],[Precio Unitario Neto]]-Tabla4[[#This Row],[20.85%]]</f>
        <v>4928.2541709999996</v>
      </c>
      <c r="M3755" s="282" t="e">
        <f>(INDEX(Tabla6[#All],MATCH(Tabla4[[#This Row],[Producto]],Tabla6[[#All],[PRODUCTO]],0),MATCH(Tabla4[[#This Row],[Mes]],Tabla6[#Headers],0)))*(1+Catalogos!$L$2)</f>
        <v>#N/A</v>
      </c>
      <c r="N3755" s="283" t="e">
        <f>+(Tabla4[[#This Row],[Precio Descontado]]-Tabla4[[#This Row],[Precio Base]])*Tabla4[[#This Row],[Cantidad]]</f>
        <v>#N/A</v>
      </c>
      <c r="O3755" s="284" t="e">
        <f>++Tabla4[[#This Row],[Utilidad Total]]/Tabla4[[#This Row],[Total]]</f>
        <v>#N/A</v>
      </c>
      <c r="P3755" s="282">
        <f>++Tabla4[[#This Row],[Precio Descontado]]*Tabla4[[#This Row],[Cantidad]]</f>
        <v>4928.2541709999996</v>
      </c>
      <c r="Q3755" s="282" t="e">
        <f>(INDEX(Tabla6[#All],MATCH(Tabla4[[#This Row],[Producto]],Tabla6[[#All],[PRODUCTO]],0),MATCH(Tabla4[[#This Row],[Mes]],Tabla6[#Headers],0)))</f>
        <v>#N/A</v>
      </c>
      <c r="R3755" s="282" t="e">
        <f>++Tabla4[[#This Row],[Precio Unitario Neto]]-Tabla4[[#This Row],[20.85%]]-Tabla4[[#This Row],[Costo]]</f>
        <v>#N/A</v>
      </c>
      <c r="S3755" s="282" t="e">
        <f>++Tabla4[[#This Row],[U. Bruta Uni]]*Tabla4[[#This Row],[Cantidad]]</f>
        <v>#N/A</v>
      </c>
      <c r="T3755" s="369" t="str">
        <f>VLOOKUP(Tabla4[[#This Row],[Producto]],Tabla6[#All],14,FALSE)</f>
        <v>Termico Solar</v>
      </c>
      <c r="U3755" s="284" t="e">
        <f>(IF(Tabla4[[#This Row],[Familia]]="termico solar",Tabla4[[#This Row],[Utilidad Total]]*6%,Tabla4[[#This Row],[Utilidad Total]]*11.5%))/Tabla4[[#This Row],[Total]]</f>
        <v>#N/A</v>
      </c>
      <c r="V3755" s="282" t="e">
        <f>+Tabla4[[#This Row],[Comisión Calculada]]*Tabla4[[#This Row],[Total]]</f>
        <v>#N/A</v>
      </c>
    </row>
    <row r="3756" spans="1:22" hidden="1" x14ac:dyDescent="0.25">
      <c r="A3756" s="100">
        <v>45838</v>
      </c>
      <c r="B3756" t="str">
        <f t="shared" si="174"/>
        <v>June</v>
      </c>
      <c r="C3756" s="46" t="s">
        <v>280</v>
      </c>
      <c r="F3756" s="366" t="s">
        <v>2153</v>
      </c>
      <c r="G3756" s="46" t="s">
        <v>566</v>
      </c>
      <c r="H3756" s="46">
        <v>1</v>
      </c>
      <c r="I3756" s="51">
        <v>2109.4499999999998</v>
      </c>
      <c r="J3756" s="281">
        <f>++Tabla4[[#This Row],[Precio Bruto]]*1.16</f>
        <v>2446.9619999999995</v>
      </c>
      <c r="K3756" s="281">
        <f>+Tabla4[[#This Row],[Precio Unitario Neto]]*Tabla4[[#Headers],[20.85%]]</f>
        <v>510.19157699999988</v>
      </c>
      <c r="L3756" s="282">
        <f>++Tabla4[[#This Row],[Precio Unitario Neto]]-Tabla4[[#This Row],[20.85%]]</f>
        <v>1936.7704229999997</v>
      </c>
      <c r="M3756" s="282" t="e">
        <f>(INDEX(Tabla6[#All],MATCH(Tabla4[[#This Row],[Producto]],Tabla6[[#All],[PRODUCTO]],0),MATCH(Tabla4[[#This Row],[Mes]],Tabla6[#Headers],0)))*(1+Catalogos!$L$2)</f>
        <v>#N/A</v>
      </c>
      <c r="N3756" s="283" t="e">
        <f>+(Tabla4[[#This Row],[Precio Descontado]]-Tabla4[[#This Row],[Precio Base]])*Tabla4[[#This Row],[Cantidad]]</f>
        <v>#N/A</v>
      </c>
      <c r="O3756" s="284" t="e">
        <f>++Tabla4[[#This Row],[Utilidad Total]]/Tabla4[[#This Row],[Total]]</f>
        <v>#N/A</v>
      </c>
      <c r="P3756" s="282">
        <f>++Tabla4[[#This Row],[Precio Descontado]]*Tabla4[[#This Row],[Cantidad]]</f>
        <v>1936.7704229999997</v>
      </c>
      <c r="Q3756" s="282" t="e">
        <f>(INDEX(Tabla6[#All],MATCH(Tabla4[[#This Row],[Producto]],Tabla6[[#All],[PRODUCTO]],0),MATCH(Tabla4[[#This Row],[Mes]],Tabla6[#Headers],0)))</f>
        <v>#N/A</v>
      </c>
      <c r="R3756" s="282" t="e">
        <f>++Tabla4[[#This Row],[Precio Unitario Neto]]-Tabla4[[#This Row],[20.85%]]-Tabla4[[#This Row],[Costo]]</f>
        <v>#N/A</v>
      </c>
      <c r="S3756" s="282" t="e">
        <f>++Tabla4[[#This Row],[U. Bruta Uni]]*Tabla4[[#This Row],[Cantidad]]</f>
        <v>#N/A</v>
      </c>
      <c r="T3756" s="369" t="str">
        <f>VLOOKUP(Tabla4[[#This Row],[Producto]],Tabla6[#All],14,FALSE)</f>
        <v>Termico Solar</v>
      </c>
      <c r="U3756" s="284" t="e">
        <f>(IF(Tabla4[[#This Row],[Familia]]="termico solar",Tabla4[[#This Row],[Utilidad Total]]*6%,Tabla4[[#This Row],[Utilidad Total]]*11.5%))/Tabla4[[#This Row],[Total]]</f>
        <v>#N/A</v>
      </c>
      <c r="V3756" s="282" t="e">
        <f>+Tabla4[[#This Row],[Comisión Calculada]]*Tabla4[[#This Row],[Total]]</f>
        <v>#N/A</v>
      </c>
    </row>
    <row r="3757" spans="1:22" hidden="1" x14ac:dyDescent="0.25">
      <c r="A3757" s="100">
        <v>45838</v>
      </c>
      <c r="B3757" t="str">
        <f t="shared" si="174"/>
        <v>June</v>
      </c>
      <c r="C3757" s="46" t="s">
        <v>280</v>
      </c>
      <c r="F3757" s="366" t="s">
        <v>2153</v>
      </c>
      <c r="G3757" s="46" t="s">
        <v>16</v>
      </c>
      <c r="H3757" s="46">
        <v>1</v>
      </c>
      <c r="I3757" s="51">
        <v>4103.8500000000004</v>
      </c>
      <c r="J3757" s="281">
        <f>++Tabla4[[#This Row],[Precio Bruto]]*1.16</f>
        <v>4760.4660000000003</v>
      </c>
      <c r="K3757" s="281">
        <f>+Tabla4[[#This Row],[Precio Unitario Neto]]*Tabla4[[#Headers],[20.85%]]</f>
        <v>992.55716100000006</v>
      </c>
      <c r="L3757" s="282">
        <f>++Tabla4[[#This Row],[Precio Unitario Neto]]-Tabla4[[#This Row],[20.85%]]</f>
        <v>3767.9088390000002</v>
      </c>
      <c r="M3757" s="282" t="e">
        <f>(INDEX(Tabla6[#All],MATCH(Tabla4[[#This Row],[Producto]],Tabla6[[#All],[PRODUCTO]],0),MATCH(Tabla4[[#This Row],[Mes]],Tabla6[#Headers],0)))*(1+Catalogos!$L$2)</f>
        <v>#N/A</v>
      </c>
      <c r="N3757" s="283" t="e">
        <f>+(Tabla4[[#This Row],[Precio Descontado]]-Tabla4[[#This Row],[Precio Base]])*Tabla4[[#This Row],[Cantidad]]</f>
        <v>#N/A</v>
      </c>
      <c r="O3757" s="284" t="e">
        <f>++Tabla4[[#This Row],[Utilidad Total]]/Tabla4[[#This Row],[Total]]</f>
        <v>#N/A</v>
      </c>
      <c r="P3757" s="282">
        <f>++Tabla4[[#This Row],[Precio Descontado]]*Tabla4[[#This Row],[Cantidad]]</f>
        <v>3767.9088390000002</v>
      </c>
      <c r="Q3757" s="282" t="e">
        <f>(INDEX(Tabla6[#All],MATCH(Tabla4[[#This Row],[Producto]],Tabla6[[#All],[PRODUCTO]],0),MATCH(Tabla4[[#This Row],[Mes]],Tabla6[#Headers],0)))</f>
        <v>#N/A</v>
      </c>
      <c r="R3757" s="282" t="e">
        <f>++Tabla4[[#This Row],[Precio Unitario Neto]]-Tabla4[[#This Row],[20.85%]]-Tabla4[[#This Row],[Costo]]</f>
        <v>#N/A</v>
      </c>
      <c r="S3757" s="282" t="e">
        <f>++Tabla4[[#This Row],[U. Bruta Uni]]*Tabla4[[#This Row],[Cantidad]]</f>
        <v>#N/A</v>
      </c>
      <c r="T3757" s="369" t="str">
        <f>VLOOKUP(Tabla4[[#This Row],[Producto]],Tabla6[#All],14,FALSE)</f>
        <v>Termico Solar</v>
      </c>
      <c r="U3757" s="284" t="e">
        <f>(IF(Tabla4[[#This Row],[Familia]]="termico solar",Tabla4[[#This Row],[Utilidad Total]]*6%,Tabla4[[#This Row],[Utilidad Total]]*11.5%))/Tabla4[[#This Row],[Total]]</f>
        <v>#N/A</v>
      </c>
      <c r="V3757" s="282" t="e">
        <f>+Tabla4[[#This Row],[Comisión Calculada]]*Tabla4[[#This Row],[Total]]</f>
        <v>#N/A</v>
      </c>
    </row>
    <row r="3758" spans="1:22" hidden="1" x14ac:dyDescent="0.25">
      <c r="A3758" s="100">
        <v>45838</v>
      </c>
      <c r="B3758" t="str">
        <f t="shared" si="174"/>
        <v>June</v>
      </c>
      <c r="C3758" s="46" t="s">
        <v>280</v>
      </c>
      <c r="F3758" s="366" t="s">
        <v>2153</v>
      </c>
      <c r="G3758" s="46" t="s">
        <v>208</v>
      </c>
      <c r="H3758" s="46">
        <v>2</v>
      </c>
      <c r="I3758" s="51">
        <v>189.75</v>
      </c>
      <c r="J3758" s="281">
        <f>++Tabla4[[#This Row],[Precio Bruto]]*1.16</f>
        <v>220.10999999999999</v>
      </c>
      <c r="K3758" s="281">
        <f>+Tabla4[[#This Row],[Precio Unitario Neto]]*Tabla4[[#Headers],[20.85%]]</f>
        <v>45.892934999999994</v>
      </c>
      <c r="L3758" s="282">
        <f>++Tabla4[[#This Row],[Precio Unitario Neto]]-Tabla4[[#This Row],[20.85%]]</f>
        <v>174.21706499999999</v>
      </c>
      <c r="M3758" s="282" t="e">
        <f>(INDEX(Tabla6[#All],MATCH(Tabla4[[#This Row],[Producto]],Tabla6[[#All],[PRODUCTO]],0),MATCH(Tabla4[[#This Row],[Mes]],Tabla6[#Headers],0)))*(1+Catalogos!$L$2)</f>
        <v>#N/A</v>
      </c>
      <c r="N3758" s="283" t="e">
        <f>+(Tabla4[[#This Row],[Precio Descontado]]-Tabla4[[#This Row],[Precio Base]])*Tabla4[[#This Row],[Cantidad]]</f>
        <v>#N/A</v>
      </c>
      <c r="O3758" s="284" t="e">
        <f>++Tabla4[[#This Row],[Utilidad Total]]/Tabla4[[#This Row],[Total]]</f>
        <v>#N/A</v>
      </c>
      <c r="P3758" s="282">
        <f>++Tabla4[[#This Row],[Precio Descontado]]*Tabla4[[#This Row],[Cantidad]]</f>
        <v>348.43412999999998</v>
      </c>
      <c r="Q3758" s="282" t="e">
        <f>(INDEX(Tabla6[#All],MATCH(Tabla4[[#This Row],[Producto]],Tabla6[[#All],[PRODUCTO]],0),MATCH(Tabla4[[#This Row],[Mes]],Tabla6[#Headers],0)))</f>
        <v>#N/A</v>
      </c>
      <c r="R3758" s="282" t="e">
        <f>++Tabla4[[#This Row],[Precio Unitario Neto]]-Tabla4[[#This Row],[20.85%]]-Tabla4[[#This Row],[Costo]]</f>
        <v>#N/A</v>
      </c>
      <c r="S3758" s="282" t="e">
        <f>++Tabla4[[#This Row],[U. Bruta Uni]]*Tabla4[[#This Row],[Cantidad]]</f>
        <v>#N/A</v>
      </c>
      <c r="T3758" s="369" t="str">
        <f>VLOOKUP(Tabla4[[#This Row],[Producto]],Tabla6[#All],14,FALSE)</f>
        <v>Termico Solar</v>
      </c>
      <c r="U3758" s="284" t="e">
        <f>(IF(Tabla4[[#This Row],[Familia]]="termico solar",Tabla4[[#This Row],[Utilidad Total]]*6%,Tabla4[[#This Row],[Utilidad Total]]*11.5%))/Tabla4[[#This Row],[Total]]</f>
        <v>#N/A</v>
      </c>
      <c r="V3758" s="282" t="e">
        <f>+Tabla4[[#This Row],[Comisión Calculada]]*Tabla4[[#This Row],[Total]]</f>
        <v>#N/A</v>
      </c>
    </row>
    <row r="3759" spans="1:22" hidden="1" x14ac:dyDescent="0.25">
      <c r="A3759" s="100">
        <v>45838</v>
      </c>
      <c r="B3759" t="str">
        <f t="shared" ref="B3759:B3766" si="175">TEXT(A3759, "mmmm")</f>
        <v>June</v>
      </c>
      <c r="C3759" s="46" t="s">
        <v>280</v>
      </c>
      <c r="F3759" s="366" t="s">
        <v>2154</v>
      </c>
      <c r="G3759" s="46" t="s">
        <v>17</v>
      </c>
      <c r="H3759" s="46">
        <v>2</v>
      </c>
      <c r="I3759" s="51">
        <v>4622.28</v>
      </c>
      <c r="J3759" s="281">
        <f>++Tabla4[[#This Row],[Precio Bruto]]*1.16</f>
        <v>5361.8447999999989</v>
      </c>
      <c r="K3759" s="281">
        <f>+Tabla4[[#This Row],[Precio Unitario Neto]]*Tabla4[[#Headers],[20.85%]]</f>
        <v>1117.9446407999997</v>
      </c>
      <c r="L3759" s="282">
        <f>++Tabla4[[#This Row],[Precio Unitario Neto]]-Tabla4[[#This Row],[20.85%]]</f>
        <v>4243.9001591999995</v>
      </c>
      <c r="M3759" s="282" t="e">
        <f>(INDEX(Tabla6[#All],MATCH(Tabla4[[#This Row],[Producto]],Tabla6[[#All],[PRODUCTO]],0),MATCH(Tabla4[[#This Row],[Mes]],Tabla6[#Headers],0)))*(1+Catalogos!$L$2)</f>
        <v>#N/A</v>
      </c>
      <c r="N3759" s="283" t="e">
        <f>+(Tabla4[[#This Row],[Precio Descontado]]-Tabla4[[#This Row],[Precio Base]])*Tabla4[[#This Row],[Cantidad]]</f>
        <v>#N/A</v>
      </c>
      <c r="O3759" s="284" t="e">
        <f>++Tabla4[[#This Row],[Utilidad Total]]/Tabla4[[#This Row],[Total]]</f>
        <v>#N/A</v>
      </c>
      <c r="P3759" s="282">
        <f>++Tabla4[[#This Row],[Precio Descontado]]*Tabla4[[#This Row],[Cantidad]]</f>
        <v>8487.800318399999</v>
      </c>
      <c r="Q3759" s="282" t="e">
        <f>(INDEX(Tabla6[#All],MATCH(Tabla4[[#This Row],[Producto]],Tabla6[[#All],[PRODUCTO]],0),MATCH(Tabla4[[#This Row],[Mes]],Tabla6[#Headers],0)))</f>
        <v>#N/A</v>
      </c>
      <c r="R3759" s="282" t="e">
        <f>++Tabla4[[#This Row],[Precio Unitario Neto]]-Tabla4[[#This Row],[20.85%]]-Tabla4[[#This Row],[Costo]]</f>
        <v>#N/A</v>
      </c>
      <c r="S3759" s="282" t="e">
        <f>++Tabla4[[#This Row],[U. Bruta Uni]]*Tabla4[[#This Row],[Cantidad]]</f>
        <v>#N/A</v>
      </c>
      <c r="T3759" s="369" t="str">
        <f>VLOOKUP(Tabla4[[#This Row],[Producto]],Tabla6[#All],14,FALSE)</f>
        <v>Termico Solar</v>
      </c>
      <c r="U3759" s="284" t="e">
        <f>(IF(Tabla4[[#This Row],[Familia]]="termico solar",Tabla4[[#This Row],[Utilidad Total]]*6%,Tabla4[[#This Row],[Utilidad Total]]*11.5%))/Tabla4[[#This Row],[Total]]</f>
        <v>#N/A</v>
      </c>
      <c r="V3759" s="282" t="e">
        <f>+Tabla4[[#This Row],[Comisión Calculada]]*Tabla4[[#This Row],[Total]]</f>
        <v>#N/A</v>
      </c>
    </row>
    <row r="3760" spans="1:22" hidden="1" x14ac:dyDescent="0.25">
      <c r="A3760" s="100">
        <v>45838</v>
      </c>
      <c r="B3760" t="str">
        <f t="shared" si="175"/>
        <v>June</v>
      </c>
      <c r="C3760" s="46" t="s">
        <v>280</v>
      </c>
      <c r="F3760" s="366" t="s">
        <v>2154</v>
      </c>
      <c r="G3760" s="46" t="s">
        <v>200</v>
      </c>
      <c r="H3760" s="46">
        <v>12</v>
      </c>
      <c r="I3760" s="51">
        <v>393.22</v>
      </c>
      <c r="J3760" s="281">
        <f>++Tabla4[[#This Row],[Precio Bruto]]*1.16</f>
        <v>456.1352</v>
      </c>
      <c r="K3760" s="281">
        <f>+Tabla4[[#This Row],[Precio Unitario Neto]]*Tabla4[[#Headers],[20.85%]]</f>
        <v>95.104189199999993</v>
      </c>
      <c r="L3760" s="282">
        <f>++Tabla4[[#This Row],[Precio Unitario Neto]]-Tabla4[[#This Row],[20.85%]]</f>
        <v>361.03101079999999</v>
      </c>
      <c r="M3760" s="282" t="e">
        <f>(INDEX(Tabla6[#All],MATCH(Tabla4[[#This Row],[Producto]],Tabla6[[#All],[PRODUCTO]],0),MATCH(Tabla4[[#This Row],[Mes]],Tabla6[#Headers],0)))*(1+Catalogos!$L$2)</f>
        <v>#N/A</v>
      </c>
      <c r="N3760" s="283" t="e">
        <f>+(Tabla4[[#This Row],[Precio Descontado]]-Tabla4[[#This Row],[Precio Base]])*Tabla4[[#This Row],[Cantidad]]</f>
        <v>#N/A</v>
      </c>
      <c r="O3760" s="284" t="e">
        <f>++Tabla4[[#This Row],[Utilidad Total]]/Tabla4[[#This Row],[Total]]</f>
        <v>#N/A</v>
      </c>
      <c r="P3760" s="282">
        <f>++Tabla4[[#This Row],[Precio Descontado]]*Tabla4[[#This Row],[Cantidad]]</f>
        <v>4332.3721296000003</v>
      </c>
      <c r="Q3760" s="282" t="e">
        <f>(INDEX(Tabla6[#All],MATCH(Tabla4[[#This Row],[Producto]],Tabla6[[#All],[PRODUCTO]],0),MATCH(Tabla4[[#This Row],[Mes]],Tabla6[#Headers],0)))</f>
        <v>#N/A</v>
      </c>
      <c r="R3760" s="282" t="e">
        <f>++Tabla4[[#This Row],[Precio Unitario Neto]]-Tabla4[[#This Row],[20.85%]]-Tabla4[[#This Row],[Costo]]</f>
        <v>#N/A</v>
      </c>
      <c r="S3760" s="282" t="e">
        <f>++Tabla4[[#This Row],[U. Bruta Uni]]*Tabla4[[#This Row],[Cantidad]]</f>
        <v>#N/A</v>
      </c>
      <c r="T3760" s="369" t="str">
        <f>VLOOKUP(Tabla4[[#This Row],[Producto]],Tabla6[#All],14,FALSE)</f>
        <v>Termico Solar</v>
      </c>
      <c r="U3760" s="284" t="e">
        <f>(IF(Tabla4[[#This Row],[Familia]]="termico solar",Tabla4[[#This Row],[Utilidad Total]]*6%,Tabla4[[#This Row],[Utilidad Total]]*11.5%))/Tabla4[[#This Row],[Total]]</f>
        <v>#N/A</v>
      </c>
      <c r="V3760" s="282" t="e">
        <f>+Tabla4[[#This Row],[Comisión Calculada]]*Tabla4[[#This Row],[Total]]</f>
        <v>#N/A</v>
      </c>
    </row>
    <row r="3761" spans="1:22" hidden="1" x14ac:dyDescent="0.25">
      <c r="A3761" s="100">
        <v>45838</v>
      </c>
      <c r="B3761" t="str">
        <f t="shared" si="175"/>
        <v>June</v>
      </c>
      <c r="C3761" s="46" t="s">
        <v>280</v>
      </c>
      <c r="F3761" s="366" t="s">
        <v>2154</v>
      </c>
      <c r="G3761" s="46" t="s">
        <v>545</v>
      </c>
      <c r="H3761" s="46">
        <v>24</v>
      </c>
      <c r="I3761" s="51">
        <v>304.32</v>
      </c>
      <c r="J3761" s="281">
        <f>++Tabla4[[#This Row],[Precio Bruto]]*1.16</f>
        <v>353.01119999999997</v>
      </c>
      <c r="K3761" s="281">
        <f>+Tabla4[[#This Row],[Precio Unitario Neto]]*Tabla4[[#Headers],[20.85%]]</f>
        <v>73.602835199999987</v>
      </c>
      <c r="L3761" s="282">
        <f>++Tabla4[[#This Row],[Precio Unitario Neto]]-Tabla4[[#This Row],[20.85%]]</f>
        <v>279.40836479999996</v>
      </c>
      <c r="M3761" s="282" t="e">
        <f>(INDEX(Tabla6[#All],MATCH(Tabla4[[#This Row],[Producto]],Tabla6[[#All],[PRODUCTO]],0),MATCH(Tabla4[[#This Row],[Mes]],Tabla6[#Headers],0)))*(1+Catalogos!$L$2)</f>
        <v>#N/A</v>
      </c>
      <c r="N3761" s="283" t="e">
        <f>+(Tabla4[[#This Row],[Precio Descontado]]-Tabla4[[#This Row],[Precio Base]])*Tabla4[[#This Row],[Cantidad]]</f>
        <v>#N/A</v>
      </c>
      <c r="O3761" s="284" t="e">
        <f>++Tabla4[[#This Row],[Utilidad Total]]/Tabla4[[#This Row],[Total]]</f>
        <v>#N/A</v>
      </c>
      <c r="P3761" s="282">
        <f>++Tabla4[[#This Row],[Precio Descontado]]*Tabla4[[#This Row],[Cantidad]]</f>
        <v>6705.800755199999</v>
      </c>
      <c r="Q3761" s="282" t="e">
        <f>(INDEX(Tabla6[#All],MATCH(Tabla4[[#This Row],[Producto]],Tabla6[[#All],[PRODUCTO]],0),MATCH(Tabla4[[#This Row],[Mes]],Tabla6[#Headers],0)))</f>
        <v>#N/A</v>
      </c>
      <c r="R3761" s="282" t="e">
        <f>++Tabla4[[#This Row],[Precio Unitario Neto]]-Tabla4[[#This Row],[20.85%]]-Tabla4[[#This Row],[Costo]]</f>
        <v>#N/A</v>
      </c>
      <c r="S3761" s="282" t="e">
        <f>++Tabla4[[#This Row],[U. Bruta Uni]]*Tabla4[[#This Row],[Cantidad]]</f>
        <v>#N/A</v>
      </c>
      <c r="T3761" s="369" t="str">
        <f>VLOOKUP(Tabla4[[#This Row],[Producto]],Tabla6[#All],14,FALSE)</f>
        <v>Termico Solar</v>
      </c>
      <c r="U3761" s="284" t="e">
        <f>(IF(Tabla4[[#This Row],[Familia]]="termico solar",Tabla4[[#This Row],[Utilidad Total]]*6%,Tabla4[[#This Row],[Utilidad Total]]*11.5%))/Tabla4[[#This Row],[Total]]</f>
        <v>#N/A</v>
      </c>
      <c r="V3761" s="282" t="e">
        <f>+Tabla4[[#This Row],[Comisión Calculada]]*Tabla4[[#This Row],[Total]]</f>
        <v>#N/A</v>
      </c>
    </row>
    <row r="3762" spans="1:22" hidden="1" x14ac:dyDescent="0.25">
      <c r="A3762" s="100">
        <v>45838</v>
      </c>
      <c r="B3762" t="str">
        <f t="shared" si="175"/>
        <v>June</v>
      </c>
      <c r="C3762" s="46" t="s">
        <v>280</v>
      </c>
      <c r="F3762" s="366" t="s">
        <v>2154</v>
      </c>
      <c r="G3762" s="46" t="s">
        <v>209</v>
      </c>
      <c r="H3762" s="46">
        <v>2</v>
      </c>
      <c r="I3762" s="51">
        <v>347.48</v>
      </c>
      <c r="J3762" s="281">
        <f>++Tabla4[[#This Row],[Precio Bruto]]*1.16</f>
        <v>403.07679999999999</v>
      </c>
      <c r="K3762" s="281">
        <f>+Tabla4[[#This Row],[Precio Unitario Neto]]*Tabla4[[#Headers],[20.85%]]</f>
        <v>84.041512799999992</v>
      </c>
      <c r="L3762" s="282">
        <f>++Tabla4[[#This Row],[Precio Unitario Neto]]-Tabla4[[#This Row],[20.85%]]</f>
        <v>319.03528719999997</v>
      </c>
      <c r="M3762" s="282" t="e">
        <f>(INDEX(Tabla6[#All],MATCH(Tabla4[[#This Row],[Producto]],Tabla6[[#All],[PRODUCTO]],0),MATCH(Tabla4[[#This Row],[Mes]],Tabla6[#Headers],0)))*(1+Catalogos!$L$2)</f>
        <v>#N/A</v>
      </c>
      <c r="N3762" s="283" t="e">
        <f>+(Tabla4[[#This Row],[Precio Descontado]]-Tabla4[[#This Row],[Precio Base]])*Tabla4[[#This Row],[Cantidad]]</f>
        <v>#N/A</v>
      </c>
      <c r="O3762" s="284" t="e">
        <f>++Tabla4[[#This Row],[Utilidad Total]]/Tabla4[[#This Row],[Total]]</f>
        <v>#N/A</v>
      </c>
      <c r="P3762" s="282">
        <f>++Tabla4[[#This Row],[Precio Descontado]]*Tabla4[[#This Row],[Cantidad]]</f>
        <v>638.07057439999994</v>
      </c>
      <c r="Q3762" s="282" t="e">
        <f>(INDEX(Tabla6[#All],MATCH(Tabla4[[#This Row],[Producto]],Tabla6[[#All],[PRODUCTO]],0),MATCH(Tabla4[[#This Row],[Mes]],Tabla6[#Headers],0)))</f>
        <v>#N/A</v>
      </c>
      <c r="R3762" s="282" t="e">
        <f>++Tabla4[[#This Row],[Precio Unitario Neto]]-Tabla4[[#This Row],[20.85%]]-Tabla4[[#This Row],[Costo]]</f>
        <v>#N/A</v>
      </c>
      <c r="S3762" s="282" t="e">
        <f>++Tabla4[[#This Row],[U. Bruta Uni]]*Tabla4[[#This Row],[Cantidad]]</f>
        <v>#N/A</v>
      </c>
      <c r="T3762" s="369" t="str">
        <f>VLOOKUP(Tabla4[[#This Row],[Producto]],Tabla6[#All],14,FALSE)</f>
        <v>Termico Solar</v>
      </c>
      <c r="U3762" s="284" t="e">
        <f>(IF(Tabla4[[#This Row],[Familia]]="termico solar",Tabla4[[#This Row],[Utilidad Total]]*6%,Tabla4[[#This Row],[Utilidad Total]]*11.5%))/Tabla4[[#This Row],[Total]]</f>
        <v>#N/A</v>
      </c>
      <c r="V3762" s="282" t="e">
        <f>+Tabla4[[#This Row],[Comisión Calculada]]*Tabla4[[#This Row],[Total]]</f>
        <v>#N/A</v>
      </c>
    </row>
    <row r="3763" spans="1:22" hidden="1" x14ac:dyDescent="0.25">
      <c r="A3763" s="100">
        <v>45838</v>
      </c>
      <c r="B3763" t="str">
        <f t="shared" si="175"/>
        <v>June</v>
      </c>
      <c r="C3763" s="46" t="s">
        <v>280</v>
      </c>
      <c r="F3763" s="366" t="s">
        <v>2155</v>
      </c>
      <c r="G3763" s="46" t="s">
        <v>18</v>
      </c>
      <c r="H3763" s="46">
        <v>2</v>
      </c>
      <c r="I3763" s="51">
        <v>5367.65</v>
      </c>
      <c r="J3763" s="281">
        <f>++Tabla4[[#This Row],[Precio Bruto]]*1.16</f>
        <v>6226.4739999999993</v>
      </c>
      <c r="K3763" s="281">
        <f>+Tabla4[[#This Row],[Precio Unitario Neto]]*Tabla4[[#Headers],[20.85%]]</f>
        <v>1298.2198289999999</v>
      </c>
      <c r="L3763" s="282">
        <f>++Tabla4[[#This Row],[Precio Unitario Neto]]-Tabla4[[#This Row],[20.85%]]</f>
        <v>4928.2541709999996</v>
      </c>
      <c r="M3763" s="282" t="e">
        <f>(INDEX(Tabla6[#All],MATCH(Tabla4[[#This Row],[Producto]],Tabla6[[#All],[PRODUCTO]],0),MATCH(Tabla4[[#This Row],[Mes]],Tabla6[#Headers],0)))*(1+Catalogos!$L$2)</f>
        <v>#N/A</v>
      </c>
      <c r="N3763" s="283" t="e">
        <f>+(Tabla4[[#This Row],[Precio Descontado]]-Tabla4[[#This Row],[Precio Base]])*Tabla4[[#This Row],[Cantidad]]</f>
        <v>#N/A</v>
      </c>
      <c r="O3763" s="284" t="e">
        <f>++Tabla4[[#This Row],[Utilidad Total]]/Tabla4[[#This Row],[Total]]</f>
        <v>#N/A</v>
      </c>
      <c r="P3763" s="282">
        <f>++Tabla4[[#This Row],[Precio Descontado]]*Tabla4[[#This Row],[Cantidad]]</f>
        <v>9856.5083419999992</v>
      </c>
      <c r="Q3763" s="282" t="e">
        <f>(INDEX(Tabla6[#All],MATCH(Tabla4[[#This Row],[Producto]],Tabla6[[#All],[PRODUCTO]],0),MATCH(Tabla4[[#This Row],[Mes]],Tabla6[#Headers],0)))</f>
        <v>#N/A</v>
      </c>
      <c r="R3763" s="282" t="e">
        <f>++Tabla4[[#This Row],[Precio Unitario Neto]]-Tabla4[[#This Row],[20.85%]]-Tabla4[[#This Row],[Costo]]</f>
        <v>#N/A</v>
      </c>
      <c r="S3763" s="282" t="e">
        <f>++Tabla4[[#This Row],[U. Bruta Uni]]*Tabla4[[#This Row],[Cantidad]]</f>
        <v>#N/A</v>
      </c>
      <c r="T3763" s="369" t="str">
        <f>VLOOKUP(Tabla4[[#This Row],[Producto]],Tabla6[#All],14,FALSE)</f>
        <v>Termico Solar</v>
      </c>
      <c r="U3763" s="284" t="e">
        <f>(IF(Tabla4[[#This Row],[Familia]]="termico solar",Tabla4[[#This Row],[Utilidad Total]]*6%,Tabla4[[#This Row],[Utilidad Total]]*11.5%))/Tabla4[[#This Row],[Total]]</f>
        <v>#N/A</v>
      </c>
      <c r="V3763" s="282" t="e">
        <f>+Tabla4[[#This Row],[Comisión Calculada]]*Tabla4[[#This Row],[Total]]</f>
        <v>#N/A</v>
      </c>
    </row>
    <row r="3764" spans="1:22" hidden="1" x14ac:dyDescent="0.25">
      <c r="A3764" s="100">
        <v>45838</v>
      </c>
      <c r="B3764" t="str">
        <f t="shared" si="175"/>
        <v>June</v>
      </c>
      <c r="C3764" s="46" t="s">
        <v>280</v>
      </c>
      <c r="F3764" s="366" t="s">
        <v>2155</v>
      </c>
      <c r="G3764" s="46" t="s">
        <v>200</v>
      </c>
      <c r="H3764" s="46">
        <v>12</v>
      </c>
      <c r="I3764" s="51">
        <v>393.22</v>
      </c>
      <c r="J3764" s="281">
        <f>++Tabla4[[#This Row],[Precio Bruto]]*1.16</f>
        <v>456.1352</v>
      </c>
      <c r="K3764" s="281">
        <f>+Tabla4[[#This Row],[Precio Unitario Neto]]*Tabla4[[#Headers],[20.85%]]</f>
        <v>95.104189199999993</v>
      </c>
      <c r="L3764" s="282">
        <f>++Tabla4[[#This Row],[Precio Unitario Neto]]-Tabla4[[#This Row],[20.85%]]</f>
        <v>361.03101079999999</v>
      </c>
      <c r="M3764" s="282" t="e">
        <f>(INDEX(Tabla6[#All],MATCH(Tabla4[[#This Row],[Producto]],Tabla6[[#All],[PRODUCTO]],0),MATCH(Tabla4[[#This Row],[Mes]],Tabla6[#Headers],0)))*(1+Catalogos!$L$2)</f>
        <v>#N/A</v>
      </c>
      <c r="N3764" s="283" t="e">
        <f>+(Tabla4[[#This Row],[Precio Descontado]]-Tabla4[[#This Row],[Precio Base]])*Tabla4[[#This Row],[Cantidad]]</f>
        <v>#N/A</v>
      </c>
      <c r="O3764" s="284" t="e">
        <f>++Tabla4[[#This Row],[Utilidad Total]]/Tabla4[[#This Row],[Total]]</f>
        <v>#N/A</v>
      </c>
      <c r="P3764" s="282">
        <f>++Tabla4[[#This Row],[Precio Descontado]]*Tabla4[[#This Row],[Cantidad]]</f>
        <v>4332.3721296000003</v>
      </c>
      <c r="Q3764" s="282" t="e">
        <f>(INDEX(Tabla6[#All],MATCH(Tabla4[[#This Row],[Producto]],Tabla6[[#All],[PRODUCTO]],0),MATCH(Tabla4[[#This Row],[Mes]],Tabla6[#Headers],0)))</f>
        <v>#N/A</v>
      </c>
      <c r="R3764" s="282" t="e">
        <f>++Tabla4[[#This Row],[Precio Unitario Neto]]-Tabla4[[#This Row],[20.85%]]-Tabla4[[#This Row],[Costo]]</f>
        <v>#N/A</v>
      </c>
      <c r="S3764" s="282" t="e">
        <f>++Tabla4[[#This Row],[U. Bruta Uni]]*Tabla4[[#This Row],[Cantidad]]</f>
        <v>#N/A</v>
      </c>
      <c r="T3764" s="369" t="str">
        <f>VLOOKUP(Tabla4[[#This Row],[Producto]],Tabla6[#All],14,FALSE)</f>
        <v>Termico Solar</v>
      </c>
      <c r="U3764" s="284" t="e">
        <f>(IF(Tabla4[[#This Row],[Familia]]="termico solar",Tabla4[[#This Row],[Utilidad Total]]*6%,Tabla4[[#This Row],[Utilidad Total]]*11.5%))/Tabla4[[#This Row],[Total]]</f>
        <v>#N/A</v>
      </c>
      <c r="V3764" s="282" t="e">
        <f>+Tabla4[[#This Row],[Comisión Calculada]]*Tabla4[[#This Row],[Total]]</f>
        <v>#N/A</v>
      </c>
    </row>
    <row r="3765" spans="1:22" hidden="1" x14ac:dyDescent="0.25">
      <c r="A3765" s="100">
        <v>45838</v>
      </c>
      <c r="B3765" t="str">
        <f t="shared" si="175"/>
        <v>June</v>
      </c>
      <c r="C3765" s="46" t="s">
        <v>280</v>
      </c>
      <c r="F3765" s="366" t="s">
        <v>2155</v>
      </c>
      <c r="G3765" s="46" t="s">
        <v>545</v>
      </c>
      <c r="H3765" s="46">
        <v>24</v>
      </c>
      <c r="I3765" s="51">
        <v>304.32</v>
      </c>
      <c r="J3765" s="281">
        <f>++Tabla4[[#This Row],[Precio Bruto]]*1.16</f>
        <v>353.01119999999997</v>
      </c>
      <c r="K3765" s="281">
        <f>+Tabla4[[#This Row],[Precio Unitario Neto]]*Tabla4[[#Headers],[20.85%]]</f>
        <v>73.602835199999987</v>
      </c>
      <c r="L3765" s="282">
        <f>++Tabla4[[#This Row],[Precio Unitario Neto]]-Tabla4[[#This Row],[20.85%]]</f>
        <v>279.40836479999996</v>
      </c>
      <c r="M3765" s="282" t="e">
        <f>(INDEX(Tabla6[#All],MATCH(Tabla4[[#This Row],[Producto]],Tabla6[[#All],[PRODUCTO]],0),MATCH(Tabla4[[#This Row],[Mes]],Tabla6[#Headers],0)))*(1+Catalogos!$L$2)</f>
        <v>#N/A</v>
      </c>
      <c r="N3765" s="283" t="e">
        <f>+(Tabla4[[#This Row],[Precio Descontado]]-Tabla4[[#This Row],[Precio Base]])*Tabla4[[#This Row],[Cantidad]]</f>
        <v>#N/A</v>
      </c>
      <c r="O3765" s="284" t="e">
        <f>++Tabla4[[#This Row],[Utilidad Total]]/Tabla4[[#This Row],[Total]]</f>
        <v>#N/A</v>
      </c>
      <c r="P3765" s="282">
        <f>++Tabla4[[#This Row],[Precio Descontado]]*Tabla4[[#This Row],[Cantidad]]</f>
        <v>6705.800755199999</v>
      </c>
      <c r="Q3765" s="282" t="e">
        <f>(INDEX(Tabla6[#All],MATCH(Tabla4[[#This Row],[Producto]],Tabla6[[#All],[PRODUCTO]],0),MATCH(Tabla4[[#This Row],[Mes]],Tabla6[#Headers],0)))</f>
        <v>#N/A</v>
      </c>
      <c r="R3765" s="282" t="e">
        <f>++Tabla4[[#This Row],[Precio Unitario Neto]]-Tabla4[[#This Row],[20.85%]]-Tabla4[[#This Row],[Costo]]</f>
        <v>#N/A</v>
      </c>
      <c r="S3765" s="282" t="e">
        <f>++Tabla4[[#This Row],[U. Bruta Uni]]*Tabla4[[#This Row],[Cantidad]]</f>
        <v>#N/A</v>
      </c>
      <c r="T3765" s="369" t="str">
        <f>VLOOKUP(Tabla4[[#This Row],[Producto]],Tabla6[#All],14,FALSE)</f>
        <v>Termico Solar</v>
      </c>
      <c r="U3765" s="284" t="e">
        <f>(IF(Tabla4[[#This Row],[Familia]]="termico solar",Tabla4[[#This Row],[Utilidad Total]]*6%,Tabla4[[#This Row],[Utilidad Total]]*11.5%))/Tabla4[[#This Row],[Total]]</f>
        <v>#N/A</v>
      </c>
      <c r="V3765" s="282" t="e">
        <f>+Tabla4[[#This Row],[Comisión Calculada]]*Tabla4[[#This Row],[Total]]</f>
        <v>#N/A</v>
      </c>
    </row>
    <row r="3766" spans="1:22" hidden="1" x14ac:dyDescent="0.25">
      <c r="A3766" s="100">
        <v>45838</v>
      </c>
      <c r="B3766" t="str">
        <f t="shared" si="175"/>
        <v>June</v>
      </c>
      <c r="C3766" s="46" t="s">
        <v>280</v>
      </c>
      <c r="F3766" s="366" t="s">
        <v>2155</v>
      </c>
      <c r="G3766" s="46" t="s">
        <v>209</v>
      </c>
      <c r="H3766" s="46">
        <v>5</v>
      </c>
      <c r="I3766" s="51">
        <v>347.48</v>
      </c>
      <c r="J3766" s="281">
        <f>++Tabla4[[#This Row],[Precio Bruto]]*1.16</f>
        <v>403.07679999999999</v>
      </c>
      <c r="K3766" s="281">
        <f>+Tabla4[[#This Row],[Precio Unitario Neto]]*Tabla4[[#Headers],[20.85%]]</f>
        <v>84.041512799999992</v>
      </c>
      <c r="L3766" s="282">
        <f>++Tabla4[[#This Row],[Precio Unitario Neto]]-Tabla4[[#This Row],[20.85%]]</f>
        <v>319.03528719999997</v>
      </c>
      <c r="M3766" s="282" t="e">
        <f>(INDEX(Tabla6[#All],MATCH(Tabla4[[#This Row],[Producto]],Tabla6[[#All],[PRODUCTO]],0),MATCH(Tabla4[[#This Row],[Mes]],Tabla6[#Headers],0)))*(1+Catalogos!$L$2)</f>
        <v>#N/A</v>
      </c>
      <c r="N3766" s="283" t="e">
        <f>+(Tabla4[[#This Row],[Precio Descontado]]-Tabla4[[#This Row],[Precio Base]])*Tabla4[[#This Row],[Cantidad]]</f>
        <v>#N/A</v>
      </c>
      <c r="O3766" s="284" t="e">
        <f>++Tabla4[[#This Row],[Utilidad Total]]/Tabla4[[#This Row],[Total]]</f>
        <v>#N/A</v>
      </c>
      <c r="P3766" s="282">
        <f>++Tabla4[[#This Row],[Precio Descontado]]*Tabla4[[#This Row],[Cantidad]]</f>
        <v>1595.1764359999997</v>
      </c>
      <c r="Q3766" s="282" t="e">
        <f>(INDEX(Tabla6[#All],MATCH(Tabla4[[#This Row],[Producto]],Tabla6[[#All],[PRODUCTO]],0),MATCH(Tabla4[[#This Row],[Mes]],Tabla6[#Headers],0)))</f>
        <v>#N/A</v>
      </c>
      <c r="R3766" s="282" t="e">
        <f>++Tabla4[[#This Row],[Precio Unitario Neto]]-Tabla4[[#This Row],[20.85%]]-Tabla4[[#This Row],[Costo]]</f>
        <v>#N/A</v>
      </c>
      <c r="S3766" s="282" t="e">
        <f>++Tabla4[[#This Row],[U. Bruta Uni]]*Tabla4[[#This Row],[Cantidad]]</f>
        <v>#N/A</v>
      </c>
      <c r="T3766" s="369" t="str">
        <f>VLOOKUP(Tabla4[[#This Row],[Producto]],Tabla6[#All],14,FALSE)</f>
        <v>Termico Solar</v>
      </c>
      <c r="U3766" s="284" t="e">
        <f>(IF(Tabla4[[#This Row],[Familia]]="termico solar",Tabla4[[#This Row],[Utilidad Total]]*6%,Tabla4[[#This Row],[Utilidad Total]]*11.5%))/Tabla4[[#This Row],[Total]]</f>
        <v>#N/A</v>
      </c>
      <c r="V3766" s="282" t="e">
        <f>+Tabla4[[#This Row],[Comisión Calculada]]*Tabla4[[#This Row],[Total]]</f>
        <v>#N/A</v>
      </c>
    </row>
    <row r="3767" spans="1:22" hidden="1" x14ac:dyDescent="0.25">
      <c r="A3767" s="100">
        <v>45838</v>
      </c>
      <c r="B3767" t="str">
        <f t="shared" ref="B3767:B3772" si="176">TEXT(A3767, "mmmm")</f>
        <v>June</v>
      </c>
      <c r="C3767" s="46" t="s">
        <v>280</v>
      </c>
      <c r="F3767" s="366" t="s">
        <v>2156</v>
      </c>
      <c r="G3767" s="46" t="s">
        <v>83</v>
      </c>
      <c r="H3767" s="46">
        <v>1</v>
      </c>
      <c r="I3767" s="51">
        <v>8858.76</v>
      </c>
      <c r="J3767" s="281">
        <f>++Tabla4[[#This Row],[Precio Bruto]]*1.16</f>
        <v>10276.161599999999</v>
      </c>
      <c r="K3767" s="281">
        <f>+Tabla4[[#This Row],[Precio Unitario Neto]]*Tabla4[[#Headers],[20.85%]]</f>
        <v>2142.5796935999997</v>
      </c>
      <c r="L3767" s="282">
        <f>++Tabla4[[#This Row],[Precio Unitario Neto]]-Tabla4[[#This Row],[20.85%]]</f>
        <v>8133.5819063999998</v>
      </c>
      <c r="M3767" s="282" t="e">
        <f>(INDEX(Tabla6[#All],MATCH(Tabla4[[#This Row],[Producto]],Tabla6[[#All],[PRODUCTO]],0),MATCH(Tabla4[[#This Row],[Mes]],Tabla6[#Headers],0)))*(1+Catalogos!$L$2)</f>
        <v>#N/A</v>
      </c>
      <c r="N3767" s="283" t="e">
        <f>+(Tabla4[[#This Row],[Precio Descontado]]-Tabla4[[#This Row],[Precio Base]])*Tabla4[[#This Row],[Cantidad]]</f>
        <v>#N/A</v>
      </c>
      <c r="O3767" s="284" t="e">
        <f>++Tabla4[[#This Row],[Utilidad Total]]/Tabla4[[#This Row],[Total]]</f>
        <v>#N/A</v>
      </c>
      <c r="P3767" s="282">
        <f>++Tabla4[[#This Row],[Precio Descontado]]*Tabla4[[#This Row],[Cantidad]]</f>
        <v>8133.5819063999998</v>
      </c>
      <c r="Q3767" s="282" t="e">
        <f>(INDEX(Tabla6[#All],MATCH(Tabla4[[#This Row],[Producto]],Tabla6[[#All],[PRODUCTO]],0),MATCH(Tabla4[[#This Row],[Mes]],Tabla6[#Headers],0)))</f>
        <v>#N/A</v>
      </c>
      <c r="R3767" s="282" t="e">
        <f>++Tabla4[[#This Row],[Precio Unitario Neto]]-Tabla4[[#This Row],[20.85%]]-Tabla4[[#This Row],[Costo]]</f>
        <v>#N/A</v>
      </c>
      <c r="S3767" s="282" t="e">
        <f>++Tabla4[[#This Row],[U. Bruta Uni]]*Tabla4[[#This Row],[Cantidad]]</f>
        <v>#N/A</v>
      </c>
      <c r="T3767" s="369" t="str">
        <f>VLOOKUP(Tabla4[[#This Row],[Producto]],Tabla6[#All],14,FALSE)</f>
        <v>Termico Solar</v>
      </c>
      <c r="U3767" s="284" t="e">
        <f>(IF(Tabla4[[#This Row],[Familia]]="termico solar",Tabla4[[#This Row],[Utilidad Total]]*6%,Tabla4[[#This Row],[Utilidad Total]]*11.5%))/Tabla4[[#This Row],[Total]]</f>
        <v>#N/A</v>
      </c>
      <c r="V3767" s="282" t="e">
        <f>+Tabla4[[#This Row],[Comisión Calculada]]*Tabla4[[#This Row],[Total]]</f>
        <v>#N/A</v>
      </c>
    </row>
    <row r="3768" spans="1:22" hidden="1" x14ac:dyDescent="0.25">
      <c r="A3768" s="100">
        <v>45838</v>
      </c>
      <c r="B3768" t="str">
        <f t="shared" si="176"/>
        <v>June</v>
      </c>
      <c r="C3768" s="46" t="s">
        <v>280</v>
      </c>
      <c r="F3768" s="366" t="s">
        <v>2156</v>
      </c>
      <c r="G3768" s="46" t="s">
        <v>17</v>
      </c>
      <c r="H3768" s="46">
        <v>4</v>
      </c>
      <c r="I3768" s="51">
        <v>4622.28</v>
      </c>
      <c r="J3768" s="281">
        <f>++Tabla4[[#This Row],[Precio Bruto]]*1.16</f>
        <v>5361.8447999999989</v>
      </c>
      <c r="K3768" s="281">
        <f>+Tabla4[[#This Row],[Precio Unitario Neto]]*Tabla4[[#Headers],[20.85%]]</f>
        <v>1117.9446407999997</v>
      </c>
      <c r="L3768" s="282">
        <f>++Tabla4[[#This Row],[Precio Unitario Neto]]-Tabla4[[#This Row],[20.85%]]</f>
        <v>4243.9001591999995</v>
      </c>
      <c r="M3768" s="282" t="e">
        <f>(INDEX(Tabla6[#All],MATCH(Tabla4[[#This Row],[Producto]],Tabla6[[#All],[PRODUCTO]],0),MATCH(Tabla4[[#This Row],[Mes]],Tabla6[#Headers],0)))*(1+Catalogos!$L$2)</f>
        <v>#N/A</v>
      </c>
      <c r="N3768" s="283" t="e">
        <f>+(Tabla4[[#This Row],[Precio Descontado]]-Tabla4[[#This Row],[Precio Base]])*Tabla4[[#This Row],[Cantidad]]</f>
        <v>#N/A</v>
      </c>
      <c r="O3768" s="284" t="e">
        <f>++Tabla4[[#This Row],[Utilidad Total]]/Tabla4[[#This Row],[Total]]</f>
        <v>#N/A</v>
      </c>
      <c r="P3768" s="282">
        <f>++Tabla4[[#This Row],[Precio Descontado]]*Tabla4[[#This Row],[Cantidad]]</f>
        <v>16975.600636799998</v>
      </c>
      <c r="Q3768" s="282" t="e">
        <f>(INDEX(Tabla6[#All],MATCH(Tabla4[[#This Row],[Producto]],Tabla6[[#All],[PRODUCTO]],0),MATCH(Tabla4[[#This Row],[Mes]],Tabla6[#Headers],0)))</f>
        <v>#N/A</v>
      </c>
      <c r="R3768" s="282" t="e">
        <f>++Tabla4[[#This Row],[Precio Unitario Neto]]-Tabla4[[#This Row],[20.85%]]-Tabla4[[#This Row],[Costo]]</f>
        <v>#N/A</v>
      </c>
      <c r="S3768" s="282" t="e">
        <f>++Tabla4[[#This Row],[U. Bruta Uni]]*Tabla4[[#This Row],[Cantidad]]</f>
        <v>#N/A</v>
      </c>
      <c r="T3768" s="369" t="str">
        <f>VLOOKUP(Tabla4[[#This Row],[Producto]],Tabla6[#All],14,FALSE)</f>
        <v>Termico Solar</v>
      </c>
      <c r="U3768" s="284" t="e">
        <f>(IF(Tabla4[[#This Row],[Familia]]="termico solar",Tabla4[[#This Row],[Utilidad Total]]*6%,Tabla4[[#This Row],[Utilidad Total]]*11.5%))/Tabla4[[#This Row],[Total]]</f>
        <v>#N/A</v>
      </c>
      <c r="V3768" s="282" t="e">
        <f>+Tabla4[[#This Row],[Comisión Calculada]]*Tabla4[[#This Row],[Total]]</f>
        <v>#N/A</v>
      </c>
    </row>
    <row r="3769" spans="1:22" hidden="1" x14ac:dyDescent="0.25">
      <c r="A3769" s="100">
        <v>45838</v>
      </c>
      <c r="B3769" t="str">
        <f t="shared" si="176"/>
        <v>June</v>
      </c>
      <c r="C3769" s="46" t="s">
        <v>280</v>
      </c>
      <c r="F3769" s="366" t="s">
        <v>2156</v>
      </c>
      <c r="G3769" s="46" t="s">
        <v>566</v>
      </c>
      <c r="H3769" s="46">
        <v>1</v>
      </c>
      <c r="I3769" s="51">
        <v>2109.4499999999998</v>
      </c>
      <c r="J3769" s="281">
        <f>++Tabla4[[#This Row],[Precio Bruto]]*1.16</f>
        <v>2446.9619999999995</v>
      </c>
      <c r="K3769" s="281">
        <f>+Tabla4[[#This Row],[Precio Unitario Neto]]*Tabla4[[#Headers],[20.85%]]</f>
        <v>510.19157699999988</v>
      </c>
      <c r="L3769" s="282">
        <f>++Tabla4[[#This Row],[Precio Unitario Neto]]-Tabla4[[#This Row],[20.85%]]</f>
        <v>1936.7704229999997</v>
      </c>
      <c r="M3769" s="282" t="e">
        <f>(INDEX(Tabla6[#All],MATCH(Tabla4[[#This Row],[Producto]],Tabla6[[#All],[PRODUCTO]],0),MATCH(Tabla4[[#This Row],[Mes]],Tabla6[#Headers],0)))*(1+Catalogos!$L$2)</f>
        <v>#N/A</v>
      </c>
      <c r="N3769" s="283" t="e">
        <f>+(Tabla4[[#This Row],[Precio Descontado]]-Tabla4[[#This Row],[Precio Base]])*Tabla4[[#This Row],[Cantidad]]</f>
        <v>#N/A</v>
      </c>
      <c r="O3769" s="284" t="e">
        <f>++Tabla4[[#This Row],[Utilidad Total]]/Tabla4[[#This Row],[Total]]</f>
        <v>#N/A</v>
      </c>
      <c r="P3769" s="282">
        <f>++Tabla4[[#This Row],[Precio Descontado]]*Tabla4[[#This Row],[Cantidad]]</f>
        <v>1936.7704229999997</v>
      </c>
      <c r="Q3769" s="282" t="e">
        <f>(INDEX(Tabla6[#All],MATCH(Tabla4[[#This Row],[Producto]],Tabla6[[#All],[PRODUCTO]],0),MATCH(Tabla4[[#This Row],[Mes]],Tabla6[#Headers],0)))</f>
        <v>#N/A</v>
      </c>
      <c r="R3769" s="282" t="e">
        <f>++Tabla4[[#This Row],[Precio Unitario Neto]]-Tabla4[[#This Row],[20.85%]]-Tabla4[[#This Row],[Costo]]</f>
        <v>#N/A</v>
      </c>
      <c r="S3769" s="282" t="e">
        <f>++Tabla4[[#This Row],[U. Bruta Uni]]*Tabla4[[#This Row],[Cantidad]]</f>
        <v>#N/A</v>
      </c>
      <c r="T3769" s="369" t="str">
        <f>VLOOKUP(Tabla4[[#This Row],[Producto]],Tabla6[#All],14,FALSE)</f>
        <v>Termico Solar</v>
      </c>
      <c r="U3769" s="284" t="e">
        <f>(IF(Tabla4[[#This Row],[Familia]]="termico solar",Tabla4[[#This Row],[Utilidad Total]]*6%,Tabla4[[#This Row],[Utilidad Total]]*11.5%))/Tabla4[[#This Row],[Total]]</f>
        <v>#N/A</v>
      </c>
      <c r="V3769" s="282" t="e">
        <f>+Tabla4[[#This Row],[Comisión Calculada]]*Tabla4[[#This Row],[Total]]</f>
        <v>#N/A</v>
      </c>
    </row>
    <row r="3770" spans="1:22" hidden="1" x14ac:dyDescent="0.25">
      <c r="A3770" s="100">
        <v>45838</v>
      </c>
      <c r="B3770" t="str">
        <f t="shared" si="176"/>
        <v>June</v>
      </c>
      <c r="C3770" s="46" t="s">
        <v>280</v>
      </c>
      <c r="F3770" s="366" t="s">
        <v>2156</v>
      </c>
      <c r="G3770" s="46" t="s">
        <v>200</v>
      </c>
      <c r="H3770" s="46">
        <v>12</v>
      </c>
      <c r="I3770" s="51">
        <v>393.22</v>
      </c>
      <c r="J3770" s="281">
        <f>++Tabla4[[#This Row],[Precio Bruto]]*1.16</f>
        <v>456.1352</v>
      </c>
      <c r="K3770" s="281">
        <f>+Tabla4[[#This Row],[Precio Unitario Neto]]*Tabla4[[#Headers],[20.85%]]</f>
        <v>95.104189199999993</v>
      </c>
      <c r="L3770" s="282">
        <f>++Tabla4[[#This Row],[Precio Unitario Neto]]-Tabla4[[#This Row],[20.85%]]</f>
        <v>361.03101079999999</v>
      </c>
      <c r="M3770" s="282" t="e">
        <f>(INDEX(Tabla6[#All],MATCH(Tabla4[[#This Row],[Producto]],Tabla6[[#All],[PRODUCTO]],0),MATCH(Tabla4[[#This Row],[Mes]],Tabla6[#Headers],0)))*(1+Catalogos!$L$2)</f>
        <v>#N/A</v>
      </c>
      <c r="N3770" s="283" t="e">
        <f>+(Tabla4[[#This Row],[Precio Descontado]]-Tabla4[[#This Row],[Precio Base]])*Tabla4[[#This Row],[Cantidad]]</f>
        <v>#N/A</v>
      </c>
      <c r="O3770" s="284" t="e">
        <f>++Tabla4[[#This Row],[Utilidad Total]]/Tabla4[[#This Row],[Total]]</f>
        <v>#N/A</v>
      </c>
      <c r="P3770" s="282">
        <f>++Tabla4[[#This Row],[Precio Descontado]]*Tabla4[[#This Row],[Cantidad]]</f>
        <v>4332.3721296000003</v>
      </c>
      <c r="Q3770" s="282" t="e">
        <f>(INDEX(Tabla6[#All],MATCH(Tabla4[[#This Row],[Producto]],Tabla6[[#All],[PRODUCTO]],0),MATCH(Tabla4[[#This Row],[Mes]],Tabla6[#Headers],0)))</f>
        <v>#N/A</v>
      </c>
      <c r="R3770" s="282" t="e">
        <f>++Tabla4[[#This Row],[Precio Unitario Neto]]-Tabla4[[#This Row],[20.85%]]-Tabla4[[#This Row],[Costo]]</f>
        <v>#N/A</v>
      </c>
      <c r="S3770" s="282" t="e">
        <f>++Tabla4[[#This Row],[U. Bruta Uni]]*Tabla4[[#This Row],[Cantidad]]</f>
        <v>#N/A</v>
      </c>
      <c r="T3770" s="369" t="str">
        <f>VLOOKUP(Tabla4[[#This Row],[Producto]],Tabla6[#All],14,FALSE)</f>
        <v>Termico Solar</v>
      </c>
      <c r="U3770" s="284" t="e">
        <f>(IF(Tabla4[[#This Row],[Familia]]="termico solar",Tabla4[[#This Row],[Utilidad Total]]*6%,Tabla4[[#This Row],[Utilidad Total]]*11.5%))/Tabla4[[#This Row],[Total]]</f>
        <v>#N/A</v>
      </c>
      <c r="V3770" s="282" t="e">
        <f>+Tabla4[[#This Row],[Comisión Calculada]]*Tabla4[[#This Row],[Total]]</f>
        <v>#N/A</v>
      </c>
    </row>
    <row r="3771" spans="1:22" hidden="1" x14ac:dyDescent="0.25">
      <c r="A3771" s="100">
        <v>45838</v>
      </c>
      <c r="B3771" t="str">
        <f t="shared" si="176"/>
        <v>June</v>
      </c>
      <c r="C3771" s="46" t="s">
        <v>280</v>
      </c>
      <c r="F3771" s="366" t="s">
        <v>2156</v>
      </c>
      <c r="G3771" s="46" t="s">
        <v>545</v>
      </c>
      <c r="H3771" s="46">
        <v>24</v>
      </c>
      <c r="I3771" s="51">
        <v>304.32</v>
      </c>
      <c r="J3771" s="281">
        <f>++Tabla4[[#This Row],[Precio Bruto]]*1.16</f>
        <v>353.01119999999997</v>
      </c>
      <c r="K3771" s="281">
        <f>+Tabla4[[#This Row],[Precio Unitario Neto]]*Tabla4[[#Headers],[20.85%]]</f>
        <v>73.602835199999987</v>
      </c>
      <c r="L3771" s="282">
        <f>++Tabla4[[#This Row],[Precio Unitario Neto]]-Tabla4[[#This Row],[20.85%]]</f>
        <v>279.40836479999996</v>
      </c>
      <c r="M3771" s="282" t="e">
        <f>(INDEX(Tabla6[#All],MATCH(Tabla4[[#This Row],[Producto]],Tabla6[[#All],[PRODUCTO]],0),MATCH(Tabla4[[#This Row],[Mes]],Tabla6[#Headers],0)))*(1+Catalogos!$L$2)</f>
        <v>#N/A</v>
      </c>
      <c r="N3771" s="283" t="e">
        <f>+(Tabla4[[#This Row],[Precio Descontado]]-Tabla4[[#This Row],[Precio Base]])*Tabla4[[#This Row],[Cantidad]]</f>
        <v>#N/A</v>
      </c>
      <c r="O3771" s="284" t="e">
        <f>++Tabla4[[#This Row],[Utilidad Total]]/Tabla4[[#This Row],[Total]]</f>
        <v>#N/A</v>
      </c>
      <c r="P3771" s="282">
        <f>++Tabla4[[#This Row],[Precio Descontado]]*Tabla4[[#This Row],[Cantidad]]</f>
        <v>6705.800755199999</v>
      </c>
      <c r="Q3771" s="282" t="e">
        <f>(INDEX(Tabla6[#All],MATCH(Tabla4[[#This Row],[Producto]],Tabla6[[#All],[PRODUCTO]],0),MATCH(Tabla4[[#This Row],[Mes]],Tabla6[#Headers],0)))</f>
        <v>#N/A</v>
      </c>
      <c r="R3771" s="282" t="e">
        <f>++Tabla4[[#This Row],[Precio Unitario Neto]]-Tabla4[[#This Row],[20.85%]]-Tabla4[[#This Row],[Costo]]</f>
        <v>#N/A</v>
      </c>
      <c r="S3771" s="282" t="e">
        <f>++Tabla4[[#This Row],[U. Bruta Uni]]*Tabla4[[#This Row],[Cantidad]]</f>
        <v>#N/A</v>
      </c>
      <c r="T3771" s="369" t="str">
        <f>VLOOKUP(Tabla4[[#This Row],[Producto]],Tabla6[#All],14,FALSE)</f>
        <v>Termico Solar</v>
      </c>
      <c r="U3771" s="284" t="e">
        <f>(IF(Tabla4[[#This Row],[Familia]]="termico solar",Tabla4[[#This Row],[Utilidad Total]]*6%,Tabla4[[#This Row],[Utilidad Total]]*11.5%))/Tabla4[[#This Row],[Total]]</f>
        <v>#N/A</v>
      </c>
      <c r="V3771" s="282" t="e">
        <f>+Tabla4[[#This Row],[Comisión Calculada]]*Tabla4[[#This Row],[Total]]</f>
        <v>#N/A</v>
      </c>
    </row>
    <row r="3772" spans="1:22" hidden="1" x14ac:dyDescent="0.25">
      <c r="A3772" s="100">
        <v>45838</v>
      </c>
      <c r="B3772" t="str">
        <f t="shared" si="176"/>
        <v>June</v>
      </c>
      <c r="C3772" s="46" t="s">
        <v>280</v>
      </c>
      <c r="F3772" s="366" t="s">
        <v>2156</v>
      </c>
      <c r="G3772" s="46" t="s">
        <v>209</v>
      </c>
      <c r="H3772" s="46">
        <v>2</v>
      </c>
      <c r="I3772" s="51">
        <v>347.48</v>
      </c>
      <c r="J3772" s="281">
        <f>++Tabla4[[#This Row],[Precio Bruto]]*1.16</f>
        <v>403.07679999999999</v>
      </c>
      <c r="K3772" s="281">
        <f>+Tabla4[[#This Row],[Precio Unitario Neto]]*Tabla4[[#Headers],[20.85%]]</f>
        <v>84.041512799999992</v>
      </c>
      <c r="L3772" s="282">
        <f>++Tabla4[[#This Row],[Precio Unitario Neto]]-Tabla4[[#This Row],[20.85%]]</f>
        <v>319.03528719999997</v>
      </c>
      <c r="M3772" s="282" t="e">
        <f>(INDEX(Tabla6[#All],MATCH(Tabla4[[#This Row],[Producto]],Tabla6[[#All],[PRODUCTO]],0),MATCH(Tabla4[[#This Row],[Mes]],Tabla6[#Headers],0)))*(1+Catalogos!$L$2)</f>
        <v>#N/A</v>
      </c>
      <c r="N3772" s="283" t="e">
        <f>+(Tabla4[[#This Row],[Precio Descontado]]-Tabla4[[#This Row],[Precio Base]])*Tabla4[[#This Row],[Cantidad]]</f>
        <v>#N/A</v>
      </c>
      <c r="O3772" s="284" t="e">
        <f>++Tabla4[[#This Row],[Utilidad Total]]/Tabla4[[#This Row],[Total]]</f>
        <v>#N/A</v>
      </c>
      <c r="P3772" s="282">
        <f>++Tabla4[[#This Row],[Precio Descontado]]*Tabla4[[#This Row],[Cantidad]]</f>
        <v>638.07057439999994</v>
      </c>
      <c r="Q3772" s="282" t="e">
        <f>(INDEX(Tabla6[#All],MATCH(Tabla4[[#This Row],[Producto]],Tabla6[[#All],[PRODUCTO]],0),MATCH(Tabla4[[#This Row],[Mes]],Tabla6[#Headers],0)))</f>
        <v>#N/A</v>
      </c>
      <c r="R3772" s="282" t="e">
        <f>++Tabla4[[#This Row],[Precio Unitario Neto]]-Tabla4[[#This Row],[20.85%]]-Tabla4[[#This Row],[Costo]]</f>
        <v>#N/A</v>
      </c>
      <c r="S3772" s="282" t="e">
        <f>++Tabla4[[#This Row],[U. Bruta Uni]]*Tabla4[[#This Row],[Cantidad]]</f>
        <v>#N/A</v>
      </c>
      <c r="T3772" s="369" t="str">
        <f>VLOOKUP(Tabla4[[#This Row],[Producto]],Tabla6[#All],14,FALSE)</f>
        <v>Termico Solar</v>
      </c>
      <c r="U3772" s="284" t="e">
        <f>(IF(Tabla4[[#This Row],[Familia]]="termico solar",Tabla4[[#This Row],[Utilidad Total]]*6%,Tabla4[[#This Row],[Utilidad Total]]*11.5%))/Tabla4[[#This Row],[Total]]</f>
        <v>#N/A</v>
      </c>
      <c r="V3772" s="282" t="e">
        <f>+Tabla4[[#This Row],[Comisión Calculada]]*Tabla4[[#This Row],[Total]]</f>
        <v>#N/A</v>
      </c>
    </row>
    <row r="3773" spans="1:22" hidden="1" x14ac:dyDescent="0.25">
      <c r="A3773" s="100">
        <v>45838</v>
      </c>
      <c r="B3773" t="str">
        <f t="shared" ref="B3773:B3804" si="177">TEXT(A3773, "mmmm")</f>
        <v>June</v>
      </c>
      <c r="C3773" s="46" t="s">
        <v>280</v>
      </c>
      <c r="F3773" s="366" t="s">
        <v>2157</v>
      </c>
      <c r="G3773" s="46" t="s">
        <v>83</v>
      </c>
      <c r="H3773" s="46">
        <v>1</v>
      </c>
      <c r="I3773" s="51">
        <v>8858.76</v>
      </c>
      <c r="J3773" s="281">
        <f>++Tabla4[[#This Row],[Precio Bruto]]*1.16</f>
        <v>10276.161599999999</v>
      </c>
      <c r="K3773" s="281">
        <f>+Tabla4[[#This Row],[Precio Unitario Neto]]*Tabla4[[#Headers],[20.85%]]</f>
        <v>2142.5796935999997</v>
      </c>
      <c r="L3773" s="282">
        <f>++Tabla4[[#This Row],[Precio Unitario Neto]]-Tabla4[[#This Row],[20.85%]]</f>
        <v>8133.5819063999998</v>
      </c>
      <c r="M3773" s="282" t="e">
        <f>(INDEX(Tabla6[#All],MATCH(Tabla4[[#This Row],[Producto]],Tabla6[[#All],[PRODUCTO]],0),MATCH(Tabla4[[#This Row],[Mes]],Tabla6[#Headers],0)))*(1+Catalogos!$L$2)</f>
        <v>#N/A</v>
      </c>
      <c r="N3773" s="283" t="e">
        <f>+(Tabla4[[#This Row],[Precio Descontado]]-Tabla4[[#This Row],[Precio Base]])*Tabla4[[#This Row],[Cantidad]]</f>
        <v>#N/A</v>
      </c>
      <c r="O3773" s="284" t="e">
        <f>++Tabla4[[#This Row],[Utilidad Total]]/Tabla4[[#This Row],[Total]]</f>
        <v>#N/A</v>
      </c>
      <c r="P3773" s="282">
        <f>++Tabla4[[#This Row],[Precio Descontado]]*Tabla4[[#This Row],[Cantidad]]</f>
        <v>8133.5819063999998</v>
      </c>
      <c r="Q3773" s="282" t="e">
        <f>(INDEX(Tabla6[#All],MATCH(Tabla4[[#This Row],[Producto]],Tabla6[[#All],[PRODUCTO]],0),MATCH(Tabla4[[#This Row],[Mes]],Tabla6[#Headers],0)))</f>
        <v>#N/A</v>
      </c>
      <c r="R3773" s="282" t="e">
        <f>++Tabla4[[#This Row],[Precio Unitario Neto]]-Tabla4[[#This Row],[20.85%]]-Tabla4[[#This Row],[Costo]]</f>
        <v>#N/A</v>
      </c>
      <c r="S3773" s="282" t="e">
        <f>++Tabla4[[#This Row],[U. Bruta Uni]]*Tabla4[[#This Row],[Cantidad]]</f>
        <v>#N/A</v>
      </c>
      <c r="T3773" s="369" t="str">
        <f>VLOOKUP(Tabla4[[#This Row],[Producto]],Tabla6[#All],14,FALSE)</f>
        <v>Termico Solar</v>
      </c>
      <c r="U3773" s="284" t="e">
        <f>(IF(Tabla4[[#This Row],[Familia]]="termico solar",Tabla4[[#This Row],[Utilidad Total]]*6%,Tabla4[[#This Row],[Utilidad Total]]*11.5%))/Tabla4[[#This Row],[Total]]</f>
        <v>#N/A</v>
      </c>
      <c r="V3773" s="282" t="e">
        <f>+Tabla4[[#This Row],[Comisión Calculada]]*Tabla4[[#This Row],[Total]]</f>
        <v>#N/A</v>
      </c>
    </row>
    <row r="3774" spans="1:22" hidden="1" x14ac:dyDescent="0.25">
      <c r="A3774" s="100">
        <v>45838</v>
      </c>
      <c r="B3774" t="str">
        <f t="shared" si="177"/>
        <v>June</v>
      </c>
      <c r="C3774" s="46" t="s">
        <v>280</v>
      </c>
      <c r="F3774" s="366" t="s">
        <v>2157</v>
      </c>
      <c r="G3774" s="46" t="s">
        <v>17</v>
      </c>
      <c r="H3774" s="46">
        <v>3</v>
      </c>
      <c r="I3774" s="51">
        <v>4622.28</v>
      </c>
      <c r="J3774" s="281">
        <f>++Tabla4[[#This Row],[Precio Bruto]]*1.16</f>
        <v>5361.8447999999989</v>
      </c>
      <c r="K3774" s="281">
        <f>+Tabla4[[#This Row],[Precio Unitario Neto]]*Tabla4[[#Headers],[20.85%]]</f>
        <v>1117.9446407999997</v>
      </c>
      <c r="L3774" s="282">
        <f>++Tabla4[[#This Row],[Precio Unitario Neto]]-Tabla4[[#This Row],[20.85%]]</f>
        <v>4243.9001591999995</v>
      </c>
      <c r="M3774" s="282" t="e">
        <f>(INDEX(Tabla6[#All],MATCH(Tabla4[[#This Row],[Producto]],Tabla6[[#All],[PRODUCTO]],0),MATCH(Tabla4[[#This Row],[Mes]],Tabla6[#Headers],0)))*(1+Catalogos!$L$2)</f>
        <v>#N/A</v>
      </c>
      <c r="N3774" s="283" t="e">
        <f>+(Tabla4[[#This Row],[Precio Descontado]]-Tabla4[[#This Row],[Precio Base]])*Tabla4[[#This Row],[Cantidad]]</f>
        <v>#N/A</v>
      </c>
      <c r="O3774" s="284" t="e">
        <f>++Tabla4[[#This Row],[Utilidad Total]]/Tabla4[[#This Row],[Total]]</f>
        <v>#N/A</v>
      </c>
      <c r="P3774" s="282">
        <f>++Tabla4[[#This Row],[Precio Descontado]]*Tabla4[[#This Row],[Cantidad]]</f>
        <v>12731.700477599999</v>
      </c>
      <c r="Q3774" s="282" t="e">
        <f>(INDEX(Tabla6[#All],MATCH(Tabla4[[#This Row],[Producto]],Tabla6[[#All],[PRODUCTO]],0),MATCH(Tabla4[[#This Row],[Mes]],Tabla6[#Headers],0)))</f>
        <v>#N/A</v>
      </c>
      <c r="R3774" s="282" t="e">
        <f>++Tabla4[[#This Row],[Precio Unitario Neto]]-Tabla4[[#This Row],[20.85%]]-Tabla4[[#This Row],[Costo]]</f>
        <v>#N/A</v>
      </c>
      <c r="S3774" s="282" t="e">
        <f>++Tabla4[[#This Row],[U. Bruta Uni]]*Tabla4[[#This Row],[Cantidad]]</f>
        <v>#N/A</v>
      </c>
      <c r="T3774" s="369" t="str">
        <f>VLOOKUP(Tabla4[[#This Row],[Producto]],Tabla6[#All],14,FALSE)</f>
        <v>Termico Solar</v>
      </c>
      <c r="U3774" s="284" t="e">
        <f>(IF(Tabla4[[#This Row],[Familia]]="termico solar",Tabla4[[#This Row],[Utilidad Total]]*6%,Tabla4[[#This Row],[Utilidad Total]]*11.5%))/Tabla4[[#This Row],[Total]]</f>
        <v>#N/A</v>
      </c>
      <c r="V3774" s="282" t="e">
        <f>+Tabla4[[#This Row],[Comisión Calculada]]*Tabla4[[#This Row],[Total]]</f>
        <v>#N/A</v>
      </c>
    </row>
    <row r="3775" spans="1:22" hidden="1" x14ac:dyDescent="0.25">
      <c r="A3775" s="100">
        <v>45838</v>
      </c>
      <c r="B3775" t="str">
        <f t="shared" si="177"/>
        <v>June</v>
      </c>
      <c r="C3775" s="46" t="s">
        <v>280</v>
      </c>
      <c r="F3775" s="366" t="s">
        <v>2157</v>
      </c>
      <c r="G3775" s="46" t="s">
        <v>18</v>
      </c>
      <c r="H3775" s="46">
        <v>2</v>
      </c>
      <c r="I3775" s="51">
        <v>5367.65</v>
      </c>
      <c r="J3775" s="281">
        <f>++Tabla4[[#This Row],[Precio Bruto]]*1.16</f>
        <v>6226.4739999999993</v>
      </c>
      <c r="K3775" s="281">
        <f>+Tabla4[[#This Row],[Precio Unitario Neto]]*Tabla4[[#Headers],[20.85%]]</f>
        <v>1298.2198289999999</v>
      </c>
      <c r="L3775" s="282">
        <f>++Tabla4[[#This Row],[Precio Unitario Neto]]-Tabla4[[#This Row],[20.85%]]</f>
        <v>4928.2541709999996</v>
      </c>
      <c r="M3775" s="282" t="e">
        <f>(INDEX(Tabla6[#All],MATCH(Tabla4[[#This Row],[Producto]],Tabla6[[#All],[PRODUCTO]],0),MATCH(Tabla4[[#This Row],[Mes]],Tabla6[#Headers],0)))*(1+Catalogos!$L$2)</f>
        <v>#N/A</v>
      </c>
      <c r="N3775" s="283" t="e">
        <f>+(Tabla4[[#This Row],[Precio Descontado]]-Tabla4[[#This Row],[Precio Base]])*Tabla4[[#This Row],[Cantidad]]</f>
        <v>#N/A</v>
      </c>
      <c r="O3775" s="284" t="e">
        <f>++Tabla4[[#This Row],[Utilidad Total]]/Tabla4[[#This Row],[Total]]</f>
        <v>#N/A</v>
      </c>
      <c r="P3775" s="282">
        <f>++Tabla4[[#This Row],[Precio Descontado]]*Tabla4[[#This Row],[Cantidad]]</f>
        <v>9856.5083419999992</v>
      </c>
      <c r="Q3775" s="282" t="e">
        <f>(INDEX(Tabla6[#All],MATCH(Tabla4[[#This Row],[Producto]],Tabla6[[#All],[PRODUCTO]],0),MATCH(Tabla4[[#This Row],[Mes]],Tabla6[#Headers],0)))</f>
        <v>#N/A</v>
      </c>
      <c r="R3775" s="282" t="e">
        <f>++Tabla4[[#This Row],[Precio Unitario Neto]]-Tabla4[[#This Row],[20.85%]]-Tabla4[[#This Row],[Costo]]</f>
        <v>#N/A</v>
      </c>
      <c r="S3775" s="282" t="e">
        <f>++Tabla4[[#This Row],[U. Bruta Uni]]*Tabla4[[#This Row],[Cantidad]]</f>
        <v>#N/A</v>
      </c>
      <c r="T3775" s="369" t="str">
        <f>VLOOKUP(Tabla4[[#This Row],[Producto]],Tabla6[#All],14,FALSE)</f>
        <v>Termico Solar</v>
      </c>
      <c r="U3775" s="284" t="e">
        <f>(IF(Tabla4[[#This Row],[Familia]]="termico solar",Tabla4[[#This Row],[Utilidad Total]]*6%,Tabla4[[#This Row],[Utilidad Total]]*11.5%))/Tabla4[[#This Row],[Total]]</f>
        <v>#N/A</v>
      </c>
      <c r="V3775" s="282" t="e">
        <f>+Tabla4[[#This Row],[Comisión Calculada]]*Tabla4[[#This Row],[Total]]</f>
        <v>#N/A</v>
      </c>
    </row>
    <row r="3776" spans="1:22" hidden="1" x14ac:dyDescent="0.25">
      <c r="A3776" s="100">
        <v>45838</v>
      </c>
      <c r="B3776" t="str">
        <f t="shared" si="177"/>
        <v>June</v>
      </c>
      <c r="C3776" s="46" t="s">
        <v>280</v>
      </c>
      <c r="F3776" s="366" t="s">
        <v>2157</v>
      </c>
      <c r="G3776" s="46" t="s">
        <v>566</v>
      </c>
      <c r="H3776" s="46">
        <v>1</v>
      </c>
      <c r="I3776" s="51">
        <v>2109.4499999999998</v>
      </c>
      <c r="J3776" s="281">
        <f>++Tabla4[[#This Row],[Precio Bruto]]*1.16</f>
        <v>2446.9619999999995</v>
      </c>
      <c r="K3776" s="281">
        <f>+Tabla4[[#This Row],[Precio Unitario Neto]]*Tabla4[[#Headers],[20.85%]]</f>
        <v>510.19157699999988</v>
      </c>
      <c r="L3776" s="282">
        <f>++Tabla4[[#This Row],[Precio Unitario Neto]]-Tabla4[[#This Row],[20.85%]]</f>
        <v>1936.7704229999997</v>
      </c>
      <c r="M3776" s="282" t="e">
        <f>(INDEX(Tabla6[#All],MATCH(Tabla4[[#This Row],[Producto]],Tabla6[[#All],[PRODUCTO]],0),MATCH(Tabla4[[#This Row],[Mes]],Tabla6[#Headers],0)))*(1+Catalogos!$L$2)</f>
        <v>#N/A</v>
      </c>
      <c r="N3776" s="283" t="e">
        <f>+(Tabla4[[#This Row],[Precio Descontado]]-Tabla4[[#This Row],[Precio Base]])*Tabla4[[#This Row],[Cantidad]]</f>
        <v>#N/A</v>
      </c>
      <c r="O3776" s="284" t="e">
        <f>++Tabla4[[#This Row],[Utilidad Total]]/Tabla4[[#This Row],[Total]]</f>
        <v>#N/A</v>
      </c>
      <c r="P3776" s="282">
        <f>++Tabla4[[#This Row],[Precio Descontado]]*Tabla4[[#This Row],[Cantidad]]</f>
        <v>1936.7704229999997</v>
      </c>
      <c r="Q3776" s="282" t="e">
        <f>(INDEX(Tabla6[#All],MATCH(Tabla4[[#This Row],[Producto]],Tabla6[[#All],[PRODUCTO]],0),MATCH(Tabla4[[#This Row],[Mes]],Tabla6[#Headers],0)))</f>
        <v>#N/A</v>
      </c>
      <c r="R3776" s="282" t="e">
        <f>++Tabla4[[#This Row],[Precio Unitario Neto]]-Tabla4[[#This Row],[20.85%]]-Tabla4[[#This Row],[Costo]]</f>
        <v>#N/A</v>
      </c>
      <c r="S3776" s="282" t="e">
        <f>++Tabla4[[#This Row],[U. Bruta Uni]]*Tabla4[[#This Row],[Cantidad]]</f>
        <v>#N/A</v>
      </c>
      <c r="T3776" s="369" t="str">
        <f>VLOOKUP(Tabla4[[#This Row],[Producto]],Tabla6[#All],14,FALSE)</f>
        <v>Termico Solar</v>
      </c>
      <c r="U3776" s="284" t="e">
        <f>(IF(Tabla4[[#This Row],[Familia]]="termico solar",Tabla4[[#This Row],[Utilidad Total]]*6%,Tabla4[[#This Row],[Utilidad Total]]*11.5%))/Tabla4[[#This Row],[Total]]</f>
        <v>#N/A</v>
      </c>
      <c r="V3776" s="282" t="e">
        <f>+Tabla4[[#This Row],[Comisión Calculada]]*Tabla4[[#This Row],[Total]]</f>
        <v>#N/A</v>
      </c>
    </row>
    <row r="3777" spans="1:22" hidden="1" x14ac:dyDescent="0.25">
      <c r="A3777" s="100">
        <v>45838</v>
      </c>
      <c r="B3777" t="str">
        <f t="shared" si="177"/>
        <v>June</v>
      </c>
      <c r="C3777" s="46" t="s">
        <v>280</v>
      </c>
      <c r="F3777" s="366" t="s">
        <v>2158</v>
      </c>
      <c r="G3777" s="46" t="s">
        <v>83</v>
      </c>
      <c r="H3777" s="46">
        <v>1</v>
      </c>
      <c r="I3777" s="51">
        <v>8858.76</v>
      </c>
      <c r="J3777" s="281">
        <f>++Tabla4[[#This Row],[Precio Bruto]]*1.16</f>
        <v>10276.161599999999</v>
      </c>
      <c r="K3777" s="281">
        <f>+Tabla4[[#This Row],[Precio Unitario Neto]]*Tabla4[[#Headers],[20.85%]]</f>
        <v>2142.5796935999997</v>
      </c>
      <c r="L3777" s="282">
        <f>++Tabla4[[#This Row],[Precio Unitario Neto]]-Tabla4[[#This Row],[20.85%]]</f>
        <v>8133.5819063999998</v>
      </c>
      <c r="M3777" s="282" t="e">
        <f>(INDEX(Tabla6[#All],MATCH(Tabla4[[#This Row],[Producto]],Tabla6[[#All],[PRODUCTO]],0),MATCH(Tabla4[[#This Row],[Mes]],Tabla6[#Headers],0)))*(1+Catalogos!$L$2)</f>
        <v>#N/A</v>
      </c>
      <c r="N3777" s="283" t="e">
        <f>+(Tabla4[[#This Row],[Precio Descontado]]-Tabla4[[#This Row],[Precio Base]])*Tabla4[[#This Row],[Cantidad]]</f>
        <v>#N/A</v>
      </c>
      <c r="O3777" s="284" t="e">
        <f>++Tabla4[[#This Row],[Utilidad Total]]/Tabla4[[#This Row],[Total]]</f>
        <v>#N/A</v>
      </c>
      <c r="P3777" s="282">
        <f>++Tabla4[[#This Row],[Precio Descontado]]*Tabla4[[#This Row],[Cantidad]]</f>
        <v>8133.5819063999998</v>
      </c>
      <c r="Q3777" s="282" t="e">
        <f>(INDEX(Tabla6[#All],MATCH(Tabla4[[#This Row],[Producto]],Tabla6[[#All],[PRODUCTO]],0),MATCH(Tabla4[[#This Row],[Mes]],Tabla6[#Headers],0)))</f>
        <v>#N/A</v>
      </c>
      <c r="R3777" s="282" t="e">
        <f>++Tabla4[[#This Row],[Precio Unitario Neto]]-Tabla4[[#This Row],[20.85%]]-Tabla4[[#This Row],[Costo]]</f>
        <v>#N/A</v>
      </c>
      <c r="S3777" s="282" t="e">
        <f>++Tabla4[[#This Row],[U. Bruta Uni]]*Tabla4[[#This Row],[Cantidad]]</f>
        <v>#N/A</v>
      </c>
      <c r="T3777" s="369" t="str">
        <f>VLOOKUP(Tabla4[[#This Row],[Producto]],Tabla6[#All],14,FALSE)</f>
        <v>Termico Solar</v>
      </c>
      <c r="U3777" s="284" t="e">
        <f>(IF(Tabla4[[#This Row],[Familia]]="termico solar",Tabla4[[#This Row],[Utilidad Total]]*6%,Tabla4[[#This Row],[Utilidad Total]]*11.5%))/Tabla4[[#This Row],[Total]]</f>
        <v>#N/A</v>
      </c>
      <c r="V3777" s="282" t="e">
        <f>+Tabla4[[#This Row],[Comisión Calculada]]*Tabla4[[#This Row],[Total]]</f>
        <v>#N/A</v>
      </c>
    </row>
    <row r="3778" spans="1:22" hidden="1" x14ac:dyDescent="0.25">
      <c r="A3778" s="100">
        <v>45838</v>
      </c>
      <c r="B3778" t="str">
        <f t="shared" si="177"/>
        <v>June</v>
      </c>
      <c r="C3778" s="46" t="s">
        <v>280</v>
      </c>
      <c r="F3778" s="366" t="s">
        <v>2158</v>
      </c>
      <c r="G3778" s="46" t="s">
        <v>17</v>
      </c>
      <c r="H3778" s="46">
        <v>3</v>
      </c>
      <c r="I3778" s="51">
        <v>4622.28</v>
      </c>
      <c r="J3778" s="281">
        <f>++Tabla4[[#This Row],[Precio Bruto]]*1.16</f>
        <v>5361.8447999999989</v>
      </c>
      <c r="K3778" s="281">
        <f>+Tabla4[[#This Row],[Precio Unitario Neto]]*Tabla4[[#Headers],[20.85%]]</f>
        <v>1117.9446407999997</v>
      </c>
      <c r="L3778" s="282">
        <f>++Tabla4[[#This Row],[Precio Unitario Neto]]-Tabla4[[#This Row],[20.85%]]</f>
        <v>4243.9001591999995</v>
      </c>
      <c r="M3778" s="282" t="e">
        <f>(INDEX(Tabla6[#All],MATCH(Tabla4[[#This Row],[Producto]],Tabla6[[#All],[PRODUCTO]],0),MATCH(Tabla4[[#This Row],[Mes]],Tabla6[#Headers],0)))*(1+Catalogos!$L$2)</f>
        <v>#N/A</v>
      </c>
      <c r="N3778" s="283" t="e">
        <f>+(Tabla4[[#This Row],[Precio Descontado]]-Tabla4[[#This Row],[Precio Base]])*Tabla4[[#This Row],[Cantidad]]</f>
        <v>#N/A</v>
      </c>
      <c r="O3778" s="284" t="e">
        <f>++Tabla4[[#This Row],[Utilidad Total]]/Tabla4[[#This Row],[Total]]</f>
        <v>#N/A</v>
      </c>
      <c r="P3778" s="282">
        <f>++Tabla4[[#This Row],[Precio Descontado]]*Tabla4[[#This Row],[Cantidad]]</f>
        <v>12731.700477599999</v>
      </c>
      <c r="Q3778" s="282" t="e">
        <f>(INDEX(Tabla6[#All],MATCH(Tabla4[[#This Row],[Producto]],Tabla6[[#All],[PRODUCTO]],0),MATCH(Tabla4[[#This Row],[Mes]],Tabla6[#Headers],0)))</f>
        <v>#N/A</v>
      </c>
      <c r="R3778" s="282" t="e">
        <f>++Tabla4[[#This Row],[Precio Unitario Neto]]-Tabla4[[#This Row],[20.85%]]-Tabla4[[#This Row],[Costo]]</f>
        <v>#N/A</v>
      </c>
      <c r="S3778" s="282" t="e">
        <f>++Tabla4[[#This Row],[U. Bruta Uni]]*Tabla4[[#This Row],[Cantidad]]</f>
        <v>#N/A</v>
      </c>
      <c r="T3778" s="369" t="str">
        <f>VLOOKUP(Tabla4[[#This Row],[Producto]],Tabla6[#All],14,FALSE)</f>
        <v>Termico Solar</v>
      </c>
      <c r="U3778" s="284" t="e">
        <f>(IF(Tabla4[[#This Row],[Familia]]="termico solar",Tabla4[[#This Row],[Utilidad Total]]*6%,Tabla4[[#This Row],[Utilidad Total]]*11.5%))/Tabla4[[#This Row],[Total]]</f>
        <v>#N/A</v>
      </c>
      <c r="V3778" s="282" t="e">
        <f>+Tabla4[[#This Row],[Comisión Calculada]]*Tabla4[[#This Row],[Total]]</f>
        <v>#N/A</v>
      </c>
    </row>
    <row r="3779" spans="1:22" hidden="1" x14ac:dyDescent="0.25">
      <c r="A3779" s="100">
        <v>45838</v>
      </c>
      <c r="B3779" t="str">
        <f t="shared" si="177"/>
        <v>June</v>
      </c>
      <c r="C3779" s="46" t="s">
        <v>280</v>
      </c>
      <c r="F3779" s="366" t="s">
        <v>2158</v>
      </c>
      <c r="G3779" s="46" t="s">
        <v>18</v>
      </c>
      <c r="H3779" s="46">
        <v>4</v>
      </c>
      <c r="I3779" s="51">
        <v>5367.65</v>
      </c>
      <c r="J3779" s="281">
        <f>++Tabla4[[#This Row],[Precio Bruto]]*1.16</f>
        <v>6226.4739999999993</v>
      </c>
      <c r="K3779" s="281">
        <f>+Tabla4[[#This Row],[Precio Unitario Neto]]*Tabla4[[#Headers],[20.85%]]</f>
        <v>1298.2198289999999</v>
      </c>
      <c r="L3779" s="282">
        <f>++Tabla4[[#This Row],[Precio Unitario Neto]]-Tabla4[[#This Row],[20.85%]]</f>
        <v>4928.2541709999996</v>
      </c>
      <c r="M3779" s="282" t="e">
        <f>(INDEX(Tabla6[#All],MATCH(Tabla4[[#This Row],[Producto]],Tabla6[[#All],[PRODUCTO]],0),MATCH(Tabla4[[#This Row],[Mes]],Tabla6[#Headers],0)))*(1+Catalogos!$L$2)</f>
        <v>#N/A</v>
      </c>
      <c r="N3779" s="283" t="e">
        <f>+(Tabla4[[#This Row],[Precio Descontado]]-Tabla4[[#This Row],[Precio Base]])*Tabla4[[#This Row],[Cantidad]]</f>
        <v>#N/A</v>
      </c>
      <c r="O3779" s="284" t="e">
        <f>++Tabla4[[#This Row],[Utilidad Total]]/Tabla4[[#This Row],[Total]]</f>
        <v>#N/A</v>
      </c>
      <c r="P3779" s="282">
        <f>++Tabla4[[#This Row],[Precio Descontado]]*Tabla4[[#This Row],[Cantidad]]</f>
        <v>19713.016683999998</v>
      </c>
      <c r="Q3779" s="282" t="e">
        <f>(INDEX(Tabla6[#All],MATCH(Tabla4[[#This Row],[Producto]],Tabla6[[#All],[PRODUCTO]],0),MATCH(Tabla4[[#This Row],[Mes]],Tabla6[#Headers],0)))</f>
        <v>#N/A</v>
      </c>
      <c r="R3779" s="282" t="e">
        <f>++Tabla4[[#This Row],[Precio Unitario Neto]]-Tabla4[[#This Row],[20.85%]]-Tabla4[[#This Row],[Costo]]</f>
        <v>#N/A</v>
      </c>
      <c r="S3779" s="282" t="e">
        <f>++Tabla4[[#This Row],[U. Bruta Uni]]*Tabla4[[#This Row],[Cantidad]]</f>
        <v>#N/A</v>
      </c>
      <c r="T3779" s="369" t="str">
        <f>VLOOKUP(Tabla4[[#This Row],[Producto]],Tabla6[#All],14,FALSE)</f>
        <v>Termico Solar</v>
      </c>
      <c r="U3779" s="284" t="e">
        <f>(IF(Tabla4[[#This Row],[Familia]]="termico solar",Tabla4[[#This Row],[Utilidad Total]]*6%,Tabla4[[#This Row],[Utilidad Total]]*11.5%))/Tabla4[[#This Row],[Total]]</f>
        <v>#N/A</v>
      </c>
      <c r="V3779" s="282" t="e">
        <f>+Tabla4[[#This Row],[Comisión Calculada]]*Tabla4[[#This Row],[Total]]</f>
        <v>#N/A</v>
      </c>
    </row>
    <row r="3780" spans="1:22" hidden="1" x14ac:dyDescent="0.25">
      <c r="A3780" s="100">
        <v>45838</v>
      </c>
      <c r="B3780" t="str">
        <f t="shared" si="177"/>
        <v>June</v>
      </c>
      <c r="C3780" s="46" t="s">
        <v>280</v>
      </c>
      <c r="F3780" s="366" t="s">
        <v>2158</v>
      </c>
      <c r="G3780" s="46" t="s">
        <v>566</v>
      </c>
      <c r="H3780" s="46">
        <v>1</v>
      </c>
      <c r="I3780" s="51">
        <v>2109.4499999999998</v>
      </c>
      <c r="J3780" s="281">
        <f>++Tabla4[[#This Row],[Precio Bruto]]*1.16</f>
        <v>2446.9619999999995</v>
      </c>
      <c r="K3780" s="281">
        <f>+Tabla4[[#This Row],[Precio Unitario Neto]]*Tabla4[[#Headers],[20.85%]]</f>
        <v>510.19157699999988</v>
      </c>
      <c r="L3780" s="282">
        <f>++Tabla4[[#This Row],[Precio Unitario Neto]]-Tabla4[[#This Row],[20.85%]]</f>
        <v>1936.7704229999997</v>
      </c>
      <c r="M3780" s="282" t="e">
        <f>(INDEX(Tabla6[#All],MATCH(Tabla4[[#This Row],[Producto]],Tabla6[[#All],[PRODUCTO]],0),MATCH(Tabla4[[#This Row],[Mes]],Tabla6[#Headers],0)))*(1+Catalogos!$L$2)</f>
        <v>#N/A</v>
      </c>
      <c r="N3780" s="283" t="e">
        <f>+(Tabla4[[#This Row],[Precio Descontado]]-Tabla4[[#This Row],[Precio Base]])*Tabla4[[#This Row],[Cantidad]]</f>
        <v>#N/A</v>
      </c>
      <c r="O3780" s="284" t="e">
        <f>++Tabla4[[#This Row],[Utilidad Total]]/Tabla4[[#This Row],[Total]]</f>
        <v>#N/A</v>
      </c>
      <c r="P3780" s="282">
        <f>++Tabla4[[#This Row],[Precio Descontado]]*Tabla4[[#This Row],[Cantidad]]</f>
        <v>1936.7704229999997</v>
      </c>
      <c r="Q3780" s="282" t="e">
        <f>(INDEX(Tabla6[#All],MATCH(Tabla4[[#This Row],[Producto]],Tabla6[[#All],[PRODUCTO]],0),MATCH(Tabla4[[#This Row],[Mes]],Tabla6[#Headers],0)))</f>
        <v>#N/A</v>
      </c>
      <c r="R3780" s="282" t="e">
        <f>++Tabla4[[#This Row],[Precio Unitario Neto]]-Tabla4[[#This Row],[20.85%]]-Tabla4[[#This Row],[Costo]]</f>
        <v>#N/A</v>
      </c>
      <c r="S3780" s="282" t="e">
        <f>++Tabla4[[#This Row],[U. Bruta Uni]]*Tabla4[[#This Row],[Cantidad]]</f>
        <v>#N/A</v>
      </c>
      <c r="T3780" s="369" t="str">
        <f>VLOOKUP(Tabla4[[#This Row],[Producto]],Tabla6[#All],14,FALSE)</f>
        <v>Termico Solar</v>
      </c>
      <c r="U3780" s="284" t="e">
        <f>(IF(Tabla4[[#This Row],[Familia]]="termico solar",Tabla4[[#This Row],[Utilidad Total]]*6%,Tabla4[[#This Row],[Utilidad Total]]*11.5%))/Tabla4[[#This Row],[Total]]</f>
        <v>#N/A</v>
      </c>
      <c r="V3780" s="282" t="e">
        <f>+Tabla4[[#This Row],[Comisión Calculada]]*Tabla4[[#This Row],[Total]]</f>
        <v>#N/A</v>
      </c>
    </row>
    <row r="3781" spans="1:22" hidden="1" x14ac:dyDescent="0.25">
      <c r="A3781" s="100">
        <v>45838</v>
      </c>
      <c r="B3781" t="str">
        <f t="shared" si="177"/>
        <v>June</v>
      </c>
      <c r="C3781" s="46" t="s">
        <v>280</v>
      </c>
      <c r="F3781" s="366" t="s">
        <v>2158</v>
      </c>
      <c r="G3781" s="46" t="s">
        <v>208</v>
      </c>
      <c r="H3781" s="46">
        <v>1</v>
      </c>
      <c r="I3781" s="51">
        <v>189.75</v>
      </c>
      <c r="J3781" s="281">
        <f>++Tabla4[[#This Row],[Precio Bruto]]*1.16</f>
        <v>220.10999999999999</v>
      </c>
      <c r="K3781" s="281">
        <f>+Tabla4[[#This Row],[Precio Unitario Neto]]*Tabla4[[#Headers],[20.85%]]</f>
        <v>45.892934999999994</v>
      </c>
      <c r="L3781" s="282">
        <f>++Tabla4[[#This Row],[Precio Unitario Neto]]-Tabla4[[#This Row],[20.85%]]</f>
        <v>174.21706499999999</v>
      </c>
      <c r="M3781" s="282" t="e">
        <f>(INDEX(Tabla6[#All],MATCH(Tabla4[[#This Row],[Producto]],Tabla6[[#All],[PRODUCTO]],0),MATCH(Tabla4[[#This Row],[Mes]],Tabla6[#Headers],0)))*(1+Catalogos!$L$2)</f>
        <v>#N/A</v>
      </c>
      <c r="N3781" s="283" t="e">
        <f>+(Tabla4[[#This Row],[Precio Descontado]]-Tabla4[[#This Row],[Precio Base]])*Tabla4[[#This Row],[Cantidad]]</f>
        <v>#N/A</v>
      </c>
      <c r="O3781" s="284" t="e">
        <f>++Tabla4[[#This Row],[Utilidad Total]]/Tabla4[[#This Row],[Total]]</f>
        <v>#N/A</v>
      </c>
      <c r="P3781" s="282">
        <f>++Tabla4[[#This Row],[Precio Descontado]]*Tabla4[[#This Row],[Cantidad]]</f>
        <v>174.21706499999999</v>
      </c>
      <c r="Q3781" s="282" t="e">
        <f>(INDEX(Tabla6[#All],MATCH(Tabla4[[#This Row],[Producto]],Tabla6[[#All],[PRODUCTO]],0),MATCH(Tabla4[[#This Row],[Mes]],Tabla6[#Headers],0)))</f>
        <v>#N/A</v>
      </c>
      <c r="R3781" s="282" t="e">
        <f>++Tabla4[[#This Row],[Precio Unitario Neto]]-Tabla4[[#This Row],[20.85%]]-Tabla4[[#This Row],[Costo]]</f>
        <v>#N/A</v>
      </c>
      <c r="S3781" s="282" t="e">
        <f>++Tabla4[[#This Row],[U. Bruta Uni]]*Tabla4[[#This Row],[Cantidad]]</f>
        <v>#N/A</v>
      </c>
      <c r="T3781" s="369" t="str">
        <f>VLOOKUP(Tabla4[[#This Row],[Producto]],Tabla6[#All],14,FALSE)</f>
        <v>Termico Solar</v>
      </c>
      <c r="U3781" s="284" t="e">
        <f>(IF(Tabla4[[#This Row],[Familia]]="termico solar",Tabla4[[#This Row],[Utilidad Total]]*6%,Tabla4[[#This Row],[Utilidad Total]]*11.5%))/Tabla4[[#This Row],[Total]]</f>
        <v>#N/A</v>
      </c>
      <c r="V3781" s="282" t="e">
        <f>+Tabla4[[#This Row],[Comisión Calculada]]*Tabla4[[#This Row],[Total]]</f>
        <v>#N/A</v>
      </c>
    </row>
    <row r="3782" spans="1:22" hidden="1" x14ac:dyDescent="0.25">
      <c r="A3782" s="100">
        <v>45838</v>
      </c>
      <c r="B3782" t="str">
        <f t="shared" si="177"/>
        <v>June</v>
      </c>
      <c r="C3782" s="46" t="s">
        <v>280</v>
      </c>
      <c r="F3782" s="366" t="s">
        <v>2159</v>
      </c>
      <c r="G3782" s="46" t="s">
        <v>83</v>
      </c>
      <c r="H3782" s="46">
        <v>1</v>
      </c>
      <c r="I3782" s="51">
        <v>8858.76</v>
      </c>
      <c r="J3782" s="281">
        <f>++Tabla4[[#This Row],[Precio Bruto]]*1.16</f>
        <v>10276.161599999999</v>
      </c>
      <c r="K3782" s="281">
        <f>+Tabla4[[#This Row],[Precio Unitario Neto]]*Tabla4[[#Headers],[20.85%]]</f>
        <v>2142.5796935999997</v>
      </c>
      <c r="L3782" s="282">
        <f>++Tabla4[[#This Row],[Precio Unitario Neto]]-Tabla4[[#This Row],[20.85%]]</f>
        <v>8133.5819063999998</v>
      </c>
      <c r="M3782" s="282" t="e">
        <f>(INDEX(Tabla6[#All],MATCH(Tabla4[[#This Row],[Producto]],Tabla6[[#All],[PRODUCTO]],0),MATCH(Tabla4[[#This Row],[Mes]],Tabla6[#Headers],0)))*(1+Catalogos!$L$2)</f>
        <v>#N/A</v>
      </c>
      <c r="N3782" s="283" t="e">
        <f>+(Tabla4[[#This Row],[Precio Descontado]]-Tabla4[[#This Row],[Precio Base]])*Tabla4[[#This Row],[Cantidad]]</f>
        <v>#N/A</v>
      </c>
      <c r="O3782" s="284" t="e">
        <f>++Tabla4[[#This Row],[Utilidad Total]]/Tabla4[[#This Row],[Total]]</f>
        <v>#N/A</v>
      </c>
      <c r="P3782" s="282">
        <f>++Tabla4[[#This Row],[Precio Descontado]]*Tabla4[[#This Row],[Cantidad]]</f>
        <v>8133.5819063999998</v>
      </c>
      <c r="Q3782" s="282" t="e">
        <f>(INDEX(Tabla6[#All],MATCH(Tabla4[[#This Row],[Producto]],Tabla6[[#All],[PRODUCTO]],0),MATCH(Tabla4[[#This Row],[Mes]],Tabla6[#Headers],0)))</f>
        <v>#N/A</v>
      </c>
      <c r="R3782" s="282" t="e">
        <f>++Tabla4[[#This Row],[Precio Unitario Neto]]-Tabla4[[#This Row],[20.85%]]-Tabla4[[#This Row],[Costo]]</f>
        <v>#N/A</v>
      </c>
      <c r="S3782" s="282" t="e">
        <f>++Tabla4[[#This Row],[U. Bruta Uni]]*Tabla4[[#This Row],[Cantidad]]</f>
        <v>#N/A</v>
      </c>
      <c r="T3782" s="369" t="str">
        <f>VLOOKUP(Tabla4[[#This Row],[Producto]],Tabla6[#All],14,FALSE)</f>
        <v>Termico Solar</v>
      </c>
      <c r="U3782" s="284" t="e">
        <f>(IF(Tabla4[[#This Row],[Familia]]="termico solar",Tabla4[[#This Row],[Utilidad Total]]*6%,Tabla4[[#This Row],[Utilidad Total]]*11.5%))/Tabla4[[#This Row],[Total]]</f>
        <v>#N/A</v>
      </c>
      <c r="V3782" s="282" t="e">
        <f>+Tabla4[[#This Row],[Comisión Calculada]]*Tabla4[[#This Row],[Total]]</f>
        <v>#N/A</v>
      </c>
    </row>
    <row r="3783" spans="1:22" hidden="1" x14ac:dyDescent="0.25">
      <c r="A3783" s="100">
        <v>45838</v>
      </c>
      <c r="B3783" t="str">
        <f t="shared" si="177"/>
        <v>June</v>
      </c>
      <c r="C3783" s="46" t="s">
        <v>280</v>
      </c>
      <c r="F3783" s="366" t="s">
        <v>2159</v>
      </c>
      <c r="G3783" s="46" t="s">
        <v>17</v>
      </c>
      <c r="H3783" s="46">
        <v>3</v>
      </c>
      <c r="I3783" s="51">
        <v>4622.28</v>
      </c>
      <c r="J3783" s="281">
        <f>++Tabla4[[#This Row],[Precio Bruto]]*1.16</f>
        <v>5361.8447999999989</v>
      </c>
      <c r="K3783" s="281">
        <f>+Tabla4[[#This Row],[Precio Unitario Neto]]*Tabla4[[#Headers],[20.85%]]</f>
        <v>1117.9446407999997</v>
      </c>
      <c r="L3783" s="282">
        <f>++Tabla4[[#This Row],[Precio Unitario Neto]]-Tabla4[[#This Row],[20.85%]]</f>
        <v>4243.9001591999995</v>
      </c>
      <c r="M3783" s="282" t="e">
        <f>(INDEX(Tabla6[#All],MATCH(Tabla4[[#This Row],[Producto]],Tabla6[[#All],[PRODUCTO]],0),MATCH(Tabla4[[#This Row],[Mes]],Tabla6[#Headers],0)))*(1+Catalogos!$L$2)</f>
        <v>#N/A</v>
      </c>
      <c r="N3783" s="283" t="e">
        <f>+(Tabla4[[#This Row],[Precio Descontado]]-Tabla4[[#This Row],[Precio Base]])*Tabla4[[#This Row],[Cantidad]]</f>
        <v>#N/A</v>
      </c>
      <c r="O3783" s="284" t="e">
        <f>++Tabla4[[#This Row],[Utilidad Total]]/Tabla4[[#This Row],[Total]]</f>
        <v>#N/A</v>
      </c>
      <c r="P3783" s="282">
        <f>++Tabla4[[#This Row],[Precio Descontado]]*Tabla4[[#This Row],[Cantidad]]</f>
        <v>12731.700477599999</v>
      </c>
      <c r="Q3783" s="282" t="e">
        <f>(INDEX(Tabla6[#All],MATCH(Tabla4[[#This Row],[Producto]],Tabla6[[#All],[PRODUCTO]],0),MATCH(Tabla4[[#This Row],[Mes]],Tabla6[#Headers],0)))</f>
        <v>#N/A</v>
      </c>
      <c r="R3783" s="282" t="e">
        <f>++Tabla4[[#This Row],[Precio Unitario Neto]]-Tabla4[[#This Row],[20.85%]]-Tabla4[[#This Row],[Costo]]</f>
        <v>#N/A</v>
      </c>
      <c r="S3783" s="282" t="e">
        <f>++Tabla4[[#This Row],[U. Bruta Uni]]*Tabla4[[#This Row],[Cantidad]]</f>
        <v>#N/A</v>
      </c>
      <c r="T3783" s="369" t="str">
        <f>VLOOKUP(Tabla4[[#This Row],[Producto]],Tabla6[#All],14,FALSE)</f>
        <v>Termico Solar</v>
      </c>
      <c r="U3783" s="284" t="e">
        <f>(IF(Tabla4[[#This Row],[Familia]]="termico solar",Tabla4[[#This Row],[Utilidad Total]]*6%,Tabla4[[#This Row],[Utilidad Total]]*11.5%))/Tabla4[[#This Row],[Total]]</f>
        <v>#N/A</v>
      </c>
      <c r="V3783" s="282" t="e">
        <f>+Tabla4[[#This Row],[Comisión Calculada]]*Tabla4[[#This Row],[Total]]</f>
        <v>#N/A</v>
      </c>
    </row>
    <row r="3784" spans="1:22" hidden="1" x14ac:dyDescent="0.25">
      <c r="A3784" s="100">
        <v>45838</v>
      </c>
      <c r="B3784" t="str">
        <f t="shared" si="177"/>
        <v>June</v>
      </c>
      <c r="C3784" s="46" t="s">
        <v>280</v>
      </c>
      <c r="F3784" s="366" t="s">
        <v>2159</v>
      </c>
      <c r="G3784" s="46" t="s">
        <v>16</v>
      </c>
      <c r="H3784" s="46">
        <v>1</v>
      </c>
      <c r="I3784" s="51">
        <v>4103.8500000000004</v>
      </c>
      <c r="J3784" s="281">
        <f>++Tabla4[[#This Row],[Precio Bruto]]*1.16</f>
        <v>4760.4660000000003</v>
      </c>
      <c r="K3784" s="281">
        <f>+Tabla4[[#This Row],[Precio Unitario Neto]]*Tabla4[[#Headers],[20.85%]]</f>
        <v>992.55716100000006</v>
      </c>
      <c r="L3784" s="282">
        <f>++Tabla4[[#This Row],[Precio Unitario Neto]]-Tabla4[[#This Row],[20.85%]]</f>
        <v>3767.9088390000002</v>
      </c>
      <c r="M3784" s="282" t="e">
        <f>(INDEX(Tabla6[#All],MATCH(Tabla4[[#This Row],[Producto]],Tabla6[[#All],[PRODUCTO]],0),MATCH(Tabla4[[#This Row],[Mes]],Tabla6[#Headers],0)))*(1+Catalogos!$L$2)</f>
        <v>#N/A</v>
      </c>
      <c r="N3784" s="283" t="e">
        <f>+(Tabla4[[#This Row],[Precio Descontado]]-Tabla4[[#This Row],[Precio Base]])*Tabla4[[#This Row],[Cantidad]]</f>
        <v>#N/A</v>
      </c>
      <c r="O3784" s="284" t="e">
        <f>++Tabla4[[#This Row],[Utilidad Total]]/Tabla4[[#This Row],[Total]]</f>
        <v>#N/A</v>
      </c>
      <c r="P3784" s="282">
        <f>++Tabla4[[#This Row],[Precio Descontado]]*Tabla4[[#This Row],[Cantidad]]</f>
        <v>3767.9088390000002</v>
      </c>
      <c r="Q3784" s="282" t="e">
        <f>(INDEX(Tabla6[#All],MATCH(Tabla4[[#This Row],[Producto]],Tabla6[[#All],[PRODUCTO]],0),MATCH(Tabla4[[#This Row],[Mes]],Tabla6[#Headers],0)))</f>
        <v>#N/A</v>
      </c>
      <c r="R3784" s="282" t="e">
        <f>++Tabla4[[#This Row],[Precio Unitario Neto]]-Tabla4[[#This Row],[20.85%]]-Tabla4[[#This Row],[Costo]]</f>
        <v>#N/A</v>
      </c>
      <c r="S3784" s="282" t="e">
        <f>++Tabla4[[#This Row],[U. Bruta Uni]]*Tabla4[[#This Row],[Cantidad]]</f>
        <v>#N/A</v>
      </c>
      <c r="T3784" s="369" t="str">
        <f>VLOOKUP(Tabla4[[#This Row],[Producto]],Tabla6[#All],14,FALSE)</f>
        <v>Termico Solar</v>
      </c>
      <c r="U3784" s="284" t="e">
        <f>(IF(Tabla4[[#This Row],[Familia]]="termico solar",Tabla4[[#This Row],[Utilidad Total]]*6%,Tabla4[[#This Row],[Utilidad Total]]*11.5%))/Tabla4[[#This Row],[Total]]</f>
        <v>#N/A</v>
      </c>
      <c r="V3784" s="282" t="e">
        <f>+Tabla4[[#This Row],[Comisión Calculada]]*Tabla4[[#This Row],[Total]]</f>
        <v>#N/A</v>
      </c>
    </row>
    <row r="3785" spans="1:22" hidden="1" x14ac:dyDescent="0.25">
      <c r="A3785" s="100">
        <v>45838</v>
      </c>
      <c r="B3785" t="str">
        <f t="shared" si="177"/>
        <v>June</v>
      </c>
      <c r="C3785" s="46" t="s">
        <v>280</v>
      </c>
      <c r="F3785" s="366" t="s">
        <v>2160</v>
      </c>
      <c r="G3785" s="46" t="s">
        <v>83</v>
      </c>
      <c r="H3785" s="46">
        <v>1</v>
      </c>
      <c r="I3785" s="51">
        <v>8858.76</v>
      </c>
      <c r="J3785" s="281">
        <f>++Tabla4[[#This Row],[Precio Bruto]]*1.16</f>
        <v>10276.161599999999</v>
      </c>
      <c r="K3785" s="281">
        <f>+Tabla4[[#This Row],[Precio Unitario Neto]]*Tabla4[[#Headers],[20.85%]]</f>
        <v>2142.5796935999997</v>
      </c>
      <c r="L3785" s="282">
        <f>++Tabla4[[#This Row],[Precio Unitario Neto]]-Tabla4[[#This Row],[20.85%]]</f>
        <v>8133.5819063999998</v>
      </c>
      <c r="M3785" s="282" t="e">
        <f>(INDEX(Tabla6[#All],MATCH(Tabla4[[#This Row],[Producto]],Tabla6[[#All],[PRODUCTO]],0),MATCH(Tabla4[[#This Row],[Mes]],Tabla6[#Headers],0)))*(1+Catalogos!$L$2)</f>
        <v>#N/A</v>
      </c>
      <c r="N3785" s="283" t="e">
        <f>+(Tabla4[[#This Row],[Precio Descontado]]-Tabla4[[#This Row],[Precio Base]])*Tabla4[[#This Row],[Cantidad]]</f>
        <v>#N/A</v>
      </c>
      <c r="O3785" s="284" t="e">
        <f>++Tabla4[[#This Row],[Utilidad Total]]/Tabla4[[#This Row],[Total]]</f>
        <v>#N/A</v>
      </c>
      <c r="P3785" s="282">
        <f>++Tabla4[[#This Row],[Precio Descontado]]*Tabla4[[#This Row],[Cantidad]]</f>
        <v>8133.5819063999998</v>
      </c>
      <c r="Q3785" s="282" t="e">
        <f>(INDEX(Tabla6[#All],MATCH(Tabla4[[#This Row],[Producto]],Tabla6[[#All],[PRODUCTO]],0),MATCH(Tabla4[[#This Row],[Mes]],Tabla6[#Headers],0)))</f>
        <v>#N/A</v>
      </c>
      <c r="R3785" s="282" t="e">
        <f>++Tabla4[[#This Row],[Precio Unitario Neto]]-Tabla4[[#This Row],[20.85%]]-Tabla4[[#This Row],[Costo]]</f>
        <v>#N/A</v>
      </c>
      <c r="S3785" s="282" t="e">
        <f>++Tabla4[[#This Row],[U. Bruta Uni]]*Tabla4[[#This Row],[Cantidad]]</f>
        <v>#N/A</v>
      </c>
      <c r="T3785" s="369" t="str">
        <f>VLOOKUP(Tabla4[[#This Row],[Producto]],Tabla6[#All],14,FALSE)</f>
        <v>Termico Solar</v>
      </c>
      <c r="U3785" s="284" t="e">
        <f>(IF(Tabla4[[#This Row],[Familia]]="termico solar",Tabla4[[#This Row],[Utilidad Total]]*6%,Tabla4[[#This Row],[Utilidad Total]]*11.5%))/Tabla4[[#This Row],[Total]]</f>
        <v>#N/A</v>
      </c>
      <c r="V3785" s="282" t="e">
        <f>+Tabla4[[#This Row],[Comisión Calculada]]*Tabla4[[#This Row],[Total]]</f>
        <v>#N/A</v>
      </c>
    </row>
    <row r="3786" spans="1:22" hidden="1" x14ac:dyDescent="0.25">
      <c r="A3786" s="100">
        <v>45838</v>
      </c>
      <c r="B3786" t="str">
        <f t="shared" si="177"/>
        <v>June</v>
      </c>
      <c r="C3786" s="46" t="s">
        <v>280</v>
      </c>
      <c r="F3786" s="366" t="s">
        <v>2160</v>
      </c>
      <c r="G3786" s="46" t="s">
        <v>17</v>
      </c>
      <c r="H3786" s="46">
        <v>1</v>
      </c>
      <c r="I3786" s="51">
        <v>4622.28</v>
      </c>
      <c r="J3786" s="281">
        <f>++Tabla4[[#This Row],[Precio Bruto]]*1.16</f>
        <v>5361.8447999999989</v>
      </c>
      <c r="K3786" s="281">
        <f>+Tabla4[[#This Row],[Precio Unitario Neto]]*Tabla4[[#Headers],[20.85%]]</f>
        <v>1117.9446407999997</v>
      </c>
      <c r="L3786" s="282">
        <f>++Tabla4[[#This Row],[Precio Unitario Neto]]-Tabla4[[#This Row],[20.85%]]</f>
        <v>4243.9001591999995</v>
      </c>
      <c r="M3786" s="282" t="e">
        <f>(INDEX(Tabla6[#All],MATCH(Tabla4[[#This Row],[Producto]],Tabla6[[#All],[PRODUCTO]],0),MATCH(Tabla4[[#This Row],[Mes]],Tabla6[#Headers],0)))*(1+Catalogos!$L$2)</f>
        <v>#N/A</v>
      </c>
      <c r="N3786" s="283" t="e">
        <f>+(Tabla4[[#This Row],[Precio Descontado]]-Tabla4[[#This Row],[Precio Base]])*Tabla4[[#This Row],[Cantidad]]</f>
        <v>#N/A</v>
      </c>
      <c r="O3786" s="284" t="e">
        <f>++Tabla4[[#This Row],[Utilidad Total]]/Tabla4[[#This Row],[Total]]</f>
        <v>#N/A</v>
      </c>
      <c r="P3786" s="282">
        <f>++Tabla4[[#This Row],[Precio Descontado]]*Tabla4[[#This Row],[Cantidad]]</f>
        <v>4243.9001591999995</v>
      </c>
      <c r="Q3786" s="282" t="e">
        <f>(INDEX(Tabla6[#All],MATCH(Tabla4[[#This Row],[Producto]],Tabla6[[#All],[PRODUCTO]],0),MATCH(Tabla4[[#This Row],[Mes]],Tabla6[#Headers],0)))</f>
        <v>#N/A</v>
      </c>
      <c r="R3786" s="282" t="e">
        <f>++Tabla4[[#This Row],[Precio Unitario Neto]]-Tabla4[[#This Row],[20.85%]]-Tabla4[[#This Row],[Costo]]</f>
        <v>#N/A</v>
      </c>
      <c r="S3786" s="282" t="e">
        <f>++Tabla4[[#This Row],[U. Bruta Uni]]*Tabla4[[#This Row],[Cantidad]]</f>
        <v>#N/A</v>
      </c>
      <c r="T3786" s="369" t="str">
        <f>VLOOKUP(Tabla4[[#This Row],[Producto]],Tabla6[#All],14,FALSE)</f>
        <v>Termico Solar</v>
      </c>
      <c r="U3786" s="284" t="e">
        <f>(IF(Tabla4[[#This Row],[Familia]]="termico solar",Tabla4[[#This Row],[Utilidad Total]]*6%,Tabla4[[#This Row],[Utilidad Total]]*11.5%))/Tabla4[[#This Row],[Total]]</f>
        <v>#N/A</v>
      </c>
      <c r="V3786" s="282" t="e">
        <f>+Tabla4[[#This Row],[Comisión Calculada]]*Tabla4[[#This Row],[Total]]</f>
        <v>#N/A</v>
      </c>
    </row>
    <row r="3787" spans="1:22" hidden="1" x14ac:dyDescent="0.25">
      <c r="A3787" s="100">
        <v>45838</v>
      </c>
      <c r="B3787" t="str">
        <f t="shared" si="177"/>
        <v>June</v>
      </c>
      <c r="C3787" s="46" t="s">
        <v>280</v>
      </c>
      <c r="F3787" s="366" t="s">
        <v>2160</v>
      </c>
      <c r="G3787" s="46" t="s">
        <v>18</v>
      </c>
      <c r="H3787" s="46">
        <v>2</v>
      </c>
      <c r="I3787" s="51">
        <v>5367.65</v>
      </c>
      <c r="J3787" s="281">
        <f>++Tabla4[[#This Row],[Precio Bruto]]*1.16</f>
        <v>6226.4739999999993</v>
      </c>
      <c r="K3787" s="281">
        <f>+Tabla4[[#This Row],[Precio Unitario Neto]]*Tabla4[[#Headers],[20.85%]]</f>
        <v>1298.2198289999999</v>
      </c>
      <c r="L3787" s="282">
        <f>++Tabla4[[#This Row],[Precio Unitario Neto]]-Tabla4[[#This Row],[20.85%]]</f>
        <v>4928.2541709999996</v>
      </c>
      <c r="M3787" s="282" t="e">
        <f>(INDEX(Tabla6[#All],MATCH(Tabla4[[#This Row],[Producto]],Tabla6[[#All],[PRODUCTO]],0),MATCH(Tabla4[[#This Row],[Mes]],Tabla6[#Headers],0)))*(1+Catalogos!$L$2)</f>
        <v>#N/A</v>
      </c>
      <c r="N3787" s="283" t="e">
        <f>+(Tabla4[[#This Row],[Precio Descontado]]-Tabla4[[#This Row],[Precio Base]])*Tabla4[[#This Row],[Cantidad]]</f>
        <v>#N/A</v>
      </c>
      <c r="O3787" s="284" t="e">
        <f>++Tabla4[[#This Row],[Utilidad Total]]/Tabla4[[#This Row],[Total]]</f>
        <v>#N/A</v>
      </c>
      <c r="P3787" s="282">
        <f>++Tabla4[[#This Row],[Precio Descontado]]*Tabla4[[#This Row],[Cantidad]]</f>
        <v>9856.5083419999992</v>
      </c>
      <c r="Q3787" s="282" t="e">
        <f>(INDEX(Tabla6[#All],MATCH(Tabla4[[#This Row],[Producto]],Tabla6[[#All],[PRODUCTO]],0),MATCH(Tabla4[[#This Row],[Mes]],Tabla6[#Headers],0)))</f>
        <v>#N/A</v>
      </c>
      <c r="R3787" s="282" t="e">
        <f>++Tabla4[[#This Row],[Precio Unitario Neto]]-Tabla4[[#This Row],[20.85%]]-Tabla4[[#This Row],[Costo]]</f>
        <v>#N/A</v>
      </c>
      <c r="S3787" s="282" t="e">
        <f>++Tabla4[[#This Row],[U. Bruta Uni]]*Tabla4[[#This Row],[Cantidad]]</f>
        <v>#N/A</v>
      </c>
      <c r="T3787" s="369" t="str">
        <f>VLOOKUP(Tabla4[[#This Row],[Producto]],Tabla6[#All],14,FALSE)</f>
        <v>Termico Solar</v>
      </c>
      <c r="U3787" s="284" t="e">
        <f>(IF(Tabla4[[#This Row],[Familia]]="termico solar",Tabla4[[#This Row],[Utilidad Total]]*6%,Tabla4[[#This Row],[Utilidad Total]]*11.5%))/Tabla4[[#This Row],[Total]]</f>
        <v>#N/A</v>
      </c>
      <c r="V3787" s="282" t="e">
        <f>+Tabla4[[#This Row],[Comisión Calculada]]*Tabla4[[#This Row],[Total]]</f>
        <v>#N/A</v>
      </c>
    </row>
    <row r="3788" spans="1:22" hidden="1" x14ac:dyDescent="0.25">
      <c r="A3788" s="100">
        <v>45838</v>
      </c>
      <c r="B3788" t="str">
        <f t="shared" si="177"/>
        <v>June</v>
      </c>
      <c r="C3788" s="46" t="s">
        <v>280</v>
      </c>
      <c r="F3788" s="366" t="s">
        <v>2160</v>
      </c>
      <c r="G3788" s="46" t="s">
        <v>16</v>
      </c>
      <c r="H3788" s="46">
        <v>1</v>
      </c>
      <c r="I3788" s="51">
        <v>4103.8500000000004</v>
      </c>
      <c r="J3788" s="281">
        <f>++Tabla4[[#This Row],[Precio Bruto]]*1.16</f>
        <v>4760.4660000000003</v>
      </c>
      <c r="K3788" s="281">
        <f>+Tabla4[[#This Row],[Precio Unitario Neto]]*Tabla4[[#Headers],[20.85%]]</f>
        <v>992.55716100000006</v>
      </c>
      <c r="L3788" s="282">
        <f>++Tabla4[[#This Row],[Precio Unitario Neto]]-Tabla4[[#This Row],[20.85%]]</f>
        <v>3767.9088390000002</v>
      </c>
      <c r="M3788" s="282" t="e">
        <f>(INDEX(Tabla6[#All],MATCH(Tabla4[[#This Row],[Producto]],Tabla6[[#All],[PRODUCTO]],0),MATCH(Tabla4[[#This Row],[Mes]],Tabla6[#Headers],0)))*(1+Catalogos!$L$2)</f>
        <v>#N/A</v>
      </c>
      <c r="N3788" s="283" t="e">
        <f>+(Tabla4[[#This Row],[Precio Descontado]]-Tabla4[[#This Row],[Precio Base]])*Tabla4[[#This Row],[Cantidad]]</f>
        <v>#N/A</v>
      </c>
      <c r="O3788" s="284" t="e">
        <f>++Tabla4[[#This Row],[Utilidad Total]]/Tabla4[[#This Row],[Total]]</f>
        <v>#N/A</v>
      </c>
      <c r="P3788" s="282">
        <f>++Tabla4[[#This Row],[Precio Descontado]]*Tabla4[[#This Row],[Cantidad]]</f>
        <v>3767.9088390000002</v>
      </c>
      <c r="Q3788" s="282" t="e">
        <f>(INDEX(Tabla6[#All],MATCH(Tabla4[[#This Row],[Producto]],Tabla6[[#All],[PRODUCTO]],0),MATCH(Tabla4[[#This Row],[Mes]],Tabla6[#Headers],0)))</f>
        <v>#N/A</v>
      </c>
      <c r="R3788" s="282" t="e">
        <f>++Tabla4[[#This Row],[Precio Unitario Neto]]-Tabla4[[#This Row],[20.85%]]-Tabla4[[#This Row],[Costo]]</f>
        <v>#N/A</v>
      </c>
      <c r="S3788" s="282" t="e">
        <f>++Tabla4[[#This Row],[U. Bruta Uni]]*Tabla4[[#This Row],[Cantidad]]</f>
        <v>#N/A</v>
      </c>
      <c r="T3788" s="369" t="str">
        <f>VLOOKUP(Tabla4[[#This Row],[Producto]],Tabla6[#All],14,FALSE)</f>
        <v>Termico Solar</v>
      </c>
      <c r="U3788" s="284" t="e">
        <f>(IF(Tabla4[[#This Row],[Familia]]="termico solar",Tabla4[[#This Row],[Utilidad Total]]*6%,Tabla4[[#This Row],[Utilidad Total]]*11.5%))/Tabla4[[#This Row],[Total]]</f>
        <v>#N/A</v>
      </c>
      <c r="V3788" s="282" t="e">
        <f>+Tabla4[[#This Row],[Comisión Calculada]]*Tabla4[[#This Row],[Total]]</f>
        <v>#N/A</v>
      </c>
    </row>
    <row r="3789" spans="1:22" hidden="1" x14ac:dyDescent="0.25">
      <c r="A3789" s="100">
        <v>45838</v>
      </c>
      <c r="B3789" t="str">
        <f t="shared" si="177"/>
        <v>June</v>
      </c>
      <c r="C3789" s="46" t="s">
        <v>280</v>
      </c>
      <c r="F3789" s="366" t="s">
        <v>2160</v>
      </c>
      <c r="G3789" s="46" t="s">
        <v>208</v>
      </c>
      <c r="H3789" s="46">
        <v>4</v>
      </c>
      <c r="I3789" s="51">
        <v>189.75</v>
      </c>
      <c r="J3789" s="281">
        <f>++Tabla4[[#This Row],[Precio Bruto]]*1.16</f>
        <v>220.10999999999999</v>
      </c>
      <c r="K3789" s="281">
        <f>+Tabla4[[#This Row],[Precio Unitario Neto]]*Tabla4[[#Headers],[20.85%]]</f>
        <v>45.892934999999994</v>
      </c>
      <c r="L3789" s="282">
        <f>++Tabla4[[#This Row],[Precio Unitario Neto]]-Tabla4[[#This Row],[20.85%]]</f>
        <v>174.21706499999999</v>
      </c>
      <c r="M3789" s="282" t="e">
        <f>(INDEX(Tabla6[#All],MATCH(Tabla4[[#This Row],[Producto]],Tabla6[[#All],[PRODUCTO]],0),MATCH(Tabla4[[#This Row],[Mes]],Tabla6[#Headers],0)))*(1+Catalogos!$L$2)</f>
        <v>#N/A</v>
      </c>
      <c r="N3789" s="283" t="e">
        <f>+(Tabla4[[#This Row],[Precio Descontado]]-Tabla4[[#This Row],[Precio Base]])*Tabla4[[#This Row],[Cantidad]]</f>
        <v>#N/A</v>
      </c>
      <c r="O3789" s="284" t="e">
        <f>++Tabla4[[#This Row],[Utilidad Total]]/Tabla4[[#This Row],[Total]]</f>
        <v>#N/A</v>
      </c>
      <c r="P3789" s="282">
        <f>++Tabla4[[#This Row],[Precio Descontado]]*Tabla4[[#This Row],[Cantidad]]</f>
        <v>696.86825999999996</v>
      </c>
      <c r="Q3789" s="282" t="e">
        <f>(INDEX(Tabla6[#All],MATCH(Tabla4[[#This Row],[Producto]],Tabla6[[#All],[PRODUCTO]],0),MATCH(Tabla4[[#This Row],[Mes]],Tabla6[#Headers],0)))</f>
        <v>#N/A</v>
      </c>
      <c r="R3789" s="282" t="e">
        <f>++Tabla4[[#This Row],[Precio Unitario Neto]]-Tabla4[[#This Row],[20.85%]]-Tabla4[[#This Row],[Costo]]</f>
        <v>#N/A</v>
      </c>
      <c r="S3789" s="282" t="e">
        <f>++Tabla4[[#This Row],[U. Bruta Uni]]*Tabla4[[#This Row],[Cantidad]]</f>
        <v>#N/A</v>
      </c>
      <c r="T3789" s="369" t="str">
        <f>VLOOKUP(Tabla4[[#This Row],[Producto]],Tabla6[#All],14,FALSE)</f>
        <v>Termico Solar</v>
      </c>
      <c r="U3789" s="284" t="e">
        <f>(IF(Tabla4[[#This Row],[Familia]]="termico solar",Tabla4[[#This Row],[Utilidad Total]]*6%,Tabla4[[#This Row],[Utilidad Total]]*11.5%))/Tabla4[[#This Row],[Total]]</f>
        <v>#N/A</v>
      </c>
      <c r="V3789" s="282" t="e">
        <f>+Tabla4[[#This Row],[Comisión Calculada]]*Tabla4[[#This Row],[Total]]</f>
        <v>#N/A</v>
      </c>
    </row>
    <row r="3790" spans="1:22" hidden="1" x14ac:dyDescent="0.25">
      <c r="A3790" s="100">
        <v>45838</v>
      </c>
      <c r="B3790" t="str">
        <f t="shared" si="177"/>
        <v>June</v>
      </c>
      <c r="C3790" s="46" t="s">
        <v>280</v>
      </c>
      <c r="F3790" s="366" t="s">
        <v>2161</v>
      </c>
      <c r="G3790" s="46" t="s">
        <v>83</v>
      </c>
      <c r="H3790" s="46">
        <v>2</v>
      </c>
      <c r="I3790" s="51">
        <v>8858.76</v>
      </c>
      <c r="J3790" s="281">
        <f>++Tabla4[[#This Row],[Precio Bruto]]*1.16</f>
        <v>10276.161599999999</v>
      </c>
      <c r="K3790" s="281">
        <f>+Tabla4[[#This Row],[Precio Unitario Neto]]*Tabla4[[#Headers],[20.85%]]</f>
        <v>2142.5796935999997</v>
      </c>
      <c r="L3790" s="282">
        <f>++Tabla4[[#This Row],[Precio Unitario Neto]]-Tabla4[[#This Row],[20.85%]]</f>
        <v>8133.5819063999998</v>
      </c>
      <c r="M3790" s="282" t="e">
        <f>(INDEX(Tabla6[#All],MATCH(Tabla4[[#This Row],[Producto]],Tabla6[[#All],[PRODUCTO]],0),MATCH(Tabla4[[#This Row],[Mes]],Tabla6[#Headers],0)))*(1+Catalogos!$L$2)</f>
        <v>#N/A</v>
      </c>
      <c r="N3790" s="283" t="e">
        <f>+(Tabla4[[#This Row],[Precio Descontado]]-Tabla4[[#This Row],[Precio Base]])*Tabla4[[#This Row],[Cantidad]]</f>
        <v>#N/A</v>
      </c>
      <c r="O3790" s="284" t="e">
        <f>++Tabla4[[#This Row],[Utilidad Total]]/Tabla4[[#This Row],[Total]]</f>
        <v>#N/A</v>
      </c>
      <c r="P3790" s="282">
        <f>++Tabla4[[#This Row],[Precio Descontado]]*Tabla4[[#This Row],[Cantidad]]</f>
        <v>16267.1638128</v>
      </c>
      <c r="Q3790" s="282" t="e">
        <f>(INDEX(Tabla6[#All],MATCH(Tabla4[[#This Row],[Producto]],Tabla6[[#All],[PRODUCTO]],0),MATCH(Tabla4[[#This Row],[Mes]],Tabla6[#Headers],0)))</f>
        <v>#N/A</v>
      </c>
      <c r="R3790" s="282" t="e">
        <f>++Tabla4[[#This Row],[Precio Unitario Neto]]-Tabla4[[#This Row],[20.85%]]-Tabla4[[#This Row],[Costo]]</f>
        <v>#N/A</v>
      </c>
      <c r="S3790" s="282" t="e">
        <f>++Tabla4[[#This Row],[U. Bruta Uni]]*Tabla4[[#This Row],[Cantidad]]</f>
        <v>#N/A</v>
      </c>
      <c r="T3790" s="369" t="str">
        <f>VLOOKUP(Tabla4[[#This Row],[Producto]],Tabla6[#All],14,FALSE)</f>
        <v>Termico Solar</v>
      </c>
      <c r="U3790" s="284" t="e">
        <f>(IF(Tabla4[[#This Row],[Familia]]="termico solar",Tabla4[[#This Row],[Utilidad Total]]*6%,Tabla4[[#This Row],[Utilidad Total]]*11.5%))/Tabla4[[#This Row],[Total]]</f>
        <v>#N/A</v>
      </c>
      <c r="V3790" s="282" t="e">
        <f>+Tabla4[[#This Row],[Comisión Calculada]]*Tabla4[[#This Row],[Total]]</f>
        <v>#N/A</v>
      </c>
    </row>
    <row r="3791" spans="1:22" hidden="1" x14ac:dyDescent="0.25">
      <c r="A3791" s="100">
        <v>45838</v>
      </c>
      <c r="B3791" t="str">
        <f t="shared" si="177"/>
        <v>June</v>
      </c>
      <c r="C3791" s="46" t="s">
        <v>280</v>
      </c>
      <c r="F3791" s="366" t="s">
        <v>2161</v>
      </c>
      <c r="G3791" s="46" t="s">
        <v>18</v>
      </c>
      <c r="H3791" s="46">
        <v>2</v>
      </c>
      <c r="I3791" s="51">
        <v>5367.65</v>
      </c>
      <c r="J3791" s="281">
        <f>++Tabla4[[#This Row],[Precio Bruto]]*1.16</f>
        <v>6226.4739999999993</v>
      </c>
      <c r="K3791" s="281">
        <f>+Tabla4[[#This Row],[Precio Unitario Neto]]*Tabla4[[#Headers],[20.85%]]</f>
        <v>1298.2198289999999</v>
      </c>
      <c r="L3791" s="282">
        <f>++Tabla4[[#This Row],[Precio Unitario Neto]]-Tabla4[[#This Row],[20.85%]]</f>
        <v>4928.2541709999996</v>
      </c>
      <c r="M3791" s="282" t="e">
        <f>(INDEX(Tabla6[#All],MATCH(Tabla4[[#This Row],[Producto]],Tabla6[[#All],[PRODUCTO]],0),MATCH(Tabla4[[#This Row],[Mes]],Tabla6[#Headers],0)))*(1+Catalogos!$L$2)</f>
        <v>#N/A</v>
      </c>
      <c r="N3791" s="283" t="e">
        <f>+(Tabla4[[#This Row],[Precio Descontado]]-Tabla4[[#This Row],[Precio Base]])*Tabla4[[#This Row],[Cantidad]]</f>
        <v>#N/A</v>
      </c>
      <c r="O3791" s="284" t="e">
        <f>++Tabla4[[#This Row],[Utilidad Total]]/Tabla4[[#This Row],[Total]]</f>
        <v>#N/A</v>
      </c>
      <c r="P3791" s="282">
        <f>++Tabla4[[#This Row],[Precio Descontado]]*Tabla4[[#This Row],[Cantidad]]</f>
        <v>9856.5083419999992</v>
      </c>
      <c r="Q3791" s="282" t="e">
        <f>(INDEX(Tabla6[#All],MATCH(Tabla4[[#This Row],[Producto]],Tabla6[[#All],[PRODUCTO]],0),MATCH(Tabla4[[#This Row],[Mes]],Tabla6[#Headers],0)))</f>
        <v>#N/A</v>
      </c>
      <c r="R3791" s="282" t="e">
        <f>++Tabla4[[#This Row],[Precio Unitario Neto]]-Tabla4[[#This Row],[20.85%]]-Tabla4[[#This Row],[Costo]]</f>
        <v>#N/A</v>
      </c>
      <c r="S3791" s="282" t="e">
        <f>++Tabla4[[#This Row],[U. Bruta Uni]]*Tabla4[[#This Row],[Cantidad]]</f>
        <v>#N/A</v>
      </c>
      <c r="T3791" s="369" t="str">
        <f>VLOOKUP(Tabla4[[#This Row],[Producto]],Tabla6[#All],14,FALSE)</f>
        <v>Termico Solar</v>
      </c>
      <c r="U3791" s="284" t="e">
        <f>(IF(Tabla4[[#This Row],[Familia]]="termico solar",Tabla4[[#This Row],[Utilidad Total]]*6%,Tabla4[[#This Row],[Utilidad Total]]*11.5%))/Tabla4[[#This Row],[Total]]</f>
        <v>#N/A</v>
      </c>
      <c r="V3791" s="282" t="e">
        <f>+Tabla4[[#This Row],[Comisión Calculada]]*Tabla4[[#This Row],[Total]]</f>
        <v>#N/A</v>
      </c>
    </row>
    <row r="3792" spans="1:22" hidden="1" x14ac:dyDescent="0.25">
      <c r="A3792" s="100">
        <v>45838</v>
      </c>
      <c r="B3792" t="str">
        <f t="shared" si="177"/>
        <v>June</v>
      </c>
      <c r="C3792" s="46" t="s">
        <v>280</v>
      </c>
      <c r="F3792" s="366" t="s">
        <v>2162</v>
      </c>
      <c r="G3792" s="46" t="s">
        <v>83</v>
      </c>
      <c r="H3792" s="46">
        <v>7</v>
      </c>
      <c r="I3792" s="51">
        <v>8858.76</v>
      </c>
      <c r="J3792" s="281">
        <f>++Tabla4[[#This Row],[Precio Bruto]]*1.16</f>
        <v>10276.161599999999</v>
      </c>
      <c r="K3792" s="281">
        <f>+Tabla4[[#This Row],[Precio Unitario Neto]]*Tabla4[[#Headers],[20.85%]]</f>
        <v>2142.5796935999997</v>
      </c>
      <c r="L3792" s="282">
        <f>++Tabla4[[#This Row],[Precio Unitario Neto]]-Tabla4[[#This Row],[20.85%]]</f>
        <v>8133.5819063999998</v>
      </c>
      <c r="M3792" s="282" t="e">
        <f>(INDEX(Tabla6[#All],MATCH(Tabla4[[#This Row],[Producto]],Tabla6[[#All],[PRODUCTO]],0),MATCH(Tabla4[[#This Row],[Mes]],Tabla6[#Headers],0)))*(1+Catalogos!$L$2)</f>
        <v>#N/A</v>
      </c>
      <c r="N3792" s="283" t="e">
        <f>+(Tabla4[[#This Row],[Precio Descontado]]-Tabla4[[#This Row],[Precio Base]])*Tabla4[[#This Row],[Cantidad]]</f>
        <v>#N/A</v>
      </c>
      <c r="O3792" s="284" t="e">
        <f>++Tabla4[[#This Row],[Utilidad Total]]/Tabla4[[#This Row],[Total]]</f>
        <v>#N/A</v>
      </c>
      <c r="P3792" s="282">
        <f>++Tabla4[[#This Row],[Precio Descontado]]*Tabla4[[#This Row],[Cantidad]]</f>
        <v>56935.073344799996</v>
      </c>
      <c r="Q3792" s="282" t="e">
        <f>(INDEX(Tabla6[#All],MATCH(Tabla4[[#This Row],[Producto]],Tabla6[[#All],[PRODUCTO]],0),MATCH(Tabla4[[#This Row],[Mes]],Tabla6[#Headers],0)))</f>
        <v>#N/A</v>
      </c>
      <c r="R3792" s="282" t="e">
        <f>++Tabla4[[#This Row],[Precio Unitario Neto]]-Tabla4[[#This Row],[20.85%]]-Tabla4[[#This Row],[Costo]]</f>
        <v>#N/A</v>
      </c>
      <c r="S3792" s="282" t="e">
        <f>++Tabla4[[#This Row],[U. Bruta Uni]]*Tabla4[[#This Row],[Cantidad]]</f>
        <v>#N/A</v>
      </c>
      <c r="T3792" s="369" t="str">
        <f>VLOOKUP(Tabla4[[#This Row],[Producto]],Tabla6[#All],14,FALSE)</f>
        <v>Termico Solar</v>
      </c>
      <c r="U3792" s="284" t="e">
        <f>(IF(Tabla4[[#This Row],[Familia]]="termico solar",Tabla4[[#This Row],[Utilidad Total]]*6%,Tabla4[[#This Row],[Utilidad Total]]*11.5%))/Tabla4[[#This Row],[Total]]</f>
        <v>#N/A</v>
      </c>
      <c r="V3792" s="282" t="e">
        <f>+Tabla4[[#This Row],[Comisión Calculada]]*Tabla4[[#This Row],[Total]]</f>
        <v>#N/A</v>
      </c>
    </row>
    <row r="3793" spans="1:22" hidden="1" x14ac:dyDescent="0.25">
      <c r="A3793" s="100">
        <v>45838</v>
      </c>
      <c r="B3793" t="str">
        <f t="shared" si="177"/>
        <v>June</v>
      </c>
      <c r="C3793" s="46" t="s">
        <v>280</v>
      </c>
      <c r="F3793" s="366" t="s">
        <v>2162</v>
      </c>
      <c r="G3793" s="46" t="s">
        <v>18</v>
      </c>
      <c r="H3793" s="46">
        <v>4</v>
      </c>
      <c r="I3793" s="51">
        <v>5367.65</v>
      </c>
      <c r="J3793" s="281">
        <f>++Tabla4[[#This Row],[Precio Bruto]]*1.16</f>
        <v>6226.4739999999993</v>
      </c>
      <c r="K3793" s="281">
        <f>+Tabla4[[#This Row],[Precio Unitario Neto]]*Tabla4[[#Headers],[20.85%]]</f>
        <v>1298.2198289999999</v>
      </c>
      <c r="L3793" s="282">
        <f>++Tabla4[[#This Row],[Precio Unitario Neto]]-Tabla4[[#This Row],[20.85%]]</f>
        <v>4928.2541709999996</v>
      </c>
      <c r="M3793" s="282" t="e">
        <f>(INDEX(Tabla6[#All],MATCH(Tabla4[[#This Row],[Producto]],Tabla6[[#All],[PRODUCTO]],0),MATCH(Tabla4[[#This Row],[Mes]],Tabla6[#Headers],0)))*(1+Catalogos!$L$2)</f>
        <v>#N/A</v>
      </c>
      <c r="N3793" s="283" t="e">
        <f>+(Tabla4[[#This Row],[Precio Descontado]]-Tabla4[[#This Row],[Precio Base]])*Tabla4[[#This Row],[Cantidad]]</f>
        <v>#N/A</v>
      </c>
      <c r="O3793" s="284" t="e">
        <f>++Tabla4[[#This Row],[Utilidad Total]]/Tabla4[[#This Row],[Total]]</f>
        <v>#N/A</v>
      </c>
      <c r="P3793" s="282">
        <f>++Tabla4[[#This Row],[Precio Descontado]]*Tabla4[[#This Row],[Cantidad]]</f>
        <v>19713.016683999998</v>
      </c>
      <c r="Q3793" s="282" t="e">
        <f>(INDEX(Tabla6[#All],MATCH(Tabla4[[#This Row],[Producto]],Tabla6[[#All],[PRODUCTO]],0),MATCH(Tabla4[[#This Row],[Mes]],Tabla6[#Headers],0)))</f>
        <v>#N/A</v>
      </c>
      <c r="R3793" s="282" t="e">
        <f>++Tabla4[[#This Row],[Precio Unitario Neto]]-Tabla4[[#This Row],[20.85%]]-Tabla4[[#This Row],[Costo]]</f>
        <v>#N/A</v>
      </c>
      <c r="S3793" s="282" t="e">
        <f>++Tabla4[[#This Row],[U. Bruta Uni]]*Tabla4[[#This Row],[Cantidad]]</f>
        <v>#N/A</v>
      </c>
      <c r="T3793" s="369" t="str">
        <f>VLOOKUP(Tabla4[[#This Row],[Producto]],Tabla6[#All],14,FALSE)</f>
        <v>Termico Solar</v>
      </c>
      <c r="U3793" s="284" t="e">
        <f>(IF(Tabla4[[#This Row],[Familia]]="termico solar",Tabla4[[#This Row],[Utilidad Total]]*6%,Tabla4[[#This Row],[Utilidad Total]]*11.5%))/Tabla4[[#This Row],[Total]]</f>
        <v>#N/A</v>
      </c>
      <c r="V3793" s="282" t="e">
        <f>+Tabla4[[#This Row],[Comisión Calculada]]*Tabla4[[#This Row],[Total]]</f>
        <v>#N/A</v>
      </c>
    </row>
    <row r="3794" spans="1:22" hidden="1" x14ac:dyDescent="0.25">
      <c r="A3794" s="100">
        <v>45838</v>
      </c>
      <c r="B3794" t="str">
        <f t="shared" si="177"/>
        <v>June</v>
      </c>
      <c r="C3794" s="46" t="s">
        <v>280</v>
      </c>
      <c r="F3794" s="366" t="s">
        <v>2162</v>
      </c>
      <c r="G3794" s="46" t="s">
        <v>208</v>
      </c>
      <c r="H3794" s="46">
        <v>2</v>
      </c>
      <c r="I3794" s="51">
        <v>189.75</v>
      </c>
      <c r="J3794" s="281">
        <f>++Tabla4[[#This Row],[Precio Bruto]]*1.16</f>
        <v>220.10999999999999</v>
      </c>
      <c r="K3794" s="281">
        <f>+Tabla4[[#This Row],[Precio Unitario Neto]]*Tabla4[[#Headers],[20.85%]]</f>
        <v>45.892934999999994</v>
      </c>
      <c r="L3794" s="282">
        <f>++Tabla4[[#This Row],[Precio Unitario Neto]]-Tabla4[[#This Row],[20.85%]]</f>
        <v>174.21706499999999</v>
      </c>
      <c r="M3794" s="282" t="e">
        <f>(INDEX(Tabla6[#All],MATCH(Tabla4[[#This Row],[Producto]],Tabla6[[#All],[PRODUCTO]],0),MATCH(Tabla4[[#This Row],[Mes]],Tabla6[#Headers],0)))*(1+Catalogos!$L$2)</f>
        <v>#N/A</v>
      </c>
      <c r="N3794" s="283" t="e">
        <f>+(Tabla4[[#This Row],[Precio Descontado]]-Tabla4[[#This Row],[Precio Base]])*Tabla4[[#This Row],[Cantidad]]</f>
        <v>#N/A</v>
      </c>
      <c r="O3794" s="284" t="e">
        <f>++Tabla4[[#This Row],[Utilidad Total]]/Tabla4[[#This Row],[Total]]</f>
        <v>#N/A</v>
      </c>
      <c r="P3794" s="282">
        <f>++Tabla4[[#This Row],[Precio Descontado]]*Tabla4[[#This Row],[Cantidad]]</f>
        <v>348.43412999999998</v>
      </c>
      <c r="Q3794" s="282" t="e">
        <f>(INDEX(Tabla6[#All],MATCH(Tabla4[[#This Row],[Producto]],Tabla6[[#All],[PRODUCTO]],0),MATCH(Tabla4[[#This Row],[Mes]],Tabla6[#Headers],0)))</f>
        <v>#N/A</v>
      </c>
      <c r="R3794" s="282" t="e">
        <f>++Tabla4[[#This Row],[Precio Unitario Neto]]-Tabla4[[#This Row],[20.85%]]-Tabla4[[#This Row],[Costo]]</f>
        <v>#N/A</v>
      </c>
      <c r="S3794" s="282" t="e">
        <f>++Tabla4[[#This Row],[U. Bruta Uni]]*Tabla4[[#This Row],[Cantidad]]</f>
        <v>#N/A</v>
      </c>
      <c r="T3794" s="369" t="str">
        <f>VLOOKUP(Tabla4[[#This Row],[Producto]],Tabla6[#All],14,FALSE)</f>
        <v>Termico Solar</v>
      </c>
      <c r="U3794" s="284" t="e">
        <f>(IF(Tabla4[[#This Row],[Familia]]="termico solar",Tabla4[[#This Row],[Utilidad Total]]*6%,Tabla4[[#This Row],[Utilidad Total]]*11.5%))/Tabla4[[#This Row],[Total]]</f>
        <v>#N/A</v>
      </c>
      <c r="V3794" s="282" t="e">
        <f>+Tabla4[[#This Row],[Comisión Calculada]]*Tabla4[[#This Row],[Total]]</f>
        <v>#N/A</v>
      </c>
    </row>
    <row r="3795" spans="1:22" hidden="1" x14ac:dyDescent="0.25">
      <c r="A3795" s="100">
        <v>45838</v>
      </c>
      <c r="B3795" t="str">
        <f t="shared" si="177"/>
        <v>June</v>
      </c>
      <c r="C3795" s="46" t="s">
        <v>280</v>
      </c>
      <c r="F3795" s="366" t="s">
        <v>2163</v>
      </c>
      <c r="G3795" s="46" t="s">
        <v>17</v>
      </c>
      <c r="H3795" s="46">
        <v>2</v>
      </c>
      <c r="I3795" s="51">
        <v>4622.28</v>
      </c>
      <c r="J3795" s="281">
        <f>++Tabla4[[#This Row],[Precio Bruto]]*1.16</f>
        <v>5361.8447999999989</v>
      </c>
      <c r="K3795" s="281">
        <f>+Tabla4[[#This Row],[Precio Unitario Neto]]*Tabla4[[#Headers],[20.85%]]</f>
        <v>1117.9446407999997</v>
      </c>
      <c r="L3795" s="282">
        <f>++Tabla4[[#This Row],[Precio Unitario Neto]]-Tabla4[[#This Row],[20.85%]]</f>
        <v>4243.9001591999995</v>
      </c>
      <c r="M3795" s="282" t="e">
        <f>(INDEX(Tabla6[#All],MATCH(Tabla4[[#This Row],[Producto]],Tabla6[[#All],[PRODUCTO]],0),MATCH(Tabla4[[#This Row],[Mes]],Tabla6[#Headers],0)))*(1+Catalogos!$L$2)</f>
        <v>#N/A</v>
      </c>
      <c r="N3795" s="283" t="e">
        <f>+(Tabla4[[#This Row],[Precio Descontado]]-Tabla4[[#This Row],[Precio Base]])*Tabla4[[#This Row],[Cantidad]]</f>
        <v>#N/A</v>
      </c>
      <c r="O3795" s="284" t="e">
        <f>++Tabla4[[#This Row],[Utilidad Total]]/Tabla4[[#This Row],[Total]]</f>
        <v>#N/A</v>
      </c>
      <c r="P3795" s="282">
        <f>++Tabla4[[#This Row],[Precio Descontado]]*Tabla4[[#This Row],[Cantidad]]</f>
        <v>8487.800318399999</v>
      </c>
      <c r="Q3795" s="282" t="e">
        <f>(INDEX(Tabla6[#All],MATCH(Tabla4[[#This Row],[Producto]],Tabla6[[#All],[PRODUCTO]],0),MATCH(Tabla4[[#This Row],[Mes]],Tabla6[#Headers],0)))</f>
        <v>#N/A</v>
      </c>
      <c r="R3795" s="282" t="e">
        <f>++Tabla4[[#This Row],[Precio Unitario Neto]]-Tabla4[[#This Row],[20.85%]]-Tabla4[[#This Row],[Costo]]</f>
        <v>#N/A</v>
      </c>
      <c r="S3795" s="282" t="e">
        <f>++Tabla4[[#This Row],[U. Bruta Uni]]*Tabla4[[#This Row],[Cantidad]]</f>
        <v>#N/A</v>
      </c>
      <c r="T3795" s="369" t="str">
        <f>VLOOKUP(Tabla4[[#This Row],[Producto]],Tabla6[#All],14,FALSE)</f>
        <v>Termico Solar</v>
      </c>
      <c r="U3795" s="284" t="e">
        <f>(IF(Tabla4[[#This Row],[Familia]]="termico solar",Tabla4[[#This Row],[Utilidad Total]]*6%,Tabla4[[#This Row],[Utilidad Total]]*11.5%))/Tabla4[[#This Row],[Total]]</f>
        <v>#N/A</v>
      </c>
      <c r="V3795" s="282" t="e">
        <f>+Tabla4[[#This Row],[Comisión Calculada]]*Tabla4[[#This Row],[Total]]</f>
        <v>#N/A</v>
      </c>
    </row>
    <row r="3796" spans="1:22" hidden="1" x14ac:dyDescent="0.25">
      <c r="A3796" s="100">
        <v>45838</v>
      </c>
      <c r="B3796" t="str">
        <f t="shared" si="177"/>
        <v>June</v>
      </c>
      <c r="C3796" s="46" t="s">
        <v>280</v>
      </c>
      <c r="F3796" s="366" t="s">
        <v>2163</v>
      </c>
      <c r="G3796" s="46" t="s">
        <v>16</v>
      </c>
      <c r="H3796" s="46">
        <v>1</v>
      </c>
      <c r="I3796" s="51">
        <v>4103.8500000000004</v>
      </c>
      <c r="J3796" s="281">
        <f>++Tabla4[[#This Row],[Precio Bruto]]*1.16</f>
        <v>4760.4660000000003</v>
      </c>
      <c r="K3796" s="281">
        <f>+Tabla4[[#This Row],[Precio Unitario Neto]]*Tabla4[[#Headers],[20.85%]]</f>
        <v>992.55716100000006</v>
      </c>
      <c r="L3796" s="282">
        <f>++Tabla4[[#This Row],[Precio Unitario Neto]]-Tabla4[[#This Row],[20.85%]]</f>
        <v>3767.9088390000002</v>
      </c>
      <c r="M3796" s="282" t="e">
        <f>(INDEX(Tabla6[#All],MATCH(Tabla4[[#This Row],[Producto]],Tabla6[[#All],[PRODUCTO]],0),MATCH(Tabla4[[#This Row],[Mes]],Tabla6[#Headers],0)))*(1+Catalogos!$L$2)</f>
        <v>#N/A</v>
      </c>
      <c r="N3796" s="283" t="e">
        <f>+(Tabla4[[#This Row],[Precio Descontado]]-Tabla4[[#This Row],[Precio Base]])*Tabla4[[#This Row],[Cantidad]]</f>
        <v>#N/A</v>
      </c>
      <c r="O3796" s="284" t="e">
        <f>++Tabla4[[#This Row],[Utilidad Total]]/Tabla4[[#This Row],[Total]]</f>
        <v>#N/A</v>
      </c>
      <c r="P3796" s="282">
        <f>++Tabla4[[#This Row],[Precio Descontado]]*Tabla4[[#This Row],[Cantidad]]</f>
        <v>3767.9088390000002</v>
      </c>
      <c r="Q3796" s="282" t="e">
        <f>(INDEX(Tabla6[#All],MATCH(Tabla4[[#This Row],[Producto]],Tabla6[[#All],[PRODUCTO]],0),MATCH(Tabla4[[#This Row],[Mes]],Tabla6[#Headers],0)))</f>
        <v>#N/A</v>
      </c>
      <c r="R3796" s="282" t="e">
        <f>++Tabla4[[#This Row],[Precio Unitario Neto]]-Tabla4[[#This Row],[20.85%]]-Tabla4[[#This Row],[Costo]]</f>
        <v>#N/A</v>
      </c>
      <c r="S3796" s="282" t="e">
        <f>++Tabla4[[#This Row],[U. Bruta Uni]]*Tabla4[[#This Row],[Cantidad]]</f>
        <v>#N/A</v>
      </c>
      <c r="T3796" s="369" t="str">
        <f>VLOOKUP(Tabla4[[#This Row],[Producto]],Tabla6[#All],14,FALSE)</f>
        <v>Termico Solar</v>
      </c>
      <c r="U3796" s="284" t="e">
        <f>(IF(Tabla4[[#This Row],[Familia]]="termico solar",Tabla4[[#This Row],[Utilidad Total]]*6%,Tabla4[[#This Row],[Utilidad Total]]*11.5%))/Tabla4[[#This Row],[Total]]</f>
        <v>#N/A</v>
      </c>
      <c r="V3796" s="282" t="e">
        <f>+Tabla4[[#This Row],[Comisión Calculada]]*Tabla4[[#This Row],[Total]]</f>
        <v>#N/A</v>
      </c>
    </row>
    <row r="3797" spans="1:22" hidden="1" x14ac:dyDescent="0.25">
      <c r="A3797" s="100">
        <v>45838</v>
      </c>
      <c r="B3797" t="str">
        <f t="shared" si="177"/>
        <v>June</v>
      </c>
      <c r="C3797" s="46" t="s">
        <v>280</v>
      </c>
      <c r="F3797" s="366" t="s">
        <v>2163</v>
      </c>
      <c r="G3797" s="46" t="s">
        <v>200</v>
      </c>
      <c r="H3797" s="46">
        <v>12</v>
      </c>
      <c r="I3797" s="51">
        <v>393.22</v>
      </c>
      <c r="J3797" s="281">
        <f>++Tabla4[[#This Row],[Precio Bruto]]*1.16</f>
        <v>456.1352</v>
      </c>
      <c r="K3797" s="281">
        <f>+Tabla4[[#This Row],[Precio Unitario Neto]]*Tabla4[[#Headers],[20.85%]]</f>
        <v>95.104189199999993</v>
      </c>
      <c r="L3797" s="282">
        <f>++Tabla4[[#This Row],[Precio Unitario Neto]]-Tabla4[[#This Row],[20.85%]]</f>
        <v>361.03101079999999</v>
      </c>
      <c r="M3797" s="282" t="e">
        <f>(INDEX(Tabla6[#All],MATCH(Tabla4[[#This Row],[Producto]],Tabla6[[#All],[PRODUCTO]],0),MATCH(Tabla4[[#This Row],[Mes]],Tabla6[#Headers],0)))*(1+Catalogos!$L$2)</f>
        <v>#N/A</v>
      </c>
      <c r="N3797" s="283" t="e">
        <f>+(Tabla4[[#This Row],[Precio Descontado]]-Tabla4[[#This Row],[Precio Base]])*Tabla4[[#This Row],[Cantidad]]</f>
        <v>#N/A</v>
      </c>
      <c r="O3797" s="284" t="e">
        <f>++Tabla4[[#This Row],[Utilidad Total]]/Tabla4[[#This Row],[Total]]</f>
        <v>#N/A</v>
      </c>
      <c r="P3797" s="282">
        <f>++Tabla4[[#This Row],[Precio Descontado]]*Tabla4[[#This Row],[Cantidad]]</f>
        <v>4332.3721296000003</v>
      </c>
      <c r="Q3797" s="282" t="e">
        <f>(INDEX(Tabla6[#All],MATCH(Tabla4[[#This Row],[Producto]],Tabla6[[#All],[PRODUCTO]],0),MATCH(Tabla4[[#This Row],[Mes]],Tabla6[#Headers],0)))</f>
        <v>#N/A</v>
      </c>
      <c r="R3797" s="282" t="e">
        <f>++Tabla4[[#This Row],[Precio Unitario Neto]]-Tabla4[[#This Row],[20.85%]]-Tabla4[[#This Row],[Costo]]</f>
        <v>#N/A</v>
      </c>
      <c r="S3797" s="282" t="e">
        <f>++Tabla4[[#This Row],[U. Bruta Uni]]*Tabla4[[#This Row],[Cantidad]]</f>
        <v>#N/A</v>
      </c>
      <c r="T3797" s="369" t="str">
        <f>VLOOKUP(Tabla4[[#This Row],[Producto]],Tabla6[#All],14,FALSE)</f>
        <v>Termico Solar</v>
      </c>
      <c r="U3797" s="284" t="e">
        <f>(IF(Tabla4[[#This Row],[Familia]]="termico solar",Tabla4[[#This Row],[Utilidad Total]]*6%,Tabla4[[#This Row],[Utilidad Total]]*11.5%))/Tabla4[[#This Row],[Total]]</f>
        <v>#N/A</v>
      </c>
      <c r="V3797" s="282" t="e">
        <f>+Tabla4[[#This Row],[Comisión Calculada]]*Tabla4[[#This Row],[Total]]</f>
        <v>#N/A</v>
      </c>
    </row>
    <row r="3798" spans="1:22" hidden="1" x14ac:dyDescent="0.25">
      <c r="A3798" s="100">
        <v>45838</v>
      </c>
      <c r="B3798" t="str">
        <f t="shared" si="177"/>
        <v>June</v>
      </c>
      <c r="C3798" s="46" t="s">
        <v>280</v>
      </c>
      <c r="F3798" s="366" t="s">
        <v>2163</v>
      </c>
      <c r="G3798" s="46" t="s">
        <v>545</v>
      </c>
      <c r="H3798" s="46">
        <v>24</v>
      </c>
      <c r="I3798" s="51">
        <v>304.32</v>
      </c>
      <c r="J3798" s="281">
        <f>++Tabla4[[#This Row],[Precio Bruto]]*1.16</f>
        <v>353.01119999999997</v>
      </c>
      <c r="K3798" s="281">
        <f>+Tabla4[[#This Row],[Precio Unitario Neto]]*Tabla4[[#Headers],[20.85%]]</f>
        <v>73.602835199999987</v>
      </c>
      <c r="L3798" s="282">
        <f>++Tabla4[[#This Row],[Precio Unitario Neto]]-Tabla4[[#This Row],[20.85%]]</f>
        <v>279.40836479999996</v>
      </c>
      <c r="M3798" s="282" t="e">
        <f>(INDEX(Tabla6[#All],MATCH(Tabla4[[#This Row],[Producto]],Tabla6[[#All],[PRODUCTO]],0),MATCH(Tabla4[[#This Row],[Mes]],Tabla6[#Headers],0)))*(1+Catalogos!$L$2)</f>
        <v>#N/A</v>
      </c>
      <c r="N3798" s="283" t="e">
        <f>+(Tabla4[[#This Row],[Precio Descontado]]-Tabla4[[#This Row],[Precio Base]])*Tabla4[[#This Row],[Cantidad]]</f>
        <v>#N/A</v>
      </c>
      <c r="O3798" s="284" t="e">
        <f>++Tabla4[[#This Row],[Utilidad Total]]/Tabla4[[#This Row],[Total]]</f>
        <v>#N/A</v>
      </c>
      <c r="P3798" s="282">
        <f>++Tabla4[[#This Row],[Precio Descontado]]*Tabla4[[#This Row],[Cantidad]]</f>
        <v>6705.800755199999</v>
      </c>
      <c r="Q3798" s="282" t="e">
        <f>(INDEX(Tabla6[#All],MATCH(Tabla4[[#This Row],[Producto]],Tabla6[[#All],[PRODUCTO]],0),MATCH(Tabla4[[#This Row],[Mes]],Tabla6[#Headers],0)))</f>
        <v>#N/A</v>
      </c>
      <c r="R3798" s="282" t="e">
        <f>++Tabla4[[#This Row],[Precio Unitario Neto]]-Tabla4[[#This Row],[20.85%]]-Tabla4[[#This Row],[Costo]]</f>
        <v>#N/A</v>
      </c>
      <c r="S3798" s="282" t="e">
        <f>++Tabla4[[#This Row],[U. Bruta Uni]]*Tabla4[[#This Row],[Cantidad]]</f>
        <v>#N/A</v>
      </c>
      <c r="T3798" s="369" t="str">
        <f>VLOOKUP(Tabla4[[#This Row],[Producto]],Tabla6[#All],14,FALSE)</f>
        <v>Termico Solar</v>
      </c>
      <c r="U3798" s="284" t="e">
        <f>(IF(Tabla4[[#This Row],[Familia]]="termico solar",Tabla4[[#This Row],[Utilidad Total]]*6%,Tabla4[[#This Row],[Utilidad Total]]*11.5%))/Tabla4[[#This Row],[Total]]</f>
        <v>#N/A</v>
      </c>
      <c r="V3798" s="282" t="e">
        <f>+Tabla4[[#This Row],[Comisión Calculada]]*Tabla4[[#This Row],[Total]]</f>
        <v>#N/A</v>
      </c>
    </row>
    <row r="3799" spans="1:22" hidden="1" x14ac:dyDescent="0.25">
      <c r="A3799" s="100">
        <v>45838</v>
      </c>
      <c r="B3799" t="str">
        <f t="shared" si="177"/>
        <v>June</v>
      </c>
      <c r="C3799" s="46" t="s">
        <v>280</v>
      </c>
      <c r="F3799" s="366" t="s">
        <v>2163</v>
      </c>
      <c r="G3799" s="46" t="s">
        <v>209</v>
      </c>
      <c r="H3799" s="46">
        <v>2</v>
      </c>
      <c r="I3799" s="51">
        <v>347.48</v>
      </c>
      <c r="J3799" s="281">
        <f>++Tabla4[[#This Row],[Precio Bruto]]*1.16</f>
        <v>403.07679999999999</v>
      </c>
      <c r="K3799" s="281">
        <f>+Tabla4[[#This Row],[Precio Unitario Neto]]*Tabla4[[#Headers],[20.85%]]</f>
        <v>84.041512799999992</v>
      </c>
      <c r="L3799" s="282">
        <f>++Tabla4[[#This Row],[Precio Unitario Neto]]-Tabla4[[#This Row],[20.85%]]</f>
        <v>319.03528719999997</v>
      </c>
      <c r="M3799" s="282" t="e">
        <f>(INDEX(Tabla6[#All],MATCH(Tabla4[[#This Row],[Producto]],Tabla6[[#All],[PRODUCTO]],0),MATCH(Tabla4[[#This Row],[Mes]],Tabla6[#Headers],0)))*(1+Catalogos!$L$2)</f>
        <v>#N/A</v>
      </c>
      <c r="N3799" s="283" t="e">
        <f>+(Tabla4[[#This Row],[Precio Descontado]]-Tabla4[[#This Row],[Precio Base]])*Tabla4[[#This Row],[Cantidad]]</f>
        <v>#N/A</v>
      </c>
      <c r="O3799" s="284" t="e">
        <f>++Tabla4[[#This Row],[Utilidad Total]]/Tabla4[[#This Row],[Total]]</f>
        <v>#N/A</v>
      </c>
      <c r="P3799" s="282">
        <f>++Tabla4[[#This Row],[Precio Descontado]]*Tabla4[[#This Row],[Cantidad]]</f>
        <v>638.07057439999994</v>
      </c>
      <c r="Q3799" s="282" t="e">
        <f>(INDEX(Tabla6[#All],MATCH(Tabla4[[#This Row],[Producto]],Tabla6[[#All],[PRODUCTO]],0),MATCH(Tabla4[[#This Row],[Mes]],Tabla6[#Headers],0)))</f>
        <v>#N/A</v>
      </c>
      <c r="R3799" s="282" t="e">
        <f>++Tabla4[[#This Row],[Precio Unitario Neto]]-Tabla4[[#This Row],[20.85%]]-Tabla4[[#This Row],[Costo]]</f>
        <v>#N/A</v>
      </c>
      <c r="S3799" s="282" t="e">
        <f>++Tabla4[[#This Row],[U. Bruta Uni]]*Tabla4[[#This Row],[Cantidad]]</f>
        <v>#N/A</v>
      </c>
      <c r="T3799" s="369" t="str">
        <f>VLOOKUP(Tabla4[[#This Row],[Producto]],Tabla6[#All],14,FALSE)</f>
        <v>Termico Solar</v>
      </c>
      <c r="U3799" s="284" t="e">
        <f>(IF(Tabla4[[#This Row],[Familia]]="termico solar",Tabla4[[#This Row],[Utilidad Total]]*6%,Tabla4[[#This Row],[Utilidad Total]]*11.5%))/Tabla4[[#This Row],[Total]]</f>
        <v>#N/A</v>
      </c>
      <c r="V3799" s="282" t="e">
        <f>+Tabla4[[#This Row],[Comisión Calculada]]*Tabla4[[#This Row],[Total]]</f>
        <v>#N/A</v>
      </c>
    </row>
    <row r="3800" spans="1:22" hidden="1" x14ac:dyDescent="0.25">
      <c r="A3800" s="100">
        <v>45838</v>
      </c>
      <c r="B3800" t="str">
        <f t="shared" si="177"/>
        <v>June</v>
      </c>
      <c r="C3800" s="46" t="s">
        <v>280</v>
      </c>
      <c r="F3800" s="366" t="s">
        <v>2164</v>
      </c>
      <c r="G3800" s="46" t="s">
        <v>82</v>
      </c>
      <c r="H3800" s="46">
        <v>26</v>
      </c>
      <c r="I3800" s="51">
        <v>7690</v>
      </c>
      <c r="J3800" s="281">
        <f>++Tabla4[[#This Row],[Precio Bruto]]*1.16</f>
        <v>8920.4</v>
      </c>
      <c r="K3800" s="281">
        <f>+Tabla4[[#This Row],[Precio Unitario Neto]]*Tabla4[[#Headers],[20.85%]]</f>
        <v>1859.9033999999999</v>
      </c>
      <c r="L3800" s="282">
        <f>++Tabla4[[#This Row],[Precio Unitario Neto]]-Tabla4[[#This Row],[20.85%]]</f>
        <v>7060.4965999999995</v>
      </c>
      <c r="M3800" s="282" t="e">
        <f>(INDEX(Tabla6[#All],MATCH(Tabla4[[#This Row],[Producto]],Tabla6[[#All],[PRODUCTO]],0),MATCH(Tabla4[[#This Row],[Mes]],Tabla6[#Headers],0)))*(1+Catalogos!$L$2)</f>
        <v>#N/A</v>
      </c>
      <c r="N3800" s="283" t="e">
        <f>+(Tabla4[[#This Row],[Precio Descontado]]-Tabla4[[#This Row],[Precio Base]])*Tabla4[[#This Row],[Cantidad]]</f>
        <v>#N/A</v>
      </c>
      <c r="O3800" s="284" t="e">
        <f>++Tabla4[[#This Row],[Utilidad Total]]/Tabla4[[#This Row],[Total]]</f>
        <v>#N/A</v>
      </c>
      <c r="P3800" s="282">
        <f>++Tabla4[[#This Row],[Precio Descontado]]*Tabla4[[#This Row],[Cantidad]]</f>
        <v>183572.91159999999</v>
      </c>
      <c r="Q3800" s="282" t="e">
        <f>(INDEX(Tabla6[#All],MATCH(Tabla4[[#This Row],[Producto]],Tabla6[[#All],[PRODUCTO]],0),MATCH(Tabla4[[#This Row],[Mes]],Tabla6[#Headers],0)))</f>
        <v>#N/A</v>
      </c>
      <c r="R3800" s="282" t="e">
        <f>++Tabla4[[#This Row],[Precio Unitario Neto]]-Tabla4[[#This Row],[20.85%]]-Tabla4[[#This Row],[Costo]]</f>
        <v>#N/A</v>
      </c>
      <c r="S3800" s="282" t="e">
        <f>++Tabla4[[#This Row],[U. Bruta Uni]]*Tabla4[[#This Row],[Cantidad]]</f>
        <v>#N/A</v>
      </c>
      <c r="T3800" s="369" t="str">
        <f>VLOOKUP(Tabla4[[#This Row],[Producto]],Tabla6[#All],14,FALSE)</f>
        <v>Termico Solar</v>
      </c>
      <c r="U3800" s="284" t="e">
        <f>(IF(Tabla4[[#This Row],[Familia]]="termico solar",Tabla4[[#This Row],[Utilidad Total]]*6%,Tabla4[[#This Row],[Utilidad Total]]*11.5%))/Tabla4[[#This Row],[Total]]</f>
        <v>#N/A</v>
      </c>
      <c r="V3800" s="282" t="e">
        <f>+Tabla4[[#This Row],[Comisión Calculada]]*Tabla4[[#This Row],[Total]]</f>
        <v>#N/A</v>
      </c>
    </row>
    <row r="3801" spans="1:22" hidden="1" x14ac:dyDescent="0.25">
      <c r="A3801" s="100">
        <v>45838</v>
      </c>
      <c r="B3801" t="str">
        <f t="shared" si="177"/>
        <v>June</v>
      </c>
      <c r="C3801" s="46" t="s">
        <v>280</v>
      </c>
      <c r="F3801" s="366" t="s">
        <v>2164</v>
      </c>
      <c r="G3801" s="46" t="s">
        <v>255</v>
      </c>
      <c r="H3801" s="46">
        <v>26</v>
      </c>
      <c r="I3801" s="51">
        <v>1200</v>
      </c>
      <c r="J3801" s="281">
        <f>++Tabla4[[#This Row],[Precio Bruto]]*1.16</f>
        <v>1392</v>
      </c>
      <c r="K3801" s="281">
        <f>+Tabla4[[#This Row],[Precio Unitario Neto]]*Tabla4[[#Headers],[20.85%]]</f>
        <v>290.23199999999997</v>
      </c>
      <c r="L3801" s="282">
        <f>++Tabla4[[#This Row],[Precio Unitario Neto]]-Tabla4[[#This Row],[20.85%]]</f>
        <v>1101.768</v>
      </c>
      <c r="M3801" s="282" t="e">
        <f>(INDEX(Tabla6[#All],MATCH(Tabla4[[#This Row],[Producto]],Tabla6[[#All],[PRODUCTO]],0),MATCH(Tabla4[[#This Row],[Mes]],Tabla6[#Headers],0)))*(1+Catalogos!$L$2)</f>
        <v>#N/A</v>
      </c>
      <c r="N3801" s="283" t="e">
        <f>+(Tabla4[[#This Row],[Precio Descontado]]-Tabla4[[#This Row],[Precio Base]])*Tabla4[[#This Row],[Cantidad]]</f>
        <v>#N/A</v>
      </c>
      <c r="O3801" s="284" t="e">
        <f>++Tabla4[[#This Row],[Utilidad Total]]/Tabla4[[#This Row],[Total]]</f>
        <v>#N/A</v>
      </c>
      <c r="P3801" s="282">
        <f>++Tabla4[[#This Row],[Precio Descontado]]*Tabla4[[#This Row],[Cantidad]]</f>
        <v>28645.968000000001</v>
      </c>
      <c r="Q3801" s="282" t="e">
        <f>(INDEX(Tabla6[#All],MATCH(Tabla4[[#This Row],[Producto]],Tabla6[[#All],[PRODUCTO]],0),MATCH(Tabla4[[#This Row],[Mes]],Tabla6[#Headers],0)))</f>
        <v>#N/A</v>
      </c>
      <c r="R3801" s="282" t="e">
        <f>++Tabla4[[#This Row],[Precio Unitario Neto]]-Tabla4[[#This Row],[20.85%]]-Tabla4[[#This Row],[Costo]]</f>
        <v>#N/A</v>
      </c>
      <c r="S3801" s="282" t="e">
        <f>++Tabla4[[#This Row],[U. Bruta Uni]]*Tabla4[[#This Row],[Cantidad]]</f>
        <v>#N/A</v>
      </c>
      <c r="T3801" s="369" t="str">
        <f>VLOOKUP(Tabla4[[#This Row],[Producto]],Tabla6[#All],14,FALSE)</f>
        <v>Termico Solar</v>
      </c>
      <c r="U3801" s="284" t="e">
        <f>(IF(Tabla4[[#This Row],[Familia]]="termico solar",Tabla4[[#This Row],[Utilidad Total]]*6%,Tabla4[[#This Row],[Utilidad Total]]*11.5%))/Tabla4[[#This Row],[Total]]</f>
        <v>#N/A</v>
      </c>
      <c r="V3801" s="282" t="e">
        <f>+Tabla4[[#This Row],[Comisión Calculada]]*Tabla4[[#This Row],[Total]]</f>
        <v>#N/A</v>
      </c>
    </row>
    <row r="3802" spans="1:22" hidden="1" x14ac:dyDescent="0.25">
      <c r="A3802" s="100">
        <v>45838</v>
      </c>
      <c r="B3802" t="str">
        <f t="shared" si="177"/>
        <v>June</v>
      </c>
      <c r="C3802" s="46" t="s">
        <v>280</v>
      </c>
      <c r="F3802" s="366" t="s">
        <v>2165</v>
      </c>
      <c r="G3802" s="46" t="s">
        <v>83</v>
      </c>
      <c r="H3802" s="46">
        <v>2</v>
      </c>
      <c r="I3802" s="51">
        <v>8858.76</v>
      </c>
      <c r="J3802" s="281">
        <f>++Tabla4[[#This Row],[Precio Bruto]]*1.16</f>
        <v>10276.161599999999</v>
      </c>
      <c r="K3802" s="281">
        <f>+Tabla4[[#This Row],[Precio Unitario Neto]]*Tabla4[[#Headers],[20.85%]]</f>
        <v>2142.5796935999997</v>
      </c>
      <c r="L3802" s="282">
        <f>++Tabla4[[#This Row],[Precio Unitario Neto]]-Tabla4[[#This Row],[20.85%]]</f>
        <v>8133.5819063999998</v>
      </c>
      <c r="M3802" s="282" t="e">
        <f>(INDEX(Tabla6[#All],MATCH(Tabla4[[#This Row],[Producto]],Tabla6[[#All],[PRODUCTO]],0),MATCH(Tabla4[[#This Row],[Mes]],Tabla6[#Headers],0)))*(1+Catalogos!$L$2)</f>
        <v>#N/A</v>
      </c>
      <c r="N3802" s="283" t="e">
        <f>+(Tabla4[[#This Row],[Precio Descontado]]-Tabla4[[#This Row],[Precio Base]])*Tabla4[[#This Row],[Cantidad]]</f>
        <v>#N/A</v>
      </c>
      <c r="O3802" s="284" t="e">
        <f>++Tabla4[[#This Row],[Utilidad Total]]/Tabla4[[#This Row],[Total]]</f>
        <v>#N/A</v>
      </c>
      <c r="P3802" s="282">
        <f>++Tabla4[[#This Row],[Precio Descontado]]*Tabla4[[#This Row],[Cantidad]]</f>
        <v>16267.1638128</v>
      </c>
      <c r="Q3802" s="282" t="e">
        <f>(INDEX(Tabla6[#All],MATCH(Tabla4[[#This Row],[Producto]],Tabla6[[#All],[PRODUCTO]],0),MATCH(Tabla4[[#This Row],[Mes]],Tabla6[#Headers],0)))</f>
        <v>#N/A</v>
      </c>
      <c r="R3802" s="282" t="e">
        <f>++Tabla4[[#This Row],[Precio Unitario Neto]]-Tabla4[[#This Row],[20.85%]]-Tabla4[[#This Row],[Costo]]</f>
        <v>#N/A</v>
      </c>
      <c r="S3802" s="282" t="e">
        <f>++Tabla4[[#This Row],[U. Bruta Uni]]*Tabla4[[#This Row],[Cantidad]]</f>
        <v>#N/A</v>
      </c>
      <c r="T3802" s="369" t="str">
        <f>VLOOKUP(Tabla4[[#This Row],[Producto]],Tabla6[#All],14,FALSE)</f>
        <v>Termico Solar</v>
      </c>
      <c r="U3802" s="284" t="e">
        <f>(IF(Tabla4[[#This Row],[Familia]]="termico solar",Tabla4[[#This Row],[Utilidad Total]]*6%,Tabla4[[#This Row],[Utilidad Total]]*11.5%))/Tabla4[[#This Row],[Total]]</f>
        <v>#N/A</v>
      </c>
      <c r="V3802" s="282" t="e">
        <f>+Tabla4[[#This Row],[Comisión Calculada]]*Tabla4[[#This Row],[Total]]</f>
        <v>#N/A</v>
      </c>
    </row>
    <row r="3803" spans="1:22" hidden="1" x14ac:dyDescent="0.25">
      <c r="A3803" s="100">
        <v>45838</v>
      </c>
      <c r="B3803" t="str">
        <f t="shared" si="177"/>
        <v>June</v>
      </c>
      <c r="C3803" s="46" t="s">
        <v>280</v>
      </c>
      <c r="F3803" s="366" t="s">
        <v>2165</v>
      </c>
      <c r="G3803" s="46" t="s">
        <v>17</v>
      </c>
      <c r="H3803" s="46">
        <v>4</v>
      </c>
      <c r="I3803" s="51">
        <v>4622.28</v>
      </c>
      <c r="J3803" s="281">
        <f>++Tabla4[[#This Row],[Precio Bruto]]*1.16</f>
        <v>5361.8447999999989</v>
      </c>
      <c r="K3803" s="281">
        <f>+Tabla4[[#This Row],[Precio Unitario Neto]]*Tabla4[[#Headers],[20.85%]]</f>
        <v>1117.9446407999997</v>
      </c>
      <c r="L3803" s="282">
        <f>++Tabla4[[#This Row],[Precio Unitario Neto]]-Tabla4[[#This Row],[20.85%]]</f>
        <v>4243.9001591999995</v>
      </c>
      <c r="M3803" s="282" t="e">
        <f>(INDEX(Tabla6[#All],MATCH(Tabla4[[#This Row],[Producto]],Tabla6[[#All],[PRODUCTO]],0),MATCH(Tabla4[[#This Row],[Mes]],Tabla6[#Headers],0)))*(1+Catalogos!$L$2)</f>
        <v>#N/A</v>
      </c>
      <c r="N3803" s="283" t="e">
        <f>+(Tabla4[[#This Row],[Precio Descontado]]-Tabla4[[#This Row],[Precio Base]])*Tabla4[[#This Row],[Cantidad]]</f>
        <v>#N/A</v>
      </c>
      <c r="O3803" s="284" t="e">
        <f>++Tabla4[[#This Row],[Utilidad Total]]/Tabla4[[#This Row],[Total]]</f>
        <v>#N/A</v>
      </c>
      <c r="P3803" s="282">
        <f>++Tabla4[[#This Row],[Precio Descontado]]*Tabla4[[#This Row],[Cantidad]]</f>
        <v>16975.600636799998</v>
      </c>
      <c r="Q3803" s="282" t="e">
        <f>(INDEX(Tabla6[#All],MATCH(Tabla4[[#This Row],[Producto]],Tabla6[[#All],[PRODUCTO]],0),MATCH(Tabla4[[#This Row],[Mes]],Tabla6[#Headers],0)))</f>
        <v>#N/A</v>
      </c>
      <c r="R3803" s="282" t="e">
        <f>++Tabla4[[#This Row],[Precio Unitario Neto]]-Tabla4[[#This Row],[20.85%]]-Tabla4[[#This Row],[Costo]]</f>
        <v>#N/A</v>
      </c>
      <c r="S3803" s="282" t="e">
        <f>++Tabla4[[#This Row],[U. Bruta Uni]]*Tabla4[[#This Row],[Cantidad]]</f>
        <v>#N/A</v>
      </c>
      <c r="T3803" s="369" t="str">
        <f>VLOOKUP(Tabla4[[#This Row],[Producto]],Tabla6[#All],14,FALSE)</f>
        <v>Termico Solar</v>
      </c>
      <c r="U3803" s="284" t="e">
        <f>(IF(Tabla4[[#This Row],[Familia]]="termico solar",Tabla4[[#This Row],[Utilidad Total]]*6%,Tabla4[[#This Row],[Utilidad Total]]*11.5%))/Tabla4[[#This Row],[Total]]</f>
        <v>#N/A</v>
      </c>
      <c r="V3803" s="282" t="e">
        <f>+Tabla4[[#This Row],[Comisión Calculada]]*Tabla4[[#This Row],[Total]]</f>
        <v>#N/A</v>
      </c>
    </row>
    <row r="3804" spans="1:22" hidden="1" x14ac:dyDescent="0.25">
      <c r="A3804" s="100">
        <v>45838</v>
      </c>
      <c r="B3804" t="str">
        <f t="shared" si="177"/>
        <v>June</v>
      </c>
      <c r="C3804" s="46" t="s">
        <v>280</v>
      </c>
      <c r="F3804" s="366" t="s">
        <v>2165</v>
      </c>
      <c r="G3804" s="46" t="s">
        <v>18</v>
      </c>
      <c r="H3804" s="46">
        <v>4</v>
      </c>
      <c r="I3804" s="51">
        <v>5367.65</v>
      </c>
      <c r="J3804" s="281">
        <f>++Tabla4[[#This Row],[Precio Bruto]]*1.16</f>
        <v>6226.4739999999993</v>
      </c>
      <c r="K3804" s="281">
        <f>+Tabla4[[#This Row],[Precio Unitario Neto]]*Tabla4[[#Headers],[20.85%]]</f>
        <v>1298.2198289999999</v>
      </c>
      <c r="L3804" s="282">
        <f>++Tabla4[[#This Row],[Precio Unitario Neto]]-Tabla4[[#This Row],[20.85%]]</f>
        <v>4928.2541709999996</v>
      </c>
      <c r="M3804" s="282" t="e">
        <f>(INDEX(Tabla6[#All],MATCH(Tabla4[[#This Row],[Producto]],Tabla6[[#All],[PRODUCTO]],0),MATCH(Tabla4[[#This Row],[Mes]],Tabla6[#Headers],0)))*(1+Catalogos!$L$2)</f>
        <v>#N/A</v>
      </c>
      <c r="N3804" s="283" t="e">
        <f>+(Tabla4[[#This Row],[Precio Descontado]]-Tabla4[[#This Row],[Precio Base]])*Tabla4[[#This Row],[Cantidad]]</f>
        <v>#N/A</v>
      </c>
      <c r="O3804" s="284" t="e">
        <f>++Tabla4[[#This Row],[Utilidad Total]]/Tabla4[[#This Row],[Total]]</f>
        <v>#N/A</v>
      </c>
      <c r="P3804" s="282">
        <f>++Tabla4[[#This Row],[Precio Descontado]]*Tabla4[[#This Row],[Cantidad]]</f>
        <v>19713.016683999998</v>
      </c>
      <c r="Q3804" s="282" t="e">
        <f>(INDEX(Tabla6[#All],MATCH(Tabla4[[#This Row],[Producto]],Tabla6[[#All],[PRODUCTO]],0),MATCH(Tabla4[[#This Row],[Mes]],Tabla6[#Headers],0)))</f>
        <v>#N/A</v>
      </c>
      <c r="R3804" s="282" t="e">
        <f>++Tabla4[[#This Row],[Precio Unitario Neto]]-Tabla4[[#This Row],[20.85%]]-Tabla4[[#This Row],[Costo]]</f>
        <v>#N/A</v>
      </c>
      <c r="S3804" s="282" t="e">
        <f>++Tabla4[[#This Row],[U. Bruta Uni]]*Tabla4[[#This Row],[Cantidad]]</f>
        <v>#N/A</v>
      </c>
      <c r="T3804" s="369" t="str">
        <f>VLOOKUP(Tabla4[[#This Row],[Producto]],Tabla6[#All],14,FALSE)</f>
        <v>Termico Solar</v>
      </c>
      <c r="U3804" s="284" t="e">
        <f>(IF(Tabla4[[#This Row],[Familia]]="termico solar",Tabla4[[#This Row],[Utilidad Total]]*6%,Tabla4[[#This Row],[Utilidad Total]]*11.5%))/Tabla4[[#This Row],[Total]]</f>
        <v>#N/A</v>
      </c>
      <c r="V3804" s="282" t="e">
        <f>+Tabla4[[#This Row],[Comisión Calculada]]*Tabla4[[#This Row],[Total]]</f>
        <v>#N/A</v>
      </c>
    </row>
    <row r="3805" spans="1:22" hidden="1" x14ac:dyDescent="0.25">
      <c r="A3805" s="100">
        <v>45838</v>
      </c>
      <c r="B3805" t="str">
        <f t="shared" ref="B3805:B3836" si="178">TEXT(A3805, "mmmm")</f>
        <v>June</v>
      </c>
      <c r="C3805" s="46" t="s">
        <v>280</v>
      </c>
      <c r="F3805" s="366" t="s">
        <v>2165</v>
      </c>
      <c r="G3805" s="46" t="s">
        <v>208</v>
      </c>
      <c r="H3805" s="46">
        <v>1</v>
      </c>
      <c r="I3805" s="51">
        <v>189.75</v>
      </c>
      <c r="J3805" s="281">
        <f>++Tabla4[[#This Row],[Precio Bruto]]*1.16</f>
        <v>220.10999999999999</v>
      </c>
      <c r="K3805" s="281">
        <f>+Tabla4[[#This Row],[Precio Unitario Neto]]*Tabla4[[#Headers],[20.85%]]</f>
        <v>45.892934999999994</v>
      </c>
      <c r="L3805" s="282">
        <f>++Tabla4[[#This Row],[Precio Unitario Neto]]-Tabla4[[#This Row],[20.85%]]</f>
        <v>174.21706499999999</v>
      </c>
      <c r="M3805" s="282" t="e">
        <f>(INDEX(Tabla6[#All],MATCH(Tabla4[[#This Row],[Producto]],Tabla6[[#All],[PRODUCTO]],0),MATCH(Tabla4[[#This Row],[Mes]],Tabla6[#Headers],0)))*(1+Catalogos!$L$2)</f>
        <v>#N/A</v>
      </c>
      <c r="N3805" s="283" t="e">
        <f>+(Tabla4[[#This Row],[Precio Descontado]]-Tabla4[[#This Row],[Precio Base]])*Tabla4[[#This Row],[Cantidad]]</f>
        <v>#N/A</v>
      </c>
      <c r="O3805" s="284" t="e">
        <f>++Tabla4[[#This Row],[Utilidad Total]]/Tabla4[[#This Row],[Total]]</f>
        <v>#N/A</v>
      </c>
      <c r="P3805" s="282">
        <f>++Tabla4[[#This Row],[Precio Descontado]]*Tabla4[[#This Row],[Cantidad]]</f>
        <v>174.21706499999999</v>
      </c>
      <c r="Q3805" s="282" t="e">
        <f>(INDEX(Tabla6[#All],MATCH(Tabla4[[#This Row],[Producto]],Tabla6[[#All],[PRODUCTO]],0),MATCH(Tabla4[[#This Row],[Mes]],Tabla6[#Headers],0)))</f>
        <v>#N/A</v>
      </c>
      <c r="R3805" s="282" t="e">
        <f>++Tabla4[[#This Row],[Precio Unitario Neto]]-Tabla4[[#This Row],[20.85%]]-Tabla4[[#This Row],[Costo]]</f>
        <v>#N/A</v>
      </c>
      <c r="S3805" s="282" t="e">
        <f>++Tabla4[[#This Row],[U. Bruta Uni]]*Tabla4[[#This Row],[Cantidad]]</f>
        <v>#N/A</v>
      </c>
      <c r="T3805" s="369" t="str">
        <f>VLOOKUP(Tabla4[[#This Row],[Producto]],Tabla6[#All],14,FALSE)</f>
        <v>Termico Solar</v>
      </c>
      <c r="U3805" s="284" t="e">
        <f>(IF(Tabla4[[#This Row],[Familia]]="termico solar",Tabla4[[#This Row],[Utilidad Total]]*6%,Tabla4[[#This Row],[Utilidad Total]]*11.5%))/Tabla4[[#This Row],[Total]]</f>
        <v>#N/A</v>
      </c>
      <c r="V3805" s="282" t="e">
        <f>+Tabla4[[#This Row],[Comisión Calculada]]*Tabla4[[#This Row],[Total]]</f>
        <v>#N/A</v>
      </c>
    </row>
    <row r="3806" spans="1:22" hidden="1" x14ac:dyDescent="0.25">
      <c r="A3806" s="100">
        <v>45838</v>
      </c>
      <c r="B3806" t="str">
        <f t="shared" si="178"/>
        <v>June</v>
      </c>
      <c r="C3806" s="46" t="s">
        <v>280</v>
      </c>
      <c r="F3806" s="366" t="s">
        <v>2166</v>
      </c>
      <c r="G3806" s="46" t="s">
        <v>17</v>
      </c>
      <c r="H3806" s="46">
        <v>1</v>
      </c>
      <c r="I3806" s="51">
        <v>4622.28</v>
      </c>
      <c r="J3806" s="281">
        <f>++Tabla4[[#This Row],[Precio Bruto]]*1.16</f>
        <v>5361.8447999999989</v>
      </c>
      <c r="K3806" s="281">
        <f>+Tabla4[[#This Row],[Precio Unitario Neto]]*Tabla4[[#Headers],[20.85%]]</f>
        <v>1117.9446407999997</v>
      </c>
      <c r="L3806" s="282">
        <f>++Tabla4[[#This Row],[Precio Unitario Neto]]-Tabla4[[#This Row],[20.85%]]</f>
        <v>4243.9001591999995</v>
      </c>
      <c r="M3806" s="282" t="e">
        <f>(INDEX(Tabla6[#All],MATCH(Tabla4[[#This Row],[Producto]],Tabla6[[#All],[PRODUCTO]],0),MATCH(Tabla4[[#This Row],[Mes]],Tabla6[#Headers],0)))*(1+Catalogos!$L$2)</f>
        <v>#N/A</v>
      </c>
      <c r="N3806" s="283" t="e">
        <f>+(Tabla4[[#This Row],[Precio Descontado]]-Tabla4[[#This Row],[Precio Base]])*Tabla4[[#This Row],[Cantidad]]</f>
        <v>#N/A</v>
      </c>
      <c r="O3806" s="284" t="e">
        <f>++Tabla4[[#This Row],[Utilidad Total]]/Tabla4[[#This Row],[Total]]</f>
        <v>#N/A</v>
      </c>
      <c r="P3806" s="282">
        <f>++Tabla4[[#This Row],[Precio Descontado]]*Tabla4[[#This Row],[Cantidad]]</f>
        <v>4243.9001591999995</v>
      </c>
      <c r="Q3806" s="282" t="e">
        <f>(INDEX(Tabla6[#All],MATCH(Tabla4[[#This Row],[Producto]],Tabla6[[#All],[PRODUCTO]],0),MATCH(Tabla4[[#This Row],[Mes]],Tabla6[#Headers],0)))</f>
        <v>#N/A</v>
      </c>
      <c r="R3806" s="282" t="e">
        <f>++Tabla4[[#This Row],[Precio Unitario Neto]]-Tabla4[[#This Row],[20.85%]]-Tabla4[[#This Row],[Costo]]</f>
        <v>#N/A</v>
      </c>
      <c r="S3806" s="282" t="e">
        <f>++Tabla4[[#This Row],[U. Bruta Uni]]*Tabla4[[#This Row],[Cantidad]]</f>
        <v>#N/A</v>
      </c>
      <c r="T3806" s="369" t="str">
        <f>VLOOKUP(Tabla4[[#This Row],[Producto]],Tabla6[#All],14,FALSE)</f>
        <v>Termico Solar</v>
      </c>
      <c r="U3806" s="284" t="e">
        <f>(IF(Tabla4[[#This Row],[Familia]]="termico solar",Tabla4[[#This Row],[Utilidad Total]]*6%,Tabla4[[#This Row],[Utilidad Total]]*11.5%))/Tabla4[[#This Row],[Total]]</f>
        <v>#N/A</v>
      </c>
      <c r="V3806" s="282" t="e">
        <f>+Tabla4[[#This Row],[Comisión Calculada]]*Tabla4[[#This Row],[Total]]</f>
        <v>#N/A</v>
      </c>
    </row>
    <row r="3807" spans="1:22" hidden="1" x14ac:dyDescent="0.25">
      <c r="A3807" s="100">
        <v>45838</v>
      </c>
      <c r="B3807" t="str">
        <f t="shared" si="178"/>
        <v>June</v>
      </c>
      <c r="C3807" s="46" t="s">
        <v>280</v>
      </c>
      <c r="F3807" s="366" t="s">
        <v>2166</v>
      </c>
      <c r="G3807" s="46" t="s">
        <v>566</v>
      </c>
      <c r="H3807" s="46">
        <v>1</v>
      </c>
      <c r="I3807" s="51">
        <v>2109.4499999999998</v>
      </c>
      <c r="J3807" s="281">
        <f>++Tabla4[[#This Row],[Precio Bruto]]*1.16</f>
        <v>2446.9619999999995</v>
      </c>
      <c r="K3807" s="281">
        <f>+Tabla4[[#This Row],[Precio Unitario Neto]]*Tabla4[[#Headers],[20.85%]]</f>
        <v>510.19157699999988</v>
      </c>
      <c r="L3807" s="282">
        <f>++Tabla4[[#This Row],[Precio Unitario Neto]]-Tabla4[[#This Row],[20.85%]]</f>
        <v>1936.7704229999997</v>
      </c>
      <c r="M3807" s="282" t="e">
        <f>(INDEX(Tabla6[#All],MATCH(Tabla4[[#This Row],[Producto]],Tabla6[[#All],[PRODUCTO]],0),MATCH(Tabla4[[#This Row],[Mes]],Tabla6[#Headers],0)))*(1+Catalogos!$L$2)</f>
        <v>#N/A</v>
      </c>
      <c r="N3807" s="283" t="e">
        <f>+(Tabla4[[#This Row],[Precio Descontado]]-Tabla4[[#This Row],[Precio Base]])*Tabla4[[#This Row],[Cantidad]]</f>
        <v>#N/A</v>
      </c>
      <c r="O3807" s="284" t="e">
        <f>++Tabla4[[#This Row],[Utilidad Total]]/Tabla4[[#This Row],[Total]]</f>
        <v>#N/A</v>
      </c>
      <c r="P3807" s="282">
        <f>++Tabla4[[#This Row],[Precio Descontado]]*Tabla4[[#This Row],[Cantidad]]</f>
        <v>1936.7704229999997</v>
      </c>
      <c r="Q3807" s="282" t="e">
        <f>(INDEX(Tabla6[#All],MATCH(Tabla4[[#This Row],[Producto]],Tabla6[[#All],[PRODUCTO]],0),MATCH(Tabla4[[#This Row],[Mes]],Tabla6[#Headers],0)))</f>
        <v>#N/A</v>
      </c>
      <c r="R3807" s="282" t="e">
        <f>++Tabla4[[#This Row],[Precio Unitario Neto]]-Tabla4[[#This Row],[20.85%]]-Tabla4[[#This Row],[Costo]]</f>
        <v>#N/A</v>
      </c>
      <c r="S3807" s="282" t="e">
        <f>++Tabla4[[#This Row],[U. Bruta Uni]]*Tabla4[[#This Row],[Cantidad]]</f>
        <v>#N/A</v>
      </c>
      <c r="T3807" s="369" t="str">
        <f>VLOOKUP(Tabla4[[#This Row],[Producto]],Tabla6[#All],14,FALSE)</f>
        <v>Termico Solar</v>
      </c>
      <c r="U3807" s="284" t="e">
        <f>(IF(Tabla4[[#This Row],[Familia]]="termico solar",Tabla4[[#This Row],[Utilidad Total]]*6%,Tabla4[[#This Row],[Utilidad Total]]*11.5%))/Tabla4[[#This Row],[Total]]</f>
        <v>#N/A</v>
      </c>
      <c r="V3807" s="282" t="e">
        <f>+Tabla4[[#This Row],[Comisión Calculada]]*Tabla4[[#This Row],[Total]]</f>
        <v>#N/A</v>
      </c>
    </row>
    <row r="3808" spans="1:22" hidden="1" x14ac:dyDescent="0.25">
      <c r="A3808" s="100">
        <v>45838</v>
      </c>
      <c r="B3808" t="str">
        <f t="shared" si="178"/>
        <v>June</v>
      </c>
      <c r="C3808" s="46" t="s">
        <v>280</v>
      </c>
      <c r="F3808" s="366" t="s">
        <v>2167</v>
      </c>
      <c r="G3808" s="46" t="s">
        <v>17</v>
      </c>
      <c r="H3808" s="46">
        <v>1</v>
      </c>
      <c r="I3808" s="51">
        <v>4622.28</v>
      </c>
      <c r="J3808" s="281">
        <f>++Tabla4[[#This Row],[Precio Bruto]]*1.16</f>
        <v>5361.8447999999989</v>
      </c>
      <c r="K3808" s="281">
        <f>+Tabla4[[#This Row],[Precio Unitario Neto]]*Tabla4[[#Headers],[20.85%]]</f>
        <v>1117.9446407999997</v>
      </c>
      <c r="L3808" s="282">
        <f>++Tabla4[[#This Row],[Precio Unitario Neto]]-Tabla4[[#This Row],[20.85%]]</f>
        <v>4243.9001591999995</v>
      </c>
      <c r="M3808" s="282" t="e">
        <f>(INDEX(Tabla6[#All],MATCH(Tabla4[[#This Row],[Producto]],Tabla6[[#All],[PRODUCTO]],0),MATCH(Tabla4[[#This Row],[Mes]],Tabla6[#Headers],0)))*(1+Catalogos!$L$2)</f>
        <v>#N/A</v>
      </c>
      <c r="N3808" s="283" t="e">
        <f>+(Tabla4[[#This Row],[Precio Descontado]]-Tabla4[[#This Row],[Precio Base]])*Tabla4[[#This Row],[Cantidad]]</f>
        <v>#N/A</v>
      </c>
      <c r="O3808" s="284" t="e">
        <f>++Tabla4[[#This Row],[Utilidad Total]]/Tabla4[[#This Row],[Total]]</f>
        <v>#N/A</v>
      </c>
      <c r="P3808" s="282">
        <f>++Tabla4[[#This Row],[Precio Descontado]]*Tabla4[[#This Row],[Cantidad]]</f>
        <v>4243.9001591999995</v>
      </c>
      <c r="Q3808" s="282" t="e">
        <f>(INDEX(Tabla6[#All],MATCH(Tabla4[[#This Row],[Producto]],Tabla6[[#All],[PRODUCTO]],0),MATCH(Tabla4[[#This Row],[Mes]],Tabla6[#Headers],0)))</f>
        <v>#N/A</v>
      </c>
      <c r="R3808" s="282" t="e">
        <f>++Tabla4[[#This Row],[Precio Unitario Neto]]-Tabla4[[#This Row],[20.85%]]-Tabla4[[#This Row],[Costo]]</f>
        <v>#N/A</v>
      </c>
      <c r="S3808" s="282" t="e">
        <f>++Tabla4[[#This Row],[U. Bruta Uni]]*Tabla4[[#This Row],[Cantidad]]</f>
        <v>#N/A</v>
      </c>
      <c r="T3808" s="369" t="str">
        <f>VLOOKUP(Tabla4[[#This Row],[Producto]],Tabla6[#All],14,FALSE)</f>
        <v>Termico Solar</v>
      </c>
      <c r="U3808" s="284" t="e">
        <f>(IF(Tabla4[[#This Row],[Familia]]="termico solar",Tabla4[[#This Row],[Utilidad Total]]*6%,Tabla4[[#This Row],[Utilidad Total]]*11.5%))/Tabla4[[#This Row],[Total]]</f>
        <v>#N/A</v>
      </c>
      <c r="V3808" s="282" t="e">
        <f>+Tabla4[[#This Row],[Comisión Calculada]]*Tabla4[[#This Row],[Total]]</f>
        <v>#N/A</v>
      </c>
    </row>
    <row r="3809" spans="1:22" hidden="1" x14ac:dyDescent="0.25">
      <c r="A3809" s="100">
        <v>45838</v>
      </c>
      <c r="B3809" t="str">
        <f t="shared" si="178"/>
        <v>June</v>
      </c>
      <c r="C3809" s="46" t="s">
        <v>280</v>
      </c>
      <c r="F3809" s="366" t="s">
        <v>2167</v>
      </c>
      <c r="G3809" s="46" t="s">
        <v>18</v>
      </c>
      <c r="H3809" s="46">
        <v>2</v>
      </c>
      <c r="I3809" s="51">
        <v>5367.65</v>
      </c>
      <c r="J3809" s="281">
        <f>++Tabla4[[#This Row],[Precio Bruto]]*1.16</f>
        <v>6226.4739999999993</v>
      </c>
      <c r="K3809" s="281">
        <f>+Tabla4[[#This Row],[Precio Unitario Neto]]*Tabla4[[#Headers],[20.85%]]</f>
        <v>1298.2198289999999</v>
      </c>
      <c r="L3809" s="282">
        <f>++Tabla4[[#This Row],[Precio Unitario Neto]]-Tabla4[[#This Row],[20.85%]]</f>
        <v>4928.2541709999996</v>
      </c>
      <c r="M3809" s="282" t="e">
        <f>(INDEX(Tabla6[#All],MATCH(Tabla4[[#This Row],[Producto]],Tabla6[[#All],[PRODUCTO]],0),MATCH(Tabla4[[#This Row],[Mes]],Tabla6[#Headers],0)))*(1+Catalogos!$L$2)</f>
        <v>#N/A</v>
      </c>
      <c r="N3809" s="283" t="e">
        <f>+(Tabla4[[#This Row],[Precio Descontado]]-Tabla4[[#This Row],[Precio Base]])*Tabla4[[#This Row],[Cantidad]]</f>
        <v>#N/A</v>
      </c>
      <c r="O3809" s="284" t="e">
        <f>++Tabla4[[#This Row],[Utilidad Total]]/Tabla4[[#This Row],[Total]]</f>
        <v>#N/A</v>
      </c>
      <c r="P3809" s="282">
        <f>++Tabla4[[#This Row],[Precio Descontado]]*Tabla4[[#This Row],[Cantidad]]</f>
        <v>9856.5083419999992</v>
      </c>
      <c r="Q3809" s="282" t="e">
        <f>(INDEX(Tabla6[#All],MATCH(Tabla4[[#This Row],[Producto]],Tabla6[[#All],[PRODUCTO]],0),MATCH(Tabla4[[#This Row],[Mes]],Tabla6[#Headers],0)))</f>
        <v>#N/A</v>
      </c>
      <c r="R3809" s="282" t="e">
        <f>++Tabla4[[#This Row],[Precio Unitario Neto]]-Tabla4[[#This Row],[20.85%]]-Tabla4[[#This Row],[Costo]]</f>
        <v>#N/A</v>
      </c>
      <c r="S3809" s="282" t="e">
        <f>++Tabla4[[#This Row],[U. Bruta Uni]]*Tabla4[[#This Row],[Cantidad]]</f>
        <v>#N/A</v>
      </c>
      <c r="T3809" s="369" t="str">
        <f>VLOOKUP(Tabla4[[#This Row],[Producto]],Tabla6[#All],14,FALSE)</f>
        <v>Termico Solar</v>
      </c>
      <c r="U3809" s="284" t="e">
        <f>(IF(Tabla4[[#This Row],[Familia]]="termico solar",Tabla4[[#This Row],[Utilidad Total]]*6%,Tabla4[[#This Row],[Utilidad Total]]*11.5%))/Tabla4[[#This Row],[Total]]</f>
        <v>#N/A</v>
      </c>
      <c r="V3809" s="282" t="e">
        <f>+Tabla4[[#This Row],[Comisión Calculada]]*Tabla4[[#This Row],[Total]]</f>
        <v>#N/A</v>
      </c>
    </row>
    <row r="3810" spans="1:22" hidden="1" x14ac:dyDescent="0.25">
      <c r="A3810" s="100">
        <v>45838</v>
      </c>
      <c r="B3810" t="str">
        <f t="shared" si="178"/>
        <v>June</v>
      </c>
      <c r="C3810" s="46" t="s">
        <v>280</v>
      </c>
      <c r="F3810" s="366" t="s">
        <v>2167</v>
      </c>
      <c r="G3810" s="46" t="s">
        <v>208</v>
      </c>
      <c r="H3810" s="46">
        <v>1</v>
      </c>
      <c r="I3810" s="51">
        <v>189.75</v>
      </c>
      <c r="J3810" s="281">
        <f>++Tabla4[[#This Row],[Precio Bruto]]*1.16</f>
        <v>220.10999999999999</v>
      </c>
      <c r="K3810" s="281">
        <f>+Tabla4[[#This Row],[Precio Unitario Neto]]*Tabla4[[#Headers],[20.85%]]</f>
        <v>45.892934999999994</v>
      </c>
      <c r="L3810" s="282">
        <f>++Tabla4[[#This Row],[Precio Unitario Neto]]-Tabla4[[#This Row],[20.85%]]</f>
        <v>174.21706499999999</v>
      </c>
      <c r="M3810" s="282" t="e">
        <f>(INDEX(Tabla6[#All],MATCH(Tabla4[[#This Row],[Producto]],Tabla6[[#All],[PRODUCTO]],0),MATCH(Tabla4[[#This Row],[Mes]],Tabla6[#Headers],0)))*(1+Catalogos!$L$2)</f>
        <v>#N/A</v>
      </c>
      <c r="N3810" s="283" t="e">
        <f>+(Tabla4[[#This Row],[Precio Descontado]]-Tabla4[[#This Row],[Precio Base]])*Tabla4[[#This Row],[Cantidad]]</f>
        <v>#N/A</v>
      </c>
      <c r="O3810" s="284" t="e">
        <f>++Tabla4[[#This Row],[Utilidad Total]]/Tabla4[[#This Row],[Total]]</f>
        <v>#N/A</v>
      </c>
      <c r="P3810" s="282">
        <f>++Tabla4[[#This Row],[Precio Descontado]]*Tabla4[[#This Row],[Cantidad]]</f>
        <v>174.21706499999999</v>
      </c>
      <c r="Q3810" s="282" t="e">
        <f>(INDEX(Tabla6[#All],MATCH(Tabla4[[#This Row],[Producto]],Tabla6[[#All],[PRODUCTO]],0),MATCH(Tabla4[[#This Row],[Mes]],Tabla6[#Headers],0)))</f>
        <v>#N/A</v>
      </c>
      <c r="R3810" s="282" t="e">
        <f>++Tabla4[[#This Row],[Precio Unitario Neto]]-Tabla4[[#This Row],[20.85%]]-Tabla4[[#This Row],[Costo]]</f>
        <v>#N/A</v>
      </c>
      <c r="S3810" s="282" t="e">
        <f>++Tabla4[[#This Row],[U. Bruta Uni]]*Tabla4[[#This Row],[Cantidad]]</f>
        <v>#N/A</v>
      </c>
      <c r="T3810" s="369" t="str">
        <f>VLOOKUP(Tabla4[[#This Row],[Producto]],Tabla6[#All],14,FALSE)</f>
        <v>Termico Solar</v>
      </c>
      <c r="U3810" s="284" t="e">
        <f>(IF(Tabla4[[#This Row],[Familia]]="termico solar",Tabla4[[#This Row],[Utilidad Total]]*6%,Tabla4[[#This Row],[Utilidad Total]]*11.5%))/Tabla4[[#This Row],[Total]]</f>
        <v>#N/A</v>
      </c>
      <c r="V3810" s="282" t="e">
        <f>+Tabla4[[#This Row],[Comisión Calculada]]*Tabla4[[#This Row],[Total]]</f>
        <v>#N/A</v>
      </c>
    </row>
    <row r="3811" spans="1:22" hidden="1" x14ac:dyDescent="0.25">
      <c r="A3811" s="100">
        <v>45838</v>
      </c>
      <c r="B3811" t="str">
        <f t="shared" si="178"/>
        <v>June</v>
      </c>
      <c r="C3811" s="46" t="s">
        <v>280</v>
      </c>
      <c r="F3811" s="366" t="s">
        <v>2168</v>
      </c>
      <c r="G3811" s="46" t="s">
        <v>83</v>
      </c>
      <c r="H3811" s="46">
        <v>2</v>
      </c>
      <c r="I3811" s="51">
        <v>8858.76</v>
      </c>
      <c r="J3811" s="281">
        <f>++Tabla4[[#This Row],[Precio Bruto]]*1.16</f>
        <v>10276.161599999999</v>
      </c>
      <c r="K3811" s="281">
        <f>+Tabla4[[#This Row],[Precio Unitario Neto]]*Tabla4[[#Headers],[20.85%]]</f>
        <v>2142.5796935999997</v>
      </c>
      <c r="L3811" s="282">
        <f>++Tabla4[[#This Row],[Precio Unitario Neto]]-Tabla4[[#This Row],[20.85%]]</f>
        <v>8133.5819063999998</v>
      </c>
      <c r="M3811" s="282" t="e">
        <f>(INDEX(Tabla6[#All],MATCH(Tabla4[[#This Row],[Producto]],Tabla6[[#All],[PRODUCTO]],0),MATCH(Tabla4[[#This Row],[Mes]],Tabla6[#Headers],0)))*(1+Catalogos!$L$2)</f>
        <v>#N/A</v>
      </c>
      <c r="N3811" s="283" t="e">
        <f>+(Tabla4[[#This Row],[Precio Descontado]]-Tabla4[[#This Row],[Precio Base]])*Tabla4[[#This Row],[Cantidad]]</f>
        <v>#N/A</v>
      </c>
      <c r="O3811" s="284" t="e">
        <f>++Tabla4[[#This Row],[Utilidad Total]]/Tabla4[[#This Row],[Total]]</f>
        <v>#N/A</v>
      </c>
      <c r="P3811" s="282">
        <f>++Tabla4[[#This Row],[Precio Descontado]]*Tabla4[[#This Row],[Cantidad]]</f>
        <v>16267.1638128</v>
      </c>
      <c r="Q3811" s="282" t="e">
        <f>(INDEX(Tabla6[#All],MATCH(Tabla4[[#This Row],[Producto]],Tabla6[[#All],[PRODUCTO]],0),MATCH(Tabla4[[#This Row],[Mes]],Tabla6[#Headers],0)))</f>
        <v>#N/A</v>
      </c>
      <c r="R3811" s="282" t="e">
        <f>++Tabla4[[#This Row],[Precio Unitario Neto]]-Tabla4[[#This Row],[20.85%]]-Tabla4[[#This Row],[Costo]]</f>
        <v>#N/A</v>
      </c>
      <c r="S3811" s="282" t="e">
        <f>++Tabla4[[#This Row],[U. Bruta Uni]]*Tabla4[[#This Row],[Cantidad]]</f>
        <v>#N/A</v>
      </c>
      <c r="T3811" s="369" t="str">
        <f>VLOOKUP(Tabla4[[#This Row],[Producto]],Tabla6[#All],14,FALSE)</f>
        <v>Termico Solar</v>
      </c>
      <c r="U3811" s="284" t="e">
        <f>(IF(Tabla4[[#This Row],[Familia]]="termico solar",Tabla4[[#This Row],[Utilidad Total]]*6%,Tabla4[[#This Row],[Utilidad Total]]*11.5%))/Tabla4[[#This Row],[Total]]</f>
        <v>#N/A</v>
      </c>
      <c r="V3811" s="282" t="e">
        <f>+Tabla4[[#This Row],[Comisión Calculada]]*Tabla4[[#This Row],[Total]]</f>
        <v>#N/A</v>
      </c>
    </row>
    <row r="3812" spans="1:22" hidden="1" x14ac:dyDescent="0.25">
      <c r="A3812" s="100">
        <v>45838</v>
      </c>
      <c r="B3812" t="str">
        <f t="shared" si="178"/>
        <v>June</v>
      </c>
      <c r="C3812" s="46" t="s">
        <v>280</v>
      </c>
      <c r="F3812" s="366" t="s">
        <v>2168</v>
      </c>
      <c r="G3812" s="46" t="s">
        <v>18</v>
      </c>
      <c r="H3812" s="46">
        <v>3</v>
      </c>
      <c r="I3812" s="51">
        <v>5367.6500000000005</v>
      </c>
      <c r="J3812" s="281">
        <f>++Tabla4[[#This Row],[Precio Bruto]]*1.16</f>
        <v>6226.4740000000002</v>
      </c>
      <c r="K3812" s="281">
        <f>+Tabla4[[#This Row],[Precio Unitario Neto]]*Tabla4[[#Headers],[20.85%]]</f>
        <v>1298.2198289999999</v>
      </c>
      <c r="L3812" s="282">
        <f>++Tabla4[[#This Row],[Precio Unitario Neto]]-Tabla4[[#This Row],[20.85%]]</f>
        <v>4928.2541710000005</v>
      </c>
      <c r="M3812" s="282" t="e">
        <f>(INDEX(Tabla6[#All],MATCH(Tabla4[[#This Row],[Producto]],Tabla6[[#All],[PRODUCTO]],0),MATCH(Tabla4[[#This Row],[Mes]],Tabla6[#Headers],0)))*(1+Catalogos!$L$2)</f>
        <v>#N/A</v>
      </c>
      <c r="N3812" s="283" t="e">
        <f>+(Tabla4[[#This Row],[Precio Descontado]]-Tabla4[[#This Row],[Precio Base]])*Tabla4[[#This Row],[Cantidad]]</f>
        <v>#N/A</v>
      </c>
      <c r="O3812" s="284" t="e">
        <f>++Tabla4[[#This Row],[Utilidad Total]]/Tabla4[[#This Row],[Total]]</f>
        <v>#N/A</v>
      </c>
      <c r="P3812" s="282">
        <f>++Tabla4[[#This Row],[Precio Descontado]]*Tabla4[[#This Row],[Cantidad]]</f>
        <v>14784.762513000001</v>
      </c>
      <c r="Q3812" s="282" t="e">
        <f>(INDEX(Tabla6[#All],MATCH(Tabla4[[#This Row],[Producto]],Tabla6[[#All],[PRODUCTO]],0),MATCH(Tabla4[[#This Row],[Mes]],Tabla6[#Headers],0)))</f>
        <v>#N/A</v>
      </c>
      <c r="R3812" s="282" t="e">
        <f>++Tabla4[[#This Row],[Precio Unitario Neto]]-Tabla4[[#This Row],[20.85%]]-Tabla4[[#This Row],[Costo]]</f>
        <v>#N/A</v>
      </c>
      <c r="S3812" s="282" t="e">
        <f>++Tabla4[[#This Row],[U. Bruta Uni]]*Tabla4[[#This Row],[Cantidad]]</f>
        <v>#N/A</v>
      </c>
      <c r="T3812" s="369" t="str">
        <f>VLOOKUP(Tabla4[[#This Row],[Producto]],Tabla6[#All],14,FALSE)</f>
        <v>Termico Solar</v>
      </c>
      <c r="U3812" s="284" t="e">
        <f>(IF(Tabla4[[#This Row],[Familia]]="termico solar",Tabla4[[#This Row],[Utilidad Total]]*6%,Tabla4[[#This Row],[Utilidad Total]]*11.5%))/Tabla4[[#This Row],[Total]]</f>
        <v>#N/A</v>
      </c>
      <c r="V3812" s="282" t="e">
        <f>+Tabla4[[#This Row],[Comisión Calculada]]*Tabla4[[#This Row],[Total]]</f>
        <v>#N/A</v>
      </c>
    </row>
    <row r="3813" spans="1:22" hidden="1" x14ac:dyDescent="0.25">
      <c r="A3813" s="100">
        <v>45838</v>
      </c>
      <c r="B3813" t="str">
        <f t="shared" si="178"/>
        <v>June</v>
      </c>
      <c r="C3813" s="46" t="s">
        <v>280</v>
      </c>
      <c r="F3813" s="366" t="s">
        <v>2169</v>
      </c>
      <c r="G3813" s="46" t="s">
        <v>566</v>
      </c>
      <c r="H3813" s="46">
        <v>1</v>
      </c>
      <c r="I3813" s="51">
        <v>2109.4499999999998</v>
      </c>
      <c r="J3813" s="281">
        <f>++Tabla4[[#This Row],[Precio Bruto]]*1.16</f>
        <v>2446.9619999999995</v>
      </c>
      <c r="K3813" s="281">
        <f>+Tabla4[[#This Row],[Precio Unitario Neto]]*Tabla4[[#Headers],[20.85%]]</f>
        <v>510.19157699999988</v>
      </c>
      <c r="L3813" s="282">
        <f>++Tabla4[[#This Row],[Precio Unitario Neto]]-Tabla4[[#This Row],[20.85%]]</f>
        <v>1936.7704229999997</v>
      </c>
      <c r="M3813" s="282" t="e">
        <f>(INDEX(Tabla6[#All],MATCH(Tabla4[[#This Row],[Producto]],Tabla6[[#All],[PRODUCTO]],0),MATCH(Tabla4[[#This Row],[Mes]],Tabla6[#Headers],0)))*(1+Catalogos!$L$2)</f>
        <v>#N/A</v>
      </c>
      <c r="N3813" s="283" t="e">
        <f>+(Tabla4[[#This Row],[Precio Descontado]]-Tabla4[[#This Row],[Precio Base]])*Tabla4[[#This Row],[Cantidad]]</f>
        <v>#N/A</v>
      </c>
      <c r="O3813" s="284" t="e">
        <f>++Tabla4[[#This Row],[Utilidad Total]]/Tabla4[[#This Row],[Total]]</f>
        <v>#N/A</v>
      </c>
      <c r="P3813" s="282">
        <f>++Tabla4[[#This Row],[Precio Descontado]]*Tabla4[[#This Row],[Cantidad]]</f>
        <v>1936.7704229999997</v>
      </c>
      <c r="Q3813" s="282" t="e">
        <f>(INDEX(Tabla6[#All],MATCH(Tabla4[[#This Row],[Producto]],Tabla6[[#All],[PRODUCTO]],0),MATCH(Tabla4[[#This Row],[Mes]],Tabla6[#Headers],0)))</f>
        <v>#N/A</v>
      </c>
      <c r="R3813" s="282" t="e">
        <f>++Tabla4[[#This Row],[Precio Unitario Neto]]-Tabla4[[#This Row],[20.85%]]-Tabla4[[#This Row],[Costo]]</f>
        <v>#N/A</v>
      </c>
      <c r="S3813" s="282" t="e">
        <f>++Tabla4[[#This Row],[U. Bruta Uni]]*Tabla4[[#This Row],[Cantidad]]</f>
        <v>#N/A</v>
      </c>
      <c r="T3813" s="369" t="str">
        <f>VLOOKUP(Tabla4[[#This Row],[Producto]],Tabla6[#All],14,FALSE)</f>
        <v>Termico Solar</v>
      </c>
      <c r="U3813" s="284" t="e">
        <f>(IF(Tabla4[[#This Row],[Familia]]="termico solar",Tabla4[[#This Row],[Utilidad Total]]*6%,Tabla4[[#This Row],[Utilidad Total]]*11.5%))/Tabla4[[#This Row],[Total]]</f>
        <v>#N/A</v>
      </c>
      <c r="V3813" s="282" t="e">
        <f>+Tabla4[[#This Row],[Comisión Calculada]]*Tabla4[[#This Row],[Total]]</f>
        <v>#N/A</v>
      </c>
    </row>
    <row r="3814" spans="1:22" hidden="1" x14ac:dyDescent="0.25">
      <c r="A3814" s="100">
        <v>45838</v>
      </c>
      <c r="B3814" t="str">
        <f t="shared" si="178"/>
        <v>June</v>
      </c>
      <c r="C3814" s="46" t="s">
        <v>280</v>
      </c>
      <c r="F3814" s="366" t="s">
        <v>2170</v>
      </c>
      <c r="G3814" s="46" t="s">
        <v>18</v>
      </c>
      <c r="H3814" s="46">
        <v>5</v>
      </c>
      <c r="I3814" s="51">
        <v>5367.65</v>
      </c>
      <c r="J3814" s="281">
        <f>++Tabla4[[#This Row],[Precio Bruto]]*1.16</f>
        <v>6226.4739999999993</v>
      </c>
      <c r="K3814" s="281">
        <f>+Tabla4[[#This Row],[Precio Unitario Neto]]*Tabla4[[#Headers],[20.85%]]</f>
        <v>1298.2198289999999</v>
      </c>
      <c r="L3814" s="282">
        <f>++Tabla4[[#This Row],[Precio Unitario Neto]]-Tabla4[[#This Row],[20.85%]]</f>
        <v>4928.2541709999996</v>
      </c>
      <c r="M3814" s="282" t="e">
        <f>(INDEX(Tabla6[#All],MATCH(Tabla4[[#This Row],[Producto]],Tabla6[[#All],[PRODUCTO]],0),MATCH(Tabla4[[#This Row],[Mes]],Tabla6[#Headers],0)))*(1+Catalogos!$L$2)</f>
        <v>#N/A</v>
      </c>
      <c r="N3814" s="283" t="e">
        <f>+(Tabla4[[#This Row],[Precio Descontado]]-Tabla4[[#This Row],[Precio Base]])*Tabla4[[#This Row],[Cantidad]]</f>
        <v>#N/A</v>
      </c>
      <c r="O3814" s="284" t="e">
        <f>++Tabla4[[#This Row],[Utilidad Total]]/Tabla4[[#This Row],[Total]]</f>
        <v>#N/A</v>
      </c>
      <c r="P3814" s="282">
        <f>++Tabla4[[#This Row],[Precio Descontado]]*Tabla4[[#This Row],[Cantidad]]</f>
        <v>24641.270854999999</v>
      </c>
      <c r="Q3814" s="282" t="e">
        <f>(INDEX(Tabla6[#All],MATCH(Tabla4[[#This Row],[Producto]],Tabla6[[#All],[PRODUCTO]],0),MATCH(Tabla4[[#This Row],[Mes]],Tabla6[#Headers],0)))</f>
        <v>#N/A</v>
      </c>
      <c r="R3814" s="282" t="e">
        <f>++Tabla4[[#This Row],[Precio Unitario Neto]]-Tabla4[[#This Row],[20.85%]]-Tabla4[[#This Row],[Costo]]</f>
        <v>#N/A</v>
      </c>
      <c r="S3814" s="282" t="e">
        <f>++Tabla4[[#This Row],[U. Bruta Uni]]*Tabla4[[#This Row],[Cantidad]]</f>
        <v>#N/A</v>
      </c>
      <c r="T3814" s="369" t="str">
        <f>VLOOKUP(Tabla4[[#This Row],[Producto]],Tabla6[#All],14,FALSE)</f>
        <v>Termico Solar</v>
      </c>
      <c r="U3814" s="284" t="e">
        <f>(IF(Tabla4[[#This Row],[Familia]]="termico solar",Tabla4[[#This Row],[Utilidad Total]]*6%,Tabla4[[#This Row],[Utilidad Total]]*11.5%))/Tabla4[[#This Row],[Total]]</f>
        <v>#N/A</v>
      </c>
      <c r="V3814" s="282" t="e">
        <f>+Tabla4[[#This Row],[Comisión Calculada]]*Tabla4[[#This Row],[Total]]</f>
        <v>#N/A</v>
      </c>
    </row>
    <row r="3815" spans="1:22" hidden="1" x14ac:dyDescent="0.25">
      <c r="A3815" s="100">
        <v>45838</v>
      </c>
      <c r="B3815" t="str">
        <f t="shared" si="178"/>
        <v>June</v>
      </c>
      <c r="C3815" s="46" t="s">
        <v>280</v>
      </c>
      <c r="F3815" s="366" t="s">
        <v>2171</v>
      </c>
      <c r="G3815" s="46" t="s">
        <v>17</v>
      </c>
      <c r="H3815" s="46">
        <v>3</v>
      </c>
      <c r="I3815" s="51">
        <v>4622.28</v>
      </c>
      <c r="J3815" s="281">
        <f>++Tabla4[[#This Row],[Precio Bruto]]*1.16</f>
        <v>5361.8447999999989</v>
      </c>
      <c r="K3815" s="281">
        <f>+Tabla4[[#This Row],[Precio Unitario Neto]]*Tabla4[[#Headers],[20.85%]]</f>
        <v>1117.9446407999997</v>
      </c>
      <c r="L3815" s="282">
        <f>++Tabla4[[#This Row],[Precio Unitario Neto]]-Tabla4[[#This Row],[20.85%]]</f>
        <v>4243.9001591999995</v>
      </c>
      <c r="M3815" s="282" t="e">
        <f>(INDEX(Tabla6[#All],MATCH(Tabla4[[#This Row],[Producto]],Tabla6[[#All],[PRODUCTO]],0),MATCH(Tabla4[[#This Row],[Mes]],Tabla6[#Headers],0)))*(1+Catalogos!$L$2)</f>
        <v>#N/A</v>
      </c>
      <c r="N3815" s="283" t="e">
        <f>+(Tabla4[[#This Row],[Precio Descontado]]-Tabla4[[#This Row],[Precio Base]])*Tabla4[[#This Row],[Cantidad]]</f>
        <v>#N/A</v>
      </c>
      <c r="O3815" s="284" t="e">
        <f>++Tabla4[[#This Row],[Utilidad Total]]/Tabla4[[#This Row],[Total]]</f>
        <v>#N/A</v>
      </c>
      <c r="P3815" s="282">
        <f>++Tabla4[[#This Row],[Precio Descontado]]*Tabla4[[#This Row],[Cantidad]]</f>
        <v>12731.700477599999</v>
      </c>
      <c r="Q3815" s="282" t="e">
        <f>(INDEX(Tabla6[#All],MATCH(Tabla4[[#This Row],[Producto]],Tabla6[[#All],[PRODUCTO]],0),MATCH(Tabla4[[#This Row],[Mes]],Tabla6[#Headers],0)))</f>
        <v>#N/A</v>
      </c>
      <c r="R3815" s="282" t="e">
        <f>++Tabla4[[#This Row],[Precio Unitario Neto]]-Tabla4[[#This Row],[20.85%]]-Tabla4[[#This Row],[Costo]]</f>
        <v>#N/A</v>
      </c>
      <c r="S3815" s="282" t="e">
        <f>++Tabla4[[#This Row],[U. Bruta Uni]]*Tabla4[[#This Row],[Cantidad]]</f>
        <v>#N/A</v>
      </c>
      <c r="T3815" s="369" t="str">
        <f>VLOOKUP(Tabla4[[#This Row],[Producto]],Tabla6[#All],14,FALSE)</f>
        <v>Termico Solar</v>
      </c>
      <c r="U3815" s="284" t="e">
        <f>(IF(Tabla4[[#This Row],[Familia]]="termico solar",Tabla4[[#This Row],[Utilidad Total]]*6%,Tabla4[[#This Row],[Utilidad Total]]*11.5%))/Tabla4[[#This Row],[Total]]</f>
        <v>#N/A</v>
      </c>
      <c r="V3815" s="282" t="e">
        <f>+Tabla4[[#This Row],[Comisión Calculada]]*Tabla4[[#This Row],[Total]]</f>
        <v>#N/A</v>
      </c>
    </row>
    <row r="3816" spans="1:22" hidden="1" x14ac:dyDescent="0.25">
      <c r="A3816" s="100">
        <v>45838</v>
      </c>
      <c r="B3816" t="str">
        <f t="shared" si="178"/>
        <v>June</v>
      </c>
      <c r="C3816" s="46" t="s">
        <v>280</v>
      </c>
      <c r="F3816" s="366" t="s">
        <v>2171</v>
      </c>
      <c r="G3816" s="46" t="s">
        <v>566</v>
      </c>
      <c r="H3816" s="46">
        <v>1</v>
      </c>
      <c r="I3816" s="51">
        <v>2109.4499999999998</v>
      </c>
      <c r="J3816" s="281">
        <f>++Tabla4[[#This Row],[Precio Bruto]]*1.16</f>
        <v>2446.9619999999995</v>
      </c>
      <c r="K3816" s="281">
        <f>+Tabla4[[#This Row],[Precio Unitario Neto]]*Tabla4[[#Headers],[20.85%]]</f>
        <v>510.19157699999988</v>
      </c>
      <c r="L3816" s="282">
        <f>++Tabla4[[#This Row],[Precio Unitario Neto]]-Tabla4[[#This Row],[20.85%]]</f>
        <v>1936.7704229999997</v>
      </c>
      <c r="M3816" s="282" t="e">
        <f>(INDEX(Tabla6[#All],MATCH(Tabla4[[#This Row],[Producto]],Tabla6[[#All],[PRODUCTO]],0),MATCH(Tabla4[[#This Row],[Mes]],Tabla6[#Headers],0)))*(1+Catalogos!$L$2)</f>
        <v>#N/A</v>
      </c>
      <c r="N3816" s="283" t="e">
        <f>+(Tabla4[[#This Row],[Precio Descontado]]-Tabla4[[#This Row],[Precio Base]])*Tabla4[[#This Row],[Cantidad]]</f>
        <v>#N/A</v>
      </c>
      <c r="O3816" s="284" t="e">
        <f>++Tabla4[[#This Row],[Utilidad Total]]/Tabla4[[#This Row],[Total]]</f>
        <v>#N/A</v>
      </c>
      <c r="P3816" s="282">
        <f>++Tabla4[[#This Row],[Precio Descontado]]*Tabla4[[#This Row],[Cantidad]]</f>
        <v>1936.7704229999997</v>
      </c>
      <c r="Q3816" s="282" t="e">
        <f>(INDEX(Tabla6[#All],MATCH(Tabla4[[#This Row],[Producto]],Tabla6[[#All],[PRODUCTO]],0),MATCH(Tabla4[[#This Row],[Mes]],Tabla6[#Headers],0)))</f>
        <v>#N/A</v>
      </c>
      <c r="R3816" s="282" t="e">
        <f>++Tabla4[[#This Row],[Precio Unitario Neto]]-Tabla4[[#This Row],[20.85%]]-Tabla4[[#This Row],[Costo]]</f>
        <v>#N/A</v>
      </c>
      <c r="S3816" s="282" t="e">
        <f>++Tabla4[[#This Row],[U. Bruta Uni]]*Tabla4[[#This Row],[Cantidad]]</f>
        <v>#N/A</v>
      </c>
      <c r="T3816" s="369" t="str">
        <f>VLOOKUP(Tabla4[[#This Row],[Producto]],Tabla6[#All],14,FALSE)</f>
        <v>Termico Solar</v>
      </c>
      <c r="U3816" s="284" t="e">
        <f>(IF(Tabla4[[#This Row],[Familia]]="termico solar",Tabla4[[#This Row],[Utilidad Total]]*6%,Tabla4[[#This Row],[Utilidad Total]]*11.5%))/Tabla4[[#This Row],[Total]]</f>
        <v>#N/A</v>
      </c>
      <c r="V3816" s="282" t="e">
        <f>+Tabla4[[#This Row],[Comisión Calculada]]*Tabla4[[#This Row],[Total]]</f>
        <v>#N/A</v>
      </c>
    </row>
    <row r="3817" spans="1:22" hidden="1" x14ac:dyDescent="0.25">
      <c r="A3817" s="100">
        <v>45838</v>
      </c>
      <c r="B3817" t="str">
        <f t="shared" si="178"/>
        <v>June</v>
      </c>
      <c r="C3817" s="46" t="s">
        <v>280</v>
      </c>
      <c r="F3817" s="366" t="s">
        <v>2172</v>
      </c>
      <c r="G3817" s="46" t="s">
        <v>83</v>
      </c>
      <c r="H3817" s="46">
        <v>1</v>
      </c>
      <c r="I3817" s="51">
        <v>8858.76</v>
      </c>
      <c r="J3817" s="281">
        <f>++Tabla4[[#This Row],[Precio Bruto]]*1.16</f>
        <v>10276.161599999999</v>
      </c>
      <c r="K3817" s="281">
        <f>+Tabla4[[#This Row],[Precio Unitario Neto]]*Tabla4[[#Headers],[20.85%]]</f>
        <v>2142.5796935999997</v>
      </c>
      <c r="L3817" s="282">
        <f>++Tabla4[[#This Row],[Precio Unitario Neto]]-Tabla4[[#This Row],[20.85%]]</f>
        <v>8133.5819063999998</v>
      </c>
      <c r="M3817" s="282" t="e">
        <f>(INDEX(Tabla6[#All],MATCH(Tabla4[[#This Row],[Producto]],Tabla6[[#All],[PRODUCTO]],0),MATCH(Tabla4[[#This Row],[Mes]],Tabla6[#Headers],0)))*(1+Catalogos!$L$2)</f>
        <v>#N/A</v>
      </c>
      <c r="N3817" s="283" t="e">
        <f>+(Tabla4[[#This Row],[Precio Descontado]]-Tabla4[[#This Row],[Precio Base]])*Tabla4[[#This Row],[Cantidad]]</f>
        <v>#N/A</v>
      </c>
      <c r="O3817" s="284" t="e">
        <f>++Tabla4[[#This Row],[Utilidad Total]]/Tabla4[[#This Row],[Total]]</f>
        <v>#N/A</v>
      </c>
      <c r="P3817" s="282">
        <f>++Tabla4[[#This Row],[Precio Descontado]]*Tabla4[[#This Row],[Cantidad]]</f>
        <v>8133.5819063999998</v>
      </c>
      <c r="Q3817" s="282" t="e">
        <f>(INDEX(Tabla6[#All],MATCH(Tabla4[[#This Row],[Producto]],Tabla6[[#All],[PRODUCTO]],0),MATCH(Tabla4[[#This Row],[Mes]],Tabla6[#Headers],0)))</f>
        <v>#N/A</v>
      </c>
      <c r="R3817" s="282" t="e">
        <f>++Tabla4[[#This Row],[Precio Unitario Neto]]-Tabla4[[#This Row],[20.85%]]-Tabla4[[#This Row],[Costo]]</f>
        <v>#N/A</v>
      </c>
      <c r="S3817" s="282" t="e">
        <f>++Tabla4[[#This Row],[U. Bruta Uni]]*Tabla4[[#This Row],[Cantidad]]</f>
        <v>#N/A</v>
      </c>
      <c r="T3817" s="369" t="str">
        <f>VLOOKUP(Tabla4[[#This Row],[Producto]],Tabla6[#All],14,FALSE)</f>
        <v>Termico Solar</v>
      </c>
      <c r="U3817" s="284" t="e">
        <f>(IF(Tabla4[[#This Row],[Familia]]="termico solar",Tabla4[[#This Row],[Utilidad Total]]*6%,Tabla4[[#This Row],[Utilidad Total]]*11.5%))/Tabla4[[#This Row],[Total]]</f>
        <v>#N/A</v>
      </c>
      <c r="V3817" s="282" t="e">
        <f>+Tabla4[[#This Row],[Comisión Calculada]]*Tabla4[[#This Row],[Total]]</f>
        <v>#N/A</v>
      </c>
    </row>
    <row r="3818" spans="1:22" hidden="1" x14ac:dyDescent="0.25">
      <c r="A3818" s="100">
        <v>45838</v>
      </c>
      <c r="B3818" t="str">
        <f t="shared" si="178"/>
        <v>June</v>
      </c>
      <c r="C3818" s="46" t="s">
        <v>280</v>
      </c>
      <c r="F3818" s="366" t="s">
        <v>2172</v>
      </c>
      <c r="G3818" s="46" t="s">
        <v>18</v>
      </c>
      <c r="H3818" s="46">
        <v>1</v>
      </c>
      <c r="I3818" s="51">
        <v>5367.65</v>
      </c>
      <c r="J3818" s="281">
        <f>++Tabla4[[#This Row],[Precio Bruto]]*1.16</f>
        <v>6226.4739999999993</v>
      </c>
      <c r="K3818" s="281">
        <f>+Tabla4[[#This Row],[Precio Unitario Neto]]*Tabla4[[#Headers],[20.85%]]</f>
        <v>1298.2198289999999</v>
      </c>
      <c r="L3818" s="282">
        <f>++Tabla4[[#This Row],[Precio Unitario Neto]]-Tabla4[[#This Row],[20.85%]]</f>
        <v>4928.2541709999996</v>
      </c>
      <c r="M3818" s="282" t="e">
        <f>(INDEX(Tabla6[#All],MATCH(Tabla4[[#This Row],[Producto]],Tabla6[[#All],[PRODUCTO]],0),MATCH(Tabla4[[#This Row],[Mes]],Tabla6[#Headers],0)))*(1+Catalogos!$L$2)</f>
        <v>#N/A</v>
      </c>
      <c r="N3818" s="283" t="e">
        <f>+(Tabla4[[#This Row],[Precio Descontado]]-Tabla4[[#This Row],[Precio Base]])*Tabla4[[#This Row],[Cantidad]]</f>
        <v>#N/A</v>
      </c>
      <c r="O3818" s="284" t="e">
        <f>++Tabla4[[#This Row],[Utilidad Total]]/Tabla4[[#This Row],[Total]]</f>
        <v>#N/A</v>
      </c>
      <c r="P3818" s="282">
        <f>++Tabla4[[#This Row],[Precio Descontado]]*Tabla4[[#This Row],[Cantidad]]</f>
        <v>4928.2541709999996</v>
      </c>
      <c r="Q3818" s="282" t="e">
        <f>(INDEX(Tabla6[#All],MATCH(Tabla4[[#This Row],[Producto]],Tabla6[[#All],[PRODUCTO]],0),MATCH(Tabla4[[#This Row],[Mes]],Tabla6[#Headers],0)))</f>
        <v>#N/A</v>
      </c>
      <c r="R3818" s="282" t="e">
        <f>++Tabla4[[#This Row],[Precio Unitario Neto]]-Tabla4[[#This Row],[20.85%]]-Tabla4[[#This Row],[Costo]]</f>
        <v>#N/A</v>
      </c>
      <c r="S3818" s="282" t="e">
        <f>++Tabla4[[#This Row],[U. Bruta Uni]]*Tabla4[[#This Row],[Cantidad]]</f>
        <v>#N/A</v>
      </c>
      <c r="T3818" s="369" t="str">
        <f>VLOOKUP(Tabla4[[#This Row],[Producto]],Tabla6[#All],14,FALSE)</f>
        <v>Termico Solar</v>
      </c>
      <c r="U3818" s="284" t="e">
        <f>(IF(Tabla4[[#This Row],[Familia]]="termico solar",Tabla4[[#This Row],[Utilidad Total]]*6%,Tabla4[[#This Row],[Utilidad Total]]*11.5%))/Tabla4[[#This Row],[Total]]</f>
        <v>#N/A</v>
      </c>
      <c r="V3818" s="282" t="e">
        <f>+Tabla4[[#This Row],[Comisión Calculada]]*Tabla4[[#This Row],[Total]]</f>
        <v>#N/A</v>
      </c>
    </row>
    <row r="3819" spans="1:22" hidden="1" x14ac:dyDescent="0.25">
      <c r="A3819" s="100">
        <v>45838</v>
      </c>
      <c r="B3819" t="str">
        <f t="shared" si="178"/>
        <v>June</v>
      </c>
      <c r="C3819" s="46" t="s">
        <v>280</v>
      </c>
      <c r="F3819" s="366" t="s">
        <v>2172</v>
      </c>
      <c r="G3819" s="46" t="s">
        <v>16</v>
      </c>
      <c r="H3819" s="46">
        <v>1</v>
      </c>
      <c r="I3819" s="51">
        <v>4103.8500000000004</v>
      </c>
      <c r="J3819" s="281">
        <f>++Tabla4[[#This Row],[Precio Bruto]]*1.16</f>
        <v>4760.4660000000003</v>
      </c>
      <c r="K3819" s="281">
        <f>+Tabla4[[#This Row],[Precio Unitario Neto]]*Tabla4[[#Headers],[20.85%]]</f>
        <v>992.55716100000006</v>
      </c>
      <c r="L3819" s="282">
        <f>++Tabla4[[#This Row],[Precio Unitario Neto]]-Tabla4[[#This Row],[20.85%]]</f>
        <v>3767.9088390000002</v>
      </c>
      <c r="M3819" s="282" t="e">
        <f>(INDEX(Tabla6[#All],MATCH(Tabla4[[#This Row],[Producto]],Tabla6[[#All],[PRODUCTO]],0),MATCH(Tabla4[[#This Row],[Mes]],Tabla6[#Headers],0)))*(1+Catalogos!$L$2)</f>
        <v>#N/A</v>
      </c>
      <c r="N3819" s="283" t="e">
        <f>+(Tabla4[[#This Row],[Precio Descontado]]-Tabla4[[#This Row],[Precio Base]])*Tabla4[[#This Row],[Cantidad]]</f>
        <v>#N/A</v>
      </c>
      <c r="O3819" s="284" t="e">
        <f>++Tabla4[[#This Row],[Utilidad Total]]/Tabla4[[#This Row],[Total]]</f>
        <v>#N/A</v>
      </c>
      <c r="P3819" s="282">
        <f>++Tabla4[[#This Row],[Precio Descontado]]*Tabla4[[#This Row],[Cantidad]]</f>
        <v>3767.9088390000002</v>
      </c>
      <c r="Q3819" s="282" t="e">
        <f>(INDEX(Tabla6[#All],MATCH(Tabla4[[#This Row],[Producto]],Tabla6[[#All],[PRODUCTO]],0),MATCH(Tabla4[[#This Row],[Mes]],Tabla6[#Headers],0)))</f>
        <v>#N/A</v>
      </c>
      <c r="R3819" s="282" t="e">
        <f>++Tabla4[[#This Row],[Precio Unitario Neto]]-Tabla4[[#This Row],[20.85%]]-Tabla4[[#This Row],[Costo]]</f>
        <v>#N/A</v>
      </c>
      <c r="S3819" s="282" t="e">
        <f>++Tabla4[[#This Row],[U. Bruta Uni]]*Tabla4[[#This Row],[Cantidad]]</f>
        <v>#N/A</v>
      </c>
      <c r="T3819" s="369" t="str">
        <f>VLOOKUP(Tabla4[[#This Row],[Producto]],Tabla6[#All],14,FALSE)</f>
        <v>Termico Solar</v>
      </c>
      <c r="U3819" s="284" t="e">
        <f>(IF(Tabla4[[#This Row],[Familia]]="termico solar",Tabla4[[#This Row],[Utilidad Total]]*6%,Tabla4[[#This Row],[Utilidad Total]]*11.5%))/Tabla4[[#This Row],[Total]]</f>
        <v>#N/A</v>
      </c>
      <c r="V3819" s="282" t="e">
        <f>+Tabla4[[#This Row],[Comisión Calculada]]*Tabla4[[#This Row],[Total]]</f>
        <v>#N/A</v>
      </c>
    </row>
    <row r="3820" spans="1:22" hidden="1" x14ac:dyDescent="0.25">
      <c r="A3820" s="100">
        <v>45838</v>
      </c>
      <c r="B3820" t="str">
        <f t="shared" si="178"/>
        <v>June</v>
      </c>
      <c r="C3820" s="46" t="s">
        <v>280</v>
      </c>
      <c r="F3820" s="366" t="s">
        <v>2173</v>
      </c>
      <c r="G3820" s="46" t="s">
        <v>83</v>
      </c>
      <c r="H3820" s="46">
        <v>4</v>
      </c>
      <c r="I3820" s="51">
        <v>8858.76</v>
      </c>
      <c r="J3820" s="281">
        <f>++Tabla4[[#This Row],[Precio Bruto]]*1.16</f>
        <v>10276.161599999999</v>
      </c>
      <c r="K3820" s="281">
        <f>+Tabla4[[#This Row],[Precio Unitario Neto]]*Tabla4[[#Headers],[20.85%]]</f>
        <v>2142.5796935999997</v>
      </c>
      <c r="L3820" s="282">
        <f>++Tabla4[[#This Row],[Precio Unitario Neto]]-Tabla4[[#This Row],[20.85%]]</f>
        <v>8133.5819063999998</v>
      </c>
      <c r="M3820" s="282" t="e">
        <f>(INDEX(Tabla6[#All],MATCH(Tabla4[[#This Row],[Producto]],Tabla6[[#All],[PRODUCTO]],0),MATCH(Tabla4[[#This Row],[Mes]],Tabla6[#Headers],0)))*(1+Catalogos!$L$2)</f>
        <v>#N/A</v>
      </c>
      <c r="N3820" s="283" t="e">
        <f>+(Tabla4[[#This Row],[Precio Descontado]]-Tabla4[[#This Row],[Precio Base]])*Tabla4[[#This Row],[Cantidad]]</f>
        <v>#N/A</v>
      </c>
      <c r="O3820" s="284" t="e">
        <f>++Tabla4[[#This Row],[Utilidad Total]]/Tabla4[[#This Row],[Total]]</f>
        <v>#N/A</v>
      </c>
      <c r="P3820" s="282">
        <f>++Tabla4[[#This Row],[Precio Descontado]]*Tabla4[[#This Row],[Cantidad]]</f>
        <v>32534.327625599999</v>
      </c>
      <c r="Q3820" s="282" t="e">
        <f>(INDEX(Tabla6[#All],MATCH(Tabla4[[#This Row],[Producto]],Tabla6[[#All],[PRODUCTO]],0),MATCH(Tabla4[[#This Row],[Mes]],Tabla6[#Headers],0)))</f>
        <v>#N/A</v>
      </c>
      <c r="R3820" s="282" t="e">
        <f>++Tabla4[[#This Row],[Precio Unitario Neto]]-Tabla4[[#This Row],[20.85%]]-Tabla4[[#This Row],[Costo]]</f>
        <v>#N/A</v>
      </c>
      <c r="S3820" s="282" t="e">
        <f>++Tabla4[[#This Row],[U. Bruta Uni]]*Tabla4[[#This Row],[Cantidad]]</f>
        <v>#N/A</v>
      </c>
      <c r="T3820" s="369" t="str">
        <f>VLOOKUP(Tabla4[[#This Row],[Producto]],Tabla6[#All],14,FALSE)</f>
        <v>Termico Solar</v>
      </c>
      <c r="U3820" s="284" t="e">
        <f>(IF(Tabla4[[#This Row],[Familia]]="termico solar",Tabla4[[#This Row],[Utilidad Total]]*6%,Tabla4[[#This Row],[Utilidad Total]]*11.5%))/Tabla4[[#This Row],[Total]]</f>
        <v>#N/A</v>
      </c>
      <c r="V3820" s="282" t="e">
        <f>+Tabla4[[#This Row],[Comisión Calculada]]*Tabla4[[#This Row],[Total]]</f>
        <v>#N/A</v>
      </c>
    </row>
    <row r="3821" spans="1:22" hidden="1" x14ac:dyDescent="0.25">
      <c r="A3821" s="100">
        <v>45838</v>
      </c>
      <c r="B3821" t="str">
        <f t="shared" si="178"/>
        <v>June</v>
      </c>
      <c r="C3821" s="46" t="s">
        <v>280</v>
      </c>
      <c r="F3821" s="366" t="s">
        <v>2173</v>
      </c>
      <c r="G3821" s="46" t="s">
        <v>17</v>
      </c>
      <c r="H3821" s="46">
        <v>1</v>
      </c>
      <c r="I3821" s="51">
        <v>4622.28</v>
      </c>
      <c r="J3821" s="281">
        <f>++Tabla4[[#This Row],[Precio Bruto]]*1.16</f>
        <v>5361.8447999999989</v>
      </c>
      <c r="K3821" s="281">
        <f>+Tabla4[[#This Row],[Precio Unitario Neto]]*Tabla4[[#Headers],[20.85%]]</f>
        <v>1117.9446407999997</v>
      </c>
      <c r="L3821" s="282">
        <f>++Tabla4[[#This Row],[Precio Unitario Neto]]-Tabla4[[#This Row],[20.85%]]</f>
        <v>4243.9001591999995</v>
      </c>
      <c r="M3821" s="282" t="e">
        <f>(INDEX(Tabla6[#All],MATCH(Tabla4[[#This Row],[Producto]],Tabla6[[#All],[PRODUCTO]],0),MATCH(Tabla4[[#This Row],[Mes]],Tabla6[#Headers],0)))*(1+Catalogos!$L$2)</f>
        <v>#N/A</v>
      </c>
      <c r="N3821" s="283" t="e">
        <f>+(Tabla4[[#This Row],[Precio Descontado]]-Tabla4[[#This Row],[Precio Base]])*Tabla4[[#This Row],[Cantidad]]</f>
        <v>#N/A</v>
      </c>
      <c r="O3821" s="284" t="e">
        <f>++Tabla4[[#This Row],[Utilidad Total]]/Tabla4[[#This Row],[Total]]</f>
        <v>#N/A</v>
      </c>
      <c r="P3821" s="282">
        <f>++Tabla4[[#This Row],[Precio Descontado]]*Tabla4[[#This Row],[Cantidad]]</f>
        <v>4243.9001591999995</v>
      </c>
      <c r="Q3821" s="282" t="e">
        <f>(INDEX(Tabla6[#All],MATCH(Tabla4[[#This Row],[Producto]],Tabla6[[#All],[PRODUCTO]],0),MATCH(Tabla4[[#This Row],[Mes]],Tabla6[#Headers],0)))</f>
        <v>#N/A</v>
      </c>
      <c r="R3821" s="282" t="e">
        <f>++Tabla4[[#This Row],[Precio Unitario Neto]]-Tabla4[[#This Row],[20.85%]]-Tabla4[[#This Row],[Costo]]</f>
        <v>#N/A</v>
      </c>
      <c r="S3821" s="282" t="e">
        <f>++Tabla4[[#This Row],[U. Bruta Uni]]*Tabla4[[#This Row],[Cantidad]]</f>
        <v>#N/A</v>
      </c>
      <c r="T3821" s="369" t="str">
        <f>VLOOKUP(Tabla4[[#This Row],[Producto]],Tabla6[#All],14,FALSE)</f>
        <v>Termico Solar</v>
      </c>
      <c r="U3821" s="284" t="e">
        <f>(IF(Tabla4[[#This Row],[Familia]]="termico solar",Tabla4[[#This Row],[Utilidad Total]]*6%,Tabla4[[#This Row],[Utilidad Total]]*11.5%))/Tabla4[[#This Row],[Total]]</f>
        <v>#N/A</v>
      </c>
      <c r="V3821" s="282" t="e">
        <f>+Tabla4[[#This Row],[Comisión Calculada]]*Tabla4[[#This Row],[Total]]</f>
        <v>#N/A</v>
      </c>
    </row>
    <row r="3822" spans="1:22" hidden="1" x14ac:dyDescent="0.25">
      <c r="A3822" s="100">
        <v>45838</v>
      </c>
      <c r="B3822" t="str">
        <f t="shared" si="178"/>
        <v>June</v>
      </c>
      <c r="C3822" s="46" t="s">
        <v>280</v>
      </c>
      <c r="F3822" s="366" t="s">
        <v>2173</v>
      </c>
      <c r="G3822" s="46" t="s">
        <v>18</v>
      </c>
      <c r="H3822" s="46">
        <v>1</v>
      </c>
      <c r="I3822" s="51">
        <v>5367.65</v>
      </c>
      <c r="J3822" s="281">
        <f>++Tabla4[[#This Row],[Precio Bruto]]*1.16</f>
        <v>6226.4739999999993</v>
      </c>
      <c r="K3822" s="281">
        <f>+Tabla4[[#This Row],[Precio Unitario Neto]]*Tabla4[[#Headers],[20.85%]]</f>
        <v>1298.2198289999999</v>
      </c>
      <c r="L3822" s="282">
        <f>++Tabla4[[#This Row],[Precio Unitario Neto]]-Tabla4[[#This Row],[20.85%]]</f>
        <v>4928.2541709999996</v>
      </c>
      <c r="M3822" s="282" t="e">
        <f>(INDEX(Tabla6[#All],MATCH(Tabla4[[#This Row],[Producto]],Tabla6[[#All],[PRODUCTO]],0),MATCH(Tabla4[[#This Row],[Mes]],Tabla6[#Headers],0)))*(1+Catalogos!$L$2)</f>
        <v>#N/A</v>
      </c>
      <c r="N3822" s="283" t="e">
        <f>+(Tabla4[[#This Row],[Precio Descontado]]-Tabla4[[#This Row],[Precio Base]])*Tabla4[[#This Row],[Cantidad]]</f>
        <v>#N/A</v>
      </c>
      <c r="O3822" s="284" t="e">
        <f>++Tabla4[[#This Row],[Utilidad Total]]/Tabla4[[#This Row],[Total]]</f>
        <v>#N/A</v>
      </c>
      <c r="P3822" s="282">
        <f>++Tabla4[[#This Row],[Precio Descontado]]*Tabla4[[#This Row],[Cantidad]]</f>
        <v>4928.2541709999996</v>
      </c>
      <c r="Q3822" s="282" t="e">
        <f>(INDEX(Tabla6[#All],MATCH(Tabla4[[#This Row],[Producto]],Tabla6[[#All],[PRODUCTO]],0),MATCH(Tabla4[[#This Row],[Mes]],Tabla6[#Headers],0)))</f>
        <v>#N/A</v>
      </c>
      <c r="R3822" s="282" t="e">
        <f>++Tabla4[[#This Row],[Precio Unitario Neto]]-Tabla4[[#This Row],[20.85%]]-Tabla4[[#This Row],[Costo]]</f>
        <v>#N/A</v>
      </c>
      <c r="S3822" s="282" t="e">
        <f>++Tabla4[[#This Row],[U. Bruta Uni]]*Tabla4[[#This Row],[Cantidad]]</f>
        <v>#N/A</v>
      </c>
      <c r="T3822" s="369" t="str">
        <f>VLOOKUP(Tabla4[[#This Row],[Producto]],Tabla6[#All],14,FALSE)</f>
        <v>Termico Solar</v>
      </c>
      <c r="U3822" s="284" t="e">
        <f>(IF(Tabla4[[#This Row],[Familia]]="termico solar",Tabla4[[#This Row],[Utilidad Total]]*6%,Tabla4[[#This Row],[Utilidad Total]]*11.5%))/Tabla4[[#This Row],[Total]]</f>
        <v>#N/A</v>
      </c>
      <c r="V3822" s="282" t="e">
        <f>+Tabla4[[#This Row],[Comisión Calculada]]*Tabla4[[#This Row],[Total]]</f>
        <v>#N/A</v>
      </c>
    </row>
    <row r="3823" spans="1:22" hidden="1" x14ac:dyDescent="0.25">
      <c r="A3823" s="100">
        <v>45838</v>
      </c>
      <c r="B3823" t="str">
        <f t="shared" si="178"/>
        <v>June</v>
      </c>
      <c r="C3823" s="46" t="s">
        <v>280</v>
      </c>
      <c r="F3823" s="366" t="s">
        <v>2173</v>
      </c>
      <c r="G3823" s="46" t="s">
        <v>16</v>
      </c>
      <c r="H3823" s="46">
        <v>1</v>
      </c>
      <c r="I3823" s="51">
        <v>4103.8500000000004</v>
      </c>
      <c r="J3823" s="281">
        <f>++Tabla4[[#This Row],[Precio Bruto]]*1.16</f>
        <v>4760.4660000000003</v>
      </c>
      <c r="K3823" s="281">
        <f>+Tabla4[[#This Row],[Precio Unitario Neto]]*Tabla4[[#Headers],[20.85%]]</f>
        <v>992.55716100000006</v>
      </c>
      <c r="L3823" s="282">
        <f>++Tabla4[[#This Row],[Precio Unitario Neto]]-Tabla4[[#This Row],[20.85%]]</f>
        <v>3767.9088390000002</v>
      </c>
      <c r="M3823" s="282" t="e">
        <f>(INDEX(Tabla6[#All],MATCH(Tabla4[[#This Row],[Producto]],Tabla6[[#All],[PRODUCTO]],0),MATCH(Tabla4[[#This Row],[Mes]],Tabla6[#Headers],0)))*(1+Catalogos!$L$2)</f>
        <v>#N/A</v>
      </c>
      <c r="N3823" s="283" t="e">
        <f>+(Tabla4[[#This Row],[Precio Descontado]]-Tabla4[[#This Row],[Precio Base]])*Tabla4[[#This Row],[Cantidad]]</f>
        <v>#N/A</v>
      </c>
      <c r="O3823" s="284" t="e">
        <f>++Tabla4[[#This Row],[Utilidad Total]]/Tabla4[[#This Row],[Total]]</f>
        <v>#N/A</v>
      </c>
      <c r="P3823" s="282">
        <f>++Tabla4[[#This Row],[Precio Descontado]]*Tabla4[[#This Row],[Cantidad]]</f>
        <v>3767.9088390000002</v>
      </c>
      <c r="Q3823" s="282" t="e">
        <f>(INDEX(Tabla6[#All],MATCH(Tabla4[[#This Row],[Producto]],Tabla6[[#All],[PRODUCTO]],0),MATCH(Tabla4[[#This Row],[Mes]],Tabla6[#Headers],0)))</f>
        <v>#N/A</v>
      </c>
      <c r="R3823" s="282" t="e">
        <f>++Tabla4[[#This Row],[Precio Unitario Neto]]-Tabla4[[#This Row],[20.85%]]-Tabla4[[#This Row],[Costo]]</f>
        <v>#N/A</v>
      </c>
      <c r="S3823" s="282" t="e">
        <f>++Tabla4[[#This Row],[U. Bruta Uni]]*Tabla4[[#This Row],[Cantidad]]</f>
        <v>#N/A</v>
      </c>
      <c r="T3823" s="369" t="str">
        <f>VLOOKUP(Tabla4[[#This Row],[Producto]],Tabla6[#All],14,FALSE)</f>
        <v>Termico Solar</v>
      </c>
      <c r="U3823" s="284" t="e">
        <f>(IF(Tabla4[[#This Row],[Familia]]="termico solar",Tabla4[[#This Row],[Utilidad Total]]*6%,Tabla4[[#This Row],[Utilidad Total]]*11.5%))/Tabla4[[#This Row],[Total]]</f>
        <v>#N/A</v>
      </c>
      <c r="V3823" s="282" t="e">
        <f>+Tabla4[[#This Row],[Comisión Calculada]]*Tabla4[[#This Row],[Total]]</f>
        <v>#N/A</v>
      </c>
    </row>
    <row r="3824" spans="1:22" hidden="1" x14ac:dyDescent="0.25">
      <c r="A3824" s="100">
        <v>45838</v>
      </c>
      <c r="B3824" t="str">
        <f t="shared" si="178"/>
        <v>June</v>
      </c>
      <c r="C3824" s="46" t="s">
        <v>280</v>
      </c>
      <c r="F3824" s="366" t="s">
        <v>2174</v>
      </c>
      <c r="G3824" s="46" t="s">
        <v>83</v>
      </c>
      <c r="H3824" s="46">
        <v>1</v>
      </c>
      <c r="I3824" s="51">
        <v>8858.76</v>
      </c>
      <c r="J3824" s="281">
        <f>++Tabla4[[#This Row],[Precio Bruto]]*1.16</f>
        <v>10276.161599999999</v>
      </c>
      <c r="K3824" s="281">
        <f>+Tabla4[[#This Row],[Precio Unitario Neto]]*Tabla4[[#Headers],[20.85%]]</f>
        <v>2142.5796935999997</v>
      </c>
      <c r="L3824" s="282">
        <f>++Tabla4[[#This Row],[Precio Unitario Neto]]-Tabla4[[#This Row],[20.85%]]</f>
        <v>8133.5819063999998</v>
      </c>
      <c r="M3824" s="282" t="e">
        <f>(INDEX(Tabla6[#All],MATCH(Tabla4[[#This Row],[Producto]],Tabla6[[#All],[PRODUCTO]],0),MATCH(Tabla4[[#This Row],[Mes]],Tabla6[#Headers],0)))*(1+Catalogos!$L$2)</f>
        <v>#N/A</v>
      </c>
      <c r="N3824" s="283" t="e">
        <f>+(Tabla4[[#This Row],[Precio Descontado]]-Tabla4[[#This Row],[Precio Base]])*Tabla4[[#This Row],[Cantidad]]</f>
        <v>#N/A</v>
      </c>
      <c r="O3824" s="284" t="e">
        <f>++Tabla4[[#This Row],[Utilidad Total]]/Tabla4[[#This Row],[Total]]</f>
        <v>#N/A</v>
      </c>
      <c r="P3824" s="282">
        <f>++Tabla4[[#This Row],[Precio Descontado]]*Tabla4[[#This Row],[Cantidad]]</f>
        <v>8133.5819063999998</v>
      </c>
      <c r="Q3824" s="282" t="e">
        <f>(INDEX(Tabla6[#All],MATCH(Tabla4[[#This Row],[Producto]],Tabla6[[#All],[PRODUCTO]],0),MATCH(Tabla4[[#This Row],[Mes]],Tabla6[#Headers],0)))</f>
        <v>#N/A</v>
      </c>
      <c r="R3824" s="282" t="e">
        <f>++Tabla4[[#This Row],[Precio Unitario Neto]]-Tabla4[[#This Row],[20.85%]]-Tabla4[[#This Row],[Costo]]</f>
        <v>#N/A</v>
      </c>
      <c r="S3824" s="282" t="e">
        <f>++Tabla4[[#This Row],[U. Bruta Uni]]*Tabla4[[#This Row],[Cantidad]]</f>
        <v>#N/A</v>
      </c>
      <c r="T3824" s="369" t="str">
        <f>VLOOKUP(Tabla4[[#This Row],[Producto]],Tabla6[#All],14,FALSE)</f>
        <v>Termico Solar</v>
      </c>
      <c r="U3824" s="284" t="e">
        <f>(IF(Tabla4[[#This Row],[Familia]]="termico solar",Tabla4[[#This Row],[Utilidad Total]]*6%,Tabla4[[#This Row],[Utilidad Total]]*11.5%))/Tabla4[[#This Row],[Total]]</f>
        <v>#N/A</v>
      </c>
      <c r="V3824" s="282" t="e">
        <f>+Tabla4[[#This Row],[Comisión Calculada]]*Tabla4[[#This Row],[Total]]</f>
        <v>#N/A</v>
      </c>
    </row>
    <row r="3825" spans="1:22" hidden="1" x14ac:dyDescent="0.25">
      <c r="A3825" s="100">
        <v>45838</v>
      </c>
      <c r="B3825" t="str">
        <f t="shared" si="178"/>
        <v>June</v>
      </c>
      <c r="C3825" s="46" t="s">
        <v>280</v>
      </c>
      <c r="F3825" s="366" t="s">
        <v>2174</v>
      </c>
      <c r="G3825" s="46" t="s">
        <v>17</v>
      </c>
      <c r="H3825" s="46">
        <v>2</v>
      </c>
      <c r="I3825" s="51">
        <v>4622.28</v>
      </c>
      <c r="J3825" s="281">
        <f>++Tabla4[[#This Row],[Precio Bruto]]*1.16</f>
        <v>5361.8447999999989</v>
      </c>
      <c r="K3825" s="281">
        <f>+Tabla4[[#This Row],[Precio Unitario Neto]]*Tabla4[[#Headers],[20.85%]]</f>
        <v>1117.9446407999997</v>
      </c>
      <c r="L3825" s="282">
        <f>++Tabla4[[#This Row],[Precio Unitario Neto]]-Tabla4[[#This Row],[20.85%]]</f>
        <v>4243.9001591999995</v>
      </c>
      <c r="M3825" s="282" t="e">
        <f>(INDEX(Tabla6[#All],MATCH(Tabla4[[#This Row],[Producto]],Tabla6[[#All],[PRODUCTO]],0),MATCH(Tabla4[[#This Row],[Mes]],Tabla6[#Headers],0)))*(1+Catalogos!$L$2)</f>
        <v>#N/A</v>
      </c>
      <c r="N3825" s="283" t="e">
        <f>+(Tabla4[[#This Row],[Precio Descontado]]-Tabla4[[#This Row],[Precio Base]])*Tabla4[[#This Row],[Cantidad]]</f>
        <v>#N/A</v>
      </c>
      <c r="O3825" s="284" t="e">
        <f>++Tabla4[[#This Row],[Utilidad Total]]/Tabla4[[#This Row],[Total]]</f>
        <v>#N/A</v>
      </c>
      <c r="P3825" s="282">
        <f>++Tabla4[[#This Row],[Precio Descontado]]*Tabla4[[#This Row],[Cantidad]]</f>
        <v>8487.800318399999</v>
      </c>
      <c r="Q3825" s="282" t="e">
        <f>(INDEX(Tabla6[#All],MATCH(Tabla4[[#This Row],[Producto]],Tabla6[[#All],[PRODUCTO]],0),MATCH(Tabla4[[#This Row],[Mes]],Tabla6[#Headers],0)))</f>
        <v>#N/A</v>
      </c>
      <c r="R3825" s="282" t="e">
        <f>++Tabla4[[#This Row],[Precio Unitario Neto]]-Tabla4[[#This Row],[20.85%]]-Tabla4[[#This Row],[Costo]]</f>
        <v>#N/A</v>
      </c>
      <c r="S3825" s="282" t="e">
        <f>++Tabla4[[#This Row],[U. Bruta Uni]]*Tabla4[[#This Row],[Cantidad]]</f>
        <v>#N/A</v>
      </c>
      <c r="T3825" s="369" t="str">
        <f>VLOOKUP(Tabla4[[#This Row],[Producto]],Tabla6[#All],14,FALSE)</f>
        <v>Termico Solar</v>
      </c>
      <c r="U3825" s="284" t="e">
        <f>(IF(Tabla4[[#This Row],[Familia]]="termico solar",Tabla4[[#This Row],[Utilidad Total]]*6%,Tabla4[[#This Row],[Utilidad Total]]*11.5%))/Tabla4[[#This Row],[Total]]</f>
        <v>#N/A</v>
      </c>
      <c r="V3825" s="282" t="e">
        <f>+Tabla4[[#This Row],[Comisión Calculada]]*Tabla4[[#This Row],[Total]]</f>
        <v>#N/A</v>
      </c>
    </row>
    <row r="3826" spans="1:22" hidden="1" x14ac:dyDescent="0.25">
      <c r="A3826" s="100">
        <v>45838</v>
      </c>
      <c r="B3826" t="str">
        <f t="shared" si="178"/>
        <v>June</v>
      </c>
      <c r="C3826" s="46" t="s">
        <v>280</v>
      </c>
      <c r="F3826" s="366" t="s">
        <v>2174</v>
      </c>
      <c r="G3826" s="46" t="s">
        <v>200</v>
      </c>
      <c r="H3826" s="46">
        <v>12</v>
      </c>
      <c r="I3826" s="51">
        <v>393.22</v>
      </c>
      <c r="J3826" s="281">
        <f>++Tabla4[[#This Row],[Precio Bruto]]*1.16</f>
        <v>456.1352</v>
      </c>
      <c r="K3826" s="281">
        <f>+Tabla4[[#This Row],[Precio Unitario Neto]]*Tabla4[[#Headers],[20.85%]]</f>
        <v>95.104189199999993</v>
      </c>
      <c r="L3826" s="282">
        <f>++Tabla4[[#This Row],[Precio Unitario Neto]]-Tabla4[[#This Row],[20.85%]]</f>
        <v>361.03101079999999</v>
      </c>
      <c r="M3826" s="282" t="e">
        <f>(INDEX(Tabla6[#All],MATCH(Tabla4[[#This Row],[Producto]],Tabla6[[#All],[PRODUCTO]],0),MATCH(Tabla4[[#This Row],[Mes]],Tabla6[#Headers],0)))*(1+Catalogos!$L$2)</f>
        <v>#N/A</v>
      </c>
      <c r="N3826" s="283" t="e">
        <f>+(Tabla4[[#This Row],[Precio Descontado]]-Tabla4[[#This Row],[Precio Base]])*Tabla4[[#This Row],[Cantidad]]</f>
        <v>#N/A</v>
      </c>
      <c r="O3826" s="284" t="e">
        <f>++Tabla4[[#This Row],[Utilidad Total]]/Tabla4[[#This Row],[Total]]</f>
        <v>#N/A</v>
      </c>
      <c r="P3826" s="282">
        <f>++Tabla4[[#This Row],[Precio Descontado]]*Tabla4[[#This Row],[Cantidad]]</f>
        <v>4332.3721296000003</v>
      </c>
      <c r="Q3826" s="282" t="e">
        <f>(INDEX(Tabla6[#All],MATCH(Tabla4[[#This Row],[Producto]],Tabla6[[#All],[PRODUCTO]],0),MATCH(Tabla4[[#This Row],[Mes]],Tabla6[#Headers],0)))</f>
        <v>#N/A</v>
      </c>
      <c r="R3826" s="282" t="e">
        <f>++Tabla4[[#This Row],[Precio Unitario Neto]]-Tabla4[[#This Row],[20.85%]]-Tabla4[[#This Row],[Costo]]</f>
        <v>#N/A</v>
      </c>
      <c r="S3826" s="282" t="e">
        <f>++Tabla4[[#This Row],[U. Bruta Uni]]*Tabla4[[#This Row],[Cantidad]]</f>
        <v>#N/A</v>
      </c>
      <c r="T3826" s="369" t="str">
        <f>VLOOKUP(Tabla4[[#This Row],[Producto]],Tabla6[#All],14,FALSE)</f>
        <v>Termico Solar</v>
      </c>
      <c r="U3826" s="284" t="e">
        <f>(IF(Tabla4[[#This Row],[Familia]]="termico solar",Tabla4[[#This Row],[Utilidad Total]]*6%,Tabla4[[#This Row],[Utilidad Total]]*11.5%))/Tabla4[[#This Row],[Total]]</f>
        <v>#N/A</v>
      </c>
      <c r="V3826" s="282" t="e">
        <f>+Tabla4[[#This Row],[Comisión Calculada]]*Tabla4[[#This Row],[Total]]</f>
        <v>#N/A</v>
      </c>
    </row>
    <row r="3827" spans="1:22" hidden="1" x14ac:dyDescent="0.25">
      <c r="A3827" s="100">
        <v>45838</v>
      </c>
      <c r="B3827" t="str">
        <f t="shared" si="178"/>
        <v>June</v>
      </c>
      <c r="C3827" s="46" t="s">
        <v>280</v>
      </c>
      <c r="F3827" s="366" t="s">
        <v>2174</v>
      </c>
      <c r="G3827" s="46" t="s">
        <v>545</v>
      </c>
      <c r="H3827" s="46">
        <v>24</v>
      </c>
      <c r="I3827" s="51">
        <v>304.32</v>
      </c>
      <c r="J3827" s="281">
        <f>++Tabla4[[#This Row],[Precio Bruto]]*1.16</f>
        <v>353.01119999999997</v>
      </c>
      <c r="K3827" s="281">
        <f>+Tabla4[[#This Row],[Precio Unitario Neto]]*Tabla4[[#Headers],[20.85%]]</f>
        <v>73.602835199999987</v>
      </c>
      <c r="L3827" s="282">
        <f>++Tabla4[[#This Row],[Precio Unitario Neto]]-Tabla4[[#This Row],[20.85%]]</f>
        <v>279.40836479999996</v>
      </c>
      <c r="M3827" s="282" t="e">
        <f>(INDEX(Tabla6[#All],MATCH(Tabla4[[#This Row],[Producto]],Tabla6[[#All],[PRODUCTO]],0),MATCH(Tabla4[[#This Row],[Mes]],Tabla6[#Headers],0)))*(1+Catalogos!$L$2)</f>
        <v>#N/A</v>
      </c>
      <c r="N3827" s="283" t="e">
        <f>+(Tabla4[[#This Row],[Precio Descontado]]-Tabla4[[#This Row],[Precio Base]])*Tabla4[[#This Row],[Cantidad]]</f>
        <v>#N/A</v>
      </c>
      <c r="O3827" s="284" t="e">
        <f>++Tabla4[[#This Row],[Utilidad Total]]/Tabla4[[#This Row],[Total]]</f>
        <v>#N/A</v>
      </c>
      <c r="P3827" s="282">
        <f>++Tabla4[[#This Row],[Precio Descontado]]*Tabla4[[#This Row],[Cantidad]]</f>
        <v>6705.800755199999</v>
      </c>
      <c r="Q3827" s="282" t="e">
        <f>(INDEX(Tabla6[#All],MATCH(Tabla4[[#This Row],[Producto]],Tabla6[[#All],[PRODUCTO]],0),MATCH(Tabla4[[#This Row],[Mes]],Tabla6[#Headers],0)))</f>
        <v>#N/A</v>
      </c>
      <c r="R3827" s="282" t="e">
        <f>++Tabla4[[#This Row],[Precio Unitario Neto]]-Tabla4[[#This Row],[20.85%]]-Tabla4[[#This Row],[Costo]]</f>
        <v>#N/A</v>
      </c>
      <c r="S3827" s="282" t="e">
        <f>++Tabla4[[#This Row],[U. Bruta Uni]]*Tabla4[[#This Row],[Cantidad]]</f>
        <v>#N/A</v>
      </c>
      <c r="T3827" s="369" t="str">
        <f>VLOOKUP(Tabla4[[#This Row],[Producto]],Tabla6[#All],14,FALSE)</f>
        <v>Termico Solar</v>
      </c>
      <c r="U3827" s="284" t="e">
        <f>(IF(Tabla4[[#This Row],[Familia]]="termico solar",Tabla4[[#This Row],[Utilidad Total]]*6%,Tabla4[[#This Row],[Utilidad Total]]*11.5%))/Tabla4[[#This Row],[Total]]</f>
        <v>#N/A</v>
      </c>
      <c r="V3827" s="282" t="e">
        <f>+Tabla4[[#This Row],[Comisión Calculada]]*Tabla4[[#This Row],[Total]]</f>
        <v>#N/A</v>
      </c>
    </row>
    <row r="3828" spans="1:22" hidden="1" x14ac:dyDescent="0.25">
      <c r="A3828" s="100">
        <v>45838</v>
      </c>
      <c r="B3828" t="str">
        <f t="shared" si="178"/>
        <v>June</v>
      </c>
      <c r="C3828" s="46" t="s">
        <v>280</v>
      </c>
      <c r="F3828" s="366" t="s">
        <v>2174</v>
      </c>
      <c r="G3828" s="46" t="s">
        <v>209</v>
      </c>
      <c r="H3828" s="46">
        <v>4</v>
      </c>
      <c r="I3828" s="51">
        <v>347.48</v>
      </c>
      <c r="J3828" s="281">
        <f>++Tabla4[[#This Row],[Precio Bruto]]*1.16</f>
        <v>403.07679999999999</v>
      </c>
      <c r="K3828" s="281">
        <f>+Tabla4[[#This Row],[Precio Unitario Neto]]*Tabla4[[#Headers],[20.85%]]</f>
        <v>84.041512799999992</v>
      </c>
      <c r="L3828" s="282">
        <f>++Tabla4[[#This Row],[Precio Unitario Neto]]-Tabla4[[#This Row],[20.85%]]</f>
        <v>319.03528719999997</v>
      </c>
      <c r="M3828" s="282" t="e">
        <f>(INDEX(Tabla6[#All],MATCH(Tabla4[[#This Row],[Producto]],Tabla6[[#All],[PRODUCTO]],0),MATCH(Tabla4[[#This Row],[Mes]],Tabla6[#Headers],0)))*(1+Catalogos!$L$2)</f>
        <v>#N/A</v>
      </c>
      <c r="N3828" s="283" t="e">
        <f>+(Tabla4[[#This Row],[Precio Descontado]]-Tabla4[[#This Row],[Precio Base]])*Tabla4[[#This Row],[Cantidad]]</f>
        <v>#N/A</v>
      </c>
      <c r="O3828" s="284" t="e">
        <f>++Tabla4[[#This Row],[Utilidad Total]]/Tabla4[[#This Row],[Total]]</f>
        <v>#N/A</v>
      </c>
      <c r="P3828" s="282">
        <f>++Tabla4[[#This Row],[Precio Descontado]]*Tabla4[[#This Row],[Cantidad]]</f>
        <v>1276.1411487999999</v>
      </c>
      <c r="Q3828" s="282" t="e">
        <f>(INDEX(Tabla6[#All],MATCH(Tabla4[[#This Row],[Producto]],Tabla6[[#All],[PRODUCTO]],0),MATCH(Tabla4[[#This Row],[Mes]],Tabla6[#Headers],0)))</f>
        <v>#N/A</v>
      </c>
      <c r="R3828" s="282" t="e">
        <f>++Tabla4[[#This Row],[Precio Unitario Neto]]-Tabla4[[#This Row],[20.85%]]-Tabla4[[#This Row],[Costo]]</f>
        <v>#N/A</v>
      </c>
      <c r="S3828" s="282" t="e">
        <f>++Tabla4[[#This Row],[U. Bruta Uni]]*Tabla4[[#This Row],[Cantidad]]</f>
        <v>#N/A</v>
      </c>
      <c r="T3828" s="369" t="str">
        <f>VLOOKUP(Tabla4[[#This Row],[Producto]],Tabla6[#All],14,FALSE)</f>
        <v>Termico Solar</v>
      </c>
      <c r="U3828" s="284" t="e">
        <f>(IF(Tabla4[[#This Row],[Familia]]="termico solar",Tabla4[[#This Row],[Utilidad Total]]*6%,Tabla4[[#This Row],[Utilidad Total]]*11.5%))/Tabla4[[#This Row],[Total]]</f>
        <v>#N/A</v>
      </c>
      <c r="V3828" s="282" t="e">
        <f>+Tabla4[[#This Row],[Comisión Calculada]]*Tabla4[[#This Row],[Total]]</f>
        <v>#N/A</v>
      </c>
    </row>
    <row r="3829" spans="1:22" hidden="1" x14ac:dyDescent="0.25">
      <c r="A3829" s="100">
        <v>45838</v>
      </c>
      <c r="B3829" t="str">
        <f t="shared" si="178"/>
        <v>June</v>
      </c>
      <c r="C3829" s="46" t="s">
        <v>280</v>
      </c>
      <c r="F3829" s="366" t="s">
        <v>2175</v>
      </c>
      <c r="G3829" s="46" t="s">
        <v>83</v>
      </c>
      <c r="H3829" s="46">
        <v>1</v>
      </c>
      <c r="I3829" s="51">
        <v>8858.76</v>
      </c>
      <c r="J3829" s="281">
        <f>++Tabla4[[#This Row],[Precio Bruto]]*1.16</f>
        <v>10276.161599999999</v>
      </c>
      <c r="K3829" s="281">
        <f>+Tabla4[[#This Row],[Precio Unitario Neto]]*Tabla4[[#Headers],[20.85%]]</f>
        <v>2142.5796935999997</v>
      </c>
      <c r="L3829" s="282">
        <f>++Tabla4[[#This Row],[Precio Unitario Neto]]-Tabla4[[#This Row],[20.85%]]</f>
        <v>8133.5819063999998</v>
      </c>
      <c r="M3829" s="282" t="e">
        <f>(INDEX(Tabla6[#All],MATCH(Tabla4[[#This Row],[Producto]],Tabla6[[#All],[PRODUCTO]],0),MATCH(Tabla4[[#This Row],[Mes]],Tabla6[#Headers],0)))*(1+Catalogos!$L$2)</f>
        <v>#N/A</v>
      </c>
      <c r="N3829" s="283" t="e">
        <f>+(Tabla4[[#This Row],[Precio Descontado]]-Tabla4[[#This Row],[Precio Base]])*Tabla4[[#This Row],[Cantidad]]</f>
        <v>#N/A</v>
      </c>
      <c r="O3829" s="284" t="e">
        <f>++Tabla4[[#This Row],[Utilidad Total]]/Tabla4[[#This Row],[Total]]</f>
        <v>#N/A</v>
      </c>
      <c r="P3829" s="282">
        <f>++Tabla4[[#This Row],[Precio Descontado]]*Tabla4[[#This Row],[Cantidad]]</f>
        <v>8133.5819063999998</v>
      </c>
      <c r="Q3829" s="282" t="e">
        <f>(INDEX(Tabla6[#All],MATCH(Tabla4[[#This Row],[Producto]],Tabla6[[#All],[PRODUCTO]],0),MATCH(Tabla4[[#This Row],[Mes]],Tabla6[#Headers],0)))</f>
        <v>#N/A</v>
      </c>
      <c r="R3829" s="282" t="e">
        <f>++Tabla4[[#This Row],[Precio Unitario Neto]]-Tabla4[[#This Row],[20.85%]]-Tabla4[[#This Row],[Costo]]</f>
        <v>#N/A</v>
      </c>
      <c r="S3829" s="282" t="e">
        <f>++Tabla4[[#This Row],[U. Bruta Uni]]*Tabla4[[#This Row],[Cantidad]]</f>
        <v>#N/A</v>
      </c>
      <c r="T3829" s="369" t="str">
        <f>VLOOKUP(Tabla4[[#This Row],[Producto]],Tabla6[#All],14,FALSE)</f>
        <v>Termico Solar</v>
      </c>
      <c r="U3829" s="284" t="e">
        <f>(IF(Tabla4[[#This Row],[Familia]]="termico solar",Tabla4[[#This Row],[Utilidad Total]]*6%,Tabla4[[#This Row],[Utilidad Total]]*11.5%))/Tabla4[[#This Row],[Total]]</f>
        <v>#N/A</v>
      </c>
      <c r="V3829" s="282" t="e">
        <f>+Tabla4[[#This Row],[Comisión Calculada]]*Tabla4[[#This Row],[Total]]</f>
        <v>#N/A</v>
      </c>
    </row>
    <row r="3830" spans="1:22" hidden="1" x14ac:dyDescent="0.25">
      <c r="A3830" s="100">
        <v>45838</v>
      </c>
      <c r="B3830" t="str">
        <f t="shared" si="178"/>
        <v>June</v>
      </c>
      <c r="C3830" s="46" t="s">
        <v>280</v>
      </c>
      <c r="F3830" s="366" t="s">
        <v>2175</v>
      </c>
      <c r="G3830" s="46" t="s">
        <v>16</v>
      </c>
      <c r="H3830" s="46">
        <v>2</v>
      </c>
      <c r="I3830" s="51">
        <v>4103.8500000000004</v>
      </c>
      <c r="J3830" s="281">
        <f>++Tabla4[[#This Row],[Precio Bruto]]*1.16</f>
        <v>4760.4660000000003</v>
      </c>
      <c r="K3830" s="281">
        <f>+Tabla4[[#This Row],[Precio Unitario Neto]]*Tabla4[[#Headers],[20.85%]]</f>
        <v>992.55716100000006</v>
      </c>
      <c r="L3830" s="282">
        <f>++Tabla4[[#This Row],[Precio Unitario Neto]]-Tabla4[[#This Row],[20.85%]]</f>
        <v>3767.9088390000002</v>
      </c>
      <c r="M3830" s="282" t="e">
        <f>(INDEX(Tabla6[#All],MATCH(Tabla4[[#This Row],[Producto]],Tabla6[[#All],[PRODUCTO]],0),MATCH(Tabla4[[#This Row],[Mes]],Tabla6[#Headers],0)))*(1+Catalogos!$L$2)</f>
        <v>#N/A</v>
      </c>
      <c r="N3830" s="283" t="e">
        <f>+(Tabla4[[#This Row],[Precio Descontado]]-Tabla4[[#This Row],[Precio Base]])*Tabla4[[#This Row],[Cantidad]]</f>
        <v>#N/A</v>
      </c>
      <c r="O3830" s="284" t="e">
        <f>++Tabla4[[#This Row],[Utilidad Total]]/Tabla4[[#This Row],[Total]]</f>
        <v>#N/A</v>
      </c>
      <c r="P3830" s="282">
        <f>++Tabla4[[#This Row],[Precio Descontado]]*Tabla4[[#This Row],[Cantidad]]</f>
        <v>7535.8176780000003</v>
      </c>
      <c r="Q3830" s="282" t="e">
        <f>(INDEX(Tabla6[#All],MATCH(Tabla4[[#This Row],[Producto]],Tabla6[[#All],[PRODUCTO]],0),MATCH(Tabla4[[#This Row],[Mes]],Tabla6[#Headers],0)))</f>
        <v>#N/A</v>
      </c>
      <c r="R3830" s="282" t="e">
        <f>++Tabla4[[#This Row],[Precio Unitario Neto]]-Tabla4[[#This Row],[20.85%]]-Tabla4[[#This Row],[Costo]]</f>
        <v>#N/A</v>
      </c>
      <c r="S3830" s="282" t="e">
        <f>++Tabla4[[#This Row],[U. Bruta Uni]]*Tabla4[[#This Row],[Cantidad]]</f>
        <v>#N/A</v>
      </c>
      <c r="T3830" s="369" t="str">
        <f>VLOOKUP(Tabla4[[#This Row],[Producto]],Tabla6[#All],14,FALSE)</f>
        <v>Termico Solar</v>
      </c>
      <c r="U3830" s="284" t="e">
        <f>(IF(Tabla4[[#This Row],[Familia]]="termico solar",Tabla4[[#This Row],[Utilidad Total]]*6%,Tabla4[[#This Row],[Utilidad Total]]*11.5%))/Tabla4[[#This Row],[Total]]</f>
        <v>#N/A</v>
      </c>
      <c r="V3830" s="282" t="e">
        <f>+Tabla4[[#This Row],[Comisión Calculada]]*Tabla4[[#This Row],[Total]]</f>
        <v>#N/A</v>
      </c>
    </row>
    <row r="3831" spans="1:22" hidden="1" x14ac:dyDescent="0.25">
      <c r="A3831" s="100">
        <v>45838</v>
      </c>
      <c r="B3831" t="str">
        <f t="shared" si="178"/>
        <v>June</v>
      </c>
      <c r="C3831" s="46" t="s">
        <v>280</v>
      </c>
      <c r="F3831" s="366" t="s">
        <v>2176</v>
      </c>
      <c r="G3831" s="46" t="s">
        <v>17</v>
      </c>
      <c r="H3831" s="46">
        <v>2</v>
      </c>
      <c r="I3831" s="51">
        <v>4622.28</v>
      </c>
      <c r="J3831" s="281">
        <f>++Tabla4[[#This Row],[Precio Bruto]]*1.16</f>
        <v>5361.8447999999989</v>
      </c>
      <c r="K3831" s="281">
        <f>+Tabla4[[#This Row],[Precio Unitario Neto]]*Tabla4[[#Headers],[20.85%]]</f>
        <v>1117.9446407999997</v>
      </c>
      <c r="L3831" s="282">
        <f>++Tabla4[[#This Row],[Precio Unitario Neto]]-Tabla4[[#This Row],[20.85%]]</f>
        <v>4243.9001591999995</v>
      </c>
      <c r="M3831" s="282" t="e">
        <f>(INDEX(Tabla6[#All],MATCH(Tabla4[[#This Row],[Producto]],Tabla6[[#All],[PRODUCTO]],0),MATCH(Tabla4[[#This Row],[Mes]],Tabla6[#Headers],0)))*(1+Catalogos!$L$2)</f>
        <v>#N/A</v>
      </c>
      <c r="N3831" s="283" t="e">
        <f>+(Tabla4[[#This Row],[Precio Descontado]]-Tabla4[[#This Row],[Precio Base]])*Tabla4[[#This Row],[Cantidad]]</f>
        <v>#N/A</v>
      </c>
      <c r="O3831" s="284" t="e">
        <f>++Tabla4[[#This Row],[Utilidad Total]]/Tabla4[[#This Row],[Total]]</f>
        <v>#N/A</v>
      </c>
      <c r="P3831" s="282">
        <f>++Tabla4[[#This Row],[Precio Descontado]]*Tabla4[[#This Row],[Cantidad]]</f>
        <v>8487.800318399999</v>
      </c>
      <c r="Q3831" s="282" t="e">
        <f>(INDEX(Tabla6[#All],MATCH(Tabla4[[#This Row],[Producto]],Tabla6[[#All],[PRODUCTO]],0),MATCH(Tabla4[[#This Row],[Mes]],Tabla6[#Headers],0)))</f>
        <v>#N/A</v>
      </c>
      <c r="R3831" s="282" t="e">
        <f>++Tabla4[[#This Row],[Precio Unitario Neto]]-Tabla4[[#This Row],[20.85%]]-Tabla4[[#This Row],[Costo]]</f>
        <v>#N/A</v>
      </c>
      <c r="S3831" s="282" t="e">
        <f>++Tabla4[[#This Row],[U. Bruta Uni]]*Tabla4[[#This Row],[Cantidad]]</f>
        <v>#N/A</v>
      </c>
      <c r="T3831" s="369" t="str">
        <f>VLOOKUP(Tabla4[[#This Row],[Producto]],Tabla6[#All],14,FALSE)</f>
        <v>Termico Solar</v>
      </c>
      <c r="U3831" s="284" t="e">
        <f>(IF(Tabla4[[#This Row],[Familia]]="termico solar",Tabla4[[#This Row],[Utilidad Total]]*6%,Tabla4[[#This Row],[Utilidad Total]]*11.5%))/Tabla4[[#This Row],[Total]]</f>
        <v>#N/A</v>
      </c>
      <c r="V3831" s="282" t="e">
        <f>+Tabla4[[#This Row],[Comisión Calculada]]*Tabla4[[#This Row],[Total]]</f>
        <v>#N/A</v>
      </c>
    </row>
    <row r="3832" spans="1:22" hidden="1" x14ac:dyDescent="0.25">
      <c r="A3832" s="100">
        <v>45838</v>
      </c>
      <c r="B3832" t="str">
        <f t="shared" si="178"/>
        <v>June</v>
      </c>
      <c r="C3832" s="46" t="s">
        <v>280</v>
      </c>
      <c r="F3832" s="366" t="s">
        <v>2176</v>
      </c>
      <c r="G3832" s="46" t="s">
        <v>18</v>
      </c>
      <c r="H3832" s="46">
        <v>5</v>
      </c>
      <c r="I3832" s="51">
        <v>5367.65</v>
      </c>
      <c r="J3832" s="281">
        <f>++Tabla4[[#This Row],[Precio Bruto]]*1.16</f>
        <v>6226.4739999999993</v>
      </c>
      <c r="K3832" s="281">
        <f>+Tabla4[[#This Row],[Precio Unitario Neto]]*Tabla4[[#Headers],[20.85%]]</f>
        <v>1298.2198289999999</v>
      </c>
      <c r="L3832" s="282">
        <f>++Tabla4[[#This Row],[Precio Unitario Neto]]-Tabla4[[#This Row],[20.85%]]</f>
        <v>4928.2541709999996</v>
      </c>
      <c r="M3832" s="282" t="e">
        <f>(INDEX(Tabla6[#All],MATCH(Tabla4[[#This Row],[Producto]],Tabla6[[#All],[PRODUCTO]],0),MATCH(Tabla4[[#This Row],[Mes]],Tabla6[#Headers],0)))*(1+Catalogos!$L$2)</f>
        <v>#N/A</v>
      </c>
      <c r="N3832" s="283" t="e">
        <f>+(Tabla4[[#This Row],[Precio Descontado]]-Tabla4[[#This Row],[Precio Base]])*Tabla4[[#This Row],[Cantidad]]</f>
        <v>#N/A</v>
      </c>
      <c r="O3832" s="284" t="e">
        <f>++Tabla4[[#This Row],[Utilidad Total]]/Tabla4[[#This Row],[Total]]</f>
        <v>#N/A</v>
      </c>
      <c r="P3832" s="282">
        <f>++Tabla4[[#This Row],[Precio Descontado]]*Tabla4[[#This Row],[Cantidad]]</f>
        <v>24641.270854999999</v>
      </c>
      <c r="Q3832" s="282" t="e">
        <f>(INDEX(Tabla6[#All],MATCH(Tabla4[[#This Row],[Producto]],Tabla6[[#All],[PRODUCTO]],0),MATCH(Tabla4[[#This Row],[Mes]],Tabla6[#Headers],0)))</f>
        <v>#N/A</v>
      </c>
      <c r="R3832" s="282" t="e">
        <f>++Tabla4[[#This Row],[Precio Unitario Neto]]-Tabla4[[#This Row],[20.85%]]-Tabla4[[#This Row],[Costo]]</f>
        <v>#N/A</v>
      </c>
      <c r="S3832" s="282" t="e">
        <f>++Tabla4[[#This Row],[U. Bruta Uni]]*Tabla4[[#This Row],[Cantidad]]</f>
        <v>#N/A</v>
      </c>
      <c r="T3832" s="369" t="str">
        <f>VLOOKUP(Tabla4[[#This Row],[Producto]],Tabla6[#All],14,FALSE)</f>
        <v>Termico Solar</v>
      </c>
      <c r="U3832" s="284" t="e">
        <f>(IF(Tabla4[[#This Row],[Familia]]="termico solar",Tabla4[[#This Row],[Utilidad Total]]*6%,Tabla4[[#This Row],[Utilidad Total]]*11.5%))/Tabla4[[#This Row],[Total]]</f>
        <v>#N/A</v>
      </c>
      <c r="V3832" s="282" t="e">
        <f>+Tabla4[[#This Row],[Comisión Calculada]]*Tabla4[[#This Row],[Total]]</f>
        <v>#N/A</v>
      </c>
    </row>
    <row r="3833" spans="1:22" hidden="1" x14ac:dyDescent="0.25">
      <c r="A3833" s="100">
        <v>45838</v>
      </c>
      <c r="B3833" t="str">
        <f t="shared" si="178"/>
        <v>June</v>
      </c>
      <c r="C3833" s="46" t="s">
        <v>280</v>
      </c>
      <c r="F3833" s="366" t="s">
        <v>2176</v>
      </c>
      <c r="G3833" s="46" t="s">
        <v>208</v>
      </c>
      <c r="H3833" s="46">
        <v>1</v>
      </c>
      <c r="I3833" s="51">
        <v>189.75</v>
      </c>
      <c r="J3833" s="281">
        <f>++Tabla4[[#This Row],[Precio Bruto]]*1.16</f>
        <v>220.10999999999999</v>
      </c>
      <c r="K3833" s="281">
        <f>+Tabla4[[#This Row],[Precio Unitario Neto]]*Tabla4[[#Headers],[20.85%]]</f>
        <v>45.892934999999994</v>
      </c>
      <c r="L3833" s="282">
        <f>++Tabla4[[#This Row],[Precio Unitario Neto]]-Tabla4[[#This Row],[20.85%]]</f>
        <v>174.21706499999999</v>
      </c>
      <c r="M3833" s="282" t="e">
        <f>(INDEX(Tabla6[#All],MATCH(Tabla4[[#This Row],[Producto]],Tabla6[[#All],[PRODUCTO]],0),MATCH(Tabla4[[#This Row],[Mes]],Tabla6[#Headers],0)))*(1+Catalogos!$L$2)</f>
        <v>#N/A</v>
      </c>
      <c r="N3833" s="283" t="e">
        <f>+(Tabla4[[#This Row],[Precio Descontado]]-Tabla4[[#This Row],[Precio Base]])*Tabla4[[#This Row],[Cantidad]]</f>
        <v>#N/A</v>
      </c>
      <c r="O3833" s="284" t="e">
        <f>++Tabla4[[#This Row],[Utilidad Total]]/Tabla4[[#This Row],[Total]]</f>
        <v>#N/A</v>
      </c>
      <c r="P3833" s="282">
        <f>++Tabla4[[#This Row],[Precio Descontado]]*Tabla4[[#This Row],[Cantidad]]</f>
        <v>174.21706499999999</v>
      </c>
      <c r="Q3833" s="282" t="e">
        <f>(INDEX(Tabla6[#All],MATCH(Tabla4[[#This Row],[Producto]],Tabla6[[#All],[PRODUCTO]],0),MATCH(Tabla4[[#This Row],[Mes]],Tabla6[#Headers],0)))</f>
        <v>#N/A</v>
      </c>
      <c r="R3833" s="282" t="e">
        <f>++Tabla4[[#This Row],[Precio Unitario Neto]]-Tabla4[[#This Row],[20.85%]]-Tabla4[[#This Row],[Costo]]</f>
        <v>#N/A</v>
      </c>
      <c r="S3833" s="282" t="e">
        <f>++Tabla4[[#This Row],[U. Bruta Uni]]*Tabla4[[#This Row],[Cantidad]]</f>
        <v>#N/A</v>
      </c>
      <c r="T3833" s="369" t="str">
        <f>VLOOKUP(Tabla4[[#This Row],[Producto]],Tabla6[#All],14,FALSE)</f>
        <v>Termico Solar</v>
      </c>
      <c r="U3833" s="284" t="e">
        <f>(IF(Tabla4[[#This Row],[Familia]]="termico solar",Tabla4[[#This Row],[Utilidad Total]]*6%,Tabla4[[#This Row],[Utilidad Total]]*11.5%))/Tabla4[[#This Row],[Total]]</f>
        <v>#N/A</v>
      </c>
      <c r="V3833" s="282" t="e">
        <f>+Tabla4[[#This Row],[Comisión Calculada]]*Tabla4[[#This Row],[Total]]</f>
        <v>#N/A</v>
      </c>
    </row>
    <row r="3834" spans="1:22" hidden="1" x14ac:dyDescent="0.25">
      <c r="A3834" s="100">
        <v>45838</v>
      </c>
      <c r="B3834" t="str">
        <f t="shared" si="178"/>
        <v>June</v>
      </c>
      <c r="C3834" s="46" t="s">
        <v>280</v>
      </c>
      <c r="F3834" s="366" t="s">
        <v>2177</v>
      </c>
      <c r="G3834" s="46" t="s">
        <v>17</v>
      </c>
      <c r="H3834" s="46">
        <v>1</v>
      </c>
      <c r="I3834" s="51">
        <v>4622.28</v>
      </c>
      <c r="J3834" s="281">
        <f>++Tabla4[[#This Row],[Precio Bruto]]*1.16</f>
        <v>5361.8447999999989</v>
      </c>
      <c r="K3834" s="281">
        <f>+Tabla4[[#This Row],[Precio Unitario Neto]]*Tabla4[[#Headers],[20.85%]]</f>
        <v>1117.9446407999997</v>
      </c>
      <c r="L3834" s="282">
        <f>++Tabla4[[#This Row],[Precio Unitario Neto]]-Tabla4[[#This Row],[20.85%]]</f>
        <v>4243.9001591999995</v>
      </c>
      <c r="M3834" s="282" t="e">
        <f>(INDEX(Tabla6[#All],MATCH(Tabla4[[#This Row],[Producto]],Tabla6[[#All],[PRODUCTO]],0),MATCH(Tabla4[[#This Row],[Mes]],Tabla6[#Headers],0)))*(1+Catalogos!$L$2)</f>
        <v>#N/A</v>
      </c>
      <c r="N3834" s="283" t="e">
        <f>+(Tabla4[[#This Row],[Precio Descontado]]-Tabla4[[#This Row],[Precio Base]])*Tabla4[[#This Row],[Cantidad]]</f>
        <v>#N/A</v>
      </c>
      <c r="O3834" s="284" t="e">
        <f>++Tabla4[[#This Row],[Utilidad Total]]/Tabla4[[#This Row],[Total]]</f>
        <v>#N/A</v>
      </c>
      <c r="P3834" s="282">
        <f>++Tabla4[[#This Row],[Precio Descontado]]*Tabla4[[#This Row],[Cantidad]]</f>
        <v>4243.9001591999995</v>
      </c>
      <c r="Q3834" s="282" t="e">
        <f>(INDEX(Tabla6[#All],MATCH(Tabla4[[#This Row],[Producto]],Tabla6[[#All],[PRODUCTO]],0),MATCH(Tabla4[[#This Row],[Mes]],Tabla6[#Headers],0)))</f>
        <v>#N/A</v>
      </c>
      <c r="R3834" s="282" t="e">
        <f>++Tabla4[[#This Row],[Precio Unitario Neto]]-Tabla4[[#This Row],[20.85%]]-Tabla4[[#This Row],[Costo]]</f>
        <v>#N/A</v>
      </c>
      <c r="S3834" s="282" t="e">
        <f>++Tabla4[[#This Row],[U. Bruta Uni]]*Tabla4[[#This Row],[Cantidad]]</f>
        <v>#N/A</v>
      </c>
      <c r="T3834" s="369" t="str">
        <f>VLOOKUP(Tabla4[[#This Row],[Producto]],Tabla6[#All],14,FALSE)</f>
        <v>Termico Solar</v>
      </c>
      <c r="U3834" s="284" t="e">
        <f>(IF(Tabla4[[#This Row],[Familia]]="termico solar",Tabla4[[#This Row],[Utilidad Total]]*6%,Tabla4[[#This Row],[Utilidad Total]]*11.5%))/Tabla4[[#This Row],[Total]]</f>
        <v>#N/A</v>
      </c>
      <c r="V3834" s="282" t="e">
        <f>+Tabla4[[#This Row],[Comisión Calculada]]*Tabla4[[#This Row],[Total]]</f>
        <v>#N/A</v>
      </c>
    </row>
    <row r="3835" spans="1:22" hidden="1" x14ac:dyDescent="0.25">
      <c r="A3835" s="100">
        <v>45838</v>
      </c>
      <c r="B3835" t="str">
        <f t="shared" si="178"/>
        <v>June</v>
      </c>
      <c r="C3835" s="46" t="s">
        <v>280</v>
      </c>
      <c r="F3835" s="366" t="s">
        <v>2178</v>
      </c>
      <c r="G3835" s="46" t="s">
        <v>19</v>
      </c>
      <c r="H3835" s="46">
        <v>2</v>
      </c>
      <c r="I3835" s="51">
        <v>6412.03</v>
      </c>
      <c r="J3835" s="281">
        <f>++Tabla4[[#This Row],[Precio Bruto]]*1.16</f>
        <v>7437.9547999999995</v>
      </c>
      <c r="K3835" s="281">
        <f>+Tabla4[[#This Row],[Precio Unitario Neto]]*Tabla4[[#Headers],[20.85%]]</f>
        <v>1550.8135757999999</v>
      </c>
      <c r="L3835" s="282">
        <f>++Tabla4[[#This Row],[Precio Unitario Neto]]-Tabla4[[#This Row],[20.85%]]</f>
        <v>5887.1412241999997</v>
      </c>
      <c r="M3835" s="282" t="e">
        <f>(INDEX(Tabla6[#All],MATCH(Tabla4[[#This Row],[Producto]],Tabla6[[#All],[PRODUCTO]],0),MATCH(Tabla4[[#This Row],[Mes]],Tabla6[#Headers],0)))*(1+Catalogos!$L$2)</f>
        <v>#N/A</v>
      </c>
      <c r="N3835" s="283" t="e">
        <f>+(Tabla4[[#This Row],[Precio Descontado]]-Tabla4[[#This Row],[Precio Base]])*Tabla4[[#This Row],[Cantidad]]</f>
        <v>#N/A</v>
      </c>
      <c r="O3835" s="284" t="e">
        <f>++Tabla4[[#This Row],[Utilidad Total]]/Tabla4[[#This Row],[Total]]</f>
        <v>#N/A</v>
      </c>
      <c r="P3835" s="282">
        <f>++Tabla4[[#This Row],[Precio Descontado]]*Tabla4[[#This Row],[Cantidad]]</f>
        <v>11774.282448399999</v>
      </c>
      <c r="Q3835" s="282" t="e">
        <f>(INDEX(Tabla6[#All],MATCH(Tabla4[[#This Row],[Producto]],Tabla6[[#All],[PRODUCTO]],0),MATCH(Tabla4[[#This Row],[Mes]],Tabla6[#Headers],0)))</f>
        <v>#N/A</v>
      </c>
      <c r="R3835" s="282" t="e">
        <f>++Tabla4[[#This Row],[Precio Unitario Neto]]-Tabla4[[#This Row],[20.85%]]-Tabla4[[#This Row],[Costo]]</f>
        <v>#N/A</v>
      </c>
      <c r="S3835" s="282" t="e">
        <f>++Tabla4[[#This Row],[U. Bruta Uni]]*Tabla4[[#This Row],[Cantidad]]</f>
        <v>#N/A</v>
      </c>
      <c r="T3835" s="369" t="str">
        <f>VLOOKUP(Tabla4[[#This Row],[Producto]],Tabla6[#All],14,FALSE)</f>
        <v>Termico Solar</v>
      </c>
      <c r="U3835" s="284" t="e">
        <f>(IF(Tabla4[[#This Row],[Familia]]="termico solar",Tabla4[[#This Row],[Utilidad Total]]*6%,Tabla4[[#This Row],[Utilidad Total]]*11.5%))/Tabla4[[#This Row],[Total]]</f>
        <v>#N/A</v>
      </c>
      <c r="V3835" s="282" t="e">
        <f>+Tabla4[[#This Row],[Comisión Calculada]]*Tabla4[[#This Row],[Total]]</f>
        <v>#N/A</v>
      </c>
    </row>
    <row r="3836" spans="1:22" hidden="1" x14ac:dyDescent="0.25">
      <c r="A3836" s="100">
        <v>45838</v>
      </c>
      <c r="B3836" t="str">
        <f t="shared" si="178"/>
        <v>June</v>
      </c>
      <c r="C3836" s="46" t="s">
        <v>280</v>
      </c>
      <c r="F3836" s="366" t="s">
        <v>2178</v>
      </c>
      <c r="G3836" s="46" t="s">
        <v>566</v>
      </c>
      <c r="H3836" s="46">
        <v>1</v>
      </c>
      <c r="I3836" s="51">
        <v>2109.4499999999998</v>
      </c>
      <c r="J3836" s="281">
        <f>++Tabla4[[#This Row],[Precio Bruto]]*1.16</f>
        <v>2446.9619999999995</v>
      </c>
      <c r="K3836" s="281">
        <f>+Tabla4[[#This Row],[Precio Unitario Neto]]*Tabla4[[#Headers],[20.85%]]</f>
        <v>510.19157699999988</v>
      </c>
      <c r="L3836" s="282">
        <f>++Tabla4[[#This Row],[Precio Unitario Neto]]-Tabla4[[#This Row],[20.85%]]</f>
        <v>1936.7704229999997</v>
      </c>
      <c r="M3836" s="282" t="e">
        <f>(INDEX(Tabla6[#All],MATCH(Tabla4[[#This Row],[Producto]],Tabla6[[#All],[PRODUCTO]],0),MATCH(Tabla4[[#This Row],[Mes]],Tabla6[#Headers],0)))*(1+Catalogos!$L$2)</f>
        <v>#N/A</v>
      </c>
      <c r="N3836" s="283" t="e">
        <f>+(Tabla4[[#This Row],[Precio Descontado]]-Tabla4[[#This Row],[Precio Base]])*Tabla4[[#This Row],[Cantidad]]</f>
        <v>#N/A</v>
      </c>
      <c r="O3836" s="284" t="e">
        <f>++Tabla4[[#This Row],[Utilidad Total]]/Tabla4[[#This Row],[Total]]</f>
        <v>#N/A</v>
      </c>
      <c r="P3836" s="282">
        <f>++Tabla4[[#This Row],[Precio Descontado]]*Tabla4[[#This Row],[Cantidad]]</f>
        <v>1936.7704229999997</v>
      </c>
      <c r="Q3836" s="282" t="e">
        <f>(INDEX(Tabla6[#All],MATCH(Tabla4[[#This Row],[Producto]],Tabla6[[#All],[PRODUCTO]],0),MATCH(Tabla4[[#This Row],[Mes]],Tabla6[#Headers],0)))</f>
        <v>#N/A</v>
      </c>
      <c r="R3836" s="282" t="e">
        <f>++Tabla4[[#This Row],[Precio Unitario Neto]]-Tabla4[[#This Row],[20.85%]]-Tabla4[[#This Row],[Costo]]</f>
        <v>#N/A</v>
      </c>
      <c r="S3836" s="282" t="e">
        <f>++Tabla4[[#This Row],[U. Bruta Uni]]*Tabla4[[#This Row],[Cantidad]]</f>
        <v>#N/A</v>
      </c>
      <c r="T3836" s="369" t="str">
        <f>VLOOKUP(Tabla4[[#This Row],[Producto]],Tabla6[#All],14,FALSE)</f>
        <v>Termico Solar</v>
      </c>
      <c r="U3836" s="284" t="e">
        <f>(IF(Tabla4[[#This Row],[Familia]]="termico solar",Tabla4[[#This Row],[Utilidad Total]]*6%,Tabla4[[#This Row],[Utilidad Total]]*11.5%))/Tabla4[[#This Row],[Total]]</f>
        <v>#N/A</v>
      </c>
      <c r="V3836" s="282" t="e">
        <f>+Tabla4[[#This Row],[Comisión Calculada]]*Tabla4[[#This Row],[Total]]</f>
        <v>#N/A</v>
      </c>
    </row>
    <row r="3837" spans="1:22" hidden="1" x14ac:dyDescent="0.25">
      <c r="A3837" s="100">
        <v>45838</v>
      </c>
      <c r="B3837" t="str">
        <f t="shared" ref="B3837:B3855" si="179">TEXT(A3837, "mmmm")</f>
        <v>June</v>
      </c>
      <c r="C3837" s="46" t="s">
        <v>280</v>
      </c>
      <c r="F3837" s="366" t="s">
        <v>2179</v>
      </c>
      <c r="G3837" s="46" t="s">
        <v>83</v>
      </c>
      <c r="H3837" s="46">
        <v>2</v>
      </c>
      <c r="I3837" s="51">
        <v>8858.76</v>
      </c>
      <c r="J3837" s="281">
        <f>++Tabla4[[#This Row],[Precio Bruto]]*1.16</f>
        <v>10276.161599999999</v>
      </c>
      <c r="K3837" s="281">
        <f>+Tabla4[[#This Row],[Precio Unitario Neto]]*Tabla4[[#Headers],[20.85%]]</f>
        <v>2142.5796935999997</v>
      </c>
      <c r="L3837" s="282">
        <f>++Tabla4[[#This Row],[Precio Unitario Neto]]-Tabla4[[#This Row],[20.85%]]</f>
        <v>8133.5819063999998</v>
      </c>
      <c r="M3837" s="282" t="e">
        <f>(INDEX(Tabla6[#All],MATCH(Tabla4[[#This Row],[Producto]],Tabla6[[#All],[PRODUCTO]],0),MATCH(Tabla4[[#This Row],[Mes]],Tabla6[#Headers],0)))*(1+Catalogos!$L$2)</f>
        <v>#N/A</v>
      </c>
      <c r="N3837" s="283" t="e">
        <f>+(Tabla4[[#This Row],[Precio Descontado]]-Tabla4[[#This Row],[Precio Base]])*Tabla4[[#This Row],[Cantidad]]</f>
        <v>#N/A</v>
      </c>
      <c r="O3837" s="284" t="e">
        <f>++Tabla4[[#This Row],[Utilidad Total]]/Tabla4[[#This Row],[Total]]</f>
        <v>#N/A</v>
      </c>
      <c r="P3837" s="282">
        <f>++Tabla4[[#This Row],[Precio Descontado]]*Tabla4[[#This Row],[Cantidad]]</f>
        <v>16267.1638128</v>
      </c>
      <c r="Q3837" s="282" t="e">
        <f>(INDEX(Tabla6[#All],MATCH(Tabla4[[#This Row],[Producto]],Tabla6[[#All],[PRODUCTO]],0),MATCH(Tabla4[[#This Row],[Mes]],Tabla6[#Headers],0)))</f>
        <v>#N/A</v>
      </c>
      <c r="R3837" s="282" t="e">
        <f>++Tabla4[[#This Row],[Precio Unitario Neto]]-Tabla4[[#This Row],[20.85%]]-Tabla4[[#This Row],[Costo]]</f>
        <v>#N/A</v>
      </c>
      <c r="S3837" s="282" t="e">
        <f>++Tabla4[[#This Row],[U. Bruta Uni]]*Tabla4[[#This Row],[Cantidad]]</f>
        <v>#N/A</v>
      </c>
      <c r="T3837" s="369" t="str">
        <f>VLOOKUP(Tabla4[[#This Row],[Producto]],Tabla6[#All],14,FALSE)</f>
        <v>Termico Solar</v>
      </c>
      <c r="U3837" s="284" t="e">
        <f>(IF(Tabla4[[#This Row],[Familia]]="termico solar",Tabla4[[#This Row],[Utilidad Total]]*6%,Tabla4[[#This Row],[Utilidad Total]]*11.5%))/Tabla4[[#This Row],[Total]]</f>
        <v>#N/A</v>
      </c>
      <c r="V3837" s="282" t="e">
        <f>+Tabla4[[#This Row],[Comisión Calculada]]*Tabla4[[#This Row],[Total]]</f>
        <v>#N/A</v>
      </c>
    </row>
    <row r="3838" spans="1:22" hidden="1" x14ac:dyDescent="0.25">
      <c r="A3838" s="100">
        <v>45838</v>
      </c>
      <c r="B3838" t="str">
        <f t="shared" si="179"/>
        <v>June</v>
      </c>
      <c r="C3838" s="46" t="s">
        <v>280</v>
      </c>
      <c r="F3838" s="366" t="s">
        <v>2179</v>
      </c>
      <c r="G3838" s="46" t="s">
        <v>17</v>
      </c>
      <c r="H3838" s="46">
        <v>5</v>
      </c>
      <c r="I3838" s="51">
        <v>4622.2800000000007</v>
      </c>
      <c r="J3838" s="281">
        <f>++Tabla4[[#This Row],[Precio Bruto]]*1.16</f>
        <v>5361.8448000000008</v>
      </c>
      <c r="K3838" s="281">
        <f>+Tabla4[[#This Row],[Precio Unitario Neto]]*Tabla4[[#Headers],[20.85%]]</f>
        <v>1117.9446408000001</v>
      </c>
      <c r="L3838" s="282">
        <f>++Tabla4[[#This Row],[Precio Unitario Neto]]-Tabla4[[#This Row],[20.85%]]</f>
        <v>4243.9001592000004</v>
      </c>
      <c r="M3838" s="282" t="e">
        <f>(INDEX(Tabla6[#All],MATCH(Tabla4[[#This Row],[Producto]],Tabla6[[#All],[PRODUCTO]],0),MATCH(Tabla4[[#This Row],[Mes]],Tabla6[#Headers],0)))*(1+Catalogos!$L$2)</f>
        <v>#N/A</v>
      </c>
      <c r="N3838" s="283" t="e">
        <f>+(Tabla4[[#This Row],[Precio Descontado]]-Tabla4[[#This Row],[Precio Base]])*Tabla4[[#This Row],[Cantidad]]</f>
        <v>#N/A</v>
      </c>
      <c r="O3838" s="284" t="e">
        <f>++Tabla4[[#This Row],[Utilidad Total]]/Tabla4[[#This Row],[Total]]</f>
        <v>#N/A</v>
      </c>
      <c r="P3838" s="282">
        <f>++Tabla4[[#This Row],[Precio Descontado]]*Tabla4[[#This Row],[Cantidad]]</f>
        <v>21219.500796</v>
      </c>
      <c r="Q3838" s="282" t="e">
        <f>(INDEX(Tabla6[#All],MATCH(Tabla4[[#This Row],[Producto]],Tabla6[[#All],[PRODUCTO]],0),MATCH(Tabla4[[#This Row],[Mes]],Tabla6[#Headers],0)))</f>
        <v>#N/A</v>
      </c>
      <c r="R3838" s="282" t="e">
        <f>++Tabla4[[#This Row],[Precio Unitario Neto]]-Tabla4[[#This Row],[20.85%]]-Tabla4[[#This Row],[Costo]]</f>
        <v>#N/A</v>
      </c>
      <c r="S3838" s="282" t="e">
        <f>++Tabla4[[#This Row],[U. Bruta Uni]]*Tabla4[[#This Row],[Cantidad]]</f>
        <v>#N/A</v>
      </c>
      <c r="T3838" s="369" t="str">
        <f>VLOOKUP(Tabla4[[#This Row],[Producto]],Tabla6[#All],14,FALSE)</f>
        <v>Termico Solar</v>
      </c>
      <c r="U3838" s="284" t="e">
        <f>(IF(Tabla4[[#This Row],[Familia]]="termico solar",Tabla4[[#This Row],[Utilidad Total]]*6%,Tabla4[[#This Row],[Utilidad Total]]*11.5%))/Tabla4[[#This Row],[Total]]</f>
        <v>#N/A</v>
      </c>
      <c r="V3838" s="282" t="e">
        <f>+Tabla4[[#This Row],[Comisión Calculada]]*Tabla4[[#This Row],[Total]]</f>
        <v>#N/A</v>
      </c>
    </row>
    <row r="3839" spans="1:22" hidden="1" x14ac:dyDescent="0.25">
      <c r="A3839" s="100">
        <v>45838</v>
      </c>
      <c r="B3839" t="str">
        <f t="shared" si="179"/>
        <v>June</v>
      </c>
      <c r="C3839" s="46" t="s">
        <v>280</v>
      </c>
      <c r="F3839" s="366" t="s">
        <v>2179</v>
      </c>
      <c r="G3839" s="46" t="s">
        <v>18</v>
      </c>
      <c r="H3839" s="46">
        <v>1</v>
      </c>
      <c r="I3839" s="51">
        <v>5367.65</v>
      </c>
      <c r="J3839" s="281">
        <f>++Tabla4[[#This Row],[Precio Bruto]]*1.16</f>
        <v>6226.4739999999993</v>
      </c>
      <c r="K3839" s="281">
        <f>+Tabla4[[#This Row],[Precio Unitario Neto]]*Tabla4[[#Headers],[20.85%]]</f>
        <v>1298.2198289999999</v>
      </c>
      <c r="L3839" s="282">
        <f>++Tabla4[[#This Row],[Precio Unitario Neto]]-Tabla4[[#This Row],[20.85%]]</f>
        <v>4928.2541709999996</v>
      </c>
      <c r="M3839" s="282" t="e">
        <f>(INDEX(Tabla6[#All],MATCH(Tabla4[[#This Row],[Producto]],Tabla6[[#All],[PRODUCTO]],0),MATCH(Tabla4[[#This Row],[Mes]],Tabla6[#Headers],0)))*(1+Catalogos!$L$2)</f>
        <v>#N/A</v>
      </c>
      <c r="N3839" s="283" t="e">
        <f>+(Tabla4[[#This Row],[Precio Descontado]]-Tabla4[[#This Row],[Precio Base]])*Tabla4[[#This Row],[Cantidad]]</f>
        <v>#N/A</v>
      </c>
      <c r="O3839" s="284" t="e">
        <f>++Tabla4[[#This Row],[Utilidad Total]]/Tabla4[[#This Row],[Total]]</f>
        <v>#N/A</v>
      </c>
      <c r="P3839" s="282">
        <f>++Tabla4[[#This Row],[Precio Descontado]]*Tabla4[[#This Row],[Cantidad]]</f>
        <v>4928.2541709999996</v>
      </c>
      <c r="Q3839" s="282" t="e">
        <f>(INDEX(Tabla6[#All],MATCH(Tabla4[[#This Row],[Producto]],Tabla6[[#All],[PRODUCTO]],0),MATCH(Tabla4[[#This Row],[Mes]],Tabla6[#Headers],0)))</f>
        <v>#N/A</v>
      </c>
      <c r="R3839" s="282" t="e">
        <f>++Tabla4[[#This Row],[Precio Unitario Neto]]-Tabla4[[#This Row],[20.85%]]-Tabla4[[#This Row],[Costo]]</f>
        <v>#N/A</v>
      </c>
      <c r="S3839" s="282" t="e">
        <f>++Tabla4[[#This Row],[U. Bruta Uni]]*Tabla4[[#This Row],[Cantidad]]</f>
        <v>#N/A</v>
      </c>
      <c r="T3839" s="369" t="str">
        <f>VLOOKUP(Tabla4[[#This Row],[Producto]],Tabla6[#All],14,FALSE)</f>
        <v>Termico Solar</v>
      </c>
      <c r="U3839" s="284" t="e">
        <f>(IF(Tabla4[[#This Row],[Familia]]="termico solar",Tabla4[[#This Row],[Utilidad Total]]*6%,Tabla4[[#This Row],[Utilidad Total]]*11.5%))/Tabla4[[#This Row],[Total]]</f>
        <v>#N/A</v>
      </c>
      <c r="V3839" s="282" t="e">
        <f>+Tabla4[[#This Row],[Comisión Calculada]]*Tabla4[[#This Row],[Total]]</f>
        <v>#N/A</v>
      </c>
    </row>
    <row r="3840" spans="1:22" hidden="1" x14ac:dyDescent="0.25">
      <c r="A3840" s="100">
        <v>45838</v>
      </c>
      <c r="B3840" t="str">
        <f t="shared" si="179"/>
        <v>June</v>
      </c>
      <c r="C3840" s="46" t="s">
        <v>280</v>
      </c>
      <c r="F3840" s="366" t="s">
        <v>2179</v>
      </c>
      <c r="G3840" s="46" t="s">
        <v>16</v>
      </c>
      <c r="H3840" s="46">
        <v>2</v>
      </c>
      <c r="I3840" s="51">
        <v>4103.8500000000004</v>
      </c>
      <c r="J3840" s="281">
        <f>++Tabla4[[#This Row],[Precio Bruto]]*1.16</f>
        <v>4760.4660000000003</v>
      </c>
      <c r="K3840" s="281">
        <f>+Tabla4[[#This Row],[Precio Unitario Neto]]*Tabla4[[#Headers],[20.85%]]</f>
        <v>992.55716100000006</v>
      </c>
      <c r="L3840" s="282">
        <f>++Tabla4[[#This Row],[Precio Unitario Neto]]-Tabla4[[#This Row],[20.85%]]</f>
        <v>3767.9088390000002</v>
      </c>
      <c r="M3840" s="282" t="e">
        <f>(INDEX(Tabla6[#All],MATCH(Tabla4[[#This Row],[Producto]],Tabla6[[#All],[PRODUCTO]],0),MATCH(Tabla4[[#This Row],[Mes]],Tabla6[#Headers],0)))*(1+Catalogos!$L$2)</f>
        <v>#N/A</v>
      </c>
      <c r="N3840" s="283" t="e">
        <f>+(Tabla4[[#This Row],[Precio Descontado]]-Tabla4[[#This Row],[Precio Base]])*Tabla4[[#This Row],[Cantidad]]</f>
        <v>#N/A</v>
      </c>
      <c r="O3840" s="284" t="e">
        <f>++Tabla4[[#This Row],[Utilidad Total]]/Tabla4[[#This Row],[Total]]</f>
        <v>#N/A</v>
      </c>
      <c r="P3840" s="282">
        <f>++Tabla4[[#This Row],[Precio Descontado]]*Tabla4[[#This Row],[Cantidad]]</f>
        <v>7535.8176780000003</v>
      </c>
      <c r="Q3840" s="282" t="e">
        <f>(INDEX(Tabla6[#All],MATCH(Tabla4[[#This Row],[Producto]],Tabla6[[#All],[PRODUCTO]],0),MATCH(Tabla4[[#This Row],[Mes]],Tabla6[#Headers],0)))</f>
        <v>#N/A</v>
      </c>
      <c r="R3840" s="282" t="e">
        <f>++Tabla4[[#This Row],[Precio Unitario Neto]]-Tabla4[[#This Row],[20.85%]]-Tabla4[[#This Row],[Costo]]</f>
        <v>#N/A</v>
      </c>
      <c r="S3840" s="282" t="e">
        <f>++Tabla4[[#This Row],[U. Bruta Uni]]*Tabla4[[#This Row],[Cantidad]]</f>
        <v>#N/A</v>
      </c>
      <c r="T3840" s="369" t="str">
        <f>VLOOKUP(Tabla4[[#This Row],[Producto]],Tabla6[#All],14,FALSE)</f>
        <v>Termico Solar</v>
      </c>
      <c r="U3840" s="284" t="e">
        <f>(IF(Tabla4[[#This Row],[Familia]]="termico solar",Tabla4[[#This Row],[Utilidad Total]]*6%,Tabla4[[#This Row],[Utilidad Total]]*11.5%))/Tabla4[[#This Row],[Total]]</f>
        <v>#N/A</v>
      </c>
      <c r="V3840" s="282" t="e">
        <f>+Tabla4[[#This Row],[Comisión Calculada]]*Tabla4[[#This Row],[Total]]</f>
        <v>#N/A</v>
      </c>
    </row>
    <row r="3841" spans="1:22" hidden="1" x14ac:dyDescent="0.25">
      <c r="A3841" s="100">
        <v>45838</v>
      </c>
      <c r="B3841" t="str">
        <f t="shared" si="179"/>
        <v>June</v>
      </c>
      <c r="C3841" s="46" t="s">
        <v>280</v>
      </c>
      <c r="F3841" s="366" t="s">
        <v>2179</v>
      </c>
      <c r="G3841" s="46" t="s">
        <v>555</v>
      </c>
      <c r="H3841" s="46">
        <v>8</v>
      </c>
      <c r="I3841" s="51">
        <v>389.47</v>
      </c>
      <c r="J3841" s="281">
        <f>++Tabla4[[#This Row],[Precio Bruto]]*1.16</f>
        <v>451.78519999999997</v>
      </c>
      <c r="K3841" s="281">
        <f>+Tabla4[[#This Row],[Precio Unitario Neto]]*Tabla4[[#Headers],[20.85%]]</f>
        <v>94.197214199999991</v>
      </c>
      <c r="L3841" s="282">
        <f>++Tabla4[[#This Row],[Precio Unitario Neto]]-Tabla4[[#This Row],[20.85%]]</f>
        <v>357.58798579999996</v>
      </c>
      <c r="M3841" s="282" t="e">
        <f>(INDEX(Tabla6[#All],MATCH(Tabla4[[#This Row],[Producto]],Tabla6[[#All],[PRODUCTO]],0),MATCH(Tabla4[[#This Row],[Mes]],Tabla6[#Headers],0)))*(1+Catalogos!$L$2)</f>
        <v>#N/A</v>
      </c>
      <c r="N3841" s="283" t="e">
        <f>+(Tabla4[[#This Row],[Precio Descontado]]-Tabla4[[#This Row],[Precio Base]])*Tabla4[[#This Row],[Cantidad]]</f>
        <v>#N/A</v>
      </c>
      <c r="O3841" s="284" t="e">
        <f>++Tabla4[[#This Row],[Utilidad Total]]/Tabla4[[#This Row],[Total]]</f>
        <v>#N/A</v>
      </c>
      <c r="P3841" s="282">
        <f>++Tabla4[[#This Row],[Precio Descontado]]*Tabla4[[#This Row],[Cantidad]]</f>
        <v>2860.7038863999996</v>
      </c>
      <c r="Q3841" s="282" t="e">
        <f>(INDEX(Tabla6[#All],MATCH(Tabla4[[#This Row],[Producto]],Tabla6[[#All],[PRODUCTO]],0),MATCH(Tabla4[[#This Row],[Mes]],Tabla6[#Headers],0)))</f>
        <v>#N/A</v>
      </c>
      <c r="R3841" s="282" t="e">
        <f>++Tabla4[[#This Row],[Precio Unitario Neto]]-Tabla4[[#This Row],[20.85%]]-Tabla4[[#This Row],[Costo]]</f>
        <v>#N/A</v>
      </c>
      <c r="S3841" s="282" t="e">
        <f>++Tabla4[[#This Row],[U. Bruta Uni]]*Tabla4[[#This Row],[Cantidad]]</f>
        <v>#N/A</v>
      </c>
      <c r="T3841" s="369" t="str">
        <f>VLOOKUP(Tabla4[[#This Row],[Producto]],Tabla6[#All],14,FALSE)</f>
        <v>Termico Solar</v>
      </c>
      <c r="U3841" s="284" t="e">
        <f>(IF(Tabla4[[#This Row],[Familia]]="termico solar",Tabla4[[#This Row],[Utilidad Total]]*6%,Tabla4[[#This Row],[Utilidad Total]]*11.5%))/Tabla4[[#This Row],[Total]]</f>
        <v>#N/A</v>
      </c>
      <c r="V3841" s="282" t="e">
        <f>+Tabla4[[#This Row],[Comisión Calculada]]*Tabla4[[#This Row],[Total]]</f>
        <v>#N/A</v>
      </c>
    </row>
    <row r="3842" spans="1:22" hidden="1" x14ac:dyDescent="0.25">
      <c r="A3842" s="100">
        <v>45838</v>
      </c>
      <c r="B3842" t="str">
        <f t="shared" si="179"/>
        <v>June</v>
      </c>
      <c r="C3842" s="46" t="s">
        <v>280</v>
      </c>
      <c r="F3842" s="366" t="s">
        <v>2180</v>
      </c>
      <c r="G3842" s="46" t="s">
        <v>83</v>
      </c>
      <c r="H3842" s="46">
        <v>3</v>
      </c>
      <c r="I3842" s="51">
        <v>8858.76</v>
      </c>
      <c r="J3842" s="281">
        <f>++Tabla4[[#This Row],[Precio Bruto]]*1.16</f>
        <v>10276.161599999999</v>
      </c>
      <c r="K3842" s="281">
        <f>+Tabla4[[#This Row],[Precio Unitario Neto]]*Tabla4[[#Headers],[20.85%]]</f>
        <v>2142.5796935999997</v>
      </c>
      <c r="L3842" s="282">
        <f>++Tabla4[[#This Row],[Precio Unitario Neto]]-Tabla4[[#This Row],[20.85%]]</f>
        <v>8133.5819063999998</v>
      </c>
      <c r="M3842" s="282" t="e">
        <f>(INDEX(Tabla6[#All],MATCH(Tabla4[[#This Row],[Producto]],Tabla6[[#All],[PRODUCTO]],0),MATCH(Tabla4[[#This Row],[Mes]],Tabla6[#Headers],0)))*(1+Catalogos!$L$2)</f>
        <v>#N/A</v>
      </c>
      <c r="N3842" s="283" t="e">
        <f>+(Tabla4[[#This Row],[Precio Descontado]]-Tabla4[[#This Row],[Precio Base]])*Tabla4[[#This Row],[Cantidad]]</f>
        <v>#N/A</v>
      </c>
      <c r="O3842" s="284" t="e">
        <f>++Tabla4[[#This Row],[Utilidad Total]]/Tabla4[[#This Row],[Total]]</f>
        <v>#N/A</v>
      </c>
      <c r="P3842" s="282">
        <f>++Tabla4[[#This Row],[Precio Descontado]]*Tabla4[[#This Row],[Cantidad]]</f>
        <v>24400.7457192</v>
      </c>
      <c r="Q3842" s="282" t="e">
        <f>(INDEX(Tabla6[#All],MATCH(Tabla4[[#This Row],[Producto]],Tabla6[[#All],[PRODUCTO]],0),MATCH(Tabla4[[#This Row],[Mes]],Tabla6[#Headers],0)))</f>
        <v>#N/A</v>
      </c>
      <c r="R3842" s="282" t="e">
        <f>++Tabla4[[#This Row],[Precio Unitario Neto]]-Tabla4[[#This Row],[20.85%]]-Tabla4[[#This Row],[Costo]]</f>
        <v>#N/A</v>
      </c>
      <c r="S3842" s="282" t="e">
        <f>++Tabla4[[#This Row],[U. Bruta Uni]]*Tabla4[[#This Row],[Cantidad]]</f>
        <v>#N/A</v>
      </c>
      <c r="T3842" s="369" t="str">
        <f>VLOOKUP(Tabla4[[#This Row],[Producto]],Tabla6[#All],14,FALSE)</f>
        <v>Termico Solar</v>
      </c>
      <c r="U3842" s="284" t="e">
        <f>(IF(Tabla4[[#This Row],[Familia]]="termico solar",Tabla4[[#This Row],[Utilidad Total]]*6%,Tabla4[[#This Row],[Utilidad Total]]*11.5%))/Tabla4[[#This Row],[Total]]</f>
        <v>#N/A</v>
      </c>
      <c r="V3842" s="282" t="e">
        <f>+Tabla4[[#This Row],[Comisión Calculada]]*Tabla4[[#This Row],[Total]]</f>
        <v>#N/A</v>
      </c>
    </row>
    <row r="3843" spans="1:22" hidden="1" x14ac:dyDescent="0.25">
      <c r="A3843" s="100">
        <v>45838</v>
      </c>
      <c r="B3843" t="str">
        <f t="shared" si="179"/>
        <v>June</v>
      </c>
      <c r="C3843" s="46" t="s">
        <v>280</v>
      </c>
      <c r="F3843" s="366" t="s">
        <v>2180</v>
      </c>
      <c r="G3843" s="46" t="s">
        <v>17</v>
      </c>
      <c r="H3843" s="46">
        <v>1</v>
      </c>
      <c r="I3843" s="51">
        <v>4622.28</v>
      </c>
      <c r="J3843" s="281">
        <f>++Tabla4[[#This Row],[Precio Bruto]]*1.16</f>
        <v>5361.8447999999989</v>
      </c>
      <c r="K3843" s="281">
        <f>+Tabla4[[#This Row],[Precio Unitario Neto]]*Tabla4[[#Headers],[20.85%]]</f>
        <v>1117.9446407999997</v>
      </c>
      <c r="L3843" s="282">
        <f>++Tabla4[[#This Row],[Precio Unitario Neto]]-Tabla4[[#This Row],[20.85%]]</f>
        <v>4243.9001591999995</v>
      </c>
      <c r="M3843" s="282" t="e">
        <f>(INDEX(Tabla6[#All],MATCH(Tabla4[[#This Row],[Producto]],Tabla6[[#All],[PRODUCTO]],0),MATCH(Tabla4[[#This Row],[Mes]],Tabla6[#Headers],0)))*(1+Catalogos!$L$2)</f>
        <v>#N/A</v>
      </c>
      <c r="N3843" s="283" t="e">
        <f>+(Tabla4[[#This Row],[Precio Descontado]]-Tabla4[[#This Row],[Precio Base]])*Tabla4[[#This Row],[Cantidad]]</f>
        <v>#N/A</v>
      </c>
      <c r="O3843" s="284" t="e">
        <f>++Tabla4[[#This Row],[Utilidad Total]]/Tabla4[[#This Row],[Total]]</f>
        <v>#N/A</v>
      </c>
      <c r="P3843" s="282">
        <f>++Tabla4[[#This Row],[Precio Descontado]]*Tabla4[[#This Row],[Cantidad]]</f>
        <v>4243.9001591999995</v>
      </c>
      <c r="Q3843" s="282" t="e">
        <f>(INDEX(Tabla6[#All],MATCH(Tabla4[[#This Row],[Producto]],Tabla6[[#All],[PRODUCTO]],0),MATCH(Tabla4[[#This Row],[Mes]],Tabla6[#Headers],0)))</f>
        <v>#N/A</v>
      </c>
      <c r="R3843" s="282" t="e">
        <f>++Tabla4[[#This Row],[Precio Unitario Neto]]-Tabla4[[#This Row],[20.85%]]-Tabla4[[#This Row],[Costo]]</f>
        <v>#N/A</v>
      </c>
      <c r="S3843" s="282" t="e">
        <f>++Tabla4[[#This Row],[U. Bruta Uni]]*Tabla4[[#This Row],[Cantidad]]</f>
        <v>#N/A</v>
      </c>
      <c r="T3843" s="369" t="str">
        <f>VLOOKUP(Tabla4[[#This Row],[Producto]],Tabla6[#All],14,FALSE)</f>
        <v>Termico Solar</v>
      </c>
      <c r="U3843" s="284" t="e">
        <f>(IF(Tabla4[[#This Row],[Familia]]="termico solar",Tabla4[[#This Row],[Utilidad Total]]*6%,Tabla4[[#This Row],[Utilidad Total]]*11.5%))/Tabla4[[#This Row],[Total]]</f>
        <v>#N/A</v>
      </c>
      <c r="V3843" s="282" t="e">
        <f>+Tabla4[[#This Row],[Comisión Calculada]]*Tabla4[[#This Row],[Total]]</f>
        <v>#N/A</v>
      </c>
    </row>
    <row r="3844" spans="1:22" hidden="1" x14ac:dyDescent="0.25">
      <c r="A3844" s="100">
        <v>45838</v>
      </c>
      <c r="B3844" t="str">
        <f t="shared" si="179"/>
        <v>June</v>
      </c>
      <c r="C3844" s="46" t="s">
        <v>280</v>
      </c>
      <c r="F3844" s="366" t="s">
        <v>2180</v>
      </c>
      <c r="G3844" s="46" t="s">
        <v>18</v>
      </c>
      <c r="H3844" s="46">
        <v>1</v>
      </c>
      <c r="I3844" s="51">
        <v>5367.65</v>
      </c>
      <c r="J3844" s="281">
        <f>++Tabla4[[#This Row],[Precio Bruto]]*1.16</f>
        <v>6226.4739999999993</v>
      </c>
      <c r="K3844" s="281">
        <f>+Tabla4[[#This Row],[Precio Unitario Neto]]*Tabla4[[#Headers],[20.85%]]</f>
        <v>1298.2198289999999</v>
      </c>
      <c r="L3844" s="282">
        <f>++Tabla4[[#This Row],[Precio Unitario Neto]]-Tabla4[[#This Row],[20.85%]]</f>
        <v>4928.2541709999996</v>
      </c>
      <c r="M3844" s="282" t="e">
        <f>(INDEX(Tabla6[#All],MATCH(Tabla4[[#This Row],[Producto]],Tabla6[[#All],[PRODUCTO]],0),MATCH(Tabla4[[#This Row],[Mes]],Tabla6[#Headers],0)))*(1+Catalogos!$L$2)</f>
        <v>#N/A</v>
      </c>
      <c r="N3844" s="283" t="e">
        <f>+(Tabla4[[#This Row],[Precio Descontado]]-Tabla4[[#This Row],[Precio Base]])*Tabla4[[#This Row],[Cantidad]]</f>
        <v>#N/A</v>
      </c>
      <c r="O3844" s="284" t="e">
        <f>++Tabla4[[#This Row],[Utilidad Total]]/Tabla4[[#This Row],[Total]]</f>
        <v>#N/A</v>
      </c>
      <c r="P3844" s="282">
        <f>++Tabla4[[#This Row],[Precio Descontado]]*Tabla4[[#This Row],[Cantidad]]</f>
        <v>4928.2541709999996</v>
      </c>
      <c r="Q3844" s="282" t="e">
        <f>(INDEX(Tabla6[#All],MATCH(Tabla4[[#This Row],[Producto]],Tabla6[[#All],[PRODUCTO]],0),MATCH(Tabla4[[#This Row],[Mes]],Tabla6[#Headers],0)))</f>
        <v>#N/A</v>
      </c>
      <c r="R3844" s="282" t="e">
        <f>++Tabla4[[#This Row],[Precio Unitario Neto]]-Tabla4[[#This Row],[20.85%]]-Tabla4[[#This Row],[Costo]]</f>
        <v>#N/A</v>
      </c>
      <c r="S3844" s="282" t="e">
        <f>++Tabla4[[#This Row],[U. Bruta Uni]]*Tabla4[[#This Row],[Cantidad]]</f>
        <v>#N/A</v>
      </c>
      <c r="T3844" s="369" t="str">
        <f>VLOOKUP(Tabla4[[#This Row],[Producto]],Tabla6[#All],14,FALSE)</f>
        <v>Termico Solar</v>
      </c>
      <c r="U3844" s="284" t="e">
        <f>(IF(Tabla4[[#This Row],[Familia]]="termico solar",Tabla4[[#This Row],[Utilidad Total]]*6%,Tabla4[[#This Row],[Utilidad Total]]*11.5%))/Tabla4[[#This Row],[Total]]</f>
        <v>#N/A</v>
      </c>
      <c r="V3844" s="282" t="e">
        <f>+Tabla4[[#This Row],[Comisión Calculada]]*Tabla4[[#This Row],[Total]]</f>
        <v>#N/A</v>
      </c>
    </row>
    <row r="3845" spans="1:22" hidden="1" x14ac:dyDescent="0.25">
      <c r="A3845" s="100">
        <v>45838</v>
      </c>
      <c r="B3845" t="str">
        <f t="shared" si="179"/>
        <v>June</v>
      </c>
      <c r="C3845" s="46" t="s">
        <v>280</v>
      </c>
      <c r="F3845" s="366" t="s">
        <v>2180</v>
      </c>
      <c r="G3845" s="46" t="s">
        <v>208</v>
      </c>
      <c r="H3845" s="46">
        <v>1</v>
      </c>
      <c r="I3845" s="51">
        <v>189.75</v>
      </c>
      <c r="J3845" s="281">
        <f>++Tabla4[[#This Row],[Precio Bruto]]*1.16</f>
        <v>220.10999999999999</v>
      </c>
      <c r="K3845" s="281">
        <f>+Tabla4[[#This Row],[Precio Unitario Neto]]*Tabla4[[#Headers],[20.85%]]</f>
        <v>45.892934999999994</v>
      </c>
      <c r="L3845" s="282">
        <f>++Tabla4[[#This Row],[Precio Unitario Neto]]-Tabla4[[#This Row],[20.85%]]</f>
        <v>174.21706499999999</v>
      </c>
      <c r="M3845" s="282" t="e">
        <f>(INDEX(Tabla6[#All],MATCH(Tabla4[[#This Row],[Producto]],Tabla6[[#All],[PRODUCTO]],0),MATCH(Tabla4[[#This Row],[Mes]],Tabla6[#Headers],0)))*(1+Catalogos!$L$2)</f>
        <v>#N/A</v>
      </c>
      <c r="N3845" s="283" t="e">
        <f>+(Tabla4[[#This Row],[Precio Descontado]]-Tabla4[[#This Row],[Precio Base]])*Tabla4[[#This Row],[Cantidad]]</f>
        <v>#N/A</v>
      </c>
      <c r="O3845" s="284" t="e">
        <f>++Tabla4[[#This Row],[Utilidad Total]]/Tabla4[[#This Row],[Total]]</f>
        <v>#N/A</v>
      </c>
      <c r="P3845" s="282">
        <f>++Tabla4[[#This Row],[Precio Descontado]]*Tabla4[[#This Row],[Cantidad]]</f>
        <v>174.21706499999999</v>
      </c>
      <c r="Q3845" s="282" t="e">
        <f>(INDEX(Tabla6[#All],MATCH(Tabla4[[#This Row],[Producto]],Tabla6[[#All],[PRODUCTO]],0),MATCH(Tabla4[[#This Row],[Mes]],Tabla6[#Headers],0)))</f>
        <v>#N/A</v>
      </c>
      <c r="R3845" s="282" t="e">
        <f>++Tabla4[[#This Row],[Precio Unitario Neto]]-Tabla4[[#This Row],[20.85%]]-Tabla4[[#This Row],[Costo]]</f>
        <v>#N/A</v>
      </c>
      <c r="S3845" s="282" t="e">
        <f>++Tabla4[[#This Row],[U. Bruta Uni]]*Tabla4[[#This Row],[Cantidad]]</f>
        <v>#N/A</v>
      </c>
      <c r="T3845" s="369" t="str">
        <f>VLOOKUP(Tabla4[[#This Row],[Producto]],Tabla6[#All],14,FALSE)</f>
        <v>Termico Solar</v>
      </c>
      <c r="U3845" s="284" t="e">
        <f>(IF(Tabla4[[#This Row],[Familia]]="termico solar",Tabla4[[#This Row],[Utilidad Total]]*6%,Tabla4[[#This Row],[Utilidad Total]]*11.5%))/Tabla4[[#This Row],[Total]]</f>
        <v>#N/A</v>
      </c>
      <c r="V3845" s="282" t="e">
        <f>+Tabla4[[#This Row],[Comisión Calculada]]*Tabla4[[#This Row],[Total]]</f>
        <v>#N/A</v>
      </c>
    </row>
    <row r="3846" spans="1:22" hidden="1" x14ac:dyDescent="0.25">
      <c r="A3846" s="100">
        <v>45838</v>
      </c>
      <c r="B3846" t="str">
        <f t="shared" si="179"/>
        <v>June</v>
      </c>
      <c r="C3846" s="46" t="s">
        <v>280</v>
      </c>
      <c r="F3846" s="366" t="s">
        <v>2181</v>
      </c>
      <c r="G3846" s="46" t="s">
        <v>83</v>
      </c>
      <c r="H3846" s="46">
        <v>3</v>
      </c>
      <c r="I3846" s="51">
        <v>8858.76</v>
      </c>
      <c r="J3846" s="281">
        <f>++Tabla4[[#This Row],[Precio Bruto]]*1.16</f>
        <v>10276.161599999999</v>
      </c>
      <c r="K3846" s="281">
        <f>+Tabla4[[#This Row],[Precio Unitario Neto]]*Tabla4[[#Headers],[20.85%]]</f>
        <v>2142.5796935999997</v>
      </c>
      <c r="L3846" s="282">
        <f>++Tabla4[[#This Row],[Precio Unitario Neto]]-Tabla4[[#This Row],[20.85%]]</f>
        <v>8133.5819063999998</v>
      </c>
      <c r="M3846" s="282" t="e">
        <f>(INDEX(Tabla6[#All],MATCH(Tabla4[[#This Row],[Producto]],Tabla6[[#All],[PRODUCTO]],0),MATCH(Tabla4[[#This Row],[Mes]],Tabla6[#Headers],0)))*(1+Catalogos!$L$2)</f>
        <v>#N/A</v>
      </c>
      <c r="N3846" s="283" t="e">
        <f>+(Tabla4[[#This Row],[Precio Descontado]]-Tabla4[[#This Row],[Precio Base]])*Tabla4[[#This Row],[Cantidad]]</f>
        <v>#N/A</v>
      </c>
      <c r="O3846" s="284" t="e">
        <f>++Tabla4[[#This Row],[Utilidad Total]]/Tabla4[[#This Row],[Total]]</f>
        <v>#N/A</v>
      </c>
      <c r="P3846" s="282">
        <f>++Tabla4[[#This Row],[Precio Descontado]]*Tabla4[[#This Row],[Cantidad]]</f>
        <v>24400.7457192</v>
      </c>
      <c r="Q3846" s="282" t="e">
        <f>(INDEX(Tabla6[#All],MATCH(Tabla4[[#This Row],[Producto]],Tabla6[[#All],[PRODUCTO]],0),MATCH(Tabla4[[#This Row],[Mes]],Tabla6[#Headers],0)))</f>
        <v>#N/A</v>
      </c>
      <c r="R3846" s="282" t="e">
        <f>++Tabla4[[#This Row],[Precio Unitario Neto]]-Tabla4[[#This Row],[20.85%]]-Tabla4[[#This Row],[Costo]]</f>
        <v>#N/A</v>
      </c>
      <c r="S3846" s="282" t="e">
        <f>++Tabla4[[#This Row],[U. Bruta Uni]]*Tabla4[[#This Row],[Cantidad]]</f>
        <v>#N/A</v>
      </c>
      <c r="T3846" s="369" t="str">
        <f>VLOOKUP(Tabla4[[#This Row],[Producto]],Tabla6[#All],14,FALSE)</f>
        <v>Termico Solar</v>
      </c>
      <c r="U3846" s="284" t="e">
        <f>(IF(Tabla4[[#This Row],[Familia]]="termico solar",Tabla4[[#This Row],[Utilidad Total]]*6%,Tabla4[[#This Row],[Utilidad Total]]*11.5%))/Tabla4[[#This Row],[Total]]</f>
        <v>#N/A</v>
      </c>
      <c r="V3846" s="282" t="e">
        <f>+Tabla4[[#This Row],[Comisión Calculada]]*Tabla4[[#This Row],[Total]]</f>
        <v>#N/A</v>
      </c>
    </row>
    <row r="3847" spans="1:22" hidden="1" x14ac:dyDescent="0.25">
      <c r="A3847" s="100">
        <v>45838</v>
      </c>
      <c r="B3847" t="str">
        <f t="shared" si="179"/>
        <v>June</v>
      </c>
      <c r="C3847" s="46" t="s">
        <v>280</v>
      </c>
      <c r="F3847" s="366" t="s">
        <v>2181</v>
      </c>
      <c r="G3847" s="46" t="s">
        <v>566</v>
      </c>
      <c r="H3847" s="46">
        <v>1</v>
      </c>
      <c r="I3847" s="51">
        <v>2109.4499999999998</v>
      </c>
      <c r="J3847" s="281">
        <f>++Tabla4[[#This Row],[Precio Bruto]]*1.16</f>
        <v>2446.9619999999995</v>
      </c>
      <c r="K3847" s="281">
        <f>+Tabla4[[#This Row],[Precio Unitario Neto]]*Tabla4[[#Headers],[20.85%]]</f>
        <v>510.19157699999988</v>
      </c>
      <c r="L3847" s="282">
        <f>++Tabla4[[#This Row],[Precio Unitario Neto]]-Tabla4[[#This Row],[20.85%]]</f>
        <v>1936.7704229999997</v>
      </c>
      <c r="M3847" s="282" t="e">
        <f>(INDEX(Tabla6[#All],MATCH(Tabla4[[#This Row],[Producto]],Tabla6[[#All],[PRODUCTO]],0),MATCH(Tabla4[[#This Row],[Mes]],Tabla6[#Headers],0)))*(1+Catalogos!$L$2)</f>
        <v>#N/A</v>
      </c>
      <c r="N3847" s="283" t="e">
        <f>+(Tabla4[[#This Row],[Precio Descontado]]-Tabla4[[#This Row],[Precio Base]])*Tabla4[[#This Row],[Cantidad]]</f>
        <v>#N/A</v>
      </c>
      <c r="O3847" s="284" t="e">
        <f>++Tabla4[[#This Row],[Utilidad Total]]/Tabla4[[#This Row],[Total]]</f>
        <v>#N/A</v>
      </c>
      <c r="P3847" s="282">
        <f>++Tabla4[[#This Row],[Precio Descontado]]*Tabla4[[#This Row],[Cantidad]]</f>
        <v>1936.7704229999997</v>
      </c>
      <c r="Q3847" s="282" t="e">
        <f>(INDEX(Tabla6[#All],MATCH(Tabla4[[#This Row],[Producto]],Tabla6[[#All],[PRODUCTO]],0),MATCH(Tabla4[[#This Row],[Mes]],Tabla6[#Headers],0)))</f>
        <v>#N/A</v>
      </c>
      <c r="R3847" s="282" t="e">
        <f>++Tabla4[[#This Row],[Precio Unitario Neto]]-Tabla4[[#This Row],[20.85%]]-Tabla4[[#This Row],[Costo]]</f>
        <v>#N/A</v>
      </c>
      <c r="S3847" s="282" t="e">
        <f>++Tabla4[[#This Row],[U. Bruta Uni]]*Tabla4[[#This Row],[Cantidad]]</f>
        <v>#N/A</v>
      </c>
      <c r="T3847" s="369" t="str">
        <f>VLOOKUP(Tabla4[[#This Row],[Producto]],Tabla6[#All],14,FALSE)</f>
        <v>Termico Solar</v>
      </c>
      <c r="U3847" s="284" t="e">
        <f>(IF(Tabla4[[#This Row],[Familia]]="termico solar",Tabla4[[#This Row],[Utilidad Total]]*6%,Tabla4[[#This Row],[Utilidad Total]]*11.5%))/Tabla4[[#This Row],[Total]]</f>
        <v>#N/A</v>
      </c>
      <c r="V3847" s="282" t="e">
        <f>+Tabla4[[#This Row],[Comisión Calculada]]*Tabla4[[#This Row],[Total]]</f>
        <v>#N/A</v>
      </c>
    </row>
    <row r="3848" spans="1:22" hidden="1" x14ac:dyDescent="0.25">
      <c r="A3848" s="100">
        <v>45838</v>
      </c>
      <c r="B3848" t="str">
        <f t="shared" si="179"/>
        <v>June</v>
      </c>
      <c r="C3848" s="46" t="s">
        <v>280</v>
      </c>
      <c r="F3848" s="366" t="s">
        <v>2182</v>
      </c>
      <c r="G3848" s="46" t="s">
        <v>83</v>
      </c>
      <c r="H3848" s="46">
        <v>2</v>
      </c>
      <c r="I3848" s="51">
        <v>8858.76</v>
      </c>
      <c r="J3848" s="281">
        <f>++Tabla4[[#This Row],[Precio Bruto]]*1.16</f>
        <v>10276.161599999999</v>
      </c>
      <c r="K3848" s="281">
        <f>+Tabla4[[#This Row],[Precio Unitario Neto]]*Tabla4[[#Headers],[20.85%]]</f>
        <v>2142.5796935999997</v>
      </c>
      <c r="L3848" s="282">
        <f>++Tabla4[[#This Row],[Precio Unitario Neto]]-Tabla4[[#This Row],[20.85%]]</f>
        <v>8133.5819063999998</v>
      </c>
      <c r="M3848" s="282" t="e">
        <f>(INDEX(Tabla6[#All],MATCH(Tabla4[[#This Row],[Producto]],Tabla6[[#All],[PRODUCTO]],0),MATCH(Tabla4[[#This Row],[Mes]],Tabla6[#Headers],0)))*(1+Catalogos!$L$2)</f>
        <v>#N/A</v>
      </c>
      <c r="N3848" s="283" t="e">
        <f>+(Tabla4[[#This Row],[Precio Descontado]]-Tabla4[[#This Row],[Precio Base]])*Tabla4[[#This Row],[Cantidad]]</f>
        <v>#N/A</v>
      </c>
      <c r="O3848" s="284" t="e">
        <f>++Tabla4[[#This Row],[Utilidad Total]]/Tabla4[[#This Row],[Total]]</f>
        <v>#N/A</v>
      </c>
      <c r="P3848" s="282">
        <f>++Tabla4[[#This Row],[Precio Descontado]]*Tabla4[[#This Row],[Cantidad]]</f>
        <v>16267.1638128</v>
      </c>
      <c r="Q3848" s="282" t="e">
        <f>(INDEX(Tabla6[#All],MATCH(Tabla4[[#This Row],[Producto]],Tabla6[[#All],[PRODUCTO]],0),MATCH(Tabla4[[#This Row],[Mes]],Tabla6[#Headers],0)))</f>
        <v>#N/A</v>
      </c>
      <c r="R3848" s="282" t="e">
        <f>++Tabla4[[#This Row],[Precio Unitario Neto]]-Tabla4[[#This Row],[20.85%]]-Tabla4[[#This Row],[Costo]]</f>
        <v>#N/A</v>
      </c>
      <c r="S3848" s="282" t="e">
        <f>++Tabla4[[#This Row],[U. Bruta Uni]]*Tabla4[[#This Row],[Cantidad]]</f>
        <v>#N/A</v>
      </c>
      <c r="T3848" s="369" t="str">
        <f>VLOOKUP(Tabla4[[#This Row],[Producto]],Tabla6[#All],14,FALSE)</f>
        <v>Termico Solar</v>
      </c>
      <c r="U3848" s="284" t="e">
        <f>(IF(Tabla4[[#This Row],[Familia]]="termico solar",Tabla4[[#This Row],[Utilidad Total]]*6%,Tabla4[[#This Row],[Utilidad Total]]*11.5%))/Tabla4[[#This Row],[Total]]</f>
        <v>#N/A</v>
      </c>
      <c r="V3848" s="282" t="e">
        <f>+Tabla4[[#This Row],[Comisión Calculada]]*Tabla4[[#This Row],[Total]]</f>
        <v>#N/A</v>
      </c>
    </row>
    <row r="3849" spans="1:22" hidden="1" x14ac:dyDescent="0.25">
      <c r="A3849" s="100">
        <v>45838</v>
      </c>
      <c r="B3849" t="str">
        <f t="shared" si="179"/>
        <v>June</v>
      </c>
      <c r="C3849" s="46" t="s">
        <v>280</v>
      </c>
      <c r="F3849" s="366" t="s">
        <v>2183</v>
      </c>
      <c r="G3849" s="46" t="s">
        <v>83</v>
      </c>
      <c r="H3849" s="46">
        <v>1</v>
      </c>
      <c r="I3849" s="51">
        <v>8858.76</v>
      </c>
      <c r="J3849" s="281">
        <f>++Tabla4[[#This Row],[Precio Bruto]]*1.16</f>
        <v>10276.161599999999</v>
      </c>
      <c r="K3849" s="281">
        <f>+Tabla4[[#This Row],[Precio Unitario Neto]]*Tabla4[[#Headers],[20.85%]]</f>
        <v>2142.5796935999997</v>
      </c>
      <c r="L3849" s="282">
        <f>++Tabla4[[#This Row],[Precio Unitario Neto]]-Tabla4[[#This Row],[20.85%]]</f>
        <v>8133.5819063999998</v>
      </c>
      <c r="M3849" s="282" t="e">
        <f>(INDEX(Tabla6[#All],MATCH(Tabla4[[#This Row],[Producto]],Tabla6[[#All],[PRODUCTO]],0),MATCH(Tabla4[[#This Row],[Mes]],Tabla6[#Headers],0)))*(1+Catalogos!$L$2)</f>
        <v>#N/A</v>
      </c>
      <c r="N3849" s="283" t="e">
        <f>+(Tabla4[[#This Row],[Precio Descontado]]-Tabla4[[#This Row],[Precio Base]])*Tabla4[[#This Row],[Cantidad]]</f>
        <v>#N/A</v>
      </c>
      <c r="O3849" s="284" t="e">
        <f>++Tabla4[[#This Row],[Utilidad Total]]/Tabla4[[#This Row],[Total]]</f>
        <v>#N/A</v>
      </c>
      <c r="P3849" s="282">
        <f>++Tabla4[[#This Row],[Precio Descontado]]*Tabla4[[#This Row],[Cantidad]]</f>
        <v>8133.5819063999998</v>
      </c>
      <c r="Q3849" s="282" t="e">
        <f>(INDEX(Tabla6[#All],MATCH(Tabla4[[#This Row],[Producto]],Tabla6[[#All],[PRODUCTO]],0),MATCH(Tabla4[[#This Row],[Mes]],Tabla6[#Headers],0)))</f>
        <v>#N/A</v>
      </c>
      <c r="R3849" s="282" t="e">
        <f>++Tabla4[[#This Row],[Precio Unitario Neto]]-Tabla4[[#This Row],[20.85%]]-Tabla4[[#This Row],[Costo]]</f>
        <v>#N/A</v>
      </c>
      <c r="S3849" s="282" t="e">
        <f>++Tabla4[[#This Row],[U. Bruta Uni]]*Tabla4[[#This Row],[Cantidad]]</f>
        <v>#N/A</v>
      </c>
      <c r="T3849" s="369" t="str">
        <f>VLOOKUP(Tabla4[[#This Row],[Producto]],Tabla6[#All],14,FALSE)</f>
        <v>Termico Solar</v>
      </c>
      <c r="U3849" s="284" t="e">
        <f>(IF(Tabla4[[#This Row],[Familia]]="termico solar",Tabla4[[#This Row],[Utilidad Total]]*6%,Tabla4[[#This Row],[Utilidad Total]]*11.5%))/Tabla4[[#This Row],[Total]]</f>
        <v>#N/A</v>
      </c>
      <c r="V3849" s="282" t="e">
        <f>+Tabla4[[#This Row],[Comisión Calculada]]*Tabla4[[#This Row],[Total]]</f>
        <v>#N/A</v>
      </c>
    </row>
    <row r="3850" spans="1:22" hidden="1" x14ac:dyDescent="0.25">
      <c r="A3850" s="100">
        <v>45838</v>
      </c>
      <c r="B3850" t="str">
        <f t="shared" si="179"/>
        <v>June</v>
      </c>
      <c r="C3850" s="46" t="s">
        <v>280</v>
      </c>
      <c r="F3850" s="366" t="s">
        <v>2183</v>
      </c>
      <c r="G3850" s="46" t="s">
        <v>17</v>
      </c>
      <c r="H3850" s="46">
        <v>2</v>
      </c>
      <c r="I3850" s="51">
        <v>4622.28</v>
      </c>
      <c r="J3850" s="281">
        <f>++Tabla4[[#This Row],[Precio Bruto]]*1.16</f>
        <v>5361.8447999999989</v>
      </c>
      <c r="K3850" s="281">
        <f>+Tabla4[[#This Row],[Precio Unitario Neto]]*Tabla4[[#Headers],[20.85%]]</f>
        <v>1117.9446407999997</v>
      </c>
      <c r="L3850" s="282">
        <f>++Tabla4[[#This Row],[Precio Unitario Neto]]-Tabla4[[#This Row],[20.85%]]</f>
        <v>4243.9001591999995</v>
      </c>
      <c r="M3850" s="282" t="e">
        <f>(INDEX(Tabla6[#All],MATCH(Tabla4[[#This Row],[Producto]],Tabla6[[#All],[PRODUCTO]],0),MATCH(Tabla4[[#This Row],[Mes]],Tabla6[#Headers],0)))*(1+Catalogos!$L$2)</f>
        <v>#N/A</v>
      </c>
      <c r="N3850" s="283" t="e">
        <f>+(Tabla4[[#This Row],[Precio Descontado]]-Tabla4[[#This Row],[Precio Base]])*Tabla4[[#This Row],[Cantidad]]</f>
        <v>#N/A</v>
      </c>
      <c r="O3850" s="284" t="e">
        <f>++Tabla4[[#This Row],[Utilidad Total]]/Tabla4[[#This Row],[Total]]</f>
        <v>#N/A</v>
      </c>
      <c r="P3850" s="282">
        <f>++Tabla4[[#This Row],[Precio Descontado]]*Tabla4[[#This Row],[Cantidad]]</f>
        <v>8487.800318399999</v>
      </c>
      <c r="Q3850" s="282" t="e">
        <f>(INDEX(Tabla6[#All],MATCH(Tabla4[[#This Row],[Producto]],Tabla6[[#All],[PRODUCTO]],0),MATCH(Tabla4[[#This Row],[Mes]],Tabla6[#Headers],0)))</f>
        <v>#N/A</v>
      </c>
      <c r="R3850" s="282" t="e">
        <f>++Tabla4[[#This Row],[Precio Unitario Neto]]-Tabla4[[#This Row],[20.85%]]-Tabla4[[#This Row],[Costo]]</f>
        <v>#N/A</v>
      </c>
      <c r="S3850" s="282" t="e">
        <f>++Tabla4[[#This Row],[U. Bruta Uni]]*Tabla4[[#This Row],[Cantidad]]</f>
        <v>#N/A</v>
      </c>
      <c r="T3850" s="369" t="str">
        <f>VLOOKUP(Tabla4[[#This Row],[Producto]],Tabla6[#All],14,FALSE)</f>
        <v>Termico Solar</v>
      </c>
      <c r="U3850" s="284" t="e">
        <f>(IF(Tabla4[[#This Row],[Familia]]="termico solar",Tabla4[[#This Row],[Utilidad Total]]*6%,Tabla4[[#This Row],[Utilidad Total]]*11.5%))/Tabla4[[#This Row],[Total]]</f>
        <v>#N/A</v>
      </c>
      <c r="V3850" s="282" t="e">
        <f>+Tabla4[[#This Row],[Comisión Calculada]]*Tabla4[[#This Row],[Total]]</f>
        <v>#N/A</v>
      </c>
    </row>
    <row r="3851" spans="1:22" hidden="1" x14ac:dyDescent="0.25">
      <c r="A3851" s="100">
        <v>45838</v>
      </c>
      <c r="B3851" t="str">
        <f t="shared" si="179"/>
        <v>June</v>
      </c>
      <c r="C3851" s="46" t="s">
        <v>280</v>
      </c>
      <c r="F3851" s="366" t="s">
        <v>2183</v>
      </c>
      <c r="G3851" s="46" t="s">
        <v>566</v>
      </c>
      <c r="H3851" s="46">
        <v>1</v>
      </c>
      <c r="I3851" s="51">
        <v>2109.4499999999998</v>
      </c>
      <c r="J3851" s="281">
        <f>++Tabla4[[#This Row],[Precio Bruto]]*1.16</f>
        <v>2446.9619999999995</v>
      </c>
      <c r="K3851" s="281">
        <f>+Tabla4[[#This Row],[Precio Unitario Neto]]*Tabla4[[#Headers],[20.85%]]</f>
        <v>510.19157699999988</v>
      </c>
      <c r="L3851" s="282">
        <f>++Tabla4[[#This Row],[Precio Unitario Neto]]-Tabla4[[#This Row],[20.85%]]</f>
        <v>1936.7704229999997</v>
      </c>
      <c r="M3851" s="282" t="e">
        <f>(INDEX(Tabla6[#All],MATCH(Tabla4[[#This Row],[Producto]],Tabla6[[#All],[PRODUCTO]],0),MATCH(Tabla4[[#This Row],[Mes]],Tabla6[#Headers],0)))*(1+Catalogos!$L$2)</f>
        <v>#N/A</v>
      </c>
      <c r="N3851" s="283" t="e">
        <f>+(Tabla4[[#This Row],[Precio Descontado]]-Tabla4[[#This Row],[Precio Base]])*Tabla4[[#This Row],[Cantidad]]</f>
        <v>#N/A</v>
      </c>
      <c r="O3851" s="284" t="e">
        <f>++Tabla4[[#This Row],[Utilidad Total]]/Tabla4[[#This Row],[Total]]</f>
        <v>#N/A</v>
      </c>
      <c r="P3851" s="282">
        <f>++Tabla4[[#This Row],[Precio Descontado]]*Tabla4[[#This Row],[Cantidad]]</f>
        <v>1936.7704229999997</v>
      </c>
      <c r="Q3851" s="282" t="e">
        <f>(INDEX(Tabla6[#All],MATCH(Tabla4[[#This Row],[Producto]],Tabla6[[#All],[PRODUCTO]],0),MATCH(Tabla4[[#This Row],[Mes]],Tabla6[#Headers],0)))</f>
        <v>#N/A</v>
      </c>
      <c r="R3851" s="282" t="e">
        <f>++Tabla4[[#This Row],[Precio Unitario Neto]]-Tabla4[[#This Row],[20.85%]]-Tabla4[[#This Row],[Costo]]</f>
        <v>#N/A</v>
      </c>
      <c r="S3851" s="282" t="e">
        <f>++Tabla4[[#This Row],[U. Bruta Uni]]*Tabla4[[#This Row],[Cantidad]]</f>
        <v>#N/A</v>
      </c>
      <c r="T3851" s="369" t="str">
        <f>VLOOKUP(Tabla4[[#This Row],[Producto]],Tabla6[#All],14,FALSE)</f>
        <v>Termico Solar</v>
      </c>
      <c r="U3851" s="284" t="e">
        <f>(IF(Tabla4[[#This Row],[Familia]]="termico solar",Tabla4[[#This Row],[Utilidad Total]]*6%,Tabla4[[#This Row],[Utilidad Total]]*11.5%))/Tabla4[[#This Row],[Total]]</f>
        <v>#N/A</v>
      </c>
      <c r="V3851" s="282" t="e">
        <f>+Tabla4[[#This Row],[Comisión Calculada]]*Tabla4[[#This Row],[Total]]</f>
        <v>#N/A</v>
      </c>
    </row>
    <row r="3852" spans="1:22" hidden="1" x14ac:dyDescent="0.25">
      <c r="A3852" s="100">
        <v>45838</v>
      </c>
      <c r="B3852" t="str">
        <f t="shared" si="179"/>
        <v>June</v>
      </c>
      <c r="C3852" s="46" t="s">
        <v>280</v>
      </c>
      <c r="F3852" s="366" t="s">
        <v>2183</v>
      </c>
      <c r="G3852" s="46" t="s">
        <v>16</v>
      </c>
      <c r="H3852" s="46">
        <v>1</v>
      </c>
      <c r="I3852" s="51">
        <v>4103.8500000000004</v>
      </c>
      <c r="J3852" s="281">
        <f>++Tabla4[[#This Row],[Precio Bruto]]*1.16</f>
        <v>4760.4660000000003</v>
      </c>
      <c r="K3852" s="281">
        <f>+Tabla4[[#This Row],[Precio Unitario Neto]]*Tabla4[[#Headers],[20.85%]]</f>
        <v>992.55716100000006</v>
      </c>
      <c r="L3852" s="282">
        <f>++Tabla4[[#This Row],[Precio Unitario Neto]]-Tabla4[[#This Row],[20.85%]]</f>
        <v>3767.9088390000002</v>
      </c>
      <c r="M3852" s="282" t="e">
        <f>(INDEX(Tabla6[#All],MATCH(Tabla4[[#This Row],[Producto]],Tabla6[[#All],[PRODUCTO]],0),MATCH(Tabla4[[#This Row],[Mes]],Tabla6[#Headers],0)))*(1+Catalogos!$L$2)</f>
        <v>#N/A</v>
      </c>
      <c r="N3852" s="283" t="e">
        <f>+(Tabla4[[#This Row],[Precio Descontado]]-Tabla4[[#This Row],[Precio Base]])*Tabla4[[#This Row],[Cantidad]]</f>
        <v>#N/A</v>
      </c>
      <c r="O3852" s="284" t="e">
        <f>++Tabla4[[#This Row],[Utilidad Total]]/Tabla4[[#This Row],[Total]]</f>
        <v>#N/A</v>
      </c>
      <c r="P3852" s="282">
        <f>++Tabla4[[#This Row],[Precio Descontado]]*Tabla4[[#This Row],[Cantidad]]</f>
        <v>3767.9088390000002</v>
      </c>
      <c r="Q3852" s="282" t="e">
        <f>(INDEX(Tabla6[#All],MATCH(Tabla4[[#This Row],[Producto]],Tabla6[[#All],[PRODUCTO]],0),MATCH(Tabla4[[#This Row],[Mes]],Tabla6[#Headers],0)))</f>
        <v>#N/A</v>
      </c>
      <c r="R3852" s="282" t="e">
        <f>++Tabla4[[#This Row],[Precio Unitario Neto]]-Tabla4[[#This Row],[20.85%]]-Tabla4[[#This Row],[Costo]]</f>
        <v>#N/A</v>
      </c>
      <c r="S3852" s="282" t="e">
        <f>++Tabla4[[#This Row],[U. Bruta Uni]]*Tabla4[[#This Row],[Cantidad]]</f>
        <v>#N/A</v>
      </c>
      <c r="T3852" s="369" t="str">
        <f>VLOOKUP(Tabla4[[#This Row],[Producto]],Tabla6[#All],14,FALSE)</f>
        <v>Termico Solar</v>
      </c>
      <c r="U3852" s="284" t="e">
        <f>(IF(Tabla4[[#This Row],[Familia]]="termico solar",Tabla4[[#This Row],[Utilidad Total]]*6%,Tabla4[[#This Row],[Utilidad Total]]*11.5%))/Tabla4[[#This Row],[Total]]</f>
        <v>#N/A</v>
      </c>
      <c r="V3852" s="282" t="e">
        <f>+Tabla4[[#This Row],[Comisión Calculada]]*Tabla4[[#This Row],[Total]]</f>
        <v>#N/A</v>
      </c>
    </row>
    <row r="3853" spans="1:22" hidden="1" x14ac:dyDescent="0.25">
      <c r="A3853" s="100">
        <v>45838</v>
      </c>
      <c r="B3853" t="str">
        <f t="shared" si="179"/>
        <v>June</v>
      </c>
      <c r="C3853" s="46" t="s">
        <v>280</v>
      </c>
      <c r="F3853" s="366" t="s">
        <v>2184</v>
      </c>
      <c r="G3853" s="46" t="s">
        <v>83</v>
      </c>
      <c r="H3853" s="46">
        <v>5</v>
      </c>
      <c r="I3853" s="51">
        <v>8858.76</v>
      </c>
      <c r="J3853" s="281">
        <f>++Tabla4[[#This Row],[Precio Bruto]]*1.16</f>
        <v>10276.161599999999</v>
      </c>
      <c r="K3853" s="281">
        <f>+Tabla4[[#This Row],[Precio Unitario Neto]]*Tabla4[[#Headers],[20.85%]]</f>
        <v>2142.5796935999997</v>
      </c>
      <c r="L3853" s="282">
        <f>++Tabla4[[#This Row],[Precio Unitario Neto]]-Tabla4[[#This Row],[20.85%]]</f>
        <v>8133.5819063999998</v>
      </c>
      <c r="M3853" s="282" t="e">
        <f>(INDEX(Tabla6[#All],MATCH(Tabla4[[#This Row],[Producto]],Tabla6[[#All],[PRODUCTO]],0),MATCH(Tabla4[[#This Row],[Mes]],Tabla6[#Headers],0)))*(1+Catalogos!$L$2)</f>
        <v>#N/A</v>
      </c>
      <c r="N3853" s="283" t="e">
        <f>+(Tabla4[[#This Row],[Precio Descontado]]-Tabla4[[#This Row],[Precio Base]])*Tabla4[[#This Row],[Cantidad]]</f>
        <v>#N/A</v>
      </c>
      <c r="O3853" s="284" t="e">
        <f>++Tabla4[[#This Row],[Utilidad Total]]/Tabla4[[#This Row],[Total]]</f>
        <v>#N/A</v>
      </c>
      <c r="P3853" s="282">
        <f>++Tabla4[[#This Row],[Precio Descontado]]*Tabla4[[#This Row],[Cantidad]]</f>
        <v>40667.909531999998</v>
      </c>
      <c r="Q3853" s="282" t="e">
        <f>(INDEX(Tabla6[#All],MATCH(Tabla4[[#This Row],[Producto]],Tabla6[[#All],[PRODUCTO]],0),MATCH(Tabla4[[#This Row],[Mes]],Tabla6[#Headers],0)))</f>
        <v>#N/A</v>
      </c>
      <c r="R3853" s="282" t="e">
        <f>++Tabla4[[#This Row],[Precio Unitario Neto]]-Tabla4[[#This Row],[20.85%]]-Tabla4[[#This Row],[Costo]]</f>
        <v>#N/A</v>
      </c>
      <c r="S3853" s="282" t="e">
        <f>++Tabla4[[#This Row],[U. Bruta Uni]]*Tabla4[[#This Row],[Cantidad]]</f>
        <v>#N/A</v>
      </c>
      <c r="T3853" s="369" t="str">
        <f>VLOOKUP(Tabla4[[#This Row],[Producto]],Tabla6[#All],14,FALSE)</f>
        <v>Termico Solar</v>
      </c>
      <c r="U3853" s="284" t="e">
        <f>(IF(Tabla4[[#This Row],[Familia]]="termico solar",Tabla4[[#This Row],[Utilidad Total]]*6%,Tabla4[[#This Row],[Utilidad Total]]*11.5%))/Tabla4[[#This Row],[Total]]</f>
        <v>#N/A</v>
      </c>
      <c r="V3853" s="282" t="e">
        <f>+Tabla4[[#This Row],[Comisión Calculada]]*Tabla4[[#This Row],[Total]]</f>
        <v>#N/A</v>
      </c>
    </row>
    <row r="3854" spans="1:22" hidden="1" x14ac:dyDescent="0.25">
      <c r="A3854" s="100">
        <v>45838</v>
      </c>
      <c r="B3854" t="str">
        <f t="shared" si="179"/>
        <v>June</v>
      </c>
      <c r="C3854" s="46" t="s">
        <v>280</v>
      </c>
      <c r="F3854" s="366" t="s">
        <v>2184</v>
      </c>
      <c r="G3854" s="46" t="s">
        <v>16</v>
      </c>
      <c r="H3854" s="46">
        <v>1</v>
      </c>
      <c r="I3854" s="51">
        <v>4103.8500000000004</v>
      </c>
      <c r="J3854" s="281">
        <f>++Tabla4[[#This Row],[Precio Bruto]]*1.16</f>
        <v>4760.4660000000003</v>
      </c>
      <c r="K3854" s="281">
        <f>+Tabla4[[#This Row],[Precio Unitario Neto]]*Tabla4[[#Headers],[20.85%]]</f>
        <v>992.55716100000006</v>
      </c>
      <c r="L3854" s="282">
        <f>++Tabla4[[#This Row],[Precio Unitario Neto]]-Tabla4[[#This Row],[20.85%]]</f>
        <v>3767.9088390000002</v>
      </c>
      <c r="M3854" s="282" t="e">
        <f>(INDEX(Tabla6[#All],MATCH(Tabla4[[#This Row],[Producto]],Tabla6[[#All],[PRODUCTO]],0),MATCH(Tabla4[[#This Row],[Mes]],Tabla6[#Headers],0)))*(1+Catalogos!$L$2)</f>
        <v>#N/A</v>
      </c>
      <c r="N3854" s="283" t="e">
        <f>+(Tabla4[[#This Row],[Precio Descontado]]-Tabla4[[#This Row],[Precio Base]])*Tabla4[[#This Row],[Cantidad]]</f>
        <v>#N/A</v>
      </c>
      <c r="O3854" s="284" t="e">
        <f>++Tabla4[[#This Row],[Utilidad Total]]/Tabla4[[#This Row],[Total]]</f>
        <v>#N/A</v>
      </c>
      <c r="P3854" s="282">
        <f>++Tabla4[[#This Row],[Precio Descontado]]*Tabla4[[#This Row],[Cantidad]]</f>
        <v>3767.9088390000002</v>
      </c>
      <c r="Q3854" s="282" t="e">
        <f>(INDEX(Tabla6[#All],MATCH(Tabla4[[#This Row],[Producto]],Tabla6[[#All],[PRODUCTO]],0),MATCH(Tabla4[[#This Row],[Mes]],Tabla6[#Headers],0)))</f>
        <v>#N/A</v>
      </c>
      <c r="R3854" s="282" t="e">
        <f>++Tabla4[[#This Row],[Precio Unitario Neto]]-Tabla4[[#This Row],[20.85%]]-Tabla4[[#This Row],[Costo]]</f>
        <v>#N/A</v>
      </c>
      <c r="S3854" s="282" t="e">
        <f>++Tabla4[[#This Row],[U. Bruta Uni]]*Tabla4[[#This Row],[Cantidad]]</f>
        <v>#N/A</v>
      </c>
      <c r="T3854" s="369" t="str">
        <f>VLOOKUP(Tabla4[[#This Row],[Producto]],Tabla6[#All],14,FALSE)</f>
        <v>Termico Solar</v>
      </c>
      <c r="U3854" s="284" t="e">
        <f>(IF(Tabla4[[#This Row],[Familia]]="termico solar",Tabla4[[#This Row],[Utilidad Total]]*6%,Tabla4[[#This Row],[Utilidad Total]]*11.5%))/Tabla4[[#This Row],[Total]]</f>
        <v>#N/A</v>
      </c>
      <c r="V3854" s="282" t="e">
        <f>+Tabla4[[#This Row],[Comisión Calculada]]*Tabla4[[#This Row],[Total]]</f>
        <v>#N/A</v>
      </c>
    </row>
    <row r="3855" spans="1:22" hidden="1" x14ac:dyDescent="0.25">
      <c r="A3855" s="100">
        <v>45838</v>
      </c>
      <c r="B3855" t="str">
        <f t="shared" si="179"/>
        <v>June</v>
      </c>
      <c r="C3855" s="46" t="s">
        <v>280</v>
      </c>
      <c r="F3855" s="366" t="s">
        <v>2184</v>
      </c>
      <c r="G3855" s="46" t="s">
        <v>209</v>
      </c>
      <c r="H3855" s="46">
        <v>1</v>
      </c>
      <c r="I3855" s="51">
        <v>347.48</v>
      </c>
      <c r="J3855" s="281">
        <f>++Tabla4[[#This Row],[Precio Bruto]]*1.16</f>
        <v>403.07679999999999</v>
      </c>
      <c r="K3855" s="281">
        <f>+Tabla4[[#This Row],[Precio Unitario Neto]]*Tabla4[[#Headers],[20.85%]]</f>
        <v>84.041512799999992</v>
      </c>
      <c r="L3855" s="282">
        <f>++Tabla4[[#This Row],[Precio Unitario Neto]]-Tabla4[[#This Row],[20.85%]]</f>
        <v>319.03528719999997</v>
      </c>
      <c r="M3855" s="282" t="e">
        <f>(INDEX(Tabla6[#All],MATCH(Tabla4[[#This Row],[Producto]],Tabla6[[#All],[PRODUCTO]],0),MATCH(Tabla4[[#This Row],[Mes]],Tabla6[#Headers],0)))*(1+Catalogos!$L$2)</f>
        <v>#N/A</v>
      </c>
      <c r="N3855" s="283" t="e">
        <f>+(Tabla4[[#This Row],[Precio Descontado]]-Tabla4[[#This Row],[Precio Base]])*Tabla4[[#This Row],[Cantidad]]</f>
        <v>#N/A</v>
      </c>
      <c r="O3855" s="284" t="e">
        <f>++Tabla4[[#This Row],[Utilidad Total]]/Tabla4[[#This Row],[Total]]</f>
        <v>#N/A</v>
      </c>
      <c r="P3855" s="282">
        <f>++Tabla4[[#This Row],[Precio Descontado]]*Tabla4[[#This Row],[Cantidad]]</f>
        <v>319.03528719999997</v>
      </c>
      <c r="Q3855" s="282" t="e">
        <f>(INDEX(Tabla6[#All],MATCH(Tabla4[[#This Row],[Producto]],Tabla6[[#All],[PRODUCTO]],0),MATCH(Tabla4[[#This Row],[Mes]],Tabla6[#Headers],0)))</f>
        <v>#N/A</v>
      </c>
      <c r="R3855" s="282" t="e">
        <f>++Tabla4[[#This Row],[Precio Unitario Neto]]-Tabla4[[#This Row],[20.85%]]-Tabla4[[#This Row],[Costo]]</f>
        <v>#N/A</v>
      </c>
      <c r="S3855" s="282" t="e">
        <f>++Tabla4[[#This Row],[U. Bruta Uni]]*Tabla4[[#This Row],[Cantidad]]</f>
        <v>#N/A</v>
      </c>
      <c r="T3855" s="369" t="str">
        <f>VLOOKUP(Tabla4[[#This Row],[Producto]],Tabla6[#All],14,FALSE)</f>
        <v>Termico Solar</v>
      </c>
      <c r="U3855" s="284" t="e">
        <f>(IF(Tabla4[[#This Row],[Familia]]="termico solar",Tabla4[[#This Row],[Utilidad Total]]*6%,Tabla4[[#This Row],[Utilidad Total]]*11.5%))/Tabla4[[#This Row],[Total]]</f>
        <v>#N/A</v>
      </c>
      <c r="V3855" s="282" t="e">
        <f>+Tabla4[[#This Row],[Comisión Calculada]]*Tabla4[[#This Row],[Total]]</f>
        <v>#N/A</v>
      </c>
    </row>
    <row r="3856" spans="1:22" hidden="1" x14ac:dyDescent="0.25">
      <c r="A3856" s="100">
        <v>45838</v>
      </c>
      <c r="B3856" t="str">
        <f t="shared" ref="B3856:B3861" si="180">TEXT(A3856, "mmmm")</f>
        <v>June</v>
      </c>
      <c r="C3856" s="46" t="s">
        <v>280</v>
      </c>
      <c r="F3856" s="366" t="s">
        <v>2185</v>
      </c>
      <c r="G3856" s="46" t="s">
        <v>17</v>
      </c>
      <c r="H3856" s="46">
        <v>5</v>
      </c>
      <c r="I3856" s="51">
        <v>4622.2800000000007</v>
      </c>
      <c r="J3856" s="281">
        <f>++Tabla4[[#This Row],[Precio Bruto]]*1.16</f>
        <v>5361.8448000000008</v>
      </c>
      <c r="K3856" s="281">
        <f>+Tabla4[[#This Row],[Precio Unitario Neto]]*Tabla4[[#Headers],[20.85%]]</f>
        <v>1117.9446408000001</v>
      </c>
      <c r="L3856" s="282">
        <f>++Tabla4[[#This Row],[Precio Unitario Neto]]-Tabla4[[#This Row],[20.85%]]</f>
        <v>4243.9001592000004</v>
      </c>
      <c r="M3856" s="282" t="e">
        <f>(INDEX(Tabla6[#All],MATCH(Tabla4[[#This Row],[Producto]],Tabla6[[#All],[PRODUCTO]],0),MATCH(Tabla4[[#This Row],[Mes]],Tabla6[#Headers],0)))*(1+Catalogos!$L$2)</f>
        <v>#N/A</v>
      </c>
      <c r="N3856" s="283" t="e">
        <f>+(Tabla4[[#This Row],[Precio Descontado]]-Tabla4[[#This Row],[Precio Base]])*Tabla4[[#This Row],[Cantidad]]</f>
        <v>#N/A</v>
      </c>
      <c r="O3856" s="284" t="e">
        <f>++Tabla4[[#This Row],[Utilidad Total]]/Tabla4[[#This Row],[Total]]</f>
        <v>#N/A</v>
      </c>
      <c r="P3856" s="282">
        <f>++Tabla4[[#This Row],[Precio Descontado]]*Tabla4[[#This Row],[Cantidad]]</f>
        <v>21219.500796</v>
      </c>
      <c r="Q3856" s="282" t="e">
        <f>(INDEX(Tabla6[#All],MATCH(Tabla4[[#This Row],[Producto]],Tabla6[[#All],[PRODUCTO]],0),MATCH(Tabla4[[#This Row],[Mes]],Tabla6[#Headers],0)))</f>
        <v>#N/A</v>
      </c>
      <c r="R3856" s="282" t="e">
        <f>++Tabla4[[#This Row],[Precio Unitario Neto]]-Tabla4[[#This Row],[20.85%]]-Tabla4[[#This Row],[Costo]]</f>
        <v>#N/A</v>
      </c>
      <c r="S3856" s="282" t="e">
        <f>++Tabla4[[#This Row],[U. Bruta Uni]]*Tabla4[[#This Row],[Cantidad]]</f>
        <v>#N/A</v>
      </c>
      <c r="T3856" s="369" t="str">
        <f>VLOOKUP(Tabla4[[#This Row],[Producto]],Tabla6[#All],14,FALSE)</f>
        <v>Termico Solar</v>
      </c>
      <c r="U3856" s="284" t="e">
        <f>(IF(Tabla4[[#This Row],[Familia]]="termico solar",Tabla4[[#This Row],[Utilidad Total]]*6%,Tabla4[[#This Row],[Utilidad Total]]*11.5%))/Tabla4[[#This Row],[Total]]</f>
        <v>#N/A</v>
      </c>
      <c r="V3856" s="282" t="e">
        <f>+Tabla4[[#This Row],[Comisión Calculada]]*Tabla4[[#This Row],[Total]]</f>
        <v>#N/A</v>
      </c>
    </row>
    <row r="3857" spans="1:22" hidden="1" x14ac:dyDescent="0.25">
      <c r="A3857" s="100">
        <v>45838</v>
      </c>
      <c r="B3857" t="str">
        <f t="shared" si="180"/>
        <v>June</v>
      </c>
      <c r="C3857" s="46" t="s">
        <v>280</v>
      </c>
      <c r="F3857" s="366" t="s">
        <v>2185</v>
      </c>
      <c r="G3857" s="46" t="s">
        <v>566</v>
      </c>
      <c r="H3857" s="46">
        <v>1</v>
      </c>
      <c r="I3857" s="51">
        <v>2109.4499999999998</v>
      </c>
      <c r="J3857" s="281">
        <f>++Tabla4[[#This Row],[Precio Bruto]]*1.16</f>
        <v>2446.9619999999995</v>
      </c>
      <c r="K3857" s="281">
        <f>+Tabla4[[#This Row],[Precio Unitario Neto]]*Tabla4[[#Headers],[20.85%]]</f>
        <v>510.19157699999988</v>
      </c>
      <c r="L3857" s="282">
        <f>++Tabla4[[#This Row],[Precio Unitario Neto]]-Tabla4[[#This Row],[20.85%]]</f>
        <v>1936.7704229999997</v>
      </c>
      <c r="M3857" s="282" t="e">
        <f>(INDEX(Tabla6[#All],MATCH(Tabla4[[#This Row],[Producto]],Tabla6[[#All],[PRODUCTO]],0),MATCH(Tabla4[[#This Row],[Mes]],Tabla6[#Headers],0)))*(1+Catalogos!$L$2)</f>
        <v>#N/A</v>
      </c>
      <c r="N3857" s="283" t="e">
        <f>+(Tabla4[[#This Row],[Precio Descontado]]-Tabla4[[#This Row],[Precio Base]])*Tabla4[[#This Row],[Cantidad]]</f>
        <v>#N/A</v>
      </c>
      <c r="O3857" s="284" t="e">
        <f>++Tabla4[[#This Row],[Utilidad Total]]/Tabla4[[#This Row],[Total]]</f>
        <v>#N/A</v>
      </c>
      <c r="P3857" s="282">
        <f>++Tabla4[[#This Row],[Precio Descontado]]*Tabla4[[#This Row],[Cantidad]]</f>
        <v>1936.7704229999997</v>
      </c>
      <c r="Q3857" s="282" t="e">
        <f>(INDEX(Tabla6[#All],MATCH(Tabla4[[#This Row],[Producto]],Tabla6[[#All],[PRODUCTO]],0),MATCH(Tabla4[[#This Row],[Mes]],Tabla6[#Headers],0)))</f>
        <v>#N/A</v>
      </c>
      <c r="R3857" s="282" t="e">
        <f>++Tabla4[[#This Row],[Precio Unitario Neto]]-Tabla4[[#This Row],[20.85%]]-Tabla4[[#This Row],[Costo]]</f>
        <v>#N/A</v>
      </c>
      <c r="S3857" s="282" t="e">
        <f>++Tabla4[[#This Row],[U. Bruta Uni]]*Tabla4[[#This Row],[Cantidad]]</f>
        <v>#N/A</v>
      </c>
      <c r="T3857" s="369" t="str">
        <f>VLOOKUP(Tabla4[[#This Row],[Producto]],Tabla6[#All],14,FALSE)</f>
        <v>Termico Solar</v>
      </c>
      <c r="U3857" s="284" t="e">
        <f>(IF(Tabla4[[#This Row],[Familia]]="termico solar",Tabla4[[#This Row],[Utilidad Total]]*6%,Tabla4[[#This Row],[Utilidad Total]]*11.5%))/Tabla4[[#This Row],[Total]]</f>
        <v>#N/A</v>
      </c>
      <c r="V3857" s="282" t="e">
        <f>+Tabla4[[#This Row],[Comisión Calculada]]*Tabla4[[#This Row],[Total]]</f>
        <v>#N/A</v>
      </c>
    </row>
    <row r="3858" spans="1:22" hidden="1" x14ac:dyDescent="0.25">
      <c r="A3858" s="100">
        <v>45838</v>
      </c>
      <c r="B3858" t="str">
        <f t="shared" si="180"/>
        <v>June</v>
      </c>
      <c r="C3858" s="46" t="s">
        <v>280</v>
      </c>
      <c r="F3858" s="366" t="s">
        <v>2185</v>
      </c>
      <c r="G3858" s="46" t="s">
        <v>16</v>
      </c>
      <c r="H3858" s="46">
        <v>4</v>
      </c>
      <c r="I3858" s="51">
        <v>4103.8500000000004</v>
      </c>
      <c r="J3858" s="281">
        <f>++Tabla4[[#This Row],[Precio Bruto]]*1.16</f>
        <v>4760.4660000000003</v>
      </c>
      <c r="K3858" s="281">
        <f>+Tabla4[[#This Row],[Precio Unitario Neto]]*Tabla4[[#Headers],[20.85%]]</f>
        <v>992.55716100000006</v>
      </c>
      <c r="L3858" s="282">
        <f>++Tabla4[[#This Row],[Precio Unitario Neto]]-Tabla4[[#This Row],[20.85%]]</f>
        <v>3767.9088390000002</v>
      </c>
      <c r="M3858" s="282" t="e">
        <f>(INDEX(Tabla6[#All],MATCH(Tabla4[[#This Row],[Producto]],Tabla6[[#All],[PRODUCTO]],0),MATCH(Tabla4[[#This Row],[Mes]],Tabla6[#Headers],0)))*(1+Catalogos!$L$2)</f>
        <v>#N/A</v>
      </c>
      <c r="N3858" s="283" t="e">
        <f>+(Tabla4[[#This Row],[Precio Descontado]]-Tabla4[[#This Row],[Precio Base]])*Tabla4[[#This Row],[Cantidad]]</f>
        <v>#N/A</v>
      </c>
      <c r="O3858" s="284" t="e">
        <f>++Tabla4[[#This Row],[Utilidad Total]]/Tabla4[[#This Row],[Total]]</f>
        <v>#N/A</v>
      </c>
      <c r="P3858" s="282">
        <f>++Tabla4[[#This Row],[Precio Descontado]]*Tabla4[[#This Row],[Cantidad]]</f>
        <v>15071.635356000001</v>
      </c>
      <c r="Q3858" s="282" t="e">
        <f>(INDEX(Tabla6[#All],MATCH(Tabla4[[#This Row],[Producto]],Tabla6[[#All],[PRODUCTO]],0),MATCH(Tabla4[[#This Row],[Mes]],Tabla6[#Headers],0)))</f>
        <v>#N/A</v>
      </c>
      <c r="R3858" s="282" t="e">
        <f>++Tabla4[[#This Row],[Precio Unitario Neto]]-Tabla4[[#This Row],[20.85%]]-Tabla4[[#This Row],[Costo]]</f>
        <v>#N/A</v>
      </c>
      <c r="S3858" s="282" t="e">
        <f>++Tabla4[[#This Row],[U. Bruta Uni]]*Tabla4[[#This Row],[Cantidad]]</f>
        <v>#N/A</v>
      </c>
      <c r="T3858" s="369" t="str">
        <f>VLOOKUP(Tabla4[[#This Row],[Producto]],Tabla6[#All],14,FALSE)</f>
        <v>Termico Solar</v>
      </c>
      <c r="U3858" s="284" t="e">
        <f>(IF(Tabla4[[#This Row],[Familia]]="termico solar",Tabla4[[#This Row],[Utilidad Total]]*6%,Tabla4[[#This Row],[Utilidad Total]]*11.5%))/Tabla4[[#This Row],[Total]]</f>
        <v>#N/A</v>
      </c>
      <c r="V3858" s="282" t="e">
        <f>+Tabla4[[#This Row],[Comisión Calculada]]*Tabla4[[#This Row],[Total]]</f>
        <v>#N/A</v>
      </c>
    </row>
    <row r="3859" spans="1:22" hidden="1" x14ac:dyDescent="0.25">
      <c r="A3859" s="100">
        <v>45838</v>
      </c>
      <c r="B3859" t="str">
        <f t="shared" si="180"/>
        <v>June</v>
      </c>
      <c r="C3859" s="46" t="s">
        <v>280</v>
      </c>
      <c r="F3859" s="366" t="s">
        <v>2185</v>
      </c>
      <c r="G3859" s="46" t="s">
        <v>200</v>
      </c>
      <c r="H3859" s="46">
        <v>12</v>
      </c>
      <c r="I3859" s="51">
        <v>393.22</v>
      </c>
      <c r="J3859" s="281">
        <f>++Tabla4[[#This Row],[Precio Bruto]]*1.16</f>
        <v>456.1352</v>
      </c>
      <c r="K3859" s="281">
        <f>+Tabla4[[#This Row],[Precio Unitario Neto]]*Tabla4[[#Headers],[20.85%]]</f>
        <v>95.104189199999993</v>
      </c>
      <c r="L3859" s="282">
        <f>++Tabla4[[#This Row],[Precio Unitario Neto]]-Tabla4[[#This Row],[20.85%]]</f>
        <v>361.03101079999999</v>
      </c>
      <c r="M3859" s="282" t="e">
        <f>(INDEX(Tabla6[#All],MATCH(Tabla4[[#This Row],[Producto]],Tabla6[[#All],[PRODUCTO]],0),MATCH(Tabla4[[#This Row],[Mes]],Tabla6[#Headers],0)))*(1+Catalogos!$L$2)</f>
        <v>#N/A</v>
      </c>
      <c r="N3859" s="283" t="e">
        <f>+(Tabla4[[#This Row],[Precio Descontado]]-Tabla4[[#This Row],[Precio Base]])*Tabla4[[#This Row],[Cantidad]]</f>
        <v>#N/A</v>
      </c>
      <c r="O3859" s="284" t="e">
        <f>++Tabla4[[#This Row],[Utilidad Total]]/Tabla4[[#This Row],[Total]]</f>
        <v>#N/A</v>
      </c>
      <c r="P3859" s="282">
        <f>++Tabla4[[#This Row],[Precio Descontado]]*Tabla4[[#This Row],[Cantidad]]</f>
        <v>4332.3721296000003</v>
      </c>
      <c r="Q3859" s="282" t="e">
        <f>(INDEX(Tabla6[#All],MATCH(Tabla4[[#This Row],[Producto]],Tabla6[[#All],[PRODUCTO]],0),MATCH(Tabla4[[#This Row],[Mes]],Tabla6[#Headers],0)))</f>
        <v>#N/A</v>
      </c>
      <c r="R3859" s="282" t="e">
        <f>++Tabla4[[#This Row],[Precio Unitario Neto]]-Tabla4[[#This Row],[20.85%]]-Tabla4[[#This Row],[Costo]]</f>
        <v>#N/A</v>
      </c>
      <c r="S3859" s="282" t="e">
        <f>++Tabla4[[#This Row],[U. Bruta Uni]]*Tabla4[[#This Row],[Cantidad]]</f>
        <v>#N/A</v>
      </c>
      <c r="T3859" s="369" t="str">
        <f>VLOOKUP(Tabla4[[#This Row],[Producto]],Tabla6[#All],14,FALSE)</f>
        <v>Termico Solar</v>
      </c>
      <c r="U3859" s="284" t="e">
        <f>(IF(Tabla4[[#This Row],[Familia]]="termico solar",Tabla4[[#This Row],[Utilidad Total]]*6%,Tabla4[[#This Row],[Utilidad Total]]*11.5%))/Tabla4[[#This Row],[Total]]</f>
        <v>#N/A</v>
      </c>
      <c r="V3859" s="282" t="e">
        <f>+Tabla4[[#This Row],[Comisión Calculada]]*Tabla4[[#This Row],[Total]]</f>
        <v>#N/A</v>
      </c>
    </row>
    <row r="3860" spans="1:22" hidden="1" x14ac:dyDescent="0.25">
      <c r="A3860" s="100">
        <v>45838</v>
      </c>
      <c r="B3860" t="str">
        <f t="shared" si="180"/>
        <v>June</v>
      </c>
      <c r="C3860" s="46" t="s">
        <v>280</v>
      </c>
      <c r="F3860" s="366" t="s">
        <v>2185</v>
      </c>
      <c r="G3860" s="46" t="s">
        <v>545</v>
      </c>
      <c r="H3860" s="46">
        <v>24</v>
      </c>
      <c r="I3860" s="51">
        <v>304.32</v>
      </c>
      <c r="J3860" s="281">
        <f>++Tabla4[[#This Row],[Precio Bruto]]*1.16</f>
        <v>353.01119999999997</v>
      </c>
      <c r="K3860" s="281">
        <f>+Tabla4[[#This Row],[Precio Unitario Neto]]*Tabla4[[#Headers],[20.85%]]</f>
        <v>73.602835199999987</v>
      </c>
      <c r="L3860" s="282">
        <f>++Tabla4[[#This Row],[Precio Unitario Neto]]-Tabla4[[#This Row],[20.85%]]</f>
        <v>279.40836479999996</v>
      </c>
      <c r="M3860" s="282" t="e">
        <f>(INDEX(Tabla6[#All],MATCH(Tabla4[[#This Row],[Producto]],Tabla6[[#All],[PRODUCTO]],0),MATCH(Tabla4[[#This Row],[Mes]],Tabla6[#Headers],0)))*(1+Catalogos!$L$2)</f>
        <v>#N/A</v>
      </c>
      <c r="N3860" s="283" t="e">
        <f>+(Tabla4[[#This Row],[Precio Descontado]]-Tabla4[[#This Row],[Precio Base]])*Tabla4[[#This Row],[Cantidad]]</f>
        <v>#N/A</v>
      </c>
      <c r="O3860" s="284" t="e">
        <f>++Tabla4[[#This Row],[Utilidad Total]]/Tabla4[[#This Row],[Total]]</f>
        <v>#N/A</v>
      </c>
      <c r="P3860" s="282">
        <f>++Tabla4[[#This Row],[Precio Descontado]]*Tabla4[[#This Row],[Cantidad]]</f>
        <v>6705.800755199999</v>
      </c>
      <c r="Q3860" s="282" t="e">
        <f>(INDEX(Tabla6[#All],MATCH(Tabla4[[#This Row],[Producto]],Tabla6[[#All],[PRODUCTO]],0),MATCH(Tabla4[[#This Row],[Mes]],Tabla6[#Headers],0)))</f>
        <v>#N/A</v>
      </c>
      <c r="R3860" s="282" t="e">
        <f>++Tabla4[[#This Row],[Precio Unitario Neto]]-Tabla4[[#This Row],[20.85%]]-Tabla4[[#This Row],[Costo]]</f>
        <v>#N/A</v>
      </c>
      <c r="S3860" s="282" t="e">
        <f>++Tabla4[[#This Row],[U. Bruta Uni]]*Tabla4[[#This Row],[Cantidad]]</f>
        <v>#N/A</v>
      </c>
      <c r="T3860" s="369" t="str">
        <f>VLOOKUP(Tabla4[[#This Row],[Producto]],Tabla6[#All],14,FALSE)</f>
        <v>Termico Solar</v>
      </c>
      <c r="U3860" s="284" t="e">
        <f>(IF(Tabla4[[#This Row],[Familia]]="termico solar",Tabla4[[#This Row],[Utilidad Total]]*6%,Tabla4[[#This Row],[Utilidad Total]]*11.5%))/Tabla4[[#This Row],[Total]]</f>
        <v>#N/A</v>
      </c>
      <c r="V3860" s="282" t="e">
        <f>+Tabla4[[#This Row],[Comisión Calculada]]*Tabla4[[#This Row],[Total]]</f>
        <v>#N/A</v>
      </c>
    </row>
    <row r="3861" spans="1:22" hidden="1" x14ac:dyDescent="0.25">
      <c r="A3861" s="100">
        <v>45838</v>
      </c>
      <c r="B3861" t="str">
        <f t="shared" si="180"/>
        <v>June</v>
      </c>
      <c r="C3861" s="46" t="s">
        <v>280</v>
      </c>
      <c r="F3861" s="366" t="s">
        <v>2185</v>
      </c>
      <c r="G3861" s="46" t="s">
        <v>209</v>
      </c>
      <c r="H3861" s="46">
        <v>2</v>
      </c>
      <c r="I3861" s="51">
        <v>347.48</v>
      </c>
      <c r="J3861" s="281">
        <f>++Tabla4[[#This Row],[Precio Bruto]]*1.16</f>
        <v>403.07679999999999</v>
      </c>
      <c r="K3861" s="281">
        <f>+Tabla4[[#This Row],[Precio Unitario Neto]]*Tabla4[[#Headers],[20.85%]]</f>
        <v>84.041512799999992</v>
      </c>
      <c r="L3861" s="282">
        <f>++Tabla4[[#This Row],[Precio Unitario Neto]]-Tabla4[[#This Row],[20.85%]]</f>
        <v>319.03528719999997</v>
      </c>
      <c r="M3861" s="282" t="e">
        <f>(INDEX(Tabla6[#All],MATCH(Tabla4[[#This Row],[Producto]],Tabla6[[#All],[PRODUCTO]],0),MATCH(Tabla4[[#This Row],[Mes]],Tabla6[#Headers],0)))*(1+Catalogos!$L$2)</f>
        <v>#N/A</v>
      </c>
      <c r="N3861" s="283" t="e">
        <f>+(Tabla4[[#This Row],[Precio Descontado]]-Tabla4[[#This Row],[Precio Base]])*Tabla4[[#This Row],[Cantidad]]</f>
        <v>#N/A</v>
      </c>
      <c r="O3861" s="284" t="e">
        <f>++Tabla4[[#This Row],[Utilidad Total]]/Tabla4[[#This Row],[Total]]</f>
        <v>#N/A</v>
      </c>
      <c r="P3861" s="282">
        <f>++Tabla4[[#This Row],[Precio Descontado]]*Tabla4[[#This Row],[Cantidad]]</f>
        <v>638.07057439999994</v>
      </c>
      <c r="Q3861" s="282" t="e">
        <f>(INDEX(Tabla6[#All],MATCH(Tabla4[[#This Row],[Producto]],Tabla6[[#All],[PRODUCTO]],0),MATCH(Tabla4[[#This Row],[Mes]],Tabla6[#Headers],0)))</f>
        <v>#N/A</v>
      </c>
      <c r="R3861" s="282" t="e">
        <f>++Tabla4[[#This Row],[Precio Unitario Neto]]-Tabla4[[#This Row],[20.85%]]-Tabla4[[#This Row],[Costo]]</f>
        <v>#N/A</v>
      </c>
      <c r="S3861" s="282" t="e">
        <f>++Tabla4[[#This Row],[U. Bruta Uni]]*Tabla4[[#This Row],[Cantidad]]</f>
        <v>#N/A</v>
      </c>
      <c r="T3861" s="369" t="str">
        <f>VLOOKUP(Tabla4[[#This Row],[Producto]],Tabla6[#All],14,FALSE)</f>
        <v>Termico Solar</v>
      </c>
      <c r="U3861" s="284" t="e">
        <f>(IF(Tabla4[[#This Row],[Familia]]="termico solar",Tabla4[[#This Row],[Utilidad Total]]*6%,Tabla4[[#This Row],[Utilidad Total]]*11.5%))/Tabla4[[#This Row],[Total]]</f>
        <v>#N/A</v>
      </c>
      <c r="V3861" s="282" t="e">
        <f>+Tabla4[[#This Row],[Comisión Calculada]]*Tabla4[[#This Row],[Total]]</f>
        <v>#N/A</v>
      </c>
    </row>
    <row r="3862" spans="1:22" hidden="1" x14ac:dyDescent="0.25">
      <c r="A3862" s="100">
        <v>45838</v>
      </c>
      <c r="B3862" t="str">
        <f t="shared" ref="B3862:B3869" si="181">TEXT(A3862, "mmmm")</f>
        <v>June</v>
      </c>
      <c r="C3862" s="46" t="s">
        <v>280</v>
      </c>
      <c r="F3862" s="366" t="s">
        <v>2186</v>
      </c>
      <c r="G3862" s="46" t="s">
        <v>83</v>
      </c>
      <c r="H3862" s="46">
        <v>8</v>
      </c>
      <c r="I3862" s="51">
        <v>8858.76</v>
      </c>
      <c r="J3862" s="281">
        <f>++Tabla4[[#This Row],[Precio Bruto]]*1.16</f>
        <v>10276.161599999999</v>
      </c>
      <c r="K3862" s="281">
        <f>+Tabla4[[#This Row],[Precio Unitario Neto]]*Tabla4[[#Headers],[20.85%]]</f>
        <v>2142.5796935999997</v>
      </c>
      <c r="L3862" s="282">
        <f>++Tabla4[[#This Row],[Precio Unitario Neto]]-Tabla4[[#This Row],[20.85%]]</f>
        <v>8133.5819063999998</v>
      </c>
      <c r="M3862" s="282" t="e">
        <f>(INDEX(Tabla6[#All],MATCH(Tabla4[[#This Row],[Producto]],Tabla6[[#All],[PRODUCTO]],0),MATCH(Tabla4[[#This Row],[Mes]],Tabla6[#Headers],0)))*(1+Catalogos!$L$2)</f>
        <v>#N/A</v>
      </c>
      <c r="N3862" s="283" t="e">
        <f>+(Tabla4[[#This Row],[Precio Descontado]]-Tabla4[[#This Row],[Precio Base]])*Tabla4[[#This Row],[Cantidad]]</f>
        <v>#N/A</v>
      </c>
      <c r="O3862" s="284" t="e">
        <f>++Tabla4[[#This Row],[Utilidad Total]]/Tabla4[[#This Row],[Total]]</f>
        <v>#N/A</v>
      </c>
      <c r="P3862" s="282">
        <f>++Tabla4[[#This Row],[Precio Descontado]]*Tabla4[[#This Row],[Cantidad]]</f>
        <v>65068.655251199998</v>
      </c>
      <c r="Q3862" s="282" t="e">
        <f>(INDEX(Tabla6[#All],MATCH(Tabla4[[#This Row],[Producto]],Tabla6[[#All],[PRODUCTO]],0),MATCH(Tabla4[[#This Row],[Mes]],Tabla6[#Headers],0)))</f>
        <v>#N/A</v>
      </c>
      <c r="R3862" s="282" t="e">
        <f>++Tabla4[[#This Row],[Precio Unitario Neto]]-Tabla4[[#This Row],[20.85%]]-Tabla4[[#This Row],[Costo]]</f>
        <v>#N/A</v>
      </c>
      <c r="S3862" s="282" t="e">
        <f>++Tabla4[[#This Row],[U. Bruta Uni]]*Tabla4[[#This Row],[Cantidad]]</f>
        <v>#N/A</v>
      </c>
      <c r="T3862" s="369" t="str">
        <f>VLOOKUP(Tabla4[[#This Row],[Producto]],Tabla6[#All],14,FALSE)</f>
        <v>Termico Solar</v>
      </c>
      <c r="U3862" s="284" t="e">
        <f>(IF(Tabla4[[#This Row],[Familia]]="termico solar",Tabla4[[#This Row],[Utilidad Total]]*6%,Tabla4[[#This Row],[Utilidad Total]]*11.5%))/Tabla4[[#This Row],[Total]]</f>
        <v>#N/A</v>
      </c>
      <c r="V3862" s="282" t="e">
        <f>+Tabla4[[#This Row],[Comisión Calculada]]*Tabla4[[#This Row],[Total]]</f>
        <v>#N/A</v>
      </c>
    </row>
    <row r="3863" spans="1:22" hidden="1" x14ac:dyDescent="0.25">
      <c r="A3863" s="100">
        <v>45838</v>
      </c>
      <c r="B3863" t="str">
        <f t="shared" si="181"/>
        <v>June</v>
      </c>
      <c r="C3863" s="46" t="s">
        <v>280</v>
      </c>
      <c r="F3863" s="366" t="s">
        <v>2186</v>
      </c>
      <c r="G3863" s="46" t="s">
        <v>17</v>
      </c>
      <c r="H3863" s="46">
        <v>5</v>
      </c>
      <c r="I3863" s="51">
        <v>4622.2800000000007</v>
      </c>
      <c r="J3863" s="281">
        <f>++Tabla4[[#This Row],[Precio Bruto]]*1.16</f>
        <v>5361.8448000000008</v>
      </c>
      <c r="K3863" s="281">
        <f>+Tabla4[[#This Row],[Precio Unitario Neto]]*Tabla4[[#Headers],[20.85%]]</f>
        <v>1117.9446408000001</v>
      </c>
      <c r="L3863" s="282">
        <f>++Tabla4[[#This Row],[Precio Unitario Neto]]-Tabla4[[#This Row],[20.85%]]</f>
        <v>4243.9001592000004</v>
      </c>
      <c r="M3863" s="282" t="e">
        <f>(INDEX(Tabla6[#All],MATCH(Tabla4[[#This Row],[Producto]],Tabla6[[#All],[PRODUCTO]],0),MATCH(Tabla4[[#This Row],[Mes]],Tabla6[#Headers],0)))*(1+Catalogos!$L$2)</f>
        <v>#N/A</v>
      </c>
      <c r="N3863" s="283" t="e">
        <f>+(Tabla4[[#This Row],[Precio Descontado]]-Tabla4[[#This Row],[Precio Base]])*Tabla4[[#This Row],[Cantidad]]</f>
        <v>#N/A</v>
      </c>
      <c r="O3863" s="284" t="e">
        <f>++Tabla4[[#This Row],[Utilidad Total]]/Tabla4[[#This Row],[Total]]</f>
        <v>#N/A</v>
      </c>
      <c r="P3863" s="282">
        <f>++Tabla4[[#This Row],[Precio Descontado]]*Tabla4[[#This Row],[Cantidad]]</f>
        <v>21219.500796</v>
      </c>
      <c r="Q3863" s="282" t="e">
        <f>(INDEX(Tabla6[#All],MATCH(Tabla4[[#This Row],[Producto]],Tabla6[[#All],[PRODUCTO]],0),MATCH(Tabla4[[#This Row],[Mes]],Tabla6[#Headers],0)))</f>
        <v>#N/A</v>
      </c>
      <c r="R3863" s="282" t="e">
        <f>++Tabla4[[#This Row],[Precio Unitario Neto]]-Tabla4[[#This Row],[20.85%]]-Tabla4[[#This Row],[Costo]]</f>
        <v>#N/A</v>
      </c>
      <c r="S3863" s="282" t="e">
        <f>++Tabla4[[#This Row],[U. Bruta Uni]]*Tabla4[[#This Row],[Cantidad]]</f>
        <v>#N/A</v>
      </c>
      <c r="T3863" s="369" t="str">
        <f>VLOOKUP(Tabla4[[#This Row],[Producto]],Tabla6[#All],14,FALSE)</f>
        <v>Termico Solar</v>
      </c>
      <c r="U3863" s="284" t="e">
        <f>(IF(Tabla4[[#This Row],[Familia]]="termico solar",Tabla4[[#This Row],[Utilidad Total]]*6%,Tabla4[[#This Row],[Utilidad Total]]*11.5%))/Tabla4[[#This Row],[Total]]</f>
        <v>#N/A</v>
      </c>
      <c r="V3863" s="282" t="e">
        <f>+Tabla4[[#This Row],[Comisión Calculada]]*Tabla4[[#This Row],[Total]]</f>
        <v>#N/A</v>
      </c>
    </row>
    <row r="3864" spans="1:22" ht="17.25" hidden="1" customHeight="1" x14ac:dyDescent="0.25">
      <c r="A3864" s="100">
        <v>45838</v>
      </c>
      <c r="B3864" t="str">
        <f t="shared" si="181"/>
        <v>June</v>
      </c>
      <c r="C3864" s="46" t="s">
        <v>280</v>
      </c>
      <c r="F3864" s="366" t="s">
        <v>2186</v>
      </c>
      <c r="G3864" s="46" t="s">
        <v>566</v>
      </c>
      <c r="H3864" s="46">
        <v>1</v>
      </c>
      <c r="I3864" s="51">
        <v>2109.4499999999998</v>
      </c>
      <c r="J3864" s="281">
        <f>++Tabla4[[#This Row],[Precio Bruto]]*1.16</f>
        <v>2446.9619999999995</v>
      </c>
      <c r="K3864" s="281">
        <f>+Tabla4[[#This Row],[Precio Unitario Neto]]*Tabla4[[#Headers],[20.85%]]</f>
        <v>510.19157699999988</v>
      </c>
      <c r="L3864" s="282">
        <f>++Tabla4[[#This Row],[Precio Unitario Neto]]-Tabla4[[#This Row],[20.85%]]</f>
        <v>1936.7704229999997</v>
      </c>
      <c r="M3864" s="282" t="e">
        <f>(INDEX(Tabla6[#All],MATCH(Tabla4[[#This Row],[Producto]],Tabla6[[#All],[PRODUCTO]],0),MATCH(Tabla4[[#This Row],[Mes]],Tabla6[#Headers],0)))*(1+Catalogos!$L$2)</f>
        <v>#N/A</v>
      </c>
      <c r="N3864" s="283" t="e">
        <f>+(Tabla4[[#This Row],[Precio Descontado]]-Tabla4[[#This Row],[Precio Base]])*Tabla4[[#This Row],[Cantidad]]</f>
        <v>#N/A</v>
      </c>
      <c r="O3864" s="284" t="e">
        <f>++Tabla4[[#This Row],[Utilidad Total]]/Tabla4[[#This Row],[Total]]</f>
        <v>#N/A</v>
      </c>
      <c r="P3864" s="282">
        <f>++Tabla4[[#This Row],[Precio Descontado]]*Tabla4[[#This Row],[Cantidad]]</f>
        <v>1936.7704229999997</v>
      </c>
      <c r="Q3864" s="282" t="e">
        <f>(INDEX(Tabla6[#All],MATCH(Tabla4[[#This Row],[Producto]],Tabla6[[#All],[PRODUCTO]],0),MATCH(Tabla4[[#This Row],[Mes]],Tabla6[#Headers],0)))</f>
        <v>#N/A</v>
      </c>
      <c r="R3864" s="282" t="e">
        <f>++Tabla4[[#This Row],[Precio Unitario Neto]]-Tabla4[[#This Row],[20.85%]]-Tabla4[[#This Row],[Costo]]</f>
        <v>#N/A</v>
      </c>
      <c r="S3864" s="282" t="e">
        <f>++Tabla4[[#This Row],[U. Bruta Uni]]*Tabla4[[#This Row],[Cantidad]]</f>
        <v>#N/A</v>
      </c>
      <c r="T3864" s="369" t="str">
        <f>VLOOKUP(Tabla4[[#This Row],[Producto]],Tabla6[#All],14,FALSE)</f>
        <v>Termico Solar</v>
      </c>
      <c r="U3864" s="284" t="e">
        <f>(IF(Tabla4[[#This Row],[Familia]]="termico solar",Tabla4[[#This Row],[Utilidad Total]]*6%,Tabla4[[#This Row],[Utilidad Total]]*11.5%))/Tabla4[[#This Row],[Total]]</f>
        <v>#N/A</v>
      </c>
      <c r="V3864" s="282" t="e">
        <f>+Tabla4[[#This Row],[Comisión Calculada]]*Tabla4[[#This Row],[Total]]</f>
        <v>#N/A</v>
      </c>
    </row>
    <row r="3865" spans="1:22" ht="17.25" hidden="1" customHeight="1" x14ac:dyDescent="0.25">
      <c r="A3865" s="100">
        <v>45838</v>
      </c>
      <c r="B3865" t="str">
        <f t="shared" si="181"/>
        <v>June</v>
      </c>
      <c r="C3865" s="46" t="s">
        <v>280</v>
      </c>
      <c r="F3865" s="366" t="s">
        <v>2186</v>
      </c>
      <c r="G3865" s="46" t="s">
        <v>16</v>
      </c>
      <c r="H3865" s="46">
        <v>2</v>
      </c>
      <c r="I3865" s="51">
        <v>4103.8500000000004</v>
      </c>
      <c r="J3865" s="281">
        <f>++Tabla4[[#This Row],[Precio Bruto]]*1.16</f>
        <v>4760.4660000000003</v>
      </c>
      <c r="K3865" s="281">
        <f>+Tabla4[[#This Row],[Precio Unitario Neto]]*Tabla4[[#Headers],[20.85%]]</f>
        <v>992.55716100000006</v>
      </c>
      <c r="L3865" s="282">
        <f>++Tabla4[[#This Row],[Precio Unitario Neto]]-Tabla4[[#This Row],[20.85%]]</f>
        <v>3767.9088390000002</v>
      </c>
      <c r="M3865" s="282" t="e">
        <f>(INDEX(Tabla6[#All],MATCH(Tabla4[[#This Row],[Producto]],Tabla6[[#All],[PRODUCTO]],0),MATCH(Tabla4[[#This Row],[Mes]],Tabla6[#Headers],0)))*(1+Catalogos!$L$2)</f>
        <v>#N/A</v>
      </c>
      <c r="N3865" s="283" t="e">
        <f>+(Tabla4[[#This Row],[Precio Descontado]]-Tabla4[[#This Row],[Precio Base]])*Tabla4[[#This Row],[Cantidad]]</f>
        <v>#N/A</v>
      </c>
      <c r="O3865" s="284" t="e">
        <f>++Tabla4[[#This Row],[Utilidad Total]]/Tabla4[[#This Row],[Total]]</f>
        <v>#N/A</v>
      </c>
      <c r="P3865" s="282">
        <f>++Tabla4[[#This Row],[Precio Descontado]]*Tabla4[[#This Row],[Cantidad]]</f>
        <v>7535.8176780000003</v>
      </c>
      <c r="Q3865" s="282" t="e">
        <f>(INDEX(Tabla6[#All],MATCH(Tabla4[[#This Row],[Producto]],Tabla6[[#All],[PRODUCTO]],0),MATCH(Tabla4[[#This Row],[Mes]],Tabla6[#Headers],0)))</f>
        <v>#N/A</v>
      </c>
      <c r="R3865" s="282" t="e">
        <f>++Tabla4[[#This Row],[Precio Unitario Neto]]-Tabla4[[#This Row],[20.85%]]-Tabla4[[#This Row],[Costo]]</f>
        <v>#N/A</v>
      </c>
      <c r="S3865" s="282" t="e">
        <f>++Tabla4[[#This Row],[U. Bruta Uni]]*Tabla4[[#This Row],[Cantidad]]</f>
        <v>#N/A</v>
      </c>
      <c r="T3865" s="369" t="str">
        <f>VLOOKUP(Tabla4[[#This Row],[Producto]],Tabla6[#All],14,FALSE)</f>
        <v>Termico Solar</v>
      </c>
      <c r="U3865" s="284" t="e">
        <f>(IF(Tabla4[[#This Row],[Familia]]="termico solar",Tabla4[[#This Row],[Utilidad Total]]*6%,Tabla4[[#This Row],[Utilidad Total]]*11.5%))/Tabla4[[#This Row],[Total]]</f>
        <v>#N/A</v>
      </c>
      <c r="V3865" s="282" t="e">
        <f>+Tabla4[[#This Row],[Comisión Calculada]]*Tabla4[[#This Row],[Total]]</f>
        <v>#N/A</v>
      </c>
    </row>
    <row r="3866" spans="1:22" hidden="1" x14ac:dyDescent="0.25">
      <c r="A3866" s="100">
        <v>45838</v>
      </c>
      <c r="B3866" t="str">
        <f t="shared" si="181"/>
        <v>June</v>
      </c>
      <c r="C3866" s="46" t="s">
        <v>280</v>
      </c>
      <c r="F3866" s="366" t="s">
        <v>2186</v>
      </c>
      <c r="G3866" s="46" t="s">
        <v>200</v>
      </c>
      <c r="H3866" s="46">
        <v>12</v>
      </c>
      <c r="I3866" s="51">
        <v>393.22</v>
      </c>
      <c r="J3866" s="281">
        <f>++Tabla4[[#This Row],[Precio Bruto]]*1.16</f>
        <v>456.1352</v>
      </c>
      <c r="K3866" s="281">
        <f>+Tabla4[[#This Row],[Precio Unitario Neto]]*Tabla4[[#Headers],[20.85%]]</f>
        <v>95.104189199999993</v>
      </c>
      <c r="L3866" s="282">
        <f>++Tabla4[[#This Row],[Precio Unitario Neto]]-Tabla4[[#This Row],[20.85%]]</f>
        <v>361.03101079999999</v>
      </c>
      <c r="M3866" s="282" t="e">
        <f>(INDEX(Tabla6[#All],MATCH(Tabla4[[#This Row],[Producto]],Tabla6[[#All],[PRODUCTO]],0),MATCH(Tabla4[[#This Row],[Mes]],Tabla6[#Headers],0)))*(1+Catalogos!$L$2)</f>
        <v>#N/A</v>
      </c>
      <c r="N3866" s="283" t="e">
        <f>+(Tabla4[[#This Row],[Precio Descontado]]-Tabla4[[#This Row],[Precio Base]])*Tabla4[[#This Row],[Cantidad]]</f>
        <v>#N/A</v>
      </c>
      <c r="O3866" s="284" t="e">
        <f>++Tabla4[[#This Row],[Utilidad Total]]/Tabla4[[#This Row],[Total]]</f>
        <v>#N/A</v>
      </c>
      <c r="P3866" s="282">
        <f>++Tabla4[[#This Row],[Precio Descontado]]*Tabla4[[#This Row],[Cantidad]]</f>
        <v>4332.3721296000003</v>
      </c>
      <c r="Q3866" s="282" t="e">
        <f>(INDEX(Tabla6[#All],MATCH(Tabla4[[#This Row],[Producto]],Tabla6[[#All],[PRODUCTO]],0),MATCH(Tabla4[[#This Row],[Mes]],Tabla6[#Headers],0)))</f>
        <v>#N/A</v>
      </c>
      <c r="R3866" s="282" t="e">
        <f>++Tabla4[[#This Row],[Precio Unitario Neto]]-Tabla4[[#This Row],[20.85%]]-Tabla4[[#This Row],[Costo]]</f>
        <v>#N/A</v>
      </c>
      <c r="S3866" s="282" t="e">
        <f>++Tabla4[[#This Row],[U. Bruta Uni]]*Tabla4[[#This Row],[Cantidad]]</f>
        <v>#N/A</v>
      </c>
      <c r="T3866" s="369" t="str">
        <f>VLOOKUP(Tabla4[[#This Row],[Producto]],Tabla6[#All],14,FALSE)</f>
        <v>Termico Solar</v>
      </c>
      <c r="U3866" s="284" t="e">
        <f>(IF(Tabla4[[#This Row],[Familia]]="termico solar",Tabla4[[#This Row],[Utilidad Total]]*6%,Tabla4[[#This Row],[Utilidad Total]]*11.5%))/Tabla4[[#This Row],[Total]]</f>
        <v>#N/A</v>
      </c>
      <c r="V3866" s="282" t="e">
        <f>+Tabla4[[#This Row],[Comisión Calculada]]*Tabla4[[#This Row],[Total]]</f>
        <v>#N/A</v>
      </c>
    </row>
    <row r="3867" spans="1:22" hidden="1" x14ac:dyDescent="0.25">
      <c r="A3867" s="100">
        <v>45838</v>
      </c>
      <c r="B3867" t="str">
        <f t="shared" si="181"/>
        <v>June</v>
      </c>
      <c r="C3867" s="46" t="s">
        <v>280</v>
      </c>
      <c r="F3867" s="366" t="s">
        <v>2186</v>
      </c>
      <c r="G3867" s="46" t="s">
        <v>545</v>
      </c>
      <c r="H3867" s="46">
        <v>24</v>
      </c>
      <c r="I3867" s="51">
        <v>304.32</v>
      </c>
      <c r="J3867" s="281">
        <f>++Tabla4[[#This Row],[Precio Bruto]]*1.16</f>
        <v>353.01119999999997</v>
      </c>
      <c r="K3867" s="281">
        <f>+Tabla4[[#This Row],[Precio Unitario Neto]]*Tabla4[[#Headers],[20.85%]]</f>
        <v>73.602835199999987</v>
      </c>
      <c r="L3867" s="282">
        <f>++Tabla4[[#This Row],[Precio Unitario Neto]]-Tabla4[[#This Row],[20.85%]]</f>
        <v>279.40836479999996</v>
      </c>
      <c r="M3867" s="282" t="e">
        <f>(INDEX(Tabla6[#All],MATCH(Tabla4[[#This Row],[Producto]],Tabla6[[#All],[PRODUCTO]],0),MATCH(Tabla4[[#This Row],[Mes]],Tabla6[#Headers],0)))*(1+Catalogos!$L$2)</f>
        <v>#N/A</v>
      </c>
      <c r="N3867" s="283" t="e">
        <f>+(Tabla4[[#This Row],[Precio Descontado]]-Tabla4[[#This Row],[Precio Base]])*Tabla4[[#This Row],[Cantidad]]</f>
        <v>#N/A</v>
      </c>
      <c r="O3867" s="284" t="e">
        <f>++Tabla4[[#This Row],[Utilidad Total]]/Tabla4[[#This Row],[Total]]</f>
        <v>#N/A</v>
      </c>
      <c r="P3867" s="282">
        <f>++Tabla4[[#This Row],[Precio Descontado]]*Tabla4[[#This Row],[Cantidad]]</f>
        <v>6705.800755199999</v>
      </c>
      <c r="Q3867" s="282" t="e">
        <f>(INDEX(Tabla6[#All],MATCH(Tabla4[[#This Row],[Producto]],Tabla6[[#All],[PRODUCTO]],0),MATCH(Tabla4[[#This Row],[Mes]],Tabla6[#Headers],0)))</f>
        <v>#N/A</v>
      </c>
      <c r="R3867" s="282" t="e">
        <f>++Tabla4[[#This Row],[Precio Unitario Neto]]-Tabla4[[#This Row],[20.85%]]-Tabla4[[#This Row],[Costo]]</f>
        <v>#N/A</v>
      </c>
      <c r="S3867" s="282" t="e">
        <f>++Tabla4[[#This Row],[U. Bruta Uni]]*Tabla4[[#This Row],[Cantidad]]</f>
        <v>#N/A</v>
      </c>
      <c r="T3867" s="369" t="str">
        <f>VLOOKUP(Tabla4[[#This Row],[Producto]],Tabla6[#All],14,FALSE)</f>
        <v>Termico Solar</v>
      </c>
      <c r="U3867" s="284" t="e">
        <f>(IF(Tabla4[[#This Row],[Familia]]="termico solar",Tabla4[[#This Row],[Utilidad Total]]*6%,Tabla4[[#This Row],[Utilidad Total]]*11.5%))/Tabla4[[#This Row],[Total]]</f>
        <v>#N/A</v>
      </c>
      <c r="V3867" s="282" t="e">
        <f>+Tabla4[[#This Row],[Comisión Calculada]]*Tabla4[[#This Row],[Total]]</f>
        <v>#N/A</v>
      </c>
    </row>
    <row r="3868" spans="1:22" hidden="1" x14ac:dyDescent="0.25">
      <c r="A3868" s="100">
        <v>45838</v>
      </c>
      <c r="B3868" t="str">
        <f t="shared" si="181"/>
        <v>June</v>
      </c>
      <c r="C3868" s="46" t="s">
        <v>280</v>
      </c>
      <c r="F3868" s="366" t="s">
        <v>2186</v>
      </c>
      <c r="G3868" s="46" t="s">
        <v>208</v>
      </c>
      <c r="H3868" s="46">
        <v>1</v>
      </c>
      <c r="I3868" s="51">
        <v>189.75</v>
      </c>
      <c r="J3868" s="281">
        <f>++Tabla4[[#This Row],[Precio Bruto]]*1.16</f>
        <v>220.10999999999999</v>
      </c>
      <c r="K3868" s="281">
        <f>+Tabla4[[#This Row],[Precio Unitario Neto]]*Tabla4[[#Headers],[20.85%]]</f>
        <v>45.892934999999994</v>
      </c>
      <c r="L3868" s="282">
        <f>++Tabla4[[#This Row],[Precio Unitario Neto]]-Tabla4[[#This Row],[20.85%]]</f>
        <v>174.21706499999999</v>
      </c>
      <c r="M3868" s="282" t="e">
        <f>(INDEX(Tabla6[#All],MATCH(Tabla4[[#This Row],[Producto]],Tabla6[[#All],[PRODUCTO]],0),MATCH(Tabla4[[#This Row],[Mes]],Tabla6[#Headers],0)))*(1+Catalogos!$L$2)</f>
        <v>#N/A</v>
      </c>
      <c r="N3868" s="283" t="e">
        <f>+(Tabla4[[#This Row],[Precio Descontado]]-Tabla4[[#This Row],[Precio Base]])*Tabla4[[#This Row],[Cantidad]]</f>
        <v>#N/A</v>
      </c>
      <c r="O3868" s="284" t="e">
        <f>++Tabla4[[#This Row],[Utilidad Total]]/Tabla4[[#This Row],[Total]]</f>
        <v>#N/A</v>
      </c>
      <c r="P3868" s="282">
        <f>++Tabla4[[#This Row],[Precio Descontado]]*Tabla4[[#This Row],[Cantidad]]</f>
        <v>174.21706499999999</v>
      </c>
      <c r="Q3868" s="282" t="e">
        <f>(INDEX(Tabla6[#All],MATCH(Tabla4[[#This Row],[Producto]],Tabla6[[#All],[PRODUCTO]],0),MATCH(Tabla4[[#This Row],[Mes]],Tabla6[#Headers],0)))</f>
        <v>#N/A</v>
      </c>
      <c r="R3868" s="282" t="e">
        <f>++Tabla4[[#This Row],[Precio Unitario Neto]]-Tabla4[[#This Row],[20.85%]]-Tabla4[[#This Row],[Costo]]</f>
        <v>#N/A</v>
      </c>
      <c r="S3868" s="282" t="e">
        <f>++Tabla4[[#This Row],[U. Bruta Uni]]*Tabla4[[#This Row],[Cantidad]]</f>
        <v>#N/A</v>
      </c>
      <c r="T3868" s="369" t="str">
        <f>VLOOKUP(Tabla4[[#This Row],[Producto]],Tabla6[#All],14,FALSE)</f>
        <v>Termico Solar</v>
      </c>
      <c r="U3868" s="284" t="e">
        <f>(IF(Tabla4[[#This Row],[Familia]]="termico solar",Tabla4[[#This Row],[Utilidad Total]]*6%,Tabla4[[#This Row],[Utilidad Total]]*11.5%))/Tabla4[[#This Row],[Total]]</f>
        <v>#N/A</v>
      </c>
      <c r="V3868" s="282" t="e">
        <f>+Tabla4[[#This Row],[Comisión Calculada]]*Tabla4[[#This Row],[Total]]</f>
        <v>#N/A</v>
      </c>
    </row>
    <row r="3869" spans="1:22" hidden="1" x14ac:dyDescent="0.25">
      <c r="A3869" s="100">
        <v>45838</v>
      </c>
      <c r="B3869" t="str">
        <f t="shared" si="181"/>
        <v>June</v>
      </c>
      <c r="C3869" s="46" t="s">
        <v>280</v>
      </c>
      <c r="F3869" s="366" t="s">
        <v>2186</v>
      </c>
      <c r="G3869" s="46" t="s">
        <v>209</v>
      </c>
      <c r="H3869" s="46">
        <v>2</v>
      </c>
      <c r="I3869" s="51">
        <v>347.48</v>
      </c>
      <c r="J3869" s="281">
        <f>++Tabla4[[#This Row],[Precio Bruto]]*1.16</f>
        <v>403.07679999999999</v>
      </c>
      <c r="K3869" s="281">
        <f>+Tabla4[[#This Row],[Precio Unitario Neto]]*Tabla4[[#Headers],[20.85%]]</f>
        <v>84.041512799999992</v>
      </c>
      <c r="L3869" s="282">
        <f>++Tabla4[[#This Row],[Precio Unitario Neto]]-Tabla4[[#This Row],[20.85%]]</f>
        <v>319.03528719999997</v>
      </c>
      <c r="M3869" s="282" t="e">
        <f>(INDEX(Tabla6[#All],MATCH(Tabla4[[#This Row],[Producto]],Tabla6[[#All],[PRODUCTO]],0),MATCH(Tabla4[[#This Row],[Mes]],Tabla6[#Headers],0)))*(1+Catalogos!$L$2)</f>
        <v>#N/A</v>
      </c>
      <c r="N3869" s="283" t="e">
        <f>+(Tabla4[[#This Row],[Precio Descontado]]-Tabla4[[#This Row],[Precio Base]])*Tabla4[[#This Row],[Cantidad]]</f>
        <v>#N/A</v>
      </c>
      <c r="O3869" s="284" t="e">
        <f>++Tabla4[[#This Row],[Utilidad Total]]/Tabla4[[#This Row],[Total]]</f>
        <v>#N/A</v>
      </c>
      <c r="P3869" s="282">
        <f>++Tabla4[[#This Row],[Precio Descontado]]*Tabla4[[#This Row],[Cantidad]]</f>
        <v>638.07057439999994</v>
      </c>
      <c r="Q3869" s="282" t="e">
        <f>(INDEX(Tabla6[#All],MATCH(Tabla4[[#This Row],[Producto]],Tabla6[[#All],[PRODUCTO]],0),MATCH(Tabla4[[#This Row],[Mes]],Tabla6[#Headers],0)))</f>
        <v>#N/A</v>
      </c>
      <c r="R3869" s="282" t="e">
        <f>++Tabla4[[#This Row],[Precio Unitario Neto]]-Tabla4[[#This Row],[20.85%]]-Tabla4[[#This Row],[Costo]]</f>
        <v>#N/A</v>
      </c>
      <c r="S3869" s="282" t="e">
        <f>++Tabla4[[#This Row],[U. Bruta Uni]]*Tabla4[[#This Row],[Cantidad]]</f>
        <v>#N/A</v>
      </c>
      <c r="T3869" s="369" t="str">
        <f>VLOOKUP(Tabla4[[#This Row],[Producto]],Tabla6[#All],14,FALSE)</f>
        <v>Termico Solar</v>
      </c>
      <c r="U3869" s="284" t="e">
        <f>(IF(Tabla4[[#This Row],[Familia]]="termico solar",Tabla4[[#This Row],[Utilidad Total]]*6%,Tabla4[[#This Row],[Utilidad Total]]*11.5%))/Tabla4[[#This Row],[Total]]</f>
        <v>#N/A</v>
      </c>
      <c r="V3869" s="282" t="e">
        <f>+Tabla4[[#This Row],[Comisión Calculada]]*Tabla4[[#This Row],[Total]]</f>
        <v>#N/A</v>
      </c>
    </row>
    <row r="3870" spans="1:22" hidden="1" x14ac:dyDescent="0.25">
      <c r="A3870" s="100">
        <v>45838</v>
      </c>
      <c r="B3870" t="str">
        <f>TEXT(A3870, "mmmm")</f>
        <v>June</v>
      </c>
      <c r="C3870" s="46" t="s">
        <v>280</v>
      </c>
      <c r="F3870" s="366" t="s">
        <v>2187</v>
      </c>
      <c r="G3870" s="46" t="s">
        <v>17</v>
      </c>
      <c r="H3870" s="46">
        <v>1</v>
      </c>
      <c r="I3870" s="51">
        <v>4622.28</v>
      </c>
      <c r="J3870" s="281">
        <f>++Tabla4[[#This Row],[Precio Bruto]]*1.16</f>
        <v>5361.8447999999989</v>
      </c>
      <c r="K3870" s="281">
        <f>+Tabla4[[#This Row],[Precio Unitario Neto]]*Tabla4[[#Headers],[20.85%]]</f>
        <v>1117.9446407999997</v>
      </c>
      <c r="L3870" s="282">
        <f>++Tabla4[[#This Row],[Precio Unitario Neto]]-Tabla4[[#This Row],[20.85%]]</f>
        <v>4243.9001591999995</v>
      </c>
      <c r="M3870" s="282" t="e">
        <f>(INDEX(Tabla6[#All],MATCH(Tabla4[[#This Row],[Producto]],Tabla6[[#All],[PRODUCTO]],0),MATCH(Tabla4[[#This Row],[Mes]],Tabla6[#Headers],0)))*(1+Catalogos!$L$2)</f>
        <v>#N/A</v>
      </c>
      <c r="N3870" s="283" t="e">
        <f>+(Tabla4[[#This Row],[Precio Descontado]]-Tabla4[[#This Row],[Precio Base]])*Tabla4[[#This Row],[Cantidad]]</f>
        <v>#N/A</v>
      </c>
      <c r="O3870" s="284" t="e">
        <f>++Tabla4[[#This Row],[Utilidad Total]]/Tabla4[[#This Row],[Total]]</f>
        <v>#N/A</v>
      </c>
      <c r="P3870" s="282">
        <f>++Tabla4[[#This Row],[Precio Descontado]]*Tabla4[[#This Row],[Cantidad]]</f>
        <v>4243.9001591999995</v>
      </c>
      <c r="Q3870" s="282" t="e">
        <f>(INDEX(Tabla6[#All],MATCH(Tabla4[[#This Row],[Producto]],Tabla6[[#All],[PRODUCTO]],0),MATCH(Tabla4[[#This Row],[Mes]],Tabla6[#Headers],0)))</f>
        <v>#N/A</v>
      </c>
      <c r="R3870" s="282" t="e">
        <f>++Tabla4[[#This Row],[Precio Unitario Neto]]-Tabla4[[#This Row],[20.85%]]-Tabla4[[#This Row],[Costo]]</f>
        <v>#N/A</v>
      </c>
      <c r="S3870" s="282" t="e">
        <f>++Tabla4[[#This Row],[U. Bruta Uni]]*Tabla4[[#This Row],[Cantidad]]</f>
        <v>#N/A</v>
      </c>
      <c r="T3870" s="369" t="str">
        <f>VLOOKUP(Tabla4[[#This Row],[Producto]],Tabla6[#All],14,FALSE)</f>
        <v>Termico Solar</v>
      </c>
      <c r="U3870" s="284" t="e">
        <f>(IF(Tabla4[[#This Row],[Familia]]="termico solar",Tabla4[[#This Row],[Utilidad Total]]*6%,Tabla4[[#This Row],[Utilidad Total]]*11.5%))/Tabla4[[#This Row],[Total]]</f>
        <v>#N/A</v>
      </c>
      <c r="V3870" s="282" t="e">
        <f>+Tabla4[[#This Row],[Comisión Calculada]]*Tabla4[[#This Row],[Total]]</f>
        <v>#N/A</v>
      </c>
    </row>
    <row r="3871" spans="1:22" hidden="1" x14ac:dyDescent="0.25">
      <c r="A3871" s="100">
        <v>45838</v>
      </c>
      <c r="B3871" t="str">
        <f>TEXT(A3871, "mmmm")</f>
        <v>June</v>
      </c>
      <c r="C3871" s="46" t="s">
        <v>280</v>
      </c>
      <c r="F3871" s="366" t="s">
        <v>2187</v>
      </c>
      <c r="G3871" s="46" t="s">
        <v>200</v>
      </c>
      <c r="H3871" s="46">
        <v>12</v>
      </c>
      <c r="I3871" s="51">
        <v>393.22</v>
      </c>
      <c r="J3871" s="281">
        <f>++Tabla4[[#This Row],[Precio Bruto]]*1.16</f>
        <v>456.1352</v>
      </c>
      <c r="K3871" s="281">
        <f>+Tabla4[[#This Row],[Precio Unitario Neto]]*Tabla4[[#Headers],[20.85%]]</f>
        <v>95.104189199999993</v>
      </c>
      <c r="L3871" s="282">
        <f>++Tabla4[[#This Row],[Precio Unitario Neto]]-Tabla4[[#This Row],[20.85%]]</f>
        <v>361.03101079999999</v>
      </c>
      <c r="M3871" s="282" t="e">
        <f>(INDEX(Tabla6[#All],MATCH(Tabla4[[#This Row],[Producto]],Tabla6[[#All],[PRODUCTO]],0),MATCH(Tabla4[[#This Row],[Mes]],Tabla6[#Headers],0)))*(1+Catalogos!$L$2)</f>
        <v>#N/A</v>
      </c>
      <c r="N3871" s="283" t="e">
        <f>+(Tabla4[[#This Row],[Precio Descontado]]-Tabla4[[#This Row],[Precio Base]])*Tabla4[[#This Row],[Cantidad]]</f>
        <v>#N/A</v>
      </c>
      <c r="O3871" s="284" t="e">
        <f>++Tabla4[[#This Row],[Utilidad Total]]/Tabla4[[#This Row],[Total]]</f>
        <v>#N/A</v>
      </c>
      <c r="P3871" s="282">
        <f>++Tabla4[[#This Row],[Precio Descontado]]*Tabla4[[#This Row],[Cantidad]]</f>
        <v>4332.3721296000003</v>
      </c>
      <c r="Q3871" s="282" t="e">
        <f>(INDEX(Tabla6[#All],MATCH(Tabla4[[#This Row],[Producto]],Tabla6[[#All],[PRODUCTO]],0),MATCH(Tabla4[[#This Row],[Mes]],Tabla6[#Headers],0)))</f>
        <v>#N/A</v>
      </c>
      <c r="R3871" s="282" t="e">
        <f>++Tabla4[[#This Row],[Precio Unitario Neto]]-Tabla4[[#This Row],[20.85%]]-Tabla4[[#This Row],[Costo]]</f>
        <v>#N/A</v>
      </c>
      <c r="S3871" s="282" t="e">
        <f>++Tabla4[[#This Row],[U. Bruta Uni]]*Tabla4[[#This Row],[Cantidad]]</f>
        <v>#N/A</v>
      </c>
      <c r="T3871" s="369" t="str">
        <f>VLOOKUP(Tabla4[[#This Row],[Producto]],Tabla6[#All],14,FALSE)</f>
        <v>Termico Solar</v>
      </c>
      <c r="U3871" s="284" t="e">
        <f>(IF(Tabla4[[#This Row],[Familia]]="termico solar",Tabla4[[#This Row],[Utilidad Total]]*6%,Tabla4[[#This Row],[Utilidad Total]]*11.5%))/Tabla4[[#This Row],[Total]]</f>
        <v>#N/A</v>
      </c>
      <c r="V3871" s="282" t="e">
        <f>+Tabla4[[#This Row],[Comisión Calculada]]*Tabla4[[#This Row],[Total]]</f>
        <v>#N/A</v>
      </c>
    </row>
    <row r="3872" spans="1:22" hidden="1" x14ac:dyDescent="0.25">
      <c r="A3872" s="100">
        <v>45838</v>
      </c>
      <c r="B3872" t="str">
        <f>TEXT(A3872, "mmmm")</f>
        <v>June</v>
      </c>
      <c r="C3872" s="46" t="s">
        <v>280</v>
      </c>
      <c r="F3872" s="366" t="s">
        <v>2187</v>
      </c>
      <c r="G3872" s="46" t="s">
        <v>555</v>
      </c>
      <c r="H3872" s="46">
        <v>8</v>
      </c>
      <c r="I3872" s="51">
        <v>389.47</v>
      </c>
      <c r="J3872" s="281">
        <f>++Tabla4[[#This Row],[Precio Bruto]]*1.16</f>
        <v>451.78519999999997</v>
      </c>
      <c r="K3872" s="281">
        <f>+Tabla4[[#This Row],[Precio Unitario Neto]]*Tabla4[[#Headers],[20.85%]]</f>
        <v>94.197214199999991</v>
      </c>
      <c r="L3872" s="282">
        <f>++Tabla4[[#This Row],[Precio Unitario Neto]]-Tabla4[[#This Row],[20.85%]]</f>
        <v>357.58798579999996</v>
      </c>
      <c r="M3872" s="282" t="e">
        <f>(INDEX(Tabla6[#All],MATCH(Tabla4[[#This Row],[Producto]],Tabla6[[#All],[PRODUCTO]],0),MATCH(Tabla4[[#This Row],[Mes]],Tabla6[#Headers],0)))*(1+Catalogos!$L$2)</f>
        <v>#N/A</v>
      </c>
      <c r="N3872" s="283" t="e">
        <f>+(Tabla4[[#This Row],[Precio Descontado]]-Tabla4[[#This Row],[Precio Base]])*Tabla4[[#This Row],[Cantidad]]</f>
        <v>#N/A</v>
      </c>
      <c r="O3872" s="284" t="e">
        <f>++Tabla4[[#This Row],[Utilidad Total]]/Tabla4[[#This Row],[Total]]</f>
        <v>#N/A</v>
      </c>
      <c r="P3872" s="282">
        <f>++Tabla4[[#This Row],[Precio Descontado]]*Tabla4[[#This Row],[Cantidad]]</f>
        <v>2860.7038863999996</v>
      </c>
      <c r="Q3872" s="282" t="e">
        <f>(INDEX(Tabla6[#All],MATCH(Tabla4[[#This Row],[Producto]],Tabla6[[#All],[PRODUCTO]],0),MATCH(Tabla4[[#This Row],[Mes]],Tabla6[#Headers],0)))</f>
        <v>#N/A</v>
      </c>
      <c r="R3872" s="282" t="e">
        <f>++Tabla4[[#This Row],[Precio Unitario Neto]]-Tabla4[[#This Row],[20.85%]]-Tabla4[[#This Row],[Costo]]</f>
        <v>#N/A</v>
      </c>
      <c r="S3872" s="282" t="e">
        <f>++Tabla4[[#This Row],[U. Bruta Uni]]*Tabla4[[#This Row],[Cantidad]]</f>
        <v>#N/A</v>
      </c>
      <c r="T3872" s="369" t="str">
        <f>VLOOKUP(Tabla4[[#This Row],[Producto]],Tabla6[#All],14,FALSE)</f>
        <v>Termico Solar</v>
      </c>
      <c r="U3872" s="284" t="e">
        <f>(IF(Tabla4[[#This Row],[Familia]]="termico solar",Tabla4[[#This Row],[Utilidad Total]]*6%,Tabla4[[#This Row],[Utilidad Total]]*11.5%))/Tabla4[[#This Row],[Total]]</f>
        <v>#N/A</v>
      </c>
      <c r="V3872" s="282" t="e">
        <f>+Tabla4[[#This Row],[Comisión Calculada]]*Tabla4[[#This Row],[Total]]</f>
        <v>#N/A</v>
      </c>
    </row>
    <row r="3873" spans="1:22" hidden="1" x14ac:dyDescent="0.25">
      <c r="A3873" s="100">
        <v>45838</v>
      </c>
      <c r="B3873" t="str">
        <f>TEXT(A3873, "mmmm")</f>
        <v>June</v>
      </c>
      <c r="C3873" s="46" t="s">
        <v>280</v>
      </c>
      <c r="F3873" s="366" t="s">
        <v>2187</v>
      </c>
      <c r="G3873" s="46" t="s">
        <v>545</v>
      </c>
      <c r="H3873" s="46">
        <v>24</v>
      </c>
      <c r="I3873" s="51">
        <v>304.32</v>
      </c>
      <c r="J3873" s="281">
        <f>++Tabla4[[#This Row],[Precio Bruto]]*1.16</f>
        <v>353.01119999999997</v>
      </c>
      <c r="K3873" s="281">
        <f>+Tabla4[[#This Row],[Precio Unitario Neto]]*Tabla4[[#Headers],[20.85%]]</f>
        <v>73.602835199999987</v>
      </c>
      <c r="L3873" s="282">
        <f>++Tabla4[[#This Row],[Precio Unitario Neto]]-Tabla4[[#This Row],[20.85%]]</f>
        <v>279.40836479999996</v>
      </c>
      <c r="M3873" s="282" t="e">
        <f>(INDEX(Tabla6[#All],MATCH(Tabla4[[#This Row],[Producto]],Tabla6[[#All],[PRODUCTO]],0),MATCH(Tabla4[[#This Row],[Mes]],Tabla6[#Headers],0)))*(1+Catalogos!$L$2)</f>
        <v>#N/A</v>
      </c>
      <c r="N3873" s="283" t="e">
        <f>+(Tabla4[[#This Row],[Precio Descontado]]-Tabla4[[#This Row],[Precio Base]])*Tabla4[[#This Row],[Cantidad]]</f>
        <v>#N/A</v>
      </c>
      <c r="O3873" s="284" t="e">
        <f>++Tabla4[[#This Row],[Utilidad Total]]/Tabla4[[#This Row],[Total]]</f>
        <v>#N/A</v>
      </c>
      <c r="P3873" s="282">
        <f>++Tabla4[[#This Row],[Precio Descontado]]*Tabla4[[#This Row],[Cantidad]]</f>
        <v>6705.800755199999</v>
      </c>
      <c r="Q3873" s="282" t="e">
        <f>(INDEX(Tabla6[#All],MATCH(Tabla4[[#This Row],[Producto]],Tabla6[[#All],[PRODUCTO]],0),MATCH(Tabla4[[#This Row],[Mes]],Tabla6[#Headers],0)))</f>
        <v>#N/A</v>
      </c>
      <c r="R3873" s="282" t="e">
        <f>++Tabla4[[#This Row],[Precio Unitario Neto]]-Tabla4[[#This Row],[20.85%]]-Tabla4[[#This Row],[Costo]]</f>
        <v>#N/A</v>
      </c>
      <c r="S3873" s="282" t="e">
        <f>++Tabla4[[#This Row],[U. Bruta Uni]]*Tabla4[[#This Row],[Cantidad]]</f>
        <v>#N/A</v>
      </c>
      <c r="T3873" s="369" t="str">
        <f>VLOOKUP(Tabla4[[#This Row],[Producto]],Tabla6[#All],14,FALSE)</f>
        <v>Termico Solar</v>
      </c>
      <c r="U3873" s="284" t="e">
        <f>(IF(Tabla4[[#This Row],[Familia]]="termico solar",Tabla4[[#This Row],[Utilidad Total]]*6%,Tabla4[[#This Row],[Utilidad Total]]*11.5%))/Tabla4[[#This Row],[Total]]</f>
        <v>#N/A</v>
      </c>
      <c r="V3873" s="282" t="e">
        <f>+Tabla4[[#This Row],[Comisión Calculada]]*Tabla4[[#This Row],[Total]]</f>
        <v>#N/A</v>
      </c>
    </row>
    <row r="3874" spans="1:22" hidden="1" x14ac:dyDescent="0.25">
      <c r="A3874" s="100">
        <v>45838</v>
      </c>
      <c r="B3874" t="str">
        <f>TEXT(A3874, "mmmm")</f>
        <v>June</v>
      </c>
      <c r="C3874" s="46" t="s">
        <v>280</v>
      </c>
      <c r="F3874" s="366" t="s">
        <v>2187</v>
      </c>
      <c r="G3874" s="46" t="s">
        <v>209</v>
      </c>
      <c r="H3874" s="46">
        <v>1</v>
      </c>
      <c r="I3874" s="51">
        <v>347.48</v>
      </c>
      <c r="J3874" s="281">
        <f>++Tabla4[[#This Row],[Precio Bruto]]*1.16</f>
        <v>403.07679999999999</v>
      </c>
      <c r="K3874" s="281">
        <f>+Tabla4[[#This Row],[Precio Unitario Neto]]*Tabla4[[#Headers],[20.85%]]</f>
        <v>84.041512799999992</v>
      </c>
      <c r="L3874" s="282">
        <f>++Tabla4[[#This Row],[Precio Unitario Neto]]-Tabla4[[#This Row],[20.85%]]</f>
        <v>319.03528719999997</v>
      </c>
      <c r="M3874" s="282" t="e">
        <f>(INDEX(Tabla6[#All],MATCH(Tabla4[[#This Row],[Producto]],Tabla6[[#All],[PRODUCTO]],0),MATCH(Tabla4[[#This Row],[Mes]],Tabla6[#Headers],0)))*(1+Catalogos!$L$2)</f>
        <v>#N/A</v>
      </c>
      <c r="N3874" s="283" t="e">
        <f>+(Tabla4[[#This Row],[Precio Descontado]]-Tabla4[[#This Row],[Precio Base]])*Tabla4[[#This Row],[Cantidad]]</f>
        <v>#N/A</v>
      </c>
      <c r="O3874" s="284" t="e">
        <f>++Tabla4[[#This Row],[Utilidad Total]]/Tabla4[[#This Row],[Total]]</f>
        <v>#N/A</v>
      </c>
      <c r="P3874" s="282">
        <f>++Tabla4[[#This Row],[Precio Descontado]]*Tabla4[[#This Row],[Cantidad]]</f>
        <v>319.03528719999997</v>
      </c>
      <c r="Q3874" s="282" t="e">
        <f>(INDEX(Tabla6[#All],MATCH(Tabla4[[#This Row],[Producto]],Tabla6[[#All],[PRODUCTO]],0),MATCH(Tabla4[[#This Row],[Mes]],Tabla6[#Headers],0)))</f>
        <v>#N/A</v>
      </c>
      <c r="R3874" s="282" t="e">
        <f>++Tabla4[[#This Row],[Precio Unitario Neto]]-Tabla4[[#This Row],[20.85%]]-Tabla4[[#This Row],[Costo]]</f>
        <v>#N/A</v>
      </c>
      <c r="S3874" s="282" t="e">
        <f>++Tabla4[[#This Row],[U. Bruta Uni]]*Tabla4[[#This Row],[Cantidad]]</f>
        <v>#N/A</v>
      </c>
      <c r="T3874" s="369" t="str">
        <f>VLOOKUP(Tabla4[[#This Row],[Producto]],Tabla6[#All],14,FALSE)</f>
        <v>Termico Solar</v>
      </c>
      <c r="U3874" s="284" t="e">
        <f>(IF(Tabla4[[#This Row],[Familia]]="termico solar",Tabla4[[#This Row],[Utilidad Total]]*6%,Tabla4[[#This Row],[Utilidad Total]]*11.5%))/Tabla4[[#This Row],[Total]]</f>
        <v>#N/A</v>
      </c>
      <c r="V3874" s="282" t="e">
        <f>+Tabla4[[#This Row],[Comisión Calculada]]*Tabla4[[#This Row],[Total]]</f>
        <v>#N/A</v>
      </c>
    </row>
    <row r="3875" spans="1:22" hidden="1" x14ac:dyDescent="0.25">
      <c r="A3875" s="100">
        <v>45838</v>
      </c>
      <c r="B3875" t="str">
        <f t="shared" ref="B3875:B3882" si="182">TEXT(A3875, "mmmm")</f>
        <v>June</v>
      </c>
      <c r="C3875" s="46" t="s">
        <v>280</v>
      </c>
      <c r="F3875" s="366" t="s">
        <v>2188</v>
      </c>
      <c r="G3875" s="46" t="s">
        <v>83</v>
      </c>
      <c r="H3875" s="46">
        <v>1</v>
      </c>
      <c r="I3875" s="51">
        <v>8858.76</v>
      </c>
      <c r="J3875" s="281">
        <f>++Tabla4[[#This Row],[Precio Bruto]]*1.16</f>
        <v>10276.161599999999</v>
      </c>
      <c r="K3875" s="281">
        <f>+Tabla4[[#This Row],[Precio Unitario Neto]]*Tabla4[[#Headers],[20.85%]]</f>
        <v>2142.5796935999997</v>
      </c>
      <c r="L3875" s="282">
        <f>++Tabla4[[#This Row],[Precio Unitario Neto]]-Tabla4[[#This Row],[20.85%]]</f>
        <v>8133.5819063999998</v>
      </c>
      <c r="M3875" s="282" t="e">
        <f>(INDEX(Tabla6[#All],MATCH(Tabla4[[#This Row],[Producto]],Tabla6[[#All],[PRODUCTO]],0),MATCH(Tabla4[[#This Row],[Mes]],Tabla6[#Headers],0)))*(1+Catalogos!$L$2)</f>
        <v>#N/A</v>
      </c>
      <c r="N3875" s="283" t="e">
        <f>+(Tabla4[[#This Row],[Precio Descontado]]-Tabla4[[#This Row],[Precio Base]])*Tabla4[[#This Row],[Cantidad]]</f>
        <v>#N/A</v>
      </c>
      <c r="O3875" s="284" t="e">
        <f>++Tabla4[[#This Row],[Utilidad Total]]/Tabla4[[#This Row],[Total]]</f>
        <v>#N/A</v>
      </c>
      <c r="P3875" s="282">
        <f>++Tabla4[[#This Row],[Precio Descontado]]*Tabla4[[#This Row],[Cantidad]]</f>
        <v>8133.5819063999998</v>
      </c>
      <c r="Q3875" s="282" t="e">
        <f>(INDEX(Tabla6[#All],MATCH(Tabla4[[#This Row],[Producto]],Tabla6[[#All],[PRODUCTO]],0),MATCH(Tabla4[[#This Row],[Mes]],Tabla6[#Headers],0)))</f>
        <v>#N/A</v>
      </c>
      <c r="R3875" s="282" t="e">
        <f>++Tabla4[[#This Row],[Precio Unitario Neto]]-Tabla4[[#This Row],[20.85%]]-Tabla4[[#This Row],[Costo]]</f>
        <v>#N/A</v>
      </c>
      <c r="S3875" s="282" t="e">
        <f>++Tabla4[[#This Row],[U. Bruta Uni]]*Tabla4[[#This Row],[Cantidad]]</f>
        <v>#N/A</v>
      </c>
      <c r="T3875" s="369" t="str">
        <f>VLOOKUP(Tabla4[[#This Row],[Producto]],Tabla6[#All],14,FALSE)</f>
        <v>Termico Solar</v>
      </c>
      <c r="U3875" s="284" t="e">
        <f>(IF(Tabla4[[#This Row],[Familia]]="termico solar",Tabla4[[#This Row],[Utilidad Total]]*6%,Tabla4[[#This Row],[Utilidad Total]]*11.5%))/Tabla4[[#This Row],[Total]]</f>
        <v>#N/A</v>
      </c>
      <c r="V3875" s="282" t="e">
        <f>+Tabla4[[#This Row],[Comisión Calculada]]*Tabla4[[#This Row],[Total]]</f>
        <v>#N/A</v>
      </c>
    </row>
    <row r="3876" spans="1:22" hidden="1" x14ac:dyDescent="0.25">
      <c r="A3876" s="100">
        <v>45838</v>
      </c>
      <c r="B3876" t="str">
        <f t="shared" si="182"/>
        <v>June</v>
      </c>
      <c r="C3876" s="46" t="s">
        <v>280</v>
      </c>
      <c r="F3876" s="366" t="s">
        <v>2188</v>
      </c>
      <c r="G3876" s="46" t="s">
        <v>18</v>
      </c>
      <c r="H3876" s="46">
        <v>2</v>
      </c>
      <c r="I3876" s="51">
        <v>5367.65</v>
      </c>
      <c r="J3876" s="281">
        <f>++Tabla4[[#This Row],[Precio Bruto]]*1.16</f>
        <v>6226.4739999999993</v>
      </c>
      <c r="K3876" s="281">
        <f>+Tabla4[[#This Row],[Precio Unitario Neto]]*Tabla4[[#Headers],[20.85%]]</f>
        <v>1298.2198289999999</v>
      </c>
      <c r="L3876" s="282">
        <f>++Tabla4[[#This Row],[Precio Unitario Neto]]-Tabla4[[#This Row],[20.85%]]</f>
        <v>4928.2541709999996</v>
      </c>
      <c r="M3876" s="282" t="e">
        <f>(INDEX(Tabla6[#All],MATCH(Tabla4[[#This Row],[Producto]],Tabla6[[#All],[PRODUCTO]],0),MATCH(Tabla4[[#This Row],[Mes]],Tabla6[#Headers],0)))*(1+Catalogos!$L$2)</f>
        <v>#N/A</v>
      </c>
      <c r="N3876" s="283" t="e">
        <f>+(Tabla4[[#This Row],[Precio Descontado]]-Tabla4[[#This Row],[Precio Base]])*Tabla4[[#This Row],[Cantidad]]</f>
        <v>#N/A</v>
      </c>
      <c r="O3876" s="284" t="e">
        <f>++Tabla4[[#This Row],[Utilidad Total]]/Tabla4[[#This Row],[Total]]</f>
        <v>#N/A</v>
      </c>
      <c r="P3876" s="282">
        <f>++Tabla4[[#This Row],[Precio Descontado]]*Tabla4[[#This Row],[Cantidad]]</f>
        <v>9856.5083419999992</v>
      </c>
      <c r="Q3876" s="282" t="e">
        <f>(INDEX(Tabla6[#All],MATCH(Tabla4[[#This Row],[Producto]],Tabla6[[#All],[PRODUCTO]],0),MATCH(Tabla4[[#This Row],[Mes]],Tabla6[#Headers],0)))</f>
        <v>#N/A</v>
      </c>
      <c r="R3876" s="282" t="e">
        <f>++Tabla4[[#This Row],[Precio Unitario Neto]]-Tabla4[[#This Row],[20.85%]]-Tabla4[[#This Row],[Costo]]</f>
        <v>#N/A</v>
      </c>
      <c r="S3876" s="282" t="e">
        <f>++Tabla4[[#This Row],[U. Bruta Uni]]*Tabla4[[#This Row],[Cantidad]]</f>
        <v>#N/A</v>
      </c>
      <c r="T3876" s="369" t="str">
        <f>VLOOKUP(Tabla4[[#This Row],[Producto]],Tabla6[#All],14,FALSE)</f>
        <v>Termico Solar</v>
      </c>
      <c r="U3876" s="284" t="e">
        <f>(IF(Tabla4[[#This Row],[Familia]]="termico solar",Tabla4[[#This Row],[Utilidad Total]]*6%,Tabla4[[#This Row],[Utilidad Total]]*11.5%))/Tabla4[[#This Row],[Total]]</f>
        <v>#N/A</v>
      </c>
      <c r="V3876" s="282" t="e">
        <f>+Tabla4[[#This Row],[Comisión Calculada]]*Tabla4[[#This Row],[Total]]</f>
        <v>#N/A</v>
      </c>
    </row>
    <row r="3877" spans="1:22" hidden="1" x14ac:dyDescent="0.25">
      <c r="A3877" s="100">
        <v>45838</v>
      </c>
      <c r="B3877" t="str">
        <f t="shared" si="182"/>
        <v>June</v>
      </c>
      <c r="C3877" s="46" t="s">
        <v>280</v>
      </c>
      <c r="F3877" s="366" t="s">
        <v>2188</v>
      </c>
      <c r="G3877" s="46" t="s">
        <v>394</v>
      </c>
      <c r="H3877" s="46">
        <v>9</v>
      </c>
      <c r="I3877" s="51">
        <v>108.1</v>
      </c>
      <c r="J3877" s="281">
        <f>++Tabla4[[#This Row],[Precio Bruto]]*1.16</f>
        <v>125.39599999999999</v>
      </c>
      <c r="K3877" s="281">
        <f>+Tabla4[[#This Row],[Precio Unitario Neto]]*Tabla4[[#Headers],[20.85%]]</f>
        <v>26.145065999999996</v>
      </c>
      <c r="L3877" s="282">
        <f>++Tabla4[[#This Row],[Precio Unitario Neto]]-Tabla4[[#This Row],[20.85%]]</f>
        <v>99.250933999999987</v>
      </c>
      <c r="M3877" s="282" t="e">
        <f>(INDEX(Tabla6[#All],MATCH(Tabla4[[#This Row],[Producto]],Tabla6[[#All],[PRODUCTO]],0),MATCH(Tabla4[[#This Row],[Mes]],Tabla6[#Headers],0)))*(1+Catalogos!$L$2)</f>
        <v>#N/A</v>
      </c>
      <c r="N3877" s="283" t="e">
        <f>+(Tabla4[[#This Row],[Precio Descontado]]-Tabla4[[#This Row],[Precio Base]])*Tabla4[[#This Row],[Cantidad]]</f>
        <v>#N/A</v>
      </c>
      <c r="O3877" s="284" t="e">
        <f>++Tabla4[[#This Row],[Utilidad Total]]/Tabla4[[#This Row],[Total]]</f>
        <v>#N/A</v>
      </c>
      <c r="P3877" s="282">
        <f>++Tabla4[[#This Row],[Precio Descontado]]*Tabla4[[#This Row],[Cantidad]]</f>
        <v>893.25840599999992</v>
      </c>
      <c r="Q3877" s="282" t="e">
        <f>(INDEX(Tabla6[#All],MATCH(Tabla4[[#This Row],[Producto]],Tabla6[[#All],[PRODUCTO]],0),MATCH(Tabla4[[#This Row],[Mes]],Tabla6[#Headers],0)))</f>
        <v>#N/A</v>
      </c>
      <c r="R3877" s="282" t="e">
        <f>++Tabla4[[#This Row],[Precio Unitario Neto]]-Tabla4[[#This Row],[20.85%]]-Tabla4[[#This Row],[Costo]]</f>
        <v>#N/A</v>
      </c>
      <c r="S3877" s="282" t="e">
        <f>++Tabla4[[#This Row],[U. Bruta Uni]]*Tabla4[[#This Row],[Cantidad]]</f>
        <v>#N/A</v>
      </c>
      <c r="T3877" s="369" t="str">
        <f>VLOOKUP(Tabla4[[#This Row],[Producto]],Tabla6[#All],14,FALSE)</f>
        <v>Termico Solar</v>
      </c>
      <c r="U3877" s="284" t="e">
        <f>(IF(Tabla4[[#This Row],[Familia]]="termico solar",Tabla4[[#This Row],[Utilidad Total]]*6%,Tabla4[[#This Row],[Utilidad Total]]*11.5%))/Tabla4[[#This Row],[Total]]</f>
        <v>#N/A</v>
      </c>
      <c r="V3877" s="282" t="e">
        <f>+Tabla4[[#This Row],[Comisión Calculada]]*Tabla4[[#This Row],[Total]]</f>
        <v>#N/A</v>
      </c>
    </row>
    <row r="3878" spans="1:22" hidden="1" x14ac:dyDescent="0.25">
      <c r="A3878" s="100">
        <v>45838</v>
      </c>
      <c r="B3878" t="str">
        <f t="shared" si="182"/>
        <v>June</v>
      </c>
      <c r="C3878" s="46" t="s">
        <v>280</v>
      </c>
      <c r="F3878" s="366" t="s">
        <v>2188</v>
      </c>
      <c r="G3878" s="46" t="s">
        <v>16</v>
      </c>
      <c r="H3878" s="46">
        <v>1</v>
      </c>
      <c r="I3878" s="51">
        <v>4103.8500000000004</v>
      </c>
      <c r="J3878" s="281">
        <f>++Tabla4[[#This Row],[Precio Bruto]]*1.16</f>
        <v>4760.4660000000003</v>
      </c>
      <c r="K3878" s="281">
        <f>+Tabla4[[#This Row],[Precio Unitario Neto]]*Tabla4[[#Headers],[20.85%]]</f>
        <v>992.55716100000006</v>
      </c>
      <c r="L3878" s="282">
        <f>++Tabla4[[#This Row],[Precio Unitario Neto]]-Tabla4[[#This Row],[20.85%]]</f>
        <v>3767.9088390000002</v>
      </c>
      <c r="M3878" s="282" t="e">
        <f>(INDEX(Tabla6[#All],MATCH(Tabla4[[#This Row],[Producto]],Tabla6[[#All],[PRODUCTO]],0),MATCH(Tabla4[[#This Row],[Mes]],Tabla6[#Headers],0)))*(1+Catalogos!$L$2)</f>
        <v>#N/A</v>
      </c>
      <c r="N3878" s="283" t="e">
        <f>+(Tabla4[[#This Row],[Precio Descontado]]-Tabla4[[#This Row],[Precio Base]])*Tabla4[[#This Row],[Cantidad]]</f>
        <v>#N/A</v>
      </c>
      <c r="O3878" s="284" t="e">
        <f>++Tabla4[[#This Row],[Utilidad Total]]/Tabla4[[#This Row],[Total]]</f>
        <v>#N/A</v>
      </c>
      <c r="P3878" s="282">
        <f>++Tabla4[[#This Row],[Precio Descontado]]*Tabla4[[#This Row],[Cantidad]]</f>
        <v>3767.9088390000002</v>
      </c>
      <c r="Q3878" s="282" t="e">
        <f>(INDEX(Tabla6[#All],MATCH(Tabla4[[#This Row],[Producto]],Tabla6[[#All],[PRODUCTO]],0),MATCH(Tabla4[[#This Row],[Mes]],Tabla6[#Headers],0)))</f>
        <v>#N/A</v>
      </c>
      <c r="R3878" s="282" t="e">
        <f>++Tabla4[[#This Row],[Precio Unitario Neto]]-Tabla4[[#This Row],[20.85%]]-Tabla4[[#This Row],[Costo]]</f>
        <v>#N/A</v>
      </c>
      <c r="S3878" s="282" t="e">
        <f>++Tabla4[[#This Row],[U. Bruta Uni]]*Tabla4[[#This Row],[Cantidad]]</f>
        <v>#N/A</v>
      </c>
      <c r="T3878" s="369" t="str">
        <f>VLOOKUP(Tabla4[[#This Row],[Producto]],Tabla6[#All],14,FALSE)</f>
        <v>Termico Solar</v>
      </c>
      <c r="U3878" s="284" t="e">
        <f>(IF(Tabla4[[#This Row],[Familia]]="termico solar",Tabla4[[#This Row],[Utilidad Total]]*6%,Tabla4[[#This Row],[Utilidad Total]]*11.5%))/Tabla4[[#This Row],[Total]]</f>
        <v>#N/A</v>
      </c>
      <c r="V3878" s="282" t="e">
        <f>+Tabla4[[#This Row],[Comisión Calculada]]*Tabla4[[#This Row],[Total]]</f>
        <v>#N/A</v>
      </c>
    </row>
    <row r="3879" spans="1:22" hidden="1" x14ac:dyDescent="0.25">
      <c r="A3879" s="100">
        <v>45838</v>
      </c>
      <c r="B3879" t="str">
        <f t="shared" si="182"/>
        <v>June</v>
      </c>
      <c r="C3879" s="46" t="s">
        <v>280</v>
      </c>
      <c r="F3879" s="366" t="s">
        <v>2188</v>
      </c>
      <c r="G3879" s="46" t="s">
        <v>200</v>
      </c>
      <c r="H3879" s="46">
        <v>12</v>
      </c>
      <c r="I3879" s="51">
        <v>393.22</v>
      </c>
      <c r="J3879" s="281">
        <f>++Tabla4[[#This Row],[Precio Bruto]]*1.16</f>
        <v>456.1352</v>
      </c>
      <c r="K3879" s="281">
        <f>+Tabla4[[#This Row],[Precio Unitario Neto]]*Tabla4[[#Headers],[20.85%]]</f>
        <v>95.104189199999993</v>
      </c>
      <c r="L3879" s="282">
        <f>++Tabla4[[#This Row],[Precio Unitario Neto]]-Tabla4[[#This Row],[20.85%]]</f>
        <v>361.03101079999999</v>
      </c>
      <c r="M3879" s="282" t="e">
        <f>(INDEX(Tabla6[#All],MATCH(Tabla4[[#This Row],[Producto]],Tabla6[[#All],[PRODUCTO]],0),MATCH(Tabla4[[#This Row],[Mes]],Tabla6[#Headers],0)))*(1+Catalogos!$L$2)</f>
        <v>#N/A</v>
      </c>
      <c r="N3879" s="283" t="e">
        <f>+(Tabla4[[#This Row],[Precio Descontado]]-Tabla4[[#This Row],[Precio Base]])*Tabla4[[#This Row],[Cantidad]]</f>
        <v>#N/A</v>
      </c>
      <c r="O3879" s="284" t="e">
        <f>++Tabla4[[#This Row],[Utilidad Total]]/Tabla4[[#This Row],[Total]]</f>
        <v>#N/A</v>
      </c>
      <c r="P3879" s="282">
        <f>++Tabla4[[#This Row],[Precio Descontado]]*Tabla4[[#This Row],[Cantidad]]</f>
        <v>4332.3721296000003</v>
      </c>
      <c r="Q3879" s="282" t="e">
        <f>(INDEX(Tabla6[#All],MATCH(Tabla4[[#This Row],[Producto]],Tabla6[[#All],[PRODUCTO]],0),MATCH(Tabla4[[#This Row],[Mes]],Tabla6[#Headers],0)))</f>
        <v>#N/A</v>
      </c>
      <c r="R3879" s="282" t="e">
        <f>++Tabla4[[#This Row],[Precio Unitario Neto]]-Tabla4[[#This Row],[20.85%]]-Tabla4[[#This Row],[Costo]]</f>
        <v>#N/A</v>
      </c>
      <c r="S3879" s="282" t="e">
        <f>++Tabla4[[#This Row],[U. Bruta Uni]]*Tabla4[[#This Row],[Cantidad]]</f>
        <v>#N/A</v>
      </c>
      <c r="T3879" s="369" t="str">
        <f>VLOOKUP(Tabla4[[#This Row],[Producto]],Tabla6[#All],14,FALSE)</f>
        <v>Termico Solar</v>
      </c>
      <c r="U3879" s="284" t="e">
        <f>(IF(Tabla4[[#This Row],[Familia]]="termico solar",Tabla4[[#This Row],[Utilidad Total]]*6%,Tabla4[[#This Row],[Utilidad Total]]*11.5%))/Tabla4[[#This Row],[Total]]</f>
        <v>#N/A</v>
      </c>
      <c r="V3879" s="282" t="e">
        <f>+Tabla4[[#This Row],[Comisión Calculada]]*Tabla4[[#This Row],[Total]]</f>
        <v>#N/A</v>
      </c>
    </row>
    <row r="3880" spans="1:22" hidden="1" x14ac:dyDescent="0.25">
      <c r="A3880" s="100">
        <v>45838</v>
      </c>
      <c r="B3880" t="str">
        <f t="shared" si="182"/>
        <v>June</v>
      </c>
      <c r="C3880" s="46" t="s">
        <v>280</v>
      </c>
      <c r="F3880" s="366" t="s">
        <v>2188</v>
      </c>
      <c r="G3880" s="46" t="s">
        <v>545</v>
      </c>
      <c r="H3880" s="46">
        <v>24</v>
      </c>
      <c r="I3880" s="51">
        <v>304.32</v>
      </c>
      <c r="J3880" s="281">
        <f>++Tabla4[[#This Row],[Precio Bruto]]*1.16</f>
        <v>353.01119999999997</v>
      </c>
      <c r="K3880" s="281">
        <f>+Tabla4[[#This Row],[Precio Unitario Neto]]*Tabla4[[#Headers],[20.85%]]</f>
        <v>73.602835199999987</v>
      </c>
      <c r="L3880" s="282">
        <f>++Tabla4[[#This Row],[Precio Unitario Neto]]-Tabla4[[#This Row],[20.85%]]</f>
        <v>279.40836479999996</v>
      </c>
      <c r="M3880" s="282" t="e">
        <f>(INDEX(Tabla6[#All],MATCH(Tabla4[[#This Row],[Producto]],Tabla6[[#All],[PRODUCTO]],0),MATCH(Tabla4[[#This Row],[Mes]],Tabla6[#Headers],0)))*(1+Catalogos!$L$2)</f>
        <v>#N/A</v>
      </c>
      <c r="N3880" s="283" t="e">
        <f>+(Tabla4[[#This Row],[Precio Descontado]]-Tabla4[[#This Row],[Precio Base]])*Tabla4[[#This Row],[Cantidad]]</f>
        <v>#N/A</v>
      </c>
      <c r="O3880" s="284" t="e">
        <f>++Tabla4[[#This Row],[Utilidad Total]]/Tabla4[[#This Row],[Total]]</f>
        <v>#N/A</v>
      </c>
      <c r="P3880" s="282">
        <f>++Tabla4[[#This Row],[Precio Descontado]]*Tabla4[[#This Row],[Cantidad]]</f>
        <v>6705.800755199999</v>
      </c>
      <c r="Q3880" s="282" t="e">
        <f>(INDEX(Tabla6[#All],MATCH(Tabla4[[#This Row],[Producto]],Tabla6[[#All],[PRODUCTO]],0),MATCH(Tabla4[[#This Row],[Mes]],Tabla6[#Headers],0)))</f>
        <v>#N/A</v>
      </c>
      <c r="R3880" s="282" t="e">
        <f>++Tabla4[[#This Row],[Precio Unitario Neto]]-Tabla4[[#This Row],[20.85%]]-Tabla4[[#This Row],[Costo]]</f>
        <v>#N/A</v>
      </c>
      <c r="S3880" s="282" t="e">
        <f>++Tabla4[[#This Row],[U. Bruta Uni]]*Tabla4[[#This Row],[Cantidad]]</f>
        <v>#N/A</v>
      </c>
      <c r="T3880" s="369" t="str">
        <f>VLOOKUP(Tabla4[[#This Row],[Producto]],Tabla6[#All],14,FALSE)</f>
        <v>Termico Solar</v>
      </c>
      <c r="U3880" s="284" t="e">
        <f>(IF(Tabla4[[#This Row],[Familia]]="termico solar",Tabla4[[#This Row],[Utilidad Total]]*6%,Tabla4[[#This Row],[Utilidad Total]]*11.5%))/Tabla4[[#This Row],[Total]]</f>
        <v>#N/A</v>
      </c>
      <c r="V3880" s="282" t="e">
        <f>+Tabla4[[#This Row],[Comisión Calculada]]*Tabla4[[#This Row],[Total]]</f>
        <v>#N/A</v>
      </c>
    </row>
    <row r="3881" spans="1:22" hidden="1" x14ac:dyDescent="0.25">
      <c r="A3881" s="100">
        <v>45838</v>
      </c>
      <c r="B3881" t="str">
        <f t="shared" si="182"/>
        <v>June</v>
      </c>
      <c r="C3881" s="46" t="s">
        <v>280</v>
      </c>
      <c r="F3881" s="366" t="s">
        <v>2188</v>
      </c>
      <c r="G3881" s="46" t="s">
        <v>208</v>
      </c>
      <c r="H3881" s="46">
        <v>1</v>
      </c>
      <c r="I3881" s="51">
        <v>189.75</v>
      </c>
      <c r="J3881" s="281">
        <f>++Tabla4[[#This Row],[Precio Bruto]]*1.16</f>
        <v>220.10999999999999</v>
      </c>
      <c r="K3881" s="281">
        <f>+Tabla4[[#This Row],[Precio Unitario Neto]]*Tabla4[[#Headers],[20.85%]]</f>
        <v>45.892934999999994</v>
      </c>
      <c r="L3881" s="282">
        <f>++Tabla4[[#This Row],[Precio Unitario Neto]]-Tabla4[[#This Row],[20.85%]]</f>
        <v>174.21706499999999</v>
      </c>
      <c r="M3881" s="282" t="e">
        <f>(INDEX(Tabla6[#All],MATCH(Tabla4[[#This Row],[Producto]],Tabla6[[#All],[PRODUCTO]],0),MATCH(Tabla4[[#This Row],[Mes]],Tabla6[#Headers],0)))*(1+Catalogos!$L$2)</f>
        <v>#N/A</v>
      </c>
      <c r="N3881" s="283" t="e">
        <f>+(Tabla4[[#This Row],[Precio Descontado]]-Tabla4[[#This Row],[Precio Base]])*Tabla4[[#This Row],[Cantidad]]</f>
        <v>#N/A</v>
      </c>
      <c r="O3881" s="284" t="e">
        <f>++Tabla4[[#This Row],[Utilidad Total]]/Tabla4[[#This Row],[Total]]</f>
        <v>#N/A</v>
      </c>
      <c r="P3881" s="282">
        <f>++Tabla4[[#This Row],[Precio Descontado]]*Tabla4[[#This Row],[Cantidad]]</f>
        <v>174.21706499999999</v>
      </c>
      <c r="Q3881" s="282" t="e">
        <f>(INDEX(Tabla6[#All],MATCH(Tabla4[[#This Row],[Producto]],Tabla6[[#All],[PRODUCTO]],0),MATCH(Tabla4[[#This Row],[Mes]],Tabla6[#Headers],0)))</f>
        <v>#N/A</v>
      </c>
      <c r="R3881" s="282" t="e">
        <f>++Tabla4[[#This Row],[Precio Unitario Neto]]-Tabla4[[#This Row],[20.85%]]-Tabla4[[#This Row],[Costo]]</f>
        <v>#N/A</v>
      </c>
      <c r="S3881" s="282" t="e">
        <f>++Tabla4[[#This Row],[U. Bruta Uni]]*Tabla4[[#This Row],[Cantidad]]</f>
        <v>#N/A</v>
      </c>
      <c r="T3881" s="369" t="str">
        <f>VLOOKUP(Tabla4[[#This Row],[Producto]],Tabla6[#All],14,FALSE)</f>
        <v>Termico Solar</v>
      </c>
      <c r="U3881" s="284" t="e">
        <f>(IF(Tabla4[[#This Row],[Familia]]="termico solar",Tabla4[[#This Row],[Utilidad Total]]*6%,Tabla4[[#This Row],[Utilidad Total]]*11.5%))/Tabla4[[#This Row],[Total]]</f>
        <v>#N/A</v>
      </c>
      <c r="V3881" s="282" t="e">
        <f>+Tabla4[[#This Row],[Comisión Calculada]]*Tabla4[[#This Row],[Total]]</f>
        <v>#N/A</v>
      </c>
    </row>
    <row r="3882" spans="1:22" hidden="1" x14ac:dyDescent="0.25">
      <c r="A3882" s="100">
        <v>45838</v>
      </c>
      <c r="B3882" t="str">
        <f t="shared" si="182"/>
        <v>June</v>
      </c>
      <c r="C3882" s="46" t="s">
        <v>280</v>
      </c>
      <c r="F3882" s="366" t="s">
        <v>2188</v>
      </c>
      <c r="G3882" s="46" t="s">
        <v>209</v>
      </c>
      <c r="H3882" s="46">
        <v>2</v>
      </c>
      <c r="I3882" s="51">
        <v>347.48</v>
      </c>
      <c r="J3882" s="281">
        <f>++Tabla4[[#This Row],[Precio Bruto]]*1.16</f>
        <v>403.07679999999999</v>
      </c>
      <c r="K3882" s="281">
        <f>+Tabla4[[#This Row],[Precio Unitario Neto]]*Tabla4[[#Headers],[20.85%]]</f>
        <v>84.041512799999992</v>
      </c>
      <c r="L3882" s="282">
        <f>++Tabla4[[#This Row],[Precio Unitario Neto]]-Tabla4[[#This Row],[20.85%]]</f>
        <v>319.03528719999997</v>
      </c>
      <c r="M3882" s="282" t="e">
        <f>(INDEX(Tabla6[#All],MATCH(Tabla4[[#This Row],[Producto]],Tabla6[[#All],[PRODUCTO]],0),MATCH(Tabla4[[#This Row],[Mes]],Tabla6[#Headers],0)))*(1+Catalogos!$L$2)</f>
        <v>#N/A</v>
      </c>
      <c r="N3882" s="283" t="e">
        <f>+(Tabla4[[#This Row],[Precio Descontado]]-Tabla4[[#This Row],[Precio Base]])*Tabla4[[#This Row],[Cantidad]]</f>
        <v>#N/A</v>
      </c>
      <c r="O3882" s="284" t="e">
        <f>++Tabla4[[#This Row],[Utilidad Total]]/Tabla4[[#This Row],[Total]]</f>
        <v>#N/A</v>
      </c>
      <c r="P3882" s="282">
        <f>++Tabla4[[#This Row],[Precio Descontado]]*Tabla4[[#This Row],[Cantidad]]</f>
        <v>638.07057439999994</v>
      </c>
      <c r="Q3882" s="282" t="e">
        <f>(INDEX(Tabla6[#All],MATCH(Tabla4[[#This Row],[Producto]],Tabla6[[#All],[PRODUCTO]],0),MATCH(Tabla4[[#This Row],[Mes]],Tabla6[#Headers],0)))</f>
        <v>#N/A</v>
      </c>
      <c r="R3882" s="282" t="e">
        <f>++Tabla4[[#This Row],[Precio Unitario Neto]]-Tabla4[[#This Row],[20.85%]]-Tabla4[[#This Row],[Costo]]</f>
        <v>#N/A</v>
      </c>
      <c r="S3882" s="282" t="e">
        <f>++Tabla4[[#This Row],[U. Bruta Uni]]*Tabla4[[#This Row],[Cantidad]]</f>
        <v>#N/A</v>
      </c>
      <c r="T3882" s="369" t="str">
        <f>VLOOKUP(Tabla4[[#This Row],[Producto]],Tabla6[#All],14,FALSE)</f>
        <v>Termico Solar</v>
      </c>
      <c r="U3882" s="284" t="e">
        <f>(IF(Tabla4[[#This Row],[Familia]]="termico solar",Tabla4[[#This Row],[Utilidad Total]]*6%,Tabla4[[#This Row],[Utilidad Total]]*11.5%))/Tabla4[[#This Row],[Total]]</f>
        <v>#N/A</v>
      </c>
      <c r="V3882" s="282" t="e">
        <f>+Tabla4[[#This Row],[Comisión Calculada]]*Tabla4[[#This Row],[Total]]</f>
        <v>#N/A</v>
      </c>
    </row>
    <row r="3883" spans="1:22" hidden="1" x14ac:dyDescent="0.25">
      <c r="A3883" s="100">
        <v>45838</v>
      </c>
      <c r="B3883" t="str">
        <f t="shared" ref="B3883:B3889" si="183">TEXT(A3883, "mmmm")</f>
        <v>June</v>
      </c>
      <c r="C3883" s="46" t="s">
        <v>280</v>
      </c>
      <c r="F3883" s="366" t="s">
        <v>2189</v>
      </c>
      <c r="G3883" s="46" t="s">
        <v>83</v>
      </c>
      <c r="H3883" s="46">
        <v>2</v>
      </c>
      <c r="I3883" s="51">
        <v>8858.76</v>
      </c>
      <c r="J3883" s="281">
        <f>++Tabla4[[#This Row],[Precio Bruto]]*1.16</f>
        <v>10276.161599999999</v>
      </c>
      <c r="K3883" s="281">
        <f>+Tabla4[[#This Row],[Precio Unitario Neto]]*Tabla4[[#Headers],[20.85%]]</f>
        <v>2142.5796935999997</v>
      </c>
      <c r="L3883" s="282">
        <f>++Tabla4[[#This Row],[Precio Unitario Neto]]-Tabla4[[#This Row],[20.85%]]</f>
        <v>8133.5819063999998</v>
      </c>
      <c r="M3883" s="282" t="e">
        <f>(INDEX(Tabla6[#All],MATCH(Tabla4[[#This Row],[Producto]],Tabla6[[#All],[PRODUCTO]],0),MATCH(Tabla4[[#This Row],[Mes]],Tabla6[#Headers],0)))*(1+Catalogos!$L$2)</f>
        <v>#N/A</v>
      </c>
      <c r="N3883" s="283" t="e">
        <f>+(Tabla4[[#This Row],[Precio Descontado]]-Tabla4[[#This Row],[Precio Base]])*Tabla4[[#This Row],[Cantidad]]</f>
        <v>#N/A</v>
      </c>
      <c r="O3883" s="284" t="e">
        <f>++Tabla4[[#This Row],[Utilidad Total]]/Tabla4[[#This Row],[Total]]</f>
        <v>#N/A</v>
      </c>
      <c r="P3883" s="282">
        <f>++Tabla4[[#This Row],[Precio Descontado]]*Tabla4[[#This Row],[Cantidad]]</f>
        <v>16267.1638128</v>
      </c>
      <c r="Q3883" s="282" t="e">
        <f>(INDEX(Tabla6[#All],MATCH(Tabla4[[#This Row],[Producto]],Tabla6[[#All],[PRODUCTO]],0),MATCH(Tabla4[[#This Row],[Mes]],Tabla6[#Headers],0)))</f>
        <v>#N/A</v>
      </c>
      <c r="R3883" s="282" t="e">
        <f>++Tabla4[[#This Row],[Precio Unitario Neto]]-Tabla4[[#This Row],[20.85%]]-Tabla4[[#This Row],[Costo]]</f>
        <v>#N/A</v>
      </c>
      <c r="S3883" s="282" t="e">
        <f>++Tabla4[[#This Row],[U. Bruta Uni]]*Tabla4[[#This Row],[Cantidad]]</f>
        <v>#N/A</v>
      </c>
      <c r="T3883" s="369" t="str">
        <f>VLOOKUP(Tabla4[[#This Row],[Producto]],Tabla6[#All],14,FALSE)</f>
        <v>Termico Solar</v>
      </c>
      <c r="U3883" s="284" t="e">
        <f>(IF(Tabla4[[#This Row],[Familia]]="termico solar",Tabla4[[#This Row],[Utilidad Total]]*6%,Tabla4[[#This Row],[Utilidad Total]]*11.5%))/Tabla4[[#This Row],[Total]]</f>
        <v>#N/A</v>
      </c>
      <c r="V3883" s="282" t="e">
        <f>+Tabla4[[#This Row],[Comisión Calculada]]*Tabla4[[#This Row],[Total]]</f>
        <v>#N/A</v>
      </c>
    </row>
    <row r="3884" spans="1:22" hidden="1" x14ac:dyDescent="0.25">
      <c r="A3884" s="100">
        <v>45838</v>
      </c>
      <c r="B3884" t="str">
        <f t="shared" si="183"/>
        <v>June</v>
      </c>
      <c r="C3884" s="46" t="s">
        <v>280</v>
      </c>
      <c r="F3884" s="366" t="s">
        <v>2189</v>
      </c>
      <c r="G3884" s="46" t="s">
        <v>17</v>
      </c>
      <c r="H3884" s="46">
        <v>2</v>
      </c>
      <c r="I3884" s="51">
        <v>4622.28</v>
      </c>
      <c r="J3884" s="281">
        <f>++Tabla4[[#This Row],[Precio Bruto]]*1.16</f>
        <v>5361.8447999999989</v>
      </c>
      <c r="K3884" s="281">
        <f>+Tabla4[[#This Row],[Precio Unitario Neto]]*Tabla4[[#Headers],[20.85%]]</f>
        <v>1117.9446407999997</v>
      </c>
      <c r="L3884" s="282">
        <f>++Tabla4[[#This Row],[Precio Unitario Neto]]-Tabla4[[#This Row],[20.85%]]</f>
        <v>4243.9001591999995</v>
      </c>
      <c r="M3884" s="282" t="e">
        <f>(INDEX(Tabla6[#All],MATCH(Tabla4[[#This Row],[Producto]],Tabla6[[#All],[PRODUCTO]],0),MATCH(Tabla4[[#This Row],[Mes]],Tabla6[#Headers],0)))*(1+Catalogos!$L$2)</f>
        <v>#N/A</v>
      </c>
      <c r="N3884" s="283" t="e">
        <f>+(Tabla4[[#This Row],[Precio Descontado]]-Tabla4[[#This Row],[Precio Base]])*Tabla4[[#This Row],[Cantidad]]</f>
        <v>#N/A</v>
      </c>
      <c r="O3884" s="284" t="e">
        <f>++Tabla4[[#This Row],[Utilidad Total]]/Tabla4[[#This Row],[Total]]</f>
        <v>#N/A</v>
      </c>
      <c r="P3884" s="282">
        <f>++Tabla4[[#This Row],[Precio Descontado]]*Tabla4[[#This Row],[Cantidad]]</f>
        <v>8487.800318399999</v>
      </c>
      <c r="Q3884" s="282" t="e">
        <f>(INDEX(Tabla6[#All],MATCH(Tabla4[[#This Row],[Producto]],Tabla6[[#All],[PRODUCTO]],0),MATCH(Tabla4[[#This Row],[Mes]],Tabla6[#Headers],0)))</f>
        <v>#N/A</v>
      </c>
      <c r="R3884" s="282" t="e">
        <f>++Tabla4[[#This Row],[Precio Unitario Neto]]-Tabla4[[#This Row],[20.85%]]-Tabla4[[#This Row],[Costo]]</f>
        <v>#N/A</v>
      </c>
      <c r="S3884" s="282" t="e">
        <f>++Tabla4[[#This Row],[U. Bruta Uni]]*Tabla4[[#This Row],[Cantidad]]</f>
        <v>#N/A</v>
      </c>
      <c r="T3884" s="369" t="str">
        <f>VLOOKUP(Tabla4[[#This Row],[Producto]],Tabla6[#All],14,FALSE)</f>
        <v>Termico Solar</v>
      </c>
      <c r="U3884" s="284" t="e">
        <f>(IF(Tabla4[[#This Row],[Familia]]="termico solar",Tabla4[[#This Row],[Utilidad Total]]*6%,Tabla4[[#This Row],[Utilidad Total]]*11.5%))/Tabla4[[#This Row],[Total]]</f>
        <v>#N/A</v>
      </c>
      <c r="V3884" s="282" t="e">
        <f>+Tabla4[[#This Row],[Comisión Calculada]]*Tabla4[[#This Row],[Total]]</f>
        <v>#N/A</v>
      </c>
    </row>
    <row r="3885" spans="1:22" hidden="1" x14ac:dyDescent="0.25">
      <c r="A3885" s="100">
        <v>45838</v>
      </c>
      <c r="B3885" t="str">
        <f t="shared" si="183"/>
        <v>June</v>
      </c>
      <c r="C3885" s="46" t="s">
        <v>280</v>
      </c>
      <c r="F3885" s="366" t="s">
        <v>2189</v>
      </c>
      <c r="G3885" s="46" t="s">
        <v>18</v>
      </c>
      <c r="H3885" s="46">
        <v>3</v>
      </c>
      <c r="I3885" s="51">
        <v>5367.6500000000005</v>
      </c>
      <c r="J3885" s="281">
        <f>++Tabla4[[#This Row],[Precio Bruto]]*1.16</f>
        <v>6226.4740000000002</v>
      </c>
      <c r="K3885" s="281">
        <f>+Tabla4[[#This Row],[Precio Unitario Neto]]*Tabla4[[#Headers],[20.85%]]</f>
        <v>1298.2198289999999</v>
      </c>
      <c r="L3885" s="282">
        <f>++Tabla4[[#This Row],[Precio Unitario Neto]]-Tabla4[[#This Row],[20.85%]]</f>
        <v>4928.2541710000005</v>
      </c>
      <c r="M3885" s="282" t="e">
        <f>(INDEX(Tabla6[#All],MATCH(Tabla4[[#This Row],[Producto]],Tabla6[[#All],[PRODUCTO]],0),MATCH(Tabla4[[#This Row],[Mes]],Tabla6[#Headers],0)))*(1+Catalogos!$L$2)</f>
        <v>#N/A</v>
      </c>
      <c r="N3885" s="283" t="e">
        <f>+(Tabla4[[#This Row],[Precio Descontado]]-Tabla4[[#This Row],[Precio Base]])*Tabla4[[#This Row],[Cantidad]]</f>
        <v>#N/A</v>
      </c>
      <c r="O3885" s="284" t="e">
        <f>++Tabla4[[#This Row],[Utilidad Total]]/Tabla4[[#This Row],[Total]]</f>
        <v>#N/A</v>
      </c>
      <c r="P3885" s="282">
        <f>++Tabla4[[#This Row],[Precio Descontado]]*Tabla4[[#This Row],[Cantidad]]</f>
        <v>14784.762513000001</v>
      </c>
      <c r="Q3885" s="282" t="e">
        <f>(INDEX(Tabla6[#All],MATCH(Tabla4[[#This Row],[Producto]],Tabla6[[#All],[PRODUCTO]],0),MATCH(Tabla4[[#This Row],[Mes]],Tabla6[#Headers],0)))</f>
        <v>#N/A</v>
      </c>
      <c r="R3885" s="282" t="e">
        <f>++Tabla4[[#This Row],[Precio Unitario Neto]]-Tabla4[[#This Row],[20.85%]]-Tabla4[[#This Row],[Costo]]</f>
        <v>#N/A</v>
      </c>
      <c r="S3885" s="282" t="e">
        <f>++Tabla4[[#This Row],[U. Bruta Uni]]*Tabla4[[#This Row],[Cantidad]]</f>
        <v>#N/A</v>
      </c>
      <c r="T3885" s="369" t="str">
        <f>VLOOKUP(Tabla4[[#This Row],[Producto]],Tabla6[#All],14,FALSE)</f>
        <v>Termico Solar</v>
      </c>
      <c r="U3885" s="284" t="e">
        <f>(IF(Tabla4[[#This Row],[Familia]]="termico solar",Tabla4[[#This Row],[Utilidad Total]]*6%,Tabla4[[#This Row],[Utilidad Total]]*11.5%))/Tabla4[[#This Row],[Total]]</f>
        <v>#N/A</v>
      </c>
      <c r="V3885" s="282" t="e">
        <f>+Tabla4[[#This Row],[Comisión Calculada]]*Tabla4[[#This Row],[Total]]</f>
        <v>#N/A</v>
      </c>
    </row>
    <row r="3886" spans="1:22" hidden="1" x14ac:dyDescent="0.25">
      <c r="A3886" s="100">
        <v>45838</v>
      </c>
      <c r="B3886" t="str">
        <f t="shared" si="183"/>
        <v>June</v>
      </c>
      <c r="C3886" s="46" t="s">
        <v>280</v>
      </c>
      <c r="F3886" s="366" t="s">
        <v>2189</v>
      </c>
      <c r="G3886" s="46" t="s">
        <v>200</v>
      </c>
      <c r="H3886" s="46">
        <v>12</v>
      </c>
      <c r="I3886" s="51">
        <v>393.22</v>
      </c>
      <c r="J3886" s="281">
        <f>++Tabla4[[#This Row],[Precio Bruto]]*1.16</f>
        <v>456.1352</v>
      </c>
      <c r="K3886" s="281">
        <f>+Tabla4[[#This Row],[Precio Unitario Neto]]*Tabla4[[#Headers],[20.85%]]</f>
        <v>95.104189199999993</v>
      </c>
      <c r="L3886" s="282">
        <f>++Tabla4[[#This Row],[Precio Unitario Neto]]-Tabla4[[#This Row],[20.85%]]</f>
        <v>361.03101079999999</v>
      </c>
      <c r="M3886" s="282" t="e">
        <f>(INDEX(Tabla6[#All],MATCH(Tabla4[[#This Row],[Producto]],Tabla6[[#All],[PRODUCTO]],0),MATCH(Tabla4[[#This Row],[Mes]],Tabla6[#Headers],0)))*(1+Catalogos!$L$2)</f>
        <v>#N/A</v>
      </c>
      <c r="N3886" s="283" t="e">
        <f>+(Tabla4[[#This Row],[Precio Descontado]]-Tabla4[[#This Row],[Precio Base]])*Tabla4[[#This Row],[Cantidad]]</f>
        <v>#N/A</v>
      </c>
      <c r="O3886" s="284" t="e">
        <f>++Tabla4[[#This Row],[Utilidad Total]]/Tabla4[[#This Row],[Total]]</f>
        <v>#N/A</v>
      </c>
      <c r="P3886" s="282">
        <f>++Tabla4[[#This Row],[Precio Descontado]]*Tabla4[[#This Row],[Cantidad]]</f>
        <v>4332.3721296000003</v>
      </c>
      <c r="Q3886" s="282" t="e">
        <f>(INDEX(Tabla6[#All],MATCH(Tabla4[[#This Row],[Producto]],Tabla6[[#All],[PRODUCTO]],0),MATCH(Tabla4[[#This Row],[Mes]],Tabla6[#Headers],0)))</f>
        <v>#N/A</v>
      </c>
      <c r="R3886" s="282" t="e">
        <f>++Tabla4[[#This Row],[Precio Unitario Neto]]-Tabla4[[#This Row],[20.85%]]-Tabla4[[#This Row],[Costo]]</f>
        <v>#N/A</v>
      </c>
      <c r="S3886" s="282" t="e">
        <f>++Tabla4[[#This Row],[U. Bruta Uni]]*Tabla4[[#This Row],[Cantidad]]</f>
        <v>#N/A</v>
      </c>
      <c r="T3886" s="369" t="str">
        <f>VLOOKUP(Tabla4[[#This Row],[Producto]],Tabla6[#All],14,FALSE)</f>
        <v>Termico Solar</v>
      </c>
      <c r="U3886" s="284" t="e">
        <f>(IF(Tabla4[[#This Row],[Familia]]="termico solar",Tabla4[[#This Row],[Utilidad Total]]*6%,Tabla4[[#This Row],[Utilidad Total]]*11.5%))/Tabla4[[#This Row],[Total]]</f>
        <v>#N/A</v>
      </c>
      <c r="V3886" s="282" t="e">
        <f>+Tabla4[[#This Row],[Comisión Calculada]]*Tabla4[[#This Row],[Total]]</f>
        <v>#N/A</v>
      </c>
    </row>
    <row r="3887" spans="1:22" hidden="1" x14ac:dyDescent="0.25">
      <c r="A3887" s="100">
        <v>45838</v>
      </c>
      <c r="B3887" t="str">
        <f t="shared" si="183"/>
        <v>June</v>
      </c>
      <c r="C3887" s="46" t="s">
        <v>280</v>
      </c>
      <c r="F3887" s="366" t="s">
        <v>2189</v>
      </c>
      <c r="G3887" s="46" t="s">
        <v>545</v>
      </c>
      <c r="H3887" s="46">
        <v>24</v>
      </c>
      <c r="I3887" s="51">
        <v>304.32</v>
      </c>
      <c r="J3887" s="281">
        <f>++Tabla4[[#This Row],[Precio Bruto]]*1.16</f>
        <v>353.01119999999997</v>
      </c>
      <c r="K3887" s="281">
        <f>+Tabla4[[#This Row],[Precio Unitario Neto]]*Tabla4[[#Headers],[20.85%]]</f>
        <v>73.602835199999987</v>
      </c>
      <c r="L3887" s="282">
        <f>++Tabla4[[#This Row],[Precio Unitario Neto]]-Tabla4[[#This Row],[20.85%]]</f>
        <v>279.40836479999996</v>
      </c>
      <c r="M3887" s="282" t="e">
        <f>(INDEX(Tabla6[#All],MATCH(Tabla4[[#This Row],[Producto]],Tabla6[[#All],[PRODUCTO]],0),MATCH(Tabla4[[#This Row],[Mes]],Tabla6[#Headers],0)))*(1+Catalogos!$L$2)</f>
        <v>#N/A</v>
      </c>
      <c r="N3887" s="283" t="e">
        <f>+(Tabla4[[#This Row],[Precio Descontado]]-Tabla4[[#This Row],[Precio Base]])*Tabla4[[#This Row],[Cantidad]]</f>
        <v>#N/A</v>
      </c>
      <c r="O3887" s="284" t="e">
        <f>++Tabla4[[#This Row],[Utilidad Total]]/Tabla4[[#This Row],[Total]]</f>
        <v>#N/A</v>
      </c>
      <c r="P3887" s="282">
        <f>++Tabla4[[#This Row],[Precio Descontado]]*Tabla4[[#This Row],[Cantidad]]</f>
        <v>6705.800755199999</v>
      </c>
      <c r="Q3887" s="282" t="e">
        <f>(INDEX(Tabla6[#All],MATCH(Tabla4[[#This Row],[Producto]],Tabla6[[#All],[PRODUCTO]],0),MATCH(Tabla4[[#This Row],[Mes]],Tabla6[#Headers],0)))</f>
        <v>#N/A</v>
      </c>
      <c r="R3887" s="282" t="e">
        <f>++Tabla4[[#This Row],[Precio Unitario Neto]]-Tabla4[[#This Row],[20.85%]]-Tabla4[[#This Row],[Costo]]</f>
        <v>#N/A</v>
      </c>
      <c r="S3887" s="282" t="e">
        <f>++Tabla4[[#This Row],[U. Bruta Uni]]*Tabla4[[#This Row],[Cantidad]]</f>
        <v>#N/A</v>
      </c>
      <c r="T3887" s="369" t="str">
        <f>VLOOKUP(Tabla4[[#This Row],[Producto]],Tabla6[#All],14,FALSE)</f>
        <v>Termico Solar</v>
      </c>
      <c r="U3887" s="284" t="e">
        <f>(IF(Tabla4[[#This Row],[Familia]]="termico solar",Tabla4[[#This Row],[Utilidad Total]]*6%,Tabla4[[#This Row],[Utilidad Total]]*11.5%))/Tabla4[[#This Row],[Total]]</f>
        <v>#N/A</v>
      </c>
      <c r="V3887" s="282" t="e">
        <f>+Tabla4[[#This Row],[Comisión Calculada]]*Tabla4[[#This Row],[Total]]</f>
        <v>#N/A</v>
      </c>
    </row>
    <row r="3888" spans="1:22" hidden="1" x14ac:dyDescent="0.25">
      <c r="A3888" s="100">
        <v>45838</v>
      </c>
      <c r="B3888" t="str">
        <f t="shared" si="183"/>
        <v>June</v>
      </c>
      <c r="C3888" s="46" t="s">
        <v>280</v>
      </c>
      <c r="F3888" s="366" t="s">
        <v>2189</v>
      </c>
      <c r="G3888" s="46" t="s">
        <v>208</v>
      </c>
      <c r="H3888" s="46">
        <v>1</v>
      </c>
      <c r="I3888" s="51">
        <v>189.75</v>
      </c>
      <c r="J3888" s="281">
        <f>++Tabla4[[#This Row],[Precio Bruto]]*1.16</f>
        <v>220.10999999999999</v>
      </c>
      <c r="K3888" s="281">
        <f>+Tabla4[[#This Row],[Precio Unitario Neto]]*Tabla4[[#Headers],[20.85%]]</f>
        <v>45.892934999999994</v>
      </c>
      <c r="L3888" s="282">
        <f>++Tabla4[[#This Row],[Precio Unitario Neto]]-Tabla4[[#This Row],[20.85%]]</f>
        <v>174.21706499999999</v>
      </c>
      <c r="M3888" s="282" t="e">
        <f>(INDEX(Tabla6[#All],MATCH(Tabla4[[#This Row],[Producto]],Tabla6[[#All],[PRODUCTO]],0),MATCH(Tabla4[[#This Row],[Mes]],Tabla6[#Headers],0)))*(1+Catalogos!$L$2)</f>
        <v>#N/A</v>
      </c>
      <c r="N3888" s="283" t="e">
        <f>+(Tabla4[[#This Row],[Precio Descontado]]-Tabla4[[#This Row],[Precio Base]])*Tabla4[[#This Row],[Cantidad]]</f>
        <v>#N/A</v>
      </c>
      <c r="O3888" s="284" t="e">
        <f>++Tabla4[[#This Row],[Utilidad Total]]/Tabla4[[#This Row],[Total]]</f>
        <v>#N/A</v>
      </c>
      <c r="P3888" s="282">
        <f>++Tabla4[[#This Row],[Precio Descontado]]*Tabla4[[#This Row],[Cantidad]]</f>
        <v>174.21706499999999</v>
      </c>
      <c r="Q3888" s="282" t="e">
        <f>(INDEX(Tabla6[#All],MATCH(Tabla4[[#This Row],[Producto]],Tabla6[[#All],[PRODUCTO]],0),MATCH(Tabla4[[#This Row],[Mes]],Tabla6[#Headers],0)))</f>
        <v>#N/A</v>
      </c>
      <c r="R3888" s="282" t="e">
        <f>++Tabla4[[#This Row],[Precio Unitario Neto]]-Tabla4[[#This Row],[20.85%]]-Tabla4[[#This Row],[Costo]]</f>
        <v>#N/A</v>
      </c>
      <c r="S3888" s="282" t="e">
        <f>++Tabla4[[#This Row],[U. Bruta Uni]]*Tabla4[[#This Row],[Cantidad]]</f>
        <v>#N/A</v>
      </c>
      <c r="T3888" s="369" t="str">
        <f>VLOOKUP(Tabla4[[#This Row],[Producto]],Tabla6[#All],14,FALSE)</f>
        <v>Termico Solar</v>
      </c>
      <c r="U3888" s="284" t="e">
        <f>(IF(Tabla4[[#This Row],[Familia]]="termico solar",Tabla4[[#This Row],[Utilidad Total]]*6%,Tabla4[[#This Row],[Utilidad Total]]*11.5%))/Tabla4[[#This Row],[Total]]</f>
        <v>#N/A</v>
      </c>
      <c r="V3888" s="282" t="e">
        <f>+Tabla4[[#This Row],[Comisión Calculada]]*Tabla4[[#This Row],[Total]]</f>
        <v>#N/A</v>
      </c>
    </row>
    <row r="3889" spans="1:22" hidden="1" x14ac:dyDescent="0.25">
      <c r="A3889" s="100">
        <v>45838</v>
      </c>
      <c r="B3889" t="str">
        <f t="shared" si="183"/>
        <v>June</v>
      </c>
      <c r="C3889" s="46" t="s">
        <v>280</v>
      </c>
      <c r="F3889" s="366" t="s">
        <v>2189</v>
      </c>
      <c r="G3889" s="46" t="s">
        <v>209</v>
      </c>
      <c r="H3889" s="46">
        <v>2</v>
      </c>
      <c r="I3889" s="51">
        <v>347.48</v>
      </c>
      <c r="J3889" s="281">
        <f>++Tabla4[[#This Row],[Precio Bruto]]*1.16</f>
        <v>403.07679999999999</v>
      </c>
      <c r="K3889" s="281">
        <f>+Tabla4[[#This Row],[Precio Unitario Neto]]*Tabla4[[#Headers],[20.85%]]</f>
        <v>84.041512799999992</v>
      </c>
      <c r="L3889" s="282">
        <f>++Tabla4[[#This Row],[Precio Unitario Neto]]-Tabla4[[#This Row],[20.85%]]</f>
        <v>319.03528719999997</v>
      </c>
      <c r="M3889" s="282" t="e">
        <f>(INDEX(Tabla6[#All],MATCH(Tabla4[[#This Row],[Producto]],Tabla6[[#All],[PRODUCTO]],0),MATCH(Tabla4[[#This Row],[Mes]],Tabla6[#Headers],0)))*(1+Catalogos!$L$2)</f>
        <v>#N/A</v>
      </c>
      <c r="N3889" s="283" t="e">
        <f>+(Tabla4[[#This Row],[Precio Descontado]]-Tabla4[[#This Row],[Precio Base]])*Tabla4[[#This Row],[Cantidad]]</f>
        <v>#N/A</v>
      </c>
      <c r="O3889" s="284" t="e">
        <f>++Tabla4[[#This Row],[Utilidad Total]]/Tabla4[[#This Row],[Total]]</f>
        <v>#N/A</v>
      </c>
      <c r="P3889" s="282">
        <f>++Tabla4[[#This Row],[Precio Descontado]]*Tabla4[[#This Row],[Cantidad]]</f>
        <v>638.07057439999994</v>
      </c>
      <c r="Q3889" s="282" t="e">
        <f>(INDEX(Tabla6[#All],MATCH(Tabla4[[#This Row],[Producto]],Tabla6[[#All],[PRODUCTO]],0),MATCH(Tabla4[[#This Row],[Mes]],Tabla6[#Headers],0)))</f>
        <v>#N/A</v>
      </c>
      <c r="R3889" s="282" t="e">
        <f>++Tabla4[[#This Row],[Precio Unitario Neto]]-Tabla4[[#This Row],[20.85%]]-Tabla4[[#This Row],[Costo]]</f>
        <v>#N/A</v>
      </c>
      <c r="S3889" s="282" t="e">
        <f>++Tabla4[[#This Row],[U. Bruta Uni]]*Tabla4[[#This Row],[Cantidad]]</f>
        <v>#N/A</v>
      </c>
      <c r="T3889" s="369" t="str">
        <f>VLOOKUP(Tabla4[[#This Row],[Producto]],Tabla6[#All],14,FALSE)</f>
        <v>Termico Solar</v>
      </c>
      <c r="U3889" s="284" t="e">
        <f>(IF(Tabla4[[#This Row],[Familia]]="termico solar",Tabla4[[#This Row],[Utilidad Total]]*6%,Tabla4[[#This Row],[Utilidad Total]]*11.5%))/Tabla4[[#This Row],[Total]]</f>
        <v>#N/A</v>
      </c>
      <c r="V3889" s="282" t="e">
        <f>+Tabla4[[#This Row],[Comisión Calculada]]*Tabla4[[#This Row],[Total]]</f>
        <v>#N/A</v>
      </c>
    </row>
    <row r="3890" spans="1:22" hidden="1" x14ac:dyDescent="0.25">
      <c r="A3890" s="100">
        <v>45838</v>
      </c>
      <c r="B3890" t="str">
        <f t="shared" ref="B3890:B3896" si="184">TEXT(A3890, "mmmm")</f>
        <v>June</v>
      </c>
      <c r="C3890" s="46" t="s">
        <v>280</v>
      </c>
      <c r="F3890" s="366" t="s">
        <v>2190</v>
      </c>
      <c r="G3890" s="46" t="s">
        <v>83</v>
      </c>
      <c r="H3890" s="46">
        <v>3</v>
      </c>
      <c r="I3890" s="51">
        <v>8858.76</v>
      </c>
      <c r="J3890" s="281">
        <f>++Tabla4[[#This Row],[Precio Bruto]]*1.16</f>
        <v>10276.161599999999</v>
      </c>
      <c r="K3890" s="281">
        <f>+Tabla4[[#This Row],[Precio Unitario Neto]]*Tabla4[[#Headers],[20.85%]]</f>
        <v>2142.5796935999997</v>
      </c>
      <c r="L3890" s="282">
        <f>++Tabla4[[#This Row],[Precio Unitario Neto]]-Tabla4[[#This Row],[20.85%]]</f>
        <v>8133.5819063999998</v>
      </c>
      <c r="M3890" s="282" t="e">
        <f>(INDEX(Tabla6[#All],MATCH(Tabla4[[#This Row],[Producto]],Tabla6[[#All],[PRODUCTO]],0),MATCH(Tabla4[[#This Row],[Mes]],Tabla6[#Headers],0)))*(1+Catalogos!$L$2)</f>
        <v>#N/A</v>
      </c>
      <c r="N3890" s="283" t="e">
        <f>+(Tabla4[[#This Row],[Precio Descontado]]-Tabla4[[#This Row],[Precio Base]])*Tabla4[[#This Row],[Cantidad]]</f>
        <v>#N/A</v>
      </c>
      <c r="O3890" s="284" t="e">
        <f>++Tabla4[[#This Row],[Utilidad Total]]/Tabla4[[#This Row],[Total]]</f>
        <v>#N/A</v>
      </c>
      <c r="P3890" s="282">
        <f>++Tabla4[[#This Row],[Precio Descontado]]*Tabla4[[#This Row],[Cantidad]]</f>
        <v>24400.7457192</v>
      </c>
      <c r="Q3890" s="282" t="e">
        <f>(INDEX(Tabla6[#All],MATCH(Tabla4[[#This Row],[Producto]],Tabla6[[#All],[PRODUCTO]],0),MATCH(Tabla4[[#This Row],[Mes]],Tabla6[#Headers],0)))</f>
        <v>#N/A</v>
      </c>
      <c r="R3890" s="282" t="e">
        <f>++Tabla4[[#This Row],[Precio Unitario Neto]]-Tabla4[[#This Row],[20.85%]]-Tabla4[[#This Row],[Costo]]</f>
        <v>#N/A</v>
      </c>
      <c r="S3890" s="282" t="e">
        <f>++Tabla4[[#This Row],[U. Bruta Uni]]*Tabla4[[#This Row],[Cantidad]]</f>
        <v>#N/A</v>
      </c>
      <c r="T3890" s="369" t="str">
        <f>VLOOKUP(Tabla4[[#This Row],[Producto]],Tabla6[#All],14,FALSE)</f>
        <v>Termico Solar</v>
      </c>
      <c r="U3890" s="284" t="e">
        <f>(IF(Tabla4[[#This Row],[Familia]]="termico solar",Tabla4[[#This Row],[Utilidad Total]]*6%,Tabla4[[#This Row],[Utilidad Total]]*11.5%))/Tabla4[[#This Row],[Total]]</f>
        <v>#N/A</v>
      </c>
      <c r="V3890" s="282" t="e">
        <f>+Tabla4[[#This Row],[Comisión Calculada]]*Tabla4[[#This Row],[Total]]</f>
        <v>#N/A</v>
      </c>
    </row>
    <row r="3891" spans="1:22" hidden="1" x14ac:dyDescent="0.25">
      <c r="A3891" s="100">
        <v>45838</v>
      </c>
      <c r="B3891" t="str">
        <f t="shared" si="184"/>
        <v>June</v>
      </c>
      <c r="C3891" s="46" t="s">
        <v>280</v>
      </c>
      <c r="F3891" s="366" t="s">
        <v>2190</v>
      </c>
      <c r="G3891" s="46" t="s">
        <v>566</v>
      </c>
      <c r="H3891" s="46">
        <v>1</v>
      </c>
      <c r="I3891" s="51">
        <v>2109.4499999999998</v>
      </c>
      <c r="J3891" s="281">
        <f>++Tabla4[[#This Row],[Precio Bruto]]*1.16</f>
        <v>2446.9619999999995</v>
      </c>
      <c r="K3891" s="281">
        <f>+Tabla4[[#This Row],[Precio Unitario Neto]]*Tabla4[[#Headers],[20.85%]]</f>
        <v>510.19157699999988</v>
      </c>
      <c r="L3891" s="282">
        <f>++Tabla4[[#This Row],[Precio Unitario Neto]]-Tabla4[[#This Row],[20.85%]]</f>
        <v>1936.7704229999997</v>
      </c>
      <c r="M3891" s="282" t="e">
        <f>(INDEX(Tabla6[#All],MATCH(Tabla4[[#This Row],[Producto]],Tabla6[[#All],[PRODUCTO]],0),MATCH(Tabla4[[#This Row],[Mes]],Tabla6[#Headers],0)))*(1+Catalogos!$L$2)</f>
        <v>#N/A</v>
      </c>
      <c r="N3891" s="283" t="e">
        <f>+(Tabla4[[#This Row],[Precio Descontado]]-Tabla4[[#This Row],[Precio Base]])*Tabla4[[#This Row],[Cantidad]]</f>
        <v>#N/A</v>
      </c>
      <c r="O3891" s="284" t="e">
        <f>++Tabla4[[#This Row],[Utilidad Total]]/Tabla4[[#This Row],[Total]]</f>
        <v>#N/A</v>
      </c>
      <c r="P3891" s="282">
        <f>++Tabla4[[#This Row],[Precio Descontado]]*Tabla4[[#This Row],[Cantidad]]</f>
        <v>1936.7704229999997</v>
      </c>
      <c r="Q3891" s="282" t="e">
        <f>(INDEX(Tabla6[#All],MATCH(Tabla4[[#This Row],[Producto]],Tabla6[[#All],[PRODUCTO]],0),MATCH(Tabla4[[#This Row],[Mes]],Tabla6[#Headers],0)))</f>
        <v>#N/A</v>
      </c>
      <c r="R3891" s="282" t="e">
        <f>++Tabla4[[#This Row],[Precio Unitario Neto]]-Tabla4[[#This Row],[20.85%]]-Tabla4[[#This Row],[Costo]]</f>
        <v>#N/A</v>
      </c>
      <c r="S3891" s="282" t="e">
        <f>++Tabla4[[#This Row],[U. Bruta Uni]]*Tabla4[[#This Row],[Cantidad]]</f>
        <v>#N/A</v>
      </c>
      <c r="T3891" s="369" t="str">
        <f>VLOOKUP(Tabla4[[#This Row],[Producto]],Tabla6[#All],14,FALSE)</f>
        <v>Termico Solar</v>
      </c>
      <c r="U3891" s="284" t="e">
        <f>(IF(Tabla4[[#This Row],[Familia]]="termico solar",Tabla4[[#This Row],[Utilidad Total]]*6%,Tabla4[[#This Row],[Utilidad Total]]*11.5%))/Tabla4[[#This Row],[Total]]</f>
        <v>#N/A</v>
      </c>
      <c r="V3891" s="282" t="e">
        <f>+Tabla4[[#This Row],[Comisión Calculada]]*Tabla4[[#This Row],[Total]]</f>
        <v>#N/A</v>
      </c>
    </row>
    <row r="3892" spans="1:22" hidden="1" x14ac:dyDescent="0.25">
      <c r="A3892" s="100">
        <v>45838</v>
      </c>
      <c r="B3892" t="str">
        <f t="shared" si="184"/>
        <v>June</v>
      </c>
      <c r="C3892" s="46" t="s">
        <v>280</v>
      </c>
      <c r="F3892" s="366" t="s">
        <v>2190</v>
      </c>
      <c r="G3892" s="46" t="s">
        <v>16</v>
      </c>
      <c r="H3892" s="46">
        <v>1</v>
      </c>
      <c r="I3892" s="51">
        <v>4103.8500000000004</v>
      </c>
      <c r="J3892" s="281">
        <f>++Tabla4[[#This Row],[Precio Bruto]]*1.16</f>
        <v>4760.4660000000003</v>
      </c>
      <c r="K3892" s="281">
        <f>+Tabla4[[#This Row],[Precio Unitario Neto]]*Tabla4[[#Headers],[20.85%]]</f>
        <v>992.55716100000006</v>
      </c>
      <c r="L3892" s="282">
        <f>++Tabla4[[#This Row],[Precio Unitario Neto]]-Tabla4[[#This Row],[20.85%]]</f>
        <v>3767.9088390000002</v>
      </c>
      <c r="M3892" s="282" t="e">
        <f>(INDEX(Tabla6[#All],MATCH(Tabla4[[#This Row],[Producto]],Tabla6[[#All],[PRODUCTO]],0),MATCH(Tabla4[[#This Row],[Mes]],Tabla6[#Headers],0)))*(1+Catalogos!$L$2)</f>
        <v>#N/A</v>
      </c>
      <c r="N3892" s="283" t="e">
        <f>+(Tabla4[[#This Row],[Precio Descontado]]-Tabla4[[#This Row],[Precio Base]])*Tabla4[[#This Row],[Cantidad]]</f>
        <v>#N/A</v>
      </c>
      <c r="O3892" s="284" t="e">
        <f>++Tabla4[[#This Row],[Utilidad Total]]/Tabla4[[#This Row],[Total]]</f>
        <v>#N/A</v>
      </c>
      <c r="P3892" s="282">
        <f>++Tabla4[[#This Row],[Precio Descontado]]*Tabla4[[#This Row],[Cantidad]]</f>
        <v>3767.9088390000002</v>
      </c>
      <c r="Q3892" s="282" t="e">
        <f>(INDEX(Tabla6[#All],MATCH(Tabla4[[#This Row],[Producto]],Tabla6[[#All],[PRODUCTO]],0),MATCH(Tabla4[[#This Row],[Mes]],Tabla6[#Headers],0)))</f>
        <v>#N/A</v>
      </c>
      <c r="R3892" s="282" t="e">
        <f>++Tabla4[[#This Row],[Precio Unitario Neto]]-Tabla4[[#This Row],[20.85%]]-Tabla4[[#This Row],[Costo]]</f>
        <v>#N/A</v>
      </c>
      <c r="S3892" s="282" t="e">
        <f>++Tabla4[[#This Row],[U. Bruta Uni]]*Tabla4[[#This Row],[Cantidad]]</f>
        <v>#N/A</v>
      </c>
      <c r="T3892" s="369" t="str">
        <f>VLOOKUP(Tabla4[[#This Row],[Producto]],Tabla6[#All],14,FALSE)</f>
        <v>Termico Solar</v>
      </c>
      <c r="U3892" s="284" t="e">
        <f>(IF(Tabla4[[#This Row],[Familia]]="termico solar",Tabla4[[#This Row],[Utilidad Total]]*6%,Tabla4[[#This Row],[Utilidad Total]]*11.5%))/Tabla4[[#This Row],[Total]]</f>
        <v>#N/A</v>
      </c>
      <c r="V3892" s="282" t="e">
        <f>+Tabla4[[#This Row],[Comisión Calculada]]*Tabla4[[#This Row],[Total]]</f>
        <v>#N/A</v>
      </c>
    </row>
    <row r="3893" spans="1:22" hidden="1" x14ac:dyDescent="0.25">
      <c r="A3893" s="100">
        <v>45838</v>
      </c>
      <c r="B3893" t="str">
        <f t="shared" si="184"/>
        <v>June</v>
      </c>
      <c r="C3893" s="46" t="s">
        <v>280</v>
      </c>
      <c r="F3893" s="366" t="s">
        <v>2190</v>
      </c>
      <c r="G3893" s="46" t="s">
        <v>200</v>
      </c>
      <c r="H3893" s="46">
        <v>12</v>
      </c>
      <c r="I3893" s="51">
        <v>393.22</v>
      </c>
      <c r="J3893" s="281">
        <f>++Tabla4[[#This Row],[Precio Bruto]]*1.16</f>
        <v>456.1352</v>
      </c>
      <c r="K3893" s="281">
        <f>+Tabla4[[#This Row],[Precio Unitario Neto]]*Tabla4[[#Headers],[20.85%]]</f>
        <v>95.104189199999993</v>
      </c>
      <c r="L3893" s="282">
        <f>++Tabla4[[#This Row],[Precio Unitario Neto]]-Tabla4[[#This Row],[20.85%]]</f>
        <v>361.03101079999999</v>
      </c>
      <c r="M3893" s="282" t="e">
        <f>(INDEX(Tabla6[#All],MATCH(Tabla4[[#This Row],[Producto]],Tabla6[[#All],[PRODUCTO]],0),MATCH(Tabla4[[#This Row],[Mes]],Tabla6[#Headers],0)))*(1+Catalogos!$L$2)</f>
        <v>#N/A</v>
      </c>
      <c r="N3893" s="283" t="e">
        <f>+(Tabla4[[#This Row],[Precio Descontado]]-Tabla4[[#This Row],[Precio Base]])*Tabla4[[#This Row],[Cantidad]]</f>
        <v>#N/A</v>
      </c>
      <c r="O3893" s="284" t="e">
        <f>++Tabla4[[#This Row],[Utilidad Total]]/Tabla4[[#This Row],[Total]]</f>
        <v>#N/A</v>
      </c>
      <c r="P3893" s="282">
        <f>++Tabla4[[#This Row],[Precio Descontado]]*Tabla4[[#This Row],[Cantidad]]</f>
        <v>4332.3721296000003</v>
      </c>
      <c r="Q3893" s="282" t="e">
        <f>(INDEX(Tabla6[#All],MATCH(Tabla4[[#This Row],[Producto]],Tabla6[[#All],[PRODUCTO]],0),MATCH(Tabla4[[#This Row],[Mes]],Tabla6[#Headers],0)))</f>
        <v>#N/A</v>
      </c>
      <c r="R3893" s="282" t="e">
        <f>++Tabla4[[#This Row],[Precio Unitario Neto]]-Tabla4[[#This Row],[20.85%]]-Tabla4[[#This Row],[Costo]]</f>
        <v>#N/A</v>
      </c>
      <c r="S3893" s="282" t="e">
        <f>++Tabla4[[#This Row],[U. Bruta Uni]]*Tabla4[[#This Row],[Cantidad]]</f>
        <v>#N/A</v>
      </c>
      <c r="T3893" s="369" t="str">
        <f>VLOOKUP(Tabla4[[#This Row],[Producto]],Tabla6[#All],14,FALSE)</f>
        <v>Termico Solar</v>
      </c>
      <c r="U3893" s="284" t="e">
        <f>(IF(Tabla4[[#This Row],[Familia]]="termico solar",Tabla4[[#This Row],[Utilidad Total]]*6%,Tabla4[[#This Row],[Utilidad Total]]*11.5%))/Tabla4[[#This Row],[Total]]</f>
        <v>#N/A</v>
      </c>
      <c r="V3893" s="282" t="e">
        <f>+Tabla4[[#This Row],[Comisión Calculada]]*Tabla4[[#This Row],[Total]]</f>
        <v>#N/A</v>
      </c>
    </row>
    <row r="3894" spans="1:22" hidden="1" x14ac:dyDescent="0.25">
      <c r="A3894" s="100">
        <v>45838</v>
      </c>
      <c r="B3894" t="str">
        <f t="shared" si="184"/>
        <v>June</v>
      </c>
      <c r="C3894" s="46" t="s">
        <v>280</v>
      </c>
      <c r="F3894" s="366" t="s">
        <v>2190</v>
      </c>
      <c r="G3894" s="46" t="s">
        <v>545</v>
      </c>
      <c r="H3894" s="46">
        <v>24</v>
      </c>
      <c r="I3894" s="51">
        <v>304.32</v>
      </c>
      <c r="J3894" s="281">
        <f>++Tabla4[[#This Row],[Precio Bruto]]*1.16</f>
        <v>353.01119999999997</v>
      </c>
      <c r="K3894" s="281">
        <f>+Tabla4[[#This Row],[Precio Unitario Neto]]*Tabla4[[#Headers],[20.85%]]</f>
        <v>73.602835199999987</v>
      </c>
      <c r="L3894" s="282">
        <f>++Tabla4[[#This Row],[Precio Unitario Neto]]-Tabla4[[#This Row],[20.85%]]</f>
        <v>279.40836479999996</v>
      </c>
      <c r="M3894" s="282" t="e">
        <f>(INDEX(Tabla6[#All],MATCH(Tabla4[[#This Row],[Producto]],Tabla6[[#All],[PRODUCTO]],0),MATCH(Tabla4[[#This Row],[Mes]],Tabla6[#Headers],0)))*(1+Catalogos!$L$2)</f>
        <v>#N/A</v>
      </c>
      <c r="N3894" s="283" t="e">
        <f>+(Tabla4[[#This Row],[Precio Descontado]]-Tabla4[[#This Row],[Precio Base]])*Tabla4[[#This Row],[Cantidad]]</f>
        <v>#N/A</v>
      </c>
      <c r="O3894" s="284" t="e">
        <f>++Tabla4[[#This Row],[Utilidad Total]]/Tabla4[[#This Row],[Total]]</f>
        <v>#N/A</v>
      </c>
      <c r="P3894" s="282">
        <f>++Tabla4[[#This Row],[Precio Descontado]]*Tabla4[[#This Row],[Cantidad]]</f>
        <v>6705.800755199999</v>
      </c>
      <c r="Q3894" s="282" t="e">
        <f>(INDEX(Tabla6[#All],MATCH(Tabla4[[#This Row],[Producto]],Tabla6[[#All],[PRODUCTO]],0),MATCH(Tabla4[[#This Row],[Mes]],Tabla6[#Headers],0)))</f>
        <v>#N/A</v>
      </c>
      <c r="R3894" s="282" t="e">
        <f>++Tabla4[[#This Row],[Precio Unitario Neto]]-Tabla4[[#This Row],[20.85%]]-Tabla4[[#This Row],[Costo]]</f>
        <v>#N/A</v>
      </c>
      <c r="S3894" s="282" t="e">
        <f>++Tabla4[[#This Row],[U. Bruta Uni]]*Tabla4[[#This Row],[Cantidad]]</f>
        <v>#N/A</v>
      </c>
      <c r="T3894" s="369" t="str">
        <f>VLOOKUP(Tabla4[[#This Row],[Producto]],Tabla6[#All],14,FALSE)</f>
        <v>Termico Solar</v>
      </c>
      <c r="U3894" s="284" t="e">
        <f>(IF(Tabla4[[#This Row],[Familia]]="termico solar",Tabla4[[#This Row],[Utilidad Total]]*6%,Tabla4[[#This Row],[Utilidad Total]]*11.5%))/Tabla4[[#This Row],[Total]]</f>
        <v>#N/A</v>
      </c>
      <c r="V3894" s="282" t="e">
        <f>+Tabla4[[#This Row],[Comisión Calculada]]*Tabla4[[#This Row],[Total]]</f>
        <v>#N/A</v>
      </c>
    </row>
    <row r="3895" spans="1:22" hidden="1" x14ac:dyDescent="0.25">
      <c r="A3895" s="100">
        <v>45838</v>
      </c>
      <c r="B3895" t="str">
        <f t="shared" si="184"/>
        <v>June</v>
      </c>
      <c r="C3895" s="46" t="s">
        <v>280</v>
      </c>
      <c r="F3895" s="366" t="s">
        <v>2190</v>
      </c>
      <c r="G3895" s="46" t="s">
        <v>208</v>
      </c>
      <c r="H3895" s="46">
        <v>1</v>
      </c>
      <c r="I3895" s="51">
        <v>189.75</v>
      </c>
      <c r="J3895" s="281">
        <f>++Tabla4[[#This Row],[Precio Bruto]]*1.16</f>
        <v>220.10999999999999</v>
      </c>
      <c r="K3895" s="281">
        <f>+Tabla4[[#This Row],[Precio Unitario Neto]]*Tabla4[[#Headers],[20.85%]]</f>
        <v>45.892934999999994</v>
      </c>
      <c r="L3895" s="282">
        <f>++Tabla4[[#This Row],[Precio Unitario Neto]]-Tabla4[[#This Row],[20.85%]]</f>
        <v>174.21706499999999</v>
      </c>
      <c r="M3895" s="282" t="e">
        <f>(INDEX(Tabla6[#All],MATCH(Tabla4[[#This Row],[Producto]],Tabla6[[#All],[PRODUCTO]],0),MATCH(Tabla4[[#This Row],[Mes]],Tabla6[#Headers],0)))*(1+Catalogos!$L$2)</f>
        <v>#N/A</v>
      </c>
      <c r="N3895" s="283" t="e">
        <f>+(Tabla4[[#This Row],[Precio Descontado]]-Tabla4[[#This Row],[Precio Base]])*Tabla4[[#This Row],[Cantidad]]</f>
        <v>#N/A</v>
      </c>
      <c r="O3895" s="284" t="e">
        <f>++Tabla4[[#This Row],[Utilidad Total]]/Tabla4[[#This Row],[Total]]</f>
        <v>#N/A</v>
      </c>
      <c r="P3895" s="282">
        <f>++Tabla4[[#This Row],[Precio Descontado]]*Tabla4[[#This Row],[Cantidad]]</f>
        <v>174.21706499999999</v>
      </c>
      <c r="Q3895" s="282" t="e">
        <f>(INDEX(Tabla6[#All],MATCH(Tabla4[[#This Row],[Producto]],Tabla6[[#All],[PRODUCTO]],0),MATCH(Tabla4[[#This Row],[Mes]],Tabla6[#Headers],0)))</f>
        <v>#N/A</v>
      </c>
      <c r="R3895" s="282" t="e">
        <f>++Tabla4[[#This Row],[Precio Unitario Neto]]-Tabla4[[#This Row],[20.85%]]-Tabla4[[#This Row],[Costo]]</f>
        <v>#N/A</v>
      </c>
      <c r="S3895" s="282" t="e">
        <f>++Tabla4[[#This Row],[U. Bruta Uni]]*Tabla4[[#This Row],[Cantidad]]</f>
        <v>#N/A</v>
      </c>
      <c r="T3895" s="369" t="str">
        <f>VLOOKUP(Tabla4[[#This Row],[Producto]],Tabla6[#All],14,FALSE)</f>
        <v>Termico Solar</v>
      </c>
      <c r="U3895" s="284" t="e">
        <f>(IF(Tabla4[[#This Row],[Familia]]="termico solar",Tabla4[[#This Row],[Utilidad Total]]*6%,Tabla4[[#This Row],[Utilidad Total]]*11.5%))/Tabla4[[#This Row],[Total]]</f>
        <v>#N/A</v>
      </c>
      <c r="V3895" s="282" t="e">
        <f>+Tabla4[[#This Row],[Comisión Calculada]]*Tabla4[[#This Row],[Total]]</f>
        <v>#N/A</v>
      </c>
    </row>
    <row r="3896" spans="1:22" hidden="1" x14ac:dyDescent="0.25">
      <c r="A3896" s="100">
        <v>45838</v>
      </c>
      <c r="B3896" t="str">
        <f t="shared" si="184"/>
        <v>June</v>
      </c>
      <c r="C3896" s="46" t="s">
        <v>280</v>
      </c>
      <c r="F3896" s="366" t="s">
        <v>2190</v>
      </c>
      <c r="G3896" s="46" t="s">
        <v>209</v>
      </c>
      <c r="H3896" s="46">
        <v>5</v>
      </c>
      <c r="I3896" s="51">
        <v>347.48</v>
      </c>
      <c r="J3896" s="281">
        <f>++Tabla4[[#This Row],[Precio Bruto]]*1.16</f>
        <v>403.07679999999999</v>
      </c>
      <c r="K3896" s="281">
        <f>+Tabla4[[#This Row],[Precio Unitario Neto]]*Tabla4[[#Headers],[20.85%]]</f>
        <v>84.041512799999992</v>
      </c>
      <c r="L3896" s="282">
        <f>++Tabla4[[#This Row],[Precio Unitario Neto]]-Tabla4[[#This Row],[20.85%]]</f>
        <v>319.03528719999997</v>
      </c>
      <c r="M3896" s="282" t="e">
        <f>(INDEX(Tabla6[#All],MATCH(Tabla4[[#This Row],[Producto]],Tabla6[[#All],[PRODUCTO]],0),MATCH(Tabla4[[#This Row],[Mes]],Tabla6[#Headers],0)))*(1+Catalogos!$L$2)</f>
        <v>#N/A</v>
      </c>
      <c r="N3896" s="283" t="e">
        <f>+(Tabla4[[#This Row],[Precio Descontado]]-Tabla4[[#This Row],[Precio Base]])*Tabla4[[#This Row],[Cantidad]]</f>
        <v>#N/A</v>
      </c>
      <c r="O3896" s="284" t="e">
        <f>++Tabla4[[#This Row],[Utilidad Total]]/Tabla4[[#This Row],[Total]]</f>
        <v>#N/A</v>
      </c>
      <c r="P3896" s="282">
        <f>++Tabla4[[#This Row],[Precio Descontado]]*Tabla4[[#This Row],[Cantidad]]</f>
        <v>1595.1764359999997</v>
      </c>
      <c r="Q3896" s="282" t="e">
        <f>(INDEX(Tabla6[#All],MATCH(Tabla4[[#This Row],[Producto]],Tabla6[[#All],[PRODUCTO]],0),MATCH(Tabla4[[#This Row],[Mes]],Tabla6[#Headers],0)))</f>
        <v>#N/A</v>
      </c>
      <c r="R3896" s="282" t="e">
        <f>++Tabla4[[#This Row],[Precio Unitario Neto]]-Tabla4[[#This Row],[20.85%]]-Tabla4[[#This Row],[Costo]]</f>
        <v>#N/A</v>
      </c>
      <c r="S3896" s="282" t="e">
        <f>++Tabla4[[#This Row],[U. Bruta Uni]]*Tabla4[[#This Row],[Cantidad]]</f>
        <v>#N/A</v>
      </c>
      <c r="T3896" s="369" t="str">
        <f>VLOOKUP(Tabla4[[#This Row],[Producto]],Tabla6[#All],14,FALSE)</f>
        <v>Termico Solar</v>
      </c>
      <c r="U3896" s="284" t="e">
        <f>(IF(Tabla4[[#This Row],[Familia]]="termico solar",Tabla4[[#This Row],[Utilidad Total]]*6%,Tabla4[[#This Row],[Utilidad Total]]*11.5%))/Tabla4[[#This Row],[Total]]</f>
        <v>#N/A</v>
      </c>
      <c r="V3896" s="282" t="e">
        <f>+Tabla4[[#This Row],[Comisión Calculada]]*Tabla4[[#This Row],[Total]]</f>
        <v>#N/A</v>
      </c>
    </row>
    <row r="3897" spans="1:22" hidden="1" x14ac:dyDescent="0.25">
      <c r="A3897" s="100">
        <v>45838</v>
      </c>
      <c r="B3897" t="str">
        <f t="shared" ref="B3897:B3902" si="185">TEXT(A3897, "mmmm")</f>
        <v>June</v>
      </c>
      <c r="C3897" s="46" t="s">
        <v>280</v>
      </c>
      <c r="F3897" s="366" t="s">
        <v>2191</v>
      </c>
      <c r="G3897" s="46" t="s">
        <v>83</v>
      </c>
      <c r="H3897" s="46">
        <v>3</v>
      </c>
      <c r="I3897" s="51">
        <v>8858.76</v>
      </c>
      <c r="J3897" s="281">
        <f>++Tabla4[[#This Row],[Precio Bruto]]*1.16</f>
        <v>10276.161599999999</v>
      </c>
      <c r="K3897" s="281">
        <f>+Tabla4[[#This Row],[Precio Unitario Neto]]*Tabla4[[#Headers],[20.85%]]</f>
        <v>2142.5796935999997</v>
      </c>
      <c r="L3897" s="282">
        <f>++Tabla4[[#This Row],[Precio Unitario Neto]]-Tabla4[[#This Row],[20.85%]]</f>
        <v>8133.5819063999998</v>
      </c>
      <c r="M3897" s="282" t="e">
        <f>(INDEX(Tabla6[#All],MATCH(Tabla4[[#This Row],[Producto]],Tabla6[[#All],[PRODUCTO]],0),MATCH(Tabla4[[#This Row],[Mes]],Tabla6[#Headers],0)))*(1+Catalogos!$L$2)</f>
        <v>#N/A</v>
      </c>
      <c r="N3897" s="283" t="e">
        <f>+(Tabla4[[#This Row],[Precio Descontado]]-Tabla4[[#This Row],[Precio Base]])*Tabla4[[#This Row],[Cantidad]]</f>
        <v>#N/A</v>
      </c>
      <c r="O3897" s="284" t="e">
        <f>++Tabla4[[#This Row],[Utilidad Total]]/Tabla4[[#This Row],[Total]]</f>
        <v>#N/A</v>
      </c>
      <c r="P3897" s="282">
        <f>++Tabla4[[#This Row],[Precio Descontado]]*Tabla4[[#This Row],[Cantidad]]</f>
        <v>24400.7457192</v>
      </c>
      <c r="Q3897" s="282" t="e">
        <f>(INDEX(Tabla6[#All],MATCH(Tabla4[[#This Row],[Producto]],Tabla6[[#All],[PRODUCTO]],0),MATCH(Tabla4[[#This Row],[Mes]],Tabla6[#Headers],0)))</f>
        <v>#N/A</v>
      </c>
      <c r="R3897" s="282" t="e">
        <f>++Tabla4[[#This Row],[Precio Unitario Neto]]-Tabla4[[#This Row],[20.85%]]-Tabla4[[#This Row],[Costo]]</f>
        <v>#N/A</v>
      </c>
      <c r="S3897" s="282" t="e">
        <f>++Tabla4[[#This Row],[U. Bruta Uni]]*Tabla4[[#This Row],[Cantidad]]</f>
        <v>#N/A</v>
      </c>
      <c r="T3897" s="369" t="str">
        <f>VLOOKUP(Tabla4[[#This Row],[Producto]],Tabla6[#All],14,FALSE)</f>
        <v>Termico Solar</v>
      </c>
      <c r="U3897" s="284" t="e">
        <f>(IF(Tabla4[[#This Row],[Familia]]="termico solar",Tabla4[[#This Row],[Utilidad Total]]*6%,Tabla4[[#This Row],[Utilidad Total]]*11.5%))/Tabla4[[#This Row],[Total]]</f>
        <v>#N/A</v>
      </c>
      <c r="V3897" s="282" t="e">
        <f>+Tabla4[[#This Row],[Comisión Calculada]]*Tabla4[[#This Row],[Total]]</f>
        <v>#N/A</v>
      </c>
    </row>
    <row r="3898" spans="1:22" hidden="1" x14ac:dyDescent="0.25">
      <c r="A3898" s="100">
        <v>45838</v>
      </c>
      <c r="B3898" t="str">
        <f t="shared" si="185"/>
        <v>June</v>
      </c>
      <c r="C3898" s="46" t="s">
        <v>280</v>
      </c>
      <c r="F3898" s="366" t="s">
        <v>2191</v>
      </c>
      <c r="G3898" s="46" t="s">
        <v>17</v>
      </c>
      <c r="H3898" s="46">
        <v>4</v>
      </c>
      <c r="I3898" s="51">
        <v>4622.28</v>
      </c>
      <c r="J3898" s="281">
        <f>++Tabla4[[#This Row],[Precio Bruto]]*1.16</f>
        <v>5361.8447999999989</v>
      </c>
      <c r="K3898" s="281">
        <f>+Tabla4[[#This Row],[Precio Unitario Neto]]*Tabla4[[#Headers],[20.85%]]</f>
        <v>1117.9446407999997</v>
      </c>
      <c r="L3898" s="282">
        <f>++Tabla4[[#This Row],[Precio Unitario Neto]]-Tabla4[[#This Row],[20.85%]]</f>
        <v>4243.9001591999995</v>
      </c>
      <c r="M3898" s="282" t="e">
        <f>(INDEX(Tabla6[#All],MATCH(Tabla4[[#This Row],[Producto]],Tabla6[[#All],[PRODUCTO]],0),MATCH(Tabla4[[#This Row],[Mes]],Tabla6[#Headers],0)))*(1+Catalogos!$L$2)</f>
        <v>#N/A</v>
      </c>
      <c r="N3898" s="283" t="e">
        <f>+(Tabla4[[#This Row],[Precio Descontado]]-Tabla4[[#This Row],[Precio Base]])*Tabla4[[#This Row],[Cantidad]]</f>
        <v>#N/A</v>
      </c>
      <c r="O3898" s="284" t="e">
        <f>++Tabla4[[#This Row],[Utilidad Total]]/Tabla4[[#This Row],[Total]]</f>
        <v>#N/A</v>
      </c>
      <c r="P3898" s="282">
        <f>++Tabla4[[#This Row],[Precio Descontado]]*Tabla4[[#This Row],[Cantidad]]</f>
        <v>16975.600636799998</v>
      </c>
      <c r="Q3898" s="282" t="e">
        <f>(INDEX(Tabla6[#All],MATCH(Tabla4[[#This Row],[Producto]],Tabla6[[#All],[PRODUCTO]],0),MATCH(Tabla4[[#This Row],[Mes]],Tabla6[#Headers],0)))</f>
        <v>#N/A</v>
      </c>
      <c r="R3898" s="282" t="e">
        <f>++Tabla4[[#This Row],[Precio Unitario Neto]]-Tabla4[[#This Row],[20.85%]]-Tabla4[[#This Row],[Costo]]</f>
        <v>#N/A</v>
      </c>
      <c r="S3898" s="282" t="e">
        <f>++Tabla4[[#This Row],[U. Bruta Uni]]*Tabla4[[#This Row],[Cantidad]]</f>
        <v>#N/A</v>
      </c>
      <c r="T3898" s="369" t="str">
        <f>VLOOKUP(Tabla4[[#This Row],[Producto]],Tabla6[#All],14,FALSE)</f>
        <v>Termico Solar</v>
      </c>
      <c r="U3898" s="284" t="e">
        <f>(IF(Tabla4[[#This Row],[Familia]]="termico solar",Tabla4[[#This Row],[Utilidad Total]]*6%,Tabla4[[#This Row],[Utilidad Total]]*11.5%))/Tabla4[[#This Row],[Total]]</f>
        <v>#N/A</v>
      </c>
      <c r="V3898" s="282" t="e">
        <f>+Tabla4[[#This Row],[Comisión Calculada]]*Tabla4[[#This Row],[Total]]</f>
        <v>#N/A</v>
      </c>
    </row>
    <row r="3899" spans="1:22" hidden="1" x14ac:dyDescent="0.25">
      <c r="A3899" s="100">
        <v>45838</v>
      </c>
      <c r="B3899" t="str">
        <f t="shared" si="185"/>
        <v>June</v>
      </c>
      <c r="C3899" s="46" t="s">
        <v>280</v>
      </c>
      <c r="F3899" s="366" t="s">
        <v>2191</v>
      </c>
      <c r="G3899" s="46" t="s">
        <v>18</v>
      </c>
      <c r="H3899" s="46">
        <v>4</v>
      </c>
      <c r="I3899" s="51">
        <v>5367.65</v>
      </c>
      <c r="J3899" s="281">
        <f>++Tabla4[[#This Row],[Precio Bruto]]*1.16</f>
        <v>6226.4739999999993</v>
      </c>
      <c r="K3899" s="281">
        <f>+Tabla4[[#This Row],[Precio Unitario Neto]]*Tabla4[[#Headers],[20.85%]]</f>
        <v>1298.2198289999999</v>
      </c>
      <c r="L3899" s="282">
        <f>++Tabla4[[#This Row],[Precio Unitario Neto]]-Tabla4[[#This Row],[20.85%]]</f>
        <v>4928.2541709999996</v>
      </c>
      <c r="M3899" s="282" t="e">
        <f>(INDEX(Tabla6[#All],MATCH(Tabla4[[#This Row],[Producto]],Tabla6[[#All],[PRODUCTO]],0),MATCH(Tabla4[[#This Row],[Mes]],Tabla6[#Headers],0)))*(1+Catalogos!$L$2)</f>
        <v>#N/A</v>
      </c>
      <c r="N3899" s="283" t="e">
        <f>+(Tabla4[[#This Row],[Precio Descontado]]-Tabla4[[#This Row],[Precio Base]])*Tabla4[[#This Row],[Cantidad]]</f>
        <v>#N/A</v>
      </c>
      <c r="O3899" s="284" t="e">
        <f>++Tabla4[[#This Row],[Utilidad Total]]/Tabla4[[#This Row],[Total]]</f>
        <v>#N/A</v>
      </c>
      <c r="P3899" s="282">
        <f>++Tabla4[[#This Row],[Precio Descontado]]*Tabla4[[#This Row],[Cantidad]]</f>
        <v>19713.016683999998</v>
      </c>
      <c r="Q3899" s="282" t="e">
        <f>(INDEX(Tabla6[#All],MATCH(Tabla4[[#This Row],[Producto]],Tabla6[[#All],[PRODUCTO]],0),MATCH(Tabla4[[#This Row],[Mes]],Tabla6[#Headers],0)))</f>
        <v>#N/A</v>
      </c>
      <c r="R3899" s="282" t="e">
        <f>++Tabla4[[#This Row],[Precio Unitario Neto]]-Tabla4[[#This Row],[20.85%]]-Tabla4[[#This Row],[Costo]]</f>
        <v>#N/A</v>
      </c>
      <c r="S3899" s="282" t="e">
        <f>++Tabla4[[#This Row],[U. Bruta Uni]]*Tabla4[[#This Row],[Cantidad]]</f>
        <v>#N/A</v>
      </c>
      <c r="T3899" s="369" t="str">
        <f>VLOOKUP(Tabla4[[#This Row],[Producto]],Tabla6[#All],14,FALSE)</f>
        <v>Termico Solar</v>
      </c>
      <c r="U3899" s="284" t="e">
        <f>(IF(Tabla4[[#This Row],[Familia]]="termico solar",Tabla4[[#This Row],[Utilidad Total]]*6%,Tabla4[[#This Row],[Utilidad Total]]*11.5%))/Tabla4[[#This Row],[Total]]</f>
        <v>#N/A</v>
      </c>
      <c r="V3899" s="282" t="e">
        <f>+Tabla4[[#This Row],[Comisión Calculada]]*Tabla4[[#This Row],[Total]]</f>
        <v>#N/A</v>
      </c>
    </row>
    <row r="3900" spans="1:22" hidden="1" x14ac:dyDescent="0.25">
      <c r="A3900" s="100">
        <v>45838</v>
      </c>
      <c r="B3900" t="str">
        <f t="shared" si="185"/>
        <v>June</v>
      </c>
      <c r="C3900" s="46" t="s">
        <v>280</v>
      </c>
      <c r="F3900" s="366" t="s">
        <v>2191</v>
      </c>
      <c r="G3900" s="46" t="s">
        <v>566</v>
      </c>
      <c r="H3900" s="46">
        <v>1</v>
      </c>
      <c r="I3900" s="51">
        <v>2109.4499999999998</v>
      </c>
      <c r="J3900" s="281">
        <f>++Tabla4[[#This Row],[Precio Bruto]]*1.16</f>
        <v>2446.9619999999995</v>
      </c>
      <c r="K3900" s="281">
        <f>+Tabla4[[#This Row],[Precio Unitario Neto]]*Tabla4[[#Headers],[20.85%]]</f>
        <v>510.19157699999988</v>
      </c>
      <c r="L3900" s="282">
        <f>++Tabla4[[#This Row],[Precio Unitario Neto]]-Tabla4[[#This Row],[20.85%]]</f>
        <v>1936.7704229999997</v>
      </c>
      <c r="M3900" s="282" t="e">
        <f>(INDEX(Tabla6[#All],MATCH(Tabla4[[#This Row],[Producto]],Tabla6[[#All],[PRODUCTO]],0),MATCH(Tabla4[[#This Row],[Mes]],Tabla6[#Headers],0)))*(1+Catalogos!$L$2)</f>
        <v>#N/A</v>
      </c>
      <c r="N3900" s="283" t="e">
        <f>+(Tabla4[[#This Row],[Precio Descontado]]-Tabla4[[#This Row],[Precio Base]])*Tabla4[[#This Row],[Cantidad]]</f>
        <v>#N/A</v>
      </c>
      <c r="O3900" s="284" t="e">
        <f>++Tabla4[[#This Row],[Utilidad Total]]/Tabla4[[#This Row],[Total]]</f>
        <v>#N/A</v>
      </c>
      <c r="P3900" s="282">
        <f>++Tabla4[[#This Row],[Precio Descontado]]*Tabla4[[#This Row],[Cantidad]]</f>
        <v>1936.7704229999997</v>
      </c>
      <c r="Q3900" s="282" t="e">
        <f>(INDEX(Tabla6[#All],MATCH(Tabla4[[#This Row],[Producto]],Tabla6[[#All],[PRODUCTO]],0),MATCH(Tabla4[[#This Row],[Mes]],Tabla6[#Headers],0)))</f>
        <v>#N/A</v>
      </c>
      <c r="R3900" s="282" t="e">
        <f>++Tabla4[[#This Row],[Precio Unitario Neto]]-Tabla4[[#This Row],[20.85%]]-Tabla4[[#This Row],[Costo]]</f>
        <v>#N/A</v>
      </c>
      <c r="S3900" s="282" t="e">
        <f>++Tabla4[[#This Row],[U. Bruta Uni]]*Tabla4[[#This Row],[Cantidad]]</f>
        <v>#N/A</v>
      </c>
      <c r="T3900" s="369" t="str">
        <f>VLOOKUP(Tabla4[[#This Row],[Producto]],Tabla6[#All],14,FALSE)</f>
        <v>Termico Solar</v>
      </c>
      <c r="U3900" s="284" t="e">
        <f>(IF(Tabla4[[#This Row],[Familia]]="termico solar",Tabla4[[#This Row],[Utilidad Total]]*6%,Tabla4[[#This Row],[Utilidad Total]]*11.5%))/Tabla4[[#This Row],[Total]]</f>
        <v>#N/A</v>
      </c>
      <c r="V3900" s="282" t="e">
        <f>+Tabla4[[#This Row],[Comisión Calculada]]*Tabla4[[#This Row],[Total]]</f>
        <v>#N/A</v>
      </c>
    </row>
    <row r="3901" spans="1:22" hidden="1" x14ac:dyDescent="0.25">
      <c r="A3901" s="100">
        <v>45838</v>
      </c>
      <c r="B3901" t="str">
        <f t="shared" si="185"/>
        <v>June</v>
      </c>
      <c r="C3901" s="46" t="s">
        <v>280</v>
      </c>
      <c r="F3901" s="366" t="s">
        <v>2191</v>
      </c>
      <c r="G3901" s="46" t="s">
        <v>16</v>
      </c>
      <c r="H3901" s="46">
        <v>3</v>
      </c>
      <c r="I3901" s="51">
        <v>4103.8499999999995</v>
      </c>
      <c r="J3901" s="281">
        <f>++Tabla4[[#This Row],[Precio Bruto]]*1.16</f>
        <v>4760.4659999999994</v>
      </c>
      <c r="K3901" s="281">
        <f>+Tabla4[[#This Row],[Precio Unitario Neto]]*Tabla4[[#Headers],[20.85%]]</f>
        <v>992.55716099999984</v>
      </c>
      <c r="L3901" s="282">
        <f>++Tabla4[[#This Row],[Precio Unitario Neto]]-Tabla4[[#This Row],[20.85%]]</f>
        <v>3767.9088389999997</v>
      </c>
      <c r="M3901" s="282" t="e">
        <f>(INDEX(Tabla6[#All],MATCH(Tabla4[[#This Row],[Producto]],Tabla6[[#All],[PRODUCTO]],0),MATCH(Tabla4[[#This Row],[Mes]],Tabla6[#Headers],0)))*(1+Catalogos!$L$2)</f>
        <v>#N/A</v>
      </c>
      <c r="N3901" s="283" t="e">
        <f>+(Tabla4[[#This Row],[Precio Descontado]]-Tabla4[[#This Row],[Precio Base]])*Tabla4[[#This Row],[Cantidad]]</f>
        <v>#N/A</v>
      </c>
      <c r="O3901" s="284" t="e">
        <f>++Tabla4[[#This Row],[Utilidad Total]]/Tabla4[[#This Row],[Total]]</f>
        <v>#N/A</v>
      </c>
      <c r="P3901" s="282">
        <f>++Tabla4[[#This Row],[Precio Descontado]]*Tabla4[[#This Row],[Cantidad]]</f>
        <v>11303.726516999999</v>
      </c>
      <c r="Q3901" s="282" t="e">
        <f>(INDEX(Tabla6[#All],MATCH(Tabla4[[#This Row],[Producto]],Tabla6[[#All],[PRODUCTO]],0),MATCH(Tabla4[[#This Row],[Mes]],Tabla6[#Headers],0)))</f>
        <v>#N/A</v>
      </c>
      <c r="R3901" s="282" t="e">
        <f>++Tabla4[[#This Row],[Precio Unitario Neto]]-Tabla4[[#This Row],[20.85%]]-Tabla4[[#This Row],[Costo]]</f>
        <v>#N/A</v>
      </c>
      <c r="S3901" s="282" t="e">
        <f>++Tabla4[[#This Row],[U. Bruta Uni]]*Tabla4[[#This Row],[Cantidad]]</f>
        <v>#N/A</v>
      </c>
      <c r="T3901" s="369" t="str">
        <f>VLOOKUP(Tabla4[[#This Row],[Producto]],Tabla6[#All],14,FALSE)</f>
        <v>Termico Solar</v>
      </c>
      <c r="U3901" s="284" t="e">
        <f>(IF(Tabla4[[#This Row],[Familia]]="termico solar",Tabla4[[#This Row],[Utilidad Total]]*6%,Tabla4[[#This Row],[Utilidad Total]]*11.5%))/Tabla4[[#This Row],[Total]]</f>
        <v>#N/A</v>
      </c>
      <c r="V3901" s="282" t="e">
        <f>+Tabla4[[#This Row],[Comisión Calculada]]*Tabla4[[#This Row],[Total]]</f>
        <v>#N/A</v>
      </c>
    </row>
    <row r="3902" spans="1:22" hidden="1" x14ac:dyDescent="0.25">
      <c r="A3902" s="100">
        <v>45838</v>
      </c>
      <c r="B3902" t="str">
        <f t="shared" si="185"/>
        <v>June</v>
      </c>
      <c r="C3902" s="46" t="s">
        <v>280</v>
      </c>
      <c r="F3902" s="366" t="s">
        <v>2191</v>
      </c>
      <c r="G3902" s="46" t="s">
        <v>208</v>
      </c>
      <c r="H3902" s="46">
        <v>1</v>
      </c>
      <c r="I3902" s="51">
        <v>189.75</v>
      </c>
      <c r="J3902" s="281">
        <f>++Tabla4[[#This Row],[Precio Bruto]]*1.16</f>
        <v>220.10999999999999</v>
      </c>
      <c r="K3902" s="281">
        <f>+Tabla4[[#This Row],[Precio Unitario Neto]]*Tabla4[[#Headers],[20.85%]]</f>
        <v>45.892934999999994</v>
      </c>
      <c r="L3902" s="282">
        <f>++Tabla4[[#This Row],[Precio Unitario Neto]]-Tabla4[[#This Row],[20.85%]]</f>
        <v>174.21706499999999</v>
      </c>
      <c r="M3902" s="282" t="e">
        <f>(INDEX(Tabla6[#All],MATCH(Tabla4[[#This Row],[Producto]],Tabla6[[#All],[PRODUCTO]],0),MATCH(Tabla4[[#This Row],[Mes]],Tabla6[#Headers],0)))*(1+Catalogos!$L$2)</f>
        <v>#N/A</v>
      </c>
      <c r="N3902" s="283" t="e">
        <f>+(Tabla4[[#This Row],[Precio Descontado]]-Tabla4[[#This Row],[Precio Base]])*Tabla4[[#This Row],[Cantidad]]</f>
        <v>#N/A</v>
      </c>
      <c r="O3902" s="284" t="e">
        <f>++Tabla4[[#This Row],[Utilidad Total]]/Tabla4[[#This Row],[Total]]</f>
        <v>#N/A</v>
      </c>
      <c r="P3902" s="282">
        <f>++Tabla4[[#This Row],[Precio Descontado]]*Tabla4[[#This Row],[Cantidad]]</f>
        <v>174.21706499999999</v>
      </c>
      <c r="Q3902" s="282" t="e">
        <f>(INDEX(Tabla6[#All],MATCH(Tabla4[[#This Row],[Producto]],Tabla6[[#All],[PRODUCTO]],0),MATCH(Tabla4[[#This Row],[Mes]],Tabla6[#Headers],0)))</f>
        <v>#N/A</v>
      </c>
      <c r="R3902" s="282" t="e">
        <f>++Tabla4[[#This Row],[Precio Unitario Neto]]-Tabla4[[#This Row],[20.85%]]-Tabla4[[#This Row],[Costo]]</f>
        <v>#N/A</v>
      </c>
      <c r="S3902" s="282" t="e">
        <f>++Tabla4[[#This Row],[U. Bruta Uni]]*Tabla4[[#This Row],[Cantidad]]</f>
        <v>#N/A</v>
      </c>
      <c r="T3902" s="369" t="str">
        <f>VLOOKUP(Tabla4[[#This Row],[Producto]],Tabla6[#All],14,FALSE)</f>
        <v>Termico Solar</v>
      </c>
      <c r="U3902" s="284" t="e">
        <f>(IF(Tabla4[[#This Row],[Familia]]="termico solar",Tabla4[[#This Row],[Utilidad Total]]*6%,Tabla4[[#This Row],[Utilidad Total]]*11.5%))/Tabla4[[#This Row],[Total]]</f>
        <v>#N/A</v>
      </c>
      <c r="V3902" s="282" t="e">
        <f>+Tabla4[[#This Row],[Comisión Calculada]]*Tabla4[[#This Row],[Total]]</f>
        <v>#N/A</v>
      </c>
    </row>
    <row r="3903" spans="1:22" hidden="1" x14ac:dyDescent="0.25">
      <c r="A3903" s="100">
        <v>45838</v>
      </c>
      <c r="B3903" t="str">
        <f t="shared" ref="B3903:B3934" si="186">TEXT(A3903, "mmmm")</f>
        <v>June</v>
      </c>
      <c r="C3903" s="46" t="s">
        <v>280</v>
      </c>
      <c r="F3903" s="366" t="s">
        <v>2192</v>
      </c>
      <c r="G3903" s="46" t="s">
        <v>17</v>
      </c>
      <c r="H3903" s="46">
        <v>1</v>
      </c>
      <c r="I3903" s="51">
        <v>4622.28</v>
      </c>
      <c r="J3903" s="281">
        <f>++Tabla4[[#This Row],[Precio Bruto]]*1.16</f>
        <v>5361.8447999999989</v>
      </c>
      <c r="K3903" s="281">
        <f>+Tabla4[[#This Row],[Precio Unitario Neto]]*Tabla4[[#Headers],[20.85%]]</f>
        <v>1117.9446407999997</v>
      </c>
      <c r="L3903" s="282">
        <f>++Tabla4[[#This Row],[Precio Unitario Neto]]-Tabla4[[#This Row],[20.85%]]</f>
        <v>4243.9001591999995</v>
      </c>
      <c r="M3903" s="282" t="e">
        <f>(INDEX(Tabla6[#All],MATCH(Tabla4[[#This Row],[Producto]],Tabla6[[#All],[PRODUCTO]],0),MATCH(Tabla4[[#This Row],[Mes]],Tabla6[#Headers],0)))*(1+Catalogos!$L$2)</f>
        <v>#N/A</v>
      </c>
      <c r="N3903" s="283" t="e">
        <f>+(Tabla4[[#This Row],[Precio Descontado]]-Tabla4[[#This Row],[Precio Base]])*Tabla4[[#This Row],[Cantidad]]</f>
        <v>#N/A</v>
      </c>
      <c r="O3903" s="284" t="e">
        <f>++Tabla4[[#This Row],[Utilidad Total]]/Tabla4[[#This Row],[Total]]</f>
        <v>#N/A</v>
      </c>
      <c r="P3903" s="282">
        <f>++Tabla4[[#This Row],[Precio Descontado]]*Tabla4[[#This Row],[Cantidad]]</f>
        <v>4243.9001591999995</v>
      </c>
      <c r="Q3903" s="282" t="e">
        <f>(INDEX(Tabla6[#All],MATCH(Tabla4[[#This Row],[Producto]],Tabla6[[#All],[PRODUCTO]],0),MATCH(Tabla4[[#This Row],[Mes]],Tabla6[#Headers],0)))</f>
        <v>#N/A</v>
      </c>
      <c r="R3903" s="282" t="e">
        <f>++Tabla4[[#This Row],[Precio Unitario Neto]]-Tabla4[[#This Row],[20.85%]]-Tabla4[[#This Row],[Costo]]</f>
        <v>#N/A</v>
      </c>
      <c r="S3903" s="282" t="e">
        <f>++Tabla4[[#This Row],[U. Bruta Uni]]*Tabla4[[#This Row],[Cantidad]]</f>
        <v>#N/A</v>
      </c>
      <c r="T3903" s="369" t="str">
        <f>VLOOKUP(Tabla4[[#This Row],[Producto]],Tabla6[#All],14,FALSE)</f>
        <v>Termico Solar</v>
      </c>
      <c r="U3903" s="284" t="e">
        <f>(IF(Tabla4[[#This Row],[Familia]]="termico solar",Tabla4[[#This Row],[Utilidad Total]]*6%,Tabla4[[#This Row],[Utilidad Total]]*11.5%))/Tabla4[[#This Row],[Total]]</f>
        <v>#N/A</v>
      </c>
      <c r="V3903" s="282" t="e">
        <f>+Tabla4[[#This Row],[Comisión Calculada]]*Tabla4[[#This Row],[Total]]</f>
        <v>#N/A</v>
      </c>
    </row>
    <row r="3904" spans="1:22" hidden="1" x14ac:dyDescent="0.25">
      <c r="A3904" s="100">
        <v>45838</v>
      </c>
      <c r="B3904" t="str">
        <f t="shared" si="186"/>
        <v>June</v>
      </c>
      <c r="C3904" s="46" t="s">
        <v>280</v>
      </c>
      <c r="F3904" s="366" t="s">
        <v>2192</v>
      </c>
      <c r="G3904" s="46" t="s">
        <v>18</v>
      </c>
      <c r="H3904" s="46">
        <v>1</v>
      </c>
      <c r="I3904" s="51">
        <v>5367.65</v>
      </c>
      <c r="J3904" s="281">
        <f>++Tabla4[[#This Row],[Precio Bruto]]*1.16</f>
        <v>6226.4739999999993</v>
      </c>
      <c r="K3904" s="281">
        <f>+Tabla4[[#This Row],[Precio Unitario Neto]]*Tabla4[[#Headers],[20.85%]]</f>
        <v>1298.2198289999999</v>
      </c>
      <c r="L3904" s="282">
        <f>++Tabla4[[#This Row],[Precio Unitario Neto]]-Tabla4[[#This Row],[20.85%]]</f>
        <v>4928.2541709999996</v>
      </c>
      <c r="M3904" s="282" t="e">
        <f>(INDEX(Tabla6[#All],MATCH(Tabla4[[#This Row],[Producto]],Tabla6[[#All],[PRODUCTO]],0),MATCH(Tabla4[[#This Row],[Mes]],Tabla6[#Headers],0)))*(1+Catalogos!$L$2)</f>
        <v>#N/A</v>
      </c>
      <c r="N3904" s="283" t="e">
        <f>+(Tabla4[[#This Row],[Precio Descontado]]-Tabla4[[#This Row],[Precio Base]])*Tabla4[[#This Row],[Cantidad]]</f>
        <v>#N/A</v>
      </c>
      <c r="O3904" s="284" t="e">
        <f>++Tabla4[[#This Row],[Utilidad Total]]/Tabla4[[#This Row],[Total]]</f>
        <v>#N/A</v>
      </c>
      <c r="P3904" s="282">
        <f>++Tabla4[[#This Row],[Precio Descontado]]*Tabla4[[#This Row],[Cantidad]]</f>
        <v>4928.2541709999996</v>
      </c>
      <c r="Q3904" s="282" t="e">
        <f>(INDEX(Tabla6[#All],MATCH(Tabla4[[#This Row],[Producto]],Tabla6[[#All],[PRODUCTO]],0),MATCH(Tabla4[[#This Row],[Mes]],Tabla6[#Headers],0)))</f>
        <v>#N/A</v>
      </c>
      <c r="R3904" s="282" t="e">
        <f>++Tabla4[[#This Row],[Precio Unitario Neto]]-Tabla4[[#This Row],[20.85%]]-Tabla4[[#This Row],[Costo]]</f>
        <v>#N/A</v>
      </c>
      <c r="S3904" s="282" t="e">
        <f>++Tabla4[[#This Row],[U. Bruta Uni]]*Tabla4[[#This Row],[Cantidad]]</f>
        <v>#N/A</v>
      </c>
      <c r="T3904" s="369" t="str">
        <f>VLOOKUP(Tabla4[[#This Row],[Producto]],Tabla6[#All],14,FALSE)</f>
        <v>Termico Solar</v>
      </c>
      <c r="U3904" s="284" t="e">
        <f>(IF(Tabla4[[#This Row],[Familia]]="termico solar",Tabla4[[#This Row],[Utilidad Total]]*6%,Tabla4[[#This Row],[Utilidad Total]]*11.5%))/Tabla4[[#This Row],[Total]]</f>
        <v>#N/A</v>
      </c>
      <c r="V3904" s="282" t="e">
        <f>+Tabla4[[#This Row],[Comisión Calculada]]*Tabla4[[#This Row],[Total]]</f>
        <v>#N/A</v>
      </c>
    </row>
    <row r="3905" spans="1:22" hidden="1" x14ac:dyDescent="0.25">
      <c r="A3905" s="100">
        <v>45838</v>
      </c>
      <c r="B3905" t="str">
        <f t="shared" si="186"/>
        <v>June</v>
      </c>
      <c r="C3905" s="46" t="s">
        <v>280</v>
      </c>
      <c r="F3905" s="366" t="s">
        <v>2192</v>
      </c>
      <c r="G3905" s="46" t="s">
        <v>566</v>
      </c>
      <c r="H3905" s="46">
        <v>1</v>
      </c>
      <c r="I3905" s="51">
        <v>2109.4499999999998</v>
      </c>
      <c r="J3905" s="281">
        <f>++Tabla4[[#This Row],[Precio Bruto]]*1.16</f>
        <v>2446.9619999999995</v>
      </c>
      <c r="K3905" s="281">
        <f>+Tabla4[[#This Row],[Precio Unitario Neto]]*Tabla4[[#Headers],[20.85%]]</f>
        <v>510.19157699999988</v>
      </c>
      <c r="L3905" s="282">
        <f>++Tabla4[[#This Row],[Precio Unitario Neto]]-Tabla4[[#This Row],[20.85%]]</f>
        <v>1936.7704229999997</v>
      </c>
      <c r="M3905" s="282" t="e">
        <f>(INDEX(Tabla6[#All],MATCH(Tabla4[[#This Row],[Producto]],Tabla6[[#All],[PRODUCTO]],0),MATCH(Tabla4[[#This Row],[Mes]],Tabla6[#Headers],0)))*(1+Catalogos!$L$2)</f>
        <v>#N/A</v>
      </c>
      <c r="N3905" s="283" t="e">
        <f>+(Tabla4[[#This Row],[Precio Descontado]]-Tabla4[[#This Row],[Precio Base]])*Tabla4[[#This Row],[Cantidad]]</f>
        <v>#N/A</v>
      </c>
      <c r="O3905" s="284" t="e">
        <f>++Tabla4[[#This Row],[Utilidad Total]]/Tabla4[[#This Row],[Total]]</f>
        <v>#N/A</v>
      </c>
      <c r="P3905" s="282">
        <f>++Tabla4[[#This Row],[Precio Descontado]]*Tabla4[[#This Row],[Cantidad]]</f>
        <v>1936.7704229999997</v>
      </c>
      <c r="Q3905" s="282" t="e">
        <f>(INDEX(Tabla6[#All],MATCH(Tabla4[[#This Row],[Producto]],Tabla6[[#All],[PRODUCTO]],0),MATCH(Tabla4[[#This Row],[Mes]],Tabla6[#Headers],0)))</f>
        <v>#N/A</v>
      </c>
      <c r="R3905" s="282" t="e">
        <f>++Tabla4[[#This Row],[Precio Unitario Neto]]-Tabla4[[#This Row],[20.85%]]-Tabla4[[#This Row],[Costo]]</f>
        <v>#N/A</v>
      </c>
      <c r="S3905" s="282" t="e">
        <f>++Tabla4[[#This Row],[U. Bruta Uni]]*Tabla4[[#This Row],[Cantidad]]</f>
        <v>#N/A</v>
      </c>
      <c r="T3905" s="369" t="str">
        <f>VLOOKUP(Tabla4[[#This Row],[Producto]],Tabla6[#All],14,FALSE)</f>
        <v>Termico Solar</v>
      </c>
      <c r="U3905" s="284" t="e">
        <f>(IF(Tabla4[[#This Row],[Familia]]="termico solar",Tabla4[[#This Row],[Utilidad Total]]*6%,Tabla4[[#This Row],[Utilidad Total]]*11.5%))/Tabla4[[#This Row],[Total]]</f>
        <v>#N/A</v>
      </c>
      <c r="V3905" s="282" t="e">
        <f>+Tabla4[[#This Row],[Comisión Calculada]]*Tabla4[[#This Row],[Total]]</f>
        <v>#N/A</v>
      </c>
    </row>
    <row r="3906" spans="1:22" hidden="1" x14ac:dyDescent="0.25">
      <c r="A3906" s="100">
        <v>45838</v>
      </c>
      <c r="B3906" t="str">
        <f t="shared" si="186"/>
        <v>June</v>
      </c>
      <c r="C3906" s="46" t="s">
        <v>280</v>
      </c>
      <c r="F3906" s="366" t="s">
        <v>2193</v>
      </c>
      <c r="G3906" s="46" t="s">
        <v>83</v>
      </c>
      <c r="H3906" s="46">
        <v>3</v>
      </c>
      <c r="I3906" s="51">
        <v>8858.76</v>
      </c>
      <c r="J3906" s="281">
        <f>++Tabla4[[#This Row],[Precio Bruto]]*1.16</f>
        <v>10276.161599999999</v>
      </c>
      <c r="K3906" s="281">
        <f>+Tabla4[[#This Row],[Precio Unitario Neto]]*Tabla4[[#Headers],[20.85%]]</f>
        <v>2142.5796935999997</v>
      </c>
      <c r="L3906" s="282">
        <f>++Tabla4[[#This Row],[Precio Unitario Neto]]-Tabla4[[#This Row],[20.85%]]</f>
        <v>8133.5819063999998</v>
      </c>
      <c r="M3906" s="282" t="e">
        <f>(INDEX(Tabla6[#All],MATCH(Tabla4[[#This Row],[Producto]],Tabla6[[#All],[PRODUCTO]],0),MATCH(Tabla4[[#This Row],[Mes]],Tabla6[#Headers],0)))*(1+Catalogos!$L$2)</f>
        <v>#N/A</v>
      </c>
      <c r="N3906" s="283" t="e">
        <f>+(Tabla4[[#This Row],[Precio Descontado]]-Tabla4[[#This Row],[Precio Base]])*Tabla4[[#This Row],[Cantidad]]</f>
        <v>#N/A</v>
      </c>
      <c r="O3906" s="284" t="e">
        <f>++Tabla4[[#This Row],[Utilidad Total]]/Tabla4[[#This Row],[Total]]</f>
        <v>#N/A</v>
      </c>
      <c r="P3906" s="282">
        <f>++Tabla4[[#This Row],[Precio Descontado]]*Tabla4[[#This Row],[Cantidad]]</f>
        <v>24400.7457192</v>
      </c>
      <c r="Q3906" s="282" t="e">
        <f>(INDEX(Tabla6[#All],MATCH(Tabla4[[#This Row],[Producto]],Tabla6[[#All],[PRODUCTO]],0),MATCH(Tabla4[[#This Row],[Mes]],Tabla6[#Headers],0)))</f>
        <v>#N/A</v>
      </c>
      <c r="R3906" s="282" t="e">
        <f>++Tabla4[[#This Row],[Precio Unitario Neto]]-Tabla4[[#This Row],[20.85%]]-Tabla4[[#This Row],[Costo]]</f>
        <v>#N/A</v>
      </c>
      <c r="S3906" s="282" t="e">
        <f>++Tabla4[[#This Row],[U. Bruta Uni]]*Tabla4[[#This Row],[Cantidad]]</f>
        <v>#N/A</v>
      </c>
      <c r="T3906" s="369" t="str">
        <f>VLOOKUP(Tabla4[[#This Row],[Producto]],Tabla6[#All],14,FALSE)</f>
        <v>Termico Solar</v>
      </c>
      <c r="U3906" s="284" t="e">
        <f>(IF(Tabla4[[#This Row],[Familia]]="termico solar",Tabla4[[#This Row],[Utilidad Total]]*6%,Tabla4[[#This Row],[Utilidad Total]]*11.5%))/Tabla4[[#This Row],[Total]]</f>
        <v>#N/A</v>
      </c>
      <c r="V3906" s="282" t="e">
        <f>+Tabla4[[#This Row],[Comisión Calculada]]*Tabla4[[#This Row],[Total]]</f>
        <v>#N/A</v>
      </c>
    </row>
    <row r="3907" spans="1:22" hidden="1" x14ac:dyDescent="0.25">
      <c r="A3907" s="100">
        <v>45838</v>
      </c>
      <c r="B3907" t="str">
        <f t="shared" si="186"/>
        <v>June</v>
      </c>
      <c r="C3907" s="46" t="s">
        <v>280</v>
      </c>
      <c r="F3907" s="366" t="s">
        <v>2193</v>
      </c>
      <c r="G3907" s="46" t="s">
        <v>209</v>
      </c>
      <c r="H3907" s="46">
        <v>6</v>
      </c>
      <c r="I3907" s="51">
        <v>347.48</v>
      </c>
      <c r="J3907" s="281">
        <f>++Tabla4[[#This Row],[Precio Bruto]]*1.16</f>
        <v>403.07679999999999</v>
      </c>
      <c r="K3907" s="281">
        <f>+Tabla4[[#This Row],[Precio Unitario Neto]]*Tabla4[[#Headers],[20.85%]]</f>
        <v>84.041512799999992</v>
      </c>
      <c r="L3907" s="282">
        <f>++Tabla4[[#This Row],[Precio Unitario Neto]]-Tabla4[[#This Row],[20.85%]]</f>
        <v>319.03528719999997</v>
      </c>
      <c r="M3907" s="282" t="e">
        <f>(INDEX(Tabla6[#All],MATCH(Tabla4[[#This Row],[Producto]],Tabla6[[#All],[PRODUCTO]],0),MATCH(Tabla4[[#This Row],[Mes]],Tabla6[#Headers],0)))*(1+Catalogos!$L$2)</f>
        <v>#N/A</v>
      </c>
      <c r="N3907" s="283" t="e">
        <f>+(Tabla4[[#This Row],[Precio Descontado]]-Tabla4[[#This Row],[Precio Base]])*Tabla4[[#This Row],[Cantidad]]</f>
        <v>#N/A</v>
      </c>
      <c r="O3907" s="284" t="e">
        <f>++Tabla4[[#This Row],[Utilidad Total]]/Tabla4[[#This Row],[Total]]</f>
        <v>#N/A</v>
      </c>
      <c r="P3907" s="282">
        <f>++Tabla4[[#This Row],[Precio Descontado]]*Tabla4[[#This Row],[Cantidad]]</f>
        <v>1914.2117231999998</v>
      </c>
      <c r="Q3907" s="282" t="e">
        <f>(INDEX(Tabla6[#All],MATCH(Tabla4[[#This Row],[Producto]],Tabla6[[#All],[PRODUCTO]],0),MATCH(Tabla4[[#This Row],[Mes]],Tabla6[#Headers],0)))</f>
        <v>#N/A</v>
      </c>
      <c r="R3907" s="282" t="e">
        <f>++Tabla4[[#This Row],[Precio Unitario Neto]]-Tabla4[[#This Row],[20.85%]]-Tabla4[[#This Row],[Costo]]</f>
        <v>#N/A</v>
      </c>
      <c r="S3907" s="282" t="e">
        <f>++Tabla4[[#This Row],[U. Bruta Uni]]*Tabla4[[#This Row],[Cantidad]]</f>
        <v>#N/A</v>
      </c>
      <c r="T3907" s="369" t="str">
        <f>VLOOKUP(Tabla4[[#This Row],[Producto]],Tabla6[#All],14,FALSE)</f>
        <v>Termico Solar</v>
      </c>
      <c r="U3907" s="284" t="e">
        <f>(IF(Tabla4[[#This Row],[Familia]]="termico solar",Tabla4[[#This Row],[Utilidad Total]]*6%,Tabla4[[#This Row],[Utilidad Total]]*11.5%))/Tabla4[[#This Row],[Total]]</f>
        <v>#N/A</v>
      </c>
      <c r="V3907" s="282" t="e">
        <f>+Tabla4[[#This Row],[Comisión Calculada]]*Tabla4[[#This Row],[Total]]</f>
        <v>#N/A</v>
      </c>
    </row>
    <row r="3908" spans="1:22" hidden="1" x14ac:dyDescent="0.25">
      <c r="A3908" s="100">
        <v>45838</v>
      </c>
      <c r="B3908" t="str">
        <f t="shared" si="186"/>
        <v>June</v>
      </c>
      <c r="C3908" s="46" t="s">
        <v>280</v>
      </c>
      <c r="F3908" s="366" t="s">
        <v>2194</v>
      </c>
      <c r="G3908" s="46" t="s">
        <v>83</v>
      </c>
      <c r="H3908" s="46">
        <v>1</v>
      </c>
      <c r="I3908" s="51">
        <v>8858.76</v>
      </c>
      <c r="J3908" s="281">
        <f>++Tabla4[[#This Row],[Precio Bruto]]*1.16</f>
        <v>10276.161599999999</v>
      </c>
      <c r="K3908" s="281">
        <f>+Tabla4[[#This Row],[Precio Unitario Neto]]*Tabla4[[#Headers],[20.85%]]</f>
        <v>2142.5796935999997</v>
      </c>
      <c r="L3908" s="282">
        <f>++Tabla4[[#This Row],[Precio Unitario Neto]]-Tabla4[[#This Row],[20.85%]]</f>
        <v>8133.5819063999998</v>
      </c>
      <c r="M3908" s="282" t="e">
        <f>(INDEX(Tabla6[#All],MATCH(Tabla4[[#This Row],[Producto]],Tabla6[[#All],[PRODUCTO]],0),MATCH(Tabla4[[#This Row],[Mes]],Tabla6[#Headers],0)))*(1+Catalogos!$L$2)</f>
        <v>#N/A</v>
      </c>
      <c r="N3908" s="283" t="e">
        <f>+(Tabla4[[#This Row],[Precio Descontado]]-Tabla4[[#This Row],[Precio Base]])*Tabla4[[#This Row],[Cantidad]]</f>
        <v>#N/A</v>
      </c>
      <c r="O3908" s="284" t="e">
        <f>++Tabla4[[#This Row],[Utilidad Total]]/Tabla4[[#This Row],[Total]]</f>
        <v>#N/A</v>
      </c>
      <c r="P3908" s="282">
        <f>++Tabla4[[#This Row],[Precio Descontado]]*Tabla4[[#This Row],[Cantidad]]</f>
        <v>8133.5819063999998</v>
      </c>
      <c r="Q3908" s="282" t="e">
        <f>(INDEX(Tabla6[#All],MATCH(Tabla4[[#This Row],[Producto]],Tabla6[[#All],[PRODUCTO]],0),MATCH(Tabla4[[#This Row],[Mes]],Tabla6[#Headers],0)))</f>
        <v>#N/A</v>
      </c>
      <c r="R3908" s="282" t="e">
        <f>++Tabla4[[#This Row],[Precio Unitario Neto]]-Tabla4[[#This Row],[20.85%]]-Tabla4[[#This Row],[Costo]]</f>
        <v>#N/A</v>
      </c>
      <c r="S3908" s="282" t="e">
        <f>++Tabla4[[#This Row],[U. Bruta Uni]]*Tabla4[[#This Row],[Cantidad]]</f>
        <v>#N/A</v>
      </c>
      <c r="T3908" s="369" t="str">
        <f>VLOOKUP(Tabla4[[#This Row],[Producto]],Tabla6[#All],14,FALSE)</f>
        <v>Termico Solar</v>
      </c>
      <c r="U3908" s="284" t="e">
        <f>(IF(Tabla4[[#This Row],[Familia]]="termico solar",Tabla4[[#This Row],[Utilidad Total]]*6%,Tabla4[[#This Row],[Utilidad Total]]*11.5%))/Tabla4[[#This Row],[Total]]</f>
        <v>#N/A</v>
      </c>
      <c r="V3908" s="282" t="e">
        <f>+Tabla4[[#This Row],[Comisión Calculada]]*Tabla4[[#This Row],[Total]]</f>
        <v>#N/A</v>
      </c>
    </row>
    <row r="3909" spans="1:22" hidden="1" x14ac:dyDescent="0.25">
      <c r="A3909" s="100">
        <v>45838</v>
      </c>
      <c r="B3909" t="str">
        <f t="shared" si="186"/>
        <v>June</v>
      </c>
      <c r="C3909" s="46" t="s">
        <v>280</v>
      </c>
      <c r="F3909" s="366" t="s">
        <v>2194</v>
      </c>
      <c r="G3909" s="46" t="s">
        <v>17</v>
      </c>
      <c r="H3909" s="46">
        <v>3</v>
      </c>
      <c r="I3909" s="51">
        <v>4622.28</v>
      </c>
      <c r="J3909" s="281">
        <f>++Tabla4[[#This Row],[Precio Bruto]]*1.16</f>
        <v>5361.8447999999989</v>
      </c>
      <c r="K3909" s="281">
        <f>+Tabla4[[#This Row],[Precio Unitario Neto]]*Tabla4[[#Headers],[20.85%]]</f>
        <v>1117.9446407999997</v>
      </c>
      <c r="L3909" s="282">
        <f>++Tabla4[[#This Row],[Precio Unitario Neto]]-Tabla4[[#This Row],[20.85%]]</f>
        <v>4243.9001591999995</v>
      </c>
      <c r="M3909" s="282" t="e">
        <f>(INDEX(Tabla6[#All],MATCH(Tabla4[[#This Row],[Producto]],Tabla6[[#All],[PRODUCTO]],0),MATCH(Tabla4[[#This Row],[Mes]],Tabla6[#Headers],0)))*(1+Catalogos!$L$2)</f>
        <v>#N/A</v>
      </c>
      <c r="N3909" s="283" t="e">
        <f>+(Tabla4[[#This Row],[Precio Descontado]]-Tabla4[[#This Row],[Precio Base]])*Tabla4[[#This Row],[Cantidad]]</f>
        <v>#N/A</v>
      </c>
      <c r="O3909" s="284" t="e">
        <f>++Tabla4[[#This Row],[Utilidad Total]]/Tabla4[[#This Row],[Total]]</f>
        <v>#N/A</v>
      </c>
      <c r="P3909" s="282">
        <f>++Tabla4[[#This Row],[Precio Descontado]]*Tabla4[[#This Row],[Cantidad]]</f>
        <v>12731.700477599999</v>
      </c>
      <c r="Q3909" s="282" t="e">
        <f>(INDEX(Tabla6[#All],MATCH(Tabla4[[#This Row],[Producto]],Tabla6[[#All],[PRODUCTO]],0),MATCH(Tabla4[[#This Row],[Mes]],Tabla6[#Headers],0)))</f>
        <v>#N/A</v>
      </c>
      <c r="R3909" s="282" t="e">
        <f>++Tabla4[[#This Row],[Precio Unitario Neto]]-Tabla4[[#This Row],[20.85%]]-Tabla4[[#This Row],[Costo]]</f>
        <v>#N/A</v>
      </c>
      <c r="S3909" s="282" t="e">
        <f>++Tabla4[[#This Row],[U. Bruta Uni]]*Tabla4[[#This Row],[Cantidad]]</f>
        <v>#N/A</v>
      </c>
      <c r="T3909" s="369" t="str">
        <f>VLOOKUP(Tabla4[[#This Row],[Producto]],Tabla6[#All],14,FALSE)</f>
        <v>Termico Solar</v>
      </c>
      <c r="U3909" s="284" t="e">
        <f>(IF(Tabla4[[#This Row],[Familia]]="termico solar",Tabla4[[#This Row],[Utilidad Total]]*6%,Tabla4[[#This Row],[Utilidad Total]]*11.5%))/Tabla4[[#This Row],[Total]]</f>
        <v>#N/A</v>
      </c>
      <c r="V3909" s="282" t="e">
        <f>+Tabla4[[#This Row],[Comisión Calculada]]*Tabla4[[#This Row],[Total]]</f>
        <v>#N/A</v>
      </c>
    </row>
    <row r="3910" spans="1:22" hidden="1" x14ac:dyDescent="0.25">
      <c r="A3910" s="100">
        <v>45838</v>
      </c>
      <c r="B3910" t="str">
        <f t="shared" si="186"/>
        <v>June</v>
      </c>
      <c r="C3910" s="46" t="s">
        <v>280</v>
      </c>
      <c r="F3910" s="366" t="s">
        <v>2194</v>
      </c>
      <c r="G3910" s="46" t="s">
        <v>566</v>
      </c>
      <c r="H3910" s="46">
        <v>1</v>
      </c>
      <c r="I3910" s="51">
        <v>2109.4499999999998</v>
      </c>
      <c r="J3910" s="281">
        <f>++Tabla4[[#This Row],[Precio Bruto]]*1.16</f>
        <v>2446.9619999999995</v>
      </c>
      <c r="K3910" s="281">
        <f>+Tabla4[[#This Row],[Precio Unitario Neto]]*Tabla4[[#Headers],[20.85%]]</f>
        <v>510.19157699999988</v>
      </c>
      <c r="L3910" s="282">
        <f>++Tabla4[[#This Row],[Precio Unitario Neto]]-Tabla4[[#This Row],[20.85%]]</f>
        <v>1936.7704229999997</v>
      </c>
      <c r="M3910" s="282" t="e">
        <f>(INDEX(Tabla6[#All],MATCH(Tabla4[[#This Row],[Producto]],Tabla6[[#All],[PRODUCTO]],0),MATCH(Tabla4[[#This Row],[Mes]],Tabla6[#Headers],0)))*(1+Catalogos!$L$2)</f>
        <v>#N/A</v>
      </c>
      <c r="N3910" s="283" t="e">
        <f>+(Tabla4[[#This Row],[Precio Descontado]]-Tabla4[[#This Row],[Precio Base]])*Tabla4[[#This Row],[Cantidad]]</f>
        <v>#N/A</v>
      </c>
      <c r="O3910" s="284" t="e">
        <f>++Tabla4[[#This Row],[Utilidad Total]]/Tabla4[[#This Row],[Total]]</f>
        <v>#N/A</v>
      </c>
      <c r="P3910" s="282">
        <f>++Tabla4[[#This Row],[Precio Descontado]]*Tabla4[[#This Row],[Cantidad]]</f>
        <v>1936.7704229999997</v>
      </c>
      <c r="Q3910" s="282" t="e">
        <f>(INDEX(Tabla6[#All],MATCH(Tabla4[[#This Row],[Producto]],Tabla6[[#All],[PRODUCTO]],0),MATCH(Tabla4[[#This Row],[Mes]],Tabla6[#Headers],0)))</f>
        <v>#N/A</v>
      </c>
      <c r="R3910" s="282" t="e">
        <f>++Tabla4[[#This Row],[Precio Unitario Neto]]-Tabla4[[#This Row],[20.85%]]-Tabla4[[#This Row],[Costo]]</f>
        <v>#N/A</v>
      </c>
      <c r="S3910" s="282" t="e">
        <f>++Tabla4[[#This Row],[U. Bruta Uni]]*Tabla4[[#This Row],[Cantidad]]</f>
        <v>#N/A</v>
      </c>
      <c r="T3910" s="369" t="str">
        <f>VLOOKUP(Tabla4[[#This Row],[Producto]],Tabla6[#All],14,FALSE)</f>
        <v>Termico Solar</v>
      </c>
      <c r="U3910" s="284" t="e">
        <f>(IF(Tabla4[[#This Row],[Familia]]="termico solar",Tabla4[[#This Row],[Utilidad Total]]*6%,Tabla4[[#This Row],[Utilidad Total]]*11.5%))/Tabla4[[#This Row],[Total]]</f>
        <v>#N/A</v>
      </c>
      <c r="V3910" s="282" t="e">
        <f>+Tabla4[[#This Row],[Comisión Calculada]]*Tabla4[[#This Row],[Total]]</f>
        <v>#N/A</v>
      </c>
    </row>
    <row r="3911" spans="1:22" hidden="1" x14ac:dyDescent="0.25">
      <c r="A3911" s="100">
        <v>45838</v>
      </c>
      <c r="B3911" t="str">
        <f t="shared" si="186"/>
        <v>June</v>
      </c>
      <c r="C3911" s="46" t="s">
        <v>280</v>
      </c>
      <c r="F3911" s="366" t="s">
        <v>2194</v>
      </c>
      <c r="G3911" s="46" t="s">
        <v>209</v>
      </c>
      <c r="H3911" s="46">
        <v>6</v>
      </c>
      <c r="I3911" s="51">
        <v>347.48</v>
      </c>
      <c r="J3911" s="281">
        <f>++Tabla4[[#This Row],[Precio Bruto]]*1.16</f>
        <v>403.07679999999999</v>
      </c>
      <c r="K3911" s="281">
        <f>+Tabla4[[#This Row],[Precio Unitario Neto]]*Tabla4[[#Headers],[20.85%]]</f>
        <v>84.041512799999992</v>
      </c>
      <c r="L3911" s="282">
        <f>++Tabla4[[#This Row],[Precio Unitario Neto]]-Tabla4[[#This Row],[20.85%]]</f>
        <v>319.03528719999997</v>
      </c>
      <c r="M3911" s="282" t="e">
        <f>(INDEX(Tabla6[#All],MATCH(Tabla4[[#This Row],[Producto]],Tabla6[[#All],[PRODUCTO]],0),MATCH(Tabla4[[#This Row],[Mes]],Tabla6[#Headers],0)))*(1+Catalogos!$L$2)</f>
        <v>#N/A</v>
      </c>
      <c r="N3911" s="283" t="e">
        <f>+(Tabla4[[#This Row],[Precio Descontado]]-Tabla4[[#This Row],[Precio Base]])*Tabla4[[#This Row],[Cantidad]]</f>
        <v>#N/A</v>
      </c>
      <c r="O3911" s="284" t="e">
        <f>++Tabla4[[#This Row],[Utilidad Total]]/Tabla4[[#This Row],[Total]]</f>
        <v>#N/A</v>
      </c>
      <c r="P3911" s="282">
        <f>++Tabla4[[#This Row],[Precio Descontado]]*Tabla4[[#This Row],[Cantidad]]</f>
        <v>1914.2117231999998</v>
      </c>
      <c r="Q3911" s="282" t="e">
        <f>(INDEX(Tabla6[#All],MATCH(Tabla4[[#This Row],[Producto]],Tabla6[[#All],[PRODUCTO]],0),MATCH(Tabla4[[#This Row],[Mes]],Tabla6[#Headers],0)))</f>
        <v>#N/A</v>
      </c>
      <c r="R3911" s="282" t="e">
        <f>++Tabla4[[#This Row],[Precio Unitario Neto]]-Tabla4[[#This Row],[20.85%]]-Tabla4[[#This Row],[Costo]]</f>
        <v>#N/A</v>
      </c>
      <c r="S3911" s="282" t="e">
        <f>++Tabla4[[#This Row],[U. Bruta Uni]]*Tabla4[[#This Row],[Cantidad]]</f>
        <v>#N/A</v>
      </c>
      <c r="T3911" s="369" t="str">
        <f>VLOOKUP(Tabla4[[#This Row],[Producto]],Tabla6[#All],14,FALSE)</f>
        <v>Termico Solar</v>
      </c>
      <c r="U3911" s="284" t="e">
        <f>(IF(Tabla4[[#This Row],[Familia]]="termico solar",Tabla4[[#This Row],[Utilidad Total]]*6%,Tabla4[[#This Row],[Utilidad Total]]*11.5%))/Tabla4[[#This Row],[Total]]</f>
        <v>#N/A</v>
      </c>
      <c r="V3911" s="282" t="e">
        <f>+Tabla4[[#This Row],[Comisión Calculada]]*Tabla4[[#This Row],[Total]]</f>
        <v>#N/A</v>
      </c>
    </row>
    <row r="3912" spans="1:22" hidden="1" x14ac:dyDescent="0.25">
      <c r="A3912" s="100">
        <v>45838</v>
      </c>
      <c r="B3912" t="str">
        <f t="shared" si="186"/>
        <v>June</v>
      </c>
      <c r="C3912" s="46" t="s">
        <v>280</v>
      </c>
      <c r="F3912" s="366" t="s">
        <v>2195</v>
      </c>
      <c r="G3912" s="46" t="s">
        <v>566</v>
      </c>
      <c r="H3912" s="46">
        <v>1</v>
      </c>
      <c r="I3912" s="51">
        <v>2109.4499999999998</v>
      </c>
      <c r="J3912" s="281">
        <f>++Tabla4[[#This Row],[Precio Bruto]]*1.16</f>
        <v>2446.9619999999995</v>
      </c>
      <c r="K3912" s="281">
        <f>+Tabla4[[#This Row],[Precio Unitario Neto]]*Tabla4[[#Headers],[20.85%]]</f>
        <v>510.19157699999988</v>
      </c>
      <c r="L3912" s="282">
        <f>++Tabla4[[#This Row],[Precio Unitario Neto]]-Tabla4[[#This Row],[20.85%]]</f>
        <v>1936.7704229999997</v>
      </c>
      <c r="M3912" s="282" t="e">
        <f>(INDEX(Tabla6[#All],MATCH(Tabla4[[#This Row],[Producto]],Tabla6[[#All],[PRODUCTO]],0),MATCH(Tabla4[[#This Row],[Mes]],Tabla6[#Headers],0)))*(1+Catalogos!$L$2)</f>
        <v>#N/A</v>
      </c>
      <c r="N3912" s="283" t="e">
        <f>+(Tabla4[[#This Row],[Precio Descontado]]-Tabla4[[#This Row],[Precio Base]])*Tabla4[[#This Row],[Cantidad]]</f>
        <v>#N/A</v>
      </c>
      <c r="O3912" s="284" t="e">
        <f>++Tabla4[[#This Row],[Utilidad Total]]/Tabla4[[#This Row],[Total]]</f>
        <v>#N/A</v>
      </c>
      <c r="P3912" s="282">
        <f>++Tabla4[[#This Row],[Precio Descontado]]*Tabla4[[#This Row],[Cantidad]]</f>
        <v>1936.7704229999997</v>
      </c>
      <c r="Q3912" s="282" t="e">
        <f>(INDEX(Tabla6[#All],MATCH(Tabla4[[#This Row],[Producto]],Tabla6[[#All],[PRODUCTO]],0),MATCH(Tabla4[[#This Row],[Mes]],Tabla6[#Headers],0)))</f>
        <v>#N/A</v>
      </c>
      <c r="R3912" s="282" t="e">
        <f>++Tabla4[[#This Row],[Precio Unitario Neto]]-Tabla4[[#This Row],[20.85%]]-Tabla4[[#This Row],[Costo]]</f>
        <v>#N/A</v>
      </c>
      <c r="S3912" s="282" t="e">
        <f>++Tabla4[[#This Row],[U. Bruta Uni]]*Tabla4[[#This Row],[Cantidad]]</f>
        <v>#N/A</v>
      </c>
      <c r="T3912" s="369" t="str">
        <f>VLOOKUP(Tabla4[[#This Row],[Producto]],Tabla6[#All],14,FALSE)</f>
        <v>Termico Solar</v>
      </c>
      <c r="U3912" s="284" t="e">
        <f>(IF(Tabla4[[#This Row],[Familia]]="termico solar",Tabla4[[#This Row],[Utilidad Total]]*6%,Tabla4[[#This Row],[Utilidad Total]]*11.5%))/Tabla4[[#This Row],[Total]]</f>
        <v>#N/A</v>
      </c>
      <c r="V3912" s="282" t="e">
        <f>+Tabla4[[#This Row],[Comisión Calculada]]*Tabla4[[#This Row],[Total]]</f>
        <v>#N/A</v>
      </c>
    </row>
    <row r="3913" spans="1:22" hidden="1" x14ac:dyDescent="0.25">
      <c r="A3913" s="100">
        <v>45838</v>
      </c>
      <c r="B3913" t="str">
        <f t="shared" si="186"/>
        <v>June</v>
      </c>
      <c r="C3913" s="46" t="s">
        <v>280</v>
      </c>
      <c r="F3913" s="366" t="s">
        <v>2196</v>
      </c>
      <c r="G3913" s="46" t="s">
        <v>84</v>
      </c>
      <c r="H3913" s="46">
        <v>1</v>
      </c>
      <c r="I3913" s="51">
        <v>16601.830000000002</v>
      </c>
      <c r="J3913" s="281">
        <f>++Tabla4[[#This Row],[Precio Bruto]]*1.16</f>
        <v>19258.122800000001</v>
      </c>
      <c r="K3913" s="281">
        <f>+Tabla4[[#This Row],[Precio Unitario Neto]]*Tabla4[[#Headers],[20.85%]]</f>
        <v>4015.3186037999999</v>
      </c>
      <c r="L3913" s="282">
        <f>++Tabla4[[#This Row],[Precio Unitario Neto]]-Tabla4[[#This Row],[20.85%]]</f>
        <v>15242.804196200001</v>
      </c>
      <c r="M3913" s="282" t="e">
        <f>(INDEX(Tabla6[#All],MATCH(Tabla4[[#This Row],[Producto]],Tabla6[[#All],[PRODUCTO]],0),MATCH(Tabla4[[#This Row],[Mes]],Tabla6[#Headers],0)))*(1+Catalogos!$L$2)</f>
        <v>#N/A</v>
      </c>
      <c r="N3913" s="283" t="e">
        <f>+(Tabla4[[#This Row],[Precio Descontado]]-Tabla4[[#This Row],[Precio Base]])*Tabla4[[#This Row],[Cantidad]]</f>
        <v>#N/A</v>
      </c>
      <c r="O3913" s="284" t="e">
        <f>++Tabla4[[#This Row],[Utilidad Total]]/Tabla4[[#This Row],[Total]]</f>
        <v>#N/A</v>
      </c>
      <c r="P3913" s="282">
        <f>++Tabla4[[#This Row],[Precio Descontado]]*Tabla4[[#This Row],[Cantidad]]</f>
        <v>15242.804196200001</v>
      </c>
      <c r="Q3913" s="282" t="e">
        <f>(INDEX(Tabla6[#All],MATCH(Tabla4[[#This Row],[Producto]],Tabla6[[#All],[PRODUCTO]],0),MATCH(Tabla4[[#This Row],[Mes]],Tabla6[#Headers],0)))</f>
        <v>#N/A</v>
      </c>
      <c r="R3913" s="282" t="e">
        <f>++Tabla4[[#This Row],[Precio Unitario Neto]]-Tabla4[[#This Row],[20.85%]]-Tabla4[[#This Row],[Costo]]</f>
        <v>#N/A</v>
      </c>
      <c r="S3913" s="282" t="e">
        <f>++Tabla4[[#This Row],[U. Bruta Uni]]*Tabla4[[#This Row],[Cantidad]]</f>
        <v>#N/A</v>
      </c>
      <c r="T3913" s="369" t="str">
        <f>VLOOKUP(Tabla4[[#This Row],[Producto]],Tabla6[#All],14,FALSE)</f>
        <v>Termico Solar</v>
      </c>
      <c r="U3913" s="284" t="e">
        <f>(IF(Tabla4[[#This Row],[Familia]]="termico solar",Tabla4[[#This Row],[Utilidad Total]]*6%,Tabla4[[#This Row],[Utilidad Total]]*11.5%))/Tabla4[[#This Row],[Total]]</f>
        <v>#N/A</v>
      </c>
      <c r="V3913" s="282" t="e">
        <f>+Tabla4[[#This Row],[Comisión Calculada]]*Tabla4[[#This Row],[Total]]</f>
        <v>#N/A</v>
      </c>
    </row>
    <row r="3914" spans="1:22" hidden="1" x14ac:dyDescent="0.25">
      <c r="A3914" s="100">
        <v>45838</v>
      </c>
      <c r="B3914" t="str">
        <f t="shared" si="186"/>
        <v>June</v>
      </c>
      <c r="C3914" s="46" t="s">
        <v>280</v>
      </c>
      <c r="F3914" s="366" t="s">
        <v>2197</v>
      </c>
      <c r="G3914" s="46" t="s">
        <v>17</v>
      </c>
      <c r="H3914" s="46">
        <v>3</v>
      </c>
      <c r="I3914" s="51">
        <v>4622.28</v>
      </c>
      <c r="J3914" s="281">
        <f>++Tabla4[[#This Row],[Precio Bruto]]*1.16</f>
        <v>5361.8447999999989</v>
      </c>
      <c r="K3914" s="281">
        <f>+Tabla4[[#This Row],[Precio Unitario Neto]]*Tabla4[[#Headers],[20.85%]]</f>
        <v>1117.9446407999997</v>
      </c>
      <c r="L3914" s="282">
        <f>++Tabla4[[#This Row],[Precio Unitario Neto]]-Tabla4[[#This Row],[20.85%]]</f>
        <v>4243.9001591999995</v>
      </c>
      <c r="M3914" s="282" t="e">
        <f>(INDEX(Tabla6[#All],MATCH(Tabla4[[#This Row],[Producto]],Tabla6[[#All],[PRODUCTO]],0),MATCH(Tabla4[[#This Row],[Mes]],Tabla6[#Headers],0)))*(1+Catalogos!$L$2)</f>
        <v>#N/A</v>
      </c>
      <c r="N3914" s="283" t="e">
        <f>+(Tabla4[[#This Row],[Precio Descontado]]-Tabla4[[#This Row],[Precio Base]])*Tabla4[[#This Row],[Cantidad]]</f>
        <v>#N/A</v>
      </c>
      <c r="O3914" s="284" t="e">
        <f>++Tabla4[[#This Row],[Utilidad Total]]/Tabla4[[#This Row],[Total]]</f>
        <v>#N/A</v>
      </c>
      <c r="P3914" s="282">
        <f>++Tabla4[[#This Row],[Precio Descontado]]*Tabla4[[#This Row],[Cantidad]]</f>
        <v>12731.700477599999</v>
      </c>
      <c r="Q3914" s="282" t="e">
        <f>(INDEX(Tabla6[#All],MATCH(Tabla4[[#This Row],[Producto]],Tabla6[[#All],[PRODUCTO]],0),MATCH(Tabla4[[#This Row],[Mes]],Tabla6[#Headers],0)))</f>
        <v>#N/A</v>
      </c>
      <c r="R3914" s="282" t="e">
        <f>++Tabla4[[#This Row],[Precio Unitario Neto]]-Tabla4[[#This Row],[20.85%]]-Tabla4[[#This Row],[Costo]]</f>
        <v>#N/A</v>
      </c>
      <c r="S3914" s="282" t="e">
        <f>++Tabla4[[#This Row],[U. Bruta Uni]]*Tabla4[[#This Row],[Cantidad]]</f>
        <v>#N/A</v>
      </c>
      <c r="T3914" s="369" t="str">
        <f>VLOOKUP(Tabla4[[#This Row],[Producto]],Tabla6[#All],14,FALSE)</f>
        <v>Termico Solar</v>
      </c>
      <c r="U3914" s="284" t="e">
        <f>(IF(Tabla4[[#This Row],[Familia]]="termico solar",Tabla4[[#This Row],[Utilidad Total]]*6%,Tabla4[[#This Row],[Utilidad Total]]*11.5%))/Tabla4[[#This Row],[Total]]</f>
        <v>#N/A</v>
      </c>
      <c r="V3914" s="282" t="e">
        <f>+Tabla4[[#This Row],[Comisión Calculada]]*Tabla4[[#This Row],[Total]]</f>
        <v>#N/A</v>
      </c>
    </row>
    <row r="3915" spans="1:22" hidden="1" x14ac:dyDescent="0.25">
      <c r="A3915" s="100">
        <v>45838</v>
      </c>
      <c r="B3915" t="str">
        <f t="shared" si="186"/>
        <v>June</v>
      </c>
      <c r="C3915" s="46" t="s">
        <v>280</v>
      </c>
      <c r="F3915" s="366" t="s">
        <v>2197</v>
      </c>
      <c r="G3915" s="46" t="s">
        <v>19</v>
      </c>
      <c r="H3915" s="46">
        <v>1</v>
      </c>
      <c r="I3915" s="51">
        <v>6412.03</v>
      </c>
      <c r="J3915" s="281">
        <f>++Tabla4[[#This Row],[Precio Bruto]]*1.16</f>
        <v>7437.9547999999995</v>
      </c>
      <c r="K3915" s="281">
        <f>+Tabla4[[#This Row],[Precio Unitario Neto]]*Tabla4[[#Headers],[20.85%]]</f>
        <v>1550.8135757999999</v>
      </c>
      <c r="L3915" s="282">
        <f>++Tabla4[[#This Row],[Precio Unitario Neto]]-Tabla4[[#This Row],[20.85%]]</f>
        <v>5887.1412241999997</v>
      </c>
      <c r="M3915" s="282" t="e">
        <f>(INDEX(Tabla6[#All],MATCH(Tabla4[[#This Row],[Producto]],Tabla6[[#All],[PRODUCTO]],0),MATCH(Tabla4[[#This Row],[Mes]],Tabla6[#Headers],0)))*(1+Catalogos!$L$2)</f>
        <v>#N/A</v>
      </c>
      <c r="N3915" s="283" t="e">
        <f>+(Tabla4[[#This Row],[Precio Descontado]]-Tabla4[[#This Row],[Precio Base]])*Tabla4[[#This Row],[Cantidad]]</f>
        <v>#N/A</v>
      </c>
      <c r="O3915" s="284" t="e">
        <f>++Tabla4[[#This Row],[Utilidad Total]]/Tabla4[[#This Row],[Total]]</f>
        <v>#N/A</v>
      </c>
      <c r="P3915" s="282">
        <f>++Tabla4[[#This Row],[Precio Descontado]]*Tabla4[[#This Row],[Cantidad]]</f>
        <v>5887.1412241999997</v>
      </c>
      <c r="Q3915" s="282" t="e">
        <f>(INDEX(Tabla6[#All],MATCH(Tabla4[[#This Row],[Producto]],Tabla6[[#All],[PRODUCTO]],0),MATCH(Tabla4[[#This Row],[Mes]],Tabla6[#Headers],0)))</f>
        <v>#N/A</v>
      </c>
      <c r="R3915" s="282" t="e">
        <f>++Tabla4[[#This Row],[Precio Unitario Neto]]-Tabla4[[#This Row],[20.85%]]-Tabla4[[#This Row],[Costo]]</f>
        <v>#N/A</v>
      </c>
      <c r="S3915" s="282" t="e">
        <f>++Tabla4[[#This Row],[U. Bruta Uni]]*Tabla4[[#This Row],[Cantidad]]</f>
        <v>#N/A</v>
      </c>
      <c r="T3915" s="369" t="str">
        <f>VLOOKUP(Tabla4[[#This Row],[Producto]],Tabla6[#All],14,FALSE)</f>
        <v>Termico Solar</v>
      </c>
      <c r="U3915" s="284" t="e">
        <f>(IF(Tabla4[[#This Row],[Familia]]="termico solar",Tabla4[[#This Row],[Utilidad Total]]*6%,Tabla4[[#This Row],[Utilidad Total]]*11.5%))/Tabla4[[#This Row],[Total]]</f>
        <v>#N/A</v>
      </c>
      <c r="V3915" s="282" t="e">
        <f>+Tabla4[[#This Row],[Comisión Calculada]]*Tabla4[[#This Row],[Total]]</f>
        <v>#N/A</v>
      </c>
    </row>
    <row r="3916" spans="1:22" hidden="1" x14ac:dyDescent="0.25">
      <c r="A3916" s="100">
        <v>45838</v>
      </c>
      <c r="B3916" t="str">
        <f t="shared" si="186"/>
        <v>June</v>
      </c>
      <c r="C3916" s="46" t="s">
        <v>280</v>
      </c>
      <c r="F3916" s="366" t="s">
        <v>2197</v>
      </c>
      <c r="G3916" s="46" t="s">
        <v>566</v>
      </c>
      <c r="H3916" s="46">
        <v>1</v>
      </c>
      <c r="I3916" s="51">
        <v>2109.4499999999998</v>
      </c>
      <c r="J3916" s="281">
        <f>++Tabla4[[#This Row],[Precio Bruto]]*1.16</f>
        <v>2446.9619999999995</v>
      </c>
      <c r="K3916" s="281">
        <f>+Tabla4[[#This Row],[Precio Unitario Neto]]*Tabla4[[#Headers],[20.85%]]</f>
        <v>510.19157699999988</v>
      </c>
      <c r="L3916" s="282">
        <f>++Tabla4[[#This Row],[Precio Unitario Neto]]-Tabla4[[#This Row],[20.85%]]</f>
        <v>1936.7704229999997</v>
      </c>
      <c r="M3916" s="282" t="e">
        <f>(INDEX(Tabla6[#All],MATCH(Tabla4[[#This Row],[Producto]],Tabla6[[#All],[PRODUCTO]],0),MATCH(Tabla4[[#This Row],[Mes]],Tabla6[#Headers],0)))*(1+Catalogos!$L$2)</f>
        <v>#N/A</v>
      </c>
      <c r="N3916" s="283" t="e">
        <f>+(Tabla4[[#This Row],[Precio Descontado]]-Tabla4[[#This Row],[Precio Base]])*Tabla4[[#This Row],[Cantidad]]</f>
        <v>#N/A</v>
      </c>
      <c r="O3916" s="284" t="e">
        <f>++Tabla4[[#This Row],[Utilidad Total]]/Tabla4[[#This Row],[Total]]</f>
        <v>#N/A</v>
      </c>
      <c r="P3916" s="282">
        <f>++Tabla4[[#This Row],[Precio Descontado]]*Tabla4[[#This Row],[Cantidad]]</f>
        <v>1936.7704229999997</v>
      </c>
      <c r="Q3916" s="282" t="e">
        <f>(INDEX(Tabla6[#All],MATCH(Tabla4[[#This Row],[Producto]],Tabla6[[#All],[PRODUCTO]],0),MATCH(Tabla4[[#This Row],[Mes]],Tabla6[#Headers],0)))</f>
        <v>#N/A</v>
      </c>
      <c r="R3916" s="282" t="e">
        <f>++Tabla4[[#This Row],[Precio Unitario Neto]]-Tabla4[[#This Row],[20.85%]]-Tabla4[[#This Row],[Costo]]</f>
        <v>#N/A</v>
      </c>
      <c r="S3916" s="282" t="e">
        <f>++Tabla4[[#This Row],[U. Bruta Uni]]*Tabla4[[#This Row],[Cantidad]]</f>
        <v>#N/A</v>
      </c>
      <c r="T3916" s="369" t="str">
        <f>VLOOKUP(Tabla4[[#This Row],[Producto]],Tabla6[#All],14,FALSE)</f>
        <v>Termico Solar</v>
      </c>
      <c r="U3916" s="284" t="e">
        <f>(IF(Tabla4[[#This Row],[Familia]]="termico solar",Tabla4[[#This Row],[Utilidad Total]]*6%,Tabla4[[#This Row],[Utilidad Total]]*11.5%))/Tabla4[[#This Row],[Total]]</f>
        <v>#N/A</v>
      </c>
      <c r="V3916" s="282" t="e">
        <f>+Tabla4[[#This Row],[Comisión Calculada]]*Tabla4[[#This Row],[Total]]</f>
        <v>#N/A</v>
      </c>
    </row>
    <row r="3917" spans="1:22" hidden="1" x14ac:dyDescent="0.25">
      <c r="A3917" s="100">
        <v>45838</v>
      </c>
      <c r="B3917" t="str">
        <f t="shared" si="186"/>
        <v>June</v>
      </c>
      <c r="C3917" s="46" t="s">
        <v>280</v>
      </c>
      <c r="F3917" s="366" t="s">
        <v>2197</v>
      </c>
      <c r="G3917" s="46" t="s">
        <v>16</v>
      </c>
      <c r="H3917" s="46">
        <v>1</v>
      </c>
      <c r="I3917" s="51">
        <v>4103.8500000000004</v>
      </c>
      <c r="J3917" s="281">
        <f>++Tabla4[[#This Row],[Precio Bruto]]*1.16</f>
        <v>4760.4660000000003</v>
      </c>
      <c r="K3917" s="281">
        <f>+Tabla4[[#This Row],[Precio Unitario Neto]]*Tabla4[[#Headers],[20.85%]]</f>
        <v>992.55716100000006</v>
      </c>
      <c r="L3917" s="282">
        <f>++Tabla4[[#This Row],[Precio Unitario Neto]]-Tabla4[[#This Row],[20.85%]]</f>
        <v>3767.9088390000002</v>
      </c>
      <c r="M3917" s="282" t="e">
        <f>(INDEX(Tabla6[#All],MATCH(Tabla4[[#This Row],[Producto]],Tabla6[[#All],[PRODUCTO]],0),MATCH(Tabla4[[#This Row],[Mes]],Tabla6[#Headers],0)))*(1+Catalogos!$L$2)</f>
        <v>#N/A</v>
      </c>
      <c r="N3917" s="283" t="e">
        <f>+(Tabla4[[#This Row],[Precio Descontado]]-Tabla4[[#This Row],[Precio Base]])*Tabla4[[#This Row],[Cantidad]]</f>
        <v>#N/A</v>
      </c>
      <c r="O3917" s="284" t="e">
        <f>++Tabla4[[#This Row],[Utilidad Total]]/Tabla4[[#This Row],[Total]]</f>
        <v>#N/A</v>
      </c>
      <c r="P3917" s="282">
        <f>++Tabla4[[#This Row],[Precio Descontado]]*Tabla4[[#This Row],[Cantidad]]</f>
        <v>3767.9088390000002</v>
      </c>
      <c r="Q3917" s="282" t="e">
        <f>(INDEX(Tabla6[#All],MATCH(Tabla4[[#This Row],[Producto]],Tabla6[[#All],[PRODUCTO]],0),MATCH(Tabla4[[#This Row],[Mes]],Tabla6[#Headers],0)))</f>
        <v>#N/A</v>
      </c>
      <c r="R3917" s="282" t="e">
        <f>++Tabla4[[#This Row],[Precio Unitario Neto]]-Tabla4[[#This Row],[20.85%]]-Tabla4[[#This Row],[Costo]]</f>
        <v>#N/A</v>
      </c>
      <c r="S3917" s="282" t="e">
        <f>++Tabla4[[#This Row],[U. Bruta Uni]]*Tabla4[[#This Row],[Cantidad]]</f>
        <v>#N/A</v>
      </c>
      <c r="T3917" s="369" t="str">
        <f>VLOOKUP(Tabla4[[#This Row],[Producto]],Tabla6[#All],14,FALSE)</f>
        <v>Termico Solar</v>
      </c>
      <c r="U3917" s="284" t="e">
        <f>(IF(Tabla4[[#This Row],[Familia]]="termico solar",Tabla4[[#This Row],[Utilidad Total]]*6%,Tabla4[[#This Row],[Utilidad Total]]*11.5%))/Tabla4[[#This Row],[Total]]</f>
        <v>#N/A</v>
      </c>
      <c r="V3917" s="282" t="e">
        <f>+Tabla4[[#This Row],[Comisión Calculada]]*Tabla4[[#This Row],[Total]]</f>
        <v>#N/A</v>
      </c>
    </row>
    <row r="3918" spans="1:22" hidden="1" x14ac:dyDescent="0.25">
      <c r="A3918" s="100">
        <v>45838</v>
      </c>
      <c r="B3918" t="str">
        <f t="shared" si="186"/>
        <v>June</v>
      </c>
      <c r="C3918" s="46" t="s">
        <v>280</v>
      </c>
      <c r="F3918" s="366" t="s">
        <v>2197</v>
      </c>
      <c r="G3918" s="46" t="s">
        <v>208</v>
      </c>
      <c r="H3918" s="46">
        <v>4</v>
      </c>
      <c r="I3918" s="51">
        <v>189.75</v>
      </c>
      <c r="J3918" s="281">
        <f>++Tabla4[[#This Row],[Precio Bruto]]*1.16</f>
        <v>220.10999999999999</v>
      </c>
      <c r="K3918" s="281">
        <f>+Tabla4[[#This Row],[Precio Unitario Neto]]*Tabla4[[#Headers],[20.85%]]</f>
        <v>45.892934999999994</v>
      </c>
      <c r="L3918" s="282">
        <f>++Tabla4[[#This Row],[Precio Unitario Neto]]-Tabla4[[#This Row],[20.85%]]</f>
        <v>174.21706499999999</v>
      </c>
      <c r="M3918" s="282" t="e">
        <f>(INDEX(Tabla6[#All],MATCH(Tabla4[[#This Row],[Producto]],Tabla6[[#All],[PRODUCTO]],0),MATCH(Tabla4[[#This Row],[Mes]],Tabla6[#Headers],0)))*(1+Catalogos!$L$2)</f>
        <v>#N/A</v>
      </c>
      <c r="N3918" s="283" t="e">
        <f>+(Tabla4[[#This Row],[Precio Descontado]]-Tabla4[[#This Row],[Precio Base]])*Tabla4[[#This Row],[Cantidad]]</f>
        <v>#N/A</v>
      </c>
      <c r="O3918" s="284" t="e">
        <f>++Tabla4[[#This Row],[Utilidad Total]]/Tabla4[[#This Row],[Total]]</f>
        <v>#N/A</v>
      </c>
      <c r="P3918" s="282">
        <f>++Tabla4[[#This Row],[Precio Descontado]]*Tabla4[[#This Row],[Cantidad]]</f>
        <v>696.86825999999996</v>
      </c>
      <c r="Q3918" s="282" t="e">
        <f>(INDEX(Tabla6[#All],MATCH(Tabla4[[#This Row],[Producto]],Tabla6[[#All],[PRODUCTO]],0),MATCH(Tabla4[[#This Row],[Mes]],Tabla6[#Headers],0)))</f>
        <v>#N/A</v>
      </c>
      <c r="R3918" s="282" t="e">
        <f>++Tabla4[[#This Row],[Precio Unitario Neto]]-Tabla4[[#This Row],[20.85%]]-Tabla4[[#This Row],[Costo]]</f>
        <v>#N/A</v>
      </c>
      <c r="S3918" s="282" t="e">
        <f>++Tabla4[[#This Row],[U. Bruta Uni]]*Tabla4[[#This Row],[Cantidad]]</f>
        <v>#N/A</v>
      </c>
      <c r="T3918" s="369" t="str">
        <f>VLOOKUP(Tabla4[[#This Row],[Producto]],Tabla6[#All],14,FALSE)</f>
        <v>Termico Solar</v>
      </c>
      <c r="U3918" s="284" t="e">
        <f>(IF(Tabla4[[#This Row],[Familia]]="termico solar",Tabla4[[#This Row],[Utilidad Total]]*6%,Tabla4[[#This Row],[Utilidad Total]]*11.5%))/Tabla4[[#This Row],[Total]]</f>
        <v>#N/A</v>
      </c>
      <c r="V3918" s="282" t="e">
        <f>+Tabla4[[#This Row],[Comisión Calculada]]*Tabla4[[#This Row],[Total]]</f>
        <v>#N/A</v>
      </c>
    </row>
    <row r="3919" spans="1:22" hidden="1" x14ac:dyDescent="0.25">
      <c r="A3919" s="100">
        <v>45838</v>
      </c>
      <c r="B3919" t="str">
        <f t="shared" si="186"/>
        <v>June</v>
      </c>
      <c r="C3919" s="46" t="s">
        <v>280</v>
      </c>
      <c r="F3919" s="366" t="s">
        <v>2198</v>
      </c>
      <c r="G3919" s="46" t="s">
        <v>83</v>
      </c>
      <c r="H3919" s="46">
        <v>1</v>
      </c>
      <c r="I3919" s="51">
        <v>8858.76</v>
      </c>
      <c r="J3919" s="281">
        <f>++Tabla4[[#This Row],[Precio Bruto]]*1.16</f>
        <v>10276.161599999999</v>
      </c>
      <c r="K3919" s="281">
        <f>+Tabla4[[#This Row],[Precio Unitario Neto]]*Tabla4[[#Headers],[20.85%]]</f>
        <v>2142.5796935999997</v>
      </c>
      <c r="L3919" s="282">
        <f>++Tabla4[[#This Row],[Precio Unitario Neto]]-Tabla4[[#This Row],[20.85%]]</f>
        <v>8133.5819063999998</v>
      </c>
      <c r="M3919" s="282" t="e">
        <f>(INDEX(Tabla6[#All],MATCH(Tabla4[[#This Row],[Producto]],Tabla6[[#All],[PRODUCTO]],0),MATCH(Tabla4[[#This Row],[Mes]],Tabla6[#Headers],0)))*(1+Catalogos!$L$2)</f>
        <v>#N/A</v>
      </c>
      <c r="N3919" s="283" t="e">
        <f>+(Tabla4[[#This Row],[Precio Descontado]]-Tabla4[[#This Row],[Precio Base]])*Tabla4[[#This Row],[Cantidad]]</f>
        <v>#N/A</v>
      </c>
      <c r="O3919" s="284" t="e">
        <f>++Tabla4[[#This Row],[Utilidad Total]]/Tabla4[[#This Row],[Total]]</f>
        <v>#N/A</v>
      </c>
      <c r="P3919" s="282">
        <f>++Tabla4[[#This Row],[Precio Descontado]]*Tabla4[[#This Row],[Cantidad]]</f>
        <v>8133.5819063999998</v>
      </c>
      <c r="Q3919" s="282" t="e">
        <f>(INDEX(Tabla6[#All],MATCH(Tabla4[[#This Row],[Producto]],Tabla6[[#All],[PRODUCTO]],0),MATCH(Tabla4[[#This Row],[Mes]],Tabla6[#Headers],0)))</f>
        <v>#N/A</v>
      </c>
      <c r="R3919" s="282" t="e">
        <f>++Tabla4[[#This Row],[Precio Unitario Neto]]-Tabla4[[#This Row],[20.85%]]-Tabla4[[#This Row],[Costo]]</f>
        <v>#N/A</v>
      </c>
      <c r="S3919" s="282" t="e">
        <f>++Tabla4[[#This Row],[U. Bruta Uni]]*Tabla4[[#This Row],[Cantidad]]</f>
        <v>#N/A</v>
      </c>
      <c r="T3919" s="369" t="str">
        <f>VLOOKUP(Tabla4[[#This Row],[Producto]],Tabla6[#All],14,FALSE)</f>
        <v>Termico Solar</v>
      </c>
      <c r="U3919" s="284" t="e">
        <f>(IF(Tabla4[[#This Row],[Familia]]="termico solar",Tabla4[[#This Row],[Utilidad Total]]*6%,Tabla4[[#This Row],[Utilidad Total]]*11.5%))/Tabla4[[#This Row],[Total]]</f>
        <v>#N/A</v>
      </c>
      <c r="V3919" s="282" t="e">
        <f>+Tabla4[[#This Row],[Comisión Calculada]]*Tabla4[[#This Row],[Total]]</f>
        <v>#N/A</v>
      </c>
    </row>
    <row r="3920" spans="1:22" hidden="1" x14ac:dyDescent="0.25">
      <c r="A3920" s="100">
        <v>45838</v>
      </c>
      <c r="B3920" t="str">
        <f t="shared" si="186"/>
        <v>June</v>
      </c>
      <c r="C3920" s="46" t="s">
        <v>280</v>
      </c>
      <c r="F3920" s="366" t="s">
        <v>2198</v>
      </c>
      <c r="G3920" s="46" t="s">
        <v>17</v>
      </c>
      <c r="H3920" s="46">
        <v>1</v>
      </c>
      <c r="I3920" s="51">
        <v>4622.28</v>
      </c>
      <c r="J3920" s="281">
        <f>++Tabla4[[#This Row],[Precio Bruto]]*1.16</f>
        <v>5361.8447999999989</v>
      </c>
      <c r="K3920" s="281">
        <f>+Tabla4[[#This Row],[Precio Unitario Neto]]*Tabla4[[#Headers],[20.85%]]</f>
        <v>1117.9446407999997</v>
      </c>
      <c r="L3920" s="282">
        <f>++Tabla4[[#This Row],[Precio Unitario Neto]]-Tabla4[[#This Row],[20.85%]]</f>
        <v>4243.9001591999995</v>
      </c>
      <c r="M3920" s="282" t="e">
        <f>(INDEX(Tabla6[#All],MATCH(Tabla4[[#This Row],[Producto]],Tabla6[[#All],[PRODUCTO]],0),MATCH(Tabla4[[#This Row],[Mes]],Tabla6[#Headers],0)))*(1+Catalogos!$L$2)</f>
        <v>#N/A</v>
      </c>
      <c r="N3920" s="283" t="e">
        <f>+(Tabla4[[#This Row],[Precio Descontado]]-Tabla4[[#This Row],[Precio Base]])*Tabla4[[#This Row],[Cantidad]]</f>
        <v>#N/A</v>
      </c>
      <c r="O3920" s="284" t="e">
        <f>++Tabla4[[#This Row],[Utilidad Total]]/Tabla4[[#This Row],[Total]]</f>
        <v>#N/A</v>
      </c>
      <c r="P3920" s="282">
        <f>++Tabla4[[#This Row],[Precio Descontado]]*Tabla4[[#This Row],[Cantidad]]</f>
        <v>4243.9001591999995</v>
      </c>
      <c r="Q3920" s="282" t="e">
        <f>(INDEX(Tabla6[#All],MATCH(Tabla4[[#This Row],[Producto]],Tabla6[[#All],[PRODUCTO]],0),MATCH(Tabla4[[#This Row],[Mes]],Tabla6[#Headers],0)))</f>
        <v>#N/A</v>
      </c>
      <c r="R3920" s="282" t="e">
        <f>++Tabla4[[#This Row],[Precio Unitario Neto]]-Tabla4[[#This Row],[20.85%]]-Tabla4[[#This Row],[Costo]]</f>
        <v>#N/A</v>
      </c>
      <c r="S3920" s="282" t="e">
        <f>++Tabla4[[#This Row],[U. Bruta Uni]]*Tabla4[[#This Row],[Cantidad]]</f>
        <v>#N/A</v>
      </c>
      <c r="T3920" s="369" t="str">
        <f>VLOOKUP(Tabla4[[#This Row],[Producto]],Tabla6[#All],14,FALSE)</f>
        <v>Termico Solar</v>
      </c>
      <c r="U3920" s="284" t="e">
        <f>(IF(Tabla4[[#This Row],[Familia]]="termico solar",Tabla4[[#This Row],[Utilidad Total]]*6%,Tabla4[[#This Row],[Utilidad Total]]*11.5%))/Tabla4[[#This Row],[Total]]</f>
        <v>#N/A</v>
      </c>
      <c r="V3920" s="282" t="e">
        <f>+Tabla4[[#This Row],[Comisión Calculada]]*Tabla4[[#This Row],[Total]]</f>
        <v>#N/A</v>
      </c>
    </row>
    <row r="3921" spans="1:22" hidden="1" x14ac:dyDescent="0.25">
      <c r="A3921" s="100">
        <v>45838</v>
      </c>
      <c r="B3921" t="str">
        <f t="shared" si="186"/>
        <v>June</v>
      </c>
      <c r="C3921" s="46" t="s">
        <v>280</v>
      </c>
      <c r="F3921" s="366" t="s">
        <v>2199</v>
      </c>
      <c r="G3921" s="46" t="s">
        <v>209</v>
      </c>
      <c r="H3921" s="46">
        <v>2</v>
      </c>
      <c r="I3921" s="51">
        <v>347.48</v>
      </c>
      <c r="J3921" s="281">
        <f>++Tabla4[[#This Row],[Precio Bruto]]*1.16</f>
        <v>403.07679999999999</v>
      </c>
      <c r="K3921" s="281">
        <f>+Tabla4[[#This Row],[Precio Unitario Neto]]*Tabla4[[#Headers],[20.85%]]</f>
        <v>84.041512799999992</v>
      </c>
      <c r="L3921" s="282">
        <f>++Tabla4[[#This Row],[Precio Unitario Neto]]-Tabla4[[#This Row],[20.85%]]</f>
        <v>319.03528719999997</v>
      </c>
      <c r="M3921" s="282" t="e">
        <f>(INDEX(Tabla6[#All],MATCH(Tabla4[[#This Row],[Producto]],Tabla6[[#All],[PRODUCTO]],0),MATCH(Tabla4[[#This Row],[Mes]],Tabla6[#Headers],0)))*(1+Catalogos!$L$2)</f>
        <v>#N/A</v>
      </c>
      <c r="N3921" s="283" t="e">
        <f>+(Tabla4[[#This Row],[Precio Descontado]]-Tabla4[[#This Row],[Precio Base]])*Tabla4[[#This Row],[Cantidad]]</f>
        <v>#N/A</v>
      </c>
      <c r="O3921" s="284" t="e">
        <f>++Tabla4[[#This Row],[Utilidad Total]]/Tabla4[[#This Row],[Total]]</f>
        <v>#N/A</v>
      </c>
      <c r="P3921" s="282">
        <f>++Tabla4[[#This Row],[Precio Descontado]]*Tabla4[[#This Row],[Cantidad]]</f>
        <v>638.07057439999994</v>
      </c>
      <c r="Q3921" s="282" t="e">
        <f>(INDEX(Tabla6[#All],MATCH(Tabla4[[#This Row],[Producto]],Tabla6[[#All],[PRODUCTO]],0),MATCH(Tabla4[[#This Row],[Mes]],Tabla6[#Headers],0)))</f>
        <v>#N/A</v>
      </c>
      <c r="R3921" s="282" t="e">
        <f>++Tabla4[[#This Row],[Precio Unitario Neto]]-Tabla4[[#This Row],[20.85%]]-Tabla4[[#This Row],[Costo]]</f>
        <v>#N/A</v>
      </c>
      <c r="S3921" s="282" t="e">
        <f>++Tabla4[[#This Row],[U. Bruta Uni]]*Tabla4[[#This Row],[Cantidad]]</f>
        <v>#N/A</v>
      </c>
      <c r="T3921" s="369" t="str">
        <f>VLOOKUP(Tabla4[[#This Row],[Producto]],Tabla6[#All],14,FALSE)</f>
        <v>Termico Solar</v>
      </c>
      <c r="U3921" s="284" t="e">
        <f>(IF(Tabla4[[#This Row],[Familia]]="termico solar",Tabla4[[#This Row],[Utilidad Total]]*6%,Tabla4[[#This Row],[Utilidad Total]]*11.5%))/Tabla4[[#This Row],[Total]]</f>
        <v>#N/A</v>
      </c>
      <c r="V3921" s="282" t="e">
        <f>+Tabla4[[#This Row],[Comisión Calculada]]*Tabla4[[#This Row],[Total]]</f>
        <v>#N/A</v>
      </c>
    </row>
    <row r="3922" spans="1:22" hidden="1" x14ac:dyDescent="0.25">
      <c r="A3922" s="100">
        <v>45838</v>
      </c>
      <c r="B3922" t="str">
        <f t="shared" si="186"/>
        <v>June</v>
      </c>
      <c r="C3922" s="46" t="s">
        <v>280</v>
      </c>
      <c r="F3922" s="366" t="s">
        <v>2200</v>
      </c>
      <c r="G3922" s="46" t="s">
        <v>17</v>
      </c>
      <c r="H3922" s="46">
        <v>1</v>
      </c>
      <c r="I3922" s="51">
        <v>4622.28</v>
      </c>
      <c r="J3922" s="281">
        <f>++Tabla4[[#This Row],[Precio Bruto]]*1.16</f>
        <v>5361.8447999999989</v>
      </c>
      <c r="K3922" s="281">
        <f>+Tabla4[[#This Row],[Precio Unitario Neto]]*Tabla4[[#Headers],[20.85%]]</f>
        <v>1117.9446407999997</v>
      </c>
      <c r="L3922" s="282">
        <f>++Tabla4[[#This Row],[Precio Unitario Neto]]-Tabla4[[#This Row],[20.85%]]</f>
        <v>4243.9001591999995</v>
      </c>
      <c r="M3922" s="282" t="e">
        <f>(INDEX(Tabla6[#All],MATCH(Tabla4[[#This Row],[Producto]],Tabla6[[#All],[PRODUCTO]],0),MATCH(Tabla4[[#This Row],[Mes]],Tabla6[#Headers],0)))*(1+Catalogos!$L$2)</f>
        <v>#N/A</v>
      </c>
      <c r="N3922" s="283" t="e">
        <f>+(Tabla4[[#This Row],[Precio Descontado]]-Tabla4[[#This Row],[Precio Base]])*Tabla4[[#This Row],[Cantidad]]</f>
        <v>#N/A</v>
      </c>
      <c r="O3922" s="284" t="e">
        <f>++Tabla4[[#This Row],[Utilidad Total]]/Tabla4[[#This Row],[Total]]</f>
        <v>#N/A</v>
      </c>
      <c r="P3922" s="282">
        <f>++Tabla4[[#This Row],[Precio Descontado]]*Tabla4[[#This Row],[Cantidad]]</f>
        <v>4243.9001591999995</v>
      </c>
      <c r="Q3922" s="282" t="e">
        <f>(INDEX(Tabla6[#All],MATCH(Tabla4[[#This Row],[Producto]],Tabla6[[#All],[PRODUCTO]],0),MATCH(Tabla4[[#This Row],[Mes]],Tabla6[#Headers],0)))</f>
        <v>#N/A</v>
      </c>
      <c r="R3922" s="282" t="e">
        <f>++Tabla4[[#This Row],[Precio Unitario Neto]]-Tabla4[[#This Row],[20.85%]]-Tabla4[[#This Row],[Costo]]</f>
        <v>#N/A</v>
      </c>
      <c r="S3922" s="282" t="e">
        <f>++Tabla4[[#This Row],[U. Bruta Uni]]*Tabla4[[#This Row],[Cantidad]]</f>
        <v>#N/A</v>
      </c>
      <c r="T3922" s="369" t="str">
        <f>VLOOKUP(Tabla4[[#This Row],[Producto]],Tabla6[#All],14,FALSE)</f>
        <v>Termico Solar</v>
      </c>
      <c r="U3922" s="284" t="e">
        <f>(IF(Tabla4[[#This Row],[Familia]]="termico solar",Tabla4[[#This Row],[Utilidad Total]]*6%,Tabla4[[#This Row],[Utilidad Total]]*11.5%))/Tabla4[[#This Row],[Total]]</f>
        <v>#N/A</v>
      </c>
      <c r="V3922" s="282" t="e">
        <f>+Tabla4[[#This Row],[Comisión Calculada]]*Tabla4[[#This Row],[Total]]</f>
        <v>#N/A</v>
      </c>
    </row>
    <row r="3923" spans="1:22" hidden="1" x14ac:dyDescent="0.25">
      <c r="A3923" s="100">
        <v>45838</v>
      </c>
      <c r="B3923" t="str">
        <f t="shared" si="186"/>
        <v>June</v>
      </c>
      <c r="C3923" s="46" t="s">
        <v>280</v>
      </c>
      <c r="F3923" s="366" t="s">
        <v>2200</v>
      </c>
      <c r="G3923" s="46" t="s">
        <v>16</v>
      </c>
      <c r="H3923" s="46">
        <v>1</v>
      </c>
      <c r="I3923" s="51">
        <v>4103.8500000000004</v>
      </c>
      <c r="J3923" s="281">
        <f>++Tabla4[[#This Row],[Precio Bruto]]*1.16</f>
        <v>4760.4660000000003</v>
      </c>
      <c r="K3923" s="281">
        <f>+Tabla4[[#This Row],[Precio Unitario Neto]]*Tabla4[[#Headers],[20.85%]]</f>
        <v>992.55716100000006</v>
      </c>
      <c r="L3923" s="282">
        <f>++Tabla4[[#This Row],[Precio Unitario Neto]]-Tabla4[[#This Row],[20.85%]]</f>
        <v>3767.9088390000002</v>
      </c>
      <c r="M3923" s="282" t="e">
        <f>(INDEX(Tabla6[#All],MATCH(Tabla4[[#This Row],[Producto]],Tabla6[[#All],[PRODUCTO]],0),MATCH(Tabla4[[#This Row],[Mes]],Tabla6[#Headers],0)))*(1+Catalogos!$L$2)</f>
        <v>#N/A</v>
      </c>
      <c r="N3923" s="283" t="e">
        <f>+(Tabla4[[#This Row],[Precio Descontado]]-Tabla4[[#This Row],[Precio Base]])*Tabla4[[#This Row],[Cantidad]]</f>
        <v>#N/A</v>
      </c>
      <c r="O3923" s="284" t="e">
        <f>++Tabla4[[#This Row],[Utilidad Total]]/Tabla4[[#This Row],[Total]]</f>
        <v>#N/A</v>
      </c>
      <c r="P3923" s="282">
        <f>++Tabla4[[#This Row],[Precio Descontado]]*Tabla4[[#This Row],[Cantidad]]</f>
        <v>3767.9088390000002</v>
      </c>
      <c r="Q3923" s="282" t="e">
        <f>(INDEX(Tabla6[#All],MATCH(Tabla4[[#This Row],[Producto]],Tabla6[[#All],[PRODUCTO]],0),MATCH(Tabla4[[#This Row],[Mes]],Tabla6[#Headers],0)))</f>
        <v>#N/A</v>
      </c>
      <c r="R3923" s="282" t="e">
        <f>++Tabla4[[#This Row],[Precio Unitario Neto]]-Tabla4[[#This Row],[20.85%]]-Tabla4[[#This Row],[Costo]]</f>
        <v>#N/A</v>
      </c>
      <c r="S3923" s="282" t="e">
        <f>++Tabla4[[#This Row],[U. Bruta Uni]]*Tabla4[[#This Row],[Cantidad]]</f>
        <v>#N/A</v>
      </c>
      <c r="T3923" s="369" t="str">
        <f>VLOOKUP(Tabla4[[#This Row],[Producto]],Tabla6[#All],14,FALSE)</f>
        <v>Termico Solar</v>
      </c>
      <c r="U3923" s="284" t="e">
        <f>(IF(Tabla4[[#This Row],[Familia]]="termico solar",Tabla4[[#This Row],[Utilidad Total]]*6%,Tabla4[[#This Row],[Utilidad Total]]*11.5%))/Tabla4[[#This Row],[Total]]</f>
        <v>#N/A</v>
      </c>
      <c r="V3923" s="282" t="e">
        <f>+Tabla4[[#This Row],[Comisión Calculada]]*Tabla4[[#This Row],[Total]]</f>
        <v>#N/A</v>
      </c>
    </row>
    <row r="3924" spans="1:22" hidden="1" x14ac:dyDescent="0.25">
      <c r="A3924" s="100">
        <v>45838</v>
      </c>
      <c r="B3924" t="str">
        <f t="shared" si="186"/>
        <v>June</v>
      </c>
      <c r="C3924" s="46" t="s">
        <v>280</v>
      </c>
      <c r="F3924" s="366" t="s">
        <v>2201</v>
      </c>
      <c r="G3924" s="46" t="s">
        <v>83</v>
      </c>
      <c r="H3924" s="46">
        <v>2</v>
      </c>
      <c r="I3924" s="51">
        <v>8858.76</v>
      </c>
      <c r="J3924" s="281">
        <f>++Tabla4[[#This Row],[Precio Bruto]]*1.16</f>
        <v>10276.161599999999</v>
      </c>
      <c r="K3924" s="281">
        <f>+Tabla4[[#This Row],[Precio Unitario Neto]]*Tabla4[[#Headers],[20.85%]]</f>
        <v>2142.5796935999997</v>
      </c>
      <c r="L3924" s="282">
        <f>++Tabla4[[#This Row],[Precio Unitario Neto]]-Tabla4[[#This Row],[20.85%]]</f>
        <v>8133.5819063999998</v>
      </c>
      <c r="M3924" s="282" t="e">
        <f>(INDEX(Tabla6[#All],MATCH(Tabla4[[#This Row],[Producto]],Tabla6[[#All],[PRODUCTO]],0),MATCH(Tabla4[[#This Row],[Mes]],Tabla6[#Headers],0)))*(1+Catalogos!$L$2)</f>
        <v>#N/A</v>
      </c>
      <c r="N3924" s="283" t="e">
        <f>+(Tabla4[[#This Row],[Precio Descontado]]-Tabla4[[#This Row],[Precio Base]])*Tabla4[[#This Row],[Cantidad]]</f>
        <v>#N/A</v>
      </c>
      <c r="O3924" s="284" t="e">
        <f>++Tabla4[[#This Row],[Utilidad Total]]/Tabla4[[#This Row],[Total]]</f>
        <v>#N/A</v>
      </c>
      <c r="P3924" s="282">
        <f>++Tabla4[[#This Row],[Precio Descontado]]*Tabla4[[#This Row],[Cantidad]]</f>
        <v>16267.1638128</v>
      </c>
      <c r="Q3924" s="282" t="e">
        <f>(INDEX(Tabla6[#All],MATCH(Tabla4[[#This Row],[Producto]],Tabla6[[#All],[PRODUCTO]],0),MATCH(Tabla4[[#This Row],[Mes]],Tabla6[#Headers],0)))</f>
        <v>#N/A</v>
      </c>
      <c r="R3924" s="282" t="e">
        <f>++Tabla4[[#This Row],[Precio Unitario Neto]]-Tabla4[[#This Row],[20.85%]]-Tabla4[[#This Row],[Costo]]</f>
        <v>#N/A</v>
      </c>
      <c r="S3924" s="282" t="e">
        <f>++Tabla4[[#This Row],[U. Bruta Uni]]*Tabla4[[#This Row],[Cantidad]]</f>
        <v>#N/A</v>
      </c>
      <c r="T3924" s="369" t="str">
        <f>VLOOKUP(Tabla4[[#This Row],[Producto]],Tabla6[#All],14,FALSE)</f>
        <v>Termico Solar</v>
      </c>
      <c r="U3924" s="284" t="e">
        <f>(IF(Tabla4[[#This Row],[Familia]]="termico solar",Tabla4[[#This Row],[Utilidad Total]]*6%,Tabla4[[#This Row],[Utilidad Total]]*11.5%))/Tabla4[[#This Row],[Total]]</f>
        <v>#N/A</v>
      </c>
      <c r="V3924" s="282" t="e">
        <f>+Tabla4[[#This Row],[Comisión Calculada]]*Tabla4[[#This Row],[Total]]</f>
        <v>#N/A</v>
      </c>
    </row>
    <row r="3925" spans="1:22" hidden="1" x14ac:dyDescent="0.25">
      <c r="A3925" s="100">
        <v>45838</v>
      </c>
      <c r="B3925" t="str">
        <f t="shared" si="186"/>
        <v>June</v>
      </c>
      <c r="C3925" s="46" t="s">
        <v>280</v>
      </c>
      <c r="F3925" s="366" t="s">
        <v>2202</v>
      </c>
      <c r="G3925" s="46" t="s">
        <v>83</v>
      </c>
      <c r="H3925" s="46">
        <v>1</v>
      </c>
      <c r="I3925" s="51">
        <v>8858.76</v>
      </c>
      <c r="J3925" s="281">
        <f>++Tabla4[[#This Row],[Precio Bruto]]*1.16</f>
        <v>10276.161599999999</v>
      </c>
      <c r="K3925" s="281">
        <f>+Tabla4[[#This Row],[Precio Unitario Neto]]*Tabla4[[#Headers],[20.85%]]</f>
        <v>2142.5796935999997</v>
      </c>
      <c r="L3925" s="282">
        <f>++Tabla4[[#This Row],[Precio Unitario Neto]]-Tabla4[[#This Row],[20.85%]]</f>
        <v>8133.5819063999998</v>
      </c>
      <c r="M3925" s="282" t="e">
        <f>(INDEX(Tabla6[#All],MATCH(Tabla4[[#This Row],[Producto]],Tabla6[[#All],[PRODUCTO]],0),MATCH(Tabla4[[#This Row],[Mes]],Tabla6[#Headers],0)))*(1+Catalogos!$L$2)</f>
        <v>#N/A</v>
      </c>
      <c r="N3925" s="283" t="e">
        <f>+(Tabla4[[#This Row],[Precio Descontado]]-Tabla4[[#This Row],[Precio Base]])*Tabla4[[#This Row],[Cantidad]]</f>
        <v>#N/A</v>
      </c>
      <c r="O3925" s="284" t="e">
        <f>++Tabla4[[#This Row],[Utilidad Total]]/Tabla4[[#This Row],[Total]]</f>
        <v>#N/A</v>
      </c>
      <c r="P3925" s="282">
        <f>++Tabla4[[#This Row],[Precio Descontado]]*Tabla4[[#This Row],[Cantidad]]</f>
        <v>8133.5819063999998</v>
      </c>
      <c r="Q3925" s="282" t="e">
        <f>(INDEX(Tabla6[#All],MATCH(Tabla4[[#This Row],[Producto]],Tabla6[[#All],[PRODUCTO]],0),MATCH(Tabla4[[#This Row],[Mes]],Tabla6[#Headers],0)))</f>
        <v>#N/A</v>
      </c>
      <c r="R3925" s="282" t="e">
        <f>++Tabla4[[#This Row],[Precio Unitario Neto]]-Tabla4[[#This Row],[20.85%]]-Tabla4[[#This Row],[Costo]]</f>
        <v>#N/A</v>
      </c>
      <c r="S3925" s="282" t="e">
        <f>++Tabla4[[#This Row],[U. Bruta Uni]]*Tabla4[[#This Row],[Cantidad]]</f>
        <v>#N/A</v>
      </c>
      <c r="T3925" s="369" t="str">
        <f>VLOOKUP(Tabla4[[#This Row],[Producto]],Tabla6[#All],14,FALSE)</f>
        <v>Termico Solar</v>
      </c>
      <c r="U3925" s="284" t="e">
        <f>(IF(Tabla4[[#This Row],[Familia]]="termico solar",Tabla4[[#This Row],[Utilidad Total]]*6%,Tabla4[[#This Row],[Utilidad Total]]*11.5%))/Tabla4[[#This Row],[Total]]</f>
        <v>#N/A</v>
      </c>
      <c r="V3925" s="282" t="e">
        <f>+Tabla4[[#This Row],[Comisión Calculada]]*Tabla4[[#This Row],[Total]]</f>
        <v>#N/A</v>
      </c>
    </row>
    <row r="3926" spans="1:22" hidden="1" x14ac:dyDescent="0.25">
      <c r="A3926" s="100">
        <v>45838</v>
      </c>
      <c r="B3926" t="str">
        <f t="shared" si="186"/>
        <v>June</v>
      </c>
      <c r="C3926" s="46" t="s">
        <v>280</v>
      </c>
      <c r="F3926" s="366" t="s">
        <v>2203</v>
      </c>
      <c r="G3926" s="46" t="s">
        <v>16</v>
      </c>
      <c r="H3926" s="46">
        <v>2</v>
      </c>
      <c r="I3926" s="51">
        <v>4103.8500000000004</v>
      </c>
      <c r="J3926" s="281">
        <f>++Tabla4[[#This Row],[Precio Bruto]]*1.16</f>
        <v>4760.4660000000003</v>
      </c>
      <c r="K3926" s="281">
        <f>+Tabla4[[#This Row],[Precio Unitario Neto]]*Tabla4[[#Headers],[20.85%]]</f>
        <v>992.55716100000006</v>
      </c>
      <c r="L3926" s="282">
        <f>++Tabla4[[#This Row],[Precio Unitario Neto]]-Tabla4[[#This Row],[20.85%]]</f>
        <v>3767.9088390000002</v>
      </c>
      <c r="M3926" s="282" t="e">
        <f>(INDEX(Tabla6[#All],MATCH(Tabla4[[#This Row],[Producto]],Tabla6[[#All],[PRODUCTO]],0),MATCH(Tabla4[[#This Row],[Mes]],Tabla6[#Headers],0)))*(1+Catalogos!$L$2)</f>
        <v>#N/A</v>
      </c>
      <c r="N3926" s="283" t="e">
        <f>+(Tabla4[[#This Row],[Precio Descontado]]-Tabla4[[#This Row],[Precio Base]])*Tabla4[[#This Row],[Cantidad]]</f>
        <v>#N/A</v>
      </c>
      <c r="O3926" s="284" t="e">
        <f>++Tabla4[[#This Row],[Utilidad Total]]/Tabla4[[#This Row],[Total]]</f>
        <v>#N/A</v>
      </c>
      <c r="P3926" s="282">
        <f>++Tabla4[[#This Row],[Precio Descontado]]*Tabla4[[#This Row],[Cantidad]]</f>
        <v>7535.8176780000003</v>
      </c>
      <c r="Q3926" s="282" t="e">
        <f>(INDEX(Tabla6[#All],MATCH(Tabla4[[#This Row],[Producto]],Tabla6[[#All],[PRODUCTO]],0),MATCH(Tabla4[[#This Row],[Mes]],Tabla6[#Headers],0)))</f>
        <v>#N/A</v>
      </c>
      <c r="R3926" s="282" t="e">
        <f>++Tabla4[[#This Row],[Precio Unitario Neto]]-Tabla4[[#This Row],[20.85%]]-Tabla4[[#This Row],[Costo]]</f>
        <v>#N/A</v>
      </c>
      <c r="S3926" s="282" t="e">
        <f>++Tabla4[[#This Row],[U. Bruta Uni]]*Tabla4[[#This Row],[Cantidad]]</f>
        <v>#N/A</v>
      </c>
      <c r="T3926" s="369" t="str">
        <f>VLOOKUP(Tabla4[[#This Row],[Producto]],Tabla6[#All],14,FALSE)</f>
        <v>Termico Solar</v>
      </c>
      <c r="U3926" s="284" t="e">
        <f>(IF(Tabla4[[#This Row],[Familia]]="termico solar",Tabla4[[#This Row],[Utilidad Total]]*6%,Tabla4[[#This Row],[Utilidad Total]]*11.5%))/Tabla4[[#This Row],[Total]]</f>
        <v>#N/A</v>
      </c>
      <c r="V3926" s="282" t="e">
        <f>+Tabla4[[#This Row],[Comisión Calculada]]*Tabla4[[#This Row],[Total]]</f>
        <v>#N/A</v>
      </c>
    </row>
    <row r="3927" spans="1:22" hidden="1" x14ac:dyDescent="0.25">
      <c r="A3927" s="100">
        <v>45838</v>
      </c>
      <c r="B3927" t="str">
        <f t="shared" si="186"/>
        <v>June</v>
      </c>
      <c r="C3927" s="46" t="s">
        <v>280</v>
      </c>
      <c r="F3927" s="366" t="s">
        <v>2204</v>
      </c>
      <c r="G3927" s="46" t="s">
        <v>18</v>
      </c>
      <c r="H3927" s="46">
        <v>3</v>
      </c>
      <c r="I3927" s="51">
        <v>5367.6500000000005</v>
      </c>
      <c r="J3927" s="281">
        <f>++Tabla4[[#This Row],[Precio Bruto]]*1.16</f>
        <v>6226.4740000000002</v>
      </c>
      <c r="K3927" s="281">
        <f>+Tabla4[[#This Row],[Precio Unitario Neto]]*Tabla4[[#Headers],[20.85%]]</f>
        <v>1298.2198289999999</v>
      </c>
      <c r="L3927" s="282">
        <f>++Tabla4[[#This Row],[Precio Unitario Neto]]-Tabla4[[#This Row],[20.85%]]</f>
        <v>4928.2541710000005</v>
      </c>
      <c r="M3927" s="282" t="e">
        <f>(INDEX(Tabla6[#All],MATCH(Tabla4[[#This Row],[Producto]],Tabla6[[#All],[PRODUCTO]],0),MATCH(Tabla4[[#This Row],[Mes]],Tabla6[#Headers],0)))*(1+Catalogos!$L$2)</f>
        <v>#N/A</v>
      </c>
      <c r="N3927" s="283" t="e">
        <f>+(Tabla4[[#This Row],[Precio Descontado]]-Tabla4[[#This Row],[Precio Base]])*Tabla4[[#This Row],[Cantidad]]</f>
        <v>#N/A</v>
      </c>
      <c r="O3927" s="284" t="e">
        <f>++Tabla4[[#This Row],[Utilidad Total]]/Tabla4[[#This Row],[Total]]</f>
        <v>#N/A</v>
      </c>
      <c r="P3927" s="282">
        <f>++Tabla4[[#This Row],[Precio Descontado]]*Tabla4[[#This Row],[Cantidad]]</f>
        <v>14784.762513000001</v>
      </c>
      <c r="Q3927" s="282" t="e">
        <f>(INDEX(Tabla6[#All],MATCH(Tabla4[[#This Row],[Producto]],Tabla6[[#All],[PRODUCTO]],0),MATCH(Tabla4[[#This Row],[Mes]],Tabla6[#Headers],0)))</f>
        <v>#N/A</v>
      </c>
      <c r="R3927" s="282" t="e">
        <f>++Tabla4[[#This Row],[Precio Unitario Neto]]-Tabla4[[#This Row],[20.85%]]-Tabla4[[#This Row],[Costo]]</f>
        <v>#N/A</v>
      </c>
      <c r="S3927" s="282" t="e">
        <f>++Tabla4[[#This Row],[U. Bruta Uni]]*Tabla4[[#This Row],[Cantidad]]</f>
        <v>#N/A</v>
      </c>
      <c r="T3927" s="369" t="str">
        <f>VLOOKUP(Tabla4[[#This Row],[Producto]],Tabla6[#All],14,FALSE)</f>
        <v>Termico Solar</v>
      </c>
      <c r="U3927" s="284" t="e">
        <f>(IF(Tabla4[[#This Row],[Familia]]="termico solar",Tabla4[[#This Row],[Utilidad Total]]*6%,Tabla4[[#This Row],[Utilidad Total]]*11.5%))/Tabla4[[#This Row],[Total]]</f>
        <v>#N/A</v>
      </c>
      <c r="V3927" s="282" t="e">
        <f>+Tabla4[[#This Row],[Comisión Calculada]]*Tabla4[[#This Row],[Total]]</f>
        <v>#N/A</v>
      </c>
    </row>
    <row r="3928" spans="1:22" hidden="1" x14ac:dyDescent="0.25">
      <c r="A3928" s="100">
        <v>45838</v>
      </c>
      <c r="B3928" t="str">
        <f t="shared" si="186"/>
        <v>June</v>
      </c>
      <c r="C3928" s="46" t="s">
        <v>280</v>
      </c>
      <c r="F3928" s="366" t="s">
        <v>2205</v>
      </c>
      <c r="G3928" s="46" t="s">
        <v>83</v>
      </c>
      <c r="H3928" s="46">
        <v>2</v>
      </c>
      <c r="I3928" s="51">
        <v>8858.76</v>
      </c>
      <c r="J3928" s="281">
        <f>++Tabla4[[#This Row],[Precio Bruto]]*1.16</f>
        <v>10276.161599999999</v>
      </c>
      <c r="K3928" s="281">
        <f>+Tabla4[[#This Row],[Precio Unitario Neto]]*Tabla4[[#Headers],[20.85%]]</f>
        <v>2142.5796935999997</v>
      </c>
      <c r="L3928" s="282">
        <f>++Tabla4[[#This Row],[Precio Unitario Neto]]-Tabla4[[#This Row],[20.85%]]</f>
        <v>8133.5819063999998</v>
      </c>
      <c r="M3928" s="282" t="e">
        <f>(INDEX(Tabla6[#All],MATCH(Tabla4[[#This Row],[Producto]],Tabla6[[#All],[PRODUCTO]],0),MATCH(Tabla4[[#This Row],[Mes]],Tabla6[#Headers],0)))*(1+Catalogos!$L$2)</f>
        <v>#N/A</v>
      </c>
      <c r="N3928" s="283" t="e">
        <f>+(Tabla4[[#This Row],[Precio Descontado]]-Tabla4[[#This Row],[Precio Base]])*Tabla4[[#This Row],[Cantidad]]</f>
        <v>#N/A</v>
      </c>
      <c r="O3928" s="284" t="e">
        <f>++Tabla4[[#This Row],[Utilidad Total]]/Tabla4[[#This Row],[Total]]</f>
        <v>#N/A</v>
      </c>
      <c r="P3928" s="282">
        <f>++Tabla4[[#This Row],[Precio Descontado]]*Tabla4[[#This Row],[Cantidad]]</f>
        <v>16267.1638128</v>
      </c>
      <c r="Q3928" s="282" t="e">
        <f>(INDEX(Tabla6[#All],MATCH(Tabla4[[#This Row],[Producto]],Tabla6[[#All],[PRODUCTO]],0),MATCH(Tabla4[[#This Row],[Mes]],Tabla6[#Headers],0)))</f>
        <v>#N/A</v>
      </c>
      <c r="R3928" s="282" t="e">
        <f>++Tabla4[[#This Row],[Precio Unitario Neto]]-Tabla4[[#This Row],[20.85%]]-Tabla4[[#This Row],[Costo]]</f>
        <v>#N/A</v>
      </c>
      <c r="S3928" s="282" t="e">
        <f>++Tabla4[[#This Row],[U. Bruta Uni]]*Tabla4[[#This Row],[Cantidad]]</f>
        <v>#N/A</v>
      </c>
      <c r="T3928" s="369" t="str">
        <f>VLOOKUP(Tabla4[[#This Row],[Producto]],Tabla6[#All],14,FALSE)</f>
        <v>Termico Solar</v>
      </c>
      <c r="U3928" s="284" t="e">
        <f>(IF(Tabla4[[#This Row],[Familia]]="termico solar",Tabla4[[#This Row],[Utilidad Total]]*6%,Tabla4[[#This Row],[Utilidad Total]]*11.5%))/Tabla4[[#This Row],[Total]]</f>
        <v>#N/A</v>
      </c>
      <c r="V3928" s="282" t="e">
        <f>+Tabla4[[#This Row],[Comisión Calculada]]*Tabla4[[#This Row],[Total]]</f>
        <v>#N/A</v>
      </c>
    </row>
    <row r="3929" spans="1:22" hidden="1" x14ac:dyDescent="0.25">
      <c r="A3929" s="100">
        <v>45838</v>
      </c>
      <c r="B3929" t="str">
        <f t="shared" si="186"/>
        <v>June</v>
      </c>
      <c r="C3929" s="46" t="s">
        <v>280</v>
      </c>
      <c r="F3929" s="366" t="s">
        <v>2205</v>
      </c>
      <c r="G3929" s="46" t="s">
        <v>555</v>
      </c>
      <c r="H3929" s="46">
        <v>8</v>
      </c>
      <c r="I3929" s="51">
        <v>389.47</v>
      </c>
      <c r="J3929" s="281">
        <f>++Tabla4[[#This Row],[Precio Bruto]]*1.16</f>
        <v>451.78519999999997</v>
      </c>
      <c r="K3929" s="281">
        <f>+Tabla4[[#This Row],[Precio Unitario Neto]]*Tabla4[[#Headers],[20.85%]]</f>
        <v>94.197214199999991</v>
      </c>
      <c r="L3929" s="282">
        <f>++Tabla4[[#This Row],[Precio Unitario Neto]]-Tabla4[[#This Row],[20.85%]]</f>
        <v>357.58798579999996</v>
      </c>
      <c r="M3929" s="282" t="e">
        <f>(INDEX(Tabla6[#All],MATCH(Tabla4[[#This Row],[Producto]],Tabla6[[#All],[PRODUCTO]],0),MATCH(Tabla4[[#This Row],[Mes]],Tabla6[#Headers],0)))*(1+Catalogos!$L$2)</f>
        <v>#N/A</v>
      </c>
      <c r="N3929" s="283" t="e">
        <f>+(Tabla4[[#This Row],[Precio Descontado]]-Tabla4[[#This Row],[Precio Base]])*Tabla4[[#This Row],[Cantidad]]</f>
        <v>#N/A</v>
      </c>
      <c r="O3929" s="284" t="e">
        <f>++Tabla4[[#This Row],[Utilidad Total]]/Tabla4[[#This Row],[Total]]</f>
        <v>#N/A</v>
      </c>
      <c r="P3929" s="282">
        <f>++Tabla4[[#This Row],[Precio Descontado]]*Tabla4[[#This Row],[Cantidad]]</f>
        <v>2860.7038863999996</v>
      </c>
      <c r="Q3929" s="282" t="e">
        <f>(INDEX(Tabla6[#All],MATCH(Tabla4[[#This Row],[Producto]],Tabla6[[#All],[PRODUCTO]],0),MATCH(Tabla4[[#This Row],[Mes]],Tabla6[#Headers],0)))</f>
        <v>#N/A</v>
      </c>
      <c r="R3929" s="282" t="e">
        <f>++Tabla4[[#This Row],[Precio Unitario Neto]]-Tabla4[[#This Row],[20.85%]]-Tabla4[[#This Row],[Costo]]</f>
        <v>#N/A</v>
      </c>
      <c r="S3929" s="282" t="e">
        <f>++Tabla4[[#This Row],[U. Bruta Uni]]*Tabla4[[#This Row],[Cantidad]]</f>
        <v>#N/A</v>
      </c>
      <c r="T3929" s="369" t="str">
        <f>VLOOKUP(Tabla4[[#This Row],[Producto]],Tabla6[#All],14,FALSE)</f>
        <v>Termico Solar</v>
      </c>
      <c r="U3929" s="284" t="e">
        <f>(IF(Tabla4[[#This Row],[Familia]]="termico solar",Tabla4[[#This Row],[Utilidad Total]]*6%,Tabla4[[#This Row],[Utilidad Total]]*11.5%))/Tabla4[[#This Row],[Total]]</f>
        <v>#N/A</v>
      </c>
      <c r="V3929" s="282" t="e">
        <f>+Tabla4[[#This Row],[Comisión Calculada]]*Tabla4[[#This Row],[Total]]</f>
        <v>#N/A</v>
      </c>
    </row>
    <row r="3930" spans="1:22" s="66" customFormat="1" ht="15.75" hidden="1" thickBot="1" x14ac:dyDescent="0.3">
      <c r="A3930" s="100">
        <v>45838</v>
      </c>
      <c r="B3930" t="str">
        <f t="shared" si="186"/>
        <v>June</v>
      </c>
      <c r="C3930" s="46" t="s">
        <v>280</v>
      </c>
      <c r="D3930" s="46"/>
      <c r="E3930" s="46"/>
      <c r="F3930" s="366" t="s">
        <v>2205</v>
      </c>
      <c r="G3930" s="46" t="s">
        <v>209</v>
      </c>
      <c r="H3930" s="46">
        <v>2</v>
      </c>
      <c r="I3930" s="51">
        <v>347.48</v>
      </c>
      <c r="J3930" s="281">
        <f>++Tabla4[[#This Row],[Precio Bruto]]*1.16</f>
        <v>403.07679999999999</v>
      </c>
      <c r="K3930" s="281">
        <f>+Tabla4[[#This Row],[Precio Unitario Neto]]*Tabla4[[#Headers],[20.85%]]</f>
        <v>84.041512799999992</v>
      </c>
      <c r="L3930" s="282">
        <f>++Tabla4[[#This Row],[Precio Unitario Neto]]-Tabla4[[#This Row],[20.85%]]</f>
        <v>319.03528719999997</v>
      </c>
      <c r="M3930" s="282" t="e">
        <f>(INDEX(Tabla6[#All],MATCH(Tabla4[[#This Row],[Producto]],Tabla6[[#All],[PRODUCTO]],0),MATCH(Tabla4[[#This Row],[Mes]],Tabla6[#Headers],0)))*(1+Catalogos!$L$2)</f>
        <v>#N/A</v>
      </c>
      <c r="N3930" s="283" t="e">
        <f>+(Tabla4[[#This Row],[Precio Descontado]]-Tabla4[[#This Row],[Precio Base]])*Tabla4[[#This Row],[Cantidad]]</f>
        <v>#N/A</v>
      </c>
      <c r="O3930" s="284" t="e">
        <f>++Tabla4[[#This Row],[Utilidad Total]]/Tabla4[[#This Row],[Total]]</f>
        <v>#N/A</v>
      </c>
      <c r="P3930" s="282">
        <f>++Tabla4[[#This Row],[Precio Descontado]]*Tabla4[[#This Row],[Cantidad]]</f>
        <v>638.07057439999994</v>
      </c>
      <c r="Q3930" s="282" t="e">
        <f>(INDEX(Tabla6[#All],MATCH(Tabla4[[#This Row],[Producto]],Tabla6[[#All],[PRODUCTO]],0),MATCH(Tabla4[[#This Row],[Mes]],Tabla6[#Headers],0)))</f>
        <v>#N/A</v>
      </c>
      <c r="R3930" s="282" t="e">
        <f>++Tabla4[[#This Row],[Precio Unitario Neto]]-Tabla4[[#This Row],[20.85%]]-Tabla4[[#This Row],[Costo]]</f>
        <v>#N/A</v>
      </c>
      <c r="S3930" s="282" t="e">
        <f>++Tabla4[[#This Row],[U. Bruta Uni]]*Tabla4[[#This Row],[Cantidad]]</f>
        <v>#N/A</v>
      </c>
      <c r="T3930" s="369" t="str">
        <f>VLOOKUP(Tabla4[[#This Row],[Producto]],Tabla6[#All],14,FALSE)</f>
        <v>Termico Solar</v>
      </c>
      <c r="U3930" s="284" t="e">
        <f>(IF(Tabla4[[#This Row],[Familia]]="termico solar",Tabla4[[#This Row],[Utilidad Total]]*6%,Tabla4[[#This Row],[Utilidad Total]]*11.5%))/Tabla4[[#This Row],[Total]]</f>
        <v>#N/A</v>
      </c>
      <c r="V3930" s="282" t="e">
        <f>+Tabla4[[#This Row],[Comisión Calculada]]*Tabla4[[#This Row],[Total]]</f>
        <v>#N/A</v>
      </c>
    </row>
    <row r="3931" spans="1:22" hidden="1" x14ac:dyDescent="0.25">
      <c r="A3931" s="100">
        <v>45838</v>
      </c>
      <c r="B3931" t="str">
        <f t="shared" si="186"/>
        <v>June</v>
      </c>
      <c r="C3931" s="46" t="s">
        <v>280</v>
      </c>
      <c r="F3931" s="366" t="s">
        <v>2206</v>
      </c>
      <c r="G3931" s="46" t="s">
        <v>208</v>
      </c>
      <c r="H3931" s="46">
        <v>2</v>
      </c>
      <c r="I3931" s="51">
        <v>189.75</v>
      </c>
      <c r="J3931" s="281">
        <f>++Tabla4[[#This Row],[Precio Bruto]]*1.16</f>
        <v>220.10999999999999</v>
      </c>
      <c r="K3931" s="281">
        <f>+Tabla4[[#This Row],[Precio Unitario Neto]]*Tabla4[[#Headers],[20.85%]]</f>
        <v>45.892934999999994</v>
      </c>
      <c r="L3931" s="282">
        <f>++Tabla4[[#This Row],[Precio Unitario Neto]]-Tabla4[[#This Row],[20.85%]]</f>
        <v>174.21706499999999</v>
      </c>
      <c r="M3931" s="282" t="e">
        <f>(INDEX(Tabla6[#All],MATCH(Tabla4[[#This Row],[Producto]],Tabla6[[#All],[PRODUCTO]],0),MATCH(Tabla4[[#This Row],[Mes]],Tabla6[#Headers],0)))*(1+Catalogos!$L$2)</f>
        <v>#N/A</v>
      </c>
      <c r="N3931" s="283" t="e">
        <f>+(Tabla4[[#This Row],[Precio Descontado]]-Tabla4[[#This Row],[Precio Base]])*Tabla4[[#This Row],[Cantidad]]</f>
        <v>#N/A</v>
      </c>
      <c r="O3931" s="284" t="e">
        <f>++Tabla4[[#This Row],[Utilidad Total]]/Tabla4[[#This Row],[Total]]</f>
        <v>#N/A</v>
      </c>
      <c r="P3931" s="282">
        <f>++Tabla4[[#This Row],[Precio Descontado]]*Tabla4[[#This Row],[Cantidad]]</f>
        <v>348.43412999999998</v>
      </c>
      <c r="Q3931" s="282" t="e">
        <f>(INDEX(Tabla6[#All],MATCH(Tabla4[[#This Row],[Producto]],Tabla6[[#All],[PRODUCTO]],0),MATCH(Tabla4[[#This Row],[Mes]],Tabla6[#Headers],0)))</f>
        <v>#N/A</v>
      </c>
      <c r="R3931" s="282" t="e">
        <f>++Tabla4[[#This Row],[Precio Unitario Neto]]-Tabla4[[#This Row],[20.85%]]-Tabla4[[#This Row],[Costo]]</f>
        <v>#N/A</v>
      </c>
      <c r="S3931" s="282" t="e">
        <f>++Tabla4[[#This Row],[U. Bruta Uni]]*Tabla4[[#This Row],[Cantidad]]</f>
        <v>#N/A</v>
      </c>
      <c r="T3931" s="369" t="str">
        <f>VLOOKUP(Tabla4[[#This Row],[Producto]],Tabla6[#All],14,FALSE)</f>
        <v>Termico Solar</v>
      </c>
      <c r="U3931" s="284" t="e">
        <f>(IF(Tabla4[[#This Row],[Familia]]="termico solar",Tabla4[[#This Row],[Utilidad Total]]*6%,Tabla4[[#This Row],[Utilidad Total]]*11.5%))/Tabla4[[#This Row],[Total]]</f>
        <v>#N/A</v>
      </c>
      <c r="V3931" s="282" t="e">
        <f>+Tabla4[[#This Row],[Comisión Calculada]]*Tabla4[[#This Row],[Total]]</f>
        <v>#N/A</v>
      </c>
    </row>
    <row r="3932" spans="1:22" hidden="1" x14ac:dyDescent="0.25">
      <c r="A3932" s="100">
        <v>45838</v>
      </c>
      <c r="B3932" t="str">
        <f t="shared" si="186"/>
        <v>June</v>
      </c>
      <c r="C3932" s="46" t="s">
        <v>280</v>
      </c>
      <c r="F3932" s="366" t="s">
        <v>2207</v>
      </c>
      <c r="G3932" s="46" t="s">
        <v>18</v>
      </c>
      <c r="H3932" s="46">
        <v>1</v>
      </c>
      <c r="I3932" s="51">
        <v>5367.65</v>
      </c>
      <c r="J3932" s="281">
        <f>++Tabla4[[#This Row],[Precio Bruto]]*1.16</f>
        <v>6226.4739999999993</v>
      </c>
      <c r="K3932" s="281">
        <f>+Tabla4[[#This Row],[Precio Unitario Neto]]*Tabla4[[#Headers],[20.85%]]</f>
        <v>1298.2198289999999</v>
      </c>
      <c r="L3932" s="282">
        <f>++Tabla4[[#This Row],[Precio Unitario Neto]]-Tabla4[[#This Row],[20.85%]]</f>
        <v>4928.2541709999996</v>
      </c>
      <c r="M3932" s="282" t="e">
        <f>(INDEX(Tabla6[#All],MATCH(Tabla4[[#This Row],[Producto]],Tabla6[[#All],[PRODUCTO]],0),MATCH(Tabla4[[#This Row],[Mes]],Tabla6[#Headers],0)))*(1+Catalogos!$L$2)</f>
        <v>#N/A</v>
      </c>
      <c r="N3932" s="283" t="e">
        <f>+(Tabla4[[#This Row],[Precio Descontado]]-Tabla4[[#This Row],[Precio Base]])*Tabla4[[#This Row],[Cantidad]]</f>
        <v>#N/A</v>
      </c>
      <c r="O3932" s="284" t="e">
        <f>++Tabla4[[#This Row],[Utilidad Total]]/Tabla4[[#This Row],[Total]]</f>
        <v>#N/A</v>
      </c>
      <c r="P3932" s="282">
        <f>++Tabla4[[#This Row],[Precio Descontado]]*Tabla4[[#This Row],[Cantidad]]</f>
        <v>4928.2541709999996</v>
      </c>
      <c r="Q3932" s="282" t="e">
        <f>(INDEX(Tabla6[#All],MATCH(Tabla4[[#This Row],[Producto]],Tabla6[[#All],[PRODUCTO]],0),MATCH(Tabla4[[#This Row],[Mes]],Tabla6[#Headers],0)))</f>
        <v>#N/A</v>
      </c>
      <c r="R3932" s="282" t="e">
        <f>++Tabla4[[#This Row],[Precio Unitario Neto]]-Tabla4[[#This Row],[20.85%]]-Tabla4[[#This Row],[Costo]]</f>
        <v>#N/A</v>
      </c>
      <c r="S3932" s="282" t="e">
        <f>++Tabla4[[#This Row],[U. Bruta Uni]]*Tabla4[[#This Row],[Cantidad]]</f>
        <v>#N/A</v>
      </c>
      <c r="T3932" s="369" t="str">
        <f>VLOOKUP(Tabla4[[#This Row],[Producto]],Tabla6[#All],14,FALSE)</f>
        <v>Termico Solar</v>
      </c>
      <c r="U3932" s="284" t="e">
        <f>(IF(Tabla4[[#This Row],[Familia]]="termico solar",Tabla4[[#This Row],[Utilidad Total]]*6%,Tabla4[[#This Row],[Utilidad Total]]*11.5%))/Tabla4[[#This Row],[Total]]</f>
        <v>#N/A</v>
      </c>
      <c r="V3932" s="282" t="e">
        <f>+Tabla4[[#This Row],[Comisión Calculada]]*Tabla4[[#This Row],[Total]]</f>
        <v>#N/A</v>
      </c>
    </row>
    <row r="3933" spans="1:22" hidden="1" x14ac:dyDescent="0.25">
      <c r="A3933" s="100">
        <v>45838</v>
      </c>
      <c r="B3933" t="str">
        <f t="shared" si="186"/>
        <v>June</v>
      </c>
      <c r="C3933" s="46" t="s">
        <v>280</v>
      </c>
      <c r="F3933" s="366" t="s">
        <v>2207</v>
      </c>
      <c r="G3933" s="46" t="s">
        <v>566</v>
      </c>
      <c r="H3933" s="46">
        <v>1</v>
      </c>
      <c r="I3933" s="51">
        <v>2109.4499999999998</v>
      </c>
      <c r="J3933" s="281">
        <f>++Tabla4[[#This Row],[Precio Bruto]]*1.16</f>
        <v>2446.9619999999995</v>
      </c>
      <c r="K3933" s="281">
        <f>+Tabla4[[#This Row],[Precio Unitario Neto]]*Tabla4[[#Headers],[20.85%]]</f>
        <v>510.19157699999988</v>
      </c>
      <c r="L3933" s="282">
        <f>++Tabla4[[#This Row],[Precio Unitario Neto]]-Tabla4[[#This Row],[20.85%]]</f>
        <v>1936.7704229999997</v>
      </c>
      <c r="M3933" s="282" t="e">
        <f>(INDEX(Tabla6[#All],MATCH(Tabla4[[#This Row],[Producto]],Tabla6[[#All],[PRODUCTO]],0),MATCH(Tabla4[[#This Row],[Mes]],Tabla6[#Headers],0)))*(1+Catalogos!$L$2)</f>
        <v>#N/A</v>
      </c>
      <c r="N3933" s="283" t="e">
        <f>+(Tabla4[[#This Row],[Precio Descontado]]-Tabla4[[#This Row],[Precio Base]])*Tabla4[[#This Row],[Cantidad]]</f>
        <v>#N/A</v>
      </c>
      <c r="O3933" s="284" t="e">
        <f>++Tabla4[[#This Row],[Utilidad Total]]/Tabla4[[#This Row],[Total]]</f>
        <v>#N/A</v>
      </c>
      <c r="P3933" s="282">
        <f>++Tabla4[[#This Row],[Precio Descontado]]*Tabla4[[#This Row],[Cantidad]]</f>
        <v>1936.7704229999997</v>
      </c>
      <c r="Q3933" s="282" t="e">
        <f>(INDEX(Tabla6[#All],MATCH(Tabla4[[#This Row],[Producto]],Tabla6[[#All],[PRODUCTO]],0),MATCH(Tabla4[[#This Row],[Mes]],Tabla6[#Headers],0)))</f>
        <v>#N/A</v>
      </c>
      <c r="R3933" s="282" t="e">
        <f>++Tabla4[[#This Row],[Precio Unitario Neto]]-Tabla4[[#This Row],[20.85%]]-Tabla4[[#This Row],[Costo]]</f>
        <v>#N/A</v>
      </c>
      <c r="S3933" s="282" t="e">
        <f>++Tabla4[[#This Row],[U. Bruta Uni]]*Tabla4[[#This Row],[Cantidad]]</f>
        <v>#N/A</v>
      </c>
      <c r="T3933" s="369" t="str">
        <f>VLOOKUP(Tabla4[[#This Row],[Producto]],Tabla6[#All],14,FALSE)</f>
        <v>Termico Solar</v>
      </c>
      <c r="U3933" s="284" t="e">
        <f>(IF(Tabla4[[#This Row],[Familia]]="termico solar",Tabla4[[#This Row],[Utilidad Total]]*6%,Tabla4[[#This Row],[Utilidad Total]]*11.5%))/Tabla4[[#This Row],[Total]]</f>
        <v>#N/A</v>
      </c>
      <c r="V3933" s="282" t="e">
        <f>+Tabla4[[#This Row],[Comisión Calculada]]*Tabla4[[#This Row],[Total]]</f>
        <v>#N/A</v>
      </c>
    </row>
    <row r="3934" spans="1:22" hidden="1" x14ac:dyDescent="0.25">
      <c r="A3934" s="100">
        <v>45838</v>
      </c>
      <c r="B3934" t="str">
        <f t="shared" si="186"/>
        <v>June</v>
      </c>
      <c r="C3934" s="46" t="s">
        <v>280</v>
      </c>
      <c r="F3934" s="366" t="s">
        <v>2207</v>
      </c>
      <c r="G3934" s="46" t="s">
        <v>208</v>
      </c>
      <c r="H3934" s="46">
        <v>2</v>
      </c>
      <c r="I3934" s="51">
        <v>189.75</v>
      </c>
      <c r="J3934" s="281">
        <f>++Tabla4[[#This Row],[Precio Bruto]]*1.16</f>
        <v>220.10999999999999</v>
      </c>
      <c r="K3934" s="281">
        <f>+Tabla4[[#This Row],[Precio Unitario Neto]]*Tabla4[[#Headers],[20.85%]]</f>
        <v>45.892934999999994</v>
      </c>
      <c r="L3934" s="282">
        <f>++Tabla4[[#This Row],[Precio Unitario Neto]]-Tabla4[[#This Row],[20.85%]]</f>
        <v>174.21706499999999</v>
      </c>
      <c r="M3934" s="282" t="e">
        <f>(INDEX(Tabla6[#All],MATCH(Tabla4[[#This Row],[Producto]],Tabla6[[#All],[PRODUCTO]],0),MATCH(Tabla4[[#This Row],[Mes]],Tabla6[#Headers],0)))*(1+Catalogos!$L$2)</f>
        <v>#N/A</v>
      </c>
      <c r="N3934" s="283" t="e">
        <f>+(Tabla4[[#This Row],[Precio Descontado]]-Tabla4[[#This Row],[Precio Base]])*Tabla4[[#This Row],[Cantidad]]</f>
        <v>#N/A</v>
      </c>
      <c r="O3934" s="284" t="e">
        <f>++Tabla4[[#This Row],[Utilidad Total]]/Tabla4[[#This Row],[Total]]</f>
        <v>#N/A</v>
      </c>
      <c r="P3934" s="282">
        <f>++Tabla4[[#This Row],[Precio Descontado]]*Tabla4[[#This Row],[Cantidad]]</f>
        <v>348.43412999999998</v>
      </c>
      <c r="Q3934" s="282" t="e">
        <f>(INDEX(Tabla6[#All],MATCH(Tabla4[[#This Row],[Producto]],Tabla6[[#All],[PRODUCTO]],0),MATCH(Tabla4[[#This Row],[Mes]],Tabla6[#Headers],0)))</f>
        <v>#N/A</v>
      </c>
      <c r="R3934" s="282" t="e">
        <f>++Tabla4[[#This Row],[Precio Unitario Neto]]-Tabla4[[#This Row],[20.85%]]-Tabla4[[#This Row],[Costo]]</f>
        <v>#N/A</v>
      </c>
      <c r="S3934" s="282" t="e">
        <f>++Tabla4[[#This Row],[U. Bruta Uni]]*Tabla4[[#This Row],[Cantidad]]</f>
        <v>#N/A</v>
      </c>
      <c r="T3934" s="369" t="str">
        <f>VLOOKUP(Tabla4[[#This Row],[Producto]],Tabla6[#All],14,FALSE)</f>
        <v>Termico Solar</v>
      </c>
      <c r="U3934" s="284" t="e">
        <f>(IF(Tabla4[[#This Row],[Familia]]="termico solar",Tabla4[[#This Row],[Utilidad Total]]*6%,Tabla4[[#This Row],[Utilidad Total]]*11.5%))/Tabla4[[#This Row],[Total]]</f>
        <v>#N/A</v>
      </c>
      <c r="V3934" s="282" t="e">
        <f>+Tabla4[[#This Row],[Comisión Calculada]]*Tabla4[[#This Row],[Total]]</f>
        <v>#N/A</v>
      </c>
    </row>
    <row r="3935" spans="1:22" hidden="1" x14ac:dyDescent="0.25">
      <c r="A3935" s="100">
        <v>45838</v>
      </c>
      <c r="B3935" t="str">
        <f t="shared" ref="B3935:B3958" si="187">TEXT(A3935, "mmmm")</f>
        <v>June</v>
      </c>
      <c r="C3935" s="46" t="s">
        <v>280</v>
      </c>
      <c r="F3935" s="366" t="s">
        <v>2208</v>
      </c>
      <c r="G3935" s="46" t="s">
        <v>83</v>
      </c>
      <c r="H3935" s="46">
        <v>1</v>
      </c>
      <c r="I3935" s="51">
        <v>8858.76</v>
      </c>
      <c r="J3935" s="281">
        <f>++Tabla4[[#This Row],[Precio Bruto]]*1.16</f>
        <v>10276.161599999999</v>
      </c>
      <c r="K3935" s="281">
        <f>+Tabla4[[#This Row],[Precio Unitario Neto]]*Tabla4[[#Headers],[20.85%]]</f>
        <v>2142.5796935999997</v>
      </c>
      <c r="L3935" s="282">
        <f>++Tabla4[[#This Row],[Precio Unitario Neto]]-Tabla4[[#This Row],[20.85%]]</f>
        <v>8133.5819063999998</v>
      </c>
      <c r="M3935" s="282" t="e">
        <f>(INDEX(Tabla6[#All],MATCH(Tabla4[[#This Row],[Producto]],Tabla6[[#All],[PRODUCTO]],0),MATCH(Tabla4[[#This Row],[Mes]],Tabla6[#Headers],0)))*(1+Catalogos!$L$2)</f>
        <v>#N/A</v>
      </c>
      <c r="N3935" s="283" t="e">
        <f>+(Tabla4[[#This Row],[Precio Descontado]]-Tabla4[[#This Row],[Precio Base]])*Tabla4[[#This Row],[Cantidad]]</f>
        <v>#N/A</v>
      </c>
      <c r="O3935" s="284" t="e">
        <f>++Tabla4[[#This Row],[Utilidad Total]]/Tabla4[[#This Row],[Total]]</f>
        <v>#N/A</v>
      </c>
      <c r="P3935" s="282">
        <f>++Tabla4[[#This Row],[Precio Descontado]]*Tabla4[[#This Row],[Cantidad]]</f>
        <v>8133.5819063999998</v>
      </c>
      <c r="Q3935" s="282" t="e">
        <f>(INDEX(Tabla6[#All],MATCH(Tabla4[[#This Row],[Producto]],Tabla6[[#All],[PRODUCTO]],0),MATCH(Tabla4[[#This Row],[Mes]],Tabla6[#Headers],0)))</f>
        <v>#N/A</v>
      </c>
      <c r="R3935" s="282" t="e">
        <f>++Tabla4[[#This Row],[Precio Unitario Neto]]-Tabla4[[#This Row],[20.85%]]-Tabla4[[#This Row],[Costo]]</f>
        <v>#N/A</v>
      </c>
      <c r="S3935" s="282" t="e">
        <f>++Tabla4[[#This Row],[U. Bruta Uni]]*Tabla4[[#This Row],[Cantidad]]</f>
        <v>#N/A</v>
      </c>
      <c r="T3935" s="369" t="str">
        <f>VLOOKUP(Tabla4[[#This Row],[Producto]],Tabla6[#All],14,FALSE)</f>
        <v>Termico Solar</v>
      </c>
      <c r="U3935" s="284" t="e">
        <f>(IF(Tabla4[[#This Row],[Familia]]="termico solar",Tabla4[[#This Row],[Utilidad Total]]*6%,Tabla4[[#This Row],[Utilidad Total]]*11.5%))/Tabla4[[#This Row],[Total]]</f>
        <v>#N/A</v>
      </c>
      <c r="V3935" s="282" t="e">
        <f>+Tabla4[[#This Row],[Comisión Calculada]]*Tabla4[[#This Row],[Total]]</f>
        <v>#N/A</v>
      </c>
    </row>
    <row r="3936" spans="1:22" hidden="1" x14ac:dyDescent="0.25">
      <c r="A3936" s="100">
        <v>45838</v>
      </c>
      <c r="B3936" t="str">
        <f t="shared" si="187"/>
        <v>June</v>
      </c>
      <c r="C3936" s="46" t="s">
        <v>280</v>
      </c>
      <c r="F3936" s="366" t="s">
        <v>2208</v>
      </c>
      <c r="G3936" s="46" t="s">
        <v>17</v>
      </c>
      <c r="H3936" s="46">
        <v>1</v>
      </c>
      <c r="I3936" s="51">
        <v>4622.28</v>
      </c>
      <c r="J3936" s="281">
        <f>++Tabla4[[#This Row],[Precio Bruto]]*1.16</f>
        <v>5361.8447999999989</v>
      </c>
      <c r="K3936" s="281">
        <f>+Tabla4[[#This Row],[Precio Unitario Neto]]*Tabla4[[#Headers],[20.85%]]</f>
        <v>1117.9446407999997</v>
      </c>
      <c r="L3936" s="282">
        <f>++Tabla4[[#This Row],[Precio Unitario Neto]]-Tabla4[[#This Row],[20.85%]]</f>
        <v>4243.9001591999995</v>
      </c>
      <c r="M3936" s="282" t="e">
        <f>(INDEX(Tabla6[#All],MATCH(Tabla4[[#This Row],[Producto]],Tabla6[[#All],[PRODUCTO]],0),MATCH(Tabla4[[#This Row],[Mes]],Tabla6[#Headers],0)))*(1+Catalogos!$L$2)</f>
        <v>#N/A</v>
      </c>
      <c r="N3936" s="283" t="e">
        <f>+(Tabla4[[#This Row],[Precio Descontado]]-Tabla4[[#This Row],[Precio Base]])*Tabla4[[#This Row],[Cantidad]]</f>
        <v>#N/A</v>
      </c>
      <c r="O3936" s="284" t="e">
        <f>++Tabla4[[#This Row],[Utilidad Total]]/Tabla4[[#This Row],[Total]]</f>
        <v>#N/A</v>
      </c>
      <c r="P3936" s="282">
        <f>++Tabla4[[#This Row],[Precio Descontado]]*Tabla4[[#This Row],[Cantidad]]</f>
        <v>4243.9001591999995</v>
      </c>
      <c r="Q3936" s="282" t="e">
        <f>(INDEX(Tabla6[#All],MATCH(Tabla4[[#This Row],[Producto]],Tabla6[[#All],[PRODUCTO]],0),MATCH(Tabla4[[#This Row],[Mes]],Tabla6[#Headers],0)))</f>
        <v>#N/A</v>
      </c>
      <c r="R3936" s="282" t="e">
        <f>++Tabla4[[#This Row],[Precio Unitario Neto]]-Tabla4[[#This Row],[20.85%]]-Tabla4[[#This Row],[Costo]]</f>
        <v>#N/A</v>
      </c>
      <c r="S3936" s="282" t="e">
        <f>++Tabla4[[#This Row],[U. Bruta Uni]]*Tabla4[[#This Row],[Cantidad]]</f>
        <v>#N/A</v>
      </c>
      <c r="T3936" s="369" t="str">
        <f>VLOOKUP(Tabla4[[#This Row],[Producto]],Tabla6[#All],14,FALSE)</f>
        <v>Termico Solar</v>
      </c>
      <c r="U3936" s="284" t="e">
        <f>(IF(Tabla4[[#This Row],[Familia]]="termico solar",Tabla4[[#This Row],[Utilidad Total]]*6%,Tabla4[[#This Row],[Utilidad Total]]*11.5%))/Tabla4[[#This Row],[Total]]</f>
        <v>#N/A</v>
      </c>
      <c r="V3936" s="282" t="e">
        <f>+Tabla4[[#This Row],[Comisión Calculada]]*Tabla4[[#This Row],[Total]]</f>
        <v>#N/A</v>
      </c>
    </row>
    <row r="3937" spans="1:22" hidden="1" x14ac:dyDescent="0.25">
      <c r="A3937" s="100">
        <v>45838</v>
      </c>
      <c r="B3937" t="str">
        <f t="shared" si="187"/>
        <v>June</v>
      </c>
      <c r="C3937" s="46" t="s">
        <v>280</v>
      </c>
      <c r="F3937" s="366" t="s">
        <v>2208</v>
      </c>
      <c r="G3937" s="46" t="s">
        <v>18</v>
      </c>
      <c r="H3937" s="46">
        <v>1</v>
      </c>
      <c r="I3937" s="51">
        <v>5367.65</v>
      </c>
      <c r="J3937" s="281">
        <f>++Tabla4[[#This Row],[Precio Bruto]]*1.16</f>
        <v>6226.4739999999993</v>
      </c>
      <c r="K3937" s="281">
        <f>+Tabla4[[#This Row],[Precio Unitario Neto]]*Tabla4[[#Headers],[20.85%]]</f>
        <v>1298.2198289999999</v>
      </c>
      <c r="L3937" s="282">
        <f>++Tabla4[[#This Row],[Precio Unitario Neto]]-Tabla4[[#This Row],[20.85%]]</f>
        <v>4928.2541709999996</v>
      </c>
      <c r="M3937" s="282" t="e">
        <f>(INDEX(Tabla6[#All],MATCH(Tabla4[[#This Row],[Producto]],Tabla6[[#All],[PRODUCTO]],0),MATCH(Tabla4[[#This Row],[Mes]],Tabla6[#Headers],0)))*(1+Catalogos!$L$2)</f>
        <v>#N/A</v>
      </c>
      <c r="N3937" s="283" t="e">
        <f>+(Tabla4[[#This Row],[Precio Descontado]]-Tabla4[[#This Row],[Precio Base]])*Tabla4[[#This Row],[Cantidad]]</f>
        <v>#N/A</v>
      </c>
      <c r="O3937" s="284" t="e">
        <f>++Tabla4[[#This Row],[Utilidad Total]]/Tabla4[[#This Row],[Total]]</f>
        <v>#N/A</v>
      </c>
      <c r="P3937" s="282">
        <f>++Tabla4[[#This Row],[Precio Descontado]]*Tabla4[[#This Row],[Cantidad]]</f>
        <v>4928.2541709999996</v>
      </c>
      <c r="Q3937" s="282" t="e">
        <f>(INDEX(Tabla6[#All],MATCH(Tabla4[[#This Row],[Producto]],Tabla6[[#All],[PRODUCTO]],0),MATCH(Tabla4[[#This Row],[Mes]],Tabla6[#Headers],0)))</f>
        <v>#N/A</v>
      </c>
      <c r="R3937" s="282" t="e">
        <f>++Tabla4[[#This Row],[Precio Unitario Neto]]-Tabla4[[#This Row],[20.85%]]-Tabla4[[#This Row],[Costo]]</f>
        <v>#N/A</v>
      </c>
      <c r="S3937" s="282" t="e">
        <f>++Tabla4[[#This Row],[U. Bruta Uni]]*Tabla4[[#This Row],[Cantidad]]</f>
        <v>#N/A</v>
      </c>
      <c r="T3937" s="369" t="str">
        <f>VLOOKUP(Tabla4[[#This Row],[Producto]],Tabla6[#All],14,FALSE)</f>
        <v>Termico Solar</v>
      </c>
      <c r="U3937" s="284" t="e">
        <f>(IF(Tabla4[[#This Row],[Familia]]="termico solar",Tabla4[[#This Row],[Utilidad Total]]*6%,Tabla4[[#This Row],[Utilidad Total]]*11.5%))/Tabla4[[#This Row],[Total]]</f>
        <v>#N/A</v>
      </c>
      <c r="V3937" s="282" t="e">
        <f>+Tabla4[[#This Row],[Comisión Calculada]]*Tabla4[[#This Row],[Total]]</f>
        <v>#N/A</v>
      </c>
    </row>
    <row r="3938" spans="1:22" hidden="1" x14ac:dyDescent="0.25">
      <c r="A3938" s="100">
        <v>45838</v>
      </c>
      <c r="B3938" t="str">
        <f t="shared" si="187"/>
        <v>June</v>
      </c>
      <c r="C3938" s="46" t="s">
        <v>280</v>
      </c>
      <c r="F3938" s="366" t="s">
        <v>2209</v>
      </c>
      <c r="G3938" s="46" t="s">
        <v>209</v>
      </c>
      <c r="H3938" s="46">
        <v>1</v>
      </c>
      <c r="I3938" s="51">
        <v>347.48</v>
      </c>
      <c r="J3938" s="281">
        <f>++Tabla4[[#This Row],[Precio Bruto]]*1.16</f>
        <v>403.07679999999999</v>
      </c>
      <c r="K3938" s="281">
        <f>+Tabla4[[#This Row],[Precio Unitario Neto]]*Tabla4[[#Headers],[20.85%]]</f>
        <v>84.041512799999992</v>
      </c>
      <c r="L3938" s="282">
        <f>++Tabla4[[#This Row],[Precio Unitario Neto]]-Tabla4[[#This Row],[20.85%]]</f>
        <v>319.03528719999997</v>
      </c>
      <c r="M3938" s="282" t="e">
        <f>(INDEX(Tabla6[#All],MATCH(Tabla4[[#This Row],[Producto]],Tabla6[[#All],[PRODUCTO]],0),MATCH(Tabla4[[#This Row],[Mes]],Tabla6[#Headers],0)))*(1+Catalogos!$L$2)</f>
        <v>#N/A</v>
      </c>
      <c r="N3938" s="283" t="e">
        <f>+(Tabla4[[#This Row],[Precio Descontado]]-Tabla4[[#This Row],[Precio Base]])*Tabla4[[#This Row],[Cantidad]]</f>
        <v>#N/A</v>
      </c>
      <c r="O3938" s="284" t="e">
        <f>++Tabla4[[#This Row],[Utilidad Total]]/Tabla4[[#This Row],[Total]]</f>
        <v>#N/A</v>
      </c>
      <c r="P3938" s="282">
        <f>++Tabla4[[#This Row],[Precio Descontado]]*Tabla4[[#This Row],[Cantidad]]</f>
        <v>319.03528719999997</v>
      </c>
      <c r="Q3938" s="282" t="e">
        <f>(INDEX(Tabla6[#All],MATCH(Tabla4[[#This Row],[Producto]],Tabla6[[#All],[PRODUCTO]],0),MATCH(Tabla4[[#This Row],[Mes]],Tabla6[#Headers],0)))</f>
        <v>#N/A</v>
      </c>
      <c r="R3938" s="282" t="e">
        <f>++Tabla4[[#This Row],[Precio Unitario Neto]]-Tabla4[[#This Row],[20.85%]]-Tabla4[[#This Row],[Costo]]</f>
        <v>#N/A</v>
      </c>
      <c r="S3938" s="282" t="e">
        <f>++Tabla4[[#This Row],[U. Bruta Uni]]*Tabla4[[#This Row],[Cantidad]]</f>
        <v>#N/A</v>
      </c>
      <c r="T3938" s="369" t="str">
        <f>VLOOKUP(Tabla4[[#This Row],[Producto]],Tabla6[#All],14,FALSE)</f>
        <v>Termico Solar</v>
      </c>
      <c r="U3938" s="284" t="e">
        <f>(IF(Tabla4[[#This Row],[Familia]]="termico solar",Tabla4[[#This Row],[Utilidad Total]]*6%,Tabla4[[#This Row],[Utilidad Total]]*11.5%))/Tabla4[[#This Row],[Total]]</f>
        <v>#N/A</v>
      </c>
      <c r="V3938" s="282" t="e">
        <f>+Tabla4[[#This Row],[Comisión Calculada]]*Tabla4[[#This Row],[Total]]</f>
        <v>#N/A</v>
      </c>
    </row>
    <row r="3939" spans="1:22" hidden="1" x14ac:dyDescent="0.25">
      <c r="A3939" s="100">
        <v>45838</v>
      </c>
      <c r="B3939" t="str">
        <f t="shared" si="187"/>
        <v>June</v>
      </c>
      <c r="C3939" s="46" t="s">
        <v>280</v>
      </c>
      <c r="F3939" s="366" t="s">
        <v>2210</v>
      </c>
      <c r="G3939" s="46" t="s">
        <v>208</v>
      </c>
      <c r="H3939" s="46">
        <v>1</v>
      </c>
      <c r="I3939" s="51">
        <v>189.75</v>
      </c>
      <c r="J3939" s="281">
        <f>++Tabla4[[#This Row],[Precio Bruto]]*1.16</f>
        <v>220.10999999999999</v>
      </c>
      <c r="K3939" s="281">
        <f>+Tabla4[[#This Row],[Precio Unitario Neto]]*Tabla4[[#Headers],[20.85%]]</f>
        <v>45.892934999999994</v>
      </c>
      <c r="L3939" s="282">
        <f>++Tabla4[[#This Row],[Precio Unitario Neto]]-Tabla4[[#This Row],[20.85%]]</f>
        <v>174.21706499999999</v>
      </c>
      <c r="M3939" s="282" t="e">
        <f>(INDEX(Tabla6[#All],MATCH(Tabla4[[#This Row],[Producto]],Tabla6[[#All],[PRODUCTO]],0),MATCH(Tabla4[[#This Row],[Mes]],Tabla6[#Headers],0)))*(1+Catalogos!$L$2)</f>
        <v>#N/A</v>
      </c>
      <c r="N3939" s="283" t="e">
        <f>+(Tabla4[[#This Row],[Precio Descontado]]-Tabla4[[#This Row],[Precio Base]])*Tabla4[[#This Row],[Cantidad]]</f>
        <v>#N/A</v>
      </c>
      <c r="O3939" s="284" t="e">
        <f>++Tabla4[[#This Row],[Utilidad Total]]/Tabla4[[#This Row],[Total]]</f>
        <v>#N/A</v>
      </c>
      <c r="P3939" s="282">
        <f>++Tabla4[[#This Row],[Precio Descontado]]*Tabla4[[#This Row],[Cantidad]]</f>
        <v>174.21706499999999</v>
      </c>
      <c r="Q3939" s="282" t="e">
        <f>(INDEX(Tabla6[#All],MATCH(Tabla4[[#This Row],[Producto]],Tabla6[[#All],[PRODUCTO]],0),MATCH(Tabla4[[#This Row],[Mes]],Tabla6[#Headers],0)))</f>
        <v>#N/A</v>
      </c>
      <c r="R3939" s="282" t="e">
        <f>++Tabla4[[#This Row],[Precio Unitario Neto]]-Tabla4[[#This Row],[20.85%]]-Tabla4[[#This Row],[Costo]]</f>
        <v>#N/A</v>
      </c>
      <c r="S3939" s="282" t="e">
        <f>++Tabla4[[#This Row],[U. Bruta Uni]]*Tabla4[[#This Row],[Cantidad]]</f>
        <v>#N/A</v>
      </c>
      <c r="T3939" s="369" t="str">
        <f>VLOOKUP(Tabla4[[#This Row],[Producto]],Tabla6[#All],14,FALSE)</f>
        <v>Termico Solar</v>
      </c>
      <c r="U3939" s="284" t="e">
        <f>(IF(Tabla4[[#This Row],[Familia]]="termico solar",Tabla4[[#This Row],[Utilidad Total]]*6%,Tabla4[[#This Row],[Utilidad Total]]*11.5%))/Tabla4[[#This Row],[Total]]</f>
        <v>#N/A</v>
      </c>
      <c r="V3939" s="282" t="e">
        <f>+Tabla4[[#This Row],[Comisión Calculada]]*Tabla4[[#This Row],[Total]]</f>
        <v>#N/A</v>
      </c>
    </row>
    <row r="3940" spans="1:22" hidden="1" x14ac:dyDescent="0.25">
      <c r="A3940" s="100">
        <v>45838</v>
      </c>
      <c r="B3940" t="str">
        <f t="shared" si="187"/>
        <v>June</v>
      </c>
      <c r="C3940" s="46" t="s">
        <v>280</v>
      </c>
      <c r="F3940" s="366" t="s">
        <v>2211</v>
      </c>
      <c r="G3940" s="46" t="s">
        <v>566</v>
      </c>
      <c r="H3940" s="46">
        <v>3</v>
      </c>
      <c r="I3940" s="51">
        <v>2109.4500000000003</v>
      </c>
      <c r="J3940" s="281">
        <f>++Tabla4[[#This Row],[Precio Bruto]]*1.16</f>
        <v>2446.962</v>
      </c>
      <c r="K3940" s="281">
        <f>+Tabla4[[#This Row],[Precio Unitario Neto]]*Tabla4[[#Headers],[20.85%]]</f>
        <v>510.191577</v>
      </c>
      <c r="L3940" s="282">
        <f>++Tabla4[[#This Row],[Precio Unitario Neto]]-Tabla4[[#This Row],[20.85%]]</f>
        <v>1936.7704229999999</v>
      </c>
      <c r="M3940" s="282" t="e">
        <f>(INDEX(Tabla6[#All],MATCH(Tabla4[[#This Row],[Producto]],Tabla6[[#All],[PRODUCTO]],0),MATCH(Tabla4[[#This Row],[Mes]],Tabla6[#Headers],0)))*(1+Catalogos!$L$2)</f>
        <v>#N/A</v>
      </c>
      <c r="N3940" s="283" t="e">
        <f>+(Tabla4[[#This Row],[Precio Descontado]]-Tabla4[[#This Row],[Precio Base]])*Tabla4[[#This Row],[Cantidad]]</f>
        <v>#N/A</v>
      </c>
      <c r="O3940" s="284" t="e">
        <f>++Tabla4[[#This Row],[Utilidad Total]]/Tabla4[[#This Row],[Total]]</f>
        <v>#N/A</v>
      </c>
      <c r="P3940" s="282">
        <f>++Tabla4[[#This Row],[Precio Descontado]]*Tabla4[[#This Row],[Cantidad]]</f>
        <v>5810.3112689999998</v>
      </c>
      <c r="Q3940" s="282" t="e">
        <f>(INDEX(Tabla6[#All],MATCH(Tabla4[[#This Row],[Producto]],Tabla6[[#All],[PRODUCTO]],0),MATCH(Tabla4[[#This Row],[Mes]],Tabla6[#Headers],0)))</f>
        <v>#N/A</v>
      </c>
      <c r="R3940" s="282" t="e">
        <f>++Tabla4[[#This Row],[Precio Unitario Neto]]-Tabla4[[#This Row],[20.85%]]-Tabla4[[#This Row],[Costo]]</f>
        <v>#N/A</v>
      </c>
      <c r="S3940" s="282" t="e">
        <f>++Tabla4[[#This Row],[U. Bruta Uni]]*Tabla4[[#This Row],[Cantidad]]</f>
        <v>#N/A</v>
      </c>
      <c r="T3940" s="369" t="str">
        <f>VLOOKUP(Tabla4[[#This Row],[Producto]],Tabla6[#All],14,FALSE)</f>
        <v>Termico Solar</v>
      </c>
      <c r="U3940" s="284" t="e">
        <f>(IF(Tabla4[[#This Row],[Familia]]="termico solar",Tabla4[[#This Row],[Utilidad Total]]*6%,Tabla4[[#This Row],[Utilidad Total]]*11.5%))/Tabla4[[#This Row],[Total]]</f>
        <v>#N/A</v>
      </c>
      <c r="V3940" s="282" t="e">
        <f>+Tabla4[[#This Row],[Comisión Calculada]]*Tabla4[[#This Row],[Total]]</f>
        <v>#N/A</v>
      </c>
    </row>
    <row r="3941" spans="1:22" hidden="1" x14ac:dyDescent="0.25">
      <c r="A3941" s="100">
        <v>45838</v>
      </c>
      <c r="B3941" t="str">
        <f t="shared" si="187"/>
        <v>June</v>
      </c>
      <c r="C3941" s="46" t="s">
        <v>280</v>
      </c>
      <c r="F3941" s="366" t="s">
        <v>2212</v>
      </c>
      <c r="G3941" s="46" t="s">
        <v>19</v>
      </c>
      <c r="H3941" s="46">
        <v>1</v>
      </c>
      <c r="I3941" s="51">
        <v>6412.03</v>
      </c>
      <c r="J3941" s="281">
        <f>++Tabla4[[#This Row],[Precio Bruto]]*1.16</f>
        <v>7437.9547999999995</v>
      </c>
      <c r="K3941" s="281">
        <f>+Tabla4[[#This Row],[Precio Unitario Neto]]*Tabla4[[#Headers],[20.85%]]</f>
        <v>1550.8135757999999</v>
      </c>
      <c r="L3941" s="282">
        <f>++Tabla4[[#This Row],[Precio Unitario Neto]]-Tabla4[[#This Row],[20.85%]]</f>
        <v>5887.1412241999997</v>
      </c>
      <c r="M3941" s="282" t="e">
        <f>(INDEX(Tabla6[#All],MATCH(Tabla4[[#This Row],[Producto]],Tabla6[[#All],[PRODUCTO]],0),MATCH(Tabla4[[#This Row],[Mes]],Tabla6[#Headers],0)))*(1+Catalogos!$L$2)</f>
        <v>#N/A</v>
      </c>
      <c r="N3941" s="283" t="e">
        <f>+(Tabla4[[#This Row],[Precio Descontado]]-Tabla4[[#This Row],[Precio Base]])*Tabla4[[#This Row],[Cantidad]]</f>
        <v>#N/A</v>
      </c>
      <c r="O3941" s="284" t="e">
        <f>++Tabla4[[#This Row],[Utilidad Total]]/Tabla4[[#This Row],[Total]]</f>
        <v>#N/A</v>
      </c>
      <c r="P3941" s="282">
        <f>++Tabla4[[#This Row],[Precio Descontado]]*Tabla4[[#This Row],[Cantidad]]</f>
        <v>5887.1412241999997</v>
      </c>
      <c r="Q3941" s="282" t="e">
        <f>(INDEX(Tabla6[#All],MATCH(Tabla4[[#This Row],[Producto]],Tabla6[[#All],[PRODUCTO]],0),MATCH(Tabla4[[#This Row],[Mes]],Tabla6[#Headers],0)))</f>
        <v>#N/A</v>
      </c>
      <c r="R3941" s="282" t="e">
        <f>++Tabla4[[#This Row],[Precio Unitario Neto]]-Tabla4[[#This Row],[20.85%]]-Tabla4[[#This Row],[Costo]]</f>
        <v>#N/A</v>
      </c>
      <c r="S3941" s="282" t="e">
        <f>++Tabla4[[#This Row],[U. Bruta Uni]]*Tabla4[[#This Row],[Cantidad]]</f>
        <v>#N/A</v>
      </c>
      <c r="T3941" s="369" t="str">
        <f>VLOOKUP(Tabla4[[#This Row],[Producto]],Tabla6[#All],14,FALSE)</f>
        <v>Termico Solar</v>
      </c>
      <c r="U3941" s="284" t="e">
        <f>(IF(Tabla4[[#This Row],[Familia]]="termico solar",Tabla4[[#This Row],[Utilidad Total]]*6%,Tabla4[[#This Row],[Utilidad Total]]*11.5%))/Tabla4[[#This Row],[Total]]</f>
        <v>#N/A</v>
      </c>
      <c r="V3941" s="282" t="e">
        <f>+Tabla4[[#This Row],[Comisión Calculada]]*Tabla4[[#This Row],[Total]]</f>
        <v>#N/A</v>
      </c>
    </row>
    <row r="3942" spans="1:22" hidden="1" x14ac:dyDescent="0.25">
      <c r="A3942" s="100">
        <v>45838</v>
      </c>
      <c r="B3942" t="str">
        <f t="shared" si="187"/>
        <v>June</v>
      </c>
      <c r="C3942" s="46" t="s">
        <v>280</v>
      </c>
      <c r="F3942" s="366" t="s">
        <v>2212</v>
      </c>
      <c r="G3942" s="46" t="s">
        <v>16</v>
      </c>
      <c r="H3942" s="46">
        <v>1</v>
      </c>
      <c r="I3942" s="51">
        <v>4103.8500000000004</v>
      </c>
      <c r="J3942" s="281">
        <f>++Tabla4[[#This Row],[Precio Bruto]]*1.16</f>
        <v>4760.4660000000003</v>
      </c>
      <c r="K3942" s="281">
        <f>+Tabla4[[#This Row],[Precio Unitario Neto]]*Tabla4[[#Headers],[20.85%]]</f>
        <v>992.55716100000006</v>
      </c>
      <c r="L3942" s="282">
        <f>++Tabla4[[#This Row],[Precio Unitario Neto]]-Tabla4[[#This Row],[20.85%]]</f>
        <v>3767.9088390000002</v>
      </c>
      <c r="M3942" s="282" t="e">
        <f>(INDEX(Tabla6[#All],MATCH(Tabla4[[#This Row],[Producto]],Tabla6[[#All],[PRODUCTO]],0),MATCH(Tabla4[[#This Row],[Mes]],Tabla6[#Headers],0)))*(1+Catalogos!$L$2)</f>
        <v>#N/A</v>
      </c>
      <c r="N3942" s="283" t="e">
        <f>+(Tabla4[[#This Row],[Precio Descontado]]-Tabla4[[#This Row],[Precio Base]])*Tabla4[[#This Row],[Cantidad]]</f>
        <v>#N/A</v>
      </c>
      <c r="O3942" s="284" t="e">
        <f>++Tabla4[[#This Row],[Utilidad Total]]/Tabla4[[#This Row],[Total]]</f>
        <v>#N/A</v>
      </c>
      <c r="P3942" s="282">
        <f>++Tabla4[[#This Row],[Precio Descontado]]*Tabla4[[#This Row],[Cantidad]]</f>
        <v>3767.9088390000002</v>
      </c>
      <c r="Q3942" s="282" t="e">
        <f>(INDEX(Tabla6[#All],MATCH(Tabla4[[#This Row],[Producto]],Tabla6[[#All],[PRODUCTO]],0),MATCH(Tabla4[[#This Row],[Mes]],Tabla6[#Headers],0)))</f>
        <v>#N/A</v>
      </c>
      <c r="R3942" s="282" t="e">
        <f>++Tabla4[[#This Row],[Precio Unitario Neto]]-Tabla4[[#This Row],[20.85%]]-Tabla4[[#This Row],[Costo]]</f>
        <v>#N/A</v>
      </c>
      <c r="S3942" s="282" t="e">
        <f>++Tabla4[[#This Row],[U. Bruta Uni]]*Tabla4[[#This Row],[Cantidad]]</f>
        <v>#N/A</v>
      </c>
      <c r="T3942" s="369" t="str">
        <f>VLOOKUP(Tabla4[[#This Row],[Producto]],Tabla6[#All],14,FALSE)</f>
        <v>Termico Solar</v>
      </c>
      <c r="U3942" s="284" t="e">
        <f>(IF(Tabla4[[#This Row],[Familia]]="termico solar",Tabla4[[#This Row],[Utilidad Total]]*6%,Tabla4[[#This Row],[Utilidad Total]]*11.5%))/Tabla4[[#This Row],[Total]]</f>
        <v>#N/A</v>
      </c>
      <c r="V3942" s="282" t="e">
        <f>+Tabla4[[#This Row],[Comisión Calculada]]*Tabla4[[#This Row],[Total]]</f>
        <v>#N/A</v>
      </c>
    </row>
    <row r="3943" spans="1:22" hidden="1" x14ac:dyDescent="0.25">
      <c r="A3943" s="100">
        <v>45838</v>
      </c>
      <c r="B3943" t="str">
        <f t="shared" si="187"/>
        <v>June</v>
      </c>
      <c r="C3943" s="46" t="s">
        <v>280</v>
      </c>
      <c r="F3943" s="366" t="s">
        <v>2212</v>
      </c>
      <c r="G3943" s="46" t="s">
        <v>208</v>
      </c>
      <c r="H3943" s="46">
        <v>1</v>
      </c>
      <c r="I3943" s="51">
        <v>189.75</v>
      </c>
      <c r="J3943" s="281">
        <f>++Tabla4[[#This Row],[Precio Bruto]]*1.16</f>
        <v>220.10999999999999</v>
      </c>
      <c r="K3943" s="281">
        <f>+Tabla4[[#This Row],[Precio Unitario Neto]]*Tabla4[[#Headers],[20.85%]]</f>
        <v>45.892934999999994</v>
      </c>
      <c r="L3943" s="282">
        <f>++Tabla4[[#This Row],[Precio Unitario Neto]]-Tabla4[[#This Row],[20.85%]]</f>
        <v>174.21706499999999</v>
      </c>
      <c r="M3943" s="282" t="e">
        <f>(INDEX(Tabla6[#All],MATCH(Tabla4[[#This Row],[Producto]],Tabla6[[#All],[PRODUCTO]],0),MATCH(Tabla4[[#This Row],[Mes]],Tabla6[#Headers],0)))*(1+Catalogos!$L$2)</f>
        <v>#N/A</v>
      </c>
      <c r="N3943" s="283" t="e">
        <f>+(Tabla4[[#This Row],[Precio Descontado]]-Tabla4[[#This Row],[Precio Base]])*Tabla4[[#This Row],[Cantidad]]</f>
        <v>#N/A</v>
      </c>
      <c r="O3943" s="284" t="e">
        <f>++Tabla4[[#This Row],[Utilidad Total]]/Tabla4[[#This Row],[Total]]</f>
        <v>#N/A</v>
      </c>
      <c r="P3943" s="282">
        <f>++Tabla4[[#This Row],[Precio Descontado]]*Tabla4[[#This Row],[Cantidad]]</f>
        <v>174.21706499999999</v>
      </c>
      <c r="Q3943" s="282" t="e">
        <f>(INDEX(Tabla6[#All],MATCH(Tabla4[[#This Row],[Producto]],Tabla6[[#All],[PRODUCTO]],0),MATCH(Tabla4[[#This Row],[Mes]],Tabla6[#Headers],0)))</f>
        <v>#N/A</v>
      </c>
      <c r="R3943" s="282" t="e">
        <f>++Tabla4[[#This Row],[Precio Unitario Neto]]-Tabla4[[#This Row],[20.85%]]-Tabla4[[#This Row],[Costo]]</f>
        <v>#N/A</v>
      </c>
      <c r="S3943" s="282" t="e">
        <f>++Tabla4[[#This Row],[U. Bruta Uni]]*Tabla4[[#This Row],[Cantidad]]</f>
        <v>#N/A</v>
      </c>
      <c r="T3943" s="369" t="str">
        <f>VLOOKUP(Tabla4[[#This Row],[Producto]],Tabla6[#All],14,FALSE)</f>
        <v>Termico Solar</v>
      </c>
      <c r="U3943" s="284" t="e">
        <f>(IF(Tabla4[[#This Row],[Familia]]="termico solar",Tabla4[[#This Row],[Utilidad Total]]*6%,Tabla4[[#This Row],[Utilidad Total]]*11.5%))/Tabla4[[#This Row],[Total]]</f>
        <v>#N/A</v>
      </c>
      <c r="V3943" s="282" t="e">
        <f>+Tabla4[[#This Row],[Comisión Calculada]]*Tabla4[[#This Row],[Total]]</f>
        <v>#N/A</v>
      </c>
    </row>
    <row r="3944" spans="1:22" hidden="1" x14ac:dyDescent="0.25">
      <c r="A3944" s="100">
        <v>45838</v>
      </c>
      <c r="B3944" t="str">
        <f t="shared" si="187"/>
        <v>June</v>
      </c>
      <c r="C3944" s="46" t="s">
        <v>280</v>
      </c>
      <c r="F3944" s="366" t="s">
        <v>2213</v>
      </c>
      <c r="G3944" s="46" t="s">
        <v>83</v>
      </c>
      <c r="H3944" s="46">
        <v>3</v>
      </c>
      <c r="I3944" s="51">
        <v>8858.76</v>
      </c>
      <c r="J3944" s="281">
        <f>++Tabla4[[#This Row],[Precio Bruto]]*1.16</f>
        <v>10276.161599999999</v>
      </c>
      <c r="K3944" s="281">
        <f>+Tabla4[[#This Row],[Precio Unitario Neto]]*Tabla4[[#Headers],[20.85%]]</f>
        <v>2142.5796935999997</v>
      </c>
      <c r="L3944" s="282">
        <f>++Tabla4[[#This Row],[Precio Unitario Neto]]-Tabla4[[#This Row],[20.85%]]</f>
        <v>8133.5819063999998</v>
      </c>
      <c r="M3944" s="282" t="e">
        <f>(INDEX(Tabla6[#All],MATCH(Tabla4[[#This Row],[Producto]],Tabla6[[#All],[PRODUCTO]],0),MATCH(Tabla4[[#This Row],[Mes]],Tabla6[#Headers],0)))*(1+Catalogos!$L$2)</f>
        <v>#N/A</v>
      </c>
      <c r="N3944" s="283" t="e">
        <f>+(Tabla4[[#This Row],[Precio Descontado]]-Tabla4[[#This Row],[Precio Base]])*Tabla4[[#This Row],[Cantidad]]</f>
        <v>#N/A</v>
      </c>
      <c r="O3944" s="284" t="e">
        <f>++Tabla4[[#This Row],[Utilidad Total]]/Tabla4[[#This Row],[Total]]</f>
        <v>#N/A</v>
      </c>
      <c r="P3944" s="282">
        <f>++Tabla4[[#This Row],[Precio Descontado]]*Tabla4[[#This Row],[Cantidad]]</f>
        <v>24400.7457192</v>
      </c>
      <c r="Q3944" s="282" t="e">
        <f>(INDEX(Tabla6[#All],MATCH(Tabla4[[#This Row],[Producto]],Tabla6[[#All],[PRODUCTO]],0),MATCH(Tabla4[[#This Row],[Mes]],Tabla6[#Headers],0)))</f>
        <v>#N/A</v>
      </c>
      <c r="R3944" s="282" t="e">
        <f>++Tabla4[[#This Row],[Precio Unitario Neto]]-Tabla4[[#This Row],[20.85%]]-Tabla4[[#This Row],[Costo]]</f>
        <v>#N/A</v>
      </c>
      <c r="S3944" s="282" t="e">
        <f>++Tabla4[[#This Row],[U. Bruta Uni]]*Tabla4[[#This Row],[Cantidad]]</f>
        <v>#N/A</v>
      </c>
      <c r="T3944" s="369" t="str">
        <f>VLOOKUP(Tabla4[[#This Row],[Producto]],Tabla6[#All],14,FALSE)</f>
        <v>Termico Solar</v>
      </c>
      <c r="U3944" s="284" t="e">
        <f>(IF(Tabla4[[#This Row],[Familia]]="termico solar",Tabla4[[#This Row],[Utilidad Total]]*6%,Tabla4[[#This Row],[Utilidad Total]]*11.5%))/Tabla4[[#This Row],[Total]]</f>
        <v>#N/A</v>
      </c>
      <c r="V3944" s="282" t="e">
        <f>+Tabla4[[#This Row],[Comisión Calculada]]*Tabla4[[#This Row],[Total]]</f>
        <v>#N/A</v>
      </c>
    </row>
    <row r="3945" spans="1:22" hidden="1" x14ac:dyDescent="0.25">
      <c r="A3945" s="100">
        <v>45838</v>
      </c>
      <c r="B3945" t="str">
        <f t="shared" si="187"/>
        <v>June</v>
      </c>
      <c r="C3945" s="46" t="s">
        <v>280</v>
      </c>
      <c r="F3945" s="366" t="s">
        <v>2213</v>
      </c>
      <c r="G3945" s="46" t="s">
        <v>17</v>
      </c>
      <c r="H3945" s="46">
        <v>5</v>
      </c>
      <c r="I3945" s="51">
        <v>4622.2800000000007</v>
      </c>
      <c r="J3945" s="281">
        <f>++Tabla4[[#This Row],[Precio Bruto]]*1.16</f>
        <v>5361.8448000000008</v>
      </c>
      <c r="K3945" s="281">
        <f>+Tabla4[[#This Row],[Precio Unitario Neto]]*Tabla4[[#Headers],[20.85%]]</f>
        <v>1117.9446408000001</v>
      </c>
      <c r="L3945" s="282">
        <f>++Tabla4[[#This Row],[Precio Unitario Neto]]-Tabla4[[#This Row],[20.85%]]</f>
        <v>4243.9001592000004</v>
      </c>
      <c r="M3945" s="282" t="e">
        <f>(INDEX(Tabla6[#All],MATCH(Tabla4[[#This Row],[Producto]],Tabla6[[#All],[PRODUCTO]],0),MATCH(Tabla4[[#This Row],[Mes]],Tabla6[#Headers],0)))*(1+Catalogos!$L$2)</f>
        <v>#N/A</v>
      </c>
      <c r="N3945" s="283" t="e">
        <f>+(Tabla4[[#This Row],[Precio Descontado]]-Tabla4[[#This Row],[Precio Base]])*Tabla4[[#This Row],[Cantidad]]</f>
        <v>#N/A</v>
      </c>
      <c r="O3945" s="284" t="e">
        <f>++Tabla4[[#This Row],[Utilidad Total]]/Tabla4[[#This Row],[Total]]</f>
        <v>#N/A</v>
      </c>
      <c r="P3945" s="282">
        <f>++Tabla4[[#This Row],[Precio Descontado]]*Tabla4[[#This Row],[Cantidad]]</f>
        <v>21219.500796</v>
      </c>
      <c r="Q3945" s="282" t="e">
        <f>(INDEX(Tabla6[#All],MATCH(Tabla4[[#This Row],[Producto]],Tabla6[[#All],[PRODUCTO]],0),MATCH(Tabla4[[#This Row],[Mes]],Tabla6[#Headers],0)))</f>
        <v>#N/A</v>
      </c>
      <c r="R3945" s="282" t="e">
        <f>++Tabla4[[#This Row],[Precio Unitario Neto]]-Tabla4[[#This Row],[20.85%]]-Tabla4[[#This Row],[Costo]]</f>
        <v>#N/A</v>
      </c>
      <c r="S3945" s="282" t="e">
        <f>++Tabla4[[#This Row],[U. Bruta Uni]]*Tabla4[[#This Row],[Cantidad]]</f>
        <v>#N/A</v>
      </c>
      <c r="T3945" s="369" t="str">
        <f>VLOOKUP(Tabla4[[#This Row],[Producto]],Tabla6[#All],14,FALSE)</f>
        <v>Termico Solar</v>
      </c>
      <c r="U3945" s="284" t="e">
        <f>(IF(Tabla4[[#This Row],[Familia]]="termico solar",Tabla4[[#This Row],[Utilidad Total]]*6%,Tabla4[[#This Row],[Utilidad Total]]*11.5%))/Tabla4[[#This Row],[Total]]</f>
        <v>#N/A</v>
      </c>
      <c r="V3945" s="282" t="e">
        <f>+Tabla4[[#This Row],[Comisión Calculada]]*Tabla4[[#This Row],[Total]]</f>
        <v>#N/A</v>
      </c>
    </row>
    <row r="3946" spans="1:22" hidden="1" x14ac:dyDescent="0.25">
      <c r="A3946" s="100">
        <v>45838</v>
      </c>
      <c r="B3946" t="str">
        <f t="shared" si="187"/>
        <v>June</v>
      </c>
      <c r="C3946" s="46" t="s">
        <v>280</v>
      </c>
      <c r="F3946" s="366" t="s">
        <v>2213</v>
      </c>
      <c r="G3946" s="46" t="s">
        <v>208</v>
      </c>
      <c r="H3946" s="46">
        <v>1</v>
      </c>
      <c r="I3946" s="51">
        <v>189.75</v>
      </c>
      <c r="J3946" s="281">
        <f>++Tabla4[[#This Row],[Precio Bruto]]*1.16</f>
        <v>220.10999999999999</v>
      </c>
      <c r="K3946" s="281">
        <f>+Tabla4[[#This Row],[Precio Unitario Neto]]*Tabla4[[#Headers],[20.85%]]</f>
        <v>45.892934999999994</v>
      </c>
      <c r="L3946" s="282">
        <f>++Tabla4[[#This Row],[Precio Unitario Neto]]-Tabla4[[#This Row],[20.85%]]</f>
        <v>174.21706499999999</v>
      </c>
      <c r="M3946" s="282" t="e">
        <f>(INDEX(Tabla6[#All],MATCH(Tabla4[[#This Row],[Producto]],Tabla6[[#All],[PRODUCTO]],0),MATCH(Tabla4[[#This Row],[Mes]],Tabla6[#Headers],0)))*(1+Catalogos!$L$2)</f>
        <v>#N/A</v>
      </c>
      <c r="N3946" s="283" t="e">
        <f>+(Tabla4[[#This Row],[Precio Descontado]]-Tabla4[[#This Row],[Precio Base]])*Tabla4[[#This Row],[Cantidad]]</f>
        <v>#N/A</v>
      </c>
      <c r="O3946" s="284" t="e">
        <f>++Tabla4[[#This Row],[Utilidad Total]]/Tabla4[[#This Row],[Total]]</f>
        <v>#N/A</v>
      </c>
      <c r="P3946" s="282">
        <f>++Tabla4[[#This Row],[Precio Descontado]]*Tabla4[[#This Row],[Cantidad]]</f>
        <v>174.21706499999999</v>
      </c>
      <c r="Q3946" s="282" t="e">
        <f>(INDEX(Tabla6[#All],MATCH(Tabla4[[#This Row],[Producto]],Tabla6[[#All],[PRODUCTO]],0),MATCH(Tabla4[[#This Row],[Mes]],Tabla6[#Headers],0)))</f>
        <v>#N/A</v>
      </c>
      <c r="R3946" s="282" t="e">
        <f>++Tabla4[[#This Row],[Precio Unitario Neto]]-Tabla4[[#This Row],[20.85%]]-Tabla4[[#This Row],[Costo]]</f>
        <v>#N/A</v>
      </c>
      <c r="S3946" s="282" t="e">
        <f>++Tabla4[[#This Row],[U. Bruta Uni]]*Tabla4[[#This Row],[Cantidad]]</f>
        <v>#N/A</v>
      </c>
      <c r="T3946" s="369" t="str">
        <f>VLOOKUP(Tabla4[[#This Row],[Producto]],Tabla6[#All],14,FALSE)</f>
        <v>Termico Solar</v>
      </c>
      <c r="U3946" s="284" t="e">
        <f>(IF(Tabla4[[#This Row],[Familia]]="termico solar",Tabla4[[#This Row],[Utilidad Total]]*6%,Tabla4[[#This Row],[Utilidad Total]]*11.5%))/Tabla4[[#This Row],[Total]]</f>
        <v>#N/A</v>
      </c>
      <c r="V3946" s="282" t="e">
        <f>+Tabla4[[#This Row],[Comisión Calculada]]*Tabla4[[#This Row],[Total]]</f>
        <v>#N/A</v>
      </c>
    </row>
    <row r="3947" spans="1:22" hidden="1" x14ac:dyDescent="0.25">
      <c r="A3947" s="100">
        <v>45838</v>
      </c>
      <c r="B3947" t="str">
        <f t="shared" si="187"/>
        <v>June</v>
      </c>
      <c r="C3947" s="46" t="s">
        <v>280</v>
      </c>
      <c r="F3947" s="366" t="s">
        <v>2214</v>
      </c>
      <c r="G3947" s="46" t="s">
        <v>83</v>
      </c>
      <c r="H3947" s="46">
        <v>1</v>
      </c>
      <c r="I3947" s="51">
        <v>8858.76</v>
      </c>
      <c r="J3947" s="281">
        <f>++Tabla4[[#This Row],[Precio Bruto]]*1.16</f>
        <v>10276.161599999999</v>
      </c>
      <c r="K3947" s="281">
        <f>+Tabla4[[#This Row],[Precio Unitario Neto]]*Tabla4[[#Headers],[20.85%]]</f>
        <v>2142.5796935999997</v>
      </c>
      <c r="L3947" s="282">
        <f>++Tabla4[[#This Row],[Precio Unitario Neto]]-Tabla4[[#This Row],[20.85%]]</f>
        <v>8133.5819063999998</v>
      </c>
      <c r="M3947" s="282" t="e">
        <f>(INDEX(Tabla6[#All],MATCH(Tabla4[[#This Row],[Producto]],Tabla6[[#All],[PRODUCTO]],0),MATCH(Tabla4[[#This Row],[Mes]],Tabla6[#Headers],0)))*(1+Catalogos!$L$2)</f>
        <v>#N/A</v>
      </c>
      <c r="N3947" s="283" t="e">
        <f>+(Tabla4[[#This Row],[Precio Descontado]]-Tabla4[[#This Row],[Precio Base]])*Tabla4[[#This Row],[Cantidad]]</f>
        <v>#N/A</v>
      </c>
      <c r="O3947" s="284" t="e">
        <f>++Tabla4[[#This Row],[Utilidad Total]]/Tabla4[[#This Row],[Total]]</f>
        <v>#N/A</v>
      </c>
      <c r="P3947" s="282">
        <f>++Tabla4[[#This Row],[Precio Descontado]]*Tabla4[[#This Row],[Cantidad]]</f>
        <v>8133.5819063999998</v>
      </c>
      <c r="Q3947" s="282" t="e">
        <f>(INDEX(Tabla6[#All],MATCH(Tabla4[[#This Row],[Producto]],Tabla6[[#All],[PRODUCTO]],0),MATCH(Tabla4[[#This Row],[Mes]],Tabla6[#Headers],0)))</f>
        <v>#N/A</v>
      </c>
      <c r="R3947" s="282" t="e">
        <f>++Tabla4[[#This Row],[Precio Unitario Neto]]-Tabla4[[#This Row],[20.85%]]-Tabla4[[#This Row],[Costo]]</f>
        <v>#N/A</v>
      </c>
      <c r="S3947" s="282" t="e">
        <f>++Tabla4[[#This Row],[U. Bruta Uni]]*Tabla4[[#This Row],[Cantidad]]</f>
        <v>#N/A</v>
      </c>
      <c r="T3947" s="369" t="str">
        <f>VLOOKUP(Tabla4[[#This Row],[Producto]],Tabla6[#All],14,FALSE)</f>
        <v>Termico Solar</v>
      </c>
      <c r="U3947" s="284" t="e">
        <f>(IF(Tabla4[[#This Row],[Familia]]="termico solar",Tabla4[[#This Row],[Utilidad Total]]*6%,Tabla4[[#This Row],[Utilidad Total]]*11.5%))/Tabla4[[#This Row],[Total]]</f>
        <v>#N/A</v>
      </c>
      <c r="V3947" s="282" t="e">
        <f>+Tabla4[[#This Row],[Comisión Calculada]]*Tabla4[[#This Row],[Total]]</f>
        <v>#N/A</v>
      </c>
    </row>
    <row r="3948" spans="1:22" hidden="1" x14ac:dyDescent="0.25">
      <c r="A3948" s="100">
        <v>45838</v>
      </c>
      <c r="B3948" t="str">
        <f t="shared" si="187"/>
        <v>June</v>
      </c>
      <c r="C3948" s="46" t="s">
        <v>280</v>
      </c>
      <c r="F3948" s="366" t="s">
        <v>2214</v>
      </c>
      <c r="G3948" s="46" t="s">
        <v>17</v>
      </c>
      <c r="H3948" s="46">
        <v>5</v>
      </c>
      <c r="I3948" s="51">
        <v>4622.2800000000007</v>
      </c>
      <c r="J3948" s="281">
        <f>++Tabla4[[#This Row],[Precio Bruto]]*1.16</f>
        <v>5361.8448000000008</v>
      </c>
      <c r="K3948" s="281">
        <f>+Tabla4[[#This Row],[Precio Unitario Neto]]*Tabla4[[#Headers],[20.85%]]</f>
        <v>1117.9446408000001</v>
      </c>
      <c r="L3948" s="282">
        <f>++Tabla4[[#This Row],[Precio Unitario Neto]]-Tabla4[[#This Row],[20.85%]]</f>
        <v>4243.9001592000004</v>
      </c>
      <c r="M3948" s="282" t="e">
        <f>(INDEX(Tabla6[#All],MATCH(Tabla4[[#This Row],[Producto]],Tabla6[[#All],[PRODUCTO]],0),MATCH(Tabla4[[#This Row],[Mes]],Tabla6[#Headers],0)))*(1+Catalogos!$L$2)</f>
        <v>#N/A</v>
      </c>
      <c r="N3948" s="283" t="e">
        <f>+(Tabla4[[#This Row],[Precio Descontado]]-Tabla4[[#This Row],[Precio Base]])*Tabla4[[#This Row],[Cantidad]]</f>
        <v>#N/A</v>
      </c>
      <c r="O3948" s="284" t="e">
        <f>++Tabla4[[#This Row],[Utilidad Total]]/Tabla4[[#This Row],[Total]]</f>
        <v>#N/A</v>
      </c>
      <c r="P3948" s="282">
        <f>++Tabla4[[#This Row],[Precio Descontado]]*Tabla4[[#This Row],[Cantidad]]</f>
        <v>21219.500796</v>
      </c>
      <c r="Q3948" s="282" t="e">
        <f>(INDEX(Tabla6[#All],MATCH(Tabla4[[#This Row],[Producto]],Tabla6[[#All],[PRODUCTO]],0),MATCH(Tabla4[[#This Row],[Mes]],Tabla6[#Headers],0)))</f>
        <v>#N/A</v>
      </c>
      <c r="R3948" s="282" t="e">
        <f>++Tabla4[[#This Row],[Precio Unitario Neto]]-Tabla4[[#This Row],[20.85%]]-Tabla4[[#This Row],[Costo]]</f>
        <v>#N/A</v>
      </c>
      <c r="S3948" s="282" t="e">
        <f>++Tabla4[[#This Row],[U. Bruta Uni]]*Tabla4[[#This Row],[Cantidad]]</f>
        <v>#N/A</v>
      </c>
      <c r="T3948" s="369" t="str">
        <f>VLOOKUP(Tabla4[[#This Row],[Producto]],Tabla6[#All],14,FALSE)</f>
        <v>Termico Solar</v>
      </c>
      <c r="U3948" s="284" t="e">
        <f>(IF(Tabla4[[#This Row],[Familia]]="termico solar",Tabla4[[#This Row],[Utilidad Total]]*6%,Tabla4[[#This Row],[Utilidad Total]]*11.5%))/Tabla4[[#This Row],[Total]]</f>
        <v>#N/A</v>
      </c>
      <c r="V3948" s="282" t="e">
        <f>+Tabla4[[#This Row],[Comisión Calculada]]*Tabla4[[#This Row],[Total]]</f>
        <v>#N/A</v>
      </c>
    </row>
    <row r="3949" spans="1:22" hidden="1" x14ac:dyDescent="0.25">
      <c r="A3949" s="100">
        <v>45838</v>
      </c>
      <c r="B3949" t="str">
        <f t="shared" si="187"/>
        <v>June</v>
      </c>
      <c r="C3949" s="46" t="s">
        <v>280</v>
      </c>
      <c r="F3949" s="366" t="s">
        <v>2214</v>
      </c>
      <c r="G3949" s="46" t="s">
        <v>16</v>
      </c>
      <c r="H3949" s="46">
        <v>3</v>
      </c>
      <c r="I3949" s="51">
        <v>4103.8499999999995</v>
      </c>
      <c r="J3949" s="281">
        <f>++Tabla4[[#This Row],[Precio Bruto]]*1.16</f>
        <v>4760.4659999999994</v>
      </c>
      <c r="K3949" s="281">
        <f>+Tabla4[[#This Row],[Precio Unitario Neto]]*Tabla4[[#Headers],[20.85%]]</f>
        <v>992.55716099999984</v>
      </c>
      <c r="L3949" s="282">
        <f>++Tabla4[[#This Row],[Precio Unitario Neto]]-Tabla4[[#This Row],[20.85%]]</f>
        <v>3767.9088389999997</v>
      </c>
      <c r="M3949" s="282" t="e">
        <f>(INDEX(Tabla6[#All],MATCH(Tabla4[[#This Row],[Producto]],Tabla6[[#All],[PRODUCTO]],0),MATCH(Tabla4[[#This Row],[Mes]],Tabla6[#Headers],0)))*(1+Catalogos!$L$2)</f>
        <v>#N/A</v>
      </c>
      <c r="N3949" s="283" t="e">
        <f>+(Tabla4[[#This Row],[Precio Descontado]]-Tabla4[[#This Row],[Precio Base]])*Tabla4[[#This Row],[Cantidad]]</f>
        <v>#N/A</v>
      </c>
      <c r="O3949" s="284" t="e">
        <f>++Tabla4[[#This Row],[Utilidad Total]]/Tabla4[[#This Row],[Total]]</f>
        <v>#N/A</v>
      </c>
      <c r="P3949" s="282">
        <f>++Tabla4[[#This Row],[Precio Descontado]]*Tabla4[[#This Row],[Cantidad]]</f>
        <v>11303.726516999999</v>
      </c>
      <c r="Q3949" s="282" t="e">
        <f>(INDEX(Tabla6[#All],MATCH(Tabla4[[#This Row],[Producto]],Tabla6[[#All],[PRODUCTO]],0),MATCH(Tabla4[[#This Row],[Mes]],Tabla6[#Headers],0)))</f>
        <v>#N/A</v>
      </c>
      <c r="R3949" s="282" t="e">
        <f>++Tabla4[[#This Row],[Precio Unitario Neto]]-Tabla4[[#This Row],[20.85%]]-Tabla4[[#This Row],[Costo]]</f>
        <v>#N/A</v>
      </c>
      <c r="S3949" s="282" t="e">
        <f>++Tabla4[[#This Row],[U. Bruta Uni]]*Tabla4[[#This Row],[Cantidad]]</f>
        <v>#N/A</v>
      </c>
      <c r="T3949" s="369" t="str">
        <f>VLOOKUP(Tabla4[[#This Row],[Producto]],Tabla6[#All],14,FALSE)</f>
        <v>Termico Solar</v>
      </c>
      <c r="U3949" s="284" t="e">
        <f>(IF(Tabla4[[#This Row],[Familia]]="termico solar",Tabla4[[#This Row],[Utilidad Total]]*6%,Tabla4[[#This Row],[Utilidad Total]]*11.5%))/Tabla4[[#This Row],[Total]]</f>
        <v>#N/A</v>
      </c>
      <c r="V3949" s="282" t="e">
        <f>+Tabla4[[#This Row],[Comisión Calculada]]*Tabla4[[#This Row],[Total]]</f>
        <v>#N/A</v>
      </c>
    </row>
    <row r="3950" spans="1:22" hidden="1" x14ac:dyDescent="0.25">
      <c r="A3950" s="100">
        <v>45838</v>
      </c>
      <c r="B3950" t="str">
        <f t="shared" si="187"/>
        <v>June</v>
      </c>
      <c r="C3950" s="46" t="s">
        <v>280</v>
      </c>
      <c r="F3950" s="366" t="s">
        <v>2215</v>
      </c>
      <c r="G3950" s="46" t="s">
        <v>18</v>
      </c>
      <c r="H3950" s="46">
        <v>1</v>
      </c>
      <c r="I3950" s="51">
        <v>5367.65</v>
      </c>
      <c r="J3950" s="281">
        <f>++Tabla4[[#This Row],[Precio Bruto]]*1.16</f>
        <v>6226.4739999999993</v>
      </c>
      <c r="K3950" s="281">
        <f>+Tabla4[[#This Row],[Precio Unitario Neto]]*Tabla4[[#Headers],[20.85%]]</f>
        <v>1298.2198289999999</v>
      </c>
      <c r="L3950" s="282">
        <f>++Tabla4[[#This Row],[Precio Unitario Neto]]-Tabla4[[#This Row],[20.85%]]</f>
        <v>4928.2541709999996</v>
      </c>
      <c r="M3950" s="282" t="e">
        <f>(INDEX(Tabla6[#All],MATCH(Tabla4[[#This Row],[Producto]],Tabla6[[#All],[PRODUCTO]],0),MATCH(Tabla4[[#This Row],[Mes]],Tabla6[#Headers],0)))*(1+Catalogos!$L$2)</f>
        <v>#N/A</v>
      </c>
      <c r="N3950" s="283" t="e">
        <f>+(Tabla4[[#This Row],[Precio Descontado]]-Tabla4[[#This Row],[Precio Base]])*Tabla4[[#This Row],[Cantidad]]</f>
        <v>#N/A</v>
      </c>
      <c r="O3950" s="284" t="e">
        <f>++Tabla4[[#This Row],[Utilidad Total]]/Tabla4[[#This Row],[Total]]</f>
        <v>#N/A</v>
      </c>
      <c r="P3950" s="282">
        <f>++Tabla4[[#This Row],[Precio Descontado]]*Tabla4[[#This Row],[Cantidad]]</f>
        <v>4928.2541709999996</v>
      </c>
      <c r="Q3950" s="282" t="e">
        <f>(INDEX(Tabla6[#All],MATCH(Tabla4[[#This Row],[Producto]],Tabla6[[#All],[PRODUCTO]],0),MATCH(Tabla4[[#This Row],[Mes]],Tabla6[#Headers],0)))</f>
        <v>#N/A</v>
      </c>
      <c r="R3950" s="282" t="e">
        <f>++Tabla4[[#This Row],[Precio Unitario Neto]]-Tabla4[[#This Row],[20.85%]]-Tabla4[[#This Row],[Costo]]</f>
        <v>#N/A</v>
      </c>
      <c r="S3950" s="282" t="e">
        <f>++Tabla4[[#This Row],[U. Bruta Uni]]*Tabla4[[#This Row],[Cantidad]]</f>
        <v>#N/A</v>
      </c>
      <c r="T3950" s="369" t="str">
        <f>VLOOKUP(Tabla4[[#This Row],[Producto]],Tabla6[#All],14,FALSE)</f>
        <v>Termico Solar</v>
      </c>
      <c r="U3950" s="284" t="e">
        <f>(IF(Tabla4[[#This Row],[Familia]]="termico solar",Tabla4[[#This Row],[Utilidad Total]]*6%,Tabla4[[#This Row],[Utilidad Total]]*11.5%))/Tabla4[[#This Row],[Total]]</f>
        <v>#N/A</v>
      </c>
      <c r="V3950" s="282" t="e">
        <f>+Tabla4[[#This Row],[Comisión Calculada]]*Tabla4[[#This Row],[Total]]</f>
        <v>#N/A</v>
      </c>
    </row>
    <row r="3951" spans="1:22" hidden="1" x14ac:dyDescent="0.25">
      <c r="A3951" s="100">
        <v>45838</v>
      </c>
      <c r="B3951" t="str">
        <f t="shared" si="187"/>
        <v>June</v>
      </c>
      <c r="C3951" s="46" t="s">
        <v>280</v>
      </c>
      <c r="F3951" s="366" t="s">
        <v>2215</v>
      </c>
      <c r="G3951" s="46" t="s">
        <v>19</v>
      </c>
      <c r="H3951" s="46">
        <v>1</v>
      </c>
      <c r="I3951" s="51">
        <v>6412.03</v>
      </c>
      <c r="J3951" s="281">
        <f>++Tabla4[[#This Row],[Precio Bruto]]*1.16</f>
        <v>7437.9547999999995</v>
      </c>
      <c r="K3951" s="281">
        <f>+Tabla4[[#This Row],[Precio Unitario Neto]]*Tabla4[[#Headers],[20.85%]]</f>
        <v>1550.8135757999999</v>
      </c>
      <c r="L3951" s="282">
        <f>++Tabla4[[#This Row],[Precio Unitario Neto]]-Tabla4[[#This Row],[20.85%]]</f>
        <v>5887.1412241999997</v>
      </c>
      <c r="M3951" s="282" t="e">
        <f>(INDEX(Tabla6[#All],MATCH(Tabla4[[#This Row],[Producto]],Tabla6[[#All],[PRODUCTO]],0),MATCH(Tabla4[[#This Row],[Mes]],Tabla6[#Headers],0)))*(1+Catalogos!$L$2)</f>
        <v>#N/A</v>
      </c>
      <c r="N3951" s="283" t="e">
        <f>+(Tabla4[[#This Row],[Precio Descontado]]-Tabla4[[#This Row],[Precio Base]])*Tabla4[[#This Row],[Cantidad]]</f>
        <v>#N/A</v>
      </c>
      <c r="O3951" s="284" t="e">
        <f>++Tabla4[[#This Row],[Utilidad Total]]/Tabla4[[#This Row],[Total]]</f>
        <v>#N/A</v>
      </c>
      <c r="P3951" s="282">
        <f>++Tabla4[[#This Row],[Precio Descontado]]*Tabla4[[#This Row],[Cantidad]]</f>
        <v>5887.1412241999997</v>
      </c>
      <c r="Q3951" s="282" t="e">
        <f>(INDEX(Tabla6[#All],MATCH(Tabla4[[#This Row],[Producto]],Tabla6[[#All],[PRODUCTO]],0),MATCH(Tabla4[[#This Row],[Mes]],Tabla6[#Headers],0)))</f>
        <v>#N/A</v>
      </c>
      <c r="R3951" s="282" t="e">
        <f>++Tabla4[[#This Row],[Precio Unitario Neto]]-Tabla4[[#This Row],[20.85%]]-Tabla4[[#This Row],[Costo]]</f>
        <v>#N/A</v>
      </c>
      <c r="S3951" s="282" t="e">
        <f>++Tabla4[[#This Row],[U. Bruta Uni]]*Tabla4[[#This Row],[Cantidad]]</f>
        <v>#N/A</v>
      </c>
      <c r="T3951" s="369" t="str">
        <f>VLOOKUP(Tabla4[[#This Row],[Producto]],Tabla6[#All],14,FALSE)</f>
        <v>Termico Solar</v>
      </c>
      <c r="U3951" s="284" t="e">
        <f>(IF(Tabla4[[#This Row],[Familia]]="termico solar",Tabla4[[#This Row],[Utilidad Total]]*6%,Tabla4[[#This Row],[Utilidad Total]]*11.5%))/Tabla4[[#This Row],[Total]]</f>
        <v>#N/A</v>
      </c>
      <c r="V3951" s="282" t="e">
        <f>+Tabla4[[#This Row],[Comisión Calculada]]*Tabla4[[#This Row],[Total]]</f>
        <v>#N/A</v>
      </c>
    </row>
    <row r="3952" spans="1:22" hidden="1" x14ac:dyDescent="0.25">
      <c r="A3952" s="100">
        <v>45838</v>
      </c>
      <c r="B3952" t="str">
        <f t="shared" si="187"/>
        <v>June</v>
      </c>
      <c r="C3952" s="46" t="s">
        <v>280</v>
      </c>
      <c r="F3952" s="366" t="s">
        <v>2215</v>
      </c>
      <c r="G3952" s="46" t="s">
        <v>566</v>
      </c>
      <c r="H3952" s="46">
        <v>2</v>
      </c>
      <c r="I3952" s="51">
        <v>2109.4499999999998</v>
      </c>
      <c r="J3952" s="281">
        <f>++Tabla4[[#This Row],[Precio Bruto]]*1.16</f>
        <v>2446.9619999999995</v>
      </c>
      <c r="K3952" s="281">
        <f>+Tabla4[[#This Row],[Precio Unitario Neto]]*Tabla4[[#Headers],[20.85%]]</f>
        <v>510.19157699999988</v>
      </c>
      <c r="L3952" s="282">
        <f>++Tabla4[[#This Row],[Precio Unitario Neto]]-Tabla4[[#This Row],[20.85%]]</f>
        <v>1936.7704229999997</v>
      </c>
      <c r="M3952" s="282" t="e">
        <f>(INDEX(Tabla6[#All],MATCH(Tabla4[[#This Row],[Producto]],Tabla6[[#All],[PRODUCTO]],0),MATCH(Tabla4[[#This Row],[Mes]],Tabla6[#Headers],0)))*(1+Catalogos!$L$2)</f>
        <v>#N/A</v>
      </c>
      <c r="N3952" s="283" t="e">
        <f>+(Tabla4[[#This Row],[Precio Descontado]]-Tabla4[[#This Row],[Precio Base]])*Tabla4[[#This Row],[Cantidad]]</f>
        <v>#N/A</v>
      </c>
      <c r="O3952" s="284" t="e">
        <f>++Tabla4[[#This Row],[Utilidad Total]]/Tabla4[[#This Row],[Total]]</f>
        <v>#N/A</v>
      </c>
      <c r="P3952" s="282">
        <f>++Tabla4[[#This Row],[Precio Descontado]]*Tabla4[[#This Row],[Cantidad]]</f>
        <v>3873.5408459999994</v>
      </c>
      <c r="Q3952" s="282" t="e">
        <f>(INDEX(Tabla6[#All],MATCH(Tabla4[[#This Row],[Producto]],Tabla6[[#All],[PRODUCTO]],0),MATCH(Tabla4[[#This Row],[Mes]],Tabla6[#Headers],0)))</f>
        <v>#N/A</v>
      </c>
      <c r="R3952" s="282" t="e">
        <f>++Tabla4[[#This Row],[Precio Unitario Neto]]-Tabla4[[#This Row],[20.85%]]-Tabla4[[#This Row],[Costo]]</f>
        <v>#N/A</v>
      </c>
      <c r="S3952" s="282" t="e">
        <f>++Tabla4[[#This Row],[U. Bruta Uni]]*Tabla4[[#This Row],[Cantidad]]</f>
        <v>#N/A</v>
      </c>
      <c r="T3952" s="369" t="str">
        <f>VLOOKUP(Tabla4[[#This Row],[Producto]],Tabla6[#All],14,FALSE)</f>
        <v>Termico Solar</v>
      </c>
      <c r="U3952" s="284" t="e">
        <f>(IF(Tabla4[[#This Row],[Familia]]="termico solar",Tabla4[[#This Row],[Utilidad Total]]*6%,Tabla4[[#This Row],[Utilidad Total]]*11.5%))/Tabla4[[#This Row],[Total]]</f>
        <v>#N/A</v>
      </c>
      <c r="V3952" s="282" t="e">
        <f>+Tabla4[[#This Row],[Comisión Calculada]]*Tabla4[[#This Row],[Total]]</f>
        <v>#N/A</v>
      </c>
    </row>
    <row r="3953" spans="1:22" hidden="1" x14ac:dyDescent="0.25">
      <c r="A3953" s="100">
        <v>45838</v>
      </c>
      <c r="B3953" t="str">
        <f t="shared" si="187"/>
        <v>June</v>
      </c>
      <c r="C3953" s="46" t="s">
        <v>280</v>
      </c>
      <c r="F3953" s="366" t="s">
        <v>2216</v>
      </c>
      <c r="G3953" s="46" t="s">
        <v>18</v>
      </c>
      <c r="H3953" s="46">
        <v>2</v>
      </c>
      <c r="I3953" s="51">
        <v>5367.65</v>
      </c>
      <c r="J3953" s="281">
        <f>++Tabla4[[#This Row],[Precio Bruto]]*1.16</f>
        <v>6226.4739999999993</v>
      </c>
      <c r="K3953" s="281">
        <f>+Tabla4[[#This Row],[Precio Unitario Neto]]*Tabla4[[#Headers],[20.85%]]</f>
        <v>1298.2198289999999</v>
      </c>
      <c r="L3953" s="282">
        <f>++Tabla4[[#This Row],[Precio Unitario Neto]]-Tabla4[[#This Row],[20.85%]]</f>
        <v>4928.2541709999996</v>
      </c>
      <c r="M3953" s="282" t="e">
        <f>(INDEX(Tabla6[#All],MATCH(Tabla4[[#This Row],[Producto]],Tabla6[[#All],[PRODUCTO]],0),MATCH(Tabla4[[#This Row],[Mes]],Tabla6[#Headers],0)))*(1+Catalogos!$L$2)</f>
        <v>#N/A</v>
      </c>
      <c r="N3953" s="283" t="e">
        <f>+(Tabla4[[#This Row],[Precio Descontado]]-Tabla4[[#This Row],[Precio Base]])*Tabla4[[#This Row],[Cantidad]]</f>
        <v>#N/A</v>
      </c>
      <c r="O3953" s="284" t="e">
        <f>++Tabla4[[#This Row],[Utilidad Total]]/Tabla4[[#This Row],[Total]]</f>
        <v>#N/A</v>
      </c>
      <c r="P3953" s="282">
        <f>++Tabla4[[#This Row],[Precio Descontado]]*Tabla4[[#This Row],[Cantidad]]</f>
        <v>9856.5083419999992</v>
      </c>
      <c r="Q3953" s="282" t="e">
        <f>(INDEX(Tabla6[#All],MATCH(Tabla4[[#This Row],[Producto]],Tabla6[[#All],[PRODUCTO]],0),MATCH(Tabla4[[#This Row],[Mes]],Tabla6[#Headers],0)))</f>
        <v>#N/A</v>
      </c>
      <c r="R3953" s="282" t="e">
        <f>++Tabla4[[#This Row],[Precio Unitario Neto]]-Tabla4[[#This Row],[20.85%]]-Tabla4[[#This Row],[Costo]]</f>
        <v>#N/A</v>
      </c>
      <c r="S3953" s="282" t="e">
        <f>++Tabla4[[#This Row],[U. Bruta Uni]]*Tabla4[[#This Row],[Cantidad]]</f>
        <v>#N/A</v>
      </c>
      <c r="T3953" s="369" t="str">
        <f>VLOOKUP(Tabla4[[#This Row],[Producto]],Tabla6[#All],14,FALSE)</f>
        <v>Termico Solar</v>
      </c>
      <c r="U3953" s="284" t="e">
        <f>(IF(Tabla4[[#This Row],[Familia]]="termico solar",Tabla4[[#This Row],[Utilidad Total]]*6%,Tabla4[[#This Row],[Utilidad Total]]*11.5%))/Tabla4[[#This Row],[Total]]</f>
        <v>#N/A</v>
      </c>
      <c r="V3953" s="282" t="e">
        <f>+Tabla4[[#This Row],[Comisión Calculada]]*Tabla4[[#This Row],[Total]]</f>
        <v>#N/A</v>
      </c>
    </row>
    <row r="3954" spans="1:22" hidden="1" x14ac:dyDescent="0.25">
      <c r="A3954" s="100">
        <v>45838</v>
      </c>
      <c r="B3954" t="str">
        <f t="shared" si="187"/>
        <v>June</v>
      </c>
      <c r="C3954" s="46" t="s">
        <v>280</v>
      </c>
      <c r="F3954" s="366" t="s">
        <v>2216</v>
      </c>
      <c r="G3954" s="46" t="s">
        <v>19</v>
      </c>
      <c r="H3954" s="46">
        <v>2</v>
      </c>
      <c r="I3954" s="51">
        <v>6412.03</v>
      </c>
      <c r="J3954" s="281">
        <f>++Tabla4[[#This Row],[Precio Bruto]]*1.16</f>
        <v>7437.9547999999995</v>
      </c>
      <c r="K3954" s="281">
        <f>+Tabla4[[#This Row],[Precio Unitario Neto]]*Tabla4[[#Headers],[20.85%]]</f>
        <v>1550.8135757999999</v>
      </c>
      <c r="L3954" s="282">
        <f>++Tabla4[[#This Row],[Precio Unitario Neto]]-Tabla4[[#This Row],[20.85%]]</f>
        <v>5887.1412241999997</v>
      </c>
      <c r="M3954" s="282" t="e">
        <f>(INDEX(Tabla6[#All],MATCH(Tabla4[[#This Row],[Producto]],Tabla6[[#All],[PRODUCTO]],0),MATCH(Tabla4[[#This Row],[Mes]],Tabla6[#Headers],0)))*(1+Catalogos!$L$2)</f>
        <v>#N/A</v>
      </c>
      <c r="N3954" s="283" t="e">
        <f>+(Tabla4[[#This Row],[Precio Descontado]]-Tabla4[[#This Row],[Precio Base]])*Tabla4[[#This Row],[Cantidad]]</f>
        <v>#N/A</v>
      </c>
      <c r="O3954" s="284" t="e">
        <f>++Tabla4[[#This Row],[Utilidad Total]]/Tabla4[[#This Row],[Total]]</f>
        <v>#N/A</v>
      </c>
      <c r="P3954" s="282">
        <f>++Tabla4[[#This Row],[Precio Descontado]]*Tabla4[[#This Row],[Cantidad]]</f>
        <v>11774.282448399999</v>
      </c>
      <c r="Q3954" s="282" t="e">
        <f>(INDEX(Tabla6[#All],MATCH(Tabla4[[#This Row],[Producto]],Tabla6[[#All],[PRODUCTO]],0),MATCH(Tabla4[[#This Row],[Mes]],Tabla6[#Headers],0)))</f>
        <v>#N/A</v>
      </c>
      <c r="R3954" s="282" t="e">
        <f>++Tabla4[[#This Row],[Precio Unitario Neto]]-Tabla4[[#This Row],[20.85%]]-Tabla4[[#This Row],[Costo]]</f>
        <v>#N/A</v>
      </c>
      <c r="S3954" s="282" t="e">
        <f>++Tabla4[[#This Row],[U. Bruta Uni]]*Tabla4[[#This Row],[Cantidad]]</f>
        <v>#N/A</v>
      </c>
      <c r="T3954" s="369" t="str">
        <f>VLOOKUP(Tabla4[[#This Row],[Producto]],Tabla6[#All],14,FALSE)</f>
        <v>Termico Solar</v>
      </c>
      <c r="U3954" s="284" t="e">
        <f>(IF(Tabla4[[#This Row],[Familia]]="termico solar",Tabla4[[#This Row],[Utilidad Total]]*6%,Tabla4[[#This Row],[Utilidad Total]]*11.5%))/Tabla4[[#This Row],[Total]]</f>
        <v>#N/A</v>
      </c>
      <c r="V3954" s="282" t="e">
        <f>+Tabla4[[#This Row],[Comisión Calculada]]*Tabla4[[#This Row],[Total]]</f>
        <v>#N/A</v>
      </c>
    </row>
    <row r="3955" spans="1:22" hidden="1" x14ac:dyDescent="0.25">
      <c r="A3955" s="100">
        <v>45838</v>
      </c>
      <c r="B3955" t="str">
        <f t="shared" si="187"/>
        <v>June</v>
      </c>
      <c r="C3955" s="46" t="s">
        <v>280</v>
      </c>
      <c r="F3955" s="366" t="s">
        <v>2216</v>
      </c>
      <c r="G3955" s="46" t="s">
        <v>566</v>
      </c>
      <c r="H3955" s="46">
        <v>1</v>
      </c>
      <c r="I3955" s="51">
        <v>2109.4499999999998</v>
      </c>
      <c r="J3955" s="281">
        <f>++Tabla4[[#This Row],[Precio Bruto]]*1.16</f>
        <v>2446.9619999999995</v>
      </c>
      <c r="K3955" s="281">
        <f>+Tabla4[[#This Row],[Precio Unitario Neto]]*Tabla4[[#Headers],[20.85%]]</f>
        <v>510.19157699999988</v>
      </c>
      <c r="L3955" s="282">
        <f>++Tabla4[[#This Row],[Precio Unitario Neto]]-Tabla4[[#This Row],[20.85%]]</f>
        <v>1936.7704229999997</v>
      </c>
      <c r="M3955" s="282" t="e">
        <f>(INDEX(Tabla6[#All],MATCH(Tabla4[[#This Row],[Producto]],Tabla6[[#All],[PRODUCTO]],0),MATCH(Tabla4[[#This Row],[Mes]],Tabla6[#Headers],0)))*(1+Catalogos!$L$2)</f>
        <v>#N/A</v>
      </c>
      <c r="N3955" s="283" t="e">
        <f>+(Tabla4[[#This Row],[Precio Descontado]]-Tabla4[[#This Row],[Precio Base]])*Tabla4[[#This Row],[Cantidad]]</f>
        <v>#N/A</v>
      </c>
      <c r="O3955" s="284" t="e">
        <f>++Tabla4[[#This Row],[Utilidad Total]]/Tabla4[[#This Row],[Total]]</f>
        <v>#N/A</v>
      </c>
      <c r="P3955" s="282">
        <f>++Tabla4[[#This Row],[Precio Descontado]]*Tabla4[[#This Row],[Cantidad]]</f>
        <v>1936.7704229999997</v>
      </c>
      <c r="Q3955" s="282" t="e">
        <f>(INDEX(Tabla6[#All],MATCH(Tabla4[[#This Row],[Producto]],Tabla6[[#All],[PRODUCTO]],0),MATCH(Tabla4[[#This Row],[Mes]],Tabla6[#Headers],0)))</f>
        <v>#N/A</v>
      </c>
      <c r="R3955" s="282" t="e">
        <f>++Tabla4[[#This Row],[Precio Unitario Neto]]-Tabla4[[#This Row],[20.85%]]-Tabla4[[#This Row],[Costo]]</f>
        <v>#N/A</v>
      </c>
      <c r="S3955" s="282" t="e">
        <f>++Tabla4[[#This Row],[U. Bruta Uni]]*Tabla4[[#This Row],[Cantidad]]</f>
        <v>#N/A</v>
      </c>
      <c r="T3955" s="369" t="str">
        <f>VLOOKUP(Tabla4[[#This Row],[Producto]],Tabla6[#All],14,FALSE)</f>
        <v>Termico Solar</v>
      </c>
      <c r="U3955" s="284" t="e">
        <f>(IF(Tabla4[[#This Row],[Familia]]="termico solar",Tabla4[[#This Row],[Utilidad Total]]*6%,Tabla4[[#This Row],[Utilidad Total]]*11.5%))/Tabla4[[#This Row],[Total]]</f>
        <v>#N/A</v>
      </c>
      <c r="V3955" s="282" t="e">
        <f>+Tabla4[[#This Row],[Comisión Calculada]]*Tabla4[[#This Row],[Total]]</f>
        <v>#N/A</v>
      </c>
    </row>
    <row r="3956" spans="1:22" hidden="1" x14ac:dyDescent="0.25">
      <c r="A3956" s="100">
        <v>45838</v>
      </c>
      <c r="B3956" t="str">
        <f t="shared" si="187"/>
        <v>June</v>
      </c>
      <c r="C3956" s="46" t="s">
        <v>280</v>
      </c>
      <c r="F3956" s="366" t="s">
        <v>2217</v>
      </c>
      <c r="G3956" s="46" t="s">
        <v>19</v>
      </c>
      <c r="H3956" s="46">
        <v>2</v>
      </c>
      <c r="I3956" s="51">
        <v>6412.03</v>
      </c>
      <c r="J3956" s="281">
        <f>++Tabla4[[#This Row],[Precio Bruto]]*1.16</f>
        <v>7437.9547999999995</v>
      </c>
      <c r="K3956" s="281">
        <f>+Tabla4[[#This Row],[Precio Unitario Neto]]*Tabla4[[#Headers],[20.85%]]</f>
        <v>1550.8135757999999</v>
      </c>
      <c r="L3956" s="282">
        <f>++Tabla4[[#This Row],[Precio Unitario Neto]]-Tabla4[[#This Row],[20.85%]]</f>
        <v>5887.1412241999997</v>
      </c>
      <c r="M3956" s="282" t="e">
        <f>(INDEX(Tabla6[#All],MATCH(Tabla4[[#This Row],[Producto]],Tabla6[[#All],[PRODUCTO]],0),MATCH(Tabla4[[#This Row],[Mes]],Tabla6[#Headers],0)))*(1+Catalogos!$L$2)</f>
        <v>#N/A</v>
      </c>
      <c r="N3956" s="283" t="e">
        <f>+(Tabla4[[#This Row],[Precio Descontado]]-Tabla4[[#This Row],[Precio Base]])*Tabla4[[#This Row],[Cantidad]]</f>
        <v>#N/A</v>
      </c>
      <c r="O3956" s="284" t="e">
        <f>++Tabla4[[#This Row],[Utilidad Total]]/Tabla4[[#This Row],[Total]]</f>
        <v>#N/A</v>
      </c>
      <c r="P3956" s="282">
        <f>++Tabla4[[#This Row],[Precio Descontado]]*Tabla4[[#This Row],[Cantidad]]</f>
        <v>11774.282448399999</v>
      </c>
      <c r="Q3956" s="282" t="e">
        <f>(INDEX(Tabla6[#All],MATCH(Tabla4[[#This Row],[Producto]],Tabla6[[#All],[PRODUCTO]],0),MATCH(Tabla4[[#This Row],[Mes]],Tabla6[#Headers],0)))</f>
        <v>#N/A</v>
      </c>
      <c r="R3956" s="282" t="e">
        <f>++Tabla4[[#This Row],[Precio Unitario Neto]]-Tabla4[[#This Row],[20.85%]]-Tabla4[[#This Row],[Costo]]</f>
        <v>#N/A</v>
      </c>
      <c r="S3956" s="282" t="e">
        <f>++Tabla4[[#This Row],[U. Bruta Uni]]*Tabla4[[#This Row],[Cantidad]]</f>
        <v>#N/A</v>
      </c>
      <c r="T3956" s="369" t="str">
        <f>VLOOKUP(Tabla4[[#This Row],[Producto]],Tabla6[#All],14,FALSE)</f>
        <v>Termico Solar</v>
      </c>
      <c r="U3956" s="284" t="e">
        <f>(IF(Tabla4[[#This Row],[Familia]]="termico solar",Tabla4[[#This Row],[Utilidad Total]]*6%,Tabla4[[#This Row],[Utilidad Total]]*11.5%))/Tabla4[[#This Row],[Total]]</f>
        <v>#N/A</v>
      </c>
      <c r="V3956" s="282" t="e">
        <f>+Tabla4[[#This Row],[Comisión Calculada]]*Tabla4[[#This Row],[Total]]</f>
        <v>#N/A</v>
      </c>
    </row>
    <row r="3957" spans="1:22" hidden="1" x14ac:dyDescent="0.25">
      <c r="A3957" s="100">
        <v>45838</v>
      </c>
      <c r="B3957" t="str">
        <f t="shared" si="187"/>
        <v>June</v>
      </c>
      <c r="C3957" s="46" t="s">
        <v>280</v>
      </c>
      <c r="F3957" s="366" t="s">
        <v>2217</v>
      </c>
      <c r="G3957" s="46" t="s">
        <v>566</v>
      </c>
      <c r="H3957" s="46">
        <v>1</v>
      </c>
      <c r="I3957" s="51">
        <v>2109.4499999999998</v>
      </c>
      <c r="J3957" s="281">
        <f>++Tabla4[[#This Row],[Precio Bruto]]*1.16</f>
        <v>2446.9619999999995</v>
      </c>
      <c r="K3957" s="281">
        <f>+Tabla4[[#This Row],[Precio Unitario Neto]]*Tabla4[[#Headers],[20.85%]]</f>
        <v>510.19157699999988</v>
      </c>
      <c r="L3957" s="282">
        <f>++Tabla4[[#This Row],[Precio Unitario Neto]]-Tabla4[[#This Row],[20.85%]]</f>
        <v>1936.7704229999997</v>
      </c>
      <c r="M3957" s="282" t="e">
        <f>(INDEX(Tabla6[#All],MATCH(Tabla4[[#This Row],[Producto]],Tabla6[[#All],[PRODUCTO]],0),MATCH(Tabla4[[#This Row],[Mes]],Tabla6[#Headers],0)))*(1+Catalogos!$L$2)</f>
        <v>#N/A</v>
      </c>
      <c r="N3957" s="283" t="e">
        <f>+(Tabla4[[#This Row],[Precio Descontado]]-Tabla4[[#This Row],[Precio Base]])*Tabla4[[#This Row],[Cantidad]]</f>
        <v>#N/A</v>
      </c>
      <c r="O3957" s="284" t="e">
        <f>++Tabla4[[#This Row],[Utilidad Total]]/Tabla4[[#This Row],[Total]]</f>
        <v>#N/A</v>
      </c>
      <c r="P3957" s="282">
        <f>++Tabla4[[#This Row],[Precio Descontado]]*Tabla4[[#This Row],[Cantidad]]</f>
        <v>1936.7704229999997</v>
      </c>
      <c r="Q3957" s="282" t="e">
        <f>(INDEX(Tabla6[#All],MATCH(Tabla4[[#This Row],[Producto]],Tabla6[[#All],[PRODUCTO]],0),MATCH(Tabla4[[#This Row],[Mes]],Tabla6[#Headers],0)))</f>
        <v>#N/A</v>
      </c>
      <c r="R3957" s="282" t="e">
        <f>++Tabla4[[#This Row],[Precio Unitario Neto]]-Tabla4[[#This Row],[20.85%]]-Tabla4[[#This Row],[Costo]]</f>
        <v>#N/A</v>
      </c>
      <c r="S3957" s="282" t="e">
        <f>++Tabla4[[#This Row],[U. Bruta Uni]]*Tabla4[[#This Row],[Cantidad]]</f>
        <v>#N/A</v>
      </c>
      <c r="T3957" s="369" t="str">
        <f>VLOOKUP(Tabla4[[#This Row],[Producto]],Tabla6[#All],14,FALSE)</f>
        <v>Termico Solar</v>
      </c>
      <c r="U3957" s="284" t="e">
        <f>(IF(Tabla4[[#This Row],[Familia]]="termico solar",Tabla4[[#This Row],[Utilidad Total]]*6%,Tabla4[[#This Row],[Utilidad Total]]*11.5%))/Tabla4[[#This Row],[Total]]</f>
        <v>#N/A</v>
      </c>
      <c r="V3957" s="282" t="e">
        <f>+Tabla4[[#This Row],[Comisión Calculada]]*Tabla4[[#This Row],[Total]]</f>
        <v>#N/A</v>
      </c>
    </row>
    <row r="3958" spans="1:22" hidden="1" x14ac:dyDescent="0.25">
      <c r="A3958" s="100">
        <v>45838</v>
      </c>
      <c r="B3958" t="str">
        <f t="shared" si="187"/>
        <v>June</v>
      </c>
      <c r="C3958" s="46" t="s">
        <v>280</v>
      </c>
      <c r="F3958" s="366" t="s">
        <v>2218</v>
      </c>
      <c r="G3958" s="46" t="s">
        <v>18</v>
      </c>
      <c r="H3958" s="46">
        <v>1</v>
      </c>
      <c r="I3958" s="51">
        <v>5367.65</v>
      </c>
      <c r="J3958" s="281">
        <f>++Tabla4[[#This Row],[Precio Bruto]]*1.16</f>
        <v>6226.4739999999993</v>
      </c>
      <c r="K3958" s="281">
        <f>+Tabla4[[#This Row],[Precio Unitario Neto]]*Tabla4[[#Headers],[20.85%]]</f>
        <v>1298.2198289999999</v>
      </c>
      <c r="L3958" s="282">
        <f>++Tabla4[[#This Row],[Precio Unitario Neto]]-Tabla4[[#This Row],[20.85%]]</f>
        <v>4928.2541709999996</v>
      </c>
      <c r="M3958" s="282" t="e">
        <f>(INDEX(Tabla6[#All],MATCH(Tabla4[[#This Row],[Producto]],Tabla6[[#All],[PRODUCTO]],0),MATCH(Tabla4[[#This Row],[Mes]],Tabla6[#Headers],0)))*(1+Catalogos!$L$2)</f>
        <v>#N/A</v>
      </c>
      <c r="N3958" s="283" t="e">
        <f>+(Tabla4[[#This Row],[Precio Descontado]]-Tabla4[[#This Row],[Precio Base]])*Tabla4[[#This Row],[Cantidad]]</f>
        <v>#N/A</v>
      </c>
      <c r="O3958" s="284" t="e">
        <f>++Tabla4[[#This Row],[Utilidad Total]]/Tabla4[[#This Row],[Total]]</f>
        <v>#N/A</v>
      </c>
      <c r="P3958" s="282">
        <f>++Tabla4[[#This Row],[Precio Descontado]]*Tabla4[[#This Row],[Cantidad]]</f>
        <v>4928.2541709999996</v>
      </c>
      <c r="Q3958" s="282" t="e">
        <f>(INDEX(Tabla6[#All],MATCH(Tabla4[[#This Row],[Producto]],Tabla6[[#All],[PRODUCTO]],0),MATCH(Tabla4[[#This Row],[Mes]],Tabla6[#Headers],0)))</f>
        <v>#N/A</v>
      </c>
      <c r="R3958" s="282" t="e">
        <f>++Tabla4[[#This Row],[Precio Unitario Neto]]-Tabla4[[#This Row],[20.85%]]-Tabla4[[#This Row],[Costo]]</f>
        <v>#N/A</v>
      </c>
      <c r="S3958" s="282" t="e">
        <f>++Tabla4[[#This Row],[U. Bruta Uni]]*Tabla4[[#This Row],[Cantidad]]</f>
        <v>#N/A</v>
      </c>
      <c r="T3958" s="369" t="str">
        <f>VLOOKUP(Tabla4[[#This Row],[Producto]],Tabla6[#All],14,FALSE)</f>
        <v>Termico Solar</v>
      </c>
      <c r="U3958" s="284" t="e">
        <f>(IF(Tabla4[[#This Row],[Familia]]="termico solar",Tabla4[[#This Row],[Utilidad Total]]*6%,Tabla4[[#This Row],[Utilidad Total]]*11.5%))/Tabla4[[#This Row],[Total]]</f>
        <v>#N/A</v>
      </c>
      <c r="V3958" s="282" t="e">
        <f>+Tabla4[[#This Row],[Comisión Calculada]]*Tabla4[[#This Row],[Total]]</f>
        <v>#N/A</v>
      </c>
    </row>
    <row r="3959" spans="1:22" hidden="1" x14ac:dyDescent="0.25">
      <c r="A3959" s="100">
        <v>45838</v>
      </c>
      <c r="B3959" t="str">
        <f t="shared" ref="B3959:B3964" si="188">TEXT(A3959, "mmmm")</f>
        <v>June</v>
      </c>
      <c r="C3959" s="46" t="s">
        <v>280</v>
      </c>
      <c r="F3959" s="366" t="s">
        <v>2219</v>
      </c>
      <c r="G3959" s="46" t="s">
        <v>566</v>
      </c>
      <c r="H3959" s="46">
        <v>1</v>
      </c>
      <c r="I3959" s="51">
        <v>2109.4499999999998</v>
      </c>
      <c r="J3959" s="281">
        <f>++Tabla4[[#This Row],[Precio Bruto]]*1.16</f>
        <v>2446.9619999999995</v>
      </c>
      <c r="K3959" s="281">
        <f>+Tabla4[[#This Row],[Precio Unitario Neto]]*Tabla4[[#Headers],[20.85%]]</f>
        <v>510.19157699999988</v>
      </c>
      <c r="L3959" s="282">
        <f>++Tabla4[[#This Row],[Precio Unitario Neto]]-Tabla4[[#This Row],[20.85%]]</f>
        <v>1936.7704229999997</v>
      </c>
      <c r="M3959" s="282" t="e">
        <f>(INDEX(Tabla6[#All],MATCH(Tabla4[[#This Row],[Producto]],Tabla6[[#All],[PRODUCTO]],0),MATCH(Tabla4[[#This Row],[Mes]],Tabla6[#Headers],0)))*(1+Catalogos!$L$2)</f>
        <v>#N/A</v>
      </c>
      <c r="N3959" s="283" t="e">
        <f>+(Tabla4[[#This Row],[Precio Descontado]]-Tabla4[[#This Row],[Precio Base]])*Tabla4[[#This Row],[Cantidad]]</f>
        <v>#N/A</v>
      </c>
      <c r="O3959" s="284" t="e">
        <f>++Tabla4[[#This Row],[Utilidad Total]]/Tabla4[[#This Row],[Total]]</f>
        <v>#N/A</v>
      </c>
      <c r="P3959" s="282">
        <f>++Tabla4[[#This Row],[Precio Descontado]]*Tabla4[[#This Row],[Cantidad]]</f>
        <v>1936.7704229999997</v>
      </c>
      <c r="Q3959" s="282" t="e">
        <f>(INDEX(Tabla6[#All],MATCH(Tabla4[[#This Row],[Producto]],Tabla6[[#All],[PRODUCTO]],0),MATCH(Tabla4[[#This Row],[Mes]],Tabla6[#Headers],0)))</f>
        <v>#N/A</v>
      </c>
      <c r="R3959" s="282" t="e">
        <f>++Tabla4[[#This Row],[Precio Unitario Neto]]-Tabla4[[#This Row],[20.85%]]-Tabla4[[#This Row],[Costo]]</f>
        <v>#N/A</v>
      </c>
      <c r="S3959" s="282" t="e">
        <f>++Tabla4[[#This Row],[U. Bruta Uni]]*Tabla4[[#This Row],[Cantidad]]</f>
        <v>#N/A</v>
      </c>
      <c r="T3959" s="369" t="str">
        <f>VLOOKUP(Tabla4[[#This Row],[Producto]],Tabla6[#All],14,FALSE)</f>
        <v>Termico Solar</v>
      </c>
      <c r="U3959" s="284" t="e">
        <f>(IF(Tabla4[[#This Row],[Familia]]="termico solar",Tabla4[[#This Row],[Utilidad Total]]*6%,Tabla4[[#This Row],[Utilidad Total]]*11.5%))/Tabla4[[#This Row],[Total]]</f>
        <v>#N/A</v>
      </c>
      <c r="V3959" s="282" t="e">
        <f>+Tabla4[[#This Row],[Comisión Calculada]]*Tabla4[[#This Row],[Total]]</f>
        <v>#N/A</v>
      </c>
    </row>
    <row r="3960" spans="1:22" hidden="1" x14ac:dyDescent="0.25">
      <c r="A3960" s="100">
        <v>45838</v>
      </c>
      <c r="B3960" t="str">
        <f t="shared" si="188"/>
        <v>June</v>
      </c>
      <c r="C3960" s="46" t="s">
        <v>280</v>
      </c>
      <c r="F3960" s="366" t="s">
        <v>2219</v>
      </c>
      <c r="G3960" s="46" t="s">
        <v>16</v>
      </c>
      <c r="H3960" s="46">
        <v>6</v>
      </c>
      <c r="I3960" s="51">
        <v>4103.8499999999995</v>
      </c>
      <c r="J3960" s="281">
        <f>++Tabla4[[#This Row],[Precio Bruto]]*1.16</f>
        <v>4760.4659999999994</v>
      </c>
      <c r="K3960" s="281">
        <f>+Tabla4[[#This Row],[Precio Unitario Neto]]*Tabla4[[#Headers],[20.85%]]</f>
        <v>992.55716099999984</v>
      </c>
      <c r="L3960" s="282">
        <f>++Tabla4[[#This Row],[Precio Unitario Neto]]-Tabla4[[#This Row],[20.85%]]</f>
        <v>3767.9088389999997</v>
      </c>
      <c r="M3960" s="282" t="e">
        <f>(INDEX(Tabla6[#All],MATCH(Tabla4[[#This Row],[Producto]],Tabla6[[#All],[PRODUCTO]],0),MATCH(Tabla4[[#This Row],[Mes]],Tabla6[#Headers],0)))*(1+Catalogos!$L$2)</f>
        <v>#N/A</v>
      </c>
      <c r="N3960" s="283" t="e">
        <f>+(Tabla4[[#This Row],[Precio Descontado]]-Tabla4[[#This Row],[Precio Base]])*Tabla4[[#This Row],[Cantidad]]</f>
        <v>#N/A</v>
      </c>
      <c r="O3960" s="284" t="e">
        <f>++Tabla4[[#This Row],[Utilidad Total]]/Tabla4[[#This Row],[Total]]</f>
        <v>#N/A</v>
      </c>
      <c r="P3960" s="282">
        <f>++Tabla4[[#This Row],[Precio Descontado]]*Tabla4[[#This Row],[Cantidad]]</f>
        <v>22607.453033999998</v>
      </c>
      <c r="Q3960" s="282" t="e">
        <f>(INDEX(Tabla6[#All],MATCH(Tabla4[[#This Row],[Producto]],Tabla6[[#All],[PRODUCTO]],0),MATCH(Tabla4[[#This Row],[Mes]],Tabla6[#Headers],0)))</f>
        <v>#N/A</v>
      </c>
      <c r="R3960" s="282" t="e">
        <f>++Tabla4[[#This Row],[Precio Unitario Neto]]-Tabla4[[#This Row],[20.85%]]-Tabla4[[#This Row],[Costo]]</f>
        <v>#N/A</v>
      </c>
      <c r="S3960" s="282" t="e">
        <f>++Tabla4[[#This Row],[U. Bruta Uni]]*Tabla4[[#This Row],[Cantidad]]</f>
        <v>#N/A</v>
      </c>
      <c r="T3960" s="369" t="str">
        <f>VLOOKUP(Tabla4[[#This Row],[Producto]],Tabla6[#All],14,FALSE)</f>
        <v>Termico Solar</v>
      </c>
      <c r="U3960" s="284" t="e">
        <f>(IF(Tabla4[[#This Row],[Familia]]="termico solar",Tabla4[[#This Row],[Utilidad Total]]*6%,Tabla4[[#This Row],[Utilidad Total]]*11.5%))/Tabla4[[#This Row],[Total]]</f>
        <v>#N/A</v>
      </c>
      <c r="V3960" s="282" t="e">
        <f>+Tabla4[[#This Row],[Comisión Calculada]]*Tabla4[[#This Row],[Total]]</f>
        <v>#N/A</v>
      </c>
    </row>
    <row r="3961" spans="1:22" hidden="1" x14ac:dyDescent="0.25">
      <c r="A3961" s="100">
        <v>45838</v>
      </c>
      <c r="B3961" t="str">
        <f t="shared" si="188"/>
        <v>June</v>
      </c>
      <c r="C3961" s="46" t="s">
        <v>280</v>
      </c>
      <c r="F3961" s="366" t="s">
        <v>2219</v>
      </c>
      <c r="G3961" s="46" t="s">
        <v>200</v>
      </c>
      <c r="H3961" s="46">
        <v>12</v>
      </c>
      <c r="I3961" s="51">
        <v>393.22</v>
      </c>
      <c r="J3961" s="281">
        <f>++Tabla4[[#This Row],[Precio Bruto]]*1.16</f>
        <v>456.1352</v>
      </c>
      <c r="K3961" s="281">
        <f>+Tabla4[[#This Row],[Precio Unitario Neto]]*Tabla4[[#Headers],[20.85%]]</f>
        <v>95.104189199999993</v>
      </c>
      <c r="L3961" s="282">
        <f>++Tabla4[[#This Row],[Precio Unitario Neto]]-Tabla4[[#This Row],[20.85%]]</f>
        <v>361.03101079999999</v>
      </c>
      <c r="M3961" s="282" t="e">
        <f>(INDEX(Tabla6[#All],MATCH(Tabla4[[#This Row],[Producto]],Tabla6[[#All],[PRODUCTO]],0),MATCH(Tabla4[[#This Row],[Mes]],Tabla6[#Headers],0)))*(1+Catalogos!$L$2)</f>
        <v>#N/A</v>
      </c>
      <c r="N3961" s="283" t="e">
        <f>+(Tabla4[[#This Row],[Precio Descontado]]-Tabla4[[#This Row],[Precio Base]])*Tabla4[[#This Row],[Cantidad]]</f>
        <v>#N/A</v>
      </c>
      <c r="O3961" s="284" t="e">
        <f>++Tabla4[[#This Row],[Utilidad Total]]/Tabla4[[#This Row],[Total]]</f>
        <v>#N/A</v>
      </c>
      <c r="P3961" s="282">
        <f>++Tabla4[[#This Row],[Precio Descontado]]*Tabla4[[#This Row],[Cantidad]]</f>
        <v>4332.3721296000003</v>
      </c>
      <c r="Q3961" s="282" t="e">
        <f>(INDEX(Tabla6[#All],MATCH(Tabla4[[#This Row],[Producto]],Tabla6[[#All],[PRODUCTO]],0),MATCH(Tabla4[[#This Row],[Mes]],Tabla6[#Headers],0)))</f>
        <v>#N/A</v>
      </c>
      <c r="R3961" s="282" t="e">
        <f>++Tabla4[[#This Row],[Precio Unitario Neto]]-Tabla4[[#This Row],[20.85%]]-Tabla4[[#This Row],[Costo]]</f>
        <v>#N/A</v>
      </c>
      <c r="S3961" s="282" t="e">
        <f>++Tabla4[[#This Row],[U. Bruta Uni]]*Tabla4[[#This Row],[Cantidad]]</f>
        <v>#N/A</v>
      </c>
      <c r="T3961" s="369" t="str">
        <f>VLOOKUP(Tabla4[[#This Row],[Producto]],Tabla6[#All],14,FALSE)</f>
        <v>Termico Solar</v>
      </c>
      <c r="U3961" s="284" t="e">
        <f>(IF(Tabla4[[#This Row],[Familia]]="termico solar",Tabla4[[#This Row],[Utilidad Total]]*6%,Tabla4[[#This Row],[Utilidad Total]]*11.5%))/Tabla4[[#This Row],[Total]]</f>
        <v>#N/A</v>
      </c>
      <c r="V3961" s="282" t="e">
        <f>+Tabla4[[#This Row],[Comisión Calculada]]*Tabla4[[#This Row],[Total]]</f>
        <v>#N/A</v>
      </c>
    </row>
    <row r="3962" spans="1:22" hidden="1" x14ac:dyDescent="0.25">
      <c r="A3962" s="100">
        <v>45838</v>
      </c>
      <c r="B3962" t="str">
        <f t="shared" si="188"/>
        <v>June</v>
      </c>
      <c r="C3962" s="46" t="s">
        <v>280</v>
      </c>
      <c r="F3962" s="366" t="s">
        <v>2219</v>
      </c>
      <c r="G3962" s="46" t="s">
        <v>545</v>
      </c>
      <c r="H3962" s="46">
        <v>24</v>
      </c>
      <c r="I3962" s="51">
        <v>304.32</v>
      </c>
      <c r="J3962" s="281">
        <f>++Tabla4[[#This Row],[Precio Bruto]]*1.16</f>
        <v>353.01119999999997</v>
      </c>
      <c r="K3962" s="281">
        <f>+Tabla4[[#This Row],[Precio Unitario Neto]]*Tabla4[[#Headers],[20.85%]]</f>
        <v>73.602835199999987</v>
      </c>
      <c r="L3962" s="282">
        <f>++Tabla4[[#This Row],[Precio Unitario Neto]]-Tabla4[[#This Row],[20.85%]]</f>
        <v>279.40836479999996</v>
      </c>
      <c r="M3962" s="282" t="e">
        <f>(INDEX(Tabla6[#All],MATCH(Tabla4[[#This Row],[Producto]],Tabla6[[#All],[PRODUCTO]],0),MATCH(Tabla4[[#This Row],[Mes]],Tabla6[#Headers],0)))*(1+Catalogos!$L$2)</f>
        <v>#N/A</v>
      </c>
      <c r="N3962" s="283" t="e">
        <f>+(Tabla4[[#This Row],[Precio Descontado]]-Tabla4[[#This Row],[Precio Base]])*Tabla4[[#This Row],[Cantidad]]</f>
        <v>#N/A</v>
      </c>
      <c r="O3962" s="284" t="e">
        <f>++Tabla4[[#This Row],[Utilidad Total]]/Tabla4[[#This Row],[Total]]</f>
        <v>#N/A</v>
      </c>
      <c r="P3962" s="282">
        <f>++Tabla4[[#This Row],[Precio Descontado]]*Tabla4[[#This Row],[Cantidad]]</f>
        <v>6705.800755199999</v>
      </c>
      <c r="Q3962" s="282" t="e">
        <f>(INDEX(Tabla6[#All],MATCH(Tabla4[[#This Row],[Producto]],Tabla6[[#All],[PRODUCTO]],0),MATCH(Tabla4[[#This Row],[Mes]],Tabla6[#Headers],0)))</f>
        <v>#N/A</v>
      </c>
      <c r="R3962" s="282" t="e">
        <f>++Tabla4[[#This Row],[Precio Unitario Neto]]-Tabla4[[#This Row],[20.85%]]-Tabla4[[#This Row],[Costo]]</f>
        <v>#N/A</v>
      </c>
      <c r="S3962" s="282" t="e">
        <f>++Tabla4[[#This Row],[U. Bruta Uni]]*Tabla4[[#This Row],[Cantidad]]</f>
        <v>#N/A</v>
      </c>
      <c r="T3962" s="369" t="str">
        <f>VLOOKUP(Tabla4[[#This Row],[Producto]],Tabla6[#All],14,FALSE)</f>
        <v>Termico Solar</v>
      </c>
      <c r="U3962" s="284" t="e">
        <f>(IF(Tabla4[[#This Row],[Familia]]="termico solar",Tabla4[[#This Row],[Utilidad Total]]*6%,Tabla4[[#This Row],[Utilidad Total]]*11.5%))/Tabla4[[#This Row],[Total]]</f>
        <v>#N/A</v>
      </c>
      <c r="V3962" s="282" t="e">
        <f>+Tabla4[[#This Row],[Comisión Calculada]]*Tabla4[[#This Row],[Total]]</f>
        <v>#N/A</v>
      </c>
    </row>
    <row r="3963" spans="1:22" hidden="1" x14ac:dyDescent="0.25">
      <c r="A3963" s="100">
        <v>45838</v>
      </c>
      <c r="B3963" t="str">
        <f t="shared" si="188"/>
        <v>June</v>
      </c>
      <c r="C3963" s="46" t="s">
        <v>280</v>
      </c>
      <c r="F3963" s="366" t="s">
        <v>2219</v>
      </c>
      <c r="G3963" s="46" t="s">
        <v>208</v>
      </c>
      <c r="H3963" s="46">
        <v>1</v>
      </c>
      <c r="I3963" s="51">
        <v>189.75</v>
      </c>
      <c r="J3963" s="281">
        <f>++Tabla4[[#This Row],[Precio Bruto]]*1.16</f>
        <v>220.10999999999999</v>
      </c>
      <c r="K3963" s="281">
        <f>+Tabla4[[#This Row],[Precio Unitario Neto]]*Tabla4[[#Headers],[20.85%]]</f>
        <v>45.892934999999994</v>
      </c>
      <c r="L3963" s="282">
        <f>++Tabla4[[#This Row],[Precio Unitario Neto]]-Tabla4[[#This Row],[20.85%]]</f>
        <v>174.21706499999999</v>
      </c>
      <c r="M3963" s="282" t="e">
        <f>(INDEX(Tabla6[#All],MATCH(Tabla4[[#This Row],[Producto]],Tabla6[[#All],[PRODUCTO]],0),MATCH(Tabla4[[#This Row],[Mes]],Tabla6[#Headers],0)))*(1+Catalogos!$L$2)</f>
        <v>#N/A</v>
      </c>
      <c r="N3963" s="283" t="e">
        <f>+(Tabla4[[#This Row],[Precio Descontado]]-Tabla4[[#This Row],[Precio Base]])*Tabla4[[#This Row],[Cantidad]]</f>
        <v>#N/A</v>
      </c>
      <c r="O3963" s="284" t="e">
        <f>++Tabla4[[#This Row],[Utilidad Total]]/Tabla4[[#This Row],[Total]]</f>
        <v>#N/A</v>
      </c>
      <c r="P3963" s="282">
        <f>++Tabla4[[#This Row],[Precio Descontado]]*Tabla4[[#This Row],[Cantidad]]</f>
        <v>174.21706499999999</v>
      </c>
      <c r="Q3963" s="282" t="e">
        <f>(INDEX(Tabla6[#All],MATCH(Tabla4[[#This Row],[Producto]],Tabla6[[#All],[PRODUCTO]],0),MATCH(Tabla4[[#This Row],[Mes]],Tabla6[#Headers],0)))</f>
        <v>#N/A</v>
      </c>
      <c r="R3963" s="282" t="e">
        <f>++Tabla4[[#This Row],[Precio Unitario Neto]]-Tabla4[[#This Row],[20.85%]]-Tabla4[[#This Row],[Costo]]</f>
        <v>#N/A</v>
      </c>
      <c r="S3963" s="282" t="e">
        <f>++Tabla4[[#This Row],[U. Bruta Uni]]*Tabla4[[#This Row],[Cantidad]]</f>
        <v>#N/A</v>
      </c>
      <c r="T3963" s="369" t="str">
        <f>VLOOKUP(Tabla4[[#This Row],[Producto]],Tabla6[#All],14,FALSE)</f>
        <v>Termico Solar</v>
      </c>
      <c r="U3963" s="284" t="e">
        <f>(IF(Tabla4[[#This Row],[Familia]]="termico solar",Tabla4[[#This Row],[Utilidad Total]]*6%,Tabla4[[#This Row],[Utilidad Total]]*11.5%))/Tabla4[[#This Row],[Total]]</f>
        <v>#N/A</v>
      </c>
      <c r="V3963" s="282" t="e">
        <f>+Tabla4[[#This Row],[Comisión Calculada]]*Tabla4[[#This Row],[Total]]</f>
        <v>#N/A</v>
      </c>
    </row>
    <row r="3964" spans="1:22" hidden="1" x14ac:dyDescent="0.25">
      <c r="A3964" s="100">
        <v>45838</v>
      </c>
      <c r="B3964" t="str">
        <f t="shared" si="188"/>
        <v>June</v>
      </c>
      <c r="C3964" s="46" t="s">
        <v>280</v>
      </c>
      <c r="F3964" s="366" t="s">
        <v>2219</v>
      </c>
      <c r="G3964" s="46" t="s">
        <v>209</v>
      </c>
      <c r="H3964" s="46">
        <v>2</v>
      </c>
      <c r="I3964" s="51">
        <v>347.48</v>
      </c>
      <c r="J3964" s="281">
        <f>++Tabla4[[#This Row],[Precio Bruto]]*1.16</f>
        <v>403.07679999999999</v>
      </c>
      <c r="K3964" s="281">
        <f>+Tabla4[[#This Row],[Precio Unitario Neto]]*Tabla4[[#Headers],[20.85%]]</f>
        <v>84.041512799999992</v>
      </c>
      <c r="L3964" s="282">
        <f>++Tabla4[[#This Row],[Precio Unitario Neto]]-Tabla4[[#This Row],[20.85%]]</f>
        <v>319.03528719999997</v>
      </c>
      <c r="M3964" s="282" t="e">
        <f>(INDEX(Tabla6[#All],MATCH(Tabla4[[#This Row],[Producto]],Tabla6[[#All],[PRODUCTO]],0),MATCH(Tabla4[[#This Row],[Mes]],Tabla6[#Headers],0)))*(1+Catalogos!$L$2)</f>
        <v>#N/A</v>
      </c>
      <c r="N3964" s="283" t="e">
        <f>+(Tabla4[[#This Row],[Precio Descontado]]-Tabla4[[#This Row],[Precio Base]])*Tabla4[[#This Row],[Cantidad]]</f>
        <v>#N/A</v>
      </c>
      <c r="O3964" s="284" t="e">
        <f>++Tabla4[[#This Row],[Utilidad Total]]/Tabla4[[#This Row],[Total]]</f>
        <v>#N/A</v>
      </c>
      <c r="P3964" s="282">
        <f>++Tabla4[[#This Row],[Precio Descontado]]*Tabla4[[#This Row],[Cantidad]]</f>
        <v>638.07057439999994</v>
      </c>
      <c r="Q3964" s="282" t="e">
        <f>(INDEX(Tabla6[#All],MATCH(Tabla4[[#This Row],[Producto]],Tabla6[[#All],[PRODUCTO]],0),MATCH(Tabla4[[#This Row],[Mes]],Tabla6[#Headers],0)))</f>
        <v>#N/A</v>
      </c>
      <c r="R3964" s="282" t="e">
        <f>++Tabla4[[#This Row],[Precio Unitario Neto]]-Tabla4[[#This Row],[20.85%]]-Tabla4[[#This Row],[Costo]]</f>
        <v>#N/A</v>
      </c>
      <c r="S3964" s="282" t="e">
        <f>++Tabla4[[#This Row],[U. Bruta Uni]]*Tabla4[[#This Row],[Cantidad]]</f>
        <v>#N/A</v>
      </c>
      <c r="T3964" s="369" t="str">
        <f>VLOOKUP(Tabla4[[#This Row],[Producto]],Tabla6[#All],14,FALSE)</f>
        <v>Termico Solar</v>
      </c>
      <c r="U3964" s="284" t="e">
        <f>(IF(Tabla4[[#This Row],[Familia]]="termico solar",Tabla4[[#This Row],[Utilidad Total]]*6%,Tabla4[[#This Row],[Utilidad Total]]*11.5%))/Tabla4[[#This Row],[Total]]</f>
        <v>#N/A</v>
      </c>
      <c r="V3964" s="282" t="e">
        <f>+Tabla4[[#This Row],[Comisión Calculada]]*Tabla4[[#This Row],[Total]]</f>
        <v>#N/A</v>
      </c>
    </row>
    <row r="3965" spans="1:22" hidden="1" x14ac:dyDescent="0.25">
      <c r="A3965" s="100">
        <v>45838</v>
      </c>
      <c r="B3965" t="str">
        <f t="shared" ref="B3965:B3971" si="189">TEXT(A3965, "mmmm")</f>
        <v>June</v>
      </c>
      <c r="C3965" s="46" t="s">
        <v>280</v>
      </c>
      <c r="F3965" s="366" t="s">
        <v>2220</v>
      </c>
      <c r="G3965" s="46" t="s">
        <v>17</v>
      </c>
      <c r="H3965" s="46">
        <v>5</v>
      </c>
      <c r="I3965" s="51">
        <v>4622.2800000000007</v>
      </c>
      <c r="J3965" s="281">
        <f>++Tabla4[[#This Row],[Precio Bruto]]*1.16</f>
        <v>5361.8448000000008</v>
      </c>
      <c r="K3965" s="281">
        <f>+Tabla4[[#This Row],[Precio Unitario Neto]]*Tabla4[[#Headers],[20.85%]]</f>
        <v>1117.9446408000001</v>
      </c>
      <c r="L3965" s="282">
        <f>++Tabla4[[#This Row],[Precio Unitario Neto]]-Tabla4[[#This Row],[20.85%]]</f>
        <v>4243.9001592000004</v>
      </c>
      <c r="M3965" s="282" t="e">
        <f>(INDEX(Tabla6[#All],MATCH(Tabla4[[#This Row],[Producto]],Tabla6[[#All],[PRODUCTO]],0),MATCH(Tabla4[[#This Row],[Mes]],Tabla6[#Headers],0)))*(1+Catalogos!$L$2)</f>
        <v>#N/A</v>
      </c>
      <c r="N3965" s="283" t="e">
        <f>+(Tabla4[[#This Row],[Precio Descontado]]-Tabla4[[#This Row],[Precio Base]])*Tabla4[[#This Row],[Cantidad]]</f>
        <v>#N/A</v>
      </c>
      <c r="O3965" s="284" t="e">
        <f>++Tabla4[[#This Row],[Utilidad Total]]/Tabla4[[#This Row],[Total]]</f>
        <v>#N/A</v>
      </c>
      <c r="P3965" s="282">
        <f>++Tabla4[[#This Row],[Precio Descontado]]*Tabla4[[#This Row],[Cantidad]]</f>
        <v>21219.500796</v>
      </c>
      <c r="Q3965" s="282" t="e">
        <f>(INDEX(Tabla6[#All],MATCH(Tabla4[[#This Row],[Producto]],Tabla6[[#All],[PRODUCTO]],0),MATCH(Tabla4[[#This Row],[Mes]],Tabla6[#Headers],0)))</f>
        <v>#N/A</v>
      </c>
      <c r="R3965" s="282" t="e">
        <f>++Tabla4[[#This Row],[Precio Unitario Neto]]-Tabla4[[#This Row],[20.85%]]-Tabla4[[#This Row],[Costo]]</f>
        <v>#N/A</v>
      </c>
      <c r="S3965" s="282" t="e">
        <f>++Tabla4[[#This Row],[U. Bruta Uni]]*Tabla4[[#This Row],[Cantidad]]</f>
        <v>#N/A</v>
      </c>
      <c r="T3965" s="369" t="str">
        <f>VLOOKUP(Tabla4[[#This Row],[Producto]],Tabla6[#All],14,FALSE)</f>
        <v>Termico Solar</v>
      </c>
      <c r="U3965" s="284" t="e">
        <f>(IF(Tabla4[[#This Row],[Familia]]="termico solar",Tabla4[[#This Row],[Utilidad Total]]*6%,Tabla4[[#This Row],[Utilidad Total]]*11.5%))/Tabla4[[#This Row],[Total]]</f>
        <v>#N/A</v>
      </c>
      <c r="V3965" s="282" t="e">
        <f>+Tabla4[[#This Row],[Comisión Calculada]]*Tabla4[[#This Row],[Total]]</f>
        <v>#N/A</v>
      </c>
    </row>
    <row r="3966" spans="1:22" hidden="1" x14ac:dyDescent="0.25">
      <c r="A3966" s="100">
        <v>45838</v>
      </c>
      <c r="B3966" t="str">
        <f t="shared" si="189"/>
        <v>June</v>
      </c>
      <c r="C3966" s="46" t="s">
        <v>280</v>
      </c>
      <c r="F3966" s="366" t="s">
        <v>2220</v>
      </c>
      <c r="G3966" s="46" t="s">
        <v>18</v>
      </c>
      <c r="H3966" s="46">
        <v>2</v>
      </c>
      <c r="I3966" s="51">
        <v>5367.65</v>
      </c>
      <c r="J3966" s="281">
        <f>++Tabla4[[#This Row],[Precio Bruto]]*1.16</f>
        <v>6226.4739999999993</v>
      </c>
      <c r="K3966" s="281">
        <f>+Tabla4[[#This Row],[Precio Unitario Neto]]*Tabla4[[#Headers],[20.85%]]</f>
        <v>1298.2198289999999</v>
      </c>
      <c r="L3966" s="282">
        <f>++Tabla4[[#This Row],[Precio Unitario Neto]]-Tabla4[[#This Row],[20.85%]]</f>
        <v>4928.2541709999996</v>
      </c>
      <c r="M3966" s="282" t="e">
        <f>(INDEX(Tabla6[#All],MATCH(Tabla4[[#This Row],[Producto]],Tabla6[[#All],[PRODUCTO]],0),MATCH(Tabla4[[#This Row],[Mes]],Tabla6[#Headers],0)))*(1+Catalogos!$L$2)</f>
        <v>#N/A</v>
      </c>
      <c r="N3966" s="283" t="e">
        <f>+(Tabla4[[#This Row],[Precio Descontado]]-Tabla4[[#This Row],[Precio Base]])*Tabla4[[#This Row],[Cantidad]]</f>
        <v>#N/A</v>
      </c>
      <c r="O3966" s="284" t="e">
        <f>++Tabla4[[#This Row],[Utilidad Total]]/Tabla4[[#This Row],[Total]]</f>
        <v>#N/A</v>
      </c>
      <c r="P3966" s="282">
        <f>++Tabla4[[#This Row],[Precio Descontado]]*Tabla4[[#This Row],[Cantidad]]</f>
        <v>9856.5083419999992</v>
      </c>
      <c r="Q3966" s="282" t="e">
        <f>(INDEX(Tabla6[#All],MATCH(Tabla4[[#This Row],[Producto]],Tabla6[[#All],[PRODUCTO]],0),MATCH(Tabla4[[#This Row],[Mes]],Tabla6[#Headers],0)))</f>
        <v>#N/A</v>
      </c>
      <c r="R3966" s="282" t="e">
        <f>++Tabla4[[#This Row],[Precio Unitario Neto]]-Tabla4[[#This Row],[20.85%]]-Tabla4[[#This Row],[Costo]]</f>
        <v>#N/A</v>
      </c>
      <c r="S3966" s="282" t="e">
        <f>++Tabla4[[#This Row],[U. Bruta Uni]]*Tabla4[[#This Row],[Cantidad]]</f>
        <v>#N/A</v>
      </c>
      <c r="T3966" s="369" t="str">
        <f>VLOOKUP(Tabla4[[#This Row],[Producto]],Tabla6[#All],14,FALSE)</f>
        <v>Termico Solar</v>
      </c>
      <c r="U3966" s="284" t="e">
        <f>(IF(Tabla4[[#This Row],[Familia]]="termico solar",Tabla4[[#This Row],[Utilidad Total]]*6%,Tabla4[[#This Row],[Utilidad Total]]*11.5%))/Tabla4[[#This Row],[Total]]</f>
        <v>#N/A</v>
      </c>
      <c r="V3966" s="282" t="e">
        <f>+Tabla4[[#This Row],[Comisión Calculada]]*Tabla4[[#This Row],[Total]]</f>
        <v>#N/A</v>
      </c>
    </row>
    <row r="3967" spans="1:22" hidden="1" x14ac:dyDescent="0.25">
      <c r="A3967" s="100">
        <v>45838</v>
      </c>
      <c r="B3967" t="str">
        <f t="shared" si="189"/>
        <v>June</v>
      </c>
      <c r="C3967" s="46" t="s">
        <v>280</v>
      </c>
      <c r="F3967" s="366" t="s">
        <v>2220</v>
      </c>
      <c r="G3967" s="46" t="s">
        <v>566</v>
      </c>
      <c r="H3967" s="46">
        <v>2</v>
      </c>
      <c r="I3967" s="51">
        <v>2109.4499999999998</v>
      </c>
      <c r="J3967" s="281">
        <f>++Tabla4[[#This Row],[Precio Bruto]]*1.16</f>
        <v>2446.9619999999995</v>
      </c>
      <c r="K3967" s="281">
        <f>+Tabla4[[#This Row],[Precio Unitario Neto]]*Tabla4[[#Headers],[20.85%]]</f>
        <v>510.19157699999988</v>
      </c>
      <c r="L3967" s="282">
        <f>++Tabla4[[#This Row],[Precio Unitario Neto]]-Tabla4[[#This Row],[20.85%]]</f>
        <v>1936.7704229999997</v>
      </c>
      <c r="M3967" s="282" t="e">
        <f>(INDEX(Tabla6[#All],MATCH(Tabla4[[#This Row],[Producto]],Tabla6[[#All],[PRODUCTO]],0),MATCH(Tabla4[[#This Row],[Mes]],Tabla6[#Headers],0)))*(1+Catalogos!$L$2)</f>
        <v>#N/A</v>
      </c>
      <c r="N3967" s="283" t="e">
        <f>+(Tabla4[[#This Row],[Precio Descontado]]-Tabla4[[#This Row],[Precio Base]])*Tabla4[[#This Row],[Cantidad]]</f>
        <v>#N/A</v>
      </c>
      <c r="O3967" s="284" t="e">
        <f>++Tabla4[[#This Row],[Utilidad Total]]/Tabla4[[#This Row],[Total]]</f>
        <v>#N/A</v>
      </c>
      <c r="P3967" s="282">
        <f>++Tabla4[[#This Row],[Precio Descontado]]*Tabla4[[#This Row],[Cantidad]]</f>
        <v>3873.5408459999994</v>
      </c>
      <c r="Q3967" s="282" t="e">
        <f>(INDEX(Tabla6[#All],MATCH(Tabla4[[#This Row],[Producto]],Tabla6[[#All],[PRODUCTO]],0),MATCH(Tabla4[[#This Row],[Mes]],Tabla6[#Headers],0)))</f>
        <v>#N/A</v>
      </c>
      <c r="R3967" s="282" t="e">
        <f>++Tabla4[[#This Row],[Precio Unitario Neto]]-Tabla4[[#This Row],[20.85%]]-Tabla4[[#This Row],[Costo]]</f>
        <v>#N/A</v>
      </c>
      <c r="S3967" s="282" t="e">
        <f>++Tabla4[[#This Row],[U. Bruta Uni]]*Tabla4[[#This Row],[Cantidad]]</f>
        <v>#N/A</v>
      </c>
      <c r="T3967" s="369" t="str">
        <f>VLOOKUP(Tabla4[[#This Row],[Producto]],Tabla6[#All],14,FALSE)</f>
        <v>Termico Solar</v>
      </c>
      <c r="U3967" s="284" t="e">
        <f>(IF(Tabla4[[#This Row],[Familia]]="termico solar",Tabla4[[#This Row],[Utilidad Total]]*6%,Tabla4[[#This Row],[Utilidad Total]]*11.5%))/Tabla4[[#This Row],[Total]]</f>
        <v>#N/A</v>
      </c>
      <c r="V3967" s="282" t="e">
        <f>+Tabla4[[#This Row],[Comisión Calculada]]*Tabla4[[#This Row],[Total]]</f>
        <v>#N/A</v>
      </c>
    </row>
    <row r="3968" spans="1:22" hidden="1" x14ac:dyDescent="0.25">
      <c r="A3968" s="100">
        <v>45838</v>
      </c>
      <c r="B3968" t="str">
        <f t="shared" si="189"/>
        <v>June</v>
      </c>
      <c r="C3968" s="46" t="s">
        <v>280</v>
      </c>
      <c r="F3968" s="366" t="s">
        <v>2220</v>
      </c>
      <c r="G3968" s="46" t="s">
        <v>16</v>
      </c>
      <c r="H3968" s="46">
        <v>1</v>
      </c>
      <c r="I3968" s="51">
        <v>4103.8500000000004</v>
      </c>
      <c r="J3968" s="281">
        <f>++Tabla4[[#This Row],[Precio Bruto]]*1.16</f>
        <v>4760.4660000000003</v>
      </c>
      <c r="K3968" s="281">
        <f>+Tabla4[[#This Row],[Precio Unitario Neto]]*Tabla4[[#Headers],[20.85%]]</f>
        <v>992.55716100000006</v>
      </c>
      <c r="L3968" s="282">
        <f>++Tabla4[[#This Row],[Precio Unitario Neto]]-Tabla4[[#This Row],[20.85%]]</f>
        <v>3767.9088390000002</v>
      </c>
      <c r="M3968" s="282" t="e">
        <f>(INDEX(Tabla6[#All],MATCH(Tabla4[[#This Row],[Producto]],Tabla6[[#All],[PRODUCTO]],0),MATCH(Tabla4[[#This Row],[Mes]],Tabla6[#Headers],0)))*(1+Catalogos!$L$2)</f>
        <v>#N/A</v>
      </c>
      <c r="N3968" s="283" t="e">
        <f>+(Tabla4[[#This Row],[Precio Descontado]]-Tabla4[[#This Row],[Precio Base]])*Tabla4[[#This Row],[Cantidad]]</f>
        <v>#N/A</v>
      </c>
      <c r="O3968" s="284" t="e">
        <f>++Tabla4[[#This Row],[Utilidad Total]]/Tabla4[[#This Row],[Total]]</f>
        <v>#N/A</v>
      </c>
      <c r="P3968" s="282">
        <f>++Tabla4[[#This Row],[Precio Descontado]]*Tabla4[[#This Row],[Cantidad]]</f>
        <v>3767.9088390000002</v>
      </c>
      <c r="Q3968" s="282" t="e">
        <f>(INDEX(Tabla6[#All],MATCH(Tabla4[[#This Row],[Producto]],Tabla6[[#All],[PRODUCTO]],0),MATCH(Tabla4[[#This Row],[Mes]],Tabla6[#Headers],0)))</f>
        <v>#N/A</v>
      </c>
      <c r="R3968" s="282" t="e">
        <f>++Tabla4[[#This Row],[Precio Unitario Neto]]-Tabla4[[#This Row],[20.85%]]-Tabla4[[#This Row],[Costo]]</f>
        <v>#N/A</v>
      </c>
      <c r="S3968" s="282" t="e">
        <f>++Tabla4[[#This Row],[U. Bruta Uni]]*Tabla4[[#This Row],[Cantidad]]</f>
        <v>#N/A</v>
      </c>
      <c r="T3968" s="369" t="str">
        <f>VLOOKUP(Tabla4[[#This Row],[Producto]],Tabla6[#All],14,FALSE)</f>
        <v>Termico Solar</v>
      </c>
      <c r="U3968" s="284" t="e">
        <f>(IF(Tabla4[[#This Row],[Familia]]="termico solar",Tabla4[[#This Row],[Utilidad Total]]*6%,Tabla4[[#This Row],[Utilidad Total]]*11.5%))/Tabla4[[#This Row],[Total]]</f>
        <v>#N/A</v>
      </c>
      <c r="V3968" s="282" t="e">
        <f>+Tabla4[[#This Row],[Comisión Calculada]]*Tabla4[[#This Row],[Total]]</f>
        <v>#N/A</v>
      </c>
    </row>
    <row r="3969" spans="1:22" hidden="1" x14ac:dyDescent="0.25">
      <c r="A3969" s="100">
        <v>45838</v>
      </c>
      <c r="B3969" t="str">
        <f t="shared" si="189"/>
        <v>June</v>
      </c>
      <c r="C3969" s="46" t="s">
        <v>280</v>
      </c>
      <c r="F3969" s="366" t="s">
        <v>2220</v>
      </c>
      <c r="G3969" s="46" t="s">
        <v>200</v>
      </c>
      <c r="H3969" s="46">
        <v>12</v>
      </c>
      <c r="I3969" s="51">
        <v>393.22</v>
      </c>
      <c r="J3969" s="281">
        <f>++Tabla4[[#This Row],[Precio Bruto]]*1.16</f>
        <v>456.1352</v>
      </c>
      <c r="K3969" s="281">
        <f>+Tabla4[[#This Row],[Precio Unitario Neto]]*Tabla4[[#Headers],[20.85%]]</f>
        <v>95.104189199999993</v>
      </c>
      <c r="L3969" s="282">
        <f>++Tabla4[[#This Row],[Precio Unitario Neto]]-Tabla4[[#This Row],[20.85%]]</f>
        <v>361.03101079999999</v>
      </c>
      <c r="M3969" s="282" t="e">
        <f>(INDEX(Tabla6[#All],MATCH(Tabla4[[#This Row],[Producto]],Tabla6[[#All],[PRODUCTO]],0),MATCH(Tabla4[[#This Row],[Mes]],Tabla6[#Headers],0)))*(1+Catalogos!$L$2)</f>
        <v>#N/A</v>
      </c>
      <c r="N3969" s="283" t="e">
        <f>+(Tabla4[[#This Row],[Precio Descontado]]-Tabla4[[#This Row],[Precio Base]])*Tabla4[[#This Row],[Cantidad]]</f>
        <v>#N/A</v>
      </c>
      <c r="O3969" s="284" t="e">
        <f>++Tabla4[[#This Row],[Utilidad Total]]/Tabla4[[#This Row],[Total]]</f>
        <v>#N/A</v>
      </c>
      <c r="P3969" s="282">
        <f>++Tabla4[[#This Row],[Precio Descontado]]*Tabla4[[#This Row],[Cantidad]]</f>
        <v>4332.3721296000003</v>
      </c>
      <c r="Q3969" s="282" t="e">
        <f>(INDEX(Tabla6[#All],MATCH(Tabla4[[#This Row],[Producto]],Tabla6[[#All],[PRODUCTO]],0),MATCH(Tabla4[[#This Row],[Mes]],Tabla6[#Headers],0)))</f>
        <v>#N/A</v>
      </c>
      <c r="R3969" s="282" t="e">
        <f>++Tabla4[[#This Row],[Precio Unitario Neto]]-Tabla4[[#This Row],[20.85%]]-Tabla4[[#This Row],[Costo]]</f>
        <v>#N/A</v>
      </c>
      <c r="S3969" s="282" t="e">
        <f>++Tabla4[[#This Row],[U. Bruta Uni]]*Tabla4[[#This Row],[Cantidad]]</f>
        <v>#N/A</v>
      </c>
      <c r="T3969" s="369" t="str">
        <f>VLOOKUP(Tabla4[[#This Row],[Producto]],Tabla6[#All],14,FALSE)</f>
        <v>Termico Solar</v>
      </c>
      <c r="U3969" s="284" t="e">
        <f>(IF(Tabla4[[#This Row],[Familia]]="termico solar",Tabla4[[#This Row],[Utilidad Total]]*6%,Tabla4[[#This Row],[Utilidad Total]]*11.5%))/Tabla4[[#This Row],[Total]]</f>
        <v>#N/A</v>
      </c>
      <c r="V3969" s="282" t="e">
        <f>+Tabla4[[#This Row],[Comisión Calculada]]*Tabla4[[#This Row],[Total]]</f>
        <v>#N/A</v>
      </c>
    </row>
    <row r="3970" spans="1:22" hidden="1" x14ac:dyDescent="0.25">
      <c r="A3970" s="100">
        <v>45838</v>
      </c>
      <c r="B3970" t="str">
        <f t="shared" si="189"/>
        <v>June</v>
      </c>
      <c r="C3970" s="46" t="s">
        <v>280</v>
      </c>
      <c r="F3970" s="366" t="s">
        <v>2220</v>
      </c>
      <c r="G3970" s="46" t="s">
        <v>545</v>
      </c>
      <c r="H3970" s="46">
        <v>24</v>
      </c>
      <c r="I3970" s="51">
        <v>304.32</v>
      </c>
      <c r="J3970" s="281">
        <f>++Tabla4[[#This Row],[Precio Bruto]]*1.16</f>
        <v>353.01119999999997</v>
      </c>
      <c r="K3970" s="281">
        <f>+Tabla4[[#This Row],[Precio Unitario Neto]]*Tabla4[[#Headers],[20.85%]]</f>
        <v>73.602835199999987</v>
      </c>
      <c r="L3970" s="282">
        <f>++Tabla4[[#This Row],[Precio Unitario Neto]]-Tabla4[[#This Row],[20.85%]]</f>
        <v>279.40836479999996</v>
      </c>
      <c r="M3970" s="282" t="e">
        <f>(INDEX(Tabla6[#All],MATCH(Tabla4[[#This Row],[Producto]],Tabla6[[#All],[PRODUCTO]],0),MATCH(Tabla4[[#This Row],[Mes]],Tabla6[#Headers],0)))*(1+Catalogos!$L$2)</f>
        <v>#N/A</v>
      </c>
      <c r="N3970" s="283" t="e">
        <f>+(Tabla4[[#This Row],[Precio Descontado]]-Tabla4[[#This Row],[Precio Base]])*Tabla4[[#This Row],[Cantidad]]</f>
        <v>#N/A</v>
      </c>
      <c r="O3970" s="284" t="e">
        <f>++Tabla4[[#This Row],[Utilidad Total]]/Tabla4[[#This Row],[Total]]</f>
        <v>#N/A</v>
      </c>
      <c r="P3970" s="282">
        <f>++Tabla4[[#This Row],[Precio Descontado]]*Tabla4[[#This Row],[Cantidad]]</f>
        <v>6705.800755199999</v>
      </c>
      <c r="Q3970" s="282" t="e">
        <f>(INDEX(Tabla6[#All],MATCH(Tabla4[[#This Row],[Producto]],Tabla6[[#All],[PRODUCTO]],0),MATCH(Tabla4[[#This Row],[Mes]],Tabla6[#Headers],0)))</f>
        <v>#N/A</v>
      </c>
      <c r="R3970" s="282" t="e">
        <f>++Tabla4[[#This Row],[Precio Unitario Neto]]-Tabla4[[#This Row],[20.85%]]-Tabla4[[#This Row],[Costo]]</f>
        <v>#N/A</v>
      </c>
      <c r="S3970" s="282" t="e">
        <f>++Tabla4[[#This Row],[U. Bruta Uni]]*Tabla4[[#This Row],[Cantidad]]</f>
        <v>#N/A</v>
      </c>
      <c r="T3970" s="369" t="str">
        <f>VLOOKUP(Tabla4[[#This Row],[Producto]],Tabla6[#All],14,FALSE)</f>
        <v>Termico Solar</v>
      </c>
      <c r="U3970" s="284" t="e">
        <f>(IF(Tabla4[[#This Row],[Familia]]="termico solar",Tabla4[[#This Row],[Utilidad Total]]*6%,Tabla4[[#This Row],[Utilidad Total]]*11.5%))/Tabla4[[#This Row],[Total]]</f>
        <v>#N/A</v>
      </c>
      <c r="V3970" s="282" t="e">
        <f>+Tabla4[[#This Row],[Comisión Calculada]]*Tabla4[[#This Row],[Total]]</f>
        <v>#N/A</v>
      </c>
    </row>
    <row r="3971" spans="1:22" hidden="1" x14ac:dyDescent="0.25">
      <c r="A3971" s="100">
        <v>45838</v>
      </c>
      <c r="B3971" t="str">
        <f t="shared" si="189"/>
        <v>June</v>
      </c>
      <c r="C3971" s="46" t="s">
        <v>280</v>
      </c>
      <c r="F3971" s="366" t="s">
        <v>2220</v>
      </c>
      <c r="G3971" s="46" t="s">
        <v>209</v>
      </c>
      <c r="H3971" s="46">
        <v>2</v>
      </c>
      <c r="I3971" s="51">
        <v>347.48</v>
      </c>
      <c r="J3971" s="281">
        <f>++Tabla4[[#This Row],[Precio Bruto]]*1.16</f>
        <v>403.07679999999999</v>
      </c>
      <c r="K3971" s="281">
        <f>+Tabla4[[#This Row],[Precio Unitario Neto]]*Tabla4[[#Headers],[20.85%]]</f>
        <v>84.041512799999992</v>
      </c>
      <c r="L3971" s="282">
        <f>++Tabla4[[#This Row],[Precio Unitario Neto]]-Tabla4[[#This Row],[20.85%]]</f>
        <v>319.03528719999997</v>
      </c>
      <c r="M3971" s="282" t="e">
        <f>(INDEX(Tabla6[#All],MATCH(Tabla4[[#This Row],[Producto]],Tabla6[[#All],[PRODUCTO]],0),MATCH(Tabla4[[#This Row],[Mes]],Tabla6[#Headers],0)))*(1+Catalogos!$L$2)</f>
        <v>#N/A</v>
      </c>
      <c r="N3971" s="283" t="e">
        <f>+(Tabla4[[#This Row],[Precio Descontado]]-Tabla4[[#This Row],[Precio Base]])*Tabla4[[#This Row],[Cantidad]]</f>
        <v>#N/A</v>
      </c>
      <c r="O3971" s="284" t="e">
        <f>++Tabla4[[#This Row],[Utilidad Total]]/Tabla4[[#This Row],[Total]]</f>
        <v>#N/A</v>
      </c>
      <c r="P3971" s="282">
        <f>++Tabla4[[#This Row],[Precio Descontado]]*Tabla4[[#This Row],[Cantidad]]</f>
        <v>638.07057439999994</v>
      </c>
      <c r="Q3971" s="282" t="e">
        <f>(INDEX(Tabla6[#All],MATCH(Tabla4[[#This Row],[Producto]],Tabla6[[#All],[PRODUCTO]],0),MATCH(Tabla4[[#This Row],[Mes]],Tabla6[#Headers],0)))</f>
        <v>#N/A</v>
      </c>
      <c r="R3971" s="282" t="e">
        <f>++Tabla4[[#This Row],[Precio Unitario Neto]]-Tabla4[[#This Row],[20.85%]]-Tabla4[[#This Row],[Costo]]</f>
        <v>#N/A</v>
      </c>
      <c r="S3971" s="282" t="e">
        <f>++Tabla4[[#This Row],[U. Bruta Uni]]*Tabla4[[#This Row],[Cantidad]]</f>
        <v>#N/A</v>
      </c>
      <c r="T3971" s="369" t="str">
        <f>VLOOKUP(Tabla4[[#This Row],[Producto]],Tabla6[#All],14,FALSE)</f>
        <v>Termico Solar</v>
      </c>
      <c r="U3971" s="284" t="e">
        <f>(IF(Tabla4[[#This Row],[Familia]]="termico solar",Tabla4[[#This Row],[Utilidad Total]]*6%,Tabla4[[#This Row],[Utilidad Total]]*11.5%))/Tabla4[[#This Row],[Total]]</f>
        <v>#N/A</v>
      </c>
      <c r="V3971" s="282" t="e">
        <f>+Tabla4[[#This Row],[Comisión Calculada]]*Tabla4[[#This Row],[Total]]</f>
        <v>#N/A</v>
      </c>
    </row>
    <row r="3972" spans="1:22" hidden="1" x14ac:dyDescent="0.25">
      <c r="A3972" s="100">
        <v>45838</v>
      </c>
      <c r="B3972" t="str">
        <f t="shared" ref="B3972:B3980" si="190">TEXT(A3972, "mmmm")</f>
        <v>June</v>
      </c>
      <c r="C3972" s="46" t="s">
        <v>280</v>
      </c>
      <c r="F3972" s="366" t="s">
        <v>2221</v>
      </c>
      <c r="G3972" s="46" t="s">
        <v>18</v>
      </c>
      <c r="H3972" s="46">
        <v>2</v>
      </c>
      <c r="I3972" s="51">
        <v>5367.65</v>
      </c>
      <c r="J3972" s="281">
        <f>++Tabla4[[#This Row],[Precio Bruto]]*1.16</f>
        <v>6226.4739999999993</v>
      </c>
      <c r="K3972" s="281">
        <f>+Tabla4[[#This Row],[Precio Unitario Neto]]*Tabla4[[#Headers],[20.85%]]</f>
        <v>1298.2198289999999</v>
      </c>
      <c r="L3972" s="282">
        <f>++Tabla4[[#This Row],[Precio Unitario Neto]]-Tabla4[[#This Row],[20.85%]]</f>
        <v>4928.2541709999996</v>
      </c>
      <c r="M3972" s="282" t="e">
        <f>(INDEX(Tabla6[#All],MATCH(Tabla4[[#This Row],[Producto]],Tabla6[[#All],[PRODUCTO]],0),MATCH(Tabla4[[#This Row],[Mes]],Tabla6[#Headers],0)))*(1+Catalogos!$L$2)</f>
        <v>#N/A</v>
      </c>
      <c r="N3972" s="283" t="e">
        <f>+(Tabla4[[#This Row],[Precio Descontado]]-Tabla4[[#This Row],[Precio Base]])*Tabla4[[#This Row],[Cantidad]]</f>
        <v>#N/A</v>
      </c>
      <c r="O3972" s="284" t="e">
        <f>++Tabla4[[#This Row],[Utilidad Total]]/Tabla4[[#This Row],[Total]]</f>
        <v>#N/A</v>
      </c>
      <c r="P3972" s="282">
        <f>++Tabla4[[#This Row],[Precio Descontado]]*Tabla4[[#This Row],[Cantidad]]</f>
        <v>9856.5083419999992</v>
      </c>
      <c r="Q3972" s="282" t="e">
        <f>(INDEX(Tabla6[#All],MATCH(Tabla4[[#This Row],[Producto]],Tabla6[[#All],[PRODUCTO]],0),MATCH(Tabla4[[#This Row],[Mes]],Tabla6[#Headers],0)))</f>
        <v>#N/A</v>
      </c>
      <c r="R3972" s="282" t="e">
        <f>++Tabla4[[#This Row],[Precio Unitario Neto]]-Tabla4[[#This Row],[20.85%]]-Tabla4[[#This Row],[Costo]]</f>
        <v>#N/A</v>
      </c>
      <c r="S3972" s="282" t="e">
        <f>++Tabla4[[#This Row],[U. Bruta Uni]]*Tabla4[[#This Row],[Cantidad]]</f>
        <v>#N/A</v>
      </c>
      <c r="T3972" s="369" t="str">
        <f>VLOOKUP(Tabla4[[#This Row],[Producto]],Tabla6[#All],14,FALSE)</f>
        <v>Termico Solar</v>
      </c>
      <c r="U3972" s="284" t="e">
        <f>(IF(Tabla4[[#This Row],[Familia]]="termico solar",Tabla4[[#This Row],[Utilidad Total]]*6%,Tabla4[[#This Row],[Utilidad Total]]*11.5%))/Tabla4[[#This Row],[Total]]</f>
        <v>#N/A</v>
      </c>
      <c r="V3972" s="282" t="e">
        <f>+Tabla4[[#This Row],[Comisión Calculada]]*Tabla4[[#This Row],[Total]]</f>
        <v>#N/A</v>
      </c>
    </row>
    <row r="3973" spans="1:22" hidden="1" x14ac:dyDescent="0.25">
      <c r="A3973" s="100">
        <v>45838</v>
      </c>
      <c r="B3973" t="str">
        <f t="shared" si="190"/>
        <v>June</v>
      </c>
      <c r="C3973" s="46" t="s">
        <v>280</v>
      </c>
      <c r="F3973" s="366" t="s">
        <v>2221</v>
      </c>
      <c r="G3973" s="46" t="s">
        <v>200</v>
      </c>
      <c r="H3973" s="46">
        <v>12</v>
      </c>
      <c r="I3973" s="51">
        <v>393.22</v>
      </c>
      <c r="J3973" s="281">
        <f>++Tabla4[[#This Row],[Precio Bruto]]*1.16</f>
        <v>456.1352</v>
      </c>
      <c r="K3973" s="281">
        <f>+Tabla4[[#This Row],[Precio Unitario Neto]]*Tabla4[[#Headers],[20.85%]]</f>
        <v>95.104189199999993</v>
      </c>
      <c r="L3973" s="282">
        <f>++Tabla4[[#This Row],[Precio Unitario Neto]]-Tabla4[[#This Row],[20.85%]]</f>
        <v>361.03101079999999</v>
      </c>
      <c r="M3973" s="282" t="e">
        <f>(INDEX(Tabla6[#All],MATCH(Tabla4[[#This Row],[Producto]],Tabla6[[#All],[PRODUCTO]],0),MATCH(Tabla4[[#This Row],[Mes]],Tabla6[#Headers],0)))*(1+Catalogos!$L$2)</f>
        <v>#N/A</v>
      </c>
      <c r="N3973" s="283" t="e">
        <f>+(Tabla4[[#This Row],[Precio Descontado]]-Tabla4[[#This Row],[Precio Base]])*Tabla4[[#This Row],[Cantidad]]</f>
        <v>#N/A</v>
      </c>
      <c r="O3973" s="284" t="e">
        <f>++Tabla4[[#This Row],[Utilidad Total]]/Tabla4[[#This Row],[Total]]</f>
        <v>#N/A</v>
      </c>
      <c r="P3973" s="282">
        <f>++Tabla4[[#This Row],[Precio Descontado]]*Tabla4[[#This Row],[Cantidad]]</f>
        <v>4332.3721296000003</v>
      </c>
      <c r="Q3973" s="282" t="e">
        <f>(INDEX(Tabla6[#All],MATCH(Tabla4[[#This Row],[Producto]],Tabla6[[#All],[PRODUCTO]],0),MATCH(Tabla4[[#This Row],[Mes]],Tabla6[#Headers],0)))</f>
        <v>#N/A</v>
      </c>
      <c r="R3973" s="282" t="e">
        <f>++Tabla4[[#This Row],[Precio Unitario Neto]]-Tabla4[[#This Row],[20.85%]]-Tabla4[[#This Row],[Costo]]</f>
        <v>#N/A</v>
      </c>
      <c r="S3973" s="282" t="e">
        <f>++Tabla4[[#This Row],[U. Bruta Uni]]*Tabla4[[#This Row],[Cantidad]]</f>
        <v>#N/A</v>
      </c>
      <c r="T3973" s="369" t="str">
        <f>VLOOKUP(Tabla4[[#This Row],[Producto]],Tabla6[#All],14,FALSE)</f>
        <v>Termico Solar</v>
      </c>
      <c r="U3973" s="284" t="e">
        <f>(IF(Tabla4[[#This Row],[Familia]]="termico solar",Tabla4[[#This Row],[Utilidad Total]]*6%,Tabla4[[#This Row],[Utilidad Total]]*11.5%))/Tabla4[[#This Row],[Total]]</f>
        <v>#N/A</v>
      </c>
      <c r="V3973" s="282" t="e">
        <f>+Tabla4[[#This Row],[Comisión Calculada]]*Tabla4[[#This Row],[Total]]</f>
        <v>#N/A</v>
      </c>
    </row>
    <row r="3974" spans="1:22" hidden="1" x14ac:dyDescent="0.25">
      <c r="A3974" s="100">
        <v>45838</v>
      </c>
      <c r="B3974" t="str">
        <f t="shared" si="190"/>
        <v>June</v>
      </c>
      <c r="C3974" s="46" t="s">
        <v>280</v>
      </c>
      <c r="F3974" s="366" t="s">
        <v>2221</v>
      </c>
      <c r="G3974" s="46" t="s">
        <v>545</v>
      </c>
      <c r="H3974" s="46">
        <v>24</v>
      </c>
      <c r="I3974" s="51">
        <v>304.32</v>
      </c>
      <c r="J3974" s="281">
        <f>++Tabla4[[#This Row],[Precio Bruto]]*1.16</f>
        <v>353.01119999999997</v>
      </c>
      <c r="K3974" s="281">
        <f>+Tabla4[[#This Row],[Precio Unitario Neto]]*Tabla4[[#Headers],[20.85%]]</f>
        <v>73.602835199999987</v>
      </c>
      <c r="L3974" s="282">
        <f>++Tabla4[[#This Row],[Precio Unitario Neto]]-Tabla4[[#This Row],[20.85%]]</f>
        <v>279.40836479999996</v>
      </c>
      <c r="M3974" s="282" t="e">
        <f>(INDEX(Tabla6[#All],MATCH(Tabla4[[#This Row],[Producto]],Tabla6[[#All],[PRODUCTO]],0),MATCH(Tabla4[[#This Row],[Mes]],Tabla6[#Headers],0)))*(1+Catalogos!$L$2)</f>
        <v>#N/A</v>
      </c>
      <c r="N3974" s="283" t="e">
        <f>+(Tabla4[[#This Row],[Precio Descontado]]-Tabla4[[#This Row],[Precio Base]])*Tabla4[[#This Row],[Cantidad]]</f>
        <v>#N/A</v>
      </c>
      <c r="O3974" s="284" t="e">
        <f>++Tabla4[[#This Row],[Utilidad Total]]/Tabla4[[#This Row],[Total]]</f>
        <v>#N/A</v>
      </c>
      <c r="P3974" s="282">
        <f>++Tabla4[[#This Row],[Precio Descontado]]*Tabla4[[#This Row],[Cantidad]]</f>
        <v>6705.800755199999</v>
      </c>
      <c r="Q3974" s="282" t="e">
        <f>(INDEX(Tabla6[#All],MATCH(Tabla4[[#This Row],[Producto]],Tabla6[[#All],[PRODUCTO]],0),MATCH(Tabla4[[#This Row],[Mes]],Tabla6[#Headers],0)))</f>
        <v>#N/A</v>
      </c>
      <c r="R3974" s="282" t="e">
        <f>++Tabla4[[#This Row],[Precio Unitario Neto]]-Tabla4[[#This Row],[20.85%]]-Tabla4[[#This Row],[Costo]]</f>
        <v>#N/A</v>
      </c>
      <c r="S3974" s="282" t="e">
        <f>++Tabla4[[#This Row],[U. Bruta Uni]]*Tabla4[[#This Row],[Cantidad]]</f>
        <v>#N/A</v>
      </c>
      <c r="T3974" s="369" t="str">
        <f>VLOOKUP(Tabla4[[#This Row],[Producto]],Tabla6[#All],14,FALSE)</f>
        <v>Termico Solar</v>
      </c>
      <c r="U3974" s="284" t="e">
        <f>(IF(Tabla4[[#This Row],[Familia]]="termico solar",Tabla4[[#This Row],[Utilidad Total]]*6%,Tabla4[[#This Row],[Utilidad Total]]*11.5%))/Tabla4[[#This Row],[Total]]</f>
        <v>#N/A</v>
      </c>
      <c r="V3974" s="282" t="e">
        <f>+Tabla4[[#This Row],[Comisión Calculada]]*Tabla4[[#This Row],[Total]]</f>
        <v>#N/A</v>
      </c>
    </row>
    <row r="3975" spans="1:22" hidden="1" x14ac:dyDescent="0.25">
      <c r="A3975" s="100">
        <v>45838</v>
      </c>
      <c r="B3975" t="str">
        <f t="shared" si="190"/>
        <v>June</v>
      </c>
      <c r="C3975" s="46" t="s">
        <v>280</v>
      </c>
      <c r="F3975" s="366" t="s">
        <v>2221</v>
      </c>
      <c r="G3975" s="46" t="s">
        <v>208</v>
      </c>
      <c r="H3975" s="46">
        <v>1</v>
      </c>
      <c r="I3975" s="51">
        <v>189.75</v>
      </c>
      <c r="J3975" s="281">
        <f>++Tabla4[[#This Row],[Precio Bruto]]*1.16</f>
        <v>220.10999999999999</v>
      </c>
      <c r="K3975" s="281">
        <f>+Tabla4[[#This Row],[Precio Unitario Neto]]*Tabla4[[#Headers],[20.85%]]</f>
        <v>45.892934999999994</v>
      </c>
      <c r="L3975" s="282">
        <f>++Tabla4[[#This Row],[Precio Unitario Neto]]-Tabla4[[#This Row],[20.85%]]</f>
        <v>174.21706499999999</v>
      </c>
      <c r="M3975" s="282" t="e">
        <f>(INDEX(Tabla6[#All],MATCH(Tabla4[[#This Row],[Producto]],Tabla6[[#All],[PRODUCTO]],0),MATCH(Tabla4[[#This Row],[Mes]],Tabla6[#Headers],0)))*(1+Catalogos!$L$2)</f>
        <v>#N/A</v>
      </c>
      <c r="N3975" s="283" t="e">
        <f>+(Tabla4[[#This Row],[Precio Descontado]]-Tabla4[[#This Row],[Precio Base]])*Tabla4[[#This Row],[Cantidad]]</f>
        <v>#N/A</v>
      </c>
      <c r="O3975" s="284" t="e">
        <f>++Tabla4[[#This Row],[Utilidad Total]]/Tabla4[[#This Row],[Total]]</f>
        <v>#N/A</v>
      </c>
      <c r="P3975" s="282">
        <f>++Tabla4[[#This Row],[Precio Descontado]]*Tabla4[[#This Row],[Cantidad]]</f>
        <v>174.21706499999999</v>
      </c>
      <c r="Q3975" s="282" t="e">
        <f>(INDEX(Tabla6[#All],MATCH(Tabla4[[#This Row],[Producto]],Tabla6[[#All],[PRODUCTO]],0),MATCH(Tabla4[[#This Row],[Mes]],Tabla6[#Headers],0)))</f>
        <v>#N/A</v>
      </c>
      <c r="R3975" s="282" t="e">
        <f>++Tabla4[[#This Row],[Precio Unitario Neto]]-Tabla4[[#This Row],[20.85%]]-Tabla4[[#This Row],[Costo]]</f>
        <v>#N/A</v>
      </c>
      <c r="S3975" s="282" t="e">
        <f>++Tabla4[[#This Row],[U. Bruta Uni]]*Tabla4[[#This Row],[Cantidad]]</f>
        <v>#N/A</v>
      </c>
      <c r="T3975" s="369" t="str">
        <f>VLOOKUP(Tabla4[[#This Row],[Producto]],Tabla6[#All],14,FALSE)</f>
        <v>Termico Solar</v>
      </c>
      <c r="U3975" s="284" t="e">
        <f>(IF(Tabla4[[#This Row],[Familia]]="termico solar",Tabla4[[#This Row],[Utilidad Total]]*6%,Tabla4[[#This Row],[Utilidad Total]]*11.5%))/Tabla4[[#This Row],[Total]]</f>
        <v>#N/A</v>
      </c>
      <c r="V3975" s="282" t="e">
        <f>+Tabla4[[#This Row],[Comisión Calculada]]*Tabla4[[#This Row],[Total]]</f>
        <v>#N/A</v>
      </c>
    </row>
    <row r="3976" spans="1:22" hidden="1" x14ac:dyDescent="0.25">
      <c r="A3976" s="100">
        <v>45838</v>
      </c>
      <c r="B3976" t="str">
        <f t="shared" si="190"/>
        <v>June</v>
      </c>
      <c r="C3976" s="46" t="s">
        <v>280</v>
      </c>
      <c r="F3976" s="366" t="s">
        <v>2221</v>
      </c>
      <c r="G3976" s="46" t="s">
        <v>209</v>
      </c>
      <c r="H3976" s="46">
        <v>2</v>
      </c>
      <c r="I3976" s="51">
        <v>347.48</v>
      </c>
      <c r="J3976" s="281">
        <f>++Tabla4[[#This Row],[Precio Bruto]]*1.16</f>
        <v>403.07679999999999</v>
      </c>
      <c r="K3976" s="281">
        <f>+Tabla4[[#This Row],[Precio Unitario Neto]]*Tabla4[[#Headers],[20.85%]]</f>
        <v>84.041512799999992</v>
      </c>
      <c r="L3976" s="282">
        <f>++Tabla4[[#This Row],[Precio Unitario Neto]]-Tabla4[[#This Row],[20.85%]]</f>
        <v>319.03528719999997</v>
      </c>
      <c r="M3976" s="282" t="e">
        <f>(INDEX(Tabla6[#All],MATCH(Tabla4[[#This Row],[Producto]],Tabla6[[#All],[PRODUCTO]],0),MATCH(Tabla4[[#This Row],[Mes]],Tabla6[#Headers],0)))*(1+Catalogos!$L$2)</f>
        <v>#N/A</v>
      </c>
      <c r="N3976" s="283" t="e">
        <f>+(Tabla4[[#This Row],[Precio Descontado]]-Tabla4[[#This Row],[Precio Base]])*Tabla4[[#This Row],[Cantidad]]</f>
        <v>#N/A</v>
      </c>
      <c r="O3976" s="284" t="e">
        <f>++Tabla4[[#This Row],[Utilidad Total]]/Tabla4[[#This Row],[Total]]</f>
        <v>#N/A</v>
      </c>
      <c r="P3976" s="282">
        <f>++Tabla4[[#This Row],[Precio Descontado]]*Tabla4[[#This Row],[Cantidad]]</f>
        <v>638.07057439999994</v>
      </c>
      <c r="Q3976" s="282" t="e">
        <f>(INDEX(Tabla6[#All],MATCH(Tabla4[[#This Row],[Producto]],Tabla6[[#All],[PRODUCTO]],0),MATCH(Tabla4[[#This Row],[Mes]],Tabla6[#Headers],0)))</f>
        <v>#N/A</v>
      </c>
      <c r="R3976" s="282" t="e">
        <f>++Tabla4[[#This Row],[Precio Unitario Neto]]-Tabla4[[#This Row],[20.85%]]-Tabla4[[#This Row],[Costo]]</f>
        <v>#N/A</v>
      </c>
      <c r="S3976" s="282" t="e">
        <f>++Tabla4[[#This Row],[U. Bruta Uni]]*Tabla4[[#This Row],[Cantidad]]</f>
        <v>#N/A</v>
      </c>
      <c r="T3976" s="369" t="str">
        <f>VLOOKUP(Tabla4[[#This Row],[Producto]],Tabla6[#All],14,FALSE)</f>
        <v>Termico Solar</v>
      </c>
      <c r="U3976" s="284" t="e">
        <f>(IF(Tabla4[[#This Row],[Familia]]="termico solar",Tabla4[[#This Row],[Utilidad Total]]*6%,Tabla4[[#This Row],[Utilidad Total]]*11.5%))/Tabla4[[#This Row],[Total]]</f>
        <v>#N/A</v>
      </c>
      <c r="V3976" s="282" t="e">
        <f>+Tabla4[[#This Row],[Comisión Calculada]]*Tabla4[[#This Row],[Total]]</f>
        <v>#N/A</v>
      </c>
    </row>
    <row r="3977" spans="1:22" hidden="1" x14ac:dyDescent="0.25">
      <c r="A3977" s="100">
        <v>45838</v>
      </c>
      <c r="B3977" t="str">
        <f t="shared" si="190"/>
        <v>June</v>
      </c>
      <c r="C3977" s="46" t="s">
        <v>280</v>
      </c>
      <c r="F3977" s="366" t="s">
        <v>2222</v>
      </c>
      <c r="G3977" s="46" t="s">
        <v>83</v>
      </c>
      <c r="H3977" s="46">
        <v>2</v>
      </c>
      <c r="I3977" s="51">
        <v>8858.76</v>
      </c>
      <c r="J3977" s="281">
        <f>++Tabla4[[#This Row],[Precio Bruto]]*1.16</f>
        <v>10276.161599999999</v>
      </c>
      <c r="K3977" s="281">
        <f>+Tabla4[[#This Row],[Precio Unitario Neto]]*Tabla4[[#Headers],[20.85%]]</f>
        <v>2142.5796935999997</v>
      </c>
      <c r="L3977" s="282">
        <f>++Tabla4[[#This Row],[Precio Unitario Neto]]-Tabla4[[#This Row],[20.85%]]</f>
        <v>8133.5819063999998</v>
      </c>
      <c r="M3977" s="282" t="e">
        <f>(INDEX(Tabla6[#All],MATCH(Tabla4[[#This Row],[Producto]],Tabla6[[#All],[PRODUCTO]],0),MATCH(Tabla4[[#This Row],[Mes]],Tabla6[#Headers],0)))*(1+Catalogos!$L$2)</f>
        <v>#N/A</v>
      </c>
      <c r="N3977" s="283" t="e">
        <f>+(Tabla4[[#This Row],[Precio Descontado]]-Tabla4[[#This Row],[Precio Base]])*Tabla4[[#This Row],[Cantidad]]</f>
        <v>#N/A</v>
      </c>
      <c r="O3977" s="284" t="e">
        <f>++Tabla4[[#This Row],[Utilidad Total]]/Tabla4[[#This Row],[Total]]</f>
        <v>#N/A</v>
      </c>
      <c r="P3977" s="282">
        <f>++Tabla4[[#This Row],[Precio Descontado]]*Tabla4[[#This Row],[Cantidad]]</f>
        <v>16267.1638128</v>
      </c>
      <c r="Q3977" s="282" t="e">
        <f>(INDEX(Tabla6[#All],MATCH(Tabla4[[#This Row],[Producto]],Tabla6[[#All],[PRODUCTO]],0),MATCH(Tabla4[[#This Row],[Mes]],Tabla6[#Headers],0)))</f>
        <v>#N/A</v>
      </c>
      <c r="R3977" s="282" t="e">
        <f>++Tabla4[[#This Row],[Precio Unitario Neto]]-Tabla4[[#This Row],[20.85%]]-Tabla4[[#This Row],[Costo]]</f>
        <v>#N/A</v>
      </c>
      <c r="S3977" s="282" t="e">
        <f>++Tabla4[[#This Row],[U. Bruta Uni]]*Tabla4[[#This Row],[Cantidad]]</f>
        <v>#N/A</v>
      </c>
      <c r="T3977" s="369" t="str">
        <f>VLOOKUP(Tabla4[[#This Row],[Producto]],Tabla6[#All],14,FALSE)</f>
        <v>Termico Solar</v>
      </c>
      <c r="U3977" s="284" t="e">
        <f>(IF(Tabla4[[#This Row],[Familia]]="termico solar",Tabla4[[#This Row],[Utilidad Total]]*6%,Tabla4[[#This Row],[Utilidad Total]]*11.5%))/Tabla4[[#This Row],[Total]]</f>
        <v>#N/A</v>
      </c>
      <c r="V3977" s="282" t="e">
        <f>+Tabla4[[#This Row],[Comisión Calculada]]*Tabla4[[#This Row],[Total]]</f>
        <v>#N/A</v>
      </c>
    </row>
    <row r="3978" spans="1:22" hidden="1" x14ac:dyDescent="0.25">
      <c r="A3978" s="100">
        <v>45838</v>
      </c>
      <c r="B3978" t="str">
        <f t="shared" si="190"/>
        <v>June</v>
      </c>
      <c r="C3978" s="46" t="s">
        <v>280</v>
      </c>
      <c r="F3978" s="366" t="s">
        <v>2222</v>
      </c>
      <c r="G3978" s="46" t="s">
        <v>200</v>
      </c>
      <c r="H3978" s="46">
        <v>12</v>
      </c>
      <c r="I3978" s="51">
        <v>393.22</v>
      </c>
      <c r="J3978" s="281">
        <f>++Tabla4[[#This Row],[Precio Bruto]]*1.16</f>
        <v>456.1352</v>
      </c>
      <c r="K3978" s="281">
        <f>+Tabla4[[#This Row],[Precio Unitario Neto]]*Tabla4[[#Headers],[20.85%]]</f>
        <v>95.104189199999993</v>
      </c>
      <c r="L3978" s="282">
        <f>++Tabla4[[#This Row],[Precio Unitario Neto]]-Tabla4[[#This Row],[20.85%]]</f>
        <v>361.03101079999999</v>
      </c>
      <c r="M3978" s="282" t="e">
        <f>(INDEX(Tabla6[#All],MATCH(Tabla4[[#This Row],[Producto]],Tabla6[[#All],[PRODUCTO]],0),MATCH(Tabla4[[#This Row],[Mes]],Tabla6[#Headers],0)))*(1+Catalogos!$L$2)</f>
        <v>#N/A</v>
      </c>
      <c r="N3978" s="283" t="e">
        <f>+(Tabla4[[#This Row],[Precio Descontado]]-Tabla4[[#This Row],[Precio Base]])*Tabla4[[#This Row],[Cantidad]]</f>
        <v>#N/A</v>
      </c>
      <c r="O3978" s="284" t="e">
        <f>++Tabla4[[#This Row],[Utilidad Total]]/Tabla4[[#This Row],[Total]]</f>
        <v>#N/A</v>
      </c>
      <c r="P3978" s="282">
        <f>++Tabla4[[#This Row],[Precio Descontado]]*Tabla4[[#This Row],[Cantidad]]</f>
        <v>4332.3721296000003</v>
      </c>
      <c r="Q3978" s="282" t="e">
        <f>(INDEX(Tabla6[#All],MATCH(Tabla4[[#This Row],[Producto]],Tabla6[[#All],[PRODUCTO]],0),MATCH(Tabla4[[#This Row],[Mes]],Tabla6[#Headers],0)))</f>
        <v>#N/A</v>
      </c>
      <c r="R3978" s="282" t="e">
        <f>++Tabla4[[#This Row],[Precio Unitario Neto]]-Tabla4[[#This Row],[20.85%]]-Tabla4[[#This Row],[Costo]]</f>
        <v>#N/A</v>
      </c>
      <c r="S3978" s="282" t="e">
        <f>++Tabla4[[#This Row],[U. Bruta Uni]]*Tabla4[[#This Row],[Cantidad]]</f>
        <v>#N/A</v>
      </c>
      <c r="T3978" s="369" t="str">
        <f>VLOOKUP(Tabla4[[#This Row],[Producto]],Tabla6[#All],14,FALSE)</f>
        <v>Termico Solar</v>
      </c>
      <c r="U3978" s="284" t="e">
        <f>(IF(Tabla4[[#This Row],[Familia]]="termico solar",Tabla4[[#This Row],[Utilidad Total]]*6%,Tabla4[[#This Row],[Utilidad Total]]*11.5%))/Tabla4[[#This Row],[Total]]</f>
        <v>#N/A</v>
      </c>
      <c r="V3978" s="282" t="e">
        <f>+Tabla4[[#This Row],[Comisión Calculada]]*Tabla4[[#This Row],[Total]]</f>
        <v>#N/A</v>
      </c>
    </row>
    <row r="3979" spans="1:22" hidden="1" x14ac:dyDescent="0.25">
      <c r="A3979" s="100">
        <v>45838</v>
      </c>
      <c r="B3979" t="str">
        <f t="shared" si="190"/>
        <v>June</v>
      </c>
      <c r="C3979" s="46" t="s">
        <v>280</v>
      </c>
      <c r="F3979" s="366" t="s">
        <v>2222</v>
      </c>
      <c r="G3979" s="46" t="s">
        <v>545</v>
      </c>
      <c r="H3979" s="46">
        <v>24</v>
      </c>
      <c r="I3979" s="51">
        <v>304.32</v>
      </c>
      <c r="J3979" s="281">
        <f>++Tabla4[[#This Row],[Precio Bruto]]*1.16</f>
        <v>353.01119999999997</v>
      </c>
      <c r="K3979" s="281">
        <f>+Tabla4[[#This Row],[Precio Unitario Neto]]*Tabla4[[#Headers],[20.85%]]</f>
        <v>73.602835199999987</v>
      </c>
      <c r="L3979" s="282">
        <f>++Tabla4[[#This Row],[Precio Unitario Neto]]-Tabla4[[#This Row],[20.85%]]</f>
        <v>279.40836479999996</v>
      </c>
      <c r="M3979" s="282" t="e">
        <f>(INDEX(Tabla6[#All],MATCH(Tabla4[[#This Row],[Producto]],Tabla6[[#All],[PRODUCTO]],0),MATCH(Tabla4[[#This Row],[Mes]],Tabla6[#Headers],0)))*(1+Catalogos!$L$2)</f>
        <v>#N/A</v>
      </c>
      <c r="N3979" s="283" t="e">
        <f>+(Tabla4[[#This Row],[Precio Descontado]]-Tabla4[[#This Row],[Precio Base]])*Tabla4[[#This Row],[Cantidad]]</f>
        <v>#N/A</v>
      </c>
      <c r="O3979" s="284" t="e">
        <f>++Tabla4[[#This Row],[Utilidad Total]]/Tabla4[[#This Row],[Total]]</f>
        <v>#N/A</v>
      </c>
      <c r="P3979" s="282">
        <f>++Tabla4[[#This Row],[Precio Descontado]]*Tabla4[[#This Row],[Cantidad]]</f>
        <v>6705.800755199999</v>
      </c>
      <c r="Q3979" s="282" t="e">
        <f>(INDEX(Tabla6[#All],MATCH(Tabla4[[#This Row],[Producto]],Tabla6[[#All],[PRODUCTO]],0),MATCH(Tabla4[[#This Row],[Mes]],Tabla6[#Headers],0)))</f>
        <v>#N/A</v>
      </c>
      <c r="R3979" s="282" t="e">
        <f>++Tabla4[[#This Row],[Precio Unitario Neto]]-Tabla4[[#This Row],[20.85%]]-Tabla4[[#This Row],[Costo]]</f>
        <v>#N/A</v>
      </c>
      <c r="S3979" s="282" t="e">
        <f>++Tabla4[[#This Row],[U. Bruta Uni]]*Tabla4[[#This Row],[Cantidad]]</f>
        <v>#N/A</v>
      </c>
      <c r="T3979" s="369" t="str">
        <f>VLOOKUP(Tabla4[[#This Row],[Producto]],Tabla6[#All],14,FALSE)</f>
        <v>Termico Solar</v>
      </c>
      <c r="U3979" s="284" t="e">
        <f>(IF(Tabla4[[#This Row],[Familia]]="termico solar",Tabla4[[#This Row],[Utilidad Total]]*6%,Tabla4[[#This Row],[Utilidad Total]]*11.5%))/Tabla4[[#This Row],[Total]]</f>
        <v>#N/A</v>
      </c>
      <c r="V3979" s="282" t="e">
        <f>+Tabla4[[#This Row],[Comisión Calculada]]*Tabla4[[#This Row],[Total]]</f>
        <v>#N/A</v>
      </c>
    </row>
    <row r="3980" spans="1:22" hidden="1" x14ac:dyDescent="0.25">
      <c r="A3980" s="100">
        <v>45838</v>
      </c>
      <c r="B3980" t="str">
        <f t="shared" si="190"/>
        <v>June</v>
      </c>
      <c r="C3980" s="46" t="s">
        <v>280</v>
      </c>
      <c r="F3980" s="366" t="s">
        <v>2222</v>
      </c>
      <c r="G3980" s="46" t="s">
        <v>209</v>
      </c>
      <c r="H3980" s="46">
        <v>5</v>
      </c>
      <c r="I3980" s="51">
        <v>347.48</v>
      </c>
      <c r="J3980" s="281">
        <f>++Tabla4[[#This Row],[Precio Bruto]]*1.16</f>
        <v>403.07679999999999</v>
      </c>
      <c r="K3980" s="281">
        <f>+Tabla4[[#This Row],[Precio Unitario Neto]]*Tabla4[[#Headers],[20.85%]]</f>
        <v>84.041512799999992</v>
      </c>
      <c r="L3980" s="282">
        <f>++Tabla4[[#This Row],[Precio Unitario Neto]]-Tabla4[[#This Row],[20.85%]]</f>
        <v>319.03528719999997</v>
      </c>
      <c r="M3980" s="282" t="e">
        <f>(INDEX(Tabla6[#All],MATCH(Tabla4[[#This Row],[Producto]],Tabla6[[#All],[PRODUCTO]],0),MATCH(Tabla4[[#This Row],[Mes]],Tabla6[#Headers],0)))*(1+Catalogos!$L$2)</f>
        <v>#N/A</v>
      </c>
      <c r="N3980" s="283" t="e">
        <f>+(Tabla4[[#This Row],[Precio Descontado]]-Tabla4[[#This Row],[Precio Base]])*Tabla4[[#This Row],[Cantidad]]</f>
        <v>#N/A</v>
      </c>
      <c r="O3980" s="284" t="e">
        <f>++Tabla4[[#This Row],[Utilidad Total]]/Tabla4[[#This Row],[Total]]</f>
        <v>#N/A</v>
      </c>
      <c r="P3980" s="282">
        <f>++Tabla4[[#This Row],[Precio Descontado]]*Tabla4[[#This Row],[Cantidad]]</f>
        <v>1595.1764359999997</v>
      </c>
      <c r="Q3980" s="282" t="e">
        <f>(INDEX(Tabla6[#All],MATCH(Tabla4[[#This Row],[Producto]],Tabla6[[#All],[PRODUCTO]],0),MATCH(Tabla4[[#This Row],[Mes]],Tabla6[#Headers],0)))</f>
        <v>#N/A</v>
      </c>
      <c r="R3980" s="282" t="e">
        <f>++Tabla4[[#This Row],[Precio Unitario Neto]]-Tabla4[[#This Row],[20.85%]]-Tabla4[[#This Row],[Costo]]</f>
        <v>#N/A</v>
      </c>
      <c r="S3980" s="282" t="e">
        <f>++Tabla4[[#This Row],[U. Bruta Uni]]*Tabla4[[#This Row],[Cantidad]]</f>
        <v>#N/A</v>
      </c>
      <c r="T3980" s="369" t="str">
        <f>VLOOKUP(Tabla4[[#This Row],[Producto]],Tabla6[#All],14,FALSE)</f>
        <v>Termico Solar</v>
      </c>
      <c r="U3980" s="284" t="e">
        <f>(IF(Tabla4[[#This Row],[Familia]]="termico solar",Tabla4[[#This Row],[Utilidad Total]]*6%,Tabla4[[#This Row],[Utilidad Total]]*11.5%))/Tabla4[[#This Row],[Total]]</f>
        <v>#N/A</v>
      </c>
      <c r="V3980" s="282" t="e">
        <f>+Tabla4[[#This Row],[Comisión Calculada]]*Tabla4[[#This Row],[Total]]</f>
        <v>#N/A</v>
      </c>
    </row>
    <row r="3981" spans="1:22" hidden="1" x14ac:dyDescent="0.25">
      <c r="A3981" s="100">
        <v>45838</v>
      </c>
      <c r="B3981" t="str">
        <f t="shared" ref="B3981:B3986" si="191">TEXT(A3981, "mmmm")</f>
        <v>June</v>
      </c>
      <c r="C3981" s="46" t="s">
        <v>280</v>
      </c>
      <c r="F3981" s="366" t="s">
        <v>2223</v>
      </c>
      <c r="G3981" s="46" t="s">
        <v>83</v>
      </c>
      <c r="H3981" s="46">
        <v>6</v>
      </c>
      <c r="I3981" s="51">
        <v>8858.76</v>
      </c>
      <c r="J3981" s="281">
        <f>++Tabla4[[#This Row],[Precio Bruto]]*1.16</f>
        <v>10276.161599999999</v>
      </c>
      <c r="K3981" s="281">
        <f>+Tabla4[[#This Row],[Precio Unitario Neto]]*Tabla4[[#Headers],[20.85%]]</f>
        <v>2142.5796935999997</v>
      </c>
      <c r="L3981" s="282">
        <f>++Tabla4[[#This Row],[Precio Unitario Neto]]-Tabla4[[#This Row],[20.85%]]</f>
        <v>8133.5819063999998</v>
      </c>
      <c r="M3981" s="282" t="e">
        <f>(INDEX(Tabla6[#All],MATCH(Tabla4[[#This Row],[Producto]],Tabla6[[#All],[PRODUCTO]],0),MATCH(Tabla4[[#This Row],[Mes]],Tabla6[#Headers],0)))*(1+Catalogos!$L$2)</f>
        <v>#N/A</v>
      </c>
      <c r="N3981" s="283" t="e">
        <f>+(Tabla4[[#This Row],[Precio Descontado]]-Tabla4[[#This Row],[Precio Base]])*Tabla4[[#This Row],[Cantidad]]</f>
        <v>#N/A</v>
      </c>
      <c r="O3981" s="284" t="e">
        <f>++Tabla4[[#This Row],[Utilidad Total]]/Tabla4[[#This Row],[Total]]</f>
        <v>#N/A</v>
      </c>
      <c r="P3981" s="282">
        <f>++Tabla4[[#This Row],[Precio Descontado]]*Tabla4[[#This Row],[Cantidad]]</f>
        <v>48801.4914384</v>
      </c>
      <c r="Q3981" s="282" t="e">
        <f>(INDEX(Tabla6[#All],MATCH(Tabla4[[#This Row],[Producto]],Tabla6[[#All],[PRODUCTO]],0),MATCH(Tabla4[[#This Row],[Mes]],Tabla6[#Headers],0)))</f>
        <v>#N/A</v>
      </c>
      <c r="R3981" s="282" t="e">
        <f>++Tabla4[[#This Row],[Precio Unitario Neto]]-Tabla4[[#This Row],[20.85%]]-Tabla4[[#This Row],[Costo]]</f>
        <v>#N/A</v>
      </c>
      <c r="S3981" s="282" t="e">
        <f>++Tabla4[[#This Row],[U. Bruta Uni]]*Tabla4[[#This Row],[Cantidad]]</f>
        <v>#N/A</v>
      </c>
      <c r="T3981" s="369" t="str">
        <f>VLOOKUP(Tabla4[[#This Row],[Producto]],Tabla6[#All],14,FALSE)</f>
        <v>Termico Solar</v>
      </c>
      <c r="U3981" s="284" t="e">
        <f>(IF(Tabla4[[#This Row],[Familia]]="termico solar",Tabla4[[#This Row],[Utilidad Total]]*6%,Tabla4[[#This Row],[Utilidad Total]]*11.5%))/Tabla4[[#This Row],[Total]]</f>
        <v>#N/A</v>
      </c>
      <c r="V3981" s="282" t="e">
        <f>+Tabla4[[#This Row],[Comisión Calculada]]*Tabla4[[#This Row],[Total]]</f>
        <v>#N/A</v>
      </c>
    </row>
    <row r="3982" spans="1:22" hidden="1" x14ac:dyDescent="0.25">
      <c r="A3982" s="100">
        <v>45838</v>
      </c>
      <c r="B3982" t="str">
        <f t="shared" si="191"/>
        <v>June</v>
      </c>
      <c r="C3982" s="46" t="s">
        <v>280</v>
      </c>
      <c r="F3982" s="366" t="s">
        <v>2223</v>
      </c>
      <c r="G3982" s="46" t="s">
        <v>16</v>
      </c>
      <c r="H3982" s="46">
        <v>7</v>
      </c>
      <c r="I3982" s="51">
        <v>4103.8500000000004</v>
      </c>
      <c r="J3982" s="281">
        <f>++Tabla4[[#This Row],[Precio Bruto]]*1.16</f>
        <v>4760.4660000000003</v>
      </c>
      <c r="K3982" s="281">
        <f>+Tabla4[[#This Row],[Precio Unitario Neto]]*Tabla4[[#Headers],[20.85%]]</f>
        <v>992.55716100000006</v>
      </c>
      <c r="L3982" s="282">
        <f>++Tabla4[[#This Row],[Precio Unitario Neto]]-Tabla4[[#This Row],[20.85%]]</f>
        <v>3767.9088390000002</v>
      </c>
      <c r="M3982" s="282" t="e">
        <f>(INDEX(Tabla6[#All],MATCH(Tabla4[[#This Row],[Producto]],Tabla6[[#All],[PRODUCTO]],0),MATCH(Tabla4[[#This Row],[Mes]],Tabla6[#Headers],0)))*(1+Catalogos!$L$2)</f>
        <v>#N/A</v>
      </c>
      <c r="N3982" s="283" t="e">
        <f>+(Tabla4[[#This Row],[Precio Descontado]]-Tabla4[[#This Row],[Precio Base]])*Tabla4[[#This Row],[Cantidad]]</f>
        <v>#N/A</v>
      </c>
      <c r="O3982" s="284" t="e">
        <f>++Tabla4[[#This Row],[Utilidad Total]]/Tabla4[[#This Row],[Total]]</f>
        <v>#N/A</v>
      </c>
      <c r="P3982" s="282">
        <f>++Tabla4[[#This Row],[Precio Descontado]]*Tabla4[[#This Row],[Cantidad]]</f>
        <v>26375.361873000002</v>
      </c>
      <c r="Q3982" s="282" t="e">
        <f>(INDEX(Tabla6[#All],MATCH(Tabla4[[#This Row],[Producto]],Tabla6[[#All],[PRODUCTO]],0),MATCH(Tabla4[[#This Row],[Mes]],Tabla6[#Headers],0)))</f>
        <v>#N/A</v>
      </c>
      <c r="R3982" s="282" t="e">
        <f>++Tabla4[[#This Row],[Precio Unitario Neto]]-Tabla4[[#This Row],[20.85%]]-Tabla4[[#This Row],[Costo]]</f>
        <v>#N/A</v>
      </c>
      <c r="S3982" s="282" t="e">
        <f>++Tabla4[[#This Row],[U. Bruta Uni]]*Tabla4[[#This Row],[Cantidad]]</f>
        <v>#N/A</v>
      </c>
      <c r="T3982" s="369" t="str">
        <f>VLOOKUP(Tabla4[[#This Row],[Producto]],Tabla6[#All],14,FALSE)</f>
        <v>Termico Solar</v>
      </c>
      <c r="U3982" s="284" t="e">
        <f>(IF(Tabla4[[#This Row],[Familia]]="termico solar",Tabla4[[#This Row],[Utilidad Total]]*6%,Tabla4[[#This Row],[Utilidad Total]]*11.5%))/Tabla4[[#This Row],[Total]]</f>
        <v>#N/A</v>
      </c>
      <c r="V3982" s="282" t="e">
        <f>+Tabla4[[#This Row],[Comisión Calculada]]*Tabla4[[#This Row],[Total]]</f>
        <v>#N/A</v>
      </c>
    </row>
    <row r="3983" spans="1:22" hidden="1" x14ac:dyDescent="0.25">
      <c r="A3983" s="100">
        <v>45838</v>
      </c>
      <c r="B3983" t="str">
        <f t="shared" si="191"/>
        <v>June</v>
      </c>
      <c r="C3983" s="46" t="s">
        <v>280</v>
      </c>
      <c r="F3983" s="366" t="s">
        <v>2223</v>
      </c>
      <c r="G3983" s="46" t="s">
        <v>200</v>
      </c>
      <c r="H3983" s="46">
        <v>12</v>
      </c>
      <c r="I3983" s="51">
        <v>393.22</v>
      </c>
      <c r="J3983" s="281">
        <f>++Tabla4[[#This Row],[Precio Bruto]]*1.16</f>
        <v>456.1352</v>
      </c>
      <c r="K3983" s="281">
        <f>+Tabla4[[#This Row],[Precio Unitario Neto]]*Tabla4[[#Headers],[20.85%]]</f>
        <v>95.104189199999993</v>
      </c>
      <c r="L3983" s="282">
        <f>++Tabla4[[#This Row],[Precio Unitario Neto]]-Tabla4[[#This Row],[20.85%]]</f>
        <v>361.03101079999999</v>
      </c>
      <c r="M3983" s="282" t="e">
        <f>(INDEX(Tabla6[#All],MATCH(Tabla4[[#This Row],[Producto]],Tabla6[[#All],[PRODUCTO]],0),MATCH(Tabla4[[#This Row],[Mes]],Tabla6[#Headers],0)))*(1+Catalogos!$L$2)</f>
        <v>#N/A</v>
      </c>
      <c r="N3983" s="283" t="e">
        <f>+(Tabla4[[#This Row],[Precio Descontado]]-Tabla4[[#This Row],[Precio Base]])*Tabla4[[#This Row],[Cantidad]]</f>
        <v>#N/A</v>
      </c>
      <c r="O3983" s="284" t="e">
        <f>++Tabla4[[#This Row],[Utilidad Total]]/Tabla4[[#This Row],[Total]]</f>
        <v>#N/A</v>
      </c>
      <c r="P3983" s="282">
        <f>++Tabla4[[#This Row],[Precio Descontado]]*Tabla4[[#This Row],[Cantidad]]</f>
        <v>4332.3721296000003</v>
      </c>
      <c r="Q3983" s="282" t="e">
        <f>(INDEX(Tabla6[#All],MATCH(Tabla4[[#This Row],[Producto]],Tabla6[[#All],[PRODUCTO]],0),MATCH(Tabla4[[#This Row],[Mes]],Tabla6[#Headers],0)))</f>
        <v>#N/A</v>
      </c>
      <c r="R3983" s="282" t="e">
        <f>++Tabla4[[#This Row],[Precio Unitario Neto]]-Tabla4[[#This Row],[20.85%]]-Tabla4[[#This Row],[Costo]]</f>
        <v>#N/A</v>
      </c>
      <c r="S3983" s="282" t="e">
        <f>++Tabla4[[#This Row],[U. Bruta Uni]]*Tabla4[[#This Row],[Cantidad]]</f>
        <v>#N/A</v>
      </c>
      <c r="T3983" s="369" t="str">
        <f>VLOOKUP(Tabla4[[#This Row],[Producto]],Tabla6[#All],14,FALSE)</f>
        <v>Termico Solar</v>
      </c>
      <c r="U3983" s="284" t="e">
        <f>(IF(Tabla4[[#This Row],[Familia]]="termico solar",Tabla4[[#This Row],[Utilidad Total]]*6%,Tabla4[[#This Row],[Utilidad Total]]*11.5%))/Tabla4[[#This Row],[Total]]</f>
        <v>#N/A</v>
      </c>
      <c r="V3983" s="282" t="e">
        <f>+Tabla4[[#This Row],[Comisión Calculada]]*Tabla4[[#This Row],[Total]]</f>
        <v>#N/A</v>
      </c>
    </row>
    <row r="3984" spans="1:22" hidden="1" x14ac:dyDescent="0.25">
      <c r="A3984" s="100">
        <v>45838</v>
      </c>
      <c r="B3984" t="str">
        <f t="shared" si="191"/>
        <v>June</v>
      </c>
      <c r="C3984" s="46" t="s">
        <v>280</v>
      </c>
      <c r="F3984" s="366" t="s">
        <v>2223</v>
      </c>
      <c r="G3984" s="46" t="s">
        <v>545</v>
      </c>
      <c r="H3984" s="46">
        <v>24</v>
      </c>
      <c r="I3984" s="51">
        <v>304.32</v>
      </c>
      <c r="J3984" s="281">
        <f>++Tabla4[[#This Row],[Precio Bruto]]*1.16</f>
        <v>353.01119999999997</v>
      </c>
      <c r="K3984" s="281">
        <f>+Tabla4[[#This Row],[Precio Unitario Neto]]*Tabla4[[#Headers],[20.85%]]</f>
        <v>73.602835199999987</v>
      </c>
      <c r="L3984" s="282">
        <f>++Tabla4[[#This Row],[Precio Unitario Neto]]-Tabla4[[#This Row],[20.85%]]</f>
        <v>279.40836479999996</v>
      </c>
      <c r="M3984" s="282" t="e">
        <f>(INDEX(Tabla6[#All],MATCH(Tabla4[[#This Row],[Producto]],Tabla6[[#All],[PRODUCTO]],0),MATCH(Tabla4[[#This Row],[Mes]],Tabla6[#Headers],0)))*(1+Catalogos!$L$2)</f>
        <v>#N/A</v>
      </c>
      <c r="N3984" s="283" t="e">
        <f>+(Tabla4[[#This Row],[Precio Descontado]]-Tabla4[[#This Row],[Precio Base]])*Tabla4[[#This Row],[Cantidad]]</f>
        <v>#N/A</v>
      </c>
      <c r="O3984" s="284" t="e">
        <f>++Tabla4[[#This Row],[Utilidad Total]]/Tabla4[[#This Row],[Total]]</f>
        <v>#N/A</v>
      </c>
      <c r="P3984" s="282">
        <f>++Tabla4[[#This Row],[Precio Descontado]]*Tabla4[[#This Row],[Cantidad]]</f>
        <v>6705.800755199999</v>
      </c>
      <c r="Q3984" s="282" t="e">
        <f>(INDEX(Tabla6[#All],MATCH(Tabla4[[#This Row],[Producto]],Tabla6[[#All],[PRODUCTO]],0),MATCH(Tabla4[[#This Row],[Mes]],Tabla6[#Headers],0)))</f>
        <v>#N/A</v>
      </c>
      <c r="R3984" s="282" t="e">
        <f>++Tabla4[[#This Row],[Precio Unitario Neto]]-Tabla4[[#This Row],[20.85%]]-Tabla4[[#This Row],[Costo]]</f>
        <v>#N/A</v>
      </c>
      <c r="S3984" s="282" t="e">
        <f>++Tabla4[[#This Row],[U. Bruta Uni]]*Tabla4[[#This Row],[Cantidad]]</f>
        <v>#N/A</v>
      </c>
      <c r="T3984" s="369" t="str">
        <f>VLOOKUP(Tabla4[[#This Row],[Producto]],Tabla6[#All],14,FALSE)</f>
        <v>Termico Solar</v>
      </c>
      <c r="U3984" s="284" t="e">
        <f>(IF(Tabla4[[#This Row],[Familia]]="termico solar",Tabla4[[#This Row],[Utilidad Total]]*6%,Tabla4[[#This Row],[Utilidad Total]]*11.5%))/Tabla4[[#This Row],[Total]]</f>
        <v>#N/A</v>
      </c>
      <c r="V3984" s="282" t="e">
        <f>+Tabla4[[#This Row],[Comisión Calculada]]*Tabla4[[#This Row],[Total]]</f>
        <v>#N/A</v>
      </c>
    </row>
    <row r="3985" spans="1:22" hidden="1" x14ac:dyDescent="0.25">
      <c r="A3985" s="100">
        <v>45838</v>
      </c>
      <c r="B3985" t="str">
        <f t="shared" si="191"/>
        <v>June</v>
      </c>
      <c r="C3985" s="46" t="s">
        <v>280</v>
      </c>
      <c r="F3985" s="366" t="s">
        <v>2223</v>
      </c>
      <c r="G3985" s="46" t="s">
        <v>208</v>
      </c>
      <c r="H3985" s="46">
        <v>2</v>
      </c>
      <c r="I3985" s="51">
        <v>189.75</v>
      </c>
      <c r="J3985" s="281">
        <f>++Tabla4[[#This Row],[Precio Bruto]]*1.16</f>
        <v>220.10999999999999</v>
      </c>
      <c r="K3985" s="281">
        <f>+Tabla4[[#This Row],[Precio Unitario Neto]]*Tabla4[[#Headers],[20.85%]]</f>
        <v>45.892934999999994</v>
      </c>
      <c r="L3985" s="282">
        <f>++Tabla4[[#This Row],[Precio Unitario Neto]]-Tabla4[[#This Row],[20.85%]]</f>
        <v>174.21706499999999</v>
      </c>
      <c r="M3985" s="282" t="e">
        <f>(INDEX(Tabla6[#All],MATCH(Tabla4[[#This Row],[Producto]],Tabla6[[#All],[PRODUCTO]],0),MATCH(Tabla4[[#This Row],[Mes]],Tabla6[#Headers],0)))*(1+Catalogos!$L$2)</f>
        <v>#N/A</v>
      </c>
      <c r="N3985" s="283" t="e">
        <f>+(Tabla4[[#This Row],[Precio Descontado]]-Tabla4[[#This Row],[Precio Base]])*Tabla4[[#This Row],[Cantidad]]</f>
        <v>#N/A</v>
      </c>
      <c r="O3985" s="284" t="e">
        <f>++Tabla4[[#This Row],[Utilidad Total]]/Tabla4[[#This Row],[Total]]</f>
        <v>#N/A</v>
      </c>
      <c r="P3985" s="282">
        <f>++Tabla4[[#This Row],[Precio Descontado]]*Tabla4[[#This Row],[Cantidad]]</f>
        <v>348.43412999999998</v>
      </c>
      <c r="Q3985" s="282" t="e">
        <f>(INDEX(Tabla6[#All],MATCH(Tabla4[[#This Row],[Producto]],Tabla6[[#All],[PRODUCTO]],0),MATCH(Tabla4[[#This Row],[Mes]],Tabla6[#Headers],0)))</f>
        <v>#N/A</v>
      </c>
      <c r="R3985" s="282" t="e">
        <f>++Tabla4[[#This Row],[Precio Unitario Neto]]-Tabla4[[#This Row],[20.85%]]-Tabla4[[#This Row],[Costo]]</f>
        <v>#N/A</v>
      </c>
      <c r="S3985" s="282" t="e">
        <f>++Tabla4[[#This Row],[U. Bruta Uni]]*Tabla4[[#This Row],[Cantidad]]</f>
        <v>#N/A</v>
      </c>
      <c r="T3985" s="369" t="str">
        <f>VLOOKUP(Tabla4[[#This Row],[Producto]],Tabla6[#All],14,FALSE)</f>
        <v>Termico Solar</v>
      </c>
      <c r="U3985" s="284" t="e">
        <f>(IF(Tabla4[[#This Row],[Familia]]="termico solar",Tabla4[[#This Row],[Utilidad Total]]*6%,Tabla4[[#This Row],[Utilidad Total]]*11.5%))/Tabla4[[#This Row],[Total]]</f>
        <v>#N/A</v>
      </c>
      <c r="V3985" s="282" t="e">
        <f>+Tabla4[[#This Row],[Comisión Calculada]]*Tabla4[[#This Row],[Total]]</f>
        <v>#N/A</v>
      </c>
    </row>
    <row r="3986" spans="1:22" hidden="1" x14ac:dyDescent="0.25">
      <c r="A3986" s="100">
        <v>45838</v>
      </c>
      <c r="B3986" t="str">
        <f t="shared" si="191"/>
        <v>June</v>
      </c>
      <c r="C3986" s="46" t="s">
        <v>280</v>
      </c>
      <c r="F3986" s="366" t="s">
        <v>2223</v>
      </c>
      <c r="G3986" s="46" t="s">
        <v>209</v>
      </c>
      <c r="H3986" s="46">
        <v>2</v>
      </c>
      <c r="I3986" s="51">
        <v>347.48</v>
      </c>
      <c r="J3986" s="281">
        <f>++Tabla4[[#This Row],[Precio Bruto]]*1.16</f>
        <v>403.07679999999999</v>
      </c>
      <c r="K3986" s="281">
        <f>+Tabla4[[#This Row],[Precio Unitario Neto]]*Tabla4[[#Headers],[20.85%]]</f>
        <v>84.041512799999992</v>
      </c>
      <c r="L3986" s="282">
        <f>++Tabla4[[#This Row],[Precio Unitario Neto]]-Tabla4[[#This Row],[20.85%]]</f>
        <v>319.03528719999997</v>
      </c>
      <c r="M3986" s="282" t="e">
        <f>(INDEX(Tabla6[#All],MATCH(Tabla4[[#This Row],[Producto]],Tabla6[[#All],[PRODUCTO]],0),MATCH(Tabla4[[#This Row],[Mes]],Tabla6[#Headers],0)))*(1+Catalogos!$L$2)</f>
        <v>#N/A</v>
      </c>
      <c r="N3986" s="283" t="e">
        <f>+(Tabla4[[#This Row],[Precio Descontado]]-Tabla4[[#This Row],[Precio Base]])*Tabla4[[#This Row],[Cantidad]]</f>
        <v>#N/A</v>
      </c>
      <c r="O3986" s="284" t="e">
        <f>++Tabla4[[#This Row],[Utilidad Total]]/Tabla4[[#This Row],[Total]]</f>
        <v>#N/A</v>
      </c>
      <c r="P3986" s="282">
        <f>++Tabla4[[#This Row],[Precio Descontado]]*Tabla4[[#This Row],[Cantidad]]</f>
        <v>638.07057439999994</v>
      </c>
      <c r="Q3986" s="282" t="e">
        <f>(INDEX(Tabla6[#All],MATCH(Tabla4[[#This Row],[Producto]],Tabla6[[#All],[PRODUCTO]],0),MATCH(Tabla4[[#This Row],[Mes]],Tabla6[#Headers],0)))</f>
        <v>#N/A</v>
      </c>
      <c r="R3986" s="282" t="e">
        <f>++Tabla4[[#This Row],[Precio Unitario Neto]]-Tabla4[[#This Row],[20.85%]]-Tabla4[[#This Row],[Costo]]</f>
        <v>#N/A</v>
      </c>
      <c r="S3986" s="282" t="e">
        <f>++Tabla4[[#This Row],[U. Bruta Uni]]*Tabla4[[#This Row],[Cantidad]]</f>
        <v>#N/A</v>
      </c>
      <c r="T3986" s="369" t="str">
        <f>VLOOKUP(Tabla4[[#This Row],[Producto]],Tabla6[#All],14,FALSE)</f>
        <v>Termico Solar</v>
      </c>
      <c r="U3986" s="284" t="e">
        <f>(IF(Tabla4[[#This Row],[Familia]]="termico solar",Tabla4[[#This Row],[Utilidad Total]]*6%,Tabla4[[#This Row],[Utilidad Total]]*11.5%))/Tabla4[[#This Row],[Total]]</f>
        <v>#N/A</v>
      </c>
      <c r="V3986" s="282" t="e">
        <f>+Tabla4[[#This Row],[Comisión Calculada]]*Tabla4[[#This Row],[Total]]</f>
        <v>#N/A</v>
      </c>
    </row>
    <row r="3987" spans="1:22" hidden="1" x14ac:dyDescent="0.25">
      <c r="A3987" s="100">
        <v>45838</v>
      </c>
      <c r="B3987" t="str">
        <f t="shared" ref="B3987:B3997" si="192">TEXT(A3987, "mmmm")</f>
        <v>June</v>
      </c>
      <c r="C3987" s="46" t="s">
        <v>280</v>
      </c>
      <c r="F3987" s="366" t="s">
        <v>2224</v>
      </c>
      <c r="G3987" s="46" t="s">
        <v>19</v>
      </c>
      <c r="H3987" s="46">
        <v>1</v>
      </c>
      <c r="I3987" s="51">
        <v>6412.03</v>
      </c>
      <c r="J3987" s="281">
        <f>++Tabla4[[#This Row],[Precio Bruto]]*1.16</f>
        <v>7437.9547999999995</v>
      </c>
      <c r="K3987" s="281">
        <f>+Tabla4[[#This Row],[Precio Unitario Neto]]*Tabla4[[#Headers],[20.85%]]</f>
        <v>1550.8135757999999</v>
      </c>
      <c r="L3987" s="282">
        <f>++Tabla4[[#This Row],[Precio Unitario Neto]]-Tabla4[[#This Row],[20.85%]]</f>
        <v>5887.1412241999997</v>
      </c>
      <c r="M3987" s="282" t="e">
        <f>(INDEX(Tabla6[#All],MATCH(Tabla4[[#This Row],[Producto]],Tabla6[[#All],[PRODUCTO]],0),MATCH(Tabla4[[#This Row],[Mes]],Tabla6[#Headers],0)))*(1+Catalogos!$L$2)</f>
        <v>#N/A</v>
      </c>
      <c r="N3987" s="283" t="e">
        <f>+(Tabla4[[#This Row],[Precio Descontado]]-Tabla4[[#This Row],[Precio Base]])*Tabla4[[#This Row],[Cantidad]]</f>
        <v>#N/A</v>
      </c>
      <c r="O3987" s="284" t="e">
        <f>++Tabla4[[#This Row],[Utilidad Total]]/Tabla4[[#This Row],[Total]]</f>
        <v>#N/A</v>
      </c>
      <c r="P3987" s="282">
        <f>++Tabla4[[#This Row],[Precio Descontado]]*Tabla4[[#This Row],[Cantidad]]</f>
        <v>5887.1412241999997</v>
      </c>
      <c r="Q3987" s="282" t="e">
        <f>(INDEX(Tabla6[#All],MATCH(Tabla4[[#This Row],[Producto]],Tabla6[[#All],[PRODUCTO]],0),MATCH(Tabla4[[#This Row],[Mes]],Tabla6[#Headers],0)))</f>
        <v>#N/A</v>
      </c>
      <c r="R3987" s="282" t="e">
        <f>++Tabla4[[#This Row],[Precio Unitario Neto]]-Tabla4[[#This Row],[20.85%]]-Tabla4[[#This Row],[Costo]]</f>
        <v>#N/A</v>
      </c>
      <c r="S3987" s="282" t="e">
        <f>++Tabla4[[#This Row],[U. Bruta Uni]]*Tabla4[[#This Row],[Cantidad]]</f>
        <v>#N/A</v>
      </c>
      <c r="T3987" s="369" t="str">
        <f>VLOOKUP(Tabla4[[#This Row],[Producto]],Tabla6[#All],14,FALSE)</f>
        <v>Termico Solar</v>
      </c>
      <c r="U3987" s="284" t="e">
        <f>(IF(Tabla4[[#This Row],[Familia]]="termico solar",Tabla4[[#This Row],[Utilidad Total]]*6%,Tabla4[[#This Row],[Utilidad Total]]*11.5%))/Tabla4[[#This Row],[Total]]</f>
        <v>#N/A</v>
      </c>
      <c r="V3987" s="282" t="e">
        <f>+Tabla4[[#This Row],[Comisión Calculada]]*Tabla4[[#This Row],[Total]]</f>
        <v>#N/A</v>
      </c>
    </row>
    <row r="3988" spans="1:22" hidden="1" x14ac:dyDescent="0.25">
      <c r="A3988" s="100">
        <v>45838</v>
      </c>
      <c r="B3988" t="str">
        <f t="shared" si="192"/>
        <v>June</v>
      </c>
      <c r="C3988" s="46" t="s">
        <v>280</v>
      </c>
      <c r="F3988" s="366" t="s">
        <v>2224</v>
      </c>
      <c r="G3988" s="46" t="s">
        <v>566</v>
      </c>
      <c r="H3988" s="46">
        <v>1</v>
      </c>
      <c r="I3988" s="51">
        <v>2109.4499999999998</v>
      </c>
      <c r="J3988" s="281">
        <f>++Tabla4[[#This Row],[Precio Bruto]]*1.16</f>
        <v>2446.9619999999995</v>
      </c>
      <c r="K3988" s="281">
        <f>+Tabla4[[#This Row],[Precio Unitario Neto]]*Tabla4[[#Headers],[20.85%]]</f>
        <v>510.19157699999988</v>
      </c>
      <c r="L3988" s="282">
        <f>++Tabla4[[#This Row],[Precio Unitario Neto]]-Tabla4[[#This Row],[20.85%]]</f>
        <v>1936.7704229999997</v>
      </c>
      <c r="M3988" s="282" t="e">
        <f>(INDEX(Tabla6[#All],MATCH(Tabla4[[#This Row],[Producto]],Tabla6[[#All],[PRODUCTO]],0),MATCH(Tabla4[[#This Row],[Mes]],Tabla6[#Headers],0)))*(1+Catalogos!$L$2)</f>
        <v>#N/A</v>
      </c>
      <c r="N3988" s="283" t="e">
        <f>+(Tabla4[[#This Row],[Precio Descontado]]-Tabla4[[#This Row],[Precio Base]])*Tabla4[[#This Row],[Cantidad]]</f>
        <v>#N/A</v>
      </c>
      <c r="O3988" s="284" t="e">
        <f>++Tabla4[[#This Row],[Utilidad Total]]/Tabla4[[#This Row],[Total]]</f>
        <v>#N/A</v>
      </c>
      <c r="P3988" s="282">
        <f>++Tabla4[[#This Row],[Precio Descontado]]*Tabla4[[#This Row],[Cantidad]]</f>
        <v>1936.7704229999997</v>
      </c>
      <c r="Q3988" s="282" t="e">
        <f>(INDEX(Tabla6[#All],MATCH(Tabla4[[#This Row],[Producto]],Tabla6[[#All],[PRODUCTO]],0),MATCH(Tabla4[[#This Row],[Mes]],Tabla6[#Headers],0)))</f>
        <v>#N/A</v>
      </c>
      <c r="R3988" s="282" t="e">
        <f>++Tabla4[[#This Row],[Precio Unitario Neto]]-Tabla4[[#This Row],[20.85%]]-Tabla4[[#This Row],[Costo]]</f>
        <v>#N/A</v>
      </c>
      <c r="S3988" s="282" t="e">
        <f>++Tabla4[[#This Row],[U. Bruta Uni]]*Tabla4[[#This Row],[Cantidad]]</f>
        <v>#N/A</v>
      </c>
      <c r="T3988" s="369" t="str">
        <f>VLOOKUP(Tabla4[[#This Row],[Producto]],Tabla6[#All],14,FALSE)</f>
        <v>Termico Solar</v>
      </c>
      <c r="U3988" s="284" t="e">
        <f>(IF(Tabla4[[#This Row],[Familia]]="termico solar",Tabla4[[#This Row],[Utilidad Total]]*6%,Tabla4[[#This Row],[Utilidad Total]]*11.5%))/Tabla4[[#This Row],[Total]]</f>
        <v>#N/A</v>
      </c>
      <c r="V3988" s="282" t="e">
        <f>+Tabla4[[#This Row],[Comisión Calculada]]*Tabla4[[#This Row],[Total]]</f>
        <v>#N/A</v>
      </c>
    </row>
    <row r="3989" spans="1:22" hidden="1" x14ac:dyDescent="0.25">
      <c r="A3989" s="100">
        <v>45838</v>
      </c>
      <c r="B3989" t="str">
        <f t="shared" si="192"/>
        <v>June</v>
      </c>
      <c r="C3989" s="46" t="s">
        <v>280</v>
      </c>
      <c r="F3989" s="366" t="s">
        <v>2224</v>
      </c>
      <c r="G3989" s="46" t="s">
        <v>200</v>
      </c>
      <c r="H3989" s="46">
        <v>12</v>
      </c>
      <c r="I3989" s="51">
        <v>393.22</v>
      </c>
      <c r="J3989" s="281">
        <f>++Tabla4[[#This Row],[Precio Bruto]]*1.16</f>
        <v>456.1352</v>
      </c>
      <c r="K3989" s="281">
        <f>+Tabla4[[#This Row],[Precio Unitario Neto]]*Tabla4[[#Headers],[20.85%]]</f>
        <v>95.104189199999993</v>
      </c>
      <c r="L3989" s="282">
        <f>++Tabla4[[#This Row],[Precio Unitario Neto]]-Tabla4[[#This Row],[20.85%]]</f>
        <v>361.03101079999999</v>
      </c>
      <c r="M3989" s="282" t="e">
        <f>(INDEX(Tabla6[#All],MATCH(Tabla4[[#This Row],[Producto]],Tabla6[[#All],[PRODUCTO]],0),MATCH(Tabla4[[#This Row],[Mes]],Tabla6[#Headers],0)))*(1+Catalogos!$L$2)</f>
        <v>#N/A</v>
      </c>
      <c r="N3989" s="283" t="e">
        <f>+(Tabla4[[#This Row],[Precio Descontado]]-Tabla4[[#This Row],[Precio Base]])*Tabla4[[#This Row],[Cantidad]]</f>
        <v>#N/A</v>
      </c>
      <c r="O3989" s="284" t="e">
        <f>++Tabla4[[#This Row],[Utilidad Total]]/Tabla4[[#This Row],[Total]]</f>
        <v>#N/A</v>
      </c>
      <c r="P3989" s="282">
        <f>++Tabla4[[#This Row],[Precio Descontado]]*Tabla4[[#This Row],[Cantidad]]</f>
        <v>4332.3721296000003</v>
      </c>
      <c r="Q3989" s="282" t="e">
        <f>(INDEX(Tabla6[#All],MATCH(Tabla4[[#This Row],[Producto]],Tabla6[[#All],[PRODUCTO]],0),MATCH(Tabla4[[#This Row],[Mes]],Tabla6[#Headers],0)))</f>
        <v>#N/A</v>
      </c>
      <c r="R3989" s="282" t="e">
        <f>++Tabla4[[#This Row],[Precio Unitario Neto]]-Tabla4[[#This Row],[20.85%]]-Tabla4[[#This Row],[Costo]]</f>
        <v>#N/A</v>
      </c>
      <c r="S3989" s="282" t="e">
        <f>++Tabla4[[#This Row],[U. Bruta Uni]]*Tabla4[[#This Row],[Cantidad]]</f>
        <v>#N/A</v>
      </c>
      <c r="T3989" s="369" t="str">
        <f>VLOOKUP(Tabla4[[#This Row],[Producto]],Tabla6[#All],14,FALSE)</f>
        <v>Termico Solar</v>
      </c>
      <c r="U3989" s="284" t="e">
        <f>(IF(Tabla4[[#This Row],[Familia]]="termico solar",Tabla4[[#This Row],[Utilidad Total]]*6%,Tabla4[[#This Row],[Utilidad Total]]*11.5%))/Tabla4[[#This Row],[Total]]</f>
        <v>#N/A</v>
      </c>
      <c r="V3989" s="282" t="e">
        <f>+Tabla4[[#This Row],[Comisión Calculada]]*Tabla4[[#This Row],[Total]]</f>
        <v>#N/A</v>
      </c>
    </row>
    <row r="3990" spans="1:22" hidden="1" x14ac:dyDescent="0.25">
      <c r="A3990" s="100">
        <v>45838</v>
      </c>
      <c r="B3990" t="str">
        <f t="shared" si="192"/>
        <v>June</v>
      </c>
      <c r="C3990" s="46" t="s">
        <v>280</v>
      </c>
      <c r="F3990" s="366" t="s">
        <v>2224</v>
      </c>
      <c r="G3990" s="46" t="s">
        <v>545</v>
      </c>
      <c r="H3990" s="46">
        <v>24</v>
      </c>
      <c r="I3990" s="51">
        <v>304.32</v>
      </c>
      <c r="J3990" s="281">
        <f>++Tabla4[[#This Row],[Precio Bruto]]*1.16</f>
        <v>353.01119999999997</v>
      </c>
      <c r="K3990" s="281">
        <f>+Tabla4[[#This Row],[Precio Unitario Neto]]*Tabla4[[#Headers],[20.85%]]</f>
        <v>73.602835199999987</v>
      </c>
      <c r="L3990" s="282">
        <f>++Tabla4[[#This Row],[Precio Unitario Neto]]-Tabla4[[#This Row],[20.85%]]</f>
        <v>279.40836479999996</v>
      </c>
      <c r="M3990" s="282" t="e">
        <f>(INDEX(Tabla6[#All],MATCH(Tabla4[[#This Row],[Producto]],Tabla6[[#All],[PRODUCTO]],0),MATCH(Tabla4[[#This Row],[Mes]],Tabla6[#Headers],0)))*(1+Catalogos!$L$2)</f>
        <v>#N/A</v>
      </c>
      <c r="N3990" s="283" t="e">
        <f>+(Tabla4[[#This Row],[Precio Descontado]]-Tabla4[[#This Row],[Precio Base]])*Tabla4[[#This Row],[Cantidad]]</f>
        <v>#N/A</v>
      </c>
      <c r="O3990" s="284" t="e">
        <f>++Tabla4[[#This Row],[Utilidad Total]]/Tabla4[[#This Row],[Total]]</f>
        <v>#N/A</v>
      </c>
      <c r="P3990" s="282">
        <f>++Tabla4[[#This Row],[Precio Descontado]]*Tabla4[[#This Row],[Cantidad]]</f>
        <v>6705.800755199999</v>
      </c>
      <c r="Q3990" s="282" t="e">
        <f>(INDEX(Tabla6[#All],MATCH(Tabla4[[#This Row],[Producto]],Tabla6[[#All],[PRODUCTO]],0),MATCH(Tabla4[[#This Row],[Mes]],Tabla6[#Headers],0)))</f>
        <v>#N/A</v>
      </c>
      <c r="R3990" s="282" t="e">
        <f>++Tabla4[[#This Row],[Precio Unitario Neto]]-Tabla4[[#This Row],[20.85%]]-Tabla4[[#This Row],[Costo]]</f>
        <v>#N/A</v>
      </c>
      <c r="S3990" s="282" t="e">
        <f>++Tabla4[[#This Row],[U. Bruta Uni]]*Tabla4[[#This Row],[Cantidad]]</f>
        <v>#N/A</v>
      </c>
      <c r="T3990" s="369" t="str">
        <f>VLOOKUP(Tabla4[[#This Row],[Producto]],Tabla6[#All],14,FALSE)</f>
        <v>Termico Solar</v>
      </c>
      <c r="U3990" s="284" t="e">
        <f>(IF(Tabla4[[#This Row],[Familia]]="termico solar",Tabla4[[#This Row],[Utilidad Total]]*6%,Tabla4[[#This Row],[Utilidad Total]]*11.5%))/Tabla4[[#This Row],[Total]]</f>
        <v>#N/A</v>
      </c>
      <c r="V3990" s="282" t="e">
        <f>+Tabla4[[#This Row],[Comisión Calculada]]*Tabla4[[#This Row],[Total]]</f>
        <v>#N/A</v>
      </c>
    </row>
    <row r="3991" spans="1:22" hidden="1" x14ac:dyDescent="0.25">
      <c r="A3991" s="100">
        <v>45838</v>
      </c>
      <c r="B3991" t="str">
        <f t="shared" si="192"/>
        <v>June</v>
      </c>
      <c r="C3991" s="46" t="s">
        <v>280</v>
      </c>
      <c r="F3991" s="366" t="s">
        <v>2224</v>
      </c>
      <c r="G3991" s="46" t="s">
        <v>209</v>
      </c>
      <c r="H3991" s="46">
        <v>2</v>
      </c>
      <c r="I3991" s="51">
        <v>347.48</v>
      </c>
      <c r="J3991" s="281">
        <f>++Tabla4[[#This Row],[Precio Bruto]]*1.16</f>
        <v>403.07679999999999</v>
      </c>
      <c r="K3991" s="281">
        <f>+Tabla4[[#This Row],[Precio Unitario Neto]]*Tabla4[[#Headers],[20.85%]]</f>
        <v>84.041512799999992</v>
      </c>
      <c r="L3991" s="282">
        <f>++Tabla4[[#This Row],[Precio Unitario Neto]]-Tabla4[[#This Row],[20.85%]]</f>
        <v>319.03528719999997</v>
      </c>
      <c r="M3991" s="282" t="e">
        <f>(INDEX(Tabla6[#All],MATCH(Tabla4[[#This Row],[Producto]],Tabla6[[#All],[PRODUCTO]],0),MATCH(Tabla4[[#This Row],[Mes]],Tabla6[#Headers],0)))*(1+Catalogos!$L$2)</f>
        <v>#N/A</v>
      </c>
      <c r="N3991" s="283" t="e">
        <f>+(Tabla4[[#This Row],[Precio Descontado]]-Tabla4[[#This Row],[Precio Base]])*Tabla4[[#This Row],[Cantidad]]</f>
        <v>#N/A</v>
      </c>
      <c r="O3991" s="284" t="e">
        <f>++Tabla4[[#This Row],[Utilidad Total]]/Tabla4[[#This Row],[Total]]</f>
        <v>#N/A</v>
      </c>
      <c r="P3991" s="282">
        <f>++Tabla4[[#This Row],[Precio Descontado]]*Tabla4[[#This Row],[Cantidad]]</f>
        <v>638.07057439999994</v>
      </c>
      <c r="Q3991" s="282" t="e">
        <f>(INDEX(Tabla6[#All],MATCH(Tabla4[[#This Row],[Producto]],Tabla6[[#All],[PRODUCTO]],0),MATCH(Tabla4[[#This Row],[Mes]],Tabla6[#Headers],0)))</f>
        <v>#N/A</v>
      </c>
      <c r="R3991" s="282" t="e">
        <f>++Tabla4[[#This Row],[Precio Unitario Neto]]-Tabla4[[#This Row],[20.85%]]-Tabla4[[#This Row],[Costo]]</f>
        <v>#N/A</v>
      </c>
      <c r="S3991" s="282" t="e">
        <f>++Tabla4[[#This Row],[U. Bruta Uni]]*Tabla4[[#This Row],[Cantidad]]</f>
        <v>#N/A</v>
      </c>
      <c r="T3991" s="369" t="str">
        <f>VLOOKUP(Tabla4[[#This Row],[Producto]],Tabla6[#All],14,FALSE)</f>
        <v>Termico Solar</v>
      </c>
      <c r="U3991" s="284" t="e">
        <f>(IF(Tabla4[[#This Row],[Familia]]="termico solar",Tabla4[[#This Row],[Utilidad Total]]*6%,Tabla4[[#This Row],[Utilidad Total]]*11.5%))/Tabla4[[#This Row],[Total]]</f>
        <v>#N/A</v>
      </c>
      <c r="V3991" s="282" t="e">
        <f>+Tabla4[[#This Row],[Comisión Calculada]]*Tabla4[[#This Row],[Total]]</f>
        <v>#N/A</v>
      </c>
    </row>
    <row r="3992" spans="1:22" hidden="1" x14ac:dyDescent="0.25">
      <c r="A3992" s="100">
        <v>45838</v>
      </c>
      <c r="B3992" t="str">
        <f t="shared" si="192"/>
        <v>June</v>
      </c>
      <c r="C3992" s="46" t="s">
        <v>280</v>
      </c>
      <c r="F3992" s="366" t="s">
        <v>2225</v>
      </c>
      <c r="G3992" s="46" t="s">
        <v>17</v>
      </c>
      <c r="H3992" s="46">
        <v>2</v>
      </c>
      <c r="I3992" s="51">
        <v>4622.28</v>
      </c>
      <c r="J3992" s="281">
        <f>++Tabla4[[#This Row],[Precio Bruto]]*1.16</f>
        <v>5361.8447999999989</v>
      </c>
      <c r="K3992" s="281">
        <f>+Tabla4[[#This Row],[Precio Unitario Neto]]*Tabla4[[#Headers],[20.85%]]</f>
        <v>1117.9446407999997</v>
      </c>
      <c r="L3992" s="282">
        <f>++Tabla4[[#This Row],[Precio Unitario Neto]]-Tabla4[[#This Row],[20.85%]]</f>
        <v>4243.9001591999995</v>
      </c>
      <c r="M3992" s="282" t="e">
        <f>(INDEX(Tabla6[#All],MATCH(Tabla4[[#This Row],[Producto]],Tabla6[[#All],[PRODUCTO]],0),MATCH(Tabla4[[#This Row],[Mes]],Tabla6[#Headers],0)))*(1+Catalogos!$L$2)</f>
        <v>#N/A</v>
      </c>
      <c r="N3992" s="283" t="e">
        <f>+(Tabla4[[#This Row],[Precio Descontado]]-Tabla4[[#This Row],[Precio Base]])*Tabla4[[#This Row],[Cantidad]]</f>
        <v>#N/A</v>
      </c>
      <c r="O3992" s="284" t="e">
        <f>++Tabla4[[#This Row],[Utilidad Total]]/Tabla4[[#This Row],[Total]]</f>
        <v>#N/A</v>
      </c>
      <c r="P3992" s="282">
        <f>++Tabla4[[#This Row],[Precio Descontado]]*Tabla4[[#This Row],[Cantidad]]</f>
        <v>8487.800318399999</v>
      </c>
      <c r="Q3992" s="282" t="e">
        <f>(INDEX(Tabla6[#All],MATCH(Tabla4[[#This Row],[Producto]],Tabla6[[#All],[PRODUCTO]],0),MATCH(Tabla4[[#This Row],[Mes]],Tabla6[#Headers],0)))</f>
        <v>#N/A</v>
      </c>
      <c r="R3992" s="282" t="e">
        <f>++Tabla4[[#This Row],[Precio Unitario Neto]]-Tabla4[[#This Row],[20.85%]]-Tabla4[[#This Row],[Costo]]</f>
        <v>#N/A</v>
      </c>
      <c r="S3992" s="282" t="e">
        <f>++Tabla4[[#This Row],[U. Bruta Uni]]*Tabla4[[#This Row],[Cantidad]]</f>
        <v>#N/A</v>
      </c>
      <c r="T3992" s="369" t="str">
        <f>VLOOKUP(Tabla4[[#This Row],[Producto]],Tabla6[#All],14,FALSE)</f>
        <v>Termico Solar</v>
      </c>
      <c r="U3992" s="284" t="e">
        <f>(IF(Tabla4[[#This Row],[Familia]]="termico solar",Tabla4[[#This Row],[Utilidad Total]]*6%,Tabla4[[#This Row],[Utilidad Total]]*11.5%))/Tabla4[[#This Row],[Total]]</f>
        <v>#N/A</v>
      </c>
      <c r="V3992" s="282" t="e">
        <f>+Tabla4[[#This Row],[Comisión Calculada]]*Tabla4[[#This Row],[Total]]</f>
        <v>#N/A</v>
      </c>
    </row>
    <row r="3993" spans="1:22" hidden="1" x14ac:dyDescent="0.25">
      <c r="A3993" s="100">
        <v>45838</v>
      </c>
      <c r="B3993" t="str">
        <f t="shared" si="192"/>
        <v>June</v>
      </c>
      <c r="C3993" s="46" t="s">
        <v>280</v>
      </c>
      <c r="F3993" s="366" t="s">
        <v>2225</v>
      </c>
      <c r="G3993" s="46" t="s">
        <v>18</v>
      </c>
      <c r="H3993" s="46">
        <v>1</v>
      </c>
      <c r="I3993" s="51">
        <v>5367.65</v>
      </c>
      <c r="J3993" s="281">
        <f>++Tabla4[[#This Row],[Precio Bruto]]*1.16</f>
        <v>6226.4739999999993</v>
      </c>
      <c r="K3993" s="281">
        <f>+Tabla4[[#This Row],[Precio Unitario Neto]]*Tabla4[[#Headers],[20.85%]]</f>
        <v>1298.2198289999999</v>
      </c>
      <c r="L3993" s="282">
        <f>++Tabla4[[#This Row],[Precio Unitario Neto]]-Tabla4[[#This Row],[20.85%]]</f>
        <v>4928.2541709999996</v>
      </c>
      <c r="M3993" s="282" t="e">
        <f>(INDEX(Tabla6[#All],MATCH(Tabla4[[#This Row],[Producto]],Tabla6[[#All],[PRODUCTO]],0),MATCH(Tabla4[[#This Row],[Mes]],Tabla6[#Headers],0)))*(1+Catalogos!$L$2)</f>
        <v>#N/A</v>
      </c>
      <c r="N3993" s="283" t="e">
        <f>+(Tabla4[[#This Row],[Precio Descontado]]-Tabla4[[#This Row],[Precio Base]])*Tabla4[[#This Row],[Cantidad]]</f>
        <v>#N/A</v>
      </c>
      <c r="O3993" s="284" t="e">
        <f>++Tabla4[[#This Row],[Utilidad Total]]/Tabla4[[#This Row],[Total]]</f>
        <v>#N/A</v>
      </c>
      <c r="P3993" s="282">
        <f>++Tabla4[[#This Row],[Precio Descontado]]*Tabla4[[#This Row],[Cantidad]]</f>
        <v>4928.2541709999996</v>
      </c>
      <c r="Q3993" s="282" t="e">
        <f>(INDEX(Tabla6[#All],MATCH(Tabla4[[#This Row],[Producto]],Tabla6[[#All],[PRODUCTO]],0),MATCH(Tabla4[[#This Row],[Mes]],Tabla6[#Headers],0)))</f>
        <v>#N/A</v>
      </c>
      <c r="R3993" s="282" t="e">
        <f>++Tabla4[[#This Row],[Precio Unitario Neto]]-Tabla4[[#This Row],[20.85%]]-Tabla4[[#This Row],[Costo]]</f>
        <v>#N/A</v>
      </c>
      <c r="S3993" s="282" t="e">
        <f>++Tabla4[[#This Row],[U. Bruta Uni]]*Tabla4[[#This Row],[Cantidad]]</f>
        <v>#N/A</v>
      </c>
      <c r="T3993" s="369" t="str">
        <f>VLOOKUP(Tabla4[[#This Row],[Producto]],Tabla6[#All],14,FALSE)</f>
        <v>Termico Solar</v>
      </c>
      <c r="U3993" s="284" t="e">
        <f>(IF(Tabla4[[#This Row],[Familia]]="termico solar",Tabla4[[#This Row],[Utilidad Total]]*6%,Tabla4[[#This Row],[Utilidad Total]]*11.5%))/Tabla4[[#This Row],[Total]]</f>
        <v>#N/A</v>
      </c>
      <c r="V3993" s="282" t="e">
        <f>+Tabla4[[#This Row],[Comisión Calculada]]*Tabla4[[#This Row],[Total]]</f>
        <v>#N/A</v>
      </c>
    </row>
    <row r="3994" spans="1:22" hidden="1" x14ac:dyDescent="0.25">
      <c r="A3994" s="100">
        <v>45838</v>
      </c>
      <c r="B3994" t="str">
        <f t="shared" si="192"/>
        <v>June</v>
      </c>
      <c r="C3994" s="46" t="s">
        <v>280</v>
      </c>
      <c r="F3994" s="366" t="s">
        <v>2225</v>
      </c>
      <c r="G3994" s="46" t="s">
        <v>566</v>
      </c>
      <c r="H3994" s="46">
        <v>1</v>
      </c>
      <c r="I3994" s="51">
        <v>2109.4499999999998</v>
      </c>
      <c r="J3994" s="281">
        <f>++Tabla4[[#This Row],[Precio Bruto]]*1.16</f>
        <v>2446.9619999999995</v>
      </c>
      <c r="K3994" s="281">
        <f>+Tabla4[[#This Row],[Precio Unitario Neto]]*Tabla4[[#Headers],[20.85%]]</f>
        <v>510.19157699999988</v>
      </c>
      <c r="L3994" s="282">
        <f>++Tabla4[[#This Row],[Precio Unitario Neto]]-Tabla4[[#This Row],[20.85%]]</f>
        <v>1936.7704229999997</v>
      </c>
      <c r="M3994" s="282" t="e">
        <f>(INDEX(Tabla6[#All],MATCH(Tabla4[[#This Row],[Producto]],Tabla6[[#All],[PRODUCTO]],0),MATCH(Tabla4[[#This Row],[Mes]],Tabla6[#Headers],0)))*(1+Catalogos!$L$2)</f>
        <v>#N/A</v>
      </c>
      <c r="N3994" s="283" t="e">
        <f>+(Tabla4[[#This Row],[Precio Descontado]]-Tabla4[[#This Row],[Precio Base]])*Tabla4[[#This Row],[Cantidad]]</f>
        <v>#N/A</v>
      </c>
      <c r="O3994" s="284" t="e">
        <f>++Tabla4[[#This Row],[Utilidad Total]]/Tabla4[[#This Row],[Total]]</f>
        <v>#N/A</v>
      </c>
      <c r="P3994" s="282">
        <f>++Tabla4[[#This Row],[Precio Descontado]]*Tabla4[[#This Row],[Cantidad]]</f>
        <v>1936.7704229999997</v>
      </c>
      <c r="Q3994" s="282" t="e">
        <f>(INDEX(Tabla6[#All],MATCH(Tabla4[[#This Row],[Producto]],Tabla6[[#All],[PRODUCTO]],0),MATCH(Tabla4[[#This Row],[Mes]],Tabla6[#Headers],0)))</f>
        <v>#N/A</v>
      </c>
      <c r="R3994" s="282" t="e">
        <f>++Tabla4[[#This Row],[Precio Unitario Neto]]-Tabla4[[#This Row],[20.85%]]-Tabla4[[#This Row],[Costo]]</f>
        <v>#N/A</v>
      </c>
      <c r="S3994" s="282" t="e">
        <f>++Tabla4[[#This Row],[U. Bruta Uni]]*Tabla4[[#This Row],[Cantidad]]</f>
        <v>#N/A</v>
      </c>
      <c r="T3994" s="369" t="str">
        <f>VLOOKUP(Tabla4[[#This Row],[Producto]],Tabla6[#All],14,FALSE)</f>
        <v>Termico Solar</v>
      </c>
      <c r="U3994" s="284" t="e">
        <f>(IF(Tabla4[[#This Row],[Familia]]="termico solar",Tabla4[[#This Row],[Utilidad Total]]*6%,Tabla4[[#This Row],[Utilidad Total]]*11.5%))/Tabla4[[#This Row],[Total]]</f>
        <v>#N/A</v>
      </c>
      <c r="V3994" s="282" t="e">
        <f>+Tabla4[[#This Row],[Comisión Calculada]]*Tabla4[[#This Row],[Total]]</f>
        <v>#N/A</v>
      </c>
    </row>
    <row r="3995" spans="1:22" hidden="1" x14ac:dyDescent="0.25">
      <c r="A3995" s="100">
        <v>45838</v>
      </c>
      <c r="B3995" t="str">
        <f t="shared" si="192"/>
        <v>June</v>
      </c>
      <c r="C3995" s="46" t="s">
        <v>280</v>
      </c>
      <c r="F3995" s="366" t="s">
        <v>2226</v>
      </c>
      <c r="G3995" s="46" t="s">
        <v>200</v>
      </c>
      <c r="H3995" s="46">
        <v>12</v>
      </c>
      <c r="I3995" s="51">
        <v>393.22</v>
      </c>
      <c r="J3995" s="281">
        <f>++Tabla4[[#This Row],[Precio Bruto]]*1.16</f>
        <v>456.1352</v>
      </c>
      <c r="K3995" s="281">
        <f>+Tabla4[[#This Row],[Precio Unitario Neto]]*Tabla4[[#Headers],[20.85%]]</f>
        <v>95.104189199999993</v>
      </c>
      <c r="L3995" s="282">
        <f>++Tabla4[[#This Row],[Precio Unitario Neto]]-Tabla4[[#This Row],[20.85%]]</f>
        <v>361.03101079999999</v>
      </c>
      <c r="M3995" s="282" t="e">
        <f>(INDEX(Tabla6[#All],MATCH(Tabla4[[#This Row],[Producto]],Tabla6[[#All],[PRODUCTO]],0),MATCH(Tabla4[[#This Row],[Mes]],Tabla6[#Headers],0)))*(1+Catalogos!$L$2)</f>
        <v>#N/A</v>
      </c>
      <c r="N3995" s="283" t="e">
        <f>+(Tabla4[[#This Row],[Precio Descontado]]-Tabla4[[#This Row],[Precio Base]])*Tabla4[[#This Row],[Cantidad]]</f>
        <v>#N/A</v>
      </c>
      <c r="O3995" s="284" t="e">
        <f>++Tabla4[[#This Row],[Utilidad Total]]/Tabla4[[#This Row],[Total]]</f>
        <v>#N/A</v>
      </c>
      <c r="P3995" s="282">
        <f>++Tabla4[[#This Row],[Precio Descontado]]*Tabla4[[#This Row],[Cantidad]]</f>
        <v>4332.3721296000003</v>
      </c>
      <c r="Q3995" s="282" t="e">
        <f>(INDEX(Tabla6[#All],MATCH(Tabla4[[#This Row],[Producto]],Tabla6[[#All],[PRODUCTO]],0),MATCH(Tabla4[[#This Row],[Mes]],Tabla6[#Headers],0)))</f>
        <v>#N/A</v>
      </c>
      <c r="R3995" s="282" t="e">
        <f>++Tabla4[[#This Row],[Precio Unitario Neto]]-Tabla4[[#This Row],[20.85%]]-Tabla4[[#This Row],[Costo]]</f>
        <v>#N/A</v>
      </c>
      <c r="S3995" s="282" t="e">
        <f>++Tabla4[[#This Row],[U. Bruta Uni]]*Tabla4[[#This Row],[Cantidad]]</f>
        <v>#N/A</v>
      </c>
      <c r="T3995" s="369" t="str">
        <f>VLOOKUP(Tabla4[[#This Row],[Producto]],Tabla6[#All],14,FALSE)</f>
        <v>Termico Solar</v>
      </c>
      <c r="U3995" s="284" t="e">
        <f>(IF(Tabla4[[#This Row],[Familia]]="termico solar",Tabla4[[#This Row],[Utilidad Total]]*6%,Tabla4[[#This Row],[Utilidad Total]]*11.5%))/Tabla4[[#This Row],[Total]]</f>
        <v>#N/A</v>
      </c>
      <c r="V3995" s="282" t="e">
        <f>+Tabla4[[#This Row],[Comisión Calculada]]*Tabla4[[#This Row],[Total]]</f>
        <v>#N/A</v>
      </c>
    </row>
    <row r="3996" spans="1:22" hidden="1" x14ac:dyDescent="0.25">
      <c r="A3996" s="100">
        <v>45838</v>
      </c>
      <c r="B3996" t="str">
        <f t="shared" si="192"/>
        <v>June</v>
      </c>
      <c r="C3996" s="46" t="s">
        <v>280</v>
      </c>
      <c r="F3996" s="366" t="s">
        <v>2226</v>
      </c>
      <c r="G3996" s="46" t="s">
        <v>545</v>
      </c>
      <c r="H3996" s="46">
        <v>24</v>
      </c>
      <c r="I3996" s="51">
        <v>304.32</v>
      </c>
      <c r="J3996" s="281">
        <f>++Tabla4[[#This Row],[Precio Bruto]]*1.16</f>
        <v>353.01119999999997</v>
      </c>
      <c r="K3996" s="281">
        <f>+Tabla4[[#This Row],[Precio Unitario Neto]]*Tabla4[[#Headers],[20.85%]]</f>
        <v>73.602835199999987</v>
      </c>
      <c r="L3996" s="282">
        <f>++Tabla4[[#This Row],[Precio Unitario Neto]]-Tabla4[[#This Row],[20.85%]]</f>
        <v>279.40836479999996</v>
      </c>
      <c r="M3996" s="282" t="e">
        <f>(INDEX(Tabla6[#All],MATCH(Tabla4[[#This Row],[Producto]],Tabla6[[#All],[PRODUCTO]],0),MATCH(Tabla4[[#This Row],[Mes]],Tabla6[#Headers],0)))*(1+Catalogos!$L$2)</f>
        <v>#N/A</v>
      </c>
      <c r="N3996" s="283" t="e">
        <f>+(Tabla4[[#This Row],[Precio Descontado]]-Tabla4[[#This Row],[Precio Base]])*Tabla4[[#This Row],[Cantidad]]</f>
        <v>#N/A</v>
      </c>
      <c r="O3996" s="284" t="e">
        <f>++Tabla4[[#This Row],[Utilidad Total]]/Tabla4[[#This Row],[Total]]</f>
        <v>#N/A</v>
      </c>
      <c r="P3996" s="282">
        <f>++Tabla4[[#This Row],[Precio Descontado]]*Tabla4[[#This Row],[Cantidad]]</f>
        <v>6705.800755199999</v>
      </c>
      <c r="Q3996" s="282" t="e">
        <f>(INDEX(Tabla6[#All],MATCH(Tabla4[[#This Row],[Producto]],Tabla6[[#All],[PRODUCTO]],0),MATCH(Tabla4[[#This Row],[Mes]],Tabla6[#Headers],0)))</f>
        <v>#N/A</v>
      </c>
      <c r="R3996" s="282" t="e">
        <f>++Tabla4[[#This Row],[Precio Unitario Neto]]-Tabla4[[#This Row],[20.85%]]-Tabla4[[#This Row],[Costo]]</f>
        <v>#N/A</v>
      </c>
      <c r="S3996" s="282" t="e">
        <f>++Tabla4[[#This Row],[U. Bruta Uni]]*Tabla4[[#This Row],[Cantidad]]</f>
        <v>#N/A</v>
      </c>
      <c r="T3996" s="369" t="str">
        <f>VLOOKUP(Tabla4[[#This Row],[Producto]],Tabla6[#All],14,FALSE)</f>
        <v>Termico Solar</v>
      </c>
      <c r="U3996" s="284" t="e">
        <f>(IF(Tabla4[[#This Row],[Familia]]="termico solar",Tabla4[[#This Row],[Utilidad Total]]*6%,Tabla4[[#This Row],[Utilidad Total]]*11.5%))/Tabla4[[#This Row],[Total]]</f>
        <v>#N/A</v>
      </c>
      <c r="V3996" s="282" t="e">
        <f>+Tabla4[[#This Row],[Comisión Calculada]]*Tabla4[[#This Row],[Total]]</f>
        <v>#N/A</v>
      </c>
    </row>
    <row r="3997" spans="1:22" hidden="1" x14ac:dyDescent="0.25">
      <c r="A3997" s="100">
        <v>45838</v>
      </c>
      <c r="B3997" t="str">
        <f t="shared" si="192"/>
        <v>June</v>
      </c>
      <c r="C3997" s="46" t="s">
        <v>280</v>
      </c>
      <c r="F3997" s="366" t="s">
        <v>2226</v>
      </c>
      <c r="G3997" s="46" t="s">
        <v>209</v>
      </c>
      <c r="H3997" s="46">
        <v>2</v>
      </c>
      <c r="I3997" s="51">
        <v>347.48</v>
      </c>
      <c r="J3997" s="281">
        <f>++Tabla4[[#This Row],[Precio Bruto]]*1.16</f>
        <v>403.07679999999999</v>
      </c>
      <c r="K3997" s="281">
        <f>+Tabla4[[#This Row],[Precio Unitario Neto]]*Tabla4[[#Headers],[20.85%]]</f>
        <v>84.041512799999992</v>
      </c>
      <c r="L3997" s="282">
        <f>++Tabla4[[#This Row],[Precio Unitario Neto]]-Tabla4[[#This Row],[20.85%]]</f>
        <v>319.03528719999997</v>
      </c>
      <c r="M3997" s="282" t="e">
        <f>(INDEX(Tabla6[#All],MATCH(Tabla4[[#This Row],[Producto]],Tabla6[[#All],[PRODUCTO]],0),MATCH(Tabla4[[#This Row],[Mes]],Tabla6[#Headers],0)))*(1+Catalogos!$L$2)</f>
        <v>#N/A</v>
      </c>
      <c r="N3997" s="283" t="e">
        <f>+(Tabla4[[#This Row],[Precio Descontado]]-Tabla4[[#This Row],[Precio Base]])*Tabla4[[#This Row],[Cantidad]]</f>
        <v>#N/A</v>
      </c>
      <c r="O3997" s="284" t="e">
        <f>++Tabla4[[#This Row],[Utilidad Total]]/Tabla4[[#This Row],[Total]]</f>
        <v>#N/A</v>
      </c>
      <c r="P3997" s="282">
        <f>++Tabla4[[#This Row],[Precio Descontado]]*Tabla4[[#This Row],[Cantidad]]</f>
        <v>638.07057439999994</v>
      </c>
      <c r="Q3997" s="282" t="e">
        <f>(INDEX(Tabla6[#All],MATCH(Tabla4[[#This Row],[Producto]],Tabla6[[#All],[PRODUCTO]],0),MATCH(Tabla4[[#This Row],[Mes]],Tabla6[#Headers],0)))</f>
        <v>#N/A</v>
      </c>
      <c r="R3997" s="282" t="e">
        <f>++Tabla4[[#This Row],[Precio Unitario Neto]]-Tabla4[[#This Row],[20.85%]]-Tabla4[[#This Row],[Costo]]</f>
        <v>#N/A</v>
      </c>
      <c r="S3997" s="282" t="e">
        <f>++Tabla4[[#This Row],[U. Bruta Uni]]*Tabla4[[#This Row],[Cantidad]]</f>
        <v>#N/A</v>
      </c>
      <c r="T3997" s="369" t="str">
        <f>VLOOKUP(Tabla4[[#This Row],[Producto]],Tabla6[#All],14,FALSE)</f>
        <v>Termico Solar</v>
      </c>
      <c r="U3997" s="284" t="e">
        <f>(IF(Tabla4[[#This Row],[Familia]]="termico solar",Tabla4[[#This Row],[Utilidad Total]]*6%,Tabla4[[#This Row],[Utilidad Total]]*11.5%))/Tabla4[[#This Row],[Total]]</f>
        <v>#N/A</v>
      </c>
      <c r="V3997" s="282" t="e">
        <f>+Tabla4[[#This Row],[Comisión Calculada]]*Tabla4[[#This Row],[Total]]</f>
        <v>#N/A</v>
      </c>
    </row>
    <row r="3998" spans="1:22" hidden="1" x14ac:dyDescent="0.25">
      <c r="A3998" s="100">
        <v>45838</v>
      </c>
      <c r="B3998" t="str">
        <f t="shared" ref="B3998:B4004" si="193">TEXT(A3998, "mmmm")</f>
        <v>June</v>
      </c>
      <c r="C3998" s="46" t="s">
        <v>280</v>
      </c>
      <c r="F3998" s="366" t="s">
        <v>2227</v>
      </c>
      <c r="G3998" s="46" t="s">
        <v>17</v>
      </c>
      <c r="H3998" s="46">
        <v>2</v>
      </c>
      <c r="I3998" s="51">
        <v>4622.28</v>
      </c>
      <c r="J3998" s="281">
        <f>++Tabla4[[#This Row],[Precio Bruto]]*1.16</f>
        <v>5361.8447999999989</v>
      </c>
      <c r="K3998" s="281">
        <f>+Tabla4[[#This Row],[Precio Unitario Neto]]*Tabla4[[#Headers],[20.85%]]</f>
        <v>1117.9446407999997</v>
      </c>
      <c r="L3998" s="282">
        <f>++Tabla4[[#This Row],[Precio Unitario Neto]]-Tabla4[[#This Row],[20.85%]]</f>
        <v>4243.9001591999995</v>
      </c>
      <c r="M3998" s="282" t="e">
        <f>(INDEX(Tabla6[#All],MATCH(Tabla4[[#This Row],[Producto]],Tabla6[[#All],[PRODUCTO]],0),MATCH(Tabla4[[#This Row],[Mes]],Tabla6[#Headers],0)))*(1+Catalogos!$L$2)</f>
        <v>#N/A</v>
      </c>
      <c r="N3998" s="283" t="e">
        <f>+(Tabla4[[#This Row],[Precio Descontado]]-Tabla4[[#This Row],[Precio Base]])*Tabla4[[#This Row],[Cantidad]]</f>
        <v>#N/A</v>
      </c>
      <c r="O3998" s="284" t="e">
        <f>++Tabla4[[#This Row],[Utilidad Total]]/Tabla4[[#This Row],[Total]]</f>
        <v>#N/A</v>
      </c>
      <c r="P3998" s="282">
        <f>++Tabla4[[#This Row],[Precio Descontado]]*Tabla4[[#This Row],[Cantidad]]</f>
        <v>8487.800318399999</v>
      </c>
      <c r="Q3998" s="282" t="e">
        <f>(INDEX(Tabla6[#All],MATCH(Tabla4[[#This Row],[Producto]],Tabla6[[#All],[PRODUCTO]],0),MATCH(Tabla4[[#This Row],[Mes]],Tabla6[#Headers],0)))</f>
        <v>#N/A</v>
      </c>
      <c r="R3998" s="282" t="e">
        <f>++Tabla4[[#This Row],[Precio Unitario Neto]]-Tabla4[[#This Row],[20.85%]]-Tabla4[[#This Row],[Costo]]</f>
        <v>#N/A</v>
      </c>
      <c r="S3998" s="282" t="e">
        <f>++Tabla4[[#This Row],[U. Bruta Uni]]*Tabla4[[#This Row],[Cantidad]]</f>
        <v>#N/A</v>
      </c>
      <c r="T3998" s="369" t="str">
        <f>VLOOKUP(Tabla4[[#This Row],[Producto]],Tabla6[#All],14,FALSE)</f>
        <v>Termico Solar</v>
      </c>
      <c r="U3998" s="284" t="e">
        <f>(IF(Tabla4[[#This Row],[Familia]]="termico solar",Tabla4[[#This Row],[Utilidad Total]]*6%,Tabla4[[#This Row],[Utilidad Total]]*11.5%))/Tabla4[[#This Row],[Total]]</f>
        <v>#N/A</v>
      </c>
      <c r="V3998" s="282" t="e">
        <f>+Tabla4[[#This Row],[Comisión Calculada]]*Tabla4[[#This Row],[Total]]</f>
        <v>#N/A</v>
      </c>
    </row>
    <row r="3999" spans="1:22" hidden="1" x14ac:dyDescent="0.25">
      <c r="A3999" s="100">
        <v>45838</v>
      </c>
      <c r="B3999" t="str">
        <f t="shared" si="193"/>
        <v>June</v>
      </c>
      <c r="C3999" s="46" t="s">
        <v>280</v>
      </c>
      <c r="F3999" s="366" t="s">
        <v>2227</v>
      </c>
      <c r="G3999" s="46" t="s">
        <v>18</v>
      </c>
      <c r="H3999" s="46">
        <v>9</v>
      </c>
      <c r="I3999" s="51">
        <v>5367.65</v>
      </c>
      <c r="J3999" s="281">
        <f>++Tabla4[[#This Row],[Precio Bruto]]*1.16</f>
        <v>6226.4739999999993</v>
      </c>
      <c r="K3999" s="281">
        <f>+Tabla4[[#This Row],[Precio Unitario Neto]]*Tabla4[[#Headers],[20.85%]]</f>
        <v>1298.2198289999999</v>
      </c>
      <c r="L3999" s="282">
        <f>++Tabla4[[#This Row],[Precio Unitario Neto]]-Tabla4[[#This Row],[20.85%]]</f>
        <v>4928.2541709999996</v>
      </c>
      <c r="M3999" s="282" t="e">
        <f>(INDEX(Tabla6[#All],MATCH(Tabla4[[#This Row],[Producto]],Tabla6[[#All],[PRODUCTO]],0),MATCH(Tabla4[[#This Row],[Mes]],Tabla6[#Headers],0)))*(1+Catalogos!$L$2)</f>
        <v>#N/A</v>
      </c>
      <c r="N3999" s="283" t="e">
        <f>+(Tabla4[[#This Row],[Precio Descontado]]-Tabla4[[#This Row],[Precio Base]])*Tabla4[[#This Row],[Cantidad]]</f>
        <v>#N/A</v>
      </c>
      <c r="O3999" s="284" t="e">
        <f>++Tabla4[[#This Row],[Utilidad Total]]/Tabla4[[#This Row],[Total]]</f>
        <v>#N/A</v>
      </c>
      <c r="P3999" s="282">
        <f>++Tabla4[[#This Row],[Precio Descontado]]*Tabla4[[#This Row],[Cantidad]]</f>
        <v>44354.287538999997</v>
      </c>
      <c r="Q3999" s="282" t="e">
        <f>(INDEX(Tabla6[#All],MATCH(Tabla4[[#This Row],[Producto]],Tabla6[[#All],[PRODUCTO]],0),MATCH(Tabla4[[#This Row],[Mes]],Tabla6[#Headers],0)))</f>
        <v>#N/A</v>
      </c>
      <c r="R3999" s="282" t="e">
        <f>++Tabla4[[#This Row],[Precio Unitario Neto]]-Tabla4[[#This Row],[20.85%]]-Tabla4[[#This Row],[Costo]]</f>
        <v>#N/A</v>
      </c>
      <c r="S3999" s="282" t="e">
        <f>++Tabla4[[#This Row],[U. Bruta Uni]]*Tabla4[[#This Row],[Cantidad]]</f>
        <v>#N/A</v>
      </c>
      <c r="T3999" s="369" t="str">
        <f>VLOOKUP(Tabla4[[#This Row],[Producto]],Tabla6[#All],14,FALSE)</f>
        <v>Termico Solar</v>
      </c>
      <c r="U3999" s="284" t="e">
        <f>(IF(Tabla4[[#This Row],[Familia]]="termico solar",Tabla4[[#This Row],[Utilidad Total]]*6%,Tabla4[[#This Row],[Utilidad Total]]*11.5%))/Tabla4[[#This Row],[Total]]</f>
        <v>#N/A</v>
      </c>
      <c r="V3999" s="282" t="e">
        <f>+Tabla4[[#This Row],[Comisión Calculada]]*Tabla4[[#This Row],[Total]]</f>
        <v>#N/A</v>
      </c>
    </row>
    <row r="4000" spans="1:22" hidden="1" x14ac:dyDescent="0.25">
      <c r="A4000" s="100">
        <v>45838</v>
      </c>
      <c r="B4000" t="str">
        <f t="shared" si="193"/>
        <v>June</v>
      </c>
      <c r="C4000" s="46" t="s">
        <v>280</v>
      </c>
      <c r="F4000" s="366" t="s">
        <v>2227</v>
      </c>
      <c r="G4000" s="46" t="s">
        <v>566</v>
      </c>
      <c r="H4000" s="46">
        <v>1</v>
      </c>
      <c r="I4000" s="51">
        <v>2109.4499999999998</v>
      </c>
      <c r="J4000" s="281">
        <f>++Tabla4[[#This Row],[Precio Bruto]]*1.16</f>
        <v>2446.9619999999995</v>
      </c>
      <c r="K4000" s="281">
        <f>+Tabla4[[#This Row],[Precio Unitario Neto]]*Tabla4[[#Headers],[20.85%]]</f>
        <v>510.19157699999988</v>
      </c>
      <c r="L4000" s="282">
        <f>++Tabla4[[#This Row],[Precio Unitario Neto]]-Tabla4[[#This Row],[20.85%]]</f>
        <v>1936.7704229999997</v>
      </c>
      <c r="M4000" s="282" t="e">
        <f>(INDEX(Tabla6[#All],MATCH(Tabla4[[#This Row],[Producto]],Tabla6[[#All],[PRODUCTO]],0),MATCH(Tabla4[[#This Row],[Mes]],Tabla6[#Headers],0)))*(1+Catalogos!$L$2)</f>
        <v>#N/A</v>
      </c>
      <c r="N4000" s="283" t="e">
        <f>+(Tabla4[[#This Row],[Precio Descontado]]-Tabla4[[#This Row],[Precio Base]])*Tabla4[[#This Row],[Cantidad]]</f>
        <v>#N/A</v>
      </c>
      <c r="O4000" s="284" t="e">
        <f>++Tabla4[[#This Row],[Utilidad Total]]/Tabla4[[#This Row],[Total]]</f>
        <v>#N/A</v>
      </c>
      <c r="P4000" s="282">
        <f>++Tabla4[[#This Row],[Precio Descontado]]*Tabla4[[#This Row],[Cantidad]]</f>
        <v>1936.7704229999997</v>
      </c>
      <c r="Q4000" s="282" t="e">
        <f>(INDEX(Tabla6[#All],MATCH(Tabla4[[#This Row],[Producto]],Tabla6[[#All],[PRODUCTO]],0),MATCH(Tabla4[[#This Row],[Mes]],Tabla6[#Headers],0)))</f>
        <v>#N/A</v>
      </c>
      <c r="R4000" s="282" t="e">
        <f>++Tabla4[[#This Row],[Precio Unitario Neto]]-Tabla4[[#This Row],[20.85%]]-Tabla4[[#This Row],[Costo]]</f>
        <v>#N/A</v>
      </c>
      <c r="S4000" s="282" t="e">
        <f>++Tabla4[[#This Row],[U. Bruta Uni]]*Tabla4[[#This Row],[Cantidad]]</f>
        <v>#N/A</v>
      </c>
      <c r="T4000" s="369" t="str">
        <f>VLOOKUP(Tabla4[[#This Row],[Producto]],Tabla6[#All],14,FALSE)</f>
        <v>Termico Solar</v>
      </c>
      <c r="U4000" s="284" t="e">
        <f>(IF(Tabla4[[#This Row],[Familia]]="termico solar",Tabla4[[#This Row],[Utilidad Total]]*6%,Tabla4[[#This Row],[Utilidad Total]]*11.5%))/Tabla4[[#This Row],[Total]]</f>
        <v>#N/A</v>
      </c>
      <c r="V4000" s="282" t="e">
        <f>+Tabla4[[#This Row],[Comisión Calculada]]*Tabla4[[#This Row],[Total]]</f>
        <v>#N/A</v>
      </c>
    </row>
    <row r="4001" spans="1:22" hidden="1" x14ac:dyDescent="0.25">
      <c r="A4001" s="100">
        <v>45838</v>
      </c>
      <c r="B4001" t="str">
        <f t="shared" si="193"/>
        <v>June</v>
      </c>
      <c r="C4001" s="46" t="s">
        <v>280</v>
      </c>
      <c r="F4001" s="366" t="s">
        <v>2227</v>
      </c>
      <c r="G4001" s="46" t="s">
        <v>200</v>
      </c>
      <c r="H4001" s="46">
        <v>12</v>
      </c>
      <c r="I4001" s="51">
        <v>393.22</v>
      </c>
      <c r="J4001" s="281">
        <f>++Tabla4[[#This Row],[Precio Bruto]]*1.16</f>
        <v>456.1352</v>
      </c>
      <c r="K4001" s="281">
        <f>+Tabla4[[#This Row],[Precio Unitario Neto]]*Tabla4[[#Headers],[20.85%]]</f>
        <v>95.104189199999993</v>
      </c>
      <c r="L4001" s="282">
        <f>++Tabla4[[#This Row],[Precio Unitario Neto]]-Tabla4[[#This Row],[20.85%]]</f>
        <v>361.03101079999999</v>
      </c>
      <c r="M4001" s="282" t="e">
        <f>(INDEX(Tabla6[#All],MATCH(Tabla4[[#This Row],[Producto]],Tabla6[[#All],[PRODUCTO]],0),MATCH(Tabla4[[#This Row],[Mes]],Tabla6[#Headers],0)))*(1+Catalogos!$L$2)</f>
        <v>#N/A</v>
      </c>
      <c r="N4001" s="283" t="e">
        <f>+(Tabla4[[#This Row],[Precio Descontado]]-Tabla4[[#This Row],[Precio Base]])*Tabla4[[#This Row],[Cantidad]]</f>
        <v>#N/A</v>
      </c>
      <c r="O4001" s="284" t="e">
        <f>++Tabla4[[#This Row],[Utilidad Total]]/Tabla4[[#This Row],[Total]]</f>
        <v>#N/A</v>
      </c>
      <c r="P4001" s="282">
        <f>++Tabla4[[#This Row],[Precio Descontado]]*Tabla4[[#This Row],[Cantidad]]</f>
        <v>4332.3721296000003</v>
      </c>
      <c r="Q4001" s="282" t="e">
        <f>(INDEX(Tabla6[#All],MATCH(Tabla4[[#This Row],[Producto]],Tabla6[[#All],[PRODUCTO]],0),MATCH(Tabla4[[#This Row],[Mes]],Tabla6[#Headers],0)))</f>
        <v>#N/A</v>
      </c>
      <c r="R4001" s="282" t="e">
        <f>++Tabla4[[#This Row],[Precio Unitario Neto]]-Tabla4[[#This Row],[20.85%]]-Tabla4[[#This Row],[Costo]]</f>
        <v>#N/A</v>
      </c>
      <c r="S4001" s="282" t="e">
        <f>++Tabla4[[#This Row],[U. Bruta Uni]]*Tabla4[[#This Row],[Cantidad]]</f>
        <v>#N/A</v>
      </c>
      <c r="T4001" s="369" t="str">
        <f>VLOOKUP(Tabla4[[#This Row],[Producto]],Tabla6[#All],14,FALSE)</f>
        <v>Termico Solar</v>
      </c>
      <c r="U4001" s="284" t="e">
        <f>(IF(Tabla4[[#This Row],[Familia]]="termico solar",Tabla4[[#This Row],[Utilidad Total]]*6%,Tabla4[[#This Row],[Utilidad Total]]*11.5%))/Tabla4[[#This Row],[Total]]</f>
        <v>#N/A</v>
      </c>
      <c r="V4001" s="282" t="e">
        <f>+Tabla4[[#This Row],[Comisión Calculada]]*Tabla4[[#This Row],[Total]]</f>
        <v>#N/A</v>
      </c>
    </row>
    <row r="4002" spans="1:22" hidden="1" x14ac:dyDescent="0.25">
      <c r="A4002" s="100">
        <v>45838</v>
      </c>
      <c r="B4002" t="str">
        <f t="shared" si="193"/>
        <v>June</v>
      </c>
      <c r="C4002" s="46" t="s">
        <v>280</v>
      </c>
      <c r="F4002" s="366" t="s">
        <v>2227</v>
      </c>
      <c r="G4002" s="46" t="s">
        <v>555</v>
      </c>
      <c r="H4002" s="46">
        <v>8</v>
      </c>
      <c r="I4002" s="51">
        <v>389.47</v>
      </c>
      <c r="J4002" s="281">
        <f>++Tabla4[[#This Row],[Precio Bruto]]*1.16</f>
        <v>451.78519999999997</v>
      </c>
      <c r="K4002" s="281">
        <f>+Tabla4[[#This Row],[Precio Unitario Neto]]*Tabla4[[#Headers],[20.85%]]</f>
        <v>94.197214199999991</v>
      </c>
      <c r="L4002" s="282">
        <f>++Tabla4[[#This Row],[Precio Unitario Neto]]-Tabla4[[#This Row],[20.85%]]</f>
        <v>357.58798579999996</v>
      </c>
      <c r="M4002" s="282" t="e">
        <f>(INDEX(Tabla6[#All],MATCH(Tabla4[[#This Row],[Producto]],Tabla6[[#All],[PRODUCTO]],0),MATCH(Tabla4[[#This Row],[Mes]],Tabla6[#Headers],0)))*(1+Catalogos!$L$2)</f>
        <v>#N/A</v>
      </c>
      <c r="N4002" s="283" t="e">
        <f>+(Tabla4[[#This Row],[Precio Descontado]]-Tabla4[[#This Row],[Precio Base]])*Tabla4[[#This Row],[Cantidad]]</f>
        <v>#N/A</v>
      </c>
      <c r="O4002" s="284" t="e">
        <f>++Tabla4[[#This Row],[Utilidad Total]]/Tabla4[[#This Row],[Total]]</f>
        <v>#N/A</v>
      </c>
      <c r="P4002" s="282">
        <f>++Tabla4[[#This Row],[Precio Descontado]]*Tabla4[[#This Row],[Cantidad]]</f>
        <v>2860.7038863999996</v>
      </c>
      <c r="Q4002" s="282" t="e">
        <f>(INDEX(Tabla6[#All],MATCH(Tabla4[[#This Row],[Producto]],Tabla6[[#All],[PRODUCTO]],0),MATCH(Tabla4[[#This Row],[Mes]],Tabla6[#Headers],0)))</f>
        <v>#N/A</v>
      </c>
      <c r="R4002" s="282" t="e">
        <f>++Tabla4[[#This Row],[Precio Unitario Neto]]-Tabla4[[#This Row],[20.85%]]-Tabla4[[#This Row],[Costo]]</f>
        <v>#N/A</v>
      </c>
      <c r="S4002" s="282" t="e">
        <f>++Tabla4[[#This Row],[U. Bruta Uni]]*Tabla4[[#This Row],[Cantidad]]</f>
        <v>#N/A</v>
      </c>
      <c r="T4002" s="369" t="str">
        <f>VLOOKUP(Tabla4[[#This Row],[Producto]],Tabla6[#All],14,FALSE)</f>
        <v>Termico Solar</v>
      </c>
      <c r="U4002" s="284" t="e">
        <f>(IF(Tabla4[[#This Row],[Familia]]="termico solar",Tabla4[[#This Row],[Utilidad Total]]*6%,Tabla4[[#This Row],[Utilidad Total]]*11.5%))/Tabla4[[#This Row],[Total]]</f>
        <v>#N/A</v>
      </c>
      <c r="V4002" s="282" t="e">
        <f>+Tabla4[[#This Row],[Comisión Calculada]]*Tabla4[[#This Row],[Total]]</f>
        <v>#N/A</v>
      </c>
    </row>
    <row r="4003" spans="1:22" hidden="1" x14ac:dyDescent="0.25">
      <c r="A4003" s="100">
        <v>45838</v>
      </c>
      <c r="B4003" t="str">
        <f t="shared" si="193"/>
        <v>June</v>
      </c>
      <c r="C4003" s="46" t="s">
        <v>280</v>
      </c>
      <c r="F4003" s="366" t="s">
        <v>2227</v>
      </c>
      <c r="G4003" s="46" t="s">
        <v>545</v>
      </c>
      <c r="H4003" s="46">
        <v>24</v>
      </c>
      <c r="I4003" s="51">
        <v>304.32</v>
      </c>
      <c r="J4003" s="281">
        <f>++Tabla4[[#This Row],[Precio Bruto]]*1.16</f>
        <v>353.01119999999997</v>
      </c>
      <c r="K4003" s="281">
        <f>+Tabla4[[#This Row],[Precio Unitario Neto]]*Tabla4[[#Headers],[20.85%]]</f>
        <v>73.602835199999987</v>
      </c>
      <c r="L4003" s="282">
        <f>++Tabla4[[#This Row],[Precio Unitario Neto]]-Tabla4[[#This Row],[20.85%]]</f>
        <v>279.40836479999996</v>
      </c>
      <c r="M4003" s="282" t="e">
        <f>(INDEX(Tabla6[#All],MATCH(Tabla4[[#This Row],[Producto]],Tabla6[[#All],[PRODUCTO]],0),MATCH(Tabla4[[#This Row],[Mes]],Tabla6[#Headers],0)))*(1+Catalogos!$L$2)</f>
        <v>#N/A</v>
      </c>
      <c r="N4003" s="283" t="e">
        <f>+(Tabla4[[#This Row],[Precio Descontado]]-Tabla4[[#This Row],[Precio Base]])*Tabla4[[#This Row],[Cantidad]]</f>
        <v>#N/A</v>
      </c>
      <c r="O4003" s="284" t="e">
        <f>++Tabla4[[#This Row],[Utilidad Total]]/Tabla4[[#This Row],[Total]]</f>
        <v>#N/A</v>
      </c>
      <c r="P4003" s="282">
        <f>++Tabla4[[#This Row],[Precio Descontado]]*Tabla4[[#This Row],[Cantidad]]</f>
        <v>6705.800755199999</v>
      </c>
      <c r="Q4003" s="282" t="e">
        <f>(INDEX(Tabla6[#All],MATCH(Tabla4[[#This Row],[Producto]],Tabla6[[#All],[PRODUCTO]],0),MATCH(Tabla4[[#This Row],[Mes]],Tabla6[#Headers],0)))</f>
        <v>#N/A</v>
      </c>
      <c r="R4003" s="282" t="e">
        <f>++Tabla4[[#This Row],[Precio Unitario Neto]]-Tabla4[[#This Row],[20.85%]]-Tabla4[[#This Row],[Costo]]</f>
        <v>#N/A</v>
      </c>
      <c r="S4003" s="282" t="e">
        <f>++Tabla4[[#This Row],[U. Bruta Uni]]*Tabla4[[#This Row],[Cantidad]]</f>
        <v>#N/A</v>
      </c>
      <c r="T4003" s="369" t="str">
        <f>VLOOKUP(Tabla4[[#This Row],[Producto]],Tabla6[#All],14,FALSE)</f>
        <v>Termico Solar</v>
      </c>
      <c r="U4003" s="284" t="e">
        <f>(IF(Tabla4[[#This Row],[Familia]]="termico solar",Tabla4[[#This Row],[Utilidad Total]]*6%,Tabla4[[#This Row],[Utilidad Total]]*11.5%))/Tabla4[[#This Row],[Total]]</f>
        <v>#N/A</v>
      </c>
      <c r="V4003" s="282" t="e">
        <f>+Tabla4[[#This Row],[Comisión Calculada]]*Tabla4[[#This Row],[Total]]</f>
        <v>#N/A</v>
      </c>
    </row>
    <row r="4004" spans="1:22" hidden="1" x14ac:dyDescent="0.25">
      <c r="A4004" s="100">
        <v>45838</v>
      </c>
      <c r="B4004" t="str">
        <f t="shared" si="193"/>
        <v>June</v>
      </c>
      <c r="C4004" s="46" t="s">
        <v>280</v>
      </c>
      <c r="F4004" s="366" t="s">
        <v>2227</v>
      </c>
      <c r="G4004" s="46" t="s">
        <v>209</v>
      </c>
      <c r="H4004" s="46">
        <v>2</v>
      </c>
      <c r="I4004" s="51">
        <v>347.48</v>
      </c>
      <c r="J4004" s="281">
        <f>++Tabla4[[#This Row],[Precio Bruto]]*1.16</f>
        <v>403.07679999999999</v>
      </c>
      <c r="K4004" s="281">
        <f>+Tabla4[[#This Row],[Precio Unitario Neto]]*Tabla4[[#Headers],[20.85%]]</f>
        <v>84.041512799999992</v>
      </c>
      <c r="L4004" s="282">
        <f>++Tabla4[[#This Row],[Precio Unitario Neto]]-Tabla4[[#This Row],[20.85%]]</f>
        <v>319.03528719999997</v>
      </c>
      <c r="M4004" s="282" t="e">
        <f>(INDEX(Tabla6[#All],MATCH(Tabla4[[#This Row],[Producto]],Tabla6[[#All],[PRODUCTO]],0),MATCH(Tabla4[[#This Row],[Mes]],Tabla6[#Headers],0)))*(1+Catalogos!$L$2)</f>
        <v>#N/A</v>
      </c>
      <c r="N4004" s="283" t="e">
        <f>+(Tabla4[[#This Row],[Precio Descontado]]-Tabla4[[#This Row],[Precio Base]])*Tabla4[[#This Row],[Cantidad]]</f>
        <v>#N/A</v>
      </c>
      <c r="O4004" s="284" t="e">
        <f>++Tabla4[[#This Row],[Utilidad Total]]/Tabla4[[#This Row],[Total]]</f>
        <v>#N/A</v>
      </c>
      <c r="P4004" s="282">
        <f>++Tabla4[[#This Row],[Precio Descontado]]*Tabla4[[#This Row],[Cantidad]]</f>
        <v>638.07057439999994</v>
      </c>
      <c r="Q4004" s="282" t="e">
        <f>(INDEX(Tabla6[#All],MATCH(Tabla4[[#This Row],[Producto]],Tabla6[[#All],[PRODUCTO]],0),MATCH(Tabla4[[#This Row],[Mes]],Tabla6[#Headers],0)))</f>
        <v>#N/A</v>
      </c>
      <c r="R4004" s="282" t="e">
        <f>++Tabla4[[#This Row],[Precio Unitario Neto]]-Tabla4[[#This Row],[20.85%]]-Tabla4[[#This Row],[Costo]]</f>
        <v>#N/A</v>
      </c>
      <c r="S4004" s="282" t="e">
        <f>++Tabla4[[#This Row],[U. Bruta Uni]]*Tabla4[[#This Row],[Cantidad]]</f>
        <v>#N/A</v>
      </c>
      <c r="T4004" s="369" t="str">
        <f>VLOOKUP(Tabla4[[#This Row],[Producto]],Tabla6[#All],14,FALSE)</f>
        <v>Termico Solar</v>
      </c>
      <c r="U4004" s="284" t="e">
        <f>(IF(Tabla4[[#This Row],[Familia]]="termico solar",Tabla4[[#This Row],[Utilidad Total]]*6%,Tabla4[[#This Row],[Utilidad Total]]*11.5%))/Tabla4[[#This Row],[Total]]</f>
        <v>#N/A</v>
      </c>
      <c r="V4004" s="282" t="e">
        <f>+Tabla4[[#This Row],[Comisión Calculada]]*Tabla4[[#This Row],[Total]]</f>
        <v>#N/A</v>
      </c>
    </row>
    <row r="4005" spans="1:22" hidden="1" x14ac:dyDescent="0.25">
      <c r="A4005" s="100">
        <v>45838</v>
      </c>
      <c r="B4005" t="str">
        <f t="shared" ref="B4005:B4014" si="194">TEXT(A4005, "mmmm")</f>
        <v>June</v>
      </c>
      <c r="C4005" s="46" t="s">
        <v>280</v>
      </c>
      <c r="F4005" s="366" t="s">
        <v>2228</v>
      </c>
      <c r="G4005" s="46" t="s">
        <v>83</v>
      </c>
      <c r="H4005" s="46">
        <v>3</v>
      </c>
      <c r="I4005" s="51">
        <v>8858.76</v>
      </c>
      <c r="J4005" s="281">
        <f>++Tabla4[[#This Row],[Precio Bruto]]*1.16</f>
        <v>10276.161599999999</v>
      </c>
      <c r="K4005" s="281">
        <f>+Tabla4[[#This Row],[Precio Unitario Neto]]*Tabla4[[#Headers],[20.85%]]</f>
        <v>2142.5796935999997</v>
      </c>
      <c r="L4005" s="282">
        <f>++Tabla4[[#This Row],[Precio Unitario Neto]]-Tabla4[[#This Row],[20.85%]]</f>
        <v>8133.5819063999998</v>
      </c>
      <c r="M4005" s="282" t="e">
        <f>(INDEX(Tabla6[#All],MATCH(Tabla4[[#This Row],[Producto]],Tabla6[[#All],[PRODUCTO]],0),MATCH(Tabla4[[#This Row],[Mes]],Tabla6[#Headers],0)))*(1+Catalogos!$L$2)</f>
        <v>#N/A</v>
      </c>
      <c r="N4005" s="283" t="e">
        <f>+(Tabla4[[#This Row],[Precio Descontado]]-Tabla4[[#This Row],[Precio Base]])*Tabla4[[#This Row],[Cantidad]]</f>
        <v>#N/A</v>
      </c>
      <c r="O4005" s="284" t="e">
        <f>++Tabla4[[#This Row],[Utilidad Total]]/Tabla4[[#This Row],[Total]]</f>
        <v>#N/A</v>
      </c>
      <c r="P4005" s="282">
        <f>++Tabla4[[#This Row],[Precio Descontado]]*Tabla4[[#This Row],[Cantidad]]</f>
        <v>24400.7457192</v>
      </c>
      <c r="Q4005" s="282" t="e">
        <f>(INDEX(Tabla6[#All],MATCH(Tabla4[[#This Row],[Producto]],Tabla6[[#All],[PRODUCTO]],0),MATCH(Tabla4[[#This Row],[Mes]],Tabla6[#Headers],0)))</f>
        <v>#N/A</v>
      </c>
      <c r="R4005" s="282" t="e">
        <f>++Tabla4[[#This Row],[Precio Unitario Neto]]-Tabla4[[#This Row],[20.85%]]-Tabla4[[#This Row],[Costo]]</f>
        <v>#N/A</v>
      </c>
      <c r="S4005" s="282" t="e">
        <f>++Tabla4[[#This Row],[U. Bruta Uni]]*Tabla4[[#This Row],[Cantidad]]</f>
        <v>#N/A</v>
      </c>
      <c r="T4005" s="369" t="str">
        <f>VLOOKUP(Tabla4[[#This Row],[Producto]],Tabla6[#All],14,FALSE)</f>
        <v>Termico Solar</v>
      </c>
      <c r="U4005" s="284" t="e">
        <f>(IF(Tabla4[[#This Row],[Familia]]="termico solar",Tabla4[[#This Row],[Utilidad Total]]*6%,Tabla4[[#This Row],[Utilidad Total]]*11.5%))/Tabla4[[#This Row],[Total]]</f>
        <v>#N/A</v>
      </c>
      <c r="V4005" s="282" t="e">
        <f>+Tabla4[[#This Row],[Comisión Calculada]]*Tabla4[[#This Row],[Total]]</f>
        <v>#N/A</v>
      </c>
    </row>
    <row r="4006" spans="1:22" hidden="1" x14ac:dyDescent="0.25">
      <c r="A4006" s="100">
        <v>45838</v>
      </c>
      <c r="B4006" t="str">
        <f t="shared" si="194"/>
        <v>June</v>
      </c>
      <c r="C4006" s="46" t="s">
        <v>280</v>
      </c>
      <c r="F4006" s="366" t="s">
        <v>2228</v>
      </c>
      <c r="G4006" s="46" t="s">
        <v>566</v>
      </c>
      <c r="H4006" s="46">
        <v>3</v>
      </c>
      <c r="I4006" s="51">
        <v>2109.4500000000003</v>
      </c>
      <c r="J4006" s="281">
        <f>++Tabla4[[#This Row],[Precio Bruto]]*1.16</f>
        <v>2446.962</v>
      </c>
      <c r="K4006" s="281">
        <f>+Tabla4[[#This Row],[Precio Unitario Neto]]*Tabla4[[#Headers],[20.85%]]</f>
        <v>510.191577</v>
      </c>
      <c r="L4006" s="282">
        <f>++Tabla4[[#This Row],[Precio Unitario Neto]]-Tabla4[[#This Row],[20.85%]]</f>
        <v>1936.7704229999999</v>
      </c>
      <c r="M4006" s="282" t="e">
        <f>(INDEX(Tabla6[#All],MATCH(Tabla4[[#This Row],[Producto]],Tabla6[[#All],[PRODUCTO]],0),MATCH(Tabla4[[#This Row],[Mes]],Tabla6[#Headers],0)))*(1+Catalogos!$L$2)</f>
        <v>#N/A</v>
      </c>
      <c r="N4006" s="283" t="e">
        <f>+(Tabla4[[#This Row],[Precio Descontado]]-Tabla4[[#This Row],[Precio Base]])*Tabla4[[#This Row],[Cantidad]]</f>
        <v>#N/A</v>
      </c>
      <c r="O4006" s="284" t="e">
        <f>++Tabla4[[#This Row],[Utilidad Total]]/Tabla4[[#This Row],[Total]]</f>
        <v>#N/A</v>
      </c>
      <c r="P4006" s="282">
        <f>++Tabla4[[#This Row],[Precio Descontado]]*Tabla4[[#This Row],[Cantidad]]</f>
        <v>5810.3112689999998</v>
      </c>
      <c r="Q4006" s="282" t="e">
        <f>(INDEX(Tabla6[#All],MATCH(Tabla4[[#This Row],[Producto]],Tabla6[[#All],[PRODUCTO]],0),MATCH(Tabla4[[#This Row],[Mes]],Tabla6[#Headers],0)))</f>
        <v>#N/A</v>
      </c>
      <c r="R4006" s="282" t="e">
        <f>++Tabla4[[#This Row],[Precio Unitario Neto]]-Tabla4[[#This Row],[20.85%]]-Tabla4[[#This Row],[Costo]]</f>
        <v>#N/A</v>
      </c>
      <c r="S4006" s="282" t="e">
        <f>++Tabla4[[#This Row],[U. Bruta Uni]]*Tabla4[[#This Row],[Cantidad]]</f>
        <v>#N/A</v>
      </c>
      <c r="T4006" s="369" t="str">
        <f>VLOOKUP(Tabla4[[#This Row],[Producto]],Tabla6[#All],14,FALSE)</f>
        <v>Termico Solar</v>
      </c>
      <c r="U4006" s="284" t="e">
        <f>(IF(Tabla4[[#This Row],[Familia]]="termico solar",Tabla4[[#This Row],[Utilidad Total]]*6%,Tabla4[[#This Row],[Utilidad Total]]*11.5%))/Tabla4[[#This Row],[Total]]</f>
        <v>#N/A</v>
      </c>
      <c r="V4006" s="282" t="e">
        <f>+Tabla4[[#This Row],[Comisión Calculada]]*Tabla4[[#This Row],[Total]]</f>
        <v>#N/A</v>
      </c>
    </row>
    <row r="4007" spans="1:22" hidden="1" x14ac:dyDescent="0.25">
      <c r="A4007" s="100">
        <v>45838</v>
      </c>
      <c r="B4007" t="str">
        <f t="shared" si="194"/>
        <v>June</v>
      </c>
      <c r="C4007" s="46" t="s">
        <v>280</v>
      </c>
      <c r="F4007" s="366" t="s">
        <v>2229</v>
      </c>
      <c r="G4007" s="46" t="s">
        <v>18</v>
      </c>
      <c r="H4007" s="46">
        <v>2</v>
      </c>
      <c r="I4007" s="51">
        <v>5367.65</v>
      </c>
      <c r="J4007" s="281">
        <f>++Tabla4[[#This Row],[Precio Bruto]]*1.16</f>
        <v>6226.4739999999993</v>
      </c>
      <c r="K4007" s="281">
        <f>+Tabla4[[#This Row],[Precio Unitario Neto]]*Tabla4[[#Headers],[20.85%]]</f>
        <v>1298.2198289999999</v>
      </c>
      <c r="L4007" s="282">
        <f>++Tabla4[[#This Row],[Precio Unitario Neto]]-Tabla4[[#This Row],[20.85%]]</f>
        <v>4928.2541709999996</v>
      </c>
      <c r="M4007" s="282" t="e">
        <f>(INDEX(Tabla6[#All],MATCH(Tabla4[[#This Row],[Producto]],Tabla6[[#All],[PRODUCTO]],0),MATCH(Tabla4[[#This Row],[Mes]],Tabla6[#Headers],0)))*(1+Catalogos!$L$2)</f>
        <v>#N/A</v>
      </c>
      <c r="N4007" s="283" t="e">
        <f>+(Tabla4[[#This Row],[Precio Descontado]]-Tabla4[[#This Row],[Precio Base]])*Tabla4[[#This Row],[Cantidad]]</f>
        <v>#N/A</v>
      </c>
      <c r="O4007" s="284" t="e">
        <f>++Tabla4[[#This Row],[Utilidad Total]]/Tabla4[[#This Row],[Total]]</f>
        <v>#N/A</v>
      </c>
      <c r="P4007" s="282">
        <f>++Tabla4[[#This Row],[Precio Descontado]]*Tabla4[[#This Row],[Cantidad]]</f>
        <v>9856.5083419999992</v>
      </c>
      <c r="Q4007" s="282" t="e">
        <f>(INDEX(Tabla6[#All],MATCH(Tabla4[[#This Row],[Producto]],Tabla6[[#All],[PRODUCTO]],0),MATCH(Tabla4[[#This Row],[Mes]],Tabla6[#Headers],0)))</f>
        <v>#N/A</v>
      </c>
      <c r="R4007" s="282" t="e">
        <f>++Tabla4[[#This Row],[Precio Unitario Neto]]-Tabla4[[#This Row],[20.85%]]-Tabla4[[#This Row],[Costo]]</f>
        <v>#N/A</v>
      </c>
      <c r="S4007" s="282" t="e">
        <f>++Tabla4[[#This Row],[U. Bruta Uni]]*Tabla4[[#This Row],[Cantidad]]</f>
        <v>#N/A</v>
      </c>
      <c r="T4007" s="369" t="str">
        <f>VLOOKUP(Tabla4[[#This Row],[Producto]],Tabla6[#All],14,FALSE)</f>
        <v>Termico Solar</v>
      </c>
      <c r="U4007" s="284" t="e">
        <f>(IF(Tabla4[[#This Row],[Familia]]="termico solar",Tabla4[[#This Row],[Utilidad Total]]*6%,Tabla4[[#This Row],[Utilidad Total]]*11.5%))/Tabla4[[#This Row],[Total]]</f>
        <v>#N/A</v>
      </c>
      <c r="V4007" s="282" t="e">
        <f>+Tabla4[[#This Row],[Comisión Calculada]]*Tabla4[[#This Row],[Total]]</f>
        <v>#N/A</v>
      </c>
    </row>
    <row r="4008" spans="1:22" hidden="1" x14ac:dyDescent="0.25">
      <c r="A4008" s="100">
        <v>45838</v>
      </c>
      <c r="B4008" t="str">
        <f t="shared" si="194"/>
        <v>June</v>
      </c>
      <c r="C4008" s="46" t="s">
        <v>280</v>
      </c>
      <c r="F4008" s="366" t="s">
        <v>2229</v>
      </c>
      <c r="G4008" s="46" t="s">
        <v>200</v>
      </c>
      <c r="H4008" s="46">
        <v>12</v>
      </c>
      <c r="I4008" s="51">
        <v>393.22</v>
      </c>
      <c r="J4008" s="281">
        <f>++Tabla4[[#This Row],[Precio Bruto]]*1.16</f>
        <v>456.1352</v>
      </c>
      <c r="K4008" s="281">
        <f>+Tabla4[[#This Row],[Precio Unitario Neto]]*Tabla4[[#Headers],[20.85%]]</f>
        <v>95.104189199999993</v>
      </c>
      <c r="L4008" s="282">
        <f>++Tabla4[[#This Row],[Precio Unitario Neto]]-Tabla4[[#This Row],[20.85%]]</f>
        <v>361.03101079999999</v>
      </c>
      <c r="M4008" s="282" t="e">
        <f>(INDEX(Tabla6[#All],MATCH(Tabla4[[#This Row],[Producto]],Tabla6[[#All],[PRODUCTO]],0),MATCH(Tabla4[[#This Row],[Mes]],Tabla6[#Headers],0)))*(1+Catalogos!$L$2)</f>
        <v>#N/A</v>
      </c>
      <c r="N4008" s="283" t="e">
        <f>+(Tabla4[[#This Row],[Precio Descontado]]-Tabla4[[#This Row],[Precio Base]])*Tabla4[[#This Row],[Cantidad]]</f>
        <v>#N/A</v>
      </c>
      <c r="O4008" s="284" t="e">
        <f>++Tabla4[[#This Row],[Utilidad Total]]/Tabla4[[#This Row],[Total]]</f>
        <v>#N/A</v>
      </c>
      <c r="P4008" s="282">
        <f>++Tabla4[[#This Row],[Precio Descontado]]*Tabla4[[#This Row],[Cantidad]]</f>
        <v>4332.3721296000003</v>
      </c>
      <c r="Q4008" s="282" t="e">
        <f>(INDEX(Tabla6[#All],MATCH(Tabla4[[#This Row],[Producto]],Tabla6[[#All],[PRODUCTO]],0),MATCH(Tabla4[[#This Row],[Mes]],Tabla6[#Headers],0)))</f>
        <v>#N/A</v>
      </c>
      <c r="R4008" s="282" t="e">
        <f>++Tabla4[[#This Row],[Precio Unitario Neto]]-Tabla4[[#This Row],[20.85%]]-Tabla4[[#This Row],[Costo]]</f>
        <v>#N/A</v>
      </c>
      <c r="S4008" s="282" t="e">
        <f>++Tabla4[[#This Row],[U. Bruta Uni]]*Tabla4[[#This Row],[Cantidad]]</f>
        <v>#N/A</v>
      </c>
      <c r="T4008" s="369" t="str">
        <f>VLOOKUP(Tabla4[[#This Row],[Producto]],Tabla6[#All],14,FALSE)</f>
        <v>Termico Solar</v>
      </c>
      <c r="U4008" s="284" t="e">
        <f>(IF(Tabla4[[#This Row],[Familia]]="termico solar",Tabla4[[#This Row],[Utilidad Total]]*6%,Tabla4[[#This Row],[Utilidad Total]]*11.5%))/Tabla4[[#This Row],[Total]]</f>
        <v>#N/A</v>
      </c>
      <c r="V4008" s="282" t="e">
        <f>+Tabla4[[#This Row],[Comisión Calculada]]*Tabla4[[#This Row],[Total]]</f>
        <v>#N/A</v>
      </c>
    </row>
    <row r="4009" spans="1:22" hidden="1" x14ac:dyDescent="0.25">
      <c r="A4009" s="100">
        <v>45838</v>
      </c>
      <c r="B4009" t="str">
        <f t="shared" si="194"/>
        <v>June</v>
      </c>
      <c r="C4009" s="46" t="s">
        <v>280</v>
      </c>
      <c r="F4009" s="366" t="s">
        <v>2229</v>
      </c>
      <c r="G4009" s="46" t="s">
        <v>545</v>
      </c>
      <c r="H4009" s="46">
        <v>24</v>
      </c>
      <c r="I4009" s="51">
        <v>304.32</v>
      </c>
      <c r="J4009" s="281">
        <f>++Tabla4[[#This Row],[Precio Bruto]]*1.16</f>
        <v>353.01119999999997</v>
      </c>
      <c r="K4009" s="281">
        <f>+Tabla4[[#This Row],[Precio Unitario Neto]]*Tabla4[[#Headers],[20.85%]]</f>
        <v>73.602835199999987</v>
      </c>
      <c r="L4009" s="282">
        <f>++Tabla4[[#This Row],[Precio Unitario Neto]]-Tabla4[[#This Row],[20.85%]]</f>
        <v>279.40836479999996</v>
      </c>
      <c r="M4009" s="282" t="e">
        <f>(INDEX(Tabla6[#All],MATCH(Tabla4[[#This Row],[Producto]],Tabla6[[#All],[PRODUCTO]],0),MATCH(Tabla4[[#This Row],[Mes]],Tabla6[#Headers],0)))*(1+Catalogos!$L$2)</f>
        <v>#N/A</v>
      </c>
      <c r="N4009" s="283" t="e">
        <f>+(Tabla4[[#This Row],[Precio Descontado]]-Tabla4[[#This Row],[Precio Base]])*Tabla4[[#This Row],[Cantidad]]</f>
        <v>#N/A</v>
      </c>
      <c r="O4009" s="284" t="e">
        <f>++Tabla4[[#This Row],[Utilidad Total]]/Tabla4[[#This Row],[Total]]</f>
        <v>#N/A</v>
      </c>
      <c r="P4009" s="282">
        <f>++Tabla4[[#This Row],[Precio Descontado]]*Tabla4[[#This Row],[Cantidad]]</f>
        <v>6705.800755199999</v>
      </c>
      <c r="Q4009" s="282" t="e">
        <f>(INDEX(Tabla6[#All],MATCH(Tabla4[[#This Row],[Producto]],Tabla6[[#All],[PRODUCTO]],0),MATCH(Tabla4[[#This Row],[Mes]],Tabla6[#Headers],0)))</f>
        <v>#N/A</v>
      </c>
      <c r="R4009" s="282" t="e">
        <f>++Tabla4[[#This Row],[Precio Unitario Neto]]-Tabla4[[#This Row],[20.85%]]-Tabla4[[#This Row],[Costo]]</f>
        <v>#N/A</v>
      </c>
      <c r="S4009" s="282" t="e">
        <f>++Tabla4[[#This Row],[U. Bruta Uni]]*Tabla4[[#This Row],[Cantidad]]</f>
        <v>#N/A</v>
      </c>
      <c r="T4009" s="369" t="str">
        <f>VLOOKUP(Tabla4[[#This Row],[Producto]],Tabla6[#All],14,FALSE)</f>
        <v>Termico Solar</v>
      </c>
      <c r="U4009" s="284" t="e">
        <f>(IF(Tabla4[[#This Row],[Familia]]="termico solar",Tabla4[[#This Row],[Utilidad Total]]*6%,Tabla4[[#This Row],[Utilidad Total]]*11.5%))/Tabla4[[#This Row],[Total]]</f>
        <v>#N/A</v>
      </c>
      <c r="V4009" s="282" t="e">
        <f>+Tabla4[[#This Row],[Comisión Calculada]]*Tabla4[[#This Row],[Total]]</f>
        <v>#N/A</v>
      </c>
    </row>
    <row r="4010" spans="1:22" hidden="1" x14ac:dyDescent="0.25">
      <c r="A4010" s="100">
        <v>45838</v>
      </c>
      <c r="B4010" t="str">
        <f t="shared" si="194"/>
        <v>June</v>
      </c>
      <c r="C4010" s="46" t="s">
        <v>280</v>
      </c>
      <c r="F4010" s="366" t="s">
        <v>2229</v>
      </c>
      <c r="G4010" s="46" t="s">
        <v>208</v>
      </c>
      <c r="H4010" s="46">
        <v>1</v>
      </c>
      <c r="I4010" s="51">
        <v>189.75</v>
      </c>
      <c r="J4010" s="281">
        <f>++Tabla4[[#This Row],[Precio Bruto]]*1.16</f>
        <v>220.10999999999999</v>
      </c>
      <c r="K4010" s="281">
        <f>+Tabla4[[#This Row],[Precio Unitario Neto]]*Tabla4[[#Headers],[20.85%]]</f>
        <v>45.892934999999994</v>
      </c>
      <c r="L4010" s="282">
        <f>++Tabla4[[#This Row],[Precio Unitario Neto]]-Tabla4[[#This Row],[20.85%]]</f>
        <v>174.21706499999999</v>
      </c>
      <c r="M4010" s="282" t="e">
        <f>(INDEX(Tabla6[#All],MATCH(Tabla4[[#This Row],[Producto]],Tabla6[[#All],[PRODUCTO]],0),MATCH(Tabla4[[#This Row],[Mes]],Tabla6[#Headers],0)))*(1+Catalogos!$L$2)</f>
        <v>#N/A</v>
      </c>
      <c r="N4010" s="283" t="e">
        <f>+(Tabla4[[#This Row],[Precio Descontado]]-Tabla4[[#This Row],[Precio Base]])*Tabla4[[#This Row],[Cantidad]]</f>
        <v>#N/A</v>
      </c>
      <c r="O4010" s="284" t="e">
        <f>++Tabla4[[#This Row],[Utilidad Total]]/Tabla4[[#This Row],[Total]]</f>
        <v>#N/A</v>
      </c>
      <c r="P4010" s="282">
        <f>++Tabla4[[#This Row],[Precio Descontado]]*Tabla4[[#This Row],[Cantidad]]</f>
        <v>174.21706499999999</v>
      </c>
      <c r="Q4010" s="282" t="e">
        <f>(INDEX(Tabla6[#All],MATCH(Tabla4[[#This Row],[Producto]],Tabla6[[#All],[PRODUCTO]],0),MATCH(Tabla4[[#This Row],[Mes]],Tabla6[#Headers],0)))</f>
        <v>#N/A</v>
      </c>
      <c r="R4010" s="282" t="e">
        <f>++Tabla4[[#This Row],[Precio Unitario Neto]]-Tabla4[[#This Row],[20.85%]]-Tabla4[[#This Row],[Costo]]</f>
        <v>#N/A</v>
      </c>
      <c r="S4010" s="282" t="e">
        <f>++Tabla4[[#This Row],[U. Bruta Uni]]*Tabla4[[#This Row],[Cantidad]]</f>
        <v>#N/A</v>
      </c>
      <c r="T4010" s="369" t="str">
        <f>VLOOKUP(Tabla4[[#This Row],[Producto]],Tabla6[#All],14,FALSE)</f>
        <v>Termico Solar</v>
      </c>
      <c r="U4010" s="284" t="e">
        <f>(IF(Tabla4[[#This Row],[Familia]]="termico solar",Tabla4[[#This Row],[Utilidad Total]]*6%,Tabla4[[#This Row],[Utilidad Total]]*11.5%))/Tabla4[[#This Row],[Total]]</f>
        <v>#N/A</v>
      </c>
      <c r="V4010" s="282" t="e">
        <f>+Tabla4[[#This Row],[Comisión Calculada]]*Tabla4[[#This Row],[Total]]</f>
        <v>#N/A</v>
      </c>
    </row>
    <row r="4011" spans="1:22" hidden="1" x14ac:dyDescent="0.25">
      <c r="A4011" s="100">
        <v>45838</v>
      </c>
      <c r="B4011" t="str">
        <f t="shared" si="194"/>
        <v>June</v>
      </c>
      <c r="C4011" s="46" t="s">
        <v>280</v>
      </c>
      <c r="F4011" s="366" t="s">
        <v>2229</v>
      </c>
      <c r="G4011" s="46" t="s">
        <v>209</v>
      </c>
      <c r="H4011" s="46">
        <v>2</v>
      </c>
      <c r="I4011" s="51">
        <v>347.48</v>
      </c>
      <c r="J4011" s="281">
        <f>++Tabla4[[#This Row],[Precio Bruto]]*1.16</f>
        <v>403.07679999999999</v>
      </c>
      <c r="K4011" s="281">
        <f>+Tabla4[[#This Row],[Precio Unitario Neto]]*Tabla4[[#Headers],[20.85%]]</f>
        <v>84.041512799999992</v>
      </c>
      <c r="L4011" s="282">
        <f>++Tabla4[[#This Row],[Precio Unitario Neto]]-Tabla4[[#This Row],[20.85%]]</f>
        <v>319.03528719999997</v>
      </c>
      <c r="M4011" s="282" t="e">
        <f>(INDEX(Tabla6[#All],MATCH(Tabla4[[#This Row],[Producto]],Tabla6[[#All],[PRODUCTO]],0),MATCH(Tabla4[[#This Row],[Mes]],Tabla6[#Headers],0)))*(1+Catalogos!$L$2)</f>
        <v>#N/A</v>
      </c>
      <c r="N4011" s="283" t="e">
        <f>+(Tabla4[[#This Row],[Precio Descontado]]-Tabla4[[#This Row],[Precio Base]])*Tabla4[[#This Row],[Cantidad]]</f>
        <v>#N/A</v>
      </c>
      <c r="O4011" s="284" t="e">
        <f>++Tabla4[[#This Row],[Utilidad Total]]/Tabla4[[#This Row],[Total]]</f>
        <v>#N/A</v>
      </c>
      <c r="P4011" s="282">
        <f>++Tabla4[[#This Row],[Precio Descontado]]*Tabla4[[#This Row],[Cantidad]]</f>
        <v>638.07057439999994</v>
      </c>
      <c r="Q4011" s="282" t="e">
        <f>(INDEX(Tabla6[#All],MATCH(Tabla4[[#This Row],[Producto]],Tabla6[[#All],[PRODUCTO]],0),MATCH(Tabla4[[#This Row],[Mes]],Tabla6[#Headers],0)))</f>
        <v>#N/A</v>
      </c>
      <c r="R4011" s="282" t="e">
        <f>++Tabla4[[#This Row],[Precio Unitario Neto]]-Tabla4[[#This Row],[20.85%]]-Tabla4[[#This Row],[Costo]]</f>
        <v>#N/A</v>
      </c>
      <c r="S4011" s="282" t="e">
        <f>++Tabla4[[#This Row],[U. Bruta Uni]]*Tabla4[[#This Row],[Cantidad]]</f>
        <v>#N/A</v>
      </c>
      <c r="T4011" s="369" t="str">
        <f>VLOOKUP(Tabla4[[#This Row],[Producto]],Tabla6[#All],14,FALSE)</f>
        <v>Termico Solar</v>
      </c>
      <c r="U4011" s="284" t="e">
        <f>(IF(Tabla4[[#This Row],[Familia]]="termico solar",Tabla4[[#This Row],[Utilidad Total]]*6%,Tabla4[[#This Row],[Utilidad Total]]*11.5%))/Tabla4[[#This Row],[Total]]</f>
        <v>#N/A</v>
      </c>
      <c r="V4011" s="282" t="e">
        <f>+Tabla4[[#This Row],[Comisión Calculada]]*Tabla4[[#This Row],[Total]]</f>
        <v>#N/A</v>
      </c>
    </row>
    <row r="4012" spans="1:22" hidden="1" x14ac:dyDescent="0.25">
      <c r="A4012" s="100">
        <v>45838</v>
      </c>
      <c r="B4012" t="str">
        <f t="shared" si="194"/>
        <v>June</v>
      </c>
      <c r="C4012" s="46" t="s">
        <v>280</v>
      </c>
      <c r="F4012" s="366" t="s">
        <v>2230</v>
      </c>
      <c r="G4012" s="46" t="s">
        <v>200</v>
      </c>
      <c r="H4012" s="46">
        <v>12</v>
      </c>
      <c r="I4012" s="51">
        <v>393.22</v>
      </c>
      <c r="J4012" s="281">
        <f>++Tabla4[[#This Row],[Precio Bruto]]*1.16</f>
        <v>456.1352</v>
      </c>
      <c r="K4012" s="281">
        <f>+Tabla4[[#This Row],[Precio Unitario Neto]]*Tabla4[[#Headers],[20.85%]]</f>
        <v>95.104189199999993</v>
      </c>
      <c r="L4012" s="282">
        <f>++Tabla4[[#This Row],[Precio Unitario Neto]]-Tabla4[[#This Row],[20.85%]]</f>
        <v>361.03101079999999</v>
      </c>
      <c r="M4012" s="282" t="e">
        <f>(INDEX(Tabla6[#All],MATCH(Tabla4[[#This Row],[Producto]],Tabla6[[#All],[PRODUCTO]],0),MATCH(Tabla4[[#This Row],[Mes]],Tabla6[#Headers],0)))*(1+Catalogos!$L$2)</f>
        <v>#N/A</v>
      </c>
      <c r="N4012" s="283" t="e">
        <f>+(Tabla4[[#This Row],[Precio Descontado]]-Tabla4[[#This Row],[Precio Base]])*Tabla4[[#This Row],[Cantidad]]</f>
        <v>#N/A</v>
      </c>
      <c r="O4012" s="284" t="e">
        <f>++Tabla4[[#This Row],[Utilidad Total]]/Tabla4[[#This Row],[Total]]</f>
        <v>#N/A</v>
      </c>
      <c r="P4012" s="282">
        <f>++Tabla4[[#This Row],[Precio Descontado]]*Tabla4[[#This Row],[Cantidad]]</f>
        <v>4332.3721296000003</v>
      </c>
      <c r="Q4012" s="282" t="e">
        <f>(INDEX(Tabla6[#All],MATCH(Tabla4[[#This Row],[Producto]],Tabla6[[#All],[PRODUCTO]],0),MATCH(Tabla4[[#This Row],[Mes]],Tabla6[#Headers],0)))</f>
        <v>#N/A</v>
      </c>
      <c r="R4012" s="282" t="e">
        <f>++Tabla4[[#This Row],[Precio Unitario Neto]]-Tabla4[[#This Row],[20.85%]]-Tabla4[[#This Row],[Costo]]</f>
        <v>#N/A</v>
      </c>
      <c r="S4012" s="282" t="e">
        <f>++Tabla4[[#This Row],[U. Bruta Uni]]*Tabla4[[#This Row],[Cantidad]]</f>
        <v>#N/A</v>
      </c>
      <c r="T4012" s="369" t="str">
        <f>VLOOKUP(Tabla4[[#This Row],[Producto]],Tabla6[#All],14,FALSE)</f>
        <v>Termico Solar</v>
      </c>
      <c r="U4012" s="284" t="e">
        <f>(IF(Tabla4[[#This Row],[Familia]]="termico solar",Tabla4[[#This Row],[Utilidad Total]]*6%,Tabla4[[#This Row],[Utilidad Total]]*11.5%))/Tabla4[[#This Row],[Total]]</f>
        <v>#N/A</v>
      </c>
      <c r="V4012" s="282" t="e">
        <f>+Tabla4[[#This Row],[Comisión Calculada]]*Tabla4[[#This Row],[Total]]</f>
        <v>#N/A</v>
      </c>
    </row>
    <row r="4013" spans="1:22" hidden="1" x14ac:dyDescent="0.25">
      <c r="A4013" s="100">
        <v>45838</v>
      </c>
      <c r="B4013" t="str">
        <f t="shared" si="194"/>
        <v>June</v>
      </c>
      <c r="C4013" s="46" t="s">
        <v>280</v>
      </c>
      <c r="F4013" s="366" t="s">
        <v>2230</v>
      </c>
      <c r="G4013" s="46" t="s">
        <v>545</v>
      </c>
      <c r="H4013" s="46">
        <v>24</v>
      </c>
      <c r="I4013" s="51">
        <v>304.32</v>
      </c>
      <c r="J4013" s="281">
        <f>++Tabla4[[#This Row],[Precio Bruto]]*1.16</f>
        <v>353.01119999999997</v>
      </c>
      <c r="K4013" s="281">
        <f>+Tabla4[[#This Row],[Precio Unitario Neto]]*Tabla4[[#Headers],[20.85%]]</f>
        <v>73.602835199999987</v>
      </c>
      <c r="L4013" s="282">
        <f>++Tabla4[[#This Row],[Precio Unitario Neto]]-Tabla4[[#This Row],[20.85%]]</f>
        <v>279.40836479999996</v>
      </c>
      <c r="M4013" s="282" t="e">
        <f>(INDEX(Tabla6[#All],MATCH(Tabla4[[#This Row],[Producto]],Tabla6[[#All],[PRODUCTO]],0),MATCH(Tabla4[[#This Row],[Mes]],Tabla6[#Headers],0)))*(1+Catalogos!$L$2)</f>
        <v>#N/A</v>
      </c>
      <c r="N4013" s="283" t="e">
        <f>+(Tabla4[[#This Row],[Precio Descontado]]-Tabla4[[#This Row],[Precio Base]])*Tabla4[[#This Row],[Cantidad]]</f>
        <v>#N/A</v>
      </c>
      <c r="O4013" s="284" t="e">
        <f>++Tabla4[[#This Row],[Utilidad Total]]/Tabla4[[#This Row],[Total]]</f>
        <v>#N/A</v>
      </c>
      <c r="P4013" s="282">
        <f>++Tabla4[[#This Row],[Precio Descontado]]*Tabla4[[#This Row],[Cantidad]]</f>
        <v>6705.800755199999</v>
      </c>
      <c r="Q4013" s="282" t="e">
        <f>(INDEX(Tabla6[#All],MATCH(Tabla4[[#This Row],[Producto]],Tabla6[[#All],[PRODUCTO]],0),MATCH(Tabla4[[#This Row],[Mes]],Tabla6[#Headers],0)))</f>
        <v>#N/A</v>
      </c>
      <c r="R4013" s="282" t="e">
        <f>++Tabla4[[#This Row],[Precio Unitario Neto]]-Tabla4[[#This Row],[20.85%]]-Tabla4[[#This Row],[Costo]]</f>
        <v>#N/A</v>
      </c>
      <c r="S4013" s="282" t="e">
        <f>++Tabla4[[#This Row],[U. Bruta Uni]]*Tabla4[[#This Row],[Cantidad]]</f>
        <v>#N/A</v>
      </c>
      <c r="T4013" s="369" t="str">
        <f>VLOOKUP(Tabla4[[#This Row],[Producto]],Tabla6[#All],14,FALSE)</f>
        <v>Termico Solar</v>
      </c>
      <c r="U4013" s="284" t="e">
        <f>(IF(Tabla4[[#This Row],[Familia]]="termico solar",Tabla4[[#This Row],[Utilidad Total]]*6%,Tabla4[[#This Row],[Utilidad Total]]*11.5%))/Tabla4[[#This Row],[Total]]</f>
        <v>#N/A</v>
      </c>
      <c r="V4013" s="282" t="e">
        <f>+Tabla4[[#This Row],[Comisión Calculada]]*Tabla4[[#This Row],[Total]]</f>
        <v>#N/A</v>
      </c>
    </row>
    <row r="4014" spans="1:22" hidden="1" x14ac:dyDescent="0.25">
      <c r="A4014" s="100">
        <v>45838</v>
      </c>
      <c r="B4014" t="str">
        <f t="shared" si="194"/>
        <v>June</v>
      </c>
      <c r="C4014" s="46" t="s">
        <v>280</v>
      </c>
      <c r="F4014" s="366" t="s">
        <v>2230</v>
      </c>
      <c r="G4014" s="46" t="s">
        <v>209</v>
      </c>
      <c r="H4014" s="46">
        <v>2</v>
      </c>
      <c r="I4014" s="51">
        <v>347.48</v>
      </c>
      <c r="J4014" s="281">
        <f>++Tabla4[[#This Row],[Precio Bruto]]*1.16</f>
        <v>403.07679999999999</v>
      </c>
      <c r="K4014" s="281">
        <f>+Tabla4[[#This Row],[Precio Unitario Neto]]*Tabla4[[#Headers],[20.85%]]</f>
        <v>84.041512799999992</v>
      </c>
      <c r="L4014" s="282">
        <f>++Tabla4[[#This Row],[Precio Unitario Neto]]-Tabla4[[#This Row],[20.85%]]</f>
        <v>319.03528719999997</v>
      </c>
      <c r="M4014" s="282" t="e">
        <f>(INDEX(Tabla6[#All],MATCH(Tabla4[[#This Row],[Producto]],Tabla6[[#All],[PRODUCTO]],0),MATCH(Tabla4[[#This Row],[Mes]],Tabla6[#Headers],0)))*(1+Catalogos!$L$2)</f>
        <v>#N/A</v>
      </c>
      <c r="N4014" s="283" t="e">
        <f>+(Tabla4[[#This Row],[Precio Descontado]]-Tabla4[[#This Row],[Precio Base]])*Tabla4[[#This Row],[Cantidad]]</f>
        <v>#N/A</v>
      </c>
      <c r="O4014" s="284" t="e">
        <f>++Tabla4[[#This Row],[Utilidad Total]]/Tabla4[[#This Row],[Total]]</f>
        <v>#N/A</v>
      </c>
      <c r="P4014" s="282">
        <f>++Tabla4[[#This Row],[Precio Descontado]]*Tabla4[[#This Row],[Cantidad]]</f>
        <v>638.07057439999994</v>
      </c>
      <c r="Q4014" s="282" t="e">
        <f>(INDEX(Tabla6[#All],MATCH(Tabla4[[#This Row],[Producto]],Tabla6[[#All],[PRODUCTO]],0),MATCH(Tabla4[[#This Row],[Mes]],Tabla6[#Headers],0)))</f>
        <v>#N/A</v>
      </c>
      <c r="R4014" s="282" t="e">
        <f>++Tabla4[[#This Row],[Precio Unitario Neto]]-Tabla4[[#This Row],[20.85%]]-Tabla4[[#This Row],[Costo]]</f>
        <v>#N/A</v>
      </c>
      <c r="S4014" s="282" t="e">
        <f>++Tabla4[[#This Row],[U. Bruta Uni]]*Tabla4[[#This Row],[Cantidad]]</f>
        <v>#N/A</v>
      </c>
      <c r="T4014" s="369" t="str">
        <f>VLOOKUP(Tabla4[[#This Row],[Producto]],Tabla6[#All],14,FALSE)</f>
        <v>Termico Solar</v>
      </c>
      <c r="U4014" s="284" t="e">
        <f>(IF(Tabla4[[#This Row],[Familia]]="termico solar",Tabla4[[#This Row],[Utilidad Total]]*6%,Tabla4[[#This Row],[Utilidad Total]]*11.5%))/Tabla4[[#This Row],[Total]]</f>
        <v>#N/A</v>
      </c>
      <c r="V4014" s="282" t="e">
        <f>+Tabla4[[#This Row],[Comisión Calculada]]*Tabla4[[#This Row],[Total]]</f>
        <v>#N/A</v>
      </c>
    </row>
    <row r="4015" spans="1:22" hidden="1" x14ac:dyDescent="0.25">
      <c r="A4015" s="100">
        <v>45838</v>
      </c>
      <c r="B4015" t="str">
        <f t="shared" ref="B4015:B4021" si="195">TEXT(A4015, "mmmm")</f>
        <v>June</v>
      </c>
      <c r="C4015" s="46" t="s">
        <v>280</v>
      </c>
      <c r="F4015" s="366" t="s">
        <v>2231</v>
      </c>
      <c r="G4015" s="46" t="s">
        <v>83</v>
      </c>
      <c r="H4015" s="46">
        <v>1</v>
      </c>
      <c r="I4015" s="51">
        <v>8858.76</v>
      </c>
      <c r="J4015" s="281">
        <f>++Tabla4[[#This Row],[Precio Bruto]]*1.16</f>
        <v>10276.161599999999</v>
      </c>
      <c r="K4015" s="281">
        <f>+Tabla4[[#This Row],[Precio Unitario Neto]]*Tabla4[[#Headers],[20.85%]]</f>
        <v>2142.5796935999997</v>
      </c>
      <c r="L4015" s="282">
        <f>++Tabla4[[#This Row],[Precio Unitario Neto]]-Tabla4[[#This Row],[20.85%]]</f>
        <v>8133.5819063999998</v>
      </c>
      <c r="M4015" s="282" t="e">
        <f>(INDEX(Tabla6[#All],MATCH(Tabla4[[#This Row],[Producto]],Tabla6[[#All],[PRODUCTO]],0),MATCH(Tabla4[[#This Row],[Mes]],Tabla6[#Headers],0)))*(1+Catalogos!$L$2)</f>
        <v>#N/A</v>
      </c>
      <c r="N4015" s="283" t="e">
        <f>+(Tabla4[[#This Row],[Precio Descontado]]-Tabla4[[#This Row],[Precio Base]])*Tabla4[[#This Row],[Cantidad]]</f>
        <v>#N/A</v>
      </c>
      <c r="O4015" s="284" t="e">
        <f>++Tabla4[[#This Row],[Utilidad Total]]/Tabla4[[#This Row],[Total]]</f>
        <v>#N/A</v>
      </c>
      <c r="P4015" s="282">
        <f>++Tabla4[[#This Row],[Precio Descontado]]*Tabla4[[#This Row],[Cantidad]]</f>
        <v>8133.5819063999998</v>
      </c>
      <c r="Q4015" s="282" t="e">
        <f>(INDEX(Tabla6[#All],MATCH(Tabla4[[#This Row],[Producto]],Tabla6[[#All],[PRODUCTO]],0),MATCH(Tabla4[[#This Row],[Mes]],Tabla6[#Headers],0)))</f>
        <v>#N/A</v>
      </c>
      <c r="R4015" s="282" t="e">
        <f>++Tabla4[[#This Row],[Precio Unitario Neto]]-Tabla4[[#This Row],[20.85%]]-Tabla4[[#This Row],[Costo]]</f>
        <v>#N/A</v>
      </c>
      <c r="S4015" s="282" t="e">
        <f>++Tabla4[[#This Row],[U. Bruta Uni]]*Tabla4[[#This Row],[Cantidad]]</f>
        <v>#N/A</v>
      </c>
      <c r="T4015" s="369" t="str">
        <f>VLOOKUP(Tabla4[[#This Row],[Producto]],Tabla6[#All],14,FALSE)</f>
        <v>Termico Solar</v>
      </c>
      <c r="U4015" s="284" t="e">
        <f>(IF(Tabla4[[#This Row],[Familia]]="termico solar",Tabla4[[#This Row],[Utilidad Total]]*6%,Tabla4[[#This Row],[Utilidad Total]]*11.5%))/Tabla4[[#This Row],[Total]]</f>
        <v>#N/A</v>
      </c>
      <c r="V4015" s="282" t="e">
        <f>+Tabla4[[#This Row],[Comisión Calculada]]*Tabla4[[#This Row],[Total]]</f>
        <v>#N/A</v>
      </c>
    </row>
    <row r="4016" spans="1:22" hidden="1" x14ac:dyDescent="0.25">
      <c r="A4016" s="100">
        <v>45838</v>
      </c>
      <c r="B4016" t="str">
        <f t="shared" si="195"/>
        <v>June</v>
      </c>
      <c r="C4016" s="46" t="s">
        <v>280</v>
      </c>
      <c r="F4016" s="366" t="s">
        <v>2231</v>
      </c>
      <c r="G4016" s="46" t="s">
        <v>17</v>
      </c>
      <c r="H4016" s="46">
        <v>9</v>
      </c>
      <c r="I4016" s="51">
        <v>4622.28</v>
      </c>
      <c r="J4016" s="281">
        <f>++Tabla4[[#This Row],[Precio Bruto]]*1.16</f>
        <v>5361.8447999999989</v>
      </c>
      <c r="K4016" s="281">
        <f>+Tabla4[[#This Row],[Precio Unitario Neto]]*Tabla4[[#Headers],[20.85%]]</f>
        <v>1117.9446407999997</v>
      </c>
      <c r="L4016" s="282">
        <f>++Tabla4[[#This Row],[Precio Unitario Neto]]-Tabla4[[#This Row],[20.85%]]</f>
        <v>4243.9001591999995</v>
      </c>
      <c r="M4016" s="282" t="e">
        <f>(INDEX(Tabla6[#All],MATCH(Tabla4[[#This Row],[Producto]],Tabla6[[#All],[PRODUCTO]],0),MATCH(Tabla4[[#This Row],[Mes]],Tabla6[#Headers],0)))*(1+Catalogos!$L$2)</f>
        <v>#N/A</v>
      </c>
      <c r="N4016" s="283" t="e">
        <f>+(Tabla4[[#This Row],[Precio Descontado]]-Tabla4[[#This Row],[Precio Base]])*Tabla4[[#This Row],[Cantidad]]</f>
        <v>#N/A</v>
      </c>
      <c r="O4016" s="284" t="e">
        <f>++Tabla4[[#This Row],[Utilidad Total]]/Tabla4[[#This Row],[Total]]</f>
        <v>#N/A</v>
      </c>
      <c r="P4016" s="282">
        <f>++Tabla4[[#This Row],[Precio Descontado]]*Tabla4[[#This Row],[Cantidad]]</f>
        <v>38195.101432799995</v>
      </c>
      <c r="Q4016" s="282" t="e">
        <f>(INDEX(Tabla6[#All],MATCH(Tabla4[[#This Row],[Producto]],Tabla6[[#All],[PRODUCTO]],0),MATCH(Tabla4[[#This Row],[Mes]],Tabla6[#Headers],0)))</f>
        <v>#N/A</v>
      </c>
      <c r="R4016" s="282" t="e">
        <f>++Tabla4[[#This Row],[Precio Unitario Neto]]-Tabla4[[#This Row],[20.85%]]-Tabla4[[#This Row],[Costo]]</f>
        <v>#N/A</v>
      </c>
      <c r="S4016" s="282" t="e">
        <f>++Tabla4[[#This Row],[U. Bruta Uni]]*Tabla4[[#This Row],[Cantidad]]</f>
        <v>#N/A</v>
      </c>
      <c r="T4016" s="369" t="str">
        <f>VLOOKUP(Tabla4[[#This Row],[Producto]],Tabla6[#All],14,FALSE)</f>
        <v>Termico Solar</v>
      </c>
      <c r="U4016" s="284" t="e">
        <f>(IF(Tabla4[[#This Row],[Familia]]="termico solar",Tabla4[[#This Row],[Utilidad Total]]*6%,Tabla4[[#This Row],[Utilidad Total]]*11.5%))/Tabla4[[#This Row],[Total]]</f>
        <v>#N/A</v>
      </c>
      <c r="V4016" s="282" t="e">
        <f>+Tabla4[[#This Row],[Comisión Calculada]]*Tabla4[[#This Row],[Total]]</f>
        <v>#N/A</v>
      </c>
    </row>
    <row r="4017" spans="1:22" hidden="1" x14ac:dyDescent="0.25">
      <c r="A4017" s="100">
        <v>45838</v>
      </c>
      <c r="B4017" t="str">
        <f t="shared" si="195"/>
        <v>June</v>
      </c>
      <c r="C4017" s="46" t="s">
        <v>280</v>
      </c>
      <c r="F4017" s="366" t="s">
        <v>2231</v>
      </c>
      <c r="G4017" s="46" t="s">
        <v>18</v>
      </c>
      <c r="H4017" s="46">
        <v>3</v>
      </c>
      <c r="I4017" s="51">
        <v>5367.6500000000005</v>
      </c>
      <c r="J4017" s="281">
        <f>++Tabla4[[#This Row],[Precio Bruto]]*1.16</f>
        <v>6226.4740000000002</v>
      </c>
      <c r="K4017" s="281">
        <f>+Tabla4[[#This Row],[Precio Unitario Neto]]*Tabla4[[#Headers],[20.85%]]</f>
        <v>1298.2198289999999</v>
      </c>
      <c r="L4017" s="282">
        <f>++Tabla4[[#This Row],[Precio Unitario Neto]]-Tabla4[[#This Row],[20.85%]]</f>
        <v>4928.2541710000005</v>
      </c>
      <c r="M4017" s="282" t="e">
        <f>(INDEX(Tabla6[#All],MATCH(Tabla4[[#This Row],[Producto]],Tabla6[[#All],[PRODUCTO]],0),MATCH(Tabla4[[#This Row],[Mes]],Tabla6[#Headers],0)))*(1+Catalogos!$L$2)</f>
        <v>#N/A</v>
      </c>
      <c r="N4017" s="283" t="e">
        <f>+(Tabla4[[#This Row],[Precio Descontado]]-Tabla4[[#This Row],[Precio Base]])*Tabla4[[#This Row],[Cantidad]]</f>
        <v>#N/A</v>
      </c>
      <c r="O4017" s="284" t="e">
        <f>++Tabla4[[#This Row],[Utilidad Total]]/Tabla4[[#This Row],[Total]]</f>
        <v>#N/A</v>
      </c>
      <c r="P4017" s="282">
        <f>++Tabla4[[#This Row],[Precio Descontado]]*Tabla4[[#This Row],[Cantidad]]</f>
        <v>14784.762513000001</v>
      </c>
      <c r="Q4017" s="282" t="e">
        <f>(INDEX(Tabla6[#All],MATCH(Tabla4[[#This Row],[Producto]],Tabla6[[#All],[PRODUCTO]],0),MATCH(Tabla4[[#This Row],[Mes]],Tabla6[#Headers],0)))</f>
        <v>#N/A</v>
      </c>
      <c r="R4017" s="282" t="e">
        <f>++Tabla4[[#This Row],[Precio Unitario Neto]]-Tabla4[[#This Row],[20.85%]]-Tabla4[[#This Row],[Costo]]</f>
        <v>#N/A</v>
      </c>
      <c r="S4017" s="282" t="e">
        <f>++Tabla4[[#This Row],[U. Bruta Uni]]*Tabla4[[#This Row],[Cantidad]]</f>
        <v>#N/A</v>
      </c>
      <c r="T4017" s="369" t="str">
        <f>VLOOKUP(Tabla4[[#This Row],[Producto]],Tabla6[#All],14,FALSE)</f>
        <v>Termico Solar</v>
      </c>
      <c r="U4017" s="284" t="e">
        <f>(IF(Tabla4[[#This Row],[Familia]]="termico solar",Tabla4[[#This Row],[Utilidad Total]]*6%,Tabla4[[#This Row],[Utilidad Total]]*11.5%))/Tabla4[[#This Row],[Total]]</f>
        <v>#N/A</v>
      </c>
      <c r="V4017" s="282" t="e">
        <f>+Tabla4[[#This Row],[Comisión Calculada]]*Tabla4[[#This Row],[Total]]</f>
        <v>#N/A</v>
      </c>
    </row>
    <row r="4018" spans="1:22" hidden="1" x14ac:dyDescent="0.25">
      <c r="A4018" s="100">
        <v>45838</v>
      </c>
      <c r="B4018" t="str">
        <f t="shared" si="195"/>
        <v>June</v>
      </c>
      <c r="C4018" s="46" t="s">
        <v>280</v>
      </c>
      <c r="F4018" s="366" t="s">
        <v>2231</v>
      </c>
      <c r="G4018" s="46" t="s">
        <v>566</v>
      </c>
      <c r="H4018" s="46">
        <v>1</v>
      </c>
      <c r="I4018" s="51">
        <v>2109.4499999999998</v>
      </c>
      <c r="J4018" s="281">
        <f>++Tabla4[[#This Row],[Precio Bruto]]*1.16</f>
        <v>2446.9619999999995</v>
      </c>
      <c r="K4018" s="281">
        <f>+Tabla4[[#This Row],[Precio Unitario Neto]]*Tabla4[[#Headers],[20.85%]]</f>
        <v>510.19157699999988</v>
      </c>
      <c r="L4018" s="282">
        <f>++Tabla4[[#This Row],[Precio Unitario Neto]]-Tabla4[[#This Row],[20.85%]]</f>
        <v>1936.7704229999997</v>
      </c>
      <c r="M4018" s="282" t="e">
        <f>(INDEX(Tabla6[#All],MATCH(Tabla4[[#This Row],[Producto]],Tabla6[[#All],[PRODUCTO]],0),MATCH(Tabla4[[#This Row],[Mes]],Tabla6[#Headers],0)))*(1+Catalogos!$L$2)</f>
        <v>#N/A</v>
      </c>
      <c r="N4018" s="283" t="e">
        <f>+(Tabla4[[#This Row],[Precio Descontado]]-Tabla4[[#This Row],[Precio Base]])*Tabla4[[#This Row],[Cantidad]]</f>
        <v>#N/A</v>
      </c>
      <c r="O4018" s="284" t="e">
        <f>++Tabla4[[#This Row],[Utilidad Total]]/Tabla4[[#This Row],[Total]]</f>
        <v>#N/A</v>
      </c>
      <c r="P4018" s="282">
        <f>++Tabla4[[#This Row],[Precio Descontado]]*Tabla4[[#This Row],[Cantidad]]</f>
        <v>1936.7704229999997</v>
      </c>
      <c r="Q4018" s="282" t="e">
        <f>(INDEX(Tabla6[#All],MATCH(Tabla4[[#This Row],[Producto]],Tabla6[[#All],[PRODUCTO]],0),MATCH(Tabla4[[#This Row],[Mes]],Tabla6[#Headers],0)))</f>
        <v>#N/A</v>
      </c>
      <c r="R4018" s="282" t="e">
        <f>++Tabla4[[#This Row],[Precio Unitario Neto]]-Tabla4[[#This Row],[20.85%]]-Tabla4[[#This Row],[Costo]]</f>
        <v>#N/A</v>
      </c>
      <c r="S4018" s="282" t="e">
        <f>++Tabla4[[#This Row],[U. Bruta Uni]]*Tabla4[[#This Row],[Cantidad]]</f>
        <v>#N/A</v>
      </c>
      <c r="T4018" s="369" t="str">
        <f>VLOOKUP(Tabla4[[#This Row],[Producto]],Tabla6[#All],14,FALSE)</f>
        <v>Termico Solar</v>
      </c>
      <c r="U4018" s="284" t="e">
        <f>(IF(Tabla4[[#This Row],[Familia]]="termico solar",Tabla4[[#This Row],[Utilidad Total]]*6%,Tabla4[[#This Row],[Utilidad Total]]*11.5%))/Tabla4[[#This Row],[Total]]</f>
        <v>#N/A</v>
      </c>
      <c r="V4018" s="282" t="e">
        <f>+Tabla4[[#This Row],[Comisión Calculada]]*Tabla4[[#This Row],[Total]]</f>
        <v>#N/A</v>
      </c>
    </row>
    <row r="4019" spans="1:22" hidden="1" x14ac:dyDescent="0.25">
      <c r="A4019" s="100">
        <v>45838</v>
      </c>
      <c r="B4019" t="str">
        <f t="shared" si="195"/>
        <v>June</v>
      </c>
      <c r="C4019" s="46" t="s">
        <v>280</v>
      </c>
      <c r="F4019" s="366" t="s">
        <v>2231</v>
      </c>
      <c r="G4019" s="46" t="s">
        <v>16</v>
      </c>
      <c r="H4019" s="46">
        <v>2</v>
      </c>
      <c r="I4019" s="51">
        <v>4103.8500000000004</v>
      </c>
      <c r="J4019" s="281">
        <f>++Tabla4[[#This Row],[Precio Bruto]]*1.16</f>
        <v>4760.4660000000003</v>
      </c>
      <c r="K4019" s="281">
        <f>+Tabla4[[#This Row],[Precio Unitario Neto]]*Tabla4[[#Headers],[20.85%]]</f>
        <v>992.55716100000006</v>
      </c>
      <c r="L4019" s="282">
        <f>++Tabla4[[#This Row],[Precio Unitario Neto]]-Tabla4[[#This Row],[20.85%]]</f>
        <v>3767.9088390000002</v>
      </c>
      <c r="M4019" s="282" t="e">
        <f>(INDEX(Tabla6[#All],MATCH(Tabla4[[#This Row],[Producto]],Tabla6[[#All],[PRODUCTO]],0),MATCH(Tabla4[[#This Row],[Mes]],Tabla6[#Headers],0)))*(1+Catalogos!$L$2)</f>
        <v>#N/A</v>
      </c>
      <c r="N4019" s="283" t="e">
        <f>+(Tabla4[[#This Row],[Precio Descontado]]-Tabla4[[#This Row],[Precio Base]])*Tabla4[[#This Row],[Cantidad]]</f>
        <v>#N/A</v>
      </c>
      <c r="O4019" s="284" t="e">
        <f>++Tabla4[[#This Row],[Utilidad Total]]/Tabla4[[#This Row],[Total]]</f>
        <v>#N/A</v>
      </c>
      <c r="P4019" s="282">
        <f>++Tabla4[[#This Row],[Precio Descontado]]*Tabla4[[#This Row],[Cantidad]]</f>
        <v>7535.8176780000003</v>
      </c>
      <c r="Q4019" s="282" t="e">
        <f>(INDEX(Tabla6[#All],MATCH(Tabla4[[#This Row],[Producto]],Tabla6[[#All],[PRODUCTO]],0),MATCH(Tabla4[[#This Row],[Mes]],Tabla6[#Headers],0)))</f>
        <v>#N/A</v>
      </c>
      <c r="R4019" s="282" t="e">
        <f>++Tabla4[[#This Row],[Precio Unitario Neto]]-Tabla4[[#This Row],[20.85%]]-Tabla4[[#This Row],[Costo]]</f>
        <v>#N/A</v>
      </c>
      <c r="S4019" s="282" t="e">
        <f>++Tabla4[[#This Row],[U. Bruta Uni]]*Tabla4[[#This Row],[Cantidad]]</f>
        <v>#N/A</v>
      </c>
      <c r="T4019" s="369" t="str">
        <f>VLOOKUP(Tabla4[[#This Row],[Producto]],Tabla6[#All],14,FALSE)</f>
        <v>Termico Solar</v>
      </c>
      <c r="U4019" s="284" t="e">
        <f>(IF(Tabla4[[#This Row],[Familia]]="termico solar",Tabla4[[#This Row],[Utilidad Total]]*6%,Tabla4[[#This Row],[Utilidad Total]]*11.5%))/Tabla4[[#This Row],[Total]]</f>
        <v>#N/A</v>
      </c>
      <c r="V4019" s="282" t="e">
        <f>+Tabla4[[#This Row],[Comisión Calculada]]*Tabla4[[#This Row],[Total]]</f>
        <v>#N/A</v>
      </c>
    </row>
    <row r="4020" spans="1:22" hidden="1" x14ac:dyDescent="0.25">
      <c r="A4020" s="100">
        <v>45838</v>
      </c>
      <c r="B4020" t="str">
        <f t="shared" si="195"/>
        <v>June</v>
      </c>
      <c r="C4020" s="46" t="s">
        <v>280</v>
      </c>
      <c r="F4020" s="366" t="s">
        <v>2231</v>
      </c>
      <c r="G4020" s="46" t="s">
        <v>200</v>
      </c>
      <c r="H4020" s="46">
        <v>12</v>
      </c>
      <c r="I4020" s="51">
        <v>393.22</v>
      </c>
      <c r="J4020" s="281">
        <f>++Tabla4[[#This Row],[Precio Bruto]]*1.16</f>
        <v>456.1352</v>
      </c>
      <c r="K4020" s="281">
        <f>+Tabla4[[#This Row],[Precio Unitario Neto]]*Tabla4[[#Headers],[20.85%]]</f>
        <v>95.104189199999993</v>
      </c>
      <c r="L4020" s="282">
        <f>++Tabla4[[#This Row],[Precio Unitario Neto]]-Tabla4[[#This Row],[20.85%]]</f>
        <v>361.03101079999999</v>
      </c>
      <c r="M4020" s="282" t="e">
        <f>(INDEX(Tabla6[#All],MATCH(Tabla4[[#This Row],[Producto]],Tabla6[[#All],[PRODUCTO]],0),MATCH(Tabla4[[#This Row],[Mes]],Tabla6[#Headers],0)))*(1+Catalogos!$L$2)</f>
        <v>#N/A</v>
      </c>
      <c r="N4020" s="283" t="e">
        <f>+(Tabla4[[#This Row],[Precio Descontado]]-Tabla4[[#This Row],[Precio Base]])*Tabla4[[#This Row],[Cantidad]]</f>
        <v>#N/A</v>
      </c>
      <c r="O4020" s="284" t="e">
        <f>++Tabla4[[#This Row],[Utilidad Total]]/Tabla4[[#This Row],[Total]]</f>
        <v>#N/A</v>
      </c>
      <c r="P4020" s="282">
        <f>++Tabla4[[#This Row],[Precio Descontado]]*Tabla4[[#This Row],[Cantidad]]</f>
        <v>4332.3721296000003</v>
      </c>
      <c r="Q4020" s="282" t="e">
        <f>(INDEX(Tabla6[#All],MATCH(Tabla4[[#This Row],[Producto]],Tabla6[[#All],[PRODUCTO]],0),MATCH(Tabla4[[#This Row],[Mes]],Tabla6[#Headers],0)))</f>
        <v>#N/A</v>
      </c>
      <c r="R4020" s="282" t="e">
        <f>++Tabla4[[#This Row],[Precio Unitario Neto]]-Tabla4[[#This Row],[20.85%]]-Tabla4[[#This Row],[Costo]]</f>
        <v>#N/A</v>
      </c>
      <c r="S4020" s="282" t="e">
        <f>++Tabla4[[#This Row],[U. Bruta Uni]]*Tabla4[[#This Row],[Cantidad]]</f>
        <v>#N/A</v>
      </c>
      <c r="T4020" s="369" t="str">
        <f>VLOOKUP(Tabla4[[#This Row],[Producto]],Tabla6[#All],14,FALSE)</f>
        <v>Termico Solar</v>
      </c>
      <c r="U4020" s="284" t="e">
        <f>(IF(Tabla4[[#This Row],[Familia]]="termico solar",Tabla4[[#This Row],[Utilidad Total]]*6%,Tabla4[[#This Row],[Utilidad Total]]*11.5%))/Tabla4[[#This Row],[Total]]</f>
        <v>#N/A</v>
      </c>
      <c r="V4020" s="282" t="e">
        <f>+Tabla4[[#This Row],[Comisión Calculada]]*Tabla4[[#This Row],[Total]]</f>
        <v>#N/A</v>
      </c>
    </row>
    <row r="4021" spans="1:22" hidden="1" x14ac:dyDescent="0.25">
      <c r="A4021" s="100">
        <v>45838</v>
      </c>
      <c r="B4021" t="str">
        <f t="shared" si="195"/>
        <v>June</v>
      </c>
      <c r="C4021" s="46" t="s">
        <v>280</v>
      </c>
      <c r="F4021" s="366" t="s">
        <v>2231</v>
      </c>
      <c r="G4021" s="46" t="s">
        <v>545</v>
      </c>
      <c r="H4021" s="46">
        <v>24</v>
      </c>
      <c r="I4021" s="51">
        <v>304.32</v>
      </c>
      <c r="J4021" s="281">
        <f>++Tabla4[[#This Row],[Precio Bruto]]*1.16</f>
        <v>353.01119999999997</v>
      </c>
      <c r="K4021" s="281">
        <f>+Tabla4[[#This Row],[Precio Unitario Neto]]*Tabla4[[#Headers],[20.85%]]</f>
        <v>73.602835199999987</v>
      </c>
      <c r="L4021" s="282">
        <f>++Tabla4[[#This Row],[Precio Unitario Neto]]-Tabla4[[#This Row],[20.85%]]</f>
        <v>279.40836479999996</v>
      </c>
      <c r="M4021" s="282" t="e">
        <f>(INDEX(Tabla6[#All],MATCH(Tabla4[[#This Row],[Producto]],Tabla6[[#All],[PRODUCTO]],0),MATCH(Tabla4[[#This Row],[Mes]],Tabla6[#Headers],0)))*(1+Catalogos!$L$2)</f>
        <v>#N/A</v>
      </c>
      <c r="N4021" s="283" t="e">
        <f>+(Tabla4[[#This Row],[Precio Descontado]]-Tabla4[[#This Row],[Precio Base]])*Tabla4[[#This Row],[Cantidad]]</f>
        <v>#N/A</v>
      </c>
      <c r="O4021" s="284" t="e">
        <f>++Tabla4[[#This Row],[Utilidad Total]]/Tabla4[[#This Row],[Total]]</f>
        <v>#N/A</v>
      </c>
      <c r="P4021" s="282">
        <f>++Tabla4[[#This Row],[Precio Descontado]]*Tabla4[[#This Row],[Cantidad]]</f>
        <v>6705.800755199999</v>
      </c>
      <c r="Q4021" s="282" t="e">
        <f>(INDEX(Tabla6[#All],MATCH(Tabla4[[#This Row],[Producto]],Tabla6[[#All],[PRODUCTO]],0),MATCH(Tabla4[[#This Row],[Mes]],Tabla6[#Headers],0)))</f>
        <v>#N/A</v>
      </c>
      <c r="R4021" s="282" t="e">
        <f>++Tabla4[[#This Row],[Precio Unitario Neto]]-Tabla4[[#This Row],[20.85%]]-Tabla4[[#This Row],[Costo]]</f>
        <v>#N/A</v>
      </c>
      <c r="S4021" s="282" t="e">
        <f>++Tabla4[[#This Row],[U. Bruta Uni]]*Tabla4[[#This Row],[Cantidad]]</f>
        <v>#N/A</v>
      </c>
      <c r="T4021" s="369" t="str">
        <f>VLOOKUP(Tabla4[[#This Row],[Producto]],Tabla6[#All],14,FALSE)</f>
        <v>Termico Solar</v>
      </c>
      <c r="U4021" s="284" t="e">
        <f>(IF(Tabla4[[#This Row],[Familia]]="termico solar",Tabla4[[#This Row],[Utilidad Total]]*6%,Tabla4[[#This Row],[Utilidad Total]]*11.5%))/Tabla4[[#This Row],[Total]]</f>
        <v>#N/A</v>
      </c>
      <c r="V4021" s="282" t="e">
        <f>+Tabla4[[#This Row],[Comisión Calculada]]*Tabla4[[#This Row],[Total]]</f>
        <v>#N/A</v>
      </c>
    </row>
    <row r="4022" spans="1:22" hidden="1" x14ac:dyDescent="0.25">
      <c r="A4022" s="100">
        <v>45838</v>
      </c>
      <c r="B4022" t="str">
        <f t="shared" ref="B4022:B4037" si="196">TEXT(A4022, "mmmm")</f>
        <v>June</v>
      </c>
      <c r="C4022" s="46" t="s">
        <v>280</v>
      </c>
      <c r="F4022" s="366" t="s">
        <v>2232</v>
      </c>
      <c r="G4022" s="46" t="s">
        <v>83</v>
      </c>
      <c r="H4022" s="46">
        <v>5</v>
      </c>
      <c r="I4022" s="51">
        <v>8858.76</v>
      </c>
      <c r="J4022" s="281">
        <f>++Tabla4[[#This Row],[Precio Bruto]]*1.16</f>
        <v>10276.161599999999</v>
      </c>
      <c r="K4022" s="281">
        <f>+Tabla4[[#This Row],[Precio Unitario Neto]]*Tabla4[[#Headers],[20.85%]]</f>
        <v>2142.5796935999997</v>
      </c>
      <c r="L4022" s="282">
        <f>++Tabla4[[#This Row],[Precio Unitario Neto]]-Tabla4[[#This Row],[20.85%]]</f>
        <v>8133.5819063999998</v>
      </c>
      <c r="M4022" s="282" t="e">
        <f>(INDEX(Tabla6[#All],MATCH(Tabla4[[#This Row],[Producto]],Tabla6[[#All],[PRODUCTO]],0),MATCH(Tabla4[[#This Row],[Mes]],Tabla6[#Headers],0)))*(1+Catalogos!$L$2)</f>
        <v>#N/A</v>
      </c>
      <c r="N4022" s="283" t="e">
        <f>+(Tabla4[[#This Row],[Precio Descontado]]-Tabla4[[#This Row],[Precio Base]])*Tabla4[[#This Row],[Cantidad]]</f>
        <v>#N/A</v>
      </c>
      <c r="O4022" s="284" t="e">
        <f>++Tabla4[[#This Row],[Utilidad Total]]/Tabla4[[#This Row],[Total]]</f>
        <v>#N/A</v>
      </c>
      <c r="P4022" s="282">
        <f>++Tabla4[[#This Row],[Precio Descontado]]*Tabla4[[#This Row],[Cantidad]]</f>
        <v>40667.909531999998</v>
      </c>
      <c r="Q4022" s="282" t="e">
        <f>(INDEX(Tabla6[#All],MATCH(Tabla4[[#This Row],[Producto]],Tabla6[[#All],[PRODUCTO]],0),MATCH(Tabla4[[#This Row],[Mes]],Tabla6[#Headers],0)))</f>
        <v>#N/A</v>
      </c>
      <c r="R4022" s="282" t="e">
        <f>++Tabla4[[#This Row],[Precio Unitario Neto]]-Tabla4[[#This Row],[20.85%]]-Tabla4[[#This Row],[Costo]]</f>
        <v>#N/A</v>
      </c>
      <c r="S4022" s="282" t="e">
        <f>++Tabla4[[#This Row],[U. Bruta Uni]]*Tabla4[[#This Row],[Cantidad]]</f>
        <v>#N/A</v>
      </c>
      <c r="T4022" s="369" t="str">
        <f>VLOOKUP(Tabla4[[#This Row],[Producto]],Tabla6[#All],14,FALSE)</f>
        <v>Termico Solar</v>
      </c>
      <c r="U4022" s="284" t="e">
        <f>(IF(Tabla4[[#This Row],[Familia]]="termico solar",Tabla4[[#This Row],[Utilidad Total]]*6%,Tabla4[[#This Row],[Utilidad Total]]*11.5%))/Tabla4[[#This Row],[Total]]</f>
        <v>#N/A</v>
      </c>
      <c r="V4022" s="282" t="e">
        <f>+Tabla4[[#This Row],[Comisión Calculada]]*Tabla4[[#This Row],[Total]]</f>
        <v>#N/A</v>
      </c>
    </row>
    <row r="4023" spans="1:22" hidden="1" x14ac:dyDescent="0.25">
      <c r="A4023" s="100">
        <v>45838</v>
      </c>
      <c r="B4023" t="str">
        <f t="shared" si="196"/>
        <v>June</v>
      </c>
      <c r="C4023" s="46" t="s">
        <v>280</v>
      </c>
      <c r="F4023" s="366" t="s">
        <v>2232</v>
      </c>
      <c r="G4023" s="46" t="s">
        <v>17</v>
      </c>
      <c r="H4023" s="46">
        <v>18</v>
      </c>
      <c r="I4023" s="51">
        <v>4622.28</v>
      </c>
      <c r="J4023" s="281">
        <f>++Tabla4[[#This Row],[Precio Bruto]]*1.16</f>
        <v>5361.8447999999989</v>
      </c>
      <c r="K4023" s="281">
        <f>+Tabla4[[#This Row],[Precio Unitario Neto]]*Tabla4[[#Headers],[20.85%]]</f>
        <v>1117.9446407999997</v>
      </c>
      <c r="L4023" s="282">
        <f>++Tabla4[[#This Row],[Precio Unitario Neto]]-Tabla4[[#This Row],[20.85%]]</f>
        <v>4243.9001591999995</v>
      </c>
      <c r="M4023" s="282" t="e">
        <f>(INDEX(Tabla6[#All],MATCH(Tabla4[[#This Row],[Producto]],Tabla6[[#All],[PRODUCTO]],0),MATCH(Tabla4[[#This Row],[Mes]],Tabla6[#Headers],0)))*(1+Catalogos!$L$2)</f>
        <v>#N/A</v>
      </c>
      <c r="N4023" s="283" t="e">
        <f>+(Tabla4[[#This Row],[Precio Descontado]]-Tabla4[[#This Row],[Precio Base]])*Tabla4[[#This Row],[Cantidad]]</f>
        <v>#N/A</v>
      </c>
      <c r="O4023" s="284" t="e">
        <f>++Tabla4[[#This Row],[Utilidad Total]]/Tabla4[[#This Row],[Total]]</f>
        <v>#N/A</v>
      </c>
      <c r="P4023" s="282">
        <f>++Tabla4[[#This Row],[Precio Descontado]]*Tabla4[[#This Row],[Cantidad]]</f>
        <v>76390.202865599989</v>
      </c>
      <c r="Q4023" s="282" t="e">
        <f>(INDEX(Tabla6[#All],MATCH(Tabla4[[#This Row],[Producto]],Tabla6[[#All],[PRODUCTO]],0),MATCH(Tabla4[[#This Row],[Mes]],Tabla6[#Headers],0)))</f>
        <v>#N/A</v>
      </c>
      <c r="R4023" s="282" t="e">
        <f>++Tabla4[[#This Row],[Precio Unitario Neto]]-Tabla4[[#This Row],[20.85%]]-Tabla4[[#This Row],[Costo]]</f>
        <v>#N/A</v>
      </c>
      <c r="S4023" s="282" t="e">
        <f>++Tabla4[[#This Row],[U. Bruta Uni]]*Tabla4[[#This Row],[Cantidad]]</f>
        <v>#N/A</v>
      </c>
      <c r="T4023" s="369" t="str">
        <f>VLOOKUP(Tabla4[[#This Row],[Producto]],Tabla6[#All],14,FALSE)</f>
        <v>Termico Solar</v>
      </c>
      <c r="U4023" s="284" t="e">
        <f>(IF(Tabla4[[#This Row],[Familia]]="termico solar",Tabla4[[#This Row],[Utilidad Total]]*6%,Tabla4[[#This Row],[Utilidad Total]]*11.5%))/Tabla4[[#This Row],[Total]]</f>
        <v>#N/A</v>
      </c>
      <c r="V4023" s="282" t="e">
        <f>+Tabla4[[#This Row],[Comisión Calculada]]*Tabla4[[#This Row],[Total]]</f>
        <v>#N/A</v>
      </c>
    </row>
    <row r="4024" spans="1:22" hidden="1" x14ac:dyDescent="0.25">
      <c r="A4024" s="100">
        <v>45838</v>
      </c>
      <c r="B4024" t="str">
        <f t="shared" si="196"/>
        <v>June</v>
      </c>
      <c r="C4024" s="46" t="s">
        <v>280</v>
      </c>
      <c r="F4024" s="366" t="s">
        <v>2232</v>
      </c>
      <c r="G4024" s="46" t="s">
        <v>16</v>
      </c>
      <c r="H4024" s="46">
        <v>4</v>
      </c>
      <c r="I4024" s="51">
        <v>4103.8500000000004</v>
      </c>
      <c r="J4024" s="281">
        <f>++Tabla4[[#This Row],[Precio Bruto]]*1.16</f>
        <v>4760.4660000000003</v>
      </c>
      <c r="K4024" s="281">
        <f>+Tabla4[[#This Row],[Precio Unitario Neto]]*Tabla4[[#Headers],[20.85%]]</f>
        <v>992.55716100000006</v>
      </c>
      <c r="L4024" s="282">
        <f>++Tabla4[[#This Row],[Precio Unitario Neto]]-Tabla4[[#This Row],[20.85%]]</f>
        <v>3767.9088390000002</v>
      </c>
      <c r="M4024" s="282" t="e">
        <f>(INDEX(Tabla6[#All],MATCH(Tabla4[[#This Row],[Producto]],Tabla6[[#All],[PRODUCTO]],0),MATCH(Tabla4[[#This Row],[Mes]],Tabla6[#Headers],0)))*(1+Catalogos!$L$2)</f>
        <v>#N/A</v>
      </c>
      <c r="N4024" s="283" t="e">
        <f>+(Tabla4[[#This Row],[Precio Descontado]]-Tabla4[[#This Row],[Precio Base]])*Tabla4[[#This Row],[Cantidad]]</f>
        <v>#N/A</v>
      </c>
      <c r="O4024" s="284" t="e">
        <f>++Tabla4[[#This Row],[Utilidad Total]]/Tabla4[[#This Row],[Total]]</f>
        <v>#N/A</v>
      </c>
      <c r="P4024" s="282">
        <f>++Tabla4[[#This Row],[Precio Descontado]]*Tabla4[[#This Row],[Cantidad]]</f>
        <v>15071.635356000001</v>
      </c>
      <c r="Q4024" s="282" t="e">
        <f>(INDEX(Tabla6[#All],MATCH(Tabla4[[#This Row],[Producto]],Tabla6[[#All],[PRODUCTO]],0),MATCH(Tabla4[[#This Row],[Mes]],Tabla6[#Headers],0)))</f>
        <v>#N/A</v>
      </c>
      <c r="R4024" s="282" t="e">
        <f>++Tabla4[[#This Row],[Precio Unitario Neto]]-Tabla4[[#This Row],[20.85%]]-Tabla4[[#This Row],[Costo]]</f>
        <v>#N/A</v>
      </c>
      <c r="S4024" s="282" t="e">
        <f>++Tabla4[[#This Row],[U. Bruta Uni]]*Tabla4[[#This Row],[Cantidad]]</f>
        <v>#N/A</v>
      </c>
      <c r="T4024" s="369" t="str">
        <f>VLOOKUP(Tabla4[[#This Row],[Producto]],Tabla6[#All],14,FALSE)</f>
        <v>Termico Solar</v>
      </c>
      <c r="U4024" s="284" t="e">
        <f>(IF(Tabla4[[#This Row],[Familia]]="termico solar",Tabla4[[#This Row],[Utilidad Total]]*6%,Tabla4[[#This Row],[Utilidad Total]]*11.5%))/Tabla4[[#This Row],[Total]]</f>
        <v>#N/A</v>
      </c>
      <c r="V4024" s="282" t="e">
        <f>+Tabla4[[#This Row],[Comisión Calculada]]*Tabla4[[#This Row],[Total]]</f>
        <v>#N/A</v>
      </c>
    </row>
    <row r="4025" spans="1:22" hidden="1" x14ac:dyDescent="0.25">
      <c r="A4025" s="100">
        <v>45838</v>
      </c>
      <c r="B4025" t="str">
        <f t="shared" si="196"/>
        <v>June</v>
      </c>
      <c r="C4025" s="46" t="s">
        <v>280</v>
      </c>
      <c r="F4025" s="366" t="s">
        <v>2232</v>
      </c>
      <c r="G4025" s="46" t="s">
        <v>200</v>
      </c>
      <c r="H4025" s="46">
        <v>12</v>
      </c>
      <c r="I4025" s="51">
        <v>393.22</v>
      </c>
      <c r="J4025" s="281">
        <f>++Tabla4[[#This Row],[Precio Bruto]]*1.16</f>
        <v>456.1352</v>
      </c>
      <c r="K4025" s="281">
        <f>+Tabla4[[#This Row],[Precio Unitario Neto]]*Tabla4[[#Headers],[20.85%]]</f>
        <v>95.104189199999993</v>
      </c>
      <c r="L4025" s="282">
        <f>++Tabla4[[#This Row],[Precio Unitario Neto]]-Tabla4[[#This Row],[20.85%]]</f>
        <v>361.03101079999999</v>
      </c>
      <c r="M4025" s="282" t="e">
        <f>(INDEX(Tabla6[#All],MATCH(Tabla4[[#This Row],[Producto]],Tabla6[[#All],[PRODUCTO]],0),MATCH(Tabla4[[#This Row],[Mes]],Tabla6[#Headers],0)))*(1+Catalogos!$L$2)</f>
        <v>#N/A</v>
      </c>
      <c r="N4025" s="283" t="e">
        <f>+(Tabla4[[#This Row],[Precio Descontado]]-Tabla4[[#This Row],[Precio Base]])*Tabla4[[#This Row],[Cantidad]]</f>
        <v>#N/A</v>
      </c>
      <c r="O4025" s="284" t="e">
        <f>++Tabla4[[#This Row],[Utilidad Total]]/Tabla4[[#This Row],[Total]]</f>
        <v>#N/A</v>
      </c>
      <c r="P4025" s="282">
        <f>++Tabla4[[#This Row],[Precio Descontado]]*Tabla4[[#This Row],[Cantidad]]</f>
        <v>4332.3721296000003</v>
      </c>
      <c r="Q4025" s="282" t="e">
        <f>(INDEX(Tabla6[#All],MATCH(Tabla4[[#This Row],[Producto]],Tabla6[[#All],[PRODUCTO]],0),MATCH(Tabla4[[#This Row],[Mes]],Tabla6[#Headers],0)))</f>
        <v>#N/A</v>
      </c>
      <c r="R4025" s="282" t="e">
        <f>++Tabla4[[#This Row],[Precio Unitario Neto]]-Tabla4[[#This Row],[20.85%]]-Tabla4[[#This Row],[Costo]]</f>
        <v>#N/A</v>
      </c>
      <c r="S4025" s="282" t="e">
        <f>++Tabla4[[#This Row],[U. Bruta Uni]]*Tabla4[[#This Row],[Cantidad]]</f>
        <v>#N/A</v>
      </c>
      <c r="T4025" s="369" t="str">
        <f>VLOOKUP(Tabla4[[#This Row],[Producto]],Tabla6[#All],14,FALSE)</f>
        <v>Termico Solar</v>
      </c>
      <c r="U4025" s="284" t="e">
        <f>(IF(Tabla4[[#This Row],[Familia]]="termico solar",Tabla4[[#This Row],[Utilidad Total]]*6%,Tabla4[[#This Row],[Utilidad Total]]*11.5%))/Tabla4[[#This Row],[Total]]</f>
        <v>#N/A</v>
      </c>
      <c r="V4025" s="282" t="e">
        <f>+Tabla4[[#This Row],[Comisión Calculada]]*Tabla4[[#This Row],[Total]]</f>
        <v>#N/A</v>
      </c>
    </row>
    <row r="4026" spans="1:22" hidden="1" x14ac:dyDescent="0.25">
      <c r="A4026" s="100">
        <v>45838</v>
      </c>
      <c r="B4026" t="str">
        <f t="shared" si="196"/>
        <v>June</v>
      </c>
      <c r="C4026" s="46" t="s">
        <v>280</v>
      </c>
      <c r="F4026" s="366" t="s">
        <v>2232</v>
      </c>
      <c r="G4026" s="46" t="s">
        <v>545</v>
      </c>
      <c r="H4026" s="46">
        <v>24</v>
      </c>
      <c r="I4026" s="51">
        <v>304.32</v>
      </c>
      <c r="J4026" s="281">
        <f>++Tabla4[[#This Row],[Precio Bruto]]*1.16</f>
        <v>353.01119999999997</v>
      </c>
      <c r="K4026" s="281">
        <f>+Tabla4[[#This Row],[Precio Unitario Neto]]*Tabla4[[#Headers],[20.85%]]</f>
        <v>73.602835199999987</v>
      </c>
      <c r="L4026" s="282">
        <f>++Tabla4[[#This Row],[Precio Unitario Neto]]-Tabla4[[#This Row],[20.85%]]</f>
        <v>279.40836479999996</v>
      </c>
      <c r="M4026" s="282" t="e">
        <f>(INDEX(Tabla6[#All],MATCH(Tabla4[[#This Row],[Producto]],Tabla6[[#All],[PRODUCTO]],0),MATCH(Tabla4[[#This Row],[Mes]],Tabla6[#Headers],0)))*(1+Catalogos!$L$2)</f>
        <v>#N/A</v>
      </c>
      <c r="N4026" s="283" t="e">
        <f>+(Tabla4[[#This Row],[Precio Descontado]]-Tabla4[[#This Row],[Precio Base]])*Tabla4[[#This Row],[Cantidad]]</f>
        <v>#N/A</v>
      </c>
      <c r="O4026" s="284" t="e">
        <f>++Tabla4[[#This Row],[Utilidad Total]]/Tabla4[[#This Row],[Total]]</f>
        <v>#N/A</v>
      </c>
      <c r="P4026" s="282">
        <f>++Tabla4[[#This Row],[Precio Descontado]]*Tabla4[[#This Row],[Cantidad]]</f>
        <v>6705.800755199999</v>
      </c>
      <c r="Q4026" s="282" t="e">
        <f>(INDEX(Tabla6[#All],MATCH(Tabla4[[#This Row],[Producto]],Tabla6[[#All],[PRODUCTO]],0),MATCH(Tabla4[[#This Row],[Mes]],Tabla6[#Headers],0)))</f>
        <v>#N/A</v>
      </c>
      <c r="R4026" s="282" t="e">
        <f>++Tabla4[[#This Row],[Precio Unitario Neto]]-Tabla4[[#This Row],[20.85%]]-Tabla4[[#This Row],[Costo]]</f>
        <v>#N/A</v>
      </c>
      <c r="S4026" s="282" t="e">
        <f>++Tabla4[[#This Row],[U. Bruta Uni]]*Tabla4[[#This Row],[Cantidad]]</f>
        <v>#N/A</v>
      </c>
      <c r="T4026" s="369" t="str">
        <f>VLOOKUP(Tabla4[[#This Row],[Producto]],Tabla6[#All],14,FALSE)</f>
        <v>Termico Solar</v>
      </c>
      <c r="U4026" s="284" t="e">
        <f>(IF(Tabla4[[#This Row],[Familia]]="termico solar",Tabla4[[#This Row],[Utilidad Total]]*6%,Tabla4[[#This Row],[Utilidad Total]]*11.5%))/Tabla4[[#This Row],[Total]]</f>
        <v>#N/A</v>
      </c>
      <c r="V4026" s="282" t="e">
        <f>+Tabla4[[#This Row],[Comisión Calculada]]*Tabla4[[#This Row],[Total]]</f>
        <v>#N/A</v>
      </c>
    </row>
    <row r="4027" spans="1:22" hidden="1" x14ac:dyDescent="0.25">
      <c r="A4027" s="100">
        <v>45838</v>
      </c>
      <c r="B4027" t="str">
        <f t="shared" si="196"/>
        <v>June</v>
      </c>
      <c r="C4027" s="46" t="s">
        <v>280</v>
      </c>
      <c r="F4027" s="366" t="s">
        <v>2233</v>
      </c>
      <c r="G4027" s="46" t="s">
        <v>16</v>
      </c>
      <c r="H4027" s="46">
        <v>3</v>
      </c>
      <c r="I4027" s="51">
        <v>4103.8499999999995</v>
      </c>
      <c r="J4027" s="281">
        <f>++Tabla4[[#This Row],[Precio Bruto]]*1.16</f>
        <v>4760.4659999999994</v>
      </c>
      <c r="K4027" s="281">
        <f>+Tabla4[[#This Row],[Precio Unitario Neto]]*Tabla4[[#Headers],[20.85%]]</f>
        <v>992.55716099999984</v>
      </c>
      <c r="L4027" s="282">
        <f>++Tabla4[[#This Row],[Precio Unitario Neto]]-Tabla4[[#This Row],[20.85%]]</f>
        <v>3767.9088389999997</v>
      </c>
      <c r="M4027" s="282" t="e">
        <f>(INDEX(Tabla6[#All],MATCH(Tabla4[[#This Row],[Producto]],Tabla6[[#All],[PRODUCTO]],0),MATCH(Tabla4[[#This Row],[Mes]],Tabla6[#Headers],0)))*(1+Catalogos!$L$2)</f>
        <v>#N/A</v>
      </c>
      <c r="N4027" s="283" t="e">
        <f>+(Tabla4[[#This Row],[Precio Descontado]]-Tabla4[[#This Row],[Precio Base]])*Tabla4[[#This Row],[Cantidad]]</f>
        <v>#N/A</v>
      </c>
      <c r="O4027" s="284" t="e">
        <f>++Tabla4[[#This Row],[Utilidad Total]]/Tabla4[[#This Row],[Total]]</f>
        <v>#N/A</v>
      </c>
      <c r="P4027" s="282">
        <f>++Tabla4[[#This Row],[Precio Descontado]]*Tabla4[[#This Row],[Cantidad]]</f>
        <v>11303.726516999999</v>
      </c>
      <c r="Q4027" s="282" t="e">
        <f>(INDEX(Tabla6[#All],MATCH(Tabla4[[#This Row],[Producto]],Tabla6[[#All],[PRODUCTO]],0),MATCH(Tabla4[[#This Row],[Mes]],Tabla6[#Headers],0)))</f>
        <v>#N/A</v>
      </c>
      <c r="R4027" s="282" t="e">
        <f>++Tabla4[[#This Row],[Precio Unitario Neto]]-Tabla4[[#This Row],[20.85%]]-Tabla4[[#This Row],[Costo]]</f>
        <v>#N/A</v>
      </c>
      <c r="S4027" s="282" t="e">
        <f>++Tabla4[[#This Row],[U. Bruta Uni]]*Tabla4[[#This Row],[Cantidad]]</f>
        <v>#N/A</v>
      </c>
      <c r="T4027" s="369" t="str">
        <f>VLOOKUP(Tabla4[[#This Row],[Producto]],Tabla6[#All],14,FALSE)</f>
        <v>Termico Solar</v>
      </c>
      <c r="U4027" s="284" t="e">
        <f>(IF(Tabla4[[#This Row],[Familia]]="termico solar",Tabla4[[#This Row],[Utilidad Total]]*6%,Tabla4[[#This Row],[Utilidad Total]]*11.5%))/Tabla4[[#This Row],[Total]]</f>
        <v>#N/A</v>
      </c>
      <c r="V4027" s="282" t="e">
        <f>+Tabla4[[#This Row],[Comisión Calculada]]*Tabla4[[#This Row],[Total]]</f>
        <v>#N/A</v>
      </c>
    </row>
    <row r="4028" spans="1:22" hidden="1" x14ac:dyDescent="0.25">
      <c r="A4028" s="100">
        <v>45838</v>
      </c>
      <c r="B4028" t="str">
        <f t="shared" si="196"/>
        <v>June</v>
      </c>
      <c r="C4028" s="46" t="s">
        <v>280</v>
      </c>
      <c r="F4028" s="366" t="s">
        <v>2233</v>
      </c>
      <c r="G4028" s="46" t="s">
        <v>200</v>
      </c>
      <c r="H4028" s="46">
        <v>12</v>
      </c>
      <c r="I4028" s="51">
        <v>393.22</v>
      </c>
      <c r="J4028" s="281">
        <f>++Tabla4[[#This Row],[Precio Bruto]]*1.16</f>
        <v>456.1352</v>
      </c>
      <c r="K4028" s="281">
        <f>+Tabla4[[#This Row],[Precio Unitario Neto]]*Tabla4[[#Headers],[20.85%]]</f>
        <v>95.104189199999993</v>
      </c>
      <c r="L4028" s="282">
        <f>++Tabla4[[#This Row],[Precio Unitario Neto]]-Tabla4[[#This Row],[20.85%]]</f>
        <v>361.03101079999999</v>
      </c>
      <c r="M4028" s="282" t="e">
        <f>(INDEX(Tabla6[#All],MATCH(Tabla4[[#This Row],[Producto]],Tabla6[[#All],[PRODUCTO]],0),MATCH(Tabla4[[#This Row],[Mes]],Tabla6[#Headers],0)))*(1+Catalogos!$L$2)</f>
        <v>#N/A</v>
      </c>
      <c r="N4028" s="283" t="e">
        <f>+(Tabla4[[#This Row],[Precio Descontado]]-Tabla4[[#This Row],[Precio Base]])*Tabla4[[#This Row],[Cantidad]]</f>
        <v>#N/A</v>
      </c>
      <c r="O4028" s="284" t="e">
        <f>++Tabla4[[#This Row],[Utilidad Total]]/Tabla4[[#This Row],[Total]]</f>
        <v>#N/A</v>
      </c>
      <c r="P4028" s="282">
        <f>++Tabla4[[#This Row],[Precio Descontado]]*Tabla4[[#This Row],[Cantidad]]</f>
        <v>4332.3721296000003</v>
      </c>
      <c r="Q4028" s="282" t="e">
        <f>(INDEX(Tabla6[#All],MATCH(Tabla4[[#This Row],[Producto]],Tabla6[[#All],[PRODUCTO]],0),MATCH(Tabla4[[#This Row],[Mes]],Tabla6[#Headers],0)))</f>
        <v>#N/A</v>
      </c>
      <c r="R4028" s="282" t="e">
        <f>++Tabla4[[#This Row],[Precio Unitario Neto]]-Tabla4[[#This Row],[20.85%]]-Tabla4[[#This Row],[Costo]]</f>
        <v>#N/A</v>
      </c>
      <c r="S4028" s="282" t="e">
        <f>++Tabla4[[#This Row],[U. Bruta Uni]]*Tabla4[[#This Row],[Cantidad]]</f>
        <v>#N/A</v>
      </c>
      <c r="T4028" s="369" t="str">
        <f>VLOOKUP(Tabla4[[#This Row],[Producto]],Tabla6[#All],14,FALSE)</f>
        <v>Termico Solar</v>
      </c>
      <c r="U4028" s="284" t="e">
        <f>(IF(Tabla4[[#This Row],[Familia]]="termico solar",Tabla4[[#This Row],[Utilidad Total]]*6%,Tabla4[[#This Row],[Utilidad Total]]*11.5%))/Tabla4[[#This Row],[Total]]</f>
        <v>#N/A</v>
      </c>
      <c r="V4028" s="282" t="e">
        <f>+Tabla4[[#This Row],[Comisión Calculada]]*Tabla4[[#This Row],[Total]]</f>
        <v>#N/A</v>
      </c>
    </row>
    <row r="4029" spans="1:22" hidden="1" x14ac:dyDescent="0.25">
      <c r="A4029" s="100">
        <v>45838</v>
      </c>
      <c r="B4029" t="str">
        <f t="shared" si="196"/>
        <v>June</v>
      </c>
      <c r="C4029" s="46" t="s">
        <v>280</v>
      </c>
      <c r="F4029" s="366" t="s">
        <v>2233</v>
      </c>
      <c r="G4029" s="46" t="s">
        <v>545</v>
      </c>
      <c r="H4029" s="46">
        <v>24</v>
      </c>
      <c r="I4029" s="51">
        <v>304.32</v>
      </c>
      <c r="J4029" s="281">
        <f>++Tabla4[[#This Row],[Precio Bruto]]*1.16</f>
        <v>353.01119999999997</v>
      </c>
      <c r="K4029" s="281">
        <f>+Tabla4[[#This Row],[Precio Unitario Neto]]*Tabla4[[#Headers],[20.85%]]</f>
        <v>73.602835199999987</v>
      </c>
      <c r="L4029" s="282">
        <f>++Tabla4[[#This Row],[Precio Unitario Neto]]-Tabla4[[#This Row],[20.85%]]</f>
        <v>279.40836479999996</v>
      </c>
      <c r="M4029" s="282" t="e">
        <f>(INDEX(Tabla6[#All],MATCH(Tabla4[[#This Row],[Producto]],Tabla6[[#All],[PRODUCTO]],0),MATCH(Tabla4[[#This Row],[Mes]],Tabla6[#Headers],0)))*(1+Catalogos!$L$2)</f>
        <v>#N/A</v>
      </c>
      <c r="N4029" s="283" t="e">
        <f>+(Tabla4[[#This Row],[Precio Descontado]]-Tabla4[[#This Row],[Precio Base]])*Tabla4[[#This Row],[Cantidad]]</f>
        <v>#N/A</v>
      </c>
      <c r="O4029" s="284" t="e">
        <f>++Tabla4[[#This Row],[Utilidad Total]]/Tabla4[[#This Row],[Total]]</f>
        <v>#N/A</v>
      </c>
      <c r="P4029" s="282">
        <f>++Tabla4[[#This Row],[Precio Descontado]]*Tabla4[[#This Row],[Cantidad]]</f>
        <v>6705.800755199999</v>
      </c>
      <c r="Q4029" s="282" t="e">
        <f>(INDEX(Tabla6[#All],MATCH(Tabla4[[#This Row],[Producto]],Tabla6[[#All],[PRODUCTO]],0),MATCH(Tabla4[[#This Row],[Mes]],Tabla6[#Headers],0)))</f>
        <v>#N/A</v>
      </c>
      <c r="R4029" s="282" t="e">
        <f>++Tabla4[[#This Row],[Precio Unitario Neto]]-Tabla4[[#This Row],[20.85%]]-Tabla4[[#This Row],[Costo]]</f>
        <v>#N/A</v>
      </c>
      <c r="S4029" s="282" t="e">
        <f>++Tabla4[[#This Row],[U. Bruta Uni]]*Tabla4[[#This Row],[Cantidad]]</f>
        <v>#N/A</v>
      </c>
      <c r="T4029" s="369" t="str">
        <f>VLOOKUP(Tabla4[[#This Row],[Producto]],Tabla6[#All],14,FALSE)</f>
        <v>Termico Solar</v>
      </c>
      <c r="U4029" s="284" t="e">
        <f>(IF(Tabla4[[#This Row],[Familia]]="termico solar",Tabla4[[#This Row],[Utilidad Total]]*6%,Tabla4[[#This Row],[Utilidad Total]]*11.5%))/Tabla4[[#This Row],[Total]]</f>
        <v>#N/A</v>
      </c>
      <c r="V4029" s="282" t="e">
        <f>+Tabla4[[#This Row],[Comisión Calculada]]*Tabla4[[#This Row],[Total]]</f>
        <v>#N/A</v>
      </c>
    </row>
    <row r="4030" spans="1:22" hidden="1" x14ac:dyDescent="0.25">
      <c r="A4030" s="100">
        <v>45838</v>
      </c>
      <c r="B4030" t="str">
        <f t="shared" si="196"/>
        <v>June</v>
      </c>
      <c r="C4030" s="46" t="s">
        <v>280</v>
      </c>
      <c r="F4030" s="366" t="s">
        <v>2233</v>
      </c>
      <c r="G4030" s="46" t="s">
        <v>208</v>
      </c>
      <c r="H4030" s="46">
        <v>2</v>
      </c>
      <c r="I4030" s="51">
        <v>189.75</v>
      </c>
      <c r="J4030" s="281">
        <f>++Tabla4[[#This Row],[Precio Bruto]]*1.16</f>
        <v>220.10999999999999</v>
      </c>
      <c r="K4030" s="281">
        <f>+Tabla4[[#This Row],[Precio Unitario Neto]]*Tabla4[[#Headers],[20.85%]]</f>
        <v>45.892934999999994</v>
      </c>
      <c r="L4030" s="282">
        <f>++Tabla4[[#This Row],[Precio Unitario Neto]]-Tabla4[[#This Row],[20.85%]]</f>
        <v>174.21706499999999</v>
      </c>
      <c r="M4030" s="282" t="e">
        <f>(INDEX(Tabla6[#All],MATCH(Tabla4[[#This Row],[Producto]],Tabla6[[#All],[PRODUCTO]],0),MATCH(Tabla4[[#This Row],[Mes]],Tabla6[#Headers],0)))*(1+Catalogos!$L$2)</f>
        <v>#N/A</v>
      </c>
      <c r="N4030" s="283" t="e">
        <f>+(Tabla4[[#This Row],[Precio Descontado]]-Tabla4[[#This Row],[Precio Base]])*Tabla4[[#This Row],[Cantidad]]</f>
        <v>#N/A</v>
      </c>
      <c r="O4030" s="284" t="e">
        <f>++Tabla4[[#This Row],[Utilidad Total]]/Tabla4[[#This Row],[Total]]</f>
        <v>#N/A</v>
      </c>
      <c r="P4030" s="282">
        <f>++Tabla4[[#This Row],[Precio Descontado]]*Tabla4[[#This Row],[Cantidad]]</f>
        <v>348.43412999999998</v>
      </c>
      <c r="Q4030" s="282" t="e">
        <f>(INDEX(Tabla6[#All],MATCH(Tabla4[[#This Row],[Producto]],Tabla6[[#All],[PRODUCTO]],0),MATCH(Tabla4[[#This Row],[Mes]],Tabla6[#Headers],0)))</f>
        <v>#N/A</v>
      </c>
      <c r="R4030" s="282" t="e">
        <f>++Tabla4[[#This Row],[Precio Unitario Neto]]-Tabla4[[#This Row],[20.85%]]-Tabla4[[#This Row],[Costo]]</f>
        <v>#N/A</v>
      </c>
      <c r="S4030" s="282" t="e">
        <f>++Tabla4[[#This Row],[U. Bruta Uni]]*Tabla4[[#This Row],[Cantidad]]</f>
        <v>#N/A</v>
      </c>
      <c r="T4030" s="369" t="str">
        <f>VLOOKUP(Tabla4[[#This Row],[Producto]],Tabla6[#All],14,FALSE)</f>
        <v>Termico Solar</v>
      </c>
      <c r="U4030" s="284" t="e">
        <f>(IF(Tabla4[[#This Row],[Familia]]="termico solar",Tabla4[[#This Row],[Utilidad Total]]*6%,Tabla4[[#This Row],[Utilidad Total]]*11.5%))/Tabla4[[#This Row],[Total]]</f>
        <v>#N/A</v>
      </c>
      <c r="V4030" s="282" t="e">
        <f>+Tabla4[[#This Row],[Comisión Calculada]]*Tabla4[[#This Row],[Total]]</f>
        <v>#N/A</v>
      </c>
    </row>
    <row r="4031" spans="1:22" hidden="1" x14ac:dyDescent="0.25">
      <c r="A4031" s="100">
        <v>45838</v>
      </c>
      <c r="B4031" t="str">
        <f t="shared" si="196"/>
        <v>June</v>
      </c>
      <c r="C4031" s="46" t="s">
        <v>280</v>
      </c>
      <c r="F4031" s="366" t="s">
        <v>2234</v>
      </c>
      <c r="G4031" s="46" t="s">
        <v>200</v>
      </c>
      <c r="H4031" s="46">
        <v>12</v>
      </c>
      <c r="I4031" s="51">
        <v>393.22</v>
      </c>
      <c r="J4031" s="281">
        <f>++Tabla4[[#This Row],[Precio Bruto]]*1.16</f>
        <v>456.1352</v>
      </c>
      <c r="K4031" s="281">
        <f>+Tabla4[[#This Row],[Precio Unitario Neto]]*Tabla4[[#Headers],[20.85%]]</f>
        <v>95.104189199999993</v>
      </c>
      <c r="L4031" s="282">
        <f>++Tabla4[[#This Row],[Precio Unitario Neto]]-Tabla4[[#This Row],[20.85%]]</f>
        <v>361.03101079999999</v>
      </c>
      <c r="M4031" s="282" t="e">
        <f>(INDEX(Tabla6[#All],MATCH(Tabla4[[#This Row],[Producto]],Tabla6[[#All],[PRODUCTO]],0),MATCH(Tabla4[[#This Row],[Mes]],Tabla6[#Headers],0)))*(1+Catalogos!$L$2)</f>
        <v>#N/A</v>
      </c>
      <c r="N4031" s="283" t="e">
        <f>+(Tabla4[[#This Row],[Precio Descontado]]-Tabla4[[#This Row],[Precio Base]])*Tabla4[[#This Row],[Cantidad]]</f>
        <v>#N/A</v>
      </c>
      <c r="O4031" s="284" t="e">
        <f>++Tabla4[[#This Row],[Utilidad Total]]/Tabla4[[#This Row],[Total]]</f>
        <v>#N/A</v>
      </c>
      <c r="P4031" s="282">
        <f>++Tabla4[[#This Row],[Precio Descontado]]*Tabla4[[#This Row],[Cantidad]]</f>
        <v>4332.3721296000003</v>
      </c>
      <c r="Q4031" s="282" t="e">
        <f>(INDEX(Tabla6[#All],MATCH(Tabla4[[#This Row],[Producto]],Tabla6[[#All],[PRODUCTO]],0),MATCH(Tabla4[[#This Row],[Mes]],Tabla6[#Headers],0)))</f>
        <v>#N/A</v>
      </c>
      <c r="R4031" s="282" t="e">
        <f>++Tabla4[[#This Row],[Precio Unitario Neto]]-Tabla4[[#This Row],[20.85%]]-Tabla4[[#This Row],[Costo]]</f>
        <v>#N/A</v>
      </c>
      <c r="S4031" s="282" t="e">
        <f>++Tabla4[[#This Row],[U. Bruta Uni]]*Tabla4[[#This Row],[Cantidad]]</f>
        <v>#N/A</v>
      </c>
      <c r="T4031" s="369" t="str">
        <f>VLOOKUP(Tabla4[[#This Row],[Producto]],Tabla6[#All],14,FALSE)</f>
        <v>Termico Solar</v>
      </c>
      <c r="U4031" s="284" t="e">
        <f>(IF(Tabla4[[#This Row],[Familia]]="termico solar",Tabla4[[#This Row],[Utilidad Total]]*6%,Tabla4[[#This Row],[Utilidad Total]]*11.5%))/Tabla4[[#This Row],[Total]]</f>
        <v>#N/A</v>
      </c>
      <c r="V4031" s="282" t="e">
        <f>+Tabla4[[#This Row],[Comisión Calculada]]*Tabla4[[#This Row],[Total]]</f>
        <v>#N/A</v>
      </c>
    </row>
    <row r="4032" spans="1:22" hidden="1" x14ac:dyDescent="0.25">
      <c r="A4032" s="100">
        <v>45838</v>
      </c>
      <c r="B4032" t="str">
        <f t="shared" si="196"/>
        <v>June</v>
      </c>
      <c r="C4032" s="46" t="s">
        <v>280</v>
      </c>
      <c r="F4032" s="366" t="s">
        <v>2234</v>
      </c>
      <c r="G4032" s="46" t="s">
        <v>545</v>
      </c>
      <c r="H4032" s="46">
        <v>24</v>
      </c>
      <c r="I4032" s="51">
        <v>304.32</v>
      </c>
      <c r="J4032" s="281">
        <f>++Tabla4[[#This Row],[Precio Bruto]]*1.16</f>
        <v>353.01119999999997</v>
      </c>
      <c r="K4032" s="281">
        <f>+Tabla4[[#This Row],[Precio Unitario Neto]]*Tabla4[[#Headers],[20.85%]]</f>
        <v>73.602835199999987</v>
      </c>
      <c r="L4032" s="282">
        <f>++Tabla4[[#This Row],[Precio Unitario Neto]]-Tabla4[[#This Row],[20.85%]]</f>
        <v>279.40836479999996</v>
      </c>
      <c r="M4032" s="282" t="e">
        <f>(INDEX(Tabla6[#All],MATCH(Tabla4[[#This Row],[Producto]],Tabla6[[#All],[PRODUCTO]],0),MATCH(Tabla4[[#This Row],[Mes]],Tabla6[#Headers],0)))*(1+Catalogos!$L$2)</f>
        <v>#N/A</v>
      </c>
      <c r="N4032" s="283" t="e">
        <f>+(Tabla4[[#This Row],[Precio Descontado]]-Tabla4[[#This Row],[Precio Base]])*Tabla4[[#This Row],[Cantidad]]</f>
        <v>#N/A</v>
      </c>
      <c r="O4032" s="284" t="e">
        <f>++Tabla4[[#This Row],[Utilidad Total]]/Tabla4[[#This Row],[Total]]</f>
        <v>#N/A</v>
      </c>
      <c r="P4032" s="282">
        <f>++Tabla4[[#This Row],[Precio Descontado]]*Tabla4[[#This Row],[Cantidad]]</f>
        <v>6705.800755199999</v>
      </c>
      <c r="Q4032" s="282" t="e">
        <f>(INDEX(Tabla6[#All],MATCH(Tabla4[[#This Row],[Producto]],Tabla6[[#All],[PRODUCTO]],0),MATCH(Tabla4[[#This Row],[Mes]],Tabla6[#Headers],0)))</f>
        <v>#N/A</v>
      </c>
      <c r="R4032" s="282" t="e">
        <f>++Tabla4[[#This Row],[Precio Unitario Neto]]-Tabla4[[#This Row],[20.85%]]-Tabla4[[#This Row],[Costo]]</f>
        <v>#N/A</v>
      </c>
      <c r="S4032" s="282" t="e">
        <f>++Tabla4[[#This Row],[U. Bruta Uni]]*Tabla4[[#This Row],[Cantidad]]</f>
        <v>#N/A</v>
      </c>
      <c r="T4032" s="369" t="str">
        <f>VLOOKUP(Tabla4[[#This Row],[Producto]],Tabla6[#All],14,FALSE)</f>
        <v>Termico Solar</v>
      </c>
      <c r="U4032" s="284" t="e">
        <f>(IF(Tabla4[[#This Row],[Familia]]="termico solar",Tabla4[[#This Row],[Utilidad Total]]*6%,Tabla4[[#This Row],[Utilidad Total]]*11.5%))/Tabla4[[#This Row],[Total]]</f>
        <v>#N/A</v>
      </c>
      <c r="V4032" s="282" t="e">
        <f>+Tabla4[[#This Row],[Comisión Calculada]]*Tabla4[[#This Row],[Total]]</f>
        <v>#N/A</v>
      </c>
    </row>
    <row r="4033" spans="1:22" hidden="1" x14ac:dyDescent="0.25">
      <c r="A4033" s="100">
        <v>45838</v>
      </c>
      <c r="B4033" t="str">
        <f t="shared" si="196"/>
        <v>June</v>
      </c>
      <c r="C4033" s="46" t="s">
        <v>280</v>
      </c>
      <c r="F4033" s="366" t="s">
        <v>2235</v>
      </c>
      <c r="G4033" s="46" t="s">
        <v>83</v>
      </c>
      <c r="H4033" s="46">
        <v>1</v>
      </c>
      <c r="I4033" s="51">
        <v>8858.76</v>
      </c>
      <c r="J4033" s="281">
        <f>++Tabla4[[#This Row],[Precio Bruto]]*1.16</f>
        <v>10276.161599999999</v>
      </c>
      <c r="K4033" s="281">
        <f>+Tabla4[[#This Row],[Precio Unitario Neto]]*Tabla4[[#Headers],[20.85%]]</f>
        <v>2142.5796935999997</v>
      </c>
      <c r="L4033" s="282">
        <f>++Tabla4[[#This Row],[Precio Unitario Neto]]-Tabla4[[#This Row],[20.85%]]</f>
        <v>8133.5819063999998</v>
      </c>
      <c r="M4033" s="282" t="e">
        <f>(INDEX(Tabla6[#All],MATCH(Tabla4[[#This Row],[Producto]],Tabla6[[#All],[PRODUCTO]],0),MATCH(Tabla4[[#This Row],[Mes]],Tabla6[#Headers],0)))*(1+Catalogos!$L$2)</f>
        <v>#N/A</v>
      </c>
      <c r="N4033" s="283" t="e">
        <f>+(Tabla4[[#This Row],[Precio Descontado]]-Tabla4[[#This Row],[Precio Base]])*Tabla4[[#This Row],[Cantidad]]</f>
        <v>#N/A</v>
      </c>
      <c r="O4033" s="284" t="e">
        <f>++Tabla4[[#This Row],[Utilidad Total]]/Tabla4[[#This Row],[Total]]</f>
        <v>#N/A</v>
      </c>
      <c r="P4033" s="282">
        <f>++Tabla4[[#This Row],[Precio Descontado]]*Tabla4[[#This Row],[Cantidad]]</f>
        <v>8133.5819063999998</v>
      </c>
      <c r="Q4033" s="282" t="e">
        <f>(INDEX(Tabla6[#All],MATCH(Tabla4[[#This Row],[Producto]],Tabla6[[#All],[PRODUCTO]],0),MATCH(Tabla4[[#This Row],[Mes]],Tabla6[#Headers],0)))</f>
        <v>#N/A</v>
      </c>
      <c r="R4033" s="282" t="e">
        <f>++Tabla4[[#This Row],[Precio Unitario Neto]]-Tabla4[[#This Row],[20.85%]]-Tabla4[[#This Row],[Costo]]</f>
        <v>#N/A</v>
      </c>
      <c r="S4033" s="282" t="e">
        <f>++Tabla4[[#This Row],[U. Bruta Uni]]*Tabla4[[#This Row],[Cantidad]]</f>
        <v>#N/A</v>
      </c>
      <c r="T4033" s="369" t="str">
        <f>VLOOKUP(Tabla4[[#This Row],[Producto]],Tabla6[#All],14,FALSE)</f>
        <v>Termico Solar</v>
      </c>
      <c r="U4033" s="284" t="e">
        <f>(IF(Tabla4[[#This Row],[Familia]]="termico solar",Tabla4[[#This Row],[Utilidad Total]]*6%,Tabla4[[#This Row],[Utilidad Total]]*11.5%))/Tabla4[[#This Row],[Total]]</f>
        <v>#N/A</v>
      </c>
      <c r="V4033" s="282" t="e">
        <f>+Tabla4[[#This Row],[Comisión Calculada]]*Tabla4[[#This Row],[Total]]</f>
        <v>#N/A</v>
      </c>
    </row>
    <row r="4034" spans="1:22" hidden="1" x14ac:dyDescent="0.25">
      <c r="A4034" s="100">
        <v>45838</v>
      </c>
      <c r="B4034" t="str">
        <f t="shared" si="196"/>
        <v>June</v>
      </c>
      <c r="C4034" s="46" t="s">
        <v>280</v>
      </c>
      <c r="F4034" s="366" t="s">
        <v>2235</v>
      </c>
      <c r="G4034" s="46" t="s">
        <v>17</v>
      </c>
      <c r="H4034" s="46">
        <v>5</v>
      </c>
      <c r="I4034" s="51">
        <v>4622.2800000000007</v>
      </c>
      <c r="J4034" s="281">
        <f>++Tabla4[[#This Row],[Precio Bruto]]*1.16</f>
        <v>5361.8448000000008</v>
      </c>
      <c r="K4034" s="281">
        <f>+Tabla4[[#This Row],[Precio Unitario Neto]]*Tabla4[[#Headers],[20.85%]]</f>
        <v>1117.9446408000001</v>
      </c>
      <c r="L4034" s="282">
        <f>++Tabla4[[#This Row],[Precio Unitario Neto]]-Tabla4[[#This Row],[20.85%]]</f>
        <v>4243.9001592000004</v>
      </c>
      <c r="M4034" s="282" t="e">
        <f>(INDEX(Tabla6[#All],MATCH(Tabla4[[#This Row],[Producto]],Tabla6[[#All],[PRODUCTO]],0),MATCH(Tabla4[[#This Row],[Mes]],Tabla6[#Headers],0)))*(1+Catalogos!$L$2)</f>
        <v>#N/A</v>
      </c>
      <c r="N4034" s="283" t="e">
        <f>+(Tabla4[[#This Row],[Precio Descontado]]-Tabla4[[#This Row],[Precio Base]])*Tabla4[[#This Row],[Cantidad]]</f>
        <v>#N/A</v>
      </c>
      <c r="O4034" s="284" t="e">
        <f>++Tabla4[[#This Row],[Utilidad Total]]/Tabla4[[#This Row],[Total]]</f>
        <v>#N/A</v>
      </c>
      <c r="P4034" s="282">
        <f>++Tabla4[[#This Row],[Precio Descontado]]*Tabla4[[#This Row],[Cantidad]]</f>
        <v>21219.500796</v>
      </c>
      <c r="Q4034" s="282" t="e">
        <f>(INDEX(Tabla6[#All],MATCH(Tabla4[[#This Row],[Producto]],Tabla6[[#All],[PRODUCTO]],0),MATCH(Tabla4[[#This Row],[Mes]],Tabla6[#Headers],0)))</f>
        <v>#N/A</v>
      </c>
      <c r="R4034" s="282" t="e">
        <f>++Tabla4[[#This Row],[Precio Unitario Neto]]-Tabla4[[#This Row],[20.85%]]-Tabla4[[#This Row],[Costo]]</f>
        <v>#N/A</v>
      </c>
      <c r="S4034" s="282" t="e">
        <f>++Tabla4[[#This Row],[U. Bruta Uni]]*Tabla4[[#This Row],[Cantidad]]</f>
        <v>#N/A</v>
      </c>
      <c r="T4034" s="369" t="str">
        <f>VLOOKUP(Tabla4[[#This Row],[Producto]],Tabla6[#All],14,FALSE)</f>
        <v>Termico Solar</v>
      </c>
      <c r="U4034" s="284" t="e">
        <f>(IF(Tabla4[[#This Row],[Familia]]="termico solar",Tabla4[[#This Row],[Utilidad Total]]*6%,Tabla4[[#This Row],[Utilidad Total]]*11.5%))/Tabla4[[#This Row],[Total]]</f>
        <v>#N/A</v>
      </c>
      <c r="V4034" s="282" t="e">
        <f>+Tabla4[[#This Row],[Comisión Calculada]]*Tabla4[[#This Row],[Total]]</f>
        <v>#N/A</v>
      </c>
    </row>
    <row r="4035" spans="1:22" hidden="1" x14ac:dyDescent="0.25">
      <c r="A4035" s="100">
        <v>45838</v>
      </c>
      <c r="B4035" t="str">
        <f t="shared" si="196"/>
        <v>June</v>
      </c>
      <c r="C4035" s="46" t="s">
        <v>280</v>
      </c>
      <c r="F4035" s="366" t="s">
        <v>2235</v>
      </c>
      <c r="G4035" s="46" t="s">
        <v>200</v>
      </c>
      <c r="H4035" s="46">
        <v>12</v>
      </c>
      <c r="I4035" s="51">
        <v>393.22</v>
      </c>
      <c r="J4035" s="281">
        <f>++Tabla4[[#This Row],[Precio Bruto]]*1.16</f>
        <v>456.1352</v>
      </c>
      <c r="K4035" s="281">
        <f>+Tabla4[[#This Row],[Precio Unitario Neto]]*Tabla4[[#Headers],[20.85%]]</f>
        <v>95.104189199999993</v>
      </c>
      <c r="L4035" s="282">
        <f>++Tabla4[[#This Row],[Precio Unitario Neto]]-Tabla4[[#This Row],[20.85%]]</f>
        <v>361.03101079999999</v>
      </c>
      <c r="M4035" s="282" t="e">
        <f>(INDEX(Tabla6[#All],MATCH(Tabla4[[#This Row],[Producto]],Tabla6[[#All],[PRODUCTO]],0),MATCH(Tabla4[[#This Row],[Mes]],Tabla6[#Headers],0)))*(1+Catalogos!$L$2)</f>
        <v>#N/A</v>
      </c>
      <c r="N4035" s="283" t="e">
        <f>+(Tabla4[[#This Row],[Precio Descontado]]-Tabla4[[#This Row],[Precio Base]])*Tabla4[[#This Row],[Cantidad]]</f>
        <v>#N/A</v>
      </c>
      <c r="O4035" s="284" t="e">
        <f>++Tabla4[[#This Row],[Utilidad Total]]/Tabla4[[#This Row],[Total]]</f>
        <v>#N/A</v>
      </c>
      <c r="P4035" s="282">
        <f>++Tabla4[[#This Row],[Precio Descontado]]*Tabla4[[#This Row],[Cantidad]]</f>
        <v>4332.3721296000003</v>
      </c>
      <c r="Q4035" s="282" t="e">
        <f>(INDEX(Tabla6[#All],MATCH(Tabla4[[#This Row],[Producto]],Tabla6[[#All],[PRODUCTO]],0),MATCH(Tabla4[[#This Row],[Mes]],Tabla6[#Headers],0)))</f>
        <v>#N/A</v>
      </c>
      <c r="R4035" s="282" t="e">
        <f>++Tabla4[[#This Row],[Precio Unitario Neto]]-Tabla4[[#This Row],[20.85%]]-Tabla4[[#This Row],[Costo]]</f>
        <v>#N/A</v>
      </c>
      <c r="S4035" s="282" t="e">
        <f>++Tabla4[[#This Row],[U. Bruta Uni]]*Tabla4[[#This Row],[Cantidad]]</f>
        <v>#N/A</v>
      </c>
      <c r="T4035" s="369" t="str">
        <f>VLOOKUP(Tabla4[[#This Row],[Producto]],Tabla6[#All],14,FALSE)</f>
        <v>Termico Solar</v>
      </c>
      <c r="U4035" s="284" t="e">
        <f>(IF(Tabla4[[#This Row],[Familia]]="termico solar",Tabla4[[#This Row],[Utilidad Total]]*6%,Tabla4[[#This Row],[Utilidad Total]]*11.5%))/Tabla4[[#This Row],[Total]]</f>
        <v>#N/A</v>
      </c>
      <c r="V4035" s="282" t="e">
        <f>+Tabla4[[#This Row],[Comisión Calculada]]*Tabla4[[#This Row],[Total]]</f>
        <v>#N/A</v>
      </c>
    </row>
    <row r="4036" spans="1:22" hidden="1" x14ac:dyDescent="0.25">
      <c r="A4036" s="100">
        <v>45838</v>
      </c>
      <c r="B4036" t="str">
        <f t="shared" si="196"/>
        <v>June</v>
      </c>
      <c r="C4036" s="46" t="s">
        <v>280</v>
      </c>
      <c r="F4036" s="366" t="s">
        <v>2235</v>
      </c>
      <c r="G4036" s="46" t="s">
        <v>545</v>
      </c>
      <c r="H4036" s="46">
        <v>24</v>
      </c>
      <c r="I4036" s="51">
        <v>304.32</v>
      </c>
      <c r="J4036" s="281">
        <f>++Tabla4[[#This Row],[Precio Bruto]]*1.16</f>
        <v>353.01119999999997</v>
      </c>
      <c r="K4036" s="281">
        <f>+Tabla4[[#This Row],[Precio Unitario Neto]]*Tabla4[[#Headers],[20.85%]]</f>
        <v>73.602835199999987</v>
      </c>
      <c r="L4036" s="282">
        <f>++Tabla4[[#This Row],[Precio Unitario Neto]]-Tabla4[[#This Row],[20.85%]]</f>
        <v>279.40836479999996</v>
      </c>
      <c r="M4036" s="282" t="e">
        <f>(INDEX(Tabla6[#All],MATCH(Tabla4[[#This Row],[Producto]],Tabla6[[#All],[PRODUCTO]],0),MATCH(Tabla4[[#This Row],[Mes]],Tabla6[#Headers],0)))*(1+Catalogos!$L$2)</f>
        <v>#N/A</v>
      </c>
      <c r="N4036" s="283" t="e">
        <f>+(Tabla4[[#This Row],[Precio Descontado]]-Tabla4[[#This Row],[Precio Base]])*Tabla4[[#This Row],[Cantidad]]</f>
        <v>#N/A</v>
      </c>
      <c r="O4036" s="284" t="e">
        <f>++Tabla4[[#This Row],[Utilidad Total]]/Tabla4[[#This Row],[Total]]</f>
        <v>#N/A</v>
      </c>
      <c r="P4036" s="282">
        <f>++Tabla4[[#This Row],[Precio Descontado]]*Tabla4[[#This Row],[Cantidad]]</f>
        <v>6705.800755199999</v>
      </c>
      <c r="Q4036" s="282" t="e">
        <f>(INDEX(Tabla6[#All],MATCH(Tabla4[[#This Row],[Producto]],Tabla6[[#All],[PRODUCTO]],0),MATCH(Tabla4[[#This Row],[Mes]],Tabla6[#Headers],0)))</f>
        <v>#N/A</v>
      </c>
      <c r="R4036" s="282" t="e">
        <f>++Tabla4[[#This Row],[Precio Unitario Neto]]-Tabla4[[#This Row],[20.85%]]-Tabla4[[#This Row],[Costo]]</f>
        <v>#N/A</v>
      </c>
      <c r="S4036" s="282" t="e">
        <f>++Tabla4[[#This Row],[U. Bruta Uni]]*Tabla4[[#This Row],[Cantidad]]</f>
        <v>#N/A</v>
      </c>
      <c r="T4036" s="369" t="str">
        <f>VLOOKUP(Tabla4[[#This Row],[Producto]],Tabla6[#All],14,FALSE)</f>
        <v>Termico Solar</v>
      </c>
      <c r="U4036" s="284" t="e">
        <f>(IF(Tabla4[[#This Row],[Familia]]="termico solar",Tabla4[[#This Row],[Utilidad Total]]*6%,Tabla4[[#This Row],[Utilidad Total]]*11.5%))/Tabla4[[#This Row],[Total]]</f>
        <v>#N/A</v>
      </c>
      <c r="V4036" s="282" t="e">
        <f>+Tabla4[[#This Row],[Comisión Calculada]]*Tabla4[[#This Row],[Total]]</f>
        <v>#N/A</v>
      </c>
    </row>
    <row r="4037" spans="1:22" hidden="1" x14ac:dyDescent="0.25">
      <c r="A4037" s="100">
        <v>45838</v>
      </c>
      <c r="B4037" t="str">
        <f t="shared" si="196"/>
        <v>June</v>
      </c>
      <c r="C4037" s="46" t="s">
        <v>280</v>
      </c>
      <c r="F4037" s="366" t="s">
        <v>2235</v>
      </c>
      <c r="G4037" s="46" t="s">
        <v>209</v>
      </c>
      <c r="H4037" s="46">
        <v>2</v>
      </c>
      <c r="I4037" s="51">
        <v>347.48</v>
      </c>
      <c r="J4037" s="281">
        <f>++Tabla4[[#This Row],[Precio Bruto]]*1.16</f>
        <v>403.07679999999999</v>
      </c>
      <c r="K4037" s="281">
        <f>+Tabla4[[#This Row],[Precio Unitario Neto]]*Tabla4[[#Headers],[20.85%]]</f>
        <v>84.041512799999992</v>
      </c>
      <c r="L4037" s="282">
        <f>++Tabla4[[#This Row],[Precio Unitario Neto]]-Tabla4[[#This Row],[20.85%]]</f>
        <v>319.03528719999997</v>
      </c>
      <c r="M4037" s="282" t="e">
        <f>(INDEX(Tabla6[#All],MATCH(Tabla4[[#This Row],[Producto]],Tabla6[[#All],[PRODUCTO]],0),MATCH(Tabla4[[#This Row],[Mes]],Tabla6[#Headers],0)))*(1+Catalogos!$L$2)</f>
        <v>#N/A</v>
      </c>
      <c r="N4037" s="283" t="e">
        <f>+(Tabla4[[#This Row],[Precio Descontado]]-Tabla4[[#This Row],[Precio Base]])*Tabla4[[#This Row],[Cantidad]]</f>
        <v>#N/A</v>
      </c>
      <c r="O4037" s="284" t="e">
        <f>++Tabla4[[#This Row],[Utilidad Total]]/Tabla4[[#This Row],[Total]]</f>
        <v>#N/A</v>
      </c>
      <c r="P4037" s="282">
        <f>++Tabla4[[#This Row],[Precio Descontado]]*Tabla4[[#This Row],[Cantidad]]</f>
        <v>638.07057439999994</v>
      </c>
      <c r="Q4037" s="282" t="e">
        <f>(INDEX(Tabla6[#All],MATCH(Tabla4[[#This Row],[Producto]],Tabla6[[#All],[PRODUCTO]],0),MATCH(Tabla4[[#This Row],[Mes]],Tabla6[#Headers],0)))</f>
        <v>#N/A</v>
      </c>
      <c r="R4037" s="282" t="e">
        <f>++Tabla4[[#This Row],[Precio Unitario Neto]]-Tabla4[[#This Row],[20.85%]]-Tabla4[[#This Row],[Costo]]</f>
        <v>#N/A</v>
      </c>
      <c r="S4037" s="282" t="e">
        <f>++Tabla4[[#This Row],[U. Bruta Uni]]*Tabla4[[#This Row],[Cantidad]]</f>
        <v>#N/A</v>
      </c>
      <c r="T4037" s="369" t="str">
        <f>VLOOKUP(Tabla4[[#This Row],[Producto]],Tabla6[#All],14,FALSE)</f>
        <v>Termico Solar</v>
      </c>
      <c r="U4037" s="284" t="e">
        <f>(IF(Tabla4[[#This Row],[Familia]]="termico solar",Tabla4[[#This Row],[Utilidad Total]]*6%,Tabla4[[#This Row],[Utilidad Total]]*11.5%))/Tabla4[[#This Row],[Total]]</f>
        <v>#N/A</v>
      </c>
      <c r="V4037" s="282" t="e">
        <f>+Tabla4[[#This Row],[Comisión Calculada]]*Tabla4[[#This Row],[Total]]</f>
        <v>#N/A</v>
      </c>
    </row>
    <row r="4038" spans="1:22" hidden="1" x14ac:dyDescent="0.25">
      <c r="A4038" s="100">
        <v>45838</v>
      </c>
      <c r="B4038" t="str">
        <f t="shared" ref="B4038:B4043" si="197">TEXT(A4038, "mmmm")</f>
        <v>June</v>
      </c>
      <c r="C4038" s="46" t="s">
        <v>280</v>
      </c>
      <c r="F4038" s="366" t="s">
        <v>2236</v>
      </c>
      <c r="G4038" s="46" t="s">
        <v>83</v>
      </c>
      <c r="H4038" s="46">
        <v>1</v>
      </c>
      <c r="I4038" s="51">
        <v>8858.76</v>
      </c>
      <c r="J4038" s="281">
        <f>++Tabla4[[#This Row],[Precio Bruto]]*1.16</f>
        <v>10276.161599999999</v>
      </c>
      <c r="K4038" s="281">
        <f>+Tabla4[[#This Row],[Precio Unitario Neto]]*Tabla4[[#Headers],[20.85%]]</f>
        <v>2142.5796935999997</v>
      </c>
      <c r="L4038" s="282">
        <f>++Tabla4[[#This Row],[Precio Unitario Neto]]-Tabla4[[#This Row],[20.85%]]</f>
        <v>8133.5819063999998</v>
      </c>
      <c r="M4038" s="282" t="e">
        <f>(INDEX(Tabla6[#All],MATCH(Tabla4[[#This Row],[Producto]],Tabla6[[#All],[PRODUCTO]],0),MATCH(Tabla4[[#This Row],[Mes]],Tabla6[#Headers],0)))*(1+Catalogos!$L$2)</f>
        <v>#N/A</v>
      </c>
      <c r="N4038" s="283" t="e">
        <f>+(Tabla4[[#This Row],[Precio Descontado]]-Tabla4[[#This Row],[Precio Base]])*Tabla4[[#This Row],[Cantidad]]</f>
        <v>#N/A</v>
      </c>
      <c r="O4038" s="284" t="e">
        <f>++Tabla4[[#This Row],[Utilidad Total]]/Tabla4[[#This Row],[Total]]</f>
        <v>#N/A</v>
      </c>
      <c r="P4038" s="282">
        <f>++Tabla4[[#This Row],[Precio Descontado]]*Tabla4[[#This Row],[Cantidad]]</f>
        <v>8133.5819063999998</v>
      </c>
      <c r="Q4038" s="282" t="e">
        <f>(INDEX(Tabla6[#All],MATCH(Tabla4[[#This Row],[Producto]],Tabla6[[#All],[PRODUCTO]],0),MATCH(Tabla4[[#This Row],[Mes]],Tabla6[#Headers],0)))</f>
        <v>#N/A</v>
      </c>
      <c r="R4038" s="282" t="e">
        <f>++Tabla4[[#This Row],[Precio Unitario Neto]]-Tabla4[[#This Row],[20.85%]]-Tabla4[[#This Row],[Costo]]</f>
        <v>#N/A</v>
      </c>
      <c r="S4038" s="282" t="e">
        <f>++Tabla4[[#This Row],[U. Bruta Uni]]*Tabla4[[#This Row],[Cantidad]]</f>
        <v>#N/A</v>
      </c>
      <c r="T4038" s="369" t="str">
        <f>VLOOKUP(Tabla4[[#This Row],[Producto]],Tabla6[#All],14,FALSE)</f>
        <v>Termico Solar</v>
      </c>
      <c r="U4038" s="284" t="e">
        <f>(IF(Tabla4[[#This Row],[Familia]]="termico solar",Tabla4[[#This Row],[Utilidad Total]]*6%,Tabla4[[#This Row],[Utilidad Total]]*11.5%))/Tabla4[[#This Row],[Total]]</f>
        <v>#N/A</v>
      </c>
      <c r="V4038" s="282" t="e">
        <f>+Tabla4[[#This Row],[Comisión Calculada]]*Tabla4[[#This Row],[Total]]</f>
        <v>#N/A</v>
      </c>
    </row>
    <row r="4039" spans="1:22" hidden="1" x14ac:dyDescent="0.25">
      <c r="A4039" s="100">
        <v>45838</v>
      </c>
      <c r="B4039" t="str">
        <f t="shared" si="197"/>
        <v>June</v>
      </c>
      <c r="C4039" s="46" t="s">
        <v>280</v>
      </c>
      <c r="F4039" s="366" t="s">
        <v>2236</v>
      </c>
      <c r="G4039" s="46" t="s">
        <v>18</v>
      </c>
      <c r="H4039" s="46">
        <v>4</v>
      </c>
      <c r="I4039" s="51">
        <v>5367.65</v>
      </c>
      <c r="J4039" s="281">
        <f>++Tabla4[[#This Row],[Precio Bruto]]*1.16</f>
        <v>6226.4739999999993</v>
      </c>
      <c r="K4039" s="281">
        <f>+Tabla4[[#This Row],[Precio Unitario Neto]]*Tabla4[[#Headers],[20.85%]]</f>
        <v>1298.2198289999999</v>
      </c>
      <c r="L4039" s="282">
        <f>++Tabla4[[#This Row],[Precio Unitario Neto]]-Tabla4[[#This Row],[20.85%]]</f>
        <v>4928.2541709999996</v>
      </c>
      <c r="M4039" s="282" t="e">
        <f>(INDEX(Tabla6[#All],MATCH(Tabla4[[#This Row],[Producto]],Tabla6[[#All],[PRODUCTO]],0),MATCH(Tabla4[[#This Row],[Mes]],Tabla6[#Headers],0)))*(1+Catalogos!$L$2)</f>
        <v>#N/A</v>
      </c>
      <c r="N4039" s="283" t="e">
        <f>+(Tabla4[[#This Row],[Precio Descontado]]-Tabla4[[#This Row],[Precio Base]])*Tabla4[[#This Row],[Cantidad]]</f>
        <v>#N/A</v>
      </c>
      <c r="O4039" s="284" t="e">
        <f>++Tabla4[[#This Row],[Utilidad Total]]/Tabla4[[#This Row],[Total]]</f>
        <v>#N/A</v>
      </c>
      <c r="P4039" s="282">
        <f>++Tabla4[[#This Row],[Precio Descontado]]*Tabla4[[#This Row],[Cantidad]]</f>
        <v>19713.016683999998</v>
      </c>
      <c r="Q4039" s="282" t="e">
        <f>(INDEX(Tabla6[#All],MATCH(Tabla4[[#This Row],[Producto]],Tabla6[[#All],[PRODUCTO]],0),MATCH(Tabla4[[#This Row],[Mes]],Tabla6[#Headers],0)))</f>
        <v>#N/A</v>
      </c>
      <c r="R4039" s="282" t="e">
        <f>++Tabla4[[#This Row],[Precio Unitario Neto]]-Tabla4[[#This Row],[20.85%]]-Tabla4[[#This Row],[Costo]]</f>
        <v>#N/A</v>
      </c>
      <c r="S4039" s="282" t="e">
        <f>++Tabla4[[#This Row],[U. Bruta Uni]]*Tabla4[[#This Row],[Cantidad]]</f>
        <v>#N/A</v>
      </c>
      <c r="T4039" s="369" t="str">
        <f>VLOOKUP(Tabla4[[#This Row],[Producto]],Tabla6[#All],14,FALSE)</f>
        <v>Termico Solar</v>
      </c>
      <c r="U4039" s="284" t="e">
        <f>(IF(Tabla4[[#This Row],[Familia]]="termico solar",Tabla4[[#This Row],[Utilidad Total]]*6%,Tabla4[[#This Row],[Utilidad Total]]*11.5%))/Tabla4[[#This Row],[Total]]</f>
        <v>#N/A</v>
      </c>
      <c r="V4039" s="282" t="e">
        <f>+Tabla4[[#This Row],[Comisión Calculada]]*Tabla4[[#This Row],[Total]]</f>
        <v>#N/A</v>
      </c>
    </row>
    <row r="4040" spans="1:22" hidden="1" x14ac:dyDescent="0.25">
      <c r="A4040" s="100">
        <v>45838</v>
      </c>
      <c r="B4040" t="str">
        <f t="shared" si="197"/>
        <v>June</v>
      </c>
      <c r="C4040" s="46" t="s">
        <v>280</v>
      </c>
      <c r="F4040" s="366" t="s">
        <v>2236</v>
      </c>
      <c r="G4040" s="46" t="s">
        <v>16</v>
      </c>
      <c r="H4040" s="46">
        <v>2</v>
      </c>
      <c r="I4040" s="51">
        <v>4103.8500000000004</v>
      </c>
      <c r="J4040" s="281">
        <f>++Tabla4[[#This Row],[Precio Bruto]]*1.16</f>
        <v>4760.4660000000003</v>
      </c>
      <c r="K4040" s="281">
        <f>+Tabla4[[#This Row],[Precio Unitario Neto]]*Tabla4[[#Headers],[20.85%]]</f>
        <v>992.55716100000006</v>
      </c>
      <c r="L4040" s="282">
        <f>++Tabla4[[#This Row],[Precio Unitario Neto]]-Tabla4[[#This Row],[20.85%]]</f>
        <v>3767.9088390000002</v>
      </c>
      <c r="M4040" s="282" t="e">
        <f>(INDEX(Tabla6[#All],MATCH(Tabla4[[#This Row],[Producto]],Tabla6[[#All],[PRODUCTO]],0),MATCH(Tabla4[[#This Row],[Mes]],Tabla6[#Headers],0)))*(1+Catalogos!$L$2)</f>
        <v>#N/A</v>
      </c>
      <c r="N4040" s="283" t="e">
        <f>+(Tabla4[[#This Row],[Precio Descontado]]-Tabla4[[#This Row],[Precio Base]])*Tabla4[[#This Row],[Cantidad]]</f>
        <v>#N/A</v>
      </c>
      <c r="O4040" s="284" t="e">
        <f>++Tabla4[[#This Row],[Utilidad Total]]/Tabla4[[#This Row],[Total]]</f>
        <v>#N/A</v>
      </c>
      <c r="P4040" s="282">
        <f>++Tabla4[[#This Row],[Precio Descontado]]*Tabla4[[#This Row],[Cantidad]]</f>
        <v>7535.8176780000003</v>
      </c>
      <c r="Q4040" s="282" t="e">
        <f>(INDEX(Tabla6[#All],MATCH(Tabla4[[#This Row],[Producto]],Tabla6[[#All],[PRODUCTO]],0),MATCH(Tabla4[[#This Row],[Mes]],Tabla6[#Headers],0)))</f>
        <v>#N/A</v>
      </c>
      <c r="R4040" s="282" t="e">
        <f>++Tabla4[[#This Row],[Precio Unitario Neto]]-Tabla4[[#This Row],[20.85%]]-Tabla4[[#This Row],[Costo]]</f>
        <v>#N/A</v>
      </c>
      <c r="S4040" s="282" t="e">
        <f>++Tabla4[[#This Row],[U. Bruta Uni]]*Tabla4[[#This Row],[Cantidad]]</f>
        <v>#N/A</v>
      </c>
      <c r="T4040" s="369" t="str">
        <f>VLOOKUP(Tabla4[[#This Row],[Producto]],Tabla6[#All],14,FALSE)</f>
        <v>Termico Solar</v>
      </c>
      <c r="U4040" s="284" t="e">
        <f>(IF(Tabla4[[#This Row],[Familia]]="termico solar",Tabla4[[#This Row],[Utilidad Total]]*6%,Tabla4[[#This Row],[Utilidad Total]]*11.5%))/Tabla4[[#This Row],[Total]]</f>
        <v>#N/A</v>
      </c>
      <c r="V4040" s="282" t="e">
        <f>+Tabla4[[#This Row],[Comisión Calculada]]*Tabla4[[#This Row],[Total]]</f>
        <v>#N/A</v>
      </c>
    </row>
    <row r="4041" spans="1:22" hidden="1" x14ac:dyDescent="0.25">
      <c r="A4041" s="100">
        <v>45838</v>
      </c>
      <c r="B4041" t="str">
        <f t="shared" si="197"/>
        <v>June</v>
      </c>
      <c r="C4041" s="46" t="s">
        <v>280</v>
      </c>
      <c r="F4041" s="366" t="s">
        <v>2236</v>
      </c>
      <c r="G4041" s="46" t="s">
        <v>200</v>
      </c>
      <c r="H4041" s="46">
        <v>12</v>
      </c>
      <c r="I4041" s="51">
        <v>393.22</v>
      </c>
      <c r="J4041" s="281">
        <f>++Tabla4[[#This Row],[Precio Bruto]]*1.16</f>
        <v>456.1352</v>
      </c>
      <c r="K4041" s="281">
        <f>+Tabla4[[#This Row],[Precio Unitario Neto]]*Tabla4[[#Headers],[20.85%]]</f>
        <v>95.104189199999993</v>
      </c>
      <c r="L4041" s="282">
        <f>++Tabla4[[#This Row],[Precio Unitario Neto]]-Tabla4[[#This Row],[20.85%]]</f>
        <v>361.03101079999999</v>
      </c>
      <c r="M4041" s="282" t="e">
        <f>(INDEX(Tabla6[#All],MATCH(Tabla4[[#This Row],[Producto]],Tabla6[[#All],[PRODUCTO]],0),MATCH(Tabla4[[#This Row],[Mes]],Tabla6[#Headers],0)))*(1+Catalogos!$L$2)</f>
        <v>#N/A</v>
      </c>
      <c r="N4041" s="283" t="e">
        <f>+(Tabla4[[#This Row],[Precio Descontado]]-Tabla4[[#This Row],[Precio Base]])*Tabla4[[#This Row],[Cantidad]]</f>
        <v>#N/A</v>
      </c>
      <c r="O4041" s="284" t="e">
        <f>++Tabla4[[#This Row],[Utilidad Total]]/Tabla4[[#This Row],[Total]]</f>
        <v>#N/A</v>
      </c>
      <c r="P4041" s="282">
        <f>++Tabla4[[#This Row],[Precio Descontado]]*Tabla4[[#This Row],[Cantidad]]</f>
        <v>4332.3721296000003</v>
      </c>
      <c r="Q4041" s="282" t="e">
        <f>(INDEX(Tabla6[#All],MATCH(Tabla4[[#This Row],[Producto]],Tabla6[[#All],[PRODUCTO]],0),MATCH(Tabla4[[#This Row],[Mes]],Tabla6[#Headers],0)))</f>
        <v>#N/A</v>
      </c>
      <c r="R4041" s="282" t="e">
        <f>++Tabla4[[#This Row],[Precio Unitario Neto]]-Tabla4[[#This Row],[20.85%]]-Tabla4[[#This Row],[Costo]]</f>
        <v>#N/A</v>
      </c>
      <c r="S4041" s="282" t="e">
        <f>++Tabla4[[#This Row],[U. Bruta Uni]]*Tabla4[[#This Row],[Cantidad]]</f>
        <v>#N/A</v>
      </c>
      <c r="T4041" s="369" t="str">
        <f>VLOOKUP(Tabla4[[#This Row],[Producto]],Tabla6[#All],14,FALSE)</f>
        <v>Termico Solar</v>
      </c>
      <c r="U4041" s="284" t="e">
        <f>(IF(Tabla4[[#This Row],[Familia]]="termico solar",Tabla4[[#This Row],[Utilidad Total]]*6%,Tabla4[[#This Row],[Utilidad Total]]*11.5%))/Tabla4[[#This Row],[Total]]</f>
        <v>#N/A</v>
      </c>
      <c r="V4041" s="282" t="e">
        <f>+Tabla4[[#This Row],[Comisión Calculada]]*Tabla4[[#This Row],[Total]]</f>
        <v>#N/A</v>
      </c>
    </row>
    <row r="4042" spans="1:22" hidden="1" x14ac:dyDescent="0.25">
      <c r="A4042" s="100">
        <v>45838</v>
      </c>
      <c r="B4042" t="str">
        <f t="shared" si="197"/>
        <v>June</v>
      </c>
      <c r="C4042" s="46" t="s">
        <v>280</v>
      </c>
      <c r="F4042" s="366" t="s">
        <v>2236</v>
      </c>
      <c r="G4042" s="46" t="s">
        <v>545</v>
      </c>
      <c r="H4042" s="46">
        <v>24</v>
      </c>
      <c r="I4042" s="51">
        <v>304.32</v>
      </c>
      <c r="J4042" s="281">
        <f>++Tabla4[[#This Row],[Precio Bruto]]*1.16</f>
        <v>353.01119999999997</v>
      </c>
      <c r="K4042" s="281">
        <f>+Tabla4[[#This Row],[Precio Unitario Neto]]*Tabla4[[#Headers],[20.85%]]</f>
        <v>73.602835199999987</v>
      </c>
      <c r="L4042" s="282">
        <f>++Tabla4[[#This Row],[Precio Unitario Neto]]-Tabla4[[#This Row],[20.85%]]</f>
        <v>279.40836479999996</v>
      </c>
      <c r="M4042" s="282" t="e">
        <f>(INDEX(Tabla6[#All],MATCH(Tabla4[[#This Row],[Producto]],Tabla6[[#All],[PRODUCTO]],0),MATCH(Tabla4[[#This Row],[Mes]],Tabla6[#Headers],0)))*(1+Catalogos!$L$2)</f>
        <v>#N/A</v>
      </c>
      <c r="N4042" s="283" t="e">
        <f>+(Tabla4[[#This Row],[Precio Descontado]]-Tabla4[[#This Row],[Precio Base]])*Tabla4[[#This Row],[Cantidad]]</f>
        <v>#N/A</v>
      </c>
      <c r="O4042" s="284" t="e">
        <f>++Tabla4[[#This Row],[Utilidad Total]]/Tabla4[[#This Row],[Total]]</f>
        <v>#N/A</v>
      </c>
      <c r="P4042" s="282">
        <f>++Tabla4[[#This Row],[Precio Descontado]]*Tabla4[[#This Row],[Cantidad]]</f>
        <v>6705.800755199999</v>
      </c>
      <c r="Q4042" s="282" t="e">
        <f>(INDEX(Tabla6[#All],MATCH(Tabla4[[#This Row],[Producto]],Tabla6[[#All],[PRODUCTO]],0),MATCH(Tabla4[[#This Row],[Mes]],Tabla6[#Headers],0)))</f>
        <v>#N/A</v>
      </c>
      <c r="R4042" s="282" t="e">
        <f>++Tabla4[[#This Row],[Precio Unitario Neto]]-Tabla4[[#This Row],[20.85%]]-Tabla4[[#This Row],[Costo]]</f>
        <v>#N/A</v>
      </c>
      <c r="S4042" s="282" t="e">
        <f>++Tabla4[[#This Row],[U. Bruta Uni]]*Tabla4[[#This Row],[Cantidad]]</f>
        <v>#N/A</v>
      </c>
      <c r="T4042" s="369" t="str">
        <f>VLOOKUP(Tabla4[[#This Row],[Producto]],Tabla6[#All],14,FALSE)</f>
        <v>Termico Solar</v>
      </c>
      <c r="U4042" s="284" t="e">
        <f>(IF(Tabla4[[#This Row],[Familia]]="termico solar",Tabla4[[#This Row],[Utilidad Total]]*6%,Tabla4[[#This Row],[Utilidad Total]]*11.5%))/Tabla4[[#This Row],[Total]]</f>
        <v>#N/A</v>
      </c>
      <c r="V4042" s="282" t="e">
        <f>+Tabla4[[#This Row],[Comisión Calculada]]*Tabla4[[#This Row],[Total]]</f>
        <v>#N/A</v>
      </c>
    </row>
    <row r="4043" spans="1:22" hidden="1" x14ac:dyDescent="0.25">
      <c r="A4043" s="100">
        <v>45838</v>
      </c>
      <c r="B4043" t="str">
        <f t="shared" si="197"/>
        <v>June</v>
      </c>
      <c r="C4043" s="46" t="s">
        <v>280</v>
      </c>
      <c r="F4043" s="366" t="s">
        <v>2236</v>
      </c>
      <c r="G4043" s="46" t="s">
        <v>209</v>
      </c>
      <c r="H4043" s="46">
        <v>2</v>
      </c>
      <c r="I4043" s="51">
        <v>347.48</v>
      </c>
      <c r="J4043" s="281">
        <f>++Tabla4[[#This Row],[Precio Bruto]]*1.16</f>
        <v>403.07679999999999</v>
      </c>
      <c r="K4043" s="281">
        <f>+Tabla4[[#This Row],[Precio Unitario Neto]]*Tabla4[[#Headers],[20.85%]]</f>
        <v>84.041512799999992</v>
      </c>
      <c r="L4043" s="282">
        <f>++Tabla4[[#This Row],[Precio Unitario Neto]]-Tabla4[[#This Row],[20.85%]]</f>
        <v>319.03528719999997</v>
      </c>
      <c r="M4043" s="282" t="e">
        <f>(INDEX(Tabla6[#All],MATCH(Tabla4[[#This Row],[Producto]],Tabla6[[#All],[PRODUCTO]],0),MATCH(Tabla4[[#This Row],[Mes]],Tabla6[#Headers],0)))*(1+Catalogos!$L$2)</f>
        <v>#N/A</v>
      </c>
      <c r="N4043" s="283" t="e">
        <f>+(Tabla4[[#This Row],[Precio Descontado]]-Tabla4[[#This Row],[Precio Base]])*Tabla4[[#This Row],[Cantidad]]</f>
        <v>#N/A</v>
      </c>
      <c r="O4043" s="284" t="e">
        <f>++Tabla4[[#This Row],[Utilidad Total]]/Tabla4[[#This Row],[Total]]</f>
        <v>#N/A</v>
      </c>
      <c r="P4043" s="282">
        <f>++Tabla4[[#This Row],[Precio Descontado]]*Tabla4[[#This Row],[Cantidad]]</f>
        <v>638.07057439999994</v>
      </c>
      <c r="Q4043" s="282" t="e">
        <f>(INDEX(Tabla6[#All],MATCH(Tabla4[[#This Row],[Producto]],Tabla6[[#All],[PRODUCTO]],0),MATCH(Tabla4[[#This Row],[Mes]],Tabla6[#Headers],0)))</f>
        <v>#N/A</v>
      </c>
      <c r="R4043" s="282" t="e">
        <f>++Tabla4[[#This Row],[Precio Unitario Neto]]-Tabla4[[#This Row],[20.85%]]-Tabla4[[#This Row],[Costo]]</f>
        <v>#N/A</v>
      </c>
      <c r="S4043" s="282" t="e">
        <f>++Tabla4[[#This Row],[U. Bruta Uni]]*Tabla4[[#This Row],[Cantidad]]</f>
        <v>#N/A</v>
      </c>
      <c r="T4043" s="369" t="str">
        <f>VLOOKUP(Tabla4[[#This Row],[Producto]],Tabla6[#All],14,FALSE)</f>
        <v>Termico Solar</v>
      </c>
      <c r="U4043" s="284" t="e">
        <f>(IF(Tabla4[[#This Row],[Familia]]="termico solar",Tabla4[[#This Row],[Utilidad Total]]*6%,Tabla4[[#This Row],[Utilidad Total]]*11.5%))/Tabla4[[#This Row],[Total]]</f>
        <v>#N/A</v>
      </c>
      <c r="V4043" s="282" t="e">
        <f>+Tabla4[[#This Row],[Comisión Calculada]]*Tabla4[[#This Row],[Total]]</f>
        <v>#N/A</v>
      </c>
    </row>
    <row r="4044" spans="1:22" hidden="1" x14ac:dyDescent="0.25">
      <c r="A4044" s="100">
        <v>45838</v>
      </c>
      <c r="B4044" t="str">
        <f t="shared" ref="B4044:B4054" si="198">TEXT(A4044, "mmmm")</f>
        <v>June</v>
      </c>
      <c r="C4044" s="46" t="s">
        <v>280</v>
      </c>
      <c r="F4044" s="366" t="s">
        <v>2237</v>
      </c>
      <c r="G4044" s="46" t="s">
        <v>83</v>
      </c>
      <c r="H4044" s="46">
        <v>1</v>
      </c>
      <c r="I4044" s="51">
        <v>8858.76</v>
      </c>
      <c r="J4044" s="281">
        <f>++Tabla4[[#This Row],[Precio Bruto]]*1.16</f>
        <v>10276.161599999999</v>
      </c>
      <c r="K4044" s="281">
        <f>+Tabla4[[#This Row],[Precio Unitario Neto]]*Tabla4[[#Headers],[20.85%]]</f>
        <v>2142.5796935999997</v>
      </c>
      <c r="L4044" s="282">
        <f>++Tabla4[[#This Row],[Precio Unitario Neto]]-Tabla4[[#This Row],[20.85%]]</f>
        <v>8133.5819063999998</v>
      </c>
      <c r="M4044" s="282" t="e">
        <f>(INDEX(Tabla6[#All],MATCH(Tabla4[[#This Row],[Producto]],Tabla6[[#All],[PRODUCTO]],0),MATCH(Tabla4[[#This Row],[Mes]],Tabla6[#Headers],0)))*(1+Catalogos!$L$2)</f>
        <v>#N/A</v>
      </c>
      <c r="N4044" s="283" t="e">
        <f>+(Tabla4[[#This Row],[Precio Descontado]]-Tabla4[[#This Row],[Precio Base]])*Tabla4[[#This Row],[Cantidad]]</f>
        <v>#N/A</v>
      </c>
      <c r="O4044" s="284" t="e">
        <f>++Tabla4[[#This Row],[Utilidad Total]]/Tabla4[[#This Row],[Total]]</f>
        <v>#N/A</v>
      </c>
      <c r="P4044" s="282">
        <f>++Tabla4[[#This Row],[Precio Descontado]]*Tabla4[[#This Row],[Cantidad]]</f>
        <v>8133.5819063999998</v>
      </c>
      <c r="Q4044" s="282" t="e">
        <f>(INDEX(Tabla6[#All],MATCH(Tabla4[[#This Row],[Producto]],Tabla6[[#All],[PRODUCTO]],0),MATCH(Tabla4[[#This Row],[Mes]],Tabla6[#Headers],0)))</f>
        <v>#N/A</v>
      </c>
      <c r="R4044" s="282" t="e">
        <f>++Tabla4[[#This Row],[Precio Unitario Neto]]-Tabla4[[#This Row],[20.85%]]-Tabla4[[#This Row],[Costo]]</f>
        <v>#N/A</v>
      </c>
      <c r="S4044" s="282" t="e">
        <f>++Tabla4[[#This Row],[U. Bruta Uni]]*Tabla4[[#This Row],[Cantidad]]</f>
        <v>#N/A</v>
      </c>
      <c r="T4044" s="369" t="str">
        <f>VLOOKUP(Tabla4[[#This Row],[Producto]],Tabla6[#All],14,FALSE)</f>
        <v>Termico Solar</v>
      </c>
      <c r="U4044" s="284" t="e">
        <f>(IF(Tabla4[[#This Row],[Familia]]="termico solar",Tabla4[[#This Row],[Utilidad Total]]*6%,Tabla4[[#This Row],[Utilidad Total]]*11.5%))/Tabla4[[#This Row],[Total]]</f>
        <v>#N/A</v>
      </c>
      <c r="V4044" s="282" t="e">
        <f>+Tabla4[[#This Row],[Comisión Calculada]]*Tabla4[[#This Row],[Total]]</f>
        <v>#N/A</v>
      </c>
    </row>
    <row r="4045" spans="1:22" hidden="1" x14ac:dyDescent="0.25">
      <c r="A4045" s="100">
        <v>45838</v>
      </c>
      <c r="B4045" t="str">
        <f t="shared" si="198"/>
        <v>June</v>
      </c>
      <c r="C4045" s="46" t="s">
        <v>280</v>
      </c>
      <c r="F4045" s="366" t="s">
        <v>2237</v>
      </c>
      <c r="G4045" s="46" t="s">
        <v>566</v>
      </c>
      <c r="H4045" s="46">
        <v>1</v>
      </c>
      <c r="I4045" s="51">
        <v>2109.4499999999998</v>
      </c>
      <c r="J4045" s="281">
        <f>++Tabla4[[#This Row],[Precio Bruto]]*1.16</f>
        <v>2446.9619999999995</v>
      </c>
      <c r="K4045" s="281">
        <f>+Tabla4[[#This Row],[Precio Unitario Neto]]*Tabla4[[#Headers],[20.85%]]</f>
        <v>510.19157699999988</v>
      </c>
      <c r="L4045" s="282">
        <f>++Tabla4[[#This Row],[Precio Unitario Neto]]-Tabla4[[#This Row],[20.85%]]</f>
        <v>1936.7704229999997</v>
      </c>
      <c r="M4045" s="282" t="e">
        <f>(INDEX(Tabla6[#All],MATCH(Tabla4[[#This Row],[Producto]],Tabla6[[#All],[PRODUCTO]],0),MATCH(Tabla4[[#This Row],[Mes]],Tabla6[#Headers],0)))*(1+Catalogos!$L$2)</f>
        <v>#N/A</v>
      </c>
      <c r="N4045" s="283" t="e">
        <f>+(Tabla4[[#This Row],[Precio Descontado]]-Tabla4[[#This Row],[Precio Base]])*Tabla4[[#This Row],[Cantidad]]</f>
        <v>#N/A</v>
      </c>
      <c r="O4045" s="284" t="e">
        <f>++Tabla4[[#This Row],[Utilidad Total]]/Tabla4[[#This Row],[Total]]</f>
        <v>#N/A</v>
      </c>
      <c r="P4045" s="282">
        <f>++Tabla4[[#This Row],[Precio Descontado]]*Tabla4[[#This Row],[Cantidad]]</f>
        <v>1936.7704229999997</v>
      </c>
      <c r="Q4045" s="282" t="e">
        <f>(INDEX(Tabla6[#All],MATCH(Tabla4[[#This Row],[Producto]],Tabla6[[#All],[PRODUCTO]],0),MATCH(Tabla4[[#This Row],[Mes]],Tabla6[#Headers],0)))</f>
        <v>#N/A</v>
      </c>
      <c r="R4045" s="282" t="e">
        <f>++Tabla4[[#This Row],[Precio Unitario Neto]]-Tabla4[[#This Row],[20.85%]]-Tabla4[[#This Row],[Costo]]</f>
        <v>#N/A</v>
      </c>
      <c r="S4045" s="282" t="e">
        <f>++Tabla4[[#This Row],[U. Bruta Uni]]*Tabla4[[#This Row],[Cantidad]]</f>
        <v>#N/A</v>
      </c>
      <c r="T4045" s="369" t="str">
        <f>VLOOKUP(Tabla4[[#This Row],[Producto]],Tabla6[#All],14,FALSE)</f>
        <v>Termico Solar</v>
      </c>
      <c r="U4045" s="284" t="e">
        <f>(IF(Tabla4[[#This Row],[Familia]]="termico solar",Tabla4[[#This Row],[Utilidad Total]]*6%,Tabla4[[#This Row],[Utilidad Total]]*11.5%))/Tabla4[[#This Row],[Total]]</f>
        <v>#N/A</v>
      </c>
      <c r="V4045" s="282" t="e">
        <f>+Tabla4[[#This Row],[Comisión Calculada]]*Tabla4[[#This Row],[Total]]</f>
        <v>#N/A</v>
      </c>
    </row>
    <row r="4046" spans="1:22" hidden="1" x14ac:dyDescent="0.25">
      <c r="A4046" s="100">
        <v>45838</v>
      </c>
      <c r="B4046" t="str">
        <f t="shared" si="198"/>
        <v>June</v>
      </c>
      <c r="C4046" s="46" t="s">
        <v>280</v>
      </c>
      <c r="F4046" s="366" t="s">
        <v>2238</v>
      </c>
      <c r="G4046" s="46" t="s">
        <v>566</v>
      </c>
      <c r="H4046" s="46">
        <v>2</v>
      </c>
      <c r="I4046" s="51">
        <v>2109.4499999999998</v>
      </c>
      <c r="J4046" s="281">
        <f>++Tabla4[[#This Row],[Precio Bruto]]*1.16</f>
        <v>2446.9619999999995</v>
      </c>
      <c r="K4046" s="281">
        <f>+Tabla4[[#This Row],[Precio Unitario Neto]]*Tabla4[[#Headers],[20.85%]]</f>
        <v>510.19157699999988</v>
      </c>
      <c r="L4046" s="282">
        <f>++Tabla4[[#This Row],[Precio Unitario Neto]]-Tabla4[[#This Row],[20.85%]]</f>
        <v>1936.7704229999997</v>
      </c>
      <c r="M4046" s="282" t="e">
        <f>(INDEX(Tabla6[#All],MATCH(Tabla4[[#This Row],[Producto]],Tabla6[[#All],[PRODUCTO]],0),MATCH(Tabla4[[#This Row],[Mes]],Tabla6[#Headers],0)))*(1+Catalogos!$L$2)</f>
        <v>#N/A</v>
      </c>
      <c r="N4046" s="283" t="e">
        <f>+(Tabla4[[#This Row],[Precio Descontado]]-Tabla4[[#This Row],[Precio Base]])*Tabla4[[#This Row],[Cantidad]]</f>
        <v>#N/A</v>
      </c>
      <c r="O4046" s="284" t="e">
        <f>++Tabla4[[#This Row],[Utilidad Total]]/Tabla4[[#This Row],[Total]]</f>
        <v>#N/A</v>
      </c>
      <c r="P4046" s="282">
        <f>++Tabla4[[#This Row],[Precio Descontado]]*Tabla4[[#This Row],[Cantidad]]</f>
        <v>3873.5408459999994</v>
      </c>
      <c r="Q4046" s="282" t="e">
        <f>(INDEX(Tabla6[#All],MATCH(Tabla4[[#This Row],[Producto]],Tabla6[[#All],[PRODUCTO]],0),MATCH(Tabla4[[#This Row],[Mes]],Tabla6[#Headers],0)))</f>
        <v>#N/A</v>
      </c>
      <c r="R4046" s="282" t="e">
        <f>++Tabla4[[#This Row],[Precio Unitario Neto]]-Tabla4[[#This Row],[20.85%]]-Tabla4[[#This Row],[Costo]]</f>
        <v>#N/A</v>
      </c>
      <c r="S4046" s="282" t="e">
        <f>++Tabla4[[#This Row],[U. Bruta Uni]]*Tabla4[[#This Row],[Cantidad]]</f>
        <v>#N/A</v>
      </c>
      <c r="T4046" s="369" t="str">
        <f>VLOOKUP(Tabla4[[#This Row],[Producto]],Tabla6[#All],14,FALSE)</f>
        <v>Termico Solar</v>
      </c>
      <c r="U4046" s="284" t="e">
        <f>(IF(Tabla4[[#This Row],[Familia]]="termico solar",Tabla4[[#This Row],[Utilidad Total]]*6%,Tabla4[[#This Row],[Utilidad Total]]*11.5%))/Tabla4[[#This Row],[Total]]</f>
        <v>#N/A</v>
      </c>
      <c r="V4046" s="282" t="e">
        <f>+Tabla4[[#This Row],[Comisión Calculada]]*Tabla4[[#This Row],[Total]]</f>
        <v>#N/A</v>
      </c>
    </row>
    <row r="4047" spans="1:22" hidden="1" x14ac:dyDescent="0.25">
      <c r="A4047" s="100">
        <v>45838</v>
      </c>
      <c r="B4047" t="str">
        <f t="shared" si="198"/>
        <v>June</v>
      </c>
      <c r="C4047" s="46" t="s">
        <v>280</v>
      </c>
      <c r="F4047" s="366" t="s">
        <v>2238</v>
      </c>
      <c r="G4047" s="46" t="s">
        <v>200</v>
      </c>
      <c r="H4047" s="46">
        <v>12</v>
      </c>
      <c r="I4047" s="51">
        <v>393.22</v>
      </c>
      <c r="J4047" s="281">
        <f>++Tabla4[[#This Row],[Precio Bruto]]*1.16</f>
        <v>456.1352</v>
      </c>
      <c r="K4047" s="281">
        <f>+Tabla4[[#This Row],[Precio Unitario Neto]]*Tabla4[[#Headers],[20.85%]]</f>
        <v>95.104189199999993</v>
      </c>
      <c r="L4047" s="282">
        <f>++Tabla4[[#This Row],[Precio Unitario Neto]]-Tabla4[[#This Row],[20.85%]]</f>
        <v>361.03101079999999</v>
      </c>
      <c r="M4047" s="282" t="e">
        <f>(INDEX(Tabla6[#All],MATCH(Tabla4[[#This Row],[Producto]],Tabla6[[#All],[PRODUCTO]],0),MATCH(Tabla4[[#This Row],[Mes]],Tabla6[#Headers],0)))*(1+Catalogos!$L$2)</f>
        <v>#N/A</v>
      </c>
      <c r="N4047" s="283" t="e">
        <f>+(Tabla4[[#This Row],[Precio Descontado]]-Tabla4[[#This Row],[Precio Base]])*Tabla4[[#This Row],[Cantidad]]</f>
        <v>#N/A</v>
      </c>
      <c r="O4047" s="284" t="e">
        <f>++Tabla4[[#This Row],[Utilidad Total]]/Tabla4[[#This Row],[Total]]</f>
        <v>#N/A</v>
      </c>
      <c r="P4047" s="282">
        <f>++Tabla4[[#This Row],[Precio Descontado]]*Tabla4[[#This Row],[Cantidad]]</f>
        <v>4332.3721296000003</v>
      </c>
      <c r="Q4047" s="282" t="e">
        <f>(INDEX(Tabla6[#All],MATCH(Tabla4[[#This Row],[Producto]],Tabla6[[#All],[PRODUCTO]],0),MATCH(Tabla4[[#This Row],[Mes]],Tabla6[#Headers],0)))</f>
        <v>#N/A</v>
      </c>
      <c r="R4047" s="282" t="e">
        <f>++Tabla4[[#This Row],[Precio Unitario Neto]]-Tabla4[[#This Row],[20.85%]]-Tabla4[[#This Row],[Costo]]</f>
        <v>#N/A</v>
      </c>
      <c r="S4047" s="282" t="e">
        <f>++Tabla4[[#This Row],[U. Bruta Uni]]*Tabla4[[#This Row],[Cantidad]]</f>
        <v>#N/A</v>
      </c>
      <c r="T4047" s="369" t="str">
        <f>VLOOKUP(Tabla4[[#This Row],[Producto]],Tabla6[#All],14,FALSE)</f>
        <v>Termico Solar</v>
      </c>
      <c r="U4047" s="284" t="e">
        <f>(IF(Tabla4[[#This Row],[Familia]]="termico solar",Tabla4[[#This Row],[Utilidad Total]]*6%,Tabla4[[#This Row],[Utilidad Total]]*11.5%))/Tabla4[[#This Row],[Total]]</f>
        <v>#N/A</v>
      </c>
      <c r="V4047" s="282" t="e">
        <f>+Tabla4[[#This Row],[Comisión Calculada]]*Tabla4[[#This Row],[Total]]</f>
        <v>#N/A</v>
      </c>
    </row>
    <row r="4048" spans="1:22" hidden="1" x14ac:dyDescent="0.25">
      <c r="A4048" s="100">
        <v>45838</v>
      </c>
      <c r="B4048" t="str">
        <f t="shared" si="198"/>
        <v>June</v>
      </c>
      <c r="C4048" s="46" t="s">
        <v>280</v>
      </c>
      <c r="F4048" s="366" t="s">
        <v>2238</v>
      </c>
      <c r="G4048" s="46" t="s">
        <v>545</v>
      </c>
      <c r="H4048" s="46">
        <v>24</v>
      </c>
      <c r="I4048" s="51">
        <v>304.32</v>
      </c>
      <c r="J4048" s="281">
        <f>++Tabla4[[#This Row],[Precio Bruto]]*1.16</f>
        <v>353.01119999999997</v>
      </c>
      <c r="K4048" s="281">
        <f>+Tabla4[[#This Row],[Precio Unitario Neto]]*Tabla4[[#Headers],[20.85%]]</f>
        <v>73.602835199999987</v>
      </c>
      <c r="L4048" s="282">
        <f>++Tabla4[[#This Row],[Precio Unitario Neto]]-Tabla4[[#This Row],[20.85%]]</f>
        <v>279.40836479999996</v>
      </c>
      <c r="M4048" s="282" t="e">
        <f>(INDEX(Tabla6[#All],MATCH(Tabla4[[#This Row],[Producto]],Tabla6[[#All],[PRODUCTO]],0),MATCH(Tabla4[[#This Row],[Mes]],Tabla6[#Headers],0)))*(1+Catalogos!$L$2)</f>
        <v>#N/A</v>
      </c>
      <c r="N4048" s="283" t="e">
        <f>+(Tabla4[[#This Row],[Precio Descontado]]-Tabla4[[#This Row],[Precio Base]])*Tabla4[[#This Row],[Cantidad]]</f>
        <v>#N/A</v>
      </c>
      <c r="O4048" s="284" t="e">
        <f>++Tabla4[[#This Row],[Utilidad Total]]/Tabla4[[#This Row],[Total]]</f>
        <v>#N/A</v>
      </c>
      <c r="P4048" s="282">
        <f>++Tabla4[[#This Row],[Precio Descontado]]*Tabla4[[#This Row],[Cantidad]]</f>
        <v>6705.800755199999</v>
      </c>
      <c r="Q4048" s="282" t="e">
        <f>(INDEX(Tabla6[#All],MATCH(Tabla4[[#This Row],[Producto]],Tabla6[[#All],[PRODUCTO]],0),MATCH(Tabla4[[#This Row],[Mes]],Tabla6[#Headers],0)))</f>
        <v>#N/A</v>
      </c>
      <c r="R4048" s="282" t="e">
        <f>++Tabla4[[#This Row],[Precio Unitario Neto]]-Tabla4[[#This Row],[20.85%]]-Tabla4[[#This Row],[Costo]]</f>
        <v>#N/A</v>
      </c>
      <c r="S4048" s="282" t="e">
        <f>++Tabla4[[#This Row],[U. Bruta Uni]]*Tabla4[[#This Row],[Cantidad]]</f>
        <v>#N/A</v>
      </c>
      <c r="T4048" s="369" t="str">
        <f>VLOOKUP(Tabla4[[#This Row],[Producto]],Tabla6[#All],14,FALSE)</f>
        <v>Termico Solar</v>
      </c>
      <c r="U4048" s="284" t="e">
        <f>(IF(Tabla4[[#This Row],[Familia]]="termico solar",Tabla4[[#This Row],[Utilidad Total]]*6%,Tabla4[[#This Row],[Utilidad Total]]*11.5%))/Tabla4[[#This Row],[Total]]</f>
        <v>#N/A</v>
      </c>
      <c r="V4048" s="282" t="e">
        <f>+Tabla4[[#This Row],[Comisión Calculada]]*Tabla4[[#This Row],[Total]]</f>
        <v>#N/A</v>
      </c>
    </row>
    <row r="4049" spans="1:22" hidden="1" x14ac:dyDescent="0.25">
      <c r="A4049" s="100">
        <v>45838</v>
      </c>
      <c r="B4049" t="str">
        <f t="shared" si="198"/>
        <v>June</v>
      </c>
      <c r="C4049" s="46" t="s">
        <v>280</v>
      </c>
      <c r="F4049" s="366" t="s">
        <v>2238</v>
      </c>
      <c r="G4049" s="46" t="s">
        <v>209</v>
      </c>
      <c r="H4049" s="46">
        <v>6</v>
      </c>
      <c r="I4049" s="51">
        <v>347.48</v>
      </c>
      <c r="J4049" s="281">
        <f>++Tabla4[[#This Row],[Precio Bruto]]*1.16</f>
        <v>403.07679999999999</v>
      </c>
      <c r="K4049" s="281">
        <f>+Tabla4[[#This Row],[Precio Unitario Neto]]*Tabla4[[#Headers],[20.85%]]</f>
        <v>84.041512799999992</v>
      </c>
      <c r="L4049" s="282">
        <f>++Tabla4[[#This Row],[Precio Unitario Neto]]-Tabla4[[#This Row],[20.85%]]</f>
        <v>319.03528719999997</v>
      </c>
      <c r="M4049" s="282" t="e">
        <f>(INDEX(Tabla6[#All],MATCH(Tabla4[[#This Row],[Producto]],Tabla6[[#All],[PRODUCTO]],0),MATCH(Tabla4[[#This Row],[Mes]],Tabla6[#Headers],0)))*(1+Catalogos!$L$2)</f>
        <v>#N/A</v>
      </c>
      <c r="N4049" s="283" t="e">
        <f>+(Tabla4[[#This Row],[Precio Descontado]]-Tabla4[[#This Row],[Precio Base]])*Tabla4[[#This Row],[Cantidad]]</f>
        <v>#N/A</v>
      </c>
      <c r="O4049" s="284" t="e">
        <f>++Tabla4[[#This Row],[Utilidad Total]]/Tabla4[[#This Row],[Total]]</f>
        <v>#N/A</v>
      </c>
      <c r="P4049" s="282">
        <f>++Tabla4[[#This Row],[Precio Descontado]]*Tabla4[[#This Row],[Cantidad]]</f>
        <v>1914.2117231999998</v>
      </c>
      <c r="Q4049" s="282" t="e">
        <f>(INDEX(Tabla6[#All],MATCH(Tabla4[[#This Row],[Producto]],Tabla6[[#All],[PRODUCTO]],0),MATCH(Tabla4[[#This Row],[Mes]],Tabla6[#Headers],0)))</f>
        <v>#N/A</v>
      </c>
      <c r="R4049" s="282" t="e">
        <f>++Tabla4[[#This Row],[Precio Unitario Neto]]-Tabla4[[#This Row],[20.85%]]-Tabla4[[#This Row],[Costo]]</f>
        <v>#N/A</v>
      </c>
      <c r="S4049" s="282" t="e">
        <f>++Tabla4[[#This Row],[U. Bruta Uni]]*Tabla4[[#This Row],[Cantidad]]</f>
        <v>#N/A</v>
      </c>
      <c r="T4049" s="369" t="str">
        <f>VLOOKUP(Tabla4[[#This Row],[Producto]],Tabla6[#All],14,FALSE)</f>
        <v>Termico Solar</v>
      </c>
      <c r="U4049" s="284" t="e">
        <f>(IF(Tabla4[[#This Row],[Familia]]="termico solar",Tabla4[[#This Row],[Utilidad Total]]*6%,Tabla4[[#This Row],[Utilidad Total]]*11.5%))/Tabla4[[#This Row],[Total]]</f>
        <v>#N/A</v>
      </c>
      <c r="V4049" s="282" t="e">
        <f>+Tabla4[[#This Row],[Comisión Calculada]]*Tabla4[[#This Row],[Total]]</f>
        <v>#N/A</v>
      </c>
    </row>
    <row r="4050" spans="1:22" hidden="1" x14ac:dyDescent="0.25">
      <c r="A4050" s="100">
        <v>45838</v>
      </c>
      <c r="B4050" t="str">
        <f t="shared" si="198"/>
        <v>June</v>
      </c>
      <c r="C4050" s="46" t="s">
        <v>280</v>
      </c>
      <c r="F4050" s="366" t="s">
        <v>2239</v>
      </c>
      <c r="G4050" s="46" t="s">
        <v>18</v>
      </c>
      <c r="H4050" s="46">
        <v>6</v>
      </c>
      <c r="I4050" s="51">
        <v>5367.6500000000005</v>
      </c>
      <c r="J4050" s="281">
        <f>++Tabla4[[#This Row],[Precio Bruto]]*1.16</f>
        <v>6226.4740000000002</v>
      </c>
      <c r="K4050" s="281">
        <f>+Tabla4[[#This Row],[Precio Unitario Neto]]*Tabla4[[#Headers],[20.85%]]</f>
        <v>1298.2198289999999</v>
      </c>
      <c r="L4050" s="282">
        <f>++Tabla4[[#This Row],[Precio Unitario Neto]]-Tabla4[[#This Row],[20.85%]]</f>
        <v>4928.2541710000005</v>
      </c>
      <c r="M4050" s="282" t="e">
        <f>(INDEX(Tabla6[#All],MATCH(Tabla4[[#This Row],[Producto]],Tabla6[[#All],[PRODUCTO]],0),MATCH(Tabla4[[#This Row],[Mes]],Tabla6[#Headers],0)))*(1+Catalogos!$L$2)</f>
        <v>#N/A</v>
      </c>
      <c r="N4050" s="283" t="e">
        <f>+(Tabla4[[#This Row],[Precio Descontado]]-Tabla4[[#This Row],[Precio Base]])*Tabla4[[#This Row],[Cantidad]]</f>
        <v>#N/A</v>
      </c>
      <c r="O4050" s="284" t="e">
        <f>++Tabla4[[#This Row],[Utilidad Total]]/Tabla4[[#This Row],[Total]]</f>
        <v>#N/A</v>
      </c>
      <c r="P4050" s="282">
        <f>++Tabla4[[#This Row],[Precio Descontado]]*Tabla4[[#This Row],[Cantidad]]</f>
        <v>29569.525026000003</v>
      </c>
      <c r="Q4050" s="282" t="e">
        <f>(INDEX(Tabla6[#All],MATCH(Tabla4[[#This Row],[Producto]],Tabla6[[#All],[PRODUCTO]],0),MATCH(Tabla4[[#This Row],[Mes]],Tabla6[#Headers],0)))</f>
        <v>#N/A</v>
      </c>
      <c r="R4050" s="282" t="e">
        <f>++Tabla4[[#This Row],[Precio Unitario Neto]]-Tabla4[[#This Row],[20.85%]]-Tabla4[[#This Row],[Costo]]</f>
        <v>#N/A</v>
      </c>
      <c r="S4050" s="282" t="e">
        <f>++Tabla4[[#This Row],[U. Bruta Uni]]*Tabla4[[#This Row],[Cantidad]]</f>
        <v>#N/A</v>
      </c>
      <c r="T4050" s="369" t="str">
        <f>VLOOKUP(Tabla4[[#This Row],[Producto]],Tabla6[#All],14,FALSE)</f>
        <v>Termico Solar</v>
      </c>
      <c r="U4050" s="284" t="e">
        <f>(IF(Tabla4[[#This Row],[Familia]]="termico solar",Tabla4[[#This Row],[Utilidad Total]]*6%,Tabla4[[#This Row],[Utilidad Total]]*11.5%))/Tabla4[[#This Row],[Total]]</f>
        <v>#N/A</v>
      </c>
      <c r="V4050" s="282" t="e">
        <f>+Tabla4[[#This Row],[Comisión Calculada]]*Tabla4[[#This Row],[Total]]</f>
        <v>#N/A</v>
      </c>
    </row>
    <row r="4051" spans="1:22" hidden="1" x14ac:dyDescent="0.25">
      <c r="A4051" s="100">
        <v>45838</v>
      </c>
      <c r="B4051" t="str">
        <f t="shared" si="198"/>
        <v>June</v>
      </c>
      <c r="C4051" s="46" t="s">
        <v>280</v>
      </c>
      <c r="F4051" s="366" t="s">
        <v>2239</v>
      </c>
      <c r="G4051" s="46" t="s">
        <v>200</v>
      </c>
      <c r="H4051" s="46">
        <v>12</v>
      </c>
      <c r="I4051" s="51">
        <v>393.22</v>
      </c>
      <c r="J4051" s="281">
        <f>++Tabla4[[#This Row],[Precio Bruto]]*1.16</f>
        <v>456.1352</v>
      </c>
      <c r="K4051" s="281">
        <f>+Tabla4[[#This Row],[Precio Unitario Neto]]*Tabla4[[#Headers],[20.85%]]</f>
        <v>95.104189199999993</v>
      </c>
      <c r="L4051" s="282">
        <f>++Tabla4[[#This Row],[Precio Unitario Neto]]-Tabla4[[#This Row],[20.85%]]</f>
        <v>361.03101079999999</v>
      </c>
      <c r="M4051" s="282" t="e">
        <f>(INDEX(Tabla6[#All],MATCH(Tabla4[[#This Row],[Producto]],Tabla6[[#All],[PRODUCTO]],0),MATCH(Tabla4[[#This Row],[Mes]],Tabla6[#Headers],0)))*(1+Catalogos!$L$2)</f>
        <v>#N/A</v>
      </c>
      <c r="N4051" s="283" t="e">
        <f>+(Tabla4[[#This Row],[Precio Descontado]]-Tabla4[[#This Row],[Precio Base]])*Tabla4[[#This Row],[Cantidad]]</f>
        <v>#N/A</v>
      </c>
      <c r="O4051" s="284" t="e">
        <f>++Tabla4[[#This Row],[Utilidad Total]]/Tabla4[[#This Row],[Total]]</f>
        <v>#N/A</v>
      </c>
      <c r="P4051" s="282">
        <f>++Tabla4[[#This Row],[Precio Descontado]]*Tabla4[[#This Row],[Cantidad]]</f>
        <v>4332.3721296000003</v>
      </c>
      <c r="Q4051" s="282" t="e">
        <f>(INDEX(Tabla6[#All],MATCH(Tabla4[[#This Row],[Producto]],Tabla6[[#All],[PRODUCTO]],0),MATCH(Tabla4[[#This Row],[Mes]],Tabla6[#Headers],0)))</f>
        <v>#N/A</v>
      </c>
      <c r="R4051" s="282" t="e">
        <f>++Tabla4[[#This Row],[Precio Unitario Neto]]-Tabla4[[#This Row],[20.85%]]-Tabla4[[#This Row],[Costo]]</f>
        <v>#N/A</v>
      </c>
      <c r="S4051" s="282" t="e">
        <f>++Tabla4[[#This Row],[U. Bruta Uni]]*Tabla4[[#This Row],[Cantidad]]</f>
        <v>#N/A</v>
      </c>
      <c r="T4051" s="369" t="str">
        <f>VLOOKUP(Tabla4[[#This Row],[Producto]],Tabla6[#All],14,FALSE)</f>
        <v>Termico Solar</v>
      </c>
      <c r="U4051" s="284" t="e">
        <f>(IF(Tabla4[[#This Row],[Familia]]="termico solar",Tabla4[[#This Row],[Utilidad Total]]*6%,Tabla4[[#This Row],[Utilidad Total]]*11.5%))/Tabla4[[#This Row],[Total]]</f>
        <v>#N/A</v>
      </c>
      <c r="V4051" s="282" t="e">
        <f>+Tabla4[[#This Row],[Comisión Calculada]]*Tabla4[[#This Row],[Total]]</f>
        <v>#N/A</v>
      </c>
    </row>
    <row r="4052" spans="1:22" hidden="1" x14ac:dyDescent="0.25">
      <c r="A4052" s="100">
        <v>45838</v>
      </c>
      <c r="B4052" t="str">
        <f t="shared" si="198"/>
        <v>June</v>
      </c>
      <c r="C4052" s="46" t="s">
        <v>280</v>
      </c>
      <c r="F4052" s="366" t="s">
        <v>2239</v>
      </c>
      <c r="G4052" s="46" t="s">
        <v>545</v>
      </c>
      <c r="H4052" s="46">
        <v>24</v>
      </c>
      <c r="I4052" s="51">
        <v>304.32</v>
      </c>
      <c r="J4052" s="281">
        <f>++Tabla4[[#This Row],[Precio Bruto]]*1.16</f>
        <v>353.01119999999997</v>
      </c>
      <c r="K4052" s="281">
        <f>+Tabla4[[#This Row],[Precio Unitario Neto]]*Tabla4[[#Headers],[20.85%]]</f>
        <v>73.602835199999987</v>
      </c>
      <c r="L4052" s="282">
        <f>++Tabla4[[#This Row],[Precio Unitario Neto]]-Tabla4[[#This Row],[20.85%]]</f>
        <v>279.40836479999996</v>
      </c>
      <c r="M4052" s="282" t="e">
        <f>(INDEX(Tabla6[#All],MATCH(Tabla4[[#This Row],[Producto]],Tabla6[[#All],[PRODUCTO]],0),MATCH(Tabla4[[#This Row],[Mes]],Tabla6[#Headers],0)))*(1+Catalogos!$L$2)</f>
        <v>#N/A</v>
      </c>
      <c r="N4052" s="283" t="e">
        <f>+(Tabla4[[#This Row],[Precio Descontado]]-Tabla4[[#This Row],[Precio Base]])*Tabla4[[#This Row],[Cantidad]]</f>
        <v>#N/A</v>
      </c>
      <c r="O4052" s="284" t="e">
        <f>++Tabla4[[#This Row],[Utilidad Total]]/Tabla4[[#This Row],[Total]]</f>
        <v>#N/A</v>
      </c>
      <c r="P4052" s="282">
        <f>++Tabla4[[#This Row],[Precio Descontado]]*Tabla4[[#This Row],[Cantidad]]</f>
        <v>6705.800755199999</v>
      </c>
      <c r="Q4052" s="282" t="e">
        <f>(INDEX(Tabla6[#All],MATCH(Tabla4[[#This Row],[Producto]],Tabla6[[#All],[PRODUCTO]],0),MATCH(Tabla4[[#This Row],[Mes]],Tabla6[#Headers],0)))</f>
        <v>#N/A</v>
      </c>
      <c r="R4052" s="282" t="e">
        <f>++Tabla4[[#This Row],[Precio Unitario Neto]]-Tabla4[[#This Row],[20.85%]]-Tabla4[[#This Row],[Costo]]</f>
        <v>#N/A</v>
      </c>
      <c r="S4052" s="282" t="e">
        <f>++Tabla4[[#This Row],[U. Bruta Uni]]*Tabla4[[#This Row],[Cantidad]]</f>
        <v>#N/A</v>
      </c>
      <c r="T4052" s="369" t="str">
        <f>VLOOKUP(Tabla4[[#This Row],[Producto]],Tabla6[#All],14,FALSE)</f>
        <v>Termico Solar</v>
      </c>
      <c r="U4052" s="284" t="e">
        <f>(IF(Tabla4[[#This Row],[Familia]]="termico solar",Tabla4[[#This Row],[Utilidad Total]]*6%,Tabla4[[#This Row],[Utilidad Total]]*11.5%))/Tabla4[[#This Row],[Total]]</f>
        <v>#N/A</v>
      </c>
      <c r="V4052" s="282" t="e">
        <f>+Tabla4[[#This Row],[Comisión Calculada]]*Tabla4[[#This Row],[Total]]</f>
        <v>#N/A</v>
      </c>
    </row>
    <row r="4053" spans="1:22" hidden="1" x14ac:dyDescent="0.25">
      <c r="A4053" s="100">
        <v>45838</v>
      </c>
      <c r="B4053" t="str">
        <f t="shared" si="198"/>
        <v>June</v>
      </c>
      <c r="C4053" s="46" t="s">
        <v>280</v>
      </c>
      <c r="F4053" s="366" t="s">
        <v>2239</v>
      </c>
      <c r="G4053" s="46" t="s">
        <v>208</v>
      </c>
      <c r="H4053" s="46">
        <v>1</v>
      </c>
      <c r="I4053" s="51">
        <v>189.75</v>
      </c>
      <c r="J4053" s="281">
        <f>++Tabla4[[#This Row],[Precio Bruto]]*1.16</f>
        <v>220.10999999999999</v>
      </c>
      <c r="K4053" s="281">
        <f>+Tabla4[[#This Row],[Precio Unitario Neto]]*Tabla4[[#Headers],[20.85%]]</f>
        <v>45.892934999999994</v>
      </c>
      <c r="L4053" s="282">
        <f>++Tabla4[[#This Row],[Precio Unitario Neto]]-Tabla4[[#This Row],[20.85%]]</f>
        <v>174.21706499999999</v>
      </c>
      <c r="M4053" s="282" t="e">
        <f>(INDEX(Tabla6[#All],MATCH(Tabla4[[#This Row],[Producto]],Tabla6[[#All],[PRODUCTO]],0),MATCH(Tabla4[[#This Row],[Mes]],Tabla6[#Headers],0)))*(1+Catalogos!$L$2)</f>
        <v>#N/A</v>
      </c>
      <c r="N4053" s="283" t="e">
        <f>+(Tabla4[[#This Row],[Precio Descontado]]-Tabla4[[#This Row],[Precio Base]])*Tabla4[[#This Row],[Cantidad]]</f>
        <v>#N/A</v>
      </c>
      <c r="O4053" s="284" t="e">
        <f>++Tabla4[[#This Row],[Utilidad Total]]/Tabla4[[#This Row],[Total]]</f>
        <v>#N/A</v>
      </c>
      <c r="P4053" s="282">
        <f>++Tabla4[[#This Row],[Precio Descontado]]*Tabla4[[#This Row],[Cantidad]]</f>
        <v>174.21706499999999</v>
      </c>
      <c r="Q4053" s="282" t="e">
        <f>(INDEX(Tabla6[#All],MATCH(Tabla4[[#This Row],[Producto]],Tabla6[[#All],[PRODUCTO]],0),MATCH(Tabla4[[#This Row],[Mes]],Tabla6[#Headers],0)))</f>
        <v>#N/A</v>
      </c>
      <c r="R4053" s="282" t="e">
        <f>++Tabla4[[#This Row],[Precio Unitario Neto]]-Tabla4[[#This Row],[20.85%]]-Tabla4[[#This Row],[Costo]]</f>
        <v>#N/A</v>
      </c>
      <c r="S4053" s="282" t="e">
        <f>++Tabla4[[#This Row],[U. Bruta Uni]]*Tabla4[[#This Row],[Cantidad]]</f>
        <v>#N/A</v>
      </c>
      <c r="T4053" s="369" t="str">
        <f>VLOOKUP(Tabla4[[#This Row],[Producto]],Tabla6[#All],14,FALSE)</f>
        <v>Termico Solar</v>
      </c>
      <c r="U4053" s="284" t="e">
        <f>(IF(Tabla4[[#This Row],[Familia]]="termico solar",Tabla4[[#This Row],[Utilidad Total]]*6%,Tabla4[[#This Row],[Utilidad Total]]*11.5%))/Tabla4[[#This Row],[Total]]</f>
        <v>#N/A</v>
      </c>
      <c r="V4053" s="282" t="e">
        <f>+Tabla4[[#This Row],[Comisión Calculada]]*Tabla4[[#This Row],[Total]]</f>
        <v>#N/A</v>
      </c>
    </row>
    <row r="4054" spans="1:22" hidden="1" x14ac:dyDescent="0.25">
      <c r="A4054" s="100">
        <v>45838</v>
      </c>
      <c r="B4054" t="str">
        <f t="shared" si="198"/>
        <v>June</v>
      </c>
      <c r="C4054" s="46" t="s">
        <v>280</v>
      </c>
      <c r="F4054" s="366" t="s">
        <v>2239</v>
      </c>
      <c r="G4054" s="46" t="s">
        <v>209</v>
      </c>
      <c r="H4054" s="46">
        <v>2</v>
      </c>
      <c r="I4054" s="51">
        <v>347.48</v>
      </c>
      <c r="J4054" s="281">
        <f>++Tabla4[[#This Row],[Precio Bruto]]*1.16</f>
        <v>403.07679999999999</v>
      </c>
      <c r="K4054" s="281">
        <f>+Tabla4[[#This Row],[Precio Unitario Neto]]*Tabla4[[#Headers],[20.85%]]</f>
        <v>84.041512799999992</v>
      </c>
      <c r="L4054" s="282">
        <f>++Tabla4[[#This Row],[Precio Unitario Neto]]-Tabla4[[#This Row],[20.85%]]</f>
        <v>319.03528719999997</v>
      </c>
      <c r="M4054" s="282" t="e">
        <f>(INDEX(Tabla6[#All],MATCH(Tabla4[[#This Row],[Producto]],Tabla6[[#All],[PRODUCTO]],0),MATCH(Tabla4[[#This Row],[Mes]],Tabla6[#Headers],0)))*(1+Catalogos!$L$2)</f>
        <v>#N/A</v>
      </c>
      <c r="N4054" s="283" t="e">
        <f>+(Tabla4[[#This Row],[Precio Descontado]]-Tabla4[[#This Row],[Precio Base]])*Tabla4[[#This Row],[Cantidad]]</f>
        <v>#N/A</v>
      </c>
      <c r="O4054" s="284" t="e">
        <f>++Tabla4[[#This Row],[Utilidad Total]]/Tabla4[[#This Row],[Total]]</f>
        <v>#N/A</v>
      </c>
      <c r="P4054" s="282">
        <f>++Tabla4[[#This Row],[Precio Descontado]]*Tabla4[[#This Row],[Cantidad]]</f>
        <v>638.07057439999994</v>
      </c>
      <c r="Q4054" s="282" t="e">
        <f>(INDEX(Tabla6[#All],MATCH(Tabla4[[#This Row],[Producto]],Tabla6[[#All],[PRODUCTO]],0),MATCH(Tabla4[[#This Row],[Mes]],Tabla6[#Headers],0)))</f>
        <v>#N/A</v>
      </c>
      <c r="R4054" s="282" t="e">
        <f>++Tabla4[[#This Row],[Precio Unitario Neto]]-Tabla4[[#This Row],[20.85%]]-Tabla4[[#This Row],[Costo]]</f>
        <v>#N/A</v>
      </c>
      <c r="S4054" s="282" t="e">
        <f>++Tabla4[[#This Row],[U. Bruta Uni]]*Tabla4[[#This Row],[Cantidad]]</f>
        <v>#N/A</v>
      </c>
      <c r="T4054" s="369" t="str">
        <f>VLOOKUP(Tabla4[[#This Row],[Producto]],Tabla6[#All],14,FALSE)</f>
        <v>Termico Solar</v>
      </c>
      <c r="U4054" s="284" t="e">
        <f>(IF(Tabla4[[#This Row],[Familia]]="termico solar",Tabla4[[#This Row],[Utilidad Total]]*6%,Tabla4[[#This Row],[Utilidad Total]]*11.5%))/Tabla4[[#This Row],[Total]]</f>
        <v>#N/A</v>
      </c>
      <c r="V4054" s="282" t="e">
        <f>+Tabla4[[#This Row],[Comisión Calculada]]*Tabla4[[#This Row],[Total]]</f>
        <v>#N/A</v>
      </c>
    </row>
    <row r="4055" spans="1:22" hidden="1" x14ac:dyDescent="0.25">
      <c r="A4055" s="100">
        <v>45838</v>
      </c>
      <c r="B4055" t="str">
        <f t="shared" ref="B4055:B4061" si="199">TEXT(A4055, "mmmm")</f>
        <v>June</v>
      </c>
      <c r="C4055" s="46" t="s">
        <v>280</v>
      </c>
      <c r="F4055" s="366" t="s">
        <v>2240</v>
      </c>
      <c r="G4055" s="46" t="s">
        <v>83</v>
      </c>
      <c r="H4055" s="46">
        <v>9</v>
      </c>
      <c r="I4055" s="51">
        <v>8858.76</v>
      </c>
      <c r="J4055" s="281">
        <f>++Tabla4[[#This Row],[Precio Bruto]]*1.16</f>
        <v>10276.161599999999</v>
      </c>
      <c r="K4055" s="281">
        <f>+Tabla4[[#This Row],[Precio Unitario Neto]]*Tabla4[[#Headers],[20.85%]]</f>
        <v>2142.5796935999997</v>
      </c>
      <c r="L4055" s="282">
        <f>++Tabla4[[#This Row],[Precio Unitario Neto]]-Tabla4[[#This Row],[20.85%]]</f>
        <v>8133.5819063999998</v>
      </c>
      <c r="M4055" s="282" t="e">
        <f>(INDEX(Tabla6[#All],MATCH(Tabla4[[#This Row],[Producto]],Tabla6[[#All],[PRODUCTO]],0),MATCH(Tabla4[[#This Row],[Mes]],Tabla6[#Headers],0)))*(1+Catalogos!$L$2)</f>
        <v>#N/A</v>
      </c>
      <c r="N4055" s="283" t="e">
        <f>+(Tabla4[[#This Row],[Precio Descontado]]-Tabla4[[#This Row],[Precio Base]])*Tabla4[[#This Row],[Cantidad]]</f>
        <v>#N/A</v>
      </c>
      <c r="O4055" s="284" t="e">
        <f>++Tabla4[[#This Row],[Utilidad Total]]/Tabla4[[#This Row],[Total]]</f>
        <v>#N/A</v>
      </c>
      <c r="P4055" s="282">
        <f>++Tabla4[[#This Row],[Precio Descontado]]*Tabla4[[#This Row],[Cantidad]]</f>
        <v>73202.237157600001</v>
      </c>
      <c r="Q4055" s="282" t="e">
        <f>(INDEX(Tabla6[#All],MATCH(Tabla4[[#This Row],[Producto]],Tabla6[[#All],[PRODUCTO]],0),MATCH(Tabla4[[#This Row],[Mes]],Tabla6[#Headers],0)))</f>
        <v>#N/A</v>
      </c>
      <c r="R4055" s="282" t="e">
        <f>++Tabla4[[#This Row],[Precio Unitario Neto]]-Tabla4[[#This Row],[20.85%]]-Tabla4[[#This Row],[Costo]]</f>
        <v>#N/A</v>
      </c>
      <c r="S4055" s="282" t="e">
        <f>++Tabla4[[#This Row],[U. Bruta Uni]]*Tabla4[[#This Row],[Cantidad]]</f>
        <v>#N/A</v>
      </c>
      <c r="T4055" s="369" t="str">
        <f>VLOOKUP(Tabla4[[#This Row],[Producto]],Tabla6[#All],14,FALSE)</f>
        <v>Termico Solar</v>
      </c>
      <c r="U4055" s="284" t="e">
        <f>(IF(Tabla4[[#This Row],[Familia]]="termico solar",Tabla4[[#This Row],[Utilidad Total]]*6%,Tabla4[[#This Row],[Utilidad Total]]*11.5%))/Tabla4[[#This Row],[Total]]</f>
        <v>#N/A</v>
      </c>
      <c r="V4055" s="282" t="e">
        <f>+Tabla4[[#This Row],[Comisión Calculada]]*Tabla4[[#This Row],[Total]]</f>
        <v>#N/A</v>
      </c>
    </row>
    <row r="4056" spans="1:22" hidden="1" x14ac:dyDescent="0.25">
      <c r="A4056" s="100">
        <v>45838</v>
      </c>
      <c r="B4056" t="str">
        <f t="shared" si="199"/>
        <v>June</v>
      </c>
      <c r="C4056" s="46" t="s">
        <v>280</v>
      </c>
      <c r="F4056" s="366" t="s">
        <v>2240</v>
      </c>
      <c r="G4056" s="46" t="s">
        <v>17</v>
      </c>
      <c r="H4056" s="46">
        <v>5</v>
      </c>
      <c r="I4056" s="51">
        <v>4622.2800000000007</v>
      </c>
      <c r="J4056" s="281">
        <f>++Tabla4[[#This Row],[Precio Bruto]]*1.16</f>
        <v>5361.8448000000008</v>
      </c>
      <c r="K4056" s="281">
        <f>+Tabla4[[#This Row],[Precio Unitario Neto]]*Tabla4[[#Headers],[20.85%]]</f>
        <v>1117.9446408000001</v>
      </c>
      <c r="L4056" s="282">
        <f>++Tabla4[[#This Row],[Precio Unitario Neto]]-Tabla4[[#This Row],[20.85%]]</f>
        <v>4243.9001592000004</v>
      </c>
      <c r="M4056" s="282" t="e">
        <f>(INDEX(Tabla6[#All],MATCH(Tabla4[[#This Row],[Producto]],Tabla6[[#All],[PRODUCTO]],0),MATCH(Tabla4[[#This Row],[Mes]],Tabla6[#Headers],0)))*(1+Catalogos!$L$2)</f>
        <v>#N/A</v>
      </c>
      <c r="N4056" s="283" t="e">
        <f>+(Tabla4[[#This Row],[Precio Descontado]]-Tabla4[[#This Row],[Precio Base]])*Tabla4[[#This Row],[Cantidad]]</f>
        <v>#N/A</v>
      </c>
      <c r="O4056" s="284" t="e">
        <f>++Tabla4[[#This Row],[Utilidad Total]]/Tabla4[[#This Row],[Total]]</f>
        <v>#N/A</v>
      </c>
      <c r="P4056" s="282">
        <f>++Tabla4[[#This Row],[Precio Descontado]]*Tabla4[[#This Row],[Cantidad]]</f>
        <v>21219.500796</v>
      </c>
      <c r="Q4056" s="282" t="e">
        <f>(INDEX(Tabla6[#All],MATCH(Tabla4[[#This Row],[Producto]],Tabla6[[#All],[PRODUCTO]],0),MATCH(Tabla4[[#This Row],[Mes]],Tabla6[#Headers],0)))</f>
        <v>#N/A</v>
      </c>
      <c r="R4056" s="282" t="e">
        <f>++Tabla4[[#This Row],[Precio Unitario Neto]]-Tabla4[[#This Row],[20.85%]]-Tabla4[[#This Row],[Costo]]</f>
        <v>#N/A</v>
      </c>
      <c r="S4056" s="282" t="e">
        <f>++Tabla4[[#This Row],[U. Bruta Uni]]*Tabla4[[#This Row],[Cantidad]]</f>
        <v>#N/A</v>
      </c>
      <c r="T4056" s="369" t="str">
        <f>VLOOKUP(Tabla4[[#This Row],[Producto]],Tabla6[#All],14,FALSE)</f>
        <v>Termico Solar</v>
      </c>
      <c r="U4056" s="284" t="e">
        <f>(IF(Tabla4[[#This Row],[Familia]]="termico solar",Tabla4[[#This Row],[Utilidad Total]]*6%,Tabla4[[#This Row],[Utilidad Total]]*11.5%))/Tabla4[[#This Row],[Total]]</f>
        <v>#N/A</v>
      </c>
      <c r="V4056" s="282" t="e">
        <f>+Tabla4[[#This Row],[Comisión Calculada]]*Tabla4[[#This Row],[Total]]</f>
        <v>#N/A</v>
      </c>
    </row>
    <row r="4057" spans="1:22" hidden="1" x14ac:dyDescent="0.25">
      <c r="A4057" s="100">
        <v>45838</v>
      </c>
      <c r="B4057" t="str">
        <f t="shared" si="199"/>
        <v>June</v>
      </c>
      <c r="C4057" s="46" t="s">
        <v>280</v>
      </c>
      <c r="F4057" s="366" t="s">
        <v>2240</v>
      </c>
      <c r="G4057" s="46" t="s">
        <v>18</v>
      </c>
      <c r="H4057" s="46">
        <v>5</v>
      </c>
      <c r="I4057" s="51">
        <v>5367.65</v>
      </c>
      <c r="J4057" s="281">
        <f>++Tabla4[[#This Row],[Precio Bruto]]*1.16</f>
        <v>6226.4739999999993</v>
      </c>
      <c r="K4057" s="281">
        <f>+Tabla4[[#This Row],[Precio Unitario Neto]]*Tabla4[[#Headers],[20.85%]]</f>
        <v>1298.2198289999999</v>
      </c>
      <c r="L4057" s="282">
        <f>++Tabla4[[#This Row],[Precio Unitario Neto]]-Tabla4[[#This Row],[20.85%]]</f>
        <v>4928.2541709999996</v>
      </c>
      <c r="M4057" s="282" t="e">
        <f>(INDEX(Tabla6[#All],MATCH(Tabla4[[#This Row],[Producto]],Tabla6[[#All],[PRODUCTO]],0),MATCH(Tabla4[[#This Row],[Mes]],Tabla6[#Headers],0)))*(1+Catalogos!$L$2)</f>
        <v>#N/A</v>
      </c>
      <c r="N4057" s="283" t="e">
        <f>+(Tabla4[[#This Row],[Precio Descontado]]-Tabla4[[#This Row],[Precio Base]])*Tabla4[[#This Row],[Cantidad]]</f>
        <v>#N/A</v>
      </c>
      <c r="O4057" s="284" t="e">
        <f>++Tabla4[[#This Row],[Utilidad Total]]/Tabla4[[#This Row],[Total]]</f>
        <v>#N/A</v>
      </c>
      <c r="P4057" s="282">
        <f>++Tabla4[[#This Row],[Precio Descontado]]*Tabla4[[#This Row],[Cantidad]]</f>
        <v>24641.270854999999</v>
      </c>
      <c r="Q4057" s="282" t="e">
        <f>(INDEX(Tabla6[#All],MATCH(Tabla4[[#This Row],[Producto]],Tabla6[[#All],[PRODUCTO]],0),MATCH(Tabla4[[#This Row],[Mes]],Tabla6[#Headers],0)))</f>
        <v>#N/A</v>
      </c>
      <c r="R4057" s="282" t="e">
        <f>++Tabla4[[#This Row],[Precio Unitario Neto]]-Tabla4[[#This Row],[20.85%]]-Tabla4[[#This Row],[Costo]]</f>
        <v>#N/A</v>
      </c>
      <c r="S4057" s="282" t="e">
        <f>++Tabla4[[#This Row],[U. Bruta Uni]]*Tabla4[[#This Row],[Cantidad]]</f>
        <v>#N/A</v>
      </c>
      <c r="T4057" s="369" t="str">
        <f>VLOOKUP(Tabla4[[#This Row],[Producto]],Tabla6[#All],14,FALSE)</f>
        <v>Termico Solar</v>
      </c>
      <c r="U4057" s="284" t="e">
        <f>(IF(Tabla4[[#This Row],[Familia]]="termico solar",Tabla4[[#This Row],[Utilidad Total]]*6%,Tabla4[[#This Row],[Utilidad Total]]*11.5%))/Tabla4[[#This Row],[Total]]</f>
        <v>#N/A</v>
      </c>
      <c r="V4057" s="282" t="e">
        <f>+Tabla4[[#This Row],[Comisión Calculada]]*Tabla4[[#This Row],[Total]]</f>
        <v>#N/A</v>
      </c>
    </row>
    <row r="4058" spans="1:22" hidden="1" x14ac:dyDescent="0.25">
      <c r="A4058" s="100">
        <v>45838</v>
      </c>
      <c r="B4058" t="str">
        <f t="shared" si="199"/>
        <v>June</v>
      </c>
      <c r="C4058" s="46" t="s">
        <v>280</v>
      </c>
      <c r="F4058" s="366" t="s">
        <v>2240</v>
      </c>
      <c r="G4058" s="46" t="s">
        <v>200</v>
      </c>
      <c r="H4058" s="46">
        <v>12</v>
      </c>
      <c r="I4058" s="51">
        <v>393.22</v>
      </c>
      <c r="J4058" s="281">
        <f>++Tabla4[[#This Row],[Precio Bruto]]*1.16</f>
        <v>456.1352</v>
      </c>
      <c r="K4058" s="281">
        <f>+Tabla4[[#This Row],[Precio Unitario Neto]]*Tabla4[[#Headers],[20.85%]]</f>
        <v>95.104189199999993</v>
      </c>
      <c r="L4058" s="282">
        <f>++Tabla4[[#This Row],[Precio Unitario Neto]]-Tabla4[[#This Row],[20.85%]]</f>
        <v>361.03101079999999</v>
      </c>
      <c r="M4058" s="282" t="e">
        <f>(INDEX(Tabla6[#All],MATCH(Tabla4[[#This Row],[Producto]],Tabla6[[#All],[PRODUCTO]],0),MATCH(Tabla4[[#This Row],[Mes]],Tabla6[#Headers],0)))*(1+Catalogos!$L$2)</f>
        <v>#N/A</v>
      </c>
      <c r="N4058" s="283" t="e">
        <f>+(Tabla4[[#This Row],[Precio Descontado]]-Tabla4[[#This Row],[Precio Base]])*Tabla4[[#This Row],[Cantidad]]</f>
        <v>#N/A</v>
      </c>
      <c r="O4058" s="284" t="e">
        <f>++Tabla4[[#This Row],[Utilidad Total]]/Tabla4[[#This Row],[Total]]</f>
        <v>#N/A</v>
      </c>
      <c r="P4058" s="282">
        <f>++Tabla4[[#This Row],[Precio Descontado]]*Tabla4[[#This Row],[Cantidad]]</f>
        <v>4332.3721296000003</v>
      </c>
      <c r="Q4058" s="282" t="e">
        <f>(INDEX(Tabla6[#All],MATCH(Tabla4[[#This Row],[Producto]],Tabla6[[#All],[PRODUCTO]],0),MATCH(Tabla4[[#This Row],[Mes]],Tabla6[#Headers],0)))</f>
        <v>#N/A</v>
      </c>
      <c r="R4058" s="282" t="e">
        <f>++Tabla4[[#This Row],[Precio Unitario Neto]]-Tabla4[[#This Row],[20.85%]]-Tabla4[[#This Row],[Costo]]</f>
        <v>#N/A</v>
      </c>
      <c r="S4058" s="282" t="e">
        <f>++Tabla4[[#This Row],[U. Bruta Uni]]*Tabla4[[#This Row],[Cantidad]]</f>
        <v>#N/A</v>
      </c>
      <c r="T4058" s="369" t="str">
        <f>VLOOKUP(Tabla4[[#This Row],[Producto]],Tabla6[#All],14,FALSE)</f>
        <v>Termico Solar</v>
      </c>
      <c r="U4058" s="284" t="e">
        <f>(IF(Tabla4[[#This Row],[Familia]]="termico solar",Tabla4[[#This Row],[Utilidad Total]]*6%,Tabla4[[#This Row],[Utilidad Total]]*11.5%))/Tabla4[[#This Row],[Total]]</f>
        <v>#N/A</v>
      </c>
      <c r="V4058" s="282" t="e">
        <f>+Tabla4[[#This Row],[Comisión Calculada]]*Tabla4[[#This Row],[Total]]</f>
        <v>#N/A</v>
      </c>
    </row>
    <row r="4059" spans="1:22" hidden="1" x14ac:dyDescent="0.25">
      <c r="A4059" s="100">
        <v>45838</v>
      </c>
      <c r="B4059" t="str">
        <f t="shared" si="199"/>
        <v>June</v>
      </c>
      <c r="C4059" s="46" t="s">
        <v>280</v>
      </c>
      <c r="F4059" s="366" t="s">
        <v>2240</v>
      </c>
      <c r="G4059" s="46" t="s">
        <v>555</v>
      </c>
      <c r="H4059" s="46">
        <v>8</v>
      </c>
      <c r="I4059" s="51">
        <v>389.47</v>
      </c>
      <c r="J4059" s="281">
        <f>++Tabla4[[#This Row],[Precio Bruto]]*1.16</f>
        <v>451.78519999999997</v>
      </c>
      <c r="K4059" s="281">
        <f>+Tabla4[[#This Row],[Precio Unitario Neto]]*Tabla4[[#Headers],[20.85%]]</f>
        <v>94.197214199999991</v>
      </c>
      <c r="L4059" s="282">
        <f>++Tabla4[[#This Row],[Precio Unitario Neto]]-Tabla4[[#This Row],[20.85%]]</f>
        <v>357.58798579999996</v>
      </c>
      <c r="M4059" s="282" t="e">
        <f>(INDEX(Tabla6[#All],MATCH(Tabla4[[#This Row],[Producto]],Tabla6[[#All],[PRODUCTO]],0),MATCH(Tabla4[[#This Row],[Mes]],Tabla6[#Headers],0)))*(1+Catalogos!$L$2)</f>
        <v>#N/A</v>
      </c>
      <c r="N4059" s="283" t="e">
        <f>+(Tabla4[[#This Row],[Precio Descontado]]-Tabla4[[#This Row],[Precio Base]])*Tabla4[[#This Row],[Cantidad]]</f>
        <v>#N/A</v>
      </c>
      <c r="O4059" s="284" t="e">
        <f>++Tabla4[[#This Row],[Utilidad Total]]/Tabla4[[#This Row],[Total]]</f>
        <v>#N/A</v>
      </c>
      <c r="P4059" s="282">
        <f>++Tabla4[[#This Row],[Precio Descontado]]*Tabla4[[#This Row],[Cantidad]]</f>
        <v>2860.7038863999996</v>
      </c>
      <c r="Q4059" s="282" t="e">
        <f>(INDEX(Tabla6[#All],MATCH(Tabla4[[#This Row],[Producto]],Tabla6[[#All],[PRODUCTO]],0),MATCH(Tabla4[[#This Row],[Mes]],Tabla6[#Headers],0)))</f>
        <v>#N/A</v>
      </c>
      <c r="R4059" s="282" t="e">
        <f>++Tabla4[[#This Row],[Precio Unitario Neto]]-Tabla4[[#This Row],[20.85%]]-Tabla4[[#This Row],[Costo]]</f>
        <v>#N/A</v>
      </c>
      <c r="S4059" s="282" t="e">
        <f>++Tabla4[[#This Row],[U. Bruta Uni]]*Tabla4[[#This Row],[Cantidad]]</f>
        <v>#N/A</v>
      </c>
      <c r="T4059" s="369" t="str">
        <f>VLOOKUP(Tabla4[[#This Row],[Producto]],Tabla6[#All],14,FALSE)</f>
        <v>Termico Solar</v>
      </c>
      <c r="U4059" s="284" t="e">
        <f>(IF(Tabla4[[#This Row],[Familia]]="termico solar",Tabla4[[#This Row],[Utilidad Total]]*6%,Tabla4[[#This Row],[Utilidad Total]]*11.5%))/Tabla4[[#This Row],[Total]]</f>
        <v>#N/A</v>
      </c>
      <c r="V4059" s="282" t="e">
        <f>+Tabla4[[#This Row],[Comisión Calculada]]*Tabla4[[#This Row],[Total]]</f>
        <v>#N/A</v>
      </c>
    </row>
    <row r="4060" spans="1:22" hidden="1" x14ac:dyDescent="0.25">
      <c r="A4060" s="100">
        <v>45838</v>
      </c>
      <c r="B4060" t="str">
        <f t="shared" si="199"/>
        <v>June</v>
      </c>
      <c r="C4060" s="46" t="s">
        <v>280</v>
      </c>
      <c r="F4060" s="366" t="s">
        <v>2240</v>
      </c>
      <c r="G4060" s="46" t="s">
        <v>208</v>
      </c>
      <c r="H4060" s="46">
        <v>1</v>
      </c>
      <c r="I4060" s="51">
        <v>189.75</v>
      </c>
      <c r="J4060" s="281">
        <f>++Tabla4[[#This Row],[Precio Bruto]]*1.16</f>
        <v>220.10999999999999</v>
      </c>
      <c r="K4060" s="281">
        <f>+Tabla4[[#This Row],[Precio Unitario Neto]]*Tabla4[[#Headers],[20.85%]]</f>
        <v>45.892934999999994</v>
      </c>
      <c r="L4060" s="282">
        <f>++Tabla4[[#This Row],[Precio Unitario Neto]]-Tabla4[[#This Row],[20.85%]]</f>
        <v>174.21706499999999</v>
      </c>
      <c r="M4060" s="282" t="e">
        <f>(INDEX(Tabla6[#All],MATCH(Tabla4[[#This Row],[Producto]],Tabla6[[#All],[PRODUCTO]],0),MATCH(Tabla4[[#This Row],[Mes]],Tabla6[#Headers],0)))*(1+Catalogos!$L$2)</f>
        <v>#N/A</v>
      </c>
      <c r="N4060" s="283" t="e">
        <f>+(Tabla4[[#This Row],[Precio Descontado]]-Tabla4[[#This Row],[Precio Base]])*Tabla4[[#This Row],[Cantidad]]</f>
        <v>#N/A</v>
      </c>
      <c r="O4060" s="284" t="e">
        <f>++Tabla4[[#This Row],[Utilidad Total]]/Tabla4[[#This Row],[Total]]</f>
        <v>#N/A</v>
      </c>
      <c r="P4060" s="282">
        <f>++Tabla4[[#This Row],[Precio Descontado]]*Tabla4[[#This Row],[Cantidad]]</f>
        <v>174.21706499999999</v>
      </c>
      <c r="Q4060" s="282" t="e">
        <f>(INDEX(Tabla6[#All],MATCH(Tabla4[[#This Row],[Producto]],Tabla6[[#All],[PRODUCTO]],0),MATCH(Tabla4[[#This Row],[Mes]],Tabla6[#Headers],0)))</f>
        <v>#N/A</v>
      </c>
      <c r="R4060" s="282" t="e">
        <f>++Tabla4[[#This Row],[Precio Unitario Neto]]-Tabla4[[#This Row],[20.85%]]-Tabla4[[#This Row],[Costo]]</f>
        <v>#N/A</v>
      </c>
      <c r="S4060" s="282" t="e">
        <f>++Tabla4[[#This Row],[U. Bruta Uni]]*Tabla4[[#This Row],[Cantidad]]</f>
        <v>#N/A</v>
      </c>
      <c r="T4060" s="369" t="str">
        <f>VLOOKUP(Tabla4[[#This Row],[Producto]],Tabla6[#All],14,FALSE)</f>
        <v>Termico Solar</v>
      </c>
      <c r="U4060" s="284" t="e">
        <f>(IF(Tabla4[[#This Row],[Familia]]="termico solar",Tabla4[[#This Row],[Utilidad Total]]*6%,Tabla4[[#This Row],[Utilidad Total]]*11.5%))/Tabla4[[#This Row],[Total]]</f>
        <v>#N/A</v>
      </c>
      <c r="V4060" s="282" t="e">
        <f>+Tabla4[[#This Row],[Comisión Calculada]]*Tabla4[[#This Row],[Total]]</f>
        <v>#N/A</v>
      </c>
    </row>
    <row r="4061" spans="1:22" hidden="1" x14ac:dyDescent="0.25">
      <c r="A4061" s="100">
        <v>45838</v>
      </c>
      <c r="B4061" t="str">
        <f t="shared" si="199"/>
        <v>June</v>
      </c>
      <c r="C4061" s="46" t="s">
        <v>280</v>
      </c>
      <c r="F4061" s="366" t="s">
        <v>2240</v>
      </c>
      <c r="G4061" s="46" t="s">
        <v>209</v>
      </c>
      <c r="H4061" s="46">
        <v>2</v>
      </c>
      <c r="I4061" s="51">
        <v>347.48</v>
      </c>
      <c r="J4061" s="281">
        <f>++Tabla4[[#This Row],[Precio Bruto]]*1.16</f>
        <v>403.07679999999999</v>
      </c>
      <c r="K4061" s="281">
        <f>+Tabla4[[#This Row],[Precio Unitario Neto]]*Tabla4[[#Headers],[20.85%]]</f>
        <v>84.041512799999992</v>
      </c>
      <c r="L4061" s="282">
        <f>++Tabla4[[#This Row],[Precio Unitario Neto]]-Tabla4[[#This Row],[20.85%]]</f>
        <v>319.03528719999997</v>
      </c>
      <c r="M4061" s="282" t="e">
        <f>(INDEX(Tabla6[#All],MATCH(Tabla4[[#This Row],[Producto]],Tabla6[[#All],[PRODUCTO]],0),MATCH(Tabla4[[#This Row],[Mes]],Tabla6[#Headers],0)))*(1+Catalogos!$L$2)</f>
        <v>#N/A</v>
      </c>
      <c r="N4061" s="283" t="e">
        <f>+(Tabla4[[#This Row],[Precio Descontado]]-Tabla4[[#This Row],[Precio Base]])*Tabla4[[#This Row],[Cantidad]]</f>
        <v>#N/A</v>
      </c>
      <c r="O4061" s="284" t="e">
        <f>++Tabla4[[#This Row],[Utilidad Total]]/Tabla4[[#This Row],[Total]]</f>
        <v>#N/A</v>
      </c>
      <c r="P4061" s="282">
        <f>++Tabla4[[#This Row],[Precio Descontado]]*Tabla4[[#This Row],[Cantidad]]</f>
        <v>638.07057439999994</v>
      </c>
      <c r="Q4061" s="282" t="e">
        <f>(INDEX(Tabla6[#All],MATCH(Tabla4[[#This Row],[Producto]],Tabla6[[#All],[PRODUCTO]],0),MATCH(Tabla4[[#This Row],[Mes]],Tabla6[#Headers],0)))</f>
        <v>#N/A</v>
      </c>
      <c r="R4061" s="282" t="e">
        <f>++Tabla4[[#This Row],[Precio Unitario Neto]]-Tabla4[[#This Row],[20.85%]]-Tabla4[[#This Row],[Costo]]</f>
        <v>#N/A</v>
      </c>
      <c r="S4061" s="282" t="e">
        <f>++Tabla4[[#This Row],[U. Bruta Uni]]*Tabla4[[#This Row],[Cantidad]]</f>
        <v>#N/A</v>
      </c>
      <c r="T4061" s="369" t="str">
        <f>VLOOKUP(Tabla4[[#This Row],[Producto]],Tabla6[#All],14,FALSE)</f>
        <v>Termico Solar</v>
      </c>
      <c r="U4061" s="284" t="e">
        <f>(IF(Tabla4[[#This Row],[Familia]]="termico solar",Tabla4[[#This Row],[Utilidad Total]]*6%,Tabla4[[#This Row],[Utilidad Total]]*11.5%))/Tabla4[[#This Row],[Total]]</f>
        <v>#N/A</v>
      </c>
      <c r="V4061" s="282" t="e">
        <f>+Tabla4[[#This Row],[Comisión Calculada]]*Tabla4[[#This Row],[Total]]</f>
        <v>#N/A</v>
      </c>
    </row>
    <row r="4062" spans="1:22" hidden="1" x14ac:dyDescent="0.25">
      <c r="A4062" s="100">
        <v>45838</v>
      </c>
      <c r="B4062" t="str">
        <f>TEXT(A4062, "mmmm")</f>
        <v>June</v>
      </c>
      <c r="C4062" s="46" t="s">
        <v>280</v>
      </c>
      <c r="F4062" s="366" t="s">
        <v>2241</v>
      </c>
      <c r="G4062" s="46" t="s">
        <v>200</v>
      </c>
      <c r="H4062" s="46">
        <v>12</v>
      </c>
      <c r="I4062" s="51">
        <v>393.22</v>
      </c>
      <c r="J4062" s="281">
        <f>++Tabla4[[#This Row],[Precio Bruto]]*1.16</f>
        <v>456.1352</v>
      </c>
      <c r="K4062" s="281">
        <f>+Tabla4[[#This Row],[Precio Unitario Neto]]*Tabla4[[#Headers],[20.85%]]</f>
        <v>95.104189199999993</v>
      </c>
      <c r="L4062" s="282">
        <f>++Tabla4[[#This Row],[Precio Unitario Neto]]-Tabla4[[#This Row],[20.85%]]</f>
        <v>361.03101079999999</v>
      </c>
      <c r="M4062" s="282" t="e">
        <f>(INDEX(Tabla6[#All],MATCH(Tabla4[[#This Row],[Producto]],Tabla6[[#All],[PRODUCTO]],0),MATCH(Tabla4[[#This Row],[Mes]],Tabla6[#Headers],0)))*(1+Catalogos!$L$2)</f>
        <v>#N/A</v>
      </c>
      <c r="N4062" s="283" t="e">
        <f>+(Tabla4[[#This Row],[Precio Descontado]]-Tabla4[[#This Row],[Precio Base]])*Tabla4[[#This Row],[Cantidad]]</f>
        <v>#N/A</v>
      </c>
      <c r="O4062" s="284" t="e">
        <f>++Tabla4[[#This Row],[Utilidad Total]]/Tabla4[[#This Row],[Total]]</f>
        <v>#N/A</v>
      </c>
      <c r="P4062" s="282">
        <f>++Tabla4[[#This Row],[Precio Descontado]]*Tabla4[[#This Row],[Cantidad]]</f>
        <v>4332.3721296000003</v>
      </c>
      <c r="Q4062" s="282" t="e">
        <f>(INDEX(Tabla6[#All],MATCH(Tabla4[[#This Row],[Producto]],Tabla6[[#All],[PRODUCTO]],0),MATCH(Tabla4[[#This Row],[Mes]],Tabla6[#Headers],0)))</f>
        <v>#N/A</v>
      </c>
      <c r="R4062" s="282" t="e">
        <f>++Tabla4[[#This Row],[Precio Unitario Neto]]-Tabla4[[#This Row],[20.85%]]-Tabla4[[#This Row],[Costo]]</f>
        <v>#N/A</v>
      </c>
      <c r="S4062" s="282" t="e">
        <f>++Tabla4[[#This Row],[U. Bruta Uni]]*Tabla4[[#This Row],[Cantidad]]</f>
        <v>#N/A</v>
      </c>
      <c r="T4062" s="369" t="str">
        <f>VLOOKUP(Tabla4[[#This Row],[Producto]],Tabla6[#All],14,FALSE)</f>
        <v>Termico Solar</v>
      </c>
      <c r="U4062" s="284" t="e">
        <f>(IF(Tabla4[[#This Row],[Familia]]="termico solar",Tabla4[[#This Row],[Utilidad Total]]*6%,Tabla4[[#This Row],[Utilidad Total]]*11.5%))/Tabla4[[#This Row],[Total]]</f>
        <v>#N/A</v>
      </c>
      <c r="V4062" s="282" t="e">
        <f>+Tabla4[[#This Row],[Comisión Calculada]]*Tabla4[[#This Row],[Total]]</f>
        <v>#N/A</v>
      </c>
    </row>
    <row r="4063" spans="1:22" hidden="1" x14ac:dyDescent="0.25">
      <c r="A4063" s="100">
        <v>45838</v>
      </c>
      <c r="B4063" t="str">
        <f>TEXT(A4063, "mmmm")</f>
        <v>June</v>
      </c>
      <c r="C4063" s="46" t="s">
        <v>280</v>
      </c>
      <c r="F4063" s="366" t="s">
        <v>2241</v>
      </c>
      <c r="G4063" s="46" t="s">
        <v>545</v>
      </c>
      <c r="H4063" s="46">
        <v>24</v>
      </c>
      <c r="I4063" s="51">
        <v>304.32</v>
      </c>
      <c r="J4063" s="281">
        <f>++Tabla4[[#This Row],[Precio Bruto]]*1.16</f>
        <v>353.01119999999997</v>
      </c>
      <c r="K4063" s="281">
        <f>+Tabla4[[#This Row],[Precio Unitario Neto]]*Tabla4[[#Headers],[20.85%]]</f>
        <v>73.602835199999987</v>
      </c>
      <c r="L4063" s="282">
        <f>++Tabla4[[#This Row],[Precio Unitario Neto]]-Tabla4[[#This Row],[20.85%]]</f>
        <v>279.40836479999996</v>
      </c>
      <c r="M4063" s="282" t="e">
        <f>(INDEX(Tabla6[#All],MATCH(Tabla4[[#This Row],[Producto]],Tabla6[[#All],[PRODUCTO]],0),MATCH(Tabla4[[#This Row],[Mes]],Tabla6[#Headers],0)))*(1+Catalogos!$L$2)</f>
        <v>#N/A</v>
      </c>
      <c r="N4063" s="283" t="e">
        <f>+(Tabla4[[#This Row],[Precio Descontado]]-Tabla4[[#This Row],[Precio Base]])*Tabla4[[#This Row],[Cantidad]]</f>
        <v>#N/A</v>
      </c>
      <c r="O4063" s="284" t="e">
        <f>++Tabla4[[#This Row],[Utilidad Total]]/Tabla4[[#This Row],[Total]]</f>
        <v>#N/A</v>
      </c>
      <c r="P4063" s="282">
        <f>++Tabla4[[#This Row],[Precio Descontado]]*Tabla4[[#This Row],[Cantidad]]</f>
        <v>6705.800755199999</v>
      </c>
      <c r="Q4063" s="282" t="e">
        <f>(INDEX(Tabla6[#All],MATCH(Tabla4[[#This Row],[Producto]],Tabla6[[#All],[PRODUCTO]],0),MATCH(Tabla4[[#This Row],[Mes]],Tabla6[#Headers],0)))</f>
        <v>#N/A</v>
      </c>
      <c r="R4063" s="282" t="e">
        <f>++Tabla4[[#This Row],[Precio Unitario Neto]]-Tabla4[[#This Row],[20.85%]]-Tabla4[[#This Row],[Costo]]</f>
        <v>#N/A</v>
      </c>
      <c r="S4063" s="282" t="e">
        <f>++Tabla4[[#This Row],[U. Bruta Uni]]*Tabla4[[#This Row],[Cantidad]]</f>
        <v>#N/A</v>
      </c>
      <c r="T4063" s="369" t="str">
        <f>VLOOKUP(Tabla4[[#This Row],[Producto]],Tabla6[#All],14,FALSE)</f>
        <v>Termico Solar</v>
      </c>
      <c r="U4063" s="284" t="e">
        <f>(IF(Tabla4[[#This Row],[Familia]]="termico solar",Tabla4[[#This Row],[Utilidad Total]]*6%,Tabla4[[#This Row],[Utilidad Total]]*11.5%))/Tabla4[[#This Row],[Total]]</f>
        <v>#N/A</v>
      </c>
      <c r="V4063" s="282" t="e">
        <f>+Tabla4[[#This Row],[Comisión Calculada]]*Tabla4[[#This Row],[Total]]</f>
        <v>#N/A</v>
      </c>
    </row>
    <row r="4064" spans="1:22" hidden="1" x14ac:dyDescent="0.25">
      <c r="A4064" s="100">
        <v>45838</v>
      </c>
      <c r="B4064" t="str">
        <f>TEXT(A4064, "mmmm")</f>
        <v>June</v>
      </c>
      <c r="C4064" s="46" t="s">
        <v>280</v>
      </c>
      <c r="F4064" s="366" t="s">
        <v>2241</v>
      </c>
      <c r="G4064" s="46" t="s">
        <v>209</v>
      </c>
      <c r="H4064" s="46">
        <v>6</v>
      </c>
      <c r="I4064" s="51">
        <v>347.48</v>
      </c>
      <c r="J4064" s="281">
        <f>++Tabla4[[#This Row],[Precio Bruto]]*1.16</f>
        <v>403.07679999999999</v>
      </c>
      <c r="K4064" s="281">
        <f>+Tabla4[[#This Row],[Precio Unitario Neto]]*Tabla4[[#Headers],[20.85%]]</f>
        <v>84.041512799999992</v>
      </c>
      <c r="L4064" s="282">
        <f>++Tabla4[[#This Row],[Precio Unitario Neto]]-Tabla4[[#This Row],[20.85%]]</f>
        <v>319.03528719999997</v>
      </c>
      <c r="M4064" s="282" t="e">
        <f>(INDEX(Tabla6[#All],MATCH(Tabla4[[#This Row],[Producto]],Tabla6[[#All],[PRODUCTO]],0),MATCH(Tabla4[[#This Row],[Mes]],Tabla6[#Headers],0)))*(1+Catalogos!$L$2)</f>
        <v>#N/A</v>
      </c>
      <c r="N4064" s="283" t="e">
        <f>+(Tabla4[[#This Row],[Precio Descontado]]-Tabla4[[#This Row],[Precio Base]])*Tabla4[[#This Row],[Cantidad]]</f>
        <v>#N/A</v>
      </c>
      <c r="O4064" s="284" t="e">
        <f>++Tabla4[[#This Row],[Utilidad Total]]/Tabla4[[#This Row],[Total]]</f>
        <v>#N/A</v>
      </c>
      <c r="P4064" s="282">
        <f>++Tabla4[[#This Row],[Precio Descontado]]*Tabla4[[#This Row],[Cantidad]]</f>
        <v>1914.2117231999998</v>
      </c>
      <c r="Q4064" s="282" t="e">
        <f>(INDEX(Tabla6[#All],MATCH(Tabla4[[#This Row],[Producto]],Tabla6[[#All],[PRODUCTO]],0),MATCH(Tabla4[[#This Row],[Mes]],Tabla6[#Headers],0)))</f>
        <v>#N/A</v>
      </c>
      <c r="R4064" s="282" t="e">
        <f>++Tabla4[[#This Row],[Precio Unitario Neto]]-Tabla4[[#This Row],[20.85%]]-Tabla4[[#This Row],[Costo]]</f>
        <v>#N/A</v>
      </c>
      <c r="S4064" s="282" t="e">
        <f>++Tabla4[[#This Row],[U. Bruta Uni]]*Tabla4[[#This Row],[Cantidad]]</f>
        <v>#N/A</v>
      </c>
      <c r="T4064" s="369" t="str">
        <f>VLOOKUP(Tabla4[[#This Row],[Producto]],Tabla6[#All],14,FALSE)</f>
        <v>Termico Solar</v>
      </c>
      <c r="U4064" s="284" t="e">
        <f>(IF(Tabla4[[#This Row],[Familia]]="termico solar",Tabla4[[#This Row],[Utilidad Total]]*6%,Tabla4[[#This Row],[Utilidad Total]]*11.5%))/Tabla4[[#This Row],[Total]]</f>
        <v>#N/A</v>
      </c>
      <c r="V4064" s="282" t="e">
        <f>+Tabla4[[#This Row],[Comisión Calculada]]*Tabla4[[#This Row],[Total]]</f>
        <v>#N/A</v>
      </c>
    </row>
    <row r="4065" spans="1:22" hidden="1" x14ac:dyDescent="0.25">
      <c r="A4065" s="100">
        <v>45838</v>
      </c>
      <c r="B4065" t="str">
        <f t="shared" ref="B4065:B4070" si="200">TEXT(A4065, "mmmm")</f>
        <v>June</v>
      </c>
      <c r="C4065" s="46" t="s">
        <v>280</v>
      </c>
      <c r="F4065" s="366" t="s">
        <v>2242</v>
      </c>
      <c r="G4065" s="46" t="s">
        <v>83</v>
      </c>
      <c r="H4065" s="46">
        <v>2</v>
      </c>
      <c r="I4065" s="51">
        <v>8858.76</v>
      </c>
      <c r="J4065" s="281">
        <f>++Tabla4[[#This Row],[Precio Bruto]]*1.16</f>
        <v>10276.161599999999</v>
      </c>
      <c r="K4065" s="281">
        <f>+Tabla4[[#This Row],[Precio Unitario Neto]]*Tabla4[[#Headers],[20.85%]]</f>
        <v>2142.5796935999997</v>
      </c>
      <c r="L4065" s="282">
        <f>++Tabla4[[#This Row],[Precio Unitario Neto]]-Tabla4[[#This Row],[20.85%]]</f>
        <v>8133.5819063999998</v>
      </c>
      <c r="M4065" s="282" t="e">
        <f>(INDEX(Tabla6[#All],MATCH(Tabla4[[#This Row],[Producto]],Tabla6[[#All],[PRODUCTO]],0),MATCH(Tabla4[[#This Row],[Mes]],Tabla6[#Headers],0)))*(1+Catalogos!$L$2)</f>
        <v>#N/A</v>
      </c>
      <c r="N4065" s="283" t="e">
        <f>+(Tabla4[[#This Row],[Precio Descontado]]-Tabla4[[#This Row],[Precio Base]])*Tabla4[[#This Row],[Cantidad]]</f>
        <v>#N/A</v>
      </c>
      <c r="O4065" s="284" t="e">
        <f>++Tabla4[[#This Row],[Utilidad Total]]/Tabla4[[#This Row],[Total]]</f>
        <v>#N/A</v>
      </c>
      <c r="P4065" s="282">
        <f>++Tabla4[[#This Row],[Precio Descontado]]*Tabla4[[#This Row],[Cantidad]]</f>
        <v>16267.1638128</v>
      </c>
      <c r="Q4065" s="282" t="e">
        <f>(INDEX(Tabla6[#All],MATCH(Tabla4[[#This Row],[Producto]],Tabla6[[#All],[PRODUCTO]],0),MATCH(Tabla4[[#This Row],[Mes]],Tabla6[#Headers],0)))</f>
        <v>#N/A</v>
      </c>
      <c r="R4065" s="282" t="e">
        <f>++Tabla4[[#This Row],[Precio Unitario Neto]]-Tabla4[[#This Row],[20.85%]]-Tabla4[[#This Row],[Costo]]</f>
        <v>#N/A</v>
      </c>
      <c r="S4065" s="282" t="e">
        <f>++Tabla4[[#This Row],[U. Bruta Uni]]*Tabla4[[#This Row],[Cantidad]]</f>
        <v>#N/A</v>
      </c>
      <c r="T4065" s="369" t="str">
        <f>VLOOKUP(Tabla4[[#This Row],[Producto]],Tabla6[#All],14,FALSE)</f>
        <v>Termico Solar</v>
      </c>
      <c r="U4065" s="284" t="e">
        <f>(IF(Tabla4[[#This Row],[Familia]]="termico solar",Tabla4[[#This Row],[Utilidad Total]]*6%,Tabla4[[#This Row],[Utilidad Total]]*11.5%))/Tabla4[[#This Row],[Total]]</f>
        <v>#N/A</v>
      </c>
      <c r="V4065" s="282" t="e">
        <f>+Tabla4[[#This Row],[Comisión Calculada]]*Tabla4[[#This Row],[Total]]</f>
        <v>#N/A</v>
      </c>
    </row>
    <row r="4066" spans="1:22" hidden="1" x14ac:dyDescent="0.25">
      <c r="A4066" s="100">
        <v>45838</v>
      </c>
      <c r="B4066" t="str">
        <f t="shared" si="200"/>
        <v>June</v>
      </c>
      <c r="C4066" s="46" t="s">
        <v>280</v>
      </c>
      <c r="F4066" s="366" t="s">
        <v>2242</v>
      </c>
      <c r="G4066" s="46" t="s">
        <v>18</v>
      </c>
      <c r="H4066" s="46">
        <v>5</v>
      </c>
      <c r="I4066" s="51">
        <v>5367.65</v>
      </c>
      <c r="J4066" s="281">
        <f>++Tabla4[[#This Row],[Precio Bruto]]*1.16</f>
        <v>6226.4739999999993</v>
      </c>
      <c r="K4066" s="281">
        <f>+Tabla4[[#This Row],[Precio Unitario Neto]]*Tabla4[[#Headers],[20.85%]]</f>
        <v>1298.2198289999999</v>
      </c>
      <c r="L4066" s="282">
        <f>++Tabla4[[#This Row],[Precio Unitario Neto]]-Tabla4[[#This Row],[20.85%]]</f>
        <v>4928.2541709999996</v>
      </c>
      <c r="M4066" s="282" t="e">
        <f>(INDEX(Tabla6[#All],MATCH(Tabla4[[#This Row],[Producto]],Tabla6[[#All],[PRODUCTO]],0),MATCH(Tabla4[[#This Row],[Mes]],Tabla6[#Headers],0)))*(1+Catalogos!$L$2)</f>
        <v>#N/A</v>
      </c>
      <c r="N4066" s="283" t="e">
        <f>+(Tabla4[[#This Row],[Precio Descontado]]-Tabla4[[#This Row],[Precio Base]])*Tabla4[[#This Row],[Cantidad]]</f>
        <v>#N/A</v>
      </c>
      <c r="O4066" s="284" t="e">
        <f>++Tabla4[[#This Row],[Utilidad Total]]/Tabla4[[#This Row],[Total]]</f>
        <v>#N/A</v>
      </c>
      <c r="P4066" s="282">
        <f>++Tabla4[[#This Row],[Precio Descontado]]*Tabla4[[#This Row],[Cantidad]]</f>
        <v>24641.270854999999</v>
      </c>
      <c r="Q4066" s="282" t="e">
        <f>(INDEX(Tabla6[#All],MATCH(Tabla4[[#This Row],[Producto]],Tabla6[[#All],[PRODUCTO]],0),MATCH(Tabla4[[#This Row],[Mes]],Tabla6[#Headers],0)))</f>
        <v>#N/A</v>
      </c>
      <c r="R4066" s="282" t="e">
        <f>++Tabla4[[#This Row],[Precio Unitario Neto]]-Tabla4[[#This Row],[20.85%]]-Tabla4[[#This Row],[Costo]]</f>
        <v>#N/A</v>
      </c>
      <c r="S4066" s="282" t="e">
        <f>++Tabla4[[#This Row],[U. Bruta Uni]]*Tabla4[[#This Row],[Cantidad]]</f>
        <v>#N/A</v>
      </c>
      <c r="T4066" s="369" t="str">
        <f>VLOOKUP(Tabla4[[#This Row],[Producto]],Tabla6[#All],14,FALSE)</f>
        <v>Termico Solar</v>
      </c>
      <c r="U4066" s="284" t="e">
        <f>(IF(Tabla4[[#This Row],[Familia]]="termico solar",Tabla4[[#This Row],[Utilidad Total]]*6%,Tabla4[[#This Row],[Utilidad Total]]*11.5%))/Tabla4[[#This Row],[Total]]</f>
        <v>#N/A</v>
      </c>
      <c r="V4066" s="282" t="e">
        <f>+Tabla4[[#This Row],[Comisión Calculada]]*Tabla4[[#This Row],[Total]]</f>
        <v>#N/A</v>
      </c>
    </row>
    <row r="4067" spans="1:22" hidden="1" x14ac:dyDescent="0.25">
      <c r="A4067" s="100">
        <v>45838</v>
      </c>
      <c r="B4067" t="str">
        <f t="shared" si="200"/>
        <v>June</v>
      </c>
      <c r="C4067" s="46" t="s">
        <v>280</v>
      </c>
      <c r="F4067" s="366" t="s">
        <v>2242</v>
      </c>
      <c r="G4067" s="46" t="s">
        <v>566</v>
      </c>
      <c r="H4067" s="46">
        <v>1</v>
      </c>
      <c r="I4067" s="51">
        <v>2109.4499999999998</v>
      </c>
      <c r="J4067" s="281">
        <f>++Tabla4[[#This Row],[Precio Bruto]]*1.16</f>
        <v>2446.9619999999995</v>
      </c>
      <c r="K4067" s="281">
        <f>+Tabla4[[#This Row],[Precio Unitario Neto]]*Tabla4[[#Headers],[20.85%]]</f>
        <v>510.19157699999988</v>
      </c>
      <c r="L4067" s="282">
        <f>++Tabla4[[#This Row],[Precio Unitario Neto]]-Tabla4[[#This Row],[20.85%]]</f>
        <v>1936.7704229999997</v>
      </c>
      <c r="M4067" s="282" t="e">
        <f>(INDEX(Tabla6[#All],MATCH(Tabla4[[#This Row],[Producto]],Tabla6[[#All],[PRODUCTO]],0),MATCH(Tabla4[[#This Row],[Mes]],Tabla6[#Headers],0)))*(1+Catalogos!$L$2)</f>
        <v>#N/A</v>
      </c>
      <c r="N4067" s="283" t="e">
        <f>+(Tabla4[[#This Row],[Precio Descontado]]-Tabla4[[#This Row],[Precio Base]])*Tabla4[[#This Row],[Cantidad]]</f>
        <v>#N/A</v>
      </c>
      <c r="O4067" s="284" t="e">
        <f>++Tabla4[[#This Row],[Utilidad Total]]/Tabla4[[#This Row],[Total]]</f>
        <v>#N/A</v>
      </c>
      <c r="P4067" s="282">
        <f>++Tabla4[[#This Row],[Precio Descontado]]*Tabla4[[#This Row],[Cantidad]]</f>
        <v>1936.7704229999997</v>
      </c>
      <c r="Q4067" s="282" t="e">
        <f>(INDEX(Tabla6[#All],MATCH(Tabla4[[#This Row],[Producto]],Tabla6[[#All],[PRODUCTO]],0),MATCH(Tabla4[[#This Row],[Mes]],Tabla6[#Headers],0)))</f>
        <v>#N/A</v>
      </c>
      <c r="R4067" s="282" t="e">
        <f>++Tabla4[[#This Row],[Precio Unitario Neto]]-Tabla4[[#This Row],[20.85%]]-Tabla4[[#This Row],[Costo]]</f>
        <v>#N/A</v>
      </c>
      <c r="S4067" s="282" t="e">
        <f>++Tabla4[[#This Row],[U. Bruta Uni]]*Tabla4[[#This Row],[Cantidad]]</f>
        <v>#N/A</v>
      </c>
      <c r="T4067" s="369" t="str">
        <f>VLOOKUP(Tabla4[[#This Row],[Producto]],Tabla6[#All],14,FALSE)</f>
        <v>Termico Solar</v>
      </c>
      <c r="U4067" s="284" t="e">
        <f>(IF(Tabla4[[#This Row],[Familia]]="termico solar",Tabla4[[#This Row],[Utilidad Total]]*6%,Tabla4[[#This Row],[Utilidad Total]]*11.5%))/Tabla4[[#This Row],[Total]]</f>
        <v>#N/A</v>
      </c>
      <c r="V4067" s="282" t="e">
        <f>+Tabla4[[#This Row],[Comisión Calculada]]*Tabla4[[#This Row],[Total]]</f>
        <v>#N/A</v>
      </c>
    </row>
    <row r="4068" spans="1:22" hidden="1" x14ac:dyDescent="0.25">
      <c r="A4068" s="100">
        <v>45838</v>
      </c>
      <c r="B4068" t="str">
        <f t="shared" si="200"/>
        <v>June</v>
      </c>
      <c r="C4068" s="46" t="s">
        <v>280</v>
      </c>
      <c r="F4068" s="366" t="s">
        <v>2242</v>
      </c>
      <c r="G4068" s="46" t="s">
        <v>200</v>
      </c>
      <c r="H4068" s="46">
        <v>12</v>
      </c>
      <c r="I4068" s="51">
        <v>393.22</v>
      </c>
      <c r="J4068" s="281">
        <f>++Tabla4[[#This Row],[Precio Bruto]]*1.16</f>
        <v>456.1352</v>
      </c>
      <c r="K4068" s="281">
        <f>+Tabla4[[#This Row],[Precio Unitario Neto]]*Tabla4[[#Headers],[20.85%]]</f>
        <v>95.104189199999993</v>
      </c>
      <c r="L4068" s="282">
        <f>++Tabla4[[#This Row],[Precio Unitario Neto]]-Tabla4[[#This Row],[20.85%]]</f>
        <v>361.03101079999999</v>
      </c>
      <c r="M4068" s="282" t="e">
        <f>(INDEX(Tabla6[#All],MATCH(Tabla4[[#This Row],[Producto]],Tabla6[[#All],[PRODUCTO]],0),MATCH(Tabla4[[#This Row],[Mes]],Tabla6[#Headers],0)))*(1+Catalogos!$L$2)</f>
        <v>#N/A</v>
      </c>
      <c r="N4068" s="283" t="e">
        <f>+(Tabla4[[#This Row],[Precio Descontado]]-Tabla4[[#This Row],[Precio Base]])*Tabla4[[#This Row],[Cantidad]]</f>
        <v>#N/A</v>
      </c>
      <c r="O4068" s="284" t="e">
        <f>++Tabla4[[#This Row],[Utilidad Total]]/Tabla4[[#This Row],[Total]]</f>
        <v>#N/A</v>
      </c>
      <c r="P4068" s="282">
        <f>++Tabla4[[#This Row],[Precio Descontado]]*Tabla4[[#This Row],[Cantidad]]</f>
        <v>4332.3721296000003</v>
      </c>
      <c r="Q4068" s="282" t="e">
        <f>(INDEX(Tabla6[#All],MATCH(Tabla4[[#This Row],[Producto]],Tabla6[[#All],[PRODUCTO]],0),MATCH(Tabla4[[#This Row],[Mes]],Tabla6[#Headers],0)))</f>
        <v>#N/A</v>
      </c>
      <c r="R4068" s="282" t="e">
        <f>++Tabla4[[#This Row],[Precio Unitario Neto]]-Tabla4[[#This Row],[20.85%]]-Tabla4[[#This Row],[Costo]]</f>
        <v>#N/A</v>
      </c>
      <c r="S4068" s="282" t="e">
        <f>++Tabla4[[#This Row],[U. Bruta Uni]]*Tabla4[[#This Row],[Cantidad]]</f>
        <v>#N/A</v>
      </c>
      <c r="T4068" s="369" t="str">
        <f>VLOOKUP(Tabla4[[#This Row],[Producto]],Tabla6[#All],14,FALSE)</f>
        <v>Termico Solar</v>
      </c>
      <c r="U4068" s="284" t="e">
        <f>(IF(Tabla4[[#This Row],[Familia]]="termico solar",Tabla4[[#This Row],[Utilidad Total]]*6%,Tabla4[[#This Row],[Utilidad Total]]*11.5%))/Tabla4[[#This Row],[Total]]</f>
        <v>#N/A</v>
      </c>
      <c r="V4068" s="282" t="e">
        <f>+Tabla4[[#This Row],[Comisión Calculada]]*Tabla4[[#This Row],[Total]]</f>
        <v>#N/A</v>
      </c>
    </row>
    <row r="4069" spans="1:22" hidden="1" x14ac:dyDescent="0.25">
      <c r="A4069" s="100">
        <v>45838</v>
      </c>
      <c r="B4069" t="str">
        <f t="shared" si="200"/>
        <v>June</v>
      </c>
      <c r="C4069" s="46" t="s">
        <v>280</v>
      </c>
      <c r="F4069" s="366" t="s">
        <v>2242</v>
      </c>
      <c r="G4069" s="46" t="s">
        <v>545</v>
      </c>
      <c r="H4069" s="46">
        <v>24</v>
      </c>
      <c r="I4069" s="51">
        <v>304.32</v>
      </c>
      <c r="J4069" s="281">
        <f>++Tabla4[[#This Row],[Precio Bruto]]*1.16</f>
        <v>353.01119999999997</v>
      </c>
      <c r="K4069" s="281">
        <f>+Tabla4[[#This Row],[Precio Unitario Neto]]*Tabla4[[#Headers],[20.85%]]</f>
        <v>73.602835199999987</v>
      </c>
      <c r="L4069" s="282">
        <f>++Tabla4[[#This Row],[Precio Unitario Neto]]-Tabla4[[#This Row],[20.85%]]</f>
        <v>279.40836479999996</v>
      </c>
      <c r="M4069" s="282" t="e">
        <f>(INDEX(Tabla6[#All],MATCH(Tabla4[[#This Row],[Producto]],Tabla6[[#All],[PRODUCTO]],0),MATCH(Tabla4[[#This Row],[Mes]],Tabla6[#Headers],0)))*(1+Catalogos!$L$2)</f>
        <v>#N/A</v>
      </c>
      <c r="N4069" s="283" t="e">
        <f>+(Tabla4[[#This Row],[Precio Descontado]]-Tabla4[[#This Row],[Precio Base]])*Tabla4[[#This Row],[Cantidad]]</f>
        <v>#N/A</v>
      </c>
      <c r="O4069" s="284" t="e">
        <f>++Tabla4[[#This Row],[Utilidad Total]]/Tabla4[[#This Row],[Total]]</f>
        <v>#N/A</v>
      </c>
      <c r="P4069" s="282">
        <f>++Tabla4[[#This Row],[Precio Descontado]]*Tabla4[[#This Row],[Cantidad]]</f>
        <v>6705.800755199999</v>
      </c>
      <c r="Q4069" s="282" t="e">
        <f>(INDEX(Tabla6[#All],MATCH(Tabla4[[#This Row],[Producto]],Tabla6[[#All],[PRODUCTO]],0),MATCH(Tabla4[[#This Row],[Mes]],Tabla6[#Headers],0)))</f>
        <v>#N/A</v>
      </c>
      <c r="R4069" s="282" t="e">
        <f>++Tabla4[[#This Row],[Precio Unitario Neto]]-Tabla4[[#This Row],[20.85%]]-Tabla4[[#This Row],[Costo]]</f>
        <v>#N/A</v>
      </c>
      <c r="S4069" s="282" t="e">
        <f>++Tabla4[[#This Row],[U. Bruta Uni]]*Tabla4[[#This Row],[Cantidad]]</f>
        <v>#N/A</v>
      </c>
      <c r="T4069" s="369" t="str">
        <f>VLOOKUP(Tabla4[[#This Row],[Producto]],Tabla6[#All],14,FALSE)</f>
        <v>Termico Solar</v>
      </c>
      <c r="U4069" s="284" t="e">
        <f>(IF(Tabla4[[#This Row],[Familia]]="termico solar",Tabla4[[#This Row],[Utilidad Total]]*6%,Tabla4[[#This Row],[Utilidad Total]]*11.5%))/Tabla4[[#This Row],[Total]]</f>
        <v>#N/A</v>
      </c>
      <c r="V4069" s="282" t="e">
        <f>+Tabla4[[#This Row],[Comisión Calculada]]*Tabla4[[#This Row],[Total]]</f>
        <v>#N/A</v>
      </c>
    </row>
    <row r="4070" spans="1:22" hidden="1" x14ac:dyDescent="0.25">
      <c r="A4070" s="100">
        <v>45838</v>
      </c>
      <c r="B4070" t="str">
        <f t="shared" si="200"/>
        <v>June</v>
      </c>
      <c r="C4070" s="46" t="s">
        <v>280</v>
      </c>
      <c r="F4070" s="366" t="s">
        <v>2242</v>
      </c>
      <c r="G4070" s="46" t="s">
        <v>209</v>
      </c>
      <c r="H4070" s="46">
        <v>2</v>
      </c>
      <c r="I4070" s="51">
        <v>347.48</v>
      </c>
      <c r="J4070" s="281">
        <f>++Tabla4[[#This Row],[Precio Bruto]]*1.16</f>
        <v>403.07679999999999</v>
      </c>
      <c r="K4070" s="281">
        <f>+Tabla4[[#This Row],[Precio Unitario Neto]]*Tabla4[[#Headers],[20.85%]]</f>
        <v>84.041512799999992</v>
      </c>
      <c r="L4070" s="282">
        <f>++Tabla4[[#This Row],[Precio Unitario Neto]]-Tabla4[[#This Row],[20.85%]]</f>
        <v>319.03528719999997</v>
      </c>
      <c r="M4070" s="282" t="e">
        <f>(INDEX(Tabla6[#All],MATCH(Tabla4[[#This Row],[Producto]],Tabla6[[#All],[PRODUCTO]],0),MATCH(Tabla4[[#This Row],[Mes]],Tabla6[#Headers],0)))*(1+Catalogos!$L$2)</f>
        <v>#N/A</v>
      </c>
      <c r="N4070" s="283" t="e">
        <f>+(Tabla4[[#This Row],[Precio Descontado]]-Tabla4[[#This Row],[Precio Base]])*Tabla4[[#This Row],[Cantidad]]</f>
        <v>#N/A</v>
      </c>
      <c r="O4070" s="284" t="e">
        <f>++Tabla4[[#This Row],[Utilidad Total]]/Tabla4[[#This Row],[Total]]</f>
        <v>#N/A</v>
      </c>
      <c r="P4070" s="282">
        <f>++Tabla4[[#This Row],[Precio Descontado]]*Tabla4[[#This Row],[Cantidad]]</f>
        <v>638.07057439999994</v>
      </c>
      <c r="Q4070" s="282" t="e">
        <f>(INDEX(Tabla6[#All],MATCH(Tabla4[[#This Row],[Producto]],Tabla6[[#All],[PRODUCTO]],0),MATCH(Tabla4[[#This Row],[Mes]],Tabla6[#Headers],0)))</f>
        <v>#N/A</v>
      </c>
      <c r="R4070" s="282" t="e">
        <f>++Tabla4[[#This Row],[Precio Unitario Neto]]-Tabla4[[#This Row],[20.85%]]-Tabla4[[#This Row],[Costo]]</f>
        <v>#N/A</v>
      </c>
      <c r="S4070" s="282" t="e">
        <f>++Tabla4[[#This Row],[U. Bruta Uni]]*Tabla4[[#This Row],[Cantidad]]</f>
        <v>#N/A</v>
      </c>
      <c r="T4070" s="369" t="str">
        <f>VLOOKUP(Tabla4[[#This Row],[Producto]],Tabla6[#All],14,FALSE)</f>
        <v>Termico Solar</v>
      </c>
      <c r="U4070" s="284" t="e">
        <f>(IF(Tabla4[[#This Row],[Familia]]="termico solar",Tabla4[[#This Row],[Utilidad Total]]*6%,Tabla4[[#This Row],[Utilidad Total]]*11.5%))/Tabla4[[#This Row],[Total]]</f>
        <v>#N/A</v>
      </c>
      <c r="V4070" s="282" t="e">
        <f>+Tabla4[[#This Row],[Comisión Calculada]]*Tabla4[[#This Row],[Total]]</f>
        <v>#N/A</v>
      </c>
    </row>
    <row r="4071" spans="1:22" hidden="1" x14ac:dyDescent="0.25">
      <c r="A4071" s="100">
        <v>45838</v>
      </c>
      <c r="B4071" t="str">
        <f t="shared" ref="B4071:B4084" si="201">TEXT(A4071, "mmmm")</f>
        <v>June</v>
      </c>
      <c r="C4071" s="46" t="s">
        <v>280</v>
      </c>
      <c r="F4071" s="366" t="s">
        <v>2243</v>
      </c>
      <c r="G4071" s="46" t="s">
        <v>83</v>
      </c>
      <c r="H4071" s="46">
        <v>1</v>
      </c>
      <c r="I4071" s="51">
        <v>8858.76</v>
      </c>
      <c r="J4071" s="281">
        <f>++Tabla4[[#This Row],[Precio Bruto]]*1.16</f>
        <v>10276.161599999999</v>
      </c>
      <c r="K4071" s="281">
        <f>+Tabla4[[#This Row],[Precio Unitario Neto]]*Tabla4[[#Headers],[20.85%]]</f>
        <v>2142.5796935999997</v>
      </c>
      <c r="L4071" s="282">
        <f>++Tabla4[[#This Row],[Precio Unitario Neto]]-Tabla4[[#This Row],[20.85%]]</f>
        <v>8133.5819063999998</v>
      </c>
      <c r="M4071" s="282" t="e">
        <f>(INDEX(Tabla6[#All],MATCH(Tabla4[[#This Row],[Producto]],Tabla6[[#All],[PRODUCTO]],0),MATCH(Tabla4[[#This Row],[Mes]],Tabla6[#Headers],0)))*(1+Catalogos!$L$2)</f>
        <v>#N/A</v>
      </c>
      <c r="N4071" s="283" t="e">
        <f>+(Tabla4[[#This Row],[Precio Descontado]]-Tabla4[[#This Row],[Precio Base]])*Tabla4[[#This Row],[Cantidad]]</f>
        <v>#N/A</v>
      </c>
      <c r="O4071" s="284" t="e">
        <f>++Tabla4[[#This Row],[Utilidad Total]]/Tabla4[[#This Row],[Total]]</f>
        <v>#N/A</v>
      </c>
      <c r="P4071" s="282">
        <f>++Tabla4[[#This Row],[Precio Descontado]]*Tabla4[[#This Row],[Cantidad]]</f>
        <v>8133.5819063999998</v>
      </c>
      <c r="Q4071" s="282" t="e">
        <f>(INDEX(Tabla6[#All],MATCH(Tabla4[[#This Row],[Producto]],Tabla6[[#All],[PRODUCTO]],0),MATCH(Tabla4[[#This Row],[Mes]],Tabla6[#Headers],0)))</f>
        <v>#N/A</v>
      </c>
      <c r="R4071" s="282" t="e">
        <f>++Tabla4[[#This Row],[Precio Unitario Neto]]-Tabla4[[#This Row],[20.85%]]-Tabla4[[#This Row],[Costo]]</f>
        <v>#N/A</v>
      </c>
      <c r="S4071" s="282" t="e">
        <f>++Tabla4[[#This Row],[U. Bruta Uni]]*Tabla4[[#This Row],[Cantidad]]</f>
        <v>#N/A</v>
      </c>
      <c r="T4071" s="369" t="str">
        <f>VLOOKUP(Tabla4[[#This Row],[Producto]],Tabla6[#All],14,FALSE)</f>
        <v>Termico Solar</v>
      </c>
      <c r="U4071" s="284" t="e">
        <f>(IF(Tabla4[[#This Row],[Familia]]="termico solar",Tabla4[[#This Row],[Utilidad Total]]*6%,Tabla4[[#This Row],[Utilidad Total]]*11.5%))/Tabla4[[#This Row],[Total]]</f>
        <v>#N/A</v>
      </c>
      <c r="V4071" s="282" t="e">
        <f>+Tabla4[[#This Row],[Comisión Calculada]]*Tabla4[[#This Row],[Total]]</f>
        <v>#N/A</v>
      </c>
    </row>
    <row r="4072" spans="1:22" hidden="1" x14ac:dyDescent="0.25">
      <c r="A4072" s="100">
        <v>45838</v>
      </c>
      <c r="B4072" t="str">
        <f t="shared" si="201"/>
        <v>June</v>
      </c>
      <c r="C4072" s="46" t="s">
        <v>280</v>
      </c>
      <c r="F4072" s="366" t="s">
        <v>2243</v>
      </c>
      <c r="G4072" s="46" t="s">
        <v>394</v>
      </c>
      <c r="H4072" s="46">
        <v>16</v>
      </c>
      <c r="I4072" s="51">
        <v>224.29</v>
      </c>
      <c r="J4072" s="281">
        <f>++Tabla4[[#This Row],[Precio Bruto]]*1.16</f>
        <v>260.1764</v>
      </c>
      <c r="K4072" s="281">
        <f>+Tabla4[[#This Row],[Precio Unitario Neto]]*Tabla4[[#Headers],[20.85%]]</f>
        <v>54.246779400000001</v>
      </c>
      <c r="L4072" s="282">
        <f>++Tabla4[[#This Row],[Precio Unitario Neto]]-Tabla4[[#This Row],[20.85%]]</f>
        <v>205.92962059999999</v>
      </c>
      <c r="M4072" s="282" t="e">
        <f>(INDEX(Tabla6[#All],MATCH(Tabla4[[#This Row],[Producto]],Tabla6[[#All],[PRODUCTO]],0),MATCH(Tabla4[[#This Row],[Mes]],Tabla6[#Headers],0)))*(1+Catalogos!$L$2)</f>
        <v>#N/A</v>
      </c>
      <c r="N4072" s="283" t="e">
        <f>+(Tabla4[[#This Row],[Precio Descontado]]-Tabla4[[#This Row],[Precio Base]])*Tabla4[[#This Row],[Cantidad]]</f>
        <v>#N/A</v>
      </c>
      <c r="O4072" s="284" t="e">
        <f>++Tabla4[[#This Row],[Utilidad Total]]/Tabla4[[#This Row],[Total]]</f>
        <v>#N/A</v>
      </c>
      <c r="P4072" s="282">
        <f>++Tabla4[[#This Row],[Precio Descontado]]*Tabla4[[#This Row],[Cantidad]]</f>
        <v>3294.8739295999999</v>
      </c>
      <c r="Q4072" s="282" t="e">
        <f>(INDEX(Tabla6[#All],MATCH(Tabla4[[#This Row],[Producto]],Tabla6[[#All],[PRODUCTO]],0),MATCH(Tabla4[[#This Row],[Mes]],Tabla6[#Headers],0)))</f>
        <v>#N/A</v>
      </c>
      <c r="R4072" s="282" t="e">
        <f>++Tabla4[[#This Row],[Precio Unitario Neto]]-Tabla4[[#This Row],[20.85%]]-Tabla4[[#This Row],[Costo]]</f>
        <v>#N/A</v>
      </c>
      <c r="S4072" s="282" t="e">
        <f>++Tabla4[[#This Row],[U. Bruta Uni]]*Tabla4[[#This Row],[Cantidad]]</f>
        <v>#N/A</v>
      </c>
      <c r="T4072" s="369" t="str">
        <f>VLOOKUP(Tabla4[[#This Row],[Producto]],Tabla6[#All],14,FALSE)</f>
        <v>Termico Solar</v>
      </c>
      <c r="U4072" s="284" t="e">
        <f>(IF(Tabla4[[#This Row],[Familia]]="termico solar",Tabla4[[#This Row],[Utilidad Total]]*6%,Tabla4[[#This Row],[Utilidad Total]]*11.5%))/Tabla4[[#This Row],[Total]]</f>
        <v>#N/A</v>
      </c>
      <c r="V4072" s="282" t="e">
        <f>+Tabla4[[#This Row],[Comisión Calculada]]*Tabla4[[#This Row],[Total]]</f>
        <v>#N/A</v>
      </c>
    </row>
    <row r="4073" spans="1:22" hidden="1" x14ac:dyDescent="0.25">
      <c r="A4073" s="100">
        <v>45838</v>
      </c>
      <c r="B4073" t="str">
        <f t="shared" si="201"/>
        <v>June</v>
      </c>
      <c r="C4073" s="46" t="s">
        <v>280</v>
      </c>
      <c r="F4073" s="366" t="s">
        <v>2243</v>
      </c>
      <c r="G4073" s="46" t="s">
        <v>555</v>
      </c>
      <c r="H4073" s="46">
        <v>16</v>
      </c>
      <c r="I4073" s="51">
        <v>389.47</v>
      </c>
      <c r="J4073" s="281">
        <f>++Tabla4[[#This Row],[Precio Bruto]]*1.16</f>
        <v>451.78519999999997</v>
      </c>
      <c r="K4073" s="281">
        <f>+Tabla4[[#This Row],[Precio Unitario Neto]]*Tabla4[[#Headers],[20.85%]]</f>
        <v>94.197214199999991</v>
      </c>
      <c r="L4073" s="282">
        <f>++Tabla4[[#This Row],[Precio Unitario Neto]]-Tabla4[[#This Row],[20.85%]]</f>
        <v>357.58798579999996</v>
      </c>
      <c r="M4073" s="282" t="e">
        <f>(INDEX(Tabla6[#All],MATCH(Tabla4[[#This Row],[Producto]],Tabla6[[#All],[PRODUCTO]],0),MATCH(Tabla4[[#This Row],[Mes]],Tabla6[#Headers],0)))*(1+Catalogos!$L$2)</f>
        <v>#N/A</v>
      </c>
      <c r="N4073" s="283" t="e">
        <f>+(Tabla4[[#This Row],[Precio Descontado]]-Tabla4[[#This Row],[Precio Base]])*Tabla4[[#This Row],[Cantidad]]</f>
        <v>#N/A</v>
      </c>
      <c r="O4073" s="284" t="e">
        <f>++Tabla4[[#This Row],[Utilidad Total]]/Tabla4[[#This Row],[Total]]</f>
        <v>#N/A</v>
      </c>
      <c r="P4073" s="282">
        <f>++Tabla4[[#This Row],[Precio Descontado]]*Tabla4[[#This Row],[Cantidad]]</f>
        <v>5721.4077727999993</v>
      </c>
      <c r="Q4073" s="282" t="e">
        <f>(INDEX(Tabla6[#All],MATCH(Tabla4[[#This Row],[Producto]],Tabla6[[#All],[PRODUCTO]],0),MATCH(Tabla4[[#This Row],[Mes]],Tabla6[#Headers],0)))</f>
        <v>#N/A</v>
      </c>
      <c r="R4073" s="282" t="e">
        <f>++Tabla4[[#This Row],[Precio Unitario Neto]]-Tabla4[[#This Row],[20.85%]]-Tabla4[[#This Row],[Costo]]</f>
        <v>#N/A</v>
      </c>
      <c r="S4073" s="282" t="e">
        <f>++Tabla4[[#This Row],[U. Bruta Uni]]*Tabla4[[#This Row],[Cantidad]]</f>
        <v>#N/A</v>
      </c>
      <c r="T4073" s="369" t="str">
        <f>VLOOKUP(Tabla4[[#This Row],[Producto]],Tabla6[#All],14,FALSE)</f>
        <v>Termico Solar</v>
      </c>
      <c r="U4073" s="284" t="e">
        <f>(IF(Tabla4[[#This Row],[Familia]]="termico solar",Tabla4[[#This Row],[Utilidad Total]]*6%,Tabla4[[#This Row],[Utilidad Total]]*11.5%))/Tabla4[[#This Row],[Total]]</f>
        <v>#N/A</v>
      </c>
      <c r="V4073" s="282" t="e">
        <f>+Tabla4[[#This Row],[Comisión Calculada]]*Tabla4[[#This Row],[Total]]</f>
        <v>#N/A</v>
      </c>
    </row>
    <row r="4074" spans="1:22" hidden="1" x14ac:dyDescent="0.25">
      <c r="A4074" s="100">
        <v>45838</v>
      </c>
      <c r="B4074" t="str">
        <f t="shared" si="201"/>
        <v>June</v>
      </c>
      <c r="C4074" s="46" t="s">
        <v>280</v>
      </c>
      <c r="F4074" s="366" t="s">
        <v>2243</v>
      </c>
      <c r="G4074" s="46" t="s">
        <v>208</v>
      </c>
      <c r="H4074" s="46">
        <v>15</v>
      </c>
      <c r="I4074" s="51">
        <v>189.75</v>
      </c>
      <c r="J4074" s="281">
        <f>++Tabla4[[#This Row],[Precio Bruto]]*1.16</f>
        <v>220.10999999999999</v>
      </c>
      <c r="K4074" s="281">
        <f>+Tabla4[[#This Row],[Precio Unitario Neto]]*Tabla4[[#Headers],[20.85%]]</f>
        <v>45.892934999999994</v>
      </c>
      <c r="L4074" s="282">
        <f>++Tabla4[[#This Row],[Precio Unitario Neto]]-Tabla4[[#This Row],[20.85%]]</f>
        <v>174.21706499999999</v>
      </c>
      <c r="M4074" s="282" t="e">
        <f>(INDEX(Tabla6[#All],MATCH(Tabla4[[#This Row],[Producto]],Tabla6[[#All],[PRODUCTO]],0),MATCH(Tabla4[[#This Row],[Mes]],Tabla6[#Headers],0)))*(1+Catalogos!$L$2)</f>
        <v>#N/A</v>
      </c>
      <c r="N4074" s="283" t="e">
        <f>+(Tabla4[[#This Row],[Precio Descontado]]-Tabla4[[#This Row],[Precio Base]])*Tabla4[[#This Row],[Cantidad]]</f>
        <v>#N/A</v>
      </c>
      <c r="O4074" s="284" t="e">
        <f>++Tabla4[[#This Row],[Utilidad Total]]/Tabla4[[#This Row],[Total]]</f>
        <v>#N/A</v>
      </c>
      <c r="P4074" s="282">
        <f>++Tabla4[[#This Row],[Precio Descontado]]*Tabla4[[#This Row],[Cantidad]]</f>
        <v>2613.255975</v>
      </c>
      <c r="Q4074" s="282" t="e">
        <f>(INDEX(Tabla6[#All],MATCH(Tabla4[[#This Row],[Producto]],Tabla6[[#All],[PRODUCTO]],0),MATCH(Tabla4[[#This Row],[Mes]],Tabla6[#Headers],0)))</f>
        <v>#N/A</v>
      </c>
      <c r="R4074" s="282" t="e">
        <f>++Tabla4[[#This Row],[Precio Unitario Neto]]-Tabla4[[#This Row],[20.85%]]-Tabla4[[#This Row],[Costo]]</f>
        <v>#N/A</v>
      </c>
      <c r="S4074" s="282" t="e">
        <f>++Tabla4[[#This Row],[U. Bruta Uni]]*Tabla4[[#This Row],[Cantidad]]</f>
        <v>#N/A</v>
      </c>
      <c r="T4074" s="369" t="str">
        <f>VLOOKUP(Tabla4[[#This Row],[Producto]],Tabla6[#All],14,FALSE)</f>
        <v>Termico Solar</v>
      </c>
      <c r="U4074" s="284" t="e">
        <f>(IF(Tabla4[[#This Row],[Familia]]="termico solar",Tabla4[[#This Row],[Utilidad Total]]*6%,Tabla4[[#This Row],[Utilidad Total]]*11.5%))/Tabla4[[#This Row],[Total]]</f>
        <v>#N/A</v>
      </c>
      <c r="V4074" s="282" t="e">
        <f>+Tabla4[[#This Row],[Comisión Calculada]]*Tabla4[[#This Row],[Total]]</f>
        <v>#N/A</v>
      </c>
    </row>
    <row r="4075" spans="1:22" hidden="1" x14ac:dyDescent="0.25">
      <c r="A4075" s="100">
        <v>45838</v>
      </c>
      <c r="B4075" t="str">
        <f t="shared" si="201"/>
        <v>June</v>
      </c>
      <c r="C4075" s="46" t="s">
        <v>280</v>
      </c>
      <c r="F4075" s="366" t="s">
        <v>2243</v>
      </c>
      <c r="G4075" s="46" t="s">
        <v>209</v>
      </c>
      <c r="H4075" s="46">
        <v>5</v>
      </c>
      <c r="I4075" s="51">
        <v>347.48</v>
      </c>
      <c r="J4075" s="281">
        <f>++Tabla4[[#This Row],[Precio Bruto]]*1.16</f>
        <v>403.07679999999999</v>
      </c>
      <c r="K4075" s="281">
        <f>+Tabla4[[#This Row],[Precio Unitario Neto]]*Tabla4[[#Headers],[20.85%]]</f>
        <v>84.041512799999992</v>
      </c>
      <c r="L4075" s="282">
        <f>++Tabla4[[#This Row],[Precio Unitario Neto]]-Tabla4[[#This Row],[20.85%]]</f>
        <v>319.03528719999997</v>
      </c>
      <c r="M4075" s="282" t="e">
        <f>(INDEX(Tabla6[#All],MATCH(Tabla4[[#This Row],[Producto]],Tabla6[[#All],[PRODUCTO]],0),MATCH(Tabla4[[#This Row],[Mes]],Tabla6[#Headers],0)))*(1+Catalogos!$L$2)</f>
        <v>#N/A</v>
      </c>
      <c r="N4075" s="283" t="e">
        <f>+(Tabla4[[#This Row],[Precio Descontado]]-Tabla4[[#This Row],[Precio Base]])*Tabla4[[#This Row],[Cantidad]]</f>
        <v>#N/A</v>
      </c>
      <c r="O4075" s="284" t="e">
        <f>++Tabla4[[#This Row],[Utilidad Total]]/Tabla4[[#This Row],[Total]]</f>
        <v>#N/A</v>
      </c>
      <c r="P4075" s="282">
        <f>++Tabla4[[#This Row],[Precio Descontado]]*Tabla4[[#This Row],[Cantidad]]</f>
        <v>1595.1764359999997</v>
      </c>
      <c r="Q4075" s="282" t="e">
        <f>(INDEX(Tabla6[#All],MATCH(Tabla4[[#This Row],[Producto]],Tabla6[[#All],[PRODUCTO]],0),MATCH(Tabla4[[#This Row],[Mes]],Tabla6[#Headers],0)))</f>
        <v>#N/A</v>
      </c>
      <c r="R4075" s="282" t="e">
        <f>++Tabla4[[#This Row],[Precio Unitario Neto]]-Tabla4[[#This Row],[20.85%]]-Tabla4[[#This Row],[Costo]]</f>
        <v>#N/A</v>
      </c>
      <c r="S4075" s="282" t="e">
        <f>++Tabla4[[#This Row],[U. Bruta Uni]]*Tabla4[[#This Row],[Cantidad]]</f>
        <v>#N/A</v>
      </c>
      <c r="T4075" s="369" t="str">
        <f>VLOOKUP(Tabla4[[#This Row],[Producto]],Tabla6[#All],14,FALSE)</f>
        <v>Termico Solar</v>
      </c>
      <c r="U4075" s="284" t="e">
        <f>(IF(Tabla4[[#This Row],[Familia]]="termico solar",Tabla4[[#This Row],[Utilidad Total]]*6%,Tabla4[[#This Row],[Utilidad Total]]*11.5%))/Tabla4[[#This Row],[Total]]</f>
        <v>#N/A</v>
      </c>
      <c r="V4075" s="282" t="e">
        <f>+Tabla4[[#This Row],[Comisión Calculada]]*Tabla4[[#This Row],[Total]]</f>
        <v>#N/A</v>
      </c>
    </row>
    <row r="4076" spans="1:22" hidden="1" x14ac:dyDescent="0.25">
      <c r="A4076" s="100">
        <v>45838</v>
      </c>
      <c r="B4076" t="str">
        <f t="shared" si="201"/>
        <v>June</v>
      </c>
      <c r="C4076" s="46" t="s">
        <v>280</v>
      </c>
      <c r="F4076" s="366" t="s">
        <v>2244</v>
      </c>
      <c r="G4076" s="46" t="s">
        <v>17</v>
      </c>
      <c r="H4076" s="46">
        <v>2</v>
      </c>
      <c r="I4076" s="51">
        <v>4622.28</v>
      </c>
      <c r="J4076" s="281">
        <f>++Tabla4[[#This Row],[Precio Bruto]]*1.16</f>
        <v>5361.8447999999989</v>
      </c>
      <c r="K4076" s="281">
        <f>+Tabla4[[#This Row],[Precio Unitario Neto]]*Tabla4[[#Headers],[20.85%]]</f>
        <v>1117.9446407999997</v>
      </c>
      <c r="L4076" s="282">
        <f>++Tabla4[[#This Row],[Precio Unitario Neto]]-Tabla4[[#This Row],[20.85%]]</f>
        <v>4243.9001591999995</v>
      </c>
      <c r="M4076" s="282" t="e">
        <f>(INDEX(Tabla6[#All],MATCH(Tabla4[[#This Row],[Producto]],Tabla6[[#All],[PRODUCTO]],0),MATCH(Tabla4[[#This Row],[Mes]],Tabla6[#Headers],0)))*(1+Catalogos!$L$2)</f>
        <v>#N/A</v>
      </c>
      <c r="N4076" s="283" t="e">
        <f>+(Tabla4[[#This Row],[Precio Descontado]]-Tabla4[[#This Row],[Precio Base]])*Tabla4[[#This Row],[Cantidad]]</f>
        <v>#N/A</v>
      </c>
      <c r="O4076" s="284" t="e">
        <f>++Tabla4[[#This Row],[Utilidad Total]]/Tabla4[[#This Row],[Total]]</f>
        <v>#N/A</v>
      </c>
      <c r="P4076" s="282">
        <f>++Tabla4[[#This Row],[Precio Descontado]]*Tabla4[[#This Row],[Cantidad]]</f>
        <v>8487.800318399999</v>
      </c>
      <c r="Q4076" s="282" t="e">
        <f>(INDEX(Tabla6[#All],MATCH(Tabla4[[#This Row],[Producto]],Tabla6[[#All],[PRODUCTO]],0),MATCH(Tabla4[[#This Row],[Mes]],Tabla6[#Headers],0)))</f>
        <v>#N/A</v>
      </c>
      <c r="R4076" s="282" t="e">
        <f>++Tabla4[[#This Row],[Precio Unitario Neto]]-Tabla4[[#This Row],[20.85%]]-Tabla4[[#This Row],[Costo]]</f>
        <v>#N/A</v>
      </c>
      <c r="S4076" s="282" t="e">
        <f>++Tabla4[[#This Row],[U. Bruta Uni]]*Tabla4[[#This Row],[Cantidad]]</f>
        <v>#N/A</v>
      </c>
      <c r="T4076" s="369" t="str">
        <f>VLOOKUP(Tabla4[[#This Row],[Producto]],Tabla6[#All],14,FALSE)</f>
        <v>Termico Solar</v>
      </c>
      <c r="U4076" s="284" t="e">
        <f>(IF(Tabla4[[#This Row],[Familia]]="termico solar",Tabla4[[#This Row],[Utilidad Total]]*6%,Tabla4[[#This Row],[Utilidad Total]]*11.5%))/Tabla4[[#This Row],[Total]]</f>
        <v>#N/A</v>
      </c>
      <c r="V4076" s="282" t="e">
        <f>+Tabla4[[#This Row],[Comisión Calculada]]*Tabla4[[#This Row],[Total]]</f>
        <v>#N/A</v>
      </c>
    </row>
    <row r="4077" spans="1:22" hidden="1" x14ac:dyDescent="0.25">
      <c r="A4077" s="100">
        <v>45838</v>
      </c>
      <c r="B4077" t="str">
        <f t="shared" si="201"/>
        <v>June</v>
      </c>
      <c r="C4077" s="46" t="s">
        <v>280</v>
      </c>
      <c r="F4077" s="366" t="s">
        <v>2244</v>
      </c>
      <c r="G4077" s="46" t="s">
        <v>566</v>
      </c>
      <c r="H4077" s="46">
        <v>1</v>
      </c>
      <c r="I4077" s="51">
        <v>2109.4499999999998</v>
      </c>
      <c r="J4077" s="281">
        <f>++Tabla4[[#This Row],[Precio Bruto]]*1.16</f>
        <v>2446.9619999999995</v>
      </c>
      <c r="K4077" s="281">
        <f>+Tabla4[[#This Row],[Precio Unitario Neto]]*Tabla4[[#Headers],[20.85%]]</f>
        <v>510.19157699999988</v>
      </c>
      <c r="L4077" s="282">
        <f>++Tabla4[[#This Row],[Precio Unitario Neto]]-Tabla4[[#This Row],[20.85%]]</f>
        <v>1936.7704229999997</v>
      </c>
      <c r="M4077" s="282" t="e">
        <f>(INDEX(Tabla6[#All],MATCH(Tabla4[[#This Row],[Producto]],Tabla6[[#All],[PRODUCTO]],0),MATCH(Tabla4[[#This Row],[Mes]],Tabla6[#Headers],0)))*(1+Catalogos!$L$2)</f>
        <v>#N/A</v>
      </c>
      <c r="N4077" s="283" t="e">
        <f>+(Tabla4[[#This Row],[Precio Descontado]]-Tabla4[[#This Row],[Precio Base]])*Tabla4[[#This Row],[Cantidad]]</f>
        <v>#N/A</v>
      </c>
      <c r="O4077" s="284" t="e">
        <f>++Tabla4[[#This Row],[Utilidad Total]]/Tabla4[[#This Row],[Total]]</f>
        <v>#N/A</v>
      </c>
      <c r="P4077" s="282">
        <f>++Tabla4[[#This Row],[Precio Descontado]]*Tabla4[[#This Row],[Cantidad]]</f>
        <v>1936.7704229999997</v>
      </c>
      <c r="Q4077" s="282" t="e">
        <f>(INDEX(Tabla6[#All],MATCH(Tabla4[[#This Row],[Producto]],Tabla6[[#All],[PRODUCTO]],0),MATCH(Tabla4[[#This Row],[Mes]],Tabla6[#Headers],0)))</f>
        <v>#N/A</v>
      </c>
      <c r="R4077" s="282" t="e">
        <f>++Tabla4[[#This Row],[Precio Unitario Neto]]-Tabla4[[#This Row],[20.85%]]-Tabla4[[#This Row],[Costo]]</f>
        <v>#N/A</v>
      </c>
      <c r="S4077" s="282" t="e">
        <f>++Tabla4[[#This Row],[U. Bruta Uni]]*Tabla4[[#This Row],[Cantidad]]</f>
        <v>#N/A</v>
      </c>
      <c r="T4077" s="369" t="str">
        <f>VLOOKUP(Tabla4[[#This Row],[Producto]],Tabla6[#All],14,FALSE)</f>
        <v>Termico Solar</v>
      </c>
      <c r="U4077" s="284" t="e">
        <f>(IF(Tabla4[[#This Row],[Familia]]="termico solar",Tabla4[[#This Row],[Utilidad Total]]*6%,Tabla4[[#This Row],[Utilidad Total]]*11.5%))/Tabla4[[#This Row],[Total]]</f>
        <v>#N/A</v>
      </c>
      <c r="V4077" s="282" t="e">
        <f>+Tabla4[[#This Row],[Comisión Calculada]]*Tabla4[[#This Row],[Total]]</f>
        <v>#N/A</v>
      </c>
    </row>
    <row r="4078" spans="1:22" hidden="1" x14ac:dyDescent="0.25">
      <c r="A4078" s="100">
        <v>45838</v>
      </c>
      <c r="B4078" t="str">
        <f t="shared" si="201"/>
        <v>June</v>
      </c>
      <c r="C4078" s="46" t="s">
        <v>280</v>
      </c>
      <c r="F4078" s="366" t="s">
        <v>2244</v>
      </c>
      <c r="G4078" s="46" t="s">
        <v>16</v>
      </c>
      <c r="H4078" s="46">
        <v>1</v>
      </c>
      <c r="I4078" s="51">
        <v>4103.8500000000004</v>
      </c>
      <c r="J4078" s="281">
        <f>++Tabla4[[#This Row],[Precio Bruto]]*1.16</f>
        <v>4760.4660000000003</v>
      </c>
      <c r="K4078" s="281">
        <f>+Tabla4[[#This Row],[Precio Unitario Neto]]*Tabla4[[#Headers],[20.85%]]</f>
        <v>992.55716100000006</v>
      </c>
      <c r="L4078" s="282">
        <f>++Tabla4[[#This Row],[Precio Unitario Neto]]-Tabla4[[#This Row],[20.85%]]</f>
        <v>3767.9088390000002</v>
      </c>
      <c r="M4078" s="282" t="e">
        <f>(INDEX(Tabla6[#All],MATCH(Tabla4[[#This Row],[Producto]],Tabla6[[#All],[PRODUCTO]],0),MATCH(Tabla4[[#This Row],[Mes]],Tabla6[#Headers],0)))*(1+Catalogos!$L$2)</f>
        <v>#N/A</v>
      </c>
      <c r="N4078" s="283" t="e">
        <f>+(Tabla4[[#This Row],[Precio Descontado]]-Tabla4[[#This Row],[Precio Base]])*Tabla4[[#This Row],[Cantidad]]</f>
        <v>#N/A</v>
      </c>
      <c r="O4078" s="284" t="e">
        <f>++Tabla4[[#This Row],[Utilidad Total]]/Tabla4[[#This Row],[Total]]</f>
        <v>#N/A</v>
      </c>
      <c r="P4078" s="282">
        <f>++Tabla4[[#This Row],[Precio Descontado]]*Tabla4[[#This Row],[Cantidad]]</f>
        <v>3767.9088390000002</v>
      </c>
      <c r="Q4078" s="282" t="e">
        <f>(INDEX(Tabla6[#All],MATCH(Tabla4[[#This Row],[Producto]],Tabla6[[#All],[PRODUCTO]],0),MATCH(Tabla4[[#This Row],[Mes]],Tabla6[#Headers],0)))</f>
        <v>#N/A</v>
      </c>
      <c r="R4078" s="282" t="e">
        <f>++Tabla4[[#This Row],[Precio Unitario Neto]]-Tabla4[[#This Row],[20.85%]]-Tabla4[[#This Row],[Costo]]</f>
        <v>#N/A</v>
      </c>
      <c r="S4078" s="282" t="e">
        <f>++Tabla4[[#This Row],[U. Bruta Uni]]*Tabla4[[#This Row],[Cantidad]]</f>
        <v>#N/A</v>
      </c>
      <c r="T4078" s="369" t="str">
        <f>VLOOKUP(Tabla4[[#This Row],[Producto]],Tabla6[#All],14,FALSE)</f>
        <v>Termico Solar</v>
      </c>
      <c r="U4078" s="284" t="e">
        <f>(IF(Tabla4[[#This Row],[Familia]]="termico solar",Tabla4[[#This Row],[Utilidad Total]]*6%,Tabla4[[#This Row],[Utilidad Total]]*11.5%))/Tabla4[[#This Row],[Total]]</f>
        <v>#N/A</v>
      </c>
      <c r="V4078" s="282" t="e">
        <f>+Tabla4[[#This Row],[Comisión Calculada]]*Tabla4[[#This Row],[Total]]</f>
        <v>#N/A</v>
      </c>
    </row>
    <row r="4079" spans="1:22" hidden="1" x14ac:dyDescent="0.25">
      <c r="A4079" s="100">
        <v>45838</v>
      </c>
      <c r="B4079" t="str">
        <f t="shared" si="201"/>
        <v>June</v>
      </c>
      <c r="C4079" s="46" t="s">
        <v>280</v>
      </c>
      <c r="F4079" s="366" t="s">
        <v>2245</v>
      </c>
      <c r="G4079" s="46" t="s">
        <v>18</v>
      </c>
      <c r="H4079" s="46">
        <v>2</v>
      </c>
      <c r="I4079" s="51">
        <v>5367.65</v>
      </c>
      <c r="J4079" s="281">
        <f>++Tabla4[[#This Row],[Precio Bruto]]*1.16</f>
        <v>6226.4739999999993</v>
      </c>
      <c r="K4079" s="281">
        <f>+Tabla4[[#This Row],[Precio Unitario Neto]]*Tabla4[[#Headers],[20.85%]]</f>
        <v>1298.2198289999999</v>
      </c>
      <c r="L4079" s="282">
        <f>++Tabla4[[#This Row],[Precio Unitario Neto]]-Tabla4[[#This Row],[20.85%]]</f>
        <v>4928.2541709999996</v>
      </c>
      <c r="M4079" s="282" t="e">
        <f>(INDEX(Tabla6[#All],MATCH(Tabla4[[#This Row],[Producto]],Tabla6[[#All],[PRODUCTO]],0),MATCH(Tabla4[[#This Row],[Mes]],Tabla6[#Headers],0)))*(1+Catalogos!$L$2)</f>
        <v>#N/A</v>
      </c>
      <c r="N4079" s="283" t="e">
        <f>+(Tabla4[[#This Row],[Precio Descontado]]-Tabla4[[#This Row],[Precio Base]])*Tabla4[[#This Row],[Cantidad]]</f>
        <v>#N/A</v>
      </c>
      <c r="O4079" s="284" t="e">
        <f>++Tabla4[[#This Row],[Utilidad Total]]/Tabla4[[#This Row],[Total]]</f>
        <v>#N/A</v>
      </c>
      <c r="P4079" s="282">
        <f>++Tabla4[[#This Row],[Precio Descontado]]*Tabla4[[#This Row],[Cantidad]]</f>
        <v>9856.5083419999992</v>
      </c>
      <c r="Q4079" s="282" t="e">
        <f>(INDEX(Tabla6[#All],MATCH(Tabla4[[#This Row],[Producto]],Tabla6[[#All],[PRODUCTO]],0),MATCH(Tabla4[[#This Row],[Mes]],Tabla6[#Headers],0)))</f>
        <v>#N/A</v>
      </c>
      <c r="R4079" s="282" t="e">
        <f>++Tabla4[[#This Row],[Precio Unitario Neto]]-Tabla4[[#This Row],[20.85%]]-Tabla4[[#This Row],[Costo]]</f>
        <v>#N/A</v>
      </c>
      <c r="S4079" s="282" t="e">
        <f>++Tabla4[[#This Row],[U. Bruta Uni]]*Tabla4[[#This Row],[Cantidad]]</f>
        <v>#N/A</v>
      </c>
      <c r="T4079" s="369" t="str">
        <f>VLOOKUP(Tabla4[[#This Row],[Producto]],Tabla6[#All],14,FALSE)</f>
        <v>Termico Solar</v>
      </c>
      <c r="U4079" s="284" t="e">
        <f>(IF(Tabla4[[#This Row],[Familia]]="termico solar",Tabla4[[#This Row],[Utilidad Total]]*6%,Tabla4[[#This Row],[Utilidad Total]]*11.5%))/Tabla4[[#This Row],[Total]]</f>
        <v>#N/A</v>
      </c>
      <c r="V4079" s="282" t="e">
        <f>+Tabla4[[#This Row],[Comisión Calculada]]*Tabla4[[#This Row],[Total]]</f>
        <v>#N/A</v>
      </c>
    </row>
    <row r="4080" spans="1:22" hidden="1" x14ac:dyDescent="0.25">
      <c r="A4080" s="100">
        <v>45838</v>
      </c>
      <c r="B4080" t="str">
        <f t="shared" si="201"/>
        <v>June</v>
      </c>
      <c r="C4080" s="46" t="s">
        <v>280</v>
      </c>
      <c r="F4080" s="366" t="s">
        <v>2245</v>
      </c>
      <c r="G4080" s="46" t="s">
        <v>208</v>
      </c>
      <c r="H4080" s="46">
        <v>1</v>
      </c>
      <c r="I4080" s="51">
        <v>189.75</v>
      </c>
      <c r="J4080" s="281">
        <f>++Tabla4[[#This Row],[Precio Bruto]]*1.16</f>
        <v>220.10999999999999</v>
      </c>
      <c r="K4080" s="281">
        <f>+Tabla4[[#This Row],[Precio Unitario Neto]]*Tabla4[[#Headers],[20.85%]]</f>
        <v>45.892934999999994</v>
      </c>
      <c r="L4080" s="282">
        <f>++Tabla4[[#This Row],[Precio Unitario Neto]]-Tabla4[[#This Row],[20.85%]]</f>
        <v>174.21706499999999</v>
      </c>
      <c r="M4080" s="282" t="e">
        <f>(INDEX(Tabla6[#All],MATCH(Tabla4[[#This Row],[Producto]],Tabla6[[#All],[PRODUCTO]],0),MATCH(Tabla4[[#This Row],[Mes]],Tabla6[#Headers],0)))*(1+Catalogos!$L$2)</f>
        <v>#N/A</v>
      </c>
      <c r="N4080" s="283" t="e">
        <f>+(Tabla4[[#This Row],[Precio Descontado]]-Tabla4[[#This Row],[Precio Base]])*Tabla4[[#This Row],[Cantidad]]</f>
        <v>#N/A</v>
      </c>
      <c r="O4080" s="284" t="e">
        <f>++Tabla4[[#This Row],[Utilidad Total]]/Tabla4[[#This Row],[Total]]</f>
        <v>#N/A</v>
      </c>
      <c r="P4080" s="282">
        <f>++Tabla4[[#This Row],[Precio Descontado]]*Tabla4[[#This Row],[Cantidad]]</f>
        <v>174.21706499999999</v>
      </c>
      <c r="Q4080" s="282" t="e">
        <f>(INDEX(Tabla6[#All],MATCH(Tabla4[[#This Row],[Producto]],Tabla6[[#All],[PRODUCTO]],0),MATCH(Tabla4[[#This Row],[Mes]],Tabla6[#Headers],0)))</f>
        <v>#N/A</v>
      </c>
      <c r="R4080" s="282" t="e">
        <f>++Tabla4[[#This Row],[Precio Unitario Neto]]-Tabla4[[#This Row],[20.85%]]-Tabla4[[#This Row],[Costo]]</f>
        <v>#N/A</v>
      </c>
      <c r="S4080" s="282" t="e">
        <f>++Tabla4[[#This Row],[U. Bruta Uni]]*Tabla4[[#This Row],[Cantidad]]</f>
        <v>#N/A</v>
      </c>
      <c r="T4080" s="369" t="str">
        <f>VLOOKUP(Tabla4[[#This Row],[Producto]],Tabla6[#All],14,FALSE)</f>
        <v>Termico Solar</v>
      </c>
      <c r="U4080" s="284" t="e">
        <f>(IF(Tabla4[[#This Row],[Familia]]="termico solar",Tabla4[[#This Row],[Utilidad Total]]*6%,Tabla4[[#This Row],[Utilidad Total]]*11.5%))/Tabla4[[#This Row],[Total]]</f>
        <v>#N/A</v>
      </c>
      <c r="V4080" s="282" t="e">
        <f>+Tabla4[[#This Row],[Comisión Calculada]]*Tabla4[[#This Row],[Total]]</f>
        <v>#N/A</v>
      </c>
    </row>
    <row r="4081" spans="1:22" hidden="1" x14ac:dyDescent="0.25">
      <c r="A4081" s="100">
        <v>45838</v>
      </c>
      <c r="B4081" t="str">
        <f t="shared" si="201"/>
        <v>June</v>
      </c>
      <c r="C4081" s="46" t="s">
        <v>280</v>
      </c>
      <c r="F4081" s="366" t="s">
        <v>2246</v>
      </c>
      <c r="G4081" s="46" t="s">
        <v>566</v>
      </c>
      <c r="H4081" s="46">
        <v>1</v>
      </c>
      <c r="I4081" s="51">
        <v>2109.4499999999998</v>
      </c>
      <c r="J4081" s="281">
        <f>++Tabla4[[#This Row],[Precio Bruto]]*1.16</f>
        <v>2446.9619999999995</v>
      </c>
      <c r="K4081" s="281">
        <f>+Tabla4[[#This Row],[Precio Unitario Neto]]*Tabla4[[#Headers],[20.85%]]</f>
        <v>510.19157699999988</v>
      </c>
      <c r="L4081" s="282">
        <f>++Tabla4[[#This Row],[Precio Unitario Neto]]-Tabla4[[#This Row],[20.85%]]</f>
        <v>1936.7704229999997</v>
      </c>
      <c r="M4081" s="282" t="e">
        <f>(INDEX(Tabla6[#All],MATCH(Tabla4[[#This Row],[Producto]],Tabla6[[#All],[PRODUCTO]],0),MATCH(Tabla4[[#This Row],[Mes]],Tabla6[#Headers],0)))*(1+Catalogos!$L$2)</f>
        <v>#N/A</v>
      </c>
      <c r="N4081" s="283" t="e">
        <f>+(Tabla4[[#This Row],[Precio Descontado]]-Tabla4[[#This Row],[Precio Base]])*Tabla4[[#This Row],[Cantidad]]</f>
        <v>#N/A</v>
      </c>
      <c r="O4081" s="284" t="e">
        <f>++Tabla4[[#This Row],[Utilidad Total]]/Tabla4[[#This Row],[Total]]</f>
        <v>#N/A</v>
      </c>
      <c r="P4081" s="282">
        <f>++Tabla4[[#This Row],[Precio Descontado]]*Tabla4[[#This Row],[Cantidad]]</f>
        <v>1936.7704229999997</v>
      </c>
      <c r="Q4081" s="282" t="e">
        <f>(INDEX(Tabla6[#All],MATCH(Tabla4[[#This Row],[Producto]],Tabla6[[#All],[PRODUCTO]],0),MATCH(Tabla4[[#This Row],[Mes]],Tabla6[#Headers],0)))</f>
        <v>#N/A</v>
      </c>
      <c r="R4081" s="282" t="e">
        <f>++Tabla4[[#This Row],[Precio Unitario Neto]]-Tabla4[[#This Row],[20.85%]]-Tabla4[[#This Row],[Costo]]</f>
        <v>#N/A</v>
      </c>
      <c r="S4081" s="282" t="e">
        <f>++Tabla4[[#This Row],[U. Bruta Uni]]*Tabla4[[#This Row],[Cantidad]]</f>
        <v>#N/A</v>
      </c>
      <c r="T4081" s="369" t="str">
        <f>VLOOKUP(Tabla4[[#This Row],[Producto]],Tabla6[#All],14,FALSE)</f>
        <v>Termico Solar</v>
      </c>
      <c r="U4081" s="284" t="e">
        <f>(IF(Tabla4[[#This Row],[Familia]]="termico solar",Tabla4[[#This Row],[Utilidad Total]]*6%,Tabla4[[#This Row],[Utilidad Total]]*11.5%))/Tabla4[[#This Row],[Total]]</f>
        <v>#N/A</v>
      </c>
      <c r="V4081" s="282" t="e">
        <f>+Tabla4[[#This Row],[Comisión Calculada]]*Tabla4[[#This Row],[Total]]</f>
        <v>#N/A</v>
      </c>
    </row>
    <row r="4082" spans="1:22" hidden="1" x14ac:dyDescent="0.25">
      <c r="A4082" s="100">
        <v>45838</v>
      </c>
      <c r="B4082" t="str">
        <f t="shared" si="201"/>
        <v>June</v>
      </c>
      <c r="C4082" s="46" t="s">
        <v>280</v>
      </c>
      <c r="F4082" s="366" t="s">
        <v>2247</v>
      </c>
      <c r="G4082" s="46" t="s">
        <v>16</v>
      </c>
      <c r="H4082" s="46">
        <v>1</v>
      </c>
      <c r="I4082" s="51">
        <v>4103.8500000000004</v>
      </c>
      <c r="J4082" s="281">
        <f>++Tabla4[[#This Row],[Precio Bruto]]*1.16</f>
        <v>4760.4660000000003</v>
      </c>
      <c r="K4082" s="281">
        <f>+Tabla4[[#This Row],[Precio Unitario Neto]]*Tabla4[[#Headers],[20.85%]]</f>
        <v>992.55716100000006</v>
      </c>
      <c r="L4082" s="282">
        <f>++Tabla4[[#This Row],[Precio Unitario Neto]]-Tabla4[[#This Row],[20.85%]]</f>
        <v>3767.9088390000002</v>
      </c>
      <c r="M4082" s="282" t="e">
        <f>(INDEX(Tabla6[#All],MATCH(Tabla4[[#This Row],[Producto]],Tabla6[[#All],[PRODUCTO]],0),MATCH(Tabla4[[#This Row],[Mes]],Tabla6[#Headers],0)))*(1+Catalogos!$L$2)</f>
        <v>#N/A</v>
      </c>
      <c r="N4082" s="283" t="e">
        <f>+(Tabla4[[#This Row],[Precio Descontado]]-Tabla4[[#This Row],[Precio Base]])*Tabla4[[#This Row],[Cantidad]]</f>
        <v>#N/A</v>
      </c>
      <c r="O4082" s="284" t="e">
        <f>++Tabla4[[#This Row],[Utilidad Total]]/Tabla4[[#This Row],[Total]]</f>
        <v>#N/A</v>
      </c>
      <c r="P4082" s="282">
        <f>++Tabla4[[#This Row],[Precio Descontado]]*Tabla4[[#This Row],[Cantidad]]</f>
        <v>3767.9088390000002</v>
      </c>
      <c r="Q4082" s="282" t="e">
        <f>(INDEX(Tabla6[#All],MATCH(Tabla4[[#This Row],[Producto]],Tabla6[[#All],[PRODUCTO]],0),MATCH(Tabla4[[#This Row],[Mes]],Tabla6[#Headers],0)))</f>
        <v>#N/A</v>
      </c>
      <c r="R4082" s="282" t="e">
        <f>++Tabla4[[#This Row],[Precio Unitario Neto]]-Tabla4[[#This Row],[20.85%]]-Tabla4[[#This Row],[Costo]]</f>
        <v>#N/A</v>
      </c>
      <c r="S4082" s="282" t="e">
        <f>++Tabla4[[#This Row],[U. Bruta Uni]]*Tabla4[[#This Row],[Cantidad]]</f>
        <v>#N/A</v>
      </c>
      <c r="T4082" s="369" t="str">
        <f>VLOOKUP(Tabla4[[#This Row],[Producto]],Tabla6[#All],14,FALSE)</f>
        <v>Termico Solar</v>
      </c>
      <c r="U4082" s="284" t="e">
        <f>(IF(Tabla4[[#This Row],[Familia]]="termico solar",Tabla4[[#This Row],[Utilidad Total]]*6%,Tabla4[[#This Row],[Utilidad Total]]*11.5%))/Tabla4[[#This Row],[Total]]</f>
        <v>#N/A</v>
      </c>
      <c r="V4082" s="282" t="e">
        <f>+Tabla4[[#This Row],[Comisión Calculada]]*Tabla4[[#This Row],[Total]]</f>
        <v>#N/A</v>
      </c>
    </row>
    <row r="4083" spans="1:22" hidden="1" x14ac:dyDescent="0.25">
      <c r="A4083" s="100">
        <v>45838</v>
      </c>
      <c r="B4083" t="str">
        <f t="shared" si="201"/>
        <v>June</v>
      </c>
      <c r="C4083" s="46" t="s">
        <v>280</v>
      </c>
      <c r="F4083" s="366" t="s">
        <v>2248</v>
      </c>
      <c r="G4083" s="46" t="s">
        <v>16</v>
      </c>
      <c r="H4083" s="46">
        <v>2</v>
      </c>
      <c r="I4083" s="51">
        <v>4103.8500000000004</v>
      </c>
      <c r="J4083" s="281">
        <f>++Tabla4[[#This Row],[Precio Bruto]]*1.16</f>
        <v>4760.4660000000003</v>
      </c>
      <c r="K4083" s="281">
        <f>+Tabla4[[#This Row],[Precio Unitario Neto]]*Tabla4[[#Headers],[20.85%]]</f>
        <v>992.55716100000006</v>
      </c>
      <c r="L4083" s="282">
        <f>++Tabla4[[#This Row],[Precio Unitario Neto]]-Tabla4[[#This Row],[20.85%]]</f>
        <v>3767.9088390000002</v>
      </c>
      <c r="M4083" s="282" t="e">
        <f>(INDEX(Tabla6[#All],MATCH(Tabla4[[#This Row],[Producto]],Tabla6[[#All],[PRODUCTO]],0),MATCH(Tabla4[[#This Row],[Mes]],Tabla6[#Headers],0)))*(1+Catalogos!$L$2)</f>
        <v>#N/A</v>
      </c>
      <c r="N4083" s="283" t="e">
        <f>+(Tabla4[[#This Row],[Precio Descontado]]-Tabla4[[#This Row],[Precio Base]])*Tabla4[[#This Row],[Cantidad]]</f>
        <v>#N/A</v>
      </c>
      <c r="O4083" s="284" t="e">
        <f>++Tabla4[[#This Row],[Utilidad Total]]/Tabla4[[#This Row],[Total]]</f>
        <v>#N/A</v>
      </c>
      <c r="P4083" s="282">
        <f>++Tabla4[[#This Row],[Precio Descontado]]*Tabla4[[#This Row],[Cantidad]]</f>
        <v>7535.8176780000003</v>
      </c>
      <c r="Q4083" s="282" t="e">
        <f>(INDEX(Tabla6[#All],MATCH(Tabla4[[#This Row],[Producto]],Tabla6[[#All],[PRODUCTO]],0),MATCH(Tabla4[[#This Row],[Mes]],Tabla6[#Headers],0)))</f>
        <v>#N/A</v>
      </c>
      <c r="R4083" s="282" t="e">
        <f>++Tabla4[[#This Row],[Precio Unitario Neto]]-Tabla4[[#This Row],[20.85%]]-Tabla4[[#This Row],[Costo]]</f>
        <v>#N/A</v>
      </c>
      <c r="S4083" s="282" t="e">
        <f>++Tabla4[[#This Row],[U. Bruta Uni]]*Tabla4[[#This Row],[Cantidad]]</f>
        <v>#N/A</v>
      </c>
      <c r="T4083" s="369" t="str">
        <f>VLOOKUP(Tabla4[[#This Row],[Producto]],Tabla6[#All],14,FALSE)</f>
        <v>Termico Solar</v>
      </c>
      <c r="U4083" s="284" t="e">
        <f>(IF(Tabla4[[#This Row],[Familia]]="termico solar",Tabla4[[#This Row],[Utilidad Total]]*6%,Tabla4[[#This Row],[Utilidad Total]]*11.5%))/Tabla4[[#This Row],[Total]]</f>
        <v>#N/A</v>
      </c>
      <c r="V4083" s="282" t="e">
        <f>+Tabla4[[#This Row],[Comisión Calculada]]*Tabla4[[#This Row],[Total]]</f>
        <v>#N/A</v>
      </c>
    </row>
    <row r="4084" spans="1:22" hidden="1" x14ac:dyDescent="0.25">
      <c r="A4084" s="100">
        <v>45838</v>
      </c>
      <c r="B4084" t="str">
        <f t="shared" si="201"/>
        <v>June</v>
      </c>
      <c r="C4084" s="46" t="s">
        <v>280</v>
      </c>
      <c r="F4084" s="366" t="s">
        <v>2248</v>
      </c>
      <c r="G4084" s="46" t="s">
        <v>208</v>
      </c>
      <c r="H4084" s="46">
        <v>1</v>
      </c>
      <c r="I4084" s="51">
        <v>189.75</v>
      </c>
      <c r="J4084" s="281">
        <f>++Tabla4[[#This Row],[Precio Bruto]]*1.16</f>
        <v>220.10999999999999</v>
      </c>
      <c r="K4084" s="281">
        <f>+Tabla4[[#This Row],[Precio Unitario Neto]]*Tabla4[[#Headers],[20.85%]]</f>
        <v>45.892934999999994</v>
      </c>
      <c r="L4084" s="282">
        <f>++Tabla4[[#This Row],[Precio Unitario Neto]]-Tabla4[[#This Row],[20.85%]]</f>
        <v>174.21706499999999</v>
      </c>
      <c r="M4084" s="282" t="e">
        <f>(INDEX(Tabla6[#All],MATCH(Tabla4[[#This Row],[Producto]],Tabla6[[#All],[PRODUCTO]],0),MATCH(Tabla4[[#This Row],[Mes]],Tabla6[#Headers],0)))*(1+Catalogos!$L$2)</f>
        <v>#N/A</v>
      </c>
      <c r="N4084" s="283" t="e">
        <f>+(Tabla4[[#This Row],[Precio Descontado]]-Tabla4[[#This Row],[Precio Base]])*Tabla4[[#This Row],[Cantidad]]</f>
        <v>#N/A</v>
      </c>
      <c r="O4084" s="284" t="e">
        <f>++Tabla4[[#This Row],[Utilidad Total]]/Tabla4[[#This Row],[Total]]</f>
        <v>#N/A</v>
      </c>
      <c r="P4084" s="282">
        <f>++Tabla4[[#This Row],[Precio Descontado]]*Tabla4[[#This Row],[Cantidad]]</f>
        <v>174.21706499999999</v>
      </c>
      <c r="Q4084" s="282" t="e">
        <f>(INDEX(Tabla6[#All],MATCH(Tabla4[[#This Row],[Producto]],Tabla6[[#All],[PRODUCTO]],0),MATCH(Tabla4[[#This Row],[Mes]],Tabla6[#Headers],0)))</f>
        <v>#N/A</v>
      </c>
      <c r="R4084" s="282" t="e">
        <f>++Tabla4[[#This Row],[Precio Unitario Neto]]-Tabla4[[#This Row],[20.85%]]-Tabla4[[#This Row],[Costo]]</f>
        <v>#N/A</v>
      </c>
      <c r="S4084" s="282" t="e">
        <f>++Tabla4[[#This Row],[U. Bruta Uni]]*Tabla4[[#This Row],[Cantidad]]</f>
        <v>#N/A</v>
      </c>
      <c r="T4084" s="369" t="str">
        <f>VLOOKUP(Tabla4[[#This Row],[Producto]],Tabla6[#All],14,FALSE)</f>
        <v>Termico Solar</v>
      </c>
      <c r="U4084" s="284" t="e">
        <f>(IF(Tabla4[[#This Row],[Familia]]="termico solar",Tabla4[[#This Row],[Utilidad Total]]*6%,Tabla4[[#This Row],[Utilidad Total]]*11.5%))/Tabla4[[#This Row],[Total]]</f>
        <v>#N/A</v>
      </c>
      <c r="V4084" s="282" t="e">
        <f>+Tabla4[[#This Row],[Comisión Calculada]]*Tabla4[[#This Row],[Total]]</f>
        <v>#N/A</v>
      </c>
    </row>
    <row r="4085" spans="1:22" hidden="1" x14ac:dyDescent="0.25">
      <c r="A4085" s="100">
        <v>45838</v>
      </c>
      <c r="B4085" t="str">
        <f t="shared" ref="B4085:B4093" si="202">TEXT(A4085, "mmmm")</f>
        <v>June</v>
      </c>
      <c r="C4085" s="46" t="s">
        <v>280</v>
      </c>
      <c r="F4085" s="366" t="s">
        <v>2249</v>
      </c>
      <c r="G4085" s="46" t="s">
        <v>83</v>
      </c>
      <c r="H4085" s="46">
        <v>7</v>
      </c>
      <c r="I4085" s="51">
        <v>8858.76</v>
      </c>
      <c r="J4085" s="281">
        <f>++Tabla4[[#This Row],[Precio Bruto]]*1.16</f>
        <v>10276.161599999999</v>
      </c>
      <c r="K4085" s="281">
        <f>+Tabla4[[#This Row],[Precio Unitario Neto]]*Tabla4[[#Headers],[20.85%]]</f>
        <v>2142.5796935999997</v>
      </c>
      <c r="L4085" s="282">
        <f>++Tabla4[[#This Row],[Precio Unitario Neto]]-Tabla4[[#This Row],[20.85%]]</f>
        <v>8133.5819063999998</v>
      </c>
      <c r="M4085" s="282" t="e">
        <f>(INDEX(Tabla6[#All],MATCH(Tabla4[[#This Row],[Producto]],Tabla6[[#All],[PRODUCTO]],0),MATCH(Tabla4[[#This Row],[Mes]],Tabla6[#Headers],0)))*(1+Catalogos!$L$2)</f>
        <v>#N/A</v>
      </c>
      <c r="N4085" s="283" t="e">
        <f>+(Tabla4[[#This Row],[Precio Descontado]]-Tabla4[[#This Row],[Precio Base]])*Tabla4[[#This Row],[Cantidad]]</f>
        <v>#N/A</v>
      </c>
      <c r="O4085" s="284" t="e">
        <f>++Tabla4[[#This Row],[Utilidad Total]]/Tabla4[[#This Row],[Total]]</f>
        <v>#N/A</v>
      </c>
      <c r="P4085" s="282">
        <f>++Tabla4[[#This Row],[Precio Descontado]]*Tabla4[[#This Row],[Cantidad]]</f>
        <v>56935.073344799996</v>
      </c>
      <c r="Q4085" s="282" t="e">
        <f>(INDEX(Tabla6[#All],MATCH(Tabla4[[#This Row],[Producto]],Tabla6[[#All],[PRODUCTO]],0),MATCH(Tabla4[[#This Row],[Mes]],Tabla6[#Headers],0)))</f>
        <v>#N/A</v>
      </c>
      <c r="R4085" s="282" t="e">
        <f>++Tabla4[[#This Row],[Precio Unitario Neto]]-Tabla4[[#This Row],[20.85%]]-Tabla4[[#This Row],[Costo]]</f>
        <v>#N/A</v>
      </c>
      <c r="S4085" s="282" t="e">
        <f>++Tabla4[[#This Row],[U. Bruta Uni]]*Tabla4[[#This Row],[Cantidad]]</f>
        <v>#N/A</v>
      </c>
      <c r="T4085" s="369" t="str">
        <f>VLOOKUP(Tabla4[[#This Row],[Producto]],Tabla6[#All],14,FALSE)</f>
        <v>Termico Solar</v>
      </c>
      <c r="U4085" s="284" t="e">
        <f>(IF(Tabla4[[#This Row],[Familia]]="termico solar",Tabla4[[#This Row],[Utilidad Total]]*6%,Tabla4[[#This Row],[Utilidad Total]]*11.5%))/Tabla4[[#This Row],[Total]]</f>
        <v>#N/A</v>
      </c>
      <c r="V4085" s="282" t="e">
        <f>+Tabla4[[#This Row],[Comisión Calculada]]*Tabla4[[#This Row],[Total]]</f>
        <v>#N/A</v>
      </c>
    </row>
    <row r="4086" spans="1:22" hidden="1" x14ac:dyDescent="0.25">
      <c r="A4086" s="100">
        <v>45838</v>
      </c>
      <c r="B4086" t="str">
        <f t="shared" si="202"/>
        <v>June</v>
      </c>
      <c r="C4086" s="46" t="s">
        <v>280</v>
      </c>
      <c r="F4086" s="366" t="s">
        <v>2249</v>
      </c>
      <c r="G4086" s="46" t="s">
        <v>17</v>
      </c>
      <c r="H4086" s="46">
        <v>5</v>
      </c>
      <c r="I4086" s="51">
        <v>4622.2800000000007</v>
      </c>
      <c r="J4086" s="281">
        <f>++Tabla4[[#This Row],[Precio Bruto]]*1.16</f>
        <v>5361.8448000000008</v>
      </c>
      <c r="K4086" s="281">
        <f>+Tabla4[[#This Row],[Precio Unitario Neto]]*Tabla4[[#Headers],[20.85%]]</f>
        <v>1117.9446408000001</v>
      </c>
      <c r="L4086" s="282">
        <f>++Tabla4[[#This Row],[Precio Unitario Neto]]-Tabla4[[#This Row],[20.85%]]</f>
        <v>4243.9001592000004</v>
      </c>
      <c r="M4086" s="282" t="e">
        <f>(INDEX(Tabla6[#All],MATCH(Tabla4[[#This Row],[Producto]],Tabla6[[#All],[PRODUCTO]],0),MATCH(Tabla4[[#This Row],[Mes]],Tabla6[#Headers],0)))*(1+Catalogos!$L$2)</f>
        <v>#N/A</v>
      </c>
      <c r="N4086" s="283" t="e">
        <f>+(Tabla4[[#This Row],[Precio Descontado]]-Tabla4[[#This Row],[Precio Base]])*Tabla4[[#This Row],[Cantidad]]</f>
        <v>#N/A</v>
      </c>
      <c r="O4086" s="284" t="e">
        <f>++Tabla4[[#This Row],[Utilidad Total]]/Tabla4[[#This Row],[Total]]</f>
        <v>#N/A</v>
      </c>
      <c r="P4086" s="282">
        <f>++Tabla4[[#This Row],[Precio Descontado]]*Tabla4[[#This Row],[Cantidad]]</f>
        <v>21219.500796</v>
      </c>
      <c r="Q4086" s="282" t="e">
        <f>(INDEX(Tabla6[#All],MATCH(Tabla4[[#This Row],[Producto]],Tabla6[[#All],[PRODUCTO]],0),MATCH(Tabla4[[#This Row],[Mes]],Tabla6[#Headers],0)))</f>
        <v>#N/A</v>
      </c>
      <c r="R4086" s="282" t="e">
        <f>++Tabla4[[#This Row],[Precio Unitario Neto]]-Tabla4[[#This Row],[20.85%]]-Tabla4[[#This Row],[Costo]]</f>
        <v>#N/A</v>
      </c>
      <c r="S4086" s="282" t="e">
        <f>++Tabla4[[#This Row],[U. Bruta Uni]]*Tabla4[[#This Row],[Cantidad]]</f>
        <v>#N/A</v>
      </c>
      <c r="T4086" s="369" t="str">
        <f>VLOOKUP(Tabla4[[#This Row],[Producto]],Tabla6[#All],14,FALSE)</f>
        <v>Termico Solar</v>
      </c>
      <c r="U4086" s="284" t="e">
        <f>(IF(Tabla4[[#This Row],[Familia]]="termico solar",Tabla4[[#This Row],[Utilidad Total]]*6%,Tabla4[[#This Row],[Utilidad Total]]*11.5%))/Tabla4[[#This Row],[Total]]</f>
        <v>#N/A</v>
      </c>
      <c r="V4086" s="282" t="e">
        <f>+Tabla4[[#This Row],[Comisión Calculada]]*Tabla4[[#This Row],[Total]]</f>
        <v>#N/A</v>
      </c>
    </row>
    <row r="4087" spans="1:22" hidden="1" x14ac:dyDescent="0.25">
      <c r="A4087" s="100">
        <v>45838</v>
      </c>
      <c r="B4087" t="str">
        <f t="shared" si="202"/>
        <v>June</v>
      </c>
      <c r="C4087" s="46" t="s">
        <v>280</v>
      </c>
      <c r="F4087" s="366" t="s">
        <v>2249</v>
      </c>
      <c r="G4087" s="46" t="s">
        <v>394</v>
      </c>
      <c r="H4087" s="46">
        <v>9</v>
      </c>
      <c r="I4087" s="51">
        <v>108.1</v>
      </c>
      <c r="J4087" s="281">
        <f>++Tabla4[[#This Row],[Precio Bruto]]*1.16</f>
        <v>125.39599999999999</v>
      </c>
      <c r="K4087" s="281">
        <f>+Tabla4[[#This Row],[Precio Unitario Neto]]*Tabla4[[#Headers],[20.85%]]</f>
        <v>26.145065999999996</v>
      </c>
      <c r="L4087" s="282">
        <f>++Tabla4[[#This Row],[Precio Unitario Neto]]-Tabla4[[#This Row],[20.85%]]</f>
        <v>99.250933999999987</v>
      </c>
      <c r="M4087" s="282" t="e">
        <f>(INDEX(Tabla6[#All],MATCH(Tabla4[[#This Row],[Producto]],Tabla6[[#All],[PRODUCTO]],0),MATCH(Tabla4[[#This Row],[Mes]],Tabla6[#Headers],0)))*(1+Catalogos!$L$2)</f>
        <v>#N/A</v>
      </c>
      <c r="N4087" s="283" t="e">
        <f>+(Tabla4[[#This Row],[Precio Descontado]]-Tabla4[[#This Row],[Precio Base]])*Tabla4[[#This Row],[Cantidad]]</f>
        <v>#N/A</v>
      </c>
      <c r="O4087" s="284" t="e">
        <f>++Tabla4[[#This Row],[Utilidad Total]]/Tabla4[[#This Row],[Total]]</f>
        <v>#N/A</v>
      </c>
      <c r="P4087" s="282">
        <f>++Tabla4[[#This Row],[Precio Descontado]]*Tabla4[[#This Row],[Cantidad]]</f>
        <v>893.25840599999992</v>
      </c>
      <c r="Q4087" s="282" t="e">
        <f>(INDEX(Tabla6[#All],MATCH(Tabla4[[#This Row],[Producto]],Tabla6[[#All],[PRODUCTO]],0),MATCH(Tabla4[[#This Row],[Mes]],Tabla6[#Headers],0)))</f>
        <v>#N/A</v>
      </c>
      <c r="R4087" s="282" t="e">
        <f>++Tabla4[[#This Row],[Precio Unitario Neto]]-Tabla4[[#This Row],[20.85%]]-Tabla4[[#This Row],[Costo]]</f>
        <v>#N/A</v>
      </c>
      <c r="S4087" s="282" t="e">
        <f>++Tabla4[[#This Row],[U. Bruta Uni]]*Tabla4[[#This Row],[Cantidad]]</f>
        <v>#N/A</v>
      </c>
      <c r="T4087" s="369" t="str">
        <f>VLOOKUP(Tabla4[[#This Row],[Producto]],Tabla6[#All],14,FALSE)</f>
        <v>Termico Solar</v>
      </c>
      <c r="U4087" s="284" t="e">
        <f>(IF(Tabla4[[#This Row],[Familia]]="termico solar",Tabla4[[#This Row],[Utilidad Total]]*6%,Tabla4[[#This Row],[Utilidad Total]]*11.5%))/Tabla4[[#This Row],[Total]]</f>
        <v>#N/A</v>
      </c>
      <c r="V4087" s="282" t="e">
        <f>+Tabla4[[#This Row],[Comisión Calculada]]*Tabla4[[#This Row],[Total]]</f>
        <v>#N/A</v>
      </c>
    </row>
    <row r="4088" spans="1:22" hidden="1" x14ac:dyDescent="0.25">
      <c r="A4088" s="100">
        <v>45838</v>
      </c>
      <c r="B4088" t="str">
        <f t="shared" si="202"/>
        <v>June</v>
      </c>
      <c r="C4088" s="46" t="s">
        <v>280</v>
      </c>
      <c r="F4088" s="366" t="s">
        <v>2249</v>
      </c>
      <c r="G4088" s="46" t="s">
        <v>16</v>
      </c>
      <c r="H4088" s="46">
        <v>2</v>
      </c>
      <c r="I4088" s="51">
        <v>4103.8500000000004</v>
      </c>
      <c r="J4088" s="281">
        <f>++Tabla4[[#This Row],[Precio Bruto]]*1.16</f>
        <v>4760.4660000000003</v>
      </c>
      <c r="K4088" s="281">
        <f>+Tabla4[[#This Row],[Precio Unitario Neto]]*Tabla4[[#Headers],[20.85%]]</f>
        <v>992.55716100000006</v>
      </c>
      <c r="L4088" s="282">
        <f>++Tabla4[[#This Row],[Precio Unitario Neto]]-Tabla4[[#This Row],[20.85%]]</f>
        <v>3767.9088390000002</v>
      </c>
      <c r="M4088" s="282" t="e">
        <f>(INDEX(Tabla6[#All],MATCH(Tabla4[[#This Row],[Producto]],Tabla6[[#All],[PRODUCTO]],0),MATCH(Tabla4[[#This Row],[Mes]],Tabla6[#Headers],0)))*(1+Catalogos!$L$2)</f>
        <v>#N/A</v>
      </c>
      <c r="N4088" s="283" t="e">
        <f>+(Tabla4[[#This Row],[Precio Descontado]]-Tabla4[[#This Row],[Precio Base]])*Tabla4[[#This Row],[Cantidad]]</f>
        <v>#N/A</v>
      </c>
      <c r="O4088" s="284" t="e">
        <f>++Tabla4[[#This Row],[Utilidad Total]]/Tabla4[[#This Row],[Total]]</f>
        <v>#N/A</v>
      </c>
      <c r="P4088" s="282">
        <f>++Tabla4[[#This Row],[Precio Descontado]]*Tabla4[[#This Row],[Cantidad]]</f>
        <v>7535.8176780000003</v>
      </c>
      <c r="Q4088" s="282" t="e">
        <f>(INDEX(Tabla6[#All],MATCH(Tabla4[[#This Row],[Producto]],Tabla6[[#All],[PRODUCTO]],0),MATCH(Tabla4[[#This Row],[Mes]],Tabla6[#Headers],0)))</f>
        <v>#N/A</v>
      </c>
      <c r="R4088" s="282" t="e">
        <f>++Tabla4[[#This Row],[Precio Unitario Neto]]-Tabla4[[#This Row],[20.85%]]-Tabla4[[#This Row],[Costo]]</f>
        <v>#N/A</v>
      </c>
      <c r="S4088" s="282" t="e">
        <f>++Tabla4[[#This Row],[U. Bruta Uni]]*Tabla4[[#This Row],[Cantidad]]</f>
        <v>#N/A</v>
      </c>
      <c r="T4088" s="369" t="str">
        <f>VLOOKUP(Tabla4[[#This Row],[Producto]],Tabla6[#All],14,FALSE)</f>
        <v>Termico Solar</v>
      </c>
      <c r="U4088" s="284" t="e">
        <f>(IF(Tabla4[[#This Row],[Familia]]="termico solar",Tabla4[[#This Row],[Utilidad Total]]*6%,Tabla4[[#This Row],[Utilidad Total]]*11.5%))/Tabla4[[#This Row],[Total]]</f>
        <v>#N/A</v>
      </c>
      <c r="V4088" s="282" t="e">
        <f>+Tabla4[[#This Row],[Comisión Calculada]]*Tabla4[[#This Row],[Total]]</f>
        <v>#N/A</v>
      </c>
    </row>
    <row r="4089" spans="1:22" hidden="1" x14ac:dyDescent="0.25">
      <c r="A4089" s="100">
        <v>45838</v>
      </c>
      <c r="B4089" t="str">
        <f t="shared" si="202"/>
        <v>June</v>
      </c>
      <c r="C4089" s="46" t="s">
        <v>280</v>
      </c>
      <c r="F4089" s="366" t="s">
        <v>2249</v>
      </c>
      <c r="G4089" s="46" t="s">
        <v>394</v>
      </c>
      <c r="H4089" s="46">
        <v>16</v>
      </c>
      <c r="I4089" s="51">
        <v>224.29</v>
      </c>
      <c r="J4089" s="281">
        <f>++Tabla4[[#This Row],[Precio Bruto]]*1.16</f>
        <v>260.1764</v>
      </c>
      <c r="K4089" s="281">
        <f>+Tabla4[[#This Row],[Precio Unitario Neto]]*Tabla4[[#Headers],[20.85%]]</f>
        <v>54.246779400000001</v>
      </c>
      <c r="L4089" s="282">
        <f>++Tabla4[[#This Row],[Precio Unitario Neto]]-Tabla4[[#This Row],[20.85%]]</f>
        <v>205.92962059999999</v>
      </c>
      <c r="M4089" s="282" t="e">
        <f>(INDEX(Tabla6[#All],MATCH(Tabla4[[#This Row],[Producto]],Tabla6[[#All],[PRODUCTO]],0),MATCH(Tabla4[[#This Row],[Mes]],Tabla6[#Headers],0)))*(1+Catalogos!$L$2)</f>
        <v>#N/A</v>
      </c>
      <c r="N4089" s="283" t="e">
        <f>+(Tabla4[[#This Row],[Precio Descontado]]-Tabla4[[#This Row],[Precio Base]])*Tabla4[[#This Row],[Cantidad]]</f>
        <v>#N/A</v>
      </c>
      <c r="O4089" s="284" t="e">
        <f>++Tabla4[[#This Row],[Utilidad Total]]/Tabla4[[#This Row],[Total]]</f>
        <v>#N/A</v>
      </c>
      <c r="P4089" s="282">
        <f>++Tabla4[[#This Row],[Precio Descontado]]*Tabla4[[#This Row],[Cantidad]]</f>
        <v>3294.8739295999999</v>
      </c>
      <c r="Q4089" s="282" t="e">
        <f>(INDEX(Tabla6[#All],MATCH(Tabla4[[#This Row],[Producto]],Tabla6[[#All],[PRODUCTO]],0),MATCH(Tabla4[[#This Row],[Mes]],Tabla6[#Headers],0)))</f>
        <v>#N/A</v>
      </c>
      <c r="R4089" s="282" t="e">
        <f>++Tabla4[[#This Row],[Precio Unitario Neto]]-Tabla4[[#This Row],[20.85%]]-Tabla4[[#This Row],[Costo]]</f>
        <v>#N/A</v>
      </c>
      <c r="S4089" s="282" t="e">
        <f>++Tabla4[[#This Row],[U. Bruta Uni]]*Tabla4[[#This Row],[Cantidad]]</f>
        <v>#N/A</v>
      </c>
      <c r="T4089" s="369" t="str">
        <f>VLOOKUP(Tabla4[[#This Row],[Producto]],Tabla6[#All],14,FALSE)</f>
        <v>Termico Solar</v>
      </c>
      <c r="U4089" s="284" t="e">
        <f>(IF(Tabla4[[#This Row],[Familia]]="termico solar",Tabla4[[#This Row],[Utilidad Total]]*6%,Tabla4[[#This Row],[Utilidad Total]]*11.5%))/Tabla4[[#This Row],[Total]]</f>
        <v>#N/A</v>
      </c>
      <c r="V4089" s="282" t="e">
        <f>+Tabla4[[#This Row],[Comisión Calculada]]*Tabla4[[#This Row],[Total]]</f>
        <v>#N/A</v>
      </c>
    </row>
    <row r="4090" spans="1:22" hidden="1" x14ac:dyDescent="0.25">
      <c r="A4090" s="100">
        <v>45838</v>
      </c>
      <c r="B4090" t="str">
        <f t="shared" si="202"/>
        <v>June</v>
      </c>
      <c r="C4090" s="46" t="s">
        <v>280</v>
      </c>
      <c r="F4090" s="366" t="s">
        <v>2249</v>
      </c>
      <c r="G4090" s="46" t="s">
        <v>200</v>
      </c>
      <c r="H4090" s="46">
        <v>12</v>
      </c>
      <c r="I4090" s="51">
        <v>393.22</v>
      </c>
      <c r="J4090" s="281">
        <f>++Tabla4[[#This Row],[Precio Bruto]]*1.16</f>
        <v>456.1352</v>
      </c>
      <c r="K4090" s="281">
        <f>+Tabla4[[#This Row],[Precio Unitario Neto]]*Tabla4[[#Headers],[20.85%]]</f>
        <v>95.104189199999993</v>
      </c>
      <c r="L4090" s="282">
        <f>++Tabla4[[#This Row],[Precio Unitario Neto]]-Tabla4[[#This Row],[20.85%]]</f>
        <v>361.03101079999999</v>
      </c>
      <c r="M4090" s="282" t="e">
        <f>(INDEX(Tabla6[#All],MATCH(Tabla4[[#This Row],[Producto]],Tabla6[[#All],[PRODUCTO]],0),MATCH(Tabla4[[#This Row],[Mes]],Tabla6[#Headers],0)))*(1+Catalogos!$L$2)</f>
        <v>#N/A</v>
      </c>
      <c r="N4090" s="283" t="e">
        <f>+(Tabla4[[#This Row],[Precio Descontado]]-Tabla4[[#This Row],[Precio Base]])*Tabla4[[#This Row],[Cantidad]]</f>
        <v>#N/A</v>
      </c>
      <c r="O4090" s="284" t="e">
        <f>++Tabla4[[#This Row],[Utilidad Total]]/Tabla4[[#This Row],[Total]]</f>
        <v>#N/A</v>
      </c>
      <c r="P4090" s="282">
        <f>++Tabla4[[#This Row],[Precio Descontado]]*Tabla4[[#This Row],[Cantidad]]</f>
        <v>4332.3721296000003</v>
      </c>
      <c r="Q4090" s="282" t="e">
        <f>(INDEX(Tabla6[#All],MATCH(Tabla4[[#This Row],[Producto]],Tabla6[[#All],[PRODUCTO]],0),MATCH(Tabla4[[#This Row],[Mes]],Tabla6[#Headers],0)))</f>
        <v>#N/A</v>
      </c>
      <c r="R4090" s="282" t="e">
        <f>++Tabla4[[#This Row],[Precio Unitario Neto]]-Tabla4[[#This Row],[20.85%]]-Tabla4[[#This Row],[Costo]]</f>
        <v>#N/A</v>
      </c>
      <c r="S4090" s="282" t="e">
        <f>++Tabla4[[#This Row],[U. Bruta Uni]]*Tabla4[[#This Row],[Cantidad]]</f>
        <v>#N/A</v>
      </c>
      <c r="T4090" s="369" t="str">
        <f>VLOOKUP(Tabla4[[#This Row],[Producto]],Tabla6[#All],14,FALSE)</f>
        <v>Termico Solar</v>
      </c>
      <c r="U4090" s="284" t="e">
        <f>(IF(Tabla4[[#This Row],[Familia]]="termico solar",Tabla4[[#This Row],[Utilidad Total]]*6%,Tabla4[[#This Row],[Utilidad Total]]*11.5%))/Tabla4[[#This Row],[Total]]</f>
        <v>#N/A</v>
      </c>
      <c r="V4090" s="282" t="e">
        <f>+Tabla4[[#This Row],[Comisión Calculada]]*Tabla4[[#This Row],[Total]]</f>
        <v>#N/A</v>
      </c>
    </row>
    <row r="4091" spans="1:22" hidden="1" x14ac:dyDescent="0.25">
      <c r="A4091" s="100">
        <v>45838</v>
      </c>
      <c r="B4091" t="str">
        <f t="shared" si="202"/>
        <v>June</v>
      </c>
      <c r="C4091" s="46" t="s">
        <v>280</v>
      </c>
      <c r="F4091" s="366" t="s">
        <v>2249</v>
      </c>
      <c r="G4091" s="46" t="s">
        <v>545</v>
      </c>
      <c r="H4091" s="46">
        <v>24</v>
      </c>
      <c r="I4091" s="51">
        <v>304.32</v>
      </c>
      <c r="J4091" s="281">
        <f>++Tabla4[[#This Row],[Precio Bruto]]*1.16</f>
        <v>353.01119999999997</v>
      </c>
      <c r="K4091" s="281">
        <f>+Tabla4[[#This Row],[Precio Unitario Neto]]*Tabla4[[#Headers],[20.85%]]</f>
        <v>73.602835199999987</v>
      </c>
      <c r="L4091" s="282">
        <f>++Tabla4[[#This Row],[Precio Unitario Neto]]-Tabla4[[#This Row],[20.85%]]</f>
        <v>279.40836479999996</v>
      </c>
      <c r="M4091" s="282" t="e">
        <f>(INDEX(Tabla6[#All],MATCH(Tabla4[[#This Row],[Producto]],Tabla6[[#All],[PRODUCTO]],0),MATCH(Tabla4[[#This Row],[Mes]],Tabla6[#Headers],0)))*(1+Catalogos!$L$2)</f>
        <v>#N/A</v>
      </c>
      <c r="N4091" s="283" t="e">
        <f>+(Tabla4[[#This Row],[Precio Descontado]]-Tabla4[[#This Row],[Precio Base]])*Tabla4[[#This Row],[Cantidad]]</f>
        <v>#N/A</v>
      </c>
      <c r="O4091" s="284" t="e">
        <f>++Tabla4[[#This Row],[Utilidad Total]]/Tabla4[[#This Row],[Total]]</f>
        <v>#N/A</v>
      </c>
      <c r="P4091" s="282">
        <f>++Tabla4[[#This Row],[Precio Descontado]]*Tabla4[[#This Row],[Cantidad]]</f>
        <v>6705.800755199999</v>
      </c>
      <c r="Q4091" s="282" t="e">
        <f>(INDEX(Tabla6[#All],MATCH(Tabla4[[#This Row],[Producto]],Tabla6[[#All],[PRODUCTO]],0),MATCH(Tabla4[[#This Row],[Mes]],Tabla6[#Headers],0)))</f>
        <v>#N/A</v>
      </c>
      <c r="R4091" s="282" t="e">
        <f>++Tabla4[[#This Row],[Precio Unitario Neto]]-Tabla4[[#This Row],[20.85%]]-Tabla4[[#This Row],[Costo]]</f>
        <v>#N/A</v>
      </c>
      <c r="S4091" s="282" t="e">
        <f>++Tabla4[[#This Row],[U. Bruta Uni]]*Tabla4[[#This Row],[Cantidad]]</f>
        <v>#N/A</v>
      </c>
      <c r="T4091" s="369" t="str">
        <f>VLOOKUP(Tabla4[[#This Row],[Producto]],Tabla6[#All],14,FALSE)</f>
        <v>Termico Solar</v>
      </c>
      <c r="U4091" s="284" t="e">
        <f>(IF(Tabla4[[#This Row],[Familia]]="termico solar",Tabla4[[#This Row],[Utilidad Total]]*6%,Tabla4[[#This Row],[Utilidad Total]]*11.5%))/Tabla4[[#This Row],[Total]]</f>
        <v>#N/A</v>
      </c>
      <c r="V4091" s="282" t="e">
        <f>+Tabla4[[#This Row],[Comisión Calculada]]*Tabla4[[#This Row],[Total]]</f>
        <v>#N/A</v>
      </c>
    </row>
    <row r="4092" spans="1:22" hidden="1" x14ac:dyDescent="0.25">
      <c r="A4092" s="100">
        <v>45838</v>
      </c>
      <c r="B4092" t="str">
        <f t="shared" si="202"/>
        <v>June</v>
      </c>
      <c r="C4092" s="46" t="s">
        <v>280</v>
      </c>
      <c r="F4092" s="366" t="s">
        <v>2249</v>
      </c>
      <c r="G4092" s="46" t="s">
        <v>208</v>
      </c>
      <c r="H4092" s="46">
        <v>7</v>
      </c>
      <c r="I4092" s="51">
        <v>189.75</v>
      </c>
      <c r="J4092" s="281">
        <f>++Tabla4[[#This Row],[Precio Bruto]]*1.16</f>
        <v>220.10999999999999</v>
      </c>
      <c r="K4092" s="281">
        <f>+Tabla4[[#This Row],[Precio Unitario Neto]]*Tabla4[[#Headers],[20.85%]]</f>
        <v>45.892934999999994</v>
      </c>
      <c r="L4092" s="282">
        <f>++Tabla4[[#This Row],[Precio Unitario Neto]]-Tabla4[[#This Row],[20.85%]]</f>
        <v>174.21706499999999</v>
      </c>
      <c r="M4092" s="282" t="e">
        <f>(INDEX(Tabla6[#All],MATCH(Tabla4[[#This Row],[Producto]],Tabla6[[#All],[PRODUCTO]],0),MATCH(Tabla4[[#This Row],[Mes]],Tabla6[#Headers],0)))*(1+Catalogos!$L$2)</f>
        <v>#N/A</v>
      </c>
      <c r="N4092" s="283" t="e">
        <f>+(Tabla4[[#This Row],[Precio Descontado]]-Tabla4[[#This Row],[Precio Base]])*Tabla4[[#This Row],[Cantidad]]</f>
        <v>#N/A</v>
      </c>
      <c r="O4092" s="284" t="e">
        <f>++Tabla4[[#This Row],[Utilidad Total]]/Tabla4[[#This Row],[Total]]</f>
        <v>#N/A</v>
      </c>
      <c r="P4092" s="282">
        <f>++Tabla4[[#This Row],[Precio Descontado]]*Tabla4[[#This Row],[Cantidad]]</f>
        <v>1219.5194549999999</v>
      </c>
      <c r="Q4092" s="282" t="e">
        <f>(INDEX(Tabla6[#All],MATCH(Tabla4[[#This Row],[Producto]],Tabla6[[#All],[PRODUCTO]],0),MATCH(Tabla4[[#This Row],[Mes]],Tabla6[#Headers],0)))</f>
        <v>#N/A</v>
      </c>
      <c r="R4092" s="282" t="e">
        <f>++Tabla4[[#This Row],[Precio Unitario Neto]]-Tabla4[[#This Row],[20.85%]]-Tabla4[[#This Row],[Costo]]</f>
        <v>#N/A</v>
      </c>
      <c r="S4092" s="282" t="e">
        <f>++Tabla4[[#This Row],[U. Bruta Uni]]*Tabla4[[#This Row],[Cantidad]]</f>
        <v>#N/A</v>
      </c>
      <c r="T4092" s="369" t="str">
        <f>VLOOKUP(Tabla4[[#This Row],[Producto]],Tabla6[#All],14,FALSE)</f>
        <v>Termico Solar</v>
      </c>
      <c r="U4092" s="284" t="e">
        <f>(IF(Tabla4[[#This Row],[Familia]]="termico solar",Tabla4[[#This Row],[Utilidad Total]]*6%,Tabla4[[#This Row],[Utilidad Total]]*11.5%))/Tabla4[[#This Row],[Total]]</f>
        <v>#N/A</v>
      </c>
      <c r="V4092" s="282" t="e">
        <f>+Tabla4[[#This Row],[Comisión Calculada]]*Tabla4[[#This Row],[Total]]</f>
        <v>#N/A</v>
      </c>
    </row>
    <row r="4093" spans="1:22" hidden="1" x14ac:dyDescent="0.25">
      <c r="A4093" s="100">
        <v>45838</v>
      </c>
      <c r="B4093" t="str">
        <f t="shared" si="202"/>
        <v>June</v>
      </c>
      <c r="C4093" s="46" t="s">
        <v>280</v>
      </c>
      <c r="F4093" s="366" t="s">
        <v>2249</v>
      </c>
      <c r="G4093" s="46" t="s">
        <v>209</v>
      </c>
      <c r="H4093" s="46">
        <v>2</v>
      </c>
      <c r="I4093" s="51">
        <v>347.48</v>
      </c>
      <c r="J4093" s="281">
        <f>++Tabla4[[#This Row],[Precio Bruto]]*1.16</f>
        <v>403.07679999999999</v>
      </c>
      <c r="K4093" s="281">
        <f>+Tabla4[[#This Row],[Precio Unitario Neto]]*Tabla4[[#Headers],[20.85%]]</f>
        <v>84.041512799999992</v>
      </c>
      <c r="L4093" s="282">
        <f>++Tabla4[[#This Row],[Precio Unitario Neto]]-Tabla4[[#This Row],[20.85%]]</f>
        <v>319.03528719999997</v>
      </c>
      <c r="M4093" s="282" t="e">
        <f>(INDEX(Tabla6[#All],MATCH(Tabla4[[#This Row],[Producto]],Tabla6[[#All],[PRODUCTO]],0),MATCH(Tabla4[[#This Row],[Mes]],Tabla6[#Headers],0)))*(1+Catalogos!$L$2)</f>
        <v>#N/A</v>
      </c>
      <c r="N4093" s="283" t="e">
        <f>+(Tabla4[[#This Row],[Precio Descontado]]-Tabla4[[#This Row],[Precio Base]])*Tabla4[[#This Row],[Cantidad]]</f>
        <v>#N/A</v>
      </c>
      <c r="O4093" s="284" t="e">
        <f>++Tabla4[[#This Row],[Utilidad Total]]/Tabla4[[#This Row],[Total]]</f>
        <v>#N/A</v>
      </c>
      <c r="P4093" s="282">
        <f>++Tabla4[[#This Row],[Precio Descontado]]*Tabla4[[#This Row],[Cantidad]]</f>
        <v>638.07057439999994</v>
      </c>
      <c r="Q4093" s="282" t="e">
        <f>(INDEX(Tabla6[#All],MATCH(Tabla4[[#This Row],[Producto]],Tabla6[[#All],[PRODUCTO]],0),MATCH(Tabla4[[#This Row],[Mes]],Tabla6[#Headers],0)))</f>
        <v>#N/A</v>
      </c>
      <c r="R4093" s="282" t="e">
        <f>++Tabla4[[#This Row],[Precio Unitario Neto]]-Tabla4[[#This Row],[20.85%]]-Tabla4[[#This Row],[Costo]]</f>
        <v>#N/A</v>
      </c>
      <c r="S4093" s="282" t="e">
        <f>++Tabla4[[#This Row],[U. Bruta Uni]]*Tabla4[[#This Row],[Cantidad]]</f>
        <v>#N/A</v>
      </c>
      <c r="T4093" s="369" t="str">
        <f>VLOOKUP(Tabla4[[#This Row],[Producto]],Tabla6[#All],14,FALSE)</f>
        <v>Termico Solar</v>
      </c>
      <c r="U4093" s="284" t="e">
        <f>(IF(Tabla4[[#This Row],[Familia]]="termico solar",Tabla4[[#This Row],[Utilidad Total]]*6%,Tabla4[[#This Row],[Utilidad Total]]*11.5%))/Tabla4[[#This Row],[Total]]</f>
        <v>#N/A</v>
      </c>
      <c r="V4093" s="282" t="e">
        <f>+Tabla4[[#This Row],[Comisión Calculada]]*Tabla4[[#This Row],[Total]]</f>
        <v>#N/A</v>
      </c>
    </row>
    <row r="4094" spans="1:22" hidden="1" x14ac:dyDescent="0.25">
      <c r="A4094" s="100">
        <v>45838</v>
      </c>
      <c r="B4094" t="str">
        <f t="shared" ref="B4094:B4125" si="203">TEXT(A4094, "mmmm")</f>
        <v>June</v>
      </c>
      <c r="C4094" s="46" t="s">
        <v>280</v>
      </c>
      <c r="F4094" s="366" t="s">
        <v>2250</v>
      </c>
      <c r="G4094" s="46" t="s">
        <v>566</v>
      </c>
      <c r="H4094" s="46">
        <v>2</v>
      </c>
      <c r="I4094" s="51">
        <v>2109.4499999999998</v>
      </c>
      <c r="J4094" s="281">
        <f>++Tabla4[[#This Row],[Precio Bruto]]*1.16</f>
        <v>2446.9619999999995</v>
      </c>
      <c r="K4094" s="281">
        <f>+Tabla4[[#This Row],[Precio Unitario Neto]]*Tabla4[[#Headers],[20.85%]]</f>
        <v>510.19157699999988</v>
      </c>
      <c r="L4094" s="282">
        <f>++Tabla4[[#This Row],[Precio Unitario Neto]]-Tabla4[[#This Row],[20.85%]]</f>
        <v>1936.7704229999997</v>
      </c>
      <c r="M4094" s="282" t="e">
        <f>(INDEX(Tabla6[#All],MATCH(Tabla4[[#This Row],[Producto]],Tabla6[[#All],[PRODUCTO]],0),MATCH(Tabla4[[#This Row],[Mes]],Tabla6[#Headers],0)))*(1+Catalogos!$L$2)</f>
        <v>#N/A</v>
      </c>
      <c r="N4094" s="283" t="e">
        <f>+(Tabla4[[#This Row],[Precio Descontado]]-Tabla4[[#This Row],[Precio Base]])*Tabla4[[#This Row],[Cantidad]]</f>
        <v>#N/A</v>
      </c>
      <c r="O4094" s="284" t="e">
        <f>++Tabla4[[#This Row],[Utilidad Total]]/Tabla4[[#This Row],[Total]]</f>
        <v>#N/A</v>
      </c>
      <c r="P4094" s="282">
        <f>++Tabla4[[#This Row],[Precio Descontado]]*Tabla4[[#This Row],[Cantidad]]</f>
        <v>3873.5408459999994</v>
      </c>
      <c r="Q4094" s="282" t="e">
        <f>(INDEX(Tabla6[#All],MATCH(Tabla4[[#This Row],[Producto]],Tabla6[[#All],[PRODUCTO]],0),MATCH(Tabla4[[#This Row],[Mes]],Tabla6[#Headers],0)))</f>
        <v>#N/A</v>
      </c>
      <c r="R4094" s="282" t="e">
        <f>++Tabla4[[#This Row],[Precio Unitario Neto]]-Tabla4[[#This Row],[20.85%]]-Tabla4[[#This Row],[Costo]]</f>
        <v>#N/A</v>
      </c>
      <c r="S4094" s="282" t="e">
        <f>++Tabla4[[#This Row],[U. Bruta Uni]]*Tabla4[[#This Row],[Cantidad]]</f>
        <v>#N/A</v>
      </c>
      <c r="T4094" s="369" t="str">
        <f>VLOOKUP(Tabla4[[#This Row],[Producto]],Tabla6[#All],14,FALSE)</f>
        <v>Termico Solar</v>
      </c>
      <c r="U4094" s="284" t="e">
        <f>(IF(Tabla4[[#This Row],[Familia]]="termico solar",Tabla4[[#This Row],[Utilidad Total]]*6%,Tabla4[[#This Row],[Utilidad Total]]*11.5%))/Tabla4[[#This Row],[Total]]</f>
        <v>#N/A</v>
      </c>
      <c r="V4094" s="282" t="e">
        <f>+Tabla4[[#This Row],[Comisión Calculada]]*Tabla4[[#This Row],[Total]]</f>
        <v>#N/A</v>
      </c>
    </row>
    <row r="4095" spans="1:22" hidden="1" x14ac:dyDescent="0.25">
      <c r="A4095" s="100">
        <v>45838</v>
      </c>
      <c r="B4095" t="str">
        <f t="shared" si="203"/>
        <v>June</v>
      </c>
      <c r="C4095" s="46" t="s">
        <v>280</v>
      </c>
      <c r="F4095" s="366" t="s">
        <v>2250</v>
      </c>
      <c r="G4095" s="46" t="s">
        <v>208</v>
      </c>
      <c r="H4095" s="46">
        <v>2</v>
      </c>
      <c r="I4095" s="51">
        <v>189.75</v>
      </c>
      <c r="J4095" s="281">
        <f>++Tabla4[[#This Row],[Precio Bruto]]*1.16</f>
        <v>220.10999999999999</v>
      </c>
      <c r="K4095" s="281">
        <f>+Tabla4[[#This Row],[Precio Unitario Neto]]*Tabla4[[#Headers],[20.85%]]</f>
        <v>45.892934999999994</v>
      </c>
      <c r="L4095" s="282">
        <f>++Tabla4[[#This Row],[Precio Unitario Neto]]-Tabla4[[#This Row],[20.85%]]</f>
        <v>174.21706499999999</v>
      </c>
      <c r="M4095" s="282" t="e">
        <f>(INDEX(Tabla6[#All],MATCH(Tabla4[[#This Row],[Producto]],Tabla6[[#All],[PRODUCTO]],0),MATCH(Tabla4[[#This Row],[Mes]],Tabla6[#Headers],0)))*(1+Catalogos!$L$2)</f>
        <v>#N/A</v>
      </c>
      <c r="N4095" s="283" t="e">
        <f>+(Tabla4[[#This Row],[Precio Descontado]]-Tabla4[[#This Row],[Precio Base]])*Tabla4[[#This Row],[Cantidad]]</f>
        <v>#N/A</v>
      </c>
      <c r="O4095" s="284" t="e">
        <f>++Tabla4[[#This Row],[Utilidad Total]]/Tabla4[[#This Row],[Total]]</f>
        <v>#N/A</v>
      </c>
      <c r="P4095" s="282">
        <f>++Tabla4[[#This Row],[Precio Descontado]]*Tabla4[[#This Row],[Cantidad]]</f>
        <v>348.43412999999998</v>
      </c>
      <c r="Q4095" s="282" t="e">
        <f>(INDEX(Tabla6[#All],MATCH(Tabla4[[#This Row],[Producto]],Tabla6[[#All],[PRODUCTO]],0),MATCH(Tabla4[[#This Row],[Mes]],Tabla6[#Headers],0)))</f>
        <v>#N/A</v>
      </c>
      <c r="R4095" s="282" t="e">
        <f>++Tabla4[[#This Row],[Precio Unitario Neto]]-Tabla4[[#This Row],[20.85%]]-Tabla4[[#This Row],[Costo]]</f>
        <v>#N/A</v>
      </c>
      <c r="S4095" s="282" t="e">
        <f>++Tabla4[[#This Row],[U. Bruta Uni]]*Tabla4[[#This Row],[Cantidad]]</f>
        <v>#N/A</v>
      </c>
      <c r="T4095" s="369" t="str">
        <f>VLOOKUP(Tabla4[[#This Row],[Producto]],Tabla6[#All],14,FALSE)</f>
        <v>Termico Solar</v>
      </c>
      <c r="U4095" s="284" t="e">
        <f>(IF(Tabla4[[#This Row],[Familia]]="termico solar",Tabla4[[#This Row],[Utilidad Total]]*6%,Tabla4[[#This Row],[Utilidad Total]]*11.5%))/Tabla4[[#This Row],[Total]]</f>
        <v>#N/A</v>
      </c>
      <c r="V4095" s="282" t="e">
        <f>+Tabla4[[#This Row],[Comisión Calculada]]*Tabla4[[#This Row],[Total]]</f>
        <v>#N/A</v>
      </c>
    </row>
    <row r="4096" spans="1:22" hidden="1" x14ac:dyDescent="0.25">
      <c r="A4096" s="100">
        <v>45838</v>
      </c>
      <c r="B4096" t="str">
        <f t="shared" si="203"/>
        <v>June</v>
      </c>
      <c r="C4096" s="46" t="s">
        <v>280</v>
      </c>
      <c r="F4096" s="366" t="s">
        <v>2251</v>
      </c>
      <c r="G4096" s="46" t="s">
        <v>208</v>
      </c>
      <c r="H4096" s="46">
        <v>1</v>
      </c>
      <c r="I4096" s="51">
        <v>189.75</v>
      </c>
      <c r="J4096" s="281">
        <f>++Tabla4[[#This Row],[Precio Bruto]]*1.16</f>
        <v>220.10999999999999</v>
      </c>
      <c r="K4096" s="281">
        <f>+Tabla4[[#This Row],[Precio Unitario Neto]]*Tabla4[[#Headers],[20.85%]]</f>
        <v>45.892934999999994</v>
      </c>
      <c r="L4096" s="282">
        <f>++Tabla4[[#This Row],[Precio Unitario Neto]]-Tabla4[[#This Row],[20.85%]]</f>
        <v>174.21706499999999</v>
      </c>
      <c r="M4096" s="282" t="e">
        <f>(INDEX(Tabla6[#All],MATCH(Tabla4[[#This Row],[Producto]],Tabla6[[#All],[PRODUCTO]],0),MATCH(Tabla4[[#This Row],[Mes]],Tabla6[#Headers],0)))*(1+Catalogos!$L$2)</f>
        <v>#N/A</v>
      </c>
      <c r="N4096" s="283" t="e">
        <f>+(Tabla4[[#This Row],[Precio Descontado]]-Tabla4[[#This Row],[Precio Base]])*Tabla4[[#This Row],[Cantidad]]</f>
        <v>#N/A</v>
      </c>
      <c r="O4096" s="284" t="e">
        <f>++Tabla4[[#This Row],[Utilidad Total]]/Tabla4[[#This Row],[Total]]</f>
        <v>#N/A</v>
      </c>
      <c r="P4096" s="282">
        <f>++Tabla4[[#This Row],[Precio Descontado]]*Tabla4[[#This Row],[Cantidad]]</f>
        <v>174.21706499999999</v>
      </c>
      <c r="Q4096" s="282" t="e">
        <f>(INDEX(Tabla6[#All],MATCH(Tabla4[[#This Row],[Producto]],Tabla6[[#All],[PRODUCTO]],0),MATCH(Tabla4[[#This Row],[Mes]],Tabla6[#Headers],0)))</f>
        <v>#N/A</v>
      </c>
      <c r="R4096" s="282" t="e">
        <f>++Tabla4[[#This Row],[Precio Unitario Neto]]-Tabla4[[#This Row],[20.85%]]-Tabla4[[#This Row],[Costo]]</f>
        <v>#N/A</v>
      </c>
      <c r="S4096" s="282" t="e">
        <f>++Tabla4[[#This Row],[U. Bruta Uni]]*Tabla4[[#This Row],[Cantidad]]</f>
        <v>#N/A</v>
      </c>
      <c r="T4096" s="369" t="str">
        <f>VLOOKUP(Tabla4[[#This Row],[Producto]],Tabla6[#All],14,FALSE)</f>
        <v>Termico Solar</v>
      </c>
      <c r="U4096" s="284" t="e">
        <f>(IF(Tabla4[[#This Row],[Familia]]="termico solar",Tabla4[[#This Row],[Utilidad Total]]*6%,Tabla4[[#This Row],[Utilidad Total]]*11.5%))/Tabla4[[#This Row],[Total]]</f>
        <v>#N/A</v>
      </c>
      <c r="V4096" s="282" t="e">
        <f>+Tabla4[[#This Row],[Comisión Calculada]]*Tabla4[[#This Row],[Total]]</f>
        <v>#N/A</v>
      </c>
    </row>
    <row r="4097" spans="1:22" hidden="1" x14ac:dyDescent="0.25">
      <c r="A4097" s="100">
        <v>45838</v>
      </c>
      <c r="B4097" t="str">
        <f t="shared" si="203"/>
        <v>June</v>
      </c>
      <c r="C4097" s="46" t="s">
        <v>280</v>
      </c>
      <c r="F4097" s="366" t="s">
        <v>2252</v>
      </c>
      <c r="G4097" s="46" t="s">
        <v>17</v>
      </c>
      <c r="H4097" s="46">
        <v>2</v>
      </c>
      <c r="I4097" s="51">
        <v>4622.28</v>
      </c>
      <c r="J4097" s="281">
        <f>++Tabla4[[#This Row],[Precio Bruto]]*1.16</f>
        <v>5361.8447999999989</v>
      </c>
      <c r="K4097" s="281">
        <f>+Tabla4[[#This Row],[Precio Unitario Neto]]*Tabla4[[#Headers],[20.85%]]</f>
        <v>1117.9446407999997</v>
      </c>
      <c r="L4097" s="282">
        <f>++Tabla4[[#This Row],[Precio Unitario Neto]]-Tabla4[[#This Row],[20.85%]]</f>
        <v>4243.9001591999995</v>
      </c>
      <c r="M4097" s="282" t="e">
        <f>(INDEX(Tabla6[#All],MATCH(Tabla4[[#This Row],[Producto]],Tabla6[[#All],[PRODUCTO]],0),MATCH(Tabla4[[#This Row],[Mes]],Tabla6[#Headers],0)))*(1+Catalogos!$L$2)</f>
        <v>#N/A</v>
      </c>
      <c r="N4097" s="283" t="e">
        <f>+(Tabla4[[#This Row],[Precio Descontado]]-Tabla4[[#This Row],[Precio Base]])*Tabla4[[#This Row],[Cantidad]]</f>
        <v>#N/A</v>
      </c>
      <c r="O4097" s="284" t="e">
        <f>++Tabla4[[#This Row],[Utilidad Total]]/Tabla4[[#This Row],[Total]]</f>
        <v>#N/A</v>
      </c>
      <c r="P4097" s="282">
        <f>++Tabla4[[#This Row],[Precio Descontado]]*Tabla4[[#This Row],[Cantidad]]</f>
        <v>8487.800318399999</v>
      </c>
      <c r="Q4097" s="282" t="e">
        <f>(INDEX(Tabla6[#All],MATCH(Tabla4[[#This Row],[Producto]],Tabla6[[#All],[PRODUCTO]],0),MATCH(Tabla4[[#This Row],[Mes]],Tabla6[#Headers],0)))</f>
        <v>#N/A</v>
      </c>
      <c r="R4097" s="282" t="e">
        <f>++Tabla4[[#This Row],[Precio Unitario Neto]]-Tabla4[[#This Row],[20.85%]]-Tabla4[[#This Row],[Costo]]</f>
        <v>#N/A</v>
      </c>
      <c r="S4097" s="282" t="e">
        <f>++Tabla4[[#This Row],[U. Bruta Uni]]*Tabla4[[#This Row],[Cantidad]]</f>
        <v>#N/A</v>
      </c>
      <c r="T4097" s="369" t="str">
        <f>VLOOKUP(Tabla4[[#This Row],[Producto]],Tabla6[#All],14,FALSE)</f>
        <v>Termico Solar</v>
      </c>
      <c r="U4097" s="284" t="e">
        <f>(IF(Tabla4[[#This Row],[Familia]]="termico solar",Tabla4[[#This Row],[Utilidad Total]]*6%,Tabla4[[#This Row],[Utilidad Total]]*11.5%))/Tabla4[[#This Row],[Total]]</f>
        <v>#N/A</v>
      </c>
      <c r="V4097" s="282" t="e">
        <f>+Tabla4[[#This Row],[Comisión Calculada]]*Tabla4[[#This Row],[Total]]</f>
        <v>#N/A</v>
      </c>
    </row>
    <row r="4098" spans="1:22" hidden="1" x14ac:dyDescent="0.25">
      <c r="A4098" s="100">
        <v>45838</v>
      </c>
      <c r="B4098" t="str">
        <f t="shared" si="203"/>
        <v>June</v>
      </c>
      <c r="C4098" s="46" t="s">
        <v>280</v>
      </c>
      <c r="F4098" s="366" t="s">
        <v>2252</v>
      </c>
      <c r="G4098" s="46" t="s">
        <v>18</v>
      </c>
      <c r="H4098" s="46">
        <v>6</v>
      </c>
      <c r="I4098" s="51">
        <v>5367.6500000000005</v>
      </c>
      <c r="J4098" s="281">
        <f>++Tabla4[[#This Row],[Precio Bruto]]*1.16</f>
        <v>6226.4740000000002</v>
      </c>
      <c r="K4098" s="281">
        <f>+Tabla4[[#This Row],[Precio Unitario Neto]]*Tabla4[[#Headers],[20.85%]]</f>
        <v>1298.2198289999999</v>
      </c>
      <c r="L4098" s="282">
        <f>++Tabla4[[#This Row],[Precio Unitario Neto]]-Tabla4[[#This Row],[20.85%]]</f>
        <v>4928.2541710000005</v>
      </c>
      <c r="M4098" s="282" t="e">
        <f>(INDEX(Tabla6[#All],MATCH(Tabla4[[#This Row],[Producto]],Tabla6[[#All],[PRODUCTO]],0),MATCH(Tabla4[[#This Row],[Mes]],Tabla6[#Headers],0)))*(1+Catalogos!$L$2)</f>
        <v>#N/A</v>
      </c>
      <c r="N4098" s="283" t="e">
        <f>+(Tabla4[[#This Row],[Precio Descontado]]-Tabla4[[#This Row],[Precio Base]])*Tabla4[[#This Row],[Cantidad]]</f>
        <v>#N/A</v>
      </c>
      <c r="O4098" s="284" t="e">
        <f>++Tabla4[[#This Row],[Utilidad Total]]/Tabla4[[#This Row],[Total]]</f>
        <v>#N/A</v>
      </c>
      <c r="P4098" s="282">
        <f>++Tabla4[[#This Row],[Precio Descontado]]*Tabla4[[#This Row],[Cantidad]]</f>
        <v>29569.525026000003</v>
      </c>
      <c r="Q4098" s="282" t="e">
        <f>(INDEX(Tabla6[#All],MATCH(Tabla4[[#This Row],[Producto]],Tabla6[[#All],[PRODUCTO]],0),MATCH(Tabla4[[#This Row],[Mes]],Tabla6[#Headers],0)))</f>
        <v>#N/A</v>
      </c>
      <c r="R4098" s="282" t="e">
        <f>++Tabla4[[#This Row],[Precio Unitario Neto]]-Tabla4[[#This Row],[20.85%]]-Tabla4[[#This Row],[Costo]]</f>
        <v>#N/A</v>
      </c>
      <c r="S4098" s="282" t="e">
        <f>++Tabla4[[#This Row],[U. Bruta Uni]]*Tabla4[[#This Row],[Cantidad]]</f>
        <v>#N/A</v>
      </c>
      <c r="T4098" s="369" t="str">
        <f>VLOOKUP(Tabla4[[#This Row],[Producto]],Tabla6[#All],14,FALSE)</f>
        <v>Termico Solar</v>
      </c>
      <c r="U4098" s="284" t="e">
        <f>(IF(Tabla4[[#This Row],[Familia]]="termico solar",Tabla4[[#This Row],[Utilidad Total]]*6%,Tabla4[[#This Row],[Utilidad Total]]*11.5%))/Tabla4[[#This Row],[Total]]</f>
        <v>#N/A</v>
      </c>
      <c r="V4098" s="282" t="e">
        <f>+Tabla4[[#This Row],[Comisión Calculada]]*Tabla4[[#This Row],[Total]]</f>
        <v>#N/A</v>
      </c>
    </row>
    <row r="4099" spans="1:22" hidden="1" x14ac:dyDescent="0.25">
      <c r="A4099" s="100">
        <v>45838</v>
      </c>
      <c r="B4099" t="str">
        <f t="shared" si="203"/>
        <v>June</v>
      </c>
      <c r="C4099" s="46" t="s">
        <v>280</v>
      </c>
      <c r="F4099" s="366" t="s">
        <v>2252</v>
      </c>
      <c r="G4099" s="46" t="s">
        <v>566</v>
      </c>
      <c r="H4099" s="46">
        <v>2</v>
      </c>
      <c r="I4099" s="51">
        <v>2109.4499999999998</v>
      </c>
      <c r="J4099" s="281">
        <f>++Tabla4[[#This Row],[Precio Bruto]]*1.16</f>
        <v>2446.9619999999995</v>
      </c>
      <c r="K4099" s="281">
        <f>+Tabla4[[#This Row],[Precio Unitario Neto]]*Tabla4[[#Headers],[20.85%]]</f>
        <v>510.19157699999988</v>
      </c>
      <c r="L4099" s="282">
        <f>++Tabla4[[#This Row],[Precio Unitario Neto]]-Tabla4[[#This Row],[20.85%]]</f>
        <v>1936.7704229999997</v>
      </c>
      <c r="M4099" s="282" t="e">
        <f>(INDEX(Tabla6[#All],MATCH(Tabla4[[#This Row],[Producto]],Tabla6[[#All],[PRODUCTO]],0),MATCH(Tabla4[[#This Row],[Mes]],Tabla6[#Headers],0)))*(1+Catalogos!$L$2)</f>
        <v>#N/A</v>
      </c>
      <c r="N4099" s="283" t="e">
        <f>+(Tabla4[[#This Row],[Precio Descontado]]-Tabla4[[#This Row],[Precio Base]])*Tabla4[[#This Row],[Cantidad]]</f>
        <v>#N/A</v>
      </c>
      <c r="O4099" s="284" t="e">
        <f>++Tabla4[[#This Row],[Utilidad Total]]/Tabla4[[#This Row],[Total]]</f>
        <v>#N/A</v>
      </c>
      <c r="P4099" s="282">
        <f>++Tabla4[[#This Row],[Precio Descontado]]*Tabla4[[#This Row],[Cantidad]]</f>
        <v>3873.5408459999994</v>
      </c>
      <c r="Q4099" s="282" t="e">
        <f>(INDEX(Tabla6[#All],MATCH(Tabla4[[#This Row],[Producto]],Tabla6[[#All],[PRODUCTO]],0),MATCH(Tabla4[[#This Row],[Mes]],Tabla6[#Headers],0)))</f>
        <v>#N/A</v>
      </c>
      <c r="R4099" s="282" t="e">
        <f>++Tabla4[[#This Row],[Precio Unitario Neto]]-Tabla4[[#This Row],[20.85%]]-Tabla4[[#This Row],[Costo]]</f>
        <v>#N/A</v>
      </c>
      <c r="S4099" s="282" t="e">
        <f>++Tabla4[[#This Row],[U. Bruta Uni]]*Tabla4[[#This Row],[Cantidad]]</f>
        <v>#N/A</v>
      </c>
      <c r="T4099" s="369" t="str">
        <f>VLOOKUP(Tabla4[[#This Row],[Producto]],Tabla6[#All],14,FALSE)</f>
        <v>Termico Solar</v>
      </c>
      <c r="U4099" s="284" t="e">
        <f>(IF(Tabla4[[#This Row],[Familia]]="termico solar",Tabla4[[#This Row],[Utilidad Total]]*6%,Tabla4[[#This Row],[Utilidad Total]]*11.5%))/Tabla4[[#This Row],[Total]]</f>
        <v>#N/A</v>
      </c>
      <c r="V4099" s="282" t="e">
        <f>+Tabla4[[#This Row],[Comisión Calculada]]*Tabla4[[#This Row],[Total]]</f>
        <v>#N/A</v>
      </c>
    </row>
    <row r="4100" spans="1:22" hidden="1" x14ac:dyDescent="0.25">
      <c r="A4100" s="100">
        <v>45838</v>
      </c>
      <c r="B4100" t="str">
        <f t="shared" si="203"/>
        <v>June</v>
      </c>
      <c r="C4100" s="46" t="s">
        <v>280</v>
      </c>
      <c r="F4100" s="366" t="s">
        <v>2253</v>
      </c>
      <c r="G4100" s="46" t="s">
        <v>208</v>
      </c>
      <c r="H4100" s="46">
        <v>19</v>
      </c>
      <c r="I4100" s="51">
        <v>189.75</v>
      </c>
      <c r="J4100" s="281">
        <f>++Tabla4[[#This Row],[Precio Bruto]]*1.16</f>
        <v>220.10999999999999</v>
      </c>
      <c r="K4100" s="281">
        <f>+Tabla4[[#This Row],[Precio Unitario Neto]]*Tabla4[[#Headers],[20.85%]]</f>
        <v>45.892934999999994</v>
      </c>
      <c r="L4100" s="282">
        <f>++Tabla4[[#This Row],[Precio Unitario Neto]]-Tabla4[[#This Row],[20.85%]]</f>
        <v>174.21706499999999</v>
      </c>
      <c r="M4100" s="282" t="e">
        <f>(INDEX(Tabla6[#All],MATCH(Tabla4[[#This Row],[Producto]],Tabla6[[#All],[PRODUCTO]],0),MATCH(Tabla4[[#This Row],[Mes]],Tabla6[#Headers],0)))*(1+Catalogos!$L$2)</f>
        <v>#N/A</v>
      </c>
      <c r="N4100" s="283" t="e">
        <f>+(Tabla4[[#This Row],[Precio Descontado]]-Tabla4[[#This Row],[Precio Base]])*Tabla4[[#This Row],[Cantidad]]</f>
        <v>#N/A</v>
      </c>
      <c r="O4100" s="284" t="e">
        <f>++Tabla4[[#This Row],[Utilidad Total]]/Tabla4[[#This Row],[Total]]</f>
        <v>#N/A</v>
      </c>
      <c r="P4100" s="282">
        <f>++Tabla4[[#This Row],[Precio Descontado]]*Tabla4[[#This Row],[Cantidad]]</f>
        <v>3310.1242349999998</v>
      </c>
      <c r="Q4100" s="282" t="e">
        <f>(INDEX(Tabla6[#All],MATCH(Tabla4[[#This Row],[Producto]],Tabla6[[#All],[PRODUCTO]],0),MATCH(Tabla4[[#This Row],[Mes]],Tabla6[#Headers],0)))</f>
        <v>#N/A</v>
      </c>
      <c r="R4100" s="282" t="e">
        <f>++Tabla4[[#This Row],[Precio Unitario Neto]]-Tabla4[[#This Row],[20.85%]]-Tabla4[[#This Row],[Costo]]</f>
        <v>#N/A</v>
      </c>
      <c r="S4100" s="282" t="e">
        <f>++Tabla4[[#This Row],[U. Bruta Uni]]*Tabla4[[#This Row],[Cantidad]]</f>
        <v>#N/A</v>
      </c>
      <c r="T4100" s="369" t="str">
        <f>VLOOKUP(Tabla4[[#This Row],[Producto]],Tabla6[#All],14,FALSE)</f>
        <v>Termico Solar</v>
      </c>
      <c r="U4100" s="284" t="e">
        <f>(IF(Tabla4[[#This Row],[Familia]]="termico solar",Tabla4[[#This Row],[Utilidad Total]]*6%,Tabla4[[#This Row],[Utilidad Total]]*11.5%))/Tabla4[[#This Row],[Total]]</f>
        <v>#N/A</v>
      </c>
      <c r="V4100" s="282" t="e">
        <f>+Tabla4[[#This Row],[Comisión Calculada]]*Tabla4[[#This Row],[Total]]</f>
        <v>#N/A</v>
      </c>
    </row>
    <row r="4101" spans="1:22" hidden="1" x14ac:dyDescent="0.25">
      <c r="A4101" s="100">
        <v>45838</v>
      </c>
      <c r="B4101" t="str">
        <f t="shared" si="203"/>
        <v>June</v>
      </c>
      <c r="C4101" s="46" t="s">
        <v>280</v>
      </c>
      <c r="F4101" s="366" t="s">
        <v>2254</v>
      </c>
      <c r="G4101" s="46" t="s">
        <v>208</v>
      </c>
      <c r="H4101" s="46">
        <v>1</v>
      </c>
      <c r="I4101" s="51">
        <v>189.75</v>
      </c>
      <c r="J4101" s="281">
        <f>++Tabla4[[#This Row],[Precio Bruto]]*1.16</f>
        <v>220.10999999999999</v>
      </c>
      <c r="K4101" s="281">
        <f>+Tabla4[[#This Row],[Precio Unitario Neto]]*Tabla4[[#Headers],[20.85%]]</f>
        <v>45.892934999999994</v>
      </c>
      <c r="L4101" s="282">
        <f>++Tabla4[[#This Row],[Precio Unitario Neto]]-Tabla4[[#This Row],[20.85%]]</f>
        <v>174.21706499999999</v>
      </c>
      <c r="M4101" s="282" t="e">
        <f>(INDEX(Tabla6[#All],MATCH(Tabla4[[#This Row],[Producto]],Tabla6[[#All],[PRODUCTO]],0),MATCH(Tabla4[[#This Row],[Mes]],Tabla6[#Headers],0)))*(1+Catalogos!$L$2)</f>
        <v>#N/A</v>
      </c>
      <c r="N4101" s="283" t="e">
        <f>+(Tabla4[[#This Row],[Precio Descontado]]-Tabla4[[#This Row],[Precio Base]])*Tabla4[[#This Row],[Cantidad]]</f>
        <v>#N/A</v>
      </c>
      <c r="O4101" s="284" t="e">
        <f>++Tabla4[[#This Row],[Utilidad Total]]/Tabla4[[#This Row],[Total]]</f>
        <v>#N/A</v>
      </c>
      <c r="P4101" s="282">
        <f>++Tabla4[[#This Row],[Precio Descontado]]*Tabla4[[#This Row],[Cantidad]]</f>
        <v>174.21706499999999</v>
      </c>
      <c r="Q4101" s="282" t="e">
        <f>(INDEX(Tabla6[#All],MATCH(Tabla4[[#This Row],[Producto]],Tabla6[[#All],[PRODUCTO]],0),MATCH(Tabla4[[#This Row],[Mes]],Tabla6[#Headers],0)))</f>
        <v>#N/A</v>
      </c>
      <c r="R4101" s="282" t="e">
        <f>++Tabla4[[#This Row],[Precio Unitario Neto]]-Tabla4[[#This Row],[20.85%]]-Tabla4[[#This Row],[Costo]]</f>
        <v>#N/A</v>
      </c>
      <c r="S4101" s="282" t="e">
        <f>++Tabla4[[#This Row],[U. Bruta Uni]]*Tabla4[[#This Row],[Cantidad]]</f>
        <v>#N/A</v>
      </c>
      <c r="T4101" s="369" t="str">
        <f>VLOOKUP(Tabla4[[#This Row],[Producto]],Tabla6[#All],14,FALSE)</f>
        <v>Termico Solar</v>
      </c>
      <c r="U4101" s="284" t="e">
        <f>(IF(Tabla4[[#This Row],[Familia]]="termico solar",Tabla4[[#This Row],[Utilidad Total]]*6%,Tabla4[[#This Row],[Utilidad Total]]*11.5%))/Tabla4[[#This Row],[Total]]</f>
        <v>#N/A</v>
      </c>
      <c r="V4101" s="282" t="e">
        <f>+Tabla4[[#This Row],[Comisión Calculada]]*Tabla4[[#This Row],[Total]]</f>
        <v>#N/A</v>
      </c>
    </row>
    <row r="4102" spans="1:22" hidden="1" x14ac:dyDescent="0.25">
      <c r="A4102" s="100">
        <v>45838</v>
      </c>
      <c r="B4102" t="str">
        <f t="shared" si="203"/>
        <v>June</v>
      </c>
      <c r="C4102" s="46" t="s">
        <v>280</v>
      </c>
      <c r="F4102" s="366" t="s">
        <v>2255</v>
      </c>
      <c r="G4102" s="46" t="s">
        <v>17</v>
      </c>
      <c r="H4102" s="46">
        <v>1</v>
      </c>
      <c r="I4102" s="51">
        <v>4622.28</v>
      </c>
      <c r="J4102" s="281">
        <f>++Tabla4[[#This Row],[Precio Bruto]]*1.16</f>
        <v>5361.8447999999989</v>
      </c>
      <c r="K4102" s="281">
        <f>+Tabla4[[#This Row],[Precio Unitario Neto]]*Tabla4[[#Headers],[20.85%]]</f>
        <v>1117.9446407999997</v>
      </c>
      <c r="L4102" s="282">
        <f>++Tabla4[[#This Row],[Precio Unitario Neto]]-Tabla4[[#This Row],[20.85%]]</f>
        <v>4243.9001591999995</v>
      </c>
      <c r="M4102" s="282" t="e">
        <f>(INDEX(Tabla6[#All],MATCH(Tabla4[[#This Row],[Producto]],Tabla6[[#All],[PRODUCTO]],0),MATCH(Tabla4[[#This Row],[Mes]],Tabla6[#Headers],0)))*(1+Catalogos!$L$2)</f>
        <v>#N/A</v>
      </c>
      <c r="N4102" s="283" t="e">
        <f>+(Tabla4[[#This Row],[Precio Descontado]]-Tabla4[[#This Row],[Precio Base]])*Tabla4[[#This Row],[Cantidad]]</f>
        <v>#N/A</v>
      </c>
      <c r="O4102" s="284" t="e">
        <f>++Tabla4[[#This Row],[Utilidad Total]]/Tabla4[[#This Row],[Total]]</f>
        <v>#N/A</v>
      </c>
      <c r="P4102" s="282">
        <f>++Tabla4[[#This Row],[Precio Descontado]]*Tabla4[[#This Row],[Cantidad]]</f>
        <v>4243.9001591999995</v>
      </c>
      <c r="Q4102" s="282" t="e">
        <f>(INDEX(Tabla6[#All],MATCH(Tabla4[[#This Row],[Producto]],Tabla6[[#All],[PRODUCTO]],0),MATCH(Tabla4[[#This Row],[Mes]],Tabla6[#Headers],0)))</f>
        <v>#N/A</v>
      </c>
      <c r="R4102" s="282" t="e">
        <f>++Tabla4[[#This Row],[Precio Unitario Neto]]-Tabla4[[#This Row],[20.85%]]-Tabla4[[#This Row],[Costo]]</f>
        <v>#N/A</v>
      </c>
      <c r="S4102" s="282" t="e">
        <f>++Tabla4[[#This Row],[U. Bruta Uni]]*Tabla4[[#This Row],[Cantidad]]</f>
        <v>#N/A</v>
      </c>
      <c r="T4102" s="369" t="str">
        <f>VLOOKUP(Tabla4[[#This Row],[Producto]],Tabla6[#All],14,FALSE)</f>
        <v>Termico Solar</v>
      </c>
      <c r="U4102" s="284" t="e">
        <f>(IF(Tabla4[[#This Row],[Familia]]="termico solar",Tabla4[[#This Row],[Utilidad Total]]*6%,Tabla4[[#This Row],[Utilidad Total]]*11.5%))/Tabla4[[#This Row],[Total]]</f>
        <v>#N/A</v>
      </c>
      <c r="V4102" s="282" t="e">
        <f>+Tabla4[[#This Row],[Comisión Calculada]]*Tabla4[[#This Row],[Total]]</f>
        <v>#N/A</v>
      </c>
    </row>
    <row r="4103" spans="1:22" hidden="1" x14ac:dyDescent="0.25">
      <c r="A4103" s="100">
        <v>45838</v>
      </c>
      <c r="B4103" t="str">
        <f t="shared" si="203"/>
        <v>June</v>
      </c>
      <c r="C4103" s="46" t="s">
        <v>280</v>
      </c>
      <c r="F4103" s="366" t="s">
        <v>2255</v>
      </c>
      <c r="G4103" s="46" t="s">
        <v>208</v>
      </c>
      <c r="H4103" s="46">
        <v>1</v>
      </c>
      <c r="I4103" s="51">
        <v>189.75</v>
      </c>
      <c r="J4103" s="281">
        <f>++Tabla4[[#This Row],[Precio Bruto]]*1.16</f>
        <v>220.10999999999999</v>
      </c>
      <c r="K4103" s="281">
        <f>+Tabla4[[#This Row],[Precio Unitario Neto]]*Tabla4[[#Headers],[20.85%]]</f>
        <v>45.892934999999994</v>
      </c>
      <c r="L4103" s="282">
        <f>++Tabla4[[#This Row],[Precio Unitario Neto]]-Tabla4[[#This Row],[20.85%]]</f>
        <v>174.21706499999999</v>
      </c>
      <c r="M4103" s="282" t="e">
        <f>(INDEX(Tabla6[#All],MATCH(Tabla4[[#This Row],[Producto]],Tabla6[[#All],[PRODUCTO]],0),MATCH(Tabla4[[#This Row],[Mes]],Tabla6[#Headers],0)))*(1+Catalogos!$L$2)</f>
        <v>#N/A</v>
      </c>
      <c r="N4103" s="283" t="e">
        <f>+(Tabla4[[#This Row],[Precio Descontado]]-Tabla4[[#This Row],[Precio Base]])*Tabla4[[#This Row],[Cantidad]]</f>
        <v>#N/A</v>
      </c>
      <c r="O4103" s="284" t="e">
        <f>++Tabla4[[#This Row],[Utilidad Total]]/Tabla4[[#This Row],[Total]]</f>
        <v>#N/A</v>
      </c>
      <c r="P4103" s="282">
        <f>++Tabla4[[#This Row],[Precio Descontado]]*Tabla4[[#This Row],[Cantidad]]</f>
        <v>174.21706499999999</v>
      </c>
      <c r="Q4103" s="282" t="e">
        <f>(INDEX(Tabla6[#All],MATCH(Tabla4[[#This Row],[Producto]],Tabla6[[#All],[PRODUCTO]],0),MATCH(Tabla4[[#This Row],[Mes]],Tabla6[#Headers],0)))</f>
        <v>#N/A</v>
      </c>
      <c r="R4103" s="282" t="e">
        <f>++Tabla4[[#This Row],[Precio Unitario Neto]]-Tabla4[[#This Row],[20.85%]]-Tabla4[[#This Row],[Costo]]</f>
        <v>#N/A</v>
      </c>
      <c r="S4103" s="282" t="e">
        <f>++Tabla4[[#This Row],[U. Bruta Uni]]*Tabla4[[#This Row],[Cantidad]]</f>
        <v>#N/A</v>
      </c>
      <c r="T4103" s="369" t="str">
        <f>VLOOKUP(Tabla4[[#This Row],[Producto]],Tabla6[#All],14,FALSE)</f>
        <v>Termico Solar</v>
      </c>
      <c r="U4103" s="284" t="e">
        <f>(IF(Tabla4[[#This Row],[Familia]]="termico solar",Tabla4[[#This Row],[Utilidad Total]]*6%,Tabla4[[#This Row],[Utilidad Total]]*11.5%))/Tabla4[[#This Row],[Total]]</f>
        <v>#N/A</v>
      </c>
      <c r="V4103" s="282" t="e">
        <f>+Tabla4[[#This Row],[Comisión Calculada]]*Tabla4[[#This Row],[Total]]</f>
        <v>#N/A</v>
      </c>
    </row>
    <row r="4104" spans="1:22" hidden="1" x14ac:dyDescent="0.25">
      <c r="A4104" s="100">
        <v>45838</v>
      </c>
      <c r="B4104" t="str">
        <f t="shared" si="203"/>
        <v>June</v>
      </c>
      <c r="C4104" s="46" t="s">
        <v>280</v>
      </c>
      <c r="F4104" s="366" t="s">
        <v>2256</v>
      </c>
      <c r="G4104" s="46" t="s">
        <v>16</v>
      </c>
      <c r="H4104" s="46">
        <v>1</v>
      </c>
      <c r="I4104" s="51">
        <v>4103.8500000000004</v>
      </c>
      <c r="J4104" s="281">
        <f>++Tabla4[[#This Row],[Precio Bruto]]*1.16</f>
        <v>4760.4660000000003</v>
      </c>
      <c r="K4104" s="281">
        <f>+Tabla4[[#This Row],[Precio Unitario Neto]]*Tabla4[[#Headers],[20.85%]]</f>
        <v>992.55716100000006</v>
      </c>
      <c r="L4104" s="282">
        <f>++Tabla4[[#This Row],[Precio Unitario Neto]]-Tabla4[[#This Row],[20.85%]]</f>
        <v>3767.9088390000002</v>
      </c>
      <c r="M4104" s="282" t="e">
        <f>(INDEX(Tabla6[#All],MATCH(Tabla4[[#This Row],[Producto]],Tabla6[[#All],[PRODUCTO]],0),MATCH(Tabla4[[#This Row],[Mes]],Tabla6[#Headers],0)))*(1+Catalogos!$L$2)</f>
        <v>#N/A</v>
      </c>
      <c r="N4104" s="283" t="e">
        <f>+(Tabla4[[#This Row],[Precio Descontado]]-Tabla4[[#This Row],[Precio Base]])*Tabla4[[#This Row],[Cantidad]]</f>
        <v>#N/A</v>
      </c>
      <c r="O4104" s="284" t="e">
        <f>++Tabla4[[#This Row],[Utilidad Total]]/Tabla4[[#This Row],[Total]]</f>
        <v>#N/A</v>
      </c>
      <c r="P4104" s="282">
        <f>++Tabla4[[#This Row],[Precio Descontado]]*Tabla4[[#This Row],[Cantidad]]</f>
        <v>3767.9088390000002</v>
      </c>
      <c r="Q4104" s="282" t="e">
        <f>(INDEX(Tabla6[#All],MATCH(Tabla4[[#This Row],[Producto]],Tabla6[[#All],[PRODUCTO]],0),MATCH(Tabla4[[#This Row],[Mes]],Tabla6[#Headers],0)))</f>
        <v>#N/A</v>
      </c>
      <c r="R4104" s="282" t="e">
        <f>++Tabla4[[#This Row],[Precio Unitario Neto]]-Tabla4[[#This Row],[20.85%]]-Tabla4[[#This Row],[Costo]]</f>
        <v>#N/A</v>
      </c>
      <c r="S4104" s="282" t="e">
        <f>++Tabla4[[#This Row],[U. Bruta Uni]]*Tabla4[[#This Row],[Cantidad]]</f>
        <v>#N/A</v>
      </c>
      <c r="T4104" s="369" t="str">
        <f>VLOOKUP(Tabla4[[#This Row],[Producto]],Tabla6[#All],14,FALSE)</f>
        <v>Termico Solar</v>
      </c>
      <c r="U4104" s="284" t="e">
        <f>(IF(Tabla4[[#This Row],[Familia]]="termico solar",Tabla4[[#This Row],[Utilidad Total]]*6%,Tabla4[[#This Row],[Utilidad Total]]*11.5%))/Tabla4[[#This Row],[Total]]</f>
        <v>#N/A</v>
      </c>
      <c r="V4104" s="282" t="e">
        <f>+Tabla4[[#This Row],[Comisión Calculada]]*Tabla4[[#This Row],[Total]]</f>
        <v>#N/A</v>
      </c>
    </row>
    <row r="4105" spans="1:22" hidden="1" x14ac:dyDescent="0.25">
      <c r="A4105" s="100">
        <v>45838</v>
      </c>
      <c r="B4105" t="str">
        <f t="shared" si="203"/>
        <v>June</v>
      </c>
      <c r="C4105" s="46" t="s">
        <v>280</v>
      </c>
      <c r="F4105" s="366" t="s">
        <v>2257</v>
      </c>
      <c r="G4105" s="46" t="s">
        <v>83</v>
      </c>
      <c r="H4105" s="46">
        <v>2</v>
      </c>
      <c r="I4105" s="51">
        <v>8858.76</v>
      </c>
      <c r="J4105" s="281">
        <f>++Tabla4[[#This Row],[Precio Bruto]]*1.16</f>
        <v>10276.161599999999</v>
      </c>
      <c r="K4105" s="281">
        <f>+Tabla4[[#This Row],[Precio Unitario Neto]]*Tabla4[[#Headers],[20.85%]]</f>
        <v>2142.5796935999997</v>
      </c>
      <c r="L4105" s="282">
        <f>++Tabla4[[#This Row],[Precio Unitario Neto]]-Tabla4[[#This Row],[20.85%]]</f>
        <v>8133.5819063999998</v>
      </c>
      <c r="M4105" s="282" t="e">
        <f>(INDEX(Tabla6[#All],MATCH(Tabla4[[#This Row],[Producto]],Tabla6[[#All],[PRODUCTO]],0),MATCH(Tabla4[[#This Row],[Mes]],Tabla6[#Headers],0)))*(1+Catalogos!$L$2)</f>
        <v>#N/A</v>
      </c>
      <c r="N4105" s="283" t="e">
        <f>+(Tabla4[[#This Row],[Precio Descontado]]-Tabla4[[#This Row],[Precio Base]])*Tabla4[[#This Row],[Cantidad]]</f>
        <v>#N/A</v>
      </c>
      <c r="O4105" s="284" t="e">
        <f>++Tabla4[[#This Row],[Utilidad Total]]/Tabla4[[#This Row],[Total]]</f>
        <v>#N/A</v>
      </c>
      <c r="P4105" s="282">
        <f>++Tabla4[[#This Row],[Precio Descontado]]*Tabla4[[#This Row],[Cantidad]]</f>
        <v>16267.1638128</v>
      </c>
      <c r="Q4105" s="282" t="e">
        <f>(INDEX(Tabla6[#All],MATCH(Tabla4[[#This Row],[Producto]],Tabla6[[#All],[PRODUCTO]],0),MATCH(Tabla4[[#This Row],[Mes]],Tabla6[#Headers],0)))</f>
        <v>#N/A</v>
      </c>
      <c r="R4105" s="282" t="e">
        <f>++Tabla4[[#This Row],[Precio Unitario Neto]]-Tabla4[[#This Row],[20.85%]]-Tabla4[[#This Row],[Costo]]</f>
        <v>#N/A</v>
      </c>
      <c r="S4105" s="282" t="e">
        <f>++Tabla4[[#This Row],[U. Bruta Uni]]*Tabla4[[#This Row],[Cantidad]]</f>
        <v>#N/A</v>
      </c>
      <c r="T4105" s="369" t="str">
        <f>VLOOKUP(Tabla4[[#This Row],[Producto]],Tabla6[#All],14,FALSE)</f>
        <v>Termico Solar</v>
      </c>
      <c r="U4105" s="284" t="e">
        <f>(IF(Tabla4[[#This Row],[Familia]]="termico solar",Tabla4[[#This Row],[Utilidad Total]]*6%,Tabla4[[#This Row],[Utilidad Total]]*11.5%))/Tabla4[[#This Row],[Total]]</f>
        <v>#N/A</v>
      </c>
      <c r="V4105" s="282" t="e">
        <f>+Tabla4[[#This Row],[Comisión Calculada]]*Tabla4[[#This Row],[Total]]</f>
        <v>#N/A</v>
      </c>
    </row>
    <row r="4106" spans="1:22" hidden="1" x14ac:dyDescent="0.25">
      <c r="A4106" s="100">
        <v>45838</v>
      </c>
      <c r="B4106" t="str">
        <f t="shared" si="203"/>
        <v>June</v>
      </c>
      <c r="C4106" s="46" t="s">
        <v>280</v>
      </c>
      <c r="F4106" s="366" t="s">
        <v>2257</v>
      </c>
      <c r="G4106" s="46" t="s">
        <v>18</v>
      </c>
      <c r="H4106" s="46">
        <v>5</v>
      </c>
      <c r="I4106" s="51">
        <v>5367.65</v>
      </c>
      <c r="J4106" s="281">
        <f>++Tabla4[[#This Row],[Precio Bruto]]*1.16</f>
        <v>6226.4739999999993</v>
      </c>
      <c r="K4106" s="281">
        <f>+Tabla4[[#This Row],[Precio Unitario Neto]]*Tabla4[[#Headers],[20.85%]]</f>
        <v>1298.2198289999999</v>
      </c>
      <c r="L4106" s="282">
        <f>++Tabla4[[#This Row],[Precio Unitario Neto]]-Tabla4[[#This Row],[20.85%]]</f>
        <v>4928.2541709999996</v>
      </c>
      <c r="M4106" s="282" t="e">
        <f>(INDEX(Tabla6[#All],MATCH(Tabla4[[#This Row],[Producto]],Tabla6[[#All],[PRODUCTO]],0),MATCH(Tabla4[[#This Row],[Mes]],Tabla6[#Headers],0)))*(1+Catalogos!$L$2)</f>
        <v>#N/A</v>
      </c>
      <c r="N4106" s="283" t="e">
        <f>+(Tabla4[[#This Row],[Precio Descontado]]-Tabla4[[#This Row],[Precio Base]])*Tabla4[[#This Row],[Cantidad]]</f>
        <v>#N/A</v>
      </c>
      <c r="O4106" s="284" t="e">
        <f>++Tabla4[[#This Row],[Utilidad Total]]/Tabla4[[#This Row],[Total]]</f>
        <v>#N/A</v>
      </c>
      <c r="P4106" s="282">
        <f>++Tabla4[[#This Row],[Precio Descontado]]*Tabla4[[#This Row],[Cantidad]]</f>
        <v>24641.270854999999</v>
      </c>
      <c r="Q4106" s="282" t="e">
        <f>(INDEX(Tabla6[#All],MATCH(Tabla4[[#This Row],[Producto]],Tabla6[[#All],[PRODUCTO]],0),MATCH(Tabla4[[#This Row],[Mes]],Tabla6[#Headers],0)))</f>
        <v>#N/A</v>
      </c>
      <c r="R4106" s="282" t="e">
        <f>++Tabla4[[#This Row],[Precio Unitario Neto]]-Tabla4[[#This Row],[20.85%]]-Tabla4[[#This Row],[Costo]]</f>
        <v>#N/A</v>
      </c>
      <c r="S4106" s="282" t="e">
        <f>++Tabla4[[#This Row],[U. Bruta Uni]]*Tabla4[[#This Row],[Cantidad]]</f>
        <v>#N/A</v>
      </c>
      <c r="T4106" s="369" t="str">
        <f>VLOOKUP(Tabla4[[#This Row],[Producto]],Tabla6[#All],14,FALSE)</f>
        <v>Termico Solar</v>
      </c>
      <c r="U4106" s="284" t="e">
        <f>(IF(Tabla4[[#This Row],[Familia]]="termico solar",Tabla4[[#This Row],[Utilidad Total]]*6%,Tabla4[[#This Row],[Utilidad Total]]*11.5%))/Tabla4[[#This Row],[Total]]</f>
        <v>#N/A</v>
      </c>
      <c r="V4106" s="282" t="e">
        <f>+Tabla4[[#This Row],[Comisión Calculada]]*Tabla4[[#This Row],[Total]]</f>
        <v>#N/A</v>
      </c>
    </row>
    <row r="4107" spans="1:22" hidden="1" x14ac:dyDescent="0.25">
      <c r="A4107" s="100">
        <v>45838</v>
      </c>
      <c r="B4107" t="str">
        <f t="shared" si="203"/>
        <v>June</v>
      </c>
      <c r="C4107" s="46" t="s">
        <v>280</v>
      </c>
      <c r="F4107" s="366" t="s">
        <v>2258</v>
      </c>
      <c r="G4107" s="46" t="s">
        <v>83</v>
      </c>
      <c r="H4107" s="46">
        <v>1</v>
      </c>
      <c r="I4107" s="51">
        <v>8858.76</v>
      </c>
      <c r="J4107" s="281">
        <f>++Tabla4[[#This Row],[Precio Bruto]]*1.16</f>
        <v>10276.161599999999</v>
      </c>
      <c r="K4107" s="281">
        <f>+Tabla4[[#This Row],[Precio Unitario Neto]]*Tabla4[[#Headers],[20.85%]]</f>
        <v>2142.5796935999997</v>
      </c>
      <c r="L4107" s="282">
        <f>++Tabla4[[#This Row],[Precio Unitario Neto]]-Tabla4[[#This Row],[20.85%]]</f>
        <v>8133.5819063999998</v>
      </c>
      <c r="M4107" s="282" t="e">
        <f>(INDEX(Tabla6[#All],MATCH(Tabla4[[#This Row],[Producto]],Tabla6[[#All],[PRODUCTO]],0),MATCH(Tabla4[[#This Row],[Mes]],Tabla6[#Headers],0)))*(1+Catalogos!$L$2)</f>
        <v>#N/A</v>
      </c>
      <c r="N4107" s="283" t="e">
        <f>+(Tabla4[[#This Row],[Precio Descontado]]-Tabla4[[#This Row],[Precio Base]])*Tabla4[[#This Row],[Cantidad]]</f>
        <v>#N/A</v>
      </c>
      <c r="O4107" s="284" t="e">
        <f>++Tabla4[[#This Row],[Utilidad Total]]/Tabla4[[#This Row],[Total]]</f>
        <v>#N/A</v>
      </c>
      <c r="P4107" s="282">
        <f>++Tabla4[[#This Row],[Precio Descontado]]*Tabla4[[#This Row],[Cantidad]]</f>
        <v>8133.5819063999998</v>
      </c>
      <c r="Q4107" s="282" t="e">
        <f>(INDEX(Tabla6[#All],MATCH(Tabla4[[#This Row],[Producto]],Tabla6[[#All],[PRODUCTO]],0),MATCH(Tabla4[[#This Row],[Mes]],Tabla6[#Headers],0)))</f>
        <v>#N/A</v>
      </c>
      <c r="R4107" s="282" t="e">
        <f>++Tabla4[[#This Row],[Precio Unitario Neto]]-Tabla4[[#This Row],[20.85%]]-Tabla4[[#This Row],[Costo]]</f>
        <v>#N/A</v>
      </c>
      <c r="S4107" s="282" t="e">
        <f>++Tabla4[[#This Row],[U. Bruta Uni]]*Tabla4[[#This Row],[Cantidad]]</f>
        <v>#N/A</v>
      </c>
      <c r="T4107" s="369" t="str">
        <f>VLOOKUP(Tabla4[[#This Row],[Producto]],Tabla6[#All],14,FALSE)</f>
        <v>Termico Solar</v>
      </c>
      <c r="U4107" s="284" t="e">
        <f>(IF(Tabla4[[#This Row],[Familia]]="termico solar",Tabla4[[#This Row],[Utilidad Total]]*6%,Tabla4[[#This Row],[Utilidad Total]]*11.5%))/Tabla4[[#This Row],[Total]]</f>
        <v>#N/A</v>
      </c>
      <c r="V4107" s="282" t="e">
        <f>+Tabla4[[#This Row],[Comisión Calculada]]*Tabla4[[#This Row],[Total]]</f>
        <v>#N/A</v>
      </c>
    </row>
    <row r="4108" spans="1:22" hidden="1" x14ac:dyDescent="0.25">
      <c r="A4108" s="100">
        <v>45838</v>
      </c>
      <c r="B4108" t="str">
        <f t="shared" si="203"/>
        <v>June</v>
      </c>
      <c r="C4108" s="46" t="s">
        <v>280</v>
      </c>
      <c r="F4108" s="366" t="s">
        <v>2258</v>
      </c>
      <c r="G4108" s="46" t="s">
        <v>17</v>
      </c>
      <c r="H4108" s="46">
        <v>2</v>
      </c>
      <c r="I4108" s="51">
        <v>4622.28</v>
      </c>
      <c r="J4108" s="281">
        <f>++Tabla4[[#This Row],[Precio Bruto]]*1.16</f>
        <v>5361.8447999999989</v>
      </c>
      <c r="K4108" s="281">
        <f>+Tabla4[[#This Row],[Precio Unitario Neto]]*Tabla4[[#Headers],[20.85%]]</f>
        <v>1117.9446407999997</v>
      </c>
      <c r="L4108" s="282">
        <f>++Tabla4[[#This Row],[Precio Unitario Neto]]-Tabla4[[#This Row],[20.85%]]</f>
        <v>4243.9001591999995</v>
      </c>
      <c r="M4108" s="282" t="e">
        <f>(INDEX(Tabla6[#All],MATCH(Tabla4[[#This Row],[Producto]],Tabla6[[#All],[PRODUCTO]],0),MATCH(Tabla4[[#This Row],[Mes]],Tabla6[#Headers],0)))*(1+Catalogos!$L$2)</f>
        <v>#N/A</v>
      </c>
      <c r="N4108" s="283" t="e">
        <f>+(Tabla4[[#This Row],[Precio Descontado]]-Tabla4[[#This Row],[Precio Base]])*Tabla4[[#This Row],[Cantidad]]</f>
        <v>#N/A</v>
      </c>
      <c r="O4108" s="284" t="e">
        <f>++Tabla4[[#This Row],[Utilidad Total]]/Tabla4[[#This Row],[Total]]</f>
        <v>#N/A</v>
      </c>
      <c r="P4108" s="282">
        <f>++Tabla4[[#This Row],[Precio Descontado]]*Tabla4[[#This Row],[Cantidad]]</f>
        <v>8487.800318399999</v>
      </c>
      <c r="Q4108" s="282" t="e">
        <f>(INDEX(Tabla6[#All],MATCH(Tabla4[[#This Row],[Producto]],Tabla6[[#All],[PRODUCTO]],0),MATCH(Tabla4[[#This Row],[Mes]],Tabla6[#Headers],0)))</f>
        <v>#N/A</v>
      </c>
      <c r="R4108" s="282" t="e">
        <f>++Tabla4[[#This Row],[Precio Unitario Neto]]-Tabla4[[#This Row],[20.85%]]-Tabla4[[#This Row],[Costo]]</f>
        <v>#N/A</v>
      </c>
      <c r="S4108" s="282" t="e">
        <f>++Tabla4[[#This Row],[U. Bruta Uni]]*Tabla4[[#This Row],[Cantidad]]</f>
        <v>#N/A</v>
      </c>
      <c r="T4108" s="369" t="str">
        <f>VLOOKUP(Tabla4[[#This Row],[Producto]],Tabla6[#All],14,FALSE)</f>
        <v>Termico Solar</v>
      </c>
      <c r="U4108" s="284" t="e">
        <f>(IF(Tabla4[[#This Row],[Familia]]="termico solar",Tabla4[[#This Row],[Utilidad Total]]*6%,Tabla4[[#This Row],[Utilidad Total]]*11.5%))/Tabla4[[#This Row],[Total]]</f>
        <v>#N/A</v>
      </c>
      <c r="V4108" s="282" t="e">
        <f>+Tabla4[[#This Row],[Comisión Calculada]]*Tabla4[[#This Row],[Total]]</f>
        <v>#N/A</v>
      </c>
    </row>
    <row r="4109" spans="1:22" hidden="1" x14ac:dyDescent="0.25">
      <c r="A4109" s="100">
        <v>45838</v>
      </c>
      <c r="B4109" t="str">
        <f t="shared" si="203"/>
        <v>June</v>
      </c>
      <c r="C4109" s="46" t="s">
        <v>280</v>
      </c>
      <c r="F4109" s="366" t="s">
        <v>2258</v>
      </c>
      <c r="G4109" s="46" t="s">
        <v>18</v>
      </c>
      <c r="H4109" s="46">
        <v>2</v>
      </c>
      <c r="I4109" s="51">
        <v>5367.65</v>
      </c>
      <c r="J4109" s="281">
        <f>++Tabla4[[#This Row],[Precio Bruto]]*1.16</f>
        <v>6226.4739999999993</v>
      </c>
      <c r="K4109" s="281">
        <f>+Tabla4[[#This Row],[Precio Unitario Neto]]*Tabla4[[#Headers],[20.85%]]</f>
        <v>1298.2198289999999</v>
      </c>
      <c r="L4109" s="282">
        <f>++Tabla4[[#This Row],[Precio Unitario Neto]]-Tabla4[[#This Row],[20.85%]]</f>
        <v>4928.2541709999996</v>
      </c>
      <c r="M4109" s="282" t="e">
        <f>(INDEX(Tabla6[#All],MATCH(Tabla4[[#This Row],[Producto]],Tabla6[[#All],[PRODUCTO]],0),MATCH(Tabla4[[#This Row],[Mes]],Tabla6[#Headers],0)))*(1+Catalogos!$L$2)</f>
        <v>#N/A</v>
      </c>
      <c r="N4109" s="283" t="e">
        <f>+(Tabla4[[#This Row],[Precio Descontado]]-Tabla4[[#This Row],[Precio Base]])*Tabla4[[#This Row],[Cantidad]]</f>
        <v>#N/A</v>
      </c>
      <c r="O4109" s="284" t="e">
        <f>++Tabla4[[#This Row],[Utilidad Total]]/Tabla4[[#This Row],[Total]]</f>
        <v>#N/A</v>
      </c>
      <c r="P4109" s="282">
        <f>++Tabla4[[#This Row],[Precio Descontado]]*Tabla4[[#This Row],[Cantidad]]</f>
        <v>9856.5083419999992</v>
      </c>
      <c r="Q4109" s="282" t="e">
        <f>(INDEX(Tabla6[#All],MATCH(Tabla4[[#This Row],[Producto]],Tabla6[[#All],[PRODUCTO]],0),MATCH(Tabla4[[#This Row],[Mes]],Tabla6[#Headers],0)))</f>
        <v>#N/A</v>
      </c>
      <c r="R4109" s="282" t="e">
        <f>++Tabla4[[#This Row],[Precio Unitario Neto]]-Tabla4[[#This Row],[20.85%]]-Tabla4[[#This Row],[Costo]]</f>
        <v>#N/A</v>
      </c>
      <c r="S4109" s="282" t="e">
        <f>++Tabla4[[#This Row],[U. Bruta Uni]]*Tabla4[[#This Row],[Cantidad]]</f>
        <v>#N/A</v>
      </c>
      <c r="T4109" s="369" t="str">
        <f>VLOOKUP(Tabla4[[#This Row],[Producto]],Tabla6[#All],14,FALSE)</f>
        <v>Termico Solar</v>
      </c>
      <c r="U4109" s="284" t="e">
        <f>(IF(Tabla4[[#This Row],[Familia]]="termico solar",Tabla4[[#This Row],[Utilidad Total]]*6%,Tabla4[[#This Row],[Utilidad Total]]*11.5%))/Tabla4[[#This Row],[Total]]</f>
        <v>#N/A</v>
      </c>
      <c r="V4109" s="282" t="e">
        <f>+Tabla4[[#This Row],[Comisión Calculada]]*Tabla4[[#This Row],[Total]]</f>
        <v>#N/A</v>
      </c>
    </row>
    <row r="4110" spans="1:22" hidden="1" x14ac:dyDescent="0.25">
      <c r="A4110" s="100">
        <v>45838</v>
      </c>
      <c r="B4110" t="str">
        <f t="shared" si="203"/>
        <v>June</v>
      </c>
      <c r="C4110" s="46" t="s">
        <v>280</v>
      </c>
      <c r="F4110" s="366" t="s">
        <v>2258</v>
      </c>
      <c r="G4110" s="46" t="s">
        <v>566</v>
      </c>
      <c r="H4110" s="46">
        <v>2</v>
      </c>
      <c r="I4110" s="51">
        <v>2109.4499999999998</v>
      </c>
      <c r="J4110" s="281">
        <f>++Tabla4[[#This Row],[Precio Bruto]]*1.16</f>
        <v>2446.9619999999995</v>
      </c>
      <c r="K4110" s="281">
        <f>+Tabla4[[#This Row],[Precio Unitario Neto]]*Tabla4[[#Headers],[20.85%]]</f>
        <v>510.19157699999988</v>
      </c>
      <c r="L4110" s="282">
        <f>++Tabla4[[#This Row],[Precio Unitario Neto]]-Tabla4[[#This Row],[20.85%]]</f>
        <v>1936.7704229999997</v>
      </c>
      <c r="M4110" s="282" t="e">
        <f>(INDEX(Tabla6[#All],MATCH(Tabla4[[#This Row],[Producto]],Tabla6[[#All],[PRODUCTO]],0),MATCH(Tabla4[[#This Row],[Mes]],Tabla6[#Headers],0)))*(1+Catalogos!$L$2)</f>
        <v>#N/A</v>
      </c>
      <c r="N4110" s="283" t="e">
        <f>+(Tabla4[[#This Row],[Precio Descontado]]-Tabla4[[#This Row],[Precio Base]])*Tabla4[[#This Row],[Cantidad]]</f>
        <v>#N/A</v>
      </c>
      <c r="O4110" s="284" t="e">
        <f>++Tabla4[[#This Row],[Utilidad Total]]/Tabla4[[#This Row],[Total]]</f>
        <v>#N/A</v>
      </c>
      <c r="P4110" s="282">
        <f>++Tabla4[[#This Row],[Precio Descontado]]*Tabla4[[#This Row],[Cantidad]]</f>
        <v>3873.5408459999994</v>
      </c>
      <c r="Q4110" s="282" t="e">
        <f>(INDEX(Tabla6[#All],MATCH(Tabla4[[#This Row],[Producto]],Tabla6[[#All],[PRODUCTO]],0),MATCH(Tabla4[[#This Row],[Mes]],Tabla6[#Headers],0)))</f>
        <v>#N/A</v>
      </c>
      <c r="R4110" s="282" t="e">
        <f>++Tabla4[[#This Row],[Precio Unitario Neto]]-Tabla4[[#This Row],[20.85%]]-Tabla4[[#This Row],[Costo]]</f>
        <v>#N/A</v>
      </c>
      <c r="S4110" s="282" t="e">
        <f>++Tabla4[[#This Row],[U. Bruta Uni]]*Tabla4[[#This Row],[Cantidad]]</f>
        <v>#N/A</v>
      </c>
      <c r="T4110" s="369" t="str">
        <f>VLOOKUP(Tabla4[[#This Row],[Producto]],Tabla6[#All],14,FALSE)</f>
        <v>Termico Solar</v>
      </c>
      <c r="U4110" s="284" t="e">
        <f>(IF(Tabla4[[#This Row],[Familia]]="termico solar",Tabla4[[#This Row],[Utilidad Total]]*6%,Tabla4[[#This Row],[Utilidad Total]]*11.5%))/Tabla4[[#This Row],[Total]]</f>
        <v>#N/A</v>
      </c>
      <c r="V4110" s="282" t="e">
        <f>+Tabla4[[#This Row],[Comisión Calculada]]*Tabla4[[#This Row],[Total]]</f>
        <v>#N/A</v>
      </c>
    </row>
    <row r="4111" spans="1:22" hidden="1" x14ac:dyDescent="0.25">
      <c r="A4111" s="100">
        <v>45838</v>
      </c>
      <c r="B4111" t="str">
        <f t="shared" si="203"/>
        <v>June</v>
      </c>
      <c r="C4111" s="46" t="s">
        <v>280</v>
      </c>
      <c r="F4111" s="366" t="s">
        <v>2259</v>
      </c>
      <c r="G4111" s="46" t="s">
        <v>83</v>
      </c>
      <c r="H4111" s="46">
        <v>1</v>
      </c>
      <c r="I4111" s="51">
        <v>8858.76</v>
      </c>
      <c r="J4111" s="281">
        <f>++Tabla4[[#This Row],[Precio Bruto]]*1.16</f>
        <v>10276.161599999999</v>
      </c>
      <c r="K4111" s="281">
        <f>+Tabla4[[#This Row],[Precio Unitario Neto]]*Tabla4[[#Headers],[20.85%]]</f>
        <v>2142.5796935999997</v>
      </c>
      <c r="L4111" s="282">
        <f>++Tabla4[[#This Row],[Precio Unitario Neto]]-Tabla4[[#This Row],[20.85%]]</f>
        <v>8133.5819063999998</v>
      </c>
      <c r="M4111" s="282" t="e">
        <f>(INDEX(Tabla6[#All],MATCH(Tabla4[[#This Row],[Producto]],Tabla6[[#All],[PRODUCTO]],0),MATCH(Tabla4[[#This Row],[Mes]],Tabla6[#Headers],0)))*(1+Catalogos!$L$2)</f>
        <v>#N/A</v>
      </c>
      <c r="N4111" s="283" t="e">
        <f>+(Tabla4[[#This Row],[Precio Descontado]]-Tabla4[[#This Row],[Precio Base]])*Tabla4[[#This Row],[Cantidad]]</f>
        <v>#N/A</v>
      </c>
      <c r="O4111" s="284" t="e">
        <f>++Tabla4[[#This Row],[Utilidad Total]]/Tabla4[[#This Row],[Total]]</f>
        <v>#N/A</v>
      </c>
      <c r="P4111" s="282">
        <f>++Tabla4[[#This Row],[Precio Descontado]]*Tabla4[[#This Row],[Cantidad]]</f>
        <v>8133.5819063999998</v>
      </c>
      <c r="Q4111" s="282" t="e">
        <f>(INDEX(Tabla6[#All],MATCH(Tabla4[[#This Row],[Producto]],Tabla6[[#All],[PRODUCTO]],0),MATCH(Tabla4[[#This Row],[Mes]],Tabla6[#Headers],0)))</f>
        <v>#N/A</v>
      </c>
      <c r="R4111" s="282" t="e">
        <f>++Tabla4[[#This Row],[Precio Unitario Neto]]-Tabla4[[#This Row],[20.85%]]-Tabla4[[#This Row],[Costo]]</f>
        <v>#N/A</v>
      </c>
      <c r="S4111" s="282" t="e">
        <f>++Tabla4[[#This Row],[U. Bruta Uni]]*Tabla4[[#This Row],[Cantidad]]</f>
        <v>#N/A</v>
      </c>
      <c r="T4111" s="369" t="str">
        <f>VLOOKUP(Tabla4[[#This Row],[Producto]],Tabla6[#All],14,FALSE)</f>
        <v>Termico Solar</v>
      </c>
      <c r="U4111" s="284" t="e">
        <f>(IF(Tabla4[[#This Row],[Familia]]="termico solar",Tabla4[[#This Row],[Utilidad Total]]*6%,Tabla4[[#This Row],[Utilidad Total]]*11.5%))/Tabla4[[#This Row],[Total]]</f>
        <v>#N/A</v>
      </c>
      <c r="V4111" s="282" t="e">
        <f>+Tabla4[[#This Row],[Comisión Calculada]]*Tabla4[[#This Row],[Total]]</f>
        <v>#N/A</v>
      </c>
    </row>
    <row r="4112" spans="1:22" hidden="1" x14ac:dyDescent="0.25">
      <c r="A4112" s="100">
        <v>45838</v>
      </c>
      <c r="B4112" t="str">
        <f t="shared" si="203"/>
        <v>June</v>
      </c>
      <c r="C4112" s="46" t="s">
        <v>280</v>
      </c>
      <c r="F4112" s="366" t="s">
        <v>2259</v>
      </c>
      <c r="G4112" s="46" t="s">
        <v>18</v>
      </c>
      <c r="H4112" s="46">
        <v>2</v>
      </c>
      <c r="I4112" s="51">
        <v>5367.65</v>
      </c>
      <c r="J4112" s="281">
        <f>++Tabla4[[#This Row],[Precio Bruto]]*1.16</f>
        <v>6226.4739999999993</v>
      </c>
      <c r="K4112" s="281">
        <f>+Tabla4[[#This Row],[Precio Unitario Neto]]*Tabla4[[#Headers],[20.85%]]</f>
        <v>1298.2198289999999</v>
      </c>
      <c r="L4112" s="282">
        <f>++Tabla4[[#This Row],[Precio Unitario Neto]]-Tabla4[[#This Row],[20.85%]]</f>
        <v>4928.2541709999996</v>
      </c>
      <c r="M4112" s="282" t="e">
        <f>(INDEX(Tabla6[#All],MATCH(Tabla4[[#This Row],[Producto]],Tabla6[[#All],[PRODUCTO]],0),MATCH(Tabla4[[#This Row],[Mes]],Tabla6[#Headers],0)))*(1+Catalogos!$L$2)</f>
        <v>#N/A</v>
      </c>
      <c r="N4112" s="283" t="e">
        <f>+(Tabla4[[#This Row],[Precio Descontado]]-Tabla4[[#This Row],[Precio Base]])*Tabla4[[#This Row],[Cantidad]]</f>
        <v>#N/A</v>
      </c>
      <c r="O4112" s="284" t="e">
        <f>++Tabla4[[#This Row],[Utilidad Total]]/Tabla4[[#This Row],[Total]]</f>
        <v>#N/A</v>
      </c>
      <c r="P4112" s="282">
        <f>++Tabla4[[#This Row],[Precio Descontado]]*Tabla4[[#This Row],[Cantidad]]</f>
        <v>9856.5083419999992</v>
      </c>
      <c r="Q4112" s="282" t="e">
        <f>(INDEX(Tabla6[#All],MATCH(Tabla4[[#This Row],[Producto]],Tabla6[[#All],[PRODUCTO]],0),MATCH(Tabla4[[#This Row],[Mes]],Tabla6[#Headers],0)))</f>
        <v>#N/A</v>
      </c>
      <c r="R4112" s="282" t="e">
        <f>++Tabla4[[#This Row],[Precio Unitario Neto]]-Tabla4[[#This Row],[20.85%]]-Tabla4[[#This Row],[Costo]]</f>
        <v>#N/A</v>
      </c>
      <c r="S4112" s="282" t="e">
        <f>++Tabla4[[#This Row],[U. Bruta Uni]]*Tabla4[[#This Row],[Cantidad]]</f>
        <v>#N/A</v>
      </c>
      <c r="T4112" s="369" t="str">
        <f>VLOOKUP(Tabla4[[#This Row],[Producto]],Tabla6[#All],14,FALSE)</f>
        <v>Termico Solar</v>
      </c>
      <c r="U4112" s="284" t="e">
        <f>(IF(Tabla4[[#This Row],[Familia]]="termico solar",Tabla4[[#This Row],[Utilidad Total]]*6%,Tabla4[[#This Row],[Utilidad Total]]*11.5%))/Tabla4[[#This Row],[Total]]</f>
        <v>#N/A</v>
      </c>
      <c r="V4112" s="282" t="e">
        <f>+Tabla4[[#This Row],[Comisión Calculada]]*Tabla4[[#This Row],[Total]]</f>
        <v>#N/A</v>
      </c>
    </row>
    <row r="4113" spans="1:22" hidden="1" x14ac:dyDescent="0.25">
      <c r="A4113" s="100">
        <v>45838</v>
      </c>
      <c r="B4113" t="str">
        <f t="shared" si="203"/>
        <v>June</v>
      </c>
      <c r="C4113" s="46" t="s">
        <v>280</v>
      </c>
      <c r="F4113" s="366" t="s">
        <v>2260</v>
      </c>
      <c r="G4113" s="46" t="s">
        <v>566</v>
      </c>
      <c r="H4113" s="46">
        <v>2</v>
      </c>
      <c r="I4113" s="51">
        <v>2109.4499999999998</v>
      </c>
      <c r="J4113" s="281">
        <f>++Tabla4[[#This Row],[Precio Bruto]]*1.16</f>
        <v>2446.9619999999995</v>
      </c>
      <c r="K4113" s="281">
        <f>+Tabla4[[#This Row],[Precio Unitario Neto]]*Tabla4[[#Headers],[20.85%]]</f>
        <v>510.19157699999988</v>
      </c>
      <c r="L4113" s="282">
        <f>++Tabla4[[#This Row],[Precio Unitario Neto]]-Tabla4[[#This Row],[20.85%]]</f>
        <v>1936.7704229999997</v>
      </c>
      <c r="M4113" s="282" t="e">
        <f>(INDEX(Tabla6[#All],MATCH(Tabla4[[#This Row],[Producto]],Tabla6[[#All],[PRODUCTO]],0),MATCH(Tabla4[[#This Row],[Mes]],Tabla6[#Headers],0)))*(1+Catalogos!$L$2)</f>
        <v>#N/A</v>
      </c>
      <c r="N4113" s="283" t="e">
        <f>+(Tabla4[[#This Row],[Precio Descontado]]-Tabla4[[#This Row],[Precio Base]])*Tabla4[[#This Row],[Cantidad]]</f>
        <v>#N/A</v>
      </c>
      <c r="O4113" s="284" t="e">
        <f>++Tabla4[[#This Row],[Utilidad Total]]/Tabla4[[#This Row],[Total]]</f>
        <v>#N/A</v>
      </c>
      <c r="P4113" s="282">
        <f>++Tabla4[[#This Row],[Precio Descontado]]*Tabla4[[#This Row],[Cantidad]]</f>
        <v>3873.5408459999994</v>
      </c>
      <c r="Q4113" s="282" t="e">
        <f>(INDEX(Tabla6[#All],MATCH(Tabla4[[#This Row],[Producto]],Tabla6[[#All],[PRODUCTO]],0),MATCH(Tabla4[[#This Row],[Mes]],Tabla6[#Headers],0)))</f>
        <v>#N/A</v>
      </c>
      <c r="R4113" s="282" t="e">
        <f>++Tabla4[[#This Row],[Precio Unitario Neto]]-Tabla4[[#This Row],[20.85%]]-Tabla4[[#This Row],[Costo]]</f>
        <v>#N/A</v>
      </c>
      <c r="S4113" s="282" t="e">
        <f>++Tabla4[[#This Row],[U. Bruta Uni]]*Tabla4[[#This Row],[Cantidad]]</f>
        <v>#N/A</v>
      </c>
      <c r="T4113" s="369" t="str">
        <f>VLOOKUP(Tabla4[[#This Row],[Producto]],Tabla6[#All],14,FALSE)</f>
        <v>Termico Solar</v>
      </c>
      <c r="U4113" s="284" t="e">
        <f>(IF(Tabla4[[#This Row],[Familia]]="termico solar",Tabla4[[#This Row],[Utilidad Total]]*6%,Tabla4[[#This Row],[Utilidad Total]]*11.5%))/Tabla4[[#This Row],[Total]]</f>
        <v>#N/A</v>
      </c>
      <c r="V4113" s="282" t="e">
        <f>+Tabla4[[#This Row],[Comisión Calculada]]*Tabla4[[#This Row],[Total]]</f>
        <v>#N/A</v>
      </c>
    </row>
    <row r="4114" spans="1:22" hidden="1" x14ac:dyDescent="0.25">
      <c r="A4114" s="100">
        <v>45838</v>
      </c>
      <c r="B4114" t="str">
        <f t="shared" si="203"/>
        <v>June</v>
      </c>
      <c r="C4114" s="46" t="s">
        <v>280</v>
      </c>
      <c r="F4114" s="366" t="s">
        <v>2260</v>
      </c>
      <c r="G4114" s="46" t="s">
        <v>208</v>
      </c>
      <c r="H4114" s="46">
        <v>1</v>
      </c>
      <c r="I4114" s="51">
        <v>189.75</v>
      </c>
      <c r="J4114" s="281">
        <f>++Tabla4[[#This Row],[Precio Bruto]]*1.16</f>
        <v>220.10999999999999</v>
      </c>
      <c r="K4114" s="281">
        <f>+Tabla4[[#This Row],[Precio Unitario Neto]]*Tabla4[[#Headers],[20.85%]]</f>
        <v>45.892934999999994</v>
      </c>
      <c r="L4114" s="282">
        <f>++Tabla4[[#This Row],[Precio Unitario Neto]]-Tabla4[[#This Row],[20.85%]]</f>
        <v>174.21706499999999</v>
      </c>
      <c r="M4114" s="282" t="e">
        <f>(INDEX(Tabla6[#All],MATCH(Tabla4[[#This Row],[Producto]],Tabla6[[#All],[PRODUCTO]],0),MATCH(Tabla4[[#This Row],[Mes]],Tabla6[#Headers],0)))*(1+Catalogos!$L$2)</f>
        <v>#N/A</v>
      </c>
      <c r="N4114" s="283" t="e">
        <f>+(Tabla4[[#This Row],[Precio Descontado]]-Tabla4[[#This Row],[Precio Base]])*Tabla4[[#This Row],[Cantidad]]</f>
        <v>#N/A</v>
      </c>
      <c r="O4114" s="284" t="e">
        <f>++Tabla4[[#This Row],[Utilidad Total]]/Tabla4[[#This Row],[Total]]</f>
        <v>#N/A</v>
      </c>
      <c r="P4114" s="282">
        <f>++Tabla4[[#This Row],[Precio Descontado]]*Tabla4[[#This Row],[Cantidad]]</f>
        <v>174.21706499999999</v>
      </c>
      <c r="Q4114" s="282" t="e">
        <f>(INDEX(Tabla6[#All],MATCH(Tabla4[[#This Row],[Producto]],Tabla6[[#All],[PRODUCTO]],0),MATCH(Tabla4[[#This Row],[Mes]],Tabla6[#Headers],0)))</f>
        <v>#N/A</v>
      </c>
      <c r="R4114" s="282" t="e">
        <f>++Tabla4[[#This Row],[Precio Unitario Neto]]-Tabla4[[#This Row],[20.85%]]-Tabla4[[#This Row],[Costo]]</f>
        <v>#N/A</v>
      </c>
      <c r="S4114" s="282" t="e">
        <f>++Tabla4[[#This Row],[U. Bruta Uni]]*Tabla4[[#This Row],[Cantidad]]</f>
        <v>#N/A</v>
      </c>
      <c r="T4114" s="369" t="str">
        <f>VLOOKUP(Tabla4[[#This Row],[Producto]],Tabla6[#All],14,FALSE)</f>
        <v>Termico Solar</v>
      </c>
      <c r="U4114" s="284" t="e">
        <f>(IF(Tabla4[[#This Row],[Familia]]="termico solar",Tabla4[[#This Row],[Utilidad Total]]*6%,Tabla4[[#This Row],[Utilidad Total]]*11.5%))/Tabla4[[#This Row],[Total]]</f>
        <v>#N/A</v>
      </c>
      <c r="V4114" s="282" t="e">
        <f>+Tabla4[[#This Row],[Comisión Calculada]]*Tabla4[[#This Row],[Total]]</f>
        <v>#N/A</v>
      </c>
    </row>
    <row r="4115" spans="1:22" hidden="1" x14ac:dyDescent="0.25">
      <c r="A4115" s="100">
        <v>45838</v>
      </c>
      <c r="B4115" t="str">
        <f t="shared" si="203"/>
        <v>June</v>
      </c>
      <c r="C4115" s="46" t="s">
        <v>280</v>
      </c>
      <c r="F4115" s="366" t="s">
        <v>2261</v>
      </c>
      <c r="G4115" s="46" t="s">
        <v>208</v>
      </c>
      <c r="H4115" s="46">
        <v>1</v>
      </c>
      <c r="I4115" s="51">
        <v>189.75</v>
      </c>
      <c r="J4115" s="281">
        <f>++Tabla4[[#This Row],[Precio Bruto]]*1.16</f>
        <v>220.10999999999999</v>
      </c>
      <c r="K4115" s="281">
        <f>+Tabla4[[#This Row],[Precio Unitario Neto]]*Tabla4[[#Headers],[20.85%]]</f>
        <v>45.892934999999994</v>
      </c>
      <c r="L4115" s="282">
        <f>++Tabla4[[#This Row],[Precio Unitario Neto]]-Tabla4[[#This Row],[20.85%]]</f>
        <v>174.21706499999999</v>
      </c>
      <c r="M4115" s="282" t="e">
        <f>(INDEX(Tabla6[#All],MATCH(Tabla4[[#This Row],[Producto]],Tabla6[[#All],[PRODUCTO]],0),MATCH(Tabla4[[#This Row],[Mes]],Tabla6[#Headers],0)))*(1+Catalogos!$L$2)</f>
        <v>#N/A</v>
      </c>
      <c r="N4115" s="283" t="e">
        <f>+(Tabla4[[#This Row],[Precio Descontado]]-Tabla4[[#This Row],[Precio Base]])*Tabla4[[#This Row],[Cantidad]]</f>
        <v>#N/A</v>
      </c>
      <c r="O4115" s="284" t="e">
        <f>++Tabla4[[#This Row],[Utilidad Total]]/Tabla4[[#This Row],[Total]]</f>
        <v>#N/A</v>
      </c>
      <c r="P4115" s="282">
        <f>++Tabla4[[#This Row],[Precio Descontado]]*Tabla4[[#This Row],[Cantidad]]</f>
        <v>174.21706499999999</v>
      </c>
      <c r="Q4115" s="282" t="e">
        <f>(INDEX(Tabla6[#All],MATCH(Tabla4[[#This Row],[Producto]],Tabla6[[#All],[PRODUCTO]],0),MATCH(Tabla4[[#This Row],[Mes]],Tabla6[#Headers],0)))</f>
        <v>#N/A</v>
      </c>
      <c r="R4115" s="282" t="e">
        <f>++Tabla4[[#This Row],[Precio Unitario Neto]]-Tabla4[[#This Row],[20.85%]]-Tabla4[[#This Row],[Costo]]</f>
        <v>#N/A</v>
      </c>
      <c r="S4115" s="282" t="e">
        <f>++Tabla4[[#This Row],[U. Bruta Uni]]*Tabla4[[#This Row],[Cantidad]]</f>
        <v>#N/A</v>
      </c>
      <c r="T4115" s="369" t="str">
        <f>VLOOKUP(Tabla4[[#This Row],[Producto]],Tabla6[#All],14,FALSE)</f>
        <v>Termico Solar</v>
      </c>
      <c r="U4115" s="284" t="e">
        <f>(IF(Tabla4[[#This Row],[Familia]]="termico solar",Tabla4[[#This Row],[Utilidad Total]]*6%,Tabla4[[#This Row],[Utilidad Total]]*11.5%))/Tabla4[[#This Row],[Total]]</f>
        <v>#N/A</v>
      </c>
      <c r="V4115" s="282" t="e">
        <f>+Tabla4[[#This Row],[Comisión Calculada]]*Tabla4[[#This Row],[Total]]</f>
        <v>#N/A</v>
      </c>
    </row>
    <row r="4116" spans="1:22" hidden="1" x14ac:dyDescent="0.25">
      <c r="A4116" s="100">
        <v>45838</v>
      </c>
      <c r="B4116" t="str">
        <f t="shared" si="203"/>
        <v>June</v>
      </c>
      <c r="C4116" s="46" t="s">
        <v>280</v>
      </c>
      <c r="F4116" s="366" t="s">
        <v>2261</v>
      </c>
      <c r="G4116" s="46" t="s">
        <v>209</v>
      </c>
      <c r="H4116" s="46">
        <v>1</v>
      </c>
      <c r="I4116" s="51">
        <v>347.48</v>
      </c>
      <c r="J4116" s="281">
        <f>++Tabla4[[#This Row],[Precio Bruto]]*1.16</f>
        <v>403.07679999999999</v>
      </c>
      <c r="K4116" s="281">
        <f>+Tabla4[[#This Row],[Precio Unitario Neto]]*Tabla4[[#Headers],[20.85%]]</f>
        <v>84.041512799999992</v>
      </c>
      <c r="L4116" s="282">
        <f>++Tabla4[[#This Row],[Precio Unitario Neto]]-Tabla4[[#This Row],[20.85%]]</f>
        <v>319.03528719999997</v>
      </c>
      <c r="M4116" s="282" t="e">
        <f>(INDEX(Tabla6[#All],MATCH(Tabla4[[#This Row],[Producto]],Tabla6[[#All],[PRODUCTO]],0),MATCH(Tabla4[[#This Row],[Mes]],Tabla6[#Headers],0)))*(1+Catalogos!$L$2)</f>
        <v>#N/A</v>
      </c>
      <c r="N4116" s="283" t="e">
        <f>+(Tabla4[[#This Row],[Precio Descontado]]-Tabla4[[#This Row],[Precio Base]])*Tabla4[[#This Row],[Cantidad]]</f>
        <v>#N/A</v>
      </c>
      <c r="O4116" s="284" t="e">
        <f>++Tabla4[[#This Row],[Utilidad Total]]/Tabla4[[#This Row],[Total]]</f>
        <v>#N/A</v>
      </c>
      <c r="P4116" s="282">
        <f>++Tabla4[[#This Row],[Precio Descontado]]*Tabla4[[#This Row],[Cantidad]]</f>
        <v>319.03528719999997</v>
      </c>
      <c r="Q4116" s="282" t="e">
        <f>(INDEX(Tabla6[#All],MATCH(Tabla4[[#This Row],[Producto]],Tabla6[[#All],[PRODUCTO]],0),MATCH(Tabla4[[#This Row],[Mes]],Tabla6[#Headers],0)))</f>
        <v>#N/A</v>
      </c>
      <c r="R4116" s="282" t="e">
        <f>++Tabla4[[#This Row],[Precio Unitario Neto]]-Tabla4[[#This Row],[20.85%]]-Tabla4[[#This Row],[Costo]]</f>
        <v>#N/A</v>
      </c>
      <c r="S4116" s="282" t="e">
        <f>++Tabla4[[#This Row],[U. Bruta Uni]]*Tabla4[[#This Row],[Cantidad]]</f>
        <v>#N/A</v>
      </c>
      <c r="T4116" s="369" t="str">
        <f>VLOOKUP(Tabla4[[#This Row],[Producto]],Tabla6[#All],14,FALSE)</f>
        <v>Termico Solar</v>
      </c>
      <c r="U4116" s="284" t="e">
        <f>(IF(Tabla4[[#This Row],[Familia]]="termico solar",Tabla4[[#This Row],[Utilidad Total]]*6%,Tabla4[[#This Row],[Utilidad Total]]*11.5%))/Tabla4[[#This Row],[Total]]</f>
        <v>#N/A</v>
      </c>
      <c r="V4116" s="282" t="e">
        <f>+Tabla4[[#This Row],[Comisión Calculada]]*Tabla4[[#This Row],[Total]]</f>
        <v>#N/A</v>
      </c>
    </row>
    <row r="4117" spans="1:22" hidden="1" x14ac:dyDescent="0.25">
      <c r="A4117" s="100">
        <v>45838</v>
      </c>
      <c r="B4117" t="str">
        <f t="shared" si="203"/>
        <v>June</v>
      </c>
      <c r="C4117" s="46" t="s">
        <v>280</v>
      </c>
      <c r="F4117" s="366" t="s">
        <v>2262</v>
      </c>
      <c r="G4117" s="46" t="s">
        <v>18</v>
      </c>
      <c r="H4117" s="46">
        <v>2</v>
      </c>
      <c r="I4117" s="51">
        <v>5367.65</v>
      </c>
      <c r="J4117" s="281">
        <f>++Tabla4[[#This Row],[Precio Bruto]]*1.16</f>
        <v>6226.4739999999993</v>
      </c>
      <c r="K4117" s="281">
        <f>+Tabla4[[#This Row],[Precio Unitario Neto]]*Tabla4[[#Headers],[20.85%]]</f>
        <v>1298.2198289999999</v>
      </c>
      <c r="L4117" s="282">
        <f>++Tabla4[[#This Row],[Precio Unitario Neto]]-Tabla4[[#This Row],[20.85%]]</f>
        <v>4928.2541709999996</v>
      </c>
      <c r="M4117" s="282" t="e">
        <f>(INDEX(Tabla6[#All],MATCH(Tabla4[[#This Row],[Producto]],Tabla6[[#All],[PRODUCTO]],0),MATCH(Tabla4[[#This Row],[Mes]],Tabla6[#Headers],0)))*(1+Catalogos!$L$2)</f>
        <v>#N/A</v>
      </c>
      <c r="N4117" s="283" t="e">
        <f>+(Tabla4[[#This Row],[Precio Descontado]]-Tabla4[[#This Row],[Precio Base]])*Tabla4[[#This Row],[Cantidad]]</f>
        <v>#N/A</v>
      </c>
      <c r="O4117" s="284" t="e">
        <f>++Tabla4[[#This Row],[Utilidad Total]]/Tabla4[[#This Row],[Total]]</f>
        <v>#N/A</v>
      </c>
      <c r="P4117" s="282">
        <f>++Tabla4[[#This Row],[Precio Descontado]]*Tabla4[[#This Row],[Cantidad]]</f>
        <v>9856.5083419999992</v>
      </c>
      <c r="Q4117" s="282" t="e">
        <f>(INDEX(Tabla6[#All],MATCH(Tabla4[[#This Row],[Producto]],Tabla6[[#All],[PRODUCTO]],0),MATCH(Tabla4[[#This Row],[Mes]],Tabla6[#Headers],0)))</f>
        <v>#N/A</v>
      </c>
      <c r="R4117" s="282" t="e">
        <f>++Tabla4[[#This Row],[Precio Unitario Neto]]-Tabla4[[#This Row],[20.85%]]-Tabla4[[#This Row],[Costo]]</f>
        <v>#N/A</v>
      </c>
      <c r="S4117" s="282" t="e">
        <f>++Tabla4[[#This Row],[U. Bruta Uni]]*Tabla4[[#This Row],[Cantidad]]</f>
        <v>#N/A</v>
      </c>
      <c r="T4117" s="369" t="str">
        <f>VLOOKUP(Tabla4[[#This Row],[Producto]],Tabla6[#All],14,FALSE)</f>
        <v>Termico Solar</v>
      </c>
      <c r="U4117" s="284" t="e">
        <f>(IF(Tabla4[[#This Row],[Familia]]="termico solar",Tabla4[[#This Row],[Utilidad Total]]*6%,Tabla4[[#This Row],[Utilidad Total]]*11.5%))/Tabla4[[#This Row],[Total]]</f>
        <v>#N/A</v>
      </c>
      <c r="V4117" s="282" t="e">
        <f>+Tabla4[[#This Row],[Comisión Calculada]]*Tabla4[[#This Row],[Total]]</f>
        <v>#N/A</v>
      </c>
    </row>
    <row r="4118" spans="1:22" hidden="1" x14ac:dyDescent="0.25">
      <c r="A4118" s="100">
        <v>45838</v>
      </c>
      <c r="B4118" t="str">
        <f t="shared" si="203"/>
        <v>June</v>
      </c>
      <c r="C4118" s="46" t="s">
        <v>280</v>
      </c>
      <c r="F4118" s="366" t="s">
        <v>2262</v>
      </c>
      <c r="G4118" s="46" t="s">
        <v>566</v>
      </c>
      <c r="H4118" s="46">
        <v>1</v>
      </c>
      <c r="I4118" s="51">
        <v>2109.4499999999998</v>
      </c>
      <c r="J4118" s="281">
        <f>++Tabla4[[#This Row],[Precio Bruto]]*1.16</f>
        <v>2446.9619999999995</v>
      </c>
      <c r="K4118" s="281">
        <f>+Tabla4[[#This Row],[Precio Unitario Neto]]*Tabla4[[#Headers],[20.85%]]</f>
        <v>510.19157699999988</v>
      </c>
      <c r="L4118" s="282">
        <f>++Tabla4[[#This Row],[Precio Unitario Neto]]-Tabla4[[#This Row],[20.85%]]</f>
        <v>1936.7704229999997</v>
      </c>
      <c r="M4118" s="282" t="e">
        <f>(INDEX(Tabla6[#All],MATCH(Tabla4[[#This Row],[Producto]],Tabla6[[#All],[PRODUCTO]],0),MATCH(Tabla4[[#This Row],[Mes]],Tabla6[#Headers],0)))*(1+Catalogos!$L$2)</f>
        <v>#N/A</v>
      </c>
      <c r="N4118" s="283" t="e">
        <f>+(Tabla4[[#This Row],[Precio Descontado]]-Tabla4[[#This Row],[Precio Base]])*Tabla4[[#This Row],[Cantidad]]</f>
        <v>#N/A</v>
      </c>
      <c r="O4118" s="284" t="e">
        <f>++Tabla4[[#This Row],[Utilidad Total]]/Tabla4[[#This Row],[Total]]</f>
        <v>#N/A</v>
      </c>
      <c r="P4118" s="282">
        <f>++Tabla4[[#This Row],[Precio Descontado]]*Tabla4[[#This Row],[Cantidad]]</f>
        <v>1936.7704229999997</v>
      </c>
      <c r="Q4118" s="282" t="e">
        <f>(INDEX(Tabla6[#All],MATCH(Tabla4[[#This Row],[Producto]],Tabla6[[#All],[PRODUCTO]],0),MATCH(Tabla4[[#This Row],[Mes]],Tabla6[#Headers],0)))</f>
        <v>#N/A</v>
      </c>
      <c r="R4118" s="282" t="e">
        <f>++Tabla4[[#This Row],[Precio Unitario Neto]]-Tabla4[[#This Row],[20.85%]]-Tabla4[[#This Row],[Costo]]</f>
        <v>#N/A</v>
      </c>
      <c r="S4118" s="282" t="e">
        <f>++Tabla4[[#This Row],[U. Bruta Uni]]*Tabla4[[#This Row],[Cantidad]]</f>
        <v>#N/A</v>
      </c>
      <c r="T4118" s="369" t="str">
        <f>VLOOKUP(Tabla4[[#This Row],[Producto]],Tabla6[#All],14,FALSE)</f>
        <v>Termico Solar</v>
      </c>
      <c r="U4118" s="284" t="e">
        <f>(IF(Tabla4[[#This Row],[Familia]]="termico solar",Tabla4[[#This Row],[Utilidad Total]]*6%,Tabla4[[#This Row],[Utilidad Total]]*11.5%))/Tabla4[[#This Row],[Total]]</f>
        <v>#N/A</v>
      </c>
      <c r="V4118" s="282" t="e">
        <f>+Tabla4[[#This Row],[Comisión Calculada]]*Tabla4[[#This Row],[Total]]</f>
        <v>#N/A</v>
      </c>
    </row>
    <row r="4119" spans="1:22" hidden="1" x14ac:dyDescent="0.25">
      <c r="A4119" s="100">
        <v>45838</v>
      </c>
      <c r="B4119" t="str">
        <f t="shared" si="203"/>
        <v>June</v>
      </c>
      <c r="C4119" s="46" t="s">
        <v>280</v>
      </c>
      <c r="F4119" s="366" t="s">
        <v>2263</v>
      </c>
      <c r="G4119" s="46" t="s">
        <v>17</v>
      </c>
      <c r="H4119" s="46">
        <v>4</v>
      </c>
      <c r="I4119" s="51">
        <v>4622.28</v>
      </c>
      <c r="J4119" s="281">
        <f>++Tabla4[[#This Row],[Precio Bruto]]*1.16</f>
        <v>5361.8447999999989</v>
      </c>
      <c r="K4119" s="281">
        <f>+Tabla4[[#This Row],[Precio Unitario Neto]]*Tabla4[[#Headers],[20.85%]]</f>
        <v>1117.9446407999997</v>
      </c>
      <c r="L4119" s="282">
        <f>++Tabla4[[#This Row],[Precio Unitario Neto]]-Tabla4[[#This Row],[20.85%]]</f>
        <v>4243.9001591999995</v>
      </c>
      <c r="M4119" s="282" t="e">
        <f>(INDEX(Tabla6[#All],MATCH(Tabla4[[#This Row],[Producto]],Tabla6[[#All],[PRODUCTO]],0),MATCH(Tabla4[[#This Row],[Mes]],Tabla6[#Headers],0)))*(1+Catalogos!$L$2)</f>
        <v>#N/A</v>
      </c>
      <c r="N4119" s="283" t="e">
        <f>+(Tabla4[[#This Row],[Precio Descontado]]-Tabla4[[#This Row],[Precio Base]])*Tabla4[[#This Row],[Cantidad]]</f>
        <v>#N/A</v>
      </c>
      <c r="O4119" s="284" t="e">
        <f>++Tabla4[[#This Row],[Utilidad Total]]/Tabla4[[#This Row],[Total]]</f>
        <v>#N/A</v>
      </c>
      <c r="P4119" s="282">
        <f>++Tabla4[[#This Row],[Precio Descontado]]*Tabla4[[#This Row],[Cantidad]]</f>
        <v>16975.600636799998</v>
      </c>
      <c r="Q4119" s="282" t="e">
        <f>(INDEX(Tabla6[#All],MATCH(Tabla4[[#This Row],[Producto]],Tabla6[[#All],[PRODUCTO]],0),MATCH(Tabla4[[#This Row],[Mes]],Tabla6[#Headers],0)))</f>
        <v>#N/A</v>
      </c>
      <c r="R4119" s="282" t="e">
        <f>++Tabla4[[#This Row],[Precio Unitario Neto]]-Tabla4[[#This Row],[20.85%]]-Tabla4[[#This Row],[Costo]]</f>
        <v>#N/A</v>
      </c>
      <c r="S4119" s="282" t="e">
        <f>++Tabla4[[#This Row],[U. Bruta Uni]]*Tabla4[[#This Row],[Cantidad]]</f>
        <v>#N/A</v>
      </c>
      <c r="T4119" s="369" t="str">
        <f>VLOOKUP(Tabla4[[#This Row],[Producto]],Tabla6[#All],14,FALSE)</f>
        <v>Termico Solar</v>
      </c>
      <c r="U4119" s="284" t="e">
        <f>(IF(Tabla4[[#This Row],[Familia]]="termico solar",Tabla4[[#This Row],[Utilidad Total]]*6%,Tabla4[[#This Row],[Utilidad Total]]*11.5%))/Tabla4[[#This Row],[Total]]</f>
        <v>#N/A</v>
      </c>
      <c r="V4119" s="282" t="e">
        <f>+Tabla4[[#This Row],[Comisión Calculada]]*Tabla4[[#This Row],[Total]]</f>
        <v>#N/A</v>
      </c>
    </row>
    <row r="4120" spans="1:22" hidden="1" x14ac:dyDescent="0.25">
      <c r="A4120" s="100">
        <v>45838</v>
      </c>
      <c r="B4120" t="str">
        <f t="shared" si="203"/>
        <v>June</v>
      </c>
      <c r="C4120" s="46" t="s">
        <v>280</v>
      </c>
      <c r="F4120" s="366" t="s">
        <v>2263</v>
      </c>
      <c r="G4120" s="46" t="s">
        <v>18</v>
      </c>
      <c r="H4120" s="46">
        <v>2</v>
      </c>
      <c r="I4120" s="51">
        <v>5367.65</v>
      </c>
      <c r="J4120" s="281">
        <f>++Tabla4[[#This Row],[Precio Bruto]]*1.16</f>
        <v>6226.4739999999993</v>
      </c>
      <c r="K4120" s="281">
        <f>+Tabla4[[#This Row],[Precio Unitario Neto]]*Tabla4[[#Headers],[20.85%]]</f>
        <v>1298.2198289999999</v>
      </c>
      <c r="L4120" s="282">
        <f>++Tabla4[[#This Row],[Precio Unitario Neto]]-Tabla4[[#This Row],[20.85%]]</f>
        <v>4928.2541709999996</v>
      </c>
      <c r="M4120" s="282" t="e">
        <f>(INDEX(Tabla6[#All],MATCH(Tabla4[[#This Row],[Producto]],Tabla6[[#All],[PRODUCTO]],0),MATCH(Tabla4[[#This Row],[Mes]],Tabla6[#Headers],0)))*(1+Catalogos!$L$2)</f>
        <v>#N/A</v>
      </c>
      <c r="N4120" s="283" t="e">
        <f>+(Tabla4[[#This Row],[Precio Descontado]]-Tabla4[[#This Row],[Precio Base]])*Tabla4[[#This Row],[Cantidad]]</f>
        <v>#N/A</v>
      </c>
      <c r="O4120" s="284" t="e">
        <f>++Tabla4[[#This Row],[Utilidad Total]]/Tabla4[[#This Row],[Total]]</f>
        <v>#N/A</v>
      </c>
      <c r="P4120" s="282">
        <f>++Tabla4[[#This Row],[Precio Descontado]]*Tabla4[[#This Row],[Cantidad]]</f>
        <v>9856.5083419999992</v>
      </c>
      <c r="Q4120" s="282" t="e">
        <f>(INDEX(Tabla6[#All],MATCH(Tabla4[[#This Row],[Producto]],Tabla6[[#All],[PRODUCTO]],0),MATCH(Tabla4[[#This Row],[Mes]],Tabla6[#Headers],0)))</f>
        <v>#N/A</v>
      </c>
      <c r="R4120" s="282" t="e">
        <f>++Tabla4[[#This Row],[Precio Unitario Neto]]-Tabla4[[#This Row],[20.85%]]-Tabla4[[#This Row],[Costo]]</f>
        <v>#N/A</v>
      </c>
      <c r="S4120" s="282" t="e">
        <f>++Tabla4[[#This Row],[U. Bruta Uni]]*Tabla4[[#This Row],[Cantidad]]</f>
        <v>#N/A</v>
      </c>
      <c r="T4120" s="369" t="str">
        <f>VLOOKUP(Tabla4[[#This Row],[Producto]],Tabla6[#All],14,FALSE)</f>
        <v>Termico Solar</v>
      </c>
      <c r="U4120" s="284" t="e">
        <f>(IF(Tabla4[[#This Row],[Familia]]="termico solar",Tabla4[[#This Row],[Utilidad Total]]*6%,Tabla4[[#This Row],[Utilidad Total]]*11.5%))/Tabla4[[#This Row],[Total]]</f>
        <v>#N/A</v>
      </c>
      <c r="V4120" s="282" t="e">
        <f>+Tabla4[[#This Row],[Comisión Calculada]]*Tabla4[[#This Row],[Total]]</f>
        <v>#N/A</v>
      </c>
    </row>
    <row r="4121" spans="1:22" hidden="1" x14ac:dyDescent="0.25">
      <c r="A4121" s="100">
        <v>45838</v>
      </c>
      <c r="B4121" t="str">
        <f t="shared" si="203"/>
        <v>June</v>
      </c>
      <c r="C4121" s="46" t="s">
        <v>280</v>
      </c>
      <c r="F4121" s="366" t="s">
        <v>2263</v>
      </c>
      <c r="G4121" s="46" t="s">
        <v>16</v>
      </c>
      <c r="H4121" s="46">
        <v>2</v>
      </c>
      <c r="I4121" s="51">
        <v>4103.8500000000004</v>
      </c>
      <c r="J4121" s="281">
        <f>++Tabla4[[#This Row],[Precio Bruto]]*1.16</f>
        <v>4760.4660000000003</v>
      </c>
      <c r="K4121" s="281">
        <f>+Tabla4[[#This Row],[Precio Unitario Neto]]*Tabla4[[#Headers],[20.85%]]</f>
        <v>992.55716100000006</v>
      </c>
      <c r="L4121" s="282">
        <f>++Tabla4[[#This Row],[Precio Unitario Neto]]-Tabla4[[#This Row],[20.85%]]</f>
        <v>3767.9088390000002</v>
      </c>
      <c r="M4121" s="282" t="e">
        <f>(INDEX(Tabla6[#All],MATCH(Tabla4[[#This Row],[Producto]],Tabla6[[#All],[PRODUCTO]],0),MATCH(Tabla4[[#This Row],[Mes]],Tabla6[#Headers],0)))*(1+Catalogos!$L$2)</f>
        <v>#N/A</v>
      </c>
      <c r="N4121" s="283" t="e">
        <f>+(Tabla4[[#This Row],[Precio Descontado]]-Tabla4[[#This Row],[Precio Base]])*Tabla4[[#This Row],[Cantidad]]</f>
        <v>#N/A</v>
      </c>
      <c r="O4121" s="284" t="e">
        <f>++Tabla4[[#This Row],[Utilidad Total]]/Tabla4[[#This Row],[Total]]</f>
        <v>#N/A</v>
      </c>
      <c r="P4121" s="282">
        <f>++Tabla4[[#This Row],[Precio Descontado]]*Tabla4[[#This Row],[Cantidad]]</f>
        <v>7535.8176780000003</v>
      </c>
      <c r="Q4121" s="282" t="e">
        <f>(INDEX(Tabla6[#All],MATCH(Tabla4[[#This Row],[Producto]],Tabla6[[#All],[PRODUCTO]],0),MATCH(Tabla4[[#This Row],[Mes]],Tabla6[#Headers],0)))</f>
        <v>#N/A</v>
      </c>
      <c r="R4121" s="282" t="e">
        <f>++Tabla4[[#This Row],[Precio Unitario Neto]]-Tabla4[[#This Row],[20.85%]]-Tabla4[[#This Row],[Costo]]</f>
        <v>#N/A</v>
      </c>
      <c r="S4121" s="282" t="e">
        <f>++Tabla4[[#This Row],[U. Bruta Uni]]*Tabla4[[#This Row],[Cantidad]]</f>
        <v>#N/A</v>
      </c>
      <c r="T4121" s="369" t="str">
        <f>VLOOKUP(Tabla4[[#This Row],[Producto]],Tabla6[#All],14,FALSE)</f>
        <v>Termico Solar</v>
      </c>
      <c r="U4121" s="284" t="e">
        <f>(IF(Tabla4[[#This Row],[Familia]]="termico solar",Tabla4[[#This Row],[Utilidad Total]]*6%,Tabla4[[#This Row],[Utilidad Total]]*11.5%))/Tabla4[[#This Row],[Total]]</f>
        <v>#N/A</v>
      </c>
      <c r="V4121" s="282" t="e">
        <f>+Tabla4[[#This Row],[Comisión Calculada]]*Tabla4[[#This Row],[Total]]</f>
        <v>#N/A</v>
      </c>
    </row>
    <row r="4122" spans="1:22" hidden="1" x14ac:dyDescent="0.25">
      <c r="A4122" s="100">
        <v>45838</v>
      </c>
      <c r="B4122" t="str">
        <f t="shared" si="203"/>
        <v>June</v>
      </c>
      <c r="C4122" s="46" t="s">
        <v>280</v>
      </c>
      <c r="F4122" s="366" t="s">
        <v>2263</v>
      </c>
      <c r="G4122" s="46" t="s">
        <v>208</v>
      </c>
      <c r="H4122" s="46">
        <v>6</v>
      </c>
      <c r="I4122" s="51">
        <v>189.75</v>
      </c>
      <c r="J4122" s="281">
        <f>++Tabla4[[#This Row],[Precio Bruto]]*1.16</f>
        <v>220.10999999999999</v>
      </c>
      <c r="K4122" s="281">
        <f>+Tabla4[[#This Row],[Precio Unitario Neto]]*Tabla4[[#Headers],[20.85%]]</f>
        <v>45.892934999999994</v>
      </c>
      <c r="L4122" s="282">
        <f>++Tabla4[[#This Row],[Precio Unitario Neto]]-Tabla4[[#This Row],[20.85%]]</f>
        <v>174.21706499999999</v>
      </c>
      <c r="M4122" s="282" t="e">
        <f>(INDEX(Tabla6[#All],MATCH(Tabla4[[#This Row],[Producto]],Tabla6[[#All],[PRODUCTO]],0),MATCH(Tabla4[[#This Row],[Mes]],Tabla6[#Headers],0)))*(1+Catalogos!$L$2)</f>
        <v>#N/A</v>
      </c>
      <c r="N4122" s="283" t="e">
        <f>+(Tabla4[[#This Row],[Precio Descontado]]-Tabla4[[#This Row],[Precio Base]])*Tabla4[[#This Row],[Cantidad]]</f>
        <v>#N/A</v>
      </c>
      <c r="O4122" s="284" t="e">
        <f>++Tabla4[[#This Row],[Utilidad Total]]/Tabla4[[#This Row],[Total]]</f>
        <v>#N/A</v>
      </c>
      <c r="P4122" s="282">
        <f>++Tabla4[[#This Row],[Precio Descontado]]*Tabla4[[#This Row],[Cantidad]]</f>
        <v>1045.3023899999998</v>
      </c>
      <c r="Q4122" s="282" t="e">
        <f>(INDEX(Tabla6[#All],MATCH(Tabla4[[#This Row],[Producto]],Tabla6[[#All],[PRODUCTO]],0),MATCH(Tabla4[[#This Row],[Mes]],Tabla6[#Headers],0)))</f>
        <v>#N/A</v>
      </c>
      <c r="R4122" s="282" t="e">
        <f>++Tabla4[[#This Row],[Precio Unitario Neto]]-Tabla4[[#This Row],[20.85%]]-Tabla4[[#This Row],[Costo]]</f>
        <v>#N/A</v>
      </c>
      <c r="S4122" s="282" t="e">
        <f>++Tabla4[[#This Row],[U. Bruta Uni]]*Tabla4[[#This Row],[Cantidad]]</f>
        <v>#N/A</v>
      </c>
      <c r="T4122" s="369" t="str">
        <f>VLOOKUP(Tabla4[[#This Row],[Producto]],Tabla6[#All],14,FALSE)</f>
        <v>Termico Solar</v>
      </c>
      <c r="U4122" s="284" t="e">
        <f>(IF(Tabla4[[#This Row],[Familia]]="termico solar",Tabla4[[#This Row],[Utilidad Total]]*6%,Tabla4[[#This Row],[Utilidad Total]]*11.5%))/Tabla4[[#This Row],[Total]]</f>
        <v>#N/A</v>
      </c>
      <c r="V4122" s="282" t="e">
        <f>+Tabla4[[#This Row],[Comisión Calculada]]*Tabla4[[#This Row],[Total]]</f>
        <v>#N/A</v>
      </c>
    </row>
    <row r="4123" spans="1:22" hidden="1" x14ac:dyDescent="0.25">
      <c r="A4123" s="100">
        <v>45838</v>
      </c>
      <c r="B4123" t="str">
        <f t="shared" si="203"/>
        <v>June</v>
      </c>
      <c r="C4123" s="46" t="s">
        <v>280</v>
      </c>
      <c r="F4123" s="366" t="s">
        <v>2264</v>
      </c>
      <c r="G4123" s="46" t="s">
        <v>17</v>
      </c>
      <c r="H4123" s="46">
        <v>1</v>
      </c>
      <c r="I4123" s="51">
        <v>4622.28</v>
      </c>
      <c r="J4123" s="281">
        <f>++Tabla4[[#This Row],[Precio Bruto]]*1.16</f>
        <v>5361.8447999999989</v>
      </c>
      <c r="K4123" s="281">
        <f>+Tabla4[[#This Row],[Precio Unitario Neto]]*Tabla4[[#Headers],[20.85%]]</f>
        <v>1117.9446407999997</v>
      </c>
      <c r="L4123" s="282">
        <f>++Tabla4[[#This Row],[Precio Unitario Neto]]-Tabla4[[#This Row],[20.85%]]</f>
        <v>4243.9001591999995</v>
      </c>
      <c r="M4123" s="282" t="e">
        <f>(INDEX(Tabla6[#All],MATCH(Tabla4[[#This Row],[Producto]],Tabla6[[#All],[PRODUCTO]],0),MATCH(Tabla4[[#This Row],[Mes]],Tabla6[#Headers],0)))*(1+Catalogos!$L$2)</f>
        <v>#N/A</v>
      </c>
      <c r="N4123" s="283" t="e">
        <f>+(Tabla4[[#This Row],[Precio Descontado]]-Tabla4[[#This Row],[Precio Base]])*Tabla4[[#This Row],[Cantidad]]</f>
        <v>#N/A</v>
      </c>
      <c r="O4123" s="284" t="e">
        <f>++Tabla4[[#This Row],[Utilidad Total]]/Tabla4[[#This Row],[Total]]</f>
        <v>#N/A</v>
      </c>
      <c r="P4123" s="282">
        <f>++Tabla4[[#This Row],[Precio Descontado]]*Tabla4[[#This Row],[Cantidad]]</f>
        <v>4243.9001591999995</v>
      </c>
      <c r="Q4123" s="282" t="e">
        <f>(INDEX(Tabla6[#All],MATCH(Tabla4[[#This Row],[Producto]],Tabla6[[#All],[PRODUCTO]],0),MATCH(Tabla4[[#This Row],[Mes]],Tabla6[#Headers],0)))</f>
        <v>#N/A</v>
      </c>
      <c r="R4123" s="282" t="e">
        <f>++Tabla4[[#This Row],[Precio Unitario Neto]]-Tabla4[[#This Row],[20.85%]]-Tabla4[[#This Row],[Costo]]</f>
        <v>#N/A</v>
      </c>
      <c r="S4123" s="282" t="e">
        <f>++Tabla4[[#This Row],[U. Bruta Uni]]*Tabla4[[#This Row],[Cantidad]]</f>
        <v>#N/A</v>
      </c>
      <c r="T4123" s="369" t="str">
        <f>VLOOKUP(Tabla4[[#This Row],[Producto]],Tabla6[#All],14,FALSE)</f>
        <v>Termico Solar</v>
      </c>
      <c r="U4123" s="284" t="e">
        <f>(IF(Tabla4[[#This Row],[Familia]]="termico solar",Tabla4[[#This Row],[Utilidad Total]]*6%,Tabla4[[#This Row],[Utilidad Total]]*11.5%))/Tabla4[[#This Row],[Total]]</f>
        <v>#N/A</v>
      </c>
      <c r="V4123" s="282" t="e">
        <f>+Tabla4[[#This Row],[Comisión Calculada]]*Tabla4[[#This Row],[Total]]</f>
        <v>#N/A</v>
      </c>
    </row>
    <row r="4124" spans="1:22" hidden="1" x14ac:dyDescent="0.25">
      <c r="A4124" s="100">
        <v>45838</v>
      </c>
      <c r="B4124" t="str">
        <f t="shared" si="203"/>
        <v>June</v>
      </c>
      <c r="C4124" s="46" t="s">
        <v>280</v>
      </c>
      <c r="F4124" s="366" t="s">
        <v>2265</v>
      </c>
      <c r="G4124" s="46" t="s">
        <v>17</v>
      </c>
      <c r="H4124" s="46">
        <v>1</v>
      </c>
      <c r="I4124" s="51">
        <v>4622.28</v>
      </c>
      <c r="J4124" s="281">
        <f>++Tabla4[[#This Row],[Precio Bruto]]*1.16</f>
        <v>5361.8447999999989</v>
      </c>
      <c r="K4124" s="281">
        <f>+Tabla4[[#This Row],[Precio Unitario Neto]]*Tabla4[[#Headers],[20.85%]]</f>
        <v>1117.9446407999997</v>
      </c>
      <c r="L4124" s="282">
        <f>++Tabla4[[#This Row],[Precio Unitario Neto]]-Tabla4[[#This Row],[20.85%]]</f>
        <v>4243.9001591999995</v>
      </c>
      <c r="M4124" s="282" t="e">
        <f>(INDEX(Tabla6[#All],MATCH(Tabla4[[#This Row],[Producto]],Tabla6[[#All],[PRODUCTO]],0),MATCH(Tabla4[[#This Row],[Mes]],Tabla6[#Headers],0)))*(1+Catalogos!$L$2)</f>
        <v>#N/A</v>
      </c>
      <c r="N4124" s="283" t="e">
        <f>+(Tabla4[[#This Row],[Precio Descontado]]-Tabla4[[#This Row],[Precio Base]])*Tabla4[[#This Row],[Cantidad]]</f>
        <v>#N/A</v>
      </c>
      <c r="O4124" s="284" t="e">
        <f>++Tabla4[[#This Row],[Utilidad Total]]/Tabla4[[#This Row],[Total]]</f>
        <v>#N/A</v>
      </c>
      <c r="P4124" s="282">
        <f>++Tabla4[[#This Row],[Precio Descontado]]*Tabla4[[#This Row],[Cantidad]]</f>
        <v>4243.9001591999995</v>
      </c>
      <c r="Q4124" s="282" t="e">
        <f>(INDEX(Tabla6[#All],MATCH(Tabla4[[#This Row],[Producto]],Tabla6[[#All],[PRODUCTO]],0),MATCH(Tabla4[[#This Row],[Mes]],Tabla6[#Headers],0)))</f>
        <v>#N/A</v>
      </c>
      <c r="R4124" s="282" t="e">
        <f>++Tabla4[[#This Row],[Precio Unitario Neto]]-Tabla4[[#This Row],[20.85%]]-Tabla4[[#This Row],[Costo]]</f>
        <v>#N/A</v>
      </c>
      <c r="S4124" s="282" t="e">
        <f>++Tabla4[[#This Row],[U. Bruta Uni]]*Tabla4[[#This Row],[Cantidad]]</f>
        <v>#N/A</v>
      </c>
      <c r="T4124" s="369" t="str">
        <f>VLOOKUP(Tabla4[[#This Row],[Producto]],Tabla6[#All],14,FALSE)</f>
        <v>Termico Solar</v>
      </c>
      <c r="U4124" s="284" t="e">
        <f>(IF(Tabla4[[#This Row],[Familia]]="termico solar",Tabla4[[#This Row],[Utilidad Total]]*6%,Tabla4[[#This Row],[Utilidad Total]]*11.5%))/Tabla4[[#This Row],[Total]]</f>
        <v>#N/A</v>
      </c>
      <c r="V4124" s="282" t="e">
        <f>+Tabla4[[#This Row],[Comisión Calculada]]*Tabla4[[#This Row],[Total]]</f>
        <v>#N/A</v>
      </c>
    </row>
    <row r="4125" spans="1:22" hidden="1" x14ac:dyDescent="0.25">
      <c r="A4125" s="100">
        <v>45838</v>
      </c>
      <c r="B4125" t="str">
        <f t="shared" si="203"/>
        <v>June</v>
      </c>
      <c r="C4125" s="46" t="s">
        <v>280</v>
      </c>
      <c r="F4125" s="366" t="s">
        <v>2266</v>
      </c>
      <c r="G4125" s="46" t="s">
        <v>83</v>
      </c>
      <c r="H4125" s="46">
        <v>3</v>
      </c>
      <c r="I4125" s="51">
        <v>8858.76</v>
      </c>
      <c r="J4125" s="281">
        <f>++Tabla4[[#This Row],[Precio Bruto]]*1.16</f>
        <v>10276.161599999999</v>
      </c>
      <c r="K4125" s="281">
        <f>+Tabla4[[#This Row],[Precio Unitario Neto]]*Tabla4[[#Headers],[20.85%]]</f>
        <v>2142.5796935999997</v>
      </c>
      <c r="L4125" s="282">
        <f>++Tabla4[[#This Row],[Precio Unitario Neto]]-Tabla4[[#This Row],[20.85%]]</f>
        <v>8133.5819063999998</v>
      </c>
      <c r="M4125" s="282" t="e">
        <f>(INDEX(Tabla6[#All],MATCH(Tabla4[[#This Row],[Producto]],Tabla6[[#All],[PRODUCTO]],0),MATCH(Tabla4[[#This Row],[Mes]],Tabla6[#Headers],0)))*(1+Catalogos!$L$2)</f>
        <v>#N/A</v>
      </c>
      <c r="N4125" s="283" t="e">
        <f>+(Tabla4[[#This Row],[Precio Descontado]]-Tabla4[[#This Row],[Precio Base]])*Tabla4[[#This Row],[Cantidad]]</f>
        <v>#N/A</v>
      </c>
      <c r="O4125" s="284" t="e">
        <f>++Tabla4[[#This Row],[Utilidad Total]]/Tabla4[[#This Row],[Total]]</f>
        <v>#N/A</v>
      </c>
      <c r="P4125" s="282">
        <f>++Tabla4[[#This Row],[Precio Descontado]]*Tabla4[[#This Row],[Cantidad]]</f>
        <v>24400.7457192</v>
      </c>
      <c r="Q4125" s="282" t="e">
        <f>(INDEX(Tabla6[#All],MATCH(Tabla4[[#This Row],[Producto]],Tabla6[[#All],[PRODUCTO]],0),MATCH(Tabla4[[#This Row],[Mes]],Tabla6[#Headers],0)))</f>
        <v>#N/A</v>
      </c>
      <c r="R4125" s="282" t="e">
        <f>++Tabla4[[#This Row],[Precio Unitario Neto]]-Tabla4[[#This Row],[20.85%]]-Tabla4[[#This Row],[Costo]]</f>
        <v>#N/A</v>
      </c>
      <c r="S4125" s="282" t="e">
        <f>++Tabla4[[#This Row],[U. Bruta Uni]]*Tabla4[[#This Row],[Cantidad]]</f>
        <v>#N/A</v>
      </c>
      <c r="T4125" s="369" t="str">
        <f>VLOOKUP(Tabla4[[#This Row],[Producto]],Tabla6[#All],14,FALSE)</f>
        <v>Termico Solar</v>
      </c>
      <c r="U4125" s="284" t="e">
        <f>(IF(Tabla4[[#This Row],[Familia]]="termico solar",Tabla4[[#This Row],[Utilidad Total]]*6%,Tabla4[[#This Row],[Utilidad Total]]*11.5%))/Tabla4[[#This Row],[Total]]</f>
        <v>#N/A</v>
      </c>
      <c r="V4125" s="282" t="e">
        <f>+Tabla4[[#This Row],[Comisión Calculada]]*Tabla4[[#This Row],[Total]]</f>
        <v>#N/A</v>
      </c>
    </row>
    <row r="4126" spans="1:22" hidden="1" x14ac:dyDescent="0.25">
      <c r="A4126" s="100">
        <v>45838</v>
      </c>
      <c r="B4126" t="str">
        <f t="shared" ref="B4126:B4147" si="204">TEXT(A4126, "mmmm")</f>
        <v>June</v>
      </c>
      <c r="C4126" s="46" t="s">
        <v>280</v>
      </c>
      <c r="F4126" s="366" t="s">
        <v>2266</v>
      </c>
      <c r="G4126" s="46" t="s">
        <v>17</v>
      </c>
      <c r="H4126" s="46">
        <v>1</v>
      </c>
      <c r="I4126" s="51">
        <v>4622.28</v>
      </c>
      <c r="J4126" s="281">
        <f>++Tabla4[[#This Row],[Precio Bruto]]*1.16</f>
        <v>5361.8447999999989</v>
      </c>
      <c r="K4126" s="281">
        <f>+Tabla4[[#This Row],[Precio Unitario Neto]]*Tabla4[[#Headers],[20.85%]]</f>
        <v>1117.9446407999997</v>
      </c>
      <c r="L4126" s="282">
        <f>++Tabla4[[#This Row],[Precio Unitario Neto]]-Tabla4[[#This Row],[20.85%]]</f>
        <v>4243.9001591999995</v>
      </c>
      <c r="M4126" s="282" t="e">
        <f>(INDEX(Tabla6[#All],MATCH(Tabla4[[#This Row],[Producto]],Tabla6[[#All],[PRODUCTO]],0),MATCH(Tabla4[[#This Row],[Mes]],Tabla6[#Headers],0)))*(1+Catalogos!$L$2)</f>
        <v>#N/A</v>
      </c>
      <c r="N4126" s="283" t="e">
        <f>+(Tabla4[[#This Row],[Precio Descontado]]-Tabla4[[#This Row],[Precio Base]])*Tabla4[[#This Row],[Cantidad]]</f>
        <v>#N/A</v>
      </c>
      <c r="O4126" s="284" t="e">
        <f>++Tabla4[[#This Row],[Utilidad Total]]/Tabla4[[#This Row],[Total]]</f>
        <v>#N/A</v>
      </c>
      <c r="P4126" s="282">
        <f>++Tabla4[[#This Row],[Precio Descontado]]*Tabla4[[#This Row],[Cantidad]]</f>
        <v>4243.9001591999995</v>
      </c>
      <c r="Q4126" s="282" t="e">
        <f>(INDEX(Tabla6[#All],MATCH(Tabla4[[#This Row],[Producto]],Tabla6[[#All],[PRODUCTO]],0),MATCH(Tabla4[[#This Row],[Mes]],Tabla6[#Headers],0)))</f>
        <v>#N/A</v>
      </c>
      <c r="R4126" s="282" t="e">
        <f>++Tabla4[[#This Row],[Precio Unitario Neto]]-Tabla4[[#This Row],[20.85%]]-Tabla4[[#This Row],[Costo]]</f>
        <v>#N/A</v>
      </c>
      <c r="S4126" s="282" t="e">
        <f>++Tabla4[[#This Row],[U. Bruta Uni]]*Tabla4[[#This Row],[Cantidad]]</f>
        <v>#N/A</v>
      </c>
      <c r="T4126" s="369" t="str">
        <f>VLOOKUP(Tabla4[[#This Row],[Producto]],Tabla6[#All],14,FALSE)</f>
        <v>Termico Solar</v>
      </c>
      <c r="U4126" s="284" t="e">
        <f>(IF(Tabla4[[#This Row],[Familia]]="termico solar",Tabla4[[#This Row],[Utilidad Total]]*6%,Tabla4[[#This Row],[Utilidad Total]]*11.5%))/Tabla4[[#This Row],[Total]]</f>
        <v>#N/A</v>
      </c>
      <c r="V4126" s="282" t="e">
        <f>+Tabla4[[#This Row],[Comisión Calculada]]*Tabla4[[#This Row],[Total]]</f>
        <v>#N/A</v>
      </c>
    </row>
    <row r="4127" spans="1:22" hidden="1" x14ac:dyDescent="0.25">
      <c r="A4127" s="100">
        <v>45838</v>
      </c>
      <c r="B4127" t="str">
        <f t="shared" si="204"/>
        <v>June</v>
      </c>
      <c r="C4127" s="46" t="s">
        <v>280</v>
      </c>
      <c r="F4127" s="366" t="s">
        <v>2266</v>
      </c>
      <c r="G4127" s="46" t="s">
        <v>16</v>
      </c>
      <c r="H4127" s="46">
        <v>1</v>
      </c>
      <c r="I4127" s="51">
        <v>4103.8500000000004</v>
      </c>
      <c r="J4127" s="281">
        <f>++Tabla4[[#This Row],[Precio Bruto]]*1.16</f>
        <v>4760.4660000000003</v>
      </c>
      <c r="K4127" s="281">
        <f>+Tabla4[[#This Row],[Precio Unitario Neto]]*Tabla4[[#Headers],[20.85%]]</f>
        <v>992.55716100000006</v>
      </c>
      <c r="L4127" s="282">
        <f>++Tabla4[[#This Row],[Precio Unitario Neto]]-Tabla4[[#This Row],[20.85%]]</f>
        <v>3767.9088390000002</v>
      </c>
      <c r="M4127" s="282" t="e">
        <f>(INDEX(Tabla6[#All],MATCH(Tabla4[[#This Row],[Producto]],Tabla6[[#All],[PRODUCTO]],0),MATCH(Tabla4[[#This Row],[Mes]],Tabla6[#Headers],0)))*(1+Catalogos!$L$2)</f>
        <v>#N/A</v>
      </c>
      <c r="N4127" s="283" t="e">
        <f>+(Tabla4[[#This Row],[Precio Descontado]]-Tabla4[[#This Row],[Precio Base]])*Tabla4[[#This Row],[Cantidad]]</f>
        <v>#N/A</v>
      </c>
      <c r="O4127" s="284" t="e">
        <f>++Tabla4[[#This Row],[Utilidad Total]]/Tabla4[[#This Row],[Total]]</f>
        <v>#N/A</v>
      </c>
      <c r="P4127" s="282">
        <f>++Tabla4[[#This Row],[Precio Descontado]]*Tabla4[[#This Row],[Cantidad]]</f>
        <v>3767.9088390000002</v>
      </c>
      <c r="Q4127" s="282" t="e">
        <f>(INDEX(Tabla6[#All],MATCH(Tabla4[[#This Row],[Producto]],Tabla6[[#All],[PRODUCTO]],0),MATCH(Tabla4[[#This Row],[Mes]],Tabla6[#Headers],0)))</f>
        <v>#N/A</v>
      </c>
      <c r="R4127" s="282" t="e">
        <f>++Tabla4[[#This Row],[Precio Unitario Neto]]-Tabla4[[#This Row],[20.85%]]-Tabla4[[#This Row],[Costo]]</f>
        <v>#N/A</v>
      </c>
      <c r="S4127" s="282" t="e">
        <f>++Tabla4[[#This Row],[U. Bruta Uni]]*Tabla4[[#This Row],[Cantidad]]</f>
        <v>#N/A</v>
      </c>
      <c r="T4127" s="369" t="str">
        <f>VLOOKUP(Tabla4[[#This Row],[Producto]],Tabla6[#All],14,FALSE)</f>
        <v>Termico Solar</v>
      </c>
      <c r="U4127" s="284" t="e">
        <f>(IF(Tabla4[[#This Row],[Familia]]="termico solar",Tabla4[[#This Row],[Utilidad Total]]*6%,Tabla4[[#This Row],[Utilidad Total]]*11.5%))/Tabla4[[#This Row],[Total]]</f>
        <v>#N/A</v>
      </c>
      <c r="V4127" s="282" t="e">
        <f>+Tabla4[[#This Row],[Comisión Calculada]]*Tabla4[[#This Row],[Total]]</f>
        <v>#N/A</v>
      </c>
    </row>
    <row r="4128" spans="1:22" hidden="1" x14ac:dyDescent="0.25">
      <c r="A4128" s="100">
        <v>45838</v>
      </c>
      <c r="B4128" t="str">
        <f t="shared" si="204"/>
        <v>June</v>
      </c>
      <c r="C4128" s="46" t="s">
        <v>280</v>
      </c>
      <c r="F4128" s="366" t="s">
        <v>2267</v>
      </c>
      <c r="G4128" s="46" t="s">
        <v>208</v>
      </c>
      <c r="H4128" s="46">
        <v>1</v>
      </c>
      <c r="I4128" s="51">
        <v>189.75</v>
      </c>
      <c r="J4128" s="281">
        <f>++Tabla4[[#This Row],[Precio Bruto]]*1.16</f>
        <v>220.10999999999999</v>
      </c>
      <c r="K4128" s="281">
        <f>+Tabla4[[#This Row],[Precio Unitario Neto]]*Tabla4[[#Headers],[20.85%]]</f>
        <v>45.892934999999994</v>
      </c>
      <c r="L4128" s="282">
        <f>++Tabla4[[#This Row],[Precio Unitario Neto]]-Tabla4[[#This Row],[20.85%]]</f>
        <v>174.21706499999999</v>
      </c>
      <c r="M4128" s="282" t="e">
        <f>(INDEX(Tabla6[#All],MATCH(Tabla4[[#This Row],[Producto]],Tabla6[[#All],[PRODUCTO]],0),MATCH(Tabla4[[#This Row],[Mes]],Tabla6[#Headers],0)))*(1+Catalogos!$L$2)</f>
        <v>#N/A</v>
      </c>
      <c r="N4128" s="283" t="e">
        <f>+(Tabla4[[#This Row],[Precio Descontado]]-Tabla4[[#This Row],[Precio Base]])*Tabla4[[#This Row],[Cantidad]]</f>
        <v>#N/A</v>
      </c>
      <c r="O4128" s="284" t="e">
        <f>++Tabla4[[#This Row],[Utilidad Total]]/Tabla4[[#This Row],[Total]]</f>
        <v>#N/A</v>
      </c>
      <c r="P4128" s="282">
        <f>++Tabla4[[#This Row],[Precio Descontado]]*Tabla4[[#This Row],[Cantidad]]</f>
        <v>174.21706499999999</v>
      </c>
      <c r="Q4128" s="282" t="e">
        <f>(INDEX(Tabla6[#All],MATCH(Tabla4[[#This Row],[Producto]],Tabla6[[#All],[PRODUCTO]],0),MATCH(Tabla4[[#This Row],[Mes]],Tabla6[#Headers],0)))</f>
        <v>#N/A</v>
      </c>
      <c r="R4128" s="282" t="e">
        <f>++Tabla4[[#This Row],[Precio Unitario Neto]]-Tabla4[[#This Row],[20.85%]]-Tabla4[[#This Row],[Costo]]</f>
        <v>#N/A</v>
      </c>
      <c r="S4128" s="282" t="e">
        <f>++Tabla4[[#This Row],[U. Bruta Uni]]*Tabla4[[#This Row],[Cantidad]]</f>
        <v>#N/A</v>
      </c>
      <c r="T4128" s="369" t="str">
        <f>VLOOKUP(Tabla4[[#This Row],[Producto]],Tabla6[#All],14,FALSE)</f>
        <v>Termico Solar</v>
      </c>
      <c r="U4128" s="284" t="e">
        <f>(IF(Tabla4[[#This Row],[Familia]]="termico solar",Tabla4[[#This Row],[Utilidad Total]]*6%,Tabla4[[#This Row],[Utilidad Total]]*11.5%))/Tabla4[[#This Row],[Total]]</f>
        <v>#N/A</v>
      </c>
      <c r="V4128" s="282" t="e">
        <f>+Tabla4[[#This Row],[Comisión Calculada]]*Tabla4[[#This Row],[Total]]</f>
        <v>#N/A</v>
      </c>
    </row>
    <row r="4129" spans="1:22" hidden="1" x14ac:dyDescent="0.25">
      <c r="A4129" s="100">
        <v>45838</v>
      </c>
      <c r="B4129" t="str">
        <f t="shared" si="204"/>
        <v>June</v>
      </c>
      <c r="C4129" s="46" t="s">
        <v>280</v>
      </c>
      <c r="F4129" s="366" t="s">
        <v>2268</v>
      </c>
      <c r="G4129" s="46" t="s">
        <v>18</v>
      </c>
      <c r="H4129" s="46">
        <v>1</v>
      </c>
      <c r="I4129" s="51">
        <v>5367.65</v>
      </c>
      <c r="J4129" s="281">
        <f>++Tabla4[[#This Row],[Precio Bruto]]*1.16</f>
        <v>6226.4739999999993</v>
      </c>
      <c r="K4129" s="281">
        <f>+Tabla4[[#This Row],[Precio Unitario Neto]]*Tabla4[[#Headers],[20.85%]]</f>
        <v>1298.2198289999999</v>
      </c>
      <c r="L4129" s="282">
        <f>++Tabla4[[#This Row],[Precio Unitario Neto]]-Tabla4[[#This Row],[20.85%]]</f>
        <v>4928.2541709999996</v>
      </c>
      <c r="M4129" s="282" t="e">
        <f>(INDEX(Tabla6[#All],MATCH(Tabla4[[#This Row],[Producto]],Tabla6[[#All],[PRODUCTO]],0),MATCH(Tabla4[[#This Row],[Mes]],Tabla6[#Headers],0)))*(1+Catalogos!$L$2)</f>
        <v>#N/A</v>
      </c>
      <c r="N4129" s="283" t="e">
        <f>+(Tabla4[[#This Row],[Precio Descontado]]-Tabla4[[#This Row],[Precio Base]])*Tabla4[[#This Row],[Cantidad]]</f>
        <v>#N/A</v>
      </c>
      <c r="O4129" s="284" t="e">
        <f>++Tabla4[[#This Row],[Utilidad Total]]/Tabla4[[#This Row],[Total]]</f>
        <v>#N/A</v>
      </c>
      <c r="P4129" s="282">
        <f>++Tabla4[[#This Row],[Precio Descontado]]*Tabla4[[#This Row],[Cantidad]]</f>
        <v>4928.2541709999996</v>
      </c>
      <c r="Q4129" s="282" t="e">
        <f>(INDEX(Tabla6[#All],MATCH(Tabla4[[#This Row],[Producto]],Tabla6[[#All],[PRODUCTO]],0),MATCH(Tabla4[[#This Row],[Mes]],Tabla6[#Headers],0)))</f>
        <v>#N/A</v>
      </c>
      <c r="R4129" s="282" t="e">
        <f>++Tabla4[[#This Row],[Precio Unitario Neto]]-Tabla4[[#This Row],[20.85%]]-Tabla4[[#This Row],[Costo]]</f>
        <v>#N/A</v>
      </c>
      <c r="S4129" s="282" t="e">
        <f>++Tabla4[[#This Row],[U. Bruta Uni]]*Tabla4[[#This Row],[Cantidad]]</f>
        <v>#N/A</v>
      </c>
      <c r="T4129" s="369" t="str">
        <f>VLOOKUP(Tabla4[[#This Row],[Producto]],Tabla6[#All],14,FALSE)</f>
        <v>Termico Solar</v>
      </c>
      <c r="U4129" s="284" t="e">
        <f>(IF(Tabla4[[#This Row],[Familia]]="termico solar",Tabla4[[#This Row],[Utilidad Total]]*6%,Tabla4[[#This Row],[Utilidad Total]]*11.5%))/Tabla4[[#This Row],[Total]]</f>
        <v>#N/A</v>
      </c>
      <c r="V4129" s="282" t="e">
        <f>+Tabla4[[#This Row],[Comisión Calculada]]*Tabla4[[#This Row],[Total]]</f>
        <v>#N/A</v>
      </c>
    </row>
    <row r="4130" spans="1:22" hidden="1" x14ac:dyDescent="0.25">
      <c r="A4130" s="100">
        <v>45838</v>
      </c>
      <c r="B4130" t="str">
        <f t="shared" si="204"/>
        <v>June</v>
      </c>
      <c r="C4130" s="46" t="s">
        <v>280</v>
      </c>
      <c r="F4130" s="366" t="s">
        <v>2269</v>
      </c>
      <c r="G4130" s="46" t="s">
        <v>208</v>
      </c>
      <c r="H4130" s="46">
        <v>1</v>
      </c>
      <c r="I4130" s="51">
        <v>189.75</v>
      </c>
      <c r="J4130" s="281">
        <f>++Tabla4[[#This Row],[Precio Bruto]]*1.16</f>
        <v>220.10999999999999</v>
      </c>
      <c r="K4130" s="281">
        <f>+Tabla4[[#This Row],[Precio Unitario Neto]]*Tabla4[[#Headers],[20.85%]]</f>
        <v>45.892934999999994</v>
      </c>
      <c r="L4130" s="282">
        <f>++Tabla4[[#This Row],[Precio Unitario Neto]]-Tabla4[[#This Row],[20.85%]]</f>
        <v>174.21706499999999</v>
      </c>
      <c r="M4130" s="282" t="e">
        <f>(INDEX(Tabla6[#All],MATCH(Tabla4[[#This Row],[Producto]],Tabla6[[#All],[PRODUCTO]],0),MATCH(Tabla4[[#This Row],[Mes]],Tabla6[#Headers],0)))*(1+Catalogos!$L$2)</f>
        <v>#N/A</v>
      </c>
      <c r="N4130" s="283" t="e">
        <f>+(Tabla4[[#This Row],[Precio Descontado]]-Tabla4[[#This Row],[Precio Base]])*Tabla4[[#This Row],[Cantidad]]</f>
        <v>#N/A</v>
      </c>
      <c r="O4130" s="284" t="e">
        <f>++Tabla4[[#This Row],[Utilidad Total]]/Tabla4[[#This Row],[Total]]</f>
        <v>#N/A</v>
      </c>
      <c r="P4130" s="282">
        <f>++Tabla4[[#This Row],[Precio Descontado]]*Tabla4[[#This Row],[Cantidad]]</f>
        <v>174.21706499999999</v>
      </c>
      <c r="Q4130" s="282" t="e">
        <f>(INDEX(Tabla6[#All],MATCH(Tabla4[[#This Row],[Producto]],Tabla6[[#All],[PRODUCTO]],0),MATCH(Tabla4[[#This Row],[Mes]],Tabla6[#Headers],0)))</f>
        <v>#N/A</v>
      </c>
      <c r="R4130" s="282" t="e">
        <f>++Tabla4[[#This Row],[Precio Unitario Neto]]-Tabla4[[#This Row],[20.85%]]-Tabla4[[#This Row],[Costo]]</f>
        <v>#N/A</v>
      </c>
      <c r="S4130" s="282" t="e">
        <f>++Tabla4[[#This Row],[U. Bruta Uni]]*Tabla4[[#This Row],[Cantidad]]</f>
        <v>#N/A</v>
      </c>
      <c r="T4130" s="369" t="str">
        <f>VLOOKUP(Tabla4[[#This Row],[Producto]],Tabla6[#All],14,FALSE)</f>
        <v>Termico Solar</v>
      </c>
      <c r="U4130" s="284" t="e">
        <f>(IF(Tabla4[[#This Row],[Familia]]="termico solar",Tabla4[[#This Row],[Utilidad Total]]*6%,Tabla4[[#This Row],[Utilidad Total]]*11.5%))/Tabla4[[#This Row],[Total]]</f>
        <v>#N/A</v>
      </c>
      <c r="V4130" s="282" t="e">
        <f>+Tabla4[[#This Row],[Comisión Calculada]]*Tabla4[[#This Row],[Total]]</f>
        <v>#N/A</v>
      </c>
    </row>
    <row r="4131" spans="1:22" hidden="1" x14ac:dyDescent="0.25">
      <c r="A4131" s="100">
        <v>45838</v>
      </c>
      <c r="B4131" t="str">
        <f t="shared" si="204"/>
        <v>June</v>
      </c>
      <c r="C4131" s="46" t="s">
        <v>280</v>
      </c>
      <c r="F4131" s="366" t="s">
        <v>2270</v>
      </c>
      <c r="G4131" s="46" t="s">
        <v>17</v>
      </c>
      <c r="H4131" s="46">
        <v>1</v>
      </c>
      <c r="I4131" s="51">
        <v>4622.28</v>
      </c>
      <c r="J4131" s="281">
        <f>++Tabla4[[#This Row],[Precio Bruto]]*1.16</f>
        <v>5361.8447999999989</v>
      </c>
      <c r="K4131" s="281">
        <f>+Tabla4[[#This Row],[Precio Unitario Neto]]*Tabla4[[#Headers],[20.85%]]</f>
        <v>1117.9446407999997</v>
      </c>
      <c r="L4131" s="282">
        <f>++Tabla4[[#This Row],[Precio Unitario Neto]]-Tabla4[[#This Row],[20.85%]]</f>
        <v>4243.9001591999995</v>
      </c>
      <c r="M4131" s="282" t="e">
        <f>(INDEX(Tabla6[#All],MATCH(Tabla4[[#This Row],[Producto]],Tabla6[[#All],[PRODUCTO]],0),MATCH(Tabla4[[#This Row],[Mes]],Tabla6[#Headers],0)))*(1+Catalogos!$L$2)</f>
        <v>#N/A</v>
      </c>
      <c r="N4131" s="283" t="e">
        <f>+(Tabla4[[#This Row],[Precio Descontado]]-Tabla4[[#This Row],[Precio Base]])*Tabla4[[#This Row],[Cantidad]]</f>
        <v>#N/A</v>
      </c>
      <c r="O4131" s="284" t="e">
        <f>++Tabla4[[#This Row],[Utilidad Total]]/Tabla4[[#This Row],[Total]]</f>
        <v>#N/A</v>
      </c>
      <c r="P4131" s="282">
        <f>++Tabla4[[#This Row],[Precio Descontado]]*Tabla4[[#This Row],[Cantidad]]</f>
        <v>4243.9001591999995</v>
      </c>
      <c r="Q4131" s="282" t="e">
        <f>(INDEX(Tabla6[#All],MATCH(Tabla4[[#This Row],[Producto]],Tabla6[[#All],[PRODUCTO]],0),MATCH(Tabla4[[#This Row],[Mes]],Tabla6[#Headers],0)))</f>
        <v>#N/A</v>
      </c>
      <c r="R4131" s="282" t="e">
        <f>++Tabla4[[#This Row],[Precio Unitario Neto]]-Tabla4[[#This Row],[20.85%]]-Tabla4[[#This Row],[Costo]]</f>
        <v>#N/A</v>
      </c>
      <c r="S4131" s="282" t="e">
        <f>++Tabla4[[#This Row],[U. Bruta Uni]]*Tabla4[[#This Row],[Cantidad]]</f>
        <v>#N/A</v>
      </c>
      <c r="T4131" s="369" t="str">
        <f>VLOOKUP(Tabla4[[#This Row],[Producto]],Tabla6[#All],14,FALSE)</f>
        <v>Termico Solar</v>
      </c>
      <c r="U4131" s="284" t="e">
        <f>(IF(Tabla4[[#This Row],[Familia]]="termico solar",Tabla4[[#This Row],[Utilidad Total]]*6%,Tabla4[[#This Row],[Utilidad Total]]*11.5%))/Tabla4[[#This Row],[Total]]</f>
        <v>#N/A</v>
      </c>
      <c r="V4131" s="282" t="e">
        <f>+Tabla4[[#This Row],[Comisión Calculada]]*Tabla4[[#This Row],[Total]]</f>
        <v>#N/A</v>
      </c>
    </row>
    <row r="4132" spans="1:22" hidden="1" x14ac:dyDescent="0.25">
      <c r="A4132" s="100">
        <v>45838</v>
      </c>
      <c r="B4132" t="str">
        <f t="shared" si="204"/>
        <v>June</v>
      </c>
      <c r="C4132" s="46" t="s">
        <v>280</v>
      </c>
      <c r="F4132" s="366" t="s">
        <v>2271</v>
      </c>
      <c r="G4132" s="46" t="s">
        <v>17</v>
      </c>
      <c r="H4132" s="46">
        <v>1</v>
      </c>
      <c r="I4132" s="51">
        <v>4622.28</v>
      </c>
      <c r="J4132" s="281">
        <f>++Tabla4[[#This Row],[Precio Bruto]]*1.16</f>
        <v>5361.8447999999989</v>
      </c>
      <c r="K4132" s="281">
        <f>+Tabla4[[#This Row],[Precio Unitario Neto]]*Tabla4[[#Headers],[20.85%]]</f>
        <v>1117.9446407999997</v>
      </c>
      <c r="L4132" s="282">
        <f>++Tabla4[[#This Row],[Precio Unitario Neto]]-Tabla4[[#This Row],[20.85%]]</f>
        <v>4243.9001591999995</v>
      </c>
      <c r="M4132" s="282" t="e">
        <f>(INDEX(Tabla6[#All],MATCH(Tabla4[[#This Row],[Producto]],Tabla6[[#All],[PRODUCTO]],0),MATCH(Tabla4[[#This Row],[Mes]],Tabla6[#Headers],0)))*(1+Catalogos!$L$2)</f>
        <v>#N/A</v>
      </c>
      <c r="N4132" s="283" t="e">
        <f>+(Tabla4[[#This Row],[Precio Descontado]]-Tabla4[[#This Row],[Precio Base]])*Tabla4[[#This Row],[Cantidad]]</f>
        <v>#N/A</v>
      </c>
      <c r="O4132" s="284" t="e">
        <f>++Tabla4[[#This Row],[Utilidad Total]]/Tabla4[[#This Row],[Total]]</f>
        <v>#N/A</v>
      </c>
      <c r="P4132" s="282">
        <f>++Tabla4[[#This Row],[Precio Descontado]]*Tabla4[[#This Row],[Cantidad]]</f>
        <v>4243.9001591999995</v>
      </c>
      <c r="Q4132" s="282" t="e">
        <f>(INDEX(Tabla6[#All],MATCH(Tabla4[[#This Row],[Producto]],Tabla6[[#All],[PRODUCTO]],0),MATCH(Tabla4[[#This Row],[Mes]],Tabla6[#Headers],0)))</f>
        <v>#N/A</v>
      </c>
      <c r="R4132" s="282" t="e">
        <f>++Tabla4[[#This Row],[Precio Unitario Neto]]-Tabla4[[#This Row],[20.85%]]-Tabla4[[#This Row],[Costo]]</f>
        <v>#N/A</v>
      </c>
      <c r="S4132" s="282" t="e">
        <f>++Tabla4[[#This Row],[U. Bruta Uni]]*Tabla4[[#This Row],[Cantidad]]</f>
        <v>#N/A</v>
      </c>
      <c r="T4132" s="369" t="str">
        <f>VLOOKUP(Tabla4[[#This Row],[Producto]],Tabla6[#All],14,FALSE)</f>
        <v>Termico Solar</v>
      </c>
      <c r="U4132" s="284" t="e">
        <f>(IF(Tabla4[[#This Row],[Familia]]="termico solar",Tabla4[[#This Row],[Utilidad Total]]*6%,Tabla4[[#This Row],[Utilidad Total]]*11.5%))/Tabla4[[#This Row],[Total]]</f>
        <v>#N/A</v>
      </c>
      <c r="V4132" s="282" t="e">
        <f>+Tabla4[[#This Row],[Comisión Calculada]]*Tabla4[[#This Row],[Total]]</f>
        <v>#N/A</v>
      </c>
    </row>
    <row r="4133" spans="1:22" hidden="1" x14ac:dyDescent="0.25">
      <c r="A4133" s="100">
        <v>45838</v>
      </c>
      <c r="B4133" t="str">
        <f t="shared" si="204"/>
        <v>June</v>
      </c>
      <c r="C4133" s="46" t="s">
        <v>280</v>
      </c>
      <c r="F4133" s="366" t="s">
        <v>2271</v>
      </c>
      <c r="G4133" s="46" t="s">
        <v>208</v>
      </c>
      <c r="H4133" s="46">
        <v>1</v>
      </c>
      <c r="I4133" s="51">
        <v>189.75</v>
      </c>
      <c r="J4133" s="281">
        <f>++Tabla4[[#This Row],[Precio Bruto]]*1.16</f>
        <v>220.10999999999999</v>
      </c>
      <c r="K4133" s="281">
        <f>+Tabla4[[#This Row],[Precio Unitario Neto]]*Tabla4[[#Headers],[20.85%]]</f>
        <v>45.892934999999994</v>
      </c>
      <c r="L4133" s="282">
        <f>++Tabla4[[#This Row],[Precio Unitario Neto]]-Tabla4[[#This Row],[20.85%]]</f>
        <v>174.21706499999999</v>
      </c>
      <c r="M4133" s="282" t="e">
        <f>(INDEX(Tabla6[#All],MATCH(Tabla4[[#This Row],[Producto]],Tabla6[[#All],[PRODUCTO]],0),MATCH(Tabla4[[#This Row],[Mes]],Tabla6[#Headers],0)))*(1+Catalogos!$L$2)</f>
        <v>#N/A</v>
      </c>
      <c r="N4133" s="283" t="e">
        <f>+(Tabla4[[#This Row],[Precio Descontado]]-Tabla4[[#This Row],[Precio Base]])*Tabla4[[#This Row],[Cantidad]]</f>
        <v>#N/A</v>
      </c>
      <c r="O4133" s="284" t="e">
        <f>++Tabla4[[#This Row],[Utilidad Total]]/Tabla4[[#This Row],[Total]]</f>
        <v>#N/A</v>
      </c>
      <c r="P4133" s="282">
        <f>++Tabla4[[#This Row],[Precio Descontado]]*Tabla4[[#This Row],[Cantidad]]</f>
        <v>174.21706499999999</v>
      </c>
      <c r="Q4133" s="282" t="e">
        <f>(INDEX(Tabla6[#All],MATCH(Tabla4[[#This Row],[Producto]],Tabla6[[#All],[PRODUCTO]],0),MATCH(Tabla4[[#This Row],[Mes]],Tabla6[#Headers],0)))</f>
        <v>#N/A</v>
      </c>
      <c r="R4133" s="282" t="e">
        <f>++Tabla4[[#This Row],[Precio Unitario Neto]]-Tabla4[[#This Row],[20.85%]]-Tabla4[[#This Row],[Costo]]</f>
        <v>#N/A</v>
      </c>
      <c r="S4133" s="282" t="e">
        <f>++Tabla4[[#This Row],[U. Bruta Uni]]*Tabla4[[#This Row],[Cantidad]]</f>
        <v>#N/A</v>
      </c>
      <c r="T4133" s="369" t="str">
        <f>VLOOKUP(Tabla4[[#This Row],[Producto]],Tabla6[#All],14,FALSE)</f>
        <v>Termico Solar</v>
      </c>
      <c r="U4133" s="284" t="e">
        <f>(IF(Tabla4[[#This Row],[Familia]]="termico solar",Tabla4[[#This Row],[Utilidad Total]]*6%,Tabla4[[#This Row],[Utilidad Total]]*11.5%))/Tabla4[[#This Row],[Total]]</f>
        <v>#N/A</v>
      </c>
      <c r="V4133" s="282" t="e">
        <f>+Tabla4[[#This Row],[Comisión Calculada]]*Tabla4[[#This Row],[Total]]</f>
        <v>#N/A</v>
      </c>
    </row>
    <row r="4134" spans="1:22" hidden="1" x14ac:dyDescent="0.25">
      <c r="A4134" s="100">
        <v>45838</v>
      </c>
      <c r="B4134" t="str">
        <f t="shared" si="204"/>
        <v>June</v>
      </c>
      <c r="C4134" s="46" t="s">
        <v>280</v>
      </c>
      <c r="F4134" s="366" t="s">
        <v>2272</v>
      </c>
      <c r="G4134" s="46" t="s">
        <v>209</v>
      </c>
      <c r="H4134" s="46">
        <v>2</v>
      </c>
      <c r="I4134" s="51">
        <v>347.48</v>
      </c>
      <c r="J4134" s="281">
        <f>++Tabla4[[#This Row],[Precio Bruto]]*1.16</f>
        <v>403.07679999999999</v>
      </c>
      <c r="K4134" s="281">
        <f>+Tabla4[[#This Row],[Precio Unitario Neto]]*Tabla4[[#Headers],[20.85%]]</f>
        <v>84.041512799999992</v>
      </c>
      <c r="L4134" s="282">
        <f>++Tabla4[[#This Row],[Precio Unitario Neto]]-Tabla4[[#This Row],[20.85%]]</f>
        <v>319.03528719999997</v>
      </c>
      <c r="M4134" s="282" t="e">
        <f>(INDEX(Tabla6[#All],MATCH(Tabla4[[#This Row],[Producto]],Tabla6[[#All],[PRODUCTO]],0),MATCH(Tabla4[[#This Row],[Mes]],Tabla6[#Headers],0)))*(1+Catalogos!$L$2)</f>
        <v>#N/A</v>
      </c>
      <c r="N4134" s="283" t="e">
        <f>+(Tabla4[[#This Row],[Precio Descontado]]-Tabla4[[#This Row],[Precio Base]])*Tabla4[[#This Row],[Cantidad]]</f>
        <v>#N/A</v>
      </c>
      <c r="O4134" s="284" t="e">
        <f>++Tabla4[[#This Row],[Utilidad Total]]/Tabla4[[#This Row],[Total]]</f>
        <v>#N/A</v>
      </c>
      <c r="P4134" s="282">
        <f>++Tabla4[[#This Row],[Precio Descontado]]*Tabla4[[#This Row],[Cantidad]]</f>
        <v>638.07057439999994</v>
      </c>
      <c r="Q4134" s="282" t="e">
        <f>(INDEX(Tabla6[#All],MATCH(Tabla4[[#This Row],[Producto]],Tabla6[[#All],[PRODUCTO]],0),MATCH(Tabla4[[#This Row],[Mes]],Tabla6[#Headers],0)))</f>
        <v>#N/A</v>
      </c>
      <c r="R4134" s="282" t="e">
        <f>++Tabla4[[#This Row],[Precio Unitario Neto]]-Tabla4[[#This Row],[20.85%]]-Tabla4[[#This Row],[Costo]]</f>
        <v>#N/A</v>
      </c>
      <c r="S4134" s="282" t="e">
        <f>++Tabla4[[#This Row],[U. Bruta Uni]]*Tabla4[[#This Row],[Cantidad]]</f>
        <v>#N/A</v>
      </c>
      <c r="T4134" s="369" t="str">
        <f>VLOOKUP(Tabla4[[#This Row],[Producto]],Tabla6[#All],14,FALSE)</f>
        <v>Termico Solar</v>
      </c>
      <c r="U4134" s="284" t="e">
        <f>(IF(Tabla4[[#This Row],[Familia]]="termico solar",Tabla4[[#This Row],[Utilidad Total]]*6%,Tabla4[[#This Row],[Utilidad Total]]*11.5%))/Tabla4[[#This Row],[Total]]</f>
        <v>#N/A</v>
      </c>
      <c r="V4134" s="282" t="e">
        <f>+Tabla4[[#This Row],[Comisión Calculada]]*Tabla4[[#This Row],[Total]]</f>
        <v>#N/A</v>
      </c>
    </row>
    <row r="4135" spans="1:22" hidden="1" x14ac:dyDescent="0.25">
      <c r="A4135" s="100">
        <v>45838</v>
      </c>
      <c r="B4135" t="str">
        <f t="shared" si="204"/>
        <v>June</v>
      </c>
      <c r="C4135" s="46" t="s">
        <v>280</v>
      </c>
      <c r="F4135" s="366" t="s">
        <v>2273</v>
      </c>
      <c r="G4135" s="46" t="s">
        <v>413</v>
      </c>
      <c r="H4135" s="46">
        <v>3</v>
      </c>
      <c r="I4135" s="51">
        <v>2700.7000000000003</v>
      </c>
      <c r="J4135" s="281">
        <f>++Tabla4[[#This Row],[Precio Bruto]]*1.16</f>
        <v>3132.8119999999999</v>
      </c>
      <c r="K4135" s="281">
        <f>+Tabla4[[#This Row],[Precio Unitario Neto]]*Tabla4[[#Headers],[20.85%]]</f>
        <v>653.19130199999995</v>
      </c>
      <c r="L4135" s="282">
        <f>++Tabla4[[#This Row],[Precio Unitario Neto]]-Tabla4[[#This Row],[20.85%]]</f>
        <v>2479.6206979999997</v>
      </c>
      <c r="M4135" s="282" t="e">
        <f>(INDEX(Tabla6[#All],MATCH(Tabla4[[#This Row],[Producto]],Tabla6[[#All],[PRODUCTO]],0),MATCH(Tabla4[[#This Row],[Mes]],Tabla6[#Headers],0)))*(1+Catalogos!$L$2)</f>
        <v>#N/A</v>
      </c>
      <c r="N4135" s="283" t="e">
        <f>+(Tabla4[[#This Row],[Precio Descontado]]-Tabla4[[#This Row],[Precio Base]])*Tabla4[[#This Row],[Cantidad]]</f>
        <v>#N/A</v>
      </c>
      <c r="O4135" s="284" t="e">
        <f>++Tabla4[[#This Row],[Utilidad Total]]/Tabla4[[#This Row],[Total]]</f>
        <v>#N/A</v>
      </c>
      <c r="P4135" s="282">
        <f>++Tabla4[[#This Row],[Precio Descontado]]*Tabla4[[#This Row],[Cantidad]]</f>
        <v>7438.8620939999992</v>
      </c>
      <c r="Q4135" s="282" t="e">
        <f>(INDEX(Tabla6[#All],MATCH(Tabla4[[#This Row],[Producto]],Tabla6[[#All],[PRODUCTO]],0),MATCH(Tabla4[[#This Row],[Mes]],Tabla6[#Headers],0)))</f>
        <v>#N/A</v>
      </c>
      <c r="R4135" s="282" t="e">
        <f>++Tabla4[[#This Row],[Precio Unitario Neto]]-Tabla4[[#This Row],[20.85%]]-Tabla4[[#This Row],[Costo]]</f>
        <v>#N/A</v>
      </c>
      <c r="S4135" s="282" t="e">
        <f>++Tabla4[[#This Row],[U. Bruta Uni]]*Tabla4[[#This Row],[Cantidad]]</f>
        <v>#N/A</v>
      </c>
      <c r="T4135" s="369" t="str">
        <f>VLOOKUP(Tabla4[[#This Row],[Producto]],Tabla6[#All],14,FALSE)</f>
        <v>Termico Solar</v>
      </c>
      <c r="U4135" s="284" t="e">
        <f>(IF(Tabla4[[#This Row],[Familia]]="termico solar",Tabla4[[#This Row],[Utilidad Total]]*6%,Tabla4[[#This Row],[Utilidad Total]]*11.5%))/Tabla4[[#This Row],[Total]]</f>
        <v>#N/A</v>
      </c>
      <c r="V4135" s="282" t="e">
        <f>+Tabla4[[#This Row],[Comisión Calculada]]*Tabla4[[#This Row],[Total]]</f>
        <v>#N/A</v>
      </c>
    </row>
    <row r="4136" spans="1:22" hidden="1" x14ac:dyDescent="0.25">
      <c r="A4136" s="100">
        <v>45838</v>
      </c>
      <c r="B4136" t="str">
        <f t="shared" si="204"/>
        <v>June</v>
      </c>
      <c r="C4136" s="46" t="s">
        <v>280</v>
      </c>
      <c r="F4136" s="366" t="s">
        <v>2274</v>
      </c>
      <c r="G4136" s="46" t="s">
        <v>566</v>
      </c>
      <c r="H4136" s="46">
        <v>28</v>
      </c>
      <c r="I4136" s="51">
        <v>2109.4499999999998</v>
      </c>
      <c r="J4136" s="281">
        <f>++Tabla4[[#This Row],[Precio Bruto]]*1.16</f>
        <v>2446.9619999999995</v>
      </c>
      <c r="K4136" s="281">
        <f>+Tabla4[[#This Row],[Precio Unitario Neto]]*Tabla4[[#Headers],[20.85%]]</f>
        <v>510.19157699999988</v>
      </c>
      <c r="L4136" s="282">
        <f>++Tabla4[[#This Row],[Precio Unitario Neto]]-Tabla4[[#This Row],[20.85%]]</f>
        <v>1936.7704229999997</v>
      </c>
      <c r="M4136" s="282" t="e">
        <f>(INDEX(Tabla6[#All],MATCH(Tabla4[[#This Row],[Producto]],Tabla6[[#All],[PRODUCTO]],0),MATCH(Tabla4[[#This Row],[Mes]],Tabla6[#Headers],0)))*(1+Catalogos!$L$2)</f>
        <v>#N/A</v>
      </c>
      <c r="N4136" s="283" t="e">
        <f>+(Tabla4[[#This Row],[Precio Descontado]]-Tabla4[[#This Row],[Precio Base]])*Tabla4[[#This Row],[Cantidad]]</f>
        <v>#N/A</v>
      </c>
      <c r="O4136" s="284" t="e">
        <f>++Tabla4[[#This Row],[Utilidad Total]]/Tabla4[[#This Row],[Total]]</f>
        <v>#N/A</v>
      </c>
      <c r="P4136" s="282">
        <f>++Tabla4[[#This Row],[Precio Descontado]]*Tabla4[[#This Row],[Cantidad]]</f>
        <v>54229.571843999991</v>
      </c>
      <c r="Q4136" s="282" t="e">
        <f>(INDEX(Tabla6[#All],MATCH(Tabla4[[#This Row],[Producto]],Tabla6[[#All],[PRODUCTO]],0),MATCH(Tabla4[[#This Row],[Mes]],Tabla6[#Headers],0)))</f>
        <v>#N/A</v>
      </c>
      <c r="R4136" s="282" t="e">
        <f>++Tabla4[[#This Row],[Precio Unitario Neto]]-Tabla4[[#This Row],[20.85%]]-Tabla4[[#This Row],[Costo]]</f>
        <v>#N/A</v>
      </c>
      <c r="S4136" s="282" t="e">
        <f>++Tabla4[[#This Row],[U. Bruta Uni]]*Tabla4[[#This Row],[Cantidad]]</f>
        <v>#N/A</v>
      </c>
      <c r="T4136" s="369" t="str">
        <f>VLOOKUP(Tabla4[[#This Row],[Producto]],Tabla6[#All],14,FALSE)</f>
        <v>Termico Solar</v>
      </c>
      <c r="U4136" s="284" t="e">
        <f>(IF(Tabla4[[#This Row],[Familia]]="termico solar",Tabla4[[#This Row],[Utilidad Total]]*6%,Tabla4[[#This Row],[Utilidad Total]]*11.5%))/Tabla4[[#This Row],[Total]]</f>
        <v>#N/A</v>
      </c>
      <c r="V4136" s="282" t="e">
        <f>+Tabla4[[#This Row],[Comisión Calculada]]*Tabla4[[#This Row],[Total]]</f>
        <v>#N/A</v>
      </c>
    </row>
    <row r="4137" spans="1:22" hidden="1" x14ac:dyDescent="0.25">
      <c r="A4137" s="100">
        <v>45838</v>
      </c>
      <c r="B4137" t="str">
        <f t="shared" si="204"/>
        <v>June</v>
      </c>
      <c r="C4137" s="46" t="s">
        <v>280</v>
      </c>
      <c r="F4137" s="366" t="s">
        <v>2275</v>
      </c>
      <c r="G4137" s="46" t="s">
        <v>209</v>
      </c>
      <c r="H4137" s="46">
        <v>4</v>
      </c>
      <c r="I4137" s="51">
        <v>347.48</v>
      </c>
      <c r="J4137" s="281">
        <f>++Tabla4[[#This Row],[Precio Bruto]]*1.16</f>
        <v>403.07679999999999</v>
      </c>
      <c r="K4137" s="281">
        <f>+Tabla4[[#This Row],[Precio Unitario Neto]]*Tabla4[[#Headers],[20.85%]]</f>
        <v>84.041512799999992</v>
      </c>
      <c r="L4137" s="282">
        <f>++Tabla4[[#This Row],[Precio Unitario Neto]]-Tabla4[[#This Row],[20.85%]]</f>
        <v>319.03528719999997</v>
      </c>
      <c r="M4137" s="282" t="e">
        <f>(INDEX(Tabla6[#All],MATCH(Tabla4[[#This Row],[Producto]],Tabla6[[#All],[PRODUCTO]],0),MATCH(Tabla4[[#This Row],[Mes]],Tabla6[#Headers],0)))*(1+Catalogos!$L$2)</f>
        <v>#N/A</v>
      </c>
      <c r="N4137" s="283" t="e">
        <f>+(Tabla4[[#This Row],[Precio Descontado]]-Tabla4[[#This Row],[Precio Base]])*Tabla4[[#This Row],[Cantidad]]</f>
        <v>#N/A</v>
      </c>
      <c r="O4137" s="284" t="e">
        <f>++Tabla4[[#This Row],[Utilidad Total]]/Tabla4[[#This Row],[Total]]</f>
        <v>#N/A</v>
      </c>
      <c r="P4137" s="282">
        <f>++Tabla4[[#This Row],[Precio Descontado]]*Tabla4[[#This Row],[Cantidad]]</f>
        <v>1276.1411487999999</v>
      </c>
      <c r="Q4137" s="282" t="e">
        <f>(INDEX(Tabla6[#All],MATCH(Tabla4[[#This Row],[Producto]],Tabla6[[#All],[PRODUCTO]],0),MATCH(Tabla4[[#This Row],[Mes]],Tabla6[#Headers],0)))</f>
        <v>#N/A</v>
      </c>
      <c r="R4137" s="282" t="e">
        <f>++Tabla4[[#This Row],[Precio Unitario Neto]]-Tabla4[[#This Row],[20.85%]]-Tabla4[[#This Row],[Costo]]</f>
        <v>#N/A</v>
      </c>
      <c r="S4137" s="282" t="e">
        <f>++Tabla4[[#This Row],[U. Bruta Uni]]*Tabla4[[#This Row],[Cantidad]]</f>
        <v>#N/A</v>
      </c>
      <c r="T4137" s="369" t="str">
        <f>VLOOKUP(Tabla4[[#This Row],[Producto]],Tabla6[#All],14,FALSE)</f>
        <v>Termico Solar</v>
      </c>
      <c r="U4137" s="284" t="e">
        <f>(IF(Tabla4[[#This Row],[Familia]]="termico solar",Tabla4[[#This Row],[Utilidad Total]]*6%,Tabla4[[#This Row],[Utilidad Total]]*11.5%))/Tabla4[[#This Row],[Total]]</f>
        <v>#N/A</v>
      </c>
      <c r="V4137" s="282" t="e">
        <f>+Tabla4[[#This Row],[Comisión Calculada]]*Tabla4[[#This Row],[Total]]</f>
        <v>#N/A</v>
      </c>
    </row>
    <row r="4138" spans="1:22" hidden="1" x14ac:dyDescent="0.25">
      <c r="A4138" s="100">
        <v>45838</v>
      </c>
      <c r="B4138" t="str">
        <f t="shared" si="204"/>
        <v>June</v>
      </c>
      <c r="C4138" s="46" t="s">
        <v>280</v>
      </c>
      <c r="F4138" s="366" t="s">
        <v>2276</v>
      </c>
      <c r="G4138" s="46" t="s">
        <v>18</v>
      </c>
      <c r="H4138" s="46">
        <v>1</v>
      </c>
      <c r="I4138" s="51">
        <v>5367.65</v>
      </c>
      <c r="J4138" s="281">
        <f>++Tabla4[[#This Row],[Precio Bruto]]*1.16</f>
        <v>6226.4739999999993</v>
      </c>
      <c r="K4138" s="281">
        <f>+Tabla4[[#This Row],[Precio Unitario Neto]]*Tabla4[[#Headers],[20.85%]]</f>
        <v>1298.2198289999999</v>
      </c>
      <c r="L4138" s="282">
        <f>++Tabla4[[#This Row],[Precio Unitario Neto]]-Tabla4[[#This Row],[20.85%]]</f>
        <v>4928.2541709999996</v>
      </c>
      <c r="M4138" s="282" t="e">
        <f>(INDEX(Tabla6[#All],MATCH(Tabla4[[#This Row],[Producto]],Tabla6[[#All],[PRODUCTO]],0),MATCH(Tabla4[[#This Row],[Mes]],Tabla6[#Headers],0)))*(1+Catalogos!$L$2)</f>
        <v>#N/A</v>
      </c>
      <c r="N4138" s="283" t="e">
        <f>+(Tabla4[[#This Row],[Precio Descontado]]-Tabla4[[#This Row],[Precio Base]])*Tabla4[[#This Row],[Cantidad]]</f>
        <v>#N/A</v>
      </c>
      <c r="O4138" s="284" t="e">
        <f>++Tabla4[[#This Row],[Utilidad Total]]/Tabla4[[#This Row],[Total]]</f>
        <v>#N/A</v>
      </c>
      <c r="P4138" s="282">
        <f>++Tabla4[[#This Row],[Precio Descontado]]*Tabla4[[#This Row],[Cantidad]]</f>
        <v>4928.2541709999996</v>
      </c>
      <c r="Q4138" s="282" t="e">
        <f>(INDEX(Tabla6[#All],MATCH(Tabla4[[#This Row],[Producto]],Tabla6[[#All],[PRODUCTO]],0),MATCH(Tabla4[[#This Row],[Mes]],Tabla6[#Headers],0)))</f>
        <v>#N/A</v>
      </c>
      <c r="R4138" s="282" t="e">
        <f>++Tabla4[[#This Row],[Precio Unitario Neto]]-Tabla4[[#This Row],[20.85%]]-Tabla4[[#This Row],[Costo]]</f>
        <v>#N/A</v>
      </c>
      <c r="S4138" s="282" t="e">
        <f>++Tabla4[[#This Row],[U. Bruta Uni]]*Tabla4[[#This Row],[Cantidad]]</f>
        <v>#N/A</v>
      </c>
      <c r="T4138" s="369" t="str">
        <f>VLOOKUP(Tabla4[[#This Row],[Producto]],Tabla6[#All],14,FALSE)</f>
        <v>Termico Solar</v>
      </c>
      <c r="U4138" s="284" t="e">
        <f>(IF(Tabla4[[#This Row],[Familia]]="termico solar",Tabla4[[#This Row],[Utilidad Total]]*6%,Tabla4[[#This Row],[Utilidad Total]]*11.5%))/Tabla4[[#This Row],[Total]]</f>
        <v>#N/A</v>
      </c>
      <c r="V4138" s="282" t="e">
        <f>+Tabla4[[#This Row],[Comisión Calculada]]*Tabla4[[#This Row],[Total]]</f>
        <v>#N/A</v>
      </c>
    </row>
    <row r="4139" spans="1:22" hidden="1" x14ac:dyDescent="0.25">
      <c r="A4139" s="100">
        <v>45838</v>
      </c>
      <c r="B4139" t="str">
        <f t="shared" si="204"/>
        <v>June</v>
      </c>
      <c r="C4139" s="46" t="s">
        <v>280</v>
      </c>
      <c r="F4139" s="366" t="s">
        <v>2276</v>
      </c>
      <c r="G4139" s="46" t="s">
        <v>566</v>
      </c>
      <c r="H4139" s="46">
        <v>1</v>
      </c>
      <c r="I4139" s="51">
        <v>2109.4499999999998</v>
      </c>
      <c r="J4139" s="281">
        <f>++Tabla4[[#This Row],[Precio Bruto]]*1.16</f>
        <v>2446.9619999999995</v>
      </c>
      <c r="K4139" s="281">
        <f>+Tabla4[[#This Row],[Precio Unitario Neto]]*Tabla4[[#Headers],[20.85%]]</f>
        <v>510.19157699999988</v>
      </c>
      <c r="L4139" s="282">
        <f>++Tabla4[[#This Row],[Precio Unitario Neto]]-Tabla4[[#This Row],[20.85%]]</f>
        <v>1936.7704229999997</v>
      </c>
      <c r="M4139" s="282" t="e">
        <f>(INDEX(Tabla6[#All],MATCH(Tabla4[[#This Row],[Producto]],Tabla6[[#All],[PRODUCTO]],0),MATCH(Tabla4[[#This Row],[Mes]],Tabla6[#Headers],0)))*(1+Catalogos!$L$2)</f>
        <v>#N/A</v>
      </c>
      <c r="N4139" s="283" t="e">
        <f>+(Tabla4[[#This Row],[Precio Descontado]]-Tabla4[[#This Row],[Precio Base]])*Tabla4[[#This Row],[Cantidad]]</f>
        <v>#N/A</v>
      </c>
      <c r="O4139" s="284" t="e">
        <f>++Tabla4[[#This Row],[Utilidad Total]]/Tabla4[[#This Row],[Total]]</f>
        <v>#N/A</v>
      </c>
      <c r="P4139" s="282">
        <f>++Tabla4[[#This Row],[Precio Descontado]]*Tabla4[[#This Row],[Cantidad]]</f>
        <v>1936.7704229999997</v>
      </c>
      <c r="Q4139" s="282" t="e">
        <f>(INDEX(Tabla6[#All],MATCH(Tabla4[[#This Row],[Producto]],Tabla6[[#All],[PRODUCTO]],0),MATCH(Tabla4[[#This Row],[Mes]],Tabla6[#Headers],0)))</f>
        <v>#N/A</v>
      </c>
      <c r="R4139" s="282" t="e">
        <f>++Tabla4[[#This Row],[Precio Unitario Neto]]-Tabla4[[#This Row],[20.85%]]-Tabla4[[#This Row],[Costo]]</f>
        <v>#N/A</v>
      </c>
      <c r="S4139" s="282" t="e">
        <f>++Tabla4[[#This Row],[U. Bruta Uni]]*Tabla4[[#This Row],[Cantidad]]</f>
        <v>#N/A</v>
      </c>
      <c r="T4139" s="369" t="str">
        <f>VLOOKUP(Tabla4[[#This Row],[Producto]],Tabla6[#All],14,FALSE)</f>
        <v>Termico Solar</v>
      </c>
      <c r="U4139" s="284" t="e">
        <f>(IF(Tabla4[[#This Row],[Familia]]="termico solar",Tabla4[[#This Row],[Utilidad Total]]*6%,Tabla4[[#This Row],[Utilidad Total]]*11.5%))/Tabla4[[#This Row],[Total]]</f>
        <v>#N/A</v>
      </c>
      <c r="V4139" s="282" t="e">
        <f>+Tabla4[[#This Row],[Comisión Calculada]]*Tabla4[[#This Row],[Total]]</f>
        <v>#N/A</v>
      </c>
    </row>
    <row r="4140" spans="1:22" hidden="1" x14ac:dyDescent="0.25">
      <c r="A4140" s="100">
        <v>45838</v>
      </c>
      <c r="B4140" t="str">
        <f t="shared" si="204"/>
        <v>June</v>
      </c>
      <c r="C4140" s="46" t="s">
        <v>280</v>
      </c>
      <c r="F4140" s="366" t="s">
        <v>2277</v>
      </c>
      <c r="G4140" s="46" t="s">
        <v>17</v>
      </c>
      <c r="H4140" s="46">
        <v>1</v>
      </c>
      <c r="I4140" s="51">
        <v>4622.28</v>
      </c>
      <c r="J4140" s="281">
        <f>++Tabla4[[#This Row],[Precio Bruto]]*1.16</f>
        <v>5361.8447999999989</v>
      </c>
      <c r="K4140" s="281">
        <f>+Tabla4[[#This Row],[Precio Unitario Neto]]*Tabla4[[#Headers],[20.85%]]</f>
        <v>1117.9446407999997</v>
      </c>
      <c r="L4140" s="282">
        <f>++Tabla4[[#This Row],[Precio Unitario Neto]]-Tabla4[[#This Row],[20.85%]]</f>
        <v>4243.9001591999995</v>
      </c>
      <c r="M4140" s="282" t="e">
        <f>(INDEX(Tabla6[#All],MATCH(Tabla4[[#This Row],[Producto]],Tabla6[[#All],[PRODUCTO]],0),MATCH(Tabla4[[#This Row],[Mes]],Tabla6[#Headers],0)))*(1+Catalogos!$L$2)</f>
        <v>#N/A</v>
      </c>
      <c r="N4140" s="283" t="e">
        <f>+(Tabla4[[#This Row],[Precio Descontado]]-Tabla4[[#This Row],[Precio Base]])*Tabla4[[#This Row],[Cantidad]]</f>
        <v>#N/A</v>
      </c>
      <c r="O4140" s="284" t="e">
        <f>++Tabla4[[#This Row],[Utilidad Total]]/Tabla4[[#This Row],[Total]]</f>
        <v>#N/A</v>
      </c>
      <c r="P4140" s="282">
        <f>++Tabla4[[#This Row],[Precio Descontado]]*Tabla4[[#This Row],[Cantidad]]</f>
        <v>4243.9001591999995</v>
      </c>
      <c r="Q4140" s="282" t="e">
        <f>(INDEX(Tabla6[#All],MATCH(Tabla4[[#This Row],[Producto]],Tabla6[[#All],[PRODUCTO]],0),MATCH(Tabla4[[#This Row],[Mes]],Tabla6[#Headers],0)))</f>
        <v>#N/A</v>
      </c>
      <c r="R4140" s="282" t="e">
        <f>++Tabla4[[#This Row],[Precio Unitario Neto]]-Tabla4[[#This Row],[20.85%]]-Tabla4[[#This Row],[Costo]]</f>
        <v>#N/A</v>
      </c>
      <c r="S4140" s="282" t="e">
        <f>++Tabla4[[#This Row],[U. Bruta Uni]]*Tabla4[[#This Row],[Cantidad]]</f>
        <v>#N/A</v>
      </c>
      <c r="T4140" s="369" t="str">
        <f>VLOOKUP(Tabla4[[#This Row],[Producto]],Tabla6[#All],14,FALSE)</f>
        <v>Termico Solar</v>
      </c>
      <c r="U4140" s="284" t="e">
        <f>(IF(Tabla4[[#This Row],[Familia]]="termico solar",Tabla4[[#This Row],[Utilidad Total]]*6%,Tabla4[[#This Row],[Utilidad Total]]*11.5%))/Tabla4[[#This Row],[Total]]</f>
        <v>#N/A</v>
      </c>
      <c r="V4140" s="282" t="e">
        <f>+Tabla4[[#This Row],[Comisión Calculada]]*Tabla4[[#This Row],[Total]]</f>
        <v>#N/A</v>
      </c>
    </row>
    <row r="4141" spans="1:22" hidden="1" x14ac:dyDescent="0.25">
      <c r="A4141" s="100">
        <v>45838</v>
      </c>
      <c r="B4141" t="str">
        <f t="shared" si="204"/>
        <v>June</v>
      </c>
      <c r="C4141" s="46" t="s">
        <v>280</v>
      </c>
      <c r="F4141" s="366" t="s">
        <v>2277</v>
      </c>
      <c r="G4141" s="46" t="s">
        <v>19</v>
      </c>
      <c r="H4141" s="46">
        <v>1</v>
      </c>
      <c r="I4141" s="51">
        <v>6412.03</v>
      </c>
      <c r="J4141" s="281">
        <f>++Tabla4[[#This Row],[Precio Bruto]]*1.16</f>
        <v>7437.9547999999995</v>
      </c>
      <c r="K4141" s="281">
        <f>+Tabla4[[#This Row],[Precio Unitario Neto]]*Tabla4[[#Headers],[20.85%]]</f>
        <v>1550.8135757999999</v>
      </c>
      <c r="L4141" s="282">
        <f>++Tabla4[[#This Row],[Precio Unitario Neto]]-Tabla4[[#This Row],[20.85%]]</f>
        <v>5887.1412241999997</v>
      </c>
      <c r="M4141" s="282" t="e">
        <f>(INDEX(Tabla6[#All],MATCH(Tabla4[[#This Row],[Producto]],Tabla6[[#All],[PRODUCTO]],0),MATCH(Tabla4[[#This Row],[Mes]],Tabla6[#Headers],0)))*(1+Catalogos!$L$2)</f>
        <v>#N/A</v>
      </c>
      <c r="N4141" s="283" t="e">
        <f>+(Tabla4[[#This Row],[Precio Descontado]]-Tabla4[[#This Row],[Precio Base]])*Tabla4[[#This Row],[Cantidad]]</f>
        <v>#N/A</v>
      </c>
      <c r="O4141" s="284" t="e">
        <f>++Tabla4[[#This Row],[Utilidad Total]]/Tabla4[[#This Row],[Total]]</f>
        <v>#N/A</v>
      </c>
      <c r="P4141" s="282">
        <f>++Tabla4[[#This Row],[Precio Descontado]]*Tabla4[[#This Row],[Cantidad]]</f>
        <v>5887.1412241999997</v>
      </c>
      <c r="Q4141" s="282" t="e">
        <f>(INDEX(Tabla6[#All],MATCH(Tabla4[[#This Row],[Producto]],Tabla6[[#All],[PRODUCTO]],0),MATCH(Tabla4[[#This Row],[Mes]],Tabla6[#Headers],0)))</f>
        <v>#N/A</v>
      </c>
      <c r="R4141" s="282" t="e">
        <f>++Tabla4[[#This Row],[Precio Unitario Neto]]-Tabla4[[#This Row],[20.85%]]-Tabla4[[#This Row],[Costo]]</f>
        <v>#N/A</v>
      </c>
      <c r="S4141" s="282" t="e">
        <f>++Tabla4[[#This Row],[U. Bruta Uni]]*Tabla4[[#This Row],[Cantidad]]</f>
        <v>#N/A</v>
      </c>
      <c r="T4141" s="369" t="str">
        <f>VLOOKUP(Tabla4[[#This Row],[Producto]],Tabla6[#All],14,FALSE)</f>
        <v>Termico Solar</v>
      </c>
      <c r="U4141" s="284" t="e">
        <f>(IF(Tabla4[[#This Row],[Familia]]="termico solar",Tabla4[[#This Row],[Utilidad Total]]*6%,Tabla4[[#This Row],[Utilidad Total]]*11.5%))/Tabla4[[#This Row],[Total]]</f>
        <v>#N/A</v>
      </c>
      <c r="V4141" s="282" t="e">
        <f>+Tabla4[[#This Row],[Comisión Calculada]]*Tabla4[[#This Row],[Total]]</f>
        <v>#N/A</v>
      </c>
    </row>
    <row r="4142" spans="1:22" hidden="1" x14ac:dyDescent="0.25">
      <c r="A4142" s="100">
        <v>45838</v>
      </c>
      <c r="B4142" t="str">
        <f t="shared" si="204"/>
        <v>June</v>
      </c>
      <c r="C4142" s="46" t="s">
        <v>280</v>
      </c>
      <c r="F4142" s="366" t="s">
        <v>2277</v>
      </c>
      <c r="G4142" s="46" t="s">
        <v>566</v>
      </c>
      <c r="H4142" s="46">
        <v>1</v>
      </c>
      <c r="I4142" s="51">
        <v>2109.4499999999998</v>
      </c>
      <c r="J4142" s="281">
        <f>++Tabla4[[#This Row],[Precio Bruto]]*1.16</f>
        <v>2446.9619999999995</v>
      </c>
      <c r="K4142" s="281">
        <f>+Tabla4[[#This Row],[Precio Unitario Neto]]*Tabla4[[#Headers],[20.85%]]</f>
        <v>510.19157699999988</v>
      </c>
      <c r="L4142" s="282">
        <f>++Tabla4[[#This Row],[Precio Unitario Neto]]-Tabla4[[#This Row],[20.85%]]</f>
        <v>1936.7704229999997</v>
      </c>
      <c r="M4142" s="282" t="e">
        <f>(INDEX(Tabla6[#All],MATCH(Tabla4[[#This Row],[Producto]],Tabla6[[#All],[PRODUCTO]],0),MATCH(Tabla4[[#This Row],[Mes]],Tabla6[#Headers],0)))*(1+Catalogos!$L$2)</f>
        <v>#N/A</v>
      </c>
      <c r="N4142" s="283" t="e">
        <f>+(Tabla4[[#This Row],[Precio Descontado]]-Tabla4[[#This Row],[Precio Base]])*Tabla4[[#This Row],[Cantidad]]</f>
        <v>#N/A</v>
      </c>
      <c r="O4142" s="284" t="e">
        <f>++Tabla4[[#This Row],[Utilidad Total]]/Tabla4[[#This Row],[Total]]</f>
        <v>#N/A</v>
      </c>
      <c r="P4142" s="282">
        <f>++Tabla4[[#This Row],[Precio Descontado]]*Tabla4[[#This Row],[Cantidad]]</f>
        <v>1936.7704229999997</v>
      </c>
      <c r="Q4142" s="282" t="e">
        <f>(INDEX(Tabla6[#All],MATCH(Tabla4[[#This Row],[Producto]],Tabla6[[#All],[PRODUCTO]],0),MATCH(Tabla4[[#This Row],[Mes]],Tabla6[#Headers],0)))</f>
        <v>#N/A</v>
      </c>
      <c r="R4142" s="282" t="e">
        <f>++Tabla4[[#This Row],[Precio Unitario Neto]]-Tabla4[[#This Row],[20.85%]]-Tabla4[[#This Row],[Costo]]</f>
        <v>#N/A</v>
      </c>
      <c r="S4142" s="282" t="e">
        <f>++Tabla4[[#This Row],[U. Bruta Uni]]*Tabla4[[#This Row],[Cantidad]]</f>
        <v>#N/A</v>
      </c>
      <c r="T4142" s="369" t="str">
        <f>VLOOKUP(Tabla4[[#This Row],[Producto]],Tabla6[#All],14,FALSE)</f>
        <v>Termico Solar</v>
      </c>
      <c r="U4142" s="284" t="e">
        <f>(IF(Tabla4[[#This Row],[Familia]]="termico solar",Tabla4[[#This Row],[Utilidad Total]]*6%,Tabla4[[#This Row],[Utilidad Total]]*11.5%))/Tabla4[[#This Row],[Total]]</f>
        <v>#N/A</v>
      </c>
      <c r="V4142" s="282" t="e">
        <f>+Tabla4[[#This Row],[Comisión Calculada]]*Tabla4[[#This Row],[Total]]</f>
        <v>#N/A</v>
      </c>
    </row>
    <row r="4143" spans="1:22" hidden="1" x14ac:dyDescent="0.25">
      <c r="A4143" s="100">
        <v>45838</v>
      </c>
      <c r="B4143" t="str">
        <f t="shared" si="204"/>
        <v>June</v>
      </c>
      <c r="C4143" s="46" t="s">
        <v>280</v>
      </c>
      <c r="F4143" s="366" t="s">
        <v>2277</v>
      </c>
      <c r="G4143" s="46" t="s">
        <v>208</v>
      </c>
      <c r="H4143" s="46">
        <v>1</v>
      </c>
      <c r="I4143" s="51">
        <v>189.75</v>
      </c>
      <c r="J4143" s="281">
        <f>++Tabla4[[#This Row],[Precio Bruto]]*1.16</f>
        <v>220.10999999999999</v>
      </c>
      <c r="K4143" s="281">
        <f>+Tabla4[[#This Row],[Precio Unitario Neto]]*Tabla4[[#Headers],[20.85%]]</f>
        <v>45.892934999999994</v>
      </c>
      <c r="L4143" s="282">
        <f>++Tabla4[[#This Row],[Precio Unitario Neto]]-Tabla4[[#This Row],[20.85%]]</f>
        <v>174.21706499999999</v>
      </c>
      <c r="M4143" s="282" t="e">
        <f>(INDEX(Tabla6[#All],MATCH(Tabla4[[#This Row],[Producto]],Tabla6[[#All],[PRODUCTO]],0),MATCH(Tabla4[[#This Row],[Mes]],Tabla6[#Headers],0)))*(1+Catalogos!$L$2)</f>
        <v>#N/A</v>
      </c>
      <c r="N4143" s="283" t="e">
        <f>+(Tabla4[[#This Row],[Precio Descontado]]-Tabla4[[#This Row],[Precio Base]])*Tabla4[[#This Row],[Cantidad]]</f>
        <v>#N/A</v>
      </c>
      <c r="O4143" s="284" t="e">
        <f>++Tabla4[[#This Row],[Utilidad Total]]/Tabla4[[#This Row],[Total]]</f>
        <v>#N/A</v>
      </c>
      <c r="P4143" s="282">
        <f>++Tabla4[[#This Row],[Precio Descontado]]*Tabla4[[#This Row],[Cantidad]]</f>
        <v>174.21706499999999</v>
      </c>
      <c r="Q4143" s="282" t="e">
        <f>(INDEX(Tabla6[#All],MATCH(Tabla4[[#This Row],[Producto]],Tabla6[[#All],[PRODUCTO]],0),MATCH(Tabla4[[#This Row],[Mes]],Tabla6[#Headers],0)))</f>
        <v>#N/A</v>
      </c>
      <c r="R4143" s="282" t="e">
        <f>++Tabla4[[#This Row],[Precio Unitario Neto]]-Tabla4[[#This Row],[20.85%]]-Tabla4[[#This Row],[Costo]]</f>
        <v>#N/A</v>
      </c>
      <c r="S4143" s="282" t="e">
        <f>++Tabla4[[#This Row],[U. Bruta Uni]]*Tabla4[[#This Row],[Cantidad]]</f>
        <v>#N/A</v>
      </c>
      <c r="T4143" s="369" t="str">
        <f>VLOOKUP(Tabla4[[#This Row],[Producto]],Tabla6[#All],14,FALSE)</f>
        <v>Termico Solar</v>
      </c>
      <c r="U4143" s="284" t="e">
        <f>(IF(Tabla4[[#This Row],[Familia]]="termico solar",Tabla4[[#This Row],[Utilidad Total]]*6%,Tabla4[[#This Row],[Utilidad Total]]*11.5%))/Tabla4[[#This Row],[Total]]</f>
        <v>#N/A</v>
      </c>
      <c r="V4143" s="282" t="e">
        <f>+Tabla4[[#This Row],[Comisión Calculada]]*Tabla4[[#This Row],[Total]]</f>
        <v>#N/A</v>
      </c>
    </row>
    <row r="4144" spans="1:22" hidden="1" x14ac:dyDescent="0.25">
      <c r="A4144" s="100">
        <v>45838</v>
      </c>
      <c r="B4144" t="str">
        <f t="shared" si="204"/>
        <v>June</v>
      </c>
      <c r="C4144" s="46" t="s">
        <v>280</v>
      </c>
      <c r="F4144" s="366" t="s">
        <v>2278</v>
      </c>
      <c r="G4144" s="46" t="s">
        <v>17</v>
      </c>
      <c r="H4144" s="46">
        <v>1</v>
      </c>
      <c r="I4144" s="51">
        <v>4622.28</v>
      </c>
      <c r="J4144" s="281">
        <f>++Tabla4[[#This Row],[Precio Bruto]]*1.16</f>
        <v>5361.8447999999989</v>
      </c>
      <c r="K4144" s="281">
        <f>+Tabla4[[#This Row],[Precio Unitario Neto]]*Tabla4[[#Headers],[20.85%]]</f>
        <v>1117.9446407999997</v>
      </c>
      <c r="L4144" s="282">
        <f>++Tabla4[[#This Row],[Precio Unitario Neto]]-Tabla4[[#This Row],[20.85%]]</f>
        <v>4243.9001591999995</v>
      </c>
      <c r="M4144" s="282" t="e">
        <f>(INDEX(Tabla6[#All],MATCH(Tabla4[[#This Row],[Producto]],Tabla6[[#All],[PRODUCTO]],0),MATCH(Tabla4[[#This Row],[Mes]],Tabla6[#Headers],0)))*(1+Catalogos!$L$2)</f>
        <v>#N/A</v>
      </c>
      <c r="N4144" s="283" t="e">
        <f>+(Tabla4[[#This Row],[Precio Descontado]]-Tabla4[[#This Row],[Precio Base]])*Tabla4[[#This Row],[Cantidad]]</f>
        <v>#N/A</v>
      </c>
      <c r="O4144" s="284" t="e">
        <f>++Tabla4[[#This Row],[Utilidad Total]]/Tabla4[[#This Row],[Total]]</f>
        <v>#N/A</v>
      </c>
      <c r="P4144" s="282">
        <f>++Tabla4[[#This Row],[Precio Descontado]]*Tabla4[[#This Row],[Cantidad]]</f>
        <v>4243.9001591999995</v>
      </c>
      <c r="Q4144" s="282" t="e">
        <f>(INDEX(Tabla6[#All],MATCH(Tabla4[[#This Row],[Producto]],Tabla6[[#All],[PRODUCTO]],0),MATCH(Tabla4[[#This Row],[Mes]],Tabla6[#Headers],0)))</f>
        <v>#N/A</v>
      </c>
      <c r="R4144" s="282" t="e">
        <f>++Tabla4[[#This Row],[Precio Unitario Neto]]-Tabla4[[#This Row],[20.85%]]-Tabla4[[#This Row],[Costo]]</f>
        <v>#N/A</v>
      </c>
      <c r="S4144" s="282" t="e">
        <f>++Tabla4[[#This Row],[U. Bruta Uni]]*Tabla4[[#This Row],[Cantidad]]</f>
        <v>#N/A</v>
      </c>
      <c r="T4144" s="369" t="str">
        <f>VLOOKUP(Tabla4[[#This Row],[Producto]],Tabla6[#All],14,FALSE)</f>
        <v>Termico Solar</v>
      </c>
      <c r="U4144" s="284" t="e">
        <f>(IF(Tabla4[[#This Row],[Familia]]="termico solar",Tabla4[[#This Row],[Utilidad Total]]*6%,Tabla4[[#This Row],[Utilidad Total]]*11.5%))/Tabla4[[#This Row],[Total]]</f>
        <v>#N/A</v>
      </c>
      <c r="V4144" s="282" t="e">
        <f>+Tabla4[[#This Row],[Comisión Calculada]]*Tabla4[[#This Row],[Total]]</f>
        <v>#N/A</v>
      </c>
    </row>
    <row r="4145" spans="1:22" hidden="1" x14ac:dyDescent="0.25">
      <c r="A4145" s="100">
        <v>45838</v>
      </c>
      <c r="B4145" t="str">
        <f t="shared" si="204"/>
        <v>June</v>
      </c>
      <c r="C4145" s="46" t="s">
        <v>280</v>
      </c>
      <c r="F4145" s="366" t="s">
        <v>2279</v>
      </c>
      <c r="G4145" s="46" t="s">
        <v>18</v>
      </c>
      <c r="H4145" s="46">
        <v>2</v>
      </c>
      <c r="I4145" s="51">
        <v>5367.65</v>
      </c>
      <c r="J4145" s="281">
        <f>++Tabla4[[#This Row],[Precio Bruto]]*1.16</f>
        <v>6226.4739999999993</v>
      </c>
      <c r="K4145" s="281">
        <f>+Tabla4[[#This Row],[Precio Unitario Neto]]*Tabla4[[#Headers],[20.85%]]</f>
        <v>1298.2198289999999</v>
      </c>
      <c r="L4145" s="282">
        <f>++Tabla4[[#This Row],[Precio Unitario Neto]]-Tabla4[[#This Row],[20.85%]]</f>
        <v>4928.2541709999996</v>
      </c>
      <c r="M4145" s="282" t="e">
        <f>(INDEX(Tabla6[#All],MATCH(Tabla4[[#This Row],[Producto]],Tabla6[[#All],[PRODUCTO]],0),MATCH(Tabla4[[#This Row],[Mes]],Tabla6[#Headers],0)))*(1+Catalogos!$L$2)</f>
        <v>#N/A</v>
      </c>
      <c r="N4145" s="283" t="e">
        <f>+(Tabla4[[#This Row],[Precio Descontado]]-Tabla4[[#This Row],[Precio Base]])*Tabla4[[#This Row],[Cantidad]]</f>
        <v>#N/A</v>
      </c>
      <c r="O4145" s="284" t="e">
        <f>++Tabla4[[#This Row],[Utilidad Total]]/Tabla4[[#This Row],[Total]]</f>
        <v>#N/A</v>
      </c>
      <c r="P4145" s="282">
        <f>++Tabla4[[#This Row],[Precio Descontado]]*Tabla4[[#This Row],[Cantidad]]</f>
        <v>9856.5083419999992</v>
      </c>
      <c r="Q4145" s="282" t="e">
        <f>(INDEX(Tabla6[#All],MATCH(Tabla4[[#This Row],[Producto]],Tabla6[[#All],[PRODUCTO]],0),MATCH(Tabla4[[#This Row],[Mes]],Tabla6[#Headers],0)))</f>
        <v>#N/A</v>
      </c>
      <c r="R4145" s="282" t="e">
        <f>++Tabla4[[#This Row],[Precio Unitario Neto]]-Tabla4[[#This Row],[20.85%]]-Tabla4[[#This Row],[Costo]]</f>
        <v>#N/A</v>
      </c>
      <c r="S4145" s="282" t="e">
        <f>++Tabla4[[#This Row],[U. Bruta Uni]]*Tabla4[[#This Row],[Cantidad]]</f>
        <v>#N/A</v>
      </c>
      <c r="T4145" s="369" t="str">
        <f>VLOOKUP(Tabla4[[#This Row],[Producto]],Tabla6[#All],14,FALSE)</f>
        <v>Termico Solar</v>
      </c>
      <c r="U4145" s="284" t="e">
        <f>(IF(Tabla4[[#This Row],[Familia]]="termico solar",Tabla4[[#This Row],[Utilidad Total]]*6%,Tabla4[[#This Row],[Utilidad Total]]*11.5%))/Tabla4[[#This Row],[Total]]</f>
        <v>#N/A</v>
      </c>
      <c r="V4145" s="282" t="e">
        <f>+Tabla4[[#This Row],[Comisión Calculada]]*Tabla4[[#This Row],[Total]]</f>
        <v>#N/A</v>
      </c>
    </row>
    <row r="4146" spans="1:22" hidden="1" x14ac:dyDescent="0.25">
      <c r="A4146" s="100">
        <v>45838</v>
      </c>
      <c r="B4146" t="str">
        <f t="shared" si="204"/>
        <v>June</v>
      </c>
      <c r="C4146" s="46" t="s">
        <v>280</v>
      </c>
      <c r="F4146" s="366" t="s">
        <v>2279</v>
      </c>
      <c r="G4146" s="46" t="s">
        <v>19</v>
      </c>
      <c r="H4146" s="46">
        <v>1</v>
      </c>
      <c r="I4146" s="51">
        <v>6412.03</v>
      </c>
      <c r="J4146" s="281">
        <f>++Tabla4[[#This Row],[Precio Bruto]]*1.16</f>
        <v>7437.9547999999995</v>
      </c>
      <c r="K4146" s="281">
        <f>+Tabla4[[#This Row],[Precio Unitario Neto]]*Tabla4[[#Headers],[20.85%]]</f>
        <v>1550.8135757999999</v>
      </c>
      <c r="L4146" s="282">
        <f>++Tabla4[[#This Row],[Precio Unitario Neto]]-Tabla4[[#This Row],[20.85%]]</f>
        <v>5887.1412241999997</v>
      </c>
      <c r="M4146" s="282" t="e">
        <f>(INDEX(Tabla6[#All],MATCH(Tabla4[[#This Row],[Producto]],Tabla6[[#All],[PRODUCTO]],0),MATCH(Tabla4[[#This Row],[Mes]],Tabla6[#Headers],0)))*(1+Catalogos!$L$2)</f>
        <v>#N/A</v>
      </c>
      <c r="N4146" s="283" t="e">
        <f>+(Tabla4[[#This Row],[Precio Descontado]]-Tabla4[[#This Row],[Precio Base]])*Tabla4[[#This Row],[Cantidad]]</f>
        <v>#N/A</v>
      </c>
      <c r="O4146" s="284" t="e">
        <f>++Tabla4[[#This Row],[Utilidad Total]]/Tabla4[[#This Row],[Total]]</f>
        <v>#N/A</v>
      </c>
      <c r="P4146" s="282">
        <f>++Tabla4[[#This Row],[Precio Descontado]]*Tabla4[[#This Row],[Cantidad]]</f>
        <v>5887.1412241999997</v>
      </c>
      <c r="Q4146" s="282" t="e">
        <f>(INDEX(Tabla6[#All],MATCH(Tabla4[[#This Row],[Producto]],Tabla6[[#All],[PRODUCTO]],0),MATCH(Tabla4[[#This Row],[Mes]],Tabla6[#Headers],0)))</f>
        <v>#N/A</v>
      </c>
      <c r="R4146" s="282" t="e">
        <f>++Tabla4[[#This Row],[Precio Unitario Neto]]-Tabla4[[#This Row],[20.85%]]-Tabla4[[#This Row],[Costo]]</f>
        <v>#N/A</v>
      </c>
      <c r="S4146" s="282" t="e">
        <f>++Tabla4[[#This Row],[U. Bruta Uni]]*Tabla4[[#This Row],[Cantidad]]</f>
        <v>#N/A</v>
      </c>
      <c r="T4146" s="369" t="str">
        <f>VLOOKUP(Tabla4[[#This Row],[Producto]],Tabla6[#All],14,FALSE)</f>
        <v>Termico Solar</v>
      </c>
      <c r="U4146" s="284" t="e">
        <f>(IF(Tabla4[[#This Row],[Familia]]="termico solar",Tabla4[[#This Row],[Utilidad Total]]*6%,Tabla4[[#This Row],[Utilidad Total]]*11.5%))/Tabla4[[#This Row],[Total]]</f>
        <v>#N/A</v>
      </c>
      <c r="V4146" s="282" t="e">
        <f>+Tabla4[[#This Row],[Comisión Calculada]]*Tabla4[[#This Row],[Total]]</f>
        <v>#N/A</v>
      </c>
    </row>
    <row r="4147" spans="1:22" hidden="1" x14ac:dyDescent="0.25">
      <c r="A4147" s="100">
        <v>45838</v>
      </c>
      <c r="B4147" t="str">
        <f t="shared" si="204"/>
        <v>June</v>
      </c>
      <c r="C4147" s="46" t="s">
        <v>280</v>
      </c>
      <c r="F4147" s="366" t="s">
        <v>2280</v>
      </c>
      <c r="G4147" s="46" t="s">
        <v>208</v>
      </c>
      <c r="H4147" s="46">
        <v>1</v>
      </c>
      <c r="I4147" s="51">
        <v>189.75</v>
      </c>
      <c r="J4147" s="281">
        <f>++Tabla4[[#This Row],[Precio Bruto]]*1.16</f>
        <v>220.10999999999999</v>
      </c>
      <c r="K4147" s="281">
        <f>+Tabla4[[#This Row],[Precio Unitario Neto]]*Tabla4[[#Headers],[20.85%]]</f>
        <v>45.892934999999994</v>
      </c>
      <c r="L4147" s="282">
        <f>++Tabla4[[#This Row],[Precio Unitario Neto]]-Tabla4[[#This Row],[20.85%]]</f>
        <v>174.21706499999999</v>
      </c>
      <c r="M4147" s="282" t="e">
        <f>(INDEX(Tabla6[#All],MATCH(Tabla4[[#This Row],[Producto]],Tabla6[[#All],[PRODUCTO]],0),MATCH(Tabla4[[#This Row],[Mes]],Tabla6[#Headers],0)))*(1+Catalogos!$L$2)</f>
        <v>#N/A</v>
      </c>
      <c r="N4147" s="283" t="e">
        <f>+(Tabla4[[#This Row],[Precio Descontado]]-Tabla4[[#This Row],[Precio Base]])*Tabla4[[#This Row],[Cantidad]]</f>
        <v>#N/A</v>
      </c>
      <c r="O4147" s="284" t="e">
        <f>++Tabla4[[#This Row],[Utilidad Total]]/Tabla4[[#This Row],[Total]]</f>
        <v>#N/A</v>
      </c>
      <c r="P4147" s="282">
        <f>++Tabla4[[#This Row],[Precio Descontado]]*Tabla4[[#This Row],[Cantidad]]</f>
        <v>174.21706499999999</v>
      </c>
      <c r="Q4147" s="282" t="e">
        <f>(INDEX(Tabla6[#All],MATCH(Tabla4[[#This Row],[Producto]],Tabla6[[#All],[PRODUCTO]],0),MATCH(Tabla4[[#This Row],[Mes]],Tabla6[#Headers],0)))</f>
        <v>#N/A</v>
      </c>
      <c r="R4147" s="282" t="e">
        <f>++Tabla4[[#This Row],[Precio Unitario Neto]]-Tabla4[[#This Row],[20.85%]]-Tabla4[[#This Row],[Costo]]</f>
        <v>#N/A</v>
      </c>
      <c r="S4147" s="282" t="e">
        <f>++Tabla4[[#This Row],[U. Bruta Uni]]*Tabla4[[#This Row],[Cantidad]]</f>
        <v>#N/A</v>
      </c>
      <c r="T4147" s="369" t="str">
        <f>VLOOKUP(Tabla4[[#This Row],[Producto]],Tabla6[#All],14,FALSE)</f>
        <v>Termico Solar</v>
      </c>
      <c r="U4147" s="284" t="e">
        <f>(IF(Tabla4[[#This Row],[Familia]]="termico solar",Tabla4[[#This Row],[Utilidad Total]]*6%,Tabla4[[#This Row],[Utilidad Total]]*11.5%))/Tabla4[[#This Row],[Total]]</f>
        <v>#N/A</v>
      </c>
      <c r="V4147" s="282" t="e">
        <f>+Tabla4[[#This Row],[Comisión Calculada]]*Tabla4[[#This Row],[Total]]</f>
        <v>#N/A</v>
      </c>
    </row>
    <row r="4148" spans="1:22" hidden="1" x14ac:dyDescent="0.25">
      <c r="A4148" s="100">
        <v>45838</v>
      </c>
      <c r="B4148" t="str">
        <f t="shared" ref="B4148:B4153" si="205">TEXT(A4148, "mmmm")</f>
        <v>June</v>
      </c>
      <c r="C4148" s="46" t="s">
        <v>280</v>
      </c>
      <c r="F4148" s="366" t="s">
        <v>2281</v>
      </c>
      <c r="G4148" s="46" t="s">
        <v>83</v>
      </c>
      <c r="H4148" s="46">
        <v>2</v>
      </c>
      <c r="I4148" s="51">
        <v>8858.76</v>
      </c>
      <c r="J4148" s="281">
        <f>++Tabla4[[#This Row],[Precio Bruto]]*1.16</f>
        <v>10276.161599999999</v>
      </c>
      <c r="K4148" s="281">
        <f>+Tabla4[[#This Row],[Precio Unitario Neto]]*Tabla4[[#Headers],[20.85%]]</f>
        <v>2142.5796935999997</v>
      </c>
      <c r="L4148" s="282">
        <f>++Tabla4[[#This Row],[Precio Unitario Neto]]-Tabla4[[#This Row],[20.85%]]</f>
        <v>8133.5819063999998</v>
      </c>
      <c r="M4148" s="282" t="e">
        <f>(INDEX(Tabla6[#All],MATCH(Tabla4[[#This Row],[Producto]],Tabla6[[#All],[PRODUCTO]],0),MATCH(Tabla4[[#This Row],[Mes]],Tabla6[#Headers],0)))*(1+Catalogos!$L$2)</f>
        <v>#N/A</v>
      </c>
      <c r="N4148" s="283" t="e">
        <f>+(Tabla4[[#This Row],[Precio Descontado]]-Tabla4[[#This Row],[Precio Base]])*Tabla4[[#This Row],[Cantidad]]</f>
        <v>#N/A</v>
      </c>
      <c r="O4148" s="284" t="e">
        <f>++Tabla4[[#This Row],[Utilidad Total]]/Tabla4[[#This Row],[Total]]</f>
        <v>#N/A</v>
      </c>
      <c r="P4148" s="282">
        <f>++Tabla4[[#This Row],[Precio Descontado]]*Tabla4[[#This Row],[Cantidad]]</f>
        <v>16267.1638128</v>
      </c>
      <c r="Q4148" s="282" t="e">
        <f>(INDEX(Tabla6[#All],MATCH(Tabla4[[#This Row],[Producto]],Tabla6[[#All],[PRODUCTO]],0),MATCH(Tabla4[[#This Row],[Mes]],Tabla6[#Headers],0)))</f>
        <v>#N/A</v>
      </c>
      <c r="R4148" s="282" t="e">
        <f>++Tabla4[[#This Row],[Precio Unitario Neto]]-Tabla4[[#This Row],[20.85%]]-Tabla4[[#This Row],[Costo]]</f>
        <v>#N/A</v>
      </c>
      <c r="S4148" s="282" t="e">
        <f>++Tabla4[[#This Row],[U. Bruta Uni]]*Tabla4[[#This Row],[Cantidad]]</f>
        <v>#N/A</v>
      </c>
      <c r="T4148" s="369" t="str">
        <f>VLOOKUP(Tabla4[[#This Row],[Producto]],Tabla6[#All],14,FALSE)</f>
        <v>Termico Solar</v>
      </c>
      <c r="U4148" s="284" t="e">
        <f>(IF(Tabla4[[#This Row],[Familia]]="termico solar",Tabla4[[#This Row],[Utilidad Total]]*6%,Tabla4[[#This Row],[Utilidad Total]]*11.5%))/Tabla4[[#This Row],[Total]]</f>
        <v>#N/A</v>
      </c>
      <c r="V4148" s="282" t="e">
        <f>+Tabla4[[#This Row],[Comisión Calculada]]*Tabla4[[#This Row],[Total]]</f>
        <v>#N/A</v>
      </c>
    </row>
    <row r="4149" spans="1:22" hidden="1" x14ac:dyDescent="0.25">
      <c r="A4149" s="100">
        <v>45838</v>
      </c>
      <c r="B4149" t="str">
        <f t="shared" si="205"/>
        <v>June</v>
      </c>
      <c r="C4149" s="46" t="s">
        <v>280</v>
      </c>
      <c r="F4149" s="366" t="s">
        <v>2281</v>
      </c>
      <c r="G4149" s="46" t="s">
        <v>17</v>
      </c>
      <c r="H4149" s="46">
        <v>1</v>
      </c>
      <c r="I4149" s="51">
        <v>4622.28</v>
      </c>
      <c r="J4149" s="281">
        <f>++Tabla4[[#This Row],[Precio Bruto]]*1.16</f>
        <v>5361.8447999999989</v>
      </c>
      <c r="K4149" s="281">
        <f>+Tabla4[[#This Row],[Precio Unitario Neto]]*Tabla4[[#Headers],[20.85%]]</f>
        <v>1117.9446407999997</v>
      </c>
      <c r="L4149" s="282">
        <f>++Tabla4[[#This Row],[Precio Unitario Neto]]-Tabla4[[#This Row],[20.85%]]</f>
        <v>4243.9001591999995</v>
      </c>
      <c r="M4149" s="282" t="e">
        <f>(INDEX(Tabla6[#All],MATCH(Tabla4[[#This Row],[Producto]],Tabla6[[#All],[PRODUCTO]],0),MATCH(Tabla4[[#This Row],[Mes]],Tabla6[#Headers],0)))*(1+Catalogos!$L$2)</f>
        <v>#N/A</v>
      </c>
      <c r="N4149" s="283" t="e">
        <f>+(Tabla4[[#This Row],[Precio Descontado]]-Tabla4[[#This Row],[Precio Base]])*Tabla4[[#This Row],[Cantidad]]</f>
        <v>#N/A</v>
      </c>
      <c r="O4149" s="284" t="e">
        <f>++Tabla4[[#This Row],[Utilidad Total]]/Tabla4[[#This Row],[Total]]</f>
        <v>#N/A</v>
      </c>
      <c r="P4149" s="282">
        <f>++Tabla4[[#This Row],[Precio Descontado]]*Tabla4[[#This Row],[Cantidad]]</f>
        <v>4243.9001591999995</v>
      </c>
      <c r="Q4149" s="282" t="e">
        <f>(INDEX(Tabla6[#All],MATCH(Tabla4[[#This Row],[Producto]],Tabla6[[#All],[PRODUCTO]],0),MATCH(Tabla4[[#This Row],[Mes]],Tabla6[#Headers],0)))</f>
        <v>#N/A</v>
      </c>
      <c r="R4149" s="282" t="e">
        <f>++Tabla4[[#This Row],[Precio Unitario Neto]]-Tabla4[[#This Row],[20.85%]]-Tabla4[[#This Row],[Costo]]</f>
        <v>#N/A</v>
      </c>
      <c r="S4149" s="282" t="e">
        <f>++Tabla4[[#This Row],[U. Bruta Uni]]*Tabla4[[#This Row],[Cantidad]]</f>
        <v>#N/A</v>
      </c>
      <c r="T4149" s="369" t="str">
        <f>VLOOKUP(Tabla4[[#This Row],[Producto]],Tabla6[#All],14,FALSE)</f>
        <v>Termico Solar</v>
      </c>
      <c r="U4149" s="284" t="e">
        <f>(IF(Tabla4[[#This Row],[Familia]]="termico solar",Tabla4[[#This Row],[Utilidad Total]]*6%,Tabla4[[#This Row],[Utilidad Total]]*11.5%))/Tabla4[[#This Row],[Total]]</f>
        <v>#N/A</v>
      </c>
      <c r="V4149" s="282" t="e">
        <f>+Tabla4[[#This Row],[Comisión Calculada]]*Tabla4[[#This Row],[Total]]</f>
        <v>#N/A</v>
      </c>
    </row>
    <row r="4150" spans="1:22" hidden="1" x14ac:dyDescent="0.25">
      <c r="A4150" s="100">
        <v>45838</v>
      </c>
      <c r="B4150" t="str">
        <f t="shared" si="205"/>
        <v>June</v>
      </c>
      <c r="C4150" s="46" t="s">
        <v>280</v>
      </c>
      <c r="F4150" s="366" t="s">
        <v>2281</v>
      </c>
      <c r="G4150" s="46" t="s">
        <v>19</v>
      </c>
      <c r="H4150" s="46">
        <v>2</v>
      </c>
      <c r="I4150" s="51">
        <v>6412.03</v>
      </c>
      <c r="J4150" s="281">
        <f>++Tabla4[[#This Row],[Precio Bruto]]*1.16</f>
        <v>7437.9547999999995</v>
      </c>
      <c r="K4150" s="281">
        <f>+Tabla4[[#This Row],[Precio Unitario Neto]]*Tabla4[[#Headers],[20.85%]]</f>
        <v>1550.8135757999999</v>
      </c>
      <c r="L4150" s="282">
        <f>++Tabla4[[#This Row],[Precio Unitario Neto]]-Tabla4[[#This Row],[20.85%]]</f>
        <v>5887.1412241999997</v>
      </c>
      <c r="M4150" s="282" t="e">
        <f>(INDEX(Tabla6[#All],MATCH(Tabla4[[#This Row],[Producto]],Tabla6[[#All],[PRODUCTO]],0),MATCH(Tabla4[[#This Row],[Mes]],Tabla6[#Headers],0)))*(1+Catalogos!$L$2)</f>
        <v>#N/A</v>
      </c>
      <c r="N4150" s="283" t="e">
        <f>+(Tabla4[[#This Row],[Precio Descontado]]-Tabla4[[#This Row],[Precio Base]])*Tabla4[[#This Row],[Cantidad]]</f>
        <v>#N/A</v>
      </c>
      <c r="O4150" s="284" t="e">
        <f>++Tabla4[[#This Row],[Utilidad Total]]/Tabla4[[#This Row],[Total]]</f>
        <v>#N/A</v>
      </c>
      <c r="P4150" s="282">
        <f>++Tabla4[[#This Row],[Precio Descontado]]*Tabla4[[#This Row],[Cantidad]]</f>
        <v>11774.282448399999</v>
      </c>
      <c r="Q4150" s="282" t="e">
        <f>(INDEX(Tabla6[#All],MATCH(Tabla4[[#This Row],[Producto]],Tabla6[[#All],[PRODUCTO]],0),MATCH(Tabla4[[#This Row],[Mes]],Tabla6[#Headers],0)))</f>
        <v>#N/A</v>
      </c>
      <c r="R4150" s="282" t="e">
        <f>++Tabla4[[#This Row],[Precio Unitario Neto]]-Tabla4[[#This Row],[20.85%]]-Tabla4[[#This Row],[Costo]]</f>
        <v>#N/A</v>
      </c>
      <c r="S4150" s="282" t="e">
        <f>++Tabla4[[#This Row],[U. Bruta Uni]]*Tabla4[[#This Row],[Cantidad]]</f>
        <v>#N/A</v>
      </c>
      <c r="T4150" s="369" t="str">
        <f>VLOOKUP(Tabla4[[#This Row],[Producto]],Tabla6[#All],14,FALSE)</f>
        <v>Termico Solar</v>
      </c>
      <c r="U4150" s="284" t="e">
        <f>(IF(Tabla4[[#This Row],[Familia]]="termico solar",Tabla4[[#This Row],[Utilidad Total]]*6%,Tabla4[[#This Row],[Utilidad Total]]*11.5%))/Tabla4[[#This Row],[Total]]</f>
        <v>#N/A</v>
      </c>
      <c r="V4150" s="282" t="e">
        <f>+Tabla4[[#This Row],[Comisión Calculada]]*Tabla4[[#This Row],[Total]]</f>
        <v>#N/A</v>
      </c>
    </row>
    <row r="4151" spans="1:22" hidden="1" x14ac:dyDescent="0.25">
      <c r="A4151" s="100">
        <v>45838</v>
      </c>
      <c r="B4151" t="str">
        <f t="shared" si="205"/>
        <v>June</v>
      </c>
      <c r="C4151" s="46" t="s">
        <v>280</v>
      </c>
      <c r="F4151" s="366" t="s">
        <v>2281</v>
      </c>
      <c r="G4151" s="46" t="s">
        <v>566</v>
      </c>
      <c r="H4151" s="46">
        <v>1</v>
      </c>
      <c r="I4151" s="51">
        <v>2109.4499999999998</v>
      </c>
      <c r="J4151" s="281">
        <f>++Tabla4[[#This Row],[Precio Bruto]]*1.16</f>
        <v>2446.9619999999995</v>
      </c>
      <c r="K4151" s="281">
        <f>+Tabla4[[#This Row],[Precio Unitario Neto]]*Tabla4[[#Headers],[20.85%]]</f>
        <v>510.19157699999988</v>
      </c>
      <c r="L4151" s="282">
        <f>++Tabla4[[#This Row],[Precio Unitario Neto]]-Tabla4[[#This Row],[20.85%]]</f>
        <v>1936.7704229999997</v>
      </c>
      <c r="M4151" s="282" t="e">
        <f>(INDEX(Tabla6[#All],MATCH(Tabla4[[#This Row],[Producto]],Tabla6[[#All],[PRODUCTO]],0),MATCH(Tabla4[[#This Row],[Mes]],Tabla6[#Headers],0)))*(1+Catalogos!$L$2)</f>
        <v>#N/A</v>
      </c>
      <c r="N4151" s="283" t="e">
        <f>+(Tabla4[[#This Row],[Precio Descontado]]-Tabla4[[#This Row],[Precio Base]])*Tabla4[[#This Row],[Cantidad]]</f>
        <v>#N/A</v>
      </c>
      <c r="O4151" s="284" t="e">
        <f>++Tabla4[[#This Row],[Utilidad Total]]/Tabla4[[#This Row],[Total]]</f>
        <v>#N/A</v>
      </c>
      <c r="P4151" s="282">
        <f>++Tabla4[[#This Row],[Precio Descontado]]*Tabla4[[#This Row],[Cantidad]]</f>
        <v>1936.7704229999997</v>
      </c>
      <c r="Q4151" s="282" t="e">
        <f>(INDEX(Tabla6[#All],MATCH(Tabla4[[#This Row],[Producto]],Tabla6[[#All],[PRODUCTO]],0),MATCH(Tabla4[[#This Row],[Mes]],Tabla6[#Headers],0)))</f>
        <v>#N/A</v>
      </c>
      <c r="R4151" s="282" t="e">
        <f>++Tabla4[[#This Row],[Precio Unitario Neto]]-Tabla4[[#This Row],[20.85%]]-Tabla4[[#This Row],[Costo]]</f>
        <v>#N/A</v>
      </c>
      <c r="S4151" s="282" t="e">
        <f>++Tabla4[[#This Row],[U. Bruta Uni]]*Tabla4[[#This Row],[Cantidad]]</f>
        <v>#N/A</v>
      </c>
      <c r="T4151" s="369" t="str">
        <f>VLOOKUP(Tabla4[[#This Row],[Producto]],Tabla6[#All],14,FALSE)</f>
        <v>Termico Solar</v>
      </c>
      <c r="U4151" s="284" t="e">
        <f>(IF(Tabla4[[#This Row],[Familia]]="termico solar",Tabla4[[#This Row],[Utilidad Total]]*6%,Tabla4[[#This Row],[Utilidad Total]]*11.5%))/Tabla4[[#This Row],[Total]]</f>
        <v>#N/A</v>
      </c>
      <c r="V4151" s="282" t="e">
        <f>+Tabla4[[#This Row],[Comisión Calculada]]*Tabla4[[#This Row],[Total]]</f>
        <v>#N/A</v>
      </c>
    </row>
    <row r="4152" spans="1:22" hidden="1" x14ac:dyDescent="0.25">
      <c r="A4152" s="100">
        <v>45838</v>
      </c>
      <c r="B4152" t="str">
        <f t="shared" si="205"/>
        <v>June</v>
      </c>
      <c r="C4152" s="46" t="s">
        <v>280</v>
      </c>
      <c r="F4152" s="366" t="s">
        <v>2281</v>
      </c>
      <c r="G4152" s="46" t="s">
        <v>208</v>
      </c>
      <c r="H4152" s="46">
        <v>3</v>
      </c>
      <c r="I4152" s="51">
        <v>189.75</v>
      </c>
      <c r="J4152" s="281">
        <f>++Tabla4[[#This Row],[Precio Bruto]]*1.16</f>
        <v>220.10999999999999</v>
      </c>
      <c r="K4152" s="281">
        <f>+Tabla4[[#This Row],[Precio Unitario Neto]]*Tabla4[[#Headers],[20.85%]]</f>
        <v>45.892934999999994</v>
      </c>
      <c r="L4152" s="282">
        <f>++Tabla4[[#This Row],[Precio Unitario Neto]]-Tabla4[[#This Row],[20.85%]]</f>
        <v>174.21706499999999</v>
      </c>
      <c r="M4152" s="282" t="e">
        <f>(INDEX(Tabla6[#All],MATCH(Tabla4[[#This Row],[Producto]],Tabla6[[#All],[PRODUCTO]],0),MATCH(Tabla4[[#This Row],[Mes]],Tabla6[#Headers],0)))*(1+Catalogos!$L$2)</f>
        <v>#N/A</v>
      </c>
      <c r="N4152" s="283" t="e">
        <f>+(Tabla4[[#This Row],[Precio Descontado]]-Tabla4[[#This Row],[Precio Base]])*Tabla4[[#This Row],[Cantidad]]</f>
        <v>#N/A</v>
      </c>
      <c r="O4152" s="284" t="e">
        <f>++Tabla4[[#This Row],[Utilidad Total]]/Tabla4[[#This Row],[Total]]</f>
        <v>#N/A</v>
      </c>
      <c r="P4152" s="282">
        <f>++Tabla4[[#This Row],[Precio Descontado]]*Tabla4[[#This Row],[Cantidad]]</f>
        <v>522.65119499999992</v>
      </c>
      <c r="Q4152" s="282" t="e">
        <f>(INDEX(Tabla6[#All],MATCH(Tabla4[[#This Row],[Producto]],Tabla6[[#All],[PRODUCTO]],0),MATCH(Tabla4[[#This Row],[Mes]],Tabla6[#Headers],0)))</f>
        <v>#N/A</v>
      </c>
      <c r="R4152" s="282" t="e">
        <f>++Tabla4[[#This Row],[Precio Unitario Neto]]-Tabla4[[#This Row],[20.85%]]-Tabla4[[#This Row],[Costo]]</f>
        <v>#N/A</v>
      </c>
      <c r="S4152" s="282" t="e">
        <f>++Tabla4[[#This Row],[U. Bruta Uni]]*Tabla4[[#This Row],[Cantidad]]</f>
        <v>#N/A</v>
      </c>
      <c r="T4152" s="369" t="str">
        <f>VLOOKUP(Tabla4[[#This Row],[Producto]],Tabla6[#All],14,FALSE)</f>
        <v>Termico Solar</v>
      </c>
      <c r="U4152" s="284" t="e">
        <f>(IF(Tabla4[[#This Row],[Familia]]="termico solar",Tabla4[[#This Row],[Utilidad Total]]*6%,Tabla4[[#This Row],[Utilidad Total]]*11.5%))/Tabla4[[#This Row],[Total]]</f>
        <v>#N/A</v>
      </c>
      <c r="V4152" s="282" t="e">
        <f>+Tabla4[[#This Row],[Comisión Calculada]]*Tabla4[[#This Row],[Total]]</f>
        <v>#N/A</v>
      </c>
    </row>
    <row r="4153" spans="1:22" hidden="1" x14ac:dyDescent="0.25">
      <c r="A4153" s="100">
        <v>45838</v>
      </c>
      <c r="B4153" t="str">
        <f t="shared" si="205"/>
        <v>June</v>
      </c>
      <c r="C4153" s="46" t="s">
        <v>280</v>
      </c>
      <c r="F4153" s="366" t="s">
        <v>2281</v>
      </c>
      <c r="G4153" s="46" t="s">
        <v>209</v>
      </c>
      <c r="H4153" s="46">
        <v>2</v>
      </c>
      <c r="I4153" s="51">
        <v>347.48</v>
      </c>
      <c r="J4153" s="281">
        <f>++Tabla4[[#This Row],[Precio Bruto]]*1.16</f>
        <v>403.07679999999999</v>
      </c>
      <c r="K4153" s="281">
        <f>+Tabla4[[#This Row],[Precio Unitario Neto]]*Tabla4[[#Headers],[20.85%]]</f>
        <v>84.041512799999992</v>
      </c>
      <c r="L4153" s="282">
        <f>++Tabla4[[#This Row],[Precio Unitario Neto]]-Tabla4[[#This Row],[20.85%]]</f>
        <v>319.03528719999997</v>
      </c>
      <c r="M4153" s="282" t="e">
        <f>(INDEX(Tabla6[#All],MATCH(Tabla4[[#This Row],[Producto]],Tabla6[[#All],[PRODUCTO]],0),MATCH(Tabla4[[#This Row],[Mes]],Tabla6[#Headers],0)))*(1+Catalogos!$L$2)</f>
        <v>#N/A</v>
      </c>
      <c r="N4153" s="283" t="e">
        <f>+(Tabla4[[#This Row],[Precio Descontado]]-Tabla4[[#This Row],[Precio Base]])*Tabla4[[#This Row],[Cantidad]]</f>
        <v>#N/A</v>
      </c>
      <c r="O4153" s="284" t="e">
        <f>++Tabla4[[#This Row],[Utilidad Total]]/Tabla4[[#This Row],[Total]]</f>
        <v>#N/A</v>
      </c>
      <c r="P4153" s="282">
        <f>++Tabla4[[#This Row],[Precio Descontado]]*Tabla4[[#This Row],[Cantidad]]</f>
        <v>638.07057439999994</v>
      </c>
      <c r="Q4153" s="282" t="e">
        <f>(INDEX(Tabla6[#All],MATCH(Tabla4[[#This Row],[Producto]],Tabla6[[#All],[PRODUCTO]],0),MATCH(Tabla4[[#This Row],[Mes]],Tabla6[#Headers],0)))</f>
        <v>#N/A</v>
      </c>
      <c r="R4153" s="282" t="e">
        <f>++Tabla4[[#This Row],[Precio Unitario Neto]]-Tabla4[[#This Row],[20.85%]]-Tabla4[[#This Row],[Costo]]</f>
        <v>#N/A</v>
      </c>
      <c r="S4153" s="282" t="e">
        <f>++Tabla4[[#This Row],[U. Bruta Uni]]*Tabla4[[#This Row],[Cantidad]]</f>
        <v>#N/A</v>
      </c>
      <c r="T4153" s="369" t="str">
        <f>VLOOKUP(Tabla4[[#This Row],[Producto]],Tabla6[#All],14,FALSE)</f>
        <v>Termico Solar</v>
      </c>
      <c r="U4153" s="284" t="e">
        <f>(IF(Tabla4[[#This Row],[Familia]]="termico solar",Tabla4[[#This Row],[Utilidad Total]]*6%,Tabla4[[#This Row],[Utilidad Total]]*11.5%))/Tabla4[[#This Row],[Total]]</f>
        <v>#N/A</v>
      </c>
      <c r="V4153" s="282" t="e">
        <f>+Tabla4[[#This Row],[Comisión Calculada]]*Tabla4[[#This Row],[Total]]</f>
        <v>#N/A</v>
      </c>
    </row>
    <row r="4154" spans="1:22" hidden="1" x14ac:dyDescent="0.25">
      <c r="A4154" s="100">
        <v>45838</v>
      </c>
      <c r="B4154" t="str">
        <f t="shared" ref="B4154:B4185" si="206">TEXT(A4154, "mmmm")</f>
        <v>June</v>
      </c>
      <c r="C4154" s="46" t="s">
        <v>280</v>
      </c>
      <c r="F4154" s="366" t="s">
        <v>2282</v>
      </c>
      <c r="G4154" s="46" t="s">
        <v>200</v>
      </c>
      <c r="H4154" s="46">
        <v>12</v>
      </c>
      <c r="I4154" s="51">
        <v>393.22</v>
      </c>
      <c r="J4154" s="281">
        <f>++Tabla4[[#This Row],[Precio Bruto]]*1.16</f>
        <v>456.1352</v>
      </c>
      <c r="K4154" s="281">
        <f>+Tabla4[[#This Row],[Precio Unitario Neto]]*Tabla4[[#Headers],[20.85%]]</f>
        <v>95.104189199999993</v>
      </c>
      <c r="L4154" s="282">
        <f>++Tabla4[[#This Row],[Precio Unitario Neto]]-Tabla4[[#This Row],[20.85%]]</f>
        <v>361.03101079999999</v>
      </c>
      <c r="M4154" s="282" t="e">
        <f>(INDEX(Tabla6[#All],MATCH(Tabla4[[#This Row],[Producto]],Tabla6[[#All],[PRODUCTO]],0),MATCH(Tabla4[[#This Row],[Mes]],Tabla6[#Headers],0)))*(1+Catalogos!$L$2)</f>
        <v>#N/A</v>
      </c>
      <c r="N4154" s="283" t="e">
        <f>+(Tabla4[[#This Row],[Precio Descontado]]-Tabla4[[#This Row],[Precio Base]])*Tabla4[[#This Row],[Cantidad]]</f>
        <v>#N/A</v>
      </c>
      <c r="O4154" s="284" t="e">
        <f>++Tabla4[[#This Row],[Utilidad Total]]/Tabla4[[#This Row],[Total]]</f>
        <v>#N/A</v>
      </c>
      <c r="P4154" s="282">
        <f>++Tabla4[[#This Row],[Precio Descontado]]*Tabla4[[#This Row],[Cantidad]]</f>
        <v>4332.3721296000003</v>
      </c>
      <c r="Q4154" s="282" t="e">
        <f>(INDEX(Tabla6[#All],MATCH(Tabla4[[#This Row],[Producto]],Tabla6[[#All],[PRODUCTO]],0),MATCH(Tabla4[[#This Row],[Mes]],Tabla6[#Headers],0)))</f>
        <v>#N/A</v>
      </c>
      <c r="R4154" s="282" t="e">
        <f>++Tabla4[[#This Row],[Precio Unitario Neto]]-Tabla4[[#This Row],[20.85%]]-Tabla4[[#This Row],[Costo]]</f>
        <v>#N/A</v>
      </c>
      <c r="S4154" s="282" t="e">
        <f>++Tabla4[[#This Row],[U. Bruta Uni]]*Tabla4[[#This Row],[Cantidad]]</f>
        <v>#N/A</v>
      </c>
      <c r="T4154" s="369" t="str">
        <f>VLOOKUP(Tabla4[[#This Row],[Producto]],Tabla6[#All],14,FALSE)</f>
        <v>Termico Solar</v>
      </c>
      <c r="U4154" s="284" t="e">
        <f>(IF(Tabla4[[#This Row],[Familia]]="termico solar",Tabla4[[#This Row],[Utilidad Total]]*6%,Tabla4[[#This Row],[Utilidad Total]]*11.5%))/Tabla4[[#This Row],[Total]]</f>
        <v>#N/A</v>
      </c>
      <c r="V4154" s="282" t="e">
        <f>+Tabla4[[#This Row],[Comisión Calculada]]*Tabla4[[#This Row],[Total]]</f>
        <v>#N/A</v>
      </c>
    </row>
    <row r="4155" spans="1:22" hidden="1" x14ac:dyDescent="0.25">
      <c r="A4155" s="100">
        <v>45838</v>
      </c>
      <c r="B4155" t="str">
        <f t="shared" si="206"/>
        <v>June</v>
      </c>
      <c r="C4155" s="46" t="s">
        <v>280</v>
      </c>
      <c r="F4155" s="366" t="s">
        <v>2282</v>
      </c>
      <c r="G4155" s="46" t="s">
        <v>545</v>
      </c>
      <c r="H4155" s="46">
        <v>24</v>
      </c>
      <c r="I4155" s="51">
        <v>304.32</v>
      </c>
      <c r="J4155" s="281">
        <f>++Tabla4[[#This Row],[Precio Bruto]]*1.16</f>
        <v>353.01119999999997</v>
      </c>
      <c r="K4155" s="281">
        <f>+Tabla4[[#This Row],[Precio Unitario Neto]]*Tabla4[[#Headers],[20.85%]]</f>
        <v>73.602835199999987</v>
      </c>
      <c r="L4155" s="282">
        <f>++Tabla4[[#This Row],[Precio Unitario Neto]]-Tabla4[[#This Row],[20.85%]]</f>
        <v>279.40836479999996</v>
      </c>
      <c r="M4155" s="282" t="e">
        <f>(INDEX(Tabla6[#All],MATCH(Tabla4[[#This Row],[Producto]],Tabla6[[#All],[PRODUCTO]],0),MATCH(Tabla4[[#This Row],[Mes]],Tabla6[#Headers],0)))*(1+Catalogos!$L$2)</f>
        <v>#N/A</v>
      </c>
      <c r="N4155" s="283" t="e">
        <f>+(Tabla4[[#This Row],[Precio Descontado]]-Tabla4[[#This Row],[Precio Base]])*Tabla4[[#This Row],[Cantidad]]</f>
        <v>#N/A</v>
      </c>
      <c r="O4155" s="284" t="e">
        <f>++Tabla4[[#This Row],[Utilidad Total]]/Tabla4[[#This Row],[Total]]</f>
        <v>#N/A</v>
      </c>
      <c r="P4155" s="282">
        <f>++Tabla4[[#This Row],[Precio Descontado]]*Tabla4[[#This Row],[Cantidad]]</f>
        <v>6705.800755199999</v>
      </c>
      <c r="Q4155" s="282" t="e">
        <f>(INDEX(Tabla6[#All],MATCH(Tabla4[[#This Row],[Producto]],Tabla6[[#All],[PRODUCTO]],0),MATCH(Tabla4[[#This Row],[Mes]],Tabla6[#Headers],0)))</f>
        <v>#N/A</v>
      </c>
      <c r="R4155" s="282" t="e">
        <f>++Tabla4[[#This Row],[Precio Unitario Neto]]-Tabla4[[#This Row],[20.85%]]-Tabla4[[#This Row],[Costo]]</f>
        <v>#N/A</v>
      </c>
      <c r="S4155" s="282" t="e">
        <f>++Tabla4[[#This Row],[U. Bruta Uni]]*Tabla4[[#This Row],[Cantidad]]</f>
        <v>#N/A</v>
      </c>
      <c r="T4155" s="369" t="str">
        <f>VLOOKUP(Tabla4[[#This Row],[Producto]],Tabla6[#All],14,FALSE)</f>
        <v>Termico Solar</v>
      </c>
      <c r="U4155" s="284" t="e">
        <f>(IF(Tabla4[[#This Row],[Familia]]="termico solar",Tabla4[[#This Row],[Utilidad Total]]*6%,Tabla4[[#This Row],[Utilidad Total]]*11.5%))/Tabla4[[#This Row],[Total]]</f>
        <v>#N/A</v>
      </c>
      <c r="V4155" s="282" t="e">
        <f>+Tabla4[[#This Row],[Comisión Calculada]]*Tabla4[[#This Row],[Total]]</f>
        <v>#N/A</v>
      </c>
    </row>
    <row r="4156" spans="1:22" hidden="1" x14ac:dyDescent="0.25">
      <c r="A4156" s="100">
        <v>45838</v>
      </c>
      <c r="B4156" t="str">
        <f t="shared" si="206"/>
        <v>June</v>
      </c>
      <c r="C4156" s="46" t="s">
        <v>280</v>
      </c>
      <c r="F4156" s="366" t="s">
        <v>2282</v>
      </c>
      <c r="G4156" s="46" t="s">
        <v>209</v>
      </c>
      <c r="H4156" s="46">
        <v>2</v>
      </c>
      <c r="I4156" s="51">
        <v>347.48</v>
      </c>
      <c r="J4156" s="281">
        <f>++Tabla4[[#This Row],[Precio Bruto]]*1.16</f>
        <v>403.07679999999999</v>
      </c>
      <c r="K4156" s="281">
        <f>+Tabla4[[#This Row],[Precio Unitario Neto]]*Tabla4[[#Headers],[20.85%]]</f>
        <v>84.041512799999992</v>
      </c>
      <c r="L4156" s="282">
        <f>++Tabla4[[#This Row],[Precio Unitario Neto]]-Tabla4[[#This Row],[20.85%]]</f>
        <v>319.03528719999997</v>
      </c>
      <c r="M4156" s="282" t="e">
        <f>(INDEX(Tabla6[#All],MATCH(Tabla4[[#This Row],[Producto]],Tabla6[[#All],[PRODUCTO]],0),MATCH(Tabla4[[#This Row],[Mes]],Tabla6[#Headers],0)))*(1+Catalogos!$L$2)</f>
        <v>#N/A</v>
      </c>
      <c r="N4156" s="283" t="e">
        <f>+(Tabla4[[#This Row],[Precio Descontado]]-Tabla4[[#This Row],[Precio Base]])*Tabla4[[#This Row],[Cantidad]]</f>
        <v>#N/A</v>
      </c>
      <c r="O4156" s="284" t="e">
        <f>++Tabla4[[#This Row],[Utilidad Total]]/Tabla4[[#This Row],[Total]]</f>
        <v>#N/A</v>
      </c>
      <c r="P4156" s="282">
        <f>++Tabla4[[#This Row],[Precio Descontado]]*Tabla4[[#This Row],[Cantidad]]</f>
        <v>638.07057439999994</v>
      </c>
      <c r="Q4156" s="282" t="e">
        <f>(INDEX(Tabla6[#All],MATCH(Tabla4[[#This Row],[Producto]],Tabla6[[#All],[PRODUCTO]],0),MATCH(Tabla4[[#This Row],[Mes]],Tabla6[#Headers],0)))</f>
        <v>#N/A</v>
      </c>
      <c r="R4156" s="282" t="e">
        <f>++Tabla4[[#This Row],[Precio Unitario Neto]]-Tabla4[[#This Row],[20.85%]]-Tabla4[[#This Row],[Costo]]</f>
        <v>#N/A</v>
      </c>
      <c r="S4156" s="282" t="e">
        <f>++Tabla4[[#This Row],[U. Bruta Uni]]*Tabla4[[#This Row],[Cantidad]]</f>
        <v>#N/A</v>
      </c>
      <c r="T4156" s="369" t="str">
        <f>VLOOKUP(Tabla4[[#This Row],[Producto]],Tabla6[#All],14,FALSE)</f>
        <v>Termico Solar</v>
      </c>
      <c r="U4156" s="284" t="e">
        <f>(IF(Tabla4[[#This Row],[Familia]]="termico solar",Tabla4[[#This Row],[Utilidad Total]]*6%,Tabla4[[#This Row],[Utilidad Total]]*11.5%))/Tabla4[[#This Row],[Total]]</f>
        <v>#N/A</v>
      </c>
      <c r="V4156" s="282" t="e">
        <f>+Tabla4[[#This Row],[Comisión Calculada]]*Tabla4[[#This Row],[Total]]</f>
        <v>#N/A</v>
      </c>
    </row>
    <row r="4157" spans="1:22" hidden="1" x14ac:dyDescent="0.25">
      <c r="A4157" s="100">
        <v>45838</v>
      </c>
      <c r="B4157" t="str">
        <f t="shared" si="206"/>
        <v>June</v>
      </c>
      <c r="C4157" s="46" t="s">
        <v>280</v>
      </c>
      <c r="F4157" s="366" t="s">
        <v>2283</v>
      </c>
      <c r="G4157" s="46" t="s">
        <v>17</v>
      </c>
      <c r="H4157" s="46">
        <v>2</v>
      </c>
      <c r="I4157" s="51">
        <v>4622.28</v>
      </c>
      <c r="J4157" s="281">
        <f>++Tabla4[[#This Row],[Precio Bruto]]*1.16</f>
        <v>5361.8447999999989</v>
      </c>
      <c r="K4157" s="281">
        <f>+Tabla4[[#This Row],[Precio Unitario Neto]]*Tabla4[[#Headers],[20.85%]]</f>
        <v>1117.9446407999997</v>
      </c>
      <c r="L4157" s="282">
        <f>++Tabla4[[#This Row],[Precio Unitario Neto]]-Tabla4[[#This Row],[20.85%]]</f>
        <v>4243.9001591999995</v>
      </c>
      <c r="M4157" s="282" t="e">
        <f>(INDEX(Tabla6[#All],MATCH(Tabla4[[#This Row],[Producto]],Tabla6[[#All],[PRODUCTO]],0),MATCH(Tabla4[[#This Row],[Mes]],Tabla6[#Headers],0)))*(1+Catalogos!$L$2)</f>
        <v>#N/A</v>
      </c>
      <c r="N4157" s="283" t="e">
        <f>+(Tabla4[[#This Row],[Precio Descontado]]-Tabla4[[#This Row],[Precio Base]])*Tabla4[[#This Row],[Cantidad]]</f>
        <v>#N/A</v>
      </c>
      <c r="O4157" s="284" t="e">
        <f>++Tabla4[[#This Row],[Utilidad Total]]/Tabla4[[#This Row],[Total]]</f>
        <v>#N/A</v>
      </c>
      <c r="P4157" s="282">
        <f>++Tabla4[[#This Row],[Precio Descontado]]*Tabla4[[#This Row],[Cantidad]]</f>
        <v>8487.800318399999</v>
      </c>
      <c r="Q4157" s="282" t="e">
        <f>(INDEX(Tabla6[#All],MATCH(Tabla4[[#This Row],[Producto]],Tabla6[[#All],[PRODUCTO]],0),MATCH(Tabla4[[#This Row],[Mes]],Tabla6[#Headers],0)))</f>
        <v>#N/A</v>
      </c>
      <c r="R4157" s="282" t="e">
        <f>++Tabla4[[#This Row],[Precio Unitario Neto]]-Tabla4[[#This Row],[20.85%]]-Tabla4[[#This Row],[Costo]]</f>
        <v>#N/A</v>
      </c>
      <c r="S4157" s="282" t="e">
        <f>++Tabla4[[#This Row],[U. Bruta Uni]]*Tabla4[[#This Row],[Cantidad]]</f>
        <v>#N/A</v>
      </c>
      <c r="T4157" s="369" t="str">
        <f>VLOOKUP(Tabla4[[#This Row],[Producto]],Tabla6[#All],14,FALSE)</f>
        <v>Termico Solar</v>
      </c>
      <c r="U4157" s="284" t="e">
        <f>(IF(Tabla4[[#This Row],[Familia]]="termico solar",Tabla4[[#This Row],[Utilidad Total]]*6%,Tabla4[[#This Row],[Utilidad Total]]*11.5%))/Tabla4[[#This Row],[Total]]</f>
        <v>#N/A</v>
      </c>
      <c r="V4157" s="282" t="e">
        <f>+Tabla4[[#This Row],[Comisión Calculada]]*Tabla4[[#This Row],[Total]]</f>
        <v>#N/A</v>
      </c>
    </row>
    <row r="4158" spans="1:22" hidden="1" x14ac:dyDescent="0.25">
      <c r="A4158" s="100">
        <v>45838</v>
      </c>
      <c r="B4158" t="str">
        <f t="shared" si="206"/>
        <v>June</v>
      </c>
      <c r="C4158" s="46" t="s">
        <v>280</v>
      </c>
      <c r="F4158" s="366" t="s">
        <v>2283</v>
      </c>
      <c r="G4158" s="46" t="s">
        <v>555</v>
      </c>
      <c r="H4158" s="46">
        <v>8</v>
      </c>
      <c r="I4158" s="51">
        <v>389.47</v>
      </c>
      <c r="J4158" s="281">
        <f>++Tabla4[[#This Row],[Precio Bruto]]*1.16</f>
        <v>451.78519999999997</v>
      </c>
      <c r="K4158" s="281">
        <f>+Tabla4[[#This Row],[Precio Unitario Neto]]*Tabla4[[#Headers],[20.85%]]</f>
        <v>94.197214199999991</v>
      </c>
      <c r="L4158" s="282">
        <f>++Tabla4[[#This Row],[Precio Unitario Neto]]-Tabla4[[#This Row],[20.85%]]</f>
        <v>357.58798579999996</v>
      </c>
      <c r="M4158" s="282" t="e">
        <f>(INDEX(Tabla6[#All],MATCH(Tabla4[[#This Row],[Producto]],Tabla6[[#All],[PRODUCTO]],0),MATCH(Tabla4[[#This Row],[Mes]],Tabla6[#Headers],0)))*(1+Catalogos!$L$2)</f>
        <v>#N/A</v>
      </c>
      <c r="N4158" s="283" t="e">
        <f>+(Tabla4[[#This Row],[Precio Descontado]]-Tabla4[[#This Row],[Precio Base]])*Tabla4[[#This Row],[Cantidad]]</f>
        <v>#N/A</v>
      </c>
      <c r="O4158" s="284" t="e">
        <f>++Tabla4[[#This Row],[Utilidad Total]]/Tabla4[[#This Row],[Total]]</f>
        <v>#N/A</v>
      </c>
      <c r="P4158" s="282">
        <f>++Tabla4[[#This Row],[Precio Descontado]]*Tabla4[[#This Row],[Cantidad]]</f>
        <v>2860.7038863999996</v>
      </c>
      <c r="Q4158" s="282" t="e">
        <f>(INDEX(Tabla6[#All],MATCH(Tabla4[[#This Row],[Producto]],Tabla6[[#All],[PRODUCTO]],0),MATCH(Tabla4[[#This Row],[Mes]],Tabla6[#Headers],0)))</f>
        <v>#N/A</v>
      </c>
      <c r="R4158" s="282" t="e">
        <f>++Tabla4[[#This Row],[Precio Unitario Neto]]-Tabla4[[#This Row],[20.85%]]-Tabla4[[#This Row],[Costo]]</f>
        <v>#N/A</v>
      </c>
      <c r="S4158" s="282" t="e">
        <f>++Tabla4[[#This Row],[U. Bruta Uni]]*Tabla4[[#This Row],[Cantidad]]</f>
        <v>#N/A</v>
      </c>
      <c r="T4158" s="369" t="str">
        <f>VLOOKUP(Tabla4[[#This Row],[Producto]],Tabla6[#All],14,FALSE)</f>
        <v>Termico Solar</v>
      </c>
      <c r="U4158" s="284" t="e">
        <f>(IF(Tabla4[[#This Row],[Familia]]="termico solar",Tabla4[[#This Row],[Utilidad Total]]*6%,Tabla4[[#This Row],[Utilidad Total]]*11.5%))/Tabla4[[#This Row],[Total]]</f>
        <v>#N/A</v>
      </c>
      <c r="V4158" s="282" t="e">
        <f>+Tabla4[[#This Row],[Comisión Calculada]]*Tabla4[[#This Row],[Total]]</f>
        <v>#N/A</v>
      </c>
    </row>
    <row r="4159" spans="1:22" hidden="1" x14ac:dyDescent="0.25">
      <c r="A4159" s="100">
        <v>45838</v>
      </c>
      <c r="B4159" t="str">
        <f t="shared" si="206"/>
        <v>June</v>
      </c>
      <c r="C4159" s="46" t="s">
        <v>280</v>
      </c>
      <c r="F4159" s="366" t="s">
        <v>2283</v>
      </c>
      <c r="G4159" s="46" t="s">
        <v>208</v>
      </c>
      <c r="H4159" s="46">
        <v>1</v>
      </c>
      <c r="I4159" s="51">
        <v>189.75</v>
      </c>
      <c r="J4159" s="281">
        <f>++Tabla4[[#This Row],[Precio Bruto]]*1.16</f>
        <v>220.10999999999999</v>
      </c>
      <c r="K4159" s="281">
        <f>+Tabla4[[#This Row],[Precio Unitario Neto]]*Tabla4[[#Headers],[20.85%]]</f>
        <v>45.892934999999994</v>
      </c>
      <c r="L4159" s="282">
        <f>++Tabla4[[#This Row],[Precio Unitario Neto]]-Tabla4[[#This Row],[20.85%]]</f>
        <v>174.21706499999999</v>
      </c>
      <c r="M4159" s="282" t="e">
        <f>(INDEX(Tabla6[#All],MATCH(Tabla4[[#This Row],[Producto]],Tabla6[[#All],[PRODUCTO]],0),MATCH(Tabla4[[#This Row],[Mes]],Tabla6[#Headers],0)))*(1+Catalogos!$L$2)</f>
        <v>#N/A</v>
      </c>
      <c r="N4159" s="283" t="e">
        <f>+(Tabla4[[#This Row],[Precio Descontado]]-Tabla4[[#This Row],[Precio Base]])*Tabla4[[#This Row],[Cantidad]]</f>
        <v>#N/A</v>
      </c>
      <c r="O4159" s="284" t="e">
        <f>++Tabla4[[#This Row],[Utilidad Total]]/Tabla4[[#This Row],[Total]]</f>
        <v>#N/A</v>
      </c>
      <c r="P4159" s="282">
        <f>++Tabla4[[#This Row],[Precio Descontado]]*Tabla4[[#This Row],[Cantidad]]</f>
        <v>174.21706499999999</v>
      </c>
      <c r="Q4159" s="282" t="e">
        <f>(INDEX(Tabla6[#All],MATCH(Tabla4[[#This Row],[Producto]],Tabla6[[#All],[PRODUCTO]],0),MATCH(Tabla4[[#This Row],[Mes]],Tabla6[#Headers],0)))</f>
        <v>#N/A</v>
      </c>
      <c r="R4159" s="282" t="e">
        <f>++Tabla4[[#This Row],[Precio Unitario Neto]]-Tabla4[[#This Row],[20.85%]]-Tabla4[[#This Row],[Costo]]</f>
        <v>#N/A</v>
      </c>
      <c r="S4159" s="282" t="e">
        <f>++Tabla4[[#This Row],[U. Bruta Uni]]*Tabla4[[#This Row],[Cantidad]]</f>
        <v>#N/A</v>
      </c>
      <c r="T4159" s="369" t="str">
        <f>VLOOKUP(Tabla4[[#This Row],[Producto]],Tabla6[#All],14,FALSE)</f>
        <v>Termico Solar</v>
      </c>
      <c r="U4159" s="284" t="e">
        <f>(IF(Tabla4[[#This Row],[Familia]]="termico solar",Tabla4[[#This Row],[Utilidad Total]]*6%,Tabla4[[#This Row],[Utilidad Total]]*11.5%))/Tabla4[[#This Row],[Total]]</f>
        <v>#N/A</v>
      </c>
      <c r="V4159" s="282" t="e">
        <f>+Tabla4[[#This Row],[Comisión Calculada]]*Tabla4[[#This Row],[Total]]</f>
        <v>#N/A</v>
      </c>
    </row>
    <row r="4160" spans="1:22" hidden="1" x14ac:dyDescent="0.25">
      <c r="A4160" s="100">
        <v>45838</v>
      </c>
      <c r="B4160" t="str">
        <f t="shared" si="206"/>
        <v>June</v>
      </c>
      <c r="C4160" s="46" t="s">
        <v>280</v>
      </c>
      <c r="F4160" s="366" t="s">
        <v>2283</v>
      </c>
      <c r="G4160" s="46" t="s">
        <v>209</v>
      </c>
      <c r="H4160" s="46">
        <v>1</v>
      </c>
      <c r="I4160" s="51">
        <v>347.48</v>
      </c>
      <c r="J4160" s="281">
        <f>++Tabla4[[#This Row],[Precio Bruto]]*1.16</f>
        <v>403.07679999999999</v>
      </c>
      <c r="K4160" s="281">
        <f>+Tabla4[[#This Row],[Precio Unitario Neto]]*Tabla4[[#Headers],[20.85%]]</f>
        <v>84.041512799999992</v>
      </c>
      <c r="L4160" s="282">
        <f>++Tabla4[[#This Row],[Precio Unitario Neto]]-Tabla4[[#This Row],[20.85%]]</f>
        <v>319.03528719999997</v>
      </c>
      <c r="M4160" s="282" t="e">
        <f>(INDEX(Tabla6[#All],MATCH(Tabla4[[#This Row],[Producto]],Tabla6[[#All],[PRODUCTO]],0),MATCH(Tabla4[[#This Row],[Mes]],Tabla6[#Headers],0)))*(1+Catalogos!$L$2)</f>
        <v>#N/A</v>
      </c>
      <c r="N4160" s="283" t="e">
        <f>+(Tabla4[[#This Row],[Precio Descontado]]-Tabla4[[#This Row],[Precio Base]])*Tabla4[[#This Row],[Cantidad]]</f>
        <v>#N/A</v>
      </c>
      <c r="O4160" s="284" t="e">
        <f>++Tabla4[[#This Row],[Utilidad Total]]/Tabla4[[#This Row],[Total]]</f>
        <v>#N/A</v>
      </c>
      <c r="P4160" s="282">
        <f>++Tabla4[[#This Row],[Precio Descontado]]*Tabla4[[#This Row],[Cantidad]]</f>
        <v>319.03528719999997</v>
      </c>
      <c r="Q4160" s="282" t="e">
        <f>(INDEX(Tabla6[#All],MATCH(Tabla4[[#This Row],[Producto]],Tabla6[[#All],[PRODUCTO]],0),MATCH(Tabla4[[#This Row],[Mes]],Tabla6[#Headers],0)))</f>
        <v>#N/A</v>
      </c>
      <c r="R4160" s="282" t="e">
        <f>++Tabla4[[#This Row],[Precio Unitario Neto]]-Tabla4[[#This Row],[20.85%]]-Tabla4[[#This Row],[Costo]]</f>
        <v>#N/A</v>
      </c>
      <c r="S4160" s="282" t="e">
        <f>++Tabla4[[#This Row],[U. Bruta Uni]]*Tabla4[[#This Row],[Cantidad]]</f>
        <v>#N/A</v>
      </c>
      <c r="T4160" s="369" t="str">
        <f>VLOOKUP(Tabla4[[#This Row],[Producto]],Tabla6[#All],14,FALSE)</f>
        <v>Termico Solar</v>
      </c>
      <c r="U4160" s="284" t="e">
        <f>(IF(Tabla4[[#This Row],[Familia]]="termico solar",Tabla4[[#This Row],[Utilidad Total]]*6%,Tabla4[[#This Row],[Utilidad Total]]*11.5%))/Tabla4[[#This Row],[Total]]</f>
        <v>#N/A</v>
      </c>
      <c r="V4160" s="282" t="e">
        <f>+Tabla4[[#This Row],[Comisión Calculada]]*Tabla4[[#This Row],[Total]]</f>
        <v>#N/A</v>
      </c>
    </row>
    <row r="4161" spans="1:22" hidden="1" x14ac:dyDescent="0.25">
      <c r="A4161" s="100">
        <v>45838</v>
      </c>
      <c r="B4161" t="str">
        <f t="shared" si="206"/>
        <v>June</v>
      </c>
      <c r="C4161" s="46" t="s">
        <v>280</v>
      </c>
      <c r="F4161" s="366" t="s">
        <v>2284</v>
      </c>
      <c r="G4161" s="46" t="s">
        <v>19</v>
      </c>
      <c r="H4161" s="46">
        <v>1</v>
      </c>
      <c r="I4161" s="51">
        <v>6412.03</v>
      </c>
      <c r="J4161" s="281">
        <f>++Tabla4[[#This Row],[Precio Bruto]]*1.16</f>
        <v>7437.9547999999995</v>
      </c>
      <c r="K4161" s="281">
        <f>+Tabla4[[#This Row],[Precio Unitario Neto]]*Tabla4[[#Headers],[20.85%]]</f>
        <v>1550.8135757999999</v>
      </c>
      <c r="L4161" s="282">
        <f>++Tabla4[[#This Row],[Precio Unitario Neto]]-Tabla4[[#This Row],[20.85%]]</f>
        <v>5887.1412241999997</v>
      </c>
      <c r="M4161" s="282" t="e">
        <f>(INDEX(Tabla6[#All],MATCH(Tabla4[[#This Row],[Producto]],Tabla6[[#All],[PRODUCTO]],0),MATCH(Tabla4[[#This Row],[Mes]],Tabla6[#Headers],0)))*(1+Catalogos!$L$2)</f>
        <v>#N/A</v>
      </c>
      <c r="N4161" s="283" t="e">
        <f>+(Tabla4[[#This Row],[Precio Descontado]]-Tabla4[[#This Row],[Precio Base]])*Tabla4[[#This Row],[Cantidad]]</f>
        <v>#N/A</v>
      </c>
      <c r="O4161" s="284" t="e">
        <f>++Tabla4[[#This Row],[Utilidad Total]]/Tabla4[[#This Row],[Total]]</f>
        <v>#N/A</v>
      </c>
      <c r="P4161" s="282">
        <f>++Tabla4[[#This Row],[Precio Descontado]]*Tabla4[[#This Row],[Cantidad]]</f>
        <v>5887.1412241999997</v>
      </c>
      <c r="Q4161" s="282" t="e">
        <f>(INDEX(Tabla6[#All],MATCH(Tabla4[[#This Row],[Producto]],Tabla6[[#All],[PRODUCTO]],0),MATCH(Tabla4[[#This Row],[Mes]],Tabla6[#Headers],0)))</f>
        <v>#N/A</v>
      </c>
      <c r="R4161" s="282" t="e">
        <f>++Tabla4[[#This Row],[Precio Unitario Neto]]-Tabla4[[#This Row],[20.85%]]-Tabla4[[#This Row],[Costo]]</f>
        <v>#N/A</v>
      </c>
      <c r="S4161" s="282" t="e">
        <f>++Tabla4[[#This Row],[U. Bruta Uni]]*Tabla4[[#This Row],[Cantidad]]</f>
        <v>#N/A</v>
      </c>
      <c r="T4161" s="369" t="str">
        <f>VLOOKUP(Tabla4[[#This Row],[Producto]],Tabla6[#All],14,FALSE)</f>
        <v>Termico Solar</v>
      </c>
      <c r="U4161" s="284" t="e">
        <f>(IF(Tabla4[[#This Row],[Familia]]="termico solar",Tabla4[[#This Row],[Utilidad Total]]*6%,Tabla4[[#This Row],[Utilidad Total]]*11.5%))/Tabla4[[#This Row],[Total]]</f>
        <v>#N/A</v>
      </c>
      <c r="V4161" s="282" t="e">
        <f>+Tabla4[[#This Row],[Comisión Calculada]]*Tabla4[[#This Row],[Total]]</f>
        <v>#N/A</v>
      </c>
    </row>
    <row r="4162" spans="1:22" hidden="1" x14ac:dyDescent="0.25">
      <c r="A4162" s="100">
        <v>45838</v>
      </c>
      <c r="B4162" t="str">
        <f t="shared" si="206"/>
        <v>June</v>
      </c>
      <c r="C4162" s="46" t="s">
        <v>280</v>
      </c>
      <c r="F4162" s="366" t="s">
        <v>2284</v>
      </c>
      <c r="G4162" s="46" t="s">
        <v>209</v>
      </c>
      <c r="H4162" s="46">
        <v>1</v>
      </c>
      <c r="I4162" s="51">
        <v>347.48</v>
      </c>
      <c r="J4162" s="281">
        <f>++Tabla4[[#This Row],[Precio Bruto]]*1.16</f>
        <v>403.07679999999999</v>
      </c>
      <c r="K4162" s="281">
        <f>+Tabla4[[#This Row],[Precio Unitario Neto]]*Tabla4[[#Headers],[20.85%]]</f>
        <v>84.041512799999992</v>
      </c>
      <c r="L4162" s="282">
        <f>++Tabla4[[#This Row],[Precio Unitario Neto]]-Tabla4[[#This Row],[20.85%]]</f>
        <v>319.03528719999997</v>
      </c>
      <c r="M4162" s="282" t="e">
        <f>(INDEX(Tabla6[#All],MATCH(Tabla4[[#This Row],[Producto]],Tabla6[[#All],[PRODUCTO]],0),MATCH(Tabla4[[#This Row],[Mes]],Tabla6[#Headers],0)))*(1+Catalogos!$L$2)</f>
        <v>#N/A</v>
      </c>
      <c r="N4162" s="283" t="e">
        <f>+(Tabla4[[#This Row],[Precio Descontado]]-Tabla4[[#This Row],[Precio Base]])*Tabla4[[#This Row],[Cantidad]]</f>
        <v>#N/A</v>
      </c>
      <c r="O4162" s="284" t="e">
        <f>++Tabla4[[#This Row],[Utilidad Total]]/Tabla4[[#This Row],[Total]]</f>
        <v>#N/A</v>
      </c>
      <c r="P4162" s="282">
        <f>++Tabla4[[#This Row],[Precio Descontado]]*Tabla4[[#This Row],[Cantidad]]</f>
        <v>319.03528719999997</v>
      </c>
      <c r="Q4162" s="282" t="e">
        <f>(INDEX(Tabla6[#All],MATCH(Tabla4[[#This Row],[Producto]],Tabla6[[#All],[PRODUCTO]],0),MATCH(Tabla4[[#This Row],[Mes]],Tabla6[#Headers],0)))</f>
        <v>#N/A</v>
      </c>
      <c r="R4162" s="282" t="e">
        <f>++Tabla4[[#This Row],[Precio Unitario Neto]]-Tabla4[[#This Row],[20.85%]]-Tabla4[[#This Row],[Costo]]</f>
        <v>#N/A</v>
      </c>
      <c r="S4162" s="282" t="e">
        <f>++Tabla4[[#This Row],[U. Bruta Uni]]*Tabla4[[#This Row],[Cantidad]]</f>
        <v>#N/A</v>
      </c>
      <c r="T4162" s="369" t="str">
        <f>VLOOKUP(Tabla4[[#This Row],[Producto]],Tabla6[#All],14,FALSE)</f>
        <v>Termico Solar</v>
      </c>
      <c r="U4162" s="284" t="e">
        <f>(IF(Tabla4[[#This Row],[Familia]]="termico solar",Tabla4[[#This Row],[Utilidad Total]]*6%,Tabla4[[#This Row],[Utilidad Total]]*11.5%))/Tabla4[[#This Row],[Total]]</f>
        <v>#N/A</v>
      </c>
      <c r="V4162" s="282" t="e">
        <f>+Tabla4[[#This Row],[Comisión Calculada]]*Tabla4[[#This Row],[Total]]</f>
        <v>#N/A</v>
      </c>
    </row>
    <row r="4163" spans="1:22" hidden="1" x14ac:dyDescent="0.25">
      <c r="A4163" s="100">
        <v>45838</v>
      </c>
      <c r="B4163" t="str">
        <f t="shared" si="206"/>
        <v>June</v>
      </c>
      <c r="C4163" s="46" t="s">
        <v>280</v>
      </c>
      <c r="F4163" s="366" t="s">
        <v>2285</v>
      </c>
      <c r="G4163" s="46" t="s">
        <v>17</v>
      </c>
      <c r="H4163" s="46">
        <v>4</v>
      </c>
      <c r="I4163" s="51">
        <v>4622.28</v>
      </c>
      <c r="J4163" s="281">
        <f>++Tabla4[[#This Row],[Precio Bruto]]*1.16</f>
        <v>5361.8447999999989</v>
      </c>
      <c r="K4163" s="281">
        <f>+Tabla4[[#This Row],[Precio Unitario Neto]]*Tabla4[[#Headers],[20.85%]]</f>
        <v>1117.9446407999997</v>
      </c>
      <c r="L4163" s="282">
        <f>++Tabla4[[#This Row],[Precio Unitario Neto]]-Tabla4[[#This Row],[20.85%]]</f>
        <v>4243.9001591999995</v>
      </c>
      <c r="M4163" s="282" t="e">
        <f>(INDEX(Tabla6[#All],MATCH(Tabla4[[#This Row],[Producto]],Tabla6[[#All],[PRODUCTO]],0),MATCH(Tabla4[[#This Row],[Mes]],Tabla6[#Headers],0)))*(1+Catalogos!$L$2)</f>
        <v>#N/A</v>
      </c>
      <c r="N4163" s="283" t="e">
        <f>+(Tabla4[[#This Row],[Precio Descontado]]-Tabla4[[#This Row],[Precio Base]])*Tabla4[[#This Row],[Cantidad]]</f>
        <v>#N/A</v>
      </c>
      <c r="O4163" s="284" t="e">
        <f>++Tabla4[[#This Row],[Utilidad Total]]/Tabla4[[#This Row],[Total]]</f>
        <v>#N/A</v>
      </c>
      <c r="P4163" s="282">
        <f>++Tabla4[[#This Row],[Precio Descontado]]*Tabla4[[#This Row],[Cantidad]]</f>
        <v>16975.600636799998</v>
      </c>
      <c r="Q4163" s="282" t="e">
        <f>(INDEX(Tabla6[#All],MATCH(Tabla4[[#This Row],[Producto]],Tabla6[[#All],[PRODUCTO]],0),MATCH(Tabla4[[#This Row],[Mes]],Tabla6[#Headers],0)))</f>
        <v>#N/A</v>
      </c>
      <c r="R4163" s="282" t="e">
        <f>++Tabla4[[#This Row],[Precio Unitario Neto]]-Tabla4[[#This Row],[20.85%]]-Tabla4[[#This Row],[Costo]]</f>
        <v>#N/A</v>
      </c>
      <c r="S4163" s="282" t="e">
        <f>++Tabla4[[#This Row],[U. Bruta Uni]]*Tabla4[[#This Row],[Cantidad]]</f>
        <v>#N/A</v>
      </c>
      <c r="T4163" s="369" t="str">
        <f>VLOOKUP(Tabla4[[#This Row],[Producto]],Tabla6[#All],14,FALSE)</f>
        <v>Termico Solar</v>
      </c>
      <c r="U4163" s="284" t="e">
        <f>(IF(Tabla4[[#This Row],[Familia]]="termico solar",Tabla4[[#This Row],[Utilidad Total]]*6%,Tabla4[[#This Row],[Utilidad Total]]*11.5%))/Tabla4[[#This Row],[Total]]</f>
        <v>#N/A</v>
      </c>
      <c r="V4163" s="282" t="e">
        <f>+Tabla4[[#This Row],[Comisión Calculada]]*Tabla4[[#This Row],[Total]]</f>
        <v>#N/A</v>
      </c>
    </row>
    <row r="4164" spans="1:22" hidden="1" x14ac:dyDescent="0.25">
      <c r="A4164" s="100">
        <v>45838</v>
      </c>
      <c r="B4164" t="str">
        <f t="shared" si="206"/>
        <v>June</v>
      </c>
      <c r="C4164" s="46" t="s">
        <v>280</v>
      </c>
      <c r="F4164" s="366" t="s">
        <v>2285</v>
      </c>
      <c r="G4164" s="46" t="s">
        <v>566</v>
      </c>
      <c r="H4164" s="46">
        <v>1</v>
      </c>
      <c r="I4164" s="51">
        <v>2109.4499999999998</v>
      </c>
      <c r="J4164" s="281">
        <f>++Tabla4[[#This Row],[Precio Bruto]]*1.16</f>
        <v>2446.9619999999995</v>
      </c>
      <c r="K4164" s="281">
        <f>+Tabla4[[#This Row],[Precio Unitario Neto]]*Tabla4[[#Headers],[20.85%]]</f>
        <v>510.19157699999988</v>
      </c>
      <c r="L4164" s="282">
        <f>++Tabla4[[#This Row],[Precio Unitario Neto]]-Tabla4[[#This Row],[20.85%]]</f>
        <v>1936.7704229999997</v>
      </c>
      <c r="M4164" s="282" t="e">
        <f>(INDEX(Tabla6[#All],MATCH(Tabla4[[#This Row],[Producto]],Tabla6[[#All],[PRODUCTO]],0),MATCH(Tabla4[[#This Row],[Mes]],Tabla6[#Headers],0)))*(1+Catalogos!$L$2)</f>
        <v>#N/A</v>
      </c>
      <c r="N4164" s="283" t="e">
        <f>+(Tabla4[[#This Row],[Precio Descontado]]-Tabla4[[#This Row],[Precio Base]])*Tabla4[[#This Row],[Cantidad]]</f>
        <v>#N/A</v>
      </c>
      <c r="O4164" s="284" t="e">
        <f>++Tabla4[[#This Row],[Utilidad Total]]/Tabla4[[#This Row],[Total]]</f>
        <v>#N/A</v>
      </c>
      <c r="P4164" s="282">
        <f>++Tabla4[[#This Row],[Precio Descontado]]*Tabla4[[#This Row],[Cantidad]]</f>
        <v>1936.7704229999997</v>
      </c>
      <c r="Q4164" s="282" t="e">
        <f>(INDEX(Tabla6[#All],MATCH(Tabla4[[#This Row],[Producto]],Tabla6[[#All],[PRODUCTO]],0),MATCH(Tabla4[[#This Row],[Mes]],Tabla6[#Headers],0)))</f>
        <v>#N/A</v>
      </c>
      <c r="R4164" s="282" t="e">
        <f>++Tabla4[[#This Row],[Precio Unitario Neto]]-Tabla4[[#This Row],[20.85%]]-Tabla4[[#This Row],[Costo]]</f>
        <v>#N/A</v>
      </c>
      <c r="S4164" s="282" t="e">
        <f>++Tabla4[[#This Row],[U. Bruta Uni]]*Tabla4[[#This Row],[Cantidad]]</f>
        <v>#N/A</v>
      </c>
      <c r="T4164" s="369" t="str">
        <f>VLOOKUP(Tabla4[[#This Row],[Producto]],Tabla6[#All],14,FALSE)</f>
        <v>Termico Solar</v>
      </c>
      <c r="U4164" s="284" t="e">
        <f>(IF(Tabla4[[#This Row],[Familia]]="termico solar",Tabla4[[#This Row],[Utilidad Total]]*6%,Tabla4[[#This Row],[Utilidad Total]]*11.5%))/Tabla4[[#This Row],[Total]]</f>
        <v>#N/A</v>
      </c>
      <c r="V4164" s="282" t="e">
        <f>+Tabla4[[#This Row],[Comisión Calculada]]*Tabla4[[#This Row],[Total]]</f>
        <v>#N/A</v>
      </c>
    </row>
    <row r="4165" spans="1:22" hidden="1" x14ac:dyDescent="0.25">
      <c r="A4165" s="100">
        <v>45838</v>
      </c>
      <c r="B4165" t="str">
        <f t="shared" si="206"/>
        <v>June</v>
      </c>
      <c r="C4165" s="46" t="s">
        <v>280</v>
      </c>
      <c r="F4165" s="366" t="s">
        <v>2285</v>
      </c>
      <c r="G4165" s="46" t="s">
        <v>208</v>
      </c>
      <c r="H4165" s="46">
        <v>1</v>
      </c>
      <c r="I4165" s="51">
        <v>189.75</v>
      </c>
      <c r="J4165" s="281">
        <f>++Tabla4[[#This Row],[Precio Bruto]]*1.16</f>
        <v>220.10999999999999</v>
      </c>
      <c r="K4165" s="281">
        <f>+Tabla4[[#This Row],[Precio Unitario Neto]]*Tabla4[[#Headers],[20.85%]]</f>
        <v>45.892934999999994</v>
      </c>
      <c r="L4165" s="282">
        <f>++Tabla4[[#This Row],[Precio Unitario Neto]]-Tabla4[[#This Row],[20.85%]]</f>
        <v>174.21706499999999</v>
      </c>
      <c r="M4165" s="282" t="e">
        <f>(INDEX(Tabla6[#All],MATCH(Tabla4[[#This Row],[Producto]],Tabla6[[#All],[PRODUCTO]],0),MATCH(Tabla4[[#This Row],[Mes]],Tabla6[#Headers],0)))*(1+Catalogos!$L$2)</f>
        <v>#N/A</v>
      </c>
      <c r="N4165" s="283" t="e">
        <f>+(Tabla4[[#This Row],[Precio Descontado]]-Tabla4[[#This Row],[Precio Base]])*Tabla4[[#This Row],[Cantidad]]</f>
        <v>#N/A</v>
      </c>
      <c r="O4165" s="284" t="e">
        <f>++Tabla4[[#This Row],[Utilidad Total]]/Tabla4[[#This Row],[Total]]</f>
        <v>#N/A</v>
      </c>
      <c r="P4165" s="282">
        <f>++Tabla4[[#This Row],[Precio Descontado]]*Tabla4[[#This Row],[Cantidad]]</f>
        <v>174.21706499999999</v>
      </c>
      <c r="Q4165" s="282" t="e">
        <f>(INDEX(Tabla6[#All],MATCH(Tabla4[[#This Row],[Producto]],Tabla6[[#All],[PRODUCTO]],0),MATCH(Tabla4[[#This Row],[Mes]],Tabla6[#Headers],0)))</f>
        <v>#N/A</v>
      </c>
      <c r="R4165" s="282" t="e">
        <f>++Tabla4[[#This Row],[Precio Unitario Neto]]-Tabla4[[#This Row],[20.85%]]-Tabla4[[#This Row],[Costo]]</f>
        <v>#N/A</v>
      </c>
      <c r="S4165" s="282" t="e">
        <f>++Tabla4[[#This Row],[U. Bruta Uni]]*Tabla4[[#This Row],[Cantidad]]</f>
        <v>#N/A</v>
      </c>
      <c r="T4165" s="369" t="str">
        <f>VLOOKUP(Tabla4[[#This Row],[Producto]],Tabla6[#All],14,FALSE)</f>
        <v>Termico Solar</v>
      </c>
      <c r="U4165" s="284" t="e">
        <f>(IF(Tabla4[[#This Row],[Familia]]="termico solar",Tabla4[[#This Row],[Utilidad Total]]*6%,Tabla4[[#This Row],[Utilidad Total]]*11.5%))/Tabla4[[#This Row],[Total]]</f>
        <v>#N/A</v>
      </c>
      <c r="V4165" s="282" t="e">
        <f>+Tabla4[[#This Row],[Comisión Calculada]]*Tabla4[[#This Row],[Total]]</f>
        <v>#N/A</v>
      </c>
    </row>
    <row r="4166" spans="1:22" hidden="1" x14ac:dyDescent="0.25">
      <c r="A4166" s="100">
        <v>45838</v>
      </c>
      <c r="B4166" t="str">
        <f t="shared" si="206"/>
        <v>June</v>
      </c>
      <c r="C4166" s="46" t="s">
        <v>280</v>
      </c>
      <c r="F4166" s="366" t="s">
        <v>2286</v>
      </c>
      <c r="G4166" s="46" t="s">
        <v>17</v>
      </c>
      <c r="H4166" s="46">
        <v>1</v>
      </c>
      <c r="I4166" s="51">
        <v>4622.28</v>
      </c>
      <c r="J4166" s="281">
        <f>++Tabla4[[#This Row],[Precio Bruto]]*1.16</f>
        <v>5361.8447999999989</v>
      </c>
      <c r="K4166" s="281">
        <f>+Tabla4[[#This Row],[Precio Unitario Neto]]*Tabla4[[#Headers],[20.85%]]</f>
        <v>1117.9446407999997</v>
      </c>
      <c r="L4166" s="282">
        <f>++Tabla4[[#This Row],[Precio Unitario Neto]]-Tabla4[[#This Row],[20.85%]]</f>
        <v>4243.9001591999995</v>
      </c>
      <c r="M4166" s="282" t="e">
        <f>(INDEX(Tabla6[#All],MATCH(Tabla4[[#This Row],[Producto]],Tabla6[[#All],[PRODUCTO]],0),MATCH(Tabla4[[#This Row],[Mes]],Tabla6[#Headers],0)))*(1+Catalogos!$L$2)</f>
        <v>#N/A</v>
      </c>
      <c r="N4166" s="283" t="e">
        <f>+(Tabla4[[#This Row],[Precio Descontado]]-Tabla4[[#This Row],[Precio Base]])*Tabla4[[#This Row],[Cantidad]]</f>
        <v>#N/A</v>
      </c>
      <c r="O4166" s="284" t="e">
        <f>++Tabla4[[#This Row],[Utilidad Total]]/Tabla4[[#This Row],[Total]]</f>
        <v>#N/A</v>
      </c>
      <c r="P4166" s="282">
        <f>++Tabla4[[#This Row],[Precio Descontado]]*Tabla4[[#This Row],[Cantidad]]</f>
        <v>4243.9001591999995</v>
      </c>
      <c r="Q4166" s="282" t="e">
        <f>(INDEX(Tabla6[#All],MATCH(Tabla4[[#This Row],[Producto]],Tabla6[[#All],[PRODUCTO]],0),MATCH(Tabla4[[#This Row],[Mes]],Tabla6[#Headers],0)))</f>
        <v>#N/A</v>
      </c>
      <c r="R4166" s="282" t="e">
        <f>++Tabla4[[#This Row],[Precio Unitario Neto]]-Tabla4[[#This Row],[20.85%]]-Tabla4[[#This Row],[Costo]]</f>
        <v>#N/A</v>
      </c>
      <c r="S4166" s="282" t="e">
        <f>++Tabla4[[#This Row],[U. Bruta Uni]]*Tabla4[[#This Row],[Cantidad]]</f>
        <v>#N/A</v>
      </c>
      <c r="T4166" s="369" t="str">
        <f>VLOOKUP(Tabla4[[#This Row],[Producto]],Tabla6[#All],14,FALSE)</f>
        <v>Termico Solar</v>
      </c>
      <c r="U4166" s="284" t="e">
        <f>(IF(Tabla4[[#This Row],[Familia]]="termico solar",Tabla4[[#This Row],[Utilidad Total]]*6%,Tabla4[[#This Row],[Utilidad Total]]*11.5%))/Tabla4[[#This Row],[Total]]</f>
        <v>#N/A</v>
      </c>
      <c r="V4166" s="282" t="e">
        <f>+Tabla4[[#This Row],[Comisión Calculada]]*Tabla4[[#This Row],[Total]]</f>
        <v>#N/A</v>
      </c>
    </row>
    <row r="4167" spans="1:22" hidden="1" x14ac:dyDescent="0.25">
      <c r="A4167" s="100">
        <v>45838</v>
      </c>
      <c r="B4167" t="str">
        <f t="shared" si="206"/>
        <v>June</v>
      </c>
      <c r="C4167" s="46" t="s">
        <v>280</v>
      </c>
      <c r="F4167" s="366" t="s">
        <v>2286</v>
      </c>
      <c r="G4167" s="46" t="s">
        <v>566</v>
      </c>
      <c r="H4167" s="46">
        <v>1</v>
      </c>
      <c r="I4167" s="51">
        <v>2109.4499999999998</v>
      </c>
      <c r="J4167" s="281">
        <f>++Tabla4[[#This Row],[Precio Bruto]]*1.16</f>
        <v>2446.9619999999995</v>
      </c>
      <c r="K4167" s="281">
        <f>+Tabla4[[#This Row],[Precio Unitario Neto]]*Tabla4[[#Headers],[20.85%]]</f>
        <v>510.19157699999988</v>
      </c>
      <c r="L4167" s="282">
        <f>++Tabla4[[#This Row],[Precio Unitario Neto]]-Tabla4[[#This Row],[20.85%]]</f>
        <v>1936.7704229999997</v>
      </c>
      <c r="M4167" s="282" t="e">
        <f>(INDEX(Tabla6[#All],MATCH(Tabla4[[#This Row],[Producto]],Tabla6[[#All],[PRODUCTO]],0),MATCH(Tabla4[[#This Row],[Mes]],Tabla6[#Headers],0)))*(1+Catalogos!$L$2)</f>
        <v>#N/A</v>
      </c>
      <c r="N4167" s="283" t="e">
        <f>+(Tabla4[[#This Row],[Precio Descontado]]-Tabla4[[#This Row],[Precio Base]])*Tabla4[[#This Row],[Cantidad]]</f>
        <v>#N/A</v>
      </c>
      <c r="O4167" s="284" t="e">
        <f>++Tabla4[[#This Row],[Utilidad Total]]/Tabla4[[#This Row],[Total]]</f>
        <v>#N/A</v>
      </c>
      <c r="P4167" s="282">
        <f>++Tabla4[[#This Row],[Precio Descontado]]*Tabla4[[#This Row],[Cantidad]]</f>
        <v>1936.7704229999997</v>
      </c>
      <c r="Q4167" s="282" t="e">
        <f>(INDEX(Tabla6[#All],MATCH(Tabla4[[#This Row],[Producto]],Tabla6[[#All],[PRODUCTO]],0),MATCH(Tabla4[[#This Row],[Mes]],Tabla6[#Headers],0)))</f>
        <v>#N/A</v>
      </c>
      <c r="R4167" s="282" t="e">
        <f>++Tabla4[[#This Row],[Precio Unitario Neto]]-Tabla4[[#This Row],[20.85%]]-Tabla4[[#This Row],[Costo]]</f>
        <v>#N/A</v>
      </c>
      <c r="S4167" s="282" t="e">
        <f>++Tabla4[[#This Row],[U. Bruta Uni]]*Tabla4[[#This Row],[Cantidad]]</f>
        <v>#N/A</v>
      </c>
      <c r="T4167" s="369" t="str">
        <f>VLOOKUP(Tabla4[[#This Row],[Producto]],Tabla6[#All],14,FALSE)</f>
        <v>Termico Solar</v>
      </c>
      <c r="U4167" s="284" t="e">
        <f>(IF(Tabla4[[#This Row],[Familia]]="termico solar",Tabla4[[#This Row],[Utilidad Total]]*6%,Tabla4[[#This Row],[Utilidad Total]]*11.5%))/Tabla4[[#This Row],[Total]]</f>
        <v>#N/A</v>
      </c>
      <c r="V4167" s="282" t="e">
        <f>+Tabla4[[#This Row],[Comisión Calculada]]*Tabla4[[#This Row],[Total]]</f>
        <v>#N/A</v>
      </c>
    </row>
    <row r="4168" spans="1:22" hidden="1" x14ac:dyDescent="0.25">
      <c r="A4168" s="100">
        <v>45838</v>
      </c>
      <c r="B4168" t="str">
        <f t="shared" si="206"/>
        <v>June</v>
      </c>
      <c r="C4168" s="46" t="s">
        <v>280</v>
      </c>
      <c r="F4168" s="366" t="s">
        <v>2286</v>
      </c>
      <c r="G4168" s="46" t="s">
        <v>200</v>
      </c>
      <c r="H4168" s="46">
        <v>12</v>
      </c>
      <c r="I4168" s="51">
        <v>393.22</v>
      </c>
      <c r="J4168" s="281">
        <f>++Tabla4[[#This Row],[Precio Bruto]]*1.16</f>
        <v>456.1352</v>
      </c>
      <c r="K4168" s="281">
        <f>+Tabla4[[#This Row],[Precio Unitario Neto]]*Tabla4[[#Headers],[20.85%]]</f>
        <v>95.104189199999993</v>
      </c>
      <c r="L4168" s="282">
        <f>++Tabla4[[#This Row],[Precio Unitario Neto]]-Tabla4[[#This Row],[20.85%]]</f>
        <v>361.03101079999999</v>
      </c>
      <c r="M4168" s="282" t="e">
        <f>(INDEX(Tabla6[#All],MATCH(Tabla4[[#This Row],[Producto]],Tabla6[[#All],[PRODUCTO]],0),MATCH(Tabla4[[#This Row],[Mes]],Tabla6[#Headers],0)))*(1+Catalogos!$L$2)</f>
        <v>#N/A</v>
      </c>
      <c r="N4168" s="283" t="e">
        <f>+(Tabla4[[#This Row],[Precio Descontado]]-Tabla4[[#This Row],[Precio Base]])*Tabla4[[#This Row],[Cantidad]]</f>
        <v>#N/A</v>
      </c>
      <c r="O4168" s="284" t="e">
        <f>++Tabla4[[#This Row],[Utilidad Total]]/Tabla4[[#This Row],[Total]]</f>
        <v>#N/A</v>
      </c>
      <c r="P4168" s="282">
        <f>++Tabla4[[#This Row],[Precio Descontado]]*Tabla4[[#This Row],[Cantidad]]</f>
        <v>4332.3721296000003</v>
      </c>
      <c r="Q4168" s="282" t="e">
        <f>(INDEX(Tabla6[#All],MATCH(Tabla4[[#This Row],[Producto]],Tabla6[[#All],[PRODUCTO]],0),MATCH(Tabla4[[#This Row],[Mes]],Tabla6[#Headers],0)))</f>
        <v>#N/A</v>
      </c>
      <c r="R4168" s="282" t="e">
        <f>++Tabla4[[#This Row],[Precio Unitario Neto]]-Tabla4[[#This Row],[20.85%]]-Tabla4[[#This Row],[Costo]]</f>
        <v>#N/A</v>
      </c>
      <c r="S4168" s="282" t="e">
        <f>++Tabla4[[#This Row],[U. Bruta Uni]]*Tabla4[[#This Row],[Cantidad]]</f>
        <v>#N/A</v>
      </c>
      <c r="T4168" s="369" t="str">
        <f>VLOOKUP(Tabla4[[#This Row],[Producto]],Tabla6[#All],14,FALSE)</f>
        <v>Termico Solar</v>
      </c>
      <c r="U4168" s="284" t="e">
        <f>(IF(Tabla4[[#This Row],[Familia]]="termico solar",Tabla4[[#This Row],[Utilidad Total]]*6%,Tabla4[[#This Row],[Utilidad Total]]*11.5%))/Tabla4[[#This Row],[Total]]</f>
        <v>#N/A</v>
      </c>
      <c r="V4168" s="282" t="e">
        <f>+Tabla4[[#This Row],[Comisión Calculada]]*Tabla4[[#This Row],[Total]]</f>
        <v>#N/A</v>
      </c>
    </row>
    <row r="4169" spans="1:22" hidden="1" x14ac:dyDescent="0.25">
      <c r="A4169" s="100">
        <v>45838</v>
      </c>
      <c r="B4169" t="str">
        <f t="shared" si="206"/>
        <v>June</v>
      </c>
      <c r="C4169" s="46" t="s">
        <v>280</v>
      </c>
      <c r="F4169" s="366" t="s">
        <v>2286</v>
      </c>
      <c r="G4169" s="46" t="s">
        <v>545</v>
      </c>
      <c r="H4169" s="46">
        <v>24</v>
      </c>
      <c r="I4169" s="51">
        <v>304.32</v>
      </c>
      <c r="J4169" s="281">
        <f>++Tabla4[[#This Row],[Precio Bruto]]*1.16</f>
        <v>353.01119999999997</v>
      </c>
      <c r="K4169" s="281">
        <f>+Tabla4[[#This Row],[Precio Unitario Neto]]*Tabla4[[#Headers],[20.85%]]</f>
        <v>73.602835199999987</v>
      </c>
      <c r="L4169" s="282">
        <f>++Tabla4[[#This Row],[Precio Unitario Neto]]-Tabla4[[#This Row],[20.85%]]</f>
        <v>279.40836479999996</v>
      </c>
      <c r="M4169" s="282" t="e">
        <f>(INDEX(Tabla6[#All],MATCH(Tabla4[[#This Row],[Producto]],Tabla6[[#All],[PRODUCTO]],0),MATCH(Tabla4[[#This Row],[Mes]],Tabla6[#Headers],0)))*(1+Catalogos!$L$2)</f>
        <v>#N/A</v>
      </c>
      <c r="N4169" s="283" t="e">
        <f>+(Tabla4[[#This Row],[Precio Descontado]]-Tabla4[[#This Row],[Precio Base]])*Tabla4[[#This Row],[Cantidad]]</f>
        <v>#N/A</v>
      </c>
      <c r="O4169" s="284" t="e">
        <f>++Tabla4[[#This Row],[Utilidad Total]]/Tabla4[[#This Row],[Total]]</f>
        <v>#N/A</v>
      </c>
      <c r="P4169" s="282">
        <f>++Tabla4[[#This Row],[Precio Descontado]]*Tabla4[[#This Row],[Cantidad]]</f>
        <v>6705.800755199999</v>
      </c>
      <c r="Q4169" s="282" t="e">
        <f>(INDEX(Tabla6[#All],MATCH(Tabla4[[#This Row],[Producto]],Tabla6[[#All],[PRODUCTO]],0),MATCH(Tabla4[[#This Row],[Mes]],Tabla6[#Headers],0)))</f>
        <v>#N/A</v>
      </c>
      <c r="R4169" s="282" t="e">
        <f>++Tabla4[[#This Row],[Precio Unitario Neto]]-Tabla4[[#This Row],[20.85%]]-Tabla4[[#This Row],[Costo]]</f>
        <v>#N/A</v>
      </c>
      <c r="S4169" s="282" t="e">
        <f>++Tabla4[[#This Row],[U. Bruta Uni]]*Tabla4[[#This Row],[Cantidad]]</f>
        <v>#N/A</v>
      </c>
      <c r="T4169" s="369" t="str">
        <f>VLOOKUP(Tabla4[[#This Row],[Producto]],Tabla6[#All],14,FALSE)</f>
        <v>Termico Solar</v>
      </c>
      <c r="U4169" s="284" t="e">
        <f>(IF(Tabla4[[#This Row],[Familia]]="termico solar",Tabla4[[#This Row],[Utilidad Total]]*6%,Tabla4[[#This Row],[Utilidad Total]]*11.5%))/Tabla4[[#This Row],[Total]]</f>
        <v>#N/A</v>
      </c>
      <c r="V4169" s="282" t="e">
        <f>+Tabla4[[#This Row],[Comisión Calculada]]*Tabla4[[#This Row],[Total]]</f>
        <v>#N/A</v>
      </c>
    </row>
    <row r="4170" spans="1:22" hidden="1" x14ac:dyDescent="0.25">
      <c r="A4170" s="100">
        <v>45838</v>
      </c>
      <c r="B4170" t="str">
        <f t="shared" si="206"/>
        <v>June</v>
      </c>
      <c r="C4170" s="46" t="s">
        <v>280</v>
      </c>
      <c r="F4170" s="366" t="s">
        <v>2286</v>
      </c>
      <c r="G4170" s="46" t="s">
        <v>209</v>
      </c>
      <c r="H4170" s="46">
        <v>2</v>
      </c>
      <c r="I4170" s="51">
        <v>347.48</v>
      </c>
      <c r="J4170" s="281">
        <f>++Tabla4[[#This Row],[Precio Bruto]]*1.16</f>
        <v>403.07679999999999</v>
      </c>
      <c r="K4170" s="281">
        <f>+Tabla4[[#This Row],[Precio Unitario Neto]]*Tabla4[[#Headers],[20.85%]]</f>
        <v>84.041512799999992</v>
      </c>
      <c r="L4170" s="282">
        <f>++Tabla4[[#This Row],[Precio Unitario Neto]]-Tabla4[[#This Row],[20.85%]]</f>
        <v>319.03528719999997</v>
      </c>
      <c r="M4170" s="282" t="e">
        <f>(INDEX(Tabla6[#All],MATCH(Tabla4[[#This Row],[Producto]],Tabla6[[#All],[PRODUCTO]],0),MATCH(Tabla4[[#This Row],[Mes]],Tabla6[#Headers],0)))*(1+Catalogos!$L$2)</f>
        <v>#N/A</v>
      </c>
      <c r="N4170" s="283" t="e">
        <f>+(Tabla4[[#This Row],[Precio Descontado]]-Tabla4[[#This Row],[Precio Base]])*Tabla4[[#This Row],[Cantidad]]</f>
        <v>#N/A</v>
      </c>
      <c r="O4170" s="284" t="e">
        <f>++Tabla4[[#This Row],[Utilidad Total]]/Tabla4[[#This Row],[Total]]</f>
        <v>#N/A</v>
      </c>
      <c r="P4170" s="282">
        <f>++Tabla4[[#This Row],[Precio Descontado]]*Tabla4[[#This Row],[Cantidad]]</f>
        <v>638.07057439999994</v>
      </c>
      <c r="Q4170" s="282" t="e">
        <f>(INDEX(Tabla6[#All],MATCH(Tabla4[[#This Row],[Producto]],Tabla6[[#All],[PRODUCTO]],0),MATCH(Tabla4[[#This Row],[Mes]],Tabla6[#Headers],0)))</f>
        <v>#N/A</v>
      </c>
      <c r="R4170" s="282" t="e">
        <f>++Tabla4[[#This Row],[Precio Unitario Neto]]-Tabla4[[#This Row],[20.85%]]-Tabla4[[#This Row],[Costo]]</f>
        <v>#N/A</v>
      </c>
      <c r="S4170" s="282" t="e">
        <f>++Tabla4[[#This Row],[U. Bruta Uni]]*Tabla4[[#This Row],[Cantidad]]</f>
        <v>#N/A</v>
      </c>
      <c r="T4170" s="369" t="str">
        <f>VLOOKUP(Tabla4[[#This Row],[Producto]],Tabla6[#All],14,FALSE)</f>
        <v>Termico Solar</v>
      </c>
      <c r="U4170" s="284" t="e">
        <f>(IF(Tabla4[[#This Row],[Familia]]="termico solar",Tabla4[[#This Row],[Utilidad Total]]*6%,Tabla4[[#This Row],[Utilidad Total]]*11.5%))/Tabla4[[#This Row],[Total]]</f>
        <v>#N/A</v>
      </c>
      <c r="V4170" s="282" t="e">
        <f>+Tabla4[[#This Row],[Comisión Calculada]]*Tabla4[[#This Row],[Total]]</f>
        <v>#N/A</v>
      </c>
    </row>
    <row r="4171" spans="1:22" hidden="1" x14ac:dyDescent="0.25">
      <c r="A4171" s="100">
        <v>45838</v>
      </c>
      <c r="B4171" t="str">
        <f t="shared" si="206"/>
        <v>June</v>
      </c>
      <c r="C4171" s="46" t="s">
        <v>280</v>
      </c>
      <c r="F4171" s="366" t="s">
        <v>2287</v>
      </c>
      <c r="G4171" s="46" t="s">
        <v>200</v>
      </c>
      <c r="H4171" s="46">
        <v>12</v>
      </c>
      <c r="I4171" s="51">
        <v>393.22</v>
      </c>
      <c r="J4171" s="281">
        <f>++Tabla4[[#This Row],[Precio Bruto]]*1.16</f>
        <v>456.1352</v>
      </c>
      <c r="K4171" s="281">
        <f>+Tabla4[[#This Row],[Precio Unitario Neto]]*Tabla4[[#Headers],[20.85%]]</f>
        <v>95.104189199999993</v>
      </c>
      <c r="L4171" s="282">
        <f>++Tabla4[[#This Row],[Precio Unitario Neto]]-Tabla4[[#This Row],[20.85%]]</f>
        <v>361.03101079999999</v>
      </c>
      <c r="M4171" s="282" t="e">
        <f>(INDEX(Tabla6[#All],MATCH(Tabla4[[#This Row],[Producto]],Tabla6[[#All],[PRODUCTO]],0),MATCH(Tabla4[[#This Row],[Mes]],Tabla6[#Headers],0)))*(1+Catalogos!$L$2)</f>
        <v>#N/A</v>
      </c>
      <c r="N4171" s="283" t="e">
        <f>+(Tabla4[[#This Row],[Precio Descontado]]-Tabla4[[#This Row],[Precio Base]])*Tabla4[[#This Row],[Cantidad]]</f>
        <v>#N/A</v>
      </c>
      <c r="O4171" s="284" t="e">
        <f>++Tabla4[[#This Row],[Utilidad Total]]/Tabla4[[#This Row],[Total]]</f>
        <v>#N/A</v>
      </c>
      <c r="P4171" s="282">
        <f>++Tabla4[[#This Row],[Precio Descontado]]*Tabla4[[#This Row],[Cantidad]]</f>
        <v>4332.3721296000003</v>
      </c>
      <c r="Q4171" s="282" t="e">
        <f>(INDEX(Tabla6[#All],MATCH(Tabla4[[#This Row],[Producto]],Tabla6[[#All],[PRODUCTO]],0),MATCH(Tabla4[[#This Row],[Mes]],Tabla6[#Headers],0)))</f>
        <v>#N/A</v>
      </c>
      <c r="R4171" s="282" t="e">
        <f>++Tabla4[[#This Row],[Precio Unitario Neto]]-Tabla4[[#This Row],[20.85%]]-Tabla4[[#This Row],[Costo]]</f>
        <v>#N/A</v>
      </c>
      <c r="S4171" s="282" t="e">
        <f>++Tabla4[[#This Row],[U. Bruta Uni]]*Tabla4[[#This Row],[Cantidad]]</f>
        <v>#N/A</v>
      </c>
      <c r="T4171" s="369" t="str">
        <f>VLOOKUP(Tabla4[[#This Row],[Producto]],Tabla6[#All],14,FALSE)</f>
        <v>Termico Solar</v>
      </c>
      <c r="U4171" s="284" t="e">
        <f>(IF(Tabla4[[#This Row],[Familia]]="termico solar",Tabla4[[#This Row],[Utilidad Total]]*6%,Tabla4[[#This Row],[Utilidad Total]]*11.5%))/Tabla4[[#This Row],[Total]]</f>
        <v>#N/A</v>
      </c>
      <c r="V4171" s="282" t="e">
        <f>+Tabla4[[#This Row],[Comisión Calculada]]*Tabla4[[#This Row],[Total]]</f>
        <v>#N/A</v>
      </c>
    </row>
    <row r="4172" spans="1:22" hidden="1" x14ac:dyDescent="0.25">
      <c r="A4172" s="100">
        <v>45838</v>
      </c>
      <c r="B4172" t="str">
        <f t="shared" si="206"/>
        <v>June</v>
      </c>
      <c r="C4172" s="46" t="s">
        <v>280</v>
      </c>
      <c r="F4172" s="366" t="s">
        <v>2287</v>
      </c>
      <c r="G4172" s="46" t="s">
        <v>545</v>
      </c>
      <c r="H4172" s="46">
        <v>24</v>
      </c>
      <c r="I4172" s="51">
        <v>304.32</v>
      </c>
      <c r="J4172" s="281">
        <f>++Tabla4[[#This Row],[Precio Bruto]]*1.16</f>
        <v>353.01119999999997</v>
      </c>
      <c r="K4172" s="281">
        <f>+Tabla4[[#This Row],[Precio Unitario Neto]]*Tabla4[[#Headers],[20.85%]]</f>
        <v>73.602835199999987</v>
      </c>
      <c r="L4172" s="282">
        <f>++Tabla4[[#This Row],[Precio Unitario Neto]]-Tabla4[[#This Row],[20.85%]]</f>
        <v>279.40836479999996</v>
      </c>
      <c r="M4172" s="282" t="e">
        <f>(INDEX(Tabla6[#All],MATCH(Tabla4[[#This Row],[Producto]],Tabla6[[#All],[PRODUCTO]],0),MATCH(Tabla4[[#This Row],[Mes]],Tabla6[#Headers],0)))*(1+Catalogos!$L$2)</f>
        <v>#N/A</v>
      </c>
      <c r="N4172" s="283" t="e">
        <f>+(Tabla4[[#This Row],[Precio Descontado]]-Tabla4[[#This Row],[Precio Base]])*Tabla4[[#This Row],[Cantidad]]</f>
        <v>#N/A</v>
      </c>
      <c r="O4172" s="284" t="e">
        <f>++Tabla4[[#This Row],[Utilidad Total]]/Tabla4[[#This Row],[Total]]</f>
        <v>#N/A</v>
      </c>
      <c r="P4172" s="282">
        <f>++Tabla4[[#This Row],[Precio Descontado]]*Tabla4[[#This Row],[Cantidad]]</f>
        <v>6705.800755199999</v>
      </c>
      <c r="Q4172" s="282" t="e">
        <f>(INDEX(Tabla6[#All],MATCH(Tabla4[[#This Row],[Producto]],Tabla6[[#All],[PRODUCTO]],0),MATCH(Tabla4[[#This Row],[Mes]],Tabla6[#Headers],0)))</f>
        <v>#N/A</v>
      </c>
      <c r="R4172" s="282" t="e">
        <f>++Tabla4[[#This Row],[Precio Unitario Neto]]-Tabla4[[#This Row],[20.85%]]-Tabla4[[#This Row],[Costo]]</f>
        <v>#N/A</v>
      </c>
      <c r="S4172" s="282" t="e">
        <f>++Tabla4[[#This Row],[U. Bruta Uni]]*Tabla4[[#This Row],[Cantidad]]</f>
        <v>#N/A</v>
      </c>
      <c r="T4172" s="369" t="str">
        <f>VLOOKUP(Tabla4[[#This Row],[Producto]],Tabla6[#All],14,FALSE)</f>
        <v>Termico Solar</v>
      </c>
      <c r="U4172" s="284" t="e">
        <f>(IF(Tabla4[[#This Row],[Familia]]="termico solar",Tabla4[[#This Row],[Utilidad Total]]*6%,Tabla4[[#This Row],[Utilidad Total]]*11.5%))/Tabla4[[#This Row],[Total]]</f>
        <v>#N/A</v>
      </c>
      <c r="V4172" s="282" t="e">
        <f>+Tabla4[[#This Row],[Comisión Calculada]]*Tabla4[[#This Row],[Total]]</f>
        <v>#N/A</v>
      </c>
    </row>
    <row r="4173" spans="1:22" hidden="1" x14ac:dyDescent="0.25">
      <c r="A4173" s="100">
        <v>45838</v>
      </c>
      <c r="B4173" t="str">
        <f t="shared" si="206"/>
        <v>June</v>
      </c>
      <c r="C4173" s="46" t="s">
        <v>280</v>
      </c>
      <c r="F4173" s="366" t="s">
        <v>2287</v>
      </c>
      <c r="G4173" s="46" t="s">
        <v>209</v>
      </c>
      <c r="H4173" s="46">
        <v>2</v>
      </c>
      <c r="I4173" s="51">
        <v>347.48</v>
      </c>
      <c r="J4173" s="281">
        <f>++Tabla4[[#This Row],[Precio Bruto]]*1.16</f>
        <v>403.07679999999999</v>
      </c>
      <c r="K4173" s="281">
        <f>+Tabla4[[#This Row],[Precio Unitario Neto]]*Tabla4[[#Headers],[20.85%]]</f>
        <v>84.041512799999992</v>
      </c>
      <c r="L4173" s="282">
        <f>++Tabla4[[#This Row],[Precio Unitario Neto]]-Tabla4[[#This Row],[20.85%]]</f>
        <v>319.03528719999997</v>
      </c>
      <c r="M4173" s="282" t="e">
        <f>(INDEX(Tabla6[#All],MATCH(Tabla4[[#This Row],[Producto]],Tabla6[[#All],[PRODUCTO]],0),MATCH(Tabla4[[#This Row],[Mes]],Tabla6[#Headers],0)))*(1+Catalogos!$L$2)</f>
        <v>#N/A</v>
      </c>
      <c r="N4173" s="283" t="e">
        <f>+(Tabla4[[#This Row],[Precio Descontado]]-Tabla4[[#This Row],[Precio Base]])*Tabla4[[#This Row],[Cantidad]]</f>
        <v>#N/A</v>
      </c>
      <c r="O4173" s="284" t="e">
        <f>++Tabla4[[#This Row],[Utilidad Total]]/Tabla4[[#This Row],[Total]]</f>
        <v>#N/A</v>
      </c>
      <c r="P4173" s="282">
        <f>++Tabla4[[#This Row],[Precio Descontado]]*Tabla4[[#This Row],[Cantidad]]</f>
        <v>638.07057439999994</v>
      </c>
      <c r="Q4173" s="282" t="e">
        <f>(INDEX(Tabla6[#All],MATCH(Tabla4[[#This Row],[Producto]],Tabla6[[#All],[PRODUCTO]],0),MATCH(Tabla4[[#This Row],[Mes]],Tabla6[#Headers],0)))</f>
        <v>#N/A</v>
      </c>
      <c r="R4173" s="282" t="e">
        <f>++Tabla4[[#This Row],[Precio Unitario Neto]]-Tabla4[[#This Row],[20.85%]]-Tabla4[[#This Row],[Costo]]</f>
        <v>#N/A</v>
      </c>
      <c r="S4173" s="282" t="e">
        <f>++Tabla4[[#This Row],[U. Bruta Uni]]*Tabla4[[#This Row],[Cantidad]]</f>
        <v>#N/A</v>
      </c>
      <c r="T4173" s="369" t="str">
        <f>VLOOKUP(Tabla4[[#This Row],[Producto]],Tabla6[#All],14,FALSE)</f>
        <v>Termico Solar</v>
      </c>
      <c r="U4173" s="284" t="e">
        <f>(IF(Tabla4[[#This Row],[Familia]]="termico solar",Tabla4[[#This Row],[Utilidad Total]]*6%,Tabla4[[#This Row],[Utilidad Total]]*11.5%))/Tabla4[[#This Row],[Total]]</f>
        <v>#N/A</v>
      </c>
      <c r="V4173" s="282" t="e">
        <f>+Tabla4[[#This Row],[Comisión Calculada]]*Tabla4[[#This Row],[Total]]</f>
        <v>#N/A</v>
      </c>
    </row>
    <row r="4174" spans="1:22" hidden="1" x14ac:dyDescent="0.25">
      <c r="A4174" s="100">
        <v>45838</v>
      </c>
      <c r="B4174" t="str">
        <f t="shared" si="206"/>
        <v>June</v>
      </c>
      <c r="C4174" s="46" t="s">
        <v>280</v>
      </c>
      <c r="F4174" s="366" t="s">
        <v>2288</v>
      </c>
      <c r="G4174" s="46" t="s">
        <v>200</v>
      </c>
      <c r="H4174" s="46">
        <v>12</v>
      </c>
      <c r="I4174" s="51">
        <v>393.22</v>
      </c>
      <c r="J4174" s="281">
        <f>++Tabla4[[#This Row],[Precio Bruto]]*1.16</f>
        <v>456.1352</v>
      </c>
      <c r="K4174" s="281">
        <f>+Tabla4[[#This Row],[Precio Unitario Neto]]*Tabla4[[#Headers],[20.85%]]</f>
        <v>95.104189199999993</v>
      </c>
      <c r="L4174" s="282">
        <f>++Tabla4[[#This Row],[Precio Unitario Neto]]-Tabla4[[#This Row],[20.85%]]</f>
        <v>361.03101079999999</v>
      </c>
      <c r="M4174" s="282" t="e">
        <f>(INDEX(Tabla6[#All],MATCH(Tabla4[[#This Row],[Producto]],Tabla6[[#All],[PRODUCTO]],0),MATCH(Tabla4[[#This Row],[Mes]],Tabla6[#Headers],0)))*(1+Catalogos!$L$2)</f>
        <v>#N/A</v>
      </c>
      <c r="N4174" s="283" t="e">
        <f>+(Tabla4[[#This Row],[Precio Descontado]]-Tabla4[[#This Row],[Precio Base]])*Tabla4[[#This Row],[Cantidad]]</f>
        <v>#N/A</v>
      </c>
      <c r="O4174" s="284" t="e">
        <f>++Tabla4[[#This Row],[Utilidad Total]]/Tabla4[[#This Row],[Total]]</f>
        <v>#N/A</v>
      </c>
      <c r="P4174" s="282">
        <f>++Tabla4[[#This Row],[Precio Descontado]]*Tabla4[[#This Row],[Cantidad]]</f>
        <v>4332.3721296000003</v>
      </c>
      <c r="Q4174" s="282" t="e">
        <f>(INDEX(Tabla6[#All],MATCH(Tabla4[[#This Row],[Producto]],Tabla6[[#All],[PRODUCTO]],0),MATCH(Tabla4[[#This Row],[Mes]],Tabla6[#Headers],0)))</f>
        <v>#N/A</v>
      </c>
      <c r="R4174" s="282" t="e">
        <f>++Tabla4[[#This Row],[Precio Unitario Neto]]-Tabla4[[#This Row],[20.85%]]-Tabla4[[#This Row],[Costo]]</f>
        <v>#N/A</v>
      </c>
      <c r="S4174" s="282" t="e">
        <f>++Tabla4[[#This Row],[U. Bruta Uni]]*Tabla4[[#This Row],[Cantidad]]</f>
        <v>#N/A</v>
      </c>
      <c r="T4174" s="369" t="str">
        <f>VLOOKUP(Tabla4[[#This Row],[Producto]],Tabla6[#All],14,FALSE)</f>
        <v>Termico Solar</v>
      </c>
      <c r="U4174" s="284" t="e">
        <f>(IF(Tabla4[[#This Row],[Familia]]="termico solar",Tabla4[[#This Row],[Utilidad Total]]*6%,Tabla4[[#This Row],[Utilidad Total]]*11.5%))/Tabla4[[#This Row],[Total]]</f>
        <v>#N/A</v>
      </c>
      <c r="V4174" s="282" t="e">
        <f>+Tabla4[[#This Row],[Comisión Calculada]]*Tabla4[[#This Row],[Total]]</f>
        <v>#N/A</v>
      </c>
    </row>
    <row r="4175" spans="1:22" hidden="1" x14ac:dyDescent="0.25">
      <c r="A4175" s="100">
        <v>45838</v>
      </c>
      <c r="B4175" t="str">
        <f t="shared" si="206"/>
        <v>June</v>
      </c>
      <c r="C4175" s="46" t="s">
        <v>280</v>
      </c>
      <c r="F4175" s="366" t="s">
        <v>2288</v>
      </c>
      <c r="G4175" s="46" t="s">
        <v>545</v>
      </c>
      <c r="H4175" s="46">
        <v>24</v>
      </c>
      <c r="I4175" s="51">
        <v>304.32</v>
      </c>
      <c r="J4175" s="281">
        <f>++Tabla4[[#This Row],[Precio Bruto]]*1.16</f>
        <v>353.01119999999997</v>
      </c>
      <c r="K4175" s="281">
        <f>+Tabla4[[#This Row],[Precio Unitario Neto]]*Tabla4[[#Headers],[20.85%]]</f>
        <v>73.602835199999987</v>
      </c>
      <c r="L4175" s="282">
        <f>++Tabla4[[#This Row],[Precio Unitario Neto]]-Tabla4[[#This Row],[20.85%]]</f>
        <v>279.40836479999996</v>
      </c>
      <c r="M4175" s="282" t="e">
        <f>(INDEX(Tabla6[#All],MATCH(Tabla4[[#This Row],[Producto]],Tabla6[[#All],[PRODUCTO]],0),MATCH(Tabla4[[#This Row],[Mes]],Tabla6[#Headers],0)))*(1+Catalogos!$L$2)</f>
        <v>#N/A</v>
      </c>
      <c r="N4175" s="283" t="e">
        <f>+(Tabla4[[#This Row],[Precio Descontado]]-Tabla4[[#This Row],[Precio Base]])*Tabla4[[#This Row],[Cantidad]]</f>
        <v>#N/A</v>
      </c>
      <c r="O4175" s="284" t="e">
        <f>++Tabla4[[#This Row],[Utilidad Total]]/Tabla4[[#This Row],[Total]]</f>
        <v>#N/A</v>
      </c>
      <c r="P4175" s="282">
        <f>++Tabla4[[#This Row],[Precio Descontado]]*Tabla4[[#This Row],[Cantidad]]</f>
        <v>6705.800755199999</v>
      </c>
      <c r="Q4175" s="282" t="e">
        <f>(INDEX(Tabla6[#All],MATCH(Tabla4[[#This Row],[Producto]],Tabla6[[#All],[PRODUCTO]],0),MATCH(Tabla4[[#This Row],[Mes]],Tabla6[#Headers],0)))</f>
        <v>#N/A</v>
      </c>
      <c r="R4175" s="282" t="e">
        <f>++Tabla4[[#This Row],[Precio Unitario Neto]]-Tabla4[[#This Row],[20.85%]]-Tabla4[[#This Row],[Costo]]</f>
        <v>#N/A</v>
      </c>
      <c r="S4175" s="282" t="e">
        <f>++Tabla4[[#This Row],[U. Bruta Uni]]*Tabla4[[#This Row],[Cantidad]]</f>
        <v>#N/A</v>
      </c>
      <c r="T4175" s="369" t="str">
        <f>VLOOKUP(Tabla4[[#This Row],[Producto]],Tabla6[#All],14,FALSE)</f>
        <v>Termico Solar</v>
      </c>
      <c r="U4175" s="284" t="e">
        <f>(IF(Tabla4[[#This Row],[Familia]]="termico solar",Tabla4[[#This Row],[Utilidad Total]]*6%,Tabla4[[#This Row],[Utilidad Total]]*11.5%))/Tabla4[[#This Row],[Total]]</f>
        <v>#N/A</v>
      </c>
      <c r="V4175" s="282" t="e">
        <f>+Tabla4[[#This Row],[Comisión Calculada]]*Tabla4[[#This Row],[Total]]</f>
        <v>#N/A</v>
      </c>
    </row>
    <row r="4176" spans="1:22" hidden="1" x14ac:dyDescent="0.25">
      <c r="A4176" s="100">
        <v>45838</v>
      </c>
      <c r="B4176" t="str">
        <f t="shared" si="206"/>
        <v>June</v>
      </c>
      <c r="C4176" s="46" t="s">
        <v>280</v>
      </c>
      <c r="F4176" s="366" t="s">
        <v>2288</v>
      </c>
      <c r="G4176" s="46" t="s">
        <v>209</v>
      </c>
      <c r="H4176" s="46">
        <v>2</v>
      </c>
      <c r="I4176" s="51">
        <v>347.48</v>
      </c>
      <c r="J4176" s="281">
        <f>++Tabla4[[#This Row],[Precio Bruto]]*1.16</f>
        <v>403.07679999999999</v>
      </c>
      <c r="K4176" s="281">
        <f>+Tabla4[[#This Row],[Precio Unitario Neto]]*Tabla4[[#Headers],[20.85%]]</f>
        <v>84.041512799999992</v>
      </c>
      <c r="L4176" s="282">
        <f>++Tabla4[[#This Row],[Precio Unitario Neto]]-Tabla4[[#This Row],[20.85%]]</f>
        <v>319.03528719999997</v>
      </c>
      <c r="M4176" s="282" t="e">
        <f>(INDEX(Tabla6[#All],MATCH(Tabla4[[#This Row],[Producto]],Tabla6[[#All],[PRODUCTO]],0),MATCH(Tabla4[[#This Row],[Mes]],Tabla6[#Headers],0)))*(1+Catalogos!$L$2)</f>
        <v>#N/A</v>
      </c>
      <c r="N4176" s="283" t="e">
        <f>+(Tabla4[[#This Row],[Precio Descontado]]-Tabla4[[#This Row],[Precio Base]])*Tabla4[[#This Row],[Cantidad]]</f>
        <v>#N/A</v>
      </c>
      <c r="O4176" s="284" t="e">
        <f>++Tabla4[[#This Row],[Utilidad Total]]/Tabla4[[#This Row],[Total]]</f>
        <v>#N/A</v>
      </c>
      <c r="P4176" s="282">
        <f>++Tabla4[[#This Row],[Precio Descontado]]*Tabla4[[#This Row],[Cantidad]]</f>
        <v>638.07057439999994</v>
      </c>
      <c r="Q4176" s="282" t="e">
        <f>(INDEX(Tabla6[#All],MATCH(Tabla4[[#This Row],[Producto]],Tabla6[[#All],[PRODUCTO]],0),MATCH(Tabla4[[#This Row],[Mes]],Tabla6[#Headers],0)))</f>
        <v>#N/A</v>
      </c>
      <c r="R4176" s="282" t="e">
        <f>++Tabla4[[#This Row],[Precio Unitario Neto]]-Tabla4[[#This Row],[20.85%]]-Tabla4[[#This Row],[Costo]]</f>
        <v>#N/A</v>
      </c>
      <c r="S4176" s="282" t="e">
        <f>++Tabla4[[#This Row],[U. Bruta Uni]]*Tabla4[[#This Row],[Cantidad]]</f>
        <v>#N/A</v>
      </c>
      <c r="T4176" s="369" t="str">
        <f>VLOOKUP(Tabla4[[#This Row],[Producto]],Tabla6[#All],14,FALSE)</f>
        <v>Termico Solar</v>
      </c>
      <c r="U4176" s="284" t="e">
        <f>(IF(Tabla4[[#This Row],[Familia]]="termico solar",Tabla4[[#This Row],[Utilidad Total]]*6%,Tabla4[[#This Row],[Utilidad Total]]*11.5%))/Tabla4[[#This Row],[Total]]</f>
        <v>#N/A</v>
      </c>
      <c r="V4176" s="282" t="e">
        <f>+Tabla4[[#This Row],[Comisión Calculada]]*Tabla4[[#This Row],[Total]]</f>
        <v>#N/A</v>
      </c>
    </row>
    <row r="4177" spans="1:22" hidden="1" x14ac:dyDescent="0.25">
      <c r="A4177" s="100">
        <v>45838</v>
      </c>
      <c r="B4177" t="str">
        <f t="shared" si="206"/>
        <v>June</v>
      </c>
      <c r="C4177" s="46" t="s">
        <v>280</v>
      </c>
      <c r="F4177" s="366" t="s">
        <v>2289</v>
      </c>
      <c r="G4177" s="46" t="s">
        <v>200</v>
      </c>
      <c r="H4177" s="46">
        <v>12</v>
      </c>
      <c r="I4177" s="51">
        <v>393.22</v>
      </c>
      <c r="J4177" s="281">
        <f>++Tabla4[[#This Row],[Precio Bruto]]*1.16</f>
        <v>456.1352</v>
      </c>
      <c r="K4177" s="281">
        <f>+Tabla4[[#This Row],[Precio Unitario Neto]]*Tabla4[[#Headers],[20.85%]]</f>
        <v>95.104189199999993</v>
      </c>
      <c r="L4177" s="282">
        <f>++Tabla4[[#This Row],[Precio Unitario Neto]]-Tabla4[[#This Row],[20.85%]]</f>
        <v>361.03101079999999</v>
      </c>
      <c r="M4177" s="282" t="e">
        <f>(INDEX(Tabla6[#All],MATCH(Tabla4[[#This Row],[Producto]],Tabla6[[#All],[PRODUCTO]],0),MATCH(Tabla4[[#This Row],[Mes]],Tabla6[#Headers],0)))*(1+Catalogos!$L$2)</f>
        <v>#N/A</v>
      </c>
      <c r="N4177" s="283" t="e">
        <f>+(Tabla4[[#This Row],[Precio Descontado]]-Tabla4[[#This Row],[Precio Base]])*Tabla4[[#This Row],[Cantidad]]</f>
        <v>#N/A</v>
      </c>
      <c r="O4177" s="284" t="e">
        <f>++Tabla4[[#This Row],[Utilidad Total]]/Tabla4[[#This Row],[Total]]</f>
        <v>#N/A</v>
      </c>
      <c r="P4177" s="282">
        <f>++Tabla4[[#This Row],[Precio Descontado]]*Tabla4[[#This Row],[Cantidad]]</f>
        <v>4332.3721296000003</v>
      </c>
      <c r="Q4177" s="282" t="e">
        <f>(INDEX(Tabla6[#All],MATCH(Tabla4[[#This Row],[Producto]],Tabla6[[#All],[PRODUCTO]],0),MATCH(Tabla4[[#This Row],[Mes]],Tabla6[#Headers],0)))</f>
        <v>#N/A</v>
      </c>
      <c r="R4177" s="282" t="e">
        <f>++Tabla4[[#This Row],[Precio Unitario Neto]]-Tabla4[[#This Row],[20.85%]]-Tabla4[[#This Row],[Costo]]</f>
        <v>#N/A</v>
      </c>
      <c r="S4177" s="282" t="e">
        <f>++Tabla4[[#This Row],[U. Bruta Uni]]*Tabla4[[#This Row],[Cantidad]]</f>
        <v>#N/A</v>
      </c>
      <c r="T4177" s="369" t="str">
        <f>VLOOKUP(Tabla4[[#This Row],[Producto]],Tabla6[#All],14,FALSE)</f>
        <v>Termico Solar</v>
      </c>
      <c r="U4177" s="284" t="e">
        <f>(IF(Tabla4[[#This Row],[Familia]]="termico solar",Tabla4[[#This Row],[Utilidad Total]]*6%,Tabla4[[#This Row],[Utilidad Total]]*11.5%))/Tabla4[[#This Row],[Total]]</f>
        <v>#N/A</v>
      </c>
      <c r="V4177" s="282" t="e">
        <f>+Tabla4[[#This Row],[Comisión Calculada]]*Tabla4[[#This Row],[Total]]</f>
        <v>#N/A</v>
      </c>
    </row>
    <row r="4178" spans="1:22" hidden="1" x14ac:dyDescent="0.25">
      <c r="A4178" s="100">
        <v>45838</v>
      </c>
      <c r="B4178" t="str">
        <f t="shared" si="206"/>
        <v>June</v>
      </c>
      <c r="C4178" s="46" t="s">
        <v>280</v>
      </c>
      <c r="F4178" s="366" t="s">
        <v>2289</v>
      </c>
      <c r="G4178" s="46" t="s">
        <v>545</v>
      </c>
      <c r="H4178" s="46">
        <v>24</v>
      </c>
      <c r="I4178" s="51">
        <v>304.32</v>
      </c>
      <c r="J4178" s="281">
        <f>++Tabla4[[#This Row],[Precio Bruto]]*1.16</f>
        <v>353.01119999999997</v>
      </c>
      <c r="K4178" s="281">
        <f>+Tabla4[[#This Row],[Precio Unitario Neto]]*Tabla4[[#Headers],[20.85%]]</f>
        <v>73.602835199999987</v>
      </c>
      <c r="L4178" s="282">
        <f>++Tabla4[[#This Row],[Precio Unitario Neto]]-Tabla4[[#This Row],[20.85%]]</f>
        <v>279.40836479999996</v>
      </c>
      <c r="M4178" s="282" t="e">
        <f>(INDEX(Tabla6[#All],MATCH(Tabla4[[#This Row],[Producto]],Tabla6[[#All],[PRODUCTO]],0),MATCH(Tabla4[[#This Row],[Mes]],Tabla6[#Headers],0)))*(1+Catalogos!$L$2)</f>
        <v>#N/A</v>
      </c>
      <c r="N4178" s="283" t="e">
        <f>+(Tabla4[[#This Row],[Precio Descontado]]-Tabla4[[#This Row],[Precio Base]])*Tabla4[[#This Row],[Cantidad]]</f>
        <v>#N/A</v>
      </c>
      <c r="O4178" s="284" t="e">
        <f>++Tabla4[[#This Row],[Utilidad Total]]/Tabla4[[#This Row],[Total]]</f>
        <v>#N/A</v>
      </c>
      <c r="P4178" s="282">
        <f>++Tabla4[[#This Row],[Precio Descontado]]*Tabla4[[#This Row],[Cantidad]]</f>
        <v>6705.800755199999</v>
      </c>
      <c r="Q4178" s="282" t="e">
        <f>(INDEX(Tabla6[#All],MATCH(Tabla4[[#This Row],[Producto]],Tabla6[[#All],[PRODUCTO]],0),MATCH(Tabla4[[#This Row],[Mes]],Tabla6[#Headers],0)))</f>
        <v>#N/A</v>
      </c>
      <c r="R4178" s="282" t="e">
        <f>++Tabla4[[#This Row],[Precio Unitario Neto]]-Tabla4[[#This Row],[20.85%]]-Tabla4[[#This Row],[Costo]]</f>
        <v>#N/A</v>
      </c>
      <c r="S4178" s="282" t="e">
        <f>++Tabla4[[#This Row],[U. Bruta Uni]]*Tabla4[[#This Row],[Cantidad]]</f>
        <v>#N/A</v>
      </c>
      <c r="T4178" s="369" t="str">
        <f>VLOOKUP(Tabla4[[#This Row],[Producto]],Tabla6[#All],14,FALSE)</f>
        <v>Termico Solar</v>
      </c>
      <c r="U4178" s="284" t="e">
        <f>(IF(Tabla4[[#This Row],[Familia]]="termico solar",Tabla4[[#This Row],[Utilidad Total]]*6%,Tabla4[[#This Row],[Utilidad Total]]*11.5%))/Tabla4[[#This Row],[Total]]</f>
        <v>#N/A</v>
      </c>
      <c r="V4178" s="282" t="e">
        <f>+Tabla4[[#This Row],[Comisión Calculada]]*Tabla4[[#This Row],[Total]]</f>
        <v>#N/A</v>
      </c>
    </row>
    <row r="4179" spans="1:22" hidden="1" x14ac:dyDescent="0.25">
      <c r="A4179" s="100">
        <v>45838</v>
      </c>
      <c r="B4179" t="str">
        <f t="shared" si="206"/>
        <v>June</v>
      </c>
      <c r="C4179" s="46" t="s">
        <v>280</v>
      </c>
      <c r="F4179" s="366" t="s">
        <v>2289</v>
      </c>
      <c r="G4179" s="46" t="s">
        <v>209</v>
      </c>
      <c r="H4179" s="46">
        <v>2</v>
      </c>
      <c r="I4179" s="51">
        <v>347.48</v>
      </c>
      <c r="J4179" s="281">
        <f>++Tabla4[[#This Row],[Precio Bruto]]*1.16</f>
        <v>403.07679999999999</v>
      </c>
      <c r="K4179" s="281">
        <f>+Tabla4[[#This Row],[Precio Unitario Neto]]*Tabla4[[#Headers],[20.85%]]</f>
        <v>84.041512799999992</v>
      </c>
      <c r="L4179" s="282">
        <f>++Tabla4[[#This Row],[Precio Unitario Neto]]-Tabla4[[#This Row],[20.85%]]</f>
        <v>319.03528719999997</v>
      </c>
      <c r="M4179" s="282" t="e">
        <f>(INDEX(Tabla6[#All],MATCH(Tabla4[[#This Row],[Producto]],Tabla6[[#All],[PRODUCTO]],0),MATCH(Tabla4[[#This Row],[Mes]],Tabla6[#Headers],0)))*(1+Catalogos!$L$2)</f>
        <v>#N/A</v>
      </c>
      <c r="N4179" s="283" t="e">
        <f>+(Tabla4[[#This Row],[Precio Descontado]]-Tabla4[[#This Row],[Precio Base]])*Tabla4[[#This Row],[Cantidad]]</f>
        <v>#N/A</v>
      </c>
      <c r="O4179" s="284" t="e">
        <f>++Tabla4[[#This Row],[Utilidad Total]]/Tabla4[[#This Row],[Total]]</f>
        <v>#N/A</v>
      </c>
      <c r="P4179" s="282">
        <f>++Tabla4[[#This Row],[Precio Descontado]]*Tabla4[[#This Row],[Cantidad]]</f>
        <v>638.07057439999994</v>
      </c>
      <c r="Q4179" s="282" t="e">
        <f>(INDEX(Tabla6[#All],MATCH(Tabla4[[#This Row],[Producto]],Tabla6[[#All],[PRODUCTO]],0),MATCH(Tabla4[[#This Row],[Mes]],Tabla6[#Headers],0)))</f>
        <v>#N/A</v>
      </c>
      <c r="R4179" s="282" t="e">
        <f>++Tabla4[[#This Row],[Precio Unitario Neto]]-Tabla4[[#This Row],[20.85%]]-Tabla4[[#This Row],[Costo]]</f>
        <v>#N/A</v>
      </c>
      <c r="S4179" s="282" t="e">
        <f>++Tabla4[[#This Row],[U. Bruta Uni]]*Tabla4[[#This Row],[Cantidad]]</f>
        <v>#N/A</v>
      </c>
      <c r="T4179" s="369" t="str">
        <f>VLOOKUP(Tabla4[[#This Row],[Producto]],Tabla6[#All],14,FALSE)</f>
        <v>Termico Solar</v>
      </c>
      <c r="U4179" s="284" t="e">
        <f>(IF(Tabla4[[#This Row],[Familia]]="termico solar",Tabla4[[#This Row],[Utilidad Total]]*6%,Tabla4[[#This Row],[Utilidad Total]]*11.5%))/Tabla4[[#This Row],[Total]]</f>
        <v>#N/A</v>
      </c>
      <c r="V4179" s="282" t="e">
        <f>+Tabla4[[#This Row],[Comisión Calculada]]*Tabla4[[#This Row],[Total]]</f>
        <v>#N/A</v>
      </c>
    </row>
    <row r="4180" spans="1:22" hidden="1" x14ac:dyDescent="0.25">
      <c r="A4180" s="100">
        <v>45838</v>
      </c>
      <c r="B4180" t="str">
        <f t="shared" si="206"/>
        <v>June</v>
      </c>
      <c r="C4180" s="46" t="s">
        <v>280</v>
      </c>
      <c r="F4180" s="366" t="s">
        <v>2290</v>
      </c>
      <c r="G4180" s="46" t="s">
        <v>208</v>
      </c>
      <c r="H4180" s="46">
        <v>3</v>
      </c>
      <c r="I4180" s="51">
        <v>189.75</v>
      </c>
      <c r="J4180" s="281">
        <f>++Tabla4[[#This Row],[Precio Bruto]]*1.16</f>
        <v>220.10999999999999</v>
      </c>
      <c r="K4180" s="281">
        <f>+Tabla4[[#This Row],[Precio Unitario Neto]]*Tabla4[[#Headers],[20.85%]]</f>
        <v>45.892934999999994</v>
      </c>
      <c r="L4180" s="282">
        <f>++Tabla4[[#This Row],[Precio Unitario Neto]]-Tabla4[[#This Row],[20.85%]]</f>
        <v>174.21706499999999</v>
      </c>
      <c r="M4180" s="282" t="e">
        <f>(INDEX(Tabla6[#All],MATCH(Tabla4[[#This Row],[Producto]],Tabla6[[#All],[PRODUCTO]],0),MATCH(Tabla4[[#This Row],[Mes]],Tabla6[#Headers],0)))*(1+Catalogos!$L$2)</f>
        <v>#N/A</v>
      </c>
      <c r="N4180" s="283" t="e">
        <f>+(Tabla4[[#This Row],[Precio Descontado]]-Tabla4[[#This Row],[Precio Base]])*Tabla4[[#This Row],[Cantidad]]</f>
        <v>#N/A</v>
      </c>
      <c r="O4180" s="284" t="e">
        <f>++Tabla4[[#This Row],[Utilidad Total]]/Tabla4[[#This Row],[Total]]</f>
        <v>#N/A</v>
      </c>
      <c r="P4180" s="282">
        <f>++Tabla4[[#This Row],[Precio Descontado]]*Tabla4[[#This Row],[Cantidad]]</f>
        <v>522.65119499999992</v>
      </c>
      <c r="Q4180" s="282" t="e">
        <f>(INDEX(Tabla6[#All],MATCH(Tabla4[[#This Row],[Producto]],Tabla6[[#All],[PRODUCTO]],0),MATCH(Tabla4[[#This Row],[Mes]],Tabla6[#Headers],0)))</f>
        <v>#N/A</v>
      </c>
      <c r="R4180" s="282" t="e">
        <f>++Tabla4[[#This Row],[Precio Unitario Neto]]-Tabla4[[#This Row],[20.85%]]-Tabla4[[#This Row],[Costo]]</f>
        <v>#N/A</v>
      </c>
      <c r="S4180" s="282" t="e">
        <f>++Tabla4[[#This Row],[U. Bruta Uni]]*Tabla4[[#This Row],[Cantidad]]</f>
        <v>#N/A</v>
      </c>
      <c r="T4180" s="369" t="str">
        <f>VLOOKUP(Tabla4[[#This Row],[Producto]],Tabla6[#All],14,FALSE)</f>
        <v>Termico Solar</v>
      </c>
      <c r="U4180" s="284" t="e">
        <f>(IF(Tabla4[[#This Row],[Familia]]="termico solar",Tabla4[[#This Row],[Utilidad Total]]*6%,Tabla4[[#This Row],[Utilidad Total]]*11.5%))/Tabla4[[#This Row],[Total]]</f>
        <v>#N/A</v>
      </c>
      <c r="V4180" s="282" t="e">
        <f>+Tabla4[[#This Row],[Comisión Calculada]]*Tabla4[[#This Row],[Total]]</f>
        <v>#N/A</v>
      </c>
    </row>
    <row r="4181" spans="1:22" hidden="1" x14ac:dyDescent="0.25">
      <c r="A4181" s="100">
        <v>45838</v>
      </c>
      <c r="B4181" t="str">
        <f t="shared" si="206"/>
        <v>June</v>
      </c>
      <c r="C4181" s="46" t="s">
        <v>280</v>
      </c>
      <c r="F4181" s="366" t="s">
        <v>2291</v>
      </c>
      <c r="G4181" s="46" t="s">
        <v>83</v>
      </c>
      <c r="H4181" s="46">
        <v>2</v>
      </c>
      <c r="I4181" s="51">
        <v>8858.76</v>
      </c>
      <c r="J4181" s="281">
        <f>++Tabla4[[#This Row],[Precio Bruto]]*1.16</f>
        <v>10276.161599999999</v>
      </c>
      <c r="K4181" s="281">
        <f>+Tabla4[[#This Row],[Precio Unitario Neto]]*Tabla4[[#Headers],[20.85%]]</f>
        <v>2142.5796935999997</v>
      </c>
      <c r="L4181" s="282">
        <f>++Tabla4[[#This Row],[Precio Unitario Neto]]-Tabla4[[#This Row],[20.85%]]</f>
        <v>8133.5819063999998</v>
      </c>
      <c r="M4181" s="282" t="e">
        <f>(INDEX(Tabla6[#All],MATCH(Tabla4[[#This Row],[Producto]],Tabla6[[#All],[PRODUCTO]],0),MATCH(Tabla4[[#This Row],[Mes]],Tabla6[#Headers],0)))*(1+Catalogos!$L$2)</f>
        <v>#N/A</v>
      </c>
      <c r="N4181" s="283" t="e">
        <f>+(Tabla4[[#This Row],[Precio Descontado]]-Tabla4[[#This Row],[Precio Base]])*Tabla4[[#This Row],[Cantidad]]</f>
        <v>#N/A</v>
      </c>
      <c r="O4181" s="284" t="e">
        <f>++Tabla4[[#This Row],[Utilidad Total]]/Tabla4[[#This Row],[Total]]</f>
        <v>#N/A</v>
      </c>
      <c r="P4181" s="282">
        <f>++Tabla4[[#This Row],[Precio Descontado]]*Tabla4[[#This Row],[Cantidad]]</f>
        <v>16267.1638128</v>
      </c>
      <c r="Q4181" s="282" t="e">
        <f>(INDEX(Tabla6[#All],MATCH(Tabla4[[#This Row],[Producto]],Tabla6[[#All],[PRODUCTO]],0),MATCH(Tabla4[[#This Row],[Mes]],Tabla6[#Headers],0)))</f>
        <v>#N/A</v>
      </c>
      <c r="R4181" s="282" t="e">
        <f>++Tabla4[[#This Row],[Precio Unitario Neto]]-Tabla4[[#This Row],[20.85%]]-Tabla4[[#This Row],[Costo]]</f>
        <v>#N/A</v>
      </c>
      <c r="S4181" s="282" t="e">
        <f>++Tabla4[[#This Row],[U. Bruta Uni]]*Tabla4[[#This Row],[Cantidad]]</f>
        <v>#N/A</v>
      </c>
      <c r="T4181" s="369" t="str">
        <f>VLOOKUP(Tabla4[[#This Row],[Producto]],Tabla6[#All],14,FALSE)</f>
        <v>Termico Solar</v>
      </c>
      <c r="U4181" s="284" t="e">
        <f>(IF(Tabla4[[#This Row],[Familia]]="termico solar",Tabla4[[#This Row],[Utilidad Total]]*6%,Tabla4[[#This Row],[Utilidad Total]]*11.5%))/Tabla4[[#This Row],[Total]]</f>
        <v>#N/A</v>
      </c>
      <c r="V4181" s="282" t="e">
        <f>+Tabla4[[#This Row],[Comisión Calculada]]*Tabla4[[#This Row],[Total]]</f>
        <v>#N/A</v>
      </c>
    </row>
    <row r="4182" spans="1:22" hidden="1" x14ac:dyDescent="0.25">
      <c r="A4182" s="100">
        <v>45838</v>
      </c>
      <c r="B4182" t="str">
        <f t="shared" si="206"/>
        <v>June</v>
      </c>
      <c r="C4182" s="46" t="s">
        <v>280</v>
      </c>
      <c r="F4182" s="366" t="s">
        <v>2291</v>
      </c>
      <c r="G4182" s="46" t="s">
        <v>19</v>
      </c>
      <c r="H4182" s="46">
        <v>1</v>
      </c>
      <c r="I4182" s="51">
        <v>6412.03</v>
      </c>
      <c r="J4182" s="281">
        <f>++Tabla4[[#This Row],[Precio Bruto]]*1.16</f>
        <v>7437.9547999999995</v>
      </c>
      <c r="K4182" s="281">
        <f>+Tabla4[[#This Row],[Precio Unitario Neto]]*Tabla4[[#Headers],[20.85%]]</f>
        <v>1550.8135757999999</v>
      </c>
      <c r="L4182" s="282">
        <f>++Tabla4[[#This Row],[Precio Unitario Neto]]-Tabla4[[#This Row],[20.85%]]</f>
        <v>5887.1412241999997</v>
      </c>
      <c r="M4182" s="282" t="e">
        <f>(INDEX(Tabla6[#All],MATCH(Tabla4[[#This Row],[Producto]],Tabla6[[#All],[PRODUCTO]],0),MATCH(Tabla4[[#This Row],[Mes]],Tabla6[#Headers],0)))*(1+Catalogos!$L$2)</f>
        <v>#N/A</v>
      </c>
      <c r="N4182" s="283" t="e">
        <f>+(Tabla4[[#This Row],[Precio Descontado]]-Tabla4[[#This Row],[Precio Base]])*Tabla4[[#This Row],[Cantidad]]</f>
        <v>#N/A</v>
      </c>
      <c r="O4182" s="284" t="e">
        <f>++Tabla4[[#This Row],[Utilidad Total]]/Tabla4[[#This Row],[Total]]</f>
        <v>#N/A</v>
      </c>
      <c r="P4182" s="282">
        <f>++Tabla4[[#This Row],[Precio Descontado]]*Tabla4[[#This Row],[Cantidad]]</f>
        <v>5887.1412241999997</v>
      </c>
      <c r="Q4182" s="282" t="e">
        <f>(INDEX(Tabla6[#All],MATCH(Tabla4[[#This Row],[Producto]],Tabla6[[#All],[PRODUCTO]],0),MATCH(Tabla4[[#This Row],[Mes]],Tabla6[#Headers],0)))</f>
        <v>#N/A</v>
      </c>
      <c r="R4182" s="282" t="e">
        <f>++Tabla4[[#This Row],[Precio Unitario Neto]]-Tabla4[[#This Row],[20.85%]]-Tabla4[[#This Row],[Costo]]</f>
        <v>#N/A</v>
      </c>
      <c r="S4182" s="282" t="e">
        <f>++Tabla4[[#This Row],[U. Bruta Uni]]*Tabla4[[#This Row],[Cantidad]]</f>
        <v>#N/A</v>
      </c>
      <c r="T4182" s="369" t="str">
        <f>VLOOKUP(Tabla4[[#This Row],[Producto]],Tabla6[#All],14,FALSE)</f>
        <v>Termico Solar</v>
      </c>
      <c r="U4182" s="284" t="e">
        <f>(IF(Tabla4[[#This Row],[Familia]]="termico solar",Tabla4[[#This Row],[Utilidad Total]]*6%,Tabla4[[#This Row],[Utilidad Total]]*11.5%))/Tabla4[[#This Row],[Total]]</f>
        <v>#N/A</v>
      </c>
      <c r="V4182" s="282" t="e">
        <f>+Tabla4[[#This Row],[Comisión Calculada]]*Tabla4[[#This Row],[Total]]</f>
        <v>#N/A</v>
      </c>
    </row>
    <row r="4183" spans="1:22" hidden="1" x14ac:dyDescent="0.25">
      <c r="A4183" s="100">
        <v>45838</v>
      </c>
      <c r="B4183" t="str">
        <f t="shared" si="206"/>
        <v>June</v>
      </c>
      <c r="C4183" s="46" t="s">
        <v>280</v>
      </c>
      <c r="F4183" s="366" t="s">
        <v>2291</v>
      </c>
      <c r="G4183" s="46" t="s">
        <v>208</v>
      </c>
      <c r="H4183" s="46">
        <v>4</v>
      </c>
      <c r="I4183" s="51">
        <v>189.75</v>
      </c>
      <c r="J4183" s="281">
        <f>++Tabla4[[#This Row],[Precio Bruto]]*1.16</f>
        <v>220.10999999999999</v>
      </c>
      <c r="K4183" s="281">
        <f>+Tabla4[[#This Row],[Precio Unitario Neto]]*Tabla4[[#Headers],[20.85%]]</f>
        <v>45.892934999999994</v>
      </c>
      <c r="L4183" s="282">
        <f>++Tabla4[[#This Row],[Precio Unitario Neto]]-Tabla4[[#This Row],[20.85%]]</f>
        <v>174.21706499999999</v>
      </c>
      <c r="M4183" s="282" t="e">
        <f>(INDEX(Tabla6[#All],MATCH(Tabla4[[#This Row],[Producto]],Tabla6[[#All],[PRODUCTO]],0),MATCH(Tabla4[[#This Row],[Mes]],Tabla6[#Headers],0)))*(1+Catalogos!$L$2)</f>
        <v>#N/A</v>
      </c>
      <c r="N4183" s="283" t="e">
        <f>+(Tabla4[[#This Row],[Precio Descontado]]-Tabla4[[#This Row],[Precio Base]])*Tabla4[[#This Row],[Cantidad]]</f>
        <v>#N/A</v>
      </c>
      <c r="O4183" s="284" t="e">
        <f>++Tabla4[[#This Row],[Utilidad Total]]/Tabla4[[#This Row],[Total]]</f>
        <v>#N/A</v>
      </c>
      <c r="P4183" s="282">
        <f>++Tabla4[[#This Row],[Precio Descontado]]*Tabla4[[#This Row],[Cantidad]]</f>
        <v>696.86825999999996</v>
      </c>
      <c r="Q4183" s="282" t="e">
        <f>(INDEX(Tabla6[#All],MATCH(Tabla4[[#This Row],[Producto]],Tabla6[[#All],[PRODUCTO]],0),MATCH(Tabla4[[#This Row],[Mes]],Tabla6[#Headers],0)))</f>
        <v>#N/A</v>
      </c>
      <c r="R4183" s="282" t="e">
        <f>++Tabla4[[#This Row],[Precio Unitario Neto]]-Tabla4[[#This Row],[20.85%]]-Tabla4[[#This Row],[Costo]]</f>
        <v>#N/A</v>
      </c>
      <c r="S4183" s="282" t="e">
        <f>++Tabla4[[#This Row],[U. Bruta Uni]]*Tabla4[[#This Row],[Cantidad]]</f>
        <v>#N/A</v>
      </c>
      <c r="T4183" s="369" t="str">
        <f>VLOOKUP(Tabla4[[#This Row],[Producto]],Tabla6[#All],14,FALSE)</f>
        <v>Termico Solar</v>
      </c>
      <c r="U4183" s="284" t="e">
        <f>(IF(Tabla4[[#This Row],[Familia]]="termico solar",Tabla4[[#This Row],[Utilidad Total]]*6%,Tabla4[[#This Row],[Utilidad Total]]*11.5%))/Tabla4[[#This Row],[Total]]</f>
        <v>#N/A</v>
      </c>
      <c r="V4183" s="282" t="e">
        <f>+Tabla4[[#This Row],[Comisión Calculada]]*Tabla4[[#This Row],[Total]]</f>
        <v>#N/A</v>
      </c>
    </row>
    <row r="4184" spans="1:22" hidden="1" x14ac:dyDescent="0.25">
      <c r="A4184" s="100">
        <v>45838</v>
      </c>
      <c r="B4184" t="str">
        <f t="shared" si="206"/>
        <v>June</v>
      </c>
      <c r="C4184" s="46" t="s">
        <v>280</v>
      </c>
      <c r="F4184" s="366" t="s">
        <v>2291</v>
      </c>
      <c r="G4184" s="46" t="s">
        <v>209</v>
      </c>
      <c r="H4184" s="46">
        <v>4</v>
      </c>
      <c r="I4184" s="51">
        <v>347.48</v>
      </c>
      <c r="J4184" s="281">
        <f>++Tabla4[[#This Row],[Precio Bruto]]*1.16</f>
        <v>403.07679999999999</v>
      </c>
      <c r="K4184" s="281">
        <f>+Tabla4[[#This Row],[Precio Unitario Neto]]*Tabla4[[#Headers],[20.85%]]</f>
        <v>84.041512799999992</v>
      </c>
      <c r="L4184" s="282">
        <f>++Tabla4[[#This Row],[Precio Unitario Neto]]-Tabla4[[#This Row],[20.85%]]</f>
        <v>319.03528719999997</v>
      </c>
      <c r="M4184" s="282" t="e">
        <f>(INDEX(Tabla6[#All],MATCH(Tabla4[[#This Row],[Producto]],Tabla6[[#All],[PRODUCTO]],0),MATCH(Tabla4[[#This Row],[Mes]],Tabla6[#Headers],0)))*(1+Catalogos!$L$2)</f>
        <v>#N/A</v>
      </c>
      <c r="N4184" s="283" t="e">
        <f>+(Tabla4[[#This Row],[Precio Descontado]]-Tabla4[[#This Row],[Precio Base]])*Tabla4[[#This Row],[Cantidad]]</f>
        <v>#N/A</v>
      </c>
      <c r="O4184" s="284" t="e">
        <f>++Tabla4[[#This Row],[Utilidad Total]]/Tabla4[[#This Row],[Total]]</f>
        <v>#N/A</v>
      </c>
      <c r="P4184" s="282">
        <f>++Tabla4[[#This Row],[Precio Descontado]]*Tabla4[[#This Row],[Cantidad]]</f>
        <v>1276.1411487999999</v>
      </c>
      <c r="Q4184" s="282" t="e">
        <f>(INDEX(Tabla6[#All],MATCH(Tabla4[[#This Row],[Producto]],Tabla6[[#All],[PRODUCTO]],0),MATCH(Tabla4[[#This Row],[Mes]],Tabla6[#Headers],0)))</f>
        <v>#N/A</v>
      </c>
      <c r="R4184" s="282" t="e">
        <f>++Tabla4[[#This Row],[Precio Unitario Neto]]-Tabla4[[#This Row],[20.85%]]-Tabla4[[#This Row],[Costo]]</f>
        <v>#N/A</v>
      </c>
      <c r="S4184" s="282" t="e">
        <f>++Tabla4[[#This Row],[U. Bruta Uni]]*Tabla4[[#This Row],[Cantidad]]</f>
        <v>#N/A</v>
      </c>
      <c r="T4184" s="369" t="str">
        <f>VLOOKUP(Tabla4[[#This Row],[Producto]],Tabla6[#All],14,FALSE)</f>
        <v>Termico Solar</v>
      </c>
      <c r="U4184" s="284" t="e">
        <f>(IF(Tabla4[[#This Row],[Familia]]="termico solar",Tabla4[[#This Row],[Utilidad Total]]*6%,Tabla4[[#This Row],[Utilidad Total]]*11.5%))/Tabla4[[#This Row],[Total]]</f>
        <v>#N/A</v>
      </c>
      <c r="V4184" s="282" t="e">
        <f>+Tabla4[[#This Row],[Comisión Calculada]]*Tabla4[[#This Row],[Total]]</f>
        <v>#N/A</v>
      </c>
    </row>
    <row r="4185" spans="1:22" hidden="1" x14ac:dyDescent="0.25">
      <c r="A4185" s="100">
        <v>45838</v>
      </c>
      <c r="B4185" t="str">
        <f t="shared" si="206"/>
        <v>June</v>
      </c>
      <c r="C4185" s="46" t="s">
        <v>280</v>
      </c>
      <c r="F4185" s="366" t="s">
        <v>2292</v>
      </c>
      <c r="G4185" s="46" t="s">
        <v>208</v>
      </c>
      <c r="H4185" s="46">
        <v>3</v>
      </c>
      <c r="I4185" s="51">
        <v>189.75</v>
      </c>
      <c r="J4185" s="281">
        <f>++Tabla4[[#This Row],[Precio Bruto]]*1.16</f>
        <v>220.10999999999999</v>
      </c>
      <c r="K4185" s="281">
        <f>+Tabla4[[#This Row],[Precio Unitario Neto]]*Tabla4[[#Headers],[20.85%]]</f>
        <v>45.892934999999994</v>
      </c>
      <c r="L4185" s="282">
        <f>++Tabla4[[#This Row],[Precio Unitario Neto]]-Tabla4[[#This Row],[20.85%]]</f>
        <v>174.21706499999999</v>
      </c>
      <c r="M4185" s="282" t="e">
        <f>(INDEX(Tabla6[#All],MATCH(Tabla4[[#This Row],[Producto]],Tabla6[[#All],[PRODUCTO]],0),MATCH(Tabla4[[#This Row],[Mes]],Tabla6[#Headers],0)))*(1+Catalogos!$L$2)</f>
        <v>#N/A</v>
      </c>
      <c r="N4185" s="283" t="e">
        <f>+(Tabla4[[#This Row],[Precio Descontado]]-Tabla4[[#This Row],[Precio Base]])*Tabla4[[#This Row],[Cantidad]]</f>
        <v>#N/A</v>
      </c>
      <c r="O4185" s="284" t="e">
        <f>++Tabla4[[#This Row],[Utilidad Total]]/Tabla4[[#This Row],[Total]]</f>
        <v>#N/A</v>
      </c>
      <c r="P4185" s="282">
        <f>++Tabla4[[#This Row],[Precio Descontado]]*Tabla4[[#This Row],[Cantidad]]</f>
        <v>522.65119499999992</v>
      </c>
      <c r="Q4185" s="282" t="e">
        <f>(INDEX(Tabla6[#All],MATCH(Tabla4[[#This Row],[Producto]],Tabla6[[#All],[PRODUCTO]],0),MATCH(Tabla4[[#This Row],[Mes]],Tabla6[#Headers],0)))</f>
        <v>#N/A</v>
      </c>
      <c r="R4185" s="282" t="e">
        <f>++Tabla4[[#This Row],[Precio Unitario Neto]]-Tabla4[[#This Row],[20.85%]]-Tabla4[[#This Row],[Costo]]</f>
        <v>#N/A</v>
      </c>
      <c r="S4185" s="282" t="e">
        <f>++Tabla4[[#This Row],[U. Bruta Uni]]*Tabla4[[#This Row],[Cantidad]]</f>
        <v>#N/A</v>
      </c>
      <c r="T4185" s="369" t="str">
        <f>VLOOKUP(Tabla4[[#This Row],[Producto]],Tabla6[#All],14,FALSE)</f>
        <v>Termico Solar</v>
      </c>
      <c r="U4185" s="284" t="e">
        <f>(IF(Tabla4[[#This Row],[Familia]]="termico solar",Tabla4[[#This Row],[Utilidad Total]]*6%,Tabla4[[#This Row],[Utilidad Total]]*11.5%))/Tabla4[[#This Row],[Total]]</f>
        <v>#N/A</v>
      </c>
      <c r="V4185" s="282" t="e">
        <f>+Tabla4[[#This Row],[Comisión Calculada]]*Tabla4[[#This Row],[Total]]</f>
        <v>#N/A</v>
      </c>
    </row>
    <row r="4186" spans="1:22" hidden="1" x14ac:dyDescent="0.25">
      <c r="A4186" s="100">
        <v>45838</v>
      </c>
      <c r="B4186" t="str">
        <f t="shared" ref="B4186:B4202" si="207">TEXT(A4186, "mmmm")</f>
        <v>June</v>
      </c>
      <c r="C4186" s="46" t="s">
        <v>280</v>
      </c>
      <c r="F4186" s="366" t="s">
        <v>2293</v>
      </c>
      <c r="G4186" s="46" t="s">
        <v>208</v>
      </c>
      <c r="H4186" s="46">
        <v>1</v>
      </c>
      <c r="I4186" s="51">
        <v>189.75</v>
      </c>
      <c r="J4186" s="281">
        <f>++Tabla4[[#This Row],[Precio Bruto]]*1.16</f>
        <v>220.10999999999999</v>
      </c>
      <c r="K4186" s="281">
        <f>+Tabla4[[#This Row],[Precio Unitario Neto]]*Tabla4[[#Headers],[20.85%]]</f>
        <v>45.892934999999994</v>
      </c>
      <c r="L4186" s="282">
        <f>++Tabla4[[#This Row],[Precio Unitario Neto]]-Tabla4[[#This Row],[20.85%]]</f>
        <v>174.21706499999999</v>
      </c>
      <c r="M4186" s="282" t="e">
        <f>(INDEX(Tabla6[#All],MATCH(Tabla4[[#This Row],[Producto]],Tabla6[[#All],[PRODUCTO]],0),MATCH(Tabla4[[#This Row],[Mes]],Tabla6[#Headers],0)))*(1+Catalogos!$L$2)</f>
        <v>#N/A</v>
      </c>
      <c r="N4186" s="283" t="e">
        <f>+(Tabla4[[#This Row],[Precio Descontado]]-Tabla4[[#This Row],[Precio Base]])*Tabla4[[#This Row],[Cantidad]]</f>
        <v>#N/A</v>
      </c>
      <c r="O4186" s="284" t="e">
        <f>++Tabla4[[#This Row],[Utilidad Total]]/Tabla4[[#This Row],[Total]]</f>
        <v>#N/A</v>
      </c>
      <c r="P4186" s="282">
        <f>++Tabla4[[#This Row],[Precio Descontado]]*Tabla4[[#This Row],[Cantidad]]</f>
        <v>174.21706499999999</v>
      </c>
      <c r="Q4186" s="282" t="e">
        <f>(INDEX(Tabla6[#All],MATCH(Tabla4[[#This Row],[Producto]],Tabla6[[#All],[PRODUCTO]],0),MATCH(Tabla4[[#This Row],[Mes]],Tabla6[#Headers],0)))</f>
        <v>#N/A</v>
      </c>
      <c r="R4186" s="282" t="e">
        <f>++Tabla4[[#This Row],[Precio Unitario Neto]]-Tabla4[[#This Row],[20.85%]]-Tabla4[[#This Row],[Costo]]</f>
        <v>#N/A</v>
      </c>
      <c r="S4186" s="282" t="e">
        <f>++Tabla4[[#This Row],[U. Bruta Uni]]*Tabla4[[#This Row],[Cantidad]]</f>
        <v>#N/A</v>
      </c>
      <c r="T4186" s="369" t="str">
        <f>VLOOKUP(Tabla4[[#This Row],[Producto]],Tabla6[#All],14,FALSE)</f>
        <v>Termico Solar</v>
      </c>
      <c r="U4186" s="284" t="e">
        <f>(IF(Tabla4[[#This Row],[Familia]]="termico solar",Tabla4[[#This Row],[Utilidad Total]]*6%,Tabla4[[#This Row],[Utilidad Total]]*11.5%))/Tabla4[[#This Row],[Total]]</f>
        <v>#N/A</v>
      </c>
      <c r="V4186" s="282" t="e">
        <f>+Tabla4[[#This Row],[Comisión Calculada]]*Tabla4[[#This Row],[Total]]</f>
        <v>#N/A</v>
      </c>
    </row>
    <row r="4187" spans="1:22" hidden="1" x14ac:dyDescent="0.25">
      <c r="A4187" s="100">
        <v>45838</v>
      </c>
      <c r="B4187" t="str">
        <f t="shared" si="207"/>
        <v>June</v>
      </c>
      <c r="C4187" s="46" t="s">
        <v>280</v>
      </c>
      <c r="F4187" s="366" t="s">
        <v>2294</v>
      </c>
      <c r="G4187" s="46" t="s">
        <v>208</v>
      </c>
      <c r="H4187" s="46">
        <v>1</v>
      </c>
      <c r="I4187" s="51">
        <v>189.75</v>
      </c>
      <c r="J4187" s="281">
        <f>++Tabla4[[#This Row],[Precio Bruto]]*1.16</f>
        <v>220.10999999999999</v>
      </c>
      <c r="K4187" s="281">
        <f>+Tabla4[[#This Row],[Precio Unitario Neto]]*Tabla4[[#Headers],[20.85%]]</f>
        <v>45.892934999999994</v>
      </c>
      <c r="L4187" s="282">
        <f>++Tabla4[[#This Row],[Precio Unitario Neto]]-Tabla4[[#This Row],[20.85%]]</f>
        <v>174.21706499999999</v>
      </c>
      <c r="M4187" s="282" t="e">
        <f>(INDEX(Tabla6[#All],MATCH(Tabla4[[#This Row],[Producto]],Tabla6[[#All],[PRODUCTO]],0),MATCH(Tabla4[[#This Row],[Mes]],Tabla6[#Headers],0)))*(1+Catalogos!$L$2)</f>
        <v>#N/A</v>
      </c>
      <c r="N4187" s="283" t="e">
        <f>+(Tabla4[[#This Row],[Precio Descontado]]-Tabla4[[#This Row],[Precio Base]])*Tabla4[[#This Row],[Cantidad]]</f>
        <v>#N/A</v>
      </c>
      <c r="O4187" s="284" t="e">
        <f>++Tabla4[[#This Row],[Utilidad Total]]/Tabla4[[#This Row],[Total]]</f>
        <v>#N/A</v>
      </c>
      <c r="P4187" s="282">
        <f>++Tabla4[[#This Row],[Precio Descontado]]*Tabla4[[#This Row],[Cantidad]]</f>
        <v>174.21706499999999</v>
      </c>
      <c r="Q4187" s="282" t="e">
        <f>(INDEX(Tabla6[#All],MATCH(Tabla4[[#This Row],[Producto]],Tabla6[[#All],[PRODUCTO]],0),MATCH(Tabla4[[#This Row],[Mes]],Tabla6[#Headers],0)))</f>
        <v>#N/A</v>
      </c>
      <c r="R4187" s="282" t="e">
        <f>++Tabla4[[#This Row],[Precio Unitario Neto]]-Tabla4[[#This Row],[20.85%]]-Tabla4[[#This Row],[Costo]]</f>
        <v>#N/A</v>
      </c>
      <c r="S4187" s="282" t="e">
        <f>++Tabla4[[#This Row],[U. Bruta Uni]]*Tabla4[[#This Row],[Cantidad]]</f>
        <v>#N/A</v>
      </c>
      <c r="T4187" s="369" t="str">
        <f>VLOOKUP(Tabla4[[#This Row],[Producto]],Tabla6[#All],14,FALSE)</f>
        <v>Termico Solar</v>
      </c>
      <c r="U4187" s="284" t="e">
        <f>(IF(Tabla4[[#This Row],[Familia]]="termico solar",Tabla4[[#This Row],[Utilidad Total]]*6%,Tabla4[[#This Row],[Utilidad Total]]*11.5%))/Tabla4[[#This Row],[Total]]</f>
        <v>#N/A</v>
      </c>
      <c r="V4187" s="282" t="e">
        <f>+Tabla4[[#This Row],[Comisión Calculada]]*Tabla4[[#This Row],[Total]]</f>
        <v>#N/A</v>
      </c>
    </row>
    <row r="4188" spans="1:22" hidden="1" x14ac:dyDescent="0.25">
      <c r="A4188" s="100">
        <v>45838</v>
      </c>
      <c r="B4188" t="str">
        <f t="shared" si="207"/>
        <v>June</v>
      </c>
      <c r="C4188" s="46" t="s">
        <v>280</v>
      </c>
      <c r="F4188" s="366" t="s">
        <v>2295</v>
      </c>
      <c r="G4188" s="46" t="s">
        <v>566</v>
      </c>
      <c r="H4188" s="46">
        <v>1</v>
      </c>
      <c r="I4188" s="51">
        <v>2109.4499999999998</v>
      </c>
      <c r="J4188" s="281">
        <f>++Tabla4[[#This Row],[Precio Bruto]]*1.16</f>
        <v>2446.9619999999995</v>
      </c>
      <c r="K4188" s="281">
        <f>+Tabla4[[#This Row],[Precio Unitario Neto]]*Tabla4[[#Headers],[20.85%]]</f>
        <v>510.19157699999988</v>
      </c>
      <c r="L4188" s="282">
        <f>++Tabla4[[#This Row],[Precio Unitario Neto]]-Tabla4[[#This Row],[20.85%]]</f>
        <v>1936.7704229999997</v>
      </c>
      <c r="M4188" s="282" t="e">
        <f>(INDEX(Tabla6[#All],MATCH(Tabla4[[#This Row],[Producto]],Tabla6[[#All],[PRODUCTO]],0),MATCH(Tabla4[[#This Row],[Mes]],Tabla6[#Headers],0)))*(1+Catalogos!$L$2)</f>
        <v>#N/A</v>
      </c>
      <c r="N4188" s="283" t="e">
        <f>+(Tabla4[[#This Row],[Precio Descontado]]-Tabla4[[#This Row],[Precio Base]])*Tabla4[[#This Row],[Cantidad]]</f>
        <v>#N/A</v>
      </c>
      <c r="O4188" s="284" t="e">
        <f>++Tabla4[[#This Row],[Utilidad Total]]/Tabla4[[#This Row],[Total]]</f>
        <v>#N/A</v>
      </c>
      <c r="P4188" s="282">
        <f>++Tabla4[[#This Row],[Precio Descontado]]*Tabla4[[#This Row],[Cantidad]]</f>
        <v>1936.7704229999997</v>
      </c>
      <c r="Q4188" s="282" t="e">
        <f>(INDEX(Tabla6[#All],MATCH(Tabla4[[#This Row],[Producto]],Tabla6[[#All],[PRODUCTO]],0),MATCH(Tabla4[[#This Row],[Mes]],Tabla6[#Headers],0)))</f>
        <v>#N/A</v>
      </c>
      <c r="R4188" s="282" t="e">
        <f>++Tabla4[[#This Row],[Precio Unitario Neto]]-Tabla4[[#This Row],[20.85%]]-Tabla4[[#This Row],[Costo]]</f>
        <v>#N/A</v>
      </c>
      <c r="S4188" s="282" t="e">
        <f>++Tabla4[[#This Row],[U. Bruta Uni]]*Tabla4[[#This Row],[Cantidad]]</f>
        <v>#N/A</v>
      </c>
      <c r="T4188" s="369" t="str">
        <f>VLOOKUP(Tabla4[[#This Row],[Producto]],Tabla6[#All],14,FALSE)</f>
        <v>Termico Solar</v>
      </c>
      <c r="U4188" s="284" t="e">
        <f>(IF(Tabla4[[#This Row],[Familia]]="termico solar",Tabla4[[#This Row],[Utilidad Total]]*6%,Tabla4[[#This Row],[Utilidad Total]]*11.5%))/Tabla4[[#This Row],[Total]]</f>
        <v>#N/A</v>
      </c>
      <c r="V4188" s="282" t="e">
        <f>+Tabla4[[#This Row],[Comisión Calculada]]*Tabla4[[#This Row],[Total]]</f>
        <v>#N/A</v>
      </c>
    </row>
    <row r="4189" spans="1:22" hidden="1" x14ac:dyDescent="0.25">
      <c r="A4189" s="100">
        <v>45838</v>
      </c>
      <c r="B4189" t="str">
        <f t="shared" si="207"/>
        <v>June</v>
      </c>
      <c r="C4189" s="46" t="s">
        <v>280</v>
      </c>
      <c r="F4189" s="366" t="s">
        <v>2296</v>
      </c>
      <c r="G4189" s="46" t="s">
        <v>208</v>
      </c>
      <c r="H4189" s="46">
        <v>1</v>
      </c>
      <c r="I4189" s="51">
        <v>189.75</v>
      </c>
      <c r="J4189" s="281">
        <f>++Tabla4[[#This Row],[Precio Bruto]]*1.16</f>
        <v>220.10999999999999</v>
      </c>
      <c r="K4189" s="281">
        <f>+Tabla4[[#This Row],[Precio Unitario Neto]]*Tabla4[[#Headers],[20.85%]]</f>
        <v>45.892934999999994</v>
      </c>
      <c r="L4189" s="282">
        <f>++Tabla4[[#This Row],[Precio Unitario Neto]]-Tabla4[[#This Row],[20.85%]]</f>
        <v>174.21706499999999</v>
      </c>
      <c r="M4189" s="282" t="e">
        <f>(INDEX(Tabla6[#All],MATCH(Tabla4[[#This Row],[Producto]],Tabla6[[#All],[PRODUCTO]],0),MATCH(Tabla4[[#This Row],[Mes]],Tabla6[#Headers],0)))*(1+Catalogos!$L$2)</f>
        <v>#N/A</v>
      </c>
      <c r="N4189" s="283" t="e">
        <f>+(Tabla4[[#This Row],[Precio Descontado]]-Tabla4[[#This Row],[Precio Base]])*Tabla4[[#This Row],[Cantidad]]</f>
        <v>#N/A</v>
      </c>
      <c r="O4189" s="284" t="e">
        <f>++Tabla4[[#This Row],[Utilidad Total]]/Tabla4[[#This Row],[Total]]</f>
        <v>#N/A</v>
      </c>
      <c r="P4189" s="282">
        <f>++Tabla4[[#This Row],[Precio Descontado]]*Tabla4[[#This Row],[Cantidad]]</f>
        <v>174.21706499999999</v>
      </c>
      <c r="Q4189" s="282" t="e">
        <f>(INDEX(Tabla6[#All],MATCH(Tabla4[[#This Row],[Producto]],Tabla6[[#All],[PRODUCTO]],0),MATCH(Tabla4[[#This Row],[Mes]],Tabla6[#Headers],0)))</f>
        <v>#N/A</v>
      </c>
      <c r="R4189" s="282" t="e">
        <f>++Tabla4[[#This Row],[Precio Unitario Neto]]-Tabla4[[#This Row],[20.85%]]-Tabla4[[#This Row],[Costo]]</f>
        <v>#N/A</v>
      </c>
      <c r="S4189" s="282" t="e">
        <f>++Tabla4[[#This Row],[U. Bruta Uni]]*Tabla4[[#This Row],[Cantidad]]</f>
        <v>#N/A</v>
      </c>
      <c r="T4189" s="369" t="str">
        <f>VLOOKUP(Tabla4[[#This Row],[Producto]],Tabla6[#All],14,FALSE)</f>
        <v>Termico Solar</v>
      </c>
      <c r="U4189" s="284" t="e">
        <f>(IF(Tabla4[[#This Row],[Familia]]="termico solar",Tabla4[[#This Row],[Utilidad Total]]*6%,Tabla4[[#This Row],[Utilidad Total]]*11.5%))/Tabla4[[#This Row],[Total]]</f>
        <v>#N/A</v>
      </c>
      <c r="V4189" s="282" t="e">
        <f>+Tabla4[[#This Row],[Comisión Calculada]]*Tabla4[[#This Row],[Total]]</f>
        <v>#N/A</v>
      </c>
    </row>
    <row r="4190" spans="1:22" hidden="1" x14ac:dyDescent="0.25">
      <c r="A4190" s="100">
        <v>45838</v>
      </c>
      <c r="B4190" t="str">
        <f t="shared" si="207"/>
        <v>June</v>
      </c>
      <c r="C4190" s="46" t="s">
        <v>280</v>
      </c>
      <c r="F4190" s="366" t="s">
        <v>2297</v>
      </c>
      <c r="G4190" s="46" t="s">
        <v>566</v>
      </c>
      <c r="H4190" s="46">
        <v>1</v>
      </c>
      <c r="I4190" s="51">
        <v>2109.4499999999998</v>
      </c>
      <c r="J4190" s="281">
        <f>++Tabla4[[#This Row],[Precio Bruto]]*1.16</f>
        <v>2446.9619999999995</v>
      </c>
      <c r="K4190" s="281">
        <f>+Tabla4[[#This Row],[Precio Unitario Neto]]*Tabla4[[#Headers],[20.85%]]</f>
        <v>510.19157699999988</v>
      </c>
      <c r="L4190" s="282">
        <f>++Tabla4[[#This Row],[Precio Unitario Neto]]-Tabla4[[#This Row],[20.85%]]</f>
        <v>1936.7704229999997</v>
      </c>
      <c r="M4190" s="282" t="e">
        <f>(INDEX(Tabla6[#All],MATCH(Tabla4[[#This Row],[Producto]],Tabla6[[#All],[PRODUCTO]],0),MATCH(Tabla4[[#This Row],[Mes]],Tabla6[#Headers],0)))*(1+Catalogos!$L$2)</f>
        <v>#N/A</v>
      </c>
      <c r="N4190" s="283" t="e">
        <f>+(Tabla4[[#This Row],[Precio Descontado]]-Tabla4[[#This Row],[Precio Base]])*Tabla4[[#This Row],[Cantidad]]</f>
        <v>#N/A</v>
      </c>
      <c r="O4190" s="284" t="e">
        <f>++Tabla4[[#This Row],[Utilidad Total]]/Tabla4[[#This Row],[Total]]</f>
        <v>#N/A</v>
      </c>
      <c r="P4190" s="282">
        <f>++Tabla4[[#This Row],[Precio Descontado]]*Tabla4[[#This Row],[Cantidad]]</f>
        <v>1936.7704229999997</v>
      </c>
      <c r="Q4190" s="282" t="e">
        <f>(INDEX(Tabla6[#All],MATCH(Tabla4[[#This Row],[Producto]],Tabla6[[#All],[PRODUCTO]],0),MATCH(Tabla4[[#This Row],[Mes]],Tabla6[#Headers],0)))</f>
        <v>#N/A</v>
      </c>
      <c r="R4190" s="282" t="e">
        <f>++Tabla4[[#This Row],[Precio Unitario Neto]]-Tabla4[[#This Row],[20.85%]]-Tabla4[[#This Row],[Costo]]</f>
        <v>#N/A</v>
      </c>
      <c r="S4190" s="282" t="e">
        <f>++Tabla4[[#This Row],[U. Bruta Uni]]*Tabla4[[#This Row],[Cantidad]]</f>
        <v>#N/A</v>
      </c>
      <c r="T4190" s="369" t="str">
        <f>VLOOKUP(Tabla4[[#This Row],[Producto]],Tabla6[#All],14,FALSE)</f>
        <v>Termico Solar</v>
      </c>
      <c r="U4190" s="284" t="e">
        <f>(IF(Tabla4[[#This Row],[Familia]]="termico solar",Tabla4[[#This Row],[Utilidad Total]]*6%,Tabla4[[#This Row],[Utilidad Total]]*11.5%))/Tabla4[[#This Row],[Total]]</f>
        <v>#N/A</v>
      </c>
      <c r="V4190" s="282" t="e">
        <f>+Tabla4[[#This Row],[Comisión Calculada]]*Tabla4[[#This Row],[Total]]</f>
        <v>#N/A</v>
      </c>
    </row>
    <row r="4191" spans="1:22" hidden="1" x14ac:dyDescent="0.25">
      <c r="A4191" s="100">
        <v>45838</v>
      </c>
      <c r="B4191" t="str">
        <f t="shared" si="207"/>
        <v>June</v>
      </c>
      <c r="C4191" s="46" t="s">
        <v>280</v>
      </c>
      <c r="F4191" s="366" t="s">
        <v>2298</v>
      </c>
      <c r="G4191" s="46" t="s">
        <v>208</v>
      </c>
      <c r="H4191" s="46">
        <v>2</v>
      </c>
      <c r="I4191" s="51">
        <v>189.75</v>
      </c>
      <c r="J4191" s="281">
        <f>++Tabla4[[#This Row],[Precio Bruto]]*1.16</f>
        <v>220.10999999999999</v>
      </c>
      <c r="K4191" s="281">
        <f>+Tabla4[[#This Row],[Precio Unitario Neto]]*Tabla4[[#Headers],[20.85%]]</f>
        <v>45.892934999999994</v>
      </c>
      <c r="L4191" s="282">
        <f>++Tabla4[[#This Row],[Precio Unitario Neto]]-Tabla4[[#This Row],[20.85%]]</f>
        <v>174.21706499999999</v>
      </c>
      <c r="M4191" s="282" t="e">
        <f>(INDEX(Tabla6[#All],MATCH(Tabla4[[#This Row],[Producto]],Tabla6[[#All],[PRODUCTO]],0),MATCH(Tabla4[[#This Row],[Mes]],Tabla6[#Headers],0)))*(1+Catalogos!$L$2)</f>
        <v>#N/A</v>
      </c>
      <c r="N4191" s="283" t="e">
        <f>+(Tabla4[[#This Row],[Precio Descontado]]-Tabla4[[#This Row],[Precio Base]])*Tabla4[[#This Row],[Cantidad]]</f>
        <v>#N/A</v>
      </c>
      <c r="O4191" s="284" t="e">
        <f>++Tabla4[[#This Row],[Utilidad Total]]/Tabla4[[#This Row],[Total]]</f>
        <v>#N/A</v>
      </c>
      <c r="P4191" s="282">
        <f>++Tabla4[[#This Row],[Precio Descontado]]*Tabla4[[#This Row],[Cantidad]]</f>
        <v>348.43412999999998</v>
      </c>
      <c r="Q4191" s="282" t="e">
        <f>(INDEX(Tabla6[#All],MATCH(Tabla4[[#This Row],[Producto]],Tabla6[[#All],[PRODUCTO]],0),MATCH(Tabla4[[#This Row],[Mes]],Tabla6[#Headers],0)))</f>
        <v>#N/A</v>
      </c>
      <c r="R4191" s="282" t="e">
        <f>++Tabla4[[#This Row],[Precio Unitario Neto]]-Tabla4[[#This Row],[20.85%]]-Tabla4[[#This Row],[Costo]]</f>
        <v>#N/A</v>
      </c>
      <c r="S4191" s="282" t="e">
        <f>++Tabla4[[#This Row],[U. Bruta Uni]]*Tabla4[[#This Row],[Cantidad]]</f>
        <v>#N/A</v>
      </c>
      <c r="T4191" s="369" t="str">
        <f>VLOOKUP(Tabla4[[#This Row],[Producto]],Tabla6[#All],14,FALSE)</f>
        <v>Termico Solar</v>
      </c>
      <c r="U4191" s="284" t="e">
        <f>(IF(Tabla4[[#This Row],[Familia]]="termico solar",Tabla4[[#This Row],[Utilidad Total]]*6%,Tabla4[[#This Row],[Utilidad Total]]*11.5%))/Tabla4[[#This Row],[Total]]</f>
        <v>#N/A</v>
      </c>
      <c r="V4191" s="282" t="e">
        <f>+Tabla4[[#This Row],[Comisión Calculada]]*Tabla4[[#This Row],[Total]]</f>
        <v>#N/A</v>
      </c>
    </row>
    <row r="4192" spans="1:22" hidden="1" x14ac:dyDescent="0.25">
      <c r="A4192" s="100">
        <v>45838</v>
      </c>
      <c r="B4192" t="str">
        <f t="shared" si="207"/>
        <v>June</v>
      </c>
      <c r="C4192" s="46" t="s">
        <v>280</v>
      </c>
      <c r="F4192" s="366" t="s">
        <v>2299</v>
      </c>
      <c r="G4192" s="46" t="s">
        <v>83</v>
      </c>
      <c r="H4192" s="46">
        <v>2</v>
      </c>
      <c r="I4192" s="51">
        <v>8858.76</v>
      </c>
      <c r="J4192" s="281">
        <f>++Tabla4[[#This Row],[Precio Bruto]]*1.16</f>
        <v>10276.161599999999</v>
      </c>
      <c r="K4192" s="281">
        <f>+Tabla4[[#This Row],[Precio Unitario Neto]]*Tabla4[[#Headers],[20.85%]]</f>
        <v>2142.5796935999997</v>
      </c>
      <c r="L4192" s="282">
        <f>++Tabla4[[#This Row],[Precio Unitario Neto]]-Tabla4[[#This Row],[20.85%]]</f>
        <v>8133.5819063999998</v>
      </c>
      <c r="M4192" s="282" t="e">
        <f>(INDEX(Tabla6[#All],MATCH(Tabla4[[#This Row],[Producto]],Tabla6[[#All],[PRODUCTO]],0),MATCH(Tabla4[[#This Row],[Mes]],Tabla6[#Headers],0)))*(1+Catalogos!$L$2)</f>
        <v>#N/A</v>
      </c>
      <c r="N4192" s="283" t="e">
        <f>+(Tabla4[[#This Row],[Precio Descontado]]-Tabla4[[#This Row],[Precio Base]])*Tabla4[[#This Row],[Cantidad]]</f>
        <v>#N/A</v>
      </c>
      <c r="O4192" s="284" t="e">
        <f>++Tabla4[[#This Row],[Utilidad Total]]/Tabla4[[#This Row],[Total]]</f>
        <v>#N/A</v>
      </c>
      <c r="P4192" s="282">
        <f>++Tabla4[[#This Row],[Precio Descontado]]*Tabla4[[#This Row],[Cantidad]]</f>
        <v>16267.1638128</v>
      </c>
      <c r="Q4192" s="282" t="e">
        <f>(INDEX(Tabla6[#All],MATCH(Tabla4[[#This Row],[Producto]],Tabla6[[#All],[PRODUCTO]],0),MATCH(Tabla4[[#This Row],[Mes]],Tabla6[#Headers],0)))</f>
        <v>#N/A</v>
      </c>
      <c r="R4192" s="282" t="e">
        <f>++Tabla4[[#This Row],[Precio Unitario Neto]]-Tabla4[[#This Row],[20.85%]]-Tabla4[[#This Row],[Costo]]</f>
        <v>#N/A</v>
      </c>
      <c r="S4192" s="282" t="e">
        <f>++Tabla4[[#This Row],[U. Bruta Uni]]*Tabla4[[#This Row],[Cantidad]]</f>
        <v>#N/A</v>
      </c>
      <c r="T4192" s="369" t="str">
        <f>VLOOKUP(Tabla4[[#This Row],[Producto]],Tabla6[#All],14,FALSE)</f>
        <v>Termico Solar</v>
      </c>
      <c r="U4192" s="284" t="e">
        <f>(IF(Tabla4[[#This Row],[Familia]]="termico solar",Tabla4[[#This Row],[Utilidad Total]]*6%,Tabla4[[#This Row],[Utilidad Total]]*11.5%))/Tabla4[[#This Row],[Total]]</f>
        <v>#N/A</v>
      </c>
      <c r="V4192" s="282" t="e">
        <f>+Tabla4[[#This Row],[Comisión Calculada]]*Tabla4[[#This Row],[Total]]</f>
        <v>#N/A</v>
      </c>
    </row>
    <row r="4193" spans="1:22" hidden="1" x14ac:dyDescent="0.25">
      <c r="A4193" s="100">
        <v>45838</v>
      </c>
      <c r="B4193" t="str">
        <f t="shared" si="207"/>
        <v>June</v>
      </c>
      <c r="C4193" s="46" t="s">
        <v>280</v>
      </c>
      <c r="F4193" s="366" t="s">
        <v>2299</v>
      </c>
      <c r="G4193" s="46" t="s">
        <v>208</v>
      </c>
      <c r="H4193" s="46">
        <v>4</v>
      </c>
      <c r="I4193" s="51">
        <v>189.75</v>
      </c>
      <c r="J4193" s="281">
        <f>++Tabla4[[#This Row],[Precio Bruto]]*1.16</f>
        <v>220.10999999999999</v>
      </c>
      <c r="K4193" s="281">
        <f>+Tabla4[[#This Row],[Precio Unitario Neto]]*Tabla4[[#Headers],[20.85%]]</f>
        <v>45.892934999999994</v>
      </c>
      <c r="L4193" s="282">
        <f>++Tabla4[[#This Row],[Precio Unitario Neto]]-Tabla4[[#This Row],[20.85%]]</f>
        <v>174.21706499999999</v>
      </c>
      <c r="M4193" s="282" t="e">
        <f>(INDEX(Tabla6[#All],MATCH(Tabla4[[#This Row],[Producto]],Tabla6[[#All],[PRODUCTO]],0),MATCH(Tabla4[[#This Row],[Mes]],Tabla6[#Headers],0)))*(1+Catalogos!$L$2)</f>
        <v>#N/A</v>
      </c>
      <c r="N4193" s="283" t="e">
        <f>+(Tabla4[[#This Row],[Precio Descontado]]-Tabla4[[#This Row],[Precio Base]])*Tabla4[[#This Row],[Cantidad]]</f>
        <v>#N/A</v>
      </c>
      <c r="O4193" s="284" t="e">
        <f>++Tabla4[[#This Row],[Utilidad Total]]/Tabla4[[#This Row],[Total]]</f>
        <v>#N/A</v>
      </c>
      <c r="P4193" s="282">
        <f>++Tabla4[[#This Row],[Precio Descontado]]*Tabla4[[#This Row],[Cantidad]]</f>
        <v>696.86825999999996</v>
      </c>
      <c r="Q4193" s="282" t="e">
        <f>(INDEX(Tabla6[#All],MATCH(Tabla4[[#This Row],[Producto]],Tabla6[[#All],[PRODUCTO]],0),MATCH(Tabla4[[#This Row],[Mes]],Tabla6[#Headers],0)))</f>
        <v>#N/A</v>
      </c>
      <c r="R4193" s="282" t="e">
        <f>++Tabla4[[#This Row],[Precio Unitario Neto]]-Tabla4[[#This Row],[20.85%]]-Tabla4[[#This Row],[Costo]]</f>
        <v>#N/A</v>
      </c>
      <c r="S4193" s="282" t="e">
        <f>++Tabla4[[#This Row],[U. Bruta Uni]]*Tabla4[[#This Row],[Cantidad]]</f>
        <v>#N/A</v>
      </c>
      <c r="T4193" s="369" t="str">
        <f>VLOOKUP(Tabla4[[#This Row],[Producto]],Tabla6[#All],14,FALSE)</f>
        <v>Termico Solar</v>
      </c>
      <c r="U4193" s="284" t="e">
        <f>(IF(Tabla4[[#This Row],[Familia]]="termico solar",Tabla4[[#This Row],[Utilidad Total]]*6%,Tabla4[[#This Row],[Utilidad Total]]*11.5%))/Tabla4[[#This Row],[Total]]</f>
        <v>#N/A</v>
      </c>
      <c r="V4193" s="282" t="e">
        <f>+Tabla4[[#This Row],[Comisión Calculada]]*Tabla4[[#This Row],[Total]]</f>
        <v>#N/A</v>
      </c>
    </row>
    <row r="4194" spans="1:22" hidden="1" x14ac:dyDescent="0.25">
      <c r="A4194" s="100">
        <v>45838</v>
      </c>
      <c r="B4194" t="str">
        <f t="shared" si="207"/>
        <v>June</v>
      </c>
      <c r="C4194" s="46" t="s">
        <v>280</v>
      </c>
      <c r="F4194" s="366" t="s">
        <v>2299</v>
      </c>
      <c r="G4194" s="46" t="s">
        <v>209</v>
      </c>
      <c r="H4194" s="46">
        <v>2</v>
      </c>
      <c r="I4194" s="51">
        <v>347.48</v>
      </c>
      <c r="J4194" s="281">
        <f>++Tabla4[[#This Row],[Precio Bruto]]*1.16</f>
        <v>403.07679999999999</v>
      </c>
      <c r="K4194" s="281">
        <f>+Tabla4[[#This Row],[Precio Unitario Neto]]*Tabla4[[#Headers],[20.85%]]</f>
        <v>84.041512799999992</v>
      </c>
      <c r="L4194" s="282">
        <f>++Tabla4[[#This Row],[Precio Unitario Neto]]-Tabla4[[#This Row],[20.85%]]</f>
        <v>319.03528719999997</v>
      </c>
      <c r="M4194" s="282" t="e">
        <f>(INDEX(Tabla6[#All],MATCH(Tabla4[[#This Row],[Producto]],Tabla6[[#All],[PRODUCTO]],0),MATCH(Tabla4[[#This Row],[Mes]],Tabla6[#Headers],0)))*(1+Catalogos!$L$2)</f>
        <v>#N/A</v>
      </c>
      <c r="N4194" s="283" t="e">
        <f>+(Tabla4[[#This Row],[Precio Descontado]]-Tabla4[[#This Row],[Precio Base]])*Tabla4[[#This Row],[Cantidad]]</f>
        <v>#N/A</v>
      </c>
      <c r="O4194" s="284" t="e">
        <f>++Tabla4[[#This Row],[Utilidad Total]]/Tabla4[[#This Row],[Total]]</f>
        <v>#N/A</v>
      </c>
      <c r="P4194" s="282">
        <f>++Tabla4[[#This Row],[Precio Descontado]]*Tabla4[[#This Row],[Cantidad]]</f>
        <v>638.07057439999994</v>
      </c>
      <c r="Q4194" s="282" t="e">
        <f>(INDEX(Tabla6[#All],MATCH(Tabla4[[#This Row],[Producto]],Tabla6[[#All],[PRODUCTO]],0),MATCH(Tabla4[[#This Row],[Mes]],Tabla6[#Headers],0)))</f>
        <v>#N/A</v>
      </c>
      <c r="R4194" s="282" t="e">
        <f>++Tabla4[[#This Row],[Precio Unitario Neto]]-Tabla4[[#This Row],[20.85%]]-Tabla4[[#This Row],[Costo]]</f>
        <v>#N/A</v>
      </c>
      <c r="S4194" s="282" t="e">
        <f>++Tabla4[[#This Row],[U. Bruta Uni]]*Tabla4[[#This Row],[Cantidad]]</f>
        <v>#N/A</v>
      </c>
      <c r="T4194" s="369" t="str">
        <f>VLOOKUP(Tabla4[[#This Row],[Producto]],Tabla6[#All],14,FALSE)</f>
        <v>Termico Solar</v>
      </c>
      <c r="U4194" s="284" t="e">
        <f>(IF(Tabla4[[#This Row],[Familia]]="termico solar",Tabla4[[#This Row],[Utilidad Total]]*6%,Tabla4[[#This Row],[Utilidad Total]]*11.5%))/Tabla4[[#This Row],[Total]]</f>
        <v>#N/A</v>
      </c>
      <c r="V4194" s="282" t="e">
        <f>+Tabla4[[#This Row],[Comisión Calculada]]*Tabla4[[#This Row],[Total]]</f>
        <v>#N/A</v>
      </c>
    </row>
    <row r="4195" spans="1:22" hidden="1" x14ac:dyDescent="0.25">
      <c r="A4195" s="100">
        <v>45838</v>
      </c>
      <c r="B4195" t="str">
        <f t="shared" si="207"/>
        <v>June</v>
      </c>
      <c r="C4195" s="46" t="s">
        <v>280</v>
      </c>
      <c r="F4195" s="366" t="s">
        <v>2300</v>
      </c>
      <c r="G4195" s="46" t="s">
        <v>17</v>
      </c>
      <c r="H4195" s="46">
        <v>1</v>
      </c>
      <c r="I4195" s="51">
        <v>4622.28</v>
      </c>
      <c r="J4195" s="281">
        <f>++Tabla4[[#This Row],[Precio Bruto]]*1.16</f>
        <v>5361.8447999999989</v>
      </c>
      <c r="K4195" s="281">
        <f>+Tabla4[[#This Row],[Precio Unitario Neto]]*Tabla4[[#Headers],[20.85%]]</f>
        <v>1117.9446407999997</v>
      </c>
      <c r="L4195" s="282">
        <f>++Tabla4[[#This Row],[Precio Unitario Neto]]-Tabla4[[#This Row],[20.85%]]</f>
        <v>4243.9001591999995</v>
      </c>
      <c r="M4195" s="282" t="e">
        <f>(INDEX(Tabla6[#All],MATCH(Tabla4[[#This Row],[Producto]],Tabla6[[#All],[PRODUCTO]],0),MATCH(Tabla4[[#This Row],[Mes]],Tabla6[#Headers],0)))*(1+Catalogos!$L$2)</f>
        <v>#N/A</v>
      </c>
      <c r="N4195" s="283" t="e">
        <f>+(Tabla4[[#This Row],[Precio Descontado]]-Tabla4[[#This Row],[Precio Base]])*Tabla4[[#This Row],[Cantidad]]</f>
        <v>#N/A</v>
      </c>
      <c r="O4195" s="284" t="e">
        <f>++Tabla4[[#This Row],[Utilidad Total]]/Tabla4[[#This Row],[Total]]</f>
        <v>#N/A</v>
      </c>
      <c r="P4195" s="282">
        <f>++Tabla4[[#This Row],[Precio Descontado]]*Tabla4[[#This Row],[Cantidad]]</f>
        <v>4243.9001591999995</v>
      </c>
      <c r="Q4195" s="282" t="e">
        <f>(INDEX(Tabla6[#All],MATCH(Tabla4[[#This Row],[Producto]],Tabla6[[#All],[PRODUCTO]],0),MATCH(Tabla4[[#This Row],[Mes]],Tabla6[#Headers],0)))</f>
        <v>#N/A</v>
      </c>
      <c r="R4195" s="282" t="e">
        <f>++Tabla4[[#This Row],[Precio Unitario Neto]]-Tabla4[[#This Row],[20.85%]]-Tabla4[[#This Row],[Costo]]</f>
        <v>#N/A</v>
      </c>
      <c r="S4195" s="282" t="e">
        <f>++Tabla4[[#This Row],[U. Bruta Uni]]*Tabla4[[#This Row],[Cantidad]]</f>
        <v>#N/A</v>
      </c>
      <c r="T4195" s="369" t="str">
        <f>VLOOKUP(Tabla4[[#This Row],[Producto]],Tabla6[#All],14,FALSE)</f>
        <v>Termico Solar</v>
      </c>
      <c r="U4195" s="284" t="e">
        <f>(IF(Tabla4[[#This Row],[Familia]]="termico solar",Tabla4[[#This Row],[Utilidad Total]]*6%,Tabla4[[#This Row],[Utilidad Total]]*11.5%))/Tabla4[[#This Row],[Total]]</f>
        <v>#N/A</v>
      </c>
      <c r="V4195" s="282" t="e">
        <f>+Tabla4[[#This Row],[Comisión Calculada]]*Tabla4[[#This Row],[Total]]</f>
        <v>#N/A</v>
      </c>
    </row>
    <row r="4196" spans="1:22" hidden="1" x14ac:dyDescent="0.25">
      <c r="A4196" s="100">
        <v>45838</v>
      </c>
      <c r="B4196" t="str">
        <f t="shared" si="207"/>
        <v>June</v>
      </c>
      <c r="C4196" s="46" t="s">
        <v>280</v>
      </c>
      <c r="F4196" s="366" t="s">
        <v>2300</v>
      </c>
      <c r="G4196" s="46" t="s">
        <v>16</v>
      </c>
      <c r="H4196" s="46">
        <v>2</v>
      </c>
      <c r="I4196" s="51">
        <v>4103.8500000000004</v>
      </c>
      <c r="J4196" s="281">
        <f>++Tabla4[[#This Row],[Precio Bruto]]*1.16</f>
        <v>4760.4660000000003</v>
      </c>
      <c r="K4196" s="281">
        <f>+Tabla4[[#This Row],[Precio Unitario Neto]]*Tabla4[[#Headers],[20.85%]]</f>
        <v>992.55716100000006</v>
      </c>
      <c r="L4196" s="282">
        <f>++Tabla4[[#This Row],[Precio Unitario Neto]]-Tabla4[[#This Row],[20.85%]]</f>
        <v>3767.9088390000002</v>
      </c>
      <c r="M4196" s="282" t="e">
        <f>(INDEX(Tabla6[#All],MATCH(Tabla4[[#This Row],[Producto]],Tabla6[[#All],[PRODUCTO]],0),MATCH(Tabla4[[#This Row],[Mes]],Tabla6[#Headers],0)))*(1+Catalogos!$L$2)</f>
        <v>#N/A</v>
      </c>
      <c r="N4196" s="283" t="e">
        <f>+(Tabla4[[#This Row],[Precio Descontado]]-Tabla4[[#This Row],[Precio Base]])*Tabla4[[#This Row],[Cantidad]]</f>
        <v>#N/A</v>
      </c>
      <c r="O4196" s="284" t="e">
        <f>++Tabla4[[#This Row],[Utilidad Total]]/Tabla4[[#This Row],[Total]]</f>
        <v>#N/A</v>
      </c>
      <c r="P4196" s="282">
        <f>++Tabla4[[#This Row],[Precio Descontado]]*Tabla4[[#This Row],[Cantidad]]</f>
        <v>7535.8176780000003</v>
      </c>
      <c r="Q4196" s="282" t="e">
        <f>(INDEX(Tabla6[#All],MATCH(Tabla4[[#This Row],[Producto]],Tabla6[[#All],[PRODUCTO]],0),MATCH(Tabla4[[#This Row],[Mes]],Tabla6[#Headers],0)))</f>
        <v>#N/A</v>
      </c>
      <c r="R4196" s="282" t="e">
        <f>++Tabla4[[#This Row],[Precio Unitario Neto]]-Tabla4[[#This Row],[20.85%]]-Tabla4[[#This Row],[Costo]]</f>
        <v>#N/A</v>
      </c>
      <c r="S4196" s="282" t="e">
        <f>++Tabla4[[#This Row],[U. Bruta Uni]]*Tabla4[[#This Row],[Cantidad]]</f>
        <v>#N/A</v>
      </c>
      <c r="T4196" s="369" t="str">
        <f>VLOOKUP(Tabla4[[#This Row],[Producto]],Tabla6[#All],14,FALSE)</f>
        <v>Termico Solar</v>
      </c>
      <c r="U4196" s="284" t="e">
        <f>(IF(Tabla4[[#This Row],[Familia]]="termico solar",Tabla4[[#This Row],[Utilidad Total]]*6%,Tabla4[[#This Row],[Utilidad Total]]*11.5%))/Tabla4[[#This Row],[Total]]</f>
        <v>#N/A</v>
      </c>
      <c r="V4196" s="282" t="e">
        <f>+Tabla4[[#This Row],[Comisión Calculada]]*Tabla4[[#This Row],[Total]]</f>
        <v>#N/A</v>
      </c>
    </row>
    <row r="4197" spans="1:22" hidden="1" x14ac:dyDescent="0.25">
      <c r="A4197" s="100">
        <v>45838</v>
      </c>
      <c r="B4197" t="str">
        <f t="shared" si="207"/>
        <v>June</v>
      </c>
      <c r="C4197" s="46" t="s">
        <v>280</v>
      </c>
      <c r="F4197" s="366" t="s">
        <v>2300</v>
      </c>
      <c r="G4197" s="46" t="s">
        <v>208</v>
      </c>
      <c r="H4197" s="46">
        <v>2</v>
      </c>
      <c r="I4197" s="51">
        <v>189.75</v>
      </c>
      <c r="J4197" s="281">
        <f>++Tabla4[[#This Row],[Precio Bruto]]*1.16</f>
        <v>220.10999999999999</v>
      </c>
      <c r="K4197" s="281">
        <f>+Tabla4[[#This Row],[Precio Unitario Neto]]*Tabla4[[#Headers],[20.85%]]</f>
        <v>45.892934999999994</v>
      </c>
      <c r="L4197" s="282">
        <f>++Tabla4[[#This Row],[Precio Unitario Neto]]-Tabla4[[#This Row],[20.85%]]</f>
        <v>174.21706499999999</v>
      </c>
      <c r="M4197" s="282" t="e">
        <f>(INDEX(Tabla6[#All],MATCH(Tabla4[[#This Row],[Producto]],Tabla6[[#All],[PRODUCTO]],0),MATCH(Tabla4[[#This Row],[Mes]],Tabla6[#Headers],0)))*(1+Catalogos!$L$2)</f>
        <v>#N/A</v>
      </c>
      <c r="N4197" s="283" t="e">
        <f>+(Tabla4[[#This Row],[Precio Descontado]]-Tabla4[[#This Row],[Precio Base]])*Tabla4[[#This Row],[Cantidad]]</f>
        <v>#N/A</v>
      </c>
      <c r="O4197" s="284" t="e">
        <f>++Tabla4[[#This Row],[Utilidad Total]]/Tabla4[[#This Row],[Total]]</f>
        <v>#N/A</v>
      </c>
      <c r="P4197" s="282">
        <f>++Tabla4[[#This Row],[Precio Descontado]]*Tabla4[[#This Row],[Cantidad]]</f>
        <v>348.43412999999998</v>
      </c>
      <c r="Q4197" s="282" t="e">
        <f>(INDEX(Tabla6[#All],MATCH(Tabla4[[#This Row],[Producto]],Tabla6[[#All],[PRODUCTO]],0),MATCH(Tabla4[[#This Row],[Mes]],Tabla6[#Headers],0)))</f>
        <v>#N/A</v>
      </c>
      <c r="R4197" s="282" t="e">
        <f>++Tabla4[[#This Row],[Precio Unitario Neto]]-Tabla4[[#This Row],[20.85%]]-Tabla4[[#This Row],[Costo]]</f>
        <v>#N/A</v>
      </c>
      <c r="S4197" s="282" t="e">
        <f>++Tabla4[[#This Row],[U. Bruta Uni]]*Tabla4[[#This Row],[Cantidad]]</f>
        <v>#N/A</v>
      </c>
      <c r="T4197" s="369" t="str">
        <f>VLOOKUP(Tabla4[[#This Row],[Producto]],Tabla6[#All],14,FALSE)</f>
        <v>Termico Solar</v>
      </c>
      <c r="U4197" s="284" t="e">
        <f>(IF(Tabla4[[#This Row],[Familia]]="termico solar",Tabla4[[#This Row],[Utilidad Total]]*6%,Tabla4[[#This Row],[Utilidad Total]]*11.5%))/Tabla4[[#This Row],[Total]]</f>
        <v>#N/A</v>
      </c>
      <c r="V4197" s="282" t="e">
        <f>+Tabla4[[#This Row],[Comisión Calculada]]*Tabla4[[#This Row],[Total]]</f>
        <v>#N/A</v>
      </c>
    </row>
    <row r="4198" spans="1:22" hidden="1" x14ac:dyDescent="0.25">
      <c r="A4198" s="100">
        <v>45838</v>
      </c>
      <c r="B4198" t="str">
        <f t="shared" si="207"/>
        <v>June</v>
      </c>
      <c r="C4198" s="46" t="s">
        <v>280</v>
      </c>
      <c r="F4198" s="366" t="s">
        <v>2300</v>
      </c>
      <c r="G4198" s="46" t="s">
        <v>209</v>
      </c>
      <c r="H4198" s="46">
        <v>2</v>
      </c>
      <c r="I4198" s="51">
        <v>347.48</v>
      </c>
      <c r="J4198" s="281">
        <f>++Tabla4[[#This Row],[Precio Bruto]]*1.16</f>
        <v>403.07679999999999</v>
      </c>
      <c r="K4198" s="281">
        <f>+Tabla4[[#This Row],[Precio Unitario Neto]]*Tabla4[[#Headers],[20.85%]]</f>
        <v>84.041512799999992</v>
      </c>
      <c r="L4198" s="282">
        <f>++Tabla4[[#This Row],[Precio Unitario Neto]]-Tabla4[[#This Row],[20.85%]]</f>
        <v>319.03528719999997</v>
      </c>
      <c r="M4198" s="282" t="e">
        <f>(INDEX(Tabla6[#All],MATCH(Tabla4[[#This Row],[Producto]],Tabla6[[#All],[PRODUCTO]],0),MATCH(Tabla4[[#This Row],[Mes]],Tabla6[#Headers],0)))*(1+Catalogos!$L$2)</f>
        <v>#N/A</v>
      </c>
      <c r="N4198" s="283" t="e">
        <f>+(Tabla4[[#This Row],[Precio Descontado]]-Tabla4[[#This Row],[Precio Base]])*Tabla4[[#This Row],[Cantidad]]</f>
        <v>#N/A</v>
      </c>
      <c r="O4198" s="284" t="e">
        <f>++Tabla4[[#This Row],[Utilidad Total]]/Tabla4[[#This Row],[Total]]</f>
        <v>#N/A</v>
      </c>
      <c r="P4198" s="282">
        <f>++Tabla4[[#This Row],[Precio Descontado]]*Tabla4[[#This Row],[Cantidad]]</f>
        <v>638.07057439999994</v>
      </c>
      <c r="Q4198" s="282" t="e">
        <f>(INDEX(Tabla6[#All],MATCH(Tabla4[[#This Row],[Producto]],Tabla6[[#All],[PRODUCTO]],0),MATCH(Tabla4[[#This Row],[Mes]],Tabla6[#Headers],0)))</f>
        <v>#N/A</v>
      </c>
      <c r="R4198" s="282" t="e">
        <f>++Tabla4[[#This Row],[Precio Unitario Neto]]-Tabla4[[#This Row],[20.85%]]-Tabla4[[#This Row],[Costo]]</f>
        <v>#N/A</v>
      </c>
      <c r="S4198" s="282" t="e">
        <f>++Tabla4[[#This Row],[U. Bruta Uni]]*Tabla4[[#This Row],[Cantidad]]</f>
        <v>#N/A</v>
      </c>
      <c r="T4198" s="369" t="str">
        <f>VLOOKUP(Tabla4[[#This Row],[Producto]],Tabla6[#All],14,FALSE)</f>
        <v>Termico Solar</v>
      </c>
      <c r="U4198" s="284" t="e">
        <f>(IF(Tabla4[[#This Row],[Familia]]="termico solar",Tabla4[[#This Row],[Utilidad Total]]*6%,Tabla4[[#This Row],[Utilidad Total]]*11.5%))/Tabla4[[#This Row],[Total]]</f>
        <v>#N/A</v>
      </c>
      <c r="V4198" s="282" t="e">
        <f>+Tabla4[[#This Row],[Comisión Calculada]]*Tabla4[[#This Row],[Total]]</f>
        <v>#N/A</v>
      </c>
    </row>
    <row r="4199" spans="1:22" hidden="1" x14ac:dyDescent="0.25">
      <c r="A4199" s="100">
        <v>45838</v>
      </c>
      <c r="B4199" t="str">
        <f t="shared" si="207"/>
        <v>June</v>
      </c>
      <c r="C4199" s="46" t="s">
        <v>280</v>
      </c>
      <c r="F4199" s="366" t="s">
        <v>2301</v>
      </c>
      <c r="G4199" s="46" t="s">
        <v>19</v>
      </c>
      <c r="H4199" s="46">
        <v>1</v>
      </c>
      <c r="I4199" s="51">
        <v>6412.03</v>
      </c>
      <c r="J4199" s="281">
        <f>++Tabla4[[#This Row],[Precio Bruto]]*1.16</f>
        <v>7437.9547999999995</v>
      </c>
      <c r="K4199" s="281">
        <f>+Tabla4[[#This Row],[Precio Unitario Neto]]*Tabla4[[#Headers],[20.85%]]</f>
        <v>1550.8135757999999</v>
      </c>
      <c r="L4199" s="282">
        <f>++Tabla4[[#This Row],[Precio Unitario Neto]]-Tabla4[[#This Row],[20.85%]]</f>
        <v>5887.1412241999997</v>
      </c>
      <c r="M4199" s="282" t="e">
        <f>(INDEX(Tabla6[#All],MATCH(Tabla4[[#This Row],[Producto]],Tabla6[[#All],[PRODUCTO]],0),MATCH(Tabla4[[#This Row],[Mes]],Tabla6[#Headers],0)))*(1+Catalogos!$L$2)</f>
        <v>#N/A</v>
      </c>
      <c r="N4199" s="283" t="e">
        <f>+(Tabla4[[#This Row],[Precio Descontado]]-Tabla4[[#This Row],[Precio Base]])*Tabla4[[#This Row],[Cantidad]]</f>
        <v>#N/A</v>
      </c>
      <c r="O4199" s="284" t="e">
        <f>++Tabla4[[#This Row],[Utilidad Total]]/Tabla4[[#This Row],[Total]]</f>
        <v>#N/A</v>
      </c>
      <c r="P4199" s="282">
        <f>++Tabla4[[#This Row],[Precio Descontado]]*Tabla4[[#This Row],[Cantidad]]</f>
        <v>5887.1412241999997</v>
      </c>
      <c r="Q4199" s="282" t="e">
        <f>(INDEX(Tabla6[#All],MATCH(Tabla4[[#This Row],[Producto]],Tabla6[[#All],[PRODUCTO]],0),MATCH(Tabla4[[#This Row],[Mes]],Tabla6[#Headers],0)))</f>
        <v>#N/A</v>
      </c>
      <c r="R4199" s="282" t="e">
        <f>++Tabla4[[#This Row],[Precio Unitario Neto]]-Tabla4[[#This Row],[20.85%]]-Tabla4[[#This Row],[Costo]]</f>
        <v>#N/A</v>
      </c>
      <c r="S4199" s="282" t="e">
        <f>++Tabla4[[#This Row],[U. Bruta Uni]]*Tabla4[[#This Row],[Cantidad]]</f>
        <v>#N/A</v>
      </c>
      <c r="T4199" s="369" t="str">
        <f>VLOOKUP(Tabla4[[#This Row],[Producto]],Tabla6[#All],14,FALSE)</f>
        <v>Termico Solar</v>
      </c>
      <c r="U4199" s="284" t="e">
        <f>(IF(Tabla4[[#This Row],[Familia]]="termico solar",Tabla4[[#This Row],[Utilidad Total]]*6%,Tabla4[[#This Row],[Utilidad Total]]*11.5%))/Tabla4[[#This Row],[Total]]</f>
        <v>#N/A</v>
      </c>
      <c r="V4199" s="282" t="e">
        <f>+Tabla4[[#This Row],[Comisión Calculada]]*Tabla4[[#This Row],[Total]]</f>
        <v>#N/A</v>
      </c>
    </row>
    <row r="4200" spans="1:22" hidden="1" x14ac:dyDescent="0.25">
      <c r="A4200" s="100">
        <v>45838</v>
      </c>
      <c r="B4200" t="str">
        <f t="shared" si="207"/>
        <v>June</v>
      </c>
      <c r="C4200" s="46" t="s">
        <v>280</v>
      </c>
      <c r="F4200" s="366" t="s">
        <v>2301</v>
      </c>
      <c r="G4200" s="46" t="s">
        <v>16</v>
      </c>
      <c r="H4200" s="46">
        <v>3</v>
      </c>
      <c r="I4200" s="51">
        <v>4103.8499999999995</v>
      </c>
      <c r="J4200" s="281">
        <f>++Tabla4[[#This Row],[Precio Bruto]]*1.16</f>
        <v>4760.4659999999994</v>
      </c>
      <c r="K4200" s="281">
        <f>+Tabla4[[#This Row],[Precio Unitario Neto]]*Tabla4[[#Headers],[20.85%]]</f>
        <v>992.55716099999984</v>
      </c>
      <c r="L4200" s="282">
        <f>++Tabla4[[#This Row],[Precio Unitario Neto]]-Tabla4[[#This Row],[20.85%]]</f>
        <v>3767.9088389999997</v>
      </c>
      <c r="M4200" s="282" t="e">
        <f>(INDEX(Tabla6[#All],MATCH(Tabla4[[#This Row],[Producto]],Tabla6[[#All],[PRODUCTO]],0),MATCH(Tabla4[[#This Row],[Mes]],Tabla6[#Headers],0)))*(1+Catalogos!$L$2)</f>
        <v>#N/A</v>
      </c>
      <c r="N4200" s="283" t="e">
        <f>+(Tabla4[[#This Row],[Precio Descontado]]-Tabla4[[#This Row],[Precio Base]])*Tabla4[[#This Row],[Cantidad]]</f>
        <v>#N/A</v>
      </c>
      <c r="O4200" s="284" t="e">
        <f>++Tabla4[[#This Row],[Utilidad Total]]/Tabla4[[#This Row],[Total]]</f>
        <v>#N/A</v>
      </c>
      <c r="P4200" s="282">
        <f>++Tabla4[[#This Row],[Precio Descontado]]*Tabla4[[#This Row],[Cantidad]]</f>
        <v>11303.726516999999</v>
      </c>
      <c r="Q4200" s="282" t="e">
        <f>(INDEX(Tabla6[#All],MATCH(Tabla4[[#This Row],[Producto]],Tabla6[[#All],[PRODUCTO]],0),MATCH(Tabla4[[#This Row],[Mes]],Tabla6[#Headers],0)))</f>
        <v>#N/A</v>
      </c>
      <c r="R4200" s="282" t="e">
        <f>++Tabla4[[#This Row],[Precio Unitario Neto]]-Tabla4[[#This Row],[20.85%]]-Tabla4[[#This Row],[Costo]]</f>
        <v>#N/A</v>
      </c>
      <c r="S4200" s="282" t="e">
        <f>++Tabla4[[#This Row],[U. Bruta Uni]]*Tabla4[[#This Row],[Cantidad]]</f>
        <v>#N/A</v>
      </c>
      <c r="T4200" s="369" t="str">
        <f>VLOOKUP(Tabla4[[#This Row],[Producto]],Tabla6[#All],14,FALSE)</f>
        <v>Termico Solar</v>
      </c>
      <c r="U4200" s="284" t="e">
        <f>(IF(Tabla4[[#This Row],[Familia]]="termico solar",Tabla4[[#This Row],[Utilidad Total]]*6%,Tabla4[[#This Row],[Utilidad Total]]*11.5%))/Tabla4[[#This Row],[Total]]</f>
        <v>#N/A</v>
      </c>
      <c r="V4200" s="282" t="e">
        <f>+Tabla4[[#This Row],[Comisión Calculada]]*Tabla4[[#This Row],[Total]]</f>
        <v>#N/A</v>
      </c>
    </row>
    <row r="4201" spans="1:22" hidden="1" x14ac:dyDescent="0.25">
      <c r="A4201" s="100">
        <v>45838</v>
      </c>
      <c r="B4201" t="str">
        <f t="shared" si="207"/>
        <v>June</v>
      </c>
      <c r="C4201" s="46" t="s">
        <v>280</v>
      </c>
      <c r="F4201" s="366" t="s">
        <v>2302</v>
      </c>
      <c r="G4201" s="46" t="s">
        <v>17</v>
      </c>
      <c r="H4201" s="46">
        <v>2</v>
      </c>
      <c r="I4201" s="51">
        <v>4622.28</v>
      </c>
      <c r="J4201" s="281">
        <f>++Tabla4[[#This Row],[Precio Bruto]]*1.16</f>
        <v>5361.8447999999989</v>
      </c>
      <c r="K4201" s="281">
        <f>+Tabla4[[#This Row],[Precio Unitario Neto]]*Tabla4[[#Headers],[20.85%]]</f>
        <v>1117.9446407999997</v>
      </c>
      <c r="L4201" s="282">
        <f>++Tabla4[[#This Row],[Precio Unitario Neto]]-Tabla4[[#This Row],[20.85%]]</f>
        <v>4243.9001591999995</v>
      </c>
      <c r="M4201" s="282" t="e">
        <f>(INDEX(Tabla6[#All],MATCH(Tabla4[[#This Row],[Producto]],Tabla6[[#All],[PRODUCTO]],0),MATCH(Tabla4[[#This Row],[Mes]],Tabla6[#Headers],0)))*(1+Catalogos!$L$2)</f>
        <v>#N/A</v>
      </c>
      <c r="N4201" s="283" t="e">
        <f>+(Tabla4[[#This Row],[Precio Descontado]]-Tabla4[[#This Row],[Precio Base]])*Tabla4[[#This Row],[Cantidad]]</f>
        <v>#N/A</v>
      </c>
      <c r="O4201" s="284" t="e">
        <f>++Tabla4[[#This Row],[Utilidad Total]]/Tabla4[[#This Row],[Total]]</f>
        <v>#N/A</v>
      </c>
      <c r="P4201" s="282">
        <f>++Tabla4[[#This Row],[Precio Descontado]]*Tabla4[[#This Row],[Cantidad]]</f>
        <v>8487.800318399999</v>
      </c>
      <c r="Q4201" s="282" t="e">
        <f>(INDEX(Tabla6[#All],MATCH(Tabla4[[#This Row],[Producto]],Tabla6[[#All],[PRODUCTO]],0),MATCH(Tabla4[[#This Row],[Mes]],Tabla6[#Headers],0)))</f>
        <v>#N/A</v>
      </c>
      <c r="R4201" s="282" t="e">
        <f>++Tabla4[[#This Row],[Precio Unitario Neto]]-Tabla4[[#This Row],[20.85%]]-Tabla4[[#This Row],[Costo]]</f>
        <v>#N/A</v>
      </c>
      <c r="S4201" s="282" t="e">
        <f>++Tabla4[[#This Row],[U. Bruta Uni]]*Tabla4[[#This Row],[Cantidad]]</f>
        <v>#N/A</v>
      </c>
      <c r="T4201" s="369" t="str">
        <f>VLOOKUP(Tabla4[[#This Row],[Producto]],Tabla6[#All],14,FALSE)</f>
        <v>Termico Solar</v>
      </c>
      <c r="U4201" s="284" t="e">
        <f>(IF(Tabla4[[#This Row],[Familia]]="termico solar",Tabla4[[#This Row],[Utilidad Total]]*6%,Tabla4[[#This Row],[Utilidad Total]]*11.5%))/Tabla4[[#This Row],[Total]]</f>
        <v>#N/A</v>
      </c>
      <c r="V4201" s="282" t="e">
        <f>+Tabla4[[#This Row],[Comisión Calculada]]*Tabla4[[#This Row],[Total]]</f>
        <v>#N/A</v>
      </c>
    </row>
    <row r="4202" spans="1:22" hidden="1" x14ac:dyDescent="0.25">
      <c r="A4202" s="100">
        <v>45838</v>
      </c>
      <c r="B4202" t="str">
        <f t="shared" si="207"/>
        <v>June</v>
      </c>
      <c r="C4202" s="46" t="s">
        <v>280</v>
      </c>
      <c r="F4202" s="366" t="s">
        <v>2302</v>
      </c>
      <c r="G4202" s="46" t="s">
        <v>18</v>
      </c>
      <c r="H4202" s="46">
        <v>1</v>
      </c>
      <c r="I4202" s="51">
        <v>5367.65</v>
      </c>
      <c r="J4202" s="281">
        <f>++Tabla4[[#This Row],[Precio Bruto]]*1.16</f>
        <v>6226.4739999999993</v>
      </c>
      <c r="K4202" s="281">
        <f>+Tabla4[[#This Row],[Precio Unitario Neto]]*Tabla4[[#Headers],[20.85%]]</f>
        <v>1298.2198289999999</v>
      </c>
      <c r="L4202" s="282">
        <f>++Tabla4[[#This Row],[Precio Unitario Neto]]-Tabla4[[#This Row],[20.85%]]</f>
        <v>4928.2541709999996</v>
      </c>
      <c r="M4202" s="282" t="e">
        <f>(INDEX(Tabla6[#All],MATCH(Tabla4[[#This Row],[Producto]],Tabla6[[#All],[PRODUCTO]],0),MATCH(Tabla4[[#This Row],[Mes]],Tabla6[#Headers],0)))*(1+Catalogos!$L$2)</f>
        <v>#N/A</v>
      </c>
      <c r="N4202" s="283" t="e">
        <f>+(Tabla4[[#This Row],[Precio Descontado]]-Tabla4[[#This Row],[Precio Base]])*Tabla4[[#This Row],[Cantidad]]</f>
        <v>#N/A</v>
      </c>
      <c r="O4202" s="284" t="e">
        <f>++Tabla4[[#This Row],[Utilidad Total]]/Tabla4[[#This Row],[Total]]</f>
        <v>#N/A</v>
      </c>
      <c r="P4202" s="282">
        <f>++Tabla4[[#This Row],[Precio Descontado]]*Tabla4[[#This Row],[Cantidad]]</f>
        <v>4928.2541709999996</v>
      </c>
      <c r="Q4202" s="282" t="e">
        <f>(INDEX(Tabla6[#All],MATCH(Tabla4[[#This Row],[Producto]],Tabla6[[#All],[PRODUCTO]],0),MATCH(Tabla4[[#This Row],[Mes]],Tabla6[#Headers],0)))</f>
        <v>#N/A</v>
      </c>
      <c r="R4202" s="282" t="e">
        <f>++Tabla4[[#This Row],[Precio Unitario Neto]]-Tabla4[[#This Row],[20.85%]]-Tabla4[[#This Row],[Costo]]</f>
        <v>#N/A</v>
      </c>
      <c r="S4202" s="282" t="e">
        <f>++Tabla4[[#This Row],[U. Bruta Uni]]*Tabla4[[#This Row],[Cantidad]]</f>
        <v>#N/A</v>
      </c>
      <c r="T4202" s="369" t="str">
        <f>VLOOKUP(Tabla4[[#This Row],[Producto]],Tabla6[#All],14,FALSE)</f>
        <v>Termico Solar</v>
      </c>
      <c r="U4202" s="284" t="e">
        <f>(IF(Tabla4[[#This Row],[Familia]]="termico solar",Tabla4[[#This Row],[Utilidad Total]]*6%,Tabla4[[#This Row],[Utilidad Total]]*11.5%))/Tabla4[[#This Row],[Total]]</f>
        <v>#N/A</v>
      </c>
      <c r="V4202" s="282" t="e">
        <f>+Tabla4[[#This Row],[Comisión Calculada]]*Tabla4[[#This Row],[Total]]</f>
        <v>#N/A</v>
      </c>
    </row>
    <row r="4203" spans="1:22" hidden="1" x14ac:dyDescent="0.25">
      <c r="A4203" s="100">
        <v>45838</v>
      </c>
      <c r="B4203" t="str">
        <f t="shared" ref="B4203:B4210" si="208">TEXT(A4203, "mmmm")</f>
        <v>June</v>
      </c>
      <c r="C4203" s="46" t="s">
        <v>280</v>
      </c>
      <c r="F4203" s="366" t="s">
        <v>2303</v>
      </c>
      <c r="G4203" s="46" t="s">
        <v>83</v>
      </c>
      <c r="H4203" s="46">
        <v>2</v>
      </c>
      <c r="I4203" s="51">
        <v>8858.76</v>
      </c>
      <c r="J4203" s="281">
        <f>++Tabla4[[#This Row],[Precio Bruto]]*1.16</f>
        <v>10276.161599999999</v>
      </c>
      <c r="K4203" s="281">
        <f>+Tabla4[[#This Row],[Precio Unitario Neto]]*Tabla4[[#Headers],[20.85%]]</f>
        <v>2142.5796935999997</v>
      </c>
      <c r="L4203" s="282">
        <f>++Tabla4[[#This Row],[Precio Unitario Neto]]-Tabla4[[#This Row],[20.85%]]</f>
        <v>8133.5819063999998</v>
      </c>
      <c r="M4203" s="282" t="e">
        <f>(INDEX(Tabla6[#All],MATCH(Tabla4[[#This Row],[Producto]],Tabla6[[#All],[PRODUCTO]],0),MATCH(Tabla4[[#This Row],[Mes]],Tabla6[#Headers],0)))*(1+Catalogos!$L$2)</f>
        <v>#N/A</v>
      </c>
      <c r="N4203" s="283" t="e">
        <f>+(Tabla4[[#This Row],[Precio Descontado]]-Tabla4[[#This Row],[Precio Base]])*Tabla4[[#This Row],[Cantidad]]</f>
        <v>#N/A</v>
      </c>
      <c r="O4203" s="284" t="e">
        <f>++Tabla4[[#This Row],[Utilidad Total]]/Tabla4[[#This Row],[Total]]</f>
        <v>#N/A</v>
      </c>
      <c r="P4203" s="282">
        <f>++Tabla4[[#This Row],[Precio Descontado]]*Tabla4[[#This Row],[Cantidad]]</f>
        <v>16267.1638128</v>
      </c>
      <c r="Q4203" s="282" t="e">
        <f>(INDEX(Tabla6[#All],MATCH(Tabla4[[#This Row],[Producto]],Tabla6[[#All],[PRODUCTO]],0),MATCH(Tabla4[[#This Row],[Mes]],Tabla6[#Headers],0)))</f>
        <v>#N/A</v>
      </c>
      <c r="R4203" s="282" t="e">
        <f>++Tabla4[[#This Row],[Precio Unitario Neto]]-Tabla4[[#This Row],[20.85%]]-Tabla4[[#This Row],[Costo]]</f>
        <v>#N/A</v>
      </c>
      <c r="S4203" s="282" t="e">
        <f>++Tabla4[[#This Row],[U. Bruta Uni]]*Tabla4[[#This Row],[Cantidad]]</f>
        <v>#N/A</v>
      </c>
      <c r="T4203" s="369" t="str">
        <f>VLOOKUP(Tabla4[[#This Row],[Producto]],Tabla6[#All],14,FALSE)</f>
        <v>Termico Solar</v>
      </c>
      <c r="U4203" s="284" t="e">
        <f>(IF(Tabla4[[#This Row],[Familia]]="termico solar",Tabla4[[#This Row],[Utilidad Total]]*6%,Tabla4[[#This Row],[Utilidad Total]]*11.5%))/Tabla4[[#This Row],[Total]]</f>
        <v>#N/A</v>
      </c>
      <c r="V4203" s="282" t="e">
        <f>+Tabla4[[#This Row],[Comisión Calculada]]*Tabla4[[#This Row],[Total]]</f>
        <v>#N/A</v>
      </c>
    </row>
    <row r="4204" spans="1:22" hidden="1" x14ac:dyDescent="0.25">
      <c r="A4204" s="100">
        <v>45838</v>
      </c>
      <c r="B4204" t="str">
        <f t="shared" si="208"/>
        <v>June</v>
      </c>
      <c r="C4204" s="46" t="s">
        <v>280</v>
      </c>
      <c r="F4204" s="366" t="s">
        <v>2303</v>
      </c>
      <c r="G4204" s="46" t="s">
        <v>17</v>
      </c>
      <c r="H4204" s="46">
        <v>7</v>
      </c>
      <c r="I4204" s="51">
        <v>4622.28</v>
      </c>
      <c r="J4204" s="281">
        <f>++Tabla4[[#This Row],[Precio Bruto]]*1.16</f>
        <v>5361.8447999999989</v>
      </c>
      <c r="K4204" s="281">
        <f>+Tabla4[[#This Row],[Precio Unitario Neto]]*Tabla4[[#Headers],[20.85%]]</f>
        <v>1117.9446407999997</v>
      </c>
      <c r="L4204" s="282">
        <f>++Tabla4[[#This Row],[Precio Unitario Neto]]-Tabla4[[#This Row],[20.85%]]</f>
        <v>4243.9001591999995</v>
      </c>
      <c r="M4204" s="282" t="e">
        <f>(INDEX(Tabla6[#All],MATCH(Tabla4[[#This Row],[Producto]],Tabla6[[#All],[PRODUCTO]],0),MATCH(Tabla4[[#This Row],[Mes]],Tabla6[#Headers],0)))*(1+Catalogos!$L$2)</f>
        <v>#N/A</v>
      </c>
      <c r="N4204" s="283" t="e">
        <f>+(Tabla4[[#This Row],[Precio Descontado]]-Tabla4[[#This Row],[Precio Base]])*Tabla4[[#This Row],[Cantidad]]</f>
        <v>#N/A</v>
      </c>
      <c r="O4204" s="284" t="e">
        <f>++Tabla4[[#This Row],[Utilidad Total]]/Tabla4[[#This Row],[Total]]</f>
        <v>#N/A</v>
      </c>
      <c r="P4204" s="282">
        <f>++Tabla4[[#This Row],[Precio Descontado]]*Tabla4[[#This Row],[Cantidad]]</f>
        <v>29707.301114399997</v>
      </c>
      <c r="Q4204" s="282" t="e">
        <f>(INDEX(Tabla6[#All],MATCH(Tabla4[[#This Row],[Producto]],Tabla6[[#All],[PRODUCTO]],0),MATCH(Tabla4[[#This Row],[Mes]],Tabla6[#Headers],0)))</f>
        <v>#N/A</v>
      </c>
      <c r="R4204" s="282" t="e">
        <f>++Tabla4[[#This Row],[Precio Unitario Neto]]-Tabla4[[#This Row],[20.85%]]-Tabla4[[#This Row],[Costo]]</f>
        <v>#N/A</v>
      </c>
      <c r="S4204" s="282" t="e">
        <f>++Tabla4[[#This Row],[U. Bruta Uni]]*Tabla4[[#This Row],[Cantidad]]</f>
        <v>#N/A</v>
      </c>
      <c r="T4204" s="369" t="str">
        <f>VLOOKUP(Tabla4[[#This Row],[Producto]],Tabla6[#All],14,FALSE)</f>
        <v>Termico Solar</v>
      </c>
      <c r="U4204" s="284" t="e">
        <f>(IF(Tabla4[[#This Row],[Familia]]="termico solar",Tabla4[[#This Row],[Utilidad Total]]*6%,Tabla4[[#This Row],[Utilidad Total]]*11.5%))/Tabla4[[#This Row],[Total]]</f>
        <v>#N/A</v>
      </c>
      <c r="V4204" s="282" t="e">
        <f>+Tabla4[[#This Row],[Comisión Calculada]]*Tabla4[[#This Row],[Total]]</f>
        <v>#N/A</v>
      </c>
    </row>
    <row r="4205" spans="1:22" hidden="1" x14ac:dyDescent="0.25">
      <c r="A4205" s="100">
        <v>45838</v>
      </c>
      <c r="B4205" t="str">
        <f t="shared" si="208"/>
        <v>June</v>
      </c>
      <c r="C4205" s="46" t="s">
        <v>280</v>
      </c>
      <c r="F4205" s="366" t="s">
        <v>2303</v>
      </c>
      <c r="G4205" s="46" t="s">
        <v>18</v>
      </c>
      <c r="H4205" s="46">
        <v>1</v>
      </c>
      <c r="I4205" s="51">
        <v>5367.65</v>
      </c>
      <c r="J4205" s="281">
        <f>++Tabla4[[#This Row],[Precio Bruto]]*1.16</f>
        <v>6226.4739999999993</v>
      </c>
      <c r="K4205" s="281">
        <f>+Tabla4[[#This Row],[Precio Unitario Neto]]*Tabla4[[#Headers],[20.85%]]</f>
        <v>1298.2198289999999</v>
      </c>
      <c r="L4205" s="282">
        <f>++Tabla4[[#This Row],[Precio Unitario Neto]]-Tabla4[[#This Row],[20.85%]]</f>
        <v>4928.2541709999996</v>
      </c>
      <c r="M4205" s="282" t="e">
        <f>(INDEX(Tabla6[#All],MATCH(Tabla4[[#This Row],[Producto]],Tabla6[[#All],[PRODUCTO]],0),MATCH(Tabla4[[#This Row],[Mes]],Tabla6[#Headers],0)))*(1+Catalogos!$L$2)</f>
        <v>#N/A</v>
      </c>
      <c r="N4205" s="283" t="e">
        <f>+(Tabla4[[#This Row],[Precio Descontado]]-Tabla4[[#This Row],[Precio Base]])*Tabla4[[#This Row],[Cantidad]]</f>
        <v>#N/A</v>
      </c>
      <c r="O4205" s="284" t="e">
        <f>++Tabla4[[#This Row],[Utilidad Total]]/Tabla4[[#This Row],[Total]]</f>
        <v>#N/A</v>
      </c>
      <c r="P4205" s="282">
        <f>++Tabla4[[#This Row],[Precio Descontado]]*Tabla4[[#This Row],[Cantidad]]</f>
        <v>4928.2541709999996</v>
      </c>
      <c r="Q4205" s="282" t="e">
        <f>(INDEX(Tabla6[#All],MATCH(Tabla4[[#This Row],[Producto]],Tabla6[[#All],[PRODUCTO]],0),MATCH(Tabla4[[#This Row],[Mes]],Tabla6[#Headers],0)))</f>
        <v>#N/A</v>
      </c>
      <c r="R4205" s="282" t="e">
        <f>++Tabla4[[#This Row],[Precio Unitario Neto]]-Tabla4[[#This Row],[20.85%]]-Tabla4[[#This Row],[Costo]]</f>
        <v>#N/A</v>
      </c>
      <c r="S4205" s="282" t="e">
        <f>++Tabla4[[#This Row],[U. Bruta Uni]]*Tabla4[[#This Row],[Cantidad]]</f>
        <v>#N/A</v>
      </c>
      <c r="T4205" s="369" t="str">
        <f>VLOOKUP(Tabla4[[#This Row],[Producto]],Tabla6[#All],14,FALSE)</f>
        <v>Termico Solar</v>
      </c>
      <c r="U4205" s="284" t="e">
        <f>(IF(Tabla4[[#This Row],[Familia]]="termico solar",Tabla4[[#This Row],[Utilidad Total]]*6%,Tabla4[[#This Row],[Utilidad Total]]*11.5%))/Tabla4[[#This Row],[Total]]</f>
        <v>#N/A</v>
      </c>
      <c r="V4205" s="282" t="e">
        <f>+Tabla4[[#This Row],[Comisión Calculada]]*Tabla4[[#This Row],[Total]]</f>
        <v>#N/A</v>
      </c>
    </row>
    <row r="4206" spans="1:22" hidden="1" x14ac:dyDescent="0.25">
      <c r="A4206" s="100">
        <v>45838</v>
      </c>
      <c r="B4206" t="str">
        <f t="shared" si="208"/>
        <v>June</v>
      </c>
      <c r="C4206" s="46" t="s">
        <v>280</v>
      </c>
      <c r="F4206" s="366" t="s">
        <v>2303</v>
      </c>
      <c r="G4206" s="46" t="s">
        <v>566</v>
      </c>
      <c r="H4206" s="46">
        <v>1</v>
      </c>
      <c r="I4206" s="51">
        <v>2109.4499999999998</v>
      </c>
      <c r="J4206" s="281">
        <f>++Tabla4[[#This Row],[Precio Bruto]]*1.16</f>
        <v>2446.9619999999995</v>
      </c>
      <c r="K4206" s="281">
        <f>+Tabla4[[#This Row],[Precio Unitario Neto]]*Tabla4[[#Headers],[20.85%]]</f>
        <v>510.19157699999988</v>
      </c>
      <c r="L4206" s="282">
        <f>++Tabla4[[#This Row],[Precio Unitario Neto]]-Tabla4[[#This Row],[20.85%]]</f>
        <v>1936.7704229999997</v>
      </c>
      <c r="M4206" s="282" t="e">
        <f>(INDEX(Tabla6[#All],MATCH(Tabla4[[#This Row],[Producto]],Tabla6[[#All],[PRODUCTO]],0),MATCH(Tabla4[[#This Row],[Mes]],Tabla6[#Headers],0)))*(1+Catalogos!$L$2)</f>
        <v>#N/A</v>
      </c>
      <c r="N4206" s="283" t="e">
        <f>+(Tabla4[[#This Row],[Precio Descontado]]-Tabla4[[#This Row],[Precio Base]])*Tabla4[[#This Row],[Cantidad]]</f>
        <v>#N/A</v>
      </c>
      <c r="O4206" s="284" t="e">
        <f>++Tabla4[[#This Row],[Utilidad Total]]/Tabla4[[#This Row],[Total]]</f>
        <v>#N/A</v>
      </c>
      <c r="P4206" s="282">
        <f>++Tabla4[[#This Row],[Precio Descontado]]*Tabla4[[#This Row],[Cantidad]]</f>
        <v>1936.7704229999997</v>
      </c>
      <c r="Q4206" s="282" t="e">
        <f>(INDEX(Tabla6[#All],MATCH(Tabla4[[#This Row],[Producto]],Tabla6[[#All],[PRODUCTO]],0),MATCH(Tabla4[[#This Row],[Mes]],Tabla6[#Headers],0)))</f>
        <v>#N/A</v>
      </c>
      <c r="R4206" s="282" t="e">
        <f>++Tabla4[[#This Row],[Precio Unitario Neto]]-Tabla4[[#This Row],[20.85%]]-Tabla4[[#This Row],[Costo]]</f>
        <v>#N/A</v>
      </c>
      <c r="S4206" s="282" t="e">
        <f>++Tabla4[[#This Row],[U. Bruta Uni]]*Tabla4[[#This Row],[Cantidad]]</f>
        <v>#N/A</v>
      </c>
      <c r="T4206" s="369" t="str">
        <f>VLOOKUP(Tabla4[[#This Row],[Producto]],Tabla6[#All],14,FALSE)</f>
        <v>Termico Solar</v>
      </c>
      <c r="U4206" s="284" t="e">
        <f>(IF(Tabla4[[#This Row],[Familia]]="termico solar",Tabla4[[#This Row],[Utilidad Total]]*6%,Tabla4[[#This Row],[Utilidad Total]]*11.5%))/Tabla4[[#This Row],[Total]]</f>
        <v>#N/A</v>
      </c>
      <c r="V4206" s="282" t="e">
        <f>+Tabla4[[#This Row],[Comisión Calculada]]*Tabla4[[#This Row],[Total]]</f>
        <v>#N/A</v>
      </c>
    </row>
    <row r="4207" spans="1:22" hidden="1" x14ac:dyDescent="0.25">
      <c r="A4207" s="100">
        <v>45838</v>
      </c>
      <c r="B4207" t="str">
        <f t="shared" si="208"/>
        <v>June</v>
      </c>
      <c r="C4207" s="46" t="s">
        <v>280</v>
      </c>
      <c r="F4207" s="366" t="s">
        <v>2303</v>
      </c>
      <c r="G4207" s="46" t="s">
        <v>16</v>
      </c>
      <c r="H4207" s="46">
        <v>2</v>
      </c>
      <c r="I4207" s="51">
        <v>4103.8500000000004</v>
      </c>
      <c r="J4207" s="281">
        <f>++Tabla4[[#This Row],[Precio Bruto]]*1.16</f>
        <v>4760.4660000000003</v>
      </c>
      <c r="K4207" s="281">
        <f>+Tabla4[[#This Row],[Precio Unitario Neto]]*Tabla4[[#Headers],[20.85%]]</f>
        <v>992.55716100000006</v>
      </c>
      <c r="L4207" s="282">
        <f>++Tabla4[[#This Row],[Precio Unitario Neto]]-Tabla4[[#This Row],[20.85%]]</f>
        <v>3767.9088390000002</v>
      </c>
      <c r="M4207" s="282" t="e">
        <f>(INDEX(Tabla6[#All],MATCH(Tabla4[[#This Row],[Producto]],Tabla6[[#All],[PRODUCTO]],0),MATCH(Tabla4[[#This Row],[Mes]],Tabla6[#Headers],0)))*(1+Catalogos!$L$2)</f>
        <v>#N/A</v>
      </c>
      <c r="N4207" s="283" t="e">
        <f>+(Tabla4[[#This Row],[Precio Descontado]]-Tabla4[[#This Row],[Precio Base]])*Tabla4[[#This Row],[Cantidad]]</f>
        <v>#N/A</v>
      </c>
      <c r="O4207" s="284" t="e">
        <f>++Tabla4[[#This Row],[Utilidad Total]]/Tabla4[[#This Row],[Total]]</f>
        <v>#N/A</v>
      </c>
      <c r="P4207" s="282">
        <f>++Tabla4[[#This Row],[Precio Descontado]]*Tabla4[[#This Row],[Cantidad]]</f>
        <v>7535.8176780000003</v>
      </c>
      <c r="Q4207" s="282" t="e">
        <f>(INDEX(Tabla6[#All],MATCH(Tabla4[[#This Row],[Producto]],Tabla6[[#All],[PRODUCTO]],0),MATCH(Tabla4[[#This Row],[Mes]],Tabla6[#Headers],0)))</f>
        <v>#N/A</v>
      </c>
      <c r="R4207" s="282" t="e">
        <f>++Tabla4[[#This Row],[Precio Unitario Neto]]-Tabla4[[#This Row],[20.85%]]-Tabla4[[#This Row],[Costo]]</f>
        <v>#N/A</v>
      </c>
      <c r="S4207" s="282" t="e">
        <f>++Tabla4[[#This Row],[U. Bruta Uni]]*Tabla4[[#This Row],[Cantidad]]</f>
        <v>#N/A</v>
      </c>
      <c r="T4207" s="369" t="str">
        <f>VLOOKUP(Tabla4[[#This Row],[Producto]],Tabla6[#All],14,FALSE)</f>
        <v>Termico Solar</v>
      </c>
      <c r="U4207" s="284" t="e">
        <f>(IF(Tabla4[[#This Row],[Familia]]="termico solar",Tabla4[[#This Row],[Utilidad Total]]*6%,Tabla4[[#This Row],[Utilidad Total]]*11.5%))/Tabla4[[#This Row],[Total]]</f>
        <v>#N/A</v>
      </c>
      <c r="V4207" s="282" t="e">
        <f>+Tabla4[[#This Row],[Comisión Calculada]]*Tabla4[[#This Row],[Total]]</f>
        <v>#N/A</v>
      </c>
    </row>
    <row r="4208" spans="1:22" hidden="1" x14ac:dyDescent="0.25">
      <c r="A4208" s="100">
        <v>45838</v>
      </c>
      <c r="B4208" t="str">
        <f t="shared" si="208"/>
        <v>June</v>
      </c>
      <c r="C4208" s="46" t="s">
        <v>280</v>
      </c>
      <c r="F4208" s="366" t="s">
        <v>2303</v>
      </c>
      <c r="G4208" s="46" t="s">
        <v>200</v>
      </c>
      <c r="H4208" s="46">
        <v>12</v>
      </c>
      <c r="I4208" s="51">
        <v>393.22</v>
      </c>
      <c r="J4208" s="281">
        <f>++Tabla4[[#This Row],[Precio Bruto]]*1.16</f>
        <v>456.1352</v>
      </c>
      <c r="K4208" s="281">
        <f>+Tabla4[[#This Row],[Precio Unitario Neto]]*Tabla4[[#Headers],[20.85%]]</f>
        <v>95.104189199999993</v>
      </c>
      <c r="L4208" s="282">
        <f>++Tabla4[[#This Row],[Precio Unitario Neto]]-Tabla4[[#This Row],[20.85%]]</f>
        <v>361.03101079999999</v>
      </c>
      <c r="M4208" s="282" t="e">
        <f>(INDEX(Tabla6[#All],MATCH(Tabla4[[#This Row],[Producto]],Tabla6[[#All],[PRODUCTO]],0),MATCH(Tabla4[[#This Row],[Mes]],Tabla6[#Headers],0)))*(1+Catalogos!$L$2)</f>
        <v>#N/A</v>
      </c>
      <c r="N4208" s="283" t="e">
        <f>+(Tabla4[[#This Row],[Precio Descontado]]-Tabla4[[#This Row],[Precio Base]])*Tabla4[[#This Row],[Cantidad]]</f>
        <v>#N/A</v>
      </c>
      <c r="O4208" s="284" t="e">
        <f>++Tabla4[[#This Row],[Utilidad Total]]/Tabla4[[#This Row],[Total]]</f>
        <v>#N/A</v>
      </c>
      <c r="P4208" s="282">
        <f>++Tabla4[[#This Row],[Precio Descontado]]*Tabla4[[#This Row],[Cantidad]]</f>
        <v>4332.3721296000003</v>
      </c>
      <c r="Q4208" s="282" t="e">
        <f>(INDEX(Tabla6[#All],MATCH(Tabla4[[#This Row],[Producto]],Tabla6[[#All],[PRODUCTO]],0),MATCH(Tabla4[[#This Row],[Mes]],Tabla6[#Headers],0)))</f>
        <v>#N/A</v>
      </c>
      <c r="R4208" s="282" t="e">
        <f>++Tabla4[[#This Row],[Precio Unitario Neto]]-Tabla4[[#This Row],[20.85%]]-Tabla4[[#This Row],[Costo]]</f>
        <v>#N/A</v>
      </c>
      <c r="S4208" s="282" t="e">
        <f>++Tabla4[[#This Row],[U. Bruta Uni]]*Tabla4[[#This Row],[Cantidad]]</f>
        <v>#N/A</v>
      </c>
      <c r="T4208" s="369" t="str">
        <f>VLOOKUP(Tabla4[[#This Row],[Producto]],Tabla6[#All],14,FALSE)</f>
        <v>Termico Solar</v>
      </c>
      <c r="U4208" s="284" t="e">
        <f>(IF(Tabla4[[#This Row],[Familia]]="termico solar",Tabla4[[#This Row],[Utilidad Total]]*6%,Tabla4[[#This Row],[Utilidad Total]]*11.5%))/Tabla4[[#This Row],[Total]]</f>
        <v>#N/A</v>
      </c>
      <c r="V4208" s="282" t="e">
        <f>+Tabla4[[#This Row],[Comisión Calculada]]*Tabla4[[#This Row],[Total]]</f>
        <v>#N/A</v>
      </c>
    </row>
    <row r="4209" spans="1:22" hidden="1" x14ac:dyDescent="0.25">
      <c r="A4209" s="100">
        <v>45838</v>
      </c>
      <c r="B4209" t="str">
        <f t="shared" si="208"/>
        <v>June</v>
      </c>
      <c r="C4209" s="46" t="s">
        <v>280</v>
      </c>
      <c r="F4209" s="366" t="s">
        <v>2303</v>
      </c>
      <c r="G4209" s="46" t="s">
        <v>545</v>
      </c>
      <c r="H4209" s="46">
        <v>24</v>
      </c>
      <c r="I4209" s="51">
        <v>304.32</v>
      </c>
      <c r="J4209" s="281">
        <f>++Tabla4[[#This Row],[Precio Bruto]]*1.16</f>
        <v>353.01119999999997</v>
      </c>
      <c r="K4209" s="281">
        <f>+Tabla4[[#This Row],[Precio Unitario Neto]]*Tabla4[[#Headers],[20.85%]]</f>
        <v>73.602835199999987</v>
      </c>
      <c r="L4209" s="282">
        <f>++Tabla4[[#This Row],[Precio Unitario Neto]]-Tabla4[[#This Row],[20.85%]]</f>
        <v>279.40836479999996</v>
      </c>
      <c r="M4209" s="282" t="e">
        <f>(INDEX(Tabla6[#All],MATCH(Tabla4[[#This Row],[Producto]],Tabla6[[#All],[PRODUCTO]],0),MATCH(Tabla4[[#This Row],[Mes]],Tabla6[#Headers],0)))*(1+Catalogos!$L$2)</f>
        <v>#N/A</v>
      </c>
      <c r="N4209" s="283" t="e">
        <f>+(Tabla4[[#This Row],[Precio Descontado]]-Tabla4[[#This Row],[Precio Base]])*Tabla4[[#This Row],[Cantidad]]</f>
        <v>#N/A</v>
      </c>
      <c r="O4209" s="284" t="e">
        <f>++Tabla4[[#This Row],[Utilidad Total]]/Tabla4[[#This Row],[Total]]</f>
        <v>#N/A</v>
      </c>
      <c r="P4209" s="282">
        <f>++Tabla4[[#This Row],[Precio Descontado]]*Tabla4[[#This Row],[Cantidad]]</f>
        <v>6705.800755199999</v>
      </c>
      <c r="Q4209" s="282" t="e">
        <f>(INDEX(Tabla6[#All],MATCH(Tabla4[[#This Row],[Producto]],Tabla6[[#All],[PRODUCTO]],0),MATCH(Tabla4[[#This Row],[Mes]],Tabla6[#Headers],0)))</f>
        <v>#N/A</v>
      </c>
      <c r="R4209" s="282" t="e">
        <f>++Tabla4[[#This Row],[Precio Unitario Neto]]-Tabla4[[#This Row],[20.85%]]-Tabla4[[#This Row],[Costo]]</f>
        <v>#N/A</v>
      </c>
      <c r="S4209" s="282" t="e">
        <f>++Tabla4[[#This Row],[U. Bruta Uni]]*Tabla4[[#This Row],[Cantidad]]</f>
        <v>#N/A</v>
      </c>
      <c r="T4209" s="369" t="str">
        <f>VLOOKUP(Tabla4[[#This Row],[Producto]],Tabla6[#All],14,FALSE)</f>
        <v>Termico Solar</v>
      </c>
      <c r="U4209" s="284" t="e">
        <f>(IF(Tabla4[[#This Row],[Familia]]="termico solar",Tabla4[[#This Row],[Utilidad Total]]*6%,Tabla4[[#This Row],[Utilidad Total]]*11.5%))/Tabla4[[#This Row],[Total]]</f>
        <v>#N/A</v>
      </c>
      <c r="V4209" s="282" t="e">
        <f>+Tabla4[[#This Row],[Comisión Calculada]]*Tabla4[[#This Row],[Total]]</f>
        <v>#N/A</v>
      </c>
    </row>
    <row r="4210" spans="1:22" hidden="1" x14ac:dyDescent="0.25">
      <c r="A4210" s="100">
        <v>45838</v>
      </c>
      <c r="B4210" t="str">
        <f t="shared" si="208"/>
        <v>June</v>
      </c>
      <c r="C4210" s="46" t="s">
        <v>280</v>
      </c>
      <c r="F4210" s="366" t="s">
        <v>2303</v>
      </c>
      <c r="G4210" s="46" t="s">
        <v>209</v>
      </c>
      <c r="H4210" s="46">
        <v>2</v>
      </c>
      <c r="I4210" s="51">
        <v>347.48</v>
      </c>
      <c r="J4210" s="281">
        <f>++Tabla4[[#This Row],[Precio Bruto]]*1.16</f>
        <v>403.07679999999999</v>
      </c>
      <c r="K4210" s="281">
        <f>+Tabla4[[#This Row],[Precio Unitario Neto]]*Tabla4[[#Headers],[20.85%]]</f>
        <v>84.041512799999992</v>
      </c>
      <c r="L4210" s="282">
        <f>++Tabla4[[#This Row],[Precio Unitario Neto]]-Tabla4[[#This Row],[20.85%]]</f>
        <v>319.03528719999997</v>
      </c>
      <c r="M4210" s="282" t="e">
        <f>(INDEX(Tabla6[#All],MATCH(Tabla4[[#This Row],[Producto]],Tabla6[[#All],[PRODUCTO]],0),MATCH(Tabla4[[#This Row],[Mes]],Tabla6[#Headers],0)))*(1+Catalogos!$L$2)</f>
        <v>#N/A</v>
      </c>
      <c r="N4210" s="283" t="e">
        <f>+(Tabla4[[#This Row],[Precio Descontado]]-Tabla4[[#This Row],[Precio Base]])*Tabla4[[#This Row],[Cantidad]]</f>
        <v>#N/A</v>
      </c>
      <c r="O4210" s="284" t="e">
        <f>++Tabla4[[#This Row],[Utilidad Total]]/Tabla4[[#This Row],[Total]]</f>
        <v>#N/A</v>
      </c>
      <c r="P4210" s="282">
        <f>++Tabla4[[#This Row],[Precio Descontado]]*Tabla4[[#This Row],[Cantidad]]</f>
        <v>638.07057439999994</v>
      </c>
      <c r="Q4210" s="282" t="e">
        <f>(INDEX(Tabla6[#All],MATCH(Tabla4[[#This Row],[Producto]],Tabla6[[#All],[PRODUCTO]],0),MATCH(Tabla4[[#This Row],[Mes]],Tabla6[#Headers],0)))</f>
        <v>#N/A</v>
      </c>
      <c r="R4210" s="282" t="e">
        <f>++Tabla4[[#This Row],[Precio Unitario Neto]]-Tabla4[[#This Row],[20.85%]]-Tabla4[[#This Row],[Costo]]</f>
        <v>#N/A</v>
      </c>
      <c r="S4210" s="282" t="e">
        <f>++Tabla4[[#This Row],[U. Bruta Uni]]*Tabla4[[#This Row],[Cantidad]]</f>
        <v>#N/A</v>
      </c>
      <c r="T4210" s="369" t="str">
        <f>VLOOKUP(Tabla4[[#This Row],[Producto]],Tabla6[#All],14,FALSE)</f>
        <v>Termico Solar</v>
      </c>
      <c r="U4210" s="284" t="e">
        <f>(IF(Tabla4[[#This Row],[Familia]]="termico solar",Tabla4[[#This Row],[Utilidad Total]]*6%,Tabla4[[#This Row],[Utilidad Total]]*11.5%))/Tabla4[[#This Row],[Total]]</f>
        <v>#N/A</v>
      </c>
      <c r="V4210" s="282" t="e">
        <f>+Tabla4[[#This Row],[Comisión Calculada]]*Tabla4[[#This Row],[Total]]</f>
        <v>#N/A</v>
      </c>
    </row>
    <row r="4211" spans="1:22" hidden="1" x14ac:dyDescent="0.25">
      <c r="A4211" s="100">
        <v>45838</v>
      </c>
      <c r="B4211" t="str">
        <f t="shared" ref="B4211:B4236" si="209">TEXT(A4211, "mmmm")</f>
        <v>June</v>
      </c>
      <c r="C4211" s="46" t="s">
        <v>280</v>
      </c>
      <c r="F4211" s="366" t="s">
        <v>2304</v>
      </c>
      <c r="G4211" s="46" t="s">
        <v>83</v>
      </c>
      <c r="H4211" s="46">
        <v>1</v>
      </c>
      <c r="I4211" s="51">
        <v>8858.76</v>
      </c>
      <c r="J4211" s="281">
        <f>++Tabla4[[#This Row],[Precio Bruto]]*1.16</f>
        <v>10276.161599999999</v>
      </c>
      <c r="K4211" s="281">
        <f>+Tabla4[[#This Row],[Precio Unitario Neto]]*Tabla4[[#Headers],[20.85%]]</f>
        <v>2142.5796935999997</v>
      </c>
      <c r="L4211" s="282">
        <f>++Tabla4[[#This Row],[Precio Unitario Neto]]-Tabla4[[#This Row],[20.85%]]</f>
        <v>8133.5819063999998</v>
      </c>
      <c r="M4211" s="282" t="e">
        <f>(INDEX(Tabla6[#All],MATCH(Tabla4[[#This Row],[Producto]],Tabla6[[#All],[PRODUCTO]],0),MATCH(Tabla4[[#This Row],[Mes]],Tabla6[#Headers],0)))*(1+Catalogos!$L$2)</f>
        <v>#N/A</v>
      </c>
      <c r="N4211" s="283" t="e">
        <f>+(Tabla4[[#This Row],[Precio Descontado]]-Tabla4[[#This Row],[Precio Base]])*Tabla4[[#This Row],[Cantidad]]</f>
        <v>#N/A</v>
      </c>
      <c r="O4211" s="284" t="e">
        <f>++Tabla4[[#This Row],[Utilidad Total]]/Tabla4[[#This Row],[Total]]</f>
        <v>#N/A</v>
      </c>
      <c r="P4211" s="282">
        <f>++Tabla4[[#This Row],[Precio Descontado]]*Tabla4[[#This Row],[Cantidad]]</f>
        <v>8133.5819063999998</v>
      </c>
      <c r="Q4211" s="282" t="e">
        <f>(INDEX(Tabla6[#All],MATCH(Tabla4[[#This Row],[Producto]],Tabla6[[#All],[PRODUCTO]],0),MATCH(Tabla4[[#This Row],[Mes]],Tabla6[#Headers],0)))</f>
        <v>#N/A</v>
      </c>
      <c r="R4211" s="282" t="e">
        <f>++Tabla4[[#This Row],[Precio Unitario Neto]]-Tabla4[[#This Row],[20.85%]]-Tabla4[[#This Row],[Costo]]</f>
        <v>#N/A</v>
      </c>
      <c r="S4211" s="282" t="e">
        <f>++Tabla4[[#This Row],[U. Bruta Uni]]*Tabla4[[#This Row],[Cantidad]]</f>
        <v>#N/A</v>
      </c>
      <c r="T4211" s="369" t="str">
        <f>VLOOKUP(Tabla4[[#This Row],[Producto]],Tabla6[#All],14,FALSE)</f>
        <v>Termico Solar</v>
      </c>
      <c r="U4211" s="284" t="e">
        <f>(IF(Tabla4[[#This Row],[Familia]]="termico solar",Tabla4[[#This Row],[Utilidad Total]]*6%,Tabla4[[#This Row],[Utilidad Total]]*11.5%))/Tabla4[[#This Row],[Total]]</f>
        <v>#N/A</v>
      </c>
      <c r="V4211" s="282" t="e">
        <f>+Tabla4[[#This Row],[Comisión Calculada]]*Tabla4[[#This Row],[Total]]</f>
        <v>#N/A</v>
      </c>
    </row>
    <row r="4212" spans="1:22" hidden="1" x14ac:dyDescent="0.25">
      <c r="A4212" s="100">
        <v>45838</v>
      </c>
      <c r="B4212" t="str">
        <f t="shared" si="209"/>
        <v>June</v>
      </c>
      <c r="C4212" s="46" t="s">
        <v>280</v>
      </c>
      <c r="F4212" s="366" t="s">
        <v>2304</v>
      </c>
      <c r="G4212" s="46" t="s">
        <v>18</v>
      </c>
      <c r="H4212" s="46">
        <v>1</v>
      </c>
      <c r="I4212" s="51">
        <v>5367.65</v>
      </c>
      <c r="J4212" s="281">
        <f>++Tabla4[[#This Row],[Precio Bruto]]*1.16</f>
        <v>6226.4739999999993</v>
      </c>
      <c r="K4212" s="281">
        <f>+Tabla4[[#This Row],[Precio Unitario Neto]]*Tabla4[[#Headers],[20.85%]]</f>
        <v>1298.2198289999999</v>
      </c>
      <c r="L4212" s="282">
        <f>++Tabla4[[#This Row],[Precio Unitario Neto]]-Tabla4[[#This Row],[20.85%]]</f>
        <v>4928.2541709999996</v>
      </c>
      <c r="M4212" s="282" t="e">
        <f>(INDEX(Tabla6[#All],MATCH(Tabla4[[#This Row],[Producto]],Tabla6[[#All],[PRODUCTO]],0),MATCH(Tabla4[[#This Row],[Mes]],Tabla6[#Headers],0)))*(1+Catalogos!$L$2)</f>
        <v>#N/A</v>
      </c>
      <c r="N4212" s="283" t="e">
        <f>+(Tabla4[[#This Row],[Precio Descontado]]-Tabla4[[#This Row],[Precio Base]])*Tabla4[[#This Row],[Cantidad]]</f>
        <v>#N/A</v>
      </c>
      <c r="O4212" s="284" t="e">
        <f>++Tabla4[[#This Row],[Utilidad Total]]/Tabla4[[#This Row],[Total]]</f>
        <v>#N/A</v>
      </c>
      <c r="P4212" s="282">
        <f>++Tabla4[[#This Row],[Precio Descontado]]*Tabla4[[#This Row],[Cantidad]]</f>
        <v>4928.2541709999996</v>
      </c>
      <c r="Q4212" s="282" t="e">
        <f>(INDEX(Tabla6[#All],MATCH(Tabla4[[#This Row],[Producto]],Tabla6[[#All],[PRODUCTO]],0),MATCH(Tabla4[[#This Row],[Mes]],Tabla6[#Headers],0)))</f>
        <v>#N/A</v>
      </c>
      <c r="R4212" s="282" t="e">
        <f>++Tabla4[[#This Row],[Precio Unitario Neto]]-Tabla4[[#This Row],[20.85%]]-Tabla4[[#This Row],[Costo]]</f>
        <v>#N/A</v>
      </c>
      <c r="S4212" s="282" t="e">
        <f>++Tabla4[[#This Row],[U. Bruta Uni]]*Tabla4[[#This Row],[Cantidad]]</f>
        <v>#N/A</v>
      </c>
      <c r="T4212" s="369" t="str">
        <f>VLOOKUP(Tabla4[[#This Row],[Producto]],Tabla6[#All],14,FALSE)</f>
        <v>Termico Solar</v>
      </c>
      <c r="U4212" s="284" t="e">
        <f>(IF(Tabla4[[#This Row],[Familia]]="termico solar",Tabla4[[#This Row],[Utilidad Total]]*6%,Tabla4[[#This Row],[Utilidad Total]]*11.5%))/Tabla4[[#This Row],[Total]]</f>
        <v>#N/A</v>
      </c>
      <c r="V4212" s="282" t="e">
        <f>+Tabla4[[#This Row],[Comisión Calculada]]*Tabla4[[#This Row],[Total]]</f>
        <v>#N/A</v>
      </c>
    </row>
    <row r="4213" spans="1:22" hidden="1" x14ac:dyDescent="0.25">
      <c r="A4213" s="100">
        <v>45838</v>
      </c>
      <c r="B4213" t="str">
        <f t="shared" si="209"/>
        <v>June</v>
      </c>
      <c r="C4213" s="46" t="s">
        <v>280</v>
      </c>
      <c r="F4213" s="366" t="s">
        <v>2304</v>
      </c>
      <c r="G4213" s="46" t="s">
        <v>19</v>
      </c>
      <c r="H4213" s="46">
        <v>2</v>
      </c>
      <c r="I4213" s="51">
        <v>6412.03</v>
      </c>
      <c r="J4213" s="281">
        <f>++Tabla4[[#This Row],[Precio Bruto]]*1.16</f>
        <v>7437.9547999999995</v>
      </c>
      <c r="K4213" s="281">
        <f>+Tabla4[[#This Row],[Precio Unitario Neto]]*Tabla4[[#Headers],[20.85%]]</f>
        <v>1550.8135757999999</v>
      </c>
      <c r="L4213" s="282">
        <f>++Tabla4[[#This Row],[Precio Unitario Neto]]-Tabla4[[#This Row],[20.85%]]</f>
        <v>5887.1412241999997</v>
      </c>
      <c r="M4213" s="282" t="e">
        <f>(INDEX(Tabla6[#All],MATCH(Tabla4[[#This Row],[Producto]],Tabla6[[#All],[PRODUCTO]],0),MATCH(Tabla4[[#This Row],[Mes]],Tabla6[#Headers],0)))*(1+Catalogos!$L$2)</f>
        <v>#N/A</v>
      </c>
      <c r="N4213" s="283" t="e">
        <f>+(Tabla4[[#This Row],[Precio Descontado]]-Tabla4[[#This Row],[Precio Base]])*Tabla4[[#This Row],[Cantidad]]</f>
        <v>#N/A</v>
      </c>
      <c r="O4213" s="284" t="e">
        <f>++Tabla4[[#This Row],[Utilidad Total]]/Tabla4[[#This Row],[Total]]</f>
        <v>#N/A</v>
      </c>
      <c r="P4213" s="282">
        <f>++Tabla4[[#This Row],[Precio Descontado]]*Tabla4[[#This Row],[Cantidad]]</f>
        <v>11774.282448399999</v>
      </c>
      <c r="Q4213" s="282" t="e">
        <f>(INDEX(Tabla6[#All],MATCH(Tabla4[[#This Row],[Producto]],Tabla6[[#All],[PRODUCTO]],0),MATCH(Tabla4[[#This Row],[Mes]],Tabla6[#Headers],0)))</f>
        <v>#N/A</v>
      </c>
      <c r="R4213" s="282" t="e">
        <f>++Tabla4[[#This Row],[Precio Unitario Neto]]-Tabla4[[#This Row],[20.85%]]-Tabla4[[#This Row],[Costo]]</f>
        <v>#N/A</v>
      </c>
      <c r="S4213" s="282" t="e">
        <f>++Tabla4[[#This Row],[U. Bruta Uni]]*Tabla4[[#This Row],[Cantidad]]</f>
        <v>#N/A</v>
      </c>
      <c r="T4213" s="369" t="str">
        <f>VLOOKUP(Tabla4[[#This Row],[Producto]],Tabla6[#All],14,FALSE)</f>
        <v>Termico Solar</v>
      </c>
      <c r="U4213" s="284" t="e">
        <f>(IF(Tabla4[[#This Row],[Familia]]="termico solar",Tabla4[[#This Row],[Utilidad Total]]*6%,Tabla4[[#This Row],[Utilidad Total]]*11.5%))/Tabla4[[#This Row],[Total]]</f>
        <v>#N/A</v>
      </c>
      <c r="V4213" s="282" t="e">
        <f>+Tabla4[[#This Row],[Comisión Calculada]]*Tabla4[[#This Row],[Total]]</f>
        <v>#N/A</v>
      </c>
    </row>
    <row r="4214" spans="1:22" hidden="1" x14ac:dyDescent="0.25">
      <c r="A4214" s="100">
        <v>45838</v>
      </c>
      <c r="B4214" t="str">
        <f t="shared" si="209"/>
        <v>June</v>
      </c>
      <c r="C4214" s="46" t="s">
        <v>280</v>
      </c>
      <c r="F4214" s="366" t="s">
        <v>2305</v>
      </c>
      <c r="G4214" s="46" t="s">
        <v>17</v>
      </c>
      <c r="H4214" s="46">
        <v>9</v>
      </c>
      <c r="I4214" s="51">
        <v>4622.28</v>
      </c>
      <c r="J4214" s="281">
        <f>++Tabla4[[#This Row],[Precio Bruto]]*1.16</f>
        <v>5361.8447999999989</v>
      </c>
      <c r="K4214" s="281">
        <f>+Tabla4[[#This Row],[Precio Unitario Neto]]*Tabla4[[#Headers],[20.85%]]</f>
        <v>1117.9446407999997</v>
      </c>
      <c r="L4214" s="282">
        <f>++Tabla4[[#This Row],[Precio Unitario Neto]]-Tabla4[[#This Row],[20.85%]]</f>
        <v>4243.9001591999995</v>
      </c>
      <c r="M4214" s="282" t="e">
        <f>(INDEX(Tabla6[#All],MATCH(Tabla4[[#This Row],[Producto]],Tabla6[[#All],[PRODUCTO]],0),MATCH(Tabla4[[#This Row],[Mes]],Tabla6[#Headers],0)))*(1+Catalogos!$L$2)</f>
        <v>#N/A</v>
      </c>
      <c r="N4214" s="283" t="e">
        <f>+(Tabla4[[#This Row],[Precio Descontado]]-Tabla4[[#This Row],[Precio Base]])*Tabla4[[#This Row],[Cantidad]]</f>
        <v>#N/A</v>
      </c>
      <c r="O4214" s="284" t="e">
        <f>++Tabla4[[#This Row],[Utilidad Total]]/Tabla4[[#This Row],[Total]]</f>
        <v>#N/A</v>
      </c>
      <c r="P4214" s="282">
        <f>++Tabla4[[#This Row],[Precio Descontado]]*Tabla4[[#This Row],[Cantidad]]</f>
        <v>38195.101432799995</v>
      </c>
      <c r="Q4214" s="282" t="e">
        <f>(INDEX(Tabla6[#All],MATCH(Tabla4[[#This Row],[Producto]],Tabla6[[#All],[PRODUCTO]],0),MATCH(Tabla4[[#This Row],[Mes]],Tabla6[#Headers],0)))</f>
        <v>#N/A</v>
      </c>
      <c r="R4214" s="282" t="e">
        <f>++Tabla4[[#This Row],[Precio Unitario Neto]]-Tabla4[[#This Row],[20.85%]]-Tabla4[[#This Row],[Costo]]</f>
        <v>#N/A</v>
      </c>
      <c r="S4214" s="282" t="e">
        <f>++Tabla4[[#This Row],[U. Bruta Uni]]*Tabla4[[#This Row],[Cantidad]]</f>
        <v>#N/A</v>
      </c>
      <c r="T4214" s="369" t="str">
        <f>VLOOKUP(Tabla4[[#This Row],[Producto]],Tabla6[#All],14,FALSE)</f>
        <v>Termico Solar</v>
      </c>
      <c r="U4214" s="284" t="e">
        <f>(IF(Tabla4[[#This Row],[Familia]]="termico solar",Tabla4[[#This Row],[Utilidad Total]]*6%,Tabla4[[#This Row],[Utilidad Total]]*11.5%))/Tabla4[[#This Row],[Total]]</f>
        <v>#N/A</v>
      </c>
      <c r="V4214" s="282" t="e">
        <f>+Tabla4[[#This Row],[Comisión Calculada]]*Tabla4[[#This Row],[Total]]</f>
        <v>#N/A</v>
      </c>
    </row>
    <row r="4215" spans="1:22" hidden="1" x14ac:dyDescent="0.25">
      <c r="A4215" s="100">
        <v>45838</v>
      </c>
      <c r="B4215" t="str">
        <f t="shared" si="209"/>
        <v>June</v>
      </c>
      <c r="C4215" s="46" t="s">
        <v>280</v>
      </c>
      <c r="F4215" s="366" t="s">
        <v>2306</v>
      </c>
      <c r="G4215" s="46" t="s">
        <v>83</v>
      </c>
      <c r="H4215" s="46">
        <v>4</v>
      </c>
      <c r="I4215" s="51">
        <v>8858.76</v>
      </c>
      <c r="J4215" s="281">
        <f>++Tabla4[[#This Row],[Precio Bruto]]*1.16</f>
        <v>10276.161599999999</v>
      </c>
      <c r="K4215" s="281">
        <f>+Tabla4[[#This Row],[Precio Unitario Neto]]*Tabla4[[#Headers],[20.85%]]</f>
        <v>2142.5796935999997</v>
      </c>
      <c r="L4215" s="282">
        <f>++Tabla4[[#This Row],[Precio Unitario Neto]]-Tabla4[[#This Row],[20.85%]]</f>
        <v>8133.5819063999998</v>
      </c>
      <c r="M4215" s="282" t="e">
        <f>(INDEX(Tabla6[#All],MATCH(Tabla4[[#This Row],[Producto]],Tabla6[[#All],[PRODUCTO]],0),MATCH(Tabla4[[#This Row],[Mes]],Tabla6[#Headers],0)))*(1+Catalogos!$L$2)</f>
        <v>#N/A</v>
      </c>
      <c r="N4215" s="283" t="e">
        <f>+(Tabla4[[#This Row],[Precio Descontado]]-Tabla4[[#This Row],[Precio Base]])*Tabla4[[#This Row],[Cantidad]]</f>
        <v>#N/A</v>
      </c>
      <c r="O4215" s="284" t="e">
        <f>++Tabla4[[#This Row],[Utilidad Total]]/Tabla4[[#This Row],[Total]]</f>
        <v>#N/A</v>
      </c>
      <c r="P4215" s="282">
        <f>++Tabla4[[#This Row],[Precio Descontado]]*Tabla4[[#This Row],[Cantidad]]</f>
        <v>32534.327625599999</v>
      </c>
      <c r="Q4215" s="282" t="e">
        <f>(INDEX(Tabla6[#All],MATCH(Tabla4[[#This Row],[Producto]],Tabla6[[#All],[PRODUCTO]],0),MATCH(Tabla4[[#This Row],[Mes]],Tabla6[#Headers],0)))</f>
        <v>#N/A</v>
      </c>
      <c r="R4215" s="282" t="e">
        <f>++Tabla4[[#This Row],[Precio Unitario Neto]]-Tabla4[[#This Row],[20.85%]]-Tabla4[[#This Row],[Costo]]</f>
        <v>#N/A</v>
      </c>
      <c r="S4215" s="282" t="e">
        <f>++Tabla4[[#This Row],[U. Bruta Uni]]*Tabla4[[#This Row],[Cantidad]]</f>
        <v>#N/A</v>
      </c>
      <c r="T4215" s="369" t="str">
        <f>VLOOKUP(Tabla4[[#This Row],[Producto]],Tabla6[#All],14,FALSE)</f>
        <v>Termico Solar</v>
      </c>
      <c r="U4215" s="284" t="e">
        <f>(IF(Tabla4[[#This Row],[Familia]]="termico solar",Tabla4[[#This Row],[Utilidad Total]]*6%,Tabla4[[#This Row],[Utilidad Total]]*11.5%))/Tabla4[[#This Row],[Total]]</f>
        <v>#N/A</v>
      </c>
      <c r="V4215" s="282" t="e">
        <f>+Tabla4[[#This Row],[Comisión Calculada]]*Tabla4[[#This Row],[Total]]</f>
        <v>#N/A</v>
      </c>
    </row>
    <row r="4216" spans="1:22" hidden="1" x14ac:dyDescent="0.25">
      <c r="A4216" s="100">
        <v>45838</v>
      </c>
      <c r="B4216" t="str">
        <f t="shared" si="209"/>
        <v>June</v>
      </c>
      <c r="C4216" s="46" t="s">
        <v>280</v>
      </c>
      <c r="F4216" s="366" t="s">
        <v>2306</v>
      </c>
      <c r="G4216" s="46" t="s">
        <v>17</v>
      </c>
      <c r="H4216" s="46">
        <v>14</v>
      </c>
      <c r="I4216" s="51">
        <v>4622.28</v>
      </c>
      <c r="J4216" s="281">
        <f>++Tabla4[[#This Row],[Precio Bruto]]*1.16</f>
        <v>5361.8447999999989</v>
      </c>
      <c r="K4216" s="281">
        <f>+Tabla4[[#This Row],[Precio Unitario Neto]]*Tabla4[[#Headers],[20.85%]]</f>
        <v>1117.9446407999997</v>
      </c>
      <c r="L4216" s="282">
        <f>++Tabla4[[#This Row],[Precio Unitario Neto]]-Tabla4[[#This Row],[20.85%]]</f>
        <v>4243.9001591999995</v>
      </c>
      <c r="M4216" s="282" t="e">
        <f>(INDEX(Tabla6[#All],MATCH(Tabla4[[#This Row],[Producto]],Tabla6[[#All],[PRODUCTO]],0),MATCH(Tabla4[[#This Row],[Mes]],Tabla6[#Headers],0)))*(1+Catalogos!$L$2)</f>
        <v>#N/A</v>
      </c>
      <c r="N4216" s="283" t="e">
        <f>+(Tabla4[[#This Row],[Precio Descontado]]-Tabla4[[#This Row],[Precio Base]])*Tabla4[[#This Row],[Cantidad]]</f>
        <v>#N/A</v>
      </c>
      <c r="O4216" s="284" t="e">
        <f>++Tabla4[[#This Row],[Utilidad Total]]/Tabla4[[#This Row],[Total]]</f>
        <v>#N/A</v>
      </c>
      <c r="P4216" s="282">
        <f>++Tabla4[[#This Row],[Precio Descontado]]*Tabla4[[#This Row],[Cantidad]]</f>
        <v>59414.602228799995</v>
      </c>
      <c r="Q4216" s="282" t="e">
        <f>(INDEX(Tabla6[#All],MATCH(Tabla4[[#This Row],[Producto]],Tabla6[[#All],[PRODUCTO]],0),MATCH(Tabla4[[#This Row],[Mes]],Tabla6[#Headers],0)))</f>
        <v>#N/A</v>
      </c>
      <c r="R4216" s="282" t="e">
        <f>++Tabla4[[#This Row],[Precio Unitario Neto]]-Tabla4[[#This Row],[20.85%]]-Tabla4[[#This Row],[Costo]]</f>
        <v>#N/A</v>
      </c>
      <c r="S4216" s="282" t="e">
        <f>++Tabla4[[#This Row],[U. Bruta Uni]]*Tabla4[[#This Row],[Cantidad]]</f>
        <v>#N/A</v>
      </c>
      <c r="T4216" s="369" t="str">
        <f>VLOOKUP(Tabla4[[#This Row],[Producto]],Tabla6[#All],14,FALSE)</f>
        <v>Termico Solar</v>
      </c>
      <c r="U4216" s="284" t="e">
        <f>(IF(Tabla4[[#This Row],[Familia]]="termico solar",Tabla4[[#This Row],[Utilidad Total]]*6%,Tabla4[[#This Row],[Utilidad Total]]*11.5%))/Tabla4[[#This Row],[Total]]</f>
        <v>#N/A</v>
      </c>
      <c r="V4216" s="282" t="e">
        <f>+Tabla4[[#This Row],[Comisión Calculada]]*Tabla4[[#This Row],[Total]]</f>
        <v>#N/A</v>
      </c>
    </row>
    <row r="4217" spans="1:22" hidden="1" x14ac:dyDescent="0.25">
      <c r="A4217" s="100">
        <v>45838</v>
      </c>
      <c r="B4217" t="str">
        <f t="shared" si="209"/>
        <v>June</v>
      </c>
      <c r="C4217" s="46" t="s">
        <v>280</v>
      </c>
      <c r="F4217" s="366" t="s">
        <v>2306</v>
      </c>
      <c r="G4217" s="46" t="s">
        <v>16</v>
      </c>
      <c r="H4217" s="46">
        <v>11</v>
      </c>
      <c r="I4217" s="51">
        <v>4103.8499999999995</v>
      </c>
      <c r="J4217" s="281">
        <f>++Tabla4[[#This Row],[Precio Bruto]]*1.16</f>
        <v>4760.4659999999994</v>
      </c>
      <c r="K4217" s="281">
        <f>+Tabla4[[#This Row],[Precio Unitario Neto]]*Tabla4[[#Headers],[20.85%]]</f>
        <v>992.55716099999984</v>
      </c>
      <c r="L4217" s="282">
        <f>++Tabla4[[#This Row],[Precio Unitario Neto]]-Tabla4[[#This Row],[20.85%]]</f>
        <v>3767.9088389999997</v>
      </c>
      <c r="M4217" s="282" t="e">
        <f>(INDEX(Tabla6[#All],MATCH(Tabla4[[#This Row],[Producto]],Tabla6[[#All],[PRODUCTO]],0),MATCH(Tabla4[[#This Row],[Mes]],Tabla6[#Headers],0)))*(1+Catalogos!$L$2)</f>
        <v>#N/A</v>
      </c>
      <c r="N4217" s="283" t="e">
        <f>+(Tabla4[[#This Row],[Precio Descontado]]-Tabla4[[#This Row],[Precio Base]])*Tabla4[[#This Row],[Cantidad]]</f>
        <v>#N/A</v>
      </c>
      <c r="O4217" s="284" t="e">
        <f>++Tabla4[[#This Row],[Utilidad Total]]/Tabla4[[#This Row],[Total]]</f>
        <v>#N/A</v>
      </c>
      <c r="P4217" s="282">
        <f>++Tabla4[[#This Row],[Precio Descontado]]*Tabla4[[#This Row],[Cantidad]]</f>
        <v>41446.997229000001</v>
      </c>
      <c r="Q4217" s="282" t="e">
        <f>(INDEX(Tabla6[#All],MATCH(Tabla4[[#This Row],[Producto]],Tabla6[[#All],[PRODUCTO]],0),MATCH(Tabla4[[#This Row],[Mes]],Tabla6[#Headers],0)))</f>
        <v>#N/A</v>
      </c>
      <c r="R4217" s="282" t="e">
        <f>++Tabla4[[#This Row],[Precio Unitario Neto]]-Tabla4[[#This Row],[20.85%]]-Tabla4[[#This Row],[Costo]]</f>
        <v>#N/A</v>
      </c>
      <c r="S4217" s="282" t="e">
        <f>++Tabla4[[#This Row],[U. Bruta Uni]]*Tabla4[[#This Row],[Cantidad]]</f>
        <v>#N/A</v>
      </c>
      <c r="T4217" s="369" t="str">
        <f>VLOOKUP(Tabla4[[#This Row],[Producto]],Tabla6[#All],14,FALSE)</f>
        <v>Termico Solar</v>
      </c>
      <c r="U4217" s="284" t="e">
        <f>(IF(Tabla4[[#This Row],[Familia]]="termico solar",Tabla4[[#This Row],[Utilidad Total]]*6%,Tabla4[[#This Row],[Utilidad Total]]*11.5%))/Tabla4[[#This Row],[Total]]</f>
        <v>#N/A</v>
      </c>
      <c r="V4217" s="282" t="e">
        <f>+Tabla4[[#This Row],[Comisión Calculada]]*Tabla4[[#This Row],[Total]]</f>
        <v>#N/A</v>
      </c>
    </row>
    <row r="4218" spans="1:22" hidden="1" x14ac:dyDescent="0.25">
      <c r="A4218" s="100">
        <v>45838</v>
      </c>
      <c r="B4218" t="str">
        <f t="shared" si="209"/>
        <v>June</v>
      </c>
      <c r="C4218" s="46" t="s">
        <v>280</v>
      </c>
      <c r="F4218" s="366" t="s">
        <v>2307</v>
      </c>
      <c r="G4218" s="46" t="s">
        <v>83</v>
      </c>
      <c r="H4218" s="46">
        <v>8</v>
      </c>
      <c r="I4218" s="51">
        <v>8858.76</v>
      </c>
      <c r="J4218" s="281">
        <f>++Tabla4[[#This Row],[Precio Bruto]]*1.16</f>
        <v>10276.161599999999</v>
      </c>
      <c r="K4218" s="281">
        <f>+Tabla4[[#This Row],[Precio Unitario Neto]]*Tabla4[[#Headers],[20.85%]]</f>
        <v>2142.5796935999997</v>
      </c>
      <c r="L4218" s="282">
        <f>++Tabla4[[#This Row],[Precio Unitario Neto]]-Tabla4[[#This Row],[20.85%]]</f>
        <v>8133.5819063999998</v>
      </c>
      <c r="M4218" s="282" t="e">
        <f>(INDEX(Tabla6[#All],MATCH(Tabla4[[#This Row],[Producto]],Tabla6[[#All],[PRODUCTO]],0),MATCH(Tabla4[[#This Row],[Mes]],Tabla6[#Headers],0)))*(1+Catalogos!$L$2)</f>
        <v>#N/A</v>
      </c>
      <c r="N4218" s="283" t="e">
        <f>+(Tabla4[[#This Row],[Precio Descontado]]-Tabla4[[#This Row],[Precio Base]])*Tabla4[[#This Row],[Cantidad]]</f>
        <v>#N/A</v>
      </c>
      <c r="O4218" s="284" t="e">
        <f>++Tabla4[[#This Row],[Utilidad Total]]/Tabla4[[#This Row],[Total]]</f>
        <v>#N/A</v>
      </c>
      <c r="P4218" s="282">
        <f>++Tabla4[[#This Row],[Precio Descontado]]*Tabla4[[#This Row],[Cantidad]]</f>
        <v>65068.655251199998</v>
      </c>
      <c r="Q4218" s="282" t="e">
        <f>(INDEX(Tabla6[#All],MATCH(Tabla4[[#This Row],[Producto]],Tabla6[[#All],[PRODUCTO]],0),MATCH(Tabla4[[#This Row],[Mes]],Tabla6[#Headers],0)))</f>
        <v>#N/A</v>
      </c>
      <c r="R4218" s="282" t="e">
        <f>++Tabla4[[#This Row],[Precio Unitario Neto]]-Tabla4[[#This Row],[20.85%]]-Tabla4[[#This Row],[Costo]]</f>
        <v>#N/A</v>
      </c>
      <c r="S4218" s="282" t="e">
        <f>++Tabla4[[#This Row],[U. Bruta Uni]]*Tabla4[[#This Row],[Cantidad]]</f>
        <v>#N/A</v>
      </c>
      <c r="T4218" s="369" t="str">
        <f>VLOOKUP(Tabla4[[#This Row],[Producto]],Tabla6[#All],14,FALSE)</f>
        <v>Termico Solar</v>
      </c>
      <c r="U4218" s="284" t="e">
        <f>(IF(Tabla4[[#This Row],[Familia]]="termico solar",Tabla4[[#This Row],[Utilidad Total]]*6%,Tabla4[[#This Row],[Utilidad Total]]*11.5%))/Tabla4[[#This Row],[Total]]</f>
        <v>#N/A</v>
      </c>
      <c r="V4218" s="282" t="e">
        <f>+Tabla4[[#This Row],[Comisión Calculada]]*Tabla4[[#This Row],[Total]]</f>
        <v>#N/A</v>
      </c>
    </row>
    <row r="4219" spans="1:22" hidden="1" x14ac:dyDescent="0.25">
      <c r="A4219" s="100">
        <v>45838</v>
      </c>
      <c r="B4219" t="str">
        <f t="shared" si="209"/>
        <v>June</v>
      </c>
      <c r="C4219" s="46" t="s">
        <v>280</v>
      </c>
      <c r="F4219" s="366" t="s">
        <v>2307</v>
      </c>
      <c r="G4219" s="46" t="s">
        <v>17</v>
      </c>
      <c r="H4219" s="46">
        <v>13</v>
      </c>
      <c r="I4219" s="51">
        <v>4622.28</v>
      </c>
      <c r="J4219" s="281">
        <f>++Tabla4[[#This Row],[Precio Bruto]]*1.16</f>
        <v>5361.8447999999989</v>
      </c>
      <c r="K4219" s="281">
        <f>+Tabla4[[#This Row],[Precio Unitario Neto]]*Tabla4[[#Headers],[20.85%]]</f>
        <v>1117.9446407999997</v>
      </c>
      <c r="L4219" s="282">
        <f>++Tabla4[[#This Row],[Precio Unitario Neto]]-Tabla4[[#This Row],[20.85%]]</f>
        <v>4243.9001591999995</v>
      </c>
      <c r="M4219" s="282" t="e">
        <f>(INDEX(Tabla6[#All],MATCH(Tabla4[[#This Row],[Producto]],Tabla6[[#All],[PRODUCTO]],0),MATCH(Tabla4[[#This Row],[Mes]],Tabla6[#Headers],0)))*(1+Catalogos!$L$2)</f>
        <v>#N/A</v>
      </c>
      <c r="N4219" s="283" t="e">
        <f>+(Tabla4[[#This Row],[Precio Descontado]]-Tabla4[[#This Row],[Precio Base]])*Tabla4[[#This Row],[Cantidad]]</f>
        <v>#N/A</v>
      </c>
      <c r="O4219" s="284" t="e">
        <f>++Tabla4[[#This Row],[Utilidad Total]]/Tabla4[[#This Row],[Total]]</f>
        <v>#N/A</v>
      </c>
      <c r="P4219" s="282">
        <f>++Tabla4[[#This Row],[Precio Descontado]]*Tabla4[[#This Row],[Cantidad]]</f>
        <v>55170.702069599996</v>
      </c>
      <c r="Q4219" s="282" t="e">
        <f>(INDEX(Tabla6[#All],MATCH(Tabla4[[#This Row],[Producto]],Tabla6[[#All],[PRODUCTO]],0),MATCH(Tabla4[[#This Row],[Mes]],Tabla6[#Headers],0)))</f>
        <v>#N/A</v>
      </c>
      <c r="R4219" s="282" t="e">
        <f>++Tabla4[[#This Row],[Precio Unitario Neto]]-Tabla4[[#This Row],[20.85%]]-Tabla4[[#This Row],[Costo]]</f>
        <v>#N/A</v>
      </c>
      <c r="S4219" s="282" t="e">
        <f>++Tabla4[[#This Row],[U. Bruta Uni]]*Tabla4[[#This Row],[Cantidad]]</f>
        <v>#N/A</v>
      </c>
      <c r="T4219" s="369" t="str">
        <f>VLOOKUP(Tabla4[[#This Row],[Producto]],Tabla6[#All],14,FALSE)</f>
        <v>Termico Solar</v>
      </c>
      <c r="U4219" s="284" t="e">
        <f>(IF(Tabla4[[#This Row],[Familia]]="termico solar",Tabla4[[#This Row],[Utilidad Total]]*6%,Tabla4[[#This Row],[Utilidad Total]]*11.5%))/Tabla4[[#This Row],[Total]]</f>
        <v>#N/A</v>
      </c>
      <c r="V4219" s="282" t="e">
        <f>+Tabla4[[#This Row],[Comisión Calculada]]*Tabla4[[#This Row],[Total]]</f>
        <v>#N/A</v>
      </c>
    </row>
    <row r="4220" spans="1:22" hidden="1" x14ac:dyDescent="0.25">
      <c r="A4220" s="100">
        <v>45838</v>
      </c>
      <c r="B4220" t="str">
        <f t="shared" si="209"/>
        <v>June</v>
      </c>
      <c r="C4220" s="46" t="s">
        <v>280</v>
      </c>
      <c r="F4220" s="366" t="s">
        <v>2307</v>
      </c>
      <c r="G4220" s="46" t="s">
        <v>18</v>
      </c>
      <c r="H4220" s="46">
        <v>7</v>
      </c>
      <c r="I4220" s="51">
        <v>5367.6500000000005</v>
      </c>
      <c r="J4220" s="281">
        <f>++Tabla4[[#This Row],[Precio Bruto]]*1.16</f>
        <v>6226.4740000000002</v>
      </c>
      <c r="K4220" s="281">
        <f>+Tabla4[[#This Row],[Precio Unitario Neto]]*Tabla4[[#Headers],[20.85%]]</f>
        <v>1298.2198289999999</v>
      </c>
      <c r="L4220" s="282">
        <f>++Tabla4[[#This Row],[Precio Unitario Neto]]-Tabla4[[#This Row],[20.85%]]</f>
        <v>4928.2541710000005</v>
      </c>
      <c r="M4220" s="282" t="e">
        <f>(INDEX(Tabla6[#All],MATCH(Tabla4[[#This Row],[Producto]],Tabla6[[#All],[PRODUCTO]],0),MATCH(Tabla4[[#This Row],[Mes]],Tabla6[#Headers],0)))*(1+Catalogos!$L$2)</f>
        <v>#N/A</v>
      </c>
      <c r="N4220" s="283" t="e">
        <f>+(Tabla4[[#This Row],[Precio Descontado]]-Tabla4[[#This Row],[Precio Base]])*Tabla4[[#This Row],[Cantidad]]</f>
        <v>#N/A</v>
      </c>
      <c r="O4220" s="284" t="e">
        <f>++Tabla4[[#This Row],[Utilidad Total]]/Tabla4[[#This Row],[Total]]</f>
        <v>#N/A</v>
      </c>
      <c r="P4220" s="282">
        <f>++Tabla4[[#This Row],[Precio Descontado]]*Tabla4[[#This Row],[Cantidad]]</f>
        <v>34497.779197000003</v>
      </c>
      <c r="Q4220" s="282" t="e">
        <f>(INDEX(Tabla6[#All],MATCH(Tabla4[[#This Row],[Producto]],Tabla6[[#All],[PRODUCTO]],0),MATCH(Tabla4[[#This Row],[Mes]],Tabla6[#Headers],0)))</f>
        <v>#N/A</v>
      </c>
      <c r="R4220" s="282" t="e">
        <f>++Tabla4[[#This Row],[Precio Unitario Neto]]-Tabla4[[#This Row],[20.85%]]-Tabla4[[#This Row],[Costo]]</f>
        <v>#N/A</v>
      </c>
      <c r="S4220" s="282" t="e">
        <f>++Tabla4[[#This Row],[U. Bruta Uni]]*Tabla4[[#This Row],[Cantidad]]</f>
        <v>#N/A</v>
      </c>
      <c r="T4220" s="369" t="str">
        <f>VLOOKUP(Tabla4[[#This Row],[Producto]],Tabla6[#All],14,FALSE)</f>
        <v>Termico Solar</v>
      </c>
      <c r="U4220" s="284" t="e">
        <f>(IF(Tabla4[[#This Row],[Familia]]="termico solar",Tabla4[[#This Row],[Utilidad Total]]*6%,Tabla4[[#This Row],[Utilidad Total]]*11.5%))/Tabla4[[#This Row],[Total]]</f>
        <v>#N/A</v>
      </c>
      <c r="V4220" s="282" t="e">
        <f>+Tabla4[[#This Row],[Comisión Calculada]]*Tabla4[[#This Row],[Total]]</f>
        <v>#N/A</v>
      </c>
    </row>
    <row r="4221" spans="1:22" hidden="1" x14ac:dyDescent="0.25">
      <c r="A4221" s="100">
        <v>45838</v>
      </c>
      <c r="B4221" t="str">
        <f t="shared" si="209"/>
        <v>June</v>
      </c>
      <c r="C4221" s="46" t="s">
        <v>280</v>
      </c>
      <c r="F4221" s="366" t="s">
        <v>2307</v>
      </c>
      <c r="G4221" s="46" t="s">
        <v>16</v>
      </c>
      <c r="H4221" s="46">
        <v>13</v>
      </c>
      <c r="I4221" s="51">
        <v>4103.8500000000004</v>
      </c>
      <c r="J4221" s="281">
        <f>++Tabla4[[#This Row],[Precio Bruto]]*1.16</f>
        <v>4760.4660000000003</v>
      </c>
      <c r="K4221" s="281">
        <f>+Tabla4[[#This Row],[Precio Unitario Neto]]*Tabla4[[#Headers],[20.85%]]</f>
        <v>992.55716100000006</v>
      </c>
      <c r="L4221" s="282">
        <f>++Tabla4[[#This Row],[Precio Unitario Neto]]-Tabla4[[#This Row],[20.85%]]</f>
        <v>3767.9088390000002</v>
      </c>
      <c r="M4221" s="282" t="e">
        <f>(INDEX(Tabla6[#All],MATCH(Tabla4[[#This Row],[Producto]],Tabla6[[#All],[PRODUCTO]],0),MATCH(Tabla4[[#This Row],[Mes]],Tabla6[#Headers],0)))*(1+Catalogos!$L$2)</f>
        <v>#N/A</v>
      </c>
      <c r="N4221" s="283" t="e">
        <f>+(Tabla4[[#This Row],[Precio Descontado]]-Tabla4[[#This Row],[Precio Base]])*Tabla4[[#This Row],[Cantidad]]</f>
        <v>#N/A</v>
      </c>
      <c r="O4221" s="284" t="e">
        <f>++Tabla4[[#This Row],[Utilidad Total]]/Tabla4[[#This Row],[Total]]</f>
        <v>#N/A</v>
      </c>
      <c r="P4221" s="282">
        <f>++Tabla4[[#This Row],[Precio Descontado]]*Tabla4[[#This Row],[Cantidad]]</f>
        <v>48982.814907</v>
      </c>
      <c r="Q4221" s="282" t="e">
        <f>(INDEX(Tabla6[#All],MATCH(Tabla4[[#This Row],[Producto]],Tabla6[[#All],[PRODUCTO]],0),MATCH(Tabla4[[#This Row],[Mes]],Tabla6[#Headers],0)))</f>
        <v>#N/A</v>
      </c>
      <c r="R4221" s="282" t="e">
        <f>++Tabla4[[#This Row],[Precio Unitario Neto]]-Tabla4[[#This Row],[20.85%]]-Tabla4[[#This Row],[Costo]]</f>
        <v>#N/A</v>
      </c>
      <c r="S4221" s="282" t="e">
        <f>++Tabla4[[#This Row],[U. Bruta Uni]]*Tabla4[[#This Row],[Cantidad]]</f>
        <v>#N/A</v>
      </c>
      <c r="T4221" s="369" t="str">
        <f>VLOOKUP(Tabla4[[#This Row],[Producto]],Tabla6[#All],14,FALSE)</f>
        <v>Termico Solar</v>
      </c>
      <c r="U4221" s="284" t="e">
        <f>(IF(Tabla4[[#This Row],[Familia]]="termico solar",Tabla4[[#This Row],[Utilidad Total]]*6%,Tabla4[[#This Row],[Utilidad Total]]*11.5%))/Tabla4[[#This Row],[Total]]</f>
        <v>#N/A</v>
      </c>
      <c r="V4221" s="282" t="e">
        <f>+Tabla4[[#This Row],[Comisión Calculada]]*Tabla4[[#This Row],[Total]]</f>
        <v>#N/A</v>
      </c>
    </row>
    <row r="4222" spans="1:22" hidden="1" x14ac:dyDescent="0.25">
      <c r="A4222" s="100">
        <v>45838</v>
      </c>
      <c r="B4222" t="str">
        <f t="shared" si="209"/>
        <v>June</v>
      </c>
      <c r="C4222" s="46" t="s">
        <v>280</v>
      </c>
      <c r="F4222" s="366" t="s">
        <v>2308</v>
      </c>
      <c r="G4222" s="46" t="s">
        <v>17</v>
      </c>
      <c r="H4222" s="46">
        <v>12</v>
      </c>
      <c r="I4222" s="51">
        <v>4622.28</v>
      </c>
      <c r="J4222" s="281">
        <f>++Tabla4[[#This Row],[Precio Bruto]]*1.16</f>
        <v>5361.8447999999989</v>
      </c>
      <c r="K4222" s="281">
        <f>+Tabla4[[#This Row],[Precio Unitario Neto]]*Tabla4[[#Headers],[20.85%]]</f>
        <v>1117.9446407999997</v>
      </c>
      <c r="L4222" s="282">
        <f>++Tabla4[[#This Row],[Precio Unitario Neto]]-Tabla4[[#This Row],[20.85%]]</f>
        <v>4243.9001591999995</v>
      </c>
      <c r="M4222" s="282" t="e">
        <f>(INDEX(Tabla6[#All],MATCH(Tabla4[[#This Row],[Producto]],Tabla6[[#All],[PRODUCTO]],0),MATCH(Tabla4[[#This Row],[Mes]],Tabla6[#Headers],0)))*(1+Catalogos!$L$2)</f>
        <v>#N/A</v>
      </c>
      <c r="N4222" s="283" t="e">
        <f>+(Tabla4[[#This Row],[Precio Descontado]]-Tabla4[[#This Row],[Precio Base]])*Tabla4[[#This Row],[Cantidad]]</f>
        <v>#N/A</v>
      </c>
      <c r="O4222" s="284" t="e">
        <f>++Tabla4[[#This Row],[Utilidad Total]]/Tabla4[[#This Row],[Total]]</f>
        <v>#N/A</v>
      </c>
      <c r="P4222" s="282">
        <f>++Tabla4[[#This Row],[Precio Descontado]]*Tabla4[[#This Row],[Cantidad]]</f>
        <v>50926.801910399998</v>
      </c>
      <c r="Q4222" s="282" t="e">
        <f>(INDEX(Tabla6[#All],MATCH(Tabla4[[#This Row],[Producto]],Tabla6[[#All],[PRODUCTO]],0),MATCH(Tabla4[[#This Row],[Mes]],Tabla6[#Headers],0)))</f>
        <v>#N/A</v>
      </c>
      <c r="R4222" s="282" t="e">
        <f>++Tabla4[[#This Row],[Precio Unitario Neto]]-Tabla4[[#This Row],[20.85%]]-Tabla4[[#This Row],[Costo]]</f>
        <v>#N/A</v>
      </c>
      <c r="S4222" s="282" t="e">
        <f>++Tabla4[[#This Row],[U. Bruta Uni]]*Tabla4[[#This Row],[Cantidad]]</f>
        <v>#N/A</v>
      </c>
      <c r="T4222" s="369" t="str">
        <f>VLOOKUP(Tabla4[[#This Row],[Producto]],Tabla6[#All],14,FALSE)</f>
        <v>Termico Solar</v>
      </c>
      <c r="U4222" s="284" t="e">
        <f>(IF(Tabla4[[#This Row],[Familia]]="termico solar",Tabla4[[#This Row],[Utilidad Total]]*6%,Tabla4[[#This Row],[Utilidad Total]]*11.5%))/Tabla4[[#This Row],[Total]]</f>
        <v>#N/A</v>
      </c>
      <c r="V4222" s="282" t="e">
        <f>+Tabla4[[#This Row],[Comisión Calculada]]*Tabla4[[#This Row],[Total]]</f>
        <v>#N/A</v>
      </c>
    </row>
    <row r="4223" spans="1:22" hidden="1" x14ac:dyDescent="0.25">
      <c r="A4223" s="100">
        <v>45838</v>
      </c>
      <c r="B4223" t="str">
        <f t="shared" si="209"/>
        <v>June</v>
      </c>
      <c r="C4223" s="46" t="s">
        <v>280</v>
      </c>
      <c r="F4223" s="366" t="s">
        <v>2308</v>
      </c>
      <c r="G4223" s="46" t="s">
        <v>18</v>
      </c>
      <c r="H4223" s="46">
        <v>15</v>
      </c>
      <c r="I4223" s="51">
        <v>5367.65</v>
      </c>
      <c r="J4223" s="281">
        <f>++Tabla4[[#This Row],[Precio Bruto]]*1.16</f>
        <v>6226.4739999999993</v>
      </c>
      <c r="K4223" s="281">
        <f>+Tabla4[[#This Row],[Precio Unitario Neto]]*Tabla4[[#Headers],[20.85%]]</f>
        <v>1298.2198289999999</v>
      </c>
      <c r="L4223" s="282">
        <f>++Tabla4[[#This Row],[Precio Unitario Neto]]-Tabla4[[#This Row],[20.85%]]</f>
        <v>4928.2541709999996</v>
      </c>
      <c r="M4223" s="282" t="e">
        <f>(INDEX(Tabla6[#All],MATCH(Tabla4[[#This Row],[Producto]],Tabla6[[#All],[PRODUCTO]],0),MATCH(Tabla4[[#This Row],[Mes]],Tabla6[#Headers],0)))*(1+Catalogos!$L$2)</f>
        <v>#N/A</v>
      </c>
      <c r="N4223" s="283" t="e">
        <f>+(Tabla4[[#This Row],[Precio Descontado]]-Tabla4[[#This Row],[Precio Base]])*Tabla4[[#This Row],[Cantidad]]</f>
        <v>#N/A</v>
      </c>
      <c r="O4223" s="284" t="e">
        <f>++Tabla4[[#This Row],[Utilidad Total]]/Tabla4[[#This Row],[Total]]</f>
        <v>#N/A</v>
      </c>
      <c r="P4223" s="282">
        <f>++Tabla4[[#This Row],[Precio Descontado]]*Tabla4[[#This Row],[Cantidad]]</f>
        <v>73923.812565</v>
      </c>
      <c r="Q4223" s="282" t="e">
        <f>(INDEX(Tabla6[#All],MATCH(Tabla4[[#This Row],[Producto]],Tabla6[[#All],[PRODUCTO]],0),MATCH(Tabla4[[#This Row],[Mes]],Tabla6[#Headers],0)))</f>
        <v>#N/A</v>
      </c>
      <c r="R4223" s="282" t="e">
        <f>++Tabla4[[#This Row],[Precio Unitario Neto]]-Tabla4[[#This Row],[20.85%]]-Tabla4[[#This Row],[Costo]]</f>
        <v>#N/A</v>
      </c>
      <c r="S4223" s="282" t="e">
        <f>++Tabla4[[#This Row],[U. Bruta Uni]]*Tabla4[[#This Row],[Cantidad]]</f>
        <v>#N/A</v>
      </c>
      <c r="T4223" s="369" t="str">
        <f>VLOOKUP(Tabla4[[#This Row],[Producto]],Tabla6[#All],14,FALSE)</f>
        <v>Termico Solar</v>
      </c>
      <c r="U4223" s="284" t="e">
        <f>(IF(Tabla4[[#This Row],[Familia]]="termico solar",Tabla4[[#This Row],[Utilidad Total]]*6%,Tabla4[[#This Row],[Utilidad Total]]*11.5%))/Tabla4[[#This Row],[Total]]</f>
        <v>#N/A</v>
      </c>
      <c r="V4223" s="282" t="e">
        <f>+Tabla4[[#This Row],[Comisión Calculada]]*Tabla4[[#This Row],[Total]]</f>
        <v>#N/A</v>
      </c>
    </row>
    <row r="4224" spans="1:22" hidden="1" x14ac:dyDescent="0.25">
      <c r="A4224" s="100">
        <v>45838</v>
      </c>
      <c r="B4224" t="str">
        <f t="shared" si="209"/>
        <v>June</v>
      </c>
      <c r="C4224" s="46" t="s">
        <v>280</v>
      </c>
      <c r="F4224" s="366" t="s">
        <v>2308</v>
      </c>
      <c r="G4224" s="46" t="s">
        <v>16</v>
      </c>
      <c r="H4224" s="46">
        <v>5</v>
      </c>
      <c r="I4224" s="51">
        <v>4103.8500000000004</v>
      </c>
      <c r="J4224" s="281">
        <f>++Tabla4[[#This Row],[Precio Bruto]]*1.16</f>
        <v>4760.4660000000003</v>
      </c>
      <c r="K4224" s="281">
        <f>+Tabla4[[#This Row],[Precio Unitario Neto]]*Tabla4[[#Headers],[20.85%]]</f>
        <v>992.55716100000006</v>
      </c>
      <c r="L4224" s="282">
        <f>++Tabla4[[#This Row],[Precio Unitario Neto]]-Tabla4[[#This Row],[20.85%]]</f>
        <v>3767.9088390000002</v>
      </c>
      <c r="M4224" s="282" t="e">
        <f>(INDEX(Tabla6[#All],MATCH(Tabla4[[#This Row],[Producto]],Tabla6[[#All],[PRODUCTO]],0),MATCH(Tabla4[[#This Row],[Mes]],Tabla6[#Headers],0)))*(1+Catalogos!$L$2)</f>
        <v>#N/A</v>
      </c>
      <c r="N4224" s="283" t="e">
        <f>+(Tabla4[[#This Row],[Precio Descontado]]-Tabla4[[#This Row],[Precio Base]])*Tabla4[[#This Row],[Cantidad]]</f>
        <v>#N/A</v>
      </c>
      <c r="O4224" s="284" t="e">
        <f>++Tabla4[[#This Row],[Utilidad Total]]/Tabla4[[#This Row],[Total]]</f>
        <v>#N/A</v>
      </c>
      <c r="P4224" s="282">
        <f>++Tabla4[[#This Row],[Precio Descontado]]*Tabla4[[#This Row],[Cantidad]]</f>
        <v>18839.544195000002</v>
      </c>
      <c r="Q4224" s="282" t="e">
        <f>(INDEX(Tabla6[#All],MATCH(Tabla4[[#This Row],[Producto]],Tabla6[[#All],[PRODUCTO]],0),MATCH(Tabla4[[#This Row],[Mes]],Tabla6[#Headers],0)))</f>
        <v>#N/A</v>
      </c>
      <c r="R4224" s="282" t="e">
        <f>++Tabla4[[#This Row],[Precio Unitario Neto]]-Tabla4[[#This Row],[20.85%]]-Tabla4[[#This Row],[Costo]]</f>
        <v>#N/A</v>
      </c>
      <c r="S4224" s="282" t="e">
        <f>++Tabla4[[#This Row],[U. Bruta Uni]]*Tabla4[[#This Row],[Cantidad]]</f>
        <v>#N/A</v>
      </c>
      <c r="T4224" s="369" t="str">
        <f>VLOOKUP(Tabla4[[#This Row],[Producto]],Tabla6[#All],14,FALSE)</f>
        <v>Termico Solar</v>
      </c>
      <c r="U4224" s="284" t="e">
        <f>(IF(Tabla4[[#This Row],[Familia]]="termico solar",Tabla4[[#This Row],[Utilidad Total]]*6%,Tabla4[[#This Row],[Utilidad Total]]*11.5%))/Tabla4[[#This Row],[Total]]</f>
        <v>#N/A</v>
      </c>
      <c r="V4224" s="282" t="e">
        <f>+Tabla4[[#This Row],[Comisión Calculada]]*Tabla4[[#This Row],[Total]]</f>
        <v>#N/A</v>
      </c>
    </row>
    <row r="4225" spans="1:22" hidden="1" x14ac:dyDescent="0.25">
      <c r="A4225" s="100">
        <v>45853</v>
      </c>
      <c r="B4225" t="str">
        <f t="shared" si="209"/>
        <v>July</v>
      </c>
      <c r="C4225" s="46" t="s">
        <v>280</v>
      </c>
      <c r="F4225" s="366" t="s">
        <v>2310</v>
      </c>
      <c r="G4225" s="46" t="s">
        <v>83</v>
      </c>
      <c r="H4225" s="46">
        <v>1</v>
      </c>
      <c r="I4225" s="51">
        <v>8858.76</v>
      </c>
      <c r="J4225" s="281">
        <f>++Tabla4[[#This Row],[Precio Bruto]]*1.16</f>
        <v>10276.161599999999</v>
      </c>
      <c r="K4225" s="281">
        <f>+Tabla4[[#This Row],[Precio Unitario Neto]]*Tabla4[[#Headers],[20.85%]]</f>
        <v>2142.5796935999997</v>
      </c>
      <c r="L4225" s="282">
        <f>++Tabla4[[#This Row],[Precio Unitario Neto]]-Tabla4[[#This Row],[20.85%]]</f>
        <v>8133.5819063999998</v>
      </c>
      <c r="M4225" s="282" t="e">
        <f>(INDEX(Tabla6[#All],MATCH(Tabla4[[#This Row],[Producto]],Tabla6[[#All],[PRODUCTO]],0),MATCH(Tabla4[[#This Row],[Mes]],Tabla6[#Headers],0)))*(1+Catalogos!$L$2)</f>
        <v>#N/A</v>
      </c>
      <c r="N4225" s="283" t="e">
        <f>+(Tabla4[[#This Row],[Precio Descontado]]-Tabla4[[#This Row],[Precio Base]])*Tabla4[[#This Row],[Cantidad]]</f>
        <v>#N/A</v>
      </c>
      <c r="O4225" s="284" t="e">
        <f>++Tabla4[[#This Row],[Utilidad Total]]/Tabla4[[#This Row],[Total]]</f>
        <v>#N/A</v>
      </c>
      <c r="P4225" s="282">
        <f>++Tabla4[[#This Row],[Precio Descontado]]*Tabla4[[#This Row],[Cantidad]]</f>
        <v>8133.5819063999998</v>
      </c>
      <c r="Q4225" s="282" t="e">
        <f>(INDEX(Tabla6[#All],MATCH(Tabla4[[#This Row],[Producto]],Tabla6[[#All],[PRODUCTO]],0),MATCH(Tabla4[[#This Row],[Mes]],Tabla6[#Headers],0)))</f>
        <v>#N/A</v>
      </c>
      <c r="R4225" s="282" t="e">
        <f>++Tabla4[[#This Row],[Precio Unitario Neto]]-Tabla4[[#This Row],[20.85%]]-Tabla4[[#This Row],[Costo]]</f>
        <v>#N/A</v>
      </c>
      <c r="S4225" s="282" t="e">
        <f>++Tabla4[[#This Row],[U. Bruta Uni]]*Tabla4[[#This Row],[Cantidad]]</f>
        <v>#N/A</v>
      </c>
      <c r="T4225" s="369" t="str">
        <f>VLOOKUP(Tabla4[[#This Row],[Producto]],Tabla6[#All],14,FALSE)</f>
        <v>Termico Solar</v>
      </c>
      <c r="U4225" s="284" t="e">
        <f>(IF(Tabla4[[#This Row],[Familia]]="termico solar",Tabla4[[#This Row],[Utilidad Total]]*6%,Tabla4[[#This Row],[Utilidad Total]]*11.5%))/Tabla4[[#This Row],[Total]]</f>
        <v>#N/A</v>
      </c>
      <c r="V4225" s="282" t="e">
        <f>+Tabla4[[#This Row],[Comisión Calculada]]*Tabla4[[#This Row],[Total]]</f>
        <v>#N/A</v>
      </c>
    </row>
    <row r="4226" spans="1:22" hidden="1" x14ac:dyDescent="0.25">
      <c r="A4226" s="100">
        <v>45853</v>
      </c>
      <c r="B4226" t="str">
        <f t="shared" si="209"/>
        <v>July</v>
      </c>
      <c r="C4226" s="46" t="s">
        <v>280</v>
      </c>
      <c r="F4226" s="366" t="s">
        <v>2310</v>
      </c>
      <c r="G4226" s="46" t="s">
        <v>17</v>
      </c>
      <c r="H4226" s="46">
        <v>3</v>
      </c>
      <c r="I4226" s="51">
        <v>4622.28</v>
      </c>
      <c r="J4226" s="281">
        <f>++Tabla4[[#This Row],[Precio Bruto]]*1.16</f>
        <v>5361.8447999999989</v>
      </c>
      <c r="K4226" s="281">
        <f>+Tabla4[[#This Row],[Precio Unitario Neto]]*Tabla4[[#Headers],[20.85%]]</f>
        <v>1117.9446407999997</v>
      </c>
      <c r="L4226" s="282">
        <f>++Tabla4[[#This Row],[Precio Unitario Neto]]-Tabla4[[#This Row],[20.85%]]</f>
        <v>4243.9001591999995</v>
      </c>
      <c r="M4226" s="282" t="e">
        <f>(INDEX(Tabla6[#All],MATCH(Tabla4[[#This Row],[Producto]],Tabla6[[#All],[PRODUCTO]],0),MATCH(Tabla4[[#This Row],[Mes]],Tabla6[#Headers],0)))*(1+Catalogos!$L$2)</f>
        <v>#N/A</v>
      </c>
      <c r="N4226" s="283" t="e">
        <f>+(Tabla4[[#This Row],[Precio Descontado]]-Tabla4[[#This Row],[Precio Base]])*Tabla4[[#This Row],[Cantidad]]</f>
        <v>#N/A</v>
      </c>
      <c r="O4226" s="284" t="e">
        <f>++Tabla4[[#This Row],[Utilidad Total]]/Tabla4[[#This Row],[Total]]</f>
        <v>#N/A</v>
      </c>
      <c r="P4226" s="282">
        <f>++Tabla4[[#This Row],[Precio Descontado]]*Tabla4[[#This Row],[Cantidad]]</f>
        <v>12731.700477599999</v>
      </c>
      <c r="Q4226" s="282" t="e">
        <f>(INDEX(Tabla6[#All],MATCH(Tabla4[[#This Row],[Producto]],Tabla6[[#All],[PRODUCTO]],0),MATCH(Tabla4[[#This Row],[Mes]],Tabla6[#Headers],0)))</f>
        <v>#N/A</v>
      </c>
      <c r="R4226" s="282" t="e">
        <f>++Tabla4[[#This Row],[Precio Unitario Neto]]-Tabla4[[#This Row],[20.85%]]-Tabla4[[#This Row],[Costo]]</f>
        <v>#N/A</v>
      </c>
      <c r="S4226" s="282" t="e">
        <f>++Tabla4[[#This Row],[U. Bruta Uni]]*Tabla4[[#This Row],[Cantidad]]</f>
        <v>#N/A</v>
      </c>
      <c r="T4226" s="369" t="str">
        <f>VLOOKUP(Tabla4[[#This Row],[Producto]],Tabla6[#All],14,FALSE)</f>
        <v>Termico Solar</v>
      </c>
      <c r="U4226" s="284" t="e">
        <f>(IF(Tabla4[[#This Row],[Familia]]="termico solar",Tabla4[[#This Row],[Utilidad Total]]*6%,Tabla4[[#This Row],[Utilidad Total]]*11.5%))/Tabla4[[#This Row],[Total]]</f>
        <v>#N/A</v>
      </c>
      <c r="V4226" s="282" t="e">
        <f>+Tabla4[[#This Row],[Comisión Calculada]]*Tabla4[[#This Row],[Total]]</f>
        <v>#N/A</v>
      </c>
    </row>
    <row r="4227" spans="1:22" hidden="1" x14ac:dyDescent="0.25">
      <c r="A4227" s="100">
        <v>45853</v>
      </c>
      <c r="B4227" t="str">
        <f t="shared" si="209"/>
        <v>July</v>
      </c>
      <c r="C4227" s="46" t="s">
        <v>280</v>
      </c>
      <c r="F4227" s="366" t="s">
        <v>2310</v>
      </c>
      <c r="G4227" s="46" t="s">
        <v>18</v>
      </c>
      <c r="H4227" s="46">
        <v>2</v>
      </c>
      <c r="I4227" s="51">
        <v>5367.65</v>
      </c>
      <c r="J4227" s="281">
        <f>++Tabla4[[#This Row],[Precio Bruto]]*1.16</f>
        <v>6226.4739999999993</v>
      </c>
      <c r="K4227" s="281">
        <f>+Tabla4[[#This Row],[Precio Unitario Neto]]*Tabla4[[#Headers],[20.85%]]</f>
        <v>1298.2198289999999</v>
      </c>
      <c r="L4227" s="282">
        <f>++Tabla4[[#This Row],[Precio Unitario Neto]]-Tabla4[[#This Row],[20.85%]]</f>
        <v>4928.2541709999996</v>
      </c>
      <c r="M4227" s="282" t="e">
        <f>(INDEX(Tabla6[#All],MATCH(Tabla4[[#This Row],[Producto]],Tabla6[[#All],[PRODUCTO]],0),MATCH(Tabla4[[#This Row],[Mes]],Tabla6[#Headers],0)))*(1+Catalogos!$L$2)</f>
        <v>#N/A</v>
      </c>
      <c r="N4227" s="283" t="e">
        <f>+(Tabla4[[#This Row],[Precio Descontado]]-Tabla4[[#This Row],[Precio Base]])*Tabla4[[#This Row],[Cantidad]]</f>
        <v>#N/A</v>
      </c>
      <c r="O4227" s="284" t="e">
        <f>++Tabla4[[#This Row],[Utilidad Total]]/Tabla4[[#This Row],[Total]]</f>
        <v>#N/A</v>
      </c>
      <c r="P4227" s="282">
        <f>++Tabla4[[#This Row],[Precio Descontado]]*Tabla4[[#This Row],[Cantidad]]</f>
        <v>9856.5083419999992</v>
      </c>
      <c r="Q4227" s="282" t="e">
        <f>(INDEX(Tabla6[#All],MATCH(Tabla4[[#This Row],[Producto]],Tabla6[[#All],[PRODUCTO]],0),MATCH(Tabla4[[#This Row],[Mes]],Tabla6[#Headers],0)))</f>
        <v>#N/A</v>
      </c>
      <c r="R4227" s="282" t="e">
        <f>++Tabla4[[#This Row],[Precio Unitario Neto]]-Tabla4[[#This Row],[20.85%]]-Tabla4[[#This Row],[Costo]]</f>
        <v>#N/A</v>
      </c>
      <c r="S4227" s="282" t="e">
        <f>++Tabla4[[#This Row],[U. Bruta Uni]]*Tabla4[[#This Row],[Cantidad]]</f>
        <v>#N/A</v>
      </c>
      <c r="T4227" s="369" t="str">
        <f>VLOOKUP(Tabla4[[#This Row],[Producto]],Tabla6[#All],14,FALSE)</f>
        <v>Termico Solar</v>
      </c>
      <c r="U4227" s="284" t="e">
        <f>(IF(Tabla4[[#This Row],[Familia]]="termico solar",Tabla4[[#This Row],[Utilidad Total]]*6%,Tabla4[[#This Row],[Utilidad Total]]*11.5%))/Tabla4[[#This Row],[Total]]</f>
        <v>#N/A</v>
      </c>
      <c r="V4227" s="282" t="e">
        <f>+Tabla4[[#This Row],[Comisión Calculada]]*Tabla4[[#This Row],[Total]]</f>
        <v>#N/A</v>
      </c>
    </row>
    <row r="4228" spans="1:22" hidden="1" x14ac:dyDescent="0.25">
      <c r="A4228" s="100">
        <v>45853</v>
      </c>
      <c r="B4228" t="str">
        <f t="shared" si="209"/>
        <v>July</v>
      </c>
      <c r="C4228" s="46" t="s">
        <v>280</v>
      </c>
      <c r="F4228" s="366" t="s">
        <v>2310</v>
      </c>
      <c r="G4228" s="46" t="s">
        <v>566</v>
      </c>
      <c r="H4228" s="46">
        <v>1</v>
      </c>
      <c r="I4228" s="51">
        <v>2109.4499999999998</v>
      </c>
      <c r="J4228" s="281">
        <f>++Tabla4[[#This Row],[Precio Bruto]]*1.16</f>
        <v>2446.9619999999995</v>
      </c>
      <c r="K4228" s="281">
        <f>+Tabla4[[#This Row],[Precio Unitario Neto]]*Tabla4[[#Headers],[20.85%]]</f>
        <v>510.19157699999988</v>
      </c>
      <c r="L4228" s="282">
        <f>++Tabla4[[#This Row],[Precio Unitario Neto]]-Tabla4[[#This Row],[20.85%]]</f>
        <v>1936.7704229999997</v>
      </c>
      <c r="M4228" s="282" t="e">
        <f>(INDEX(Tabla6[#All],MATCH(Tabla4[[#This Row],[Producto]],Tabla6[[#All],[PRODUCTO]],0),MATCH(Tabla4[[#This Row],[Mes]],Tabla6[#Headers],0)))*(1+Catalogos!$L$2)</f>
        <v>#N/A</v>
      </c>
      <c r="N4228" s="283" t="e">
        <f>+(Tabla4[[#This Row],[Precio Descontado]]-Tabla4[[#This Row],[Precio Base]])*Tabla4[[#This Row],[Cantidad]]</f>
        <v>#N/A</v>
      </c>
      <c r="O4228" s="284" t="e">
        <f>++Tabla4[[#This Row],[Utilidad Total]]/Tabla4[[#This Row],[Total]]</f>
        <v>#N/A</v>
      </c>
      <c r="P4228" s="282">
        <f>++Tabla4[[#This Row],[Precio Descontado]]*Tabla4[[#This Row],[Cantidad]]</f>
        <v>1936.7704229999997</v>
      </c>
      <c r="Q4228" s="282" t="e">
        <f>(INDEX(Tabla6[#All],MATCH(Tabla4[[#This Row],[Producto]],Tabla6[[#All],[PRODUCTO]],0),MATCH(Tabla4[[#This Row],[Mes]],Tabla6[#Headers],0)))</f>
        <v>#N/A</v>
      </c>
      <c r="R4228" s="282" t="e">
        <f>++Tabla4[[#This Row],[Precio Unitario Neto]]-Tabla4[[#This Row],[20.85%]]-Tabla4[[#This Row],[Costo]]</f>
        <v>#N/A</v>
      </c>
      <c r="S4228" s="282" t="e">
        <f>++Tabla4[[#This Row],[U. Bruta Uni]]*Tabla4[[#This Row],[Cantidad]]</f>
        <v>#N/A</v>
      </c>
      <c r="T4228" s="369" t="str">
        <f>VLOOKUP(Tabla4[[#This Row],[Producto]],Tabla6[#All],14,FALSE)</f>
        <v>Termico Solar</v>
      </c>
      <c r="U4228" s="284" t="e">
        <f>(IF(Tabla4[[#This Row],[Familia]]="termico solar",Tabla4[[#This Row],[Utilidad Total]]*6%,Tabla4[[#This Row],[Utilidad Total]]*11.5%))/Tabla4[[#This Row],[Total]]</f>
        <v>#N/A</v>
      </c>
      <c r="V4228" s="282" t="e">
        <f>+Tabla4[[#This Row],[Comisión Calculada]]*Tabla4[[#This Row],[Total]]</f>
        <v>#N/A</v>
      </c>
    </row>
    <row r="4229" spans="1:22" hidden="1" x14ac:dyDescent="0.25">
      <c r="A4229" s="100">
        <v>45853</v>
      </c>
      <c r="B4229" t="str">
        <f t="shared" si="209"/>
        <v>July</v>
      </c>
      <c r="C4229" s="46" t="s">
        <v>280</v>
      </c>
      <c r="F4229" s="366" t="s">
        <v>2310</v>
      </c>
      <c r="G4229" s="46" t="s">
        <v>16</v>
      </c>
      <c r="H4229" s="46">
        <v>2</v>
      </c>
      <c r="I4229" s="51">
        <v>4103.8500000000004</v>
      </c>
      <c r="J4229" s="281">
        <f>++Tabla4[[#This Row],[Precio Bruto]]*1.16</f>
        <v>4760.4660000000003</v>
      </c>
      <c r="K4229" s="281">
        <f>+Tabla4[[#This Row],[Precio Unitario Neto]]*Tabla4[[#Headers],[20.85%]]</f>
        <v>992.55716100000006</v>
      </c>
      <c r="L4229" s="282">
        <f>++Tabla4[[#This Row],[Precio Unitario Neto]]-Tabla4[[#This Row],[20.85%]]</f>
        <v>3767.9088390000002</v>
      </c>
      <c r="M4229" s="282" t="e">
        <f>(INDEX(Tabla6[#All],MATCH(Tabla4[[#This Row],[Producto]],Tabla6[[#All],[PRODUCTO]],0),MATCH(Tabla4[[#This Row],[Mes]],Tabla6[#Headers],0)))*(1+Catalogos!$L$2)</f>
        <v>#N/A</v>
      </c>
      <c r="N4229" s="283" t="e">
        <f>+(Tabla4[[#This Row],[Precio Descontado]]-Tabla4[[#This Row],[Precio Base]])*Tabla4[[#This Row],[Cantidad]]</f>
        <v>#N/A</v>
      </c>
      <c r="O4229" s="284" t="e">
        <f>++Tabla4[[#This Row],[Utilidad Total]]/Tabla4[[#This Row],[Total]]</f>
        <v>#N/A</v>
      </c>
      <c r="P4229" s="282">
        <f>++Tabla4[[#This Row],[Precio Descontado]]*Tabla4[[#This Row],[Cantidad]]</f>
        <v>7535.8176780000003</v>
      </c>
      <c r="Q4229" s="282" t="e">
        <f>(INDEX(Tabla6[#All],MATCH(Tabla4[[#This Row],[Producto]],Tabla6[[#All],[PRODUCTO]],0),MATCH(Tabla4[[#This Row],[Mes]],Tabla6[#Headers],0)))</f>
        <v>#N/A</v>
      </c>
      <c r="R4229" s="282" t="e">
        <f>++Tabla4[[#This Row],[Precio Unitario Neto]]-Tabla4[[#This Row],[20.85%]]-Tabla4[[#This Row],[Costo]]</f>
        <v>#N/A</v>
      </c>
      <c r="S4229" s="282" t="e">
        <f>++Tabla4[[#This Row],[U. Bruta Uni]]*Tabla4[[#This Row],[Cantidad]]</f>
        <v>#N/A</v>
      </c>
      <c r="T4229" s="369" t="str">
        <f>VLOOKUP(Tabla4[[#This Row],[Producto]],Tabla6[#All],14,FALSE)</f>
        <v>Termico Solar</v>
      </c>
      <c r="U4229" s="284" t="e">
        <f>(IF(Tabla4[[#This Row],[Familia]]="termico solar",Tabla4[[#This Row],[Utilidad Total]]*6%,Tabla4[[#This Row],[Utilidad Total]]*11.5%))/Tabla4[[#This Row],[Total]]</f>
        <v>#N/A</v>
      </c>
      <c r="V4229" s="282" t="e">
        <f>+Tabla4[[#This Row],[Comisión Calculada]]*Tabla4[[#This Row],[Total]]</f>
        <v>#N/A</v>
      </c>
    </row>
    <row r="4230" spans="1:22" hidden="1" x14ac:dyDescent="0.25">
      <c r="A4230" s="100">
        <v>45853</v>
      </c>
      <c r="B4230" t="str">
        <f t="shared" si="209"/>
        <v>July</v>
      </c>
      <c r="C4230" s="46" t="s">
        <v>280</v>
      </c>
      <c r="F4230" s="366" t="s">
        <v>2311</v>
      </c>
      <c r="G4230" s="46" t="s">
        <v>18</v>
      </c>
      <c r="H4230" s="46">
        <v>3</v>
      </c>
      <c r="I4230" s="51">
        <v>5367.6500000000005</v>
      </c>
      <c r="J4230" s="281">
        <f>++Tabla4[[#This Row],[Precio Bruto]]*1.16</f>
        <v>6226.4740000000002</v>
      </c>
      <c r="K4230" s="281">
        <f>+Tabla4[[#This Row],[Precio Unitario Neto]]*Tabla4[[#Headers],[20.85%]]</f>
        <v>1298.2198289999999</v>
      </c>
      <c r="L4230" s="282">
        <f>++Tabla4[[#This Row],[Precio Unitario Neto]]-Tabla4[[#This Row],[20.85%]]</f>
        <v>4928.2541710000005</v>
      </c>
      <c r="M4230" s="282" t="e">
        <f>(INDEX(Tabla6[#All],MATCH(Tabla4[[#This Row],[Producto]],Tabla6[[#All],[PRODUCTO]],0),MATCH(Tabla4[[#This Row],[Mes]],Tabla6[#Headers],0)))*(1+Catalogos!$L$2)</f>
        <v>#N/A</v>
      </c>
      <c r="N4230" s="283" t="e">
        <f>+(Tabla4[[#This Row],[Precio Descontado]]-Tabla4[[#This Row],[Precio Base]])*Tabla4[[#This Row],[Cantidad]]</f>
        <v>#N/A</v>
      </c>
      <c r="O4230" s="284" t="e">
        <f>++Tabla4[[#This Row],[Utilidad Total]]/Tabla4[[#This Row],[Total]]</f>
        <v>#N/A</v>
      </c>
      <c r="P4230" s="282">
        <f>++Tabla4[[#This Row],[Precio Descontado]]*Tabla4[[#This Row],[Cantidad]]</f>
        <v>14784.762513000001</v>
      </c>
      <c r="Q4230" s="282" t="e">
        <f>(INDEX(Tabla6[#All],MATCH(Tabla4[[#This Row],[Producto]],Tabla6[[#All],[PRODUCTO]],0),MATCH(Tabla4[[#This Row],[Mes]],Tabla6[#Headers],0)))</f>
        <v>#N/A</v>
      </c>
      <c r="R4230" s="282" t="e">
        <f>++Tabla4[[#This Row],[Precio Unitario Neto]]-Tabla4[[#This Row],[20.85%]]-Tabla4[[#This Row],[Costo]]</f>
        <v>#N/A</v>
      </c>
      <c r="S4230" s="282" t="e">
        <f>++Tabla4[[#This Row],[U. Bruta Uni]]*Tabla4[[#This Row],[Cantidad]]</f>
        <v>#N/A</v>
      </c>
      <c r="T4230" s="369" t="str">
        <f>VLOOKUP(Tabla4[[#This Row],[Producto]],Tabla6[#All],14,FALSE)</f>
        <v>Termico Solar</v>
      </c>
      <c r="U4230" s="284" t="e">
        <f>(IF(Tabla4[[#This Row],[Familia]]="termico solar",Tabla4[[#This Row],[Utilidad Total]]*6%,Tabla4[[#This Row],[Utilidad Total]]*11.5%))/Tabla4[[#This Row],[Total]]</f>
        <v>#N/A</v>
      </c>
      <c r="V4230" s="282" t="e">
        <f>+Tabla4[[#This Row],[Comisión Calculada]]*Tabla4[[#This Row],[Total]]</f>
        <v>#N/A</v>
      </c>
    </row>
    <row r="4231" spans="1:22" hidden="1" x14ac:dyDescent="0.25">
      <c r="A4231" s="100">
        <v>45853</v>
      </c>
      <c r="B4231" t="str">
        <f t="shared" si="209"/>
        <v>July</v>
      </c>
      <c r="C4231" s="46" t="s">
        <v>280</v>
      </c>
      <c r="F4231" s="366" t="s">
        <v>2312</v>
      </c>
      <c r="G4231" s="46" t="s">
        <v>83</v>
      </c>
      <c r="H4231" s="46">
        <v>1</v>
      </c>
      <c r="I4231" s="51">
        <v>8858.76</v>
      </c>
      <c r="J4231" s="281">
        <f>++Tabla4[[#This Row],[Precio Bruto]]*1.16</f>
        <v>10276.161599999999</v>
      </c>
      <c r="K4231" s="281">
        <f>+Tabla4[[#This Row],[Precio Unitario Neto]]*Tabla4[[#Headers],[20.85%]]</f>
        <v>2142.5796935999997</v>
      </c>
      <c r="L4231" s="282">
        <f>++Tabla4[[#This Row],[Precio Unitario Neto]]-Tabla4[[#This Row],[20.85%]]</f>
        <v>8133.5819063999998</v>
      </c>
      <c r="M4231" s="282" t="e">
        <f>(INDEX(Tabla6[#All],MATCH(Tabla4[[#This Row],[Producto]],Tabla6[[#All],[PRODUCTO]],0),MATCH(Tabla4[[#This Row],[Mes]],Tabla6[#Headers],0)))*(1+Catalogos!$L$2)</f>
        <v>#N/A</v>
      </c>
      <c r="N4231" s="283" t="e">
        <f>+(Tabla4[[#This Row],[Precio Descontado]]-Tabla4[[#This Row],[Precio Base]])*Tabla4[[#This Row],[Cantidad]]</f>
        <v>#N/A</v>
      </c>
      <c r="O4231" s="284" t="e">
        <f>++Tabla4[[#This Row],[Utilidad Total]]/Tabla4[[#This Row],[Total]]</f>
        <v>#N/A</v>
      </c>
      <c r="P4231" s="282">
        <f>++Tabla4[[#This Row],[Precio Descontado]]*Tabla4[[#This Row],[Cantidad]]</f>
        <v>8133.5819063999998</v>
      </c>
      <c r="Q4231" s="282" t="e">
        <f>(INDEX(Tabla6[#All],MATCH(Tabla4[[#This Row],[Producto]],Tabla6[[#All],[PRODUCTO]],0),MATCH(Tabla4[[#This Row],[Mes]],Tabla6[#Headers],0)))</f>
        <v>#N/A</v>
      </c>
      <c r="R4231" s="282" t="e">
        <f>++Tabla4[[#This Row],[Precio Unitario Neto]]-Tabla4[[#This Row],[20.85%]]-Tabla4[[#This Row],[Costo]]</f>
        <v>#N/A</v>
      </c>
      <c r="S4231" s="282" t="e">
        <f>++Tabla4[[#This Row],[U. Bruta Uni]]*Tabla4[[#This Row],[Cantidad]]</f>
        <v>#N/A</v>
      </c>
      <c r="T4231" s="369" t="str">
        <f>VLOOKUP(Tabla4[[#This Row],[Producto]],Tabla6[#All],14,FALSE)</f>
        <v>Termico Solar</v>
      </c>
      <c r="U4231" s="284" t="e">
        <f>(IF(Tabla4[[#This Row],[Familia]]="termico solar",Tabla4[[#This Row],[Utilidad Total]]*6%,Tabla4[[#This Row],[Utilidad Total]]*11.5%))/Tabla4[[#This Row],[Total]]</f>
        <v>#N/A</v>
      </c>
      <c r="V4231" s="282" t="e">
        <f>+Tabla4[[#This Row],[Comisión Calculada]]*Tabla4[[#This Row],[Total]]</f>
        <v>#N/A</v>
      </c>
    </row>
    <row r="4232" spans="1:22" hidden="1" x14ac:dyDescent="0.25">
      <c r="A4232" s="100">
        <v>45853</v>
      </c>
      <c r="B4232" t="str">
        <f t="shared" si="209"/>
        <v>July</v>
      </c>
      <c r="C4232" s="46" t="s">
        <v>280</v>
      </c>
      <c r="F4232" s="366" t="s">
        <v>2313</v>
      </c>
      <c r="G4232" s="46" t="s">
        <v>83</v>
      </c>
      <c r="H4232" s="46">
        <v>2</v>
      </c>
      <c r="I4232" s="51">
        <v>8858.76</v>
      </c>
      <c r="J4232" s="281">
        <f>++Tabla4[[#This Row],[Precio Bruto]]*1.16</f>
        <v>10276.161599999999</v>
      </c>
      <c r="K4232" s="281">
        <f>+Tabla4[[#This Row],[Precio Unitario Neto]]*Tabla4[[#Headers],[20.85%]]</f>
        <v>2142.5796935999997</v>
      </c>
      <c r="L4232" s="282">
        <f>++Tabla4[[#This Row],[Precio Unitario Neto]]-Tabla4[[#This Row],[20.85%]]</f>
        <v>8133.5819063999998</v>
      </c>
      <c r="M4232" s="282" t="e">
        <f>(INDEX(Tabla6[#All],MATCH(Tabla4[[#This Row],[Producto]],Tabla6[[#All],[PRODUCTO]],0),MATCH(Tabla4[[#This Row],[Mes]],Tabla6[#Headers],0)))*(1+Catalogos!$L$2)</f>
        <v>#N/A</v>
      </c>
      <c r="N4232" s="283" t="e">
        <f>+(Tabla4[[#This Row],[Precio Descontado]]-Tabla4[[#This Row],[Precio Base]])*Tabla4[[#This Row],[Cantidad]]</f>
        <v>#N/A</v>
      </c>
      <c r="O4232" s="284" t="e">
        <f>++Tabla4[[#This Row],[Utilidad Total]]/Tabla4[[#This Row],[Total]]</f>
        <v>#N/A</v>
      </c>
      <c r="P4232" s="282">
        <f>++Tabla4[[#This Row],[Precio Descontado]]*Tabla4[[#This Row],[Cantidad]]</f>
        <v>16267.1638128</v>
      </c>
      <c r="Q4232" s="282" t="e">
        <f>(INDEX(Tabla6[#All],MATCH(Tabla4[[#This Row],[Producto]],Tabla6[[#All],[PRODUCTO]],0),MATCH(Tabla4[[#This Row],[Mes]],Tabla6[#Headers],0)))</f>
        <v>#N/A</v>
      </c>
      <c r="R4232" s="282" t="e">
        <f>++Tabla4[[#This Row],[Precio Unitario Neto]]-Tabla4[[#This Row],[20.85%]]-Tabla4[[#This Row],[Costo]]</f>
        <v>#N/A</v>
      </c>
      <c r="S4232" s="282" t="e">
        <f>++Tabla4[[#This Row],[U. Bruta Uni]]*Tabla4[[#This Row],[Cantidad]]</f>
        <v>#N/A</v>
      </c>
      <c r="T4232" s="369" t="str">
        <f>VLOOKUP(Tabla4[[#This Row],[Producto]],Tabla6[#All],14,FALSE)</f>
        <v>Termico Solar</v>
      </c>
      <c r="U4232" s="284" t="e">
        <f>(IF(Tabla4[[#This Row],[Familia]]="termico solar",Tabla4[[#This Row],[Utilidad Total]]*6%,Tabla4[[#This Row],[Utilidad Total]]*11.5%))/Tabla4[[#This Row],[Total]]</f>
        <v>#N/A</v>
      </c>
      <c r="V4232" s="282" t="e">
        <f>+Tabla4[[#This Row],[Comisión Calculada]]*Tabla4[[#This Row],[Total]]</f>
        <v>#N/A</v>
      </c>
    </row>
    <row r="4233" spans="1:22" hidden="1" x14ac:dyDescent="0.25">
      <c r="A4233" s="100">
        <v>45853</v>
      </c>
      <c r="B4233" t="str">
        <f t="shared" si="209"/>
        <v>July</v>
      </c>
      <c r="C4233" s="46" t="s">
        <v>280</v>
      </c>
      <c r="F4233" s="366" t="s">
        <v>2313</v>
      </c>
      <c r="G4233" s="46" t="s">
        <v>17</v>
      </c>
      <c r="H4233" s="46">
        <v>1</v>
      </c>
      <c r="I4233" s="51">
        <v>4622.28</v>
      </c>
      <c r="J4233" s="281">
        <f>++Tabla4[[#This Row],[Precio Bruto]]*1.16</f>
        <v>5361.8447999999989</v>
      </c>
      <c r="K4233" s="281">
        <f>+Tabla4[[#This Row],[Precio Unitario Neto]]*Tabla4[[#Headers],[20.85%]]</f>
        <v>1117.9446407999997</v>
      </c>
      <c r="L4233" s="282">
        <f>++Tabla4[[#This Row],[Precio Unitario Neto]]-Tabla4[[#This Row],[20.85%]]</f>
        <v>4243.9001591999995</v>
      </c>
      <c r="M4233" s="282" t="e">
        <f>(INDEX(Tabla6[#All],MATCH(Tabla4[[#This Row],[Producto]],Tabla6[[#All],[PRODUCTO]],0),MATCH(Tabla4[[#This Row],[Mes]],Tabla6[#Headers],0)))*(1+Catalogos!$L$2)</f>
        <v>#N/A</v>
      </c>
      <c r="N4233" s="283" t="e">
        <f>+(Tabla4[[#This Row],[Precio Descontado]]-Tabla4[[#This Row],[Precio Base]])*Tabla4[[#This Row],[Cantidad]]</f>
        <v>#N/A</v>
      </c>
      <c r="O4233" s="284" t="e">
        <f>++Tabla4[[#This Row],[Utilidad Total]]/Tabla4[[#This Row],[Total]]</f>
        <v>#N/A</v>
      </c>
      <c r="P4233" s="282">
        <f>++Tabla4[[#This Row],[Precio Descontado]]*Tabla4[[#This Row],[Cantidad]]</f>
        <v>4243.9001591999995</v>
      </c>
      <c r="Q4233" s="282" t="e">
        <f>(INDEX(Tabla6[#All],MATCH(Tabla4[[#This Row],[Producto]],Tabla6[[#All],[PRODUCTO]],0),MATCH(Tabla4[[#This Row],[Mes]],Tabla6[#Headers],0)))</f>
        <v>#N/A</v>
      </c>
      <c r="R4233" s="282" t="e">
        <f>++Tabla4[[#This Row],[Precio Unitario Neto]]-Tabla4[[#This Row],[20.85%]]-Tabla4[[#This Row],[Costo]]</f>
        <v>#N/A</v>
      </c>
      <c r="S4233" s="282" t="e">
        <f>++Tabla4[[#This Row],[U. Bruta Uni]]*Tabla4[[#This Row],[Cantidad]]</f>
        <v>#N/A</v>
      </c>
      <c r="T4233" s="369" t="str">
        <f>VLOOKUP(Tabla4[[#This Row],[Producto]],Tabla6[#All],14,FALSE)</f>
        <v>Termico Solar</v>
      </c>
      <c r="U4233" s="284" t="e">
        <f>(IF(Tabla4[[#This Row],[Familia]]="termico solar",Tabla4[[#This Row],[Utilidad Total]]*6%,Tabla4[[#This Row],[Utilidad Total]]*11.5%))/Tabla4[[#This Row],[Total]]</f>
        <v>#N/A</v>
      </c>
      <c r="V4233" s="282" t="e">
        <f>+Tabla4[[#This Row],[Comisión Calculada]]*Tabla4[[#This Row],[Total]]</f>
        <v>#N/A</v>
      </c>
    </row>
    <row r="4234" spans="1:22" hidden="1" x14ac:dyDescent="0.25">
      <c r="A4234" s="100">
        <v>45853</v>
      </c>
      <c r="B4234" t="str">
        <f t="shared" si="209"/>
        <v>July</v>
      </c>
      <c r="C4234" s="46" t="s">
        <v>280</v>
      </c>
      <c r="F4234" s="366" t="s">
        <v>2313</v>
      </c>
      <c r="G4234" s="46" t="s">
        <v>16</v>
      </c>
      <c r="H4234" s="46">
        <v>1</v>
      </c>
      <c r="I4234" s="51">
        <v>4103.8500000000004</v>
      </c>
      <c r="J4234" s="281">
        <f>++Tabla4[[#This Row],[Precio Bruto]]*1.16</f>
        <v>4760.4660000000003</v>
      </c>
      <c r="K4234" s="281">
        <f>+Tabla4[[#This Row],[Precio Unitario Neto]]*Tabla4[[#Headers],[20.85%]]</f>
        <v>992.55716100000006</v>
      </c>
      <c r="L4234" s="282">
        <f>++Tabla4[[#This Row],[Precio Unitario Neto]]-Tabla4[[#This Row],[20.85%]]</f>
        <v>3767.9088390000002</v>
      </c>
      <c r="M4234" s="282" t="e">
        <f>(INDEX(Tabla6[#All],MATCH(Tabla4[[#This Row],[Producto]],Tabla6[[#All],[PRODUCTO]],0),MATCH(Tabla4[[#This Row],[Mes]],Tabla6[#Headers],0)))*(1+Catalogos!$L$2)</f>
        <v>#N/A</v>
      </c>
      <c r="N4234" s="283" t="e">
        <f>+(Tabla4[[#This Row],[Precio Descontado]]-Tabla4[[#This Row],[Precio Base]])*Tabla4[[#This Row],[Cantidad]]</f>
        <v>#N/A</v>
      </c>
      <c r="O4234" s="284" t="e">
        <f>++Tabla4[[#This Row],[Utilidad Total]]/Tabla4[[#This Row],[Total]]</f>
        <v>#N/A</v>
      </c>
      <c r="P4234" s="282">
        <f>++Tabla4[[#This Row],[Precio Descontado]]*Tabla4[[#This Row],[Cantidad]]</f>
        <v>3767.9088390000002</v>
      </c>
      <c r="Q4234" s="282" t="e">
        <f>(INDEX(Tabla6[#All],MATCH(Tabla4[[#This Row],[Producto]],Tabla6[[#All],[PRODUCTO]],0),MATCH(Tabla4[[#This Row],[Mes]],Tabla6[#Headers],0)))</f>
        <v>#N/A</v>
      </c>
      <c r="R4234" s="282" t="e">
        <f>++Tabla4[[#This Row],[Precio Unitario Neto]]-Tabla4[[#This Row],[20.85%]]-Tabla4[[#This Row],[Costo]]</f>
        <v>#N/A</v>
      </c>
      <c r="S4234" s="282" t="e">
        <f>++Tabla4[[#This Row],[U. Bruta Uni]]*Tabla4[[#This Row],[Cantidad]]</f>
        <v>#N/A</v>
      </c>
      <c r="T4234" s="369" t="str">
        <f>VLOOKUP(Tabla4[[#This Row],[Producto]],Tabla6[#All],14,FALSE)</f>
        <v>Termico Solar</v>
      </c>
      <c r="U4234" s="284" t="e">
        <f>(IF(Tabla4[[#This Row],[Familia]]="termico solar",Tabla4[[#This Row],[Utilidad Total]]*6%,Tabla4[[#This Row],[Utilidad Total]]*11.5%))/Tabla4[[#This Row],[Total]]</f>
        <v>#N/A</v>
      </c>
      <c r="V4234" s="282" t="e">
        <f>+Tabla4[[#This Row],[Comisión Calculada]]*Tabla4[[#This Row],[Total]]</f>
        <v>#N/A</v>
      </c>
    </row>
    <row r="4235" spans="1:22" hidden="1" x14ac:dyDescent="0.25">
      <c r="A4235" s="100">
        <v>45853</v>
      </c>
      <c r="B4235" t="str">
        <f t="shared" si="209"/>
        <v>July</v>
      </c>
      <c r="C4235" s="46" t="s">
        <v>280</v>
      </c>
      <c r="F4235" s="366" t="s">
        <v>2314</v>
      </c>
      <c r="G4235" s="46" t="s">
        <v>18</v>
      </c>
      <c r="H4235" s="46">
        <v>3</v>
      </c>
      <c r="I4235" s="51">
        <v>5367.6500000000005</v>
      </c>
      <c r="J4235" s="281">
        <f>++Tabla4[[#This Row],[Precio Bruto]]*1.16</f>
        <v>6226.4740000000002</v>
      </c>
      <c r="K4235" s="281">
        <f>+Tabla4[[#This Row],[Precio Unitario Neto]]*Tabla4[[#Headers],[20.85%]]</f>
        <v>1298.2198289999999</v>
      </c>
      <c r="L4235" s="282">
        <f>++Tabla4[[#This Row],[Precio Unitario Neto]]-Tabla4[[#This Row],[20.85%]]</f>
        <v>4928.2541710000005</v>
      </c>
      <c r="M4235" s="282" t="e">
        <f>(INDEX(Tabla6[#All],MATCH(Tabla4[[#This Row],[Producto]],Tabla6[[#All],[PRODUCTO]],0),MATCH(Tabla4[[#This Row],[Mes]],Tabla6[#Headers],0)))*(1+Catalogos!$L$2)</f>
        <v>#N/A</v>
      </c>
      <c r="N4235" s="283" t="e">
        <f>+(Tabla4[[#This Row],[Precio Descontado]]-Tabla4[[#This Row],[Precio Base]])*Tabla4[[#This Row],[Cantidad]]</f>
        <v>#N/A</v>
      </c>
      <c r="O4235" s="284" t="e">
        <f>++Tabla4[[#This Row],[Utilidad Total]]/Tabla4[[#This Row],[Total]]</f>
        <v>#N/A</v>
      </c>
      <c r="P4235" s="282">
        <f>++Tabla4[[#This Row],[Precio Descontado]]*Tabla4[[#This Row],[Cantidad]]</f>
        <v>14784.762513000001</v>
      </c>
      <c r="Q4235" s="282" t="e">
        <f>(INDEX(Tabla6[#All],MATCH(Tabla4[[#This Row],[Producto]],Tabla6[[#All],[PRODUCTO]],0),MATCH(Tabla4[[#This Row],[Mes]],Tabla6[#Headers],0)))</f>
        <v>#N/A</v>
      </c>
      <c r="R4235" s="282" t="e">
        <f>++Tabla4[[#This Row],[Precio Unitario Neto]]-Tabla4[[#This Row],[20.85%]]-Tabla4[[#This Row],[Costo]]</f>
        <v>#N/A</v>
      </c>
      <c r="S4235" s="282" t="e">
        <f>++Tabla4[[#This Row],[U. Bruta Uni]]*Tabla4[[#This Row],[Cantidad]]</f>
        <v>#N/A</v>
      </c>
      <c r="T4235" s="369" t="str">
        <f>VLOOKUP(Tabla4[[#This Row],[Producto]],Tabla6[#All],14,FALSE)</f>
        <v>Termico Solar</v>
      </c>
      <c r="U4235" s="284" t="e">
        <f>(IF(Tabla4[[#This Row],[Familia]]="termico solar",Tabla4[[#This Row],[Utilidad Total]]*6%,Tabla4[[#This Row],[Utilidad Total]]*11.5%))/Tabla4[[#This Row],[Total]]</f>
        <v>#N/A</v>
      </c>
      <c r="V4235" s="282" t="e">
        <f>+Tabla4[[#This Row],[Comisión Calculada]]*Tabla4[[#This Row],[Total]]</f>
        <v>#N/A</v>
      </c>
    </row>
    <row r="4236" spans="1:22" hidden="1" x14ac:dyDescent="0.25">
      <c r="A4236" s="100">
        <v>45853</v>
      </c>
      <c r="B4236" t="str">
        <f t="shared" si="209"/>
        <v>July</v>
      </c>
      <c r="C4236" s="46" t="s">
        <v>280</v>
      </c>
      <c r="F4236" s="366" t="s">
        <v>2314</v>
      </c>
      <c r="G4236" s="46" t="s">
        <v>566</v>
      </c>
      <c r="H4236" s="46">
        <v>1</v>
      </c>
      <c r="I4236" s="51">
        <v>2109.4499999999998</v>
      </c>
      <c r="J4236" s="281">
        <f>++Tabla4[[#This Row],[Precio Bruto]]*1.16</f>
        <v>2446.9619999999995</v>
      </c>
      <c r="K4236" s="281">
        <f>+Tabla4[[#This Row],[Precio Unitario Neto]]*Tabla4[[#Headers],[20.85%]]</f>
        <v>510.19157699999988</v>
      </c>
      <c r="L4236" s="282">
        <f>++Tabla4[[#This Row],[Precio Unitario Neto]]-Tabla4[[#This Row],[20.85%]]</f>
        <v>1936.7704229999997</v>
      </c>
      <c r="M4236" s="282" t="e">
        <f>(INDEX(Tabla6[#All],MATCH(Tabla4[[#This Row],[Producto]],Tabla6[[#All],[PRODUCTO]],0),MATCH(Tabla4[[#This Row],[Mes]],Tabla6[#Headers],0)))*(1+Catalogos!$L$2)</f>
        <v>#N/A</v>
      </c>
      <c r="N4236" s="283" t="e">
        <f>+(Tabla4[[#This Row],[Precio Descontado]]-Tabla4[[#This Row],[Precio Base]])*Tabla4[[#This Row],[Cantidad]]</f>
        <v>#N/A</v>
      </c>
      <c r="O4236" s="284" t="e">
        <f>++Tabla4[[#This Row],[Utilidad Total]]/Tabla4[[#This Row],[Total]]</f>
        <v>#N/A</v>
      </c>
      <c r="P4236" s="282">
        <f>++Tabla4[[#This Row],[Precio Descontado]]*Tabla4[[#This Row],[Cantidad]]</f>
        <v>1936.7704229999997</v>
      </c>
      <c r="Q4236" s="282" t="e">
        <f>(INDEX(Tabla6[#All],MATCH(Tabla4[[#This Row],[Producto]],Tabla6[[#All],[PRODUCTO]],0),MATCH(Tabla4[[#This Row],[Mes]],Tabla6[#Headers],0)))</f>
        <v>#N/A</v>
      </c>
      <c r="R4236" s="282" t="e">
        <f>++Tabla4[[#This Row],[Precio Unitario Neto]]-Tabla4[[#This Row],[20.85%]]-Tabla4[[#This Row],[Costo]]</f>
        <v>#N/A</v>
      </c>
      <c r="S4236" s="282" t="e">
        <f>++Tabla4[[#This Row],[U. Bruta Uni]]*Tabla4[[#This Row],[Cantidad]]</f>
        <v>#N/A</v>
      </c>
      <c r="T4236" s="369" t="str">
        <f>VLOOKUP(Tabla4[[#This Row],[Producto]],Tabla6[#All],14,FALSE)</f>
        <v>Termico Solar</v>
      </c>
      <c r="U4236" s="284" t="e">
        <f>(IF(Tabla4[[#This Row],[Familia]]="termico solar",Tabla4[[#This Row],[Utilidad Total]]*6%,Tabla4[[#This Row],[Utilidad Total]]*11.5%))/Tabla4[[#This Row],[Total]]</f>
        <v>#N/A</v>
      </c>
      <c r="V4236" s="282" t="e">
        <f>+Tabla4[[#This Row],[Comisión Calculada]]*Tabla4[[#This Row],[Total]]</f>
        <v>#N/A</v>
      </c>
    </row>
    <row r="4237" spans="1:22" hidden="1" x14ac:dyDescent="0.25">
      <c r="A4237" s="100">
        <v>45853</v>
      </c>
      <c r="B4237" t="str">
        <f t="shared" ref="B4237:B4244" si="210">TEXT(A4237, "mmmm")</f>
        <v>July</v>
      </c>
      <c r="C4237" s="46" t="s">
        <v>280</v>
      </c>
      <c r="F4237" s="366" t="s">
        <v>2315</v>
      </c>
      <c r="G4237" s="46" t="s">
        <v>83</v>
      </c>
      <c r="H4237" s="46">
        <v>3</v>
      </c>
      <c r="I4237" s="51">
        <v>8858.76</v>
      </c>
      <c r="J4237" s="281">
        <f>++Tabla4[[#This Row],[Precio Bruto]]*1.16</f>
        <v>10276.161599999999</v>
      </c>
      <c r="K4237" s="281">
        <f>+Tabla4[[#This Row],[Precio Unitario Neto]]*Tabla4[[#Headers],[20.85%]]</f>
        <v>2142.5796935999997</v>
      </c>
      <c r="L4237" s="282">
        <f>++Tabla4[[#This Row],[Precio Unitario Neto]]-Tabla4[[#This Row],[20.85%]]</f>
        <v>8133.5819063999998</v>
      </c>
      <c r="M4237" s="282" t="e">
        <f>(INDEX(Tabla6[#All],MATCH(Tabla4[[#This Row],[Producto]],Tabla6[[#All],[PRODUCTO]],0),MATCH(Tabla4[[#This Row],[Mes]],Tabla6[#Headers],0)))*(1+Catalogos!$L$2)</f>
        <v>#N/A</v>
      </c>
      <c r="N4237" s="283" t="e">
        <f>+(Tabla4[[#This Row],[Precio Descontado]]-Tabla4[[#This Row],[Precio Base]])*Tabla4[[#This Row],[Cantidad]]</f>
        <v>#N/A</v>
      </c>
      <c r="O4237" s="284" t="e">
        <f>++Tabla4[[#This Row],[Utilidad Total]]/Tabla4[[#This Row],[Total]]</f>
        <v>#N/A</v>
      </c>
      <c r="P4237" s="282">
        <f>++Tabla4[[#This Row],[Precio Descontado]]*Tabla4[[#This Row],[Cantidad]]</f>
        <v>24400.7457192</v>
      </c>
      <c r="Q4237" s="282" t="e">
        <f>(INDEX(Tabla6[#All],MATCH(Tabla4[[#This Row],[Producto]],Tabla6[[#All],[PRODUCTO]],0),MATCH(Tabla4[[#This Row],[Mes]],Tabla6[#Headers],0)))</f>
        <v>#N/A</v>
      </c>
      <c r="R4237" s="282" t="e">
        <f>++Tabla4[[#This Row],[Precio Unitario Neto]]-Tabla4[[#This Row],[20.85%]]-Tabla4[[#This Row],[Costo]]</f>
        <v>#N/A</v>
      </c>
      <c r="S4237" s="282" t="e">
        <f>++Tabla4[[#This Row],[U. Bruta Uni]]*Tabla4[[#This Row],[Cantidad]]</f>
        <v>#N/A</v>
      </c>
      <c r="T4237" s="369" t="str">
        <f>VLOOKUP(Tabla4[[#This Row],[Producto]],Tabla6[#All],14,FALSE)</f>
        <v>Termico Solar</v>
      </c>
      <c r="U4237" s="284" t="e">
        <f>(IF(Tabla4[[#This Row],[Familia]]="termico solar",Tabla4[[#This Row],[Utilidad Total]]*6%,Tabla4[[#This Row],[Utilidad Total]]*11.5%))/Tabla4[[#This Row],[Total]]</f>
        <v>#N/A</v>
      </c>
      <c r="V4237" s="282" t="e">
        <f>+Tabla4[[#This Row],[Comisión Calculada]]*Tabla4[[#This Row],[Total]]</f>
        <v>#N/A</v>
      </c>
    </row>
    <row r="4238" spans="1:22" hidden="1" x14ac:dyDescent="0.25">
      <c r="A4238" s="100">
        <v>45853</v>
      </c>
      <c r="B4238" t="str">
        <f t="shared" si="210"/>
        <v>July</v>
      </c>
      <c r="C4238" s="46" t="s">
        <v>280</v>
      </c>
      <c r="F4238" s="366" t="s">
        <v>2315</v>
      </c>
      <c r="G4238" s="46" t="s">
        <v>17</v>
      </c>
      <c r="H4238" s="46">
        <v>4</v>
      </c>
      <c r="I4238" s="51">
        <v>4622.28</v>
      </c>
      <c r="J4238" s="281">
        <f>++Tabla4[[#This Row],[Precio Bruto]]*1.16</f>
        <v>5361.8447999999989</v>
      </c>
      <c r="K4238" s="281">
        <f>+Tabla4[[#This Row],[Precio Unitario Neto]]*Tabla4[[#Headers],[20.85%]]</f>
        <v>1117.9446407999997</v>
      </c>
      <c r="L4238" s="282">
        <f>++Tabla4[[#This Row],[Precio Unitario Neto]]-Tabla4[[#This Row],[20.85%]]</f>
        <v>4243.9001591999995</v>
      </c>
      <c r="M4238" s="282" t="e">
        <f>(INDEX(Tabla6[#All],MATCH(Tabla4[[#This Row],[Producto]],Tabla6[[#All],[PRODUCTO]],0),MATCH(Tabla4[[#This Row],[Mes]],Tabla6[#Headers],0)))*(1+Catalogos!$L$2)</f>
        <v>#N/A</v>
      </c>
      <c r="N4238" s="283" t="e">
        <f>+(Tabla4[[#This Row],[Precio Descontado]]-Tabla4[[#This Row],[Precio Base]])*Tabla4[[#This Row],[Cantidad]]</f>
        <v>#N/A</v>
      </c>
      <c r="O4238" s="284" t="e">
        <f>++Tabla4[[#This Row],[Utilidad Total]]/Tabla4[[#This Row],[Total]]</f>
        <v>#N/A</v>
      </c>
      <c r="P4238" s="282">
        <f>++Tabla4[[#This Row],[Precio Descontado]]*Tabla4[[#This Row],[Cantidad]]</f>
        <v>16975.600636799998</v>
      </c>
      <c r="Q4238" s="282" t="e">
        <f>(INDEX(Tabla6[#All],MATCH(Tabla4[[#This Row],[Producto]],Tabla6[[#All],[PRODUCTO]],0),MATCH(Tabla4[[#This Row],[Mes]],Tabla6[#Headers],0)))</f>
        <v>#N/A</v>
      </c>
      <c r="R4238" s="282" t="e">
        <f>++Tabla4[[#This Row],[Precio Unitario Neto]]-Tabla4[[#This Row],[20.85%]]-Tabla4[[#This Row],[Costo]]</f>
        <v>#N/A</v>
      </c>
      <c r="S4238" s="282" t="e">
        <f>++Tabla4[[#This Row],[U. Bruta Uni]]*Tabla4[[#This Row],[Cantidad]]</f>
        <v>#N/A</v>
      </c>
      <c r="T4238" s="369" t="str">
        <f>VLOOKUP(Tabla4[[#This Row],[Producto]],Tabla6[#All],14,FALSE)</f>
        <v>Termico Solar</v>
      </c>
      <c r="U4238" s="284" t="e">
        <f>(IF(Tabla4[[#This Row],[Familia]]="termico solar",Tabla4[[#This Row],[Utilidad Total]]*6%,Tabla4[[#This Row],[Utilidad Total]]*11.5%))/Tabla4[[#This Row],[Total]]</f>
        <v>#N/A</v>
      </c>
      <c r="V4238" s="282" t="e">
        <f>+Tabla4[[#This Row],[Comisión Calculada]]*Tabla4[[#This Row],[Total]]</f>
        <v>#N/A</v>
      </c>
    </row>
    <row r="4239" spans="1:22" hidden="1" x14ac:dyDescent="0.25">
      <c r="A4239" s="100">
        <v>45853</v>
      </c>
      <c r="B4239" t="str">
        <f t="shared" si="210"/>
        <v>July</v>
      </c>
      <c r="C4239" s="46" t="s">
        <v>280</v>
      </c>
      <c r="F4239" s="366" t="s">
        <v>2315</v>
      </c>
      <c r="G4239" s="46" t="s">
        <v>566</v>
      </c>
      <c r="H4239" s="46">
        <v>1</v>
      </c>
      <c r="I4239" s="51">
        <v>2109.4499999999998</v>
      </c>
      <c r="J4239" s="281">
        <f>++Tabla4[[#This Row],[Precio Bruto]]*1.16</f>
        <v>2446.9619999999995</v>
      </c>
      <c r="K4239" s="281">
        <f>+Tabla4[[#This Row],[Precio Unitario Neto]]*Tabla4[[#Headers],[20.85%]]</f>
        <v>510.19157699999988</v>
      </c>
      <c r="L4239" s="282">
        <f>++Tabla4[[#This Row],[Precio Unitario Neto]]-Tabla4[[#This Row],[20.85%]]</f>
        <v>1936.7704229999997</v>
      </c>
      <c r="M4239" s="282" t="e">
        <f>(INDEX(Tabla6[#All],MATCH(Tabla4[[#This Row],[Producto]],Tabla6[[#All],[PRODUCTO]],0),MATCH(Tabla4[[#This Row],[Mes]],Tabla6[#Headers],0)))*(1+Catalogos!$L$2)</f>
        <v>#N/A</v>
      </c>
      <c r="N4239" s="283" t="e">
        <f>+(Tabla4[[#This Row],[Precio Descontado]]-Tabla4[[#This Row],[Precio Base]])*Tabla4[[#This Row],[Cantidad]]</f>
        <v>#N/A</v>
      </c>
      <c r="O4239" s="284" t="e">
        <f>++Tabla4[[#This Row],[Utilidad Total]]/Tabla4[[#This Row],[Total]]</f>
        <v>#N/A</v>
      </c>
      <c r="P4239" s="282">
        <f>++Tabla4[[#This Row],[Precio Descontado]]*Tabla4[[#This Row],[Cantidad]]</f>
        <v>1936.7704229999997</v>
      </c>
      <c r="Q4239" s="282" t="e">
        <f>(INDEX(Tabla6[#All],MATCH(Tabla4[[#This Row],[Producto]],Tabla6[[#All],[PRODUCTO]],0),MATCH(Tabla4[[#This Row],[Mes]],Tabla6[#Headers],0)))</f>
        <v>#N/A</v>
      </c>
      <c r="R4239" s="282" t="e">
        <f>++Tabla4[[#This Row],[Precio Unitario Neto]]-Tabla4[[#This Row],[20.85%]]-Tabla4[[#This Row],[Costo]]</f>
        <v>#N/A</v>
      </c>
      <c r="S4239" s="282" t="e">
        <f>++Tabla4[[#This Row],[U. Bruta Uni]]*Tabla4[[#This Row],[Cantidad]]</f>
        <v>#N/A</v>
      </c>
      <c r="T4239" s="369" t="str">
        <f>VLOOKUP(Tabla4[[#This Row],[Producto]],Tabla6[#All],14,FALSE)</f>
        <v>Termico Solar</v>
      </c>
      <c r="U4239" s="284" t="e">
        <f>(IF(Tabla4[[#This Row],[Familia]]="termico solar",Tabla4[[#This Row],[Utilidad Total]]*6%,Tabla4[[#This Row],[Utilidad Total]]*11.5%))/Tabla4[[#This Row],[Total]]</f>
        <v>#N/A</v>
      </c>
      <c r="V4239" s="282" t="e">
        <f>+Tabla4[[#This Row],[Comisión Calculada]]*Tabla4[[#This Row],[Total]]</f>
        <v>#N/A</v>
      </c>
    </row>
    <row r="4240" spans="1:22" hidden="1" x14ac:dyDescent="0.25">
      <c r="A4240" s="100">
        <v>45853</v>
      </c>
      <c r="B4240" t="str">
        <f t="shared" si="210"/>
        <v>July</v>
      </c>
      <c r="C4240" s="46" t="s">
        <v>280</v>
      </c>
      <c r="F4240" s="366" t="s">
        <v>2315</v>
      </c>
      <c r="G4240" s="46" t="s">
        <v>200</v>
      </c>
      <c r="H4240" s="46">
        <v>12</v>
      </c>
      <c r="I4240" s="51">
        <v>393.22</v>
      </c>
      <c r="J4240" s="281">
        <f>++Tabla4[[#This Row],[Precio Bruto]]*1.16</f>
        <v>456.1352</v>
      </c>
      <c r="K4240" s="281">
        <f>+Tabla4[[#This Row],[Precio Unitario Neto]]*Tabla4[[#Headers],[20.85%]]</f>
        <v>95.104189199999993</v>
      </c>
      <c r="L4240" s="282">
        <f>++Tabla4[[#This Row],[Precio Unitario Neto]]-Tabla4[[#This Row],[20.85%]]</f>
        <v>361.03101079999999</v>
      </c>
      <c r="M4240" s="282" t="e">
        <f>(INDEX(Tabla6[#All],MATCH(Tabla4[[#This Row],[Producto]],Tabla6[[#All],[PRODUCTO]],0),MATCH(Tabla4[[#This Row],[Mes]],Tabla6[#Headers],0)))*(1+Catalogos!$L$2)</f>
        <v>#N/A</v>
      </c>
      <c r="N4240" s="283" t="e">
        <f>+(Tabla4[[#This Row],[Precio Descontado]]-Tabla4[[#This Row],[Precio Base]])*Tabla4[[#This Row],[Cantidad]]</f>
        <v>#N/A</v>
      </c>
      <c r="O4240" s="284" t="e">
        <f>++Tabla4[[#This Row],[Utilidad Total]]/Tabla4[[#This Row],[Total]]</f>
        <v>#N/A</v>
      </c>
      <c r="P4240" s="282">
        <f>++Tabla4[[#This Row],[Precio Descontado]]*Tabla4[[#This Row],[Cantidad]]</f>
        <v>4332.3721296000003</v>
      </c>
      <c r="Q4240" s="282" t="e">
        <f>(INDEX(Tabla6[#All],MATCH(Tabla4[[#This Row],[Producto]],Tabla6[[#All],[PRODUCTO]],0),MATCH(Tabla4[[#This Row],[Mes]],Tabla6[#Headers],0)))</f>
        <v>#N/A</v>
      </c>
      <c r="R4240" s="282" t="e">
        <f>++Tabla4[[#This Row],[Precio Unitario Neto]]-Tabla4[[#This Row],[20.85%]]-Tabla4[[#This Row],[Costo]]</f>
        <v>#N/A</v>
      </c>
      <c r="S4240" s="282" t="e">
        <f>++Tabla4[[#This Row],[U. Bruta Uni]]*Tabla4[[#This Row],[Cantidad]]</f>
        <v>#N/A</v>
      </c>
      <c r="T4240" s="369" t="str">
        <f>VLOOKUP(Tabla4[[#This Row],[Producto]],Tabla6[#All],14,FALSE)</f>
        <v>Termico Solar</v>
      </c>
      <c r="U4240" s="284" t="e">
        <f>(IF(Tabla4[[#This Row],[Familia]]="termico solar",Tabla4[[#This Row],[Utilidad Total]]*6%,Tabla4[[#This Row],[Utilidad Total]]*11.5%))/Tabla4[[#This Row],[Total]]</f>
        <v>#N/A</v>
      </c>
      <c r="V4240" s="282" t="e">
        <f>+Tabla4[[#This Row],[Comisión Calculada]]*Tabla4[[#This Row],[Total]]</f>
        <v>#N/A</v>
      </c>
    </row>
    <row r="4241" spans="1:22" hidden="1" x14ac:dyDescent="0.25">
      <c r="A4241" s="100">
        <v>45853</v>
      </c>
      <c r="B4241" t="str">
        <f t="shared" si="210"/>
        <v>July</v>
      </c>
      <c r="C4241" s="46" t="s">
        <v>280</v>
      </c>
      <c r="F4241" s="366" t="s">
        <v>2315</v>
      </c>
      <c r="G4241" s="46" t="s">
        <v>555</v>
      </c>
      <c r="H4241" s="46">
        <v>8</v>
      </c>
      <c r="I4241" s="51">
        <v>389.47</v>
      </c>
      <c r="J4241" s="281">
        <f>++Tabla4[[#This Row],[Precio Bruto]]*1.16</f>
        <v>451.78519999999997</v>
      </c>
      <c r="K4241" s="281">
        <f>+Tabla4[[#This Row],[Precio Unitario Neto]]*Tabla4[[#Headers],[20.85%]]</f>
        <v>94.197214199999991</v>
      </c>
      <c r="L4241" s="282">
        <f>++Tabla4[[#This Row],[Precio Unitario Neto]]-Tabla4[[#This Row],[20.85%]]</f>
        <v>357.58798579999996</v>
      </c>
      <c r="M4241" s="282" t="e">
        <f>(INDEX(Tabla6[#All],MATCH(Tabla4[[#This Row],[Producto]],Tabla6[[#All],[PRODUCTO]],0),MATCH(Tabla4[[#This Row],[Mes]],Tabla6[#Headers],0)))*(1+Catalogos!$L$2)</f>
        <v>#N/A</v>
      </c>
      <c r="N4241" s="283" t="e">
        <f>+(Tabla4[[#This Row],[Precio Descontado]]-Tabla4[[#This Row],[Precio Base]])*Tabla4[[#This Row],[Cantidad]]</f>
        <v>#N/A</v>
      </c>
      <c r="O4241" s="284" t="e">
        <f>++Tabla4[[#This Row],[Utilidad Total]]/Tabla4[[#This Row],[Total]]</f>
        <v>#N/A</v>
      </c>
      <c r="P4241" s="282">
        <f>++Tabla4[[#This Row],[Precio Descontado]]*Tabla4[[#This Row],[Cantidad]]</f>
        <v>2860.7038863999996</v>
      </c>
      <c r="Q4241" s="282" t="e">
        <f>(INDEX(Tabla6[#All],MATCH(Tabla4[[#This Row],[Producto]],Tabla6[[#All],[PRODUCTO]],0),MATCH(Tabla4[[#This Row],[Mes]],Tabla6[#Headers],0)))</f>
        <v>#N/A</v>
      </c>
      <c r="R4241" s="282" t="e">
        <f>++Tabla4[[#This Row],[Precio Unitario Neto]]-Tabla4[[#This Row],[20.85%]]-Tabla4[[#This Row],[Costo]]</f>
        <v>#N/A</v>
      </c>
      <c r="S4241" s="282" t="e">
        <f>++Tabla4[[#This Row],[U. Bruta Uni]]*Tabla4[[#This Row],[Cantidad]]</f>
        <v>#N/A</v>
      </c>
      <c r="T4241" s="369" t="str">
        <f>VLOOKUP(Tabla4[[#This Row],[Producto]],Tabla6[#All],14,FALSE)</f>
        <v>Termico Solar</v>
      </c>
      <c r="U4241" s="284" t="e">
        <f>(IF(Tabla4[[#This Row],[Familia]]="termico solar",Tabla4[[#This Row],[Utilidad Total]]*6%,Tabla4[[#This Row],[Utilidad Total]]*11.5%))/Tabla4[[#This Row],[Total]]</f>
        <v>#N/A</v>
      </c>
      <c r="V4241" s="282" t="e">
        <f>+Tabla4[[#This Row],[Comisión Calculada]]*Tabla4[[#This Row],[Total]]</f>
        <v>#N/A</v>
      </c>
    </row>
    <row r="4242" spans="1:22" hidden="1" x14ac:dyDescent="0.25">
      <c r="A4242" s="100">
        <v>45853</v>
      </c>
      <c r="B4242" t="str">
        <f t="shared" si="210"/>
        <v>July</v>
      </c>
      <c r="C4242" s="46" t="s">
        <v>280</v>
      </c>
      <c r="F4242" s="366" t="s">
        <v>2315</v>
      </c>
      <c r="G4242" s="46" t="s">
        <v>545</v>
      </c>
      <c r="H4242" s="46">
        <v>24</v>
      </c>
      <c r="I4242" s="51">
        <v>304.32</v>
      </c>
      <c r="J4242" s="281">
        <f>++Tabla4[[#This Row],[Precio Bruto]]*1.16</f>
        <v>353.01119999999997</v>
      </c>
      <c r="K4242" s="281">
        <f>+Tabla4[[#This Row],[Precio Unitario Neto]]*Tabla4[[#Headers],[20.85%]]</f>
        <v>73.602835199999987</v>
      </c>
      <c r="L4242" s="282">
        <f>++Tabla4[[#This Row],[Precio Unitario Neto]]-Tabla4[[#This Row],[20.85%]]</f>
        <v>279.40836479999996</v>
      </c>
      <c r="M4242" s="282" t="e">
        <f>(INDEX(Tabla6[#All],MATCH(Tabla4[[#This Row],[Producto]],Tabla6[[#All],[PRODUCTO]],0),MATCH(Tabla4[[#This Row],[Mes]],Tabla6[#Headers],0)))*(1+Catalogos!$L$2)</f>
        <v>#N/A</v>
      </c>
      <c r="N4242" s="283" t="e">
        <f>+(Tabla4[[#This Row],[Precio Descontado]]-Tabla4[[#This Row],[Precio Base]])*Tabla4[[#This Row],[Cantidad]]</f>
        <v>#N/A</v>
      </c>
      <c r="O4242" s="284" t="e">
        <f>++Tabla4[[#This Row],[Utilidad Total]]/Tabla4[[#This Row],[Total]]</f>
        <v>#N/A</v>
      </c>
      <c r="P4242" s="282">
        <f>++Tabla4[[#This Row],[Precio Descontado]]*Tabla4[[#This Row],[Cantidad]]</f>
        <v>6705.800755199999</v>
      </c>
      <c r="Q4242" s="282" t="e">
        <f>(INDEX(Tabla6[#All],MATCH(Tabla4[[#This Row],[Producto]],Tabla6[[#All],[PRODUCTO]],0),MATCH(Tabla4[[#This Row],[Mes]],Tabla6[#Headers],0)))</f>
        <v>#N/A</v>
      </c>
      <c r="R4242" s="282" t="e">
        <f>++Tabla4[[#This Row],[Precio Unitario Neto]]-Tabla4[[#This Row],[20.85%]]-Tabla4[[#This Row],[Costo]]</f>
        <v>#N/A</v>
      </c>
      <c r="S4242" s="282" t="e">
        <f>++Tabla4[[#This Row],[U. Bruta Uni]]*Tabla4[[#This Row],[Cantidad]]</f>
        <v>#N/A</v>
      </c>
      <c r="T4242" s="369" t="str">
        <f>VLOOKUP(Tabla4[[#This Row],[Producto]],Tabla6[#All],14,FALSE)</f>
        <v>Termico Solar</v>
      </c>
      <c r="U4242" s="284" t="e">
        <f>(IF(Tabla4[[#This Row],[Familia]]="termico solar",Tabla4[[#This Row],[Utilidad Total]]*6%,Tabla4[[#This Row],[Utilidad Total]]*11.5%))/Tabla4[[#This Row],[Total]]</f>
        <v>#N/A</v>
      </c>
      <c r="V4242" s="282" t="e">
        <f>+Tabla4[[#This Row],[Comisión Calculada]]*Tabla4[[#This Row],[Total]]</f>
        <v>#N/A</v>
      </c>
    </row>
    <row r="4243" spans="1:22" hidden="1" x14ac:dyDescent="0.25">
      <c r="A4243" s="100">
        <v>45853</v>
      </c>
      <c r="B4243" t="str">
        <f t="shared" si="210"/>
        <v>July</v>
      </c>
      <c r="C4243" s="46" t="s">
        <v>280</v>
      </c>
      <c r="F4243" s="366" t="s">
        <v>2315</v>
      </c>
      <c r="G4243" s="46" t="s">
        <v>208</v>
      </c>
      <c r="H4243" s="46">
        <v>2</v>
      </c>
      <c r="I4243" s="51">
        <v>189.75</v>
      </c>
      <c r="J4243" s="281">
        <f>++Tabla4[[#This Row],[Precio Bruto]]*1.16</f>
        <v>220.10999999999999</v>
      </c>
      <c r="K4243" s="281">
        <f>+Tabla4[[#This Row],[Precio Unitario Neto]]*Tabla4[[#Headers],[20.85%]]</f>
        <v>45.892934999999994</v>
      </c>
      <c r="L4243" s="282">
        <f>++Tabla4[[#This Row],[Precio Unitario Neto]]-Tabla4[[#This Row],[20.85%]]</f>
        <v>174.21706499999999</v>
      </c>
      <c r="M4243" s="282" t="e">
        <f>(INDEX(Tabla6[#All],MATCH(Tabla4[[#This Row],[Producto]],Tabla6[[#All],[PRODUCTO]],0),MATCH(Tabla4[[#This Row],[Mes]],Tabla6[#Headers],0)))*(1+Catalogos!$L$2)</f>
        <v>#N/A</v>
      </c>
      <c r="N4243" s="283" t="e">
        <f>+(Tabla4[[#This Row],[Precio Descontado]]-Tabla4[[#This Row],[Precio Base]])*Tabla4[[#This Row],[Cantidad]]</f>
        <v>#N/A</v>
      </c>
      <c r="O4243" s="284" t="e">
        <f>++Tabla4[[#This Row],[Utilidad Total]]/Tabla4[[#This Row],[Total]]</f>
        <v>#N/A</v>
      </c>
      <c r="P4243" s="282">
        <f>++Tabla4[[#This Row],[Precio Descontado]]*Tabla4[[#This Row],[Cantidad]]</f>
        <v>348.43412999999998</v>
      </c>
      <c r="Q4243" s="282" t="e">
        <f>(INDEX(Tabla6[#All],MATCH(Tabla4[[#This Row],[Producto]],Tabla6[[#All],[PRODUCTO]],0),MATCH(Tabla4[[#This Row],[Mes]],Tabla6[#Headers],0)))</f>
        <v>#N/A</v>
      </c>
      <c r="R4243" s="282" t="e">
        <f>++Tabla4[[#This Row],[Precio Unitario Neto]]-Tabla4[[#This Row],[20.85%]]-Tabla4[[#This Row],[Costo]]</f>
        <v>#N/A</v>
      </c>
      <c r="S4243" s="282" t="e">
        <f>++Tabla4[[#This Row],[U. Bruta Uni]]*Tabla4[[#This Row],[Cantidad]]</f>
        <v>#N/A</v>
      </c>
      <c r="T4243" s="369" t="str">
        <f>VLOOKUP(Tabla4[[#This Row],[Producto]],Tabla6[#All],14,FALSE)</f>
        <v>Termico Solar</v>
      </c>
      <c r="U4243" s="284" t="e">
        <f>(IF(Tabla4[[#This Row],[Familia]]="termico solar",Tabla4[[#This Row],[Utilidad Total]]*6%,Tabla4[[#This Row],[Utilidad Total]]*11.5%))/Tabla4[[#This Row],[Total]]</f>
        <v>#N/A</v>
      </c>
      <c r="V4243" s="282" t="e">
        <f>+Tabla4[[#This Row],[Comisión Calculada]]*Tabla4[[#This Row],[Total]]</f>
        <v>#N/A</v>
      </c>
    </row>
    <row r="4244" spans="1:22" hidden="1" x14ac:dyDescent="0.25">
      <c r="A4244" s="100">
        <v>45853</v>
      </c>
      <c r="B4244" t="str">
        <f t="shared" si="210"/>
        <v>July</v>
      </c>
      <c r="C4244" s="46" t="s">
        <v>280</v>
      </c>
      <c r="F4244" s="366" t="s">
        <v>2315</v>
      </c>
      <c r="G4244" s="46" t="s">
        <v>209</v>
      </c>
      <c r="H4244" s="46">
        <v>5</v>
      </c>
      <c r="I4244" s="51">
        <v>347.48</v>
      </c>
      <c r="J4244" s="281">
        <f>++Tabla4[[#This Row],[Precio Bruto]]*1.16</f>
        <v>403.07679999999999</v>
      </c>
      <c r="K4244" s="281">
        <f>+Tabla4[[#This Row],[Precio Unitario Neto]]*Tabla4[[#Headers],[20.85%]]</f>
        <v>84.041512799999992</v>
      </c>
      <c r="L4244" s="282">
        <f>++Tabla4[[#This Row],[Precio Unitario Neto]]-Tabla4[[#This Row],[20.85%]]</f>
        <v>319.03528719999997</v>
      </c>
      <c r="M4244" s="282" t="e">
        <f>(INDEX(Tabla6[#All],MATCH(Tabla4[[#This Row],[Producto]],Tabla6[[#All],[PRODUCTO]],0),MATCH(Tabla4[[#This Row],[Mes]],Tabla6[#Headers],0)))*(1+Catalogos!$L$2)</f>
        <v>#N/A</v>
      </c>
      <c r="N4244" s="283" t="e">
        <f>+(Tabla4[[#This Row],[Precio Descontado]]-Tabla4[[#This Row],[Precio Base]])*Tabla4[[#This Row],[Cantidad]]</f>
        <v>#N/A</v>
      </c>
      <c r="O4244" s="284" t="e">
        <f>++Tabla4[[#This Row],[Utilidad Total]]/Tabla4[[#This Row],[Total]]</f>
        <v>#N/A</v>
      </c>
      <c r="P4244" s="282">
        <f>++Tabla4[[#This Row],[Precio Descontado]]*Tabla4[[#This Row],[Cantidad]]</f>
        <v>1595.1764359999997</v>
      </c>
      <c r="Q4244" s="282" t="e">
        <f>(INDEX(Tabla6[#All],MATCH(Tabla4[[#This Row],[Producto]],Tabla6[[#All],[PRODUCTO]],0),MATCH(Tabla4[[#This Row],[Mes]],Tabla6[#Headers],0)))</f>
        <v>#N/A</v>
      </c>
      <c r="R4244" s="282" t="e">
        <f>++Tabla4[[#This Row],[Precio Unitario Neto]]-Tabla4[[#This Row],[20.85%]]-Tabla4[[#This Row],[Costo]]</f>
        <v>#N/A</v>
      </c>
      <c r="S4244" s="282" t="e">
        <f>++Tabla4[[#This Row],[U. Bruta Uni]]*Tabla4[[#This Row],[Cantidad]]</f>
        <v>#N/A</v>
      </c>
      <c r="T4244" s="369" t="str">
        <f>VLOOKUP(Tabla4[[#This Row],[Producto]],Tabla6[#All],14,FALSE)</f>
        <v>Termico Solar</v>
      </c>
      <c r="U4244" s="284" t="e">
        <f>(IF(Tabla4[[#This Row],[Familia]]="termico solar",Tabla4[[#This Row],[Utilidad Total]]*6%,Tabla4[[#This Row],[Utilidad Total]]*11.5%))/Tabla4[[#This Row],[Total]]</f>
        <v>#N/A</v>
      </c>
      <c r="V4244" s="282" t="e">
        <f>+Tabla4[[#This Row],[Comisión Calculada]]*Tabla4[[#This Row],[Total]]</f>
        <v>#N/A</v>
      </c>
    </row>
    <row r="4245" spans="1:22" hidden="1" x14ac:dyDescent="0.25">
      <c r="A4245" s="100">
        <v>45853</v>
      </c>
      <c r="B4245" t="str">
        <f t="shared" ref="B4245:B4250" si="211">TEXT(A4245, "mmmm")</f>
        <v>July</v>
      </c>
      <c r="C4245" s="46" t="s">
        <v>280</v>
      </c>
      <c r="F4245" s="366" t="s">
        <v>2316</v>
      </c>
      <c r="G4245" s="46" t="s">
        <v>83</v>
      </c>
      <c r="H4245" s="46">
        <v>1</v>
      </c>
      <c r="I4245" s="51">
        <v>8858.76</v>
      </c>
      <c r="J4245" s="281">
        <f>++Tabla4[[#This Row],[Precio Bruto]]*1.16</f>
        <v>10276.161599999999</v>
      </c>
      <c r="K4245" s="281">
        <f>+Tabla4[[#This Row],[Precio Unitario Neto]]*Tabla4[[#Headers],[20.85%]]</f>
        <v>2142.5796935999997</v>
      </c>
      <c r="L4245" s="282">
        <f>++Tabla4[[#This Row],[Precio Unitario Neto]]-Tabla4[[#This Row],[20.85%]]</f>
        <v>8133.5819063999998</v>
      </c>
      <c r="M4245" s="282" t="e">
        <f>(INDEX(Tabla6[#All],MATCH(Tabla4[[#This Row],[Producto]],Tabla6[[#All],[PRODUCTO]],0),MATCH(Tabla4[[#This Row],[Mes]],Tabla6[#Headers],0)))*(1+Catalogos!$L$2)</f>
        <v>#N/A</v>
      </c>
      <c r="N4245" s="283" t="e">
        <f>+(Tabla4[[#This Row],[Precio Descontado]]-Tabla4[[#This Row],[Precio Base]])*Tabla4[[#This Row],[Cantidad]]</f>
        <v>#N/A</v>
      </c>
      <c r="O4245" s="284" t="e">
        <f>++Tabla4[[#This Row],[Utilidad Total]]/Tabla4[[#This Row],[Total]]</f>
        <v>#N/A</v>
      </c>
      <c r="P4245" s="282">
        <f>++Tabla4[[#This Row],[Precio Descontado]]*Tabla4[[#This Row],[Cantidad]]</f>
        <v>8133.5819063999998</v>
      </c>
      <c r="Q4245" s="282" t="e">
        <f>(INDEX(Tabla6[#All],MATCH(Tabla4[[#This Row],[Producto]],Tabla6[[#All],[PRODUCTO]],0),MATCH(Tabla4[[#This Row],[Mes]],Tabla6[#Headers],0)))</f>
        <v>#N/A</v>
      </c>
      <c r="R4245" s="282" t="e">
        <f>++Tabla4[[#This Row],[Precio Unitario Neto]]-Tabla4[[#This Row],[20.85%]]-Tabla4[[#This Row],[Costo]]</f>
        <v>#N/A</v>
      </c>
      <c r="S4245" s="282" t="e">
        <f>++Tabla4[[#This Row],[U. Bruta Uni]]*Tabla4[[#This Row],[Cantidad]]</f>
        <v>#N/A</v>
      </c>
      <c r="T4245" s="369" t="str">
        <f>VLOOKUP(Tabla4[[#This Row],[Producto]],Tabla6[#All],14,FALSE)</f>
        <v>Termico Solar</v>
      </c>
      <c r="U4245" s="284" t="e">
        <f>(IF(Tabla4[[#This Row],[Familia]]="termico solar",Tabla4[[#This Row],[Utilidad Total]]*6%,Tabla4[[#This Row],[Utilidad Total]]*11.5%))/Tabla4[[#This Row],[Total]]</f>
        <v>#N/A</v>
      </c>
      <c r="V4245" s="282" t="e">
        <f>+Tabla4[[#This Row],[Comisión Calculada]]*Tabla4[[#This Row],[Total]]</f>
        <v>#N/A</v>
      </c>
    </row>
    <row r="4246" spans="1:22" hidden="1" x14ac:dyDescent="0.25">
      <c r="A4246" s="100">
        <v>45853</v>
      </c>
      <c r="B4246" t="str">
        <f t="shared" si="211"/>
        <v>July</v>
      </c>
      <c r="C4246" s="46" t="s">
        <v>280</v>
      </c>
      <c r="F4246" s="366" t="s">
        <v>2316</v>
      </c>
      <c r="G4246" s="46" t="s">
        <v>18</v>
      </c>
      <c r="H4246" s="46">
        <v>5</v>
      </c>
      <c r="I4246" s="51">
        <v>5367.65</v>
      </c>
      <c r="J4246" s="281">
        <f>++Tabla4[[#This Row],[Precio Bruto]]*1.16</f>
        <v>6226.4739999999993</v>
      </c>
      <c r="K4246" s="281">
        <f>+Tabla4[[#This Row],[Precio Unitario Neto]]*Tabla4[[#Headers],[20.85%]]</f>
        <v>1298.2198289999999</v>
      </c>
      <c r="L4246" s="282">
        <f>++Tabla4[[#This Row],[Precio Unitario Neto]]-Tabla4[[#This Row],[20.85%]]</f>
        <v>4928.2541709999996</v>
      </c>
      <c r="M4246" s="282" t="e">
        <f>(INDEX(Tabla6[#All],MATCH(Tabla4[[#This Row],[Producto]],Tabla6[[#All],[PRODUCTO]],0),MATCH(Tabla4[[#This Row],[Mes]],Tabla6[#Headers],0)))*(1+Catalogos!$L$2)</f>
        <v>#N/A</v>
      </c>
      <c r="N4246" s="283" t="e">
        <f>+(Tabla4[[#This Row],[Precio Descontado]]-Tabla4[[#This Row],[Precio Base]])*Tabla4[[#This Row],[Cantidad]]</f>
        <v>#N/A</v>
      </c>
      <c r="O4246" s="284" t="e">
        <f>++Tabla4[[#This Row],[Utilidad Total]]/Tabla4[[#This Row],[Total]]</f>
        <v>#N/A</v>
      </c>
      <c r="P4246" s="282">
        <f>++Tabla4[[#This Row],[Precio Descontado]]*Tabla4[[#This Row],[Cantidad]]</f>
        <v>24641.270854999999</v>
      </c>
      <c r="Q4246" s="282" t="e">
        <f>(INDEX(Tabla6[#All],MATCH(Tabla4[[#This Row],[Producto]],Tabla6[[#All],[PRODUCTO]],0),MATCH(Tabla4[[#This Row],[Mes]],Tabla6[#Headers],0)))</f>
        <v>#N/A</v>
      </c>
      <c r="R4246" s="282" t="e">
        <f>++Tabla4[[#This Row],[Precio Unitario Neto]]-Tabla4[[#This Row],[20.85%]]-Tabla4[[#This Row],[Costo]]</f>
        <v>#N/A</v>
      </c>
      <c r="S4246" s="282" t="e">
        <f>++Tabla4[[#This Row],[U. Bruta Uni]]*Tabla4[[#This Row],[Cantidad]]</f>
        <v>#N/A</v>
      </c>
      <c r="T4246" s="369" t="str">
        <f>VLOOKUP(Tabla4[[#This Row],[Producto]],Tabla6[#All],14,FALSE)</f>
        <v>Termico Solar</v>
      </c>
      <c r="U4246" s="284" t="e">
        <f>(IF(Tabla4[[#This Row],[Familia]]="termico solar",Tabla4[[#This Row],[Utilidad Total]]*6%,Tabla4[[#This Row],[Utilidad Total]]*11.5%))/Tabla4[[#This Row],[Total]]</f>
        <v>#N/A</v>
      </c>
      <c r="V4246" s="282" t="e">
        <f>+Tabla4[[#This Row],[Comisión Calculada]]*Tabla4[[#This Row],[Total]]</f>
        <v>#N/A</v>
      </c>
    </row>
    <row r="4247" spans="1:22" hidden="1" x14ac:dyDescent="0.25">
      <c r="A4247" s="100">
        <v>45853</v>
      </c>
      <c r="B4247" t="str">
        <f t="shared" si="211"/>
        <v>July</v>
      </c>
      <c r="C4247" s="46" t="s">
        <v>280</v>
      </c>
      <c r="F4247" s="366" t="s">
        <v>2316</v>
      </c>
      <c r="G4247" s="46" t="s">
        <v>566</v>
      </c>
      <c r="H4247" s="46">
        <v>2</v>
      </c>
      <c r="I4247" s="51">
        <v>2109.4499999999998</v>
      </c>
      <c r="J4247" s="281">
        <f>++Tabla4[[#This Row],[Precio Bruto]]*1.16</f>
        <v>2446.9619999999995</v>
      </c>
      <c r="K4247" s="281">
        <f>+Tabla4[[#This Row],[Precio Unitario Neto]]*Tabla4[[#Headers],[20.85%]]</f>
        <v>510.19157699999988</v>
      </c>
      <c r="L4247" s="282">
        <f>++Tabla4[[#This Row],[Precio Unitario Neto]]-Tabla4[[#This Row],[20.85%]]</f>
        <v>1936.7704229999997</v>
      </c>
      <c r="M4247" s="282" t="e">
        <f>(INDEX(Tabla6[#All],MATCH(Tabla4[[#This Row],[Producto]],Tabla6[[#All],[PRODUCTO]],0),MATCH(Tabla4[[#This Row],[Mes]],Tabla6[#Headers],0)))*(1+Catalogos!$L$2)</f>
        <v>#N/A</v>
      </c>
      <c r="N4247" s="283" t="e">
        <f>+(Tabla4[[#This Row],[Precio Descontado]]-Tabla4[[#This Row],[Precio Base]])*Tabla4[[#This Row],[Cantidad]]</f>
        <v>#N/A</v>
      </c>
      <c r="O4247" s="284" t="e">
        <f>++Tabla4[[#This Row],[Utilidad Total]]/Tabla4[[#This Row],[Total]]</f>
        <v>#N/A</v>
      </c>
      <c r="P4247" s="282">
        <f>++Tabla4[[#This Row],[Precio Descontado]]*Tabla4[[#This Row],[Cantidad]]</f>
        <v>3873.5408459999994</v>
      </c>
      <c r="Q4247" s="282" t="e">
        <f>(INDEX(Tabla6[#All],MATCH(Tabla4[[#This Row],[Producto]],Tabla6[[#All],[PRODUCTO]],0),MATCH(Tabla4[[#This Row],[Mes]],Tabla6[#Headers],0)))</f>
        <v>#N/A</v>
      </c>
      <c r="R4247" s="282" t="e">
        <f>++Tabla4[[#This Row],[Precio Unitario Neto]]-Tabla4[[#This Row],[20.85%]]-Tabla4[[#This Row],[Costo]]</f>
        <v>#N/A</v>
      </c>
      <c r="S4247" s="282" t="e">
        <f>++Tabla4[[#This Row],[U. Bruta Uni]]*Tabla4[[#This Row],[Cantidad]]</f>
        <v>#N/A</v>
      </c>
      <c r="T4247" s="369" t="str">
        <f>VLOOKUP(Tabla4[[#This Row],[Producto]],Tabla6[#All],14,FALSE)</f>
        <v>Termico Solar</v>
      </c>
      <c r="U4247" s="284" t="e">
        <f>(IF(Tabla4[[#This Row],[Familia]]="termico solar",Tabla4[[#This Row],[Utilidad Total]]*6%,Tabla4[[#This Row],[Utilidad Total]]*11.5%))/Tabla4[[#This Row],[Total]]</f>
        <v>#N/A</v>
      </c>
      <c r="V4247" s="282" t="e">
        <f>+Tabla4[[#This Row],[Comisión Calculada]]*Tabla4[[#This Row],[Total]]</f>
        <v>#N/A</v>
      </c>
    </row>
    <row r="4248" spans="1:22" hidden="1" x14ac:dyDescent="0.25">
      <c r="A4248" s="100">
        <v>45853</v>
      </c>
      <c r="B4248" t="str">
        <f t="shared" si="211"/>
        <v>July</v>
      </c>
      <c r="C4248" s="46" t="s">
        <v>280</v>
      </c>
      <c r="F4248" s="366" t="s">
        <v>2316</v>
      </c>
      <c r="G4248" s="46" t="s">
        <v>200</v>
      </c>
      <c r="H4248" s="46">
        <v>12</v>
      </c>
      <c r="I4248" s="51">
        <v>393.22</v>
      </c>
      <c r="J4248" s="281">
        <f>++Tabla4[[#This Row],[Precio Bruto]]*1.16</f>
        <v>456.1352</v>
      </c>
      <c r="K4248" s="281">
        <f>+Tabla4[[#This Row],[Precio Unitario Neto]]*Tabla4[[#Headers],[20.85%]]</f>
        <v>95.104189199999993</v>
      </c>
      <c r="L4248" s="282">
        <f>++Tabla4[[#This Row],[Precio Unitario Neto]]-Tabla4[[#This Row],[20.85%]]</f>
        <v>361.03101079999999</v>
      </c>
      <c r="M4248" s="282" t="e">
        <f>(INDEX(Tabla6[#All],MATCH(Tabla4[[#This Row],[Producto]],Tabla6[[#All],[PRODUCTO]],0),MATCH(Tabla4[[#This Row],[Mes]],Tabla6[#Headers],0)))*(1+Catalogos!$L$2)</f>
        <v>#N/A</v>
      </c>
      <c r="N4248" s="283" t="e">
        <f>+(Tabla4[[#This Row],[Precio Descontado]]-Tabla4[[#This Row],[Precio Base]])*Tabla4[[#This Row],[Cantidad]]</f>
        <v>#N/A</v>
      </c>
      <c r="O4248" s="284" t="e">
        <f>++Tabla4[[#This Row],[Utilidad Total]]/Tabla4[[#This Row],[Total]]</f>
        <v>#N/A</v>
      </c>
      <c r="P4248" s="282">
        <f>++Tabla4[[#This Row],[Precio Descontado]]*Tabla4[[#This Row],[Cantidad]]</f>
        <v>4332.3721296000003</v>
      </c>
      <c r="Q4248" s="282" t="e">
        <f>(INDEX(Tabla6[#All],MATCH(Tabla4[[#This Row],[Producto]],Tabla6[[#All],[PRODUCTO]],0),MATCH(Tabla4[[#This Row],[Mes]],Tabla6[#Headers],0)))</f>
        <v>#N/A</v>
      </c>
      <c r="R4248" s="282" t="e">
        <f>++Tabla4[[#This Row],[Precio Unitario Neto]]-Tabla4[[#This Row],[20.85%]]-Tabla4[[#This Row],[Costo]]</f>
        <v>#N/A</v>
      </c>
      <c r="S4248" s="282" t="e">
        <f>++Tabla4[[#This Row],[U. Bruta Uni]]*Tabla4[[#This Row],[Cantidad]]</f>
        <v>#N/A</v>
      </c>
      <c r="T4248" s="369" t="str">
        <f>VLOOKUP(Tabla4[[#This Row],[Producto]],Tabla6[#All],14,FALSE)</f>
        <v>Termico Solar</v>
      </c>
      <c r="U4248" s="284" t="e">
        <f>(IF(Tabla4[[#This Row],[Familia]]="termico solar",Tabla4[[#This Row],[Utilidad Total]]*6%,Tabla4[[#This Row],[Utilidad Total]]*11.5%))/Tabla4[[#This Row],[Total]]</f>
        <v>#N/A</v>
      </c>
      <c r="V4248" s="282" t="e">
        <f>+Tabla4[[#This Row],[Comisión Calculada]]*Tabla4[[#This Row],[Total]]</f>
        <v>#N/A</v>
      </c>
    </row>
    <row r="4249" spans="1:22" hidden="1" x14ac:dyDescent="0.25">
      <c r="A4249" s="100">
        <v>45853</v>
      </c>
      <c r="B4249" t="str">
        <f t="shared" si="211"/>
        <v>July</v>
      </c>
      <c r="C4249" s="46" t="s">
        <v>280</v>
      </c>
      <c r="F4249" s="366" t="s">
        <v>2316</v>
      </c>
      <c r="G4249" s="46" t="s">
        <v>545</v>
      </c>
      <c r="H4249" s="46">
        <v>24</v>
      </c>
      <c r="I4249" s="51">
        <v>304.32</v>
      </c>
      <c r="J4249" s="281">
        <f>++Tabla4[[#This Row],[Precio Bruto]]*1.16</f>
        <v>353.01119999999997</v>
      </c>
      <c r="K4249" s="281">
        <f>+Tabla4[[#This Row],[Precio Unitario Neto]]*Tabla4[[#Headers],[20.85%]]</f>
        <v>73.602835199999987</v>
      </c>
      <c r="L4249" s="282">
        <f>++Tabla4[[#This Row],[Precio Unitario Neto]]-Tabla4[[#This Row],[20.85%]]</f>
        <v>279.40836479999996</v>
      </c>
      <c r="M4249" s="282" t="e">
        <f>(INDEX(Tabla6[#All],MATCH(Tabla4[[#This Row],[Producto]],Tabla6[[#All],[PRODUCTO]],0),MATCH(Tabla4[[#This Row],[Mes]],Tabla6[#Headers],0)))*(1+Catalogos!$L$2)</f>
        <v>#N/A</v>
      </c>
      <c r="N4249" s="283" t="e">
        <f>+(Tabla4[[#This Row],[Precio Descontado]]-Tabla4[[#This Row],[Precio Base]])*Tabla4[[#This Row],[Cantidad]]</f>
        <v>#N/A</v>
      </c>
      <c r="O4249" s="284" t="e">
        <f>++Tabla4[[#This Row],[Utilidad Total]]/Tabla4[[#This Row],[Total]]</f>
        <v>#N/A</v>
      </c>
      <c r="P4249" s="282">
        <f>++Tabla4[[#This Row],[Precio Descontado]]*Tabla4[[#This Row],[Cantidad]]</f>
        <v>6705.800755199999</v>
      </c>
      <c r="Q4249" s="282" t="e">
        <f>(INDEX(Tabla6[#All],MATCH(Tabla4[[#This Row],[Producto]],Tabla6[[#All],[PRODUCTO]],0),MATCH(Tabla4[[#This Row],[Mes]],Tabla6[#Headers],0)))</f>
        <v>#N/A</v>
      </c>
      <c r="R4249" s="282" t="e">
        <f>++Tabla4[[#This Row],[Precio Unitario Neto]]-Tabla4[[#This Row],[20.85%]]-Tabla4[[#This Row],[Costo]]</f>
        <v>#N/A</v>
      </c>
      <c r="S4249" s="282" t="e">
        <f>++Tabla4[[#This Row],[U. Bruta Uni]]*Tabla4[[#This Row],[Cantidad]]</f>
        <v>#N/A</v>
      </c>
      <c r="T4249" s="369" t="str">
        <f>VLOOKUP(Tabla4[[#This Row],[Producto]],Tabla6[#All],14,FALSE)</f>
        <v>Termico Solar</v>
      </c>
      <c r="U4249" s="284" t="e">
        <f>(IF(Tabla4[[#This Row],[Familia]]="termico solar",Tabla4[[#This Row],[Utilidad Total]]*6%,Tabla4[[#This Row],[Utilidad Total]]*11.5%))/Tabla4[[#This Row],[Total]]</f>
        <v>#N/A</v>
      </c>
      <c r="V4249" s="282" t="e">
        <f>+Tabla4[[#This Row],[Comisión Calculada]]*Tabla4[[#This Row],[Total]]</f>
        <v>#N/A</v>
      </c>
    </row>
    <row r="4250" spans="1:22" hidden="1" x14ac:dyDescent="0.25">
      <c r="A4250" s="100">
        <v>45853</v>
      </c>
      <c r="B4250" t="str">
        <f t="shared" si="211"/>
        <v>July</v>
      </c>
      <c r="C4250" s="46" t="s">
        <v>280</v>
      </c>
      <c r="F4250" s="366" t="s">
        <v>2316</v>
      </c>
      <c r="G4250" s="46" t="s">
        <v>209</v>
      </c>
      <c r="H4250" s="46">
        <v>2</v>
      </c>
      <c r="I4250" s="51">
        <v>347.48</v>
      </c>
      <c r="J4250" s="281">
        <f>++Tabla4[[#This Row],[Precio Bruto]]*1.16</f>
        <v>403.07679999999999</v>
      </c>
      <c r="K4250" s="281">
        <f>+Tabla4[[#This Row],[Precio Unitario Neto]]*Tabla4[[#Headers],[20.85%]]</f>
        <v>84.041512799999992</v>
      </c>
      <c r="L4250" s="282">
        <f>++Tabla4[[#This Row],[Precio Unitario Neto]]-Tabla4[[#This Row],[20.85%]]</f>
        <v>319.03528719999997</v>
      </c>
      <c r="M4250" s="282" t="e">
        <f>(INDEX(Tabla6[#All],MATCH(Tabla4[[#This Row],[Producto]],Tabla6[[#All],[PRODUCTO]],0),MATCH(Tabla4[[#This Row],[Mes]],Tabla6[#Headers],0)))*(1+Catalogos!$L$2)</f>
        <v>#N/A</v>
      </c>
      <c r="N4250" s="283" t="e">
        <f>+(Tabla4[[#This Row],[Precio Descontado]]-Tabla4[[#This Row],[Precio Base]])*Tabla4[[#This Row],[Cantidad]]</f>
        <v>#N/A</v>
      </c>
      <c r="O4250" s="284" t="e">
        <f>++Tabla4[[#This Row],[Utilidad Total]]/Tabla4[[#This Row],[Total]]</f>
        <v>#N/A</v>
      </c>
      <c r="P4250" s="282">
        <f>++Tabla4[[#This Row],[Precio Descontado]]*Tabla4[[#This Row],[Cantidad]]</f>
        <v>638.07057439999994</v>
      </c>
      <c r="Q4250" s="282" t="e">
        <f>(INDEX(Tabla6[#All],MATCH(Tabla4[[#This Row],[Producto]],Tabla6[[#All],[PRODUCTO]],0),MATCH(Tabla4[[#This Row],[Mes]],Tabla6[#Headers],0)))</f>
        <v>#N/A</v>
      </c>
      <c r="R4250" s="282" t="e">
        <f>++Tabla4[[#This Row],[Precio Unitario Neto]]-Tabla4[[#This Row],[20.85%]]-Tabla4[[#This Row],[Costo]]</f>
        <v>#N/A</v>
      </c>
      <c r="S4250" s="282" t="e">
        <f>++Tabla4[[#This Row],[U. Bruta Uni]]*Tabla4[[#This Row],[Cantidad]]</f>
        <v>#N/A</v>
      </c>
      <c r="T4250" s="369" t="str">
        <f>VLOOKUP(Tabla4[[#This Row],[Producto]],Tabla6[#All],14,FALSE)</f>
        <v>Termico Solar</v>
      </c>
      <c r="U4250" s="284" t="e">
        <f>(IF(Tabla4[[#This Row],[Familia]]="termico solar",Tabla4[[#This Row],[Utilidad Total]]*6%,Tabla4[[#This Row],[Utilidad Total]]*11.5%))/Tabla4[[#This Row],[Total]]</f>
        <v>#N/A</v>
      </c>
      <c r="V4250" s="282" t="e">
        <f>+Tabla4[[#This Row],[Comisión Calculada]]*Tabla4[[#This Row],[Total]]</f>
        <v>#N/A</v>
      </c>
    </row>
    <row r="4251" spans="1:22" hidden="1" x14ac:dyDescent="0.25">
      <c r="A4251" s="100">
        <v>45853</v>
      </c>
      <c r="B4251" t="str">
        <f>TEXT(A4251, "mmmm")</f>
        <v>July</v>
      </c>
      <c r="C4251" s="46" t="s">
        <v>280</v>
      </c>
      <c r="F4251" s="366" t="s">
        <v>2317</v>
      </c>
      <c r="G4251" s="46" t="s">
        <v>17</v>
      </c>
      <c r="H4251" s="46">
        <v>4</v>
      </c>
      <c r="I4251" s="51">
        <v>4622.28</v>
      </c>
      <c r="J4251" s="281">
        <f>++Tabla4[[#This Row],[Precio Bruto]]*1.16</f>
        <v>5361.8447999999989</v>
      </c>
      <c r="K4251" s="281">
        <f>+Tabla4[[#This Row],[Precio Unitario Neto]]*Tabla4[[#Headers],[20.85%]]</f>
        <v>1117.9446407999997</v>
      </c>
      <c r="L4251" s="282">
        <f>++Tabla4[[#This Row],[Precio Unitario Neto]]-Tabla4[[#This Row],[20.85%]]</f>
        <v>4243.9001591999995</v>
      </c>
      <c r="M4251" s="282" t="e">
        <f>(INDEX(Tabla6[#All],MATCH(Tabla4[[#This Row],[Producto]],Tabla6[[#All],[PRODUCTO]],0),MATCH(Tabla4[[#This Row],[Mes]],Tabla6[#Headers],0)))*(1+Catalogos!$L$2)</f>
        <v>#N/A</v>
      </c>
      <c r="N4251" s="283" t="e">
        <f>+(Tabla4[[#This Row],[Precio Descontado]]-Tabla4[[#This Row],[Precio Base]])*Tabla4[[#This Row],[Cantidad]]</f>
        <v>#N/A</v>
      </c>
      <c r="O4251" s="284" t="e">
        <f>++Tabla4[[#This Row],[Utilidad Total]]/Tabla4[[#This Row],[Total]]</f>
        <v>#N/A</v>
      </c>
      <c r="P4251" s="282">
        <f>++Tabla4[[#This Row],[Precio Descontado]]*Tabla4[[#This Row],[Cantidad]]</f>
        <v>16975.600636799998</v>
      </c>
      <c r="Q4251" s="282" t="e">
        <f>(INDEX(Tabla6[#All],MATCH(Tabla4[[#This Row],[Producto]],Tabla6[[#All],[PRODUCTO]],0),MATCH(Tabla4[[#This Row],[Mes]],Tabla6[#Headers],0)))</f>
        <v>#N/A</v>
      </c>
      <c r="R4251" s="282" t="e">
        <f>++Tabla4[[#This Row],[Precio Unitario Neto]]-Tabla4[[#This Row],[20.85%]]-Tabla4[[#This Row],[Costo]]</f>
        <v>#N/A</v>
      </c>
      <c r="S4251" s="282" t="e">
        <f>++Tabla4[[#This Row],[U. Bruta Uni]]*Tabla4[[#This Row],[Cantidad]]</f>
        <v>#N/A</v>
      </c>
      <c r="T4251" s="369" t="str">
        <f>VLOOKUP(Tabla4[[#This Row],[Producto]],Tabla6[#All],14,FALSE)</f>
        <v>Termico Solar</v>
      </c>
      <c r="U4251" s="284" t="e">
        <f>(IF(Tabla4[[#This Row],[Familia]]="termico solar",Tabla4[[#This Row],[Utilidad Total]]*6%,Tabla4[[#This Row],[Utilidad Total]]*11.5%))/Tabla4[[#This Row],[Total]]</f>
        <v>#N/A</v>
      </c>
      <c r="V4251" s="282" t="e">
        <f>+Tabla4[[#This Row],[Comisión Calculada]]*Tabla4[[#This Row],[Total]]</f>
        <v>#N/A</v>
      </c>
    </row>
    <row r="4252" spans="1:22" hidden="1" x14ac:dyDescent="0.25">
      <c r="A4252" s="100">
        <v>45853</v>
      </c>
      <c r="B4252" t="str">
        <f>TEXT(A4252, "mmmm")</f>
        <v>July</v>
      </c>
      <c r="C4252" s="46" t="s">
        <v>280</v>
      </c>
      <c r="F4252" s="366" t="s">
        <v>2317</v>
      </c>
      <c r="G4252" s="46" t="s">
        <v>16</v>
      </c>
      <c r="H4252" s="46">
        <v>2</v>
      </c>
      <c r="I4252" s="51">
        <v>4103.8500000000004</v>
      </c>
      <c r="J4252" s="281">
        <f>++Tabla4[[#This Row],[Precio Bruto]]*1.16</f>
        <v>4760.4660000000003</v>
      </c>
      <c r="K4252" s="281">
        <f>+Tabla4[[#This Row],[Precio Unitario Neto]]*Tabla4[[#Headers],[20.85%]]</f>
        <v>992.55716100000006</v>
      </c>
      <c r="L4252" s="282">
        <f>++Tabla4[[#This Row],[Precio Unitario Neto]]-Tabla4[[#This Row],[20.85%]]</f>
        <v>3767.9088390000002</v>
      </c>
      <c r="M4252" s="282" t="e">
        <f>(INDEX(Tabla6[#All],MATCH(Tabla4[[#This Row],[Producto]],Tabla6[[#All],[PRODUCTO]],0),MATCH(Tabla4[[#This Row],[Mes]],Tabla6[#Headers],0)))*(1+Catalogos!$L$2)</f>
        <v>#N/A</v>
      </c>
      <c r="N4252" s="283" t="e">
        <f>+(Tabla4[[#This Row],[Precio Descontado]]-Tabla4[[#This Row],[Precio Base]])*Tabla4[[#This Row],[Cantidad]]</f>
        <v>#N/A</v>
      </c>
      <c r="O4252" s="284" t="e">
        <f>++Tabla4[[#This Row],[Utilidad Total]]/Tabla4[[#This Row],[Total]]</f>
        <v>#N/A</v>
      </c>
      <c r="P4252" s="282">
        <f>++Tabla4[[#This Row],[Precio Descontado]]*Tabla4[[#This Row],[Cantidad]]</f>
        <v>7535.8176780000003</v>
      </c>
      <c r="Q4252" s="282" t="e">
        <f>(INDEX(Tabla6[#All],MATCH(Tabla4[[#This Row],[Producto]],Tabla6[[#All],[PRODUCTO]],0),MATCH(Tabla4[[#This Row],[Mes]],Tabla6[#Headers],0)))</f>
        <v>#N/A</v>
      </c>
      <c r="R4252" s="282" t="e">
        <f>++Tabla4[[#This Row],[Precio Unitario Neto]]-Tabla4[[#This Row],[20.85%]]-Tabla4[[#This Row],[Costo]]</f>
        <v>#N/A</v>
      </c>
      <c r="S4252" s="282" t="e">
        <f>++Tabla4[[#This Row],[U. Bruta Uni]]*Tabla4[[#This Row],[Cantidad]]</f>
        <v>#N/A</v>
      </c>
      <c r="T4252" s="369" t="str">
        <f>VLOOKUP(Tabla4[[#This Row],[Producto]],Tabla6[#All],14,FALSE)</f>
        <v>Termico Solar</v>
      </c>
      <c r="U4252" s="284" t="e">
        <f>(IF(Tabla4[[#This Row],[Familia]]="termico solar",Tabla4[[#This Row],[Utilidad Total]]*6%,Tabla4[[#This Row],[Utilidad Total]]*11.5%))/Tabla4[[#This Row],[Total]]</f>
        <v>#N/A</v>
      </c>
      <c r="V4252" s="282" t="e">
        <f>+Tabla4[[#This Row],[Comisión Calculada]]*Tabla4[[#This Row],[Total]]</f>
        <v>#N/A</v>
      </c>
    </row>
    <row r="4253" spans="1:22" hidden="1" x14ac:dyDescent="0.25">
      <c r="A4253" s="100">
        <v>45853</v>
      </c>
      <c r="B4253" t="str">
        <f>TEXT(A4253, "mmmm")</f>
        <v>July</v>
      </c>
      <c r="C4253" s="46" t="s">
        <v>280</v>
      </c>
      <c r="F4253" s="366" t="s">
        <v>2317</v>
      </c>
      <c r="G4253" s="46" t="s">
        <v>200</v>
      </c>
      <c r="H4253" s="46">
        <v>12</v>
      </c>
      <c r="I4253" s="51">
        <v>393.22</v>
      </c>
      <c r="J4253" s="281">
        <f>++Tabla4[[#This Row],[Precio Bruto]]*1.16</f>
        <v>456.1352</v>
      </c>
      <c r="K4253" s="281">
        <f>+Tabla4[[#This Row],[Precio Unitario Neto]]*Tabla4[[#Headers],[20.85%]]</f>
        <v>95.104189199999993</v>
      </c>
      <c r="L4253" s="282">
        <f>++Tabla4[[#This Row],[Precio Unitario Neto]]-Tabla4[[#This Row],[20.85%]]</f>
        <v>361.03101079999999</v>
      </c>
      <c r="M4253" s="282" t="e">
        <f>(INDEX(Tabla6[#All],MATCH(Tabla4[[#This Row],[Producto]],Tabla6[[#All],[PRODUCTO]],0),MATCH(Tabla4[[#This Row],[Mes]],Tabla6[#Headers],0)))*(1+Catalogos!$L$2)</f>
        <v>#N/A</v>
      </c>
      <c r="N4253" s="283" t="e">
        <f>+(Tabla4[[#This Row],[Precio Descontado]]-Tabla4[[#This Row],[Precio Base]])*Tabla4[[#This Row],[Cantidad]]</f>
        <v>#N/A</v>
      </c>
      <c r="O4253" s="284" t="e">
        <f>++Tabla4[[#This Row],[Utilidad Total]]/Tabla4[[#This Row],[Total]]</f>
        <v>#N/A</v>
      </c>
      <c r="P4253" s="282">
        <f>++Tabla4[[#This Row],[Precio Descontado]]*Tabla4[[#This Row],[Cantidad]]</f>
        <v>4332.3721296000003</v>
      </c>
      <c r="Q4253" s="282" t="e">
        <f>(INDEX(Tabla6[#All],MATCH(Tabla4[[#This Row],[Producto]],Tabla6[[#All],[PRODUCTO]],0),MATCH(Tabla4[[#This Row],[Mes]],Tabla6[#Headers],0)))</f>
        <v>#N/A</v>
      </c>
      <c r="R4253" s="282" t="e">
        <f>++Tabla4[[#This Row],[Precio Unitario Neto]]-Tabla4[[#This Row],[20.85%]]-Tabla4[[#This Row],[Costo]]</f>
        <v>#N/A</v>
      </c>
      <c r="S4253" s="282" t="e">
        <f>++Tabla4[[#This Row],[U. Bruta Uni]]*Tabla4[[#This Row],[Cantidad]]</f>
        <v>#N/A</v>
      </c>
      <c r="T4253" s="369" t="str">
        <f>VLOOKUP(Tabla4[[#This Row],[Producto]],Tabla6[#All],14,FALSE)</f>
        <v>Termico Solar</v>
      </c>
      <c r="U4253" s="284" t="e">
        <f>(IF(Tabla4[[#This Row],[Familia]]="termico solar",Tabla4[[#This Row],[Utilidad Total]]*6%,Tabla4[[#This Row],[Utilidad Total]]*11.5%))/Tabla4[[#This Row],[Total]]</f>
        <v>#N/A</v>
      </c>
      <c r="V4253" s="282" t="e">
        <f>+Tabla4[[#This Row],[Comisión Calculada]]*Tabla4[[#This Row],[Total]]</f>
        <v>#N/A</v>
      </c>
    </row>
    <row r="4254" spans="1:22" hidden="1" x14ac:dyDescent="0.25">
      <c r="A4254" s="100">
        <v>45853</v>
      </c>
      <c r="B4254" t="str">
        <f>TEXT(A4254, "mmmm")</f>
        <v>July</v>
      </c>
      <c r="C4254" s="46" t="s">
        <v>280</v>
      </c>
      <c r="F4254" s="366" t="s">
        <v>2317</v>
      </c>
      <c r="G4254" s="46" t="s">
        <v>545</v>
      </c>
      <c r="H4254" s="46">
        <v>24</v>
      </c>
      <c r="I4254" s="51">
        <v>304.32</v>
      </c>
      <c r="J4254" s="281">
        <f>++Tabla4[[#This Row],[Precio Bruto]]*1.16</f>
        <v>353.01119999999997</v>
      </c>
      <c r="K4254" s="281">
        <f>+Tabla4[[#This Row],[Precio Unitario Neto]]*Tabla4[[#Headers],[20.85%]]</f>
        <v>73.602835199999987</v>
      </c>
      <c r="L4254" s="282">
        <f>++Tabla4[[#This Row],[Precio Unitario Neto]]-Tabla4[[#This Row],[20.85%]]</f>
        <v>279.40836479999996</v>
      </c>
      <c r="M4254" s="282" t="e">
        <f>(INDEX(Tabla6[#All],MATCH(Tabla4[[#This Row],[Producto]],Tabla6[[#All],[PRODUCTO]],0),MATCH(Tabla4[[#This Row],[Mes]],Tabla6[#Headers],0)))*(1+Catalogos!$L$2)</f>
        <v>#N/A</v>
      </c>
      <c r="N4254" s="283" t="e">
        <f>+(Tabla4[[#This Row],[Precio Descontado]]-Tabla4[[#This Row],[Precio Base]])*Tabla4[[#This Row],[Cantidad]]</f>
        <v>#N/A</v>
      </c>
      <c r="O4254" s="284" t="e">
        <f>++Tabla4[[#This Row],[Utilidad Total]]/Tabla4[[#This Row],[Total]]</f>
        <v>#N/A</v>
      </c>
      <c r="P4254" s="282">
        <f>++Tabla4[[#This Row],[Precio Descontado]]*Tabla4[[#This Row],[Cantidad]]</f>
        <v>6705.800755199999</v>
      </c>
      <c r="Q4254" s="282" t="e">
        <f>(INDEX(Tabla6[#All],MATCH(Tabla4[[#This Row],[Producto]],Tabla6[[#All],[PRODUCTO]],0),MATCH(Tabla4[[#This Row],[Mes]],Tabla6[#Headers],0)))</f>
        <v>#N/A</v>
      </c>
      <c r="R4254" s="282" t="e">
        <f>++Tabla4[[#This Row],[Precio Unitario Neto]]-Tabla4[[#This Row],[20.85%]]-Tabla4[[#This Row],[Costo]]</f>
        <v>#N/A</v>
      </c>
      <c r="S4254" s="282" t="e">
        <f>++Tabla4[[#This Row],[U. Bruta Uni]]*Tabla4[[#This Row],[Cantidad]]</f>
        <v>#N/A</v>
      </c>
      <c r="T4254" s="369" t="str">
        <f>VLOOKUP(Tabla4[[#This Row],[Producto]],Tabla6[#All],14,FALSE)</f>
        <v>Termico Solar</v>
      </c>
      <c r="U4254" s="284" t="e">
        <f>(IF(Tabla4[[#This Row],[Familia]]="termico solar",Tabla4[[#This Row],[Utilidad Total]]*6%,Tabla4[[#This Row],[Utilidad Total]]*11.5%))/Tabla4[[#This Row],[Total]]</f>
        <v>#N/A</v>
      </c>
      <c r="V4254" s="282" t="e">
        <f>+Tabla4[[#This Row],[Comisión Calculada]]*Tabla4[[#This Row],[Total]]</f>
        <v>#N/A</v>
      </c>
    </row>
    <row r="4255" spans="1:22" hidden="1" x14ac:dyDescent="0.25">
      <c r="A4255" s="100">
        <v>45853</v>
      </c>
      <c r="B4255" t="str">
        <f>TEXT(A4255, "mmmm")</f>
        <v>July</v>
      </c>
      <c r="C4255" s="46" t="s">
        <v>280</v>
      </c>
      <c r="F4255" s="366" t="s">
        <v>2317</v>
      </c>
      <c r="G4255" s="46" t="s">
        <v>209</v>
      </c>
      <c r="H4255" s="46">
        <v>2</v>
      </c>
      <c r="I4255" s="51">
        <v>347.48</v>
      </c>
      <c r="J4255" s="281">
        <f>++Tabla4[[#This Row],[Precio Bruto]]*1.16</f>
        <v>403.07679999999999</v>
      </c>
      <c r="K4255" s="281">
        <f>+Tabla4[[#This Row],[Precio Unitario Neto]]*Tabla4[[#Headers],[20.85%]]</f>
        <v>84.041512799999992</v>
      </c>
      <c r="L4255" s="282">
        <f>++Tabla4[[#This Row],[Precio Unitario Neto]]-Tabla4[[#This Row],[20.85%]]</f>
        <v>319.03528719999997</v>
      </c>
      <c r="M4255" s="282" t="e">
        <f>(INDEX(Tabla6[#All],MATCH(Tabla4[[#This Row],[Producto]],Tabla6[[#All],[PRODUCTO]],0),MATCH(Tabla4[[#This Row],[Mes]],Tabla6[#Headers],0)))*(1+Catalogos!$L$2)</f>
        <v>#N/A</v>
      </c>
      <c r="N4255" s="283" t="e">
        <f>+(Tabla4[[#This Row],[Precio Descontado]]-Tabla4[[#This Row],[Precio Base]])*Tabla4[[#This Row],[Cantidad]]</f>
        <v>#N/A</v>
      </c>
      <c r="O4255" s="284" t="e">
        <f>++Tabla4[[#This Row],[Utilidad Total]]/Tabla4[[#This Row],[Total]]</f>
        <v>#N/A</v>
      </c>
      <c r="P4255" s="282">
        <f>++Tabla4[[#This Row],[Precio Descontado]]*Tabla4[[#This Row],[Cantidad]]</f>
        <v>638.07057439999994</v>
      </c>
      <c r="Q4255" s="282" t="e">
        <f>(INDEX(Tabla6[#All],MATCH(Tabla4[[#This Row],[Producto]],Tabla6[[#All],[PRODUCTO]],0),MATCH(Tabla4[[#This Row],[Mes]],Tabla6[#Headers],0)))</f>
        <v>#N/A</v>
      </c>
      <c r="R4255" s="282" t="e">
        <f>++Tabla4[[#This Row],[Precio Unitario Neto]]-Tabla4[[#This Row],[20.85%]]-Tabla4[[#This Row],[Costo]]</f>
        <v>#N/A</v>
      </c>
      <c r="S4255" s="282" t="e">
        <f>++Tabla4[[#This Row],[U. Bruta Uni]]*Tabla4[[#This Row],[Cantidad]]</f>
        <v>#N/A</v>
      </c>
      <c r="T4255" s="369" t="str">
        <f>VLOOKUP(Tabla4[[#This Row],[Producto]],Tabla6[#All],14,FALSE)</f>
        <v>Termico Solar</v>
      </c>
      <c r="U4255" s="284" t="e">
        <f>(IF(Tabla4[[#This Row],[Familia]]="termico solar",Tabla4[[#This Row],[Utilidad Total]]*6%,Tabla4[[#This Row],[Utilidad Total]]*11.5%))/Tabla4[[#This Row],[Total]]</f>
        <v>#N/A</v>
      </c>
      <c r="V4255" s="282" t="e">
        <f>+Tabla4[[#This Row],[Comisión Calculada]]*Tabla4[[#This Row],[Total]]</f>
        <v>#N/A</v>
      </c>
    </row>
    <row r="4256" spans="1:22" hidden="1" x14ac:dyDescent="0.25">
      <c r="A4256" s="100">
        <v>45853</v>
      </c>
      <c r="B4256" t="str">
        <f t="shared" ref="B4256:B4262" si="212">TEXT(A4256, "mmmm")</f>
        <v>July</v>
      </c>
      <c r="C4256" s="46" t="s">
        <v>280</v>
      </c>
      <c r="F4256" s="366" t="s">
        <v>2318</v>
      </c>
      <c r="G4256" s="46" t="s">
        <v>83</v>
      </c>
      <c r="H4256" s="46">
        <v>1</v>
      </c>
      <c r="I4256" s="51">
        <v>8858.76</v>
      </c>
      <c r="J4256" s="281">
        <f>++Tabla4[[#This Row],[Precio Bruto]]*1.16</f>
        <v>10276.161599999999</v>
      </c>
      <c r="K4256" s="281">
        <f>+Tabla4[[#This Row],[Precio Unitario Neto]]*Tabla4[[#Headers],[20.85%]]</f>
        <v>2142.5796935999997</v>
      </c>
      <c r="L4256" s="282">
        <f>++Tabla4[[#This Row],[Precio Unitario Neto]]-Tabla4[[#This Row],[20.85%]]</f>
        <v>8133.5819063999998</v>
      </c>
      <c r="M4256" s="282" t="e">
        <f>(INDEX(Tabla6[#All],MATCH(Tabla4[[#This Row],[Producto]],Tabla6[[#All],[PRODUCTO]],0),MATCH(Tabla4[[#This Row],[Mes]],Tabla6[#Headers],0)))*(1+Catalogos!$L$2)</f>
        <v>#N/A</v>
      </c>
      <c r="N4256" s="283" t="e">
        <f>+(Tabla4[[#This Row],[Precio Descontado]]-Tabla4[[#This Row],[Precio Base]])*Tabla4[[#This Row],[Cantidad]]</f>
        <v>#N/A</v>
      </c>
      <c r="O4256" s="284" t="e">
        <f>++Tabla4[[#This Row],[Utilidad Total]]/Tabla4[[#This Row],[Total]]</f>
        <v>#N/A</v>
      </c>
      <c r="P4256" s="282">
        <f>++Tabla4[[#This Row],[Precio Descontado]]*Tabla4[[#This Row],[Cantidad]]</f>
        <v>8133.5819063999998</v>
      </c>
      <c r="Q4256" s="282" t="e">
        <f>(INDEX(Tabla6[#All],MATCH(Tabla4[[#This Row],[Producto]],Tabla6[[#All],[PRODUCTO]],0),MATCH(Tabla4[[#This Row],[Mes]],Tabla6[#Headers],0)))</f>
        <v>#N/A</v>
      </c>
      <c r="R4256" s="282" t="e">
        <f>++Tabla4[[#This Row],[Precio Unitario Neto]]-Tabla4[[#This Row],[20.85%]]-Tabla4[[#This Row],[Costo]]</f>
        <v>#N/A</v>
      </c>
      <c r="S4256" s="282" t="e">
        <f>++Tabla4[[#This Row],[U. Bruta Uni]]*Tabla4[[#This Row],[Cantidad]]</f>
        <v>#N/A</v>
      </c>
      <c r="T4256" s="369" t="str">
        <f>VLOOKUP(Tabla4[[#This Row],[Producto]],Tabla6[#All],14,FALSE)</f>
        <v>Termico Solar</v>
      </c>
      <c r="U4256" s="284" t="e">
        <f>(IF(Tabla4[[#This Row],[Familia]]="termico solar",Tabla4[[#This Row],[Utilidad Total]]*6%,Tabla4[[#This Row],[Utilidad Total]]*11.5%))/Tabla4[[#This Row],[Total]]</f>
        <v>#N/A</v>
      </c>
      <c r="V4256" s="282" t="e">
        <f>+Tabla4[[#This Row],[Comisión Calculada]]*Tabla4[[#This Row],[Total]]</f>
        <v>#N/A</v>
      </c>
    </row>
    <row r="4257" spans="1:22" hidden="1" x14ac:dyDescent="0.25">
      <c r="A4257" s="100">
        <v>45853</v>
      </c>
      <c r="B4257" t="str">
        <f t="shared" si="212"/>
        <v>July</v>
      </c>
      <c r="C4257" s="46" t="s">
        <v>280</v>
      </c>
      <c r="F4257" s="366" t="s">
        <v>2318</v>
      </c>
      <c r="G4257" s="46" t="s">
        <v>18</v>
      </c>
      <c r="H4257" s="46">
        <v>3</v>
      </c>
      <c r="I4257" s="51">
        <v>5367.6500000000005</v>
      </c>
      <c r="J4257" s="281">
        <f>++Tabla4[[#This Row],[Precio Bruto]]*1.16</f>
        <v>6226.4740000000002</v>
      </c>
      <c r="K4257" s="281">
        <f>+Tabla4[[#This Row],[Precio Unitario Neto]]*Tabla4[[#Headers],[20.85%]]</f>
        <v>1298.2198289999999</v>
      </c>
      <c r="L4257" s="282">
        <f>++Tabla4[[#This Row],[Precio Unitario Neto]]-Tabla4[[#This Row],[20.85%]]</f>
        <v>4928.2541710000005</v>
      </c>
      <c r="M4257" s="282" t="e">
        <f>(INDEX(Tabla6[#All],MATCH(Tabla4[[#This Row],[Producto]],Tabla6[[#All],[PRODUCTO]],0),MATCH(Tabla4[[#This Row],[Mes]],Tabla6[#Headers],0)))*(1+Catalogos!$L$2)</f>
        <v>#N/A</v>
      </c>
      <c r="N4257" s="283" t="e">
        <f>+(Tabla4[[#This Row],[Precio Descontado]]-Tabla4[[#This Row],[Precio Base]])*Tabla4[[#This Row],[Cantidad]]</f>
        <v>#N/A</v>
      </c>
      <c r="O4257" s="284" t="e">
        <f>++Tabla4[[#This Row],[Utilidad Total]]/Tabla4[[#This Row],[Total]]</f>
        <v>#N/A</v>
      </c>
      <c r="P4257" s="282">
        <f>++Tabla4[[#This Row],[Precio Descontado]]*Tabla4[[#This Row],[Cantidad]]</f>
        <v>14784.762513000001</v>
      </c>
      <c r="Q4257" s="282" t="e">
        <f>(INDEX(Tabla6[#All],MATCH(Tabla4[[#This Row],[Producto]],Tabla6[[#All],[PRODUCTO]],0),MATCH(Tabla4[[#This Row],[Mes]],Tabla6[#Headers],0)))</f>
        <v>#N/A</v>
      </c>
      <c r="R4257" s="282" t="e">
        <f>++Tabla4[[#This Row],[Precio Unitario Neto]]-Tabla4[[#This Row],[20.85%]]-Tabla4[[#This Row],[Costo]]</f>
        <v>#N/A</v>
      </c>
      <c r="S4257" s="282" t="e">
        <f>++Tabla4[[#This Row],[U. Bruta Uni]]*Tabla4[[#This Row],[Cantidad]]</f>
        <v>#N/A</v>
      </c>
      <c r="T4257" s="369" t="str">
        <f>VLOOKUP(Tabla4[[#This Row],[Producto]],Tabla6[#All],14,FALSE)</f>
        <v>Termico Solar</v>
      </c>
      <c r="U4257" s="284" t="e">
        <f>(IF(Tabla4[[#This Row],[Familia]]="termico solar",Tabla4[[#This Row],[Utilidad Total]]*6%,Tabla4[[#This Row],[Utilidad Total]]*11.5%))/Tabla4[[#This Row],[Total]]</f>
        <v>#N/A</v>
      </c>
      <c r="V4257" s="282" t="e">
        <f>+Tabla4[[#This Row],[Comisión Calculada]]*Tabla4[[#This Row],[Total]]</f>
        <v>#N/A</v>
      </c>
    </row>
    <row r="4258" spans="1:22" hidden="1" x14ac:dyDescent="0.25">
      <c r="A4258" s="100">
        <v>45853</v>
      </c>
      <c r="B4258" t="str">
        <f t="shared" si="212"/>
        <v>July</v>
      </c>
      <c r="C4258" s="46" t="s">
        <v>280</v>
      </c>
      <c r="F4258" s="366" t="s">
        <v>2318</v>
      </c>
      <c r="G4258" s="46" t="s">
        <v>566</v>
      </c>
      <c r="H4258" s="46">
        <v>1</v>
      </c>
      <c r="I4258" s="51">
        <v>2109.4499999999998</v>
      </c>
      <c r="J4258" s="281">
        <f>++Tabla4[[#This Row],[Precio Bruto]]*1.16</f>
        <v>2446.9619999999995</v>
      </c>
      <c r="K4258" s="281">
        <f>+Tabla4[[#This Row],[Precio Unitario Neto]]*Tabla4[[#Headers],[20.85%]]</f>
        <v>510.19157699999988</v>
      </c>
      <c r="L4258" s="282">
        <f>++Tabla4[[#This Row],[Precio Unitario Neto]]-Tabla4[[#This Row],[20.85%]]</f>
        <v>1936.7704229999997</v>
      </c>
      <c r="M4258" s="282" t="e">
        <f>(INDEX(Tabla6[#All],MATCH(Tabla4[[#This Row],[Producto]],Tabla6[[#All],[PRODUCTO]],0),MATCH(Tabla4[[#This Row],[Mes]],Tabla6[#Headers],0)))*(1+Catalogos!$L$2)</f>
        <v>#N/A</v>
      </c>
      <c r="N4258" s="283" t="e">
        <f>+(Tabla4[[#This Row],[Precio Descontado]]-Tabla4[[#This Row],[Precio Base]])*Tabla4[[#This Row],[Cantidad]]</f>
        <v>#N/A</v>
      </c>
      <c r="O4258" s="284" t="e">
        <f>++Tabla4[[#This Row],[Utilidad Total]]/Tabla4[[#This Row],[Total]]</f>
        <v>#N/A</v>
      </c>
      <c r="P4258" s="282">
        <f>++Tabla4[[#This Row],[Precio Descontado]]*Tabla4[[#This Row],[Cantidad]]</f>
        <v>1936.7704229999997</v>
      </c>
      <c r="Q4258" s="282" t="e">
        <f>(INDEX(Tabla6[#All],MATCH(Tabla4[[#This Row],[Producto]],Tabla6[[#All],[PRODUCTO]],0),MATCH(Tabla4[[#This Row],[Mes]],Tabla6[#Headers],0)))</f>
        <v>#N/A</v>
      </c>
      <c r="R4258" s="282" t="e">
        <f>++Tabla4[[#This Row],[Precio Unitario Neto]]-Tabla4[[#This Row],[20.85%]]-Tabla4[[#This Row],[Costo]]</f>
        <v>#N/A</v>
      </c>
      <c r="S4258" s="282" t="e">
        <f>++Tabla4[[#This Row],[U. Bruta Uni]]*Tabla4[[#This Row],[Cantidad]]</f>
        <v>#N/A</v>
      </c>
      <c r="T4258" s="369" t="str">
        <f>VLOOKUP(Tabla4[[#This Row],[Producto]],Tabla6[#All],14,FALSE)</f>
        <v>Termico Solar</v>
      </c>
      <c r="U4258" s="284" t="e">
        <f>(IF(Tabla4[[#This Row],[Familia]]="termico solar",Tabla4[[#This Row],[Utilidad Total]]*6%,Tabla4[[#This Row],[Utilidad Total]]*11.5%))/Tabla4[[#This Row],[Total]]</f>
        <v>#N/A</v>
      </c>
      <c r="V4258" s="282" t="e">
        <f>+Tabla4[[#This Row],[Comisión Calculada]]*Tabla4[[#This Row],[Total]]</f>
        <v>#N/A</v>
      </c>
    </row>
    <row r="4259" spans="1:22" hidden="1" x14ac:dyDescent="0.25">
      <c r="A4259" s="100">
        <v>45853</v>
      </c>
      <c r="B4259" t="str">
        <f t="shared" si="212"/>
        <v>July</v>
      </c>
      <c r="C4259" s="46" t="s">
        <v>280</v>
      </c>
      <c r="F4259" s="366" t="s">
        <v>2318</v>
      </c>
      <c r="G4259" s="46" t="s">
        <v>200</v>
      </c>
      <c r="H4259" s="46">
        <v>12</v>
      </c>
      <c r="I4259" s="51">
        <v>393.22</v>
      </c>
      <c r="J4259" s="281">
        <f>++Tabla4[[#This Row],[Precio Bruto]]*1.16</f>
        <v>456.1352</v>
      </c>
      <c r="K4259" s="281">
        <f>+Tabla4[[#This Row],[Precio Unitario Neto]]*Tabla4[[#Headers],[20.85%]]</f>
        <v>95.104189199999993</v>
      </c>
      <c r="L4259" s="282">
        <f>++Tabla4[[#This Row],[Precio Unitario Neto]]-Tabla4[[#This Row],[20.85%]]</f>
        <v>361.03101079999999</v>
      </c>
      <c r="M4259" s="282" t="e">
        <f>(INDEX(Tabla6[#All],MATCH(Tabla4[[#This Row],[Producto]],Tabla6[[#All],[PRODUCTO]],0),MATCH(Tabla4[[#This Row],[Mes]],Tabla6[#Headers],0)))*(1+Catalogos!$L$2)</f>
        <v>#N/A</v>
      </c>
      <c r="N4259" s="283" t="e">
        <f>+(Tabla4[[#This Row],[Precio Descontado]]-Tabla4[[#This Row],[Precio Base]])*Tabla4[[#This Row],[Cantidad]]</f>
        <v>#N/A</v>
      </c>
      <c r="O4259" s="284" t="e">
        <f>++Tabla4[[#This Row],[Utilidad Total]]/Tabla4[[#This Row],[Total]]</f>
        <v>#N/A</v>
      </c>
      <c r="P4259" s="282">
        <f>++Tabla4[[#This Row],[Precio Descontado]]*Tabla4[[#This Row],[Cantidad]]</f>
        <v>4332.3721296000003</v>
      </c>
      <c r="Q4259" s="282" t="e">
        <f>(INDEX(Tabla6[#All],MATCH(Tabla4[[#This Row],[Producto]],Tabla6[[#All],[PRODUCTO]],0),MATCH(Tabla4[[#This Row],[Mes]],Tabla6[#Headers],0)))</f>
        <v>#N/A</v>
      </c>
      <c r="R4259" s="282" t="e">
        <f>++Tabla4[[#This Row],[Precio Unitario Neto]]-Tabla4[[#This Row],[20.85%]]-Tabla4[[#This Row],[Costo]]</f>
        <v>#N/A</v>
      </c>
      <c r="S4259" s="282" t="e">
        <f>++Tabla4[[#This Row],[U. Bruta Uni]]*Tabla4[[#This Row],[Cantidad]]</f>
        <v>#N/A</v>
      </c>
      <c r="T4259" s="369" t="str">
        <f>VLOOKUP(Tabla4[[#This Row],[Producto]],Tabla6[#All],14,FALSE)</f>
        <v>Termico Solar</v>
      </c>
      <c r="U4259" s="284" t="e">
        <f>(IF(Tabla4[[#This Row],[Familia]]="termico solar",Tabla4[[#This Row],[Utilidad Total]]*6%,Tabla4[[#This Row],[Utilidad Total]]*11.5%))/Tabla4[[#This Row],[Total]]</f>
        <v>#N/A</v>
      </c>
      <c r="V4259" s="282" t="e">
        <f>+Tabla4[[#This Row],[Comisión Calculada]]*Tabla4[[#This Row],[Total]]</f>
        <v>#N/A</v>
      </c>
    </row>
    <row r="4260" spans="1:22" hidden="1" x14ac:dyDescent="0.25">
      <c r="A4260" s="100">
        <v>45853</v>
      </c>
      <c r="B4260" t="str">
        <f t="shared" si="212"/>
        <v>July</v>
      </c>
      <c r="C4260" s="46" t="s">
        <v>280</v>
      </c>
      <c r="F4260" s="366" t="s">
        <v>2318</v>
      </c>
      <c r="G4260" s="46" t="s">
        <v>545</v>
      </c>
      <c r="H4260" s="46">
        <v>24</v>
      </c>
      <c r="I4260" s="51">
        <v>304.32</v>
      </c>
      <c r="J4260" s="281">
        <f>++Tabla4[[#This Row],[Precio Bruto]]*1.16</f>
        <v>353.01119999999997</v>
      </c>
      <c r="K4260" s="281">
        <f>+Tabla4[[#This Row],[Precio Unitario Neto]]*Tabla4[[#Headers],[20.85%]]</f>
        <v>73.602835199999987</v>
      </c>
      <c r="L4260" s="282">
        <f>++Tabla4[[#This Row],[Precio Unitario Neto]]-Tabla4[[#This Row],[20.85%]]</f>
        <v>279.40836479999996</v>
      </c>
      <c r="M4260" s="282" t="e">
        <f>(INDEX(Tabla6[#All],MATCH(Tabla4[[#This Row],[Producto]],Tabla6[[#All],[PRODUCTO]],0),MATCH(Tabla4[[#This Row],[Mes]],Tabla6[#Headers],0)))*(1+Catalogos!$L$2)</f>
        <v>#N/A</v>
      </c>
      <c r="N4260" s="283" t="e">
        <f>+(Tabla4[[#This Row],[Precio Descontado]]-Tabla4[[#This Row],[Precio Base]])*Tabla4[[#This Row],[Cantidad]]</f>
        <v>#N/A</v>
      </c>
      <c r="O4260" s="284" t="e">
        <f>++Tabla4[[#This Row],[Utilidad Total]]/Tabla4[[#This Row],[Total]]</f>
        <v>#N/A</v>
      </c>
      <c r="P4260" s="282">
        <f>++Tabla4[[#This Row],[Precio Descontado]]*Tabla4[[#This Row],[Cantidad]]</f>
        <v>6705.800755199999</v>
      </c>
      <c r="Q4260" s="282" t="e">
        <f>(INDEX(Tabla6[#All],MATCH(Tabla4[[#This Row],[Producto]],Tabla6[[#All],[PRODUCTO]],0),MATCH(Tabla4[[#This Row],[Mes]],Tabla6[#Headers],0)))</f>
        <v>#N/A</v>
      </c>
      <c r="R4260" s="282" t="e">
        <f>++Tabla4[[#This Row],[Precio Unitario Neto]]-Tabla4[[#This Row],[20.85%]]-Tabla4[[#This Row],[Costo]]</f>
        <v>#N/A</v>
      </c>
      <c r="S4260" s="282" t="e">
        <f>++Tabla4[[#This Row],[U. Bruta Uni]]*Tabla4[[#This Row],[Cantidad]]</f>
        <v>#N/A</v>
      </c>
      <c r="T4260" s="369" t="str">
        <f>VLOOKUP(Tabla4[[#This Row],[Producto]],Tabla6[#All],14,FALSE)</f>
        <v>Termico Solar</v>
      </c>
      <c r="U4260" s="284" t="e">
        <f>(IF(Tabla4[[#This Row],[Familia]]="termico solar",Tabla4[[#This Row],[Utilidad Total]]*6%,Tabla4[[#This Row],[Utilidad Total]]*11.5%))/Tabla4[[#This Row],[Total]]</f>
        <v>#N/A</v>
      </c>
      <c r="V4260" s="282" t="e">
        <f>+Tabla4[[#This Row],[Comisión Calculada]]*Tabla4[[#This Row],[Total]]</f>
        <v>#N/A</v>
      </c>
    </row>
    <row r="4261" spans="1:22" hidden="1" x14ac:dyDescent="0.25">
      <c r="A4261" s="100">
        <v>45853</v>
      </c>
      <c r="B4261" t="str">
        <f t="shared" si="212"/>
        <v>July</v>
      </c>
      <c r="C4261" s="46" t="s">
        <v>280</v>
      </c>
      <c r="F4261" s="366" t="s">
        <v>2318</v>
      </c>
      <c r="G4261" s="46" t="s">
        <v>208</v>
      </c>
      <c r="H4261" s="46">
        <v>1</v>
      </c>
      <c r="I4261" s="51">
        <v>189.75</v>
      </c>
      <c r="J4261" s="281">
        <f>++Tabla4[[#This Row],[Precio Bruto]]*1.16</f>
        <v>220.10999999999999</v>
      </c>
      <c r="K4261" s="281">
        <f>+Tabla4[[#This Row],[Precio Unitario Neto]]*Tabla4[[#Headers],[20.85%]]</f>
        <v>45.892934999999994</v>
      </c>
      <c r="L4261" s="282">
        <f>++Tabla4[[#This Row],[Precio Unitario Neto]]-Tabla4[[#This Row],[20.85%]]</f>
        <v>174.21706499999999</v>
      </c>
      <c r="M4261" s="282" t="e">
        <f>(INDEX(Tabla6[#All],MATCH(Tabla4[[#This Row],[Producto]],Tabla6[[#All],[PRODUCTO]],0),MATCH(Tabla4[[#This Row],[Mes]],Tabla6[#Headers],0)))*(1+Catalogos!$L$2)</f>
        <v>#N/A</v>
      </c>
      <c r="N4261" s="283" t="e">
        <f>+(Tabla4[[#This Row],[Precio Descontado]]-Tabla4[[#This Row],[Precio Base]])*Tabla4[[#This Row],[Cantidad]]</f>
        <v>#N/A</v>
      </c>
      <c r="O4261" s="284" t="e">
        <f>++Tabla4[[#This Row],[Utilidad Total]]/Tabla4[[#This Row],[Total]]</f>
        <v>#N/A</v>
      </c>
      <c r="P4261" s="282">
        <f>++Tabla4[[#This Row],[Precio Descontado]]*Tabla4[[#This Row],[Cantidad]]</f>
        <v>174.21706499999999</v>
      </c>
      <c r="Q4261" s="282" t="e">
        <f>(INDEX(Tabla6[#All],MATCH(Tabla4[[#This Row],[Producto]],Tabla6[[#All],[PRODUCTO]],0),MATCH(Tabla4[[#This Row],[Mes]],Tabla6[#Headers],0)))</f>
        <v>#N/A</v>
      </c>
      <c r="R4261" s="282" t="e">
        <f>++Tabla4[[#This Row],[Precio Unitario Neto]]-Tabla4[[#This Row],[20.85%]]-Tabla4[[#This Row],[Costo]]</f>
        <v>#N/A</v>
      </c>
      <c r="S4261" s="282" t="e">
        <f>++Tabla4[[#This Row],[U. Bruta Uni]]*Tabla4[[#This Row],[Cantidad]]</f>
        <v>#N/A</v>
      </c>
      <c r="T4261" s="369" t="str">
        <f>VLOOKUP(Tabla4[[#This Row],[Producto]],Tabla6[#All],14,FALSE)</f>
        <v>Termico Solar</v>
      </c>
      <c r="U4261" s="284" t="e">
        <f>(IF(Tabla4[[#This Row],[Familia]]="termico solar",Tabla4[[#This Row],[Utilidad Total]]*6%,Tabla4[[#This Row],[Utilidad Total]]*11.5%))/Tabla4[[#This Row],[Total]]</f>
        <v>#N/A</v>
      </c>
      <c r="V4261" s="282" t="e">
        <f>+Tabla4[[#This Row],[Comisión Calculada]]*Tabla4[[#This Row],[Total]]</f>
        <v>#N/A</v>
      </c>
    </row>
    <row r="4262" spans="1:22" hidden="1" x14ac:dyDescent="0.25">
      <c r="A4262" s="100">
        <v>45853</v>
      </c>
      <c r="B4262" t="str">
        <f t="shared" si="212"/>
        <v>July</v>
      </c>
      <c r="C4262" s="46" t="s">
        <v>280</v>
      </c>
      <c r="F4262" s="366" t="s">
        <v>2318</v>
      </c>
      <c r="G4262" s="46" t="s">
        <v>209</v>
      </c>
      <c r="H4262" s="46">
        <v>2</v>
      </c>
      <c r="I4262" s="51">
        <v>347.48</v>
      </c>
      <c r="J4262" s="281">
        <f>++Tabla4[[#This Row],[Precio Bruto]]*1.16</f>
        <v>403.07679999999999</v>
      </c>
      <c r="K4262" s="281">
        <f>+Tabla4[[#This Row],[Precio Unitario Neto]]*Tabla4[[#Headers],[20.85%]]</f>
        <v>84.041512799999992</v>
      </c>
      <c r="L4262" s="282">
        <f>++Tabla4[[#This Row],[Precio Unitario Neto]]-Tabla4[[#This Row],[20.85%]]</f>
        <v>319.03528719999997</v>
      </c>
      <c r="M4262" s="282" t="e">
        <f>(INDEX(Tabla6[#All],MATCH(Tabla4[[#This Row],[Producto]],Tabla6[[#All],[PRODUCTO]],0),MATCH(Tabla4[[#This Row],[Mes]],Tabla6[#Headers],0)))*(1+Catalogos!$L$2)</f>
        <v>#N/A</v>
      </c>
      <c r="N4262" s="283" t="e">
        <f>+(Tabla4[[#This Row],[Precio Descontado]]-Tabla4[[#This Row],[Precio Base]])*Tabla4[[#This Row],[Cantidad]]</f>
        <v>#N/A</v>
      </c>
      <c r="O4262" s="284" t="e">
        <f>++Tabla4[[#This Row],[Utilidad Total]]/Tabla4[[#This Row],[Total]]</f>
        <v>#N/A</v>
      </c>
      <c r="P4262" s="282">
        <f>++Tabla4[[#This Row],[Precio Descontado]]*Tabla4[[#This Row],[Cantidad]]</f>
        <v>638.07057439999994</v>
      </c>
      <c r="Q4262" s="282" t="e">
        <f>(INDEX(Tabla6[#All],MATCH(Tabla4[[#This Row],[Producto]],Tabla6[[#All],[PRODUCTO]],0),MATCH(Tabla4[[#This Row],[Mes]],Tabla6[#Headers],0)))</f>
        <v>#N/A</v>
      </c>
      <c r="R4262" s="282" t="e">
        <f>++Tabla4[[#This Row],[Precio Unitario Neto]]-Tabla4[[#This Row],[20.85%]]-Tabla4[[#This Row],[Costo]]</f>
        <v>#N/A</v>
      </c>
      <c r="S4262" s="282" t="e">
        <f>++Tabla4[[#This Row],[U. Bruta Uni]]*Tabla4[[#This Row],[Cantidad]]</f>
        <v>#N/A</v>
      </c>
      <c r="T4262" s="369" t="str">
        <f>VLOOKUP(Tabla4[[#This Row],[Producto]],Tabla6[#All],14,FALSE)</f>
        <v>Termico Solar</v>
      </c>
      <c r="U4262" s="284" t="e">
        <f>(IF(Tabla4[[#This Row],[Familia]]="termico solar",Tabla4[[#This Row],[Utilidad Total]]*6%,Tabla4[[#This Row],[Utilidad Total]]*11.5%))/Tabla4[[#This Row],[Total]]</f>
        <v>#N/A</v>
      </c>
      <c r="V4262" s="282" t="e">
        <f>+Tabla4[[#This Row],[Comisión Calculada]]*Tabla4[[#This Row],[Total]]</f>
        <v>#N/A</v>
      </c>
    </row>
    <row r="4263" spans="1:22" hidden="1" x14ac:dyDescent="0.25">
      <c r="A4263" s="100">
        <v>45853</v>
      </c>
      <c r="B4263" t="str">
        <f t="shared" ref="B4263:B4268" si="213">TEXT(A4263, "mmmm")</f>
        <v>July</v>
      </c>
      <c r="C4263" s="46" t="s">
        <v>280</v>
      </c>
      <c r="F4263" s="366" t="s">
        <v>2319</v>
      </c>
      <c r="G4263" s="46" t="s">
        <v>83</v>
      </c>
      <c r="H4263" s="46">
        <v>1</v>
      </c>
      <c r="I4263" s="51">
        <v>8858.76</v>
      </c>
      <c r="J4263" s="281">
        <f>++Tabla4[[#This Row],[Precio Bruto]]*1.16</f>
        <v>10276.161599999999</v>
      </c>
      <c r="K4263" s="281">
        <f>+Tabla4[[#This Row],[Precio Unitario Neto]]*Tabla4[[#Headers],[20.85%]]</f>
        <v>2142.5796935999997</v>
      </c>
      <c r="L4263" s="282">
        <f>++Tabla4[[#This Row],[Precio Unitario Neto]]-Tabla4[[#This Row],[20.85%]]</f>
        <v>8133.5819063999998</v>
      </c>
      <c r="M4263" s="282" t="e">
        <f>(INDEX(Tabla6[#All],MATCH(Tabla4[[#This Row],[Producto]],Tabla6[[#All],[PRODUCTO]],0),MATCH(Tabla4[[#This Row],[Mes]],Tabla6[#Headers],0)))*(1+Catalogos!$L$2)</f>
        <v>#N/A</v>
      </c>
      <c r="N4263" s="283" t="e">
        <f>+(Tabla4[[#This Row],[Precio Descontado]]-Tabla4[[#This Row],[Precio Base]])*Tabla4[[#This Row],[Cantidad]]</f>
        <v>#N/A</v>
      </c>
      <c r="O4263" s="284" t="e">
        <f>++Tabla4[[#This Row],[Utilidad Total]]/Tabla4[[#This Row],[Total]]</f>
        <v>#N/A</v>
      </c>
      <c r="P4263" s="282">
        <f>++Tabla4[[#This Row],[Precio Descontado]]*Tabla4[[#This Row],[Cantidad]]</f>
        <v>8133.5819063999998</v>
      </c>
      <c r="Q4263" s="282" t="e">
        <f>(INDEX(Tabla6[#All],MATCH(Tabla4[[#This Row],[Producto]],Tabla6[[#All],[PRODUCTO]],0),MATCH(Tabla4[[#This Row],[Mes]],Tabla6[#Headers],0)))</f>
        <v>#N/A</v>
      </c>
      <c r="R4263" s="282" t="e">
        <f>++Tabla4[[#This Row],[Precio Unitario Neto]]-Tabla4[[#This Row],[20.85%]]-Tabla4[[#This Row],[Costo]]</f>
        <v>#N/A</v>
      </c>
      <c r="S4263" s="282" t="e">
        <f>++Tabla4[[#This Row],[U. Bruta Uni]]*Tabla4[[#This Row],[Cantidad]]</f>
        <v>#N/A</v>
      </c>
      <c r="T4263" s="369" t="str">
        <f>VLOOKUP(Tabla4[[#This Row],[Producto]],Tabla6[#All],14,FALSE)</f>
        <v>Termico Solar</v>
      </c>
      <c r="U4263" s="284" t="e">
        <f>(IF(Tabla4[[#This Row],[Familia]]="termico solar",Tabla4[[#This Row],[Utilidad Total]]*6%,Tabla4[[#This Row],[Utilidad Total]]*11.5%))/Tabla4[[#This Row],[Total]]</f>
        <v>#N/A</v>
      </c>
      <c r="V4263" s="282" t="e">
        <f>+Tabla4[[#This Row],[Comisión Calculada]]*Tabla4[[#This Row],[Total]]</f>
        <v>#N/A</v>
      </c>
    </row>
    <row r="4264" spans="1:22" hidden="1" x14ac:dyDescent="0.25">
      <c r="A4264" s="100">
        <v>45853</v>
      </c>
      <c r="B4264" t="str">
        <f t="shared" si="213"/>
        <v>July</v>
      </c>
      <c r="C4264" s="46" t="s">
        <v>280</v>
      </c>
      <c r="F4264" s="366" t="s">
        <v>2319</v>
      </c>
      <c r="G4264" s="46" t="s">
        <v>17</v>
      </c>
      <c r="H4264" s="46">
        <v>3</v>
      </c>
      <c r="I4264" s="51">
        <v>4622.28</v>
      </c>
      <c r="J4264" s="281">
        <f>++Tabla4[[#This Row],[Precio Bruto]]*1.16</f>
        <v>5361.8447999999989</v>
      </c>
      <c r="K4264" s="281">
        <f>+Tabla4[[#This Row],[Precio Unitario Neto]]*Tabla4[[#Headers],[20.85%]]</f>
        <v>1117.9446407999997</v>
      </c>
      <c r="L4264" s="282">
        <f>++Tabla4[[#This Row],[Precio Unitario Neto]]-Tabla4[[#This Row],[20.85%]]</f>
        <v>4243.9001591999995</v>
      </c>
      <c r="M4264" s="282" t="e">
        <f>(INDEX(Tabla6[#All],MATCH(Tabla4[[#This Row],[Producto]],Tabla6[[#All],[PRODUCTO]],0),MATCH(Tabla4[[#This Row],[Mes]],Tabla6[#Headers],0)))*(1+Catalogos!$L$2)</f>
        <v>#N/A</v>
      </c>
      <c r="N4264" s="283" t="e">
        <f>+(Tabla4[[#This Row],[Precio Descontado]]-Tabla4[[#This Row],[Precio Base]])*Tabla4[[#This Row],[Cantidad]]</f>
        <v>#N/A</v>
      </c>
      <c r="O4264" s="284" t="e">
        <f>++Tabla4[[#This Row],[Utilidad Total]]/Tabla4[[#This Row],[Total]]</f>
        <v>#N/A</v>
      </c>
      <c r="P4264" s="282">
        <f>++Tabla4[[#This Row],[Precio Descontado]]*Tabla4[[#This Row],[Cantidad]]</f>
        <v>12731.700477599999</v>
      </c>
      <c r="Q4264" s="282" t="e">
        <f>(INDEX(Tabla6[#All],MATCH(Tabla4[[#This Row],[Producto]],Tabla6[[#All],[PRODUCTO]],0),MATCH(Tabla4[[#This Row],[Mes]],Tabla6[#Headers],0)))</f>
        <v>#N/A</v>
      </c>
      <c r="R4264" s="282" t="e">
        <f>++Tabla4[[#This Row],[Precio Unitario Neto]]-Tabla4[[#This Row],[20.85%]]-Tabla4[[#This Row],[Costo]]</f>
        <v>#N/A</v>
      </c>
      <c r="S4264" s="282" t="e">
        <f>++Tabla4[[#This Row],[U. Bruta Uni]]*Tabla4[[#This Row],[Cantidad]]</f>
        <v>#N/A</v>
      </c>
      <c r="T4264" s="369" t="str">
        <f>VLOOKUP(Tabla4[[#This Row],[Producto]],Tabla6[#All],14,FALSE)</f>
        <v>Termico Solar</v>
      </c>
      <c r="U4264" s="284" t="e">
        <f>(IF(Tabla4[[#This Row],[Familia]]="termico solar",Tabla4[[#This Row],[Utilidad Total]]*6%,Tabla4[[#This Row],[Utilidad Total]]*11.5%))/Tabla4[[#This Row],[Total]]</f>
        <v>#N/A</v>
      </c>
      <c r="V4264" s="282" t="e">
        <f>+Tabla4[[#This Row],[Comisión Calculada]]*Tabla4[[#This Row],[Total]]</f>
        <v>#N/A</v>
      </c>
    </row>
    <row r="4265" spans="1:22" hidden="1" x14ac:dyDescent="0.25">
      <c r="A4265" s="100">
        <v>45853</v>
      </c>
      <c r="B4265" t="str">
        <f t="shared" si="213"/>
        <v>July</v>
      </c>
      <c r="C4265" s="46" t="s">
        <v>280</v>
      </c>
      <c r="F4265" s="366" t="s">
        <v>2319</v>
      </c>
      <c r="G4265" s="46" t="s">
        <v>566</v>
      </c>
      <c r="H4265" s="46">
        <v>1</v>
      </c>
      <c r="I4265" s="51">
        <v>2109.4499999999998</v>
      </c>
      <c r="J4265" s="281">
        <f>++Tabla4[[#This Row],[Precio Bruto]]*1.16</f>
        <v>2446.9619999999995</v>
      </c>
      <c r="K4265" s="281">
        <f>+Tabla4[[#This Row],[Precio Unitario Neto]]*Tabla4[[#Headers],[20.85%]]</f>
        <v>510.19157699999988</v>
      </c>
      <c r="L4265" s="282">
        <f>++Tabla4[[#This Row],[Precio Unitario Neto]]-Tabla4[[#This Row],[20.85%]]</f>
        <v>1936.7704229999997</v>
      </c>
      <c r="M4265" s="282" t="e">
        <f>(INDEX(Tabla6[#All],MATCH(Tabla4[[#This Row],[Producto]],Tabla6[[#All],[PRODUCTO]],0),MATCH(Tabla4[[#This Row],[Mes]],Tabla6[#Headers],0)))*(1+Catalogos!$L$2)</f>
        <v>#N/A</v>
      </c>
      <c r="N4265" s="283" t="e">
        <f>+(Tabla4[[#This Row],[Precio Descontado]]-Tabla4[[#This Row],[Precio Base]])*Tabla4[[#This Row],[Cantidad]]</f>
        <v>#N/A</v>
      </c>
      <c r="O4265" s="284" t="e">
        <f>++Tabla4[[#This Row],[Utilidad Total]]/Tabla4[[#This Row],[Total]]</f>
        <v>#N/A</v>
      </c>
      <c r="P4265" s="282">
        <f>++Tabla4[[#This Row],[Precio Descontado]]*Tabla4[[#This Row],[Cantidad]]</f>
        <v>1936.7704229999997</v>
      </c>
      <c r="Q4265" s="282" t="e">
        <f>(INDEX(Tabla6[#All],MATCH(Tabla4[[#This Row],[Producto]],Tabla6[[#All],[PRODUCTO]],0),MATCH(Tabla4[[#This Row],[Mes]],Tabla6[#Headers],0)))</f>
        <v>#N/A</v>
      </c>
      <c r="R4265" s="282" t="e">
        <f>++Tabla4[[#This Row],[Precio Unitario Neto]]-Tabla4[[#This Row],[20.85%]]-Tabla4[[#This Row],[Costo]]</f>
        <v>#N/A</v>
      </c>
      <c r="S4265" s="282" t="e">
        <f>++Tabla4[[#This Row],[U. Bruta Uni]]*Tabla4[[#This Row],[Cantidad]]</f>
        <v>#N/A</v>
      </c>
      <c r="T4265" s="369" t="str">
        <f>VLOOKUP(Tabla4[[#This Row],[Producto]],Tabla6[#All],14,FALSE)</f>
        <v>Termico Solar</v>
      </c>
      <c r="U4265" s="284" t="e">
        <f>(IF(Tabla4[[#This Row],[Familia]]="termico solar",Tabla4[[#This Row],[Utilidad Total]]*6%,Tabla4[[#This Row],[Utilidad Total]]*11.5%))/Tabla4[[#This Row],[Total]]</f>
        <v>#N/A</v>
      </c>
      <c r="V4265" s="282" t="e">
        <f>+Tabla4[[#This Row],[Comisión Calculada]]*Tabla4[[#This Row],[Total]]</f>
        <v>#N/A</v>
      </c>
    </row>
    <row r="4266" spans="1:22" hidden="1" x14ac:dyDescent="0.25">
      <c r="A4266" s="100">
        <v>45853</v>
      </c>
      <c r="B4266" t="str">
        <f t="shared" si="213"/>
        <v>July</v>
      </c>
      <c r="C4266" s="46" t="s">
        <v>280</v>
      </c>
      <c r="F4266" s="366" t="s">
        <v>2319</v>
      </c>
      <c r="G4266" s="46" t="s">
        <v>200</v>
      </c>
      <c r="H4266" s="46">
        <v>12</v>
      </c>
      <c r="I4266" s="51">
        <v>393.22</v>
      </c>
      <c r="J4266" s="281">
        <f>++Tabla4[[#This Row],[Precio Bruto]]*1.16</f>
        <v>456.1352</v>
      </c>
      <c r="K4266" s="281">
        <f>+Tabla4[[#This Row],[Precio Unitario Neto]]*Tabla4[[#Headers],[20.85%]]</f>
        <v>95.104189199999993</v>
      </c>
      <c r="L4266" s="282">
        <f>++Tabla4[[#This Row],[Precio Unitario Neto]]-Tabla4[[#This Row],[20.85%]]</f>
        <v>361.03101079999999</v>
      </c>
      <c r="M4266" s="282" t="e">
        <f>(INDEX(Tabla6[#All],MATCH(Tabla4[[#This Row],[Producto]],Tabla6[[#All],[PRODUCTO]],0),MATCH(Tabla4[[#This Row],[Mes]],Tabla6[#Headers],0)))*(1+Catalogos!$L$2)</f>
        <v>#N/A</v>
      </c>
      <c r="N4266" s="283" t="e">
        <f>+(Tabla4[[#This Row],[Precio Descontado]]-Tabla4[[#This Row],[Precio Base]])*Tabla4[[#This Row],[Cantidad]]</f>
        <v>#N/A</v>
      </c>
      <c r="O4266" s="284" t="e">
        <f>++Tabla4[[#This Row],[Utilidad Total]]/Tabla4[[#This Row],[Total]]</f>
        <v>#N/A</v>
      </c>
      <c r="P4266" s="282">
        <f>++Tabla4[[#This Row],[Precio Descontado]]*Tabla4[[#This Row],[Cantidad]]</f>
        <v>4332.3721296000003</v>
      </c>
      <c r="Q4266" s="282" t="e">
        <f>(INDEX(Tabla6[#All],MATCH(Tabla4[[#This Row],[Producto]],Tabla6[[#All],[PRODUCTO]],0),MATCH(Tabla4[[#This Row],[Mes]],Tabla6[#Headers],0)))</f>
        <v>#N/A</v>
      </c>
      <c r="R4266" s="282" t="e">
        <f>++Tabla4[[#This Row],[Precio Unitario Neto]]-Tabla4[[#This Row],[20.85%]]-Tabla4[[#This Row],[Costo]]</f>
        <v>#N/A</v>
      </c>
      <c r="S4266" s="282" t="e">
        <f>++Tabla4[[#This Row],[U. Bruta Uni]]*Tabla4[[#This Row],[Cantidad]]</f>
        <v>#N/A</v>
      </c>
      <c r="T4266" s="369" t="str">
        <f>VLOOKUP(Tabla4[[#This Row],[Producto]],Tabla6[#All],14,FALSE)</f>
        <v>Termico Solar</v>
      </c>
      <c r="U4266" s="284" t="e">
        <f>(IF(Tabla4[[#This Row],[Familia]]="termico solar",Tabla4[[#This Row],[Utilidad Total]]*6%,Tabla4[[#This Row],[Utilidad Total]]*11.5%))/Tabla4[[#This Row],[Total]]</f>
        <v>#N/A</v>
      </c>
      <c r="V4266" s="282" t="e">
        <f>+Tabla4[[#This Row],[Comisión Calculada]]*Tabla4[[#This Row],[Total]]</f>
        <v>#N/A</v>
      </c>
    </row>
    <row r="4267" spans="1:22" hidden="1" x14ac:dyDescent="0.25">
      <c r="A4267" s="100">
        <v>45853</v>
      </c>
      <c r="B4267" t="str">
        <f t="shared" si="213"/>
        <v>July</v>
      </c>
      <c r="C4267" s="46" t="s">
        <v>280</v>
      </c>
      <c r="F4267" s="366" t="s">
        <v>2319</v>
      </c>
      <c r="G4267" s="46" t="s">
        <v>545</v>
      </c>
      <c r="H4267" s="46">
        <v>24</v>
      </c>
      <c r="I4267" s="51">
        <v>304.32</v>
      </c>
      <c r="J4267" s="281">
        <f>++Tabla4[[#This Row],[Precio Bruto]]*1.16</f>
        <v>353.01119999999997</v>
      </c>
      <c r="K4267" s="281">
        <f>+Tabla4[[#This Row],[Precio Unitario Neto]]*Tabla4[[#Headers],[20.85%]]</f>
        <v>73.602835199999987</v>
      </c>
      <c r="L4267" s="282">
        <f>++Tabla4[[#This Row],[Precio Unitario Neto]]-Tabla4[[#This Row],[20.85%]]</f>
        <v>279.40836479999996</v>
      </c>
      <c r="M4267" s="282" t="e">
        <f>(INDEX(Tabla6[#All],MATCH(Tabla4[[#This Row],[Producto]],Tabla6[[#All],[PRODUCTO]],0),MATCH(Tabla4[[#This Row],[Mes]],Tabla6[#Headers],0)))*(1+Catalogos!$L$2)</f>
        <v>#N/A</v>
      </c>
      <c r="N4267" s="283" t="e">
        <f>+(Tabla4[[#This Row],[Precio Descontado]]-Tabla4[[#This Row],[Precio Base]])*Tabla4[[#This Row],[Cantidad]]</f>
        <v>#N/A</v>
      </c>
      <c r="O4267" s="284" t="e">
        <f>++Tabla4[[#This Row],[Utilidad Total]]/Tabla4[[#This Row],[Total]]</f>
        <v>#N/A</v>
      </c>
      <c r="P4267" s="282">
        <f>++Tabla4[[#This Row],[Precio Descontado]]*Tabla4[[#This Row],[Cantidad]]</f>
        <v>6705.800755199999</v>
      </c>
      <c r="Q4267" s="282" t="e">
        <f>(INDEX(Tabla6[#All],MATCH(Tabla4[[#This Row],[Producto]],Tabla6[[#All],[PRODUCTO]],0),MATCH(Tabla4[[#This Row],[Mes]],Tabla6[#Headers],0)))</f>
        <v>#N/A</v>
      </c>
      <c r="R4267" s="282" t="e">
        <f>++Tabla4[[#This Row],[Precio Unitario Neto]]-Tabla4[[#This Row],[20.85%]]-Tabla4[[#This Row],[Costo]]</f>
        <v>#N/A</v>
      </c>
      <c r="S4267" s="282" t="e">
        <f>++Tabla4[[#This Row],[U. Bruta Uni]]*Tabla4[[#This Row],[Cantidad]]</f>
        <v>#N/A</v>
      </c>
      <c r="T4267" s="369" t="str">
        <f>VLOOKUP(Tabla4[[#This Row],[Producto]],Tabla6[#All],14,FALSE)</f>
        <v>Termico Solar</v>
      </c>
      <c r="U4267" s="284" t="e">
        <f>(IF(Tabla4[[#This Row],[Familia]]="termico solar",Tabla4[[#This Row],[Utilidad Total]]*6%,Tabla4[[#This Row],[Utilidad Total]]*11.5%))/Tabla4[[#This Row],[Total]]</f>
        <v>#N/A</v>
      </c>
      <c r="V4267" s="282" t="e">
        <f>+Tabla4[[#This Row],[Comisión Calculada]]*Tabla4[[#This Row],[Total]]</f>
        <v>#N/A</v>
      </c>
    </row>
    <row r="4268" spans="1:22" hidden="1" x14ac:dyDescent="0.25">
      <c r="A4268" s="100">
        <v>45853</v>
      </c>
      <c r="B4268" t="str">
        <f t="shared" si="213"/>
        <v>July</v>
      </c>
      <c r="C4268" s="46" t="s">
        <v>280</v>
      </c>
      <c r="F4268" s="366" t="s">
        <v>2319</v>
      </c>
      <c r="G4268" s="46" t="s">
        <v>209</v>
      </c>
      <c r="H4268" s="46">
        <v>2</v>
      </c>
      <c r="I4268" s="51">
        <v>347.48</v>
      </c>
      <c r="J4268" s="281">
        <f>++Tabla4[[#This Row],[Precio Bruto]]*1.16</f>
        <v>403.07679999999999</v>
      </c>
      <c r="K4268" s="281">
        <f>+Tabla4[[#This Row],[Precio Unitario Neto]]*Tabla4[[#Headers],[20.85%]]</f>
        <v>84.041512799999992</v>
      </c>
      <c r="L4268" s="282">
        <f>++Tabla4[[#This Row],[Precio Unitario Neto]]-Tabla4[[#This Row],[20.85%]]</f>
        <v>319.03528719999997</v>
      </c>
      <c r="M4268" s="282" t="e">
        <f>(INDEX(Tabla6[#All],MATCH(Tabla4[[#This Row],[Producto]],Tabla6[[#All],[PRODUCTO]],0),MATCH(Tabla4[[#This Row],[Mes]],Tabla6[#Headers],0)))*(1+Catalogos!$L$2)</f>
        <v>#N/A</v>
      </c>
      <c r="N4268" s="283" t="e">
        <f>+(Tabla4[[#This Row],[Precio Descontado]]-Tabla4[[#This Row],[Precio Base]])*Tabla4[[#This Row],[Cantidad]]</f>
        <v>#N/A</v>
      </c>
      <c r="O4268" s="284" t="e">
        <f>++Tabla4[[#This Row],[Utilidad Total]]/Tabla4[[#This Row],[Total]]</f>
        <v>#N/A</v>
      </c>
      <c r="P4268" s="282">
        <f>++Tabla4[[#This Row],[Precio Descontado]]*Tabla4[[#This Row],[Cantidad]]</f>
        <v>638.07057439999994</v>
      </c>
      <c r="Q4268" s="282" t="e">
        <f>(INDEX(Tabla6[#All],MATCH(Tabla4[[#This Row],[Producto]],Tabla6[[#All],[PRODUCTO]],0),MATCH(Tabla4[[#This Row],[Mes]],Tabla6[#Headers],0)))</f>
        <v>#N/A</v>
      </c>
      <c r="R4268" s="282" t="e">
        <f>++Tabla4[[#This Row],[Precio Unitario Neto]]-Tabla4[[#This Row],[20.85%]]-Tabla4[[#This Row],[Costo]]</f>
        <v>#N/A</v>
      </c>
      <c r="S4268" s="282" t="e">
        <f>++Tabla4[[#This Row],[U. Bruta Uni]]*Tabla4[[#This Row],[Cantidad]]</f>
        <v>#N/A</v>
      </c>
      <c r="T4268" s="369" t="str">
        <f>VLOOKUP(Tabla4[[#This Row],[Producto]],Tabla6[#All],14,FALSE)</f>
        <v>Termico Solar</v>
      </c>
      <c r="U4268" s="284" t="e">
        <f>(IF(Tabla4[[#This Row],[Familia]]="termico solar",Tabla4[[#This Row],[Utilidad Total]]*6%,Tabla4[[#This Row],[Utilidad Total]]*11.5%))/Tabla4[[#This Row],[Total]]</f>
        <v>#N/A</v>
      </c>
      <c r="V4268" s="282" t="e">
        <f>+Tabla4[[#This Row],[Comisión Calculada]]*Tabla4[[#This Row],[Total]]</f>
        <v>#N/A</v>
      </c>
    </row>
    <row r="4269" spans="1:22" hidden="1" x14ac:dyDescent="0.25">
      <c r="A4269" s="100">
        <v>45853</v>
      </c>
      <c r="B4269" t="str">
        <f t="shared" ref="B4269:B4295" si="214">TEXT(A4269, "mmmm")</f>
        <v>July</v>
      </c>
      <c r="C4269" s="46" t="s">
        <v>280</v>
      </c>
      <c r="F4269" s="366" t="s">
        <v>2320</v>
      </c>
      <c r="G4269" s="46" t="s">
        <v>83</v>
      </c>
      <c r="H4269" s="46">
        <v>1</v>
      </c>
      <c r="I4269" s="51">
        <v>8858.76</v>
      </c>
      <c r="J4269" s="281">
        <f>++Tabla4[[#This Row],[Precio Bruto]]*1.16</f>
        <v>10276.161599999999</v>
      </c>
      <c r="K4269" s="281">
        <f>+Tabla4[[#This Row],[Precio Unitario Neto]]*Tabla4[[#Headers],[20.85%]]</f>
        <v>2142.5796935999997</v>
      </c>
      <c r="L4269" s="282">
        <f>++Tabla4[[#This Row],[Precio Unitario Neto]]-Tabla4[[#This Row],[20.85%]]</f>
        <v>8133.5819063999998</v>
      </c>
      <c r="M4269" s="282" t="e">
        <f>(INDEX(Tabla6[#All],MATCH(Tabla4[[#This Row],[Producto]],Tabla6[[#All],[PRODUCTO]],0),MATCH(Tabla4[[#This Row],[Mes]],Tabla6[#Headers],0)))*(1+Catalogos!$L$2)</f>
        <v>#N/A</v>
      </c>
      <c r="N4269" s="283" t="e">
        <f>+(Tabla4[[#This Row],[Precio Descontado]]-Tabla4[[#This Row],[Precio Base]])*Tabla4[[#This Row],[Cantidad]]</f>
        <v>#N/A</v>
      </c>
      <c r="O4269" s="284" t="e">
        <f>++Tabla4[[#This Row],[Utilidad Total]]/Tabla4[[#This Row],[Total]]</f>
        <v>#N/A</v>
      </c>
      <c r="P4269" s="282">
        <f>++Tabla4[[#This Row],[Precio Descontado]]*Tabla4[[#This Row],[Cantidad]]</f>
        <v>8133.5819063999998</v>
      </c>
      <c r="Q4269" s="282" t="e">
        <f>(INDEX(Tabla6[#All],MATCH(Tabla4[[#This Row],[Producto]],Tabla6[[#All],[PRODUCTO]],0),MATCH(Tabla4[[#This Row],[Mes]],Tabla6[#Headers],0)))</f>
        <v>#N/A</v>
      </c>
      <c r="R4269" s="282" t="e">
        <f>++Tabla4[[#This Row],[Precio Unitario Neto]]-Tabla4[[#This Row],[20.85%]]-Tabla4[[#This Row],[Costo]]</f>
        <v>#N/A</v>
      </c>
      <c r="S4269" s="282" t="e">
        <f>++Tabla4[[#This Row],[U. Bruta Uni]]*Tabla4[[#This Row],[Cantidad]]</f>
        <v>#N/A</v>
      </c>
      <c r="T4269" s="369" t="str">
        <f>VLOOKUP(Tabla4[[#This Row],[Producto]],Tabla6[#All],14,FALSE)</f>
        <v>Termico Solar</v>
      </c>
      <c r="U4269" s="284" t="e">
        <f>(IF(Tabla4[[#This Row],[Familia]]="termico solar",Tabla4[[#This Row],[Utilidad Total]]*6%,Tabla4[[#This Row],[Utilidad Total]]*11.5%))/Tabla4[[#This Row],[Total]]</f>
        <v>#N/A</v>
      </c>
      <c r="V4269" s="282" t="e">
        <f>+Tabla4[[#This Row],[Comisión Calculada]]*Tabla4[[#This Row],[Total]]</f>
        <v>#N/A</v>
      </c>
    </row>
    <row r="4270" spans="1:22" hidden="1" x14ac:dyDescent="0.25">
      <c r="A4270" s="100">
        <v>45853</v>
      </c>
      <c r="B4270" t="str">
        <f t="shared" si="214"/>
        <v>July</v>
      </c>
      <c r="C4270" s="46" t="s">
        <v>280</v>
      </c>
      <c r="F4270" s="366" t="s">
        <v>2320</v>
      </c>
      <c r="G4270" s="46" t="s">
        <v>17</v>
      </c>
      <c r="H4270" s="46">
        <v>1</v>
      </c>
      <c r="I4270" s="51">
        <v>4622.28</v>
      </c>
      <c r="J4270" s="281">
        <f>++Tabla4[[#This Row],[Precio Bruto]]*1.16</f>
        <v>5361.8447999999989</v>
      </c>
      <c r="K4270" s="281">
        <f>+Tabla4[[#This Row],[Precio Unitario Neto]]*Tabla4[[#Headers],[20.85%]]</f>
        <v>1117.9446407999997</v>
      </c>
      <c r="L4270" s="282">
        <f>++Tabla4[[#This Row],[Precio Unitario Neto]]-Tabla4[[#This Row],[20.85%]]</f>
        <v>4243.9001591999995</v>
      </c>
      <c r="M4270" s="282" t="e">
        <f>(INDEX(Tabla6[#All],MATCH(Tabla4[[#This Row],[Producto]],Tabla6[[#All],[PRODUCTO]],0),MATCH(Tabla4[[#This Row],[Mes]],Tabla6[#Headers],0)))*(1+Catalogos!$L$2)</f>
        <v>#N/A</v>
      </c>
      <c r="N4270" s="283" t="e">
        <f>+(Tabla4[[#This Row],[Precio Descontado]]-Tabla4[[#This Row],[Precio Base]])*Tabla4[[#This Row],[Cantidad]]</f>
        <v>#N/A</v>
      </c>
      <c r="O4270" s="284" t="e">
        <f>++Tabla4[[#This Row],[Utilidad Total]]/Tabla4[[#This Row],[Total]]</f>
        <v>#N/A</v>
      </c>
      <c r="P4270" s="282">
        <f>++Tabla4[[#This Row],[Precio Descontado]]*Tabla4[[#This Row],[Cantidad]]</f>
        <v>4243.9001591999995</v>
      </c>
      <c r="Q4270" s="282" t="e">
        <f>(INDEX(Tabla6[#All],MATCH(Tabla4[[#This Row],[Producto]],Tabla6[[#All],[PRODUCTO]],0),MATCH(Tabla4[[#This Row],[Mes]],Tabla6[#Headers],0)))</f>
        <v>#N/A</v>
      </c>
      <c r="R4270" s="282" t="e">
        <f>++Tabla4[[#This Row],[Precio Unitario Neto]]-Tabla4[[#This Row],[20.85%]]-Tabla4[[#This Row],[Costo]]</f>
        <v>#N/A</v>
      </c>
      <c r="S4270" s="282" t="e">
        <f>++Tabla4[[#This Row],[U. Bruta Uni]]*Tabla4[[#This Row],[Cantidad]]</f>
        <v>#N/A</v>
      </c>
      <c r="T4270" s="369" t="str">
        <f>VLOOKUP(Tabla4[[#This Row],[Producto]],Tabla6[#All],14,FALSE)</f>
        <v>Termico Solar</v>
      </c>
      <c r="U4270" s="284" t="e">
        <f>(IF(Tabla4[[#This Row],[Familia]]="termico solar",Tabla4[[#This Row],[Utilidad Total]]*6%,Tabla4[[#This Row],[Utilidad Total]]*11.5%))/Tabla4[[#This Row],[Total]]</f>
        <v>#N/A</v>
      </c>
      <c r="V4270" s="282" t="e">
        <f>+Tabla4[[#This Row],[Comisión Calculada]]*Tabla4[[#This Row],[Total]]</f>
        <v>#N/A</v>
      </c>
    </row>
    <row r="4271" spans="1:22" hidden="1" x14ac:dyDescent="0.25">
      <c r="A4271" s="100">
        <v>45853</v>
      </c>
      <c r="B4271" t="str">
        <f t="shared" si="214"/>
        <v>July</v>
      </c>
      <c r="C4271" s="46" t="s">
        <v>280</v>
      </c>
      <c r="F4271" s="366" t="s">
        <v>2320</v>
      </c>
      <c r="G4271" s="46" t="s">
        <v>18</v>
      </c>
      <c r="H4271" s="46">
        <v>2</v>
      </c>
      <c r="I4271" s="51">
        <v>5367.65</v>
      </c>
      <c r="J4271" s="281">
        <f>++Tabla4[[#This Row],[Precio Bruto]]*1.16</f>
        <v>6226.4739999999993</v>
      </c>
      <c r="K4271" s="281">
        <f>+Tabla4[[#This Row],[Precio Unitario Neto]]*Tabla4[[#Headers],[20.85%]]</f>
        <v>1298.2198289999999</v>
      </c>
      <c r="L4271" s="282">
        <f>++Tabla4[[#This Row],[Precio Unitario Neto]]-Tabla4[[#This Row],[20.85%]]</f>
        <v>4928.2541709999996</v>
      </c>
      <c r="M4271" s="282" t="e">
        <f>(INDEX(Tabla6[#All],MATCH(Tabla4[[#This Row],[Producto]],Tabla6[[#All],[PRODUCTO]],0),MATCH(Tabla4[[#This Row],[Mes]],Tabla6[#Headers],0)))*(1+Catalogos!$L$2)</f>
        <v>#N/A</v>
      </c>
      <c r="N4271" s="283" t="e">
        <f>+(Tabla4[[#This Row],[Precio Descontado]]-Tabla4[[#This Row],[Precio Base]])*Tabla4[[#This Row],[Cantidad]]</f>
        <v>#N/A</v>
      </c>
      <c r="O4271" s="284" t="e">
        <f>++Tabla4[[#This Row],[Utilidad Total]]/Tabla4[[#This Row],[Total]]</f>
        <v>#N/A</v>
      </c>
      <c r="P4271" s="282">
        <f>++Tabla4[[#This Row],[Precio Descontado]]*Tabla4[[#This Row],[Cantidad]]</f>
        <v>9856.5083419999992</v>
      </c>
      <c r="Q4271" s="282" t="e">
        <f>(INDEX(Tabla6[#All],MATCH(Tabla4[[#This Row],[Producto]],Tabla6[[#All],[PRODUCTO]],0),MATCH(Tabla4[[#This Row],[Mes]],Tabla6[#Headers],0)))</f>
        <v>#N/A</v>
      </c>
      <c r="R4271" s="282" t="e">
        <f>++Tabla4[[#This Row],[Precio Unitario Neto]]-Tabla4[[#This Row],[20.85%]]-Tabla4[[#This Row],[Costo]]</f>
        <v>#N/A</v>
      </c>
      <c r="S4271" s="282" t="e">
        <f>++Tabla4[[#This Row],[U. Bruta Uni]]*Tabla4[[#This Row],[Cantidad]]</f>
        <v>#N/A</v>
      </c>
      <c r="T4271" s="369" t="str">
        <f>VLOOKUP(Tabla4[[#This Row],[Producto]],Tabla6[#All],14,FALSE)</f>
        <v>Termico Solar</v>
      </c>
      <c r="U4271" s="284" t="e">
        <f>(IF(Tabla4[[#This Row],[Familia]]="termico solar",Tabla4[[#This Row],[Utilidad Total]]*6%,Tabla4[[#This Row],[Utilidad Total]]*11.5%))/Tabla4[[#This Row],[Total]]</f>
        <v>#N/A</v>
      </c>
      <c r="V4271" s="282" t="e">
        <f>+Tabla4[[#This Row],[Comisión Calculada]]*Tabla4[[#This Row],[Total]]</f>
        <v>#N/A</v>
      </c>
    </row>
    <row r="4272" spans="1:22" hidden="1" x14ac:dyDescent="0.25">
      <c r="A4272" s="100">
        <v>45853</v>
      </c>
      <c r="B4272" t="str">
        <f t="shared" si="214"/>
        <v>July</v>
      </c>
      <c r="C4272" s="46" t="s">
        <v>280</v>
      </c>
      <c r="F4272" s="366" t="s">
        <v>2320</v>
      </c>
      <c r="G4272" s="46" t="s">
        <v>19</v>
      </c>
      <c r="H4272" s="46">
        <v>1</v>
      </c>
      <c r="I4272" s="51">
        <v>6412.03</v>
      </c>
      <c r="J4272" s="281">
        <f>++Tabla4[[#This Row],[Precio Bruto]]*1.16</f>
        <v>7437.9547999999995</v>
      </c>
      <c r="K4272" s="281">
        <f>+Tabla4[[#This Row],[Precio Unitario Neto]]*Tabla4[[#Headers],[20.85%]]</f>
        <v>1550.8135757999999</v>
      </c>
      <c r="L4272" s="282">
        <f>++Tabla4[[#This Row],[Precio Unitario Neto]]-Tabla4[[#This Row],[20.85%]]</f>
        <v>5887.1412241999997</v>
      </c>
      <c r="M4272" s="282" t="e">
        <f>(INDEX(Tabla6[#All],MATCH(Tabla4[[#This Row],[Producto]],Tabla6[[#All],[PRODUCTO]],0),MATCH(Tabla4[[#This Row],[Mes]],Tabla6[#Headers],0)))*(1+Catalogos!$L$2)</f>
        <v>#N/A</v>
      </c>
      <c r="N4272" s="283" t="e">
        <f>+(Tabla4[[#This Row],[Precio Descontado]]-Tabla4[[#This Row],[Precio Base]])*Tabla4[[#This Row],[Cantidad]]</f>
        <v>#N/A</v>
      </c>
      <c r="O4272" s="284" t="e">
        <f>++Tabla4[[#This Row],[Utilidad Total]]/Tabla4[[#This Row],[Total]]</f>
        <v>#N/A</v>
      </c>
      <c r="P4272" s="282">
        <f>++Tabla4[[#This Row],[Precio Descontado]]*Tabla4[[#This Row],[Cantidad]]</f>
        <v>5887.1412241999997</v>
      </c>
      <c r="Q4272" s="282" t="e">
        <f>(INDEX(Tabla6[#All],MATCH(Tabla4[[#This Row],[Producto]],Tabla6[[#All],[PRODUCTO]],0),MATCH(Tabla4[[#This Row],[Mes]],Tabla6[#Headers],0)))</f>
        <v>#N/A</v>
      </c>
      <c r="R4272" s="282" t="e">
        <f>++Tabla4[[#This Row],[Precio Unitario Neto]]-Tabla4[[#This Row],[20.85%]]-Tabla4[[#This Row],[Costo]]</f>
        <v>#N/A</v>
      </c>
      <c r="S4272" s="282" t="e">
        <f>++Tabla4[[#This Row],[U. Bruta Uni]]*Tabla4[[#This Row],[Cantidad]]</f>
        <v>#N/A</v>
      </c>
      <c r="T4272" s="369" t="str">
        <f>VLOOKUP(Tabla4[[#This Row],[Producto]],Tabla6[#All],14,FALSE)</f>
        <v>Termico Solar</v>
      </c>
      <c r="U4272" s="284" t="e">
        <f>(IF(Tabla4[[#This Row],[Familia]]="termico solar",Tabla4[[#This Row],[Utilidad Total]]*6%,Tabla4[[#This Row],[Utilidad Total]]*11.5%))/Tabla4[[#This Row],[Total]]</f>
        <v>#N/A</v>
      </c>
      <c r="V4272" s="282" t="e">
        <f>+Tabla4[[#This Row],[Comisión Calculada]]*Tabla4[[#This Row],[Total]]</f>
        <v>#N/A</v>
      </c>
    </row>
    <row r="4273" spans="1:22" hidden="1" x14ac:dyDescent="0.25">
      <c r="A4273" s="100">
        <v>45853</v>
      </c>
      <c r="B4273" t="str">
        <f t="shared" si="214"/>
        <v>July</v>
      </c>
      <c r="C4273" s="46" t="s">
        <v>280</v>
      </c>
      <c r="F4273" s="366" t="s">
        <v>2320</v>
      </c>
      <c r="G4273" s="46" t="s">
        <v>16</v>
      </c>
      <c r="H4273" s="46">
        <v>1</v>
      </c>
      <c r="I4273" s="51">
        <v>4103.8500000000004</v>
      </c>
      <c r="J4273" s="281">
        <f>++Tabla4[[#This Row],[Precio Bruto]]*1.16</f>
        <v>4760.4660000000003</v>
      </c>
      <c r="K4273" s="281">
        <f>+Tabla4[[#This Row],[Precio Unitario Neto]]*Tabla4[[#Headers],[20.85%]]</f>
        <v>992.55716100000006</v>
      </c>
      <c r="L4273" s="282">
        <f>++Tabla4[[#This Row],[Precio Unitario Neto]]-Tabla4[[#This Row],[20.85%]]</f>
        <v>3767.9088390000002</v>
      </c>
      <c r="M4273" s="282" t="e">
        <f>(INDEX(Tabla6[#All],MATCH(Tabla4[[#This Row],[Producto]],Tabla6[[#All],[PRODUCTO]],0),MATCH(Tabla4[[#This Row],[Mes]],Tabla6[#Headers],0)))*(1+Catalogos!$L$2)</f>
        <v>#N/A</v>
      </c>
      <c r="N4273" s="283" t="e">
        <f>+(Tabla4[[#This Row],[Precio Descontado]]-Tabla4[[#This Row],[Precio Base]])*Tabla4[[#This Row],[Cantidad]]</f>
        <v>#N/A</v>
      </c>
      <c r="O4273" s="284" t="e">
        <f>++Tabla4[[#This Row],[Utilidad Total]]/Tabla4[[#This Row],[Total]]</f>
        <v>#N/A</v>
      </c>
      <c r="P4273" s="282">
        <f>++Tabla4[[#This Row],[Precio Descontado]]*Tabla4[[#This Row],[Cantidad]]</f>
        <v>3767.9088390000002</v>
      </c>
      <c r="Q4273" s="282" t="e">
        <f>(INDEX(Tabla6[#All],MATCH(Tabla4[[#This Row],[Producto]],Tabla6[[#All],[PRODUCTO]],0),MATCH(Tabla4[[#This Row],[Mes]],Tabla6[#Headers],0)))</f>
        <v>#N/A</v>
      </c>
      <c r="R4273" s="282" t="e">
        <f>++Tabla4[[#This Row],[Precio Unitario Neto]]-Tabla4[[#This Row],[20.85%]]-Tabla4[[#This Row],[Costo]]</f>
        <v>#N/A</v>
      </c>
      <c r="S4273" s="282" t="e">
        <f>++Tabla4[[#This Row],[U. Bruta Uni]]*Tabla4[[#This Row],[Cantidad]]</f>
        <v>#N/A</v>
      </c>
      <c r="T4273" s="369" t="str">
        <f>VLOOKUP(Tabla4[[#This Row],[Producto]],Tabla6[#All],14,FALSE)</f>
        <v>Termico Solar</v>
      </c>
      <c r="U4273" s="284" t="e">
        <f>(IF(Tabla4[[#This Row],[Familia]]="termico solar",Tabla4[[#This Row],[Utilidad Total]]*6%,Tabla4[[#This Row],[Utilidad Total]]*11.5%))/Tabla4[[#This Row],[Total]]</f>
        <v>#N/A</v>
      </c>
      <c r="V4273" s="282" t="e">
        <f>+Tabla4[[#This Row],[Comisión Calculada]]*Tabla4[[#This Row],[Total]]</f>
        <v>#N/A</v>
      </c>
    </row>
    <row r="4274" spans="1:22" hidden="1" x14ac:dyDescent="0.25">
      <c r="A4274" s="100">
        <v>45853</v>
      </c>
      <c r="B4274" t="str">
        <f t="shared" si="214"/>
        <v>July</v>
      </c>
      <c r="C4274" s="46" t="s">
        <v>280</v>
      </c>
      <c r="F4274" s="366" t="s">
        <v>2321</v>
      </c>
      <c r="G4274" s="46" t="s">
        <v>83</v>
      </c>
      <c r="H4274" s="46">
        <v>1</v>
      </c>
      <c r="I4274" s="51">
        <v>8858.76</v>
      </c>
      <c r="J4274" s="281">
        <f>++Tabla4[[#This Row],[Precio Bruto]]*1.16</f>
        <v>10276.161599999999</v>
      </c>
      <c r="K4274" s="281">
        <f>+Tabla4[[#This Row],[Precio Unitario Neto]]*Tabla4[[#Headers],[20.85%]]</f>
        <v>2142.5796935999997</v>
      </c>
      <c r="L4274" s="282">
        <f>++Tabla4[[#This Row],[Precio Unitario Neto]]-Tabla4[[#This Row],[20.85%]]</f>
        <v>8133.5819063999998</v>
      </c>
      <c r="M4274" s="282" t="e">
        <f>(INDEX(Tabla6[#All],MATCH(Tabla4[[#This Row],[Producto]],Tabla6[[#All],[PRODUCTO]],0),MATCH(Tabla4[[#This Row],[Mes]],Tabla6[#Headers],0)))*(1+Catalogos!$L$2)</f>
        <v>#N/A</v>
      </c>
      <c r="N4274" s="283" t="e">
        <f>+(Tabla4[[#This Row],[Precio Descontado]]-Tabla4[[#This Row],[Precio Base]])*Tabla4[[#This Row],[Cantidad]]</f>
        <v>#N/A</v>
      </c>
      <c r="O4274" s="284" t="e">
        <f>++Tabla4[[#This Row],[Utilidad Total]]/Tabla4[[#This Row],[Total]]</f>
        <v>#N/A</v>
      </c>
      <c r="P4274" s="282">
        <f>++Tabla4[[#This Row],[Precio Descontado]]*Tabla4[[#This Row],[Cantidad]]</f>
        <v>8133.5819063999998</v>
      </c>
      <c r="Q4274" s="282" t="e">
        <f>(INDEX(Tabla6[#All],MATCH(Tabla4[[#This Row],[Producto]],Tabla6[[#All],[PRODUCTO]],0),MATCH(Tabla4[[#This Row],[Mes]],Tabla6[#Headers],0)))</f>
        <v>#N/A</v>
      </c>
      <c r="R4274" s="282" t="e">
        <f>++Tabla4[[#This Row],[Precio Unitario Neto]]-Tabla4[[#This Row],[20.85%]]-Tabla4[[#This Row],[Costo]]</f>
        <v>#N/A</v>
      </c>
      <c r="S4274" s="282" t="e">
        <f>++Tabla4[[#This Row],[U. Bruta Uni]]*Tabla4[[#This Row],[Cantidad]]</f>
        <v>#N/A</v>
      </c>
      <c r="T4274" s="369" t="str">
        <f>VLOOKUP(Tabla4[[#This Row],[Producto]],Tabla6[#All],14,FALSE)</f>
        <v>Termico Solar</v>
      </c>
      <c r="U4274" s="284" t="e">
        <f>(IF(Tabla4[[#This Row],[Familia]]="termico solar",Tabla4[[#This Row],[Utilidad Total]]*6%,Tabla4[[#This Row],[Utilidad Total]]*11.5%))/Tabla4[[#This Row],[Total]]</f>
        <v>#N/A</v>
      </c>
      <c r="V4274" s="282" t="e">
        <f>+Tabla4[[#This Row],[Comisión Calculada]]*Tabla4[[#This Row],[Total]]</f>
        <v>#N/A</v>
      </c>
    </row>
    <row r="4275" spans="1:22" hidden="1" x14ac:dyDescent="0.25">
      <c r="A4275" s="100">
        <v>45853</v>
      </c>
      <c r="B4275" t="str">
        <f t="shared" si="214"/>
        <v>July</v>
      </c>
      <c r="C4275" s="46" t="s">
        <v>280</v>
      </c>
      <c r="F4275" s="366" t="s">
        <v>2321</v>
      </c>
      <c r="G4275" s="46" t="s">
        <v>17</v>
      </c>
      <c r="H4275" s="46">
        <v>1</v>
      </c>
      <c r="I4275" s="51">
        <v>4622.28</v>
      </c>
      <c r="J4275" s="281">
        <f>++Tabla4[[#This Row],[Precio Bruto]]*1.16</f>
        <v>5361.8447999999989</v>
      </c>
      <c r="K4275" s="281">
        <f>+Tabla4[[#This Row],[Precio Unitario Neto]]*Tabla4[[#Headers],[20.85%]]</f>
        <v>1117.9446407999997</v>
      </c>
      <c r="L4275" s="282">
        <f>++Tabla4[[#This Row],[Precio Unitario Neto]]-Tabla4[[#This Row],[20.85%]]</f>
        <v>4243.9001591999995</v>
      </c>
      <c r="M4275" s="282" t="e">
        <f>(INDEX(Tabla6[#All],MATCH(Tabla4[[#This Row],[Producto]],Tabla6[[#All],[PRODUCTO]],0),MATCH(Tabla4[[#This Row],[Mes]],Tabla6[#Headers],0)))*(1+Catalogos!$L$2)</f>
        <v>#N/A</v>
      </c>
      <c r="N4275" s="283" t="e">
        <f>+(Tabla4[[#This Row],[Precio Descontado]]-Tabla4[[#This Row],[Precio Base]])*Tabla4[[#This Row],[Cantidad]]</f>
        <v>#N/A</v>
      </c>
      <c r="O4275" s="284" t="e">
        <f>++Tabla4[[#This Row],[Utilidad Total]]/Tabla4[[#This Row],[Total]]</f>
        <v>#N/A</v>
      </c>
      <c r="P4275" s="282">
        <f>++Tabla4[[#This Row],[Precio Descontado]]*Tabla4[[#This Row],[Cantidad]]</f>
        <v>4243.9001591999995</v>
      </c>
      <c r="Q4275" s="282" t="e">
        <f>(INDEX(Tabla6[#All],MATCH(Tabla4[[#This Row],[Producto]],Tabla6[[#All],[PRODUCTO]],0),MATCH(Tabla4[[#This Row],[Mes]],Tabla6[#Headers],0)))</f>
        <v>#N/A</v>
      </c>
      <c r="R4275" s="282" t="e">
        <f>++Tabla4[[#This Row],[Precio Unitario Neto]]-Tabla4[[#This Row],[20.85%]]-Tabla4[[#This Row],[Costo]]</f>
        <v>#N/A</v>
      </c>
      <c r="S4275" s="282" t="e">
        <f>++Tabla4[[#This Row],[U. Bruta Uni]]*Tabla4[[#This Row],[Cantidad]]</f>
        <v>#N/A</v>
      </c>
      <c r="T4275" s="369" t="str">
        <f>VLOOKUP(Tabla4[[#This Row],[Producto]],Tabla6[#All],14,FALSE)</f>
        <v>Termico Solar</v>
      </c>
      <c r="U4275" s="284" t="e">
        <f>(IF(Tabla4[[#This Row],[Familia]]="termico solar",Tabla4[[#This Row],[Utilidad Total]]*6%,Tabla4[[#This Row],[Utilidad Total]]*11.5%))/Tabla4[[#This Row],[Total]]</f>
        <v>#N/A</v>
      </c>
      <c r="V4275" s="282" t="e">
        <f>+Tabla4[[#This Row],[Comisión Calculada]]*Tabla4[[#This Row],[Total]]</f>
        <v>#N/A</v>
      </c>
    </row>
    <row r="4276" spans="1:22" hidden="1" x14ac:dyDescent="0.25">
      <c r="A4276" s="100">
        <v>45853</v>
      </c>
      <c r="B4276" t="str">
        <f t="shared" si="214"/>
        <v>July</v>
      </c>
      <c r="C4276" s="46" t="s">
        <v>280</v>
      </c>
      <c r="F4276" s="366" t="s">
        <v>2321</v>
      </c>
      <c r="G4276" s="46" t="s">
        <v>208</v>
      </c>
      <c r="H4276" s="46">
        <v>2</v>
      </c>
      <c r="I4276" s="51">
        <v>189.75</v>
      </c>
      <c r="J4276" s="281">
        <f>++Tabla4[[#This Row],[Precio Bruto]]*1.16</f>
        <v>220.10999999999999</v>
      </c>
      <c r="K4276" s="281">
        <f>+Tabla4[[#This Row],[Precio Unitario Neto]]*Tabla4[[#Headers],[20.85%]]</f>
        <v>45.892934999999994</v>
      </c>
      <c r="L4276" s="282">
        <f>++Tabla4[[#This Row],[Precio Unitario Neto]]-Tabla4[[#This Row],[20.85%]]</f>
        <v>174.21706499999999</v>
      </c>
      <c r="M4276" s="282" t="e">
        <f>(INDEX(Tabla6[#All],MATCH(Tabla4[[#This Row],[Producto]],Tabla6[[#All],[PRODUCTO]],0),MATCH(Tabla4[[#This Row],[Mes]],Tabla6[#Headers],0)))*(1+Catalogos!$L$2)</f>
        <v>#N/A</v>
      </c>
      <c r="N4276" s="283" t="e">
        <f>+(Tabla4[[#This Row],[Precio Descontado]]-Tabla4[[#This Row],[Precio Base]])*Tabla4[[#This Row],[Cantidad]]</f>
        <v>#N/A</v>
      </c>
      <c r="O4276" s="284" t="e">
        <f>++Tabla4[[#This Row],[Utilidad Total]]/Tabla4[[#This Row],[Total]]</f>
        <v>#N/A</v>
      </c>
      <c r="P4276" s="282">
        <f>++Tabla4[[#This Row],[Precio Descontado]]*Tabla4[[#This Row],[Cantidad]]</f>
        <v>348.43412999999998</v>
      </c>
      <c r="Q4276" s="282" t="e">
        <f>(INDEX(Tabla6[#All],MATCH(Tabla4[[#This Row],[Producto]],Tabla6[[#All],[PRODUCTO]],0),MATCH(Tabla4[[#This Row],[Mes]],Tabla6[#Headers],0)))</f>
        <v>#N/A</v>
      </c>
      <c r="R4276" s="282" t="e">
        <f>++Tabla4[[#This Row],[Precio Unitario Neto]]-Tabla4[[#This Row],[20.85%]]-Tabla4[[#This Row],[Costo]]</f>
        <v>#N/A</v>
      </c>
      <c r="S4276" s="282" t="e">
        <f>++Tabla4[[#This Row],[U. Bruta Uni]]*Tabla4[[#This Row],[Cantidad]]</f>
        <v>#N/A</v>
      </c>
      <c r="T4276" s="369" t="str">
        <f>VLOOKUP(Tabla4[[#This Row],[Producto]],Tabla6[#All],14,FALSE)</f>
        <v>Termico Solar</v>
      </c>
      <c r="U4276" s="284" t="e">
        <f>(IF(Tabla4[[#This Row],[Familia]]="termico solar",Tabla4[[#This Row],[Utilidad Total]]*6%,Tabla4[[#This Row],[Utilidad Total]]*11.5%))/Tabla4[[#This Row],[Total]]</f>
        <v>#N/A</v>
      </c>
      <c r="V4276" s="282" t="e">
        <f>+Tabla4[[#This Row],[Comisión Calculada]]*Tabla4[[#This Row],[Total]]</f>
        <v>#N/A</v>
      </c>
    </row>
    <row r="4277" spans="1:22" hidden="1" x14ac:dyDescent="0.25">
      <c r="A4277" s="100">
        <v>45853</v>
      </c>
      <c r="B4277" t="str">
        <f t="shared" si="214"/>
        <v>July</v>
      </c>
      <c r="C4277" s="46" t="s">
        <v>280</v>
      </c>
      <c r="F4277" s="366" t="s">
        <v>2322</v>
      </c>
      <c r="G4277" s="46" t="s">
        <v>83</v>
      </c>
      <c r="H4277" s="46">
        <v>1</v>
      </c>
      <c r="I4277" s="51">
        <v>8858.76</v>
      </c>
      <c r="J4277" s="281">
        <f>++Tabla4[[#This Row],[Precio Bruto]]*1.16</f>
        <v>10276.161599999999</v>
      </c>
      <c r="K4277" s="281">
        <f>+Tabla4[[#This Row],[Precio Unitario Neto]]*Tabla4[[#Headers],[20.85%]]</f>
        <v>2142.5796935999997</v>
      </c>
      <c r="L4277" s="282">
        <f>++Tabla4[[#This Row],[Precio Unitario Neto]]-Tabla4[[#This Row],[20.85%]]</f>
        <v>8133.5819063999998</v>
      </c>
      <c r="M4277" s="282" t="e">
        <f>(INDEX(Tabla6[#All],MATCH(Tabla4[[#This Row],[Producto]],Tabla6[[#All],[PRODUCTO]],0),MATCH(Tabla4[[#This Row],[Mes]],Tabla6[#Headers],0)))*(1+Catalogos!$L$2)</f>
        <v>#N/A</v>
      </c>
      <c r="N4277" s="283" t="e">
        <f>+(Tabla4[[#This Row],[Precio Descontado]]-Tabla4[[#This Row],[Precio Base]])*Tabla4[[#This Row],[Cantidad]]</f>
        <v>#N/A</v>
      </c>
      <c r="O4277" s="284" t="e">
        <f>++Tabla4[[#This Row],[Utilidad Total]]/Tabla4[[#This Row],[Total]]</f>
        <v>#N/A</v>
      </c>
      <c r="P4277" s="282">
        <f>++Tabla4[[#This Row],[Precio Descontado]]*Tabla4[[#This Row],[Cantidad]]</f>
        <v>8133.5819063999998</v>
      </c>
      <c r="Q4277" s="282" t="e">
        <f>(INDEX(Tabla6[#All],MATCH(Tabla4[[#This Row],[Producto]],Tabla6[[#All],[PRODUCTO]],0),MATCH(Tabla4[[#This Row],[Mes]],Tabla6[#Headers],0)))</f>
        <v>#N/A</v>
      </c>
      <c r="R4277" s="282" t="e">
        <f>++Tabla4[[#This Row],[Precio Unitario Neto]]-Tabla4[[#This Row],[20.85%]]-Tabla4[[#This Row],[Costo]]</f>
        <v>#N/A</v>
      </c>
      <c r="S4277" s="282" t="e">
        <f>++Tabla4[[#This Row],[U. Bruta Uni]]*Tabla4[[#This Row],[Cantidad]]</f>
        <v>#N/A</v>
      </c>
      <c r="T4277" s="369" t="str">
        <f>VLOOKUP(Tabla4[[#This Row],[Producto]],Tabla6[#All],14,FALSE)</f>
        <v>Termico Solar</v>
      </c>
      <c r="U4277" s="284" t="e">
        <f>(IF(Tabla4[[#This Row],[Familia]]="termico solar",Tabla4[[#This Row],[Utilidad Total]]*6%,Tabla4[[#This Row],[Utilidad Total]]*11.5%))/Tabla4[[#This Row],[Total]]</f>
        <v>#N/A</v>
      </c>
      <c r="V4277" s="282" t="e">
        <f>+Tabla4[[#This Row],[Comisión Calculada]]*Tabla4[[#This Row],[Total]]</f>
        <v>#N/A</v>
      </c>
    </row>
    <row r="4278" spans="1:22" hidden="1" x14ac:dyDescent="0.25">
      <c r="A4278" s="100">
        <v>45853</v>
      </c>
      <c r="B4278" t="str">
        <f t="shared" si="214"/>
        <v>July</v>
      </c>
      <c r="C4278" s="46" t="s">
        <v>280</v>
      </c>
      <c r="F4278" s="366" t="s">
        <v>2322</v>
      </c>
      <c r="G4278" s="46" t="s">
        <v>17</v>
      </c>
      <c r="H4278" s="46">
        <v>2</v>
      </c>
      <c r="I4278" s="51">
        <v>4622.28</v>
      </c>
      <c r="J4278" s="281">
        <f>++Tabla4[[#This Row],[Precio Bruto]]*1.16</f>
        <v>5361.8447999999989</v>
      </c>
      <c r="K4278" s="281">
        <f>+Tabla4[[#This Row],[Precio Unitario Neto]]*Tabla4[[#Headers],[20.85%]]</f>
        <v>1117.9446407999997</v>
      </c>
      <c r="L4278" s="282">
        <f>++Tabla4[[#This Row],[Precio Unitario Neto]]-Tabla4[[#This Row],[20.85%]]</f>
        <v>4243.9001591999995</v>
      </c>
      <c r="M4278" s="282" t="e">
        <f>(INDEX(Tabla6[#All],MATCH(Tabla4[[#This Row],[Producto]],Tabla6[[#All],[PRODUCTO]],0),MATCH(Tabla4[[#This Row],[Mes]],Tabla6[#Headers],0)))*(1+Catalogos!$L$2)</f>
        <v>#N/A</v>
      </c>
      <c r="N4278" s="283" t="e">
        <f>+(Tabla4[[#This Row],[Precio Descontado]]-Tabla4[[#This Row],[Precio Base]])*Tabla4[[#This Row],[Cantidad]]</f>
        <v>#N/A</v>
      </c>
      <c r="O4278" s="284" t="e">
        <f>++Tabla4[[#This Row],[Utilidad Total]]/Tabla4[[#This Row],[Total]]</f>
        <v>#N/A</v>
      </c>
      <c r="P4278" s="282">
        <f>++Tabla4[[#This Row],[Precio Descontado]]*Tabla4[[#This Row],[Cantidad]]</f>
        <v>8487.800318399999</v>
      </c>
      <c r="Q4278" s="282" t="e">
        <f>(INDEX(Tabla6[#All],MATCH(Tabla4[[#This Row],[Producto]],Tabla6[[#All],[PRODUCTO]],0),MATCH(Tabla4[[#This Row],[Mes]],Tabla6[#Headers],0)))</f>
        <v>#N/A</v>
      </c>
      <c r="R4278" s="282" t="e">
        <f>++Tabla4[[#This Row],[Precio Unitario Neto]]-Tabla4[[#This Row],[20.85%]]-Tabla4[[#This Row],[Costo]]</f>
        <v>#N/A</v>
      </c>
      <c r="S4278" s="282" t="e">
        <f>++Tabla4[[#This Row],[U. Bruta Uni]]*Tabla4[[#This Row],[Cantidad]]</f>
        <v>#N/A</v>
      </c>
      <c r="T4278" s="369" t="str">
        <f>VLOOKUP(Tabla4[[#This Row],[Producto]],Tabla6[#All],14,FALSE)</f>
        <v>Termico Solar</v>
      </c>
      <c r="U4278" s="284" t="e">
        <f>(IF(Tabla4[[#This Row],[Familia]]="termico solar",Tabla4[[#This Row],[Utilidad Total]]*6%,Tabla4[[#This Row],[Utilidad Total]]*11.5%))/Tabla4[[#This Row],[Total]]</f>
        <v>#N/A</v>
      </c>
      <c r="V4278" s="282" t="e">
        <f>+Tabla4[[#This Row],[Comisión Calculada]]*Tabla4[[#This Row],[Total]]</f>
        <v>#N/A</v>
      </c>
    </row>
    <row r="4279" spans="1:22" hidden="1" x14ac:dyDescent="0.25">
      <c r="A4279" s="100">
        <v>45853</v>
      </c>
      <c r="B4279" t="str">
        <f t="shared" si="214"/>
        <v>July</v>
      </c>
      <c r="C4279" s="46" t="s">
        <v>280</v>
      </c>
      <c r="F4279" s="366" t="s">
        <v>2322</v>
      </c>
      <c r="G4279" s="46" t="s">
        <v>19</v>
      </c>
      <c r="H4279" s="46">
        <v>1</v>
      </c>
      <c r="I4279" s="51">
        <v>6412.03</v>
      </c>
      <c r="J4279" s="281">
        <f>++Tabla4[[#This Row],[Precio Bruto]]*1.16</f>
        <v>7437.9547999999995</v>
      </c>
      <c r="K4279" s="281">
        <f>+Tabla4[[#This Row],[Precio Unitario Neto]]*Tabla4[[#Headers],[20.85%]]</f>
        <v>1550.8135757999999</v>
      </c>
      <c r="L4279" s="282">
        <f>++Tabla4[[#This Row],[Precio Unitario Neto]]-Tabla4[[#This Row],[20.85%]]</f>
        <v>5887.1412241999997</v>
      </c>
      <c r="M4279" s="282" t="e">
        <f>(INDEX(Tabla6[#All],MATCH(Tabla4[[#This Row],[Producto]],Tabla6[[#All],[PRODUCTO]],0),MATCH(Tabla4[[#This Row],[Mes]],Tabla6[#Headers],0)))*(1+Catalogos!$L$2)</f>
        <v>#N/A</v>
      </c>
      <c r="N4279" s="283" t="e">
        <f>+(Tabla4[[#This Row],[Precio Descontado]]-Tabla4[[#This Row],[Precio Base]])*Tabla4[[#This Row],[Cantidad]]</f>
        <v>#N/A</v>
      </c>
      <c r="O4279" s="284" t="e">
        <f>++Tabla4[[#This Row],[Utilidad Total]]/Tabla4[[#This Row],[Total]]</f>
        <v>#N/A</v>
      </c>
      <c r="P4279" s="282">
        <f>++Tabla4[[#This Row],[Precio Descontado]]*Tabla4[[#This Row],[Cantidad]]</f>
        <v>5887.1412241999997</v>
      </c>
      <c r="Q4279" s="282" t="e">
        <f>(INDEX(Tabla6[#All],MATCH(Tabla4[[#This Row],[Producto]],Tabla6[[#All],[PRODUCTO]],0),MATCH(Tabla4[[#This Row],[Mes]],Tabla6[#Headers],0)))</f>
        <v>#N/A</v>
      </c>
      <c r="R4279" s="282" t="e">
        <f>++Tabla4[[#This Row],[Precio Unitario Neto]]-Tabla4[[#This Row],[20.85%]]-Tabla4[[#This Row],[Costo]]</f>
        <v>#N/A</v>
      </c>
      <c r="S4279" s="282" t="e">
        <f>++Tabla4[[#This Row],[U. Bruta Uni]]*Tabla4[[#This Row],[Cantidad]]</f>
        <v>#N/A</v>
      </c>
      <c r="T4279" s="369" t="str">
        <f>VLOOKUP(Tabla4[[#This Row],[Producto]],Tabla6[#All],14,FALSE)</f>
        <v>Termico Solar</v>
      </c>
      <c r="U4279" s="284" t="e">
        <f>(IF(Tabla4[[#This Row],[Familia]]="termico solar",Tabla4[[#This Row],[Utilidad Total]]*6%,Tabla4[[#This Row],[Utilidad Total]]*11.5%))/Tabla4[[#This Row],[Total]]</f>
        <v>#N/A</v>
      </c>
      <c r="V4279" s="282" t="e">
        <f>+Tabla4[[#This Row],[Comisión Calculada]]*Tabla4[[#This Row],[Total]]</f>
        <v>#N/A</v>
      </c>
    </row>
    <row r="4280" spans="1:22" hidden="1" x14ac:dyDescent="0.25">
      <c r="A4280" s="100">
        <v>45853</v>
      </c>
      <c r="B4280" t="str">
        <f t="shared" si="214"/>
        <v>July</v>
      </c>
      <c r="C4280" s="46" t="s">
        <v>280</v>
      </c>
      <c r="F4280" s="366" t="s">
        <v>2322</v>
      </c>
      <c r="G4280" s="46" t="s">
        <v>209</v>
      </c>
      <c r="H4280" s="46">
        <v>1</v>
      </c>
      <c r="I4280" s="51">
        <v>347.48</v>
      </c>
      <c r="J4280" s="281">
        <f>++Tabla4[[#This Row],[Precio Bruto]]*1.16</f>
        <v>403.07679999999999</v>
      </c>
      <c r="K4280" s="281">
        <f>+Tabla4[[#This Row],[Precio Unitario Neto]]*Tabla4[[#Headers],[20.85%]]</f>
        <v>84.041512799999992</v>
      </c>
      <c r="L4280" s="282">
        <f>++Tabla4[[#This Row],[Precio Unitario Neto]]-Tabla4[[#This Row],[20.85%]]</f>
        <v>319.03528719999997</v>
      </c>
      <c r="M4280" s="282" t="e">
        <f>(INDEX(Tabla6[#All],MATCH(Tabla4[[#This Row],[Producto]],Tabla6[[#All],[PRODUCTO]],0),MATCH(Tabla4[[#This Row],[Mes]],Tabla6[#Headers],0)))*(1+Catalogos!$L$2)</f>
        <v>#N/A</v>
      </c>
      <c r="N4280" s="283" t="e">
        <f>+(Tabla4[[#This Row],[Precio Descontado]]-Tabla4[[#This Row],[Precio Base]])*Tabla4[[#This Row],[Cantidad]]</f>
        <v>#N/A</v>
      </c>
      <c r="O4280" s="284" t="e">
        <f>++Tabla4[[#This Row],[Utilidad Total]]/Tabla4[[#This Row],[Total]]</f>
        <v>#N/A</v>
      </c>
      <c r="P4280" s="282">
        <f>++Tabla4[[#This Row],[Precio Descontado]]*Tabla4[[#This Row],[Cantidad]]</f>
        <v>319.03528719999997</v>
      </c>
      <c r="Q4280" s="282" t="e">
        <f>(INDEX(Tabla6[#All],MATCH(Tabla4[[#This Row],[Producto]],Tabla6[[#All],[PRODUCTO]],0),MATCH(Tabla4[[#This Row],[Mes]],Tabla6[#Headers],0)))</f>
        <v>#N/A</v>
      </c>
      <c r="R4280" s="282" t="e">
        <f>++Tabla4[[#This Row],[Precio Unitario Neto]]-Tabla4[[#This Row],[20.85%]]-Tabla4[[#This Row],[Costo]]</f>
        <v>#N/A</v>
      </c>
      <c r="S4280" s="282" t="e">
        <f>++Tabla4[[#This Row],[U. Bruta Uni]]*Tabla4[[#This Row],[Cantidad]]</f>
        <v>#N/A</v>
      </c>
      <c r="T4280" s="369" t="str">
        <f>VLOOKUP(Tabla4[[#This Row],[Producto]],Tabla6[#All],14,FALSE)</f>
        <v>Termico Solar</v>
      </c>
      <c r="U4280" s="284" t="e">
        <f>(IF(Tabla4[[#This Row],[Familia]]="termico solar",Tabla4[[#This Row],[Utilidad Total]]*6%,Tabla4[[#This Row],[Utilidad Total]]*11.5%))/Tabla4[[#This Row],[Total]]</f>
        <v>#N/A</v>
      </c>
      <c r="V4280" s="282" t="e">
        <f>+Tabla4[[#This Row],[Comisión Calculada]]*Tabla4[[#This Row],[Total]]</f>
        <v>#N/A</v>
      </c>
    </row>
    <row r="4281" spans="1:22" hidden="1" x14ac:dyDescent="0.25">
      <c r="A4281" s="100">
        <v>45853</v>
      </c>
      <c r="B4281" t="str">
        <f t="shared" si="214"/>
        <v>July</v>
      </c>
      <c r="C4281" s="46" t="s">
        <v>280</v>
      </c>
      <c r="F4281" s="366" t="s">
        <v>2323</v>
      </c>
      <c r="G4281" s="46" t="s">
        <v>18</v>
      </c>
      <c r="H4281" s="46">
        <v>1</v>
      </c>
      <c r="I4281" s="51">
        <v>5367.65</v>
      </c>
      <c r="J4281" s="281">
        <f>++Tabla4[[#This Row],[Precio Bruto]]*1.16</f>
        <v>6226.4739999999993</v>
      </c>
      <c r="K4281" s="281">
        <f>+Tabla4[[#This Row],[Precio Unitario Neto]]*Tabla4[[#Headers],[20.85%]]</f>
        <v>1298.2198289999999</v>
      </c>
      <c r="L4281" s="282">
        <f>++Tabla4[[#This Row],[Precio Unitario Neto]]-Tabla4[[#This Row],[20.85%]]</f>
        <v>4928.2541709999996</v>
      </c>
      <c r="M4281" s="282" t="e">
        <f>(INDEX(Tabla6[#All],MATCH(Tabla4[[#This Row],[Producto]],Tabla6[[#All],[PRODUCTO]],0),MATCH(Tabla4[[#This Row],[Mes]],Tabla6[#Headers],0)))*(1+Catalogos!$L$2)</f>
        <v>#N/A</v>
      </c>
      <c r="N4281" s="283" t="e">
        <f>+(Tabla4[[#This Row],[Precio Descontado]]-Tabla4[[#This Row],[Precio Base]])*Tabla4[[#This Row],[Cantidad]]</f>
        <v>#N/A</v>
      </c>
      <c r="O4281" s="284" t="e">
        <f>++Tabla4[[#This Row],[Utilidad Total]]/Tabla4[[#This Row],[Total]]</f>
        <v>#N/A</v>
      </c>
      <c r="P4281" s="282">
        <f>++Tabla4[[#This Row],[Precio Descontado]]*Tabla4[[#This Row],[Cantidad]]</f>
        <v>4928.2541709999996</v>
      </c>
      <c r="Q4281" s="282" t="e">
        <f>(INDEX(Tabla6[#All],MATCH(Tabla4[[#This Row],[Producto]],Tabla6[[#All],[PRODUCTO]],0),MATCH(Tabla4[[#This Row],[Mes]],Tabla6[#Headers],0)))</f>
        <v>#N/A</v>
      </c>
      <c r="R4281" s="282" t="e">
        <f>++Tabla4[[#This Row],[Precio Unitario Neto]]-Tabla4[[#This Row],[20.85%]]-Tabla4[[#This Row],[Costo]]</f>
        <v>#N/A</v>
      </c>
      <c r="S4281" s="282" t="e">
        <f>++Tabla4[[#This Row],[U. Bruta Uni]]*Tabla4[[#This Row],[Cantidad]]</f>
        <v>#N/A</v>
      </c>
      <c r="T4281" s="369" t="str">
        <f>VLOOKUP(Tabla4[[#This Row],[Producto]],Tabla6[#All],14,FALSE)</f>
        <v>Termico Solar</v>
      </c>
      <c r="U4281" s="284" t="e">
        <f>(IF(Tabla4[[#This Row],[Familia]]="termico solar",Tabla4[[#This Row],[Utilidad Total]]*6%,Tabla4[[#This Row],[Utilidad Total]]*11.5%))/Tabla4[[#This Row],[Total]]</f>
        <v>#N/A</v>
      </c>
      <c r="V4281" s="282" t="e">
        <f>+Tabla4[[#This Row],[Comisión Calculada]]*Tabla4[[#This Row],[Total]]</f>
        <v>#N/A</v>
      </c>
    </row>
    <row r="4282" spans="1:22" hidden="1" x14ac:dyDescent="0.25">
      <c r="A4282" s="100">
        <v>45853</v>
      </c>
      <c r="B4282" t="str">
        <f t="shared" si="214"/>
        <v>July</v>
      </c>
      <c r="C4282" s="46" t="s">
        <v>280</v>
      </c>
      <c r="F4282" s="366" t="s">
        <v>2323</v>
      </c>
      <c r="G4282" s="46" t="s">
        <v>16</v>
      </c>
      <c r="H4282" s="46">
        <v>1</v>
      </c>
      <c r="I4282" s="51">
        <v>4103.8500000000004</v>
      </c>
      <c r="J4282" s="281">
        <f>++Tabla4[[#This Row],[Precio Bruto]]*1.16</f>
        <v>4760.4660000000003</v>
      </c>
      <c r="K4282" s="281">
        <f>+Tabla4[[#This Row],[Precio Unitario Neto]]*Tabla4[[#Headers],[20.85%]]</f>
        <v>992.55716100000006</v>
      </c>
      <c r="L4282" s="282">
        <f>++Tabla4[[#This Row],[Precio Unitario Neto]]-Tabla4[[#This Row],[20.85%]]</f>
        <v>3767.9088390000002</v>
      </c>
      <c r="M4282" s="282" t="e">
        <f>(INDEX(Tabla6[#All],MATCH(Tabla4[[#This Row],[Producto]],Tabla6[[#All],[PRODUCTO]],0),MATCH(Tabla4[[#This Row],[Mes]],Tabla6[#Headers],0)))*(1+Catalogos!$L$2)</f>
        <v>#N/A</v>
      </c>
      <c r="N4282" s="283" t="e">
        <f>+(Tabla4[[#This Row],[Precio Descontado]]-Tabla4[[#This Row],[Precio Base]])*Tabla4[[#This Row],[Cantidad]]</f>
        <v>#N/A</v>
      </c>
      <c r="O4282" s="284" t="e">
        <f>++Tabla4[[#This Row],[Utilidad Total]]/Tabla4[[#This Row],[Total]]</f>
        <v>#N/A</v>
      </c>
      <c r="P4282" s="282">
        <f>++Tabla4[[#This Row],[Precio Descontado]]*Tabla4[[#This Row],[Cantidad]]</f>
        <v>3767.9088390000002</v>
      </c>
      <c r="Q4282" s="282" t="e">
        <f>(INDEX(Tabla6[#All],MATCH(Tabla4[[#This Row],[Producto]],Tabla6[[#All],[PRODUCTO]],0),MATCH(Tabla4[[#This Row],[Mes]],Tabla6[#Headers],0)))</f>
        <v>#N/A</v>
      </c>
      <c r="R4282" s="282" t="e">
        <f>++Tabla4[[#This Row],[Precio Unitario Neto]]-Tabla4[[#This Row],[20.85%]]-Tabla4[[#This Row],[Costo]]</f>
        <v>#N/A</v>
      </c>
      <c r="S4282" s="282" t="e">
        <f>++Tabla4[[#This Row],[U. Bruta Uni]]*Tabla4[[#This Row],[Cantidad]]</f>
        <v>#N/A</v>
      </c>
      <c r="T4282" s="369" t="str">
        <f>VLOOKUP(Tabla4[[#This Row],[Producto]],Tabla6[#All],14,FALSE)</f>
        <v>Termico Solar</v>
      </c>
      <c r="U4282" s="284" t="e">
        <f>(IF(Tabla4[[#This Row],[Familia]]="termico solar",Tabla4[[#This Row],[Utilidad Total]]*6%,Tabla4[[#This Row],[Utilidad Total]]*11.5%))/Tabla4[[#This Row],[Total]]</f>
        <v>#N/A</v>
      </c>
      <c r="V4282" s="282" t="e">
        <f>+Tabla4[[#This Row],[Comisión Calculada]]*Tabla4[[#This Row],[Total]]</f>
        <v>#N/A</v>
      </c>
    </row>
    <row r="4283" spans="1:22" hidden="1" x14ac:dyDescent="0.25">
      <c r="A4283" s="100">
        <v>45853</v>
      </c>
      <c r="B4283" t="str">
        <f t="shared" si="214"/>
        <v>July</v>
      </c>
      <c r="C4283" s="46" t="s">
        <v>280</v>
      </c>
      <c r="F4283" s="366" t="s">
        <v>2324</v>
      </c>
      <c r="G4283" s="46" t="s">
        <v>17</v>
      </c>
      <c r="H4283" s="46">
        <v>3</v>
      </c>
      <c r="I4283" s="51">
        <v>4622.28</v>
      </c>
      <c r="J4283" s="281">
        <f>++Tabla4[[#This Row],[Precio Bruto]]*1.16</f>
        <v>5361.8447999999989</v>
      </c>
      <c r="K4283" s="281">
        <f>+Tabla4[[#This Row],[Precio Unitario Neto]]*Tabla4[[#Headers],[20.85%]]</f>
        <v>1117.9446407999997</v>
      </c>
      <c r="L4283" s="282">
        <f>++Tabla4[[#This Row],[Precio Unitario Neto]]-Tabla4[[#This Row],[20.85%]]</f>
        <v>4243.9001591999995</v>
      </c>
      <c r="M4283" s="282" t="e">
        <f>(INDEX(Tabla6[#All],MATCH(Tabla4[[#This Row],[Producto]],Tabla6[[#All],[PRODUCTO]],0),MATCH(Tabla4[[#This Row],[Mes]],Tabla6[#Headers],0)))*(1+Catalogos!$L$2)</f>
        <v>#N/A</v>
      </c>
      <c r="N4283" s="283" t="e">
        <f>+(Tabla4[[#This Row],[Precio Descontado]]-Tabla4[[#This Row],[Precio Base]])*Tabla4[[#This Row],[Cantidad]]</f>
        <v>#N/A</v>
      </c>
      <c r="O4283" s="284" t="e">
        <f>++Tabla4[[#This Row],[Utilidad Total]]/Tabla4[[#This Row],[Total]]</f>
        <v>#N/A</v>
      </c>
      <c r="P4283" s="282">
        <f>++Tabla4[[#This Row],[Precio Descontado]]*Tabla4[[#This Row],[Cantidad]]</f>
        <v>12731.700477599999</v>
      </c>
      <c r="Q4283" s="282" t="e">
        <f>(INDEX(Tabla6[#All],MATCH(Tabla4[[#This Row],[Producto]],Tabla6[[#All],[PRODUCTO]],0),MATCH(Tabla4[[#This Row],[Mes]],Tabla6[#Headers],0)))</f>
        <v>#N/A</v>
      </c>
      <c r="R4283" s="282" t="e">
        <f>++Tabla4[[#This Row],[Precio Unitario Neto]]-Tabla4[[#This Row],[20.85%]]-Tabla4[[#This Row],[Costo]]</f>
        <v>#N/A</v>
      </c>
      <c r="S4283" s="282" t="e">
        <f>++Tabla4[[#This Row],[U. Bruta Uni]]*Tabla4[[#This Row],[Cantidad]]</f>
        <v>#N/A</v>
      </c>
      <c r="T4283" s="369" t="str">
        <f>VLOOKUP(Tabla4[[#This Row],[Producto]],Tabla6[#All],14,FALSE)</f>
        <v>Termico Solar</v>
      </c>
      <c r="U4283" s="284" t="e">
        <f>(IF(Tabla4[[#This Row],[Familia]]="termico solar",Tabla4[[#This Row],[Utilidad Total]]*6%,Tabla4[[#This Row],[Utilidad Total]]*11.5%))/Tabla4[[#This Row],[Total]]</f>
        <v>#N/A</v>
      </c>
      <c r="V4283" s="282" t="e">
        <f>+Tabla4[[#This Row],[Comisión Calculada]]*Tabla4[[#This Row],[Total]]</f>
        <v>#N/A</v>
      </c>
    </row>
    <row r="4284" spans="1:22" hidden="1" x14ac:dyDescent="0.25">
      <c r="A4284" s="100">
        <v>45853</v>
      </c>
      <c r="B4284" t="str">
        <f t="shared" si="214"/>
        <v>July</v>
      </c>
      <c r="C4284" s="46" t="s">
        <v>280</v>
      </c>
      <c r="F4284" s="366" t="s">
        <v>2324</v>
      </c>
      <c r="G4284" s="46" t="s">
        <v>209</v>
      </c>
      <c r="H4284" s="46">
        <v>9</v>
      </c>
      <c r="I4284" s="51">
        <v>108.1</v>
      </c>
      <c r="J4284" s="281">
        <f>++Tabla4[[#This Row],[Precio Bruto]]*1.16</f>
        <v>125.39599999999999</v>
      </c>
      <c r="K4284" s="281">
        <f>+Tabla4[[#This Row],[Precio Unitario Neto]]*Tabla4[[#Headers],[20.85%]]</f>
        <v>26.145065999999996</v>
      </c>
      <c r="L4284" s="282">
        <f>++Tabla4[[#This Row],[Precio Unitario Neto]]-Tabla4[[#This Row],[20.85%]]</f>
        <v>99.250933999999987</v>
      </c>
      <c r="M4284" s="282" t="e">
        <f>(INDEX(Tabla6[#All],MATCH(Tabla4[[#This Row],[Producto]],Tabla6[[#All],[PRODUCTO]],0),MATCH(Tabla4[[#This Row],[Mes]],Tabla6[#Headers],0)))*(1+Catalogos!$L$2)</f>
        <v>#N/A</v>
      </c>
      <c r="N4284" s="283" t="e">
        <f>+(Tabla4[[#This Row],[Precio Descontado]]-Tabla4[[#This Row],[Precio Base]])*Tabla4[[#This Row],[Cantidad]]</f>
        <v>#N/A</v>
      </c>
      <c r="O4284" s="284" t="e">
        <f>++Tabla4[[#This Row],[Utilidad Total]]/Tabla4[[#This Row],[Total]]</f>
        <v>#N/A</v>
      </c>
      <c r="P4284" s="282">
        <f>++Tabla4[[#This Row],[Precio Descontado]]*Tabla4[[#This Row],[Cantidad]]</f>
        <v>893.25840599999992</v>
      </c>
      <c r="Q4284" s="282" t="e">
        <f>(INDEX(Tabla6[#All],MATCH(Tabla4[[#This Row],[Producto]],Tabla6[[#All],[PRODUCTO]],0),MATCH(Tabla4[[#This Row],[Mes]],Tabla6[#Headers],0)))</f>
        <v>#N/A</v>
      </c>
      <c r="R4284" s="282" t="e">
        <f>++Tabla4[[#This Row],[Precio Unitario Neto]]-Tabla4[[#This Row],[20.85%]]-Tabla4[[#This Row],[Costo]]</f>
        <v>#N/A</v>
      </c>
      <c r="S4284" s="282" t="e">
        <f>++Tabla4[[#This Row],[U. Bruta Uni]]*Tabla4[[#This Row],[Cantidad]]</f>
        <v>#N/A</v>
      </c>
      <c r="T4284" s="369" t="str">
        <f>VLOOKUP(Tabla4[[#This Row],[Producto]],Tabla6[#All],14,FALSE)</f>
        <v>Termico Solar</v>
      </c>
      <c r="U4284" s="284" t="e">
        <f>(IF(Tabla4[[#This Row],[Familia]]="termico solar",Tabla4[[#This Row],[Utilidad Total]]*6%,Tabla4[[#This Row],[Utilidad Total]]*11.5%))/Tabla4[[#This Row],[Total]]</f>
        <v>#N/A</v>
      </c>
      <c r="V4284" s="282" t="e">
        <f>+Tabla4[[#This Row],[Comisión Calculada]]*Tabla4[[#This Row],[Total]]</f>
        <v>#N/A</v>
      </c>
    </row>
    <row r="4285" spans="1:22" hidden="1" x14ac:dyDescent="0.25">
      <c r="A4285" s="100">
        <v>45853</v>
      </c>
      <c r="B4285" t="str">
        <f t="shared" si="214"/>
        <v>July</v>
      </c>
      <c r="C4285" s="46" t="s">
        <v>280</v>
      </c>
      <c r="F4285" s="366" t="s">
        <v>2324</v>
      </c>
      <c r="G4285" s="46" t="s">
        <v>208</v>
      </c>
      <c r="H4285" s="46">
        <v>1</v>
      </c>
      <c r="I4285" s="51">
        <v>189.75</v>
      </c>
      <c r="J4285" s="281">
        <f>++Tabla4[[#This Row],[Precio Bruto]]*1.16</f>
        <v>220.10999999999999</v>
      </c>
      <c r="K4285" s="281">
        <f>+Tabla4[[#This Row],[Precio Unitario Neto]]*Tabla4[[#Headers],[20.85%]]</f>
        <v>45.892934999999994</v>
      </c>
      <c r="L4285" s="282">
        <f>++Tabla4[[#This Row],[Precio Unitario Neto]]-Tabla4[[#This Row],[20.85%]]</f>
        <v>174.21706499999999</v>
      </c>
      <c r="M4285" s="282" t="e">
        <f>(INDEX(Tabla6[#All],MATCH(Tabla4[[#This Row],[Producto]],Tabla6[[#All],[PRODUCTO]],0),MATCH(Tabla4[[#This Row],[Mes]],Tabla6[#Headers],0)))*(1+Catalogos!$L$2)</f>
        <v>#N/A</v>
      </c>
      <c r="N4285" s="283" t="e">
        <f>+(Tabla4[[#This Row],[Precio Descontado]]-Tabla4[[#This Row],[Precio Base]])*Tabla4[[#This Row],[Cantidad]]</f>
        <v>#N/A</v>
      </c>
      <c r="O4285" s="284" t="e">
        <f>++Tabla4[[#This Row],[Utilidad Total]]/Tabla4[[#This Row],[Total]]</f>
        <v>#N/A</v>
      </c>
      <c r="P4285" s="282">
        <f>++Tabla4[[#This Row],[Precio Descontado]]*Tabla4[[#This Row],[Cantidad]]</f>
        <v>174.21706499999999</v>
      </c>
      <c r="Q4285" s="282" t="e">
        <f>(INDEX(Tabla6[#All],MATCH(Tabla4[[#This Row],[Producto]],Tabla6[[#All],[PRODUCTO]],0),MATCH(Tabla4[[#This Row],[Mes]],Tabla6[#Headers],0)))</f>
        <v>#N/A</v>
      </c>
      <c r="R4285" s="282" t="e">
        <f>++Tabla4[[#This Row],[Precio Unitario Neto]]-Tabla4[[#This Row],[20.85%]]-Tabla4[[#This Row],[Costo]]</f>
        <v>#N/A</v>
      </c>
      <c r="S4285" s="282" t="e">
        <f>++Tabla4[[#This Row],[U. Bruta Uni]]*Tabla4[[#This Row],[Cantidad]]</f>
        <v>#N/A</v>
      </c>
      <c r="T4285" s="369" t="str">
        <f>VLOOKUP(Tabla4[[#This Row],[Producto]],Tabla6[#All],14,FALSE)</f>
        <v>Termico Solar</v>
      </c>
      <c r="U4285" s="284" t="e">
        <f>(IF(Tabla4[[#This Row],[Familia]]="termico solar",Tabla4[[#This Row],[Utilidad Total]]*6%,Tabla4[[#This Row],[Utilidad Total]]*11.5%))/Tabla4[[#This Row],[Total]]</f>
        <v>#N/A</v>
      </c>
      <c r="V4285" s="282" t="e">
        <f>+Tabla4[[#This Row],[Comisión Calculada]]*Tabla4[[#This Row],[Total]]</f>
        <v>#N/A</v>
      </c>
    </row>
    <row r="4286" spans="1:22" hidden="1" x14ac:dyDescent="0.25">
      <c r="A4286" s="100">
        <v>45853</v>
      </c>
      <c r="B4286" t="str">
        <f t="shared" si="214"/>
        <v>July</v>
      </c>
      <c r="C4286" s="46" t="s">
        <v>280</v>
      </c>
      <c r="F4286" s="366" t="s">
        <v>2325</v>
      </c>
      <c r="G4286" s="46" t="s">
        <v>83</v>
      </c>
      <c r="H4286" s="46">
        <v>4</v>
      </c>
      <c r="I4286" s="51">
        <v>8858.76</v>
      </c>
      <c r="J4286" s="281">
        <f>++Tabla4[[#This Row],[Precio Bruto]]*1.16</f>
        <v>10276.161599999999</v>
      </c>
      <c r="K4286" s="281">
        <f>+Tabla4[[#This Row],[Precio Unitario Neto]]*Tabla4[[#Headers],[20.85%]]</f>
        <v>2142.5796935999997</v>
      </c>
      <c r="L4286" s="282">
        <f>++Tabla4[[#This Row],[Precio Unitario Neto]]-Tabla4[[#This Row],[20.85%]]</f>
        <v>8133.5819063999998</v>
      </c>
      <c r="M4286" s="282" t="e">
        <f>(INDEX(Tabla6[#All],MATCH(Tabla4[[#This Row],[Producto]],Tabla6[[#All],[PRODUCTO]],0),MATCH(Tabla4[[#This Row],[Mes]],Tabla6[#Headers],0)))*(1+Catalogos!$L$2)</f>
        <v>#N/A</v>
      </c>
      <c r="N4286" s="283" t="e">
        <f>+(Tabla4[[#This Row],[Precio Descontado]]-Tabla4[[#This Row],[Precio Base]])*Tabla4[[#This Row],[Cantidad]]</f>
        <v>#N/A</v>
      </c>
      <c r="O4286" s="284" t="e">
        <f>++Tabla4[[#This Row],[Utilidad Total]]/Tabla4[[#This Row],[Total]]</f>
        <v>#N/A</v>
      </c>
      <c r="P4286" s="282">
        <f>++Tabla4[[#This Row],[Precio Descontado]]*Tabla4[[#This Row],[Cantidad]]</f>
        <v>32534.327625599999</v>
      </c>
      <c r="Q4286" s="282" t="e">
        <f>(INDEX(Tabla6[#All],MATCH(Tabla4[[#This Row],[Producto]],Tabla6[[#All],[PRODUCTO]],0),MATCH(Tabla4[[#This Row],[Mes]],Tabla6[#Headers],0)))</f>
        <v>#N/A</v>
      </c>
      <c r="R4286" s="282" t="e">
        <f>++Tabla4[[#This Row],[Precio Unitario Neto]]-Tabla4[[#This Row],[20.85%]]-Tabla4[[#This Row],[Costo]]</f>
        <v>#N/A</v>
      </c>
      <c r="S4286" s="282" t="e">
        <f>++Tabla4[[#This Row],[U. Bruta Uni]]*Tabla4[[#This Row],[Cantidad]]</f>
        <v>#N/A</v>
      </c>
      <c r="T4286" s="369" t="str">
        <f>VLOOKUP(Tabla4[[#This Row],[Producto]],Tabla6[#All],14,FALSE)</f>
        <v>Termico Solar</v>
      </c>
      <c r="U4286" s="284" t="e">
        <f>(IF(Tabla4[[#This Row],[Familia]]="termico solar",Tabla4[[#This Row],[Utilidad Total]]*6%,Tabla4[[#This Row],[Utilidad Total]]*11.5%))/Tabla4[[#This Row],[Total]]</f>
        <v>#N/A</v>
      </c>
      <c r="V4286" s="282" t="e">
        <f>+Tabla4[[#This Row],[Comisión Calculada]]*Tabla4[[#This Row],[Total]]</f>
        <v>#N/A</v>
      </c>
    </row>
    <row r="4287" spans="1:22" hidden="1" x14ac:dyDescent="0.25">
      <c r="A4287" s="100">
        <v>45853</v>
      </c>
      <c r="B4287" t="str">
        <f t="shared" si="214"/>
        <v>July</v>
      </c>
      <c r="C4287" s="46" t="s">
        <v>280</v>
      </c>
      <c r="F4287" s="366" t="s">
        <v>2325</v>
      </c>
      <c r="G4287" s="46" t="s">
        <v>17</v>
      </c>
      <c r="H4287" s="46">
        <v>1</v>
      </c>
      <c r="I4287" s="51">
        <v>4622.28</v>
      </c>
      <c r="J4287" s="281">
        <f>++Tabla4[[#This Row],[Precio Bruto]]*1.16</f>
        <v>5361.8447999999989</v>
      </c>
      <c r="K4287" s="281">
        <f>+Tabla4[[#This Row],[Precio Unitario Neto]]*Tabla4[[#Headers],[20.85%]]</f>
        <v>1117.9446407999997</v>
      </c>
      <c r="L4287" s="282">
        <f>++Tabla4[[#This Row],[Precio Unitario Neto]]-Tabla4[[#This Row],[20.85%]]</f>
        <v>4243.9001591999995</v>
      </c>
      <c r="M4287" s="282" t="e">
        <f>(INDEX(Tabla6[#All],MATCH(Tabla4[[#This Row],[Producto]],Tabla6[[#All],[PRODUCTO]],0),MATCH(Tabla4[[#This Row],[Mes]],Tabla6[#Headers],0)))*(1+Catalogos!$L$2)</f>
        <v>#N/A</v>
      </c>
      <c r="N4287" s="283" t="e">
        <f>+(Tabla4[[#This Row],[Precio Descontado]]-Tabla4[[#This Row],[Precio Base]])*Tabla4[[#This Row],[Cantidad]]</f>
        <v>#N/A</v>
      </c>
      <c r="O4287" s="284" t="e">
        <f>++Tabla4[[#This Row],[Utilidad Total]]/Tabla4[[#This Row],[Total]]</f>
        <v>#N/A</v>
      </c>
      <c r="P4287" s="282">
        <f>++Tabla4[[#This Row],[Precio Descontado]]*Tabla4[[#This Row],[Cantidad]]</f>
        <v>4243.9001591999995</v>
      </c>
      <c r="Q4287" s="282" t="e">
        <f>(INDEX(Tabla6[#All],MATCH(Tabla4[[#This Row],[Producto]],Tabla6[[#All],[PRODUCTO]],0),MATCH(Tabla4[[#This Row],[Mes]],Tabla6[#Headers],0)))</f>
        <v>#N/A</v>
      </c>
      <c r="R4287" s="282" t="e">
        <f>++Tabla4[[#This Row],[Precio Unitario Neto]]-Tabla4[[#This Row],[20.85%]]-Tabla4[[#This Row],[Costo]]</f>
        <v>#N/A</v>
      </c>
      <c r="S4287" s="282" t="e">
        <f>++Tabla4[[#This Row],[U. Bruta Uni]]*Tabla4[[#This Row],[Cantidad]]</f>
        <v>#N/A</v>
      </c>
      <c r="T4287" s="369" t="str">
        <f>VLOOKUP(Tabla4[[#This Row],[Producto]],Tabla6[#All],14,FALSE)</f>
        <v>Termico Solar</v>
      </c>
      <c r="U4287" s="284" t="e">
        <f>(IF(Tabla4[[#This Row],[Familia]]="termico solar",Tabla4[[#This Row],[Utilidad Total]]*6%,Tabla4[[#This Row],[Utilidad Total]]*11.5%))/Tabla4[[#This Row],[Total]]</f>
        <v>#N/A</v>
      </c>
      <c r="V4287" s="282" t="e">
        <f>+Tabla4[[#This Row],[Comisión Calculada]]*Tabla4[[#This Row],[Total]]</f>
        <v>#N/A</v>
      </c>
    </row>
    <row r="4288" spans="1:22" hidden="1" x14ac:dyDescent="0.25">
      <c r="A4288" s="100">
        <v>45853</v>
      </c>
      <c r="B4288" t="str">
        <f t="shared" si="214"/>
        <v>July</v>
      </c>
      <c r="C4288" s="46" t="s">
        <v>280</v>
      </c>
      <c r="F4288" s="366" t="s">
        <v>2325</v>
      </c>
      <c r="G4288" s="46" t="s">
        <v>18</v>
      </c>
      <c r="H4288" s="46">
        <v>1</v>
      </c>
      <c r="I4288" s="51">
        <v>5367.65</v>
      </c>
      <c r="J4288" s="281">
        <f>++Tabla4[[#This Row],[Precio Bruto]]*1.16</f>
        <v>6226.4739999999993</v>
      </c>
      <c r="K4288" s="281">
        <f>+Tabla4[[#This Row],[Precio Unitario Neto]]*Tabla4[[#Headers],[20.85%]]</f>
        <v>1298.2198289999999</v>
      </c>
      <c r="L4288" s="282">
        <f>++Tabla4[[#This Row],[Precio Unitario Neto]]-Tabla4[[#This Row],[20.85%]]</f>
        <v>4928.2541709999996</v>
      </c>
      <c r="M4288" s="282" t="e">
        <f>(INDEX(Tabla6[#All],MATCH(Tabla4[[#This Row],[Producto]],Tabla6[[#All],[PRODUCTO]],0),MATCH(Tabla4[[#This Row],[Mes]],Tabla6[#Headers],0)))*(1+Catalogos!$L$2)</f>
        <v>#N/A</v>
      </c>
      <c r="N4288" s="283" t="e">
        <f>+(Tabla4[[#This Row],[Precio Descontado]]-Tabla4[[#This Row],[Precio Base]])*Tabla4[[#This Row],[Cantidad]]</f>
        <v>#N/A</v>
      </c>
      <c r="O4288" s="284" t="e">
        <f>++Tabla4[[#This Row],[Utilidad Total]]/Tabla4[[#This Row],[Total]]</f>
        <v>#N/A</v>
      </c>
      <c r="P4288" s="282">
        <f>++Tabla4[[#This Row],[Precio Descontado]]*Tabla4[[#This Row],[Cantidad]]</f>
        <v>4928.2541709999996</v>
      </c>
      <c r="Q4288" s="282" t="e">
        <f>(INDEX(Tabla6[#All],MATCH(Tabla4[[#This Row],[Producto]],Tabla6[[#All],[PRODUCTO]],0),MATCH(Tabla4[[#This Row],[Mes]],Tabla6[#Headers],0)))</f>
        <v>#N/A</v>
      </c>
      <c r="R4288" s="282" t="e">
        <f>++Tabla4[[#This Row],[Precio Unitario Neto]]-Tabla4[[#This Row],[20.85%]]-Tabla4[[#This Row],[Costo]]</f>
        <v>#N/A</v>
      </c>
      <c r="S4288" s="282" t="e">
        <f>++Tabla4[[#This Row],[U. Bruta Uni]]*Tabla4[[#This Row],[Cantidad]]</f>
        <v>#N/A</v>
      </c>
      <c r="T4288" s="369" t="str">
        <f>VLOOKUP(Tabla4[[#This Row],[Producto]],Tabla6[#All],14,FALSE)</f>
        <v>Termico Solar</v>
      </c>
      <c r="U4288" s="284" t="e">
        <f>(IF(Tabla4[[#This Row],[Familia]]="termico solar",Tabla4[[#This Row],[Utilidad Total]]*6%,Tabla4[[#This Row],[Utilidad Total]]*11.5%))/Tabla4[[#This Row],[Total]]</f>
        <v>#N/A</v>
      </c>
      <c r="V4288" s="282" t="e">
        <f>+Tabla4[[#This Row],[Comisión Calculada]]*Tabla4[[#This Row],[Total]]</f>
        <v>#N/A</v>
      </c>
    </row>
    <row r="4289" spans="1:22" hidden="1" x14ac:dyDescent="0.25">
      <c r="A4289" s="100">
        <v>45853</v>
      </c>
      <c r="B4289" t="str">
        <f t="shared" si="214"/>
        <v>July</v>
      </c>
      <c r="C4289" s="46" t="s">
        <v>280</v>
      </c>
      <c r="F4289" s="366" t="s">
        <v>2325</v>
      </c>
      <c r="G4289" s="46" t="s">
        <v>16</v>
      </c>
      <c r="H4289" s="46">
        <v>2</v>
      </c>
      <c r="I4289" s="51">
        <v>4103.8500000000004</v>
      </c>
      <c r="J4289" s="281">
        <f>++Tabla4[[#This Row],[Precio Bruto]]*1.16</f>
        <v>4760.4660000000003</v>
      </c>
      <c r="K4289" s="281">
        <f>+Tabla4[[#This Row],[Precio Unitario Neto]]*Tabla4[[#Headers],[20.85%]]</f>
        <v>992.55716100000006</v>
      </c>
      <c r="L4289" s="282">
        <f>++Tabla4[[#This Row],[Precio Unitario Neto]]-Tabla4[[#This Row],[20.85%]]</f>
        <v>3767.9088390000002</v>
      </c>
      <c r="M4289" s="282" t="e">
        <f>(INDEX(Tabla6[#All],MATCH(Tabla4[[#This Row],[Producto]],Tabla6[[#All],[PRODUCTO]],0),MATCH(Tabla4[[#This Row],[Mes]],Tabla6[#Headers],0)))*(1+Catalogos!$L$2)</f>
        <v>#N/A</v>
      </c>
      <c r="N4289" s="283" t="e">
        <f>+(Tabla4[[#This Row],[Precio Descontado]]-Tabla4[[#This Row],[Precio Base]])*Tabla4[[#This Row],[Cantidad]]</f>
        <v>#N/A</v>
      </c>
      <c r="O4289" s="284" t="e">
        <f>++Tabla4[[#This Row],[Utilidad Total]]/Tabla4[[#This Row],[Total]]</f>
        <v>#N/A</v>
      </c>
      <c r="P4289" s="282">
        <f>++Tabla4[[#This Row],[Precio Descontado]]*Tabla4[[#This Row],[Cantidad]]</f>
        <v>7535.8176780000003</v>
      </c>
      <c r="Q4289" s="282" t="e">
        <f>(INDEX(Tabla6[#All],MATCH(Tabla4[[#This Row],[Producto]],Tabla6[[#All],[PRODUCTO]],0),MATCH(Tabla4[[#This Row],[Mes]],Tabla6[#Headers],0)))</f>
        <v>#N/A</v>
      </c>
      <c r="R4289" s="282" t="e">
        <f>++Tabla4[[#This Row],[Precio Unitario Neto]]-Tabla4[[#This Row],[20.85%]]-Tabla4[[#This Row],[Costo]]</f>
        <v>#N/A</v>
      </c>
      <c r="S4289" s="282" t="e">
        <f>++Tabla4[[#This Row],[U. Bruta Uni]]*Tabla4[[#This Row],[Cantidad]]</f>
        <v>#N/A</v>
      </c>
      <c r="T4289" s="369" t="str">
        <f>VLOOKUP(Tabla4[[#This Row],[Producto]],Tabla6[#All],14,FALSE)</f>
        <v>Termico Solar</v>
      </c>
      <c r="U4289" s="284" t="e">
        <f>(IF(Tabla4[[#This Row],[Familia]]="termico solar",Tabla4[[#This Row],[Utilidad Total]]*6%,Tabla4[[#This Row],[Utilidad Total]]*11.5%))/Tabla4[[#This Row],[Total]]</f>
        <v>#N/A</v>
      </c>
      <c r="V4289" s="282" t="e">
        <f>+Tabla4[[#This Row],[Comisión Calculada]]*Tabla4[[#This Row],[Total]]</f>
        <v>#N/A</v>
      </c>
    </row>
    <row r="4290" spans="1:22" hidden="1" x14ac:dyDescent="0.25">
      <c r="A4290" s="100">
        <v>45853</v>
      </c>
      <c r="B4290" t="str">
        <f t="shared" si="214"/>
        <v>July</v>
      </c>
      <c r="C4290" s="46" t="s">
        <v>280</v>
      </c>
      <c r="F4290" s="366" t="s">
        <v>2326</v>
      </c>
      <c r="G4290" s="46" t="s">
        <v>83</v>
      </c>
      <c r="H4290" s="46">
        <v>3</v>
      </c>
      <c r="I4290" s="51">
        <v>8858.76</v>
      </c>
      <c r="J4290" s="281">
        <f>++Tabla4[[#This Row],[Precio Bruto]]*1.16</f>
        <v>10276.161599999999</v>
      </c>
      <c r="K4290" s="281">
        <f>+Tabla4[[#This Row],[Precio Unitario Neto]]*Tabla4[[#Headers],[20.85%]]</f>
        <v>2142.5796935999997</v>
      </c>
      <c r="L4290" s="282">
        <f>++Tabla4[[#This Row],[Precio Unitario Neto]]-Tabla4[[#This Row],[20.85%]]</f>
        <v>8133.5819063999998</v>
      </c>
      <c r="M4290" s="282" t="e">
        <f>(INDEX(Tabla6[#All],MATCH(Tabla4[[#This Row],[Producto]],Tabla6[[#All],[PRODUCTO]],0),MATCH(Tabla4[[#This Row],[Mes]],Tabla6[#Headers],0)))*(1+Catalogos!$L$2)</f>
        <v>#N/A</v>
      </c>
      <c r="N4290" s="283" t="e">
        <f>+(Tabla4[[#This Row],[Precio Descontado]]-Tabla4[[#This Row],[Precio Base]])*Tabla4[[#This Row],[Cantidad]]</f>
        <v>#N/A</v>
      </c>
      <c r="O4290" s="284" t="e">
        <f>++Tabla4[[#This Row],[Utilidad Total]]/Tabla4[[#This Row],[Total]]</f>
        <v>#N/A</v>
      </c>
      <c r="P4290" s="282">
        <f>++Tabla4[[#This Row],[Precio Descontado]]*Tabla4[[#This Row],[Cantidad]]</f>
        <v>24400.7457192</v>
      </c>
      <c r="Q4290" s="282" t="e">
        <f>(INDEX(Tabla6[#All],MATCH(Tabla4[[#This Row],[Producto]],Tabla6[[#All],[PRODUCTO]],0),MATCH(Tabla4[[#This Row],[Mes]],Tabla6[#Headers],0)))</f>
        <v>#N/A</v>
      </c>
      <c r="R4290" s="282" t="e">
        <f>++Tabla4[[#This Row],[Precio Unitario Neto]]-Tabla4[[#This Row],[20.85%]]-Tabla4[[#This Row],[Costo]]</f>
        <v>#N/A</v>
      </c>
      <c r="S4290" s="282" t="e">
        <f>++Tabla4[[#This Row],[U. Bruta Uni]]*Tabla4[[#This Row],[Cantidad]]</f>
        <v>#N/A</v>
      </c>
      <c r="T4290" s="369" t="str">
        <f>VLOOKUP(Tabla4[[#This Row],[Producto]],Tabla6[#All],14,FALSE)</f>
        <v>Termico Solar</v>
      </c>
      <c r="U4290" s="284" t="e">
        <f>(IF(Tabla4[[#This Row],[Familia]]="termico solar",Tabla4[[#This Row],[Utilidad Total]]*6%,Tabla4[[#This Row],[Utilidad Total]]*11.5%))/Tabla4[[#This Row],[Total]]</f>
        <v>#N/A</v>
      </c>
      <c r="V4290" s="282" t="e">
        <f>+Tabla4[[#This Row],[Comisión Calculada]]*Tabla4[[#This Row],[Total]]</f>
        <v>#N/A</v>
      </c>
    </row>
    <row r="4291" spans="1:22" hidden="1" x14ac:dyDescent="0.25">
      <c r="A4291" s="100">
        <v>45853</v>
      </c>
      <c r="B4291" t="str">
        <f t="shared" si="214"/>
        <v>July</v>
      </c>
      <c r="C4291" s="46" t="s">
        <v>280</v>
      </c>
      <c r="F4291" s="366" t="s">
        <v>2326</v>
      </c>
      <c r="G4291" s="46" t="s">
        <v>17</v>
      </c>
      <c r="H4291" s="46">
        <v>3</v>
      </c>
      <c r="I4291" s="51">
        <v>4622.28</v>
      </c>
      <c r="J4291" s="281">
        <f>++Tabla4[[#This Row],[Precio Bruto]]*1.16</f>
        <v>5361.8447999999989</v>
      </c>
      <c r="K4291" s="281">
        <f>+Tabla4[[#This Row],[Precio Unitario Neto]]*Tabla4[[#Headers],[20.85%]]</f>
        <v>1117.9446407999997</v>
      </c>
      <c r="L4291" s="282">
        <f>++Tabla4[[#This Row],[Precio Unitario Neto]]-Tabla4[[#This Row],[20.85%]]</f>
        <v>4243.9001591999995</v>
      </c>
      <c r="M4291" s="282" t="e">
        <f>(INDEX(Tabla6[#All],MATCH(Tabla4[[#This Row],[Producto]],Tabla6[[#All],[PRODUCTO]],0),MATCH(Tabla4[[#This Row],[Mes]],Tabla6[#Headers],0)))*(1+Catalogos!$L$2)</f>
        <v>#N/A</v>
      </c>
      <c r="N4291" s="283" t="e">
        <f>+(Tabla4[[#This Row],[Precio Descontado]]-Tabla4[[#This Row],[Precio Base]])*Tabla4[[#This Row],[Cantidad]]</f>
        <v>#N/A</v>
      </c>
      <c r="O4291" s="284" t="e">
        <f>++Tabla4[[#This Row],[Utilidad Total]]/Tabla4[[#This Row],[Total]]</f>
        <v>#N/A</v>
      </c>
      <c r="P4291" s="282">
        <f>++Tabla4[[#This Row],[Precio Descontado]]*Tabla4[[#This Row],[Cantidad]]</f>
        <v>12731.700477599999</v>
      </c>
      <c r="Q4291" s="282" t="e">
        <f>(INDEX(Tabla6[#All],MATCH(Tabla4[[#This Row],[Producto]],Tabla6[[#All],[PRODUCTO]],0),MATCH(Tabla4[[#This Row],[Mes]],Tabla6[#Headers],0)))</f>
        <v>#N/A</v>
      </c>
      <c r="R4291" s="282" t="e">
        <f>++Tabla4[[#This Row],[Precio Unitario Neto]]-Tabla4[[#This Row],[20.85%]]-Tabla4[[#This Row],[Costo]]</f>
        <v>#N/A</v>
      </c>
      <c r="S4291" s="282" t="e">
        <f>++Tabla4[[#This Row],[U. Bruta Uni]]*Tabla4[[#This Row],[Cantidad]]</f>
        <v>#N/A</v>
      </c>
      <c r="T4291" s="369" t="str">
        <f>VLOOKUP(Tabla4[[#This Row],[Producto]],Tabla6[#All],14,FALSE)</f>
        <v>Termico Solar</v>
      </c>
      <c r="U4291" s="284" t="e">
        <f>(IF(Tabla4[[#This Row],[Familia]]="termico solar",Tabla4[[#This Row],[Utilidad Total]]*6%,Tabla4[[#This Row],[Utilidad Total]]*11.5%))/Tabla4[[#This Row],[Total]]</f>
        <v>#N/A</v>
      </c>
      <c r="V4291" s="282" t="e">
        <f>+Tabla4[[#This Row],[Comisión Calculada]]*Tabla4[[#This Row],[Total]]</f>
        <v>#N/A</v>
      </c>
    </row>
    <row r="4292" spans="1:22" hidden="1" x14ac:dyDescent="0.25">
      <c r="A4292" s="100">
        <v>45853</v>
      </c>
      <c r="B4292" t="str">
        <f t="shared" si="214"/>
        <v>July</v>
      </c>
      <c r="C4292" s="46" t="s">
        <v>280</v>
      </c>
      <c r="F4292" s="366" t="s">
        <v>2326</v>
      </c>
      <c r="G4292" s="46" t="s">
        <v>18</v>
      </c>
      <c r="H4292" s="46">
        <v>1</v>
      </c>
      <c r="I4292" s="51">
        <v>5367.65</v>
      </c>
      <c r="J4292" s="281">
        <f>++Tabla4[[#This Row],[Precio Bruto]]*1.16</f>
        <v>6226.4739999999993</v>
      </c>
      <c r="K4292" s="281">
        <f>+Tabla4[[#This Row],[Precio Unitario Neto]]*Tabla4[[#Headers],[20.85%]]</f>
        <v>1298.2198289999999</v>
      </c>
      <c r="L4292" s="282">
        <f>++Tabla4[[#This Row],[Precio Unitario Neto]]-Tabla4[[#This Row],[20.85%]]</f>
        <v>4928.2541709999996</v>
      </c>
      <c r="M4292" s="282" t="e">
        <f>(INDEX(Tabla6[#All],MATCH(Tabla4[[#This Row],[Producto]],Tabla6[[#All],[PRODUCTO]],0),MATCH(Tabla4[[#This Row],[Mes]],Tabla6[#Headers],0)))*(1+Catalogos!$L$2)</f>
        <v>#N/A</v>
      </c>
      <c r="N4292" s="283" t="e">
        <f>+(Tabla4[[#This Row],[Precio Descontado]]-Tabla4[[#This Row],[Precio Base]])*Tabla4[[#This Row],[Cantidad]]</f>
        <v>#N/A</v>
      </c>
      <c r="O4292" s="284" t="e">
        <f>++Tabla4[[#This Row],[Utilidad Total]]/Tabla4[[#This Row],[Total]]</f>
        <v>#N/A</v>
      </c>
      <c r="P4292" s="282">
        <f>++Tabla4[[#This Row],[Precio Descontado]]*Tabla4[[#This Row],[Cantidad]]</f>
        <v>4928.2541709999996</v>
      </c>
      <c r="Q4292" s="282" t="e">
        <f>(INDEX(Tabla6[#All],MATCH(Tabla4[[#This Row],[Producto]],Tabla6[[#All],[PRODUCTO]],0),MATCH(Tabla4[[#This Row],[Mes]],Tabla6[#Headers],0)))</f>
        <v>#N/A</v>
      </c>
      <c r="R4292" s="282" t="e">
        <f>++Tabla4[[#This Row],[Precio Unitario Neto]]-Tabla4[[#This Row],[20.85%]]-Tabla4[[#This Row],[Costo]]</f>
        <v>#N/A</v>
      </c>
      <c r="S4292" s="282" t="e">
        <f>++Tabla4[[#This Row],[U. Bruta Uni]]*Tabla4[[#This Row],[Cantidad]]</f>
        <v>#N/A</v>
      </c>
      <c r="T4292" s="369" t="str">
        <f>VLOOKUP(Tabla4[[#This Row],[Producto]],Tabla6[#All],14,FALSE)</f>
        <v>Termico Solar</v>
      </c>
      <c r="U4292" s="284" t="e">
        <f>(IF(Tabla4[[#This Row],[Familia]]="termico solar",Tabla4[[#This Row],[Utilidad Total]]*6%,Tabla4[[#This Row],[Utilidad Total]]*11.5%))/Tabla4[[#This Row],[Total]]</f>
        <v>#N/A</v>
      </c>
      <c r="V4292" s="282" t="e">
        <f>+Tabla4[[#This Row],[Comisión Calculada]]*Tabla4[[#This Row],[Total]]</f>
        <v>#N/A</v>
      </c>
    </row>
    <row r="4293" spans="1:22" hidden="1" x14ac:dyDescent="0.25">
      <c r="A4293" s="100">
        <v>45853</v>
      </c>
      <c r="B4293" t="str">
        <f t="shared" si="214"/>
        <v>July</v>
      </c>
      <c r="C4293" s="46" t="s">
        <v>280</v>
      </c>
      <c r="F4293" s="366" t="s">
        <v>2326</v>
      </c>
      <c r="G4293" s="46" t="s">
        <v>555</v>
      </c>
      <c r="H4293" s="46">
        <v>8</v>
      </c>
      <c r="I4293" s="51">
        <v>389.47</v>
      </c>
      <c r="J4293" s="281">
        <f>++Tabla4[[#This Row],[Precio Bruto]]*1.16</f>
        <v>451.78519999999997</v>
      </c>
      <c r="K4293" s="281">
        <f>+Tabla4[[#This Row],[Precio Unitario Neto]]*Tabla4[[#Headers],[20.85%]]</f>
        <v>94.197214199999991</v>
      </c>
      <c r="L4293" s="282">
        <f>++Tabla4[[#This Row],[Precio Unitario Neto]]-Tabla4[[#This Row],[20.85%]]</f>
        <v>357.58798579999996</v>
      </c>
      <c r="M4293" s="282" t="e">
        <f>(INDEX(Tabla6[#All],MATCH(Tabla4[[#This Row],[Producto]],Tabla6[[#All],[PRODUCTO]],0),MATCH(Tabla4[[#This Row],[Mes]],Tabla6[#Headers],0)))*(1+Catalogos!$L$2)</f>
        <v>#N/A</v>
      </c>
      <c r="N4293" s="283" t="e">
        <f>+(Tabla4[[#This Row],[Precio Descontado]]-Tabla4[[#This Row],[Precio Base]])*Tabla4[[#This Row],[Cantidad]]</f>
        <v>#N/A</v>
      </c>
      <c r="O4293" s="284" t="e">
        <f>++Tabla4[[#This Row],[Utilidad Total]]/Tabla4[[#This Row],[Total]]</f>
        <v>#N/A</v>
      </c>
      <c r="P4293" s="282">
        <f>++Tabla4[[#This Row],[Precio Descontado]]*Tabla4[[#This Row],[Cantidad]]</f>
        <v>2860.7038863999996</v>
      </c>
      <c r="Q4293" s="282" t="e">
        <f>(INDEX(Tabla6[#All],MATCH(Tabla4[[#This Row],[Producto]],Tabla6[[#All],[PRODUCTO]],0),MATCH(Tabla4[[#This Row],[Mes]],Tabla6[#Headers],0)))</f>
        <v>#N/A</v>
      </c>
      <c r="R4293" s="282" t="e">
        <f>++Tabla4[[#This Row],[Precio Unitario Neto]]-Tabla4[[#This Row],[20.85%]]-Tabla4[[#This Row],[Costo]]</f>
        <v>#N/A</v>
      </c>
      <c r="S4293" s="282" t="e">
        <f>++Tabla4[[#This Row],[U. Bruta Uni]]*Tabla4[[#This Row],[Cantidad]]</f>
        <v>#N/A</v>
      </c>
      <c r="T4293" s="369" t="str">
        <f>VLOOKUP(Tabla4[[#This Row],[Producto]],Tabla6[#All],14,FALSE)</f>
        <v>Termico Solar</v>
      </c>
      <c r="U4293" s="284" t="e">
        <f>(IF(Tabla4[[#This Row],[Familia]]="termico solar",Tabla4[[#This Row],[Utilidad Total]]*6%,Tabla4[[#This Row],[Utilidad Total]]*11.5%))/Tabla4[[#This Row],[Total]]</f>
        <v>#N/A</v>
      </c>
      <c r="V4293" s="282" t="e">
        <f>+Tabla4[[#This Row],[Comisión Calculada]]*Tabla4[[#This Row],[Total]]</f>
        <v>#N/A</v>
      </c>
    </row>
    <row r="4294" spans="1:22" hidden="1" x14ac:dyDescent="0.25">
      <c r="A4294" s="100">
        <v>45853</v>
      </c>
      <c r="B4294" t="str">
        <f t="shared" si="214"/>
        <v>July</v>
      </c>
      <c r="C4294" s="46" t="s">
        <v>280</v>
      </c>
      <c r="F4294" s="366" t="s">
        <v>2326</v>
      </c>
      <c r="G4294" s="46" t="s">
        <v>208</v>
      </c>
      <c r="H4294" s="46">
        <v>2</v>
      </c>
      <c r="I4294" s="51">
        <v>189.75</v>
      </c>
      <c r="J4294" s="281">
        <f>++Tabla4[[#This Row],[Precio Bruto]]*1.16</f>
        <v>220.10999999999999</v>
      </c>
      <c r="K4294" s="281">
        <f>+Tabla4[[#This Row],[Precio Unitario Neto]]*Tabla4[[#Headers],[20.85%]]</f>
        <v>45.892934999999994</v>
      </c>
      <c r="L4294" s="282">
        <f>++Tabla4[[#This Row],[Precio Unitario Neto]]-Tabla4[[#This Row],[20.85%]]</f>
        <v>174.21706499999999</v>
      </c>
      <c r="M4294" s="282" t="e">
        <f>(INDEX(Tabla6[#All],MATCH(Tabla4[[#This Row],[Producto]],Tabla6[[#All],[PRODUCTO]],0),MATCH(Tabla4[[#This Row],[Mes]],Tabla6[#Headers],0)))*(1+Catalogos!$L$2)</f>
        <v>#N/A</v>
      </c>
      <c r="N4294" s="283" t="e">
        <f>+(Tabla4[[#This Row],[Precio Descontado]]-Tabla4[[#This Row],[Precio Base]])*Tabla4[[#This Row],[Cantidad]]</f>
        <v>#N/A</v>
      </c>
      <c r="O4294" s="284" t="e">
        <f>++Tabla4[[#This Row],[Utilidad Total]]/Tabla4[[#This Row],[Total]]</f>
        <v>#N/A</v>
      </c>
      <c r="P4294" s="282">
        <f>++Tabla4[[#This Row],[Precio Descontado]]*Tabla4[[#This Row],[Cantidad]]</f>
        <v>348.43412999999998</v>
      </c>
      <c r="Q4294" s="282" t="e">
        <f>(INDEX(Tabla6[#All],MATCH(Tabla4[[#This Row],[Producto]],Tabla6[[#All],[PRODUCTO]],0),MATCH(Tabla4[[#This Row],[Mes]],Tabla6[#Headers],0)))</f>
        <v>#N/A</v>
      </c>
      <c r="R4294" s="282" t="e">
        <f>++Tabla4[[#This Row],[Precio Unitario Neto]]-Tabla4[[#This Row],[20.85%]]-Tabla4[[#This Row],[Costo]]</f>
        <v>#N/A</v>
      </c>
      <c r="S4294" s="282" t="e">
        <f>++Tabla4[[#This Row],[U. Bruta Uni]]*Tabla4[[#This Row],[Cantidad]]</f>
        <v>#N/A</v>
      </c>
      <c r="T4294" s="369" t="str">
        <f>VLOOKUP(Tabla4[[#This Row],[Producto]],Tabla6[#All],14,FALSE)</f>
        <v>Termico Solar</v>
      </c>
      <c r="U4294" s="284" t="e">
        <f>(IF(Tabla4[[#This Row],[Familia]]="termico solar",Tabla4[[#This Row],[Utilidad Total]]*6%,Tabla4[[#This Row],[Utilidad Total]]*11.5%))/Tabla4[[#This Row],[Total]]</f>
        <v>#N/A</v>
      </c>
      <c r="V4294" s="282" t="e">
        <f>+Tabla4[[#This Row],[Comisión Calculada]]*Tabla4[[#This Row],[Total]]</f>
        <v>#N/A</v>
      </c>
    </row>
    <row r="4295" spans="1:22" hidden="1" x14ac:dyDescent="0.25">
      <c r="A4295" s="100">
        <v>45853</v>
      </c>
      <c r="B4295" t="str">
        <f t="shared" si="214"/>
        <v>July</v>
      </c>
      <c r="C4295" s="46" t="s">
        <v>280</v>
      </c>
      <c r="F4295" s="366" t="s">
        <v>2327</v>
      </c>
      <c r="G4295" s="46" t="s">
        <v>83</v>
      </c>
      <c r="H4295" s="46">
        <v>4</v>
      </c>
      <c r="I4295" s="51">
        <v>8858.76</v>
      </c>
      <c r="J4295" s="281">
        <f>++Tabla4[[#This Row],[Precio Bruto]]*1.16</f>
        <v>10276.161599999999</v>
      </c>
      <c r="K4295" s="281">
        <f>+Tabla4[[#This Row],[Precio Unitario Neto]]*Tabla4[[#Headers],[20.85%]]</f>
        <v>2142.5796935999997</v>
      </c>
      <c r="L4295" s="282">
        <f>++Tabla4[[#This Row],[Precio Unitario Neto]]-Tabla4[[#This Row],[20.85%]]</f>
        <v>8133.5819063999998</v>
      </c>
      <c r="M4295" s="282" t="e">
        <f>(INDEX(Tabla6[#All],MATCH(Tabla4[[#This Row],[Producto]],Tabla6[[#All],[PRODUCTO]],0),MATCH(Tabla4[[#This Row],[Mes]],Tabla6[#Headers],0)))*(1+Catalogos!$L$2)</f>
        <v>#N/A</v>
      </c>
      <c r="N4295" s="283" t="e">
        <f>+(Tabla4[[#This Row],[Precio Descontado]]-Tabla4[[#This Row],[Precio Base]])*Tabla4[[#This Row],[Cantidad]]</f>
        <v>#N/A</v>
      </c>
      <c r="O4295" s="284" t="e">
        <f>++Tabla4[[#This Row],[Utilidad Total]]/Tabla4[[#This Row],[Total]]</f>
        <v>#N/A</v>
      </c>
      <c r="P4295" s="282">
        <f>++Tabla4[[#This Row],[Precio Descontado]]*Tabla4[[#This Row],[Cantidad]]</f>
        <v>32534.327625599999</v>
      </c>
      <c r="Q4295" s="282" t="e">
        <f>(INDEX(Tabla6[#All],MATCH(Tabla4[[#This Row],[Producto]],Tabla6[[#All],[PRODUCTO]],0),MATCH(Tabla4[[#This Row],[Mes]],Tabla6[#Headers],0)))</f>
        <v>#N/A</v>
      </c>
      <c r="R4295" s="282" t="e">
        <f>++Tabla4[[#This Row],[Precio Unitario Neto]]-Tabla4[[#This Row],[20.85%]]-Tabla4[[#This Row],[Costo]]</f>
        <v>#N/A</v>
      </c>
      <c r="S4295" s="282" t="e">
        <f>++Tabla4[[#This Row],[U. Bruta Uni]]*Tabla4[[#This Row],[Cantidad]]</f>
        <v>#N/A</v>
      </c>
      <c r="T4295" s="369" t="str">
        <f>VLOOKUP(Tabla4[[#This Row],[Producto]],Tabla6[#All],14,FALSE)</f>
        <v>Termico Solar</v>
      </c>
      <c r="U4295" s="284" t="e">
        <f>(IF(Tabla4[[#This Row],[Familia]]="termico solar",Tabla4[[#This Row],[Utilidad Total]]*6%,Tabla4[[#This Row],[Utilidad Total]]*11.5%))/Tabla4[[#This Row],[Total]]</f>
        <v>#N/A</v>
      </c>
      <c r="V4295" s="282" t="e">
        <f>+Tabla4[[#This Row],[Comisión Calculada]]*Tabla4[[#This Row],[Total]]</f>
        <v>#N/A</v>
      </c>
    </row>
    <row r="4296" spans="1:22" hidden="1" x14ac:dyDescent="0.25">
      <c r="A4296" s="100">
        <v>45853</v>
      </c>
      <c r="B4296" t="str">
        <f t="shared" ref="B4296:B4301" si="215">TEXT(A4296, "mmmm")</f>
        <v>July</v>
      </c>
      <c r="C4296" s="46" t="s">
        <v>280</v>
      </c>
      <c r="F4296" s="366" t="s">
        <v>2328</v>
      </c>
      <c r="G4296" s="46" t="s">
        <v>83</v>
      </c>
      <c r="H4296" s="46">
        <v>3</v>
      </c>
      <c r="I4296" s="51">
        <v>8858.76</v>
      </c>
      <c r="J4296" s="281">
        <f>++Tabla4[[#This Row],[Precio Bruto]]*1.16</f>
        <v>10276.161599999999</v>
      </c>
      <c r="K4296" s="281">
        <f>+Tabla4[[#This Row],[Precio Unitario Neto]]*Tabla4[[#Headers],[20.85%]]</f>
        <v>2142.5796935999997</v>
      </c>
      <c r="L4296" s="282">
        <f>++Tabla4[[#This Row],[Precio Unitario Neto]]-Tabla4[[#This Row],[20.85%]]</f>
        <v>8133.5819063999998</v>
      </c>
      <c r="M4296" s="282" t="e">
        <f>(INDEX(Tabla6[#All],MATCH(Tabla4[[#This Row],[Producto]],Tabla6[[#All],[PRODUCTO]],0),MATCH(Tabla4[[#This Row],[Mes]],Tabla6[#Headers],0)))*(1+Catalogos!$L$2)</f>
        <v>#N/A</v>
      </c>
      <c r="N4296" s="283" t="e">
        <f>+(Tabla4[[#This Row],[Precio Descontado]]-Tabla4[[#This Row],[Precio Base]])*Tabla4[[#This Row],[Cantidad]]</f>
        <v>#N/A</v>
      </c>
      <c r="O4296" s="284" t="e">
        <f>++Tabla4[[#This Row],[Utilidad Total]]/Tabla4[[#This Row],[Total]]</f>
        <v>#N/A</v>
      </c>
      <c r="P4296" s="282">
        <f>++Tabla4[[#This Row],[Precio Descontado]]*Tabla4[[#This Row],[Cantidad]]</f>
        <v>24400.7457192</v>
      </c>
      <c r="Q4296" s="282" t="e">
        <f>(INDEX(Tabla6[#All],MATCH(Tabla4[[#This Row],[Producto]],Tabla6[[#All],[PRODUCTO]],0),MATCH(Tabla4[[#This Row],[Mes]],Tabla6[#Headers],0)))</f>
        <v>#N/A</v>
      </c>
      <c r="R4296" s="282" t="e">
        <f>++Tabla4[[#This Row],[Precio Unitario Neto]]-Tabla4[[#This Row],[20.85%]]-Tabla4[[#This Row],[Costo]]</f>
        <v>#N/A</v>
      </c>
      <c r="S4296" s="282" t="e">
        <f>++Tabla4[[#This Row],[U. Bruta Uni]]*Tabla4[[#This Row],[Cantidad]]</f>
        <v>#N/A</v>
      </c>
      <c r="T4296" s="369" t="str">
        <f>VLOOKUP(Tabla4[[#This Row],[Producto]],Tabla6[#All],14,FALSE)</f>
        <v>Termico Solar</v>
      </c>
      <c r="U4296" s="284" t="e">
        <f>(IF(Tabla4[[#This Row],[Familia]]="termico solar",Tabla4[[#This Row],[Utilidad Total]]*6%,Tabla4[[#This Row],[Utilidad Total]]*11.5%))/Tabla4[[#This Row],[Total]]</f>
        <v>#N/A</v>
      </c>
      <c r="V4296" s="282" t="e">
        <f>+Tabla4[[#This Row],[Comisión Calculada]]*Tabla4[[#This Row],[Total]]</f>
        <v>#N/A</v>
      </c>
    </row>
    <row r="4297" spans="1:22" hidden="1" x14ac:dyDescent="0.25">
      <c r="A4297" s="100">
        <v>45853</v>
      </c>
      <c r="B4297" t="str">
        <f t="shared" si="215"/>
        <v>July</v>
      </c>
      <c r="C4297" s="46" t="s">
        <v>280</v>
      </c>
      <c r="F4297" s="366" t="s">
        <v>2328</v>
      </c>
      <c r="G4297" s="46" t="s">
        <v>566</v>
      </c>
      <c r="H4297" s="46">
        <v>3</v>
      </c>
      <c r="I4297" s="51">
        <v>2109.4500000000003</v>
      </c>
      <c r="J4297" s="281">
        <f>++Tabla4[[#This Row],[Precio Bruto]]*1.16</f>
        <v>2446.962</v>
      </c>
      <c r="K4297" s="281">
        <f>+Tabla4[[#This Row],[Precio Unitario Neto]]*Tabla4[[#Headers],[20.85%]]</f>
        <v>510.191577</v>
      </c>
      <c r="L4297" s="282">
        <f>++Tabla4[[#This Row],[Precio Unitario Neto]]-Tabla4[[#This Row],[20.85%]]</f>
        <v>1936.7704229999999</v>
      </c>
      <c r="M4297" s="282" t="e">
        <f>(INDEX(Tabla6[#All],MATCH(Tabla4[[#This Row],[Producto]],Tabla6[[#All],[PRODUCTO]],0),MATCH(Tabla4[[#This Row],[Mes]],Tabla6[#Headers],0)))*(1+Catalogos!$L$2)</f>
        <v>#N/A</v>
      </c>
      <c r="N4297" s="283" t="e">
        <f>+(Tabla4[[#This Row],[Precio Descontado]]-Tabla4[[#This Row],[Precio Base]])*Tabla4[[#This Row],[Cantidad]]</f>
        <v>#N/A</v>
      </c>
      <c r="O4297" s="284" t="e">
        <f>++Tabla4[[#This Row],[Utilidad Total]]/Tabla4[[#This Row],[Total]]</f>
        <v>#N/A</v>
      </c>
      <c r="P4297" s="282">
        <f>++Tabla4[[#This Row],[Precio Descontado]]*Tabla4[[#This Row],[Cantidad]]</f>
        <v>5810.3112689999998</v>
      </c>
      <c r="Q4297" s="282" t="e">
        <f>(INDEX(Tabla6[#All],MATCH(Tabla4[[#This Row],[Producto]],Tabla6[[#All],[PRODUCTO]],0),MATCH(Tabla4[[#This Row],[Mes]],Tabla6[#Headers],0)))</f>
        <v>#N/A</v>
      </c>
      <c r="R4297" s="282" t="e">
        <f>++Tabla4[[#This Row],[Precio Unitario Neto]]-Tabla4[[#This Row],[20.85%]]-Tabla4[[#This Row],[Costo]]</f>
        <v>#N/A</v>
      </c>
      <c r="S4297" s="282" t="e">
        <f>++Tabla4[[#This Row],[U. Bruta Uni]]*Tabla4[[#This Row],[Cantidad]]</f>
        <v>#N/A</v>
      </c>
      <c r="T4297" s="369" t="str">
        <f>VLOOKUP(Tabla4[[#This Row],[Producto]],Tabla6[#All],14,FALSE)</f>
        <v>Termico Solar</v>
      </c>
      <c r="U4297" s="284" t="e">
        <f>(IF(Tabla4[[#This Row],[Familia]]="termico solar",Tabla4[[#This Row],[Utilidad Total]]*6%,Tabla4[[#This Row],[Utilidad Total]]*11.5%))/Tabla4[[#This Row],[Total]]</f>
        <v>#N/A</v>
      </c>
      <c r="V4297" s="282" t="e">
        <f>+Tabla4[[#This Row],[Comisión Calculada]]*Tabla4[[#This Row],[Total]]</f>
        <v>#N/A</v>
      </c>
    </row>
    <row r="4298" spans="1:22" hidden="1" x14ac:dyDescent="0.25">
      <c r="A4298" s="100">
        <v>45853</v>
      </c>
      <c r="B4298" t="str">
        <f t="shared" si="215"/>
        <v>July</v>
      </c>
      <c r="C4298" s="46" t="s">
        <v>280</v>
      </c>
      <c r="F4298" s="366" t="s">
        <v>2328</v>
      </c>
      <c r="G4298" s="46" t="s">
        <v>16</v>
      </c>
      <c r="H4298" s="46">
        <v>1</v>
      </c>
      <c r="I4298" s="51">
        <v>4103.8500000000004</v>
      </c>
      <c r="J4298" s="281">
        <f>++Tabla4[[#This Row],[Precio Bruto]]*1.16</f>
        <v>4760.4660000000003</v>
      </c>
      <c r="K4298" s="281">
        <f>+Tabla4[[#This Row],[Precio Unitario Neto]]*Tabla4[[#Headers],[20.85%]]</f>
        <v>992.55716100000006</v>
      </c>
      <c r="L4298" s="282">
        <f>++Tabla4[[#This Row],[Precio Unitario Neto]]-Tabla4[[#This Row],[20.85%]]</f>
        <v>3767.9088390000002</v>
      </c>
      <c r="M4298" s="282" t="e">
        <f>(INDEX(Tabla6[#All],MATCH(Tabla4[[#This Row],[Producto]],Tabla6[[#All],[PRODUCTO]],0),MATCH(Tabla4[[#This Row],[Mes]],Tabla6[#Headers],0)))*(1+Catalogos!$L$2)</f>
        <v>#N/A</v>
      </c>
      <c r="N4298" s="283" t="e">
        <f>+(Tabla4[[#This Row],[Precio Descontado]]-Tabla4[[#This Row],[Precio Base]])*Tabla4[[#This Row],[Cantidad]]</f>
        <v>#N/A</v>
      </c>
      <c r="O4298" s="284" t="e">
        <f>++Tabla4[[#This Row],[Utilidad Total]]/Tabla4[[#This Row],[Total]]</f>
        <v>#N/A</v>
      </c>
      <c r="P4298" s="282">
        <f>++Tabla4[[#This Row],[Precio Descontado]]*Tabla4[[#This Row],[Cantidad]]</f>
        <v>3767.9088390000002</v>
      </c>
      <c r="Q4298" s="282" t="e">
        <f>(INDEX(Tabla6[#All],MATCH(Tabla4[[#This Row],[Producto]],Tabla6[[#All],[PRODUCTO]],0),MATCH(Tabla4[[#This Row],[Mes]],Tabla6[#Headers],0)))</f>
        <v>#N/A</v>
      </c>
      <c r="R4298" s="282" t="e">
        <f>++Tabla4[[#This Row],[Precio Unitario Neto]]-Tabla4[[#This Row],[20.85%]]-Tabla4[[#This Row],[Costo]]</f>
        <v>#N/A</v>
      </c>
      <c r="S4298" s="282" t="e">
        <f>++Tabla4[[#This Row],[U. Bruta Uni]]*Tabla4[[#This Row],[Cantidad]]</f>
        <v>#N/A</v>
      </c>
      <c r="T4298" s="369" t="str">
        <f>VLOOKUP(Tabla4[[#This Row],[Producto]],Tabla6[#All],14,FALSE)</f>
        <v>Termico Solar</v>
      </c>
      <c r="U4298" s="284" t="e">
        <f>(IF(Tabla4[[#This Row],[Familia]]="termico solar",Tabla4[[#This Row],[Utilidad Total]]*6%,Tabla4[[#This Row],[Utilidad Total]]*11.5%))/Tabla4[[#This Row],[Total]]</f>
        <v>#N/A</v>
      </c>
      <c r="V4298" s="282" t="e">
        <f>+Tabla4[[#This Row],[Comisión Calculada]]*Tabla4[[#This Row],[Total]]</f>
        <v>#N/A</v>
      </c>
    </row>
    <row r="4299" spans="1:22" hidden="1" x14ac:dyDescent="0.25">
      <c r="A4299" s="100">
        <v>45853</v>
      </c>
      <c r="B4299" t="str">
        <f t="shared" si="215"/>
        <v>July</v>
      </c>
      <c r="C4299" s="46" t="s">
        <v>280</v>
      </c>
      <c r="F4299" s="366" t="s">
        <v>2328</v>
      </c>
      <c r="G4299" s="46" t="s">
        <v>200</v>
      </c>
      <c r="H4299" s="46">
        <v>12</v>
      </c>
      <c r="I4299" s="51">
        <v>393.22</v>
      </c>
      <c r="J4299" s="281">
        <f>++Tabla4[[#This Row],[Precio Bruto]]*1.16</f>
        <v>456.1352</v>
      </c>
      <c r="K4299" s="281">
        <f>+Tabla4[[#This Row],[Precio Unitario Neto]]*Tabla4[[#Headers],[20.85%]]</f>
        <v>95.104189199999993</v>
      </c>
      <c r="L4299" s="282">
        <f>++Tabla4[[#This Row],[Precio Unitario Neto]]-Tabla4[[#This Row],[20.85%]]</f>
        <v>361.03101079999999</v>
      </c>
      <c r="M4299" s="282" t="e">
        <f>(INDEX(Tabla6[#All],MATCH(Tabla4[[#This Row],[Producto]],Tabla6[[#All],[PRODUCTO]],0),MATCH(Tabla4[[#This Row],[Mes]],Tabla6[#Headers],0)))*(1+Catalogos!$L$2)</f>
        <v>#N/A</v>
      </c>
      <c r="N4299" s="283" t="e">
        <f>+(Tabla4[[#This Row],[Precio Descontado]]-Tabla4[[#This Row],[Precio Base]])*Tabla4[[#This Row],[Cantidad]]</f>
        <v>#N/A</v>
      </c>
      <c r="O4299" s="284" t="e">
        <f>++Tabla4[[#This Row],[Utilidad Total]]/Tabla4[[#This Row],[Total]]</f>
        <v>#N/A</v>
      </c>
      <c r="P4299" s="282">
        <f>++Tabla4[[#This Row],[Precio Descontado]]*Tabla4[[#This Row],[Cantidad]]</f>
        <v>4332.3721296000003</v>
      </c>
      <c r="Q4299" s="282" t="e">
        <f>(INDEX(Tabla6[#All],MATCH(Tabla4[[#This Row],[Producto]],Tabla6[[#All],[PRODUCTO]],0),MATCH(Tabla4[[#This Row],[Mes]],Tabla6[#Headers],0)))</f>
        <v>#N/A</v>
      </c>
      <c r="R4299" s="282" t="e">
        <f>++Tabla4[[#This Row],[Precio Unitario Neto]]-Tabla4[[#This Row],[20.85%]]-Tabla4[[#This Row],[Costo]]</f>
        <v>#N/A</v>
      </c>
      <c r="S4299" s="282" t="e">
        <f>++Tabla4[[#This Row],[U. Bruta Uni]]*Tabla4[[#This Row],[Cantidad]]</f>
        <v>#N/A</v>
      </c>
      <c r="T4299" s="369" t="str">
        <f>VLOOKUP(Tabla4[[#This Row],[Producto]],Tabla6[#All],14,FALSE)</f>
        <v>Termico Solar</v>
      </c>
      <c r="U4299" s="284" t="e">
        <f>(IF(Tabla4[[#This Row],[Familia]]="termico solar",Tabla4[[#This Row],[Utilidad Total]]*6%,Tabla4[[#This Row],[Utilidad Total]]*11.5%))/Tabla4[[#This Row],[Total]]</f>
        <v>#N/A</v>
      </c>
      <c r="V4299" s="282" t="e">
        <f>+Tabla4[[#This Row],[Comisión Calculada]]*Tabla4[[#This Row],[Total]]</f>
        <v>#N/A</v>
      </c>
    </row>
    <row r="4300" spans="1:22" hidden="1" x14ac:dyDescent="0.25">
      <c r="A4300" s="100">
        <v>45853</v>
      </c>
      <c r="B4300" t="str">
        <f t="shared" si="215"/>
        <v>July</v>
      </c>
      <c r="C4300" s="46" t="s">
        <v>280</v>
      </c>
      <c r="F4300" s="366" t="s">
        <v>2328</v>
      </c>
      <c r="G4300" s="46" t="s">
        <v>545</v>
      </c>
      <c r="H4300" s="46">
        <v>24</v>
      </c>
      <c r="I4300" s="51">
        <v>304.32</v>
      </c>
      <c r="J4300" s="281">
        <f>++Tabla4[[#This Row],[Precio Bruto]]*1.16</f>
        <v>353.01119999999997</v>
      </c>
      <c r="K4300" s="281">
        <f>+Tabla4[[#This Row],[Precio Unitario Neto]]*Tabla4[[#Headers],[20.85%]]</f>
        <v>73.602835199999987</v>
      </c>
      <c r="L4300" s="282">
        <f>++Tabla4[[#This Row],[Precio Unitario Neto]]-Tabla4[[#This Row],[20.85%]]</f>
        <v>279.40836479999996</v>
      </c>
      <c r="M4300" s="282" t="e">
        <f>(INDEX(Tabla6[#All],MATCH(Tabla4[[#This Row],[Producto]],Tabla6[[#All],[PRODUCTO]],0),MATCH(Tabla4[[#This Row],[Mes]],Tabla6[#Headers],0)))*(1+Catalogos!$L$2)</f>
        <v>#N/A</v>
      </c>
      <c r="N4300" s="283" t="e">
        <f>+(Tabla4[[#This Row],[Precio Descontado]]-Tabla4[[#This Row],[Precio Base]])*Tabla4[[#This Row],[Cantidad]]</f>
        <v>#N/A</v>
      </c>
      <c r="O4300" s="284" t="e">
        <f>++Tabla4[[#This Row],[Utilidad Total]]/Tabla4[[#This Row],[Total]]</f>
        <v>#N/A</v>
      </c>
      <c r="P4300" s="282">
        <f>++Tabla4[[#This Row],[Precio Descontado]]*Tabla4[[#This Row],[Cantidad]]</f>
        <v>6705.800755199999</v>
      </c>
      <c r="Q4300" s="282" t="e">
        <f>(INDEX(Tabla6[#All],MATCH(Tabla4[[#This Row],[Producto]],Tabla6[[#All],[PRODUCTO]],0),MATCH(Tabla4[[#This Row],[Mes]],Tabla6[#Headers],0)))</f>
        <v>#N/A</v>
      </c>
      <c r="R4300" s="282" t="e">
        <f>++Tabla4[[#This Row],[Precio Unitario Neto]]-Tabla4[[#This Row],[20.85%]]-Tabla4[[#This Row],[Costo]]</f>
        <v>#N/A</v>
      </c>
      <c r="S4300" s="282" t="e">
        <f>++Tabla4[[#This Row],[U. Bruta Uni]]*Tabla4[[#This Row],[Cantidad]]</f>
        <v>#N/A</v>
      </c>
      <c r="T4300" s="369" t="str">
        <f>VLOOKUP(Tabla4[[#This Row],[Producto]],Tabla6[#All],14,FALSE)</f>
        <v>Termico Solar</v>
      </c>
      <c r="U4300" s="284" t="e">
        <f>(IF(Tabla4[[#This Row],[Familia]]="termico solar",Tabla4[[#This Row],[Utilidad Total]]*6%,Tabla4[[#This Row],[Utilidad Total]]*11.5%))/Tabla4[[#This Row],[Total]]</f>
        <v>#N/A</v>
      </c>
      <c r="V4300" s="282" t="e">
        <f>+Tabla4[[#This Row],[Comisión Calculada]]*Tabla4[[#This Row],[Total]]</f>
        <v>#N/A</v>
      </c>
    </row>
    <row r="4301" spans="1:22" hidden="1" x14ac:dyDescent="0.25">
      <c r="A4301" s="100">
        <v>45853</v>
      </c>
      <c r="B4301" t="str">
        <f t="shared" si="215"/>
        <v>July</v>
      </c>
      <c r="C4301" s="46" t="s">
        <v>280</v>
      </c>
      <c r="F4301" s="366" t="s">
        <v>2328</v>
      </c>
      <c r="G4301" s="46" t="s">
        <v>209</v>
      </c>
      <c r="H4301" s="46">
        <v>2</v>
      </c>
      <c r="I4301" s="51">
        <v>347.48</v>
      </c>
      <c r="J4301" s="281">
        <f>++Tabla4[[#This Row],[Precio Bruto]]*1.16</f>
        <v>403.07679999999999</v>
      </c>
      <c r="K4301" s="281">
        <f>+Tabla4[[#This Row],[Precio Unitario Neto]]*Tabla4[[#Headers],[20.85%]]</f>
        <v>84.041512799999992</v>
      </c>
      <c r="L4301" s="282">
        <f>++Tabla4[[#This Row],[Precio Unitario Neto]]-Tabla4[[#This Row],[20.85%]]</f>
        <v>319.03528719999997</v>
      </c>
      <c r="M4301" s="282" t="e">
        <f>(INDEX(Tabla6[#All],MATCH(Tabla4[[#This Row],[Producto]],Tabla6[[#All],[PRODUCTO]],0),MATCH(Tabla4[[#This Row],[Mes]],Tabla6[#Headers],0)))*(1+Catalogos!$L$2)</f>
        <v>#N/A</v>
      </c>
      <c r="N4301" s="283" t="e">
        <f>+(Tabla4[[#This Row],[Precio Descontado]]-Tabla4[[#This Row],[Precio Base]])*Tabla4[[#This Row],[Cantidad]]</f>
        <v>#N/A</v>
      </c>
      <c r="O4301" s="284" t="e">
        <f>++Tabla4[[#This Row],[Utilidad Total]]/Tabla4[[#This Row],[Total]]</f>
        <v>#N/A</v>
      </c>
      <c r="P4301" s="282">
        <f>++Tabla4[[#This Row],[Precio Descontado]]*Tabla4[[#This Row],[Cantidad]]</f>
        <v>638.07057439999994</v>
      </c>
      <c r="Q4301" s="282" t="e">
        <f>(INDEX(Tabla6[#All],MATCH(Tabla4[[#This Row],[Producto]],Tabla6[[#All],[PRODUCTO]],0),MATCH(Tabla4[[#This Row],[Mes]],Tabla6[#Headers],0)))</f>
        <v>#N/A</v>
      </c>
      <c r="R4301" s="282" t="e">
        <f>++Tabla4[[#This Row],[Precio Unitario Neto]]-Tabla4[[#This Row],[20.85%]]-Tabla4[[#This Row],[Costo]]</f>
        <v>#N/A</v>
      </c>
      <c r="S4301" s="282" t="e">
        <f>++Tabla4[[#This Row],[U. Bruta Uni]]*Tabla4[[#This Row],[Cantidad]]</f>
        <v>#N/A</v>
      </c>
      <c r="T4301" s="369" t="str">
        <f>VLOOKUP(Tabla4[[#This Row],[Producto]],Tabla6[#All],14,FALSE)</f>
        <v>Termico Solar</v>
      </c>
      <c r="U4301" s="284" t="e">
        <f>(IF(Tabla4[[#This Row],[Familia]]="termico solar",Tabla4[[#This Row],[Utilidad Total]]*6%,Tabla4[[#This Row],[Utilidad Total]]*11.5%))/Tabla4[[#This Row],[Total]]</f>
        <v>#N/A</v>
      </c>
      <c r="V4301" s="282" t="e">
        <f>+Tabla4[[#This Row],[Comisión Calculada]]*Tabla4[[#This Row],[Total]]</f>
        <v>#N/A</v>
      </c>
    </row>
    <row r="4302" spans="1:22" hidden="1" x14ac:dyDescent="0.25">
      <c r="A4302" s="100">
        <v>45853</v>
      </c>
      <c r="B4302" t="str">
        <f t="shared" ref="B4302:B4341" si="216">TEXT(A4302, "mmmm")</f>
        <v>July</v>
      </c>
      <c r="C4302" s="46" t="s">
        <v>280</v>
      </c>
      <c r="F4302" s="366" t="s">
        <v>2329</v>
      </c>
      <c r="G4302" s="46" t="s">
        <v>83</v>
      </c>
      <c r="H4302" s="46">
        <v>7</v>
      </c>
      <c r="I4302" s="51">
        <v>8858.76</v>
      </c>
      <c r="J4302" s="281">
        <f>++Tabla4[[#This Row],[Precio Bruto]]*1.16</f>
        <v>10276.161599999999</v>
      </c>
      <c r="K4302" s="281">
        <f>+Tabla4[[#This Row],[Precio Unitario Neto]]*Tabla4[[#Headers],[20.85%]]</f>
        <v>2142.5796935999997</v>
      </c>
      <c r="L4302" s="282">
        <f>++Tabla4[[#This Row],[Precio Unitario Neto]]-Tabla4[[#This Row],[20.85%]]</f>
        <v>8133.5819063999998</v>
      </c>
      <c r="M4302" s="282" t="e">
        <f>(INDEX(Tabla6[#All],MATCH(Tabla4[[#This Row],[Producto]],Tabla6[[#All],[PRODUCTO]],0),MATCH(Tabla4[[#This Row],[Mes]],Tabla6[#Headers],0)))*(1+Catalogos!$L$2)</f>
        <v>#N/A</v>
      </c>
      <c r="N4302" s="283" t="e">
        <f>+(Tabla4[[#This Row],[Precio Descontado]]-Tabla4[[#This Row],[Precio Base]])*Tabla4[[#This Row],[Cantidad]]</f>
        <v>#N/A</v>
      </c>
      <c r="O4302" s="284" t="e">
        <f>++Tabla4[[#This Row],[Utilidad Total]]/Tabla4[[#This Row],[Total]]</f>
        <v>#N/A</v>
      </c>
      <c r="P4302" s="282">
        <f>++Tabla4[[#This Row],[Precio Descontado]]*Tabla4[[#This Row],[Cantidad]]</f>
        <v>56935.073344799996</v>
      </c>
      <c r="Q4302" s="282" t="e">
        <f>(INDEX(Tabla6[#All],MATCH(Tabla4[[#This Row],[Producto]],Tabla6[[#All],[PRODUCTO]],0),MATCH(Tabla4[[#This Row],[Mes]],Tabla6[#Headers],0)))</f>
        <v>#N/A</v>
      </c>
      <c r="R4302" s="282" t="e">
        <f>++Tabla4[[#This Row],[Precio Unitario Neto]]-Tabla4[[#This Row],[20.85%]]-Tabla4[[#This Row],[Costo]]</f>
        <v>#N/A</v>
      </c>
      <c r="S4302" s="282" t="e">
        <f>++Tabla4[[#This Row],[U. Bruta Uni]]*Tabla4[[#This Row],[Cantidad]]</f>
        <v>#N/A</v>
      </c>
      <c r="T4302" s="369" t="str">
        <f>VLOOKUP(Tabla4[[#This Row],[Producto]],Tabla6[#All],14,FALSE)</f>
        <v>Termico Solar</v>
      </c>
      <c r="U4302" s="284" t="e">
        <f>(IF(Tabla4[[#This Row],[Familia]]="termico solar",Tabla4[[#This Row],[Utilidad Total]]*6%,Tabla4[[#This Row],[Utilidad Total]]*11.5%))/Tabla4[[#This Row],[Total]]</f>
        <v>#N/A</v>
      </c>
      <c r="V4302" s="282" t="e">
        <f>+Tabla4[[#This Row],[Comisión Calculada]]*Tabla4[[#This Row],[Total]]</f>
        <v>#N/A</v>
      </c>
    </row>
    <row r="4303" spans="1:22" hidden="1" x14ac:dyDescent="0.25">
      <c r="A4303" s="100">
        <v>45853</v>
      </c>
      <c r="B4303" t="str">
        <f t="shared" si="216"/>
        <v>July</v>
      </c>
      <c r="C4303" s="46" t="s">
        <v>280</v>
      </c>
      <c r="F4303" s="366" t="s">
        <v>2329</v>
      </c>
      <c r="G4303" s="46" t="s">
        <v>19</v>
      </c>
      <c r="H4303" s="46">
        <v>1</v>
      </c>
      <c r="I4303" s="51">
        <v>6412.03</v>
      </c>
      <c r="J4303" s="281">
        <f>++Tabla4[[#This Row],[Precio Bruto]]*1.16</f>
        <v>7437.9547999999995</v>
      </c>
      <c r="K4303" s="281">
        <f>+Tabla4[[#This Row],[Precio Unitario Neto]]*Tabla4[[#Headers],[20.85%]]</f>
        <v>1550.8135757999999</v>
      </c>
      <c r="L4303" s="282">
        <f>++Tabla4[[#This Row],[Precio Unitario Neto]]-Tabla4[[#This Row],[20.85%]]</f>
        <v>5887.1412241999997</v>
      </c>
      <c r="M4303" s="282" t="e">
        <f>(INDEX(Tabla6[#All],MATCH(Tabla4[[#This Row],[Producto]],Tabla6[[#All],[PRODUCTO]],0),MATCH(Tabla4[[#This Row],[Mes]],Tabla6[#Headers],0)))*(1+Catalogos!$L$2)</f>
        <v>#N/A</v>
      </c>
      <c r="N4303" s="283" t="e">
        <f>+(Tabla4[[#This Row],[Precio Descontado]]-Tabla4[[#This Row],[Precio Base]])*Tabla4[[#This Row],[Cantidad]]</f>
        <v>#N/A</v>
      </c>
      <c r="O4303" s="284" t="e">
        <f>++Tabla4[[#This Row],[Utilidad Total]]/Tabla4[[#This Row],[Total]]</f>
        <v>#N/A</v>
      </c>
      <c r="P4303" s="282">
        <f>++Tabla4[[#This Row],[Precio Descontado]]*Tabla4[[#This Row],[Cantidad]]</f>
        <v>5887.1412241999997</v>
      </c>
      <c r="Q4303" s="282" t="e">
        <f>(INDEX(Tabla6[#All],MATCH(Tabla4[[#This Row],[Producto]],Tabla6[[#All],[PRODUCTO]],0),MATCH(Tabla4[[#This Row],[Mes]],Tabla6[#Headers],0)))</f>
        <v>#N/A</v>
      </c>
      <c r="R4303" s="282" t="e">
        <f>++Tabla4[[#This Row],[Precio Unitario Neto]]-Tabla4[[#This Row],[20.85%]]-Tabla4[[#This Row],[Costo]]</f>
        <v>#N/A</v>
      </c>
      <c r="S4303" s="282" t="e">
        <f>++Tabla4[[#This Row],[U. Bruta Uni]]*Tabla4[[#This Row],[Cantidad]]</f>
        <v>#N/A</v>
      </c>
      <c r="T4303" s="369" t="str">
        <f>VLOOKUP(Tabla4[[#This Row],[Producto]],Tabla6[#All],14,FALSE)</f>
        <v>Termico Solar</v>
      </c>
      <c r="U4303" s="284" t="e">
        <f>(IF(Tabla4[[#This Row],[Familia]]="termico solar",Tabla4[[#This Row],[Utilidad Total]]*6%,Tabla4[[#This Row],[Utilidad Total]]*11.5%))/Tabla4[[#This Row],[Total]]</f>
        <v>#N/A</v>
      </c>
      <c r="V4303" s="282" t="e">
        <f>+Tabla4[[#This Row],[Comisión Calculada]]*Tabla4[[#This Row],[Total]]</f>
        <v>#N/A</v>
      </c>
    </row>
    <row r="4304" spans="1:22" hidden="1" x14ac:dyDescent="0.25">
      <c r="A4304" s="100">
        <v>45853</v>
      </c>
      <c r="B4304" t="str">
        <f t="shared" si="216"/>
        <v>July</v>
      </c>
      <c r="C4304" s="46" t="s">
        <v>280</v>
      </c>
      <c r="F4304" s="366" t="s">
        <v>2329</v>
      </c>
      <c r="G4304" s="46" t="s">
        <v>16</v>
      </c>
      <c r="H4304" s="46">
        <v>1</v>
      </c>
      <c r="I4304" s="51">
        <v>4103.8500000000004</v>
      </c>
      <c r="J4304" s="281">
        <f>++Tabla4[[#This Row],[Precio Bruto]]*1.16</f>
        <v>4760.4660000000003</v>
      </c>
      <c r="K4304" s="281">
        <f>+Tabla4[[#This Row],[Precio Unitario Neto]]*Tabla4[[#Headers],[20.85%]]</f>
        <v>992.55716100000006</v>
      </c>
      <c r="L4304" s="282">
        <f>++Tabla4[[#This Row],[Precio Unitario Neto]]-Tabla4[[#This Row],[20.85%]]</f>
        <v>3767.9088390000002</v>
      </c>
      <c r="M4304" s="282" t="e">
        <f>(INDEX(Tabla6[#All],MATCH(Tabla4[[#This Row],[Producto]],Tabla6[[#All],[PRODUCTO]],0),MATCH(Tabla4[[#This Row],[Mes]],Tabla6[#Headers],0)))*(1+Catalogos!$L$2)</f>
        <v>#N/A</v>
      </c>
      <c r="N4304" s="283" t="e">
        <f>+(Tabla4[[#This Row],[Precio Descontado]]-Tabla4[[#This Row],[Precio Base]])*Tabla4[[#This Row],[Cantidad]]</f>
        <v>#N/A</v>
      </c>
      <c r="O4304" s="284" t="e">
        <f>++Tabla4[[#This Row],[Utilidad Total]]/Tabla4[[#This Row],[Total]]</f>
        <v>#N/A</v>
      </c>
      <c r="P4304" s="282">
        <f>++Tabla4[[#This Row],[Precio Descontado]]*Tabla4[[#This Row],[Cantidad]]</f>
        <v>3767.9088390000002</v>
      </c>
      <c r="Q4304" s="282" t="e">
        <f>(INDEX(Tabla6[#All],MATCH(Tabla4[[#This Row],[Producto]],Tabla6[[#All],[PRODUCTO]],0),MATCH(Tabla4[[#This Row],[Mes]],Tabla6[#Headers],0)))</f>
        <v>#N/A</v>
      </c>
      <c r="R4304" s="282" t="e">
        <f>++Tabla4[[#This Row],[Precio Unitario Neto]]-Tabla4[[#This Row],[20.85%]]-Tabla4[[#This Row],[Costo]]</f>
        <v>#N/A</v>
      </c>
      <c r="S4304" s="282" t="e">
        <f>++Tabla4[[#This Row],[U. Bruta Uni]]*Tabla4[[#This Row],[Cantidad]]</f>
        <v>#N/A</v>
      </c>
      <c r="T4304" s="369" t="str">
        <f>VLOOKUP(Tabla4[[#This Row],[Producto]],Tabla6[#All],14,FALSE)</f>
        <v>Termico Solar</v>
      </c>
      <c r="U4304" s="284" t="e">
        <f>(IF(Tabla4[[#This Row],[Familia]]="termico solar",Tabla4[[#This Row],[Utilidad Total]]*6%,Tabla4[[#This Row],[Utilidad Total]]*11.5%))/Tabla4[[#This Row],[Total]]</f>
        <v>#N/A</v>
      </c>
      <c r="V4304" s="282" t="e">
        <f>+Tabla4[[#This Row],[Comisión Calculada]]*Tabla4[[#This Row],[Total]]</f>
        <v>#N/A</v>
      </c>
    </row>
    <row r="4305" spans="1:22" hidden="1" x14ac:dyDescent="0.25">
      <c r="A4305" s="100">
        <v>45853</v>
      </c>
      <c r="B4305" t="str">
        <f t="shared" si="216"/>
        <v>July</v>
      </c>
      <c r="C4305" s="46" t="s">
        <v>280</v>
      </c>
      <c r="F4305" s="366" t="s">
        <v>2330</v>
      </c>
      <c r="G4305" s="46" t="s">
        <v>83</v>
      </c>
      <c r="H4305" s="46">
        <v>2</v>
      </c>
      <c r="I4305" s="51">
        <v>8858.76</v>
      </c>
      <c r="J4305" s="281">
        <f>++Tabla4[[#This Row],[Precio Bruto]]*1.16</f>
        <v>10276.161599999999</v>
      </c>
      <c r="K4305" s="281">
        <f>+Tabla4[[#This Row],[Precio Unitario Neto]]*Tabla4[[#Headers],[20.85%]]</f>
        <v>2142.5796935999997</v>
      </c>
      <c r="L4305" s="282">
        <f>++Tabla4[[#This Row],[Precio Unitario Neto]]-Tabla4[[#This Row],[20.85%]]</f>
        <v>8133.5819063999998</v>
      </c>
      <c r="M4305" s="282" t="e">
        <f>(INDEX(Tabla6[#All],MATCH(Tabla4[[#This Row],[Producto]],Tabla6[[#All],[PRODUCTO]],0),MATCH(Tabla4[[#This Row],[Mes]],Tabla6[#Headers],0)))*(1+Catalogos!$L$2)</f>
        <v>#N/A</v>
      </c>
      <c r="N4305" s="283" t="e">
        <f>+(Tabla4[[#This Row],[Precio Descontado]]-Tabla4[[#This Row],[Precio Base]])*Tabla4[[#This Row],[Cantidad]]</f>
        <v>#N/A</v>
      </c>
      <c r="O4305" s="284" t="e">
        <f>++Tabla4[[#This Row],[Utilidad Total]]/Tabla4[[#This Row],[Total]]</f>
        <v>#N/A</v>
      </c>
      <c r="P4305" s="282">
        <f>++Tabla4[[#This Row],[Precio Descontado]]*Tabla4[[#This Row],[Cantidad]]</f>
        <v>16267.1638128</v>
      </c>
      <c r="Q4305" s="282" t="e">
        <f>(INDEX(Tabla6[#All],MATCH(Tabla4[[#This Row],[Producto]],Tabla6[[#All],[PRODUCTO]],0),MATCH(Tabla4[[#This Row],[Mes]],Tabla6[#Headers],0)))</f>
        <v>#N/A</v>
      </c>
      <c r="R4305" s="282" t="e">
        <f>++Tabla4[[#This Row],[Precio Unitario Neto]]-Tabla4[[#This Row],[20.85%]]-Tabla4[[#This Row],[Costo]]</f>
        <v>#N/A</v>
      </c>
      <c r="S4305" s="282" t="e">
        <f>++Tabla4[[#This Row],[U. Bruta Uni]]*Tabla4[[#This Row],[Cantidad]]</f>
        <v>#N/A</v>
      </c>
      <c r="T4305" s="369" t="str">
        <f>VLOOKUP(Tabla4[[#This Row],[Producto]],Tabla6[#All],14,FALSE)</f>
        <v>Termico Solar</v>
      </c>
      <c r="U4305" s="284" t="e">
        <f>(IF(Tabla4[[#This Row],[Familia]]="termico solar",Tabla4[[#This Row],[Utilidad Total]]*6%,Tabla4[[#This Row],[Utilidad Total]]*11.5%))/Tabla4[[#This Row],[Total]]</f>
        <v>#N/A</v>
      </c>
      <c r="V4305" s="282" t="e">
        <f>+Tabla4[[#This Row],[Comisión Calculada]]*Tabla4[[#This Row],[Total]]</f>
        <v>#N/A</v>
      </c>
    </row>
    <row r="4306" spans="1:22" hidden="1" x14ac:dyDescent="0.25">
      <c r="A4306" s="100">
        <v>45853</v>
      </c>
      <c r="B4306" t="str">
        <f t="shared" si="216"/>
        <v>July</v>
      </c>
      <c r="C4306" s="46" t="s">
        <v>280</v>
      </c>
      <c r="F4306" s="366" t="s">
        <v>2330</v>
      </c>
      <c r="G4306" s="46" t="s">
        <v>17</v>
      </c>
      <c r="H4306" s="46">
        <v>1</v>
      </c>
      <c r="I4306" s="51">
        <v>4622.28</v>
      </c>
      <c r="J4306" s="281">
        <f>++Tabla4[[#This Row],[Precio Bruto]]*1.16</f>
        <v>5361.8447999999989</v>
      </c>
      <c r="K4306" s="281">
        <f>+Tabla4[[#This Row],[Precio Unitario Neto]]*Tabla4[[#Headers],[20.85%]]</f>
        <v>1117.9446407999997</v>
      </c>
      <c r="L4306" s="282">
        <f>++Tabla4[[#This Row],[Precio Unitario Neto]]-Tabla4[[#This Row],[20.85%]]</f>
        <v>4243.9001591999995</v>
      </c>
      <c r="M4306" s="282" t="e">
        <f>(INDEX(Tabla6[#All],MATCH(Tabla4[[#This Row],[Producto]],Tabla6[[#All],[PRODUCTO]],0),MATCH(Tabla4[[#This Row],[Mes]],Tabla6[#Headers],0)))*(1+Catalogos!$L$2)</f>
        <v>#N/A</v>
      </c>
      <c r="N4306" s="283" t="e">
        <f>+(Tabla4[[#This Row],[Precio Descontado]]-Tabla4[[#This Row],[Precio Base]])*Tabla4[[#This Row],[Cantidad]]</f>
        <v>#N/A</v>
      </c>
      <c r="O4306" s="284" t="e">
        <f>++Tabla4[[#This Row],[Utilidad Total]]/Tabla4[[#This Row],[Total]]</f>
        <v>#N/A</v>
      </c>
      <c r="P4306" s="282">
        <f>++Tabla4[[#This Row],[Precio Descontado]]*Tabla4[[#This Row],[Cantidad]]</f>
        <v>4243.9001591999995</v>
      </c>
      <c r="Q4306" s="282" t="e">
        <f>(INDEX(Tabla6[#All],MATCH(Tabla4[[#This Row],[Producto]],Tabla6[[#All],[PRODUCTO]],0),MATCH(Tabla4[[#This Row],[Mes]],Tabla6[#Headers],0)))</f>
        <v>#N/A</v>
      </c>
      <c r="R4306" s="282" t="e">
        <f>++Tabla4[[#This Row],[Precio Unitario Neto]]-Tabla4[[#This Row],[20.85%]]-Tabla4[[#This Row],[Costo]]</f>
        <v>#N/A</v>
      </c>
      <c r="S4306" s="282" t="e">
        <f>++Tabla4[[#This Row],[U. Bruta Uni]]*Tabla4[[#This Row],[Cantidad]]</f>
        <v>#N/A</v>
      </c>
      <c r="T4306" s="369" t="str">
        <f>VLOOKUP(Tabla4[[#This Row],[Producto]],Tabla6[#All],14,FALSE)</f>
        <v>Termico Solar</v>
      </c>
      <c r="U4306" s="284" t="e">
        <f>(IF(Tabla4[[#This Row],[Familia]]="termico solar",Tabla4[[#This Row],[Utilidad Total]]*6%,Tabla4[[#This Row],[Utilidad Total]]*11.5%))/Tabla4[[#This Row],[Total]]</f>
        <v>#N/A</v>
      </c>
      <c r="V4306" s="282" t="e">
        <f>+Tabla4[[#This Row],[Comisión Calculada]]*Tabla4[[#This Row],[Total]]</f>
        <v>#N/A</v>
      </c>
    </row>
    <row r="4307" spans="1:22" hidden="1" x14ac:dyDescent="0.25">
      <c r="A4307" s="100">
        <v>45853</v>
      </c>
      <c r="B4307" t="str">
        <f t="shared" si="216"/>
        <v>July</v>
      </c>
      <c r="C4307" s="46" t="s">
        <v>280</v>
      </c>
      <c r="F4307" s="366" t="s">
        <v>2330</v>
      </c>
      <c r="G4307" s="46" t="s">
        <v>18</v>
      </c>
      <c r="H4307" s="46">
        <v>2</v>
      </c>
      <c r="I4307" s="51">
        <v>5367.65</v>
      </c>
      <c r="J4307" s="281">
        <f>++Tabla4[[#This Row],[Precio Bruto]]*1.16</f>
        <v>6226.4739999999993</v>
      </c>
      <c r="K4307" s="281">
        <f>+Tabla4[[#This Row],[Precio Unitario Neto]]*Tabla4[[#Headers],[20.85%]]</f>
        <v>1298.2198289999999</v>
      </c>
      <c r="L4307" s="282">
        <f>++Tabla4[[#This Row],[Precio Unitario Neto]]-Tabla4[[#This Row],[20.85%]]</f>
        <v>4928.2541709999996</v>
      </c>
      <c r="M4307" s="282" t="e">
        <f>(INDEX(Tabla6[#All],MATCH(Tabla4[[#This Row],[Producto]],Tabla6[[#All],[PRODUCTO]],0),MATCH(Tabla4[[#This Row],[Mes]],Tabla6[#Headers],0)))*(1+Catalogos!$L$2)</f>
        <v>#N/A</v>
      </c>
      <c r="N4307" s="283" t="e">
        <f>+(Tabla4[[#This Row],[Precio Descontado]]-Tabla4[[#This Row],[Precio Base]])*Tabla4[[#This Row],[Cantidad]]</f>
        <v>#N/A</v>
      </c>
      <c r="O4307" s="284" t="e">
        <f>++Tabla4[[#This Row],[Utilidad Total]]/Tabla4[[#This Row],[Total]]</f>
        <v>#N/A</v>
      </c>
      <c r="P4307" s="282">
        <f>++Tabla4[[#This Row],[Precio Descontado]]*Tabla4[[#This Row],[Cantidad]]</f>
        <v>9856.5083419999992</v>
      </c>
      <c r="Q4307" s="282" t="e">
        <f>(INDEX(Tabla6[#All],MATCH(Tabla4[[#This Row],[Producto]],Tabla6[[#All],[PRODUCTO]],0),MATCH(Tabla4[[#This Row],[Mes]],Tabla6[#Headers],0)))</f>
        <v>#N/A</v>
      </c>
      <c r="R4307" s="282" t="e">
        <f>++Tabla4[[#This Row],[Precio Unitario Neto]]-Tabla4[[#This Row],[20.85%]]-Tabla4[[#This Row],[Costo]]</f>
        <v>#N/A</v>
      </c>
      <c r="S4307" s="282" t="e">
        <f>++Tabla4[[#This Row],[U. Bruta Uni]]*Tabla4[[#This Row],[Cantidad]]</f>
        <v>#N/A</v>
      </c>
      <c r="T4307" s="369" t="str">
        <f>VLOOKUP(Tabla4[[#This Row],[Producto]],Tabla6[#All],14,FALSE)</f>
        <v>Termico Solar</v>
      </c>
      <c r="U4307" s="284" t="e">
        <f>(IF(Tabla4[[#This Row],[Familia]]="termico solar",Tabla4[[#This Row],[Utilidad Total]]*6%,Tabla4[[#This Row],[Utilidad Total]]*11.5%))/Tabla4[[#This Row],[Total]]</f>
        <v>#N/A</v>
      </c>
      <c r="V4307" s="282" t="e">
        <f>+Tabla4[[#This Row],[Comisión Calculada]]*Tabla4[[#This Row],[Total]]</f>
        <v>#N/A</v>
      </c>
    </row>
    <row r="4308" spans="1:22" hidden="1" x14ac:dyDescent="0.25">
      <c r="A4308" s="100">
        <v>45853</v>
      </c>
      <c r="B4308" t="str">
        <f t="shared" si="216"/>
        <v>July</v>
      </c>
      <c r="C4308" s="46" t="s">
        <v>280</v>
      </c>
      <c r="F4308" s="366" t="s">
        <v>2330</v>
      </c>
      <c r="G4308" s="46" t="s">
        <v>209</v>
      </c>
      <c r="H4308" s="46">
        <v>1</v>
      </c>
      <c r="I4308" s="51">
        <v>347.48</v>
      </c>
      <c r="J4308" s="281">
        <f>++Tabla4[[#This Row],[Precio Bruto]]*1.16</f>
        <v>403.07679999999999</v>
      </c>
      <c r="K4308" s="281">
        <f>+Tabla4[[#This Row],[Precio Unitario Neto]]*Tabla4[[#Headers],[20.85%]]</f>
        <v>84.041512799999992</v>
      </c>
      <c r="L4308" s="282">
        <f>++Tabla4[[#This Row],[Precio Unitario Neto]]-Tabla4[[#This Row],[20.85%]]</f>
        <v>319.03528719999997</v>
      </c>
      <c r="M4308" s="282" t="e">
        <f>(INDEX(Tabla6[#All],MATCH(Tabla4[[#This Row],[Producto]],Tabla6[[#All],[PRODUCTO]],0),MATCH(Tabla4[[#This Row],[Mes]],Tabla6[#Headers],0)))*(1+Catalogos!$L$2)</f>
        <v>#N/A</v>
      </c>
      <c r="N4308" s="283" t="e">
        <f>+(Tabla4[[#This Row],[Precio Descontado]]-Tabla4[[#This Row],[Precio Base]])*Tabla4[[#This Row],[Cantidad]]</f>
        <v>#N/A</v>
      </c>
      <c r="O4308" s="284" t="e">
        <f>++Tabla4[[#This Row],[Utilidad Total]]/Tabla4[[#This Row],[Total]]</f>
        <v>#N/A</v>
      </c>
      <c r="P4308" s="282">
        <f>++Tabla4[[#This Row],[Precio Descontado]]*Tabla4[[#This Row],[Cantidad]]</f>
        <v>319.03528719999997</v>
      </c>
      <c r="Q4308" s="282" t="e">
        <f>(INDEX(Tabla6[#All],MATCH(Tabla4[[#This Row],[Producto]],Tabla6[[#All],[PRODUCTO]],0),MATCH(Tabla4[[#This Row],[Mes]],Tabla6[#Headers],0)))</f>
        <v>#N/A</v>
      </c>
      <c r="R4308" s="282" t="e">
        <f>++Tabla4[[#This Row],[Precio Unitario Neto]]-Tabla4[[#This Row],[20.85%]]-Tabla4[[#This Row],[Costo]]</f>
        <v>#N/A</v>
      </c>
      <c r="S4308" s="282" t="e">
        <f>++Tabla4[[#This Row],[U. Bruta Uni]]*Tabla4[[#This Row],[Cantidad]]</f>
        <v>#N/A</v>
      </c>
      <c r="T4308" s="369" t="str">
        <f>VLOOKUP(Tabla4[[#This Row],[Producto]],Tabla6[#All],14,FALSE)</f>
        <v>Termico Solar</v>
      </c>
      <c r="U4308" s="284" t="e">
        <f>(IF(Tabla4[[#This Row],[Familia]]="termico solar",Tabla4[[#This Row],[Utilidad Total]]*6%,Tabla4[[#This Row],[Utilidad Total]]*11.5%))/Tabla4[[#This Row],[Total]]</f>
        <v>#N/A</v>
      </c>
      <c r="V4308" s="282" t="e">
        <f>+Tabla4[[#This Row],[Comisión Calculada]]*Tabla4[[#This Row],[Total]]</f>
        <v>#N/A</v>
      </c>
    </row>
    <row r="4309" spans="1:22" hidden="1" x14ac:dyDescent="0.25">
      <c r="A4309" s="100">
        <v>45853</v>
      </c>
      <c r="B4309" t="str">
        <f t="shared" si="216"/>
        <v>July</v>
      </c>
      <c r="C4309" s="46" t="s">
        <v>280</v>
      </c>
      <c r="F4309" s="366" t="s">
        <v>2331</v>
      </c>
      <c r="G4309" s="46" t="s">
        <v>83</v>
      </c>
      <c r="H4309" s="46">
        <v>2</v>
      </c>
      <c r="I4309" s="51">
        <v>8858.76</v>
      </c>
      <c r="J4309" s="281">
        <f>++Tabla4[[#This Row],[Precio Bruto]]*1.16</f>
        <v>10276.161599999999</v>
      </c>
      <c r="K4309" s="281">
        <f>+Tabla4[[#This Row],[Precio Unitario Neto]]*Tabla4[[#Headers],[20.85%]]</f>
        <v>2142.5796935999997</v>
      </c>
      <c r="L4309" s="282">
        <f>++Tabla4[[#This Row],[Precio Unitario Neto]]-Tabla4[[#This Row],[20.85%]]</f>
        <v>8133.5819063999998</v>
      </c>
      <c r="M4309" s="282" t="e">
        <f>(INDEX(Tabla6[#All],MATCH(Tabla4[[#This Row],[Producto]],Tabla6[[#All],[PRODUCTO]],0),MATCH(Tabla4[[#This Row],[Mes]],Tabla6[#Headers],0)))*(1+Catalogos!$L$2)</f>
        <v>#N/A</v>
      </c>
      <c r="N4309" s="283" t="e">
        <f>+(Tabla4[[#This Row],[Precio Descontado]]-Tabla4[[#This Row],[Precio Base]])*Tabla4[[#This Row],[Cantidad]]</f>
        <v>#N/A</v>
      </c>
      <c r="O4309" s="284" t="e">
        <f>++Tabla4[[#This Row],[Utilidad Total]]/Tabla4[[#This Row],[Total]]</f>
        <v>#N/A</v>
      </c>
      <c r="P4309" s="282">
        <f>++Tabla4[[#This Row],[Precio Descontado]]*Tabla4[[#This Row],[Cantidad]]</f>
        <v>16267.1638128</v>
      </c>
      <c r="Q4309" s="282" t="e">
        <f>(INDEX(Tabla6[#All],MATCH(Tabla4[[#This Row],[Producto]],Tabla6[[#All],[PRODUCTO]],0),MATCH(Tabla4[[#This Row],[Mes]],Tabla6[#Headers],0)))</f>
        <v>#N/A</v>
      </c>
      <c r="R4309" s="282" t="e">
        <f>++Tabla4[[#This Row],[Precio Unitario Neto]]-Tabla4[[#This Row],[20.85%]]-Tabla4[[#This Row],[Costo]]</f>
        <v>#N/A</v>
      </c>
      <c r="S4309" s="282" t="e">
        <f>++Tabla4[[#This Row],[U. Bruta Uni]]*Tabla4[[#This Row],[Cantidad]]</f>
        <v>#N/A</v>
      </c>
      <c r="T4309" s="369" t="str">
        <f>VLOOKUP(Tabla4[[#This Row],[Producto]],Tabla6[#All],14,FALSE)</f>
        <v>Termico Solar</v>
      </c>
      <c r="U4309" s="284" t="e">
        <f>(IF(Tabla4[[#This Row],[Familia]]="termico solar",Tabla4[[#This Row],[Utilidad Total]]*6%,Tabla4[[#This Row],[Utilidad Total]]*11.5%))/Tabla4[[#This Row],[Total]]</f>
        <v>#N/A</v>
      </c>
      <c r="V4309" s="282" t="e">
        <f>+Tabla4[[#This Row],[Comisión Calculada]]*Tabla4[[#This Row],[Total]]</f>
        <v>#N/A</v>
      </c>
    </row>
    <row r="4310" spans="1:22" hidden="1" x14ac:dyDescent="0.25">
      <c r="A4310" s="100">
        <v>45853</v>
      </c>
      <c r="B4310" t="str">
        <f t="shared" si="216"/>
        <v>July</v>
      </c>
      <c r="C4310" s="46" t="s">
        <v>280</v>
      </c>
      <c r="F4310" s="366" t="s">
        <v>2331</v>
      </c>
      <c r="G4310" s="46" t="s">
        <v>18</v>
      </c>
      <c r="H4310" s="46">
        <v>3</v>
      </c>
      <c r="I4310" s="51">
        <v>5367.6500000000005</v>
      </c>
      <c r="J4310" s="281">
        <f>++Tabla4[[#This Row],[Precio Bruto]]*1.16</f>
        <v>6226.4740000000002</v>
      </c>
      <c r="K4310" s="281">
        <f>+Tabla4[[#This Row],[Precio Unitario Neto]]*Tabla4[[#Headers],[20.85%]]</f>
        <v>1298.2198289999999</v>
      </c>
      <c r="L4310" s="282">
        <f>++Tabla4[[#This Row],[Precio Unitario Neto]]-Tabla4[[#This Row],[20.85%]]</f>
        <v>4928.2541710000005</v>
      </c>
      <c r="M4310" s="282" t="e">
        <f>(INDEX(Tabla6[#All],MATCH(Tabla4[[#This Row],[Producto]],Tabla6[[#All],[PRODUCTO]],0),MATCH(Tabla4[[#This Row],[Mes]],Tabla6[#Headers],0)))*(1+Catalogos!$L$2)</f>
        <v>#N/A</v>
      </c>
      <c r="N4310" s="283" t="e">
        <f>+(Tabla4[[#This Row],[Precio Descontado]]-Tabla4[[#This Row],[Precio Base]])*Tabla4[[#This Row],[Cantidad]]</f>
        <v>#N/A</v>
      </c>
      <c r="O4310" s="284" t="e">
        <f>++Tabla4[[#This Row],[Utilidad Total]]/Tabla4[[#This Row],[Total]]</f>
        <v>#N/A</v>
      </c>
      <c r="P4310" s="282">
        <f>++Tabla4[[#This Row],[Precio Descontado]]*Tabla4[[#This Row],[Cantidad]]</f>
        <v>14784.762513000001</v>
      </c>
      <c r="Q4310" s="282" t="e">
        <f>(INDEX(Tabla6[#All],MATCH(Tabla4[[#This Row],[Producto]],Tabla6[[#All],[PRODUCTO]],0),MATCH(Tabla4[[#This Row],[Mes]],Tabla6[#Headers],0)))</f>
        <v>#N/A</v>
      </c>
      <c r="R4310" s="282" t="e">
        <f>++Tabla4[[#This Row],[Precio Unitario Neto]]-Tabla4[[#This Row],[20.85%]]-Tabla4[[#This Row],[Costo]]</f>
        <v>#N/A</v>
      </c>
      <c r="S4310" s="282" t="e">
        <f>++Tabla4[[#This Row],[U. Bruta Uni]]*Tabla4[[#This Row],[Cantidad]]</f>
        <v>#N/A</v>
      </c>
      <c r="T4310" s="369" t="str">
        <f>VLOOKUP(Tabla4[[#This Row],[Producto]],Tabla6[#All],14,FALSE)</f>
        <v>Termico Solar</v>
      </c>
      <c r="U4310" s="284" t="e">
        <f>(IF(Tabla4[[#This Row],[Familia]]="termico solar",Tabla4[[#This Row],[Utilidad Total]]*6%,Tabla4[[#This Row],[Utilidad Total]]*11.5%))/Tabla4[[#This Row],[Total]]</f>
        <v>#N/A</v>
      </c>
      <c r="V4310" s="282" t="e">
        <f>+Tabla4[[#This Row],[Comisión Calculada]]*Tabla4[[#This Row],[Total]]</f>
        <v>#N/A</v>
      </c>
    </row>
    <row r="4311" spans="1:22" hidden="1" x14ac:dyDescent="0.25">
      <c r="A4311" s="100">
        <v>45853</v>
      </c>
      <c r="B4311" t="str">
        <f t="shared" si="216"/>
        <v>July</v>
      </c>
      <c r="C4311" s="46" t="s">
        <v>280</v>
      </c>
      <c r="F4311" s="366" t="s">
        <v>2331</v>
      </c>
      <c r="G4311" s="46" t="s">
        <v>16</v>
      </c>
      <c r="H4311" s="46">
        <v>1</v>
      </c>
      <c r="I4311" s="51">
        <v>4103.8500000000004</v>
      </c>
      <c r="J4311" s="281">
        <f>++Tabla4[[#This Row],[Precio Bruto]]*1.16</f>
        <v>4760.4660000000003</v>
      </c>
      <c r="K4311" s="281">
        <f>+Tabla4[[#This Row],[Precio Unitario Neto]]*Tabla4[[#Headers],[20.85%]]</f>
        <v>992.55716100000006</v>
      </c>
      <c r="L4311" s="282">
        <f>++Tabla4[[#This Row],[Precio Unitario Neto]]-Tabla4[[#This Row],[20.85%]]</f>
        <v>3767.9088390000002</v>
      </c>
      <c r="M4311" s="282" t="e">
        <f>(INDEX(Tabla6[#All],MATCH(Tabla4[[#This Row],[Producto]],Tabla6[[#All],[PRODUCTO]],0),MATCH(Tabla4[[#This Row],[Mes]],Tabla6[#Headers],0)))*(1+Catalogos!$L$2)</f>
        <v>#N/A</v>
      </c>
      <c r="N4311" s="283" t="e">
        <f>+(Tabla4[[#This Row],[Precio Descontado]]-Tabla4[[#This Row],[Precio Base]])*Tabla4[[#This Row],[Cantidad]]</f>
        <v>#N/A</v>
      </c>
      <c r="O4311" s="284" t="e">
        <f>++Tabla4[[#This Row],[Utilidad Total]]/Tabla4[[#This Row],[Total]]</f>
        <v>#N/A</v>
      </c>
      <c r="P4311" s="282">
        <f>++Tabla4[[#This Row],[Precio Descontado]]*Tabla4[[#This Row],[Cantidad]]</f>
        <v>3767.9088390000002</v>
      </c>
      <c r="Q4311" s="282" t="e">
        <f>(INDEX(Tabla6[#All],MATCH(Tabla4[[#This Row],[Producto]],Tabla6[[#All],[PRODUCTO]],0),MATCH(Tabla4[[#This Row],[Mes]],Tabla6[#Headers],0)))</f>
        <v>#N/A</v>
      </c>
      <c r="R4311" s="282" t="e">
        <f>++Tabla4[[#This Row],[Precio Unitario Neto]]-Tabla4[[#This Row],[20.85%]]-Tabla4[[#This Row],[Costo]]</f>
        <v>#N/A</v>
      </c>
      <c r="S4311" s="282" t="e">
        <f>++Tabla4[[#This Row],[U. Bruta Uni]]*Tabla4[[#This Row],[Cantidad]]</f>
        <v>#N/A</v>
      </c>
      <c r="T4311" s="369" t="str">
        <f>VLOOKUP(Tabla4[[#This Row],[Producto]],Tabla6[#All],14,FALSE)</f>
        <v>Termico Solar</v>
      </c>
      <c r="U4311" s="284" t="e">
        <f>(IF(Tabla4[[#This Row],[Familia]]="termico solar",Tabla4[[#This Row],[Utilidad Total]]*6%,Tabla4[[#This Row],[Utilidad Total]]*11.5%))/Tabla4[[#This Row],[Total]]</f>
        <v>#N/A</v>
      </c>
      <c r="V4311" s="282" t="e">
        <f>+Tabla4[[#This Row],[Comisión Calculada]]*Tabla4[[#This Row],[Total]]</f>
        <v>#N/A</v>
      </c>
    </row>
    <row r="4312" spans="1:22" hidden="1" x14ac:dyDescent="0.25">
      <c r="A4312" s="100">
        <v>45853</v>
      </c>
      <c r="B4312" t="str">
        <f t="shared" si="216"/>
        <v>July</v>
      </c>
      <c r="C4312" s="46" t="s">
        <v>280</v>
      </c>
      <c r="F4312" s="366" t="s">
        <v>2331</v>
      </c>
      <c r="G4312" s="46" t="s">
        <v>209</v>
      </c>
      <c r="H4312" s="46">
        <v>5</v>
      </c>
      <c r="I4312" s="51">
        <v>347.48</v>
      </c>
      <c r="J4312" s="281">
        <f>++Tabla4[[#This Row],[Precio Bruto]]*1.16</f>
        <v>403.07679999999999</v>
      </c>
      <c r="K4312" s="281">
        <f>+Tabla4[[#This Row],[Precio Unitario Neto]]*Tabla4[[#Headers],[20.85%]]</f>
        <v>84.041512799999992</v>
      </c>
      <c r="L4312" s="282">
        <f>++Tabla4[[#This Row],[Precio Unitario Neto]]-Tabla4[[#This Row],[20.85%]]</f>
        <v>319.03528719999997</v>
      </c>
      <c r="M4312" s="282" t="e">
        <f>(INDEX(Tabla6[#All],MATCH(Tabla4[[#This Row],[Producto]],Tabla6[[#All],[PRODUCTO]],0),MATCH(Tabla4[[#This Row],[Mes]],Tabla6[#Headers],0)))*(1+Catalogos!$L$2)</f>
        <v>#N/A</v>
      </c>
      <c r="N4312" s="283" t="e">
        <f>+(Tabla4[[#This Row],[Precio Descontado]]-Tabla4[[#This Row],[Precio Base]])*Tabla4[[#This Row],[Cantidad]]</f>
        <v>#N/A</v>
      </c>
      <c r="O4312" s="284" t="e">
        <f>++Tabla4[[#This Row],[Utilidad Total]]/Tabla4[[#This Row],[Total]]</f>
        <v>#N/A</v>
      </c>
      <c r="P4312" s="282">
        <f>++Tabla4[[#This Row],[Precio Descontado]]*Tabla4[[#This Row],[Cantidad]]</f>
        <v>1595.1764359999997</v>
      </c>
      <c r="Q4312" s="282" t="e">
        <f>(INDEX(Tabla6[#All],MATCH(Tabla4[[#This Row],[Producto]],Tabla6[[#All],[PRODUCTO]],0),MATCH(Tabla4[[#This Row],[Mes]],Tabla6[#Headers],0)))</f>
        <v>#N/A</v>
      </c>
      <c r="R4312" s="282" t="e">
        <f>++Tabla4[[#This Row],[Precio Unitario Neto]]-Tabla4[[#This Row],[20.85%]]-Tabla4[[#This Row],[Costo]]</f>
        <v>#N/A</v>
      </c>
      <c r="S4312" s="282" t="e">
        <f>++Tabla4[[#This Row],[U. Bruta Uni]]*Tabla4[[#This Row],[Cantidad]]</f>
        <v>#N/A</v>
      </c>
      <c r="T4312" s="369" t="str">
        <f>VLOOKUP(Tabla4[[#This Row],[Producto]],Tabla6[#All],14,FALSE)</f>
        <v>Termico Solar</v>
      </c>
      <c r="U4312" s="284" t="e">
        <f>(IF(Tabla4[[#This Row],[Familia]]="termico solar",Tabla4[[#This Row],[Utilidad Total]]*6%,Tabla4[[#This Row],[Utilidad Total]]*11.5%))/Tabla4[[#This Row],[Total]]</f>
        <v>#N/A</v>
      </c>
      <c r="V4312" s="282" t="e">
        <f>+Tabla4[[#This Row],[Comisión Calculada]]*Tabla4[[#This Row],[Total]]</f>
        <v>#N/A</v>
      </c>
    </row>
    <row r="4313" spans="1:22" hidden="1" x14ac:dyDescent="0.25">
      <c r="A4313" s="100">
        <v>45853</v>
      </c>
      <c r="B4313" t="str">
        <f t="shared" si="216"/>
        <v>July</v>
      </c>
      <c r="C4313" s="46" t="s">
        <v>280</v>
      </c>
      <c r="F4313" s="366" t="s">
        <v>2332</v>
      </c>
      <c r="G4313" s="46" t="s">
        <v>83</v>
      </c>
      <c r="H4313" s="46">
        <v>3</v>
      </c>
      <c r="I4313" s="51">
        <v>8858.76</v>
      </c>
      <c r="J4313" s="281">
        <f>++Tabla4[[#This Row],[Precio Bruto]]*1.16</f>
        <v>10276.161599999999</v>
      </c>
      <c r="K4313" s="281">
        <f>+Tabla4[[#This Row],[Precio Unitario Neto]]*Tabla4[[#Headers],[20.85%]]</f>
        <v>2142.5796935999997</v>
      </c>
      <c r="L4313" s="282">
        <f>++Tabla4[[#This Row],[Precio Unitario Neto]]-Tabla4[[#This Row],[20.85%]]</f>
        <v>8133.5819063999998</v>
      </c>
      <c r="M4313" s="282" t="e">
        <f>(INDEX(Tabla6[#All],MATCH(Tabla4[[#This Row],[Producto]],Tabla6[[#All],[PRODUCTO]],0),MATCH(Tabla4[[#This Row],[Mes]],Tabla6[#Headers],0)))*(1+Catalogos!$L$2)</f>
        <v>#N/A</v>
      </c>
      <c r="N4313" s="283" t="e">
        <f>+(Tabla4[[#This Row],[Precio Descontado]]-Tabla4[[#This Row],[Precio Base]])*Tabla4[[#This Row],[Cantidad]]</f>
        <v>#N/A</v>
      </c>
      <c r="O4313" s="284" t="e">
        <f>++Tabla4[[#This Row],[Utilidad Total]]/Tabla4[[#This Row],[Total]]</f>
        <v>#N/A</v>
      </c>
      <c r="P4313" s="282">
        <f>++Tabla4[[#This Row],[Precio Descontado]]*Tabla4[[#This Row],[Cantidad]]</f>
        <v>24400.7457192</v>
      </c>
      <c r="Q4313" s="282" t="e">
        <f>(INDEX(Tabla6[#All],MATCH(Tabla4[[#This Row],[Producto]],Tabla6[[#All],[PRODUCTO]],0),MATCH(Tabla4[[#This Row],[Mes]],Tabla6[#Headers],0)))</f>
        <v>#N/A</v>
      </c>
      <c r="R4313" s="282" t="e">
        <f>++Tabla4[[#This Row],[Precio Unitario Neto]]-Tabla4[[#This Row],[20.85%]]-Tabla4[[#This Row],[Costo]]</f>
        <v>#N/A</v>
      </c>
      <c r="S4313" s="282" t="e">
        <f>++Tabla4[[#This Row],[U. Bruta Uni]]*Tabla4[[#This Row],[Cantidad]]</f>
        <v>#N/A</v>
      </c>
      <c r="T4313" s="369" t="str">
        <f>VLOOKUP(Tabla4[[#This Row],[Producto]],Tabla6[#All],14,FALSE)</f>
        <v>Termico Solar</v>
      </c>
      <c r="U4313" s="284" t="e">
        <f>(IF(Tabla4[[#This Row],[Familia]]="termico solar",Tabla4[[#This Row],[Utilidad Total]]*6%,Tabla4[[#This Row],[Utilidad Total]]*11.5%))/Tabla4[[#This Row],[Total]]</f>
        <v>#N/A</v>
      </c>
      <c r="V4313" s="282" t="e">
        <f>+Tabla4[[#This Row],[Comisión Calculada]]*Tabla4[[#This Row],[Total]]</f>
        <v>#N/A</v>
      </c>
    </row>
    <row r="4314" spans="1:22" hidden="1" x14ac:dyDescent="0.25">
      <c r="A4314" s="100">
        <v>45853</v>
      </c>
      <c r="B4314" t="str">
        <f t="shared" si="216"/>
        <v>July</v>
      </c>
      <c r="C4314" s="46" t="s">
        <v>280</v>
      </c>
      <c r="F4314" s="366" t="s">
        <v>2332</v>
      </c>
      <c r="G4314" s="46" t="s">
        <v>18</v>
      </c>
      <c r="H4314" s="46">
        <v>1</v>
      </c>
      <c r="I4314" s="51">
        <v>5367.65</v>
      </c>
      <c r="J4314" s="281">
        <f>++Tabla4[[#This Row],[Precio Bruto]]*1.16</f>
        <v>6226.4739999999993</v>
      </c>
      <c r="K4314" s="281">
        <f>+Tabla4[[#This Row],[Precio Unitario Neto]]*Tabla4[[#Headers],[20.85%]]</f>
        <v>1298.2198289999999</v>
      </c>
      <c r="L4314" s="282">
        <f>++Tabla4[[#This Row],[Precio Unitario Neto]]-Tabla4[[#This Row],[20.85%]]</f>
        <v>4928.2541709999996</v>
      </c>
      <c r="M4314" s="282" t="e">
        <f>(INDEX(Tabla6[#All],MATCH(Tabla4[[#This Row],[Producto]],Tabla6[[#All],[PRODUCTO]],0),MATCH(Tabla4[[#This Row],[Mes]],Tabla6[#Headers],0)))*(1+Catalogos!$L$2)</f>
        <v>#N/A</v>
      </c>
      <c r="N4314" s="283" t="e">
        <f>+(Tabla4[[#This Row],[Precio Descontado]]-Tabla4[[#This Row],[Precio Base]])*Tabla4[[#This Row],[Cantidad]]</f>
        <v>#N/A</v>
      </c>
      <c r="O4314" s="284" t="e">
        <f>++Tabla4[[#This Row],[Utilidad Total]]/Tabla4[[#This Row],[Total]]</f>
        <v>#N/A</v>
      </c>
      <c r="P4314" s="282">
        <f>++Tabla4[[#This Row],[Precio Descontado]]*Tabla4[[#This Row],[Cantidad]]</f>
        <v>4928.2541709999996</v>
      </c>
      <c r="Q4314" s="282" t="e">
        <f>(INDEX(Tabla6[#All],MATCH(Tabla4[[#This Row],[Producto]],Tabla6[[#All],[PRODUCTO]],0),MATCH(Tabla4[[#This Row],[Mes]],Tabla6[#Headers],0)))</f>
        <v>#N/A</v>
      </c>
      <c r="R4314" s="282" t="e">
        <f>++Tabla4[[#This Row],[Precio Unitario Neto]]-Tabla4[[#This Row],[20.85%]]-Tabla4[[#This Row],[Costo]]</f>
        <v>#N/A</v>
      </c>
      <c r="S4314" s="282" t="e">
        <f>++Tabla4[[#This Row],[U. Bruta Uni]]*Tabla4[[#This Row],[Cantidad]]</f>
        <v>#N/A</v>
      </c>
      <c r="T4314" s="369" t="str">
        <f>VLOOKUP(Tabla4[[#This Row],[Producto]],Tabla6[#All],14,FALSE)</f>
        <v>Termico Solar</v>
      </c>
      <c r="U4314" s="284" t="e">
        <f>(IF(Tabla4[[#This Row],[Familia]]="termico solar",Tabla4[[#This Row],[Utilidad Total]]*6%,Tabla4[[#This Row],[Utilidad Total]]*11.5%))/Tabla4[[#This Row],[Total]]</f>
        <v>#N/A</v>
      </c>
      <c r="V4314" s="282" t="e">
        <f>+Tabla4[[#This Row],[Comisión Calculada]]*Tabla4[[#This Row],[Total]]</f>
        <v>#N/A</v>
      </c>
    </row>
    <row r="4315" spans="1:22" hidden="1" x14ac:dyDescent="0.25">
      <c r="A4315" s="100">
        <v>45853</v>
      </c>
      <c r="B4315" t="str">
        <f t="shared" si="216"/>
        <v>July</v>
      </c>
      <c r="C4315" s="46" t="s">
        <v>280</v>
      </c>
      <c r="F4315" s="366" t="s">
        <v>2332</v>
      </c>
      <c r="G4315" s="46" t="s">
        <v>208</v>
      </c>
      <c r="H4315" s="46">
        <v>1</v>
      </c>
      <c r="I4315" s="51">
        <v>189.75</v>
      </c>
      <c r="J4315" s="281">
        <f>++Tabla4[[#This Row],[Precio Bruto]]*1.16</f>
        <v>220.10999999999999</v>
      </c>
      <c r="K4315" s="281">
        <f>+Tabla4[[#This Row],[Precio Unitario Neto]]*Tabla4[[#Headers],[20.85%]]</f>
        <v>45.892934999999994</v>
      </c>
      <c r="L4315" s="282">
        <f>++Tabla4[[#This Row],[Precio Unitario Neto]]-Tabla4[[#This Row],[20.85%]]</f>
        <v>174.21706499999999</v>
      </c>
      <c r="M4315" s="282" t="e">
        <f>(INDEX(Tabla6[#All],MATCH(Tabla4[[#This Row],[Producto]],Tabla6[[#All],[PRODUCTO]],0),MATCH(Tabla4[[#This Row],[Mes]],Tabla6[#Headers],0)))*(1+Catalogos!$L$2)</f>
        <v>#N/A</v>
      </c>
      <c r="N4315" s="283" t="e">
        <f>+(Tabla4[[#This Row],[Precio Descontado]]-Tabla4[[#This Row],[Precio Base]])*Tabla4[[#This Row],[Cantidad]]</f>
        <v>#N/A</v>
      </c>
      <c r="O4315" s="284" t="e">
        <f>++Tabla4[[#This Row],[Utilidad Total]]/Tabla4[[#This Row],[Total]]</f>
        <v>#N/A</v>
      </c>
      <c r="P4315" s="282">
        <f>++Tabla4[[#This Row],[Precio Descontado]]*Tabla4[[#This Row],[Cantidad]]</f>
        <v>174.21706499999999</v>
      </c>
      <c r="Q4315" s="282" t="e">
        <f>(INDEX(Tabla6[#All],MATCH(Tabla4[[#This Row],[Producto]],Tabla6[[#All],[PRODUCTO]],0),MATCH(Tabla4[[#This Row],[Mes]],Tabla6[#Headers],0)))</f>
        <v>#N/A</v>
      </c>
      <c r="R4315" s="282" t="e">
        <f>++Tabla4[[#This Row],[Precio Unitario Neto]]-Tabla4[[#This Row],[20.85%]]-Tabla4[[#This Row],[Costo]]</f>
        <v>#N/A</v>
      </c>
      <c r="S4315" s="282" t="e">
        <f>++Tabla4[[#This Row],[U. Bruta Uni]]*Tabla4[[#This Row],[Cantidad]]</f>
        <v>#N/A</v>
      </c>
      <c r="T4315" s="369" t="str">
        <f>VLOOKUP(Tabla4[[#This Row],[Producto]],Tabla6[#All],14,FALSE)</f>
        <v>Termico Solar</v>
      </c>
      <c r="U4315" s="284" t="e">
        <f>(IF(Tabla4[[#This Row],[Familia]]="termico solar",Tabla4[[#This Row],[Utilidad Total]]*6%,Tabla4[[#This Row],[Utilidad Total]]*11.5%))/Tabla4[[#This Row],[Total]]</f>
        <v>#N/A</v>
      </c>
      <c r="V4315" s="282" t="e">
        <f>+Tabla4[[#This Row],[Comisión Calculada]]*Tabla4[[#This Row],[Total]]</f>
        <v>#N/A</v>
      </c>
    </row>
    <row r="4316" spans="1:22" hidden="1" x14ac:dyDescent="0.25">
      <c r="A4316" s="100">
        <v>45853</v>
      </c>
      <c r="B4316" t="str">
        <f t="shared" si="216"/>
        <v>July</v>
      </c>
      <c r="C4316" s="46" t="s">
        <v>280</v>
      </c>
      <c r="F4316" s="366" t="s">
        <v>2333</v>
      </c>
      <c r="G4316" s="46" t="s">
        <v>83</v>
      </c>
      <c r="H4316" s="46">
        <v>2</v>
      </c>
      <c r="I4316" s="51">
        <v>8858.76</v>
      </c>
      <c r="J4316" s="281">
        <f>++Tabla4[[#This Row],[Precio Bruto]]*1.16</f>
        <v>10276.161599999999</v>
      </c>
      <c r="K4316" s="281">
        <f>+Tabla4[[#This Row],[Precio Unitario Neto]]*Tabla4[[#Headers],[20.85%]]</f>
        <v>2142.5796935999997</v>
      </c>
      <c r="L4316" s="282">
        <f>++Tabla4[[#This Row],[Precio Unitario Neto]]-Tabla4[[#This Row],[20.85%]]</f>
        <v>8133.5819063999998</v>
      </c>
      <c r="M4316" s="282" t="e">
        <f>(INDEX(Tabla6[#All],MATCH(Tabla4[[#This Row],[Producto]],Tabla6[[#All],[PRODUCTO]],0),MATCH(Tabla4[[#This Row],[Mes]],Tabla6[#Headers],0)))*(1+Catalogos!$L$2)</f>
        <v>#N/A</v>
      </c>
      <c r="N4316" s="283" t="e">
        <f>+(Tabla4[[#This Row],[Precio Descontado]]-Tabla4[[#This Row],[Precio Base]])*Tabla4[[#This Row],[Cantidad]]</f>
        <v>#N/A</v>
      </c>
      <c r="O4316" s="284" t="e">
        <f>++Tabla4[[#This Row],[Utilidad Total]]/Tabla4[[#This Row],[Total]]</f>
        <v>#N/A</v>
      </c>
      <c r="P4316" s="282">
        <f>++Tabla4[[#This Row],[Precio Descontado]]*Tabla4[[#This Row],[Cantidad]]</f>
        <v>16267.1638128</v>
      </c>
      <c r="Q4316" s="282" t="e">
        <f>(INDEX(Tabla6[#All],MATCH(Tabla4[[#This Row],[Producto]],Tabla6[[#All],[PRODUCTO]],0),MATCH(Tabla4[[#This Row],[Mes]],Tabla6[#Headers],0)))</f>
        <v>#N/A</v>
      </c>
      <c r="R4316" s="282" t="e">
        <f>++Tabla4[[#This Row],[Precio Unitario Neto]]-Tabla4[[#This Row],[20.85%]]-Tabla4[[#This Row],[Costo]]</f>
        <v>#N/A</v>
      </c>
      <c r="S4316" s="282" t="e">
        <f>++Tabla4[[#This Row],[U. Bruta Uni]]*Tabla4[[#This Row],[Cantidad]]</f>
        <v>#N/A</v>
      </c>
      <c r="T4316" s="369" t="str">
        <f>VLOOKUP(Tabla4[[#This Row],[Producto]],Tabla6[#All],14,FALSE)</f>
        <v>Termico Solar</v>
      </c>
      <c r="U4316" s="284" t="e">
        <f>(IF(Tabla4[[#This Row],[Familia]]="termico solar",Tabla4[[#This Row],[Utilidad Total]]*6%,Tabla4[[#This Row],[Utilidad Total]]*11.5%))/Tabla4[[#This Row],[Total]]</f>
        <v>#N/A</v>
      </c>
      <c r="V4316" s="282" t="e">
        <f>+Tabla4[[#This Row],[Comisión Calculada]]*Tabla4[[#This Row],[Total]]</f>
        <v>#N/A</v>
      </c>
    </row>
    <row r="4317" spans="1:22" hidden="1" x14ac:dyDescent="0.25">
      <c r="A4317" s="100">
        <v>45853</v>
      </c>
      <c r="B4317" t="str">
        <f t="shared" si="216"/>
        <v>July</v>
      </c>
      <c r="C4317" s="46" t="s">
        <v>280</v>
      </c>
      <c r="F4317" s="366" t="s">
        <v>2334</v>
      </c>
      <c r="G4317" s="46" t="s">
        <v>17</v>
      </c>
      <c r="H4317" s="46">
        <v>3</v>
      </c>
      <c r="I4317" s="51">
        <v>4622.28</v>
      </c>
      <c r="J4317" s="281">
        <f>++Tabla4[[#This Row],[Precio Bruto]]*1.16</f>
        <v>5361.8447999999989</v>
      </c>
      <c r="K4317" s="281">
        <f>+Tabla4[[#This Row],[Precio Unitario Neto]]*Tabla4[[#Headers],[20.85%]]</f>
        <v>1117.9446407999997</v>
      </c>
      <c r="L4317" s="282">
        <f>++Tabla4[[#This Row],[Precio Unitario Neto]]-Tabla4[[#This Row],[20.85%]]</f>
        <v>4243.9001591999995</v>
      </c>
      <c r="M4317" s="282" t="e">
        <f>(INDEX(Tabla6[#All],MATCH(Tabla4[[#This Row],[Producto]],Tabla6[[#All],[PRODUCTO]],0),MATCH(Tabla4[[#This Row],[Mes]],Tabla6[#Headers],0)))*(1+Catalogos!$L$2)</f>
        <v>#N/A</v>
      </c>
      <c r="N4317" s="283" t="e">
        <f>+(Tabla4[[#This Row],[Precio Descontado]]-Tabla4[[#This Row],[Precio Base]])*Tabla4[[#This Row],[Cantidad]]</f>
        <v>#N/A</v>
      </c>
      <c r="O4317" s="284" t="e">
        <f>++Tabla4[[#This Row],[Utilidad Total]]/Tabla4[[#This Row],[Total]]</f>
        <v>#N/A</v>
      </c>
      <c r="P4317" s="282">
        <f>++Tabla4[[#This Row],[Precio Descontado]]*Tabla4[[#This Row],[Cantidad]]</f>
        <v>12731.700477599999</v>
      </c>
      <c r="Q4317" s="282" t="e">
        <f>(INDEX(Tabla6[#All],MATCH(Tabla4[[#This Row],[Producto]],Tabla6[[#All],[PRODUCTO]],0),MATCH(Tabla4[[#This Row],[Mes]],Tabla6[#Headers],0)))</f>
        <v>#N/A</v>
      </c>
      <c r="R4317" s="282" t="e">
        <f>++Tabla4[[#This Row],[Precio Unitario Neto]]-Tabla4[[#This Row],[20.85%]]-Tabla4[[#This Row],[Costo]]</f>
        <v>#N/A</v>
      </c>
      <c r="S4317" s="282" t="e">
        <f>++Tabla4[[#This Row],[U. Bruta Uni]]*Tabla4[[#This Row],[Cantidad]]</f>
        <v>#N/A</v>
      </c>
      <c r="T4317" s="369" t="str">
        <f>VLOOKUP(Tabla4[[#This Row],[Producto]],Tabla6[#All],14,FALSE)</f>
        <v>Termico Solar</v>
      </c>
      <c r="U4317" s="284" t="e">
        <f>(IF(Tabla4[[#This Row],[Familia]]="termico solar",Tabla4[[#This Row],[Utilidad Total]]*6%,Tabla4[[#This Row],[Utilidad Total]]*11.5%))/Tabla4[[#This Row],[Total]]</f>
        <v>#N/A</v>
      </c>
      <c r="V4317" s="282" t="e">
        <f>+Tabla4[[#This Row],[Comisión Calculada]]*Tabla4[[#This Row],[Total]]</f>
        <v>#N/A</v>
      </c>
    </row>
    <row r="4318" spans="1:22" hidden="1" x14ac:dyDescent="0.25">
      <c r="A4318" s="100">
        <v>45853</v>
      </c>
      <c r="B4318" t="str">
        <f t="shared" si="216"/>
        <v>July</v>
      </c>
      <c r="C4318" s="46" t="s">
        <v>280</v>
      </c>
      <c r="F4318" s="366" t="s">
        <v>2335</v>
      </c>
      <c r="G4318" s="46" t="s">
        <v>83</v>
      </c>
      <c r="H4318" s="46">
        <v>2</v>
      </c>
      <c r="I4318" s="51">
        <v>8858.76</v>
      </c>
      <c r="J4318" s="281">
        <f>++Tabla4[[#This Row],[Precio Bruto]]*1.16</f>
        <v>10276.161599999999</v>
      </c>
      <c r="K4318" s="281">
        <f>+Tabla4[[#This Row],[Precio Unitario Neto]]*Tabla4[[#Headers],[20.85%]]</f>
        <v>2142.5796935999997</v>
      </c>
      <c r="L4318" s="282">
        <f>++Tabla4[[#This Row],[Precio Unitario Neto]]-Tabla4[[#This Row],[20.85%]]</f>
        <v>8133.5819063999998</v>
      </c>
      <c r="M4318" s="282" t="e">
        <f>(INDEX(Tabla6[#All],MATCH(Tabla4[[#This Row],[Producto]],Tabla6[[#All],[PRODUCTO]],0),MATCH(Tabla4[[#This Row],[Mes]],Tabla6[#Headers],0)))*(1+Catalogos!$L$2)</f>
        <v>#N/A</v>
      </c>
      <c r="N4318" s="283" t="e">
        <f>+(Tabla4[[#This Row],[Precio Descontado]]-Tabla4[[#This Row],[Precio Base]])*Tabla4[[#This Row],[Cantidad]]</f>
        <v>#N/A</v>
      </c>
      <c r="O4318" s="284" t="e">
        <f>++Tabla4[[#This Row],[Utilidad Total]]/Tabla4[[#This Row],[Total]]</f>
        <v>#N/A</v>
      </c>
      <c r="P4318" s="282">
        <f>++Tabla4[[#This Row],[Precio Descontado]]*Tabla4[[#This Row],[Cantidad]]</f>
        <v>16267.1638128</v>
      </c>
      <c r="Q4318" s="282" t="e">
        <f>(INDEX(Tabla6[#All],MATCH(Tabla4[[#This Row],[Producto]],Tabla6[[#All],[PRODUCTO]],0),MATCH(Tabla4[[#This Row],[Mes]],Tabla6[#Headers],0)))</f>
        <v>#N/A</v>
      </c>
      <c r="R4318" s="282" t="e">
        <f>++Tabla4[[#This Row],[Precio Unitario Neto]]-Tabla4[[#This Row],[20.85%]]-Tabla4[[#This Row],[Costo]]</f>
        <v>#N/A</v>
      </c>
      <c r="S4318" s="282" t="e">
        <f>++Tabla4[[#This Row],[U. Bruta Uni]]*Tabla4[[#This Row],[Cantidad]]</f>
        <v>#N/A</v>
      </c>
      <c r="T4318" s="369" t="str">
        <f>VLOOKUP(Tabla4[[#This Row],[Producto]],Tabla6[#All],14,FALSE)</f>
        <v>Termico Solar</v>
      </c>
      <c r="U4318" s="284" t="e">
        <f>(IF(Tabla4[[#This Row],[Familia]]="termico solar",Tabla4[[#This Row],[Utilidad Total]]*6%,Tabla4[[#This Row],[Utilidad Total]]*11.5%))/Tabla4[[#This Row],[Total]]</f>
        <v>#N/A</v>
      </c>
      <c r="V4318" s="282" t="e">
        <f>+Tabla4[[#This Row],[Comisión Calculada]]*Tabla4[[#This Row],[Total]]</f>
        <v>#N/A</v>
      </c>
    </row>
    <row r="4319" spans="1:22" hidden="1" x14ac:dyDescent="0.25">
      <c r="A4319" s="100">
        <v>45853</v>
      </c>
      <c r="B4319" t="str">
        <f t="shared" si="216"/>
        <v>July</v>
      </c>
      <c r="C4319" s="46" t="s">
        <v>280</v>
      </c>
      <c r="F4319" s="366" t="s">
        <v>2335</v>
      </c>
      <c r="G4319" s="46" t="s">
        <v>16</v>
      </c>
      <c r="H4319" s="46">
        <v>2</v>
      </c>
      <c r="I4319" s="51">
        <v>4103.8500000000004</v>
      </c>
      <c r="J4319" s="281">
        <f>++Tabla4[[#This Row],[Precio Bruto]]*1.16</f>
        <v>4760.4660000000003</v>
      </c>
      <c r="K4319" s="281">
        <f>+Tabla4[[#This Row],[Precio Unitario Neto]]*Tabla4[[#Headers],[20.85%]]</f>
        <v>992.55716100000006</v>
      </c>
      <c r="L4319" s="282">
        <f>++Tabla4[[#This Row],[Precio Unitario Neto]]-Tabla4[[#This Row],[20.85%]]</f>
        <v>3767.9088390000002</v>
      </c>
      <c r="M4319" s="282" t="e">
        <f>(INDEX(Tabla6[#All],MATCH(Tabla4[[#This Row],[Producto]],Tabla6[[#All],[PRODUCTO]],0),MATCH(Tabla4[[#This Row],[Mes]],Tabla6[#Headers],0)))*(1+Catalogos!$L$2)</f>
        <v>#N/A</v>
      </c>
      <c r="N4319" s="283" t="e">
        <f>+(Tabla4[[#This Row],[Precio Descontado]]-Tabla4[[#This Row],[Precio Base]])*Tabla4[[#This Row],[Cantidad]]</f>
        <v>#N/A</v>
      </c>
      <c r="O4319" s="284" t="e">
        <f>++Tabla4[[#This Row],[Utilidad Total]]/Tabla4[[#This Row],[Total]]</f>
        <v>#N/A</v>
      </c>
      <c r="P4319" s="282">
        <f>++Tabla4[[#This Row],[Precio Descontado]]*Tabla4[[#This Row],[Cantidad]]</f>
        <v>7535.8176780000003</v>
      </c>
      <c r="Q4319" s="282" t="e">
        <f>(INDEX(Tabla6[#All],MATCH(Tabla4[[#This Row],[Producto]],Tabla6[[#All],[PRODUCTO]],0),MATCH(Tabla4[[#This Row],[Mes]],Tabla6[#Headers],0)))</f>
        <v>#N/A</v>
      </c>
      <c r="R4319" s="282" t="e">
        <f>++Tabla4[[#This Row],[Precio Unitario Neto]]-Tabla4[[#This Row],[20.85%]]-Tabla4[[#This Row],[Costo]]</f>
        <v>#N/A</v>
      </c>
      <c r="S4319" s="282" t="e">
        <f>++Tabla4[[#This Row],[U. Bruta Uni]]*Tabla4[[#This Row],[Cantidad]]</f>
        <v>#N/A</v>
      </c>
      <c r="T4319" s="369" t="str">
        <f>VLOOKUP(Tabla4[[#This Row],[Producto]],Tabla6[#All],14,FALSE)</f>
        <v>Termico Solar</v>
      </c>
      <c r="U4319" s="284" t="e">
        <f>(IF(Tabla4[[#This Row],[Familia]]="termico solar",Tabla4[[#This Row],[Utilidad Total]]*6%,Tabla4[[#This Row],[Utilidad Total]]*11.5%))/Tabla4[[#This Row],[Total]]</f>
        <v>#N/A</v>
      </c>
      <c r="V4319" s="282" t="e">
        <f>+Tabla4[[#This Row],[Comisión Calculada]]*Tabla4[[#This Row],[Total]]</f>
        <v>#N/A</v>
      </c>
    </row>
    <row r="4320" spans="1:22" hidden="1" x14ac:dyDescent="0.25">
      <c r="A4320" s="100">
        <v>45853</v>
      </c>
      <c r="B4320" t="str">
        <f t="shared" si="216"/>
        <v>July</v>
      </c>
      <c r="C4320" s="46" t="s">
        <v>280</v>
      </c>
      <c r="F4320" s="366" t="s">
        <v>2336</v>
      </c>
      <c r="G4320" s="46" t="s">
        <v>17</v>
      </c>
      <c r="H4320" s="46">
        <v>1</v>
      </c>
      <c r="I4320" s="51">
        <v>4622.28</v>
      </c>
      <c r="J4320" s="281">
        <f>++Tabla4[[#This Row],[Precio Bruto]]*1.16</f>
        <v>5361.8447999999989</v>
      </c>
      <c r="K4320" s="281">
        <f>+Tabla4[[#This Row],[Precio Unitario Neto]]*Tabla4[[#Headers],[20.85%]]</f>
        <v>1117.9446407999997</v>
      </c>
      <c r="L4320" s="282">
        <f>++Tabla4[[#This Row],[Precio Unitario Neto]]-Tabla4[[#This Row],[20.85%]]</f>
        <v>4243.9001591999995</v>
      </c>
      <c r="M4320" s="282" t="e">
        <f>(INDEX(Tabla6[#All],MATCH(Tabla4[[#This Row],[Producto]],Tabla6[[#All],[PRODUCTO]],0),MATCH(Tabla4[[#This Row],[Mes]],Tabla6[#Headers],0)))*(1+Catalogos!$L$2)</f>
        <v>#N/A</v>
      </c>
      <c r="N4320" s="283" t="e">
        <f>+(Tabla4[[#This Row],[Precio Descontado]]-Tabla4[[#This Row],[Precio Base]])*Tabla4[[#This Row],[Cantidad]]</f>
        <v>#N/A</v>
      </c>
      <c r="O4320" s="284" t="e">
        <f>++Tabla4[[#This Row],[Utilidad Total]]/Tabla4[[#This Row],[Total]]</f>
        <v>#N/A</v>
      </c>
      <c r="P4320" s="282">
        <f>++Tabla4[[#This Row],[Precio Descontado]]*Tabla4[[#This Row],[Cantidad]]</f>
        <v>4243.9001591999995</v>
      </c>
      <c r="Q4320" s="282" t="e">
        <f>(INDEX(Tabla6[#All],MATCH(Tabla4[[#This Row],[Producto]],Tabla6[[#All],[PRODUCTO]],0),MATCH(Tabla4[[#This Row],[Mes]],Tabla6[#Headers],0)))</f>
        <v>#N/A</v>
      </c>
      <c r="R4320" s="282" t="e">
        <f>++Tabla4[[#This Row],[Precio Unitario Neto]]-Tabla4[[#This Row],[20.85%]]-Tabla4[[#This Row],[Costo]]</f>
        <v>#N/A</v>
      </c>
      <c r="S4320" s="282" t="e">
        <f>++Tabla4[[#This Row],[U. Bruta Uni]]*Tabla4[[#This Row],[Cantidad]]</f>
        <v>#N/A</v>
      </c>
      <c r="T4320" s="369" t="str">
        <f>VLOOKUP(Tabla4[[#This Row],[Producto]],Tabla6[#All],14,FALSE)</f>
        <v>Termico Solar</v>
      </c>
      <c r="U4320" s="284" t="e">
        <f>(IF(Tabla4[[#This Row],[Familia]]="termico solar",Tabla4[[#This Row],[Utilidad Total]]*6%,Tabla4[[#This Row],[Utilidad Total]]*11.5%))/Tabla4[[#This Row],[Total]]</f>
        <v>#N/A</v>
      </c>
      <c r="V4320" s="282" t="e">
        <f>+Tabla4[[#This Row],[Comisión Calculada]]*Tabla4[[#This Row],[Total]]</f>
        <v>#N/A</v>
      </c>
    </row>
    <row r="4321" spans="1:22" hidden="1" x14ac:dyDescent="0.25">
      <c r="A4321" s="100">
        <v>45853</v>
      </c>
      <c r="B4321" t="str">
        <f t="shared" si="216"/>
        <v>July</v>
      </c>
      <c r="C4321" s="46" t="s">
        <v>280</v>
      </c>
      <c r="F4321" s="366" t="s">
        <v>2336</v>
      </c>
      <c r="G4321" s="46" t="s">
        <v>566</v>
      </c>
      <c r="H4321" s="46">
        <v>1</v>
      </c>
      <c r="I4321" s="51">
        <v>2109.4499999999998</v>
      </c>
      <c r="J4321" s="281">
        <f>++Tabla4[[#This Row],[Precio Bruto]]*1.16</f>
        <v>2446.9619999999995</v>
      </c>
      <c r="K4321" s="281">
        <f>+Tabla4[[#This Row],[Precio Unitario Neto]]*Tabla4[[#Headers],[20.85%]]</f>
        <v>510.19157699999988</v>
      </c>
      <c r="L4321" s="282">
        <f>++Tabla4[[#This Row],[Precio Unitario Neto]]-Tabla4[[#This Row],[20.85%]]</f>
        <v>1936.7704229999997</v>
      </c>
      <c r="M4321" s="282" t="e">
        <f>(INDEX(Tabla6[#All],MATCH(Tabla4[[#This Row],[Producto]],Tabla6[[#All],[PRODUCTO]],0),MATCH(Tabla4[[#This Row],[Mes]],Tabla6[#Headers],0)))*(1+Catalogos!$L$2)</f>
        <v>#N/A</v>
      </c>
      <c r="N4321" s="283" t="e">
        <f>+(Tabla4[[#This Row],[Precio Descontado]]-Tabla4[[#This Row],[Precio Base]])*Tabla4[[#This Row],[Cantidad]]</f>
        <v>#N/A</v>
      </c>
      <c r="O4321" s="284" t="e">
        <f>++Tabla4[[#This Row],[Utilidad Total]]/Tabla4[[#This Row],[Total]]</f>
        <v>#N/A</v>
      </c>
      <c r="P4321" s="282">
        <f>++Tabla4[[#This Row],[Precio Descontado]]*Tabla4[[#This Row],[Cantidad]]</f>
        <v>1936.7704229999997</v>
      </c>
      <c r="Q4321" s="282" t="e">
        <f>(INDEX(Tabla6[#All],MATCH(Tabla4[[#This Row],[Producto]],Tabla6[[#All],[PRODUCTO]],0),MATCH(Tabla4[[#This Row],[Mes]],Tabla6[#Headers],0)))</f>
        <v>#N/A</v>
      </c>
      <c r="R4321" s="282" t="e">
        <f>++Tabla4[[#This Row],[Precio Unitario Neto]]-Tabla4[[#This Row],[20.85%]]-Tabla4[[#This Row],[Costo]]</f>
        <v>#N/A</v>
      </c>
      <c r="S4321" s="282" t="e">
        <f>++Tabla4[[#This Row],[U. Bruta Uni]]*Tabla4[[#This Row],[Cantidad]]</f>
        <v>#N/A</v>
      </c>
      <c r="T4321" s="369" t="str">
        <f>VLOOKUP(Tabla4[[#This Row],[Producto]],Tabla6[#All],14,FALSE)</f>
        <v>Termico Solar</v>
      </c>
      <c r="U4321" s="284" t="e">
        <f>(IF(Tabla4[[#This Row],[Familia]]="termico solar",Tabla4[[#This Row],[Utilidad Total]]*6%,Tabla4[[#This Row],[Utilidad Total]]*11.5%))/Tabla4[[#This Row],[Total]]</f>
        <v>#N/A</v>
      </c>
      <c r="V4321" s="282" t="e">
        <f>+Tabla4[[#This Row],[Comisión Calculada]]*Tabla4[[#This Row],[Total]]</f>
        <v>#N/A</v>
      </c>
    </row>
    <row r="4322" spans="1:22" hidden="1" x14ac:dyDescent="0.25">
      <c r="A4322" s="100">
        <v>45853</v>
      </c>
      <c r="B4322" t="str">
        <f t="shared" si="216"/>
        <v>July</v>
      </c>
      <c r="C4322" s="46" t="s">
        <v>280</v>
      </c>
      <c r="F4322" s="366" t="s">
        <v>2336</v>
      </c>
      <c r="G4322" s="46" t="s">
        <v>16</v>
      </c>
      <c r="H4322" s="46">
        <v>1</v>
      </c>
      <c r="I4322" s="51">
        <v>4103.8500000000004</v>
      </c>
      <c r="J4322" s="281">
        <f>++Tabla4[[#This Row],[Precio Bruto]]*1.16</f>
        <v>4760.4660000000003</v>
      </c>
      <c r="K4322" s="281">
        <f>+Tabla4[[#This Row],[Precio Unitario Neto]]*Tabla4[[#Headers],[20.85%]]</f>
        <v>992.55716100000006</v>
      </c>
      <c r="L4322" s="282">
        <f>++Tabla4[[#This Row],[Precio Unitario Neto]]-Tabla4[[#This Row],[20.85%]]</f>
        <v>3767.9088390000002</v>
      </c>
      <c r="M4322" s="282" t="e">
        <f>(INDEX(Tabla6[#All],MATCH(Tabla4[[#This Row],[Producto]],Tabla6[[#All],[PRODUCTO]],0),MATCH(Tabla4[[#This Row],[Mes]],Tabla6[#Headers],0)))*(1+Catalogos!$L$2)</f>
        <v>#N/A</v>
      </c>
      <c r="N4322" s="283" t="e">
        <f>+(Tabla4[[#This Row],[Precio Descontado]]-Tabla4[[#This Row],[Precio Base]])*Tabla4[[#This Row],[Cantidad]]</f>
        <v>#N/A</v>
      </c>
      <c r="O4322" s="284" t="e">
        <f>++Tabla4[[#This Row],[Utilidad Total]]/Tabla4[[#This Row],[Total]]</f>
        <v>#N/A</v>
      </c>
      <c r="P4322" s="282">
        <f>++Tabla4[[#This Row],[Precio Descontado]]*Tabla4[[#This Row],[Cantidad]]</f>
        <v>3767.9088390000002</v>
      </c>
      <c r="Q4322" s="282" t="e">
        <f>(INDEX(Tabla6[#All],MATCH(Tabla4[[#This Row],[Producto]],Tabla6[[#All],[PRODUCTO]],0),MATCH(Tabla4[[#This Row],[Mes]],Tabla6[#Headers],0)))</f>
        <v>#N/A</v>
      </c>
      <c r="R4322" s="282" t="e">
        <f>++Tabla4[[#This Row],[Precio Unitario Neto]]-Tabla4[[#This Row],[20.85%]]-Tabla4[[#This Row],[Costo]]</f>
        <v>#N/A</v>
      </c>
      <c r="S4322" s="282" t="e">
        <f>++Tabla4[[#This Row],[U. Bruta Uni]]*Tabla4[[#This Row],[Cantidad]]</f>
        <v>#N/A</v>
      </c>
      <c r="T4322" s="369" t="str">
        <f>VLOOKUP(Tabla4[[#This Row],[Producto]],Tabla6[#All],14,FALSE)</f>
        <v>Termico Solar</v>
      </c>
      <c r="U4322" s="284" t="e">
        <f>(IF(Tabla4[[#This Row],[Familia]]="termico solar",Tabla4[[#This Row],[Utilidad Total]]*6%,Tabla4[[#This Row],[Utilidad Total]]*11.5%))/Tabla4[[#This Row],[Total]]</f>
        <v>#N/A</v>
      </c>
      <c r="V4322" s="282" t="e">
        <f>+Tabla4[[#This Row],[Comisión Calculada]]*Tabla4[[#This Row],[Total]]</f>
        <v>#N/A</v>
      </c>
    </row>
    <row r="4323" spans="1:22" hidden="1" x14ac:dyDescent="0.25">
      <c r="A4323" s="100">
        <v>45853</v>
      </c>
      <c r="B4323" t="str">
        <f t="shared" si="216"/>
        <v>July</v>
      </c>
      <c r="C4323" s="46" t="s">
        <v>280</v>
      </c>
      <c r="F4323" s="366" t="s">
        <v>2336</v>
      </c>
      <c r="G4323" s="46" t="s">
        <v>209</v>
      </c>
      <c r="H4323" s="46">
        <v>2</v>
      </c>
      <c r="I4323" s="51">
        <v>347.48</v>
      </c>
      <c r="J4323" s="281">
        <f>++Tabla4[[#This Row],[Precio Bruto]]*1.16</f>
        <v>403.07679999999999</v>
      </c>
      <c r="K4323" s="281">
        <f>+Tabla4[[#This Row],[Precio Unitario Neto]]*Tabla4[[#Headers],[20.85%]]</f>
        <v>84.041512799999992</v>
      </c>
      <c r="L4323" s="282">
        <f>++Tabla4[[#This Row],[Precio Unitario Neto]]-Tabla4[[#This Row],[20.85%]]</f>
        <v>319.03528719999997</v>
      </c>
      <c r="M4323" s="282" t="e">
        <f>(INDEX(Tabla6[#All],MATCH(Tabla4[[#This Row],[Producto]],Tabla6[[#All],[PRODUCTO]],0),MATCH(Tabla4[[#This Row],[Mes]],Tabla6[#Headers],0)))*(1+Catalogos!$L$2)</f>
        <v>#N/A</v>
      </c>
      <c r="N4323" s="283" t="e">
        <f>+(Tabla4[[#This Row],[Precio Descontado]]-Tabla4[[#This Row],[Precio Base]])*Tabla4[[#This Row],[Cantidad]]</f>
        <v>#N/A</v>
      </c>
      <c r="O4323" s="284" t="e">
        <f>++Tabla4[[#This Row],[Utilidad Total]]/Tabla4[[#This Row],[Total]]</f>
        <v>#N/A</v>
      </c>
      <c r="P4323" s="282">
        <f>++Tabla4[[#This Row],[Precio Descontado]]*Tabla4[[#This Row],[Cantidad]]</f>
        <v>638.07057439999994</v>
      </c>
      <c r="Q4323" s="282" t="e">
        <f>(INDEX(Tabla6[#All],MATCH(Tabla4[[#This Row],[Producto]],Tabla6[[#All],[PRODUCTO]],0),MATCH(Tabla4[[#This Row],[Mes]],Tabla6[#Headers],0)))</f>
        <v>#N/A</v>
      </c>
      <c r="R4323" s="282" t="e">
        <f>++Tabla4[[#This Row],[Precio Unitario Neto]]-Tabla4[[#This Row],[20.85%]]-Tabla4[[#This Row],[Costo]]</f>
        <v>#N/A</v>
      </c>
      <c r="S4323" s="282" t="e">
        <f>++Tabla4[[#This Row],[U. Bruta Uni]]*Tabla4[[#This Row],[Cantidad]]</f>
        <v>#N/A</v>
      </c>
      <c r="T4323" s="369" t="str">
        <f>VLOOKUP(Tabla4[[#This Row],[Producto]],Tabla6[#All],14,FALSE)</f>
        <v>Termico Solar</v>
      </c>
      <c r="U4323" s="284" t="e">
        <f>(IF(Tabla4[[#This Row],[Familia]]="termico solar",Tabla4[[#This Row],[Utilidad Total]]*6%,Tabla4[[#This Row],[Utilidad Total]]*11.5%))/Tabla4[[#This Row],[Total]]</f>
        <v>#N/A</v>
      </c>
      <c r="V4323" s="282" t="e">
        <f>+Tabla4[[#This Row],[Comisión Calculada]]*Tabla4[[#This Row],[Total]]</f>
        <v>#N/A</v>
      </c>
    </row>
    <row r="4324" spans="1:22" hidden="1" x14ac:dyDescent="0.25">
      <c r="A4324" s="100">
        <v>45853</v>
      </c>
      <c r="B4324" t="str">
        <f t="shared" si="216"/>
        <v>July</v>
      </c>
      <c r="C4324" s="46" t="s">
        <v>280</v>
      </c>
      <c r="F4324" s="366" t="s">
        <v>2337</v>
      </c>
      <c r="G4324" s="46" t="s">
        <v>16</v>
      </c>
      <c r="H4324" s="46">
        <v>1</v>
      </c>
      <c r="I4324" s="51">
        <v>4103.8500000000004</v>
      </c>
      <c r="J4324" s="281">
        <f>++Tabla4[[#This Row],[Precio Bruto]]*1.16</f>
        <v>4760.4660000000003</v>
      </c>
      <c r="K4324" s="281">
        <f>+Tabla4[[#This Row],[Precio Unitario Neto]]*Tabla4[[#Headers],[20.85%]]</f>
        <v>992.55716100000006</v>
      </c>
      <c r="L4324" s="282">
        <f>++Tabla4[[#This Row],[Precio Unitario Neto]]-Tabla4[[#This Row],[20.85%]]</f>
        <v>3767.9088390000002</v>
      </c>
      <c r="M4324" s="282" t="e">
        <f>(INDEX(Tabla6[#All],MATCH(Tabla4[[#This Row],[Producto]],Tabla6[[#All],[PRODUCTO]],0),MATCH(Tabla4[[#This Row],[Mes]],Tabla6[#Headers],0)))*(1+Catalogos!$L$2)</f>
        <v>#N/A</v>
      </c>
      <c r="N4324" s="283" t="e">
        <f>+(Tabla4[[#This Row],[Precio Descontado]]-Tabla4[[#This Row],[Precio Base]])*Tabla4[[#This Row],[Cantidad]]</f>
        <v>#N/A</v>
      </c>
      <c r="O4324" s="284" t="e">
        <f>++Tabla4[[#This Row],[Utilidad Total]]/Tabla4[[#This Row],[Total]]</f>
        <v>#N/A</v>
      </c>
      <c r="P4324" s="282">
        <f>++Tabla4[[#This Row],[Precio Descontado]]*Tabla4[[#This Row],[Cantidad]]</f>
        <v>3767.9088390000002</v>
      </c>
      <c r="Q4324" s="282" t="e">
        <f>(INDEX(Tabla6[#All],MATCH(Tabla4[[#This Row],[Producto]],Tabla6[[#All],[PRODUCTO]],0),MATCH(Tabla4[[#This Row],[Mes]],Tabla6[#Headers],0)))</f>
        <v>#N/A</v>
      </c>
      <c r="R4324" s="282" t="e">
        <f>++Tabla4[[#This Row],[Precio Unitario Neto]]-Tabla4[[#This Row],[20.85%]]-Tabla4[[#This Row],[Costo]]</f>
        <v>#N/A</v>
      </c>
      <c r="S4324" s="282" t="e">
        <f>++Tabla4[[#This Row],[U. Bruta Uni]]*Tabla4[[#This Row],[Cantidad]]</f>
        <v>#N/A</v>
      </c>
      <c r="T4324" s="369" t="str">
        <f>VLOOKUP(Tabla4[[#This Row],[Producto]],Tabla6[#All],14,FALSE)</f>
        <v>Termico Solar</v>
      </c>
      <c r="U4324" s="284" t="e">
        <f>(IF(Tabla4[[#This Row],[Familia]]="termico solar",Tabla4[[#This Row],[Utilidad Total]]*6%,Tabla4[[#This Row],[Utilidad Total]]*11.5%))/Tabla4[[#This Row],[Total]]</f>
        <v>#N/A</v>
      </c>
      <c r="V4324" s="282" t="e">
        <f>+Tabla4[[#This Row],[Comisión Calculada]]*Tabla4[[#This Row],[Total]]</f>
        <v>#N/A</v>
      </c>
    </row>
    <row r="4325" spans="1:22" hidden="1" x14ac:dyDescent="0.25">
      <c r="A4325" s="100">
        <v>45853</v>
      </c>
      <c r="B4325" t="str">
        <f t="shared" si="216"/>
        <v>July</v>
      </c>
      <c r="C4325" s="46" t="s">
        <v>280</v>
      </c>
      <c r="F4325" s="366" t="s">
        <v>2338</v>
      </c>
      <c r="G4325" s="46" t="s">
        <v>83</v>
      </c>
      <c r="H4325" s="46">
        <v>1</v>
      </c>
      <c r="I4325" s="51">
        <v>8858.76</v>
      </c>
      <c r="J4325" s="281">
        <f>++Tabla4[[#This Row],[Precio Bruto]]*1.16</f>
        <v>10276.161599999999</v>
      </c>
      <c r="K4325" s="281">
        <f>+Tabla4[[#This Row],[Precio Unitario Neto]]*Tabla4[[#Headers],[20.85%]]</f>
        <v>2142.5796935999997</v>
      </c>
      <c r="L4325" s="282">
        <f>++Tabla4[[#This Row],[Precio Unitario Neto]]-Tabla4[[#This Row],[20.85%]]</f>
        <v>8133.5819063999998</v>
      </c>
      <c r="M4325" s="282" t="e">
        <f>(INDEX(Tabla6[#All],MATCH(Tabla4[[#This Row],[Producto]],Tabla6[[#All],[PRODUCTO]],0),MATCH(Tabla4[[#This Row],[Mes]],Tabla6[#Headers],0)))*(1+Catalogos!$L$2)</f>
        <v>#N/A</v>
      </c>
      <c r="N4325" s="283" t="e">
        <f>+(Tabla4[[#This Row],[Precio Descontado]]-Tabla4[[#This Row],[Precio Base]])*Tabla4[[#This Row],[Cantidad]]</f>
        <v>#N/A</v>
      </c>
      <c r="O4325" s="284" t="e">
        <f>++Tabla4[[#This Row],[Utilidad Total]]/Tabla4[[#This Row],[Total]]</f>
        <v>#N/A</v>
      </c>
      <c r="P4325" s="282">
        <f>++Tabla4[[#This Row],[Precio Descontado]]*Tabla4[[#This Row],[Cantidad]]</f>
        <v>8133.5819063999998</v>
      </c>
      <c r="Q4325" s="282" t="e">
        <f>(INDEX(Tabla6[#All],MATCH(Tabla4[[#This Row],[Producto]],Tabla6[[#All],[PRODUCTO]],0),MATCH(Tabla4[[#This Row],[Mes]],Tabla6[#Headers],0)))</f>
        <v>#N/A</v>
      </c>
      <c r="R4325" s="282" t="e">
        <f>++Tabla4[[#This Row],[Precio Unitario Neto]]-Tabla4[[#This Row],[20.85%]]-Tabla4[[#This Row],[Costo]]</f>
        <v>#N/A</v>
      </c>
      <c r="S4325" s="282" t="e">
        <f>++Tabla4[[#This Row],[U. Bruta Uni]]*Tabla4[[#This Row],[Cantidad]]</f>
        <v>#N/A</v>
      </c>
      <c r="T4325" s="369" t="str">
        <f>VLOOKUP(Tabla4[[#This Row],[Producto]],Tabla6[#All],14,FALSE)</f>
        <v>Termico Solar</v>
      </c>
      <c r="U4325" s="284" t="e">
        <f>(IF(Tabla4[[#This Row],[Familia]]="termico solar",Tabla4[[#This Row],[Utilidad Total]]*6%,Tabla4[[#This Row],[Utilidad Total]]*11.5%))/Tabla4[[#This Row],[Total]]</f>
        <v>#N/A</v>
      </c>
      <c r="V4325" s="282" t="e">
        <f>+Tabla4[[#This Row],[Comisión Calculada]]*Tabla4[[#This Row],[Total]]</f>
        <v>#N/A</v>
      </c>
    </row>
    <row r="4326" spans="1:22" hidden="1" x14ac:dyDescent="0.25">
      <c r="A4326" s="100">
        <v>45853</v>
      </c>
      <c r="B4326" t="str">
        <f t="shared" si="216"/>
        <v>July</v>
      </c>
      <c r="C4326" s="46" t="s">
        <v>280</v>
      </c>
      <c r="F4326" s="366" t="s">
        <v>2338</v>
      </c>
      <c r="G4326" s="46" t="s">
        <v>18</v>
      </c>
      <c r="H4326" s="46">
        <v>6</v>
      </c>
      <c r="I4326" s="51">
        <v>5367.6500000000005</v>
      </c>
      <c r="J4326" s="281">
        <f>++Tabla4[[#This Row],[Precio Bruto]]*1.16</f>
        <v>6226.4740000000002</v>
      </c>
      <c r="K4326" s="281">
        <f>+Tabla4[[#This Row],[Precio Unitario Neto]]*Tabla4[[#Headers],[20.85%]]</f>
        <v>1298.2198289999999</v>
      </c>
      <c r="L4326" s="282">
        <f>++Tabla4[[#This Row],[Precio Unitario Neto]]-Tabla4[[#This Row],[20.85%]]</f>
        <v>4928.2541710000005</v>
      </c>
      <c r="M4326" s="282" t="e">
        <f>(INDEX(Tabla6[#All],MATCH(Tabla4[[#This Row],[Producto]],Tabla6[[#All],[PRODUCTO]],0),MATCH(Tabla4[[#This Row],[Mes]],Tabla6[#Headers],0)))*(1+Catalogos!$L$2)</f>
        <v>#N/A</v>
      </c>
      <c r="N4326" s="283" t="e">
        <f>+(Tabla4[[#This Row],[Precio Descontado]]-Tabla4[[#This Row],[Precio Base]])*Tabla4[[#This Row],[Cantidad]]</f>
        <v>#N/A</v>
      </c>
      <c r="O4326" s="284" t="e">
        <f>++Tabla4[[#This Row],[Utilidad Total]]/Tabla4[[#This Row],[Total]]</f>
        <v>#N/A</v>
      </c>
      <c r="P4326" s="282">
        <f>++Tabla4[[#This Row],[Precio Descontado]]*Tabla4[[#This Row],[Cantidad]]</f>
        <v>29569.525026000003</v>
      </c>
      <c r="Q4326" s="282" t="e">
        <f>(INDEX(Tabla6[#All],MATCH(Tabla4[[#This Row],[Producto]],Tabla6[[#All],[PRODUCTO]],0),MATCH(Tabla4[[#This Row],[Mes]],Tabla6[#Headers],0)))</f>
        <v>#N/A</v>
      </c>
      <c r="R4326" s="282" t="e">
        <f>++Tabla4[[#This Row],[Precio Unitario Neto]]-Tabla4[[#This Row],[20.85%]]-Tabla4[[#This Row],[Costo]]</f>
        <v>#N/A</v>
      </c>
      <c r="S4326" s="282" t="e">
        <f>++Tabla4[[#This Row],[U. Bruta Uni]]*Tabla4[[#This Row],[Cantidad]]</f>
        <v>#N/A</v>
      </c>
      <c r="T4326" s="369" t="str">
        <f>VLOOKUP(Tabla4[[#This Row],[Producto]],Tabla6[#All],14,FALSE)</f>
        <v>Termico Solar</v>
      </c>
      <c r="U4326" s="284" t="e">
        <f>(IF(Tabla4[[#This Row],[Familia]]="termico solar",Tabla4[[#This Row],[Utilidad Total]]*6%,Tabla4[[#This Row],[Utilidad Total]]*11.5%))/Tabla4[[#This Row],[Total]]</f>
        <v>#N/A</v>
      </c>
      <c r="V4326" s="282" t="e">
        <f>+Tabla4[[#This Row],[Comisión Calculada]]*Tabla4[[#This Row],[Total]]</f>
        <v>#N/A</v>
      </c>
    </row>
    <row r="4327" spans="1:22" hidden="1" x14ac:dyDescent="0.25">
      <c r="A4327" s="100">
        <v>45853</v>
      </c>
      <c r="B4327" t="str">
        <f t="shared" si="216"/>
        <v>July</v>
      </c>
      <c r="C4327" s="46" t="s">
        <v>280</v>
      </c>
      <c r="F4327" s="366" t="s">
        <v>2338</v>
      </c>
      <c r="G4327" s="46" t="s">
        <v>566</v>
      </c>
      <c r="H4327" s="46">
        <v>2</v>
      </c>
      <c r="I4327" s="51">
        <v>2109.4499999999998</v>
      </c>
      <c r="J4327" s="281">
        <f>++Tabla4[[#This Row],[Precio Bruto]]*1.16</f>
        <v>2446.9619999999995</v>
      </c>
      <c r="K4327" s="281">
        <f>+Tabla4[[#This Row],[Precio Unitario Neto]]*Tabla4[[#Headers],[20.85%]]</f>
        <v>510.19157699999988</v>
      </c>
      <c r="L4327" s="282">
        <f>++Tabla4[[#This Row],[Precio Unitario Neto]]-Tabla4[[#This Row],[20.85%]]</f>
        <v>1936.7704229999997</v>
      </c>
      <c r="M4327" s="282" t="e">
        <f>(INDEX(Tabla6[#All],MATCH(Tabla4[[#This Row],[Producto]],Tabla6[[#All],[PRODUCTO]],0),MATCH(Tabla4[[#This Row],[Mes]],Tabla6[#Headers],0)))*(1+Catalogos!$L$2)</f>
        <v>#N/A</v>
      </c>
      <c r="N4327" s="283" t="e">
        <f>+(Tabla4[[#This Row],[Precio Descontado]]-Tabla4[[#This Row],[Precio Base]])*Tabla4[[#This Row],[Cantidad]]</f>
        <v>#N/A</v>
      </c>
      <c r="O4327" s="284" t="e">
        <f>++Tabla4[[#This Row],[Utilidad Total]]/Tabla4[[#This Row],[Total]]</f>
        <v>#N/A</v>
      </c>
      <c r="P4327" s="282">
        <f>++Tabla4[[#This Row],[Precio Descontado]]*Tabla4[[#This Row],[Cantidad]]</f>
        <v>3873.5408459999994</v>
      </c>
      <c r="Q4327" s="282" t="e">
        <f>(INDEX(Tabla6[#All],MATCH(Tabla4[[#This Row],[Producto]],Tabla6[[#All],[PRODUCTO]],0),MATCH(Tabla4[[#This Row],[Mes]],Tabla6[#Headers],0)))</f>
        <v>#N/A</v>
      </c>
      <c r="R4327" s="282" t="e">
        <f>++Tabla4[[#This Row],[Precio Unitario Neto]]-Tabla4[[#This Row],[20.85%]]-Tabla4[[#This Row],[Costo]]</f>
        <v>#N/A</v>
      </c>
      <c r="S4327" s="282" t="e">
        <f>++Tabla4[[#This Row],[U. Bruta Uni]]*Tabla4[[#This Row],[Cantidad]]</f>
        <v>#N/A</v>
      </c>
      <c r="T4327" s="369" t="str">
        <f>VLOOKUP(Tabla4[[#This Row],[Producto]],Tabla6[#All],14,FALSE)</f>
        <v>Termico Solar</v>
      </c>
      <c r="U4327" s="284" t="e">
        <f>(IF(Tabla4[[#This Row],[Familia]]="termico solar",Tabla4[[#This Row],[Utilidad Total]]*6%,Tabla4[[#This Row],[Utilidad Total]]*11.5%))/Tabla4[[#This Row],[Total]]</f>
        <v>#N/A</v>
      </c>
      <c r="V4327" s="282" t="e">
        <f>+Tabla4[[#This Row],[Comisión Calculada]]*Tabla4[[#This Row],[Total]]</f>
        <v>#N/A</v>
      </c>
    </row>
    <row r="4328" spans="1:22" hidden="1" x14ac:dyDescent="0.25">
      <c r="A4328" s="100">
        <v>45853</v>
      </c>
      <c r="B4328" t="str">
        <f t="shared" si="216"/>
        <v>July</v>
      </c>
      <c r="C4328" s="46" t="s">
        <v>280</v>
      </c>
      <c r="F4328" s="366" t="s">
        <v>2339</v>
      </c>
      <c r="G4328" s="46" t="s">
        <v>83</v>
      </c>
      <c r="H4328" s="46">
        <v>2</v>
      </c>
      <c r="I4328" s="51">
        <v>8858.76</v>
      </c>
      <c r="J4328" s="281">
        <f>++Tabla4[[#This Row],[Precio Bruto]]*1.16</f>
        <v>10276.161599999999</v>
      </c>
      <c r="K4328" s="281">
        <f>+Tabla4[[#This Row],[Precio Unitario Neto]]*Tabla4[[#Headers],[20.85%]]</f>
        <v>2142.5796935999997</v>
      </c>
      <c r="L4328" s="282">
        <f>++Tabla4[[#This Row],[Precio Unitario Neto]]-Tabla4[[#This Row],[20.85%]]</f>
        <v>8133.5819063999998</v>
      </c>
      <c r="M4328" s="282" t="e">
        <f>(INDEX(Tabla6[#All],MATCH(Tabla4[[#This Row],[Producto]],Tabla6[[#All],[PRODUCTO]],0),MATCH(Tabla4[[#This Row],[Mes]],Tabla6[#Headers],0)))*(1+Catalogos!$L$2)</f>
        <v>#N/A</v>
      </c>
      <c r="N4328" s="283" t="e">
        <f>+(Tabla4[[#This Row],[Precio Descontado]]-Tabla4[[#This Row],[Precio Base]])*Tabla4[[#This Row],[Cantidad]]</f>
        <v>#N/A</v>
      </c>
      <c r="O4328" s="284" t="e">
        <f>++Tabla4[[#This Row],[Utilidad Total]]/Tabla4[[#This Row],[Total]]</f>
        <v>#N/A</v>
      </c>
      <c r="P4328" s="282">
        <f>++Tabla4[[#This Row],[Precio Descontado]]*Tabla4[[#This Row],[Cantidad]]</f>
        <v>16267.1638128</v>
      </c>
      <c r="Q4328" s="282" t="e">
        <f>(INDEX(Tabla6[#All],MATCH(Tabla4[[#This Row],[Producto]],Tabla6[[#All],[PRODUCTO]],0),MATCH(Tabla4[[#This Row],[Mes]],Tabla6[#Headers],0)))</f>
        <v>#N/A</v>
      </c>
      <c r="R4328" s="282" t="e">
        <f>++Tabla4[[#This Row],[Precio Unitario Neto]]-Tabla4[[#This Row],[20.85%]]-Tabla4[[#This Row],[Costo]]</f>
        <v>#N/A</v>
      </c>
      <c r="S4328" s="282" t="e">
        <f>++Tabla4[[#This Row],[U. Bruta Uni]]*Tabla4[[#This Row],[Cantidad]]</f>
        <v>#N/A</v>
      </c>
      <c r="T4328" s="369" t="str">
        <f>VLOOKUP(Tabla4[[#This Row],[Producto]],Tabla6[#All],14,FALSE)</f>
        <v>Termico Solar</v>
      </c>
      <c r="U4328" s="284" t="e">
        <f>(IF(Tabla4[[#This Row],[Familia]]="termico solar",Tabla4[[#This Row],[Utilidad Total]]*6%,Tabla4[[#This Row],[Utilidad Total]]*11.5%))/Tabla4[[#This Row],[Total]]</f>
        <v>#N/A</v>
      </c>
      <c r="V4328" s="282" t="e">
        <f>+Tabla4[[#This Row],[Comisión Calculada]]*Tabla4[[#This Row],[Total]]</f>
        <v>#N/A</v>
      </c>
    </row>
    <row r="4329" spans="1:22" hidden="1" x14ac:dyDescent="0.25">
      <c r="A4329" s="100">
        <v>45853</v>
      </c>
      <c r="B4329" t="str">
        <f t="shared" si="216"/>
        <v>July</v>
      </c>
      <c r="C4329" s="46" t="s">
        <v>280</v>
      </c>
      <c r="F4329" s="366" t="s">
        <v>2339</v>
      </c>
      <c r="G4329" s="46" t="s">
        <v>17</v>
      </c>
      <c r="H4329" s="46">
        <v>2</v>
      </c>
      <c r="I4329" s="51">
        <v>4622.28</v>
      </c>
      <c r="J4329" s="281">
        <f>++Tabla4[[#This Row],[Precio Bruto]]*1.16</f>
        <v>5361.8447999999989</v>
      </c>
      <c r="K4329" s="281">
        <f>+Tabla4[[#This Row],[Precio Unitario Neto]]*Tabla4[[#Headers],[20.85%]]</f>
        <v>1117.9446407999997</v>
      </c>
      <c r="L4329" s="282">
        <f>++Tabla4[[#This Row],[Precio Unitario Neto]]-Tabla4[[#This Row],[20.85%]]</f>
        <v>4243.9001591999995</v>
      </c>
      <c r="M4329" s="282" t="e">
        <f>(INDEX(Tabla6[#All],MATCH(Tabla4[[#This Row],[Producto]],Tabla6[[#All],[PRODUCTO]],0),MATCH(Tabla4[[#This Row],[Mes]],Tabla6[#Headers],0)))*(1+Catalogos!$L$2)</f>
        <v>#N/A</v>
      </c>
      <c r="N4329" s="283" t="e">
        <f>+(Tabla4[[#This Row],[Precio Descontado]]-Tabla4[[#This Row],[Precio Base]])*Tabla4[[#This Row],[Cantidad]]</f>
        <v>#N/A</v>
      </c>
      <c r="O4329" s="284" t="e">
        <f>++Tabla4[[#This Row],[Utilidad Total]]/Tabla4[[#This Row],[Total]]</f>
        <v>#N/A</v>
      </c>
      <c r="P4329" s="282">
        <f>++Tabla4[[#This Row],[Precio Descontado]]*Tabla4[[#This Row],[Cantidad]]</f>
        <v>8487.800318399999</v>
      </c>
      <c r="Q4329" s="282" t="e">
        <f>(INDEX(Tabla6[#All],MATCH(Tabla4[[#This Row],[Producto]],Tabla6[[#All],[PRODUCTO]],0),MATCH(Tabla4[[#This Row],[Mes]],Tabla6[#Headers],0)))</f>
        <v>#N/A</v>
      </c>
      <c r="R4329" s="282" t="e">
        <f>++Tabla4[[#This Row],[Precio Unitario Neto]]-Tabla4[[#This Row],[20.85%]]-Tabla4[[#This Row],[Costo]]</f>
        <v>#N/A</v>
      </c>
      <c r="S4329" s="282" t="e">
        <f>++Tabla4[[#This Row],[U. Bruta Uni]]*Tabla4[[#This Row],[Cantidad]]</f>
        <v>#N/A</v>
      </c>
      <c r="T4329" s="369" t="str">
        <f>VLOOKUP(Tabla4[[#This Row],[Producto]],Tabla6[#All],14,FALSE)</f>
        <v>Termico Solar</v>
      </c>
      <c r="U4329" s="284" t="e">
        <f>(IF(Tabla4[[#This Row],[Familia]]="termico solar",Tabla4[[#This Row],[Utilidad Total]]*6%,Tabla4[[#This Row],[Utilidad Total]]*11.5%))/Tabla4[[#This Row],[Total]]</f>
        <v>#N/A</v>
      </c>
      <c r="V4329" s="282" t="e">
        <f>+Tabla4[[#This Row],[Comisión Calculada]]*Tabla4[[#This Row],[Total]]</f>
        <v>#N/A</v>
      </c>
    </row>
    <row r="4330" spans="1:22" hidden="1" x14ac:dyDescent="0.25">
      <c r="A4330" s="100">
        <v>45853</v>
      </c>
      <c r="B4330" t="str">
        <f t="shared" si="216"/>
        <v>July</v>
      </c>
      <c r="C4330" s="46" t="s">
        <v>280</v>
      </c>
      <c r="F4330" s="366" t="s">
        <v>2339</v>
      </c>
      <c r="G4330" s="46" t="s">
        <v>566</v>
      </c>
      <c r="H4330" s="46">
        <v>1</v>
      </c>
      <c r="I4330" s="51">
        <v>2109.4499999999998</v>
      </c>
      <c r="J4330" s="281">
        <f>++Tabla4[[#This Row],[Precio Bruto]]*1.16</f>
        <v>2446.9619999999995</v>
      </c>
      <c r="K4330" s="281">
        <f>+Tabla4[[#This Row],[Precio Unitario Neto]]*Tabla4[[#Headers],[20.85%]]</f>
        <v>510.19157699999988</v>
      </c>
      <c r="L4330" s="282">
        <f>++Tabla4[[#This Row],[Precio Unitario Neto]]-Tabla4[[#This Row],[20.85%]]</f>
        <v>1936.7704229999997</v>
      </c>
      <c r="M4330" s="282" t="e">
        <f>(INDEX(Tabla6[#All],MATCH(Tabla4[[#This Row],[Producto]],Tabla6[[#All],[PRODUCTO]],0),MATCH(Tabla4[[#This Row],[Mes]],Tabla6[#Headers],0)))*(1+Catalogos!$L$2)</f>
        <v>#N/A</v>
      </c>
      <c r="N4330" s="283" t="e">
        <f>+(Tabla4[[#This Row],[Precio Descontado]]-Tabla4[[#This Row],[Precio Base]])*Tabla4[[#This Row],[Cantidad]]</f>
        <v>#N/A</v>
      </c>
      <c r="O4330" s="284" t="e">
        <f>++Tabla4[[#This Row],[Utilidad Total]]/Tabla4[[#This Row],[Total]]</f>
        <v>#N/A</v>
      </c>
      <c r="P4330" s="282">
        <f>++Tabla4[[#This Row],[Precio Descontado]]*Tabla4[[#This Row],[Cantidad]]</f>
        <v>1936.7704229999997</v>
      </c>
      <c r="Q4330" s="282" t="e">
        <f>(INDEX(Tabla6[#All],MATCH(Tabla4[[#This Row],[Producto]],Tabla6[[#All],[PRODUCTO]],0),MATCH(Tabla4[[#This Row],[Mes]],Tabla6[#Headers],0)))</f>
        <v>#N/A</v>
      </c>
      <c r="R4330" s="282" t="e">
        <f>++Tabla4[[#This Row],[Precio Unitario Neto]]-Tabla4[[#This Row],[20.85%]]-Tabla4[[#This Row],[Costo]]</f>
        <v>#N/A</v>
      </c>
      <c r="S4330" s="282" t="e">
        <f>++Tabla4[[#This Row],[U. Bruta Uni]]*Tabla4[[#This Row],[Cantidad]]</f>
        <v>#N/A</v>
      </c>
      <c r="T4330" s="369" t="str">
        <f>VLOOKUP(Tabla4[[#This Row],[Producto]],Tabla6[#All],14,FALSE)</f>
        <v>Termico Solar</v>
      </c>
      <c r="U4330" s="284" t="e">
        <f>(IF(Tabla4[[#This Row],[Familia]]="termico solar",Tabla4[[#This Row],[Utilidad Total]]*6%,Tabla4[[#This Row],[Utilidad Total]]*11.5%))/Tabla4[[#This Row],[Total]]</f>
        <v>#N/A</v>
      </c>
      <c r="V4330" s="282" t="e">
        <f>+Tabla4[[#This Row],[Comisión Calculada]]*Tabla4[[#This Row],[Total]]</f>
        <v>#N/A</v>
      </c>
    </row>
    <row r="4331" spans="1:22" hidden="1" x14ac:dyDescent="0.25">
      <c r="A4331" s="100">
        <v>45853</v>
      </c>
      <c r="B4331" t="str">
        <f t="shared" si="216"/>
        <v>July</v>
      </c>
      <c r="C4331" s="46" t="s">
        <v>280</v>
      </c>
      <c r="F4331" s="366" t="s">
        <v>2340</v>
      </c>
      <c r="G4331" s="46" t="s">
        <v>17</v>
      </c>
      <c r="H4331" s="46">
        <v>2</v>
      </c>
      <c r="I4331" s="51">
        <v>4622.28</v>
      </c>
      <c r="J4331" s="281">
        <f>++Tabla4[[#This Row],[Precio Bruto]]*1.16</f>
        <v>5361.8447999999989</v>
      </c>
      <c r="K4331" s="281">
        <f>+Tabla4[[#This Row],[Precio Unitario Neto]]*Tabla4[[#Headers],[20.85%]]</f>
        <v>1117.9446407999997</v>
      </c>
      <c r="L4331" s="282">
        <f>++Tabla4[[#This Row],[Precio Unitario Neto]]-Tabla4[[#This Row],[20.85%]]</f>
        <v>4243.9001591999995</v>
      </c>
      <c r="M4331" s="282" t="e">
        <f>(INDEX(Tabla6[#All],MATCH(Tabla4[[#This Row],[Producto]],Tabla6[[#All],[PRODUCTO]],0),MATCH(Tabla4[[#This Row],[Mes]],Tabla6[#Headers],0)))*(1+Catalogos!$L$2)</f>
        <v>#N/A</v>
      </c>
      <c r="N4331" s="283" t="e">
        <f>+(Tabla4[[#This Row],[Precio Descontado]]-Tabla4[[#This Row],[Precio Base]])*Tabla4[[#This Row],[Cantidad]]</f>
        <v>#N/A</v>
      </c>
      <c r="O4331" s="284" t="e">
        <f>++Tabla4[[#This Row],[Utilidad Total]]/Tabla4[[#This Row],[Total]]</f>
        <v>#N/A</v>
      </c>
      <c r="P4331" s="282">
        <f>++Tabla4[[#This Row],[Precio Descontado]]*Tabla4[[#This Row],[Cantidad]]</f>
        <v>8487.800318399999</v>
      </c>
      <c r="Q4331" s="282" t="e">
        <f>(INDEX(Tabla6[#All],MATCH(Tabla4[[#This Row],[Producto]],Tabla6[[#All],[PRODUCTO]],0),MATCH(Tabla4[[#This Row],[Mes]],Tabla6[#Headers],0)))</f>
        <v>#N/A</v>
      </c>
      <c r="R4331" s="282" t="e">
        <f>++Tabla4[[#This Row],[Precio Unitario Neto]]-Tabla4[[#This Row],[20.85%]]-Tabla4[[#This Row],[Costo]]</f>
        <v>#N/A</v>
      </c>
      <c r="S4331" s="282" t="e">
        <f>++Tabla4[[#This Row],[U. Bruta Uni]]*Tabla4[[#This Row],[Cantidad]]</f>
        <v>#N/A</v>
      </c>
      <c r="T4331" s="369" t="str">
        <f>VLOOKUP(Tabla4[[#This Row],[Producto]],Tabla6[#All],14,FALSE)</f>
        <v>Termico Solar</v>
      </c>
      <c r="U4331" s="284" t="e">
        <f>(IF(Tabla4[[#This Row],[Familia]]="termico solar",Tabla4[[#This Row],[Utilidad Total]]*6%,Tabla4[[#This Row],[Utilidad Total]]*11.5%))/Tabla4[[#This Row],[Total]]</f>
        <v>#N/A</v>
      </c>
      <c r="V4331" s="282" t="e">
        <f>+Tabla4[[#This Row],[Comisión Calculada]]*Tabla4[[#This Row],[Total]]</f>
        <v>#N/A</v>
      </c>
    </row>
    <row r="4332" spans="1:22" hidden="1" x14ac:dyDescent="0.25">
      <c r="A4332" s="100">
        <v>45853</v>
      </c>
      <c r="B4332" t="str">
        <f t="shared" si="216"/>
        <v>July</v>
      </c>
      <c r="C4332" s="46" t="s">
        <v>280</v>
      </c>
      <c r="F4332" s="366" t="s">
        <v>2340</v>
      </c>
      <c r="G4332" s="46" t="s">
        <v>18</v>
      </c>
      <c r="H4332" s="46">
        <v>2</v>
      </c>
      <c r="I4332" s="51">
        <v>5367.65</v>
      </c>
      <c r="J4332" s="281">
        <f>++Tabla4[[#This Row],[Precio Bruto]]*1.16</f>
        <v>6226.4739999999993</v>
      </c>
      <c r="K4332" s="281">
        <f>+Tabla4[[#This Row],[Precio Unitario Neto]]*Tabla4[[#Headers],[20.85%]]</f>
        <v>1298.2198289999999</v>
      </c>
      <c r="L4332" s="282">
        <f>++Tabla4[[#This Row],[Precio Unitario Neto]]-Tabla4[[#This Row],[20.85%]]</f>
        <v>4928.2541709999996</v>
      </c>
      <c r="M4332" s="282" t="e">
        <f>(INDEX(Tabla6[#All],MATCH(Tabla4[[#This Row],[Producto]],Tabla6[[#All],[PRODUCTO]],0),MATCH(Tabla4[[#This Row],[Mes]],Tabla6[#Headers],0)))*(1+Catalogos!$L$2)</f>
        <v>#N/A</v>
      </c>
      <c r="N4332" s="283" t="e">
        <f>+(Tabla4[[#This Row],[Precio Descontado]]-Tabla4[[#This Row],[Precio Base]])*Tabla4[[#This Row],[Cantidad]]</f>
        <v>#N/A</v>
      </c>
      <c r="O4332" s="284" t="e">
        <f>++Tabla4[[#This Row],[Utilidad Total]]/Tabla4[[#This Row],[Total]]</f>
        <v>#N/A</v>
      </c>
      <c r="P4332" s="282">
        <f>++Tabla4[[#This Row],[Precio Descontado]]*Tabla4[[#This Row],[Cantidad]]</f>
        <v>9856.5083419999992</v>
      </c>
      <c r="Q4332" s="282" t="e">
        <f>(INDEX(Tabla6[#All],MATCH(Tabla4[[#This Row],[Producto]],Tabla6[[#All],[PRODUCTO]],0),MATCH(Tabla4[[#This Row],[Mes]],Tabla6[#Headers],0)))</f>
        <v>#N/A</v>
      </c>
      <c r="R4332" s="282" t="e">
        <f>++Tabla4[[#This Row],[Precio Unitario Neto]]-Tabla4[[#This Row],[20.85%]]-Tabla4[[#This Row],[Costo]]</f>
        <v>#N/A</v>
      </c>
      <c r="S4332" s="282" t="e">
        <f>++Tabla4[[#This Row],[U. Bruta Uni]]*Tabla4[[#This Row],[Cantidad]]</f>
        <v>#N/A</v>
      </c>
      <c r="T4332" s="369" t="str">
        <f>VLOOKUP(Tabla4[[#This Row],[Producto]],Tabla6[#All],14,FALSE)</f>
        <v>Termico Solar</v>
      </c>
      <c r="U4332" s="284" t="e">
        <f>(IF(Tabla4[[#This Row],[Familia]]="termico solar",Tabla4[[#This Row],[Utilidad Total]]*6%,Tabla4[[#This Row],[Utilidad Total]]*11.5%))/Tabla4[[#This Row],[Total]]</f>
        <v>#N/A</v>
      </c>
      <c r="V4332" s="282" t="e">
        <f>+Tabla4[[#This Row],[Comisión Calculada]]*Tabla4[[#This Row],[Total]]</f>
        <v>#N/A</v>
      </c>
    </row>
    <row r="4333" spans="1:22" hidden="1" x14ac:dyDescent="0.25">
      <c r="A4333" s="100">
        <v>45853</v>
      </c>
      <c r="B4333" t="str">
        <f t="shared" si="216"/>
        <v>July</v>
      </c>
      <c r="C4333" s="46" t="s">
        <v>280</v>
      </c>
      <c r="F4333" s="366" t="s">
        <v>2340</v>
      </c>
      <c r="G4333" s="46" t="s">
        <v>208</v>
      </c>
      <c r="H4333" s="46">
        <v>1</v>
      </c>
      <c r="I4333" s="51">
        <v>189.75</v>
      </c>
      <c r="J4333" s="281">
        <f>++Tabla4[[#This Row],[Precio Bruto]]*1.16</f>
        <v>220.10999999999999</v>
      </c>
      <c r="K4333" s="281">
        <f>+Tabla4[[#This Row],[Precio Unitario Neto]]*Tabla4[[#Headers],[20.85%]]</f>
        <v>45.892934999999994</v>
      </c>
      <c r="L4333" s="282">
        <f>++Tabla4[[#This Row],[Precio Unitario Neto]]-Tabla4[[#This Row],[20.85%]]</f>
        <v>174.21706499999999</v>
      </c>
      <c r="M4333" s="282" t="e">
        <f>(INDEX(Tabla6[#All],MATCH(Tabla4[[#This Row],[Producto]],Tabla6[[#All],[PRODUCTO]],0),MATCH(Tabla4[[#This Row],[Mes]],Tabla6[#Headers],0)))*(1+Catalogos!$L$2)</f>
        <v>#N/A</v>
      </c>
      <c r="N4333" s="283" t="e">
        <f>+(Tabla4[[#This Row],[Precio Descontado]]-Tabla4[[#This Row],[Precio Base]])*Tabla4[[#This Row],[Cantidad]]</f>
        <v>#N/A</v>
      </c>
      <c r="O4333" s="284" t="e">
        <f>++Tabla4[[#This Row],[Utilidad Total]]/Tabla4[[#This Row],[Total]]</f>
        <v>#N/A</v>
      </c>
      <c r="P4333" s="282">
        <f>++Tabla4[[#This Row],[Precio Descontado]]*Tabla4[[#This Row],[Cantidad]]</f>
        <v>174.21706499999999</v>
      </c>
      <c r="Q4333" s="282" t="e">
        <f>(INDEX(Tabla6[#All],MATCH(Tabla4[[#This Row],[Producto]],Tabla6[[#All],[PRODUCTO]],0),MATCH(Tabla4[[#This Row],[Mes]],Tabla6[#Headers],0)))</f>
        <v>#N/A</v>
      </c>
      <c r="R4333" s="282" t="e">
        <f>++Tabla4[[#This Row],[Precio Unitario Neto]]-Tabla4[[#This Row],[20.85%]]-Tabla4[[#This Row],[Costo]]</f>
        <v>#N/A</v>
      </c>
      <c r="S4333" s="282" t="e">
        <f>++Tabla4[[#This Row],[U. Bruta Uni]]*Tabla4[[#This Row],[Cantidad]]</f>
        <v>#N/A</v>
      </c>
      <c r="T4333" s="369" t="str">
        <f>VLOOKUP(Tabla4[[#This Row],[Producto]],Tabla6[#All],14,FALSE)</f>
        <v>Termico Solar</v>
      </c>
      <c r="U4333" s="284" t="e">
        <f>(IF(Tabla4[[#This Row],[Familia]]="termico solar",Tabla4[[#This Row],[Utilidad Total]]*6%,Tabla4[[#This Row],[Utilidad Total]]*11.5%))/Tabla4[[#This Row],[Total]]</f>
        <v>#N/A</v>
      </c>
      <c r="V4333" s="282" t="e">
        <f>+Tabla4[[#This Row],[Comisión Calculada]]*Tabla4[[#This Row],[Total]]</f>
        <v>#N/A</v>
      </c>
    </row>
    <row r="4334" spans="1:22" hidden="1" x14ac:dyDescent="0.25">
      <c r="A4334" s="100">
        <v>45853</v>
      </c>
      <c r="B4334" t="str">
        <f t="shared" si="216"/>
        <v>July</v>
      </c>
      <c r="C4334" s="46" t="s">
        <v>280</v>
      </c>
      <c r="F4334" s="366" t="s">
        <v>2341</v>
      </c>
      <c r="G4334" s="46" t="s">
        <v>16</v>
      </c>
      <c r="H4334" s="46">
        <v>1</v>
      </c>
      <c r="I4334" s="51">
        <v>4103.8500000000004</v>
      </c>
      <c r="J4334" s="281">
        <f>++Tabla4[[#This Row],[Precio Bruto]]*1.16</f>
        <v>4760.4660000000003</v>
      </c>
      <c r="K4334" s="281">
        <f>+Tabla4[[#This Row],[Precio Unitario Neto]]*Tabla4[[#Headers],[20.85%]]</f>
        <v>992.55716100000006</v>
      </c>
      <c r="L4334" s="282">
        <f>++Tabla4[[#This Row],[Precio Unitario Neto]]-Tabla4[[#This Row],[20.85%]]</f>
        <v>3767.9088390000002</v>
      </c>
      <c r="M4334" s="282" t="e">
        <f>(INDEX(Tabla6[#All],MATCH(Tabla4[[#This Row],[Producto]],Tabla6[[#All],[PRODUCTO]],0),MATCH(Tabla4[[#This Row],[Mes]],Tabla6[#Headers],0)))*(1+Catalogos!$L$2)</f>
        <v>#N/A</v>
      </c>
      <c r="N4334" s="283" t="e">
        <f>+(Tabla4[[#This Row],[Precio Descontado]]-Tabla4[[#This Row],[Precio Base]])*Tabla4[[#This Row],[Cantidad]]</f>
        <v>#N/A</v>
      </c>
      <c r="O4334" s="284" t="e">
        <f>++Tabla4[[#This Row],[Utilidad Total]]/Tabla4[[#This Row],[Total]]</f>
        <v>#N/A</v>
      </c>
      <c r="P4334" s="282">
        <f>++Tabla4[[#This Row],[Precio Descontado]]*Tabla4[[#This Row],[Cantidad]]</f>
        <v>3767.9088390000002</v>
      </c>
      <c r="Q4334" s="282" t="e">
        <f>(INDEX(Tabla6[#All],MATCH(Tabla4[[#This Row],[Producto]],Tabla6[[#All],[PRODUCTO]],0),MATCH(Tabla4[[#This Row],[Mes]],Tabla6[#Headers],0)))</f>
        <v>#N/A</v>
      </c>
      <c r="R4334" s="282" t="e">
        <f>++Tabla4[[#This Row],[Precio Unitario Neto]]-Tabla4[[#This Row],[20.85%]]-Tabla4[[#This Row],[Costo]]</f>
        <v>#N/A</v>
      </c>
      <c r="S4334" s="282" t="e">
        <f>++Tabla4[[#This Row],[U. Bruta Uni]]*Tabla4[[#This Row],[Cantidad]]</f>
        <v>#N/A</v>
      </c>
      <c r="T4334" s="369" t="str">
        <f>VLOOKUP(Tabla4[[#This Row],[Producto]],Tabla6[#All],14,FALSE)</f>
        <v>Termico Solar</v>
      </c>
      <c r="U4334" s="284" t="e">
        <f>(IF(Tabla4[[#This Row],[Familia]]="termico solar",Tabla4[[#This Row],[Utilidad Total]]*6%,Tabla4[[#This Row],[Utilidad Total]]*11.5%))/Tabla4[[#This Row],[Total]]</f>
        <v>#N/A</v>
      </c>
      <c r="V4334" s="282" t="e">
        <f>+Tabla4[[#This Row],[Comisión Calculada]]*Tabla4[[#This Row],[Total]]</f>
        <v>#N/A</v>
      </c>
    </row>
    <row r="4335" spans="1:22" hidden="1" x14ac:dyDescent="0.25">
      <c r="A4335" s="100">
        <v>45853</v>
      </c>
      <c r="B4335" t="str">
        <f t="shared" si="216"/>
        <v>July</v>
      </c>
      <c r="C4335" s="46" t="s">
        <v>280</v>
      </c>
      <c r="F4335" s="366" t="s">
        <v>2342</v>
      </c>
      <c r="G4335" s="46" t="s">
        <v>83</v>
      </c>
      <c r="H4335" s="46">
        <v>1</v>
      </c>
      <c r="I4335" s="51">
        <v>8858.76</v>
      </c>
      <c r="J4335" s="281">
        <f>++Tabla4[[#This Row],[Precio Bruto]]*1.16</f>
        <v>10276.161599999999</v>
      </c>
      <c r="K4335" s="281">
        <f>+Tabla4[[#This Row],[Precio Unitario Neto]]*Tabla4[[#Headers],[20.85%]]</f>
        <v>2142.5796935999997</v>
      </c>
      <c r="L4335" s="282">
        <f>++Tabla4[[#This Row],[Precio Unitario Neto]]-Tabla4[[#This Row],[20.85%]]</f>
        <v>8133.5819063999998</v>
      </c>
      <c r="M4335" s="282" t="e">
        <f>(INDEX(Tabla6[#All],MATCH(Tabla4[[#This Row],[Producto]],Tabla6[[#All],[PRODUCTO]],0),MATCH(Tabla4[[#This Row],[Mes]],Tabla6[#Headers],0)))*(1+Catalogos!$L$2)</f>
        <v>#N/A</v>
      </c>
      <c r="N4335" s="283" t="e">
        <f>+(Tabla4[[#This Row],[Precio Descontado]]-Tabla4[[#This Row],[Precio Base]])*Tabla4[[#This Row],[Cantidad]]</f>
        <v>#N/A</v>
      </c>
      <c r="O4335" s="284" t="e">
        <f>++Tabla4[[#This Row],[Utilidad Total]]/Tabla4[[#This Row],[Total]]</f>
        <v>#N/A</v>
      </c>
      <c r="P4335" s="282">
        <f>++Tabla4[[#This Row],[Precio Descontado]]*Tabla4[[#This Row],[Cantidad]]</f>
        <v>8133.5819063999998</v>
      </c>
      <c r="Q4335" s="282" t="e">
        <f>(INDEX(Tabla6[#All],MATCH(Tabla4[[#This Row],[Producto]],Tabla6[[#All],[PRODUCTO]],0),MATCH(Tabla4[[#This Row],[Mes]],Tabla6[#Headers],0)))</f>
        <v>#N/A</v>
      </c>
      <c r="R4335" s="282" t="e">
        <f>++Tabla4[[#This Row],[Precio Unitario Neto]]-Tabla4[[#This Row],[20.85%]]-Tabla4[[#This Row],[Costo]]</f>
        <v>#N/A</v>
      </c>
      <c r="S4335" s="282" t="e">
        <f>++Tabla4[[#This Row],[U. Bruta Uni]]*Tabla4[[#This Row],[Cantidad]]</f>
        <v>#N/A</v>
      </c>
      <c r="T4335" s="369" t="str">
        <f>VLOOKUP(Tabla4[[#This Row],[Producto]],Tabla6[#All],14,FALSE)</f>
        <v>Termico Solar</v>
      </c>
      <c r="U4335" s="284" t="e">
        <f>(IF(Tabla4[[#This Row],[Familia]]="termico solar",Tabla4[[#This Row],[Utilidad Total]]*6%,Tabla4[[#This Row],[Utilidad Total]]*11.5%))/Tabla4[[#This Row],[Total]]</f>
        <v>#N/A</v>
      </c>
      <c r="V4335" s="282" t="e">
        <f>+Tabla4[[#This Row],[Comisión Calculada]]*Tabla4[[#This Row],[Total]]</f>
        <v>#N/A</v>
      </c>
    </row>
    <row r="4336" spans="1:22" hidden="1" x14ac:dyDescent="0.25">
      <c r="A4336" s="100">
        <v>45853</v>
      </c>
      <c r="B4336" t="str">
        <f t="shared" si="216"/>
        <v>July</v>
      </c>
      <c r="C4336" s="46" t="s">
        <v>280</v>
      </c>
      <c r="F4336" s="366" t="s">
        <v>2342</v>
      </c>
      <c r="G4336" s="46" t="s">
        <v>16</v>
      </c>
      <c r="H4336" s="46">
        <v>1</v>
      </c>
      <c r="I4336" s="51">
        <v>4103.8500000000004</v>
      </c>
      <c r="J4336" s="281">
        <f>++Tabla4[[#This Row],[Precio Bruto]]*1.16</f>
        <v>4760.4660000000003</v>
      </c>
      <c r="K4336" s="281">
        <f>+Tabla4[[#This Row],[Precio Unitario Neto]]*Tabla4[[#Headers],[20.85%]]</f>
        <v>992.55716100000006</v>
      </c>
      <c r="L4336" s="282">
        <f>++Tabla4[[#This Row],[Precio Unitario Neto]]-Tabla4[[#This Row],[20.85%]]</f>
        <v>3767.9088390000002</v>
      </c>
      <c r="M4336" s="282" t="e">
        <f>(INDEX(Tabla6[#All],MATCH(Tabla4[[#This Row],[Producto]],Tabla6[[#All],[PRODUCTO]],0),MATCH(Tabla4[[#This Row],[Mes]],Tabla6[#Headers],0)))*(1+Catalogos!$L$2)</f>
        <v>#N/A</v>
      </c>
      <c r="N4336" s="283" t="e">
        <f>+(Tabla4[[#This Row],[Precio Descontado]]-Tabla4[[#This Row],[Precio Base]])*Tabla4[[#This Row],[Cantidad]]</f>
        <v>#N/A</v>
      </c>
      <c r="O4336" s="284" t="e">
        <f>++Tabla4[[#This Row],[Utilidad Total]]/Tabla4[[#This Row],[Total]]</f>
        <v>#N/A</v>
      </c>
      <c r="P4336" s="282">
        <f>++Tabla4[[#This Row],[Precio Descontado]]*Tabla4[[#This Row],[Cantidad]]</f>
        <v>3767.9088390000002</v>
      </c>
      <c r="Q4336" s="282" t="e">
        <f>(INDEX(Tabla6[#All],MATCH(Tabla4[[#This Row],[Producto]],Tabla6[[#All],[PRODUCTO]],0),MATCH(Tabla4[[#This Row],[Mes]],Tabla6[#Headers],0)))</f>
        <v>#N/A</v>
      </c>
      <c r="R4336" s="282" t="e">
        <f>++Tabla4[[#This Row],[Precio Unitario Neto]]-Tabla4[[#This Row],[20.85%]]-Tabla4[[#This Row],[Costo]]</f>
        <v>#N/A</v>
      </c>
      <c r="S4336" s="282" t="e">
        <f>++Tabla4[[#This Row],[U. Bruta Uni]]*Tabla4[[#This Row],[Cantidad]]</f>
        <v>#N/A</v>
      </c>
      <c r="T4336" s="369" t="str">
        <f>VLOOKUP(Tabla4[[#This Row],[Producto]],Tabla6[#All],14,FALSE)</f>
        <v>Termico Solar</v>
      </c>
      <c r="U4336" s="284" t="e">
        <f>(IF(Tabla4[[#This Row],[Familia]]="termico solar",Tabla4[[#This Row],[Utilidad Total]]*6%,Tabla4[[#This Row],[Utilidad Total]]*11.5%))/Tabla4[[#This Row],[Total]]</f>
        <v>#N/A</v>
      </c>
      <c r="V4336" s="282" t="e">
        <f>+Tabla4[[#This Row],[Comisión Calculada]]*Tabla4[[#This Row],[Total]]</f>
        <v>#N/A</v>
      </c>
    </row>
    <row r="4337" spans="1:22" hidden="1" x14ac:dyDescent="0.25">
      <c r="A4337" s="100">
        <v>45853</v>
      </c>
      <c r="B4337" t="str">
        <f t="shared" si="216"/>
        <v>July</v>
      </c>
      <c r="C4337" s="46" t="s">
        <v>280</v>
      </c>
      <c r="F4337" s="366" t="s">
        <v>2343</v>
      </c>
      <c r="G4337" s="46" t="s">
        <v>208</v>
      </c>
      <c r="H4337" s="46">
        <v>1</v>
      </c>
      <c r="I4337" s="51">
        <v>189.75</v>
      </c>
      <c r="J4337" s="281">
        <f>++Tabla4[[#This Row],[Precio Bruto]]*1.16</f>
        <v>220.10999999999999</v>
      </c>
      <c r="K4337" s="281">
        <f>+Tabla4[[#This Row],[Precio Unitario Neto]]*Tabla4[[#Headers],[20.85%]]</f>
        <v>45.892934999999994</v>
      </c>
      <c r="L4337" s="282">
        <f>++Tabla4[[#This Row],[Precio Unitario Neto]]-Tabla4[[#This Row],[20.85%]]</f>
        <v>174.21706499999999</v>
      </c>
      <c r="M4337" s="282" t="e">
        <f>(INDEX(Tabla6[#All],MATCH(Tabla4[[#This Row],[Producto]],Tabla6[[#All],[PRODUCTO]],0),MATCH(Tabla4[[#This Row],[Mes]],Tabla6[#Headers],0)))*(1+Catalogos!$L$2)</f>
        <v>#N/A</v>
      </c>
      <c r="N4337" s="283" t="e">
        <f>+(Tabla4[[#This Row],[Precio Descontado]]-Tabla4[[#This Row],[Precio Base]])*Tabla4[[#This Row],[Cantidad]]</f>
        <v>#N/A</v>
      </c>
      <c r="O4337" s="284" t="e">
        <f>++Tabla4[[#This Row],[Utilidad Total]]/Tabla4[[#This Row],[Total]]</f>
        <v>#N/A</v>
      </c>
      <c r="P4337" s="282">
        <f>++Tabla4[[#This Row],[Precio Descontado]]*Tabla4[[#This Row],[Cantidad]]</f>
        <v>174.21706499999999</v>
      </c>
      <c r="Q4337" s="282" t="e">
        <f>(INDEX(Tabla6[#All],MATCH(Tabla4[[#This Row],[Producto]],Tabla6[[#All],[PRODUCTO]],0),MATCH(Tabla4[[#This Row],[Mes]],Tabla6[#Headers],0)))</f>
        <v>#N/A</v>
      </c>
      <c r="R4337" s="282" t="e">
        <f>++Tabla4[[#This Row],[Precio Unitario Neto]]-Tabla4[[#This Row],[20.85%]]-Tabla4[[#This Row],[Costo]]</f>
        <v>#N/A</v>
      </c>
      <c r="S4337" s="282" t="e">
        <f>++Tabla4[[#This Row],[U. Bruta Uni]]*Tabla4[[#This Row],[Cantidad]]</f>
        <v>#N/A</v>
      </c>
      <c r="T4337" s="369" t="str">
        <f>VLOOKUP(Tabla4[[#This Row],[Producto]],Tabla6[#All],14,FALSE)</f>
        <v>Termico Solar</v>
      </c>
      <c r="U4337" s="284" t="e">
        <f>(IF(Tabla4[[#This Row],[Familia]]="termico solar",Tabla4[[#This Row],[Utilidad Total]]*6%,Tabla4[[#This Row],[Utilidad Total]]*11.5%))/Tabla4[[#This Row],[Total]]</f>
        <v>#N/A</v>
      </c>
      <c r="V4337" s="282" t="e">
        <f>+Tabla4[[#This Row],[Comisión Calculada]]*Tabla4[[#This Row],[Total]]</f>
        <v>#N/A</v>
      </c>
    </row>
    <row r="4338" spans="1:22" hidden="1" x14ac:dyDescent="0.25">
      <c r="A4338" s="100">
        <v>45853</v>
      </c>
      <c r="B4338" t="str">
        <f t="shared" si="216"/>
        <v>July</v>
      </c>
      <c r="C4338" s="46" t="s">
        <v>280</v>
      </c>
      <c r="F4338" s="366" t="s">
        <v>2344</v>
      </c>
      <c r="G4338" s="46" t="s">
        <v>18</v>
      </c>
      <c r="H4338" s="46">
        <v>1</v>
      </c>
      <c r="I4338" s="51">
        <v>5367.65</v>
      </c>
      <c r="J4338" s="281">
        <f>++Tabla4[[#This Row],[Precio Bruto]]*1.16</f>
        <v>6226.4739999999993</v>
      </c>
      <c r="K4338" s="281">
        <f>+Tabla4[[#This Row],[Precio Unitario Neto]]*Tabla4[[#Headers],[20.85%]]</f>
        <v>1298.2198289999999</v>
      </c>
      <c r="L4338" s="282">
        <f>++Tabla4[[#This Row],[Precio Unitario Neto]]-Tabla4[[#This Row],[20.85%]]</f>
        <v>4928.2541709999996</v>
      </c>
      <c r="M4338" s="282" t="e">
        <f>(INDEX(Tabla6[#All],MATCH(Tabla4[[#This Row],[Producto]],Tabla6[[#All],[PRODUCTO]],0),MATCH(Tabla4[[#This Row],[Mes]],Tabla6[#Headers],0)))*(1+Catalogos!$L$2)</f>
        <v>#N/A</v>
      </c>
      <c r="N4338" s="283" t="e">
        <f>+(Tabla4[[#This Row],[Precio Descontado]]-Tabla4[[#This Row],[Precio Base]])*Tabla4[[#This Row],[Cantidad]]</f>
        <v>#N/A</v>
      </c>
      <c r="O4338" s="284" t="e">
        <f>++Tabla4[[#This Row],[Utilidad Total]]/Tabla4[[#This Row],[Total]]</f>
        <v>#N/A</v>
      </c>
      <c r="P4338" s="282">
        <f>++Tabla4[[#This Row],[Precio Descontado]]*Tabla4[[#This Row],[Cantidad]]</f>
        <v>4928.2541709999996</v>
      </c>
      <c r="Q4338" s="282" t="e">
        <f>(INDEX(Tabla6[#All],MATCH(Tabla4[[#This Row],[Producto]],Tabla6[[#All],[PRODUCTO]],0),MATCH(Tabla4[[#This Row],[Mes]],Tabla6[#Headers],0)))</f>
        <v>#N/A</v>
      </c>
      <c r="R4338" s="282" t="e">
        <f>++Tabla4[[#This Row],[Precio Unitario Neto]]-Tabla4[[#This Row],[20.85%]]-Tabla4[[#This Row],[Costo]]</f>
        <v>#N/A</v>
      </c>
      <c r="S4338" s="282" t="e">
        <f>++Tabla4[[#This Row],[U. Bruta Uni]]*Tabla4[[#This Row],[Cantidad]]</f>
        <v>#N/A</v>
      </c>
      <c r="T4338" s="369" t="str">
        <f>VLOOKUP(Tabla4[[#This Row],[Producto]],Tabla6[#All],14,FALSE)</f>
        <v>Termico Solar</v>
      </c>
      <c r="U4338" s="284" t="e">
        <f>(IF(Tabla4[[#This Row],[Familia]]="termico solar",Tabla4[[#This Row],[Utilidad Total]]*6%,Tabla4[[#This Row],[Utilidad Total]]*11.5%))/Tabla4[[#This Row],[Total]]</f>
        <v>#N/A</v>
      </c>
      <c r="V4338" s="282" t="e">
        <f>+Tabla4[[#This Row],[Comisión Calculada]]*Tabla4[[#This Row],[Total]]</f>
        <v>#N/A</v>
      </c>
    </row>
    <row r="4339" spans="1:22" hidden="1" x14ac:dyDescent="0.25">
      <c r="A4339" s="100">
        <v>45853</v>
      </c>
      <c r="B4339" t="str">
        <f t="shared" si="216"/>
        <v>July</v>
      </c>
      <c r="C4339" s="46" t="s">
        <v>280</v>
      </c>
      <c r="F4339" s="366" t="s">
        <v>2344</v>
      </c>
      <c r="G4339" s="46" t="s">
        <v>208</v>
      </c>
      <c r="H4339" s="46">
        <v>1</v>
      </c>
      <c r="I4339" s="51">
        <v>189.75</v>
      </c>
      <c r="J4339" s="281">
        <f>++Tabla4[[#This Row],[Precio Bruto]]*1.16</f>
        <v>220.10999999999999</v>
      </c>
      <c r="K4339" s="281">
        <f>+Tabla4[[#This Row],[Precio Unitario Neto]]*Tabla4[[#Headers],[20.85%]]</f>
        <v>45.892934999999994</v>
      </c>
      <c r="L4339" s="282">
        <f>++Tabla4[[#This Row],[Precio Unitario Neto]]-Tabla4[[#This Row],[20.85%]]</f>
        <v>174.21706499999999</v>
      </c>
      <c r="M4339" s="282" t="e">
        <f>(INDEX(Tabla6[#All],MATCH(Tabla4[[#This Row],[Producto]],Tabla6[[#All],[PRODUCTO]],0),MATCH(Tabla4[[#This Row],[Mes]],Tabla6[#Headers],0)))*(1+Catalogos!$L$2)</f>
        <v>#N/A</v>
      </c>
      <c r="N4339" s="283" t="e">
        <f>+(Tabla4[[#This Row],[Precio Descontado]]-Tabla4[[#This Row],[Precio Base]])*Tabla4[[#This Row],[Cantidad]]</f>
        <v>#N/A</v>
      </c>
      <c r="O4339" s="284" t="e">
        <f>++Tabla4[[#This Row],[Utilidad Total]]/Tabla4[[#This Row],[Total]]</f>
        <v>#N/A</v>
      </c>
      <c r="P4339" s="282">
        <f>++Tabla4[[#This Row],[Precio Descontado]]*Tabla4[[#This Row],[Cantidad]]</f>
        <v>174.21706499999999</v>
      </c>
      <c r="Q4339" s="282" t="e">
        <f>(INDEX(Tabla6[#All],MATCH(Tabla4[[#This Row],[Producto]],Tabla6[[#All],[PRODUCTO]],0),MATCH(Tabla4[[#This Row],[Mes]],Tabla6[#Headers],0)))</f>
        <v>#N/A</v>
      </c>
      <c r="R4339" s="282" t="e">
        <f>++Tabla4[[#This Row],[Precio Unitario Neto]]-Tabla4[[#This Row],[20.85%]]-Tabla4[[#This Row],[Costo]]</f>
        <v>#N/A</v>
      </c>
      <c r="S4339" s="282" t="e">
        <f>++Tabla4[[#This Row],[U. Bruta Uni]]*Tabla4[[#This Row],[Cantidad]]</f>
        <v>#N/A</v>
      </c>
      <c r="T4339" s="369" t="str">
        <f>VLOOKUP(Tabla4[[#This Row],[Producto]],Tabla6[#All],14,FALSE)</f>
        <v>Termico Solar</v>
      </c>
      <c r="U4339" s="284" t="e">
        <f>(IF(Tabla4[[#This Row],[Familia]]="termico solar",Tabla4[[#This Row],[Utilidad Total]]*6%,Tabla4[[#This Row],[Utilidad Total]]*11.5%))/Tabla4[[#This Row],[Total]]</f>
        <v>#N/A</v>
      </c>
      <c r="V4339" s="282" t="e">
        <f>+Tabla4[[#This Row],[Comisión Calculada]]*Tabla4[[#This Row],[Total]]</f>
        <v>#N/A</v>
      </c>
    </row>
    <row r="4340" spans="1:22" hidden="1" x14ac:dyDescent="0.25">
      <c r="A4340" s="100">
        <v>45853</v>
      </c>
      <c r="B4340" t="str">
        <f t="shared" si="216"/>
        <v>July</v>
      </c>
      <c r="C4340" s="46" t="s">
        <v>280</v>
      </c>
      <c r="F4340" s="366" t="s">
        <v>2345</v>
      </c>
      <c r="G4340" s="46" t="s">
        <v>83</v>
      </c>
      <c r="H4340" s="46">
        <v>4</v>
      </c>
      <c r="I4340" s="51">
        <v>8858.76</v>
      </c>
      <c r="J4340" s="281">
        <f>++Tabla4[[#This Row],[Precio Bruto]]*1.16</f>
        <v>10276.161599999999</v>
      </c>
      <c r="K4340" s="281">
        <f>+Tabla4[[#This Row],[Precio Unitario Neto]]*Tabla4[[#Headers],[20.85%]]</f>
        <v>2142.5796935999997</v>
      </c>
      <c r="L4340" s="282">
        <f>++Tabla4[[#This Row],[Precio Unitario Neto]]-Tabla4[[#This Row],[20.85%]]</f>
        <v>8133.5819063999998</v>
      </c>
      <c r="M4340" s="282" t="e">
        <f>(INDEX(Tabla6[#All],MATCH(Tabla4[[#This Row],[Producto]],Tabla6[[#All],[PRODUCTO]],0),MATCH(Tabla4[[#This Row],[Mes]],Tabla6[#Headers],0)))*(1+Catalogos!$L$2)</f>
        <v>#N/A</v>
      </c>
      <c r="N4340" s="283" t="e">
        <f>+(Tabla4[[#This Row],[Precio Descontado]]-Tabla4[[#This Row],[Precio Base]])*Tabla4[[#This Row],[Cantidad]]</f>
        <v>#N/A</v>
      </c>
      <c r="O4340" s="284" t="e">
        <f>++Tabla4[[#This Row],[Utilidad Total]]/Tabla4[[#This Row],[Total]]</f>
        <v>#N/A</v>
      </c>
      <c r="P4340" s="282">
        <f>++Tabla4[[#This Row],[Precio Descontado]]*Tabla4[[#This Row],[Cantidad]]</f>
        <v>32534.327625599999</v>
      </c>
      <c r="Q4340" s="282" t="e">
        <f>(INDEX(Tabla6[#All],MATCH(Tabla4[[#This Row],[Producto]],Tabla6[[#All],[PRODUCTO]],0),MATCH(Tabla4[[#This Row],[Mes]],Tabla6[#Headers],0)))</f>
        <v>#N/A</v>
      </c>
      <c r="R4340" s="282" t="e">
        <f>++Tabla4[[#This Row],[Precio Unitario Neto]]-Tabla4[[#This Row],[20.85%]]-Tabla4[[#This Row],[Costo]]</f>
        <v>#N/A</v>
      </c>
      <c r="S4340" s="282" t="e">
        <f>++Tabla4[[#This Row],[U. Bruta Uni]]*Tabla4[[#This Row],[Cantidad]]</f>
        <v>#N/A</v>
      </c>
      <c r="T4340" s="369" t="str">
        <f>VLOOKUP(Tabla4[[#This Row],[Producto]],Tabla6[#All],14,FALSE)</f>
        <v>Termico Solar</v>
      </c>
      <c r="U4340" s="284" t="e">
        <f>(IF(Tabla4[[#This Row],[Familia]]="termico solar",Tabla4[[#This Row],[Utilidad Total]]*6%,Tabla4[[#This Row],[Utilidad Total]]*11.5%))/Tabla4[[#This Row],[Total]]</f>
        <v>#N/A</v>
      </c>
      <c r="V4340" s="282" t="e">
        <f>+Tabla4[[#This Row],[Comisión Calculada]]*Tabla4[[#This Row],[Total]]</f>
        <v>#N/A</v>
      </c>
    </row>
    <row r="4341" spans="1:22" hidden="1" x14ac:dyDescent="0.25">
      <c r="A4341" s="100">
        <v>45853</v>
      </c>
      <c r="B4341" t="str">
        <f t="shared" si="216"/>
        <v>July</v>
      </c>
      <c r="C4341" s="46" t="s">
        <v>280</v>
      </c>
      <c r="F4341" s="366" t="s">
        <v>2345</v>
      </c>
      <c r="G4341" s="46" t="s">
        <v>17</v>
      </c>
      <c r="H4341" s="46">
        <v>3</v>
      </c>
      <c r="I4341" s="51">
        <v>4622.28</v>
      </c>
      <c r="J4341" s="281">
        <f>++Tabla4[[#This Row],[Precio Bruto]]*1.16</f>
        <v>5361.8447999999989</v>
      </c>
      <c r="K4341" s="281">
        <f>+Tabla4[[#This Row],[Precio Unitario Neto]]*Tabla4[[#Headers],[20.85%]]</f>
        <v>1117.9446407999997</v>
      </c>
      <c r="L4341" s="282">
        <f>++Tabla4[[#This Row],[Precio Unitario Neto]]-Tabla4[[#This Row],[20.85%]]</f>
        <v>4243.9001591999995</v>
      </c>
      <c r="M4341" s="282" t="e">
        <f>(INDEX(Tabla6[#All],MATCH(Tabla4[[#This Row],[Producto]],Tabla6[[#All],[PRODUCTO]],0),MATCH(Tabla4[[#This Row],[Mes]],Tabla6[#Headers],0)))*(1+Catalogos!$L$2)</f>
        <v>#N/A</v>
      </c>
      <c r="N4341" s="283" t="e">
        <f>+(Tabla4[[#This Row],[Precio Descontado]]-Tabla4[[#This Row],[Precio Base]])*Tabla4[[#This Row],[Cantidad]]</f>
        <v>#N/A</v>
      </c>
      <c r="O4341" s="284" t="e">
        <f>++Tabla4[[#This Row],[Utilidad Total]]/Tabla4[[#This Row],[Total]]</f>
        <v>#N/A</v>
      </c>
      <c r="P4341" s="282">
        <f>++Tabla4[[#This Row],[Precio Descontado]]*Tabla4[[#This Row],[Cantidad]]</f>
        <v>12731.700477599999</v>
      </c>
      <c r="Q4341" s="282" t="e">
        <f>(INDEX(Tabla6[#All],MATCH(Tabla4[[#This Row],[Producto]],Tabla6[[#All],[PRODUCTO]],0),MATCH(Tabla4[[#This Row],[Mes]],Tabla6[#Headers],0)))</f>
        <v>#N/A</v>
      </c>
      <c r="R4341" s="282" t="e">
        <f>++Tabla4[[#This Row],[Precio Unitario Neto]]-Tabla4[[#This Row],[20.85%]]-Tabla4[[#This Row],[Costo]]</f>
        <v>#N/A</v>
      </c>
      <c r="S4341" s="282" t="e">
        <f>++Tabla4[[#This Row],[U. Bruta Uni]]*Tabla4[[#This Row],[Cantidad]]</f>
        <v>#N/A</v>
      </c>
      <c r="T4341" s="369" t="str">
        <f>VLOOKUP(Tabla4[[#This Row],[Producto]],Tabla6[#All],14,FALSE)</f>
        <v>Termico Solar</v>
      </c>
      <c r="U4341" s="284" t="e">
        <f>(IF(Tabla4[[#This Row],[Familia]]="termico solar",Tabla4[[#This Row],[Utilidad Total]]*6%,Tabla4[[#This Row],[Utilidad Total]]*11.5%))/Tabla4[[#This Row],[Total]]</f>
        <v>#N/A</v>
      </c>
      <c r="V4341" s="282" t="e">
        <f>+Tabla4[[#This Row],[Comisión Calculada]]*Tabla4[[#This Row],[Total]]</f>
        <v>#N/A</v>
      </c>
    </row>
    <row r="4342" spans="1:22" hidden="1" x14ac:dyDescent="0.25">
      <c r="A4342" s="100">
        <v>45853</v>
      </c>
      <c r="B4342" t="str">
        <f t="shared" ref="B4342:B4348" si="217">TEXT(A4342, "mmmm")</f>
        <v>July</v>
      </c>
      <c r="C4342" s="46" t="s">
        <v>280</v>
      </c>
      <c r="F4342" s="366" t="s">
        <v>2346</v>
      </c>
      <c r="G4342" s="46" t="s">
        <v>83</v>
      </c>
      <c r="H4342" s="46">
        <v>5</v>
      </c>
      <c r="I4342" s="51">
        <v>8858.76</v>
      </c>
      <c r="J4342" s="281">
        <f>++Tabla4[[#This Row],[Precio Bruto]]*1.16</f>
        <v>10276.161599999999</v>
      </c>
      <c r="K4342" s="281">
        <f>+Tabla4[[#This Row],[Precio Unitario Neto]]*Tabla4[[#Headers],[20.85%]]</f>
        <v>2142.5796935999997</v>
      </c>
      <c r="L4342" s="282">
        <f>++Tabla4[[#This Row],[Precio Unitario Neto]]-Tabla4[[#This Row],[20.85%]]</f>
        <v>8133.5819063999998</v>
      </c>
      <c r="M4342" s="282" t="e">
        <f>(INDEX(Tabla6[#All],MATCH(Tabla4[[#This Row],[Producto]],Tabla6[[#All],[PRODUCTO]],0),MATCH(Tabla4[[#This Row],[Mes]],Tabla6[#Headers],0)))*(1+Catalogos!$L$2)</f>
        <v>#N/A</v>
      </c>
      <c r="N4342" s="283" t="e">
        <f>+(Tabla4[[#This Row],[Precio Descontado]]-Tabla4[[#This Row],[Precio Base]])*Tabla4[[#This Row],[Cantidad]]</f>
        <v>#N/A</v>
      </c>
      <c r="O4342" s="284" t="e">
        <f>++Tabla4[[#This Row],[Utilidad Total]]/Tabla4[[#This Row],[Total]]</f>
        <v>#N/A</v>
      </c>
      <c r="P4342" s="282">
        <f>++Tabla4[[#This Row],[Precio Descontado]]*Tabla4[[#This Row],[Cantidad]]</f>
        <v>40667.909531999998</v>
      </c>
      <c r="Q4342" s="282" t="e">
        <f>(INDEX(Tabla6[#All],MATCH(Tabla4[[#This Row],[Producto]],Tabla6[[#All],[PRODUCTO]],0),MATCH(Tabla4[[#This Row],[Mes]],Tabla6[#Headers],0)))</f>
        <v>#N/A</v>
      </c>
      <c r="R4342" s="282" t="e">
        <f>++Tabla4[[#This Row],[Precio Unitario Neto]]-Tabla4[[#This Row],[20.85%]]-Tabla4[[#This Row],[Costo]]</f>
        <v>#N/A</v>
      </c>
      <c r="S4342" s="282" t="e">
        <f>++Tabla4[[#This Row],[U. Bruta Uni]]*Tabla4[[#This Row],[Cantidad]]</f>
        <v>#N/A</v>
      </c>
      <c r="T4342" s="369" t="str">
        <f>VLOOKUP(Tabla4[[#This Row],[Producto]],Tabla6[#All],14,FALSE)</f>
        <v>Termico Solar</v>
      </c>
      <c r="U4342" s="284" t="e">
        <f>(IF(Tabla4[[#This Row],[Familia]]="termico solar",Tabla4[[#This Row],[Utilidad Total]]*6%,Tabla4[[#This Row],[Utilidad Total]]*11.5%))/Tabla4[[#This Row],[Total]]</f>
        <v>#N/A</v>
      </c>
      <c r="V4342" s="282" t="e">
        <f>+Tabla4[[#This Row],[Comisión Calculada]]*Tabla4[[#This Row],[Total]]</f>
        <v>#N/A</v>
      </c>
    </row>
    <row r="4343" spans="1:22" hidden="1" x14ac:dyDescent="0.25">
      <c r="A4343" s="100">
        <v>45853</v>
      </c>
      <c r="B4343" t="str">
        <f t="shared" si="217"/>
        <v>July</v>
      </c>
      <c r="C4343" s="46" t="s">
        <v>280</v>
      </c>
      <c r="F4343" s="366" t="s">
        <v>2346</v>
      </c>
      <c r="G4343" s="46" t="s">
        <v>17</v>
      </c>
      <c r="H4343" s="46">
        <v>3</v>
      </c>
      <c r="I4343" s="51">
        <v>4622.28</v>
      </c>
      <c r="J4343" s="281">
        <f>++Tabla4[[#This Row],[Precio Bruto]]*1.16</f>
        <v>5361.8447999999989</v>
      </c>
      <c r="K4343" s="281">
        <f>+Tabla4[[#This Row],[Precio Unitario Neto]]*Tabla4[[#Headers],[20.85%]]</f>
        <v>1117.9446407999997</v>
      </c>
      <c r="L4343" s="282">
        <f>++Tabla4[[#This Row],[Precio Unitario Neto]]-Tabla4[[#This Row],[20.85%]]</f>
        <v>4243.9001591999995</v>
      </c>
      <c r="M4343" s="282" t="e">
        <f>(INDEX(Tabla6[#All],MATCH(Tabla4[[#This Row],[Producto]],Tabla6[[#All],[PRODUCTO]],0),MATCH(Tabla4[[#This Row],[Mes]],Tabla6[#Headers],0)))*(1+Catalogos!$L$2)</f>
        <v>#N/A</v>
      </c>
      <c r="N4343" s="283" t="e">
        <f>+(Tabla4[[#This Row],[Precio Descontado]]-Tabla4[[#This Row],[Precio Base]])*Tabla4[[#This Row],[Cantidad]]</f>
        <v>#N/A</v>
      </c>
      <c r="O4343" s="284" t="e">
        <f>++Tabla4[[#This Row],[Utilidad Total]]/Tabla4[[#This Row],[Total]]</f>
        <v>#N/A</v>
      </c>
      <c r="P4343" s="282">
        <f>++Tabla4[[#This Row],[Precio Descontado]]*Tabla4[[#This Row],[Cantidad]]</f>
        <v>12731.700477599999</v>
      </c>
      <c r="Q4343" s="282" t="e">
        <f>(INDEX(Tabla6[#All],MATCH(Tabla4[[#This Row],[Producto]],Tabla6[[#All],[PRODUCTO]],0),MATCH(Tabla4[[#This Row],[Mes]],Tabla6[#Headers],0)))</f>
        <v>#N/A</v>
      </c>
      <c r="R4343" s="282" t="e">
        <f>++Tabla4[[#This Row],[Precio Unitario Neto]]-Tabla4[[#This Row],[20.85%]]-Tabla4[[#This Row],[Costo]]</f>
        <v>#N/A</v>
      </c>
      <c r="S4343" s="282" t="e">
        <f>++Tabla4[[#This Row],[U. Bruta Uni]]*Tabla4[[#This Row],[Cantidad]]</f>
        <v>#N/A</v>
      </c>
      <c r="T4343" s="369" t="str">
        <f>VLOOKUP(Tabla4[[#This Row],[Producto]],Tabla6[#All],14,FALSE)</f>
        <v>Termico Solar</v>
      </c>
      <c r="U4343" s="284" t="e">
        <f>(IF(Tabla4[[#This Row],[Familia]]="termico solar",Tabla4[[#This Row],[Utilidad Total]]*6%,Tabla4[[#This Row],[Utilidad Total]]*11.5%))/Tabla4[[#This Row],[Total]]</f>
        <v>#N/A</v>
      </c>
      <c r="V4343" s="282" t="e">
        <f>+Tabla4[[#This Row],[Comisión Calculada]]*Tabla4[[#This Row],[Total]]</f>
        <v>#N/A</v>
      </c>
    </row>
    <row r="4344" spans="1:22" hidden="1" x14ac:dyDescent="0.25">
      <c r="A4344" s="100">
        <v>45853</v>
      </c>
      <c r="B4344" t="str">
        <f t="shared" si="217"/>
        <v>July</v>
      </c>
      <c r="C4344" s="46" t="s">
        <v>280</v>
      </c>
      <c r="F4344" s="366" t="s">
        <v>2346</v>
      </c>
      <c r="G4344" s="46" t="s">
        <v>18</v>
      </c>
      <c r="H4344" s="46">
        <v>5</v>
      </c>
      <c r="I4344" s="51">
        <v>5367.65</v>
      </c>
      <c r="J4344" s="281">
        <f>++Tabla4[[#This Row],[Precio Bruto]]*1.16</f>
        <v>6226.4739999999993</v>
      </c>
      <c r="K4344" s="281">
        <f>+Tabla4[[#This Row],[Precio Unitario Neto]]*Tabla4[[#Headers],[20.85%]]</f>
        <v>1298.2198289999999</v>
      </c>
      <c r="L4344" s="282">
        <f>++Tabla4[[#This Row],[Precio Unitario Neto]]-Tabla4[[#This Row],[20.85%]]</f>
        <v>4928.2541709999996</v>
      </c>
      <c r="M4344" s="282" t="e">
        <f>(INDEX(Tabla6[#All],MATCH(Tabla4[[#This Row],[Producto]],Tabla6[[#All],[PRODUCTO]],0),MATCH(Tabla4[[#This Row],[Mes]],Tabla6[#Headers],0)))*(1+Catalogos!$L$2)</f>
        <v>#N/A</v>
      </c>
      <c r="N4344" s="283" t="e">
        <f>+(Tabla4[[#This Row],[Precio Descontado]]-Tabla4[[#This Row],[Precio Base]])*Tabla4[[#This Row],[Cantidad]]</f>
        <v>#N/A</v>
      </c>
      <c r="O4344" s="284" t="e">
        <f>++Tabla4[[#This Row],[Utilidad Total]]/Tabla4[[#This Row],[Total]]</f>
        <v>#N/A</v>
      </c>
      <c r="P4344" s="282">
        <f>++Tabla4[[#This Row],[Precio Descontado]]*Tabla4[[#This Row],[Cantidad]]</f>
        <v>24641.270854999999</v>
      </c>
      <c r="Q4344" s="282" t="e">
        <f>(INDEX(Tabla6[#All],MATCH(Tabla4[[#This Row],[Producto]],Tabla6[[#All],[PRODUCTO]],0),MATCH(Tabla4[[#This Row],[Mes]],Tabla6[#Headers],0)))</f>
        <v>#N/A</v>
      </c>
      <c r="R4344" s="282" t="e">
        <f>++Tabla4[[#This Row],[Precio Unitario Neto]]-Tabla4[[#This Row],[20.85%]]-Tabla4[[#This Row],[Costo]]</f>
        <v>#N/A</v>
      </c>
      <c r="S4344" s="282" t="e">
        <f>++Tabla4[[#This Row],[U. Bruta Uni]]*Tabla4[[#This Row],[Cantidad]]</f>
        <v>#N/A</v>
      </c>
      <c r="T4344" s="369" t="str">
        <f>VLOOKUP(Tabla4[[#This Row],[Producto]],Tabla6[#All],14,FALSE)</f>
        <v>Termico Solar</v>
      </c>
      <c r="U4344" s="284" t="e">
        <f>(IF(Tabla4[[#This Row],[Familia]]="termico solar",Tabla4[[#This Row],[Utilidad Total]]*6%,Tabla4[[#This Row],[Utilidad Total]]*11.5%))/Tabla4[[#This Row],[Total]]</f>
        <v>#N/A</v>
      </c>
      <c r="V4344" s="282" t="e">
        <f>+Tabla4[[#This Row],[Comisión Calculada]]*Tabla4[[#This Row],[Total]]</f>
        <v>#N/A</v>
      </c>
    </row>
    <row r="4345" spans="1:22" hidden="1" x14ac:dyDescent="0.25">
      <c r="A4345" s="100">
        <v>45853</v>
      </c>
      <c r="B4345" t="str">
        <f t="shared" si="217"/>
        <v>July</v>
      </c>
      <c r="C4345" s="46" t="s">
        <v>280</v>
      </c>
      <c r="F4345" s="366" t="s">
        <v>2346</v>
      </c>
      <c r="G4345" s="46" t="s">
        <v>566</v>
      </c>
      <c r="H4345" s="46">
        <v>1</v>
      </c>
      <c r="I4345" s="51">
        <v>2109.4499999999998</v>
      </c>
      <c r="J4345" s="281">
        <f>++Tabla4[[#This Row],[Precio Bruto]]*1.16</f>
        <v>2446.9619999999995</v>
      </c>
      <c r="K4345" s="281">
        <f>+Tabla4[[#This Row],[Precio Unitario Neto]]*Tabla4[[#Headers],[20.85%]]</f>
        <v>510.19157699999988</v>
      </c>
      <c r="L4345" s="282">
        <f>++Tabla4[[#This Row],[Precio Unitario Neto]]-Tabla4[[#This Row],[20.85%]]</f>
        <v>1936.7704229999997</v>
      </c>
      <c r="M4345" s="282" t="e">
        <f>(INDEX(Tabla6[#All],MATCH(Tabla4[[#This Row],[Producto]],Tabla6[[#All],[PRODUCTO]],0),MATCH(Tabla4[[#This Row],[Mes]],Tabla6[#Headers],0)))*(1+Catalogos!$L$2)</f>
        <v>#N/A</v>
      </c>
      <c r="N4345" s="283" t="e">
        <f>+(Tabla4[[#This Row],[Precio Descontado]]-Tabla4[[#This Row],[Precio Base]])*Tabla4[[#This Row],[Cantidad]]</f>
        <v>#N/A</v>
      </c>
      <c r="O4345" s="284" t="e">
        <f>++Tabla4[[#This Row],[Utilidad Total]]/Tabla4[[#This Row],[Total]]</f>
        <v>#N/A</v>
      </c>
      <c r="P4345" s="282">
        <f>++Tabla4[[#This Row],[Precio Descontado]]*Tabla4[[#This Row],[Cantidad]]</f>
        <v>1936.7704229999997</v>
      </c>
      <c r="Q4345" s="282" t="e">
        <f>(INDEX(Tabla6[#All],MATCH(Tabla4[[#This Row],[Producto]],Tabla6[[#All],[PRODUCTO]],0),MATCH(Tabla4[[#This Row],[Mes]],Tabla6[#Headers],0)))</f>
        <v>#N/A</v>
      </c>
      <c r="R4345" s="282" t="e">
        <f>++Tabla4[[#This Row],[Precio Unitario Neto]]-Tabla4[[#This Row],[20.85%]]-Tabla4[[#This Row],[Costo]]</f>
        <v>#N/A</v>
      </c>
      <c r="S4345" s="282" t="e">
        <f>++Tabla4[[#This Row],[U. Bruta Uni]]*Tabla4[[#This Row],[Cantidad]]</f>
        <v>#N/A</v>
      </c>
      <c r="T4345" s="369" t="str">
        <f>VLOOKUP(Tabla4[[#This Row],[Producto]],Tabla6[#All],14,FALSE)</f>
        <v>Termico Solar</v>
      </c>
      <c r="U4345" s="284" t="e">
        <f>(IF(Tabla4[[#This Row],[Familia]]="termico solar",Tabla4[[#This Row],[Utilidad Total]]*6%,Tabla4[[#This Row],[Utilidad Total]]*11.5%))/Tabla4[[#This Row],[Total]]</f>
        <v>#N/A</v>
      </c>
      <c r="V4345" s="282" t="e">
        <f>+Tabla4[[#This Row],[Comisión Calculada]]*Tabla4[[#This Row],[Total]]</f>
        <v>#N/A</v>
      </c>
    </row>
    <row r="4346" spans="1:22" hidden="1" x14ac:dyDescent="0.25">
      <c r="A4346" s="100">
        <v>45853</v>
      </c>
      <c r="B4346" t="str">
        <f t="shared" si="217"/>
        <v>July</v>
      </c>
      <c r="C4346" s="46" t="s">
        <v>280</v>
      </c>
      <c r="F4346" s="366" t="s">
        <v>2346</v>
      </c>
      <c r="G4346" s="46" t="s">
        <v>200</v>
      </c>
      <c r="H4346" s="46">
        <v>12</v>
      </c>
      <c r="I4346" s="51">
        <v>393.22</v>
      </c>
      <c r="J4346" s="281">
        <f>++Tabla4[[#This Row],[Precio Bruto]]*1.16</f>
        <v>456.1352</v>
      </c>
      <c r="K4346" s="281">
        <f>+Tabla4[[#This Row],[Precio Unitario Neto]]*Tabla4[[#Headers],[20.85%]]</f>
        <v>95.104189199999993</v>
      </c>
      <c r="L4346" s="282">
        <f>++Tabla4[[#This Row],[Precio Unitario Neto]]-Tabla4[[#This Row],[20.85%]]</f>
        <v>361.03101079999999</v>
      </c>
      <c r="M4346" s="282" t="e">
        <f>(INDEX(Tabla6[#All],MATCH(Tabla4[[#This Row],[Producto]],Tabla6[[#All],[PRODUCTO]],0),MATCH(Tabla4[[#This Row],[Mes]],Tabla6[#Headers],0)))*(1+Catalogos!$L$2)</f>
        <v>#N/A</v>
      </c>
      <c r="N4346" s="283" t="e">
        <f>+(Tabla4[[#This Row],[Precio Descontado]]-Tabla4[[#This Row],[Precio Base]])*Tabla4[[#This Row],[Cantidad]]</f>
        <v>#N/A</v>
      </c>
      <c r="O4346" s="284" t="e">
        <f>++Tabla4[[#This Row],[Utilidad Total]]/Tabla4[[#This Row],[Total]]</f>
        <v>#N/A</v>
      </c>
      <c r="P4346" s="282">
        <f>++Tabla4[[#This Row],[Precio Descontado]]*Tabla4[[#This Row],[Cantidad]]</f>
        <v>4332.3721296000003</v>
      </c>
      <c r="Q4346" s="282" t="e">
        <f>(INDEX(Tabla6[#All],MATCH(Tabla4[[#This Row],[Producto]],Tabla6[[#All],[PRODUCTO]],0),MATCH(Tabla4[[#This Row],[Mes]],Tabla6[#Headers],0)))</f>
        <v>#N/A</v>
      </c>
      <c r="R4346" s="282" t="e">
        <f>++Tabla4[[#This Row],[Precio Unitario Neto]]-Tabla4[[#This Row],[20.85%]]-Tabla4[[#This Row],[Costo]]</f>
        <v>#N/A</v>
      </c>
      <c r="S4346" s="282" t="e">
        <f>++Tabla4[[#This Row],[U. Bruta Uni]]*Tabla4[[#This Row],[Cantidad]]</f>
        <v>#N/A</v>
      </c>
      <c r="T4346" s="369" t="str">
        <f>VLOOKUP(Tabla4[[#This Row],[Producto]],Tabla6[#All],14,FALSE)</f>
        <v>Termico Solar</v>
      </c>
      <c r="U4346" s="284" t="e">
        <f>(IF(Tabla4[[#This Row],[Familia]]="termico solar",Tabla4[[#This Row],[Utilidad Total]]*6%,Tabla4[[#This Row],[Utilidad Total]]*11.5%))/Tabla4[[#This Row],[Total]]</f>
        <v>#N/A</v>
      </c>
      <c r="V4346" s="282" t="e">
        <f>+Tabla4[[#This Row],[Comisión Calculada]]*Tabla4[[#This Row],[Total]]</f>
        <v>#N/A</v>
      </c>
    </row>
    <row r="4347" spans="1:22" hidden="1" x14ac:dyDescent="0.25">
      <c r="A4347" s="100">
        <v>45853</v>
      </c>
      <c r="B4347" t="str">
        <f t="shared" si="217"/>
        <v>July</v>
      </c>
      <c r="C4347" s="46" t="s">
        <v>280</v>
      </c>
      <c r="F4347" s="366" t="s">
        <v>2346</v>
      </c>
      <c r="G4347" s="46" t="s">
        <v>545</v>
      </c>
      <c r="H4347" s="46">
        <v>24</v>
      </c>
      <c r="I4347" s="51">
        <v>304.32</v>
      </c>
      <c r="J4347" s="281">
        <f>++Tabla4[[#This Row],[Precio Bruto]]*1.16</f>
        <v>353.01119999999997</v>
      </c>
      <c r="K4347" s="281">
        <f>+Tabla4[[#This Row],[Precio Unitario Neto]]*Tabla4[[#Headers],[20.85%]]</f>
        <v>73.602835199999987</v>
      </c>
      <c r="L4347" s="282">
        <f>++Tabla4[[#This Row],[Precio Unitario Neto]]-Tabla4[[#This Row],[20.85%]]</f>
        <v>279.40836479999996</v>
      </c>
      <c r="M4347" s="282" t="e">
        <f>(INDEX(Tabla6[#All],MATCH(Tabla4[[#This Row],[Producto]],Tabla6[[#All],[PRODUCTO]],0),MATCH(Tabla4[[#This Row],[Mes]],Tabla6[#Headers],0)))*(1+Catalogos!$L$2)</f>
        <v>#N/A</v>
      </c>
      <c r="N4347" s="283" t="e">
        <f>+(Tabla4[[#This Row],[Precio Descontado]]-Tabla4[[#This Row],[Precio Base]])*Tabla4[[#This Row],[Cantidad]]</f>
        <v>#N/A</v>
      </c>
      <c r="O4347" s="284" t="e">
        <f>++Tabla4[[#This Row],[Utilidad Total]]/Tabla4[[#This Row],[Total]]</f>
        <v>#N/A</v>
      </c>
      <c r="P4347" s="282">
        <f>++Tabla4[[#This Row],[Precio Descontado]]*Tabla4[[#This Row],[Cantidad]]</f>
        <v>6705.800755199999</v>
      </c>
      <c r="Q4347" s="282" t="e">
        <f>(INDEX(Tabla6[#All],MATCH(Tabla4[[#This Row],[Producto]],Tabla6[[#All],[PRODUCTO]],0),MATCH(Tabla4[[#This Row],[Mes]],Tabla6[#Headers],0)))</f>
        <v>#N/A</v>
      </c>
      <c r="R4347" s="282" t="e">
        <f>++Tabla4[[#This Row],[Precio Unitario Neto]]-Tabla4[[#This Row],[20.85%]]-Tabla4[[#This Row],[Costo]]</f>
        <v>#N/A</v>
      </c>
      <c r="S4347" s="282" t="e">
        <f>++Tabla4[[#This Row],[U. Bruta Uni]]*Tabla4[[#This Row],[Cantidad]]</f>
        <v>#N/A</v>
      </c>
      <c r="T4347" s="369" t="str">
        <f>VLOOKUP(Tabla4[[#This Row],[Producto]],Tabla6[#All],14,FALSE)</f>
        <v>Termico Solar</v>
      </c>
      <c r="U4347" s="284" t="e">
        <f>(IF(Tabla4[[#This Row],[Familia]]="termico solar",Tabla4[[#This Row],[Utilidad Total]]*6%,Tabla4[[#This Row],[Utilidad Total]]*11.5%))/Tabla4[[#This Row],[Total]]</f>
        <v>#N/A</v>
      </c>
      <c r="V4347" s="282" t="e">
        <f>+Tabla4[[#This Row],[Comisión Calculada]]*Tabla4[[#This Row],[Total]]</f>
        <v>#N/A</v>
      </c>
    </row>
    <row r="4348" spans="1:22" hidden="1" x14ac:dyDescent="0.25">
      <c r="A4348" s="100">
        <v>45853</v>
      </c>
      <c r="B4348" t="str">
        <f t="shared" si="217"/>
        <v>July</v>
      </c>
      <c r="C4348" s="46" t="s">
        <v>280</v>
      </c>
      <c r="F4348" s="366" t="s">
        <v>2346</v>
      </c>
      <c r="G4348" s="46" t="s">
        <v>209</v>
      </c>
      <c r="H4348" s="46">
        <v>2</v>
      </c>
      <c r="I4348" s="51">
        <v>347.48</v>
      </c>
      <c r="J4348" s="281">
        <f>++Tabla4[[#This Row],[Precio Bruto]]*1.16</f>
        <v>403.07679999999999</v>
      </c>
      <c r="K4348" s="281">
        <f>+Tabla4[[#This Row],[Precio Unitario Neto]]*Tabla4[[#Headers],[20.85%]]</f>
        <v>84.041512799999992</v>
      </c>
      <c r="L4348" s="282">
        <f>++Tabla4[[#This Row],[Precio Unitario Neto]]-Tabla4[[#This Row],[20.85%]]</f>
        <v>319.03528719999997</v>
      </c>
      <c r="M4348" s="282" t="e">
        <f>(INDEX(Tabla6[#All],MATCH(Tabla4[[#This Row],[Producto]],Tabla6[[#All],[PRODUCTO]],0),MATCH(Tabla4[[#This Row],[Mes]],Tabla6[#Headers],0)))*(1+Catalogos!$L$2)</f>
        <v>#N/A</v>
      </c>
      <c r="N4348" s="283" t="e">
        <f>+(Tabla4[[#This Row],[Precio Descontado]]-Tabla4[[#This Row],[Precio Base]])*Tabla4[[#This Row],[Cantidad]]</f>
        <v>#N/A</v>
      </c>
      <c r="O4348" s="284" t="e">
        <f>++Tabla4[[#This Row],[Utilidad Total]]/Tabla4[[#This Row],[Total]]</f>
        <v>#N/A</v>
      </c>
      <c r="P4348" s="282">
        <f>++Tabla4[[#This Row],[Precio Descontado]]*Tabla4[[#This Row],[Cantidad]]</f>
        <v>638.07057439999994</v>
      </c>
      <c r="Q4348" s="282" t="e">
        <f>(INDEX(Tabla6[#All],MATCH(Tabla4[[#This Row],[Producto]],Tabla6[[#All],[PRODUCTO]],0),MATCH(Tabla4[[#This Row],[Mes]],Tabla6[#Headers],0)))</f>
        <v>#N/A</v>
      </c>
      <c r="R4348" s="282" t="e">
        <f>++Tabla4[[#This Row],[Precio Unitario Neto]]-Tabla4[[#This Row],[20.85%]]-Tabla4[[#This Row],[Costo]]</f>
        <v>#N/A</v>
      </c>
      <c r="S4348" s="282" t="e">
        <f>++Tabla4[[#This Row],[U. Bruta Uni]]*Tabla4[[#This Row],[Cantidad]]</f>
        <v>#N/A</v>
      </c>
      <c r="T4348" s="369" t="str">
        <f>VLOOKUP(Tabla4[[#This Row],[Producto]],Tabla6[#All],14,FALSE)</f>
        <v>Termico Solar</v>
      </c>
      <c r="U4348" s="284" t="e">
        <f>(IF(Tabla4[[#This Row],[Familia]]="termico solar",Tabla4[[#This Row],[Utilidad Total]]*6%,Tabla4[[#This Row],[Utilidad Total]]*11.5%))/Tabla4[[#This Row],[Total]]</f>
        <v>#N/A</v>
      </c>
      <c r="V4348" s="282" t="e">
        <f>+Tabla4[[#This Row],[Comisión Calculada]]*Tabla4[[#This Row],[Total]]</f>
        <v>#N/A</v>
      </c>
    </row>
    <row r="4349" spans="1:22" hidden="1" x14ac:dyDescent="0.25">
      <c r="A4349" s="100">
        <v>45853</v>
      </c>
      <c r="B4349" t="str">
        <f>TEXT(A4349, "mmmm")</f>
        <v>July</v>
      </c>
      <c r="C4349" s="46" t="s">
        <v>280</v>
      </c>
      <c r="F4349" s="366" t="s">
        <v>2347</v>
      </c>
      <c r="G4349" s="46" t="s">
        <v>200</v>
      </c>
      <c r="H4349" s="46">
        <v>12</v>
      </c>
      <c r="I4349" s="51">
        <v>393.22</v>
      </c>
      <c r="J4349" s="281">
        <f>++Tabla4[[#This Row],[Precio Bruto]]*1.16</f>
        <v>456.1352</v>
      </c>
      <c r="K4349" s="281">
        <f>+Tabla4[[#This Row],[Precio Unitario Neto]]*Tabla4[[#Headers],[20.85%]]</f>
        <v>95.104189199999993</v>
      </c>
      <c r="L4349" s="282">
        <f>++Tabla4[[#This Row],[Precio Unitario Neto]]-Tabla4[[#This Row],[20.85%]]</f>
        <v>361.03101079999999</v>
      </c>
      <c r="M4349" s="282" t="e">
        <f>(INDEX(Tabla6[#All],MATCH(Tabla4[[#This Row],[Producto]],Tabla6[[#All],[PRODUCTO]],0),MATCH(Tabla4[[#This Row],[Mes]],Tabla6[#Headers],0)))*(1+Catalogos!$L$2)</f>
        <v>#N/A</v>
      </c>
      <c r="N4349" s="283" t="e">
        <f>+(Tabla4[[#This Row],[Precio Descontado]]-Tabla4[[#This Row],[Precio Base]])*Tabla4[[#This Row],[Cantidad]]</f>
        <v>#N/A</v>
      </c>
      <c r="O4349" s="284" t="e">
        <f>++Tabla4[[#This Row],[Utilidad Total]]/Tabla4[[#This Row],[Total]]</f>
        <v>#N/A</v>
      </c>
      <c r="P4349" s="282">
        <f>++Tabla4[[#This Row],[Precio Descontado]]*Tabla4[[#This Row],[Cantidad]]</f>
        <v>4332.3721296000003</v>
      </c>
      <c r="Q4349" s="282" t="e">
        <f>(INDEX(Tabla6[#All],MATCH(Tabla4[[#This Row],[Producto]],Tabla6[[#All],[PRODUCTO]],0),MATCH(Tabla4[[#This Row],[Mes]],Tabla6[#Headers],0)))</f>
        <v>#N/A</v>
      </c>
      <c r="R4349" s="282" t="e">
        <f>++Tabla4[[#This Row],[Precio Unitario Neto]]-Tabla4[[#This Row],[20.85%]]-Tabla4[[#This Row],[Costo]]</f>
        <v>#N/A</v>
      </c>
      <c r="S4349" s="282" t="e">
        <f>++Tabla4[[#This Row],[U. Bruta Uni]]*Tabla4[[#This Row],[Cantidad]]</f>
        <v>#N/A</v>
      </c>
      <c r="T4349" s="369" t="str">
        <f>VLOOKUP(Tabla4[[#This Row],[Producto]],Tabla6[#All],14,FALSE)</f>
        <v>Termico Solar</v>
      </c>
      <c r="U4349" s="284" t="e">
        <f>(IF(Tabla4[[#This Row],[Familia]]="termico solar",Tabla4[[#This Row],[Utilidad Total]]*6%,Tabla4[[#This Row],[Utilidad Total]]*11.5%))/Tabla4[[#This Row],[Total]]</f>
        <v>#N/A</v>
      </c>
      <c r="V4349" s="282" t="e">
        <f>+Tabla4[[#This Row],[Comisión Calculada]]*Tabla4[[#This Row],[Total]]</f>
        <v>#N/A</v>
      </c>
    </row>
    <row r="4350" spans="1:22" hidden="1" x14ac:dyDescent="0.25">
      <c r="A4350" s="100">
        <v>45853</v>
      </c>
      <c r="B4350" t="str">
        <f>TEXT(A4350, "mmmm")</f>
        <v>July</v>
      </c>
      <c r="C4350" s="46" t="s">
        <v>280</v>
      </c>
      <c r="F4350" s="366" t="s">
        <v>2347</v>
      </c>
      <c r="G4350" s="46" t="s">
        <v>545</v>
      </c>
      <c r="H4350" s="46">
        <v>24</v>
      </c>
      <c r="I4350" s="51">
        <v>304.32</v>
      </c>
      <c r="J4350" s="281">
        <f>++Tabla4[[#This Row],[Precio Bruto]]*1.16</f>
        <v>353.01119999999997</v>
      </c>
      <c r="K4350" s="281">
        <f>+Tabla4[[#This Row],[Precio Unitario Neto]]*Tabla4[[#Headers],[20.85%]]</f>
        <v>73.602835199999987</v>
      </c>
      <c r="L4350" s="282">
        <f>++Tabla4[[#This Row],[Precio Unitario Neto]]-Tabla4[[#This Row],[20.85%]]</f>
        <v>279.40836479999996</v>
      </c>
      <c r="M4350" s="282" t="e">
        <f>(INDEX(Tabla6[#All],MATCH(Tabla4[[#This Row],[Producto]],Tabla6[[#All],[PRODUCTO]],0),MATCH(Tabla4[[#This Row],[Mes]],Tabla6[#Headers],0)))*(1+Catalogos!$L$2)</f>
        <v>#N/A</v>
      </c>
      <c r="N4350" s="283" t="e">
        <f>+(Tabla4[[#This Row],[Precio Descontado]]-Tabla4[[#This Row],[Precio Base]])*Tabla4[[#This Row],[Cantidad]]</f>
        <v>#N/A</v>
      </c>
      <c r="O4350" s="284" t="e">
        <f>++Tabla4[[#This Row],[Utilidad Total]]/Tabla4[[#This Row],[Total]]</f>
        <v>#N/A</v>
      </c>
      <c r="P4350" s="282">
        <f>++Tabla4[[#This Row],[Precio Descontado]]*Tabla4[[#This Row],[Cantidad]]</f>
        <v>6705.800755199999</v>
      </c>
      <c r="Q4350" s="282" t="e">
        <f>(INDEX(Tabla6[#All],MATCH(Tabla4[[#This Row],[Producto]],Tabla6[[#All],[PRODUCTO]],0),MATCH(Tabla4[[#This Row],[Mes]],Tabla6[#Headers],0)))</f>
        <v>#N/A</v>
      </c>
      <c r="R4350" s="282" t="e">
        <f>++Tabla4[[#This Row],[Precio Unitario Neto]]-Tabla4[[#This Row],[20.85%]]-Tabla4[[#This Row],[Costo]]</f>
        <v>#N/A</v>
      </c>
      <c r="S4350" s="282" t="e">
        <f>++Tabla4[[#This Row],[U. Bruta Uni]]*Tabla4[[#This Row],[Cantidad]]</f>
        <v>#N/A</v>
      </c>
      <c r="T4350" s="369" t="str">
        <f>VLOOKUP(Tabla4[[#This Row],[Producto]],Tabla6[#All],14,FALSE)</f>
        <v>Termico Solar</v>
      </c>
      <c r="U4350" s="284" t="e">
        <f>(IF(Tabla4[[#This Row],[Familia]]="termico solar",Tabla4[[#This Row],[Utilidad Total]]*6%,Tabla4[[#This Row],[Utilidad Total]]*11.5%))/Tabla4[[#This Row],[Total]]</f>
        <v>#N/A</v>
      </c>
      <c r="V4350" s="282" t="e">
        <f>+Tabla4[[#This Row],[Comisión Calculada]]*Tabla4[[#This Row],[Total]]</f>
        <v>#N/A</v>
      </c>
    </row>
    <row r="4351" spans="1:22" hidden="1" x14ac:dyDescent="0.25">
      <c r="A4351" s="100">
        <v>45853</v>
      </c>
      <c r="B4351" t="str">
        <f>TEXT(A4351, "mmmm")</f>
        <v>July</v>
      </c>
      <c r="C4351" s="46" t="s">
        <v>280</v>
      </c>
      <c r="F4351" s="366" t="s">
        <v>2347</v>
      </c>
      <c r="G4351" s="46" t="s">
        <v>209</v>
      </c>
      <c r="H4351" s="46">
        <v>2</v>
      </c>
      <c r="I4351" s="51">
        <v>347.48</v>
      </c>
      <c r="J4351" s="281">
        <f>++Tabla4[[#This Row],[Precio Bruto]]*1.16</f>
        <v>403.07679999999999</v>
      </c>
      <c r="K4351" s="281">
        <f>+Tabla4[[#This Row],[Precio Unitario Neto]]*Tabla4[[#Headers],[20.85%]]</f>
        <v>84.041512799999992</v>
      </c>
      <c r="L4351" s="282">
        <f>++Tabla4[[#This Row],[Precio Unitario Neto]]-Tabla4[[#This Row],[20.85%]]</f>
        <v>319.03528719999997</v>
      </c>
      <c r="M4351" s="282" t="e">
        <f>(INDEX(Tabla6[#All],MATCH(Tabla4[[#This Row],[Producto]],Tabla6[[#All],[PRODUCTO]],0),MATCH(Tabla4[[#This Row],[Mes]],Tabla6[#Headers],0)))*(1+Catalogos!$L$2)</f>
        <v>#N/A</v>
      </c>
      <c r="N4351" s="283" t="e">
        <f>+(Tabla4[[#This Row],[Precio Descontado]]-Tabla4[[#This Row],[Precio Base]])*Tabla4[[#This Row],[Cantidad]]</f>
        <v>#N/A</v>
      </c>
      <c r="O4351" s="284" t="e">
        <f>++Tabla4[[#This Row],[Utilidad Total]]/Tabla4[[#This Row],[Total]]</f>
        <v>#N/A</v>
      </c>
      <c r="P4351" s="282">
        <f>++Tabla4[[#This Row],[Precio Descontado]]*Tabla4[[#This Row],[Cantidad]]</f>
        <v>638.07057439999994</v>
      </c>
      <c r="Q4351" s="282" t="e">
        <f>(INDEX(Tabla6[#All],MATCH(Tabla4[[#This Row],[Producto]],Tabla6[[#All],[PRODUCTO]],0),MATCH(Tabla4[[#This Row],[Mes]],Tabla6[#Headers],0)))</f>
        <v>#N/A</v>
      </c>
      <c r="R4351" s="282" t="e">
        <f>++Tabla4[[#This Row],[Precio Unitario Neto]]-Tabla4[[#This Row],[20.85%]]-Tabla4[[#This Row],[Costo]]</f>
        <v>#N/A</v>
      </c>
      <c r="S4351" s="282" t="e">
        <f>++Tabla4[[#This Row],[U. Bruta Uni]]*Tabla4[[#This Row],[Cantidad]]</f>
        <v>#N/A</v>
      </c>
      <c r="T4351" s="369" t="str">
        <f>VLOOKUP(Tabla4[[#This Row],[Producto]],Tabla6[#All],14,FALSE)</f>
        <v>Termico Solar</v>
      </c>
      <c r="U4351" s="284" t="e">
        <f>(IF(Tabla4[[#This Row],[Familia]]="termico solar",Tabla4[[#This Row],[Utilidad Total]]*6%,Tabla4[[#This Row],[Utilidad Total]]*11.5%))/Tabla4[[#This Row],[Total]]</f>
        <v>#N/A</v>
      </c>
      <c r="V4351" s="282" t="e">
        <f>+Tabla4[[#This Row],[Comisión Calculada]]*Tabla4[[#This Row],[Total]]</f>
        <v>#N/A</v>
      </c>
    </row>
    <row r="4352" spans="1:22" hidden="1" x14ac:dyDescent="0.25">
      <c r="A4352" s="100">
        <v>45853</v>
      </c>
      <c r="B4352" t="str">
        <f t="shared" ref="B4352:B4357" si="218">TEXT(A4352, "mmmm")</f>
        <v>July</v>
      </c>
      <c r="C4352" s="46" t="s">
        <v>280</v>
      </c>
      <c r="F4352" s="366" t="s">
        <v>2348</v>
      </c>
      <c r="G4352" s="46" t="s">
        <v>83</v>
      </c>
      <c r="H4352" s="46">
        <v>9</v>
      </c>
      <c r="I4352" s="51">
        <v>8858.76</v>
      </c>
      <c r="J4352" s="281">
        <f>++Tabla4[[#This Row],[Precio Bruto]]*1.16</f>
        <v>10276.161599999999</v>
      </c>
      <c r="K4352" s="281">
        <f>+Tabla4[[#This Row],[Precio Unitario Neto]]*Tabla4[[#Headers],[20.85%]]</f>
        <v>2142.5796935999997</v>
      </c>
      <c r="L4352" s="282">
        <f>++Tabla4[[#This Row],[Precio Unitario Neto]]-Tabla4[[#This Row],[20.85%]]</f>
        <v>8133.5819063999998</v>
      </c>
      <c r="M4352" s="282" t="e">
        <f>(INDEX(Tabla6[#All],MATCH(Tabla4[[#This Row],[Producto]],Tabla6[[#All],[PRODUCTO]],0),MATCH(Tabla4[[#This Row],[Mes]],Tabla6[#Headers],0)))*(1+Catalogos!$L$2)</f>
        <v>#N/A</v>
      </c>
      <c r="N4352" s="283" t="e">
        <f>+(Tabla4[[#This Row],[Precio Descontado]]-Tabla4[[#This Row],[Precio Base]])*Tabla4[[#This Row],[Cantidad]]</f>
        <v>#N/A</v>
      </c>
      <c r="O4352" s="284" t="e">
        <f>++Tabla4[[#This Row],[Utilidad Total]]/Tabla4[[#This Row],[Total]]</f>
        <v>#N/A</v>
      </c>
      <c r="P4352" s="282">
        <f>++Tabla4[[#This Row],[Precio Descontado]]*Tabla4[[#This Row],[Cantidad]]</f>
        <v>73202.237157600001</v>
      </c>
      <c r="Q4352" s="282" t="e">
        <f>(INDEX(Tabla6[#All],MATCH(Tabla4[[#This Row],[Producto]],Tabla6[[#All],[PRODUCTO]],0),MATCH(Tabla4[[#This Row],[Mes]],Tabla6[#Headers],0)))</f>
        <v>#N/A</v>
      </c>
      <c r="R4352" s="282" t="e">
        <f>++Tabla4[[#This Row],[Precio Unitario Neto]]-Tabla4[[#This Row],[20.85%]]-Tabla4[[#This Row],[Costo]]</f>
        <v>#N/A</v>
      </c>
      <c r="S4352" s="282" t="e">
        <f>++Tabla4[[#This Row],[U. Bruta Uni]]*Tabla4[[#This Row],[Cantidad]]</f>
        <v>#N/A</v>
      </c>
      <c r="T4352" s="369" t="str">
        <f>VLOOKUP(Tabla4[[#This Row],[Producto]],Tabla6[#All],14,FALSE)</f>
        <v>Termico Solar</v>
      </c>
      <c r="U4352" s="284" t="e">
        <f>(IF(Tabla4[[#This Row],[Familia]]="termico solar",Tabla4[[#This Row],[Utilidad Total]]*6%,Tabla4[[#This Row],[Utilidad Total]]*11.5%))/Tabla4[[#This Row],[Total]]</f>
        <v>#N/A</v>
      </c>
      <c r="V4352" s="282" t="e">
        <f>+Tabla4[[#This Row],[Comisión Calculada]]*Tabla4[[#This Row],[Total]]</f>
        <v>#N/A</v>
      </c>
    </row>
    <row r="4353" spans="1:22" hidden="1" x14ac:dyDescent="0.25">
      <c r="A4353" s="100">
        <v>45853</v>
      </c>
      <c r="B4353" t="str">
        <f t="shared" si="218"/>
        <v>July</v>
      </c>
      <c r="C4353" s="46" t="s">
        <v>280</v>
      </c>
      <c r="F4353" s="366" t="s">
        <v>2348</v>
      </c>
      <c r="G4353" s="46" t="s">
        <v>566</v>
      </c>
      <c r="H4353" s="46">
        <v>2</v>
      </c>
      <c r="I4353" s="51">
        <v>2109.4499999999998</v>
      </c>
      <c r="J4353" s="281">
        <f>++Tabla4[[#This Row],[Precio Bruto]]*1.16</f>
        <v>2446.9619999999995</v>
      </c>
      <c r="K4353" s="281">
        <f>+Tabla4[[#This Row],[Precio Unitario Neto]]*Tabla4[[#Headers],[20.85%]]</f>
        <v>510.19157699999988</v>
      </c>
      <c r="L4353" s="282">
        <f>++Tabla4[[#This Row],[Precio Unitario Neto]]-Tabla4[[#This Row],[20.85%]]</f>
        <v>1936.7704229999997</v>
      </c>
      <c r="M4353" s="282" t="e">
        <f>(INDEX(Tabla6[#All],MATCH(Tabla4[[#This Row],[Producto]],Tabla6[[#All],[PRODUCTO]],0),MATCH(Tabla4[[#This Row],[Mes]],Tabla6[#Headers],0)))*(1+Catalogos!$L$2)</f>
        <v>#N/A</v>
      </c>
      <c r="N4353" s="283" t="e">
        <f>+(Tabla4[[#This Row],[Precio Descontado]]-Tabla4[[#This Row],[Precio Base]])*Tabla4[[#This Row],[Cantidad]]</f>
        <v>#N/A</v>
      </c>
      <c r="O4353" s="284" t="e">
        <f>++Tabla4[[#This Row],[Utilidad Total]]/Tabla4[[#This Row],[Total]]</f>
        <v>#N/A</v>
      </c>
      <c r="P4353" s="282">
        <f>++Tabla4[[#This Row],[Precio Descontado]]*Tabla4[[#This Row],[Cantidad]]</f>
        <v>3873.5408459999994</v>
      </c>
      <c r="Q4353" s="282" t="e">
        <f>(INDEX(Tabla6[#All],MATCH(Tabla4[[#This Row],[Producto]],Tabla6[[#All],[PRODUCTO]],0),MATCH(Tabla4[[#This Row],[Mes]],Tabla6[#Headers],0)))</f>
        <v>#N/A</v>
      </c>
      <c r="R4353" s="282" t="e">
        <f>++Tabla4[[#This Row],[Precio Unitario Neto]]-Tabla4[[#This Row],[20.85%]]-Tabla4[[#This Row],[Costo]]</f>
        <v>#N/A</v>
      </c>
      <c r="S4353" s="282" t="e">
        <f>++Tabla4[[#This Row],[U. Bruta Uni]]*Tabla4[[#This Row],[Cantidad]]</f>
        <v>#N/A</v>
      </c>
      <c r="T4353" s="369" t="str">
        <f>VLOOKUP(Tabla4[[#This Row],[Producto]],Tabla6[#All],14,FALSE)</f>
        <v>Termico Solar</v>
      </c>
      <c r="U4353" s="284" t="e">
        <f>(IF(Tabla4[[#This Row],[Familia]]="termico solar",Tabla4[[#This Row],[Utilidad Total]]*6%,Tabla4[[#This Row],[Utilidad Total]]*11.5%))/Tabla4[[#This Row],[Total]]</f>
        <v>#N/A</v>
      </c>
      <c r="V4353" s="282" t="e">
        <f>+Tabla4[[#This Row],[Comisión Calculada]]*Tabla4[[#This Row],[Total]]</f>
        <v>#N/A</v>
      </c>
    </row>
    <row r="4354" spans="1:22" hidden="1" x14ac:dyDescent="0.25">
      <c r="A4354" s="100">
        <v>45853</v>
      </c>
      <c r="B4354" t="str">
        <f t="shared" si="218"/>
        <v>July</v>
      </c>
      <c r="C4354" s="46" t="s">
        <v>280</v>
      </c>
      <c r="F4354" s="366" t="s">
        <v>2348</v>
      </c>
      <c r="G4354" s="46" t="s">
        <v>16</v>
      </c>
      <c r="H4354" s="46">
        <v>1</v>
      </c>
      <c r="I4354" s="51">
        <v>4103.8500000000004</v>
      </c>
      <c r="J4354" s="281">
        <f>++Tabla4[[#This Row],[Precio Bruto]]*1.16</f>
        <v>4760.4660000000003</v>
      </c>
      <c r="K4354" s="281">
        <f>+Tabla4[[#This Row],[Precio Unitario Neto]]*Tabla4[[#Headers],[20.85%]]</f>
        <v>992.55716100000006</v>
      </c>
      <c r="L4354" s="282">
        <f>++Tabla4[[#This Row],[Precio Unitario Neto]]-Tabla4[[#This Row],[20.85%]]</f>
        <v>3767.9088390000002</v>
      </c>
      <c r="M4354" s="282" t="e">
        <f>(INDEX(Tabla6[#All],MATCH(Tabla4[[#This Row],[Producto]],Tabla6[[#All],[PRODUCTO]],0),MATCH(Tabla4[[#This Row],[Mes]],Tabla6[#Headers],0)))*(1+Catalogos!$L$2)</f>
        <v>#N/A</v>
      </c>
      <c r="N4354" s="283" t="e">
        <f>+(Tabla4[[#This Row],[Precio Descontado]]-Tabla4[[#This Row],[Precio Base]])*Tabla4[[#This Row],[Cantidad]]</f>
        <v>#N/A</v>
      </c>
      <c r="O4354" s="284" t="e">
        <f>++Tabla4[[#This Row],[Utilidad Total]]/Tabla4[[#This Row],[Total]]</f>
        <v>#N/A</v>
      </c>
      <c r="P4354" s="282">
        <f>++Tabla4[[#This Row],[Precio Descontado]]*Tabla4[[#This Row],[Cantidad]]</f>
        <v>3767.9088390000002</v>
      </c>
      <c r="Q4354" s="282" t="e">
        <f>(INDEX(Tabla6[#All],MATCH(Tabla4[[#This Row],[Producto]],Tabla6[[#All],[PRODUCTO]],0),MATCH(Tabla4[[#This Row],[Mes]],Tabla6[#Headers],0)))</f>
        <v>#N/A</v>
      </c>
      <c r="R4354" s="282" t="e">
        <f>++Tabla4[[#This Row],[Precio Unitario Neto]]-Tabla4[[#This Row],[20.85%]]-Tabla4[[#This Row],[Costo]]</f>
        <v>#N/A</v>
      </c>
      <c r="S4354" s="282" t="e">
        <f>++Tabla4[[#This Row],[U. Bruta Uni]]*Tabla4[[#This Row],[Cantidad]]</f>
        <v>#N/A</v>
      </c>
      <c r="T4354" s="369" t="str">
        <f>VLOOKUP(Tabla4[[#This Row],[Producto]],Tabla6[#All],14,FALSE)</f>
        <v>Termico Solar</v>
      </c>
      <c r="U4354" s="284" t="e">
        <f>(IF(Tabla4[[#This Row],[Familia]]="termico solar",Tabla4[[#This Row],[Utilidad Total]]*6%,Tabla4[[#This Row],[Utilidad Total]]*11.5%))/Tabla4[[#This Row],[Total]]</f>
        <v>#N/A</v>
      </c>
      <c r="V4354" s="282" t="e">
        <f>+Tabla4[[#This Row],[Comisión Calculada]]*Tabla4[[#This Row],[Total]]</f>
        <v>#N/A</v>
      </c>
    </row>
    <row r="4355" spans="1:22" hidden="1" x14ac:dyDescent="0.25">
      <c r="A4355" s="100">
        <v>45853</v>
      </c>
      <c r="B4355" t="str">
        <f t="shared" si="218"/>
        <v>July</v>
      </c>
      <c r="C4355" s="46" t="s">
        <v>280</v>
      </c>
      <c r="F4355" s="366" t="s">
        <v>2348</v>
      </c>
      <c r="G4355" s="46" t="s">
        <v>200</v>
      </c>
      <c r="H4355" s="46">
        <v>12</v>
      </c>
      <c r="I4355" s="51">
        <v>393.22</v>
      </c>
      <c r="J4355" s="281">
        <f>++Tabla4[[#This Row],[Precio Bruto]]*1.16</f>
        <v>456.1352</v>
      </c>
      <c r="K4355" s="281">
        <f>+Tabla4[[#This Row],[Precio Unitario Neto]]*Tabla4[[#Headers],[20.85%]]</f>
        <v>95.104189199999993</v>
      </c>
      <c r="L4355" s="282">
        <f>++Tabla4[[#This Row],[Precio Unitario Neto]]-Tabla4[[#This Row],[20.85%]]</f>
        <v>361.03101079999999</v>
      </c>
      <c r="M4355" s="282" t="e">
        <f>(INDEX(Tabla6[#All],MATCH(Tabla4[[#This Row],[Producto]],Tabla6[[#All],[PRODUCTO]],0),MATCH(Tabla4[[#This Row],[Mes]],Tabla6[#Headers],0)))*(1+Catalogos!$L$2)</f>
        <v>#N/A</v>
      </c>
      <c r="N4355" s="283" t="e">
        <f>+(Tabla4[[#This Row],[Precio Descontado]]-Tabla4[[#This Row],[Precio Base]])*Tabla4[[#This Row],[Cantidad]]</f>
        <v>#N/A</v>
      </c>
      <c r="O4355" s="284" t="e">
        <f>++Tabla4[[#This Row],[Utilidad Total]]/Tabla4[[#This Row],[Total]]</f>
        <v>#N/A</v>
      </c>
      <c r="P4355" s="282">
        <f>++Tabla4[[#This Row],[Precio Descontado]]*Tabla4[[#This Row],[Cantidad]]</f>
        <v>4332.3721296000003</v>
      </c>
      <c r="Q4355" s="282" t="e">
        <f>(INDEX(Tabla6[#All],MATCH(Tabla4[[#This Row],[Producto]],Tabla6[[#All],[PRODUCTO]],0),MATCH(Tabla4[[#This Row],[Mes]],Tabla6[#Headers],0)))</f>
        <v>#N/A</v>
      </c>
      <c r="R4355" s="282" t="e">
        <f>++Tabla4[[#This Row],[Precio Unitario Neto]]-Tabla4[[#This Row],[20.85%]]-Tabla4[[#This Row],[Costo]]</f>
        <v>#N/A</v>
      </c>
      <c r="S4355" s="282" t="e">
        <f>++Tabla4[[#This Row],[U. Bruta Uni]]*Tabla4[[#This Row],[Cantidad]]</f>
        <v>#N/A</v>
      </c>
      <c r="T4355" s="369" t="str">
        <f>VLOOKUP(Tabla4[[#This Row],[Producto]],Tabla6[#All],14,FALSE)</f>
        <v>Termico Solar</v>
      </c>
      <c r="U4355" s="284" t="e">
        <f>(IF(Tabla4[[#This Row],[Familia]]="termico solar",Tabla4[[#This Row],[Utilidad Total]]*6%,Tabla4[[#This Row],[Utilidad Total]]*11.5%))/Tabla4[[#This Row],[Total]]</f>
        <v>#N/A</v>
      </c>
      <c r="V4355" s="282" t="e">
        <f>+Tabla4[[#This Row],[Comisión Calculada]]*Tabla4[[#This Row],[Total]]</f>
        <v>#N/A</v>
      </c>
    </row>
    <row r="4356" spans="1:22" hidden="1" x14ac:dyDescent="0.25">
      <c r="A4356" s="100">
        <v>45853</v>
      </c>
      <c r="B4356" t="str">
        <f t="shared" si="218"/>
        <v>July</v>
      </c>
      <c r="C4356" s="46" t="s">
        <v>280</v>
      </c>
      <c r="F4356" s="366" t="s">
        <v>2348</v>
      </c>
      <c r="G4356" s="46" t="s">
        <v>545</v>
      </c>
      <c r="H4356" s="46">
        <v>24</v>
      </c>
      <c r="I4356" s="51">
        <v>304.32</v>
      </c>
      <c r="J4356" s="281">
        <f>++Tabla4[[#This Row],[Precio Bruto]]*1.16</f>
        <v>353.01119999999997</v>
      </c>
      <c r="K4356" s="281">
        <f>+Tabla4[[#This Row],[Precio Unitario Neto]]*Tabla4[[#Headers],[20.85%]]</f>
        <v>73.602835199999987</v>
      </c>
      <c r="L4356" s="282">
        <f>++Tabla4[[#This Row],[Precio Unitario Neto]]-Tabla4[[#This Row],[20.85%]]</f>
        <v>279.40836479999996</v>
      </c>
      <c r="M4356" s="282" t="e">
        <f>(INDEX(Tabla6[#All],MATCH(Tabla4[[#This Row],[Producto]],Tabla6[[#All],[PRODUCTO]],0),MATCH(Tabla4[[#This Row],[Mes]],Tabla6[#Headers],0)))*(1+Catalogos!$L$2)</f>
        <v>#N/A</v>
      </c>
      <c r="N4356" s="283" t="e">
        <f>+(Tabla4[[#This Row],[Precio Descontado]]-Tabla4[[#This Row],[Precio Base]])*Tabla4[[#This Row],[Cantidad]]</f>
        <v>#N/A</v>
      </c>
      <c r="O4356" s="284" t="e">
        <f>++Tabla4[[#This Row],[Utilidad Total]]/Tabla4[[#This Row],[Total]]</f>
        <v>#N/A</v>
      </c>
      <c r="P4356" s="282">
        <f>++Tabla4[[#This Row],[Precio Descontado]]*Tabla4[[#This Row],[Cantidad]]</f>
        <v>6705.800755199999</v>
      </c>
      <c r="Q4356" s="282" t="e">
        <f>(INDEX(Tabla6[#All],MATCH(Tabla4[[#This Row],[Producto]],Tabla6[[#All],[PRODUCTO]],0),MATCH(Tabla4[[#This Row],[Mes]],Tabla6[#Headers],0)))</f>
        <v>#N/A</v>
      </c>
      <c r="R4356" s="282" t="e">
        <f>++Tabla4[[#This Row],[Precio Unitario Neto]]-Tabla4[[#This Row],[20.85%]]-Tabla4[[#This Row],[Costo]]</f>
        <v>#N/A</v>
      </c>
      <c r="S4356" s="282" t="e">
        <f>++Tabla4[[#This Row],[U. Bruta Uni]]*Tabla4[[#This Row],[Cantidad]]</f>
        <v>#N/A</v>
      </c>
      <c r="T4356" s="369" t="str">
        <f>VLOOKUP(Tabla4[[#This Row],[Producto]],Tabla6[#All],14,FALSE)</f>
        <v>Termico Solar</v>
      </c>
      <c r="U4356" s="284" t="e">
        <f>(IF(Tabla4[[#This Row],[Familia]]="termico solar",Tabla4[[#This Row],[Utilidad Total]]*6%,Tabla4[[#This Row],[Utilidad Total]]*11.5%))/Tabla4[[#This Row],[Total]]</f>
        <v>#N/A</v>
      </c>
      <c r="V4356" s="282" t="e">
        <f>+Tabla4[[#This Row],[Comisión Calculada]]*Tabla4[[#This Row],[Total]]</f>
        <v>#N/A</v>
      </c>
    </row>
    <row r="4357" spans="1:22" hidden="1" x14ac:dyDescent="0.25">
      <c r="A4357" s="100">
        <v>45853</v>
      </c>
      <c r="B4357" t="str">
        <f t="shared" si="218"/>
        <v>July</v>
      </c>
      <c r="C4357" s="46" t="s">
        <v>280</v>
      </c>
      <c r="F4357" s="366" t="s">
        <v>2348</v>
      </c>
      <c r="G4357" s="46" t="s">
        <v>209</v>
      </c>
      <c r="H4357" s="46">
        <v>6</v>
      </c>
      <c r="I4357" s="51">
        <v>347.48</v>
      </c>
      <c r="J4357" s="281">
        <f>++Tabla4[[#This Row],[Precio Bruto]]*1.16</f>
        <v>403.07679999999999</v>
      </c>
      <c r="K4357" s="281">
        <f>+Tabla4[[#This Row],[Precio Unitario Neto]]*Tabla4[[#Headers],[20.85%]]</f>
        <v>84.041512799999992</v>
      </c>
      <c r="L4357" s="282">
        <f>++Tabla4[[#This Row],[Precio Unitario Neto]]-Tabla4[[#This Row],[20.85%]]</f>
        <v>319.03528719999997</v>
      </c>
      <c r="M4357" s="282" t="e">
        <f>(INDEX(Tabla6[#All],MATCH(Tabla4[[#This Row],[Producto]],Tabla6[[#All],[PRODUCTO]],0),MATCH(Tabla4[[#This Row],[Mes]],Tabla6[#Headers],0)))*(1+Catalogos!$L$2)</f>
        <v>#N/A</v>
      </c>
      <c r="N4357" s="283" t="e">
        <f>+(Tabla4[[#This Row],[Precio Descontado]]-Tabla4[[#This Row],[Precio Base]])*Tabla4[[#This Row],[Cantidad]]</f>
        <v>#N/A</v>
      </c>
      <c r="O4357" s="284" t="e">
        <f>++Tabla4[[#This Row],[Utilidad Total]]/Tabla4[[#This Row],[Total]]</f>
        <v>#N/A</v>
      </c>
      <c r="P4357" s="282">
        <f>++Tabla4[[#This Row],[Precio Descontado]]*Tabla4[[#This Row],[Cantidad]]</f>
        <v>1914.2117231999998</v>
      </c>
      <c r="Q4357" s="282" t="e">
        <f>(INDEX(Tabla6[#All],MATCH(Tabla4[[#This Row],[Producto]],Tabla6[[#All],[PRODUCTO]],0),MATCH(Tabla4[[#This Row],[Mes]],Tabla6[#Headers],0)))</f>
        <v>#N/A</v>
      </c>
      <c r="R4357" s="282" t="e">
        <f>++Tabla4[[#This Row],[Precio Unitario Neto]]-Tabla4[[#This Row],[20.85%]]-Tabla4[[#This Row],[Costo]]</f>
        <v>#N/A</v>
      </c>
      <c r="S4357" s="282" t="e">
        <f>++Tabla4[[#This Row],[U. Bruta Uni]]*Tabla4[[#This Row],[Cantidad]]</f>
        <v>#N/A</v>
      </c>
      <c r="T4357" s="369" t="str">
        <f>VLOOKUP(Tabla4[[#This Row],[Producto]],Tabla6[#All],14,FALSE)</f>
        <v>Termico Solar</v>
      </c>
      <c r="U4357" s="284" t="e">
        <f>(IF(Tabla4[[#This Row],[Familia]]="termico solar",Tabla4[[#This Row],[Utilidad Total]]*6%,Tabla4[[#This Row],[Utilidad Total]]*11.5%))/Tabla4[[#This Row],[Total]]</f>
        <v>#N/A</v>
      </c>
      <c r="V4357" s="282" t="e">
        <f>+Tabla4[[#This Row],[Comisión Calculada]]*Tabla4[[#This Row],[Total]]</f>
        <v>#N/A</v>
      </c>
    </row>
    <row r="4358" spans="1:22" hidden="1" x14ac:dyDescent="0.25">
      <c r="A4358" s="100">
        <v>45853</v>
      </c>
      <c r="B4358" t="str">
        <f t="shared" ref="B4358:B4394" si="219">TEXT(A4358, "mmmm")</f>
        <v>July</v>
      </c>
      <c r="C4358" s="46" t="s">
        <v>280</v>
      </c>
      <c r="F4358" s="366" t="s">
        <v>2349</v>
      </c>
      <c r="G4358" s="46" t="s">
        <v>17</v>
      </c>
      <c r="H4358" s="46">
        <v>1</v>
      </c>
      <c r="I4358" s="51">
        <v>4622.28</v>
      </c>
      <c r="J4358" s="281">
        <f>++Tabla4[[#This Row],[Precio Bruto]]*1.16</f>
        <v>5361.8447999999989</v>
      </c>
      <c r="K4358" s="281">
        <f>+Tabla4[[#This Row],[Precio Unitario Neto]]*Tabla4[[#Headers],[20.85%]]</f>
        <v>1117.9446407999997</v>
      </c>
      <c r="L4358" s="282">
        <f>++Tabla4[[#This Row],[Precio Unitario Neto]]-Tabla4[[#This Row],[20.85%]]</f>
        <v>4243.9001591999995</v>
      </c>
      <c r="M4358" s="282" t="e">
        <f>(INDEX(Tabla6[#All],MATCH(Tabla4[[#This Row],[Producto]],Tabla6[[#All],[PRODUCTO]],0),MATCH(Tabla4[[#This Row],[Mes]],Tabla6[#Headers],0)))*(1+Catalogos!$L$2)</f>
        <v>#N/A</v>
      </c>
      <c r="N4358" s="283" t="e">
        <f>+(Tabla4[[#This Row],[Precio Descontado]]-Tabla4[[#This Row],[Precio Base]])*Tabla4[[#This Row],[Cantidad]]</f>
        <v>#N/A</v>
      </c>
      <c r="O4358" s="284" t="e">
        <f>++Tabla4[[#This Row],[Utilidad Total]]/Tabla4[[#This Row],[Total]]</f>
        <v>#N/A</v>
      </c>
      <c r="P4358" s="282">
        <f>++Tabla4[[#This Row],[Precio Descontado]]*Tabla4[[#This Row],[Cantidad]]</f>
        <v>4243.9001591999995</v>
      </c>
      <c r="Q4358" s="282" t="e">
        <f>(INDEX(Tabla6[#All],MATCH(Tabla4[[#This Row],[Producto]],Tabla6[[#All],[PRODUCTO]],0),MATCH(Tabla4[[#This Row],[Mes]],Tabla6[#Headers],0)))</f>
        <v>#N/A</v>
      </c>
      <c r="R4358" s="282" t="e">
        <f>++Tabla4[[#This Row],[Precio Unitario Neto]]-Tabla4[[#This Row],[20.85%]]-Tabla4[[#This Row],[Costo]]</f>
        <v>#N/A</v>
      </c>
      <c r="S4358" s="282" t="e">
        <f>++Tabla4[[#This Row],[U. Bruta Uni]]*Tabla4[[#This Row],[Cantidad]]</f>
        <v>#N/A</v>
      </c>
      <c r="T4358" s="369" t="str">
        <f>VLOOKUP(Tabla4[[#This Row],[Producto]],Tabla6[#All],14,FALSE)</f>
        <v>Termico Solar</v>
      </c>
      <c r="U4358" s="284" t="e">
        <f>(IF(Tabla4[[#This Row],[Familia]]="termico solar",Tabla4[[#This Row],[Utilidad Total]]*6%,Tabla4[[#This Row],[Utilidad Total]]*11.5%))/Tabla4[[#This Row],[Total]]</f>
        <v>#N/A</v>
      </c>
      <c r="V4358" s="282" t="e">
        <f>+Tabla4[[#This Row],[Comisión Calculada]]*Tabla4[[#This Row],[Total]]</f>
        <v>#N/A</v>
      </c>
    </row>
    <row r="4359" spans="1:22" hidden="1" x14ac:dyDescent="0.25">
      <c r="A4359" s="100">
        <v>45853</v>
      </c>
      <c r="B4359" t="str">
        <f t="shared" si="219"/>
        <v>July</v>
      </c>
      <c r="C4359" s="46" t="s">
        <v>280</v>
      </c>
      <c r="F4359" s="366" t="s">
        <v>2350</v>
      </c>
      <c r="G4359" s="46" t="s">
        <v>16</v>
      </c>
      <c r="H4359" s="46">
        <v>1</v>
      </c>
      <c r="I4359" s="51">
        <v>4103.8500000000004</v>
      </c>
      <c r="J4359" s="281">
        <f>++Tabla4[[#This Row],[Precio Bruto]]*1.16</f>
        <v>4760.4660000000003</v>
      </c>
      <c r="K4359" s="281">
        <f>+Tabla4[[#This Row],[Precio Unitario Neto]]*Tabla4[[#Headers],[20.85%]]</f>
        <v>992.55716100000006</v>
      </c>
      <c r="L4359" s="282">
        <f>++Tabla4[[#This Row],[Precio Unitario Neto]]-Tabla4[[#This Row],[20.85%]]</f>
        <v>3767.9088390000002</v>
      </c>
      <c r="M4359" s="282" t="e">
        <f>(INDEX(Tabla6[#All],MATCH(Tabla4[[#This Row],[Producto]],Tabla6[[#All],[PRODUCTO]],0),MATCH(Tabla4[[#This Row],[Mes]],Tabla6[#Headers],0)))*(1+Catalogos!$L$2)</f>
        <v>#N/A</v>
      </c>
      <c r="N4359" s="283" t="e">
        <f>+(Tabla4[[#This Row],[Precio Descontado]]-Tabla4[[#This Row],[Precio Base]])*Tabla4[[#This Row],[Cantidad]]</f>
        <v>#N/A</v>
      </c>
      <c r="O4359" s="284" t="e">
        <f>++Tabla4[[#This Row],[Utilidad Total]]/Tabla4[[#This Row],[Total]]</f>
        <v>#N/A</v>
      </c>
      <c r="P4359" s="282">
        <f>++Tabla4[[#This Row],[Precio Descontado]]*Tabla4[[#This Row],[Cantidad]]</f>
        <v>3767.9088390000002</v>
      </c>
      <c r="Q4359" s="282" t="e">
        <f>(INDEX(Tabla6[#All],MATCH(Tabla4[[#This Row],[Producto]],Tabla6[[#All],[PRODUCTO]],0),MATCH(Tabla4[[#This Row],[Mes]],Tabla6[#Headers],0)))</f>
        <v>#N/A</v>
      </c>
      <c r="R4359" s="282" t="e">
        <f>++Tabla4[[#This Row],[Precio Unitario Neto]]-Tabla4[[#This Row],[20.85%]]-Tabla4[[#This Row],[Costo]]</f>
        <v>#N/A</v>
      </c>
      <c r="S4359" s="282" t="e">
        <f>++Tabla4[[#This Row],[U. Bruta Uni]]*Tabla4[[#This Row],[Cantidad]]</f>
        <v>#N/A</v>
      </c>
      <c r="T4359" s="369" t="str">
        <f>VLOOKUP(Tabla4[[#This Row],[Producto]],Tabla6[#All],14,FALSE)</f>
        <v>Termico Solar</v>
      </c>
      <c r="U4359" s="284" t="e">
        <f>(IF(Tabla4[[#This Row],[Familia]]="termico solar",Tabla4[[#This Row],[Utilidad Total]]*6%,Tabla4[[#This Row],[Utilidad Total]]*11.5%))/Tabla4[[#This Row],[Total]]</f>
        <v>#N/A</v>
      </c>
      <c r="V4359" s="282" t="e">
        <f>+Tabla4[[#This Row],[Comisión Calculada]]*Tabla4[[#This Row],[Total]]</f>
        <v>#N/A</v>
      </c>
    </row>
    <row r="4360" spans="1:22" hidden="1" x14ac:dyDescent="0.25">
      <c r="A4360" s="100">
        <v>45853</v>
      </c>
      <c r="B4360" t="str">
        <f t="shared" si="219"/>
        <v>July</v>
      </c>
      <c r="C4360" s="46" t="s">
        <v>280</v>
      </c>
      <c r="F4360" s="366" t="s">
        <v>2351</v>
      </c>
      <c r="G4360" s="46" t="s">
        <v>17</v>
      </c>
      <c r="H4360" s="46">
        <v>2</v>
      </c>
      <c r="I4360" s="51">
        <v>4622.28</v>
      </c>
      <c r="J4360" s="281">
        <f>++Tabla4[[#This Row],[Precio Bruto]]*1.16</f>
        <v>5361.8447999999989</v>
      </c>
      <c r="K4360" s="281">
        <f>+Tabla4[[#This Row],[Precio Unitario Neto]]*Tabla4[[#Headers],[20.85%]]</f>
        <v>1117.9446407999997</v>
      </c>
      <c r="L4360" s="282">
        <f>++Tabla4[[#This Row],[Precio Unitario Neto]]-Tabla4[[#This Row],[20.85%]]</f>
        <v>4243.9001591999995</v>
      </c>
      <c r="M4360" s="282" t="e">
        <f>(INDEX(Tabla6[#All],MATCH(Tabla4[[#This Row],[Producto]],Tabla6[[#All],[PRODUCTO]],0),MATCH(Tabla4[[#This Row],[Mes]],Tabla6[#Headers],0)))*(1+Catalogos!$L$2)</f>
        <v>#N/A</v>
      </c>
      <c r="N4360" s="283" t="e">
        <f>+(Tabla4[[#This Row],[Precio Descontado]]-Tabla4[[#This Row],[Precio Base]])*Tabla4[[#This Row],[Cantidad]]</f>
        <v>#N/A</v>
      </c>
      <c r="O4360" s="284" t="e">
        <f>++Tabla4[[#This Row],[Utilidad Total]]/Tabla4[[#This Row],[Total]]</f>
        <v>#N/A</v>
      </c>
      <c r="P4360" s="282">
        <f>++Tabla4[[#This Row],[Precio Descontado]]*Tabla4[[#This Row],[Cantidad]]</f>
        <v>8487.800318399999</v>
      </c>
      <c r="Q4360" s="282" t="e">
        <f>(INDEX(Tabla6[#All],MATCH(Tabla4[[#This Row],[Producto]],Tabla6[[#All],[PRODUCTO]],0),MATCH(Tabla4[[#This Row],[Mes]],Tabla6[#Headers],0)))</f>
        <v>#N/A</v>
      </c>
      <c r="R4360" s="282" t="e">
        <f>++Tabla4[[#This Row],[Precio Unitario Neto]]-Tabla4[[#This Row],[20.85%]]-Tabla4[[#This Row],[Costo]]</f>
        <v>#N/A</v>
      </c>
      <c r="S4360" s="282" t="e">
        <f>++Tabla4[[#This Row],[U. Bruta Uni]]*Tabla4[[#This Row],[Cantidad]]</f>
        <v>#N/A</v>
      </c>
      <c r="T4360" s="369" t="str">
        <f>VLOOKUP(Tabla4[[#This Row],[Producto]],Tabla6[#All],14,FALSE)</f>
        <v>Termico Solar</v>
      </c>
      <c r="U4360" s="284" t="e">
        <f>(IF(Tabla4[[#This Row],[Familia]]="termico solar",Tabla4[[#This Row],[Utilidad Total]]*6%,Tabla4[[#This Row],[Utilidad Total]]*11.5%))/Tabla4[[#This Row],[Total]]</f>
        <v>#N/A</v>
      </c>
      <c r="V4360" s="282" t="e">
        <f>+Tabla4[[#This Row],[Comisión Calculada]]*Tabla4[[#This Row],[Total]]</f>
        <v>#N/A</v>
      </c>
    </row>
    <row r="4361" spans="1:22" hidden="1" x14ac:dyDescent="0.25">
      <c r="A4361" s="100">
        <v>45853</v>
      </c>
      <c r="B4361" t="str">
        <f t="shared" si="219"/>
        <v>July</v>
      </c>
      <c r="C4361" s="46" t="s">
        <v>280</v>
      </c>
      <c r="F4361" s="366" t="s">
        <v>2351</v>
      </c>
      <c r="G4361" s="46" t="s">
        <v>394</v>
      </c>
      <c r="H4361" s="46">
        <v>9</v>
      </c>
      <c r="I4361" s="51">
        <v>108.1</v>
      </c>
      <c r="J4361" s="281">
        <f>++Tabla4[[#This Row],[Precio Bruto]]*1.16</f>
        <v>125.39599999999999</v>
      </c>
      <c r="K4361" s="281">
        <f>+Tabla4[[#This Row],[Precio Unitario Neto]]*Tabla4[[#Headers],[20.85%]]</f>
        <v>26.145065999999996</v>
      </c>
      <c r="L4361" s="282">
        <f>++Tabla4[[#This Row],[Precio Unitario Neto]]-Tabla4[[#This Row],[20.85%]]</f>
        <v>99.250933999999987</v>
      </c>
      <c r="M4361" s="282" t="e">
        <f>(INDEX(Tabla6[#All],MATCH(Tabla4[[#This Row],[Producto]],Tabla6[[#All],[PRODUCTO]],0),MATCH(Tabla4[[#This Row],[Mes]],Tabla6[#Headers],0)))*(1+Catalogos!$L$2)</f>
        <v>#N/A</v>
      </c>
      <c r="N4361" s="283" t="e">
        <f>+(Tabla4[[#This Row],[Precio Descontado]]-Tabla4[[#This Row],[Precio Base]])*Tabla4[[#This Row],[Cantidad]]</f>
        <v>#N/A</v>
      </c>
      <c r="O4361" s="284" t="e">
        <f>++Tabla4[[#This Row],[Utilidad Total]]/Tabla4[[#This Row],[Total]]</f>
        <v>#N/A</v>
      </c>
      <c r="P4361" s="282">
        <f>++Tabla4[[#This Row],[Precio Descontado]]*Tabla4[[#This Row],[Cantidad]]</f>
        <v>893.25840599999992</v>
      </c>
      <c r="Q4361" s="282" t="e">
        <f>(INDEX(Tabla6[#All],MATCH(Tabla4[[#This Row],[Producto]],Tabla6[[#All],[PRODUCTO]],0),MATCH(Tabla4[[#This Row],[Mes]],Tabla6[#Headers],0)))</f>
        <v>#N/A</v>
      </c>
      <c r="R4361" s="282" t="e">
        <f>++Tabla4[[#This Row],[Precio Unitario Neto]]-Tabla4[[#This Row],[20.85%]]-Tabla4[[#This Row],[Costo]]</f>
        <v>#N/A</v>
      </c>
      <c r="S4361" s="282" t="e">
        <f>++Tabla4[[#This Row],[U. Bruta Uni]]*Tabla4[[#This Row],[Cantidad]]</f>
        <v>#N/A</v>
      </c>
      <c r="T4361" s="369" t="str">
        <f>VLOOKUP(Tabla4[[#This Row],[Producto]],Tabla6[#All],14,FALSE)</f>
        <v>Termico Solar</v>
      </c>
      <c r="U4361" s="284" t="e">
        <f>(IF(Tabla4[[#This Row],[Familia]]="termico solar",Tabla4[[#This Row],[Utilidad Total]]*6%,Tabla4[[#This Row],[Utilidad Total]]*11.5%))/Tabla4[[#This Row],[Total]]</f>
        <v>#N/A</v>
      </c>
      <c r="V4361" s="282" t="e">
        <f>+Tabla4[[#This Row],[Comisión Calculada]]*Tabla4[[#This Row],[Total]]</f>
        <v>#N/A</v>
      </c>
    </row>
    <row r="4362" spans="1:22" hidden="1" x14ac:dyDescent="0.25">
      <c r="A4362" s="100">
        <v>45853</v>
      </c>
      <c r="B4362" t="str">
        <f t="shared" si="219"/>
        <v>July</v>
      </c>
      <c r="C4362" s="46" t="s">
        <v>280</v>
      </c>
      <c r="F4362" s="366" t="s">
        <v>2351</v>
      </c>
      <c r="G4362" s="46" t="s">
        <v>209</v>
      </c>
      <c r="H4362" s="46">
        <v>2</v>
      </c>
      <c r="I4362" s="51">
        <v>347.48</v>
      </c>
      <c r="J4362" s="281">
        <f>++Tabla4[[#This Row],[Precio Bruto]]*1.16</f>
        <v>403.07679999999999</v>
      </c>
      <c r="K4362" s="281">
        <f>+Tabla4[[#This Row],[Precio Unitario Neto]]*Tabla4[[#Headers],[20.85%]]</f>
        <v>84.041512799999992</v>
      </c>
      <c r="L4362" s="282">
        <f>++Tabla4[[#This Row],[Precio Unitario Neto]]-Tabla4[[#This Row],[20.85%]]</f>
        <v>319.03528719999997</v>
      </c>
      <c r="M4362" s="282" t="e">
        <f>(INDEX(Tabla6[#All],MATCH(Tabla4[[#This Row],[Producto]],Tabla6[[#All],[PRODUCTO]],0),MATCH(Tabla4[[#This Row],[Mes]],Tabla6[#Headers],0)))*(1+Catalogos!$L$2)</f>
        <v>#N/A</v>
      </c>
      <c r="N4362" s="283" t="e">
        <f>+(Tabla4[[#This Row],[Precio Descontado]]-Tabla4[[#This Row],[Precio Base]])*Tabla4[[#This Row],[Cantidad]]</f>
        <v>#N/A</v>
      </c>
      <c r="O4362" s="284" t="e">
        <f>++Tabla4[[#This Row],[Utilidad Total]]/Tabla4[[#This Row],[Total]]</f>
        <v>#N/A</v>
      </c>
      <c r="P4362" s="282">
        <f>++Tabla4[[#This Row],[Precio Descontado]]*Tabla4[[#This Row],[Cantidad]]</f>
        <v>638.07057439999994</v>
      </c>
      <c r="Q4362" s="282" t="e">
        <f>(INDEX(Tabla6[#All],MATCH(Tabla4[[#This Row],[Producto]],Tabla6[[#All],[PRODUCTO]],0),MATCH(Tabla4[[#This Row],[Mes]],Tabla6[#Headers],0)))</f>
        <v>#N/A</v>
      </c>
      <c r="R4362" s="282" t="e">
        <f>++Tabla4[[#This Row],[Precio Unitario Neto]]-Tabla4[[#This Row],[20.85%]]-Tabla4[[#This Row],[Costo]]</f>
        <v>#N/A</v>
      </c>
      <c r="S4362" s="282" t="e">
        <f>++Tabla4[[#This Row],[U. Bruta Uni]]*Tabla4[[#This Row],[Cantidad]]</f>
        <v>#N/A</v>
      </c>
      <c r="T4362" s="369" t="str">
        <f>VLOOKUP(Tabla4[[#This Row],[Producto]],Tabla6[#All],14,FALSE)</f>
        <v>Termico Solar</v>
      </c>
      <c r="U4362" s="284" t="e">
        <f>(IF(Tabla4[[#This Row],[Familia]]="termico solar",Tabla4[[#This Row],[Utilidad Total]]*6%,Tabla4[[#This Row],[Utilidad Total]]*11.5%))/Tabla4[[#This Row],[Total]]</f>
        <v>#N/A</v>
      </c>
      <c r="V4362" s="282" t="e">
        <f>+Tabla4[[#This Row],[Comisión Calculada]]*Tabla4[[#This Row],[Total]]</f>
        <v>#N/A</v>
      </c>
    </row>
    <row r="4363" spans="1:22" hidden="1" x14ac:dyDescent="0.25">
      <c r="A4363" s="100">
        <v>45853</v>
      </c>
      <c r="B4363" t="str">
        <f t="shared" si="219"/>
        <v>July</v>
      </c>
      <c r="C4363" s="46" t="s">
        <v>280</v>
      </c>
      <c r="F4363" s="366" t="s">
        <v>2352</v>
      </c>
      <c r="G4363" s="46" t="s">
        <v>18</v>
      </c>
      <c r="H4363" s="46">
        <v>1</v>
      </c>
      <c r="I4363" s="51">
        <v>5367.65</v>
      </c>
      <c r="J4363" s="281">
        <f>++Tabla4[[#This Row],[Precio Bruto]]*1.16</f>
        <v>6226.4739999999993</v>
      </c>
      <c r="K4363" s="281">
        <f>+Tabla4[[#This Row],[Precio Unitario Neto]]*Tabla4[[#Headers],[20.85%]]</f>
        <v>1298.2198289999999</v>
      </c>
      <c r="L4363" s="282">
        <f>++Tabla4[[#This Row],[Precio Unitario Neto]]-Tabla4[[#This Row],[20.85%]]</f>
        <v>4928.2541709999996</v>
      </c>
      <c r="M4363" s="282" t="e">
        <f>(INDEX(Tabla6[#All],MATCH(Tabla4[[#This Row],[Producto]],Tabla6[[#All],[PRODUCTO]],0),MATCH(Tabla4[[#This Row],[Mes]],Tabla6[#Headers],0)))*(1+Catalogos!$L$2)</f>
        <v>#N/A</v>
      </c>
      <c r="N4363" s="283" t="e">
        <f>+(Tabla4[[#This Row],[Precio Descontado]]-Tabla4[[#This Row],[Precio Base]])*Tabla4[[#This Row],[Cantidad]]</f>
        <v>#N/A</v>
      </c>
      <c r="O4363" s="284" t="e">
        <f>++Tabla4[[#This Row],[Utilidad Total]]/Tabla4[[#This Row],[Total]]</f>
        <v>#N/A</v>
      </c>
      <c r="P4363" s="282">
        <f>++Tabla4[[#This Row],[Precio Descontado]]*Tabla4[[#This Row],[Cantidad]]</f>
        <v>4928.2541709999996</v>
      </c>
      <c r="Q4363" s="282" t="e">
        <f>(INDEX(Tabla6[#All],MATCH(Tabla4[[#This Row],[Producto]],Tabla6[[#All],[PRODUCTO]],0),MATCH(Tabla4[[#This Row],[Mes]],Tabla6[#Headers],0)))</f>
        <v>#N/A</v>
      </c>
      <c r="R4363" s="282" t="e">
        <f>++Tabla4[[#This Row],[Precio Unitario Neto]]-Tabla4[[#This Row],[20.85%]]-Tabla4[[#This Row],[Costo]]</f>
        <v>#N/A</v>
      </c>
      <c r="S4363" s="282" t="e">
        <f>++Tabla4[[#This Row],[U. Bruta Uni]]*Tabla4[[#This Row],[Cantidad]]</f>
        <v>#N/A</v>
      </c>
      <c r="T4363" s="369" t="str">
        <f>VLOOKUP(Tabla4[[#This Row],[Producto]],Tabla6[#All],14,FALSE)</f>
        <v>Termico Solar</v>
      </c>
      <c r="U4363" s="284" t="e">
        <f>(IF(Tabla4[[#This Row],[Familia]]="termico solar",Tabla4[[#This Row],[Utilidad Total]]*6%,Tabla4[[#This Row],[Utilidad Total]]*11.5%))/Tabla4[[#This Row],[Total]]</f>
        <v>#N/A</v>
      </c>
      <c r="V4363" s="282" t="e">
        <f>+Tabla4[[#This Row],[Comisión Calculada]]*Tabla4[[#This Row],[Total]]</f>
        <v>#N/A</v>
      </c>
    </row>
    <row r="4364" spans="1:22" hidden="1" x14ac:dyDescent="0.25">
      <c r="A4364" s="100">
        <v>45853</v>
      </c>
      <c r="B4364" t="str">
        <f t="shared" si="219"/>
        <v>July</v>
      </c>
      <c r="C4364" s="46" t="s">
        <v>280</v>
      </c>
      <c r="F4364" s="366" t="s">
        <v>2352</v>
      </c>
      <c r="G4364" s="46" t="s">
        <v>566</v>
      </c>
      <c r="H4364" s="46">
        <v>1</v>
      </c>
      <c r="I4364" s="51">
        <v>2109.4499999999998</v>
      </c>
      <c r="J4364" s="281">
        <f>++Tabla4[[#This Row],[Precio Bruto]]*1.16</f>
        <v>2446.9619999999995</v>
      </c>
      <c r="K4364" s="281">
        <f>+Tabla4[[#This Row],[Precio Unitario Neto]]*Tabla4[[#Headers],[20.85%]]</f>
        <v>510.19157699999988</v>
      </c>
      <c r="L4364" s="282">
        <f>++Tabla4[[#This Row],[Precio Unitario Neto]]-Tabla4[[#This Row],[20.85%]]</f>
        <v>1936.7704229999997</v>
      </c>
      <c r="M4364" s="282" t="e">
        <f>(INDEX(Tabla6[#All],MATCH(Tabla4[[#This Row],[Producto]],Tabla6[[#All],[PRODUCTO]],0),MATCH(Tabla4[[#This Row],[Mes]],Tabla6[#Headers],0)))*(1+Catalogos!$L$2)</f>
        <v>#N/A</v>
      </c>
      <c r="N4364" s="283" t="e">
        <f>+(Tabla4[[#This Row],[Precio Descontado]]-Tabla4[[#This Row],[Precio Base]])*Tabla4[[#This Row],[Cantidad]]</f>
        <v>#N/A</v>
      </c>
      <c r="O4364" s="284" t="e">
        <f>++Tabla4[[#This Row],[Utilidad Total]]/Tabla4[[#This Row],[Total]]</f>
        <v>#N/A</v>
      </c>
      <c r="P4364" s="282">
        <f>++Tabla4[[#This Row],[Precio Descontado]]*Tabla4[[#This Row],[Cantidad]]</f>
        <v>1936.7704229999997</v>
      </c>
      <c r="Q4364" s="282" t="e">
        <f>(INDEX(Tabla6[#All],MATCH(Tabla4[[#This Row],[Producto]],Tabla6[[#All],[PRODUCTO]],0),MATCH(Tabla4[[#This Row],[Mes]],Tabla6[#Headers],0)))</f>
        <v>#N/A</v>
      </c>
      <c r="R4364" s="282" t="e">
        <f>++Tabla4[[#This Row],[Precio Unitario Neto]]-Tabla4[[#This Row],[20.85%]]-Tabla4[[#This Row],[Costo]]</f>
        <v>#N/A</v>
      </c>
      <c r="S4364" s="282" t="e">
        <f>++Tabla4[[#This Row],[U. Bruta Uni]]*Tabla4[[#This Row],[Cantidad]]</f>
        <v>#N/A</v>
      </c>
      <c r="T4364" s="369" t="str">
        <f>VLOOKUP(Tabla4[[#This Row],[Producto]],Tabla6[#All],14,FALSE)</f>
        <v>Termico Solar</v>
      </c>
      <c r="U4364" s="284" t="e">
        <f>(IF(Tabla4[[#This Row],[Familia]]="termico solar",Tabla4[[#This Row],[Utilidad Total]]*6%,Tabla4[[#This Row],[Utilidad Total]]*11.5%))/Tabla4[[#This Row],[Total]]</f>
        <v>#N/A</v>
      </c>
      <c r="V4364" s="282" t="e">
        <f>+Tabla4[[#This Row],[Comisión Calculada]]*Tabla4[[#This Row],[Total]]</f>
        <v>#N/A</v>
      </c>
    </row>
    <row r="4365" spans="1:22" hidden="1" x14ac:dyDescent="0.25">
      <c r="A4365" s="100">
        <v>45853</v>
      </c>
      <c r="B4365" t="str">
        <f t="shared" si="219"/>
        <v>July</v>
      </c>
      <c r="C4365" s="46" t="s">
        <v>280</v>
      </c>
      <c r="F4365" s="366" t="s">
        <v>2352</v>
      </c>
      <c r="G4365" s="46" t="s">
        <v>16</v>
      </c>
      <c r="H4365" s="46">
        <v>2</v>
      </c>
      <c r="I4365" s="51">
        <v>4103.8500000000004</v>
      </c>
      <c r="J4365" s="281">
        <f>++Tabla4[[#This Row],[Precio Bruto]]*1.16</f>
        <v>4760.4660000000003</v>
      </c>
      <c r="K4365" s="281">
        <f>+Tabla4[[#This Row],[Precio Unitario Neto]]*Tabla4[[#Headers],[20.85%]]</f>
        <v>992.55716100000006</v>
      </c>
      <c r="L4365" s="282">
        <f>++Tabla4[[#This Row],[Precio Unitario Neto]]-Tabla4[[#This Row],[20.85%]]</f>
        <v>3767.9088390000002</v>
      </c>
      <c r="M4365" s="282" t="e">
        <f>(INDEX(Tabla6[#All],MATCH(Tabla4[[#This Row],[Producto]],Tabla6[[#All],[PRODUCTO]],0),MATCH(Tabla4[[#This Row],[Mes]],Tabla6[#Headers],0)))*(1+Catalogos!$L$2)</f>
        <v>#N/A</v>
      </c>
      <c r="N4365" s="283" t="e">
        <f>+(Tabla4[[#This Row],[Precio Descontado]]-Tabla4[[#This Row],[Precio Base]])*Tabla4[[#This Row],[Cantidad]]</f>
        <v>#N/A</v>
      </c>
      <c r="O4365" s="284" t="e">
        <f>++Tabla4[[#This Row],[Utilidad Total]]/Tabla4[[#This Row],[Total]]</f>
        <v>#N/A</v>
      </c>
      <c r="P4365" s="282">
        <f>++Tabla4[[#This Row],[Precio Descontado]]*Tabla4[[#This Row],[Cantidad]]</f>
        <v>7535.8176780000003</v>
      </c>
      <c r="Q4365" s="282" t="e">
        <f>(INDEX(Tabla6[#All],MATCH(Tabla4[[#This Row],[Producto]],Tabla6[[#All],[PRODUCTO]],0),MATCH(Tabla4[[#This Row],[Mes]],Tabla6[#Headers],0)))</f>
        <v>#N/A</v>
      </c>
      <c r="R4365" s="282" t="e">
        <f>++Tabla4[[#This Row],[Precio Unitario Neto]]-Tabla4[[#This Row],[20.85%]]-Tabla4[[#This Row],[Costo]]</f>
        <v>#N/A</v>
      </c>
      <c r="S4365" s="282" t="e">
        <f>++Tabla4[[#This Row],[U. Bruta Uni]]*Tabla4[[#This Row],[Cantidad]]</f>
        <v>#N/A</v>
      </c>
      <c r="T4365" s="369" t="str">
        <f>VLOOKUP(Tabla4[[#This Row],[Producto]],Tabla6[#All],14,FALSE)</f>
        <v>Termico Solar</v>
      </c>
      <c r="U4365" s="284" t="e">
        <f>(IF(Tabla4[[#This Row],[Familia]]="termico solar",Tabla4[[#This Row],[Utilidad Total]]*6%,Tabla4[[#This Row],[Utilidad Total]]*11.5%))/Tabla4[[#This Row],[Total]]</f>
        <v>#N/A</v>
      </c>
      <c r="V4365" s="282" t="e">
        <f>+Tabla4[[#This Row],[Comisión Calculada]]*Tabla4[[#This Row],[Total]]</f>
        <v>#N/A</v>
      </c>
    </row>
    <row r="4366" spans="1:22" hidden="1" x14ac:dyDescent="0.25">
      <c r="A4366" s="100">
        <v>45853</v>
      </c>
      <c r="B4366" t="str">
        <f t="shared" si="219"/>
        <v>July</v>
      </c>
      <c r="C4366" s="46" t="s">
        <v>280</v>
      </c>
      <c r="F4366" s="366" t="s">
        <v>2353</v>
      </c>
      <c r="G4366" s="46" t="s">
        <v>82</v>
      </c>
      <c r="H4366" s="46">
        <v>1</v>
      </c>
      <c r="I4366" s="51">
        <v>7690</v>
      </c>
      <c r="J4366" s="281">
        <f>++Tabla4[[#This Row],[Precio Bruto]]*1.16</f>
        <v>8920.4</v>
      </c>
      <c r="K4366" s="281">
        <f>+Tabla4[[#This Row],[Precio Unitario Neto]]*Tabla4[[#Headers],[20.85%]]</f>
        <v>1859.9033999999999</v>
      </c>
      <c r="L4366" s="282">
        <f>++Tabla4[[#This Row],[Precio Unitario Neto]]-Tabla4[[#This Row],[20.85%]]</f>
        <v>7060.4965999999995</v>
      </c>
      <c r="M4366" s="282" t="e">
        <f>(INDEX(Tabla6[#All],MATCH(Tabla4[[#This Row],[Producto]],Tabla6[[#All],[PRODUCTO]],0),MATCH(Tabla4[[#This Row],[Mes]],Tabla6[#Headers],0)))*(1+Catalogos!$L$2)</f>
        <v>#N/A</v>
      </c>
      <c r="N4366" s="283" t="e">
        <f>+(Tabla4[[#This Row],[Precio Descontado]]-Tabla4[[#This Row],[Precio Base]])*Tabla4[[#This Row],[Cantidad]]</f>
        <v>#N/A</v>
      </c>
      <c r="O4366" s="284" t="e">
        <f>++Tabla4[[#This Row],[Utilidad Total]]/Tabla4[[#This Row],[Total]]</f>
        <v>#N/A</v>
      </c>
      <c r="P4366" s="282">
        <f>++Tabla4[[#This Row],[Precio Descontado]]*Tabla4[[#This Row],[Cantidad]]</f>
        <v>7060.4965999999995</v>
      </c>
      <c r="Q4366" s="282" t="e">
        <f>(INDEX(Tabla6[#All],MATCH(Tabla4[[#This Row],[Producto]],Tabla6[[#All],[PRODUCTO]],0),MATCH(Tabla4[[#This Row],[Mes]],Tabla6[#Headers],0)))</f>
        <v>#N/A</v>
      </c>
      <c r="R4366" s="282" t="e">
        <f>++Tabla4[[#This Row],[Precio Unitario Neto]]-Tabla4[[#This Row],[20.85%]]-Tabla4[[#This Row],[Costo]]</f>
        <v>#N/A</v>
      </c>
      <c r="S4366" s="282" t="e">
        <f>++Tabla4[[#This Row],[U. Bruta Uni]]*Tabla4[[#This Row],[Cantidad]]</f>
        <v>#N/A</v>
      </c>
      <c r="T4366" s="369" t="str">
        <f>VLOOKUP(Tabla4[[#This Row],[Producto]],Tabla6[#All],14,FALSE)</f>
        <v>Termico Solar</v>
      </c>
      <c r="U4366" s="284" t="e">
        <f>(IF(Tabla4[[#This Row],[Familia]]="termico solar",Tabla4[[#This Row],[Utilidad Total]]*6%,Tabla4[[#This Row],[Utilidad Total]]*11.5%))/Tabla4[[#This Row],[Total]]</f>
        <v>#N/A</v>
      </c>
      <c r="V4366" s="282" t="e">
        <f>+Tabla4[[#This Row],[Comisión Calculada]]*Tabla4[[#This Row],[Total]]</f>
        <v>#N/A</v>
      </c>
    </row>
    <row r="4367" spans="1:22" hidden="1" x14ac:dyDescent="0.25">
      <c r="A4367" s="100">
        <v>45853</v>
      </c>
      <c r="B4367" t="str">
        <f t="shared" si="219"/>
        <v>July</v>
      </c>
      <c r="C4367" s="46" t="s">
        <v>280</v>
      </c>
      <c r="F4367" s="366" t="s">
        <v>2354</v>
      </c>
      <c r="G4367" s="46" t="s">
        <v>208</v>
      </c>
      <c r="H4367" s="46">
        <v>1</v>
      </c>
      <c r="I4367" s="51">
        <v>189.75</v>
      </c>
      <c r="J4367" s="281">
        <f>++Tabla4[[#This Row],[Precio Bruto]]*1.16</f>
        <v>220.10999999999999</v>
      </c>
      <c r="K4367" s="281">
        <f>+Tabla4[[#This Row],[Precio Unitario Neto]]*Tabla4[[#Headers],[20.85%]]</f>
        <v>45.892934999999994</v>
      </c>
      <c r="L4367" s="282">
        <f>++Tabla4[[#This Row],[Precio Unitario Neto]]-Tabla4[[#This Row],[20.85%]]</f>
        <v>174.21706499999999</v>
      </c>
      <c r="M4367" s="282" t="e">
        <f>(INDEX(Tabla6[#All],MATCH(Tabla4[[#This Row],[Producto]],Tabla6[[#All],[PRODUCTO]],0),MATCH(Tabla4[[#This Row],[Mes]],Tabla6[#Headers],0)))*(1+Catalogos!$L$2)</f>
        <v>#N/A</v>
      </c>
      <c r="N4367" s="283" t="e">
        <f>+(Tabla4[[#This Row],[Precio Descontado]]-Tabla4[[#This Row],[Precio Base]])*Tabla4[[#This Row],[Cantidad]]</f>
        <v>#N/A</v>
      </c>
      <c r="O4367" s="284" t="e">
        <f>++Tabla4[[#This Row],[Utilidad Total]]/Tabla4[[#This Row],[Total]]</f>
        <v>#N/A</v>
      </c>
      <c r="P4367" s="282">
        <f>++Tabla4[[#This Row],[Precio Descontado]]*Tabla4[[#This Row],[Cantidad]]</f>
        <v>174.21706499999999</v>
      </c>
      <c r="Q4367" s="282" t="e">
        <f>(INDEX(Tabla6[#All],MATCH(Tabla4[[#This Row],[Producto]],Tabla6[[#All],[PRODUCTO]],0),MATCH(Tabla4[[#This Row],[Mes]],Tabla6[#Headers],0)))</f>
        <v>#N/A</v>
      </c>
      <c r="R4367" s="282" t="e">
        <f>++Tabla4[[#This Row],[Precio Unitario Neto]]-Tabla4[[#This Row],[20.85%]]-Tabla4[[#This Row],[Costo]]</f>
        <v>#N/A</v>
      </c>
      <c r="S4367" s="282" t="e">
        <f>++Tabla4[[#This Row],[U. Bruta Uni]]*Tabla4[[#This Row],[Cantidad]]</f>
        <v>#N/A</v>
      </c>
      <c r="T4367" s="369" t="str">
        <f>VLOOKUP(Tabla4[[#This Row],[Producto]],Tabla6[#All],14,FALSE)</f>
        <v>Termico Solar</v>
      </c>
      <c r="U4367" s="284" t="e">
        <f>(IF(Tabla4[[#This Row],[Familia]]="termico solar",Tabla4[[#This Row],[Utilidad Total]]*6%,Tabla4[[#This Row],[Utilidad Total]]*11.5%))/Tabla4[[#This Row],[Total]]</f>
        <v>#N/A</v>
      </c>
      <c r="V4367" s="282" t="e">
        <f>+Tabla4[[#This Row],[Comisión Calculada]]*Tabla4[[#This Row],[Total]]</f>
        <v>#N/A</v>
      </c>
    </row>
    <row r="4368" spans="1:22" hidden="1" x14ac:dyDescent="0.25">
      <c r="A4368" s="100">
        <v>45853</v>
      </c>
      <c r="B4368" t="str">
        <f t="shared" si="219"/>
        <v>July</v>
      </c>
      <c r="C4368" s="46" t="s">
        <v>280</v>
      </c>
      <c r="F4368" s="366" t="s">
        <v>2355</v>
      </c>
      <c r="G4368" s="46" t="s">
        <v>17</v>
      </c>
      <c r="H4368" s="46">
        <v>1</v>
      </c>
      <c r="I4368" s="51">
        <v>4622.28</v>
      </c>
      <c r="J4368" s="281">
        <f>++Tabla4[[#This Row],[Precio Bruto]]*1.16</f>
        <v>5361.8447999999989</v>
      </c>
      <c r="K4368" s="281">
        <f>+Tabla4[[#This Row],[Precio Unitario Neto]]*Tabla4[[#Headers],[20.85%]]</f>
        <v>1117.9446407999997</v>
      </c>
      <c r="L4368" s="282">
        <f>++Tabla4[[#This Row],[Precio Unitario Neto]]-Tabla4[[#This Row],[20.85%]]</f>
        <v>4243.9001591999995</v>
      </c>
      <c r="M4368" s="282" t="e">
        <f>(INDEX(Tabla6[#All],MATCH(Tabla4[[#This Row],[Producto]],Tabla6[[#All],[PRODUCTO]],0),MATCH(Tabla4[[#This Row],[Mes]],Tabla6[#Headers],0)))*(1+Catalogos!$L$2)</f>
        <v>#N/A</v>
      </c>
      <c r="N4368" s="283" t="e">
        <f>+(Tabla4[[#This Row],[Precio Descontado]]-Tabla4[[#This Row],[Precio Base]])*Tabla4[[#This Row],[Cantidad]]</f>
        <v>#N/A</v>
      </c>
      <c r="O4368" s="284" t="e">
        <f>++Tabla4[[#This Row],[Utilidad Total]]/Tabla4[[#This Row],[Total]]</f>
        <v>#N/A</v>
      </c>
      <c r="P4368" s="282">
        <f>++Tabla4[[#This Row],[Precio Descontado]]*Tabla4[[#This Row],[Cantidad]]</f>
        <v>4243.9001591999995</v>
      </c>
      <c r="Q4368" s="282" t="e">
        <f>(INDEX(Tabla6[#All],MATCH(Tabla4[[#This Row],[Producto]],Tabla6[[#All],[PRODUCTO]],0),MATCH(Tabla4[[#This Row],[Mes]],Tabla6[#Headers],0)))</f>
        <v>#N/A</v>
      </c>
      <c r="R4368" s="282" t="e">
        <f>++Tabla4[[#This Row],[Precio Unitario Neto]]-Tabla4[[#This Row],[20.85%]]-Tabla4[[#This Row],[Costo]]</f>
        <v>#N/A</v>
      </c>
      <c r="S4368" s="282" t="e">
        <f>++Tabla4[[#This Row],[U. Bruta Uni]]*Tabla4[[#This Row],[Cantidad]]</f>
        <v>#N/A</v>
      </c>
      <c r="T4368" s="369" t="str">
        <f>VLOOKUP(Tabla4[[#This Row],[Producto]],Tabla6[#All],14,FALSE)</f>
        <v>Termico Solar</v>
      </c>
      <c r="U4368" s="284" t="e">
        <f>(IF(Tabla4[[#This Row],[Familia]]="termico solar",Tabla4[[#This Row],[Utilidad Total]]*6%,Tabla4[[#This Row],[Utilidad Total]]*11.5%))/Tabla4[[#This Row],[Total]]</f>
        <v>#N/A</v>
      </c>
      <c r="V4368" s="282" t="e">
        <f>+Tabla4[[#This Row],[Comisión Calculada]]*Tabla4[[#This Row],[Total]]</f>
        <v>#N/A</v>
      </c>
    </row>
    <row r="4369" spans="1:22" hidden="1" x14ac:dyDescent="0.25">
      <c r="A4369" s="100">
        <v>45853</v>
      </c>
      <c r="B4369" t="str">
        <f t="shared" si="219"/>
        <v>July</v>
      </c>
      <c r="C4369" s="46" t="s">
        <v>280</v>
      </c>
      <c r="F4369" s="366" t="s">
        <v>2355</v>
      </c>
      <c r="G4369" s="46" t="s">
        <v>18</v>
      </c>
      <c r="H4369" s="46">
        <v>1</v>
      </c>
      <c r="I4369" s="51">
        <v>5367.65</v>
      </c>
      <c r="J4369" s="281">
        <f>++Tabla4[[#This Row],[Precio Bruto]]*1.16</f>
        <v>6226.4739999999993</v>
      </c>
      <c r="K4369" s="281">
        <f>+Tabla4[[#This Row],[Precio Unitario Neto]]*Tabla4[[#Headers],[20.85%]]</f>
        <v>1298.2198289999999</v>
      </c>
      <c r="L4369" s="282">
        <f>++Tabla4[[#This Row],[Precio Unitario Neto]]-Tabla4[[#This Row],[20.85%]]</f>
        <v>4928.2541709999996</v>
      </c>
      <c r="M4369" s="282" t="e">
        <f>(INDEX(Tabla6[#All],MATCH(Tabla4[[#This Row],[Producto]],Tabla6[[#All],[PRODUCTO]],0),MATCH(Tabla4[[#This Row],[Mes]],Tabla6[#Headers],0)))*(1+Catalogos!$L$2)</f>
        <v>#N/A</v>
      </c>
      <c r="N4369" s="283" t="e">
        <f>+(Tabla4[[#This Row],[Precio Descontado]]-Tabla4[[#This Row],[Precio Base]])*Tabla4[[#This Row],[Cantidad]]</f>
        <v>#N/A</v>
      </c>
      <c r="O4369" s="284" t="e">
        <f>++Tabla4[[#This Row],[Utilidad Total]]/Tabla4[[#This Row],[Total]]</f>
        <v>#N/A</v>
      </c>
      <c r="P4369" s="282">
        <f>++Tabla4[[#This Row],[Precio Descontado]]*Tabla4[[#This Row],[Cantidad]]</f>
        <v>4928.2541709999996</v>
      </c>
      <c r="Q4369" s="282" t="e">
        <f>(INDEX(Tabla6[#All],MATCH(Tabla4[[#This Row],[Producto]],Tabla6[[#All],[PRODUCTO]],0),MATCH(Tabla4[[#This Row],[Mes]],Tabla6[#Headers],0)))</f>
        <v>#N/A</v>
      </c>
      <c r="R4369" s="282" t="e">
        <f>++Tabla4[[#This Row],[Precio Unitario Neto]]-Tabla4[[#This Row],[20.85%]]-Tabla4[[#This Row],[Costo]]</f>
        <v>#N/A</v>
      </c>
      <c r="S4369" s="282" t="e">
        <f>++Tabla4[[#This Row],[U. Bruta Uni]]*Tabla4[[#This Row],[Cantidad]]</f>
        <v>#N/A</v>
      </c>
      <c r="T4369" s="369" t="str">
        <f>VLOOKUP(Tabla4[[#This Row],[Producto]],Tabla6[#All],14,FALSE)</f>
        <v>Termico Solar</v>
      </c>
      <c r="U4369" s="284" t="e">
        <f>(IF(Tabla4[[#This Row],[Familia]]="termico solar",Tabla4[[#This Row],[Utilidad Total]]*6%,Tabla4[[#This Row],[Utilidad Total]]*11.5%))/Tabla4[[#This Row],[Total]]</f>
        <v>#N/A</v>
      </c>
      <c r="V4369" s="282" t="e">
        <f>+Tabla4[[#This Row],[Comisión Calculada]]*Tabla4[[#This Row],[Total]]</f>
        <v>#N/A</v>
      </c>
    </row>
    <row r="4370" spans="1:22" hidden="1" x14ac:dyDescent="0.25">
      <c r="A4370" s="100">
        <v>45853</v>
      </c>
      <c r="B4370" t="str">
        <f t="shared" si="219"/>
        <v>July</v>
      </c>
      <c r="C4370" s="46" t="s">
        <v>280</v>
      </c>
      <c r="F4370" s="366" t="s">
        <v>2355</v>
      </c>
      <c r="G4370" s="46" t="s">
        <v>208</v>
      </c>
      <c r="H4370" s="46">
        <v>2</v>
      </c>
      <c r="I4370" s="51">
        <v>189.75</v>
      </c>
      <c r="J4370" s="281">
        <f>++Tabla4[[#This Row],[Precio Bruto]]*1.16</f>
        <v>220.10999999999999</v>
      </c>
      <c r="K4370" s="281">
        <f>+Tabla4[[#This Row],[Precio Unitario Neto]]*Tabla4[[#Headers],[20.85%]]</f>
        <v>45.892934999999994</v>
      </c>
      <c r="L4370" s="282">
        <f>++Tabla4[[#This Row],[Precio Unitario Neto]]-Tabla4[[#This Row],[20.85%]]</f>
        <v>174.21706499999999</v>
      </c>
      <c r="M4370" s="282" t="e">
        <f>(INDEX(Tabla6[#All],MATCH(Tabla4[[#This Row],[Producto]],Tabla6[[#All],[PRODUCTO]],0),MATCH(Tabla4[[#This Row],[Mes]],Tabla6[#Headers],0)))*(1+Catalogos!$L$2)</f>
        <v>#N/A</v>
      </c>
      <c r="N4370" s="283" t="e">
        <f>+(Tabla4[[#This Row],[Precio Descontado]]-Tabla4[[#This Row],[Precio Base]])*Tabla4[[#This Row],[Cantidad]]</f>
        <v>#N/A</v>
      </c>
      <c r="O4370" s="284" t="e">
        <f>++Tabla4[[#This Row],[Utilidad Total]]/Tabla4[[#This Row],[Total]]</f>
        <v>#N/A</v>
      </c>
      <c r="P4370" s="282">
        <f>++Tabla4[[#This Row],[Precio Descontado]]*Tabla4[[#This Row],[Cantidad]]</f>
        <v>348.43412999999998</v>
      </c>
      <c r="Q4370" s="282" t="e">
        <f>(INDEX(Tabla6[#All],MATCH(Tabla4[[#This Row],[Producto]],Tabla6[[#All],[PRODUCTO]],0),MATCH(Tabla4[[#This Row],[Mes]],Tabla6[#Headers],0)))</f>
        <v>#N/A</v>
      </c>
      <c r="R4370" s="282" t="e">
        <f>++Tabla4[[#This Row],[Precio Unitario Neto]]-Tabla4[[#This Row],[20.85%]]-Tabla4[[#This Row],[Costo]]</f>
        <v>#N/A</v>
      </c>
      <c r="S4370" s="282" t="e">
        <f>++Tabla4[[#This Row],[U. Bruta Uni]]*Tabla4[[#This Row],[Cantidad]]</f>
        <v>#N/A</v>
      </c>
      <c r="T4370" s="369" t="str">
        <f>VLOOKUP(Tabla4[[#This Row],[Producto]],Tabla6[#All],14,FALSE)</f>
        <v>Termico Solar</v>
      </c>
      <c r="U4370" s="284" t="e">
        <f>(IF(Tabla4[[#This Row],[Familia]]="termico solar",Tabla4[[#This Row],[Utilidad Total]]*6%,Tabla4[[#This Row],[Utilidad Total]]*11.5%))/Tabla4[[#This Row],[Total]]</f>
        <v>#N/A</v>
      </c>
      <c r="V4370" s="282" t="e">
        <f>+Tabla4[[#This Row],[Comisión Calculada]]*Tabla4[[#This Row],[Total]]</f>
        <v>#N/A</v>
      </c>
    </row>
    <row r="4371" spans="1:22" hidden="1" x14ac:dyDescent="0.25">
      <c r="A4371" s="100">
        <v>45853</v>
      </c>
      <c r="B4371" t="str">
        <f t="shared" si="219"/>
        <v>July</v>
      </c>
      <c r="C4371" s="46" t="s">
        <v>280</v>
      </c>
      <c r="F4371" s="366" t="s">
        <v>2356</v>
      </c>
      <c r="G4371" s="46" t="s">
        <v>17</v>
      </c>
      <c r="H4371" s="46">
        <v>12</v>
      </c>
      <c r="I4371" s="51">
        <v>4622.28</v>
      </c>
      <c r="J4371" s="281">
        <f>++Tabla4[[#This Row],[Precio Bruto]]*1.16</f>
        <v>5361.8447999999989</v>
      </c>
      <c r="K4371" s="281">
        <f>+Tabla4[[#This Row],[Precio Unitario Neto]]*Tabla4[[#Headers],[20.85%]]</f>
        <v>1117.9446407999997</v>
      </c>
      <c r="L4371" s="282">
        <f>++Tabla4[[#This Row],[Precio Unitario Neto]]-Tabla4[[#This Row],[20.85%]]</f>
        <v>4243.9001591999995</v>
      </c>
      <c r="M4371" s="282" t="e">
        <f>(INDEX(Tabla6[#All],MATCH(Tabla4[[#This Row],[Producto]],Tabla6[[#All],[PRODUCTO]],0),MATCH(Tabla4[[#This Row],[Mes]],Tabla6[#Headers],0)))*(1+Catalogos!$L$2)</f>
        <v>#N/A</v>
      </c>
      <c r="N4371" s="283" t="e">
        <f>+(Tabla4[[#This Row],[Precio Descontado]]-Tabla4[[#This Row],[Precio Base]])*Tabla4[[#This Row],[Cantidad]]</f>
        <v>#N/A</v>
      </c>
      <c r="O4371" s="284" t="e">
        <f>++Tabla4[[#This Row],[Utilidad Total]]/Tabla4[[#This Row],[Total]]</f>
        <v>#N/A</v>
      </c>
      <c r="P4371" s="282">
        <f>++Tabla4[[#This Row],[Precio Descontado]]*Tabla4[[#This Row],[Cantidad]]</f>
        <v>50926.801910399998</v>
      </c>
      <c r="Q4371" s="282" t="e">
        <f>(INDEX(Tabla6[#All],MATCH(Tabla4[[#This Row],[Producto]],Tabla6[[#All],[PRODUCTO]],0),MATCH(Tabla4[[#This Row],[Mes]],Tabla6[#Headers],0)))</f>
        <v>#N/A</v>
      </c>
      <c r="R4371" s="282" t="e">
        <f>++Tabla4[[#This Row],[Precio Unitario Neto]]-Tabla4[[#This Row],[20.85%]]-Tabla4[[#This Row],[Costo]]</f>
        <v>#N/A</v>
      </c>
      <c r="S4371" s="282" t="e">
        <f>++Tabla4[[#This Row],[U. Bruta Uni]]*Tabla4[[#This Row],[Cantidad]]</f>
        <v>#N/A</v>
      </c>
      <c r="T4371" s="369" t="str">
        <f>VLOOKUP(Tabla4[[#This Row],[Producto]],Tabla6[#All],14,FALSE)</f>
        <v>Termico Solar</v>
      </c>
      <c r="U4371" s="284" t="e">
        <f>(IF(Tabla4[[#This Row],[Familia]]="termico solar",Tabla4[[#This Row],[Utilidad Total]]*6%,Tabla4[[#This Row],[Utilidad Total]]*11.5%))/Tabla4[[#This Row],[Total]]</f>
        <v>#N/A</v>
      </c>
      <c r="V4371" s="282" t="e">
        <f>+Tabla4[[#This Row],[Comisión Calculada]]*Tabla4[[#This Row],[Total]]</f>
        <v>#N/A</v>
      </c>
    </row>
    <row r="4372" spans="1:22" hidden="1" x14ac:dyDescent="0.25">
      <c r="A4372" s="100">
        <v>45853</v>
      </c>
      <c r="B4372" t="str">
        <f t="shared" si="219"/>
        <v>July</v>
      </c>
      <c r="C4372" s="46" t="s">
        <v>280</v>
      </c>
      <c r="F4372" s="366" t="s">
        <v>2356</v>
      </c>
      <c r="G4372" s="46" t="s">
        <v>18</v>
      </c>
      <c r="H4372" s="46">
        <v>3</v>
      </c>
      <c r="I4372" s="51">
        <v>5367.6500000000005</v>
      </c>
      <c r="J4372" s="281">
        <f>++Tabla4[[#This Row],[Precio Bruto]]*1.16</f>
        <v>6226.4740000000002</v>
      </c>
      <c r="K4372" s="281">
        <f>+Tabla4[[#This Row],[Precio Unitario Neto]]*Tabla4[[#Headers],[20.85%]]</f>
        <v>1298.2198289999999</v>
      </c>
      <c r="L4372" s="282">
        <f>++Tabla4[[#This Row],[Precio Unitario Neto]]-Tabla4[[#This Row],[20.85%]]</f>
        <v>4928.2541710000005</v>
      </c>
      <c r="M4372" s="282" t="e">
        <f>(INDEX(Tabla6[#All],MATCH(Tabla4[[#This Row],[Producto]],Tabla6[[#All],[PRODUCTO]],0),MATCH(Tabla4[[#This Row],[Mes]],Tabla6[#Headers],0)))*(1+Catalogos!$L$2)</f>
        <v>#N/A</v>
      </c>
      <c r="N4372" s="283" t="e">
        <f>+(Tabla4[[#This Row],[Precio Descontado]]-Tabla4[[#This Row],[Precio Base]])*Tabla4[[#This Row],[Cantidad]]</f>
        <v>#N/A</v>
      </c>
      <c r="O4372" s="284" t="e">
        <f>++Tabla4[[#This Row],[Utilidad Total]]/Tabla4[[#This Row],[Total]]</f>
        <v>#N/A</v>
      </c>
      <c r="P4372" s="282">
        <f>++Tabla4[[#This Row],[Precio Descontado]]*Tabla4[[#This Row],[Cantidad]]</f>
        <v>14784.762513000001</v>
      </c>
      <c r="Q4372" s="282" t="e">
        <f>(INDEX(Tabla6[#All],MATCH(Tabla4[[#This Row],[Producto]],Tabla6[[#All],[PRODUCTO]],0),MATCH(Tabla4[[#This Row],[Mes]],Tabla6[#Headers],0)))</f>
        <v>#N/A</v>
      </c>
      <c r="R4372" s="282" t="e">
        <f>++Tabla4[[#This Row],[Precio Unitario Neto]]-Tabla4[[#This Row],[20.85%]]-Tabla4[[#This Row],[Costo]]</f>
        <v>#N/A</v>
      </c>
      <c r="S4372" s="282" t="e">
        <f>++Tabla4[[#This Row],[U. Bruta Uni]]*Tabla4[[#This Row],[Cantidad]]</f>
        <v>#N/A</v>
      </c>
      <c r="T4372" s="369" t="str">
        <f>VLOOKUP(Tabla4[[#This Row],[Producto]],Tabla6[#All],14,FALSE)</f>
        <v>Termico Solar</v>
      </c>
      <c r="U4372" s="284" t="e">
        <f>(IF(Tabla4[[#This Row],[Familia]]="termico solar",Tabla4[[#This Row],[Utilidad Total]]*6%,Tabla4[[#This Row],[Utilidad Total]]*11.5%))/Tabla4[[#This Row],[Total]]</f>
        <v>#N/A</v>
      </c>
      <c r="V4372" s="282" t="e">
        <f>+Tabla4[[#This Row],[Comisión Calculada]]*Tabla4[[#This Row],[Total]]</f>
        <v>#N/A</v>
      </c>
    </row>
    <row r="4373" spans="1:22" hidden="1" x14ac:dyDescent="0.25">
      <c r="A4373" s="100">
        <v>45853</v>
      </c>
      <c r="B4373" t="str">
        <f t="shared" si="219"/>
        <v>July</v>
      </c>
      <c r="C4373" s="46" t="s">
        <v>280</v>
      </c>
      <c r="F4373" s="366" t="s">
        <v>2356</v>
      </c>
      <c r="G4373" s="46" t="s">
        <v>566</v>
      </c>
      <c r="H4373" s="46">
        <v>1</v>
      </c>
      <c r="I4373" s="51">
        <v>2109.4499999999998</v>
      </c>
      <c r="J4373" s="281">
        <f>++Tabla4[[#This Row],[Precio Bruto]]*1.16</f>
        <v>2446.9619999999995</v>
      </c>
      <c r="K4373" s="281">
        <f>+Tabla4[[#This Row],[Precio Unitario Neto]]*Tabla4[[#Headers],[20.85%]]</f>
        <v>510.19157699999988</v>
      </c>
      <c r="L4373" s="282">
        <f>++Tabla4[[#This Row],[Precio Unitario Neto]]-Tabla4[[#This Row],[20.85%]]</f>
        <v>1936.7704229999997</v>
      </c>
      <c r="M4373" s="282" t="e">
        <f>(INDEX(Tabla6[#All],MATCH(Tabla4[[#This Row],[Producto]],Tabla6[[#All],[PRODUCTO]],0),MATCH(Tabla4[[#This Row],[Mes]],Tabla6[#Headers],0)))*(1+Catalogos!$L$2)</f>
        <v>#N/A</v>
      </c>
      <c r="N4373" s="283" t="e">
        <f>+(Tabla4[[#This Row],[Precio Descontado]]-Tabla4[[#This Row],[Precio Base]])*Tabla4[[#This Row],[Cantidad]]</f>
        <v>#N/A</v>
      </c>
      <c r="O4373" s="284" t="e">
        <f>++Tabla4[[#This Row],[Utilidad Total]]/Tabla4[[#This Row],[Total]]</f>
        <v>#N/A</v>
      </c>
      <c r="P4373" s="282">
        <f>++Tabla4[[#This Row],[Precio Descontado]]*Tabla4[[#This Row],[Cantidad]]</f>
        <v>1936.7704229999997</v>
      </c>
      <c r="Q4373" s="282" t="e">
        <f>(INDEX(Tabla6[#All],MATCH(Tabla4[[#This Row],[Producto]],Tabla6[[#All],[PRODUCTO]],0),MATCH(Tabla4[[#This Row],[Mes]],Tabla6[#Headers],0)))</f>
        <v>#N/A</v>
      </c>
      <c r="R4373" s="282" t="e">
        <f>++Tabla4[[#This Row],[Precio Unitario Neto]]-Tabla4[[#This Row],[20.85%]]-Tabla4[[#This Row],[Costo]]</f>
        <v>#N/A</v>
      </c>
      <c r="S4373" s="282" t="e">
        <f>++Tabla4[[#This Row],[U. Bruta Uni]]*Tabla4[[#This Row],[Cantidad]]</f>
        <v>#N/A</v>
      </c>
      <c r="T4373" s="369" t="str">
        <f>VLOOKUP(Tabla4[[#This Row],[Producto]],Tabla6[#All],14,FALSE)</f>
        <v>Termico Solar</v>
      </c>
      <c r="U4373" s="284" t="e">
        <f>(IF(Tabla4[[#This Row],[Familia]]="termico solar",Tabla4[[#This Row],[Utilidad Total]]*6%,Tabla4[[#This Row],[Utilidad Total]]*11.5%))/Tabla4[[#This Row],[Total]]</f>
        <v>#N/A</v>
      </c>
      <c r="V4373" s="282" t="e">
        <f>+Tabla4[[#This Row],[Comisión Calculada]]*Tabla4[[#This Row],[Total]]</f>
        <v>#N/A</v>
      </c>
    </row>
    <row r="4374" spans="1:22" hidden="1" x14ac:dyDescent="0.25">
      <c r="A4374" s="100">
        <v>45853</v>
      </c>
      <c r="B4374" t="str">
        <f t="shared" si="219"/>
        <v>July</v>
      </c>
      <c r="C4374" s="46" t="s">
        <v>280</v>
      </c>
      <c r="F4374" s="366" t="s">
        <v>2357</v>
      </c>
      <c r="G4374" s="46" t="s">
        <v>83</v>
      </c>
      <c r="H4374" s="46">
        <v>3</v>
      </c>
      <c r="I4374" s="51">
        <v>8858.76</v>
      </c>
      <c r="J4374" s="281">
        <f>++Tabla4[[#This Row],[Precio Bruto]]*1.16</f>
        <v>10276.161599999999</v>
      </c>
      <c r="K4374" s="281">
        <f>+Tabla4[[#This Row],[Precio Unitario Neto]]*Tabla4[[#Headers],[20.85%]]</f>
        <v>2142.5796935999997</v>
      </c>
      <c r="L4374" s="282">
        <f>++Tabla4[[#This Row],[Precio Unitario Neto]]-Tabla4[[#This Row],[20.85%]]</f>
        <v>8133.5819063999998</v>
      </c>
      <c r="M4374" s="282" t="e">
        <f>(INDEX(Tabla6[#All],MATCH(Tabla4[[#This Row],[Producto]],Tabla6[[#All],[PRODUCTO]],0),MATCH(Tabla4[[#This Row],[Mes]],Tabla6[#Headers],0)))*(1+Catalogos!$L$2)</f>
        <v>#N/A</v>
      </c>
      <c r="N4374" s="283" t="e">
        <f>+(Tabla4[[#This Row],[Precio Descontado]]-Tabla4[[#This Row],[Precio Base]])*Tabla4[[#This Row],[Cantidad]]</f>
        <v>#N/A</v>
      </c>
      <c r="O4374" s="284" t="e">
        <f>++Tabla4[[#This Row],[Utilidad Total]]/Tabla4[[#This Row],[Total]]</f>
        <v>#N/A</v>
      </c>
      <c r="P4374" s="282">
        <f>++Tabla4[[#This Row],[Precio Descontado]]*Tabla4[[#This Row],[Cantidad]]</f>
        <v>24400.7457192</v>
      </c>
      <c r="Q4374" s="282" t="e">
        <f>(INDEX(Tabla6[#All],MATCH(Tabla4[[#This Row],[Producto]],Tabla6[[#All],[PRODUCTO]],0),MATCH(Tabla4[[#This Row],[Mes]],Tabla6[#Headers],0)))</f>
        <v>#N/A</v>
      </c>
      <c r="R4374" s="282" t="e">
        <f>++Tabla4[[#This Row],[Precio Unitario Neto]]-Tabla4[[#This Row],[20.85%]]-Tabla4[[#This Row],[Costo]]</f>
        <v>#N/A</v>
      </c>
      <c r="S4374" s="282" t="e">
        <f>++Tabla4[[#This Row],[U. Bruta Uni]]*Tabla4[[#This Row],[Cantidad]]</f>
        <v>#N/A</v>
      </c>
      <c r="T4374" s="369" t="str">
        <f>VLOOKUP(Tabla4[[#This Row],[Producto]],Tabla6[#All],14,FALSE)</f>
        <v>Termico Solar</v>
      </c>
      <c r="U4374" s="284" t="e">
        <f>(IF(Tabla4[[#This Row],[Familia]]="termico solar",Tabla4[[#This Row],[Utilidad Total]]*6%,Tabla4[[#This Row],[Utilidad Total]]*11.5%))/Tabla4[[#This Row],[Total]]</f>
        <v>#N/A</v>
      </c>
      <c r="V4374" s="282" t="e">
        <f>+Tabla4[[#This Row],[Comisión Calculada]]*Tabla4[[#This Row],[Total]]</f>
        <v>#N/A</v>
      </c>
    </row>
    <row r="4375" spans="1:22" hidden="1" x14ac:dyDescent="0.25">
      <c r="A4375" s="100">
        <v>45853</v>
      </c>
      <c r="B4375" t="str">
        <f t="shared" si="219"/>
        <v>July</v>
      </c>
      <c r="C4375" s="46" t="s">
        <v>280</v>
      </c>
      <c r="F4375" s="366" t="s">
        <v>2357</v>
      </c>
      <c r="G4375" s="46" t="s">
        <v>18</v>
      </c>
      <c r="H4375" s="46">
        <v>2</v>
      </c>
      <c r="I4375" s="51">
        <v>5367.65</v>
      </c>
      <c r="J4375" s="281">
        <f>++Tabla4[[#This Row],[Precio Bruto]]*1.16</f>
        <v>6226.4739999999993</v>
      </c>
      <c r="K4375" s="281">
        <f>+Tabla4[[#This Row],[Precio Unitario Neto]]*Tabla4[[#Headers],[20.85%]]</f>
        <v>1298.2198289999999</v>
      </c>
      <c r="L4375" s="282">
        <f>++Tabla4[[#This Row],[Precio Unitario Neto]]-Tabla4[[#This Row],[20.85%]]</f>
        <v>4928.2541709999996</v>
      </c>
      <c r="M4375" s="282" t="e">
        <f>(INDEX(Tabla6[#All],MATCH(Tabla4[[#This Row],[Producto]],Tabla6[[#All],[PRODUCTO]],0),MATCH(Tabla4[[#This Row],[Mes]],Tabla6[#Headers],0)))*(1+Catalogos!$L$2)</f>
        <v>#N/A</v>
      </c>
      <c r="N4375" s="283" t="e">
        <f>+(Tabla4[[#This Row],[Precio Descontado]]-Tabla4[[#This Row],[Precio Base]])*Tabla4[[#This Row],[Cantidad]]</f>
        <v>#N/A</v>
      </c>
      <c r="O4375" s="284" t="e">
        <f>++Tabla4[[#This Row],[Utilidad Total]]/Tabla4[[#This Row],[Total]]</f>
        <v>#N/A</v>
      </c>
      <c r="P4375" s="282">
        <f>++Tabla4[[#This Row],[Precio Descontado]]*Tabla4[[#This Row],[Cantidad]]</f>
        <v>9856.5083419999992</v>
      </c>
      <c r="Q4375" s="282" t="e">
        <f>(INDEX(Tabla6[#All],MATCH(Tabla4[[#This Row],[Producto]],Tabla6[[#All],[PRODUCTO]],0),MATCH(Tabla4[[#This Row],[Mes]],Tabla6[#Headers],0)))</f>
        <v>#N/A</v>
      </c>
      <c r="R4375" s="282" t="e">
        <f>++Tabla4[[#This Row],[Precio Unitario Neto]]-Tabla4[[#This Row],[20.85%]]-Tabla4[[#This Row],[Costo]]</f>
        <v>#N/A</v>
      </c>
      <c r="S4375" s="282" t="e">
        <f>++Tabla4[[#This Row],[U. Bruta Uni]]*Tabla4[[#This Row],[Cantidad]]</f>
        <v>#N/A</v>
      </c>
      <c r="T4375" s="369" t="str">
        <f>VLOOKUP(Tabla4[[#This Row],[Producto]],Tabla6[#All],14,FALSE)</f>
        <v>Termico Solar</v>
      </c>
      <c r="U4375" s="284" t="e">
        <f>(IF(Tabla4[[#This Row],[Familia]]="termico solar",Tabla4[[#This Row],[Utilidad Total]]*6%,Tabla4[[#This Row],[Utilidad Total]]*11.5%))/Tabla4[[#This Row],[Total]]</f>
        <v>#N/A</v>
      </c>
      <c r="V4375" s="282" t="e">
        <f>+Tabla4[[#This Row],[Comisión Calculada]]*Tabla4[[#This Row],[Total]]</f>
        <v>#N/A</v>
      </c>
    </row>
    <row r="4376" spans="1:22" hidden="1" x14ac:dyDescent="0.25">
      <c r="A4376" s="100">
        <v>45853</v>
      </c>
      <c r="B4376" t="str">
        <f t="shared" si="219"/>
        <v>July</v>
      </c>
      <c r="C4376" s="46" t="s">
        <v>280</v>
      </c>
      <c r="F4376" s="366" t="s">
        <v>2357</v>
      </c>
      <c r="G4376" s="46" t="s">
        <v>16</v>
      </c>
      <c r="H4376" s="46">
        <v>4</v>
      </c>
      <c r="I4376" s="51">
        <v>4103.8500000000004</v>
      </c>
      <c r="J4376" s="281">
        <f>++Tabla4[[#This Row],[Precio Bruto]]*1.16</f>
        <v>4760.4660000000003</v>
      </c>
      <c r="K4376" s="281">
        <f>+Tabla4[[#This Row],[Precio Unitario Neto]]*Tabla4[[#Headers],[20.85%]]</f>
        <v>992.55716100000006</v>
      </c>
      <c r="L4376" s="282">
        <f>++Tabla4[[#This Row],[Precio Unitario Neto]]-Tabla4[[#This Row],[20.85%]]</f>
        <v>3767.9088390000002</v>
      </c>
      <c r="M4376" s="282" t="e">
        <f>(INDEX(Tabla6[#All],MATCH(Tabla4[[#This Row],[Producto]],Tabla6[[#All],[PRODUCTO]],0),MATCH(Tabla4[[#This Row],[Mes]],Tabla6[#Headers],0)))*(1+Catalogos!$L$2)</f>
        <v>#N/A</v>
      </c>
      <c r="N4376" s="283" t="e">
        <f>+(Tabla4[[#This Row],[Precio Descontado]]-Tabla4[[#This Row],[Precio Base]])*Tabla4[[#This Row],[Cantidad]]</f>
        <v>#N/A</v>
      </c>
      <c r="O4376" s="284" t="e">
        <f>++Tabla4[[#This Row],[Utilidad Total]]/Tabla4[[#This Row],[Total]]</f>
        <v>#N/A</v>
      </c>
      <c r="P4376" s="282">
        <f>++Tabla4[[#This Row],[Precio Descontado]]*Tabla4[[#This Row],[Cantidad]]</f>
        <v>15071.635356000001</v>
      </c>
      <c r="Q4376" s="282" t="e">
        <f>(INDEX(Tabla6[#All],MATCH(Tabla4[[#This Row],[Producto]],Tabla6[[#All],[PRODUCTO]],0),MATCH(Tabla4[[#This Row],[Mes]],Tabla6[#Headers],0)))</f>
        <v>#N/A</v>
      </c>
      <c r="R4376" s="282" t="e">
        <f>++Tabla4[[#This Row],[Precio Unitario Neto]]-Tabla4[[#This Row],[20.85%]]-Tabla4[[#This Row],[Costo]]</f>
        <v>#N/A</v>
      </c>
      <c r="S4376" s="282" t="e">
        <f>++Tabla4[[#This Row],[U. Bruta Uni]]*Tabla4[[#This Row],[Cantidad]]</f>
        <v>#N/A</v>
      </c>
      <c r="T4376" s="369" t="str">
        <f>VLOOKUP(Tabla4[[#This Row],[Producto]],Tabla6[#All],14,FALSE)</f>
        <v>Termico Solar</v>
      </c>
      <c r="U4376" s="284" t="e">
        <f>(IF(Tabla4[[#This Row],[Familia]]="termico solar",Tabla4[[#This Row],[Utilidad Total]]*6%,Tabla4[[#This Row],[Utilidad Total]]*11.5%))/Tabla4[[#This Row],[Total]]</f>
        <v>#N/A</v>
      </c>
      <c r="V4376" s="282" t="e">
        <f>+Tabla4[[#This Row],[Comisión Calculada]]*Tabla4[[#This Row],[Total]]</f>
        <v>#N/A</v>
      </c>
    </row>
    <row r="4377" spans="1:22" hidden="1" x14ac:dyDescent="0.25">
      <c r="A4377" s="100">
        <v>45853</v>
      </c>
      <c r="B4377" t="str">
        <f t="shared" si="219"/>
        <v>July</v>
      </c>
      <c r="C4377" s="46" t="s">
        <v>280</v>
      </c>
      <c r="F4377" s="366" t="s">
        <v>2358</v>
      </c>
      <c r="G4377" s="46" t="s">
        <v>17</v>
      </c>
      <c r="H4377" s="46">
        <v>2</v>
      </c>
      <c r="I4377" s="51">
        <v>4622.28</v>
      </c>
      <c r="J4377" s="281">
        <f>++Tabla4[[#This Row],[Precio Bruto]]*1.16</f>
        <v>5361.8447999999989</v>
      </c>
      <c r="K4377" s="281">
        <f>+Tabla4[[#This Row],[Precio Unitario Neto]]*Tabla4[[#Headers],[20.85%]]</f>
        <v>1117.9446407999997</v>
      </c>
      <c r="L4377" s="282">
        <f>++Tabla4[[#This Row],[Precio Unitario Neto]]-Tabla4[[#This Row],[20.85%]]</f>
        <v>4243.9001591999995</v>
      </c>
      <c r="M4377" s="282" t="e">
        <f>(INDEX(Tabla6[#All],MATCH(Tabla4[[#This Row],[Producto]],Tabla6[[#All],[PRODUCTO]],0),MATCH(Tabla4[[#This Row],[Mes]],Tabla6[#Headers],0)))*(1+Catalogos!$L$2)</f>
        <v>#N/A</v>
      </c>
      <c r="N4377" s="283" t="e">
        <f>+(Tabla4[[#This Row],[Precio Descontado]]-Tabla4[[#This Row],[Precio Base]])*Tabla4[[#This Row],[Cantidad]]</f>
        <v>#N/A</v>
      </c>
      <c r="O4377" s="284" t="e">
        <f>++Tabla4[[#This Row],[Utilidad Total]]/Tabla4[[#This Row],[Total]]</f>
        <v>#N/A</v>
      </c>
      <c r="P4377" s="282">
        <f>++Tabla4[[#This Row],[Precio Descontado]]*Tabla4[[#This Row],[Cantidad]]</f>
        <v>8487.800318399999</v>
      </c>
      <c r="Q4377" s="282" t="e">
        <f>(INDEX(Tabla6[#All],MATCH(Tabla4[[#This Row],[Producto]],Tabla6[[#All],[PRODUCTO]],0),MATCH(Tabla4[[#This Row],[Mes]],Tabla6[#Headers],0)))</f>
        <v>#N/A</v>
      </c>
      <c r="R4377" s="282" t="e">
        <f>++Tabla4[[#This Row],[Precio Unitario Neto]]-Tabla4[[#This Row],[20.85%]]-Tabla4[[#This Row],[Costo]]</f>
        <v>#N/A</v>
      </c>
      <c r="S4377" s="282" t="e">
        <f>++Tabla4[[#This Row],[U. Bruta Uni]]*Tabla4[[#This Row],[Cantidad]]</f>
        <v>#N/A</v>
      </c>
      <c r="T4377" s="369" t="str">
        <f>VLOOKUP(Tabla4[[#This Row],[Producto]],Tabla6[#All],14,FALSE)</f>
        <v>Termico Solar</v>
      </c>
      <c r="U4377" s="284" t="e">
        <f>(IF(Tabla4[[#This Row],[Familia]]="termico solar",Tabla4[[#This Row],[Utilidad Total]]*6%,Tabla4[[#This Row],[Utilidad Total]]*11.5%))/Tabla4[[#This Row],[Total]]</f>
        <v>#N/A</v>
      </c>
      <c r="V4377" s="282" t="e">
        <f>+Tabla4[[#This Row],[Comisión Calculada]]*Tabla4[[#This Row],[Total]]</f>
        <v>#N/A</v>
      </c>
    </row>
    <row r="4378" spans="1:22" hidden="1" x14ac:dyDescent="0.25">
      <c r="A4378" s="100">
        <v>45853</v>
      </c>
      <c r="B4378" t="str">
        <f t="shared" si="219"/>
        <v>July</v>
      </c>
      <c r="C4378" s="46" t="s">
        <v>280</v>
      </c>
      <c r="F4378" s="366" t="s">
        <v>2358</v>
      </c>
      <c r="G4378" s="46" t="s">
        <v>566</v>
      </c>
      <c r="H4378" s="46">
        <v>1</v>
      </c>
      <c r="I4378" s="51">
        <v>2109.4499999999998</v>
      </c>
      <c r="J4378" s="281">
        <f>++Tabla4[[#This Row],[Precio Bruto]]*1.16</f>
        <v>2446.9619999999995</v>
      </c>
      <c r="K4378" s="281">
        <f>+Tabla4[[#This Row],[Precio Unitario Neto]]*Tabla4[[#Headers],[20.85%]]</f>
        <v>510.19157699999988</v>
      </c>
      <c r="L4378" s="282">
        <f>++Tabla4[[#This Row],[Precio Unitario Neto]]-Tabla4[[#This Row],[20.85%]]</f>
        <v>1936.7704229999997</v>
      </c>
      <c r="M4378" s="282" t="e">
        <f>(INDEX(Tabla6[#All],MATCH(Tabla4[[#This Row],[Producto]],Tabla6[[#All],[PRODUCTO]],0),MATCH(Tabla4[[#This Row],[Mes]],Tabla6[#Headers],0)))*(1+Catalogos!$L$2)</f>
        <v>#N/A</v>
      </c>
      <c r="N4378" s="283" t="e">
        <f>+(Tabla4[[#This Row],[Precio Descontado]]-Tabla4[[#This Row],[Precio Base]])*Tabla4[[#This Row],[Cantidad]]</f>
        <v>#N/A</v>
      </c>
      <c r="O4378" s="284" t="e">
        <f>++Tabla4[[#This Row],[Utilidad Total]]/Tabla4[[#This Row],[Total]]</f>
        <v>#N/A</v>
      </c>
      <c r="P4378" s="282">
        <f>++Tabla4[[#This Row],[Precio Descontado]]*Tabla4[[#This Row],[Cantidad]]</f>
        <v>1936.7704229999997</v>
      </c>
      <c r="Q4378" s="282" t="e">
        <f>(INDEX(Tabla6[#All],MATCH(Tabla4[[#This Row],[Producto]],Tabla6[[#All],[PRODUCTO]],0),MATCH(Tabla4[[#This Row],[Mes]],Tabla6[#Headers],0)))</f>
        <v>#N/A</v>
      </c>
      <c r="R4378" s="282" t="e">
        <f>++Tabla4[[#This Row],[Precio Unitario Neto]]-Tabla4[[#This Row],[20.85%]]-Tabla4[[#This Row],[Costo]]</f>
        <v>#N/A</v>
      </c>
      <c r="S4378" s="282" t="e">
        <f>++Tabla4[[#This Row],[U. Bruta Uni]]*Tabla4[[#This Row],[Cantidad]]</f>
        <v>#N/A</v>
      </c>
      <c r="T4378" s="369" t="str">
        <f>VLOOKUP(Tabla4[[#This Row],[Producto]],Tabla6[#All],14,FALSE)</f>
        <v>Termico Solar</v>
      </c>
      <c r="U4378" s="284" t="e">
        <f>(IF(Tabla4[[#This Row],[Familia]]="termico solar",Tabla4[[#This Row],[Utilidad Total]]*6%,Tabla4[[#This Row],[Utilidad Total]]*11.5%))/Tabla4[[#This Row],[Total]]</f>
        <v>#N/A</v>
      </c>
      <c r="V4378" s="282" t="e">
        <f>+Tabla4[[#This Row],[Comisión Calculada]]*Tabla4[[#This Row],[Total]]</f>
        <v>#N/A</v>
      </c>
    </row>
    <row r="4379" spans="1:22" hidden="1" x14ac:dyDescent="0.25">
      <c r="A4379" s="100">
        <v>45853</v>
      </c>
      <c r="B4379" t="str">
        <f t="shared" si="219"/>
        <v>July</v>
      </c>
      <c r="C4379" s="46" t="s">
        <v>280</v>
      </c>
      <c r="F4379" s="366" t="s">
        <v>2358</v>
      </c>
      <c r="G4379" s="46" t="s">
        <v>16</v>
      </c>
      <c r="H4379" s="46">
        <v>2</v>
      </c>
      <c r="I4379" s="51">
        <v>4103.8500000000004</v>
      </c>
      <c r="J4379" s="281">
        <f>++Tabla4[[#This Row],[Precio Bruto]]*1.16</f>
        <v>4760.4660000000003</v>
      </c>
      <c r="K4379" s="281">
        <f>+Tabla4[[#This Row],[Precio Unitario Neto]]*Tabla4[[#Headers],[20.85%]]</f>
        <v>992.55716100000006</v>
      </c>
      <c r="L4379" s="282">
        <f>++Tabla4[[#This Row],[Precio Unitario Neto]]-Tabla4[[#This Row],[20.85%]]</f>
        <v>3767.9088390000002</v>
      </c>
      <c r="M4379" s="282" t="e">
        <f>(INDEX(Tabla6[#All],MATCH(Tabla4[[#This Row],[Producto]],Tabla6[[#All],[PRODUCTO]],0),MATCH(Tabla4[[#This Row],[Mes]],Tabla6[#Headers],0)))*(1+Catalogos!$L$2)</f>
        <v>#N/A</v>
      </c>
      <c r="N4379" s="283" t="e">
        <f>+(Tabla4[[#This Row],[Precio Descontado]]-Tabla4[[#This Row],[Precio Base]])*Tabla4[[#This Row],[Cantidad]]</f>
        <v>#N/A</v>
      </c>
      <c r="O4379" s="284" t="e">
        <f>++Tabla4[[#This Row],[Utilidad Total]]/Tabla4[[#This Row],[Total]]</f>
        <v>#N/A</v>
      </c>
      <c r="P4379" s="282">
        <f>++Tabla4[[#This Row],[Precio Descontado]]*Tabla4[[#This Row],[Cantidad]]</f>
        <v>7535.8176780000003</v>
      </c>
      <c r="Q4379" s="282" t="e">
        <f>(INDEX(Tabla6[#All],MATCH(Tabla4[[#This Row],[Producto]],Tabla6[[#All],[PRODUCTO]],0),MATCH(Tabla4[[#This Row],[Mes]],Tabla6[#Headers],0)))</f>
        <v>#N/A</v>
      </c>
      <c r="R4379" s="282" t="e">
        <f>++Tabla4[[#This Row],[Precio Unitario Neto]]-Tabla4[[#This Row],[20.85%]]-Tabla4[[#This Row],[Costo]]</f>
        <v>#N/A</v>
      </c>
      <c r="S4379" s="282" t="e">
        <f>++Tabla4[[#This Row],[U. Bruta Uni]]*Tabla4[[#This Row],[Cantidad]]</f>
        <v>#N/A</v>
      </c>
      <c r="T4379" s="369" t="str">
        <f>VLOOKUP(Tabla4[[#This Row],[Producto]],Tabla6[#All],14,FALSE)</f>
        <v>Termico Solar</v>
      </c>
      <c r="U4379" s="284" t="e">
        <f>(IF(Tabla4[[#This Row],[Familia]]="termico solar",Tabla4[[#This Row],[Utilidad Total]]*6%,Tabla4[[#This Row],[Utilidad Total]]*11.5%))/Tabla4[[#This Row],[Total]]</f>
        <v>#N/A</v>
      </c>
      <c r="V4379" s="282" t="e">
        <f>+Tabla4[[#This Row],[Comisión Calculada]]*Tabla4[[#This Row],[Total]]</f>
        <v>#N/A</v>
      </c>
    </row>
    <row r="4380" spans="1:22" hidden="1" x14ac:dyDescent="0.25">
      <c r="A4380" s="100">
        <v>45853</v>
      </c>
      <c r="B4380" t="str">
        <f t="shared" si="219"/>
        <v>July</v>
      </c>
      <c r="C4380" s="46" t="s">
        <v>280</v>
      </c>
      <c r="F4380" s="366" t="s">
        <v>2359</v>
      </c>
      <c r="G4380" s="46" t="s">
        <v>18</v>
      </c>
      <c r="H4380" s="46">
        <v>4</v>
      </c>
      <c r="I4380" s="51">
        <v>5367.65</v>
      </c>
      <c r="J4380" s="281">
        <f>++Tabla4[[#This Row],[Precio Bruto]]*1.16</f>
        <v>6226.4739999999993</v>
      </c>
      <c r="K4380" s="281">
        <f>+Tabla4[[#This Row],[Precio Unitario Neto]]*Tabla4[[#Headers],[20.85%]]</f>
        <v>1298.2198289999999</v>
      </c>
      <c r="L4380" s="282">
        <f>++Tabla4[[#This Row],[Precio Unitario Neto]]-Tabla4[[#This Row],[20.85%]]</f>
        <v>4928.2541709999996</v>
      </c>
      <c r="M4380" s="282" t="e">
        <f>(INDEX(Tabla6[#All],MATCH(Tabla4[[#This Row],[Producto]],Tabla6[[#All],[PRODUCTO]],0),MATCH(Tabla4[[#This Row],[Mes]],Tabla6[#Headers],0)))*(1+Catalogos!$L$2)</f>
        <v>#N/A</v>
      </c>
      <c r="N4380" s="283" t="e">
        <f>+(Tabla4[[#This Row],[Precio Descontado]]-Tabla4[[#This Row],[Precio Base]])*Tabla4[[#This Row],[Cantidad]]</f>
        <v>#N/A</v>
      </c>
      <c r="O4380" s="284" t="e">
        <f>++Tabla4[[#This Row],[Utilidad Total]]/Tabla4[[#This Row],[Total]]</f>
        <v>#N/A</v>
      </c>
      <c r="P4380" s="282">
        <f>++Tabla4[[#This Row],[Precio Descontado]]*Tabla4[[#This Row],[Cantidad]]</f>
        <v>19713.016683999998</v>
      </c>
      <c r="Q4380" s="282" t="e">
        <f>(INDEX(Tabla6[#All],MATCH(Tabla4[[#This Row],[Producto]],Tabla6[[#All],[PRODUCTO]],0),MATCH(Tabla4[[#This Row],[Mes]],Tabla6[#Headers],0)))</f>
        <v>#N/A</v>
      </c>
      <c r="R4380" s="282" t="e">
        <f>++Tabla4[[#This Row],[Precio Unitario Neto]]-Tabla4[[#This Row],[20.85%]]-Tabla4[[#This Row],[Costo]]</f>
        <v>#N/A</v>
      </c>
      <c r="S4380" s="282" t="e">
        <f>++Tabla4[[#This Row],[U. Bruta Uni]]*Tabla4[[#This Row],[Cantidad]]</f>
        <v>#N/A</v>
      </c>
      <c r="T4380" s="369" t="str">
        <f>VLOOKUP(Tabla4[[#This Row],[Producto]],Tabla6[#All],14,FALSE)</f>
        <v>Termico Solar</v>
      </c>
      <c r="U4380" s="284" t="e">
        <f>(IF(Tabla4[[#This Row],[Familia]]="termico solar",Tabla4[[#This Row],[Utilidad Total]]*6%,Tabla4[[#This Row],[Utilidad Total]]*11.5%))/Tabla4[[#This Row],[Total]]</f>
        <v>#N/A</v>
      </c>
      <c r="V4380" s="282" t="e">
        <f>+Tabla4[[#This Row],[Comisión Calculada]]*Tabla4[[#This Row],[Total]]</f>
        <v>#N/A</v>
      </c>
    </row>
    <row r="4381" spans="1:22" hidden="1" x14ac:dyDescent="0.25">
      <c r="A4381" s="100">
        <v>45853</v>
      </c>
      <c r="B4381" t="str">
        <f t="shared" si="219"/>
        <v>July</v>
      </c>
      <c r="C4381" s="46" t="s">
        <v>280</v>
      </c>
      <c r="F4381" s="366" t="s">
        <v>2360</v>
      </c>
      <c r="G4381" s="46" t="s">
        <v>18</v>
      </c>
      <c r="H4381" s="46">
        <v>1</v>
      </c>
      <c r="I4381" s="51">
        <v>5367.65</v>
      </c>
      <c r="J4381" s="281">
        <f>++Tabla4[[#This Row],[Precio Bruto]]*1.16</f>
        <v>6226.4739999999993</v>
      </c>
      <c r="K4381" s="281">
        <f>+Tabla4[[#This Row],[Precio Unitario Neto]]*Tabla4[[#Headers],[20.85%]]</f>
        <v>1298.2198289999999</v>
      </c>
      <c r="L4381" s="282">
        <f>++Tabla4[[#This Row],[Precio Unitario Neto]]-Tabla4[[#This Row],[20.85%]]</f>
        <v>4928.2541709999996</v>
      </c>
      <c r="M4381" s="282" t="e">
        <f>(INDEX(Tabla6[#All],MATCH(Tabla4[[#This Row],[Producto]],Tabla6[[#All],[PRODUCTO]],0),MATCH(Tabla4[[#This Row],[Mes]],Tabla6[#Headers],0)))*(1+Catalogos!$L$2)</f>
        <v>#N/A</v>
      </c>
      <c r="N4381" s="283" t="e">
        <f>+(Tabla4[[#This Row],[Precio Descontado]]-Tabla4[[#This Row],[Precio Base]])*Tabla4[[#This Row],[Cantidad]]</f>
        <v>#N/A</v>
      </c>
      <c r="O4381" s="284" t="e">
        <f>++Tabla4[[#This Row],[Utilidad Total]]/Tabla4[[#This Row],[Total]]</f>
        <v>#N/A</v>
      </c>
      <c r="P4381" s="282">
        <f>++Tabla4[[#This Row],[Precio Descontado]]*Tabla4[[#This Row],[Cantidad]]</f>
        <v>4928.2541709999996</v>
      </c>
      <c r="Q4381" s="282" t="e">
        <f>(INDEX(Tabla6[#All],MATCH(Tabla4[[#This Row],[Producto]],Tabla6[[#All],[PRODUCTO]],0),MATCH(Tabla4[[#This Row],[Mes]],Tabla6[#Headers],0)))</f>
        <v>#N/A</v>
      </c>
      <c r="R4381" s="282" t="e">
        <f>++Tabla4[[#This Row],[Precio Unitario Neto]]-Tabla4[[#This Row],[20.85%]]-Tabla4[[#This Row],[Costo]]</f>
        <v>#N/A</v>
      </c>
      <c r="S4381" s="282" t="e">
        <f>++Tabla4[[#This Row],[U. Bruta Uni]]*Tabla4[[#This Row],[Cantidad]]</f>
        <v>#N/A</v>
      </c>
      <c r="T4381" s="369" t="str">
        <f>VLOOKUP(Tabla4[[#This Row],[Producto]],Tabla6[#All],14,FALSE)</f>
        <v>Termico Solar</v>
      </c>
      <c r="U4381" s="284" t="e">
        <f>(IF(Tabla4[[#This Row],[Familia]]="termico solar",Tabla4[[#This Row],[Utilidad Total]]*6%,Tabla4[[#This Row],[Utilidad Total]]*11.5%))/Tabla4[[#This Row],[Total]]</f>
        <v>#N/A</v>
      </c>
      <c r="V4381" s="282" t="e">
        <f>+Tabla4[[#This Row],[Comisión Calculada]]*Tabla4[[#This Row],[Total]]</f>
        <v>#N/A</v>
      </c>
    </row>
    <row r="4382" spans="1:22" hidden="1" x14ac:dyDescent="0.25">
      <c r="A4382" s="100">
        <v>45853</v>
      </c>
      <c r="B4382" t="str">
        <f t="shared" si="219"/>
        <v>July</v>
      </c>
      <c r="C4382" s="46" t="s">
        <v>280</v>
      </c>
      <c r="F4382" s="366" t="s">
        <v>2360</v>
      </c>
      <c r="G4382" s="46" t="s">
        <v>16</v>
      </c>
      <c r="H4382" s="46">
        <v>1</v>
      </c>
      <c r="I4382" s="51">
        <v>4103.8500000000004</v>
      </c>
      <c r="J4382" s="281">
        <f>++Tabla4[[#This Row],[Precio Bruto]]*1.16</f>
        <v>4760.4660000000003</v>
      </c>
      <c r="K4382" s="281">
        <f>+Tabla4[[#This Row],[Precio Unitario Neto]]*Tabla4[[#Headers],[20.85%]]</f>
        <v>992.55716100000006</v>
      </c>
      <c r="L4382" s="282">
        <f>++Tabla4[[#This Row],[Precio Unitario Neto]]-Tabla4[[#This Row],[20.85%]]</f>
        <v>3767.9088390000002</v>
      </c>
      <c r="M4382" s="282" t="e">
        <f>(INDEX(Tabla6[#All],MATCH(Tabla4[[#This Row],[Producto]],Tabla6[[#All],[PRODUCTO]],0),MATCH(Tabla4[[#This Row],[Mes]],Tabla6[#Headers],0)))*(1+Catalogos!$L$2)</f>
        <v>#N/A</v>
      </c>
      <c r="N4382" s="283" t="e">
        <f>+(Tabla4[[#This Row],[Precio Descontado]]-Tabla4[[#This Row],[Precio Base]])*Tabla4[[#This Row],[Cantidad]]</f>
        <v>#N/A</v>
      </c>
      <c r="O4382" s="284" t="e">
        <f>++Tabla4[[#This Row],[Utilidad Total]]/Tabla4[[#This Row],[Total]]</f>
        <v>#N/A</v>
      </c>
      <c r="P4382" s="282">
        <f>++Tabla4[[#This Row],[Precio Descontado]]*Tabla4[[#This Row],[Cantidad]]</f>
        <v>3767.9088390000002</v>
      </c>
      <c r="Q4382" s="282" t="e">
        <f>(INDEX(Tabla6[#All],MATCH(Tabla4[[#This Row],[Producto]],Tabla6[[#All],[PRODUCTO]],0),MATCH(Tabla4[[#This Row],[Mes]],Tabla6[#Headers],0)))</f>
        <v>#N/A</v>
      </c>
      <c r="R4382" s="282" t="e">
        <f>++Tabla4[[#This Row],[Precio Unitario Neto]]-Tabla4[[#This Row],[20.85%]]-Tabla4[[#This Row],[Costo]]</f>
        <v>#N/A</v>
      </c>
      <c r="S4382" s="282" t="e">
        <f>++Tabla4[[#This Row],[U. Bruta Uni]]*Tabla4[[#This Row],[Cantidad]]</f>
        <v>#N/A</v>
      </c>
      <c r="T4382" s="369" t="str">
        <f>VLOOKUP(Tabla4[[#This Row],[Producto]],Tabla6[#All],14,FALSE)</f>
        <v>Termico Solar</v>
      </c>
      <c r="U4382" s="284" t="e">
        <f>(IF(Tabla4[[#This Row],[Familia]]="termico solar",Tabla4[[#This Row],[Utilidad Total]]*6%,Tabla4[[#This Row],[Utilidad Total]]*11.5%))/Tabla4[[#This Row],[Total]]</f>
        <v>#N/A</v>
      </c>
      <c r="V4382" s="282" t="e">
        <f>+Tabla4[[#This Row],[Comisión Calculada]]*Tabla4[[#This Row],[Total]]</f>
        <v>#N/A</v>
      </c>
    </row>
    <row r="4383" spans="1:22" hidden="1" x14ac:dyDescent="0.25">
      <c r="A4383" s="100">
        <v>45853</v>
      </c>
      <c r="B4383" t="str">
        <f t="shared" si="219"/>
        <v>July</v>
      </c>
      <c r="C4383" s="46" t="s">
        <v>280</v>
      </c>
      <c r="F4383" s="366" t="s">
        <v>2360</v>
      </c>
      <c r="G4383" s="46" t="s">
        <v>208</v>
      </c>
      <c r="H4383" s="46">
        <v>1</v>
      </c>
      <c r="I4383" s="51">
        <v>189.75</v>
      </c>
      <c r="J4383" s="281">
        <f>++Tabla4[[#This Row],[Precio Bruto]]*1.16</f>
        <v>220.10999999999999</v>
      </c>
      <c r="K4383" s="281">
        <f>+Tabla4[[#This Row],[Precio Unitario Neto]]*Tabla4[[#Headers],[20.85%]]</f>
        <v>45.892934999999994</v>
      </c>
      <c r="L4383" s="282">
        <f>++Tabla4[[#This Row],[Precio Unitario Neto]]-Tabla4[[#This Row],[20.85%]]</f>
        <v>174.21706499999999</v>
      </c>
      <c r="M4383" s="282" t="e">
        <f>(INDEX(Tabla6[#All],MATCH(Tabla4[[#This Row],[Producto]],Tabla6[[#All],[PRODUCTO]],0),MATCH(Tabla4[[#This Row],[Mes]],Tabla6[#Headers],0)))*(1+Catalogos!$L$2)</f>
        <v>#N/A</v>
      </c>
      <c r="N4383" s="283" t="e">
        <f>+(Tabla4[[#This Row],[Precio Descontado]]-Tabla4[[#This Row],[Precio Base]])*Tabla4[[#This Row],[Cantidad]]</f>
        <v>#N/A</v>
      </c>
      <c r="O4383" s="284" t="e">
        <f>++Tabla4[[#This Row],[Utilidad Total]]/Tabla4[[#This Row],[Total]]</f>
        <v>#N/A</v>
      </c>
      <c r="P4383" s="282">
        <f>++Tabla4[[#This Row],[Precio Descontado]]*Tabla4[[#This Row],[Cantidad]]</f>
        <v>174.21706499999999</v>
      </c>
      <c r="Q4383" s="282" t="e">
        <f>(INDEX(Tabla6[#All],MATCH(Tabla4[[#This Row],[Producto]],Tabla6[[#All],[PRODUCTO]],0),MATCH(Tabla4[[#This Row],[Mes]],Tabla6[#Headers],0)))</f>
        <v>#N/A</v>
      </c>
      <c r="R4383" s="282" t="e">
        <f>++Tabla4[[#This Row],[Precio Unitario Neto]]-Tabla4[[#This Row],[20.85%]]-Tabla4[[#This Row],[Costo]]</f>
        <v>#N/A</v>
      </c>
      <c r="S4383" s="282" t="e">
        <f>++Tabla4[[#This Row],[U. Bruta Uni]]*Tabla4[[#This Row],[Cantidad]]</f>
        <v>#N/A</v>
      </c>
      <c r="T4383" s="369" t="str">
        <f>VLOOKUP(Tabla4[[#This Row],[Producto]],Tabla6[#All],14,FALSE)</f>
        <v>Termico Solar</v>
      </c>
      <c r="U4383" s="284" t="e">
        <f>(IF(Tabla4[[#This Row],[Familia]]="termico solar",Tabla4[[#This Row],[Utilidad Total]]*6%,Tabla4[[#This Row],[Utilidad Total]]*11.5%))/Tabla4[[#This Row],[Total]]</f>
        <v>#N/A</v>
      </c>
      <c r="V4383" s="282" t="e">
        <f>+Tabla4[[#This Row],[Comisión Calculada]]*Tabla4[[#This Row],[Total]]</f>
        <v>#N/A</v>
      </c>
    </row>
    <row r="4384" spans="1:22" hidden="1" x14ac:dyDescent="0.25">
      <c r="A4384" s="100">
        <v>45853</v>
      </c>
      <c r="B4384" t="str">
        <f t="shared" si="219"/>
        <v>July</v>
      </c>
      <c r="C4384" s="46" t="s">
        <v>280</v>
      </c>
      <c r="F4384" s="366" t="s">
        <v>2361</v>
      </c>
      <c r="G4384" s="46" t="s">
        <v>83</v>
      </c>
      <c r="H4384" s="46">
        <v>2</v>
      </c>
      <c r="I4384" s="51">
        <v>8858.76</v>
      </c>
      <c r="J4384" s="281">
        <f>++Tabla4[[#This Row],[Precio Bruto]]*1.16</f>
        <v>10276.161599999999</v>
      </c>
      <c r="K4384" s="281">
        <f>+Tabla4[[#This Row],[Precio Unitario Neto]]*Tabla4[[#Headers],[20.85%]]</f>
        <v>2142.5796935999997</v>
      </c>
      <c r="L4384" s="282">
        <f>++Tabla4[[#This Row],[Precio Unitario Neto]]-Tabla4[[#This Row],[20.85%]]</f>
        <v>8133.5819063999998</v>
      </c>
      <c r="M4384" s="282" t="e">
        <f>(INDEX(Tabla6[#All],MATCH(Tabla4[[#This Row],[Producto]],Tabla6[[#All],[PRODUCTO]],0),MATCH(Tabla4[[#This Row],[Mes]],Tabla6[#Headers],0)))*(1+Catalogos!$L$2)</f>
        <v>#N/A</v>
      </c>
      <c r="N4384" s="283" t="e">
        <f>+(Tabla4[[#This Row],[Precio Descontado]]-Tabla4[[#This Row],[Precio Base]])*Tabla4[[#This Row],[Cantidad]]</f>
        <v>#N/A</v>
      </c>
      <c r="O4384" s="284" t="e">
        <f>++Tabla4[[#This Row],[Utilidad Total]]/Tabla4[[#This Row],[Total]]</f>
        <v>#N/A</v>
      </c>
      <c r="P4384" s="282">
        <f>++Tabla4[[#This Row],[Precio Descontado]]*Tabla4[[#This Row],[Cantidad]]</f>
        <v>16267.1638128</v>
      </c>
      <c r="Q4384" s="282" t="e">
        <f>(INDEX(Tabla6[#All],MATCH(Tabla4[[#This Row],[Producto]],Tabla6[[#All],[PRODUCTO]],0),MATCH(Tabla4[[#This Row],[Mes]],Tabla6[#Headers],0)))</f>
        <v>#N/A</v>
      </c>
      <c r="R4384" s="282" t="e">
        <f>++Tabla4[[#This Row],[Precio Unitario Neto]]-Tabla4[[#This Row],[20.85%]]-Tabla4[[#This Row],[Costo]]</f>
        <v>#N/A</v>
      </c>
      <c r="S4384" s="282" t="e">
        <f>++Tabla4[[#This Row],[U. Bruta Uni]]*Tabla4[[#This Row],[Cantidad]]</f>
        <v>#N/A</v>
      </c>
      <c r="T4384" s="369" t="str">
        <f>VLOOKUP(Tabla4[[#This Row],[Producto]],Tabla6[#All],14,FALSE)</f>
        <v>Termico Solar</v>
      </c>
      <c r="U4384" s="284" t="e">
        <f>(IF(Tabla4[[#This Row],[Familia]]="termico solar",Tabla4[[#This Row],[Utilidad Total]]*6%,Tabla4[[#This Row],[Utilidad Total]]*11.5%))/Tabla4[[#This Row],[Total]]</f>
        <v>#N/A</v>
      </c>
      <c r="V4384" s="282" t="e">
        <f>+Tabla4[[#This Row],[Comisión Calculada]]*Tabla4[[#This Row],[Total]]</f>
        <v>#N/A</v>
      </c>
    </row>
    <row r="4385" spans="1:22" hidden="1" x14ac:dyDescent="0.25">
      <c r="A4385" s="100">
        <v>45853</v>
      </c>
      <c r="B4385" t="str">
        <f t="shared" si="219"/>
        <v>July</v>
      </c>
      <c r="C4385" s="46" t="s">
        <v>280</v>
      </c>
      <c r="F4385" s="366" t="s">
        <v>2361</v>
      </c>
      <c r="G4385" s="46" t="s">
        <v>18</v>
      </c>
      <c r="H4385" s="46">
        <v>2</v>
      </c>
      <c r="I4385" s="51">
        <v>5367.65</v>
      </c>
      <c r="J4385" s="281">
        <f>++Tabla4[[#This Row],[Precio Bruto]]*1.16</f>
        <v>6226.4739999999993</v>
      </c>
      <c r="K4385" s="281">
        <f>+Tabla4[[#This Row],[Precio Unitario Neto]]*Tabla4[[#Headers],[20.85%]]</f>
        <v>1298.2198289999999</v>
      </c>
      <c r="L4385" s="282">
        <f>++Tabla4[[#This Row],[Precio Unitario Neto]]-Tabla4[[#This Row],[20.85%]]</f>
        <v>4928.2541709999996</v>
      </c>
      <c r="M4385" s="282" t="e">
        <f>(INDEX(Tabla6[#All],MATCH(Tabla4[[#This Row],[Producto]],Tabla6[[#All],[PRODUCTO]],0),MATCH(Tabla4[[#This Row],[Mes]],Tabla6[#Headers],0)))*(1+Catalogos!$L$2)</f>
        <v>#N/A</v>
      </c>
      <c r="N4385" s="283" t="e">
        <f>+(Tabla4[[#This Row],[Precio Descontado]]-Tabla4[[#This Row],[Precio Base]])*Tabla4[[#This Row],[Cantidad]]</f>
        <v>#N/A</v>
      </c>
      <c r="O4385" s="284" t="e">
        <f>++Tabla4[[#This Row],[Utilidad Total]]/Tabla4[[#This Row],[Total]]</f>
        <v>#N/A</v>
      </c>
      <c r="P4385" s="282">
        <f>++Tabla4[[#This Row],[Precio Descontado]]*Tabla4[[#This Row],[Cantidad]]</f>
        <v>9856.5083419999992</v>
      </c>
      <c r="Q4385" s="282" t="e">
        <f>(INDEX(Tabla6[#All],MATCH(Tabla4[[#This Row],[Producto]],Tabla6[[#All],[PRODUCTO]],0),MATCH(Tabla4[[#This Row],[Mes]],Tabla6[#Headers],0)))</f>
        <v>#N/A</v>
      </c>
      <c r="R4385" s="282" t="e">
        <f>++Tabla4[[#This Row],[Precio Unitario Neto]]-Tabla4[[#This Row],[20.85%]]-Tabla4[[#This Row],[Costo]]</f>
        <v>#N/A</v>
      </c>
      <c r="S4385" s="282" t="e">
        <f>++Tabla4[[#This Row],[U. Bruta Uni]]*Tabla4[[#This Row],[Cantidad]]</f>
        <v>#N/A</v>
      </c>
      <c r="T4385" s="369" t="str">
        <f>VLOOKUP(Tabla4[[#This Row],[Producto]],Tabla6[#All],14,FALSE)</f>
        <v>Termico Solar</v>
      </c>
      <c r="U4385" s="284" t="e">
        <f>(IF(Tabla4[[#This Row],[Familia]]="termico solar",Tabla4[[#This Row],[Utilidad Total]]*6%,Tabla4[[#This Row],[Utilidad Total]]*11.5%))/Tabla4[[#This Row],[Total]]</f>
        <v>#N/A</v>
      </c>
      <c r="V4385" s="282" t="e">
        <f>+Tabla4[[#This Row],[Comisión Calculada]]*Tabla4[[#This Row],[Total]]</f>
        <v>#N/A</v>
      </c>
    </row>
    <row r="4386" spans="1:22" hidden="1" x14ac:dyDescent="0.25">
      <c r="A4386" s="100">
        <v>45853</v>
      </c>
      <c r="B4386" t="str">
        <f t="shared" si="219"/>
        <v>July</v>
      </c>
      <c r="C4386" s="46" t="s">
        <v>280</v>
      </c>
      <c r="F4386" s="366" t="s">
        <v>2361</v>
      </c>
      <c r="G4386" s="46" t="s">
        <v>566</v>
      </c>
      <c r="H4386" s="46">
        <v>1</v>
      </c>
      <c r="I4386" s="51">
        <v>2109.4499999999998</v>
      </c>
      <c r="J4386" s="281">
        <f>++Tabla4[[#This Row],[Precio Bruto]]*1.16</f>
        <v>2446.9619999999995</v>
      </c>
      <c r="K4386" s="281">
        <f>+Tabla4[[#This Row],[Precio Unitario Neto]]*Tabla4[[#Headers],[20.85%]]</f>
        <v>510.19157699999988</v>
      </c>
      <c r="L4386" s="282">
        <f>++Tabla4[[#This Row],[Precio Unitario Neto]]-Tabla4[[#This Row],[20.85%]]</f>
        <v>1936.7704229999997</v>
      </c>
      <c r="M4386" s="282" t="e">
        <f>(INDEX(Tabla6[#All],MATCH(Tabla4[[#This Row],[Producto]],Tabla6[[#All],[PRODUCTO]],0),MATCH(Tabla4[[#This Row],[Mes]],Tabla6[#Headers],0)))*(1+Catalogos!$L$2)</f>
        <v>#N/A</v>
      </c>
      <c r="N4386" s="283" t="e">
        <f>+(Tabla4[[#This Row],[Precio Descontado]]-Tabla4[[#This Row],[Precio Base]])*Tabla4[[#This Row],[Cantidad]]</f>
        <v>#N/A</v>
      </c>
      <c r="O4386" s="284" t="e">
        <f>++Tabla4[[#This Row],[Utilidad Total]]/Tabla4[[#This Row],[Total]]</f>
        <v>#N/A</v>
      </c>
      <c r="P4386" s="282">
        <f>++Tabla4[[#This Row],[Precio Descontado]]*Tabla4[[#This Row],[Cantidad]]</f>
        <v>1936.7704229999997</v>
      </c>
      <c r="Q4386" s="282" t="e">
        <f>(INDEX(Tabla6[#All],MATCH(Tabla4[[#This Row],[Producto]],Tabla6[[#All],[PRODUCTO]],0),MATCH(Tabla4[[#This Row],[Mes]],Tabla6[#Headers],0)))</f>
        <v>#N/A</v>
      </c>
      <c r="R4386" s="282" t="e">
        <f>++Tabla4[[#This Row],[Precio Unitario Neto]]-Tabla4[[#This Row],[20.85%]]-Tabla4[[#This Row],[Costo]]</f>
        <v>#N/A</v>
      </c>
      <c r="S4386" s="282" t="e">
        <f>++Tabla4[[#This Row],[U. Bruta Uni]]*Tabla4[[#This Row],[Cantidad]]</f>
        <v>#N/A</v>
      </c>
      <c r="T4386" s="369" t="str">
        <f>VLOOKUP(Tabla4[[#This Row],[Producto]],Tabla6[#All],14,FALSE)</f>
        <v>Termico Solar</v>
      </c>
      <c r="U4386" s="284" t="e">
        <f>(IF(Tabla4[[#This Row],[Familia]]="termico solar",Tabla4[[#This Row],[Utilidad Total]]*6%,Tabla4[[#This Row],[Utilidad Total]]*11.5%))/Tabla4[[#This Row],[Total]]</f>
        <v>#N/A</v>
      </c>
      <c r="V4386" s="282" t="e">
        <f>+Tabla4[[#This Row],[Comisión Calculada]]*Tabla4[[#This Row],[Total]]</f>
        <v>#N/A</v>
      </c>
    </row>
    <row r="4387" spans="1:22" hidden="1" x14ac:dyDescent="0.25">
      <c r="A4387" s="100">
        <v>45853</v>
      </c>
      <c r="B4387" t="str">
        <f t="shared" si="219"/>
        <v>July</v>
      </c>
      <c r="C4387" s="46" t="s">
        <v>280</v>
      </c>
      <c r="F4387" s="366" t="s">
        <v>2362</v>
      </c>
      <c r="G4387" s="46" t="s">
        <v>17</v>
      </c>
      <c r="H4387" s="46">
        <v>4</v>
      </c>
      <c r="I4387" s="51">
        <v>4622.28</v>
      </c>
      <c r="J4387" s="281">
        <f>++Tabla4[[#This Row],[Precio Bruto]]*1.16</f>
        <v>5361.8447999999989</v>
      </c>
      <c r="K4387" s="281">
        <f>+Tabla4[[#This Row],[Precio Unitario Neto]]*Tabla4[[#Headers],[20.85%]]</f>
        <v>1117.9446407999997</v>
      </c>
      <c r="L4387" s="282">
        <f>++Tabla4[[#This Row],[Precio Unitario Neto]]-Tabla4[[#This Row],[20.85%]]</f>
        <v>4243.9001591999995</v>
      </c>
      <c r="M4387" s="282" t="e">
        <f>(INDEX(Tabla6[#All],MATCH(Tabla4[[#This Row],[Producto]],Tabla6[[#All],[PRODUCTO]],0),MATCH(Tabla4[[#This Row],[Mes]],Tabla6[#Headers],0)))*(1+Catalogos!$L$2)</f>
        <v>#N/A</v>
      </c>
      <c r="N4387" s="283" t="e">
        <f>+(Tabla4[[#This Row],[Precio Descontado]]-Tabla4[[#This Row],[Precio Base]])*Tabla4[[#This Row],[Cantidad]]</f>
        <v>#N/A</v>
      </c>
      <c r="O4387" s="284" t="e">
        <f>++Tabla4[[#This Row],[Utilidad Total]]/Tabla4[[#This Row],[Total]]</f>
        <v>#N/A</v>
      </c>
      <c r="P4387" s="282">
        <f>++Tabla4[[#This Row],[Precio Descontado]]*Tabla4[[#This Row],[Cantidad]]</f>
        <v>16975.600636799998</v>
      </c>
      <c r="Q4387" s="282" t="e">
        <f>(INDEX(Tabla6[#All],MATCH(Tabla4[[#This Row],[Producto]],Tabla6[[#All],[PRODUCTO]],0),MATCH(Tabla4[[#This Row],[Mes]],Tabla6[#Headers],0)))</f>
        <v>#N/A</v>
      </c>
      <c r="R4387" s="282" t="e">
        <f>++Tabla4[[#This Row],[Precio Unitario Neto]]-Tabla4[[#This Row],[20.85%]]-Tabla4[[#This Row],[Costo]]</f>
        <v>#N/A</v>
      </c>
      <c r="S4387" s="282" t="e">
        <f>++Tabla4[[#This Row],[U. Bruta Uni]]*Tabla4[[#This Row],[Cantidad]]</f>
        <v>#N/A</v>
      </c>
      <c r="T4387" s="369" t="str">
        <f>VLOOKUP(Tabla4[[#This Row],[Producto]],Tabla6[#All],14,FALSE)</f>
        <v>Termico Solar</v>
      </c>
      <c r="U4387" s="284" t="e">
        <f>(IF(Tabla4[[#This Row],[Familia]]="termico solar",Tabla4[[#This Row],[Utilidad Total]]*6%,Tabla4[[#This Row],[Utilidad Total]]*11.5%))/Tabla4[[#This Row],[Total]]</f>
        <v>#N/A</v>
      </c>
      <c r="V4387" s="282" t="e">
        <f>+Tabla4[[#This Row],[Comisión Calculada]]*Tabla4[[#This Row],[Total]]</f>
        <v>#N/A</v>
      </c>
    </row>
    <row r="4388" spans="1:22" hidden="1" x14ac:dyDescent="0.25">
      <c r="A4388" s="100">
        <v>45853</v>
      </c>
      <c r="B4388" t="str">
        <f t="shared" si="219"/>
        <v>July</v>
      </c>
      <c r="C4388" s="46" t="s">
        <v>280</v>
      </c>
      <c r="F4388" s="366" t="s">
        <v>2362</v>
      </c>
      <c r="G4388" s="46" t="s">
        <v>566</v>
      </c>
      <c r="H4388" s="46">
        <v>1</v>
      </c>
      <c r="I4388" s="51">
        <v>2109.4499999999998</v>
      </c>
      <c r="J4388" s="281">
        <f>++Tabla4[[#This Row],[Precio Bruto]]*1.16</f>
        <v>2446.9619999999995</v>
      </c>
      <c r="K4388" s="281">
        <f>+Tabla4[[#This Row],[Precio Unitario Neto]]*Tabla4[[#Headers],[20.85%]]</f>
        <v>510.19157699999988</v>
      </c>
      <c r="L4388" s="282">
        <f>++Tabla4[[#This Row],[Precio Unitario Neto]]-Tabla4[[#This Row],[20.85%]]</f>
        <v>1936.7704229999997</v>
      </c>
      <c r="M4388" s="282" t="e">
        <f>(INDEX(Tabla6[#All],MATCH(Tabla4[[#This Row],[Producto]],Tabla6[[#All],[PRODUCTO]],0),MATCH(Tabla4[[#This Row],[Mes]],Tabla6[#Headers],0)))*(1+Catalogos!$L$2)</f>
        <v>#N/A</v>
      </c>
      <c r="N4388" s="283" t="e">
        <f>+(Tabla4[[#This Row],[Precio Descontado]]-Tabla4[[#This Row],[Precio Base]])*Tabla4[[#This Row],[Cantidad]]</f>
        <v>#N/A</v>
      </c>
      <c r="O4388" s="284" t="e">
        <f>++Tabla4[[#This Row],[Utilidad Total]]/Tabla4[[#This Row],[Total]]</f>
        <v>#N/A</v>
      </c>
      <c r="P4388" s="282">
        <f>++Tabla4[[#This Row],[Precio Descontado]]*Tabla4[[#This Row],[Cantidad]]</f>
        <v>1936.7704229999997</v>
      </c>
      <c r="Q4388" s="282" t="e">
        <f>(INDEX(Tabla6[#All],MATCH(Tabla4[[#This Row],[Producto]],Tabla6[[#All],[PRODUCTO]],0),MATCH(Tabla4[[#This Row],[Mes]],Tabla6[#Headers],0)))</f>
        <v>#N/A</v>
      </c>
      <c r="R4388" s="282" t="e">
        <f>++Tabla4[[#This Row],[Precio Unitario Neto]]-Tabla4[[#This Row],[20.85%]]-Tabla4[[#This Row],[Costo]]</f>
        <v>#N/A</v>
      </c>
      <c r="S4388" s="282" t="e">
        <f>++Tabla4[[#This Row],[U. Bruta Uni]]*Tabla4[[#This Row],[Cantidad]]</f>
        <v>#N/A</v>
      </c>
      <c r="T4388" s="369" t="str">
        <f>VLOOKUP(Tabla4[[#This Row],[Producto]],Tabla6[#All],14,FALSE)</f>
        <v>Termico Solar</v>
      </c>
      <c r="U4388" s="284" t="e">
        <f>(IF(Tabla4[[#This Row],[Familia]]="termico solar",Tabla4[[#This Row],[Utilidad Total]]*6%,Tabla4[[#This Row],[Utilidad Total]]*11.5%))/Tabla4[[#This Row],[Total]]</f>
        <v>#N/A</v>
      </c>
      <c r="V4388" s="282" t="e">
        <f>+Tabla4[[#This Row],[Comisión Calculada]]*Tabla4[[#This Row],[Total]]</f>
        <v>#N/A</v>
      </c>
    </row>
    <row r="4389" spans="1:22" hidden="1" x14ac:dyDescent="0.25">
      <c r="A4389" s="100">
        <v>45853</v>
      </c>
      <c r="B4389" t="str">
        <f t="shared" si="219"/>
        <v>July</v>
      </c>
      <c r="C4389" s="46" t="s">
        <v>280</v>
      </c>
      <c r="F4389" s="366" t="s">
        <v>2362</v>
      </c>
      <c r="G4389" s="46" t="s">
        <v>16</v>
      </c>
      <c r="H4389" s="46">
        <v>2</v>
      </c>
      <c r="I4389" s="51">
        <v>4103.8500000000004</v>
      </c>
      <c r="J4389" s="281">
        <f>++Tabla4[[#This Row],[Precio Bruto]]*1.16</f>
        <v>4760.4660000000003</v>
      </c>
      <c r="K4389" s="281">
        <f>+Tabla4[[#This Row],[Precio Unitario Neto]]*Tabla4[[#Headers],[20.85%]]</f>
        <v>992.55716100000006</v>
      </c>
      <c r="L4389" s="282">
        <f>++Tabla4[[#This Row],[Precio Unitario Neto]]-Tabla4[[#This Row],[20.85%]]</f>
        <v>3767.9088390000002</v>
      </c>
      <c r="M4389" s="282" t="e">
        <f>(INDEX(Tabla6[#All],MATCH(Tabla4[[#This Row],[Producto]],Tabla6[[#All],[PRODUCTO]],0),MATCH(Tabla4[[#This Row],[Mes]],Tabla6[#Headers],0)))*(1+Catalogos!$L$2)</f>
        <v>#N/A</v>
      </c>
      <c r="N4389" s="283" t="e">
        <f>+(Tabla4[[#This Row],[Precio Descontado]]-Tabla4[[#This Row],[Precio Base]])*Tabla4[[#This Row],[Cantidad]]</f>
        <v>#N/A</v>
      </c>
      <c r="O4389" s="284" t="e">
        <f>++Tabla4[[#This Row],[Utilidad Total]]/Tabla4[[#This Row],[Total]]</f>
        <v>#N/A</v>
      </c>
      <c r="P4389" s="282">
        <f>++Tabla4[[#This Row],[Precio Descontado]]*Tabla4[[#This Row],[Cantidad]]</f>
        <v>7535.8176780000003</v>
      </c>
      <c r="Q4389" s="282" t="e">
        <f>(INDEX(Tabla6[#All],MATCH(Tabla4[[#This Row],[Producto]],Tabla6[[#All],[PRODUCTO]],0),MATCH(Tabla4[[#This Row],[Mes]],Tabla6[#Headers],0)))</f>
        <v>#N/A</v>
      </c>
      <c r="R4389" s="282" t="e">
        <f>++Tabla4[[#This Row],[Precio Unitario Neto]]-Tabla4[[#This Row],[20.85%]]-Tabla4[[#This Row],[Costo]]</f>
        <v>#N/A</v>
      </c>
      <c r="S4389" s="282" t="e">
        <f>++Tabla4[[#This Row],[U. Bruta Uni]]*Tabla4[[#This Row],[Cantidad]]</f>
        <v>#N/A</v>
      </c>
      <c r="T4389" s="369" t="str">
        <f>VLOOKUP(Tabla4[[#This Row],[Producto]],Tabla6[#All],14,FALSE)</f>
        <v>Termico Solar</v>
      </c>
      <c r="U4389" s="284" t="e">
        <f>(IF(Tabla4[[#This Row],[Familia]]="termico solar",Tabla4[[#This Row],[Utilidad Total]]*6%,Tabla4[[#This Row],[Utilidad Total]]*11.5%))/Tabla4[[#This Row],[Total]]</f>
        <v>#N/A</v>
      </c>
      <c r="V4389" s="282" t="e">
        <f>+Tabla4[[#This Row],[Comisión Calculada]]*Tabla4[[#This Row],[Total]]</f>
        <v>#N/A</v>
      </c>
    </row>
    <row r="4390" spans="1:22" hidden="1" x14ac:dyDescent="0.25">
      <c r="A4390" s="100">
        <v>45853</v>
      </c>
      <c r="B4390" t="str">
        <f t="shared" si="219"/>
        <v>July</v>
      </c>
      <c r="C4390" s="46" t="s">
        <v>280</v>
      </c>
      <c r="F4390" s="366" t="s">
        <v>2362</v>
      </c>
      <c r="G4390" s="46" t="s">
        <v>208</v>
      </c>
      <c r="H4390" s="46">
        <v>2</v>
      </c>
      <c r="I4390" s="51">
        <v>189.75</v>
      </c>
      <c r="J4390" s="281">
        <f>++Tabla4[[#This Row],[Precio Bruto]]*1.16</f>
        <v>220.10999999999999</v>
      </c>
      <c r="K4390" s="281">
        <f>+Tabla4[[#This Row],[Precio Unitario Neto]]*Tabla4[[#Headers],[20.85%]]</f>
        <v>45.892934999999994</v>
      </c>
      <c r="L4390" s="282">
        <f>++Tabla4[[#This Row],[Precio Unitario Neto]]-Tabla4[[#This Row],[20.85%]]</f>
        <v>174.21706499999999</v>
      </c>
      <c r="M4390" s="282" t="e">
        <f>(INDEX(Tabla6[#All],MATCH(Tabla4[[#This Row],[Producto]],Tabla6[[#All],[PRODUCTO]],0),MATCH(Tabla4[[#This Row],[Mes]],Tabla6[#Headers],0)))*(1+Catalogos!$L$2)</f>
        <v>#N/A</v>
      </c>
      <c r="N4390" s="283" t="e">
        <f>+(Tabla4[[#This Row],[Precio Descontado]]-Tabla4[[#This Row],[Precio Base]])*Tabla4[[#This Row],[Cantidad]]</f>
        <v>#N/A</v>
      </c>
      <c r="O4390" s="284" t="e">
        <f>++Tabla4[[#This Row],[Utilidad Total]]/Tabla4[[#This Row],[Total]]</f>
        <v>#N/A</v>
      </c>
      <c r="P4390" s="282">
        <f>++Tabla4[[#This Row],[Precio Descontado]]*Tabla4[[#This Row],[Cantidad]]</f>
        <v>348.43412999999998</v>
      </c>
      <c r="Q4390" s="282" t="e">
        <f>(INDEX(Tabla6[#All],MATCH(Tabla4[[#This Row],[Producto]],Tabla6[[#All],[PRODUCTO]],0),MATCH(Tabla4[[#This Row],[Mes]],Tabla6[#Headers],0)))</f>
        <v>#N/A</v>
      </c>
      <c r="R4390" s="282" t="e">
        <f>++Tabla4[[#This Row],[Precio Unitario Neto]]-Tabla4[[#This Row],[20.85%]]-Tabla4[[#This Row],[Costo]]</f>
        <v>#N/A</v>
      </c>
      <c r="S4390" s="282" t="e">
        <f>++Tabla4[[#This Row],[U. Bruta Uni]]*Tabla4[[#This Row],[Cantidad]]</f>
        <v>#N/A</v>
      </c>
      <c r="T4390" s="369" t="str">
        <f>VLOOKUP(Tabla4[[#This Row],[Producto]],Tabla6[#All],14,FALSE)</f>
        <v>Termico Solar</v>
      </c>
      <c r="U4390" s="284" t="e">
        <f>(IF(Tabla4[[#This Row],[Familia]]="termico solar",Tabla4[[#This Row],[Utilidad Total]]*6%,Tabla4[[#This Row],[Utilidad Total]]*11.5%))/Tabla4[[#This Row],[Total]]</f>
        <v>#N/A</v>
      </c>
      <c r="V4390" s="282" t="e">
        <f>+Tabla4[[#This Row],[Comisión Calculada]]*Tabla4[[#This Row],[Total]]</f>
        <v>#N/A</v>
      </c>
    </row>
    <row r="4391" spans="1:22" hidden="1" x14ac:dyDescent="0.25">
      <c r="A4391" s="100">
        <v>45853</v>
      </c>
      <c r="B4391" t="str">
        <f t="shared" si="219"/>
        <v>July</v>
      </c>
      <c r="C4391" s="46" t="s">
        <v>280</v>
      </c>
      <c r="F4391" s="366" t="s">
        <v>2363</v>
      </c>
      <c r="G4391" s="46" t="s">
        <v>209</v>
      </c>
      <c r="H4391" s="46">
        <v>2</v>
      </c>
      <c r="I4391" s="51">
        <v>347.48</v>
      </c>
      <c r="J4391" s="281">
        <f>++Tabla4[[#This Row],[Precio Bruto]]*1.16</f>
        <v>403.07679999999999</v>
      </c>
      <c r="K4391" s="281">
        <f>+Tabla4[[#This Row],[Precio Unitario Neto]]*Tabla4[[#Headers],[20.85%]]</f>
        <v>84.041512799999992</v>
      </c>
      <c r="L4391" s="282">
        <f>++Tabla4[[#This Row],[Precio Unitario Neto]]-Tabla4[[#This Row],[20.85%]]</f>
        <v>319.03528719999997</v>
      </c>
      <c r="M4391" s="282" t="e">
        <f>(INDEX(Tabla6[#All],MATCH(Tabla4[[#This Row],[Producto]],Tabla6[[#All],[PRODUCTO]],0),MATCH(Tabla4[[#This Row],[Mes]],Tabla6[#Headers],0)))*(1+Catalogos!$L$2)</f>
        <v>#N/A</v>
      </c>
      <c r="N4391" s="283" t="e">
        <f>+(Tabla4[[#This Row],[Precio Descontado]]-Tabla4[[#This Row],[Precio Base]])*Tabla4[[#This Row],[Cantidad]]</f>
        <v>#N/A</v>
      </c>
      <c r="O4391" s="284" t="e">
        <f>++Tabla4[[#This Row],[Utilidad Total]]/Tabla4[[#This Row],[Total]]</f>
        <v>#N/A</v>
      </c>
      <c r="P4391" s="282">
        <f>++Tabla4[[#This Row],[Precio Descontado]]*Tabla4[[#This Row],[Cantidad]]</f>
        <v>638.07057439999994</v>
      </c>
      <c r="Q4391" s="282" t="e">
        <f>(INDEX(Tabla6[#All],MATCH(Tabla4[[#This Row],[Producto]],Tabla6[[#All],[PRODUCTO]],0),MATCH(Tabla4[[#This Row],[Mes]],Tabla6[#Headers],0)))</f>
        <v>#N/A</v>
      </c>
      <c r="R4391" s="282" t="e">
        <f>++Tabla4[[#This Row],[Precio Unitario Neto]]-Tabla4[[#This Row],[20.85%]]-Tabla4[[#This Row],[Costo]]</f>
        <v>#N/A</v>
      </c>
      <c r="S4391" s="282" t="e">
        <f>++Tabla4[[#This Row],[U. Bruta Uni]]*Tabla4[[#This Row],[Cantidad]]</f>
        <v>#N/A</v>
      </c>
      <c r="T4391" s="369" t="str">
        <f>VLOOKUP(Tabla4[[#This Row],[Producto]],Tabla6[#All],14,FALSE)</f>
        <v>Termico Solar</v>
      </c>
      <c r="U4391" s="284" t="e">
        <f>(IF(Tabla4[[#This Row],[Familia]]="termico solar",Tabla4[[#This Row],[Utilidad Total]]*6%,Tabla4[[#This Row],[Utilidad Total]]*11.5%))/Tabla4[[#This Row],[Total]]</f>
        <v>#N/A</v>
      </c>
      <c r="V4391" s="282" t="e">
        <f>+Tabla4[[#This Row],[Comisión Calculada]]*Tabla4[[#This Row],[Total]]</f>
        <v>#N/A</v>
      </c>
    </row>
    <row r="4392" spans="1:22" hidden="1" x14ac:dyDescent="0.25">
      <c r="A4392" s="100">
        <v>45853</v>
      </c>
      <c r="B4392" t="str">
        <f t="shared" si="219"/>
        <v>July</v>
      </c>
      <c r="C4392" s="46" t="s">
        <v>280</v>
      </c>
      <c r="F4392" s="366" t="s">
        <v>2364</v>
      </c>
      <c r="G4392" s="46" t="s">
        <v>18</v>
      </c>
      <c r="H4392" s="46">
        <v>1</v>
      </c>
      <c r="I4392" s="51">
        <v>5367.65</v>
      </c>
      <c r="J4392" s="281">
        <f>++Tabla4[[#This Row],[Precio Bruto]]*1.16</f>
        <v>6226.4739999999993</v>
      </c>
      <c r="K4392" s="281">
        <f>+Tabla4[[#This Row],[Precio Unitario Neto]]*Tabla4[[#Headers],[20.85%]]</f>
        <v>1298.2198289999999</v>
      </c>
      <c r="L4392" s="282">
        <f>++Tabla4[[#This Row],[Precio Unitario Neto]]-Tabla4[[#This Row],[20.85%]]</f>
        <v>4928.2541709999996</v>
      </c>
      <c r="M4392" s="282" t="e">
        <f>(INDEX(Tabla6[#All],MATCH(Tabla4[[#This Row],[Producto]],Tabla6[[#All],[PRODUCTO]],0),MATCH(Tabla4[[#This Row],[Mes]],Tabla6[#Headers],0)))*(1+Catalogos!$L$2)</f>
        <v>#N/A</v>
      </c>
      <c r="N4392" s="283" t="e">
        <f>+(Tabla4[[#This Row],[Precio Descontado]]-Tabla4[[#This Row],[Precio Base]])*Tabla4[[#This Row],[Cantidad]]</f>
        <v>#N/A</v>
      </c>
      <c r="O4392" s="284" t="e">
        <f>++Tabla4[[#This Row],[Utilidad Total]]/Tabla4[[#This Row],[Total]]</f>
        <v>#N/A</v>
      </c>
      <c r="P4392" s="282">
        <f>++Tabla4[[#This Row],[Precio Descontado]]*Tabla4[[#This Row],[Cantidad]]</f>
        <v>4928.2541709999996</v>
      </c>
      <c r="Q4392" s="282" t="e">
        <f>(INDEX(Tabla6[#All],MATCH(Tabla4[[#This Row],[Producto]],Tabla6[[#All],[PRODUCTO]],0),MATCH(Tabla4[[#This Row],[Mes]],Tabla6[#Headers],0)))</f>
        <v>#N/A</v>
      </c>
      <c r="R4392" s="282" t="e">
        <f>++Tabla4[[#This Row],[Precio Unitario Neto]]-Tabla4[[#This Row],[20.85%]]-Tabla4[[#This Row],[Costo]]</f>
        <v>#N/A</v>
      </c>
      <c r="S4392" s="282" t="e">
        <f>++Tabla4[[#This Row],[U. Bruta Uni]]*Tabla4[[#This Row],[Cantidad]]</f>
        <v>#N/A</v>
      </c>
      <c r="T4392" s="369" t="str">
        <f>VLOOKUP(Tabla4[[#This Row],[Producto]],Tabla6[#All],14,FALSE)</f>
        <v>Termico Solar</v>
      </c>
      <c r="U4392" s="284" t="e">
        <f>(IF(Tabla4[[#This Row],[Familia]]="termico solar",Tabla4[[#This Row],[Utilidad Total]]*6%,Tabla4[[#This Row],[Utilidad Total]]*11.5%))/Tabla4[[#This Row],[Total]]</f>
        <v>#N/A</v>
      </c>
      <c r="V4392" s="282" t="e">
        <f>+Tabla4[[#This Row],[Comisión Calculada]]*Tabla4[[#This Row],[Total]]</f>
        <v>#N/A</v>
      </c>
    </row>
    <row r="4393" spans="1:22" hidden="1" x14ac:dyDescent="0.25">
      <c r="A4393" s="100">
        <v>45853</v>
      </c>
      <c r="B4393" t="str">
        <f t="shared" si="219"/>
        <v>July</v>
      </c>
      <c r="C4393" s="46" t="s">
        <v>280</v>
      </c>
      <c r="F4393" s="366" t="s">
        <v>2364</v>
      </c>
      <c r="G4393" s="46" t="s">
        <v>566</v>
      </c>
      <c r="H4393" s="46">
        <v>1</v>
      </c>
      <c r="I4393" s="51">
        <v>2109.4499999999998</v>
      </c>
      <c r="J4393" s="281">
        <f>++Tabla4[[#This Row],[Precio Bruto]]*1.16</f>
        <v>2446.9619999999995</v>
      </c>
      <c r="K4393" s="281">
        <f>+Tabla4[[#This Row],[Precio Unitario Neto]]*Tabla4[[#Headers],[20.85%]]</f>
        <v>510.19157699999988</v>
      </c>
      <c r="L4393" s="282">
        <f>++Tabla4[[#This Row],[Precio Unitario Neto]]-Tabla4[[#This Row],[20.85%]]</f>
        <v>1936.7704229999997</v>
      </c>
      <c r="M4393" s="282" t="e">
        <f>(INDEX(Tabla6[#All],MATCH(Tabla4[[#This Row],[Producto]],Tabla6[[#All],[PRODUCTO]],0),MATCH(Tabla4[[#This Row],[Mes]],Tabla6[#Headers],0)))*(1+Catalogos!$L$2)</f>
        <v>#N/A</v>
      </c>
      <c r="N4393" s="283" t="e">
        <f>+(Tabla4[[#This Row],[Precio Descontado]]-Tabla4[[#This Row],[Precio Base]])*Tabla4[[#This Row],[Cantidad]]</f>
        <v>#N/A</v>
      </c>
      <c r="O4393" s="284" t="e">
        <f>++Tabla4[[#This Row],[Utilidad Total]]/Tabla4[[#This Row],[Total]]</f>
        <v>#N/A</v>
      </c>
      <c r="P4393" s="282">
        <f>++Tabla4[[#This Row],[Precio Descontado]]*Tabla4[[#This Row],[Cantidad]]</f>
        <v>1936.7704229999997</v>
      </c>
      <c r="Q4393" s="282" t="e">
        <f>(INDEX(Tabla6[#All],MATCH(Tabla4[[#This Row],[Producto]],Tabla6[[#All],[PRODUCTO]],0),MATCH(Tabla4[[#This Row],[Mes]],Tabla6[#Headers],0)))</f>
        <v>#N/A</v>
      </c>
      <c r="R4393" s="282" t="e">
        <f>++Tabla4[[#This Row],[Precio Unitario Neto]]-Tabla4[[#This Row],[20.85%]]-Tabla4[[#This Row],[Costo]]</f>
        <v>#N/A</v>
      </c>
      <c r="S4393" s="282" t="e">
        <f>++Tabla4[[#This Row],[U. Bruta Uni]]*Tabla4[[#This Row],[Cantidad]]</f>
        <v>#N/A</v>
      </c>
      <c r="T4393" s="369" t="str">
        <f>VLOOKUP(Tabla4[[#This Row],[Producto]],Tabla6[#All],14,FALSE)</f>
        <v>Termico Solar</v>
      </c>
      <c r="U4393" s="284" t="e">
        <f>(IF(Tabla4[[#This Row],[Familia]]="termico solar",Tabla4[[#This Row],[Utilidad Total]]*6%,Tabla4[[#This Row],[Utilidad Total]]*11.5%))/Tabla4[[#This Row],[Total]]</f>
        <v>#N/A</v>
      </c>
      <c r="V4393" s="282" t="e">
        <f>+Tabla4[[#This Row],[Comisión Calculada]]*Tabla4[[#This Row],[Total]]</f>
        <v>#N/A</v>
      </c>
    </row>
    <row r="4394" spans="1:22" hidden="1" x14ac:dyDescent="0.25">
      <c r="A4394" s="100">
        <v>45853</v>
      </c>
      <c r="B4394" t="str">
        <f t="shared" si="219"/>
        <v>July</v>
      </c>
      <c r="C4394" s="46" t="s">
        <v>280</v>
      </c>
      <c r="F4394" s="366" t="s">
        <v>2364</v>
      </c>
      <c r="G4394" s="46" t="s">
        <v>16</v>
      </c>
      <c r="H4394" s="46">
        <v>3</v>
      </c>
      <c r="I4394" s="51">
        <v>4103.8499999999995</v>
      </c>
      <c r="J4394" s="281">
        <f>++Tabla4[[#This Row],[Precio Bruto]]*1.16</f>
        <v>4760.4659999999994</v>
      </c>
      <c r="K4394" s="281">
        <f>+Tabla4[[#This Row],[Precio Unitario Neto]]*Tabla4[[#Headers],[20.85%]]</f>
        <v>992.55716099999984</v>
      </c>
      <c r="L4394" s="282">
        <f>++Tabla4[[#This Row],[Precio Unitario Neto]]-Tabla4[[#This Row],[20.85%]]</f>
        <v>3767.9088389999997</v>
      </c>
      <c r="M4394" s="282" t="e">
        <f>(INDEX(Tabla6[#All],MATCH(Tabla4[[#This Row],[Producto]],Tabla6[[#All],[PRODUCTO]],0),MATCH(Tabla4[[#This Row],[Mes]],Tabla6[#Headers],0)))*(1+Catalogos!$L$2)</f>
        <v>#N/A</v>
      </c>
      <c r="N4394" s="283" t="e">
        <f>+(Tabla4[[#This Row],[Precio Descontado]]-Tabla4[[#This Row],[Precio Base]])*Tabla4[[#This Row],[Cantidad]]</f>
        <v>#N/A</v>
      </c>
      <c r="O4394" s="284" t="e">
        <f>++Tabla4[[#This Row],[Utilidad Total]]/Tabla4[[#This Row],[Total]]</f>
        <v>#N/A</v>
      </c>
      <c r="P4394" s="282">
        <f>++Tabla4[[#This Row],[Precio Descontado]]*Tabla4[[#This Row],[Cantidad]]</f>
        <v>11303.726516999999</v>
      </c>
      <c r="Q4394" s="282" t="e">
        <f>(INDEX(Tabla6[#All],MATCH(Tabla4[[#This Row],[Producto]],Tabla6[[#All],[PRODUCTO]],0),MATCH(Tabla4[[#This Row],[Mes]],Tabla6[#Headers],0)))</f>
        <v>#N/A</v>
      </c>
      <c r="R4394" s="282" t="e">
        <f>++Tabla4[[#This Row],[Precio Unitario Neto]]-Tabla4[[#This Row],[20.85%]]-Tabla4[[#This Row],[Costo]]</f>
        <v>#N/A</v>
      </c>
      <c r="S4394" s="282" t="e">
        <f>++Tabla4[[#This Row],[U. Bruta Uni]]*Tabla4[[#This Row],[Cantidad]]</f>
        <v>#N/A</v>
      </c>
      <c r="T4394" s="369" t="str">
        <f>VLOOKUP(Tabla4[[#This Row],[Producto]],Tabla6[#All],14,FALSE)</f>
        <v>Termico Solar</v>
      </c>
      <c r="U4394" s="284" t="e">
        <f>(IF(Tabla4[[#This Row],[Familia]]="termico solar",Tabla4[[#This Row],[Utilidad Total]]*6%,Tabla4[[#This Row],[Utilidad Total]]*11.5%))/Tabla4[[#This Row],[Total]]</f>
        <v>#N/A</v>
      </c>
      <c r="V4394" s="282" t="e">
        <f>+Tabla4[[#This Row],[Comisión Calculada]]*Tabla4[[#This Row],[Total]]</f>
        <v>#N/A</v>
      </c>
    </row>
    <row r="4395" spans="1:22" hidden="1" x14ac:dyDescent="0.25">
      <c r="A4395" s="100">
        <v>45853</v>
      </c>
      <c r="B4395" t="str">
        <f t="shared" ref="B4395:B4400" si="220">TEXT(A4395, "mmmm")</f>
        <v>July</v>
      </c>
      <c r="C4395" s="46" t="s">
        <v>280</v>
      </c>
      <c r="F4395" s="366" t="s">
        <v>2365</v>
      </c>
      <c r="G4395" s="46" t="s">
        <v>83</v>
      </c>
      <c r="H4395" s="46">
        <v>1</v>
      </c>
      <c r="I4395" s="51">
        <v>8858.76</v>
      </c>
      <c r="J4395" s="281">
        <f>++Tabla4[[#This Row],[Precio Bruto]]*1.16</f>
        <v>10276.161599999999</v>
      </c>
      <c r="K4395" s="281">
        <f>+Tabla4[[#This Row],[Precio Unitario Neto]]*Tabla4[[#Headers],[20.85%]]</f>
        <v>2142.5796935999997</v>
      </c>
      <c r="L4395" s="282">
        <f>++Tabla4[[#This Row],[Precio Unitario Neto]]-Tabla4[[#This Row],[20.85%]]</f>
        <v>8133.5819063999998</v>
      </c>
      <c r="M4395" s="282" t="e">
        <f>(INDEX(Tabla6[#All],MATCH(Tabla4[[#This Row],[Producto]],Tabla6[[#All],[PRODUCTO]],0),MATCH(Tabla4[[#This Row],[Mes]],Tabla6[#Headers],0)))*(1+Catalogos!$L$2)</f>
        <v>#N/A</v>
      </c>
      <c r="N4395" s="283" t="e">
        <f>+(Tabla4[[#This Row],[Precio Descontado]]-Tabla4[[#This Row],[Precio Base]])*Tabla4[[#This Row],[Cantidad]]</f>
        <v>#N/A</v>
      </c>
      <c r="O4395" s="284" t="e">
        <f>++Tabla4[[#This Row],[Utilidad Total]]/Tabla4[[#This Row],[Total]]</f>
        <v>#N/A</v>
      </c>
      <c r="P4395" s="282">
        <f>++Tabla4[[#This Row],[Precio Descontado]]*Tabla4[[#This Row],[Cantidad]]</f>
        <v>8133.5819063999998</v>
      </c>
      <c r="Q4395" s="282" t="e">
        <f>(INDEX(Tabla6[#All],MATCH(Tabla4[[#This Row],[Producto]],Tabla6[[#All],[PRODUCTO]],0),MATCH(Tabla4[[#This Row],[Mes]],Tabla6[#Headers],0)))</f>
        <v>#N/A</v>
      </c>
      <c r="R4395" s="282" t="e">
        <f>++Tabla4[[#This Row],[Precio Unitario Neto]]-Tabla4[[#This Row],[20.85%]]-Tabla4[[#This Row],[Costo]]</f>
        <v>#N/A</v>
      </c>
      <c r="S4395" s="282" t="e">
        <f>++Tabla4[[#This Row],[U. Bruta Uni]]*Tabla4[[#This Row],[Cantidad]]</f>
        <v>#N/A</v>
      </c>
      <c r="T4395" s="369" t="str">
        <f>VLOOKUP(Tabla4[[#This Row],[Producto]],Tabla6[#All],14,FALSE)</f>
        <v>Termico Solar</v>
      </c>
      <c r="U4395" s="284" t="e">
        <f>(IF(Tabla4[[#This Row],[Familia]]="termico solar",Tabla4[[#This Row],[Utilidad Total]]*6%,Tabla4[[#This Row],[Utilidad Total]]*11.5%))/Tabla4[[#This Row],[Total]]</f>
        <v>#N/A</v>
      </c>
      <c r="V4395" s="282" t="e">
        <f>+Tabla4[[#This Row],[Comisión Calculada]]*Tabla4[[#This Row],[Total]]</f>
        <v>#N/A</v>
      </c>
    </row>
    <row r="4396" spans="1:22" hidden="1" x14ac:dyDescent="0.25">
      <c r="A4396" s="100">
        <v>45853</v>
      </c>
      <c r="B4396" t="str">
        <f t="shared" si="220"/>
        <v>July</v>
      </c>
      <c r="C4396" s="46" t="s">
        <v>280</v>
      </c>
      <c r="F4396" s="366" t="s">
        <v>2365</v>
      </c>
      <c r="G4396" s="46" t="s">
        <v>566</v>
      </c>
      <c r="H4396" s="46">
        <v>1</v>
      </c>
      <c r="I4396" s="51">
        <v>2109.4499999999998</v>
      </c>
      <c r="J4396" s="281">
        <f>++Tabla4[[#This Row],[Precio Bruto]]*1.16</f>
        <v>2446.9619999999995</v>
      </c>
      <c r="K4396" s="281">
        <f>+Tabla4[[#This Row],[Precio Unitario Neto]]*Tabla4[[#Headers],[20.85%]]</f>
        <v>510.19157699999988</v>
      </c>
      <c r="L4396" s="282">
        <f>++Tabla4[[#This Row],[Precio Unitario Neto]]-Tabla4[[#This Row],[20.85%]]</f>
        <v>1936.7704229999997</v>
      </c>
      <c r="M4396" s="282" t="e">
        <f>(INDEX(Tabla6[#All],MATCH(Tabla4[[#This Row],[Producto]],Tabla6[[#All],[PRODUCTO]],0),MATCH(Tabla4[[#This Row],[Mes]],Tabla6[#Headers],0)))*(1+Catalogos!$L$2)</f>
        <v>#N/A</v>
      </c>
      <c r="N4396" s="283" t="e">
        <f>+(Tabla4[[#This Row],[Precio Descontado]]-Tabla4[[#This Row],[Precio Base]])*Tabla4[[#This Row],[Cantidad]]</f>
        <v>#N/A</v>
      </c>
      <c r="O4396" s="284" t="e">
        <f>++Tabla4[[#This Row],[Utilidad Total]]/Tabla4[[#This Row],[Total]]</f>
        <v>#N/A</v>
      </c>
      <c r="P4396" s="282">
        <f>++Tabla4[[#This Row],[Precio Descontado]]*Tabla4[[#This Row],[Cantidad]]</f>
        <v>1936.7704229999997</v>
      </c>
      <c r="Q4396" s="282" t="e">
        <f>(INDEX(Tabla6[#All],MATCH(Tabla4[[#This Row],[Producto]],Tabla6[[#All],[PRODUCTO]],0),MATCH(Tabla4[[#This Row],[Mes]],Tabla6[#Headers],0)))</f>
        <v>#N/A</v>
      </c>
      <c r="R4396" s="282" t="e">
        <f>++Tabla4[[#This Row],[Precio Unitario Neto]]-Tabla4[[#This Row],[20.85%]]-Tabla4[[#This Row],[Costo]]</f>
        <v>#N/A</v>
      </c>
      <c r="S4396" s="282" t="e">
        <f>++Tabla4[[#This Row],[U. Bruta Uni]]*Tabla4[[#This Row],[Cantidad]]</f>
        <v>#N/A</v>
      </c>
      <c r="T4396" s="369" t="str">
        <f>VLOOKUP(Tabla4[[#This Row],[Producto]],Tabla6[#All],14,FALSE)</f>
        <v>Termico Solar</v>
      </c>
      <c r="U4396" s="284" t="e">
        <f>(IF(Tabla4[[#This Row],[Familia]]="termico solar",Tabla4[[#This Row],[Utilidad Total]]*6%,Tabla4[[#This Row],[Utilidad Total]]*11.5%))/Tabla4[[#This Row],[Total]]</f>
        <v>#N/A</v>
      </c>
      <c r="V4396" s="282" t="e">
        <f>+Tabla4[[#This Row],[Comisión Calculada]]*Tabla4[[#This Row],[Total]]</f>
        <v>#N/A</v>
      </c>
    </row>
    <row r="4397" spans="1:22" hidden="1" x14ac:dyDescent="0.25">
      <c r="A4397" s="100">
        <v>45853</v>
      </c>
      <c r="B4397" t="str">
        <f t="shared" si="220"/>
        <v>July</v>
      </c>
      <c r="C4397" s="46" t="s">
        <v>280</v>
      </c>
      <c r="F4397" s="366" t="s">
        <v>2365</v>
      </c>
      <c r="G4397" s="46" t="s">
        <v>16</v>
      </c>
      <c r="H4397" s="46">
        <v>2</v>
      </c>
      <c r="I4397" s="51">
        <v>4103.8500000000004</v>
      </c>
      <c r="J4397" s="281">
        <f>++Tabla4[[#This Row],[Precio Bruto]]*1.16</f>
        <v>4760.4660000000003</v>
      </c>
      <c r="K4397" s="281">
        <f>+Tabla4[[#This Row],[Precio Unitario Neto]]*Tabla4[[#Headers],[20.85%]]</f>
        <v>992.55716100000006</v>
      </c>
      <c r="L4397" s="282">
        <f>++Tabla4[[#This Row],[Precio Unitario Neto]]-Tabla4[[#This Row],[20.85%]]</f>
        <v>3767.9088390000002</v>
      </c>
      <c r="M4397" s="282" t="e">
        <f>(INDEX(Tabla6[#All],MATCH(Tabla4[[#This Row],[Producto]],Tabla6[[#All],[PRODUCTO]],0),MATCH(Tabla4[[#This Row],[Mes]],Tabla6[#Headers],0)))*(1+Catalogos!$L$2)</f>
        <v>#N/A</v>
      </c>
      <c r="N4397" s="283" t="e">
        <f>+(Tabla4[[#This Row],[Precio Descontado]]-Tabla4[[#This Row],[Precio Base]])*Tabla4[[#This Row],[Cantidad]]</f>
        <v>#N/A</v>
      </c>
      <c r="O4397" s="284" t="e">
        <f>++Tabla4[[#This Row],[Utilidad Total]]/Tabla4[[#This Row],[Total]]</f>
        <v>#N/A</v>
      </c>
      <c r="P4397" s="282">
        <f>++Tabla4[[#This Row],[Precio Descontado]]*Tabla4[[#This Row],[Cantidad]]</f>
        <v>7535.8176780000003</v>
      </c>
      <c r="Q4397" s="282" t="e">
        <f>(INDEX(Tabla6[#All],MATCH(Tabla4[[#This Row],[Producto]],Tabla6[[#All],[PRODUCTO]],0),MATCH(Tabla4[[#This Row],[Mes]],Tabla6[#Headers],0)))</f>
        <v>#N/A</v>
      </c>
      <c r="R4397" s="282" t="e">
        <f>++Tabla4[[#This Row],[Precio Unitario Neto]]-Tabla4[[#This Row],[20.85%]]-Tabla4[[#This Row],[Costo]]</f>
        <v>#N/A</v>
      </c>
      <c r="S4397" s="282" t="e">
        <f>++Tabla4[[#This Row],[U. Bruta Uni]]*Tabla4[[#This Row],[Cantidad]]</f>
        <v>#N/A</v>
      </c>
      <c r="T4397" s="369" t="str">
        <f>VLOOKUP(Tabla4[[#This Row],[Producto]],Tabla6[#All],14,FALSE)</f>
        <v>Termico Solar</v>
      </c>
      <c r="U4397" s="284" t="e">
        <f>(IF(Tabla4[[#This Row],[Familia]]="termico solar",Tabla4[[#This Row],[Utilidad Total]]*6%,Tabla4[[#This Row],[Utilidad Total]]*11.5%))/Tabla4[[#This Row],[Total]]</f>
        <v>#N/A</v>
      </c>
      <c r="V4397" s="282" t="e">
        <f>+Tabla4[[#This Row],[Comisión Calculada]]*Tabla4[[#This Row],[Total]]</f>
        <v>#N/A</v>
      </c>
    </row>
    <row r="4398" spans="1:22" hidden="1" x14ac:dyDescent="0.25">
      <c r="A4398" s="100">
        <v>45853</v>
      </c>
      <c r="B4398" t="str">
        <f t="shared" si="220"/>
        <v>July</v>
      </c>
      <c r="C4398" s="46" t="s">
        <v>280</v>
      </c>
      <c r="F4398" s="366" t="s">
        <v>2365</v>
      </c>
      <c r="G4398" s="46" t="s">
        <v>200</v>
      </c>
      <c r="H4398" s="46">
        <v>12</v>
      </c>
      <c r="I4398" s="51">
        <v>393.22</v>
      </c>
      <c r="J4398" s="281">
        <f>++Tabla4[[#This Row],[Precio Bruto]]*1.16</f>
        <v>456.1352</v>
      </c>
      <c r="K4398" s="281">
        <f>+Tabla4[[#This Row],[Precio Unitario Neto]]*Tabla4[[#Headers],[20.85%]]</f>
        <v>95.104189199999993</v>
      </c>
      <c r="L4398" s="282">
        <f>++Tabla4[[#This Row],[Precio Unitario Neto]]-Tabla4[[#This Row],[20.85%]]</f>
        <v>361.03101079999999</v>
      </c>
      <c r="M4398" s="282" t="e">
        <f>(INDEX(Tabla6[#All],MATCH(Tabla4[[#This Row],[Producto]],Tabla6[[#All],[PRODUCTO]],0),MATCH(Tabla4[[#This Row],[Mes]],Tabla6[#Headers],0)))*(1+Catalogos!$L$2)</f>
        <v>#N/A</v>
      </c>
      <c r="N4398" s="283" t="e">
        <f>+(Tabla4[[#This Row],[Precio Descontado]]-Tabla4[[#This Row],[Precio Base]])*Tabla4[[#This Row],[Cantidad]]</f>
        <v>#N/A</v>
      </c>
      <c r="O4398" s="284" t="e">
        <f>++Tabla4[[#This Row],[Utilidad Total]]/Tabla4[[#This Row],[Total]]</f>
        <v>#N/A</v>
      </c>
      <c r="P4398" s="282">
        <f>++Tabla4[[#This Row],[Precio Descontado]]*Tabla4[[#This Row],[Cantidad]]</f>
        <v>4332.3721296000003</v>
      </c>
      <c r="Q4398" s="282" t="e">
        <f>(INDEX(Tabla6[#All],MATCH(Tabla4[[#This Row],[Producto]],Tabla6[[#All],[PRODUCTO]],0),MATCH(Tabla4[[#This Row],[Mes]],Tabla6[#Headers],0)))</f>
        <v>#N/A</v>
      </c>
      <c r="R4398" s="282" t="e">
        <f>++Tabla4[[#This Row],[Precio Unitario Neto]]-Tabla4[[#This Row],[20.85%]]-Tabla4[[#This Row],[Costo]]</f>
        <v>#N/A</v>
      </c>
      <c r="S4398" s="282" t="e">
        <f>++Tabla4[[#This Row],[U. Bruta Uni]]*Tabla4[[#This Row],[Cantidad]]</f>
        <v>#N/A</v>
      </c>
      <c r="T4398" s="369" t="str">
        <f>VLOOKUP(Tabla4[[#This Row],[Producto]],Tabla6[#All],14,FALSE)</f>
        <v>Termico Solar</v>
      </c>
      <c r="U4398" s="284" t="e">
        <f>(IF(Tabla4[[#This Row],[Familia]]="termico solar",Tabla4[[#This Row],[Utilidad Total]]*6%,Tabla4[[#This Row],[Utilidad Total]]*11.5%))/Tabla4[[#This Row],[Total]]</f>
        <v>#N/A</v>
      </c>
      <c r="V4398" s="282" t="e">
        <f>+Tabla4[[#This Row],[Comisión Calculada]]*Tabla4[[#This Row],[Total]]</f>
        <v>#N/A</v>
      </c>
    </row>
    <row r="4399" spans="1:22" hidden="1" x14ac:dyDescent="0.25">
      <c r="A4399" s="100">
        <v>45853</v>
      </c>
      <c r="B4399" t="str">
        <f t="shared" si="220"/>
        <v>July</v>
      </c>
      <c r="C4399" s="46" t="s">
        <v>280</v>
      </c>
      <c r="F4399" s="366" t="s">
        <v>2365</v>
      </c>
      <c r="G4399" s="46" t="s">
        <v>545</v>
      </c>
      <c r="H4399" s="46">
        <v>24</v>
      </c>
      <c r="I4399" s="51">
        <v>304.32</v>
      </c>
      <c r="J4399" s="281">
        <f>++Tabla4[[#This Row],[Precio Bruto]]*1.16</f>
        <v>353.01119999999997</v>
      </c>
      <c r="K4399" s="281">
        <f>+Tabla4[[#This Row],[Precio Unitario Neto]]*Tabla4[[#Headers],[20.85%]]</f>
        <v>73.602835199999987</v>
      </c>
      <c r="L4399" s="282">
        <f>++Tabla4[[#This Row],[Precio Unitario Neto]]-Tabla4[[#This Row],[20.85%]]</f>
        <v>279.40836479999996</v>
      </c>
      <c r="M4399" s="282" t="e">
        <f>(INDEX(Tabla6[#All],MATCH(Tabla4[[#This Row],[Producto]],Tabla6[[#All],[PRODUCTO]],0),MATCH(Tabla4[[#This Row],[Mes]],Tabla6[#Headers],0)))*(1+Catalogos!$L$2)</f>
        <v>#N/A</v>
      </c>
      <c r="N4399" s="283" t="e">
        <f>+(Tabla4[[#This Row],[Precio Descontado]]-Tabla4[[#This Row],[Precio Base]])*Tabla4[[#This Row],[Cantidad]]</f>
        <v>#N/A</v>
      </c>
      <c r="O4399" s="284" t="e">
        <f>++Tabla4[[#This Row],[Utilidad Total]]/Tabla4[[#This Row],[Total]]</f>
        <v>#N/A</v>
      </c>
      <c r="P4399" s="282">
        <f>++Tabla4[[#This Row],[Precio Descontado]]*Tabla4[[#This Row],[Cantidad]]</f>
        <v>6705.800755199999</v>
      </c>
      <c r="Q4399" s="282" t="e">
        <f>(INDEX(Tabla6[#All],MATCH(Tabla4[[#This Row],[Producto]],Tabla6[[#All],[PRODUCTO]],0),MATCH(Tabla4[[#This Row],[Mes]],Tabla6[#Headers],0)))</f>
        <v>#N/A</v>
      </c>
      <c r="R4399" s="282" t="e">
        <f>++Tabla4[[#This Row],[Precio Unitario Neto]]-Tabla4[[#This Row],[20.85%]]-Tabla4[[#This Row],[Costo]]</f>
        <v>#N/A</v>
      </c>
      <c r="S4399" s="282" t="e">
        <f>++Tabla4[[#This Row],[U. Bruta Uni]]*Tabla4[[#This Row],[Cantidad]]</f>
        <v>#N/A</v>
      </c>
      <c r="T4399" s="369" t="str">
        <f>VLOOKUP(Tabla4[[#This Row],[Producto]],Tabla6[#All],14,FALSE)</f>
        <v>Termico Solar</v>
      </c>
      <c r="U4399" s="284" t="e">
        <f>(IF(Tabla4[[#This Row],[Familia]]="termico solar",Tabla4[[#This Row],[Utilidad Total]]*6%,Tabla4[[#This Row],[Utilidad Total]]*11.5%))/Tabla4[[#This Row],[Total]]</f>
        <v>#N/A</v>
      </c>
      <c r="V4399" s="282" t="e">
        <f>+Tabla4[[#This Row],[Comisión Calculada]]*Tabla4[[#This Row],[Total]]</f>
        <v>#N/A</v>
      </c>
    </row>
    <row r="4400" spans="1:22" hidden="1" x14ac:dyDescent="0.25">
      <c r="A4400" s="100">
        <v>45853</v>
      </c>
      <c r="B4400" t="str">
        <f t="shared" si="220"/>
        <v>July</v>
      </c>
      <c r="C4400" s="46" t="s">
        <v>280</v>
      </c>
      <c r="F4400" s="366" t="s">
        <v>2365</v>
      </c>
      <c r="G4400" s="46" t="s">
        <v>209</v>
      </c>
      <c r="H4400" s="46">
        <v>2</v>
      </c>
      <c r="I4400" s="51">
        <v>347.48</v>
      </c>
      <c r="J4400" s="281">
        <f>++Tabla4[[#This Row],[Precio Bruto]]*1.16</f>
        <v>403.07679999999999</v>
      </c>
      <c r="K4400" s="281">
        <f>+Tabla4[[#This Row],[Precio Unitario Neto]]*Tabla4[[#Headers],[20.85%]]</f>
        <v>84.041512799999992</v>
      </c>
      <c r="L4400" s="282">
        <f>++Tabla4[[#This Row],[Precio Unitario Neto]]-Tabla4[[#This Row],[20.85%]]</f>
        <v>319.03528719999997</v>
      </c>
      <c r="M4400" s="282" t="e">
        <f>(INDEX(Tabla6[#All],MATCH(Tabla4[[#This Row],[Producto]],Tabla6[[#All],[PRODUCTO]],0),MATCH(Tabla4[[#This Row],[Mes]],Tabla6[#Headers],0)))*(1+Catalogos!$L$2)</f>
        <v>#N/A</v>
      </c>
      <c r="N4400" s="283" t="e">
        <f>+(Tabla4[[#This Row],[Precio Descontado]]-Tabla4[[#This Row],[Precio Base]])*Tabla4[[#This Row],[Cantidad]]</f>
        <v>#N/A</v>
      </c>
      <c r="O4400" s="284" t="e">
        <f>++Tabla4[[#This Row],[Utilidad Total]]/Tabla4[[#This Row],[Total]]</f>
        <v>#N/A</v>
      </c>
      <c r="P4400" s="282">
        <f>++Tabla4[[#This Row],[Precio Descontado]]*Tabla4[[#This Row],[Cantidad]]</f>
        <v>638.07057439999994</v>
      </c>
      <c r="Q4400" s="282" t="e">
        <f>(INDEX(Tabla6[#All],MATCH(Tabla4[[#This Row],[Producto]],Tabla6[[#All],[PRODUCTO]],0),MATCH(Tabla4[[#This Row],[Mes]],Tabla6[#Headers],0)))</f>
        <v>#N/A</v>
      </c>
      <c r="R4400" s="282" t="e">
        <f>++Tabla4[[#This Row],[Precio Unitario Neto]]-Tabla4[[#This Row],[20.85%]]-Tabla4[[#This Row],[Costo]]</f>
        <v>#N/A</v>
      </c>
      <c r="S4400" s="282" t="e">
        <f>++Tabla4[[#This Row],[U. Bruta Uni]]*Tabla4[[#This Row],[Cantidad]]</f>
        <v>#N/A</v>
      </c>
      <c r="T4400" s="369" t="str">
        <f>VLOOKUP(Tabla4[[#This Row],[Producto]],Tabla6[#All],14,FALSE)</f>
        <v>Termico Solar</v>
      </c>
      <c r="U4400" s="284" t="e">
        <f>(IF(Tabla4[[#This Row],[Familia]]="termico solar",Tabla4[[#This Row],[Utilidad Total]]*6%,Tabla4[[#This Row],[Utilidad Total]]*11.5%))/Tabla4[[#This Row],[Total]]</f>
        <v>#N/A</v>
      </c>
      <c r="V4400" s="282" t="e">
        <f>+Tabla4[[#This Row],[Comisión Calculada]]*Tabla4[[#This Row],[Total]]</f>
        <v>#N/A</v>
      </c>
    </row>
    <row r="4401" spans="1:22" hidden="1" x14ac:dyDescent="0.25">
      <c r="A4401" s="100">
        <v>45853</v>
      </c>
      <c r="B4401" t="str">
        <f t="shared" ref="B4401:B4406" si="221">TEXT(A4401, "mmmm")</f>
        <v>July</v>
      </c>
      <c r="C4401" s="46" t="s">
        <v>280</v>
      </c>
      <c r="F4401" s="366" t="s">
        <v>2366</v>
      </c>
      <c r="G4401" s="46" t="s">
        <v>17</v>
      </c>
      <c r="H4401" s="46">
        <v>7</v>
      </c>
      <c r="I4401" s="51">
        <v>4622.28</v>
      </c>
      <c r="J4401" s="281">
        <f>++Tabla4[[#This Row],[Precio Bruto]]*1.16</f>
        <v>5361.8447999999989</v>
      </c>
      <c r="K4401" s="281">
        <f>+Tabla4[[#This Row],[Precio Unitario Neto]]*Tabla4[[#Headers],[20.85%]]</f>
        <v>1117.9446407999997</v>
      </c>
      <c r="L4401" s="282">
        <f>++Tabla4[[#This Row],[Precio Unitario Neto]]-Tabla4[[#This Row],[20.85%]]</f>
        <v>4243.9001591999995</v>
      </c>
      <c r="M4401" s="282" t="e">
        <f>(INDEX(Tabla6[#All],MATCH(Tabla4[[#This Row],[Producto]],Tabla6[[#All],[PRODUCTO]],0),MATCH(Tabla4[[#This Row],[Mes]],Tabla6[#Headers],0)))*(1+Catalogos!$L$2)</f>
        <v>#N/A</v>
      </c>
      <c r="N4401" s="283" t="e">
        <f>+(Tabla4[[#This Row],[Precio Descontado]]-Tabla4[[#This Row],[Precio Base]])*Tabla4[[#This Row],[Cantidad]]</f>
        <v>#N/A</v>
      </c>
      <c r="O4401" s="284" t="e">
        <f>++Tabla4[[#This Row],[Utilidad Total]]/Tabla4[[#This Row],[Total]]</f>
        <v>#N/A</v>
      </c>
      <c r="P4401" s="282">
        <f>++Tabla4[[#This Row],[Precio Descontado]]*Tabla4[[#This Row],[Cantidad]]</f>
        <v>29707.301114399997</v>
      </c>
      <c r="Q4401" s="282" t="e">
        <f>(INDEX(Tabla6[#All],MATCH(Tabla4[[#This Row],[Producto]],Tabla6[[#All],[PRODUCTO]],0),MATCH(Tabla4[[#This Row],[Mes]],Tabla6[#Headers],0)))</f>
        <v>#N/A</v>
      </c>
      <c r="R4401" s="282" t="e">
        <f>++Tabla4[[#This Row],[Precio Unitario Neto]]-Tabla4[[#This Row],[20.85%]]-Tabla4[[#This Row],[Costo]]</f>
        <v>#N/A</v>
      </c>
      <c r="S4401" s="282" t="e">
        <f>++Tabla4[[#This Row],[U. Bruta Uni]]*Tabla4[[#This Row],[Cantidad]]</f>
        <v>#N/A</v>
      </c>
      <c r="T4401" s="369" t="str">
        <f>VLOOKUP(Tabla4[[#This Row],[Producto]],Tabla6[#All],14,FALSE)</f>
        <v>Termico Solar</v>
      </c>
      <c r="U4401" s="284" t="e">
        <f>(IF(Tabla4[[#This Row],[Familia]]="termico solar",Tabla4[[#This Row],[Utilidad Total]]*6%,Tabla4[[#This Row],[Utilidad Total]]*11.5%))/Tabla4[[#This Row],[Total]]</f>
        <v>#N/A</v>
      </c>
      <c r="V4401" s="282" t="e">
        <f>+Tabla4[[#This Row],[Comisión Calculada]]*Tabla4[[#This Row],[Total]]</f>
        <v>#N/A</v>
      </c>
    </row>
    <row r="4402" spans="1:22" hidden="1" x14ac:dyDescent="0.25">
      <c r="A4402" s="100">
        <v>45853</v>
      </c>
      <c r="B4402" t="str">
        <f t="shared" si="221"/>
        <v>July</v>
      </c>
      <c r="C4402" s="46" t="s">
        <v>280</v>
      </c>
      <c r="F4402" s="366" t="s">
        <v>2366</v>
      </c>
      <c r="G4402" s="46" t="s">
        <v>18</v>
      </c>
      <c r="H4402" s="46">
        <v>1</v>
      </c>
      <c r="I4402" s="51">
        <v>5367.65</v>
      </c>
      <c r="J4402" s="281">
        <f>++Tabla4[[#This Row],[Precio Bruto]]*1.16</f>
        <v>6226.4739999999993</v>
      </c>
      <c r="K4402" s="281">
        <f>+Tabla4[[#This Row],[Precio Unitario Neto]]*Tabla4[[#Headers],[20.85%]]</f>
        <v>1298.2198289999999</v>
      </c>
      <c r="L4402" s="282">
        <f>++Tabla4[[#This Row],[Precio Unitario Neto]]-Tabla4[[#This Row],[20.85%]]</f>
        <v>4928.2541709999996</v>
      </c>
      <c r="M4402" s="282" t="e">
        <f>(INDEX(Tabla6[#All],MATCH(Tabla4[[#This Row],[Producto]],Tabla6[[#All],[PRODUCTO]],0),MATCH(Tabla4[[#This Row],[Mes]],Tabla6[#Headers],0)))*(1+Catalogos!$L$2)</f>
        <v>#N/A</v>
      </c>
      <c r="N4402" s="283" t="e">
        <f>+(Tabla4[[#This Row],[Precio Descontado]]-Tabla4[[#This Row],[Precio Base]])*Tabla4[[#This Row],[Cantidad]]</f>
        <v>#N/A</v>
      </c>
      <c r="O4402" s="284" t="e">
        <f>++Tabla4[[#This Row],[Utilidad Total]]/Tabla4[[#This Row],[Total]]</f>
        <v>#N/A</v>
      </c>
      <c r="P4402" s="282">
        <f>++Tabla4[[#This Row],[Precio Descontado]]*Tabla4[[#This Row],[Cantidad]]</f>
        <v>4928.2541709999996</v>
      </c>
      <c r="Q4402" s="282" t="e">
        <f>(INDEX(Tabla6[#All],MATCH(Tabla4[[#This Row],[Producto]],Tabla6[[#All],[PRODUCTO]],0),MATCH(Tabla4[[#This Row],[Mes]],Tabla6[#Headers],0)))</f>
        <v>#N/A</v>
      </c>
      <c r="R4402" s="282" t="e">
        <f>++Tabla4[[#This Row],[Precio Unitario Neto]]-Tabla4[[#This Row],[20.85%]]-Tabla4[[#This Row],[Costo]]</f>
        <v>#N/A</v>
      </c>
      <c r="S4402" s="282" t="e">
        <f>++Tabla4[[#This Row],[U. Bruta Uni]]*Tabla4[[#This Row],[Cantidad]]</f>
        <v>#N/A</v>
      </c>
      <c r="T4402" s="369" t="str">
        <f>VLOOKUP(Tabla4[[#This Row],[Producto]],Tabla6[#All],14,FALSE)</f>
        <v>Termico Solar</v>
      </c>
      <c r="U4402" s="284" t="e">
        <f>(IF(Tabla4[[#This Row],[Familia]]="termico solar",Tabla4[[#This Row],[Utilidad Total]]*6%,Tabla4[[#This Row],[Utilidad Total]]*11.5%))/Tabla4[[#This Row],[Total]]</f>
        <v>#N/A</v>
      </c>
      <c r="V4402" s="282" t="e">
        <f>+Tabla4[[#This Row],[Comisión Calculada]]*Tabla4[[#This Row],[Total]]</f>
        <v>#N/A</v>
      </c>
    </row>
    <row r="4403" spans="1:22" hidden="1" x14ac:dyDescent="0.25">
      <c r="A4403" s="100">
        <v>45853</v>
      </c>
      <c r="B4403" t="str">
        <f t="shared" si="221"/>
        <v>July</v>
      </c>
      <c r="C4403" s="46" t="s">
        <v>280</v>
      </c>
      <c r="F4403" s="366" t="s">
        <v>2366</v>
      </c>
      <c r="G4403" s="46" t="s">
        <v>412</v>
      </c>
      <c r="H4403" s="46">
        <v>1</v>
      </c>
      <c r="I4403" s="51">
        <v>3240.84</v>
      </c>
      <c r="J4403" s="281">
        <f>++Tabla4[[#This Row],[Precio Bruto]]*1.16</f>
        <v>3759.3743999999997</v>
      </c>
      <c r="K4403" s="281">
        <f>+Tabla4[[#This Row],[Precio Unitario Neto]]*Tabla4[[#Headers],[20.85%]]</f>
        <v>783.82956239999987</v>
      </c>
      <c r="L4403" s="282">
        <f>++Tabla4[[#This Row],[Precio Unitario Neto]]-Tabla4[[#This Row],[20.85%]]</f>
        <v>2975.5448375999999</v>
      </c>
      <c r="M4403" s="282" t="e">
        <f>(INDEX(Tabla6[#All],MATCH(Tabla4[[#This Row],[Producto]],Tabla6[[#All],[PRODUCTO]],0),MATCH(Tabla4[[#This Row],[Mes]],Tabla6[#Headers],0)))*(1+Catalogos!$L$2)</f>
        <v>#N/A</v>
      </c>
      <c r="N4403" s="283" t="e">
        <f>+(Tabla4[[#This Row],[Precio Descontado]]-Tabla4[[#This Row],[Precio Base]])*Tabla4[[#This Row],[Cantidad]]</f>
        <v>#N/A</v>
      </c>
      <c r="O4403" s="284" t="e">
        <f>++Tabla4[[#This Row],[Utilidad Total]]/Tabla4[[#This Row],[Total]]</f>
        <v>#N/A</v>
      </c>
      <c r="P4403" s="282">
        <f>++Tabla4[[#This Row],[Precio Descontado]]*Tabla4[[#This Row],[Cantidad]]</f>
        <v>2975.5448375999999</v>
      </c>
      <c r="Q4403" s="282" t="e">
        <f>(INDEX(Tabla6[#All],MATCH(Tabla4[[#This Row],[Producto]],Tabla6[[#All],[PRODUCTO]],0),MATCH(Tabla4[[#This Row],[Mes]],Tabla6[#Headers],0)))</f>
        <v>#N/A</v>
      </c>
      <c r="R4403" s="282" t="e">
        <f>++Tabla4[[#This Row],[Precio Unitario Neto]]-Tabla4[[#This Row],[20.85%]]-Tabla4[[#This Row],[Costo]]</f>
        <v>#N/A</v>
      </c>
      <c r="S4403" s="282" t="e">
        <f>++Tabla4[[#This Row],[U. Bruta Uni]]*Tabla4[[#This Row],[Cantidad]]</f>
        <v>#N/A</v>
      </c>
      <c r="T4403" s="369" t="str">
        <f>VLOOKUP(Tabla4[[#This Row],[Producto]],Tabla6[#All],14,FALSE)</f>
        <v>Termico Solar</v>
      </c>
      <c r="U4403" s="284" t="e">
        <f>(IF(Tabla4[[#This Row],[Familia]]="termico solar",Tabla4[[#This Row],[Utilidad Total]]*6%,Tabla4[[#This Row],[Utilidad Total]]*11.5%))/Tabla4[[#This Row],[Total]]</f>
        <v>#N/A</v>
      </c>
      <c r="V4403" s="282" t="e">
        <f>+Tabla4[[#This Row],[Comisión Calculada]]*Tabla4[[#This Row],[Total]]</f>
        <v>#N/A</v>
      </c>
    </row>
    <row r="4404" spans="1:22" hidden="1" x14ac:dyDescent="0.25">
      <c r="A4404" s="100">
        <v>45853</v>
      </c>
      <c r="B4404" t="str">
        <f t="shared" si="221"/>
        <v>July</v>
      </c>
      <c r="C4404" s="46" t="s">
        <v>280</v>
      </c>
      <c r="F4404" s="366" t="s">
        <v>2366</v>
      </c>
      <c r="G4404" s="46" t="s">
        <v>200</v>
      </c>
      <c r="H4404" s="46">
        <v>12</v>
      </c>
      <c r="I4404" s="51">
        <v>393.22</v>
      </c>
      <c r="J4404" s="281">
        <f>++Tabla4[[#This Row],[Precio Bruto]]*1.16</f>
        <v>456.1352</v>
      </c>
      <c r="K4404" s="281">
        <f>+Tabla4[[#This Row],[Precio Unitario Neto]]*Tabla4[[#Headers],[20.85%]]</f>
        <v>95.104189199999993</v>
      </c>
      <c r="L4404" s="282">
        <f>++Tabla4[[#This Row],[Precio Unitario Neto]]-Tabla4[[#This Row],[20.85%]]</f>
        <v>361.03101079999999</v>
      </c>
      <c r="M4404" s="282" t="e">
        <f>(INDEX(Tabla6[#All],MATCH(Tabla4[[#This Row],[Producto]],Tabla6[[#All],[PRODUCTO]],0),MATCH(Tabla4[[#This Row],[Mes]],Tabla6[#Headers],0)))*(1+Catalogos!$L$2)</f>
        <v>#N/A</v>
      </c>
      <c r="N4404" s="283" t="e">
        <f>+(Tabla4[[#This Row],[Precio Descontado]]-Tabla4[[#This Row],[Precio Base]])*Tabla4[[#This Row],[Cantidad]]</f>
        <v>#N/A</v>
      </c>
      <c r="O4404" s="284" t="e">
        <f>++Tabla4[[#This Row],[Utilidad Total]]/Tabla4[[#This Row],[Total]]</f>
        <v>#N/A</v>
      </c>
      <c r="P4404" s="282">
        <f>++Tabla4[[#This Row],[Precio Descontado]]*Tabla4[[#This Row],[Cantidad]]</f>
        <v>4332.3721296000003</v>
      </c>
      <c r="Q4404" s="282" t="e">
        <f>(INDEX(Tabla6[#All],MATCH(Tabla4[[#This Row],[Producto]],Tabla6[[#All],[PRODUCTO]],0),MATCH(Tabla4[[#This Row],[Mes]],Tabla6[#Headers],0)))</f>
        <v>#N/A</v>
      </c>
      <c r="R4404" s="282" t="e">
        <f>++Tabla4[[#This Row],[Precio Unitario Neto]]-Tabla4[[#This Row],[20.85%]]-Tabla4[[#This Row],[Costo]]</f>
        <v>#N/A</v>
      </c>
      <c r="S4404" s="282" t="e">
        <f>++Tabla4[[#This Row],[U. Bruta Uni]]*Tabla4[[#This Row],[Cantidad]]</f>
        <v>#N/A</v>
      </c>
      <c r="T4404" s="369" t="str">
        <f>VLOOKUP(Tabla4[[#This Row],[Producto]],Tabla6[#All],14,FALSE)</f>
        <v>Termico Solar</v>
      </c>
      <c r="U4404" s="284" t="e">
        <f>(IF(Tabla4[[#This Row],[Familia]]="termico solar",Tabla4[[#This Row],[Utilidad Total]]*6%,Tabla4[[#This Row],[Utilidad Total]]*11.5%))/Tabla4[[#This Row],[Total]]</f>
        <v>#N/A</v>
      </c>
      <c r="V4404" s="282" t="e">
        <f>+Tabla4[[#This Row],[Comisión Calculada]]*Tabla4[[#This Row],[Total]]</f>
        <v>#N/A</v>
      </c>
    </row>
    <row r="4405" spans="1:22" hidden="1" x14ac:dyDescent="0.25">
      <c r="A4405" s="100">
        <v>45853</v>
      </c>
      <c r="B4405" t="str">
        <f t="shared" si="221"/>
        <v>July</v>
      </c>
      <c r="C4405" s="46" t="s">
        <v>280</v>
      </c>
      <c r="F4405" s="366" t="s">
        <v>2366</v>
      </c>
      <c r="G4405" s="46" t="s">
        <v>545</v>
      </c>
      <c r="H4405" s="46">
        <v>24</v>
      </c>
      <c r="I4405" s="51">
        <v>304.32</v>
      </c>
      <c r="J4405" s="281">
        <f>++Tabla4[[#This Row],[Precio Bruto]]*1.16</f>
        <v>353.01119999999997</v>
      </c>
      <c r="K4405" s="281">
        <f>+Tabla4[[#This Row],[Precio Unitario Neto]]*Tabla4[[#Headers],[20.85%]]</f>
        <v>73.602835199999987</v>
      </c>
      <c r="L4405" s="282">
        <f>++Tabla4[[#This Row],[Precio Unitario Neto]]-Tabla4[[#This Row],[20.85%]]</f>
        <v>279.40836479999996</v>
      </c>
      <c r="M4405" s="282" t="e">
        <f>(INDEX(Tabla6[#All],MATCH(Tabla4[[#This Row],[Producto]],Tabla6[[#All],[PRODUCTO]],0),MATCH(Tabla4[[#This Row],[Mes]],Tabla6[#Headers],0)))*(1+Catalogos!$L$2)</f>
        <v>#N/A</v>
      </c>
      <c r="N4405" s="283" t="e">
        <f>+(Tabla4[[#This Row],[Precio Descontado]]-Tabla4[[#This Row],[Precio Base]])*Tabla4[[#This Row],[Cantidad]]</f>
        <v>#N/A</v>
      </c>
      <c r="O4405" s="284" t="e">
        <f>++Tabla4[[#This Row],[Utilidad Total]]/Tabla4[[#This Row],[Total]]</f>
        <v>#N/A</v>
      </c>
      <c r="P4405" s="282">
        <f>++Tabla4[[#This Row],[Precio Descontado]]*Tabla4[[#This Row],[Cantidad]]</f>
        <v>6705.800755199999</v>
      </c>
      <c r="Q4405" s="282" t="e">
        <f>(INDEX(Tabla6[#All],MATCH(Tabla4[[#This Row],[Producto]],Tabla6[[#All],[PRODUCTO]],0),MATCH(Tabla4[[#This Row],[Mes]],Tabla6[#Headers],0)))</f>
        <v>#N/A</v>
      </c>
      <c r="R4405" s="282" t="e">
        <f>++Tabla4[[#This Row],[Precio Unitario Neto]]-Tabla4[[#This Row],[20.85%]]-Tabla4[[#This Row],[Costo]]</f>
        <v>#N/A</v>
      </c>
      <c r="S4405" s="282" t="e">
        <f>++Tabla4[[#This Row],[U. Bruta Uni]]*Tabla4[[#This Row],[Cantidad]]</f>
        <v>#N/A</v>
      </c>
      <c r="T4405" s="369" t="str">
        <f>VLOOKUP(Tabla4[[#This Row],[Producto]],Tabla6[#All],14,FALSE)</f>
        <v>Termico Solar</v>
      </c>
      <c r="U4405" s="284" t="e">
        <f>(IF(Tabla4[[#This Row],[Familia]]="termico solar",Tabla4[[#This Row],[Utilidad Total]]*6%,Tabla4[[#This Row],[Utilidad Total]]*11.5%))/Tabla4[[#This Row],[Total]]</f>
        <v>#N/A</v>
      </c>
      <c r="V4405" s="282" t="e">
        <f>+Tabla4[[#This Row],[Comisión Calculada]]*Tabla4[[#This Row],[Total]]</f>
        <v>#N/A</v>
      </c>
    </row>
    <row r="4406" spans="1:22" hidden="1" x14ac:dyDescent="0.25">
      <c r="A4406" s="100">
        <v>45853</v>
      </c>
      <c r="B4406" t="str">
        <f t="shared" si="221"/>
        <v>July</v>
      </c>
      <c r="C4406" s="46" t="s">
        <v>280</v>
      </c>
      <c r="F4406" s="366" t="s">
        <v>2366</v>
      </c>
      <c r="G4406" s="46" t="s">
        <v>209</v>
      </c>
      <c r="H4406" s="46">
        <v>2</v>
      </c>
      <c r="I4406" s="51">
        <v>347.48</v>
      </c>
      <c r="J4406" s="281">
        <f>++Tabla4[[#This Row],[Precio Bruto]]*1.16</f>
        <v>403.07679999999999</v>
      </c>
      <c r="K4406" s="281">
        <f>+Tabla4[[#This Row],[Precio Unitario Neto]]*Tabla4[[#Headers],[20.85%]]</f>
        <v>84.041512799999992</v>
      </c>
      <c r="L4406" s="282">
        <f>++Tabla4[[#This Row],[Precio Unitario Neto]]-Tabla4[[#This Row],[20.85%]]</f>
        <v>319.03528719999997</v>
      </c>
      <c r="M4406" s="282" t="e">
        <f>(INDEX(Tabla6[#All],MATCH(Tabla4[[#This Row],[Producto]],Tabla6[[#All],[PRODUCTO]],0),MATCH(Tabla4[[#This Row],[Mes]],Tabla6[#Headers],0)))*(1+Catalogos!$L$2)</f>
        <v>#N/A</v>
      </c>
      <c r="N4406" s="283" t="e">
        <f>+(Tabla4[[#This Row],[Precio Descontado]]-Tabla4[[#This Row],[Precio Base]])*Tabla4[[#This Row],[Cantidad]]</f>
        <v>#N/A</v>
      </c>
      <c r="O4406" s="284" t="e">
        <f>++Tabla4[[#This Row],[Utilidad Total]]/Tabla4[[#This Row],[Total]]</f>
        <v>#N/A</v>
      </c>
      <c r="P4406" s="282">
        <f>++Tabla4[[#This Row],[Precio Descontado]]*Tabla4[[#This Row],[Cantidad]]</f>
        <v>638.07057439999994</v>
      </c>
      <c r="Q4406" s="282" t="e">
        <f>(INDEX(Tabla6[#All],MATCH(Tabla4[[#This Row],[Producto]],Tabla6[[#All],[PRODUCTO]],0),MATCH(Tabla4[[#This Row],[Mes]],Tabla6[#Headers],0)))</f>
        <v>#N/A</v>
      </c>
      <c r="R4406" s="282" t="e">
        <f>++Tabla4[[#This Row],[Precio Unitario Neto]]-Tabla4[[#This Row],[20.85%]]-Tabla4[[#This Row],[Costo]]</f>
        <v>#N/A</v>
      </c>
      <c r="S4406" s="282" t="e">
        <f>++Tabla4[[#This Row],[U. Bruta Uni]]*Tabla4[[#This Row],[Cantidad]]</f>
        <v>#N/A</v>
      </c>
      <c r="T4406" s="369" t="str">
        <f>VLOOKUP(Tabla4[[#This Row],[Producto]],Tabla6[#All],14,FALSE)</f>
        <v>Termico Solar</v>
      </c>
      <c r="U4406" s="284" t="e">
        <f>(IF(Tabla4[[#This Row],[Familia]]="termico solar",Tabla4[[#This Row],[Utilidad Total]]*6%,Tabla4[[#This Row],[Utilidad Total]]*11.5%))/Tabla4[[#This Row],[Total]]</f>
        <v>#N/A</v>
      </c>
      <c r="V4406" s="282" t="e">
        <f>+Tabla4[[#This Row],[Comisión Calculada]]*Tabla4[[#This Row],[Total]]</f>
        <v>#N/A</v>
      </c>
    </row>
    <row r="4407" spans="1:22" hidden="1" x14ac:dyDescent="0.25">
      <c r="A4407" s="100">
        <v>45853</v>
      </c>
      <c r="B4407" t="str">
        <f t="shared" ref="B4407:B4413" si="222">TEXT(A4407, "mmmm")</f>
        <v>July</v>
      </c>
      <c r="C4407" s="46" t="s">
        <v>280</v>
      </c>
      <c r="F4407" s="366" t="s">
        <v>2367</v>
      </c>
      <c r="G4407" s="46" t="s">
        <v>83</v>
      </c>
      <c r="H4407" s="46">
        <v>1</v>
      </c>
      <c r="I4407" s="51">
        <v>8858.76</v>
      </c>
      <c r="J4407" s="281">
        <f>++Tabla4[[#This Row],[Precio Bruto]]*1.16</f>
        <v>10276.161599999999</v>
      </c>
      <c r="K4407" s="281">
        <f>+Tabla4[[#This Row],[Precio Unitario Neto]]*Tabla4[[#Headers],[20.85%]]</f>
        <v>2142.5796935999997</v>
      </c>
      <c r="L4407" s="282">
        <f>++Tabla4[[#This Row],[Precio Unitario Neto]]-Tabla4[[#This Row],[20.85%]]</f>
        <v>8133.5819063999998</v>
      </c>
      <c r="M4407" s="282" t="e">
        <f>(INDEX(Tabla6[#All],MATCH(Tabla4[[#This Row],[Producto]],Tabla6[[#All],[PRODUCTO]],0),MATCH(Tabla4[[#This Row],[Mes]],Tabla6[#Headers],0)))*(1+Catalogos!$L$2)</f>
        <v>#N/A</v>
      </c>
      <c r="N4407" s="283" t="e">
        <f>+(Tabla4[[#This Row],[Precio Descontado]]-Tabla4[[#This Row],[Precio Base]])*Tabla4[[#This Row],[Cantidad]]</f>
        <v>#N/A</v>
      </c>
      <c r="O4407" s="284" t="e">
        <f>++Tabla4[[#This Row],[Utilidad Total]]/Tabla4[[#This Row],[Total]]</f>
        <v>#N/A</v>
      </c>
      <c r="P4407" s="282">
        <f>++Tabla4[[#This Row],[Precio Descontado]]*Tabla4[[#This Row],[Cantidad]]</f>
        <v>8133.5819063999998</v>
      </c>
      <c r="Q4407" s="282" t="e">
        <f>(INDEX(Tabla6[#All],MATCH(Tabla4[[#This Row],[Producto]],Tabla6[[#All],[PRODUCTO]],0),MATCH(Tabla4[[#This Row],[Mes]],Tabla6[#Headers],0)))</f>
        <v>#N/A</v>
      </c>
      <c r="R4407" s="282" t="e">
        <f>++Tabla4[[#This Row],[Precio Unitario Neto]]-Tabla4[[#This Row],[20.85%]]-Tabla4[[#This Row],[Costo]]</f>
        <v>#N/A</v>
      </c>
      <c r="S4407" s="282" t="e">
        <f>++Tabla4[[#This Row],[U. Bruta Uni]]*Tabla4[[#This Row],[Cantidad]]</f>
        <v>#N/A</v>
      </c>
      <c r="T4407" s="369" t="str">
        <f>VLOOKUP(Tabla4[[#This Row],[Producto]],Tabla6[#All],14,FALSE)</f>
        <v>Termico Solar</v>
      </c>
      <c r="U4407" s="284" t="e">
        <f>(IF(Tabla4[[#This Row],[Familia]]="termico solar",Tabla4[[#This Row],[Utilidad Total]]*6%,Tabla4[[#This Row],[Utilidad Total]]*11.5%))/Tabla4[[#This Row],[Total]]</f>
        <v>#N/A</v>
      </c>
      <c r="V4407" s="282" t="e">
        <f>+Tabla4[[#This Row],[Comisión Calculada]]*Tabla4[[#This Row],[Total]]</f>
        <v>#N/A</v>
      </c>
    </row>
    <row r="4408" spans="1:22" hidden="1" x14ac:dyDescent="0.25">
      <c r="A4408" s="100">
        <v>45853</v>
      </c>
      <c r="B4408" t="str">
        <f t="shared" si="222"/>
        <v>July</v>
      </c>
      <c r="C4408" s="46" t="s">
        <v>280</v>
      </c>
      <c r="F4408" s="366" t="s">
        <v>2367</v>
      </c>
      <c r="G4408" s="46" t="s">
        <v>18</v>
      </c>
      <c r="H4408" s="46">
        <v>6</v>
      </c>
      <c r="I4408" s="51">
        <v>5367.6500000000005</v>
      </c>
      <c r="J4408" s="281">
        <f>++Tabla4[[#This Row],[Precio Bruto]]*1.16</f>
        <v>6226.4740000000002</v>
      </c>
      <c r="K4408" s="281">
        <f>+Tabla4[[#This Row],[Precio Unitario Neto]]*Tabla4[[#Headers],[20.85%]]</f>
        <v>1298.2198289999999</v>
      </c>
      <c r="L4408" s="282">
        <f>++Tabla4[[#This Row],[Precio Unitario Neto]]-Tabla4[[#This Row],[20.85%]]</f>
        <v>4928.2541710000005</v>
      </c>
      <c r="M4408" s="282" t="e">
        <f>(INDEX(Tabla6[#All],MATCH(Tabla4[[#This Row],[Producto]],Tabla6[[#All],[PRODUCTO]],0),MATCH(Tabla4[[#This Row],[Mes]],Tabla6[#Headers],0)))*(1+Catalogos!$L$2)</f>
        <v>#N/A</v>
      </c>
      <c r="N4408" s="283" t="e">
        <f>+(Tabla4[[#This Row],[Precio Descontado]]-Tabla4[[#This Row],[Precio Base]])*Tabla4[[#This Row],[Cantidad]]</f>
        <v>#N/A</v>
      </c>
      <c r="O4408" s="284" t="e">
        <f>++Tabla4[[#This Row],[Utilidad Total]]/Tabla4[[#This Row],[Total]]</f>
        <v>#N/A</v>
      </c>
      <c r="P4408" s="282">
        <f>++Tabla4[[#This Row],[Precio Descontado]]*Tabla4[[#This Row],[Cantidad]]</f>
        <v>29569.525026000003</v>
      </c>
      <c r="Q4408" s="282" t="e">
        <f>(INDEX(Tabla6[#All],MATCH(Tabla4[[#This Row],[Producto]],Tabla6[[#All],[PRODUCTO]],0),MATCH(Tabla4[[#This Row],[Mes]],Tabla6[#Headers],0)))</f>
        <v>#N/A</v>
      </c>
      <c r="R4408" s="282" t="e">
        <f>++Tabla4[[#This Row],[Precio Unitario Neto]]-Tabla4[[#This Row],[20.85%]]-Tabla4[[#This Row],[Costo]]</f>
        <v>#N/A</v>
      </c>
      <c r="S4408" s="282" t="e">
        <f>++Tabla4[[#This Row],[U. Bruta Uni]]*Tabla4[[#This Row],[Cantidad]]</f>
        <v>#N/A</v>
      </c>
      <c r="T4408" s="369" t="str">
        <f>VLOOKUP(Tabla4[[#This Row],[Producto]],Tabla6[#All],14,FALSE)</f>
        <v>Termico Solar</v>
      </c>
      <c r="U4408" s="284" t="e">
        <f>(IF(Tabla4[[#This Row],[Familia]]="termico solar",Tabla4[[#This Row],[Utilidad Total]]*6%,Tabla4[[#This Row],[Utilidad Total]]*11.5%))/Tabla4[[#This Row],[Total]]</f>
        <v>#N/A</v>
      </c>
      <c r="V4408" s="282" t="e">
        <f>+Tabla4[[#This Row],[Comisión Calculada]]*Tabla4[[#This Row],[Total]]</f>
        <v>#N/A</v>
      </c>
    </row>
    <row r="4409" spans="1:22" hidden="1" x14ac:dyDescent="0.25">
      <c r="A4409" s="100">
        <v>45853</v>
      </c>
      <c r="B4409" t="str">
        <f t="shared" si="222"/>
        <v>July</v>
      </c>
      <c r="C4409" s="46" t="s">
        <v>280</v>
      </c>
      <c r="F4409" s="366" t="s">
        <v>2367</v>
      </c>
      <c r="G4409" s="46" t="s">
        <v>566</v>
      </c>
      <c r="H4409" s="46">
        <v>2</v>
      </c>
      <c r="I4409" s="51">
        <v>2109.4499999999998</v>
      </c>
      <c r="J4409" s="281">
        <f>++Tabla4[[#This Row],[Precio Bruto]]*1.16</f>
        <v>2446.9619999999995</v>
      </c>
      <c r="K4409" s="281">
        <f>+Tabla4[[#This Row],[Precio Unitario Neto]]*Tabla4[[#Headers],[20.85%]]</f>
        <v>510.19157699999988</v>
      </c>
      <c r="L4409" s="282">
        <f>++Tabla4[[#This Row],[Precio Unitario Neto]]-Tabla4[[#This Row],[20.85%]]</f>
        <v>1936.7704229999997</v>
      </c>
      <c r="M4409" s="282" t="e">
        <f>(INDEX(Tabla6[#All],MATCH(Tabla4[[#This Row],[Producto]],Tabla6[[#All],[PRODUCTO]],0),MATCH(Tabla4[[#This Row],[Mes]],Tabla6[#Headers],0)))*(1+Catalogos!$L$2)</f>
        <v>#N/A</v>
      </c>
      <c r="N4409" s="283" t="e">
        <f>+(Tabla4[[#This Row],[Precio Descontado]]-Tabla4[[#This Row],[Precio Base]])*Tabla4[[#This Row],[Cantidad]]</f>
        <v>#N/A</v>
      </c>
      <c r="O4409" s="284" t="e">
        <f>++Tabla4[[#This Row],[Utilidad Total]]/Tabla4[[#This Row],[Total]]</f>
        <v>#N/A</v>
      </c>
      <c r="P4409" s="282">
        <f>++Tabla4[[#This Row],[Precio Descontado]]*Tabla4[[#This Row],[Cantidad]]</f>
        <v>3873.5408459999994</v>
      </c>
      <c r="Q4409" s="282" t="e">
        <f>(INDEX(Tabla6[#All],MATCH(Tabla4[[#This Row],[Producto]],Tabla6[[#All],[PRODUCTO]],0),MATCH(Tabla4[[#This Row],[Mes]],Tabla6[#Headers],0)))</f>
        <v>#N/A</v>
      </c>
      <c r="R4409" s="282" t="e">
        <f>++Tabla4[[#This Row],[Precio Unitario Neto]]-Tabla4[[#This Row],[20.85%]]-Tabla4[[#This Row],[Costo]]</f>
        <v>#N/A</v>
      </c>
      <c r="S4409" s="282" t="e">
        <f>++Tabla4[[#This Row],[U. Bruta Uni]]*Tabla4[[#This Row],[Cantidad]]</f>
        <v>#N/A</v>
      </c>
      <c r="T4409" s="369" t="str">
        <f>VLOOKUP(Tabla4[[#This Row],[Producto]],Tabla6[#All],14,FALSE)</f>
        <v>Termico Solar</v>
      </c>
      <c r="U4409" s="284" t="e">
        <f>(IF(Tabla4[[#This Row],[Familia]]="termico solar",Tabla4[[#This Row],[Utilidad Total]]*6%,Tabla4[[#This Row],[Utilidad Total]]*11.5%))/Tabla4[[#This Row],[Total]]</f>
        <v>#N/A</v>
      </c>
      <c r="V4409" s="282" t="e">
        <f>+Tabla4[[#This Row],[Comisión Calculada]]*Tabla4[[#This Row],[Total]]</f>
        <v>#N/A</v>
      </c>
    </row>
    <row r="4410" spans="1:22" hidden="1" x14ac:dyDescent="0.25">
      <c r="A4410" s="100">
        <v>45853</v>
      </c>
      <c r="B4410" t="str">
        <f t="shared" si="222"/>
        <v>July</v>
      </c>
      <c r="C4410" s="46" t="s">
        <v>280</v>
      </c>
      <c r="F4410" s="366" t="s">
        <v>2367</v>
      </c>
      <c r="G4410" s="46" t="s">
        <v>16</v>
      </c>
      <c r="H4410" s="46">
        <v>2</v>
      </c>
      <c r="I4410" s="51">
        <v>4103.8500000000004</v>
      </c>
      <c r="J4410" s="281">
        <f>++Tabla4[[#This Row],[Precio Bruto]]*1.16</f>
        <v>4760.4660000000003</v>
      </c>
      <c r="K4410" s="281">
        <f>+Tabla4[[#This Row],[Precio Unitario Neto]]*Tabla4[[#Headers],[20.85%]]</f>
        <v>992.55716100000006</v>
      </c>
      <c r="L4410" s="282">
        <f>++Tabla4[[#This Row],[Precio Unitario Neto]]-Tabla4[[#This Row],[20.85%]]</f>
        <v>3767.9088390000002</v>
      </c>
      <c r="M4410" s="282" t="e">
        <f>(INDEX(Tabla6[#All],MATCH(Tabla4[[#This Row],[Producto]],Tabla6[[#All],[PRODUCTO]],0),MATCH(Tabla4[[#This Row],[Mes]],Tabla6[#Headers],0)))*(1+Catalogos!$L$2)</f>
        <v>#N/A</v>
      </c>
      <c r="N4410" s="283" t="e">
        <f>+(Tabla4[[#This Row],[Precio Descontado]]-Tabla4[[#This Row],[Precio Base]])*Tabla4[[#This Row],[Cantidad]]</f>
        <v>#N/A</v>
      </c>
      <c r="O4410" s="284" t="e">
        <f>++Tabla4[[#This Row],[Utilidad Total]]/Tabla4[[#This Row],[Total]]</f>
        <v>#N/A</v>
      </c>
      <c r="P4410" s="282">
        <f>++Tabla4[[#This Row],[Precio Descontado]]*Tabla4[[#This Row],[Cantidad]]</f>
        <v>7535.8176780000003</v>
      </c>
      <c r="Q4410" s="282" t="e">
        <f>(INDEX(Tabla6[#All],MATCH(Tabla4[[#This Row],[Producto]],Tabla6[[#All],[PRODUCTO]],0),MATCH(Tabla4[[#This Row],[Mes]],Tabla6[#Headers],0)))</f>
        <v>#N/A</v>
      </c>
      <c r="R4410" s="282" t="e">
        <f>++Tabla4[[#This Row],[Precio Unitario Neto]]-Tabla4[[#This Row],[20.85%]]-Tabla4[[#This Row],[Costo]]</f>
        <v>#N/A</v>
      </c>
      <c r="S4410" s="282" t="e">
        <f>++Tabla4[[#This Row],[U. Bruta Uni]]*Tabla4[[#This Row],[Cantidad]]</f>
        <v>#N/A</v>
      </c>
      <c r="T4410" s="369" t="str">
        <f>VLOOKUP(Tabla4[[#This Row],[Producto]],Tabla6[#All],14,FALSE)</f>
        <v>Termico Solar</v>
      </c>
      <c r="U4410" s="284" t="e">
        <f>(IF(Tabla4[[#This Row],[Familia]]="termico solar",Tabla4[[#This Row],[Utilidad Total]]*6%,Tabla4[[#This Row],[Utilidad Total]]*11.5%))/Tabla4[[#This Row],[Total]]</f>
        <v>#N/A</v>
      </c>
      <c r="V4410" s="282" t="e">
        <f>+Tabla4[[#This Row],[Comisión Calculada]]*Tabla4[[#This Row],[Total]]</f>
        <v>#N/A</v>
      </c>
    </row>
    <row r="4411" spans="1:22" hidden="1" x14ac:dyDescent="0.25">
      <c r="A4411" s="100">
        <v>45853</v>
      </c>
      <c r="B4411" t="str">
        <f t="shared" si="222"/>
        <v>July</v>
      </c>
      <c r="C4411" s="46" t="s">
        <v>280</v>
      </c>
      <c r="F4411" s="366" t="s">
        <v>2367</v>
      </c>
      <c r="G4411" s="46" t="s">
        <v>200</v>
      </c>
      <c r="H4411" s="46">
        <v>12</v>
      </c>
      <c r="I4411" s="51">
        <v>393.22</v>
      </c>
      <c r="J4411" s="281">
        <f>++Tabla4[[#This Row],[Precio Bruto]]*1.16</f>
        <v>456.1352</v>
      </c>
      <c r="K4411" s="281">
        <f>+Tabla4[[#This Row],[Precio Unitario Neto]]*Tabla4[[#Headers],[20.85%]]</f>
        <v>95.104189199999993</v>
      </c>
      <c r="L4411" s="282">
        <f>++Tabla4[[#This Row],[Precio Unitario Neto]]-Tabla4[[#This Row],[20.85%]]</f>
        <v>361.03101079999999</v>
      </c>
      <c r="M4411" s="282" t="e">
        <f>(INDEX(Tabla6[#All],MATCH(Tabla4[[#This Row],[Producto]],Tabla6[[#All],[PRODUCTO]],0),MATCH(Tabla4[[#This Row],[Mes]],Tabla6[#Headers],0)))*(1+Catalogos!$L$2)</f>
        <v>#N/A</v>
      </c>
      <c r="N4411" s="283" t="e">
        <f>+(Tabla4[[#This Row],[Precio Descontado]]-Tabla4[[#This Row],[Precio Base]])*Tabla4[[#This Row],[Cantidad]]</f>
        <v>#N/A</v>
      </c>
      <c r="O4411" s="284" t="e">
        <f>++Tabla4[[#This Row],[Utilidad Total]]/Tabla4[[#This Row],[Total]]</f>
        <v>#N/A</v>
      </c>
      <c r="P4411" s="282">
        <f>++Tabla4[[#This Row],[Precio Descontado]]*Tabla4[[#This Row],[Cantidad]]</f>
        <v>4332.3721296000003</v>
      </c>
      <c r="Q4411" s="282" t="e">
        <f>(INDEX(Tabla6[#All],MATCH(Tabla4[[#This Row],[Producto]],Tabla6[[#All],[PRODUCTO]],0),MATCH(Tabla4[[#This Row],[Mes]],Tabla6[#Headers],0)))</f>
        <v>#N/A</v>
      </c>
      <c r="R4411" s="282" t="e">
        <f>++Tabla4[[#This Row],[Precio Unitario Neto]]-Tabla4[[#This Row],[20.85%]]-Tabla4[[#This Row],[Costo]]</f>
        <v>#N/A</v>
      </c>
      <c r="S4411" s="282" t="e">
        <f>++Tabla4[[#This Row],[U. Bruta Uni]]*Tabla4[[#This Row],[Cantidad]]</f>
        <v>#N/A</v>
      </c>
      <c r="T4411" s="369" t="str">
        <f>VLOOKUP(Tabla4[[#This Row],[Producto]],Tabla6[#All],14,FALSE)</f>
        <v>Termico Solar</v>
      </c>
      <c r="U4411" s="284" t="e">
        <f>(IF(Tabla4[[#This Row],[Familia]]="termico solar",Tabla4[[#This Row],[Utilidad Total]]*6%,Tabla4[[#This Row],[Utilidad Total]]*11.5%))/Tabla4[[#This Row],[Total]]</f>
        <v>#N/A</v>
      </c>
      <c r="V4411" s="282" t="e">
        <f>+Tabla4[[#This Row],[Comisión Calculada]]*Tabla4[[#This Row],[Total]]</f>
        <v>#N/A</v>
      </c>
    </row>
    <row r="4412" spans="1:22" hidden="1" x14ac:dyDescent="0.25">
      <c r="A4412" s="100">
        <v>45853</v>
      </c>
      <c r="B4412" t="str">
        <f t="shared" si="222"/>
        <v>July</v>
      </c>
      <c r="C4412" s="46" t="s">
        <v>280</v>
      </c>
      <c r="F4412" s="366" t="s">
        <v>2367</v>
      </c>
      <c r="G4412" s="46" t="s">
        <v>545</v>
      </c>
      <c r="H4412" s="46">
        <v>24</v>
      </c>
      <c r="I4412" s="51">
        <v>304.32</v>
      </c>
      <c r="J4412" s="281">
        <f>++Tabla4[[#This Row],[Precio Bruto]]*1.16</f>
        <v>353.01119999999997</v>
      </c>
      <c r="K4412" s="281">
        <f>+Tabla4[[#This Row],[Precio Unitario Neto]]*Tabla4[[#Headers],[20.85%]]</f>
        <v>73.602835199999987</v>
      </c>
      <c r="L4412" s="282">
        <f>++Tabla4[[#This Row],[Precio Unitario Neto]]-Tabla4[[#This Row],[20.85%]]</f>
        <v>279.40836479999996</v>
      </c>
      <c r="M4412" s="282" t="e">
        <f>(INDEX(Tabla6[#All],MATCH(Tabla4[[#This Row],[Producto]],Tabla6[[#All],[PRODUCTO]],0),MATCH(Tabla4[[#This Row],[Mes]],Tabla6[#Headers],0)))*(1+Catalogos!$L$2)</f>
        <v>#N/A</v>
      </c>
      <c r="N4412" s="283" t="e">
        <f>+(Tabla4[[#This Row],[Precio Descontado]]-Tabla4[[#This Row],[Precio Base]])*Tabla4[[#This Row],[Cantidad]]</f>
        <v>#N/A</v>
      </c>
      <c r="O4412" s="284" t="e">
        <f>++Tabla4[[#This Row],[Utilidad Total]]/Tabla4[[#This Row],[Total]]</f>
        <v>#N/A</v>
      </c>
      <c r="P4412" s="282">
        <f>++Tabla4[[#This Row],[Precio Descontado]]*Tabla4[[#This Row],[Cantidad]]</f>
        <v>6705.800755199999</v>
      </c>
      <c r="Q4412" s="282" t="e">
        <f>(INDEX(Tabla6[#All],MATCH(Tabla4[[#This Row],[Producto]],Tabla6[[#All],[PRODUCTO]],0),MATCH(Tabla4[[#This Row],[Mes]],Tabla6[#Headers],0)))</f>
        <v>#N/A</v>
      </c>
      <c r="R4412" s="282" t="e">
        <f>++Tabla4[[#This Row],[Precio Unitario Neto]]-Tabla4[[#This Row],[20.85%]]-Tabla4[[#This Row],[Costo]]</f>
        <v>#N/A</v>
      </c>
      <c r="S4412" s="282" t="e">
        <f>++Tabla4[[#This Row],[U. Bruta Uni]]*Tabla4[[#This Row],[Cantidad]]</f>
        <v>#N/A</v>
      </c>
      <c r="T4412" s="369" t="str">
        <f>VLOOKUP(Tabla4[[#This Row],[Producto]],Tabla6[#All],14,FALSE)</f>
        <v>Termico Solar</v>
      </c>
      <c r="U4412" s="284" t="e">
        <f>(IF(Tabla4[[#This Row],[Familia]]="termico solar",Tabla4[[#This Row],[Utilidad Total]]*6%,Tabla4[[#This Row],[Utilidad Total]]*11.5%))/Tabla4[[#This Row],[Total]]</f>
        <v>#N/A</v>
      </c>
      <c r="V4412" s="282" t="e">
        <f>+Tabla4[[#This Row],[Comisión Calculada]]*Tabla4[[#This Row],[Total]]</f>
        <v>#N/A</v>
      </c>
    </row>
    <row r="4413" spans="1:22" hidden="1" x14ac:dyDescent="0.25">
      <c r="A4413" s="100">
        <v>45853</v>
      </c>
      <c r="B4413" t="str">
        <f t="shared" si="222"/>
        <v>July</v>
      </c>
      <c r="C4413" s="46" t="s">
        <v>280</v>
      </c>
      <c r="F4413" s="366" t="s">
        <v>2367</v>
      </c>
      <c r="G4413" s="46" t="s">
        <v>209</v>
      </c>
      <c r="H4413" s="46">
        <v>2</v>
      </c>
      <c r="I4413" s="51">
        <v>347.48</v>
      </c>
      <c r="J4413" s="281">
        <f>++Tabla4[[#This Row],[Precio Bruto]]*1.16</f>
        <v>403.07679999999999</v>
      </c>
      <c r="K4413" s="281">
        <f>+Tabla4[[#This Row],[Precio Unitario Neto]]*Tabla4[[#Headers],[20.85%]]</f>
        <v>84.041512799999992</v>
      </c>
      <c r="L4413" s="282">
        <f>++Tabla4[[#This Row],[Precio Unitario Neto]]-Tabla4[[#This Row],[20.85%]]</f>
        <v>319.03528719999997</v>
      </c>
      <c r="M4413" s="282" t="e">
        <f>(INDEX(Tabla6[#All],MATCH(Tabla4[[#This Row],[Producto]],Tabla6[[#All],[PRODUCTO]],0),MATCH(Tabla4[[#This Row],[Mes]],Tabla6[#Headers],0)))*(1+Catalogos!$L$2)</f>
        <v>#N/A</v>
      </c>
      <c r="N4413" s="283" t="e">
        <f>+(Tabla4[[#This Row],[Precio Descontado]]-Tabla4[[#This Row],[Precio Base]])*Tabla4[[#This Row],[Cantidad]]</f>
        <v>#N/A</v>
      </c>
      <c r="O4413" s="284" t="e">
        <f>++Tabla4[[#This Row],[Utilidad Total]]/Tabla4[[#This Row],[Total]]</f>
        <v>#N/A</v>
      </c>
      <c r="P4413" s="282">
        <f>++Tabla4[[#This Row],[Precio Descontado]]*Tabla4[[#This Row],[Cantidad]]</f>
        <v>638.07057439999994</v>
      </c>
      <c r="Q4413" s="282" t="e">
        <f>(INDEX(Tabla6[#All],MATCH(Tabla4[[#This Row],[Producto]],Tabla6[[#All],[PRODUCTO]],0),MATCH(Tabla4[[#This Row],[Mes]],Tabla6[#Headers],0)))</f>
        <v>#N/A</v>
      </c>
      <c r="R4413" s="282" t="e">
        <f>++Tabla4[[#This Row],[Precio Unitario Neto]]-Tabla4[[#This Row],[20.85%]]-Tabla4[[#This Row],[Costo]]</f>
        <v>#N/A</v>
      </c>
      <c r="S4413" s="282" t="e">
        <f>++Tabla4[[#This Row],[U. Bruta Uni]]*Tabla4[[#This Row],[Cantidad]]</f>
        <v>#N/A</v>
      </c>
      <c r="T4413" s="369" t="str">
        <f>VLOOKUP(Tabla4[[#This Row],[Producto]],Tabla6[#All],14,FALSE)</f>
        <v>Termico Solar</v>
      </c>
      <c r="U4413" s="284" t="e">
        <f>(IF(Tabla4[[#This Row],[Familia]]="termico solar",Tabla4[[#This Row],[Utilidad Total]]*6%,Tabla4[[#This Row],[Utilidad Total]]*11.5%))/Tabla4[[#This Row],[Total]]</f>
        <v>#N/A</v>
      </c>
      <c r="V4413" s="282" t="e">
        <f>+Tabla4[[#This Row],[Comisión Calculada]]*Tabla4[[#This Row],[Total]]</f>
        <v>#N/A</v>
      </c>
    </row>
    <row r="4414" spans="1:22" hidden="1" x14ac:dyDescent="0.25">
      <c r="A4414" s="100">
        <v>45853</v>
      </c>
      <c r="B4414" t="str">
        <f t="shared" ref="B4414:B4445" si="223">TEXT(A4414, "mmmm")</f>
        <v>July</v>
      </c>
      <c r="C4414" s="46" t="s">
        <v>280</v>
      </c>
      <c r="F4414" s="366" t="s">
        <v>2368</v>
      </c>
      <c r="G4414" s="46" t="s">
        <v>82</v>
      </c>
      <c r="H4414" s="46">
        <v>1</v>
      </c>
      <c r="I4414" s="51">
        <v>7690</v>
      </c>
      <c r="J4414" s="281">
        <f>++Tabla4[[#This Row],[Precio Bruto]]*1.16</f>
        <v>8920.4</v>
      </c>
      <c r="K4414" s="281">
        <f>+Tabla4[[#This Row],[Precio Unitario Neto]]*Tabla4[[#Headers],[20.85%]]</f>
        <v>1859.9033999999999</v>
      </c>
      <c r="L4414" s="282">
        <f>++Tabla4[[#This Row],[Precio Unitario Neto]]-Tabla4[[#This Row],[20.85%]]</f>
        <v>7060.4965999999995</v>
      </c>
      <c r="M4414" s="282" t="e">
        <f>(INDEX(Tabla6[#All],MATCH(Tabla4[[#This Row],[Producto]],Tabla6[[#All],[PRODUCTO]],0),MATCH(Tabla4[[#This Row],[Mes]],Tabla6[#Headers],0)))*(1+Catalogos!$L$2)</f>
        <v>#N/A</v>
      </c>
      <c r="N4414" s="283" t="e">
        <f>+(Tabla4[[#This Row],[Precio Descontado]]-Tabla4[[#This Row],[Precio Base]])*Tabla4[[#This Row],[Cantidad]]</f>
        <v>#N/A</v>
      </c>
      <c r="O4414" s="284" t="e">
        <f>++Tabla4[[#This Row],[Utilidad Total]]/Tabla4[[#This Row],[Total]]</f>
        <v>#N/A</v>
      </c>
      <c r="P4414" s="282">
        <f>++Tabla4[[#This Row],[Precio Descontado]]*Tabla4[[#This Row],[Cantidad]]</f>
        <v>7060.4965999999995</v>
      </c>
      <c r="Q4414" s="282" t="e">
        <f>(INDEX(Tabla6[#All],MATCH(Tabla4[[#This Row],[Producto]],Tabla6[[#All],[PRODUCTO]],0),MATCH(Tabla4[[#This Row],[Mes]],Tabla6[#Headers],0)))</f>
        <v>#N/A</v>
      </c>
      <c r="R4414" s="282" t="e">
        <f>++Tabla4[[#This Row],[Precio Unitario Neto]]-Tabla4[[#This Row],[20.85%]]-Tabla4[[#This Row],[Costo]]</f>
        <v>#N/A</v>
      </c>
      <c r="S4414" s="282" t="e">
        <f>++Tabla4[[#This Row],[U. Bruta Uni]]*Tabla4[[#This Row],[Cantidad]]</f>
        <v>#N/A</v>
      </c>
      <c r="T4414" s="369" t="str">
        <f>VLOOKUP(Tabla4[[#This Row],[Producto]],Tabla6[#All],14,FALSE)</f>
        <v>Termico Solar</v>
      </c>
      <c r="U4414" s="284" t="e">
        <f>(IF(Tabla4[[#This Row],[Familia]]="termico solar",Tabla4[[#This Row],[Utilidad Total]]*6%,Tabla4[[#This Row],[Utilidad Total]]*11.5%))/Tabla4[[#This Row],[Total]]</f>
        <v>#N/A</v>
      </c>
      <c r="V4414" s="282" t="e">
        <f>+Tabla4[[#This Row],[Comisión Calculada]]*Tabla4[[#This Row],[Total]]</f>
        <v>#N/A</v>
      </c>
    </row>
    <row r="4415" spans="1:22" hidden="1" x14ac:dyDescent="0.25">
      <c r="A4415" s="100">
        <v>45853</v>
      </c>
      <c r="B4415" t="str">
        <f t="shared" si="223"/>
        <v>July</v>
      </c>
      <c r="C4415" s="46" t="s">
        <v>280</v>
      </c>
      <c r="F4415" s="366" t="s">
        <v>2369</v>
      </c>
      <c r="G4415" s="46" t="s">
        <v>566</v>
      </c>
      <c r="H4415" s="46">
        <v>1</v>
      </c>
      <c r="I4415" s="51">
        <v>2109.4499999999998</v>
      </c>
      <c r="J4415" s="281">
        <f>++Tabla4[[#This Row],[Precio Bruto]]*1.16</f>
        <v>2446.9619999999995</v>
      </c>
      <c r="K4415" s="281">
        <f>+Tabla4[[#This Row],[Precio Unitario Neto]]*Tabla4[[#Headers],[20.85%]]</f>
        <v>510.19157699999988</v>
      </c>
      <c r="L4415" s="282">
        <f>++Tabla4[[#This Row],[Precio Unitario Neto]]-Tabla4[[#This Row],[20.85%]]</f>
        <v>1936.7704229999997</v>
      </c>
      <c r="M4415" s="282" t="e">
        <f>(INDEX(Tabla6[#All],MATCH(Tabla4[[#This Row],[Producto]],Tabla6[[#All],[PRODUCTO]],0),MATCH(Tabla4[[#This Row],[Mes]],Tabla6[#Headers],0)))*(1+Catalogos!$L$2)</f>
        <v>#N/A</v>
      </c>
      <c r="N4415" s="283" t="e">
        <f>+(Tabla4[[#This Row],[Precio Descontado]]-Tabla4[[#This Row],[Precio Base]])*Tabla4[[#This Row],[Cantidad]]</f>
        <v>#N/A</v>
      </c>
      <c r="O4415" s="284" t="e">
        <f>++Tabla4[[#This Row],[Utilidad Total]]/Tabla4[[#This Row],[Total]]</f>
        <v>#N/A</v>
      </c>
      <c r="P4415" s="282">
        <f>++Tabla4[[#This Row],[Precio Descontado]]*Tabla4[[#This Row],[Cantidad]]</f>
        <v>1936.7704229999997</v>
      </c>
      <c r="Q4415" s="282" t="e">
        <f>(INDEX(Tabla6[#All],MATCH(Tabla4[[#This Row],[Producto]],Tabla6[[#All],[PRODUCTO]],0),MATCH(Tabla4[[#This Row],[Mes]],Tabla6[#Headers],0)))</f>
        <v>#N/A</v>
      </c>
      <c r="R4415" s="282" t="e">
        <f>++Tabla4[[#This Row],[Precio Unitario Neto]]-Tabla4[[#This Row],[20.85%]]-Tabla4[[#This Row],[Costo]]</f>
        <v>#N/A</v>
      </c>
      <c r="S4415" s="282" t="e">
        <f>++Tabla4[[#This Row],[U. Bruta Uni]]*Tabla4[[#This Row],[Cantidad]]</f>
        <v>#N/A</v>
      </c>
      <c r="T4415" s="369" t="str">
        <f>VLOOKUP(Tabla4[[#This Row],[Producto]],Tabla6[#All],14,FALSE)</f>
        <v>Termico Solar</v>
      </c>
      <c r="U4415" s="284" t="e">
        <f>(IF(Tabla4[[#This Row],[Familia]]="termico solar",Tabla4[[#This Row],[Utilidad Total]]*6%,Tabla4[[#This Row],[Utilidad Total]]*11.5%))/Tabla4[[#This Row],[Total]]</f>
        <v>#N/A</v>
      </c>
      <c r="V4415" s="282" t="e">
        <f>+Tabla4[[#This Row],[Comisión Calculada]]*Tabla4[[#This Row],[Total]]</f>
        <v>#N/A</v>
      </c>
    </row>
    <row r="4416" spans="1:22" hidden="1" x14ac:dyDescent="0.25">
      <c r="A4416" s="100">
        <v>45853</v>
      </c>
      <c r="B4416" t="str">
        <f t="shared" si="223"/>
        <v>July</v>
      </c>
      <c r="C4416" s="46" t="s">
        <v>280</v>
      </c>
      <c r="F4416" s="366" t="s">
        <v>2370</v>
      </c>
      <c r="G4416" s="46" t="s">
        <v>16</v>
      </c>
      <c r="H4416" s="46">
        <v>1</v>
      </c>
      <c r="I4416" s="51">
        <v>4103.8500000000004</v>
      </c>
      <c r="J4416" s="281">
        <f>++Tabla4[[#This Row],[Precio Bruto]]*1.16</f>
        <v>4760.4660000000003</v>
      </c>
      <c r="K4416" s="281">
        <f>+Tabla4[[#This Row],[Precio Unitario Neto]]*Tabla4[[#Headers],[20.85%]]</f>
        <v>992.55716100000006</v>
      </c>
      <c r="L4416" s="282">
        <f>++Tabla4[[#This Row],[Precio Unitario Neto]]-Tabla4[[#This Row],[20.85%]]</f>
        <v>3767.9088390000002</v>
      </c>
      <c r="M4416" s="282" t="e">
        <f>(INDEX(Tabla6[#All],MATCH(Tabla4[[#This Row],[Producto]],Tabla6[[#All],[PRODUCTO]],0),MATCH(Tabla4[[#This Row],[Mes]],Tabla6[#Headers],0)))*(1+Catalogos!$L$2)</f>
        <v>#N/A</v>
      </c>
      <c r="N4416" s="283" t="e">
        <f>+(Tabla4[[#This Row],[Precio Descontado]]-Tabla4[[#This Row],[Precio Base]])*Tabla4[[#This Row],[Cantidad]]</f>
        <v>#N/A</v>
      </c>
      <c r="O4416" s="284" t="e">
        <f>++Tabla4[[#This Row],[Utilidad Total]]/Tabla4[[#This Row],[Total]]</f>
        <v>#N/A</v>
      </c>
      <c r="P4416" s="282">
        <f>++Tabla4[[#This Row],[Precio Descontado]]*Tabla4[[#This Row],[Cantidad]]</f>
        <v>3767.9088390000002</v>
      </c>
      <c r="Q4416" s="282" t="e">
        <f>(INDEX(Tabla6[#All],MATCH(Tabla4[[#This Row],[Producto]],Tabla6[[#All],[PRODUCTO]],0),MATCH(Tabla4[[#This Row],[Mes]],Tabla6[#Headers],0)))</f>
        <v>#N/A</v>
      </c>
      <c r="R4416" s="282" t="e">
        <f>++Tabla4[[#This Row],[Precio Unitario Neto]]-Tabla4[[#This Row],[20.85%]]-Tabla4[[#This Row],[Costo]]</f>
        <v>#N/A</v>
      </c>
      <c r="S4416" s="282" t="e">
        <f>++Tabla4[[#This Row],[U. Bruta Uni]]*Tabla4[[#This Row],[Cantidad]]</f>
        <v>#N/A</v>
      </c>
      <c r="T4416" s="369" t="str">
        <f>VLOOKUP(Tabla4[[#This Row],[Producto]],Tabla6[#All],14,FALSE)</f>
        <v>Termico Solar</v>
      </c>
      <c r="U4416" s="284" t="e">
        <f>(IF(Tabla4[[#This Row],[Familia]]="termico solar",Tabla4[[#This Row],[Utilidad Total]]*6%,Tabla4[[#This Row],[Utilidad Total]]*11.5%))/Tabla4[[#This Row],[Total]]</f>
        <v>#N/A</v>
      </c>
      <c r="V4416" s="282" t="e">
        <f>+Tabla4[[#This Row],[Comisión Calculada]]*Tabla4[[#This Row],[Total]]</f>
        <v>#N/A</v>
      </c>
    </row>
    <row r="4417" spans="1:22" hidden="1" x14ac:dyDescent="0.25">
      <c r="A4417" s="100">
        <v>45853</v>
      </c>
      <c r="B4417" t="str">
        <f t="shared" si="223"/>
        <v>July</v>
      </c>
      <c r="C4417" s="46" t="s">
        <v>280</v>
      </c>
      <c r="F4417" s="366" t="s">
        <v>2370</v>
      </c>
      <c r="G4417" s="46" t="s">
        <v>208</v>
      </c>
      <c r="H4417" s="46">
        <v>2</v>
      </c>
      <c r="I4417" s="51">
        <v>189.75</v>
      </c>
      <c r="J4417" s="281">
        <f>++Tabla4[[#This Row],[Precio Bruto]]*1.16</f>
        <v>220.10999999999999</v>
      </c>
      <c r="K4417" s="281">
        <f>+Tabla4[[#This Row],[Precio Unitario Neto]]*Tabla4[[#Headers],[20.85%]]</f>
        <v>45.892934999999994</v>
      </c>
      <c r="L4417" s="282">
        <f>++Tabla4[[#This Row],[Precio Unitario Neto]]-Tabla4[[#This Row],[20.85%]]</f>
        <v>174.21706499999999</v>
      </c>
      <c r="M4417" s="282" t="e">
        <f>(INDEX(Tabla6[#All],MATCH(Tabla4[[#This Row],[Producto]],Tabla6[[#All],[PRODUCTO]],0),MATCH(Tabla4[[#This Row],[Mes]],Tabla6[#Headers],0)))*(1+Catalogos!$L$2)</f>
        <v>#N/A</v>
      </c>
      <c r="N4417" s="283" t="e">
        <f>+(Tabla4[[#This Row],[Precio Descontado]]-Tabla4[[#This Row],[Precio Base]])*Tabla4[[#This Row],[Cantidad]]</f>
        <v>#N/A</v>
      </c>
      <c r="O4417" s="284" t="e">
        <f>++Tabla4[[#This Row],[Utilidad Total]]/Tabla4[[#This Row],[Total]]</f>
        <v>#N/A</v>
      </c>
      <c r="P4417" s="282">
        <f>++Tabla4[[#This Row],[Precio Descontado]]*Tabla4[[#This Row],[Cantidad]]</f>
        <v>348.43412999999998</v>
      </c>
      <c r="Q4417" s="282" t="e">
        <f>(INDEX(Tabla6[#All],MATCH(Tabla4[[#This Row],[Producto]],Tabla6[[#All],[PRODUCTO]],0),MATCH(Tabla4[[#This Row],[Mes]],Tabla6[#Headers],0)))</f>
        <v>#N/A</v>
      </c>
      <c r="R4417" s="282" t="e">
        <f>++Tabla4[[#This Row],[Precio Unitario Neto]]-Tabla4[[#This Row],[20.85%]]-Tabla4[[#This Row],[Costo]]</f>
        <v>#N/A</v>
      </c>
      <c r="S4417" s="282" t="e">
        <f>++Tabla4[[#This Row],[U. Bruta Uni]]*Tabla4[[#This Row],[Cantidad]]</f>
        <v>#N/A</v>
      </c>
      <c r="T4417" s="369" t="str">
        <f>VLOOKUP(Tabla4[[#This Row],[Producto]],Tabla6[#All],14,FALSE)</f>
        <v>Termico Solar</v>
      </c>
      <c r="U4417" s="284" t="e">
        <f>(IF(Tabla4[[#This Row],[Familia]]="termico solar",Tabla4[[#This Row],[Utilidad Total]]*6%,Tabla4[[#This Row],[Utilidad Total]]*11.5%))/Tabla4[[#This Row],[Total]]</f>
        <v>#N/A</v>
      </c>
      <c r="V4417" s="282" t="e">
        <f>+Tabla4[[#This Row],[Comisión Calculada]]*Tabla4[[#This Row],[Total]]</f>
        <v>#N/A</v>
      </c>
    </row>
    <row r="4418" spans="1:22" hidden="1" x14ac:dyDescent="0.25">
      <c r="A4418" s="100">
        <v>45853</v>
      </c>
      <c r="B4418" t="str">
        <f t="shared" si="223"/>
        <v>July</v>
      </c>
      <c r="C4418" s="46" t="s">
        <v>280</v>
      </c>
      <c r="F4418" s="366" t="s">
        <v>2371</v>
      </c>
      <c r="G4418" s="46" t="s">
        <v>566</v>
      </c>
      <c r="H4418" s="46">
        <v>1</v>
      </c>
      <c r="I4418" s="51">
        <v>2109.4499999999998</v>
      </c>
      <c r="J4418" s="281">
        <f>++Tabla4[[#This Row],[Precio Bruto]]*1.16</f>
        <v>2446.9619999999995</v>
      </c>
      <c r="K4418" s="281">
        <f>+Tabla4[[#This Row],[Precio Unitario Neto]]*Tabla4[[#Headers],[20.85%]]</f>
        <v>510.19157699999988</v>
      </c>
      <c r="L4418" s="282">
        <f>++Tabla4[[#This Row],[Precio Unitario Neto]]-Tabla4[[#This Row],[20.85%]]</f>
        <v>1936.7704229999997</v>
      </c>
      <c r="M4418" s="282" t="e">
        <f>(INDEX(Tabla6[#All],MATCH(Tabla4[[#This Row],[Producto]],Tabla6[[#All],[PRODUCTO]],0),MATCH(Tabla4[[#This Row],[Mes]],Tabla6[#Headers],0)))*(1+Catalogos!$L$2)</f>
        <v>#N/A</v>
      </c>
      <c r="N4418" s="283" t="e">
        <f>+(Tabla4[[#This Row],[Precio Descontado]]-Tabla4[[#This Row],[Precio Base]])*Tabla4[[#This Row],[Cantidad]]</f>
        <v>#N/A</v>
      </c>
      <c r="O4418" s="284" t="e">
        <f>++Tabla4[[#This Row],[Utilidad Total]]/Tabla4[[#This Row],[Total]]</f>
        <v>#N/A</v>
      </c>
      <c r="P4418" s="282">
        <f>++Tabla4[[#This Row],[Precio Descontado]]*Tabla4[[#This Row],[Cantidad]]</f>
        <v>1936.7704229999997</v>
      </c>
      <c r="Q4418" s="282" t="e">
        <f>(INDEX(Tabla6[#All],MATCH(Tabla4[[#This Row],[Producto]],Tabla6[[#All],[PRODUCTO]],0),MATCH(Tabla4[[#This Row],[Mes]],Tabla6[#Headers],0)))</f>
        <v>#N/A</v>
      </c>
      <c r="R4418" s="282" t="e">
        <f>++Tabla4[[#This Row],[Precio Unitario Neto]]-Tabla4[[#This Row],[20.85%]]-Tabla4[[#This Row],[Costo]]</f>
        <v>#N/A</v>
      </c>
      <c r="S4418" s="282" t="e">
        <f>++Tabla4[[#This Row],[U. Bruta Uni]]*Tabla4[[#This Row],[Cantidad]]</f>
        <v>#N/A</v>
      </c>
      <c r="T4418" s="369" t="str">
        <f>VLOOKUP(Tabla4[[#This Row],[Producto]],Tabla6[#All],14,FALSE)</f>
        <v>Termico Solar</v>
      </c>
      <c r="U4418" s="284" t="e">
        <f>(IF(Tabla4[[#This Row],[Familia]]="termico solar",Tabla4[[#This Row],[Utilidad Total]]*6%,Tabla4[[#This Row],[Utilidad Total]]*11.5%))/Tabla4[[#This Row],[Total]]</f>
        <v>#N/A</v>
      </c>
      <c r="V4418" s="282" t="e">
        <f>+Tabla4[[#This Row],[Comisión Calculada]]*Tabla4[[#This Row],[Total]]</f>
        <v>#N/A</v>
      </c>
    </row>
    <row r="4419" spans="1:22" hidden="1" x14ac:dyDescent="0.25">
      <c r="A4419" s="100">
        <v>45853</v>
      </c>
      <c r="B4419" t="str">
        <f t="shared" si="223"/>
        <v>July</v>
      </c>
      <c r="C4419" s="46" t="s">
        <v>280</v>
      </c>
      <c r="F4419" s="366" t="s">
        <v>2372</v>
      </c>
      <c r="G4419" s="46" t="s">
        <v>17</v>
      </c>
      <c r="H4419" s="46">
        <v>1</v>
      </c>
      <c r="I4419" s="51">
        <v>4622.28</v>
      </c>
      <c r="J4419" s="281">
        <f>++Tabla4[[#This Row],[Precio Bruto]]*1.16</f>
        <v>5361.8447999999989</v>
      </c>
      <c r="K4419" s="281">
        <f>+Tabla4[[#This Row],[Precio Unitario Neto]]*Tabla4[[#Headers],[20.85%]]</f>
        <v>1117.9446407999997</v>
      </c>
      <c r="L4419" s="282">
        <f>++Tabla4[[#This Row],[Precio Unitario Neto]]-Tabla4[[#This Row],[20.85%]]</f>
        <v>4243.9001591999995</v>
      </c>
      <c r="M4419" s="282" t="e">
        <f>(INDEX(Tabla6[#All],MATCH(Tabla4[[#This Row],[Producto]],Tabla6[[#All],[PRODUCTO]],0),MATCH(Tabla4[[#This Row],[Mes]],Tabla6[#Headers],0)))*(1+Catalogos!$L$2)</f>
        <v>#N/A</v>
      </c>
      <c r="N4419" s="283" t="e">
        <f>+(Tabla4[[#This Row],[Precio Descontado]]-Tabla4[[#This Row],[Precio Base]])*Tabla4[[#This Row],[Cantidad]]</f>
        <v>#N/A</v>
      </c>
      <c r="O4419" s="284" t="e">
        <f>++Tabla4[[#This Row],[Utilidad Total]]/Tabla4[[#This Row],[Total]]</f>
        <v>#N/A</v>
      </c>
      <c r="P4419" s="282">
        <f>++Tabla4[[#This Row],[Precio Descontado]]*Tabla4[[#This Row],[Cantidad]]</f>
        <v>4243.9001591999995</v>
      </c>
      <c r="Q4419" s="282" t="e">
        <f>(INDEX(Tabla6[#All],MATCH(Tabla4[[#This Row],[Producto]],Tabla6[[#All],[PRODUCTO]],0),MATCH(Tabla4[[#This Row],[Mes]],Tabla6[#Headers],0)))</f>
        <v>#N/A</v>
      </c>
      <c r="R4419" s="282" t="e">
        <f>++Tabla4[[#This Row],[Precio Unitario Neto]]-Tabla4[[#This Row],[20.85%]]-Tabla4[[#This Row],[Costo]]</f>
        <v>#N/A</v>
      </c>
      <c r="S4419" s="282" t="e">
        <f>++Tabla4[[#This Row],[U. Bruta Uni]]*Tabla4[[#This Row],[Cantidad]]</f>
        <v>#N/A</v>
      </c>
      <c r="T4419" s="369" t="str">
        <f>VLOOKUP(Tabla4[[#This Row],[Producto]],Tabla6[#All],14,FALSE)</f>
        <v>Termico Solar</v>
      </c>
      <c r="U4419" s="284" t="e">
        <f>(IF(Tabla4[[#This Row],[Familia]]="termico solar",Tabla4[[#This Row],[Utilidad Total]]*6%,Tabla4[[#This Row],[Utilidad Total]]*11.5%))/Tabla4[[#This Row],[Total]]</f>
        <v>#N/A</v>
      </c>
      <c r="V4419" s="282" t="e">
        <f>+Tabla4[[#This Row],[Comisión Calculada]]*Tabla4[[#This Row],[Total]]</f>
        <v>#N/A</v>
      </c>
    </row>
    <row r="4420" spans="1:22" hidden="1" x14ac:dyDescent="0.25">
      <c r="A4420" s="100">
        <v>45853</v>
      </c>
      <c r="B4420" t="str">
        <f t="shared" si="223"/>
        <v>July</v>
      </c>
      <c r="C4420" s="46" t="s">
        <v>280</v>
      </c>
      <c r="F4420" s="366" t="s">
        <v>2372</v>
      </c>
      <c r="G4420" s="46" t="s">
        <v>208</v>
      </c>
      <c r="H4420" s="46">
        <v>3</v>
      </c>
      <c r="I4420" s="51">
        <v>189.75</v>
      </c>
      <c r="J4420" s="281">
        <f>++Tabla4[[#This Row],[Precio Bruto]]*1.16</f>
        <v>220.10999999999999</v>
      </c>
      <c r="K4420" s="281">
        <f>+Tabla4[[#This Row],[Precio Unitario Neto]]*Tabla4[[#Headers],[20.85%]]</f>
        <v>45.892934999999994</v>
      </c>
      <c r="L4420" s="282">
        <f>++Tabla4[[#This Row],[Precio Unitario Neto]]-Tabla4[[#This Row],[20.85%]]</f>
        <v>174.21706499999999</v>
      </c>
      <c r="M4420" s="282" t="e">
        <f>(INDEX(Tabla6[#All],MATCH(Tabla4[[#This Row],[Producto]],Tabla6[[#All],[PRODUCTO]],0),MATCH(Tabla4[[#This Row],[Mes]],Tabla6[#Headers],0)))*(1+Catalogos!$L$2)</f>
        <v>#N/A</v>
      </c>
      <c r="N4420" s="283" t="e">
        <f>+(Tabla4[[#This Row],[Precio Descontado]]-Tabla4[[#This Row],[Precio Base]])*Tabla4[[#This Row],[Cantidad]]</f>
        <v>#N/A</v>
      </c>
      <c r="O4420" s="284" t="e">
        <f>++Tabla4[[#This Row],[Utilidad Total]]/Tabla4[[#This Row],[Total]]</f>
        <v>#N/A</v>
      </c>
      <c r="P4420" s="282">
        <f>++Tabla4[[#This Row],[Precio Descontado]]*Tabla4[[#This Row],[Cantidad]]</f>
        <v>522.65119499999992</v>
      </c>
      <c r="Q4420" s="282" t="e">
        <f>(INDEX(Tabla6[#All],MATCH(Tabla4[[#This Row],[Producto]],Tabla6[[#All],[PRODUCTO]],0),MATCH(Tabla4[[#This Row],[Mes]],Tabla6[#Headers],0)))</f>
        <v>#N/A</v>
      </c>
      <c r="R4420" s="282" t="e">
        <f>++Tabla4[[#This Row],[Precio Unitario Neto]]-Tabla4[[#This Row],[20.85%]]-Tabla4[[#This Row],[Costo]]</f>
        <v>#N/A</v>
      </c>
      <c r="S4420" s="282" t="e">
        <f>++Tabla4[[#This Row],[U. Bruta Uni]]*Tabla4[[#This Row],[Cantidad]]</f>
        <v>#N/A</v>
      </c>
      <c r="T4420" s="369" t="str">
        <f>VLOOKUP(Tabla4[[#This Row],[Producto]],Tabla6[#All],14,FALSE)</f>
        <v>Termico Solar</v>
      </c>
      <c r="U4420" s="284" t="e">
        <f>(IF(Tabla4[[#This Row],[Familia]]="termico solar",Tabla4[[#This Row],[Utilidad Total]]*6%,Tabla4[[#This Row],[Utilidad Total]]*11.5%))/Tabla4[[#This Row],[Total]]</f>
        <v>#N/A</v>
      </c>
      <c r="V4420" s="282" t="e">
        <f>+Tabla4[[#This Row],[Comisión Calculada]]*Tabla4[[#This Row],[Total]]</f>
        <v>#N/A</v>
      </c>
    </row>
    <row r="4421" spans="1:22" hidden="1" x14ac:dyDescent="0.25">
      <c r="A4421" s="100">
        <v>45853</v>
      </c>
      <c r="B4421" t="str">
        <f t="shared" si="223"/>
        <v>July</v>
      </c>
      <c r="C4421" s="46" t="s">
        <v>280</v>
      </c>
      <c r="F4421" s="366" t="s">
        <v>2373</v>
      </c>
      <c r="G4421" s="46" t="s">
        <v>566</v>
      </c>
      <c r="H4421" s="46">
        <v>1</v>
      </c>
      <c r="I4421" s="51">
        <v>2109.4499999999998</v>
      </c>
      <c r="J4421" s="281">
        <f>++Tabla4[[#This Row],[Precio Bruto]]*1.16</f>
        <v>2446.9619999999995</v>
      </c>
      <c r="K4421" s="281">
        <f>+Tabla4[[#This Row],[Precio Unitario Neto]]*Tabla4[[#Headers],[20.85%]]</f>
        <v>510.19157699999988</v>
      </c>
      <c r="L4421" s="282">
        <f>++Tabla4[[#This Row],[Precio Unitario Neto]]-Tabla4[[#This Row],[20.85%]]</f>
        <v>1936.7704229999997</v>
      </c>
      <c r="M4421" s="282" t="e">
        <f>(INDEX(Tabla6[#All],MATCH(Tabla4[[#This Row],[Producto]],Tabla6[[#All],[PRODUCTO]],0),MATCH(Tabla4[[#This Row],[Mes]],Tabla6[#Headers],0)))*(1+Catalogos!$L$2)</f>
        <v>#N/A</v>
      </c>
      <c r="N4421" s="283" t="e">
        <f>+(Tabla4[[#This Row],[Precio Descontado]]-Tabla4[[#This Row],[Precio Base]])*Tabla4[[#This Row],[Cantidad]]</f>
        <v>#N/A</v>
      </c>
      <c r="O4421" s="284" t="e">
        <f>++Tabla4[[#This Row],[Utilidad Total]]/Tabla4[[#This Row],[Total]]</f>
        <v>#N/A</v>
      </c>
      <c r="P4421" s="282">
        <f>++Tabla4[[#This Row],[Precio Descontado]]*Tabla4[[#This Row],[Cantidad]]</f>
        <v>1936.7704229999997</v>
      </c>
      <c r="Q4421" s="282" t="e">
        <f>(INDEX(Tabla6[#All],MATCH(Tabla4[[#This Row],[Producto]],Tabla6[[#All],[PRODUCTO]],0),MATCH(Tabla4[[#This Row],[Mes]],Tabla6[#Headers],0)))</f>
        <v>#N/A</v>
      </c>
      <c r="R4421" s="282" t="e">
        <f>++Tabla4[[#This Row],[Precio Unitario Neto]]-Tabla4[[#This Row],[20.85%]]-Tabla4[[#This Row],[Costo]]</f>
        <v>#N/A</v>
      </c>
      <c r="S4421" s="282" t="e">
        <f>++Tabla4[[#This Row],[U. Bruta Uni]]*Tabla4[[#This Row],[Cantidad]]</f>
        <v>#N/A</v>
      </c>
      <c r="T4421" s="369" t="str">
        <f>VLOOKUP(Tabla4[[#This Row],[Producto]],Tabla6[#All],14,FALSE)</f>
        <v>Termico Solar</v>
      </c>
      <c r="U4421" s="284" t="e">
        <f>(IF(Tabla4[[#This Row],[Familia]]="termico solar",Tabla4[[#This Row],[Utilidad Total]]*6%,Tabla4[[#This Row],[Utilidad Total]]*11.5%))/Tabla4[[#This Row],[Total]]</f>
        <v>#N/A</v>
      </c>
      <c r="V4421" s="282" t="e">
        <f>+Tabla4[[#This Row],[Comisión Calculada]]*Tabla4[[#This Row],[Total]]</f>
        <v>#N/A</v>
      </c>
    </row>
    <row r="4422" spans="1:22" hidden="1" x14ac:dyDescent="0.25">
      <c r="A4422" s="100">
        <v>45853</v>
      </c>
      <c r="B4422" t="str">
        <f t="shared" si="223"/>
        <v>July</v>
      </c>
      <c r="C4422" s="46" t="s">
        <v>280</v>
      </c>
      <c r="F4422" s="366" t="s">
        <v>2373</v>
      </c>
      <c r="G4422" s="46" t="s">
        <v>208</v>
      </c>
      <c r="H4422" s="46">
        <v>2</v>
      </c>
      <c r="I4422" s="51">
        <v>189.75</v>
      </c>
      <c r="J4422" s="281">
        <f>++Tabla4[[#This Row],[Precio Bruto]]*1.16</f>
        <v>220.10999999999999</v>
      </c>
      <c r="K4422" s="281">
        <f>+Tabla4[[#This Row],[Precio Unitario Neto]]*Tabla4[[#Headers],[20.85%]]</f>
        <v>45.892934999999994</v>
      </c>
      <c r="L4422" s="282">
        <f>++Tabla4[[#This Row],[Precio Unitario Neto]]-Tabla4[[#This Row],[20.85%]]</f>
        <v>174.21706499999999</v>
      </c>
      <c r="M4422" s="282" t="e">
        <f>(INDEX(Tabla6[#All],MATCH(Tabla4[[#This Row],[Producto]],Tabla6[[#All],[PRODUCTO]],0),MATCH(Tabla4[[#This Row],[Mes]],Tabla6[#Headers],0)))*(1+Catalogos!$L$2)</f>
        <v>#N/A</v>
      </c>
      <c r="N4422" s="283" t="e">
        <f>+(Tabla4[[#This Row],[Precio Descontado]]-Tabla4[[#This Row],[Precio Base]])*Tabla4[[#This Row],[Cantidad]]</f>
        <v>#N/A</v>
      </c>
      <c r="O4422" s="284" t="e">
        <f>++Tabla4[[#This Row],[Utilidad Total]]/Tabla4[[#This Row],[Total]]</f>
        <v>#N/A</v>
      </c>
      <c r="P4422" s="282">
        <f>++Tabla4[[#This Row],[Precio Descontado]]*Tabla4[[#This Row],[Cantidad]]</f>
        <v>348.43412999999998</v>
      </c>
      <c r="Q4422" s="282" t="e">
        <f>(INDEX(Tabla6[#All],MATCH(Tabla4[[#This Row],[Producto]],Tabla6[[#All],[PRODUCTO]],0),MATCH(Tabla4[[#This Row],[Mes]],Tabla6[#Headers],0)))</f>
        <v>#N/A</v>
      </c>
      <c r="R4422" s="282" t="e">
        <f>++Tabla4[[#This Row],[Precio Unitario Neto]]-Tabla4[[#This Row],[20.85%]]-Tabla4[[#This Row],[Costo]]</f>
        <v>#N/A</v>
      </c>
      <c r="S4422" s="282" t="e">
        <f>++Tabla4[[#This Row],[U. Bruta Uni]]*Tabla4[[#This Row],[Cantidad]]</f>
        <v>#N/A</v>
      </c>
      <c r="T4422" s="369" t="str">
        <f>VLOOKUP(Tabla4[[#This Row],[Producto]],Tabla6[#All],14,FALSE)</f>
        <v>Termico Solar</v>
      </c>
      <c r="U4422" s="284" t="e">
        <f>(IF(Tabla4[[#This Row],[Familia]]="termico solar",Tabla4[[#This Row],[Utilidad Total]]*6%,Tabla4[[#This Row],[Utilidad Total]]*11.5%))/Tabla4[[#This Row],[Total]]</f>
        <v>#N/A</v>
      </c>
      <c r="V4422" s="282" t="e">
        <f>+Tabla4[[#This Row],[Comisión Calculada]]*Tabla4[[#This Row],[Total]]</f>
        <v>#N/A</v>
      </c>
    </row>
    <row r="4423" spans="1:22" hidden="1" x14ac:dyDescent="0.25">
      <c r="A4423" s="100">
        <v>45853</v>
      </c>
      <c r="B4423" t="str">
        <f t="shared" si="223"/>
        <v>July</v>
      </c>
      <c r="C4423" s="46" t="s">
        <v>280</v>
      </c>
      <c r="F4423" s="366" t="s">
        <v>2374</v>
      </c>
      <c r="G4423" s="46" t="s">
        <v>208</v>
      </c>
      <c r="H4423" s="46">
        <v>3</v>
      </c>
      <c r="I4423" s="51">
        <v>189.75</v>
      </c>
      <c r="J4423" s="281">
        <f>++Tabla4[[#This Row],[Precio Bruto]]*1.16</f>
        <v>220.10999999999999</v>
      </c>
      <c r="K4423" s="281">
        <f>+Tabla4[[#This Row],[Precio Unitario Neto]]*Tabla4[[#Headers],[20.85%]]</f>
        <v>45.892934999999994</v>
      </c>
      <c r="L4423" s="282">
        <f>++Tabla4[[#This Row],[Precio Unitario Neto]]-Tabla4[[#This Row],[20.85%]]</f>
        <v>174.21706499999999</v>
      </c>
      <c r="M4423" s="282" t="e">
        <f>(INDEX(Tabla6[#All],MATCH(Tabla4[[#This Row],[Producto]],Tabla6[[#All],[PRODUCTO]],0),MATCH(Tabla4[[#This Row],[Mes]],Tabla6[#Headers],0)))*(1+Catalogos!$L$2)</f>
        <v>#N/A</v>
      </c>
      <c r="N4423" s="283" t="e">
        <f>+(Tabla4[[#This Row],[Precio Descontado]]-Tabla4[[#This Row],[Precio Base]])*Tabla4[[#This Row],[Cantidad]]</f>
        <v>#N/A</v>
      </c>
      <c r="O4423" s="284" t="e">
        <f>++Tabla4[[#This Row],[Utilidad Total]]/Tabla4[[#This Row],[Total]]</f>
        <v>#N/A</v>
      </c>
      <c r="P4423" s="282">
        <f>++Tabla4[[#This Row],[Precio Descontado]]*Tabla4[[#This Row],[Cantidad]]</f>
        <v>522.65119499999992</v>
      </c>
      <c r="Q4423" s="282" t="e">
        <f>(INDEX(Tabla6[#All],MATCH(Tabla4[[#This Row],[Producto]],Tabla6[[#All],[PRODUCTO]],0),MATCH(Tabla4[[#This Row],[Mes]],Tabla6[#Headers],0)))</f>
        <v>#N/A</v>
      </c>
      <c r="R4423" s="282" t="e">
        <f>++Tabla4[[#This Row],[Precio Unitario Neto]]-Tabla4[[#This Row],[20.85%]]-Tabla4[[#This Row],[Costo]]</f>
        <v>#N/A</v>
      </c>
      <c r="S4423" s="282" t="e">
        <f>++Tabla4[[#This Row],[U. Bruta Uni]]*Tabla4[[#This Row],[Cantidad]]</f>
        <v>#N/A</v>
      </c>
      <c r="T4423" s="369" t="str">
        <f>VLOOKUP(Tabla4[[#This Row],[Producto]],Tabla6[#All],14,FALSE)</f>
        <v>Termico Solar</v>
      </c>
      <c r="U4423" s="284" t="e">
        <f>(IF(Tabla4[[#This Row],[Familia]]="termico solar",Tabla4[[#This Row],[Utilidad Total]]*6%,Tabla4[[#This Row],[Utilidad Total]]*11.5%))/Tabla4[[#This Row],[Total]]</f>
        <v>#N/A</v>
      </c>
      <c r="V4423" s="282" t="e">
        <f>+Tabla4[[#This Row],[Comisión Calculada]]*Tabla4[[#This Row],[Total]]</f>
        <v>#N/A</v>
      </c>
    </row>
    <row r="4424" spans="1:22" hidden="1" x14ac:dyDescent="0.25">
      <c r="A4424" s="100">
        <v>45853</v>
      </c>
      <c r="B4424" t="str">
        <f t="shared" si="223"/>
        <v>July</v>
      </c>
      <c r="C4424" s="46" t="s">
        <v>280</v>
      </c>
      <c r="F4424" s="366" t="s">
        <v>2375</v>
      </c>
      <c r="G4424" s="46" t="s">
        <v>566</v>
      </c>
      <c r="H4424" s="46">
        <v>1</v>
      </c>
      <c r="I4424" s="51">
        <v>2109.4499999999998</v>
      </c>
      <c r="J4424" s="281">
        <f>++Tabla4[[#This Row],[Precio Bruto]]*1.16</f>
        <v>2446.9619999999995</v>
      </c>
      <c r="K4424" s="281">
        <f>+Tabla4[[#This Row],[Precio Unitario Neto]]*Tabla4[[#Headers],[20.85%]]</f>
        <v>510.19157699999988</v>
      </c>
      <c r="L4424" s="282">
        <f>++Tabla4[[#This Row],[Precio Unitario Neto]]-Tabla4[[#This Row],[20.85%]]</f>
        <v>1936.7704229999997</v>
      </c>
      <c r="M4424" s="282" t="e">
        <f>(INDEX(Tabla6[#All],MATCH(Tabla4[[#This Row],[Producto]],Tabla6[[#All],[PRODUCTO]],0),MATCH(Tabla4[[#This Row],[Mes]],Tabla6[#Headers],0)))*(1+Catalogos!$L$2)</f>
        <v>#N/A</v>
      </c>
      <c r="N4424" s="283" t="e">
        <f>+(Tabla4[[#This Row],[Precio Descontado]]-Tabla4[[#This Row],[Precio Base]])*Tabla4[[#This Row],[Cantidad]]</f>
        <v>#N/A</v>
      </c>
      <c r="O4424" s="284" t="e">
        <f>++Tabla4[[#This Row],[Utilidad Total]]/Tabla4[[#This Row],[Total]]</f>
        <v>#N/A</v>
      </c>
      <c r="P4424" s="282">
        <f>++Tabla4[[#This Row],[Precio Descontado]]*Tabla4[[#This Row],[Cantidad]]</f>
        <v>1936.7704229999997</v>
      </c>
      <c r="Q4424" s="282" t="e">
        <f>(INDEX(Tabla6[#All],MATCH(Tabla4[[#This Row],[Producto]],Tabla6[[#All],[PRODUCTO]],0),MATCH(Tabla4[[#This Row],[Mes]],Tabla6[#Headers],0)))</f>
        <v>#N/A</v>
      </c>
      <c r="R4424" s="282" t="e">
        <f>++Tabla4[[#This Row],[Precio Unitario Neto]]-Tabla4[[#This Row],[20.85%]]-Tabla4[[#This Row],[Costo]]</f>
        <v>#N/A</v>
      </c>
      <c r="S4424" s="282" t="e">
        <f>++Tabla4[[#This Row],[U. Bruta Uni]]*Tabla4[[#This Row],[Cantidad]]</f>
        <v>#N/A</v>
      </c>
      <c r="T4424" s="369" t="str">
        <f>VLOOKUP(Tabla4[[#This Row],[Producto]],Tabla6[#All],14,FALSE)</f>
        <v>Termico Solar</v>
      </c>
      <c r="U4424" s="284" t="e">
        <f>(IF(Tabla4[[#This Row],[Familia]]="termico solar",Tabla4[[#This Row],[Utilidad Total]]*6%,Tabla4[[#This Row],[Utilidad Total]]*11.5%))/Tabla4[[#This Row],[Total]]</f>
        <v>#N/A</v>
      </c>
      <c r="V4424" s="282" t="e">
        <f>+Tabla4[[#This Row],[Comisión Calculada]]*Tabla4[[#This Row],[Total]]</f>
        <v>#N/A</v>
      </c>
    </row>
    <row r="4425" spans="1:22" hidden="1" x14ac:dyDescent="0.25">
      <c r="A4425" s="100">
        <v>45853</v>
      </c>
      <c r="B4425" t="str">
        <f t="shared" si="223"/>
        <v>July</v>
      </c>
      <c r="C4425" s="46" t="s">
        <v>280</v>
      </c>
      <c r="F4425" s="366" t="s">
        <v>2375</v>
      </c>
      <c r="G4425" s="46" t="s">
        <v>16</v>
      </c>
      <c r="H4425" s="46">
        <v>2</v>
      </c>
      <c r="I4425" s="51">
        <v>4103.8500000000004</v>
      </c>
      <c r="J4425" s="281">
        <f>++Tabla4[[#This Row],[Precio Bruto]]*1.16</f>
        <v>4760.4660000000003</v>
      </c>
      <c r="K4425" s="281">
        <f>+Tabla4[[#This Row],[Precio Unitario Neto]]*Tabla4[[#Headers],[20.85%]]</f>
        <v>992.55716100000006</v>
      </c>
      <c r="L4425" s="282">
        <f>++Tabla4[[#This Row],[Precio Unitario Neto]]-Tabla4[[#This Row],[20.85%]]</f>
        <v>3767.9088390000002</v>
      </c>
      <c r="M4425" s="282" t="e">
        <f>(INDEX(Tabla6[#All],MATCH(Tabla4[[#This Row],[Producto]],Tabla6[[#All],[PRODUCTO]],0),MATCH(Tabla4[[#This Row],[Mes]],Tabla6[#Headers],0)))*(1+Catalogos!$L$2)</f>
        <v>#N/A</v>
      </c>
      <c r="N4425" s="283" t="e">
        <f>+(Tabla4[[#This Row],[Precio Descontado]]-Tabla4[[#This Row],[Precio Base]])*Tabla4[[#This Row],[Cantidad]]</f>
        <v>#N/A</v>
      </c>
      <c r="O4425" s="284" t="e">
        <f>++Tabla4[[#This Row],[Utilidad Total]]/Tabla4[[#This Row],[Total]]</f>
        <v>#N/A</v>
      </c>
      <c r="P4425" s="282">
        <f>++Tabla4[[#This Row],[Precio Descontado]]*Tabla4[[#This Row],[Cantidad]]</f>
        <v>7535.8176780000003</v>
      </c>
      <c r="Q4425" s="282" t="e">
        <f>(INDEX(Tabla6[#All],MATCH(Tabla4[[#This Row],[Producto]],Tabla6[[#All],[PRODUCTO]],0),MATCH(Tabla4[[#This Row],[Mes]],Tabla6[#Headers],0)))</f>
        <v>#N/A</v>
      </c>
      <c r="R4425" s="282" t="e">
        <f>++Tabla4[[#This Row],[Precio Unitario Neto]]-Tabla4[[#This Row],[20.85%]]-Tabla4[[#This Row],[Costo]]</f>
        <v>#N/A</v>
      </c>
      <c r="S4425" s="282" t="e">
        <f>++Tabla4[[#This Row],[U. Bruta Uni]]*Tabla4[[#This Row],[Cantidad]]</f>
        <v>#N/A</v>
      </c>
      <c r="T4425" s="369" t="str">
        <f>VLOOKUP(Tabla4[[#This Row],[Producto]],Tabla6[#All],14,FALSE)</f>
        <v>Termico Solar</v>
      </c>
      <c r="U4425" s="284" t="e">
        <f>(IF(Tabla4[[#This Row],[Familia]]="termico solar",Tabla4[[#This Row],[Utilidad Total]]*6%,Tabla4[[#This Row],[Utilidad Total]]*11.5%))/Tabla4[[#This Row],[Total]]</f>
        <v>#N/A</v>
      </c>
      <c r="V4425" s="282" t="e">
        <f>+Tabla4[[#This Row],[Comisión Calculada]]*Tabla4[[#This Row],[Total]]</f>
        <v>#N/A</v>
      </c>
    </row>
    <row r="4426" spans="1:22" hidden="1" x14ac:dyDescent="0.25">
      <c r="A4426" s="100">
        <v>45853</v>
      </c>
      <c r="B4426" t="str">
        <f t="shared" si="223"/>
        <v>July</v>
      </c>
      <c r="C4426" s="46" t="s">
        <v>280</v>
      </c>
      <c r="F4426" s="366" t="s">
        <v>2376</v>
      </c>
      <c r="G4426" s="46" t="s">
        <v>83</v>
      </c>
      <c r="H4426" s="46">
        <v>3</v>
      </c>
      <c r="I4426" s="51">
        <v>8858.76</v>
      </c>
      <c r="J4426" s="281">
        <f>++Tabla4[[#This Row],[Precio Bruto]]*1.16</f>
        <v>10276.161599999999</v>
      </c>
      <c r="K4426" s="281">
        <f>+Tabla4[[#This Row],[Precio Unitario Neto]]*Tabla4[[#Headers],[20.85%]]</f>
        <v>2142.5796935999997</v>
      </c>
      <c r="L4426" s="282">
        <f>++Tabla4[[#This Row],[Precio Unitario Neto]]-Tabla4[[#This Row],[20.85%]]</f>
        <v>8133.5819063999998</v>
      </c>
      <c r="M4426" s="282" t="e">
        <f>(INDEX(Tabla6[#All],MATCH(Tabla4[[#This Row],[Producto]],Tabla6[[#All],[PRODUCTO]],0),MATCH(Tabla4[[#This Row],[Mes]],Tabla6[#Headers],0)))*(1+Catalogos!$L$2)</f>
        <v>#N/A</v>
      </c>
      <c r="N4426" s="283" t="e">
        <f>+(Tabla4[[#This Row],[Precio Descontado]]-Tabla4[[#This Row],[Precio Base]])*Tabla4[[#This Row],[Cantidad]]</f>
        <v>#N/A</v>
      </c>
      <c r="O4426" s="284" t="e">
        <f>++Tabla4[[#This Row],[Utilidad Total]]/Tabla4[[#This Row],[Total]]</f>
        <v>#N/A</v>
      </c>
      <c r="P4426" s="282">
        <f>++Tabla4[[#This Row],[Precio Descontado]]*Tabla4[[#This Row],[Cantidad]]</f>
        <v>24400.7457192</v>
      </c>
      <c r="Q4426" s="282" t="e">
        <f>(INDEX(Tabla6[#All],MATCH(Tabla4[[#This Row],[Producto]],Tabla6[[#All],[PRODUCTO]],0),MATCH(Tabla4[[#This Row],[Mes]],Tabla6[#Headers],0)))</f>
        <v>#N/A</v>
      </c>
      <c r="R4426" s="282" t="e">
        <f>++Tabla4[[#This Row],[Precio Unitario Neto]]-Tabla4[[#This Row],[20.85%]]-Tabla4[[#This Row],[Costo]]</f>
        <v>#N/A</v>
      </c>
      <c r="S4426" s="282" t="e">
        <f>++Tabla4[[#This Row],[U. Bruta Uni]]*Tabla4[[#This Row],[Cantidad]]</f>
        <v>#N/A</v>
      </c>
      <c r="T4426" s="369" t="str">
        <f>VLOOKUP(Tabla4[[#This Row],[Producto]],Tabla6[#All],14,FALSE)</f>
        <v>Termico Solar</v>
      </c>
      <c r="U4426" s="284" t="e">
        <f>(IF(Tabla4[[#This Row],[Familia]]="termico solar",Tabla4[[#This Row],[Utilidad Total]]*6%,Tabla4[[#This Row],[Utilidad Total]]*11.5%))/Tabla4[[#This Row],[Total]]</f>
        <v>#N/A</v>
      </c>
      <c r="V4426" s="282" t="e">
        <f>+Tabla4[[#This Row],[Comisión Calculada]]*Tabla4[[#This Row],[Total]]</f>
        <v>#N/A</v>
      </c>
    </row>
    <row r="4427" spans="1:22" hidden="1" x14ac:dyDescent="0.25">
      <c r="A4427" s="100">
        <v>45853</v>
      </c>
      <c r="B4427" t="str">
        <f t="shared" si="223"/>
        <v>July</v>
      </c>
      <c r="C4427" s="46" t="s">
        <v>280</v>
      </c>
      <c r="F4427" s="366" t="s">
        <v>2376</v>
      </c>
      <c r="G4427" s="46" t="s">
        <v>17</v>
      </c>
      <c r="H4427" s="46">
        <v>1</v>
      </c>
      <c r="I4427" s="51">
        <v>4622.28</v>
      </c>
      <c r="J4427" s="281">
        <f>++Tabla4[[#This Row],[Precio Bruto]]*1.16</f>
        <v>5361.8447999999989</v>
      </c>
      <c r="K4427" s="281">
        <f>+Tabla4[[#This Row],[Precio Unitario Neto]]*Tabla4[[#Headers],[20.85%]]</f>
        <v>1117.9446407999997</v>
      </c>
      <c r="L4427" s="282">
        <f>++Tabla4[[#This Row],[Precio Unitario Neto]]-Tabla4[[#This Row],[20.85%]]</f>
        <v>4243.9001591999995</v>
      </c>
      <c r="M4427" s="282" t="e">
        <f>(INDEX(Tabla6[#All],MATCH(Tabla4[[#This Row],[Producto]],Tabla6[[#All],[PRODUCTO]],0),MATCH(Tabla4[[#This Row],[Mes]],Tabla6[#Headers],0)))*(1+Catalogos!$L$2)</f>
        <v>#N/A</v>
      </c>
      <c r="N4427" s="283" t="e">
        <f>+(Tabla4[[#This Row],[Precio Descontado]]-Tabla4[[#This Row],[Precio Base]])*Tabla4[[#This Row],[Cantidad]]</f>
        <v>#N/A</v>
      </c>
      <c r="O4427" s="284" t="e">
        <f>++Tabla4[[#This Row],[Utilidad Total]]/Tabla4[[#This Row],[Total]]</f>
        <v>#N/A</v>
      </c>
      <c r="P4427" s="282">
        <f>++Tabla4[[#This Row],[Precio Descontado]]*Tabla4[[#This Row],[Cantidad]]</f>
        <v>4243.9001591999995</v>
      </c>
      <c r="Q4427" s="282" t="e">
        <f>(INDEX(Tabla6[#All],MATCH(Tabla4[[#This Row],[Producto]],Tabla6[[#All],[PRODUCTO]],0),MATCH(Tabla4[[#This Row],[Mes]],Tabla6[#Headers],0)))</f>
        <v>#N/A</v>
      </c>
      <c r="R4427" s="282" t="e">
        <f>++Tabla4[[#This Row],[Precio Unitario Neto]]-Tabla4[[#This Row],[20.85%]]-Tabla4[[#This Row],[Costo]]</f>
        <v>#N/A</v>
      </c>
      <c r="S4427" s="282" t="e">
        <f>++Tabla4[[#This Row],[U. Bruta Uni]]*Tabla4[[#This Row],[Cantidad]]</f>
        <v>#N/A</v>
      </c>
      <c r="T4427" s="369" t="str">
        <f>VLOOKUP(Tabla4[[#This Row],[Producto]],Tabla6[#All],14,FALSE)</f>
        <v>Termico Solar</v>
      </c>
      <c r="U4427" s="284" t="e">
        <f>(IF(Tabla4[[#This Row],[Familia]]="termico solar",Tabla4[[#This Row],[Utilidad Total]]*6%,Tabla4[[#This Row],[Utilidad Total]]*11.5%))/Tabla4[[#This Row],[Total]]</f>
        <v>#N/A</v>
      </c>
      <c r="V4427" s="282" t="e">
        <f>+Tabla4[[#This Row],[Comisión Calculada]]*Tabla4[[#This Row],[Total]]</f>
        <v>#N/A</v>
      </c>
    </row>
    <row r="4428" spans="1:22" hidden="1" x14ac:dyDescent="0.25">
      <c r="A4428" s="100">
        <v>45853</v>
      </c>
      <c r="B4428" t="str">
        <f t="shared" si="223"/>
        <v>July</v>
      </c>
      <c r="C4428" s="46" t="s">
        <v>280</v>
      </c>
      <c r="F4428" s="366" t="s">
        <v>2376</v>
      </c>
      <c r="G4428" s="46" t="s">
        <v>394</v>
      </c>
      <c r="H4428" s="46">
        <v>16</v>
      </c>
      <c r="I4428" s="51">
        <v>224.29</v>
      </c>
      <c r="J4428" s="281">
        <f>++Tabla4[[#This Row],[Precio Bruto]]*1.16</f>
        <v>260.1764</v>
      </c>
      <c r="K4428" s="281">
        <f>+Tabla4[[#This Row],[Precio Unitario Neto]]*Tabla4[[#Headers],[20.85%]]</f>
        <v>54.246779400000001</v>
      </c>
      <c r="L4428" s="282">
        <f>++Tabla4[[#This Row],[Precio Unitario Neto]]-Tabla4[[#This Row],[20.85%]]</f>
        <v>205.92962059999999</v>
      </c>
      <c r="M4428" s="282" t="e">
        <f>(INDEX(Tabla6[#All],MATCH(Tabla4[[#This Row],[Producto]],Tabla6[[#All],[PRODUCTO]],0),MATCH(Tabla4[[#This Row],[Mes]],Tabla6[#Headers],0)))*(1+Catalogos!$L$2)</f>
        <v>#N/A</v>
      </c>
      <c r="N4428" s="283" t="e">
        <f>+(Tabla4[[#This Row],[Precio Descontado]]-Tabla4[[#This Row],[Precio Base]])*Tabla4[[#This Row],[Cantidad]]</f>
        <v>#N/A</v>
      </c>
      <c r="O4428" s="284" t="e">
        <f>++Tabla4[[#This Row],[Utilidad Total]]/Tabla4[[#This Row],[Total]]</f>
        <v>#N/A</v>
      </c>
      <c r="P4428" s="282">
        <f>++Tabla4[[#This Row],[Precio Descontado]]*Tabla4[[#This Row],[Cantidad]]</f>
        <v>3294.8739295999999</v>
      </c>
      <c r="Q4428" s="282" t="e">
        <f>(INDEX(Tabla6[#All],MATCH(Tabla4[[#This Row],[Producto]],Tabla6[[#All],[PRODUCTO]],0),MATCH(Tabla4[[#This Row],[Mes]],Tabla6[#Headers],0)))</f>
        <v>#N/A</v>
      </c>
      <c r="R4428" s="282" t="e">
        <f>++Tabla4[[#This Row],[Precio Unitario Neto]]-Tabla4[[#This Row],[20.85%]]-Tabla4[[#This Row],[Costo]]</f>
        <v>#N/A</v>
      </c>
      <c r="S4428" s="282" t="e">
        <f>++Tabla4[[#This Row],[U. Bruta Uni]]*Tabla4[[#This Row],[Cantidad]]</f>
        <v>#N/A</v>
      </c>
      <c r="T4428" s="369" t="str">
        <f>VLOOKUP(Tabla4[[#This Row],[Producto]],Tabla6[#All],14,FALSE)</f>
        <v>Termico Solar</v>
      </c>
      <c r="U4428" s="284" t="e">
        <f>(IF(Tabla4[[#This Row],[Familia]]="termico solar",Tabla4[[#This Row],[Utilidad Total]]*6%,Tabla4[[#This Row],[Utilidad Total]]*11.5%))/Tabla4[[#This Row],[Total]]</f>
        <v>#N/A</v>
      </c>
      <c r="V4428" s="282" t="e">
        <f>+Tabla4[[#This Row],[Comisión Calculada]]*Tabla4[[#This Row],[Total]]</f>
        <v>#N/A</v>
      </c>
    </row>
    <row r="4429" spans="1:22" hidden="1" x14ac:dyDescent="0.25">
      <c r="A4429" s="100">
        <v>45853</v>
      </c>
      <c r="B4429" t="str">
        <f t="shared" si="223"/>
        <v>July</v>
      </c>
      <c r="C4429" s="46" t="s">
        <v>280</v>
      </c>
      <c r="F4429" s="366" t="s">
        <v>2377</v>
      </c>
      <c r="G4429" s="46" t="s">
        <v>17</v>
      </c>
      <c r="H4429" s="46">
        <v>4</v>
      </c>
      <c r="I4429" s="51">
        <v>4622.28</v>
      </c>
      <c r="J4429" s="281">
        <f>++Tabla4[[#This Row],[Precio Bruto]]*1.16</f>
        <v>5361.8447999999989</v>
      </c>
      <c r="K4429" s="281">
        <f>+Tabla4[[#This Row],[Precio Unitario Neto]]*Tabla4[[#Headers],[20.85%]]</f>
        <v>1117.9446407999997</v>
      </c>
      <c r="L4429" s="282">
        <f>++Tabla4[[#This Row],[Precio Unitario Neto]]-Tabla4[[#This Row],[20.85%]]</f>
        <v>4243.9001591999995</v>
      </c>
      <c r="M4429" s="282" t="e">
        <f>(INDEX(Tabla6[#All],MATCH(Tabla4[[#This Row],[Producto]],Tabla6[[#All],[PRODUCTO]],0),MATCH(Tabla4[[#This Row],[Mes]],Tabla6[#Headers],0)))*(1+Catalogos!$L$2)</f>
        <v>#N/A</v>
      </c>
      <c r="N4429" s="283" t="e">
        <f>+(Tabla4[[#This Row],[Precio Descontado]]-Tabla4[[#This Row],[Precio Base]])*Tabla4[[#This Row],[Cantidad]]</f>
        <v>#N/A</v>
      </c>
      <c r="O4429" s="284" t="e">
        <f>++Tabla4[[#This Row],[Utilidad Total]]/Tabla4[[#This Row],[Total]]</f>
        <v>#N/A</v>
      </c>
      <c r="P4429" s="282">
        <f>++Tabla4[[#This Row],[Precio Descontado]]*Tabla4[[#This Row],[Cantidad]]</f>
        <v>16975.600636799998</v>
      </c>
      <c r="Q4429" s="282" t="e">
        <f>(INDEX(Tabla6[#All],MATCH(Tabla4[[#This Row],[Producto]],Tabla6[[#All],[PRODUCTO]],0),MATCH(Tabla4[[#This Row],[Mes]],Tabla6[#Headers],0)))</f>
        <v>#N/A</v>
      </c>
      <c r="R4429" s="282" t="e">
        <f>++Tabla4[[#This Row],[Precio Unitario Neto]]-Tabla4[[#This Row],[20.85%]]-Tabla4[[#This Row],[Costo]]</f>
        <v>#N/A</v>
      </c>
      <c r="S4429" s="282" t="e">
        <f>++Tabla4[[#This Row],[U. Bruta Uni]]*Tabla4[[#This Row],[Cantidad]]</f>
        <v>#N/A</v>
      </c>
      <c r="T4429" s="369" t="str">
        <f>VLOOKUP(Tabla4[[#This Row],[Producto]],Tabla6[#All],14,FALSE)</f>
        <v>Termico Solar</v>
      </c>
      <c r="U4429" s="284" t="e">
        <f>(IF(Tabla4[[#This Row],[Familia]]="termico solar",Tabla4[[#This Row],[Utilidad Total]]*6%,Tabla4[[#This Row],[Utilidad Total]]*11.5%))/Tabla4[[#This Row],[Total]]</f>
        <v>#N/A</v>
      </c>
      <c r="V4429" s="282" t="e">
        <f>+Tabla4[[#This Row],[Comisión Calculada]]*Tabla4[[#This Row],[Total]]</f>
        <v>#N/A</v>
      </c>
    </row>
    <row r="4430" spans="1:22" hidden="1" x14ac:dyDescent="0.25">
      <c r="A4430" s="100">
        <v>45853</v>
      </c>
      <c r="B4430" t="str">
        <f t="shared" si="223"/>
        <v>July</v>
      </c>
      <c r="C4430" s="46" t="s">
        <v>280</v>
      </c>
      <c r="F4430" s="366" t="s">
        <v>2377</v>
      </c>
      <c r="G4430" s="46" t="s">
        <v>18</v>
      </c>
      <c r="H4430" s="46">
        <v>3</v>
      </c>
      <c r="I4430" s="51">
        <v>5367.6500000000005</v>
      </c>
      <c r="J4430" s="281">
        <f>++Tabla4[[#This Row],[Precio Bruto]]*1.16</f>
        <v>6226.4740000000002</v>
      </c>
      <c r="K4430" s="281">
        <f>+Tabla4[[#This Row],[Precio Unitario Neto]]*Tabla4[[#Headers],[20.85%]]</f>
        <v>1298.2198289999999</v>
      </c>
      <c r="L4430" s="282">
        <f>++Tabla4[[#This Row],[Precio Unitario Neto]]-Tabla4[[#This Row],[20.85%]]</f>
        <v>4928.2541710000005</v>
      </c>
      <c r="M4430" s="282" t="e">
        <f>(INDEX(Tabla6[#All],MATCH(Tabla4[[#This Row],[Producto]],Tabla6[[#All],[PRODUCTO]],0),MATCH(Tabla4[[#This Row],[Mes]],Tabla6[#Headers],0)))*(1+Catalogos!$L$2)</f>
        <v>#N/A</v>
      </c>
      <c r="N4430" s="283" t="e">
        <f>+(Tabla4[[#This Row],[Precio Descontado]]-Tabla4[[#This Row],[Precio Base]])*Tabla4[[#This Row],[Cantidad]]</f>
        <v>#N/A</v>
      </c>
      <c r="O4430" s="284" t="e">
        <f>++Tabla4[[#This Row],[Utilidad Total]]/Tabla4[[#This Row],[Total]]</f>
        <v>#N/A</v>
      </c>
      <c r="P4430" s="282">
        <f>++Tabla4[[#This Row],[Precio Descontado]]*Tabla4[[#This Row],[Cantidad]]</f>
        <v>14784.762513000001</v>
      </c>
      <c r="Q4430" s="282" t="e">
        <f>(INDEX(Tabla6[#All],MATCH(Tabla4[[#This Row],[Producto]],Tabla6[[#All],[PRODUCTO]],0),MATCH(Tabla4[[#This Row],[Mes]],Tabla6[#Headers],0)))</f>
        <v>#N/A</v>
      </c>
      <c r="R4430" s="282" t="e">
        <f>++Tabla4[[#This Row],[Precio Unitario Neto]]-Tabla4[[#This Row],[20.85%]]-Tabla4[[#This Row],[Costo]]</f>
        <v>#N/A</v>
      </c>
      <c r="S4430" s="282" t="e">
        <f>++Tabla4[[#This Row],[U. Bruta Uni]]*Tabla4[[#This Row],[Cantidad]]</f>
        <v>#N/A</v>
      </c>
      <c r="T4430" s="369" t="str">
        <f>VLOOKUP(Tabla4[[#This Row],[Producto]],Tabla6[#All],14,FALSE)</f>
        <v>Termico Solar</v>
      </c>
      <c r="U4430" s="284" t="e">
        <f>(IF(Tabla4[[#This Row],[Familia]]="termico solar",Tabla4[[#This Row],[Utilidad Total]]*6%,Tabla4[[#This Row],[Utilidad Total]]*11.5%))/Tabla4[[#This Row],[Total]]</f>
        <v>#N/A</v>
      </c>
      <c r="V4430" s="282" t="e">
        <f>+Tabla4[[#This Row],[Comisión Calculada]]*Tabla4[[#This Row],[Total]]</f>
        <v>#N/A</v>
      </c>
    </row>
    <row r="4431" spans="1:22" hidden="1" x14ac:dyDescent="0.25">
      <c r="A4431" s="100">
        <v>45853</v>
      </c>
      <c r="B4431" t="str">
        <f t="shared" si="223"/>
        <v>July</v>
      </c>
      <c r="C4431" s="46" t="s">
        <v>280</v>
      </c>
      <c r="F4431" s="366" t="s">
        <v>2377</v>
      </c>
      <c r="G4431" s="46" t="s">
        <v>394</v>
      </c>
      <c r="H4431" s="46">
        <v>9</v>
      </c>
      <c r="I4431" s="51">
        <v>108.1</v>
      </c>
      <c r="J4431" s="281">
        <f>++Tabla4[[#This Row],[Precio Bruto]]*1.16</f>
        <v>125.39599999999999</v>
      </c>
      <c r="K4431" s="281">
        <f>+Tabla4[[#This Row],[Precio Unitario Neto]]*Tabla4[[#Headers],[20.85%]]</f>
        <v>26.145065999999996</v>
      </c>
      <c r="L4431" s="282">
        <f>++Tabla4[[#This Row],[Precio Unitario Neto]]-Tabla4[[#This Row],[20.85%]]</f>
        <v>99.250933999999987</v>
      </c>
      <c r="M4431" s="282" t="e">
        <f>(INDEX(Tabla6[#All],MATCH(Tabla4[[#This Row],[Producto]],Tabla6[[#All],[PRODUCTO]],0),MATCH(Tabla4[[#This Row],[Mes]],Tabla6[#Headers],0)))*(1+Catalogos!$L$2)</f>
        <v>#N/A</v>
      </c>
      <c r="N4431" s="283" t="e">
        <f>+(Tabla4[[#This Row],[Precio Descontado]]-Tabla4[[#This Row],[Precio Base]])*Tabla4[[#This Row],[Cantidad]]</f>
        <v>#N/A</v>
      </c>
      <c r="O4431" s="284" t="e">
        <f>++Tabla4[[#This Row],[Utilidad Total]]/Tabla4[[#This Row],[Total]]</f>
        <v>#N/A</v>
      </c>
      <c r="P4431" s="282">
        <f>++Tabla4[[#This Row],[Precio Descontado]]*Tabla4[[#This Row],[Cantidad]]</f>
        <v>893.25840599999992</v>
      </c>
      <c r="Q4431" s="282" t="e">
        <f>(INDEX(Tabla6[#All],MATCH(Tabla4[[#This Row],[Producto]],Tabla6[[#All],[PRODUCTO]],0),MATCH(Tabla4[[#This Row],[Mes]],Tabla6[#Headers],0)))</f>
        <v>#N/A</v>
      </c>
      <c r="R4431" s="282" t="e">
        <f>++Tabla4[[#This Row],[Precio Unitario Neto]]-Tabla4[[#This Row],[20.85%]]-Tabla4[[#This Row],[Costo]]</f>
        <v>#N/A</v>
      </c>
      <c r="S4431" s="282" t="e">
        <f>++Tabla4[[#This Row],[U. Bruta Uni]]*Tabla4[[#This Row],[Cantidad]]</f>
        <v>#N/A</v>
      </c>
      <c r="T4431" s="369" t="str">
        <f>VLOOKUP(Tabla4[[#This Row],[Producto]],Tabla6[#All],14,FALSE)</f>
        <v>Termico Solar</v>
      </c>
      <c r="U4431" s="284" t="e">
        <f>(IF(Tabla4[[#This Row],[Familia]]="termico solar",Tabla4[[#This Row],[Utilidad Total]]*6%,Tabla4[[#This Row],[Utilidad Total]]*11.5%))/Tabla4[[#This Row],[Total]]</f>
        <v>#N/A</v>
      </c>
      <c r="V4431" s="282" t="e">
        <f>+Tabla4[[#This Row],[Comisión Calculada]]*Tabla4[[#This Row],[Total]]</f>
        <v>#N/A</v>
      </c>
    </row>
    <row r="4432" spans="1:22" hidden="1" x14ac:dyDescent="0.25">
      <c r="A4432" s="100">
        <v>45853</v>
      </c>
      <c r="B4432" t="str">
        <f t="shared" si="223"/>
        <v>July</v>
      </c>
      <c r="C4432" s="46" t="s">
        <v>280</v>
      </c>
      <c r="F4432" s="366" t="s">
        <v>2377</v>
      </c>
      <c r="G4432" s="46" t="s">
        <v>208</v>
      </c>
      <c r="H4432" s="46">
        <v>7</v>
      </c>
      <c r="I4432" s="51">
        <v>189.75</v>
      </c>
      <c r="J4432" s="281">
        <f>++Tabla4[[#This Row],[Precio Bruto]]*1.16</f>
        <v>220.10999999999999</v>
      </c>
      <c r="K4432" s="281">
        <f>+Tabla4[[#This Row],[Precio Unitario Neto]]*Tabla4[[#Headers],[20.85%]]</f>
        <v>45.892934999999994</v>
      </c>
      <c r="L4432" s="282">
        <f>++Tabla4[[#This Row],[Precio Unitario Neto]]-Tabla4[[#This Row],[20.85%]]</f>
        <v>174.21706499999999</v>
      </c>
      <c r="M4432" s="282" t="e">
        <f>(INDEX(Tabla6[#All],MATCH(Tabla4[[#This Row],[Producto]],Tabla6[[#All],[PRODUCTO]],0),MATCH(Tabla4[[#This Row],[Mes]],Tabla6[#Headers],0)))*(1+Catalogos!$L$2)</f>
        <v>#N/A</v>
      </c>
      <c r="N4432" s="283" t="e">
        <f>+(Tabla4[[#This Row],[Precio Descontado]]-Tabla4[[#This Row],[Precio Base]])*Tabla4[[#This Row],[Cantidad]]</f>
        <v>#N/A</v>
      </c>
      <c r="O4432" s="284" t="e">
        <f>++Tabla4[[#This Row],[Utilidad Total]]/Tabla4[[#This Row],[Total]]</f>
        <v>#N/A</v>
      </c>
      <c r="P4432" s="282">
        <f>++Tabla4[[#This Row],[Precio Descontado]]*Tabla4[[#This Row],[Cantidad]]</f>
        <v>1219.5194549999999</v>
      </c>
      <c r="Q4432" s="282" t="e">
        <f>(INDEX(Tabla6[#All],MATCH(Tabla4[[#This Row],[Producto]],Tabla6[[#All],[PRODUCTO]],0),MATCH(Tabla4[[#This Row],[Mes]],Tabla6[#Headers],0)))</f>
        <v>#N/A</v>
      </c>
      <c r="R4432" s="282" t="e">
        <f>++Tabla4[[#This Row],[Precio Unitario Neto]]-Tabla4[[#This Row],[20.85%]]-Tabla4[[#This Row],[Costo]]</f>
        <v>#N/A</v>
      </c>
      <c r="S4432" s="282" t="e">
        <f>++Tabla4[[#This Row],[U. Bruta Uni]]*Tabla4[[#This Row],[Cantidad]]</f>
        <v>#N/A</v>
      </c>
      <c r="T4432" s="369" t="str">
        <f>VLOOKUP(Tabla4[[#This Row],[Producto]],Tabla6[#All],14,FALSE)</f>
        <v>Termico Solar</v>
      </c>
      <c r="U4432" s="284" t="e">
        <f>(IF(Tabla4[[#This Row],[Familia]]="termico solar",Tabla4[[#This Row],[Utilidad Total]]*6%,Tabla4[[#This Row],[Utilidad Total]]*11.5%))/Tabla4[[#This Row],[Total]]</f>
        <v>#N/A</v>
      </c>
      <c r="V4432" s="282" t="e">
        <f>+Tabla4[[#This Row],[Comisión Calculada]]*Tabla4[[#This Row],[Total]]</f>
        <v>#N/A</v>
      </c>
    </row>
    <row r="4433" spans="1:22" hidden="1" x14ac:dyDescent="0.25">
      <c r="A4433" s="100">
        <v>45853</v>
      </c>
      <c r="B4433" t="str">
        <f t="shared" si="223"/>
        <v>July</v>
      </c>
      <c r="C4433" s="46" t="s">
        <v>280</v>
      </c>
      <c r="F4433" s="366" t="s">
        <v>2378</v>
      </c>
      <c r="G4433" s="46" t="s">
        <v>566</v>
      </c>
      <c r="H4433" s="46">
        <v>2</v>
      </c>
      <c r="I4433" s="51">
        <v>2109.4499999999998</v>
      </c>
      <c r="J4433" s="281">
        <f>++Tabla4[[#This Row],[Precio Bruto]]*1.16</f>
        <v>2446.9619999999995</v>
      </c>
      <c r="K4433" s="281">
        <f>+Tabla4[[#This Row],[Precio Unitario Neto]]*Tabla4[[#Headers],[20.85%]]</f>
        <v>510.19157699999988</v>
      </c>
      <c r="L4433" s="282">
        <f>++Tabla4[[#This Row],[Precio Unitario Neto]]-Tabla4[[#This Row],[20.85%]]</f>
        <v>1936.7704229999997</v>
      </c>
      <c r="M4433" s="282" t="e">
        <f>(INDEX(Tabla6[#All],MATCH(Tabla4[[#This Row],[Producto]],Tabla6[[#All],[PRODUCTO]],0),MATCH(Tabla4[[#This Row],[Mes]],Tabla6[#Headers],0)))*(1+Catalogos!$L$2)</f>
        <v>#N/A</v>
      </c>
      <c r="N4433" s="283" t="e">
        <f>+(Tabla4[[#This Row],[Precio Descontado]]-Tabla4[[#This Row],[Precio Base]])*Tabla4[[#This Row],[Cantidad]]</f>
        <v>#N/A</v>
      </c>
      <c r="O4433" s="284" t="e">
        <f>++Tabla4[[#This Row],[Utilidad Total]]/Tabla4[[#This Row],[Total]]</f>
        <v>#N/A</v>
      </c>
      <c r="P4433" s="282">
        <f>++Tabla4[[#This Row],[Precio Descontado]]*Tabla4[[#This Row],[Cantidad]]</f>
        <v>3873.5408459999994</v>
      </c>
      <c r="Q4433" s="282" t="e">
        <f>(INDEX(Tabla6[#All],MATCH(Tabla4[[#This Row],[Producto]],Tabla6[[#All],[PRODUCTO]],0),MATCH(Tabla4[[#This Row],[Mes]],Tabla6[#Headers],0)))</f>
        <v>#N/A</v>
      </c>
      <c r="R4433" s="282" t="e">
        <f>++Tabla4[[#This Row],[Precio Unitario Neto]]-Tabla4[[#This Row],[20.85%]]-Tabla4[[#This Row],[Costo]]</f>
        <v>#N/A</v>
      </c>
      <c r="S4433" s="282" t="e">
        <f>++Tabla4[[#This Row],[U. Bruta Uni]]*Tabla4[[#This Row],[Cantidad]]</f>
        <v>#N/A</v>
      </c>
      <c r="T4433" s="369" t="str">
        <f>VLOOKUP(Tabla4[[#This Row],[Producto]],Tabla6[#All],14,FALSE)</f>
        <v>Termico Solar</v>
      </c>
      <c r="U4433" s="284" t="e">
        <f>(IF(Tabla4[[#This Row],[Familia]]="termico solar",Tabla4[[#This Row],[Utilidad Total]]*6%,Tabla4[[#This Row],[Utilidad Total]]*11.5%))/Tabla4[[#This Row],[Total]]</f>
        <v>#N/A</v>
      </c>
      <c r="V4433" s="282" t="e">
        <f>+Tabla4[[#This Row],[Comisión Calculada]]*Tabla4[[#This Row],[Total]]</f>
        <v>#N/A</v>
      </c>
    </row>
    <row r="4434" spans="1:22" hidden="1" x14ac:dyDescent="0.25">
      <c r="A4434" s="100">
        <v>45853</v>
      </c>
      <c r="B4434" t="str">
        <f t="shared" si="223"/>
        <v>July</v>
      </c>
      <c r="C4434" s="46" t="s">
        <v>280</v>
      </c>
      <c r="F4434" s="366" t="s">
        <v>2379</v>
      </c>
      <c r="G4434" s="46" t="s">
        <v>83</v>
      </c>
      <c r="H4434" s="46">
        <v>3</v>
      </c>
      <c r="I4434" s="51">
        <v>8858.76</v>
      </c>
      <c r="J4434" s="281">
        <f>++Tabla4[[#This Row],[Precio Bruto]]*1.16</f>
        <v>10276.161599999999</v>
      </c>
      <c r="K4434" s="281">
        <f>+Tabla4[[#This Row],[Precio Unitario Neto]]*Tabla4[[#Headers],[20.85%]]</f>
        <v>2142.5796935999997</v>
      </c>
      <c r="L4434" s="282">
        <f>++Tabla4[[#This Row],[Precio Unitario Neto]]-Tabla4[[#This Row],[20.85%]]</f>
        <v>8133.5819063999998</v>
      </c>
      <c r="M4434" s="282" t="e">
        <f>(INDEX(Tabla6[#All],MATCH(Tabla4[[#This Row],[Producto]],Tabla6[[#All],[PRODUCTO]],0),MATCH(Tabla4[[#This Row],[Mes]],Tabla6[#Headers],0)))*(1+Catalogos!$L$2)</f>
        <v>#N/A</v>
      </c>
      <c r="N4434" s="283" t="e">
        <f>+(Tabla4[[#This Row],[Precio Descontado]]-Tabla4[[#This Row],[Precio Base]])*Tabla4[[#This Row],[Cantidad]]</f>
        <v>#N/A</v>
      </c>
      <c r="O4434" s="284" t="e">
        <f>++Tabla4[[#This Row],[Utilidad Total]]/Tabla4[[#This Row],[Total]]</f>
        <v>#N/A</v>
      </c>
      <c r="P4434" s="282">
        <f>++Tabla4[[#This Row],[Precio Descontado]]*Tabla4[[#This Row],[Cantidad]]</f>
        <v>24400.7457192</v>
      </c>
      <c r="Q4434" s="282" t="e">
        <f>(INDEX(Tabla6[#All],MATCH(Tabla4[[#This Row],[Producto]],Tabla6[[#All],[PRODUCTO]],0),MATCH(Tabla4[[#This Row],[Mes]],Tabla6[#Headers],0)))</f>
        <v>#N/A</v>
      </c>
      <c r="R4434" s="282" t="e">
        <f>++Tabla4[[#This Row],[Precio Unitario Neto]]-Tabla4[[#This Row],[20.85%]]-Tabla4[[#This Row],[Costo]]</f>
        <v>#N/A</v>
      </c>
      <c r="S4434" s="282" t="e">
        <f>++Tabla4[[#This Row],[U. Bruta Uni]]*Tabla4[[#This Row],[Cantidad]]</f>
        <v>#N/A</v>
      </c>
      <c r="T4434" s="369" t="str">
        <f>VLOOKUP(Tabla4[[#This Row],[Producto]],Tabla6[#All],14,FALSE)</f>
        <v>Termico Solar</v>
      </c>
      <c r="U4434" s="284" t="e">
        <f>(IF(Tabla4[[#This Row],[Familia]]="termico solar",Tabla4[[#This Row],[Utilidad Total]]*6%,Tabla4[[#This Row],[Utilidad Total]]*11.5%))/Tabla4[[#This Row],[Total]]</f>
        <v>#N/A</v>
      </c>
      <c r="V4434" s="282" t="e">
        <f>+Tabla4[[#This Row],[Comisión Calculada]]*Tabla4[[#This Row],[Total]]</f>
        <v>#N/A</v>
      </c>
    </row>
    <row r="4435" spans="1:22" hidden="1" x14ac:dyDescent="0.25">
      <c r="A4435" s="100">
        <v>45853</v>
      </c>
      <c r="B4435" t="str">
        <f t="shared" si="223"/>
        <v>July</v>
      </c>
      <c r="C4435" s="46" t="s">
        <v>280</v>
      </c>
      <c r="F4435" s="366" t="s">
        <v>2379</v>
      </c>
      <c r="G4435" s="46" t="s">
        <v>17</v>
      </c>
      <c r="H4435" s="46">
        <v>2</v>
      </c>
      <c r="I4435" s="51">
        <v>4622.28</v>
      </c>
      <c r="J4435" s="281">
        <f>++Tabla4[[#This Row],[Precio Bruto]]*1.16</f>
        <v>5361.8447999999989</v>
      </c>
      <c r="K4435" s="281">
        <f>+Tabla4[[#This Row],[Precio Unitario Neto]]*Tabla4[[#Headers],[20.85%]]</f>
        <v>1117.9446407999997</v>
      </c>
      <c r="L4435" s="282">
        <f>++Tabla4[[#This Row],[Precio Unitario Neto]]-Tabla4[[#This Row],[20.85%]]</f>
        <v>4243.9001591999995</v>
      </c>
      <c r="M4435" s="282" t="e">
        <f>(INDEX(Tabla6[#All],MATCH(Tabla4[[#This Row],[Producto]],Tabla6[[#All],[PRODUCTO]],0),MATCH(Tabla4[[#This Row],[Mes]],Tabla6[#Headers],0)))*(1+Catalogos!$L$2)</f>
        <v>#N/A</v>
      </c>
      <c r="N4435" s="283" t="e">
        <f>+(Tabla4[[#This Row],[Precio Descontado]]-Tabla4[[#This Row],[Precio Base]])*Tabla4[[#This Row],[Cantidad]]</f>
        <v>#N/A</v>
      </c>
      <c r="O4435" s="284" t="e">
        <f>++Tabla4[[#This Row],[Utilidad Total]]/Tabla4[[#This Row],[Total]]</f>
        <v>#N/A</v>
      </c>
      <c r="P4435" s="282">
        <f>++Tabla4[[#This Row],[Precio Descontado]]*Tabla4[[#This Row],[Cantidad]]</f>
        <v>8487.800318399999</v>
      </c>
      <c r="Q4435" s="282" t="e">
        <f>(INDEX(Tabla6[#All],MATCH(Tabla4[[#This Row],[Producto]],Tabla6[[#All],[PRODUCTO]],0),MATCH(Tabla4[[#This Row],[Mes]],Tabla6[#Headers],0)))</f>
        <v>#N/A</v>
      </c>
      <c r="R4435" s="282" t="e">
        <f>++Tabla4[[#This Row],[Precio Unitario Neto]]-Tabla4[[#This Row],[20.85%]]-Tabla4[[#This Row],[Costo]]</f>
        <v>#N/A</v>
      </c>
      <c r="S4435" s="282" t="e">
        <f>++Tabla4[[#This Row],[U. Bruta Uni]]*Tabla4[[#This Row],[Cantidad]]</f>
        <v>#N/A</v>
      </c>
      <c r="T4435" s="369" t="str">
        <f>VLOOKUP(Tabla4[[#This Row],[Producto]],Tabla6[#All],14,FALSE)</f>
        <v>Termico Solar</v>
      </c>
      <c r="U4435" s="284" t="e">
        <f>(IF(Tabla4[[#This Row],[Familia]]="termico solar",Tabla4[[#This Row],[Utilidad Total]]*6%,Tabla4[[#This Row],[Utilidad Total]]*11.5%))/Tabla4[[#This Row],[Total]]</f>
        <v>#N/A</v>
      </c>
      <c r="V4435" s="282" t="e">
        <f>+Tabla4[[#This Row],[Comisión Calculada]]*Tabla4[[#This Row],[Total]]</f>
        <v>#N/A</v>
      </c>
    </row>
    <row r="4436" spans="1:22" hidden="1" x14ac:dyDescent="0.25">
      <c r="A4436" s="100">
        <v>45853</v>
      </c>
      <c r="B4436" t="str">
        <f t="shared" si="223"/>
        <v>July</v>
      </c>
      <c r="C4436" s="46" t="s">
        <v>280</v>
      </c>
      <c r="F4436" s="366" t="s">
        <v>2380</v>
      </c>
      <c r="G4436" s="46" t="s">
        <v>19</v>
      </c>
      <c r="H4436" s="46">
        <v>1</v>
      </c>
      <c r="I4436" s="51">
        <v>6412.03</v>
      </c>
      <c r="J4436" s="281">
        <f>++Tabla4[[#This Row],[Precio Bruto]]*1.16</f>
        <v>7437.9547999999995</v>
      </c>
      <c r="K4436" s="281">
        <f>+Tabla4[[#This Row],[Precio Unitario Neto]]*Tabla4[[#Headers],[20.85%]]</f>
        <v>1550.8135757999999</v>
      </c>
      <c r="L4436" s="282">
        <f>++Tabla4[[#This Row],[Precio Unitario Neto]]-Tabla4[[#This Row],[20.85%]]</f>
        <v>5887.1412241999997</v>
      </c>
      <c r="M4436" s="282" t="e">
        <f>(INDEX(Tabla6[#All],MATCH(Tabla4[[#This Row],[Producto]],Tabla6[[#All],[PRODUCTO]],0),MATCH(Tabla4[[#This Row],[Mes]],Tabla6[#Headers],0)))*(1+Catalogos!$L$2)</f>
        <v>#N/A</v>
      </c>
      <c r="N4436" s="283" t="e">
        <f>+(Tabla4[[#This Row],[Precio Descontado]]-Tabla4[[#This Row],[Precio Base]])*Tabla4[[#This Row],[Cantidad]]</f>
        <v>#N/A</v>
      </c>
      <c r="O4436" s="284" t="e">
        <f>++Tabla4[[#This Row],[Utilidad Total]]/Tabla4[[#This Row],[Total]]</f>
        <v>#N/A</v>
      </c>
      <c r="P4436" s="282">
        <f>++Tabla4[[#This Row],[Precio Descontado]]*Tabla4[[#This Row],[Cantidad]]</f>
        <v>5887.1412241999997</v>
      </c>
      <c r="Q4436" s="282" t="e">
        <f>(INDEX(Tabla6[#All],MATCH(Tabla4[[#This Row],[Producto]],Tabla6[[#All],[PRODUCTO]],0),MATCH(Tabla4[[#This Row],[Mes]],Tabla6[#Headers],0)))</f>
        <v>#N/A</v>
      </c>
      <c r="R4436" s="282" t="e">
        <f>++Tabla4[[#This Row],[Precio Unitario Neto]]-Tabla4[[#This Row],[20.85%]]-Tabla4[[#This Row],[Costo]]</f>
        <v>#N/A</v>
      </c>
      <c r="S4436" s="282" t="e">
        <f>++Tabla4[[#This Row],[U. Bruta Uni]]*Tabla4[[#This Row],[Cantidad]]</f>
        <v>#N/A</v>
      </c>
      <c r="T4436" s="369" t="str">
        <f>VLOOKUP(Tabla4[[#This Row],[Producto]],Tabla6[#All],14,FALSE)</f>
        <v>Termico Solar</v>
      </c>
      <c r="U4436" s="284" t="e">
        <f>(IF(Tabla4[[#This Row],[Familia]]="termico solar",Tabla4[[#This Row],[Utilidad Total]]*6%,Tabla4[[#This Row],[Utilidad Total]]*11.5%))/Tabla4[[#This Row],[Total]]</f>
        <v>#N/A</v>
      </c>
      <c r="V4436" s="282" t="e">
        <f>+Tabla4[[#This Row],[Comisión Calculada]]*Tabla4[[#This Row],[Total]]</f>
        <v>#N/A</v>
      </c>
    </row>
    <row r="4437" spans="1:22" hidden="1" x14ac:dyDescent="0.25">
      <c r="A4437" s="100">
        <v>45853</v>
      </c>
      <c r="B4437" t="str">
        <f t="shared" si="223"/>
        <v>July</v>
      </c>
      <c r="C4437" s="46" t="s">
        <v>280</v>
      </c>
      <c r="F4437" s="366" t="s">
        <v>2380</v>
      </c>
      <c r="G4437" s="46" t="s">
        <v>566</v>
      </c>
      <c r="H4437" s="46">
        <v>1</v>
      </c>
      <c r="I4437" s="51">
        <v>2109.4499999999998</v>
      </c>
      <c r="J4437" s="281">
        <f>++Tabla4[[#This Row],[Precio Bruto]]*1.16</f>
        <v>2446.9619999999995</v>
      </c>
      <c r="K4437" s="281">
        <f>+Tabla4[[#This Row],[Precio Unitario Neto]]*Tabla4[[#Headers],[20.85%]]</f>
        <v>510.19157699999988</v>
      </c>
      <c r="L4437" s="282">
        <f>++Tabla4[[#This Row],[Precio Unitario Neto]]-Tabla4[[#This Row],[20.85%]]</f>
        <v>1936.7704229999997</v>
      </c>
      <c r="M4437" s="282" t="e">
        <f>(INDEX(Tabla6[#All],MATCH(Tabla4[[#This Row],[Producto]],Tabla6[[#All],[PRODUCTO]],0),MATCH(Tabla4[[#This Row],[Mes]],Tabla6[#Headers],0)))*(1+Catalogos!$L$2)</f>
        <v>#N/A</v>
      </c>
      <c r="N4437" s="283" t="e">
        <f>+(Tabla4[[#This Row],[Precio Descontado]]-Tabla4[[#This Row],[Precio Base]])*Tabla4[[#This Row],[Cantidad]]</f>
        <v>#N/A</v>
      </c>
      <c r="O4437" s="284" t="e">
        <f>++Tabla4[[#This Row],[Utilidad Total]]/Tabla4[[#This Row],[Total]]</f>
        <v>#N/A</v>
      </c>
      <c r="P4437" s="282">
        <f>++Tabla4[[#This Row],[Precio Descontado]]*Tabla4[[#This Row],[Cantidad]]</f>
        <v>1936.7704229999997</v>
      </c>
      <c r="Q4437" s="282" t="e">
        <f>(INDEX(Tabla6[#All],MATCH(Tabla4[[#This Row],[Producto]],Tabla6[[#All],[PRODUCTO]],0),MATCH(Tabla4[[#This Row],[Mes]],Tabla6[#Headers],0)))</f>
        <v>#N/A</v>
      </c>
      <c r="R4437" s="282" t="e">
        <f>++Tabla4[[#This Row],[Precio Unitario Neto]]-Tabla4[[#This Row],[20.85%]]-Tabla4[[#This Row],[Costo]]</f>
        <v>#N/A</v>
      </c>
      <c r="S4437" s="282" t="e">
        <f>++Tabla4[[#This Row],[U. Bruta Uni]]*Tabla4[[#This Row],[Cantidad]]</f>
        <v>#N/A</v>
      </c>
      <c r="T4437" s="369" t="str">
        <f>VLOOKUP(Tabla4[[#This Row],[Producto]],Tabla6[#All],14,FALSE)</f>
        <v>Termico Solar</v>
      </c>
      <c r="U4437" s="284" t="e">
        <f>(IF(Tabla4[[#This Row],[Familia]]="termico solar",Tabla4[[#This Row],[Utilidad Total]]*6%,Tabla4[[#This Row],[Utilidad Total]]*11.5%))/Tabla4[[#This Row],[Total]]</f>
        <v>#N/A</v>
      </c>
      <c r="V4437" s="282" t="e">
        <f>+Tabla4[[#This Row],[Comisión Calculada]]*Tabla4[[#This Row],[Total]]</f>
        <v>#N/A</v>
      </c>
    </row>
    <row r="4438" spans="1:22" hidden="1" x14ac:dyDescent="0.25">
      <c r="A4438" s="100">
        <v>45853</v>
      </c>
      <c r="B4438" t="str">
        <f t="shared" si="223"/>
        <v>July</v>
      </c>
      <c r="C4438" s="46" t="s">
        <v>280</v>
      </c>
      <c r="F4438" s="366" t="s">
        <v>2381</v>
      </c>
      <c r="G4438" s="46" t="s">
        <v>18</v>
      </c>
      <c r="H4438" s="46">
        <v>1</v>
      </c>
      <c r="I4438" s="51">
        <v>5367.65</v>
      </c>
      <c r="J4438" s="281">
        <f>++Tabla4[[#This Row],[Precio Bruto]]*1.16</f>
        <v>6226.4739999999993</v>
      </c>
      <c r="K4438" s="281">
        <f>+Tabla4[[#This Row],[Precio Unitario Neto]]*Tabla4[[#Headers],[20.85%]]</f>
        <v>1298.2198289999999</v>
      </c>
      <c r="L4438" s="282">
        <f>++Tabla4[[#This Row],[Precio Unitario Neto]]-Tabla4[[#This Row],[20.85%]]</f>
        <v>4928.2541709999996</v>
      </c>
      <c r="M4438" s="282" t="e">
        <f>(INDEX(Tabla6[#All],MATCH(Tabla4[[#This Row],[Producto]],Tabla6[[#All],[PRODUCTO]],0),MATCH(Tabla4[[#This Row],[Mes]],Tabla6[#Headers],0)))*(1+Catalogos!$L$2)</f>
        <v>#N/A</v>
      </c>
      <c r="N4438" s="283" t="e">
        <f>+(Tabla4[[#This Row],[Precio Descontado]]-Tabla4[[#This Row],[Precio Base]])*Tabla4[[#This Row],[Cantidad]]</f>
        <v>#N/A</v>
      </c>
      <c r="O4438" s="284" t="e">
        <f>++Tabla4[[#This Row],[Utilidad Total]]/Tabla4[[#This Row],[Total]]</f>
        <v>#N/A</v>
      </c>
      <c r="P4438" s="282">
        <f>++Tabla4[[#This Row],[Precio Descontado]]*Tabla4[[#This Row],[Cantidad]]</f>
        <v>4928.2541709999996</v>
      </c>
      <c r="Q4438" s="282" t="e">
        <f>(INDEX(Tabla6[#All],MATCH(Tabla4[[#This Row],[Producto]],Tabla6[[#All],[PRODUCTO]],0),MATCH(Tabla4[[#This Row],[Mes]],Tabla6[#Headers],0)))</f>
        <v>#N/A</v>
      </c>
      <c r="R4438" s="282" t="e">
        <f>++Tabla4[[#This Row],[Precio Unitario Neto]]-Tabla4[[#This Row],[20.85%]]-Tabla4[[#This Row],[Costo]]</f>
        <v>#N/A</v>
      </c>
      <c r="S4438" s="282" t="e">
        <f>++Tabla4[[#This Row],[U. Bruta Uni]]*Tabla4[[#This Row],[Cantidad]]</f>
        <v>#N/A</v>
      </c>
      <c r="T4438" s="369" t="str">
        <f>VLOOKUP(Tabla4[[#This Row],[Producto]],Tabla6[#All],14,FALSE)</f>
        <v>Termico Solar</v>
      </c>
      <c r="U4438" s="284" t="e">
        <f>(IF(Tabla4[[#This Row],[Familia]]="termico solar",Tabla4[[#This Row],[Utilidad Total]]*6%,Tabla4[[#This Row],[Utilidad Total]]*11.5%))/Tabla4[[#This Row],[Total]]</f>
        <v>#N/A</v>
      </c>
      <c r="V4438" s="282" t="e">
        <f>+Tabla4[[#This Row],[Comisión Calculada]]*Tabla4[[#This Row],[Total]]</f>
        <v>#N/A</v>
      </c>
    </row>
    <row r="4439" spans="1:22" hidden="1" x14ac:dyDescent="0.25">
      <c r="A4439" s="100">
        <v>45853</v>
      </c>
      <c r="B4439" t="str">
        <f t="shared" si="223"/>
        <v>July</v>
      </c>
      <c r="C4439" s="46" t="s">
        <v>280</v>
      </c>
      <c r="F4439" s="366" t="s">
        <v>2381</v>
      </c>
      <c r="G4439" s="46" t="s">
        <v>566</v>
      </c>
      <c r="H4439" s="46">
        <v>1</v>
      </c>
      <c r="I4439" s="51">
        <v>2109.4499999999998</v>
      </c>
      <c r="J4439" s="281">
        <f>++Tabla4[[#This Row],[Precio Bruto]]*1.16</f>
        <v>2446.9619999999995</v>
      </c>
      <c r="K4439" s="281">
        <f>+Tabla4[[#This Row],[Precio Unitario Neto]]*Tabla4[[#Headers],[20.85%]]</f>
        <v>510.19157699999988</v>
      </c>
      <c r="L4439" s="282">
        <f>++Tabla4[[#This Row],[Precio Unitario Neto]]-Tabla4[[#This Row],[20.85%]]</f>
        <v>1936.7704229999997</v>
      </c>
      <c r="M4439" s="282" t="e">
        <f>(INDEX(Tabla6[#All],MATCH(Tabla4[[#This Row],[Producto]],Tabla6[[#All],[PRODUCTO]],0),MATCH(Tabla4[[#This Row],[Mes]],Tabla6[#Headers],0)))*(1+Catalogos!$L$2)</f>
        <v>#N/A</v>
      </c>
      <c r="N4439" s="283" t="e">
        <f>+(Tabla4[[#This Row],[Precio Descontado]]-Tabla4[[#This Row],[Precio Base]])*Tabla4[[#This Row],[Cantidad]]</f>
        <v>#N/A</v>
      </c>
      <c r="O4439" s="284" t="e">
        <f>++Tabla4[[#This Row],[Utilidad Total]]/Tabla4[[#This Row],[Total]]</f>
        <v>#N/A</v>
      </c>
      <c r="P4439" s="282">
        <f>++Tabla4[[#This Row],[Precio Descontado]]*Tabla4[[#This Row],[Cantidad]]</f>
        <v>1936.7704229999997</v>
      </c>
      <c r="Q4439" s="282" t="e">
        <f>(INDEX(Tabla6[#All],MATCH(Tabla4[[#This Row],[Producto]],Tabla6[[#All],[PRODUCTO]],0),MATCH(Tabla4[[#This Row],[Mes]],Tabla6[#Headers],0)))</f>
        <v>#N/A</v>
      </c>
      <c r="R4439" s="282" t="e">
        <f>++Tabla4[[#This Row],[Precio Unitario Neto]]-Tabla4[[#This Row],[20.85%]]-Tabla4[[#This Row],[Costo]]</f>
        <v>#N/A</v>
      </c>
      <c r="S4439" s="282" t="e">
        <f>++Tabla4[[#This Row],[U. Bruta Uni]]*Tabla4[[#This Row],[Cantidad]]</f>
        <v>#N/A</v>
      </c>
      <c r="T4439" s="369" t="str">
        <f>VLOOKUP(Tabla4[[#This Row],[Producto]],Tabla6[#All],14,FALSE)</f>
        <v>Termico Solar</v>
      </c>
      <c r="U4439" s="284" t="e">
        <f>(IF(Tabla4[[#This Row],[Familia]]="termico solar",Tabla4[[#This Row],[Utilidad Total]]*6%,Tabla4[[#This Row],[Utilidad Total]]*11.5%))/Tabla4[[#This Row],[Total]]</f>
        <v>#N/A</v>
      </c>
      <c r="V4439" s="282" t="e">
        <f>+Tabla4[[#This Row],[Comisión Calculada]]*Tabla4[[#This Row],[Total]]</f>
        <v>#N/A</v>
      </c>
    </row>
    <row r="4440" spans="1:22" hidden="1" x14ac:dyDescent="0.25">
      <c r="A4440" s="100">
        <v>45853</v>
      </c>
      <c r="B4440" t="str">
        <f t="shared" si="223"/>
        <v>July</v>
      </c>
      <c r="C4440" s="46" t="s">
        <v>280</v>
      </c>
      <c r="F4440" s="366" t="s">
        <v>2381</v>
      </c>
      <c r="G4440" s="46" t="s">
        <v>208</v>
      </c>
      <c r="H4440" s="46">
        <v>7</v>
      </c>
      <c r="I4440" s="51">
        <v>189.75</v>
      </c>
      <c r="J4440" s="281">
        <f>++Tabla4[[#This Row],[Precio Bruto]]*1.16</f>
        <v>220.10999999999999</v>
      </c>
      <c r="K4440" s="281">
        <f>+Tabla4[[#This Row],[Precio Unitario Neto]]*Tabla4[[#Headers],[20.85%]]</f>
        <v>45.892934999999994</v>
      </c>
      <c r="L4440" s="282">
        <f>++Tabla4[[#This Row],[Precio Unitario Neto]]-Tabla4[[#This Row],[20.85%]]</f>
        <v>174.21706499999999</v>
      </c>
      <c r="M4440" s="282" t="e">
        <f>(INDEX(Tabla6[#All],MATCH(Tabla4[[#This Row],[Producto]],Tabla6[[#All],[PRODUCTO]],0),MATCH(Tabla4[[#This Row],[Mes]],Tabla6[#Headers],0)))*(1+Catalogos!$L$2)</f>
        <v>#N/A</v>
      </c>
      <c r="N4440" s="283" t="e">
        <f>+(Tabla4[[#This Row],[Precio Descontado]]-Tabla4[[#This Row],[Precio Base]])*Tabla4[[#This Row],[Cantidad]]</f>
        <v>#N/A</v>
      </c>
      <c r="O4440" s="284" t="e">
        <f>++Tabla4[[#This Row],[Utilidad Total]]/Tabla4[[#This Row],[Total]]</f>
        <v>#N/A</v>
      </c>
      <c r="P4440" s="282">
        <f>++Tabla4[[#This Row],[Precio Descontado]]*Tabla4[[#This Row],[Cantidad]]</f>
        <v>1219.5194549999999</v>
      </c>
      <c r="Q4440" s="282" t="e">
        <f>(INDEX(Tabla6[#All],MATCH(Tabla4[[#This Row],[Producto]],Tabla6[[#All],[PRODUCTO]],0),MATCH(Tabla4[[#This Row],[Mes]],Tabla6[#Headers],0)))</f>
        <v>#N/A</v>
      </c>
      <c r="R4440" s="282" t="e">
        <f>++Tabla4[[#This Row],[Precio Unitario Neto]]-Tabla4[[#This Row],[20.85%]]-Tabla4[[#This Row],[Costo]]</f>
        <v>#N/A</v>
      </c>
      <c r="S4440" s="282" t="e">
        <f>++Tabla4[[#This Row],[U. Bruta Uni]]*Tabla4[[#This Row],[Cantidad]]</f>
        <v>#N/A</v>
      </c>
      <c r="T4440" s="369" t="str">
        <f>VLOOKUP(Tabla4[[#This Row],[Producto]],Tabla6[#All],14,FALSE)</f>
        <v>Termico Solar</v>
      </c>
      <c r="U4440" s="284" t="e">
        <f>(IF(Tabla4[[#This Row],[Familia]]="termico solar",Tabla4[[#This Row],[Utilidad Total]]*6%,Tabla4[[#This Row],[Utilidad Total]]*11.5%))/Tabla4[[#This Row],[Total]]</f>
        <v>#N/A</v>
      </c>
      <c r="V4440" s="282" t="e">
        <f>+Tabla4[[#This Row],[Comisión Calculada]]*Tabla4[[#This Row],[Total]]</f>
        <v>#N/A</v>
      </c>
    </row>
    <row r="4441" spans="1:22" hidden="1" x14ac:dyDescent="0.25">
      <c r="A4441" s="100">
        <v>45853</v>
      </c>
      <c r="B4441" t="str">
        <f t="shared" si="223"/>
        <v>July</v>
      </c>
      <c r="C4441" s="46" t="s">
        <v>280</v>
      </c>
      <c r="F4441" s="366" t="s">
        <v>2382</v>
      </c>
      <c r="G4441" s="46" t="s">
        <v>17</v>
      </c>
      <c r="H4441" s="46">
        <v>1</v>
      </c>
      <c r="I4441" s="51">
        <v>4622.28</v>
      </c>
      <c r="J4441" s="281">
        <f>++Tabla4[[#This Row],[Precio Bruto]]*1.16</f>
        <v>5361.8447999999989</v>
      </c>
      <c r="K4441" s="281">
        <f>+Tabla4[[#This Row],[Precio Unitario Neto]]*Tabla4[[#Headers],[20.85%]]</f>
        <v>1117.9446407999997</v>
      </c>
      <c r="L4441" s="282">
        <f>++Tabla4[[#This Row],[Precio Unitario Neto]]-Tabla4[[#This Row],[20.85%]]</f>
        <v>4243.9001591999995</v>
      </c>
      <c r="M4441" s="282" t="e">
        <f>(INDEX(Tabla6[#All],MATCH(Tabla4[[#This Row],[Producto]],Tabla6[[#All],[PRODUCTO]],0),MATCH(Tabla4[[#This Row],[Mes]],Tabla6[#Headers],0)))*(1+Catalogos!$L$2)</f>
        <v>#N/A</v>
      </c>
      <c r="N4441" s="283" t="e">
        <f>+(Tabla4[[#This Row],[Precio Descontado]]-Tabla4[[#This Row],[Precio Base]])*Tabla4[[#This Row],[Cantidad]]</f>
        <v>#N/A</v>
      </c>
      <c r="O4441" s="284" t="e">
        <f>++Tabla4[[#This Row],[Utilidad Total]]/Tabla4[[#This Row],[Total]]</f>
        <v>#N/A</v>
      </c>
      <c r="P4441" s="282">
        <f>++Tabla4[[#This Row],[Precio Descontado]]*Tabla4[[#This Row],[Cantidad]]</f>
        <v>4243.9001591999995</v>
      </c>
      <c r="Q4441" s="282" t="e">
        <f>(INDEX(Tabla6[#All],MATCH(Tabla4[[#This Row],[Producto]],Tabla6[[#All],[PRODUCTO]],0),MATCH(Tabla4[[#This Row],[Mes]],Tabla6[#Headers],0)))</f>
        <v>#N/A</v>
      </c>
      <c r="R4441" s="282" t="e">
        <f>++Tabla4[[#This Row],[Precio Unitario Neto]]-Tabla4[[#This Row],[20.85%]]-Tabla4[[#This Row],[Costo]]</f>
        <v>#N/A</v>
      </c>
      <c r="S4441" s="282" t="e">
        <f>++Tabla4[[#This Row],[U. Bruta Uni]]*Tabla4[[#This Row],[Cantidad]]</f>
        <v>#N/A</v>
      </c>
      <c r="T4441" s="369" t="str">
        <f>VLOOKUP(Tabla4[[#This Row],[Producto]],Tabla6[#All],14,FALSE)</f>
        <v>Termico Solar</v>
      </c>
      <c r="U4441" s="284" t="e">
        <f>(IF(Tabla4[[#This Row],[Familia]]="termico solar",Tabla4[[#This Row],[Utilidad Total]]*6%,Tabla4[[#This Row],[Utilidad Total]]*11.5%))/Tabla4[[#This Row],[Total]]</f>
        <v>#N/A</v>
      </c>
      <c r="V4441" s="282" t="e">
        <f>+Tabla4[[#This Row],[Comisión Calculada]]*Tabla4[[#This Row],[Total]]</f>
        <v>#N/A</v>
      </c>
    </row>
    <row r="4442" spans="1:22" hidden="1" x14ac:dyDescent="0.25">
      <c r="A4442" s="100">
        <v>45853</v>
      </c>
      <c r="B4442" t="str">
        <f t="shared" si="223"/>
        <v>July</v>
      </c>
      <c r="C4442" s="46" t="s">
        <v>280</v>
      </c>
      <c r="F4442" s="366" t="s">
        <v>2382</v>
      </c>
      <c r="G4442" s="46" t="s">
        <v>18</v>
      </c>
      <c r="H4442" s="46">
        <v>1</v>
      </c>
      <c r="I4442" s="51">
        <v>5367.65</v>
      </c>
      <c r="J4442" s="281">
        <f>++Tabla4[[#This Row],[Precio Bruto]]*1.16</f>
        <v>6226.4739999999993</v>
      </c>
      <c r="K4442" s="281">
        <f>+Tabla4[[#This Row],[Precio Unitario Neto]]*Tabla4[[#Headers],[20.85%]]</f>
        <v>1298.2198289999999</v>
      </c>
      <c r="L4442" s="282">
        <f>++Tabla4[[#This Row],[Precio Unitario Neto]]-Tabla4[[#This Row],[20.85%]]</f>
        <v>4928.2541709999996</v>
      </c>
      <c r="M4442" s="282" t="e">
        <f>(INDEX(Tabla6[#All],MATCH(Tabla4[[#This Row],[Producto]],Tabla6[[#All],[PRODUCTO]],0),MATCH(Tabla4[[#This Row],[Mes]],Tabla6[#Headers],0)))*(1+Catalogos!$L$2)</f>
        <v>#N/A</v>
      </c>
      <c r="N4442" s="283" t="e">
        <f>+(Tabla4[[#This Row],[Precio Descontado]]-Tabla4[[#This Row],[Precio Base]])*Tabla4[[#This Row],[Cantidad]]</f>
        <v>#N/A</v>
      </c>
      <c r="O4442" s="284" t="e">
        <f>++Tabla4[[#This Row],[Utilidad Total]]/Tabla4[[#This Row],[Total]]</f>
        <v>#N/A</v>
      </c>
      <c r="P4442" s="282">
        <f>++Tabla4[[#This Row],[Precio Descontado]]*Tabla4[[#This Row],[Cantidad]]</f>
        <v>4928.2541709999996</v>
      </c>
      <c r="Q4442" s="282" t="e">
        <f>(INDEX(Tabla6[#All],MATCH(Tabla4[[#This Row],[Producto]],Tabla6[[#All],[PRODUCTO]],0),MATCH(Tabla4[[#This Row],[Mes]],Tabla6[#Headers],0)))</f>
        <v>#N/A</v>
      </c>
      <c r="R4442" s="282" t="e">
        <f>++Tabla4[[#This Row],[Precio Unitario Neto]]-Tabla4[[#This Row],[20.85%]]-Tabla4[[#This Row],[Costo]]</f>
        <v>#N/A</v>
      </c>
      <c r="S4442" s="282" t="e">
        <f>++Tabla4[[#This Row],[U. Bruta Uni]]*Tabla4[[#This Row],[Cantidad]]</f>
        <v>#N/A</v>
      </c>
      <c r="T4442" s="369" t="str">
        <f>VLOOKUP(Tabla4[[#This Row],[Producto]],Tabla6[#All],14,FALSE)</f>
        <v>Termico Solar</v>
      </c>
      <c r="U4442" s="284" t="e">
        <f>(IF(Tabla4[[#This Row],[Familia]]="termico solar",Tabla4[[#This Row],[Utilidad Total]]*6%,Tabla4[[#This Row],[Utilidad Total]]*11.5%))/Tabla4[[#This Row],[Total]]</f>
        <v>#N/A</v>
      </c>
      <c r="V4442" s="282" t="e">
        <f>+Tabla4[[#This Row],[Comisión Calculada]]*Tabla4[[#This Row],[Total]]</f>
        <v>#N/A</v>
      </c>
    </row>
    <row r="4443" spans="1:22" hidden="1" x14ac:dyDescent="0.25">
      <c r="A4443" s="100">
        <v>45853</v>
      </c>
      <c r="B4443" t="str">
        <f t="shared" si="223"/>
        <v>July</v>
      </c>
      <c r="C4443" s="46" t="s">
        <v>280</v>
      </c>
      <c r="F4443" s="366" t="s">
        <v>2382</v>
      </c>
      <c r="G4443" s="46" t="s">
        <v>19</v>
      </c>
      <c r="H4443" s="46">
        <v>1</v>
      </c>
      <c r="I4443" s="51">
        <v>6412.03</v>
      </c>
      <c r="J4443" s="281">
        <f>++Tabla4[[#This Row],[Precio Bruto]]*1.16</f>
        <v>7437.9547999999995</v>
      </c>
      <c r="K4443" s="281">
        <f>+Tabla4[[#This Row],[Precio Unitario Neto]]*Tabla4[[#Headers],[20.85%]]</f>
        <v>1550.8135757999999</v>
      </c>
      <c r="L4443" s="282">
        <f>++Tabla4[[#This Row],[Precio Unitario Neto]]-Tabla4[[#This Row],[20.85%]]</f>
        <v>5887.1412241999997</v>
      </c>
      <c r="M4443" s="282" t="e">
        <f>(INDEX(Tabla6[#All],MATCH(Tabla4[[#This Row],[Producto]],Tabla6[[#All],[PRODUCTO]],0),MATCH(Tabla4[[#This Row],[Mes]],Tabla6[#Headers],0)))*(1+Catalogos!$L$2)</f>
        <v>#N/A</v>
      </c>
      <c r="N4443" s="283" t="e">
        <f>+(Tabla4[[#This Row],[Precio Descontado]]-Tabla4[[#This Row],[Precio Base]])*Tabla4[[#This Row],[Cantidad]]</f>
        <v>#N/A</v>
      </c>
      <c r="O4443" s="284" t="e">
        <f>++Tabla4[[#This Row],[Utilidad Total]]/Tabla4[[#This Row],[Total]]</f>
        <v>#N/A</v>
      </c>
      <c r="P4443" s="282">
        <f>++Tabla4[[#This Row],[Precio Descontado]]*Tabla4[[#This Row],[Cantidad]]</f>
        <v>5887.1412241999997</v>
      </c>
      <c r="Q4443" s="282" t="e">
        <f>(INDEX(Tabla6[#All],MATCH(Tabla4[[#This Row],[Producto]],Tabla6[[#All],[PRODUCTO]],0),MATCH(Tabla4[[#This Row],[Mes]],Tabla6[#Headers],0)))</f>
        <v>#N/A</v>
      </c>
      <c r="R4443" s="282" t="e">
        <f>++Tabla4[[#This Row],[Precio Unitario Neto]]-Tabla4[[#This Row],[20.85%]]-Tabla4[[#This Row],[Costo]]</f>
        <v>#N/A</v>
      </c>
      <c r="S4443" s="282" t="e">
        <f>++Tabla4[[#This Row],[U. Bruta Uni]]*Tabla4[[#This Row],[Cantidad]]</f>
        <v>#N/A</v>
      </c>
      <c r="T4443" s="369" t="str">
        <f>VLOOKUP(Tabla4[[#This Row],[Producto]],Tabla6[#All],14,FALSE)</f>
        <v>Termico Solar</v>
      </c>
      <c r="U4443" s="284" t="e">
        <f>(IF(Tabla4[[#This Row],[Familia]]="termico solar",Tabla4[[#This Row],[Utilidad Total]]*6%,Tabla4[[#This Row],[Utilidad Total]]*11.5%))/Tabla4[[#This Row],[Total]]</f>
        <v>#N/A</v>
      </c>
      <c r="V4443" s="282" t="e">
        <f>+Tabla4[[#This Row],[Comisión Calculada]]*Tabla4[[#This Row],[Total]]</f>
        <v>#N/A</v>
      </c>
    </row>
    <row r="4444" spans="1:22" hidden="1" x14ac:dyDescent="0.25">
      <c r="A4444" s="100">
        <v>45853</v>
      </c>
      <c r="B4444" t="str">
        <f t="shared" si="223"/>
        <v>July</v>
      </c>
      <c r="C4444" s="46" t="s">
        <v>280</v>
      </c>
      <c r="F4444" s="366" t="s">
        <v>2382</v>
      </c>
      <c r="G4444" s="46" t="s">
        <v>566</v>
      </c>
      <c r="H4444" s="46">
        <v>1</v>
      </c>
      <c r="I4444" s="51">
        <v>2109.4499999999998</v>
      </c>
      <c r="J4444" s="281">
        <f>++Tabla4[[#This Row],[Precio Bruto]]*1.16</f>
        <v>2446.9619999999995</v>
      </c>
      <c r="K4444" s="281">
        <f>+Tabla4[[#This Row],[Precio Unitario Neto]]*Tabla4[[#Headers],[20.85%]]</f>
        <v>510.19157699999988</v>
      </c>
      <c r="L4444" s="282">
        <f>++Tabla4[[#This Row],[Precio Unitario Neto]]-Tabla4[[#This Row],[20.85%]]</f>
        <v>1936.7704229999997</v>
      </c>
      <c r="M4444" s="282" t="e">
        <f>(INDEX(Tabla6[#All],MATCH(Tabla4[[#This Row],[Producto]],Tabla6[[#All],[PRODUCTO]],0),MATCH(Tabla4[[#This Row],[Mes]],Tabla6[#Headers],0)))*(1+Catalogos!$L$2)</f>
        <v>#N/A</v>
      </c>
      <c r="N4444" s="283" t="e">
        <f>+(Tabla4[[#This Row],[Precio Descontado]]-Tabla4[[#This Row],[Precio Base]])*Tabla4[[#This Row],[Cantidad]]</f>
        <v>#N/A</v>
      </c>
      <c r="O4444" s="284" t="e">
        <f>++Tabla4[[#This Row],[Utilidad Total]]/Tabla4[[#This Row],[Total]]</f>
        <v>#N/A</v>
      </c>
      <c r="P4444" s="282">
        <f>++Tabla4[[#This Row],[Precio Descontado]]*Tabla4[[#This Row],[Cantidad]]</f>
        <v>1936.7704229999997</v>
      </c>
      <c r="Q4444" s="282" t="e">
        <f>(INDEX(Tabla6[#All],MATCH(Tabla4[[#This Row],[Producto]],Tabla6[[#All],[PRODUCTO]],0),MATCH(Tabla4[[#This Row],[Mes]],Tabla6[#Headers],0)))</f>
        <v>#N/A</v>
      </c>
      <c r="R4444" s="282" t="e">
        <f>++Tabla4[[#This Row],[Precio Unitario Neto]]-Tabla4[[#This Row],[20.85%]]-Tabla4[[#This Row],[Costo]]</f>
        <v>#N/A</v>
      </c>
      <c r="S4444" s="282" t="e">
        <f>++Tabla4[[#This Row],[U. Bruta Uni]]*Tabla4[[#This Row],[Cantidad]]</f>
        <v>#N/A</v>
      </c>
      <c r="T4444" s="369" t="str">
        <f>VLOOKUP(Tabla4[[#This Row],[Producto]],Tabla6[#All],14,FALSE)</f>
        <v>Termico Solar</v>
      </c>
      <c r="U4444" s="284" t="e">
        <f>(IF(Tabla4[[#This Row],[Familia]]="termico solar",Tabla4[[#This Row],[Utilidad Total]]*6%,Tabla4[[#This Row],[Utilidad Total]]*11.5%))/Tabla4[[#This Row],[Total]]</f>
        <v>#N/A</v>
      </c>
      <c r="V4444" s="282" t="e">
        <f>+Tabla4[[#This Row],[Comisión Calculada]]*Tabla4[[#This Row],[Total]]</f>
        <v>#N/A</v>
      </c>
    </row>
    <row r="4445" spans="1:22" hidden="1" x14ac:dyDescent="0.25">
      <c r="A4445" s="100">
        <v>45853</v>
      </c>
      <c r="B4445" t="str">
        <f t="shared" si="223"/>
        <v>July</v>
      </c>
      <c r="C4445" s="46" t="s">
        <v>280</v>
      </c>
      <c r="F4445" s="366" t="s">
        <v>2382</v>
      </c>
      <c r="G4445" s="46" t="s">
        <v>208</v>
      </c>
      <c r="H4445" s="46">
        <v>4</v>
      </c>
      <c r="I4445" s="51">
        <v>189.75</v>
      </c>
      <c r="J4445" s="281">
        <f>++Tabla4[[#This Row],[Precio Bruto]]*1.16</f>
        <v>220.10999999999999</v>
      </c>
      <c r="K4445" s="281">
        <f>+Tabla4[[#This Row],[Precio Unitario Neto]]*Tabla4[[#Headers],[20.85%]]</f>
        <v>45.892934999999994</v>
      </c>
      <c r="L4445" s="282">
        <f>++Tabla4[[#This Row],[Precio Unitario Neto]]-Tabla4[[#This Row],[20.85%]]</f>
        <v>174.21706499999999</v>
      </c>
      <c r="M4445" s="282" t="e">
        <f>(INDEX(Tabla6[#All],MATCH(Tabla4[[#This Row],[Producto]],Tabla6[[#All],[PRODUCTO]],0),MATCH(Tabla4[[#This Row],[Mes]],Tabla6[#Headers],0)))*(1+Catalogos!$L$2)</f>
        <v>#N/A</v>
      </c>
      <c r="N4445" s="283" t="e">
        <f>+(Tabla4[[#This Row],[Precio Descontado]]-Tabla4[[#This Row],[Precio Base]])*Tabla4[[#This Row],[Cantidad]]</f>
        <v>#N/A</v>
      </c>
      <c r="O4445" s="284" t="e">
        <f>++Tabla4[[#This Row],[Utilidad Total]]/Tabla4[[#This Row],[Total]]</f>
        <v>#N/A</v>
      </c>
      <c r="P4445" s="282">
        <f>++Tabla4[[#This Row],[Precio Descontado]]*Tabla4[[#This Row],[Cantidad]]</f>
        <v>696.86825999999996</v>
      </c>
      <c r="Q4445" s="282" t="e">
        <f>(INDEX(Tabla6[#All],MATCH(Tabla4[[#This Row],[Producto]],Tabla6[[#All],[PRODUCTO]],0),MATCH(Tabla4[[#This Row],[Mes]],Tabla6[#Headers],0)))</f>
        <v>#N/A</v>
      </c>
      <c r="R4445" s="282" t="e">
        <f>++Tabla4[[#This Row],[Precio Unitario Neto]]-Tabla4[[#This Row],[20.85%]]-Tabla4[[#This Row],[Costo]]</f>
        <v>#N/A</v>
      </c>
      <c r="S4445" s="282" t="e">
        <f>++Tabla4[[#This Row],[U. Bruta Uni]]*Tabla4[[#This Row],[Cantidad]]</f>
        <v>#N/A</v>
      </c>
      <c r="T4445" s="369" t="str">
        <f>VLOOKUP(Tabla4[[#This Row],[Producto]],Tabla6[#All],14,FALSE)</f>
        <v>Termico Solar</v>
      </c>
      <c r="U4445" s="284" t="e">
        <f>(IF(Tabla4[[#This Row],[Familia]]="termico solar",Tabla4[[#This Row],[Utilidad Total]]*6%,Tabla4[[#This Row],[Utilidad Total]]*11.5%))/Tabla4[[#This Row],[Total]]</f>
        <v>#N/A</v>
      </c>
      <c r="V4445" s="282" t="e">
        <f>+Tabla4[[#This Row],[Comisión Calculada]]*Tabla4[[#This Row],[Total]]</f>
        <v>#N/A</v>
      </c>
    </row>
    <row r="4446" spans="1:22" hidden="1" x14ac:dyDescent="0.25">
      <c r="A4446" s="100">
        <v>45853</v>
      </c>
      <c r="B4446" t="str">
        <f t="shared" ref="B4446:B4477" si="224">TEXT(A4446, "mmmm")</f>
        <v>July</v>
      </c>
      <c r="C4446" s="46" t="s">
        <v>280</v>
      </c>
      <c r="F4446" s="366" t="s">
        <v>2383</v>
      </c>
      <c r="G4446" s="46" t="s">
        <v>566</v>
      </c>
      <c r="H4446" s="46">
        <v>1</v>
      </c>
      <c r="I4446" s="51">
        <v>2109.4499999999998</v>
      </c>
      <c r="J4446" s="281">
        <f>++Tabla4[[#This Row],[Precio Bruto]]*1.16</f>
        <v>2446.9619999999995</v>
      </c>
      <c r="K4446" s="281">
        <f>+Tabla4[[#This Row],[Precio Unitario Neto]]*Tabla4[[#Headers],[20.85%]]</f>
        <v>510.19157699999988</v>
      </c>
      <c r="L4446" s="282">
        <f>++Tabla4[[#This Row],[Precio Unitario Neto]]-Tabla4[[#This Row],[20.85%]]</f>
        <v>1936.7704229999997</v>
      </c>
      <c r="M4446" s="282" t="e">
        <f>(INDEX(Tabla6[#All],MATCH(Tabla4[[#This Row],[Producto]],Tabla6[[#All],[PRODUCTO]],0),MATCH(Tabla4[[#This Row],[Mes]],Tabla6[#Headers],0)))*(1+Catalogos!$L$2)</f>
        <v>#N/A</v>
      </c>
      <c r="N4446" s="283" t="e">
        <f>+(Tabla4[[#This Row],[Precio Descontado]]-Tabla4[[#This Row],[Precio Base]])*Tabla4[[#This Row],[Cantidad]]</f>
        <v>#N/A</v>
      </c>
      <c r="O4446" s="284" t="e">
        <f>++Tabla4[[#This Row],[Utilidad Total]]/Tabla4[[#This Row],[Total]]</f>
        <v>#N/A</v>
      </c>
      <c r="P4446" s="282">
        <f>++Tabla4[[#This Row],[Precio Descontado]]*Tabla4[[#This Row],[Cantidad]]</f>
        <v>1936.7704229999997</v>
      </c>
      <c r="Q4446" s="282" t="e">
        <f>(INDEX(Tabla6[#All],MATCH(Tabla4[[#This Row],[Producto]],Tabla6[[#All],[PRODUCTO]],0),MATCH(Tabla4[[#This Row],[Mes]],Tabla6[#Headers],0)))</f>
        <v>#N/A</v>
      </c>
      <c r="R4446" s="282" t="e">
        <f>++Tabla4[[#This Row],[Precio Unitario Neto]]-Tabla4[[#This Row],[20.85%]]-Tabla4[[#This Row],[Costo]]</f>
        <v>#N/A</v>
      </c>
      <c r="S4446" s="282" t="e">
        <f>++Tabla4[[#This Row],[U. Bruta Uni]]*Tabla4[[#This Row],[Cantidad]]</f>
        <v>#N/A</v>
      </c>
      <c r="T4446" s="369" t="str">
        <f>VLOOKUP(Tabla4[[#This Row],[Producto]],Tabla6[#All],14,FALSE)</f>
        <v>Termico Solar</v>
      </c>
      <c r="U4446" s="284" t="e">
        <f>(IF(Tabla4[[#This Row],[Familia]]="termico solar",Tabla4[[#This Row],[Utilidad Total]]*6%,Tabla4[[#This Row],[Utilidad Total]]*11.5%))/Tabla4[[#This Row],[Total]]</f>
        <v>#N/A</v>
      </c>
      <c r="V4446" s="282" t="e">
        <f>+Tabla4[[#This Row],[Comisión Calculada]]*Tabla4[[#This Row],[Total]]</f>
        <v>#N/A</v>
      </c>
    </row>
    <row r="4447" spans="1:22" hidden="1" x14ac:dyDescent="0.25">
      <c r="A4447" s="100">
        <v>45853</v>
      </c>
      <c r="B4447" t="str">
        <f t="shared" si="224"/>
        <v>July</v>
      </c>
      <c r="C4447" s="46" t="s">
        <v>280</v>
      </c>
      <c r="F4447" s="366" t="s">
        <v>2384</v>
      </c>
      <c r="G4447" s="46" t="s">
        <v>566</v>
      </c>
      <c r="H4447" s="46">
        <v>1</v>
      </c>
      <c r="I4447" s="51">
        <v>2109.4499999999998</v>
      </c>
      <c r="J4447" s="281">
        <f>++Tabla4[[#This Row],[Precio Bruto]]*1.16</f>
        <v>2446.9619999999995</v>
      </c>
      <c r="K4447" s="281">
        <f>+Tabla4[[#This Row],[Precio Unitario Neto]]*Tabla4[[#Headers],[20.85%]]</f>
        <v>510.19157699999988</v>
      </c>
      <c r="L4447" s="282">
        <f>++Tabla4[[#This Row],[Precio Unitario Neto]]-Tabla4[[#This Row],[20.85%]]</f>
        <v>1936.7704229999997</v>
      </c>
      <c r="M4447" s="282" t="e">
        <f>(INDEX(Tabla6[#All],MATCH(Tabla4[[#This Row],[Producto]],Tabla6[[#All],[PRODUCTO]],0),MATCH(Tabla4[[#This Row],[Mes]],Tabla6[#Headers],0)))*(1+Catalogos!$L$2)</f>
        <v>#N/A</v>
      </c>
      <c r="N4447" s="283" t="e">
        <f>+(Tabla4[[#This Row],[Precio Descontado]]-Tabla4[[#This Row],[Precio Base]])*Tabla4[[#This Row],[Cantidad]]</f>
        <v>#N/A</v>
      </c>
      <c r="O4447" s="284" t="e">
        <f>++Tabla4[[#This Row],[Utilidad Total]]/Tabla4[[#This Row],[Total]]</f>
        <v>#N/A</v>
      </c>
      <c r="P4447" s="282">
        <f>++Tabla4[[#This Row],[Precio Descontado]]*Tabla4[[#This Row],[Cantidad]]</f>
        <v>1936.7704229999997</v>
      </c>
      <c r="Q4447" s="282" t="e">
        <f>(INDEX(Tabla6[#All],MATCH(Tabla4[[#This Row],[Producto]],Tabla6[[#All],[PRODUCTO]],0),MATCH(Tabla4[[#This Row],[Mes]],Tabla6[#Headers],0)))</f>
        <v>#N/A</v>
      </c>
      <c r="R4447" s="282" t="e">
        <f>++Tabla4[[#This Row],[Precio Unitario Neto]]-Tabla4[[#This Row],[20.85%]]-Tabla4[[#This Row],[Costo]]</f>
        <v>#N/A</v>
      </c>
      <c r="S4447" s="282" t="e">
        <f>++Tabla4[[#This Row],[U. Bruta Uni]]*Tabla4[[#This Row],[Cantidad]]</f>
        <v>#N/A</v>
      </c>
      <c r="T4447" s="369" t="str">
        <f>VLOOKUP(Tabla4[[#This Row],[Producto]],Tabla6[#All],14,FALSE)</f>
        <v>Termico Solar</v>
      </c>
      <c r="U4447" s="284" t="e">
        <f>(IF(Tabla4[[#This Row],[Familia]]="termico solar",Tabla4[[#This Row],[Utilidad Total]]*6%,Tabla4[[#This Row],[Utilidad Total]]*11.5%))/Tabla4[[#This Row],[Total]]</f>
        <v>#N/A</v>
      </c>
      <c r="V4447" s="282" t="e">
        <f>+Tabla4[[#This Row],[Comisión Calculada]]*Tabla4[[#This Row],[Total]]</f>
        <v>#N/A</v>
      </c>
    </row>
    <row r="4448" spans="1:22" hidden="1" x14ac:dyDescent="0.25">
      <c r="A4448" s="100">
        <v>45853</v>
      </c>
      <c r="B4448" t="str">
        <f t="shared" si="224"/>
        <v>July</v>
      </c>
      <c r="C4448" s="46" t="s">
        <v>280</v>
      </c>
      <c r="F4448" s="366" t="s">
        <v>2384</v>
      </c>
      <c r="G4448" s="46" t="s">
        <v>16</v>
      </c>
      <c r="H4448" s="46">
        <v>1</v>
      </c>
      <c r="I4448" s="51">
        <v>4103.8500000000004</v>
      </c>
      <c r="J4448" s="281">
        <f>++Tabla4[[#This Row],[Precio Bruto]]*1.16</f>
        <v>4760.4660000000003</v>
      </c>
      <c r="K4448" s="281">
        <f>+Tabla4[[#This Row],[Precio Unitario Neto]]*Tabla4[[#Headers],[20.85%]]</f>
        <v>992.55716100000006</v>
      </c>
      <c r="L4448" s="282">
        <f>++Tabla4[[#This Row],[Precio Unitario Neto]]-Tabla4[[#This Row],[20.85%]]</f>
        <v>3767.9088390000002</v>
      </c>
      <c r="M4448" s="282" t="e">
        <f>(INDEX(Tabla6[#All],MATCH(Tabla4[[#This Row],[Producto]],Tabla6[[#All],[PRODUCTO]],0),MATCH(Tabla4[[#This Row],[Mes]],Tabla6[#Headers],0)))*(1+Catalogos!$L$2)</f>
        <v>#N/A</v>
      </c>
      <c r="N4448" s="283" t="e">
        <f>+(Tabla4[[#This Row],[Precio Descontado]]-Tabla4[[#This Row],[Precio Base]])*Tabla4[[#This Row],[Cantidad]]</f>
        <v>#N/A</v>
      </c>
      <c r="O4448" s="284" t="e">
        <f>++Tabla4[[#This Row],[Utilidad Total]]/Tabla4[[#This Row],[Total]]</f>
        <v>#N/A</v>
      </c>
      <c r="P4448" s="282">
        <f>++Tabla4[[#This Row],[Precio Descontado]]*Tabla4[[#This Row],[Cantidad]]</f>
        <v>3767.9088390000002</v>
      </c>
      <c r="Q4448" s="282" t="e">
        <f>(INDEX(Tabla6[#All],MATCH(Tabla4[[#This Row],[Producto]],Tabla6[[#All],[PRODUCTO]],0),MATCH(Tabla4[[#This Row],[Mes]],Tabla6[#Headers],0)))</f>
        <v>#N/A</v>
      </c>
      <c r="R4448" s="282" t="e">
        <f>++Tabla4[[#This Row],[Precio Unitario Neto]]-Tabla4[[#This Row],[20.85%]]-Tabla4[[#This Row],[Costo]]</f>
        <v>#N/A</v>
      </c>
      <c r="S4448" s="282" t="e">
        <f>++Tabla4[[#This Row],[U. Bruta Uni]]*Tabla4[[#This Row],[Cantidad]]</f>
        <v>#N/A</v>
      </c>
      <c r="T4448" s="369" t="str">
        <f>VLOOKUP(Tabla4[[#This Row],[Producto]],Tabla6[#All],14,FALSE)</f>
        <v>Termico Solar</v>
      </c>
      <c r="U4448" s="284" t="e">
        <f>(IF(Tabla4[[#This Row],[Familia]]="termico solar",Tabla4[[#This Row],[Utilidad Total]]*6%,Tabla4[[#This Row],[Utilidad Total]]*11.5%))/Tabla4[[#This Row],[Total]]</f>
        <v>#N/A</v>
      </c>
      <c r="V4448" s="282" t="e">
        <f>+Tabla4[[#This Row],[Comisión Calculada]]*Tabla4[[#This Row],[Total]]</f>
        <v>#N/A</v>
      </c>
    </row>
    <row r="4449" spans="1:22" hidden="1" x14ac:dyDescent="0.25">
      <c r="A4449" s="100">
        <v>45853</v>
      </c>
      <c r="B4449" t="str">
        <f t="shared" si="224"/>
        <v>July</v>
      </c>
      <c r="C4449" s="46" t="s">
        <v>280</v>
      </c>
      <c r="F4449" s="366" t="s">
        <v>2385</v>
      </c>
      <c r="G4449" s="46" t="s">
        <v>17</v>
      </c>
      <c r="H4449" s="46">
        <v>1</v>
      </c>
      <c r="I4449" s="51">
        <v>4622.28</v>
      </c>
      <c r="J4449" s="281">
        <f>++Tabla4[[#This Row],[Precio Bruto]]*1.16</f>
        <v>5361.8447999999989</v>
      </c>
      <c r="K4449" s="281">
        <f>+Tabla4[[#This Row],[Precio Unitario Neto]]*Tabla4[[#Headers],[20.85%]]</f>
        <v>1117.9446407999997</v>
      </c>
      <c r="L4449" s="282">
        <f>++Tabla4[[#This Row],[Precio Unitario Neto]]-Tabla4[[#This Row],[20.85%]]</f>
        <v>4243.9001591999995</v>
      </c>
      <c r="M4449" s="282" t="e">
        <f>(INDEX(Tabla6[#All],MATCH(Tabla4[[#This Row],[Producto]],Tabla6[[#All],[PRODUCTO]],0),MATCH(Tabla4[[#This Row],[Mes]],Tabla6[#Headers],0)))*(1+Catalogos!$L$2)</f>
        <v>#N/A</v>
      </c>
      <c r="N4449" s="283" t="e">
        <f>+(Tabla4[[#This Row],[Precio Descontado]]-Tabla4[[#This Row],[Precio Base]])*Tabla4[[#This Row],[Cantidad]]</f>
        <v>#N/A</v>
      </c>
      <c r="O4449" s="284" t="e">
        <f>++Tabla4[[#This Row],[Utilidad Total]]/Tabla4[[#This Row],[Total]]</f>
        <v>#N/A</v>
      </c>
      <c r="P4449" s="282">
        <f>++Tabla4[[#This Row],[Precio Descontado]]*Tabla4[[#This Row],[Cantidad]]</f>
        <v>4243.9001591999995</v>
      </c>
      <c r="Q4449" s="282" t="e">
        <f>(INDEX(Tabla6[#All],MATCH(Tabla4[[#This Row],[Producto]],Tabla6[[#All],[PRODUCTO]],0),MATCH(Tabla4[[#This Row],[Mes]],Tabla6[#Headers],0)))</f>
        <v>#N/A</v>
      </c>
      <c r="R4449" s="282" t="e">
        <f>++Tabla4[[#This Row],[Precio Unitario Neto]]-Tabla4[[#This Row],[20.85%]]-Tabla4[[#This Row],[Costo]]</f>
        <v>#N/A</v>
      </c>
      <c r="S4449" s="282" t="e">
        <f>++Tabla4[[#This Row],[U. Bruta Uni]]*Tabla4[[#This Row],[Cantidad]]</f>
        <v>#N/A</v>
      </c>
      <c r="T4449" s="369" t="str">
        <f>VLOOKUP(Tabla4[[#This Row],[Producto]],Tabla6[#All],14,FALSE)</f>
        <v>Termico Solar</v>
      </c>
      <c r="U4449" s="284" t="e">
        <f>(IF(Tabla4[[#This Row],[Familia]]="termico solar",Tabla4[[#This Row],[Utilidad Total]]*6%,Tabla4[[#This Row],[Utilidad Total]]*11.5%))/Tabla4[[#This Row],[Total]]</f>
        <v>#N/A</v>
      </c>
      <c r="V4449" s="282" t="e">
        <f>+Tabla4[[#This Row],[Comisión Calculada]]*Tabla4[[#This Row],[Total]]</f>
        <v>#N/A</v>
      </c>
    </row>
    <row r="4450" spans="1:22" hidden="1" x14ac:dyDescent="0.25">
      <c r="A4450" s="100">
        <v>45853</v>
      </c>
      <c r="B4450" t="str">
        <f t="shared" si="224"/>
        <v>July</v>
      </c>
      <c r="C4450" s="46" t="s">
        <v>280</v>
      </c>
      <c r="F4450" s="366" t="s">
        <v>2385</v>
      </c>
      <c r="G4450" s="46" t="s">
        <v>566</v>
      </c>
      <c r="H4450" s="46">
        <v>1</v>
      </c>
      <c r="I4450" s="51">
        <v>2109.4499999999998</v>
      </c>
      <c r="J4450" s="281">
        <f>++Tabla4[[#This Row],[Precio Bruto]]*1.16</f>
        <v>2446.9619999999995</v>
      </c>
      <c r="K4450" s="281">
        <f>+Tabla4[[#This Row],[Precio Unitario Neto]]*Tabla4[[#Headers],[20.85%]]</f>
        <v>510.19157699999988</v>
      </c>
      <c r="L4450" s="282">
        <f>++Tabla4[[#This Row],[Precio Unitario Neto]]-Tabla4[[#This Row],[20.85%]]</f>
        <v>1936.7704229999997</v>
      </c>
      <c r="M4450" s="282" t="e">
        <f>(INDEX(Tabla6[#All],MATCH(Tabla4[[#This Row],[Producto]],Tabla6[[#All],[PRODUCTO]],0),MATCH(Tabla4[[#This Row],[Mes]],Tabla6[#Headers],0)))*(1+Catalogos!$L$2)</f>
        <v>#N/A</v>
      </c>
      <c r="N4450" s="283" t="e">
        <f>+(Tabla4[[#This Row],[Precio Descontado]]-Tabla4[[#This Row],[Precio Base]])*Tabla4[[#This Row],[Cantidad]]</f>
        <v>#N/A</v>
      </c>
      <c r="O4450" s="284" t="e">
        <f>++Tabla4[[#This Row],[Utilidad Total]]/Tabla4[[#This Row],[Total]]</f>
        <v>#N/A</v>
      </c>
      <c r="P4450" s="282">
        <f>++Tabla4[[#This Row],[Precio Descontado]]*Tabla4[[#This Row],[Cantidad]]</f>
        <v>1936.7704229999997</v>
      </c>
      <c r="Q4450" s="282" t="e">
        <f>(INDEX(Tabla6[#All],MATCH(Tabla4[[#This Row],[Producto]],Tabla6[[#All],[PRODUCTO]],0),MATCH(Tabla4[[#This Row],[Mes]],Tabla6[#Headers],0)))</f>
        <v>#N/A</v>
      </c>
      <c r="R4450" s="282" t="e">
        <f>++Tabla4[[#This Row],[Precio Unitario Neto]]-Tabla4[[#This Row],[20.85%]]-Tabla4[[#This Row],[Costo]]</f>
        <v>#N/A</v>
      </c>
      <c r="S4450" s="282" t="e">
        <f>++Tabla4[[#This Row],[U. Bruta Uni]]*Tabla4[[#This Row],[Cantidad]]</f>
        <v>#N/A</v>
      </c>
      <c r="T4450" s="369" t="str">
        <f>VLOOKUP(Tabla4[[#This Row],[Producto]],Tabla6[#All],14,FALSE)</f>
        <v>Termico Solar</v>
      </c>
      <c r="U4450" s="284" t="e">
        <f>(IF(Tabla4[[#This Row],[Familia]]="termico solar",Tabla4[[#This Row],[Utilidad Total]]*6%,Tabla4[[#This Row],[Utilidad Total]]*11.5%))/Tabla4[[#This Row],[Total]]</f>
        <v>#N/A</v>
      </c>
      <c r="V4450" s="282" t="e">
        <f>+Tabla4[[#This Row],[Comisión Calculada]]*Tabla4[[#This Row],[Total]]</f>
        <v>#N/A</v>
      </c>
    </row>
    <row r="4451" spans="1:22" hidden="1" x14ac:dyDescent="0.25">
      <c r="A4451" s="100">
        <v>45853</v>
      </c>
      <c r="B4451" t="str">
        <f t="shared" si="224"/>
        <v>July</v>
      </c>
      <c r="C4451" s="46" t="s">
        <v>280</v>
      </c>
      <c r="F4451" s="366" t="s">
        <v>2386</v>
      </c>
      <c r="G4451" s="46" t="s">
        <v>16</v>
      </c>
      <c r="H4451" s="46">
        <v>1</v>
      </c>
      <c r="I4451" s="51">
        <v>4103.8500000000004</v>
      </c>
      <c r="J4451" s="281">
        <f>++Tabla4[[#This Row],[Precio Bruto]]*1.16</f>
        <v>4760.4660000000003</v>
      </c>
      <c r="K4451" s="281">
        <f>+Tabla4[[#This Row],[Precio Unitario Neto]]*Tabla4[[#Headers],[20.85%]]</f>
        <v>992.55716100000006</v>
      </c>
      <c r="L4451" s="282">
        <f>++Tabla4[[#This Row],[Precio Unitario Neto]]-Tabla4[[#This Row],[20.85%]]</f>
        <v>3767.9088390000002</v>
      </c>
      <c r="M4451" s="282" t="e">
        <f>(INDEX(Tabla6[#All],MATCH(Tabla4[[#This Row],[Producto]],Tabla6[[#All],[PRODUCTO]],0),MATCH(Tabla4[[#This Row],[Mes]],Tabla6[#Headers],0)))*(1+Catalogos!$L$2)</f>
        <v>#N/A</v>
      </c>
      <c r="N4451" s="283" t="e">
        <f>+(Tabla4[[#This Row],[Precio Descontado]]-Tabla4[[#This Row],[Precio Base]])*Tabla4[[#This Row],[Cantidad]]</f>
        <v>#N/A</v>
      </c>
      <c r="O4451" s="284" t="e">
        <f>++Tabla4[[#This Row],[Utilidad Total]]/Tabla4[[#This Row],[Total]]</f>
        <v>#N/A</v>
      </c>
      <c r="P4451" s="282">
        <f>++Tabla4[[#This Row],[Precio Descontado]]*Tabla4[[#This Row],[Cantidad]]</f>
        <v>3767.9088390000002</v>
      </c>
      <c r="Q4451" s="282" t="e">
        <f>(INDEX(Tabla6[#All],MATCH(Tabla4[[#This Row],[Producto]],Tabla6[[#All],[PRODUCTO]],0),MATCH(Tabla4[[#This Row],[Mes]],Tabla6[#Headers],0)))</f>
        <v>#N/A</v>
      </c>
      <c r="R4451" s="282" t="e">
        <f>++Tabla4[[#This Row],[Precio Unitario Neto]]-Tabla4[[#This Row],[20.85%]]-Tabla4[[#This Row],[Costo]]</f>
        <v>#N/A</v>
      </c>
      <c r="S4451" s="282" t="e">
        <f>++Tabla4[[#This Row],[U. Bruta Uni]]*Tabla4[[#This Row],[Cantidad]]</f>
        <v>#N/A</v>
      </c>
      <c r="T4451" s="369" t="str">
        <f>VLOOKUP(Tabla4[[#This Row],[Producto]],Tabla6[#All],14,FALSE)</f>
        <v>Termico Solar</v>
      </c>
      <c r="U4451" s="284" t="e">
        <f>(IF(Tabla4[[#This Row],[Familia]]="termico solar",Tabla4[[#This Row],[Utilidad Total]]*6%,Tabla4[[#This Row],[Utilidad Total]]*11.5%))/Tabla4[[#This Row],[Total]]</f>
        <v>#N/A</v>
      </c>
      <c r="V4451" s="282" t="e">
        <f>+Tabla4[[#This Row],[Comisión Calculada]]*Tabla4[[#This Row],[Total]]</f>
        <v>#N/A</v>
      </c>
    </row>
    <row r="4452" spans="1:22" hidden="1" x14ac:dyDescent="0.25">
      <c r="A4452" s="100">
        <v>45853</v>
      </c>
      <c r="B4452" t="str">
        <f t="shared" si="224"/>
        <v>July</v>
      </c>
      <c r="C4452" s="46" t="s">
        <v>280</v>
      </c>
      <c r="F4452" s="366" t="s">
        <v>2387</v>
      </c>
      <c r="G4452" s="46" t="s">
        <v>17</v>
      </c>
      <c r="H4452" s="46">
        <v>4</v>
      </c>
      <c r="I4452" s="51">
        <v>4622.28</v>
      </c>
      <c r="J4452" s="281">
        <f>++Tabla4[[#This Row],[Precio Bruto]]*1.16</f>
        <v>5361.8447999999989</v>
      </c>
      <c r="K4452" s="281">
        <f>+Tabla4[[#This Row],[Precio Unitario Neto]]*Tabla4[[#Headers],[20.85%]]</f>
        <v>1117.9446407999997</v>
      </c>
      <c r="L4452" s="282">
        <f>++Tabla4[[#This Row],[Precio Unitario Neto]]-Tabla4[[#This Row],[20.85%]]</f>
        <v>4243.9001591999995</v>
      </c>
      <c r="M4452" s="282" t="e">
        <f>(INDEX(Tabla6[#All],MATCH(Tabla4[[#This Row],[Producto]],Tabla6[[#All],[PRODUCTO]],0),MATCH(Tabla4[[#This Row],[Mes]],Tabla6[#Headers],0)))*(1+Catalogos!$L$2)</f>
        <v>#N/A</v>
      </c>
      <c r="N4452" s="283" t="e">
        <f>+(Tabla4[[#This Row],[Precio Descontado]]-Tabla4[[#This Row],[Precio Base]])*Tabla4[[#This Row],[Cantidad]]</f>
        <v>#N/A</v>
      </c>
      <c r="O4452" s="284" t="e">
        <f>++Tabla4[[#This Row],[Utilidad Total]]/Tabla4[[#This Row],[Total]]</f>
        <v>#N/A</v>
      </c>
      <c r="P4452" s="282">
        <f>++Tabla4[[#This Row],[Precio Descontado]]*Tabla4[[#This Row],[Cantidad]]</f>
        <v>16975.600636799998</v>
      </c>
      <c r="Q4452" s="282" t="e">
        <f>(INDEX(Tabla6[#All],MATCH(Tabla4[[#This Row],[Producto]],Tabla6[[#All],[PRODUCTO]],0),MATCH(Tabla4[[#This Row],[Mes]],Tabla6[#Headers],0)))</f>
        <v>#N/A</v>
      </c>
      <c r="R4452" s="282" t="e">
        <f>++Tabla4[[#This Row],[Precio Unitario Neto]]-Tabla4[[#This Row],[20.85%]]-Tabla4[[#This Row],[Costo]]</f>
        <v>#N/A</v>
      </c>
      <c r="S4452" s="282" t="e">
        <f>++Tabla4[[#This Row],[U. Bruta Uni]]*Tabla4[[#This Row],[Cantidad]]</f>
        <v>#N/A</v>
      </c>
      <c r="T4452" s="369" t="str">
        <f>VLOOKUP(Tabla4[[#This Row],[Producto]],Tabla6[#All],14,FALSE)</f>
        <v>Termico Solar</v>
      </c>
      <c r="U4452" s="284" t="e">
        <f>(IF(Tabla4[[#This Row],[Familia]]="termico solar",Tabla4[[#This Row],[Utilidad Total]]*6%,Tabla4[[#This Row],[Utilidad Total]]*11.5%))/Tabla4[[#This Row],[Total]]</f>
        <v>#N/A</v>
      </c>
      <c r="V4452" s="282" t="e">
        <f>+Tabla4[[#This Row],[Comisión Calculada]]*Tabla4[[#This Row],[Total]]</f>
        <v>#N/A</v>
      </c>
    </row>
    <row r="4453" spans="1:22" hidden="1" x14ac:dyDescent="0.25">
      <c r="A4453" s="100">
        <v>45853</v>
      </c>
      <c r="B4453" t="str">
        <f t="shared" si="224"/>
        <v>July</v>
      </c>
      <c r="C4453" s="46" t="s">
        <v>280</v>
      </c>
      <c r="F4453" s="366" t="s">
        <v>2388</v>
      </c>
      <c r="G4453" s="46" t="s">
        <v>566</v>
      </c>
      <c r="H4453" s="46">
        <v>2</v>
      </c>
      <c r="I4453" s="51">
        <v>2109.4499999999998</v>
      </c>
      <c r="J4453" s="281">
        <f>++Tabla4[[#This Row],[Precio Bruto]]*1.16</f>
        <v>2446.9619999999995</v>
      </c>
      <c r="K4453" s="281">
        <f>+Tabla4[[#This Row],[Precio Unitario Neto]]*Tabla4[[#Headers],[20.85%]]</f>
        <v>510.19157699999988</v>
      </c>
      <c r="L4453" s="282">
        <f>++Tabla4[[#This Row],[Precio Unitario Neto]]-Tabla4[[#This Row],[20.85%]]</f>
        <v>1936.7704229999997</v>
      </c>
      <c r="M4453" s="282" t="e">
        <f>(INDEX(Tabla6[#All],MATCH(Tabla4[[#This Row],[Producto]],Tabla6[[#All],[PRODUCTO]],0),MATCH(Tabla4[[#This Row],[Mes]],Tabla6[#Headers],0)))*(1+Catalogos!$L$2)</f>
        <v>#N/A</v>
      </c>
      <c r="N4453" s="283" t="e">
        <f>+(Tabla4[[#This Row],[Precio Descontado]]-Tabla4[[#This Row],[Precio Base]])*Tabla4[[#This Row],[Cantidad]]</f>
        <v>#N/A</v>
      </c>
      <c r="O4453" s="284" t="e">
        <f>++Tabla4[[#This Row],[Utilidad Total]]/Tabla4[[#This Row],[Total]]</f>
        <v>#N/A</v>
      </c>
      <c r="P4453" s="282">
        <f>++Tabla4[[#This Row],[Precio Descontado]]*Tabla4[[#This Row],[Cantidad]]</f>
        <v>3873.5408459999994</v>
      </c>
      <c r="Q4453" s="282" t="e">
        <f>(INDEX(Tabla6[#All],MATCH(Tabla4[[#This Row],[Producto]],Tabla6[[#All],[PRODUCTO]],0),MATCH(Tabla4[[#This Row],[Mes]],Tabla6[#Headers],0)))</f>
        <v>#N/A</v>
      </c>
      <c r="R4453" s="282" t="e">
        <f>++Tabla4[[#This Row],[Precio Unitario Neto]]-Tabla4[[#This Row],[20.85%]]-Tabla4[[#This Row],[Costo]]</f>
        <v>#N/A</v>
      </c>
      <c r="S4453" s="282" t="e">
        <f>++Tabla4[[#This Row],[U. Bruta Uni]]*Tabla4[[#This Row],[Cantidad]]</f>
        <v>#N/A</v>
      </c>
      <c r="T4453" s="369" t="str">
        <f>VLOOKUP(Tabla4[[#This Row],[Producto]],Tabla6[#All],14,FALSE)</f>
        <v>Termico Solar</v>
      </c>
      <c r="U4453" s="284" t="e">
        <f>(IF(Tabla4[[#This Row],[Familia]]="termico solar",Tabla4[[#This Row],[Utilidad Total]]*6%,Tabla4[[#This Row],[Utilidad Total]]*11.5%))/Tabla4[[#This Row],[Total]]</f>
        <v>#N/A</v>
      </c>
      <c r="V4453" s="282" t="e">
        <f>+Tabla4[[#This Row],[Comisión Calculada]]*Tabla4[[#This Row],[Total]]</f>
        <v>#N/A</v>
      </c>
    </row>
    <row r="4454" spans="1:22" hidden="1" x14ac:dyDescent="0.25">
      <c r="A4454" s="100">
        <v>45853</v>
      </c>
      <c r="B4454" t="str">
        <f t="shared" si="224"/>
        <v>July</v>
      </c>
      <c r="C4454" s="46" t="s">
        <v>280</v>
      </c>
      <c r="F4454" s="366" t="s">
        <v>2389</v>
      </c>
      <c r="G4454" s="46" t="s">
        <v>566</v>
      </c>
      <c r="H4454" s="46">
        <v>1</v>
      </c>
      <c r="I4454" s="51">
        <v>2109.4499999999998</v>
      </c>
      <c r="J4454" s="281">
        <f>++Tabla4[[#This Row],[Precio Bruto]]*1.16</f>
        <v>2446.9619999999995</v>
      </c>
      <c r="K4454" s="281">
        <f>+Tabla4[[#This Row],[Precio Unitario Neto]]*Tabla4[[#Headers],[20.85%]]</f>
        <v>510.19157699999988</v>
      </c>
      <c r="L4454" s="282">
        <f>++Tabla4[[#This Row],[Precio Unitario Neto]]-Tabla4[[#This Row],[20.85%]]</f>
        <v>1936.7704229999997</v>
      </c>
      <c r="M4454" s="282" t="e">
        <f>(INDEX(Tabla6[#All],MATCH(Tabla4[[#This Row],[Producto]],Tabla6[[#All],[PRODUCTO]],0),MATCH(Tabla4[[#This Row],[Mes]],Tabla6[#Headers],0)))*(1+Catalogos!$L$2)</f>
        <v>#N/A</v>
      </c>
      <c r="N4454" s="283" t="e">
        <f>+(Tabla4[[#This Row],[Precio Descontado]]-Tabla4[[#This Row],[Precio Base]])*Tabla4[[#This Row],[Cantidad]]</f>
        <v>#N/A</v>
      </c>
      <c r="O4454" s="284" t="e">
        <f>++Tabla4[[#This Row],[Utilidad Total]]/Tabla4[[#This Row],[Total]]</f>
        <v>#N/A</v>
      </c>
      <c r="P4454" s="282">
        <f>++Tabla4[[#This Row],[Precio Descontado]]*Tabla4[[#This Row],[Cantidad]]</f>
        <v>1936.7704229999997</v>
      </c>
      <c r="Q4454" s="282" t="e">
        <f>(INDEX(Tabla6[#All],MATCH(Tabla4[[#This Row],[Producto]],Tabla6[[#All],[PRODUCTO]],0),MATCH(Tabla4[[#This Row],[Mes]],Tabla6[#Headers],0)))</f>
        <v>#N/A</v>
      </c>
      <c r="R4454" s="282" t="e">
        <f>++Tabla4[[#This Row],[Precio Unitario Neto]]-Tabla4[[#This Row],[20.85%]]-Tabla4[[#This Row],[Costo]]</f>
        <v>#N/A</v>
      </c>
      <c r="S4454" s="282" t="e">
        <f>++Tabla4[[#This Row],[U. Bruta Uni]]*Tabla4[[#This Row],[Cantidad]]</f>
        <v>#N/A</v>
      </c>
      <c r="T4454" s="369" t="str">
        <f>VLOOKUP(Tabla4[[#This Row],[Producto]],Tabla6[#All],14,FALSE)</f>
        <v>Termico Solar</v>
      </c>
      <c r="U4454" s="284" t="e">
        <f>(IF(Tabla4[[#This Row],[Familia]]="termico solar",Tabla4[[#This Row],[Utilidad Total]]*6%,Tabla4[[#This Row],[Utilidad Total]]*11.5%))/Tabla4[[#This Row],[Total]]</f>
        <v>#N/A</v>
      </c>
      <c r="V4454" s="282" t="e">
        <f>+Tabla4[[#This Row],[Comisión Calculada]]*Tabla4[[#This Row],[Total]]</f>
        <v>#N/A</v>
      </c>
    </row>
    <row r="4455" spans="1:22" hidden="1" x14ac:dyDescent="0.25">
      <c r="A4455" s="100">
        <v>45853</v>
      </c>
      <c r="B4455" t="str">
        <f t="shared" si="224"/>
        <v>July</v>
      </c>
      <c r="C4455" s="46" t="s">
        <v>280</v>
      </c>
      <c r="F4455" s="366" t="s">
        <v>2389</v>
      </c>
      <c r="G4455" s="46" t="s">
        <v>394</v>
      </c>
      <c r="H4455" s="46">
        <v>9</v>
      </c>
      <c r="I4455" s="51">
        <v>108.1</v>
      </c>
      <c r="J4455" s="281">
        <f>++Tabla4[[#This Row],[Precio Bruto]]*1.16</f>
        <v>125.39599999999999</v>
      </c>
      <c r="K4455" s="281">
        <f>+Tabla4[[#This Row],[Precio Unitario Neto]]*Tabla4[[#Headers],[20.85%]]</f>
        <v>26.145065999999996</v>
      </c>
      <c r="L4455" s="282">
        <f>++Tabla4[[#This Row],[Precio Unitario Neto]]-Tabla4[[#This Row],[20.85%]]</f>
        <v>99.250933999999987</v>
      </c>
      <c r="M4455" s="282" t="e">
        <f>(INDEX(Tabla6[#All],MATCH(Tabla4[[#This Row],[Producto]],Tabla6[[#All],[PRODUCTO]],0),MATCH(Tabla4[[#This Row],[Mes]],Tabla6[#Headers],0)))*(1+Catalogos!$L$2)</f>
        <v>#N/A</v>
      </c>
      <c r="N4455" s="283" t="e">
        <f>+(Tabla4[[#This Row],[Precio Descontado]]-Tabla4[[#This Row],[Precio Base]])*Tabla4[[#This Row],[Cantidad]]</f>
        <v>#N/A</v>
      </c>
      <c r="O4455" s="284" t="e">
        <f>++Tabla4[[#This Row],[Utilidad Total]]/Tabla4[[#This Row],[Total]]</f>
        <v>#N/A</v>
      </c>
      <c r="P4455" s="282">
        <f>++Tabla4[[#This Row],[Precio Descontado]]*Tabla4[[#This Row],[Cantidad]]</f>
        <v>893.25840599999992</v>
      </c>
      <c r="Q4455" s="282" t="e">
        <f>(INDEX(Tabla6[#All],MATCH(Tabla4[[#This Row],[Producto]],Tabla6[[#All],[PRODUCTO]],0),MATCH(Tabla4[[#This Row],[Mes]],Tabla6[#Headers],0)))</f>
        <v>#N/A</v>
      </c>
      <c r="R4455" s="282" t="e">
        <f>++Tabla4[[#This Row],[Precio Unitario Neto]]-Tabla4[[#This Row],[20.85%]]-Tabla4[[#This Row],[Costo]]</f>
        <v>#N/A</v>
      </c>
      <c r="S4455" s="282" t="e">
        <f>++Tabla4[[#This Row],[U. Bruta Uni]]*Tabla4[[#This Row],[Cantidad]]</f>
        <v>#N/A</v>
      </c>
      <c r="T4455" s="369" t="str">
        <f>VLOOKUP(Tabla4[[#This Row],[Producto]],Tabla6[#All],14,FALSE)</f>
        <v>Termico Solar</v>
      </c>
      <c r="U4455" s="284" t="e">
        <f>(IF(Tabla4[[#This Row],[Familia]]="termico solar",Tabla4[[#This Row],[Utilidad Total]]*6%,Tabla4[[#This Row],[Utilidad Total]]*11.5%))/Tabla4[[#This Row],[Total]]</f>
        <v>#N/A</v>
      </c>
      <c r="V4455" s="282" t="e">
        <f>+Tabla4[[#This Row],[Comisión Calculada]]*Tabla4[[#This Row],[Total]]</f>
        <v>#N/A</v>
      </c>
    </row>
    <row r="4456" spans="1:22" hidden="1" x14ac:dyDescent="0.25">
      <c r="A4456" s="100">
        <v>45853</v>
      </c>
      <c r="B4456" t="str">
        <f t="shared" si="224"/>
        <v>July</v>
      </c>
      <c r="C4456" s="46" t="s">
        <v>280</v>
      </c>
      <c r="F4456" s="366" t="s">
        <v>2389</v>
      </c>
      <c r="G4456" s="46" t="s">
        <v>16</v>
      </c>
      <c r="H4456" s="46">
        <v>1</v>
      </c>
      <c r="I4456" s="51">
        <v>4103.8500000000004</v>
      </c>
      <c r="J4456" s="281">
        <f>++Tabla4[[#This Row],[Precio Bruto]]*1.16</f>
        <v>4760.4660000000003</v>
      </c>
      <c r="K4456" s="281">
        <f>+Tabla4[[#This Row],[Precio Unitario Neto]]*Tabla4[[#Headers],[20.85%]]</f>
        <v>992.55716100000006</v>
      </c>
      <c r="L4456" s="282">
        <f>++Tabla4[[#This Row],[Precio Unitario Neto]]-Tabla4[[#This Row],[20.85%]]</f>
        <v>3767.9088390000002</v>
      </c>
      <c r="M4456" s="282" t="e">
        <f>(INDEX(Tabla6[#All],MATCH(Tabla4[[#This Row],[Producto]],Tabla6[[#All],[PRODUCTO]],0),MATCH(Tabla4[[#This Row],[Mes]],Tabla6[#Headers],0)))*(1+Catalogos!$L$2)</f>
        <v>#N/A</v>
      </c>
      <c r="N4456" s="283" t="e">
        <f>+(Tabla4[[#This Row],[Precio Descontado]]-Tabla4[[#This Row],[Precio Base]])*Tabla4[[#This Row],[Cantidad]]</f>
        <v>#N/A</v>
      </c>
      <c r="O4456" s="284" t="e">
        <f>++Tabla4[[#This Row],[Utilidad Total]]/Tabla4[[#This Row],[Total]]</f>
        <v>#N/A</v>
      </c>
      <c r="P4456" s="282">
        <f>++Tabla4[[#This Row],[Precio Descontado]]*Tabla4[[#This Row],[Cantidad]]</f>
        <v>3767.9088390000002</v>
      </c>
      <c r="Q4456" s="282" t="e">
        <f>(INDEX(Tabla6[#All],MATCH(Tabla4[[#This Row],[Producto]],Tabla6[[#All],[PRODUCTO]],0),MATCH(Tabla4[[#This Row],[Mes]],Tabla6[#Headers],0)))</f>
        <v>#N/A</v>
      </c>
      <c r="R4456" s="282" t="e">
        <f>++Tabla4[[#This Row],[Precio Unitario Neto]]-Tabla4[[#This Row],[20.85%]]-Tabla4[[#This Row],[Costo]]</f>
        <v>#N/A</v>
      </c>
      <c r="S4456" s="282" t="e">
        <f>++Tabla4[[#This Row],[U. Bruta Uni]]*Tabla4[[#This Row],[Cantidad]]</f>
        <v>#N/A</v>
      </c>
      <c r="T4456" s="369" t="str">
        <f>VLOOKUP(Tabla4[[#This Row],[Producto]],Tabla6[#All],14,FALSE)</f>
        <v>Termico Solar</v>
      </c>
      <c r="U4456" s="284" t="e">
        <f>(IF(Tabla4[[#This Row],[Familia]]="termico solar",Tabla4[[#This Row],[Utilidad Total]]*6%,Tabla4[[#This Row],[Utilidad Total]]*11.5%))/Tabla4[[#This Row],[Total]]</f>
        <v>#N/A</v>
      </c>
      <c r="V4456" s="282" t="e">
        <f>+Tabla4[[#This Row],[Comisión Calculada]]*Tabla4[[#This Row],[Total]]</f>
        <v>#N/A</v>
      </c>
    </row>
    <row r="4457" spans="1:22" hidden="1" x14ac:dyDescent="0.25">
      <c r="A4457" s="100">
        <v>45853</v>
      </c>
      <c r="B4457" t="str">
        <f t="shared" si="224"/>
        <v>July</v>
      </c>
      <c r="C4457" s="46" t="s">
        <v>280</v>
      </c>
      <c r="F4457" s="366" t="s">
        <v>2390</v>
      </c>
      <c r="G4457" s="46" t="s">
        <v>200</v>
      </c>
      <c r="H4457" s="46">
        <v>12</v>
      </c>
      <c r="I4457" s="51">
        <v>393.22</v>
      </c>
      <c r="J4457" s="281">
        <f>++Tabla4[[#This Row],[Precio Bruto]]*1.16</f>
        <v>456.1352</v>
      </c>
      <c r="K4457" s="281">
        <f>+Tabla4[[#This Row],[Precio Unitario Neto]]*Tabla4[[#Headers],[20.85%]]</f>
        <v>95.104189199999993</v>
      </c>
      <c r="L4457" s="282">
        <f>++Tabla4[[#This Row],[Precio Unitario Neto]]-Tabla4[[#This Row],[20.85%]]</f>
        <v>361.03101079999999</v>
      </c>
      <c r="M4457" s="282" t="e">
        <f>(INDEX(Tabla6[#All],MATCH(Tabla4[[#This Row],[Producto]],Tabla6[[#All],[PRODUCTO]],0),MATCH(Tabla4[[#This Row],[Mes]],Tabla6[#Headers],0)))*(1+Catalogos!$L$2)</f>
        <v>#N/A</v>
      </c>
      <c r="N4457" s="283" t="e">
        <f>+(Tabla4[[#This Row],[Precio Descontado]]-Tabla4[[#This Row],[Precio Base]])*Tabla4[[#This Row],[Cantidad]]</f>
        <v>#N/A</v>
      </c>
      <c r="O4457" s="284" t="e">
        <f>++Tabla4[[#This Row],[Utilidad Total]]/Tabla4[[#This Row],[Total]]</f>
        <v>#N/A</v>
      </c>
      <c r="P4457" s="282">
        <f>++Tabla4[[#This Row],[Precio Descontado]]*Tabla4[[#This Row],[Cantidad]]</f>
        <v>4332.3721296000003</v>
      </c>
      <c r="Q4457" s="282" t="e">
        <f>(INDEX(Tabla6[#All],MATCH(Tabla4[[#This Row],[Producto]],Tabla6[[#All],[PRODUCTO]],0),MATCH(Tabla4[[#This Row],[Mes]],Tabla6[#Headers],0)))</f>
        <v>#N/A</v>
      </c>
      <c r="R4457" s="282" t="e">
        <f>++Tabla4[[#This Row],[Precio Unitario Neto]]-Tabla4[[#This Row],[20.85%]]-Tabla4[[#This Row],[Costo]]</f>
        <v>#N/A</v>
      </c>
      <c r="S4457" s="282" t="e">
        <f>++Tabla4[[#This Row],[U. Bruta Uni]]*Tabla4[[#This Row],[Cantidad]]</f>
        <v>#N/A</v>
      </c>
      <c r="T4457" s="369" t="str">
        <f>VLOOKUP(Tabla4[[#This Row],[Producto]],Tabla6[#All],14,FALSE)</f>
        <v>Termico Solar</v>
      </c>
      <c r="U4457" s="284" t="e">
        <f>(IF(Tabla4[[#This Row],[Familia]]="termico solar",Tabla4[[#This Row],[Utilidad Total]]*6%,Tabla4[[#This Row],[Utilidad Total]]*11.5%))/Tabla4[[#This Row],[Total]]</f>
        <v>#N/A</v>
      </c>
      <c r="V4457" s="282" t="e">
        <f>+Tabla4[[#This Row],[Comisión Calculada]]*Tabla4[[#This Row],[Total]]</f>
        <v>#N/A</v>
      </c>
    </row>
    <row r="4458" spans="1:22" hidden="1" x14ac:dyDescent="0.25">
      <c r="A4458" s="100">
        <v>45853</v>
      </c>
      <c r="B4458" t="str">
        <f t="shared" si="224"/>
        <v>July</v>
      </c>
      <c r="C4458" s="46" t="s">
        <v>280</v>
      </c>
      <c r="F4458" s="366" t="s">
        <v>2390</v>
      </c>
      <c r="G4458" s="46" t="s">
        <v>545</v>
      </c>
      <c r="H4458" s="46">
        <v>24</v>
      </c>
      <c r="I4458" s="51">
        <v>304.32</v>
      </c>
      <c r="J4458" s="281">
        <f>++Tabla4[[#This Row],[Precio Bruto]]*1.16</f>
        <v>353.01119999999997</v>
      </c>
      <c r="K4458" s="281">
        <f>+Tabla4[[#This Row],[Precio Unitario Neto]]*Tabla4[[#Headers],[20.85%]]</f>
        <v>73.602835199999987</v>
      </c>
      <c r="L4458" s="282">
        <f>++Tabla4[[#This Row],[Precio Unitario Neto]]-Tabla4[[#This Row],[20.85%]]</f>
        <v>279.40836479999996</v>
      </c>
      <c r="M4458" s="282" t="e">
        <f>(INDEX(Tabla6[#All],MATCH(Tabla4[[#This Row],[Producto]],Tabla6[[#All],[PRODUCTO]],0),MATCH(Tabla4[[#This Row],[Mes]],Tabla6[#Headers],0)))*(1+Catalogos!$L$2)</f>
        <v>#N/A</v>
      </c>
      <c r="N4458" s="283" t="e">
        <f>+(Tabla4[[#This Row],[Precio Descontado]]-Tabla4[[#This Row],[Precio Base]])*Tabla4[[#This Row],[Cantidad]]</f>
        <v>#N/A</v>
      </c>
      <c r="O4458" s="284" t="e">
        <f>++Tabla4[[#This Row],[Utilidad Total]]/Tabla4[[#This Row],[Total]]</f>
        <v>#N/A</v>
      </c>
      <c r="P4458" s="282">
        <f>++Tabla4[[#This Row],[Precio Descontado]]*Tabla4[[#This Row],[Cantidad]]</f>
        <v>6705.800755199999</v>
      </c>
      <c r="Q4458" s="282" t="e">
        <f>(INDEX(Tabla6[#All],MATCH(Tabla4[[#This Row],[Producto]],Tabla6[[#All],[PRODUCTO]],0),MATCH(Tabla4[[#This Row],[Mes]],Tabla6[#Headers],0)))</f>
        <v>#N/A</v>
      </c>
      <c r="R4458" s="282" t="e">
        <f>++Tabla4[[#This Row],[Precio Unitario Neto]]-Tabla4[[#This Row],[20.85%]]-Tabla4[[#This Row],[Costo]]</f>
        <v>#N/A</v>
      </c>
      <c r="S4458" s="282" t="e">
        <f>++Tabla4[[#This Row],[U. Bruta Uni]]*Tabla4[[#This Row],[Cantidad]]</f>
        <v>#N/A</v>
      </c>
      <c r="T4458" s="369" t="str">
        <f>VLOOKUP(Tabla4[[#This Row],[Producto]],Tabla6[#All],14,FALSE)</f>
        <v>Termico Solar</v>
      </c>
      <c r="U4458" s="284" t="e">
        <f>(IF(Tabla4[[#This Row],[Familia]]="termico solar",Tabla4[[#This Row],[Utilidad Total]]*6%,Tabla4[[#This Row],[Utilidad Total]]*11.5%))/Tabla4[[#This Row],[Total]]</f>
        <v>#N/A</v>
      </c>
      <c r="V4458" s="282" t="e">
        <f>+Tabla4[[#This Row],[Comisión Calculada]]*Tabla4[[#This Row],[Total]]</f>
        <v>#N/A</v>
      </c>
    </row>
    <row r="4459" spans="1:22" hidden="1" x14ac:dyDescent="0.25">
      <c r="A4459" s="100">
        <v>45853</v>
      </c>
      <c r="B4459" t="str">
        <f t="shared" si="224"/>
        <v>July</v>
      </c>
      <c r="C4459" s="46" t="s">
        <v>280</v>
      </c>
      <c r="F4459" s="366" t="s">
        <v>2390</v>
      </c>
      <c r="G4459" s="46" t="s">
        <v>209</v>
      </c>
      <c r="H4459" s="46">
        <v>2</v>
      </c>
      <c r="I4459" s="51">
        <v>347.48</v>
      </c>
      <c r="J4459" s="281">
        <f>++Tabla4[[#This Row],[Precio Bruto]]*1.16</f>
        <v>403.07679999999999</v>
      </c>
      <c r="K4459" s="281">
        <f>+Tabla4[[#This Row],[Precio Unitario Neto]]*Tabla4[[#Headers],[20.85%]]</f>
        <v>84.041512799999992</v>
      </c>
      <c r="L4459" s="282">
        <f>++Tabla4[[#This Row],[Precio Unitario Neto]]-Tabla4[[#This Row],[20.85%]]</f>
        <v>319.03528719999997</v>
      </c>
      <c r="M4459" s="282" t="e">
        <f>(INDEX(Tabla6[#All],MATCH(Tabla4[[#This Row],[Producto]],Tabla6[[#All],[PRODUCTO]],0),MATCH(Tabla4[[#This Row],[Mes]],Tabla6[#Headers],0)))*(1+Catalogos!$L$2)</f>
        <v>#N/A</v>
      </c>
      <c r="N4459" s="283" t="e">
        <f>+(Tabla4[[#This Row],[Precio Descontado]]-Tabla4[[#This Row],[Precio Base]])*Tabla4[[#This Row],[Cantidad]]</f>
        <v>#N/A</v>
      </c>
      <c r="O4459" s="284" t="e">
        <f>++Tabla4[[#This Row],[Utilidad Total]]/Tabla4[[#This Row],[Total]]</f>
        <v>#N/A</v>
      </c>
      <c r="P4459" s="282">
        <f>++Tabla4[[#This Row],[Precio Descontado]]*Tabla4[[#This Row],[Cantidad]]</f>
        <v>638.07057439999994</v>
      </c>
      <c r="Q4459" s="282" t="e">
        <f>(INDEX(Tabla6[#All],MATCH(Tabla4[[#This Row],[Producto]],Tabla6[[#All],[PRODUCTO]],0),MATCH(Tabla4[[#This Row],[Mes]],Tabla6[#Headers],0)))</f>
        <v>#N/A</v>
      </c>
      <c r="R4459" s="282" t="e">
        <f>++Tabla4[[#This Row],[Precio Unitario Neto]]-Tabla4[[#This Row],[20.85%]]-Tabla4[[#This Row],[Costo]]</f>
        <v>#N/A</v>
      </c>
      <c r="S4459" s="282" t="e">
        <f>++Tabla4[[#This Row],[U. Bruta Uni]]*Tabla4[[#This Row],[Cantidad]]</f>
        <v>#N/A</v>
      </c>
      <c r="T4459" s="369" t="str">
        <f>VLOOKUP(Tabla4[[#This Row],[Producto]],Tabla6[#All],14,FALSE)</f>
        <v>Termico Solar</v>
      </c>
      <c r="U4459" s="284" t="e">
        <f>(IF(Tabla4[[#This Row],[Familia]]="termico solar",Tabla4[[#This Row],[Utilidad Total]]*6%,Tabla4[[#This Row],[Utilidad Total]]*11.5%))/Tabla4[[#This Row],[Total]]</f>
        <v>#N/A</v>
      </c>
      <c r="V4459" s="282" t="e">
        <f>+Tabla4[[#This Row],[Comisión Calculada]]*Tabla4[[#This Row],[Total]]</f>
        <v>#N/A</v>
      </c>
    </row>
    <row r="4460" spans="1:22" hidden="1" x14ac:dyDescent="0.25">
      <c r="A4460" s="100">
        <v>45853</v>
      </c>
      <c r="B4460" t="str">
        <f t="shared" si="224"/>
        <v>July</v>
      </c>
      <c r="C4460" s="46" t="s">
        <v>280</v>
      </c>
      <c r="F4460" s="366" t="s">
        <v>2391</v>
      </c>
      <c r="G4460" s="46" t="s">
        <v>83</v>
      </c>
      <c r="H4460" s="46">
        <v>1</v>
      </c>
      <c r="I4460" s="51">
        <v>8858.76</v>
      </c>
      <c r="J4460" s="281">
        <f>++Tabla4[[#This Row],[Precio Bruto]]*1.16</f>
        <v>10276.161599999999</v>
      </c>
      <c r="K4460" s="281">
        <f>+Tabla4[[#This Row],[Precio Unitario Neto]]*Tabla4[[#Headers],[20.85%]]</f>
        <v>2142.5796935999997</v>
      </c>
      <c r="L4460" s="282">
        <f>++Tabla4[[#This Row],[Precio Unitario Neto]]-Tabla4[[#This Row],[20.85%]]</f>
        <v>8133.5819063999998</v>
      </c>
      <c r="M4460" s="282" t="e">
        <f>(INDEX(Tabla6[#All],MATCH(Tabla4[[#This Row],[Producto]],Tabla6[[#All],[PRODUCTO]],0),MATCH(Tabla4[[#This Row],[Mes]],Tabla6[#Headers],0)))*(1+Catalogos!$L$2)</f>
        <v>#N/A</v>
      </c>
      <c r="N4460" s="283" t="e">
        <f>+(Tabla4[[#This Row],[Precio Descontado]]-Tabla4[[#This Row],[Precio Base]])*Tabla4[[#This Row],[Cantidad]]</f>
        <v>#N/A</v>
      </c>
      <c r="O4460" s="284" t="e">
        <f>++Tabla4[[#This Row],[Utilidad Total]]/Tabla4[[#This Row],[Total]]</f>
        <v>#N/A</v>
      </c>
      <c r="P4460" s="282">
        <f>++Tabla4[[#This Row],[Precio Descontado]]*Tabla4[[#This Row],[Cantidad]]</f>
        <v>8133.5819063999998</v>
      </c>
      <c r="Q4460" s="282" t="e">
        <f>(INDEX(Tabla6[#All],MATCH(Tabla4[[#This Row],[Producto]],Tabla6[[#All],[PRODUCTO]],0),MATCH(Tabla4[[#This Row],[Mes]],Tabla6[#Headers],0)))</f>
        <v>#N/A</v>
      </c>
      <c r="R4460" s="282" t="e">
        <f>++Tabla4[[#This Row],[Precio Unitario Neto]]-Tabla4[[#This Row],[20.85%]]-Tabla4[[#This Row],[Costo]]</f>
        <v>#N/A</v>
      </c>
      <c r="S4460" s="282" t="e">
        <f>++Tabla4[[#This Row],[U. Bruta Uni]]*Tabla4[[#This Row],[Cantidad]]</f>
        <v>#N/A</v>
      </c>
      <c r="T4460" s="369" t="str">
        <f>VLOOKUP(Tabla4[[#This Row],[Producto]],Tabla6[#All],14,FALSE)</f>
        <v>Termico Solar</v>
      </c>
      <c r="U4460" s="284" t="e">
        <f>(IF(Tabla4[[#This Row],[Familia]]="termico solar",Tabla4[[#This Row],[Utilidad Total]]*6%,Tabla4[[#This Row],[Utilidad Total]]*11.5%))/Tabla4[[#This Row],[Total]]</f>
        <v>#N/A</v>
      </c>
      <c r="V4460" s="282" t="e">
        <f>+Tabla4[[#This Row],[Comisión Calculada]]*Tabla4[[#This Row],[Total]]</f>
        <v>#N/A</v>
      </c>
    </row>
    <row r="4461" spans="1:22" hidden="1" x14ac:dyDescent="0.25">
      <c r="A4461" s="100">
        <v>45853</v>
      </c>
      <c r="B4461" t="str">
        <f t="shared" si="224"/>
        <v>July</v>
      </c>
      <c r="C4461" s="46" t="s">
        <v>280</v>
      </c>
      <c r="F4461" s="366" t="s">
        <v>2392</v>
      </c>
      <c r="G4461" s="46" t="s">
        <v>16</v>
      </c>
      <c r="H4461" s="46">
        <v>1</v>
      </c>
      <c r="I4461" s="51">
        <v>4103.8500000000004</v>
      </c>
      <c r="J4461" s="281">
        <f>++Tabla4[[#This Row],[Precio Bruto]]*1.16</f>
        <v>4760.4660000000003</v>
      </c>
      <c r="K4461" s="281">
        <f>+Tabla4[[#This Row],[Precio Unitario Neto]]*Tabla4[[#Headers],[20.85%]]</f>
        <v>992.55716100000006</v>
      </c>
      <c r="L4461" s="282">
        <f>++Tabla4[[#This Row],[Precio Unitario Neto]]-Tabla4[[#This Row],[20.85%]]</f>
        <v>3767.9088390000002</v>
      </c>
      <c r="M4461" s="282" t="e">
        <f>(INDEX(Tabla6[#All],MATCH(Tabla4[[#This Row],[Producto]],Tabla6[[#All],[PRODUCTO]],0),MATCH(Tabla4[[#This Row],[Mes]],Tabla6[#Headers],0)))*(1+Catalogos!$L$2)</f>
        <v>#N/A</v>
      </c>
      <c r="N4461" s="283" t="e">
        <f>+(Tabla4[[#This Row],[Precio Descontado]]-Tabla4[[#This Row],[Precio Base]])*Tabla4[[#This Row],[Cantidad]]</f>
        <v>#N/A</v>
      </c>
      <c r="O4461" s="284" t="e">
        <f>++Tabla4[[#This Row],[Utilidad Total]]/Tabla4[[#This Row],[Total]]</f>
        <v>#N/A</v>
      </c>
      <c r="P4461" s="282">
        <f>++Tabla4[[#This Row],[Precio Descontado]]*Tabla4[[#This Row],[Cantidad]]</f>
        <v>3767.9088390000002</v>
      </c>
      <c r="Q4461" s="282" t="e">
        <f>(INDEX(Tabla6[#All],MATCH(Tabla4[[#This Row],[Producto]],Tabla6[[#All],[PRODUCTO]],0),MATCH(Tabla4[[#This Row],[Mes]],Tabla6[#Headers],0)))</f>
        <v>#N/A</v>
      </c>
      <c r="R4461" s="282" t="e">
        <f>++Tabla4[[#This Row],[Precio Unitario Neto]]-Tabla4[[#This Row],[20.85%]]-Tabla4[[#This Row],[Costo]]</f>
        <v>#N/A</v>
      </c>
      <c r="S4461" s="282" t="e">
        <f>++Tabla4[[#This Row],[U. Bruta Uni]]*Tabla4[[#This Row],[Cantidad]]</f>
        <v>#N/A</v>
      </c>
      <c r="T4461" s="369" t="str">
        <f>VLOOKUP(Tabla4[[#This Row],[Producto]],Tabla6[#All],14,FALSE)</f>
        <v>Termico Solar</v>
      </c>
      <c r="U4461" s="284" t="e">
        <f>(IF(Tabla4[[#This Row],[Familia]]="termico solar",Tabla4[[#This Row],[Utilidad Total]]*6%,Tabla4[[#This Row],[Utilidad Total]]*11.5%))/Tabla4[[#This Row],[Total]]</f>
        <v>#N/A</v>
      </c>
      <c r="V4461" s="282" t="e">
        <f>+Tabla4[[#This Row],[Comisión Calculada]]*Tabla4[[#This Row],[Total]]</f>
        <v>#N/A</v>
      </c>
    </row>
    <row r="4462" spans="1:22" hidden="1" x14ac:dyDescent="0.25">
      <c r="A4462" s="100">
        <v>45853</v>
      </c>
      <c r="B4462" t="str">
        <f t="shared" si="224"/>
        <v>July</v>
      </c>
      <c r="C4462" s="46" t="s">
        <v>280</v>
      </c>
      <c r="F4462" s="366" t="s">
        <v>2392</v>
      </c>
      <c r="G4462" s="46" t="s">
        <v>394</v>
      </c>
      <c r="H4462" s="46">
        <v>16</v>
      </c>
      <c r="I4462" s="51">
        <v>224.29</v>
      </c>
      <c r="J4462" s="281">
        <f>++Tabla4[[#This Row],[Precio Bruto]]*1.16</f>
        <v>260.1764</v>
      </c>
      <c r="K4462" s="281">
        <f>+Tabla4[[#This Row],[Precio Unitario Neto]]*Tabla4[[#Headers],[20.85%]]</f>
        <v>54.246779400000001</v>
      </c>
      <c r="L4462" s="282">
        <f>++Tabla4[[#This Row],[Precio Unitario Neto]]-Tabla4[[#This Row],[20.85%]]</f>
        <v>205.92962059999999</v>
      </c>
      <c r="M4462" s="282" t="e">
        <f>(INDEX(Tabla6[#All],MATCH(Tabla4[[#This Row],[Producto]],Tabla6[[#All],[PRODUCTO]],0),MATCH(Tabla4[[#This Row],[Mes]],Tabla6[#Headers],0)))*(1+Catalogos!$L$2)</f>
        <v>#N/A</v>
      </c>
      <c r="N4462" s="283" t="e">
        <f>+(Tabla4[[#This Row],[Precio Descontado]]-Tabla4[[#This Row],[Precio Base]])*Tabla4[[#This Row],[Cantidad]]</f>
        <v>#N/A</v>
      </c>
      <c r="O4462" s="284" t="e">
        <f>++Tabla4[[#This Row],[Utilidad Total]]/Tabla4[[#This Row],[Total]]</f>
        <v>#N/A</v>
      </c>
      <c r="P4462" s="282">
        <f>++Tabla4[[#This Row],[Precio Descontado]]*Tabla4[[#This Row],[Cantidad]]</f>
        <v>3294.8739295999999</v>
      </c>
      <c r="Q4462" s="282" t="e">
        <f>(INDEX(Tabla6[#All],MATCH(Tabla4[[#This Row],[Producto]],Tabla6[[#All],[PRODUCTO]],0),MATCH(Tabla4[[#This Row],[Mes]],Tabla6[#Headers],0)))</f>
        <v>#N/A</v>
      </c>
      <c r="R4462" s="282" t="e">
        <f>++Tabla4[[#This Row],[Precio Unitario Neto]]-Tabla4[[#This Row],[20.85%]]-Tabla4[[#This Row],[Costo]]</f>
        <v>#N/A</v>
      </c>
      <c r="S4462" s="282" t="e">
        <f>++Tabla4[[#This Row],[U. Bruta Uni]]*Tabla4[[#This Row],[Cantidad]]</f>
        <v>#N/A</v>
      </c>
      <c r="T4462" s="369" t="str">
        <f>VLOOKUP(Tabla4[[#This Row],[Producto]],Tabla6[#All],14,FALSE)</f>
        <v>Termico Solar</v>
      </c>
      <c r="U4462" s="284" t="e">
        <f>(IF(Tabla4[[#This Row],[Familia]]="termico solar",Tabla4[[#This Row],[Utilidad Total]]*6%,Tabla4[[#This Row],[Utilidad Total]]*11.5%))/Tabla4[[#This Row],[Total]]</f>
        <v>#N/A</v>
      </c>
      <c r="V4462" s="282" t="e">
        <f>+Tabla4[[#This Row],[Comisión Calculada]]*Tabla4[[#This Row],[Total]]</f>
        <v>#N/A</v>
      </c>
    </row>
    <row r="4463" spans="1:22" hidden="1" x14ac:dyDescent="0.25">
      <c r="A4463" s="100">
        <v>45853</v>
      </c>
      <c r="B4463" t="str">
        <f t="shared" si="224"/>
        <v>July</v>
      </c>
      <c r="C4463" s="46" t="s">
        <v>280</v>
      </c>
      <c r="F4463" s="366" t="s">
        <v>2393</v>
      </c>
      <c r="G4463" s="46" t="s">
        <v>412</v>
      </c>
      <c r="H4463" s="46">
        <v>1</v>
      </c>
      <c r="I4463" s="51">
        <v>3240.84</v>
      </c>
      <c r="J4463" s="281">
        <f>++Tabla4[[#This Row],[Precio Bruto]]*1.16</f>
        <v>3759.3743999999997</v>
      </c>
      <c r="K4463" s="281">
        <f>+Tabla4[[#This Row],[Precio Unitario Neto]]*Tabla4[[#Headers],[20.85%]]</f>
        <v>783.82956239999987</v>
      </c>
      <c r="L4463" s="282">
        <f>++Tabla4[[#This Row],[Precio Unitario Neto]]-Tabla4[[#This Row],[20.85%]]</f>
        <v>2975.5448375999999</v>
      </c>
      <c r="M4463" s="282" t="e">
        <f>(INDEX(Tabla6[#All],MATCH(Tabla4[[#This Row],[Producto]],Tabla6[[#All],[PRODUCTO]],0),MATCH(Tabla4[[#This Row],[Mes]],Tabla6[#Headers],0)))*(1+Catalogos!$L$2)</f>
        <v>#N/A</v>
      </c>
      <c r="N4463" s="283" t="e">
        <f>+(Tabla4[[#This Row],[Precio Descontado]]-Tabla4[[#This Row],[Precio Base]])*Tabla4[[#This Row],[Cantidad]]</f>
        <v>#N/A</v>
      </c>
      <c r="O4463" s="284" t="e">
        <f>++Tabla4[[#This Row],[Utilidad Total]]/Tabla4[[#This Row],[Total]]</f>
        <v>#N/A</v>
      </c>
      <c r="P4463" s="282">
        <f>++Tabla4[[#This Row],[Precio Descontado]]*Tabla4[[#This Row],[Cantidad]]</f>
        <v>2975.5448375999999</v>
      </c>
      <c r="Q4463" s="282" t="e">
        <f>(INDEX(Tabla6[#All],MATCH(Tabla4[[#This Row],[Producto]],Tabla6[[#All],[PRODUCTO]],0),MATCH(Tabla4[[#This Row],[Mes]],Tabla6[#Headers],0)))</f>
        <v>#N/A</v>
      </c>
      <c r="R4463" s="282" t="e">
        <f>++Tabla4[[#This Row],[Precio Unitario Neto]]-Tabla4[[#This Row],[20.85%]]-Tabla4[[#This Row],[Costo]]</f>
        <v>#N/A</v>
      </c>
      <c r="S4463" s="282" t="e">
        <f>++Tabla4[[#This Row],[U. Bruta Uni]]*Tabla4[[#This Row],[Cantidad]]</f>
        <v>#N/A</v>
      </c>
      <c r="T4463" s="369" t="str">
        <f>VLOOKUP(Tabla4[[#This Row],[Producto]],Tabla6[#All],14,FALSE)</f>
        <v>Termico Solar</v>
      </c>
      <c r="U4463" s="284" t="e">
        <f>(IF(Tabla4[[#This Row],[Familia]]="termico solar",Tabla4[[#This Row],[Utilidad Total]]*6%,Tabla4[[#This Row],[Utilidad Total]]*11.5%))/Tabla4[[#This Row],[Total]]</f>
        <v>#N/A</v>
      </c>
      <c r="V4463" s="282" t="e">
        <f>+Tabla4[[#This Row],[Comisión Calculada]]*Tabla4[[#This Row],[Total]]</f>
        <v>#N/A</v>
      </c>
    </row>
    <row r="4464" spans="1:22" hidden="1" x14ac:dyDescent="0.25">
      <c r="A4464" s="100">
        <v>45853</v>
      </c>
      <c r="B4464" t="str">
        <f t="shared" si="224"/>
        <v>July</v>
      </c>
      <c r="C4464" s="46" t="s">
        <v>280</v>
      </c>
      <c r="F4464" s="366" t="s">
        <v>2394</v>
      </c>
      <c r="G4464" s="46" t="s">
        <v>566</v>
      </c>
      <c r="H4464" s="46">
        <v>1</v>
      </c>
      <c r="I4464" s="51">
        <v>2109.4499999999998</v>
      </c>
      <c r="J4464" s="281">
        <f>++Tabla4[[#This Row],[Precio Bruto]]*1.16</f>
        <v>2446.9619999999995</v>
      </c>
      <c r="K4464" s="281">
        <f>+Tabla4[[#This Row],[Precio Unitario Neto]]*Tabla4[[#Headers],[20.85%]]</f>
        <v>510.19157699999988</v>
      </c>
      <c r="L4464" s="282">
        <f>++Tabla4[[#This Row],[Precio Unitario Neto]]-Tabla4[[#This Row],[20.85%]]</f>
        <v>1936.7704229999997</v>
      </c>
      <c r="M4464" s="282" t="e">
        <f>(INDEX(Tabla6[#All],MATCH(Tabla4[[#This Row],[Producto]],Tabla6[[#All],[PRODUCTO]],0),MATCH(Tabla4[[#This Row],[Mes]],Tabla6[#Headers],0)))*(1+Catalogos!$L$2)</f>
        <v>#N/A</v>
      </c>
      <c r="N4464" s="283" t="e">
        <f>+(Tabla4[[#This Row],[Precio Descontado]]-Tabla4[[#This Row],[Precio Base]])*Tabla4[[#This Row],[Cantidad]]</f>
        <v>#N/A</v>
      </c>
      <c r="O4464" s="284" t="e">
        <f>++Tabla4[[#This Row],[Utilidad Total]]/Tabla4[[#This Row],[Total]]</f>
        <v>#N/A</v>
      </c>
      <c r="P4464" s="282">
        <f>++Tabla4[[#This Row],[Precio Descontado]]*Tabla4[[#This Row],[Cantidad]]</f>
        <v>1936.7704229999997</v>
      </c>
      <c r="Q4464" s="282" t="e">
        <f>(INDEX(Tabla6[#All],MATCH(Tabla4[[#This Row],[Producto]],Tabla6[[#All],[PRODUCTO]],0),MATCH(Tabla4[[#This Row],[Mes]],Tabla6[#Headers],0)))</f>
        <v>#N/A</v>
      </c>
      <c r="R4464" s="282" t="e">
        <f>++Tabla4[[#This Row],[Precio Unitario Neto]]-Tabla4[[#This Row],[20.85%]]-Tabla4[[#This Row],[Costo]]</f>
        <v>#N/A</v>
      </c>
      <c r="S4464" s="282" t="e">
        <f>++Tabla4[[#This Row],[U. Bruta Uni]]*Tabla4[[#This Row],[Cantidad]]</f>
        <v>#N/A</v>
      </c>
      <c r="T4464" s="369" t="str">
        <f>VLOOKUP(Tabla4[[#This Row],[Producto]],Tabla6[#All],14,FALSE)</f>
        <v>Termico Solar</v>
      </c>
      <c r="U4464" s="284" t="e">
        <f>(IF(Tabla4[[#This Row],[Familia]]="termico solar",Tabla4[[#This Row],[Utilidad Total]]*6%,Tabla4[[#This Row],[Utilidad Total]]*11.5%))/Tabla4[[#This Row],[Total]]</f>
        <v>#N/A</v>
      </c>
      <c r="V4464" s="282" t="e">
        <f>+Tabla4[[#This Row],[Comisión Calculada]]*Tabla4[[#This Row],[Total]]</f>
        <v>#N/A</v>
      </c>
    </row>
    <row r="4465" spans="1:22" hidden="1" x14ac:dyDescent="0.25">
      <c r="A4465" s="100">
        <v>45853</v>
      </c>
      <c r="B4465" t="str">
        <f t="shared" si="224"/>
        <v>July</v>
      </c>
      <c r="C4465" s="46" t="s">
        <v>280</v>
      </c>
      <c r="F4465" s="366" t="s">
        <v>2394</v>
      </c>
      <c r="G4465" s="46" t="s">
        <v>208</v>
      </c>
      <c r="H4465" s="46">
        <v>2</v>
      </c>
      <c r="I4465" s="51">
        <v>189.75</v>
      </c>
      <c r="J4465" s="281">
        <f>++Tabla4[[#This Row],[Precio Bruto]]*1.16</f>
        <v>220.10999999999999</v>
      </c>
      <c r="K4465" s="281">
        <f>+Tabla4[[#This Row],[Precio Unitario Neto]]*Tabla4[[#Headers],[20.85%]]</f>
        <v>45.892934999999994</v>
      </c>
      <c r="L4465" s="282">
        <f>++Tabla4[[#This Row],[Precio Unitario Neto]]-Tabla4[[#This Row],[20.85%]]</f>
        <v>174.21706499999999</v>
      </c>
      <c r="M4465" s="282" t="e">
        <f>(INDEX(Tabla6[#All],MATCH(Tabla4[[#This Row],[Producto]],Tabla6[[#All],[PRODUCTO]],0),MATCH(Tabla4[[#This Row],[Mes]],Tabla6[#Headers],0)))*(1+Catalogos!$L$2)</f>
        <v>#N/A</v>
      </c>
      <c r="N4465" s="283" t="e">
        <f>+(Tabla4[[#This Row],[Precio Descontado]]-Tabla4[[#This Row],[Precio Base]])*Tabla4[[#This Row],[Cantidad]]</f>
        <v>#N/A</v>
      </c>
      <c r="O4465" s="284" t="e">
        <f>++Tabla4[[#This Row],[Utilidad Total]]/Tabla4[[#This Row],[Total]]</f>
        <v>#N/A</v>
      </c>
      <c r="P4465" s="282">
        <f>++Tabla4[[#This Row],[Precio Descontado]]*Tabla4[[#This Row],[Cantidad]]</f>
        <v>348.43412999999998</v>
      </c>
      <c r="Q4465" s="282" t="e">
        <f>(INDEX(Tabla6[#All],MATCH(Tabla4[[#This Row],[Producto]],Tabla6[[#All],[PRODUCTO]],0),MATCH(Tabla4[[#This Row],[Mes]],Tabla6[#Headers],0)))</f>
        <v>#N/A</v>
      </c>
      <c r="R4465" s="282" t="e">
        <f>++Tabla4[[#This Row],[Precio Unitario Neto]]-Tabla4[[#This Row],[20.85%]]-Tabla4[[#This Row],[Costo]]</f>
        <v>#N/A</v>
      </c>
      <c r="S4465" s="282" t="e">
        <f>++Tabla4[[#This Row],[U. Bruta Uni]]*Tabla4[[#This Row],[Cantidad]]</f>
        <v>#N/A</v>
      </c>
      <c r="T4465" s="369" t="str">
        <f>VLOOKUP(Tabla4[[#This Row],[Producto]],Tabla6[#All],14,FALSE)</f>
        <v>Termico Solar</v>
      </c>
      <c r="U4465" s="284" t="e">
        <f>(IF(Tabla4[[#This Row],[Familia]]="termico solar",Tabla4[[#This Row],[Utilidad Total]]*6%,Tabla4[[#This Row],[Utilidad Total]]*11.5%))/Tabla4[[#This Row],[Total]]</f>
        <v>#N/A</v>
      </c>
      <c r="V4465" s="282" t="e">
        <f>+Tabla4[[#This Row],[Comisión Calculada]]*Tabla4[[#This Row],[Total]]</f>
        <v>#N/A</v>
      </c>
    </row>
    <row r="4466" spans="1:22" hidden="1" x14ac:dyDescent="0.25">
      <c r="A4466" s="100">
        <v>45853</v>
      </c>
      <c r="B4466" t="str">
        <f t="shared" si="224"/>
        <v>July</v>
      </c>
      <c r="C4466" s="46" t="s">
        <v>280</v>
      </c>
      <c r="F4466" s="366" t="s">
        <v>2395</v>
      </c>
      <c r="G4466" s="46" t="s">
        <v>566</v>
      </c>
      <c r="H4466" s="46">
        <v>1</v>
      </c>
      <c r="I4466" s="51">
        <v>2109.4499999999998</v>
      </c>
      <c r="J4466" s="281">
        <f>++Tabla4[[#This Row],[Precio Bruto]]*1.16</f>
        <v>2446.9619999999995</v>
      </c>
      <c r="K4466" s="281">
        <f>+Tabla4[[#This Row],[Precio Unitario Neto]]*Tabla4[[#Headers],[20.85%]]</f>
        <v>510.19157699999988</v>
      </c>
      <c r="L4466" s="282">
        <f>++Tabla4[[#This Row],[Precio Unitario Neto]]-Tabla4[[#This Row],[20.85%]]</f>
        <v>1936.7704229999997</v>
      </c>
      <c r="M4466" s="282" t="e">
        <f>(INDEX(Tabla6[#All],MATCH(Tabla4[[#This Row],[Producto]],Tabla6[[#All],[PRODUCTO]],0),MATCH(Tabla4[[#This Row],[Mes]],Tabla6[#Headers],0)))*(1+Catalogos!$L$2)</f>
        <v>#N/A</v>
      </c>
      <c r="N4466" s="283" t="e">
        <f>+(Tabla4[[#This Row],[Precio Descontado]]-Tabla4[[#This Row],[Precio Base]])*Tabla4[[#This Row],[Cantidad]]</f>
        <v>#N/A</v>
      </c>
      <c r="O4466" s="284" t="e">
        <f>++Tabla4[[#This Row],[Utilidad Total]]/Tabla4[[#This Row],[Total]]</f>
        <v>#N/A</v>
      </c>
      <c r="P4466" s="282">
        <f>++Tabla4[[#This Row],[Precio Descontado]]*Tabla4[[#This Row],[Cantidad]]</f>
        <v>1936.7704229999997</v>
      </c>
      <c r="Q4466" s="282" t="e">
        <f>(INDEX(Tabla6[#All],MATCH(Tabla4[[#This Row],[Producto]],Tabla6[[#All],[PRODUCTO]],0),MATCH(Tabla4[[#This Row],[Mes]],Tabla6[#Headers],0)))</f>
        <v>#N/A</v>
      </c>
      <c r="R4466" s="282" t="e">
        <f>++Tabla4[[#This Row],[Precio Unitario Neto]]-Tabla4[[#This Row],[20.85%]]-Tabla4[[#This Row],[Costo]]</f>
        <v>#N/A</v>
      </c>
      <c r="S4466" s="282" t="e">
        <f>++Tabla4[[#This Row],[U. Bruta Uni]]*Tabla4[[#This Row],[Cantidad]]</f>
        <v>#N/A</v>
      </c>
      <c r="T4466" s="369" t="str">
        <f>VLOOKUP(Tabla4[[#This Row],[Producto]],Tabla6[#All],14,FALSE)</f>
        <v>Termico Solar</v>
      </c>
      <c r="U4466" s="284" t="e">
        <f>(IF(Tabla4[[#This Row],[Familia]]="termico solar",Tabla4[[#This Row],[Utilidad Total]]*6%,Tabla4[[#This Row],[Utilidad Total]]*11.5%))/Tabla4[[#This Row],[Total]]</f>
        <v>#N/A</v>
      </c>
      <c r="V4466" s="282" t="e">
        <f>+Tabla4[[#This Row],[Comisión Calculada]]*Tabla4[[#This Row],[Total]]</f>
        <v>#N/A</v>
      </c>
    </row>
    <row r="4467" spans="1:22" hidden="1" x14ac:dyDescent="0.25">
      <c r="A4467" s="100">
        <v>45853</v>
      </c>
      <c r="B4467" t="str">
        <f t="shared" si="224"/>
        <v>July</v>
      </c>
      <c r="C4467" s="46" t="s">
        <v>280</v>
      </c>
      <c r="F4467" s="366" t="s">
        <v>2395</v>
      </c>
      <c r="G4467" s="46" t="s">
        <v>200</v>
      </c>
      <c r="H4467" s="46">
        <v>12</v>
      </c>
      <c r="I4467" s="51">
        <v>393.22</v>
      </c>
      <c r="J4467" s="281">
        <f>++Tabla4[[#This Row],[Precio Bruto]]*1.16</f>
        <v>456.1352</v>
      </c>
      <c r="K4467" s="281">
        <f>+Tabla4[[#This Row],[Precio Unitario Neto]]*Tabla4[[#Headers],[20.85%]]</f>
        <v>95.104189199999993</v>
      </c>
      <c r="L4467" s="282">
        <f>++Tabla4[[#This Row],[Precio Unitario Neto]]-Tabla4[[#This Row],[20.85%]]</f>
        <v>361.03101079999999</v>
      </c>
      <c r="M4467" s="282" t="e">
        <f>(INDEX(Tabla6[#All],MATCH(Tabla4[[#This Row],[Producto]],Tabla6[[#All],[PRODUCTO]],0),MATCH(Tabla4[[#This Row],[Mes]],Tabla6[#Headers],0)))*(1+Catalogos!$L$2)</f>
        <v>#N/A</v>
      </c>
      <c r="N4467" s="283" t="e">
        <f>+(Tabla4[[#This Row],[Precio Descontado]]-Tabla4[[#This Row],[Precio Base]])*Tabla4[[#This Row],[Cantidad]]</f>
        <v>#N/A</v>
      </c>
      <c r="O4467" s="284" t="e">
        <f>++Tabla4[[#This Row],[Utilidad Total]]/Tabla4[[#This Row],[Total]]</f>
        <v>#N/A</v>
      </c>
      <c r="P4467" s="282">
        <f>++Tabla4[[#This Row],[Precio Descontado]]*Tabla4[[#This Row],[Cantidad]]</f>
        <v>4332.3721296000003</v>
      </c>
      <c r="Q4467" s="282" t="e">
        <f>(INDEX(Tabla6[#All],MATCH(Tabla4[[#This Row],[Producto]],Tabla6[[#All],[PRODUCTO]],0),MATCH(Tabla4[[#This Row],[Mes]],Tabla6[#Headers],0)))</f>
        <v>#N/A</v>
      </c>
      <c r="R4467" s="282" t="e">
        <f>++Tabla4[[#This Row],[Precio Unitario Neto]]-Tabla4[[#This Row],[20.85%]]-Tabla4[[#This Row],[Costo]]</f>
        <v>#N/A</v>
      </c>
      <c r="S4467" s="282" t="e">
        <f>++Tabla4[[#This Row],[U. Bruta Uni]]*Tabla4[[#This Row],[Cantidad]]</f>
        <v>#N/A</v>
      </c>
      <c r="T4467" s="369" t="str">
        <f>VLOOKUP(Tabla4[[#This Row],[Producto]],Tabla6[#All],14,FALSE)</f>
        <v>Termico Solar</v>
      </c>
      <c r="U4467" s="284" t="e">
        <f>(IF(Tabla4[[#This Row],[Familia]]="termico solar",Tabla4[[#This Row],[Utilidad Total]]*6%,Tabla4[[#This Row],[Utilidad Total]]*11.5%))/Tabla4[[#This Row],[Total]]</f>
        <v>#N/A</v>
      </c>
      <c r="V4467" s="282" t="e">
        <f>+Tabla4[[#This Row],[Comisión Calculada]]*Tabla4[[#This Row],[Total]]</f>
        <v>#N/A</v>
      </c>
    </row>
    <row r="4468" spans="1:22" hidden="1" x14ac:dyDescent="0.25">
      <c r="A4468" s="100">
        <v>45853</v>
      </c>
      <c r="B4468" t="str">
        <f t="shared" si="224"/>
        <v>July</v>
      </c>
      <c r="C4468" s="46" t="s">
        <v>280</v>
      </c>
      <c r="F4468" s="366" t="s">
        <v>2395</v>
      </c>
      <c r="G4468" s="46" t="s">
        <v>545</v>
      </c>
      <c r="H4468" s="46">
        <v>24</v>
      </c>
      <c r="I4468" s="51">
        <v>304.32</v>
      </c>
      <c r="J4468" s="281">
        <f>++Tabla4[[#This Row],[Precio Bruto]]*1.16</f>
        <v>353.01119999999997</v>
      </c>
      <c r="K4468" s="281">
        <f>+Tabla4[[#This Row],[Precio Unitario Neto]]*Tabla4[[#Headers],[20.85%]]</f>
        <v>73.602835199999987</v>
      </c>
      <c r="L4468" s="282">
        <f>++Tabla4[[#This Row],[Precio Unitario Neto]]-Tabla4[[#This Row],[20.85%]]</f>
        <v>279.40836479999996</v>
      </c>
      <c r="M4468" s="282" t="e">
        <f>(INDEX(Tabla6[#All],MATCH(Tabla4[[#This Row],[Producto]],Tabla6[[#All],[PRODUCTO]],0),MATCH(Tabla4[[#This Row],[Mes]],Tabla6[#Headers],0)))*(1+Catalogos!$L$2)</f>
        <v>#N/A</v>
      </c>
      <c r="N4468" s="283" t="e">
        <f>+(Tabla4[[#This Row],[Precio Descontado]]-Tabla4[[#This Row],[Precio Base]])*Tabla4[[#This Row],[Cantidad]]</f>
        <v>#N/A</v>
      </c>
      <c r="O4468" s="284" t="e">
        <f>++Tabla4[[#This Row],[Utilidad Total]]/Tabla4[[#This Row],[Total]]</f>
        <v>#N/A</v>
      </c>
      <c r="P4468" s="282">
        <f>++Tabla4[[#This Row],[Precio Descontado]]*Tabla4[[#This Row],[Cantidad]]</f>
        <v>6705.800755199999</v>
      </c>
      <c r="Q4468" s="282" t="e">
        <f>(INDEX(Tabla6[#All],MATCH(Tabla4[[#This Row],[Producto]],Tabla6[[#All],[PRODUCTO]],0),MATCH(Tabla4[[#This Row],[Mes]],Tabla6[#Headers],0)))</f>
        <v>#N/A</v>
      </c>
      <c r="R4468" s="282" t="e">
        <f>++Tabla4[[#This Row],[Precio Unitario Neto]]-Tabla4[[#This Row],[20.85%]]-Tabla4[[#This Row],[Costo]]</f>
        <v>#N/A</v>
      </c>
      <c r="S4468" s="282" t="e">
        <f>++Tabla4[[#This Row],[U. Bruta Uni]]*Tabla4[[#This Row],[Cantidad]]</f>
        <v>#N/A</v>
      </c>
      <c r="T4468" s="369" t="str">
        <f>VLOOKUP(Tabla4[[#This Row],[Producto]],Tabla6[#All],14,FALSE)</f>
        <v>Termico Solar</v>
      </c>
      <c r="U4468" s="284" t="e">
        <f>(IF(Tabla4[[#This Row],[Familia]]="termico solar",Tabla4[[#This Row],[Utilidad Total]]*6%,Tabla4[[#This Row],[Utilidad Total]]*11.5%))/Tabla4[[#This Row],[Total]]</f>
        <v>#N/A</v>
      </c>
      <c r="V4468" s="282" t="e">
        <f>+Tabla4[[#This Row],[Comisión Calculada]]*Tabla4[[#This Row],[Total]]</f>
        <v>#N/A</v>
      </c>
    </row>
    <row r="4469" spans="1:22" hidden="1" x14ac:dyDescent="0.25">
      <c r="A4469" s="100">
        <v>45853</v>
      </c>
      <c r="B4469" t="str">
        <f t="shared" si="224"/>
        <v>July</v>
      </c>
      <c r="C4469" s="46" t="s">
        <v>280</v>
      </c>
      <c r="F4469" s="366" t="s">
        <v>2395</v>
      </c>
      <c r="G4469" s="46" t="s">
        <v>209</v>
      </c>
      <c r="H4469" s="46">
        <v>2</v>
      </c>
      <c r="I4469" s="51">
        <v>347.48</v>
      </c>
      <c r="J4469" s="281">
        <f>++Tabla4[[#This Row],[Precio Bruto]]*1.16</f>
        <v>403.07679999999999</v>
      </c>
      <c r="K4469" s="281">
        <f>+Tabla4[[#This Row],[Precio Unitario Neto]]*Tabla4[[#Headers],[20.85%]]</f>
        <v>84.041512799999992</v>
      </c>
      <c r="L4469" s="282">
        <f>++Tabla4[[#This Row],[Precio Unitario Neto]]-Tabla4[[#This Row],[20.85%]]</f>
        <v>319.03528719999997</v>
      </c>
      <c r="M4469" s="282" t="e">
        <f>(INDEX(Tabla6[#All],MATCH(Tabla4[[#This Row],[Producto]],Tabla6[[#All],[PRODUCTO]],0),MATCH(Tabla4[[#This Row],[Mes]],Tabla6[#Headers],0)))*(1+Catalogos!$L$2)</f>
        <v>#N/A</v>
      </c>
      <c r="N4469" s="283" t="e">
        <f>+(Tabla4[[#This Row],[Precio Descontado]]-Tabla4[[#This Row],[Precio Base]])*Tabla4[[#This Row],[Cantidad]]</f>
        <v>#N/A</v>
      </c>
      <c r="O4469" s="284" t="e">
        <f>++Tabla4[[#This Row],[Utilidad Total]]/Tabla4[[#This Row],[Total]]</f>
        <v>#N/A</v>
      </c>
      <c r="P4469" s="282">
        <f>++Tabla4[[#This Row],[Precio Descontado]]*Tabla4[[#This Row],[Cantidad]]</f>
        <v>638.07057439999994</v>
      </c>
      <c r="Q4469" s="282" t="e">
        <f>(INDEX(Tabla6[#All],MATCH(Tabla4[[#This Row],[Producto]],Tabla6[[#All],[PRODUCTO]],0),MATCH(Tabla4[[#This Row],[Mes]],Tabla6[#Headers],0)))</f>
        <v>#N/A</v>
      </c>
      <c r="R4469" s="282" t="e">
        <f>++Tabla4[[#This Row],[Precio Unitario Neto]]-Tabla4[[#This Row],[20.85%]]-Tabla4[[#This Row],[Costo]]</f>
        <v>#N/A</v>
      </c>
      <c r="S4469" s="282" t="e">
        <f>++Tabla4[[#This Row],[U. Bruta Uni]]*Tabla4[[#This Row],[Cantidad]]</f>
        <v>#N/A</v>
      </c>
      <c r="T4469" s="369" t="str">
        <f>VLOOKUP(Tabla4[[#This Row],[Producto]],Tabla6[#All],14,FALSE)</f>
        <v>Termico Solar</v>
      </c>
      <c r="U4469" s="284" t="e">
        <f>(IF(Tabla4[[#This Row],[Familia]]="termico solar",Tabla4[[#This Row],[Utilidad Total]]*6%,Tabla4[[#This Row],[Utilidad Total]]*11.5%))/Tabla4[[#This Row],[Total]]</f>
        <v>#N/A</v>
      </c>
      <c r="V4469" s="282" t="e">
        <f>+Tabla4[[#This Row],[Comisión Calculada]]*Tabla4[[#This Row],[Total]]</f>
        <v>#N/A</v>
      </c>
    </row>
    <row r="4470" spans="1:22" hidden="1" x14ac:dyDescent="0.25">
      <c r="A4470" s="100">
        <v>45853</v>
      </c>
      <c r="B4470" t="str">
        <f t="shared" si="224"/>
        <v>July</v>
      </c>
      <c r="C4470" s="46" t="s">
        <v>280</v>
      </c>
      <c r="F4470" s="366" t="s">
        <v>2396</v>
      </c>
      <c r="G4470" s="46" t="s">
        <v>566</v>
      </c>
      <c r="H4470" s="46">
        <v>1</v>
      </c>
      <c r="I4470" s="51">
        <v>2109.4499999999998</v>
      </c>
      <c r="J4470" s="281">
        <f>++Tabla4[[#This Row],[Precio Bruto]]*1.16</f>
        <v>2446.9619999999995</v>
      </c>
      <c r="K4470" s="281">
        <f>+Tabla4[[#This Row],[Precio Unitario Neto]]*Tabla4[[#Headers],[20.85%]]</f>
        <v>510.19157699999988</v>
      </c>
      <c r="L4470" s="282">
        <f>++Tabla4[[#This Row],[Precio Unitario Neto]]-Tabla4[[#This Row],[20.85%]]</f>
        <v>1936.7704229999997</v>
      </c>
      <c r="M4470" s="282" t="e">
        <f>(INDEX(Tabla6[#All],MATCH(Tabla4[[#This Row],[Producto]],Tabla6[[#All],[PRODUCTO]],0),MATCH(Tabla4[[#This Row],[Mes]],Tabla6[#Headers],0)))*(1+Catalogos!$L$2)</f>
        <v>#N/A</v>
      </c>
      <c r="N4470" s="283" t="e">
        <f>+(Tabla4[[#This Row],[Precio Descontado]]-Tabla4[[#This Row],[Precio Base]])*Tabla4[[#This Row],[Cantidad]]</f>
        <v>#N/A</v>
      </c>
      <c r="O4470" s="284" t="e">
        <f>++Tabla4[[#This Row],[Utilidad Total]]/Tabla4[[#This Row],[Total]]</f>
        <v>#N/A</v>
      </c>
      <c r="P4470" s="282">
        <f>++Tabla4[[#This Row],[Precio Descontado]]*Tabla4[[#This Row],[Cantidad]]</f>
        <v>1936.7704229999997</v>
      </c>
      <c r="Q4470" s="282" t="e">
        <f>(INDEX(Tabla6[#All],MATCH(Tabla4[[#This Row],[Producto]],Tabla6[[#All],[PRODUCTO]],0),MATCH(Tabla4[[#This Row],[Mes]],Tabla6[#Headers],0)))</f>
        <v>#N/A</v>
      </c>
      <c r="R4470" s="282" t="e">
        <f>++Tabla4[[#This Row],[Precio Unitario Neto]]-Tabla4[[#This Row],[20.85%]]-Tabla4[[#This Row],[Costo]]</f>
        <v>#N/A</v>
      </c>
      <c r="S4470" s="282" t="e">
        <f>++Tabla4[[#This Row],[U. Bruta Uni]]*Tabla4[[#This Row],[Cantidad]]</f>
        <v>#N/A</v>
      </c>
      <c r="T4470" s="369" t="str">
        <f>VLOOKUP(Tabla4[[#This Row],[Producto]],Tabla6[#All],14,FALSE)</f>
        <v>Termico Solar</v>
      </c>
      <c r="U4470" s="284" t="e">
        <f>(IF(Tabla4[[#This Row],[Familia]]="termico solar",Tabla4[[#This Row],[Utilidad Total]]*6%,Tabla4[[#This Row],[Utilidad Total]]*11.5%))/Tabla4[[#This Row],[Total]]</f>
        <v>#N/A</v>
      </c>
      <c r="V4470" s="282" t="e">
        <f>+Tabla4[[#This Row],[Comisión Calculada]]*Tabla4[[#This Row],[Total]]</f>
        <v>#N/A</v>
      </c>
    </row>
    <row r="4471" spans="1:22" hidden="1" x14ac:dyDescent="0.25">
      <c r="A4471" s="100">
        <v>45853</v>
      </c>
      <c r="B4471" t="str">
        <f t="shared" si="224"/>
        <v>July</v>
      </c>
      <c r="C4471" s="46" t="s">
        <v>280</v>
      </c>
      <c r="F4471" s="366" t="s">
        <v>2397</v>
      </c>
      <c r="G4471" s="46" t="s">
        <v>19</v>
      </c>
      <c r="H4471" s="46">
        <v>1</v>
      </c>
      <c r="I4471" s="51">
        <v>6412.03</v>
      </c>
      <c r="J4471" s="281">
        <f>++Tabla4[[#This Row],[Precio Bruto]]*1.16</f>
        <v>7437.9547999999995</v>
      </c>
      <c r="K4471" s="281">
        <f>+Tabla4[[#This Row],[Precio Unitario Neto]]*Tabla4[[#Headers],[20.85%]]</f>
        <v>1550.8135757999999</v>
      </c>
      <c r="L4471" s="282">
        <f>++Tabla4[[#This Row],[Precio Unitario Neto]]-Tabla4[[#This Row],[20.85%]]</f>
        <v>5887.1412241999997</v>
      </c>
      <c r="M4471" s="282" t="e">
        <f>(INDEX(Tabla6[#All],MATCH(Tabla4[[#This Row],[Producto]],Tabla6[[#All],[PRODUCTO]],0),MATCH(Tabla4[[#This Row],[Mes]],Tabla6[#Headers],0)))*(1+Catalogos!$L$2)</f>
        <v>#N/A</v>
      </c>
      <c r="N4471" s="283" t="e">
        <f>+(Tabla4[[#This Row],[Precio Descontado]]-Tabla4[[#This Row],[Precio Base]])*Tabla4[[#This Row],[Cantidad]]</f>
        <v>#N/A</v>
      </c>
      <c r="O4471" s="284" t="e">
        <f>++Tabla4[[#This Row],[Utilidad Total]]/Tabla4[[#This Row],[Total]]</f>
        <v>#N/A</v>
      </c>
      <c r="P4471" s="282">
        <f>++Tabla4[[#This Row],[Precio Descontado]]*Tabla4[[#This Row],[Cantidad]]</f>
        <v>5887.1412241999997</v>
      </c>
      <c r="Q4471" s="282" t="e">
        <f>(INDEX(Tabla6[#All],MATCH(Tabla4[[#This Row],[Producto]],Tabla6[[#All],[PRODUCTO]],0),MATCH(Tabla4[[#This Row],[Mes]],Tabla6[#Headers],0)))</f>
        <v>#N/A</v>
      </c>
      <c r="R4471" s="282" t="e">
        <f>++Tabla4[[#This Row],[Precio Unitario Neto]]-Tabla4[[#This Row],[20.85%]]-Tabla4[[#This Row],[Costo]]</f>
        <v>#N/A</v>
      </c>
      <c r="S4471" s="282" t="e">
        <f>++Tabla4[[#This Row],[U. Bruta Uni]]*Tabla4[[#This Row],[Cantidad]]</f>
        <v>#N/A</v>
      </c>
      <c r="T4471" s="369" t="str">
        <f>VLOOKUP(Tabla4[[#This Row],[Producto]],Tabla6[#All],14,FALSE)</f>
        <v>Termico Solar</v>
      </c>
      <c r="U4471" s="284" t="e">
        <f>(IF(Tabla4[[#This Row],[Familia]]="termico solar",Tabla4[[#This Row],[Utilidad Total]]*6%,Tabla4[[#This Row],[Utilidad Total]]*11.5%))/Tabla4[[#This Row],[Total]]</f>
        <v>#N/A</v>
      </c>
      <c r="V4471" s="282" t="e">
        <f>+Tabla4[[#This Row],[Comisión Calculada]]*Tabla4[[#This Row],[Total]]</f>
        <v>#N/A</v>
      </c>
    </row>
    <row r="4472" spans="1:22" hidden="1" x14ac:dyDescent="0.25">
      <c r="A4472" s="100">
        <v>45853</v>
      </c>
      <c r="B4472" t="str">
        <f t="shared" si="224"/>
        <v>July</v>
      </c>
      <c r="C4472" s="46" t="s">
        <v>280</v>
      </c>
      <c r="F4472" s="366" t="s">
        <v>2397</v>
      </c>
      <c r="G4472" s="46" t="s">
        <v>16</v>
      </c>
      <c r="H4472" s="46">
        <v>1</v>
      </c>
      <c r="I4472" s="51">
        <v>4103.8500000000004</v>
      </c>
      <c r="J4472" s="281">
        <f>++Tabla4[[#This Row],[Precio Bruto]]*1.16</f>
        <v>4760.4660000000003</v>
      </c>
      <c r="K4472" s="281">
        <f>+Tabla4[[#This Row],[Precio Unitario Neto]]*Tabla4[[#Headers],[20.85%]]</f>
        <v>992.55716100000006</v>
      </c>
      <c r="L4472" s="282">
        <f>++Tabla4[[#This Row],[Precio Unitario Neto]]-Tabla4[[#This Row],[20.85%]]</f>
        <v>3767.9088390000002</v>
      </c>
      <c r="M4472" s="282" t="e">
        <f>(INDEX(Tabla6[#All],MATCH(Tabla4[[#This Row],[Producto]],Tabla6[[#All],[PRODUCTO]],0),MATCH(Tabla4[[#This Row],[Mes]],Tabla6[#Headers],0)))*(1+Catalogos!$L$2)</f>
        <v>#N/A</v>
      </c>
      <c r="N4472" s="283" t="e">
        <f>+(Tabla4[[#This Row],[Precio Descontado]]-Tabla4[[#This Row],[Precio Base]])*Tabla4[[#This Row],[Cantidad]]</f>
        <v>#N/A</v>
      </c>
      <c r="O4472" s="284" t="e">
        <f>++Tabla4[[#This Row],[Utilidad Total]]/Tabla4[[#This Row],[Total]]</f>
        <v>#N/A</v>
      </c>
      <c r="P4472" s="282">
        <f>++Tabla4[[#This Row],[Precio Descontado]]*Tabla4[[#This Row],[Cantidad]]</f>
        <v>3767.9088390000002</v>
      </c>
      <c r="Q4472" s="282" t="e">
        <f>(INDEX(Tabla6[#All],MATCH(Tabla4[[#This Row],[Producto]],Tabla6[[#All],[PRODUCTO]],0),MATCH(Tabla4[[#This Row],[Mes]],Tabla6[#Headers],0)))</f>
        <v>#N/A</v>
      </c>
      <c r="R4472" s="282" t="e">
        <f>++Tabla4[[#This Row],[Precio Unitario Neto]]-Tabla4[[#This Row],[20.85%]]-Tabla4[[#This Row],[Costo]]</f>
        <v>#N/A</v>
      </c>
      <c r="S4472" s="282" t="e">
        <f>++Tabla4[[#This Row],[U. Bruta Uni]]*Tabla4[[#This Row],[Cantidad]]</f>
        <v>#N/A</v>
      </c>
      <c r="T4472" s="369" t="str">
        <f>VLOOKUP(Tabla4[[#This Row],[Producto]],Tabla6[#All],14,FALSE)</f>
        <v>Termico Solar</v>
      </c>
      <c r="U4472" s="284" t="e">
        <f>(IF(Tabla4[[#This Row],[Familia]]="termico solar",Tabla4[[#This Row],[Utilidad Total]]*6%,Tabla4[[#This Row],[Utilidad Total]]*11.5%))/Tabla4[[#This Row],[Total]]</f>
        <v>#N/A</v>
      </c>
      <c r="V4472" s="282" t="e">
        <f>+Tabla4[[#This Row],[Comisión Calculada]]*Tabla4[[#This Row],[Total]]</f>
        <v>#N/A</v>
      </c>
    </row>
    <row r="4473" spans="1:22" hidden="1" x14ac:dyDescent="0.25">
      <c r="A4473" s="100">
        <v>45853</v>
      </c>
      <c r="B4473" t="str">
        <f t="shared" si="224"/>
        <v>July</v>
      </c>
      <c r="C4473" s="46" t="s">
        <v>280</v>
      </c>
      <c r="F4473" s="366" t="s">
        <v>2398</v>
      </c>
      <c r="G4473" s="46" t="s">
        <v>16</v>
      </c>
      <c r="H4473" s="46">
        <v>1</v>
      </c>
      <c r="I4473" s="51">
        <v>4103.8500000000004</v>
      </c>
      <c r="J4473" s="281">
        <f>++Tabla4[[#This Row],[Precio Bruto]]*1.16</f>
        <v>4760.4660000000003</v>
      </c>
      <c r="K4473" s="281">
        <f>+Tabla4[[#This Row],[Precio Unitario Neto]]*Tabla4[[#Headers],[20.85%]]</f>
        <v>992.55716100000006</v>
      </c>
      <c r="L4473" s="282">
        <f>++Tabla4[[#This Row],[Precio Unitario Neto]]-Tabla4[[#This Row],[20.85%]]</f>
        <v>3767.9088390000002</v>
      </c>
      <c r="M4473" s="282" t="e">
        <f>(INDEX(Tabla6[#All],MATCH(Tabla4[[#This Row],[Producto]],Tabla6[[#All],[PRODUCTO]],0),MATCH(Tabla4[[#This Row],[Mes]],Tabla6[#Headers],0)))*(1+Catalogos!$L$2)</f>
        <v>#N/A</v>
      </c>
      <c r="N4473" s="283" t="e">
        <f>+(Tabla4[[#This Row],[Precio Descontado]]-Tabla4[[#This Row],[Precio Base]])*Tabla4[[#This Row],[Cantidad]]</f>
        <v>#N/A</v>
      </c>
      <c r="O4473" s="284" t="e">
        <f>++Tabla4[[#This Row],[Utilidad Total]]/Tabla4[[#This Row],[Total]]</f>
        <v>#N/A</v>
      </c>
      <c r="P4473" s="282">
        <f>++Tabla4[[#This Row],[Precio Descontado]]*Tabla4[[#This Row],[Cantidad]]</f>
        <v>3767.9088390000002</v>
      </c>
      <c r="Q4473" s="282" t="e">
        <f>(INDEX(Tabla6[#All],MATCH(Tabla4[[#This Row],[Producto]],Tabla6[[#All],[PRODUCTO]],0),MATCH(Tabla4[[#This Row],[Mes]],Tabla6[#Headers],0)))</f>
        <v>#N/A</v>
      </c>
      <c r="R4473" s="282" t="e">
        <f>++Tabla4[[#This Row],[Precio Unitario Neto]]-Tabla4[[#This Row],[20.85%]]-Tabla4[[#This Row],[Costo]]</f>
        <v>#N/A</v>
      </c>
      <c r="S4473" s="282" t="e">
        <f>++Tabla4[[#This Row],[U. Bruta Uni]]*Tabla4[[#This Row],[Cantidad]]</f>
        <v>#N/A</v>
      </c>
      <c r="T4473" s="369" t="str">
        <f>VLOOKUP(Tabla4[[#This Row],[Producto]],Tabla6[#All],14,FALSE)</f>
        <v>Termico Solar</v>
      </c>
      <c r="U4473" s="284" t="e">
        <f>(IF(Tabla4[[#This Row],[Familia]]="termico solar",Tabla4[[#This Row],[Utilidad Total]]*6%,Tabla4[[#This Row],[Utilidad Total]]*11.5%))/Tabla4[[#This Row],[Total]]</f>
        <v>#N/A</v>
      </c>
      <c r="V4473" s="282" t="e">
        <f>+Tabla4[[#This Row],[Comisión Calculada]]*Tabla4[[#This Row],[Total]]</f>
        <v>#N/A</v>
      </c>
    </row>
    <row r="4474" spans="1:22" hidden="1" x14ac:dyDescent="0.25">
      <c r="A4474" s="100">
        <v>45853</v>
      </c>
      <c r="B4474" t="str">
        <f t="shared" si="224"/>
        <v>July</v>
      </c>
      <c r="C4474" s="46" t="s">
        <v>280</v>
      </c>
      <c r="F4474" s="366" t="s">
        <v>2399</v>
      </c>
      <c r="G4474" s="46" t="s">
        <v>83</v>
      </c>
      <c r="H4474" s="46">
        <v>2</v>
      </c>
      <c r="I4474" s="51">
        <v>8858.76</v>
      </c>
      <c r="J4474" s="281">
        <f>++Tabla4[[#This Row],[Precio Bruto]]*1.16</f>
        <v>10276.161599999999</v>
      </c>
      <c r="K4474" s="281">
        <f>+Tabla4[[#This Row],[Precio Unitario Neto]]*Tabla4[[#Headers],[20.85%]]</f>
        <v>2142.5796935999997</v>
      </c>
      <c r="L4474" s="282">
        <f>++Tabla4[[#This Row],[Precio Unitario Neto]]-Tabla4[[#This Row],[20.85%]]</f>
        <v>8133.5819063999998</v>
      </c>
      <c r="M4474" s="282" t="e">
        <f>(INDEX(Tabla6[#All],MATCH(Tabla4[[#This Row],[Producto]],Tabla6[[#All],[PRODUCTO]],0),MATCH(Tabla4[[#This Row],[Mes]],Tabla6[#Headers],0)))*(1+Catalogos!$L$2)</f>
        <v>#N/A</v>
      </c>
      <c r="N4474" s="283" t="e">
        <f>+(Tabla4[[#This Row],[Precio Descontado]]-Tabla4[[#This Row],[Precio Base]])*Tabla4[[#This Row],[Cantidad]]</f>
        <v>#N/A</v>
      </c>
      <c r="O4474" s="284" t="e">
        <f>++Tabla4[[#This Row],[Utilidad Total]]/Tabla4[[#This Row],[Total]]</f>
        <v>#N/A</v>
      </c>
      <c r="P4474" s="282">
        <f>++Tabla4[[#This Row],[Precio Descontado]]*Tabla4[[#This Row],[Cantidad]]</f>
        <v>16267.1638128</v>
      </c>
      <c r="Q4474" s="282" t="e">
        <f>(INDEX(Tabla6[#All],MATCH(Tabla4[[#This Row],[Producto]],Tabla6[[#All],[PRODUCTO]],0),MATCH(Tabla4[[#This Row],[Mes]],Tabla6[#Headers],0)))</f>
        <v>#N/A</v>
      </c>
      <c r="R4474" s="282" t="e">
        <f>++Tabla4[[#This Row],[Precio Unitario Neto]]-Tabla4[[#This Row],[20.85%]]-Tabla4[[#This Row],[Costo]]</f>
        <v>#N/A</v>
      </c>
      <c r="S4474" s="282" t="e">
        <f>++Tabla4[[#This Row],[U. Bruta Uni]]*Tabla4[[#This Row],[Cantidad]]</f>
        <v>#N/A</v>
      </c>
      <c r="T4474" s="369" t="str">
        <f>VLOOKUP(Tabla4[[#This Row],[Producto]],Tabla6[#All],14,FALSE)</f>
        <v>Termico Solar</v>
      </c>
      <c r="U4474" s="284" t="e">
        <f>(IF(Tabla4[[#This Row],[Familia]]="termico solar",Tabla4[[#This Row],[Utilidad Total]]*6%,Tabla4[[#This Row],[Utilidad Total]]*11.5%))/Tabla4[[#This Row],[Total]]</f>
        <v>#N/A</v>
      </c>
      <c r="V4474" s="282" t="e">
        <f>+Tabla4[[#This Row],[Comisión Calculada]]*Tabla4[[#This Row],[Total]]</f>
        <v>#N/A</v>
      </c>
    </row>
    <row r="4475" spans="1:22" hidden="1" x14ac:dyDescent="0.25">
      <c r="A4475" s="100">
        <v>45853</v>
      </c>
      <c r="B4475" t="str">
        <f t="shared" si="224"/>
        <v>July</v>
      </c>
      <c r="C4475" s="46" t="s">
        <v>280</v>
      </c>
      <c r="F4475" s="366" t="s">
        <v>2399</v>
      </c>
      <c r="G4475" s="46" t="s">
        <v>209</v>
      </c>
      <c r="H4475" s="46">
        <v>3</v>
      </c>
      <c r="I4475" s="51">
        <v>347.48</v>
      </c>
      <c r="J4475" s="281">
        <f>++Tabla4[[#This Row],[Precio Bruto]]*1.16</f>
        <v>403.07679999999999</v>
      </c>
      <c r="K4475" s="281">
        <f>+Tabla4[[#This Row],[Precio Unitario Neto]]*Tabla4[[#Headers],[20.85%]]</f>
        <v>84.041512799999992</v>
      </c>
      <c r="L4475" s="282">
        <f>++Tabla4[[#This Row],[Precio Unitario Neto]]-Tabla4[[#This Row],[20.85%]]</f>
        <v>319.03528719999997</v>
      </c>
      <c r="M4475" s="282" t="e">
        <f>(INDEX(Tabla6[#All],MATCH(Tabla4[[#This Row],[Producto]],Tabla6[[#All],[PRODUCTO]],0),MATCH(Tabla4[[#This Row],[Mes]],Tabla6[#Headers],0)))*(1+Catalogos!$L$2)</f>
        <v>#N/A</v>
      </c>
      <c r="N4475" s="283" t="e">
        <f>+(Tabla4[[#This Row],[Precio Descontado]]-Tabla4[[#This Row],[Precio Base]])*Tabla4[[#This Row],[Cantidad]]</f>
        <v>#N/A</v>
      </c>
      <c r="O4475" s="284" t="e">
        <f>++Tabla4[[#This Row],[Utilidad Total]]/Tabla4[[#This Row],[Total]]</f>
        <v>#N/A</v>
      </c>
      <c r="P4475" s="282">
        <f>++Tabla4[[#This Row],[Precio Descontado]]*Tabla4[[#This Row],[Cantidad]]</f>
        <v>957.10586159999991</v>
      </c>
      <c r="Q4475" s="282" t="e">
        <f>(INDEX(Tabla6[#All],MATCH(Tabla4[[#This Row],[Producto]],Tabla6[[#All],[PRODUCTO]],0),MATCH(Tabla4[[#This Row],[Mes]],Tabla6[#Headers],0)))</f>
        <v>#N/A</v>
      </c>
      <c r="R4475" s="282" t="e">
        <f>++Tabla4[[#This Row],[Precio Unitario Neto]]-Tabla4[[#This Row],[20.85%]]-Tabla4[[#This Row],[Costo]]</f>
        <v>#N/A</v>
      </c>
      <c r="S4475" s="282" t="e">
        <f>++Tabla4[[#This Row],[U. Bruta Uni]]*Tabla4[[#This Row],[Cantidad]]</f>
        <v>#N/A</v>
      </c>
      <c r="T4475" s="369" t="str">
        <f>VLOOKUP(Tabla4[[#This Row],[Producto]],Tabla6[#All],14,FALSE)</f>
        <v>Termico Solar</v>
      </c>
      <c r="U4475" s="284" t="e">
        <f>(IF(Tabla4[[#This Row],[Familia]]="termico solar",Tabla4[[#This Row],[Utilidad Total]]*6%,Tabla4[[#This Row],[Utilidad Total]]*11.5%))/Tabla4[[#This Row],[Total]]</f>
        <v>#N/A</v>
      </c>
      <c r="V4475" s="282" t="e">
        <f>+Tabla4[[#This Row],[Comisión Calculada]]*Tabla4[[#This Row],[Total]]</f>
        <v>#N/A</v>
      </c>
    </row>
    <row r="4476" spans="1:22" hidden="1" x14ac:dyDescent="0.25">
      <c r="A4476" s="100">
        <v>45853</v>
      </c>
      <c r="B4476" t="str">
        <f t="shared" si="224"/>
        <v>July</v>
      </c>
      <c r="C4476" s="46" t="s">
        <v>280</v>
      </c>
      <c r="F4476" s="366" t="s">
        <v>2400</v>
      </c>
      <c r="G4476" s="46" t="s">
        <v>17</v>
      </c>
      <c r="H4476" s="46">
        <v>1</v>
      </c>
      <c r="I4476" s="51">
        <v>4622.28</v>
      </c>
      <c r="J4476" s="281">
        <f>++Tabla4[[#This Row],[Precio Bruto]]*1.16</f>
        <v>5361.8447999999989</v>
      </c>
      <c r="K4476" s="281">
        <f>+Tabla4[[#This Row],[Precio Unitario Neto]]*Tabla4[[#Headers],[20.85%]]</f>
        <v>1117.9446407999997</v>
      </c>
      <c r="L4476" s="282">
        <f>++Tabla4[[#This Row],[Precio Unitario Neto]]-Tabla4[[#This Row],[20.85%]]</f>
        <v>4243.9001591999995</v>
      </c>
      <c r="M4476" s="282" t="e">
        <f>(INDEX(Tabla6[#All],MATCH(Tabla4[[#This Row],[Producto]],Tabla6[[#All],[PRODUCTO]],0),MATCH(Tabla4[[#This Row],[Mes]],Tabla6[#Headers],0)))*(1+Catalogos!$L$2)</f>
        <v>#N/A</v>
      </c>
      <c r="N4476" s="283" t="e">
        <f>+(Tabla4[[#This Row],[Precio Descontado]]-Tabla4[[#This Row],[Precio Base]])*Tabla4[[#This Row],[Cantidad]]</f>
        <v>#N/A</v>
      </c>
      <c r="O4476" s="284" t="e">
        <f>++Tabla4[[#This Row],[Utilidad Total]]/Tabla4[[#This Row],[Total]]</f>
        <v>#N/A</v>
      </c>
      <c r="P4476" s="282">
        <f>++Tabla4[[#This Row],[Precio Descontado]]*Tabla4[[#This Row],[Cantidad]]</f>
        <v>4243.9001591999995</v>
      </c>
      <c r="Q4476" s="282" t="e">
        <f>(INDEX(Tabla6[#All],MATCH(Tabla4[[#This Row],[Producto]],Tabla6[[#All],[PRODUCTO]],0),MATCH(Tabla4[[#This Row],[Mes]],Tabla6[#Headers],0)))</f>
        <v>#N/A</v>
      </c>
      <c r="R4476" s="282" t="e">
        <f>++Tabla4[[#This Row],[Precio Unitario Neto]]-Tabla4[[#This Row],[20.85%]]-Tabla4[[#This Row],[Costo]]</f>
        <v>#N/A</v>
      </c>
      <c r="S4476" s="282" t="e">
        <f>++Tabla4[[#This Row],[U. Bruta Uni]]*Tabla4[[#This Row],[Cantidad]]</f>
        <v>#N/A</v>
      </c>
      <c r="T4476" s="369" t="str">
        <f>VLOOKUP(Tabla4[[#This Row],[Producto]],Tabla6[#All],14,FALSE)</f>
        <v>Termico Solar</v>
      </c>
      <c r="U4476" s="284" t="e">
        <f>(IF(Tabla4[[#This Row],[Familia]]="termico solar",Tabla4[[#This Row],[Utilidad Total]]*6%,Tabla4[[#This Row],[Utilidad Total]]*11.5%))/Tabla4[[#This Row],[Total]]</f>
        <v>#N/A</v>
      </c>
      <c r="V4476" s="282" t="e">
        <f>+Tabla4[[#This Row],[Comisión Calculada]]*Tabla4[[#This Row],[Total]]</f>
        <v>#N/A</v>
      </c>
    </row>
    <row r="4477" spans="1:22" hidden="1" x14ac:dyDescent="0.25">
      <c r="A4477" s="100">
        <v>45853</v>
      </c>
      <c r="B4477" t="str">
        <f t="shared" si="224"/>
        <v>July</v>
      </c>
      <c r="C4477" s="46" t="s">
        <v>280</v>
      </c>
      <c r="F4477" s="366" t="s">
        <v>2400</v>
      </c>
      <c r="G4477" s="46" t="s">
        <v>18</v>
      </c>
      <c r="H4477" s="46">
        <v>1</v>
      </c>
      <c r="I4477" s="51">
        <v>5367.65</v>
      </c>
      <c r="J4477" s="281">
        <f>++Tabla4[[#This Row],[Precio Bruto]]*1.16</f>
        <v>6226.4739999999993</v>
      </c>
      <c r="K4477" s="281">
        <f>+Tabla4[[#This Row],[Precio Unitario Neto]]*Tabla4[[#Headers],[20.85%]]</f>
        <v>1298.2198289999999</v>
      </c>
      <c r="L4477" s="282">
        <f>++Tabla4[[#This Row],[Precio Unitario Neto]]-Tabla4[[#This Row],[20.85%]]</f>
        <v>4928.2541709999996</v>
      </c>
      <c r="M4477" s="282" t="e">
        <f>(INDEX(Tabla6[#All],MATCH(Tabla4[[#This Row],[Producto]],Tabla6[[#All],[PRODUCTO]],0),MATCH(Tabla4[[#This Row],[Mes]],Tabla6[#Headers],0)))*(1+Catalogos!$L$2)</f>
        <v>#N/A</v>
      </c>
      <c r="N4477" s="283" t="e">
        <f>+(Tabla4[[#This Row],[Precio Descontado]]-Tabla4[[#This Row],[Precio Base]])*Tabla4[[#This Row],[Cantidad]]</f>
        <v>#N/A</v>
      </c>
      <c r="O4477" s="284" t="e">
        <f>++Tabla4[[#This Row],[Utilidad Total]]/Tabla4[[#This Row],[Total]]</f>
        <v>#N/A</v>
      </c>
      <c r="P4477" s="282">
        <f>++Tabla4[[#This Row],[Precio Descontado]]*Tabla4[[#This Row],[Cantidad]]</f>
        <v>4928.2541709999996</v>
      </c>
      <c r="Q4477" s="282" t="e">
        <f>(INDEX(Tabla6[#All],MATCH(Tabla4[[#This Row],[Producto]],Tabla6[[#All],[PRODUCTO]],0),MATCH(Tabla4[[#This Row],[Mes]],Tabla6[#Headers],0)))</f>
        <v>#N/A</v>
      </c>
      <c r="R4477" s="282" t="e">
        <f>++Tabla4[[#This Row],[Precio Unitario Neto]]-Tabla4[[#This Row],[20.85%]]-Tabla4[[#This Row],[Costo]]</f>
        <v>#N/A</v>
      </c>
      <c r="S4477" s="282" t="e">
        <f>++Tabla4[[#This Row],[U. Bruta Uni]]*Tabla4[[#This Row],[Cantidad]]</f>
        <v>#N/A</v>
      </c>
      <c r="T4477" s="369" t="str">
        <f>VLOOKUP(Tabla4[[#This Row],[Producto]],Tabla6[#All],14,FALSE)</f>
        <v>Termico Solar</v>
      </c>
      <c r="U4477" s="284" t="e">
        <f>(IF(Tabla4[[#This Row],[Familia]]="termico solar",Tabla4[[#This Row],[Utilidad Total]]*6%,Tabla4[[#This Row],[Utilidad Total]]*11.5%))/Tabla4[[#This Row],[Total]]</f>
        <v>#N/A</v>
      </c>
      <c r="V4477" s="282" t="e">
        <f>+Tabla4[[#This Row],[Comisión Calculada]]*Tabla4[[#This Row],[Total]]</f>
        <v>#N/A</v>
      </c>
    </row>
    <row r="4478" spans="1:22" hidden="1" x14ac:dyDescent="0.25">
      <c r="A4478" s="100">
        <v>45853</v>
      </c>
      <c r="B4478" t="str">
        <f t="shared" ref="B4478:B4509" si="225">TEXT(A4478, "mmmm")</f>
        <v>July</v>
      </c>
      <c r="C4478" s="46" t="s">
        <v>280</v>
      </c>
      <c r="F4478" s="366" t="s">
        <v>2400</v>
      </c>
      <c r="G4478" s="46" t="s">
        <v>208</v>
      </c>
      <c r="H4478" s="46">
        <v>8</v>
      </c>
      <c r="I4478" s="51">
        <v>189.75</v>
      </c>
      <c r="J4478" s="281">
        <f>++Tabla4[[#This Row],[Precio Bruto]]*1.16</f>
        <v>220.10999999999999</v>
      </c>
      <c r="K4478" s="281">
        <f>+Tabla4[[#This Row],[Precio Unitario Neto]]*Tabla4[[#Headers],[20.85%]]</f>
        <v>45.892934999999994</v>
      </c>
      <c r="L4478" s="282">
        <f>++Tabla4[[#This Row],[Precio Unitario Neto]]-Tabla4[[#This Row],[20.85%]]</f>
        <v>174.21706499999999</v>
      </c>
      <c r="M4478" s="282" t="e">
        <f>(INDEX(Tabla6[#All],MATCH(Tabla4[[#This Row],[Producto]],Tabla6[[#All],[PRODUCTO]],0),MATCH(Tabla4[[#This Row],[Mes]],Tabla6[#Headers],0)))*(1+Catalogos!$L$2)</f>
        <v>#N/A</v>
      </c>
      <c r="N4478" s="283" t="e">
        <f>+(Tabla4[[#This Row],[Precio Descontado]]-Tabla4[[#This Row],[Precio Base]])*Tabla4[[#This Row],[Cantidad]]</f>
        <v>#N/A</v>
      </c>
      <c r="O4478" s="284" t="e">
        <f>++Tabla4[[#This Row],[Utilidad Total]]/Tabla4[[#This Row],[Total]]</f>
        <v>#N/A</v>
      </c>
      <c r="P4478" s="282">
        <f>++Tabla4[[#This Row],[Precio Descontado]]*Tabla4[[#This Row],[Cantidad]]</f>
        <v>1393.7365199999999</v>
      </c>
      <c r="Q4478" s="282" t="e">
        <f>(INDEX(Tabla6[#All],MATCH(Tabla4[[#This Row],[Producto]],Tabla6[[#All],[PRODUCTO]],0),MATCH(Tabla4[[#This Row],[Mes]],Tabla6[#Headers],0)))</f>
        <v>#N/A</v>
      </c>
      <c r="R4478" s="282" t="e">
        <f>++Tabla4[[#This Row],[Precio Unitario Neto]]-Tabla4[[#This Row],[20.85%]]-Tabla4[[#This Row],[Costo]]</f>
        <v>#N/A</v>
      </c>
      <c r="S4478" s="282" t="e">
        <f>++Tabla4[[#This Row],[U. Bruta Uni]]*Tabla4[[#This Row],[Cantidad]]</f>
        <v>#N/A</v>
      </c>
      <c r="T4478" s="369" t="str">
        <f>VLOOKUP(Tabla4[[#This Row],[Producto]],Tabla6[#All],14,FALSE)</f>
        <v>Termico Solar</v>
      </c>
      <c r="U4478" s="284" t="e">
        <f>(IF(Tabla4[[#This Row],[Familia]]="termico solar",Tabla4[[#This Row],[Utilidad Total]]*6%,Tabla4[[#This Row],[Utilidad Total]]*11.5%))/Tabla4[[#This Row],[Total]]</f>
        <v>#N/A</v>
      </c>
      <c r="V4478" s="282" t="e">
        <f>+Tabla4[[#This Row],[Comisión Calculada]]*Tabla4[[#This Row],[Total]]</f>
        <v>#N/A</v>
      </c>
    </row>
    <row r="4479" spans="1:22" hidden="1" x14ac:dyDescent="0.25">
      <c r="A4479" s="100">
        <v>45853</v>
      </c>
      <c r="B4479" t="str">
        <f t="shared" si="225"/>
        <v>July</v>
      </c>
      <c r="C4479" s="46" t="s">
        <v>280</v>
      </c>
      <c r="F4479" s="366" t="s">
        <v>2401</v>
      </c>
      <c r="G4479" s="46" t="s">
        <v>83</v>
      </c>
      <c r="H4479" s="46">
        <v>1</v>
      </c>
      <c r="I4479" s="51">
        <v>8858.76</v>
      </c>
      <c r="J4479" s="281">
        <f>++Tabla4[[#This Row],[Precio Bruto]]*1.16</f>
        <v>10276.161599999999</v>
      </c>
      <c r="K4479" s="281">
        <f>+Tabla4[[#This Row],[Precio Unitario Neto]]*Tabla4[[#Headers],[20.85%]]</f>
        <v>2142.5796935999997</v>
      </c>
      <c r="L4479" s="282">
        <f>++Tabla4[[#This Row],[Precio Unitario Neto]]-Tabla4[[#This Row],[20.85%]]</f>
        <v>8133.5819063999998</v>
      </c>
      <c r="M4479" s="282" t="e">
        <f>(INDEX(Tabla6[#All],MATCH(Tabla4[[#This Row],[Producto]],Tabla6[[#All],[PRODUCTO]],0),MATCH(Tabla4[[#This Row],[Mes]],Tabla6[#Headers],0)))*(1+Catalogos!$L$2)</f>
        <v>#N/A</v>
      </c>
      <c r="N4479" s="283" t="e">
        <f>+(Tabla4[[#This Row],[Precio Descontado]]-Tabla4[[#This Row],[Precio Base]])*Tabla4[[#This Row],[Cantidad]]</f>
        <v>#N/A</v>
      </c>
      <c r="O4479" s="284" t="e">
        <f>++Tabla4[[#This Row],[Utilidad Total]]/Tabla4[[#This Row],[Total]]</f>
        <v>#N/A</v>
      </c>
      <c r="P4479" s="282">
        <f>++Tabla4[[#This Row],[Precio Descontado]]*Tabla4[[#This Row],[Cantidad]]</f>
        <v>8133.5819063999998</v>
      </c>
      <c r="Q4479" s="282" t="e">
        <f>(INDEX(Tabla6[#All],MATCH(Tabla4[[#This Row],[Producto]],Tabla6[[#All],[PRODUCTO]],0),MATCH(Tabla4[[#This Row],[Mes]],Tabla6[#Headers],0)))</f>
        <v>#N/A</v>
      </c>
      <c r="R4479" s="282" t="e">
        <f>++Tabla4[[#This Row],[Precio Unitario Neto]]-Tabla4[[#This Row],[20.85%]]-Tabla4[[#This Row],[Costo]]</f>
        <v>#N/A</v>
      </c>
      <c r="S4479" s="282" t="e">
        <f>++Tabla4[[#This Row],[U. Bruta Uni]]*Tabla4[[#This Row],[Cantidad]]</f>
        <v>#N/A</v>
      </c>
      <c r="T4479" s="369" t="str">
        <f>VLOOKUP(Tabla4[[#This Row],[Producto]],Tabla6[#All],14,FALSE)</f>
        <v>Termico Solar</v>
      </c>
      <c r="U4479" s="284" t="e">
        <f>(IF(Tabla4[[#This Row],[Familia]]="termico solar",Tabla4[[#This Row],[Utilidad Total]]*6%,Tabla4[[#This Row],[Utilidad Total]]*11.5%))/Tabla4[[#This Row],[Total]]</f>
        <v>#N/A</v>
      </c>
      <c r="V4479" s="282" t="e">
        <f>+Tabla4[[#This Row],[Comisión Calculada]]*Tabla4[[#This Row],[Total]]</f>
        <v>#N/A</v>
      </c>
    </row>
    <row r="4480" spans="1:22" hidden="1" x14ac:dyDescent="0.25">
      <c r="A4480" s="100">
        <v>45853</v>
      </c>
      <c r="B4480" t="str">
        <f t="shared" si="225"/>
        <v>July</v>
      </c>
      <c r="C4480" s="46" t="s">
        <v>280</v>
      </c>
      <c r="F4480" s="366" t="s">
        <v>2401</v>
      </c>
      <c r="G4480" s="46" t="s">
        <v>566</v>
      </c>
      <c r="H4480" s="46">
        <v>3</v>
      </c>
      <c r="I4480" s="51">
        <v>2109.4500000000003</v>
      </c>
      <c r="J4480" s="281">
        <f>++Tabla4[[#This Row],[Precio Bruto]]*1.16</f>
        <v>2446.962</v>
      </c>
      <c r="K4480" s="281">
        <f>+Tabla4[[#This Row],[Precio Unitario Neto]]*Tabla4[[#Headers],[20.85%]]</f>
        <v>510.191577</v>
      </c>
      <c r="L4480" s="282">
        <f>++Tabla4[[#This Row],[Precio Unitario Neto]]-Tabla4[[#This Row],[20.85%]]</f>
        <v>1936.7704229999999</v>
      </c>
      <c r="M4480" s="282" t="e">
        <f>(INDEX(Tabla6[#All],MATCH(Tabla4[[#This Row],[Producto]],Tabla6[[#All],[PRODUCTO]],0),MATCH(Tabla4[[#This Row],[Mes]],Tabla6[#Headers],0)))*(1+Catalogos!$L$2)</f>
        <v>#N/A</v>
      </c>
      <c r="N4480" s="283" t="e">
        <f>+(Tabla4[[#This Row],[Precio Descontado]]-Tabla4[[#This Row],[Precio Base]])*Tabla4[[#This Row],[Cantidad]]</f>
        <v>#N/A</v>
      </c>
      <c r="O4480" s="284" t="e">
        <f>++Tabla4[[#This Row],[Utilidad Total]]/Tabla4[[#This Row],[Total]]</f>
        <v>#N/A</v>
      </c>
      <c r="P4480" s="282">
        <f>++Tabla4[[#This Row],[Precio Descontado]]*Tabla4[[#This Row],[Cantidad]]</f>
        <v>5810.3112689999998</v>
      </c>
      <c r="Q4480" s="282" t="e">
        <f>(INDEX(Tabla6[#All],MATCH(Tabla4[[#This Row],[Producto]],Tabla6[[#All],[PRODUCTO]],0),MATCH(Tabla4[[#This Row],[Mes]],Tabla6[#Headers],0)))</f>
        <v>#N/A</v>
      </c>
      <c r="R4480" s="282" t="e">
        <f>++Tabla4[[#This Row],[Precio Unitario Neto]]-Tabla4[[#This Row],[20.85%]]-Tabla4[[#This Row],[Costo]]</f>
        <v>#N/A</v>
      </c>
      <c r="S4480" s="282" t="e">
        <f>++Tabla4[[#This Row],[U. Bruta Uni]]*Tabla4[[#This Row],[Cantidad]]</f>
        <v>#N/A</v>
      </c>
      <c r="T4480" s="369" t="str">
        <f>VLOOKUP(Tabla4[[#This Row],[Producto]],Tabla6[#All],14,FALSE)</f>
        <v>Termico Solar</v>
      </c>
      <c r="U4480" s="284" t="e">
        <f>(IF(Tabla4[[#This Row],[Familia]]="termico solar",Tabla4[[#This Row],[Utilidad Total]]*6%,Tabla4[[#This Row],[Utilidad Total]]*11.5%))/Tabla4[[#This Row],[Total]]</f>
        <v>#N/A</v>
      </c>
      <c r="V4480" s="282" t="e">
        <f>+Tabla4[[#This Row],[Comisión Calculada]]*Tabla4[[#This Row],[Total]]</f>
        <v>#N/A</v>
      </c>
    </row>
    <row r="4481" spans="1:22" hidden="1" x14ac:dyDescent="0.25">
      <c r="A4481" s="100">
        <v>45853</v>
      </c>
      <c r="B4481" t="str">
        <f t="shared" si="225"/>
        <v>July</v>
      </c>
      <c r="C4481" s="46" t="s">
        <v>280</v>
      </c>
      <c r="F4481" s="366" t="s">
        <v>2401</v>
      </c>
      <c r="G4481" s="46" t="s">
        <v>16</v>
      </c>
      <c r="H4481" s="46">
        <v>5</v>
      </c>
      <c r="I4481" s="51">
        <v>4103.8500000000004</v>
      </c>
      <c r="J4481" s="281">
        <f>++Tabla4[[#This Row],[Precio Bruto]]*1.16</f>
        <v>4760.4660000000003</v>
      </c>
      <c r="K4481" s="281">
        <f>+Tabla4[[#This Row],[Precio Unitario Neto]]*Tabla4[[#Headers],[20.85%]]</f>
        <v>992.55716100000006</v>
      </c>
      <c r="L4481" s="282">
        <f>++Tabla4[[#This Row],[Precio Unitario Neto]]-Tabla4[[#This Row],[20.85%]]</f>
        <v>3767.9088390000002</v>
      </c>
      <c r="M4481" s="282" t="e">
        <f>(INDEX(Tabla6[#All],MATCH(Tabla4[[#This Row],[Producto]],Tabla6[[#All],[PRODUCTO]],0),MATCH(Tabla4[[#This Row],[Mes]],Tabla6[#Headers],0)))*(1+Catalogos!$L$2)</f>
        <v>#N/A</v>
      </c>
      <c r="N4481" s="283" t="e">
        <f>+(Tabla4[[#This Row],[Precio Descontado]]-Tabla4[[#This Row],[Precio Base]])*Tabla4[[#This Row],[Cantidad]]</f>
        <v>#N/A</v>
      </c>
      <c r="O4481" s="284" t="e">
        <f>++Tabla4[[#This Row],[Utilidad Total]]/Tabla4[[#This Row],[Total]]</f>
        <v>#N/A</v>
      </c>
      <c r="P4481" s="282">
        <f>++Tabla4[[#This Row],[Precio Descontado]]*Tabla4[[#This Row],[Cantidad]]</f>
        <v>18839.544195000002</v>
      </c>
      <c r="Q4481" s="282" t="e">
        <f>(INDEX(Tabla6[#All],MATCH(Tabla4[[#This Row],[Producto]],Tabla6[[#All],[PRODUCTO]],0),MATCH(Tabla4[[#This Row],[Mes]],Tabla6[#Headers],0)))</f>
        <v>#N/A</v>
      </c>
      <c r="R4481" s="282" t="e">
        <f>++Tabla4[[#This Row],[Precio Unitario Neto]]-Tabla4[[#This Row],[20.85%]]-Tabla4[[#This Row],[Costo]]</f>
        <v>#N/A</v>
      </c>
      <c r="S4481" s="282" t="e">
        <f>++Tabla4[[#This Row],[U. Bruta Uni]]*Tabla4[[#This Row],[Cantidad]]</f>
        <v>#N/A</v>
      </c>
      <c r="T4481" s="369" t="str">
        <f>VLOOKUP(Tabla4[[#This Row],[Producto]],Tabla6[#All],14,FALSE)</f>
        <v>Termico Solar</v>
      </c>
      <c r="U4481" s="284" t="e">
        <f>(IF(Tabla4[[#This Row],[Familia]]="termico solar",Tabla4[[#This Row],[Utilidad Total]]*6%,Tabla4[[#This Row],[Utilidad Total]]*11.5%))/Tabla4[[#This Row],[Total]]</f>
        <v>#N/A</v>
      </c>
      <c r="V4481" s="282" t="e">
        <f>+Tabla4[[#This Row],[Comisión Calculada]]*Tabla4[[#This Row],[Total]]</f>
        <v>#N/A</v>
      </c>
    </row>
    <row r="4482" spans="1:22" hidden="1" x14ac:dyDescent="0.25">
      <c r="A4482" s="100">
        <v>45853</v>
      </c>
      <c r="B4482" t="str">
        <f t="shared" si="225"/>
        <v>July</v>
      </c>
      <c r="C4482" s="46" t="s">
        <v>280</v>
      </c>
      <c r="F4482" s="366" t="s">
        <v>2401</v>
      </c>
      <c r="G4482" s="46" t="s">
        <v>208</v>
      </c>
      <c r="H4482" s="46">
        <v>1</v>
      </c>
      <c r="I4482" s="51">
        <v>189.75</v>
      </c>
      <c r="J4482" s="281">
        <f>++Tabla4[[#This Row],[Precio Bruto]]*1.16</f>
        <v>220.10999999999999</v>
      </c>
      <c r="K4482" s="281">
        <f>+Tabla4[[#This Row],[Precio Unitario Neto]]*Tabla4[[#Headers],[20.85%]]</f>
        <v>45.892934999999994</v>
      </c>
      <c r="L4482" s="282">
        <f>++Tabla4[[#This Row],[Precio Unitario Neto]]-Tabla4[[#This Row],[20.85%]]</f>
        <v>174.21706499999999</v>
      </c>
      <c r="M4482" s="282" t="e">
        <f>(INDEX(Tabla6[#All],MATCH(Tabla4[[#This Row],[Producto]],Tabla6[[#All],[PRODUCTO]],0),MATCH(Tabla4[[#This Row],[Mes]],Tabla6[#Headers],0)))*(1+Catalogos!$L$2)</f>
        <v>#N/A</v>
      </c>
      <c r="N4482" s="283" t="e">
        <f>+(Tabla4[[#This Row],[Precio Descontado]]-Tabla4[[#This Row],[Precio Base]])*Tabla4[[#This Row],[Cantidad]]</f>
        <v>#N/A</v>
      </c>
      <c r="O4482" s="284" t="e">
        <f>++Tabla4[[#This Row],[Utilidad Total]]/Tabla4[[#This Row],[Total]]</f>
        <v>#N/A</v>
      </c>
      <c r="P4482" s="282">
        <f>++Tabla4[[#This Row],[Precio Descontado]]*Tabla4[[#This Row],[Cantidad]]</f>
        <v>174.21706499999999</v>
      </c>
      <c r="Q4482" s="282" t="e">
        <f>(INDEX(Tabla6[#All],MATCH(Tabla4[[#This Row],[Producto]],Tabla6[[#All],[PRODUCTO]],0),MATCH(Tabla4[[#This Row],[Mes]],Tabla6[#Headers],0)))</f>
        <v>#N/A</v>
      </c>
      <c r="R4482" s="282" t="e">
        <f>++Tabla4[[#This Row],[Precio Unitario Neto]]-Tabla4[[#This Row],[20.85%]]-Tabla4[[#This Row],[Costo]]</f>
        <v>#N/A</v>
      </c>
      <c r="S4482" s="282" t="e">
        <f>++Tabla4[[#This Row],[U. Bruta Uni]]*Tabla4[[#This Row],[Cantidad]]</f>
        <v>#N/A</v>
      </c>
      <c r="T4482" s="369" t="str">
        <f>VLOOKUP(Tabla4[[#This Row],[Producto]],Tabla6[#All],14,FALSE)</f>
        <v>Termico Solar</v>
      </c>
      <c r="U4482" s="284" t="e">
        <f>(IF(Tabla4[[#This Row],[Familia]]="termico solar",Tabla4[[#This Row],[Utilidad Total]]*6%,Tabla4[[#This Row],[Utilidad Total]]*11.5%))/Tabla4[[#This Row],[Total]]</f>
        <v>#N/A</v>
      </c>
      <c r="V4482" s="282" t="e">
        <f>+Tabla4[[#This Row],[Comisión Calculada]]*Tabla4[[#This Row],[Total]]</f>
        <v>#N/A</v>
      </c>
    </row>
    <row r="4483" spans="1:22" hidden="1" x14ac:dyDescent="0.25">
      <c r="A4483" s="100">
        <v>45853</v>
      </c>
      <c r="B4483" t="str">
        <f t="shared" si="225"/>
        <v>July</v>
      </c>
      <c r="C4483" s="46" t="s">
        <v>280</v>
      </c>
      <c r="F4483" s="366" t="s">
        <v>2402</v>
      </c>
      <c r="G4483" s="46" t="s">
        <v>566</v>
      </c>
      <c r="H4483" s="46">
        <v>1</v>
      </c>
      <c r="I4483" s="51">
        <v>2109.4499999999998</v>
      </c>
      <c r="J4483" s="281">
        <f>++Tabla4[[#This Row],[Precio Bruto]]*1.16</f>
        <v>2446.9619999999995</v>
      </c>
      <c r="K4483" s="281">
        <f>+Tabla4[[#This Row],[Precio Unitario Neto]]*Tabla4[[#Headers],[20.85%]]</f>
        <v>510.19157699999988</v>
      </c>
      <c r="L4483" s="282">
        <f>++Tabla4[[#This Row],[Precio Unitario Neto]]-Tabla4[[#This Row],[20.85%]]</f>
        <v>1936.7704229999997</v>
      </c>
      <c r="M4483" s="282" t="e">
        <f>(INDEX(Tabla6[#All],MATCH(Tabla4[[#This Row],[Producto]],Tabla6[[#All],[PRODUCTO]],0),MATCH(Tabla4[[#This Row],[Mes]],Tabla6[#Headers],0)))*(1+Catalogos!$L$2)</f>
        <v>#N/A</v>
      </c>
      <c r="N4483" s="283" t="e">
        <f>+(Tabla4[[#This Row],[Precio Descontado]]-Tabla4[[#This Row],[Precio Base]])*Tabla4[[#This Row],[Cantidad]]</f>
        <v>#N/A</v>
      </c>
      <c r="O4483" s="284" t="e">
        <f>++Tabla4[[#This Row],[Utilidad Total]]/Tabla4[[#This Row],[Total]]</f>
        <v>#N/A</v>
      </c>
      <c r="P4483" s="282">
        <f>++Tabla4[[#This Row],[Precio Descontado]]*Tabla4[[#This Row],[Cantidad]]</f>
        <v>1936.7704229999997</v>
      </c>
      <c r="Q4483" s="282" t="e">
        <f>(INDEX(Tabla6[#All],MATCH(Tabla4[[#This Row],[Producto]],Tabla6[[#All],[PRODUCTO]],0),MATCH(Tabla4[[#This Row],[Mes]],Tabla6[#Headers],0)))</f>
        <v>#N/A</v>
      </c>
      <c r="R4483" s="282" t="e">
        <f>++Tabla4[[#This Row],[Precio Unitario Neto]]-Tabla4[[#This Row],[20.85%]]-Tabla4[[#This Row],[Costo]]</f>
        <v>#N/A</v>
      </c>
      <c r="S4483" s="282" t="e">
        <f>++Tabla4[[#This Row],[U. Bruta Uni]]*Tabla4[[#This Row],[Cantidad]]</f>
        <v>#N/A</v>
      </c>
      <c r="T4483" s="369" t="str">
        <f>VLOOKUP(Tabla4[[#This Row],[Producto]],Tabla6[#All],14,FALSE)</f>
        <v>Termico Solar</v>
      </c>
      <c r="U4483" s="284" t="e">
        <f>(IF(Tabla4[[#This Row],[Familia]]="termico solar",Tabla4[[#This Row],[Utilidad Total]]*6%,Tabla4[[#This Row],[Utilidad Total]]*11.5%))/Tabla4[[#This Row],[Total]]</f>
        <v>#N/A</v>
      </c>
      <c r="V4483" s="282" t="e">
        <f>+Tabla4[[#This Row],[Comisión Calculada]]*Tabla4[[#This Row],[Total]]</f>
        <v>#N/A</v>
      </c>
    </row>
    <row r="4484" spans="1:22" hidden="1" x14ac:dyDescent="0.25">
      <c r="A4484" s="100">
        <v>45853</v>
      </c>
      <c r="B4484" t="str">
        <f t="shared" si="225"/>
        <v>July</v>
      </c>
      <c r="C4484" s="46" t="s">
        <v>280</v>
      </c>
      <c r="F4484" s="366" t="s">
        <v>2402</v>
      </c>
      <c r="G4484" s="46" t="s">
        <v>208</v>
      </c>
      <c r="H4484" s="46">
        <v>6</v>
      </c>
      <c r="I4484" s="51">
        <v>189.75</v>
      </c>
      <c r="J4484" s="281">
        <f>++Tabla4[[#This Row],[Precio Bruto]]*1.16</f>
        <v>220.10999999999999</v>
      </c>
      <c r="K4484" s="281">
        <f>+Tabla4[[#This Row],[Precio Unitario Neto]]*Tabla4[[#Headers],[20.85%]]</f>
        <v>45.892934999999994</v>
      </c>
      <c r="L4484" s="282">
        <f>++Tabla4[[#This Row],[Precio Unitario Neto]]-Tabla4[[#This Row],[20.85%]]</f>
        <v>174.21706499999999</v>
      </c>
      <c r="M4484" s="282" t="e">
        <f>(INDEX(Tabla6[#All],MATCH(Tabla4[[#This Row],[Producto]],Tabla6[[#All],[PRODUCTO]],0),MATCH(Tabla4[[#This Row],[Mes]],Tabla6[#Headers],0)))*(1+Catalogos!$L$2)</f>
        <v>#N/A</v>
      </c>
      <c r="N4484" s="283" t="e">
        <f>+(Tabla4[[#This Row],[Precio Descontado]]-Tabla4[[#This Row],[Precio Base]])*Tabla4[[#This Row],[Cantidad]]</f>
        <v>#N/A</v>
      </c>
      <c r="O4484" s="284" t="e">
        <f>++Tabla4[[#This Row],[Utilidad Total]]/Tabla4[[#This Row],[Total]]</f>
        <v>#N/A</v>
      </c>
      <c r="P4484" s="282">
        <f>++Tabla4[[#This Row],[Precio Descontado]]*Tabla4[[#This Row],[Cantidad]]</f>
        <v>1045.3023899999998</v>
      </c>
      <c r="Q4484" s="282" t="e">
        <f>(INDEX(Tabla6[#All],MATCH(Tabla4[[#This Row],[Producto]],Tabla6[[#All],[PRODUCTO]],0),MATCH(Tabla4[[#This Row],[Mes]],Tabla6[#Headers],0)))</f>
        <v>#N/A</v>
      </c>
      <c r="R4484" s="282" t="e">
        <f>++Tabla4[[#This Row],[Precio Unitario Neto]]-Tabla4[[#This Row],[20.85%]]-Tabla4[[#This Row],[Costo]]</f>
        <v>#N/A</v>
      </c>
      <c r="S4484" s="282" t="e">
        <f>++Tabla4[[#This Row],[U. Bruta Uni]]*Tabla4[[#This Row],[Cantidad]]</f>
        <v>#N/A</v>
      </c>
      <c r="T4484" s="369" t="str">
        <f>VLOOKUP(Tabla4[[#This Row],[Producto]],Tabla6[#All],14,FALSE)</f>
        <v>Termico Solar</v>
      </c>
      <c r="U4484" s="284" t="e">
        <f>(IF(Tabla4[[#This Row],[Familia]]="termico solar",Tabla4[[#This Row],[Utilidad Total]]*6%,Tabla4[[#This Row],[Utilidad Total]]*11.5%))/Tabla4[[#This Row],[Total]]</f>
        <v>#N/A</v>
      </c>
      <c r="V4484" s="282" t="e">
        <f>+Tabla4[[#This Row],[Comisión Calculada]]*Tabla4[[#This Row],[Total]]</f>
        <v>#N/A</v>
      </c>
    </row>
    <row r="4485" spans="1:22" hidden="1" x14ac:dyDescent="0.25">
      <c r="A4485" s="100">
        <v>45853</v>
      </c>
      <c r="B4485" t="str">
        <f t="shared" si="225"/>
        <v>July</v>
      </c>
      <c r="C4485" s="46" t="s">
        <v>280</v>
      </c>
      <c r="F4485" s="366" t="s">
        <v>2403</v>
      </c>
      <c r="G4485" s="46" t="s">
        <v>18</v>
      </c>
      <c r="H4485" s="46">
        <v>2</v>
      </c>
      <c r="I4485" s="51">
        <v>5367.65</v>
      </c>
      <c r="J4485" s="281">
        <f>++Tabla4[[#This Row],[Precio Bruto]]*1.16</f>
        <v>6226.4739999999993</v>
      </c>
      <c r="K4485" s="281">
        <f>+Tabla4[[#This Row],[Precio Unitario Neto]]*Tabla4[[#Headers],[20.85%]]</f>
        <v>1298.2198289999999</v>
      </c>
      <c r="L4485" s="282">
        <f>++Tabla4[[#This Row],[Precio Unitario Neto]]-Tabla4[[#This Row],[20.85%]]</f>
        <v>4928.2541709999996</v>
      </c>
      <c r="M4485" s="282" t="e">
        <f>(INDEX(Tabla6[#All],MATCH(Tabla4[[#This Row],[Producto]],Tabla6[[#All],[PRODUCTO]],0),MATCH(Tabla4[[#This Row],[Mes]],Tabla6[#Headers],0)))*(1+Catalogos!$L$2)</f>
        <v>#N/A</v>
      </c>
      <c r="N4485" s="283" t="e">
        <f>+(Tabla4[[#This Row],[Precio Descontado]]-Tabla4[[#This Row],[Precio Base]])*Tabla4[[#This Row],[Cantidad]]</f>
        <v>#N/A</v>
      </c>
      <c r="O4485" s="284" t="e">
        <f>++Tabla4[[#This Row],[Utilidad Total]]/Tabla4[[#This Row],[Total]]</f>
        <v>#N/A</v>
      </c>
      <c r="P4485" s="282">
        <f>++Tabla4[[#This Row],[Precio Descontado]]*Tabla4[[#This Row],[Cantidad]]</f>
        <v>9856.5083419999992</v>
      </c>
      <c r="Q4485" s="282" t="e">
        <f>(INDEX(Tabla6[#All],MATCH(Tabla4[[#This Row],[Producto]],Tabla6[[#All],[PRODUCTO]],0),MATCH(Tabla4[[#This Row],[Mes]],Tabla6[#Headers],0)))</f>
        <v>#N/A</v>
      </c>
      <c r="R4485" s="282" t="e">
        <f>++Tabla4[[#This Row],[Precio Unitario Neto]]-Tabla4[[#This Row],[20.85%]]-Tabla4[[#This Row],[Costo]]</f>
        <v>#N/A</v>
      </c>
      <c r="S4485" s="282" t="e">
        <f>++Tabla4[[#This Row],[U. Bruta Uni]]*Tabla4[[#This Row],[Cantidad]]</f>
        <v>#N/A</v>
      </c>
      <c r="T4485" s="369" t="str">
        <f>VLOOKUP(Tabla4[[#This Row],[Producto]],Tabla6[#All],14,FALSE)</f>
        <v>Termico Solar</v>
      </c>
      <c r="U4485" s="284" t="e">
        <f>(IF(Tabla4[[#This Row],[Familia]]="termico solar",Tabla4[[#This Row],[Utilidad Total]]*6%,Tabla4[[#This Row],[Utilidad Total]]*11.5%))/Tabla4[[#This Row],[Total]]</f>
        <v>#N/A</v>
      </c>
      <c r="V4485" s="282" t="e">
        <f>+Tabla4[[#This Row],[Comisión Calculada]]*Tabla4[[#This Row],[Total]]</f>
        <v>#N/A</v>
      </c>
    </row>
    <row r="4486" spans="1:22" hidden="1" x14ac:dyDescent="0.25">
      <c r="A4486" s="100">
        <v>45853</v>
      </c>
      <c r="B4486" t="str">
        <f t="shared" si="225"/>
        <v>July</v>
      </c>
      <c r="C4486" s="46" t="s">
        <v>280</v>
      </c>
      <c r="F4486" s="366" t="s">
        <v>2404</v>
      </c>
      <c r="G4486" s="46" t="s">
        <v>17</v>
      </c>
      <c r="H4486" s="46">
        <v>2</v>
      </c>
      <c r="I4486" s="51">
        <v>4622.28</v>
      </c>
      <c r="J4486" s="281">
        <f>++Tabla4[[#This Row],[Precio Bruto]]*1.16</f>
        <v>5361.8447999999989</v>
      </c>
      <c r="K4486" s="281">
        <f>+Tabla4[[#This Row],[Precio Unitario Neto]]*Tabla4[[#Headers],[20.85%]]</f>
        <v>1117.9446407999997</v>
      </c>
      <c r="L4486" s="282">
        <f>++Tabla4[[#This Row],[Precio Unitario Neto]]-Tabla4[[#This Row],[20.85%]]</f>
        <v>4243.9001591999995</v>
      </c>
      <c r="M4486" s="282" t="e">
        <f>(INDEX(Tabla6[#All],MATCH(Tabla4[[#This Row],[Producto]],Tabla6[[#All],[PRODUCTO]],0),MATCH(Tabla4[[#This Row],[Mes]],Tabla6[#Headers],0)))*(1+Catalogos!$L$2)</f>
        <v>#N/A</v>
      </c>
      <c r="N4486" s="283" t="e">
        <f>+(Tabla4[[#This Row],[Precio Descontado]]-Tabla4[[#This Row],[Precio Base]])*Tabla4[[#This Row],[Cantidad]]</f>
        <v>#N/A</v>
      </c>
      <c r="O4486" s="284" t="e">
        <f>++Tabla4[[#This Row],[Utilidad Total]]/Tabla4[[#This Row],[Total]]</f>
        <v>#N/A</v>
      </c>
      <c r="P4486" s="282">
        <f>++Tabla4[[#This Row],[Precio Descontado]]*Tabla4[[#This Row],[Cantidad]]</f>
        <v>8487.800318399999</v>
      </c>
      <c r="Q4486" s="282" t="e">
        <f>(INDEX(Tabla6[#All],MATCH(Tabla4[[#This Row],[Producto]],Tabla6[[#All],[PRODUCTO]],0),MATCH(Tabla4[[#This Row],[Mes]],Tabla6[#Headers],0)))</f>
        <v>#N/A</v>
      </c>
      <c r="R4486" s="282" t="e">
        <f>++Tabla4[[#This Row],[Precio Unitario Neto]]-Tabla4[[#This Row],[20.85%]]-Tabla4[[#This Row],[Costo]]</f>
        <v>#N/A</v>
      </c>
      <c r="S4486" s="282" t="e">
        <f>++Tabla4[[#This Row],[U. Bruta Uni]]*Tabla4[[#This Row],[Cantidad]]</f>
        <v>#N/A</v>
      </c>
      <c r="T4486" s="369" t="str">
        <f>VLOOKUP(Tabla4[[#This Row],[Producto]],Tabla6[#All],14,FALSE)</f>
        <v>Termico Solar</v>
      </c>
      <c r="U4486" s="284" t="e">
        <f>(IF(Tabla4[[#This Row],[Familia]]="termico solar",Tabla4[[#This Row],[Utilidad Total]]*6%,Tabla4[[#This Row],[Utilidad Total]]*11.5%))/Tabla4[[#This Row],[Total]]</f>
        <v>#N/A</v>
      </c>
      <c r="V4486" s="282" t="e">
        <f>+Tabla4[[#This Row],[Comisión Calculada]]*Tabla4[[#This Row],[Total]]</f>
        <v>#N/A</v>
      </c>
    </row>
    <row r="4487" spans="1:22" hidden="1" x14ac:dyDescent="0.25">
      <c r="A4487" s="100">
        <v>45853</v>
      </c>
      <c r="B4487" t="str">
        <f t="shared" si="225"/>
        <v>July</v>
      </c>
      <c r="C4487" s="46" t="s">
        <v>280</v>
      </c>
      <c r="F4487" s="366" t="s">
        <v>2405</v>
      </c>
      <c r="G4487" s="46" t="s">
        <v>17</v>
      </c>
      <c r="H4487" s="46">
        <v>2</v>
      </c>
      <c r="I4487" s="51">
        <v>4622.28</v>
      </c>
      <c r="J4487" s="281">
        <f>++Tabla4[[#This Row],[Precio Bruto]]*1.16</f>
        <v>5361.8447999999989</v>
      </c>
      <c r="K4487" s="281">
        <f>+Tabla4[[#This Row],[Precio Unitario Neto]]*Tabla4[[#Headers],[20.85%]]</f>
        <v>1117.9446407999997</v>
      </c>
      <c r="L4487" s="282">
        <f>++Tabla4[[#This Row],[Precio Unitario Neto]]-Tabla4[[#This Row],[20.85%]]</f>
        <v>4243.9001591999995</v>
      </c>
      <c r="M4487" s="282" t="e">
        <f>(INDEX(Tabla6[#All],MATCH(Tabla4[[#This Row],[Producto]],Tabla6[[#All],[PRODUCTO]],0),MATCH(Tabla4[[#This Row],[Mes]],Tabla6[#Headers],0)))*(1+Catalogos!$L$2)</f>
        <v>#N/A</v>
      </c>
      <c r="N4487" s="283" t="e">
        <f>+(Tabla4[[#This Row],[Precio Descontado]]-Tabla4[[#This Row],[Precio Base]])*Tabla4[[#This Row],[Cantidad]]</f>
        <v>#N/A</v>
      </c>
      <c r="O4487" s="284" t="e">
        <f>++Tabla4[[#This Row],[Utilidad Total]]/Tabla4[[#This Row],[Total]]</f>
        <v>#N/A</v>
      </c>
      <c r="P4487" s="282">
        <f>++Tabla4[[#This Row],[Precio Descontado]]*Tabla4[[#This Row],[Cantidad]]</f>
        <v>8487.800318399999</v>
      </c>
      <c r="Q4487" s="282" t="e">
        <f>(INDEX(Tabla6[#All],MATCH(Tabla4[[#This Row],[Producto]],Tabla6[[#All],[PRODUCTO]],0),MATCH(Tabla4[[#This Row],[Mes]],Tabla6[#Headers],0)))</f>
        <v>#N/A</v>
      </c>
      <c r="R4487" s="282" t="e">
        <f>++Tabla4[[#This Row],[Precio Unitario Neto]]-Tabla4[[#This Row],[20.85%]]-Tabla4[[#This Row],[Costo]]</f>
        <v>#N/A</v>
      </c>
      <c r="S4487" s="282" t="e">
        <f>++Tabla4[[#This Row],[U. Bruta Uni]]*Tabla4[[#This Row],[Cantidad]]</f>
        <v>#N/A</v>
      </c>
      <c r="T4487" s="369" t="str">
        <f>VLOOKUP(Tabla4[[#This Row],[Producto]],Tabla6[#All],14,FALSE)</f>
        <v>Termico Solar</v>
      </c>
      <c r="U4487" s="284" t="e">
        <f>(IF(Tabla4[[#This Row],[Familia]]="termico solar",Tabla4[[#This Row],[Utilidad Total]]*6%,Tabla4[[#This Row],[Utilidad Total]]*11.5%))/Tabla4[[#This Row],[Total]]</f>
        <v>#N/A</v>
      </c>
      <c r="V4487" s="282" t="e">
        <f>+Tabla4[[#This Row],[Comisión Calculada]]*Tabla4[[#This Row],[Total]]</f>
        <v>#N/A</v>
      </c>
    </row>
    <row r="4488" spans="1:22" hidden="1" x14ac:dyDescent="0.25">
      <c r="A4488" s="100">
        <v>45853</v>
      </c>
      <c r="B4488" t="str">
        <f t="shared" si="225"/>
        <v>July</v>
      </c>
      <c r="C4488" s="46" t="s">
        <v>280</v>
      </c>
      <c r="F4488" s="366" t="s">
        <v>2405</v>
      </c>
      <c r="G4488" s="46" t="s">
        <v>18</v>
      </c>
      <c r="H4488" s="46">
        <v>1</v>
      </c>
      <c r="I4488" s="51">
        <v>5367.65</v>
      </c>
      <c r="J4488" s="281">
        <f>++Tabla4[[#This Row],[Precio Bruto]]*1.16</f>
        <v>6226.4739999999993</v>
      </c>
      <c r="K4488" s="281">
        <f>+Tabla4[[#This Row],[Precio Unitario Neto]]*Tabla4[[#Headers],[20.85%]]</f>
        <v>1298.2198289999999</v>
      </c>
      <c r="L4488" s="282">
        <f>++Tabla4[[#This Row],[Precio Unitario Neto]]-Tabla4[[#This Row],[20.85%]]</f>
        <v>4928.2541709999996</v>
      </c>
      <c r="M4488" s="282" t="e">
        <f>(INDEX(Tabla6[#All],MATCH(Tabla4[[#This Row],[Producto]],Tabla6[[#All],[PRODUCTO]],0),MATCH(Tabla4[[#This Row],[Mes]],Tabla6[#Headers],0)))*(1+Catalogos!$L$2)</f>
        <v>#N/A</v>
      </c>
      <c r="N4488" s="283" t="e">
        <f>+(Tabla4[[#This Row],[Precio Descontado]]-Tabla4[[#This Row],[Precio Base]])*Tabla4[[#This Row],[Cantidad]]</f>
        <v>#N/A</v>
      </c>
      <c r="O4488" s="284" t="e">
        <f>++Tabla4[[#This Row],[Utilidad Total]]/Tabla4[[#This Row],[Total]]</f>
        <v>#N/A</v>
      </c>
      <c r="P4488" s="282">
        <f>++Tabla4[[#This Row],[Precio Descontado]]*Tabla4[[#This Row],[Cantidad]]</f>
        <v>4928.2541709999996</v>
      </c>
      <c r="Q4488" s="282" t="e">
        <f>(INDEX(Tabla6[#All],MATCH(Tabla4[[#This Row],[Producto]],Tabla6[[#All],[PRODUCTO]],0),MATCH(Tabla4[[#This Row],[Mes]],Tabla6[#Headers],0)))</f>
        <v>#N/A</v>
      </c>
      <c r="R4488" s="282" t="e">
        <f>++Tabla4[[#This Row],[Precio Unitario Neto]]-Tabla4[[#This Row],[20.85%]]-Tabla4[[#This Row],[Costo]]</f>
        <v>#N/A</v>
      </c>
      <c r="S4488" s="282" t="e">
        <f>++Tabla4[[#This Row],[U. Bruta Uni]]*Tabla4[[#This Row],[Cantidad]]</f>
        <v>#N/A</v>
      </c>
      <c r="T4488" s="369" t="str">
        <f>VLOOKUP(Tabla4[[#This Row],[Producto]],Tabla6[#All],14,FALSE)</f>
        <v>Termico Solar</v>
      </c>
      <c r="U4488" s="284" t="e">
        <f>(IF(Tabla4[[#This Row],[Familia]]="termico solar",Tabla4[[#This Row],[Utilidad Total]]*6%,Tabla4[[#This Row],[Utilidad Total]]*11.5%))/Tabla4[[#This Row],[Total]]</f>
        <v>#N/A</v>
      </c>
      <c r="V4488" s="282" t="e">
        <f>+Tabla4[[#This Row],[Comisión Calculada]]*Tabla4[[#This Row],[Total]]</f>
        <v>#N/A</v>
      </c>
    </row>
    <row r="4489" spans="1:22" hidden="1" x14ac:dyDescent="0.25">
      <c r="A4489" s="100">
        <v>45853</v>
      </c>
      <c r="B4489" t="str">
        <f t="shared" si="225"/>
        <v>July</v>
      </c>
      <c r="C4489" s="46" t="s">
        <v>280</v>
      </c>
      <c r="F4489" s="366" t="s">
        <v>2405</v>
      </c>
      <c r="G4489" s="46" t="s">
        <v>566</v>
      </c>
      <c r="H4489" s="46">
        <v>1</v>
      </c>
      <c r="I4489" s="51">
        <v>2109.4499999999998</v>
      </c>
      <c r="J4489" s="281">
        <f>++Tabla4[[#This Row],[Precio Bruto]]*1.16</f>
        <v>2446.9619999999995</v>
      </c>
      <c r="K4489" s="281">
        <f>+Tabla4[[#This Row],[Precio Unitario Neto]]*Tabla4[[#Headers],[20.85%]]</f>
        <v>510.19157699999988</v>
      </c>
      <c r="L4489" s="282">
        <f>++Tabla4[[#This Row],[Precio Unitario Neto]]-Tabla4[[#This Row],[20.85%]]</f>
        <v>1936.7704229999997</v>
      </c>
      <c r="M4489" s="282" t="e">
        <f>(INDEX(Tabla6[#All],MATCH(Tabla4[[#This Row],[Producto]],Tabla6[[#All],[PRODUCTO]],0),MATCH(Tabla4[[#This Row],[Mes]],Tabla6[#Headers],0)))*(1+Catalogos!$L$2)</f>
        <v>#N/A</v>
      </c>
      <c r="N4489" s="283" t="e">
        <f>+(Tabla4[[#This Row],[Precio Descontado]]-Tabla4[[#This Row],[Precio Base]])*Tabla4[[#This Row],[Cantidad]]</f>
        <v>#N/A</v>
      </c>
      <c r="O4489" s="284" t="e">
        <f>++Tabla4[[#This Row],[Utilidad Total]]/Tabla4[[#This Row],[Total]]</f>
        <v>#N/A</v>
      </c>
      <c r="P4489" s="282">
        <f>++Tabla4[[#This Row],[Precio Descontado]]*Tabla4[[#This Row],[Cantidad]]</f>
        <v>1936.7704229999997</v>
      </c>
      <c r="Q4489" s="282" t="e">
        <f>(INDEX(Tabla6[#All],MATCH(Tabla4[[#This Row],[Producto]],Tabla6[[#All],[PRODUCTO]],0),MATCH(Tabla4[[#This Row],[Mes]],Tabla6[#Headers],0)))</f>
        <v>#N/A</v>
      </c>
      <c r="R4489" s="282" t="e">
        <f>++Tabla4[[#This Row],[Precio Unitario Neto]]-Tabla4[[#This Row],[20.85%]]-Tabla4[[#This Row],[Costo]]</f>
        <v>#N/A</v>
      </c>
      <c r="S4489" s="282" t="e">
        <f>++Tabla4[[#This Row],[U. Bruta Uni]]*Tabla4[[#This Row],[Cantidad]]</f>
        <v>#N/A</v>
      </c>
      <c r="T4489" s="369" t="str">
        <f>VLOOKUP(Tabla4[[#This Row],[Producto]],Tabla6[#All],14,FALSE)</f>
        <v>Termico Solar</v>
      </c>
      <c r="U4489" s="284" t="e">
        <f>(IF(Tabla4[[#This Row],[Familia]]="termico solar",Tabla4[[#This Row],[Utilidad Total]]*6%,Tabla4[[#This Row],[Utilidad Total]]*11.5%))/Tabla4[[#This Row],[Total]]</f>
        <v>#N/A</v>
      </c>
      <c r="V4489" s="282" t="e">
        <f>+Tabla4[[#This Row],[Comisión Calculada]]*Tabla4[[#This Row],[Total]]</f>
        <v>#N/A</v>
      </c>
    </row>
    <row r="4490" spans="1:22" hidden="1" x14ac:dyDescent="0.25">
      <c r="A4490" s="100">
        <v>45853</v>
      </c>
      <c r="B4490" t="str">
        <f t="shared" si="225"/>
        <v>July</v>
      </c>
      <c r="C4490" s="46" t="s">
        <v>280</v>
      </c>
      <c r="F4490" s="366" t="s">
        <v>2406</v>
      </c>
      <c r="G4490" s="46" t="s">
        <v>41</v>
      </c>
      <c r="H4490" s="46">
        <v>2</v>
      </c>
      <c r="I4490" s="51">
        <v>1201.81</v>
      </c>
      <c r="J4490" s="281">
        <f>++Tabla4[[#This Row],[Precio Bruto]]*1.16</f>
        <v>1394.0995999999998</v>
      </c>
      <c r="K4490" s="281">
        <f>+Tabla4[[#This Row],[Precio Unitario Neto]]*Tabla4[[#Headers],[20.85%]]</f>
        <v>290.66976659999995</v>
      </c>
      <c r="L4490" s="282">
        <f>++Tabla4[[#This Row],[Precio Unitario Neto]]-Tabla4[[#This Row],[20.85%]]</f>
        <v>1103.4298333999998</v>
      </c>
      <c r="M4490" s="282" t="e">
        <f>(INDEX(Tabla6[#All],MATCH(Tabla4[[#This Row],[Producto]],Tabla6[[#All],[PRODUCTO]],0),MATCH(Tabla4[[#This Row],[Mes]],Tabla6[#Headers],0)))*(1+Catalogos!$L$2)</f>
        <v>#N/A</v>
      </c>
      <c r="N4490" s="283" t="e">
        <f>+(Tabla4[[#This Row],[Precio Descontado]]-Tabla4[[#This Row],[Precio Base]])*Tabla4[[#This Row],[Cantidad]]</f>
        <v>#N/A</v>
      </c>
      <c r="O4490" s="284" t="e">
        <f>++Tabla4[[#This Row],[Utilidad Total]]/Tabla4[[#This Row],[Total]]</f>
        <v>#N/A</v>
      </c>
      <c r="P4490" s="282">
        <f>++Tabla4[[#This Row],[Precio Descontado]]*Tabla4[[#This Row],[Cantidad]]</f>
        <v>2206.8596667999996</v>
      </c>
      <c r="Q4490" s="282" t="e">
        <f>(INDEX(Tabla6[#All],MATCH(Tabla4[[#This Row],[Producto]],Tabla6[[#All],[PRODUCTO]],0),MATCH(Tabla4[[#This Row],[Mes]],Tabla6[#Headers],0)))</f>
        <v>#N/A</v>
      </c>
      <c r="R4490" s="282" t="e">
        <f>++Tabla4[[#This Row],[Precio Unitario Neto]]-Tabla4[[#This Row],[20.85%]]-Tabla4[[#This Row],[Costo]]</f>
        <v>#N/A</v>
      </c>
      <c r="S4490" s="282" t="e">
        <f>++Tabla4[[#This Row],[U. Bruta Uni]]*Tabla4[[#This Row],[Cantidad]]</f>
        <v>#N/A</v>
      </c>
      <c r="T4490" s="369" t="str">
        <f>VLOOKUP(Tabla4[[#This Row],[Producto]],Tabla6[#All],14,FALSE)</f>
        <v>Termico Solar</v>
      </c>
      <c r="U4490" s="284" t="e">
        <f>(IF(Tabla4[[#This Row],[Familia]]="termico solar",Tabla4[[#This Row],[Utilidad Total]]*6%,Tabla4[[#This Row],[Utilidad Total]]*11.5%))/Tabla4[[#This Row],[Total]]</f>
        <v>#N/A</v>
      </c>
      <c r="V4490" s="282" t="e">
        <f>+Tabla4[[#This Row],[Comisión Calculada]]*Tabla4[[#This Row],[Total]]</f>
        <v>#N/A</v>
      </c>
    </row>
    <row r="4491" spans="1:22" hidden="1" x14ac:dyDescent="0.25">
      <c r="A4491" s="100">
        <v>45853</v>
      </c>
      <c r="B4491" t="str">
        <f t="shared" si="225"/>
        <v>July</v>
      </c>
      <c r="C4491" s="46" t="s">
        <v>280</v>
      </c>
      <c r="F4491" s="366" t="s">
        <v>2407</v>
      </c>
      <c r="G4491" s="46" t="s">
        <v>394</v>
      </c>
      <c r="H4491" s="46">
        <v>9</v>
      </c>
      <c r="I4491" s="51">
        <v>108.1</v>
      </c>
      <c r="J4491" s="281">
        <f>++Tabla4[[#This Row],[Precio Bruto]]*1.16</f>
        <v>125.39599999999999</v>
      </c>
      <c r="K4491" s="281">
        <f>+Tabla4[[#This Row],[Precio Unitario Neto]]*Tabla4[[#Headers],[20.85%]]</f>
        <v>26.145065999999996</v>
      </c>
      <c r="L4491" s="282">
        <f>++Tabla4[[#This Row],[Precio Unitario Neto]]-Tabla4[[#This Row],[20.85%]]</f>
        <v>99.250933999999987</v>
      </c>
      <c r="M4491" s="282" t="e">
        <f>(INDEX(Tabla6[#All],MATCH(Tabla4[[#This Row],[Producto]],Tabla6[[#All],[PRODUCTO]],0),MATCH(Tabla4[[#This Row],[Mes]],Tabla6[#Headers],0)))*(1+Catalogos!$L$2)</f>
        <v>#N/A</v>
      </c>
      <c r="N4491" s="283" t="e">
        <f>+(Tabla4[[#This Row],[Precio Descontado]]-Tabla4[[#This Row],[Precio Base]])*Tabla4[[#This Row],[Cantidad]]</f>
        <v>#N/A</v>
      </c>
      <c r="O4491" s="284" t="e">
        <f>++Tabla4[[#This Row],[Utilidad Total]]/Tabla4[[#This Row],[Total]]</f>
        <v>#N/A</v>
      </c>
      <c r="P4491" s="282">
        <f>++Tabla4[[#This Row],[Precio Descontado]]*Tabla4[[#This Row],[Cantidad]]</f>
        <v>893.25840599999992</v>
      </c>
      <c r="Q4491" s="282" t="e">
        <f>(INDEX(Tabla6[#All],MATCH(Tabla4[[#This Row],[Producto]],Tabla6[[#All],[PRODUCTO]],0),MATCH(Tabla4[[#This Row],[Mes]],Tabla6[#Headers],0)))</f>
        <v>#N/A</v>
      </c>
      <c r="R4491" s="282" t="e">
        <f>++Tabla4[[#This Row],[Precio Unitario Neto]]-Tabla4[[#This Row],[20.85%]]-Tabla4[[#This Row],[Costo]]</f>
        <v>#N/A</v>
      </c>
      <c r="S4491" s="282" t="e">
        <f>++Tabla4[[#This Row],[U. Bruta Uni]]*Tabla4[[#This Row],[Cantidad]]</f>
        <v>#N/A</v>
      </c>
      <c r="T4491" s="369" t="str">
        <f>VLOOKUP(Tabla4[[#This Row],[Producto]],Tabla6[#All],14,FALSE)</f>
        <v>Termico Solar</v>
      </c>
      <c r="U4491" s="284" t="e">
        <f>(IF(Tabla4[[#This Row],[Familia]]="termico solar",Tabla4[[#This Row],[Utilidad Total]]*6%,Tabla4[[#This Row],[Utilidad Total]]*11.5%))/Tabla4[[#This Row],[Total]]</f>
        <v>#N/A</v>
      </c>
      <c r="V4491" s="282" t="e">
        <f>+Tabla4[[#This Row],[Comisión Calculada]]*Tabla4[[#This Row],[Total]]</f>
        <v>#N/A</v>
      </c>
    </row>
    <row r="4492" spans="1:22" hidden="1" x14ac:dyDescent="0.25">
      <c r="A4492" s="100">
        <v>45853</v>
      </c>
      <c r="B4492" t="str">
        <f t="shared" si="225"/>
        <v>July</v>
      </c>
      <c r="C4492" s="46" t="s">
        <v>280</v>
      </c>
      <c r="F4492" s="366" t="s">
        <v>2407</v>
      </c>
      <c r="G4492" s="46" t="s">
        <v>208</v>
      </c>
      <c r="H4492" s="46">
        <v>13</v>
      </c>
      <c r="I4492" s="51">
        <v>189.75</v>
      </c>
      <c r="J4492" s="281">
        <f>++Tabla4[[#This Row],[Precio Bruto]]*1.16</f>
        <v>220.10999999999999</v>
      </c>
      <c r="K4492" s="281">
        <f>+Tabla4[[#This Row],[Precio Unitario Neto]]*Tabla4[[#Headers],[20.85%]]</f>
        <v>45.892934999999994</v>
      </c>
      <c r="L4492" s="282">
        <f>++Tabla4[[#This Row],[Precio Unitario Neto]]-Tabla4[[#This Row],[20.85%]]</f>
        <v>174.21706499999999</v>
      </c>
      <c r="M4492" s="282" t="e">
        <f>(INDEX(Tabla6[#All],MATCH(Tabla4[[#This Row],[Producto]],Tabla6[[#All],[PRODUCTO]],0),MATCH(Tabla4[[#This Row],[Mes]],Tabla6[#Headers],0)))*(1+Catalogos!$L$2)</f>
        <v>#N/A</v>
      </c>
      <c r="N4492" s="283" t="e">
        <f>+(Tabla4[[#This Row],[Precio Descontado]]-Tabla4[[#This Row],[Precio Base]])*Tabla4[[#This Row],[Cantidad]]</f>
        <v>#N/A</v>
      </c>
      <c r="O4492" s="284" t="e">
        <f>++Tabla4[[#This Row],[Utilidad Total]]/Tabla4[[#This Row],[Total]]</f>
        <v>#N/A</v>
      </c>
      <c r="P4492" s="282">
        <f>++Tabla4[[#This Row],[Precio Descontado]]*Tabla4[[#This Row],[Cantidad]]</f>
        <v>2264.8218449999999</v>
      </c>
      <c r="Q4492" s="282" t="e">
        <f>(INDEX(Tabla6[#All],MATCH(Tabla4[[#This Row],[Producto]],Tabla6[[#All],[PRODUCTO]],0),MATCH(Tabla4[[#This Row],[Mes]],Tabla6[#Headers],0)))</f>
        <v>#N/A</v>
      </c>
      <c r="R4492" s="282" t="e">
        <f>++Tabla4[[#This Row],[Precio Unitario Neto]]-Tabla4[[#This Row],[20.85%]]-Tabla4[[#This Row],[Costo]]</f>
        <v>#N/A</v>
      </c>
      <c r="S4492" s="282" t="e">
        <f>++Tabla4[[#This Row],[U. Bruta Uni]]*Tabla4[[#This Row],[Cantidad]]</f>
        <v>#N/A</v>
      </c>
      <c r="T4492" s="369" t="str">
        <f>VLOOKUP(Tabla4[[#This Row],[Producto]],Tabla6[#All],14,FALSE)</f>
        <v>Termico Solar</v>
      </c>
      <c r="U4492" s="284" t="e">
        <f>(IF(Tabla4[[#This Row],[Familia]]="termico solar",Tabla4[[#This Row],[Utilidad Total]]*6%,Tabla4[[#This Row],[Utilidad Total]]*11.5%))/Tabla4[[#This Row],[Total]]</f>
        <v>#N/A</v>
      </c>
      <c r="V4492" s="282" t="e">
        <f>+Tabla4[[#This Row],[Comisión Calculada]]*Tabla4[[#This Row],[Total]]</f>
        <v>#N/A</v>
      </c>
    </row>
    <row r="4493" spans="1:22" hidden="1" x14ac:dyDescent="0.25">
      <c r="A4493" s="100">
        <v>45853</v>
      </c>
      <c r="B4493" t="str">
        <f t="shared" si="225"/>
        <v>July</v>
      </c>
      <c r="C4493" s="46" t="s">
        <v>280</v>
      </c>
      <c r="F4493" s="366" t="s">
        <v>2407</v>
      </c>
      <c r="G4493" s="46" t="s">
        <v>209</v>
      </c>
      <c r="H4493" s="46">
        <v>4</v>
      </c>
      <c r="I4493" s="51">
        <v>347.48</v>
      </c>
      <c r="J4493" s="281">
        <f>++Tabla4[[#This Row],[Precio Bruto]]*1.16</f>
        <v>403.07679999999999</v>
      </c>
      <c r="K4493" s="281">
        <f>+Tabla4[[#This Row],[Precio Unitario Neto]]*Tabla4[[#Headers],[20.85%]]</f>
        <v>84.041512799999992</v>
      </c>
      <c r="L4493" s="282">
        <f>++Tabla4[[#This Row],[Precio Unitario Neto]]-Tabla4[[#This Row],[20.85%]]</f>
        <v>319.03528719999997</v>
      </c>
      <c r="M4493" s="282" t="e">
        <f>(INDEX(Tabla6[#All],MATCH(Tabla4[[#This Row],[Producto]],Tabla6[[#All],[PRODUCTO]],0),MATCH(Tabla4[[#This Row],[Mes]],Tabla6[#Headers],0)))*(1+Catalogos!$L$2)</f>
        <v>#N/A</v>
      </c>
      <c r="N4493" s="283" t="e">
        <f>+(Tabla4[[#This Row],[Precio Descontado]]-Tabla4[[#This Row],[Precio Base]])*Tabla4[[#This Row],[Cantidad]]</f>
        <v>#N/A</v>
      </c>
      <c r="O4493" s="284" t="e">
        <f>++Tabla4[[#This Row],[Utilidad Total]]/Tabla4[[#This Row],[Total]]</f>
        <v>#N/A</v>
      </c>
      <c r="P4493" s="282">
        <f>++Tabla4[[#This Row],[Precio Descontado]]*Tabla4[[#This Row],[Cantidad]]</f>
        <v>1276.1411487999999</v>
      </c>
      <c r="Q4493" s="282" t="e">
        <f>(INDEX(Tabla6[#All],MATCH(Tabla4[[#This Row],[Producto]],Tabla6[[#All],[PRODUCTO]],0),MATCH(Tabla4[[#This Row],[Mes]],Tabla6[#Headers],0)))</f>
        <v>#N/A</v>
      </c>
      <c r="R4493" s="282" t="e">
        <f>++Tabla4[[#This Row],[Precio Unitario Neto]]-Tabla4[[#This Row],[20.85%]]-Tabla4[[#This Row],[Costo]]</f>
        <v>#N/A</v>
      </c>
      <c r="S4493" s="282" t="e">
        <f>++Tabla4[[#This Row],[U. Bruta Uni]]*Tabla4[[#This Row],[Cantidad]]</f>
        <v>#N/A</v>
      </c>
      <c r="T4493" s="369" t="str">
        <f>VLOOKUP(Tabla4[[#This Row],[Producto]],Tabla6[#All],14,FALSE)</f>
        <v>Termico Solar</v>
      </c>
      <c r="U4493" s="284" t="e">
        <f>(IF(Tabla4[[#This Row],[Familia]]="termico solar",Tabla4[[#This Row],[Utilidad Total]]*6%,Tabla4[[#This Row],[Utilidad Total]]*11.5%))/Tabla4[[#This Row],[Total]]</f>
        <v>#N/A</v>
      </c>
      <c r="V4493" s="282" t="e">
        <f>+Tabla4[[#This Row],[Comisión Calculada]]*Tabla4[[#This Row],[Total]]</f>
        <v>#N/A</v>
      </c>
    </row>
    <row r="4494" spans="1:22" hidden="1" x14ac:dyDescent="0.25">
      <c r="A4494" s="100">
        <v>45853</v>
      </c>
      <c r="B4494" t="str">
        <f t="shared" si="225"/>
        <v>July</v>
      </c>
      <c r="C4494" s="46" t="s">
        <v>280</v>
      </c>
      <c r="F4494" s="366" t="s">
        <v>2408</v>
      </c>
      <c r="G4494" s="46" t="s">
        <v>18</v>
      </c>
      <c r="H4494" s="46">
        <v>1</v>
      </c>
      <c r="I4494" s="51">
        <v>5367.65</v>
      </c>
      <c r="J4494" s="281">
        <f>++Tabla4[[#This Row],[Precio Bruto]]*1.16</f>
        <v>6226.4739999999993</v>
      </c>
      <c r="K4494" s="281">
        <f>+Tabla4[[#This Row],[Precio Unitario Neto]]*Tabla4[[#Headers],[20.85%]]</f>
        <v>1298.2198289999999</v>
      </c>
      <c r="L4494" s="282">
        <f>++Tabla4[[#This Row],[Precio Unitario Neto]]-Tabla4[[#This Row],[20.85%]]</f>
        <v>4928.2541709999996</v>
      </c>
      <c r="M4494" s="282" t="e">
        <f>(INDEX(Tabla6[#All],MATCH(Tabla4[[#This Row],[Producto]],Tabla6[[#All],[PRODUCTO]],0),MATCH(Tabla4[[#This Row],[Mes]],Tabla6[#Headers],0)))*(1+Catalogos!$L$2)</f>
        <v>#N/A</v>
      </c>
      <c r="N4494" s="283" t="e">
        <f>+(Tabla4[[#This Row],[Precio Descontado]]-Tabla4[[#This Row],[Precio Base]])*Tabla4[[#This Row],[Cantidad]]</f>
        <v>#N/A</v>
      </c>
      <c r="O4494" s="284" t="e">
        <f>++Tabla4[[#This Row],[Utilidad Total]]/Tabla4[[#This Row],[Total]]</f>
        <v>#N/A</v>
      </c>
      <c r="P4494" s="282">
        <f>++Tabla4[[#This Row],[Precio Descontado]]*Tabla4[[#This Row],[Cantidad]]</f>
        <v>4928.2541709999996</v>
      </c>
      <c r="Q4494" s="282" t="e">
        <f>(INDEX(Tabla6[#All],MATCH(Tabla4[[#This Row],[Producto]],Tabla6[[#All],[PRODUCTO]],0),MATCH(Tabla4[[#This Row],[Mes]],Tabla6[#Headers],0)))</f>
        <v>#N/A</v>
      </c>
      <c r="R4494" s="282" t="e">
        <f>++Tabla4[[#This Row],[Precio Unitario Neto]]-Tabla4[[#This Row],[20.85%]]-Tabla4[[#This Row],[Costo]]</f>
        <v>#N/A</v>
      </c>
      <c r="S4494" s="282" t="e">
        <f>++Tabla4[[#This Row],[U. Bruta Uni]]*Tabla4[[#This Row],[Cantidad]]</f>
        <v>#N/A</v>
      </c>
      <c r="T4494" s="369" t="str">
        <f>VLOOKUP(Tabla4[[#This Row],[Producto]],Tabla6[#All],14,FALSE)</f>
        <v>Termico Solar</v>
      </c>
      <c r="U4494" s="284" t="e">
        <f>(IF(Tabla4[[#This Row],[Familia]]="termico solar",Tabla4[[#This Row],[Utilidad Total]]*6%,Tabla4[[#This Row],[Utilidad Total]]*11.5%))/Tabla4[[#This Row],[Total]]</f>
        <v>#N/A</v>
      </c>
      <c r="V4494" s="282" t="e">
        <f>+Tabla4[[#This Row],[Comisión Calculada]]*Tabla4[[#This Row],[Total]]</f>
        <v>#N/A</v>
      </c>
    </row>
    <row r="4495" spans="1:22" hidden="1" x14ac:dyDescent="0.25">
      <c r="A4495" s="100">
        <v>45853</v>
      </c>
      <c r="B4495" t="str">
        <f t="shared" si="225"/>
        <v>July</v>
      </c>
      <c r="C4495" s="46" t="s">
        <v>280</v>
      </c>
      <c r="F4495" s="366" t="s">
        <v>2408</v>
      </c>
      <c r="G4495" s="46" t="s">
        <v>566</v>
      </c>
      <c r="H4495" s="46">
        <v>1</v>
      </c>
      <c r="I4495" s="51">
        <v>2109.4499999999998</v>
      </c>
      <c r="J4495" s="281">
        <f>++Tabla4[[#This Row],[Precio Bruto]]*1.16</f>
        <v>2446.9619999999995</v>
      </c>
      <c r="K4495" s="281">
        <f>+Tabla4[[#This Row],[Precio Unitario Neto]]*Tabla4[[#Headers],[20.85%]]</f>
        <v>510.19157699999988</v>
      </c>
      <c r="L4495" s="282">
        <f>++Tabla4[[#This Row],[Precio Unitario Neto]]-Tabla4[[#This Row],[20.85%]]</f>
        <v>1936.7704229999997</v>
      </c>
      <c r="M4495" s="282" t="e">
        <f>(INDEX(Tabla6[#All],MATCH(Tabla4[[#This Row],[Producto]],Tabla6[[#All],[PRODUCTO]],0),MATCH(Tabla4[[#This Row],[Mes]],Tabla6[#Headers],0)))*(1+Catalogos!$L$2)</f>
        <v>#N/A</v>
      </c>
      <c r="N4495" s="283" t="e">
        <f>+(Tabla4[[#This Row],[Precio Descontado]]-Tabla4[[#This Row],[Precio Base]])*Tabla4[[#This Row],[Cantidad]]</f>
        <v>#N/A</v>
      </c>
      <c r="O4495" s="284" t="e">
        <f>++Tabla4[[#This Row],[Utilidad Total]]/Tabla4[[#This Row],[Total]]</f>
        <v>#N/A</v>
      </c>
      <c r="P4495" s="282">
        <f>++Tabla4[[#This Row],[Precio Descontado]]*Tabla4[[#This Row],[Cantidad]]</f>
        <v>1936.7704229999997</v>
      </c>
      <c r="Q4495" s="282" t="e">
        <f>(INDEX(Tabla6[#All],MATCH(Tabla4[[#This Row],[Producto]],Tabla6[[#All],[PRODUCTO]],0),MATCH(Tabla4[[#This Row],[Mes]],Tabla6[#Headers],0)))</f>
        <v>#N/A</v>
      </c>
      <c r="R4495" s="282" t="e">
        <f>++Tabla4[[#This Row],[Precio Unitario Neto]]-Tabla4[[#This Row],[20.85%]]-Tabla4[[#This Row],[Costo]]</f>
        <v>#N/A</v>
      </c>
      <c r="S4495" s="282" t="e">
        <f>++Tabla4[[#This Row],[U. Bruta Uni]]*Tabla4[[#This Row],[Cantidad]]</f>
        <v>#N/A</v>
      </c>
      <c r="T4495" s="369" t="str">
        <f>VLOOKUP(Tabla4[[#This Row],[Producto]],Tabla6[#All],14,FALSE)</f>
        <v>Termico Solar</v>
      </c>
      <c r="U4495" s="284" t="e">
        <f>(IF(Tabla4[[#This Row],[Familia]]="termico solar",Tabla4[[#This Row],[Utilidad Total]]*6%,Tabla4[[#This Row],[Utilidad Total]]*11.5%))/Tabla4[[#This Row],[Total]]</f>
        <v>#N/A</v>
      </c>
      <c r="V4495" s="282" t="e">
        <f>+Tabla4[[#This Row],[Comisión Calculada]]*Tabla4[[#This Row],[Total]]</f>
        <v>#N/A</v>
      </c>
    </row>
    <row r="4496" spans="1:22" hidden="1" x14ac:dyDescent="0.25">
      <c r="A4496" s="100">
        <v>45853</v>
      </c>
      <c r="B4496" t="str">
        <f t="shared" si="225"/>
        <v>July</v>
      </c>
      <c r="C4496" s="46" t="s">
        <v>280</v>
      </c>
      <c r="F4496" s="366" t="s">
        <v>2408</v>
      </c>
      <c r="G4496" s="46" t="s">
        <v>208</v>
      </c>
      <c r="H4496" s="46">
        <v>1</v>
      </c>
      <c r="I4496" s="51">
        <v>189.75</v>
      </c>
      <c r="J4496" s="281">
        <f>++Tabla4[[#This Row],[Precio Bruto]]*1.16</f>
        <v>220.10999999999999</v>
      </c>
      <c r="K4496" s="281">
        <f>+Tabla4[[#This Row],[Precio Unitario Neto]]*Tabla4[[#Headers],[20.85%]]</f>
        <v>45.892934999999994</v>
      </c>
      <c r="L4496" s="282">
        <f>++Tabla4[[#This Row],[Precio Unitario Neto]]-Tabla4[[#This Row],[20.85%]]</f>
        <v>174.21706499999999</v>
      </c>
      <c r="M4496" s="282" t="e">
        <f>(INDEX(Tabla6[#All],MATCH(Tabla4[[#This Row],[Producto]],Tabla6[[#All],[PRODUCTO]],0),MATCH(Tabla4[[#This Row],[Mes]],Tabla6[#Headers],0)))*(1+Catalogos!$L$2)</f>
        <v>#N/A</v>
      </c>
      <c r="N4496" s="283" t="e">
        <f>+(Tabla4[[#This Row],[Precio Descontado]]-Tabla4[[#This Row],[Precio Base]])*Tabla4[[#This Row],[Cantidad]]</f>
        <v>#N/A</v>
      </c>
      <c r="O4496" s="284" t="e">
        <f>++Tabla4[[#This Row],[Utilidad Total]]/Tabla4[[#This Row],[Total]]</f>
        <v>#N/A</v>
      </c>
      <c r="P4496" s="282">
        <f>++Tabla4[[#This Row],[Precio Descontado]]*Tabla4[[#This Row],[Cantidad]]</f>
        <v>174.21706499999999</v>
      </c>
      <c r="Q4496" s="282" t="e">
        <f>(INDEX(Tabla6[#All],MATCH(Tabla4[[#This Row],[Producto]],Tabla6[[#All],[PRODUCTO]],0),MATCH(Tabla4[[#This Row],[Mes]],Tabla6[#Headers],0)))</f>
        <v>#N/A</v>
      </c>
      <c r="R4496" s="282" t="e">
        <f>++Tabla4[[#This Row],[Precio Unitario Neto]]-Tabla4[[#This Row],[20.85%]]-Tabla4[[#This Row],[Costo]]</f>
        <v>#N/A</v>
      </c>
      <c r="S4496" s="282" t="e">
        <f>++Tabla4[[#This Row],[U. Bruta Uni]]*Tabla4[[#This Row],[Cantidad]]</f>
        <v>#N/A</v>
      </c>
      <c r="T4496" s="369" t="str">
        <f>VLOOKUP(Tabla4[[#This Row],[Producto]],Tabla6[#All],14,FALSE)</f>
        <v>Termico Solar</v>
      </c>
      <c r="U4496" s="284" t="e">
        <f>(IF(Tabla4[[#This Row],[Familia]]="termico solar",Tabla4[[#This Row],[Utilidad Total]]*6%,Tabla4[[#This Row],[Utilidad Total]]*11.5%))/Tabla4[[#This Row],[Total]]</f>
        <v>#N/A</v>
      </c>
      <c r="V4496" s="282" t="e">
        <f>+Tabla4[[#This Row],[Comisión Calculada]]*Tabla4[[#This Row],[Total]]</f>
        <v>#N/A</v>
      </c>
    </row>
    <row r="4497" spans="1:22" hidden="1" x14ac:dyDescent="0.25">
      <c r="A4497" s="100">
        <v>45853</v>
      </c>
      <c r="B4497" t="str">
        <f t="shared" si="225"/>
        <v>July</v>
      </c>
      <c r="C4497" s="46" t="s">
        <v>280</v>
      </c>
      <c r="F4497" s="366" t="s">
        <v>2409</v>
      </c>
      <c r="G4497" s="46" t="s">
        <v>17</v>
      </c>
      <c r="H4497" s="46">
        <v>2</v>
      </c>
      <c r="I4497" s="51">
        <v>4622.28</v>
      </c>
      <c r="J4497" s="281">
        <f>++Tabla4[[#This Row],[Precio Bruto]]*1.16</f>
        <v>5361.8447999999989</v>
      </c>
      <c r="K4497" s="281">
        <f>+Tabla4[[#This Row],[Precio Unitario Neto]]*Tabla4[[#Headers],[20.85%]]</f>
        <v>1117.9446407999997</v>
      </c>
      <c r="L4497" s="282">
        <f>++Tabla4[[#This Row],[Precio Unitario Neto]]-Tabla4[[#This Row],[20.85%]]</f>
        <v>4243.9001591999995</v>
      </c>
      <c r="M4497" s="282" t="e">
        <f>(INDEX(Tabla6[#All],MATCH(Tabla4[[#This Row],[Producto]],Tabla6[[#All],[PRODUCTO]],0),MATCH(Tabla4[[#This Row],[Mes]],Tabla6[#Headers],0)))*(1+Catalogos!$L$2)</f>
        <v>#N/A</v>
      </c>
      <c r="N4497" s="283" t="e">
        <f>+(Tabla4[[#This Row],[Precio Descontado]]-Tabla4[[#This Row],[Precio Base]])*Tabla4[[#This Row],[Cantidad]]</f>
        <v>#N/A</v>
      </c>
      <c r="O4497" s="284" t="e">
        <f>++Tabla4[[#This Row],[Utilidad Total]]/Tabla4[[#This Row],[Total]]</f>
        <v>#N/A</v>
      </c>
      <c r="P4497" s="282">
        <f>++Tabla4[[#This Row],[Precio Descontado]]*Tabla4[[#This Row],[Cantidad]]</f>
        <v>8487.800318399999</v>
      </c>
      <c r="Q4497" s="282" t="e">
        <f>(INDEX(Tabla6[#All],MATCH(Tabla4[[#This Row],[Producto]],Tabla6[[#All],[PRODUCTO]],0),MATCH(Tabla4[[#This Row],[Mes]],Tabla6[#Headers],0)))</f>
        <v>#N/A</v>
      </c>
      <c r="R4497" s="282" t="e">
        <f>++Tabla4[[#This Row],[Precio Unitario Neto]]-Tabla4[[#This Row],[20.85%]]-Tabla4[[#This Row],[Costo]]</f>
        <v>#N/A</v>
      </c>
      <c r="S4497" s="282" t="e">
        <f>++Tabla4[[#This Row],[U. Bruta Uni]]*Tabla4[[#This Row],[Cantidad]]</f>
        <v>#N/A</v>
      </c>
      <c r="T4497" s="369" t="str">
        <f>VLOOKUP(Tabla4[[#This Row],[Producto]],Tabla6[#All],14,FALSE)</f>
        <v>Termico Solar</v>
      </c>
      <c r="U4497" s="284" t="e">
        <f>(IF(Tabla4[[#This Row],[Familia]]="termico solar",Tabla4[[#This Row],[Utilidad Total]]*6%,Tabla4[[#This Row],[Utilidad Total]]*11.5%))/Tabla4[[#This Row],[Total]]</f>
        <v>#N/A</v>
      </c>
      <c r="V4497" s="282" t="e">
        <f>+Tabla4[[#This Row],[Comisión Calculada]]*Tabla4[[#This Row],[Total]]</f>
        <v>#N/A</v>
      </c>
    </row>
    <row r="4498" spans="1:22" hidden="1" x14ac:dyDescent="0.25">
      <c r="A4498" s="100">
        <v>45853</v>
      </c>
      <c r="B4498" t="str">
        <f t="shared" si="225"/>
        <v>July</v>
      </c>
      <c r="C4498" s="46" t="s">
        <v>280</v>
      </c>
      <c r="F4498" s="366" t="s">
        <v>2410</v>
      </c>
      <c r="G4498" s="46" t="s">
        <v>17</v>
      </c>
      <c r="H4498" s="46">
        <v>2</v>
      </c>
      <c r="I4498" s="51">
        <v>4622.28</v>
      </c>
      <c r="J4498" s="281">
        <f>++Tabla4[[#This Row],[Precio Bruto]]*1.16</f>
        <v>5361.8447999999989</v>
      </c>
      <c r="K4498" s="281">
        <f>+Tabla4[[#This Row],[Precio Unitario Neto]]*Tabla4[[#Headers],[20.85%]]</f>
        <v>1117.9446407999997</v>
      </c>
      <c r="L4498" s="282">
        <f>++Tabla4[[#This Row],[Precio Unitario Neto]]-Tabla4[[#This Row],[20.85%]]</f>
        <v>4243.9001591999995</v>
      </c>
      <c r="M4498" s="282" t="e">
        <f>(INDEX(Tabla6[#All],MATCH(Tabla4[[#This Row],[Producto]],Tabla6[[#All],[PRODUCTO]],0),MATCH(Tabla4[[#This Row],[Mes]],Tabla6[#Headers],0)))*(1+Catalogos!$L$2)</f>
        <v>#N/A</v>
      </c>
      <c r="N4498" s="283" t="e">
        <f>+(Tabla4[[#This Row],[Precio Descontado]]-Tabla4[[#This Row],[Precio Base]])*Tabla4[[#This Row],[Cantidad]]</f>
        <v>#N/A</v>
      </c>
      <c r="O4498" s="284" t="e">
        <f>++Tabla4[[#This Row],[Utilidad Total]]/Tabla4[[#This Row],[Total]]</f>
        <v>#N/A</v>
      </c>
      <c r="P4498" s="282">
        <f>++Tabla4[[#This Row],[Precio Descontado]]*Tabla4[[#This Row],[Cantidad]]</f>
        <v>8487.800318399999</v>
      </c>
      <c r="Q4498" s="282" t="e">
        <f>(INDEX(Tabla6[#All],MATCH(Tabla4[[#This Row],[Producto]],Tabla6[[#All],[PRODUCTO]],0),MATCH(Tabla4[[#This Row],[Mes]],Tabla6[#Headers],0)))</f>
        <v>#N/A</v>
      </c>
      <c r="R4498" s="282" t="e">
        <f>++Tabla4[[#This Row],[Precio Unitario Neto]]-Tabla4[[#This Row],[20.85%]]-Tabla4[[#This Row],[Costo]]</f>
        <v>#N/A</v>
      </c>
      <c r="S4498" s="282" t="e">
        <f>++Tabla4[[#This Row],[U. Bruta Uni]]*Tabla4[[#This Row],[Cantidad]]</f>
        <v>#N/A</v>
      </c>
      <c r="T4498" s="369" t="str">
        <f>VLOOKUP(Tabla4[[#This Row],[Producto]],Tabla6[#All],14,FALSE)</f>
        <v>Termico Solar</v>
      </c>
      <c r="U4498" s="284" t="e">
        <f>(IF(Tabla4[[#This Row],[Familia]]="termico solar",Tabla4[[#This Row],[Utilidad Total]]*6%,Tabla4[[#This Row],[Utilidad Total]]*11.5%))/Tabla4[[#This Row],[Total]]</f>
        <v>#N/A</v>
      </c>
      <c r="V4498" s="282" t="e">
        <f>+Tabla4[[#This Row],[Comisión Calculada]]*Tabla4[[#This Row],[Total]]</f>
        <v>#N/A</v>
      </c>
    </row>
    <row r="4499" spans="1:22" hidden="1" x14ac:dyDescent="0.25">
      <c r="A4499" s="100">
        <v>45853</v>
      </c>
      <c r="B4499" t="str">
        <f t="shared" si="225"/>
        <v>July</v>
      </c>
      <c r="C4499" s="46" t="s">
        <v>280</v>
      </c>
      <c r="F4499" s="366" t="s">
        <v>2410</v>
      </c>
      <c r="G4499" s="46" t="s">
        <v>18</v>
      </c>
      <c r="H4499" s="46">
        <v>1</v>
      </c>
      <c r="I4499" s="51">
        <v>5367.65</v>
      </c>
      <c r="J4499" s="281">
        <f>++Tabla4[[#This Row],[Precio Bruto]]*1.16</f>
        <v>6226.4739999999993</v>
      </c>
      <c r="K4499" s="281">
        <f>+Tabla4[[#This Row],[Precio Unitario Neto]]*Tabla4[[#Headers],[20.85%]]</f>
        <v>1298.2198289999999</v>
      </c>
      <c r="L4499" s="282">
        <f>++Tabla4[[#This Row],[Precio Unitario Neto]]-Tabla4[[#This Row],[20.85%]]</f>
        <v>4928.2541709999996</v>
      </c>
      <c r="M4499" s="282" t="e">
        <f>(INDEX(Tabla6[#All],MATCH(Tabla4[[#This Row],[Producto]],Tabla6[[#All],[PRODUCTO]],0),MATCH(Tabla4[[#This Row],[Mes]],Tabla6[#Headers],0)))*(1+Catalogos!$L$2)</f>
        <v>#N/A</v>
      </c>
      <c r="N4499" s="283" t="e">
        <f>+(Tabla4[[#This Row],[Precio Descontado]]-Tabla4[[#This Row],[Precio Base]])*Tabla4[[#This Row],[Cantidad]]</f>
        <v>#N/A</v>
      </c>
      <c r="O4499" s="284" t="e">
        <f>++Tabla4[[#This Row],[Utilidad Total]]/Tabla4[[#This Row],[Total]]</f>
        <v>#N/A</v>
      </c>
      <c r="P4499" s="282">
        <f>++Tabla4[[#This Row],[Precio Descontado]]*Tabla4[[#This Row],[Cantidad]]</f>
        <v>4928.2541709999996</v>
      </c>
      <c r="Q4499" s="282" t="e">
        <f>(INDEX(Tabla6[#All],MATCH(Tabla4[[#This Row],[Producto]],Tabla6[[#All],[PRODUCTO]],0),MATCH(Tabla4[[#This Row],[Mes]],Tabla6[#Headers],0)))</f>
        <v>#N/A</v>
      </c>
      <c r="R4499" s="282" t="e">
        <f>++Tabla4[[#This Row],[Precio Unitario Neto]]-Tabla4[[#This Row],[20.85%]]-Tabla4[[#This Row],[Costo]]</f>
        <v>#N/A</v>
      </c>
      <c r="S4499" s="282" t="e">
        <f>++Tabla4[[#This Row],[U. Bruta Uni]]*Tabla4[[#This Row],[Cantidad]]</f>
        <v>#N/A</v>
      </c>
      <c r="T4499" s="369" t="str">
        <f>VLOOKUP(Tabla4[[#This Row],[Producto]],Tabla6[#All],14,FALSE)</f>
        <v>Termico Solar</v>
      </c>
      <c r="U4499" s="284" t="e">
        <f>(IF(Tabla4[[#This Row],[Familia]]="termico solar",Tabla4[[#This Row],[Utilidad Total]]*6%,Tabla4[[#This Row],[Utilidad Total]]*11.5%))/Tabla4[[#This Row],[Total]]</f>
        <v>#N/A</v>
      </c>
      <c r="V4499" s="282" t="e">
        <f>+Tabla4[[#This Row],[Comisión Calculada]]*Tabla4[[#This Row],[Total]]</f>
        <v>#N/A</v>
      </c>
    </row>
    <row r="4500" spans="1:22" hidden="1" x14ac:dyDescent="0.25">
      <c r="A4500" s="100">
        <v>45853</v>
      </c>
      <c r="B4500" t="str">
        <f t="shared" si="225"/>
        <v>July</v>
      </c>
      <c r="C4500" s="46" t="s">
        <v>280</v>
      </c>
      <c r="F4500" s="366" t="s">
        <v>2410</v>
      </c>
      <c r="G4500" s="46" t="s">
        <v>394</v>
      </c>
      <c r="H4500" s="46">
        <v>9</v>
      </c>
      <c r="I4500" s="51">
        <v>108.1</v>
      </c>
      <c r="J4500" s="281">
        <f>++Tabla4[[#This Row],[Precio Bruto]]*1.16</f>
        <v>125.39599999999999</v>
      </c>
      <c r="K4500" s="281">
        <f>+Tabla4[[#This Row],[Precio Unitario Neto]]*Tabla4[[#Headers],[20.85%]]</f>
        <v>26.145065999999996</v>
      </c>
      <c r="L4500" s="282">
        <f>++Tabla4[[#This Row],[Precio Unitario Neto]]-Tabla4[[#This Row],[20.85%]]</f>
        <v>99.250933999999987</v>
      </c>
      <c r="M4500" s="282" t="e">
        <f>(INDEX(Tabla6[#All],MATCH(Tabla4[[#This Row],[Producto]],Tabla6[[#All],[PRODUCTO]],0),MATCH(Tabla4[[#This Row],[Mes]],Tabla6[#Headers],0)))*(1+Catalogos!$L$2)</f>
        <v>#N/A</v>
      </c>
      <c r="N4500" s="283" t="e">
        <f>+(Tabla4[[#This Row],[Precio Descontado]]-Tabla4[[#This Row],[Precio Base]])*Tabla4[[#This Row],[Cantidad]]</f>
        <v>#N/A</v>
      </c>
      <c r="O4500" s="284" t="e">
        <f>++Tabla4[[#This Row],[Utilidad Total]]/Tabla4[[#This Row],[Total]]</f>
        <v>#N/A</v>
      </c>
      <c r="P4500" s="282">
        <f>++Tabla4[[#This Row],[Precio Descontado]]*Tabla4[[#This Row],[Cantidad]]</f>
        <v>893.25840599999992</v>
      </c>
      <c r="Q4500" s="282" t="e">
        <f>(INDEX(Tabla6[#All],MATCH(Tabla4[[#This Row],[Producto]],Tabla6[[#All],[PRODUCTO]],0),MATCH(Tabla4[[#This Row],[Mes]],Tabla6[#Headers],0)))</f>
        <v>#N/A</v>
      </c>
      <c r="R4500" s="282" t="e">
        <f>++Tabla4[[#This Row],[Precio Unitario Neto]]-Tabla4[[#This Row],[20.85%]]-Tabla4[[#This Row],[Costo]]</f>
        <v>#N/A</v>
      </c>
      <c r="S4500" s="282" t="e">
        <f>++Tabla4[[#This Row],[U. Bruta Uni]]*Tabla4[[#This Row],[Cantidad]]</f>
        <v>#N/A</v>
      </c>
      <c r="T4500" s="369" t="str">
        <f>VLOOKUP(Tabla4[[#This Row],[Producto]],Tabla6[#All],14,FALSE)</f>
        <v>Termico Solar</v>
      </c>
      <c r="U4500" s="284" t="e">
        <f>(IF(Tabla4[[#This Row],[Familia]]="termico solar",Tabla4[[#This Row],[Utilidad Total]]*6%,Tabla4[[#This Row],[Utilidad Total]]*11.5%))/Tabla4[[#This Row],[Total]]</f>
        <v>#N/A</v>
      </c>
      <c r="V4500" s="282" t="e">
        <f>+Tabla4[[#This Row],[Comisión Calculada]]*Tabla4[[#This Row],[Total]]</f>
        <v>#N/A</v>
      </c>
    </row>
    <row r="4501" spans="1:22" hidden="1" x14ac:dyDescent="0.25">
      <c r="A4501" s="100">
        <v>45853</v>
      </c>
      <c r="B4501" t="str">
        <f t="shared" si="225"/>
        <v>July</v>
      </c>
      <c r="C4501" s="46" t="s">
        <v>280</v>
      </c>
      <c r="F4501" s="366" t="s">
        <v>2411</v>
      </c>
      <c r="G4501" s="46" t="s">
        <v>17</v>
      </c>
      <c r="H4501" s="46">
        <v>1</v>
      </c>
      <c r="I4501" s="51">
        <v>4622.28</v>
      </c>
      <c r="J4501" s="281">
        <f>++Tabla4[[#This Row],[Precio Bruto]]*1.16</f>
        <v>5361.8447999999989</v>
      </c>
      <c r="K4501" s="281">
        <f>+Tabla4[[#This Row],[Precio Unitario Neto]]*Tabla4[[#Headers],[20.85%]]</f>
        <v>1117.9446407999997</v>
      </c>
      <c r="L4501" s="282">
        <f>++Tabla4[[#This Row],[Precio Unitario Neto]]-Tabla4[[#This Row],[20.85%]]</f>
        <v>4243.9001591999995</v>
      </c>
      <c r="M4501" s="282" t="e">
        <f>(INDEX(Tabla6[#All],MATCH(Tabla4[[#This Row],[Producto]],Tabla6[[#All],[PRODUCTO]],0),MATCH(Tabla4[[#This Row],[Mes]],Tabla6[#Headers],0)))*(1+Catalogos!$L$2)</f>
        <v>#N/A</v>
      </c>
      <c r="N4501" s="283" t="e">
        <f>+(Tabla4[[#This Row],[Precio Descontado]]-Tabla4[[#This Row],[Precio Base]])*Tabla4[[#This Row],[Cantidad]]</f>
        <v>#N/A</v>
      </c>
      <c r="O4501" s="284" t="e">
        <f>++Tabla4[[#This Row],[Utilidad Total]]/Tabla4[[#This Row],[Total]]</f>
        <v>#N/A</v>
      </c>
      <c r="P4501" s="282">
        <f>++Tabla4[[#This Row],[Precio Descontado]]*Tabla4[[#This Row],[Cantidad]]</f>
        <v>4243.9001591999995</v>
      </c>
      <c r="Q4501" s="282" t="e">
        <f>(INDEX(Tabla6[#All],MATCH(Tabla4[[#This Row],[Producto]],Tabla6[[#All],[PRODUCTO]],0),MATCH(Tabla4[[#This Row],[Mes]],Tabla6[#Headers],0)))</f>
        <v>#N/A</v>
      </c>
      <c r="R4501" s="282" t="e">
        <f>++Tabla4[[#This Row],[Precio Unitario Neto]]-Tabla4[[#This Row],[20.85%]]-Tabla4[[#This Row],[Costo]]</f>
        <v>#N/A</v>
      </c>
      <c r="S4501" s="282" t="e">
        <f>++Tabla4[[#This Row],[U. Bruta Uni]]*Tabla4[[#This Row],[Cantidad]]</f>
        <v>#N/A</v>
      </c>
      <c r="T4501" s="369" t="str">
        <f>VLOOKUP(Tabla4[[#This Row],[Producto]],Tabla6[#All],14,FALSE)</f>
        <v>Termico Solar</v>
      </c>
      <c r="U4501" s="284" t="e">
        <f>(IF(Tabla4[[#This Row],[Familia]]="termico solar",Tabla4[[#This Row],[Utilidad Total]]*6%,Tabla4[[#This Row],[Utilidad Total]]*11.5%))/Tabla4[[#This Row],[Total]]</f>
        <v>#N/A</v>
      </c>
      <c r="V4501" s="282" t="e">
        <f>+Tabla4[[#This Row],[Comisión Calculada]]*Tabla4[[#This Row],[Total]]</f>
        <v>#N/A</v>
      </c>
    </row>
    <row r="4502" spans="1:22" hidden="1" x14ac:dyDescent="0.25">
      <c r="A4502" s="100">
        <v>45853</v>
      </c>
      <c r="B4502" t="str">
        <f t="shared" si="225"/>
        <v>July</v>
      </c>
      <c r="C4502" s="46" t="s">
        <v>280</v>
      </c>
      <c r="F4502" s="366" t="s">
        <v>2411</v>
      </c>
      <c r="G4502" s="46" t="s">
        <v>18</v>
      </c>
      <c r="H4502" s="46">
        <v>2</v>
      </c>
      <c r="I4502" s="51">
        <v>5367.65</v>
      </c>
      <c r="J4502" s="281">
        <f>++Tabla4[[#This Row],[Precio Bruto]]*1.16</f>
        <v>6226.4739999999993</v>
      </c>
      <c r="K4502" s="281">
        <f>+Tabla4[[#This Row],[Precio Unitario Neto]]*Tabla4[[#Headers],[20.85%]]</f>
        <v>1298.2198289999999</v>
      </c>
      <c r="L4502" s="282">
        <f>++Tabla4[[#This Row],[Precio Unitario Neto]]-Tabla4[[#This Row],[20.85%]]</f>
        <v>4928.2541709999996</v>
      </c>
      <c r="M4502" s="282" t="e">
        <f>(INDEX(Tabla6[#All],MATCH(Tabla4[[#This Row],[Producto]],Tabla6[[#All],[PRODUCTO]],0),MATCH(Tabla4[[#This Row],[Mes]],Tabla6[#Headers],0)))*(1+Catalogos!$L$2)</f>
        <v>#N/A</v>
      </c>
      <c r="N4502" s="283" t="e">
        <f>+(Tabla4[[#This Row],[Precio Descontado]]-Tabla4[[#This Row],[Precio Base]])*Tabla4[[#This Row],[Cantidad]]</f>
        <v>#N/A</v>
      </c>
      <c r="O4502" s="284" t="e">
        <f>++Tabla4[[#This Row],[Utilidad Total]]/Tabla4[[#This Row],[Total]]</f>
        <v>#N/A</v>
      </c>
      <c r="P4502" s="282">
        <f>++Tabla4[[#This Row],[Precio Descontado]]*Tabla4[[#This Row],[Cantidad]]</f>
        <v>9856.5083419999992</v>
      </c>
      <c r="Q4502" s="282" t="e">
        <f>(INDEX(Tabla6[#All],MATCH(Tabla4[[#This Row],[Producto]],Tabla6[[#All],[PRODUCTO]],0),MATCH(Tabla4[[#This Row],[Mes]],Tabla6[#Headers],0)))</f>
        <v>#N/A</v>
      </c>
      <c r="R4502" s="282" t="e">
        <f>++Tabla4[[#This Row],[Precio Unitario Neto]]-Tabla4[[#This Row],[20.85%]]-Tabla4[[#This Row],[Costo]]</f>
        <v>#N/A</v>
      </c>
      <c r="S4502" s="282" t="e">
        <f>++Tabla4[[#This Row],[U. Bruta Uni]]*Tabla4[[#This Row],[Cantidad]]</f>
        <v>#N/A</v>
      </c>
      <c r="T4502" s="369" t="str">
        <f>VLOOKUP(Tabla4[[#This Row],[Producto]],Tabla6[#All],14,FALSE)</f>
        <v>Termico Solar</v>
      </c>
      <c r="U4502" s="284" t="e">
        <f>(IF(Tabla4[[#This Row],[Familia]]="termico solar",Tabla4[[#This Row],[Utilidad Total]]*6%,Tabla4[[#This Row],[Utilidad Total]]*11.5%))/Tabla4[[#This Row],[Total]]</f>
        <v>#N/A</v>
      </c>
      <c r="V4502" s="282" t="e">
        <f>+Tabla4[[#This Row],[Comisión Calculada]]*Tabla4[[#This Row],[Total]]</f>
        <v>#N/A</v>
      </c>
    </row>
    <row r="4503" spans="1:22" hidden="1" x14ac:dyDescent="0.25">
      <c r="A4503" s="100">
        <v>45853</v>
      </c>
      <c r="B4503" t="str">
        <f t="shared" si="225"/>
        <v>July</v>
      </c>
      <c r="C4503" s="46" t="s">
        <v>280</v>
      </c>
      <c r="F4503" s="366" t="s">
        <v>2412</v>
      </c>
      <c r="G4503" s="46" t="s">
        <v>17</v>
      </c>
      <c r="H4503" s="46">
        <v>4</v>
      </c>
      <c r="I4503" s="51">
        <v>4622.28</v>
      </c>
      <c r="J4503" s="281">
        <f>++Tabla4[[#This Row],[Precio Bruto]]*1.16</f>
        <v>5361.8447999999989</v>
      </c>
      <c r="K4503" s="281">
        <f>+Tabla4[[#This Row],[Precio Unitario Neto]]*Tabla4[[#Headers],[20.85%]]</f>
        <v>1117.9446407999997</v>
      </c>
      <c r="L4503" s="282">
        <f>++Tabla4[[#This Row],[Precio Unitario Neto]]-Tabla4[[#This Row],[20.85%]]</f>
        <v>4243.9001591999995</v>
      </c>
      <c r="M4503" s="282" t="e">
        <f>(INDEX(Tabla6[#All],MATCH(Tabla4[[#This Row],[Producto]],Tabla6[[#All],[PRODUCTO]],0),MATCH(Tabla4[[#This Row],[Mes]],Tabla6[#Headers],0)))*(1+Catalogos!$L$2)</f>
        <v>#N/A</v>
      </c>
      <c r="N4503" s="283" t="e">
        <f>+(Tabla4[[#This Row],[Precio Descontado]]-Tabla4[[#This Row],[Precio Base]])*Tabla4[[#This Row],[Cantidad]]</f>
        <v>#N/A</v>
      </c>
      <c r="O4503" s="284" t="e">
        <f>++Tabla4[[#This Row],[Utilidad Total]]/Tabla4[[#This Row],[Total]]</f>
        <v>#N/A</v>
      </c>
      <c r="P4503" s="282">
        <f>++Tabla4[[#This Row],[Precio Descontado]]*Tabla4[[#This Row],[Cantidad]]</f>
        <v>16975.600636799998</v>
      </c>
      <c r="Q4503" s="282" t="e">
        <f>(INDEX(Tabla6[#All],MATCH(Tabla4[[#This Row],[Producto]],Tabla6[[#All],[PRODUCTO]],0),MATCH(Tabla4[[#This Row],[Mes]],Tabla6[#Headers],0)))</f>
        <v>#N/A</v>
      </c>
      <c r="R4503" s="282" t="e">
        <f>++Tabla4[[#This Row],[Precio Unitario Neto]]-Tabla4[[#This Row],[20.85%]]-Tabla4[[#This Row],[Costo]]</f>
        <v>#N/A</v>
      </c>
      <c r="S4503" s="282" t="e">
        <f>++Tabla4[[#This Row],[U. Bruta Uni]]*Tabla4[[#This Row],[Cantidad]]</f>
        <v>#N/A</v>
      </c>
      <c r="T4503" s="369" t="str">
        <f>VLOOKUP(Tabla4[[#This Row],[Producto]],Tabla6[#All],14,FALSE)</f>
        <v>Termico Solar</v>
      </c>
      <c r="U4503" s="284" t="e">
        <f>(IF(Tabla4[[#This Row],[Familia]]="termico solar",Tabla4[[#This Row],[Utilidad Total]]*6%,Tabla4[[#This Row],[Utilidad Total]]*11.5%))/Tabla4[[#This Row],[Total]]</f>
        <v>#N/A</v>
      </c>
      <c r="V4503" s="282" t="e">
        <f>+Tabla4[[#This Row],[Comisión Calculada]]*Tabla4[[#This Row],[Total]]</f>
        <v>#N/A</v>
      </c>
    </row>
    <row r="4504" spans="1:22" hidden="1" x14ac:dyDescent="0.25">
      <c r="A4504" s="100">
        <v>45853</v>
      </c>
      <c r="B4504" t="str">
        <f t="shared" si="225"/>
        <v>July</v>
      </c>
      <c r="C4504" s="46" t="s">
        <v>280</v>
      </c>
      <c r="F4504" s="366" t="s">
        <v>2412</v>
      </c>
      <c r="G4504" s="46" t="s">
        <v>566</v>
      </c>
      <c r="H4504" s="46">
        <v>1</v>
      </c>
      <c r="I4504" s="51">
        <v>2109.4499999999998</v>
      </c>
      <c r="J4504" s="281">
        <f>++Tabla4[[#This Row],[Precio Bruto]]*1.16</f>
        <v>2446.9619999999995</v>
      </c>
      <c r="K4504" s="281">
        <f>+Tabla4[[#This Row],[Precio Unitario Neto]]*Tabla4[[#Headers],[20.85%]]</f>
        <v>510.19157699999988</v>
      </c>
      <c r="L4504" s="282">
        <f>++Tabla4[[#This Row],[Precio Unitario Neto]]-Tabla4[[#This Row],[20.85%]]</f>
        <v>1936.7704229999997</v>
      </c>
      <c r="M4504" s="282" t="e">
        <f>(INDEX(Tabla6[#All],MATCH(Tabla4[[#This Row],[Producto]],Tabla6[[#All],[PRODUCTO]],0),MATCH(Tabla4[[#This Row],[Mes]],Tabla6[#Headers],0)))*(1+Catalogos!$L$2)</f>
        <v>#N/A</v>
      </c>
      <c r="N4504" s="283" t="e">
        <f>+(Tabla4[[#This Row],[Precio Descontado]]-Tabla4[[#This Row],[Precio Base]])*Tabla4[[#This Row],[Cantidad]]</f>
        <v>#N/A</v>
      </c>
      <c r="O4504" s="284" t="e">
        <f>++Tabla4[[#This Row],[Utilidad Total]]/Tabla4[[#This Row],[Total]]</f>
        <v>#N/A</v>
      </c>
      <c r="P4504" s="282">
        <f>++Tabla4[[#This Row],[Precio Descontado]]*Tabla4[[#This Row],[Cantidad]]</f>
        <v>1936.7704229999997</v>
      </c>
      <c r="Q4504" s="282" t="e">
        <f>(INDEX(Tabla6[#All],MATCH(Tabla4[[#This Row],[Producto]],Tabla6[[#All],[PRODUCTO]],0),MATCH(Tabla4[[#This Row],[Mes]],Tabla6[#Headers],0)))</f>
        <v>#N/A</v>
      </c>
      <c r="R4504" s="282" t="e">
        <f>++Tabla4[[#This Row],[Precio Unitario Neto]]-Tabla4[[#This Row],[20.85%]]-Tabla4[[#This Row],[Costo]]</f>
        <v>#N/A</v>
      </c>
      <c r="S4504" s="282" t="e">
        <f>++Tabla4[[#This Row],[U. Bruta Uni]]*Tabla4[[#This Row],[Cantidad]]</f>
        <v>#N/A</v>
      </c>
      <c r="T4504" s="369" t="str">
        <f>VLOOKUP(Tabla4[[#This Row],[Producto]],Tabla6[#All],14,FALSE)</f>
        <v>Termico Solar</v>
      </c>
      <c r="U4504" s="284" t="e">
        <f>(IF(Tabla4[[#This Row],[Familia]]="termico solar",Tabla4[[#This Row],[Utilidad Total]]*6%,Tabla4[[#This Row],[Utilidad Total]]*11.5%))/Tabla4[[#This Row],[Total]]</f>
        <v>#N/A</v>
      </c>
      <c r="V4504" s="282" t="e">
        <f>+Tabla4[[#This Row],[Comisión Calculada]]*Tabla4[[#This Row],[Total]]</f>
        <v>#N/A</v>
      </c>
    </row>
    <row r="4505" spans="1:22" hidden="1" x14ac:dyDescent="0.25">
      <c r="A4505" s="100">
        <v>45853</v>
      </c>
      <c r="B4505" t="str">
        <f t="shared" si="225"/>
        <v>July</v>
      </c>
      <c r="C4505" s="46" t="s">
        <v>280</v>
      </c>
      <c r="F4505" s="366" t="s">
        <v>2412</v>
      </c>
      <c r="G4505" s="46" t="s">
        <v>200</v>
      </c>
      <c r="H4505" s="46">
        <v>12</v>
      </c>
      <c r="I4505" s="51">
        <v>393.22</v>
      </c>
      <c r="J4505" s="281">
        <f>++Tabla4[[#This Row],[Precio Bruto]]*1.16</f>
        <v>456.1352</v>
      </c>
      <c r="K4505" s="281">
        <f>+Tabla4[[#This Row],[Precio Unitario Neto]]*Tabla4[[#Headers],[20.85%]]</f>
        <v>95.104189199999993</v>
      </c>
      <c r="L4505" s="282">
        <f>++Tabla4[[#This Row],[Precio Unitario Neto]]-Tabla4[[#This Row],[20.85%]]</f>
        <v>361.03101079999999</v>
      </c>
      <c r="M4505" s="282" t="e">
        <f>(INDEX(Tabla6[#All],MATCH(Tabla4[[#This Row],[Producto]],Tabla6[[#All],[PRODUCTO]],0),MATCH(Tabla4[[#This Row],[Mes]],Tabla6[#Headers],0)))*(1+Catalogos!$L$2)</f>
        <v>#N/A</v>
      </c>
      <c r="N4505" s="283" t="e">
        <f>+(Tabla4[[#This Row],[Precio Descontado]]-Tabla4[[#This Row],[Precio Base]])*Tabla4[[#This Row],[Cantidad]]</f>
        <v>#N/A</v>
      </c>
      <c r="O4505" s="284" t="e">
        <f>++Tabla4[[#This Row],[Utilidad Total]]/Tabla4[[#This Row],[Total]]</f>
        <v>#N/A</v>
      </c>
      <c r="P4505" s="282">
        <f>++Tabla4[[#This Row],[Precio Descontado]]*Tabla4[[#This Row],[Cantidad]]</f>
        <v>4332.3721296000003</v>
      </c>
      <c r="Q4505" s="282" t="e">
        <f>(INDEX(Tabla6[#All],MATCH(Tabla4[[#This Row],[Producto]],Tabla6[[#All],[PRODUCTO]],0),MATCH(Tabla4[[#This Row],[Mes]],Tabla6[#Headers],0)))</f>
        <v>#N/A</v>
      </c>
      <c r="R4505" s="282" t="e">
        <f>++Tabla4[[#This Row],[Precio Unitario Neto]]-Tabla4[[#This Row],[20.85%]]-Tabla4[[#This Row],[Costo]]</f>
        <v>#N/A</v>
      </c>
      <c r="S4505" s="282" t="e">
        <f>++Tabla4[[#This Row],[U. Bruta Uni]]*Tabla4[[#This Row],[Cantidad]]</f>
        <v>#N/A</v>
      </c>
      <c r="T4505" s="369" t="str">
        <f>VLOOKUP(Tabla4[[#This Row],[Producto]],Tabla6[#All],14,FALSE)</f>
        <v>Termico Solar</v>
      </c>
      <c r="U4505" s="284" t="e">
        <f>(IF(Tabla4[[#This Row],[Familia]]="termico solar",Tabla4[[#This Row],[Utilidad Total]]*6%,Tabla4[[#This Row],[Utilidad Total]]*11.5%))/Tabla4[[#This Row],[Total]]</f>
        <v>#N/A</v>
      </c>
      <c r="V4505" s="282" t="e">
        <f>+Tabla4[[#This Row],[Comisión Calculada]]*Tabla4[[#This Row],[Total]]</f>
        <v>#N/A</v>
      </c>
    </row>
    <row r="4506" spans="1:22" hidden="1" x14ac:dyDescent="0.25">
      <c r="A4506" s="100">
        <v>45853</v>
      </c>
      <c r="B4506" t="str">
        <f t="shared" si="225"/>
        <v>July</v>
      </c>
      <c r="C4506" s="46" t="s">
        <v>280</v>
      </c>
      <c r="F4506" s="366" t="s">
        <v>2412</v>
      </c>
      <c r="G4506" s="46" t="s">
        <v>545</v>
      </c>
      <c r="H4506" s="46">
        <v>24</v>
      </c>
      <c r="I4506" s="51">
        <v>304.32</v>
      </c>
      <c r="J4506" s="281">
        <f>++Tabla4[[#This Row],[Precio Bruto]]*1.16</f>
        <v>353.01119999999997</v>
      </c>
      <c r="K4506" s="281">
        <f>+Tabla4[[#This Row],[Precio Unitario Neto]]*Tabla4[[#Headers],[20.85%]]</f>
        <v>73.602835199999987</v>
      </c>
      <c r="L4506" s="282">
        <f>++Tabla4[[#This Row],[Precio Unitario Neto]]-Tabla4[[#This Row],[20.85%]]</f>
        <v>279.40836479999996</v>
      </c>
      <c r="M4506" s="282" t="e">
        <f>(INDEX(Tabla6[#All],MATCH(Tabla4[[#This Row],[Producto]],Tabla6[[#All],[PRODUCTO]],0),MATCH(Tabla4[[#This Row],[Mes]],Tabla6[#Headers],0)))*(1+Catalogos!$L$2)</f>
        <v>#N/A</v>
      </c>
      <c r="N4506" s="283" t="e">
        <f>+(Tabla4[[#This Row],[Precio Descontado]]-Tabla4[[#This Row],[Precio Base]])*Tabla4[[#This Row],[Cantidad]]</f>
        <v>#N/A</v>
      </c>
      <c r="O4506" s="284" t="e">
        <f>++Tabla4[[#This Row],[Utilidad Total]]/Tabla4[[#This Row],[Total]]</f>
        <v>#N/A</v>
      </c>
      <c r="P4506" s="282">
        <f>++Tabla4[[#This Row],[Precio Descontado]]*Tabla4[[#This Row],[Cantidad]]</f>
        <v>6705.800755199999</v>
      </c>
      <c r="Q4506" s="282" t="e">
        <f>(INDEX(Tabla6[#All],MATCH(Tabla4[[#This Row],[Producto]],Tabla6[[#All],[PRODUCTO]],0),MATCH(Tabla4[[#This Row],[Mes]],Tabla6[#Headers],0)))</f>
        <v>#N/A</v>
      </c>
      <c r="R4506" s="282" t="e">
        <f>++Tabla4[[#This Row],[Precio Unitario Neto]]-Tabla4[[#This Row],[20.85%]]-Tabla4[[#This Row],[Costo]]</f>
        <v>#N/A</v>
      </c>
      <c r="S4506" s="282" t="e">
        <f>++Tabla4[[#This Row],[U. Bruta Uni]]*Tabla4[[#This Row],[Cantidad]]</f>
        <v>#N/A</v>
      </c>
      <c r="T4506" s="369" t="str">
        <f>VLOOKUP(Tabla4[[#This Row],[Producto]],Tabla6[#All],14,FALSE)</f>
        <v>Termico Solar</v>
      </c>
      <c r="U4506" s="284" t="e">
        <f>(IF(Tabla4[[#This Row],[Familia]]="termico solar",Tabla4[[#This Row],[Utilidad Total]]*6%,Tabla4[[#This Row],[Utilidad Total]]*11.5%))/Tabla4[[#This Row],[Total]]</f>
        <v>#N/A</v>
      </c>
      <c r="V4506" s="282" t="e">
        <f>+Tabla4[[#This Row],[Comisión Calculada]]*Tabla4[[#This Row],[Total]]</f>
        <v>#N/A</v>
      </c>
    </row>
    <row r="4507" spans="1:22" hidden="1" x14ac:dyDescent="0.25">
      <c r="A4507" s="100">
        <v>45853</v>
      </c>
      <c r="B4507" t="str">
        <f t="shared" si="225"/>
        <v>July</v>
      </c>
      <c r="C4507" s="46" t="s">
        <v>280</v>
      </c>
      <c r="F4507" s="366" t="s">
        <v>2412</v>
      </c>
      <c r="G4507" s="46" t="s">
        <v>209</v>
      </c>
      <c r="H4507" s="46">
        <v>6</v>
      </c>
      <c r="I4507" s="51">
        <v>347.48</v>
      </c>
      <c r="J4507" s="281">
        <f>++Tabla4[[#This Row],[Precio Bruto]]*1.16</f>
        <v>403.07679999999999</v>
      </c>
      <c r="K4507" s="281">
        <f>+Tabla4[[#This Row],[Precio Unitario Neto]]*Tabla4[[#Headers],[20.85%]]</f>
        <v>84.041512799999992</v>
      </c>
      <c r="L4507" s="282">
        <f>++Tabla4[[#This Row],[Precio Unitario Neto]]-Tabla4[[#This Row],[20.85%]]</f>
        <v>319.03528719999997</v>
      </c>
      <c r="M4507" s="282" t="e">
        <f>(INDEX(Tabla6[#All],MATCH(Tabla4[[#This Row],[Producto]],Tabla6[[#All],[PRODUCTO]],0),MATCH(Tabla4[[#This Row],[Mes]],Tabla6[#Headers],0)))*(1+Catalogos!$L$2)</f>
        <v>#N/A</v>
      </c>
      <c r="N4507" s="283" t="e">
        <f>+(Tabla4[[#This Row],[Precio Descontado]]-Tabla4[[#This Row],[Precio Base]])*Tabla4[[#This Row],[Cantidad]]</f>
        <v>#N/A</v>
      </c>
      <c r="O4507" s="284" t="e">
        <f>++Tabla4[[#This Row],[Utilidad Total]]/Tabla4[[#This Row],[Total]]</f>
        <v>#N/A</v>
      </c>
      <c r="P4507" s="282">
        <f>++Tabla4[[#This Row],[Precio Descontado]]*Tabla4[[#This Row],[Cantidad]]</f>
        <v>1914.2117231999998</v>
      </c>
      <c r="Q4507" s="282" t="e">
        <f>(INDEX(Tabla6[#All],MATCH(Tabla4[[#This Row],[Producto]],Tabla6[[#All],[PRODUCTO]],0),MATCH(Tabla4[[#This Row],[Mes]],Tabla6[#Headers],0)))</f>
        <v>#N/A</v>
      </c>
      <c r="R4507" s="282" t="e">
        <f>++Tabla4[[#This Row],[Precio Unitario Neto]]-Tabla4[[#This Row],[20.85%]]-Tabla4[[#This Row],[Costo]]</f>
        <v>#N/A</v>
      </c>
      <c r="S4507" s="282" t="e">
        <f>++Tabla4[[#This Row],[U. Bruta Uni]]*Tabla4[[#This Row],[Cantidad]]</f>
        <v>#N/A</v>
      </c>
      <c r="T4507" s="369" t="str">
        <f>VLOOKUP(Tabla4[[#This Row],[Producto]],Tabla6[#All],14,FALSE)</f>
        <v>Termico Solar</v>
      </c>
      <c r="U4507" s="284" t="e">
        <f>(IF(Tabla4[[#This Row],[Familia]]="termico solar",Tabla4[[#This Row],[Utilidad Total]]*6%,Tabla4[[#This Row],[Utilidad Total]]*11.5%))/Tabla4[[#This Row],[Total]]</f>
        <v>#N/A</v>
      </c>
      <c r="V4507" s="282" t="e">
        <f>+Tabla4[[#This Row],[Comisión Calculada]]*Tabla4[[#This Row],[Total]]</f>
        <v>#N/A</v>
      </c>
    </row>
    <row r="4508" spans="1:22" hidden="1" x14ac:dyDescent="0.25">
      <c r="A4508" s="100">
        <v>45853</v>
      </c>
      <c r="B4508" t="str">
        <f t="shared" si="225"/>
        <v>July</v>
      </c>
      <c r="C4508" s="46" t="s">
        <v>280</v>
      </c>
      <c r="F4508" s="366" t="s">
        <v>2413</v>
      </c>
      <c r="G4508" s="46" t="s">
        <v>17</v>
      </c>
      <c r="H4508" s="46">
        <v>5</v>
      </c>
      <c r="I4508" s="51">
        <v>4622.2800000000007</v>
      </c>
      <c r="J4508" s="281">
        <f>++Tabla4[[#This Row],[Precio Bruto]]*1.16</f>
        <v>5361.8448000000008</v>
      </c>
      <c r="K4508" s="281">
        <f>+Tabla4[[#This Row],[Precio Unitario Neto]]*Tabla4[[#Headers],[20.85%]]</f>
        <v>1117.9446408000001</v>
      </c>
      <c r="L4508" s="282">
        <f>++Tabla4[[#This Row],[Precio Unitario Neto]]-Tabla4[[#This Row],[20.85%]]</f>
        <v>4243.9001592000004</v>
      </c>
      <c r="M4508" s="282" t="e">
        <f>(INDEX(Tabla6[#All],MATCH(Tabla4[[#This Row],[Producto]],Tabla6[[#All],[PRODUCTO]],0),MATCH(Tabla4[[#This Row],[Mes]],Tabla6[#Headers],0)))*(1+Catalogos!$L$2)</f>
        <v>#N/A</v>
      </c>
      <c r="N4508" s="283" t="e">
        <f>+(Tabla4[[#This Row],[Precio Descontado]]-Tabla4[[#This Row],[Precio Base]])*Tabla4[[#This Row],[Cantidad]]</f>
        <v>#N/A</v>
      </c>
      <c r="O4508" s="284" t="e">
        <f>++Tabla4[[#This Row],[Utilidad Total]]/Tabla4[[#This Row],[Total]]</f>
        <v>#N/A</v>
      </c>
      <c r="P4508" s="282">
        <f>++Tabla4[[#This Row],[Precio Descontado]]*Tabla4[[#This Row],[Cantidad]]</f>
        <v>21219.500796</v>
      </c>
      <c r="Q4508" s="282" t="e">
        <f>(INDEX(Tabla6[#All],MATCH(Tabla4[[#This Row],[Producto]],Tabla6[[#All],[PRODUCTO]],0),MATCH(Tabla4[[#This Row],[Mes]],Tabla6[#Headers],0)))</f>
        <v>#N/A</v>
      </c>
      <c r="R4508" s="282" t="e">
        <f>++Tabla4[[#This Row],[Precio Unitario Neto]]-Tabla4[[#This Row],[20.85%]]-Tabla4[[#This Row],[Costo]]</f>
        <v>#N/A</v>
      </c>
      <c r="S4508" s="282" t="e">
        <f>++Tabla4[[#This Row],[U. Bruta Uni]]*Tabla4[[#This Row],[Cantidad]]</f>
        <v>#N/A</v>
      </c>
      <c r="T4508" s="369" t="str">
        <f>VLOOKUP(Tabla4[[#This Row],[Producto]],Tabla6[#All],14,FALSE)</f>
        <v>Termico Solar</v>
      </c>
      <c r="U4508" s="284" t="e">
        <f>(IF(Tabla4[[#This Row],[Familia]]="termico solar",Tabla4[[#This Row],[Utilidad Total]]*6%,Tabla4[[#This Row],[Utilidad Total]]*11.5%))/Tabla4[[#This Row],[Total]]</f>
        <v>#N/A</v>
      </c>
      <c r="V4508" s="282" t="e">
        <f>+Tabla4[[#This Row],[Comisión Calculada]]*Tabla4[[#This Row],[Total]]</f>
        <v>#N/A</v>
      </c>
    </row>
    <row r="4509" spans="1:22" hidden="1" x14ac:dyDescent="0.25">
      <c r="A4509" s="100">
        <v>45853</v>
      </c>
      <c r="B4509" t="str">
        <f t="shared" si="225"/>
        <v>July</v>
      </c>
      <c r="C4509" s="46" t="s">
        <v>280</v>
      </c>
      <c r="F4509" s="366" t="s">
        <v>2413</v>
      </c>
      <c r="G4509" s="46" t="s">
        <v>18</v>
      </c>
      <c r="H4509" s="46">
        <v>2</v>
      </c>
      <c r="I4509" s="51">
        <v>5367.65</v>
      </c>
      <c r="J4509" s="281">
        <f>++Tabla4[[#This Row],[Precio Bruto]]*1.16</f>
        <v>6226.4739999999993</v>
      </c>
      <c r="K4509" s="281">
        <f>+Tabla4[[#This Row],[Precio Unitario Neto]]*Tabla4[[#Headers],[20.85%]]</f>
        <v>1298.2198289999999</v>
      </c>
      <c r="L4509" s="282">
        <f>++Tabla4[[#This Row],[Precio Unitario Neto]]-Tabla4[[#This Row],[20.85%]]</f>
        <v>4928.2541709999996</v>
      </c>
      <c r="M4509" s="282" t="e">
        <f>(INDEX(Tabla6[#All],MATCH(Tabla4[[#This Row],[Producto]],Tabla6[[#All],[PRODUCTO]],0),MATCH(Tabla4[[#This Row],[Mes]],Tabla6[#Headers],0)))*(1+Catalogos!$L$2)</f>
        <v>#N/A</v>
      </c>
      <c r="N4509" s="283" t="e">
        <f>+(Tabla4[[#This Row],[Precio Descontado]]-Tabla4[[#This Row],[Precio Base]])*Tabla4[[#This Row],[Cantidad]]</f>
        <v>#N/A</v>
      </c>
      <c r="O4509" s="284" t="e">
        <f>++Tabla4[[#This Row],[Utilidad Total]]/Tabla4[[#This Row],[Total]]</f>
        <v>#N/A</v>
      </c>
      <c r="P4509" s="282">
        <f>++Tabla4[[#This Row],[Precio Descontado]]*Tabla4[[#This Row],[Cantidad]]</f>
        <v>9856.5083419999992</v>
      </c>
      <c r="Q4509" s="282" t="e">
        <f>(INDEX(Tabla6[#All],MATCH(Tabla4[[#This Row],[Producto]],Tabla6[[#All],[PRODUCTO]],0),MATCH(Tabla4[[#This Row],[Mes]],Tabla6[#Headers],0)))</f>
        <v>#N/A</v>
      </c>
      <c r="R4509" s="282" t="e">
        <f>++Tabla4[[#This Row],[Precio Unitario Neto]]-Tabla4[[#This Row],[20.85%]]-Tabla4[[#This Row],[Costo]]</f>
        <v>#N/A</v>
      </c>
      <c r="S4509" s="282" t="e">
        <f>++Tabla4[[#This Row],[U. Bruta Uni]]*Tabla4[[#This Row],[Cantidad]]</f>
        <v>#N/A</v>
      </c>
      <c r="T4509" s="369" t="str">
        <f>VLOOKUP(Tabla4[[#This Row],[Producto]],Tabla6[#All],14,FALSE)</f>
        <v>Termico Solar</v>
      </c>
      <c r="U4509" s="284" t="e">
        <f>(IF(Tabla4[[#This Row],[Familia]]="termico solar",Tabla4[[#This Row],[Utilidad Total]]*6%,Tabla4[[#This Row],[Utilidad Total]]*11.5%))/Tabla4[[#This Row],[Total]]</f>
        <v>#N/A</v>
      </c>
      <c r="V4509" s="282" t="e">
        <f>+Tabla4[[#This Row],[Comisión Calculada]]*Tabla4[[#This Row],[Total]]</f>
        <v>#N/A</v>
      </c>
    </row>
    <row r="4510" spans="1:22" hidden="1" x14ac:dyDescent="0.25">
      <c r="A4510" s="100">
        <v>45853</v>
      </c>
      <c r="B4510" t="str">
        <f t="shared" ref="B4510:B4516" si="226">TEXT(A4510, "mmmm")</f>
        <v>July</v>
      </c>
      <c r="C4510" s="46" t="s">
        <v>280</v>
      </c>
      <c r="F4510" s="366" t="s">
        <v>2413</v>
      </c>
      <c r="G4510" s="46" t="s">
        <v>200</v>
      </c>
      <c r="H4510" s="46">
        <v>12</v>
      </c>
      <c r="I4510" s="51">
        <v>393.22</v>
      </c>
      <c r="J4510" s="281">
        <f>++Tabla4[[#This Row],[Precio Bruto]]*1.16</f>
        <v>456.1352</v>
      </c>
      <c r="K4510" s="281">
        <f>+Tabla4[[#This Row],[Precio Unitario Neto]]*Tabla4[[#Headers],[20.85%]]</f>
        <v>95.104189199999993</v>
      </c>
      <c r="L4510" s="282">
        <f>++Tabla4[[#This Row],[Precio Unitario Neto]]-Tabla4[[#This Row],[20.85%]]</f>
        <v>361.03101079999999</v>
      </c>
      <c r="M4510" s="282" t="e">
        <f>(INDEX(Tabla6[#All],MATCH(Tabla4[[#This Row],[Producto]],Tabla6[[#All],[PRODUCTO]],0),MATCH(Tabla4[[#This Row],[Mes]],Tabla6[#Headers],0)))*(1+Catalogos!$L$2)</f>
        <v>#N/A</v>
      </c>
      <c r="N4510" s="283" t="e">
        <f>+(Tabla4[[#This Row],[Precio Descontado]]-Tabla4[[#This Row],[Precio Base]])*Tabla4[[#This Row],[Cantidad]]</f>
        <v>#N/A</v>
      </c>
      <c r="O4510" s="284" t="e">
        <f>++Tabla4[[#This Row],[Utilidad Total]]/Tabla4[[#This Row],[Total]]</f>
        <v>#N/A</v>
      </c>
      <c r="P4510" s="282">
        <f>++Tabla4[[#This Row],[Precio Descontado]]*Tabla4[[#This Row],[Cantidad]]</f>
        <v>4332.3721296000003</v>
      </c>
      <c r="Q4510" s="282" t="e">
        <f>(INDEX(Tabla6[#All],MATCH(Tabla4[[#This Row],[Producto]],Tabla6[[#All],[PRODUCTO]],0),MATCH(Tabla4[[#This Row],[Mes]],Tabla6[#Headers],0)))</f>
        <v>#N/A</v>
      </c>
      <c r="R4510" s="282" t="e">
        <f>++Tabla4[[#This Row],[Precio Unitario Neto]]-Tabla4[[#This Row],[20.85%]]-Tabla4[[#This Row],[Costo]]</f>
        <v>#N/A</v>
      </c>
      <c r="S4510" s="282" t="e">
        <f>++Tabla4[[#This Row],[U. Bruta Uni]]*Tabla4[[#This Row],[Cantidad]]</f>
        <v>#N/A</v>
      </c>
      <c r="T4510" s="369" t="str">
        <f>VLOOKUP(Tabla4[[#This Row],[Producto]],Tabla6[#All],14,FALSE)</f>
        <v>Termico Solar</v>
      </c>
      <c r="U4510" s="284" t="e">
        <f>(IF(Tabla4[[#This Row],[Familia]]="termico solar",Tabla4[[#This Row],[Utilidad Total]]*6%,Tabla4[[#This Row],[Utilidad Total]]*11.5%))/Tabla4[[#This Row],[Total]]</f>
        <v>#N/A</v>
      </c>
      <c r="V4510" s="282" t="e">
        <f>+Tabla4[[#This Row],[Comisión Calculada]]*Tabla4[[#This Row],[Total]]</f>
        <v>#N/A</v>
      </c>
    </row>
    <row r="4511" spans="1:22" hidden="1" x14ac:dyDescent="0.25">
      <c r="A4511" s="100">
        <v>45853</v>
      </c>
      <c r="B4511" t="str">
        <f t="shared" si="226"/>
        <v>July</v>
      </c>
      <c r="C4511" s="46" t="s">
        <v>280</v>
      </c>
      <c r="F4511" s="366" t="s">
        <v>2413</v>
      </c>
      <c r="G4511" s="46" t="s">
        <v>545</v>
      </c>
      <c r="H4511" s="46">
        <v>24</v>
      </c>
      <c r="I4511" s="51">
        <v>304.32</v>
      </c>
      <c r="J4511" s="281">
        <f>++Tabla4[[#This Row],[Precio Bruto]]*1.16</f>
        <v>353.01119999999997</v>
      </c>
      <c r="K4511" s="281">
        <f>+Tabla4[[#This Row],[Precio Unitario Neto]]*Tabla4[[#Headers],[20.85%]]</f>
        <v>73.602835199999987</v>
      </c>
      <c r="L4511" s="282">
        <f>++Tabla4[[#This Row],[Precio Unitario Neto]]-Tabla4[[#This Row],[20.85%]]</f>
        <v>279.40836479999996</v>
      </c>
      <c r="M4511" s="282" t="e">
        <f>(INDEX(Tabla6[#All],MATCH(Tabla4[[#This Row],[Producto]],Tabla6[[#All],[PRODUCTO]],0),MATCH(Tabla4[[#This Row],[Mes]],Tabla6[#Headers],0)))*(1+Catalogos!$L$2)</f>
        <v>#N/A</v>
      </c>
      <c r="N4511" s="283" t="e">
        <f>+(Tabla4[[#This Row],[Precio Descontado]]-Tabla4[[#This Row],[Precio Base]])*Tabla4[[#This Row],[Cantidad]]</f>
        <v>#N/A</v>
      </c>
      <c r="O4511" s="284" t="e">
        <f>++Tabla4[[#This Row],[Utilidad Total]]/Tabla4[[#This Row],[Total]]</f>
        <v>#N/A</v>
      </c>
      <c r="P4511" s="282">
        <f>++Tabla4[[#This Row],[Precio Descontado]]*Tabla4[[#This Row],[Cantidad]]</f>
        <v>6705.800755199999</v>
      </c>
      <c r="Q4511" s="282" t="e">
        <f>(INDEX(Tabla6[#All],MATCH(Tabla4[[#This Row],[Producto]],Tabla6[[#All],[PRODUCTO]],0),MATCH(Tabla4[[#This Row],[Mes]],Tabla6[#Headers],0)))</f>
        <v>#N/A</v>
      </c>
      <c r="R4511" s="282" t="e">
        <f>++Tabla4[[#This Row],[Precio Unitario Neto]]-Tabla4[[#This Row],[20.85%]]-Tabla4[[#This Row],[Costo]]</f>
        <v>#N/A</v>
      </c>
      <c r="S4511" s="282" t="e">
        <f>++Tabla4[[#This Row],[U. Bruta Uni]]*Tabla4[[#This Row],[Cantidad]]</f>
        <v>#N/A</v>
      </c>
      <c r="T4511" s="369" t="str">
        <f>VLOOKUP(Tabla4[[#This Row],[Producto]],Tabla6[#All],14,FALSE)</f>
        <v>Termico Solar</v>
      </c>
      <c r="U4511" s="284" t="e">
        <f>(IF(Tabla4[[#This Row],[Familia]]="termico solar",Tabla4[[#This Row],[Utilidad Total]]*6%,Tabla4[[#This Row],[Utilidad Total]]*11.5%))/Tabla4[[#This Row],[Total]]</f>
        <v>#N/A</v>
      </c>
      <c r="V4511" s="282" t="e">
        <f>+Tabla4[[#This Row],[Comisión Calculada]]*Tabla4[[#This Row],[Total]]</f>
        <v>#N/A</v>
      </c>
    </row>
    <row r="4512" spans="1:22" hidden="1" x14ac:dyDescent="0.25">
      <c r="A4512" s="100">
        <v>45853</v>
      </c>
      <c r="B4512" t="str">
        <f t="shared" si="226"/>
        <v>July</v>
      </c>
      <c r="C4512" s="46" t="s">
        <v>280</v>
      </c>
      <c r="F4512" s="366" t="s">
        <v>2413</v>
      </c>
      <c r="G4512" s="46" t="s">
        <v>209</v>
      </c>
      <c r="H4512" s="46">
        <v>2</v>
      </c>
      <c r="I4512" s="51">
        <v>347.48</v>
      </c>
      <c r="J4512" s="281">
        <f>++Tabla4[[#This Row],[Precio Bruto]]*1.16</f>
        <v>403.07679999999999</v>
      </c>
      <c r="K4512" s="281">
        <f>+Tabla4[[#This Row],[Precio Unitario Neto]]*Tabla4[[#Headers],[20.85%]]</f>
        <v>84.041512799999992</v>
      </c>
      <c r="L4512" s="282">
        <f>++Tabla4[[#This Row],[Precio Unitario Neto]]-Tabla4[[#This Row],[20.85%]]</f>
        <v>319.03528719999997</v>
      </c>
      <c r="M4512" s="282" t="e">
        <f>(INDEX(Tabla6[#All],MATCH(Tabla4[[#This Row],[Producto]],Tabla6[[#All],[PRODUCTO]],0),MATCH(Tabla4[[#This Row],[Mes]],Tabla6[#Headers],0)))*(1+Catalogos!$L$2)</f>
        <v>#N/A</v>
      </c>
      <c r="N4512" s="283" t="e">
        <f>+(Tabla4[[#This Row],[Precio Descontado]]-Tabla4[[#This Row],[Precio Base]])*Tabla4[[#This Row],[Cantidad]]</f>
        <v>#N/A</v>
      </c>
      <c r="O4512" s="284" t="e">
        <f>++Tabla4[[#This Row],[Utilidad Total]]/Tabla4[[#This Row],[Total]]</f>
        <v>#N/A</v>
      </c>
      <c r="P4512" s="282">
        <f>++Tabla4[[#This Row],[Precio Descontado]]*Tabla4[[#This Row],[Cantidad]]</f>
        <v>638.07057439999994</v>
      </c>
      <c r="Q4512" s="282" t="e">
        <f>(INDEX(Tabla6[#All],MATCH(Tabla4[[#This Row],[Producto]],Tabla6[[#All],[PRODUCTO]],0),MATCH(Tabla4[[#This Row],[Mes]],Tabla6[#Headers],0)))</f>
        <v>#N/A</v>
      </c>
      <c r="R4512" s="282" t="e">
        <f>++Tabla4[[#This Row],[Precio Unitario Neto]]-Tabla4[[#This Row],[20.85%]]-Tabla4[[#This Row],[Costo]]</f>
        <v>#N/A</v>
      </c>
      <c r="S4512" s="282" t="e">
        <f>++Tabla4[[#This Row],[U. Bruta Uni]]*Tabla4[[#This Row],[Cantidad]]</f>
        <v>#N/A</v>
      </c>
      <c r="T4512" s="369" t="str">
        <f>VLOOKUP(Tabla4[[#This Row],[Producto]],Tabla6[#All],14,FALSE)</f>
        <v>Termico Solar</v>
      </c>
      <c r="U4512" s="284" t="e">
        <f>(IF(Tabla4[[#This Row],[Familia]]="termico solar",Tabla4[[#This Row],[Utilidad Total]]*6%,Tabla4[[#This Row],[Utilidad Total]]*11.5%))/Tabla4[[#This Row],[Total]]</f>
        <v>#N/A</v>
      </c>
      <c r="V4512" s="282" t="e">
        <f>+Tabla4[[#This Row],[Comisión Calculada]]*Tabla4[[#This Row],[Total]]</f>
        <v>#N/A</v>
      </c>
    </row>
    <row r="4513" spans="1:22" hidden="1" x14ac:dyDescent="0.25">
      <c r="A4513" s="100">
        <v>45853</v>
      </c>
      <c r="B4513" t="str">
        <f t="shared" si="226"/>
        <v>July</v>
      </c>
      <c r="C4513" s="46" t="s">
        <v>280</v>
      </c>
      <c r="F4513" s="366" t="s">
        <v>2414</v>
      </c>
      <c r="G4513" s="46" t="s">
        <v>17</v>
      </c>
      <c r="H4513" s="46">
        <v>1</v>
      </c>
      <c r="I4513" s="51">
        <v>4622.28</v>
      </c>
      <c r="J4513" s="281">
        <f>++Tabla4[[#This Row],[Precio Bruto]]*1.16</f>
        <v>5361.8447999999989</v>
      </c>
      <c r="K4513" s="281">
        <f>+Tabla4[[#This Row],[Precio Unitario Neto]]*Tabla4[[#Headers],[20.85%]]</f>
        <v>1117.9446407999997</v>
      </c>
      <c r="L4513" s="282">
        <f>++Tabla4[[#This Row],[Precio Unitario Neto]]-Tabla4[[#This Row],[20.85%]]</f>
        <v>4243.9001591999995</v>
      </c>
      <c r="M4513" s="282" t="e">
        <f>(INDEX(Tabla6[#All],MATCH(Tabla4[[#This Row],[Producto]],Tabla6[[#All],[PRODUCTO]],0),MATCH(Tabla4[[#This Row],[Mes]],Tabla6[#Headers],0)))*(1+Catalogos!$L$2)</f>
        <v>#N/A</v>
      </c>
      <c r="N4513" s="283" t="e">
        <f>+(Tabla4[[#This Row],[Precio Descontado]]-Tabla4[[#This Row],[Precio Base]])*Tabla4[[#This Row],[Cantidad]]</f>
        <v>#N/A</v>
      </c>
      <c r="O4513" s="284" t="e">
        <f>++Tabla4[[#This Row],[Utilidad Total]]/Tabla4[[#This Row],[Total]]</f>
        <v>#N/A</v>
      </c>
      <c r="P4513" s="282">
        <f>++Tabla4[[#This Row],[Precio Descontado]]*Tabla4[[#This Row],[Cantidad]]</f>
        <v>4243.9001591999995</v>
      </c>
      <c r="Q4513" s="282" t="e">
        <f>(INDEX(Tabla6[#All],MATCH(Tabla4[[#This Row],[Producto]],Tabla6[[#All],[PRODUCTO]],0),MATCH(Tabla4[[#This Row],[Mes]],Tabla6[#Headers],0)))</f>
        <v>#N/A</v>
      </c>
      <c r="R4513" s="282" t="e">
        <f>++Tabla4[[#This Row],[Precio Unitario Neto]]-Tabla4[[#This Row],[20.85%]]-Tabla4[[#This Row],[Costo]]</f>
        <v>#N/A</v>
      </c>
      <c r="S4513" s="282" t="e">
        <f>++Tabla4[[#This Row],[U. Bruta Uni]]*Tabla4[[#This Row],[Cantidad]]</f>
        <v>#N/A</v>
      </c>
      <c r="T4513" s="369" t="str">
        <f>VLOOKUP(Tabla4[[#This Row],[Producto]],Tabla6[#All],14,FALSE)</f>
        <v>Termico Solar</v>
      </c>
      <c r="U4513" s="284" t="e">
        <f>(IF(Tabla4[[#This Row],[Familia]]="termico solar",Tabla4[[#This Row],[Utilidad Total]]*6%,Tabla4[[#This Row],[Utilidad Total]]*11.5%))/Tabla4[[#This Row],[Total]]</f>
        <v>#N/A</v>
      </c>
      <c r="V4513" s="282" t="e">
        <f>+Tabla4[[#This Row],[Comisión Calculada]]*Tabla4[[#This Row],[Total]]</f>
        <v>#N/A</v>
      </c>
    </row>
    <row r="4514" spans="1:22" hidden="1" x14ac:dyDescent="0.25">
      <c r="A4514" s="100">
        <v>45853</v>
      </c>
      <c r="B4514" t="str">
        <f t="shared" si="226"/>
        <v>July</v>
      </c>
      <c r="C4514" s="46" t="s">
        <v>280</v>
      </c>
      <c r="F4514" s="366" t="s">
        <v>2414</v>
      </c>
      <c r="G4514" s="46" t="s">
        <v>566</v>
      </c>
      <c r="H4514" s="46">
        <v>2</v>
      </c>
      <c r="I4514" s="51">
        <v>2109.4499999999998</v>
      </c>
      <c r="J4514" s="281">
        <f>++Tabla4[[#This Row],[Precio Bruto]]*1.16</f>
        <v>2446.9619999999995</v>
      </c>
      <c r="K4514" s="281">
        <f>+Tabla4[[#This Row],[Precio Unitario Neto]]*Tabla4[[#Headers],[20.85%]]</f>
        <v>510.19157699999988</v>
      </c>
      <c r="L4514" s="282">
        <f>++Tabla4[[#This Row],[Precio Unitario Neto]]-Tabla4[[#This Row],[20.85%]]</f>
        <v>1936.7704229999997</v>
      </c>
      <c r="M4514" s="282" t="e">
        <f>(INDEX(Tabla6[#All],MATCH(Tabla4[[#This Row],[Producto]],Tabla6[[#All],[PRODUCTO]],0),MATCH(Tabla4[[#This Row],[Mes]],Tabla6[#Headers],0)))*(1+Catalogos!$L$2)</f>
        <v>#N/A</v>
      </c>
      <c r="N4514" s="283" t="e">
        <f>+(Tabla4[[#This Row],[Precio Descontado]]-Tabla4[[#This Row],[Precio Base]])*Tabla4[[#This Row],[Cantidad]]</f>
        <v>#N/A</v>
      </c>
      <c r="O4514" s="284" t="e">
        <f>++Tabla4[[#This Row],[Utilidad Total]]/Tabla4[[#This Row],[Total]]</f>
        <v>#N/A</v>
      </c>
      <c r="P4514" s="282">
        <f>++Tabla4[[#This Row],[Precio Descontado]]*Tabla4[[#This Row],[Cantidad]]</f>
        <v>3873.5408459999994</v>
      </c>
      <c r="Q4514" s="282" t="e">
        <f>(INDEX(Tabla6[#All],MATCH(Tabla4[[#This Row],[Producto]],Tabla6[[#All],[PRODUCTO]],0),MATCH(Tabla4[[#This Row],[Mes]],Tabla6[#Headers],0)))</f>
        <v>#N/A</v>
      </c>
      <c r="R4514" s="282" t="e">
        <f>++Tabla4[[#This Row],[Precio Unitario Neto]]-Tabla4[[#This Row],[20.85%]]-Tabla4[[#This Row],[Costo]]</f>
        <v>#N/A</v>
      </c>
      <c r="S4514" s="282" t="e">
        <f>++Tabla4[[#This Row],[U. Bruta Uni]]*Tabla4[[#This Row],[Cantidad]]</f>
        <v>#N/A</v>
      </c>
      <c r="T4514" s="369" t="str">
        <f>VLOOKUP(Tabla4[[#This Row],[Producto]],Tabla6[#All],14,FALSE)</f>
        <v>Termico Solar</v>
      </c>
      <c r="U4514" s="284" t="e">
        <f>(IF(Tabla4[[#This Row],[Familia]]="termico solar",Tabla4[[#This Row],[Utilidad Total]]*6%,Tabla4[[#This Row],[Utilidad Total]]*11.5%))/Tabla4[[#This Row],[Total]]</f>
        <v>#N/A</v>
      </c>
      <c r="V4514" s="282" t="e">
        <f>+Tabla4[[#This Row],[Comisión Calculada]]*Tabla4[[#This Row],[Total]]</f>
        <v>#N/A</v>
      </c>
    </row>
    <row r="4515" spans="1:22" hidden="1" x14ac:dyDescent="0.25">
      <c r="A4515" s="100">
        <v>45853</v>
      </c>
      <c r="B4515" t="str">
        <f t="shared" si="226"/>
        <v>July</v>
      </c>
      <c r="C4515" s="46" t="s">
        <v>280</v>
      </c>
      <c r="F4515" s="366" t="s">
        <v>2414</v>
      </c>
      <c r="G4515" s="46" t="s">
        <v>555</v>
      </c>
      <c r="H4515" s="46">
        <v>8</v>
      </c>
      <c r="I4515" s="51">
        <v>389.47</v>
      </c>
      <c r="J4515" s="281">
        <f>++Tabla4[[#This Row],[Precio Bruto]]*1.16</f>
        <v>451.78519999999997</v>
      </c>
      <c r="K4515" s="281">
        <f>+Tabla4[[#This Row],[Precio Unitario Neto]]*Tabla4[[#Headers],[20.85%]]</f>
        <v>94.197214199999991</v>
      </c>
      <c r="L4515" s="282">
        <f>++Tabla4[[#This Row],[Precio Unitario Neto]]-Tabla4[[#This Row],[20.85%]]</f>
        <v>357.58798579999996</v>
      </c>
      <c r="M4515" s="282" t="e">
        <f>(INDEX(Tabla6[#All],MATCH(Tabla4[[#This Row],[Producto]],Tabla6[[#All],[PRODUCTO]],0),MATCH(Tabla4[[#This Row],[Mes]],Tabla6[#Headers],0)))*(1+Catalogos!$L$2)</f>
        <v>#N/A</v>
      </c>
      <c r="N4515" s="283" t="e">
        <f>+(Tabla4[[#This Row],[Precio Descontado]]-Tabla4[[#This Row],[Precio Base]])*Tabla4[[#This Row],[Cantidad]]</f>
        <v>#N/A</v>
      </c>
      <c r="O4515" s="284" t="e">
        <f>++Tabla4[[#This Row],[Utilidad Total]]/Tabla4[[#This Row],[Total]]</f>
        <v>#N/A</v>
      </c>
      <c r="P4515" s="282">
        <f>++Tabla4[[#This Row],[Precio Descontado]]*Tabla4[[#This Row],[Cantidad]]</f>
        <v>2860.7038863999996</v>
      </c>
      <c r="Q4515" s="282" t="e">
        <f>(INDEX(Tabla6[#All],MATCH(Tabla4[[#This Row],[Producto]],Tabla6[[#All],[PRODUCTO]],0),MATCH(Tabla4[[#This Row],[Mes]],Tabla6[#Headers],0)))</f>
        <v>#N/A</v>
      </c>
      <c r="R4515" s="282" t="e">
        <f>++Tabla4[[#This Row],[Precio Unitario Neto]]-Tabla4[[#This Row],[20.85%]]-Tabla4[[#This Row],[Costo]]</f>
        <v>#N/A</v>
      </c>
      <c r="S4515" s="282" t="e">
        <f>++Tabla4[[#This Row],[U. Bruta Uni]]*Tabla4[[#This Row],[Cantidad]]</f>
        <v>#N/A</v>
      </c>
      <c r="T4515" s="369" t="str">
        <f>VLOOKUP(Tabla4[[#This Row],[Producto]],Tabla6[#All],14,FALSE)</f>
        <v>Termico Solar</v>
      </c>
      <c r="U4515" s="284" t="e">
        <f>(IF(Tabla4[[#This Row],[Familia]]="termico solar",Tabla4[[#This Row],[Utilidad Total]]*6%,Tabla4[[#This Row],[Utilidad Total]]*11.5%))/Tabla4[[#This Row],[Total]]</f>
        <v>#N/A</v>
      </c>
      <c r="V4515" s="282" t="e">
        <f>+Tabla4[[#This Row],[Comisión Calculada]]*Tabla4[[#This Row],[Total]]</f>
        <v>#N/A</v>
      </c>
    </row>
    <row r="4516" spans="1:22" hidden="1" x14ac:dyDescent="0.25">
      <c r="A4516" s="100">
        <v>45853</v>
      </c>
      <c r="B4516" t="str">
        <f t="shared" si="226"/>
        <v>July</v>
      </c>
      <c r="C4516" s="46" t="s">
        <v>280</v>
      </c>
      <c r="F4516" s="366" t="s">
        <v>2414</v>
      </c>
      <c r="G4516" s="46" t="s">
        <v>208</v>
      </c>
      <c r="H4516" s="46">
        <v>34</v>
      </c>
      <c r="I4516" s="51">
        <v>189.75</v>
      </c>
      <c r="J4516" s="281">
        <f>++Tabla4[[#This Row],[Precio Bruto]]*1.16</f>
        <v>220.10999999999999</v>
      </c>
      <c r="K4516" s="281">
        <f>+Tabla4[[#This Row],[Precio Unitario Neto]]*Tabla4[[#Headers],[20.85%]]</f>
        <v>45.892934999999994</v>
      </c>
      <c r="L4516" s="282">
        <f>++Tabla4[[#This Row],[Precio Unitario Neto]]-Tabla4[[#This Row],[20.85%]]</f>
        <v>174.21706499999999</v>
      </c>
      <c r="M4516" s="282" t="e">
        <f>(INDEX(Tabla6[#All],MATCH(Tabla4[[#This Row],[Producto]],Tabla6[[#All],[PRODUCTO]],0),MATCH(Tabla4[[#This Row],[Mes]],Tabla6[#Headers],0)))*(1+Catalogos!$L$2)</f>
        <v>#N/A</v>
      </c>
      <c r="N4516" s="283" t="e">
        <f>+(Tabla4[[#This Row],[Precio Descontado]]-Tabla4[[#This Row],[Precio Base]])*Tabla4[[#This Row],[Cantidad]]</f>
        <v>#N/A</v>
      </c>
      <c r="O4516" s="284" t="e">
        <f>++Tabla4[[#This Row],[Utilidad Total]]/Tabla4[[#This Row],[Total]]</f>
        <v>#N/A</v>
      </c>
      <c r="P4516" s="282">
        <f>++Tabla4[[#This Row],[Precio Descontado]]*Tabla4[[#This Row],[Cantidad]]</f>
        <v>5923.3802099999994</v>
      </c>
      <c r="Q4516" s="282" t="e">
        <f>(INDEX(Tabla6[#All],MATCH(Tabla4[[#This Row],[Producto]],Tabla6[[#All],[PRODUCTO]],0),MATCH(Tabla4[[#This Row],[Mes]],Tabla6[#Headers],0)))</f>
        <v>#N/A</v>
      </c>
      <c r="R4516" s="282" t="e">
        <f>++Tabla4[[#This Row],[Precio Unitario Neto]]-Tabla4[[#This Row],[20.85%]]-Tabla4[[#This Row],[Costo]]</f>
        <v>#N/A</v>
      </c>
      <c r="S4516" s="282" t="e">
        <f>++Tabla4[[#This Row],[U. Bruta Uni]]*Tabla4[[#This Row],[Cantidad]]</f>
        <v>#N/A</v>
      </c>
      <c r="T4516" s="369" t="str">
        <f>VLOOKUP(Tabla4[[#This Row],[Producto]],Tabla6[#All],14,FALSE)</f>
        <v>Termico Solar</v>
      </c>
      <c r="U4516" s="284" t="e">
        <f>(IF(Tabla4[[#This Row],[Familia]]="termico solar",Tabla4[[#This Row],[Utilidad Total]]*6%,Tabla4[[#This Row],[Utilidad Total]]*11.5%))/Tabla4[[#This Row],[Total]]</f>
        <v>#N/A</v>
      </c>
      <c r="V4516" s="282" t="e">
        <f>+Tabla4[[#This Row],[Comisión Calculada]]*Tabla4[[#This Row],[Total]]</f>
        <v>#N/A</v>
      </c>
    </row>
    <row r="4517" spans="1:22" hidden="1" x14ac:dyDescent="0.25">
      <c r="A4517" s="100">
        <v>45853</v>
      </c>
      <c r="B4517" t="str">
        <f t="shared" ref="B4517:B4522" si="227">TEXT(A4517, "mmmm")</f>
        <v>July</v>
      </c>
      <c r="C4517" s="46" t="s">
        <v>280</v>
      </c>
      <c r="F4517" s="366" t="s">
        <v>2415</v>
      </c>
      <c r="G4517" s="46" t="s">
        <v>18</v>
      </c>
      <c r="H4517" s="46">
        <v>1</v>
      </c>
      <c r="I4517" s="51">
        <v>5367.65</v>
      </c>
      <c r="J4517" s="281">
        <f>++Tabla4[[#This Row],[Precio Bruto]]*1.16</f>
        <v>6226.4739999999993</v>
      </c>
      <c r="K4517" s="281">
        <f>+Tabla4[[#This Row],[Precio Unitario Neto]]*Tabla4[[#Headers],[20.85%]]</f>
        <v>1298.2198289999999</v>
      </c>
      <c r="L4517" s="282">
        <f>++Tabla4[[#This Row],[Precio Unitario Neto]]-Tabla4[[#This Row],[20.85%]]</f>
        <v>4928.2541709999996</v>
      </c>
      <c r="M4517" s="282" t="e">
        <f>(INDEX(Tabla6[#All],MATCH(Tabla4[[#This Row],[Producto]],Tabla6[[#All],[PRODUCTO]],0),MATCH(Tabla4[[#This Row],[Mes]],Tabla6[#Headers],0)))*(1+Catalogos!$L$2)</f>
        <v>#N/A</v>
      </c>
      <c r="N4517" s="283" t="e">
        <f>+(Tabla4[[#This Row],[Precio Descontado]]-Tabla4[[#This Row],[Precio Base]])*Tabla4[[#This Row],[Cantidad]]</f>
        <v>#N/A</v>
      </c>
      <c r="O4517" s="284" t="e">
        <f>++Tabla4[[#This Row],[Utilidad Total]]/Tabla4[[#This Row],[Total]]</f>
        <v>#N/A</v>
      </c>
      <c r="P4517" s="282">
        <f>++Tabla4[[#This Row],[Precio Descontado]]*Tabla4[[#This Row],[Cantidad]]</f>
        <v>4928.2541709999996</v>
      </c>
      <c r="Q4517" s="282" t="e">
        <f>(INDEX(Tabla6[#All],MATCH(Tabla4[[#This Row],[Producto]],Tabla6[[#All],[PRODUCTO]],0),MATCH(Tabla4[[#This Row],[Mes]],Tabla6[#Headers],0)))</f>
        <v>#N/A</v>
      </c>
      <c r="R4517" s="282" t="e">
        <f>++Tabla4[[#This Row],[Precio Unitario Neto]]-Tabla4[[#This Row],[20.85%]]-Tabla4[[#This Row],[Costo]]</f>
        <v>#N/A</v>
      </c>
      <c r="S4517" s="282" t="e">
        <f>++Tabla4[[#This Row],[U. Bruta Uni]]*Tabla4[[#This Row],[Cantidad]]</f>
        <v>#N/A</v>
      </c>
      <c r="T4517" s="369" t="str">
        <f>VLOOKUP(Tabla4[[#This Row],[Producto]],Tabla6[#All],14,FALSE)</f>
        <v>Termico Solar</v>
      </c>
      <c r="U4517" s="284" t="e">
        <f>(IF(Tabla4[[#This Row],[Familia]]="termico solar",Tabla4[[#This Row],[Utilidad Total]]*6%,Tabla4[[#This Row],[Utilidad Total]]*11.5%))/Tabla4[[#This Row],[Total]]</f>
        <v>#N/A</v>
      </c>
      <c r="V4517" s="282" t="e">
        <f>+Tabla4[[#This Row],[Comisión Calculada]]*Tabla4[[#This Row],[Total]]</f>
        <v>#N/A</v>
      </c>
    </row>
    <row r="4518" spans="1:22" hidden="1" x14ac:dyDescent="0.25">
      <c r="A4518" s="100">
        <v>45853</v>
      </c>
      <c r="B4518" t="str">
        <f t="shared" si="227"/>
        <v>July</v>
      </c>
      <c r="C4518" s="46" t="s">
        <v>280</v>
      </c>
      <c r="F4518" s="366" t="s">
        <v>2415</v>
      </c>
      <c r="G4518" s="46" t="s">
        <v>566</v>
      </c>
      <c r="H4518" s="46">
        <v>1</v>
      </c>
      <c r="I4518" s="51">
        <v>2109.4499999999998</v>
      </c>
      <c r="J4518" s="281">
        <f>++Tabla4[[#This Row],[Precio Bruto]]*1.16</f>
        <v>2446.9619999999995</v>
      </c>
      <c r="K4518" s="281">
        <f>+Tabla4[[#This Row],[Precio Unitario Neto]]*Tabla4[[#Headers],[20.85%]]</f>
        <v>510.19157699999988</v>
      </c>
      <c r="L4518" s="282">
        <f>++Tabla4[[#This Row],[Precio Unitario Neto]]-Tabla4[[#This Row],[20.85%]]</f>
        <v>1936.7704229999997</v>
      </c>
      <c r="M4518" s="282" t="e">
        <f>(INDEX(Tabla6[#All],MATCH(Tabla4[[#This Row],[Producto]],Tabla6[[#All],[PRODUCTO]],0),MATCH(Tabla4[[#This Row],[Mes]],Tabla6[#Headers],0)))*(1+Catalogos!$L$2)</f>
        <v>#N/A</v>
      </c>
      <c r="N4518" s="283" t="e">
        <f>+(Tabla4[[#This Row],[Precio Descontado]]-Tabla4[[#This Row],[Precio Base]])*Tabla4[[#This Row],[Cantidad]]</f>
        <v>#N/A</v>
      </c>
      <c r="O4518" s="284" t="e">
        <f>++Tabla4[[#This Row],[Utilidad Total]]/Tabla4[[#This Row],[Total]]</f>
        <v>#N/A</v>
      </c>
      <c r="P4518" s="282">
        <f>++Tabla4[[#This Row],[Precio Descontado]]*Tabla4[[#This Row],[Cantidad]]</f>
        <v>1936.7704229999997</v>
      </c>
      <c r="Q4518" s="282" t="e">
        <f>(INDEX(Tabla6[#All],MATCH(Tabla4[[#This Row],[Producto]],Tabla6[[#All],[PRODUCTO]],0),MATCH(Tabla4[[#This Row],[Mes]],Tabla6[#Headers],0)))</f>
        <v>#N/A</v>
      </c>
      <c r="R4518" s="282" t="e">
        <f>++Tabla4[[#This Row],[Precio Unitario Neto]]-Tabla4[[#This Row],[20.85%]]-Tabla4[[#This Row],[Costo]]</f>
        <v>#N/A</v>
      </c>
      <c r="S4518" s="282" t="e">
        <f>++Tabla4[[#This Row],[U. Bruta Uni]]*Tabla4[[#This Row],[Cantidad]]</f>
        <v>#N/A</v>
      </c>
      <c r="T4518" s="369" t="str">
        <f>VLOOKUP(Tabla4[[#This Row],[Producto]],Tabla6[#All],14,FALSE)</f>
        <v>Termico Solar</v>
      </c>
      <c r="U4518" s="284" t="e">
        <f>(IF(Tabla4[[#This Row],[Familia]]="termico solar",Tabla4[[#This Row],[Utilidad Total]]*6%,Tabla4[[#This Row],[Utilidad Total]]*11.5%))/Tabla4[[#This Row],[Total]]</f>
        <v>#N/A</v>
      </c>
      <c r="V4518" s="282" t="e">
        <f>+Tabla4[[#This Row],[Comisión Calculada]]*Tabla4[[#This Row],[Total]]</f>
        <v>#N/A</v>
      </c>
    </row>
    <row r="4519" spans="1:22" hidden="1" x14ac:dyDescent="0.25">
      <c r="A4519" s="100">
        <v>45853</v>
      </c>
      <c r="B4519" t="str">
        <f t="shared" si="227"/>
        <v>July</v>
      </c>
      <c r="C4519" s="46" t="s">
        <v>280</v>
      </c>
      <c r="F4519" s="366" t="s">
        <v>2415</v>
      </c>
      <c r="G4519" s="46" t="s">
        <v>16</v>
      </c>
      <c r="H4519" s="46">
        <v>2</v>
      </c>
      <c r="I4519" s="51">
        <v>4103.8500000000004</v>
      </c>
      <c r="J4519" s="281">
        <f>++Tabla4[[#This Row],[Precio Bruto]]*1.16</f>
        <v>4760.4660000000003</v>
      </c>
      <c r="K4519" s="281">
        <f>+Tabla4[[#This Row],[Precio Unitario Neto]]*Tabla4[[#Headers],[20.85%]]</f>
        <v>992.55716100000006</v>
      </c>
      <c r="L4519" s="282">
        <f>++Tabla4[[#This Row],[Precio Unitario Neto]]-Tabla4[[#This Row],[20.85%]]</f>
        <v>3767.9088390000002</v>
      </c>
      <c r="M4519" s="282" t="e">
        <f>(INDEX(Tabla6[#All],MATCH(Tabla4[[#This Row],[Producto]],Tabla6[[#All],[PRODUCTO]],0),MATCH(Tabla4[[#This Row],[Mes]],Tabla6[#Headers],0)))*(1+Catalogos!$L$2)</f>
        <v>#N/A</v>
      </c>
      <c r="N4519" s="283" t="e">
        <f>+(Tabla4[[#This Row],[Precio Descontado]]-Tabla4[[#This Row],[Precio Base]])*Tabla4[[#This Row],[Cantidad]]</f>
        <v>#N/A</v>
      </c>
      <c r="O4519" s="284" t="e">
        <f>++Tabla4[[#This Row],[Utilidad Total]]/Tabla4[[#This Row],[Total]]</f>
        <v>#N/A</v>
      </c>
      <c r="P4519" s="282">
        <f>++Tabla4[[#This Row],[Precio Descontado]]*Tabla4[[#This Row],[Cantidad]]</f>
        <v>7535.8176780000003</v>
      </c>
      <c r="Q4519" s="282" t="e">
        <f>(INDEX(Tabla6[#All],MATCH(Tabla4[[#This Row],[Producto]],Tabla6[[#All],[PRODUCTO]],0),MATCH(Tabla4[[#This Row],[Mes]],Tabla6[#Headers],0)))</f>
        <v>#N/A</v>
      </c>
      <c r="R4519" s="282" t="e">
        <f>++Tabla4[[#This Row],[Precio Unitario Neto]]-Tabla4[[#This Row],[20.85%]]-Tabla4[[#This Row],[Costo]]</f>
        <v>#N/A</v>
      </c>
      <c r="S4519" s="282" t="e">
        <f>++Tabla4[[#This Row],[U. Bruta Uni]]*Tabla4[[#This Row],[Cantidad]]</f>
        <v>#N/A</v>
      </c>
      <c r="T4519" s="369" t="str">
        <f>VLOOKUP(Tabla4[[#This Row],[Producto]],Tabla6[#All],14,FALSE)</f>
        <v>Termico Solar</v>
      </c>
      <c r="U4519" s="284" t="e">
        <f>(IF(Tabla4[[#This Row],[Familia]]="termico solar",Tabla4[[#This Row],[Utilidad Total]]*6%,Tabla4[[#This Row],[Utilidad Total]]*11.5%))/Tabla4[[#This Row],[Total]]</f>
        <v>#N/A</v>
      </c>
      <c r="V4519" s="282" t="e">
        <f>+Tabla4[[#This Row],[Comisión Calculada]]*Tabla4[[#This Row],[Total]]</f>
        <v>#N/A</v>
      </c>
    </row>
    <row r="4520" spans="1:22" hidden="1" x14ac:dyDescent="0.25">
      <c r="A4520" s="100">
        <v>45853</v>
      </c>
      <c r="B4520" t="str">
        <f t="shared" si="227"/>
        <v>July</v>
      </c>
      <c r="C4520" s="46" t="s">
        <v>280</v>
      </c>
      <c r="F4520" s="366" t="s">
        <v>2415</v>
      </c>
      <c r="G4520" s="46" t="s">
        <v>200</v>
      </c>
      <c r="H4520" s="46">
        <v>12</v>
      </c>
      <c r="I4520" s="51">
        <v>393.22</v>
      </c>
      <c r="J4520" s="281">
        <f>++Tabla4[[#This Row],[Precio Bruto]]*1.16</f>
        <v>456.1352</v>
      </c>
      <c r="K4520" s="281">
        <f>+Tabla4[[#This Row],[Precio Unitario Neto]]*Tabla4[[#Headers],[20.85%]]</f>
        <v>95.104189199999993</v>
      </c>
      <c r="L4520" s="282">
        <f>++Tabla4[[#This Row],[Precio Unitario Neto]]-Tabla4[[#This Row],[20.85%]]</f>
        <v>361.03101079999999</v>
      </c>
      <c r="M4520" s="282" t="e">
        <f>(INDEX(Tabla6[#All],MATCH(Tabla4[[#This Row],[Producto]],Tabla6[[#All],[PRODUCTO]],0),MATCH(Tabla4[[#This Row],[Mes]],Tabla6[#Headers],0)))*(1+Catalogos!$L$2)</f>
        <v>#N/A</v>
      </c>
      <c r="N4520" s="283" t="e">
        <f>+(Tabla4[[#This Row],[Precio Descontado]]-Tabla4[[#This Row],[Precio Base]])*Tabla4[[#This Row],[Cantidad]]</f>
        <v>#N/A</v>
      </c>
      <c r="O4520" s="284" t="e">
        <f>++Tabla4[[#This Row],[Utilidad Total]]/Tabla4[[#This Row],[Total]]</f>
        <v>#N/A</v>
      </c>
      <c r="P4520" s="282">
        <f>++Tabla4[[#This Row],[Precio Descontado]]*Tabla4[[#This Row],[Cantidad]]</f>
        <v>4332.3721296000003</v>
      </c>
      <c r="Q4520" s="282" t="e">
        <f>(INDEX(Tabla6[#All],MATCH(Tabla4[[#This Row],[Producto]],Tabla6[[#All],[PRODUCTO]],0),MATCH(Tabla4[[#This Row],[Mes]],Tabla6[#Headers],0)))</f>
        <v>#N/A</v>
      </c>
      <c r="R4520" s="282" t="e">
        <f>++Tabla4[[#This Row],[Precio Unitario Neto]]-Tabla4[[#This Row],[20.85%]]-Tabla4[[#This Row],[Costo]]</f>
        <v>#N/A</v>
      </c>
      <c r="S4520" s="282" t="e">
        <f>++Tabla4[[#This Row],[U. Bruta Uni]]*Tabla4[[#This Row],[Cantidad]]</f>
        <v>#N/A</v>
      </c>
      <c r="T4520" s="369" t="str">
        <f>VLOOKUP(Tabla4[[#This Row],[Producto]],Tabla6[#All],14,FALSE)</f>
        <v>Termico Solar</v>
      </c>
      <c r="U4520" s="284" t="e">
        <f>(IF(Tabla4[[#This Row],[Familia]]="termico solar",Tabla4[[#This Row],[Utilidad Total]]*6%,Tabla4[[#This Row],[Utilidad Total]]*11.5%))/Tabla4[[#This Row],[Total]]</f>
        <v>#N/A</v>
      </c>
      <c r="V4520" s="282" t="e">
        <f>+Tabla4[[#This Row],[Comisión Calculada]]*Tabla4[[#This Row],[Total]]</f>
        <v>#N/A</v>
      </c>
    </row>
    <row r="4521" spans="1:22" hidden="1" x14ac:dyDescent="0.25">
      <c r="A4521" s="100">
        <v>45853</v>
      </c>
      <c r="B4521" t="str">
        <f t="shared" si="227"/>
        <v>July</v>
      </c>
      <c r="C4521" s="46" t="s">
        <v>280</v>
      </c>
      <c r="F4521" s="366" t="s">
        <v>2415</v>
      </c>
      <c r="G4521" s="46" t="s">
        <v>545</v>
      </c>
      <c r="H4521" s="46">
        <v>24</v>
      </c>
      <c r="I4521" s="51">
        <v>304.32</v>
      </c>
      <c r="J4521" s="281">
        <f>++Tabla4[[#This Row],[Precio Bruto]]*1.16</f>
        <v>353.01119999999997</v>
      </c>
      <c r="K4521" s="281">
        <f>+Tabla4[[#This Row],[Precio Unitario Neto]]*Tabla4[[#Headers],[20.85%]]</f>
        <v>73.602835199999987</v>
      </c>
      <c r="L4521" s="282">
        <f>++Tabla4[[#This Row],[Precio Unitario Neto]]-Tabla4[[#This Row],[20.85%]]</f>
        <v>279.40836479999996</v>
      </c>
      <c r="M4521" s="282" t="e">
        <f>(INDEX(Tabla6[#All],MATCH(Tabla4[[#This Row],[Producto]],Tabla6[[#All],[PRODUCTO]],0),MATCH(Tabla4[[#This Row],[Mes]],Tabla6[#Headers],0)))*(1+Catalogos!$L$2)</f>
        <v>#N/A</v>
      </c>
      <c r="N4521" s="283" t="e">
        <f>+(Tabla4[[#This Row],[Precio Descontado]]-Tabla4[[#This Row],[Precio Base]])*Tabla4[[#This Row],[Cantidad]]</f>
        <v>#N/A</v>
      </c>
      <c r="O4521" s="284" t="e">
        <f>++Tabla4[[#This Row],[Utilidad Total]]/Tabla4[[#This Row],[Total]]</f>
        <v>#N/A</v>
      </c>
      <c r="P4521" s="282">
        <f>++Tabla4[[#This Row],[Precio Descontado]]*Tabla4[[#This Row],[Cantidad]]</f>
        <v>6705.800755199999</v>
      </c>
      <c r="Q4521" s="282" t="e">
        <f>(INDEX(Tabla6[#All],MATCH(Tabla4[[#This Row],[Producto]],Tabla6[[#All],[PRODUCTO]],0),MATCH(Tabla4[[#This Row],[Mes]],Tabla6[#Headers],0)))</f>
        <v>#N/A</v>
      </c>
      <c r="R4521" s="282" t="e">
        <f>++Tabla4[[#This Row],[Precio Unitario Neto]]-Tabla4[[#This Row],[20.85%]]-Tabla4[[#This Row],[Costo]]</f>
        <v>#N/A</v>
      </c>
      <c r="S4521" s="282" t="e">
        <f>++Tabla4[[#This Row],[U. Bruta Uni]]*Tabla4[[#This Row],[Cantidad]]</f>
        <v>#N/A</v>
      </c>
      <c r="T4521" s="369" t="str">
        <f>VLOOKUP(Tabla4[[#This Row],[Producto]],Tabla6[#All],14,FALSE)</f>
        <v>Termico Solar</v>
      </c>
      <c r="U4521" s="284" t="e">
        <f>(IF(Tabla4[[#This Row],[Familia]]="termico solar",Tabla4[[#This Row],[Utilidad Total]]*6%,Tabla4[[#This Row],[Utilidad Total]]*11.5%))/Tabla4[[#This Row],[Total]]</f>
        <v>#N/A</v>
      </c>
      <c r="V4521" s="282" t="e">
        <f>+Tabla4[[#This Row],[Comisión Calculada]]*Tabla4[[#This Row],[Total]]</f>
        <v>#N/A</v>
      </c>
    </row>
    <row r="4522" spans="1:22" hidden="1" x14ac:dyDescent="0.25">
      <c r="A4522" s="100">
        <v>45853</v>
      </c>
      <c r="B4522" t="str">
        <f t="shared" si="227"/>
        <v>July</v>
      </c>
      <c r="C4522" s="46" t="s">
        <v>280</v>
      </c>
      <c r="F4522" s="366" t="s">
        <v>2415</v>
      </c>
      <c r="G4522" s="46" t="s">
        <v>209</v>
      </c>
      <c r="H4522" s="46">
        <v>2</v>
      </c>
      <c r="I4522" s="51">
        <v>347.48</v>
      </c>
      <c r="J4522" s="281">
        <f>++Tabla4[[#This Row],[Precio Bruto]]*1.16</f>
        <v>403.07679999999999</v>
      </c>
      <c r="K4522" s="281">
        <f>+Tabla4[[#This Row],[Precio Unitario Neto]]*Tabla4[[#Headers],[20.85%]]</f>
        <v>84.041512799999992</v>
      </c>
      <c r="L4522" s="282">
        <f>++Tabla4[[#This Row],[Precio Unitario Neto]]-Tabla4[[#This Row],[20.85%]]</f>
        <v>319.03528719999997</v>
      </c>
      <c r="M4522" s="282" t="e">
        <f>(INDEX(Tabla6[#All],MATCH(Tabla4[[#This Row],[Producto]],Tabla6[[#All],[PRODUCTO]],0),MATCH(Tabla4[[#This Row],[Mes]],Tabla6[#Headers],0)))*(1+Catalogos!$L$2)</f>
        <v>#N/A</v>
      </c>
      <c r="N4522" s="283" t="e">
        <f>+(Tabla4[[#This Row],[Precio Descontado]]-Tabla4[[#This Row],[Precio Base]])*Tabla4[[#This Row],[Cantidad]]</f>
        <v>#N/A</v>
      </c>
      <c r="O4522" s="284" t="e">
        <f>++Tabla4[[#This Row],[Utilidad Total]]/Tabla4[[#This Row],[Total]]</f>
        <v>#N/A</v>
      </c>
      <c r="P4522" s="282">
        <f>++Tabla4[[#This Row],[Precio Descontado]]*Tabla4[[#This Row],[Cantidad]]</f>
        <v>638.07057439999994</v>
      </c>
      <c r="Q4522" s="282" t="e">
        <f>(INDEX(Tabla6[#All],MATCH(Tabla4[[#This Row],[Producto]],Tabla6[[#All],[PRODUCTO]],0),MATCH(Tabla4[[#This Row],[Mes]],Tabla6[#Headers],0)))</f>
        <v>#N/A</v>
      </c>
      <c r="R4522" s="282" t="e">
        <f>++Tabla4[[#This Row],[Precio Unitario Neto]]-Tabla4[[#This Row],[20.85%]]-Tabla4[[#This Row],[Costo]]</f>
        <v>#N/A</v>
      </c>
      <c r="S4522" s="282" t="e">
        <f>++Tabla4[[#This Row],[U. Bruta Uni]]*Tabla4[[#This Row],[Cantidad]]</f>
        <v>#N/A</v>
      </c>
      <c r="T4522" s="369" t="str">
        <f>VLOOKUP(Tabla4[[#This Row],[Producto]],Tabla6[#All],14,FALSE)</f>
        <v>Termico Solar</v>
      </c>
      <c r="U4522" s="284" t="e">
        <f>(IF(Tabla4[[#This Row],[Familia]]="termico solar",Tabla4[[#This Row],[Utilidad Total]]*6%,Tabla4[[#This Row],[Utilidad Total]]*11.5%))/Tabla4[[#This Row],[Total]]</f>
        <v>#N/A</v>
      </c>
      <c r="V4522" s="282" t="e">
        <f>+Tabla4[[#This Row],[Comisión Calculada]]*Tabla4[[#This Row],[Total]]</f>
        <v>#N/A</v>
      </c>
    </row>
    <row r="4523" spans="1:22" hidden="1" x14ac:dyDescent="0.25">
      <c r="A4523" s="100">
        <v>45853</v>
      </c>
      <c r="B4523" t="str">
        <f t="shared" ref="B4523:B4536" si="228">TEXT(A4523, "mmmm")</f>
        <v>July</v>
      </c>
      <c r="C4523" s="46" t="s">
        <v>280</v>
      </c>
      <c r="F4523" s="366" t="s">
        <v>2416</v>
      </c>
      <c r="G4523" s="46" t="s">
        <v>17</v>
      </c>
      <c r="H4523" s="46">
        <v>1</v>
      </c>
      <c r="I4523" s="51">
        <v>4622.28</v>
      </c>
      <c r="J4523" s="281">
        <f>++Tabla4[[#This Row],[Precio Bruto]]*1.16</f>
        <v>5361.8447999999989</v>
      </c>
      <c r="K4523" s="281">
        <f>+Tabla4[[#This Row],[Precio Unitario Neto]]*Tabla4[[#Headers],[20.85%]]</f>
        <v>1117.9446407999997</v>
      </c>
      <c r="L4523" s="282">
        <f>++Tabla4[[#This Row],[Precio Unitario Neto]]-Tabla4[[#This Row],[20.85%]]</f>
        <v>4243.9001591999995</v>
      </c>
      <c r="M4523" s="282" t="e">
        <f>(INDEX(Tabla6[#All],MATCH(Tabla4[[#This Row],[Producto]],Tabla6[[#All],[PRODUCTO]],0),MATCH(Tabla4[[#This Row],[Mes]],Tabla6[#Headers],0)))*(1+Catalogos!$L$2)</f>
        <v>#N/A</v>
      </c>
      <c r="N4523" s="283" t="e">
        <f>+(Tabla4[[#This Row],[Precio Descontado]]-Tabla4[[#This Row],[Precio Base]])*Tabla4[[#This Row],[Cantidad]]</f>
        <v>#N/A</v>
      </c>
      <c r="O4523" s="284" t="e">
        <f>++Tabla4[[#This Row],[Utilidad Total]]/Tabla4[[#This Row],[Total]]</f>
        <v>#N/A</v>
      </c>
      <c r="P4523" s="282">
        <f>++Tabla4[[#This Row],[Precio Descontado]]*Tabla4[[#This Row],[Cantidad]]</f>
        <v>4243.9001591999995</v>
      </c>
      <c r="Q4523" s="282" t="e">
        <f>(INDEX(Tabla6[#All],MATCH(Tabla4[[#This Row],[Producto]],Tabla6[[#All],[PRODUCTO]],0),MATCH(Tabla4[[#This Row],[Mes]],Tabla6[#Headers],0)))</f>
        <v>#N/A</v>
      </c>
      <c r="R4523" s="282" t="e">
        <f>++Tabla4[[#This Row],[Precio Unitario Neto]]-Tabla4[[#This Row],[20.85%]]-Tabla4[[#This Row],[Costo]]</f>
        <v>#N/A</v>
      </c>
      <c r="S4523" s="282" t="e">
        <f>++Tabla4[[#This Row],[U. Bruta Uni]]*Tabla4[[#This Row],[Cantidad]]</f>
        <v>#N/A</v>
      </c>
      <c r="T4523" s="369" t="str">
        <f>VLOOKUP(Tabla4[[#This Row],[Producto]],Tabla6[#All],14,FALSE)</f>
        <v>Termico Solar</v>
      </c>
      <c r="U4523" s="284" t="e">
        <f>(IF(Tabla4[[#This Row],[Familia]]="termico solar",Tabla4[[#This Row],[Utilidad Total]]*6%,Tabla4[[#This Row],[Utilidad Total]]*11.5%))/Tabla4[[#This Row],[Total]]</f>
        <v>#N/A</v>
      </c>
      <c r="V4523" s="282" t="e">
        <f>+Tabla4[[#This Row],[Comisión Calculada]]*Tabla4[[#This Row],[Total]]</f>
        <v>#N/A</v>
      </c>
    </row>
    <row r="4524" spans="1:22" hidden="1" x14ac:dyDescent="0.25">
      <c r="A4524" s="100">
        <v>45853</v>
      </c>
      <c r="B4524" t="str">
        <f t="shared" si="228"/>
        <v>July</v>
      </c>
      <c r="C4524" s="46" t="s">
        <v>280</v>
      </c>
      <c r="F4524" s="366" t="s">
        <v>2416</v>
      </c>
      <c r="G4524" s="46" t="s">
        <v>200</v>
      </c>
      <c r="H4524" s="46">
        <v>12</v>
      </c>
      <c r="I4524" s="51">
        <v>393.22</v>
      </c>
      <c r="J4524" s="281">
        <f>++Tabla4[[#This Row],[Precio Bruto]]*1.16</f>
        <v>456.1352</v>
      </c>
      <c r="K4524" s="281">
        <f>+Tabla4[[#This Row],[Precio Unitario Neto]]*Tabla4[[#Headers],[20.85%]]</f>
        <v>95.104189199999993</v>
      </c>
      <c r="L4524" s="282">
        <f>++Tabla4[[#This Row],[Precio Unitario Neto]]-Tabla4[[#This Row],[20.85%]]</f>
        <v>361.03101079999999</v>
      </c>
      <c r="M4524" s="282" t="e">
        <f>(INDEX(Tabla6[#All],MATCH(Tabla4[[#This Row],[Producto]],Tabla6[[#All],[PRODUCTO]],0),MATCH(Tabla4[[#This Row],[Mes]],Tabla6[#Headers],0)))*(1+Catalogos!$L$2)</f>
        <v>#N/A</v>
      </c>
      <c r="N4524" s="283" t="e">
        <f>+(Tabla4[[#This Row],[Precio Descontado]]-Tabla4[[#This Row],[Precio Base]])*Tabla4[[#This Row],[Cantidad]]</f>
        <v>#N/A</v>
      </c>
      <c r="O4524" s="284" t="e">
        <f>++Tabla4[[#This Row],[Utilidad Total]]/Tabla4[[#This Row],[Total]]</f>
        <v>#N/A</v>
      </c>
      <c r="P4524" s="282">
        <f>++Tabla4[[#This Row],[Precio Descontado]]*Tabla4[[#This Row],[Cantidad]]</f>
        <v>4332.3721296000003</v>
      </c>
      <c r="Q4524" s="282" t="e">
        <f>(INDEX(Tabla6[#All],MATCH(Tabla4[[#This Row],[Producto]],Tabla6[[#All],[PRODUCTO]],0),MATCH(Tabla4[[#This Row],[Mes]],Tabla6[#Headers],0)))</f>
        <v>#N/A</v>
      </c>
      <c r="R4524" s="282" t="e">
        <f>++Tabla4[[#This Row],[Precio Unitario Neto]]-Tabla4[[#This Row],[20.85%]]-Tabla4[[#This Row],[Costo]]</f>
        <v>#N/A</v>
      </c>
      <c r="S4524" s="282" t="e">
        <f>++Tabla4[[#This Row],[U. Bruta Uni]]*Tabla4[[#This Row],[Cantidad]]</f>
        <v>#N/A</v>
      </c>
      <c r="T4524" s="369" t="str">
        <f>VLOOKUP(Tabla4[[#This Row],[Producto]],Tabla6[#All],14,FALSE)</f>
        <v>Termico Solar</v>
      </c>
      <c r="U4524" s="284" t="e">
        <f>(IF(Tabla4[[#This Row],[Familia]]="termico solar",Tabla4[[#This Row],[Utilidad Total]]*6%,Tabla4[[#This Row],[Utilidad Total]]*11.5%))/Tabla4[[#This Row],[Total]]</f>
        <v>#N/A</v>
      </c>
      <c r="V4524" s="282" t="e">
        <f>+Tabla4[[#This Row],[Comisión Calculada]]*Tabla4[[#This Row],[Total]]</f>
        <v>#N/A</v>
      </c>
    </row>
    <row r="4525" spans="1:22" hidden="1" x14ac:dyDescent="0.25">
      <c r="A4525" s="100">
        <v>45853</v>
      </c>
      <c r="B4525" t="str">
        <f t="shared" si="228"/>
        <v>July</v>
      </c>
      <c r="C4525" s="46" t="s">
        <v>280</v>
      </c>
      <c r="F4525" s="366" t="s">
        <v>2416</v>
      </c>
      <c r="G4525" s="46" t="s">
        <v>545</v>
      </c>
      <c r="H4525" s="46">
        <v>24</v>
      </c>
      <c r="I4525" s="51">
        <v>304.32</v>
      </c>
      <c r="J4525" s="281">
        <f>++Tabla4[[#This Row],[Precio Bruto]]*1.16</f>
        <v>353.01119999999997</v>
      </c>
      <c r="K4525" s="281">
        <f>+Tabla4[[#This Row],[Precio Unitario Neto]]*Tabla4[[#Headers],[20.85%]]</f>
        <v>73.602835199999987</v>
      </c>
      <c r="L4525" s="282">
        <f>++Tabla4[[#This Row],[Precio Unitario Neto]]-Tabla4[[#This Row],[20.85%]]</f>
        <v>279.40836479999996</v>
      </c>
      <c r="M4525" s="282" t="e">
        <f>(INDEX(Tabla6[#All],MATCH(Tabla4[[#This Row],[Producto]],Tabla6[[#All],[PRODUCTO]],0),MATCH(Tabla4[[#This Row],[Mes]],Tabla6[#Headers],0)))*(1+Catalogos!$L$2)</f>
        <v>#N/A</v>
      </c>
      <c r="N4525" s="283" t="e">
        <f>+(Tabla4[[#This Row],[Precio Descontado]]-Tabla4[[#This Row],[Precio Base]])*Tabla4[[#This Row],[Cantidad]]</f>
        <v>#N/A</v>
      </c>
      <c r="O4525" s="284" t="e">
        <f>++Tabla4[[#This Row],[Utilidad Total]]/Tabla4[[#This Row],[Total]]</f>
        <v>#N/A</v>
      </c>
      <c r="P4525" s="282">
        <f>++Tabla4[[#This Row],[Precio Descontado]]*Tabla4[[#This Row],[Cantidad]]</f>
        <v>6705.800755199999</v>
      </c>
      <c r="Q4525" s="282" t="e">
        <f>(INDEX(Tabla6[#All],MATCH(Tabla4[[#This Row],[Producto]],Tabla6[[#All],[PRODUCTO]],0),MATCH(Tabla4[[#This Row],[Mes]],Tabla6[#Headers],0)))</f>
        <v>#N/A</v>
      </c>
      <c r="R4525" s="282" t="e">
        <f>++Tabla4[[#This Row],[Precio Unitario Neto]]-Tabla4[[#This Row],[20.85%]]-Tabla4[[#This Row],[Costo]]</f>
        <v>#N/A</v>
      </c>
      <c r="S4525" s="282" t="e">
        <f>++Tabla4[[#This Row],[U. Bruta Uni]]*Tabla4[[#This Row],[Cantidad]]</f>
        <v>#N/A</v>
      </c>
      <c r="T4525" s="369" t="str">
        <f>VLOOKUP(Tabla4[[#This Row],[Producto]],Tabla6[#All],14,FALSE)</f>
        <v>Termico Solar</v>
      </c>
      <c r="U4525" s="284" t="e">
        <f>(IF(Tabla4[[#This Row],[Familia]]="termico solar",Tabla4[[#This Row],[Utilidad Total]]*6%,Tabla4[[#This Row],[Utilidad Total]]*11.5%))/Tabla4[[#This Row],[Total]]</f>
        <v>#N/A</v>
      </c>
      <c r="V4525" s="282" t="e">
        <f>+Tabla4[[#This Row],[Comisión Calculada]]*Tabla4[[#This Row],[Total]]</f>
        <v>#N/A</v>
      </c>
    </row>
    <row r="4526" spans="1:22" hidden="1" x14ac:dyDescent="0.25">
      <c r="A4526" s="100">
        <v>45853</v>
      </c>
      <c r="B4526" t="str">
        <f t="shared" si="228"/>
        <v>July</v>
      </c>
      <c r="C4526" s="46" t="s">
        <v>280</v>
      </c>
      <c r="F4526" s="366" t="s">
        <v>2416</v>
      </c>
      <c r="G4526" s="46" t="s">
        <v>209</v>
      </c>
      <c r="H4526" s="46">
        <v>2</v>
      </c>
      <c r="I4526" s="51">
        <v>347.48</v>
      </c>
      <c r="J4526" s="281">
        <f>++Tabla4[[#This Row],[Precio Bruto]]*1.16</f>
        <v>403.07679999999999</v>
      </c>
      <c r="K4526" s="281">
        <f>+Tabla4[[#This Row],[Precio Unitario Neto]]*Tabla4[[#Headers],[20.85%]]</f>
        <v>84.041512799999992</v>
      </c>
      <c r="L4526" s="282">
        <f>++Tabla4[[#This Row],[Precio Unitario Neto]]-Tabla4[[#This Row],[20.85%]]</f>
        <v>319.03528719999997</v>
      </c>
      <c r="M4526" s="282" t="e">
        <f>(INDEX(Tabla6[#All],MATCH(Tabla4[[#This Row],[Producto]],Tabla6[[#All],[PRODUCTO]],0),MATCH(Tabla4[[#This Row],[Mes]],Tabla6[#Headers],0)))*(1+Catalogos!$L$2)</f>
        <v>#N/A</v>
      </c>
      <c r="N4526" s="283" t="e">
        <f>+(Tabla4[[#This Row],[Precio Descontado]]-Tabla4[[#This Row],[Precio Base]])*Tabla4[[#This Row],[Cantidad]]</f>
        <v>#N/A</v>
      </c>
      <c r="O4526" s="284" t="e">
        <f>++Tabla4[[#This Row],[Utilidad Total]]/Tabla4[[#This Row],[Total]]</f>
        <v>#N/A</v>
      </c>
      <c r="P4526" s="282">
        <f>++Tabla4[[#This Row],[Precio Descontado]]*Tabla4[[#This Row],[Cantidad]]</f>
        <v>638.07057439999994</v>
      </c>
      <c r="Q4526" s="282" t="e">
        <f>(INDEX(Tabla6[#All],MATCH(Tabla4[[#This Row],[Producto]],Tabla6[[#All],[PRODUCTO]],0),MATCH(Tabla4[[#This Row],[Mes]],Tabla6[#Headers],0)))</f>
        <v>#N/A</v>
      </c>
      <c r="R4526" s="282" t="e">
        <f>++Tabla4[[#This Row],[Precio Unitario Neto]]-Tabla4[[#This Row],[20.85%]]-Tabla4[[#This Row],[Costo]]</f>
        <v>#N/A</v>
      </c>
      <c r="S4526" s="282" t="e">
        <f>++Tabla4[[#This Row],[U. Bruta Uni]]*Tabla4[[#This Row],[Cantidad]]</f>
        <v>#N/A</v>
      </c>
      <c r="T4526" s="369" t="str">
        <f>VLOOKUP(Tabla4[[#This Row],[Producto]],Tabla6[#All],14,FALSE)</f>
        <v>Termico Solar</v>
      </c>
      <c r="U4526" s="284" t="e">
        <f>(IF(Tabla4[[#This Row],[Familia]]="termico solar",Tabla4[[#This Row],[Utilidad Total]]*6%,Tabla4[[#This Row],[Utilidad Total]]*11.5%))/Tabla4[[#This Row],[Total]]</f>
        <v>#N/A</v>
      </c>
      <c r="V4526" s="282" t="e">
        <f>+Tabla4[[#This Row],[Comisión Calculada]]*Tabla4[[#This Row],[Total]]</f>
        <v>#N/A</v>
      </c>
    </row>
    <row r="4527" spans="1:22" hidden="1" x14ac:dyDescent="0.25">
      <c r="A4527" s="100">
        <v>45853</v>
      </c>
      <c r="B4527" t="str">
        <f t="shared" si="228"/>
        <v>July</v>
      </c>
      <c r="C4527" s="46" t="s">
        <v>280</v>
      </c>
      <c r="F4527" s="366" t="s">
        <v>2417</v>
      </c>
      <c r="G4527" s="46" t="s">
        <v>17</v>
      </c>
      <c r="H4527" s="46">
        <v>5</v>
      </c>
      <c r="I4527" s="51">
        <v>4622.2800000000007</v>
      </c>
      <c r="J4527" s="281">
        <f>++Tabla4[[#This Row],[Precio Bruto]]*1.16</f>
        <v>5361.8448000000008</v>
      </c>
      <c r="K4527" s="281">
        <f>+Tabla4[[#This Row],[Precio Unitario Neto]]*Tabla4[[#Headers],[20.85%]]</f>
        <v>1117.9446408000001</v>
      </c>
      <c r="L4527" s="282">
        <f>++Tabla4[[#This Row],[Precio Unitario Neto]]-Tabla4[[#This Row],[20.85%]]</f>
        <v>4243.9001592000004</v>
      </c>
      <c r="M4527" s="282" t="e">
        <f>(INDEX(Tabla6[#All],MATCH(Tabla4[[#This Row],[Producto]],Tabla6[[#All],[PRODUCTO]],0),MATCH(Tabla4[[#This Row],[Mes]],Tabla6[#Headers],0)))*(1+Catalogos!$L$2)</f>
        <v>#N/A</v>
      </c>
      <c r="N4527" s="283" t="e">
        <f>+(Tabla4[[#This Row],[Precio Descontado]]-Tabla4[[#This Row],[Precio Base]])*Tabla4[[#This Row],[Cantidad]]</f>
        <v>#N/A</v>
      </c>
      <c r="O4527" s="284" t="e">
        <f>++Tabla4[[#This Row],[Utilidad Total]]/Tabla4[[#This Row],[Total]]</f>
        <v>#N/A</v>
      </c>
      <c r="P4527" s="282">
        <f>++Tabla4[[#This Row],[Precio Descontado]]*Tabla4[[#This Row],[Cantidad]]</f>
        <v>21219.500796</v>
      </c>
      <c r="Q4527" s="282" t="e">
        <f>(INDEX(Tabla6[#All],MATCH(Tabla4[[#This Row],[Producto]],Tabla6[[#All],[PRODUCTO]],0),MATCH(Tabla4[[#This Row],[Mes]],Tabla6[#Headers],0)))</f>
        <v>#N/A</v>
      </c>
      <c r="R4527" s="282" t="e">
        <f>++Tabla4[[#This Row],[Precio Unitario Neto]]-Tabla4[[#This Row],[20.85%]]-Tabla4[[#This Row],[Costo]]</f>
        <v>#N/A</v>
      </c>
      <c r="S4527" s="282" t="e">
        <f>++Tabla4[[#This Row],[U. Bruta Uni]]*Tabla4[[#This Row],[Cantidad]]</f>
        <v>#N/A</v>
      </c>
      <c r="T4527" s="369" t="str">
        <f>VLOOKUP(Tabla4[[#This Row],[Producto]],Tabla6[#All],14,FALSE)</f>
        <v>Termico Solar</v>
      </c>
      <c r="U4527" s="284" t="e">
        <f>(IF(Tabla4[[#This Row],[Familia]]="termico solar",Tabla4[[#This Row],[Utilidad Total]]*6%,Tabla4[[#This Row],[Utilidad Total]]*11.5%))/Tabla4[[#This Row],[Total]]</f>
        <v>#N/A</v>
      </c>
      <c r="V4527" s="282" t="e">
        <f>+Tabla4[[#This Row],[Comisión Calculada]]*Tabla4[[#This Row],[Total]]</f>
        <v>#N/A</v>
      </c>
    </row>
    <row r="4528" spans="1:22" hidden="1" x14ac:dyDescent="0.25">
      <c r="A4528" s="100">
        <v>45853</v>
      </c>
      <c r="B4528" t="str">
        <f t="shared" si="228"/>
        <v>July</v>
      </c>
      <c r="C4528" s="46" t="s">
        <v>280</v>
      </c>
      <c r="F4528" s="366" t="s">
        <v>2417</v>
      </c>
      <c r="G4528" s="46" t="s">
        <v>566</v>
      </c>
      <c r="H4528" s="46">
        <v>1</v>
      </c>
      <c r="I4528" s="51">
        <v>2109.4499999999998</v>
      </c>
      <c r="J4528" s="281">
        <f>++Tabla4[[#This Row],[Precio Bruto]]*1.16</f>
        <v>2446.9619999999995</v>
      </c>
      <c r="K4528" s="281">
        <f>+Tabla4[[#This Row],[Precio Unitario Neto]]*Tabla4[[#Headers],[20.85%]]</f>
        <v>510.19157699999988</v>
      </c>
      <c r="L4528" s="282">
        <f>++Tabla4[[#This Row],[Precio Unitario Neto]]-Tabla4[[#This Row],[20.85%]]</f>
        <v>1936.7704229999997</v>
      </c>
      <c r="M4528" s="282" t="e">
        <f>(INDEX(Tabla6[#All],MATCH(Tabla4[[#This Row],[Producto]],Tabla6[[#All],[PRODUCTO]],0),MATCH(Tabla4[[#This Row],[Mes]],Tabla6[#Headers],0)))*(1+Catalogos!$L$2)</f>
        <v>#N/A</v>
      </c>
      <c r="N4528" s="283" t="e">
        <f>+(Tabla4[[#This Row],[Precio Descontado]]-Tabla4[[#This Row],[Precio Base]])*Tabla4[[#This Row],[Cantidad]]</f>
        <v>#N/A</v>
      </c>
      <c r="O4528" s="284" t="e">
        <f>++Tabla4[[#This Row],[Utilidad Total]]/Tabla4[[#This Row],[Total]]</f>
        <v>#N/A</v>
      </c>
      <c r="P4528" s="282">
        <f>++Tabla4[[#This Row],[Precio Descontado]]*Tabla4[[#This Row],[Cantidad]]</f>
        <v>1936.7704229999997</v>
      </c>
      <c r="Q4528" s="282" t="e">
        <f>(INDEX(Tabla6[#All],MATCH(Tabla4[[#This Row],[Producto]],Tabla6[[#All],[PRODUCTO]],0),MATCH(Tabla4[[#This Row],[Mes]],Tabla6[#Headers],0)))</f>
        <v>#N/A</v>
      </c>
      <c r="R4528" s="282" t="e">
        <f>++Tabla4[[#This Row],[Precio Unitario Neto]]-Tabla4[[#This Row],[20.85%]]-Tabla4[[#This Row],[Costo]]</f>
        <v>#N/A</v>
      </c>
      <c r="S4528" s="282" t="e">
        <f>++Tabla4[[#This Row],[U. Bruta Uni]]*Tabla4[[#This Row],[Cantidad]]</f>
        <v>#N/A</v>
      </c>
      <c r="T4528" s="369" t="str">
        <f>VLOOKUP(Tabla4[[#This Row],[Producto]],Tabla6[#All],14,FALSE)</f>
        <v>Termico Solar</v>
      </c>
      <c r="U4528" s="284" t="e">
        <f>(IF(Tabla4[[#This Row],[Familia]]="termico solar",Tabla4[[#This Row],[Utilidad Total]]*6%,Tabla4[[#This Row],[Utilidad Total]]*11.5%))/Tabla4[[#This Row],[Total]]</f>
        <v>#N/A</v>
      </c>
      <c r="V4528" s="282" t="e">
        <f>+Tabla4[[#This Row],[Comisión Calculada]]*Tabla4[[#This Row],[Total]]</f>
        <v>#N/A</v>
      </c>
    </row>
    <row r="4529" spans="1:22" hidden="1" x14ac:dyDescent="0.25">
      <c r="A4529" s="100">
        <v>45853</v>
      </c>
      <c r="B4529" t="str">
        <f t="shared" si="228"/>
        <v>July</v>
      </c>
      <c r="C4529" s="46" t="s">
        <v>280</v>
      </c>
      <c r="F4529" s="366" t="s">
        <v>2417</v>
      </c>
      <c r="G4529" s="46" t="s">
        <v>200</v>
      </c>
      <c r="H4529" s="46">
        <v>12</v>
      </c>
      <c r="I4529" s="51">
        <v>393.22</v>
      </c>
      <c r="J4529" s="281">
        <f>++Tabla4[[#This Row],[Precio Bruto]]*1.16</f>
        <v>456.1352</v>
      </c>
      <c r="K4529" s="281">
        <f>+Tabla4[[#This Row],[Precio Unitario Neto]]*Tabla4[[#Headers],[20.85%]]</f>
        <v>95.104189199999993</v>
      </c>
      <c r="L4529" s="282">
        <f>++Tabla4[[#This Row],[Precio Unitario Neto]]-Tabla4[[#This Row],[20.85%]]</f>
        <v>361.03101079999999</v>
      </c>
      <c r="M4529" s="282" t="e">
        <f>(INDEX(Tabla6[#All],MATCH(Tabla4[[#This Row],[Producto]],Tabla6[[#All],[PRODUCTO]],0),MATCH(Tabla4[[#This Row],[Mes]],Tabla6[#Headers],0)))*(1+Catalogos!$L$2)</f>
        <v>#N/A</v>
      </c>
      <c r="N4529" s="283" t="e">
        <f>+(Tabla4[[#This Row],[Precio Descontado]]-Tabla4[[#This Row],[Precio Base]])*Tabla4[[#This Row],[Cantidad]]</f>
        <v>#N/A</v>
      </c>
      <c r="O4529" s="284" t="e">
        <f>++Tabla4[[#This Row],[Utilidad Total]]/Tabla4[[#This Row],[Total]]</f>
        <v>#N/A</v>
      </c>
      <c r="P4529" s="282">
        <f>++Tabla4[[#This Row],[Precio Descontado]]*Tabla4[[#This Row],[Cantidad]]</f>
        <v>4332.3721296000003</v>
      </c>
      <c r="Q4529" s="282" t="e">
        <f>(INDEX(Tabla6[#All],MATCH(Tabla4[[#This Row],[Producto]],Tabla6[[#All],[PRODUCTO]],0),MATCH(Tabla4[[#This Row],[Mes]],Tabla6[#Headers],0)))</f>
        <v>#N/A</v>
      </c>
      <c r="R4529" s="282" t="e">
        <f>++Tabla4[[#This Row],[Precio Unitario Neto]]-Tabla4[[#This Row],[20.85%]]-Tabla4[[#This Row],[Costo]]</f>
        <v>#N/A</v>
      </c>
      <c r="S4529" s="282" t="e">
        <f>++Tabla4[[#This Row],[U. Bruta Uni]]*Tabla4[[#This Row],[Cantidad]]</f>
        <v>#N/A</v>
      </c>
      <c r="T4529" s="369" t="str">
        <f>VLOOKUP(Tabla4[[#This Row],[Producto]],Tabla6[#All],14,FALSE)</f>
        <v>Termico Solar</v>
      </c>
      <c r="U4529" s="284" t="e">
        <f>(IF(Tabla4[[#This Row],[Familia]]="termico solar",Tabla4[[#This Row],[Utilidad Total]]*6%,Tabla4[[#This Row],[Utilidad Total]]*11.5%))/Tabla4[[#This Row],[Total]]</f>
        <v>#N/A</v>
      </c>
      <c r="V4529" s="282" t="e">
        <f>+Tabla4[[#This Row],[Comisión Calculada]]*Tabla4[[#This Row],[Total]]</f>
        <v>#N/A</v>
      </c>
    </row>
    <row r="4530" spans="1:22" hidden="1" x14ac:dyDescent="0.25">
      <c r="A4530" s="100">
        <v>45853</v>
      </c>
      <c r="B4530" t="str">
        <f t="shared" si="228"/>
        <v>July</v>
      </c>
      <c r="C4530" s="46" t="s">
        <v>280</v>
      </c>
      <c r="F4530" s="366" t="s">
        <v>2417</v>
      </c>
      <c r="G4530" s="46" t="s">
        <v>545</v>
      </c>
      <c r="H4530" s="46">
        <v>24</v>
      </c>
      <c r="I4530" s="51">
        <v>304.32</v>
      </c>
      <c r="J4530" s="281">
        <f>++Tabla4[[#This Row],[Precio Bruto]]*1.16</f>
        <v>353.01119999999997</v>
      </c>
      <c r="K4530" s="281">
        <f>+Tabla4[[#This Row],[Precio Unitario Neto]]*Tabla4[[#Headers],[20.85%]]</f>
        <v>73.602835199999987</v>
      </c>
      <c r="L4530" s="282">
        <f>++Tabla4[[#This Row],[Precio Unitario Neto]]-Tabla4[[#This Row],[20.85%]]</f>
        <v>279.40836479999996</v>
      </c>
      <c r="M4530" s="282" t="e">
        <f>(INDEX(Tabla6[#All],MATCH(Tabla4[[#This Row],[Producto]],Tabla6[[#All],[PRODUCTO]],0),MATCH(Tabla4[[#This Row],[Mes]],Tabla6[#Headers],0)))*(1+Catalogos!$L$2)</f>
        <v>#N/A</v>
      </c>
      <c r="N4530" s="283" t="e">
        <f>+(Tabla4[[#This Row],[Precio Descontado]]-Tabla4[[#This Row],[Precio Base]])*Tabla4[[#This Row],[Cantidad]]</f>
        <v>#N/A</v>
      </c>
      <c r="O4530" s="284" t="e">
        <f>++Tabla4[[#This Row],[Utilidad Total]]/Tabla4[[#This Row],[Total]]</f>
        <v>#N/A</v>
      </c>
      <c r="P4530" s="282">
        <f>++Tabla4[[#This Row],[Precio Descontado]]*Tabla4[[#This Row],[Cantidad]]</f>
        <v>6705.800755199999</v>
      </c>
      <c r="Q4530" s="282" t="e">
        <f>(INDEX(Tabla6[#All],MATCH(Tabla4[[#This Row],[Producto]],Tabla6[[#All],[PRODUCTO]],0),MATCH(Tabla4[[#This Row],[Mes]],Tabla6[#Headers],0)))</f>
        <v>#N/A</v>
      </c>
      <c r="R4530" s="282" t="e">
        <f>++Tabla4[[#This Row],[Precio Unitario Neto]]-Tabla4[[#This Row],[20.85%]]-Tabla4[[#This Row],[Costo]]</f>
        <v>#N/A</v>
      </c>
      <c r="S4530" s="282" t="e">
        <f>++Tabla4[[#This Row],[U. Bruta Uni]]*Tabla4[[#This Row],[Cantidad]]</f>
        <v>#N/A</v>
      </c>
      <c r="T4530" s="369" t="str">
        <f>VLOOKUP(Tabla4[[#This Row],[Producto]],Tabla6[#All],14,FALSE)</f>
        <v>Termico Solar</v>
      </c>
      <c r="U4530" s="284" t="e">
        <f>(IF(Tabla4[[#This Row],[Familia]]="termico solar",Tabla4[[#This Row],[Utilidad Total]]*6%,Tabla4[[#This Row],[Utilidad Total]]*11.5%))/Tabla4[[#This Row],[Total]]</f>
        <v>#N/A</v>
      </c>
      <c r="V4530" s="282" t="e">
        <f>+Tabla4[[#This Row],[Comisión Calculada]]*Tabla4[[#This Row],[Total]]</f>
        <v>#N/A</v>
      </c>
    </row>
    <row r="4531" spans="1:22" hidden="1" x14ac:dyDescent="0.25">
      <c r="A4531" s="100">
        <v>45853</v>
      </c>
      <c r="B4531" t="str">
        <f t="shared" si="228"/>
        <v>July</v>
      </c>
      <c r="C4531" s="46" t="s">
        <v>280</v>
      </c>
      <c r="F4531" s="366" t="s">
        <v>2417</v>
      </c>
      <c r="G4531" s="46" t="s">
        <v>209</v>
      </c>
      <c r="H4531" s="46">
        <v>2</v>
      </c>
      <c r="I4531" s="51">
        <v>347.48</v>
      </c>
      <c r="J4531" s="281">
        <f>++Tabla4[[#This Row],[Precio Bruto]]*1.16</f>
        <v>403.07679999999999</v>
      </c>
      <c r="K4531" s="281">
        <f>+Tabla4[[#This Row],[Precio Unitario Neto]]*Tabla4[[#Headers],[20.85%]]</f>
        <v>84.041512799999992</v>
      </c>
      <c r="L4531" s="282">
        <f>++Tabla4[[#This Row],[Precio Unitario Neto]]-Tabla4[[#This Row],[20.85%]]</f>
        <v>319.03528719999997</v>
      </c>
      <c r="M4531" s="282" t="e">
        <f>(INDEX(Tabla6[#All],MATCH(Tabla4[[#This Row],[Producto]],Tabla6[[#All],[PRODUCTO]],0),MATCH(Tabla4[[#This Row],[Mes]],Tabla6[#Headers],0)))*(1+Catalogos!$L$2)</f>
        <v>#N/A</v>
      </c>
      <c r="N4531" s="283" t="e">
        <f>+(Tabla4[[#This Row],[Precio Descontado]]-Tabla4[[#This Row],[Precio Base]])*Tabla4[[#This Row],[Cantidad]]</f>
        <v>#N/A</v>
      </c>
      <c r="O4531" s="284" t="e">
        <f>++Tabla4[[#This Row],[Utilidad Total]]/Tabla4[[#This Row],[Total]]</f>
        <v>#N/A</v>
      </c>
      <c r="P4531" s="282">
        <f>++Tabla4[[#This Row],[Precio Descontado]]*Tabla4[[#This Row],[Cantidad]]</f>
        <v>638.07057439999994</v>
      </c>
      <c r="Q4531" s="282" t="e">
        <f>(INDEX(Tabla6[#All],MATCH(Tabla4[[#This Row],[Producto]],Tabla6[[#All],[PRODUCTO]],0),MATCH(Tabla4[[#This Row],[Mes]],Tabla6[#Headers],0)))</f>
        <v>#N/A</v>
      </c>
      <c r="R4531" s="282" t="e">
        <f>++Tabla4[[#This Row],[Precio Unitario Neto]]-Tabla4[[#This Row],[20.85%]]-Tabla4[[#This Row],[Costo]]</f>
        <v>#N/A</v>
      </c>
      <c r="S4531" s="282" t="e">
        <f>++Tabla4[[#This Row],[U. Bruta Uni]]*Tabla4[[#This Row],[Cantidad]]</f>
        <v>#N/A</v>
      </c>
      <c r="T4531" s="369" t="str">
        <f>VLOOKUP(Tabla4[[#This Row],[Producto]],Tabla6[#All],14,FALSE)</f>
        <v>Termico Solar</v>
      </c>
      <c r="U4531" s="284" t="e">
        <f>(IF(Tabla4[[#This Row],[Familia]]="termico solar",Tabla4[[#This Row],[Utilidad Total]]*6%,Tabla4[[#This Row],[Utilidad Total]]*11.5%))/Tabla4[[#This Row],[Total]]</f>
        <v>#N/A</v>
      </c>
      <c r="V4531" s="282" t="e">
        <f>+Tabla4[[#This Row],[Comisión Calculada]]*Tabla4[[#This Row],[Total]]</f>
        <v>#N/A</v>
      </c>
    </row>
    <row r="4532" spans="1:22" hidden="1" x14ac:dyDescent="0.25">
      <c r="A4532" s="100">
        <v>45853</v>
      </c>
      <c r="B4532" t="str">
        <f t="shared" si="228"/>
        <v>July</v>
      </c>
      <c r="C4532" s="46" t="s">
        <v>280</v>
      </c>
      <c r="F4532" s="366" t="s">
        <v>2418</v>
      </c>
      <c r="G4532" s="46" t="s">
        <v>18</v>
      </c>
      <c r="H4532" s="46">
        <v>4</v>
      </c>
      <c r="I4532" s="51">
        <v>5367.65</v>
      </c>
      <c r="J4532" s="281">
        <f>++Tabla4[[#This Row],[Precio Bruto]]*1.16</f>
        <v>6226.4739999999993</v>
      </c>
      <c r="K4532" s="281">
        <f>+Tabla4[[#This Row],[Precio Unitario Neto]]*Tabla4[[#Headers],[20.85%]]</f>
        <v>1298.2198289999999</v>
      </c>
      <c r="L4532" s="282">
        <f>++Tabla4[[#This Row],[Precio Unitario Neto]]-Tabla4[[#This Row],[20.85%]]</f>
        <v>4928.2541709999996</v>
      </c>
      <c r="M4532" s="282" t="e">
        <f>(INDEX(Tabla6[#All],MATCH(Tabla4[[#This Row],[Producto]],Tabla6[[#All],[PRODUCTO]],0),MATCH(Tabla4[[#This Row],[Mes]],Tabla6[#Headers],0)))*(1+Catalogos!$L$2)</f>
        <v>#N/A</v>
      </c>
      <c r="N4532" s="283" t="e">
        <f>+(Tabla4[[#This Row],[Precio Descontado]]-Tabla4[[#This Row],[Precio Base]])*Tabla4[[#This Row],[Cantidad]]</f>
        <v>#N/A</v>
      </c>
      <c r="O4532" s="284" t="e">
        <f>++Tabla4[[#This Row],[Utilidad Total]]/Tabla4[[#This Row],[Total]]</f>
        <v>#N/A</v>
      </c>
      <c r="P4532" s="282">
        <f>++Tabla4[[#This Row],[Precio Descontado]]*Tabla4[[#This Row],[Cantidad]]</f>
        <v>19713.016683999998</v>
      </c>
      <c r="Q4532" s="282" t="e">
        <f>(INDEX(Tabla6[#All],MATCH(Tabla4[[#This Row],[Producto]],Tabla6[[#All],[PRODUCTO]],0),MATCH(Tabla4[[#This Row],[Mes]],Tabla6[#Headers],0)))</f>
        <v>#N/A</v>
      </c>
      <c r="R4532" s="282" t="e">
        <f>++Tabla4[[#This Row],[Precio Unitario Neto]]-Tabla4[[#This Row],[20.85%]]-Tabla4[[#This Row],[Costo]]</f>
        <v>#N/A</v>
      </c>
      <c r="S4532" s="282" t="e">
        <f>++Tabla4[[#This Row],[U. Bruta Uni]]*Tabla4[[#This Row],[Cantidad]]</f>
        <v>#N/A</v>
      </c>
      <c r="T4532" s="369" t="str">
        <f>VLOOKUP(Tabla4[[#This Row],[Producto]],Tabla6[#All],14,FALSE)</f>
        <v>Termico Solar</v>
      </c>
      <c r="U4532" s="284" t="e">
        <f>(IF(Tabla4[[#This Row],[Familia]]="termico solar",Tabla4[[#This Row],[Utilidad Total]]*6%,Tabla4[[#This Row],[Utilidad Total]]*11.5%))/Tabla4[[#This Row],[Total]]</f>
        <v>#N/A</v>
      </c>
      <c r="V4532" s="282" t="e">
        <f>+Tabla4[[#This Row],[Comisión Calculada]]*Tabla4[[#This Row],[Total]]</f>
        <v>#N/A</v>
      </c>
    </row>
    <row r="4533" spans="1:22" hidden="1" x14ac:dyDescent="0.25">
      <c r="A4533" s="100">
        <v>45853</v>
      </c>
      <c r="B4533" t="str">
        <f t="shared" si="228"/>
        <v>July</v>
      </c>
      <c r="C4533" s="46" t="s">
        <v>280</v>
      </c>
      <c r="F4533" s="366" t="s">
        <v>2418</v>
      </c>
      <c r="G4533" s="46" t="s">
        <v>566</v>
      </c>
      <c r="H4533" s="46">
        <v>1</v>
      </c>
      <c r="I4533" s="51">
        <v>2109.4499999999998</v>
      </c>
      <c r="J4533" s="281">
        <f>++Tabla4[[#This Row],[Precio Bruto]]*1.16</f>
        <v>2446.9619999999995</v>
      </c>
      <c r="K4533" s="281">
        <f>+Tabla4[[#This Row],[Precio Unitario Neto]]*Tabla4[[#Headers],[20.85%]]</f>
        <v>510.19157699999988</v>
      </c>
      <c r="L4533" s="282">
        <f>++Tabla4[[#This Row],[Precio Unitario Neto]]-Tabla4[[#This Row],[20.85%]]</f>
        <v>1936.7704229999997</v>
      </c>
      <c r="M4533" s="282" t="e">
        <f>(INDEX(Tabla6[#All],MATCH(Tabla4[[#This Row],[Producto]],Tabla6[[#All],[PRODUCTO]],0),MATCH(Tabla4[[#This Row],[Mes]],Tabla6[#Headers],0)))*(1+Catalogos!$L$2)</f>
        <v>#N/A</v>
      </c>
      <c r="N4533" s="283" t="e">
        <f>+(Tabla4[[#This Row],[Precio Descontado]]-Tabla4[[#This Row],[Precio Base]])*Tabla4[[#This Row],[Cantidad]]</f>
        <v>#N/A</v>
      </c>
      <c r="O4533" s="284" t="e">
        <f>++Tabla4[[#This Row],[Utilidad Total]]/Tabla4[[#This Row],[Total]]</f>
        <v>#N/A</v>
      </c>
      <c r="P4533" s="282">
        <f>++Tabla4[[#This Row],[Precio Descontado]]*Tabla4[[#This Row],[Cantidad]]</f>
        <v>1936.7704229999997</v>
      </c>
      <c r="Q4533" s="282" t="e">
        <f>(INDEX(Tabla6[#All],MATCH(Tabla4[[#This Row],[Producto]],Tabla6[[#All],[PRODUCTO]],0),MATCH(Tabla4[[#This Row],[Mes]],Tabla6[#Headers],0)))</f>
        <v>#N/A</v>
      </c>
      <c r="R4533" s="282" t="e">
        <f>++Tabla4[[#This Row],[Precio Unitario Neto]]-Tabla4[[#This Row],[20.85%]]-Tabla4[[#This Row],[Costo]]</f>
        <v>#N/A</v>
      </c>
      <c r="S4533" s="282" t="e">
        <f>++Tabla4[[#This Row],[U. Bruta Uni]]*Tabla4[[#This Row],[Cantidad]]</f>
        <v>#N/A</v>
      </c>
      <c r="T4533" s="369" t="str">
        <f>VLOOKUP(Tabla4[[#This Row],[Producto]],Tabla6[#All],14,FALSE)</f>
        <v>Termico Solar</v>
      </c>
      <c r="U4533" s="284" t="e">
        <f>(IF(Tabla4[[#This Row],[Familia]]="termico solar",Tabla4[[#This Row],[Utilidad Total]]*6%,Tabla4[[#This Row],[Utilidad Total]]*11.5%))/Tabla4[[#This Row],[Total]]</f>
        <v>#N/A</v>
      </c>
      <c r="V4533" s="282" t="e">
        <f>+Tabla4[[#This Row],[Comisión Calculada]]*Tabla4[[#This Row],[Total]]</f>
        <v>#N/A</v>
      </c>
    </row>
    <row r="4534" spans="1:22" hidden="1" x14ac:dyDescent="0.25">
      <c r="A4534" s="100">
        <v>45853</v>
      </c>
      <c r="B4534" t="str">
        <f t="shared" si="228"/>
        <v>July</v>
      </c>
      <c r="C4534" s="46" t="s">
        <v>280</v>
      </c>
      <c r="F4534" s="366" t="s">
        <v>2418</v>
      </c>
      <c r="G4534" s="46" t="s">
        <v>200</v>
      </c>
      <c r="H4534" s="46">
        <v>12</v>
      </c>
      <c r="I4534" s="51">
        <v>393.22</v>
      </c>
      <c r="J4534" s="281">
        <f>++Tabla4[[#This Row],[Precio Bruto]]*1.16</f>
        <v>456.1352</v>
      </c>
      <c r="K4534" s="281">
        <f>+Tabla4[[#This Row],[Precio Unitario Neto]]*Tabla4[[#Headers],[20.85%]]</f>
        <v>95.104189199999993</v>
      </c>
      <c r="L4534" s="282">
        <f>++Tabla4[[#This Row],[Precio Unitario Neto]]-Tabla4[[#This Row],[20.85%]]</f>
        <v>361.03101079999999</v>
      </c>
      <c r="M4534" s="282" t="e">
        <f>(INDEX(Tabla6[#All],MATCH(Tabla4[[#This Row],[Producto]],Tabla6[[#All],[PRODUCTO]],0),MATCH(Tabla4[[#This Row],[Mes]],Tabla6[#Headers],0)))*(1+Catalogos!$L$2)</f>
        <v>#N/A</v>
      </c>
      <c r="N4534" s="283" t="e">
        <f>+(Tabla4[[#This Row],[Precio Descontado]]-Tabla4[[#This Row],[Precio Base]])*Tabla4[[#This Row],[Cantidad]]</f>
        <v>#N/A</v>
      </c>
      <c r="O4534" s="284" t="e">
        <f>++Tabla4[[#This Row],[Utilidad Total]]/Tabla4[[#This Row],[Total]]</f>
        <v>#N/A</v>
      </c>
      <c r="P4534" s="282">
        <f>++Tabla4[[#This Row],[Precio Descontado]]*Tabla4[[#This Row],[Cantidad]]</f>
        <v>4332.3721296000003</v>
      </c>
      <c r="Q4534" s="282" t="e">
        <f>(INDEX(Tabla6[#All],MATCH(Tabla4[[#This Row],[Producto]],Tabla6[[#All],[PRODUCTO]],0),MATCH(Tabla4[[#This Row],[Mes]],Tabla6[#Headers],0)))</f>
        <v>#N/A</v>
      </c>
      <c r="R4534" s="282" t="e">
        <f>++Tabla4[[#This Row],[Precio Unitario Neto]]-Tabla4[[#This Row],[20.85%]]-Tabla4[[#This Row],[Costo]]</f>
        <v>#N/A</v>
      </c>
      <c r="S4534" s="282" t="e">
        <f>++Tabla4[[#This Row],[U. Bruta Uni]]*Tabla4[[#This Row],[Cantidad]]</f>
        <v>#N/A</v>
      </c>
      <c r="T4534" s="369" t="str">
        <f>VLOOKUP(Tabla4[[#This Row],[Producto]],Tabla6[#All],14,FALSE)</f>
        <v>Termico Solar</v>
      </c>
      <c r="U4534" s="284" t="e">
        <f>(IF(Tabla4[[#This Row],[Familia]]="termico solar",Tabla4[[#This Row],[Utilidad Total]]*6%,Tabla4[[#This Row],[Utilidad Total]]*11.5%))/Tabla4[[#This Row],[Total]]</f>
        <v>#N/A</v>
      </c>
      <c r="V4534" s="282" t="e">
        <f>+Tabla4[[#This Row],[Comisión Calculada]]*Tabla4[[#This Row],[Total]]</f>
        <v>#N/A</v>
      </c>
    </row>
    <row r="4535" spans="1:22" hidden="1" x14ac:dyDescent="0.25">
      <c r="A4535" s="100">
        <v>45853</v>
      </c>
      <c r="B4535" t="str">
        <f t="shared" si="228"/>
        <v>July</v>
      </c>
      <c r="C4535" s="46" t="s">
        <v>280</v>
      </c>
      <c r="F4535" s="366" t="s">
        <v>2418</v>
      </c>
      <c r="G4535" s="46" t="s">
        <v>545</v>
      </c>
      <c r="H4535" s="46">
        <v>24</v>
      </c>
      <c r="I4535" s="51">
        <v>304.32</v>
      </c>
      <c r="J4535" s="281">
        <f>++Tabla4[[#This Row],[Precio Bruto]]*1.16</f>
        <v>353.01119999999997</v>
      </c>
      <c r="K4535" s="281">
        <f>+Tabla4[[#This Row],[Precio Unitario Neto]]*Tabla4[[#Headers],[20.85%]]</f>
        <v>73.602835199999987</v>
      </c>
      <c r="L4535" s="282">
        <f>++Tabla4[[#This Row],[Precio Unitario Neto]]-Tabla4[[#This Row],[20.85%]]</f>
        <v>279.40836479999996</v>
      </c>
      <c r="M4535" s="282" t="e">
        <f>(INDEX(Tabla6[#All],MATCH(Tabla4[[#This Row],[Producto]],Tabla6[[#All],[PRODUCTO]],0),MATCH(Tabla4[[#This Row],[Mes]],Tabla6[#Headers],0)))*(1+Catalogos!$L$2)</f>
        <v>#N/A</v>
      </c>
      <c r="N4535" s="283" t="e">
        <f>+(Tabla4[[#This Row],[Precio Descontado]]-Tabla4[[#This Row],[Precio Base]])*Tabla4[[#This Row],[Cantidad]]</f>
        <v>#N/A</v>
      </c>
      <c r="O4535" s="284" t="e">
        <f>++Tabla4[[#This Row],[Utilidad Total]]/Tabla4[[#This Row],[Total]]</f>
        <v>#N/A</v>
      </c>
      <c r="P4535" s="282">
        <f>++Tabla4[[#This Row],[Precio Descontado]]*Tabla4[[#This Row],[Cantidad]]</f>
        <v>6705.800755199999</v>
      </c>
      <c r="Q4535" s="282" t="e">
        <f>(INDEX(Tabla6[#All],MATCH(Tabla4[[#This Row],[Producto]],Tabla6[[#All],[PRODUCTO]],0),MATCH(Tabla4[[#This Row],[Mes]],Tabla6[#Headers],0)))</f>
        <v>#N/A</v>
      </c>
      <c r="R4535" s="282" t="e">
        <f>++Tabla4[[#This Row],[Precio Unitario Neto]]-Tabla4[[#This Row],[20.85%]]-Tabla4[[#This Row],[Costo]]</f>
        <v>#N/A</v>
      </c>
      <c r="S4535" s="282" t="e">
        <f>++Tabla4[[#This Row],[U. Bruta Uni]]*Tabla4[[#This Row],[Cantidad]]</f>
        <v>#N/A</v>
      </c>
      <c r="T4535" s="369" t="str">
        <f>VLOOKUP(Tabla4[[#This Row],[Producto]],Tabla6[#All],14,FALSE)</f>
        <v>Termico Solar</v>
      </c>
      <c r="U4535" s="284" t="e">
        <f>(IF(Tabla4[[#This Row],[Familia]]="termico solar",Tabla4[[#This Row],[Utilidad Total]]*6%,Tabla4[[#This Row],[Utilidad Total]]*11.5%))/Tabla4[[#This Row],[Total]]</f>
        <v>#N/A</v>
      </c>
      <c r="V4535" s="282" t="e">
        <f>+Tabla4[[#This Row],[Comisión Calculada]]*Tabla4[[#This Row],[Total]]</f>
        <v>#N/A</v>
      </c>
    </row>
    <row r="4536" spans="1:22" hidden="1" x14ac:dyDescent="0.25">
      <c r="A4536" s="100">
        <v>45853</v>
      </c>
      <c r="B4536" t="str">
        <f t="shared" si="228"/>
        <v>July</v>
      </c>
      <c r="C4536" s="46" t="s">
        <v>280</v>
      </c>
      <c r="F4536" s="366" t="s">
        <v>2418</v>
      </c>
      <c r="G4536" s="46" t="s">
        <v>209</v>
      </c>
      <c r="H4536" s="46">
        <v>2</v>
      </c>
      <c r="I4536" s="51">
        <v>347.48</v>
      </c>
      <c r="J4536" s="281">
        <f>++Tabla4[[#This Row],[Precio Bruto]]*1.16</f>
        <v>403.07679999999999</v>
      </c>
      <c r="K4536" s="281">
        <f>+Tabla4[[#This Row],[Precio Unitario Neto]]*Tabla4[[#Headers],[20.85%]]</f>
        <v>84.041512799999992</v>
      </c>
      <c r="L4536" s="282">
        <f>++Tabla4[[#This Row],[Precio Unitario Neto]]-Tabla4[[#This Row],[20.85%]]</f>
        <v>319.03528719999997</v>
      </c>
      <c r="M4536" s="282" t="e">
        <f>(INDEX(Tabla6[#All],MATCH(Tabla4[[#This Row],[Producto]],Tabla6[[#All],[PRODUCTO]],0),MATCH(Tabla4[[#This Row],[Mes]],Tabla6[#Headers],0)))*(1+Catalogos!$L$2)</f>
        <v>#N/A</v>
      </c>
      <c r="N4536" s="283" t="e">
        <f>+(Tabla4[[#This Row],[Precio Descontado]]-Tabla4[[#This Row],[Precio Base]])*Tabla4[[#This Row],[Cantidad]]</f>
        <v>#N/A</v>
      </c>
      <c r="O4536" s="284" t="e">
        <f>++Tabla4[[#This Row],[Utilidad Total]]/Tabla4[[#This Row],[Total]]</f>
        <v>#N/A</v>
      </c>
      <c r="P4536" s="282">
        <f>++Tabla4[[#This Row],[Precio Descontado]]*Tabla4[[#This Row],[Cantidad]]</f>
        <v>638.07057439999994</v>
      </c>
      <c r="Q4536" s="282" t="e">
        <f>(INDEX(Tabla6[#All],MATCH(Tabla4[[#This Row],[Producto]],Tabla6[[#All],[PRODUCTO]],0),MATCH(Tabla4[[#This Row],[Mes]],Tabla6[#Headers],0)))</f>
        <v>#N/A</v>
      </c>
      <c r="R4536" s="282" t="e">
        <f>++Tabla4[[#This Row],[Precio Unitario Neto]]-Tabla4[[#This Row],[20.85%]]-Tabla4[[#This Row],[Costo]]</f>
        <v>#N/A</v>
      </c>
      <c r="S4536" s="282" t="e">
        <f>++Tabla4[[#This Row],[U. Bruta Uni]]*Tabla4[[#This Row],[Cantidad]]</f>
        <v>#N/A</v>
      </c>
      <c r="T4536" s="369" t="str">
        <f>VLOOKUP(Tabla4[[#This Row],[Producto]],Tabla6[#All],14,FALSE)</f>
        <v>Termico Solar</v>
      </c>
      <c r="U4536" s="284" t="e">
        <f>(IF(Tabla4[[#This Row],[Familia]]="termico solar",Tabla4[[#This Row],[Utilidad Total]]*6%,Tabla4[[#This Row],[Utilidad Total]]*11.5%))/Tabla4[[#This Row],[Total]]</f>
        <v>#N/A</v>
      </c>
      <c r="V4536" s="282" t="e">
        <f>+Tabla4[[#This Row],[Comisión Calculada]]*Tabla4[[#This Row],[Total]]</f>
        <v>#N/A</v>
      </c>
    </row>
    <row r="4537" spans="1:22" hidden="1" x14ac:dyDescent="0.25">
      <c r="A4537" s="100">
        <v>45853</v>
      </c>
      <c r="B4537" t="str">
        <f t="shared" ref="B4537:B4542" si="229">TEXT(A4537, "mmmm")</f>
        <v>July</v>
      </c>
      <c r="C4537" s="46" t="s">
        <v>280</v>
      </c>
      <c r="F4537" s="366" t="s">
        <v>2419</v>
      </c>
      <c r="G4537" s="46" t="s">
        <v>18</v>
      </c>
      <c r="H4537" s="46">
        <v>9</v>
      </c>
      <c r="I4537" s="51">
        <v>5367.65</v>
      </c>
      <c r="J4537" s="281">
        <f>++Tabla4[[#This Row],[Precio Bruto]]*1.16</f>
        <v>6226.4739999999993</v>
      </c>
      <c r="K4537" s="281">
        <f>+Tabla4[[#This Row],[Precio Unitario Neto]]*Tabla4[[#Headers],[20.85%]]</f>
        <v>1298.2198289999999</v>
      </c>
      <c r="L4537" s="282">
        <f>++Tabla4[[#This Row],[Precio Unitario Neto]]-Tabla4[[#This Row],[20.85%]]</f>
        <v>4928.2541709999996</v>
      </c>
      <c r="M4537" s="282" t="e">
        <f>(INDEX(Tabla6[#All],MATCH(Tabla4[[#This Row],[Producto]],Tabla6[[#All],[PRODUCTO]],0),MATCH(Tabla4[[#This Row],[Mes]],Tabla6[#Headers],0)))*(1+Catalogos!$L$2)</f>
        <v>#N/A</v>
      </c>
      <c r="N4537" s="283" t="e">
        <f>+(Tabla4[[#This Row],[Precio Descontado]]-Tabla4[[#This Row],[Precio Base]])*Tabla4[[#This Row],[Cantidad]]</f>
        <v>#N/A</v>
      </c>
      <c r="O4537" s="284" t="e">
        <f>++Tabla4[[#This Row],[Utilidad Total]]/Tabla4[[#This Row],[Total]]</f>
        <v>#N/A</v>
      </c>
      <c r="P4537" s="282">
        <f>++Tabla4[[#This Row],[Precio Descontado]]*Tabla4[[#This Row],[Cantidad]]</f>
        <v>44354.287538999997</v>
      </c>
      <c r="Q4537" s="282" t="e">
        <f>(INDEX(Tabla6[#All],MATCH(Tabla4[[#This Row],[Producto]],Tabla6[[#All],[PRODUCTO]],0),MATCH(Tabla4[[#This Row],[Mes]],Tabla6[#Headers],0)))</f>
        <v>#N/A</v>
      </c>
      <c r="R4537" s="282" t="e">
        <f>++Tabla4[[#This Row],[Precio Unitario Neto]]-Tabla4[[#This Row],[20.85%]]-Tabla4[[#This Row],[Costo]]</f>
        <v>#N/A</v>
      </c>
      <c r="S4537" s="282" t="e">
        <f>++Tabla4[[#This Row],[U. Bruta Uni]]*Tabla4[[#This Row],[Cantidad]]</f>
        <v>#N/A</v>
      </c>
      <c r="T4537" s="369" t="str">
        <f>VLOOKUP(Tabla4[[#This Row],[Producto]],Tabla6[#All],14,FALSE)</f>
        <v>Termico Solar</v>
      </c>
      <c r="U4537" s="284" t="e">
        <f>(IF(Tabla4[[#This Row],[Familia]]="termico solar",Tabla4[[#This Row],[Utilidad Total]]*6%,Tabla4[[#This Row],[Utilidad Total]]*11.5%))/Tabla4[[#This Row],[Total]]</f>
        <v>#N/A</v>
      </c>
      <c r="V4537" s="282" t="e">
        <f>+Tabla4[[#This Row],[Comisión Calculada]]*Tabla4[[#This Row],[Total]]</f>
        <v>#N/A</v>
      </c>
    </row>
    <row r="4538" spans="1:22" hidden="1" x14ac:dyDescent="0.25">
      <c r="A4538" s="100">
        <v>45853</v>
      </c>
      <c r="B4538" t="str">
        <f t="shared" si="229"/>
        <v>July</v>
      </c>
      <c r="C4538" s="46" t="s">
        <v>280</v>
      </c>
      <c r="F4538" s="366" t="s">
        <v>2419</v>
      </c>
      <c r="G4538" s="46" t="s">
        <v>566</v>
      </c>
      <c r="H4538" s="46">
        <v>2</v>
      </c>
      <c r="I4538" s="51">
        <v>2109.4499999999998</v>
      </c>
      <c r="J4538" s="281">
        <f>++Tabla4[[#This Row],[Precio Bruto]]*1.16</f>
        <v>2446.9619999999995</v>
      </c>
      <c r="K4538" s="281">
        <f>+Tabla4[[#This Row],[Precio Unitario Neto]]*Tabla4[[#Headers],[20.85%]]</f>
        <v>510.19157699999988</v>
      </c>
      <c r="L4538" s="282">
        <f>++Tabla4[[#This Row],[Precio Unitario Neto]]-Tabla4[[#This Row],[20.85%]]</f>
        <v>1936.7704229999997</v>
      </c>
      <c r="M4538" s="282" t="e">
        <f>(INDEX(Tabla6[#All],MATCH(Tabla4[[#This Row],[Producto]],Tabla6[[#All],[PRODUCTO]],0),MATCH(Tabla4[[#This Row],[Mes]],Tabla6[#Headers],0)))*(1+Catalogos!$L$2)</f>
        <v>#N/A</v>
      </c>
      <c r="N4538" s="283" t="e">
        <f>+(Tabla4[[#This Row],[Precio Descontado]]-Tabla4[[#This Row],[Precio Base]])*Tabla4[[#This Row],[Cantidad]]</f>
        <v>#N/A</v>
      </c>
      <c r="O4538" s="284" t="e">
        <f>++Tabla4[[#This Row],[Utilidad Total]]/Tabla4[[#This Row],[Total]]</f>
        <v>#N/A</v>
      </c>
      <c r="P4538" s="282">
        <f>++Tabla4[[#This Row],[Precio Descontado]]*Tabla4[[#This Row],[Cantidad]]</f>
        <v>3873.5408459999994</v>
      </c>
      <c r="Q4538" s="282" t="e">
        <f>(INDEX(Tabla6[#All],MATCH(Tabla4[[#This Row],[Producto]],Tabla6[[#All],[PRODUCTO]],0),MATCH(Tabla4[[#This Row],[Mes]],Tabla6[#Headers],0)))</f>
        <v>#N/A</v>
      </c>
      <c r="R4538" s="282" t="e">
        <f>++Tabla4[[#This Row],[Precio Unitario Neto]]-Tabla4[[#This Row],[20.85%]]-Tabla4[[#This Row],[Costo]]</f>
        <v>#N/A</v>
      </c>
      <c r="S4538" s="282" t="e">
        <f>++Tabla4[[#This Row],[U. Bruta Uni]]*Tabla4[[#This Row],[Cantidad]]</f>
        <v>#N/A</v>
      </c>
      <c r="T4538" s="369" t="str">
        <f>VLOOKUP(Tabla4[[#This Row],[Producto]],Tabla6[#All],14,FALSE)</f>
        <v>Termico Solar</v>
      </c>
      <c r="U4538" s="284" t="e">
        <f>(IF(Tabla4[[#This Row],[Familia]]="termico solar",Tabla4[[#This Row],[Utilidad Total]]*6%,Tabla4[[#This Row],[Utilidad Total]]*11.5%))/Tabla4[[#This Row],[Total]]</f>
        <v>#N/A</v>
      </c>
      <c r="V4538" s="282" t="e">
        <f>+Tabla4[[#This Row],[Comisión Calculada]]*Tabla4[[#This Row],[Total]]</f>
        <v>#N/A</v>
      </c>
    </row>
    <row r="4539" spans="1:22" hidden="1" x14ac:dyDescent="0.25">
      <c r="A4539" s="100">
        <v>45853</v>
      </c>
      <c r="B4539" t="str">
        <f t="shared" si="229"/>
        <v>July</v>
      </c>
      <c r="C4539" s="46" t="s">
        <v>280</v>
      </c>
      <c r="F4539" s="366" t="s">
        <v>2419</v>
      </c>
      <c r="G4539" s="46" t="s">
        <v>16</v>
      </c>
      <c r="H4539" s="46">
        <v>4</v>
      </c>
      <c r="I4539" s="51">
        <v>4103.8500000000004</v>
      </c>
      <c r="J4539" s="281">
        <f>++Tabla4[[#This Row],[Precio Bruto]]*1.16</f>
        <v>4760.4660000000003</v>
      </c>
      <c r="K4539" s="281">
        <f>+Tabla4[[#This Row],[Precio Unitario Neto]]*Tabla4[[#Headers],[20.85%]]</f>
        <v>992.55716100000006</v>
      </c>
      <c r="L4539" s="282">
        <f>++Tabla4[[#This Row],[Precio Unitario Neto]]-Tabla4[[#This Row],[20.85%]]</f>
        <v>3767.9088390000002</v>
      </c>
      <c r="M4539" s="282" t="e">
        <f>(INDEX(Tabla6[#All],MATCH(Tabla4[[#This Row],[Producto]],Tabla6[[#All],[PRODUCTO]],0),MATCH(Tabla4[[#This Row],[Mes]],Tabla6[#Headers],0)))*(1+Catalogos!$L$2)</f>
        <v>#N/A</v>
      </c>
      <c r="N4539" s="283" t="e">
        <f>+(Tabla4[[#This Row],[Precio Descontado]]-Tabla4[[#This Row],[Precio Base]])*Tabla4[[#This Row],[Cantidad]]</f>
        <v>#N/A</v>
      </c>
      <c r="O4539" s="284" t="e">
        <f>++Tabla4[[#This Row],[Utilidad Total]]/Tabla4[[#This Row],[Total]]</f>
        <v>#N/A</v>
      </c>
      <c r="P4539" s="282">
        <f>++Tabla4[[#This Row],[Precio Descontado]]*Tabla4[[#This Row],[Cantidad]]</f>
        <v>15071.635356000001</v>
      </c>
      <c r="Q4539" s="282" t="e">
        <f>(INDEX(Tabla6[#All],MATCH(Tabla4[[#This Row],[Producto]],Tabla6[[#All],[PRODUCTO]],0),MATCH(Tabla4[[#This Row],[Mes]],Tabla6[#Headers],0)))</f>
        <v>#N/A</v>
      </c>
      <c r="R4539" s="282" t="e">
        <f>++Tabla4[[#This Row],[Precio Unitario Neto]]-Tabla4[[#This Row],[20.85%]]-Tabla4[[#This Row],[Costo]]</f>
        <v>#N/A</v>
      </c>
      <c r="S4539" s="282" t="e">
        <f>++Tabla4[[#This Row],[U. Bruta Uni]]*Tabla4[[#This Row],[Cantidad]]</f>
        <v>#N/A</v>
      </c>
      <c r="T4539" s="369" t="str">
        <f>VLOOKUP(Tabla4[[#This Row],[Producto]],Tabla6[#All],14,FALSE)</f>
        <v>Termico Solar</v>
      </c>
      <c r="U4539" s="284" t="e">
        <f>(IF(Tabla4[[#This Row],[Familia]]="termico solar",Tabla4[[#This Row],[Utilidad Total]]*6%,Tabla4[[#This Row],[Utilidad Total]]*11.5%))/Tabla4[[#This Row],[Total]]</f>
        <v>#N/A</v>
      </c>
      <c r="V4539" s="282" t="e">
        <f>+Tabla4[[#This Row],[Comisión Calculada]]*Tabla4[[#This Row],[Total]]</f>
        <v>#N/A</v>
      </c>
    </row>
    <row r="4540" spans="1:22" hidden="1" x14ac:dyDescent="0.25">
      <c r="A4540" s="100">
        <v>45853</v>
      </c>
      <c r="B4540" t="str">
        <f t="shared" si="229"/>
        <v>July</v>
      </c>
      <c r="C4540" s="46" t="s">
        <v>280</v>
      </c>
      <c r="F4540" s="366" t="s">
        <v>2419</v>
      </c>
      <c r="G4540" s="46" t="s">
        <v>200</v>
      </c>
      <c r="H4540" s="46">
        <v>12</v>
      </c>
      <c r="I4540" s="51">
        <v>393.22</v>
      </c>
      <c r="J4540" s="281">
        <f>++Tabla4[[#This Row],[Precio Bruto]]*1.16</f>
        <v>456.1352</v>
      </c>
      <c r="K4540" s="281">
        <f>+Tabla4[[#This Row],[Precio Unitario Neto]]*Tabla4[[#Headers],[20.85%]]</f>
        <v>95.104189199999993</v>
      </c>
      <c r="L4540" s="282">
        <f>++Tabla4[[#This Row],[Precio Unitario Neto]]-Tabla4[[#This Row],[20.85%]]</f>
        <v>361.03101079999999</v>
      </c>
      <c r="M4540" s="282" t="e">
        <f>(INDEX(Tabla6[#All],MATCH(Tabla4[[#This Row],[Producto]],Tabla6[[#All],[PRODUCTO]],0),MATCH(Tabla4[[#This Row],[Mes]],Tabla6[#Headers],0)))*(1+Catalogos!$L$2)</f>
        <v>#N/A</v>
      </c>
      <c r="N4540" s="283" t="e">
        <f>+(Tabla4[[#This Row],[Precio Descontado]]-Tabla4[[#This Row],[Precio Base]])*Tabla4[[#This Row],[Cantidad]]</f>
        <v>#N/A</v>
      </c>
      <c r="O4540" s="284" t="e">
        <f>++Tabla4[[#This Row],[Utilidad Total]]/Tabla4[[#This Row],[Total]]</f>
        <v>#N/A</v>
      </c>
      <c r="P4540" s="282">
        <f>++Tabla4[[#This Row],[Precio Descontado]]*Tabla4[[#This Row],[Cantidad]]</f>
        <v>4332.3721296000003</v>
      </c>
      <c r="Q4540" s="282" t="e">
        <f>(INDEX(Tabla6[#All],MATCH(Tabla4[[#This Row],[Producto]],Tabla6[[#All],[PRODUCTO]],0),MATCH(Tabla4[[#This Row],[Mes]],Tabla6[#Headers],0)))</f>
        <v>#N/A</v>
      </c>
      <c r="R4540" s="282" t="e">
        <f>++Tabla4[[#This Row],[Precio Unitario Neto]]-Tabla4[[#This Row],[20.85%]]-Tabla4[[#This Row],[Costo]]</f>
        <v>#N/A</v>
      </c>
      <c r="S4540" s="282" t="e">
        <f>++Tabla4[[#This Row],[U. Bruta Uni]]*Tabla4[[#This Row],[Cantidad]]</f>
        <v>#N/A</v>
      </c>
      <c r="T4540" s="369" t="str">
        <f>VLOOKUP(Tabla4[[#This Row],[Producto]],Tabla6[#All],14,FALSE)</f>
        <v>Termico Solar</v>
      </c>
      <c r="U4540" s="284" t="e">
        <f>(IF(Tabla4[[#This Row],[Familia]]="termico solar",Tabla4[[#This Row],[Utilidad Total]]*6%,Tabla4[[#This Row],[Utilidad Total]]*11.5%))/Tabla4[[#This Row],[Total]]</f>
        <v>#N/A</v>
      </c>
      <c r="V4540" s="282" t="e">
        <f>+Tabla4[[#This Row],[Comisión Calculada]]*Tabla4[[#This Row],[Total]]</f>
        <v>#N/A</v>
      </c>
    </row>
    <row r="4541" spans="1:22" hidden="1" x14ac:dyDescent="0.25">
      <c r="A4541" s="100">
        <v>45853</v>
      </c>
      <c r="B4541" t="str">
        <f t="shared" si="229"/>
        <v>July</v>
      </c>
      <c r="C4541" s="46" t="s">
        <v>280</v>
      </c>
      <c r="F4541" s="366" t="s">
        <v>2419</v>
      </c>
      <c r="G4541" s="46" t="s">
        <v>545</v>
      </c>
      <c r="H4541" s="46">
        <v>24</v>
      </c>
      <c r="I4541" s="51">
        <v>304.32</v>
      </c>
      <c r="J4541" s="281">
        <f>++Tabla4[[#This Row],[Precio Bruto]]*1.16</f>
        <v>353.01119999999997</v>
      </c>
      <c r="K4541" s="281">
        <f>+Tabla4[[#This Row],[Precio Unitario Neto]]*Tabla4[[#Headers],[20.85%]]</f>
        <v>73.602835199999987</v>
      </c>
      <c r="L4541" s="282">
        <f>++Tabla4[[#This Row],[Precio Unitario Neto]]-Tabla4[[#This Row],[20.85%]]</f>
        <v>279.40836479999996</v>
      </c>
      <c r="M4541" s="282" t="e">
        <f>(INDEX(Tabla6[#All],MATCH(Tabla4[[#This Row],[Producto]],Tabla6[[#All],[PRODUCTO]],0),MATCH(Tabla4[[#This Row],[Mes]],Tabla6[#Headers],0)))*(1+Catalogos!$L$2)</f>
        <v>#N/A</v>
      </c>
      <c r="N4541" s="283" t="e">
        <f>+(Tabla4[[#This Row],[Precio Descontado]]-Tabla4[[#This Row],[Precio Base]])*Tabla4[[#This Row],[Cantidad]]</f>
        <v>#N/A</v>
      </c>
      <c r="O4541" s="284" t="e">
        <f>++Tabla4[[#This Row],[Utilidad Total]]/Tabla4[[#This Row],[Total]]</f>
        <v>#N/A</v>
      </c>
      <c r="P4541" s="282">
        <f>++Tabla4[[#This Row],[Precio Descontado]]*Tabla4[[#This Row],[Cantidad]]</f>
        <v>6705.800755199999</v>
      </c>
      <c r="Q4541" s="282" t="e">
        <f>(INDEX(Tabla6[#All],MATCH(Tabla4[[#This Row],[Producto]],Tabla6[[#All],[PRODUCTO]],0),MATCH(Tabla4[[#This Row],[Mes]],Tabla6[#Headers],0)))</f>
        <v>#N/A</v>
      </c>
      <c r="R4541" s="282" t="e">
        <f>++Tabla4[[#This Row],[Precio Unitario Neto]]-Tabla4[[#This Row],[20.85%]]-Tabla4[[#This Row],[Costo]]</f>
        <v>#N/A</v>
      </c>
      <c r="S4541" s="282" t="e">
        <f>++Tabla4[[#This Row],[U. Bruta Uni]]*Tabla4[[#This Row],[Cantidad]]</f>
        <v>#N/A</v>
      </c>
      <c r="T4541" s="369" t="str">
        <f>VLOOKUP(Tabla4[[#This Row],[Producto]],Tabla6[#All],14,FALSE)</f>
        <v>Termico Solar</v>
      </c>
      <c r="U4541" s="284" t="e">
        <f>(IF(Tabla4[[#This Row],[Familia]]="termico solar",Tabla4[[#This Row],[Utilidad Total]]*6%,Tabla4[[#This Row],[Utilidad Total]]*11.5%))/Tabla4[[#This Row],[Total]]</f>
        <v>#N/A</v>
      </c>
      <c r="V4541" s="282" t="e">
        <f>+Tabla4[[#This Row],[Comisión Calculada]]*Tabla4[[#This Row],[Total]]</f>
        <v>#N/A</v>
      </c>
    </row>
    <row r="4542" spans="1:22" hidden="1" x14ac:dyDescent="0.25">
      <c r="A4542" s="100">
        <v>45853</v>
      </c>
      <c r="B4542" t="str">
        <f t="shared" si="229"/>
        <v>July</v>
      </c>
      <c r="C4542" s="46" t="s">
        <v>280</v>
      </c>
      <c r="F4542" s="366" t="s">
        <v>2419</v>
      </c>
      <c r="G4542" s="46" t="s">
        <v>209</v>
      </c>
      <c r="H4542" s="46">
        <v>2</v>
      </c>
      <c r="I4542" s="51">
        <v>347.48</v>
      </c>
      <c r="J4542" s="281">
        <f>++Tabla4[[#This Row],[Precio Bruto]]*1.16</f>
        <v>403.07679999999999</v>
      </c>
      <c r="K4542" s="281">
        <f>+Tabla4[[#This Row],[Precio Unitario Neto]]*Tabla4[[#Headers],[20.85%]]</f>
        <v>84.041512799999992</v>
      </c>
      <c r="L4542" s="282">
        <f>++Tabla4[[#This Row],[Precio Unitario Neto]]-Tabla4[[#This Row],[20.85%]]</f>
        <v>319.03528719999997</v>
      </c>
      <c r="M4542" s="282" t="e">
        <f>(INDEX(Tabla6[#All],MATCH(Tabla4[[#This Row],[Producto]],Tabla6[[#All],[PRODUCTO]],0),MATCH(Tabla4[[#This Row],[Mes]],Tabla6[#Headers],0)))*(1+Catalogos!$L$2)</f>
        <v>#N/A</v>
      </c>
      <c r="N4542" s="283" t="e">
        <f>+(Tabla4[[#This Row],[Precio Descontado]]-Tabla4[[#This Row],[Precio Base]])*Tabla4[[#This Row],[Cantidad]]</f>
        <v>#N/A</v>
      </c>
      <c r="O4542" s="284" t="e">
        <f>++Tabla4[[#This Row],[Utilidad Total]]/Tabla4[[#This Row],[Total]]</f>
        <v>#N/A</v>
      </c>
      <c r="P4542" s="282">
        <f>++Tabla4[[#This Row],[Precio Descontado]]*Tabla4[[#This Row],[Cantidad]]</f>
        <v>638.07057439999994</v>
      </c>
      <c r="Q4542" s="282" t="e">
        <f>(INDEX(Tabla6[#All],MATCH(Tabla4[[#This Row],[Producto]],Tabla6[[#All],[PRODUCTO]],0),MATCH(Tabla4[[#This Row],[Mes]],Tabla6[#Headers],0)))</f>
        <v>#N/A</v>
      </c>
      <c r="R4542" s="282" t="e">
        <f>++Tabla4[[#This Row],[Precio Unitario Neto]]-Tabla4[[#This Row],[20.85%]]-Tabla4[[#This Row],[Costo]]</f>
        <v>#N/A</v>
      </c>
      <c r="S4542" s="282" t="e">
        <f>++Tabla4[[#This Row],[U. Bruta Uni]]*Tabla4[[#This Row],[Cantidad]]</f>
        <v>#N/A</v>
      </c>
      <c r="T4542" s="369" t="str">
        <f>VLOOKUP(Tabla4[[#This Row],[Producto]],Tabla6[#All],14,FALSE)</f>
        <v>Termico Solar</v>
      </c>
      <c r="U4542" s="284" t="e">
        <f>(IF(Tabla4[[#This Row],[Familia]]="termico solar",Tabla4[[#This Row],[Utilidad Total]]*6%,Tabla4[[#This Row],[Utilidad Total]]*11.5%))/Tabla4[[#This Row],[Total]]</f>
        <v>#N/A</v>
      </c>
      <c r="V4542" s="282" t="e">
        <f>+Tabla4[[#This Row],[Comisión Calculada]]*Tabla4[[#This Row],[Total]]</f>
        <v>#N/A</v>
      </c>
    </row>
    <row r="4543" spans="1:22" hidden="1" x14ac:dyDescent="0.25">
      <c r="A4543" s="100">
        <v>45853</v>
      </c>
      <c r="B4543" t="str">
        <f t="shared" ref="B4543:B4574" si="230">TEXT(A4543, "mmmm")</f>
        <v>July</v>
      </c>
      <c r="C4543" s="46" t="s">
        <v>280</v>
      </c>
      <c r="F4543" s="366" t="s">
        <v>2420</v>
      </c>
      <c r="G4543" s="46" t="s">
        <v>83</v>
      </c>
      <c r="H4543" s="46">
        <v>1</v>
      </c>
      <c r="I4543" s="51">
        <v>8858.76</v>
      </c>
      <c r="J4543" s="281">
        <f>++Tabla4[[#This Row],[Precio Bruto]]*1.16</f>
        <v>10276.161599999999</v>
      </c>
      <c r="K4543" s="281">
        <f>+Tabla4[[#This Row],[Precio Unitario Neto]]*Tabla4[[#Headers],[20.85%]]</f>
        <v>2142.5796935999997</v>
      </c>
      <c r="L4543" s="282">
        <f>++Tabla4[[#This Row],[Precio Unitario Neto]]-Tabla4[[#This Row],[20.85%]]</f>
        <v>8133.5819063999998</v>
      </c>
      <c r="M4543" s="282" t="e">
        <f>(INDEX(Tabla6[#All],MATCH(Tabla4[[#This Row],[Producto]],Tabla6[[#All],[PRODUCTO]],0),MATCH(Tabla4[[#This Row],[Mes]],Tabla6[#Headers],0)))*(1+Catalogos!$L$2)</f>
        <v>#N/A</v>
      </c>
      <c r="N4543" s="283" t="e">
        <f>+(Tabla4[[#This Row],[Precio Descontado]]-Tabla4[[#This Row],[Precio Base]])*Tabla4[[#This Row],[Cantidad]]</f>
        <v>#N/A</v>
      </c>
      <c r="O4543" s="284" t="e">
        <f>++Tabla4[[#This Row],[Utilidad Total]]/Tabla4[[#This Row],[Total]]</f>
        <v>#N/A</v>
      </c>
      <c r="P4543" s="282">
        <f>++Tabla4[[#This Row],[Precio Descontado]]*Tabla4[[#This Row],[Cantidad]]</f>
        <v>8133.5819063999998</v>
      </c>
      <c r="Q4543" s="282" t="e">
        <f>(INDEX(Tabla6[#All],MATCH(Tabla4[[#This Row],[Producto]],Tabla6[[#All],[PRODUCTO]],0),MATCH(Tabla4[[#This Row],[Mes]],Tabla6[#Headers],0)))</f>
        <v>#N/A</v>
      </c>
      <c r="R4543" s="282" t="e">
        <f>++Tabla4[[#This Row],[Precio Unitario Neto]]-Tabla4[[#This Row],[20.85%]]-Tabla4[[#This Row],[Costo]]</f>
        <v>#N/A</v>
      </c>
      <c r="S4543" s="282" t="e">
        <f>++Tabla4[[#This Row],[U. Bruta Uni]]*Tabla4[[#This Row],[Cantidad]]</f>
        <v>#N/A</v>
      </c>
      <c r="T4543" s="369" t="str">
        <f>VLOOKUP(Tabla4[[#This Row],[Producto]],Tabla6[#All],14,FALSE)</f>
        <v>Termico Solar</v>
      </c>
      <c r="U4543" s="284" t="e">
        <f>(IF(Tabla4[[#This Row],[Familia]]="termico solar",Tabla4[[#This Row],[Utilidad Total]]*6%,Tabla4[[#This Row],[Utilidad Total]]*11.5%))/Tabla4[[#This Row],[Total]]</f>
        <v>#N/A</v>
      </c>
      <c r="V4543" s="282" t="e">
        <f>+Tabla4[[#This Row],[Comisión Calculada]]*Tabla4[[#This Row],[Total]]</f>
        <v>#N/A</v>
      </c>
    </row>
    <row r="4544" spans="1:22" hidden="1" x14ac:dyDescent="0.25">
      <c r="A4544" s="100">
        <v>45853</v>
      </c>
      <c r="B4544" t="str">
        <f t="shared" si="230"/>
        <v>July</v>
      </c>
      <c r="C4544" s="46" t="s">
        <v>280</v>
      </c>
      <c r="F4544" s="366" t="s">
        <v>2420</v>
      </c>
      <c r="G4544" s="46" t="s">
        <v>18</v>
      </c>
      <c r="H4544" s="46">
        <v>5</v>
      </c>
      <c r="I4544" s="51">
        <v>5367.65</v>
      </c>
      <c r="J4544" s="281">
        <f>++Tabla4[[#This Row],[Precio Bruto]]*1.16</f>
        <v>6226.4739999999993</v>
      </c>
      <c r="K4544" s="281">
        <f>+Tabla4[[#This Row],[Precio Unitario Neto]]*Tabla4[[#Headers],[20.85%]]</f>
        <v>1298.2198289999999</v>
      </c>
      <c r="L4544" s="282">
        <f>++Tabla4[[#This Row],[Precio Unitario Neto]]-Tabla4[[#This Row],[20.85%]]</f>
        <v>4928.2541709999996</v>
      </c>
      <c r="M4544" s="282" t="e">
        <f>(INDEX(Tabla6[#All],MATCH(Tabla4[[#This Row],[Producto]],Tabla6[[#All],[PRODUCTO]],0),MATCH(Tabla4[[#This Row],[Mes]],Tabla6[#Headers],0)))*(1+Catalogos!$L$2)</f>
        <v>#N/A</v>
      </c>
      <c r="N4544" s="283" t="e">
        <f>+(Tabla4[[#This Row],[Precio Descontado]]-Tabla4[[#This Row],[Precio Base]])*Tabla4[[#This Row],[Cantidad]]</f>
        <v>#N/A</v>
      </c>
      <c r="O4544" s="284" t="e">
        <f>++Tabla4[[#This Row],[Utilidad Total]]/Tabla4[[#This Row],[Total]]</f>
        <v>#N/A</v>
      </c>
      <c r="P4544" s="282">
        <f>++Tabla4[[#This Row],[Precio Descontado]]*Tabla4[[#This Row],[Cantidad]]</f>
        <v>24641.270854999999</v>
      </c>
      <c r="Q4544" s="282" t="e">
        <f>(INDEX(Tabla6[#All],MATCH(Tabla4[[#This Row],[Producto]],Tabla6[[#All],[PRODUCTO]],0),MATCH(Tabla4[[#This Row],[Mes]],Tabla6[#Headers],0)))</f>
        <v>#N/A</v>
      </c>
      <c r="R4544" s="282" t="e">
        <f>++Tabla4[[#This Row],[Precio Unitario Neto]]-Tabla4[[#This Row],[20.85%]]-Tabla4[[#This Row],[Costo]]</f>
        <v>#N/A</v>
      </c>
      <c r="S4544" s="282" t="e">
        <f>++Tabla4[[#This Row],[U. Bruta Uni]]*Tabla4[[#This Row],[Cantidad]]</f>
        <v>#N/A</v>
      </c>
      <c r="T4544" s="369" t="str">
        <f>VLOOKUP(Tabla4[[#This Row],[Producto]],Tabla6[#All],14,FALSE)</f>
        <v>Termico Solar</v>
      </c>
      <c r="U4544" s="284" t="e">
        <f>(IF(Tabla4[[#This Row],[Familia]]="termico solar",Tabla4[[#This Row],[Utilidad Total]]*6%,Tabla4[[#This Row],[Utilidad Total]]*11.5%))/Tabla4[[#This Row],[Total]]</f>
        <v>#N/A</v>
      </c>
      <c r="V4544" s="282" t="e">
        <f>+Tabla4[[#This Row],[Comisión Calculada]]*Tabla4[[#This Row],[Total]]</f>
        <v>#N/A</v>
      </c>
    </row>
    <row r="4545" spans="1:22" hidden="1" x14ac:dyDescent="0.25">
      <c r="A4545" s="100">
        <v>45853</v>
      </c>
      <c r="B4545" t="str">
        <f t="shared" si="230"/>
        <v>July</v>
      </c>
      <c r="C4545" s="46" t="s">
        <v>280</v>
      </c>
      <c r="F4545" s="366" t="s">
        <v>2421</v>
      </c>
      <c r="G4545" s="46" t="s">
        <v>83</v>
      </c>
      <c r="H4545" s="46">
        <v>12</v>
      </c>
      <c r="I4545" s="51">
        <v>8858.76</v>
      </c>
      <c r="J4545" s="281">
        <f>++Tabla4[[#This Row],[Precio Bruto]]*1.16</f>
        <v>10276.161599999999</v>
      </c>
      <c r="K4545" s="281">
        <f>+Tabla4[[#This Row],[Precio Unitario Neto]]*Tabla4[[#Headers],[20.85%]]</f>
        <v>2142.5796935999997</v>
      </c>
      <c r="L4545" s="282">
        <f>++Tabla4[[#This Row],[Precio Unitario Neto]]-Tabla4[[#This Row],[20.85%]]</f>
        <v>8133.5819063999998</v>
      </c>
      <c r="M4545" s="282" t="e">
        <f>(INDEX(Tabla6[#All],MATCH(Tabla4[[#This Row],[Producto]],Tabla6[[#All],[PRODUCTO]],0),MATCH(Tabla4[[#This Row],[Mes]],Tabla6[#Headers],0)))*(1+Catalogos!$L$2)</f>
        <v>#N/A</v>
      </c>
      <c r="N4545" s="283" t="e">
        <f>+(Tabla4[[#This Row],[Precio Descontado]]-Tabla4[[#This Row],[Precio Base]])*Tabla4[[#This Row],[Cantidad]]</f>
        <v>#N/A</v>
      </c>
      <c r="O4545" s="284" t="e">
        <f>++Tabla4[[#This Row],[Utilidad Total]]/Tabla4[[#This Row],[Total]]</f>
        <v>#N/A</v>
      </c>
      <c r="P4545" s="282">
        <f>++Tabla4[[#This Row],[Precio Descontado]]*Tabla4[[#This Row],[Cantidad]]</f>
        <v>97602.982876800001</v>
      </c>
      <c r="Q4545" s="282" t="e">
        <f>(INDEX(Tabla6[#All],MATCH(Tabla4[[#This Row],[Producto]],Tabla6[[#All],[PRODUCTO]],0),MATCH(Tabla4[[#This Row],[Mes]],Tabla6[#Headers],0)))</f>
        <v>#N/A</v>
      </c>
      <c r="R4545" s="282" t="e">
        <f>++Tabla4[[#This Row],[Precio Unitario Neto]]-Tabla4[[#This Row],[20.85%]]-Tabla4[[#This Row],[Costo]]</f>
        <v>#N/A</v>
      </c>
      <c r="S4545" s="282" t="e">
        <f>++Tabla4[[#This Row],[U. Bruta Uni]]*Tabla4[[#This Row],[Cantidad]]</f>
        <v>#N/A</v>
      </c>
      <c r="T4545" s="369" t="str">
        <f>VLOOKUP(Tabla4[[#This Row],[Producto]],Tabla6[#All],14,FALSE)</f>
        <v>Termico Solar</v>
      </c>
      <c r="U4545" s="284" t="e">
        <f>(IF(Tabla4[[#This Row],[Familia]]="termico solar",Tabla4[[#This Row],[Utilidad Total]]*6%,Tabla4[[#This Row],[Utilidad Total]]*11.5%))/Tabla4[[#This Row],[Total]]</f>
        <v>#N/A</v>
      </c>
      <c r="V4545" s="282" t="e">
        <f>+Tabla4[[#This Row],[Comisión Calculada]]*Tabla4[[#This Row],[Total]]</f>
        <v>#N/A</v>
      </c>
    </row>
    <row r="4546" spans="1:22" hidden="1" x14ac:dyDescent="0.25">
      <c r="A4546" s="100">
        <v>45853</v>
      </c>
      <c r="B4546" t="str">
        <f t="shared" si="230"/>
        <v>July</v>
      </c>
      <c r="C4546" s="46" t="s">
        <v>280</v>
      </c>
      <c r="F4546" s="366" t="s">
        <v>2422</v>
      </c>
      <c r="G4546" s="46" t="s">
        <v>17</v>
      </c>
      <c r="H4546" s="46">
        <v>2</v>
      </c>
      <c r="I4546" s="51">
        <v>4622.28</v>
      </c>
      <c r="J4546" s="281">
        <f>++Tabla4[[#This Row],[Precio Bruto]]*1.16</f>
        <v>5361.8447999999989</v>
      </c>
      <c r="K4546" s="281">
        <f>+Tabla4[[#This Row],[Precio Unitario Neto]]*Tabla4[[#Headers],[20.85%]]</f>
        <v>1117.9446407999997</v>
      </c>
      <c r="L4546" s="282">
        <f>++Tabla4[[#This Row],[Precio Unitario Neto]]-Tabla4[[#This Row],[20.85%]]</f>
        <v>4243.9001591999995</v>
      </c>
      <c r="M4546" s="282" t="e">
        <f>(INDEX(Tabla6[#All],MATCH(Tabla4[[#This Row],[Producto]],Tabla6[[#All],[PRODUCTO]],0),MATCH(Tabla4[[#This Row],[Mes]],Tabla6[#Headers],0)))*(1+Catalogos!$L$2)</f>
        <v>#N/A</v>
      </c>
      <c r="N4546" s="283" t="e">
        <f>+(Tabla4[[#This Row],[Precio Descontado]]-Tabla4[[#This Row],[Precio Base]])*Tabla4[[#This Row],[Cantidad]]</f>
        <v>#N/A</v>
      </c>
      <c r="O4546" s="284" t="e">
        <f>++Tabla4[[#This Row],[Utilidad Total]]/Tabla4[[#This Row],[Total]]</f>
        <v>#N/A</v>
      </c>
      <c r="P4546" s="282">
        <f>++Tabla4[[#This Row],[Precio Descontado]]*Tabla4[[#This Row],[Cantidad]]</f>
        <v>8487.800318399999</v>
      </c>
      <c r="Q4546" s="282" t="e">
        <f>(INDEX(Tabla6[#All],MATCH(Tabla4[[#This Row],[Producto]],Tabla6[[#All],[PRODUCTO]],0),MATCH(Tabla4[[#This Row],[Mes]],Tabla6[#Headers],0)))</f>
        <v>#N/A</v>
      </c>
      <c r="R4546" s="282" t="e">
        <f>++Tabla4[[#This Row],[Precio Unitario Neto]]-Tabla4[[#This Row],[20.85%]]-Tabla4[[#This Row],[Costo]]</f>
        <v>#N/A</v>
      </c>
      <c r="S4546" s="282" t="e">
        <f>++Tabla4[[#This Row],[U. Bruta Uni]]*Tabla4[[#This Row],[Cantidad]]</f>
        <v>#N/A</v>
      </c>
      <c r="T4546" s="369" t="str">
        <f>VLOOKUP(Tabla4[[#This Row],[Producto]],Tabla6[#All],14,FALSE)</f>
        <v>Termico Solar</v>
      </c>
      <c r="U4546" s="284" t="e">
        <f>(IF(Tabla4[[#This Row],[Familia]]="termico solar",Tabla4[[#This Row],[Utilidad Total]]*6%,Tabla4[[#This Row],[Utilidad Total]]*11.5%))/Tabla4[[#This Row],[Total]]</f>
        <v>#N/A</v>
      </c>
      <c r="V4546" s="282" t="e">
        <f>+Tabla4[[#This Row],[Comisión Calculada]]*Tabla4[[#This Row],[Total]]</f>
        <v>#N/A</v>
      </c>
    </row>
    <row r="4547" spans="1:22" hidden="1" x14ac:dyDescent="0.25">
      <c r="A4547" s="100">
        <v>45853</v>
      </c>
      <c r="B4547" t="str">
        <f t="shared" si="230"/>
        <v>July</v>
      </c>
      <c r="C4547" s="46" t="s">
        <v>280</v>
      </c>
      <c r="F4547" s="366" t="s">
        <v>2422</v>
      </c>
      <c r="G4547" s="46" t="s">
        <v>566</v>
      </c>
      <c r="H4547" s="46">
        <v>2</v>
      </c>
      <c r="I4547" s="51">
        <v>2109.4499999999998</v>
      </c>
      <c r="J4547" s="281">
        <f>++Tabla4[[#This Row],[Precio Bruto]]*1.16</f>
        <v>2446.9619999999995</v>
      </c>
      <c r="K4547" s="281">
        <f>+Tabla4[[#This Row],[Precio Unitario Neto]]*Tabla4[[#Headers],[20.85%]]</f>
        <v>510.19157699999988</v>
      </c>
      <c r="L4547" s="282">
        <f>++Tabla4[[#This Row],[Precio Unitario Neto]]-Tabla4[[#This Row],[20.85%]]</f>
        <v>1936.7704229999997</v>
      </c>
      <c r="M4547" s="282" t="e">
        <f>(INDEX(Tabla6[#All],MATCH(Tabla4[[#This Row],[Producto]],Tabla6[[#All],[PRODUCTO]],0),MATCH(Tabla4[[#This Row],[Mes]],Tabla6[#Headers],0)))*(1+Catalogos!$L$2)</f>
        <v>#N/A</v>
      </c>
      <c r="N4547" s="283" t="e">
        <f>+(Tabla4[[#This Row],[Precio Descontado]]-Tabla4[[#This Row],[Precio Base]])*Tabla4[[#This Row],[Cantidad]]</f>
        <v>#N/A</v>
      </c>
      <c r="O4547" s="284" t="e">
        <f>++Tabla4[[#This Row],[Utilidad Total]]/Tabla4[[#This Row],[Total]]</f>
        <v>#N/A</v>
      </c>
      <c r="P4547" s="282">
        <f>++Tabla4[[#This Row],[Precio Descontado]]*Tabla4[[#This Row],[Cantidad]]</f>
        <v>3873.5408459999994</v>
      </c>
      <c r="Q4547" s="282" t="e">
        <f>(INDEX(Tabla6[#All],MATCH(Tabla4[[#This Row],[Producto]],Tabla6[[#All],[PRODUCTO]],0),MATCH(Tabla4[[#This Row],[Mes]],Tabla6[#Headers],0)))</f>
        <v>#N/A</v>
      </c>
      <c r="R4547" s="282" t="e">
        <f>++Tabla4[[#This Row],[Precio Unitario Neto]]-Tabla4[[#This Row],[20.85%]]-Tabla4[[#This Row],[Costo]]</f>
        <v>#N/A</v>
      </c>
      <c r="S4547" s="282" t="e">
        <f>++Tabla4[[#This Row],[U. Bruta Uni]]*Tabla4[[#This Row],[Cantidad]]</f>
        <v>#N/A</v>
      </c>
      <c r="T4547" s="369" t="str">
        <f>VLOOKUP(Tabla4[[#This Row],[Producto]],Tabla6[#All],14,FALSE)</f>
        <v>Termico Solar</v>
      </c>
      <c r="U4547" s="284" t="e">
        <f>(IF(Tabla4[[#This Row],[Familia]]="termico solar",Tabla4[[#This Row],[Utilidad Total]]*6%,Tabla4[[#This Row],[Utilidad Total]]*11.5%))/Tabla4[[#This Row],[Total]]</f>
        <v>#N/A</v>
      </c>
      <c r="V4547" s="282" t="e">
        <f>+Tabla4[[#This Row],[Comisión Calculada]]*Tabla4[[#This Row],[Total]]</f>
        <v>#N/A</v>
      </c>
    </row>
    <row r="4548" spans="1:22" hidden="1" x14ac:dyDescent="0.25">
      <c r="A4548" s="100">
        <v>45853</v>
      </c>
      <c r="B4548" t="str">
        <f t="shared" si="230"/>
        <v>July</v>
      </c>
      <c r="C4548" s="46" t="s">
        <v>280</v>
      </c>
      <c r="F4548" s="366" t="s">
        <v>2422</v>
      </c>
      <c r="G4548" s="46" t="s">
        <v>208</v>
      </c>
      <c r="H4548" s="46">
        <v>7</v>
      </c>
      <c r="I4548" s="51">
        <v>189.75</v>
      </c>
      <c r="J4548" s="281">
        <f>++Tabla4[[#This Row],[Precio Bruto]]*1.16</f>
        <v>220.10999999999999</v>
      </c>
      <c r="K4548" s="281">
        <f>+Tabla4[[#This Row],[Precio Unitario Neto]]*Tabla4[[#Headers],[20.85%]]</f>
        <v>45.892934999999994</v>
      </c>
      <c r="L4548" s="282">
        <f>++Tabla4[[#This Row],[Precio Unitario Neto]]-Tabla4[[#This Row],[20.85%]]</f>
        <v>174.21706499999999</v>
      </c>
      <c r="M4548" s="282" t="e">
        <f>(INDEX(Tabla6[#All],MATCH(Tabla4[[#This Row],[Producto]],Tabla6[[#All],[PRODUCTO]],0),MATCH(Tabla4[[#This Row],[Mes]],Tabla6[#Headers],0)))*(1+Catalogos!$L$2)</f>
        <v>#N/A</v>
      </c>
      <c r="N4548" s="283" t="e">
        <f>+(Tabla4[[#This Row],[Precio Descontado]]-Tabla4[[#This Row],[Precio Base]])*Tabla4[[#This Row],[Cantidad]]</f>
        <v>#N/A</v>
      </c>
      <c r="O4548" s="284" t="e">
        <f>++Tabla4[[#This Row],[Utilidad Total]]/Tabla4[[#This Row],[Total]]</f>
        <v>#N/A</v>
      </c>
      <c r="P4548" s="282">
        <f>++Tabla4[[#This Row],[Precio Descontado]]*Tabla4[[#This Row],[Cantidad]]</f>
        <v>1219.5194549999999</v>
      </c>
      <c r="Q4548" s="282" t="e">
        <f>(INDEX(Tabla6[#All],MATCH(Tabla4[[#This Row],[Producto]],Tabla6[[#All],[PRODUCTO]],0),MATCH(Tabla4[[#This Row],[Mes]],Tabla6[#Headers],0)))</f>
        <v>#N/A</v>
      </c>
      <c r="R4548" s="282" t="e">
        <f>++Tabla4[[#This Row],[Precio Unitario Neto]]-Tabla4[[#This Row],[20.85%]]-Tabla4[[#This Row],[Costo]]</f>
        <v>#N/A</v>
      </c>
      <c r="S4548" s="282" t="e">
        <f>++Tabla4[[#This Row],[U. Bruta Uni]]*Tabla4[[#This Row],[Cantidad]]</f>
        <v>#N/A</v>
      </c>
      <c r="T4548" s="369" t="str">
        <f>VLOOKUP(Tabla4[[#This Row],[Producto]],Tabla6[#All],14,FALSE)</f>
        <v>Termico Solar</v>
      </c>
      <c r="U4548" s="284" t="e">
        <f>(IF(Tabla4[[#This Row],[Familia]]="termico solar",Tabla4[[#This Row],[Utilidad Total]]*6%,Tabla4[[#This Row],[Utilidad Total]]*11.5%))/Tabla4[[#This Row],[Total]]</f>
        <v>#N/A</v>
      </c>
      <c r="V4548" s="282" t="e">
        <f>+Tabla4[[#This Row],[Comisión Calculada]]*Tabla4[[#This Row],[Total]]</f>
        <v>#N/A</v>
      </c>
    </row>
    <row r="4549" spans="1:22" hidden="1" x14ac:dyDescent="0.25">
      <c r="A4549" s="100">
        <v>45853</v>
      </c>
      <c r="B4549" t="str">
        <f t="shared" si="230"/>
        <v>July</v>
      </c>
      <c r="C4549" s="46" t="s">
        <v>280</v>
      </c>
      <c r="F4549" s="366" t="s">
        <v>2422</v>
      </c>
      <c r="G4549" s="46" t="s">
        <v>209</v>
      </c>
      <c r="H4549" s="46">
        <v>4</v>
      </c>
      <c r="I4549" s="51">
        <v>347.48</v>
      </c>
      <c r="J4549" s="281">
        <f>++Tabla4[[#This Row],[Precio Bruto]]*1.16</f>
        <v>403.07679999999999</v>
      </c>
      <c r="K4549" s="281">
        <f>+Tabla4[[#This Row],[Precio Unitario Neto]]*Tabla4[[#Headers],[20.85%]]</f>
        <v>84.041512799999992</v>
      </c>
      <c r="L4549" s="282">
        <f>++Tabla4[[#This Row],[Precio Unitario Neto]]-Tabla4[[#This Row],[20.85%]]</f>
        <v>319.03528719999997</v>
      </c>
      <c r="M4549" s="282" t="e">
        <f>(INDEX(Tabla6[#All],MATCH(Tabla4[[#This Row],[Producto]],Tabla6[[#All],[PRODUCTO]],0),MATCH(Tabla4[[#This Row],[Mes]],Tabla6[#Headers],0)))*(1+Catalogos!$L$2)</f>
        <v>#N/A</v>
      </c>
      <c r="N4549" s="283" t="e">
        <f>+(Tabla4[[#This Row],[Precio Descontado]]-Tabla4[[#This Row],[Precio Base]])*Tabla4[[#This Row],[Cantidad]]</f>
        <v>#N/A</v>
      </c>
      <c r="O4549" s="284" t="e">
        <f>++Tabla4[[#This Row],[Utilidad Total]]/Tabla4[[#This Row],[Total]]</f>
        <v>#N/A</v>
      </c>
      <c r="P4549" s="282">
        <f>++Tabla4[[#This Row],[Precio Descontado]]*Tabla4[[#This Row],[Cantidad]]</f>
        <v>1276.1411487999999</v>
      </c>
      <c r="Q4549" s="282" t="e">
        <f>(INDEX(Tabla6[#All],MATCH(Tabla4[[#This Row],[Producto]],Tabla6[[#All],[PRODUCTO]],0),MATCH(Tabla4[[#This Row],[Mes]],Tabla6[#Headers],0)))</f>
        <v>#N/A</v>
      </c>
      <c r="R4549" s="282" t="e">
        <f>++Tabla4[[#This Row],[Precio Unitario Neto]]-Tabla4[[#This Row],[20.85%]]-Tabla4[[#This Row],[Costo]]</f>
        <v>#N/A</v>
      </c>
      <c r="S4549" s="282" t="e">
        <f>++Tabla4[[#This Row],[U. Bruta Uni]]*Tabla4[[#This Row],[Cantidad]]</f>
        <v>#N/A</v>
      </c>
      <c r="T4549" s="369" t="str">
        <f>VLOOKUP(Tabla4[[#This Row],[Producto]],Tabla6[#All],14,FALSE)</f>
        <v>Termico Solar</v>
      </c>
      <c r="U4549" s="284" t="e">
        <f>(IF(Tabla4[[#This Row],[Familia]]="termico solar",Tabla4[[#This Row],[Utilidad Total]]*6%,Tabla4[[#This Row],[Utilidad Total]]*11.5%))/Tabla4[[#This Row],[Total]]</f>
        <v>#N/A</v>
      </c>
      <c r="V4549" s="282" t="e">
        <f>+Tabla4[[#This Row],[Comisión Calculada]]*Tabla4[[#This Row],[Total]]</f>
        <v>#N/A</v>
      </c>
    </row>
    <row r="4550" spans="1:22" hidden="1" x14ac:dyDescent="0.25">
      <c r="A4550" s="100">
        <v>45853</v>
      </c>
      <c r="B4550" t="str">
        <f t="shared" si="230"/>
        <v>July</v>
      </c>
      <c r="C4550" s="46" t="s">
        <v>280</v>
      </c>
      <c r="F4550" s="366" t="s">
        <v>2423</v>
      </c>
      <c r="G4550" s="46" t="s">
        <v>566</v>
      </c>
      <c r="H4550" s="46">
        <v>2</v>
      </c>
      <c r="I4550" s="51">
        <v>2109.4499999999998</v>
      </c>
      <c r="J4550" s="281">
        <f>++Tabla4[[#This Row],[Precio Bruto]]*1.16</f>
        <v>2446.9619999999995</v>
      </c>
      <c r="K4550" s="281">
        <f>+Tabla4[[#This Row],[Precio Unitario Neto]]*Tabla4[[#Headers],[20.85%]]</f>
        <v>510.19157699999988</v>
      </c>
      <c r="L4550" s="282">
        <f>++Tabla4[[#This Row],[Precio Unitario Neto]]-Tabla4[[#This Row],[20.85%]]</f>
        <v>1936.7704229999997</v>
      </c>
      <c r="M4550" s="282" t="e">
        <f>(INDEX(Tabla6[#All],MATCH(Tabla4[[#This Row],[Producto]],Tabla6[[#All],[PRODUCTO]],0),MATCH(Tabla4[[#This Row],[Mes]],Tabla6[#Headers],0)))*(1+Catalogos!$L$2)</f>
        <v>#N/A</v>
      </c>
      <c r="N4550" s="283" t="e">
        <f>+(Tabla4[[#This Row],[Precio Descontado]]-Tabla4[[#This Row],[Precio Base]])*Tabla4[[#This Row],[Cantidad]]</f>
        <v>#N/A</v>
      </c>
      <c r="O4550" s="284" t="e">
        <f>++Tabla4[[#This Row],[Utilidad Total]]/Tabla4[[#This Row],[Total]]</f>
        <v>#N/A</v>
      </c>
      <c r="P4550" s="282">
        <f>++Tabla4[[#This Row],[Precio Descontado]]*Tabla4[[#This Row],[Cantidad]]</f>
        <v>3873.5408459999994</v>
      </c>
      <c r="Q4550" s="282" t="e">
        <f>(INDEX(Tabla6[#All],MATCH(Tabla4[[#This Row],[Producto]],Tabla6[[#All],[PRODUCTO]],0),MATCH(Tabla4[[#This Row],[Mes]],Tabla6[#Headers],0)))</f>
        <v>#N/A</v>
      </c>
      <c r="R4550" s="282" t="e">
        <f>++Tabla4[[#This Row],[Precio Unitario Neto]]-Tabla4[[#This Row],[20.85%]]-Tabla4[[#This Row],[Costo]]</f>
        <v>#N/A</v>
      </c>
      <c r="S4550" s="282" t="e">
        <f>++Tabla4[[#This Row],[U. Bruta Uni]]*Tabla4[[#This Row],[Cantidad]]</f>
        <v>#N/A</v>
      </c>
      <c r="T4550" s="369" t="str">
        <f>VLOOKUP(Tabla4[[#This Row],[Producto]],Tabla6[#All],14,FALSE)</f>
        <v>Termico Solar</v>
      </c>
      <c r="U4550" s="284" t="e">
        <f>(IF(Tabla4[[#This Row],[Familia]]="termico solar",Tabla4[[#This Row],[Utilidad Total]]*6%,Tabla4[[#This Row],[Utilidad Total]]*11.5%))/Tabla4[[#This Row],[Total]]</f>
        <v>#N/A</v>
      </c>
      <c r="V4550" s="282" t="e">
        <f>+Tabla4[[#This Row],[Comisión Calculada]]*Tabla4[[#This Row],[Total]]</f>
        <v>#N/A</v>
      </c>
    </row>
    <row r="4551" spans="1:22" hidden="1" x14ac:dyDescent="0.25">
      <c r="A4551" s="100">
        <v>45853</v>
      </c>
      <c r="B4551" t="str">
        <f t="shared" si="230"/>
        <v>July</v>
      </c>
      <c r="C4551" s="46" t="s">
        <v>280</v>
      </c>
      <c r="F4551" s="366" t="s">
        <v>2423</v>
      </c>
      <c r="G4551" s="46" t="s">
        <v>16</v>
      </c>
      <c r="H4551" s="46">
        <v>2</v>
      </c>
      <c r="I4551" s="51">
        <v>4103.8500000000004</v>
      </c>
      <c r="J4551" s="281">
        <f>++Tabla4[[#This Row],[Precio Bruto]]*1.16</f>
        <v>4760.4660000000003</v>
      </c>
      <c r="K4551" s="281">
        <f>+Tabla4[[#This Row],[Precio Unitario Neto]]*Tabla4[[#Headers],[20.85%]]</f>
        <v>992.55716100000006</v>
      </c>
      <c r="L4551" s="282">
        <f>++Tabla4[[#This Row],[Precio Unitario Neto]]-Tabla4[[#This Row],[20.85%]]</f>
        <v>3767.9088390000002</v>
      </c>
      <c r="M4551" s="282" t="e">
        <f>(INDEX(Tabla6[#All],MATCH(Tabla4[[#This Row],[Producto]],Tabla6[[#All],[PRODUCTO]],0),MATCH(Tabla4[[#This Row],[Mes]],Tabla6[#Headers],0)))*(1+Catalogos!$L$2)</f>
        <v>#N/A</v>
      </c>
      <c r="N4551" s="283" t="e">
        <f>+(Tabla4[[#This Row],[Precio Descontado]]-Tabla4[[#This Row],[Precio Base]])*Tabla4[[#This Row],[Cantidad]]</f>
        <v>#N/A</v>
      </c>
      <c r="O4551" s="284" t="e">
        <f>++Tabla4[[#This Row],[Utilidad Total]]/Tabla4[[#This Row],[Total]]</f>
        <v>#N/A</v>
      </c>
      <c r="P4551" s="282">
        <f>++Tabla4[[#This Row],[Precio Descontado]]*Tabla4[[#This Row],[Cantidad]]</f>
        <v>7535.8176780000003</v>
      </c>
      <c r="Q4551" s="282" t="e">
        <f>(INDEX(Tabla6[#All],MATCH(Tabla4[[#This Row],[Producto]],Tabla6[[#All],[PRODUCTO]],0),MATCH(Tabla4[[#This Row],[Mes]],Tabla6[#Headers],0)))</f>
        <v>#N/A</v>
      </c>
      <c r="R4551" s="282" t="e">
        <f>++Tabla4[[#This Row],[Precio Unitario Neto]]-Tabla4[[#This Row],[20.85%]]-Tabla4[[#This Row],[Costo]]</f>
        <v>#N/A</v>
      </c>
      <c r="S4551" s="282" t="e">
        <f>++Tabla4[[#This Row],[U. Bruta Uni]]*Tabla4[[#This Row],[Cantidad]]</f>
        <v>#N/A</v>
      </c>
      <c r="T4551" s="369" t="str">
        <f>VLOOKUP(Tabla4[[#This Row],[Producto]],Tabla6[#All],14,FALSE)</f>
        <v>Termico Solar</v>
      </c>
      <c r="U4551" s="284" t="e">
        <f>(IF(Tabla4[[#This Row],[Familia]]="termico solar",Tabla4[[#This Row],[Utilidad Total]]*6%,Tabla4[[#This Row],[Utilidad Total]]*11.5%))/Tabla4[[#This Row],[Total]]</f>
        <v>#N/A</v>
      </c>
      <c r="V4551" s="282" t="e">
        <f>+Tabla4[[#This Row],[Comisión Calculada]]*Tabla4[[#This Row],[Total]]</f>
        <v>#N/A</v>
      </c>
    </row>
    <row r="4552" spans="1:22" hidden="1" x14ac:dyDescent="0.25">
      <c r="A4552" s="100">
        <v>45853</v>
      </c>
      <c r="B4552" t="str">
        <f t="shared" si="230"/>
        <v>July</v>
      </c>
      <c r="C4552" s="46" t="s">
        <v>280</v>
      </c>
      <c r="F4552" s="366" t="s">
        <v>2423</v>
      </c>
      <c r="G4552" s="46" t="s">
        <v>394</v>
      </c>
      <c r="H4552" s="46">
        <v>16</v>
      </c>
      <c r="I4552" s="51">
        <v>224.29</v>
      </c>
      <c r="J4552" s="281">
        <f>++Tabla4[[#This Row],[Precio Bruto]]*1.16</f>
        <v>260.1764</v>
      </c>
      <c r="K4552" s="281">
        <f>+Tabla4[[#This Row],[Precio Unitario Neto]]*Tabla4[[#Headers],[20.85%]]</f>
        <v>54.246779400000001</v>
      </c>
      <c r="L4552" s="282">
        <f>++Tabla4[[#This Row],[Precio Unitario Neto]]-Tabla4[[#This Row],[20.85%]]</f>
        <v>205.92962059999999</v>
      </c>
      <c r="M4552" s="282" t="e">
        <f>(INDEX(Tabla6[#All],MATCH(Tabla4[[#This Row],[Producto]],Tabla6[[#All],[PRODUCTO]],0),MATCH(Tabla4[[#This Row],[Mes]],Tabla6[#Headers],0)))*(1+Catalogos!$L$2)</f>
        <v>#N/A</v>
      </c>
      <c r="N4552" s="283" t="e">
        <f>+(Tabla4[[#This Row],[Precio Descontado]]-Tabla4[[#This Row],[Precio Base]])*Tabla4[[#This Row],[Cantidad]]</f>
        <v>#N/A</v>
      </c>
      <c r="O4552" s="284" t="e">
        <f>++Tabla4[[#This Row],[Utilidad Total]]/Tabla4[[#This Row],[Total]]</f>
        <v>#N/A</v>
      </c>
      <c r="P4552" s="282">
        <f>++Tabla4[[#This Row],[Precio Descontado]]*Tabla4[[#This Row],[Cantidad]]</f>
        <v>3294.8739295999999</v>
      </c>
      <c r="Q4552" s="282" t="e">
        <f>(INDEX(Tabla6[#All],MATCH(Tabla4[[#This Row],[Producto]],Tabla6[[#All],[PRODUCTO]],0),MATCH(Tabla4[[#This Row],[Mes]],Tabla6[#Headers],0)))</f>
        <v>#N/A</v>
      </c>
      <c r="R4552" s="282" t="e">
        <f>++Tabla4[[#This Row],[Precio Unitario Neto]]-Tabla4[[#This Row],[20.85%]]-Tabla4[[#This Row],[Costo]]</f>
        <v>#N/A</v>
      </c>
      <c r="S4552" s="282" t="e">
        <f>++Tabla4[[#This Row],[U. Bruta Uni]]*Tabla4[[#This Row],[Cantidad]]</f>
        <v>#N/A</v>
      </c>
      <c r="T4552" s="369" t="str">
        <f>VLOOKUP(Tabla4[[#This Row],[Producto]],Tabla6[#All],14,FALSE)</f>
        <v>Termico Solar</v>
      </c>
      <c r="U4552" s="284" t="e">
        <f>(IF(Tabla4[[#This Row],[Familia]]="termico solar",Tabla4[[#This Row],[Utilidad Total]]*6%,Tabla4[[#This Row],[Utilidad Total]]*11.5%))/Tabla4[[#This Row],[Total]]</f>
        <v>#N/A</v>
      </c>
      <c r="V4552" s="282" t="e">
        <f>+Tabla4[[#This Row],[Comisión Calculada]]*Tabla4[[#This Row],[Total]]</f>
        <v>#N/A</v>
      </c>
    </row>
    <row r="4553" spans="1:22" hidden="1" x14ac:dyDescent="0.25">
      <c r="A4553" s="100">
        <v>45853</v>
      </c>
      <c r="B4553" t="str">
        <f t="shared" si="230"/>
        <v>July</v>
      </c>
      <c r="C4553" s="46" t="s">
        <v>280</v>
      </c>
      <c r="F4553" s="366" t="s">
        <v>2423</v>
      </c>
      <c r="G4553" s="46" t="s">
        <v>208</v>
      </c>
      <c r="H4553" s="46">
        <v>23</v>
      </c>
      <c r="I4553" s="51">
        <v>189.75</v>
      </c>
      <c r="J4553" s="281">
        <f>++Tabla4[[#This Row],[Precio Bruto]]*1.16</f>
        <v>220.10999999999999</v>
      </c>
      <c r="K4553" s="281">
        <f>+Tabla4[[#This Row],[Precio Unitario Neto]]*Tabla4[[#Headers],[20.85%]]</f>
        <v>45.892934999999994</v>
      </c>
      <c r="L4553" s="282">
        <f>++Tabla4[[#This Row],[Precio Unitario Neto]]-Tabla4[[#This Row],[20.85%]]</f>
        <v>174.21706499999999</v>
      </c>
      <c r="M4553" s="282" t="e">
        <f>(INDEX(Tabla6[#All],MATCH(Tabla4[[#This Row],[Producto]],Tabla6[[#All],[PRODUCTO]],0),MATCH(Tabla4[[#This Row],[Mes]],Tabla6[#Headers],0)))*(1+Catalogos!$L$2)</f>
        <v>#N/A</v>
      </c>
      <c r="N4553" s="283" t="e">
        <f>+(Tabla4[[#This Row],[Precio Descontado]]-Tabla4[[#This Row],[Precio Base]])*Tabla4[[#This Row],[Cantidad]]</f>
        <v>#N/A</v>
      </c>
      <c r="O4553" s="284" t="e">
        <f>++Tabla4[[#This Row],[Utilidad Total]]/Tabla4[[#This Row],[Total]]</f>
        <v>#N/A</v>
      </c>
      <c r="P4553" s="282">
        <f>++Tabla4[[#This Row],[Precio Descontado]]*Tabla4[[#This Row],[Cantidad]]</f>
        <v>4006.992495</v>
      </c>
      <c r="Q4553" s="282" t="e">
        <f>(INDEX(Tabla6[#All],MATCH(Tabla4[[#This Row],[Producto]],Tabla6[[#All],[PRODUCTO]],0),MATCH(Tabla4[[#This Row],[Mes]],Tabla6[#Headers],0)))</f>
        <v>#N/A</v>
      </c>
      <c r="R4553" s="282" t="e">
        <f>++Tabla4[[#This Row],[Precio Unitario Neto]]-Tabla4[[#This Row],[20.85%]]-Tabla4[[#This Row],[Costo]]</f>
        <v>#N/A</v>
      </c>
      <c r="S4553" s="282" t="e">
        <f>++Tabla4[[#This Row],[U. Bruta Uni]]*Tabla4[[#This Row],[Cantidad]]</f>
        <v>#N/A</v>
      </c>
      <c r="T4553" s="369" t="str">
        <f>VLOOKUP(Tabla4[[#This Row],[Producto]],Tabla6[#All],14,FALSE)</f>
        <v>Termico Solar</v>
      </c>
      <c r="U4553" s="284" t="e">
        <f>(IF(Tabla4[[#This Row],[Familia]]="termico solar",Tabla4[[#This Row],[Utilidad Total]]*6%,Tabla4[[#This Row],[Utilidad Total]]*11.5%))/Tabla4[[#This Row],[Total]]</f>
        <v>#N/A</v>
      </c>
      <c r="V4553" s="282" t="e">
        <f>+Tabla4[[#This Row],[Comisión Calculada]]*Tabla4[[#This Row],[Total]]</f>
        <v>#N/A</v>
      </c>
    </row>
    <row r="4554" spans="1:22" hidden="1" x14ac:dyDescent="0.25">
      <c r="A4554" s="100">
        <v>45853</v>
      </c>
      <c r="B4554" t="str">
        <f t="shared" si="230"/>
        <v>July</v>
      </c>
      <c r="C4554" s="46" t="s">
        <v>280</v>
      </c>
      <c r="F4554" s="366" t="s">
        <v>2423</v>
      </c>
      <c r="G4554" s="46" t="s">
        <v>209</v>
      </c>
      <c r="H4554" s="46">
        <v>3</v>
      </c>
      <c r="I4554" s="51">
        <v>347.48</v>
      </c>
      <c r="J4554" s="281">
        <f>++Tabla4[[#This Row],[Precio Bruto]]*1.16</f>
        <v>403.07679999999999</v>
      </c>
      <c r="K4554" s="281">
        <f>+Tabla4[[#This Row],[Precio Unitario Neto]]*Tabla4[[#Headers],[20.85%]]</f>
        <v>84.041512799999992</v>
      </c>
      <c r="L4554" s="282">
        <f>++Tabla4[[#This Row],[Precio Unitario Neto]]-Tabla4[[#This Row],[20.85%]]</f>
        <v>319.03528719999997</v>
      </c>
      <c r="M4554" s="282" t="e">
        <f>(INDEX(Tabla6[#All],MATCH(Tabla4[[#This Row],[Producto]],Tabla6[[#All],[PRODUCTO]],0),MATCH(Tabla4[[#This Row],[Mes]],Tabla6[#Headers],0)))*(1+Catalogos!$L$2)</f>
        <v>#N/A</v>
      </c>
      <c r="N4554" s="283" t="e">
        <f>+(Tabla4[[#This Row],[Precio Descontado]]-Tabla4[[#This Row],[Precio Base]])*Tabla4[[#This Row],[Cantidad]]</f>
        <v>#N/A</v>
      </c>
      <c r="O4554" s="284" t="e">
        <f>++Tabla4[[#This Row],[Utilidad Total]]/Tabla4[[#This Row],[Total]]</f>
        <v>#N/A</v>
      </c>
      <c r="P4554" s="282">
        <f>++Tabla4[[#This Row],[Precio Descontado]]*Tabla4[[#This Row],[Cantidad]]</f>
        <v>957.10586159999991</v>
      </c>
      <c r="Q4554" s="282" t="e">
        <f>(INDEX(Tabla6[#All],MATCH(Tabla4[[#This Row],[Producto]],Tabla6[[#All],[PRODUCTO]],0),MATCH(Tabla4[[#This Row],[Mes]],Tabla6[#Headers],0)))</f>
        <v>#N/A</v>
      </c>
      <c r="R4554" s="282" t="e">
        <f>++Tabla4[[#This Row],[Precio Unitario Neto]]-Tabla4[[#This Row],[20.85%]]-Tabla4[[#This Row],[Costo]]</f>
        <v>#N/A</v>
      </c>
      <c r="S4554" s="282" t="e">
        <f>++Tabla4[[#This Row],[U. Bruta Uni]]*Tabla4[[#This Row],[Cantidad]]</f>
        <v>#N/A</v>
      </c>
      <c r="T4554" s="369" t="str">
        <f>VLOOKUP(Tabla4[[#This Row],[Producto]],Tabla6[#All],14,FALSE)</f>
        <v>Termico Solar</v>
      </c>
      <c r="U4554" s="284" t="e">
        <f>(IF(Tabla4[[#This Row],[Familia]]="termico solar",Tabla4[[#This Row],[Utilidad Total]]*6%,Tabla4[[#This Row],[Utilidad Total]]*11.5%))/Tabla4[[#This Row],[Total]]</f>
        <v>#N/A</v>
      </c>
      <c r="V4554" s="282" t="e">
        <f>+Tabla4[[#This Row],[Comisión Calculada]]*Tabla4[[#This Row],[Total]]</f>
        <v>#N/A</v>
      </c>
    </row>
    <row r="4555" spans="1:22" hidden="1" x14ac:dyDescent="0.25">
      <c r="A4555" s="100">
        <v>45853</v>
      </c>
      <c r="B4555" t="str">
        <f t="shared" si="230"/>
        <v>July</v>
      </c>
      <c r="C4555" s="46" t="s">
        <v>280</v>
      </c>
      <c r="F4555" s="366" t="s">
        <v>2424</v>
      </c>
      <c r="G4555" s="46" t="s">
        <v>566</v>
      </c>
      <c r="H4555" s="46">
        <v>1</v>
      </c>
      <c r="I4555" s="51">
        <v>2109.4499999999998</v>
      </c>
      <c r="J4555" s="281">
        <f>++Tabla4[[#This Row],[Precio Bruto]]*1.16</f>
        <v>2446.9619999999995</v>
      </c>
      <c r="K4555" s="281">
        <f>+Tabla4[[#This Row],[Precio Unitario Neto]]*Tabla4[[#Headers],[20.85%]]</f>
        <v>510.19157699999988</v>
      </c>
      <c r="L4555" s="282">
        <f>++Tabla4[[#This Row],[Precio Unitario Neto]]-Tabla4[[#This Row],[20.85%]]</f>
        <v>1936.7704229999997</v>
      </c>
      <c r="M4555" s="282" t="e">
        <f>(INDEX(Tabla6[#All],MATCH(Tabla4[[#This Row],[Producto]],Tabla6[[#All],[PRODUCTO]],0),MATCH(Tabla4[[#This Row],[Mes]],Tabla6[#Headers],0)))*(1+Catalogos!$L$2)</f>
        <v>#N/A</v>
      </c>
      <c r="N4555" s="283" t="e">
        <f>+(Tabla4[[#This Row],[Precio Descontado]]-Tabla4[[#This Row],[Precio Base]])*Tabla4[[#This Row],[Cantidad]]</f>
        <v>#N/A</v>
      </c>
      <c r="O4555" s="284" t="e">
        <f>++Tabla4[[#This Row],[Utilidad Total]]/Tabla4[[#This Row],[Total]]</f>
        <v>#N/A</v>
      </c>
      <c r="P4555" s="282">
        <f>++Tabla4[[#This Row],[Precio Descontado]]*Tabla4[[#This Row],[Cantidad]]</f>
        <v>1936.7704229999997</v>
      </c>
      <c r="Q4555" s="282" t="e">
        <f>(INDEX(Tabla6[#All],MATCH(Tabla4[[#This Row],[Producto]],Tabla6[[#All],[PRODUCTO]],0),MATCH(Tabla4[[#This Row],[Mes]],Tabla6[#Headers],0)))</f>
        <v>#N/A</v>
      </c>
      <c r="R4555" s="282" t="e">
        <f>++Tabla4[[#This Row],[Precio Unitario Neto]]-Tabla4[[#This Row],[20.85%]]-Tabla4[[#This Row],[Costo]]</f>
        <v>#N/A</v>
      </c>
      <c r="S4555" s="282" t="e">
        <f>++Tabla4[[#This Row],[U. Bruta Uni]]*Tabla4[[#This Row],[Cantidad]]</f>
        <v>#N/A</v>
      </c>
      <c r="T4555" s="369" t="str">
        <f>VLOOKUP(Tabla4[[#This Row],[Producto]],Tabla6[#All],14,FALSE)</f>
        <v>Termico Solar</v>
      </c>
      <c r="U4555" s="284" t="e">
        <f>(IF(Tabla4[[#This Row],[Familia]]="termico solar",Tabla4[[#This Row],[Utilidad Total]]*6%,Tabla4[[#This Row],[Utilidad Total]]*11.5%))/Tabla4[[#This Row],[Total]]</f>
        <v>#N/A</v>
      </c>
      <c r="V4555" s="282" t="e">
        <f>+Tabla4[[#This Row],[Comisión Calculada]]*Tabla4[[#This Row],[Total]]</f>
        <v>#N/A</v>
      </c>
    </row>
    <row r="4556" spans="1:22" hidden="1" x14ac:dyDescent="0.25">
      <c r="A4556" s="100">
        <v>45853</v>
      </c>
      <c r="B4556" t="str">
        <f t="shared" si="230"/>
        <v>July</v>
      </c>
      <c r="C4556" s="46" t="s">
        <v>280</v>
      </c>
      <c r="F4556" s="366" t="s">
        <v>2424</v>
      </c>
      <c r="G4556" s="46" t="s">
        <v>16</v>
      </c>
      <c r="H4556" s="46">
        <v>1</v>
      </c>
      <c r="I4556" s="51">
        <v>4103.8500000000004</v>
      </c>
      <c r="J4556" s="281">
        <f>++Tabla4[[#This Row],[Precio Bruto]]*1.16</f>
        <v>4760.4660000000003</v>
      </c>
      <c r="K4556" s="281">
        <f>+Tabla4[[#This Row],[Precio Unitario Neto]]*Tabla4[[#Headers],[20.85%]]</f>
        <v>992.55716100000006</v>
      </c>
      <c r="L4556" s="282">
        <f>++Tabla4[[#This Row],[Precio Unitario Neto]]-Tabla4[[#This Row],[20.85%]]</f>
        <v>3767.9088390000002</v>
      </c>
      <c r="M4556" s="282" t="e">
        <f>(INDEX(Tabla6[#All],MATCH(Tabla4[[#This Row],[Producto]],Tabla6[[#All],[PRODUCTO]],0),MATCH(Tabla4[[#This Row],[Mes]],Tabla6[#Headers],0)))*(1+Catalogos!$L$2)</f>
        <v>#N/A</v>
      </c>
      <c r="N4556" s="283" t="e">
        <f>+(Tabla4[[#This Row],[Precio Descontado]]-Tabla4[[#This Row],[Precio Base]])*Tabla4[[#This Row],[Cantidad]]</f>
        <v>#N/A</v>
      </c>
      <c r="O4556" s="284" t="e">
        <f>++Tabla4[[#This Row],[Utilidad Total]]/Tabla4[[#This Row],[Total]]</f>
        <v>#N/A</v>
      </c>
      <c r="P4556" s="282">
        <f>++Tabla4[[#This Row],[Precio Descontado]]*Tabla4[[#This Row],[Cantidad]]</f>
        <v>3767.9088390000002</v>
      </c>
      <c r="Q4556" s="282" t="e">
        <f>(INDEX(Tabla6[#All],MATCH(Tabla4[[#This Row],[Producto]],Tabla6[[#All],[PRODUCTO]],0),MATCH(Tabla4[[#This Row],[Mes]],Tabla6[#Headers],0)))</f>
        <v>#N/A</v>
      </c>
      <c r="R4556" s="282" t="e">
        <f>++Tabla4[[#This Row],[Precio Unitario Neto]]-Tabla4[[#This Row],[20.85%]]-Tabla4[[#This Row],[Costo]]</f>
        <v>#N/A</v>
      </c>
      <c r="S4556" s="282" t="e">
        <f>++Tabla4[[#This Row],[U. Bruta Uni]]*Tabla4[[#This Row],[Cantidad]]</f>
        <v>#N/A</v>
      </c>
      <c r="T4556" s="369" t="str">
        <f>VLOOKUP(Tabla4[[#This Row],[Producto]],Tabla6[#All],14,FALSE)</f>
        <v>Termico Solar</v>
      </c>
      <c r="U4556" s="284" t="e">
        <f>(IF(Tabla4[[#This Row],[Familia]]="termico solar",Tabla4[[#This Row],[Utilidad Total]]*6%,Tabla4[[#This Row],[Utilidad Total]]*11.5%))/Tabla4[[#This Row],[Total]]</f>
        <v>#N/A</v>
      </c>
      <c r="V4556" s="282" t="e">
        <f>+Tabla4[[#This Row],[Comisión Calculada]]*Tabla4[[#This Row],[Total]]</f>
        <v>#N/A</v>
      </c>
    </row>
    <row r="4557" spans="1:22" hidden="1" x14ac:dyDescent="0.25">
      <c r="A4557" s="100">
        <v>45853</v>
      </c>
      <c r="B4557" t="str">
        <f t="shared" si="230"/>
        <v>July</v>
      </c>
      <c r="C4557" s="46" t="s">
        <v>280</v>
      </c>
      <c r="F4557" s="366" t="s">
        <v>2424</v>
      </c>
      <c r="G4557" s="46" t="s">
        <v>208</v>
      </c>
      <c r="H4557" s="46">
        <v>1</v>
      </c>
      <c r="I4557" s="51">
        <v>189.75</v>
      </c>
      <c r="J4557" s="281">
        <f>++Tabla4[[#This Row],[Precio Bruto]]*1.16</f>
        <v>220.10999999999999</v>
      </c>
      <c r="K4557" s="281">
        <f>+Tabla4[[#This Row],[Precio Unitario Neto]]*Tabla4[[#Headers],[20.85%]]</f>
        <v>45.892934999999994</v>
      </c>
      <c r="L4557" s="282">
        <f>++Tabla4[[#This Row],[Precio Unitario Neto]]-Tabla4[[#This Row],[20.85%]]</f>
        <v>174.21706499999999</v>
      </c>
      <c r="M4557" s="282" t="e">
        <f>(INDEX(Tabla6[#All],MATCH(Tabla4[[#This Row],[Producto]],Tabla6[[#All],[PRODUCTO]],0),MATCH(Tabla4[[#This Row],[Mes]],Tabla6[#Headers],0)))*(1+Catalogos!$L$2)</f>
        <v>#N/A</v>
      </c>
      <c r="N4557" s="283" t="e">
        <f>+(Tabla4[[#This Row],[Precio Descontado]]-Tabla4[[#This Row],[Precio Base]])*Tabla4[[#This Row],[Cantidad]]</f>
        <v>#N/A</v>
      </c>
      <c r="O4557" s="284" t="e">
        <f>++Tabla4[[#This Row],[Utilidad Total]]/Tabla4[[#This Row],[Total]]</f>
        <v>#N/A</v>
      </c>
      <c r="P4557" s="282">
        <f>++Tabla4[[#This Row],[Precio Descontado]]*Tabla4[[#This Row],[Cantidad]]</f>
        <v>174.21706499999999</v>
      </c>
      <c r="Q4557" s="282" t="e">
        <f>(INDEX(Tabla6[#All],MATCH(Tabla4[[#This Row],[Producto]],Tabla6[[#All],[PRODUCTO]],0),MATCH(Tabla4[[#This Row],[Mes]],Tabla6[#Headers],0)))</f>
        <v>#N/A</v>
      </c>
      <c r="R4557" s="282" t="e">
        <f>++Tabla4[[#This Row],[Precio Unitario Neto]]-Tabla4[[#This Row],[20.85%]]-Tabla4[[#This Row],[Costo]]</f>
        <v>#N/A</v>
      </c>
      <c r="S4557" s="282" t="e">
        <f>++Tabla4[[#This Row],[U. Bruta Uni]]*Tabla4[[#This Row],[Cantidad]]</f>
        <v>#N/A</v>
      </c>
      <c r="T4557" s="369" t="str">
        <f>VLOOKUP(Tabla4[[#This Row],[Producto]],Tabla6[#All],14,FALSE)</f>
        <v>Termico Solar</v>
      </c>
      <c r="U4557" s="284" t="e">
        <f>(IF(Tabla4[[#This Row],[Familia]]="termico solar",Tabla4[[#This Row],[Utilidad Total]]*6%,Tabla4[[#This Row],[Utilidad Total]]*11.5%))/Tabla4[[#This Row],[Total]]</f>
        <v>#N/A</v>
      </c>
      <c r="V4557" s="282" t="e">
        <f>+Tabla4[[#This Row],[Comisión Calculada]]*Tabla4[[#This Row],[Total]]</f>
        <v>#N/A</v>
      </c>
    </row>
    <row r="4558" spans="1:22" hidden="1" x14ac:dyDescent="0.25">
      <c r="A4558" s="100">
        <v>45853</v>
      </c>
      <c r="B4558" t="str">
        <f t="shared" si="230"/>
        <v>July</v>
      </c>
      <c r="C4558" s="46" t="s">
        <v>280</v>
      </c>
      <c r="F4558" s="366" t="s">
        <v>2425</v>
      </c>
      <c r="G4558" s="46" t="s">
        <v>83</v>
      </c>
      <c r="H4558" s="46">
        <v>7</v>
      </c>
      <c r="I4558" s="51">
        <v>8858.76</v>
      </c>
      <c r="J4558" s="281">
        <f>++Tabla4[[#This Row],[Precio Bruto]]*1.16</f>
        <v>10276.161599999999</v>
      </c>
      <c r="K4558" s="281">
        <f>+Tabla4[[#This Row],[Precio Unitario Neto]]*Tabla4[[#Headers],[20.85%]]</f>
        <v>2142.5796935999997</v>
      </c>
      <c r="L4558" s="282">
        <f>++Tabla4[[#This Row],[Precio Unitario Neto]]-Tabla4[[#This Row],[20.85%]]</f>
        <v>8133.5819063999998</v>
      </c>
      <c r="M4558" s="282" t="e">
        <f>(INDEX(Tabla6[#All],MATCH(Tabla4[[#This Row],[Producto]],Tabla6[[#All],[PRODUCTO]],0),MATCH(Tabla4[[#This Row],[Mes]],Tabla6[#Headers],0)))*(1+Catalogos!$L$2)</f>
        <v>#N/A</v>
      </c>
      <c r="N4558" s="283" t="e">
        <f>+(Tabla4[[#This Row],[Precio Descontado]]-Tabla4[[#This Row],[Precio Base]])*Tabla4[[#This Row],[Cantidad]]</f>
        <v>#N/A</v>
      </c>
      <c r="O4558" s="284" t="e">
        <f>++Tabla4[[#This Row],[Utilidad Total]]/Tabla4[[#This Row],[Total]]</f>
        <v>#N/A</v>
      </c>
      <c r="P4558" s="282">
        <f>++Tabla4[[#This Row],[Precio Descontado]]*Tabla4[[#This Row],[Cantidad]]</f>
        <v>56935.073344799996</v>
      </c>
      <c r="Q4558" s="282" t="e">
        <f>(INDEX(Tabla6[#All],MATCH(Tabla4[[#This Row],[Producto]],Tabla6[[#All],[PRODUCTO]],0),MATCH(Tabla4[[#This Row],[Mes]],Tabla6[#Headers],0)))</f>
        <v>#N/A</v>
      </c>
      <c r="R4558" s="282" t="e">
        <f>++Tabla4[[#This Row],[Precio Unitario Neto]]-Tabla4[[#This Row],[20.85%]]-Tabla4[[#This Row],[Costo]]</f>
        <v>#N/A</v>
      </c>
      <c r="S4558" s="282" t="e">
        <f>++Tabla4[[#This Row],[U. Bruta Uni]]*Tabla4[[#This Row],[Cantidad]]</f>
        <v>#N/A</v>
      </c>
      <c r="T4558" s="369" t="str">
        <f>VLOOKUP(Tabla4[[#This Row],[Producto]],Tabla6[#All],14,FALSE)</f>
        <v>Termico Solar</v>
      </c>
      <c r="U4558" s="284" t="e">
        <f>(IF(Tabla4[[#This Row],[Familia]]="termico solar",Tabla4[[#This Row],[Utilidad Total]]*6%,Tabla4[[#This Row],[Utilidad Total]]*11.5%))/Tabla4[[#This Row],[Total]]</f>
        <v>#N/A</v>
      </c>
      <c r="V4558" s="282" t="e">
        <f>+Tabla4[[#This Row],[Comisión Calculada]]*Tabla4[[#This Row],[Total]]</f>
        <v>#N/A</v>
      </c>
    </row>
    <row r="4559" spans="1:22" hidden="1" x14ac:dyDescent="0.25">
      <c r="A4559" s="100">
        <v>45853</v>
      </c>
      <c r="B4559" t="str">
        <f t="shared" si="230"/>
        <v>July</v>
      </c>
      <c r="C4559" s="46" t="s">
        <v>280</v>
      </c>
      <c r="F4559" s="366" t="s">
        <v>2425</v>
      </c>
      <c r="G4559" s="46" t="s">
        <v>18</v>
      </c>
      <c r="H4559" s="46">
        <v>40</v>
      </c>
      <c r="I4559" s="51">
        <v>5367.65</v>
      </c>
      <c r="J4559" s="281">
        <f>++Tabla4[[#This Row],[Precio Bruto]]*1.16</f>
        <v>6226.4739999999993</v>
      </c>
      <c r="K4559" s="281">
        <f>+Tabla4[[#This Row],[Precio Unitario Neto]]*Tabla4[[#Headers],[20.85%]]</f>
        <v>1298.2198289999999</v>
      </c>
      <c r="L4559" s="282">
        <f>++Tabla4[[#This Row],[Precio Unitario Neto]]-Tabla4[[#This Row],[20.85%]]</f>
        <v>4928.2541709999996</v>
      </c>
      <c r="M4559" s="282" t="e">
        <f>(INDEX(Tabla6[#All],MATCH(Tabla4[[#This Row],[Producto]],Tabla6[[#All],[PRODUCTO]],0),MATCH(Tabla4[[#This Row],[Mes]],Tabla6[#Headers],0)))*(1+Catalogos!$L$2)</f>
        <v>#N/A</v>
      </c>
      <c r="N4559" s="283" t="e">
        <f>+(Tabla4[[#This Row],[Precio Descontado]]-Tabla4[[#This Row],[Precio Base]])*Tabla4[[#This Row],[Cantidad]]</f>
        <v>#N/A</v>
      </c>
      <c r="O4559" s="284" t="e">
        <f>++Tabla4[[#This Row],[Utilidad Total]]/Tabla4[[#This Row],[Total]]</f>
        <v>#N/A</v>
      </c>
      <c r="P4559" s="282">
        <f>++Tabla4[[#This Row],[Precio Descontado]]*Tabla4[[#This Row],[Cantidad]]</f>
        <v>197130.16683999999</v>
      </c>
      <c r="Q4559" s="282" t="e">
        <f>(INDEX(Tabla6[#All],MATCH(Tabla4[[#This Row],[Producto]],Tabla6[[#All],[PRODUCTO]],0),MATCH(Tabla4[[#This Row],[Mes]],Tabla6[#Headers],0)))</f>
        <v>#N/A</v>
      </c>
      <c r="R4559" s="282" t="e">
        <f>++Tabla4[[#This Row],[Precio Unitario Neto]]-Tabla4[[#This Row],[20.85%]]-Tabla4[[#This Row],[Costo]]</f>
        <v>#N/A</v>
      </c>
      <c r="S4559" s="282" t="e">
        <f>++Tabla4[[#This Row],[U. Bruta Uni]]*Tabla4[[#This Row],[Cantidad]]</f>
        <v>#N/A</v>
      </c>
      <c r="T4559" s="369" t="str">
        <f>VLOOKUP(Tabla4[[#This Row],[Producto]],Tabla6[#All],14,FALSE)</f>
        <v>Termico Solar</v>
      </c>
      <c r="U4559" s="284" t="e">
        <f>(IF(Tabla4[[#This Row],[Familia]]="termico solar",Tabla4[[#This Row],[Utilidad Total]]*6%,Tabla4[[#This Row],[Utilidad Total]]*11.5%))/Tabla4[[#This Row],[Total]]</f>
        <v>#N/A</v>
      </c>
      <c r="V4559" s="282" t="e">
        <f>+Tabla4[[#This Row],[Comisión Calculada]]*Tabla4[[#This Row],[Total]]</f>
        <v>#N/A</v>
      </c>
    </row>
    <row r="4560" spans="1:22" hidden="1" x14ac:dyDescent="0.25">
      <c r="A4560" s="100">
        <v>45853</v>
      </c>
      <c r="B4560" t="str">
        <f t="shared" si="230"/>
        <v>July</v>
      </c>
      <c r="C4560" s="46" t="s">
        <v>280</v>
      </c>
      <c r="F4560" s="366" t="s">
        <v>2426</v>
      </c>
      <c r="G4560" s="46" t="s">
        <v>200</v>
      </c>
      <c r="H4560" s="46">
        <v>12</v>
      </c>
      <c r="I4560" s="51">
        <v>393.22</v>
      </c>
      <c r="J4560" s="281">
        <f>++Tabla4[[#This Row],[Precio Bruto]]*1.16</f>
        <v>456.1352</v>
      </c>
      <c r="K4560" s="281">
        <f>+Tabla4[[#This Row],[Precio Unitario Neto]]*Tabla4[[#Headers],[20.85%]]</f>
        <v>95.104189199999993</v>
      </c>
      <c r="L4560" s="282">
        <f>++Tabla4[[#This Row],[Precio Unitario Neto]]-Tabla4[[#This Row],[20.85%]]</f>
        <v>361.03101079999999</v>
      </c>
      <c r="M4560" s="282" t="e">
        <f>(INDEX(Tabla6[#All],MATCH(Tabla4[[#This Row],[Producto]],Tabla6[[#All],[PRODUCTO]],0),MATCH(Tabla4[[#This Row],[Mes]],Tabla6[#Headers],0)))*(1+Catalogos!$L$2)</f>
        <v>#N/A</v>
      </c>
      <c r="N4560" s="283" t="e">
        <f>+(Tabla4[[#This Row],[Precio Descontado]]-Tabla4[[#This Row],[Precio Base]])*Tabla4[[#This Row],[Cantidad]]</f>
        <v>#N/A</v>
      </c>
      <c r="O4560" s="284" t="e">
        <f>++Tabla4[[#This Row],[Utilidad Total]]/Tabla4[[#This Row],[Total]]</f>
        <v>#N/A</v>
      </c>
      <c r="P4560" s="282">
        <f>++Tabla4[[#This Row],[Precio Descontado]]*Tabla4[[#This Row],[Cantidad]]</f>
        <v>4332.3721296000003</v>
      </c>
      <c r="Q4560" s="282" t="e">
        <f>(INDEX(Tabla6[#All],MATCH(Tabla4[[#This Row],[Producto]],Tabla6[[#All],[PRODUCTO]],0),MATCH(Tabla4[[#This Row],[Mes]],Tabla6[#Headers],0)))</f>
        <v>#N/A</v>
      </c>
      <c r="R4560" s="282" t="e">
        <f>++Tabla4[[#This Row],[Precio Unitario Neto]]-Tabla4[[#This Row],[20.85%]]-Tabla4[[#This Row],[Costo]]</f>
        <v>#N/A</v>
      </c>
      <c r="S4560" s="282" t="e">
        <f>++Tabla4[[#This Row],[U. Bruta Uni]]*Tabla4[[#This Row],[Cantidad]]</f>
        <v>#N/A</v>
      </c>
      <c r="T4560" s="369" t="str">
        <f>VLOOKUP(Tabla4[[#This Row],[Producto]],Tabla6[#All],14,FALSE)</f>
        <v>Termico Solar</v>
      </c>
      <c r="U4560" s="284" t="e">
        <f>(IF(Tabla4[[#This Row],[Familia]]="termico solar",Tabla4[[#This Row],[Utilidad Total]]*6%,Tabla4[[#This Row],[Utilidad Total]]*11.5%))/Tabla4[[#This Row],[Total]]</f>
        <v>#N/A</v>
      </c>
      <c r="V4560" s="282" t="e">
        <f>+Tabla4[[#This Row],[Comisión Calculada]]*Tabla4[[#This Row],[Total]]</f>
        <v>#N/A</v>
      </c>
    </row>
    <row r="4561" spans="1:22" hidden="1" x14ac:dyDescent="0.25">
      <c r="A4561" s="100">
        <v>45853</v>
      </c>
      <c r="B4561" t="str">
        <f t="shared" si="230"/>
        <v>July</v>
      </c>
      <c r="C4561" s="46" t="s">
        <v>280</v>
      </c>
      <c r="F4561" s="366" t="s">
        <v>2426</v>
      </c>
      <c r="G4561" s="46" t="s">
        <v>545</v>
      </c>
      <c r="H4561" s="46">
        <v>24</v>
      </c>
      <c r="I4561" s="51">
        <v>304.32</v>
      </c>
      <c r="J4561" s="281">
        <f>++Tabla4[[#This Row],[Precio Bruto]]*1.16</f>
        <v>353.01119999999997</v>
      </c>
      <c r="K4561" s="281">
        <f>+Tabla4[[#This Row],[Precio Unitario Neto]]*Tabla4[[#Headers],[20.85%]]</f>
        <v>73.602835199999987</v>
      </c>
      <c r="L4561" s="282">
        <f>++Tabla4[[#This Row],[Precio Unitario Neto]]-Tabla4[[#This Row],[20.85%]]</f>
        <v>279.40836479999996</v>
      </c>
      <c r="M4561" s="282" t="e">
        <f>(INDEX(Tabla6[#All],MATCH(Tabla4[[#This Row],[Producto]],Tabla6[[#All],[PRODUCTO]],0),MATCH(Tabla4[[#This Row],[Mes]],Tabla6[#Headers],0)))*(1+Catalogos!$L$2)</f>
        <v>#N/A</v>
      </c>
      <c r="N4561" s="283" t="e">
        <f>+(Tabla4[[#This Row],[Precio Descontado]]-Tabla4[[#This Row],[Precio Base]])*Tabla4[[#This Row],[Cantidad]]</f>
        <v>#N/A</v>
      </c>
      <c r="O4561" s="284" t="e">
        <f>++Tabla4[[#This Row],[Utilidad Total]]/Tabla4[[#This Row],[Total]]</f>
        <v>#N/A</v>
      </c>
      <c r="P4561" s="282">
        <f>++Tabla4[[#This Row],[Precio Descontado]]*Tabla4[[#This Row],[Cantidad]]</f>
        <v>6705.800755199999</v>
      </c>
      <c r="Q4561" s="282" t="e">
        <f>(INDEX(Tabla6[#All],MATCH(Tabla4[[#This Row],[Producto]],Tabla6[[#All],[PRODUCTO]],0),MATCH(Tabla4[[#This Row],[Mes]],Tabla6[#Headers],0)))</f>
        <v>#N/A</v>
      </c>
      <c r="R4561" s="282" t="e">
        <f>++Tabla4[[#This Row],[Precio Unitario Neto]]-Tabla4[[#This Row],[20.85%]]-Tabla4[[#This Row],[Costo]]</f>
        <v>#N/A</v>
      </c>
      <c r="S4561" s="282" t="e">
        <f>++Tabla4[[#This Row],[U. Bruta Uni]]*Tabla4[[#This Row],[Cantidad]]</f>
        <v>#N/A</v>
      </c>
      <c r="T4561" s="369" t="str">
        <f>VLOOKUP(Tabla4[[#This Row],[Producto]],Tabla6[#All],14,FALSE)</f>
        <v>Termico Solar</v>
      </c>
      <c r="U4561" s="284" t="e">
        <f>(IF(Tabla4[[#This Row],[Familia]]="termico solar",Tabla4[[#This Row],[Utilidad Total]]*6%,Tabla4[[#This Row],[Utilidad Total]]*11.5%))/Tabla4[[#This Row],[Total]]</f>
        <v>#N/A</v>
      </c>
      <c r="V4561" s="282" t="e">
        <f>+Tabla4[[#This Row],[Comisión Calculada]]*Tabla4[[#This Row],[Total]]</f>
        <v>#N/A</v>
      </c>
    </row>
    <row r="4562" spans="1:22" hidden="1" x14ac:dyDescent="0.25">
      <c r="A4562" s="100">
        <v>45853</v>
      </c>
      <c r="B4562" t="str">
        <f t="shared" si="230"/>
        <v>July</v>
      </c>
      <c r="C4562" s="46" t="s">
        <v>280</v>
      </c>
      <c r="F4562" s="366" t="s">
        <v>2426</v>
      </c>
      <c r="G4562" s="46" t="s">
        <v>209</v>
      </c>
      <c r="H4562" s="46">
        <v>2</v>
      </c>
      <c r="I4562" s="51">
        <v>347.48</v>
      </c>
      <c r="J4562" s="281">
        <f>++Tabla4[[#This Row],[Precio Bruto]]*1.16</f>
        <v>403.07679999999999</v>
      </c>
      <c r="K4562" s="281">
        <f>+Tabla4[[#This Row],[Precio Unitario Neto]]*Tabla4[[#Headers],[20.85%]]</f>
        <v>84.041512799999992</v>
      </c>
      <c r="L4562" s="282">
        <f>++Tabla4[[#This Row],[Precio Unitario Neto]]-Tabla4[[#This Row],[20.85%]]</f>
        <v>319.03528719999997</v>
      </c>
      <c r="M4562" s="282" t="e">
        <f>(INDEX(Tabla6[#All],MATCH(Tabla4[[#This Row],[Producto]],Tabla6[[#All],[PRODUCTO]],0),MATCH(Tabla4[[#This Row],[Mes]],Tabla6[#Headers],0)))*(1+Catalogos!$L$2)</f>
        <v>#N/A</v>
      </c>
      <c r="N4562" s="283" t="e">
        <f>+(Tabla4[[#This Row],[Precio Descontado]]-Tabla4[[#This Row],[Precio Base]])*Tabla4[[#This Row],[Cantidad]]</f>
        <v>#N/A</v>
      </c>
      <c r="O4562" s="284" t="e">
        <f>++Tabla4[[#This Row],[Utilidad Total]]/Tabla4[[#This Row],[Total]]</f>
        <v>#N/A</v>
      </c>
      <c r="P4562" s="282">
        <f>++Tabla4[[#This Row],[Precio Descontado]]*Tabla4[[#This Row],[Cantidad]]</f>
        <v>638.07057439999994</v>
      </c>
      <c r="Q4562" s="282" t="e">
        <f>(INDEX(Tabla6[#All],MATCH(Tabla4[[#This Row],[Producto]],Tabla6[[#All],[PRODUCTO]],0),MATCH(Tabla4[[#This Row],[Mes]],Tabla6[#Headers],0)))</f>
        <v>#N/A</v>
      </c>
      <c r="R4562" s="282" t="e">
        <f>++Tabla4[[#This Row],[Precio Unitario Neto]]-Tabla4[[#This Row],[20.85%]]-Tabla4[[#This Row],[Costo]]</f>
        <v>#N/A</v>
      </c>
      <c r="S4562" s="282" t="e">
        <f>++Tabla4[[#This Row],[U. Bruta Uni]]*Tabla4[[#This Row],[Cantidad]]</f>
        <v>#N/A</v>
      </c>
      <c r="T4562" s="369" t="str">
        <f>VLOOKUP(Tabla4[[#This Row],[Producto]],Tabla6[#All],14,FALSE)</f>
        <v>Termico Solar</v>
      </c>
      <c r="U4562" s="284" t="e">
        <f>(IF(Tabla4[[#This Row],[Familia]]="termico solar",Tabla4[[#This Row],[Utilidad Total]]*6%,Tabla4[[#This Row],[Utilidad Total]]*11.5%))/Tabla4[[#This Row],[Total]]</f>
        <v>#N/A</v>
      </c>
      <c r="V4562" s="282" t="e">
        <f>+Tabla4[[#This Row],[Comisión Calculada]]*Tabla4[[#This Row],[Total]]</f>
        <v>#N/A</v>
      </c>
    </row>
    <row r="4563" spans="1:22" hidden="1" x14ac:dyDescent="0.25">
      <c r="A4563" s="100">
        <v>45853</v>
      </c>
      <c r="B4563" t="str">
        <f t="shared" si="230"/>
        <v>July</v>
      </c>
      <c r="C4563" s="46" t="s">
        <v>280</v>
      </c>
      <c r="F4563" s="366" t="s">
        <v>2427</v>
      </c>
      <c r="G4563" s="46" t="s">
        <v>566</v>
      </c>
      <c r="H4563" s="46">
        <v>1</v>
      </c>
      <c r="I4563" s="51">
        <v>2109.4499999999998</v>
      </c>
      <c r="J4563" s="281">
        <f>++Tabla4[[#This Row],[Precio Bruto]]*1.16</f>
        <v>2446.9619999999995</v>
      </c>
      <c r="K4563" s="281">
        <f>+Tabla4[[#This Row],[Precio Unitario Neto]]*Tabla4[[#Headers],[20.85%]]</f>
        <v>510.19157699999988</v>
      </c>
      <c r="L4563" s="282">
        <f>++Tabla4[[#This Row],[Precio Unitario Neto]]-Tabla4[[#This Row],[20.85%]]</f>
        <v>1936.7704229999997</v>
      </c>
      <c r="M4563" s="282" t="e">
        <f>(INDEX(Tabla6[#All],MATCH(Tabla4[[#This Row],[Producto]],Tabla6[[#All],[PRODUCTO]],0),MATCH(Tabla4[[#This Row],[Mes]],Tabla6[#Headers],0)))*(1+Catalogos!$L$2)</f>
        <v>#N/A</v>
      </c>
      <c r="N4563" s="283" t="e">
        <f>+(Tabla4[[#This Row],[Precio Descontado]]-Tabla4[[#This Row],[Precio Base]])*Tabla4[[#This Row],[Cantidad]]</f>
        <v>#N/A</v>
      </c>
      <c r="O4563" s="284" t="e">
        <f>++Tabla4[[#This Row],[Utilidad Total]]/Tabla4[[#This Row],[Total]]</f>
        <v>#N/A</v>
      </c>
      <c r="P4563" s="282">
        <f>++Tabla4[[#This Row],[Precio Descontado]]*Tabla4[[#This Row],[Cantidad]]</f>
        <v>1936.7704229999997</v>
      </c>
      <c r="Q4563" s="282" t="e">
        <f>(INDEX(Tabla6[#All],MATCH(Tabla4[[#This Row],[Producto]],Tabla6[[#All],[PRODUCTO]],0),MATCH(Tabla4[[#This Row],[Mes]],Tabla6[#Headers],0)))</f>
        <v>#N/A</v>
      </c>
      <c r="R4563" s="282" t="e">
        <f>++Tabla4[[#This Row],[Precio Unitario Neto]]-Tabla4[[#This Row],[20.85%]]-Tabla4[[#This Row],[Costo]]</f>
        <v>#N/A</v>
      </c>
      <c r="S4563" s="282" t="e">
        <f>++Tabla4[[#This Row],[U. Bruta Uni]]*Tabla4[[#This Row],[Cantidad]]</f>
        <v>#N/A</v>
      </c>
      <c r="T4563" s="369" t="str">
        <f>VLOOKUP(Tabla4[[#This Row],[Producto]],Tabla6[#All],14,FALSE)</f>
        <v>Termico Solar</v>
      </c>
      <c r="U4563" s="284" t="e">
        <f>(IF(Tabla4[[#This Row],[Familia]]="termico solar",Tabla4[[#This Row],[Utilidad Total]]*6%,Tabla4[[#This Row],[Utilidad Total]]*11.5%))/Tabla4[[#This Row],[Total]]</f>
        <v>#N/A</v>
      </c>
      <c r="V4563" s="282" t="e">
        <f>+Tabla4[[#This Row],[Comisión Calculada]]*Tabla4[[#This Row],[Total]]</f>
        <v>#N/A</v>
      </c>
    </row>
    <row r="4564" spans="1:22" hidden="1" x14ac:dyDescent="0.25">
      <c r="A4564" s="100">
        <v>45853</v>
      </c>
      <c r="B4564" t="str">
        <f t="shared" si="230"/>
        <v>July</v>
      </c>
      <c r="C4564" s="46" t="s">
        <v>280</v>
      </c>
      <c r="F4564" s="366" t="s">
        <v>2427</v>
      </c>
      <c r="G4564" s="46" t="s">
        <v>412</v>
      </c>
      <c r="H4564" s="46">
        <v>1</v>
      </c>
      <c r="I4564" s="51">
        <v>3240.84</v>
      </c>
      <c r="J4564" s="281">
        <f>++Tabla4[[#This Row],[Precio Bruto]]*1.16</f>
        <v>3759.3743999999997</v>
      </c>
      <c r="K4564" s="281">
        <f>+Tabla4[[#This Row],[Precio Unitario Neto]]*Tabla4[[#Headers],[20.85%]]</f>
        <v>783.82956239999987</v>
      </c>
      <c r="L4564" s="282">
        <f>++Tabla4[[#This Row],[Precio Unitario Neto]]-Tabla4[[#This Row],[20.85%]]</f>
        <v>2975.5448375999999</v>
      </c>
      <c r="M4564" s="282" t="e">
        <f>(INDEX(Tabla6[#All],MATCH(Tabla4[[#This Row],[Producto]],Tabla6[[#All],[PRODUCTO]],0),MATCH(Tabla4[[#This Row],[Mes]],Tabla6[#Headers],0)))*(1+Catalogos!$L$2)</f>
        <v>#N/A</v>
      </c>
      <c r="N4564" s="283" t="e">
        <f>+(Tabla4[[#This Row],[Precio Descontado]]-Tabla4[[#This Row],[Precio Base]])*Tabla4[[#This Row],[Cantidad]]</f>
        <v>#N/A</v>
      </c>
      <c r="O4564" s="284" t="e">
        <f>++Tabla4[[#This Row],[Utilidad Total]]/Tabla4[[#This Row],[Total]]</f>
        <v>#N/A</v>
      </c>
      <c r="P4564" s="282">
        <f>++Tabla4[[#This Row],[Precio Descontado]]*Tabla4[[#This Row],[Cantidad]]</f>
        <v>2975.5448375999999</v>
      </c>
      <c r="Q4564" s="282" t="e">
        <f>(INDEX(Tabla6[#All],MATCH(Tabla4[[#This Row],[Producto]],Tabla6[[#All],[PRODUCTO]],0),MATCH(Tabla4[[#This Row],[Mes]],Tabla6[#Headers],0)))</f>
        <v>#N/A</v>
      </c>
      <c r="R4564" s="282" t="e">
        <f>++Tabla4[[#This Row],[Precio Unitario Neto]]-Tabla4[[#This Row],[20.85%]]-Tabla4[[#This Row],[Costo]]</f>
        <v>#N/A</v>
      </c>
      <c r="S4564" s="282" t="e">
        <f>++Tabla4[[#This Row],[U. Bruta Uni]]*Tabla4[[#This Row],[Cantidad]]</f>
        <v>#N/A</v>
      </c>
      <c r="T4564" s="369" t="str">
        <f>VLOOKUP(Tabla4[[#This Row],[Producto]],Tabla6[#All],14,FALSE)</f>
        <v>Termico Solar</v>
      </c>
      <c r="U4564" s="284" t="e">
        <f>(IF(Tabla4[[#This Row],[Familia]]="termico solar",Tabla4[[#This Row],[Utilidad Total]]*6%,Tabla4[[#This Row],[Utilidad Total]]*11.5%))/Tabla4[[#This Row],[Total]]</f>
        <v>#N/A</v>
      </c>
      <c r="V4564" s="282" t="e">
        <f>+Tabla4[[#This Row],[Comisión Calculada]]*Tabla4[[#This Row],[Total]]</f>
        <v>#N/A</v>
      </c>
    </row>
    <row r="4565" spans="1:22" hidden="1" x14ac:dyDescent="0.25">
      <c r="A4565" s="100">
        <v>45853</v>
      </c>
      <c r="B4565" t="str">
        <f t="shared" si="230"/>
        <v>July</v>
      </c>
      <c r="C4565" s="46" t="s">
        <v>280</v>
      </c>
      <c r="F4565" s="366" t="s">
        <v>2428</v>
      </c>
      <c r="G4565" s="46" t="s">
        <v>16</v>
      </c>
      <c r="H4565" s="46">
        <v>1</v>
      </c>
      <c r="I4565" s="51">
        <v>4103.8500000000004</v>
      </c>
      <c r="J4565" s="281">
        <f>++Tabla4[[#This Row],[Precio Bruto]]*1.16</f>
        <v>4760.4660000000003</v>
      </c>
      <c r="K4565" s="281">
        <f>+Tabla4[[#This Row],[Precio Unitario Neto]]*Tabla4[[#Headers],[20.85%]]</f>
        <v>992.55716100000006</v>
      </c>
      <c r="L4565" s="282">
        <f>++Tabla4[[#This Row],[Precio Unitario Neto]]-Tabla4[[#This Row],[20.85%]]</f>
        <v>3767.9088390000002</v>
      </c>
      <c r="M4565" s="282" t="e">
        <f>(INDEX(Tabla6[#All],MATCH(Tabla4[[#This Row],[Producto]],Tabla6[[#All],[PRODUCTO]],0),MATCH(Tabla4[[#This Row],[Mes]],Tabla6[#Headers],0)))*(1+Catalogos!$L$2)</f>
        <v>#N/A</v>
      </c>
      <c r="N4565" s="283" t="e">
        <f>+(Tabla4[[#This Row],[Precio Descontado]]-Tabla4[[#This Row],[Precio Base]])*Tabla4[[#This Row],[Cantidad]]</f>
        <v>#N/A</v>
      </c>
      <c r="O4565" s="284" t="e">
        <f>++Tabla4[[#This Row],[Utilidad Total]]/Tabla4[[#This Row],[Total]]</f>
        <v>#N/A</v>
      </c>
      <c r="P4565" s="282">
        <f>++Tabla4[[#This Row],[Precio Descontado]]*Tabla4[[#This Row],[Cantidad]]</f>
        <v>3767.9088390000002</v>
      </c>
      <c r="Q4565" s="282" t="e">
        <f>(INDEX(Tabla6[#All],MATCH(Tabla4[[#This Row],[Producto]],Tabla6[[#All],[PRODUCTO]],0),MATCH(Tabla4[[#This Row],[Mes]],Tabla6[#Headers],0)))</f>
        <v>#N/A</v>
      </c>
      <c r="R4565" s="282" t="e">
        <f>++Tabla4[[#This Row],[Precio Unitario Neto]]-Tabla4[[#This Row],[20.85%]]-Tabla4[[#This Row],[Costo]]</f>
        <v>#N/A</v>
      </c>
      <c r="S4565" s="282" t="e">
        <f>++Tabla4[[#This Row],[U. Bruta Uni]]*Tabla4[[#This Row],[Cantidad]]</f>
        <v>#N/A</v>
      </c>
      <c r="T4565" s="369" t="str">
        <f>VLOOKUP(Tabla4[[#This Row],[Producto]],Tabla6[#All],14,FALSE)</f>
        <v>Termico Solar</v>
      </c>
      <c r="U4565" s="284" t="e">
        <f>(IF(Tabla4[[#This Row],[Familia]]="termico solar",Tabla4[[#This Row],[Utilidad Total]]*6%,Tabla4[[#This Row],[Utilidad Total]]*11.5%))/Tabla4[[#This Row],[Total]]</f>
        <v>#N/A</v>
      </c>
      <c r="V4565" s="282" t="e">
        <f>+Tabla4[[#This Row],[Comisión Calculada]]*Tabla4[[#This Row],[Total]]</f>
        <v>#N/A</v>
      </c>
    </row>
    <row r="4566" spans="1:22" hidden="1" x14ac:dyDescent="0.25">
      <c r="A4566" s="100">
        <v>45853</v>
      </c>
      <c r="B4566" t="str">
        <f t="shared" si="230"/>
        <v>July</v>
      </c>
      <c r="C4566" s="46" t="s">
        <v>280</v>
      </c>
      <c r="F4566" s="366" t="s">
        <v>2429</v>
      </c>
      <c r="G4566" s="46" t="s">
        <v>16</v>
      </c>
      <c r="H4566" s="46">
        <v>1</v>
      </c>
      <c r="I4566" s="51">
        <v>4103.8500000000004</v>
      </c>
      <c r="J4566" s="281">
        <f>++Tabla4[[#This Row],[Precio Bruto]]*1.16</f>
        <v>4760.4660000000003</v>
      </c>
      <c r="K4566" s="281">
        <f>+Tabla4[[#This Row],[Precio Unitario Neto]]*Tabla4[[#Headers],[20.85%]]</f>
        <v>992.55716100000006</v>
      </c>
      <c r="L4566" s="282">
        <f>++Tabla4[[#This Row],[Precio Unitario Neto]]-Tabla4[[#This Row],[20.85%]]</f>
        <v>3767.9088390000002</v>
      </c>
      <c r="M4566" s="282" t="e">
        <f>(INDEX(Tabla6[#All],MATCH(Tabla4[[#This Row],[Producto]],Tabla6[[#All],[PRODUCTO]],0),MATCH(Tabla4[[#This Row],[Mes]],Tabla6[#Headers],0)))*(1+Catalogos!$L$2)</f>
        <v>#N/A</v>
      </c>
      <c r="N4566" s="283" t="e">
        <f>+(Tabla4[[#This Row],[Precio Descontado]]-Tabla4[[#This Row],[Precio Base]])*Tabla4[[#This Row],[Cantidad]]</f>
        <v>#N/A</v>
      </c>
      <c r="O4566" s="284" t="e">
        <f>++Tabla4[[#This Row],[Utilidad Total]]/Tabla4[[#This Row],[Total]]</f>
        <v>#N/A</v>
      </c>
      <c r="P4566" s="282">
        <f>++Tabla4[[#This Row],[Precio Descontado]]*Tabla4[[#This Row],[Cantidad]]</f>
        <v>3767.9088390000002</v>
      </c>
      <c r="Q4566" s="282" t="e">
        <f>(INDEX(Tabla6[#All],MATCH(Tabla4[[#This Row],[Producto]],Tabla6[[#All],[PRODUCTO]],0),MATCH(Tabla4[[#This Row],[Mes]],Tabla6[#Headers],0)))</f>
        <v>#N/A</v>
      </c>
      <c r="R4566" s="282" t="e">
        <f>++Tabla4[[#This Row],[Precio Unitario Neto]]-Tabla4[[#This Row],[20.85%]]-Tabla4[[#This Row],[Costo]]</f>
        <v>#N/A</v>
      </c>
      <c r="S4566" s="282" t="e">
        <f>++Tabla4[[#This Row],[U. Bruta Uni]]*Tabla4[[#This Row],[Cantidad]]</f>
        <v>#N/A</v>
      </c>
      <c r="T4566" s="369" t="str">
        <f>VLOOKUP(Tabla4[[#This Row],[Producto]],Tabla6[#All],14,FALSE)</f>
        <v>Termico Solar</v>
      </c>
      <c r="U4566" s="284" t="e">
        <f>(IF(Tabla4[[#This Row],[Familia]]="termico solar",Tabla4[[#This Row],[Utilidad Total]]*6%,Tabla4[[#This Row],[Utilidad Total]]*11.5%))/Tabla4[[#This Row],[Total]]</f>
        <v>#N/A</v>
      </c>
      <c r="V4566" s="282" t="e">
        <f>+Tabla4[[#This Row],[Comisión Calculada]]*Tabla4[[#This Row],[Total]]</f>
        <v>#N/A</v>
      </c>
    </row>
    <row r="4567" spans="1:22" hidden="1" x14ac:dyDescent="0.25">
      <c r="A4567" s="100">
        <v>45853</v>
      </c>
      <c r="B4567" t="str">
        <f t="shared" si="230"/>
        <v>July</v>
      </c>
      <c r="C4567" s="46" t="s">
        <v>280</v>
      </c>
      <c r="F4567" s="366" t="s">
        <v>2429</v>
      </c>
      <c r="G4567" s="46" t="s">
        <v>200</v>
      </c>
      <c r="H4567" s="46">
        <v>12</v>
      </c>
      <c r="I4567" s="51">
        <v>393.22</v>
      </c>
      <c r="J4567" s="281">
        <f>++Tabla4[[#This Row],[Precio Bruto]]*1.16</f>
        <v>456.1352</v>
      </c>
      <c r="K4567" s="281">
        <f>+Tabla4[[#This Row],[Precio Unitario Neto]]*Tabla4[[#Headers],[20.85%]]</f>
        <v>95.104189199999993</v>
      </c>
      <c r="L4567" s="282">
        <f>++Tabla4[[#This Row],[Precio Unitario Neto]]-Tabla4[[#This Row],[20.85%]]</f>
        <v>361.03101079999999</v>
      </c>
      <c r="M4567" s="282" t="e">
        <f>(INDEX(Tabla6[#All],MATCH(Tabla4[[#This Row],[Producto]],Tabla6[[#All],[PRODUCTO]],0),MATCH(Tabla4[[#This Row],[Mes]],Tabla6[#Headers],0)))*(1+Catalogos!$L$2)</f>
        <v>#N/A</v>
      </c>
      <c r="N4567" s="283" t="e">
        <f>+(Tabla4[[#This Row],[Precio Descontado]]-Tabla4[[#This Row],[Precio Base]])*Tabla4[[#This Row],[Cantidad]]</f>
        <v>#N/A</v>
      </c>
      <c r="O4567" s="284" t="e">
        <f>++Tabla4[[#This Row],[Utilidad Total]]/Tabla4[[#This Row],[Total]]</f>
        <v>#N/A</v>
      </c>
      <c r="P4567" s="282">
        <f>++Tabla4[[#This Row],[Precio Descontado]]*Tabla4[[#This Row],[Cantidad]]</f>
        <v>4332.3721296000003</v>
      </c>
      <c r="Q4567" s="282" t="e">
        <f>(INDEX(Tabla6[#All],MATCH(Tabla4[[#This Row],[Producto]],Tabla6[[#All],[PRODUCTO]],0),MATCH(Tabla4[[#This Row],[Mes]],Tabla6[#Headers],0)))</f>
        <v>#N/A</v>
      </c>
      <c r="R4567" s="282" t="e">
        <f>++Tabla4[[#This Row],[Precio Unitario Neto]]-Tabla4[[#This Row],[20.85%]]-Tabla4[[#This Row],[Costo]]</f>
        <v>#N/A</v>
      </c>
      <c r="S4567" s="282" t="e">
        <f>++Tabla4[[#This Row],[U. Bruta Uni]]*Tabla4[[#This Row],[Cantidad]]</f>
        <v>#N/A</v>
      </c>
      <c r="T4567" s="369" t="str">
        <f>VLOOKUP(Tabla4[[#This Row],[Producto]],Tabla6[#All],14,FALSE)</f>
        <v>Termico Solar</v>
      </c>
      <c r="U4567" s="284" t="e">
        <f>(IF(Tabla4[[#This Row],[Familia]]="termico solar",Tabla4[[#This Row],[Utilidad Total]]*6%,Tabla4[[#This Row],[Utilidad Total]]*11.5%))/Tabla4[[#This Row],[Total]]</f>
        <v>#N/A</v>
      </c>
      <c r="V4567" s="282" t="e">
        <f>+Tabla4[[#This Row],[Comisión Calculada]]*Tabla4[[#This Row],[Total]]</f>
        <v>#N/A</v>
      </c>
    </row>
    <row r="4568" spans="1:22" hidden="1" x14ac:dyDescent="0.25">
      <c r="A4568" s="100">
        <v>45853</v>
      </c>
      <c r="B4568" t="str">
        <f t="shared" si="230"/>
        <v>July</v>
      </c>
      <c r="C4568" s="46" t="s">
        <v>280</v>
      </c>
      <c r="F4568" s="366" t="s">
        <v>2429</v>
      </c>
      <c r="G4568" s="46" t="s">
        <v>545</v>
      </c>
      <c r="H4568" s="46">
        <v>24</v>
      </c>
      <c r="I4568" s="51">
        <v>304.32</v>
      </c>
      <c r="J4568" s="281">
        <f>++Tabla4[[#This Row],[Precio Bruto]]*1.16</f>
        <v>353.01119999999997</v>
      </c>
      <c r="K4568" s="281">
        <f>+Tabla4[[#This Row],[Precio Unitario Neto]]*Tabla4[[#Headers],[20.85%]]</f>
        <v>73.602835199999987</v>
      </c>
      <c r="L4568" s="282">
        <f>++Tabla4[[#This Row],[Precio Unitario Neto]]-Tabla4[[#This Row],[20.85%]]</f>
        <v>279.40836479999996</v>
      </c>
      <c r="M4568" s="282" t="e">
        <f>(INDEX(Tabla6[#All],MATCH(Tabla4[[#This Row],[Producto]],Tabla6[[#All],[PRODUCTO]],0),MATCH(Tabla4[[#This Row],[Mes]],Tabla6[#Headers],0)))*(1+Catalogos!$L$2)</f>
        <v>#N/A</v>
      </c>
      <c r="N4568" s="283" t="e">
        <f>+(Tabla4[[#This Row],[Precio Descontado]]-Tabla4[[#This Row],[Precio Base]])*Tabla4[[#This Row],[Cantidad]]</f>
        <v>#N/A</v>
      </c>
      <c r="O4568" s="284" t="e">
        <f>++Tabla4[[#This Row],[Utilidad Total]]/Tabla4[[#This Row],[Total]]</f>
        <v>#N/A</v>
      </c>
      <c r="P4568" s="282">
        <f>++Tabla4[[#This Row],[Precio Descontado]]*Tabla4[[#This Row],[Cantidad]]</f>
        <v>6705.800755199999</v>
      </c>
      <c r="Q4568" s="282" t="e">
        <f>(INDEX(Tabla6[#All],MATCH(Tabla4[[#This Row],[Producto]],Tabla6[[#All],[PRODUCTO]],0),MATCH(Tabla4[[#This Row],[Mes]],Tabla6[#Headers],0)))</f>
        <v>#N/A</v>
      </c>
      <c r="R4568" s="282" t="e">
        <f>++Tabla4[[#This Row],[Precio Unitario Neto]]-Tabla4[[#This Row],[20.85%]]-Tabla4[[#This Row],[Costo]]</f>
        <v>#N/A</v>
      </c>
      <c r="S4568" s="282" t="e">
        <f>++Tabla4[[#This Row],[U. Bruta Uni]]*Tabla4[[#This Row],[Cantidad]]</f>
        <v>#N/A</v>
      </c>
      <c r="T4568" s="369" t="str">
        <f>VLOOKUP(Tabla4[[#This Row],[Producto]],Tabla6[#All],14,FALSE)</f>
        <v>Termico Solar</v>
      </c>
      <c r="U4568" s="284" t="e">
        <f>(IF(Tabla4[[#This Row],[Familia]]="termico solar",Tabla4[[#This Row],[Utilidad Total]]*6%,Tabla4[[#This Row],[Utilidad Total]]*11.5%))/Tabla4[[#This Row],[Total]]</f>
        <v>#N/A</v>
      </c>
      <c r="V4568" s="282" t="e">
        <f>+Tabla4[[#This Row],[Comisión Calculada]]*Tabla4[[#This Row],[Total]]</f>
        <v>#N/A</v>
      </c>
    </row>
    <row r="4569" spans="1:22" hidden="1" x14ac:dyDescent="0.25">
      <c r="A4569" s="100">
        <v>45853</v>
      </c>
      <c r="B4569" t="str">
        <f t="shared" si="230"/>
        <v>July</v>
      </c>
      <c r="C4569" s="46" t="s">
        <v>280</v>
      </c>
      <c r="F4569" s="366" t="s">
        <v>2429</v>
      </c>
      <c r="G4569" s="46" t="s">
        <v>209</v>
      </c>
      <c r="H4569" s="46">
        <v>2</v>
      </c>
      <c r="I4569" s="51">
        <v>347.48</v>
      </c>
      <c r="J4569" s="281">
        <f>++Tabla4[[#This Row],[Precio Bruto]]*1.16</f>
        <v>403.07679999999999</v>
      </c>
      <c r="K4569" s="281">
        <f>+Tabla4[[#This Row],[Precio Unitario Neto]]*Tabla4[[#Headers],[20.85%]]</f>
        <v>84.041512799999992</v>
      </c>
      <c r="L4569" s="282">
        <f>++Tabla4[[#This Row],[Precio Unitario Neto]]-Tabla4[[#This Row],[20.85%]]</f>
        <v>319.03528719999997</v>
      </c>
      <c r="M4569" s="282" t="e">
        <f>(INDEX(Tabla6[#All],MATCH(Tabla4[[#This Row],[Producto]],Tabla6[[#All],[PRODUCTO]],0),MATCH(Tabla4[[#This Row],[Mes]],Tabla6[#Headers],0)))*(1+Catalogos!$L$2)</f>
        <v>#N/A</v>
      </c>
      <c r="N4569" s="283" t="e">
        <f>+(Tabla4[[#This Row],[Precio Descontado]]-Tabla4[[#This Row],[Precio Base]])*Tabla4[[#This Row],[Cantidad]]</f>
        <v>#N/A</v>
      </c>
      <c r="O4569" s="284" t="e">
        <f>++Tabla4[[#This Row],[Utilidad Total]]/Tabla4[[#This Row],[Total]]</f>
        <v>#N/A</v>
      </c>
      <c r="P4569" s="282">
        <f>++Tabla4[[#This Row],[Precio Descontado]]*Tabla4[[#This Row],[Cantidad]]</f>
        <v>638.07057439999994</v>
      </c>
      <c r="Q4569" s="282" t="e">
        <f>(INDEX(Tabla6[#All],MATCH(Tabla4[[#This Row],[Producto]],Tabla6[[#All],[PRODUCTO]],0),MATCH(Tabla4[[#This Row],[Mes]],Tabla6[#Headers],0)))</f>
        <v>#N/A</v>
      </c>
      <c r="R4569" s="282" t="e">
        <f>++Tabla4[[#This Row],[Precio Unitario Neto]]-Tabla4[[#This Row],[20.85%]]-Tabla4[[#This Row],[Costo]]</f>
        <v>#N/A</v>
      </c>
      <c r="S4569" s="282" t="e">
        <f>++Tabla4[[#This Row],[U. Bruta Uni]]*Tabla4[[#This Row],[Cantidad]]</f>
        <v>#N/A</v>
      </c>
      <c r="T4569" s="369" t="str">
        <f>VLOOKUP(Tabla4[[#This Row],[Producto]],Tabla6[#All],14,FALSE)</f>
        <v>Termico Solar</v>
      </c>
      <c r="U4569" s="284" t="e">
        <f>(IF(Tabla4[[#This Row],[Familia]]="termico solar",Tabla4[[#This Row],[Utilidad Total]]*6%,Tabla4[[#This Row],[Utilidad Total]]*11.5%))/Tabla4[[#This Row],[Total]]</f>
        <v>#N/A</v>
      </c>
      <c r="V4569" s="282" t="e">
        <f>+Tabla4[[#This Row],[Comisión Calculada]]*Tabla4[[#This Row],[Total]]</f>
        <v>#N/A</v>
      </c>
    </row>
    <row r="4570" spans="1:22" hidden="1" x14ac:dyDescent="0.25">
      <c r="A4570" s="100">
        <v>45853</v>
      </c>
      <c r="B4570" t="str">
        <f t="shared" si="230"/>
        <v>July</v>
      </c>
      <c r="C4570" s="46" t="s">
        <v>280</v>
      </c>
      <c r="F4570" s="366" t="s">
        <v>2430</v>
      </c>
      <c r="G4570" s="46" t="s">
        <v>18</v>
      </c>
      <c r="H4570" s="46">
        <v>1</v>
      </c>
      <c r="I4570" s="51">
        <v>5367.65</v>
      </c>
      <c r="J4570" s="281">
        <f>++Tabla4[[#This Row],[Precio Bruto]]*1.16</f>
        <v>6226.4739999999993</v>
      </c>
      <c r="K4570" s="281">
        <f>+Tabla4[[#This Row],[Precio Unitario Neto]]*Tabla4[[#Headers],[20.85%]]</f>
        <v>1298.2198289999999</v>
      </c>
      <c r="L4570" s="282">
        <f>++Tabla4[[#This Row],[Precio Unitario Neto]]-Tabla4[[#This Row],[20.85%]]</f>
        <v>4928.2541709999996</v>
      </c>
      <c r="M4570" s="282" t="e">
        <f>(INDEX(Tabla6[#All],MATCH(Tabla4[[#This Row],[Producto]],Tabla6[[#All],[PRODUCTO]],0),MATCH(Tabla4[[#This Row],[Mes]],Tabla6[#Headers],0)))*(1+Catalogos!$L$2)</f>
        <v>#N/A</v>
      </c>
      <c r="N4570" s="283" t="e">
        <f>+(Tabla4[[#This Row],[Precio Descontado]]-Tabla4[[#This Row],[Precio Base]])*Tabla4[[#This Row],[Cantidad]]</f>
        <v>#N/A</v>
      </c>
      <c r="O4570" s="284" t="e">
        <f>++Tabla4[[#This Row],[Utilidad Total]]/Tabla4[[#This Row],[Total]]</f>
        <v>#N/A</v>
      </c>
      <c r="P4570" s="282">
        <f>++Tabla4[[#This Row],[Precio Descontado]]*Tabla4[[#This Row],[Cantidad]]</f>
        <v>4928.2541709999996</v>
      </c>
      <c r="Q4570" s="282" t="e">
        <f>(INDEX(Tabla6[#All],MATCH(Tabla4[[#This Row],[Producto]],Tabla6[[#All],[PRODUCTO]],0),MATCH(Tabla4[[#This Row],[Mes]],Tabla6[#Headers],0)))</f>
        <v>#N/A</v>
      </c>
      <c r="R4570" s="282" t="e">
        <f>++Tabla4[[#This Row],[Precio Unitario Neto]]-Tabla4[[#This Row],[20.85%]]-Tabla4[[#This Row],[Costo]]</f>
        <v>#N/A</v>
      </c>
      <c r="S4570" s="282" t="e">
        <f>++Tabla4[[#This Row],[U. Bruta Uni]]*Tabla4[[#This Row],[Cantidad]]</f>
        <v>#N/A</v>
      </c>
      <c r="T4570" s="369" t="str">
        <f>VLOOKUP(Tabla4[[#This Row],[Producto]],Tabla6[#All],14,FALSE)</f>
        <v>Termico Solar</v>
      </c>
      <c r="U4570" s="284" t="e">
        <f>(IF(Tabla4[[#This Row],[Familia]]="termico solar",Tabla4[[#This Row],[Utilidad Total]]*6%,Tabla4[[#This Row],[Utilidad Total]]*11.5%))/Tabla4[[#This Row],[Total]]</f>
        <v>#N/A</v>
      </c>
      <c r="V4570" s="282" t="e">
        <f>+Tabla4[[#This Row],[Comisión Calculada]]*Tabla4[[#This Row],[Total]]</f>
        <v>#N/A</v>
      </c>
    </row>
    <row r="4571" spans="1:22" hidden="1" x14ac:dyDescent="0.25">
      <c r="A4571" s="100">
        <v>45853</v>
      </c>
      <c r="B4571" t="str">
        <f t="shared" si="230"/>
        <v>July</v>
      </c>
      <c r="C4571" s="46" t="s">
        <v>280</v>
      </c>
      <c r="F4571" s="366" t="s">
        <v>2430</v>
      </c>
      <c r="G4571" s="46" t="s">
        <v>200</v>
      </c>
      <c r="H4571" s="46">
        <v>12</v>
      </c>
      <c r="I4571" s="51">
        <v>393.22</v>
      </c>
      <c r="J4571" s="281">
        <f>++Tabla4[[#This Row],[Precio Bruto]]*1.16</f>
        <v>456.1352</v>
      </c>
      <c r="K4571" s="281">
        <f>+Tabla4[[#This Row],[Precio Unitario Neto]]*Tabla4[[#Headers],[20.85%]]</f>
        <v>95.104189199999993</v>
      </c>
      <c r="L4571" s="282">
        <f>++Tabla4[[#This Row],[Precio Unitario Neto]]-Tabla4[[#This Row],[20.85%]]</f>
        <v>361.03101079999999</v>
      </c>
      <c r="M4571" s="282" t="e">
        <f>(INDEX(Tabla6[#All],MATCH(Tabla4[[#This Row],[Producto]],Tabla6[[#All],[PRODUCTO]],0),MATCH(Tabla4[[#This Row],[Mes]],Tabla6[#Headers],0)))*(1+Catalogos!$L$2)</f>
        <v>#N/A</v>
      </c>
      <c r="N4571" s="283" t="e">
        <f>+(Tabla4[[#This Row],[Precio Descontado]]-Tabla4[[#This Row],[Precio Base]])*Tabla4[[#This Row],[Cantidad]]</f>
        <v>#N/A</v>
      </c>
      <c r="O4571" s="284" t="e">
        <f>++Tabla4[[#This Row],[Utilidad Total]]/Tabla4[[#This Row],[Total]]</f>
        <v>#N/A</v>
      </c>
      <c r="P4571" s="282">
        <f>++Tabla4[[#This Row],[Precio Descontado]]*Tabla4[[#This Row],[Cantidad]]</f>
        <v>4332.3721296000003</v>
      </c>
      <c r="Q4571" s="282" t="e">
        <f>(INDEX(Tabla6[#All],MATCH(Tabla4[[#This Row],[Producto]],Tabla6[[#All],[PRODUCTO]],0),MATCH(Tabla4[[#This Row],[Mes]],Tabla6[#Headers],0)))</f>
        <v>#N/A</v>
      </c>
      <c r="R4571" s="282" t="e">
        <f>++Tabla4[[#This Row],[Precio Unitario Neto]]-Tabla4[[#This Row],[20.85%]]-Tabla4[[#This Row],[Costo]]</f>
        <v>#N/A</v>
      </c>
      <c r="S4571" s="282" t="e">
        <f>++Tabla4[[#This Row],[U. Bruta Uni]]*Tabla4[[#This Row],[Cantidad]]</f>
        <v>#N/A</v>
      </c>
      <c r="T4571" s="369" t="str">
        <f>VLOOKUP(Tabla4[[#This Row],[Producto]],Tabla6[#All],14,FALSE)</f>
        <v>Termico Solar</v>
      </c>
      <c r="U4571" s="284" t="e">
        <f>(IF(Tabla4[[#This Row],[Familia]]="termico solar",Tabla4[[#This Row],[Utilidad Total]]*6%,Tabla4[[#This Row],[Utilidad Total]]*11.5%))/Tabla4[[#This Row],[Total]]</f>
        <v>#N/A</v>
      </c>
      <c r="V4571" s="282" t="e">
        <f>+Tabla4[[#This Row],[Comisión Calculada]]*Tabla4[[#This Row],[Total]]</f>
        <v>#N/A</v>
      </c>
    </row>
    <row r="4572" spans="1:22" hidden="1" x14ac:dyDescent="0.25">
      <c r="A4572" s="100">
        <v>45853</v>
      </c>
      <c r="B4572" t="str">
        <f t="shared" si="230"/>
        <v>July</v>
      </c>
      <c r="C4572" s="46" t="s">
        <v>280</v>
      </c>
      <c r="F4572" s="366" t="s">
        <v>2430</v>
      </c>
      <c r="G4572" s="46" t="s">
        <v>545</v>
      </c>
      <c r="H4572" s="46">
        <v>24</v>
      </c>
      <c r="I4572" s="51">
        <v>304.32</v>
      </c>
      <c r="J4572" s="281">
        <f>++Tabla4[[#This Row],[Precio Bruto]]*1.16</f>
        <v>353.01119999999997</v>
      </c>
      <c r="K4572" s="281">
        <f>+Tabla4[[#This Row],[Precio Unitario Neto]]*Tabla4[[#Headers],[20.85%]]</f>
        <v>73.602835199999987</v>
      </c>
      <c r="L4572" s="282">
        <f>++Tabla4[[#This Row],[Precio Unitario Neto]]-Tabla4[[#This Row],[20.85%]]</f>
        <v>279.40836479999996</v>
      </c>
      <c r="M4572" s="282" t="e">
        <f>(INDEX(Tabla6[#All],MATCH(Tabla4[[#This Row],[Producto]],Tabla6[[#All],[PRODUCTO]],0),MATCH(Tabla4[[#This Row],[Mes]],Tabla6[#Headers],0)))*(1+Catalogos!$L$2)</f>
        <v>#N/A</v>
      </c>
      <c r="N4572" s="283" t="e">
        <f>+(Tabla4[[#This Row],[Precio Descontado]]-Tabla4[[#This Row],[Precio Base]])*Tabla4[[#This Row],[Cantidad]]</f>
        <v>#N/A</v>
      </c>
      <c r="O4572" s="284" t="e">
        <f>++Tabla4[[#This Row],[Utilidad Total]]/Tabla4[[#This Row],[Total]]</f>
        <v>#N/A</v>
      </c>
      <c r="P4572" s="282">
        <f>++Tabla4[[#This Row],[Precio Descontado]]*Tabla4[[#This Row],[Cantidad]]</f>
        <v>6705.800755199999</v>
      </c>
      <c r="Q4572" s="282" t="e">
        <f>(INDEX(Tabla6[#All],MATCH(Tabla4[[#This Row],[Producto]],Tabla6[[#All],[PRODUCTO]],0),MATCH(Tabla4[[#This Row],[Mes]],Tabla6[#Headers],0)))</f>
        <v>#N/A</v>
      </c>
      <c r="R4572" s="282" t="e">
        <f>++Tabla4[[#This Row],[Precio Unitario Neto]]-Tabla4[[#This Row],[20.85%]]-Tabla4[[#This Row],[Costo]]</f>
        <v>#N/A</v>
      </c>
      <c r="S4572" s="282" t="e">
        <f>++Tabla4[[#This Row],[U. Bruta Uni]]*Tabla4[[#This Row],[Cantidad]]</f>
        <v>#N/A</v>
      </c>
      <c r="T4572" s="369" t="str">
        <f>VLOOKUP(Tabla4[[#This Row],[Producto]],Tabla6[#All],14,FALSE)</f>
        <v>Termico Solar</v>
      </c>
      <c r="U4572" s="284" t="e">
        <f>(IF(Tabla4[[#This Row],[Familia]]="termico solar",Tabla4[[#This Row],[Utilidad Total]]*6%,Tabla4[[#This Row],[Utilidad Total]]*11.5%))/Tabla4[[#This Row],[Total]]</f>
        <v>#N/A</v>
      </c>
      <c r="V4572" s="282" t="e">
        <f>+Tabla4[[#This Row],[Comisión Calculada]]*Tabla4[[#This Row],[Total]]</f>
        <v>#N/A</v>
      </c>
    </row>
    <row r="4573" spans="1:22" hidden="1" x14ac:dyDescent="0.25">
      <c r="A4573" s="100">
        <v>45853</v>
      </c>
      <c r="B4573" t="str">
        <f t="shared" si="230"/>
        <v>July</v>
      </c>
      <c r="C4573" s="46" t="s">
        <v>280</v>
      </c>
      <c r="F4573" s="366" t="s">
        <v>2430</v>
      </c>
      <c r="G4573" s="46" t="s">
        <v>209</v>
      </c>
      <c r="H4573" s="46">
        <v>6</v>
      </c>
      <c r="I4573" s="51">
        <v>347.48</v>
      </c>
      <c r="J4573" s="281">
        <f>++Tabla4[[#This Row],[Precio Bruto]]*1.16</f>
        <v>403.07679999999999</v>
      </c>
      <c r="K4573" s="281">
        <f>+Tabla4[[#This Row],[Precio Unitario Neto]]*Tabla4[[#Headers],[20.85%]]</f>
        <v>84.041512799999992</v>
      </c>
      <c r="L4573" s="282">
        <f>++Tabla4[[#This Row],[Precio Unitario Neto]]-Tabla4[[#This Row],[20.85%]]</f>
        <v>319.03528719999997</v>
      </c>
      <c r="M4573" s="282" t="e">
        <f>(INDEX(Tabla6[#All],MATCH(Tabla4[[#This Row],[Producto]],Tabla6[[#All],[PRODUCTO]],0),MATCH(Tabla4[[#This Row],[Mes]],Tabla6[#Headers],0)))*(1+Catalogos!$L$2)</f>
        <v>#N/A</v>
      </c>
      <c r="N4573" s="283" t="e">
        <f>+(Tabla4[[#This Row],[Precio Descontado]]-Tabla4[[#This Row],[Precio Base]])*Tabla4[[#This Row],[Cantidad]]</f>
        <v>#N/A</v>
      </c>
      <c r="O4573" s="284" t="e">
        <f>++Tabla4[[#This Row],[Utilidad Total]]/Tabla4[[#This Row],[Total]]</f>
        <v>#N/A</v>
      </c>
      <c r="P4573" s="282">
        <f>++Tabla4[[#This Row],[Precio Descontado]]*Tabla4[[#This Row],[Cantidad]]</f>
        <v>1914.2117231999998</v>
      </c>
      <c r="Q4573" s="282" t="e">
        <f>(INDEX(Tabla6[#All],MATCH(Tabla4[[#This Row],[Producto]],Tabla6[[#All],[PRODUCTO]],0),MATCH(Tabla4[[#This Row],[Mes]],Tabla6[#Headers],0)))</f>
        <v>#N/A</v>
      </c>
      <c r="R4573" s="282" t="e">
        <f>++Tabla4[[#This Row],[Precio Unitario Neto]]-Tabla4[[#This Row],[20.85%]]-Tabla4[[#This Row],[Costo]]</f>
        <v>#N/A</v>
      </c>
      <c r="S4573" s="282" t="e">
        <f>++Tabla4[[#This Row],[U. Bruta Uni]]*Tabla4[[#This Row],[Cantidad]]</f>
        <v>#N/A</v>
      </c>
      <c r="T4573" s="369" t="str">
        <f>VLOOKUP(Tabla4[[#This Row],[Producto]],Tabla6[#All],14,FALSE)</f>
        <v>Termico Solar</v>
      </c>
      <c r="U4573" s="284" t="e">
        <f>(IF(Tabla4[[#This Row],[Familia]]="termico solar",Tabla4[[#This Row],[Utilidad Total]]*6%,Tabla4[[#This Row],[Utilidad Total]]*11.5%))/Tabla4[[#This Row],[Total]]</f>
        <v>#N/A</v>
      </c>
      <c r="V4573" s="282" t="e">
        <f>+Tabla4[[#This Row],[Comisión Calculada]]*Tabla4[[#This Row],[Total]]</f>
        <v>#N/A</v>
      </c>
    </row>
    <row r="4574" spans="1:22" hidden="1" x14ac:dyDescent="0.25">
      <c r="A4574" s="100">
        <v>45853</v>
      </c>
      <c r="B4574" t="str">
        <f t="shared" si="230"/>
        <v>July</v>
      </c>
      <c r="C4574" s="46" t="s">
        <v>280</v>
      </c>
      <c r="F4574" s="366" t="s">
        <v>2431</v>
      </c>
      <c r="G4574" s="46" t="s">
        <v>566</v>
      </c>
      <c r="H4574" s="46">
        <v>1</v>
      </c>
      <c r="I4574" s="51">
        <v>2109.4499999999998</v>
      </c>
      <c r="J4574" s="281">
        <f>++Tabla4[[#This Row],[Precio Bruto]]*1.16</f>
        <v>2446.9619999999995</v>
      </c>
      <c r="K4574" s="281">
        <f>+Tabla4[[#This Row],[Precio Unitario Neto]]*Tabla4[[#Headers],[20.85%]]</f>
        <v>510.19157699999988</v>
      </c>
      <c r="L4574" s="282">
        <f>++Tabla4[[#This Row],[Precio Unitario Neto]]-Tabla4[[#This Row],[20.85%]]</f>
        <v>1936.7704229999997</v>
      </c>
      <c r="M4574" s="282" t="e">
        <f>(INDEX(Tabla6[#All],MATCH(Tabla4[[#This Row],[Producto]],Tabla6[[#All],[PRODUCTO]],0),MATCH(Tabla4[[#This Row],[Mes]],Tabla6[#Headers],0)))*(1+Catalogos!$L$2)</f>
        <v>#N/A</v>
      </c>
      <c r="N4574" s="283" t="e">
        <f>+(Tabla4[[#This Row],[Precio Descontado]]-Tabla4[[#This Row],[Precio Base]])*Tabla4[[#This Row],[Cantidad]]</f>
        <v>#N/A</v>
      </c>
      <c r="O4574" s="284" t="e">
        <f>++Tabla4[[#This Row],[Utilidad Total]]/Tabla4[[#This Row],[Total]]</f>
        <v>#N/A</v>
      </c>
      <c r="P4574" s="282">
        <f>++Tabla4[[#This Row],[Precio Descontado]]*Tabla4[[#This Row],[Cantidad]]</f>
        <v>1936.7704229999997</v>
      </c>
      <c r="Q4574" s="282" t="e">
        <f>(INDEX(Tabla6[#All],MATCH(Tabla4[[#This Row],[Producto]],Tabla6[[#All],[PRODUCTO]],0),MATCH(Tabla4[[#This Row],[Mes]],Tabla6[#Headers],0)))</f>
        <v>#N/A</v>
      </c>
      <c r="R4574" s="282" t="e">
        <f>++Tabla4[[#This Row],[Precio Unitario Neto]]-Tabla4[[#This Row],[20.85%]]-Tabla4[[#This Row],[Costo]]</f>
        <v>#N/A</v>
      </c>
      <c r="S4574" s="282" t="e">
        <f>++Tabla4[[#This Row],[U. Bruta Uni]]*Tabla4[[#This Row],[Cantidad]]</f>
        <v>#N/A</v>
      </c>
      <c r="T4574" s="369" t="str">
        <f>VLOOKUP(Tabla4[[#This Row],[Producto]],Tabla6[#All],14,FALSE)</f>
        <v>Termico Solar</v>
      </c>
      <c r="U4574" s="284" t="e">
        <f>(IF(Tabla4[[#This Row],[Familia]]="termico solar",Tabla4[[#This Row],[Utilidad Total]]*6%,Tabla4[[#This Row],[Utilidad Total]]*11.5%))/Tabla4[[#This Row],[Total]]</f>
        <v>#N/A</v>
      </c>
      <c r="V4574" s="282" t="e">
        <f>+Tabla4[[#This Row],[Comisión Calculada]]*Tabla4[[#This Row],[Total]]</f>
        <v>#N/A</v>
      </c>
    </row>
    <row r="4575" spans="1:22" hidden="1" x14ac:dyDescent="0.25">
      <c r="A4575" s="100">
        <v>45853</v>
      </c>
      <c r="B4575" t="str">
        <f t="shared" ref="B4575:B4606" si="231">TEXT(A4575, "mmmm")</f>
        <v>July</v>
      </c>
      <c r="C4575" s="46" t="s">
        <v>280</v>
      </c>
      <c r="F4575" s="366" t="s">
        <v>2431</v>
      </c>
      <c r="G4575" s="46" t="s">
        <v>412</v>
      </c>
      <c r="H4575" s="46">
        <v>1</v>
      </c>
      <c r="I4575" s="51">
        <v>3240.84</v>
      </c>
      <c r="J4575" s="281">
        <f>++Tabla4[[#This Row],[Precio Bruto]]*1.16</f>
        <v>3759.3743999999997</v>
      </c>
      <c r="K4575" s="281">
        <f>+Tabla4[[#This Row],[Precio Unitario Neto]]*Tabla4[[#Headers],[20.85%]]</f>
        <v>783.82956239999987</v>
      </c>
      <c r="L4575" s="282">
        <f>++Tabla4[[#This Row],[Precio Unitario Neto]]-Tabla4[[#This Row],[20.85%]]</f>
        <v>2975.5448375999999</v>
      </c>
      <c r="M4575" s="282" t="e">
        <f>(INDEX(Tabla6[#All],MATCH(Tabla4[[#This Row],[Producto]],Tabla6[[#All],[PRODUCTO]],0),MATCH(Tabla4[[#This Row],[Mes]],Tabla6[#Headers],0)))*(1+Catalogos!$L$2)</f>
        <v>#N/A</v>
      </c>
      <c r="N4575" s="283" t="e">
        <f>+(Tabla4[[#This Row],[Precio Descontado]]-Tabla4[[#This Row],[Precio Base]])*Tabla4[[#This Row],[Cantidad]]</f>
        <v>#N/A</v>
      </c>
      <c r="O4575" s="284" t="e">
        <f>++Tabla4[[#This Row],[Utilidad Total]]/Tabla4[[#This Row],[Total]]</f>
        <v>#N/A</v>
      </c>
      <c r="P4575" s="282">
        <f>++Tabla4[[#This Row],[Precio Descontado]]*Tabla4[[#This Row],[Cantidad]]</f>
        <v>2975.5448375999999</v>
      </c>
      <c r="Q4575" s="282" t="e">
        <f>(INDEX(Tabla6[#All],MATCH(Tabla4[[#This Row],[Producto]],Tabla6[[#All],[PRODUCTO]],0),MATCH(Tabla4[[#This Row],[Mes]],Tabla6[#Headers],0)))</f>
        <v>#N/A</v>
      </c>
      <c r="R4575" s="282" t="e">
        <f>++Tabla4[[#This Row],[Precio Unitario Neto]]-Tabla4[[#This Row],[20.85%]]-Tabla4[[#This Row],[Costo]]</f>
        <v>#N/A</v>
      </c>
      <c r="S4575" s="282" t="e">
        <f>++Tabla4[[#This Row],[U. Bruta Uni]]*Tabla4[[#This Row],[Cantidad]]</f>
        <v>#N/A</v>
      </c>
      <c r="T4575" s="369" t="str">
        <f>VLOOKUP(Tabla4[[#This Row],[Producto]],Tabla6[#All],14,FALSE)</f>
        <v>Termico Solar</v>
      </c>
      <c r="U4575" s="284" t="e">
        <f>(IF(Tabla4[[#This Row],[Familia]]="termico solar",Tabla4[[#This Row],[Utilidad Total]]*6%,Tabla4[[#This Row],[Utilidad Total]]*11.5%))/Tabla4[[#This Row],[Total]]</f>
        <v>#N/A</v>
      </c>
      <c r="V4575" s="282" t="e">
        <f>+Tabla4[[#This Row],[Comisión Calculada]]*Tabla4[[#This Row],[Total]]</f>
        <v>#N/A</v>
      </c>
    </row>
    <row r="4576" spans="1:22" hidden="1" x14ac:dyDescent="0.25">
      <c r="A4576" s="100">
        <v>45853</v>
      </c>
      <c r="B4576" t="str">
        <f t="shared" si="231"/>
        <v>July</v>
      </c>
      <c r="C4576" s="46" t="s">
        <v>280</v>
      </c>
      <c r="F4576" s="366" t="s">
        <v>2432</v>
      </c>
      <c r="G4576" s="46" t="s">
        <v>83</v>
      </c>
      <c r="H4576" s="46">
        <v>1</v>
      </c>
      <c r="I4576" s="51">
        <v>8858.76</v>
      </c>
      <c r="J4576" s="281">
        <f>++Tabla4[[#This Row],[Precio Bruto]]*1.16</f>
        <v>10276.161599999999</v>
      </c>
      <c r="K4576" s="281">
        <f>+Tabla4[[#This Row],[Precio Unitario Neto]]*Tabla4[[#Headers],[20.85%]]</f>
        <v>2142.5796935999997</v>
      </c>
      <c r="L4576" s="282">
        <f>++Tabla4[[#This Row],[Precio Unitario Neto]]-Tabla4[[#This Row],[20.85%]]</f>
        <v>8133.5819063999998</v>
      </c>
      <c r="M4576" s="282" t="e">
        <f>(INDEX(Tabla6[#All],MATCH(Tabla4[[#This Row],[Producto]],Tabla6[[#All],[PRODUCTO]],0),MATCH(Tabla4[[#This Row],[Mes]],Tabla6[#Headers],0)))*(1+Catalogos!$L$2)</f>
        <v>#N/A</v>
      </c>
      <c r="N4576" s="283" t="e">
        <f>+(Tabla4[[#This Row],[Precio Descontado]]-Tabla4[[#This Row],[Precio Base]])*Tabla4[[#This Row],[Cantidad]]</f>
        <v>#N/A</v>
      </c>
      <c r="O4576" s="284" t="e">
        <f>++Tabla4[[#This Row],[Utilidad Total]]/Tabla4[[#This Row],[Total]]</f>
        <v>#N/A</v>
      </c>
      <c r="P4576" s="282">
        <f>++Tabla4[[#This Row],[Precio Descontado]]*Tabla4[[#This Row],[Cantidad]]</f>
        <v>8133.5819063999998</v>
      </c>
      <c r="Q4576" s="282" t="e">
        <f>(INDEX(Tabla6[#All],MATCH(Tabla4[[#This Row],[Producto]],Tabla6[[#All],[PRODUCTO]],0),MATCH(Tabla4[[#This Row],[Mes]],Tabla6[#Headers],0)))</f>
        <v>#N/A</v>
      </c>
      <c r="R4576" s="282" t="e">
        <f>++Tabla4[[#This Row],[Precio Unitario Neto]]-Tabla4[[#This Row],[20.85%]]-Tabla4[[#This Row],[Costo]]</f>
        <v>#N/A</v>
      </c>
      <c r="S4576" s="282" t="e">
        <f>++Tabla4[[#This Row],[U. Bruta Uni]]*Tabla4[[#This Row],[Cantidad]]</f>
        <v>#N/A</v>
      </c>
      <c r="T4576" s="369" t="str">
        <f>VLOOKUP(Tabla4[[#This Row],[Producto]],Tabla6[#All],14,FALSE)</f>
        <v>Termico Solar</v>
      </c>
      <c r="U4576" s="284" t="e">
        <f>(IF(Tabla4[[#This Row],[Familia]]="termico solar",Tabla4[[#This Row],[Utilidad Total]]*6%,Tabla4[[#This Row],[Utilidad Total]]*11.5%))/Tabla4[[#This Row],[Total]]</f>
        <v>#N/A</v>
      </c>
      <c r="V4576" s="282" t="e">
        <f>+Tabla4[[#This Row],[Comisión Calculada]]*Tabla4[[#This Row],[Total]]</f>
        <v>#N/A</v>
      </c>
    </row>
    <row r="4577" spans="1:22" hidden="1" x14ac:dyDescent="0.25">
      <c r="A4577" s="100">
        <v>45853</v>
      </c>
      <c r="B4577" t="str">
        <f t="shared" si="231"/>
        <v>July</v>
      </c>
      <c r="C4577" s="46" t="s">
        <v>280</v>
      </c>
      <c r="F4577" s="366" t="s">
        <v>2432</v>
      </c>
      <c r="G4577" s="46" t="s">
        <v>17</v>
      </c>
      <c r="H4577" s="46">
        <v>1</v>
      </c>
      <c r="I4577" s="51">
        <v>4622.28</v>
      </c>
      <c r="J4577" s="281">
        <f>++Tabla4[[#This Row],[Precio Bruto]]*1.16</f>
        <v>5361.8447999999989</v>
      </c>
      <c r="K4577" s="281">
        <f>+Tabla4[[#This Row],[Precio Unitario Neto]]*Tabla4[[#Headers],[20.85%]]</f>
        <v>1117.9446407999997</v>
      </c>
      <c r="L4577" s="282">
        <f>++Tabla4[[#This Row],[Precio Unitario Neto]]-Tabla4[[#This Row],[20.85%]]</f>
        <v>4243.9001591999995</v>
      </c>
      <c r="M4577" s="282" t="e">
        <f>(INDEX(Tabla6[#All],MATCH(Tabla4[[#This Row],[Producto]],Tabla6[[#All],[PRODUCTO]],0),MATCH(Tabla4[[#This Row],[Mes]],Tabla6[#Headers],0)))*(1+Catalogos!$L$2)</f>
        <v>#N/A</v>
      </c>
      <c r="N4577" s="283" t="e">
        <f>+(Tabla4[[#This Row],[Precio Descontado]]-Tabla4[[#This Row],[Precio Base]])*Tabla4[[#This Row],[Cantidad]]</f>
        <v>#N/A</v>
      </c>
      <c r="O4577" s="284" t="e">
        <f>++Tabla4[[#This Row],[Utilidad Total]]/Tabla4[[#This Row],[Total]]</f>
        <v>#N/A</v>
      </c>
      <c r="P4577" s="282">
        <f>++Tabla4[[#This Row],[Precio Descontado]]*Tabla4[[#This Row],[Cantidad]]</f>
        <v>4243.9001591999995</v>
      </c>
      <c r="Q4577" s="282" t="e">
        <f>(INDEX(Tabla6[#All],MATCH(Tabla4[[#This Row],[Producto]],Tabla6[[#All],[PRODUCTO]],0),MATCH(Tabla4[[#This Row],[Mes]],Tabla6[#Headers],0)))</f>
        <v>#N/A</v>
      </c>
      <c r="R4577" s="282" t="e">
        <f>++Tabla4[[#This Row],[Precio Unitario Neto]]-Tabla4[[#This Row],[20.85%]]-Tabla4[[#This Row],[Costo]]</f>
        <v>#N/A</v>
      </c>
      <c r="S4577" s="282" t="e">
        <f>++Tabla4[[#This Row],[U. Bruta Uni]]*Tabla4[[#This Row],[Cantidad]]</f>
        <v>#N/A</v>
      </c>
      <c r="T4577" s="369" t="str">
        <f>VLOOKUP(Tabla4[[#This Row],[Producto]],Tabla6[#All],14,FALSE)</f>
        <v>Termico Solar</v>
      </c>
      <c r="U4577" s="284" t="e">
        <f>(IF(Tabla4[[#This Row],[Familia]]="termico solar",Tabla4[[#This Row],[Utilidad Total]]*6%,Tabla4[[#This Row],[Utilidad Total]]*11.5%))/Tabla4[[#This Row],[Total]]</f>
        <v>#N/A</v>
      </c>
      <c r="V4577" s="282" t="e">
        <f>+Tabla4[[#This Row],[Comisión Calculada]]*Tabla4[[#This Row],[Total]]</f>
        <v>#N/A</v>
      </c>
    </row>
    <row r="4578" spans="1:22" hidden="1" x14ac:dyDescent="0.25">
      <c r="A4578" s="100">
        <v>45853</v>
      </c>
      <c r="B4578" t="str">
        <f t="shared" si="231"/>
        <v>July</v>
      </c>
      <c r="C4578" s="46" t="s">
        <v>280</v>
      </c>
      <c r="F4578" s="366" t="s">
        <v>2432</v>
      </c>
      <c r="G4578" s="46" t="s">
        <v>566</v>
      </c>
      <c r="H4578" s="46">
        <v>1</v>
      </c>
      <c r="I4578" s="51">
        <v>2109.4499999999998</v>
      </c>
      <c r="J4578" s="281">
        <f>++Tabla4[[#This Row],[Precio Bruto]]*1.16</f>
        <v>2446.9619999999995</v>
      </c>
      <c r="K4578" s="281">
        <f>+Tabla4[[#This Row],[Precio Unitario Neto]]*Tabla4[[#Headers],[20.85%]]</f>
        <v>510.19157699999988</v>
      </c>
      <c r="L4578" s="282">
        <f>++Tabla4[[#This Row],[Precio Unitario Neto]]-Tabla4[[#This Row],[20.85%]]</f>
        <v>1936.7704229999997</v>
      </c>
      <c r="M4578" s="282" t="e">
        <f>(INDEX(Tabla6[#All],MATCH(Tabla4[[#This Row],[Producto]],Tabla6[[#All],[PRODUCTO]],0),MATCH(Tabla4[[#This Row],[Mes]],Tabla6[#Headers],0)))*(1+Catalogos!$L$2)</f>
        <v>#N/A</v>
      </c>
      <c r="N4578" s="283" t="e">
        <f>+(Tabla4[[#This Row],[Precio Descontado]]-Tabla4[[#This Row],[Precio Base]])*Tabla4[[#This Row],[Cantidad]]</f>
        <v>#N/A</v>
      </c>
      <c r="O4578" s="284" t="e">
        <f>++Tabla4[[#This Row],[Utilidad Total]]/Tabla4[[#This Row],[Total]]</f>
        <v>#N/A</v>
      </c>
      <c r="P4578" s="282">
        <f>++Tabla4[[#This Row],[Precio Descontado]]*Tabla4[[#This Row],[Cantidad]]</f>
        <v>1936.7704229999997</v>
      </c>
      <c r="Q4578" s="282" t="e">
        <f>(INDEX(Tabla6[#All],MATCH(Tabla4[[#This Row],[Producto]],Tabla6[[#All],[PRODUCTO]],0),MATCH(Tabla4[[#This Row],[Mes]],Tabla6[#Headers],0)))</f>
        <v>#N/A</v>
      </c>
      <c r="R4578" s="282" t="e">
        <f>++Tabla4[[#This Row],[Precio Unitario Neto]]-Tabla4[[#This Row],[20.85%]]-Tabla4[[#This Row],[Costo]]</f>
        <v>#N/A</v>
      </c>
      <c r="S4578" s="282" t="e">
        <f>++Tabla4[[#This Row],[U. Bruta Uni]]*Tabla4[[#This Row],[Cantidad]]</f>
        <v>#N/A</v>
      </c>
      <c r="T4578" s="369" t="str">
        <f>VLOOKUP(Tabla4[[#This Row],[Producto]],Tabla6[#All],14,FALSE)</f>
        <v>Termico Solar</v>
      </c>
      <c r="U4578" s="284" t="e">
        <f>(IF(Tabla4[[#This Row],[Familia]]="termico solar",Tabla4[[#This Row],[Utilidad Total]]*6%,Tabla4[[#This Row],[Utilidad Total]]*11.5%))/Tabla4[[#This Row],[Total]]</f>
        <v>#N/A</v>
      </c>
      <c r="V4578" s="282" t="e">
        <f>+Tabla4[[#This Row],[Comisión Calculada]]*Tabla4[[#This Row],[Total]]</f>
        <v>#N/A</v>
      </c>
    </row>
    <row r="4579" spans="1:22" hidden="1" x14ac:dyDescent="0.25">
      <c r="A4579" s="100">
        <v>45853</v>
      </c>
      <c r="B4579" t="str">
        <f t="shared" si="231"/>
        <v>July</v>
      </c>
      <c r="C4579" s="46" t="s">
        <v>280</v>
      </c>
      <c r="F4579" s="366" t="s">
        <v>2432</v>
      </c>
      <c r="G4579" s="46" t="s">
        <v>16</v>
      </c>
      <c r="H4579" s="46">
        <v>3</v>
      </c>
      <c r="I4579" s="51">
        <v>4103.8499999999995</v>
      </c>
      <c r="J4579" s="281">
        <f>++Tabla4[[#This Row],[Precio Bruto]]*1.16</f>
        <v>4760.4659999999994</v>
      </c>
      <c r="K4579" s="281">
        <f>+Tabla4[[#This Row],[Precio Unitario Neto]]*Tabla4[[#Headers],[20.85%]]</f>
        <v>992.55716099999984</v>
      </c>
      <c r="L4579" s="282">
        <f>++Tabla4[[#This Row],[Precio Unitario Neto]]-Tabla4[[#This Row],[20.85%]]</f>
        <v>3767.9088389999997</v>
      </c>
      <c r="M4579" s="282" t="e">
        <f>(INDEX(Tabla6[#All],MATCH(Tabla4[[#This Row],[Producto]],Tabla6[[#All],[PRODUCTO]],0),MATCH(Tabla4[[#This Row],[Mes]],Tabla6[#Headers],0)))*(1+Catalogos!$L$2)</f>
        <v>#N/A</v>
      </c>
      <c r="N4579" s="283" t="e">
        <f>+(Tabla4[[#This Row],[Precio Descontado]]-Tabla4[[#This Row],[Precio Base]])*Tabla4[[#This Row],[Cantidad]]</f>
        <v>#N/A</v>
      </c>
      <c r="O4579" s="284" t="e">
        <f>++Tabla4[[#This Row],[Utilidad Total]]/Tabla4[[#This Row],[Total]]</f>
        <v>#N/A</v>
      </c>
      <c r="P4579" s="282">
        <f>++Tabla4[[#This Row],[Precio Descontado]]*Tabla4[[#This Row],[Cantidad]]</f>
        <v>11303.726516999999</v>
      </c>
      <c r="Q4579" s="282" t="e">
        <f>(INDEX(Tabla6[#All],MATCH(Tabla4[[#This Row],[Producto]],Tabla6[[#All],[PRODUCTO]],0),MATCH(Tabla4[[#This Row],[Mes]],Tabla6[#Headers],0)))</f>
        <v>#N/A</v>
      </c>
      <c r="R4579" s="282" t="e">
        <f>++Tabla4[[#This Row],[Precio Unitario Neto]]-Tabla4[[#This Row],[20.85%]]-Tabla4[[#This Row],[Costo]]</f>
        <v>#N/A</v>
      </c>
      <c r="S4579" s="282" t="e">
        <f>++Tabla4[[#This Row],[U. Bruta Uni]]*Tabla4[[#This Row],[Cantidad]]</f>
        <v>#N/A</v>
      </c>
      <c r="T4579" s="369" t="str">
        <f>VLOOKUP(Tabla4[[#This Row],[Producto]],Tabla6[#All],14,FALSE)</f>
        <v>Termico Solar</v>
      </c>
      <c r="U4579" s="284" t="e">
        <f>(IF(Tabla4[[#This Row],[Familia]]="termico solar",Tabla4[[#This Row],[Utilidad Total]]*6%,Tabla4[[#This Row],[Utilidad Total]]*11.5%))/Tabla4[[#This Row],[Total]]</f>
        <v>#N/A</v>
      </c>
      <c r="V4579" s="282" t="e">
        <f>+Tabla4[[#This Row],[Comisión Calculada]]*Tabla4[[#This Row],[Total]]</f>
        <v>#N/A</v>
      </c>
    </row>
    <row r="4580" spans="1:22" hidden="1" x14ac:dyDescent="0.25">
      <c r="A4580" s="100">
        <v>45853</v>
      </c>
      <c r="B4580" t="str">
        <f t="shared" si="231"/>
        <v>July</v>
      </c>
      <c r="C4580" s="46" t="s">
        <v>280</v>
      </c>
      <c r="F4580" s="366" t="s">
        <v>2433</v>
      </c>
      <c r="G4580" s="46" t="s">
        <v>83</v>
      </c>
      <c r="H4580" s="46">
        <v>2</v>
      </c>
      <c r="I4580" s="51">
        <v>8858.76</v>
      </c>
      <c r="J4580" s="281">
        <f>++Tabla4[[#This Row],[Precio Bruto]]*1.16</f>
        <v>10276.161599999999</v>
      </c>
      <c r="K4580" s="281">
        <f>+Tabla4[[#This Row],[Precio Unitario Neto]]*Tabla4[[#Headers],[20.85%]]</f>
        <v>2142.5796935999997</v>
      </c>
      <c r="L4580" s="282">
        <f>++Tabla4[[#This Row],[Precio Unitario Neto]]-Tabla4[[#This Row],[20.85%]]</f>
        <v>8133.5819063999998</v>
      </c>
      <c r="M4580" s="282" t="e">
        <f>(INDEX(Tabla6[#All],MATCH(Tabla4[[#This Row],[Producto]],Tabla6[[#All],[PRODUCTO]],0),MATCH(Tabla4[[#This Row],[Mes]],Tabla6[#Headers],0)))*(1+Catalogos!$L$2)</f>
        <v>#N/A</v>
      </c>
      <c r="N4580" s="283" t="e">
        <f>+(Tabla4[[#This Row],[Precio Descontado]]-Tabla4[[#This Row],[Precio Base]])*Tabla4[[#This Row],[Cantidad]]</f>
        <v>#N/A</v>
      </c>
      <c r="O4580" s="284" t="e">
        <f>++Tabla4[[#This Row],[Utilidad Total]]/Tabla4[[#This Row],[Total]]</f>
        <v>#N/A</v>
      </c>
      <c r="P4580" s="282">
        <f>++Tabla4[[#This Row],[Precio Descontado]]*Tabla4[[#This Row],[Cantidad]]</f>
        <v>16267.1638128</v>
      </c>
      <c r="Q4580" s="282" t="e">
        <f>(INDEX(Tabla6[#All],MATCH(Tabla4[[#This Row],[Producto]],Tabla6[[#All],[PRODUCTO]],0),MATCH(Tabla4[[#This Row],[Mes]],Tabla6[#Headers],0)))</f>
        <v>#N/A</v>
      </c>
      <c r="R4580" s="282" t="e">
        <f>++Tabla4[[#This Row],[Precio Unitario Neto]]-Tabla4[[#This Row],[20.85%]]-Tabla4[[#This Row],[Costo]]</f>
        <v>#N/A</v>
      </c>
      <c r="S4580" s="282" t="e">
        <f>++Tabla4[[#This Row],[U. Bruta Uni]]*Tabla4[[#This Row],[Cantidad]]</f>
        <v>#N/A</v>
      </c>
      <c r="T4580" s="369" t="str">
        <f>VLOOKUP(Tabla4[[#This Row],[Producto]],Tabla6[#All],14,FALSE)</f>
        <v>Termico Solar</v>
      </c>
      <c r="U4580" s="284" t="e">
        <f>(IF(Tabla4[[#This Row],[Familia]]="termico solar",Tabla4[[#This Row],[Utilidad Total]]*6%,Tabla4[[#This Row],[Utilidad Total]]*11.5%))/Tabla4[[#This Row],[Total]]</f>
        <v>#N/A</v>
      </c>
      <c r="V4580" s="282" t="e">
        <f>+Tabla4[[#This Row],[Comisión Calculada]]*Tabla4[[#This Row],[Total]]</f>
        <v>#N/A</v>
      </c>
    </row>
    <row r="4581" spans="1:22" hidden="1" x14ac:dyDescent="0.25">
      <c r="A4581" s="100">
        <v>45853</v>
      </c>
      <c r="B4581" t="str">
        <f t="shared" si="231"/>
        <v>July</v>
      </c>
      <c r="C4581" s="46" t="s">
        <v>280</v>
      </c>
      <c r="F4581" s="366" t="s">
        <v>2433</v>
      </c>
      <c r="G4581" s="46" t="s">
        <v>18</v>
      </c>
      <c r="H4581" s="46">
        <v>1</v>
      </c>
      <c r="I4581" s="51">
        <v>5367.65</v>
      </c>
      <c r="J4581" s="281">
        <f>++Tabla4[[#This Row],[Precio Bruto]]*1.16</f>
        <v>6226.4739999999993</v>
      </c>
      <c r="K4581" s="281">
        <f>+Tabla4[[#This Row],[Precio Unitario Neto]]*Tabla4[[#Headers],[20.85%]]</f>
        <v>1298.2198289999999</v>
      </c>
      <c r="L4581" s="282">
        <f>++Tabla4[[#This Row],[Precio Unitario Neto]]-Tabla4[[#This Row],[20.85%]]</f>
        <v>4928.2541709999996</v>
      </c>
      <c r="M4581" s="282" t="e">
        <f>(INDEX(Tabla6[#All],MATCH(Tabla4[[#This Row],[Producto]],Tabla6[[#All],[PRODUCTO]],0),MATCH(Tabla4[[#This Row],[Mes]],Tabla6[#Headers],0)))*(1+Catalogos!$L$2)</f>
        <v>#N/A</v>
      </c>
      <c r="N4581" s="283" t="e">
        <f>+(Tabla4[[#This Row],[Precio Descontado]]-Tabla4[[#This Row],[Precio Base]])*Tabla4[[#This Row],[Cantidad]]</f>
        <v>#N/A</v>
      </c>
      <c r="O4581" s="284" t="e">
        <f>++Tabla4[[#This Row],[Utilidad Total]]/Tabla4[[#This Row],[Total]]</f>
        <v>#N/A</v>
      </c>
      <c r="P4581" s="282">
        <f>++Tabla4[[#This Row],[Precio Descontado]]*Tabla4[[#This Row],[Cantidad]]</f>
        <v>4928.2541709999996</v>
      </c>
      <c r="Q4581" s="282" t="e">
        <f>(INDEX(Tabla6[#All],MATCH(Tabla4[[#This Row],[Producto]],Tabla6[[#All],[PRODUCTO]],0),MATCH(Tabla4[[#This Row],[Mes]],Tabla6[#Headers],0)))</f>
        <v>#N/A</v>
      </c>
      <c r="R4581" s="282" t="e">
        <f>++Tabla4[[#This Row],[Precio Unitario Neto]]-Tabla4[[#This Row],[20.85%]]-Tabla4[[#This Row],[Costo]]</f>
        <v>#N/A</v>
      </c>
      <c r="S4581" s="282" t="e">
        <f>++Tabla4[[#This Row],[U. Bruta Uni]]*Tabla4[[#This Row],[Cantidad]]</f>
        <v>#N/A</v>
      </c>
      <c r="T4581" s="369" t="str">
        <f>VLOOKUP(Tabla4[[#This Row],[Producto]],Tabla6[#All],14,FALSE)</f>
        <v>Termico Solar</v>
      </c>
      <c r="U4581" s="284" t="e">
        <f>(IF(Tabla4[[#This Row],[Familia]]="termico solar",Tabla4[[#This Row],[Utilidad Total]]*6%,Tabla4[[#This Row],[Utilidad Total]]*11.5%))/Tabla4[[#This Row],[Total]]</f>
        <v>#N/A</v>
      </c>
      <c r="V4581" s="282" t="e">
        <f>+Tabla4[[#This Row],[Comisión Calculada]]*Tabla4[[#This Row],[Total]]</f>
        <v>#N/A</v>
      </c>
    </row>
    <row r="4582" spans="1:22" hidden="1" x14ac:dyDescent="0.25">
      <c r="A4582" s="100">
        <v>45853</v>
      </c>
      <c r="B4582" t="str">
        <f t="shared" si="231"/>
        <v>July</v>
      </c>
      <c r="C4582" s="46" t="s">
        <v>280</v>
      </c>
      <c r="F4582" s="366" t="s">
        <v>2433</v>
      </c>
      <c r="G4582" s="46" t="s">
        <v>566</v>
      </c>
      <c r="H4582" s="46">
        <v>2</v>
      </c>
      <c r="I4582" s="51">
        <v>2109.4499999999998</v>
      </c>
      <c r="J4582" s="281">
        <f>++Tabla4[[#This Row],[Precio Bruto]]*1.16</f>
        <v>2446.9619999999995</v>
      </c>
      <c r="K4582" s="281">
        <f>+Tabla4[[#This Row],[Precio Unitario Neto]]*Tabla4[[#Headers],[20.85%]]</f>
        <v>510.19157699999988</v>
      </c>
      <c r="L4582" s="282">
        <f>++Tabla4[[#This Row],[Precio Unitario Neto]]-Tabla4[[#This Row],[20.85%]]</f>
        <v>1936.7704229999997</v>
      </c>
      <c r="M4582" s="282" t="e">
        <f>(INDEX(Tabla6[#All],MATCH(Tabla4[[#This Row],[Producto]],Tabla6[[#All],[PRODUCTO]],0),MATCH(Tabla4[[#This Row],[Mes]],Tabla6[#Headers],0)))*(1+Catalogos!$L$2)</f>
        <v>#N/A</v>
      </c>
      <c r="N4582" s="283" t="e">
        <f>+(Tabla4[[#This Row],[Precio Descontado]]-Tabla4[[#This Row],[Precio Base]])*Tabla4[[#This Row],[Cantidad]]</f>
        <v>#N/A</v>
      </c>
      <c r="O4582" s="284" t="e">
        <f>++Tabla4[[#This Row],[Utilidad Total]]/Tabla4[[#This Row],[Total]]</f>
        <v>#N/A</v>
      </c>
      <c r="P4582" s="282">
        <f>++Tabla4[[#This Row],[Precio Descontado]]*Tabla4[[#This Row],[Cantidad]]</f>
        <v>3873.5408459999994</v>
      </c>
      <c r="Q4582" s="282" t="e">
        <f>(INDEX(Tabla6[#All],MATCH(Tabla4[[#This Row],[Producto]],Tabla6[[#All],[PRODUCTO]],0),MATCH(Tabla4[[#This Row],[Mes]],Tabla6[#Headers],0)))</f>
        <v>#N/A</v>
      </c>
      <c r="R4582" s="282" t="e">
        <f>++Tabla4[[#This Row],[Precio Unitario Neto]]-Tabla4[[#This Row],[20.85%]]-Tabla4[[#This Row],[Costo]]</f>
        <v>#N/A</v>
      </c>
      <c r="S4582" s="282" t="e">
        <f>++Tabla4[[#This Row],[U. Bruta Uni]]*Tabla4[[#This Row],[Cantidad]]</f>
        <v>#N/A</v>
      </c>
      <c r="T4582" s="369" t="str">
        <f>VLOOKUP(Tabla4[[#This Row],[Producto]],Tabla6[#All],14,FALSE)</f>
        <v>Termico Solar</v>
      </c>
      <c r="U4582" s="284" t="e">
        <f>(IF(Tabla4[[#This Row],[Familia]]="termico solar",Tabla4[[#This Row],[Utilidad Total]]*6%,Tabla4[[#This Row],[Utilidad Total]]*11.5%))/Tabla4[[#This Row],[Total]]</f>
        <v>#N/A</v>
      </c>
      <c r="V4582" s="282" t="e">
        <f>+Tabla4[[#This Row],[Comisión Calculada]]*Tabla4[[#This Row],[Total]]</f>
        <v>#N/A</v>
      </c>
    </row>
    <row r="4583" spans="1:22" hidden="1" x14ac:dyDescent="0.25">
      <c r="A4583" s="100">
        <v>45853</v>
      </c>
      <c r="B4583" t="str">
        <f t="shared" si="231"/>
        <v>July</v>
      </c>
      <c r="C4583" s="46" t="s">
        <v>280</v>
      </c>
      <c r="F4583" s="366" t="s">
        <v>2434</v>
      </c>
      <c r="G4583" s="46" t="s">
        <v>83</v>
      </c>
      <c r="H4583" s="46">
        <v>3</v>
      </c>
      <c r="I4583" s="51">
        <v>8858.76</v>
      </c>
      <c r="J4583" s="281">
        <f>++Tabla4[[#This Row],[Precio Bruto]]*1.16</f>
        <v>10276.161599999999</v>
      </c>
      <c r="K4583" s="281">
        <f>+Tabla4[[#This Row],[Precio Unitario Neto]]*Tabla4[[#Headers],[20.85%]]</f>
        <v>2142.5796935999997</v>
      </c>
      <c r="L4583" s="282">
        <f>++Tabla4[[#This Row],[Precio Unitario Neto]]-Tabla4[[#This Row],[20.85%]]</f>
        <v>8133.5819063999998</v>
      </c>
      <c r="M4583" s="282" t="e">
        <f>(INDEX(Tabla6[#All],MATCH(Tabla4[[#This Row],[Producto]],Tabla6[[#All],[PRODUCTO]],0),MATCH(Tabla4[[#This Row],[Mes]],Tabla6[#Headers],0)))*(1+Catalogos!$L$2)</f>
        <v>#N/A</v>
      </c>
      <c r="N4583" s="283" t="e">
        <f>+(Tabla4[[#This Row],[Precio Descontado]]-Tabla4[[#This Row],[Precio Base]])*Tabla4[[#This Row],[Cantidad]]</f>
        <v>#N/A</v>
      </c>
      <c r="O4583" s="284" t="e">
        <f>++Tabla4[[#This Row],[Utilidad Total]]/Tabla4[[#This Row],[Total]]</f>
        <v>#N/A</v>
      </c>
      <c r="P4583" s="282">
        <f>++Tabla4[[#This Row],[Precio Descontado]]*Tabla4[[#This Row],[Cantidad]]</f>
        <v>24400.7457192</v>
      </c>
      <c r="Q4583" s="282" t="e">
        <f>(INDEX(Tabla6[#All],MATCH(Tabla4[[#This Row],[Producto]],Tabla6[[#All],[PRODUCTO]],0),MATCH(Tabla4[[#This Row],[Mes]],Tabla6[#Headers],0)))</f>
        <v>#N/A</v>
      </c>
      <c r="R4583" s="282" t="e">
        <f>++Tabla4[[#This Row],[Precio Unitario Neto]]-Tabla4[[#This Row],[20.85%]]-Tabla4[[#This Row],[Costo]]</f>
        <v>#N/A</v>
      </c>
      <c r="S4583" s="282" t="e">
        <f>++Tabla4[[#This Row],[U. Bruta Uni]]*Tabla4[[#This Row],[Cantidad]]</f>
        <v>#N/A</v>
      </c>
      <c r="T4583" s="369" t="str">
        <f>VLOOKUP(Tabla4[[#This Row],[Producto]],Tabla6[#All],14,FALSE)</f>
        <v>Termico Solar</v>
      </c>
      <c r="U4583" s="284" t="e">
        <f>(IF(Tabla4[[#This Row],[Familia]]="termico solar",Tabla4[[#This Row],[Utilidad Total]]*6%,Tabla4[[#This Row],[Utilidad Total]]*11.5%))/Tabla4[[#This Row],[Total]]</f>
        <v>#N/A</v>
      </c>
      <c r="V4583" s="282" t="e">
        <f>+Tabla4[[#This Row],[Comisión Calculada]]*Tabla4[[#This Row],[Total]]</f>
        <v>#N/A</v>
      </c>
    </row>
    <row r="4584" spans="1:22" hidden="1" x14ac:dyDescent="0.25">
      <c r="A4584" s="100">
        <v>45853</v>
      </c>
      <c r="B4584" t="str">
        <f t="shared" si="231"/>
        <v>July</v>
      </c>
      <c r="C4584" s="46" t="s">
        <v>280</v>
      </c>
      <c r="F4584" s="366" t="s">
        <v>2435</v>
      </c>
      <c r="G4584" s="46" t="s">
        <v>83</v>
      </c>
      <c r="H4584" s="46">
        <v>5</v>
      </c>
      <c r="I4584" s="51">
        <v>8858.76</v>
      </c>
      <c r="J4584" s="281">
        <f>++Tabla4[[#This Row],[Precio Bruto]]*1.16</f>
        <v>10276.161599999999</v>
      </c>
      <c r="K4584" s="281">
        <f>+Tabla4[[#This Row],[Precio Unitario Neto]]*Tabla4[[#Headers],[20.85%]]</f>
        <v>2142.5796935999997</v>
      </c>
      <c r="L4584" s="282">
        <f>++Tabla4[[#This Row],[Precio Unitario Neto]]-Tabla4[[#This Row],[20.85%]]</f>
        <v>8133.5819063999998</v>
      </c>
      <c r="M4584" s="282" t="e">
        <f>(INDEX(Tabla6[#All],MATCH(Tabla4[[#This Row],[Producto]],Tabla6[[#All],[PRODUCTO]],0),MATCH(Tabla4[[#This Row],[Mes]],Tabla6[#Headers],0)))*(1+Catalogos!$L$2)</f>
        <v>#N/A</v>
      </c>
      <c r="N4584" s="283" t="e">
        <f>+(Tabla4[[#This Row],[Precio Descontado]]-Tabla4[[#This Row],[Precio Base]])*Tabla4[[#This Row],[Cantidad]]</f>
        <v>#N/A</v>
      </c>
      <c r="O4584" s="284" t="e">
        <f>++Tabla4[[#This Row],[Utilidad Total]]/Tabla4[[#This Row],[Total]]</f>
        <v>#N/A</v>
      </c>
      <c r="P4584" s="282">
        <f>++Tabla4[[#This Row],[Precio Descontado]]*Tabla4[[#This Row],[Cantidad]]</f>
        <v>40667.909531999998</v>
      </c>
      <c r="Q4584" s="282" t="e">
        <f>(INDEX(Tabla6[#All],MATCH(Tabla4[[#This Row],[Producto]],Tabla6[[#All],[PRODUCTO]],0),MATCH(Tabla4[[#This Row],[Mes]],Tabla6[#Headers],0)))</f>
        <v>#N/A</v>
      </c>
      <c r="R4584" s="282" t="e">
        <f>++Tabla4[[#This Row],[Precio Unitario Neto]]-Tabla4[[#This Row],[20.85%]]-Tabla4[[#This Row],[Costo]]</f>
        <v>#N/A</v>
      </c>
      <c r="S4584" s="282" t="e">
        <f>++Tabla4[[#This Row],[U. Bruta Uni]]*Tabla4[[#This Row],[Cantidad]]</f>
        <v>#N/A</v>
      </c>
      <c r="T4584" s="369" t="str">
        <f>VLOOKUP(Tabla4[[#This Row],[Producto]],Tabla6[#All],14,FALSE)</f>
        <v>Termico Solar</v>
      </c>
      <c r="U4584" s="284" t="e">
        <f>(IF(Tabla4[[#This Row],[Familia]]="termico solar",Tabla4[[#This Row],[Utilidad Total]]*6%,Tabla4[[#This Row],[Utilidad Total]]*11.5%))/Tabla4[[#This Row],[Total]]</f>
        <v>#N/A</v>
      </c>
      <c r="V4584" s="282" t="e">
        <f>+Tabla4[[#This Row],[Comisión Calculada]]*Tabla4[[#This Row],[Total]]</f>
        <v>#N/A</v>
      </c>
    </row>
    <row r="4585" spans="1:22" hidden="1" x14ac:dyDescent="0.25">
      <c r="A4585" s="100">
        <v>45853</v>
      </c>
      <c r="B4585" t="str">
        <f t="shared" si="231"/>
        <v>July</v>
      </c>
      <c r="C4585" s="46" t="s">
        <v>280</v>
      </c>
      <c r="F4585" s="366" t="s">
        <v>2435</v>
      </c>
      <c r="G4585" s="46" t="s">
        <v>18</v>
      </c>
      <c r="H4585" s="46">
        <v>1</v>
      </c>
      <c r="I4585" s="51">
        <v>5367.65</v>
      </c>
      <c r="J4585" s="281">
        <f>++Tabla4[[#This Row],[Precio Bruto]]*1.16</f>
        <v>6226.4739999999993</v>
      </c>
      <c r="K4585" s="281">
        <f>+Tabla4[[#This Row],[Precio Unitario Neto]]*Tabla4[[#Headers],[20.85%]]</f>
        <v>1298.2198289999999</v>
      </c>
      <c r="L4585" s="282">
        <f>++Tabla4[[#This Row],[Precio Unitario Neto]]-Tabla4[[#This Row],[20.85%]]</f>
        <v>4928.2541709999996</v>
      </c>
      <c r="M4585" s="282" t="e">
        <f>(INDEX(Tabla6[#All],MATCH(Tabla4[[#This Row],[Producto]],Tabla6[[#All],[PRODUCTO]],0),MATCH(Tabla4[[#This Row],[Mes]],Tabla6[#Headers],0)))*(1+Catalogos!$L$2)</f>
        <v>#N/A</v>
      </c>
      <c r="N4585" s="283" t="e">
        <f>+(Tabla4[[#This Row],[Precio Descontado]]-Tabla4[[#This Row],[Precio Base]])*Tabla4[[#This Row],[Cantidad]]</f>
        <v>#N/A</v>
      </c>
      <c r="O4585" s="284" t="e">
        <f>++Tabla4[[#This Row],[Utilidad Total]]/Tabla4[[#This Row],[Total]]</f>
        <v>#N/A</v>
      </c>
      <c r="P4585" s="282">
        <f>++Tabla4[[#This Row],[Precio Descontado]]*Tabla4[[#This Row],[Cantidad]]</f>
        <v>4928.2541709999996</v>
      </c>
      <c r="Q4585" s="282" t="e">
        <f>(INDEX(Tabla6[#All],MATCH(Tabla4[[#This Row],[Producto]],Tabla6[[#All],[PRODUCTO]],0),MATCH(Tabla4[[#This Row],[Mes]],Tabla6[#Headers],0)))</f>
        <v>#N/A</v>
      </c>
      <c r="R4585" s="282" t="e">
        <f>++Tabla4[[#This Row],[Precio Unitario Neto]]-Tabla4[[#This Row],[20.85%]]-Tabla4[[#This Row],[Costo]]</f>
        <v>#N/A</v>
      </c>
      <c r="S4585" s="282" t="e">
        <f>++Tabla4[[#This Row],[U. Bruta Uni]]*Tabla4[[#This Row],[Cantidad]]</f>
        <v>#N/A</v>
      </c>
      <c r="T4585" s="369" t="str">
        <f>VLOOKUP(Tabla4[[#This Row],[Producto]],Tabla6[#All],14,FALSE)</f>
        <v>Termico Solar</v>
      </c>
      <c r="U4585" s="284" t="e">
        <f>(IF(Tabla4[[#This Row],[Familia]]="termico solar",Tabla4[[#This Row],[Utilidad Total]]*6%,Tabla4[[#This Row],[Utilidad Total]]*11.5%))/Tabla4[[#This Row],[Total]]</f>
        <v>#N/A</v>
      </c>
      <c r="V4585" s="282" t="e">
        <f>+Tabla4[[#This Row],[Comisión Calculada]]*Tabla4[[#This Row],[Total]]</f>
        <v>#N/A</v>
      </c>
    </row>
    <row r="4586" spans="1:22" hidden="1" x14ac:dyDescent="0.25">
      <c r="A4586" s="100">
        <v>45853</v>
      </c>
      <c r="B4586" t="str">
        <f t="shared" si="231"/>
        <v>July</v>
      </c>
      <c r="C4586" s="46" t="s">
        <v>280</v>
      </c>
      <c r="F4586" s="366" t="s">
        <v>2435</v>
      </c>
      <c r="G4586" s="46" t="s">
        <v>208</v>
      </c>
      <c r="H4586" s="46">
        <v>2</v>
      </c>
      <c r="I4586" s="51">
        <v>189.75</v>
      </c>
      <c r="J4586" s="281">
        <f>++Tabla4[[#This Row],[Precio Bruto]]*1.16</f>
        <v>220.10999999999999</v>
      </c>
      <c r="K4586" s="281">
        <f>+Tabla4[[#This Row],[Precio Unitario Neto]]*Tabla4[[#Headers],[20.85%]]</f>
        <v>45.892934999999994</v>
      </c>
      <c r="L4586" s="282">
        <f>++Tabla4[[#This Row],[Precio Unitario Neto]]-Tabla4[[#This Row],[20.85%]]</f>
        <v>174.21706499999999</v>
      </c>
      <c r="M4586" s="282" t="e">
        <f>(INDEX(Tabla6[#All],MATCH(Tabla4[[#This Row],[Producto]],Tabla6[[#All],[PRODUCTO]],0),MATCH(Tabla4[[#This Row],[Mes]],Tabla6[#Headers],0)))*(1+Catalogos!$L$2)</f>
        <v>#N/A</v>
      </c>
      <c r="N4586" s="283" t="e">
        <f>+(Tabla4[[#This Row],[Precio Descontado]]-Tabla4[[#This Row],[Precio Base]])*Tabla4[[#This Row],[Cantidad]]</f>
        <v>#N/A</v>
      </c>
      <c r="O4586" s="284" t="e">
        <f>++Tabla4[[#This Row],[Utilidad Total]]/Tabla4[[#This Row],[Total]]</f>
        <v>#N/A</v>
      </c>
      <c r="P4586" s="282">
        <f>++Tabla4[[#This Row],[Precio Descontado]]*Tabla4[[#This Row],[Cantidad]]</f>
        <v>348.43412999999998</v>
      </c>
      <c r="Q4586" s="282" t="e">
        <f>(INDEX(Tabla6[#All],MATCH(Tabla4[[#This Row],[Producto]],Tabla6[[#All],[PRODUCTO]],0),MATCH(Tabla4[[#This Row],[Mes]],Tabla6[#Headers],0)))</f>
        <v>#N/A</v>
      </c>
      <c r="R4586" s="282" t="e">
        <f>++Tabla4[[#This Row],[Precio Unitario Neto]]-Tabla4[[#This Row],[20.85%]]-Tabla4[[#This Row],[Costo]]</f>
        <v>#N/A</v>
      </c>
      <c r="S4586" s="282" t="e">
        <f>++Tabla4[[#This Row],[U. Bruta Uni]]*Tabla4[[#This Row],[Cantidad]]</f>
        <v>#N/A</v>
      </c>
      <c r="T4586" s="369" t="str">
        <f>VLOOKUP(Tabla4[[#This Row],[Producto]],Tabla6[#All],14,FALSE)</f>
        <v>Termico Solar</v>
      </c>
      <c r="U4586" s="284" t="e">
        <f>(IF(Tabla4[[#This Row],[Familia]]="termico solar",Tabla4[[#This Row],[Utilidad Total]]*6%,Tabla4[[#This Row],[Utilidad Total]]*11.5%))/Tabla4[[#This Row],[Total]]</f>
        <v>#N/A</v>
      </c>
      <c r="V4586" s="282" t="e">
        <f>+Tabla4[[#This Row],[Comisión Calculada]]*Tabla4[[#This Row],[Total]]</f>
        <v>#N/A</v>
      </c>
    </row>
    <row r="4587" spans="1:22" hidden="1" x14ac:dyDescent="0.25">
      <c r="A4587" s="100">
        <v>45853</v>
      </c>
      <c r="B4587" t="str">
        <f t="shared" si="231"/>
        <v>July</v>
      </c>
      <c r="C4587" s="46" t="s">
        <v>280</v>
      </c>
      <c r="F4587" s="366" t="s">
        <v>2436</v>
      </c>
      <c r="G4587" s="46" t="s">
        <v>83</v>
      </c>
      <c r="H4587" s="46">
        <v>1</v>
      </c>
      <c r="I4587" s="51">
        <v>8858.76</v>
      </c>
      <c r="J4587" s="281">
        <f>++Tabla4[[#This Row],[Precio Bruto]]*1.16</f>
        <v>10276.161599999999</v>
      </c>
      <c r="K4587" s="281">
        <f>+Tabla4[[#This Row],[Precio Unitario Neto]]*Tabla4[[#Headers],[20.85%]]</f>
        <v>2142.5796935999997</v>
      </c>
      <c r="L4587" s="282">
        <f>++Tabla4[[#This Row],[Precio Unitario Neto]]-Tabla4[[#This Row],[20.85%]]</f>
        <v>8133.5819063999998</v>
      </c>
      <c r="M4587" s="282" t="e">
        <f>(INDEX(Tabla6[#All],MATCH(Tabla4[[#This Row],[Producto]],Tabla6[[#All],[PRODUCTO]],0),MATCH(Tabla4[[#This Row],[Mes]],Tabla6[#Headers],0)))*(1+Catalogos!$L$2)</f>
        <v>#N/A</v>
      </c>
      <c r="N4587" s="283" t="e">
        <f>+(Tabla4[[#This Row],[Precio Descontado]]-Tabla4[[#This Row],[Precio Base]])*Tabla4[[#This Row],[Cantidad]]</f>
        <v>#N/A</v>
      </c>
      <c r="O4587" s="284" t="e">
        <f>++Tabla4[[#This Row],[Utilidad Total]]/Tabla4[[#This Row],[Total]]</f>
        <v>#N/A</v>
      </c>
      <c r="P4587" s="282">
        <f>++Tabla4[[#This Row],[Precio Descontado]]*Tabla4[[#This Row],[Cantidad]]</f>
        <v>8133.5819063999998</v>
      </c>
      <c r="Q4587" s="282" t="e">
        <f>(INDEX(Tabla6[#All],MATCH(Tabla4[[#This Row],[Producto]],Tabla6[[#All],[PRODUCTO]],0),MATCH(Tabla4[[#This Row],[Mes]],Tabla6[#Headers],0)))</f>
        <v>#N/A</v>
      </c>
      <c r="R4587" s="282" t="e">
        <f>++Tabla4[[#This Row],[Precio Unitario Neto]]-Tabla4[[#This Row],[20.85%]]-Tabla4[[#This Row],[Costo]]</f>
        <v>#N/A</v>
      </c>
      <c r="S4587" s="282" t="e">
        <f>++Tabla4[[#This Row],[U. Bruta Uni]]*Tabla4[[#This Row],[Cantidad]]</f>
        <v>#N/A</v>
      </c>
      <c r="T4587" s="369" t="str">
        <f>VLOOKUP(Tabla4[[#This Row],[Producto]],Tabla6[#All],14,FALSE)</f>
        <v>Termico Solar</v>
      </c>
      <c r="U4587" s="284" t="e">
        <f>(IF(Tabla4[[#This Row],[Familia]]="termico solar",Tabla4[[#This Row],[Utilidad Total]]*6%,Tabla4[[#This Row],[Utilidad Total]]*11.5%))/Tabla4[[#This Row],[Total]]</f>
        <v>#N/A</v>
      </c>
      <c r="V4587" s="282" t="e">
        <f>+Tabla4[[#This Row],[Comisión Calculada]]*Tabla4[[#This Row],[Total]]</f>
        <v>#N/A</v>
      </c>
    </row>
    <row r="4588" spans="1:22" hidden="1" x14ac:dyDescent="0.25">
      <c r="A4588" s="100">
        <v>45853</v>
      </c>
      <c r="B4588" t="str">
        <f t="shared" si="231"/>
        <v>July</v>
      </c>
      <c r="C4588" s="46" t="s">
        <v>280</v>
      </c>
      <c r="F4588" s="366" t="s">
        <v>2436</v>
      </c>
      <c r="G4588" s="46" t="s">
        <v>19</v>
      </c>
      <c r="H4588" s="46">
        <v>1</v>
      </c>
      <c r="I4588" s="51">
        <v>6412.03</v>
      </c>
      <c r="J4588" s="281">
        <f>++Tabla4[[#This Row],[Precio Bruto]]*1.16</f>
        <v>7437.9547999999995</v>
      </c>
      <c r="K4588" s="281">
        <f>+Tabla4[[#This Row],[Precio Unitario Neto]]*Tabla4[[#Headers],[20.85%]]</f>
        <v>1550.8135757999999</v>
      </c>
      <c r="L4588" s="282">
        <f>++Tabla4[[#This Row],[Precio Unitario Neto]]-Tabla4[[#This Row],[20.85%]]</f>
        <v>5887.1412241999997</v>
      </c>
      <c r="M4588" s="282" t="e">
        <f>(INDEX(Tabla6[#All],MATCH(Tabla4[[#This Row],[Producto]],Tabla6[[#All],[PRODUCTO]],0),MATCH(Tabla4[[#This Row],[Mes]],Tabla6[#Headers],0)))*(1+Catalogos!$L$2)</f>
        <v>#N/A</v>
      </c>
      <c r="N4588" s="283" t="e">
        <f>+(Tabla4[[#This Row],[Precio Descontado]]-Tabla4[[#This Row],[Precio Base]])*Tabla4[[#This Row],[Cantidad]]</f>
        <v>#N/A</v>
      </c>
      <c r="O4588" s="284" t="e">
        <f>++Tabla4[[#This Row],[Utilidad Total]]/Tabla4[[#This Row],[Total]]</f>
        <v>#N/A</v>
      </c>
      <c r="P4588" s="282">
        <f>++Tabla4[[#This Row],[Precio Descontado]]*Tabla4[[#This Row],[Cantidad]]</f>
        <v>5887.1412241999997</v>
      </c>
      <c r="Q4588" s="282" t="e">
        <f>(INDEX(Tabla6[#All],MATCH(Tabla4[[#This Row],[Producto]],Tabla6[[#All],[PRODUCTO]],0),MATCH(Tabla4[[#This Row],[Mes]],Tabla6[#Headers],0)))</f>
        <v>#N/A</v>
      </c>
      <c r="R4588" s="282" t="e">
        <f>++Tabla4[[#This Row],[Precio Unitario Neto]]-Tabla4[[#This Row],[20.85%]]-Tabla4[[#This Row],[Costo]]</f>
        <v>#N/A</v>
      </c>
      <c r="S4588" s="282" t="e">
        <f>++Tabla4[[#This Row],[U. Bruta Uni]]*Tabla4[[#This Row],[Cantidad]]</f>
        <v>#N/A</v>
      </c>
      <c r="T4588" s="369" t="str">
        <f>VLOOKUP(Tabla4[[#This Row],[Producto]],Tabla6[#All],14,FALSE)</f>
        <v>Termico Solar</v>
      </c>
      <c r="U4588" s="284" t="e">
        <f>(IF(Tabla4[[#This Row],[Familia]]="termico solar",Tabla4[[#This Row],[Utilidad Total]]*6%,Tabla4[[#This Row],[Utilidad Total]]*11.5%))/Tabla4[[#This Row],[Total]]</f>
        <v>#N/A</v>
      </c>
      <c r="V4588" s="282" t="e">
        <f>+Tabla4[[#This Row],[Comisión Calculada]]*Tabla4[[#This Row],[Total]]</f>
        <v>#N/A</v>
      </c>
    </row>
    <row r="4589" spans="1:22" hidden="1" x14ac:dyDescent="0.25">
      <c r="A4589" s="100">
        <v>45853</v>
      </c>
      <c r="B4589" t="str">
        <f t="shared" si="231"/>
        <v>July</v>
      </c>
      <c r="C4589" s="46" t="s">
        <v>280</v>
      </c>
      <c r="F4589" s="366" t="s">
        <v>2436</v>
      </c>
      <c r="G4589" s="46" t="s">
        <v>16</v>
      </c>
      <c r="H4589" s="46">
        <v>4</v>
      </c>
      <c r="I4589" s="51">
        <v>4103.8500000000004</v>
      </c>
      <c r="J4589" s="281">
        <f>++Tabla4[[#This Row],[Precio Bruto]]*1.16</f>
        <v>4760.4660000000003</v>
      </c>
      <c r="K4589" s="281">
        <f>+Tabla4[[#This Row],[Precio Unitario Neto]]*Tabla4[[#Headers],[20.85%]]</f>
        <v>992.55716100000006</v>
      </c>
      <c r="L4589" s="282">
        <f>++Tabla4[[#This Row],[Precio Unitario Neto]]-Tabla4[[#This Row],[20.85%]]</f>
        <v>3767.9088390000002</v>
      </c>
      <c r="M4589" s="282" t="e">
        <f>(INDEX(Tabla6[#All],MATCH(Tabla4[[#This Row],[Producto]],Tabla6[[#All],[PRODUCTO]],0),MATCH(Tabla4[[#This Row],[Mes]],Tabla6[#Headers],0)))*(1+Catalogos!$L$2)</f>
        <v>#N/A</v>
      </c>
      <c r="N4589" s="283" t="e">
        <f>+(Tabla4[[#This Row],[Precio Descontado]]-Tabla4[[#This Row],[Precio Base]])*Tabla4[[#This Row],[Cantidad]]</f>
        <v>#N/A</v>
      </c>
      <c r="O4589" s="284" t="e">
        <f>++Tabla4[[#This Row],[Utilidad Total]]/Tabla4[[#This Row],[Total]]</f>
        <v>#N/A</v>
      </c>
      <c r="P4589" s="282">
        <f>++Tabla4[[#This Row],[Precio Descontado]]*Tabla4[[#This Row],[Cantidad]]</f>
        <v>15071.635356000001</v>
      </c>
      <c r="Q4589" s="282" t="e">
        <f>(INDEX(Tabla6[#All],MATCH(Tabla4[[#This Row],[Producto]],Tabla6[[#All],[PRODUCTO]],0),MATCH(Tabla4[[#This Row],[Mes]],Tabla6[#Headers],0)))</f>
        <v>#N/A</v>
      </c>
      <c r="R4589" s="282" t="e">
        <f>++Tabla4[[#This Row],[Precio Unitario Neto]]-Tabla4[[#This Row],[20.85%]]-Tabla4[[#This Row],[Costo]]</f>
        <v>#N/A</v>
      </c>
      <c r="S4589" s="282" t="e">
        <f>++Tabla4[[#This Row],[U. Bruta Uni]]*Tabla4[[#This Row],[Cantidad]]</f>
        <v>#N/A</v>
      </c>
      <c r="T4589" s="369" t="str">
        <f>VLOOKUP(Tabla4[[#This Row],[Producto]],Tabla6[#All],14,FALSE)</f>
        <v>Termico Solar</v>
      </c>
      <c r="U4589" s="284" t="e">
        <f>(IF(Tabla4[[#This Row],[Familia]]="termico solar",Tabla4[[#This Row],[Utilidad Total]]*6%,Tabla4[[#This Row],[Utilidad Total]]*11.5%))/Tabla4[[#This Row],[Total]]</f>
        <v>#N/A</v>
      </c>
      <c r="V4589" s="282" t="e">
        <f>+Tabla4[[#This Row],[Comisión Calculada]]*Tabla4[[#This Row],[Total]]</f>
        <v>#N/A</v>
      </c>
    </row>
    <row r="4590" spans="1:22" hidden="1" x14ac:dyDescent="0.25">
      <c r="A4590" s="100">
        <v>45853</v>
      </c>
      <c r="B4590" t="str">
        <f t="shared" si="231"/>
        <v>July</v>
      </c>
      <c r="C4590" s="46" t="s">
        <v>280</v>
      </c>
      <c r="F4590" s="366" t="s">
        <v>2437</v>
      </c>
      <c r="G4590" s="46" t="s">
        <v>17</v>
      </c>
      <c r="H4590" s="46">
        <v>2</v>
      </c>
      <c r="I4590" s="51">
        <v>4622.28</v>
      </c>
      <c r="J4590" s="281">
        <f>++Tabla4[[#This Row],[Precio Bruto]]*1.16</f>
        <v>5361.8447999999989</v>
      </c>
      <c r="K4590" s="281">
        <f>+Tabla4[[#This Row],[Precio Unitario Neto]]*Tabla4[[#Headers],[20.85%]]</f>
        <v>1117.9446407999997</v>
      </c>
      <c r="L4590" s="282">
        <f>++Tabla4[[#This Row],[Precio Unitario Neto]]-Tabla4[[#This Row],[20.85%]]</f>
        <v>4243.9001591999995</v>
      </c>
      <c r="M4590" s="282" t="e">
        <f>(INDEX(Tabla6[#All],MATCH(Tabla4[[#This Row],[Producto]],Tabla6[[#All],[PRODUCTO]],0),MATCH(Tabla4[[#This Row],[Mes]],Tabla6[#Headers],0)))*(1+Catalogos!$L$2)</f>
        <v>#N/A</v>
      </c>
      <c r="N4590" s="283" t="e">
        <f>+(Tabla4[[#This Row],[Precio Descontado]]-Tabla4[[#This Row],[Precio Base]])*Tabla4[[#This Row],[Cantidad]]</f>
        <v>#N/A</v>
      </c>
      <c r="O4590" s="284" t="e">
        <f>++Tabla4[[#This Row],[Utilidad Total]]/Tabla4[[#This Row],[Total]]</f>
        <v>#N/A</v>
      </c>
      <c r="P4590" s="282">
        <f>++Tabla4[[#This Row],[Precio Descontado]]*Tabla4[[#This Row],[Cantidad]]</f>
        <v>8487.800318399999</v>
      </c>
      <c r="Q4590" s="282" t="e">
        <f>(INDEX(Tabla6[#All],MATCH(Tabla4[[#This Row],[Producto]],Tabla6[[#All],[PRODUCTO]],0),MATCH(Tabla4[[#This Row],[Mes]],Tabla6[#Headers],0)))</f>
        <v>#N/A</v>
      </c>
      <c r="R4590" s="282" t="e">
        <f>++Tabla4[[#This Row],[Precio Unitario Neto]]-Tabla4[[#This Row],[20.85%]]-Tabla4[[#This Row],[Costo]]</f>
        <v>#N/A</v>
      </c>
      <c r="S4590" s="282" t="e">
        <f>++Tabla4[[#This Row],[U. Bruta Uni]]*Tabla4[[#This Row],[Cantidad]]</f>
        <v>#N/A</v>
      </c>
      <c r="T4590" s="369" t="str">
        <f>VLOOKUP(Tabla4[[#This Row],[Producto]],Tabla6[#All],14,FALSE)</f>
        <v>Termico Solar</v>
      </c>
      <c r="U4590" s="284" t="e">
        <f>(IF(Tabla4[[#This Row],[Familia]]="termico solar",Tabla4[[#This Row],[Utilidad Total]]*6%,Tabla4[[#This Row],[Utilidad Total]]*11.5%))/Tabla4[[#This Row],[Total]]</f>
        <v>#N/A</v>
      </c>
      <c r="V4590" s="282" t="e">
        <f>+Tabla4[[#This Row],[Comisión Calculada]]*Tabla4[[#This Row],[Total]]</f>
        <v>#N/A</v>
      </c>
    </row>
    <row r="4591" spans="1:22" hidden="1" x14ac:dyDescent="0.25">
      <c r="A4591" s="100">
        <v>45853</v>
      </c>
      <c r="B4591" t="str">
        <f t="shared" si="231"/>
        <v>July</v>
      </c>
      <c r="C4591" s="46" t="s">
        <v>280</v>
      </c>
      <c r="F4591" s="366" t="s">
        <v>2437</v>
      </c>
      <c r="G4591" s="46" t="s">
        <v>18</v>
      </c>
      <c r="H4591" s="46">
        <v>1</v>
      </c>
      <c r="I4591" s="51">
        <v>5367.65</v>
      </c>
      <c r="J4591" s="281">
        <f>++Tabla4[[#This Row],[Precio Bruto]]*1.16</f>
        <v>6226.4739999999993</v>
      </c>
      <c r="K4591" s="281">
        <f>+Tabla4[[#This Row],[Precio Unitario Neto]]*Tabla4[[#Headers],[20.85%]]</f>
        <v>1298.2198289999999</v>
      </c>
      <c r="L4591" s="282">
        <f>++Tabla4[[#This Row],[Precio Unitario Neto]]-Tabla4[[#This Row],[20.85%]]</f>
        <v>4928.2541709999996</v>
      </c>
      <c r="M4591" s="282" t="e">
        <f>(INDEX(Tabla6[#All],MATCH(Tabla4[[#This Row],[Producto]],Tabla6[[#All],[PRODUCTO]],0),MATCH(Tabla4[[#This Row],[Mes]],Tabla6[#Headers],0)))*(1+Catalogos!$L$2)</f>
        <v>#N/A</v>
      </c>
      <c r="N4591" s="283" t="e">
        <f>+(Tabla4[[#This Row],[Precio Descontado]]-Tabla4[[#This Row],[Precio Base]])*Tabla4[[#This Row],[Cantidad]]</f>
        <v>#N/A</v>
      </c>
      <c r="O4591" s="284" t="e">
        <f>++Tabla4[[#This Row],[Utilidad Total]]/Tabla4[[#This Row],[Total]]</f>
        <v>#N/A</v>
      </c>
      <c r="P4591" s="282">
        <f>++Tabla4[[#This Row],[Precio Descontado]]*Tabla4[[#This Row],[Cantidad]]</f>
        <v>4928.2541709999996</v>
      </c>
      <c r="Q4591" s="282" t="e">
        <f>(INDEX(Tabla6[#All],MATCH(Tabla4[[#This Row],[Producto]],Tabla6[[#All],[PRODUCTO]],0),MATCH(Tabla4[[#This Row],[Mes]],Tabla6[#Headers],0)))</f>
        <v>#N/A</v>
      </c>
      <c r="R4591" s="282" t="e">
        <f>++Tabla4[[#This Row],[Precio Unitario Neto]]-Tabla4[[#This Row],[20.85%]]-Tabla4[[#This Row],[Costo]]</f>
        <v>#N/A</v>
      </c>
      <c r="S4591" s="282" t="e">
        <f>++Tabla4[[#This Row],[U. Bruta Uni]]*Tabla4[[#This Row],[Cantidad]]</f>
        <v>#N/A</v>
      </c>
      <c r="T4591" s="369" t="str">
        <f>VLOOKUP(Tabla4[[#This Row],[Producto]],Tabla6[#All],14,FALSE)</f>
        <v>Termico Solar</v>
      </c>
      <c r="U4591" s="284" t="e">
        <f>(IF(Tabla4[[#This Row],[Familia]]="termico solar",Tabla4[[#This Row],[Utilidad Total]]*6%,Tabla4[[#This Row],[Utilidad Total]]*11.5%))/Tabla4[[#This Row],[Total]]</f>
        <v>#N/A</v>
      </c>
      <c r="V4591" s="282" t="e">
        <f>+Tabla4[[#This Row],[Comisión Calculada]]*Tabla4[[#This Row],[Total]]</f>
        <v>#N/A</v>
      </c>
    </row>
    <row r="4592" spans="1:22" hidden="1" x14ac:dyDescent="0.25">
      <c r="A4592" s="100">
        <v>45853</v>
      </c>
      <c r="B4592" t="str">
        <f t="shared" si="231"/>
        <v>July</v>
      </c>
      <c r="C4592" s="46" t="s">
        <v>280</v>
      </c>
      <c r="F4592" s="366" t="s">
        <v>2438</v>
      </c>
      <c r="G4592" s="46" t="s">
        <v>17</v>
      </c>
      <c r="H4592" s="46">
        <v>1</v>
      </c>
      <c r="I4592" s="51">
        <v>4622.28</v>
      </c>
      <c r="J4592" s="281">
        <f>++Tabla4[[#This Row],[Precio Bruto]]*1.16</f>
        <v>5361.8447999999989</v>
      </c>
      <c r="K4592" s="281">
        <f>+Tabla4[[#This Row],[Precio Unitario Neto]]*Tabla4[[#Headers],[20.85%]]</f>
        <v>1117.9446407999997</v>
      </c>
      <c r="L4592" s="282">
        <f>++Tabla4[[#This Row],[Precio Unitario Neto]]-Tabla4[[#This Row],[20.85%]]</f>
        <v>4243.9001591999995</v>
      </c>
      <c r="M4592" s="282" t="e">
        <f>(INDEX(Tabla6[#All],MATCH(Tabla4[[#This Row],[Producto]],Tabla6[[#All],[PRODUCTO]],0),MATCH(Tabla4[[#This Row],[Mes]],Tabla6[#Headers],0)))*(1+Catalogos!$L$2)</f>
        <v>#N/A</v>
      </c>
      <c r="N4592" s="283" t="e">
        <f>+(Tabla4[[#This Row],[Precio Descontado]]-Tabla4[[#This Row],[Precio Base]])*Tabla4[[#This Row],[Cantidad]]</f>
        <v>#N/A</v>
      </c>
      <c r="O4592" s="284" t="e">
        <f>++Tabla4[[#This Row],[Utilidad Total]]/Tabla4[[#This Row],[Total]]</f>
        <v>#N/A</v>
      </c>
      <c r="P4592" s="282">
        <f>++Tabla4[[#This Row],[Precio Descontado]]*Tabla4[[#This Row],[Cantidad]]</f>
        <v>4243.9001591999995</v>
      </c>
      <c r="Q4592" s="282" t="e">
        <f>(INDEX(Tabla6[#All],MATCH(Tabla4[[#This Row],[Producto]],Tabla6[[#All],[PRODUCTO]],0),MATCH(Tabla4[[#This Row],[Mes]],Tabla6[#Headers],0)))</f>
        <v>#N/A</v>
      </c>
      <c r="R4592" s="282" t="e">
        <f>++Tabla4[[#This Row],[Precio Unitario Neto]]-Tabla4[[#This Row],[20.85%]]-Tabla4[[#This Row],[Costo]]</f>
        <v>#N/A</v>
      </c>
      <c r="S4592" s="282" t="e">
        <f>++Tabla4[[#This Row],[U. Bruta Uni]]*Tabla4[[#This Row],[Cantidad]]</f>
        <v>#N/A</v>
      </c>
      <c r="T4592" s="369" t="str">
        <f>VLOOKUP(Tabla4[[#This Row],[Producto]],Tabla6[#All],14,FALSE)</f>
        <v>Termico Solar</v>
      </c>
      <c r="U4592" s="284" t="e">
        <f>(IF(Tabla4[[#This Row],[Familia]]="termico solar",Tabla4[[#This Row],[Utilidad Total]]*6%,Tabla4[[#This Row],[Utilidad Total]]*11.5%))/Tabla4[[#This Row],[Total]]</f>
        <v>#N/A</v>
      </c>
      <c r="V4592" s="282" t="e">
        <f>+Tabla4[[#This Row],[Comisión Calculada]]*Tabla4[[#This Row],[Total]]</f>
        <v>#N/A</v>
      </c>
    </row>
    <row r="4593" spans="1:22" hidden="1" x14ac:dyDescent="0.25">
      <c r="A4593" s="100">
        <v>45853</v>
      </c>
      <c r="B4593" t="str">
        <f t="shared" si="231"/>
        <v>July</v>
      </c>
      <c r="C4593" s="46" t="s">
        <v>280</v>
      </c>
      <c r="F4593" s="366" t="s">
        <v>2439</v>
      </c>
      <c r="G4593" s="46" t="s">
        <v>17</v>
      </c>
      <c r="H4593" s="46">
        <v>1</v>
      </c>
      <c r="I4593" s="51">
        <v>4622.28</v>
      </c>
      <c r="J4593" s="281">
        <f>++Tabla4[[#This Row],[Precio Bruto]]*1.16</f>
        <v>5361.8447999999989</v>
      </c>
      <c r="K4593" s="281">
        <f>+Tabla4[[#This Row],[Precio Unitario Neto]]*Tabla4[[#Headers],[20.85%]]</f>
        <v>1117.9446407999997</v>
      </c>
      <c r="L4593" s="282">
        <f>++Tabla4[[#This Row],[Precio Unitario Neto]]-Tabla4[[#This Row],[20.85%]]</f>
        <v>4243.9001591999995</v>
      </c>
      <c r="M4593" s="282" t="e">
        <f>(INDEX(Tabla6[#All],MATCH(Tabla4[[#This Row],[Producto]],Tabla6[[#All],[PRODUCTO]],0),MATCH(Tabla4[[#This Row],[Mes]],Tabla6[#Headers],0)))*(1+Catalogos!$L$2)</f>
        <v>#N/A</v>
      </c>
      <c r="N4593" s="283" t="e">
        <f>+(Tabla4[[#This Row],[Precio Descontado]]-Tabla4[[#This Row],[Precio Base]])*Tabla4[[#This Row],[Cantidad]]</f>
        <v>#N/A</v>
      </c>
      <c r="O4593" s="284" t="e">
        <f>++Tabla4[[#This Row],[Utilidad Total]]/Tabla4[[#This Row],[Total]]</f>
        <v>#N/A</v>
      </c>
      <c r="P4593" s="282">
        <f>++Tabla4[[#This Row],[Precio Descontado]]*Tabla4[[#This Row],[Cantidad]]</f>
        <v>4243.9001591999995</v>
      </c>
      <c r="Q4593" s="282" t="e">
        <f>(INDEX(Tabla6[#All],MATCH(Tabla4[[#This Row],[Producto]],Tabla6[[#All],[PRODUCTO]],0),MATCH(Tabla4[[#This Row],[Mes]],Tabla6[#Headers],0)))</f>
        <v>#N/A</v>
      </c>
      <c r="R4593" s="282" t="e">
        <f>++Tabla4[[#This Row],[Precio Unitario Neto]]-Tabla4[[#This Row],[20.85%]]-Tabla4[[#This Row],[Costo]]</f>
        <v>#N/A</v>
      </c>
      <c r="S4593" s="282" t="e">
        <f>++Tabla4[[#This Row],[U. Bruta Uni]]*Tabla4[[#This Row],[Cantidad]]</f>
        <v>#N/A</v>
      </c>
      <c r="T4593" s="369" t="str">
        <f>VLOOKUP(Tabla4[[#This Row],[Producto]],Tabla6[#All],14,FALSE)</f>
        <v>Termico Solar</v>
      </c>
      <c r="U4593" s="284" t="e">
        <f>(IF(Tabla4[[#This Row],[Familia]]="termico solar",Tabla4[[#This Row],[Utilidad Total]]*6%,Tabla4[[#This Row],[Utilidad Total]]*11.5%))/Tabla4[[#This Row],[Total]]</f>
        <v>#N/A</v>
      </c>
      <c r="V4593" s="282" t="e">
        <f>+Tabla4[[#This Row],[Comisión Calculada]]*Tabla4[[#This Row],[Total]]</f>
        <v>#N/A</v>
      </c>
    </row>
    <row r="4594" spans="1:22" hidden="1" x14ac:dyDescent="0.25">
      <c r="A4594" s="100">
        <v>45853</v>
      </c>
      <c r="B4594" t="str">
        <f t="shared" si="231"/>
        <v>July</v>
      </c>
      <c r="C4594" s="46" t="s">
        <v>280</v>
      </c>
      <c r="F4594" s="366" t="s">
        <v>2439</v>
      </c>
      <c r="G4594" s="46" t="s">
        <v>18</v>
      </c>
      <c r="H4594" s="46">
        <v>1</v>
      </c>
      <c r="I4594" s="51">
        <v>5367.65</v>
      </c>
      <c r="J4594" s="281">
        <f>++Tabla4[[#This Row],[Precio Bruto]]*1.16</f>
        <v>6226.4739999999993</v>
      </c>
      <c r="K4594" s="281">
        <f>+Tabla4[[#This Row],[Precio Unitario Neto]]*Tabla4[[#Headers],[20.85%]]</f>
        <v>1298.2198289999999</v>
      </c>
      <c r="L4594" s="282">
        <f>++Tabla4[[#This Row],[Precio Unitario Neto]]-Tabla4[[#This Row],[20.85%]]</f>
        <v>4928.2541709999996</v>
      </c>
      <c r="M4594" s="282" t="e">
        <f>(INDEX(Tabla6[#All],MATCH(Tabla4[[#This Row],[Producto]],Tabla6[[#All],[PRODUCTO]],0),MATCH(Tabla4[[#This Row],[Mes]],Tabla6[#Headers],0)))*(1+Catalogos!$L$2)</f>
        <v>#N/A</v>
      </c>
      <c r="N4594" s="283" t="e">
        <f>+(Tabla4[[#This Row],[Precio Descontado]]-Tabla4[[#This Row],[Precio Base]])*Tabla4[[#This Row],[Cantidad]]</f>
        <v>#N/A</v>
      </c>
      <c r="O4594" s="284" t="e">
        <f>++Tabla4[[#This Row],[Utilidad Total]]/Tabla4[[#This Row],[Total]]</f>
        <v>#N/A</v>
      </c>
      <c r="P4594" s="282">
        <f>++Tabla4[[#This Row],[Precio Descontado]]*Tabla4[[#This Row],[Cantidad]]</f>
        <v>4928.2541709999996</v>
      </c>
      <c r="Q4594" s="282" t="e">
        <f>(INDEX(Tabla6[#All],MATCH(Tabla4[[#This Row],[Producto]],Tabla6[[#All],[PRODUCTO]],0),MATCH(Tabla4[[#This Row],[Mes]],Tabla6[#Headers],0)))</f>
        <v>#N/A</v>
      </c>
      <c r="R4594" s="282" t="e">
        <f>++Tabla4[[#This Row],[Precio Unitario Neto]]-Tabla4[[#This Row],[20.85%]]-Tabla4[[#This Row],[Costo]]</f>
        <v>#N/A</v>
      </c>
      <c r="S4594" s="282" t="e">
        <f>++Tabla4[[#This Row],[U. Bruta Uni]]*Tabla4[[#This Row],[Cantidad]]</f>
        <v>#N/A</v>
      </c>
      <c r="T4594" s="369" t="str">
        <f>VLOOKUP(Tabla4[[#This Row],[Producto]],Tabla6[#All],14,FALSE)</f>
        <v>Termico Solar</v>
      </c>
      <c r="U4594" s="284" t="e">
        <f>(IF(Tabla4[[#This Row],[Familia]]="termico solar",Tabla4[[#This Row],[Utilidad Total]]*6%,Tabla4[[#This Row],[Utilidad Total]]*11.5%))/Tabla4[[#This Row],[Total]]</f>
        <v>#N/A</v>
      </c>
      <c r="V4594" s="282" t="e">
        <f>+Tabla4[[#This Row],[Comisión Calculada]]*Tabla4[[#This Row],[Total]]</f>
        <v>#N/A</v>
      </c>
    </row>
    <row r="4595" spans="1:22" hidden="1" x14ac:dyDescent="0.25">
      <c r="A4595" s="100">
        <v>45853</v>
      </c>
      <c r="B4595" t="str">
        <f t="shared" si="231"/>
        <v>July</v>
      </c>
      <c r="C4595" s="46" t="s">
        <v>280</v>
      </c>
      <c r="F4595" s="366" t="s">
        <v>2439</v>
      </c>
      <c r="G4595" s="46" t="s">
        <v>566</v>
      </c>
      <c r="H4595" s="46">
        <v>1</v>
      </c>
      <c r="I4595" s="51">
        <v>2109.4499999999998</v>
      </c>
      <c r="J4595" s="281">
        <f>++Tabla4[[#This Row],[Precio Bruto]]*1.16</f>
        <v>2446.9619999999995</v>
      </c>
      <c r="K4595" s="281">
        <f>+Tabla4[[#This Row],[Precio Unitario Neto]]*Tabla4[[#Headers],[20.85%]]</f>
        <v>510.19157699999988</v>
      </c>
      <c r="L4595" s="282">
        <f>++Tabla4[[#This Row],[Precio Unitario Neto]]-Tabla4[[#This Row],[20.85%]]</f>
        <v>1936.7704229999997</v>
      </c>
      <c r="M4595" s="282" t="e">
        <f>(INDEX(Tabla6[#All],MATCH(Tabla4[[#This Row],[Producto]],Tabla6[[#All],[PRODUCTO]],0),MATCH(Tabla4[[#This Row],[Mes]],Tabla6[#Headers],0)))*(1+Catalogos!$L$2)</f>
        <v>#N/A</v>
      </c>
      <c r="N4595" s="283" t="e">
        <f>+(Tabla4[[#This Row],[Precio Descontado]]-Tabla4[[#This Row],[Precio Base]])*Tabla4[[#This Row],[Cantidad]]</f>
        <v>#N/A</v>
      </c>
      <c r="O4595" s="284" t="e">
        <f>++Tabla4[[#This Row],[Utilidad Total]]/Tabla4[[#This Row],[Total]]</f>
        <v>#N/A</v>
      </c>
      <c r="P4595" s="282">
        <f>++Tabla4[[#This Row],[Precio Descontado]]*Tabla4[[#This Row],[Cantidad]]</f>
        <v>1936.7704229999997</v>
      </c>
      <c r="Q4595" s="282" t="e">
        <f>(INDEX(Tabla6[#All],MATCH(Tabla4[[#This Row],[Producto]],Tabla6[[#All],[PRODUCTO]],0),MATCH(Tabla4[[#This Row],[Mes]],Tabla6[#Headers],0)))</f>
        <v>#N/A</v>
      </c>
      <c r="R4595" s="282" t="e">
        <f>++Tabla4[[#This Row],[Precio Unitario Neto]]-Tabla4[[#This Row],[20.85%]]-Tabla4[[#This Row],[Costo]]</f>
        <v>#N/A</v>
      </c>
      <c r="S4595" s="282" t="e">
        <f>++Tabla4[[#This Row],[U. Bruta Uni]]*Tabla4[[#This Row],[Cantidad]]</f>
        <v>#N/A</v>
      </c>
      <c r="T4595" s="369" t="str">
        <f>VLOOKUP(Tabla4[[#This Row],[Producto]],Tabla6[#All],14,FALSE)</f>
        <v>Termico Solar</v>
      </c>
      <c r="U4595" s="284" t="e">
        <f>(IF(Tabla4[[#This Row],[Familia]]="termico solar",Tabla4[[#This Row],[Utilidad Total]]*6%,Tabla4[[#This Row],[Utilidad Total]]*11.5%))/Tabla4[[#This Row],[Total]]</f>
        <v>#N/A</v>
      </c>
      <c r="V4595" s="282" t="e">
        <f>+Tabla4[[#This Row],[Comisión Calculada]]*Tabla4[[#This Row],[Total]]</f>
        <v>#N/A</v>
      </c>
    </row>
    <row r="4596" spans="1:22" hidden="1" x14ac:dyDescent="0.25">
      <c r="A4596" s="100">
        <v>45853</v>
      </c>
      <c r="B4596" t="str">
        <f t="shared" si="231"/>
        <v>July</v>
      </c>
      <c r="C4596" s="46" t="s">
        <v>280</v>
      </c>
      <c r="F4596" s="366" t="s">
        <v>2440</v>
      </c>
      <c r="G4596" s="46" t="s">
        <v>83</v>
      </c>
      <c r="H4596" s="46">
        <v>1</v>
      </c>
      <c r="I4596" s="51">
        <v>8858.76</v>
      </c>
      <c r="J4596" s="281">
        <f>++Tabla4[[#This Row],[Precio Bruto]]*1.16</f>
        <v>10276.161599999999</v>
      </c>
      <c r="K4596" s="281">
        <f>+Tabla4[[#This Row],[Precio Unitario Neto]]*Tabla4[[#Headers],[20.85%]]</f>
        <v>2142.5796935999997</v>
      </c>
      <c r="L4596" s="282">
        <f>++Tabla4[[#This Row],[Precio Unitario Neto]]-Tabla4[[#This Row],[20.85%]]</f>
        <v>8133.5819063999998</v>
      </c>
      <c r="M4596" s="282" t="e">
        <f>(INDEX(Tabla6[#All],MATCH(Tabla4[[#This Row],[Producto]],Tabla6[[#All],[PRODUCTO]],0),MATCH(Tabla4[[#This Row],[Mes]],Tabla6[#Headers],0)))*(1+Catalogos!$L$2)</f>
        <v>#N/A</v>
      </c>
      <c r="N4596" s="283" t="e">
        <f>+(Tabla4[[#This Row],[Precio Descontado]]-Tabla4[[#This Row],[Precio Base]])*Tabla4[[#This Row],[Cantidad]]</f>
        <v>#N/A</v>
      </c>
      <c r="O4596" s="284" t="e">
        <f>++Tabla4[[#This Row],[Utilidad Total]]/Tabla4[[#This Row],[Total]]</f>
        <v>#N/A</v>
      </c>
      <c r="P4596" s="282">
        <f>++Tabla4[[#This Row],[Precio Descontado]]*Tabla4[[#This Row],[Cantidad]]</f>
        <v>8133.5819063999998</v>
      </c>
      <c r="Q4596" s="282" t="e">
        <f>(INDEX(Tabla6[#All],MATCH(Tabla4[[#This Row],[Producto]],Tabla6[[#All],[PRODUCTO]],0),MATCH(Tabla4[[#This Row],[Mes]],Tabla6[#Headers],0)))</f>
        <v>#N/A</v>
      </c>
      <c r="R4596" s="282" t="e">
        <f>++Tabla4[[#This Row],[Precio Unitario Neto]]-Tabla4[[#This Row],[20.85%]]-Tabla4[[#This Row],[Costo]]</f>
        <v>#N/A</v>
      </c>
      <c r="S4596" s="282" t="e">
        <f>++Tabla4[[#This Row],[U. Bruta Uni]]*Tabla4[[#This Row],[Cantidad]]</f>
        <v>#N/A</v>
      </c>
      <c r="T4596" s="369" t="str">
        <f>VLOOKUP(Tabla4[[#This Row],[Producto]],Tabla6[#All],14,FALSE)</f>
        <v>Termico Solar</v>
      </c>
      <c r="U4596" s="284" t="e">
        <f>(IF(Tabla4[[#This Row],[Familia]]="termico solar",Tabla4[[#This Row],[Utilidad Total]]*6%,Tabla4[[#This Row],[Utilidad Total]]*11.5%))/Tabla4[[#This Row],[Total]]</f>
        <v>#N/A</v>
      </c>
      <c r="V4596" s="282" t="e">
        <f>+Tabla4[[#This Row],[Comisión Calculada]]*Tabla4[[#This Row],[Total]]</f>
        <v>#N/A</v>
      </c>
    </row>
    <row r="4597" spans="1:22" hidden="1" x14ac:dyDescent="0.25">
      <c r="A4597" s="100">
        <v>45853</v>
      </c>
      <c r="B4597" t="str">
        <f t="shared" si="231"/>
        <v>July</v>
      </c>
      <c r="C4597" s="46" t="s">
        <v>280</v>
      </c>
      <c r="F4597" s="366" t="s">
        <v>2440</v>
      </c>
      <c r="G4597" s="46" t="s">
        <v>566</v>
      </c>
      <c r="H4597" s="46">
        <v>1</v>
      </c>
      <c r="I4597" s="51">
        <v>2109.4499999999998</v>
      </c>
      <c r="J4597" s="281">
        <f>++Tabla4[[#This Row],[Precio Bruto]]*1.16</f>
        <v>2446.9619999999995</v>
      </c>
      <c r="K4597" s="281">
        <f>+Tabla4[[#This Row],[Precio Unitario Neto]]*Tabla4[[#Headers],[20.85%]]</f>
        <v>510.19157699999988</v>
      </c>
      <c r="L4597" s="282">
        <f>++Tabla4[[#This Row],[Precio Unitario Neto]]-Tabla4[[#This Row],[20.85%]]</f>
        <v>1936.7704229999997</v>
      </c>
      <c r="M4597" s="282" t="e">
        <f>(INDEX(Tabla6[#All],MATCH(Tabla4[[#This Row],[Producto]],Tabla6[[#All],[PRODUCTO]],0),MATCH(Tabla4[[#This Row],[Mes]],Tabla6[#Headers],0)))*(1+Catalogos!$L$2)</f>
        <v>#N/A</v>
      </c>
      <c r="N4597" s="283" t="e">
        <f>+(Tabla4[[#This Row],[Precio Descontado]]-Tabla4[[#This Row],[Precio Base]])*Tabla4[[#This Row],[Cantidad]]</f>
        <v>#N/A</v>
      </c>
      <c r="O4597" s="284" t="e">
        <f>++Tabla4[[#This Row],[Utilidad Total]]/Tabla4[[#This Row],[Total]]</f>
        <v>#N/A</v>
      </c>
      <c r="P4597" s="282">
        <f>++Tabla4[[#This Row],[Precio Descontado]]*Tabla4[[#This Row],[Cantidad]]</f>
        <v>1936.7704229999997</v>
      </c>
      <c r="Q4597" s="282" t="e">
        <f>(INDEX(Tabla6[#All],MATCH(Tabla4[[#This Row],[Producto]],Tabla6[[#All],[PRODUCTO]],0),MATCH(Tabla4[[#This Row],[Mes]],Tabla6[#Headers],0)))</f>
        <v>#N/A</v>
      </c>
      <c r="R4597" s="282" t="e">
        <f>++Tabla4[[#This Row],[Precio Unitario Neto]]-Tabla4[[#This Row],[20.85%]]-Tabla4[[#This Row],[Costo]]</f>
        <v>#N/A</v>
      </c>
      <c r="S4597" s="282" t="e">
        <f>++Tabla4[[#This Row],[U. Bruta Uni]]*Tabla4[[#This Row],[Cantidad]]</f>
        <v>#N/A</v>
      </c>
      <c r="T4597" s="369" t="str">
        <f>VLOOKUP(Tabla4[[#This Row],[Producto]],Tabla6[#All],14,FALSE)</f>
        <v>Termico Solar</v>
      </c>
      <c r="U4597" s="284" t="e">
        <f>(IF(Tabla4[[#This Row],[Familia]]="termico solar",Tabla4[[#This Row],[Utilidad Total]]*6%,Tabla4[[#This Row],[Utilidad Total]]*11.5%))/Tabla4[[#This Row],[Total]]</f>
        <v>#N/A</v>
      </c>
      <c r="V4597" s="282" t="e">
        <f>+Tabla4[[#This Row],[Comisión Calculada]]*Tabla4[[#This Row],[Total]]</f>
        <v>#N/A</v>
      </c>
    </row>
    <row r="4598" spans="1:22" hidden="1" x14ac:dyDescent="0.25">
      <c r="A4598" s="100">
        <v>45853</v>
      </c>
      <c r="B4598" t="str">
        <f t="shared" si="231"/>
        <v>July</v>
      </c>
      <c r="C4598" s="46" t="s">
        <v>280</v>
      </c>
      <c r="F4598" s="366" t="s">
        <v>2441</v>
      </c>
      <c r="G4598" s="46" t="s">
        <v>17</v>
      </c>
      <c r="H4598" s="46">
        <v>2</v>
      </c>
      <c r="I4598" s="51">
        <v>4622.28</v>
      </c>
      <c r="J4598" s="281">
        <f>++Tabla4[[#This Row],[Precio Bruto]]*1.16</f>
        <v>5361.8447999999989</v>
      </c>
      <c r="K4598" s="281">
        <f>+Tabla4[[#This Row],[Precio Unitario Neto]]*Tabla4[[#Headers],[20.85%]]</f>
        <v>1117.9446407999997</v>
      </c>
      <c r="L4598" s="282">
        <f>++Tabla4[[#This Row],[Precio Unitario Neto]]-Tabla4[[#This Row],[20.85%]]</f>
        <v>4243.9001591999995</v>
      </c>
      <c r="M4598" s="282" t="e">
        <f>(INDEX(Tabla6[#All],MATCH(Tabla4[[#This Row],[Producto]],Tabla6[[#All],[PRODUCTO]],0),MATCH(Tabla4[[#This Row],[Mes]],Tabla6[#Headers],0)))*(1+Catalogos!$L$2)</f>
        <v>#N/A</v>
      </c>
      <c r="N4598" s="283" t="e">
        <f>+(Tabla4[[#This Row],[Precio Descontado]]-Tabla4[[#This Row],[Precio Base]])*Tabla4[[#This Row],[Cantidad]]</f>
        <v>#N/A</v>
      </c>
      <c r="O4598" s="284" t="e">
        <f>++Tabla4[[#This Row],[Utilidad Total]]/Tabla4[[#This Row],[Total]]</f>
        <v>#N/A</v>
      </c>
      <c r="P4598" s="282">
        <f>++Tabla4[[#This Row],[Precio Descontado]]*Tabla4[[#This Row],[Cantidad]]</f>
        <v>8487.800318399999</v>
      </c>
      <c r="Q4598" s="282" t="e">
        <f>(INDEX(Tabla6[#All],MATCH(Tabla4[[#This Row],[Producto]],Tabla6[[#All],[PRODUCTO]],0),MATCH(Tabla4[[#This Row],[Mes]],Tabla6[#Headers],0)))</f>
        <v>#N/A</v>
      </c>
      <c r="R4598" s="282" t="e">
        <f>++Tabla4[[#This Row],[Precio Unitario Neto]]-Tabla4[[#This Row],[20.85%]]-Tabla4[[#This Row],[Costo]]</f>
        <v>#N/A</v>
      </c>
      <c r="S4598" s="282" t="e">
        <f>++Tabla4[[#This Row],[U. Bruta Uni]]*Tabla4[[#This Row],[Cantidad]]</f>
        <v>#N/A</v>
      </c>
      <c r="T4598" s="369" t="str">
        <f>VLOOKUP(Tabla4[[#This Row],[Producto]],Tabla6[#All],14,FALSE)</f>
        <v>Termico Solar</v>
      </c>
      <c r="U4598" s="284" t="e">
        <f>(IF(Tabla4[[#This Row],[Familia]]="termico solar",Tabla4[[#This Row],[Utilidad Total]]*6%,Tabla4[[#This Row],[Utilidad Total]]*11.5%))/Tabla4[[#This Row],[Total]]</f>
        <v>#N/A</v>
      </c>
      <c r="V4598" s="282" t="e">
        <f>+Tabla4[[#This Row],[Comisión Calculada]]*Tabla4[[#This Row],[Total]]</f>
        <v>#N/A</v>
      </c>
    </row>
    <row r="4599" spans="1:22" hidden="1" x14ac:dyDescent="0.25">
      <c r="A4599" s="100">
        <v>45853</v>
      </c>
      <c r="B4599" t="str">
        <f t="shared" si="231"/>
        <v>July</v>
      </c>
      <c r="C4599" s="46" t="s">
        <v>280</v>
      </c>
      <c r="F4599" s="366" t="s">
        <v>2441</v>
      </c>
      <c r="G4599" s="46" t="s">
        <v>566</v>
      </c>
      <c r="H4599" s="46">
        <v>1</v>
      </c>
      <c r="I4599" s="51">
        <v>2109.4499999999998</v>
      </c>
      <c r="J4599" s="281">
        <f>++Tabla4[[#This Row],[Precio Bruto]]*1.16</f>
        <v>2446.9619999999995</v>
      </c>
      <c r="K4599" s="281">
        <f>+Tabla4[[#This Row],[Precio Unitario Neto]]*Tabla4[[#Headers],[20.85%]]</f>
        <v>510.19157699999988</v>
      </c>
      <c r="L4599" s="282">
        <f>++Tabla4[[#This Row],[Precio Unitario Neto]]-Tabla4[[#This Row],[20.85%]]</f>
        <v>1936.7704229999997</v>
      </c>
      <c r="M4599" s="282" t="e">
        <f>(INDEX(Tabla6[#All],MATCH(Tabla4[[#This Row],[Producto]],Tabla6[[#All],[PRODUCTO]],0),MATCH(Tabla4[[#This Row],[Mes]],Tabla6[#Headers],0)))*(1+Catalogos!$L$2)</f>
        <v>#N/A</v>
      </c>
      <c r="N4599" s="283" t="e">
        <f>+(Tabla4[[#This Row],[Precio Descontado]]-Tabla4[[#This Row],[Precio Base]])*Tabla4[[#This Row],[Cantidad]]</f>
        <v>#N/A</v>
      </c>
      <c r="O4599" s="284" t="e">
        <f>++Tabla4[[#This Row],[Utilidad Total]]/Tabla4[[#This Row],[Total]]</f>
        <v>#N/A</v>
      </c>
      <c r="P4599" s="282">
        <f>++Tabla4[[#This Row],[Precio Descontado]]*Tabla4[[#This Row],[Cantidad]]</f>
        <v>1936.7704229999997</v>
      </c>
      <c r="Q4599" s="282" t="e">
        <f>(INDEX(Tabla6[#All],MATCH(Tabla4[[#This Row],[Producto]],Tabla6[[#All],[PRODUCTO]],0),MATCH(Tabla4[[#This Row],[Mes]],Tabla6[#Headers],0)))</f>
        <v>#N/A</v>
      </c>
      <c r="R4599" s="282" t="e">
        <f>++Tabla4[[#This Row],[Precio Unitario Neto]]-Tabla4[[#This Row],[20.85%]]-Tabla4[[#This Row],[Costo]]</f>
        <v>#N/A</v>
      </c>
      <c r="S4599" s="282" t="e">
        <f>++Tabla4[[#This Row],[U. Bruta Uni]]*Tabla4[[#This Row],[Cantidad]]</f>
        <v>#N/A</v>
      </c>
      <c r="T4599" s="369" t="str">
        <f>VLOOKUP(Tabla4[[#This Row],[Producto]],Tabla6[#All],14,FALSE)</f>
        <v>Termico Solar</v>
      </c>
      <c r="U4599" s="284" t="e">
        <f>(IF(Tabla4[[#This Row],[Familia]]="termico solar",Tabla4[[#This Row],[Utilidad Total]]*6%,Tabla4[[#This Row],[Utilidad Total]]*11.5%))/Tabla4[[#This Row],[Total]]</f>
        <v>#N/A</v>
      </c>
      <c r="V4599" s="282" t="e">
        <f>+Tabla4[[#This Row],[Comisión Calculada]]*Tabla4[[#This Row],[Total]]</f>
        <v>#N/A</v>
      </c>
    </row>
    <row r="4600" spans="1:22" hidden="1" x14ac:dyDescent="0.25">
      <c r="A4600" s="100">
        <v>45853</v>
      </c>
      <c r="B4600" t="str">
        <f t="shared" si="231"/>
        <v>July</v>
      </c>
      <c r="C4600" s="46" t="s">
        <v>280</v>
      </c>
      <c r="F4600" s="366" t="s">
        <v>2442</v>
      </c>
      <c r="G4600" s="46" t="s">
        <v>18</v>
      </c>
      <c r="H4600" s="46">
        <v>1</v>
      </c>
      <c r="I4600" s="51">
        <v>5367.65</v>
      </c>
      <c r="J4600" s="281">
        <f>++Tabla4[[#This Row],[Precio Bruto]]*1.16</f>
        <v>6226.4739999999993</v>
      </c>
      <c r="K4600" s="281">
        <f>+Tabla4[[#This Row],[Precio Unitario Neto]]*Tabla4[[#Headers],[20.85%]]</f>
        <v>1298.2198289999999</v>
      </c>
      <c r="L4600" s="282">
        <f>++Tabla4[[#This Row],[Precio Unitario Neto]]-Tabla4[[#This Row],[20.85%]]</f>
        <v>4928.2541709999996</v>
      </c>
      <c r="M4600" s="282" t="e">
        <f>(INDEX(Tabla6[#All],MATCH(Tabla4[[#This Row],[Producto]],Tabla6[[#All],[PRODUCTO]],0),MATCH(Tabla4[[#This Row],[Mes]],Tabla6[#Headers],0)))*(1+Catalogos!$L$2)</f>
        <v>#N/A</v>
      </c>
      <c r="N4600" s="283" t="e">
        <f>+(Tabla4[[#This Row],[Precio Descontado]]-Tabla4[[#This Row],[Precio Base]])*Tabla4[[#This Row],[Cantidad]]</f>
        <v>#N/A</v>
      </c>
      <c r="O4600" s="284" t="e">
        <f>++Tabla4[[#This Row],[Utilidad Total]]/Tabla4[[#This Row],[Total]]</f>
        <v>#N/A</v>
      </c>
      <c r="P4600" s="282">
        <f>++Tabla4[[#This Row],[Precio Descontado]]*Tabla4[[#This Row],[Cantidad]]</f>
        <v>4928.2541709999996</v>
      </c>
      <c r="Q4600" s="282" t="e">
        <f>(INDEX(Tabla6[#All],MATCH(Tabla4[[#This Row],[Producto]],Tabla6[[#All],[PRODUCTO]],0),MATCH(Tabla4[[#This Row],[Mes]],Tabla6[#Headers],0)))</f>
        <v>#N/A</v>
      </c>
      <c r="R4600" s="282" t="e">
        <f>++Tabla4[[#This Row],[Precio Unitario Neto]]-Tabla4[[#This Row],[20.85%]]-Tabla4[[#This Row],[Costo]]</f>
        <v>#N/A</v>
      </c>
      <c r="S4600" s="282" t="e">
        <f>++Tabla4[[#This Row],[U. Bruta Uni]]*Tabla4[[#This Row],[Cantidad]]</f>
        <v>#N/A</v>
      </c>
      <c r="T4600" s="369" t="str">
        <f>VLOOKUP(Tabla4[[#This Row],[Producto]],Tabla6[#All],14,FALSE)</f>
        <v>Termico Solar</v>
      </c>
      <c r="U4600" s="284" t="e">
        <f>(IF(Tabla4[[#This Row],[Familia]]="termico solar",Tabla4[[#This Row],[Utilidad Total]]*6%,Tabla4[[#This Row],[Utilidad Total]]*11.5%))/Tabla4[[#This Row],[Total]]</f>
        <v>#N/A</v>
      </c>
      <c r="V4600" s="282" t="e">
        <f>+Tabla4[[#This Row],[Comisión Calculada]]*Tabla4[[#This Row],[Total]]</f>
        <v>#N/A</v>
      </c>
    </row>
    <row r="4601" spans="1:22" hidden="1" x14ac:dyDescent="0.25">
      <c r="A4601" s="100">
        <v>45853</v>
      </c>
      <c r="B4601" t="str">
        <f t="shared" si="231"/>
        <v>July</v>
      </c>
      <c r="C4601" s="46" t="s">
        <v>280</v>
      </c>
      <c r="F4601" s="366" t="s">
        <v>2442</v>
      </c>
      <c r="G4601" s="46" t="s">
        <v>566</v>
      </c>
      <c r="H4601" s="46">
        <v>1</v>
      </c>
      <c r="I4601" s="51">
        <v>2109.4499999999998</v>
      </c>
      <c r="J4601" s="281">
        <f>++Tabla4[[#This Row],[Precio Bruto]]*1.16</f>
        <v>2446.9619999999995</v>
      </c>
      <c r="K4601" s="281">
        <f>+Tabla4[[#This Row],[Precio Unitario Neto]]*Tabla4[[#Headers],[20.85%]]</f>
        <v>510.19157699999988</v>
      </c>
      <c r="L4601" s="282">
        <f>++Tabla4[[#This Row],[Precio Unitario Neto]]-Tabla4[[#This Row],[20.85%]]</f>
        <v>1936.7704229999997</v>
      </c>
      <c r="M4601" s="282" t="e">
        <f>(INDEX(Tabla6[#All],MATCH(Tabla4[[#This Row],[Producto]],Tabla6[[#All],[PRODUCTO]],0),MATCH(Tabla4[[#This Row],[Mes]],Tabla6[#Headers],0)))*(1+Catalogos!$L$2)</f>
        <v>#N/A</v>
      </c>
      <c r="N4601" s="283" t="e">
        <f>+(Tabla4[[#This Row],[Precio Descontado]]-Tabla4[[#This Row],[Precio Base]])*Tabla4[[#This Row],[Cantidad]]</f>
        <v>#N/A</v>
      </c>
      <c r="O4601" s="284" t="e">
        <f>++Tabla4[[#This Row],[Utilidad Total]]/Tabla4[[#This Row],[Total]]</f>
        <v>#N/A</v>
      </c>
      <c r="P4601" s="282">
        <f>++Tabla4[[#This Row],[Precio Descontado]]*Tabla4[[#This Row],[Cantidad]]</f>
        <v>1936.7704229999997</v>
      </c>
      <c r="Q4601" s="282" t="e">
        <f>(INDEX(Tabla6[#All],MATCH(Tabla4[[#This Row],[Producto]],Tabla6[[#All],[PRODUCTO]],0),MATCH(Tabla4[[#This Row],[Mes]],Tabla6[#Headers],0)))</f>
        <v>#N/A</v>
      </c>
      <c r="R4601" s="282" t="e">
        <f>++Tabla4[[#This Row],[Precio Unitario Neto]]-Tabla4[[#This Row],[20.85%]]-Tabla4[[#This Row],[Costo]]</f>
        <v>#N/A</v>
      </c>
      <c r="S4601" s="282" t="e">
        <f>++Tabla4[[#This Row],[U. Bruta Uni]]*Tabla4[[#This Row],[Cantidad]]</f>
        <v>#N/A</v>
      </c>
      <c r="T4601" s="369" t="str">
        <f>VLOOKUP(Tabla4[[#This Row],[Producto]],Tabla6[#All],14,FALSE)</f>
        <v>Termico Solar</v>
      </c>
      <c r="U4601" s="284" t="e">
        <f>(IF(Tabla4[[#This Row],[Familia]]="termico solar",Tabla4[[#This Row],[Utilidad Total]]*6%,Tabla4[[#This Row],[Utilidad Total]]*11.5%))/Tabla4[[#This Row],[Total]]</f>
        <v>#N/A</v>
      </c>
      <c r="V4601" s="282" t="e">
        <f>+Tabla4[[#This Row],[Comisión Calculada]]*Tabla4[[#This Row],[Total]]</f>
        <v>#N/A</v>
      </c>
    </row>
    <row r="4602" spans="1:22" hidden="1" x14ac:dyDescent="0.25">
      <c r="A4602" s="100">
        <v>45853</v>
      </c>
      <c r="B4602" t="str">
        <f t="shared" si="231"/>
        <v>July</v>
      </c>
      <c r="C4602" s="46" t="s">
        <v>280</v>
      </c>
      <c r="F4602" s="366" t="s">
        <v>2443</v>
      </c>
      <c r="G4602" s="46" t="s">
        <v>17</v>
      </c>
      <c r="H4602" s="46">
        <v>1</v>
      </c>
      <c r="I4602" s="51">
        <v>4622.28</v>
      </c>
      <c r="J4602" s="281">
        <f>++Tabla4[[#This Row],[Precio Bruto]]*1.16</f>
        <v>5361.8447999999989</v>
      </c>
      <c r="K4602" s="281">
        <f>+Tabla4[[#This Row],[Precio Unitario Neto]]*Tabla4[[#Headers],[20.85%]]</f>
        <v>1117.9446407999997</v>
      </c>
      <c r="L4602" s="282">
        <f>++Tabla4[[#This Row],[Precio Unitario Neto]]-Tabla4[[#This Row],[20.85%]]</f>
        <v>4243.9001591999995</v>
      </c>
      <c r="M4602" s="282" t="e">
        <f>(INDEX(Tabla6[#All],MATCH(Tabla4[[#This Row],[Producto]],Tabla6[[#All],[PRODUCTO]],0),MATCH(Tabla4[[#This Row],[Mes]],Tabla6[#Headers],0)))*(1+Catalogos!$L$2)</f>
        <v>#N/A</v>
      </c>
      <c r="N4602" s="283" t="e">
        <f>+(Tabla4[[#This Row],[Precio Descontado]]-Tabla4[[#This Row],[Precio Base]])*Tabla4[[#This Row],[Cantidad]]</f>
        <v>#N/A</v>
      </c>
      <c r="O4602" s="284" t="e">
        <f>++Tabla4[[#This Row],[Utilidad Total]]/Tabla4[[#This Row],[Total]]</f>
        <v>#N/A</v>
      </c>
      <c r="P4602" s="282">
        <f>++Tabla4[[#This Row],[Precio Descontado]]*Tabla4[[#This Row],[Cantidad]]</f>
        <v>4243.9001591999995</v>
      </c>
      <c r="Q4602" s="282" t="e">
        <f>(INDEX(Tabla6[#All],MATCH(Tabla4[[#This Row],[Producto]],Tabla6[[#All],[PRODUCTO]],0),MATCH(Tabla4[[#This Row],[Mes]],Tabla6[#Headers],0)))</f>
        <v>#N/A</v>
      </c>
      <c r="R4602" s="282" t="e">
        <f>++Tabla4[[#This Row],[Precio Unitario Neto]]-Tabla4[[#This Row],[20.85%]]-Tabla4[[#This Row],[Costo]]</f>
        <v>#N/A</v>
      </c>
      <c r="S4602" s="282" t="e">
        <f>++Tabla4[[#This Row],[U. Bruta Uni]]*Tabla4[[#This Row],[Cantidad]]</f>
        <v>#N/A</v>
      </c>
      <c r="T4602" s="369" t="str">
        <f>VLOOKUP(Tabla4[[#This Row],[Producto]],Tabla6[#All],14,FALSE)</f>
        <v>Termico Solar</v>
      </c>
      <c r="U4602" s="284" t="e">
        <f>(IF(Tabla4[[#This Row],[Familia]]="termico solar",Tabla4[[#This Row],[Utilidad Total]]*6%,Tabla4[[#This Row],[Utilidad Total]]*11.5%))/Tabla4[[#This Row],[Total]]</f>
        <v>#N/A</v>
      </c>
      <c r="V4602" s="282" t="e">
        <f>+Tabla4[[#This Row],[Comisión Calculada]]*Tabla4[[#This Row],[Total]]</f>
        <v>#N/A</v>
      </c>
    </row>
    <row r="4603" spans="1:22" hidden="1" x14ac:dyDescent="0.25">
      <c r="A4603" s="100">
        <v>45853</v>
      </c>
      <c r="B4603" t="str">
        <f t="shared" si="231"/>
        <v>July</v>
      </c>
      <c r="C4603" s="46" t="s">
        <v>280</v>
      </c>
      <c r="F4603" s="366" t="s">
        <v>2443</v>
      </c>
      <c r="G4603" s="46" t="s">
        <v>18</v>
      </c>
      <c r="H4603" s="46">
        <v>2</v>
      </c>
      <c r="I4603" s="51">
        <v>5367.65</v>
      </c>
      <c r="J4603" s="281">
        <f>++Tabla4[[#This Row],[Precio Bruto]]*1.16</f>
        <v>6226.4739999999993</v>
      </c>
      <c r="K4603" s="281">
        <f>+Tabla4[[#This Row],[Precio Unitario Neto]]*Tabla4[[#Headers],[20.85%]]</f>
        <v>1298.2198289999999</v>
      </c>
      <c r="L4603" s="282">
        <f>++Tabla4[[#This Row],[Precio Unitario Neto]]-Tabla4[[#This Row],[20.85%]]</f>
        <v>4928.2541709999996</v>
      </c>
      <c r="M4603" s="282" t="e">
        <f>(INDEX(Tabla6[#All],MATCH(Tabla4[[#This Row],[Producto]],Tabla6[[#All],[PRODUCTO]],0),MATCH(Tabla4[[#This Row],[Mes]],Tabla6[#Headers],0)))*(1+Catalogos!$L$2)</f>
        <v>#N/A</v>
      </c>
      <c r="N4603" s="283" t="e">
        <f>+(Tabla4[[#This Row],[Precio Descontado]]-Tabla4[[#This Row],[Precio Base]])*Tabla4[[#This Row],[Cantidad]]</f>
        <v>#N/A</v>
      </c>
      <c r="O4603" s="284" t="e">
        <f>++Tabla4[[#This Row],[Utilidad Total]]/Tabla4[[#This Row],[Total]]</f>
        <v>#N/A</v>
      </c>
      <c r="P4603" s="282">
        <f>++Tabla4[[#This Row],[Precio Descontado]]*Tabla4[[#This Row],[Cantidad]]</f>
        <v>9856.5083419999992</v>
      </c>
      <c r="Q4603" s="282" t="e">
        <f>(INDEX(Tabla6[#All],MATCH(Tabla4[[#This Row],[Producto]],Tabla6[[#All],[PRODUCTO]],0),MATCH(Tabla4[[#This Row],[Mes]],Tabla6[#Headers],0)))</f>
        <v>#N/A</v>
      </c>
      <c r="R4603" s="282" t="e">
        <f>++Tabla4[[#This Row],[Precio Unitario Neto]]-Tabla4[[#This Row],[20.85%]]-Tabla4[[#This Row],[Costo]]</f>
        <v>#N/A</v>
      </c>
      <c r="S4603" s="282" t="e">
        <f>++Tabla4[[#This Row],[U. Bruta Uni]]*Tabla4[[#This Row],[Cantidad]]</f>
        <v>#N/A</v>
      </c>
      <c r="T4603" s="369" t="str">
        <f>VLOOKUP(Tabla4[[#This Row],[Producto]],Tabla6[#All],14,FALSE)</f>
        <v>Termico Solar</v>
      </c>
      <c r="U4603" s="284" t="e">
        <f>(IF(Tabla4[[#This Row],[Familia]]="termico solar",Tabla4[[#This Row],[Utilidad Total]]*6%,Tabla4[[#This Row],[Utilidad Total]]*11.5%))/Tabla4[[#This Row],[Total]]</f>
        <v>#N/A</v>
      </c>
      <c r="V4603" s="282" t="e">
        <f>+Tabla4[[#This Row],[Comisión Calculada]]*Tabla4[[#This Row],[Total]]</f>
        <v>#N/A</v>
      </c>
    </row>
    <row r="4604" spans="1:22" hidden="1" x14ac:dyDescent="0.25">
      <c r="A4604" s="100">
        <v>45853</v>
      </c>
      <c r="B4604" t="str">
        <f t="shared" si="231"/>
        <v>July</v>
      </c>
      <c r="C4604" s="46" t="s">
        <v>280</v>
      </c>
      <c r="F4604" s="366" t="s">
        <v>2444</v>
      </c>
      <c r="G4604" s="46" t="s">
        <v>83</v>
      </c>
      <c r="H4604" s="46">
        <v>2</v>
      </c>
      <c r="I4604" s="51">
        <v>8858.76</v>
      </c>
      <c r="J4604" s="281">
        <f>++Tabla4[[#This Row],[Precio Bruto]]*1.16</f>
        <v>10276.161599999999</v>
      </c>
      <c r="K4604" s="281">
        <f>+Tabla4[[#This Row],[Precio Unitario Neto]]*Tabla4[[#Headers],[20.85%]]</f>
        <v>2142.5796935999997</v>
      </c>
      <c r="L4604" s="282">
        <f>++Tabla4[[#This Row],[Precio Unitario Neto]]-Tabla4[[#This Row],[20.85%]]</f>
        <v>8133.5819063999998</v>
      </c>
      <c r="M4604" s="282" t="e">
        <f>(INDEX(Tabla6[#All],MATCH(Tabla4[[#This Row],[Producto]],Tabla6[[#All],[PRODUCTO]],0),MATCH(Tabla4[[#This Row],[Mes]],Tabla6[#Headers],0)))*(1+Catalogos!$L$2)</f>
        <v>#N/A</v>
      </c>
      <c r="N4604" s="283" t="e">
        <f>+(Tabla4[[#This Row],[Precio Descontado]]-Tabla4[[#This Row],[Precio Base]])*Tabla4[[#This Row],[Cantidad]]</f>
        <v>#N/A</v>
      </c>
      <c r="O4604" s="284" t="e">
        <f>++Tabla4[[#This Row],[Utilidad Total]]/Tabla4[[#This Row],[Total]]</f>
        <v>#N/A</v>
      </c>
      <c r="P4604" s="282">
        <f>++Tabla4[[#This Row],[Precio Descontado]]*Tabla4[[#This Row],[Cantidad]]</f>
        <v>16267.1638128</v>
      </c>
      <c r="Q4604" s="282" t="e">
        <f>(INDEX(Tabla6[#All],MATCH(Tabla4[[#This Row],[Producto]],Tabla6[[#All],[PRODUCTO]],0),MATCH(Tabla4[[#This Row],[Mes]],Tabla6[#Headers],0)))</f>
        <v>#N/A</v>
      </c>
      <c r="R4604" s="282" t="e">
        <f>++Tabla4[[#This Row],[Precio Unitario Neto]]-Tabla4[[#This Row],[20.85%]]-Tabla4[[#This Row],[Costo]]</f>
        <v>#N/A</v>
      </c>
      <c r="S4604" s="282" t="e">
        <f>++Tabla4[[#This Row],[U. Bruta Uni]]*Tabla4[[#This Row],[Cantidad]]</f>
        <v>#N/A</v>
      </c>
      <c r="T4604" s="369" t="str">
        <f>VLOOKUP(Tabla4[[#This Row],[Producto]],Tabla6[#All],14,FALSE)</f>
        <v>Termico Solar</v>
      </c>
      <c r="U4604" s="284" t="e">
        <f>(IF(Tabla4[[#This Row],[Familia]]="termico solar",Tabla4[[#This Row],[Utilidad Total]]*6%,Tabla4[[#This Row],[Utilidad Total]]*11.5%))/Tabla4[[#This Row],[Total]]</f>
        <v>#N/A</v>
      </c>
      <c r="V4604" s="282" t="e">
        <f>+Tabla4[[#This Row],[Comisión Calculada]]*Tabla4[[#This Row],[Total]]</f>
        <v>#N/A</v>
      </c>
    </row>
    <row r="4605" spans="1:22" hidden="1" x14ac:dyDescent="0.25">
      <c r="A4605" s="100">
        <v>45853</v>
      </c>
      <c r="B4605" t="str">
        <f t="shared" si="231"/>
        <v>July</v>
      </c>
      <c r="C4605" s="46" t="s">
        <v>280</v>
      </c>
      <c r="F4605" s="366" t="s">
        <v>2444</v>
      </c>
      <c r="G4605" s="46" t="s">
        <v>17</v>
      </c>
      <c r="H4605" s="46">
        <v>10</v>
      </c>
      <c r="I4605" s="51">
        <v>4622.2800000000007</v>
      </c>
      <c r="J4605" s="281">
        <f>++Tabla4[[#This Row],[Precio Bruto]]*1.16</f>
        <v>5361.8448000000008</v>
      </c>
      <c r="K4605" s="281">
        <f>+Tabla4[[#This Row],[Precio Unitario Neto]]*Tabla4[[#Headers],[20.85%]]</f>
        <v>1117.9446408000001</v>
      </c>
      <c r="L4605" s="282">
        <f>++Tabla4[[#This Row],[Precio Unitario Neto]]-Tabla4[[#This Row],[20.85%]]</f>
        <v>4243.9001592000004</v>
      </c>
      <c r="M4605" s="282" t="e">
        <f>(INDEX(Tabla6[#All],MATCH(Tabla4[[#This Row],[Producto]],Tabla6[[#All],[PRODUCTO]],0),MATCH(Tabla4[[#This Row],[Mes]],Tabla6[#Headers],0)))*(1+Catalogos!$L$2)</f>
        <v>#N/A</v>
      </c>
      <c r="N4605" s="283" t="e">
        <f>+(Tabla4[[#This Row],[Precio Descontado]]-Tabla4[[#This Row],[Precio Base]])*Tabla4[[#This Row],[Cantidad]]</f>
        <v>#N/A</v>
      </c>
      <c r="O4605" s="284" t="e">
        <f>++Tabla4[[#This Row],[Utilidad Total]]/Tabla4[[#This Row],[Total]]</f>
        <v>#N/A</v>
      </c>
      <c r="P4605" s="282">
        <f>++Tabla4[[#This Row],[Precio Descontado]]*Tabla4[[#This Row],[Cantidad]]</f>
        <v>42439.001592000001</v>
      </c>
      <c r="Q4605" s="282" t="e">
        <f>(INDEX(Tabla6[#All],MATCH(Tabla4[[#This Row],[Producto]],Tabla6[[#All],[PRODUCTO]],0),MATCH(Tabla4[[#This Row],[Mes]],Tabla6[#Headers],0)))</f>
        <v>#N/A</v>
      </c>
      <c r="R4605" s="282" t="e">
        <f>++Tabla4[[#This Row],[Precio Unitario Neto]]-Tabla4[[#This Row],[20.85%]]-Tabla4[[#This Row],[Costo]]</f>
        <v>#N/A</v>
      </c>
      <c r="S4605" s="282" t="e">
        <f>++Tabla4[[#This Row],[U. Bruta Uni]]*Tabla4[[#This Row],[Cantidad]]</f>
        <v>#N/A</v>
      </c>
      <c r="T4605" s="369" t="str">
        <f>VLOOKUP(Tabla4[[#This Row],[Producto]],Tabla6[#All],14,FALSE)</f>
        <v>Termico Solar</v>
      </c>
      <c r="U4605" s="284" t="e">
        <f>(IF(Tabla4[[#This Row],[Familia]]="termico solar",Tabla4[[#This Row],[Utilidad Total]]*6%,Tabla4[[#This Row],[Utilidad Total]]*11.5%))/Tabla4[[#This Row],[Total]]</f>
        <v>#N/A</v>
      </c>
      <c r="V4605" s="282" t="e">
        <f>+Tabla4[[#This Row],[Comisión Calculada]]*Tabla4[[#This Row],[Total]]</f>
        <v>#N/A</v>
      </c>
    </row>
    <row r="4606" spans="1:22" hidden="1" x14ac:dyDescent="0.25">
      <c r="A4606" s="100">
        <v>45853</v>
      </c>
      <c r="B4606" t="str">
        <f t="shared" si="231"/>
        <v>July</v>
      </c>
      <c r="C4606" s="46" t="s">
        <v>280</v>
      </c>
      <c r="F4606" s="366" t="s">
        <v>2444</v>
      </c>
      <c r="G4606" s="46" t="s">
        <v>18</v>
      </c>
      <c r="H4606" s="46">
        <v>10</v>
      </c>
      <c r="I4606" s="51">
        <v>5367.65</v>
      </c>
      <c r="J4606" s="281">
        <f>++Tabla4[[#This Row],[Precio Bruto]]*1.16</f>
        <v>6226.4739999999993</v>
      </c>
      <c r="K4606" s="281">
        <f>+Tabla4[[#This Row],[Precio Unitario Neto]]*Tabla4[[#Headers],[20.85%]]</f>
        <v>1298.2198289999999</v>
      </c>
      <c r="L4606" s="282">
        <f>++Tabla4[[#This Row],[Precio Unitario Neto]]-Tabla4[[#This Row],[20.85%]]</f>
        <v>4928.2541709999996</v>
      </c>
      <c r="M4606" s="282" t="e">
        <f>(INDEX(Tabla6[#All],MATCH(Tabla4[[#This Row],[Producto]],Tabla6[[#All],[PRODUCTO]],0),MATCH(Tabla4[[#This Row],[Mes]],Tabla6[#Headers],0)))*(1+Catalogos!$L$2)</f>
        <v>#N/A</v>
      </c>
      <c r="N4606" s="283" t="e">
        <f>+(Tabla4[[#This Row],[Precio Descontado]]-Tabla4[[#This Row],[Precio Base]])*Tabla4[[#This Row],[Cantidad]]</f>
        <v>#N/A</v>
      </c>
      <c r="O4606" s="284" t="e">
        <f>++Tabla4[[#This Row],[Utilidad Total]]/Tabla4[[#This Row],[Total]]</f>
        <v>#N/A</v>
      </c>
      <c r="P4606" s="282">
        <f>++Tabla4[[#This Row],[Precio Descontado]]*Tabla4[[#This Row],[Cantidad]]</f>
        <v>49282.541709999998</v>
      </c>
      <c r="Q4606" s="282" t="e">
        <f>(INDEX(Tabla6[#All],MATCH(Tabla4[[#This Row],[Producto]],Tabla6[[#All],[PRODUCTO]],0),MATCH(Tabla4[[#This Row],[Mes]],Tabla6[#Headers],0)))</f>
        <v>#N/A</v>
      </c>
      <c r="R4606" s="282" t="e">
        <f>++Tabla4[[#This Row],[Precio Unitario Neto]]-Tabla4[[#This Row],[20.85%]]-Tabla4[[#This Row],[Costo]]</f>
        <v>#N/A</v>
      </c>
      <c r="S4606" s="282" t="e">
        <f>++Tabla4[[#This Row],[U. Bruta Uni]]*Tabla4[[#This Row],[Cantidad]]</f>
        <v>#N/A</v>
      </c>
      <c r="T4606" s="369" t="str">
        <f>VLOOKUP(Tabla4[[#This Row],[Producto]],Tabla6[#All],14,FALSE)</f>
        <v>Termico Solar</v>
      </c>
      <c r="U4606" s="284" t="e">
        <f>(IF(Tabla4[[#This Row],[Familia]]="termico solar",Tabla4[[#This Row],[Utilidad Total]]*6%,Tabla4[[#This Row],[Utilidad Total]]*11.5%))/Tabla4[[#This Row],[Total]]</f>
        <v>#N/A</v>
      </c>
      <c r="V4606" s="282" t="e">
        <f>+Tabla4[[#This Row],[Comisión Calculada]]*Tabla4[[#This Row],[Total]]</f>
        <v>#N/A</v>
      </c>
    </row>
    <row r="4607" spans="1:22" hidden="1" x14ac:dyDescent="0.25">
      <c r="A4607" s="100">
        <v>45853</v>
      </c>
      <c r="B4607" t="str">
        <f t="shared" ref="B4607:B4638" si="232">TEXT(A4607, "mmmm")</f>
        <v>July</v>
      </c>
      <c r="C4607" s="46" t="s">
        <v>280</v>
      </c>
      <c r="F4607" s="366" t="s">
        <v>2444</v>
      </c>
      <c r="G4607" s="46" t="s">
        <v>16</v>
      </c>
      <c r="H4607" s="46">
        <v>13</v>
      </c>
      <c r="I4607" s="51">
        <v>4103.8500000000004</v>
      </c>
      <c r="J4607" s="281">
        <f>++Tabla4[[#This Row],[Precio Bruto]]*1.16</f>
        <v>4760.4660000000003</v>
      </c>
      <c r="K4607" s="281">
        <f>+Tabla4[[#This Row],[Precio Unitario Neto]]*Tabla4[[#Headers],[20.85%]]</f>
        <v>992.55716100000006</v>
      </c>
      <c r="L4607" s="282">
        <f>++Tabla4[[#This Row],[Precio Unitario Neto]]-Tabla4[[#This Row],[20.85%]]</f>
        <v>3767.9088390000002</v>
      </c>
      <c r="M4607" s="282" t="e">
        <f>(INDEX(Tabla6[#All],MATCH(Tabla4[[#This Row],[Producto]],Tabla6[[#All],[PRODUCTO]],0),MATCH(Tabla4[[#This Row],[Mes]],Tabla6[#Headers],0)))*(1+Catalogos!$L$2)</f>
        <v>#N/A</v>
      </c>
      <c r="N4607" s="283" t="e">
        <f>+(Tabla4[[#This Row],[Precio Descontado]]-Tabla4[[#This Row],[Precio Base]])*Tabla4[[#This Row],[Cantidad]]</f>
        <v>#N/A</v>
      </c>
      <c r="O4607" s="284" t="e">
        <f>++Tabla4[[#This Row],[Utilidad Total]]/Tabla4[[#This Row],[Total]]</f>
        <v>#N/A</v>
      </c>
      <c r="P4607" s="282">
        <f>++Tabla4[[#This Row],[Precio Descontado]]*Tabla4[[#This Row],[Cantidad]]</f>
        <v>48982.814907</v>
      </c>
      <c r="Q4607" s="282" t="e">
        <f>(INDEX(Tabla6[#All],MATCH(Tabla4[[#This Row],[Producto]],Tabla6[[#All],[PRODUCTO]],0),MATCH(Tabla4[[#This Row],[Mes]],Tabla6[#Headers],0)))</f>
        <v>#N/A</v>
      </c>
      <c r="R4607" s="282" t="e">
        <f>++Tabla4[[#This Row],[Precio Unitario Neto]]-Tabla4[[#This Row],[20.85%]]-Tabla4[[#This Row],[Costo]]</f>
        <v>#N/A</v>
      </c>
      <c r="S4607" s="282" t="e">
        <f>++Tabla4[[#This Row],[U. Bruta Uni]]*Tabla4[[#This Row],[Cantidad]]</f>
        <v>#N/A</v>
      </c>
      <c r="T4607" s="369" t="str">
        <f>VLOOKUP(Tabla4[[#This Row],[Producto]],Tabla6[#All],14,FALSE)</f>
        <v>Termico Solar</v>
      </c>
      <c r="U4607" s="284" t="e">
        <f>(IF(Tabla4[[#This Row],[Familia]]="termico solar",Tabla4[[#This Row],[Utilidad Total]]*6%,Tabla4[[#This Row],[Utilidad Total]]*11.5%))/Tabla4[[#This Row],[Total]]</f>
        <v>#N/A</v>
      </c>
      <c r="V4607" s="282" t="e">
        <f>+Tabla4[[#This Row],[Comisión Calculada]]*Tabla4[[#This Row],[Total]]</f>
        <v>#N/A</v>
      </c>
    </row>
    <row r="4608" spans="1:22" hidden="1" x14ac:dyDescent="0.25">
      <c r="A4608" s="100">
        <v>45853</v>
      </c>
      <c r="B4608" t="str">
        <f t="shared" si="232"/>
        <v>July</v>
      </c>
      <c r="C4608" s="46" t="s">
        <v>280</v>
      </c>
      <c r="F4608" s="366" t="s">
        <v>2445</v>
      </c>
      <c r="G4608" s="46" t="s">
        <v>17</v>
      </c>
      <c r="H4608" s="46">
        <v>2</v>
      </c>
      <c r="I4608" s="51">
        <v>4622.28</v>
      </c>
      <c r="J4608" s="281">
        <f>++Tabla4[[#This Row],[Precio Bruto]]*1.16</f>
        <v>5361.8447999999989</v>
      </c>
      <c r="K4608" s="281">
        <f>+Tabla4[[#This Row],[Precio Unitario Neto]]*Tabla4[[#Headers],[20.85%]]</f>
        <v>1117.9446407999997</v>
      </c>
      <c r="L4608" s="282">
        <f>++Tabla4[[#This Row],[Precio Unitario Neto]]-Tabla4[[#This Row],[20.85%]]</f>
        <v>4243.9001591999995</v>
      </c>
      <c r="M4608" s="282" t="e">
        <f>(INDEX(Tabla6[#All],MATCH(Tabla4[[#This Row],[Producto]],Tabla6[[#All],[PRODUCTO]],0),MATCH(Tabla4[[#This Row],[Mes]],Tabla6[#Headers],0)))*(1+Catalogos!$L$2)</f>
        <v>#N/A</v>
      </c>
      <c r="N4608" s="283" t="e">
        <f>+(Tabla4[[#This Row],[Precio Descontado]]-Tabla4[[#This Row],[Precio Base]])*Tabla4[[#This Row],[Cantidad]]</f>
        <v>#N/A</v>
      </c>
      <c r="O4608" s="284" t="e">
        <f>++Tabla4[[#This Row],[Utilidad Total]]/Tabla4[[#This Row],[Total]]</f>
        <v>#N/A</v>
      </c>
      <c r="P4608" s="282">
        <f>++Tabla4[[#This Row],[Precio Descontado]]*Tabla4[[#This Row],[Cantidad]]</f>
        <v>8487.800318399999</v>
      </c>
      <c r="Q4608" s="282" t="e">
        <f>(INDEX(Tabla6[#All],MATCH(Tabla4[[#This Row],[Producto]],Tabla6[[#All],[PRODUCTO]],0),MATCH(Tabla4[[#This Row],[Mes]],Tabla6[#Headers],0)))</f>
        <v>#N/A</v>
      </c>
      <c r="R4608" s="282" t="e">
        <f>++Tabla4[[#This Row],[Precio Unitario Neto]]-Tabla4[[#This Row],[20.85%]]-Tabla4[[#This Row],[Costo]]</f>
        <v>#N/A</v>
      </c>
      <c r="S4608" s="282" t="e">
        <f>++Tabla4[[#This Row],[U. Bruta Uni]]*Tabla4[[#This Row],[Cantidad]]</f>
        <v>#N/A</v>
      </c>
      <c r="T4608" s="369" t="str">
        <f>VLOOKUP(Tabla4[[#This Row],[Producto]],Tabla6[#All],14,FALSE)</f>
        <v>Termico Solar</v>
      </c>
      <c r="U4608" s="284" t="e">
        <f>(IF(Tabla4[[#This Row],[Familia]]="termico solar",Tabla4[[#This Row],[Utilidad Total]]*6%,Tabla4[[#This Row],[Utilidad Total]]*11.5%))/Tabla4[[#This Row],[Total]]</f>
        <v>#N/A</v>
      </c>
      <c r="V4608" s="282" t="e">
        <f>+Tabla4[[#This Row],[Comisión Calculada]]*Tabla4[[#This Row],[Total]]</f>
        <v>#N/A</v>
      </c>
    </row>
    <row r="4609" spans="1:22" hidden="1" x14ac:dyDescent="0.25">
      <c r="A4609" s="100">
        <v>45853</v>
      </c>
      <c r="B4609" t="str">
        <f t="shared" si="232"/>
        <v>July</v>
      </c>
      <c r="C4609" s="46" t="s">
        <v>280</v>
      </c>
      <c r="F4609" s="366" t="s">
        <v>2445</v>
      </c>
      <c r="G4609" s="46" t="s">
        <v>566</v>
      </c>
      <c r="H4609" s="46">
        <v>1</v>
      </c>
      <c r="I4609" s="51">
        <v>2109.4499999999998</v>
      </c>
      <c r="J4609" s="281">
        <f>++Tabla4[[#This Row],[Precio Bruto]]*1.16</f>
        <v>2446.9619999999995</v>
      </c>
      <c r="K4609" s="281">
        <f>+Tabla4[[#This Row],[Precio Unitario Neto]]*Tabla4[[#Headers],[20.85%]]</f>
        <v>510.19157699999988</v>
      </c>
      <c r="L4609" s="282">
        <f>++Tabla4[[#This Row],[Precio Unitario Neto]]-Tabla4[[#This Row],[20.85%]]</f>
        <v>1936.7704229999997</v>
      </c>
      <c r="M4609" s="282" t="e">
        <f>(INDEX(Tabla6[#All],MATCH(Tabla4[[#This Row],[Producto]],Tabla6[[#All],[PRODUCTO]],0),MATCH(Tabla4[[#This Row],[Mes]],Tabla6[#Headers],0)))*(1+Catalogos!$L$2)</f>
        <v>#N/A</v>
      </c>
      <c r="N4609" s="283" t="e">
        <f>+(Tabla4[[#This Row],[Precio Descontado]]-Tabla4[[#This Row],[Precio Base]])*Tabla4[[#This Row],[Cantidad]]</f>
        <v>#N/A</v>
      </c>
      <c r="O4609" s="284" t="e">
        <f>++Tabla4[[#This Row],[Utilidad Total]]/Tabla4[[#This Row],[Total]]</f>
        <v>#N/A</v>
      </c>
      <c r="P4609" s="282">
        <f>++Tabla4[[#This Row],[Precio Descontado]]*Tabla4[[#This Row],[Cantidad]]</f>
        <v>1936.7704229999997</v>
      </c>
      <c r="Q4609" s="282" t="e">
        <f>(INDEX(Tabla6[#All],MATCH(Tabla4[[#This Row],[Producto]],Tabla6[[#All],[PRODUCTO]],0),MATCH(Tabla4[[#This Row],[Mes]],Tabla6[#Headers],0)))</f>
        <v>#N/A</v>
      </c>
      <c r="R4609" s="282" t="e">
        <f>++Tabla4[[#This Row],[Precio Unitario Neto]]-Tabla4[[#This Row],[20.85%]]-Tabla4[[#This Row],[Costo]]</f>
        <v>#N/A</v>
      </c>
      <c r="S4609" s="282" t="e">
        <f>++Tabla4[[#This Row],[U. Bruta Uni]]*Tabla4[[#This Row],[Cantidad]]</f>
        <v>#N/A</v>
      </c>
      <c r="T4609" s="369" t="str">
        <f>VLOOKUP(Tabla4[[#This Row],[Producto]],Tabla6[#All],14,FALSE)</f>
        <v>Termico Solar</v>
      </c>
      <c r="U4609" s="284" t="e">
        <f>(IF(Tabla4[[#This Row],[Familia]]="termico solar",Tabla4[[#This Row],[Utilidad Total]]*6%,Tabla4[[#This Row],[Utilidad Total]]*11.5%))/Tabla4[[#This Row],[Total]]</f>
        <v>#N/A</v>
      </c>
      <c r="V4609" s="282" t="e">
        <f>+Tabla4[[#This Row],[Comisión Calculada]]*Tabla4[[#This Row],[Total]]</f>
        <v>#N/A</v>
      </c>
    </row>
    <row r="4610" spans="1:22" hidden="1" x14ac:dyDescent="0.25">
      <c r="A4610" s="100">
        <v>45853</v>
      </c>
      <c r="B4610" t="str">
        <f t="shared" si="232"/>
        <v>July</v>
      </c>
      <c r="C4610" s="46" t="s">
        <v>280</v>
      </c>
      <c r="F4610" s="366" t="s">
        <v>2446</v>
      </c>
      <c r="G4610" s="46" t="s">
        <v>17</v>
      </c>
      <c r="H4610" s="46">
        <v>1</v>
      </c>
      <c r="I4610" s="51">
        <v>4622.28</v>
      </c>
      <c r="J4610" s="281">
        <f>++Tabla4[[#This Row],[Precio Bruto]]*1.16</f>
        <v>5361.8447999999989</v>
      </c>
      <c r="K4610" s="281">
        <f>+Tabla4[[#This Row],[Precio Unitario Neto]]*Tabla4[[#Headers],[20.85%]]</f>
        <v>1117.9446407999997</v>
      </c>
      <c r="L4610" s="282">
        <f>++Tabla4[[#This Row],[Precio Unitario Neto]]-Tabla4[[#This Row],[20.85%]]</f>
        <v>4243.9001591999995</v>
      </c>
      <c r="M4610" s="282" t="e">
        <f>(INDEX(Tabla6[#All],MATCH(Tabla4[[#This Row],[Producto]],Tabla6[[#All],[PRODUCTO]],0),MATCH(Tabla4[[#This Row],[Mes]],Tabla6[#Headers],0)))*(1+Catalogos!$L$2)</f>
        <v>#N/A</v>
      </c>
      <c r="N4610" s="283" t="e">
        <f>+(Tabla4[[#This Row],[Precio Descontado]]-Tabla4[[#This Row],[Precio Base]])*Tabla4[[#This Row],[Cantidad]]</f>
        <v>#N/A</v>
      </c>
      <c r="O4610" s="284" t="e">
        <f>++Tabla4[[#This Row],[Utilidad Total]]/Tabla4[[#This Row],[Total]]</f>
        <v>#N/A</v>
      </c>
      <c r="P4610" s="282">
        <f>++Tabla4[[#This Row],[Precio Descontado]]*Tabla4[[#This Row],[Cantidad]]</f>
        <v>4243.9001591999995</v>
      </c>
      <c r="Q4610" s="282" t="e">
        <f>(INDEX(Tabla6[#All],MATCH(Tabla4[[#This Row],[Producto]],Tabla6[[#All],[PRODUCTO]],0),MATCH(Tabla4[[#This Row],[Mes]],Tabla6[#Headers],0)))</f>
        <v>#N/A</v>
      </c>
      <c r="R4610" s="282" t="e">
        <f>++Tabla4[[#This Row],[Precio Unitario Neto]]-Tabla4[[#This Row],[20.85%]]-Tabla4[[#This Row],[Costo]]</f>
        <v>#N/A</v>
      </c>
      <c r="S4610" s="282" t="e">
        <f>++Tabla4[[#This Row],[U. Bruta Uni]]*Tabla4[[#This Row],[Cantidad]]</f>
        <v>#N/A</v>
      </c>
      <c r="T4610" s="369" t="str">
        <f>VLOOKUP(Tabla4[[#This Row],[Producto]],Tabla6[#All],14,FALSE)</f>
        <v>Termico Solar</v>
      </c>
      <c r="U4610" s="284" t="e">
        <f>(IF(Tabla4[[#This Row],[Familia]]="termico solar",Tabla4[[#This Row],[Utilidad Total]]*6%,Tabla4[[#This Row],[Utilidad Total]]*11.5%))/Tabla4[[#This Row],[Total]]</f>
        <v>#N/A</v>
      </c>
      <c r="V4610" s="282" t="e">
        <f>+Tabla4[[#This Row],[Comisión Calculada]]*Tabla4[[#This Row],[Total]]</f>
        <v>#N/A</v>
      </c>
    </row>
    <row r="4611" spans="1:22" hidden="1" x14ac:dyDescent="0.25">
      <c r="A4611" s="100">
        <v>45853</v>
      </c>
      <c r="B4611" t="str">
        <f t="shared" si="232"/>
        <v>July</v>
      </c>
      <c r="C4611" s="46" t="s">
        <v>280</v>
      </c>
      <c r="F4611" s="366" t="s">
        <v>2446</v>
      </c>
      <c r="G4611" s="46" t="s">
        <v>16</v>
      </c>
      <c r="H4611" s="46">
        <v>2</v>
      </c>
      <c r="I4611" s="51">
        <v>4103.8500000000004</v>
      </c>
      <c r="J4611" s="281">
        <f>++Tabla4[[#This Row],[Precio Bruto]]*1.16</f>
        <v>4760.4660000000003</v>
      </c>
      <c r="K4611" s="281">
        <f>+Tabla4[[#This Row],[Precio Unitario Neto]]*Tabla4[[#Headers],[20.85%]]</f>
        <v>992.55716100000006</v>
      </c>
      <c r="L4611" s="282">
        <f>++Tabla4[[#This Row],[Precio Unitario Neto]]-Tabla4[[#This Row],[20.85%]]</f>
        <v>3767.9088390000002</v>
      </c>
      <c r="M4611" s="282" t="e">
        <f>(INDEX(Tabla6[#All],MATCH(Tabla4[[#This Row],[Producto]],Tabla6[[#All],[PRODUCTO]],0),MATCH(Tabla4[[#This Row],[Mes]],Tabla6[#Headers],0)))*(1+Catalogos!$L$2)</f>
        <v>#N/A</v>
      </c>
      <c r="N4611" s="283" t="e">
        <f>+(Tabla4[[#This Row],[Precio Descontado]]-Tabla4[[#This Row],[Precio Base]])*Tabla4[[#This Row],[Cantidad]]</f>
        <v>#N/A</v>
      </c>
      <c r="O4611" s="284" t="e">
        <f>++Tabla4[[#This Row],[Utilidad Total]]/Tabla4[[#This Row],[Total]]</f>
        <v>#N/A</v>
      </c>
      <c r="P4611" s="282">
        <f>++Tabla4[[#This Row],[Precio Descontado]]*Tabla4[[#This Row],[Cantidad]]</f>
        <v>7535.8176780000003</v>
      </c>
      <c r="Q4611" s="282" t="e">
        <f>(INDEX(Tabla6[#All],MATCH(Tabla4[[#This Row],[Producto]],Tabla6[[#All],[PRODUCTO]],0),MATCH(Tabla4[[#This Row],[Mes]],Tabla6[#Headers],0)))</f>
        <v>#N/A</v>
      </c>
      <c r="R4611" s="282" t="e">
        <f>++Tabla4[[#This Row],[Precio Unitario Neto]]-Tabla4[[#This Row],[20.85%]]-Tabla4[[#This Row],[Costo]]</f>
        <v>#N/A</v>
      </c>
      <c r="S4611" s="282" t="e">
        <f>++Tabla4[[#This Row],[U. Bruta Uni]]*Tabla4[[#This Row],[Cantidad]]</f>
        <v>#N/A</v>
      </c>
      <c r="T4611" s="369" t="str">
        <f>VLOOKUP(Tabla4[[#This Row],[Producto]],Tabla6[#All],14,FALSE)</f>
        <v>Termico Solar</v>
      </c>
      <c r="U4611" s="284" t="e">
        <f>(IF(Tabla4[[#This Row],[Familia]]="termico solar",Tabla4[[#This Row],[Utilidad Total]]*6%,Tabla4[[#This Row],[Utilidad Total]]*11.5%))/Tabla4[[#This Row],[Total]]</f>
        <v>#N/A</v>
      </c>
      <c r="V4611" s="282" t="e">
        <f>+Tabla4[[#This Row],[Comisión Calculada]]*Tabla4[[#This Row],[Total]]</f>
        <v>#N/A</v>
      </c>
    </row>
    <row r="4612" spans="1:22" hidden="1" x14ac:dyDescent="0.25">
      <c r="A4612" s="100">
        <v>45853</v>
      </c>
      <c r="B4612" t="str">
        <f t="shared" si="232"/>
        <v>July</v>
      </c>
      <c r="C4612" s="46" t="s">
        <v>280</v>
      </c>
      <c r="F4612" s="366" t="s">
        <v>2447</v>
      </c>
      <c r="G4612" s="46" t="s">
        <v>83</v>
      </c>
      <c r="H4612" s="46">
        <v>1</v>
      </c>
      <c r="I4612" s="51">
        <v>8858.76</v>
      </c>
      <c r="J4612" s="281">
        <f>++Tabla4[[#This Row],[Precio Bruto]]*1.16</f>
        <v>10276.161599999999</v>
      </c>
      <c r="K4612" s="281">
        <f>+Tabla4[[#This Row],[Precio Unitario Neto]]*Tabla4[[#Headers],[20.85%]]</f>
        <v>2142.5796935999997</v>
      </c>
      <c r="L4612" s="282">
        <f>++Tabla4[[#This Row],[Precio Unitario Neto]]-Tabla4[[#This Row],[20.85%]]</f>
        <v>8133.5819063999998</v>
      </c>
      <c r="M4612" s="282" t="e">
        <f>(INDEX(Tabla6[#All],MATCH(Tabla4[[#This Row],[Producto]],Tabla6[[#All],[PRODUCTO]],0),MATCH(Tabla4[[#This Row],[Mes]],Tabla6[#Headers],0)))*(1+Catalogos!$L$2)</f>
        <v>#N/A</v>
      </c>
      <c r="N4612" s="283" t="e">
        <f>+(Tabla4[[#This Row],[Precio Descontado]]-Tabla4[[#This Row],[Precio Base]])*Tabla4[[#This Row],[Cantidad]]</f>
        <v>#N/A</v>
      </c>
      <c r="O4612" s="284" t="e">
        <f>++Tabla4[[#This Row],[Utilidad Total]]/Tabla4[[#This Row],[Total]]</f>
        <v>#N/A</v>
      </c>
      <c r="P4612" s="282">
        <f>++Tabla4[[#This Row],[Precio Descontado]]*Tabla4[[#This Row],[Cantidad]]</f>
        <v>8133.5819063999998</v>
      </c>
      <c r="Q4612" s="282" t="e">
        <f>(INDEX(Tabla6[#All],MATCH(Tabla4[[#This Row],[Producto]],Tabla6[[#All],[PRODUCTO]],0),MATCH(Tabla4[[#This Row],[Mes]],Tabla6[#Headers],0)))</f>
        <v>#N/A</v>
      </c>
      <c r="R4612" s="282" t="e">
        <f>++Tabla4[[#This Row],[Precio Unitario Neto]]-Tabla4[[#This Row],[20.85%]]-Tabla4[[#This Row],[Costo]]</f>
        <v>#N/A</v>
      </c>
      <c r="S4612" s="282" t="e">
        <f>++Tabla4[[#This Row],[U. Bruta Uni]]*Tabla4[[#This Row],[Cantidad]]</f>
        <v>#N/A</v>
      </c>
      <c r="T4612" s="369" t="str">
        <f>VLOOKUP(Tabla4[[#This Row],[Producto]],Tabla6[#All],14,FALSE)</f>
        <v>Termico Solar</v>
      </c>
      <c r="U4612" s="284" t="e">
        <f>(IF(Tabla4[[#This Row],[Familia]]="termico solar",Tabla4[[#This Row],[Utilidad Total]]*6%,Tabla4[[#This Row],[Utilidad Total]]*11.5%))/Tabla4[[#This Row],[Total]]</f>
        <v>#N/A</v>
      </c>
      <c r="V4612" s="282" t="e">
        <f>+Tabla4[[#This Row],[Comisión Calculada]]*Tabla4[[#This Row],[Total]]</f>
        <v>#N/A</v>
      </c>
    </row>
    <row r="4613" spans="1:22" hidden="1" x14ac:dyDescent="0.25">
      <c r="A4613" s="100">
        <v>45853</v>
      </c>
      <c r="B4613" t="str">
        <f t="shared" si="232"/>
        <v>July</v>
      </c>
      <c r="C4613" s="46" t="s">
        <v>280</v>
      </c>
      <c r="F4613" s="366" t="s">
        <v>2447</v>
      </c>
      <c r="G4613" s="46" t="s">
        <v>18</v>
      </c>
      <c r="H4613" s="46">
        <v>1</v>
      </c>
      <c r="I4613" s="51">
        <v>5367.65</v>
      </c>
      <c r="J4613" s="281">
        <f>++Tabla4[[#This Row],[Precio Bruto]]*1.16</f>
        <v>6226.4739999999993</v>
      </c>
      <c r="K4613" s="281">
        <f>+Tabla4[[#This Row],[Precio Unitario Neto]]*Tabla4[[#Headers],[20.85%]]</f>
        <v>1298.2198289999999</v>
      </c>
      <c r="L4613" s="282">
        <f>++Tabla4[[#This Row],[Precio Unitario Neto]]-Tabla4[[#This Row],[20.85%]]</f>
        <v>4928.2541709999996</v>
      </c>
      <c r="M4613" s="282" t="e">
        <f>(INDEX(Tabla6[#All],MATCH(Tabla4[[#This Row],[Producto]],Tabla6[[#All],[PRODUCTO]],0),MATCH(Tabla4[[#This Row],[Mes]],Tabla6[#Headers],0)))*(1+Catalogos!$L$2)</f>
        <v>#N/A</v>
      </c>
      <c r="N4613" s="283" t="e">
        <f>+(Tabla4[[#This Row],[Precio Descontado]]-Tabla4[[#This Row],[Precio Base]])*Tabla4[[#This Row],[Cantidad]]</f>
        <v>#N/A</v>
      </c>
      <c r="O4613" s="284" t="e">
        <f>++Tabla4[[#This Row],[Utilidad Total]]/Tabla4[[#This Row],[Total]]</f>
        <v>#N/A</v>
      </c>
      <c r="P4613" s="282">
        <f>++Tabla4[[#This Row],[Precio Descontado]]*Tabla4[[#This Row],[Cantidad]]</f>
        <v>4928.2541709999996</v>
      </c>
      <c r="Q4613" s="282" t="e">
        <f>(INDEX(Tabla6[#All],MATCH(Tabla4[[#This Row],[Producto]],Tabla6[[#All],[PRODUCTO]],0),MATCH(Tabla4[[#This Row],[Mes]],Tabla6[#Headers],0)))</f>
        <v>#N/A</v>
      </c>
      <c r="R4613" s="282" t="e">
        <f>++Tabla4[[#This Row],[Precio Unitario Neto]]-Tabla4[[#This Row],[20.85%]]-Tabla4[[#This Row],[Costo]]</f>
        <v>#N/A</v>
      </c>
      <c r="S4613" s="282" t="e">
        <f>++Tabla4[[#This Row],[U. Bruta Uni]]*Tabla4[[#This Row],[Cantidad]]</f>
        <v>#N/A</v>
      </c>
      <c r="T4613" s="369" t="str">
        <f>VLOOKUP(Tabla4[[#This Row],[Producto]],Tabla6[#All],14,FALSE)</f>
        <v>Termico Solar</v>
      </c>
      <c r="U4613" s="284" t="e">
        <f>(IF(Tabla4[[#This Row],[Familia]]="termico solar",Tabla4[[#This Row],[Utilidad Total]]*6%,Tabla4[[#This Row],[Utilidad Total]]*11.5%))/Tabla4[[#This Row],[Total]]</f>
        <v>#N/A</v>
      </c>
      <c r="V4613" s="282" t="e">
        <f>+Tabla4[[#This Row],[Comisión Calculada]]*Tabla4[[#This Row],[Total]]</f>
        <v>#N/A</v>
      </c>
    </row>
    <row r="4614" spans="1:22" hidden="1" x14ac:dyDescent="0.25">
      <c r="A4614" s="100">
        <v>45853</v>
      </c>
      <c r="B4614" t="str">
        <f t="shared" si="232"/>
        <v>July</v>
      </c>
      <c r="C4614" s="46" t="s">
        <v>280</v>
      </c>
      <c r="F4614" s="366" t="s">
        <v>2447</v>
      </c>
      <c r="G4614" s="46" t="s">
        <v>19</v>
      </c>
      <c r="H4614" s="46">
        <v>1</v>
      </c>
      <c r="I4614" s="51">
        <v>6412.03</v>
      </c>
      <c r="J4614" s="281">
        <f>++Tabla4[[#This Row],[Precio Bruto]]*1.16</f>
        <v>7437.9547999999995</v>
      </c>
      <c r="K4614" s="281">
        <f>+Tabla4[[#This Row],[Precio Unitario Neto]]*Tabla4[[#Headers],[20.85%]]</f>
        <v>1550.8135757999999</v>
      </c>
      <c r="L4614" s="282">
        <f>++Tabla4[[#This Row],[Precio Unitario Neto]]-Tabla4[[#This Row],[20.85%]]</f>
        <v>5887.1412241999997</v>
      </c>
      <c r="M4614" s="282" t="e">
        <f>(INDEX(Tabla6[#All],MATCH(Tabla4[[#This Row],[Producto]],Tabla6[[#All],[PRODUCTO]],0),MATCH(Tabla4[[#This Row],[Mes]],Tabla6[#Headers],0)))*(1+Catalogos!$L$2)</f>
        <v>#N/A</v>
      </c>
      <c r="N4614" s="283" t="e">
        <f>+(Tabla4[[#This Row],[Precio Descontado]]-Tabla4[[#This Row],[Precio Base]])*Tabla4[[#This Row],[Cantidad]]</f>
        <v>#N/A</v>
      </c>
      <c r="O4614" s="284" t="e">
        <f>++Tabla4[[#This Row],[Utilidad Total]]/Tabla4[[#This Row],[Total]]</f>
        <v>#N/A</v>
      </c>
      <c r="P4614" s="282">
        <f>++Tabla4[[#This Row],[Precio Descontado]]*Tabla4[[#This Row],[Cantidad]]</f>
        <v>5887.1412241999997</v>
      </c>
      <c r="Q4614" s="282" t="e">
        <f>(INDEX(Tabla6[#All],MATCH(Tabla4[[#This Row],[Producto]],Tabla6[[#All],[PRODUCTO]],0),MATCH(Tabla4[[#This Row],[Mes]],Tabla6[#Headers],0)))</f>
        <v>#N/A</v>
      </c>
      <c r="R4614" s="282" t="e">
        <f>++Tabla4[[#This Row],[Precio Unitario Neto]]-Tabla4[[#This Row],[20.85%]]-Tabla4[[#This Row],[Costo]]</f>
        <v>#N/A</v>
      </c>
      <c r="S4614" s="282" t="e">
        <f>++Tabla4[[#This Row],[U. Bruta Uni]]*Tabla4[[#This Row],[Cantidad]]</f>
        <v>#N/A</v>
      </c>
      <c r="T4614" s="369" t="str">
        <f>VLOOKUP(Tabla4[[#This Row],[Producto]],Tabla6[#All],14,FALSE)</f>
        <v>Termico Solar</v>
      </c>
      <c r="U4614" s="284" t="e">
        <f>(IF(Tabla4[[#This Row],[Familia]]="termico solar",Tabla4[[#This Row],[Utilidad Total]]*6%,Tabla4[[#This Row],[Utilidad Total]]*11.5%))/Tabla4[[#This Row],[Total]]</f>
        <v>#N/A</v>
      </c>
      <c r="V4614" s="282" t="e">
        <f>+Tabla4[[#This Row],[Comisión Calculada]]*Tabla4[[#This Row],[Total]]</f>
        <v>#N/A</v>
      </c>
    </row>
    <row r="4615" spans="1:22" hidden="1" x14ac:dyDescent="0.25">
      <c r="A4615" s="100">
        <v>45853</v>
      </c>
      <c r="B4615" t="str">
        <f t="shared" si="232"/>
        <v>July</v>
      </c>
      <c r="C4615" s="46" t="s">
        <v>280</v>
      </c>
      <c r="F4615" s="366" t="s">
        <v>2447</v>
      </c>
      <c r="G4615" s="46" t="s">
        <v>566</v>
      </c>
      <c r="H4615" s="46">
        <v>2</v>
      </c>
      <c r="I4615" s="51">
        <v>2109.4499999999998</v>
      </c>
      <c r="J4615" s="281">
        <f>++Tabla4[[#This Row],[Precio Bruto]]*1.16</f>
        <v>2446.9619999999995</v>
      </c>
      <c r="K4615" s="281">
        <f>+Tabla4[[#This Row],[Precio Unitario Neto]]*Tabla4[[#Headers],[20.85%]]</f>
        <v>510.19157699999988</v>
      </c>
      <c r="L4615" s="282">
        <f>++Tabla4[[#This Row],[Precio Unitario Neto]]-Tabla4[[#This Row],[20.85%]]</f>
        <v>1936.7704229999997</v>
      </c>
      <c r="M4615" s="282" t="e">
        <f>(INDEX(Tabla6[#All],MATCH(Tabla4[[#This Row],[Producto]],Tabla6[[#All],[PRODUCTO]],0),MATCH(Tabla4[[#This Row],[Mes]],Tabla6[#Headers],0)))*(1+Catalogos!$L$2)</f>
        <v>#N/A</v>
      </c>
      <c r="N4615" s="283" t="e">
        <f>+(Tabla4[[#This Row],[Precio Descontado]]-Tabla4[[#This Row],[Precio Base]])*Tabla4[[#This Row],[Cantidad]]</f>
        <v>#N/A</v>
      </c>
      <c r="O4615" s="284" t="e">
        <f>++Tabla4[[#This Row],[Utilidad Total]]/Tabla4[[#This Row],[Total]]</f>
        <v>#N/A</v>
      </c>
      <c r="P4615" s="282">
        <f>++Tabla4[[#This Row],[Precio Descontado]]*Tabla4[[#This Row],[Cantidad]]</f>
        <v>3873.5408459999994</v>
      </c>
      <c r="Q4615" s="282" t="e">
        <f>(INDEX(Tabla6[#All],MATCH(Tabla4[[#This Row],[Producto]],Tabla6[[#All],[PRODUCTO]],0),MATCH(Tabla4[[#This Row],[Mes]],Tabla6[#Headers],0)))</f>
        <v>#N/A</v>
      </c>
      <c r="R4615" s="282" t="e">
        <f>++Tabla4[[#This Row],[Precio Unitario Neto]]-Tabla4[[#This Row],[20.85%]]-Tabla4[[#This Row],[Costo]]</f>
        <v>#N/A</v>
      </c>
      <c r="S4615" s="282" t="e">
        <f>++Tabla4[[#This Row],[U. Bruta Uni]]*Tabla4[[#This Row],[Cantidad]]</f>
        <v>#N/A</v>
      </c>
      <c r="T4615" s="369" t="str">
        <f>VLOOKUP(Tabla4[[#This Row],[Producto]],Tabla6[#All],14,FALSE)</f>
        <v>Termico Solar</v>
      </c>
      <c r="U4615" s="284" t="e">
        <f>(IF(Tabla4[[#This Row],[Familia]]="termico solar",Tabla4[[#This Row],[Utilidad Total]]*6%,Tabla4[[#This Row],[Utilidad Total]]*11.5%))/Tabla4[[#This Row],[Total]]</f>
        <v>#N/A</v>
      </c>
      <c r="V4615" s="282" t="e">
        <f>+Tabla4[[#This Row],[Comisión Calculada]]*Tabla4[[#This Row],[Total]]</f>
        <v>#N/A</v>
      </c>
    </row>
    <row r="4616" spans="1:22" hidden="1" x14ac:dyDescent="0.25">
      <c r="A4616" s="100">
        <v>45853</v>
      </c>
      <c r="B4616" t="str">
        <f t="shared" si="232"/>
        <v>July</v>
      </c>
      <c r="C4616" s="46" t="s">
        <v>280</v>
      </c>
      <c r="F4616" s="366" t="s">
        <v>2448</v>
      </c>
      <c r="G4616" s="46" t="s">
        <v>83</v>
      </c>
      <c r="H4616" s="46">
        <v>2</v>
      </c>
      <c r="I4616" s="51">
        <v>8858.76</v>
      </c>
      <c r="J4616" s="281">
        <f>++Tabla4[[#This Row],[Precio Bruto]]*1.16</f>
        <v>10276.161599999999</v>
      </c>
      <c r="K4616" s="281">
        <f>+Tabla4[[#This Row],[Precio Unitario Neto]]*Tabla4[[#Headers],[20.85%]]</f>
        <v>2142.5796935999997</v>
      </c>
      <c r="L4616" s="282">
        <f>++Tabla4[[#This Row],[Precio Unitario Neto]]-Tabla4[[#This Row],[20.85%]]</f>
        <v>8133.5819063999998</v>
      </c>
      <c r="M4616" s="282" t="e">
        <f>(INDEX(Tabla6[#All],MATCH(Tabla4[[#This Row],[Producto]],Tabla6[[#All],[PRODUCTO]],0),MATCH(Tabla4[[#This Row],[Mes]],Tabla6[#Headers],0)))*(1+Catalogos!$L$2)</f>
        <v>#N/A</v>
      </c>
      <c r="N4616" s="283" t="e">
        <f>+(Tabla4[[#This Row],[Precio Descontado]]-Tabla4[[#This Row],[Precio Base]])*Tabla4[[#This Row],[Cantidad]]</f>
        <v>#N/A</v>
      </c>
      <c r="O4616" s="284" t="e">
        <f>++Tabla4[[#This Row],[Utilidad Total]]/Tabla4[[#This Row],[Total]]</f>
        <v>#N/A</v>
      </c>
      <c r="P4616" s="282">
        <f>++Tabla4[[#This Row],[Precio Descontado]]*Tabla4[[#This Row],[Cantidad]]</f>
        <v>16267.1638128</v>
      </c>
      <c r="Q4616" s="282" t="e">
        <f>(INDEX(Tabla6[#All],MATCH(Tabla4[[#This Row],[Producto]],Tabla6[[#All],[PRODUCTO]],0),MATCH(Tabla4[[#This Row],[Mes]],Tabla6[#Headers],0)))</f>
        <v>#N/A</v>
      </c>
      <c r="R4616" s="282" t="e">
        <f>++Tabla4[[#This Row],[Precio Unitario Neto]]-Tabla4[[#This Row],[20.85%]]-Tabla4[[#This Row],[Costo]]</f>
        <v>#N/A</v>
      </c>
      <c r="S4616" s="282" t="e">
        <f>++Tabla4[[#This Row],[U. Bruta Uni]]*Tabla4[[#This Row],[Cantidad]]</f>
        <v>#N/A</v>
      </c>
      <c r="T4616" s="369" t="str">
        <f>VLOOKUP(Tabla4[[#This Row],[Producto]],Tabla6[#All],14,FALSE)</f>
        <v>Termico Solar</v>
      </c>
      <c r="U4616" s="284" t="e">
        <f>(IF(Tabla4[[#This Row],[Familia]]="termico solar",Tabla4[[#This Row],[Utilidad Total]]*6%,Tabla4[[#This Row],[Utilidad Total]]*11.5%))/Tabla4[[#This Row],[Total]]</f>
        <v>#N/A</v>
      </c>
      <c r="V4616" s="282" t="e">
        <f>+Tabla4[[#This Row],[Comisión Calculada]]*Tabla4[[#This Row],[Total]]</f>
        <v>#N/A</v>
      </c>
    </row>
    <row r="4617" spans="1:22" hidden="1" x14ac:dyDescent="0.25">
      <c r="A4617" s="100">
        <v>45853</v>
      </c>
      <c r="B4617" t="str">
        <f t="shared" si="232"/>
        <v>July</v>
      </c>
      <c r="C4617" s="46" t="s">
        <v>280</v>
      </c>
      <c r="F4617" s="366" t="s">
        <v>2448</v>
      </c>
      <c r="G4617" s="46" t="s">
        <v>17</v>
      </c>
      <c r="H4617" s="46">
        <v>1</v>
      </c>
      <c r="I4617" s="51">
        <v>4622.28</v>
      </c>
      <c r="J4617" s="281">
        <f>++Tabla4[[#This Row],[Precio Bruto]]*1.16</f>
        <v>5361.8447999999989</v>
      </c>
      <c r="K4617" s="281">
        <f>+Tabla4[[#This Row],[Precio Unitario Neto]]*Tabla4[[#Headers],[20.85%]]</f>
        <v>1117.9446407999997</v>
      </c>
      <c r="L4617" s="282">
        <f>++Tabla4[[#This Row],[Precio Unitario Neto]]-Tabla4[[#This Row],[20.85%]]</f>
        <v>4243.9001591999995</v>
      </c>
      <c r="M4617" s="282" t="e">
        <f>(INDEX(Tabla6[#All],MATCH(Tabla4[[#This Row],[Producto]],Tabla6[[#All],[PRODUCTO]],0),MATCH(Tabla4[[#This Row],[Mes]],Tabla6[#Headers],0)))*(1+Catalogos!$L$2)</f>
        <v>#N/A</v>
      </c>
      <c r="N4617" s="283" t="e">
        <f>+(Tabla4[[#This Row],[Precio Descontado]]-Tabla4[[#This Row],[Precio Base]])*Tabla4[[#This Row],[Cantidad]]</f>
        <v>#N/A</v>
      </c>
      <c r="O4617" s="284" t="e">
        <f>++Tabla4[[#This Row],[Utilidad Total]]/Tabla4[[#This Row],[Total]]</f>
        <v>#N/A</v>
      </c>
      <c r="P4617" s="282">
        <f>++Tabla4[[#This Row],[Precio Descontado]]*Tabla4[[#This Row],[Cantidad]]</f>
        <v>4243.9001591999995</v>
      </c>
      <c r="Q4617" s="282" t="e">
        <f>(INDEX(Tabla6[#All],MATCH(Tabla4[[#This Row],[Producto]],Tabla6[[#All],[PRODUCTO]],0),MATCH(Tabla4[[#This Row],[Mes]],Tabla6[#Headers],0)))</f>
        <v>#N/A</v>
      </c>
      <c r="R4617" s="282" t="e">
        <f>++Tabla4[[#This Row],[Precio Unitario Neto]]-Tabla4[[#This Row],[20.85%]]-Tabla4[[#This Row],[Costo]]</f>
        <v>#N/A</v>
      </c>
      <c r="S4617" s="282" t="e">
        <f>++Tabla4[[#This Row],[U. Bruta Uni]]*Tabla4[[#This Row],[Cantidad]]</f>
        <v>#N/A</v>
      </c>
      <c r="T4617" s="369" t="str">
        <f>VLOOKUP(Tabla4[[#This Row],[Producto]],Tabla6[#All],14,FALSE)</f>
        <v>Termico Solar</v>
      </c>
      <c r="U4617" s="284" t="e">
        <f>(IF(Tabla4[[#This Row],[Familia]]="termico solar",Tabla4[[#This Row],[Utilidad Total]]*6%,Tabla4[[#This Row],[Utilidad Total]]*11.5%))/Tabla4[[#This Row],[Total]]</f>
        <v>#N/A</v>
      </c>
      <c r="V4617" s="282" t="e">
        <f>+Tabla4[[#This Row],[Comisión Calculada]]*Tabla4[[#This Row],[Total]]</f>
        <v>#N/A</v>
      </c>
    </row>
    <row r="4618" spans="1:22" hidden="1" x14ac:dyDescent="0.25">
      <c r="A4618" s="100">
        <v>45853</v>
      </c>
      <c r="B4618" t="str">
        <f t="shared" si="232"/>
        <v>July</v>
      </c>
      <c r="C4618" s="46" t="s">
        <v>280</v>
      </c>
      <c r="F4618" s="366" t="s">
        <v>2448</v>
      </c>
      <c r="G4618" s="46" t="s">
        <v>18</v>
      </c>
      <c r="H4618" s="46">
        <v>8</v>
      </c>
      <c r="I4618" s="51">
        <v>5367.65</v>
      </c>
      <c r="J4618" s="281">
        <f>++Tabla4[[#This Row],[Precio Bruto]]*1.16</f>
        <v>6226.4739999999993</v>
      </c>
      <c r="K4618" s="281">
        <f>+Tabla4[[#This Row],[Precio Unitario Neto]]*Tabla4[[#Headers],[20.85%]]</f>
        <v>1298.2198289999999</v>
      </c>
      <c r="L4618" s="282">
        <f>++Tabla4[[#This Row],[Precio Unitario Neto]]-Tabla4[[#This Row],[20.85%]]</f>
        <v>4928.2541709999996</v>
      </c>
      <c r="M4618" s="282" t="e">
        <f>(INDEX(Tabla6[#All],MATCH(Tabla4[[#This Row],[Producto]],Tabla6[[#All],[PRODUCTO]],0),MATCH(Tabla4[[#This Row],[Mes]],Tabla6[#Headers],0)))*(1+Catalogos!$L$2)</f>
        <v>#N/A</v>
      </c>
      <c r="N4618" s="283" t="e">
        <f>+(Tabla4[[#This Row],[Precio Descontado]]-Tabla4[[#This Row],[Precio Base]])*Tabla4[[#This Row],[Cantidad]]</f>
        <v>#N/A</v>
      </c>
      <c r="O4618" s="284" t="e">
        <f>++Tabla4[[#This Row],[Utilidad Total]]/Tabla4[[#This Row],[Total]]</f>
        <v>#N/A</v>
      </c>
      <c r="P4618" s="282">
        <f>++Tabla4[[#This Row],[Precio Descontado]]*Tabla4[[#This Row],[Cantidad]]</f>
        <v>39426.033367999997</v>
      </c>
      <c r="Q4618" s="282" t="e">
        <f>(INDEX(Tabla6[#All],MATCH(Tabla4[[#This Row],[Producto]],Tabla6[[#All],[PRODUCTO]],0),MATCH(Tabla4[[#This Row],[Mes]],Tabla6[#Headers],0)))</f>
        <v>#N/A</v>
      </c>
      <c r="R4618" s="282" t="e">
        <f>++Tabla4[[#This Row],[Precio Unitario Neto]]-Tabla4[[#This Row],[20.85%]]-Tabla4[[#This Row],[Costo]]</f>
        <v>#N/A</v>
      </c>
      <c r="S4618" s="282" t="e">
        <f>++Tabla4[[#This Row],[U. Bruta Uni]]*Tabla4[[#This Row],[Cantidad]]</f>
        <v>#N/A</v>
      </c>
      <c r="T4618" s="369" t="str">
        <f>VLOOKUP(Tabla4[[#This Row],[Producto]],Tabla6[#All],14,FALSE)</f>
        <v>Termico Solar</v>
      </c>
      <c r="U4618" s="284" t="e">
        <f>(IF(Tabla4[[#This Row],[Familia]]="termico solar",Tabla4[[#This Row],[Utilidad Total]]*6%,Tabla4[[#This Row],[Utilidad Total]]*11.5%))/Tabla4[[#This Row],[Total]]</f>
        <v>#N/A</v>
      </c>
      <c r="V4618" s="282" t="e">
        <f>+Tabla4[[#This Row],[Comisión Calculada]]*Tabla4[[#This Row],[Total]]</f>
        <v>#N/A</v>
      </c>
    </row>
    <row r="4619" spans="1:22" hidden="1" x14ac:dyDescent="0.25">
      <c r="A4619" s="100">
        <v>45853</v>
      </c>
      <c r="B4619" t="str">
        <f t="shared" si="232"/>
        <v>July</v>
      </c>
      <c r="C4619" s="46" t="s">
        <v>280</v>
      </c>
      <c r="F4619" s="366" t="s">
        <v>2448</v>
      </c>
      <c r="G4619" s="46" t="s">
        <v>566</v>
      </c>
      <c r="H4619" s="46">
        <v>1</v>
      </c>
      <c r="I4619" s="51">
        <v>2109.4499999999998</v>
      </c>
      <c r="J4619" s="281">
        <f>++Tabla4[[#This Row],[Precio Bruto]]*1.16</f>
        <v>2446.9619999999995</v>
      </c>
      <c r="K4619" s="281">
        <f>+Tabla4[[#This Row],[Precio Unitario Neto]]*Tabla4[[#Headers],[20.85%]]</f>
        <v>510.19157699999988</v>
      </c>
      <c r="L4619" s="282">
        <f>++Tabla4[[#This Row],[Precio Unitario Neto]]-Tabla4[[#This Row],[20.85%]]</f>
        <v>1936.7704229999997</v>
      </c>
      <c r="M4619" s="282" t="e">
        <f>(INDEX(Tabla6[#All],MATCH(Tabla4[[#This Row],[Producto]],Tabla6[[#All],[PRODUCTO]],0),MATCH(Tabla4[[#This Row],[Mes]],Tabla6[#Headers],0)))*(1+Catalogos!$L$2)</f>
        <v>#N/A</v>
      </c>
      <c r="N4619" s="283" t="e">
        <f>+(Tabla4[[#This Row],[Precio Descontado]]-Tabla4[[#This Row],[Precio Base]])*Tabla4[[#This Row],[Cantidad]]</f>
        <v>#N/A</v>
      </c>
      <c r="O4619" s="284" t="e">
        <f>++Tabla4[[#This Row],[Utilidad Total]]/Tabla4[[#This Row],[Total]]</f>
        <v>#N/A</v>
      </c>
      <c r="P4619" s="282">
        <f>++Tabla4[[#This Row],[Precio Descontado]]*Tabla4[[#This Row],[Cantidad]]</f>
        <v>1936.7704229999997</v>
      </c>
      <c r="Q4619" s="282" t="e">
        <f>(INDEX(Tabla6[#All],MATCH(Tabla4[[#This Row],[Producto]],Tabla6[[#All],[PRODUCTO]],0),MATCH(Tabla4[[#This Row],[Mes]],Tabla6[#Headers],0)))</f>
        <v>#N/A</v>
      </c>
      <c r="R4619" s="282" t="e">
        <f>++Tabla4[[#This Row],[Precio Unitario Neto]]-Tabla4[[#This Row],[20.85%]]-Tabla4[[#This Row],[Costo]]</f>
        <v>#N/A</v>
      </c>
      <c r="S4619" s="282" t="e">
        <f>++Tabla4[[#This Row],[U. Bruta Uni]]*Tabla4[[#This Row],[Cantidad]]</f>
        <v>#N/A</v>
      </c>
      <c r="T4619" s="369" t="str">
        <f>VLOOKUP(Tabla4[[#This Row],[Producto]],Tabla6[#All],14,FALSE)</f>
        <v>Termico Solar</v>
      </c>
      <c r="U4619" s="284" t="e">
        <f>(IF(Tabla4[[#This Row],[Familia]]="termico solar",Tabla4[[#This Row],[Utilidad Total]]*6%,Tabla4[[#This Row],[Utilidad Total]]*11.5%))/Tabla4[[#This Row],[Total]]</f>
        <v>#N/A</v>
      </c>
      <c r="V4619" s="282" t="e">
        <f>+Tabla4[[#This Row],[Comisión Calculada]]*Tabla4[[#This Row],[Total]]</f>
        <v>#N/A</v>
      </c>
    </row>
    <row r="4620" spans="1:22" hidden="1" x14ac:dyDescent="0.25">
      <c r="A4620" s="100">
        <v>45853</v>
      </c>
      <c r="B4620" t="str">
        <f t="shared" si="232"/>
        <v>July</v>
      </c>
      <c r="C4620" s="46" t="s">
        <v>280</v>
      </c>
      <c r="F4620" s="366" t="s">
        <v>2449</v>
      </c>
      <c r="G4620" s="46" t="s">
        <v>208</v>
      </c>
      <c r="H4620" s="46">
        <v>1</v>
      </c>
      <c r="I4620" s="51">
        <v>189.75</v>
      </c>
      <c r="J4620" s="281">
        <f>++Tabla4[[#This Row],[Precio Bruto]]*1.16</f>
        <v>220.10999999999999</v>
      </c>
      <c r="K4620" s="281">
        <f>+Tabla4[[#This Row],[Precio Unitario Neto]]*Tabla4[[#Headers],[20.85%]]</f>
        <v>45.892934999999994</v>
      </c>
      <c r="L4620" s="282">
        <f>++Tabla4[[#This Row],[Precio Unitario Neto]]-Tabla4[[#This Row],[20.85%]]</f>
        <v>174.21706499999999</v>
      </c>
      <c r="M4620" s="282" t="e">
        <f>(INDEX(Tabla6[#All],MATCH(Tabla4[[#This Row],[Producto]],Tabla6[[#All],[PRODUCTO]],0),MATCH(Tabla4[[#This Row],[Mes]],Tabla6[#Headers],0)))*(1+Catalogos!$L$2)</f>
        <v>#N/A</v>
      </c>
      <c r="N4620" s="283" t="e">
        <f>+(Tabla4[[#This Row],[Precio Descontado]]-Tabla4[[#This Row],[Precio Base]])*Tabla4[[#This Row],[Cantidad]]</f>
        <v>#N/A</v>
      </c>
      <c r="O4620" s="284" t="e">
        <f>++Tabla4[[#This Row],[Utilidad Total]]/Tabla4[[#This Row],[Total]]</f>
        <v>#N/A</v>
      </c>
      <c r="P4620" s="282">
        <f>++Tabla4[[#This Row],[Precio Descontado]]*Tabla4[[#This Row],[Cantidad]]</f>
        <v>174.21706499999999</v>
      </c>
      <c r="Q4620" s="282" t="e">
        <f>(INDEX(Tabla6[#All],MATCH(Tabla4[[#This Row],[Producto]],Tabla6[[#All],[PRODUCTO]],0),MATCH(Tabla4[[#This Row],[Mes]],Tabla6[#Headers],0)))</f>
        <v>#N/A</v>
      </c>
      <c r="R4620" s="282" t="e">
        <f>++Tabla4[[#This Row],[Precio Unitario Neto]]-Tabla4[[#This Row],[20.85%]]-Tabla4[[#This Row],[Costo]]</f>
        <v>#N/A</v>
      </c>
      <c r="S4620" s="282" t="e">
        <f>++Tabla4[[#This Row],[U. Bruta Uni]]*Tabla4[[#This Row],[Cantidad]]</f>
        <v>#N/A</v>
      </c>
      <c r="T4620" s="369" t="str">
        <f>VLOOKUP(Tabla4[[#This Row],[Producto]],Tabla6[#All],14,FALSE)</f>
        <v>Termico Solar</v>
      </c>
      <c r="U4620" s="284" t="e">
        <f>(IF(Tabla4[[#This Row],[Familia]]="termico solar",Tabla4[[#This Row],[Utilidad Total]]*6%,Tabla4[[#This Row],[Utilidad Total]]*11.5%))/Tabla4[[#This Row],[Total]]</f>
        <v>#N/A</v>
      </c>
      <c r="V4620" s="282" t="e">
        <f>+Tabla4[[#This Row],[Comisión Calculada]]*Tabla4[[#This Row],[Total]]</f>
        <v>#N/A</v>
      </c>
    </row>
    <row r="4621" spans="1:22" hidden="1" x14ac:dyDescent="0.25">
      <c r="A4621" s="100">
        <v>45853</v>
      </c>
      <c r="B4621" t="str">
        <f t="shared" si="232"/>
        <v>July</v>
      </c>
      <c r="C4621" s="46" t="s">
        <v>280</v>
      </c>
      <c r="F4621" s="366" t="s">
        <v>2450</v>
      </c>
      <c r="G4621" s="46" t="s">
        <v>83</v>
      </c>
      <c r="H4621" s="46">
        <v>1</v>
      </c>
      <c r="I4621" s="51">
        <v>8858.76</v>
      </c>
      <c r="J4621" s="281">
        <f>++Tabla4[[#This Row],[Precio Bruto]]*1.16</f>
        <v>10276.161599999999</v>
      </c>
      <c r="K4621" s="281">
        <f>+Tabla4[[#This Row],[Precio Unitario Neto]]*Tabla4[[#Headers],[20.85%]]</f>
        <v>2142.5796935999997</v>
      </c>
      <c r="L4621" s="282">
        <f>++Tabla4[[#This Row],[Precio Unitario Neto]]-Tabla4[[#This Row],[20.85%]]</f>
        <v>8133.5819063999998</v>
      </c>
      <c r="M4621" s="282" t="e">
        <f>(INDEX(Tabla6[#All],MATCH(Tabla4[[#This Row],[Producto]],Tabla6[[#All],[PRODUCTO]],0),MATCH(Tabla4[[#This Row],[Mes]],Tabla6[#Headers],0)))*(1+Catalogos!$L$2)</f>
        <v>#N/A</v>
      </c>
      <c r="N4621" s="283" t="e">
        <f>+(Tabla4[[#This Row],[Precio Descontado]]-Tabla4[[#This Row],[Precio Base]])*Tabla4[[#This Row],[Cantidad]]</f>
        <v>#N/A</v>
      </c>
      <c r="O4621" s="284" t="e">
        <f>++Tabla4[[#This Row],[Utilidad Total]]/Tabla4[[#This Row],[Total]]</f>
        <v>#N/A</v>
      </c>
      <c r="P4621" s="282">
        <f>++Tabla4[[#This Row],[Precio Descontado]]*Tabla4[[#This Row],[Cantidad]]</f>
        <v>8133.5819063999998</v>
      </c>
      <c r="Q4621" s="282" t="e">
        <f>(INDEX(Tabla6[#All],MATCH(Tabla4[[#This Row],[Producto]],Tabla6[[#All],[PRODUCTO]],0),MATCH(Tabla4[[#This Row],[Mes]],Tabla6[#Headers],0)))</f>
        <v>#N/A</v>
      </c>
      <c r="R4621" s="282" t="e">
        <f>++Tabla4[[#This Row],[Precio Unitario Neto]]-Tabla4[[#This Row],[20.85%]]-Tabla4[[#This Row],[Costo]]</f>
        <v>#N/A</v>
      </c>
      <c r="S4621" s="282" t="e">
        <f>++Tabla4[[#This Row],[U. Bruta Uni]]*Tabla4[[#This Row],[Cantidad]]</f>
        <v>#N/A</v>
      </c>
      <c r="T4621" s="369" t="str">
        <f>VLOOKUP(Tabla4[[#This Row],[Producto]],Tabla6[#All],14,FALSE)</f>
        <v>Termico Solar</v>
      </c>
      <c r="U4621" s="284" t="e">
        <f>(IF(Tabla4[[#This Row],[Familia]]="termico solar",Tabla4[[#This Row],[Utilidad Total]]*6%,Tabla4[[#This Row],[Utilidad Total]]*11.5%))/Tabla4[[#This Row],[Total]]</f>
        <v>#N/A</v>
      </c>
      <c r="V4621" s="282" t="e">
        <f>+Tabla4[[#This Row],[Comisión Calculada]]*Tabla4[[#This Row],[Total]]</f>
        <v>#N/A</v>
      </c>
    </row>
    <row r="4622" spans="1:22" hidden="1" x14ac:dyDescent="0.25">
      <c r="A4622" s="100">
        <v>45853</v>
      </c>
      <c r="B4622" t="str">
        <f t="shared" si="232"/>
        <v>July</v>
      </c>
      <c r="C4622" s="46" t="s">
        <v>280</v>
      </c>
      <c r="F4622" s="366" t="s">
        <v>2450</v>
      </c>
      <c r="G4622" s="46" t="s">
        <v>16</v>
      </c>
      <c r="H4622" s="46">
        <v>1</v>
      </c>
      <c r="I4622" s="51">
        <v>4103.8500000000004</v>
      </c>
      <c r="J4622" s="281">
        <f>++Tabla4[[#This Row],[Precio Bruto]]*1.16</f>
        <v>4760.4660000000003</v>
      </c>
      <c r="K4622" s="281">
        <f>+Tabla4[[#This Row],[Precio Unitario Neto]]*Tabla4[[#Headers],[20.85%]]</f>
        <v>992.55716100000006</v>
      </c>
      <c r="L4622" s="282">
        <f>++Tabla4[[#This Row],[Precio Unitario Neto]]-Tabla4[[#This Row],[20.85%]]</f>
        <v>3767.9088390000002</v>
      </c>
      <c r="M4622" s="282" t="e">
        <f>(INDEX(Tabla6[#All],MATCH(Tabla4[[#This Row],[Producto]],Tabla6[[#All],[PRODUCTO]],0),MATCH(Tabla4[[#This Row],[Mes]],Tabla6[#Headers],0)))*(1+Catalogos!$L$2)</f>
        <v>#N/A</v>
      </c>
      <c r="N4622" s="283" t="e">
        <f>+(Tabla4[[#This Row],[Precio Descontado]]-Tabla4[[#This Row],[Precio Base]])*Tabla4[[#This Row],[Cantidad]]</f>
        <v>#N/A</v>
      </c>
      <c r="O4622" s="284" t="e">
        <f>++Tabla4[[#This Row],[Utilidad Total]]/Tabla4[[#This Row],[Total]]</f>
        <v>#N/A</v>
      </c>
      <c r="P4622" s="282">
        <f>++Tabla4[[#This Row],[Precio Descontado]]*Tabla4[[#This Row],[Cantidad]]</f>
        <v>3767.9088390000002</v>
      </c>
      <c r="Q4622" s="282" t="e">
        <f>(INDEX(Tabla6[#All],MATCH(Tabla4[[#This Row],[Producto]],Tabla6[[#All],[PRODUCTO]],0),MATCH(Tabla4[[#This Row],[Mes]],Tabla6[#Headers],0)))</f>
        <v>#N/A</v>
      </c>
      <c r="R4622" s="282" t="e">
        <f>++Tabla4[[#This Row],[Precio Unitario Neto]]-Tabla4[[#This Row],[20.85%]]-Tabla4[[#This Row],[Costo]]</f>
        <v>#N/A</v>
      </c>
      <c r="S4622" s="282" t="e">
        <f>++Tabla4[[#This Row],[U. Bruta Uni]]*Tabla4[[#This Row],[Cantidad]]</f>
        <v>#N/A</v>
      </c>
      <c r="T4622" s="369" t="str">
        <f>VLOOKUP(Tabla4[[#This Row],[Producto]],Tabla6[#All],14,FALSE)</f>
        <v>Termico Solar</v>
      </c>
      <c r="U4622" s="284" t="e">
        <f>(IF(Tabla4[[#This Row],[Familia]]="termico solar",Tabla4[[#This Row],[Utilidad Total]]*6%,Tabla4[[#This Row],[Utilidad Total]]*11.5%))/Tabla4[[#This Row],[Total]]</f>
        <v>#N/A</v>
      </c>
      <c r="V4622" s="282" t="e">
        <f>+Tabla4[[#This Row],[Comisión Calculada]]*Tabla4[[#This Row],[Total]]</f>
        <v>#N/A</v>
      </c>
    </row>
    <row r="4623" spans="1:22" hidden="1" x14ac:dyDescent="0.25">
      <c r="A4623" s="100">
        <v>45853</v>
      </c>
      <c r="B4623" t="str">
        <f t="shared" si="232"/>
        <v>July</v>
      </c>
      <c r="C4623" s="46" t="s">
        <v>280</v>
      </c>
      <c r="F4623" s="366" t="s">
        <v>2451</v>
      </c>
      <c r="G4623" s="46" t="s">
        <v>83</v>
      </c>
      <c r="H4623" s="46">
        <v>1</v>
      </c>
      <c r="I4623" s="51">
        <v>8858.76</v>
      </c>
      <c r="J4623" s="281">
        <f>++Tabla4[[#This Row],[Precio Bruto]]*1.16</f>
        <v>10276.161599999999</v>
      </c>
      <c r="K4623" s="281">
        <f>+Tabla4[[#This Row],[Precio Unitario Neto]]*Tabla4[[#Headers],[20.85%]]</f>
        <v>2142.5796935999997</v>
      </c>
      <c r="L4623" s="282">
        <f>++Tabla4[[#This Row],[Precio Unitario Neto]]-Tabla4[[#This Row],[20.85%]]</f>
        <v>8133.5819063999998</v>
      </c>
      <c r="M4623" s="282" t="e">
        <f>(INDEX(Tabla6[#All],MATCH(Tabla4[[#This Row],[Producto]],Tabla6[[#All],[PRODUCTO]],0),MATCH(Tabla4[[#This Row],[Mes]],Tabla6[#Headers],0)))*(1+Catalogos!$L$2)</f>
        <v>#N/A</v>
      </c>
      <c r="N4623" s="283" t="e">
        <f>+(Tabla4[[#This Row],[Precio Descontado]]-Tabla4[[#This Row],[Precio Base]])*Tabla4[[#This Row],[Cantidad]]</f>
        <v>#N/A</v>
      </c>
      <c r="O4623" s="284" t="e">
        <f>++Tabla4[[#This Row],[Utilidad Total]]/Tabla4[[#This Row],[Total]]</f>
        <v>#N/A</v>
      </c>
      <c r="P4623" s="282">
        <f>++Tabla4[[#This Row],[Precio Descontado]]*Tabla4[[#This Row],[Cantidad]]</f>
        <v>8133.5819063999998</v>
      </c>
      <c r="Q4623" s="282" t="e">
        <f>(INDEX(Tabla6[#All],MATCH(Tabla4[[#This Row],[Producto]],Tabla6[[#All],[PRODUCTO]],0),MATCH(Tabla4[[#This Row],[Mes]],Tabla6[#Headers],0)))</f>
        <v>#N/A</v>
      </c>
      <c r="R4623" s="282" t="e">
        <f>++Tabla4[[#This Row],[Precio Unitario Neto]]-Tabla4[[#This Row],[20.85%]]-Tabla4[[#This Row],[Costo]]</f>
        <v>#N/A</v>
      </c>
      <c r="S4623" s="282" t="e">
        <f>++Tabla4[[#This Row],[U. Bruta Uni]]*Tabla4[[#This Row],[Cantidad]]</f>
        <v>#N/A</v>
      </c>
      <c r="T4623" s="369" t="str">
        <f>VLOOKUP(Tabla4[[#This Row],[Producto]],Tabla6[#All],14,FALSE)</f>
        <v>Termico Solar</v>
      </c>
      <c r="U4623" s="284" t="e">
        <f>(IF(Tabla4[[#This Row],[Familia]]="termico solar",Tabla4[[#This Row],[Utilidad Total]]*6%,Tabla4[[#This Row],[Utilidad Total]]*11.5%))/Tabla4[[#This Row],[Total]]</f>
        <v>#N/A</v>
      </c>
      <c r="V4623" s="282" t="e">
        <f>+Tabla4[[#This Row],[Comisión Calculada]]*Tabla4[[#This Row],[Total]]</f>
        <v>#N/A</v>
      </c>
    </row>
    <row r="4624" spans="1:22" hidden="1" x14ac:dyDescent="0.25">
      <c r="A4624" s="100">
        <v>45853</v>
      </c>
      <c r="B4624" t="str">
        <f t="shared" si="232"/>
        <v>July</v>
      </c>
      <c r="C4624" s="46" t="s">
        <v>280</v>
      </c>
      <c r="F4624" s="366" t="s">
        <v>2451</v>
      </c>
      <c r="G4624" s="46" t="s">
        <v>18</v>
      </c>
      <c r="H4624" s="46">
        <v>1</v>
      </c>
      <c r="I4624" s="51">
        <v>5367.65</v>
      </c>
      <c r="J4624" s="281">
        <f>++Tabla4[[#This Row],[Precio Bruto]]*1.16</f>
        <v>6226.4739999999993</v>
      </c>
      <c r="K4624" s="281">
        <f>+Tabla4[[#This Row],[Precio Unitario Neto]]*Tabla4[[#Headers],[20.85%]]</f>
        <v>1298.2198289999999</v>
      </c>
      <c r="L4624" s="282">
        <f>++Tabla4[[#This Row],[Precio Unitario Neto]]-Tabla4[[#This Row],[20.85%]]</f>
        <v>4928.2541709999996</v>
      </c>
      <c r="M4624" s="282" t="e">
        <f>(INDEX(Tabla6[#All],MATCH(Tabla4[[#This Row],[Producto]],Tabla6[[#All],[PRODUCTO]],0),MATCH(Tabla4[[#This Row],[Mes]],Tabla6[#Headers],0)))*(1+Catalogos!$L$2)</f>
        <v>#N/A</v>
      </c>
      <c r="N4624" s="283" t="e">
        <f>+(Tabla4[[#This Row],[Precio Descontado]]-Tabla4[[#This Row],[Precio Base]])*Tabla4[[#This Row],[Cantidad]]</f>
        <v>#N/A</v>
      </c>
      <c r="O4624" s="284" t="e">
        <f>++Tabla4[[#This Row],[Utilidad Total]]/Tabla4[[#This Row],[Total]]</f>
        <v>#N/A</v>
      </c>
      <c r="P4624" s="282">
        <f>++Tabla4[[#This Row],[Precio Descontado]]*Tabla4[[#This Row],[Cantidad]]</f>
        <v>4928.2541709999996</v>
      </c>
      <c r="Q4624" s="282" t="e">
        <f>(INDEX(Tabla6[#All],MATCH(Tabla4[[#This Row],[Producto]],Tabla6[[#All],[PRODUCTO]],0),MATCH(Tabla4[[#This Row],[Mes]],Tabla6[#Headers],0)))</f>
        <v>#N/A</v>
      </c>
      <c r="R4624" s="282" t="e">
        <f>++Tabla4[[#This Row],[Precio Unitario Neto]]-Tabla4[[#This Row],[20.85%]]-Tabla4[[#This Row],[Costo]]</f>
        <v>#N/A</v>
      </c>
      <c r="S4624" s="282" t="e">
        <f>++Tabla4[[#This Row],[U. Bruta Uni]]*Tabla4[[#This Row],[Cantidad]]</f>
        <v>#N/A</v>
      </c>
      <c r="T4624" s="369" t="str">
        <f>VLOOKUP(Tabla4[[#This Row],[Producto]],Tabla6[#All],14,FALSE)</f>
        <v>Termico Solar</v>
      </c>
      <c r="U4624" s="284" t="e">
        <f>(IF(Tabla4[[#This Row],[Familia]]="termico solar",Tabla4[[#This Row],[Utilidad Total]]*6%,Tabla4[[#This Row],[Utilidad Total]]*11.5%))/Tabla4[[#This Row],[Total]]</f>
        <v>#N/A</v>
      </c>
      <c r="V4624" s="282" t="e">
        <f>+Tabla4[[#This Row],[Comisión Calculada]]*Tabla4[[#This Row],[Total]]</f>
        <v>#N/A</v>
      </c>
    </row>
    <row r="4625" spans="1:22" hidden="1" x14ac:dyDescent="0.25">
      <c r="A4625" s="100">
        <v>45853</v>
      </c>
      <c r="B4625" t="str">
        <f t="shared" si="232"/>
        <v>July</v>
      </c>
      <c r="C4625" s="46" t="s">
        <v>280</v>
      </c>
      <c r="F4625" s="366" t="s">
        <v>2451</v>
      </c>
      <c r="G4625" s="46" t="s">
        <v>16</v>
      </c>
      <c r="H4625" s="46">
        <v>2</v>
      </c>
      <c r="I4625" s="51">
        <v>4103.8500000000004</v>
      </c>
      <c r="J4625" s="281">
        <f>++Tabla4[[#This Row],[Precio Bruto]]*1.16</f>
        <v>4760.4660000000003</v>
      </c>
      <c r="K4625" s="281">
        <f>+Tabla4[[#This Row],[Precio Unitario Neto]]*Tabla4[[#Headers],[20.85%]]</f>
        <v>992.55716100000006</v>
      </c>
      <c r="L4625" s="282">
        <f>++Tabla4[[#This Row],[Precio Unitario Neto]]-Tabla4[[#This Row],[20.85%]]</f>
        <v>3767.9088390000002</v>
      </c>
      <c r="M4625" s="282" t="e">
        <f>(INDEX(Tabla6[#All],MATCH(Tabla4[[#This Row],[Producto]],Tabla6[[#All],[PRODUCTO]],0),MATCH(Tabla4[[#This Row],[Mes]],Tabla6[#Headers],0)))*(1+Catalogos!$L$2)</f>
        <v>#N/A</v>
      </c>
      <c r="N4625" s="283" t="e">
        <f>+(Tabla4[[#This Row],[Precio Descontado]]-Tabla4[[#This Row],[Precio Base]])*Tabla4[[#This Row],[Cantidad]]</f>
        <v>#N/A</v>
      </c>
      <c r="O4625" s="284" t="e">
        <f>++Tabla4[[#This Row],[Utilidad Total]]/Tabla4[[#This Row],[Total]]</f>
        <v>#N/A</v>
      </c>
      <c r="P4625" s="282">
        <f>++Tabla4[[#This Row],[Precio Descontado]]*Tabla4[[#This Row],[Cantidad]]</f>
        <v>7535.8176780000003</v>
      </c>
      <c r="Q4625" s="282" t="e">
        <f>(INDEX(Tabla6[#All],MATCH(Tabla4[[#This Row],[Producto]],Tabla6[[#All],[PRODUCTO]],0),MATCH(Tabla4[[#This Row],[Mes]],Tabla6[#Headers],0)))</f>
        <v>#N/A</v>
      </c>
      <c r="R4625" s="282" t="e">
        <f>++Tabla4[[#This Row],[Precio Unitario Neto]]-Tabla4[[#This Row],[20.85%]]-Tabla4[[#This Row],[Costo]]</f>
        <v>#N/A</v>
      </c>
      <c r="S4625" s="282" t="e">
        <f>++Tabla4[[#This Row],[U. Bruta Uni]]*Tabla4[[#This Row],[Cantidad]]</f>
        <v>#N/A</v>
      </c>
      <c r="T4625" s="369" t="str">
        <f>VLOOKUP(Tabla4[[#This Row],[Producto]],Tabla6[#All],14,FALSE)</f>
        <v>Termico Solar</v>
      </c>
      <c r="U4625" s="284" t="e">
        <f>(IF(Tabla4[[#This Row],[Familia]]="termico solar",Tabla4[[#This Row],[Utilidad Total]]*6%,Tabla4[[#This Row],[Utilidad Total]]*11.5%))/Tabla4[[#This Row],[Total]]</f>
        <v>#N/A</v>
      </c>
      <c r="V4625" s="282" t="e">
        <f>+Tabla4[[#This Row],[Comisión Calculada]]*Tabla4[[#This Row],[Total]]</f>
        <v>#N/A</v>
      </c>
    </row>
    <row r="4626" spans="1:22" hidden="1" x14ac:dyDescent="0.25">
      <c r="A4626" s="100">
        <v>45853</v>
      </c>
      <c r="B4626" t="str">
        <f t="shared" si="232"/>
        <v>July</v>
      </c>
      <c r="C4626" s="46" t="s">
        <v>280</v>
      </c>
      <c r="F4626" s="366" t="s">
        <v>2451</v>
      </c>
      <c r="G4626" s="46" t="s">
        <v>208</v>
      </c>
      <c r="H4626" s="46">
        <v>1</v>
      </c>
      <c r="I4626" s="51">
        <v>189.75</v>
      </c>
      <c r="J4626" s="281">
        <f>++Tabla4[[#This Row],[Precio Bruto]]*1.16</f>
        <v>220.10999999999999</v>
      </c>
      <c r="K4626" s="281">
        <f>+Tabla4[[#This Row],[Precio Unitario Neto]]*Tabla4[[#Headers],[20.85%]]</f>
        <v>45.892934999999994</v>
      </c>
      <c r="L4626" s="282">
        <f>++Tabla4[[#This Row],[Precio Unitario Neto]]-Tabla4[[#This Row],[20.85%]]</f>
        <v>174.21706499999999</v>
      </c>
      <c r="M4626" s="282" t="e">
        <f>(INDEX(Tabla6[#All],MATCH(Tabla4[[#This Row],[Producto]],Tabla6[[#All],[PRODUCTO]],0),MATCH(Tabla4[[#This Row],[Mes]],Tabla6[#Headers],0)))*(1+Catalogos!$L$2)</f>
        <v>#N/A</v>
      </c>
      <c r="N4626" s="283" t="e">
        <f>+(Tabla4[[#This Row],[Precio Descontado]]-Tabla4[[#This Row],[Precio Base]])*Tabla4[[#This Row],[Cantidad]]</f>
        <v>#N/A</v>
      </c>
      <c r="O4626" s="284" t="e">
        <f>++Tabla4[[#This Row],[Utilidad Total]]/Tabla4[[#This Row],[Total]]</f>
        <v>#N/A</v>
      </c>
      <c r="P4626" s="282">
        <f>++Tabla4[[#This Row],[Precio Descontado]]*Tabla4[[#This Row],[Cantidad]]</f>
        <v>174.21706499999999</v>
      </c>
      <c r="Q4626" s="282" t="e">
        <f>(INDEX(Tabla6[#All],MATCH(Tabla4[[#This Row],[Producto]],Tabla6[[#All],[PRODUCTO]],0),MATCH(Tabla4[[#This Row],[Mes]],Tabla6[#Headers],0)))</f>
        <v>#N/A</v>
      </c>
      <c r="R4626" s="282" t="e">
        <f>++Tabla4[[#This Row],[Precio Unitario Neto]]-Tabla4[[#This Row],[20.85%]]-Tabla4[[#This Row],[Costo]]</f>
        <v>#N/A</v>
      </c>
      <c r="S4626" s="282" t="e">
        <f>++Tabla4[[#This Row],[U. Bruta Uni]]*Tabla4[[#This Row],[Cantidad]]</f>
        <v>#N/A</v>
      </c>
      <c r="T4626" s="369" t="str">
        <f>VLOOKUP(Tabla4[[#This Row],[Producto]],Tabla6[#All],14,FALSE)</f>
        <v>Termico Solar</v>
      </c>
      <c r="U4626" s="284" t="e">
        <f>(IF(Tabla4[[#This Row],[Familia]]="termico solar",Tabla4[[#This Row],[Utilidad Total]]*6%,Tabla4[[#This Row],[Utilidad Total]]*11.5%))/Tabla4[[#This Row],[Total]]</f>
        <v>#N/A</v>
      </c>
      <c r="V4626" s="282" t="e">
        <f>+Tabla4[[#This Row],[Comisión Calculada]]*Tabla4[[#This Row],[Total]]</f>
        <v>#N/A</v>
      </c>
    </row>
    <row r="4627" spans="1:22" hidden="1" x14ac:dyDescent="0.25">
      <c r="A4627" s="100">
        <v>45853</v>
      </c>
      <c r="B4627" t="str">
        <f t="shared" si="232"/>
        <v>July</v>
      </c>
      <c r="C4627" s="46" t="s">
        <v>280</v>
      </c>
      <c r="F4627" s="366" t="s">
        <v>2452</v>
      </c>
      <c r="G4627" s="46" t="s">
        <v>566</v>
      </c>
      <c r="H4627" s="46">
        <v>1</v>
      </c>
      <c r="I4627" s="51">
        <v>2109.4499999999998</v>
      </c>
      <c r="J4627" s="281">
        <f>++Tabla4[[#This Row],[Precio Bruto]]*1.16</f>
        <v>2446.9619999999995</v>
      </c>
      <c r="K4627" s="281">
        <f>+Tabla4[[#This Row],[Precio Unitario Neto]]*Tabla4[[#Headers],[20.85%]]</f>
        <v>510.19157699999988</v>
      </c>
      <c r="L4627" s="282">
        <f>++Tabla4[[#This Row],[Precio Unitario Neto]]-Tabla4[[#This Row],[20.85%]]</f>
        <v>1936.7704229999997</v>
      </c>
      <c r="M4627" s="282" t="e">
        <f>(INDEX(Tabla6[#All],MATCH(Tabla4[[#This Row],[Producto]],Tabla6[[#All],[PRODUCTO]],0),MATCH(Tabla4[[#This Row],[Mes]],Tabla6[#Headers],0)))*(1+Catalogos!$L$2)</f>
        <v>#N/A</v>
      </c>
      <c r="N4627" s="283" t="e">
        <f>+(Tabla4[[#This Row],[Precio Descontado]]-Tabla4[[#This Row],[Precio Base]])*Tabla4[[#This Row],[Cantidad]]</f>
        <v>#N/A</v>
      </c>
      <c r="O4627" s="284" t="e">
        <f>++Tabla4[[#This Row],[Utilidad Total]]/Tabla4[[#This Row],[Total]]</f>
        <v>#N/A</v>
      </c>
      <c r="P4627" s="282">
        <f>++Tabla4[[#This Row],[Precio Descontado]]*Tabla4[[#This Row],[Cantidad]]</f>
        <v>1936.7704229999997</v>
      </c>
      <c r="Q4627" s="282" t="e">
        <f>(INDEX(Tabla6[#All],MATCH(Tabla4[[#This Row],[Producto]],Tabla6[[#All],[PRODUCTO]],0),MATCH(Tabla4[[#This Row],[Mes]],Tabla6[#Headers],0)))</f>
        <v>#N/A</v>
      </c>
      <c r="R4627" s="282" t="e">
        <f>++Tabla4[[#This Row],[Precio Unitario Neto]]-Tabla4[[#This Row],[20.85%]]-Tabla4[[#This Row],[Costo]]</f>
        <v>#N/A</v>
      </c>
      <c r="S4627" s="282" t="e">
        <f>++Tabla4[[#This Row],[U. Bruta Uni]]*Tabla4[[#This Row],[Cantidad]]</f>
        <v>#N/A</v>
      </c>
      <c r="T4627" s="369" t="str">
        <f>VLOOKUP(Tabla4[[#This Row],[Producto]],Tabla6[#All],14,FALSE)</f>
        <v>Termico Solar</v>
      </c>
      <c r="U4627" s="284" t="e">
        <f>(IF(Tabla4[[#This Row],[Familia]]="termico solar",Tabla4[[#This Row],[Utilidad Total]]*6%,Tabla4[[#This Row],[Utilidad Total]]*11.5%))/Tabla4[[#This Row],[Total]]</f>
        <v>#N/A</v>
      </c>
      <c r="V4627" s="282" t="e">
        <f>+Tabla4[[#This Row],[Comisión Calculada]]*Tabla4[[#This Row],[Total]]</f>
        <v>#N/A</v>
      </c>
    </row>
    <row r="4628" spans="1:22" hidden="1" x14ac:dyDescent="0.25">
      <c r="A4628" s="100">
        <v>45853</v>
      </c>
      <c r="B4628" t="str">
        <f t="shared" si="232"/>
        <v>July</v>
      </c>
      <c r="C4628" s="46" t="s">
        <v>280</v>
      </c>
      <c r="F4628" s="366" t="s">
        <v>2453</v>
      </c>
      <c r="G4628" s="46" t="s">
        <v>83</v>
      </c>
      <c r="H4628" s="46">
        <v>4</v>
      </c>
      <c r="I4628" s="51">
        <v>8858.76</v>
      </c>
      <c r="J4628" s="281">
        <f>++Tabla4[[#This Row],[Precio Bruto]]*1.16</f>
        <v>10276.161599999999</v>
      </c>
      <c r="K4628" s="281">
        <f>+Tabla4[[#This Row],[Precio Unitario Neto]]*Tabla4[[#Headers],[20.85%]]</f>
        <v>2142.5796935999997</v>
      </c>
      <c r="L4628" s="282">
        <f>++Tabla4[[#This Row],[Precio Unitario Neto]]-Tabla4[[#This Row],[20.85%]]</f>
        <v>8133.5819063999998</v>
      </c>
      <c r="M4628" s="282" t="e">
        <f>(INDEX(Tabla6[#All],MATCH(Tabla4[[#This Row],[Producto]],Tabla6[[#All],[PRODUCTO]],0),MATCH(Tabla4[[#This Row],[Mes]],Tabla6[#Headers],0)))*(1+Catalogos!$L$2)</f>
        <v>#N/A</v>
      </c>
      <c r="N4628" s="283" t="e">
        <f>+(Tabla4[[#This Row],[Precio Descontado]]-Tabla4[[#This Row],[Precio Base]])*Tabla4[[#This Row],[Cantidad]]</f>
        <v>#N/A</v>
      </c>
      <c r="O4628" s="284" t="e">
        <f>++Tabla4[[#This Row],[Utilidad Total]]/Tabla4[[#This Row],[Total]]</f>
        <v>#N/A</v>
      </c>
      <c r="P4628" s="282">
        <f>++Tabla4[[#This Row],[Precio Descontado]]*Tabla4[[#This Row],[Cantidad]]</f>
        <v>32534.327625599999</v>
      </c>
      <c r="Q4628" s="282" t="e">
        <f>(INDEX(Tabla6[#All],MATCH(Tabla4[[#This Row],[Producto]],Tabla6[[#All],[PRODUCTO]],0),MATCH(Tabla4[[#This Row],[Mes]],Tabla6[#Headers],0)))</f>
        <v>#N/A</v>
      </c>
      <c r="R4628" s="282" t="e">
        <f>++Tabla4[[#This Row],[Precio Unitario Neto]]-Tabla4[[#This Row],[20.85%]]-Tabla4[[#This Row],[Costo]]</f>
        <v>#N/A</v>
      </c>
      <c r="S4628" s="282" t="e">
        <f>++Tabla4[[#This Row],[U. Bruta Uni]]*Tabla4[[#This Row],[Cantidad]]</f>
        <v>#N/A</v>
      </c>
      <c r="T4628" s="369" t="str">
        <f>VLOOKUP(Tabla4[[#This Row],[Producto]],Tabla6[#All],14,FALSE)</f>
        <v>Termico Solar</v>
      </c>
      <c r="U4628" s="284" t="e">
        <f>(IF(Tabla4[[#This Row],[Familia]]="termico solar",Tabla4[[#This Row],[Utilidad Total]]*6%,Tabla4[[#This Row],[Utilidad Total]]*11.5%))/Tabla4[[#This Row],[Total]]</f>
        <v>#N/A</v>
      </c>
      <c r="V4628" s="282" t="e">
        <f>+Tabla4[[#This Row],[Comisión Calculada]]*Tabla4[[#This Row],[Total]]</f>
        <v>#N/A</v>
      </c>
    </row>
    <row r="4629" spans="1:22" hidden="1" x14ac:dyDescent="0.25">
      <c r="A4629" s="100">
        <v>45853</v>
      </c>
      <c r="B4629" t="str">
        <f t="shared" si="232"/>
        <v>July</v>
      </c>
      <c r="C4629" s="46" t="s">
        <v>280</v>
      </c>
      <c r="F4629" s="366" t="s">
        <v>2454</v>
      </c>
      <c r="G4629" s="46" t="s">
        <v>394</v>
      </c>
      <c r="H4629" s="46">
        <v>9</v>
      </c>
      <c r="I4629" s="51">
        <v>108.1</v>
      </c>
      <c r="J4629" s="281">
        <f>++Tabla4[[#This Row],[Precio Bruto]]*1.16</f>
        <v>125.39599999999999</v>
      </c>
      <c r="K4629" s="281">
        <f>+Tabla4[[#This Row],[Precio Unitario Neto]]*Tabla4[[#Headers],[20.85%]]</f>
        <v>26.145065999999996</v>
      </c>
      <c r="L4629" s="282">
        <f>++Tabla4[[#This Row],[Precio Unitario Neto]]-Tabla4[[#This Row],[20.85%]]</f>
        <v>99.250933999999987</v>
      </c>
      <c r="M4629" s="282" t="e">
        <f>(INDEX(Tabla6[#All],MATCH(Tabla4[[#This Row],[Producto]],Tabla6[[#All],[PRODUCTO]],0),MATCH(Tabla4[[#This Row],[Mes]],Tabla6[#Headers],0)))*(1+Catalogos!$L$2)</f>
        <v>#N/A</v>
      </c>
      <c r="N4629" s="283" t="e">
        <f>+(Tabla4[[#This Row],[Precio Descontado]]-Tabla4[[#This Row],[Precio Base]])*Tabla4[[#This Row],[Cantidad]]</f>
        <v>#N/A</v>
      </c>
      <c r="O4629" s="284" t="e">
        <f>++Tabla4[[#This Row],[Utilidad Total]]/Tabla4[[#This Row],[Total]]</f>
        <v>#N/A</v>
      </c>
      <c r="P4629" s="282">
        <f>++Tabla4[[#This Row],[Precio Descontado]]*Tabla4[[#This Row],[Cantidad]]</f>
        <v>893.25840599999992</v>
      </c>
      <c r="Q4629" s="282" t="e">
        <f>(INDEX(Tabla6[#All],MATCH(Tabla4[[#This Row],[Producto]],Tabla6[[#All],[PRODUCTO]],0),MATCH(Tabla4[[#This Row],[Mes]],Tabla6[#Headers],0)))</f>
        <v>#N/A</v>
      </c>
      <c r="R4629" s="282" t="e">
        <f>++Tabla4[[#This Row],[Precio Unitario Neto]]-Tabla4[[#This Row],[20.85%]]-Tabla4[[#This Row],[Costo]]</f>
        <v>#N/A</v>
      </c>
      <c r="S4629" s="282" t="e">
        <f>++Tabla4[[#This Row],[U. Bruta Uni]]*Tabla4[[#This Row],[Cantidad]]</f>
        <v>#N/A</v>
      </c>
      <c r="T4629" s="369" t="str">
        <f>VLOOKUP(Tabla4[[#This Row],[Producto]],Tabla6[#All],14,FALSE)</f>
        <v>Termico Solar</v>
      </c>
      <c r="U4629" s="284" t="e">
        <f>(IF(Tabla4[[#This Row],[Familia]]="termico solar",Tabla4[[#This Row],[Utilidad Total]]*6%,Tabla4[[#This Row],[Utilidad Total]]*11.5%))/Tabla4[[#This Row],[Total]]</f>
        <v>#N/A</v>
      </c>
      <c r="V4629" s="282" t="e">
        <f>+Tabla4[[#This Row],[Comisión Calculada]]*Tabla4[[#This Row],[Total]]</f>
        <v>#N/A</v>
      </c>
    </row>
    <row r="4630" spans="1:22" hidden="1" x14ac:dyDescent="0.25">
      <c r="A4630" s="100">
        <v>45853</v>
      </c>
      <c r="B4630" t="str">
        <f t="shared" si="232"/>
        <v>July</v>
      </c>
      <c r="C4630" s="46" t="s">
        <v>280</v>
      </c>
      <c r="F4630" s="366" t="s">
        <v>2454</v>
      </c>
      <c r="G4630" s="46" t="s">
        <v>16</v>
      </c>
      <c r="H4630" s="46">
        <v>1</v>
      </c>
      <c r="I4630" s="51">
        <v>4103.8500000000004</v>
      </c>
      <c r="J4630" s="281">
        <f>++Tabla4[[#This Row],[Precio Bruto]]*1.16</f>
        <v>4760.4660000000003</v>
      </c>
      <c r="K4630" s="281">
        <f>+Tabla4[[#This Row],[Precio Unitario Neto]]*Tabla4[[#Headers],[20.85%]]</f>
        <v>992.55716100000006</v>
      </c>
      <c r="L4630" s="282">
        <f>++Tabla4[[#This Row],[Precio Unitario Neto]]-Tabla4[[#This Row],[20.85%]]</f>
        <v>3767.9088390000002</v>
      </c>
      <c r="M4630" s="282" t="e">
        <f>(INDEX(Tabla6[#All],MATCH(Tabla4[[#This Row],[Producto]],Tabla6[[#All],[PRODUCTO]],0),MATCH(Tabla4[[#This Row],[Mes]],Tabla6[#Headers],0)))*(1+Catalogos!$L$2)</f>
        <v>#N/A</v>
      </c>
      <c r="N4630" s="283" t="e">
        <f>+(Tabla4[[#This Row],[Precio Descontado]]-Tabla4[[#This Row],[Precio Base]])*Tabla4[[#This Row],[Cantidad]]</f>
        <v>#N/A</v>
      </c>
      <c r="O4630" s="284" t="e">
        <f>++Tabla4[[#This Row],[Utilidad Total]]/Tabla4[[#This Row],[Total]]</f>
        <v>#N/A</v>
      </c>
      <c r="P4630" s="282">
        <f>++Tabla4[[#This Row],[Precio Descontado]]*Tabla4[[#This Row],[Cantidad]]</f>
        <v>3767.9088390000002</v>
      </c>
      <c r="Q4630" s="282" t="e">
        <f>(INDEX(Tabla6[#All],MATCH(Tabla4[[#This Row],[Producto]],Tabla6[[#All],[PRODUCTO]],0),MATCH(Tabla4[[#This Row],[Mes]],Tabla6[#Headers],0)))</f>
        <v>#N/A</v>
      </c>
      <c r="R4630" s="282" t="e">
        <f>++Tabla4[[#This Row],[Precio Unitario Neto]]-Tabla4[[#This Row],[20.85%]]-Tabla4[[#This Row],[Costo]]</f>
        <v>#N/A</v>
      </c>
      <c r="S4630" s="282" t="e">
        <f>++Tabla4[[#This Row],[U. Bruta Uni]]*Tabla4[[#This Row],[Cantidad]]</f>
        <v>#N/A</v>
      </c>
      <c r="T4630" s="369" t="str">
        <f>VLOOKUP(Tabla4[[#This Row],[Producto]],Tabla6[#All],14,FALSE)</f>
        <v>Termico Solar</v>
      </c>
      <c r="U4630" s="284" t="e">
        <f>(IF(Tabla4[[#This Row],[Familia]]="termico solar",Tabla4[[#This Row],[Utilidad Total]]*6%,Tabla4[[#This Row],[Utilidad Total]]*11.5%))/Tabla4[[#This Row],[Total]]</f>
        <v>#N/A</v>
      </c>
      <c r="V4630" s="282" t="e">
        <f>+Tabla4[[#This Row],[Comisión Calculada]]*Tabla4[[#This Row],[Total]]</f>
        <v>#N/A</v>
      </c>
    </row>
    <row r="4631" spans="1:22" hidden="1" x14ac:dyDescent="0.25">
      <c r="A4631" s="100">
        <v>45853</v>
      </c>
      <c r="B4631" t="str">
        <f t="shared" si="232"/>
        <v>July</v>
      </c>
      <c r="C4631" s="46" t="s">
        <v>280</v>
      </c>
      <c r="F4631" s="366" t="s">
        <v>2455</v>
      </c>
      <c r="G4631" s="46" t="s">
        <v>17</v>
      </c>
      <c r="H4631" s="46">
        <v>2</v>
      </c>
      <c r="I4631" s="51">
        <v>4622.28</v>
      </c>
      <c r="J4631" s="281">
        <f>++Tabla4[[#This Row],[Precio Bruto]]*1.16</f>
        <v>5361.8447999999989</v>
      </c>
      <c r="K4631" s="281">
        <f>+Tabla4[[#This Row],[Precio Unitario Neto]]*Tabla4[[#Headers],[20.85%]]</f>
        <v>1117.9446407999997</v>
      </c>
      <c r="L4631" s="282">
        <f>++Tabla4[[#This Row],[Precio Unitario Neto]]-Tabla4[[#This Row],[20.85%]]</f>
        <v>4243.9001591999995</v>
      </c>
      <c r="M4631" s="282" t="e">
        <f>(INDEX(Tabla6[#All],MATCH(Tabla4[[#This Row],[Producto]],Tabla6[[#All],[PRODUCTO]],0),MATCH(Tabla4[[#This Row],[Mes]],Tabla6[#Headers],0)))*(1+Catalogos!$L$2)</f>
        <v>#N/A</v>
      </c>
      <c r="N4631" s="283" t="e">
        <f>+(Tabla4[[#This Row],[Precio Descontado]]-Tabla4[[#This Row],[Precio Base]])*Tabla4[[#This Row],[Cantidad]]</f>
        <v>#N/A</v>
      </c>
      <c r="O4631" s="284" t="e">
        <f>++Tabla4[[#This Row],[Utilidad Total]]/Tabla4[[#This Row],[Total]]</f>
        <v>#N/A</v>
      </c>
      <c r="P4631" s="282">
        <f>++Tabla4[[#This Row],[Precio Descontado]]*Tabla4[[#This Row],[Cantidad]]</f>
        <v>8487.800318399999</v>
      </c>
      <c r="Q4631" s="282" t="e">
        <f>(INDEX(Tabla6[#All],MATCH(Tabla4[[#This Row],[Producto]],Tabla6[[#All],[PRODUCTO]],0),MATCH(Tabla4[[#This Row],[Mes]],Tabla6[#Headers],0)))</f>
        <v>#N/A</v>
      </c>
      <c r="R4631" s="282" t="e">
        <f>++Tabla4[[#This Row],[Precio Unitario Neto]]-Tabla4[[#This Row],[20.85%]]-Tabla4[[#This Row],[Costo]]</f>
        <v>#N/A</v>
      </c>
      <c r="S4631" s="282" t="e">
        <f>++Tabla4[[#This Row],[U. Bruta Uni]]*Tabla4[[#This Row],[Cantidad]]</f>
        <v>#N/A</v>
      </c>
      <c r="T4631" s="369" t="str">
        <f>VLOOKUP(Tabla4[[#This Row],[Producto]],Tabla6[#All],14,FALSE)</f>
        <v>Termico Solar</v>
      </c>
      <c r="U4631" s="284" t="e">
        <f>(IF(Tabla4[[#This Row],[Familia]]="termico solar",Tabla4[[#This Row],[Utilidad Total]]*6%,Tabla4[[#This Row],[Utilidad Total]]*11.5%))/Tabla4[[#This Row],[Total]]</f>
        <v>#N/A</v>
      </c>
      <c r="V4631" s="282" t="e">
        <f>+Tabla4[[#This Row],[Comisión Calculada]]*Tabla4[[#This Row],[Total]]</f>
        <v>#N/A</v>
      </c>
    </row>
    <row r="4632" spans="1:22" hidden="1" x14ac:dyDescent="0.25">
      <c r="A4632" s="100">
        <v>45853</v>
      </c>
      <c r="B4632" t="str">
        <f t="shared" si="232"/>
        <v>July</v>
      </c>
      <c r="C4632" s="46" t="s">
        <v>280</v>
      </c>
      <c r="F4632" s="366" t="s">
        <v>2455</v>
      </c>
      <c r="G4632" s="46" t="s">
        <v>18</v>
      </c>
      <c r="H4632" s="46">
        <v>1</v>
      </c>
      <c r="I4632" s="51">
        <v>5367.65</v>
      </c>
      <c r="J4632" s="281">
        <f>++Tabla4[[#This Row],[Precio Bruto]]*1.16</f>
        <v>6226.4739999999993</v>
      </c>
      <c r="K4632" s="281">
        <f>+Tabla4[[#This Row],[Precio Unitario Neto]]*Tabla4[[#Headers],[20.85%]]</f>
        <v>1298.2198289999999</v>
      </c>
      <c r="L4632" s="282">
        <f>++Tabla4[[#This Row],[Precio Unitario Neto]]-Tabla4[[#This Row],[20.85%]]</f>
        <v>4928.2541709999996</v>
      </c>
      <c r="M4632" s="282" t="e">
        <f>(INDEX(Tabla6[#All],MATCH(Tabla4[[#This Row],[Producto]],Tabla6[[#All],[PRODUCTO]],0),MATCH(Tabla4[[#This Row],[Mes]],Tabla6[#Headers],0)))*(1+Catalogos!$L$2)</f>
        <v>#N/A</v>
      </c>
      <c r="N4632" s="283" t="e">
        <f>+(Tabla4[[#This Row],[Precio Descontado]]-Tabla4[[#This Row],[Precio Base]])*Tabla4[[#This Row],[Cantidad]]</f>
        <v>#N/A</v>
      </c>
      <c r="O4632" s="284" t="e">
        <f>++Tabla4[[#This Row],[Utilidad Total]]/Tabla4[[#This Row],[Total]]</f>
        <v>#N/A</v>
      </c>
      <c r="P4632" s="282">
        <f>++Tabla4[[#This Row],[Precio Descontado]]*Tabla4[[#This Row],[Cantidad]]</f>
        <v>4928.2541709999996</v>
      </c>
      <c r="Q4632" s="282" t="e">
        <f>(INDEX(Tabla6[#All],MATCH(Tabla4[[#This Row],[Producto]],Tabla6[[#All],[PRODUCTO]],0),MATCH(Tabla4[[#This Row],[Mes]],Tabla6[#Headers],0)))</f>
        <v>#N/A</v>
      </c>
      <c r="R4632" s="282" t="e">
        <f>++Tabla4[[#This Row],[Precio Unitario Neto]]-Tabla4[[#This Row],[20.85%]]-Tabla4[[#This Row],[Costo]]</f>
        <v>#N/A</v>
      </c>
      <c r="S4632" s="282" t="e">
        <f>++Tabla4[[#This Row],[U. Bruta Uni]]*Tabla4[[#This Row],[Cantidad]]</f>
        <v>#N/A</v>
      </c>
      <c r="T4632" s="369" t="str">
        <f>VLOOKUP(Tabla4[[#This Row],[Producto]],Tabla6[#All],14,FALSE)</f>
        <v>Termico Solar</v>
      </c>
      <c r="U4632" s="284" t="e">
        <f>(IF(Tabla4[[#This Row],[Familia]]="termico solar",Tabla4[[#This Row],[Utilidad Total]]*6%,Tabla4[[#This Row],[Utilidad Total]]*11.5%))/Tabla4[[#This Row],[Total]]</f>
        <v>#N/A</v>
      </c>
      <c r="V4632" s="282" t="e">
        <f>+Tabla4[[#This Row],[Comisión Calculada]]*Tabla4[[#This Row],[Total]]</f>
        <v>#N/A</v>
      </c>
    </row>
    <row r="4633" spans="1:22" hidden="1" x14ac:dyDescent="0.25">
      <c r="A4633" s="100">
        <v>45853</v>
      </c>
      <c r="B4633" t="str">
        <f t="shared" si="232"/>
        <v>July</v>
      </c>
      <c r="C4633" s="46" t="s">
        <v>280</v>
      </c>
      <c r="F4633" s="366" t="s">
        <v>2455</v>
      </c>
      <c r="G4633" s="46" t="s">
        <v>16</v>
      </c>
      <c r="H4633" s="46">
        <v>1</v>
      </c>
      <c r="I4633" s="51">
        <v>4103.8500000000004</v>
      </c>
      <c r="J4633" s="281">
        <f>++Tabla4[[#This Row],[Precio Bruto]]*1.16</f>
        <v>4760.4660000000003</v>
      </c>
      <c r="K4633" s="281">
        <f>+Tabla4[[#This Row],[Precio Unitario Neto]]*Tabla4[[#Headers],[20.85%]]</f>
        <v>992.55716100000006</v>
      </c>
      <c r="L4633" s="282">
        <f>++Tabla4[[#This Row],[Precio Unitario Neto]]-Tabla4[[#This Row],[20.85%]]</f>
        <v>3767.9088390000002</v>
      </c>
      <c r="M4633" s="282" t="e">
        <f>(INDEX(Tabla6[#All],MATCH(Tabla4[[#This Row],[Producto]],Tabla6[[#All],[PRODUCTO]],0),MATCH(Tabla4[[#This Row],[Mes]],Tabla6[#Headers],0)))*(1+Catalogos!$L$2)</f>
        <v>#N/A</v>
      </c>
      <c r="N4633" s="283" t="e">
        <f>+(Tabla4[[#This Row],[Precio Descontado]]-Tabla4[[#This Row],[Precio Base]])*Tabla4[[#This Row],[Cantidad]]</f>
        <v>#N/A</v>
      </c>
      <c r="O4633" s="284" t="e">
        <f>++Tabla4[[#This Row],[Utilidad Total]]/Tabla4[[#This Row],[Total]]</f>
        <v>#N/A</v>
      </c>
      <c r="P4633" s="282">
        <f>++Tabla4[[#This Row],[Precio Descontado]]*Tabla4[[#This Row],[Cantidad]]</f>
        <v>3767.9088390000002</v>
      </c>
      <c r="Q4633" s="282" t="e">
        <f>(INDEX(Tabla6[#All],MATCH(Tabla4[[#This Row],[Producto]],Tabla6[[#All],[PRODUCTO]],0),MATCH(Tabla4[[#This Row],[Mes]],Tabla6[#Headers],0)))</f>
        <v>#N/A</v>
      </c>
      <c r="R4633" s="282" t="e">
        <f>++Tabla4[[#This Row],[Precio Unitario Neto]]-Tabla4[[#This Row],[20.85%]]-Tabla4[[#This Row],[Costo]]</f>
        <v>#N/A</v>
      </c>
      <c r="S4633" s="282" t="e">
        <f>++Tabla4[[#This Row],[U. Bruta Uni]]*Tabla4[[#This Row],[Cantidad]]</f>
        <v>#N/A</v>
      </c>
      <c r="T4633" s="369" t="str">
        <f>VLOOKUP(Tabla4[[#This Row],[Producto]],Tabla6[#All],14,FALSE)</f>
        <v>Termico Solar</v>
      </c>
      <c r="U4633" s="284" t="e">
        <f>(IF(Tabla4[[#This Row],[Familia]]="termico solar",Tabla4[[#This Row],[Utilidad Total]]*6%,Tabla4[[#This Row],[Utilidad Total]]*11.5%))/Tabla4[[#This Row],[Total]]</f>
        <v>#N/A</v>
      </c>
      <c r="V4633" s="282" t="e">
        <f>+Tabla4[[#This Row],[Comisión Calculada]]*Tabla4[[#This Row],[Total]]</f>
        <v>#N/A</v>
      </c>
    </row>
    <row r="4634" spans="1:22" hidden="1" x14ac:dyDescent="0.25">
      <c r="A4634" s="100">
        <v>45853</v>
      </c>
      <c r="B4634" t="str">
        <f t="shared" si="232"/>
        <v>July</v>
      </c>
      <c r="C4634" s="46" t="s">
        <v>280</v>
      </c>
      <c r="F4634" s="366" t="s">
        <v>2456</v>
      </c>
      <c r="G4634" s="46" t="s">
        <v>84</v>
      </c>
      <c r="H4634" s="46">
        <v>6</v>
      </c>
      <c r="I4634" s="51">
        <v>16601.829999999998</v>
      </c>
      <c r="J4634" s="281">
        <f>++Tabla4[[#This Row],[Precio Bruto]]*1.16</f>
        <v>19258.122799999997</v>
      </c>
      <c r="K4634" s="281">
        <f>+Tabla4[[#This Row],[Precio Unitario Neto]]*Tabla4[[#Headers],[20.85%]]</f>
        <v>4015.3186037999994</v>
      </c>
      <c r="L4634" s="282">
        <f>++Tabla4[[#This Row],[Precio Unitario Neto]]-Tabla4[[#This Row],[20.85%]]</f>
        <v>15242.804196199999</v>
      </c>
      <c r="M4634" s="282" t="e">
        <f>(INDEX(Tabla6[#All],MATCH(Tabla4[[#This Row],[Producto]],Tabla6[[#All],[PRODUCTO]],0),MATCH(Tabla4[[#This Row],[Mes]],Tabla6[#Headers],0)))*(1+Catalogos!$L$2)</f>
        <v>#N/A</v>
      </c>
      <c r="N4634" s="283" t="e">
        <f>+(Tabla4[[#This Row],[Precio Descontado]]-Tabla4[[#This Row],[Precio Base]])*Tabla4[[#This Row],[Cantidad]]</f>
        <v>#N/A</v>
      </c>
      <c r="O4634" s="284" t="e">
        <f>++Tabla4[[#This Row],[Utilidad Total]]/Tabla4[[#This Row],[Total]]</f>
        <v>#N/A</v>
      </c>
      <c r="P4634" s="282">
        <f>++Tabla4[[#This Row],[Precio Descontado]]*Tabla4[[#This Row],[Cantidad]]</f>
        <v>91456.825177199993</v>
      </c>
      <c r="Q4634" s="282" t="e">
        <f>(INDEX(Tabla6[#All],MATCH(Tabla4[[#This Row],[Producto]],Tabla6[[#All],[PRODUCTO]],0),MATCH(Tabla4[[#This Row],[Mes]],Tabla6[#Headers],0)))</f>
        <v>#N/A</v>
      </c>
      <c r="R4634" s="282" t="e">
        <f>++Tabla4[[#This Row],[Precio Unitario Neto]]-Tabla4[[#This Row],[20.85%]]-Tabla4[[#This Row],[Costo]]</f>
        <v>#N/A</v>
      </c>
      <c r="S4634" s="282" t="e">
        <f>++Tabla4[[#This Row],[U. Bruta Uni]]*Tabla4[[#This Row],[Cantidad]]</f>
        <v>#N/A</v>
      </c>
      <c r="T4634" s="369" t="str">
        <f>VLOOKUP(Tabla4[[#This Row],[Producto]],Tabla6[#All],14,FALSE)</f>
        <v>Termico Solar</v>
      </c>
      <c r="U4634" s="284" t="e">
        <f>(IF(Tabla4[[#This Row],[Familia]]="termico solar",Tabla4[[#This Row],[Utilidad Total]]*6%,Tabla4[[#This Row],[Utilidad Total]]*11.5%))/Tabla4[[#This Row],[Total]]</f>
        <v>#N/A</v>
      </c>
      <c r="V4634" s="282" t="e">
        <f>+Tabla4[[#This Row],[Comisión Calculada]]*Tabla4[[#This Row],[Total]]</f>
        <v>#N/A</v>
      </c>
    </row>
    <row r="4635" spans="1:22" hidden="1" x14ac:dyDescent="0.25">
      <c r="A4635" s="100">
        <v>45853</v>
      </c>
      <c r="B4635" t="str">
        <f t="shared" si="232"/>
        <v>July</v>
      </c>
      <c r="C4635" s="46" t="s">
        <v>280</v>
      </c>
      <c r="F4635" s="366" t="s">
        <v>2457</v>
      </c>
      <c r="G4635" s="46" t="s">
        <v>17</v>
      </c>
      <c r="H4635" s="46">
        <v>1</v>
      </c>
      <c r="I4635" s="51">
        <v>4622.28</v>
      </c>
      <c r="J4635" s="281">
        <f>++Tabla4[[#This Row],[Precio Bruto]]*1.16</f>
        <v>5361.8447999999989</v>
      </c>
      <c r="K4635" s="281">
        <f>+Tabla4[[#This Row],[Precio Unitario Neto]]*Tabla4[[#Headers],[20.85%]]</f>
        <v>1117.9446407999997</v>
      </c>
      <c r="L4635" s="282">
        <f>++Tabla4[[#This Row],[Precio Unitario Neto]]-Tabla4[[#This Row],[20.85%]]</f>
        <v>4243.9001591999995</v>
      </c>
      <c r="M4635" s="282" t="e">
        <f>(INDEX(Tabla6[#All],MATCH(Tabla4[[#This Row],[Producto]],Tabla6[[#All],[PRODUCTO]],0),MATCH(Tabla4[[#This Row],[Mes]],Tabla6[#Headers],0)))*(1+Catalogos!$L$2)</f>
        <v>#N/A</v>
      </c>
      <c r="N4635" s="283" t="e">
        <f>+(Tabla4[[#This Row],[Precio Descontado]]-Tabla4[[#This Row],[Precio Base]])*Tabla4[[#This Row],[Cantidad]]</f>
        <v>#N/A</v>
      </c>
      <c r="O4635" s="284" t="e">
        <f>++Tabla4[[#This Row],[Utilidad Total]]/Tabla4[[#This Row],[Total]]</f>
        <v>#N/A</v>
      </c>
      <c r="P4635" s="282">
        <f>++Tabla4[[#This Row],[Precio Descontado]]*Tabla4[[#This Row],[Cantidad]]</f>
        <v>4243.9001591999995</v>
      </c>
      <c r="Q4635" s="282" t="e">
        <f>(INDEX(Tabla6[#All],MATCH(Tabla4[[#This Row],[Producto]],Tabla6[[#All],[PRODUCTO]],0),MATCH(Tabla4[[#This Row],[Mes]],Tabla6[#Headers],0)))</f>
        <v>#N/A</v>
      </c>
      <c r="R4635" s="282" t="e">
        <f>++Tabla4[[#This Row],[Precio Unitario Neto]]-Tabla4[[#This Row],[20.85%]]-Tabla4[[#This Row],[Costo]]</f>
        <v>#N/A</v>
      </c>
      <c r="S4635" s="282" t="e">
        <f>++Tabla4[[#This Row],[U. Bruta Uni]]*Tabla4[[#This Row],[Cantidad]]</f>
        <v>#N/A</v>
      </c>
      <c r="T4635" s="369" t="str">
        <f>VLOOKUP(Tabla4[[#This Row],[Producto]],Tabla6[#All],14,FALSE)</f>
        <v>Termico Solar</v>
      </c>
      <c r="U4635" s="284" t="e">
        <f>(IF(Tabla4[[#This Row],[Familia]]="termico solar",Tabla4[[#This Row],[Utilidad Total]]*6%,Tabla4[[#This Row],[Utilidad Total]]*11.5%))/Tabla4[[#This Row],[Total]]</f>
        <v>#N/A</v>
      </c>
      <c r="V4635" s="282" t="e">
        <f>+Tabla4[[#This Row],[Comisión Calculada]]*Tabla4[[#This Row],[Total]]</f>
        <v>#N/A</v>
      </c>
    </row>
    <row r="4636" spans="1:22" hidden="1" x14ac:dyDescent="0.25">
      <c r="A4636" s="100">
        <v>45853</v>
      </c>
      <c r="B4636" t="str">
        <f t="shared" si="232"/>
        <v>July</v>
      </c>
      <c r="C4636" s="46" t="s">
        <v>280</v>
      </c>
      <c r="F4636" s="366" t="s">
        <v>2458</v>
      </c>
      <c r="G4636" s="46" t="s">
        <v>83</v>
      </c>
      <c r="H4636" s="46">
        <v>2</v>
      </c>
      <c r="I4636" s="51">
        <v>8858.76</v>
      </c>
      <c r="J4636" s="281">
        <f>++Tabla4[[#This Row],[Precio Bruto]]*1.16</f>
        <v>10276.161599999999</v>
      </c>
      <c r="K4636" s="281">
        <f>+Tabla4[[#This Row],[Precio Unitario Neto]]*Tabla4[[#Headers],[20.85%]]</f>
        <v>2142.5796935999997</v>
      </c>
      <c r="L4636" s="282">
        <f>++Tabla4[[#This Row],[Precio Unitario Neto]]-Tabla4[[#This Row],[20.85%]]</f>
        <v>8133.5819063999998</v>
      </c>
      <c r="M4636" s="282" t="e">
        <f>(INDEX(Tabla6[#All],MATCH(Tabla4[[#This Row],[Producto]],Tabla6[[#All],[PRODUCTO]],0),MATCH(Tabla4[[#This Row],[Mes]],Tabla6[#Headers],0)))*(1+Catalogos!$L$2)</f>
        <v>#N/A</v>
      </c>
      <c r="N4636" s="283" t="e">
        <f>+(Tabla4[[#This Row],[Precio Descontado]]-Tabla4[[#This Row],[Precio Base]])*Tabla4[[#This Row],[Cantidad]]</f>
        <v>#N/A</v>
      </c>
      <c r="O4636" s="284" t="e">
        <f>++Tabla4[[#This Row],[Utilidad Total]]/Tabla4[[#This Row],[Total]]</f>
        <v>#N/A</v>
      </c>
      <c r="P4636" s="282">
        <f>++Tabla4[[#This Row],[Precio Descontado]]*Tabla4[[#This Row],[Cantidad]]</f>
        <v>16267.1638128</v>
      </c>
      <c r="Q4636" s="282" t="e">
        <f>(INDEX(Tabla6[#All],MATCH(Tabla4[[#This Row],[Producto]],Tabla6[[#All],[PRODUCTO]],0),MATCH(Tabla4[[#This Row],[Mes]],Tabla6[#Headers],0)))</f>
        <v>#N/A</v>
      </c>
      <c r="R4636" s="282" t="e">
        <f>++Tabla4[[#This Row],[Precio Unitario Neto]]-Tabla4[[#This Row],[20.85%]]-Tabla4[[#This Row],[Costo]]</f>
        <v>#N/A</v>
      </c>
      <c r="S4636" s="282" t="e">
        <f>++Tabla4[[#This Row],[U. Bruta Uni]]*Tabla4[[#This Row],[Cantidad]]</f>
        <v>#N/A</v>
      </c>
      <c r="T4636" s="369" t="str">
        <f>VLOOKUP(Tabla4[[#This Row],[Producto]],Tabla6[#All],14,FALSE)</f>
        <v>Termico Solar</v>
      </c>
      <c r="U4636" s="284" t="e">
        <f>(IF(Tabla4[[#This Row],[Familia]]="termico solar",Tabla4[[#This Row],[Utilidad Total]]*6%,Tabla4[[#This Row],[Utilidad Total]]*11.5%))/Tabla4[[#This Row],[Total]]</f>
        <v>#N/A</v>
      </c>
      <c r="V4636" s="282" t="e">
        <f>+Tabla4[[#This Row],[Comisión Calculada]]*Tabla4[[#This Row],[Total]]</f>
        <v>#N/A</v>
      </c>
    </row>
    <row r="4637" spans="1:22" hidden="1" x14ac:dyDescent="0.25">
      <c r="A4637" s="100">
        <v>45853</v>
      </c>
      <c r="B4637" t="str">
        <f t="shared" si="232"/>
        <v>July</v>
      </c>
      <c r="C4637" s="46" t="s">
        <v>280</v>
      </c>
      <c r="F4637" s="366" t="s">
        <v>2458</v>
      </c>
      <c r="G4637" s="46" t="s">
        <v>17</v>
      </c>
      <c r="H4637" s="46">
        <v>1</v>
      </c>
      <c r="I4637" s="51">
        <v>4622.28</v>
      </c>
      <c r="J4637" s="281">
        <f>++Tabla4[[#This Row],[Precio Bruto]]*1.16</f>
        <v>5361.8447999999989</v>
      </c>
      <c r="K4637" s="281">
        <f>+Tabla4[[#This Row],[Precio Unitario Neto]]*Tabla4[[#Headers],[20.85%]]</f>
        <v>1117.9446407999997</v>
      </c>
      <c r="L4637" s="282">
        <f>++Tabla4[[#This Row],[Precio Unitario Neto]]-Tabla4[[#This Row],[20.85%]]</f>
        <v>4243.9001591999995</v>
      </c>
      <c r="M4637" s="282" t="e">
        <f>(INDEX(Tabla6[#All],MATCH(Tabla4[[#This Row],[Producto]],Tabla6[[#All],[PRODUCTO]],0),MATCH(Tabla4[[#This Row],[Mes]],Tabla6[#Headers],0)))*(1+Catalogos!$L$2)</f>
        <v>#N/A</v>
      </c>
      <c r="N4637" s="283" t="e">
        <f>+(Tabla4[[#This Row],[Precio Descontado]]-Tabla4[[#This Row],[Precio Base]])*Tabla4[[#This Row],[Cantidad]]</f>
        <v>#N/A</v>
      </c>
      <c r="O4637" s="284" t="e">
        <f>++Tabla4[[#This Row],[Utilidad Total]]/Tabla4[[#This Row],[Total]]</f>
        <v>#N/A</v>
      </c>
      <c r="P4637" s="282">
        <f>++Tabla4[[#This Row],[Precio Descontado]]*Tabla4[[#This Row],[Cantidad]]</f>
        <v>4243.9001591999995</v>
      </c>
      <c r="Q4637" s="282" t="e">
        <f>(INDEX(Tabla6[#All],MATCH(Tabla4[[#This Row],[Producto]],Tabla6[[#All],[PRODUCTO]],0),MATCH(Tabla4[[#This Row],[Mes]],Tabla6[#Headers],0)))</f>
        <v>#N/A</v>
      </c>
      <c r="R4637" s="282" t="e">
        <f>++Tabla4[[#This Row],[Precio Unitario Neto]]-Tabla4[[#This Row],[20.85%]]-Tabla4[[#This Row],[Costo]]</f>
        <v>#N/A</v>
      </c>
      <c r="S4637" s="282" t="e">
        <f>++Tabla4[[#This Row],[U. Bruta Uni]]*Tabla4[[#This Row],[Cantidad]]</f>
        <v>#N/A</v>
      </c>
      <c r="T4637" s="369" t="str">
        <f>VLOOKUP(Tabla4[[#This Row],[Producto]],Tabla6[#All],14,FALSE)</f>
        <v>Termico Solar</v>
      </c>
      <c r="U4637" s="284" t="e">
        <f>(IF(Tabla4[[#This Row],[Familia]]="termico solar",Tabla4[[#This Row],[Utilidad Total]]*6%,Tabla4[[#This Row],[Utilidad Total]]*11.5%))/Tabla4[[#This Row],[Total]]</f>
        <v>#N/A</v>
      </c>
      <c r="V4637" s="282" t="e">
        <f>+Tabla4[[#This Row],[Comisión Calculada]]*Tabla4[[#This Row],[Total]]</f>
        <v>#N/A</v>
      </c>
    </row>
    <row r="4638" spans="1:22" hidden="1" x14ac:dyDescent="0.25">
      <c r="A4638" s="100">
        <v>45853</v>
      </c>
      <c r="B4638" t="str">
        <f t="shared" si="232"/>
        <v>July</v>
      </c>
      <c r="C4638" s="46" t="s">
        <v>280</v>
      </c>
      <c r="F4638" s="366" t="s">
        <v>2458</v>
      </c>
      <c r="G4638" s="46" t="s">
        <v>18</v>
      </c>
      <c r="H4638" s="46">
        <v>1</v>
      </c>
      <c r="I4638" s="51">
        <v>5367.65</v>
      </c>
      <c r="J4638" s="281">
        <f>++Tabla4[[#This Row],[Precio Bruto]]*1.16</f>
        <v>6226.4739999999993</v>
      </c>
      <c r="K4638" s="281">
        <f>+Tabla4[[#This Row],[Precio Unitario Neto]]*Tabla4[[#Headers],[20.85%]]</f>
        <v>1298.2198289999999</v>
      </c>
      <c r="L4638" s="282">
        <f>++Tabla4[[#This Row],[Precio Unitario Neto]]-Tabla4[[#This Row],[20.85%]]</f>
        <v>4928.2541709999996</v>
      </c>
      <c r="M4638" s="282" t="e">
        <f>(INDEX(Tabla6[#All],MATCH(Tabla4[[#This Row],[Producto]],Tabla6[[#All],[PRODUCTO]],0),MATCH(Tabla4[[#This Row],[Mes]],Tabla6[#Headers],0)))*(1+Catalogos!$L$2)</f>
        <v>#N/A</v>
      </c>
      <c r="N4638" s="283" t="e">
        <f>+(Tabla4[[#This Row],[Precio Descontado]]-Tabla4[[#This Row],[Precio Base]])*Tabla4[[#This Row],[Cantidad]]</f>
        <v>#N/A</v>
      </c>
      <c r="O4638" s="284" t="e">
        <f>++Tabla4[[#This Row],[Utilidad Total]]/Tabla4[[#This Row],[Total]]</f>
        <v>#N/A</v>
      </c>
      <c r="P4638" s="282">
        <f>++Tabla4[[#This Row],[Precio Descontado]]*Tabla4[[#This Row],[Cantidad]]</f>
        <v>4928.2541709999996</v>
      </c>
      <c r="Q4638" s="282" t="e">
        <f>(INDEX(Tabla6[#All],MATCH(Tabla4[[#This Row],[Producto]],Tabla6[[#All],[PRODUCTO]],0),MATCH(Tabla4[[#This Row],[Mes]],Tabla6[#Headers],0)))</f>
        <v>#N/A</v>
      </c>
      <c r="R4638" s="282" t="e">
        <f>++Tabla4[[#This Row],[Precio Unitario Neto]]-Tabla4[[#This Row],[20.85%]]-Tabla4[[#This Row],[Costo]]</f>
        <v>#N/A</v>
      </c>
      <c r="S4638" s="282" t="e">
        <f>++Tabla4[[#This Row],[U. Bruta Uni]]*Tabla4[[#This Row],[Cantidad]]</f>
        <v>#N/A</v>
      </c>
      <c r="T4638" s="369" t="str">
        <f>VLOOKUP(Tabla4[[#This Row],[Producto]],Tabla6[#All],14,FALSE)</f>
        <v>Termico Solar</v>
      </c>
      <c r="U4638" s="284" t="e">
        <f>(IF(Tabla4[[#This Row],[Familia]]="termico solar",Tabla4[[#This Row],[Utilidad Total]]*6%,Tabla4[[#This Row],[Utilidad Total]]*11.5%))/Tabla4[[#This Row],[Total]]</f>
        <v>#N/A</v>
      </c>
      <c r="V4638" s="282" t="e">
        <f>+Tabla4[[#This Row],[Comisión Calculada]]*Tabla4[[#This Row],[Total]]</f>
        <v>#N/A</v>
      </c>
    </row>
    <row r="4639" spans="1:22" hidden="1" x14ac:dyDescent="0.25">
      <c r="A4639" s="100">
        <v>45853</v>
      </c>
      <c r="B4639" t="str">
        <f t="shared" ref="B4639:B4668" si="233">TEXT(A4639, "mmmm")</f>
        <v>July</v>
      </c>
      <c r="C4639" s="46" t="s">
        <v>280</v>
      </c>
      <c r="F4639" s="366" t="s">
        <v>2458</v>
      </c>
      <c r="G4639" s="46" t="s">
        <v>208</v>
      </c>
      <c r="H4639" s="46">
        <v>1</v>
      </c>
      <c r="I4639" s="51">
        <v>189.75</v>
      </c>
      <c r="J4639" s="281">
        <f>++Tabla4[[#This Row],[Precio Bruto]]*1.16</f>
        <v>220.10999999999999</v>
      </c>
      <c r="K4639" s="281">
        <f>+Tabla4[[#This Row],[Precio Unitario Neto]]*Tabla4[[#Headers],[20.85%]]</f>
        <v>45.892934999999994</v>
      </c>
      <c r="L4639" s="282">
        <f>++Tabla4[[#This Row],[Precio Unitario Neto]]-Tabla4[[#This Row],[20.85%]]</f>
        <v>174.21706499999999</v>
      </c>
      <c r="M4639" s="282" t="e">
        <f>(INDEX(Tabla6[#All],MATCH(Tabla4[[#This Row],[Producto]],Tabla6[[#All],[PRODUCTO]],0),MATCH(Tabla4[[#This Row],[Mes]],Tabla6[#Headers],0)))*(1+Catalogos!$L$2)</f>
        <v>#N/A</v>
      </c>
      <c r="N4639" s="283" t="e">
        <f>+(Tabla4[[#This Row],[Precio Descontado]]-Tabla4[[#This Row],[Precio Base]])*Tabla4[[#This Row],[Cantidad]]</f>
        <v>#N/A</v>
      </c>
      <c r="O4639" s="284" t="e">
        <f>++Tabla4[[#This Row],[Utilidad Total]]/Tabla4[[#This Row],[Total]]</f>
        <v>#N/A</v>
      </c>
      <c r="P4639" s="282">
        <f>++Tabla4[[#This Row],[Precio Descontado]]*Tabla4[[#This Row],[Cantidad]]</f>
        <v>174.21706499999999</v>
      </c>
      <c r="Q4639" s="282" t="e">
        <f>(INDEX(Tabla6[#All],MATCH(Tabla4[[#This Row],[Producto]],Tabla6[[#All],[PRODUCTO]],0),MATCH(Tabla4[[#This Row],[Mes]],Tabla6[#Headers],0)))</f>
        <v>#N/A</v>
      </c>
      <c r="R4639" s="282" t="e">
        <f>++Tabla4[[#This Row],[Precio Unitario Neto]]-Tabla4[[#This Row],[20.85%]]-Tabla4[[#This Row],[Costo]]</f>
        <v>#N/A</v>
      </c>
      <c r="S4639" s="282" t="e">
        <f>++Tabla4[[#This Row],[U. Bruta Uni]]*Tabla4[[#This Row],[Cantidad]]</f>
        <v>#N/A</v>
      </c>
      <c r="T4639" s="369" t="str">
        <f>VLOOKUP(Tabla4[[#This Row],[Producto]],Tabla6[#All],14,FALSE)</f>
        <v>Termico Solar</v>
      </c>
      <c r="U4639" s="284" t="e">
        <f>(IF(Tabla4[[#This Row],[Familia]]="termico solar",Tabla4[[#This Row],[Utilidad Total]]*6%,Tabla4[[#This Row],[Utilidad Total]]*11.5%))/Tabla4[[#This Row],[Total]]</f>
        <v>#N/A</v>
      </c>
      <c r="V4639" s="282" t="e">
        <f>+Tabla4[[#This Row],[Comisión Calculada]]*Tabla4[[#This Row],[Total]]</f>
        <v>#N/A</v>
      </c>
    </row>
    <row r="4640" spans="1:22" hidden="1" x14ac:dyDescent="0.25">
      <c r="A4640" s="100">
        <v>45853</v>
      </c>
      <c r="B4640" t="str">
        <f t="shared" si="233"/>
        <v>July</v>
      </c>
      <c r="C4640" s="46" t="s">
        <v>280</v>
      </c>
      <c r="F4640" s="366" t="s">
        <v>2459</v>
      </c>
      <c r="G4640" s="46" t="s">
        <v>394</v>
      </c>
      <c r="H4640" s="46">
        <v>9</v>
      </c>
      <c r="I4640" s="51">
        <v>108.1</v>
      </c>
      <c r="J4640" s="281">
        <f>++Tabla4[[#This Row],[Precio Bruto]]*1.16</f>
        <v>125.39599999999999</v>
      </c>
      <c r="K4640" s="281">
        <f>+Tabla4[[#This Row],[Precio Unitario Neto]]*Tabla4[[#Headers],[20.85%]]</f>
        <v>26.145065999999996</v>
      </c>
      <c r="L4640" s="282">
        <f>++Tabla4[[#This Row],[Precio Unitario Neto]]-Tabla4[[#This Row],[20.85%]]</f>
        <v>99.250933999999987</v>
      </c>
      <c r="M4640" s="282" t="e">
        <f>(INDEX(Tabla6[#All],MATCH(Tabla4[[#This Row],[Producto]],Tabla6[[#All],[PRODUCTO]],0),MATCH(Tabla4[[#This Row],[Mes]],Tabla6[#Headers],0)))*(1+Catalogos!$L$2)</f>
        <v>#N/A</v>
      </c>
      <c r="N4640" s="283" t="e">
        <f>+(Tabla4[[#This Row],[Precio Descontado]]-Tabla4[[#This Row],[Precio Base]])*Tabla4[[#This Row],[Cantidad]]</f>
        <v>#N/A</v>
      </c>
      <c r="O4640" s="284" t="e">
        <f>++Tabla4[[#This Row],[Utilidad Total]]/Tabla4[[#This Row],[Total]]</f>
        <v>#N/A</v>
      </c>
      <c r="P4640" s="282">
        <f>++Tabla4[[#This Row],[Precio Descontado]]*Tabla4[[#This Row],[Cantidad]]</f>
        <v>893.25840599999992</v>
      </c>
      <c r="Q4640" s="282" t="e">
        <f>(INDEX(Tabla6[#All],MATCH(Tabla4[[#This Row],[Producto]],Tabla6[[#All],[PRODUCTO]],0),MATCH(Tabla4[[#This Row],[Mes]],Tabla6[#Headers],0)))</f>
        <v>#N/A</v>
      </c>
      <c r="R4640" s="282" t="e">
        <f>++Tabla4[[#This Row],[Precio Unitario Neto]]-Tabla4[[#This Row],[20.85%]]-Tabla4[[#This Row],[Costo]]</f>
        <v>#N/A</v>
      </c>
      <c r="S4640" s="282" t="e">
        <f>++Tabla4[[#This Row],[U. Bruta Uni]]*Tabla4[[#This Row],[Cantidad]]</f>
        <v>#N/A</v>
      </c>
      <c r="T4640" s="369" t="str">
        <f>VLOOKUP(Tabla4[[#This Row],[Producto]],Tabla6[#All],14,FALSE)</f>
        <v>Termico Solar</v>
      </c>
      <c r="U4640" s="284" t="e">
        <f>(IF(Tabla4[[#This Row],[Familia]]="termico solar",Tabla4[[#This Row],[Utilidad Total]]*6%,Tabla4[[#This Row],[Utilidad Total]]*11.5%))/Tabla4[[#This Row],[Total]]</f>
        <v>#N/A</v>
      </c>
      <c r="V4640" s="282" t="e">
        <f>+Tabla4[[#This Row],[Comisión Calculada]]*Tabla4[[#This Row],[Total]]</f>
        <v>#N/A</v>
      </c>
    </row>
    <row r="4641" spans="1:22" hidden="1" x14ac:dyDescent="0.25">
      <c r="A4641" s="100">
        <v>45853</v>
      </c>
      <c r="B4641" t="str">
        <f t="shared" si="233"/>
        <v>July</v>
      </c>
      <c r="C4641" s="46" t="s">
        <v>280</v>
      </c>
      <c r="F4641" s="366" t="s">
        <v>2459</v>
      </c>
      <c r="G4641" s="46" t="s">
        <v>208</v>
      </c>
      <c r="H4641" s="46">
        <v>1</v>
      </c>
      <c r="I4641" s="51">
        <v>189.75</v>
      </c>
      <c r="J4641" s="281">
        <f>++Tabla4[[#This Row],[Precio Bruto]]*1.16</f>
        <v>220.10999999999999</v>
      </c>
      <c r="K4641" s="281">
        <f>+Tabla4[[#This Row],[Precio Unitario Neto]]*Tabla4[[#Headers],[20.85%]]</f>
        <v>45.892934999999994</v>
      </c>
      <c r="L4641" s="282">
        <f>++Tabla4[[#This Row],[Precio Unitario Neto]]-Tabla4[[#This Row],[20.85%]]</f>
        <v>174.21706499999999</v>
      </c>
      <c r="M4641" s="282" t="e">
        <f>(INDEX(Tabla6[#All],MATCH(Tabla4[[#This Row],[Producto]],Tabla6[[#All],[PRODUCTO]],0),MATCH(Tabla4[[#This Row],[Mes]],Tabla6[#Headers],0)))*(1+Catalogos!$L$2)</f>
        <v>#N/A</v>
      </c>
      <c r="N4641" s="283" t="e">
        <f>+(Tabla4[[#This Row],[Precio Descontado]]-Tabla4[[#This Row],[Precio Base]])*Tabla4[[#This Row],[Cantidad]]</f>
        <v>#N/A</v>
      </c>
      <c r="O4641" s="284" t="e">
        <f>++Tabla4[[#This Row],[Utilidad Total]]/Tabla4[[#This Row],[Total]]</f>
        <v>#N/A</v>
      </c>
      <c r="P4641" s="282">
        <f>++Tabla4[[#This Row],[Precio Descontado]]*Tabla4[[#This Row],[Cantidad]]</f>
        <v>174.21706499999999</v>
      </c>
      <c r="Q4641" s="282" t="e">
        <f>(INDEX(Tabla6[#All],MATCH(Tabla4[[#This Row],[Producto]],Tabla6[[#All],[PRODUCTO]],0),MATCH(Tabla4[[#This Row],[Mes]],Tabla6[#Headers],0)))</f>
        <v>#N/A</v>
      </c>
      <c r="R4641" s="282" t="e">
        <f>++Tabla4[[#This Row],[Precio Unitario Neto]]-Tabla4[[#This Row],[20.85%]]-Tabla4[[#This Row],[Costo]]</f>
        <v>#N/A</v>
      </c>
      <c r="S4641" s="282" t="e">
        <f>++Tabla4[[#This Row],[U. Bruta Uni]]*Tabla4[[#This Row],[Cantidad]]</f>
        <v>#N/A</v>
      </c>
      <c r="T4641" s="369" t="str">
        <f>VLOOKUP(Tabla4[[#This Row],[Producto]],Tabla6[#All],14,FALSE)</f>
        <v>Termico Solar</v>
      </c>
      <c r="U4641" s="284" t="e">
        <f>(IF(Tabla4[[#This Row],[Familia]]="termico solar",Tabla4[[#This Row],[Utilidad Total]]*6%,Tabla4[[#This Row],[Utilidad Total]]*11.5%))/Tabla4[[#This Row],[Total]]</f>
        <v>#N/A</v>
      </c>
      <c r="V4641" s="282" t="e">
        <f>+Tabla4[[#This Row],[Comisión Calculada]]*Tabla4[[#This Row],[Total]]</f>
        <v>#N/A</v>
      </c>
    </row>
    <row r="4642" spans="1:22" hidden="1" x14ac:dyDescent="0.25">
      <c r="A4642" s="100">
        <v>45853</v>
      </c>
      <c r="B4642" t="str">
        <f t="shared" si="233"/>
        <v>July</v>
      </c>
      <c r="C4642" s="46" t="s">
        <v>280</v>
      </c>
      <c r="F4642" s="366" t="s">
        <v>2460</v>
      </c>
      <c r="G4642" s="46" t="s">
        <v>83</v>
      </c>
      <c r="H4642" s="46">
        <v>2</v>
      </c>
      <c r="I4642" s="51">
        <v>8858.76</v>
      </c>
      <c r="J4642" s="281">
        <f>++Tabla4[[#This Row],[Precio Bruto]]*1.16</f>
        <v>10276.161599999999</v>
      </c>
      <c r="K4642" s="281">
        <f>+Tabla4[[#This Row],[Precio Unitario Neto]]*Tabla4[[#Headers],[20.85%]]</f>
        <v>2142.5796935999997</v>
      </c>
      <c r="L4642" s="282">
        <f>++Tabla4[[#This Row],[Precio Unitario Neto]]-Tabla4[[#This Row],[20.85%]]</f>
        <v>8133.5819063999998</v>
      </c>
      <c r="M4642" s="282" t="e">
        <f>(INDEX(Tabla6[#All],MATCH(Tabla4[[#This Row],[Producto]],Tabla6[[#All],[PRODUCTO]],0),MATCH(Tabla4[[#This Row],[Mes]],Tabla6[#Headers],0)))*(1+Catalogos!$L$2)</f>
        <v>#N/A</v>
      </c>
      <c r="N4642" s="283" t="e">
        <f>+(Tabla4[[#This Row],[Precio Descontado]]-Tabla4[[#This Row],[Precio Base]])*Tabla4[[#This Row],[Cantidad]]</f>
        <v>#N/A</v>
      </c>
      <c r="O4642" s="284" t="e">
        <f>++Tabla4[[#This Row],[Utilidad Total]]/Tabla4[[#This Row],[Total]]</f>
        <v>#N/A</v>
      </c>
      <c r="P4642" s="282">
        <f>++Tabla4[[#This Row],[Precio Descontado]]*Tabla4[[#This Row],[Cantidad]]</f>
        <v>16267.1638128</v>
      </c>
      <c r="Q4642" s="282" t="e">
        <f>(INDEX(Tabla6[#All],MATCH(Tabla4[[#This Row],[Producto]],Tabla6[[#All],[PRODUCTO]],0),MATCH(Tabla4[[#This Row],[Mes]],Tabla6[#Headers],0)))</f>
        <v>#N/A</v>
      </c>
      <c r="R4642" s="282" t="e">
        <f>++Tabla4[[#This Row],[Precio Unitario Neto]]-Tabla4[[#This Row],[20.85%]]-Tabla4[[#This Row],[Costo]]</f>
        <v>#N/A</v>
      </c>
      <c r="S4642" s="282" t="e">
        <f>++Tabla4[[#This Row],[U. Bruta Uni]]*Tabla4[[#This Row],[Cantidad]]</f>
        <v>#N/A</v>
      </c>
      <c r="T4642" s="369" t="str">
        <f>VLOOKUP(Tabla4[[#This Row],[Producto]],Tabla6[#All],14,FALSE)</f>
        <v>Termico Solar</v>
      </c>
      <c r="U4642" s="284" t="e">
        <f>(IF(Tabla4[[#This Row],[Familia]]="termico solar",Tabla4[[#This Row],[Utilidad Total]]*6%,Tabla4[[#This Row],[Utilidad Total]]*11.5%))/Tabla4[[#This Row],[Total]]</f>
        <v>#N/A</v>
      </c>
      <c r="V4642" s="282" t="e">
        <f>+Tabla4[[#This Row],[Comisión Calculada]]*Tabla4[[#This Row],[Total]]</f>
        <v>#N/A</v>
      </c>
    </row>
    <row r="4643" spans="1:22" hidden="1" x14ac:dyDescent="0.25">
      <c r="A4643" s="100">
        <v>45853</v>
      </c>
      <c r="B4643" t="str">
        <f t="shared" si="233"/>
        <v>July</v>
      </c>
      <c r="C4643" s="46" t="s">
        <v>280</v>
      </c>
      <c r="F4643" s="366" t="s">
        <v>2460</v>
      </c>
      <c r="G4643" s="46" t="s">
        <v>17</v>
      </c>
      <c r="H4643" s="46">
        <v>1</v>
      </c>
      <c r="I4643" s="51">
        <v>4622.28</v>
      </c>
      <c r="J4643" s="281">
        <f>++Tabla4[[#This Row],[Precio Bruto]]*1.16</f>
        <v>5361.8447999999989</v>
      </c>
      <c r="K4643" s="281">
        <f>+Tabla4[[#This Row],[Precio Unitario Neto]]*Tabla4[[#Headers],[20.85%]]</f>
        <v>1117.9446407999997</v>
      </c>
      <c r="L4643" s="282">
        <f>++Tabla4[[#This Row],[Precio Unitario Neto]]-Tabla4[[#This Row],[20.85%]]</f>
        <v>4243.9001591999995</v>
      </c>
      <c r="M4643" s="282" t="e">
        <f>(INDEX(Tabla6[#All],MATCH(Tabla4[[#This Row],[Producto]],Tabla6[[#All],[PRODUCTO]],0),MATCH(Tabla4[[#This Row],[Mes]],Tabla6[#Headers],0)))*(1+Catalogos!$L$2)</f>
        <v>#N/A</v>
      </c>
      <c r="N4643" s="283" t="e">
        <f>+(Tabla4[[#This Row],[Precio Descontado]]-Tabla4[[#This Row],[Precio Base]])*Tabla4[[#This Row],[Cantidad]]</f>
        <v>#N/A</v>
      </c>
      <c r="O4643" s="284" t="e">
        <f>++Tabla4[[#This Row],[Utilidad Total]]/Tabla4[[#This Row],[Total]]</f>
        <v>#N/A</v>
      </c>
      <c r="P4643" s="282">
        <f>++Tabla4[[#This Row],[Precio Descontado]]*Tabla4[[#This Row],[Cantidad]]</f>
        <v>4243.9001591999995</v>
      </c>
      <c r="Q4643" s="282" t="e">
        <f>(INDEX(Tabla6[#All],MATCH(Tabla4[[#This Row],[Producto]],Tabla6[[#All],[PRODUCTO]],0),MATCH(Tabla4[[#This Row],[Mes]],Tabla6[#Headers],0)))</f>
        <v>#N/A</v>
      </c>
      <c r="R4643" s="282" t="e">
        <f>++Tabla4[[#This Row],[Precio Unitario Neto]]-Tabla4[[#This Row],[20.85%]]-Tabla4[[#This Row],[Costo]]</f>
        <v>#N/A</v>
      </c>
      <c r="S4643" s="282" t="e">
        <f>++Tabla4[[#This Row],[U. Bruta Uni]]*Tabla4[[#This Row],[Cantidad]]</f>
        <v>#N/A</v>
      </c>
      <c r="T4643" s="369" t="str">
        <f>VLOOKUP(Tabla4[[#This Row],[Producto]],Tabla6[#All],14,FALSE)</f>
        <v>Termico Solar</v>
      </c>
      <c r="U4643" s="284" t="e">
        <f>(IF(Tabla4[[#This Row],[Familia]]="termico solar",Tabla4[[#This Row],[Utilidad Total]]*6%,Tabla4[[#This Row],[Utilidad Total]]*11.5%))/Tabla4[[#This Row],[Total]]</f>
        <v>#N/A</v>
      </c>
      <c r="V4643" s="282" t="e">
        <f>+Tabla4[[#This Row],[Comisión Calculada]]*Tabla4[[#This Row],[Total]]</f>
        <v>#N/A</v>
      </c>
    </row>
    <row r="4644" spans="1:22" hidden="1" x14ac:dyDescent="0.25">
      <c r="A4644" s="100">
        <v>45853</v>
      </c>
      <c r="B4644" t="str">
        <f t="shared" si="233"/>
        <v>July</v>
      </c>
      <c r="C4644" s="46" t="s">
        <v>280</v>
      </c>
      <c r="F4644" s="366" t="s">
        <v>2460</v>
      </c>
      <c r="G4644" s="46" t="s">
        <v>16</v>
      </c>
      <c r="H4644" s="46">
        <v>1</v>
      </c>
      <c r="I4644" s="51">
        <v>4103.8500000000004</v>
      </c>
      <c r="J4644" s="281">
        <f>++Tabla4[[#This Row],[Precio Bruto]]*1.16</f>
        <v>4760.4660000000003</v>
      </c>
      <c r="K4644" s="281">
        <f>+Tabla4[[#This Row],[Precio Unitario Neto]]*Tabla4[[#Headers],[20.85%]]</f>
        <v>992.55716100000006</v>
      </c>
      <c r="L4644" s="282">
        <f>++Tabla4[[#This Row],[Precio Unitario Neto]]-Tabla4[[#This Row],[20.85%]]</f>
        <v>3767.9088390000002</v>
      </c>
      <c r="M4644" s="282" t="e">
        <f>(INDEX(Tabla6[#All],MATCH(Tabla4[[#This Row],[Producto]],Tabla6[[#All],[PRODUCTO]],0),MATCH(Tabla4[[#This Row],[Mes]],Tabla6[#Headers],0)))*(1+Catalogos!$L$2)</f>
        <v>#N/A</v>
      </c>
      <c r="N4644" s="283" t="e">
        <f>+(Tabla4[[#This Row],[Precio Descontado]]-Tabla4[[#This Row],[Precio Base]])*Tabla4[[#This Row],[Cantidad]]</f>
        <v>#N/A</v>
      </c>
      <c r="O4644" s="284" t="e">
        <f>++Tabla4[[#This Row],[Utilidad Total]]/Tabla4[[#This Row],[Total]]</f>
        <v>#N/A</v>
      </c>
      <c r="P4644" s="282">
        <f>++Tabla4[[#This Row],[Precio Descontado]]*Tabla4[[#This Row],[Cantidad]]</f>
        <v>3767.9088390000002</v>
      </c>
      <c r="Q4644" s="282" t="e">
        <f>(INDEX(Tabla6[#All],MATCH(Tabla4[[#This Row],[Producto]],Tabla6[[#All],[PRODUCTO]],0),MATCH(Tabla4[[#This Row],[Mes]],Tabla6[#Headers],0)))</f>
        <v>#N/A</v>
      </c>
      <c r="R4644" s="282" t="e">
        <f>++Tabla4[[#This Row],[Precio Unitario Neto]]-Tabla4[[#This Row],[20.85%]]-Tabla4[[#This Row],[Costo]]</f>
        <v>#N/A</v>
      </c>
      <c r="S4644" s="282" t="e">
        <f>++Tabla4[[#This Row],[U. Bruta Uni]]*Tabla4[[#This Row],[Cantidad]]</f>
        <v>#N/A</v>
      </c>
      <c r="T4644" s="369" t="str">
        <f>VLOOKUP(Tabla4[[#This Row],[Producto]],Tabla6[#All],14,FALSE)</f>
        <v>Termico Solar</v>
      </c>
      <c r="U4644" s="284" t="e">
        <f>(IF(Tabla4[[#This Row],[Familia]]="termico solar",Tabla4[[#This Row],[Utilidad Total]]*6%,Tabla4[[#This Row],[Utilidad Total]]*11.5%))/Tabla4[[#This Row],[Total]]</f>
        <v>#N/A</v>
      </c>
      <c r="V4644" s="282" t="e">
        <f>+Tabla4[[#This Row],[Comisión Calculada]]*Tabla4[[#This Row],[Total]]</f>
        <v>#N/A</v>
      </c>
    </row>
    <row r="4645" spans="1:22" hidden="1" x14ac:dyDescent="0.25">
      <c r="A4645" s="100">
        <v>45853</v>
      </c>
      <c r="B4645" t="str">
        <f t="shared" si="233"/>
        <v>July</v>
      </c>
      <c r="C4645" s="46" t="s">
        <v>280</v>
      </c>
      <c r="F4645" s="366" t="s">
        <v>2460</v>
      </c>
      <c r="G4645" s="46" t="s">
        <v>208</v>
      </c>
      <c r="H4645" s="46">
        <v>2</v>
      </c>
      <c r="I4645" s="51">
        <v>189.75</v>
      </c>
      <c r="J4645" s="281">
        <f>++Tabla4[[#This Row],[Precio Bruto]]*1.16</f>
        <v>220.10999999999999</v>
      </c>
      <c r="K4645" s="281">
        <f>+Tabla4[[#This Row],[Precio Unitario Neto]]*Tabla4[[#Headers],[20.85%]]</f>
        <v>45.892934999999994</v>
      </c>
      <c r="L4645" s="282">
        <f>++Tabla4[[#This Row],[Precio Unitario Neto]]-Tabla4[[#This Row],[20.85%]]</f>
        <v>174.21706499999999</v>
      </c>
      <c r="M4645" s="282" t="e">
        <f>(INDEX(Tabla6[#All],MATCH(Tabla4[[#This Row],[Producto]],Tabla6[[#All],[PRODUCTO]],0),MATCH(Tabla4[[#This Row],[Mes]],Tabla6[#Headers],0)))*(1+Catalogos!$L$2)</f>
        <v>#N/A</v>
      </c>
      <c r="N4645" s="283" t="e">
        <f>+(Tabla4[[#This Row],[Precio Descontado]]-Tabla4[[#This Row],[Precio Base]])*Tabla4[[#This Row],[Cantidad]]</f>
        <v>#N/A</v>
      </c>
      <c r="O4645" s="284" t="e">
        <f>++Tabla4[[#This Row],[Utilidad Total]]/Tabla4[[#This Row],[Total]]</f>
        <v>#N/A</v>
      </c>
      <c r="P4645" s="282">
        <f>++Tabla4[[#This Row],[Precio Descontado]]*Tabla4[[#This Row],[Cantidad]]</f>
        <v>348.43412999999998</v>
      </c>
      <c r="Q4645" s="282" t="e">
        <f>(INDEX(Tabla6[#All],MATCH(Tabla4[[#This Row],[Producto]],Tabla6[[#All],[PRODUCTO]],0),MATCH(Tabla4[[#This Row],[Mes]],Tabla6[#Headers],0)))</f>
        <v>#N/A</v>
      </c>
      <c r="R4645" s="282" t="e">
        <f>++Tabla4[[#This Row],[Precio Unitario Neto]]-Tabla4[[#This Row],[20.85%]]-Tabla4[[#This Row],[Costo]]</f>
        <v>#N/A</v>
      </c>
      <c r="S4645" s="282" t="e">
        <f>++Tabla4[[#This Row],[U. Bruta Uni]]*Tabla4[[#This Row],[Cantidad]]</f>
        <v>#N/A</v>
      </c>
      <c r="T4645" s="369" t="str">
        <f>VLOOKUP(Tabla4[[#This Row],[Producto]],Tabla6[#All],14,FALSE)</f>
        <v>Termico Solar</v>
      </c>
      <c r="U4645" s="284" t="e">
        <f>(IF(Tabla4[[#This Row],[Familia]]="termico solar",Tabla4[[#This Row],[Utilidad Total]]*6%,Tabla4[[#This Row],[Utilidad Total]]*11.5%))/Tabla4[[#This Row],[Total]]</f>
        <v>#N/A</v>
      </c>
      <c r="V4645" s="282" t="e">
        <f>+Tabla4[[#This Row],[Comisión Calculada]]*Tabla4[[#This Row],[Total]]</f>
        <v>#N/A</v>
      </c>
    </row>
    <row r="4646" spans="1:22" hidden="1" x14ac:dyDescent="0.25">
      <c r="A4646" s="100">
        <v>45853</v>
      </c>
      <c r="B4646" t="str">
        <f t="shared" si="233"/>
        <v>July</v>
      </c>
      <c r="C4646" s="46" t="s">
        <v>280</v>
      </c>
      <c r="F4646" s="366" t="s">
        <v>2461</v>
      </c>
      <c r="G4646" s="46" t="s">
        <v>83</v>
      </c>
      <c r="H4646" s="46">
        <v>1</v>
      </c>
      <c r="I4646" s="51">
        <v>8858.76</v>
      </c>
      <c r="J4646" s="281">
        <f>++Tabla4[[#This Row],[Precio Bruto]]*1.16</f>
        <v>10276.161599999999</v>
      </c>
      <c r="K4646" s="281">
        <f>+Tabla4[[#This Row],[Precio Unitario Neto]]*Tabla4[[#Headers],[20.85%]]</f>
        <v>2142.5796935999997</v>
      </c>
      <c r="L4646" s="282">
        <f>++Tabla4[[#This Row],[Precio Unitario Neto]]-Tabla4[[#This Row],[20.85%]]</f>
        <v>8133.5819063999998</v>
      </c>
      <c r="M4646" s="282" t="e">
        <f>(INDEX(Tabla6[#All],MATCH(Tabla4[[#This Row],[Producto]],Tabla6[[#All],[PRODUCTO]],0),MATCH(Tabla4[[#This Row],[Mes]],Tabla6[#Headers],0)))*(1+Catalogos!$L$2)</f>
        <v>#N/A</v>
      </c>
      <c r="N4646" s="283" t="e">
        <f>+(Tabla4[[#This Row],[Precio Descontado]]-Tabla4[[#This Row],[Precio Base]])*Tabla4[[#This Row],[Cantidad]]</f>
        <v>#N/A</v>
      </c>
      <c r="O4646" s="284" t="e">
        <f>++Tabla4[[#This Row],[Utilidad Total]]/Tabla4[[#This Row],[Total]]</f>
        <v>#N/A</v>
      </c>
      <c r="P4646" s="282">
        <f>++Tabla4[[#This Row],[Precio Descontado]]*Tabla4[[#This Row],[Cantidad]]</f>
        <v>8133.5819063999998</v>
      </c>
      <c r="Q4646" s="282" t="e">
        <f>(INDEX(Tabla6[#All],MATCH(Tabla4[[#This Row],[Producto]],Tabla6[[#All],[PRODUCTO]],0),MATCH(Tabla4[[#This Row],[Mes]],Tabla6[#Headers],0)))</f>
        <v>#N/A</v>
      </c>
      <c r="R4646" s="282" t="e">
        <f>++Tabla4[[#This Row],[Precio Unitario Neto]]-Tabla4[[#This Row],[20.85%]]-Tabla4[[#This Row],[Costo]]</f>
        <v>#N/A</v>
      </c>
      <c r="S4646" s="282" t="e">
        <f>++Tabla4[[#This Row],[U. Bruta Uni]]*Tabla4[[#This Row],[Cantidad]]</f>
        <v>#N/A</v>
      </c>
      <c r="T4646" s="369" t="str">
        <f>VLOOKUP(Tabla4[[#This Row],[Producto]],Tabla6[#All],14,FALSE)</f>
        <v>Termico Solar</v>
      </c>
      <c r="U4646" s="284" t="e">
        <f>(IF(Tabla4[[#This Row],[Familia]]="termico solar",Tabla4[[#This Row],[Utilidad Total]]*6%,Tabla4[[#This Row],[Utilidad Total]]*11.5%))/Tabla4[[#This Row],[Total]]</f>
        <v>#N/A</v>
      </c>
      <c r="V4646" s="282" t="e">
        <f>+Tabla4[[#This Row],[Comisión Calculada]]*Tabla4[[#This Row],[Total]]</f>
        <v>#N/A</v>
      </c>
    </row>
    <row r="4647" spans="1:22" hidden="1" x14ac:dyDescent="0.25">
      <c r="A4647" s="100">
        <v>45853</v>
      </c>
      <c r="B4647" t="str">
        <f t="shared" si="233"/>
        <v>July</v>
      </c>
      <c r="C4647" s="46" t="s">
        <v>280</v>
      </c>
      <c r="F4647" s="366" t="s">
        <v>2461</v>
      </c>
      <c r="G4647" s="46" t="s">
        <v>17</v>
      </c>
      <c r="H4647" s="46">
        <v>1</v>
      </c>
      <c r="I4647" s="51">
        <v>4622.28</v>
      </c>
      <c r="J4647" s="281">
        <f>++Tabla4[[#This Row],[Precio Bruto]]*1.16</f>
        <v>5361.8447999999989</v>
      </c>
      <c r="K4647" s="281">
        <f>+Tabla4[[#This Row],[Precio Unitario Neto]]*Tabla4[[#Headers],[20.85%]]</f>
        <v>1117.9446407999997</v>
      </c>
      <c r="L4647" s="282">
        <f>++Tabla4[[#This Row],[Precio Unitario Neto]]-Tabla4[[#This Row],[20.85%]]</f>
        <v>4243.9001591999995</v>
      </c>
      <c r="M4647" s="282" t="e">
        <f>(INDEX(Tabla6[#All],MATCH(Tabla4[[#This Row],[Producto]],Tabla6[[#All],[PRODUCTO]],0),MATCH(Tabla4[[#This Row],[Mes]],Tabla6[#Headers],0)))*(1+Catalogos!$L$2)</f>
        <v>#N/A</v>
      </c>
      <c r="N4647" s="283" t="e">
        <f>+(Tabla4[[#This Row],[Precio Descontado]]-Tabla4[[#This Row],[Precio Base]])*Tabla4[[#This Row],[Cantidad]]</f>
        <v>#N/A</v>
      </c>
      <c r="O4647" s="284" t="e">
        <f>++Tabla4[[#This Row],[Utilidad Total]]/Tabla4[[#This Row],[Total]]</f>
        <v>#N/A</v>
      </c>
      <c r="P4647" s="282">
        <f>++Tabla4[[#This Row],[Precio Descontado]]*Tabla4[[#This Row],[Cantidad]]</f>
        <v>4243.9001591999995</v>
      </c>
      <c r="Q4647" s="282" t="e">
        <f>(INDEX(Tabla6[#All],MATCH(Tabla4[[#This Row],[Producto]],Tabla6[[#All],[PRODUCTO]],0),MATCH(Tabla4[[#This Row],[Mes]],Tabla6[#Headers],0)))</f>
        <v>#N/A</v>
      </c>
      <c r="R4647" s="282" t="e">
        <f>++Tabla4[[#This Row],[Precio Unitario Neto]]-Tabla4[[#This Row],[20.85%]]-Tabla4[[#This Row],[Costo]]</f>
        <v>#N/A</v>
      </c>
      <c r="S4647" s="282" t="e">
        <f>++Tabla4[[#This Row],[U. Bruta Uni]]*Tabla4[[#This Row],[Cantidad]]</f>
        <v>#N/A</v>
      </c>
      <c r="T4647" s="369" t="str">
        <f>VLOOKUP(Tabla4[[#This Row],[Producto]],Tabla6[#All],14,FALSE)</f>
        <v>Termico Solar</v>
      </c>
      <c r="U4647" s="284" t="e">
        <f>(IF(Tabla4[[#This Row],[Familia]]="termico solar",Tabla4[[#This Row],[Utilidad Total]]*6%,Tabla4[[#This Row],[Utilidad Total]]*11.5%))/Tabla4[[#This Row],[Total]]</f>
        <v>#N/A</v>
      </c>
      <c r="V4647" s="282" t="e">
        <f>+Tabla4[[#This Row],[Comisión Calculada]]*Tabla4[[#This Row],[Total]]</f>
        <v>#N/A</v>
      </c>
    </row>
    <row r="4648" spans="1:22" hidden="1" x14ac:dyDescent="0.25">
      <c r="A4648" s="100">
        <v>45853</v>
      </c>
      <c r="B4648" t="str">
        <f t="shared" si="233"/>
        <v>July</v>
      </c>
      <c r="C4648" s="46" t="s">
        <v>280</v>
      </c>
      <c r="F4648" s="366" t="s">
        <v>2462</v>
      </c>
      <c r="G4648" s="46" t="s">
        <v>17</v>
      </c>
      <c r="H4648" s="46">
        <v>4</v>
      </c>
      <c r="I4648" s="51">
        <v>4622.28</v>
      </c>
      <c r="J4648" s="281">
        <f>++Tabla4[[#This Row],[Precio Bruto]]*1.16</f>
        <v>5361.8447999999989</v>
      </c>
      <c r="K4648" s="281">
        <f>+Tabla4[[#This Row],[Precio Unitario Neto]]*Tabla4[[#Headers],[20.85%]]</f>
        <v>1117.9446407999997</v>
      </c>
      <c r="L4648" s="282">
        <f>++Tabla4[[#This Row],[Precio Unitario Neto]]-Tabla4[[#This Row],[20.85%]]</f>
        <v>4243.9001591999995</v>
      </c>
      <c r="M4648" s="282" t="e">
        <f>(INDEX(Tabla6[#All],MATCH(Tabla4[[#This Row],[Producto]],Tabla6[[#All],[PRODUCTO]],0),MATCH(Tabla4[[#This Row],[Mes]],Tabla6[#Headers],0)))*(1+Catalogos!$L$2)</f>
        <v>#N/A</v>
      </c>
      <c r="N4648" s="283" t="e">
        <f>+(Tabla4[[#This Row],[Precio Descontado]]-Tabla4[[#This Row],[Precio Base]])*Tabla4[[#This Row],[Cantidad]]</f>
        <v>#N/A</v>
      </c>
      <c r="O4648" s="284" t="e">
        <f>++Tabla4[[#This Row],[Utilidad Total]]/Tabla4[[#This Row],[Total]]</f>
        <v>#N/A</v>
      </c>
      <c r="P4648" s="282">
        <f>++Tabla4[[#This Row],[Precio Descontado]]*Tabla4[[#This Row],[Cantidad]]</f>
        <v>16975.600636799998</v>
      </c>
      <c r="Q4648" s="282" t="e">
        <f>(INDEX(Tabla6[#All],MATCH(Tabla4[[#This Row],[Producto]],Tabla6[[#All],[PRODUCTO]],0),MATCH(Tabla4[[#This Row],[Mes]],Tabla6[#Headers],0)))</f>
        <v>#N/A</v>
      </c>
      <c r="R4648" s="282" t="e">
        <f>++Tabla4[[#This Row],[Precio Unitario Neto]]-Tabla4[[#This Row],[20.85%]]-Tabla4[[#This Row],[Costo]]</f>
        <v>#N/A</v>
      </c>
      <c r="S4648" s="282" t="e">
        <f>++Tabla4[[#This Row],[U. Bruta Uni]]*Tabla4[[#This Row],[Cantidad]]</f>
        <v>#N/A</v>
      </c>
      <c r="T4648" s="369" t="str">
        <f>VLOOKUP(Tabla4[[#This Row],[Producto]],Tabla6[#All],14,FALSE)</f>
        <v>Termico Solar</v>
      </c>
      <c r="U4648" s="284" t="e">
        <f>(IF(Tabla4[[#This Row],[Familia]]="termico solar",Tabla4[[#This Row],[Utilidad Total]]*6%,Tabla4[[#This Row],[Utilidad Total]]*11.5%))/Tabla4[[#This Row],[Total]]</f>
        <v>#N/A</v>
      </c>
      <c r="V4648" s="282" t="e">
        <f>+Tabla4[[#This Row],[Comisión Calculada]]*Tabla4[[#This Row],[Total]]</f>
        <v>#N/A</v>
      </c>
    </row>
    <row r="4649" spans="1:22" hidden="1" x14ac:dyDescent="0.25">
      <c r="A4649" s="100">
        <v>45853</v>
      </c>
      <c r="B4649" t="str">
        <f t="shared" si="233"/>
        <v>July</v>
      </c>
      <c r="C4649" s="46" t="s">
        <v>280</v>
      </c>
      <c r="F4649" s="366" t="s">
        <v>2462</v>
      </c>
      <c r="G4649" s="46" t="s">
        <v>566</v>
      </c>
      <c r="H4649" s="46">
        <v>1</v>
      </c>
      <c r="I4649" s="51">
        <v>2109.4499999999998</v>
      </c>
      <c r="J4649" s="281">
        <f>++Tabla4[[#This Row],[Precio Bruto]]*1.16</f>
        <v>2446.9619999999995</v>
      </c>
      <c r="K4649" s="281">
        <f>+Tabla4[[#This Row],[Precio Unitario Neto]]*Tabla4[[#Headers],[20.85%]]</f>
        <v>510.19157699999988</v>
      </c>
      <c r="L4649" s="282">
        <f>++Tabla4[[#This Row],[Precio Unitario Neto]]-Tabla4[[#This Row],[20.85%]]</f>
        <v>1936.7704229999997</v>
      </c>
      <c r="M4649" s="282" t="e">
        <f>(INDEX(Tabla6[#All],MATCH(Tabla4[[#This Row],[Producto]],Tabla6[[#All],[PRODUCTO]],0),MATCH(Tabla4[[#This Row],[Mes]],Tabla6[#Headers],0)))*(1+Catalogos!$L$2)</f>
        <v>#N/A</v>
      </c>
      <c r="N4649" s="283" t="e">
        <f>+(Tabla4[[#This Row],[Precio Descontado]]-Tabla4[[#This Row],[Precio Base]])*Tabla4[[#This Row],[Cantidad]]</f>
        <v>#N/A</v>
      </c>
      <c r="O4649" s="284" t="e">
        <f>++Tabla4[[#This Row],[Utilidad Total]]/Tabla4[[#This Row],[Total]]</f>
        <v>#N/A</v>
      </c>
      <c r="P4649" s="282">
        <f>++Tabla4[[#This Row],[Precio Descontado]]*Tabla4[[#This Row],[Cantidad]]</f>
        <v>1936.7704229999997</v>
      </c>
      <c r="Q4649" s="282" t="e">
        <f>(INDEX(Tabla6[#All],MATCH(Tabla4[[#This Row],[Producto]],Tabla6[[#All],[PRODUCTO]],0),MATCH(Tabla4[[#This Row],[Mes]],Tabla6[#Headers],0)))</f>
        <v>#N/A</v>
      </c>
      <c r="R4649" s="282" t="e">
        <f>++Tabla4[[#This Row],[Precio Unitario Neto]]-Tabla4[[#This Row],[20.85%]]-Tabla4[[#This Row],[Costo]]</f>
        <v>#N/A</v>
      </c>
      <c r="S4649" s="282" t="e">
        <f>++Tabla4[[#This Row],[U. Bruta Uni]]*Tabla4[[#This Row],[Cantidad]]</f>
        <v>#N/A</v>
      </c>
      <c r="T4649" s="369" t="str">
        <f>VLOOKUP(Tabla4[[#This Row],[Producto]],Tabla6[#All],14,FALSE)</f>
        <v>Termico Solar</v>
      </c>
      <c r="U4649" s="284" t="e">
        <f>(IF(Tabla4[[#This Row],[Familia]]="termico solar",Tabla4[[#This Row],[Utilidad Total]]*6%,Tabla4[[#This Row],[Utilidad Total]]*11.5%))/Tabla4[[#This Row],[Total]]</f>
        <v>#N/A</v>
      </c>
      <c r="V4649" s="282" t="e">
        <f>+Tabla4[[#This Row],[Comisión Calculada]]*Tabla4[[#This Row],[Total]]</f>
        <v>#N/A</v>
      </c>
    </row>
    <row r="4650" spans="1:22" hidden="1" x14ac:dyDescent="0.25">
      <c r="A4650" s="100">
        <v>45853</v>
      </c>
      <c r="B4650" t="str">
        <f t="shared" si="233"/>
        <v>July</v>
      </c>
      <c r="C4650" s="46" t="s">
        <v>280</v>
      </c>
      <c r="F4650" s="366" t="s">
        <v>2463</v>
      </c>
      <c r="G4650" s="46" t="s">
        <v>208</v>
      </c>
      <c r="H4650" s="46">
        <v>5</v>
      </c>
      <c r="I4650" s="51">
        <v>189.75</v>
      </c>
      <c r="J4650" s="281">
        <f>++Tabla4[[#This Row],[Precio Bruto]]*1.16</f>
        <v>220.10999999999999</v>
      </c>
      <c r="K4650" s="281">
        <f>+Tabla4[[#This Row],[Precio Unitario Neto]]*Tabla4[[#Headers],[20.85%]]</f>
        <v>45.892934999999994</v>
      </c>
      <c r="L4650" s="282">
        <f>++Tabla4[[#This Row],[Precio Unitario Neto]]-Tabla4[[#This Row],[20.85%]]</f>
        <v>174.21706499999999</v>
      </c>
      <c r="M4650" s="282" t="e">
        <f>(INDEX(Tabla6[#All],MATCH(Tabla4[[#This Row],[Producto]],Tabla6[[#All],[PRODUCTO]],0),MATCH(Tabla4[[#This Row],[Mes]],Tabla6[#Headers],0)))*(1+Catalogos!$L$2)</f>
        <v>#N/A</v>
      </c>
      <c r="N4650" s="283" t="e">
        <f>+(Tabla4[[#This Row],[Precio Descontado]]-Tabla4[[#This Row],[Precio Base]])*Tabla4[[#This Row],[Cantidad]]</f>
        <v>#N/A</v>
      </c>
      <c r="O4650" s="284" t="e">
        <f>++Tabla4[[#This Row],[Utilidad Total]]/Tabla4[[#This Row],[Total]]</f>
        <v>#N/A</v>
      </c>
      <c r="P4650" s="282">
        <f>++Tabla4[[#This Row],[Precio Descontado]]*Tabla4[[#This Row],[Cantidad]]</f>
        <v>871.08532500000001</v>
      </c>
      <c r="Q4650" s="282" t="e">
        <f>(INDEX(Tabla6[#All],MATCH(Tabla4[[#This Row],[Producto]],Tabla6[[#All],[PRODUCTO]],0),MATCH(Tabla4[[#This Row],[Mes]],Tabla6[#Headers],0)))</f>
        <v>#N/A</v>
      </c>
      <c r="R4650" s="282" t="e">
        <f>++Tabla4[[#This Row],[Precio Unitario Neto]]-Tabla4[[#This Row],[20.85%]]-Tabla4[[#This Row],[Costo]]</f>
        <v>#N/A</v>
      </c>
      <c r="S4650" s="282" t="e">
        <f>++Tabla4[[#This Row],[U. Bruta Uni]]*Tabla4[[#This Row],[Cantidad]]</f>
        <v>#N/A</v>
      </c>
      <c r="T4650" s="369" t="str">
        <f>VLOOKUP(Tabla4[[#This Row],[Producto]],Tabla6[#All],14,FALSE)</f>
        <v>Termico Solar</v>
      </c>
      <c r="U4650" s="284" t="e">
        <f>(IF(Tabla4[[#This Row],[Familia]]="termico solar",Tabla4[[#This Row],[Utilidad Total]]*6%,Tabla4[[#This Row],[Utilidad Total]]*11.5%))/Tabla4[[#This Row],[Total]]</f>
        <v>#N/A</v>
      </c>
      <c r="V4650" s="282" t="e">
        <f>+Tabla4[[#This Row],[Comisión Calculada]]*Tabla4[[#This Row],[Total]]</f>
        <v>#N/A</v>
      </c>
    </row>
    <row r="4651" spans="1:22" hidden="1" x14ac:dyDescent="0.25">
      <c r="A4651" s="100">
        <v>45853</v>
      </c>
      <c r="B4651" t="str">
        <f t="shared" si="233"/>
        <v>July</v>
      </c>
      <c r="C4651" s="46" t="s">
        <v>280</v>
      </c>
      <c r="F4651" s="366" t="s">
        <v>2463</v>
      </c>
      <c r="G4651" s="46" t="s">
        <v>209</v>
      </c>
      <c r="H4651" s="46">
        <v>1</v>
      </c>
      <c r="I4651" s="51">
        <v>347.48</v>
      </c>
      <c r="J4651" s="281">
        <f>++Tabla4[[#This Row],[Precio Bruto]]*1.16</f>
        <v>403.07679999999999</v>
      </c>
      <c r="K4651" s="281">
        <f>+Tabla4[[#This Row],[Precio Unitario Neto]]*Tabla4[[#Headers],[20.85%]]</f>
        <v>84.041512799999992</v>
      </c>
      <c r="L4651" s="282">
        <f>++Tabla4[[#This Row],[Precio Unitario Neto]]-Tabla4[[#This Row],[20.85%]]</f>
        <v>319.03528719999997</v>
      </c>
      <c r="M4651" s="282" t="e">
        <f>(INDEX(Tabla6[#All],MATCH(Tabla4[[#This Row],[Producto]],Tabla6[[#All],[PRODUCTO]],0),MATCH(Tabla4[[#This Row],[Mes]],Tabla6[#Headers],0)))*(1+Catalogos!$L$2)</f>
        <v>#N/A</v>
      </c>
      <c r="N4651" s="283" t="e">
        <f>+(Tabla4[[#This Row],[Precio Descontado]]-Tabla4[[#This Row],[Precio Base]])*Tabla4[[#This Row],[Cantidad]]</f>
        <v>#N/A</v>
      </c>
      <c r="O4651" s="284" t="e">
        <f>++Tabla4[[#This Row],[Utilidad Total]]/Tabla4[[#This Row],[Total]]</f>
        <v>#N/A</v>
      </c>
      <c r="P4651" s="282">
        <f>++Tabla4[[#This Row],[Precio Descontado]]*Tabla4[[#This Row],[Cantidad]]</f>
        <v>319.03528719999997</v>
      </c>
      <c r="Q4651" s="282" t="e">
        <f>(INDEX(Tabla6[#All],MATCH(Tabla4[[#This Row],[Producto]],Tabla6[[#All],[PRODUCTO]],0),MATCH(Tabla4[[#This Row],[Mes]],Tabla6[#Headers],0)))</f>
        <v>#N/A</v>
      </c>
      <c r="R4651" s="282" t="e">
        <f>++Tabla4[[#This Row],[Precio Unitario Neto]]-Tabla4[[#This Row],[20.85%]]-Tabla4[[#This Row],[Costo]]</f>
        <v>#N/A</v>
      </c>
      <c r="S4651" s="282" t="e">
        <f>++Tabla4[[#This Row],[U. Bruta Uni]]*Tabla4[[#This Row],[Cantidad]]</f>
        <v>#N/A</v>
      </c>
      <c r="T4651" s="369" t="str">
        <f>VLOOKUP(Tabla4[[#This Row],[Producto]],Tabla6[#All],14,FALSE)</f>
        <v>Termico Solar</v>
      </c>
      <c r="U4651" s="284" t="e">
        <f>(IF(Tabla4[[#This Row],[Familia]]="termico solar",Tabla4[[#This Row],[Utilidad Total]]*6%,Tabla4[[#This Row],[Utilidad Total]]*11.5%))/Tabla4[[#This Row],[Total]]</f>
        <v>#N/A</v>
      </c>
      <c r="V4651" s="282" t="e">
        <f>+Tabla4[[#This Row],[Comisión Calculada]]*Tabla4[[#This Row],[Total]]</f>
        <v>#N/A</v>
      </c>
    </row>
    <row r="4652" spans="1:22" hidden="1" x14ac:dyDescent="0.25">
      <c r="A4652" s="100">
        <v>45853</v>
      </c>
      <c r="B4652" t="str">
        <f t="shared" si="233"/>
        <v>July</v>
      </c>
      <c r="C4652" s="46" t="s">
        <v>280</v>
      </c>
      <c r="F4652" s="366" t="s">
        <v>2464</v>
      </c>
      <c r="G4652" s="46" t="s">
        <v>83</v>
      </c>
      <c r="H4652" s="46">
        <v>1</v>
      </c>
      <c r="I4652" s="51">
        <v>8858.76</v>
      </c>
      <c r="J4652" s="281">
        <f>++Tabla4[[#This Row],[Precio Bruto]]*1.16</f>
        <v>10276.161599999999</v>
      </c>
      <c r="K4652" s="281">
        <f>+Tabla4[[#This Row],[Precio Unitario Neto]]*Tabla4[[#Headers],[20.85%]]</f>
        <v>2142.5796935999997</v>
      </c>
      <c r="L4652" s="282">
        <f>++Tabla4[[#This Row],[Precio Unitario Neto]]-Tabla4[[#This Row],[20.85%]]</f>
        <v>8133.5819063999998</v>
      </c>
      <c r="M4652" s="282" t="e">
        <f>(INDEX(Tabla6[#All],MATCH(Tabla4[[#This Row],[Producto]],Tabla6[[#All],[PRODUCTO]],0),MATCH(Tabla4[[#This Row],[Mes]],Tabla6[#Headers],0)))*(1+Catalogos!$L$2)</f>
        <v>#N/A</v>
      </c>
      <c r="N4652" s="283" t="e">
        <f>+(Tabla4[[#This Row],[Precio Descontado]]-Tabla4[[#This Row],[Precio Base]])*Tabla4[[#This Row],[Cantidad]]</f>
        <v>#N/A</v>
      </c>
      <c r="O4652" s="284" t="e">
        <f>++Tabla4[[#This Row],[Utilidad Total]]/Tabla4[[#This Row],[Total]]</f>
        <v>#N/A</v>
      </c>
      <c r="P4652" s="282">
        <f>++Tabla4[[#This Row],[Precio Descontado]]*Tabla4[[#This Row],[Cantidad]]</f>
        <v>8133.5819063999998</v>
      </c>
      <c r="Q4652" s="282" t="e">
        <f>(INDEX(Tabla6[#All],MATCH(Tabla4[[#This Row],[Producto]],Tabla6[[#All],[PRODUCTO]],0),MATCH(Tabla4[[#This Row],[Mes]],Tabla6[#Headers],0)))</f>
        <v>#N/A</v>
      </c>
      <c r="R4652" s="282" t="e">
        <f>++Tabla4[[#This Row],[Precio Unitario Neto]]-Tabla4[[#This Row],[20.85%]]-Tabla4[[#This Row],[Costo]]</f>
        <v>#N/A</v>
      </c>
      <c r="S4652" s="282" t="e">
        <f>++Tabla4[[#This Row],[U. Bruta Uni]]*Tabla4[[#This Row],[Cantidad]]</f>
        <v>#N/A</v>
      </c>
      <c r="T4652" s="369" t="str">
        <f>VLOOKUP(Tabla4[[#This Row],[Producto]],Tabla6[#All],14,FALSE)</f>
        <v>Termico Solar</v>
      </c>
      <c r="U4652" s="284" t="e">
        <f>(IF(Tabla4[[#This Row],[Familia]]="termico solar",Tabla4[[#This Row],[Utilidad Total]]*6%,Tabla4[[#This Row],[Utilidad Total]]*11.5%))/Tabla4[[#This Row],[Total]]</f>
        <v>#N/A</v>
      </c>
      <c r="V4652" s="282" t="e">
        <f>+Tabla4[[#This Row],[Comisión Calculada]]*Tabla4[[#This Row],[Total]]</f>
        <v>#N/A</v>
      </c>
    </row>
    <row r="4653" spans="1:22" hidden="1" x14ac:dyDescent="0.25">
      <c r="A4653" s="100">
        <v>45853</v>
      </c>
      <c r="B4653" t="str">
        <f t="shared" si="233"/>
        <v>July</v>
      </c>
      <c r="C4653" s="46" t="s">
        <v>280</v>
      </c>
      <c r="F4653" s="366" t="s">
        <v>2464</v>
      </c>
      <c r="G4653" s="46" t="s">
        <v>16</v>
      </c>
      <c r="H4653" s="46">
        <v>1</v>
      </c>
      <c r="I4653" s="51">
        <v>4103.8500000000004</v>
      </c>
      <c r="J4653" s="281">
        <f>++Tabla4[[#This Row],[Precio Bruto]]*1.16</f>
        <v>4760.4660000000003</v>
      </c>
      <c r="K4653" s="281">
        <f>+Tabla4[[#This Row],[Precio Unitario Neto]]*Tabla4[[#Headers],[20.85%]]</f>
        <v>992.55716100000006</v>
      </c>
      <c r="L4653" s="282">
        <f>++Tabla4[[#This Row],[Precio Unitario Neto]]-Tabla4[[#This Row],[20.85%]]</f>
        <v>3767.9088390000002</v>
      </c>
      <c r="M4653" s="282" t="e">
        <f>(INDEX(Tabla6[#All],MATCH(Tabla4[[#This Row],[Producto]],Tabla6[[#All],[PRODUCTO]],0),MATCH(Tabla4[[#This Row],[Mes]],Tabla6[#Headers],0)))*(1+Catalogos!$L$2)</f>
        <v>#N/A</v>
      </c>
      <c r="N4653" s="283" t="e">
        <f>+(Tabla4[[#This Row],[Precio Descontado]]-Tabla4[[#This Row],[Precio Base]])*Tabla4[[#This Row],[Cantidad]]</f>
        <v>#N/A</v>
      </c>
      <c r="O4653" s="284" t="e">
        <f>++Tabla4[[#This Row],[Utilidad Total]]/Tabla4[[#This Row],[Total]]</f>
        <v>#N/A</v>
      </c>
      <c r="P4653" s="282">
        <f>++Tabla4[[#This Row],[Precio Descontado]]*Tabla4[[#This Row],[Cantidad]]</f>
        <v>3767.9088390000002</v>
      </c>
      <c r="Q4653" s="282" t="e">
        <f>(INDEX(Tabla6[#All],MATCH(Tabla4[[#This Row],[Producto]],Tabla6[[#All],[PRODUCTO]],0),MATCH(Tabla4[[#This Row],[Mes]],Tabla6[#Headers],0)))</f>
        <v>#N/A</v>
      </c>
      <c r="R4653" s="282" t="e">
        <f>++Tabla4[[#This Row],[Precio Unitario Neto]]-Tabla4[[#This Row],[20.85%]]-Tabla4[[#This Row],[Costo]]</f>
        <v>#N/A</v>
      </c>
      <c r="S4653" s="282" t="e">
        <f>++Tabla4[[#This Row],[U. Bruta Uni]]*Tabla4[[#This Row],[Cantidad]]</f>
        <v>#N/A</v>
      </c>
      <c r="T4653" s="369" t="str">
        <f>VLOOKUP(Tabla4[[#This Row],[Producto]],Tabla6[#All],14,FALSE)</f>
        <v>Termico Solar</v>
      </c>
      <c r="U4653" s="284" t="e">
        <f>(IF(Tabla4[[#This Row],[Familia]]="termico solar",Tabla4[[#This Row],[Utilidad Total]]*6%,Tabla4[[#This Row],[Utilidad Total]]*11.5%))/Tabla4[[#This Row],[Total]]</f>
        <v>#N/A</v>
      </c>
      <c r="V4653" s="282" t="e">
        <f>+Tabla4[[#This Row],[Comisión Calculada]]*Tabla4[[#This Row],[Total]]</f>
        <v>#N/A</v>
      </c>
    </row>
    <row r="4654" spans="1:22" hidden="1" x14ac:dyDescent="0.25">
      <c r="A4654" s="100">
        <v>45853</v>
      </c>
      <c r="B4654" t="str">
        <f t="shared" si="233"/>
        <v>July</v>
      </c>
      <c r="C4654" s="46" t="s">
        <v>280</v>
      </c>
      <c r="F4654" s="366" t="s">
        <v>2464</v>
      </c>
      <c r="G4654" s="46" t="s">
        <v>200</v>
      </c>
      <c r="H4654" s="46">
        <v>12</v>
      </c>
      <c r="I4654" s="51">
        <v>393.22</v>
      </c>
      <c r="J4654" s="281">
        <f>++Tabla4[[#This Row],[Precio Bruto]]*1.16</f>
        <v>456.1352</v>
      </c>
      <c r="K4654" s="281">
        <f>+Tabla4[[#This Row],[Precio Unitario Neto]]*Tabla4[[#Headers],[20.85%]]</f>
        <v>95.104189199999993</v>
      </c>
      <c r="L4654" s="282">
        <f>++Tabla4[[#This Row],[Precio Unitario Neto]]-Tabla4[[#This Row],[20.85%]]</f>
        <v>361.03101079999999</v>
      </c>
      <c r="M4654" s="282" t="e">
        <f>(INDEX(Tabla6[#All],MATCH(Tabla4[[#This Row],[Producto]],Tabla6[[#All],[PRODUCTO]],0),MATCH(Tabla4[[#This Row],[Mes]],Tabla6[#Headers],0)))*(1+Catalogos!$L$2)</f>
        <v>#N/A</v>
      </c>
      <c r="N4654" s="283" t="e">
        <f>+(Tabla4[[#This Row],[Precio Descontado]]-Tabla4[[#This Row],[Precio Base]])*Tabla4[[#This Row],[Cantidad]]</f>
        <v>#N/A</v>
      </c>
      <c r="O4654" s="284" t="e">
        <f>++Tabla4[[#This Row],[Utilidad Total]]/Tabla4[[#This Row],[Total]]</f>
        <v>#N/A</v>
      </c>
      <c r="P4654" s="282">
        <f>++Tabla4[[#This Row],[Precio Descontado]]*Tabla4[[#This Row],[Cantidad]]</f>
        <v>4332.3721296000003</v>
      </c>
      <c r="Q4654" s="282" t="e">
        <f>(INDEX(Tabla6[#All],MATCH(Tabla4[[#This Row],[Producto]],Tabla6[[#All],[PRODUCTO]],0),MATCH(Tabla4[[#This Row],[Mes]],Tabla6[#Headers],0)))</f>
        <v>#N/A</v>
      </c>
      <c r="R4654" s="282" t="e">
        <f>++Tabla4[[#This Row],[Precio Unitario Neto]]-Tabla4[[#This Row],[20.85%]]-Tabla4[[#This Row],[Costo]]</f>
        <v>#N/A</v>
      </c>
      <c r="S4654" s="282" t="e">
        <f>++Tabla4[[#This Row],[U. Bruta Uni]]*Tabla4[[#This Row],[Cantidad]]</f>
        <v>#N/A</v>
      </c>
      <c r="T4654" s="369" t="str">
        <f>VLOOKUP(Tabla4[[#This Row],[Producto]],Tabla6[#All],14,FALSE)</f>
        <v>Termico Solar</v>
      </c>
      <c r="U4654" s="284" t="e">
        <f>(IF(Tabla4[[#This Row],[Familia]]="termico solar",Tabla4[[#This Row],[Utilidad Total]]*6%,Tabla4[[#This Row],[Utilidad Total]]*11.5%))/Tabla4[[#This Row],[Total]]</f>
        <v>#N/A</v>
      </c>
      <c r="V4654" s="282" t="e">
        <f>+Tabla4[[#This Row],[Comisión Calculada]]*Tabla4[[#This Row],[Total]]</f>
        <v>#N/A</v>
      </c>
    </row>
    <row r="4655" spans="1:22" hidden="1" x14ac:dyDescent="0.25">
      <c r="A4655" s="100">
        <v>45853</v>
      </c>
      <c r="B4655" t="str">
        <f t="shared" si="233"/>
        <v>July</v>
      </c>
      <c r="C4655" s="46" t="s">
        <v>280</v>
      </c>
      <c r="F4655" s="366" t="s">
        <v>2464</v>
      </c>
      <c r="G4655" s="46" t="s">
        <v>545</v>
      </c>
      <c r="H4655" s="46">
        <v>24</v>
      </c>
      <c r="I4655" s="51">
        <v>304.32</v>
      </c>
      <c r="J4655" s="281">
        <f>++Tabla4[[#This Row],[Precio Bruto]]*1.16</f>
        <v>353.01119999999997</v>
      </c>
      <c r="K4655" s="281">
        <f>+Tabla4[[#This Row],[Precio Unitario Neto]]*Tabla4[[#Headers],[20.85%]]</f>
        <v>73.602835199999987</v>
      </c>
      <c r="L4655" s="282">
        <f>++Tabla4[[#This Row],[Precio Unitario Neto]]-Tabla4[[#This Row],[20.85%]]</f>
        <v>279.40836479999996</v>
      </c>
      <c r="M4655" s="282" t="e">
        <f>(INDEX(Tabla6[#All],MATCH(Tabla4[[#This Row],[Producto]],Tabla6[[#All],[PRODUCTO]],0),MATCH(Tabla4[[#This Row],[Mes]],Tabla6[#Headers],0)))*(1+Catalogos!$L$2)</f>
        <v>#N/A</v>
      </c>
      <c r="N4655" s="283" t="e">
        <f>+(Tabla4[[#This Row],[Precio Descontado]]-Tabla4[[#This Row],[Precio Base]])*Tabla4[[#This Row],[Cantidad]]</f>
        <v>#N/A</v>
      </c>
      <c r="O4655" s="284" t="e">
        <f>++Tabla4[[#This Row],[Utilidad Total]]/Tabla4[[#This Row],[Total]]</f>
        <v>#N/A</v>
      </c>
      <c r="P4655" s="282">
        <f>++Tabla4[[#This Row],[Precio Descontado]]*Tabla4[[#This Row],[Cantidad]]</f>
        <v>6705.800755199999</v>
      </c>
      <c r="Q4655" s="282" t="e">
        <f>(INDEX(Tabla6[#All],MATCH(Tabla4[[#This Row],[Producto]],Tabla6[[#All],[PRODUCTO]],0),MATCH(Tabla4[[#This Row],[Mes]],Tabla6[#Headers],0)))</f>
        <v>#N/A</v>
      </c>
      <c r="R4655" s="282" t="e">
        <f>++Tabla4[[#This Row],[Precio Unitario Neto]]-Tabla4[[#This Row],[20.85%]]-Tabla4[[#This Row],[Costo]]</f>
        <v>#N/A</v>
      </c>
      <c r="S4655" s="282" t="e">
        <f>++Tabla4[[#This Row],[U. Bruta Uni]]*Tabla4[[#This Row],[Cantidad]]</f>
        <v>#N/A</v>
      </c>
      <c r="T4655" s="369" t="str">
        <f>VLOOKUP(Tabla4[[#This Row],[Producto]],Tabla6[#All],14,FALSE)</f>
        <v>Termico Solar</v>
      </c>
      <c r="U4655" s="284" t="e">
        <f>(IF(Tabla4[[#This Row],[Familia]]="termico solar",Tabla4[[#This Row],[Utilidad Total]]*6%,Tabla4[[#This Row],[Utilidad Total]]*11.5%))/Tabla4[[#This Row],[Total]]</f>
        <v>#N/A</v>
      </c>
      <c r="V4655" s="282" t="e">
        <f>+Tabla4[[#This Row],[Comisión Calculada]]*Tabla4[[#This Row],[Total]]</f>
        <v>#N/A</v>
      </c>
    </row>
    <row r="4656" spans="1:22" hidden="1" x14ac:dyDescent="0.25">
      <c r="A4656" s="100">
        <v>45853</v>
      </c>
      <c r="B4656" t="str">
        <f t="shared" si="233"/>
        <v>July</v>
      </c>
      <c r="C4656" s="46" t="s">
        <v>280</v>
      </c>
      <c r="F4656" s="366" t="s">
        <v>2464</v>
      </c>
      <c r="G4656" s="46" t="s">
        <v>209</v>
      </c>
      <c r="H4656" s="46">
        <v>2</v>
      </c>
      <c r="I4656" s="51">
        <v>347.48</v>
      </c>
      <c r="J4656" s="281">
        <f>++Tabla4[[#This Row],[Precio Bruto]]*1.16</f>
        <v>403.07679999999999</v>
      </c>
      <c r="K4656" s="281">
        <f>+Tabla4[[#This Row],[Precio Unitario Neto]]*Tabla4[[#Headers],[20.85%]]</f>
        <v>84.041512799999992</v>
      </c>
      <c r="L4656" s="282">
        <f>++Tabla4[[#This Row],[Precio Unitario Neto]]-Tabla4[[#This Row],[20.85%]]</f>
        <v>319.03528719999997</v>
      </c>
      <c r="M4656" s="282" t="e">
        <f>(INDEX(Tabla6[#All],MATCH(Tabla4[[#This Row],[Producto]],Tabla6[[#All],[PRODUCTO]],0),MATCH(Tabla4[[#This Row],[Mes]],Tabla6[#Headers],0)))*(1+Catalogos!$L$2)</f>
        <v>#N/A</v>
      </c>
      <c r="N4656" s="283" t="e">
        <f>+(Tabla4[[#This Row],[Precio Descontado]]-Tabla4[[#This Row],[Precio Base]])*Tabla4[[#This Row],[Cantidad]]</f>
        <v>#N/A</v>
      </c>
      <c r="O4656" s="284" t="e">
        <f>++Tabla4[[#This Row],[Utilidad Total]]/Tabla4[[#This Row],[Total]]</f>
        <v>#N/A</v>
      </c>
      <c r="P4656" s="282">
        <f>++Tabla4[[#This Row],[Precio Descontado]]*Tabla4[[#This Row],[Cantidad]]</f>
        <v>638.07057439999994</v>
      </c>
      <c r="Q4656" s="282" t="e">
        <f>(INDEX(Tabla6[#All],MATCH(Tabla4[[#This Row],[Producto]],Tabla6[[#All],[PRODUCTO]],0),MATCH(Tabla4[[#This Row],[Mes]],Tabla6[#Headers],0)))</f>
        <v>#N/A</v>
      </c>
      <c r="R4656" s="282" t="e">
        <f>++Tabla4[[#This Row],[Precio Unitario Neto]]-Tabla4[[#This Row],[20.85%]]-Tabla4[[#This Row],[Costo]]</f>
        <v>#N/A</v>
      </c>
      <c r="S4656" s="282" t="e">
        <f>++Tabla4[[#This Row],[U. Bruta Uni]]*Tabla4[[#This Row],[Cantidad]]</f>
        <v>#N/A</v>
      </c>
      <c r="T4656" s="369" t="str">
        <f>VLOOKUP(Tabla4[[#This Row],[Producto]],Tabla6[#All],14,FALSE)</f>
        <v>Termico Solar</v>
      </c>
      <c r="U4656" s="284" t="e">
        <f>(IF(Tabla4[[#This Row],[Familia]]="termico solar",Tabla4[[#This Row],[Utilidad Total]]*6%,Tabla4[[#This Row],[Utilidad Total]]*11.5%))/Tabla4[[#This Row],[Total]]</f>
        <v>#N/A</v>
      </c>
      <c r="V4656" s="282" t="e">
        <f>+Tabla4[[#This Row],[Comisión Calculada]]*Tabla4[[#This Row],[Total]]</f>
        <v>#N/A</v>
      </c>
    </row>
    <row r="4657" spans="1:22" hidden="1" x14ac:dyDescent="0.25">
      <c r="A4657" s="100">
        <v>45853</v>
      </c>
      <c r="B4657" t="str">
        <f t="shared" si="233"/>
        <v>July</v>
      </c>
      <c r="C4657" s="46" t="s">
        <v>280</v>
      </c>
      <c r="F4657" s="366" t="s">
        <v>2465</v>
      </c>
      <c r="G4657" s="46" t="s">
        <v>200</v>
      </c>
      <c r="H4657" s="46">
        <v>12</v>
      </c>
      <c r="I4657" s="51">
        <v>393.22</v>
      </c>
      <c r="J4657" s="281">
        <f>++Tabla4[[#This Row],[Precio Bruto]]*1.16</f>
        <v>456.1352</v>
      </c>
      <c r="K4657" s="281">
        <f>+Tabla4[[#This Row],[Precio Unitario Neto]]*Tabla4[[#Headers],[20.85%]]</f>
        <v>95.104189199999993</v>
      </c>
      <c r="L4657" s="282">
        <f>++Tabla4[[#This Row],[Precio Unitario Neto]]-Tabla4[[#This Row],[20.85%]]</f>
        <v>361.03101079999999</v>
      </c>
      <c r="M4657" s="282" t="e">
        <f>(INDEX(Tabla6[#All],MATCH(Tabla4[[#This Row],[Producto]],Tabla6[[#All],[PRODUCTO]],0),MATCH(Tabla4[[#This Row],[Mes]],Tabla6[#Headers],0)))*(1+Catalogos!$L$2)</f>
        <v>#N/A</v>
      </c>
      <c r="N4657" s="283" t="e">
        <f>+(Tabla4[[#This Row],[Precio Descontado]]-Tabla4[[#This Row],[Precio Base]])*Tabla4[[#This Row],[Cantidad]]</f>
        <v>#N/A</v>
      </c>
      <c r="O4657" s="284" t="e">
        <f>++Tabla4[[#This Row],[Utilidad Total]]/Tabla4[[#This Row],[Total]]</f>
        <v>#N/A</v>
      </c>
      <c r="P4657" s="282">
        <f>++Tabla4[[#This Row],[Precio Descontado]]*Tabla4[[#This Row],[Cantidad]]</f>
        <v>4332.3721296000003</v>
      </c>
      <c r="Q4657" s="282" t="e">
        <f>(INDEX(Tabla6[#All],MATCH(Tabla4[[#This Row],[Producto]],Tabla6[[#All],[PRODUCTO]],0),MATCH(Tabla4[[#This Row],[Mes]],Tabla6[#Headers],0)))</f>
        <v>#N/A</v>
      </c>
      <c r="R4657" s="282" t="e">
        <f>++Tabla4[[#This Row],[Precio Unitario Neto]]-Tabla4[[#This Row],[20.85%]]-Tabla4[[#This Row],[Costo]]</f>
        <v>#N/A</v>
      </c>
      <c r="S4657" s="282" t="e">
        <f>++Tabla4[[#This Row],[U. Bruta Uni]]*Tabla4[[#This Row],[Cantidad]]</f>
        <v>#N/A</v>
      </c>
      <c r="T4657" s="369" t="str">
        <f>VLOOKUP(Tabla4[[#This Row],[Producto]],Tabla6[#All],14,FALSE)</f>
        <v>Termico Solar</v>
      </c>
      <c r="U4657" s="284" t="e">
        <f>(IF(Tabla4[[#This Row],[Familia]]="termico solar",Tabla4[[#This Row],[Utilidad Total]]*6%,Tabla4[[#This Row],[Utilidad Total]]*11.5%))/Tabla4[[#This Row],[Total]]</f>
        <v>#N/A</v>
      </c>
      <c r="V4657" s="282" t="e">
        <f>+Tabla4[[#This Row],[Comisión Calculada]]*Tabla4[[#This Row],[Total]]</f>
        <v>#N/A</v>
      </c>
    </row>
    <row r="4658" spans="1:22" hidden="1" x14ac:dyDescent="0.25">
      <c r="A4658" s="100">
        <v>45853</v>
      </c>
      <c r="B4658" t="str">
        <f t="shared" si="233"/>
        <v>July</v>
      </c>
      <c r="C4658" s="46" t="s">
        <v>280</v>
      </c>
      <c r="F4658" s="366" t="s">
        <v>2465</v>
      </c>
      <c r="G4658" s="46" t="s">
        <v>545</v>
      </c>
      <c r="H4658" s="46">
        <v>24</v>
      </c>
      <c r="I4658" s="51">
        <v>304.32</v>
      </c>
      <c r="J4658" s="281">
        <f>++Tabla4[[#This Row],[Precio Bruto]]*1.16</f>
        <v>353.01119999999997</v>
      </c>
      <c r="K4658" s="281">
        <f>+Tabla4[[#This Row],[Precio Unitario Neto]]*Tabla4[[#Headers],[20.85%]]</f>
        <v>73.602835199999987</v>
      </c>
      <c r="L4658" s="282">
        <f>++Tabla4[[#This Row],[Precio Unitario Neto]]-Tabla4[[#This Row],[20.85%]]</f>
        <v>279.40836479999996</v>
      </c>
      <c r="M4658" s="282" t="e">
        <f>(INDEX(Tabla6[#All],MATCH(Tabla4[[#This Row],[Producto]],Tabla6[[#All],[PRODUCTO]],0),MATCH(Tabla4[[#This Row],[Mes]],Tabla6[#Headers],0)))*(1+Catalogos!$L$2)</f>
        <v>#N/A</v>
      </c>
      <c r="N4658" s="283" t="e">
        <f>+(Tabla4[[#This Row],[Precio Descontado]]-Tabla4[[#This Row],[Precio Base]])*Tabla4[[#This Row],[Cantidad]]</f>
        <v>#N/A</v>
      </c>
      <c r="O4658" s="284" t="e">
        <f>++Tabla4[[#This Row],[Utilidad Total]]/Tabla4[[#This Row],[Total]]</f>
        <v>#N/A</v>
      </c>
      <c r="P4658" s="282">
        <f>++Tabla4[[#This Row],[Precio Descontado]]*Tabla4[[#This Row],[Cantidad]]</f>
        <v>6705.800755199999</v>
      </c>
      <c r="Q4658" s="282" t="e">
        <f>(INDEX(Tabla6[#All],MATCH(Tabla4[[#This Row],[Producto]],Tabla6[[#All],[PRODUCTO]],0),MATCH(Tabla4[[#This Row],[Mes]],Tabla6[#Headers],0)))</f>
        <v>#N/A</v>
      </c>
      <c r="R4658" s="282" t="e">
        <f>++Tabla4[[#This Row],[Precio Unitario Neto]]-Tabla4[[#This Row],[20.85%]]-Tabla4[[#This Row],[Costo]]</f>
        <v>#N/A</v>
      </c>
      <c r="S4658" s="282" t="e">
        <f>++Tabla4[[#This Row],[U. Bruta Uni]]*Tabla4[[#This Row],[Cantidad]]</f>
        <v>#N/A</v>
      </c>
      <c r="T4658" s="369" t="str">
        <f>VLOOKUP(Tabla4[[#This Row],[Producto]],Tabla6[#All],14,FALSE)</f>
        <v>Termico Solar</v>
      </c>
      <c r="U4658" s="284" t="e">
        <f>(IF(Tabla4[[#This Row],[Familia]]="termico solar",Tabla4[[#This Row],[Utilidad Total]]*6%,Tabla4[[#This Row],[Utilidad Total]]*11.5%))/Tabla4[[#This Row],[Total]]</f>
        <v>#N/A</v>
      </c>
      <c r="V4658" s="282" t="e">
        <f>+Tabla4[[#This Row],[Comisión Calculada]]*Tabla4[[#This Row],[Total]]</f>
        <v>#N/A</v>
      </c>
    </row>
    <row r="4659" spans="1:22" hidden="1" x14ac:dyDescent="0.25">
      <c r="A4659" s="100">
        <v>45853</v>
      </c>
      <c r="B4659" t="str">
        <f t="shared" si="233"/>
        <v>July</v>
      </c>
      <c r="C4659" s="46" t="s">
        <v>280</v>
      </c>
      <c r="F4659" s="366" t="s">
        <v>2465</v>
      </c>
      <c r="G4659" s="46" t="s">
        <v>209</v>
      </c>
      <c r="H4659" s="46">
        <v>2</v>
      </c>
      <c r="I4659" s="51">
        <v>347.48</v>
      </c>
      <c r="J4659" s="281">
        <f>++Tabla4[[#This Row],[Precio Bruto]]*1.16</f>
        <v>403.07679999999999</v>
      </c>
      <c r="K4659" s="281">
        <f>+Tabla4[[#This Row],[Precio Unitario Neto]]*Tabla4[[#Headers],[20.85%]]</f>
        <v>84.041512799999992</v>
      </c>
      <c r="L4659" s="282">
        <f>++Tabla4[[#This Row],[Precio Unitario Neto]]-Tabla4[[#This Row],[20.85%]]</f>
        <v>319.03528719999997</v>
      </c>
      <c r="M4659" s="282" t="e">
        <f>(INDEX(Tabla6[#All],MATCH(Tabla4[[#This Row],[Producto]],Tabla6[[#All],[PRODUCTO]],0),MATCH(Tabla4[[#This Row],[Mes]],Tabla6[#Headers],0)))*(1+Catalogos!$L$2)</f>
        <v>#N/A</v>
      </c>
      <c r="N4659" s="283" t="e">
        <f>+(Tabla4[[#This Row],[Precio Descontado]]-Tabla4[[#This Row],[Precio Base]])*Tabla4[[#This Row],[Cantidad]]</f>
        <v>#N/A</v>
      </c>
      <c r="O4659" s="284" t="e">
        <f>++Tabla4[[#This Row],[Utilidad Total]]/Tabla4[[#This Row],[Total]]</f>
        <v>#N/A</v>
      </c>
      <c r="P4659" s="282">
        <f>++Tabla4[[#This Row],[Precio Descontado]]*Tabla4[[#This Row],[Cantidad]]</f>
        <v>638.07057439999994</v>
      </c>
      <c r="Q4659" s="282" t="e">
        <f>(INDEX(Tabla6[#All],MATCH(Tabla4[[#This Row],[Producto]],Tabla6[[#All],[PRODUCTO]],0),MATCH(Tabla4[[#This Row],[Mes]],Tabla6[#Headers],0)))</f>
        <v>#N/A</v>
      </c>
      <c r="R4659" s="282" t="e">
        <f>++Tabla4[[#This Row],[Precio Unitario Neto]]-Tabla4[[#This Row],[20.85%]]-Tabla4[[#This Row],[Costo]]</f>
        <v>#N/A</v>
      </c>
      <c r="S4659" s="282" t="e">
        <f>++Tabla4[[#This Row],[U. Bruta Uni]]*Tabla4[[#This Row],[Cantidad]]</f>
        <v>#N/A</v>
      </c>
      <c r="T4659" s="369" t="str">
        <f>VLOOKUP(Tabla4[[#This Row],[Producto]],Tabla6[#All],14,FALSE)</f>
        <v>Termico Solar</v>
      </c>
      <c r="U4659" s="284" t="e">
        <f>(IF(Tabla4[[#This Row],[Familia]]="termico solar",Tabla4[[#This Row],[Utilidad Total]]*6%,Tabla4[[#This Row],[Utilidad Total]]*11.5%))/Tabla4[[#This Row],[Total]]</f>
        <v>#N/A</v>
      </c>
      <c r="V4659" s="282" t="e">
        <f>+Tabla4[[#This Row],[Comisión Calculada]]*Tabla4[[#This Row],[Total]]</f>
        <v>#N/A</v>
      </c>
    </row>
    <row r="4660" spans="1:22" hidden="1" x14ac:dyDescent="0.25">
      <c r="A4660" s="100">
        <v>45853</v>
      </c>
      <c r="B4660" t="str">
        <f t="shared" si="233"/>
        <v>July</v>
      </c>
      <c r="C4660" s="46" t="s">
        <v>280</v>
      </c>
      <c r="F4660" s="366" t="s">
        <v>2466</v>
      </c>
      <c r="G4660" s="46" t="s">
        <v>200</v>
      </c>
      <c r="H4660" s="46">
        <v>12</v>
      </c>
      <c r="I4660" s="51">
        <v>393.22</v>
      </c>
      <c r="J4660" s="281">
        <f>++Tabla4[[#This Row],[Precio Bruto]]*1.16</f>
        <v>456.1352</v>
      </c>
      <c r="K4660" s="281">
        <f>+Tabla4[[#This Row],[Precio Unitario Neto]]*Tabla4[[#Headers],[20.85%]]</f>
        <v>95.104189199999993</v>
      </c>
      <c r="L4660" s="282">
        <f>++Tabla4[[#This Row],[Precio Unitario Neto]]-Tabla4[[#This Row],[20.85%]]</f>
        <v>361.03101079999999</v>
      </c>
      <c r="M4660" s="282" t="e">
        <f>(INDEX(Tabla6[#All],MATCH(Tabla4[[#This Row],[Producto]],Tabla6[[#All],[PRODUCTO]],0),MATCH(Tabla4[[#This Row],[Mes]],Tabla6[#Headers],0)))*(1+Catalogos!$L$2)</f>
        <v>#N/A</v>
      </c>
      <c r="N4660" s="283" t="e">
        <f>+(Tabla4[[#This Row],[Precio Descontado]]-Tabla4[[#This Row],[Precio Base]])*Tabla4[[#This Row],[Cantidad]]</f>
        <v>#N/A</v>
      </c>
      <c r="O4660" s="284" t="e">
        <f>++Tabla4[[#This Row],[Utilidad Total]]/Tabla4[[#This Row],[Total]]</f>
        <v>#N/A</v>
      </c>
      <c r="P4660" s="282">
        <f>++Tabla4[[#This Row],[Precio Descontado]]*Tabla4[[#This Row],[Cantidad]]</f>
        <v>4332.3721296000003</v>
      </c>
      <c r="Q4660" s="282" t="e">
        <f>(INDEX(Tabla6[#All],MATCH(Tabla4[[#This Row],[Producto]],Tabla6[[#All],[PRODUCTO]],0),MATCH(Tabla4[[#This Row],[Mes]],Tabla6[#Headers],0)))</f>
        <v>#N/A</v>
      </c>
      <c r="R4660" s="282" t="e">
        <f>++Tabla4[[#This Row],[Precio Unitario Neto]]-Tabla4[[#This Row],[20.85%]]-Tabla4[[#This Row],[Costo]]</f>
        <v>#N/A</v>
      </c>
      <c r="S4660" s="282" t="e">
        <f>++Tabla4[[#This Row],[U. Bruta Uni]]*Tabla4[[#This Row],[Cantidad]]</f>
        <v>#N/A</v>
      </c>
      <c r="T4660" s="369" t="str">
        <f>VLOOKUP(Tabla4[[#This Row],[Producto]],Tabla6[#All],14,FALSE)</f>
        <v>Termico Solar</v>
      </c>
      <c r="U4660" s="284" t="e">
        <f>(IF(Tabla4[[#This Row],[Familia]]="termico solar",Tabla4[[#This Row],[Utilidad Total]]*6%,Tabla4[[#This Row],[Utilidad Total]]*11.5%))/Tabla4[[#This Row],[Total]]</f>
        <v>#N/A</v>
      </c>
      <c r="V4660" s="282" t="e">
        <f>+Tabla4[[#This Row],[Comisión Calculada]]*Tabla4[[#This Row],[Total]]</f>
        <v>#N/A</v>
      </c>
    </row>
    <row r="4661" spans="1:22" hidden="1" x14ac:dyDescent="0.25">
      <c r="A4661" s="100">
        <v>45853</v>
      </c>
      <c r="B4661" t="str">
        <f t="shared" si="233"/>
        <v>July</v>
      </c>
      <c r="C4661" s="46" t="s">
        <v>280</v>
      </c>
      <c r="F4661" s="366" t="s">
        <v>2466</v>
      </c>
      <c r="G4661" s="46" t="s">
        <v>545</v>
      </c>
      <c r="H4661" s="46">
        <v>24</v>
      </c>
      <c r="I4661" s="51">
        <v>304.32</v>
      </c>
      <c r="J4661" s="281">
        <f>++Tabla4[[#This Row],[Precio Bruto]]*1.16</f>
        <v>353.01119999999997</v>
      </c>
      <c r="K4661" s="281">
        <f>+Tabla4[[#This Row],[Precio Unitario Neto]]*Tabla4[[#Headers],[20.85%]]</f>
        <v>73.602835199999987</v>
      </c>
      <c r="L4661" s="282">
        <f>++Tabla4[[#This Row],[Precio Unitario Neto]]-Tabla4[[#This Row],[20.85%]]</f>
        <v>279.40836479999996</v>
      </c>
      <c r="M4661" s="282" t="e">
        <f>(INDEX(Tabla6[#All],MATCH(Tabla4[[#This Row],[Producto]],Tabla6[[#All],[PRODUCTO]],0),MATCH(Tabla4[[#This Row],[Mes]],Tabla6[#Headers],0)))*(1+Catalogos!$L$2)</f>
        <v>#N/A</v>
      </c>
      <c r="N4661" s="283" t="e">
        <f>+(Tabla4[[#This Row],[Precio Descontado]]-Tabla4[[#This Row],[Precio Base]])*Tabla4[[#This Row],[Cantidad]]</f>
        <v>#N/A</v>
      </c>
      <c r="O4661" s="284" t="e">
        <f>++Tabla4[[#This Row],[Utilidad Total]]/Tabla4[[#This Row],[Total]]</f>
        <v>#N/A</v>
      </c>
      <c r="P4661" s="282">
        <f>++Tabla4[[#This Row],[Precio Descontado]]*Tabla4[[#This Row],[Cantidad]]</f>
        <v>6705.800755199999</v>
      </c>
      <c r="Q4661" s="282" t="e">
        <f>(INDEX(Tabla6[#All],MATCH(Tabla4[[#This Row],[Producto]],Tabla6[[#All],[PRODUCTO]],0),MATCH(Tabla4[[#This Row],[Mes]],Tabla6[#Headers],0)))</f>
        <v>#N/A</v>
      </c>
      <c r="R4661" s="282" t="e">
        <f>++Tabla4[[#This Row],[Precio Unitario Neto]]-Tabla4[[#This Row],[20.85%]]-Tabla4[[#This Row],[Costo]]</f>
        <v>#N/A</v>
      </c>
      <c r="S4661" s="282" t="e">
        <f>++Tabla4[[#This Row],[U. Bruta Uni]]*Tabla4[[#This Row],[Cantidad]]</f>
        <v>#N/A</v>
      </c>
      <c r="T4661" s="369" t="str">
        <f>VLOOKUP(Tabla4[[#This Row],[Producto]],Tabla6[#All],14,FALSE)</f>
        <v>Termico Solar</v>
      </c>
      <c r="U4661" s="284" t="e">
        <f>(IF(Tabla4[[#This Row],[Familia]]="termico solar",Tabla4[[#This Row],[Utilidad Total]]*6%,Tabla4[[#This Row],[Utilidad Total]]*11.5%))/Tabla4[[#This Row],[Total]]</f>
        <v>#N/A</v>
      </c>
      <c r="V4661" s="282" t="e">
        <f>+Tabla4[[#This Row],[Comisión Calculada]]*Tabla4[[#This Row],[Total]]</f>
        <v>#N/A</v>
      </c>
    </row>
    <row r="4662" spans="1:22" hidden="1" x14ac:dyDescent="0.25">
      <c r="A4662" s="100">
        <v>45853</v>
      </c>
      <c r="B4662" t="str">
        <f t="shared" si="233"/>
        <v>July</v>
      </c>
      <c r="C4662" s="46" t="s">
        <v>280</v>
      </c>
      <c r="F4662" s="366" t="s">
        <v>2466</v>
      </c>
      <c r="G4662" s="46" t="s">
        <v>209</v>
      </c>
      <c r="H4662" s="46">
        <v>6</v>
      </c>
      <c r="I4662" s="51">
        <v>347.48</v>
      </c>
      <c r="J4662" s="281">
        <f>++Tabla4[[#This Row],[Precio Bruto]]*1.16</f>
        <v>403.07679999999999</v>
      </c>
      <c r="K4662" s="281">
        <f>+Tabla4[[#This Row],[Precio Unitario Neto]]*Tabla4[[#Headers],[20.85%]]</f>
        <v>84.041512799999992</v>
      </c>
      <c r="L4662" s="282">
        <f>++Tabla4[[#This Row],[Precio Unitario Neto]]-Tabla4[[#This Row],[20.85%]]</f>
        <v>319.03528719999997</v>
      </c>
      <c r="M4662" s="282" t="e">
        <f>(INDEX(Tabla6[#All],MATCH(Tabla4[[#This Row],[Producto]],Tabla6[[#All],[PRODUCTO]],0),MATCH(Tabla4[[#This Row],[Mes]],Tabla6[#Headers],0)))*(1+Catalogos!$L$2)</f>
        <v>#N/A</v>
      </c>
      <c r="N4662" s="283" t="e">
        <f>+(Tabla4[[#This Row],[Precio Descontado]]-Tabla4[[#This Row],[Precio Base]])*Tabla4[[#This Row],[Cantidad]]</f>
        <v>#N/A</v>
      </c>
      <c r="O4662" s="284" t="e">
        <f>++Tabla4[[#This Row],[Utilidad Total]]/Tabla4[[#This Row],[Total]]</f>
        <v>#N/A</v>
      </c>
      <c r="P4662" s="282">
        <f>++Tabla4[[#This Row],[Precio Descontado]]*Tabla4[[#This Row],[Cantidad]]</f>
        <v>1914.2117231999998</v>
      </c>
      <c r="Q4662" s="282" t="e">
        <f>(INDEX(Tabla6[#All],MATCH(Tabla4[[#This Row],[Producto]],Tabla6[[#All],[PRODUCTO]],0),MATCH(Tabla4[[#This Row],[Mes]],Tabla6[#Headers],0)))</f>
        <v>#N/A</v>
      </c>
      <c r="R4662" s="282" t="e">
        <f>++Tabla4[[#This Row],[Precio Unitario Neto]]-Tabla4[[#This Row],[20.85%]]-Tabla4[[#This Row],[Costo]]</f>
        <v>#N/A</v>
      </c>
      <c r="S4662" s="282" t="e">
        <f>++Tabla4[[#This Row],[U. Bruta Uni]]*Tabla4[[#This Row],[Cantidad]]</f>
        <v>#N/A</v>
      </c>
      <c r="T4662" s="369" t="str">
        <f>VLOOKUP(Tabla4[[#This Row],[Producto]],Tabla6[#All],14,FALSE)</f>
        <v>Termico Solar</v>
      </c>
      <c r="U4662" s="284" t="e">
        <f>(IF(Tabla4[[#This Row],[Familia]]="termico solar",Tabla4[[#This Row],[Utilidad Total]]*6%,Tabla4[[#This Row],[Utilidad Total]]*11.5%))/Tabla4[[#This Row],[Total]]</f>
        <v>#N/A</v>
      </c>
      <c r="V4662" s="282" t="e">
        <f>+Tabla4[[#This Row],[Comisión Calculada]]*Tabla4[[#This Row],[Total]]</f>
        <v>#N/A</v>
      </c>
    </row>
    <row r="4663" spans="1:22" hidden="1" x14ac:dyDescent="0.25">
      <c r="A4663" s="100">
        <v>45853</v>
      </c>
      <c r="B4663" t="str">
        <f t="shared" si="233"/>
        <v>July</v>
      </c>
      <c r="C4663" s="46" t="s">
        <v>280</v>
      </c>
      <c r="F4663" s="366" t="s">
        <v>2467</v>
      </c>
      <c r="G4663" s="46" t="s">
        <v>17</v>
      </c>
      <c r="H4663" s="46">
        <v>1</v>
      </c>
      <c r="I4663" s="51">
        <v>4622.28</v>
      </c>
      <c r="J4663" s="281">
        <f>++Tabla4[[#This Row],[Precio Bruto]]*1.16</f>
        <v>5361.8447999999989</v>
      </c>
      <c r="K4663" s="281">
        <f>+Tabla4[[#This Row],[Precio Unitario Neto]]*Tabla4[[#Headers],[20.85%]]</f>
        <v>1117.9446407999997</v>
      </c>
      <c r="L4663" s="282">
        <f>++Tabla4[[#This Row],[Precio Unitario Neto]]-Tabla4[[#This Row],[20.85%]]</f>
        <v>4243.9001591999995</v>
      </c>
      <c r="M4663" s="282" t="e">
        <f>(INDEX(Tabla6[#All],MATCH(Tabla4[[#This Row],[Producto]],Tabla6[[#All],[PRODUCTO]],0),MATCH(Tabla4[[#This Row],[Mes]],Tabla6[#Headers],0)))*(1+Catalogos!$L$2)</f>
        <v>#N/A</v>
      </c>
      <c r="N4663" s="283" t="e">
        <f>+(Tabla4[[#This Row],[Precio Descontado]]-Tabla4[[#This Row],[Precio Base]])*Tabla4[[#This Row],[Cantidad]]</f>
        <v>#N/A</v>
      </c>
      <c r="O4663" s="284" t="e">
        <f>++Tabla4[[#This Row],[Utilidad Total]]/Tabla4[[#This Row],[Total]]</f>
        <v>#N/A</v>
      </c>
      <c r="P4663" s="282">
        <f>++Tabla4[[#This Row],[Precio Descontado]]*Tabla4[[#This Row],[Cantidad]]</f>
        <v>4243.9001591999995</v>
      </c>
      <c r="Q4663" s="282" t="e">
        <f>(INDEX(Tabla6[#All],MATCH(Tabla4[[#This Row],[Producto]],Tabla6[[#All],[PRODUCTO]],0),MATCH(Tabla4[[#This Row],[Mes]],Tabla6[#Headers],0)))</f>
        <v>#N/A</v>
      </c>
      <c r="R4663" s="282" t="e">
        <f>++Tabla4[[#This Row],[Precio Unitario Neto]]-Tabla4[[#This Row],[20.85%]]-Tabla4[[#This Row],[Costo]]</f>
        <v>#N/A</v>
      </c>
      <c r="S4663" s="282" t="e">
        <f>++Tabla4[[#This Row],[U. Bruta Uni]]*Tabla4[[#This Row],[Cantidad]]</f>
        <v>#N/A</v>
      </c>
      <c r="T4663" s="369" t="str">
        <f>VLOOKUP(Tabla4[[#This Row],[Producto]],Tabla6[#All],14,FALSE)</f>
        <v>Termico Solar</v>
      </c>
      <c r="U4663" s="284" t="e">
        <f>(IF(Tabla4[[#This Row],[Familia]]="termico solar",Tabla4[[#This Row],[Utilidad Total]]*6%,Tabla4[[#This Row],[Utilidad Total]]*11.5%))/Tabla4[[#This Row],[Total]]</f>
        <v>#N/A</v>
      </c>
      <c r="V4663" s="282" t="e">
        <f>+Tabla4[[#This Row],[Comisión Calculada]]*Tabla4[[#This Row],[Total]]</f>
        <v>#N/A</v>
      </c>
    </row>
    <row r="4664" spans="1:22" hidden="1" x14ac:dyDescent="0.25">
      <c r="A4664" s="100">
        <v>45853</v>
      </c>
      <c r="B4664" t="str">
        <f t="shared" si="233"/>
        <v>July</v>
      </c>
      <c r="C4664" s="46" t="s">
        <v>280</v>
      </c>
      <c r="F4664" s="366" t="s">
        <v>2467</v>
      </c>
      <c r="G4664" s="46" t="s">
        <v>16</v>
      </c>
      <c r="H4664" s="46">
        <v>1</v>
      </c>
      <c r="I4664" s="51">
        <v>4103.8500000000004</v>
      </c>
      <c r="J4664" s="281">
        <f>++Tabla4[[#This Row],[Precio Bruto]]*1.16</f>
        <v>4760.4660000000003</v>
      </c>
      <c r="K4664" s="281">
        <f>+Tabla4[[#This Row],[Precio Unitario Neto]]*Tabla4[[#Headers],[20.85%]]</f>
        <v>992.55716100000006</v>
      </c>
      <c r="L4664" s="282">
        <f>++Tabla4[[#This Row],[Precio Unitario Neto]]-Tabla4[[#This Row],[20.85%]]</f>
        <v>3767.9088390000002</v>
      </c>
      <c r="M4664" s="282" t="e">
        <f>(INDEX(Tabla6[#All],MATCH(Tabla4[[#This Row],[Producto]],Tabla6[[#All],[PRODUCTO]],0),MATCH(Tabla4[[#This Row],[Mes]],Tabla6[#Headers],0)))*(1+Catalogos!$L$2)</f>
        <v>#N/A</v>
      </c>
      <c r="N4664" s="283" t="e">
        <f>+(Tabla4[[#This Row],[Precio Descontado]]-Tabla4[[#This Row],[Precio Base]])*Tabla4[[#This Row],[Cantidad]]</f>
        <v>#N/A</v>
      </c>
      <c r="O4664" s="284" t="e">
        <f>++Tabla4[[#This Row],[Utilidad Total]]/Tabla4[[#This Row],[Total]]</f>
        <v>#N/A</v>
      </c>
      <c r="P4664" s="282">
        <f>++Tabla4[[#This Row],[Precio Descontado]]*Tabla4[[#This Row],[Cantidad]]</f>
        <v>3767.9088390000002</v>
      </c>
      <c r="Q4664" s="282" t="e">
        <f>(INDEX(Tabla6[#All],MATCH(Tabla4[[#This Row],[Producto]],Tabla6[[#All],[PRODUCTO]],0),MATCH(Tabla4[[#This Row],[Mes]],Tabla6[#Headers],0)))</f>
        <v>#N/A</v>
      </c>
      <c r="R4664" s="282" t="e">
        <f>++Tabla4[[#This Row],[Precio Unitario Neto]]-Tabla4[[#This Row],[20.85%]]-Tabla4[[#This Row],[Costo]]</f>
        <v>#N/A</v>
      </c>
      <c r="S4664" s="282" t="e">
        <f>++Tabla4[[#This Row],[U. Bruta Uni]]*Tabla4[[#This Row],[Cantidad]]</f>
        <v>#N/A</v>
      </c>
      <c r="T4664" s="369" t="str">
        <f>VLOOKUP(Tabla4[[#This Row],[Producto]],Tabla6[#All],14,FALSE)</f>
        <v>Termico Solar</v>
      </c>
      <c r="U4664" s="284" t="e">
        <f>(IF(Tabla4[[#This Row],[Familia]]="termico solar",Tabla4[[#This Row],[Utilidad Total]]*6%,Tabla4[[#This Row],[Utilidad Total]]*11.5%))/Tabla4[[#This Row],[Total]]</f>
        <v>#N/A</v>
      </c>
      <c r="V4664" s="282" t="e">
        <f>+Tabla4[[#This Row],[Comisión Calculada]]*Tabla4[[#This Row],[Total]]</f>
        <v>#N/A</v>
      </c>
    </row>
    <row r="4665" spans="1:22" hidden="1" x14ac:dyDescent="0.25">
      <c r="A4665" s="100">
        <v>45853</v>
      </c>
      <c r="B4665" t="str">
        <f t="shared" si="233"/>
        <v>July</v>
      </c>
      <c r="C4665" s="46" t="s">
        <v>280</v>
      </c>
      <c r="F4665" s="366" t="s">
        <v>2467</v>
      </c>
      <c r="G4665" s="46" t="s">
        <v>200</v>
      </c>
      <c r="H4665" s="46">
        <v>12</v>
      </c>
      <c r="I4665" s="51">
        <v>393.22</v>
      </c>
      <c r="J4665" s="281">
        <f>++Tabla4[[#This Row],[Precio Bruto]]*1.16</f>
        <v>456.1352</v>
      </c>
      <c r="K4665" s="281">
        <f>+Tabla4[[#This Row],[Precio Unitario Neto]]*Tabla4[[#Headers],[20.85%]]</f>
        <v>95.104189199999993</v>
      </c>
      <c r="L4665" s="282">
        <f>++Tabla4[[#This Row],[Precio Unitario Neto]]-Tabla4[[#This Row],[20.85%]]</f>
        <v>361.03101079999999</v>
      </c>
      <c r="M4665" s="282" t="e">
        <f>(INDEX(Tabla6[#All],MATCH(Tabla4[[#This Row],[Producto]],Tabla6[[#All],[PRODUCTO]],0),MATCH(Tabla4[[#This Row],[Mes]],Tabla6[#Headers],0)))*(1+Catalogos!$L$2)</f>
        <v>#N/A</v>
      </c>
      <c r="N4665" s="283" t="e">
        <f>+(Tabla4[[#This Row],[Precio Descontado]]-Tabla4[[#This Row],[Precio Base]])*Tabla4[[#This Row],[Cantidad]]</f>
        <v>#N/A</v>
      </c>
      <c r="O4665" s="284" t="e">
        <f>++Tabla4[[#This Row],[Utilidad Total]]/Tabla4[[#This Row],[Total]]</f>
        <v>#N/A</v>
      </c>
      <c r="P4665" s="282">
        <f>++Tabla4[[#This Row],[Precio Descontado]]*Tabla4[[#This Row],[Cantidad]]</f>
        <v>4332.3721296000003</v>
      </c>
      <c r="Q4665" s="282" t="e">
        <f>(INDEX(Tabla6[#All],MATCH(Tabla4[[#This Row],[Producto]],Tabla6[[#All],[PRODUCTO]],0),MATCH(Tabla4[[#This Row],[Mes]],Tabla6[#Headers],0)))</f>
        <v>#N/A</v>
      </c>
      <c r="R4665" s="282" t="e">
        <f>++Tabla4[[#This Row],[Precio Unitario Neto]]-Tabla4[[#This Row],[20.85%]]-Tabla4[[#This Row],[Costo]]</f>
        <v>#N/A</v>
      </c>
      <c r="S4665" s="282" t="e">
        <f>++Tabla4[[#This Row],[U. Bruta Uni]]*Tabla4[[#This Row],[Cantidad]]</f>
        <v>#N/A</v>
      </c>
      <c r="T4665" s="369" t="str">
        <f>VLOOKUP(Tabla4[[#This Row],[Producto]],Tabla6[#All],14,FALSE)</f>
        <v>Termico Solar</v>
      </c>
      <c r="U4665" s="284" t="e">
        <f>(IF(Tabla4[[#This Row],[Familia]]="termico solar",Tabla4[[#This Row],[Utilidad Total]]*6%,Tabla4[[#This Row],[Utilidad Total]]*11.5%))/Tabla4[[#This Row],[Total]]</f>
        <v>#N/A</v>
      </c>
      <c r="V4665" s="282" t="e">
        <f>+Tabla4[[#This Row],[Comisión Calculada]]*Tabla4[[#This Row],[Total]]</f>
        <v>#N/A</v>
      </c>
    </row>
    <row r="4666" spans="1:22" hidden="1" x14ac:dyDescent="0.25">
      <c r="A4666" s="100">
        <v>45853</v>
      </c>
      <c r="B4666" t="str">
        <f t="shared" si="233"/>
        <v>July</v>
      </c>
      <c r="C4666" s="46" t="s">
        <v>280</v>
      </c>
      <c r="F4666" s="366" t="s">
        <v>2467</v>
      </c>
      <c r="G4666" s="46" t="s">
        <v>545</v>
      </c>
      <c r="H4666" s="46">
        <v>24</v>
      </c>
      <c r="I4666" s="51">
        <v>304.32</v>
      </c>
      <c r="J4666" s="281">
        <f>++Tabla4[[#This Row],[Precio Bruto]]*1.16</f>
        <v>353.01119999999997</v>
      </c>
      <c r="K4666" s="281">
        <f>+Tabla4[[#This Row],[Precio Unitario Neto]]*Tabla4[[#Headers],[20.85%]]</f>
        <v>73.602835199999987</v>
      </c>
      <c r="L4666" s="282">
        <f>++Tabla4[[#This Row],[Precio Unitario Neto]]-Tabla4[[#This Row],[20.85%]]</f>
        <v>279.40836479999996</v>
      </c>
      <c r="M4666" s="282" t="e">
        <f>(INDEX(Tabla6[#All],MATCH(Tabla4[[#This Row],[Producto]],Tabla6[[#All],[PRODUCTO]],0),MATCH(Tabla4[[#This Row],[Mes]],Tabla6[#Headers],0)))*(1+Catalogos!$L$2)</f>
        <v>#N/A</v>
      </c>
      <c r="N4666" s="283" t="e">
        <f>+(Tabla4[[#This Row],[Precio Descontado]]-Tabla4[[#This Row],[Precio Base]])*Tabla4[[#This Row],[Cantidad]]</f>
        <v>#N/A</v>
      </c>
      <c r="O4666" s="284" t="e">
        <f>++Tabla4[[#This Row],[Utilidad Total]]/Tabla4[[#This Row],[Total]]</f>
        <v>#N/A</v>
      </c>
      <c r="P4666" s="282">
        <f>++Tabla4[[#This Row],[Precio Descontado]]*Tabla4[[#This Row],[Cantidad]]</f>
        <v>6705.800755199999</v>
      </c>
      <c r="Q4666" s="282" t="e">
        <f>(INDEX(Tabla6[#All],MATCH(Tabla4[[#This Row],[Producto]],Tabla6[[#All],[PRODUCTO]],0),MATCH(Tabla4[[#This Row],[Mes]],Tabla6[#Headers],0)))</f>
        <v>#N/A</v>
      </c>
      <c r="R4666" s="282" t="e">
        <f>++Tabla4[[#This Row],[Precio Unitario Neto]]-Tabla4[[#This Row],[20.85%]]-Tabla4[[#This Row],[Costo]]</f>
        <v>#N/A</v>
      </c>
      <c r="S4666" s="282" t="e">
        <f>++Tabla4[[#This Row],[U. Bruta Uni]]*Tabla4[[#This Row],[Cantidad]]</f>
        <v>#N/A</v>
      </c>
      <c r="T4666" s="369" t="str">
        <f>VLOOKUP(Tabla4[[#This Row],[Producto]],Tabla6[#All],14,FALSE)</f>
        <v>Termico Solar</v>
      </c>
      <c r="U4666" s="284" t="e">
        <f>(IF(Tabla4[[#This Row],[Familia]]="termico solar",Tabla4[[#This Row],[Utilidad Total]]*6%,Tabla4[[#This Row],[Utilidad Total]]*11.5%))/Tabla4[[#This Row],[Total]]</f>
        <v>#N/A</v>
      </c>
      <c r="V4666" s="282" t="e">
        <f>+Tabla4[[#This Row],[Comisión Calculada]]*Tabla4[[#This Row],[Total]]</f>
        <v>#N/A</v>
      </c>
    </row>
    <row r="4667" spans="1:22" hidden="1" x14ac:dyDescent="0.25">
      <c r="A4667" s="100">
        <v>45853</v>
      </c>
      <c r="B4667" t="str">
        <f t="shared" si="233"/>
        <v>July</v>
      </c>
      <c r="C4667" s="46" t="s">
        <v>280</v>
      </c>
      <c r="F4667" s="366" t="s">
        <v>2467</v>
      </c>
      <c r="G4667" s="46" t="s">
        <v>209</v>
      </c>
      <c r="H4667" s="46">
        <v>2</v>
      </c>
      <c r="I4667" s="51">
        <v>347.48</v>
      </c>
      <c r="J4667" s="281">
        <f>++Tabla4[[#This Row],[Precio Bruto]]*1.16</f>
        <v>403.07679999999999</v>
      </c>
      <c r="K4667" s="281">
        <f>+Tabla4[[#This Row],[Precio Unitario Neto]]*Tabla4[[#Headers],[20.85%]]</f>
        <v>84.041512799999992</v>
      </c>
      <c r="L4667" s="282">
        <f>++Tabla4[[#This Row],[Precio Unitario Neto]]-Tabla4[[#This Row],[20.85%]]</f>
        <v>319.03528719999997</v>
      </c>
      <c r="M4667" s="282" t="e">
        <f>(INDEX(Tabla6[#All],MATCH(Tabla4[[#This Row],[Producto]],Tabla6[[#All],[PRODUCTO]],0),MATCH(Tabla4[[#This Row],[Mes]],Tabla6[#Headers],0)))*(1+Catalogos!$L$2)</f>
        <v>#N/A</v>
      </c>
      <c r="N4667" s="283" t="e">
        <f>+(Tabla4[[#This Row],[Precio Descontado]]-Tabla4[[#This Row],[Precio Base]])*Tabla4[[#This Row],[Cantidad]]</f>
        <v>#N/A</v>
      </c>
      <c r="O4667" s="284" t="e">
        <f>++Tabla4[[#This Row],[Utilidad Total]]/Tabla4[[#This Row],[Total]]</f>
        <v>#N/A</v>
      </c>
      <c r="P4667" s="282">
        <f>++Tabla4[[#This Row],[Precio Descontado]]*Tabla4[[#This Row],[Cantidad]]</f>
        <v>638.07057439999994</v>
      </c>
      <c r="Q4667" s="282" t="e">
        <f>(INDEX(Tabla6[#All],MATCH(Tabla4[[#This Row],[Producto]],Tabla6[[#All],[PRODUCTO]],0),MATCH(Tabla4[[#This Row],[Mes]],Tabla6[#Headers],0)))</f>
        <v>#N/A</v>
      </c>
      <c r="R4667" s="282" t="e">
        <f>++Tabla4[[#This Row],[Precio Unitario Neto]]-Tabla4[[#This Row],[20.85%]]-Tabla4[[#This Row],[Costo]]</f>
        <v>#N/A</v>
      </c>
      <c r="S4667" s="282" t="e">
        <f>++Tabla4[[#This Row],[U. Bruta Uni]]*Tabla4[[#This Row],[Cantidad]]</f>
        <v>#N/A</v>
      </c>
      <c r="T4667" s="369" t="str">
        <f>VLOOKUP(Tabla4[[#This Row],[Producto]],Tabla6[#All],14,FALSE)</f>
        <v>Termico Solar</v>
      </c>
      <c r="U4667" s="284" t="e">
        <f>(IF(Tabla4[[#This Row],[Familia]]="termico solar",Tabla4[[#This Row],[Utilidad Total]]*6%,Tabla4[[#This Row],[Utilidad Total]]*11.5%))/Tabla4[[#This Row],[Total]]</f>
        <v>#N/A</v>
      </c>
      <c r="V4667" s="282" t="e">
        <f>+Tabla4[[#This Row],[Comisión Calculada]]*Tabla4[[#This Row],[Total]]</f>
        <v>#N/A</v>
      </c>
    </row>
    <row r="4668" spans="1:22" hidden="1" x14ac:dyDescent="0.25">
      <c r="A4668" s="100">
        <v>45853</v>
      </c>
      <c r="B4668" t="str">
        <f t="shared" si="233"/>
        <v>July</v>
      </c>
      <c r="C4668" s="46" t="s">
        <v>280</v>
      </c>
      <c r="F4668" s="366" t="s">
        <v>2468</v>
      </c>
      <c r="G4668" s="46" t="s">
        <v>209</v>
      </c>
      <c r="H4668" s="46">
        <v>2</v>
      </c>
      <c r="I4668" s="51">
        <v>347.48</v>
      </c>
      <c r="J4668" s="281">
        <f>++Tabla4[[#This Row],[Precio Bruto]]*1.16</f>
        <v>403.07679999999999</v>
      </c>
      <c r="K4668" s="281">
        <f>+Tabla4[[#This Row],[Precio Unitario Neto]]*Tabla4[[#Headers],[20.85%]]</f>
        <v>84.041512799999992</v>
      </c>
      <c r="L4668" s="282">
        <f>++Tabla4[[#This Row],[Precio Unitario Neto]]-Tabla4[[#This Row],[20.85%]]</f>
        <v>319.03528719999997</v>
      </c>
      <c r="M4668" s="282" t="e">
        <f>(INDEX(Tabla6[#All],MATCH(Tabla4[[#This Row],[Producto]],Tabla6[[#All],[PRODUCTO]],0),MATCH(Tabla4[[#This Row],[Mes]],Tabla6[#Headers],0)))*(1+Catalogos!$L$2)</f>
        <v>#N/A</v>
      </c>
      <c r="N4668" s="283" t="e">
        <f>+(Tabla4[[#This Row],[Precio Descontado]]-Tabla4[[#This Row],[Precio Base]])*Tabla4[[#This Row],[Cantidad]]</f>
        <v>#N/A</v>
      </c>
      <c r="O4668" s="284" t="e">
        <f>++Tabla4[[#This Row],[Utilidad Total]]/Tabla4[[#This Row],[Total]]</f>
        <v>#N/A</v>
      </c>
      <c r="P4668" s="282">
        <f>++Tabla4[[#This Row],[Precio Descontado]]*Tabla4[[#This Row],[Cantidad]]</f>
        <v>638.07057439999994</v>
      </c>
      <c r="Q4668" s="282" t="e">
        <f>(INDEX(Tabla6[#All],MATCH(Tabla4[[#This Row],[Producto]],Tabla6[[#All],[PRODUCTO]],0),MATCH(Tabla4[[#This Row],[Mes]],Tabla6[#Headers],0)))</f>
        <v>#N/A</v>
      </c>
      <c r="R4668" s="282" t="e">
        <f>++Tabla4[[#This Row],[Precio Unitario Neto]]-Tabla4[[#This Row],[20.85%]]-Tabla4[[#This Row],[Costo]]</f>
        <v>#N/A</v>
      </c>
      <c r="S4668" s="282" t="e">
        <f>++Tabla4[[#This Row],[U. Bruta Uni]]*Tabla4[[#This Row],[Cantidad]]</f>
        <v>#N/A</v>
      </c>
      <c r="T4668" s="369" t="str">
        <f>VLOOKUP(Tabla4[[#This Row],[Producto]],Tabla6[#All],14,FALSE)</f>
        <v>Termico Solar</v>
      </c>
      <c r="U4668" s="284" t="e">
        <f>(IF(Tabla4[[#This Row],[Familia]]="termico solar",Tabla4[[#This Row],[Utilidad Total]]*6%,Tabla4[[#This Row],[Utilidad Total]]*11.5%))/Tabla4[[#This Row],[Total]]</f>
        <v>#N/A</v>
      </c>
      <c r="V4668" s="282" t="e">
        <f>+Tabla4[[#This Row],[Comisión Calculada]]*Tabla4[[#This Row],[Total]]</f>
        <v>#N/A</v>
      </c>
    </row>
    <row r="4669" spans="1:22" hidden="1" x14ac:dyDescent="0.25">
      <c r="A4669" s="100">
        <v>45853</v>
      </c>
      <c r="B4669" t="str">
        <f t="shared" ref="B4669:B4674" si="234">TEXT(A4669, "mmmm")</f>
        <v>July</v>
      </c>
      <c r="C4669" s="46" t="s">
        <v>280</v>
      </c>
      <c r="F4669" s="366" t="s">
        <v>2469</v>
      </c>
      <c r="G4669" s="46" t="s">
        <v>17</v>
      </c>
      <c r="H4669" s="46">
        <v>1</v>
      </c>
      <c r="I4669" s="51">
        <v>4622.28</v>
      </c>
      <c r="J4669" s="281">
        <f>++Tabla4[[#This Row],[Precio Bruto]]*1.16</f>
        <v>5361.8447999999989</v>
      </c>
      <c r="K4669" s="281">
        <f>+Tabla4[[#This Row],[Precio Unitario Neto]]*Tabla4[[#Headers],[20.85%]]</f>
        <v>1117.9446407999997</v>
      </c>
      <c r="L4669" s="282">
        <f>++Tabla4[[#This Row],[Precio Unitario Neto]]-Tabla4[[#This Row],[20.85%]]</f>
        <v>4243.9001591999995</v>
      </c>
      <c r="M4669" s="282" t="e">
        <f>(INDEX(Tabla6[#All],MATCH(Tabla4[[#This Row],[Producto]],Tabla6[[#All],[PRODUCTO]],0),MATCH(Tabla4[[#This Row],[Mes]],Tabla6[#Headers],0)))*(1+Catalogos!$L$2)</f>
        <v>#N/A</v>
      </c>
      <c r="N4669" s="283" t="e">
        <f>+(Tabla4[[#This Row],[Precio Descontado]]-Tabla4[[#This Row],[Precio Base]])*Tabla4[[#This Row],[Cantidad]]</f>
        <v>#N/A</v>
      </c>
      <c r="O4669" s="284" t="e">
        <f>++Tabla4[[#This Row],[Utilidad Total]]/Tabla4[[#This Row],[Total]]</f>
        <v>#N/A</v>
      </c>
      <c r="P4669" s="282">
        <f>++Tabla4[[#This Row],[Precio Descontado]]*Tabla4[[#This Row],[Cantidad]]</f>
        <v>4243.9001591999995</v>
      </c>
      <c r="Q4669" s="282" t="e">
        <f>(INDEX(Tabla6[#All],MATCH(Tabla4[[#This Row],[Producto]],Tabla6[[#All],[PRODUCTO]],0),MATCH(Tabla4[[#This Row],[Mes]],Tabla6[#Headers],0)))</f>
        <v>#N/A</v>
      </c>
      <c r="R4669" s="282" t="e">
        <f>++Tabla4[[#This Row],[Precio Unitario Neto]]-Tabla4[[#This Row],[20.85%]]-Tabla4[[#This Row],[Costo]]</f>
        <v>#N/A</v>
      </c>
      <c r="S4669" s="282" t="e">
        <f>++Tabla4[[#This Row],[U. Bruta Uni]]*Tabla4[[#This Row],[Cantidad]]</f>
        <v>#N/A</v>
      </c>
      <c r="T4669" s="369" t="str">
        <f>VLOOKUP(Tabla4[[#This Row],[Producto]],Tabla6[#All],14,FALSE)</f>
        <v>Termico Solar</v>
      </c>
      <c r="U4669" s="284" t="e">
        <f>(IF(Tabla4[[#This Row],[Familia]]="termico solar",Tabla4[[#This Row],[Utilidad Total]]*6%,Tabla4[[#This Row],[Utilidad Total]]*11.5%))/Tabla4[[#This Row],[Total]]</f>
        <v>#N/A</v>
      </c>
      <c r="V4669" s="282" t="e">
        <f>+Tabla4[[#This Row],[Comisión Calculada]]*Tabla4[[#This Row],[Total]]</f>
        <v>#N/A</v>
      </c>
    </row>
    <row r="4670" spans="1:22" hidden="1" x14ac:dyDescent="0.25">
      <c r="A4670" s="100">
        <v>45853</v>
      </c>
      <c r="B4670" t="str">
        <f t="shared" si="234"/>
        <v>July</v>
      </c>
      <c r="C4670" s="46" t="s">
        <v>280</v>
      </c>
      <c r="F4670" s="366" t="s">
        <v>2469</v>
      </c>
      <c r="G4670" s="46" t="s">
        <v>18</v>
      </c>
      <c r="H4670" s="46">
        <v>1</v>
      </c>
      <c r="I4670" s="51">
        <v>5367.65</v>
      </c>
      <c r="J4670" s="281">
        <f>++Tabla4[[#This Row],[Precio Bruto]]*1.16</f>
        <v>6226.4739999999993</v>
      </c>
      <c r="K4670" s="281">
        <f>+Tabla4[[#This Row],[Precio Unitario Neto]]*Tabla4[[#Headers],[20.85%]]</f>
        <v>1298.2198289999999</v>
      </c>
      <c r="L4670" s="282">
        <f>++Tabla4[[#This Row],[Precio Unitario Neto]]-Tabla4[[#This Row],[20.85%]]</f>
        <v>4928.2541709999996</v>
      </c>
      <c r="M4670" s="282" t="e">
        <f>(INDEX(Tabla6[#All],MATCH(Tabla4[[#This Row],[Producto]],Tabla6[[#All],[PRODUCTO]],0),MATCH(Tabla4[[#This Row],[Mes]],Tabla6[#Headers],0)))*(1+Catalogos!$L$2)</f>
        <v>#N/A</v>
      </c>
      <c r="N4670" s="283" t="e">
        <f>+(Tabla4[[#This Row],[Precio Descontado]]-Tabla4[[#This Row],[Precio Base]])*Tabla4[[#This Row],[Cantidad]]</f>
        <v>#N/A</v>
      </c>
      <c r="O4670" s="284" t="e">
        <f>++Tabla4[[#This Row],[Utilidad Total]]/Tabla4[[#This Row],[Total]]</f>
        <v>#N/A</v>
      </c>
      <c r="P4670" s="282">
        <f>++Tabla4[[#This Row],[Precio Descontado]]*Tabla4[[#This Row],[Cantidad]]</f>
        <v>4928.2541709999996</v>
      </c>
      <c r="Q4670" s="282" t="e">
        <f>(INDEX(Tabla6[#All],MATCH(Tabla4[[#This Row],[Producto]],Tabla6[[#All],[PRODUCTO]],0),MATCH(Tabla4[[#This Row],[Mes]],Tabla6[#Headers],0)))</f>
        <v>#N/A</v>
      </c>
      <c r="R4670" s="282" t="e">
        <f>++Tabla4[[#This Row],[Precio Unitario Neto]]-Tabla4[[#This Row],[20.85%]]-Tabla4[[#This Row],[Costo]]</f>
        <v>#N/A</v>
      </c>
      <c r="S4670" s="282" t="e">
        <f>++Tabla4[[#This Row],[U. Bruta Uni]]*Tabla4[[#This Row],[Cantidad]]</f>
        <v>#N/A</v>
      </c>
      <c r="T4670" s="369" t="str">
        <f>VLOOKUP(Tabla4[[#This Row],[Producto]],Tabla6[#All],14,FALSE)</f>
        <v>Termico Solar</v>
      </c>
      <c r="U4670" s="284" t="e">
        <f>(IF(Tabla4[[#This Row],[Familia]]="termico solar",Tabla4[[#This Row],[Utilidad Total]]*6%,Tabla4[[#This Row],[Utilidad Total]]*11.5%))/Tabla4[[#This Row],[Total]]</f>
        <v>#N/A</v>
      </c>
      <c r="V4670" s="282" t="e">
        <f>+Tabla4[[#This Row],[Comisión Calculada]]*Tabla4[[#This Row],[Total]]</f>
        <v>#N/A</v>
      </c>
    </row>
    <row r="4671" spans="1:22" hidden="1" x14ac:dyDescent="0.25">
      <c r="A4671" s="100">
        <v>45853</v>
      </c>
      <c r="B4671" t="str">
        <f t="shared" si="234"/>
        <v>July</v>
      </c>
      <c r="C4671" s="46" t="s">
        <v>280</v>
      </c>
      <c r="F4671" s="366" t="s">
        <v>2469</v>
      </c>
      <c r="G4671" s="46" t="s">
        <v>16</v>
      </c>
      <c r="H4671" s="46">
        <v>1</v>
      </c>
      <c r="I4671" s="51">
        <v>4103.8500000000004</v>
      </c>
      <c r="J4671" s="281">
        <f>++Tabla4[[#This Row],[Precio Bruto]]*1.16</f>
        <v>4760.4660000000003</v>
      </c>
      <c r="K4671" s="281">
        <f>+Tabla4[[#This Row],[Precio Unitario Neto]]*Tabla4[[#Headers],[20.85%]]</f>
        <v>992.55716100000006</v>
      </c>
      <c r="L4671" s="282">
        <f>++Tabla4[[#This Row],[Precio Unitario Neto]]-Tabla4[[#This Row],[20.85%]]</f>
        <v>3767.9088390000002</v>
      </c>
      <c r="M4671" s="282" t="e">
        <f>(INDEX(Tabla6[#All],MATCH(Tabla4[[#This Row],[Producto]],Tabla6[[#All],[PRODUCTO]],0),MATCH(Tabla4[[#This Row],[Mes]],Tabla6[#Headers],0)))*(1+Catalogos!$L$2)</f>
        <v>#N/A</v>
      </c>
      <c r="N4671" s="283" t="e">
        <f>+(Tabla4[[#This Row],[Precio Descontado]]-Tabla4[[#This Row],[Precio Base]])*Tabla4[[#This Row],[Cantidad]]</f>
        <v>#N/A</v>
      </c>
      <c r="O4671" s="284" t="e">
        <f>++Tabla4[[#This Row],[Utilidad Total]]/Tabla4[[#This Row],[Total]]</f>
        <v>#N/A</v>
      </c>
      <c r="P4671" s="282">
        <f>++Tabla4[[#This Row],[Precio Descontado]]*Tabla4[[#This Row],[Cantidad]]</f>
        <v>3767.9088390000002</v>
      </c>
      <c r="Q4671" s="282" t="e">
        <f>(INDEX(Tabla6[#All],MATCH(Tabla4[[#This Row],[Producto]],Tabla6[[#All],[PRODUCTO]],0),MATCH(Tabla4[[#This Row],[Mes]],Tabla6[#Headers],0)))</f>
        <v>#N/A</v>
      </c>
      <c r="R4671" s="282" t="e">
        <f>++Tabla4[[#This Row],[Precio Unitario Neto]]-Tabla4[[#This Row],[20.85%]]-Tabla4[[#This Row],[Costo]]</f>
        <v>#N/A</v>
      </c>
      <c r="S4671" s="282" t="e">
        <f>++Tabla4[[#This Row],[U. Bruta Uni]]*Tabla4[[#This Row],[Cantidad]]</f>
        <v>#N/A</v>
      </c>
      <c r="T4671" s="369" t="str">
        <f>VLOOKUP(Tabla4[[#This Row],[Producto]],Tabla6[#All],14,FALSE)</f>
        <v>Termico Solar</v>
      </c>
      <c r="U4671" s="284" t="e">
        <f>(IF(Tabla4[[#This Row],[Familia]]="termico solar",Tabla4[[#This Row],[Utilidad Total]]*6%,Tabla4[[#This Row],[Utilidad Total]]*11.5%))/Tabla4[[#This Row],[Total]]</f>
        <v>#N/A</v>
      </c>
      <c r="V4671" s="282" t="e">
        <f>+Tabla4[[#This Row],[Comisión Calculada]]*Tabla4[[#This Row],[Total]]</f>
        <v>#N/A</v>
      </c>
    </row>
    <row r="4672" spans="1:22" hidden="1" x14ac:dyDescent="0.25">
      <c r="A4672" s="100">
        <v>45853</v>
      </c>
      <c r="B4672" t="str">
        <f t="shared" si="234"/>
        <v>July</v>
      </c>
      <c r="C4672" s="46" t="s">
        <v>280</v>
      </c>
      <c r="F4672" s="366" t="s">
        <v>2469</v>
      </c>
      <c r="G4672" s="46" t="s">
        <v>200</v>
      </c>
      <c r="H4672" s="46">
        <v>12</v>
      </c>
      <c r="I4672" s="51">
        <v>393.22</v>
      </c>
      <c r="J4672" s="281">
        <f>++Tabla4[[#This Row],[Precio Bruto]]*1.16</f>
        <v>456.1352</v>
      </c>
      <c r="K4672" s="281">
        <f>+Tabla4[[#This Row],[Precio Unitario Neto]]*Tabla4[[#Headers],[20.85%]]</f>
        <v>95.104189199999993</v>
      </c>
      <c r="L4672" s="282">
        <f>++Tabla4[[#This Row],[Precio Unitario Neto]]-Tabla4[[#This Row],[20.85%]]</f>
        <v>361.03101079999999</v>
      </c>
      <c r="M4672" s="282" t="e">
        <f>(INDEX(Tabla6[#All],MATCH(Tabla4[[#This Row],[Producto]],Tabla6[[#All],[PRODUCTO]],0),MATCH(Tabla4[[#This Row],[Mes]],Tabla6[#Headers],0)))*(1+Catalogos!$L$2)</f>
        <v>#N/A</v>
      </c>
      <c r="N4672" s="283" t="e">
        <f>+(Tabla4[[#This Row],[Precio Descontado]]-Tabla4[[#This Row],[Precio Base]])*Tabla4[[#This Row],[Cantidad]]</f>
        <v>#N/A</v>
      </c>
      <c r="O4672" s="284" t="e">
        <f>++Tabla4[[#This Row],[Utilidad Total]]/Tabla4[[#This Row],[Total]]</f>
        <v>#N/A</v>
      </c>
      <c r="P4672" s="282">
        <f>++Tabla4[[#This Row],[Precio Descontado]]*Tabla4[[#This Row],[Cantidad]]</f>
        <v>4332.3721296000003</v>
      </c>
      <c r="Q4672" s="282" t="e">
        <f>(INDEX(Tabla6[#All],MATCH(Tabla4[[#This Row],[Producto]],Tabla6[[#All],[PRODUCTO]],0),MATCH(Tabla4[[#This Row],[Mes]],Tabla6[#Headers],0)))</f>
        <v>#N/A</v>
      </c>
      <c r="R4672" s="282" t="e">
        <f>++Tabla4[[#This Row],[Precio Unitario Neto]]-Tabla4[[#This Row],[20.85%]]-Tabla4[[#This Row],[Costo]]</f>
        <v>#N/A</v>
      </c>
      <c r="S4672" s="282" t="e">
        <f>++Tabla4[[#This Row],[U. Bruta Uni]]*Tabla4[[#This Row],[Cantidad]]</f>
        <v>#N/A</v>
      </c>
      <c r="T4672" s="369" t="str">
        <f>VLOOKUP(Tabla4[[#This Row],[Producto]],Tabla6[#All],14,FALSE)</f>
        <v>Termico Solar</v>
      </c>
      <c r="U4672" s="284" t="e">
        <f>(IF(Tabla4[[#This Row],[Familia]]="termico solar",Tabla4[[#This Row],[Utilidad Total]]*6%,Tabla4[[#This Row],[Utilidad Total]]*11.5%))/Tabla4[[#This Row],[Total]]</f>
        <v>#N/A</v>
      </c>
      <c r="V4672" s="282" t="e">
        <f>+Tabla4[[#This Row],[Comisión Calculada]]*Tabla4[[#This Row],[Total]]</f>
        <v>#N/A</v>
      </c>
    </row>
    <row r="4673" spans="1:22" hidden="1" x14ac:dyDescent="0.25">
      <c r="A4673" s="100">
        <v>45853</v>
      </c>
      <c r="B4673" t="str">
        <f t="shared" si="234"/>
        <v>July</v>
      </c>
      <c r="C4673" s="46" t="s">
        <v>280</v>
      </c>
      <c r="F4673" s="366" t="s">
        <v>2469</v>
      </c>
      <c r="G4673" s="46" t="s">
        <v>545</v>
      </c>
      <c r="H4673" s="46">
        <v>24</v>
      </c>
      <c r="I4673" s="51">
        <v>304.32</v>
      </c>
      <c r="J4673" s="281">
        <f>++Tabla4[[#This Row],[Precio Bruto]]*1.16</f>
        <v>353.01119999999997</v>
      </c>
      <c r="K4673" s="281">
        <f>+Tabla4[[#This Row],[Precio Unitario Neto]]*Tabla4[[#Headers],[20.85%]]</f>
        <v>73.602835199999987</v>
      </c>
      <c r="L4673" s="282">
        <f>++Tabla4[[#This Row],[Precio Unitario Neto]]-Tabla4[[#This Row],[20.85%]]</f>
        <v>279.40836479999996</v>
      </c>
      <c r="M4673" s="282" t="e">
        <f>(INDEX(Tabla6[#All],MATCH(Tabla4[[#This Row],[Producto]],Tabla6[[#All],[PRODUCTO]],0),MATCH(Tabla4[[#This Row],[Mes]],Tabla6[#Headers],0)))*(1+Catalogos!$L$2)</f>
        <v>#N/A</v>
      </c>
      <c r="N4673" s="283" t="e">
        <f>+(Tabla4[[#This Row],[Precio Descontado]]-Tabla4[[#This Row],[Precio Base]])*Tabla4[[#This Row],[Cantidad]]</f>
        <v>#N/A</v>
      </c>
      <c r="O4673" s="284" t="e">
        <f>++Tabla4[[#This Row],[Utilidad Total]]/Tabla4[[#This Row],[Total]]</f>
        <v>#N/A</v>
      </c>
      <c r="P4673" s="282">
        <f>++Tabla4[[#This Row],[Precio Descontado]]*Tabla4[[#This Row],[Cantidad]]</f>
        <v>6705.800755199999</v>
      </c>
      <c r="Q4673" s="282" t="e">
        <f>(INDEX(Tabla6[#All],MATCH(Tabla4[[#This Row],[Producto]],Tabla6[[#All],[PRODUCTO]],0),MATCH(Tabla4[[#This Row],[Mes]],Tabla6[#Headers],0)))</f>
        <v>#N/A</v>
      </c>
      <c r="R4673" s="282" t="e">
        <f>++Tabla4[[#This Row],[Precio Unitario Neto]]-Tabla4[[#This Row],[20.85%]]-Tabla4[[#This Row],[Costo]]</f>
        <v>#N/A</v>
      </c>
      <c r="S4673" s="282" t="e">
        <f>++Tabla4[[#This Row],[U. Bruta Uni]]*Tabla4[[#This Row],[Cantidad]]</f>
        <v>#N/A</v>
      </c>
      <c r="T4673" s="369" t="str">
        <f>VLOOKUP(Tabla4[[#This Row],[Producto]],Tabla6[#All],14,FALSE)</f>
        <v>Termico Solar</v>
      </c>
      <c r="U4673" s="284" t="e">
        <f>(IF(Tabla4[[#This Row],[Familia]]="termico solar",Tabla4[[#This Row],[Utilidad Total]]*6%,Tabla4[[#This Row],[Utilidad Total]]*11.5%))/Tabla4[[#This Row],[Total]]</f>
        <v>#N/A</v>
      </c>
      <c r="V4673" s="282" t="e">
        <f>+Tabla4[[#This Row],[Comisión Calculada]]*Tabla4[[#This Row],[Total]]</f>
        <v>#N/A</v>
      </c>
    </row>
    <row r="4674" spans="1:22" hidden="1" x14ac:dyDescent="0.25">
      <c r="A4674" s="100">
        <v>45853</v>
      </c>
      <c r="B4674" t="str">
        <f t="shared" si="234"/>
        <v>July</v>
      </c>
      <c r="C4674" s="46" t="s">
        <v>280</v>
      </c>
      <c r="F4674" s="366" t="s">
        <v>2469</v>
      </c>
      <c r="G4674" s="46" t="s">
        <v>209</v>
      </c>
      <c r="H4674" s="46">
        <v>2</v>
      </c>
      <c r="I4674" s="51">
        <v>347.48</v>
      </c>
      <c r="J4674" s="281">
        <f>++Tabla4[[#This Row],[Precio Bruto]]*1.16</f>
        <v>403.07679999999999</v>
      </c>
      <c r="K4674" s="281">
        <f>+Tabla4[[#This Row],[Precio Unitario Neto]]*Tabla4[[#Headers],[20.85%]]</f>
        <v>84.041512799999992</v>
      </c>
      <c r="L4674" s="282">
        <f>++Tabla4[[#This Row],[Precio Unitario Neto]]-Tabla4[[#This Row],[20.85%]]</f>
        <v>319.03528719999997</v>
      </c>
      <c r="M4674" s="282" t="e">
        <f>(INDEX(Tabla6[#All],MATCH(Tabla4[[#This Row],[Producto]],Tabla6[[#All],[PRODUCTO]],0),MATCH(Tabla4[[#This Row],[Mes]],Tabla6[#Headers],0)))*(1+Catalogos!$L$2)</f>
        <v>#N/A</v>
      </c>
      <c r="N4674" s="283" t="e">
        <f>+(Tabla4[[#This Row],[Precio Descontado]]-Tabla4[[#This Row],[Precio Base]])*Tabla4[[#This Row],[Cantidad]]</f>
        <v>#N/A</v>
      </c>
      <c r="O4674" s="284" t="e">
        <f>++Tabla4[[#This Row],[Utilidad Total]]/Tabla4[[#This Row],[Total]]</f>
        <v>#N/A</v>
      </c>
      <c r="P4674" s="282">
        <f>++Tabla4[[#This Row],[Precio Descontado]]*Tabla4[[#This Row],[Cantidad]]</f>
        <v>638.07057439999994</v>
      </c>
      <c r="Q4674" s="282" t="e">
        <f>(INDEX(Tabla6[#All],MATCH(Tabla4[[#This Row],[Producto]],Tabla6[[#All],[PRODUCTO]],0),MATCH(Tabla4[[#This Row],[Mes]],Tabla6[#Headers],0)))</f>
        <v>#N/A</v>
      </c>
      <c r="R4674" s="282" t="e">
        <f>++Tabla4[[#This Row],[Precio Unitario Neto]]-Tabla4[[#This Row],[20.85%]]-Tabla4[[#This Row],[Costo]]</f>
        <v>#N/A</v>
      </c>
      <c r="S4674" s="282" t="e">
        <f>++Tabla4[[#This Row],[U. Bruta Uni]]*Tabla4[[#This Row],[Cantidad]]</f>
        <v>#N/A</v>
      </c>
      <c r="T4674" s="369" t="str">
        <f>VLOOKUP(Tabla4[[#This Row],[Producto]],Tabla6[#All],14,FALSE)</f>
        <v>Termico Solar</v>
      </c>
      <c r="U4674" s="284" t="e">
        <f>(IF(Tabla4[[#This Row],[Familia]]="termico solar",Tabla4[[#This Row],[Utilidad Total]]*6%,Tabla4[[#This Row],[Utilidad Total]]*11.5%))/Tabla4[[#This Row],[Total]]</f>
        <v>#N/A</v>
      </c>
      <c r="V4674" s="282" t="e">
        <f>+Tabla4[[#This Row],[Comisión Calculada]]*Tabla4[[#This Row],[Total]]</f>
        <v>#N/A</v>
      </c>
    </row>
    <row r="4675" spans="1:22" hidden="1" x14ac:dyDescent="0.25">
      <c r="A4675" s="100">
        <v>45853</v>
      </c>
      <c r="B4675" t="str">
        <f t="shared" ref="B4675:B4706" si="235">TEXT(A4675, "mmmm")</f>
        <v>July</v>
      </c>
      <c r="C4675" s="46" t="s">
        <v>280</v>
      </c>
      <c r="F4675" s="366" t="s">
        <v>2470</v>
      </c>
      <c r="G4675" s="46" t="s">
        <v>200</v>
      </c>
      <c r="H4675" s="46">
        <v>12</v>
      </c>
      <c r="I4675" s="51">
        <v>393.22</v>
      </c>
      <c r="J4675" s="281">
        <f>++Tabla4[[#This Row],[Precio Bruto]]*1.16</f>
        <v>456.1352</v>
      </c>
      <c r="K4675" s="281">
        <f>+Tabla4[[#This Row],[Precio Unitario Neto]]*Tabla4[[#Headers],[20.85%]]</f>
        <v>95.104189199999993</v>
      </c>
      <c r="L4675" s="282">
        <f>++Tabla4[[#This Row],[Precio Unitario Neto]]-Tabla4[[#This Row],[20.85%]]</f>
        <v>361.03101079999999</v>
      </c>
      <c r="M4675" s="282" t="e">
        <f>(INDEX(Tabla6[#All],MATCH(Tabla4[[#This Row],[Producto]],Tabla6[[#All],[PRODUCTO]],0),MATCH(Tabla4[[#This Row],[Mes]],Tabla6[#Headers],0)))*(1+Catalogos!$L$2)</f>
        <v>#N/A</v>
      </c>
      <c r="N4675" s="283" t="e">
        <f>+(Tabla4[[#This Row],[Precio Descontado]]-Tabla4[[#This Row],[Precio Base]])*Tabla4[[#This Row],[Cantidad]]</f>
        <v>#N/A</v>
      </c>
      <c r="O4675" s="284" t="e">
        <f>++Tabla4[[#This Row],[Utilidad Total]]/Tabla4[[#This Row],[Total]]</f>
        <v>#N/A</v>
      </c>
      <c r="P4675" s="282">
        <f>++Tabla4[[#This Row],[Precio Descontado]]*Tabla4[[#This Row],[Cantidad]]</f>
        <v>4332.3721296000003</v>
      </c>
      <c r="Q4675" s="282" t="e">
        <f>(INDEX(Tabla6[#All],MATCH(Tabla4[[#This Row],[Producto]],Tabla6[[#All],[PRODUCTO]],0),MATCH(Tabla4[[#This Row],[Mes]],Tabla6[#Headers],0)))</f>
        <v>#N/A</v>
      </c>
      <c r="R4675" s="282" t="e">
        <f>++Tabla4[[#This Row],[Precio Unitario Neto]]-Tabla4[[#This Row],[20.85%]]-Tabla4[[#This Row],[Costo]]</f>
        <v>#N/A</v>
      </c>
      <c r="S4675" s="282" t="e">
        <f>++Tabla4[[#This Row],[U. Bruta Uni]]*Tabla4[[#This Row],[Cantidad]]</f>
        <v>#N/A</v>
      </c>
      <c r="T4675" s="369" t="str">
        <f>VLOOKUP(Tabla4[[#This Row],[Producto]],Tabla6[#All],14,FALSE)</f>
        <v>Termico Solar</v>
      </c>
      <c r="U4675" s="284" t="e">
        <f>(IF(Tabla4[[#This Row],[Familia]]="termico solar",Tabla4[[#This Row],[Utilidad Total]]*6%,Tabla4[[#This Row],[Utilidad Total]]*11.5%))/Tabla4[[#This Row],[Total]]</f>
        <v>#N/A</v>
      </c>
      <c r="V4675" s="282" t="e">
        <f>+Tabla4[[#This Row],[Comisión Calculada]]*Tabla4[[#This Row],[Total]]</f>
        <v>#N/A</v>
      </c>
    </row>
    <row r="4676" spans="1:22" hidden="1" x14ac:dyDescent="0.25">
      <c r="A4676" s="100">
        <v>45853</v>
      </c>
      <c r="B4676" t="str">
        <f t="shared" si="235"/>
        <v>July</v>
      </c>
      <c r="C4676" s="46" t="s">
        <v>280</v>
      </c>
      <c r="F4676" s="366" t="s">
        <v>2470</v>
      </c>
      <c r="G4676" s="46" t="s">
        <v>545</v>
      </c>
      <c r="H4676" s="46">
        <v>24</v>
      </c>
      <c r="I4676" s="51">
        <v>304.32</v>
      </c>
      <c r="J4676" s="281">
        <f>++Tabla4[[#This Row],[Precio Bruto]]*1.16</f>
        <v>353.01119999999997</v>
      </c>
      <c r="K4676" s="281">
        <f>+Tabla4[[#This Row],[Precio Unitario Neto]]*Tabla4[[#Headers],[20.85%]]</f>
        <v>73.602835199999987</v>
      </c>
      <c r="L4676" s="282">
        <f>++Tabla4[[#This Row],[Precio Unitario Neto]]-Tabla4[[#This Row],[20.85%]]</f>
        <v>279.40836479999996</v>
      </c>
      <c r="M4676" s="282" t="e">
        <f>(INDEX(Tabla6[#All],MATCH(Tabla4[[#This Row],[Producto]],Tabla6[[#All],[PRODUCTO]],0),MATCH(Tabla4[[#This Row],[Mes]],Tabla6[#Headers],0)))*(1+Catalogos!$L$2)</f>
        <v>#N/A</v>
      </c>
      <c r="N4676" s="283" t="e">
        <f>+(Tabla4[[#This Row],[Precio Descontado]]-Tabla4[[#This Row],[Precio Base]])*Tabla4[[#This Row],[Cantidad]]</f>
        <v>#N/A</v>
      </c>
      <c r="O4676" s="284" t="e">
        <f>++Tabla4[[#This Row],[Utilidad Total]]/Tabla4[[#This Row],[Total]]</f>
        <v>#N/A</v>
      </c>
      <c r="P4676" s="282">
        <f>++Tabla4[[#This Row],[Precio Descontado]]*Tabla4[[#This Row],[Cantidad]]</f>
        <v>6705.800755199999</v>
      </c>
      <c r="Q4676" s="282" t="e">
        <f>(INDEX(Tabla6[#All],MATCH(Tabla4[[#This Row],[Producto]],Tabla6[[#All],[PRODUCTO]],0),MATCH(Tabla4[[#This Row],[Mes]],Tabla6[#Headers],0)))</f>
        <v>#N/A</v>
      </c>
      <c r="R4676" s="282" t="e">
        <f>++Tabla4[[#This Row],[Precio Unitario Neto]]-Tabla4[[#This Row],[20.85%]]-Tabla4[[#This Row],[Costo]]</f>
        <v>#N/A</v>
      </c>
      <c r="S4676" s="282" t="e">
        <f>++Tabla4[[#This Row],[U. Bruta Uni]]*Tabla4[[#This Row],[Cantidad]]</f>
        <v>#N/A</v>
      </c>
      <c r="T4676" s="369" t="str">
        <f>VLOOKUP(Tabla4[[#This Row],[Producto]],Tabla6[#All],14,FALSE)</f>
        <v>Termico Solar</v>
      </c>
      <c r="U4676" s="284" t="e">
        <f>(IF(Tabla4[[#This Row],[Familia]]="termico solar",Tabla4[[#This Row],[Utilidad Total]]*6%,Tabla4[[#This Row],[Utilidad Total]]*11.5%))/Tabla4[[#This Row],[Total]]</f>
        <v>#N/A</v>
      </c>
      <c r="V4676" s="282" t="e">
        <f>+Tabla4[[#This Row],[Comisión Calculada]]*Tabla4[[#This Row],[Total]]</f>
        <v>#N/A</v>
      </c>
    </row>
    <row r="4677" spans="1:22" hidden="1" x14ac:dyDescent="0.25">
      <c r="A4677" s="100">
        <v>45853</v>
      </c>
      <c r="B4677" t="str">
        <f t="shared" si="235"/>
        <v>July</v>
      </c>
      <c r="C4677" s="46" t="s">
        <v>280</v>
      </c>
      <c r="F4677" s="366" t="s">
        <v>2470</v>
      </c>
      <c r="G4677" s="46" t="s">
        <v>209</v>
      </c>
      <c r="H4677" s="46">
        <v>2</v>
      </c>
      <c r="I4677" s="51">
        <v>347.48</v>
      </c>
      <c r="J4677" s="281">
        <f>++Tabla4[[#This Row],[Precio Bruto]]*1.16</f>
        <v>403.07679999999999</v>
      </c>
      <c r="K4677" s="281">
        <f>+Tabla4[[#This Row],[Precio Unitario Neto]]*Tabla4[[#Headers],[20.85%]]</f>
        <v>84.041512799999992</v>
      </c>
      <c r="L4677" s="282">
        <f>++Tabla4[[#This Row],[Precio Unitario Neto]]-Tabla4[[#This Row],[20.85%]]</f>
        <v>319.03528719999997</v>
      </c>
      <c r="M4677" s="282" t="e">
        <f>(INDEX(Tabla6[#All],MATCH(Tabla4[[#This Row],[Producto]],Tabla6[[#All],[PRODUCTO]],0),MATCH(Tabla4[[#This Row],[Mes]],Tabla6[#Headers],0)))*(1+Catalogos!$L$2)</f>
        <v>#N/A</v>
      </c>
      <c r="N4677" s="283" t="e">
        <f>+(Tabla4[[#This Row],[Precio Descontado]]-Tabla4[[#This Row],[Precio Base]])*Tabla4[[#This Row],[Cantidad]]</f>
        <v>#N/A</v>
      </c>
      <c r="O4677" s="284" t="e">
        <f>++Tabla4[[#This Row],[Utilidad Total]]/Tabla4[[#This Row],[Total]]</f>
        <v>#N/A</v>
      </c>
      <c r="P4677" s="282">
        <f>++Tabla4[[#This Row],[Precio Descontado]]*Tabla4[[#This Row],[Cantidad]]</f>
        <v>638.07057439999994</v>
      </c>
      <c r="Q4677" s="282" t="e">
        <f>(INDEX(Tabla6[#All],MATCH(Tabla4[[#This Row],[Producto]],Tabla6[[#All],[PRODUCTO]],0),MATCH(Tabla4[[#This Row],[Mes]],Tabla6[#Headers],0)))</f>
        <v>#N/A</v>
      </c>
      <c r="R4677" s="282" t="e">
        <f>++Tabla4[[#This Row],[Precio Unitario Neto]]-Tabla4[[#This Row],[20.85%]]-Tabla4[[#This Row],[Costo]]</f>
        <v>#N/A</v>
      </c>
      <c r="S4677" s="282" t="e">
        <f>++Tabla4[[#This Row],[U. Bruta Uni]]*Tabla4[[#This Row],[Cantidad]]</f>
        <v>#N/A</v>
      </c>
      <c r="T4677" s="369" t="str">
        <f>VLOOKUP(Tabla4[[#This Row],[Producto]],Tabla6[#All],14,FALSE)</f>
        <v>Termico Solar</v>
      </c>
      <c r="U4677" s="284" t="e">
        <f>(IF(Tabla4[[#This Row],[Familia]]="termico solar",Tabla4[[#This Row],[Utilidad Total]]*6%,Tabla4[[#This Row],[Utilidad Total]]*11.5%))/Tabla4[[#This Row],[Total]]</f>
        <v>#N/A</v>
      </c>
      <c r="V4677" s="282" t="e">
        <f>+Tabla4[[#This Row],[Comisión Calculada]]*Tabla4[[#This Row],[Total]]</f>
        <v>#N/A</v>
      </c>
    </row>
    <row r="4678" spans="1:22" hidden="1" x14ac:dyDescent="0.25">
      <c r="A4678" s="100">
        <v>45853</v>
      </c>
      <c r="B4678" t="str">
        <f t="shared" si="235"/>
        <v>July</v>
      </c>
      <c r="C4678" s="46" t="s">
        <v>280</v>
      </c>
      <c r="F4678" s="366" t="s">
        <v>2471</v>
      </c>
      <c r="G4678" s="46" t="s">
        <v>200</v>
      </c>
      <c r="H4678" s="46">
        <v>12</v>
      </c>
      <c r="I4678" s="51">
        <v>393.22</v>
      </c>
      <c r="J4678" s="281">
        <f>++Tabla4[[#This Row],[Precio Bruto]]*1.16</f>
        <v>456.1352</v>
      </c>
      <c r="K4678" s="281">
        <f>+Tabla4[[#This Row],[Precio Unitario Neto]]*Tabla4[[#Headers],[20.85%]]</f>
        <v>95.104189199999993</v>
      </c>
      <c r="L4678" s="282">
        <f>++Tabla4[[#This Row],[Precio Unitario Neto]]-Tabla4[[#This Row],[20.85%]]</f>
        <v>361.03101079999999</v>
      </c>
      <c r="M4678" s="282" t="e">
        <f>(INDEX(Tabla6[#All],MATCH(Tabla4[[#This Row],[Producto]],Tabla6[[#All],[PRODUCTO]],0),MATCH(Tabla4[[#This Row],[Mes]],Tabla6[#Headers],0)))*(1+Catalogos!$L$2)</f>
        <v>#N/A</v>
      </c>
      <c r="N4678" s="283" t="e">
        <f>+(Tabla4[[#This Row],[Precio Descontado]]-Tabla4[[#This Row],[Precio Base]])*Tabla4[[#This Row],[Cantidad]]</f>
        <v>#N/A</v>
      </c>
      <c r="O4678" s="284" t="e">
        <f>++Tabla4[[#This Row],[Utilidad Total]]/Tabla4[[#This Row],[Total]]</f>
        <v>#N/A</v>
      </c>
      <c r="P4678" s="282">
        <f>++Tabla4[[#This Row],[Precio Descontado]]*Tabla4[[#This Row],[Cantidad]]</f>
        <v>4332.3721296000003</v>
      </c>
      <c r="Q4678" s="282" t="e">
        <f>(INDEX(Tabla6[#All],MATCH(Tabla4[[#This Row],[Producto]],Tabla6[[#All],[PRODUCTO]],0),MATCH(Tabla4[[#This Row],[Mes]],Tabla6[#Headers],0)))</f>
        <v>#N/A</v>
      </c>
      <c r="R4678" s="282" t="e">
        <f>++Tabla4[[#This Row],[Precio Unitario Neto]]-Tabla4[[#This Row],[20.85%]]-Tabla4[[#This Row],[Costo]]</f>
        <v>#N/A</v>
      </c>
      <c r="S4678" s="282" t="e">
        <f>++Tabla4[[#This Row],[U. Bruta Uni]]*Tabla4[[#This Row],[Cantidad]]</f>
        <v>#N/A</v>
      </c>
      <c r="T4678" s="369" t="str">
        <f>VLOOKUP(Tabla4[[#This Row],[Producto]],Tabla6[#All],14,FALSE)</f>
        <v>Termico Solar</v>
      </c>
      <c r="U4678" s="284" t="e">
        <f>(IF(Tabla4[[#This Row],[Familia]]="termico solar",Tabla4[[#This Row],[Utilidad Total]]*6%,Tabla4[[#This Row],[Utilidad Total]]*11.5%))/Tabla4[[#This Row],[Total]]</f>
        <v>#N/A</v>
      </c>
      <c r="V4678" s="282" t="e">
        <f>+Tabla4[[#This Row],[Comisión Calculada]]*Tabla4[[#This Row],[Total]]</f>
        <v>#N/A</v>
      </c>
    </row>
    <row r="4679" spans="1:22" hidden="1" x14ac:dyDescent="0.25">
      <c r="A4679" s="100">
        <v>45853</v>
      </c>
      <c r="B4679" t="str">
        <f t="shared" si="235"/>
        <v>July</v>
      </c>
      <c r="C4679" s="46" t="s">
        <v>280</v>
      </c>
      <c r="F4679" s="366" t="s">
        <v>2471</v>
      </c>
      <c r="G4679" s="46" t="s">
        <v>545</v>
      </c>
      <c r="H4679" s="46">
        <v>24</v>
      </c>
      <c r="I4679" s="51">
        <v>304.32</v>
      </c>
      <c r="J4679" s="281">
        <f>++Tabla4[[#This Row],[Precio Bruto]]*1.16</f>
        <v>353.01119999999997</v>
      </c>
      <c r="K4679" s="281">
        <f>+Tabla4[[#This Row],[Precio Unitario Neto]]*Tabla4[[#Headers],[20.85%]]</f>
        <v>73.602835199999987</v>
      </c>
      <c r="L4679" s="282">
        <f>++Tabla4[[#This Row],[Precio Unitario Neto]]-Tabla4[[#This Row],[20.85%]]</f>
        <v>279.40836479999996</v>
      </c>
      <c r="M4679" s="282" t="e">
        <f>(INDEX(Tabla6[#All],MATCH(Tabla4[[#This Row],[Producto]],Tabla6[[#All],[PRODUCTO]],0),MATCH(Tabla4[[#This Row],[Mes]],Tabla6[#Headers],0)))*(1+Catalogos!$L$2)</f>
        <v>#N/A</v>
      </c>
      <c r="N4679" s="283" t="e">
        <f>+(Tabla4[[#This Row],[Precio Descontado]]-Tabla4[[#This Row],[Precio Base]])*Tabla4[[#This Row],[Cantidad]]</f>
        <v>#N/A</v>
      </c>
      <c r="O4679" s="284" t="e">
        <f>++Tabla4[[#This Row],[Utilidad Total]]/Tabla4[[#This Row],[Total]]</f>
        <v>#N/A</v>
      </c>
      <c r="P4679" s="282">
        <f>++Tabla4[[#This Row],[Precio Descontado]]*Tabla4[[#This Row],[Cantidad]]</f>
        <v>6705.800755199999</v>
      </c>
      <c r="Q4679" s="282" t="e">
        <f>(INDEX(Tabla6[#All],MATCH(Tabla4[[#This Row],[Producto]],Tabla6[[#All],[PRODUCTO]],0),MATCH(Tabla4[[#This Row],[Mes]],Tabla6[#Headers],0)))</f>
        <v>#N/A</v>
      </c>
      <c r="R4679" s="282" t="e">
        <f>++Tabla4[[#This Row],[Precio Unitario Neto]]-Tabla4[[#This Row],[20.85%]]-Tabla4[[#This Row],[Costo]]</f>
        <v>#N/A</v>
      </c>
      <c r="S4679" s="282" t="e">
        <f>++Tabla4[[#This Row],[U. Bruta Uni]]*Tabla4[[#This Row],[Cantidad]]</f>
        <v>#N/A</v>
      </c>
      <c r="T4679" s="369" t="str">
        <f>VLOOKUP(Tabla4[[#This Row],[Producto]],Tabla6[#All],14,FALSE)</f>
        <v>Termico Solar</v>
      </c>
      <c r="U4679" s="284" t="e">
        <f>(IF(Tabla4[[#This Row],[Familia]]="termico solar",Tabla4[[#This Row],[Utilidad Total]]*6%,Tabla4[[#This Row],[Utilidad Total]]*11.5%))/Tabla4[[#This Row],[Total]]</f>
        <v>#N/A</v>
      </c>
      <c r="V4679" s="282" t="e">
        <f>+Tabla4[[#This Row],[Comisión Calculada]]*Tabla4[[#This Row],[Total]]</f>
        <v>#N/A</v>
      </c>
    </row>
    <row r="4680" spans="1:22" hidden="1" x14ac:dyDescent="0.25">
      <c r="A4680" s="100">
        <v>45853</v>
      </c>
      <c r="B4680" t="str">
        <f t="shared" si="235"/>
        <v>July</v>
      </c>
      <c r="C4680" s="46" t="s">
        <v>280</v>
      </c>
      <c r="F4680" s="366" t="s">
        <v>2471</v>
      </c>
      <c r="G4680" s="46" t="s">
        <v>209</v>
      </c>
      <c r="H4680" s="46">
        <v>2</v>
      </c>
      <c r="I4680" s="51">
        <v>347.48</v>
      </c>
      <c r="J4680" s="281">
        <f>++Tabla4[[#This Row],[Precio Bruto]]*1.16</f>
        <v>403.07679999999999</v>
      </c>
      <c r="K4680" s="281">
        <f>+Tabla4[[#This Row],[Precio Unitario Neto]]*Tabla4[[#Headers],[20.85%]]</f>
        <v>84.041512799999992</v>
      </c>
      <c r="L4680" s="282">
        <f>++Tabla4[[#This Row],[Precio Unitario Neto]]-Tabla4[[#This Row],[20.85%]]</f>
        <v>319.03528719999997</v>
      </c>
      <c r="M4680" s="282" t="e">
        <f>(INDEX(Tabla6[#All],MATCH(Tabla4[[#This Row],[Producto]],Tabla6[[#All],[PRODUCTO]],0),MATCH(Tabla4[[#This Row],[Mes]],Tabla6[#Headers],0)))*(1+Catalogos!$L$2)</f>
        <v>#N/A</v>
      </c>
      <c r="N4680" s="283" t="e">
        <f>+(Tabla4[[#This Row],[Precio Descontado]]-Tabla4[[#This Row],[Precio Base]])*Tabla4[[#This Row],[Cantidad]]</f>
        <v>#N/A</v>
      </c>
      <c r="O4680" s="284" t="e">
        <f>++Tabla4[[#This Row],[Utilidad Total]]/Tabla4[[#This Row],[Total]]</f>
        <v>#N/A</v>
      </c>
      <c r="P4680" s="282">
        <f>++Tabla4[[#This Row],[Precio Descontado]]*Tabla4[[#This Row],[Cantidad]]</f>
        <v>638.07057439999994</v>
      </c>
      <c r="Q4680" s="282" t="e">
        <f>(INDEX(Tabla6[#All],MATCH(Tabla4[[#This Row],[Producto]],Tabla6[[#All],[PRODUCTO]],0),MATCH(Tabla4[[#This Row],[Mes]],Tabla6[#Headers],0)))</f>
        <v>#N/A</v>
      </c>
      <c r="R4680" s="282" t="e">
        <f>++Tabla4[[#This Row],[Precio Unitario Neto]]-Tabla4[[#This Row],[20.85%]]-Tabla4[[#This Row],[Costo]]</f>
        <v>#N/A</v>
      </c>
      <c r="S4680" s="282" t="e">
        <f>++Tabla4[[#This Row],[U. Bruta Uni]]*Tabla4[[#This Row],[Cantidad]]</f>
        <v>#N/A</v>
      </c>
      <c r="T4680" s="369" t="str">
        <f>VLOOKUP(Tabla4[[#This Row],[Producto]],Tabla6[#All],14,FALSE)</f>
        <v>Termico Solar</v>
      </c>
      <c r="U4680" s="284" t="e">
        <f>(IF(Tabla4[[#This Row],[Familia]]="termico solar",Tabla4[[#This Row],[Utilidad Total]]*6%,Tabla4[[#This Row],[Utilidad Total]]*11.5%))/Tabla4[[#This Row],[Total]]</f>
        <v>#N/A</v>
      </c>
      <c r="V4680" s="282" t="e">
        <f>+Tabla4[[#This Row],[Comisión Calculada]]*Tabla4[[#This Row],[Total]]</f>
        <v>#N/A</v>
      </c>
    </row>
    <row r="4681" spans="1:22" hidden="1" x14ac:dyDescent="0.25">
      <c r="A4681" s="100">
        <v>45853</v>
      </c>
      <c r="B4681" t="str">
        <f t="shared" si="235"/>
        <v>July</v>
      </c>
      <c r="C4681" s="46" t="s">
        <v>280</v>
      </c>
      <c r="F4681" s="366" t="s">
        <v>2472</v>
      </c>
      <c r="G4681" s="46" t="s">
        <v>200</v>
      </c>
      <c r="H4681" s="46">
        <v>12</v>
      </c>
      <c r="I4681" s="51">
        <v>393.22</v>
      </c>
      <c r="J4681" s="281">
        <f>++Tabla4[[#This Row],[Precio Bruto]]*1.16</f>
        <v>456.1352</v>
      </c>
      <c r="K4681" s="281">
        <f>+Tabla4[[#This Row],[Precio Unitario Neto]]*Tabla4[[#Headers],[20.85%]]</f>
        <v>95.104189199999993</v>
      </c>
      <c r="L4681" s="282">
        <f>++Tabla4[[#This Row],[Precio Unitario Neto]]-Tabla4[[#This Row],[20.85%]]</f>
        <v>361.03101079999999</v>
      </c>
      <c r="M4681" s="282" t="e">
        <f>(INDEX(Tabla6[#All],MATCH(Tabla4[[#This Row],[Producto]],Tabla6[[#All],[PRODUCTO]],0),MATCH(Tabla4[[#This Row],[Mes]],Tabla6[#Headers],0)))*(1+Catalogos!$L$2)</f>
        <v>#N/A</v>
      </c>
      <c r="N4681" s="283" t="e">
        <f>+(Tabla4[[#This Row],[Precio Descontado]]-Tabla4[[#This Row],[Precio Base]])*Tabla4[[#This Row],[Cantidad]]</f>
        <v>#N/A</v>
      </c>
      <c r="O4681" s="284" t="e">
        <f>++Tabla4[[#This Row],[Utilidad Total]]/Tabla4[[#This Row],[Total]]</f>
        <v>#N/A</v>
      </c>
      <c r="P4681" s="282">
        <f>++Tabla4[[#This Row],[Precio Descontado]]*Tabla4[[#This Row],[Cantidad]]</f>
        <v>4332.3721296000003</v>
      </c>
      <c r="Q4681" s="282" t="e">
        <f>(INDEX(Tabla6[#All],MATCH(Tabla4[[#This Row],[Producto]],Tabla6[[#All],[PRODUCTO]],0),MATCH(Tabla4[[#This Row],[Mes]],Tabla6[#Headers],0)))</f>
        <v>#N/A</v>
      </c>
      <c r="R4681" s="282" t="e">
        <f>++Tabla4[[#This Row],[Precio Unitario Neto]]-Tabla4[[#This Row],[20.85%]]-Tabla4[[#This Row],[Costo]]</f>
        <v>#N/A</v>
      </c>
      <c r="S4681" s="282" t="e">
        <f>++Tabla4[[#This Row],[U. Bruta Uni]]*Tabla4[[#This Row],[Cantidad]]</f>
        <v>#N/A</v>
      </c>
      <c r="T4681" s="369" t="str">
        <f>VLOOKUP(Tabla4[[#This Row],[Producto]],Tabla6[#All],14,FALSE)</f>
        <v>Termico Solar</v>
      </c>
      <c r="U4681" s="284" t="e">
        <f>(IF(Tabla4[[#This Row],[Familia]]="termico solar",Tabla4[[#This Row],[Utilidad Total]]*6%,Tabla4[[#This Row],[Utilidad Total]]*11.5%))/Tabla4[[#This Row],[Total]]</f>
        <v>#N/A</v>
      </c>
      <c r="V4681" s="282" t="e">
        <f>+Tabla4[[#This Row],[Comisión Calculada]]*Tabla4[[#This Row],[Total]]</f>
        <v>#N/A</v>
      </c>
    </row>
    <row r="4682" spans="1:22" hidden="1" x14ac:dyDescent="0.25">
      <c r="A4682" s="100">
        <v>45853</v>
      </c>
      <c r="B4682" t="str">
        <f t="shared" si="235"/>
        <v>July</v>
      </c>
      <c r="C4682" s="46" t="s">
        <v>280</v>
      </c>
      <c r="F4682" s="366" t="s">
        <v>2472</v>
      </c>
      <c r="G4682" s="46" t="s">
        <v>545</v>
      </c>
      <c r="H4682" s="46">
        <v>24</v>
      </c>
      <c r="I4682" s="51">
        <v>304.32</v>
      </c>
      <c r="J4682" s="281">
        <f>++Tabla4[[#This Row],[Precio Bruto]]*1.16</f>
        <v>353.01119999999997</v>
      </c>
      <c r="K4682" s="281">
        <f>+Tabla4[[#This Row],[Precio Unitario Neto]]*Tabla4[[#Headers],[20.85%]]</f>
        <v>73.602835199999987</v>
      </c>
      <c r="L4682" s="282">
        <f>++Tabla4[[#This Row],[Precio Unitario Neto]]-Tabla4[[#This Row],[20.85%]]</f>
        <v>279.40836479999996</v>
      </c>
      <c r="M4682" s="282" t="e">
        <f>(INDEX(Tabla6[#All],MATCH(Tabla4[[#This Row],[Producto]],Tabla6[[#All],[PRODUCTO]],0),MATCH(Tabla4[[#This Row],[Mes]],Tabla6[#Headers],0)))*(1+Catalogos!$L$2)</f>
        <v>#N/A</v>
      </c>
      <c r="N4682" s="283" t="e">
        <f>+(Tabla4[[#This Row],[Precio Descontado]]-Tabla4[[#This Row],[Precio Base]])*Tabla4[[#This Row],[Cantidad]]</f>
        <v>#N/A</v>
      </c>
      <c r="O4682" s="284" t="e">
        <f>++Tabla4[[#This Row],[Utilidad Total]]/Tabla4[[#This Row],[Total]]</f>
        <v>#N/A</v>
      </c>
      <c r="P4682" s="282">
        <f>++Tabla4[[#This Row],[Precio Descontado]]*Tabla4[[#This Row],[Cantidad]]</f>
        <v>6705.800755199999</v>
      </c>
      <c r="Q4682" s="282" t="e">
        <f>(INDEX(Tabla6[#All],MATCH(Tabla4[[#This Row],[Producto]],Tabla6[[#All],[PRODUCTO]],0),MATCH(Tabla4[[#This Row],[Mes]],Tabla6[#Headers],0)))</f>
        <v>#N/A</v>
      </c>
      <c r="R4682" s="282" t="e">
        <f>++Tabla4[[#This Row],[Precio Unitario Neto]]-Tabla4[[#This Row],[20.85%]]-Tabla4[[#This Row],[Costo]]</f>
        <v>#N/A</v>
      </c>
      <c r="S4682" s="282" t="e">
        <f>++Tabla4[[#This Row],[U. Bruta Uni]]*Tabla4[[#This Row],[Cantidad]]</f>
        <v>#N/A</v>
      </c>
      <c r="T4682" s="369" t="str">
        <f>VLOOKUP(Tabla4[[#This Row],[Producto]],Tabla6[#All],14,FALSE)</f>
        <v>Termico Solar</v>
      </c>
      <c r="U4682" s="284" t="e">
        <f>(IF(Tabla4[[#This Row],[Familia]]="termico solar",Tabla4[[#This Row],[Utilidad Total]]*6%,Tabla4[[#This Row],[Utilidad Total]]*11.5%))/Tabla4[[#This Row],[Total]]</f>
        <v>#N/A</v>
      </c>
      <c r="V4682" s="282" t="e">
        <f>+Tabla4[[#This Row],[Comisión Calculada]]*Tabla4[[#This Row],[Total]]</f>
        <v>#N/A</v>
      </c>
    </row>
    <row r="4683" spans="1:22" hidden="1" x14ac:dyDescent="0.25">
      <c r="A4683" s="100">
        <v>45853</v>
      </c>
      <c r="B4683" t="str">
        <f t="shared" si="235"/>
        <v>July</v>
      </c>
      <c r="C4683" s="46" t="s">
        <v>280</v>
      </c>
      <c r="F4683" s="366" t="s">
        <v>2472</v>
      </c>
      <c r="G4683" s="46" t="s">
        <v>208</v>
      </c>
      <c r="H4683" s="46">
        <v>1</v>
      </c>
      <c r="I4683" s="51">
        <v>189.75</v>
      </c>
      <c r="J4683" s="281">
        <f>++Tabla4[[#This Row],[Precio Bruto]]*1.16</f>
        <v>220.10999999999999</v>
      </c>
      <c r="K4683" s="281">
        <f>+Tabla4[[#This Row],[Precio Unitario Neto]]*Tabla4[[#Headers],[20.85%]]</f>
        <v>45.892934999999994</v>
      </c>
      <c r="L4683" s="282">
        <f>++Tabla4[[#This Row],[Precio Unitario Neto]]-Tabla4[[#This Row],[20.85%]]</f>
        <v>174.21706499999999</v>
      </c>
      <c r="M4683" s="282" t="e">
        <f>(INDEX(Tabla6[#All],MATCH(Tabla4[[#This Row],[Producto]],Tabla6[[#All],[PRODUCTO]],0),MATCH(Tabla4[[#This Row],[Mes]],Tabla6[#Headers],0)))*(1+Catalogos!$L$2)</f>
        <v>#N/A</v>
      </c>
      <c r="N4683" s="283" t="e">
        <f>+(Tabla4[[#This Row],[Precio Descontado]]-Tabla4[[#This Row],[Precio Base]])*Tabla4[[#This Row],[Cantidad]]</f>
        <v>#N/A</v>
      </c>
      <c r="O4683" s="284" t="e">
        <f>++Tabla4[[#This Row],[Utilidad Total]]/Tabla4[[#This Row],[Total]]</f>
        <v>#N/A</v>
      </c>
      <c r="P4683" s="282">
        <f>++Tabla4[[#This Row],[Precio Descontado]]*Tabla4[[#This Row],[Cantidad]]</f>
        <v>174.21706499999999</v>
      </c>
      <c r="Q4683" s="282" t="e">
        <f>(INDEX(Tabla6[#All],MATCH(Tabla4[[#This Row],[Producto]],Tabla6[[#All],[PRODUCTO]],0),MATCH(Tabla4[[#This Row],[Mes]],Tabla6[#Headers],0)))</f>
        <v>#N/A</v>
      </c>
      <c r="R4683" s="282" t="e">
        <f>++Tabla4[[#This Row],[Precio Unitario Neto]]-Tabla4[[#This Row],[20.85%]]-Tabla4[[#This Row],[Costo]]</f>
        <v>#N/A</v>
      </c>
      <c r="S4683" s="282" t="e">
        <f>++Tabla4[[#This Row],[U. Bruta Uni]]*Tabla4[[#This Row],[Cantidad]]</f>
        <v>#N/A</v>
      </c>
      <c r="T4683" s="369" t="str">
        <f>VLOOKUP(Tabla4[[#This Row],[Producto]],Tabla6[#All],14,FALSE)</f>
        <v>Termico Solar</v>
      </c>
      <c r="U4683" s="284" t="e">
        <f>(IF(Tabla4[[#This Row],[Familia]]="termico solar",Tabla4[[#This Row],[Utilidad Total]]*6%,Tabla4[[#This Row],[Utilidad Total]]*11.5%))/Tabla4[[#This Row],[Total]]</f>
        <v>#N/A</v>
      </c>
      <c r="V4683" s="282" t="e">
        <f>+Tabla4[[#This Row],[Comisión Calculada]]*Tabla4[[#This Row],[Total]]</f>
        <v>#N/A</v>
      </c>
    </row>
    <row r="4684" spans="1:22" hidden="1" x14ac:dyDescent="0.25">
      <c r="A4684" s="100">
        <v>45853</v>
      </c>
      <c r="B4684" t="str">
        <f t="shared" si="235"/>
        <v>July</v>
      </c>
      <c r="C4684" s="46" t="s">
        <v>280</v>
      </c>
      <c r="F4684" s="366" t="s">
        <v>2472</v>
      </c>
      <c r="G4684" s="46" t="s">
        <v>209</v>
      </c>
      <c r="H4684" s="46">
        <v>2</v>
      </c>
      <c r="I4684" s="51">
        <v>347.48</v>
      </c>
      <c r="J4684" s="281">
        <f>++Tabla4[[#This Row],[Precio Bruto]]*1.16</f>
        <v>403.07679999999999</v>
      </c>
      <c r="K4684" s="281">
        <f>+Tabla4[[#This Row],[Precio Unitario Neto]]*Tabla4[[#Headers],[20.85%]]</f>
        <v>84.041512799999992</v>
      </c>
      <c r="L4684" s="282">
        <f>++Tabla4[[#This Row],[Precio Unitario Neto]]-Tabla4[[#This Row],[20.85%]]</f>
        <v>319.03528719999997</v>
      </c>
      <c r="M4684" s="282" t="e">
        <f>(INDEX(Tabla6[#All],MATCH(Tabla4[[#This Row],[Producto]],Tabla6[[#All],[PRODUCTO]],0),MATCH(Tabla4[[#This Row],[Mes]],Tabla6[#Headers],0)))*(1+Catalogos!$L$2)</f>
        <v>#N/A</v>
      </c>
      <c r="N4684" s="283" t="e">
        <f>+(Tabla4[[#This Row],[Precio Descontado]]-Tabla4[[#This Row],[Precio Base]])*Tabla4[[#This Row],[Cantidad]]</f>
        <v>#N/A</v>
      </c>
      <c r="O4684" s="284" t="e">
        <f>++Tabla4[[#This Row],[Utilidad Total]]/Tabla4[[#This Row],[Total]]</f>
        <v>#N/A</v>
      </c>
      <c r="P4684" s="282">
        <f>++Tabla4[[#This Row],[Precio Descontado]]*Tabla4[[#This Row],[Cantidad]]</f>
        <v>638.07057439999994</v>
      </c>
      <c r="Q4684" s="282" t="e">
        <f>(INDEX(Tabla6[#All],MATCH(Tabla4[[#This Row],[Producto]],Tabla6[[#All],[PRODUCTO]],0),MATCH(Tabla4[[#This Row],[Mes]],Tabla6[#Headers],0)))</f>
        <v>#N/A</v>
      </c>
      <c r="R4684" s="282" t="e">
        <f>++Tabla4[[#This Row],[Precio Unitario Neto]]-Tabla4[[#This Row],[20.85%]]-Tabla4[[#This Row],[Costo]]</f>
        <v>#N/A</v>
      </c>
      <c r="S4684" s="282" t="e">
        <f>++Tabla4[[#This Row],[U. Bruta Uni]]*Tabla4[[#This Row],[Cantidad]]</f>
        <v>#N/A</v>
      </c>
      <c r="T4684" s="369" t="str">
        <f>VLOOKUP(Tabla4[[#This Row],[Producto]],Tabla6[#All],14,FALSE)</f>
        <v>Termico Solar</v>
      </c>
      <c r="U4684" s="284" t="e">
        <f>(IF(Tabla4[[#This Row],[Familia]]="termico solar",Tabla4[[#This Row],[Utilidad Total]]*6%,Tabla4[[#This Row],[Utilidad Total]]*11.5%))/Tabla4[[#This Row],[Total]]</f>
        <v>#N/A</v>
      </c>
      <c r="V4684" s="282" t="e">
        <f>+Tabla4[[#This Row],[Comisión Calculada]]*Tabla4[[#This Row],[Total]]</f>
        <v>#N/A</v>
      </c>
    </row>
    <row r="4685" spans="1:22" hidden="1" x14ac:dyDescent="0.25">
      <c r="A4685" s="100">
        <v>45853</v>
      </c>
      <c r="B4685" t="str">
        <f t="shared" si="235"/>
        <v>July</v>
      </c>
      <c r="C4685" s="46" t="s">
        <v>280</v>
      </c>
      <c r="F4685" s="366" t="s">
        <v>2473</v>
      </c>
      <c r="G4685" s="46" t="s">
        <v>17</v>
      </c>
      <c r="H4685" s="46">
        <v>1</v>
      </c>
      <c r="I4685" s="51">
        <v>4622.28</v>
      </c>
      <c r="J4685" s="281">
        <f>++Tabla4[[#This Row],[Precio Bruto]]*1.16</f>
        <v>5361.8447999999989</v>
      </c>
      <c r="K4685" s="281">
        <f>+Tabla4[[#This Row],[Precio Unitario Neto]]*Tabla4[[#Headers],[20.85%]]</f>
        <v>1117.9446407999997</v>
      </c>
      <c r="L4685" s="282">
        <f>++Tabla4[[#This Row],[Precio Unitario Neto]]-Tabla4[[#This Row],[20.85%]]</f>
        <v>4243.9001591999995</v>
      </c>
      <c r="M4685" s="282" t="e">
        <f>(INDEX(Tabla6[#All],MATCH(Tabla4[[#This Row],[Producto]],Tabla6[[#All],[PRODUCTO]],0),MATCH(Tabla4[[#This Row],[Mes]],Tabla6[#Headers],0)))*(1+Catalogos!$L$2)</f>
        <v>#N/A</v>
      </c>
      <c r="N4685" s="283" t="e">
        <f>+(Tabla4[[#This Row],[Precio Descontado]]-Tabla4[[#This Row],[Precio Base]])*Tabla4[[#This Row],[Cantidad]]</f>
        <v>#N/A</v>
      </c>
      <c r="O4685" s="284" t="e">
        <f>++Tabla4[[#This Row],[Utilidad Total]]/Tabla4[[#This Row],[Total]]</f>
        <v>#N/A</v>
      </c>
      <c r="P4685" s="282">
        <f>++Tabla4[[#This Row],[Precio Descontado]]*Tabla4[[#This Row],[Cantidad]]</f>
        <v>4243.9001591999995</v>
      </c>
      <c r="Q4685" s="282" t="e">
        <f>(INDEX(Tabla6[#All],MATCH(Tabla4[[#This Row],[Producto]],Tabla6[[#All],[PRODUCTO]],0),MATCH(Tabla4[[#This Row],[Mes]],Tabla6[#Headers],0)))</f>
        <v>#N/A</v>
      </c>
      <c r="R4685" s="282" t="e">
        <f>++Tabla4[[#This Row],[Precio Unitario Neto]]-Tabla4[[#This Row],[20.85%]]-Tabla4[[#This Row],[Costo]]</f>
        <v>#N/A</v>
      </c>
      <c r="S4685" s="282" t="e">
        <f>++Tabla4[[#This Row],[U. Bruta Uni]]*Tabla4[[#This Row],[Cantidad]]</f>
        <v>#N/A</v>
      </c>
      <c r="T4685" s="369" t="str">
        <f>VLOOKUP(Tabla4[[#This Row],[Producto]],Tabla6[#All],14,FALSE)</f>
        <v>Termico Solar</v>
      </c>
      <c r="U4685" s="284" t="e">
        <f>(IF(Tabla4[[#This Row],[Familia]]="termico solar",Tabla4[[#This Row],[Utilidad Total]]*6%,Tabla4[[#This Row],[Utilidad Total]]*11.5%))/Tabla4[[#This Row],[Total]]</f>
        <v>#N/A</v>
      </c>
      <c r="V4685" s="282" t="e">
        <f>+Tabla4[[#This Row],[Comisión Calculada]]*Tabla4[[#This Row],[Total]]</f>
        <v>#N/A</v>
      </c>
    </row>
    <row r="4686" spans="1:22" hidden="1" x14ac:dyDescent="0.25">
      <c r="A4686" s="100">
        <v>45853</v>
      </c>
      <c r="B4686" t="str">
        <f t="shared" si="235"/>
        <v>July</v>
      </c>
      <c r="C4686" s="46" t="s">
        <v>280</v>
      </c>
      <c r="F4686" s="366" t="s">
        <v>2473</v>
      </c>
      <c r="G4686" s="46" t="s">
        <v>18</v>
      </c>
      <c r="H4686" s="46">
        <v>2</v>
      </c>
      <c r="I4686" s="51">
        <v>5367.65</v>
      </c>
      <c r="J4686" s="281">
        <f>++Tabla4[[#This Row],[Precio Bruto]]*1.16</f>
        <v>6226.4739999999993</v>
      </c>
      <c r="K4686" s="281">
        <f>+Tabla4[[#This Row],[Precio Unitario Neto]]*Tabla4[[#Headers],[20.85%]]</f>
        <v>1298.2198289999999</v>
      </c>
      <c r="L4686" s="282">
        <f>++Tabla4[[#This Row],[Precio Unitario Neto]]-Tabla4[[#This Row],[20.85%]]</f>
        <v>4928.2541709999996</v>
      </c>
      <c r="M4686" s="282" t="e">
        <f>(INDEX(Tabla6[#All],MATCH(Tabla4[[#This Row],[Producto]],Tabla6[[#All],[PRODUCTO]],0),MATCH(Tabla4[[#This Row],[Mes]],Tabla6[#Headers],0)))*(1+Catalogos!$L$2)</f>
        <v>#N/A</v>
      </c>
      <c r="N4686" s="283" t="e">
        <f>+(Tabla4[[#This Row],[Precio Descontado]]-Tabla4[[#This Row],[Precio Base]])*Tabla4[[#This Row],[Cantidad]]</f>
        <v>#N/A</v>
      </c>
      <c r="O4686" s="284" t="e">
        <f>++Tabla4[[#This Row],[Utilidad Total]]/Tabla4[[#This Row],[Total]]</f>
        <v>#N/A</v>
      </c>
      <c r="P4686" s="282">
        <f>++Tabla4[[#This Row],[Precio Descontado]]*Tabla4[[#This Row],[Cantidad]]</f>
        <v>9856.5083419999992</v>
      </c>
      <c r="Q4686" s="282" t="e">
        <f>(INDEX(Tabla6[#All],MATCH(Tabla4[[#This Row],[Producto]],Tabla6[[#All],[PRODUCTO]],0),MATCH(Tabla4[[#This Row],[Mes]],Tabla6[#Headers],0)))</f>
        <v>#N/A</v>
      </c>
      <c r="R4686" s="282" t="e">
        <f>++Tabla4[[#This Row],[Precio Unitario Neto]]-Tabla4[[#This Row],[20.85%]]-Tabla4[[#This Row],[Costo]]</f>
        <v>#N/A</v>
      </c>
      <c r="S4686" s="282" t="e">
        <f>++Tabla4[[#This Row],[U. Bruta Uni]]*Tabla4[[#This Row],[Cantidad]]</f>
        <v>#N/A</v>
      </c>
      <c r="T4686" s="369" t="str">
        <f>VLOOKUP(Tabla4[[#This Row],[Producto]],Tabla6[#All],14,FALSE)</f>
        <v>Termico Solar</v>
      </c>
      <c r="U4686" s="284" t="e">
        <f>(IF(Tabla4[[#This Row],[Familia]]="termico solar",Tabla4[[#This Row],[Utilidad Total]]*6%,Tabla4[[#This Row],[Utilidad Total]]*11.5%))/Tabla4[[#This Row],[Total]]</f>
        <v>#N/A</v>
      </c>
      <c r="V4686" s="282" t="e">
        <f>+Tabla4[[#This Row],[Comisión Calculada]]*Tabla4[[#This Row],[Total]]</f>
        <v>#N/A</v>
      </c>
    </row>
    <row r="4687" spans="1:22" hidden="1" x14ac:dyDescent="0.25">
      <c r="A4687" s="100">
        <v>45853</v>
      </c>
      <c r="B4687" t="str">
        <f t="shared" si="235"/>
        <v>July</v>
      </c>
      <c r="C4687" s="46" t="s">
        <v>280</v>
      </c>
      <c r="F4687" s="366" t="s">
        <v>2474</v>
      </c>
      <c r="G4687" s="46" t="s">
        <v>200</v>
      </c>
      <c r="H4687" s="46">
        <v>12</v>
      </c>
      <c r="I4687" s="51">
        <v>393.22</v>
      </c>
      <c r="J4687" s="281">
        <f>++Tabla4[[#This Row],[Precio Bruto]]*1.16</f>
        <v>456.1352</v>
      </c>
      <c r="K4687" s="281">
        <f>+Tabla4[[#This Row],[Precio Unitario Neto]]*Tabla4[[#Headers],[20.85%]]</f>
        <v>95.104189199999993</v>
      </c>
      <c r="L4687" s="282">
        <f>++Tabla4[[#This Row],[Precio Unitario Neto]]-Tabla4[[#This Row],[20.85%]]</f>
        <v>361.03101079999999</v>
      </c>
      <c r="M4687" s="282" t="e">
        <f>(INDEX(Tabla6[#All],MATCH(Tabla4[[#This Row],[Producto]],Tabla6[[#All],[PRODUCTO]],0),MATCH(Tabla4[[#This Row],[Mes]],Tabla6[#Headers],0)))*(1+Catalogos!$L$2)</f>
        <v>#N/A</v>
      </c>
      <c r="N4687" s="283" t="e">
        <f>+(Tabla4[[#This Row],[Precio Descontado]]-Tabla4[[#This Row],[Precio Base]])*Tabla4[[#This Row],[Cantidad]]</f>
        <v>#N/A</v>
      </c>
      <c r="O4687" s="284" t="e">
        <f>++Tabla4[[#This Row],[Utilidad Total]]/Tabla4[[#This Row],[Total]]</f>
        <v>#N/A</v>
      </c>
      <c r="P4687" s="282">
        <f>++Tabla4[[#This Row],[Precio Descontado]]*Tabla4[[#This Row],[Cantidad]]</f>
        <v>4332.3721296000003</v>
      </c>
      <c r="Q4687" s="282" t="e">
        <f>(INDEX(Tabla6[#All],MATCH(Tabla4[[#This Row],[Producto]],Tabla6[[#All],[PRODUCTO]],0),MATCH(Tabla4[[#This Row],[Mes]],Tabla6[#Headers],0)))</f>
        <v>#N/A</v>
      </c>
      <c r="R4687" s="282" t="e">
        <f>++Tabla4[[#This Row],[Precio Unitario Neto]]-Tabla4[[#This Row],[20.85%]]-Tabla4[[#This Row],[Costo]]</f>
        <v>#N/A</v>
      </c>
      <c r="S4687" s="282" t="e">
        <f>++Tabla4[[#This Row],[U. Bruta Uni]]*Tabla4[[#This Row],[Cantidad]]</f>
        <v>#N/A</v>
      </c>
      <c r="T4687" s="369" t="str">
        <f>VLOOKUP(Tabla4[[#This Row],[Producto]],Tabla6[#All],14,FALSE)</f>
        <v>Termico Solar</v>
      </c>
      <c r="U4687" s="284" t="e">
        <f>(IF(Tabla4[[#This Row],[Familia]]="termico solar",Tabla4[[#This Row],[Utilidad Total]]*6%,Tabla4[[#This Row],[Utilidad Total]]*11.5%))/Tabla4[[#This Row],[Total]]</f>
        <v>#N/A</v>
      </c>
      <c r="V4687" s="282" t="e">
        <f>+Tabla4[[#This Row],[Comisión Calculada]]*Tabla4[[#This Row],[Total]]</f>
        <v>#N/A</v>
      </c>
    </row>
    <row r="4688" spans="1:22" hidden="1" x14ac:dyDescent="0.25">
      <c r="A4688" s="100">
        <v>45853</v>
      </c>
      <c r="B4688" t="str">
        <f t="shared" si="235"/>
        <v>July</v>
      </c>
      <c r="C4688" s="46" t="s">
        <v>280</v>
      </c>
      <c r="F4688" s="366" t="s">
        <v>2474</v>
      </c>
      <c r="G4688" s="46" t="s">
        <v>545</v>
      </c>
      <c r="H4688" s="46">
        <v>24</v>
      </c>
      <c r="I4688" s="51">
        <v>304.32</v>
      </c>
      <c r="J4688" s="281">
        <f>++Tabla4[[#This Row],[Precio Bruto]]*1.16</f>
        <v>353.01119999999997</v>
      </c>
      <c r="K4688" s="281">
        <f>+Tabla4[[#This Row],[Precio Unitario Neto]]*Tabla4[[#Headers],[20.85%]]</f>
        <v>73.602835199999987</v>
      </c>
      <c r="L4688" s="282">
        <f>++Tabla4[[#This Row],[Precio Unitario Neto]]-Tabla4[[#This Row],[20.85%]]</f>
        <v>279.40836479999996</v>
      </c>
      <c r="M4688" s="282" t="e">
        <f>(INDEX(Tabla6[#All],MATCH(Tabla4[[#This Row],[Producto]],Tabla6[[#All],[PRODUCTO]],0),MATCH(Tabla4[[#This Row],[Mes]],Tabla6[#Headers],0)))*(1+Catalogos!$L$2)</f>
        <v>#N/A</v>
      </c>
      <c r="N4688" s="283" t="e">
        <f>+(Tabla4[[#This Row],[Precio Descontado]]-Tabla4[[#This Row],[Precio Base]])*Tabla4[[#This Row],[Cantidad]]</f>
        <v>#N/A</v>
      </c>
      <c r="O4688" s="284" t="e">
        <f>++Tabla4[[#This Row],[Utilidad Total]]/Tabla4[[#This Row],[Total]]</f>
        <v>#N/A</v>
      </c>
      <c r="P4688" s="282">
        <f>++Tabla4[[#This Row],[Precio Descontado]]*Tabla4[[#This Row],[Cantidad]]</f>
        <v>6705.800755199999</v>
      </c>
      <c r="Q4688" s="282" t="e">
        <f>(INDEX(Tabla6[#All],MATCH(Tabla4[[#This Row],[Producto]],Tabla6[[#All],[PRODUCTO]],0),MATCH(Tabla4[[#This Row],[Mes]],Tabla6[#Headers],0)))</f>
        <v>#N/A</v>
      </c>
      <c r="R4688" s="282" t="e">
        <f>++Tabla4[[#This Row],[Precio Unitario Neto]]-Tabla4[[#This Row],[20.85%]]-Tabla4[[#This Row],[Costo]]</f>
        <v>#N/A</v>
      </c>
      <c r="S4688" s="282" t="e">
        <f>++Tabla4[[#This Row],[U. Bruta Uni]]*Tabla4[[#This Row],[Cantidad]]</f>
        <v>#N/A</v>
      </c>
      <c r="T4688" s="369" t="str">
        <f>VLOOKUP(Tabla4[[#This Row],[Producto]],Tabla6[#All],14,FALSE)</f>
        <v>Termico Solar</v>
      </c>
      <c r="U4688" s="284" t="e">
        <f>(IF(Tabla4[[#This Row],[Familia]]="termico solar",Tabla4[[#This Row],[Utilidad Total]]*6%,Tabla4[[#This Row],[Utilidad Total]]*11.5%))/Tabla4[[#This Row],[Total]]</f>
        <v>#N/A</v>
      </c>
      <c r="V4688" s="282" t="e">
        <f>+Tabla4[[#This Row],[Comisión Calculada]]*Tabla4[[#This Row],[Total]]</f>
        <v>#N/A</v>
      </c>
    </row>
    <row r="4689" spans="1:22" hidden="1" x14ac:dyDescent="0.25">
      <c r="A4689" s="100">
        <v>45853</v>
      </c>
      <c r="B4689" t="str">
        <f t="shared" si="235"/>
        <v>July</v>
      </c>
      <c r="C4689" s="46" t="s">
        <v>280</v>
      </c>
      <c r="F4689" s="366" t="s">
        <v>2474</v>
      </c>
      <c r="G4689" s="46" t="s">
        <v>209</v>
      </c>
      <c r="H4689" s="46">
        <v>2</v>
      </c>
      <c r="I4689" s="51">
        <v>347.48</v>
      </c>
      <c r="J4689" s="281">
        <f>++Tabla4[[#This Row],[Precio Bruto]]*1.16</f>
        <v>403.07679999999999</v>
      </c>
      <c r="K4689" s="281">
        <f>+Tabla4[[#This Row],[Precio Unitario Neto]]*Tabla4[[#Headers],[20.85%]]</f>
        <v>84.041512799999992</v>
      </c>
      <c r="L4689" s="282">
        <f>++Tabla4[[#This Row],[Precio Unitario Neto]]-Tabla4[[#This Row],[20.85%]]</f>
        <v>319.03528719999997</v>
      </c>
      <c r="M4689" s="282" t="e">
        <f>(INDEX(Tabla6[#All],MATCH(Tabla4[[#This Row],[Producto]],Tabla6[[#All],[PRODUCTO]],0),MATCH(Tabla4[[#This Row],[Mes]],Tabla6[#Headers],0)))*(1+Catalogos!$L$2)</f>
        <v>#N/A</v>
      </c>
      <c r="N4689" s="283" t="e">
        <f>+(Tabla4[[#This Row],[Precio Descontado]]-Tabla4[[#This Row],[Precio Base]])*Tabla4[[#This Row],[Cantidad]]</f>
        <v>#N/A</v>
      </c>
      <c r="O4689" s="284" t="e">
        <f>++Tabla4[[#This Row],[Utilidad Total]]/Tabla4[[#This Row],[Total]]</f>
        <v>#N/A</v>
      </c>
      <c r="P4689" s="282">
        <f>++Tabla4[[#This Row],[Precio Descontado]]*Tabla4[[#This Row],[Cantidad]]</f>
        <v>638.07057439999994</v>
      </c>
      <c r="Q4689" s="282" t="e">
        <f>(INDEX(Tabla6[#All],MATCH(Tabla4[[#This Row],[Producto]],Tabla6[[#All],[PRODUCTO]],0),MATCH(Tabla4[[#This Row],[Mes]],Tabla6[#Headers],0)))</f>
        <v>#N/A</v>
      </c>
      <c r="R4689" s="282" t="e">
        <f>++Tabla4[[#This Row],[Precio Unitario Neto]]-Tabla4[[#This Row],[20.85%]]-Tabla4[[#This Row],[Costo]]</f>
        <v>#N/A</v>
      </c>
      <c r="S4689" s="282" t="e">
        <f>++Tabla4[[#This Row],[U. Bruta Uni]]*Tabla4[[#This Row],[Cantidad]]</f>
        <v>#N/A</v>
      </c>
      <c r="T4689" s="369" t="str">
        <f>VLOOKUP(Tabla4[[#This Row],[Producto]],Tabla6[#All],14,FALSE)</f>
        <v>Termico Solar</v>
      </c>
      <c r="U4689" s="284" t="e">
        <f>(IF(Tabla4[[#This Row],[Familia]]="termico solar",Tabla4[[#This Row],[Utilidad Total]]*6%,Tabla4[[#This Row],[Utilidad Total]]*11.5%))/Tabla4[[#This Row],[Total]]</f>
        <v>#N/A</v>
      </c>
      <c r="V4689" s="282" t="e">
        <f>+Tabla4[[#This Row],[Comisión Calculada]]*Tabla4[[#This Row],[Total]]</f>
        <v>#N/A</v>
      </c>
    </row>
    <row r="4690" spans="1:22" hidden="1" x14ac:dyDescent="0.25">
      <c r="A4690" s="100">
        <v>45853</v>
      </c>
      <c r="B4690" t="str">
        <f t="shared" si="235"/>
        <v>July</v>
      </c>
      <c r="C4690" s="46" t="s">
        <v>280</v>
      </c>
      <c r="F4690" s="366" t="s">
        <v>2475</v>
      </c>
      <c r="G4690" s="46" t="s">
        <v>394</v>
      </c>
      <c r="H4690" s="46">
        <v>9</v>
      </c>
      <c r="I4690" s="51">
        <v>108.1</v>
      </c>
      <c r="J4690" s="281">
        <f>++Tabla4[[#This Row],[Precio Bruto]]*1.16</f>
        <v>125.39599999999999</v>
      </c>
      <c r="K4690" s="281">
        <f>+Tabla4[[#This Row],[Precio Unitario Neto]]*Tabla4[[#Headers],[20.85%]]</f>
        <v>26.145065999999996</v>
      </c>
      <c r="L4690" s="282">
        <f>++Tabla4[[#This Row],[Precio Unitario Neto]]-Tabla4[[#This Row],[20.85%]]</f>
        <v>99.250933999999987</v>
      </c>
      <c r="M4690" s="282" t="e">
        <f>(INDEX(Tabla6[#All],MATCH(Tabla4[[#This Row],[Producto]],Tabla6[[#All],[PRODUCTO]],0),MATCH(Tabla4[[#This Row],[Mes]],Tabla6[#Headers],0)))*(1+Catalogos!$L$2)</f>
        <v>#N/A</v>
      </c>
      <c r="N4690" s="283" t="e">
        <f>+(Tabla4[[#This Row],[Precio Descontado]]-Tabla4[[#This Row],[Precio Base]])*Tabla4[[#This Row],[Cantidad]]</f>
        <v>#N/A</v>
      </c>
      <c r="O4690" s="284" t="e">
        <f>++Tabla4[[#This Row],[Utilidad Total]]/Tabla4[[#This Row],[Total]]</f>
        <v>#N/A</v>
      </c>
      <c r="P4690" s="282">
        <f>++Tabla4[[#This Row],[Precio Descontado]]*Tabla4[[#This Row],[Cantidad]]</f>
        <v>893.25840599999992</v>
      </c>
      <c r="Q4690" s="282" t="e">
        <f>(INDEX(Tabla6[#All],MATCH(Tabla4[[#This Row],[Producto]],Tabla6[[#All],[PRODUCTO]],0),MATCH(Tabla4[[#This Row],[Mes]],Tabla6[#Headers],0)))</f>
        <v>#N/A</v>
      </c>
      <c r="R4690" s="282" t="e">
        <f>++Tabla4[[#This Row],[Precio Unitario Neto]]-Tabla4[[#This Row],[20.85%]]-Tabla4[[#This Row],[Costo]]</f>
        <v>#N/A</v>
      </c>
      <c r="S4690" s="282" t="e">
        <f>++Tabla4[[#This Row],[U. Bruta Uni]]*Tabla4[[#This Row],[Cantidad]]</f>
        <v>#N/A</v>
      </c>
      <c r="T4690" s="369" t="str">
        <f>VLOOKUP(Tabla4[[#This Row],[Producto]],Tabla6[#All],14,FALSE)</f>
        <v>Termico Solar</v>
      </c>
      <c r="U4690" s="284" t="e">
        <f>(IF(Tabla4[[#This Row],[Familia]]="termico solar",Tabla4[[#This Row],[Utilidad Total]]*6%,Tabla4[[#This Row],[Utilidad Total]]*11.5%))/Tabla4[[#This Row],[Total]]</f>
        <v>#N/A</v>
      </c>
      <c r="V4690" s="282" t="e">
        <f>+Tabla4[[#This Row],[Comisión Calculada]]*Tabla4[[#This Row],[Total]]</f>
        <v>#N/A</v>
      </c>
    </row>
    <row r="4691" spans="1:22" hidden="1" x14ac:dyDescent="0.25">
      <c r="A4691" s="100">
        <v>45853</v>
      </c>
      <c r="B4691" t="str">
        <f t="shared" si="235"/>
        <v>July</v>
      </c>
      <c r="C4691" s="46" t="s">
        <v>280</v>
      </c>
      <c r="F4691" s="366" t="s">
        <v>2475</v>
      </c>
      <c r="G4691" s="46" t="s">
        <v>208</v>
      </c>
      <c r="H4691" s="46">
        <v>1</v>
      </c>
      <c r="I4691" s="51">
        <v>189.75</v>
      </c>
      <c r="J4691" s="281">
        <f>++Tabla4[[#This Row],[Precio Bruto]]*1.16</f>
        <v>220.10999999999999</v>
      </c>
      <c r="K4691" s="281">
        <f>+Tabla4[[#This Row],[Precio Unitario Neto]]*Tabla4[[#Headers],[20.85%]]</f>
        <v>45.892934999999994</v>
      </c>
      <c r="L4691" s="282">
        <f>++Tabla4[[#This Row],[Precio Unitario Neto]]-Tabla4[[#This Row],[20.85%]]</f>
        <v>174.21706499999999</v>
      </c>
      <c r="M4691" s="282" t="e">
        <f>(INDEX(Tabla6[#All],MATCH(Tabla4[[#This Row],[Producto]],Tabla6[[#All],[PRODUCTO]],0),MATCH(Tabla4[[#This Row],[Mes]],Tabla6[#Headers],0)))*(1+Catalogos!$L$2)</f>
        <v>#N/A</v>
      </c>
      <c r="N4691" s="283" t="e">
        <f>+(Tabla4[[#This Row],[Precio Descontado]]-Tabla4[[#This Row],[Precio Base]])*Tabla4[[#This Row],[Cantidad]]</f>
        <v>#N/A</v>
      </c>
      <c r="O4691" s="284" t="e">
        <f>++Tabla4[[#This Row],[Utilidad Total]]/Tabla4[[#This Row],[Total]]</f>
        <v>#N/A</v>
      </c>
      <c r="P4691" s="282">
        <f>++Tabla4[[#This Row],[Precio Descontado]]*Tabla4[[#This Row],[Cantidad]]</f>
        <v>174.21706499999999</v>
      </c>
      <c r="Q4691" s="282" t="e">
        <f>(INDEX(Tabla6[#All],MATCH(Tabla4[[#This Row],[Producto]],Tabla6[[#All],[PRODUCTO]],0),MATCH(Tabla4[[#This Row],[Mes]],Tabla6[#Headers],0)))</f>
        <v>#N/A</v>
      </c>
      <c r="R4691" s="282" t="e">
        <f>++Tabla4[[#This Row],[Precio Unitario Neto]]-Tabla4[[#This Row],[20.85%]]-Tabla4[[#This Row],[Costo]]</f>
        <v>#N/A</v>
      </c>
      <c r="S4691" s="282" t="e">
        <f>++Tabla4[[#This Row],[U. Bruta Uni]]*Tabla4[[#This Row],[Cantidad]]</f>
        <v>#N/A</v>
      </c>
      <c r="T4691" s="369" t="str">
        <f>VLOOKUP(Tabla4[[#This Row],[Producto]],Tabla6[#All],14,FALSE)</f>
        <v>Termico Solar</v>
      </c>
      <c r="U4691" s="284" t="e">
        <f>(IF(Tabla4[[#This Row],[Familia]]="termico solar",Tabla4[[#This Row],[Utilidad Total]]*6%,Tabla4[[#This Row],[Utilidad Total]]*11.5%))/Tabla4[[#This Row],[Total]]</f>
        <v>#N/A</v>
      </c>
      <c r="V4691" s="282" t="e">
        <f>+Tabla4[[#This Row],[Comisión Calculada]]*Tabla4[[#This Row],[Total]]</f>
        <v>#N/A</v>
      </c>
    </row>
    <row r="4692" spans="1:22" hidden="1" x14ac:dyDescent="0.25">
      <c r="A4692" s="100">
        <v>45853</v>
      </c>
      <c r="B4692" t="str">
        <f t="shared" si="235"/>
        <v>July</v>
      </c>
      <c r="C4692" s="46" t="s">
        <v>280</v>
      </c>
      <c r="F4692" s="366" t="s">
        <v>2476</v>
      </c>
      <c r="G4692" s="46" t="s">
        <v>83</v>
      </c>
      <c r="H4692" s="46">
        <v>2</v>
      </c>
      <c r="I4692" s="51">
        <v>8858.76</v>
      </c>
      <c r="J4692" s="281">
        <f>++Tabla4[[#This Row],[Precio Bruto]]*1.16</f>
        <v>10276.161599999999</v>
      </c>
      <c r="K4692" s="281">
        <f>+Tabla4[[#This Row],[Precio Unitario Neto]]*Tabla4[[#Headers],[20.85%]]</f>
        <v>2142.5796935999997</v>
      </c>
      <c r="L4692" s="282">
        <f>++Tabla4[[#This Row],[Precio Unitario Neto]]-Tabla4[[#This Row],[20.85%]]</f>
        <v>8133.5819063999998</v>
      </c>
      <c r="M4692" s="282" t="e">
        <f>(INDEX(Tabla6[#All],MATCH(Tabla4[[#This Row],[Producto]],Tabla6[[#All],[PRODUCTO]],0),MATCH(Tabla4[[#This Row],[Mes]],Tabla6[#Headers],0)))*(1+Catalogos!$L$2)</f>
        <v>#N/A</v>
      </c>
      <c r="N4692" s="283" t="e">
        <f>+(Tabla4[[#This Row],[Precio Descontado]]-Tabla4[[#This Row],[Precio Base]])*Tabla4[[#This Row],[Cantidad]]</f>
        <v>#N/A</v>
      </c>
      <c r="O4692" s="284" t="e">
        <f>++Tabla4[[#This Row],[Utilidad Total]]/Tabla4[[#This Row],[Total]]</f>
        <v>#N/A</v>
      </c>
      <c r="P4692" s="282">
        <f>++Tabla4[[#This Row],[Precio Descontado]]*Tabla4[[#This Row],[Cantidad]]</f>
        <v>16267.1638128</v>
      </c>
      <c r="Q4692" s="282" t="e">
        <f>(INDEX(Tabla6[#All],MATCH(Tabla4[[#This Row],[Producto]],Tabla6[[#All],[PRODUCTO]],0),MATCH(Tabla4[[#This Row],[Mes]],Tabla6[#Headers],0)))</f>
        <v>#N/A</v>
      </c>
      <c r="R4692" s="282" t="e">
        <f>++Tabla4[[#This Row],[Precio Unitario Neto]]-Tabla4[[#This Row],[20.85%]]-Tabla4[[#This Row],[Costo]]</f>
        <v>#N/A</v>
      </c>
      <c r="S4692" s="282" t="e">
        <f>++Tabla4[[#This Row],[U. Bruta Uni]]*Tabla4[[#This Row],[Cantidad]]</f>
        <v>#N/A</v>
      </c>
      <c r="T4692" s="369" t="str">
        <f>VLOOKUP(Tabla4[[#This Row],[Producto]],Tabla6[#All],14,FALSE)</f>
        <v>Termico Solar</v>
      </c>
      <c r="U4692" s="284" t="e">
        <f>(IF(Tabla4[[#This Row],[Familia]]="termico solar",Tabla4[[#This Row],[Utilidad Total]]*6%,Tabla4[[#This Row],[Utilidad Total]]*11.5%))/Tabla4[[#This Row],[Total]]</f>
        <v>#N/A</v>
      </c>
      <c r="V4692" s="282" t="e">
        <f>+Tabla4[[#This Row],[Comisión Calculada]]*Tabla4[[#This Row],[Total]]</f>
        <v>#N/A</v>
      </c>
    </row>
    <row r="4693" spans="1:22" hidden="1" x14ac:dyDescent="0.25">
      <c r="A4693" s="100">
        <v>45853</v>
      </c>
      <c r="B4693" t="str">
        <f t="shared" si="235"/>
        <v>July</v>
      </c>
      <c r="C4693" s="46" t="s">
        <v>280</v>
      </c>
      <c r="F4693" s="366" t="s">
        <v>2476</v>
      </c>
      <c r="G4693" s="46" t="s">
        <v>17</v>
      </c>
      <c r="H4693" s="46">
        <v>11</v>
      </c>
      <c r="I4693" s="51">
        <v>4622.28</v>
      </c>
      <c r="J4693" s="281">
        <f>++Tabla4[[#This Row],[Precio Bruto]]*1.16</f>
        <v>5361.8447999999989</v>
      </c>
      <c r="K4693" s="281">
        <f>+Tabla4[[#This Row],[Precio Unitario Neto]]*Tabla4[[#Headers],[20.85%]]</f>
        <v>1117.9446407999997</v>
      </c>
      <c r="L4693" s="282">
        <f>++Tabla4[[#This Row],[Precio Unitario Neto]]-Tabla4[[#This Row],[20.85%]]</f>
        <v>4243.9001591999995</v>
      </c>
      <c r="M4693" s="282" t="e">
        <f>(INDEX(Tabla6[#All],MATCH(Tabla4[[#This Row],[Producto]],Tabla6[[#All],[PRODUCTO]],0),MATCH(Tabla4[[#This Row],[Mes]],Tabla6[#Headers],0)))*(1+Catalogos!$L$2)</f>
        <v>#N/A</v>
      </c>
      <c r="N4693" s="283" t="e">
        <f>+(Tabla4[[#This Row],[Precio Descontado]]-Tabla4[[#This Row],[Precio Base]])*Tabla4[[#This Row],[Cantidad]]</f>
        <v>#N/A</v>
      </c>
      <c r="O4693" s="284" t="e">
        <f>++Tabla4[[#This Row],[Utilidad Total]]/Tabla4[[#This Row],[Total]]</f>
        <v>#N/A</v>
      </c>
      <c r="P4693" s="282">
        <f>++Tabla4[[#This Row],[Precio Descontado]]*Tabla4[[#This Row],[Cantidad]]</f>
        <v>46682.901751199992</v>
      </c>
      <c r="Q4693" s="282" t="e">
        <f>(INDEX(Tabla6[#All],MATCH(Tabla4[[#This Row],[Producto]],Tabla6[[#All],[PRODUCTO]],0),MATCH(Tabla4[[#This Row],[Mes]],Tabla6[#Headers],0)))</f>
        <v>#N/A</v>
      </c>
      <c r="R4693" s="282" t="e">
        <f>++Tabla4[[#This Row],[Precio Unitario Neto]]-Tabla4[[#This Row],[20.85%]]-Tabla4[[#This Row],[Costo]]</f>
        <v>#N/A</v>
      </c>
      <c r="S4693" s="282" t="e">
        <f>++Tabla4[[#This Row],[U. Bruta Uni]]*Tabla4[[#This Row],[Cantidad]]</f>
        <v>#N/A</v>
      </c>
      <c r="T4693" s="369" t="str">
        <f>VLOOKUP(Tabla4[[#This Row],[Producto]],Tabla6[#All],14,FALSE)</f>
        <v>Termico Solar</v>
      </c>
      <c r="U4693" s="284" t="e">
        <f>(IF(Tabla4[[#This Row],[Familia]]="termico solar",Tabla4[[#This Row],[Utilidad Total]]*6%,Tabla4[[#This Row],[Utilidad Total]]*11.5%))/Tabla4[[#This Row],[Total]]</f>
        <v>#N/A</v>
      </c>
      <c r="V4693" s="282" t="e">
        <f>+Tabla4[[#This Row],[Comisión Calculada]]*Tabla4[[#This Row],[Total]]</f>
        <v>#N/A</v>
      </c>
    </row>
    <row r="4694" spans="1:22" hidden="1" x14ac:dyDescent="0.25">
      <c r="A4694" s="100">
        <v>45853</v>
      </c>
      <c r="B4694" t="str">
        <f t="shared" si="235"/>
        <v>July</v>
      </c>
      <c r="C4694" s="46" t="s">
        <v>280</v>
      </c>
      <c r="F4694" s="366" t="s">
        <v>2476</v>
      </c>
      <c r="G4694" s="46" t="s">
        <v>566</v>
      </c>
      <c r="H4694" s="46">
        <v>1</v>
      </c>
      <c r="I4694" s="51">
        <v>2109.4499999999998</v>
      </c>
      <c r="J4694" s="281">
        <f>++Tabla4[[#This Row],[Precio Bruto]]*1.16</f>
        <v>2446.9619999999995</v>
      </c>
      <c r="K4694" s="281">
        <f>+Tabla4[[#This Row],[Precio Unitario Neto]]*Tabla4[[#Headers],[20.85%]]</f>
        <v>510.19157699999988</v>
      </c>
      <c r="L4694" s="282">
        <f>++Tabla4[[#This Row],[Precio Unitario Neto]]-Tabla4[[#This Row],[20.85%]]</f>
        <v>1936.7704229999997</v>
      </c>
      <c r="M4694" s="282" t="e">
        <f>(INDEX(Tabla6[#All],MATCH(Tabla4[[#This Row],[Producto]],Tabla6[[#All],[PRODUCTO]],0),MATCH(Tabla4[[#This Row],[Mes]],Tabla6[#Headers],0)))*(1+Catalogos!$L$2)</f>
        <v>#N/A</v>
      </c>
      <c r="N4694" s="283" t="e">
        <f>+(Tabla4[[#This Row],[Precio Descontado]]-Tabla4[[#This Row],[Precio Base]])*Tabla4[[#This Row],[Cantidad]]</f>
        <v>#N/A</v>
      </c>
      <c r="O4694" s="284" t="e">
        <f>++Tabla4[[#This Row],[Utilidad Total]]/Tabla4[[#This Row],[Total]]</f>
        <v>#N/A</v>
      </c>
      <c r="P4694" s="282">
        <f>++Tabla4[[#This Row],[Precio Descontado]]*Tabla4[[#This Row],[Cantidad]]</f>
        <v>1936.7704229999997</v>
      </c>
      <c r="Q4694" s="282" t="e">
        <f>(INDEX(Tabla6[#All],MATCH(Tabla4[[#This Row],[Producto]],Tabla6[[#All],[PRODUCTO]],0),MATCH(Tabla4[[#This Row],[Mes]],Tabla6[#Headers],0)))</f>
        <v>#N/A</v>
      </c>
      <c r="R4694" s="282" t="e">
        <f>++Tabla4[[#This Row],[Precio Unitario Neto]]-Tabla4[[#This Row],[20.85%]]-Tabla4[[#This Row],[Costo]]</f>
        <v>#N/A</v>
      </c>
      <c r="S4694" s="282" t="e">
        <f>++Tabla4[[#This Row],[U. Bruta Uni]]*Tabla4[[#This Row],[Cantidad]]</f>
        <v>#N/A</v>
      </c>
      <c r="T4694" s="369" t="str">
        <f>VLOOKUP(Tabla4[[#This Row],[Producto]],Tabla6[#All],14,FALSE)</f>
        <v>Termico Solar</v>
      </c>
      <c r="U4694" s="284" t="e">
        <f>(IF(Tabla4[[#This Row],[Familia]]="termico solar",Tabla4[[#This Row],[Utilidad Total]]*6%,Tabla4[[#This Row],[Utilidad Total]]*11.5%))/Tabla4[[#This Row],[Total]]</f>
        <v>#N/A</v>
      </c>
      <c r="V4694" s="282" t="e">
        <f>+Tabla4[[#This Row],[Comisión Calculada]]*Tabla4[[#This Row],[Total]]</f>
        <v>#N/A</v>
      </c>
    </row>
    <row r="4695" spans="1:22" hidden="1" x14ac:dyDescent="0.25">
      <c r="A4695" s="100">
        <v>45853</v>
      </c>
      <c r="B4695" t="str">
        <f t="shared" si="235"/>
        <v>July</v>
      </c>
      <c r="C4695" s="46" t="s">
        <v>280</v>
      </c>
      <c r="F4695" s="366" t="s">
        <v>2477</v>
      </c>
      <c r="G4695" s="46" t="s">
        <v>83</v>
      </c>
      <c r="H4695" s="46">
        <v>1</v>
      </c>
      <c r="I4695" s="51">
        <v>8858.76</v>
      </c>
      <c r="J4695" s="281">
        <f>++Tabla4[[#This Row],[Precio Bruto]]*1.16</f>
        <v>10276.161599999999</v>
      </c>
      <c r="K4695" s="281">
        <f>+Tabla4[[#This Row],[Precio Unitario Neto]]*Tabla4[[#Headers],[20.85%]]</f>
        <v>2142.5796935999997</v>
      </c>
      <c r="L4695" s="282">
        <f>++Tabla4[[#This Row],[Precio Unitario Neto]]-Tabla4[[#This Row],[20.85%]]</f>
        <v>8133.5819063999998</v>
      </c>
      <c r="M4695" s="282" t="e">
        <f>(INDEX(Tabla6[#All],MATCH(Tabla4[[#This Row],[Producto]],Tabla6[[#All],[PRODUCTO]],0),MATCH(Tabla4[[#This Row],[Mes]],Tabla6[#Headers],0)))*(1+Catalogos!$L$2)</f>
        <v>#N/A</v>
      </c>
      <c r="N4695" s="283" t="e">
        <f>+(Tabla4[[#This Row],[Precio Descontado]]-Tabla4[[#This Row],[Precio Base]])*Tabla4[[#This Row],[Cantidad]]</f>
        <v>#N/A</v>
      </c>
      <c r="O4695" s="284" t="e">
        <f>++Tabla4[[#This Row],[Utilidad Total]]/Tabla4[[#This Row],[Total]]</f>
        <v>#N/A</v>
      </c>
      <c r="P4695" s="282">
        <f>++Tabla4[[#This Row],[Precio Descontado]]*Tabla4[[#This Row],[Cantidad]]</f>
        <v>8133.5819063999998</v>
      </c>
      <c r="Q4695" s="282" t="e">
        <f>(INDEX(Tabla6[#All],MATCH(Tabla4[[#This Row],[Producto]],Tabla6[[#All],[PRODUCTO]],0),MATCH(Tabla4[[#This Row],[Mes]],Tabla6[#Headers],0)))</f>
        <v>#N/A</v>
      </c>
      <c r="R4695" s="282" t="e">
        <f>++Tabla4[[#This Row],[Precio Unitario Neto]]-Tabla4[[#This Row],[20.85%]]-Tabla4[[#This Row],[Costo]]</f>
        <v>#N/A</v>
      </c>
      <c r="S4695" s="282" t="e">
        <f>++Tabla4[[#This Row],[U. Bruta Uni]]*Tabla4[[#This Row],[Cantidad]]</f>
        <v>#N/A</v>
      </c>
      <c r="T4695" s="369" t="str">
        <f>VLOOKUP(Tabla4[[#This Row],[Producto]],Tabla6[#All],14,FALSE)</f>
        <v>Termico Solar</v>
      </c>
      <c r="U4695" s="284" t="e">
        <f>(IF(Tabla4[[#This Row],[Familia]]="termico solar",Tabla4[[#This Row],[Utilidad Total]]*6%,Tabla4[[#This Row],[Utilidad Total]]*11.5%))/Tabla4[[#This Row],[Total]]</f>
        <v>#N/A</v>
      </c>
      <c r="V4695" s="282" t="e">
        <f>+Tabla4[[#This Row],[Comisión Calculada]]*Tabla4[[#This Row],[Total]]</f>
        <v>#N/A</v>
      </c>
    </row>
    <row r="4696" spans="1:22" hidden="1" x14ac:dyDescent="0.25">
      <c r="A4696" s="100">
        <v>45853</v>
      </c>
      <c r="B4696" t="str">
        <f t="shared" si="235"/>
        <v>July</v>
      </c>
      <c r="C4696" s="46" t="s">
        <v>280</v>
      </c>
      <c r="F4696" s="366" t="s">
        <v>2477</v>
      </c>
      <c r="G4696" s="46" t="s">
        <v>17</v>
      </c>
      <c r="H4696" s="46">
        <v>2</v>
      </c>
      <c r="I4696" s="51">
        <v>4622.28</v>
      </c>
      <c r="J4696" s="281">
        <f>++Tabla4[[#This Row],[Precio Bruto]]*1.16</f>
        <v>5361.8447999999989</v>
      </c>
      <c r="K4696" s="281">
        <f>+Tabla4[[#This Row],[Precio Unitario Neto]]*Tabla4[[#Headers],[20.85%]]</f>
        <v>1117.9446407999997</v>
      </c>
      <c r="L4696" s="282">
        <f>++Tabla4[[#This Row],[Precio Unitario Neto]]-Tabla4[[#This Row],[20.85%]]</f>
        <v>4243.9001591999995</v>
      </c>
      <c r="M4696" s="282" t="e">
        <f>(INDEX(Tabla6[#All],MATCH(Tabla4[[#This Row],[Producto]],Tabla6[[#All],[PRODUCTO]],0),MATCH(Tabla4[[#This Row],[Mes]],Tabla6[#Headers],0)))*(1+Catalogos!$L$2)</f>
        <v>#N/A</v>
      </c>
      <c r="N4696" s="283" t="e">
        <f>+(Tabla4[[#This Row],[Precio Descontado]]-Tabla4[[#This Row],[Precio Base]])*Tabla4[[#This Row],[Cantidad]]</f>
        <v>#N/A</v>
      </c>
      <c r="O4696" s="284" t="e">
        <f>++Tabla4[[#This Row],[Utilidad Total]]/Tabla4[[#This Row],[Total]]</f>
        <v>#N/A</v>
      </c>
      <c r="P4696" s="282">
        <f>++Tabla4[[#This Row],[Precio Descontado]]*Tabla4[[#This Row],[Cantidad]]</f>
        <v>8487.800318399999</v>
      </c>
      <c r="Q4696" s="282" t="e">
        <f>(INDEX(Tabla6[#All],MATCH(Tabla4[[#This Row],[Producto]],Tabla6[[#All],[PRODUCTO]],0),MATCH(Tabla4[[#This Row],[Mes]],Tabla6[#Headers],0)))</f>
        <v>#N/A</v>
      </c>
      <c r="R4696" s="282" t="e">
        <f>++Tabla4[[#This Row],[Precio Unitario Neto]]-Tabla4[[#This Row],[20.85%]]-Tabla4[[#This Row],[Costo]]</f>
        <v>#N/A</v>
      </c>
      <c r="S4696" s="282" t="e">
        <f>++Tabla4[[#This Row],[U. Bruta Uni]]*Tabla4[[#This Row],[Cantidad]]</f>
        <v>#N/A</v>
      </c>
      <c r="T4696" s="369" t="str">
        <f>VLOOKUP(Tabla4[[#This Row],[Producto]],Tabla6[#All],14,FALSE)</f>
        <v>Termico Solar</v>
      </c>
      <c r="U4696" s="284" t="e">
        <f>(IF(Tabla4[[#This Row],[Familia]]="termico solar",Tabla4[[#This Row],[Utilidad Total]]*6%,Tabla4[[#This Row],[Utilidad Total]]*11.5%))/Tabla4[[#This Row],[Total]]</f>
        <v>#N/A</v>
      </c>
      <c r="V4696" s="282" t="e">
        <f>+Tabla4[[#This Row],[Comisión Calculada]]*Tabla4[[#This Row],[Total]]</f>
        <v>#N/A</v>
      </c>
    </row>
    <row r="4697" spans="1:22" hidden="1" x14ac:dyDescent="0.25">
      <c r="A4697" s="100">
        <v>45853</v>
      </c>
      <c r="B4697" t="str">
        <f t="shared" si="235"/>
        <v>July</v>
      </c>
      <c r="C4697" s="46" t="s">
        <v>280</v>
      </c>
      <c r="F4697" s="366" t="s">
        <v>2477</v>
      </c>
      <c r="G4697" s="46" t="s">
        <v>18</v>
      </c>
      <c r="H4697" s="46">
        <v>1</v>
      </c>
      <c r="I4697" s="51">
        <v>5367.65</v>
      </c>
      <c r="J4697" s="281">
        <f>++Tabla4[[#This Row],[Precio Bruto]]*1.16</f>
        <v>6226.4739999999993</v>
      </c>
      <c r="K4697" s="281">
        <f>+Tabla4[[#This Row],[Precio Unitario Neto]]*Tabla4[[#Headers],[20.85%]]</f>
        <v>1298.2198289999999</v>
      </c>
      <c r="L4697" s="282">
        <f>++Tabla4[[#This Row],[Precio Unitario Neto]]-Tabla4[[#This Row],[20.85%]]</f>
        <v>4928.2541709999996</v>
      </c>
      <c r="M4697" s="282" t="e">
        <f>(INDEX(Tabla6[#All],MATCH(Tabla4[[#This Row],[Producto]],Tabla6[[#All],[PRODUCTO]],0),MATCH(Tabla4[[#This Row],[Mes]],Tabla6[#Headers],0)))*(1+Catalogos!$L$2)</f>
        <v>#N/A</v>
      </c>
      <c r="N4697" s="283" t="e">
        <f>+(Tabla4[[#This Row],[Precio Descontado]]-Tabla4[[#This Row],[Precio Base]])*Tabla4[[#This Row],[Cantidad]]</f>
        <v>#N/A</v>
      </c>
      <c r="O4697" s="284" t="e">
        <f>++Tabla4[[#This Row],[Utilidad Total]]/Tabla4[[#This Row],[Total]]</f>
        <v>#N/A</v>
      </c>
      <c r="P4697" s="282">
        <f>++Tabla4[[#This Row],[Precio Descontado]]*Tabla4[[#This Row],[Cantidad]]</f>
        <v>4928.2541709999996</v>
      </c>
      <c r="Q4697" s="282" t="e">
        <f>(INDEX(Tabla6[#All],MATCH(Tabla4[[#This Row],[Producto]],Tabla6[[#All],[PRODUCTO]],0),MATCH(Tabla4[[#This Row],[Mes]],Tabla6[#Headers],0)))</f>
        <v>#N/A</v>
      </c>
      <c r="R4697" s="282" t="e">
        <f>++Tabla4[[#This Row],[Precio Unitario Neto]]-Tabla4[[#This Row],[20.85%]]-Tabla4[[#This Row],[Costo]]</f>
        <v>#N/A</v>
      </c>
      <c r="S4697" s="282" t="e">
        <f>++Tabla4[[#This Row],[U. Bruta Uni]]*Tabla4[[#This Row],[Cantidad]]</f>
        <v>#N/A</v>
      </c>
      <c r="T4697" s="369" t="str">
        <f>VLOOKUP(Tabla4[[#This Row],[Producto]],Tabla6[#All],14,FALSE)</f>
        <v>Termico Solar</v>
      </c>
      <c r="U4697" s="284" t="e">
        <f>(IF(Tabla4[[#This Row],[Familia]]="termico solar",Tabla4[[#This Row],[Utilidad Total]]*6%,Tabla4[[#This Row],[Utilidad Total]]*11.5%))/Tabla4[[#This Row],[Total]]</f>
        <v>#N/A</v>
      </c>
      <c r="V4697" s="282" t="e">
        <f>+Tabla4[[#This Row],[Comisión Calculada]]*Tabla4[[#This Row],[Total]]</f>
        <v>#N/A</v>
      </c>
    </row>
    <row r="4698" spans="1:22" hidden="1" x14ac:dyDescent="0.25">
      <c r="A4698" s="100">
        <v>45853</v>
      </c>
      <c r="B4698" t="str">
        <f t="shared" si="235"/>
        <v>July</v>
      </c>
      <c r="C4698" s="46" t="s">
        <v>280</v>
      </c>
      <c r="F4698" s="366" t="s">
        <v>2477</v>
      </c>
      <c r="G4698" s="46" t="s">
        <v>566</v>
      </c>
      <c r="H4698" s="46">
        <v>1</v>
      </c>
      <c r="I4698" s="51">
        <v>2109.4499999999998</v>
      </c>
      <c r="J4698" s="281">
        <f>++Tabla4[[#This Row],[Precio Bruto]]*1.16</f>
        <v>2446.9619999999995</v>
      </c>
      <c r="K4698" s="281">
        <f>+Tabla4[[#This Row],[Precio Unitario Neto]]*Tabla4[[#Headers],[20.85%]]</f>
        <v>510.19157699999988</v>
      </c>
      <c r="L4698" s="282">
        <f>++Tabla4[[#This Row],[Precio Unitario Neto]]-Tabla4[[#This Row],[20.85%]]</f>
        <v>1936.7704229999997</v>
      </c>
      <c r="M4698" s="282" t="e">
        <f>(INDEX(Tabla6[#All],MATCH(Tabla4[[#This Row],[Producto]],Tabla6[[#All],[PRODUCTO]],0),MATCH(Tabla4[[#This Row],[Mes]],Tabla6[#Headers],0)))*(1+Catalogos!$L$2)</f>
        <v>#N/A</v>
      </c>
      <c r="N4698" s="283" t="e">
        <f>+(Tabla4[[#This Row],[Precio Descontado]]-Tabla4[[#This Row],[Precio Base]])*Tabla4[[#This Row],[Cantidad]]</f>
        <v>#N/A</v>
      </c>
      <c r="O4698" s="284" t="e">
        <f>++Tabla4[[#This Row],[Utilidad Total]]/Tabla4[[#This Row],[Total]]</f>
        <v>#N/A</v>
      </c>
      <c r="P4698" s="282">
        <f>++Tabla4[[#This Row],[Precio Descontado]]*Tabla4[[#This Row],[Cantidad]]</f>
        <v>1936.7704229999997</v>
      </c>
      <c r="Q4698" s="282" t="e">
        <f>(INDEX(Tabla6[#All],MATCH(Tabla4[[#This Row],[Producto]],Tabla6[[#All],[PRODUCTO]],0),MATCH(Tabla4[[#This Row],[Mes]],Tabla6[#Headers],0)))</f>
        <v>#N/A</v>
      </c>
      <c r="R4698" s="282" t="e">
        <f>++Tabla4[[#This Row],[Precio Unitario Neto]]-Tabla4[[#This Row],[20.85%]]-Tabla4[[#This Row],[Costo]]</f>
        <v>#N/A</v>
      </c>
      <c r="S4698" s="282" t="e">
        <f>++Tabla4[[#This Row],[U. Bruta Uni]]*Tabla4[[#This Row],[Cantidad]]</f>
        <v>#N/A</v>
      </c>
      <c r="T4698" s="369" t="str">
        <f>VLOOKUP(Tabla4[[#This Row],[Producto]],Tabla6[#All],14,FALSE)</f>
        <v>Termico Solar</v>
      </c>
      <c r="U4698" s="284" t="e">
        <f>(IF(Tabla4[[#This Row],[Familia]]="termico solar",Tabla4[[#This Row],[Utilidad Total]]*6%,Tabla4[[#This Row],[Utilidad Total]]*11.5%))/Tabla4[[#This Row],[Total]]</f>
        <v>#N/A</v>
      </c>
      <c r="V4698" s="282" t="e">
        <f>+Tabla4[[#This Row],[Comisión Calculada]]*Tabla4[[#This Row],[Total]]</f>
        <v>#N/A</v>
      </c>
    </row>
    <row r="4699" spans="1:22" hidden="1" x14ac:dyDescent="0.25">
      <c r="A4699" s="100">
        <v>45853</v>
      </c>
      <c r="B4699" t="str">
        <f t="shared" si="235"/>
        <v>July</v>
      </c>
      <c r="C4699" s="46" t="s">
        <v>280</v>
      </c>
      <c r="F4699" s="366" t="s">
        <v>2478</v>
      </c>
      <c r="G4699" s="46" t="s">
        <v>83</v>
      </c>
      <c r="H4699" s="46">
        <v>1</v>
      </c>
      <c r="I4699" s="51">
        <v>8858.76</v>
      </c>
      <c r="J4699" s="281">
        <f>++Tabla4[[#This Row],[Precio Bruto]]*1.16</f>
        <v>10276.161599999999</v>
      </c>
      <c r="K4699" s="281">
        <f>+Tabla4[[#This Row],[Precio Unitario Neto]]*Tabla4[[#Headers],[20.85%]]</f>
        <v>2142.5796935999997</v>
      </c>
      <c r="L4699" s="282">
        <f>++Tabla4[[#This Row],[Precio Unitario Neto]]-Tabla4[[#This Row],[20.85%]]</f>
        <v>8133.5819063999998</v>
      </c>
      <c r="M4699" s="282" t="e">
        <f>(INDEX(Tabla6[#All],MATCH(Tabla4[[#This Row],[Producto]],Tabla6[[#All],[PRODUCTO]],0),MATCH(Tabla4[[#This Row],[Mes]],Tabla6[#Headers],0)))*(1+Catalogos!$L$2)</f>
        <v>#N/A</v>
      </c>
      <c r="N4699" s="283" t="e">
        <f>+(Tabla4[[#This Row],[Precio Descontado]]-Tabla4[[#This Row],[Precio Base]])*Tabla4[[#This Row],[Cantidad]]</f>
        <v>#N/A</v>
      </c>
      <c r="O4699" s="284" t="e">
        <f>++Tabla4[[#This Row],[Utilidad Total]]/Tabla4[[#This Row],[Total]]</f>
        <v>#N/A</v>
      </c>
      <c r="P4699" s="282">
        <f>++Tabla4[[#This Row],[Precio Descontado]]*Tabla4[[#This Row],[Cantidad]]</f>
        <v>8133.5819063999998</v>
      </c>
      <c r="Q4699" s="282" t="e">
        <f>(INDEX(Tabla6[#All],MATCH(Tabla4[[#This Row],[Producto]],Tabla6[[#All],[PRODUCTO]],0),MATCH(Tabla4[[#This Row],[Mes]],Tabla6[#Headers],0)))</f>
        <v>#N/A</v>
      </c>
      <c r="R4699" s="282" t="e">
        <f>++Tabla4[[#This Row],[Precio Unitario Neto]]-Tabla4[[#This Row],[20.85%]]-Tabla4[[#This Row],[Costo]]</f>
        <v>#N/A</v>
      </c>
      <c r="S4699" s="282" t="e">
        <f>++Tabla4[[#This Row],[U. Bruta Uni]]*Tabla4[[#This Row],[Cantidad]]</f>
        <v>#N/A</v>
      </c>
      <c r="T4699" s="369" t="str">
        <f>VLOOKUP(Tabla4[[#This Row],[Producto]],Tabla6[#All],14,FALSE)</f>
        <v>Termico Solar</v>
      </c>
      <c r="U4699" s="284" t="e">
        <f>(IF(Tabla4[[#This Row],[Familia]]="termico solar",Tabla4[[#This Row],[Utilidad Total]]*6%,Tabla4[[#This Row],[Utilidad Total]]*11.5%))/Tabla4[[#This Row],[Total]]</f>
        <v>#N/A</v>
      </c>
      <c r="V4699" s="282" t="e">
        <f>+Tabla4[[#This Row],[Comisión Calculada]]*Tabla4[[#This Row],[Total]]</f>
        <v>#N/A</v>
      </c>
    </row>
    <row r="4700" spans="1:22" hidden="1" x14ac:dyDescent="0.25">
      <c r="A4700" s="100">
        <v>45853</v>
      </c>
      <c r="B4700" t="str">
        <f t="shared" si="235"/>
        <v>July</v>
      </c>
      <c r="C4700" s="46" t="s">
        <v>280</v>
      </c>
      <c r="F4700" s="366" t="s">
        <v>2478</v>
      </c>
      <c r="G4700" s="46" t="s">
        <v>566</v>
      </c>
      <c r="H4700" s="46">
        <v>2</v>
      </c>
      <c r="I4700" s="51">
        <v>2109.4499999999998</v>
      </c>
      <c r="J4700" s="281">
        <f>++Tabla4[[#This Row],[Precio Bruto]]*1.16</f>
        <v>2446.9619999999995</v>
      </c>
      <c r="K4700" s="281">
        <f>+Tabla4[[#This Row],[Precio Unitario Neto]]*Tabla4[[#Headers],[20.85%]]</f>
        <v>510.19157699999988</v>
      </c>
      <c r="L4700" s="282">
        <f>++Tabla4[[#This Row],[Precio Unitario Neto]]-Tabla4[[#This Row],[20.85%]]</f>
        <v>1936.7704229999997</v>
      </c>
      <c r="M4700" s="282" t="e">
        <f>(INDEX(Tabla6[#All],MATCH(Tabla4[[#This Row],[Producto]],Tabla6[[#All],[PRODUCTO]],0),MATCH(Tabla4[[#This Row],[Mes]],Tabla6[#Headers],0)))*(1+Catalogos!$L$2)</f>
        <v>#N/A</v>
      </c>
      <c r="N4700" s="283" t="e">
        <f>+(Tabla4[[#This Row],[Precio Descontado]]-Tabla4[[#This Row],[Precio Base]])*Tabla4[[#This Row],[Cantidad]]</f>
        <v>#N/A</v>
      </c>
      <c r="O4700" s="284" t="e">
        <f>++Tabla4[[#This Row],[Utilidad Total]]/Tabla4[[#This Row],[Total]]</f>
        <v>#N/A</v>
      </c>
      <c r="P4700" s="282">
        <f>++Tabla4[[#This Row],[Precio Descontado]]*Tabla4[[#This Row],[Cantidad]]</f>
        <v>3873.5408459999994</v>
      </c>
      <c r="Q4700" s="282" t="e">
        <f>(INDEX(Tabla6[#All],MATCH(Tabla4[[#This Row],[Producto]],Tabla6[[#All],[PRODUCTO]],0),MATCH(Tabla4[[#This Row],[Mes]],Tabla6[#Headers],0)))</f>
        <v>#N/A</v>
      </c>
      <c r="R4700" s="282" t="e">
        <f>++Tabla4[[#This Row],[Precio Unitario Neto]]-Tabla4[[#This Row],[20.85%]]-Tabla4[[#This Row],[Costo]]</f>
        <v>#N/A</v>
      </c>
      <c r="S4700" s="282" t="e">
        <f>++Tabla4[[#This Row],[U. Bruta Uni]]*Tabla4[[#This Row],[Cantidad]]</f>
        <v>#N/A</v>
      </c>
      <c r="T4700" s="369" t="str">
        <f>VLOOKUP(Tabla4[[#This Row],[Producto]],Tabla6[#All],14,FALSE)</f>
        <v>Termico Solar</v>
      </c>
      <c r="U4700" s="284" t="e">
        <f>(IF(Tabla4[[#This Row],[Familia]]="termico solar",Tabla4[[#This Row],[Utilidad Total]]*6%,Tabla4[[#This Row],[Utilidad Total]]*11.5%))/Tabla4[[#This Row],[Total]]</f>
        <v>#N/A</v>
      </c>
      <c r="V4700" s="282" t="e">
        <f>+Tabla4[[#This Row],[Comisión Calculada]]*Tabla4[[#This Row],[Total]]</f>
        <v>#N/A</v>
      </c>
    </row>
    <row r="4701" spans="1:22" hidden="1" x14ac:dyDescent="0.25">
      <c r="A4701" s="100">
        <v>45853</v>
      </c>
      <c r="B4701" t="str">
        <f t="shared" si="235"/>
        <v>July</v>
      </c>
      <c r="C4701" s="46" t="s">
        <v>280</v>
      </c>
      <c r="F4701" s="366" t="s">
        <v>2478</v>
      </c>
      <c r="G4701" s="46" t="s">
        <v>16</v>
      </c>
      <c r="H4701" s="46">
        <v>1</v>
      </c>
      <c r="I4701" s="51">
        <v>4103.8500000000004</v>
      </c>
      <c r="J4701" s="281">
        <f>++Tabla4[[#This Row],[Precio Bruto]]*1.16</f>
        <v>4760.4660000000003</v>
      </c>
      <c r="K4701" s="281">
        <f>+Tabla4[[#This Row],[Precio Unitario Neto]]*Tabla4[[#Headers],[20.85%]]</f>
        <v>992.55716100000006</v>
      </c>
      <c r="L4701" s="282">
        <f>++Tabla4[[#This Row],[Precio Unitario Neto]]-Tabla4[[#This Row],[20.85%]]</f>
        <v>3767.9088390000002</v>
      </c>
      <c r="M4701" s="282" t="e">
        <f>(INDEX(Tabla6[#All],MATCH(Tabla4[[#This Row],[Producto]],Tabla6[[#All],[PRODUCTO]],0),MATCH(Tabla4[[#This Row],[Mes]],Tabla6[#Headers],0)))*(1+Catalogos!$L$2)</f>
        <v>#N/A</v>
      </c>
      <c r="N4701" s="283" t="e">
        <f>+(Tabla4[[#This Row],[Precio Descontado]]-Tabla4[[#This Row],[Precio Base]])*Tabla4[[#This Row],[Cantidad]]</f>
        <v>#N/A</v>
      </c>
      <c r="O4701" s="284" t="e">
        <f>++Tabla4[[#This Row],[Utilidad Total]]/Tabla4[[#This Row],[Total]]</f>
        <v>#N/A</v>
      </c>
      <c r="P4701" s="282">
        <f>++Tabla4[[#This Row],[Precio Descontado]]*Tabla4[[#This Row],[Cantidad]]</f>
        <v>3767.9088390000002</v>
      </c>
      <c r="Q4701" s="282" t="e">
        <f>(INDEX(Tabla6[#All],MATCH(Tabla4[[#This Row],[Producto]],Tabla6[[#All],[PRODUCTO]],0),MATCH(Tabla4[[#This Row],[Mes]],Tabla6[#Headers],0)))</f>
        <v>#N/A</v>
      </c>
      <c r="R4701" s="282" t="e">
        <f>++Tabla4[[#This Row],[Precio Unitario Neto]]-Tabla4[[#This Row],[20.85%]]-Tabla4[[#This Row],[Costo]]</f>
        <v>#N/A</v>
      </c>
      <c r="S4701" s="282" t="e">
        <f>++Tabla4[[#This Row],[U. Bruta Uni]]*Tabla4[[#This Row],[Cantidad]]</f>
        <v>#N/A</v>
      </c>
      <c r="T4701" s="369" t="str">
        <f>VLOOKUP(Tabla4[[#This Row],[Producto]],Tabla6[#All],14,FALSE)</f>
        <v>Termico Solar</v>
      </c>
      <c r="U4701" s="284" t="e">
        <f>(IF(Tabla4[[#This Row],[Familia]]="termico solar",Tabla4[[#This Row],[Utilidad Total]]*6%,Tabla4[[#This Row],[Utilidad Total]]*11.5%))/Tabla4[[#This Row],[Total]]</f>
        <v>#N/A</v>
      </c>
      <c r="V4701" s="282" t="e">
        <f>+Tabla4[[#This Row],[Comisión Calculada]]*Tabla4[[#This Row],[Total]]</f>
        <v>#N/A</v>
      </c>
    </row>
    <row r="4702" spans="1:22" hidden="1" x14ac:dyDescent="0.25">
      <c r="A4702" s="100">
        <v>45853</v>
      </c>
      <c r="B4702" t="str">
        <f t="shared" si="235"/>
        <v>July</v>
      </c>
      <c r="C4702" s="46" t="s">
        <v>280</v>
      </c>
      <c r="F4702" s="366" t="s">
        <v>2479</v>
      </c>
      <c r="G4702" s="46" t="s">
        <v>566</v>
      </c>
      <c r="H4702" s="46">
        <v>1</v>
      </c>
      <c r="I4702" s="51">
        <v>2109.4499999999998</v>
      </c>
      <c r="J4702" s="281">
        <f>++Tabla4[[#This Row],[Precio Bruto]]*1.16</f>
        <v>2446.9619999999995</v>
      </c>
      <c r="K4702" s="281">
        <f>+Tabla4[[#This Row],[Precio Unitario Neto]]*Tabla4[[#Headers],[20.85%]]</f>
        <v>510.19157699999988</v>
      </c>
      <c r="L4702" s="282">
        <f>++Tabla4[[#This Row],[Precio Unitario Neto]]-Tabla4[[#This Row],[20.85%]]</f>
        <v>1936.7704229999997</v>
      </c>
      <c r="M4702" s="282" t="e">
        <f>(INDEX(Tabla6[#All],MATCH(Tabla4[[#This Row],[Producto]],Tabla6[[#All],[PRODUCTO]],0),MATCH(Tabla4[[#This Row],[Mes]],Tabla6[#Headers],0)))*(1+Catalogos!$L$2)</f>
        <v>#N/A</v>
      </c>
      <c r="N4702" s="283" t="e">
        <f>+(Tabla4[[#This Row],[Precio Descontado]]-Tabla4[[#This Row],[Precio Base]])*Tabla4[[#This Row],[Cantidad]]</f>
        <v>#N/A</v>
      </c>
      <c r="O4702" s="284" t="e">
        <f>++Tabla4[[#This Row],[Utilidad Total]]/Tabla4[[#This Row],[Total]]</f>
        <v>#N/A</v>
      </c>
      <c r="P4702" s="282">
        <f>++Tabla4[[#This Row],[Precio Descontado]]*Tabla4[[#This Row],[Cantidad]]</f>
        <v>1936.7704229999997</v>
      </c>
      <c r="Q4702" s="282" t="e">
        <f>(INDEX(Tabla6[#All],MATCH(Tabla4[[#This Row],[Producto]],Tabla6[[#All],[PRODUCTO]],0),MATCH(Tabla4[[#This Row],[Mes]],Tabla6[#Headers],0)))</f>
        <v>#N/A</v>
      </c>
      <c r="R4702" s="282" t="e">
        <f>++Tabla4[[#This Row],[Precio Unitario Neto]]-Tabla4[[#This Row],[20.85%]]-Tabla4[[#This Row],[Costo]]</f>
        <v>#N/A</v>
      </c>
      <c r="S4702" s="282" t="e">
        <f>++Tabla4[[#This Row],[U. Bruta Uni]]*Tabla4[[#This Row],[Cantidad]]</f>
        <v>#N/A</v>
      </c>
      <c r="T4702" s="369" t="str">
        <f>VLOOKUP(Tabla4[[#This Row],[Producto]],Tabla6[#All],14,FALSE)</f>
        <v>Termico Solar</v>
      </c>
      <c r="U4702" s="284" t="e">
        <f>(IF(Tabla4[[#This Row],[Familia]]="termico solar",Tabla4[[#This Row],[Utilidad Total]]*6%,Tabla4[[#This Row],[Utilidad Total]]*11.5%))/Tabla4[[#This Row],[Total]]</f>
        <v>#N/A</v>
      </c>
      <c r="V4702" s="282" t="e">
        <f>+Tabla4[[#This Row],[Comisión Calculada]]*Tabla4[[#This Row],[Total]]</f>
        <v>#N/A</v>
      </c>
    </row>
    <row r="4703" spans="1:22" hidden="1" x14ac:dyDescent="0.25">
      <c r="A4703" s="100">
        <v>45853</v>
      </c>
      <c r="B4703" t="str">
        <f t="shared" si="235"/>
        <v>July</v>
      </c>
      <c r="C4703" s="46" t="s">
        <v>280</v>
      </c>
      <c r="F4703" s="366" t="s">
        <v>2479</v>
      </c>
      <c r="G4703" s="46" t="s">
        <v>208</v>
      </c>
      <c r="H4703" s="46">
        <v>1</v>
      </c>
      <c r="I4703" s="51">
        <v>189.75</v>
      </c>
      <c r="J4703" s="281">
        <f>++Tabla4[[#This Row],[Precio Bruto]]*1.16</f>
        <v>220.10999999999999</v>
      </c>
      <c r="K4703" s="281">
        <f>+Tabla4[[#This Row],[Precio Unitario Neto]]*Tabla4[[#Headers],[20.85%]]</f>
        <v>45.892934999999994</v>
      </c>
      <c r="L4703" s="282">
        <f>++Tabla4[[#This Row],[Precio Unitario Neto]]-Tabla4[[#This Row],[20.85%]]</f>
        <v>174.21706499999999</v>
      </c>
      <c r="M4703" s="282" t="e">
        <f>(INDEX(Tabla6[#All],MATCH(Tabla4[[#This Row],[Producto]],Tabla6[[#All],[PRODUCTO]],0),MATCH(Tabla4[[#This Row],[Mes]],Tabla6[#Headers],0)))*(1+Catalogos!$L$2)</f>
        <v>#N/A</v>
      </c>
      <c r="N4703" s="283" t="e">
        <f>+(Tabla4[[#This Row],[Precio Descontado]]-Tabla4[[#This Row],[Precio Base]])*Tabla4[[#This Row],[Cantidad]]</f>
        <v>#N/A</v>
      </c>
      <c r="O4703" s="284" t="e">
        <f>++Tabla4[[#This Row],[Utilidad Total]]/Tabla4[[#This Row],[Total]]</f>
        <v>#N/A</v>
      </c>
      <c r="P4703" s="282">
        <f>++Tabla4[[#This Row],[Precio Descontado]]*Tabla4[[#This Row],[Cantidad]]</f>
        <v>174.21706499999999</v>
      </c>
      <c r="Q4703" s="282" t="e">
        <f>(INDEX(Tabla6[#All],MATCH(Tabla4[[#This Row],[Producto]],Tabla6[[#All],[PRODUCTO]],0),MATCH(Tabla4[[#This Row],[Mes]],Tabla6[#Headers],0)))</f>
        <v>#N/A</v>
      </c>
      <c r="R4703" s="282" t="e">
        <f>++Tabla4[[#This Row],[Precio Unitario Neto]]-Tabla4[[#This Row],[20.85%]]-Tabla4[[#This Row],[Costo]]</f>
        <v>#N/A</v>
      </c>
      <c r="S4703" s="282" t="e">
        <f>++Tabla4[[#This Row],[U. Bruta Uni]]*Tabla4[[#This Row],[Cantidad]]</f>
        <v>#N/A</v>
      </c>
      <c r="T4703" s="369" t="str">
        <f>VLOOKUP(Tabla4[[#This Row],[Producto]],Tabla6[#All],14,FALSE)</f>
        <v>Termico Solar</v>
      </c>
      <c r="U4703" s="284" t="e">
        <f>(IF(Tabla4[[#This Row],[Familia]]="termico solar",Tabla4[[#This Row],[Utilidad Total]]*6%,Tabla4[[#This Row],[Utilidad Total]]*11.5%))/Tabla4[[#This Row],[Total]]</f>
        <v>#N/A</v>
      </c>
      <c r="V4703" s="282" t="e">
        <f>+Tabla4[[#This Row],[Comisión Calculada]]*Tabla4[[#This Row],[Total]]</f>
        <v>#N/A</v>
      </c>
    </row>
    <row r="4704" spans="1:22" hidden="1" x14ac:dyDescent="0.25">
      <c r="A4704" s="100">
        <v>45853</v>
      </c>
      <c r="B4704" t="str">
        <f t="shared" si="235"/>
        <v>July</v>
      </c>
      <c r="C4704" s="46" t="s">
        <v>280</v>
      </c>
      <c r="F4704" s="366" t="s">
        <v>2480</v>
      </c>
      <c r="G4704" s="46" t="s">
        <v>83</v>
      </c>
      <c r="H4704" s="46">
        <v>1</v>
      </c>
      <c r="I4704" s="51">
        <v>8858.76</v>
      </c>
      <c r="J4704" s="281">
        <f>++Tabla4[[#This Row],[Precio Bruto]]*1.16</f>
        <v>10276.161599999999</v>
      </c>
      <c r="K4704" s="281">
        <f>+Tabla4[[#This Row],[Precio Unitario Neto]]*Tabla4[[#Headers],[20.85%]]</f>
        <v>2142.5796935999997</v>
      </c>
      <c r="L4704" s="282">
        <f>++Tabla4[[#This Row],[Precio Unitario Neto]]-Tabla4[[#This Row],[20.85%]]</f>
        <v>8133.5819063999998</v>
      </c>
      <c r="M4704" s="282" t="e">
        <f>(INDEX(Tabla6[#All],MATCH(Tabla4[[#This Row],[Producto]],Tabla6[[#All],[PRODUCTO]],0),MATCH(Tabla4[[#This Row],[Mes]],Tabla6[#Headers],0)))*(1+Catalogos!$L$2)</f>
        <v>#N/A</v>
      </c>
      <c r="N4704" s="283" t="e">
        <f>+(Tabla4[[#This Row],[Precio Descontado]]-Tabla4[[#This Row],[Precio Base]])*Tabla4[[#This Row],[Cantidad]]</f>
        <v>#N/A</v>
      </c>
      <c r="O4704" s="284" t="e">
        <f>++Tabla4[[#This Row],[Utilidad Total]]/Tabla4[[#This Row],[Total]]</f>
        <v>#N/A</v>
      </c>
      <c r="P4704" s="282">
        <f>++Tabla4[[#This Row],[Precio Descontado]]*Tabla4[[#This Row],[Cantidad]]</f>
        <v>8133.5819063999998</v>
      </c>
      <c r="Q4704" s="282" t="e">
        <f>(INDEX(Tabla6[#All],MATCH(Tabla4[[#This Row],[Producto]],Tabla6[[#All],[PRODUCTO]],0),MATCH(Tabla4[[#This Row],[Mes]],Tabla6[#Headers],0)))</f>
        <v>#N/A</v>
      </c>
      <c r="R4704" s="282" t="e">
        <f>++Tabla4[[#This Row],[Precio Unitario Neto]]-Tabla4[[#This Row],[20.85%]]-Tabla4[[#This Row],[Costo]]</f>
        <v>#N/A</v>
      </c>
      <c r="S4704" s="282" t="e">
        <f>++Tabla4[[#This Row],[U. Bruta Uni]]*Tabla4[[#This Row],[Cantidad]]</f>
        <v>#N/A</v>
      </c>
      <c r="T4704" s="369" t="str">
        <f>VLOOKUP(Tabla4[[#This Row],[Producto]],Tabla6[#All],14,FALSE)</f>
        <v>Termico Solar</v>
      </c>
      <c r="U4704" s="284" t="e">
        <f>(IF(Tabla4[[#This Row],[Familia]]="termico solar",Tabla4[[#This Row],[Utilidad Total]]*6%,Tabla4[[#This Row],[Utilidad Total]]*11.5%))/Tabla4[[#This Row],[Total]]</f>
        <v>#N/A</v>
      </c>
      <c r="V4704" s="282" t="e">
        <f>+Tabla4[[#This Row],[Comisión Calculada]]*Tabla4[[#This Row],[Total]]</f>
        <v>#N/A</v>
      </c>
    </row>
    <row r="4705" spans="1:22" hidden="1" x14ac:dyDescent="0.25">
      <c r="A4705" s="100">
        <v>45853</v>
      </c>
      <c r="B4705" t="str">
        <f t="shared" si="235"/>
        <v>July</v>
      </c>
      <c r="C4705" s="46" t="s">
        <v>280</v>
      </c>
      <c r="F4705" s="366" t="s">
        <v>2480</v>
      </c>
      <c r="G4705" s="46" t="s">
        <v>17</v>
      </c>
      <c r="H4705" s="46">
        <v>1</v>
      </c>
      <c r="I4705" s="51">
        <v>4622.28</v>
      </c>
      <c r="J4705" s="281">
        <f>++Tabla4[[#This Row],[Precio Bruto]]*1.16</f>
        <v>5361.8447999999989</v>
      </c>
      <c r="K4705" s="281">
        <f>+Tabla4[[#This Row],[Precio Unitario Neto]]*Tabla4[[#Headers],[20.85%]]</f>
        <v>1117.9446407999997</v>
      </c>
      <c r="L4705" s="282">
        <f>++Tabla4[[#This Row],[Precio Unitario Neto]]-Tabla4[[#This Row],[20.85%]]</f>
        <v>4243.9001591999995</v>
      </c>
      <c r="M4705" s="282" t="e">
        <f>(INDEX(Tabla6[#All],MATCH(Tabla4[[#This Row],[Producto]],Tabla6[[#All],[PRODUCTO]],0),MATCH(Tabla4[[#This Row],[Mes]],Tabla6[#Headers],0)))*(1+Catalogos!$L$2)</f>
        <v>#N/A</v>
      </c>
      <c r="N4705" s="283" t="e">
        <f>+(Tabla4[[#This Row],[Precio Descontado]]-Tabla4[[#This Row],[Precio Base]])*Tabla4[[#This Row],[Cantidad]]</f>
        <v>#N/A</v>
      </c>
      <c r="O4705" s="284" t="e">
        <f>++Tabla4[[#This Row],[Utilidad Total]]/Tabla4[[#This Row],[Total]]</f>
        <v>#N/A</v>
      </c>
      <c r="P4705" s="282">
        <f>++Tabla4[[#This Row],[Precio Descontado]]*Tabla4[[#This Row],[Cantidad]]</f>
        <v>4243.9001591999995</v>
      </c>
      <c r="Q4705" s="282" t="e">
        <f>(INDEX(Tabla6[#All],MATCH(Tabla4[[#This Row],[Producto]],Tabla6[[#All],[PRODUCTO]],0),MATCH(Tabla4[[#This Row],[Mes]],Tabla6[#Headers],0)))</f>
        <v>#N/A</v>
      </c>
      <c r="R4705" s="282" t="e">
        <f>++Tabla4[[#This Row],[Precio Unitario Neto]]-Tabla4[[#This Row],[20.85%]]-Tabla4[[#This Row],[Costo]]</f>
        <v>#N/A</v>
      </c>
      <c r="S4705" s="282" t="e">
        <f>++Tabla4[[#This Row],[U. Bruta Uni]]*Tabla4[[#This Row],[Cantidad]]</f>
        <v>#N/A</v>
      </c>
      <c r="T4705" s="369" t="str">
        <f>VLOOKUP(Tabla4[[#This Row],[Producto]],Tabla6[#All],14,FALSE)</f>
        <v>Termico Solar</v>
      </c>
      <c r="U4705" s="284" t="e">
        <f>(IF(Tabla4[[#This Row],[Familia]]="termico solar",Tabla4[[#This Row],[Utilidad Total]]*6%,Tabla4[[#This Row],[Utilidad Total]]*11.5%))/Tabla4[[#This Row],[Total]]</f>
        <v>#N/A</v>
      </c>
      <c r="V4705" s="282" t="e">
        <f>+Tabla4[[#This Row],[Comisión Calculada]]*Tabla4[[#This Row],[Total]]</f>
        <v>#N/A</v>
      </c>
    </row>
    <row r="4706" spans="1:22" hidden="1" x14ac:dyDescent="0.25">
      <c r="A4706" s="100">
        <v>45853</v>
      </c>
      <c r="B4706" t="str">
        <f t="shared" si="235"/>
        <v>July</v>
      </c>
      <c r="C4706" s="46" t="s">
        <v>280</v>
      </c>
      <c r="F4706" s="366" t="s">
        <v>2480</v>
      </c>
      <c r="G4706" s="46" t="s">
        <v>412</v>
      </c>
      <c r="H4706" s="46">
        <v>1</v>
      </c>
      <c r="I4706" s="51">
        <v>3240.84</v>
      </c>
      <c r="J4706" s="281">
        <f>++Tabla4[[#This Row],[Precio Bruto]]*1.16</f>
        <v>3759.3743999999997</v>
      </c>
      <c r="K4706" s="281">
        <f>+Tabla4[[#This Row],[Precio Unitario Neto]]*Tabla4[[#Headers],[20.85%]]</f>
        <v>783.82956239999987</v>
      </c>
      <c r="L4706" s="282">
        <f>++Tabla4[[#This Row],[Precio Unitario Neto]]-Tabla4[[#This Row],[20.85%]]</f>
        <v>2975.5448375999999</v>
      </c>
      <c r="M4706" s="282" t="e">
        <f>(INDEX(Tabla6[#All],MATCH(Tabla4[[#This Row],[Producto]],Tabla6[[#All],[PRODUCTO]],0),MATCH(Tabla4[[#This Row],[Mes]],Tabla6[#Headers],0)))*(1+Catalogos!$L$2)</f>
        <v>#N/A</v>
      </c>
      <c r="N4706" s="283" t="e">
        <f>+(Tabla4[[#This Row],[Precio Descontado]]-Tabla4[[#This Row],[Precio Base]])*Tabla4[[#This Row],[Cantidad]]</f>
        <v>#N/A</v>
      </c>
      <c r="O4706" s="284" t="e">
        <f>++Tabla4[[#This Row],[Utilidad Total]]/Tabla4[[#This Row],[Total]]</f>
        <v>#N/A</v>
      </c>
      <c r="P4706" s="282">
        <f>++Tabla4[[#This Row],[Precio Descontado]]*Tabla4[[#This Row],[Cantidad]]</f>
        <v>2975.5448375999999</v>
      </c>
      <c r="Q4706" s="282" t="e">
        <f>(INDEX(Tabla6[#All],MATCH(Tabla4[[#This Row],[Producto]],Tabla6[[#All],[PRODUCTO]],0),MATCH(Tabla4[[#This Row],[Mes]],Tabla6[#Headers],0)))</f>
        <v>#N/A</v>
      </c>
      <c r="R4706" s="282" t="e">
        <f>++Tabla4[[#This Row],[Precio Unitario Neto]]-Tabla4[[#This Row],[20.85%]]-Tabla4[[#This Row],[Costo]]</f>
        <v>#N/A</v>
      </c>
      <c r="S4706" s="282" t="e">
        <f>++Tabla4[[#This Row],[U. Bruta Uni]]*Tabla4[[#This Row],[Cantidad]]</f>
        <v>#N/A</v>
      </c>
      <c r="T4706" s="369" t="str">
        <f>VLOOKUP(Tabla4[[#This Row],[Producto]],Tabla6[#All],14,FALSE)</f>
        <v>Termico Solar</v>
      </c>
      <c r="U4706" s="284" t="e">
        <f>(IF(Tabla4[[#This Row],[Familia]]="termico solar",Tabla4[[#This Row],[Utilidad Total]]*6%,Tabla4[[#This Row],[Utilidad Total]]*11.5%))/Tabla4[[#This Row],[Total]]</f>
        <v>#N/A</v>
      </c>
      <c r="V4706" s="282" t="e">
        <f>+Tabla4[[#This Row],[Comisión Calculada]]*Tabla4[[#This Row],[Total]]</f>
        <v>#N/A</v>
      </c>
    </row>
    <row r="4707" spans="1:22" hidden="1" x14ac:dyDescent="0.25">
      <c r="A4707" s="100">
        <v>45853</v>
      </c>
      <c r="B4707" t="str">
        <f t="shared" ref="B4707:B4738" si="236">TEXT(A4707, "mmmm")</f>
        <v>July</v>
      </c>
      <c r="C4707" s="46" t="s">
        <v>280</v>
      </c>
      <c r="F4707" s="366" t="s">
        <v>2481</v>
      </c>
      <c r="G4707" s="46" t="s">
        <v>17</v>
      </c>
      <c r="H4707" s="46">
        <v>2</v>
      </c>
      <c r="I4707" s="51">
        <v>4622.28</v>
      </c>
      <c r="J4707" s="281">
        <f>++Tabla4[[#This Row],[Precio Bruto]]*1.16</f>
        <v>5361.8447999999989</v>
      </c>
      <c r="K4707" s="281">
        <f>+Tabla4[[#This Row],[Precio Unitario Neto]]*Tabla4[[#Headers],[20.85%]]</f>
        <v>1117.9446407999997</v>
      </c>
      <c r="L4707" s="282">
        <f>++Tabla4[[#This Row],[Precio Unitario Neto]]-Tabla4[[#This Row],[20.85%]]</f>
        <v>4243.9001591999995</v>
      </c>
      <c r="M4707" s="282" t="e">
        <f>(INDEX(Tabla6[#All],MATCH(Tabla4[[#This Row],[Producto]],Tabla6[[#All],[PRODUCTO]],0),MATCH(Tabla4[[#This Row],[Mes]],Tabla6[#Headers],0)))*(1+Catalogos!$L$2)</f>
        <v>#N/A</v>
      </c>
      <c r="N4707" s="283" t="e">
        <f>+(Tabla4[[#This Row],[Precio Descontado]]-Tabla4[[#This Row],[Precio Base]])*Tabla4[[#This Row],[Cantidad]]</f>
        <v>#N/A</v>
      </c>
      <c r="O4707" s="284" t="e">
        <f>++Tabla4[[#This Row],[Utilidad Total]]/Tabla4[[#This Row],[Total]]</f>
        <v>#N/A</v>
      </c>
      <c r="P4707" s="282">
        <f>++Tabla4[[#This Row],[Precio Descontado]]*Tabla4[[#This Row],[Cantidad]]</f>
        <v>8487.800318399999</v>
      </c>
      <c r="Q4707" s="282" t="e">
        <f>(INDEX(Tabla6[#All],MATCH(Tabla4[[#This Row],[Producto]],Tabla6[[#All],[PRODUCTO]],0),MATCH(Tabla4[[#This Row],[Mes]],Tabla6[#Headers],0)))</f>
        <v>#N/A</v>
      </c>
      <c r="R4707" s="282" t="e">
        <f>++Tabla4[[#This Row],[Precio Unitario Neto]]-Tabla4[[#This Row],[20.85%]]-Tabla4[[#This Row],[Costo]]</f>
        <v>#N/A</v>
      </c>
      <c r="S4707" s="282" t="e">
        <f>++Tabla4[[#This Row],[U. Bruta Uni]]*Tabla4[[#This Row],[Cantidad]]</f>
        <v>#N/A</v>
      </c>
      <c r="T4707" s="369" t="str">
        <f>VLOOKUP(Tabla4[[#This Row],[Producto]],Tabla6[#All],14,FALSE)</f>
        <v>Termico Solar</v>
      </c>
      <c r="U4707" s="284" t="e">
        <f>(IF(Tabla4[[#This Row],[Familia]]="termico solar",Tabla4[[#This Row],[Utilidad Total]]*6%,Tabla4[[#This Row],[Utilidad Total]]*11.5%))/Tabla4[[#This Row],[Total]]</f>
        <v>#N/A</v>
      </c>
      <c r="V4707" s="282" t="e">
        <f>+Tabla4[[#This Row],[Comisión Calculada]]*Tabla4[[#This Row],[Total]]</f>
        <v>#N/A</v>
      </c>
    </row>
    <row r="4708" spans="1:22" hidden="1" x14ac:dyDescent="0.25">
      <c r="A4708" s="100">
        <v>45853</v>
      </c>
      <c r="B4708" t="str">
        <f t="shared" si="236"/>
        <v>July</v>
      </c>
      <c r="C4708" s="46" t="s">
        <v>280</v>
      </c>
      <c r="F4708" s="366" t="s">
        <v>2481</v>
      </c>
      <c r="G4708" s="46" t="s">
        <v>394</v>
      </c>
      <c r="H4708" s="46">
        <v>9</v>
      </c>
      <c r="I4708" s="51">
        <v>108.1</v>
      </c>
      <c r="J4708" s="281">
        <f>++Tabla4[[#This Row],[Precio Bruto]]*1.16</f>
        <v>125.39599999999999</v>
      </c>
      <c r="K4708" s="281">
        <f>+Tabla4[[#This Row],[Precio Unitario Neto]]*Tabla4[[#Headers],[20.85%]]</f>
        <v>26.145065999999996</v>
      </c>
      <c r="L4708" s="282">
        <f>++Tabla4[[#This Row],[Precio Unitario Neto]]-Tabla4[[#This Row],[20.85%]]</f>
        <v>99.250933999999987</v>
      </c>
      <c r="M4708" s="282" t="e">
        <f>(INDEX(Tabla6[#All],MATCH(Tabla4[[#This Row],[Producto]],Tabla6[[#All],[PRODUCTO]],0),MATCH(Tabla4[[#This Row],[Mes]],Tabla6[#Headers],0)))*(1+Catalogos!$L$2)</f>
        <v>#N/A</v>
      </c>
      <c r="N4708" s="283" t="e">
        <f>+(Tabla4[[#This Row],[Precio Descontado]]-Tabla4[[#This Row],[Precio Base]])*Tabla4[[#This Row],[Cantidad]]</f>
        <v>#N/A</v>
      </c>
      <c r="O4708" s="284" t="e">
        <f>++Tabla4[[#This Row],[Utilidad Total]]/Tabla4[[#This Row],[Total]]</f>
        <v>#N/A</v>
      </c>
      <c r="P4708" s="282">
        <f>++Tabla4[[#This Row],[Precio Descontado]]*Tabla4[[#This Row],[Cantidad]]</f>
        <v>893.25840599999992</v>
      </c>
      <c r="Q4708" s="282" t="e">
        <f>(INDEX(Tabla6[#All],MATCH(Tabla4[[#This Row],[Producto]],Tabla6[[#All],[PRODUCTO]],0),MATCH(Tabla4[[#This Row],[Mes]],Tabla6[#Headers],0)))</f>
        <v>#N/A</v>
      </c>
      <c r="R4708" s="282" t="e">
        <f>++Tabla4[[#This Row],[Precio Unitario Neto]]-Tabla4[[#This Row],[20.85%]]-Tabla4[[#This Row],[Costo]]</f>
        <v>#N/A</v>
      </c>
      <c r="S4708" s="282" t="e">
        <f>++Tabla4[[#This Row],[U. Bruta Uni]]*Tabla4[[#This Row],[Cantidad]]</f>
        <v>#N/A</v>
      </c>
      <c r="T4708" s="369" t="str">
        <f>VLOOKUP(Tabla4[[#This Row],[Producto]],Tabla6[#All],14,FALSE)</f>
        <v>Termico Solar</v>
      </c>
      <c r="U4708" s="284" t="e">
        <f>(IF(Tabla4[[#This Row],[Familia]]="termico solar",Tabla4[[#This Row],[Utilidad Total]]*6%,Tabla4[[#This Row],[Utilidad Total]]*11.5%))/Tabla4[[#This Row],[Total]]</f>
        <v>#N/A</v>
      </c>
      <c r="V4708" s="282" t="e">
        <f>+Tabla4[[#This Row],[Comisión Calculada]]*Tabla4[[#This Row],[Total]]</f>
        <v>#N/A</v>
      </c>
    </row>
    <row r="4709" spans="1:22" hidden="1" x14ac:dyDescent="0.25">
      <c r="A4709" s="100">
        <v>45853</v>
      </c>
      <c r="B4709" t="str">
        <f t="shared" si="236"/>
        <v>July</v>
      </c>
      <c r="C4709" s="46" t="s">
        <v>280</v>
      </c>
      <c r="F4709" s="366" t="s">
        <v>2481</v>
      </c>
      <c r="G4709" s="46" t="s">
        <v>208</v>
      </c>
      <c r="H4709" s="46">
        <v>2</v>
      </c>
      <c r="I4709" s="51">
        <v>189.75</v>
      </c>
      <c r="J4709" s="281">
        <f>++Tabla4[[#This Row],[Precio Bruto]]*1.16</f>
        <v>220.10999999999999</v>
      </c>
      <c r="K4709" s="281">
        <f>+Tabla4[[#This Row],[Precio Unitario Neto]]*Tabla4[[#Headers],[20.85%]]</f>
        <v>45.892934999999994</v>
      </c>
      <c r="L4709" s="282">
        <f>++Tabla4[[#This Row],[Precio Unitario Neto]]-Tabla4[[#This Row],[20.85%]]</f>
        <v>174.21706499999999</v>
      </c>
      <c r="M4709" s="282" t="e">
        <f>(INDEX(Tabla6[#All],MATCH(Tabla4[[#This Row],[Producto]],Tabla6[[#All],[PRODUCTO]],0),MATCH(Tabla4[[#This Row],[Mes]],Tabla6[#Headers],0)))*(1+Catalogos!$L$2)</f>
        <v>#N/A</v>
      </c>
      <c r="N4709" s="283" t="e">
        <f>+(Tabla4[[#This Row],[Precio Descontado]]-Tabla4[[#This Row],[Precio Base]])*Tabla4[[#This Row],[Cantidad]]</f>
        <v>#N/A</v>
      </c>
      <c r="O4709" s="284" t="e">
        <f>++Tabla4[[#This Row],[Utilidad Total]]/Tabla4[[#This Row],[Total]]</f>
        <v>#N/A</v>
      </c>
      <c r="P4709" s="282">
        <f>++Tabla4[[#This Row],[Precio Descontado]]*Tabla4[[#This Row],[Cantidad]]</f>
        <v>348.43412999999998</v>
      </c>
      <c r="Q4709" s="282" t="e">
        <f>(INDEX(Tabla6[#All],MATCH(Tabla4[[#This Row],[Producto]],Tabla6[[#All],[PRODUCTO]],0),MATCH(Tabla4[[#This Row],[Mes]],Tabla6[#Headers],0)))</f>
        <v>#N/A</v>
      </c>
      <c r="R4709" s="282" t="e">
        <f>++Tabla4[[#This Row],[Precio Unitario Neto]]-Tabla4[[#This Row],[20.85%]]-Tabla4[[#This Row],[Costo]]</f>
        <v>#N/A</v>
      </c>
      <c r="S4709" s="282" t="e">
        <f>++Tabla4[[#This Row],[U. Bruta Uni]]*Tabla4[[#This Row],[Cantidad]]</f>
        <v>#N/A</v>
      </c>
      <c r="T4709" s="369" t="str">
        <f>VLOOKUP(Tabla4[[#This Row],[Producto]],Tabla6[#All],14,FALSE)</f>
        <v>Termico Solar</v>
      </c>
      <c r="U4709" s="284" t="e">
        <f>(IF(Tabla4[[#This Row],[Familia]]="termico solar",Tabla4[[#This Row],[Utilidad Total]]*6%,Tabla4[[#This Row],[Utilidad Total]]*11.5%))/Tabla4[[#This Row],[Total]]</f>
        <v>#N/A</v>
      </c>
      <c r="V4709" s="282" t="e">
        <f>+Tabla4[[#This Row],[Comisión Calculada]]*Tabla4[[#This Row],[Total]]</f>
        <v>#N/A</v>
      </c>
    </row>
    <row r="4710" spans="1:22" hidden="1" x14ac:dyDescent="0.25">
      <c r="A4710" s="100">
        <v>45853</v>
      </c>
      <c r="B4710" t="str">
        <f t="shared" si="236"/>
        <v>July</v>
      </c>
      <c r="C4710" s="46" t="s">
        <v>280</v>
      </c>
      <c r="F4710" s="366" t="s">
        <v>2481</v>
      </c>
      <c r="G4710" s="46" t="s">
        <v>209</v>
      </c>
      <c r="H4710" s="46">
        <v>2</v>
      </c>
      <c r="I4710" s="51">
        <v>347.48</v>
      </c>
      <c r="J4710" s="281">
        <f>++Tabla4[[#This Row],[Precio Bruto]]*1.16</f>
        <v>403.07679999999999</v>
      </c>
      <c r="K4710" s="281">
        <f>+Tabla4[[#This Row],[Precio Unitario Neto]]*Tabla4[[#Headers],[20.85%]]</f>
        <v>84.041512799999992</v>
      </c>
      <c r="L4710" s="282">
        <f>++Tabla4[[#This Row],[Precio Unitario Neto]]-Tabla4[[#This Row],[20.85%]]</f>
        <v>319.03528719999997</v>
      </c>
      <c r="M4710" s="282" t="e">
        <f>(INDEX(Tabla6[#All],MATCH(Tabla4[[#This Row],[Producto]],Tabla6[[#All],[PRODUCTO]],0),MATCH(Tabla4[[#This Row],[Mes]],Tabla6[#Headers],0)))*(1+Catalogos!$L$2)</f>
        <v>#N/A</v>
      </c>
      <c r="N4710" s="283" t="e">
        <f>+(Tabla4[[#This Row],[Precio Descontado]]-Tabla4[[#This Row],[Precio Base]])*Tabla4[[#This Row],[Cantidad]]</f>
        <v>#N/A</v>
      </c>
      <c r="O4710" s="284" t="e">
        <f>++Tabla4[[#This Row],[Utilidad Total]]/Tabla4[[#This Row],[Total]]</f>
        <v>#N/A</v>
      </c>
      <c r="P4710" s="282">
        <f>++Tabla4[[#This Row],[Precio Descontado]]*Tabla4[[#This Row],[Cantidad]]</f>
        <v>638.07057439999994</v>
      </c>
      <c r="Q4710" s="282" t="e">
        <f>(INDEX(Tabla6[#All],MATCH(Tabla4[[#This Row],[Producto]],Tabla6[[#All],[PRODUCTO]],0),MATCH(Tabla4[[#This Row],[Mes]],Tabla6[#Headers],0)))</f>
        <v>#N/A</v>
      </c>
      <c r="R4710" s="282" t="e">
        <f>++Tabla4[[#This Row],[Precio Unitario Neto]]-Tabla4[[#This Row],[20.85%]]-Tabla4[[#This Row],[Costo]]</f>
        <v>#N/A</v>
      </c>
      <c r="S4710" s="282" t="e">
        <f>++Tabla4[[#This Row],[U. Bruta Uni]]*Tabla4[[#This Row],[Cantidad]]</f>
        <v>#N/A</v>
      </c>
      <c r="T4710" s="369" t="str">
        <f>VLOOKUP(Tabla4[[#This Row],[Producto]],Tabla6[#All],14,FALSE)</f>
        <v>Termico Solar</v>
      </c>
      <c r="U4710" s="284" t="e">
        <f>(IF(Tabla4[[#This Row],[Familia]]="termico solar",Tabla4[[#This Row],[Utilidad Total]]*6%,Tabla4[[#This Row],[Utilidad Total]]*11.5%))/Tabla4[[#This Row],[Total]]</f>
        <v>#N/A</v>
      </c>
      <c r="V4710" s="282" t="e">
        <f>+Tabla4[[#This Row],[Comisión Calculada]]*Tabla4[[#This Row],[Total]]</f>
        <v>#N/A</v>
      </c>
    </row>
    <row r="4711" spans="1:22" hidden="1" x14ac:dyDescent="0.25">
      <c r="A4711" s="100">
        <v>45853</v>
      </c>
      <c r="B4711" t="str">
        <f t="shared" si="236"/>
        <v>July</v>
      </c>
      <c r="C4711" s="46" t="s">
        <v>280</v>
      </c>
      <c r="F4711" s="366" t="s">
        <v>2482</v>
      </c>
      <c r="G4711" s="46" t="s">
        <v>18</v>
      </c>
      <c r="H4711" s="46">
        <v>2</v>
      </c>
      <c r="I4711" s="51">
        <v>5367.65</v>
      </c>
      <c r="J4711" s="281">
        <f>++Tabla4[[#This Row],[Precio Bruto]]*1.16</f>
        <v>6226.4739999999993</v>
      </c>
      <c r="K4711" s="281">
        <f>+Tabla4[[#This Row],[Precio Unitario Neto]]*Tabla4[[#Headers],[20.85%]]</f>
        <v>1298.2198289999999</v>
      </c>
      <c r="L4711" s="282">
        <f>++Tabla4[[#This Row],[Precio Unitario Neto]]-Tabla4[[#This Row],[20.85%]]</f>
        <v>4928.2541709999996</v>
      </c>
      <c r="M4711" s="282" t="e">
        <f>(INDEX(Tabla6[#All],MATCH(Tabla4[[#This Row],[Producto]],Tabla6[[#All],[PRODUCTO]],0),MATCH(Tabla4[[#This Row],[Mes]],Tabla6[#Headers],0)))*(1+Catalogos!$L$2)</f>
        <v>#N/A</v>
      </c>
      <c r="N4711" s="283" t="e">
        <f>+(Tabla4[[#This Row],[Precio Descontado]]-Tabla4[[#This Row],[Precio Base]])*Tabla4[[#This Row],[Cantidad]]</f>
        <v>#N/A</v>
      </c>
      <c r="O4711" s="284" t="e">
        <f>++Tabla4[[#This Row],[Utilidad Total]]/Tabla4[[#This Row],[Total]]</f>
        <v>#N/A</v>
      </c>
      <c r="P4711" s="282">
        <f>++Tabla4[[#This Row],[Precio Descontado]]*Tabla4[[#This Row],[Cantidad]]</f>
        <v>9856.5083419999992</v>
      </c>
      <c r="Q4711" s="282" t="e">
        <f>(INDEX(Tabla6[#All],MATCH(Tabla4[[#This Row],[Producto]],Tabla6[[#All],[PRODUCTO]],0),MATCH(Tabla4[[#This Row],[Mes]],Tabla6[#Headers],0)))</f>
        <v>#N/A</v>
      </c>
      <c r="R4711" s="282" t="e">
        <f>++Tabla4[[#This Row],[Precio Unitario Neto]]-Tabla4[[#This Row],[20.85%]]-Tabla4[[#This Row],[Costo]]</f>
        <v>#N/A</v>
      </c>
      <c r="S4711" s="282" t="e">
        <f>++Tabla4[[#This Row],[U. Bruta Uni]]*Tabla4[[#This Row],[Cantidad]]</f>
        <v>#N/A</v>
      </c>
      <c r="T4711" s="369" t="str">
        <f>VLOOKUP(Tabla4[[#This Row],[Producto]],Tabla6[#All],14,FALSE)</f>
        <v>Termico Solar</v>
      </c>
      <c r="U4711" s="284" t="e">
        <f>(IF(Tabla4[[#This Row],[Familia]]="termico solar",Tabla4[[#This Row],[Utilidad Total]]*6%,Tabla4[[#This Row],[Utilidad Total]]*11.5%))/Tabla4[[#This Row],[Total]]</f>
        <v>#N/A</v>
      </c>
      <c r="V4711" s="282" t="e">
        <f>+Tabla4[[#This Row],[Comisión Calculada]]*Tabla4[[#This Row],[Total]]</f>
        <v>#N/A</v>
      </c>
    </row>
    <row r="4712" spans="1:22" hidden="1" x14ac:dyDescent="0.25">
      <c r="A4712" s="100">
        <v>45853</v>
      </c>
      <c r="B4712" t="str">
        <f t="shared" si="236"/>
        <v>July</v>
      </c>
      <c r="C4712" s="46" t="s">
        <v>280</v>
      </c>
      <c r="F4712" s="366" t="s">
        <v>2482</v>
      </c>
      <c r="G4712" s="46" t="s">
        <v>16</v>
      </c>
      <c r="H4712" s="46">
        <v>1</v>
      </c>
      <c r="I4712" s="51">
        <v>4103.8500000000004</v>
      </c>
      <c r="J4712" s="281">
        <f>++Tabla4[[#This Row],[Precio Bruto]]*1.16</f>
        <v>4760.4660000000003</v>
      </c>
      <c r="K4712" s="281">
        <f>+Tabla4[[#This Row],[Precio Unitario Neto]]*Tabla4[[#Headers],[20.85%]]</f>
        <v>992.55716100000006</v>
      </c>
      <c r="L4712" s="282">
        <f>++Tabla4[[#This Row],[Precio Unitario Neto]]-Tabla4[[#This Row],[20.85%]]</f>
        <v>3767.9088390000002</v>
      </c>
      <c r="M4712" s="282" t="e">
        <f>(INDEX(Tabla6[#All],MATCH(Tabla4[[#This Row],[Producto]],Tabla6[[#All],[PRODUCTO]],0),MATCH(Tabla4[[#This Row],[Mes]],Tabla6[#Headers],0)))*(1+Catalogos!$L$2)</f>
        <v>#N/A</v>
      </c>
      <c r="N4712" s="283" t="e">
        <f>+(Tabla4[[#This Row],[Precio Descontado]]-Tabla4[[#This Row],[Precio Base]])*Tabla4[[#This Row],[Cantidad]]</f>
        <v>#N/A</v>
      </c>
      <c r="O4712" s="284" t="e">
        <f>++Tabla4[[#This Row],[Utilidad Total]]/Tabla4[[#This Row],[Total]]</f>
        <v>#N/A</v>
      </c>
      <c r="P4712" s="282">
        <f>++Tabla4[[#This Row],[Precio Descontado]]*Tabla4[[#This Row],[Cantidad]]</f>
        <v>3767.9088390000002</v>
      </c>
      <c r="Q4712" s="282" t="e">
        <f>(INDEX(Tabla6[#All],MATCH(Tabla4[[#This Row],[Producto]],Tabla6[[#All],[PRODUCTO]],0),MATCH(Tabla4[[#This Row],[Mes]],Tabla6[#Headers],0)))</f>
        <v>#N/A</v>
      </c>
      <c r="R4712" s="282" t="e">
        <f>++Tabla4[[#This Row],[Precio Unitario Neto]]-Tabla4[[#This Row],[20.85%]]-Tabla4[[#This Row],[Costo]]</f>
        <v>#N/A</v>
      </c>
      <c r="S4712" s="282" t="e">
        <f>++Tabla4[[#This Row],[U. Bruta Uni]]*Tabla4[[#This Row],[Cantidad]]</f>
        <v>#N/A</v>
      </c>
      <c r="T4712" s="369" t="str">
        <f>VLOOKUP(Tabla4[[#This Row],[Producto]],Tabla6[#All],14,FALSE)</f>
        <v>Termico Solar</v>
      </c>
      <c r="U4712" s="284" t="e">
        <f>(IF(Tabla4[[#This Row],[Familia]]="termico solar",Tabla4[[#This Row],[Utilidad Total]]*6%,Tabla4[[#This Row],[Utilidad Total]]*11.5%))/Tabla4[[#This Row],[Total]]</f>
        <v>#N/A</v>
      </c>
      <c r="V4712" s="282" t="e">
        <f>+Tabla4[[#This Row],[Comisión Calculada]]*Tabla4[[#This Row],[Total]]</f>
        <v>#N/A</v>
      </c>
    </row>
    <row r="4713" spans="1:22" hidden="1" x14ac:dyDescent="0.25">
      <c r="A4713" s="100">
        <v>45853</v>
      </c>
      <c r="B4713" t="str">
        <f t="shared" si="236"/>
        <v>July</v>
      </c>
      <c r="C4713" s="46" t="s">
        <v>280</v>
      </c>
      <c r="F4713" s="366" t="s">
        <v>2483</v>
      </c>
      <c r="G4713" s="46" t="s">
        <v>16</v>
      </c>
      <c r="H4713" s="46">
        <v>2</v>
      </c>
      <c r="I4713" s="51">
        <v>4103.8500000000004</v>
      </c>
      <c r="J4713" s="281">
        <f>++Tabla4[[#This Row],[Precio Bruto]]*1.16</f>
        <v>4760.4660000000003</v>
      </c>
      <c r="K4713" s="281">
        <f>+Tabla4[[#This Row],[Precio Unitario Neto]]*Tabla4[[#Headers],[20.85%]]</f>
        <v>992.55716100000006</v>
      </c>
      <c r="L4713" s="282">
        <f>++Tabla4[[#This Row],[Precio Unitario Neto]]-Tabla4[[#This Row],[20.85%]]</f>
        <v>3767.9088390000002</v>
      </c>
      <c r="M4713" s="282" t="e">
        <f>(INDEX(Tabla6[#All],MATCH(Tabla4[[#This Row],[Producto]],Tabla6[[#All],[PRODUCTO]],0),MATCH(Tabla4[[#This Row],[Mes]],Tabla6[#Headers],0)))*(1+Catalogos!$L$2)</f>
        <v>#N/A</v>
      </c>
      <c r="N4713" s="283" t="e">
        <f>+(Tabla4[[#This Row],[Precio Descontado]]-Tabla4[[#This Row],[Precio Base]])*Tabla4[[#This Row],[Cantidad]]</f>
        <v>#N/A</v>
      </c>
      <c r="O4713" s="284" t="e">
        <f>++Tabla4[[#This Row],[Utilidad Total]]/Tabla4[[#This Row],[Total]]</f>
        <v>#N/A</v>
      </c>
      <c r="P4713" s="282">
        <f>++Tabla4[[#This Row],[Precio Descontado]]*Tabla4[[#This Row],[Cantidad]]</f>
        <v>7535.8176780000003</v>
      </c>
      <c r="Q4713" s="282" t="e">
        <f>(INDEX(Tabla6[#All],MATCH(Tabla4[[#This Row],[Producto]],Tabla6[[#All],[PRODUCTO]],0),MATCH(Tabla4[[#This Row],[Mes]],Tabla6[#Headers],0)))</f>
        <v>#N/A</v>
      </c>
      <c r="R4713" s="282" t="e">
        <f>++Tabla4[[#This Row],[Precio Unitario Neto]]-Tabla4[[#This Row],[20.85%]]-Tabla4[[#This Row],[Costo]]</f>
        <v>#N/A</v>
      </c>
      <c r="S4713" s="282" t="e">
        <f>++Tabla4[[#This Row],[U. Bruta Uni]]*Tabla4[[#This Row],[Cantidad]]</f>
        <v>#N/A</v>
      </c>
      <c r="T4713" s="369" t="str">
        <f>VLOOKUP(Tabla4[[#This Row],[Producto]],Tabla6[#All],14,FALSE)</f>
        <v>Termico Solar</v>
      </c>
      <c r="U4713" s="284" t="e">
        <f>(IF(Tabla4[[#This Row],[Familia]]="termico solar",Tabla4[[#This Row],[Utilidad Total]]*6%,Tabla4[[#This Row],[Utilidad Total]]*11.5%))/Tabla4[[#This Row],[Total]]</f>
        <v>#N/A</v>
      </c>
      <c r="V4713" s="282" t="e">
        <f>+Tabla4[[#This Row],[Comisión Calculada]]*Tabla4[[#This Row],[Total]]</f>
        <v>#N/A</v>
      </c>
    </row>
    <row r="4714" spans="1:22" hidden="1" x14ac:dyDescent="0.25">
      <c r="A4714" s="100">
        <v>45853</v>
      </c>
      <c r="B4714" t="str">
        <f t="shared" si="236"/>
        <v>July</v>
      </c>
      <c r="C4714" s="46" t="s">
        <v>280</v>
      </c>
      <c r="F4714" s="366" t="s">
        <v>2484</v>
      </c>
      <c r="G4714" s="46" t="s">
        <v>83</v>
      </c>
      <c r="H4714" s="46">
        <v>3</v>
      </c>
      <c r="I4714" s="51">
        <v>8858.76</v>
      </c>
      <c r="J4714" s="281">
        <f>++Tabla4[[#This Row],[Precio Bruto]]*1.16</f>
        <v>10276.161599999999</v>
      </c>
      <c r="K4714" s="281">
        <f>+Tabla4[[#This Row],[Precio Unitario Neto]]*Tabla4[[#Headers],[20.85%]]</f>
        <v>2142.5796935999997</v>
      </c>
      <c r="L4714" s="282">
        <f>++Tabla4[[#This Row],[Precio Unitario Neto]]-Tabla4[[#This Row],[20.85%]]</f>
        <v>8133.5819063999998</v>
      </c>
      <c r="M4714" s="282" t="e">
        <f>(INDEX(Tabla6[#All],MATCH(Tabla4[[#This Row],[Producto]],Tabla6[[#All],[PRODUCTO]],0),MATCH(Tabla4[[#This Row],[Mes]],Tabla6[#Headers],0)))*(1+Catalogos!$L$2)</f>
        <v>#N/A</v>
      </c>
      <c r="N4714" s="283" t="e">
        <f>+(Tabla4[[#This Row],[Precio Descontado]]-Tabla4[[#This Row],[Precio Base]])*Tabla4[[#This Row],[Cantidad]]</f>
        <v>#N/A</v>
      </c>
      <c r="O4714" s="284" t="e">
        <f>++Tabla4[[#This Row],[Utilidad Total]]/Tabla4[[#This Row],[Total]]</f>
        <v>#N/A</v>
      </c>
      <c r="P4714" s="282">
        <f>++Tabla4[[#This Row],[Precio Descontado]]*Tabla4[[#This Row],[Cantidad]]</f>
        <v>24400.7457192</v>
      </c>
      <c r="Q4714" s="282" t="e">
        <f>(INDEX(Tabla6[#All],MATCH(Tabla4[[#This Row],[Producto]],Tabla6[[#All],[PRODUCTO]],0),MATCH(Tabla4[[#This Row],[Mes]],Tabla6[#Headers],0)))</f>
        <v>#N/A</v>
      </c>
      <c r="R4714" s="282" t="e">
        <f>++Tabla4[[#This Row],[Precio Unitario Neto]]-Tabla4[[#This Row],[20.85%]]-Tabla4[[#This Row],[Costo]]</f>
        <v>#N/A</v>
      </c>
      <c r="S4714" s="282" t="e">
        <f>++Tabla4[[#This Row],[U. Bruta Uni]]*Tabla4[[#This Row],[Cantidad]]</f>
        <v>#N/A</v>
      </c>
      <c r="T4714" s="369" t="str">
        <f>VLOOKUP(Tabla4[[#This Row],[Producto]],Tabla6[#All],14,FALSE)</f>
        <v>Termico Solar</v>
      </c>
      <c r="U4714" s="284" t="e">
        <f>(IF(Tabla4[[#This Row],[Familia]]="termico solar",Tabla4[[#This Row],[Utilidad Total]]*6%,Tabla4[[#This Row],[Utilidad Total]]*11.5%))/Tabla4[[#This Row],[Total]]</f>
        <v>#N/A</v>
      </c>
      <c r="V4714" s="282" t="e">
        <f>+Tabla4[[#This Row],[Comisión Calculada]]*Tabla4[[#This Row],[Total]]</f>
        <v>#N/A</v>
      </c>
    </row>
    <row r="4715" spans="1:22" hidden="1" x14ac:dyDescent="0.25">
      <c r="A4715" s="100">
        <v>45853</v>
      </c>
      <c r="B4715" t="str">
        <f t="shared" si="236"/>
        <v>July</v>
      </c>
      <c r="C4715" s="46" t="s">
        <v>280</v>
      </c>
      <c r="F4715" s="366" t="s">
        <v>2484</v>
      </c>
      <c r="G4715" s="46" t="s">
        <v>18</v>
      </c>
      <c r="H4715" s="46">
        <v>1</v>
      </c>
      <c r="I4715" s="51">
        <v>5367.65</v>
      </c>
      <c r="J4715" s="281">
        <f>++Tabla4[[#This Row],[Precio Bruto]]*1.16</f>
        <v>6226.4739999999993</v>
      </c>
      <c r="K4715" s="281">
        <f>+Tabla4[[#This Row],[Precio Unitario Neto]]*Tabla4[[#Headers],[20.85%]]</f>
        <v>1298.2198289999999</v>
      </c>
      <c r="L4715" s="282">
        <f>++Tabla4[[#This Row],[Precio Unitario Neto]]-Tabla4[[#This Row],[20.85%]]</f>
        <v>4928.2541709999996</v>
      </c>
      <c r="M4715" s="282" t="e">
        <f>(INDEX(Tabla6[#All],MATCH(Tabla4[[#This Row],[Producto]],Tabla6[[#All],[PRODUCTO]],0),MATCH(Tabla4[[#This Row],[Mes]],Tabla6[#Headers],0)))*(1+Catalogos!$L$2)</f>
        <v>#N/A</v>
      </c>
      <c r="N4715" s="283" t="e">
        <f>+(Tabla4[[#This Row],[Precio Descontado]]-Tabla4[[#This Row],[Precio Base]])*Tabla4[[#This Row],[Cantidad]]</f>
        <v>#N/A</v>
      </c>
      <c r="O4715" s="284" t="e">
        <f>++Tabla4[[#This Row],[Utilidad Total]]/Tabla4[[#This Row],[Total]]</f>
        <v>#N/A</v>
      </c>
      <c r="P4715" s="282">
        <f>++Tabla4[[#This Row],[Precio Descontado]]*Tabla4[[#This Row],[Cantidad]]</f>
        <v>4928.2541709999996</v>
      </c>
      <c r="Q4715" s="282" t="e">
        <f>(INDEX(Tabla6[#All],MATCH(Tabla4[[#This Row],[Producto]],Tabla6[[#All],[PRODUCTO]],0),MATCH(Tabla4[[#This Row],[Mes]],Tabla6[#Headers],0)))</f>
        <v>#N/A</v>
      </c>
      <c r="R4715" s="282" t="e">
        <f>++Tabla4[[#This Row],[Precio Unitario Neto]]-Tabla4[[#This Row],[20.85%]]-Tabla4[[#This Row],[Costo]]</f>
        <v>#N/A</v>
      </c>
      <c r="S4715" s="282" t="e">
        <f>++Tabla4[[#This Row],[U. Bruta Uni]]*Tabla4[[#This Row],[Cantidad]]</f>
        <v>#N/A</v>
      </c>
      <c r="T4715" s="369" t="str">
        <f>VLOOKUP(Tabla4[[#This Row],[Producto]],Tabla6[#All],14,FALSE)</f>
        <v>Termico Solar</v>
      </c>
      <c r="U4715" s="284" t="e">
        <f>(IF(Tabla4[[#This Row],[Familia]]="termico solar",Tabla4[[#This Row],[Utilidad Total]]*6%,Tabla4[[#This Row],[Utilidad Total]]*11.5%))/Tabla4[[#This Row],[Total]]</f>
        <v>#N/A</v>
      </c>
      <c r="V4715" s="282" t="e">
        <f>+Tabla4[[#This Row],[Comisión Calculada]]*Tabla4[[#This Row],[Total]]</f>
        <v>#N/A</v>
      </c>
    </row>
    <row r="4716" spans="1:22" hidden="1" x14ac:dyDescent="0.25">
      <c r="A4716" s="100">
        <v>45853</v>
      </c>
      <c r="B4716" t="str">
        <f t="shared" si="236"/>
        <v>July</v>
      </c>
      <c r="C4716" s="46" t="s">
        <v>280</v>
      </c>
      <c r="F4716" s="366" t="s">
        <v>2484</v>
      </c>
      <c r="G4716" s="46" t="s">
        <v>412</v>
      </c>
      <c r="H4716" s="46">
        <v>1</v>
      </c>
      <c r="I4716" s="51">
        <v>3240.84</v>
      </c>
      <c r="J4716" s="281">
        <f>++Tabla4[[#This Row],[Precio Bruto]]*1.16</f>
        <v>3759.3743999999997</v>
      </c>
      <c r="K4716" s="281">
        <f>+Tabla4[[#This Row],[Precio Unitario Neto]]*Tabla4[[#Headers],[20.85%]]</f>
        <v>783.82956239999987</v>
      </c>
      <c r="L4716" s="282">
        <f>++Tabla4[[#This Row],[Precio Unitario Neto]]-Tabla4[[#This Row],[20.85%]]</f>
        <v>2975.5448375999999</v>
      </c>
      <c r="M4716" s="282" t="e">
        <f>(INDEX(Tabla6[#All],MATCH(Tabla4[[#This Row],[Producto]],Tabla6[[#All],[PRODUCTO]],0),MATCH(Tabla4[[#This Row],[Mes]],Tabla6[#Headers],0)))*(1+Catalogos!$L$2)</f>
        <v>#N/A</v>
      </c>
      <c r="N4716" s="283" t="e">
        <f>+(Tabla4[[#This Row],[Precio Descontado]]-Tabla4[[#This Row],[Precio Base]])*Tabla4[[#This Row],[Cantidad]]</f>
        <v>#N/A</v>
      </c>
      <c r="O4716" s="284" t="e">
        <f>++Tabla4[[#This Row],[Utilidad Total]]/Tabla4[[#This Row],[Total]]</f>
        <v>#N/A</v>
      </c>
      <c r="P4716" s="282">
        <f>++Tabla4[[#This Row],[Precio Descontado]]*Tabla4[[#This Row],[Cantidad]]</f>
        <v>2975.5448375999999</v>
      </c>
      <c r="Q4716" s="282" t="e">
        <f>(INDEX(Tabla6[#All],MATCH(Tabla4[[#This Row],[Producto]],Tabla6[[#All],[PRODUCTO]],0),MATCH(Tabla4[[#This Row],[Mes]],Tabla6[#Headers],0)))</f>
        <v>#N/A</v>
      </c>
      <c r="R4716" s="282" t="e">
        <f>++Tabla4[[#This Row],[Precio Unitario Neto]]-Tabla4[[#This Row],[20.85%]]-Tabla4[[#This Row],[Costo]]</f>
        <v>#N/A</v>
      </c>
      <c r="S4716" s="282" t="e">
        <f>++Tabla4[[#This Row],[U. Bruta Uni]]*Tabla4[[#This Row],[Cantidad]]</f>
        <v>#N/A</v>
      </c>
      <c r="T4716" s="369" t="str">
        <f>VLOOKUP(Tabla4[[#This Row],[Producto]],Tabla6[#All],14,FALSE)</f>
        <v>Termico Solar</v>
      </c>
      <c r="U4716" s="284" t="e">
        <f>(IF(Tabla4[[#This Row],[Familia]]="termico solar",Tabla4[[#This Row],[Utilidad Total]]*6%,Tabla4[[#This Row],[Utilidad Total]]*11.5%))/Tabla4[[#This Row],[Total]]</f>
        <v>#N/A</v>
      </c>
      <c r="V4716" s="282" t="e">
        <f>+Tabla4[[#This Row],[Comisión Calculada]]*Tabla4[[#This Row],[Total]]</f>
        <v>#N/A</v>
      </c>
    </row>
    <row r="4717" spans="1:22" hidden="1" x14ac:dyDescent="0.25">
      <c r="A4717" s="100">
        <v>45853</v>
      </c>
      <c r="B4717" t="str">
        <f t="shared" si="236"/>
        <v>July</v>
      </c>
      <c r="C4717" s="46" t="s">
        <v>280</v>
      </c>
      <c r="F4717" s="366" t="s">
        <v>2484</v>
      </c>
      <c r="G4717" s="46" t="s">
        <v>394</v>
      </c>
      <c r="H4717" s="46">
        <v>9</v>
      </c>
      <c r="I4717" s="51">
        <v>108.1</v>
      </c>
      <c r="J4717" s="281">
        <f>++Tabla4[[#This Row],[Precio Bruto]]*1.16</f>
        <v>125.39599999999999</v>
      </c>
      <c r="K4717" s="281">
        <f>+Tabla4[[#This Row],[Precio Unitario Neto]]*Tabla4[[#Headers],[20.85%]]</f>
        <v>26.145065999999996</v>
      </c>
      <c r="L4717" s="282">
        <f>++Tabla4[[#This Row],[Precio Unitario Neto]]-Tabla4[[#This Row],[20.85%]]</f>
        <v>99.250933999999987</v>
      </c>
      <c r="M4717" s="282" t="e">
        <f>(INDEX(Tabla6[#All],MATCH(Tabla4[[#This Row],[Producto]],Tabla6[[#All],[PRODUCTO]],0),MATCH(Tabla4[[#This Row],[Mes]],Tabla6[#Headers],0)))*(1+Catalogos!$L$2)</f>
        <v>#N/A</v>
      </c>
      <c r="N4717" s="283" t="e">
        <f>+(Tabla4[[#This Row],[Precio Descontado]]-Tabla4[[#This Row],[Precio Base]])*Tabla4[[#This Row],[Cantidad]]</f>
        <v>#N/A</v>
      </c>
      <c r="O4717" s="284" t="e">
        <f>++Tabla4[[#This Row],[Utilidad Total]]/Tabla4[[#This Row],[Total]]</f>
        <v>#N/A</v>
      </c>
      <c r="P4717" s="282">
        <f>++Tabla4[[#This Row],[Precio Descontado]]*Tabla4[[#This Row],[Cantidad]]</f>
        <v>893.25840599999992</v>
      </c>
      <c r="Q4717" s="282" t="e">
        <f>(INDEX(Tabla6[#All],MATCH(Tabla4[[#This Row],[Producto]],Tabla6[[#All],[PRODUCTO]],0),MATCH(Tabla4[[#This Row],[Mes]],Tabla6[#Headers],0)))</f>
        <v>#N/A</v>
      </c>
      <c r="R4717" s="282" t="e">
        <f>++Tabla4[[#This Row],[Precio Unitario Neto]]-Tabla4[[#This Row],[20.85%]]-Tabla4[[#This Row],[Costo]]</f>
        <v>#N/A</v>
      </c>
      <c r="S4717" s="282" t="e">
        <f>++Tabla4[[#This Row],[U. Bruta Uni]]*Tabla4[[#This Row],[Cantidad]]</f>
        <v>#N/A</v>
      </c>
      <c r="T4717" s="369" t="str">
        <f>VLOOKUP(Tabla4[[#This Row],[Producto]],Tabla6[#All],14,FALSE)</f>
        <v>Termico Solar</v>
      </c>
      <c r="U4717" s="284" t="e">
        <f>(IF(Tabla4[[#This Row],[Familia]]="termico solar",Tabla4[[#This Row],[Utilidad Total]]*6%,Tabla4[[#This Row],[Utilidad Total]]*11.5%))/Tabla4[[#This Row],[Total]]</f>
        <v>#N/A</v>
      </c>
      <c r="V4717" s="282" t="e">
        <f>+Tabla4[[#This Row],[Comisión Calculada]]*Tabla4[[#This Row],[Total]]</f>
        <v>#N/A</v>
      </c>
    </row>
    <row r="4718" spans="1:22" hidden="1" x14ac:dyDescent="0.25">
      <c r="A4718" s="100">
        <v>45853</v>
      </c>
      <c r="B4718" t="str">
        <f t="shared" si="236"/>
        <v>July</v>
      </c>
      <c r="C4718" s="46" t="s">
        <v>280</v>
      </c>
      <c r="F4718" s="366" t="s">
        <v>2484</v>
      </c>
      <c r="G4718" s="46" t="s">
        <v>208</v>
      </c>
      <c r="H4718" s="46">
        <v>4</v>
      </c>
      <c r="I4718" s="51">
        <v>189.75</v>
      </c>
      <c r="J4718" s="281">
        <f>++Tabla4[[#This Row],[Precio Bruto]]*1.16</f>
        <v>220.10999999999999</v>
      </c>
      <c r="K4718" s="281">
        <f>+Tabla4[[#This Row],[Precio Unitario Neto]]*Tabla4[[#Headers],[20.85%]]</f>
        <v>45.892934999999994</v>
      </c>
      <c r="L4718" s="282">
        <f>++Tabla4[[#This Row],[Precio Unitario Neto]]-Tabla4[[#This Row],[20.85%]]</f>
        <v>174.21706499999999</v>
      </c>
      <c r="M4718" s="282" t="e">
        <f>(INDEX(Tabla6[#All],MATCH(Tabla4[[#This Row],[Producto]],Tabla6[[#All],[PRODUCTO]],0),MATCH(Tabla4[[#This Row],[Mes]],Tabla6[#Headers],0)))*(1+Catalogos!$L$2)</f>
        <v>#N/A</v>
      </c>
      <c r="N4718" s="283" t="e">
        <f>+(Tabla4[[#This Row],[Precio Descontado]]-Tabla4[[#This Row],[Precio Base]])*Tabla4[[#This Row],[Cantidad]]</f>
        <v>#N/A</v>
      </c>
      <c r="O4718" s="284" t="e">
        <f>++Tabla4[[#This Row],[Utilidad Total]]/Tabla4[[#This Row],[Total]]</f>
        <v>#N/A</v>
      </c>
      <c r="P4718" s="282">
        <f>++Tabla4[[#This Row],[Precio Descontado]]*Tabla4[[#This Row],[Cantidad]]</f>
        <v>696.86825999999996</v>
      </c>
      <c r="Q4718" s="282" t="e">
        <f>(INDEX(Tabla6[#All],MATCH(Tabla4[[#This Row],[Producto]],Tabla6[[#All],[PRODUCTO]],0),MATCH(Tabla4[[#This Row],[Mes]],Tabla6[#Headers],0)))</f>
        <v>#N/A</v>
      </c>
      <c r="R4718" s="282" t="e">
        <f>++Tabla4[[#This Row],[Precio Unitario Neto]]-Tabla4[[#This Row],[20.85%]]-Tabla4[[#This Row],[Costo]]</f>
        <v>#N/A</v>
      </c>
      <c r="S4718" s="282" t="e">
        <f>++Tabla4[[#This Row],[U. Bruta Uni]]*Tabla4[[#This Row],[Cantidad]]</f>
        <v>#N/A</v>
      </c>
      <c r="T4718" s="369" t="str">
        <f>VLOOKUP(Tabla4[[#This Row],[Producto]],Tabla6[#All],14,FALSE)</f>
        <v>Termico Solar</v>
      </c>
      <c r="U4718" s="284" t="e">
        <f>(IF(Tabla4[[#This Row],[Familia]]="termico solar",Tabla4[[#This Row],[Utilidad Total]]*6%,Tabla4[[#This Row],[Utilidad Total]]*11.5%))/Tabla4[[#This Row],[Total]]</f>
        <v>#N/A</v>
      </c>
      <c r="V4718" s="282" t="e">
        <f>+Tabla4[[#This Row],[Comisión Calculada]]*Tabla4[[#This Row],[Total]]</f>
        <v>#N/A</v>
      </c>
    </row>
    <row r="4719" spans="1:22" hidden="1" x14ac:dyDescent="0.25">
      <c r="A4719" s="100">
        <v>45853</v>
      </c>
      <c r="B4719" t="str">
        <f t="shared" si="236"/>
        <v>July</v>
      </c>
      <c r="C4719" s="46" t="s">
        <v>280</v>
      </c>
      <c r="F4719" s="366" t="s">
        <v>2485</v>
      </c>
      <c r="G4719" s="46" t="s">
        <v>208</v>
      </c>
      <c r="H4719" s="46">
        <v>1</v>
      </c>
      <c r="I4719" s="51">
        <v>189.75</v>
      </c>
      <c r="J4719" s="281">
        <f>++Tabla4[[#This Row],[Precio Bruto]]*1.16</f>
        <v>220.10999999999999</v>
      </c>
      <c r="K4719" s="281">
        <f>+Tabla4[[#This Row],[Precio Unitario Neto]]*Tabla4[[#Headers],[20.85%]]</f>
        <v>45.892934999999994</v>
      </c>
      <c r="L4719" s="282">
        <f>++Tabla4[[#This Row],[Precio Unitario Neto]]-Tabla4[[#This Row],[20.85%]]</f>
        <v>174.21706499999999</v>
      </c>
      <c r="M4719" s="282" t="e">
        <f>(INDEX(Tabla6[#All],MATCH(Tabla4[[#This Row],[Producto]],Tabla6[[#All],[PRODUCTO]],0),MATCH(Tabla4[[#This Row],[Mes]],Tabla6[#Headers],0)))*(1+Catalogos!$L$2)</f>
        <v>#N/A</v>
      </c>
      <c r="N4719" s="283" t="e">
        <f>+(Tabla4[[#This Row],[Precio Descontado]]-Tabla4[[#This Row],[Precio Base]])*Tabla4[[#This Row],[Cantidad]]</f>
        <v>#N/A</v>
      </c>
      <c r="O4719" s="284" t="e">
        <f>++Tabla4[[#This Row],[Utilidad Total]]/Tabla4[[#This Row],[Total]]</f>
        <v>#N/A</v>
      </c>
      <c r="P4719" s="282">
        <f>++Tabla4[[#This Row],[Precio Descontado]]*Tabla4[[#This Row],[Cantidad]]</f>
        <v>174.21706499999999</v>
      </c>
      <c r="Q4719" s="282" t="e">
        <f>(INDEX(Tabla6[#All],MATCH(Tabla4[[#This Row],[Producto]],Tabla6[[#All],[PRODUCTO]],0),MATCH(Tabla4[[#This Row],[Mes]],Tabla6[#Headers],0)))</f>
        <v>#N/A</v>
      </c>
      <c r="R4719" s="282" t="e">
        <f>++Tabla4[[#This Row],[Precio Unitario Neto]]-Tabla4[[#This Row],[20.85%]]-Tabla4[[#This Row],[Costo]]</f>
        <v>#N/A</v>
      </c>
      <c r="S4719" s="282" t="e">
        <f>++Tabla4[[#This Row],[U. Bruta Uni]]*Tabla4[[#This Row],[Cantidad]]</f>
        <v>#N/A</v>
      </c>
      <c r="T4719" s="369" t="str">
        <f>VLOOKUP(Tabla4[[#This Row],[Producto]],Tabla6[#All],14,FALSE)</f>
        <v>Termico Solar</v>
      </c>
      <c r="U4719" s="284" t="e">
        <f>(IF(Tabla4[[#This Row],[Familia]]="termico solar",Tabla4[[#This Row],[Utilidad Total]]*6%,Tabla4[[#This Row],[Utilidad Total]]*11.5%))/Tabla4[[#This Row],[Total]]</f>
        <v>#N/A</v>
      </c>
      <c r="V4719" s="282" t="e">
        <f>+Tabla4[[#This Row],[Comisión Calculada]]*Tabla4[[#This Row],[Total]]</f>
        <v>#N/A</v>
      </c>
    </row>
    <row r="4720" spans="1:22" hidden="1" x14ac:dyDescent="0.25">
      <c r="A4720" s="100">
        <v>45853</v>
      </c>
      <c r="B4720" t="str">
        <f t="shared" si="236"/>
        <v>July</v>
      </c>
      <c r="C4720" s="46" t="s">
        <v>280</v>
      </c>
      <c r="F4720" s="366" t="s">
        <v>2486</v>
      </c>
      <c r="G4720" s="46" t="s">
        <v>19</v>
      </c>
      <c r="H4720" s="46">
        <v>1</v>
      </c>
      <c r="I4720" s="51">
        <v>6412.03</v>
      </c>
      <c r="J4720" s="281">
        <f>++Tabla4[[#This Row],[Precio Bruto]]*1.16</f>
        <v>7437.9547999999995</v>
      </c>
      <c r="K4720" s="281">
        <f>+Tabla4[[#This Row],[Precio Unitario Neto]]*Tabla4[[#Headers],[20.85%]]</f>
        <v>1550.8135757999999</v>
      </c>
      <c r="L4720" s="282">
        <f>++Tabla4[[#This Row],[Precio Unitario Neto]]-Tabla4[[#This Row],[20.85%]]</f>
        <v>5887.1412241999997</v>
      </c>
      <c r="M4720" s="282" t="e">
        <f>(INDEX(Tabla6[#All],MATCH(Tabla4[[#This Row],[Producto]],Tabla6[[#All],[PRODUCTO]],0),MATCH(Tabla4[[#This Row],[Mes]],Tabla6[#Headers],0)))*(1+Catalogos!$L$2)</f>
        <v>#N/A</v>
      </c>
      <c r="N4720" s="283" t="e">
        <f>+(Tabla4[[#This Row],[Precio Descontado]]-Tabla4[[#This Row],[Precio Base]])*Tabla4[[#This Row],[Cantidad]]</f>
        <v>#N/A</v>
      </c>
      <c r="O4720" s="284" t="e">
        <f>++Tabla4[[#This Row],[Utilidad Total]]/Tabla4[[#This Row],[Total]]</f>
        <v>#N/A</v>
      </c>
      <c r="P4720" s="282">
        <f>++Tabla4[[#This Row],[Precio Descontado]]*Tabla4[[#This Row],[Cantidad]]</f>
        <v>5887.1412241999997</v>
      </c>
      <c r="Q4720" s="282" t="e">
        <f>(INDEX(Tabla6[#All],MATCH(Tabla4[[#This Row],[Producto]],Tabla6[[#All],[PRODUCTO]],0),MATCH(Tabla4[[#This Row],[Mes]],Tabla6[#Headers],0)))</f>
        <v>#N/A</v>
      </c>
      <c r="R4720" s="282" t="e">
        <f>++Tabla4[[#This Row],[Precio Unitario Neto]]-Tabla4[[#This Row],[20.85%]]-Tabla4[[#This Row],[Costo]]</f>
        <v>#N/A</v>
      </c>
      <c r="S4720" s="282" t="e">
        <f>++Tabla4[[#This Row],[U. Bruta Uni]]*Tabla4[[#This Row],[Cantidad]]</f>
        <v>#N/A</v>
      </c>
      <c r="T4720" s="369" t="str">
        <f>VLOOKUP(Tabla4[[#This Row],[Producto]],Tabla6[#All],14,FALSE)</f>
        <v>Termico Solar</v>
      </c>
      <c r="U4720" s="284" t="e">
        <f>(IF(Tabla4[[#This Row],[Familia]]="termico solar",Tabla4[[#This Row],[Utilidad Total]]*6%,Tabla4[[#This Row],[Utilidad Total]]*11.5%))/Tabla4[[#This Row],[Total]]</f>
        <v>#N/A</v>
      </c>
      <c r="V4720" s="282" t="e">
        <f>+Tabla4[[#This Row],[Comisión Calculada]]*Tabla4[[#This Row],[Total]]</f>
        <v>#N/A</v>
      </c>
    </row>
    <row r="4721" spans="1:22" hidden="1" x14ac:dyDescent="0.25">
      <c r="A4721" s="100">
        <v>45853</v>
      </c>
      <c r="B4721" t="str">
        <f t="shared" si="236"/>
        <v>July</v>
      </c>
      <c r="C4721" s="46" t="s">
        <v>280</v>
      </c>
      <c r="F4721" s="366" t="s">
        <v>2486</v>
      </c>
      <c r="G4721" s="46" t="s">
        <v>20</v>
      </c>
      <c r="H4721" s="46">
        <v>3</v>
      </c>
      <c r="I4721" s="51">
        <v>7751.98</v>
      </c>
      <c r="J4721" s="281">
        <f>++Tabla4[[#This Row],[Precio Bruto]]*1.16</f>
        <v>8992.2967999999983</v>
      </c>
      <c r="K4721" s="281">
        <f>+Tabla4[[#This Row],[Precio Unitario Neto]]*Tabla4[[#Headers],[20.85%]]</f>
        <v>1874.8938827999996</v>
      </c>
      <c r="L4721" s="282">
        <f>++Tabla4[[#This Row],[Precio Unitario Neto]]-Tabla4[[#This Row],[20.85%]]</f>
        <v>7117.4029171999991</v>
      </c>
      <c r="M4721" s="282" t="e">
        <f>(INDEX(Tabla6[#All],MATCH(Tabla4[[#This Row],[Producto]],Tabla6[[#All],[PRODUCTO]],0),MATCH(Tabla4[[#This Row],[Mes]],Tabla6[#Headers],0)))*(1+Catalogos!$L$2)</f>
        <v>#N/A</v>
      </c>
      <c r="N4721" s="283" t="e">
        <f>+(Tabla4[[#This Row],[Precio Descontado]]-Tabla4[[#This Row],[Precio Base]])*Tabla4[[#This Row],[Cantidad]]</f>
        <v>#N/A</v>
      </c>
      <c r="O4721" s="284" t="e">
        <f>++Tabla4[[#This Row],[Utilidad Total]]/Tabla4[[#This Row],[Total]]</f>
        <v>#N/A</v>
      </c>
      <c r="P4721" s="282">
        <f>++Tabla4[[#This Row],[Precio Descontado]]*Tabla4[[#This Row],[Cantidad]]</f>
        <v>21352.208751599996</v>
      </c>
      <c r="Q4721" s="282" t="e">
        <f>(INDEX(Tabla6[#All],MATCH(Tabla4[[#This Row],[Producto]],Tabla6[[#All],[PRODUCTO]],0),MATCH(Tabla4[[#This Row],[Mes]],Tabla6[#Headers],0)))</f>
        <v>#N/A</v>
      </c>
      <c r="R4721" s="282" t="e">
        <f>++Tabla4[[#This Row],[Precio Unitario Neto]]-Tabla4[[#This Row],[20.85%]]-Tabla4[[#This Row],[Costo]]</f>
        <v>#N/A</v>
      </c>
      <c r="S4721" s="282" t="e">
        <f>++Tabla4[[#This Row],[U. Bruta Uni]]*Tabla4[[#This Row],[Cantidad]]</f>
        <v>#N/A</v>
      </c>
      <c r="T4721" s="369" t="str">
        <f>VLOOKUP(Tabla4[[#This Row],[Producto]],Tabla6[#All],14,FALSE)</f>
        <v>Termico Solar</v>
      </c>
      <c r="U4721" s="284" t="e">
        <f>(IF(Tabla4[[#This Row],[Familia]]="termico solar",Tabla4[[#This Row],[Utilidad Total]]*6%,Tabla4[[#This Row],[Utilidad Total]]*11.5%))/Tabla4[[#This Row],[Total]]</f>
        <v>#N/A</v>
      </c>
      <c r="V4721" s="282" t="e">
        <f>+Tabla4[[#This Row],[Comisión Calculada]]*Tabla4[[#This Row],[Total]]</f>
        <v>#N/A</v>
      </c>
    </row>
    <row r="4722" spans="1:22" hidden="1" x14ac:dyDescent="0.25">
      <c r="A4722" s="100">
        <v>45853</v>
      </c>
      <c r="B4722" t="str">
        <f t="shared" si="236"/>
        <v>July</v>
      </c>
      <c r="C4722" s="46" t="s">
        <v>280</v>
      </c>
      <c r="F4722" s="366" t="s">
        <v>2486</v>
      </c>
      <c r="G4722" s="46" t="s">
        <v>21</v>
      </c>
      <c r="H4722" s="46">
        <v>6</v>
      </c>
      <c r="I4722" s="51">
        <v>9282.19</v>
      </c>
      <c r="J4722" s="281">
        <f>++Tabla4[[#This Row],[Precio Bruto]]*1.16</f>
        <v>10767.340399999999</v>
      </c>
      <c r="K4722" s="281">
        <f>+Tabla4[[#This Row],[Precio Unitario Neto]]*Tabla4[[#Headers],[20.85%]]</f>
        <v>2244.9904733999997</v>
      </c>
      <c r="L4722" s="282">
        <f>++Tabla4[[#This Row],[Precio Unitario Neto]]-Tabla4[[#This Row],[20.85%]]</f>
        <v>8522.3499265999999</v>
      </c>
      <c r="M4722" s="282" t="e">
        <f>(INDEX(Tabla6[#All],MATCH(Tabla4[[#This Row],[Producto]],Tabla6[[#All],[PRODUCTO]],0),MATCH(Tabla4[[#This Row],[Mes]],Tabla6[#Headers],0)))*(1+Catalogos!$L$2)</f>
        <v>#N/A</v>
      </c>
      <c r="N4722" s="283" t="e">
        <f>+(Tabla4[[#This Row],[Precio Descontado]]-Tabla4[[#This Row],[Precio Base]])*Tabla4[[#This Row],[Cantidad]]</f>
        <v>#N/A</v>
      </c>
      <c r="O4722" s="284" t="e">
        <f>++Tabla4[[#This Row],[Utilidad Total]]/Tabla4[[#This Row],[Total]]</f>
        <v>#N/A</v>
      </c>
      <c r="P4722" s="282">
        <f>++Tabla4[[#This Row],[Precio Descontado]]*Tabla4[[#This Row],[Cantidad]]</f>
        <v>51134.099559599999</v>
      </c>
      <c r="Q4722" s="282" t="e">
        <f>(INDEX(Tabla6[#All],MATCH(Tabla4[[#This Row],[Producto]],Tabla6[[#All],[PRODUCTO]],0),MATCH(Tabla4[[#This Row],[Mes]],Tabla6[#Headers],0)))</f>
        <v>#N/A</v>
      </c>
      <c r="R4722" s="282" t="e">
        <f>++Tabla4[[#This Row],[Precio Unitario Neto]]-Tabla4[[#This Row],[20.85%]]-Tabla4[[#This Row],[Costo]]</f>
        <v>#N/A</v>
      </c>
      <c r="S4722" s="282" t="e">
        <f>++Tabla4[[#This Row],[U. Bruta Uni]]*Tabla4[[#This Row],[Cantidad]]</f>
        <v>#N/A</v>
      </c>
      <c r="T4722" s="369" t="str">
        <f>VLOOKUP(Tabla4[[#This Row],[Producto]],Tabla6[#All],14,FALSE)</f>
        <v>Termico Solar</v>
      </c>
      <c r="U4722" s="284" t="e">
        <f>(IF(Tabla4[[#This Row],[Familia]]="termico solar",Tabla4[[#This Row],[Utilidad Total]]*6%,Tabla4[[#This Row],[Utilidad Total]]*11.5%))/Tabla4[[#This Row],[Total]]</f>
        <v>#N/A</v>
      </c>
      <c r="V4722" s="282" t="e">
        <f>+Tabla4[[#This Row],[Comisión Calculada]]*Tabla4[[#This Row],[Total]]</f>
        <v>#N/A</v>
      </c>
    </row>
    <row r="4723" spans="1:22" hidden="1" x14ac:dyDescent="0.25">
      <c r="A4723" s="100">
        <v>45853</v>
      </c>
      <c r="B4723" t="str">
        <f t="shared" si="236"/>
        <v>July</v>
      </c>
      <c r="C4723" s="46" t="s">
        <v>280</v>
      </c>
      <c r="F4723" s="366" t="s">
        <v>2486</v>
      </c>
      <c r="G4723" s="46" t="s">
        <v>22</v>
      </c>
      <c r="H4723" s="46">
        <v>3</v>
      </c>
      <c r="I4723" s="51">
        <v>13355.75</v>
      </c>
      <c r="J4723" s="281">
        <f>++Tabla4[[#This Row],[Precio Bruto]]*1.16</f>
        <v>15492.669999999998</v>
      </c>
      <c r="K4723" s="281">
        <f>+Tabla4[[#This Row],[Precio Unitario Neto]]*Tabla4[[#Headers],[20.85%]]</f>
        <v>3230.2216949999993</v>
      </c>
      <c r="L4723" s="282">
        <f>++Tabla4[[#This Row],[Precio Unitario Neto]]-Tabla4[[#This Row],[20.85%]]</f>
        <v>12262.448304999998</v>
      </c>
      <c r="M4723" s="282" t="e">
        <f>(INDEX(Tabla6[#All],MATCH(Tabla4[[#This Row],[Producto]],Tabla6[[#All],[PRODUCTO]],0),MATCH(Tabla4[[#This Row],[Mes]],Tabla6[#Headers],0)))*(1+Catalogos!$L$2)</f>
        <v>#N/A</v>
      </c>
      <c r="N4723" s="283" t="e">
        <f>+(Tabla4[[#This Row],[Precio Descontado]]-Tabla4[[#This Row],[Precio Base]])*Tabla4[[#This Row],[Cantidad]]</f>
        <v>#N/A</v>
      </c>
      <c r="O4723" s="284" t="e">
        <f>++Tabla4[[#This Row],[Utilidad Total]]/Tabla4[[#This Row],[Total]]</f>
        <v>#N/A</v>
      </c>
      <c r="P4723" s="282">
        <f>++Tabla4[[#This Row],[Precio Descontado]]*Tabla4[[#This Row],[Cantidad]]</f>
        <v>36787.344914999994</v>
      </c>
      <c r="Q4723" s="282" t="e">
        <f>(INDEX(Tabla6[#All],MATCH(Tabla4[[#This Row],[Producto]],Tabla6[[#All],[PRODUCTO]],0),MATCH(Tabla4[[#This Row],[Mes]],Tabla6[#Headers],0)))</f>
        <v>#N/A</v>
      </c>
      <c r="R4723" s="282" t="e">
        <f>++Tabla4[[#This Row],[Precio Unitario Neto]]-Tabla4[[#This Row],[20.85%]]-Tabla4[[#This Row],[Costo]]</f>
        <v>#N/A</v>
      </c>
      <c r="S4723" s="282" t="e">
        <f>++Tabla4[[#This Row],[U. Bruta Uni]]*Tabla4[[#This Row],[Cantidad]]</f>
        <v>#N/A</v>
      </c>
      <c r="T4723" s="369" t="str">
        <f>VLOOKUP(Tabla4[[#This Row],[Producto]],Tabla6[#All],14,FALSE)</f>
        <v>Termico Solar</v>
      </c>
      <c r="U4723" s="284" t="e">
        <f>(IF(Tabla4[[#This Row],[Familia]]="termico solar",Tabla4[[#This Row],[Utilidad Total]]*6%,Tabla4[[#This Row],[Utilidad Total]]*11.5%))/Tabla4[[#This Row],[Total]]</f>
        <v>#N/A</v>
      </c>
      <c r="V4723" s="282" t="e">
        <f>+Tabla4[[#This Row],[Comisión Calculada]]*Tabla4[[#This Row],[Total]]</f>
        <v>#N/A</v>
      </c>
    </row>
    <row r="4724" spans="1:22" hidden="1" x14ac:dyDescent="0.25">
      <c r="A4724" s="100">
        <v>45853</v>
      </c>
      <c r="B4724" t="str">
        <f t="shared" si="236"/>
        <v>July</v>
      </c>
      <c r="C4724" s="46" t="s">
        <v>280</v>
      </c>
      <c r="F4724" s="366" t="s">
        <v>2486</v>
      </c>
      <c r="G4724" s="46" t="s">
        <v>84</v>
      </c>
      <c r="H4724" s="46">
        <v>5</v>
      </c>
      <c r="I4724" s="51">
        <v>16601.829999999998</v>
      </c>
      <c r="J4724" s="281">
        <f>++Tabla4[[#This Row],[Precio Bruto]]*1.16</f>
        <v>19258.122799999997</v>
      </c>
      <c r="K4724" s="281">
        <f>+Tabla4[[#This Row],[Precio Unitario Neto]]*Tabla4[[#Headers],[20.85%]]</f>
        <v>4015.3186037999994</v>
      </c>
      <c r="L4724" s="282">
        <f>++Tabla4[[#This Row],[Precio Unitario Neto]]-Tabla4[[#This Row],[20.85%]]</f>
        <v>15242.804196199999</v>
      </c>
      <c r="M4724" s="282" t="e">
        <f>(INDEX(Tabla6[#All],MATCH(Tabla4[[#This Row],[Producto]],Tabla6[[#All],[PRODUCTO]],0),MATCH(Tabla4[[#This Row],[Mes]],Tabla6[#Headers],0)))*(1+Catalogos!$L$2)</f>
        <v>#N/A</v>
      </c>
      <c r="N4724" s="283" t="e">
        <f>+(Tabla4[[#This Row],[Precio Descontado]]-Tabla4[[#This Row],[Precio Base]])*Tabla4[[#This Row],[Cantidad]]</f>
        <v>#N/A</v>
      </c>
      <c r="O4724" s="284" t="e">
        <f>++Tabla4[[#This Row],[Utilidad Total]]/Tabla4[[#This Row],[Total]]</f>
        <v>#N/A</v>
      </c>
      <c r="P4724" s="282">
        <f>++Tabla4[[#This Row],[Precio Descontado]]*Tabla4[[#This Row],[Cantidad]]</f>
        <v>76214.020980999994</v>
      </c>
      <c r="Q4724" s="282" t="e">
        <f>(INDEX(Tabla6[#All],MATCH(Tabla4[[#This Row],[Producto]],Tabla6[[#All],[PRODUCTO]],0),MATCH(Tabla4[[#This Row],[Mes]],Tabla6[#Headers],0)))</f>
        <v>#N/A</v>
      </c>
      <c r="R4724" s="282" t="e">
        <f>++Tabla4[[#This Row],[Precio Unitario Neto]]-Tabla4[[#This Row],[20.85%]]-Tabla4[[#This Row],[Costo]]</f>
        <v>#N/A</v>
      </c>
      <c r="S4724" s="282" t="e">
        <f>++Tabla4[[#This Row],[U. Bruta Uni]]*Tabla4[[#This Row],[Cantidad]]</f>
        <v>#N/A</v>
      </c>
      <c r="T4724" s="369" t="str">
        <f>VLOOKUP(Tabla4[[#This Row],[Producto]],Tabla6[#All],14,FALSE)</f>
        <v>Termico Solar</v>
      </c>
      <c r="U4724" s="284" t="e">
        <f>(IF(Tabla4[[#This Row],[Familia]]="termico solar",Tabla4[[#This Row],[Utilidad Total]]*6%,Tabla4[[#This Row],[Utilidad Total]]*11.5%))/Tabla4[[#This Row],[Total]]</f>
        <v>#N/A</v>
      </c>
      <c r="V4724" s="282" t="e">
        <f>+Tabla4[[#This Row],[Comisión Calculada]]*Tabla4[[#This Row],[Total]]</f>
        <v>#N/A</v>
      </c>
    </row>
    <row r="4725" spans="1:22" hidden="1" x14ac:dyDescent="0.25">
      <c r="A4725" s="100">
        <v>45853</v>
      </c>
      <c r="B4725" t="str">
        <f t="shared" si="236"/>
        <v>July</v>
      </c>
      <c r="C4725" s="46" t="s">
        <v>280</v>
      </c>
      <c r="F4725" s="366" t="s">
        <v>2487</v>
      </c>
      <c r="G4725" s="46" t="s">
        <v>83</v>
      </c>
      <c r="H4725" s="46">
        <v>2</v>
      </c>
      <c r="I4725" s="51">
        <v>8858.76</v>
      </c>
      <c r="J4725" s="281">
        <f>++Tabla4[[#This Row],[Precio Bruto]]*1.16</f>
        <v>10276.161599999999</v>
      </c>
      <c r="K4725" s="281">
        <f>+Tabla4[[#This Row],[Precio Unitario Neto]]*Tabla4[[#Headers],[20.85%]]</f>
        <v>2142.5796935999997</v>
      </c>
      <c r="L4725" s="282">
        <f>++Tabla4[[#This Row],[Precio Unitario Neto]]-Tabla4[[#This Row],[20.85%]]</f>
        <v>8133.5819063999998</v>
      </c>
      <c r="M4725" s="282" t="e">
        <f>(INDEX(Tabla6[#All],MATCH(Tabla4[[#This Row],[Producto]],Tabla6[[#All],[PRODUCTO]],0),MATCH(Tabla4[[#This Row],[Mes]],Tabla6[#Headers],0)))*(1+Catalogos!$L$2)</f>
        <v>#N/A</v>
      </c>
      <c r="N4725" s="283" t="e">
        <f>+(Tabla4[[#This Row],[Precio Descontado]]-Tabla4[[#This Row],[Precio Base]])*Tabla4[[#This Row],[Cantidad]]</f>
        <v>#N/A</v>
      </c>
      <c r="O4725" s="284" t="e">
        <f>++Tabla4[[#This Row],[Utilidad Total]]/Tabla4[[#This Row],[Total]]</f>
        <v>#N/A</v>
      </c>
      <c r="P4725" s="282">
        <f>++Tabla4[[#This Row],[Precio Descontado]]*Tabla4[[#This Row],[Cantidad]]</f>
        <v>16267.1638128</v>
      </c>
      <c r="Q4725" s="282" t="e">
        <f>(INDEX(Tabla6[#All],MATCH(Tabla4[[#This Row],[Producto]],Tabla6[[#All],[PRODUCTO]],0),MATCH(Tabla4[[#This Row],[Mes]],Tabla6[#Headers],0)))</f>
        <v>#N/A</v>
      </c>
      <c r="R4725" s="282" t="e">
        <f>++Tabla4[[#This Row],[Precio Unitario Neto]]-Tabla4[[#This Row],[20.85%]]-Tabla4[[#This Row],[Costo]]</f>
        <v>#N/A</v>
      </c>
      <c r="S4725" s="282" t="e">
        <f>++Tabla4[[#This Row],[U. Bruta Uni]]*Tabla4[[#This Row],[Cantidad]]</f>
        <v>#N/A</v>
      </c>
      <c r="T4725" s="369" t="str">
        <f>VLOOKUP(Tabla4[[#This Row],[Producto]],Tabla6[#All],14,FALSE)</f>
        <v>Termico Solar</v>
      </c>
      <c r="U4725" s="284" t="e">
        <f>(IF(Tabla4[[#This Row],[Familia]]="termico solar",Tabla4[[#This Row],[Utilidad Total]]*6%,Tabla4[[#This Row],[Utilidad Total]]*11.5%))/Tabla4[[#This Row],[Total]]</f>
        <v>#N/A</v>
      </c>
      <c r="V4725" s="282" t="e">
        <f>+Tabla4[[#This Row],[Comisión Calculada]]*Tabla4[[#This Row],[Total]]</f>
        <v>#N/A</v>
      </c>
    </row>
    <row r="4726" spans="1:22" hidden="1" x14ac:dyDescent="0.25">
      <c r="A4726" s="100">
        <v>45853</v>
      </c>
      <c r="B4726" t="str">
        <f t="shared" si="236"/>
        <v>July</v>
      </c>
      <c r="C4726" s="46" t="s">
        <v>280</v>
      </c>
      <c r="F4726" s="366" t="s">
        <v>2487</v>
      </c>
      <c r="G4726" s="46" t="s">
        <v>566</v>
      </c>
      <c r="H4726" s="46">
        <v>1</v>
      </c>
      <c r="I4726" s="51">
        <v>2109.4499999999998</v>
      </c>
      <c r="J4726" s="281">
        <f>++Tabla4[[#This Row],[Precio Bruto]]*1.16</f>
        <v>2446.9619999999995</v>
      </c>
      <c r="K4726" s="281">
        <f>+Tabla4[[#This Row],[Precio Unitario Neto]]*Tabla4[[#Headers],[20.85%]]</f>
        <v>510.19157699999988</v>
      </c>
      <c r="L4726" s="282">
        <f>++Tabla4[[#This Row],[Precio Unitario Neto]]-Tabla4[[#This Row],[20.85%]]</f>
        <v>1936.7704229999997</v>
      </c>
      <c r="M4726" s="282" t="e">
        <f>(INDEX(Tabla6[#All],MATCH(Tabla4[[#This Row],[Producto]],Tabla6[[#All],[PRODUCTO]],0),MATCH(Tabla4[[#This Row],[Mes]],Tabla6[#Headers],0)))*(1+Catalogos!$L$2)</f>
        <v>#N/A</v>
      </c>
      <c r="N4726" s="283" t="e">
        <f>+(Tabla4[[#This Row],[Precio Descontado]]-Tabla4[[#This Row],[Precio Base]])*Tabla4[[#This Row],[Cantidad]]</f>
        <v>#N/A</v>
      </c>
      <c r="O4726" s="284" t="e">
        <f>++Tabla4[[#This Row],[Utilidad Total]]/Tabla4[[#This Row],[Total]]</f>
        <v>#N/A</v>
      </c>
      <c r="P4726" s="282">
        <f>++Tabla4[[#This Row],[Precio Descontado]]*Tabla4[[#This Row],[Cantidad]]</f>
        <v>1936.7704229999997</v>
      </c>
      <c r="Q4726" s="282" t="e">
        <f>(INDEX(Tabla6[#All],MATCH(Tabla4[[#This Row],[Producto]],Tabla6[[#All],[PRODUCTO]],0),MATCH(Tabla4[[#This Row],[Mes]],Tabla6[#Headers],0)))</f>
        <v>#N/A</v>
      </c>
      <c r="R4726" s="282" t="e">
        <f>++Tabla4[[#This Row],[Precio Unitario Neto]]-Tabla4[[#This Row],[20.85%]]-Tabla4[[#This Row],[Costo]]</f>
        <v>#N/A</v>
      </c>
      <c r="S4726" s="282" t="e">
        <f>++Tabla4[[#This Row],[U. Bruta Uni]]*Tabla4[[#This Row],[Cantidad]]</f>
        <v>#N/A</v>
      </c>
      <c r="T4726" s="369" t="str">
        <f>VLOOKUP(Tabla4[[#This Row],[Producto]],Tabla6[#All],14,FALSE)</f>
        <v>Termico Solar</v>
      </c>
      <c r="U4726" s="284" t="e">
        <f>(IF(Tabla4[[#This Row],[Familia]]="termico solar",Tabla4[[#This Row],[Utilidad Total]]*6%,Tabla4[[#This Row],[Utilidad Total]]*11.5%))/Tabla4[[#This Row],[Total]]</f>
        <v>#N/A</v>
      </c>
      <c r="V4726" s="282" t="e">
        <f>+Tabla4[[#This Row],[Comisión Calculada]]*Tabla4[[#This Row],[Total]]</f>
        <v>#N/A</v>
      </c>
    </row>
    <row r="4727" spans="1:22" hidden="1" x14ac:dyDescent="0.25">
      <c r="A4727" s="100">
        <v>45853</v>
      </c>
      <c r="B4727" t="str">
        <f t="shared" si="236"/>
        <v>July</v>
      </c>
      <c r="C4727" s="46" t="s">
        <v>280</v>
      </c>
      <c r="F4727" s="366" t="s">
        <v>2488</v>
      </c>
      <c r="G4727" s="46" t="s">
        <v>83</v>
      </c>
      <c r="H4727" s="46">
        <v>2</v>
      </c>
      <c r="I4727" s="51">
        <v>8858.76</v>
      </c>
      <c r="J4727" s="281">
        <f>++Tabla4[[#This Row],[Precio Bruto]]*1.16</f>
        <v>10276.161599999999</v>
      </c>
      <c r="K4727" s="281">
        <f>+Tabla4[[#This Row],[Precio Unitario Neto]]*Tabla4[[#Headers],[20.85%]]</f>
        <v>2142.5796935999997</v>
      </c>
      <c r="L4727" s="282">
        <f>++Tabla4[[#This Row],[Precio Unitario Neto]]-Tabla4[[#This Row],[20.85%]]</f>
        <v>8133.5819063999998</v>
      </c>
      <c r="M4727" s="282" t="e">
        <f>(INDEX(Tabla6[#All],MATCH(Tabla4[[#This Row],[Producto]],Tabla6[[#All],[PRODUCTO]],0),MATCH(Tabla4[[#This Row],[Mes]],Tabla6[#Headers],0)))*(1+Catalogos!$L$2)</f>
        <v>#N/A</v>
      </c>
      <c r="N4727" s="283" t="e">
        <f>+(Tabla4[[#This Row],[Precio Descontado]]-Tabla4[[#This Row],[Precio Base]])*Tabla4[[#This Row],[Cantidad]]</f>
        <v>#N/A</v>
      </c>
      <c r="O4727" s="284" t="e">
        <f>++Tabla4[[#This Row],[Utilidad Total]]/Tabla4[[#This Row],[Total]]</f>
        <v>#N/A</v>
      </c>
      <c r="P4727" s="282">
        <f>++Tabla4[[#This Row],[Precio Descontado]]*Tabla4[[#This Row],[Cantidad]]</f>
        <v>16267.1638128</v>
      </c>
      <c r="Q4727" s="282" t="e">
        <f>(INDEX(Tabla6[#All],MATCH(Tabla4[[#This Row],[Producto]],Tabla6[[#All],[PRODUCTO]],0),MATCH(Tabla4[[#This Row],[Mes]],Tabla6[#Headers],0)))</f>
        <v>#N/A</v>
      </c>
      <c r="R4727" s="282" t="e">
        <f>++Tabla4[[#This Row],[Precio Unitario Neto]]-Tabla4[[#This Row],[20.85%]]-Tabla4[[#This Row],[Costo]]</f>
        <v>#N/A</v>
      </c>
      <c r="S4727" s="282" t="e">
        <f>++Tabla4[[#This Row],[U. Bruta Uni]]*Tabla4[[#This Row],[Cantidad]]</f>
        <v>#N/A</v>
      </c>
      <c r="T4727" s="369" t="str">
        <f>VLOOKUP(Tabla4[[#This Row],[Producto]],Tabla6[#All],14,FALSE)</f>
        <v>Termico Solar</v>
      </c>
      <c r="U4727" s="284" t="e">
        <f>(IF(Tabla4[[#This Row],[Familia]]="termico solar",Tabla4[[#This Row],[Utilidad Total]]*6%,Tabla4[[#This Row],[Utilidad Total]]*11.5%))/Tabla4[[#This Row],[Total]]</f>
        <v>#N/A</v>
      </c>
      <c r="V4727" s="282" t="e">
        <f>+Tabla4[[#This Row],[Comisión Calculada]]*Tabla4[[#This Row],[Total]]</f>
        <v>#N/A</v>
      </c>
    </row>
    <row r="4728" spans="1:22" hidden="1" x14ac:dyDescent="0.25">
      <c r="A4728" s="100">
        <v>45853</v>
      </c>
      <c r="B4728" t="str">
        <f t="shared" si="236"/>
        <v>July</v>
      </c>
      <c r="C4728" s="46" t="s">
        <v>280</v>
      </c>
      <c r="F4728" s="366" t="s">
        <v>2488</v>
      </c>
      <c r="G4728" s="46" t="s">
        <v>17</v>
      </c>
      <c r="H4728" s="46">
        <v>4</v>
      </c>
      <c r="I4728" s="51">
        <v>4622.28</v>
      </c>
      <c r="J4728" s="281">
        <f>++Tabla4[[#This Row],[Precio Bruto]]*1.16</f>
        <v>5361.8447999999989</v>
      </c>
      <c r="K4728" s="281">
        <f>+Tabla4[[#This Row],[Precio Unitario Neto]]*Tabla4[[#Headers],[20.85%]]</f>
        <v>1117.9446407999997</v>
      </c>
      <c r="L4728" s="282">
        <f>++Tabla4[[#This Row],[Precio Unitario Neto]]-Tabla4[[#This Row],[20.85%]]</f>
        <v>4243.9001591999995</v>
      </c>
      <c r="M4728" s="282" t="e">
        <f>(INDEX(Tabla6[#All],MATCH(Tabla4[[#This Row],[Producto]],Tabla6[[#All],[PRODUCTO]],0),MATCH(Tabla4[[#This Row],[Mes]],Tabla6[#Headers],0)))*(1+Catalogos!$L$2)</f>
        <v>#N/A</v>
      </c>
      <c r="N4728" s="283" t="e">
        <f>+(Tabla4[[#This Row],[Precio Descontado]]-Tabla4[[#This Row],[Precio Base]])*Tabla4[[#This Row],[Cantidad]]</f>
        <v>#N/A</v>
      </c>
      <c r="O4728" s="284" t="e">
        <f>++Tabla4[[#This Row],[Utilidad Total]]/Tabla4[[#This Row],[Total]]</f>
        <v>#N/A</v>
      </c>
      <c r="P4728" s="282">
        <f>++Tabla4[[#This Row],[Precio Descontado]]*Tabla4[[#This Row],[Cantidad]]</f>
        <v>16975.600636799998</v>
      </c>
      <c r="Q4728" s="282" t="e">
        <f>(INDEX(Tabla6[#All],MATCH(Tabla4[[#This Row],[Producto]],Tabla6[[#All],[PRODUCTO]],0),MATCH(Tabla4[[#This Row],[Mes]],Tabla6[#Headers],0)))</f>
        <v>#N/A</v>
      </c>
      <c r="R4728" s="282" t="e">
        <f>++Tabla4[[#This Row],[Precio Unitario Neto]]-Tabla4[[#This Row],[20.85%]]-Tabla4[[#This Row],[Costo]]</f>
        <v>#N/A</v>
      </c>
      <c r="S4728" s="282" t="e">
        <f>++Tabla4[[#This Row],[U. Bruta Uni]]*Tabla4[[#This Row],[Cantidad]]</f>
        <v>#N/A</v>
      </c>
      <c r="T4728" s="369" t="str">
        <f>VLOOKUP(Tabla4[[#This Row],[Producto]],Tabla6[#All],14,FALSE)</f>
        <v>Termico Solar</v>
      </c>
      <c r="U4728" s="284" t="e">
        <f>(IF(Tabla4[[#This Row],[Familia]]="termico solar",Tabla4[[#This Row],[Utilidad Total]]*6%,Tabla4[[#This Row],[Utilidad Total]]*11.5%))/Tabla4[[#This Row],[Total]]</f>
        <v>#N/A</v>
      </c>
      <c r="V4728" s="282" t="e">
        <f>+Tabla4[[#This Row],[Comisión Calculada]]*Tabla4[[#This Row],[Total]]</f>
        <v>#N/A</v>
      </c>
    </row>
    <row r="4729" spans="1:22" hidden="1" x14ac:dyDescent="0.25">
      <c r="A4729" s="100">
        <v>45853</v>
      </c>
      <c r="B4729" t="str">
        <f t="shared" si="236"/>
        <v>July</v>
      </c>
      <c r="C4729" s="46" t="s">
        <v>280</v>
      </c>
      <c r="F4729" s="366" t="s">
        <v>2488</v>
      </c>
      <c r="G4729" s="46" t="s">
        <v>16</v>
      </c>
      <c r="H4729" s="46">
        <v>1</v>
      </c>
      <c r="I4729" s="51">
        <v>4103.8500000000004</v>
      </c>
      <c r="J4729" s="281">
        <f>++Tabla4[[#This Row],[Precio Bruto]]*1.16</f>
        <v>4760.4660000000003</v>
      </c>
      <c r="K4729" s="281">
        <f>+Tabla4[[#This Row],[Precio Unitario Neto]]*Tabla4[[#Headers],[20.85%]]</f>
        <v>992.55716100000006</v>
      </c>
      <c r="L4729" s="282">
        <f>++Tabla4[[#This Row],[Precio Unitario Neto]]-Tabla4[[#This Row],[20.85%]]</f>
        <v>3767.9088390000002</v>
      </c>
      <c r="M4729" s="282" t="e">
        <f>(INDEX(Tabla6[#All],MATCH(Tabla4[[#This Row],[Producto]],Tabla6[[#All],[PRODUCTO]],0),MATCH(Tabla4[[#This Row],[Mes]],Tabla6[#Headers],0)))*(1+Catalogos!$L$2)</f>
        <v>#N/A</v>
      </c>
      <c r="N4729" s="283" t="e">
        <f>+(Tabla4[[#This Row],[Precio Descontado]]-Tabla4[[#This Row],[Precio Base]])*Tabla4[[#This Row],[Cantidad]]</f>
        <v>#N/A</v>
      </c>
      <c r="O4729" s="284" t="e">
        <f>++Tabla4[[#This Row],[Utilidad Total]]/Tabla4[[#This Row],[Total]]</f>
        <v>#N/A</v>
      </c>
      <c r="P4729" s="282">
        <f>++Tabla4[[#This Row],[Precio Descontado]]*Tabla4[[#This Row],[Cantidad]]</f>
        <v>3767.9088390000002</v>
      </c>
      <c r="Q4729" s="282" t="e">
        <f>(INDEX(Tabla6[#All],MATCH(Tabla4[[#This Row],[Producto]],Tabla6[[#All],[PRODUCTO]],0),MATCH(Tabla4[[#This Row],[Mes]],Tabla6[#Headers],0)))</f>
        <v>#N/A</v>
      </c>
      <c r="R4729" s="282" t="e">
        <f>++Tabla4[[#This Row],[Precio Unitario Neto]]-Tabla4[[#This Row],[20.85%]]-Tabla4[[#This Row],[Costo]]</f>
        <v>#N/A</v>
      </c>
      <c r="S4729" s="282" t="e">
        <f>++Tabla4[[#This Row],[U. Bruta Uni]]*Tabla4[[#This Row],[Cantidad]]</f>
        <v>#N/A</v>
      </c>
      <c r="T4729" s="369" t="str">
        <f>VLOOKUP(Tabla4[[#This Row],[Producto]],Tabla6[#All],14,FALSE)</f>
        <v>Termico Solar</v>
      </c>
      <c r="U4729" s="284" t="e">
        <f>(IF(Tabla4[[#This Row],[Familia]]="termico solar",Tabla4[[#This Row],[Utilidad Total]]*6%,Tabla4[[#This Row],[Utilidad Total]]*11.5%))/Tabla4[[#This Row],[Total]]</f>
        <v>#N/A</v>
      </c>
      <c r="V4729" s="282" t="e">
        <f>+Tabla4[[#This Row],[Comisión Calculada]]*Tabla4[[#This Row],[Total]]</f>
        <v>#N/A</v>
      </c>
    </row>
    <row r="4730" spans="1:22" hidden="1" x14ac:dyDescent="0.25">
      <c r="A4730" s="100">
        <v>45853</v>
      </c>
      <c r="B4730" t="str">
        <f t="shared" si="236"/>
        <v>July</v>
      </c>
      <c r="C4730" s="46" t="s">
        <v>280</v>
      </c>
      <c r="F4730" s="366" t="s">
        <v>2488</v>
      </c>
      <c r="G4730" s="46" t="s">
        <v>208</v>
      </c>
      <c r="H4730" s="46">
        <v>1</v>
      </c>
      <c r="I4730" s="51">
        <v>189.75</v>
      </c>
      <c r="J4730" s="281">
        <f>++Tabla4[[#This Row],[Precio Bruto]]*1.16</f>
        <v>220.10999999999999</v>
      </c>
      <c r="K4730" s="281">
        <f>+Tabla4[[#This Row],[Precio Unitario Neto]]*Tabla4[[#Headers],[20.85%]]</f>
        <v>45.892934999999994</v>
      </c>
      <c r="L4730" s="282">
        <f>++Tabla4[[#This Row],[Precio Unitario Neto]]-Tabla4[[#This Row],[20.85%]]</f>
        <v>174.21706499999999</v>
      </c>
      <c r="M4730" s="282" t="e">
        <f>(INDEX(Tabla6[#All],MATCH(Tabla4[[#This Row],[Producto]],Tabla6[[#All],[PRODUCTO]],0),MATCH(Tabla4[[#This Row],[Mes]],Tabla6[#Headers],0)))*(1+Catalogos!$L$2)</f>
        <v>#N/A</v>
      </c>
      <c r="N4730" s="283" t="e">
        <f>+(Tabla4[[#This Row],[Precio Descontado]]-Tabla4[[#This Row],[Precio Base]])*Tabla4[[#This Row],[Cantidad]]</f>
        <v>#N/A</v>
      </c>
      <c r="O4730" s="284" t="e">
        <f>++Tabla4[[#This Row],[Utilidad Total]]/Tabla4[[#This Row],[Total]]</f>
        <v>#N/A</v>
      </c>
      <c r="P4730" s="282">
        <f>++Tabla4[[#This Row],[Precio Descontado]]*Tabla4[[#This Row],[Cantidad]]</f>
        <v>174.21706499999999</v>
      </c>
      <c r="Q4730" s="282" t="e">
        <f>(INDEX(Tabla6[#All],MATCH(Tabla4[[#This Row],[Producto]],Tabla6[[#All],[PRODUCTO]],0),MATCH(Tabla4[[#This Row],[Mes]],Tabla6[#Headers],0)))</f>
        <v>#N/A</v>
      </c>
      <c r="R4730" s="282" t="e">
        <f>++Tabla4[[#This Row],[Precio Unitario Neto]]-Tabla4[[#This Row],[20.85%]]-Tabla4[[#This Row],[Costo]]</f>
        <v>#N/A</v>
      </c>
      <c r="S4730" s="282" t="e">
        <f>++Tabla4[[#This Row],[U. Bruta Uni]]*Tabla4[[#This Row],[Cantidad]]</f>
        <v>#N/A</v>
      </c>
      <c r="T4730" s="369" t="str">
        <f>VLOOKUP(Tabla4[[#This Row],[Producto]],Tabla6[#All],14,FALSE)</f>
        <v>Termico Solar</v>
      </c>
      <c r="U4730" s="284" t="e">
        <f>(IF(Tabla4[[#This Row],[Familia]]="termico solar",Tabla4[[#This Row],[Utilidad Total]]*6%,Tabla4[[#This Row],[Utilidad Total]]*11.5%))/Tabla4[[#This Row],[Total]]</f>
        <v>#N/A</v>
      </c>
      <c r="V4730" s="282" t="e">
        <f>+Tabla4[[#This Row],[Comisión Calculada]]*Tabla4[[#This Row],[Total]]</f>
        <v>#N/A</v>
      </c>
    </row>
    <row r="4731" spans="1:22" hidden="1" x14ac:dyDescent="0.25">
      <c r="A4731" s="100">
        <v>45853</v>
      </c>
      <c r="B4731" t="str">
        <f t="shared" si="236"/>
        <v>July</v>
      </c>
      <c r="C4731" s="46" t="s">
        <v>280</v>
      </c>
      <c r="F4731" s="366" t="s">
        <v>2489</v>
      </c>
      <c r="G4731" s="46" t="s">
        <v>16</v>
      </c>
      <c r="H4731" s="46">
        <v>2</v>
      </c>
      <c r="I4731" s="51">
        <v>4103.8500000000004</v>
      </c>
      <c r="J4731" s="281">
        <f>++Tabla4[[#This Row],[Precio Bruto]]*1.16</f>
        <v>4760.4660000000003</v>
      </c>
      <c r="K4731" s="281">
        <f>+Tabla4[[#This Row],[Precio Unitario Neto]]*Tabla4[[#Headers],[20.85%]]</f>
        <v>992.55716100000006</v>
      </c>
      <c r="L4731" s="282">
        <f>++Tabla4[[#This Row],[Precio Unitario Neto]]-Tabla4[[#This Row],[20.85%]]</f>
        <v>3767.9088390000002</v>
      </c>
      <c r="M4731" s="282" t="e">
        <f>(INDEX(Tabla6[#All],MATCH(Tabla4[[#This Row],[Producto]],Tabla6[[#All],[PRODUCTO]],0),MATCH(Tabla4[[#This Row],[Mes]],Tabla6[#Headers],0)))*(1+Catalogos!$L$2)</f>
        <v>#N/A</v>
      </c>
      <c r="N4731" s="283" t="e">
        <f>+(Tabla4[[#This Row],[Precio Descontado]]-Tabla4[[#This Row],[Precio Base]])*Tabla4[[#This Row],[Cantidad]]</f>
        <v>#N/A</v>
      </c>
      <c r="O4731" s="284" t="e">
        <f>++Tabla4[[#This Row],[Utilidad Total]]/Tabla4[[#This Row],[Total]]</f>
        <v>#N/A</v>
      </c>
      <c r="P4731" s="282">
        <f>++Tabla4[[#This Row],[Precio Descontado]]*Tabla4[[#This Row],[Cantidad]]</f>
        <v>7535.8176780000003</v>
      </c>
      <c r="Q4731" s="282" t="e">
        <f>(INDEX(Tabla6[#All],MATCH(Tabla4[[#This Row],[Producto]],Tabla6[[#All],[PRODUCTO]],0),MATCH(Tabla4[[#This Row],[Mes]],Tabla6[#Headers],0)))</f>
        <v>#N/A</v>
      </c>
      <c r="R4731" s="282" t="e">
        <f>++Tabla4[[#This Row],[Precio Unitario Neto]]-Tabla4[[#This Row],[20.85%]]-Tabla4[[#This Row],[Costo]]</f>
        <v>#N/A</v>
      </c>
      <c r="S4731" s="282" t="e">
        <f>++Tabla4[[#This Row],[U. Bruta Uni]]*Tabla4[[#This Row],[Cantidad]]</f>
        <v>#N/A</v>
      </c>
      <c r="T4731" s="369" t="str">
        <f>VLOOKUP(Tabla4[[#This Row],[Producto]],Tabla6[#All],14,FALSE)</f>
        <v>Termico Solar</v>
      </c>
      <c r="U4731" s="284" t="e">
        <f>(IF(Tabla4[[#This Row],[Familia]]="termico solar",Tabla4[[#This Row],[Utilidad Total]]*6%,Tabla4[[#This Row],[Utilidad Total]]*11.5%))/Tabla4[[#This Row],[Total]]</f>
        <v>#N/A</v>
      </c>
      <c r="V4731" s="282" t="e">
        <f>+Tabla4[[#This Row],[Comisión Calculada]]*Tabla4[[#This Row],[Total]]</f>
        <v>#N/A</v>
      </c>
    </row>
    <row r="4732" spans="1:22" hidden="1" x14ac:dyDescent="0.25">
      <c r="A4732" s="100">
        <v>45853</v>
      </c>
      <c r="B4732" t="str">
        <f t="shared" si="236"/>
        <v>July</v>
      </c>
      <c r="C4732" s="46" t="s">
        <v>280</v>
      </c>
      <c r="F4732" s="366" t="s">
        <v>2489</v>
      </c>
      <c r="G4732" s="46" t="s">
        <v>208</v>
      </c>
      <c r="H4732" s="46">
        <v>1</v>
      </c>
      <c r="I4732" s="51">
        <v>189.75</v>
      </c>
      <c r="J4732" s="281">
        <f>++Tabla4[[#This Row],[Precio Bruto]]*1.16</f>
        <v>220.10999999999999</v>
      </c>
      <c r="K4732" s="281">
        <f>+Tabla4[[#This Row],[Precio Unitario Neto]]*Tabla4[[#Headers],[20.85%]]</f>
        <v>45.892934999999994</v>
      </c>
      <c r="L4732" s="282">
        <f>++Tabla4[[#This Row],[Precio Unitario Neto]]-Tabla4[[#This Row],[20.85%]]</f>
        <v>174.21706499999999</v>
      </c>
      <c r="M4732" s="282" t="e">
        <f>(INDEX(Tabla6[#All],MATCH(Tabla4[[#This Row],[Producto]],Tabla6[[#All],[PRODUCTO]],0),MATCH(Tabla4[[#This Row],[Mes]],Tabla6[#Headers],0)))*(1+Catalogos!$L$2)</f>
        <v>#N/A</v>
      </c>
      <c r="N4732" s="283" t="e">
        <f>+(Tabla4[[#This Row],[Precio Descontado]]-Tabla4[[#This Row],[Precio Base]])*Tabla4[[#This Row],[Cantidad]]</f>
        <v>#N/A</v>
      </c>
      <c r="O4732" s="284" t="e">
        <f>++Tabla4[[#This Row],[Utilidad Total]]/Tabla4[[#This Row],[Total]]</f>
        <v>#N/A</v>
      </c>
      <c r="P4732" s="282">
        <f>++Tabla4[[#This Row],[Precio Descontado]]*Tabla4[[#This Row],[Cantidad]]</f>
        <v>174.21706499999999</v>
      </c>
      <c r="Q4732" s="282" t="e">
        <f>(INDEX(Tabla6[#All],MATCH(Tabla4[[#This Row],[Producto]],Tabla6[[#All],[PRODUCTO]],0),MATCH(Tabla4[[#This Row],[Mes]],Tabla6[#Headers],0)))</f>
        <v>#N/A</v>
      </c>
      <c r="R4732" s="282" t="e">
        <f>++Tabla4[[#This Row],[Precio Unitario Neto]]-Tabla4[[#This Row],[20.85%]]-Tabla4[[#This Row],[Costo]]</f>
        <v>#N/A</v>
      </c>
      <c r="S4732" s="282" t="e">
        <f>++Tabla4[[#This Row],[U. Bruta Uni]]*Tabla4[[#This Row],[Cantidad]]</f>
        <v>#N/A</v>
      </c>
      <c r="T4732" s="369" t="str">
        <f>VLOOKUP(Tabla4[[#This Row],[Producto]],Tabla6[#All],14,FALSE)</f>
        <v>Termico Solar</v>
      </c>
      <c r="U4732" s="284" t="e">
        <f>(IF(Tabla4[[#This Row],[Familia]]="termico solar",Tabla4[[#This Row],[Utilidad Total]]*6%,Tabla4[[#This Row],[Utilidad Total]]*11.5%))/Tabla4[[#This Row],[Total]]</f>
        <v>#N/A</v>
      </c>
      <c r="V4732" s="282" t="e">
        <f>+Tabla4[[#This Row],[Comisión Calculada]]*Tabla4[[#This Row],[Total]]</f>
        <v>#N/A</v>
      </c>
    </row>
    <row r="4733" spans="1:22" hidden="1" x14ac:dyDescent="0.25">
      <c r="A4733" s="100">
        <v>45853</v>
      </c>
      <c r="B4733" t="str">
        <f t="shared" si="236"/>
        <v>July</v>
      </c>
      <c r="C4733" s="46" t="s">
        <v>280</v>
      </c>
      <c r="F4733" s="366" t="s">
        <v>2490</v>
      </c>
      <c r="G4733" s="46" t="s">
        <v>18</v>
      </c>
      <c r="H4733" s="46">
        <v>2</v>
      </c>
      <c r="I4733" s="51">
        <v>5367.65</v>
      </c>
      <c r="J4733" s="281">
        <f>++Tabla4[[#This Row],[Precio Bruto]]*1.16</f>
        <v>6226.4739999999993</v>
      </c>
      <c r="K4733" s="281">
        <f>+Tabla4[[#This Row],[Precio Unitario Neto]]*Tabla4[[#Headers],[20.85%]]</f>
        <v>1298.2198289999999</v>
      </c>
      <c r="L4733" s="282">
        <f>++Tabla4[[#This Row],[Precio Unitario Neto]]-Tabla4[[#This Row],[20.85%]]</f>
        <v>4928.2541709999996</v>
      </c>
      <c r="M4733" s="282" t="e">
        <f>(INDEX(Tabla6[#All],MATCH(Tabla4[[#This Row],[Producto]],Tabla6[[#All],[PRODUCTO]],0),MATCH(Tabla4[[#This Row],[Mes]],Tabla6[#Headers],0)))*(1+Catalogos!$L$2)</f>
        <v>#N/A</v>
      </c>
      <c r="N4733" s="283" t="e">
        <f>+(Tabla4[[#This Row],[Precio Descontado]]-Tabla4[[#This Row],[Precio Base]])*Tabla4[[#This Row],[Cantidad]]</f>
        <v>#N/A</v>
      </c>
      <c r="O4733" s="284" t="e">
        <f>++Tabla4[[#This Row],[Utilidad Total]]/Tabla4[[#This Row],[Total]]</f>
        <v>#N/A</v>
      </c>
      <c r="P4733" s="282">
        <f>++Tabla4[[#This Row],[Precio Descontado]]*Tabla4[[#This Row],[Cantidad]]</f>
        <v>9856.5083419999992</v>
      </c>
      <c r="Q4733" s="282" t="e">
        <f>(INDEX(Tabla6[#All],MATCH(Tabla4[[#This Row],[Producto]],Tabla6[[#All],[PRODUCTO]],0),MATCH(Tabla4[[#This Row],[Mes]],Tabla6[#Headers],0)))</f>
        <v>#N/A</v>
      </c>
      <c r="R4733" s="282" t="e">
        <f>++Tabla4[[#This Row],[Precio Unitario Neto]]-Tabla4[[#This Row],[20.85%]]-Tabla4[[#This Row],[Costo]]</f>
        <v>#N/A</v>
      </c>
      <c r="S4733" s="282" t="e">
        <f>++Tabla4[[#This Row],[U. Bruta Uni]]*Tabla4[[#This Row],[Cantidad]]</f>
        <v>#N/A</v>
      </c>
      <c r="T4733" s="369" t="str">
        <f>VLOOKUP(Tabla4[[#This Row],[Producto]],Tabla6[#All],14,FALSE)</f>
        <v>Termico Solar</v>
      </c>
      <c r="U4733" s="284" t="e">
        <f>(IF(Tabla4[[#This Row],[Familia]]="termico solar",Tabla4[[#This Row],[Utilidad Total]]*6%,Tabla4[[#This Row],[Utilidad Total]]*11.5%))/Tabla4[[#This Row],[Total]]</f>
        <v>#N/A</v>
      </c>
      <c r="V4733" s="282" t="e">
        <f>+Tabla4[[#This Row],[Comisión Calculada]]*Tabla4[[#This Row],[Total]]</f>
        <v>#N/A</v>
      </c>
    </row>
    <row r="4734" spans="1:22" hidden="1" x14ac:dyDescent="0.25">
      <c r="A4734" s="100">
        <v>45853</v>
      </c>
      <c r="B4734" t="str">
        <f t="shared" si="236"/>
        <v>July</v>
      </c>
      <c r="C4734" s="46" t="s">
        <v>280</v>
      </c>
      <c r="F4734" s="366" t="s">
        <v>2491</v>
      </c>
      <c r="G4734" s="46" t="s">
        <v>412</v>
      </c>
      <c r="H4734" s="46">
        <v>1</v>
      </c>
      <c r="I4734" s="51">
        <v>3240.84</v>
      </c>
      <c r="J4734" s="281">
        <f>++Tabla4[[#This Row],[Precio Bruto]]*1.16</f>
        <v>3759.3743999999997</v>
      </c>
      <c r="K4734" s="281">
        <f>+Tabla4[[#This Row],[Precio Unitario Neto]]*Tabla4[[#Headers],[20.85%]]</f>
        <v>783.82956239999987</v>
      </c>
      <c r="L4734" s="282">
        <f>++Tabla4[[#This Row],[Precio Unitario Neto]]-Tabla4[[#This Row],[20.85%]]</f>
        <v>2975.5448375999999</v>
      </c>
      <c r="M4734" s="282" t="e">
        <f>(INDEX(Tabla6[#All],MATCH(Tabla4[[#This Row],[Producto]],Tabla6[[#All],[PRODUCTO]],0),MATCH(Tabla4[[#This Row],[Mes]],Tabla6[#Headers],0)))*(1+Catalogos!$L$2)</f>
        <v>#N/A</v>
      </c>
      <c r="N4734" s="283" t="e">
        <f>+(Tabla4[[#This Row],[Precio Descontado]]-Tabla4[[#This Row],[Precio Base]])*Tabla4[[#This Row],[Cantidad]]</f>
        <v>#N/A</v>
      </c>
      <c r="O4734" s="284" t="e">
        <f>++Tabla4[[#This Row],[Utilidad Total]]/Tabla4[[#This Row],[Total]]</f>
        <v>#N/A</v>
      </c>
      <c r="P4734" s="282">
        <f>++Tabla4[[#This Row],[Precio Descontado]]*Tabla4[[#This Row],[Cantidad]]</f>
        <v>2975.5448375999999</v>
      </c>
      <c r="Q4734" s="282" t="e">
        <f>(INDEX(Tabla6[#All],MATCH(Tabla4[[#This Row],[Producto]],Tabla6[[#All],[PRODUCTO]],0),MATCH(Tabla4[[#This Row],[Mes]],Tabla6[#Headers],0)))</f>
        <v>#N/A</v>
      </c>
      <c r="R4734" s="282" t="e">
        <f>++Tabla4[[#This Row],[Precio Unitario Neto]]-Tabla4[[#This Row],[20.85%]]-Tabla4[[#This Row],[Costo]]</f>
        <v>#N/A</v>
      </c>
      <c r="S4734" s="282" t="e">
        <f>++Tabla4[[#This Row],[U. Bruta Uni]]*Tabla4[[#This Row],[Cantidad]]</f>
        <v>#N/A</v>
      </c>
      <c r="T4734" s="369" t="str">
        <f>VLOOKUP(Tabla4[[#This Row],[Producto]],Tabla6[#All],14,FALSE)</f>
        <v>Termico Solar</v>
      </c>
      <c r="U4734" s="284" t="e">
        <f>(IF(Tabla4[[#This Row],[Familia]]="termico solar",Tabla4[[#This Row],[Utilidad Total]]*6%,Tabla4[[#This Row],[Utilidad Total]]*11.5%))/Tabla4[[#This Row],[Total]]</f>
        <v>#N/A</v>
      </c>
      <c r="V4734" s="282" t="e">
        <f>+Tabla4[[#This Row],[Comisión Calculada]]*Tabla4[[#This Row],[Total]]</f>
        <v>#N/A</v>
      </c>
    </row>
    <row r="4735" spans="1:22" hidden="1" x14ac:dyDescent="0.25">
      <c r="A4735" s="100">
        <v>45853</v>
      </c>
      <c r="B4735" t="str">
        <f t="shared" si="236"/>
        <v>July</v>
      </c>
      <c r="C4735" s="46" t="s">
        <v>280</v>
      </c>
      <c r="F4735" s="366" t="s">
        <v>2491</v>
      </c>
      <c r="G4735" s="46" t="s">
        <v>16</v>
      </c>
      <c r="H4735" s="46">
        <v>1</v>
      </c>
      <c r="I4735" s="51">
        <v>4103.8500000000004</v>
      </c>
      <c r="J4735" s="281">
        <f>++Tabla4[[#This Row],[Precio Bruto]]*1.16</f>
        <v>4760.4660000000003</v>
      </c>
      <c r="K4735" s="281">
        <f>+Tabla4[[#This Row],[Precio Unitario Neto]]*Tabla4[[#Headers],[20.85%]]</f>
        <v>992.55716100000006</v>
      </c>
      <c r="L4735" s="282">
        <f>++Tabla4[[#This Row],[Precio Unitario Neto]]-Tabla4[[#This Row],[20.85%]]</f>
        <v>3767.9088390000002</v>
      </c>
      <c r="M4735" s="282" t="e">
        <f>(INDEX(Tabla6[#All],MATCH(Tabla4[[#This Row],[Producto]],Tabla6[[#All],[PRODUCTO]],0),MATCH(Tabla4[[#This Row],[Mes]],Tabla6[#Headers],0)))*(1+Catalogos!$L$2)</f>
        <v>#N/A</v>
      </c>
      <c r="N4735" s="283" t="e">
        <f>+(Tabla4[[#This Row],[Precio Descontado]]-Tabla4[[#This Row],[Precio Base]])*Tabla4[[#This Row],[Cantidad]]</f>
        <v>#N/A</v>
      </c>
      <c r="O4735" s="284" t="e">
        <f>++Tabla4[[#This Row],[Utilidad Total]]/Tabla4[[#This Row],[Total]]</f>
        <v>#N/A</v>
      </c>
      <c r="P4735" s="282">
        <f>++Tabla4[[#This Row],[Precio Descontado]]*Tabla4[[#This Row],[Cantidad]]</f>
        <v>3767.9088390000002</v>
      </c>
      <c r="Q4735" s="282" t="e">
        <f>(INDEX(Tabla6[#All],MATCH(Tabla4[[#This Row],[Producto]],Tabla6[[#All],[PRODUCTO]],0),MATCH(Tabla4[[#This Row],[Mes]],Tabla6[#Headers],0)))</f>
        <v>#N/A</v>
      </c>
      <c r="R4735" s="282" t="e">
        <f>++Tabla4[[#This Row],[Precio Unitario Neto]]-Tabla4[[#This Row],[20.85%]]-Tabla4[[#This Row],[Costo]]</f>
        <v>#N/A</v>
      </c>
      <c r="S4735" s="282" t="e">
        <f>++Tabla4[[#This Row],[U. Bruta Uni]]*Tabla4[[#This Row],[Cantidad]]</f>
        <v>#N/A</v>
      </c>
      <c r="T4735" s="369" t="str">
        <f>VLOOKUP(Tabla4[[#This Row],[Producto]],Tabla6[#All],14,FALSE)</f>
        <v>Termico Solar</v>
      </c>
      <c r="U4735" s="284" t="e">
        <f>(IF(Tabla4[[#This Row],[Familia]]="termico solar",Tabla4[[#This Row],[Utilidad Total]]*6%,Tabla4[[#This Row],[Utilidad Total]]*11.5%))/Tabla4[[#This Row],[Total]]</f>
        <v>#N/A</v>
      </c>
      <c r="V4735" s="282" t="e">
        <f>+Tabla4[[#This Row],[Comisión Calculada]]*Tabla4[[#This Row],[Total]]</f>
        <v>#N/A</v>
      </c>
    </row>
    <row r="4736" spans="1:22" hidden="1" x14ac:dyDescent="0.25">
      <c r="A4736" s="100">
        <v>45853</v>
      </c>
      <c r="B4736" t="str">
        <f t="shared" si="236"/>
        <v>July</v>
      </c>
      <c r="C4736" s="46" t="s">
        <v>280</v>
      </c>
      <c r="F4736" s="366" t="s">
        <v>2491</v>
      </c>
      <c r="G4736" s="46" t="s">
        <v>208</v>
      </c>
      <c r="H4736" s="46">
        <v>1</v>
      </c>
      <c r="I4736" s="51">
        <v>189.75</v>
      </c>
      <c r="J4736" s="281">
        <f>++Tabla4[[#This Row],[Precio Bruto]]*1.16</f>
        <v>220.10999999999999</v>
      </c>
      <c r="K4736" s="281">
        <f>+Tabla4[[#This Row],[Precio Unitario Neto]]*Tabla4[[#Headers],[20.85%]]</f>
        <v>45.892934999999994</v>
      </c>
      <c r="L4736" s="282">
        <f>++Tabla4[[#This Row],[Precio Unitario Neto]]-Tabla4[[#This Row],[20.85%]]</f>
        <v>174.21706499999999</v>
      </c>
      <c r="M4736" s="282" t="e">
        <f>(INDEX(Tabla6[#All],MATCH(Tabla4[[#This Row],[Producto]],Tabla6[[#All],[PRODUCTO]],0),MATCH(Tabla4[[#This Row],[Mes]],Tabla6[#Headers],0)))*(1+Catalogos!$L$2)</f>
        <v>#N/A</v>
      </c>
      <c r="N4736" s="283" t="e">
        <f>+(Tabla4[[#This Row],[Precio Descontado]]-Tabla4[[#This Row],[Precio Base]])*Tabla4[[#This Row],[Cantidad]]</f>
        <v>#N/A</v>
      </c>
      <c r="O4736" s="284" t="e">
        <f>++Tabla4[[#This Row],[Utilidad Total]]/Tabla4[[#This Row],[Total]]</f>
        <v>#N/A</v>
      </c>
      <c r="P4736" s="282">
        <f>++Tabla4[[#This Row],[Precio Descontado]]*Tabla4[[#This Row],[Cantidad]]</f>
        <v>174.21706499999999</v>
      </c>
      <c r="Q4736" s="282" t="e">
        <f>(INDEX(Tabla6[#All],MATCH(Tabla4[[#This Row],[Producto]],Tabla6[[#All],[PRODUCTO]],0),MATCH(Tabla4[[#This Row],[Mes]],Tabla6[#Headers],0)))</f>
        <v>#N/A</v>
      </c>
      <c r="R4736" s="282" t="e">
        <f>++Tabla4[[#This Row],[Precio Unitario Neto]]-Tabla4[[#This Row],[20.85%]]-Tabla4[[#This Row],[Costo]]</f>
        <v>#N/A</v>
      </c>
      <c r="S4736" s="282" t="e">
        <f>++Tabla4[[#This Row],[U. Bruta Uni]]*Tabla4[[#This Row],[Cantidad]]</f>
        <v>#N/A</v>
      </c>
      <c r="T4736" s="369" t="str">
        <f>VLOOKUP(Tabla4[[#This Row],[Producto]],Tabla6[#All],14,FALSE)</f>
        <v>Termico Solar</v>
      </c>
      <c r="U4736" s="284" t="e">
        <f>(IF(Tabla4[[#This Row],[Familia]]="termico solar",Tabla4[[#This Row],[Utilidad Total]]*6%,Tabla4[[#This Row],[Utilidad Total]]*11.5%))/Tabla4[[#This Row],[Total]]</f>
        <v>#N/A</v>
      </c>
      <c r="V4736" s="282" t="e">
        <f>+Tabla4[[#This Row],[Comisión Calculada]]*Tabla4[[#This Row],[Total]]</f>
        <v>#N/A</v>
      </c>
    </row>
    <row r="4737" spans="1:22" hidden="1" x14ac:dyDescent="0.25">
      <c r="A4737" s="100">
        <v>45853</v>
      </c>
      <c r="B4737" t="str">
        <f t="shared" si="236"/>
        <v>July</v>
      </c>
      <c r="C4737" s="46" t="s">
        <v>280</v>
      </c>
      <c r="F4737" s="366" t="s">
        <v>2492</v>
      </c>
      <c r="G4737" s="46" t="s">
        <v>83</v>
      </c>
      <c r="H4737" s="46">
        <v>1</v>
      </c>
      <c r="I4737" s="51">
        <v>8858.76</v>
      </c>
      <c r="J4737" s="281">
        <f>++Tabla4[[#This Row],[Precio Bruto]]*1.16</f>
        <v>10276.161599999999</v>
      </c>
      <c r="K4737" s="281">
        <f>+Tabla4[[#This Row],[Precio Unitario Neto]]*Tabla4[[#Headers],[20.85%]]</f>
        <v>2142.5796935999997</v>
      </c>
      <c r="L4737" s="282">
        <f>++Tabla4[[#This Row],[Precio Unitario Neto]]-Tabla4[[#This Row],[20.85%]]</f>
        <v>8133.5819063999998</v>
      </c>
      <c r="M4737" s="282" t="e">
        <f>(INDEX(Tabla6[#All],MATCH(Tabla4[[#This Row],[Producto]],Tabla6[[#All],[PRODUCTO]],0),MATCH(Tabla4[[#This Row],[Mes]],Tabla6[#Headers],0)))*(1+Catalogos!$L$2)</f>
        <v>#N/A</v>
      </c>
      <c r="N4737" s="283" t="e">
        <f>+(Tabla4[[#This Row],[Precio Descontado]]-Tabla4[[#This Row],[Precio Base]])*Tabla4[[#This Row],[Cantidad]]</f>
        <v>#N/A</v>
      </c>
      <c r="O4737" s="284" t="e">
        <f>++Tabla4[[#This Row],[Utilidad Total]]/Tabla4[[#This Row],[Total]]</f>
        <v>#N/A</v>
      </c>
      <c r="P4737" s="282">
        <f>++Tabla4[[#This Row],[Precio Descontado]]*Tabla4[[#This Row],[Cantidad]]</f>
        <v>8133.5819063999998</v>
      </c>
      <c r="Q4737" s="282" t="e">
        <f>(INDEX(Tabla6[#All],MATCH(Tabla4[[#This Row],[Producto]],Tabla6[[#All],[PRODUCTO]],0),MATCH(Tabla4[[#This Row],[Mes]],Tabla6[#Headers],0)))</f>
        <v>#N/A</v>
      </c>
      <c r="R4737" s="282" t="e">
        <f>++Tabla4[[#This Row],[Precio Unitario Neto]]-Tabla4[[#This Row],[20.85%]]-Tabla4[[#This Row],[Costo]]</f>
        <v>#N/A</v>
      </c>
      <c r="S4737" s="282" t="e">
        <f>++Tabla4[[#This Row],[U. Bruta Uni]]*Tabla4[[#This Row],[Cantidad]]</f>
        <v>#N/A</v>
      </c>
      <c r="T4737" s="369" t="str">
        <f>VLOOKUP(Tabla4[[#This Row],[Producto]],Tabla6[#All],14,FALSE)</f>
        <v>Termico Solar</v>
      </c>
      <c r="U4737" s="284" t="e">
        <f>(IF(Tabla4[[#This Row],[Familia]]="termico solar",Tabla4[[#This Row],[Utilidad Total]]*6%,Tabla4[[#This Row],[Utilidad Total]]*11.5%))/Tabla4[[#This Row],[Total]]</f>
        <v>#N/A</v>
      </c>
      <c r="V4737" s="282" t="e">
        <f>+Tabla4[[#This Row],[Comisión Calculada]]*Tabla4[[#This Row],[Total]]</f>
        <v>#N/A</v>
      </c>
    </row>
    <row r="4738" spans="1:22" hidden="1" x14ac:dyDescent="0.25">
      <c r="A4738" s="100">
        <v>45853</v>
      </c>
      <c r="B4738" t="str">
        <f t="shared" si="236"/>
        <v>July</v>
      </c>
      <c r="C4738" s="46" t="s">
        <v>280</v>
      </c>
      <c r="F4738" s="366" t="s">
        <v>2492</v>
      </c>
      <c r="G4738" s="46" t="s">
        <v>17</v>
      </c>
      <c r="H4738" s="46">
        <v>2</v>
      </c>
      <c r="I4738" s="51">
        <v>4622.28</v>
      </c>
      <c r="J4738" s="281">
        <f>++Tabla4[[#This Row],[Precio Bruto]]*1.16</f>
        <v>5361.8447999999989</v>
      </c>
      <c r="K4738" s="281">
        <f>+Tabla4[[#This Row],[Precio Unitario Neto]]*Tabla4[[#Headers],[20.85%]]</f>
        <v>1117.9446407999997</v>
      </c>
      <c r="L4738" s="282">
        <f>++Tabla4[[#This Row],[Precio Unitario Neto]]-Tabla4[[#This Row],[20.85%]]</f>
        <v>4243.9001591999995</v>
      </c>
      <c r="M4738" s="282" t="e">
        <f>(INDEX(Tabla6[#All],MATCH(Tabla4[[#This Row],[Producto]],Tabla6[[#All],[PRODUCTO]],0),MATCH(Tabla4[[#This Row],[Mes]],Tabla6[#Headers],0)))*(1+Catalogos!$L$2)</f>
        <v>#N/A</v>
      </c>
      <c r="N4738" s="283" t="e">
        <f>+(Tabla4[[#This Row],[Precio Descontado]]-Tabla4[[#This Row],[Precio Base]])*Tabla4[[#This Row],[Cantidad]]</f>
        <v>#N/A</v>
      </c>
      <c r="O4738" s="284" t="e">
        <f>++Tabla4[[#This Row],[Utilidad Total]]/Tabla4[[#This Row],[Total]]</f>
        <v>#N/A</v>
      </c>
      <c r="P4738" s="282">
        <f>++Tabla4[[#This Row],[Precio Descontado]]*Tabla4[[#This Row],[Cantidad]]</f>
        <v>8487.800318399999</v>
      </c>
      <c r="Q4738" s="282" t="e">
        <f>(INDEX(Tabla6[#All],MATCH(Tabla4[[#This Row],[Producto]],Tabla6[[#All],[PRODUCTO]],0),MATCH(Tabla4[[#This Row],[Mes]],Tabla6[#Headers],0)))</f>
        <v>#N/A</v>
      </c>
      <c r="R4738" s="282" t="e">
        <f>++Tabla4[[#This Row],[Precio Unitario Neto]]-Tabla4[[#This Row],[20.85%]]-Tabla4[[#This Row],[Costo]]</f>
        <v>#N/A</v>
      </c>
      <c r="S4738" s="282" t="e">
        <f>++Tabla4[[#This Row],[U. Bruta Uni]]*Tabla4[[#This Row],[Cantidad]]</f>
        <v>#N/A</v>
      </c>
      <c r="T4738" s="369" t="str">
        <f>VLOOKUP(Tabla4[[#This Row],[Producto]],Tabla6[#All],14,FALSE)</f>
        <v>Termico Solar</v>
      </c>
      <c r="U4738" s="284" t="e">
        <f>(IF(Tabla4[[#This Row],[Familia]]="termico solar",Tabla4[[#This Row],[Utilidad Total]]*6%,Tabla4[[#This Row],[Utilidad Total]]*11.5%))/Tabla4[[#This Row],[Total]]</f>
        <v>#N/A</v>
      </c>
      <c r="V4738" s="282" t="e">
        <f>+Tabla4[[#This Row],[Comisión Calculada]]*Tabla4[[#This Row],[Total]]</f>
        <v>#N/A</v>
      </c>
    </row>
    <row r="4739" spans="1:22" hidden="1" x14ac:dyDescent="0.25">
      <c r="A4739" s="100">
        <v>45853</v>
      </c>
      <c r="B4739" t="str">
        <f t="shared" ref="B4739:B4770" si="237">TEXT(A4739, "mmmm")</f>
        <v>July</v>
      </c>
      <c r="C4739" s="46" t="s">
        <v>280</v>
      </c>
      <c r="F4739" s="366" t="s">
        <v>2493</v>
      </c>
      <c r="G4739" s="46" t="s">
        <v>83</v>
      </c>
      <c r="H4739" s="46">
        <v>1</v>
      </c>
      <c r="I4739" s="51">
        <v>8858.76</v>
      </c>
      <c r="J4739" s="281">
        <f>++Tabla4[[#This Row],[Precio Bruto]]*1.16</f>
        <v>10276.161599999999</v>
      </c>
      <c r="K4739" s="281">
        <f>+Tabla4[[#This Row],[Precio Unitario Neto]]*Tabla4[[#Headers],[20.85%]]</f>
        <v>2142.5796935999997</v>
      </c>
      <c r="L4739" s="282">
        <f>++Tabla4[[#This Row],[Precio Unitario Neto]]-Tabla4[[#This Row],[20.85%]]</f>
        <v>8133.5819063999998</v>
      </c>
      <c r="M4739" s="282" t="e">
        <f>(INDEX(Tabla6[#All],MATCH(Tabla4[[#This Row],[Producto]],Tabla6[[#All],[PRODUCTO]],0),MATCH(Tabla4[[#This Row],[Mes]],Tabla6[#Headers],0)))*(1+Catalogos!$L$2)</f>
        <v>#N/A</v>
      </c>
      <c r="N4739" s="283" t="e">
        <f>+(Tabla4[[#This Row],[Precio Descontado]]-Tabla4[[#This Row],[Precio Base]])*Tabla4[[#This Row],[Cantidad]]</f>
        <v>#N/A</v>
      </c>
      <c r="O4739" s="284" t="e">
        <f>++Tabla4[[#This Row],[Utilidad Total]]/Tabla4[[#This Row],[Total]]</f>
        <v>#N/A</v>
      </c>
      <c r="P4739" s="282">
        <f>++Tabla4[[#This Row],[Precio Descontado]]*Tabla4[[#This Row],[Cantidad]]</f>
        <v>8133.5819063999998</v>
      </c>
      <c r="Q4739" s="282" t="e">
        <f>(INDEX(Tabla6[#All],MATCH(Tabla4[[#This Row],[Producto]],Tabla6[[#All],[PRODUCTO]],0),MATCH(Tabla4[[#This Row],[Mes]],Tabla6[#Headers],0)))</f>
        <v>#N/A</v>
      </c>
      <c r="R4739" s="282" t="e">
        <f>++Tabla4[[#This Row],[Precio Unitario Neto]]-Tabla4[[#This Row],[20.85%]]-Tabla4[[#This Row],[Costo]]</f>
        <v>#N/A</v>
      </c>
      <c r="S4739" s="282" t="e">
        <f>++Tabla4[[#This Row],[U. Bruta Uni]]*Tabla4[[#This Row],[Cantidad]]</f>
        <v>#N/A</v>
      </c>
      <c r="T4739" s="369" t="str">
        <f>VLOOKUP(Tabla4[[#This Row],[Producto]],Tabla6[#All],14,FALSE)</f>
        <v>Termico Solar</v>
      </c>
      <c r="U4739" s="284" t="e">
        <f>(IF(Tabla4[[#This Row],[Familia]]="termico solar",Tabla4[[#This Row],[Utilidad Total]]*6%,Tabla4[[#This Row],[Utilidad Total]]*11.5%))/Tabla4[[#This Row],[Total]]</f>
        <v>#N/A</v>
      </c>
      <c r="V4739" s="282" t="e">
        <f>+Tabla4[[#This Row],[Comisión Calculada]]*Tabla4[[#This Row],[Total]]</f>
        <v>#N/A</v>
      </c>
    </row>
    <row r="4740" spans="1:22" hidden="1" x14ac:dyDescent="0.25">
      <c r="A4740" s="100">
        <v>45853</v>
      </c>
      <c r="B4740" t="str">
        <f t="shared" si="237"/>
        <v>July</v>
      </c>
      <c r="C4740" s="46" t="s">
        <v>280</v>
      </c>
      <c r="F4740" s="366" t="s">
        <v>2493</v>
      </c>
      <c r="G4740" s="46" t="s">
        <v>18</v>
      </c>
      <c r="H4740" s="46">
        <v>1</v>
      </c>
      <c r="I4740" s="51">
        <v>5367.65</v>
      </c>
      <c r="J4740" s="281">
        <f>++Tabla4[[#This Row],[Precio Bruto]]*1.16</f>
        <v>6226.4739999999993</v>
      </c>
      <c r="K4740" s="281">
        <f>+Tabla4[[#This Row],[Precio Unitario Neto]]*Tabla4[[#Headers],[20.85%]]</f>
        <v>1298.2198289999999</v>
      </c>
      <c r="L4740" s="282">
        <f>++Tabla4[[#This Row],[Precio Unitario Neto]]-Tabla4[[#This Row],[20.85%]]</f>
        <v>4928.2541709999996</v>
      </c>
      <c r="M4740" s="282" t="e">
        <f>(INDEX(Tabla6[#All],MATCH(Tabla4[[#This Row],[Producto]],Tabla6[[#All],[PRODUCTO]],0),MATCH(Tabla4[[#This Row],[Mes]],Tabla6[#Headers],0)))*(1+Catalogos!$L$2)</f>
        <v>#N/A</v>
      </c>
      <c r="N4740" s="283" t="e">
        <f>+(Tabla4[[#This Row],[Precio Descontado]]-Tabla4[[#This Row],[Precio Base]])*Tabla4[[#This Row],[Cantidad]]</f>
        <v>#N/A</v>
      </c>
      <c r="O4740" s="284" t="e">
        <f>++Tabla4[[#This Row],[Utilidad Total]]/Tabla4[[#This Row],[Total]]</f>
        <v>#N/A</v>
      </c>
      <c r="P4740" s="282">
        <f>++Tabla4[[#This Row],[Precio Descontado]]*Tabla4[[#This Row],[Cantidad]]</f>
        <v>4928.2541709999996</v>
      </c>
      <c r="Q4740" s="282" t="e">
        <f>(INDEX(Tabla6[#All],MATCH(Tabla4[[#This Row],[Producto]],Tabla6[[#All],[PRODUCTO]],0),MATCH(Tabla4[[#This Row],[Mes]],Tabla6[#Headers],0)))</f>
        <v>#N/A</v>
      </c>
      <c r="R4740" s="282" t="e">
        <f>++Tabla4[[#This Row],[Precio Unitario Neto]]-Tabla4[[#This Row],[20.85%]]-Tabla4[[#This Row],[Costo]]</f>
        <v>#N/A</v>
      </c>
      <c r="S4740" s="282" t="e">
        <f>++Tabla4[[#This Row],[U. Bruta Uni]]*Tabla4[[#This Row],[Cantidad]]</f>
        <v>#N/A</v>
      </c>
      <c r="T4740" s="369" t="str">
        <f>VLOOKUP(Tabla4[[#This Row],[Producto]],Tabla6[#All],14,FALSE)</f>
        <v>Termico Solar</v>
      </c>
      <c r="U4740" s="284" t="e">
        <f>(IF(Tabla4[[#This Row],[Familia]]="termico solar",Tabla4[[#This Row],[Utilidad Total]]*6%,Tabla4[[#This Row],[Utilidad Total]]*11.5%))/Tabla4[[#This Row],[Total]]</f>
        <v>#N/A</v>
      </c>
      <c r="V4740" s="282" t="e">
        <f>+Tabla4[[#This Row],[Comisión Calculada]]*Tabla4[[#This Row],[Total]]</f>
        <v>#N/A</v>
      </c>
    </row>
    <row r="4741" spans="1:22" hidden="1" x14ac:dyDescent="0.25">
      <c r="A4741" s="100">
        <v>45853</v>
      </c>
      <c r="B4741" t="str">
        <f t="shared" si="237"/>
        <v>July</v>
      </c>
      <c r="C4741" s="46" t="s">
        <v>280</v>
      </c>
      <c r="F4741" s="366" t="s">
        <v>2493</v>
      </c>
      <c r="G4741" s="46" t="s">
        <v>566</v>
      </c>
      <c r="H4741" s="46">
        <v>1</v>
      </c>
      <c r="I4741" s="51">
        <v>2109.4499999999998</v>
      </c>
      <c r="J4741" s="281">
        <f>++Tabla4[[#This Row],[Precio Bruto]]*1.16</f>
        <v>2446.9619999999995</v>
      </c>
      <c r="K4741" s="281">
        <f>+Tabla4[[#This Row],[Precio Unitario Neto]]*Tabla4[[#Headers],[20.85%]]</f>
        <v>510.19157699999988</v>
      </c>
      <c r="L4741" s="282">
        <f>++Tabla4[[#This Row],[Precio Unitario Neto]]-Tabla4[[#This Row],[20.85%]]</f>
        <v>1936.7704229999997</v>
      </c>
      <c r="M4741" s="282" t="e">
        <f>(INDEX(Tabla6[#All],MATCH(Tabla4[[#This Row],[Producto]],Tabla6[[#All],[PRODUCTO]],0),MATCH(Tabla4[[#This Row],[Mes]],Tabla6[#Headers],0)))*(1+Catalogos!$L$2)</f>
        <v>#N/A</v>
      </c>
      <c r="N4741" s="283" t="e">
        <f>+(Tabla4[[#This Row],[Precio Descontado]]-Tabla4[[#This Row],[Precio Base]])*Tabla4[[#This Row],[Cantidad]]</f>
        <v>#N/A</v>
      </c>
      <c r="O4741" s="284" t="e">
        <f>++Tabla4[[#This Row],[Utilidad Total]]/Tabla4[[#This Row],[Total]]</f>
        <v>#N/A</v>
      </c>
      <c r="P4741" s="282">
        <f>++Tabla4[[#This Row],[Precio Descontado]]*Tabla4[[#This Row],[Cantidad]]</f>
        <v>1936.7704229999997</v>
      </c>
      <c r="Q4741" s="282" t="e">
        <f>(INDEX(Tabla6[#All],MATCH(Tabla4[[#This Row],[Producto]],Tabla6[[#All],[PRODUCTO]],0),MATCH(Tabla4[[#This Row],[Mes]],Tabla6[#Headers],0)))</f>
        <v>#N/A</v>
      </c>
      <c r="R4741" s="282" t="e">
        <f>++Tabla4[[#This Row],[Precio Unitario Neto]]-Tabla4[[#This Row],[20.85%]]-Tabla4[[#This Row],[Costo]]</f>
        <v>#N/A</v>
      </c>
      <c r="S4741" s="282" t="e">
        <f>++Tabla4[[#This Row],[U. Bruta Uni]]*Tabla4[[#This Row],[Cantidad]]</f>
        <v>#N/A</v>
      </c>
      <c r="T4741" s="369" t="str">
        <f>VLOOKUP(Tabla4[[#This Row],[Producto]],Tabla6[#All],14,FALSE)</f>
        <v>Termico Solar</v>
      </c>
      <c r="U4741" s="284" t="e">
        <f>(IF(Tabla4[[#This Row],[Familia]]="termico solar",Tabla4[[#This Row],[Utilidad Total]]*6%,Tabla4[[#This Row],[Utilidad Total]]*11.5%))/Tabla4[[#This Row],[Total]]</f>
        <v>#N/A</v>
      </c>
      <c r="V4741" s="282" t="e">
        <f>+Tabla4[[#This Row],[Comisión Calculada]]*Tabla4[[#This Row],[Total]]</f>
        <v>#N/A</v>
      </c>
    </row>
    <row r="4742" spans="1:22" hidden="1" x14ac:dyDescent="0.25">
      <c r="A4742" s="100">
        <v>45853</v>
      </c>
      <c r="B4742" t="str">
        <f t="shared" si="237"/>
        <v>July</v>
      </c>
      <c r="C4742" s="46" t="s">
        <v>280</v>
      </c>
      <c r="F4742" s="366" t="s">
        <v>2494</v>
      </c>
      <c r="G4742" s="46" t="s">
        <v>83</v>
      </c>
      <c r="H4742" s="46">
        <v>1</v>
      </c>
      <c r="I4742" s="51">
        <v>8858.76</v>
      </c>
      <c r="J4742" s="281">
        <f>++Tabla4[[#This Row],[Precio Bruto]]*1.16</f>
        <v>10276.161599999999</v>
      </c>
      <c r="K4742" s="281">
        <f>+Tabla4[[#This Row],[Precio Unitario Neto]]*Tabla4[[#Headers],[20.85%]]</f>
        <v>2142.5796935999997</v>
      </c>
      <c r="L4742" s="282">
        <f>++Tabla4[[#This Row],[Precio Unitario Neto]]-Tabla4[[#This Row],[20.85%]]</f>
        <v>8133.5819063999998</v>
      </c>
      <c r="M4742" s="282" t="e">
        <f>(INDEX(Tabla6[#All],MATCH(Tabla4[[#This Row],[Producto]],Tabla6[[#All],[PRODUCTO]],0),MATCH(Tabla4[[#This Row],[Mes]],Tabla6[#Headers],0)))*(1+Catalogos!$L$2)</f>
        <v>#N/A</v>
      </c>
      <c r="N4742" s="283" t="e">
        <f>+(Tabla4[[#This Row],[Precio Descontado]]-Tabla4[[#This Row],[Precio Base]])*Tabla4[[#This Row],[Cantidad]]</f>
        <v>#N/A</v>
      </c>
      <c r="O4742" s="284" t="e">
        <f>++Tabla4[[#This Row],[Utilidad Total]]/Tabla4[[#This Row],[Total]]</f>
        <v>#N/A</v>
      </c>
      <c r="P4742" s="282">
        <f>++Tabla4[[#This Row],[Precio Descontado]]*Tabla4[[#This Row],[Cantidad]]</f>
        <v>8133.5819063999998</v>
      </c>
      <c r="Q4742" s="282" t="e">
        <f>(INDEX(Tabla6[#All],MATCH(Tabla4[[#This Row],[Producto]],Tabla6[[#All],[PRODUCTO]],0),MATCH(Tabla4[[#This Row],[Mes]],Tabla6[#Headers],0)))</f>
        <v>#N/A</v>
      </c>
      <c r="R4742" s="282" t="e">
        <f>++Tabla4[[#This Row],[Precio Unitario Neto]]-Tabla4[[#This Row],[20.85%]]-Tabla4[[#This Row],[Costo]]</f>
        <v>#N/A</v>
      </c>
      <c r="S4742" s="282" t="e">
        <f>++Tabla4[[#This Row],[U. Bruta Uni]]*Tabla4[[#This Row],[Cantidad]]</f>
        <v>#N/A</v>
      </c>
      <c r="T4742" s="369" t="str">
        <f>VLOOKUP(Tabla4[[#This Row],[Producto]],Tabla6[#All],14,FALSE)</f>
        <v>Termico Solar</v>
      </c>
      <c r="U4742" s="284" t="e">
        <f>(IF(Tabla4[[#This Row],[Familia]]="termico solar",Tabla4[[#This Row],[Utilidad Total]]*6%,Tabla4[[#This Row],[Utilidad Total]]*11.5%))/Tabla4[[#This Row],[Total]]</f>
        <v>#N/A</v>
      </c>
      <c r="V4742" s="282" t="e">
        <f>+Tabla4[[#This Row],[Comisión Calculada]]*Tabla4[[#This Row],[Total]]</f>
        <v>#N/A</v>
      </c>
    </row>
    <row r="4743" spans="1:22" hidden="1" x14ac:dyDescent="0.25">
      <c r="A4743" s="100">
        <v>45853</v>
      </c>
      <c r="B4743" t="str">
        <f t="shared" si="237"/>
        <v>July</v>
      </c>
      <c r="C4743" s="46" t="s">
        <v>280</v>
      </c>
      <c r="F4743" s="366" t="s">
        <v>2494</v>
      </c>
      <c r="G4743" s="46" t="s">
        <v>17</v>
      </c>
      <c r="H4743" s="46">
        <v>5</v>
      </c>
      <c r="I4743" s="51">
        <v>4622.2800000000007</v>
      </c>
      <c r="J4743" s="281">
        <f>++Tabla4[[#This Row],[Precio Bruto]]*1.16</f>
        <v>5361.8448000000008</v>
      </c>
      <c r="K4743" s="281">
        <f>+Tabla4[[#This Row],[Precio Unitario Neto]]*Tabla4[[#Headers],[20.85%]]</f>
        <v>1117.9446408000001</v>
      </c>
      <c r="L4743" s="282">
        <f>++Tabla4[[#This Row],[Precio Unitario Neto]]-Tabla4[[#This Row],[20.85%]]</f>
        <v>4243.9001592000004</v>
      </c>
      <c r="M4743" s="282" t="e">
        <f>(INDEX(Tabla6[#All],MATCH(Tabla4[[#This Row],[Producto]],Tabla6[[#All],[PRODUCTO]],0),MATCH(Tabla4[[#This Row],[Mes]],Tabla6[#Headers],0)))*(1+Catalogos!$L$2)</f>
        <v>#N/A</v>
      </c>
      <c r="N4743" s="283" t="e">
        <f>+(Tabla4[[#This Row],[Precio Descontado]]-Tabla4[[#This Row],[Precio Base]])*Tabla4[[#This Row],[Cantidad]]</f>
        <v>#N/A</v>
      </c>
      <c r="O4743" s="284" t="e">
        <f>++Tabla4[[#This Row],[Utilidad Total]]/Tabla4[[#This Row],[Total]]</f>
        <v>#N/A</v>
      </c>
      <c r="P4743" s="282">
        <f>++Tabla4[[#This Row],[Precio Descontado]]*Tabla4[[#This Row],[Cantidad]]</f>
        <v>21219.500796</v>
      </c>
      <c r="Q4743" s="282" t="e">
        <f>(INDEX(Tabla6[#All],MATCH(Tabla4[[#This Row],[Producto]],Tabla6[[#All],[PRODUCTO]],0),MATCH(Tabla4[[#This Row],[Mes]],Tabla6[#Headers],0)))</f>
        <v>#N/A</v>
      </c>
      <c r="R4743" s="282" t="e">
        <f>++Tabla4[[#This Row],[Precio Unitario Neto]]-Tabla4[[#This Row],[20.85%]]-Tabla4[[#This Row],[Costo]]</f>
        <v>#N/A</v>
      </c>
      <c r="S4743" s="282" t="e">
        <f>++Tabla4[[#This Row],[U. Bruta Uni]]*Tabla4[[#This Row],[Cantidad]]</f>
        <v>#N/A</v>
      </c>
      <c r="T4743" s="369" t="str">
        <f>VLOOKUP(Tabla4[[#This Row],[Producto]],Tabla6[#All],14,FALSE)</f>
        <v>Termico Solar</v>
      </c>
      <c r="U4743" s="284" t="e">
        <f>(IF(Tabla4[[#This Row],[Familia]]="termico solar",Tabla4[[#This Row],[Utilidad Total]]*6%,Tabla4[[#This Row],[Utilidad Total]]*11.5%))/Tabla4[[#This Row],[Total]]</f>
        <v>#N/A</v>
      </c>
      <c r="V4743" s="282" t="e">
        <f>+Tabla4[[#This Row],[Comisión Calculada]]*Tabla4[[#This Row],[Total]]</f>
        <v>#N/A</v>
      </c>
    </row>
    <row r="4744" spans="1:22" hidden="1" x14ac:dyDescent="0.25">
      <c r="A4744" s="100">
        <v>45853</v>
      </c>
      <c r="B4744" t="str">
        <f t="shared" si="237"/>
        <v>July</v>
      </c>
      <c r="C4744" s="46" t="s">
        <v>280</v>
      </c>
      <c r="F4744" s="366" t="s">
        <v>2494</v>
      </c>
      <c r="G4744" s="46" t="s">
        <v>566</v>
      </c>
      <c r="H4744" s="46">
        <v>1</v>
      </c>
      <c r="I4744" s="51">
        <v>2109.4499999999998</v>
      </c>
      <c r="J4744" s="281">
        <f>++Tabla4[[#This Row],[Precio Bruto]]*1.16</f>
        <v>2446.9619999999995</v>
      </c>
      <c r="K4744" s="281">
        <f>+Tabla4[[#This Row],[Precio Unitario Neto]]*Tabla4[[#Headers],[20.85%]]</f>
        <v>510.19157699999988</v>
      </c>
      <c r="L4744" s="282">
        <f>++Tabla4[[#This Row],[Precio Unitario Neto]]-Tabla4[[#This Row],[20.85%]]</f>
        <v>1936.7704229999997</v>
      </c>
      <c r="M4744" s="282" t="e">
        <f>(INDEX(Tabla6[#All],MATCH(Tabla4[[#This Row],[Producto]],Tabla6[[#All],[PRODUCTO]],0),MATCH(Tabla4[[#This Row],[Mes]],Tabla6[#Headers],0)))*(1+Catalogos!$L$2)</f>
        <v>#N/A</v>
      </c>
      <c r="N4744" s="283" t="e">
        <f>+(Tabla4[[#This Row],[Precio Descontado]]-Tabla4[[#This Row],[Precio Base]])*Tabla4[[#This Row],[Cantidad]]</f>
        <v>#N/A</v>
      </c>
      <c r="O4744" s="284" t="e">
        <f>++Tabla4[[#This Row],[Utilidad Total]]/Tabla4[[#This Row],[Total]]</f>
        <v>#N/A</v>
      </c>
      <c r="P4744" s="282">
        <f>++Tabla4[[#This Row],[Precio Descontado]]*Tabla4[[#This Row],[Cantidad]]</f>
        <v>1936.7704229999997</v>
      </c>
      <c r="Q4744" s="282" t="e">
        <f>(INDEX(Tabla6[#All],MATCH(Tabla4[[#This Row],[Producto]],Tabla6[[#All],[PRODUCTO]],0),MATCH(Tabla4[[#This Row],[Mes]],Tabla6[#Headers],0)))</f>
        <v>#N/A</v>
      </c>
      <c r="R4744" s="282" t="e">
        <f>++Tabla4[[#This Row],[Precio Unitario Neto]]-Tabla4[[#This Row],[20.85%]]-Tabla4[[#This Row],[Costo]]</f>
        <v>#N/A</v>
      </c>
      <c r="S4744" s="282" t="e">
        <f>++Tabla4[[#This Row],[U. Bruta Uni]]*Tabla4[[#This Row],[Cantidad]]</f>
        <v>#N/A</v>
      </c>
      <c r="T4744" s="369" t="str">
        <f>VLOOKUP(Tabla4[[#This Row],[Producto]],Tabla6[#All],14,FALSE)</f>
        <v>Termico Solar</v>
      </c>
      <c r="U4744" s="284" t="e">
        <f>(IF(Tabla4[[#This Row],[Familia]]="termico solar",Tabla4[[#This Row],[Utilidad Total]]*6%,Tabla4[[#This Row],[Utilidad Total]]*11.5%))/Tabla4[[#This Row],[Total]]</f>
        <v>#N/A</v>
      </c>
      <c r="V4744" s="282" t="e">
        <f>+Tabla4[[#This Row],[Comisión Calculada]]*Tabla4[[#This Row],[Total]]</f>
        <v>#N/A</v>
      </c>
    </row>
    <row r="4745" spans="1:22" hidden="1" x14ac:dyDescent="0.25">
      <c r="A4745" s="100">
        <v>45853</v>
      </c>
      <c r="B4745" t="str">
        <f t="shared" si="237"/>
        <v>July</v>
      </c>
      <c r="C4745" s="46" t="s">
        <v>280</v>
      </c>
      <c r="F4745" s="366" t="s">
        <v>2495</v>
      </c>
      <c r="G4745" s="46" t="s">
        <v>83</v>
      </c>
      <c r="H4745" s="46">
        <v>3</v>
      </c>
      <c r="I4745" s="51">
        <v>8858.76</v>
      </c>
      <c r="J4745" s="281">
        <f>++Tabla4[[#This Row],[Precio Bruto]]*1.16</f>
        <v>10276.161599999999</v>
      </c>
      <c r="K4745" s="281">
        <f>+Tabla4[[#This Row],[Precio Unitario Neto]]*Tabla4[[#Headers],[20.85%]]</f>
        <v>2142.5796935999997</v>
      </c>
      <c r="L4745" s="282">
        <f>++Tabla4[[#This Row],[Precio Unitario Neto]]-Tabla4[[#This Row],[20.85%]]</f>
        <v>8133.5819063999998</v>
      </c>
      <c r="M4745" s="282" t="e">
        <f>(INDEX(Tabla6[#All],MATCH(Tabla4[[#This Row],[Producto]],Tabla6[[#All],[PRODUCTO]],0),MATCH(Tabla4[[#This Row],[Mes]],Tabla6[#Headers],0)))*(1+Catalogos!$L$2)</f>
        <v>#N/A</v>
      </c>
      <c r="N4745" s="283" t="e">
        <f>+(Tabla4[[#This Row],[Precio Descontado]]-Tabla4[[#This Row],[Precio Base]])*Tabla4[[#This Row],[Cantidad]]</f>
        <v>#N/A</v>
      </c>
      <c r="O4745" s="284" t="e">
        <f>++Tabla4[[#This Row],[Utilidad Total]]/Tabla4[[#This Row],[Total]]</f>
        <v>#N/A</v>
      </c>
      <c r="P4745" s="282">
        <f>++Tabla4[[#This Row],[Precio Descontado]]*Tabla4[[#This Row],[Cantidad]]</f>
        <v>24400.7457192</v>
      </c>
      <c r="Q4745" s="282" t="e">
        <f>(INDEX(Tabla6[#All],MATCH(Tabla4[[#This Row],[Producto]],Tabla6[[#All],[PRODUCTO]],0),MATCH(Tabla4[[#This Row],[Mes]],Tabla6[#Headers],0)))</f>
        <v>#N/A</v>
      </c>
      <c r="R4745" s="282" t="e">
        <f>++Tabla4[[#This Row],[Precio Unitario Neto]]-Tabla4[[#This Row],[20.85%]]-Tabla4[[#This Row],[Costo]]</f>
        <v>#N/A</v>
      </c>
      <c r="S4745" s="282" t="e">
        <f>++Tabla4[[#This Row],[U. Bruta Uni]]*Tabla4[[#This Row],[Cantidad]]</f>
        <v>#N/A</v>
      </c>
      <c r="T4745" s="369" t="str">
        <f>VLOOKUP(Tabla4[[#This Row],[Producto]],Tabla6[#All],14,FALSE)</f>
        <v>Termico Solar</v>
      </c>
      <c r="U4745" s="284" t="e">
        <f>(IF(Tabla4[[#This Row],[Familia]]="termico solar",Tabla4[[#This Row],[Utilidad Total]]*6%,Tabla4[[#This Row],[Utilidad Total]]*11.5%))/Tabla4[[#This Row],[Total]]</f>
        <v>#N/A</v>
      </c>
      <c r="V4745" s="282" t="e">
        <f>+Tabla4[[#This Row],[Comisión Calculada]]*Tabla4[[#This Row],[Total]]</f>
        <v>#N/A</v>
      </c>
    </row>
    <row r="4746" spans="1:22" hidden="1" x14ac:dyDescent="0.25">
      <c r="A4746" s="100">
        <v>45853</v>
      </c>
      <c r="B4746" t="str">
        <f t="shared" si="237"/>
        <v>July</v>
      </c>
      <c r="C4746" s="46" t="s">
        <v>280</v>
      </c>
      <c r="F4746" s="366" t="s">
        <v>2495</v>
      </c>
      <c r="G4746" s="46" t="s">
        <v>18</v>
      </c>
      <c r="H4746" s="46">
        <v>1</v>
      </c>
      <c r="I4746" s="51">
        <v>5367.65</v>
      </c>
      <c r="J4746" s="281">
        <f>++Tabla4[[#This Row],[Precio Bruto]]*1.16</f>
        <v>6226.4739999999993</v>
      </c>
      <c r="K4746" s="281">
        <f>+Tabla4[[#This Row],[Precio Unitario Neto]]*Tabla4[[#Headers],[20.85%]]</f>
        <v>1298.2198289999999</v>
      </c>
      <c r="L4746" s="282">
        <f>++Tabla4[[#This Row],[Precio Unitario Neto]]-Tabla4[[#This Row],[20.85%]]</f>
        <v>4928.2541709999996</v>
      </c>
      <c r="M4746" s="282" t="e">
        <f>(INDEX(Tabla6[#All],MATCH(Tabla4[[#This Row],[Producto]],Tabla6[[#All],[PRODUCTO]],0),MATCH(Tabla4[[#This Row],[Mes]],Tabla6[#Headers],0)))*(1+Catalogos!$L$2)</f>
        <v>#N/A</v>
      </c>
      <c r="N4746" s="283" t="e">
        <f>+(Tabla4[[#This Row],[Precio Descontado]]-Tabla4[[#This Row],[Precio Base]])*Tabla4[[#This Row],[Cantidad]]</f>
        <v>#N/A</v>
      </c>
      <c r="O4746" s="284" t="e">
        <f>++Tabla4[[#This Row],[Utilidad Total]]/Tabla4[[#This Row],[Total]]</f>
        <v>#N/A</v>
      </c>
      <c r="P4746" s="282">
        <f>++Tabla4[[#This Row],[Precio Descontado]]*Tabla4[[#This Row],[Cantidad]]</f>
        <v>4928.2541709999996</v>
      </c>
      <c r="Q4746" s="282" t="e">
        <f>(INDEX(Tabla6[#All],MATCH(Tabla4[[#This Row],[Producto]],Tabla6[[#All],[PRODUCTO]],0),MATCH(Tabla4[[#This Row],[Mes]],Tabla6[#Headers],0)))</f>
        <v>#N/A</v>
      </c>
      <c r="R4746" s="282" t="e">
        <f>++Tabla4[[#This Row],[Precio Unitario Neto]]-Tabla4[[#This Row],[20.85%]]-Tabla4[[#This Row],[Costo]]</f>
        <v>#N/A</v>
      </c>
      <c r="S4746" s="282" t="e">
        <f>++Tabla4[[#This Row],[U. Bruta Uni]]*Tabla4[[#This Row],[Cantidad]]</f>
        <v>#N/A</v>
      </c>
      <c r="T4746" s="369" t="str">
        <f>VLOOKUP(Tabla4[[#This Row],[Producto]],Tabla6[#All],14,FALSE)</f>
        <v>Termico Solar</v>
      </c>
      <c r="U4746" s="284" t="e">
        <f>(IF(Tabla4[[#This Row],[Familia]]="termico solar",Tabla4[[#This Row],[Utilidad Total]]*6%,Tabla4[[#This Row],[Utilidad Total]]*11.5%))/Tabla4[[#This Row],[Total]]</f>
        <v>#N/A</v>
      </c>
      <c r="V4746" s="282" t="e">
        <f>+Tabla4[[#This Row],[Comisión Calculada]]*Tabla4[[#This Row],[Total]]</f>
        <v>#N/A</v>
      </c>
    </row>
    <row r="4747" spans="1:22" hidden="1" x14ac:dyDescent="0.25">
      <c r="A4747" s="100">
        <v>45853</v>
      </c>
      <c r="B4747" t="str">
        <f t="shared" si="237"/>
        <v>July</v>
      </c>
      <c r="C4747" s="46" t="s">
        <v>280</v>
      </c>
      <c r="F4747" s="366" t="s">
        <v>2495</v>
      </c>
      <c r="G4747" s="46" t="s">
        <v>566</v>
      </c>
      <c r="H4747" s="46">
        <v>1</v>
      </c>
      <c r="I4747" s="51">
        <v>2109.4499999999998</v>
      </c>
      <c r="J4747" s="281">
        <f>++Tabla4[[#This Row],[Precio Bruto]]*1.16</f>
        <v>2446.9619999999995</v>
      </c>
      <c r="K4747" s="281">
        <f>+Tabla4[[#This Row],[Precio Unitario Neto]]*Tabla4[[#Headers],[20.85%]]</f>
        <v>510.19157699999988</v>
      </c>
      <c r="L4747" s="282">
        <f>++Tabla4[[#This Row],[Precio Unitario Neto]]-Tabla4[[#This Row],[20.85%]]</f>
        <v>1936.7704229999997</v>
      </c>
      <c r="M4747" s="282" t="e">
        <f>(INDEX(Tabla6[#All],MATCH(Tabla4[[#This Row],[Producto]],Tabla6[[#All],[PRODUCTO]],0),MATCH(Tabla4[[#This Row],[Mes]],Tabla6[#Headers],0)))*(1+Catalogos!$L$2)</f>
        <v>#N/A</v>
      </c>
      <c r="N4747" s="283" t="e">
        <f>+(Tabla4[[#This Row],[Precio Descontado]]-Tabla4[[#This Row],[Precio Base]])*Tabla4[[#This Row],[Cantidad]]</f>
        <v>#N/A</v>
      </c>
      <c r="O4747" s="284" t="e">
        <f>++Tabla4[[#This Row],[Utilidad Total]]/Tabla4[[#This Row],[Total]]</f>
        <v>#N/A</v>
      </c>
      <c r="P4747" s="282">
        <f>++Tabla4[[#This Row],[Precio Descontado]]*Tabla4[[#This Row],[Cantidad]]</f>
        <v>1936.7704229999997</v>
      </c>
      <c r="Q4747" s="282" t="e">
        <f>(INDEX(Tabla6[#All],MATCH(Tabla4[[#This Row],[Producto]],Tabla6[[#All],[PRODUCTO]],0),MATCH(Tabla4[[#This Row],[Mes]],Tabla6[#Headers],0)))</f>
        <v>#N/A</v>
      </c>
      <c r="R4747" s="282" t="e">
        <f>++Tabla4[[#This Row],[Precio Unitario Neto]]-Tabla4[[#This Row],[20.85%]]-Tabla4[[#This Row],[Costo]]</f>
        <v>#N/A</v>
      </c>
      <c r="S4747" s="282" t="e">
        <f>++Tabla4[[#This Row],[U. Bruta Uni]]*Tabla4[[#This Row],[Cantidad]]</f>
        <v>#N/A</v>
      </c>
      <c r="T4747" s="369" t="str">
        <f>VLOOKUP(Tabla4[[#This Row],[Producto]],Tabla6[#All],14,FALSE)</f>
        <v>Termico Solar</v>
      </c>
      <c r="U4747" s="284" t="e">
        <f>(IF(Tabla4[[#This Row],[Familia]]="termico solar",Tabla4[[#This Row],[Utilidad Total]]*6%,Tabla4[[#This Row],[Utilidad Total]]*11.5%))/Tabla4[[#This Row],[Total]]</f>
        <v>#N/A</v>
      </c>
      <c r="V4747" s="282" t="e">
        <f>+Tabla4[[#This Row],[Comisión Calculada]]*Tabla4[[#This Row],[Total]]</f>
        <v>#N/A</v>
      </c>
    </row>
    <row r="4748" spans="1:22" hidden="1" x14ac:dyDescent="0.25">
      <c r="A4748" s="100">
        <v>45853</v>
      </c>
      <c r="B4748" t="str">
        <f t="shared" si="237"/>
        <v>July</v>
      </c>
      <c r="C4748" s="46" t="s">
        <v>280</v>
      </c>
      <c r="F4748" s="366" t="s">
        <v>2495</v>
      </c>
      <c r="G4748" s="46" t="s">
        <v>208</v>
      </c>
      <c r="H4748" s="46">
        <v>1</v>
      </c>
      <c r="I4748" s="51">
        <v>189.75</v>
      </c>
      <c r="J4748" s="281">
        <f>++Tabla4[[#This Row],[Precio Bruto]]*1.16</f>
        <v>220.10999999999999</v>
      </c>
      <c r="K4748" s="281">
        <f>+Tabla4[[#This Row],[Precio Unitario Neto]]*Tabla4[[#Headers],[20.85%]]</f>
        <v>45.892934999999994</v>
      </c>
      <c r="L4748" s="282">
        <f>++Tabla4[[#This Row],[Precio Unitario Neto]]-Tabla4[[#This Row],[20.85%]]</f>
        <v>174.21706499999999</v>
      </c>
      <c r="M4748" s="282" t="e">
        <f>(INDEX(Tabla6[#All],MATCH(Tabla4[[#This Row],[Producto]],Tabla6[[#All],[PRODUCTO]],0),MATCH(Tabla4[[#This Row],[Mes]],Tabla6[#Headers],0)))*(1+Catalogos!$L$2)</f>
        <v>#N/A</v>
      </c>
      <c r="N4748" s="283" t="e">
        <f>+(Tabla4[[#This Row],[Precio Descontado]]-Tabla4[[#This Row],[Precio Base]])*Tabla4[[#This Row],[Cantidad]]</f>
        <v>#N/A</v>
      </c>
      <c r="O4748" s="284" t="e">
        <f>++Tabla4[[#This Row],[Utilidad Total]]/Tabla4[[#This Row],[Total]]</f>
        <v>#N/A</v>
      </c>
      <c r="P4748" s="282">
        <f>++Tabla4[[#This Row],[Precio Descontado]]*Tabla4[[#This Row],[Cantidad]]</f>
        <v>174.21706499999999</v>
      </c>
      <c r="Q4748" s="282" t="e">
        <f>(INDEX(Tabla6[#All],MATCH(Tabla4[[#This Row],[Producto]],Tabla6[[#All],[PRODUCTO]],0),MATCH(Tabla4[[#This Row],[Mes]],Tabla6[#Headers],0)))</f>
        <v>#N/A</v>
      </c>
      <c r="R4748" s="282" t="e">
        <f>++Tabla4[[#This Row],[Precio Unitario Neto]]-Tabla4[[#This Row],[20.85%]]-Tabla4[[#This Row],[Costo]]</f>
        <v>#N/A</v>
      </c>
      <c r="S4748" s="282" t="e">
        <f>++Tabla4[[#This Row],[U. Bruta Uni]]*Tabla4[[#This Row],[Cantidad]]</f>
        <v>#N/A</v>
      </c>
      <c r="T4748" s="369" t="str">
        <f>VLOOKUP(Tabla4[[#This Row],[Producto]],Tabla6[#All],14,FALSE)</f>
        <v>Termico Solar</v>
      </c>
      <c r="U4748" s="284" t="e">
        <f>(IF(Tabla4[[#This Row],[Familia]]="termico solar",Tabla4[[#This Row],[Utilidad Total]]*6%,Tabla4[[#This Row],[Utilidad Total]]*11.5%))/Tabla4[[#This Row],[Total]]</f>
        <v>#N/A</v>
      </c>
      <c r="V4748" s="282" t="e">
        <f>+Tabla4[[#This Row],[Comisión Calculada]]*Tabla4[[#This Row],[Total]]</f>
        <v>#N/A</v>
      </c>
    </row>
    <row r="4749" spans="1:22" hidden="1" x14ac:dyDescent="0.25">
      <c r="A4749" s="100">
        <v>45853</v>
      </c>
      <c r="B4749" t="str">
        <f t="shared" si="237"/>
        <v>July</v>
      </c>
      <c r="C4749" s="46" t="s">
        <v>280</v>
      </c>
      <c r="F4749" s="366" t="s">
        <v>2495</v>
      </c>
      <c r="G4749" s="46" t="s">
        <v>209</v>
      </c>
      <c r="H4749" s="46">
        <v>2</v>
      </c>
      <c r="I4749" s="51">
        <v>347.48</v>
      </c>
      <c r="J4749" s="281">
        <f>++Tabla4[[#This Row],[Precio Bruto]]*1.16</f>
        <v>403.07679999999999</v>
      </c>
      <c r="K4749" s="281">
        <f>+Tabla4[[#This Row],[Precio Unitario Neto]]*Tabla4[[#Headers],[20.85%]]</f>
        <v>84.041512799999992</v>
      </c>
      <c r="L4749" s="282">
        <f>++Tabla4[[#This Row],[Precio Unitario Neto]]-Tabla4[[#This Row],[20.85%]]</f>
        <v>319.03528719999997</v>
      </c>
      <c r="M4749" s="282" t="e">
        <f>(INDEX(Tabla6[#All],MATCH(Tabla4[[#This Row],[Producto]],Tabla6[[#All],[PRODUCTO]],0),MATCH(Tabla4[[#This Row],[Mes]],Tabla6[#Headers],0)))*(1+Catalogos!$L$2)</f>
        <v>#N/A</v>
      </c>
      <c r="N4749" s="283" t="e">
        <f>+(Tabla4[[#This Row],[Precio Descontado]]-Tabla4[[#This Row],[Precio Base]])*Tabla4[[#This Row],[Cantidad]]</f>
        <v>#N/A</v>
      </c>
      <c r="O4749" s="284" t="e">
        <f>++Tabla4[[#This Row],[Utilidad Total]]/Tabla4[[#This Row],[Total]]</f>
        <v>#N/A</v>
      </c>
      <c r="P4749" s="282">
        <f>++Tabla4[[#This Row],[Precio Descontado]]*Tabla4[[#This Row],[Cantidad]]</f>
        <v>638.07057439999994</v>
      </c>
      <c r="Q4749" s="282" t="e">
        <f>(INDEX(Tabla6[#All],MATCH(Tabla4[[#This Row],[Producto]],Tabla6[[#All],[PRODUCTO]],0),MATCH(Tabla4[[#This Row],[Mes]],Tabla6[#Headers],0)))</f>
        <v>#N/A</v>
      </c>
      <c r="R4749" s="282" t="e">
        <f>++Tabla4[[#This Row],[Precio Unitario Neto]]-Tabla4[[#This Row],[20.85%]]-Tabla4[[#This Row],[Costo]]</f>
        <v>#N/A</v>
      </c>
      <c r="S4749" s="282" t="e">
        <f>++Tabla4[[#This Row],[U. Bruta Uni]]*Tabla4[[#This Row],[Cantidad]]</f>
        <v>#N/A</v>
      </c>
      <c r="T4749" s="369" t="str">
        <f>VLOOKUP(Tabla4[[#This Row],[Producto]],Tabla6[#All],14,FALSE)</f>
        <v>Termico Solar</v>
      </c>
      <c r="U4749" s="284" t="e">
        <f>(IF(Tabla4[[#This Row],[Familia]]="termico solar",Tabla4[[#This Row],[Utilidad Total]]*6%,Tabla4[[#This Row],[Utilidad Total]]*11.5%))/Tabla4[[#This Row],[Total]]</f>
        <v>#N/A</v>
      </c>
      <c r="V4749" s="282" t="e">
        <f>+Tabla4[[#This Row],[Comisión Calculada]]*Tabla4[[#This Row],[Total]]</f>
        <v>#N/A</v>
      </c>
    </row>
    <row r="4750" spans="1:22" hidden="1" x14ac:dyDescent="0.25">
      <c r="A4750" s="100">
        <v>45853</v>
      </c>
      <c r="B4750" t="str">
        <f t="shared" si="237"/>
        <v>July</v>
      </c>
      <c r="C4750" s="46" t="s">
        <v>280</v>
      </c>
      <c r="F4750" s="366" t="s">
        <v>2496</v>
      </c>
      <c r="G4750" s="46" t="s">
        <v>18</v>
      </c>
      <c r="H4750" s="46">
        <v>3</v>
      </c>
      <c r="I4750" s="51">
        <v>5367.6500000000005</v>
      </c>
      <c r="J4750" s="281">
        <f>++Tabla4[[#This Row],[Precio Bruto]]*1.16</f>
        <v>6226.4740000000002</v>
      </c>
      <c r="K4750" s="281">
        <f>+Tabla4[[#This Row],[Precio Unitario Neto]]*Tabla4[[#Headers],[20.85%]]</f>
        <v>1298.2198289999999</v>
      </c>
      <c r="L4750" s="282">
        <f>++Tabla4[[#This Row],[Precio Unitario Neto]]-Tabla4[[#This Row],[20.85%]]</f>
        <v>4928.2541710000005</v>
      </c>
      <c r="M4750" s="282" t="e">
        <f>(INDEX(Tabla6[#All],MATCH(Tabla4[[#This Row],[Producto]],Tabla6[[#All],[PRODUCTO]],0),MATCH(Tabla4[[#This Row],[Mes]],Tabla6[#Headers],0)))*(1+Catalogos!$L$2)</f>
        <v>#N/A</v>
      </c>
      <c r="N4750" s="283" t="e">
        <f>+(Tabla4[[#This Row],[Precio Descontado]]-Tabla4[[#This Row],[Precio Base]])*Tabla4[[#This Row],[Cantidad]]</f>
        <v>#N/A</v>
      </c>
      <c r="O4750" s="284" t="e">
        <f>++Tabla4[[#This Row],[Utilidad Total]]/Tabla4[[#This Row],[Total]]</f>
        <v>#N/A</v>
      </c>
      <c r="P4750" s="282">
        <f>++Tabla4[[#This Row],[Precio Descontado]]*Tabla4[[#This Row],[Cantidad]]</f>
        <v>14784.762513000001</v>
      </c>
      <c r="Q4750" s="282" t="e">
        <f>(INDEX(Tabla6[#All],MATCH(Tabla4[[#This Row],[Producto]],Tabla6[[#All],[PRODUCTO]],0),MATCH(Tabla4[[#This Row],[Mes]],Tabla6[#Headers],0)))</f>
        <v>#N/A</v>
      </c>
      <c r="R4750" s="282" t="e">
        <f>++Tabla4[[#This Row],[Precio Unitario Neto]]-Tabla4[[#This Row],[20.85%]]-Tabla4[[#This Row],[Costo]]</f>
        <v>#N/A</v>
      </c>
      <c r="S4750" s="282" t="e">
        <f>++Tabla4[[#This Row],[U. Bruta Uni]]*Tabla4[[#This Row],[Cantidad]]</f>
        <v>#N/A</v>
      </c>
      <c r="T4750" s="369" t="str">
        <f>VLOOKUP(Tabla4[[#This Row],[Producto]],Tabla6[#All],14,FALSE)</f>
        <v>Termico Solar</v>
      </c>
      <c r="U4750" s="284" t="e">
        <f>(IF(Tabla4[[#This Row],[Familia]]="termico solar",Tabla4[[#This Row],[Utilidad Total]]*6%,Tabla4[[#This Row],[Utilidad Total]]*11.5%))/Tabla4[[#This Row],[Total]]</f>
        <v>#N/A</v>
      </c>
      <c r="V4750" s="282" t="e">
        <f>+Tabla4[[#This Row],[Comisión Calculada]]*Tabla4[[#This Row],[Total]]</f>
        <v>#N/A</v>
      </c>
    </row>
    <row r="4751" spans="1:22" hidden="1" x14ac:dyDescent="0.25">
      <c r="A4751" s="100">
        <v>45853</v>
      </c>
      <c r="B4751" t="str">
        <f t="shared" si="237"/>
        <v>July</v>
      </c>
      <c r="C4751" s="46" t="s">
        <v>280</v>
      </c>
      <c r="F4751" s="366" t="s">
        <v>2496</v>
      </c>
      <c r="G4751" s="46" t="s">
        <v>566</v>
      </c>
      <c r="H4751" s="46">
        <v>2</v>
      </c>
      <c r="I4751" s="51">
        <v>2109.4499999999998</v>
      </c>
      <c r="J4751" s="281">
        <f>++Tabla4[[#This Row],[Precio Bruto]]*1.16</f>
        <v>2446.9619999999995</v>
      </c>
      <c r="K4751" s="281">
        <f>+Tabla4[[#This Row],[Precio Unitario Neto]]*Tabla4[[#Headers],[20.85%]]</f>
        <v>510.19157699999988</v>
      </c>
      <c r="L4751" s="282">
        <f>++Tabla4[[#This Row],[Precio Unitario Neto]]-Tabla4[[#This Row],[20.85%]]</f>
        <v>1936.7704229999997</v>
      </c>
      <c r="M4751" s="282" t="e">
        <f>(INDEX(Tabla6[#All],MATCH(Tabla4[[#This Row],[Producto]],Tabla6[[#All],[PRODUCTO]],0),MATCH(Tabla4[[#This Row],[Mes]],Tabla6[#Headers],0)))*(1+Catalogos!$L$2)</f>
        <v>#N/A</v>
      </c>
      <c r="N4751" s="283" t="e">
        <f>+(Tabla4[[#This Row],[Precio Descontado]]-Tabla4[[#This Row],[Precio Base]])*Tabla4[[#This Row],[Cantidad]]</f>
        <v>#N/A</v>
      </c>
      <c r="O4751" s="284" t="e">
        <f>++Tabla4[[#This Row],[Utilidad Total]]/Tabla4[[#This Row],[Total]]</f>
        <v>#N/A</v>
      </c>
      <c r="P4751" s="282">
        <f>++Tabla4[[#This Row],[Precio Descontado]]*Tabla4[[#This Row],[Cantidad]]</f>
        <v>3873.5408459999994</v>
      </c>
      <c r="Q4751" s="282" t="e">
        <f>(INDEX(Tabla6[#All],MATCH(Tabla4[[#This Row],[Producto]],Tabla6[[#All],[PRODUCTO]],0),MATCH(Tabla4[[#This Row],[Mes]],Tabla6[#Headers],0)))</f>
        <v>#N/A</v>
      </c>
      <c r="R4751" s="282" t="e">
        <f>++Tabla4[[#This Row],[Precio Unitario Neto]]-Tabla4[[#This Row],[20.85%]]-Tabla4[[#This Row],[Costo]]</f>
        <v>#N/A</v>
      </c>
      <c r="S4751" s="282" t="e">
        <f>++Tabla4[[#This Row],[U. Bruta Uni]]*Tabla4[[#This Row],[Cantidad]]</f>
        <v>#N/A</v>
      </c>
      <c r="T4751" s="369" t="str">
        <f>VLOOKUP(Tabla4[[#This Row],[Producto]],Tabla6[#All],14,FALSE)</f>
        <v>Termico Solar</v>
      </c>
      <c r="U4751" s="284" t="e">
        <f>(IF(Tabla4[[#This Row],[Familia]]="termico solar",Tabla4[[#This Row],[Utilidad Total]]*6%,Tabla4[[#This Row],[Utilidad Total]]*11.5%))/Tabla4[[#This Row],[Total]]</f>
        <v>#N/A</v>
      </c>
      <c r="V4751" s="282" t="e">
        <f>+Tabla4[[#This Row],[Comisión Calculada]]*Tabla4[[#This Row],[Total]]</f>
        <v>#N/A</v>
      </c>
    </row>
    <row r="4752" spans="1:22" hidden="1" x14ac:dyDescent="0.25">
      <c r="A4752" s="100">
        <v>45853</v>
      </c>
      <c r="B4752" t="str">
        <f t="shared" si="237"/>
        <v>July</v>
      </c>
      <c r="C4752" s="46" t="s">
        <v>280</v>
      </c>
      <c r="F4752" s="366" t="s">
        <v>2497</v>
      </c>
      <c r="G4752" s="46" t="s">
        <v>566</v>
      </c>
      <c r="H4752" s="46">
        <v>1</v>
      </c>
      <c r="I4752" s="51">
        <v>2109.4499999999998</v>
      </c>
      <c r="J4752" s="281">
        <f>++Tabla4[[#This Row],[Precio Bruto]]*1.16</f>
        <v>2446.9619999999995</v>
      </c>
      <c r="K4752" s="281">
        <f>+Tabla4[[#This Row],[Precio Unitario Neto]]*Tabla4[[#Headers],[20.85%]]</f>
        <v>510.19157699999988</v>
      </c>
      <c r="L4752" s="282">
        <f>++Tabla4[[#This Row],[Precio Unitario Neto]]-Tabla4[[#This Row],[20.85%]]</f>
        <v>1936.7704229999997</v>
      </c>
      <c r="M4752" s="282" t="e">
        <f>(INDEX(Tabla6[#All],MATCH(Tabla4[[#This Row],[Producto]],Tabla6[[#All],[PRODUCTO]],0),MATCH(Tabla4[[#This Row],[Mes]],Tabla6[#Headers],0)))*(1+Catalogos!$L$2)</f>
        <v>#N/A</v>
      </c>
      <c r="N4752" s="283" t="e">
        <f>+(Tabla4[[#This Row],[Precio Descontado]]-Tabla4[[#This Row],[Precio Base]])*Tabla4[[#This Row],[Cantidad]]</f>
        <v>#N/A</v>
      </c>
      <c r="O4752" s="284" t="e">
        <f>++Tabla4[[#This Row],[Utilidad Total]]/Tabla4[[#This Row],[Total]]</f>
        <v>#N/A</v>
      </c>
      <c r="P4752" s="282">
        <f>++Tabla4[[#This Row],[Precio Descontado]]*Tabla4[[#This Row],[Cantidad]]</f>
        <v>1936.7704229999997</v>
      </c>
      <c r="Q4752" s="282" t="e">
        <f>(INDEX(Tabla6[#All],MATCH(Tabla4[[#This Row],[Producto]],Tabla6[[#All],[PRODUCTO]],0),MATCH(Tabla4[[#This Row],[Mes]],Tabla6[#Headers],0)))</f>
        <v>#N/A</v>
      </c>
      <c r="R4752" s="282" t="e">
        <f>++Tabla4[[#This Row],[Precio Unitario Neto]]-Tabla4[[#This Row],[20.85%]]-Tabla4[[#This Row],[Costo]]</f>
        <v>#N/A</v>
      </c>
      <c r="S4752" s="282" t="e">
        <f>++Tabla4[[#This Row],[U. Bruta Uni]]*Tabla4[[#This Row],[Cantidad]]</f>
        <v>#N/A</v>
      </c>
      <c r="T4752" s="369" t="str">
        <f>VLOOKUP(Tabla4[[#This Row],[Producto]],Tabla6[#All],14,FALSE)</f>
        <v>Termico Solar</v>
      </c>
      <c r="U4752" s="284" t="e">
        <f>(IF(Tabla4[[#This Row],[Familia]]="termico solar",Tabla4[[#This Row],[Utilidad Total]]*6%,Tabla4[[#This Row],[Utilidad Total]]*11.5%))/Tabla4[[#This Row],[Total]]</f>
        <v>#N/A</v>
      </c>
      <c r="V4752" s="282" t="e">
        <f>+Tabla4[[#This Row],[Comisión Calculada]]*Tabla4[[#This Row],[Total]]</f>
        <v>#N/A</v>
      </c>
    </row>
    <row r="4753" spans="1:22" hidden="1" x14ac:dyDescent="0.25">
      <c r="A4753" s="100">
        <v>45853</v>
      </c>
      <c r="B4753" t="str">
        <f t="shared" si="237"/>
        <v>July</v>
      </c>
      <c r="C4753" s="46" t="s">
        <v>280</v>
      </c>
      <c r="F4753" s="366" t="s">
        <v>2497</v>
      </c>
      <c r="G4753" s="46" t="s">
        <v>208</v>
      </c>
      <c r="H4753" s="46">
        <v>1</v>
      </c>
      <c r="I4753" s="51">
        <v>189.75</v>
      </c>
      <c r="J4753" s="281">
        <f>++Tabla4[[#This Row],[Precio Bruto]]*1.16</f>
        <v>220.10999999999999</v>
      </c>
      <c r="K4753" s="281">
        <f>+Tabla4[[#This Row],[Precio Unitario Neto]]*Tabla4[[#Headers],[20.85%]]</f>
        <v>45.892934999999994</v>
      </c>
      <c r="L4753" s="282">
        <f>++Tabla4[[#This Row],[Precio Unitario Neto]]-Tabla4[[#This Row],[20.85%]]</f>
        <v>174.21706499999999</v>
      </c>
      <c r="M4753" s="282" t="e">
        <f>(INDEX(Tabla6[#All],MATCH(Tabla4[[#This Row],[Producto]],Tabla6[[#All],[PRODUCTO]],0),MATCH(Tabla4[[#This Row],[Mes]],Tabla6[#Headers],0)))*(1+Catalogos!$L$2)</f>
        <v>#N/A</v>
      </c>
      <c r="N4753" s="283" t="e">
        <f>+(Tabla4[[#This Row],[Precio Descontado]]-Tabla4[[#This Row],[Precio Base]])*Tabla4[[#This Row],[Cantidad]]</f>
        <v>#N/A</v>
      </c>
      <c r="O4753" s="284" t="e">
        <f>++Tabla4[[#This Row],[Utilidad Total]]/Tabla4[[#This Row],[Total]]</f>
        <v>#N/A</v>
      </c>
      <c r="P4753" s="282">
        <f>++Tabla4[[#This Row],[Precio Descontado]]*Tabla4[[#This Row],[Cantidad]]</f>
        <v>174.21706499999999</v>
      </c>
      <c r="Q4753" s="282" t="e">
        <f>(INDEX(Tabla6[#All],MATCH(Tabla4[[#This Row],[Producto]],Tabla6[[#All],[PRODUCTO]],0),MATCH(Tabla4[[#This Row],[Mes]],Tabla6[#Headers],0)))</f>
        <v>#N/A</v>
      </c>
      <c r="R4753" s="282" t="e">
        <f>++Tabla4[[#This Row],[Precio Unitario Neto]]-Tabla4[[#This Row],[20.85%]]-Tabla4[[#This Row],[Costo]]</f>
        <v>#N/A</v>
      </c>
      <c r="S4753" s="282" t="e">
        <f>++Tabla4[[#This Row],[U. Bruta Uni]]*Tabla4[[#This Row],[Cantidad]]</f>
        <v>#N/A</v>
      </c>
      <c r="T4753" s="369" t="str">
        <f>VLOOKUP(Tabla4[[#This Row],[Producto]],Tabla6[#All],14,FALSE)</f>
        <v>Termico Solar</v>
      </c>
      <c r="U4753" s="284" t="e">
        <f>(IF(Tabla4[[#This Row],[Familia]]="termico solar",Tabla4[[#This Row],[Utilidad Total]]*6%,Tabla4[[#This Row],[Utilidad Total]]*11.5%))/Tabla4[[#This Row],[Total]]</f>
        <v>#N/A</v>
      </c>
      <c r="V4753" s="282" t="e">
        <f>+Tabla4[[#This Row],[Comisión Calculada]]*Tabla4[[#This Row],[Total]]</f>
        <v>#N/A</v>
      </c>
    </row>
    <row r="4754" spans="1:22" hidden="1" x14ac:dyDescent="0.25">
      <c r="A4754" s="100">
        <v>45853</v>
      </c>
      <c r="B4754" t="str">
        <f t="shared" si="237"/>
        <v>July</v>
      </c>
      <c r="C4754" s="46" t="s">
        <v>280</v>
      </c>
      <c r="F4754" s="366" t="s">
        <v>2498</v>
      </c>
      <c r="G4754" s="46" t="s">
        <v>83</v>
      </c>
      <c r="H4754" s="46">
        <v>1</v>
      </c>
      <c r="I4754" s="51">
        <v>8858.76</v>
      </c>
      <c r="J4754" s="281">
        <f>++Tabla4[[#This Row],[Precio Bruto]]*1.16</f>
        <v>10276.161599999999</v>
      </c>
      <c r="K4754" s="281">
        <f>+Tabla4[[#This Row],[Precio Unitario Neto]]*Tabla4[[#Headers],[20.85%]]</f>
        <v>2142.5796935999997</v>
      </c>
      <c r="L4754" s="282">
        <f>++Tabla4[[#This Row],[Precio Unitario Neto]]-Tabla4[[#This Row],[20.85%]]</f>
        <v>8133.5819063999998</v>
      </c>
      <c r="M4754" s="282" t="e">
        <f>(INDEX(Tabla6[#All],MATCH(Tabla4[[#This Row],[Producto]],Tabla6[[#All],[PRODUCTO]],0),MATCH(Tabla4[[#This Row],[Mes]],Tabla6[#Headers],0)))*(1+Catalogos!$L$2)</f>
        <v>#N/A</v>
      </c>
      <c r="N4754" s="283" t="e">
        <f>+(Tabla4[[#This Row],[Precio Descontado]]-Tabla4[[#This Row],[Precio Base]])*Tabla4[[#This Row],[Cantidad]]</f>
        <v>#N/A</v>
      </c>
      <c r="O4754" s="284" t="e">
        <f>++Tabla4[[#This Row],[Utilidad Total]]/Tabla4[[#This Row],[Total]]</f>
        <v>#N/A</v>
      </c>
      <c r="P4754" s="282">
        <f>++Tabla4[[#This Row],[Precio Descontado]]*Tabla4[[#This Row],[Cantidad]]</f>
        <v>8133.5819063999998</v>
      </c>
      <c r="Q4754" s="282" t="e">
        <f>(INDEX(Tabla6[#All],MATCH(Tabla4[[#This Row],[Producto]],Tabla6[[#All],[PRODUCTO]],0),MATCH(Tabla4[[#This Row],[Mes]],Tabla6[#Headers],0)))</f>
        <v>#N/A</v>
      </c>
      <c r="R4754" s="282" t="e">
        <f>++Tabla4[[#This Row],[Precio Unitario Neto]]-Tabla4[[#This Row],[20.85%]]-Tabla4[[#This Row],[Costo]]</f>
        <v>#N/A</v>
      </c>
      <c r="S4754" s="282" t="e">
        <f>++Tabla4[[#This Row],[U. Bruta Uni]]*Tabla4[[#This Row],[Cantidad]]</f>
        <v>#N/A</v>
      </c>
      <c r="T4754" s="369" t="str">
        <f>VLOOKUP(Tabla4[[#This Row],[Producto]],Tabla6[#All],14,FALSE)</f>
        <v>Termico Solar</v>
      </c>
      <c r="U4754" s="284" t="e">
        <f>(IF(Tabla4[[#This Row],[Familia]]="termico solar",Tabla4[[#This Row],[Utilidad Total]]*6%,Tabla4[[#This Row],[Utilidad Total]]*11.5%))/Tabla4[[#This Row],[Total]]</f>
        <v>#N/A</v>
      </c>
      <c r="V4754" s="282" t="e">
        <f>+Tabla4[[#This Row],[Comisión Calculada]]*Tabla4[[#This Row],[Total]]</f>
        <v>#N/A</v>
      </c>
    </row>
    <row r="4755" spans="1:22" hidden="1" x14ac:dyDescent="0.25">
      <c r="A4755" s="100">
        <v>45853</v>
      </c>
      <c r="B4755" t="str">
        <f t="shared" si="237"/>
        <v>July</v>
      </c>
      <c r="C4755" s="46" t="s">
        <v>280</v>
      </c>
      <c r="F4755" s="366" t="s">
        <v>2498</v>
      </c>
      <c r="G4755" s="46" t="s">
        <v>17</v>
      </c>
      <c r="H4755" s="46">
        <v>2</v>
      </c>
      <c r="I4755" s="51">
        <v>4622.28</v>
      </c>
      <c r="J4755" s="281">
        <f>++Tabla4[[#This Row],[Precio Bruto]]*1.16</f>
        <v>5361.8447999999989</v>
      </c>
      <c r="K4755" s="281">
        <f>+Tabla4[[#This Row],[Precio Unitario Neto]]*Tabla4[[#Headers],[20.85%]]</f>
        <v>1117.9446407999997</v>
      </c>
      <c r="L4755" s="282">
        <f>++Tabla4[[#This Row],[Precio Unitario Neto]]-Tabla4[[#This Row],[20.85%]]</f>
        <v>4243.9001591999995</v>
      </c>
      <c r="M4755" s="282" t="e">
        <f>(INDEX(Tabla6[#All],MATCH(Tabla4[[#This Row],[Producto]],Tabla6[[#All],[PRODUCTO]],0),MATCH(Tabla4[[#This Row],[Mes]],Tabla6[#Headers],0)))*(1+Catalogos!$L$2)</f>
        <v>#N/A</v>
      </c>
      <c r="N4755" s="283" t="e">
        <f>+(Tabla4[[#This Row],[Precio Descontado]]-Tabla4[[#This Row],[Precio Base]])*Tabla4[[#This Row],[Cantidad]]</f>
        <v>#N/A</v>
      </c>
      <c r="O4755" s="284" t="e">
        <f>++Tabla4[[#This Row],[Utilidad Total]]/Tabla4[[#This Row],[Total]]</f>
        <v>#N/A</v>
      </c>
      <c r="P4755" s="282">
        <f>++Tabla4[[#This Row],[Precio Descontado]]*Tabla4[[#This Row],[Cantidad]]</f>
        <v>8487.800318399999</v>
      </c>
      <c r="Q4755" s="282" t="e">
        <f>(INDEX(Tabla6[#All],MATCH(Tabla4[[#This Row],[Producto]],Tabla6[[#All],[PRODUCTO]],0),MATCH(Tabla4[[#This Row],[Mes]],Tabla6[#Headers],0)))</f>
        <v>#N/A</v>
      </c>
      <c r="R4755" s="282" t="e">
        <f>++Tabla4[[#This Row],[Precio Unitario Neto]]-Tabla4[[#This Row],[20.85%]]-Tabla4[[#This Row],[Costo]]</f>
        <v>#N/A</v>
      </c>
      <c r="S4755" s="282" t="e">
        <f>++Tabla4[[#This Row],[U. Bruta Uni]]*Tabla4[[#This Row],[Cantidad]]</f>
        <v>#N/A</v>
      </c>
      <c r="T4755" s="369" t="str">
        <f>VLOOKUP(Tabla4[[#This Row],[Producto]],Tabla6[#All],14,FALSE)</f>
        <v>Termico Solar</v>
      </c>
      <c r="U4755" s="284" t="e">
        <f>(IF(Tabla4[[#This Row],[Familia]]="termico solar",Tabla4[[#This Row],[Utilidad Total]]*6%,Tabla4[[#This Row],[Utilidad Total]]*11.5%))/Tabla4[[#This Row],[Total]]</f>
        <v>#N/A</v>
      </c>
      <c r="V4755" s="282" t="e">
        <f>+Tabla4[[#This Row],[Comisión Calculada]]*Tabla4[[#This Row],[Total]]</f>
        <v>#N/A</v>
      </c>
    </row>
    <row r="4756" spans="1:22" hidden="1" x14ac:dyDescent="0.25">
      <c r="A4756" s="100">
        <v>45853</v>
      </c>
      <c r="B4756" t="str">
        <f t="shared" si="237"/>
        <v>July</v>
      </c>
      <c r="C4756" s="46" t="s">
        <v>280</v>
      </c>
      <c r="F4756" s="366" t="s">
        <v>2498</v>
      </c>
      <c r="G4756" s="46" t="s">
        <v>18</v>
      </c>
      <c r="H4756" s="46">
        <v>1</v>
      </c>
      <c r="I4756" s="51">
        <v>5367.65</v>
      </c>
      <c r="J4756" s="281">
        <f>++Tabla4[[#This Row],[Precio Bruto]]*1.16</f>
        <v>6226.4739999999993</v>
      </c>
      <c r="K4756" s="281">
        <f>+Tabla4[[#This Row],[Precio Unitario Neto]]*Tabla4[[#Headers],[20.85%]]</f>
        <v>1298.2198289999999</v>
      </c>
      <c r="L4756" s="282">
        <f>++Tabla4[[#This Row],[Precio Unitario Neto]]-Tabla4[[#This Row],[20.85%]]</f>
        <v>4928.2541709999996</v>
      </c>
      <c r="M4756" s="282" t="e">
        <f>(INDEX(Tabla6[#All],MATCH(Tabla4[[#This Row],[Producto]],Tabla6[[#All],[PRODUCTO]],0),MATCH(Tabla4[[#This Row],[Mes]],Tabla6[#Headers],0)))*(1+Catalogos!$L$2)</f>
        <v>#N/A</v>
      </c>
      <c r="N4756" s="283" t="e">
        <f>+(Tabla4[[#This Row],[Precio Descontado]]-Tabla4[[#This Row],[Precio Base]])*Tabla4[[#This Row],[Cantidad]]</f>
        <v>#N/A</v>
      </c>
      <c r="O4756" s="284" t="e">
        <f>++Tabla4[[#This Row],[Utilidad Total]]/Tabla4[[#This Row],[Total]]</f>
        <v>#N/A</v>
      </c>
      <c r="P4756" s="282">
        <f>++Tabla4[[#This Row],[Precio Descontado]]*Tabla4[[#This Row],[Cantidad]]</f>
        <v>4928.2541709999996</v>
      </c>
      <c r="Q4756" s="282" t="e">
        <f>(INDEX(Tabla6[#All],MATCH(Tabla4[[#This Row],[Producto]],Tabla6[[#All],[PRODUCTO]],0),MATCH(Tabla4[[#This Row],[Mes]],Tabla6[#Headers],0)))</f>
        <v>#N/A</v>
      </c>
      <c r="R4756" s="282" t="e">
        <f>++Tabla4[[#This Row],[Precio Unitario Neto]]-Tabla4[[#This Row],[20.85%]]-Tabla4[[#This Row],[Costo]]</f>
        <v>#N/A</v>
      </c>
      <c r="S4756" s="282" t="e">
        <f>++Tabla4[[#This Row],[U. Bruta Uni]]*Tabla4[[#This Row],[Cantidad]]</f>
        <v>#N/A</v>
      </c>
      <c r="T4756" s="369" t="str">
        <f>VLOOKUP(Tabla4[[#This Row],[Producto]],Tabla6[#All],14,FALSE)</f>
        <v>Termico Solar</v>
      </c>
      <c r="U4756" s="284" t="e">
        <f>(IF(Tabla4[[#This Row],[Familia]]="termico solar",Tabla4[[#This Row],[Utilidad Total]]*6%,Tabla4[[#This Row],[Utilidad Total]]*11.5%))/Tabla4[[#This Row],[Total]]</f>
        <v>#N/A</v>
      </c>
      <c r="V4756" s="282" t="e">
        <f>+Tabla4[[#This Row],[Comisión Calculada]]*Tabla4[[#This Row],[Total]]</f>
        <v>#N/A</v>
      </c>
    </row>
    <row r="4757" spans="1:22" hidden="1" x14ac:dyDescent="0.25">
      <c r="A4757" s="100">
        <v>45853</v>
      </c>
      <c r="B4757" t="str">
        <f t="shared" si="237"/>
        <v>July</v>
      </c>
      <c r="C4757" s="46" t="s">
        <v>280</v>
      </c>
      <c r="F4757" s="366" t="s">
        <v>2498</v>
      </c>
      <c r="G4757" s="46" t="s">
        <v>19</v>
      </c>
      <c r="H4757" s="46">
        <v>1</v>
      </c>
      <c r="I4757" s="51">
        <v>6412.03</v>
      </c>
      <c r="J4757" s="281">
        <f>++Tabla4[[#This Row],[Precio Bruto]]*1.16</f>
        <v>7437.9547999999995</v>
      </c>
      <c r="K4757" s="281">
        <f>+Tabla4[[#This Row],[Precio Unitario Neto]]*Tabla4[[#Headers],[20.85%]]</f>
        <v>1550.8135757999999</v>
      </c>
      <c r="L4757" s="282">
        <f>++Tabla4[[#This Row],[Precio Unitario Neto]]-Tabla4[[#This Row],[20.85%]]</f>
        <v>5887.1412241999997</v>
      </c>
      <c r="M4757" s="282" t="e">
        <f>(INDEX(Tabla6[#All],MATCH(Tabla4[[#This Row],[Producto]],Tabla6[[#All],[PRODUCTO]],0),MATCH(Tabla4[[#This Row],[Mes]],Tabla6[#Headers],0)))*(1+Catalogos!$L$2)</f>
        <v>#N/A</v>
      </c>
      <c r="N4757" s="283" t="e">
        <f>+(Tabla4[[#This Row],[Precio Descontado]]-Tabla4[[#This Row],[Precio Base]])*Tabla4[[#This Row],[Cantidad]]</f>
        <v>#N/A</v>
      </c>
      <c r="O4757" s="284" t="e">
        <f>++Tabla4[[#This Row],[Utilidad Total]]/Tabla4[[#This Row],[Total]]</f>
        <v>#N/A</v>
      </c>
      <c r="P4757" s="282">
        <f>++Tabla4[[#This Row],[Precio Descontado]]*Tabla4[[#This Row],[Cantidad]]</f>
        <v>5887.1412241999997</v>
      </c>
      <c r="Q4757" s="282" t="e">
        <f>(INDEX(Tabla6[#All],MATCH(Tabla4[[#This Row],[Producto]],Tabla6[[#All],[PRODUCTO]],0),MATCH(Tabla4[[#This Row],[Mes]],Tabla6[#Headers],0)))</f>
        <v>#N/A</v>
      </c>
      <c r="R4757" s="282" t="e">
        <f>++Tabla4[[#This Row],[Precio Unitario Neto]]-Tabla4[[#This Row],[20.85%]]-Tabla4[[#This Row],[Costo]]</f>
        <v>#N/A</v>
      </c>
      <c r="S4757" s="282" t="e">
        <f>++Tabla4[[#This Row],[U. Bruta Uni]]*Tabla4[[#This Row],[Cantidad]]</f>
        <v>#N/A</v>
      </c>
      <c r="T4757" s="369" t="str">
        <f>VLOOKUP(Tabla4[[#This Row],[Producto]],Tabla6[#All],14,FALSE)</f>
        <v>Termico Solar</v>
      </c>
      <c r="U4757" s="284" t="e">
        <f>(IF(Tabla4[[#This Row],[Familia]]="termico solar",Tabla4[[#This Row],[Utilidad Total]]*6%,Tabla4[[#This Row],[Utilidad Total]]*11.5%))/Tabla4[[#This Row],[Total]]</f>
        <v>#N/A</v>
      </c>
      <c r="V4757" s="282" t="e">
        <f>+Tabla4[[#This Row],[Comisión Calculada]]*Tabla4[[#This Row],[Total]]</f>
        <v>#N/A</v>
      </c>
    </row>
    <row r="4758" spans="1:22" hidden="1" x14ac:dyDescent="0.25">
      <c r="A4758" s="100">
        <v>45853</v>
      </c>
      <c r="B4758" t="str">
        <f t="shared" si="237"/>
        <v>July</v>
      </c>
      <c r="C4758" s="46" t="s">
        <v>280</v>
      </c>
      <c r="F4758" s="366" t="s">
        <v>2499</v>
      </c>
      <c r="G4758" s="46" t="s">
        <v>83</v>
      </c>
      <c r="H4758" s="46">
        <v>3</v>
      </c>
      <c r="I4758" s="51">
        <v>8858.76</v>
      </c>
      <c r="J4758" s="281">
        <f>++Tabla4[[#This Row],[Precio Bruto]]*1.16</f>
        <v>10276.161599999999</v>
      </c>
      <c r="K4758" s="281">
        <f>+Tabla4[[#This Row],[Precio Unitario Neto]]*Tabla4[[#Headers],[20.85%]]</f>
        <v>2142.5796935999997</v>
      </c>
      <c r="L4758" s="282">
        <f>++Tabla4[[#This Row],[Precio Unitario Neto]]-Tabla4[[#This Row],[20.85%]]</f>
        <v>8133.5819063999998</v>
      </c>
      <c r="M4758" s="282" t="e">
        <f>(INDEX(Tabla6[#All],MATCH(Tabla4[[#This Row],[Producto]],Tabla6[[#All],[PRODUCTO]],0),MATCH(Tabla4[[#This Row],[Mes]],Tabla6[#Headers],0)))*(1+Catalogos!$L$2)</f>
        <v>#N/A</v>
      </c>
      <c r="N4758" s="283" t="e">
        <f>+(Tabla4[[#This Row],[Precio Descontado]]-Tabla4[[#This Row],[Precio Base]])*Tabla4[[#This Row],[Cantidad]]</f>
        <v>#N/A</v>
      </c>
      <c r="O4758" s="284" t="e">
        <f>++Tabla4[[#This Row],[Utilidad Total]]/Tabla4[[#This Row],[Total]]</f>
        <v>#N/A</v>
      </c>
      <c r="P4758" s="282">
        <f>++Tabla4[[#This Row],[Precio Descontado]]*Tabla4[[#This Row],[Cantidad]]</f>
        <v>24400.7457192</v>
      </c>
      <c r="Q4758" s="282" t="e">
        <f>(INDEX(Tabla6[#All],MATCH(Tabla4[[#This Row],[Producto]],Tabla6[[#All],[PRODUCTO]],0),MATCH(Tabla4[[#This Row],[Mes]],Tabla6[#Headers],0)))</f>
        <v>#N/A</v>
      </c>
      <c r="R4758" s="282" t="e">
        <f>++Tabla4[[#This Row],[Precio Unitario Neto]]-Tabla4[[#This Row],[20.85%]]-Tabla4[[#This Row],[Costo]]</f>
        <v>#N/A</v>
      </c>
      <c r="S4758" s="282" t="e">
        <f>++Tabla4[[#This Row],[U. Bruta Uni]]*Tabla4[[#This Row],[Cantidad]]</f>
        <v>#N/A</v>
      </c>
      <c r="T4758" s="369" t="str">
        <f>VLOOKUP(Tabla4[[#This Row],[Producto]],Tabla6[#All],14,FALSE)</f>
        <v>Termico Solar</v>
      </c>
      <c r="U4758" s="284" t="e">
        <f>(IF(Tabla4[[#This Row],[Familia]]="termico solar",Tabla4[[#This Row],[Utilidad Total]]*6%,Tabla4[[#This Row],[Utilidad Total]]*11.5%))/Tabla4[[#This Row],[Total]]</f>
        <v>#N/A</v>
      </c>
      <c r="V4758" s="282" t="e">
        <f>+Tabla4[[#This Row],[Comisión Calculada]]*Tabla4[[#This Row],[Total]]</f>
        <v>#N/A</v>
      </c>
    </row>
    <row r="4759" spans="1:22" hidden="1" x14ac:dyDescent="0.25">
      <c r="A4759" s="100">
        <v>45853</v>
      </c>
      <c r="B4759" t="str">
        <f t="shared" si="237"/>
        <v>July</v>
      </c>
      <c r="C4759" s="46" t="s">
        <v>280</v>
      </c>
      <c r="F4759" s="366" t="s">
        <v>2499</v>
      </c>
      <c r="G4759" s="46" t="s">
        <v>17</v>
      </c>
      <c r="H4759" s="46">
        <v>3</v>
      </c>
      <c r="I4759" s="51">
        <v>4622.28</v>
      </c>
      <c r="J4759" s="281">
        <f>++Tabla4[[#This Row],[Precio Bruto]]*1.16</f>
        <v>5361.8447999999989</v>
      </c>
      <c r="K4759" s="281">
        <f>+Tabla4[[#This Row],[Precio Unitario Neto]]*Tabla4[[#Headers],[20.85%]]</f>
        <v>1117.9446407999997</v>
      </c>
      <c r="L4759" s="282">
        <f>++Tabla4[[#This Row],[Precio Unitario Neto]]-Tabla4[[#This Row],[20.85%]]</f>
        <v>4243.9001591999995</v>
      </c>
      <c r="M4759" s="282" t="e">
        <f>(INDEX(Tabla6[#All],MATCH(Tabla4[[#This Row],[Producto]],Tabla6[[#All],[PRODUCTO]],0),MATCH(Tabla4[[#This Row],[Mes]],Tabla6[#Headers],0)))*(1+Catalogos!$L$2)</f>
        <v>#N/A</v>
      </c>
      <c r="N4759" s="283" t="e">
        <f>+(Tabla4[[#This Row],[Precio Descontado]]-Tabla4[[#This Row],[Precio Base]])*Tabla4[[#This Row],[Cantidad]]</f>
        <v>#N/A</v>
      </c>
      <c r="O4759" s="284" t="e">
        <f>++Tabla4[[#This Row],[Utilidad Total]]/Tabla4[[#This Row],[Total]]</f>
        <v>#N/A</v>
      </c>
      <c r="P4759" s="282">
        <f>++Tabla4[[#This Row],[Precio Descontado]]*Tabla4[[#This Row],[Cantidad]]</f>
        <v>12731.700477599999</v>
      </c>
      <c r="Q4759" s="282" t="e">
        <f>(INDEX(Tabla6[#All],MATCH(Tabla4[[#This Row],[Producto]],Tabla6[[#All],[PRODUCTO]],0),MATCH(Tabla4[[#This Row],[Mes]],Tabla6[#Headers],0)))</f>
        <v>#N/A</v>
      </c>
      <c r="R4759" s="282" t="e">
        <f>++Tabla4[[#This Row],[Precio Unitario Neto]]-Tabla4[[#This Row],[20.85%]]-Tabla4[[#This Row],[Costo]]</f>
        <v>#N/A</v>
      </c>
      <c r="S4759" s="282" t="e">
        <f>++Tabla4[[#This Row],[U. Bruta Uni]]*Tabla4[[#This Row],[Cantidad]]</f>
        <v>#N/A</v>
      </c>
      <c r="T4759" s="369" t="str">
        <f>VLOOKUP(Tabla4[[#This Row],[Producto]],Tabla6[#All],14,FALSE)</f>
        <v>Termico Solar</v>
      </c>
      <c r="U4759" s="284" t="e">
        <f>(IF(Tabla4[[#This Row],[Familia]]="termico solar",Tabla4[[#This Row],[Utilidad Total]]*6%,Tabla4[[#This Row],[Utilidad Total]]*11.5%))/Tabla4[[#This Row],[Total]]</f>
        <v>#N/A</v>
      </c>
      <c r="V4759" s="282" t="e">
        <f>+Tabla4[[#This Row],[Comisión Calculada]]*Tabla4[[#This Row],[Total]]</f>
        <v>#N/A</v>
      </c>
    </row>
    <row r="4760" spans="1:22" hidden="1" x14ac:dyDescent="0.25">
      <c r="A4760" s="100">
        <v>45853</v>
      </c>
      <c r="B4760" t="str">
        <f t="shared" si="237"/>
        <v>July</v>
      </c>
      <c r="C4760" s="46" t="s">
        <v>280</v>
      </c>
      <c r="F4760" s="366" t="s">
        <v>2500</v>
      </c>
      <c r="G4760" s="46" t="s">
        <v>566</v>
      </c>
      <c r="H4760" s="46">
        <v>1</v>
      </c>
      <c r="I4760" s="51">
        <v>2109.4499999999998</v>
      </c>
      <c r="J4760" s="281">
        <f>++Tabla4[[#This Row],[Precio Bruto]]*1.16</f>
        <v>2446.9619999999995</v>
      </c>
      <c r="K4760" s="281">
        <f>+Tabla4[[#This Row],[Precio Unitario Neto]]*Tabla4[[#Headers],[20.85%]]</f>
        <v>510.19157699999988</v>
      </c>
      <c r="L4760" s="282">
        <f>++Tabla4[[#This Row],[Precio Unitario Neto]]-Tabla4[[#This Row],[20.85%]]</f>
        <v>1936.7704229999997</v>
      </c>
      <c r="M4760" s="282" t="e">
        <f>(INDEX(Tabla6[#All],MATCH(Tabla4[[#This Row],[Producto]],Tabla6[[#All],[PRODUCTO]],0),MATCH(Tabla4[[#This Row],[Mes]],Tabla6[#Headers],0)))*(1+Catalogos!$L$2)</f>
        <v>#N/A</v>
      </c>
      <c r="N4760" s="283" t="e">
        <f>+(Tabla4[[#This Row],[Precio Descontado]]-Tabla4[[#This Row],[Precio Base]])*Tabla4[[#This Row],[Cantidad]]</f>
        <v>#N/A</v>
      </c>
      <c r="O4760" s="284" t="e">
        <f>++Tabla4[[#This Row],[Utilidad Total]]/Tabla4[[#This Row],[Total]]</f>
        <v>#N/A</v>
      </c>
      <c r="P4760" s="282">
        <f>++Tabla4[[#This Row],[Precio Descontado]]*Tabla4[[#This Row],[Cantidad]]</f>
        <v>1936.7704229999997</v>
      </c>
      <c r="Q4760" s="282" t="e">
        <f>(INDEX(Tabla6[#All],MATCH(Tabla4[[#This Row],[Producto]],Tabla6[[#All],[PRODUCTO]],0),MATCH(Tabla4[[#This Row],[Mes]],Tabla6[#Headers],0)))</f>
        <v>#N/A</v>
      </c>
      <c r="R4760" s="282" t="e">
        <f>++Tabla4[[#This Row],[Precio Unitario Neto]]-Tabla4[[#This Row],[20.85%]]-Tabla4[[#This Row],[Costo]]</f>
        <v>#N/A</v>
      </c>
      <c r="S4760" s="282" t="e">
        <f>++Tabla4[[#This Row],[U. Bruta Uni]]*Tabla4[[#This Row],[Cantidad]]</f>
        <v>#N/A</v>
      </c>
      <c r="T4760" s="369" t="str">
        <f>VLOOKUP(Tabla4[[#This Row],[Producto]],Tabla6[#All],14,FALSE)</f>
        <v>Termico Solar</v>
      </c>
      <c r="U4760" s="284" t="e">
        <f>(IF(Tabla4[[#This Row],[Familia]]="termico solar",Tabla4[[#This Row],[Utilidad Total]]*6%,Tabla4[[#This Row],[Utilidad Total]]*11.5%))/Tabla4[[#This Row],[Total]]</f>
        <v>#N/A</v>
      </c>
      <c r="V4760" s="282" t="e">
        <f>+Tabla4[[#This Row],[Comisión Calculada]]*Tabla4[[#This Row],[Total]]</f>
        <v>#N/A</v>
      </c>
    </row>
    <row r="4761" spans="1:22" hidden="1" x14ac:dyDescent="0.25">
      <c r="A4761" s="100">
        <v>45853</v>
      </c>
      <c r="B4761" t="str">
        <f t="shared" si="237"/>
        <v>July</v>
      </c>
      <c r="C4761" s="46" t="s">
        <v>280</v>
      </c>
      <c r="F4761" s="366" t="s">
        <v>2500</v>
      </c>
      <c r="G4761" s="46" t="s">
        <v>16</v>
      </c>
      <c r="H4761" s="46">
        <v>1</v>
      </c>
      <c r="I4761" s="51">
        <v>4103.8500000000004</v>
      </c>
      <c r="J4761" s="281">
        <f>++Tabla4[[#This Row],[Precio Bruto]]*1.16</f>
        <v>4760.4660000000003</v>
      </c>
      <c r="K4761" s="281">
        <f>+Tabla4[[#This Row],[Precio Unitario Neto]]*Tabla4[[#Headers],[20.85%]]</f>
        <v>992.55716100000006</v>
      </c>
      <c r="L4761" s="282">
        <f>++Tabla4[[#This Row],[Precio Unitario Neto]]-Tabla4[[#This Row],[20.85%]]</f>
        <v>3767.9088390000002</v>
      </c>
      <c r="M4761" s="282" t="e">
        <f>(INDEX(Tabla6[#All],MATCH(Tabla4[[#This Row],[Producto]],Tabla6[[#All],[PRODUCTO]],0),MATCH(Tabla4[[#This Row],[Mes]],Tabla6[#Headers],0)))*(1+Catalogos!$L$2)</f>
        <v>#N/A</v>
      </c>
      <c r="N4761" s="283" t="e">
        <f>+(Tabla4[[#This Row],[Precio Descontado]]-Tabla4[[#This Row],[Precio Base]])*Tabla4[[#This Row],[Cantidad]]</f>
        <v>#N/A</v>
      </c>
      <c r="O4761" s="284" t="e">
        <f>++Tabla4[[#This Row],[Utilidad Total]]/Tabla4[[#This Row],[Total]]</f>
        <v>#N/A</v>
      </c>
      <c r="P4761" s="282">
        <f>++Tabla4[[#This Row],[Precio Descontado]]*Tabla4[[#This Row],[Cantidad]]</f>
        <v>3767.9088390000002</v>
      </c>
      <c r="Q4761" s="282" t="e">
        <f>(INDEX(Tabla6[#All],MATCH(Tabla4[[#This Row],[Producto]],Tabla6[[#All],[PRODUCTO]],0),MATCH(Tabla4[[#This Row],[Mes]],Tabla6[#Headers],0)))</f>
        <v>#N/A</v>
      </c>
      <c r="R4761" s="282" t="e">
        <f>++Tabla4[[#This Row],[Precio Unitario Neto]]-Tabla4[[#This Row],[20.85%]]-Tabla4[[#This Row],[Costo]]</f>
        <v>#N/A</v>
      </c>
      <c r="S4761" s="282" t="e">
        <f>++Tabla4[[#This Row],[U. Bruta Uni]]*Tabla4[[#This Row],[Cantidad]]</f>
        <v>#N/A</v>
      </c>
      <c r="T4761" s="369" t="str">
        <f>VLOOKUP(Tabla4[[#This Row],[Producto]],Tabla6[#All],14,FALSE)</f>
        <v>Termico Solar</v>
      </c>
      <c r="U4761" s="284" t="e">
        <f>(IF(Tabla4[[#This Row],[Familia]]="termico solar",Tabla4[[#This Row],[Utilidad Total]]*6%,Tabla4[[#This Row],[Utilidad Total]]*11.5%))/Tabla4[[#This Row],[Total]]</f>
        <v>#N/A</v>
      </c>
      <c r="V4761" s="282" t="e">
        <f>+Tabla4[[#This Row],[Comisión Calculada]]*Tabla4[[#This Row],[Total]]</f>
        <v>#N/A</v>
      </c>
    </row>
    <row r="4762" spans="1:22" hidden="1" x14ac:dyDescent="0.25">
      <c r="A4762" s="100">
        <v>45853</v>
      </c>
      <c r="B4762" t="str">
        <f t="shared" si="237"/>
        <v>July</v>
      </c>
      <c r="C4762" s="46" t="s">
        <v>280</v>
      </c>
      <c r="F4762" s="366" t="s">
        <v>2501</v>
      </c>
      <c r="G4762" s="46" t="s">
        <v>566</v>
      </c>
      <c r="H4762" s="46">
        <v>1</v>
      </c>
      <c r="I4762" s="51">
        <v>2109.4499999999998</v>
      </c>
      <c r="J4762" s="281">
        <f>++Tabla4[[#This Row],[Precio Bruto]]*1.16</f>
        <v>2446.9619999999995</v>
      </c>
      <c r="K4762" s="281">
        <f>+Tabla4[[#This Row],[Precio Unitario Neto]]*Tabla4[[#Headers],[20.85%]]</f>
        <v>510.19157699999988</v>
      </c>
      <c r="L4762" s="282">
        <f>++Tabla4[[#This Row],[Precio Unitario Neto]]-Tabla4[[#This Row],[20.85%]]</f>
        <v>1936.7704229999997</v>
      </c>
      <c r="M4762" s="282" t="e">
        <f>(INDEX(Tabla6[#All],MATCH(Tabla4[[#This Row],[Producto]],Tabla6[[#All],[PRODUCTO]],0),MATCH(Tabla4[[#This Row],[Mes]],Tabla6[#Headers],0)))*(1+Catalogos!$L$2)</f>
        <v>#N/A</v>
      </c>
      <c r="N4762" s="283" t="e">
        <f>+(Tabla4[[#This Row],[Precio Descontado]]-Tabla4[[#This Row],[Precio Base]])*Tabla4[[#This Row],[Cantidad]]</f>
        <v>#N/A</v>
      </c>
      <c r="O4762" s="284" t="e">
        <f>++Tabla4[[#This Row],[Utilidad Total]]/Tabla4[[#This Row],[Total]]</f>
        <v>#N/A</v>
      </c>
      <c r="P4762" s="282">
        <f>++Tabla4[[#This Row],[Precio Descontado]]*Tabla4[[#This Row],[Cantidad]]</f>
        <v>1936.7704229999997</v>
      </c>
      <c r="Q4762" s="282" t="e">
        <f>(INDEX(Tabla6[#All],MATCH(Tabla4[[#This Row],[Producto]],Tabla6[[#All],[PRODUCTO]],0),MATCH(Tabla4[[#This Row],[Mes]],Tabla6[#Headers],0)))</f>
        <v>#N/A</v>
      </c>
      <c r="R4762" s="282" t="e">
        <f>++Tabla4[[#This Row],[Precio Unitario Neto]]-Tabla4[[#This Row],[20.85%]]-Tabla4[[#This Row],[Costo]]</f>
        <v>#N/A</v>
      </c>
      <c r="S4762" s="282" t="e">
        <f>++Tabla4[[#This Row],[U. Bruta Uni]]*Tabla4[[#This Row],[Cantidad]]</f>
        <v>#N/A</v>
      </c>
      <c r="T4762" s="369" t="str">
        <f>VLOOKUP(Tabla4[[#This Row],[Producto]],Tabla6[#All],14,FALSE)</f>
        <v>Termico Solar</v>
      </c>
      <c r="U4762" s="284" t="e">
        <f>(IF(Tabla4[[#This Row],[Familia]]="termico solar",Tabla4[[#This Row],[Utilidad Total]]*6%,Tabla4[[#This Row],[Utilidad Total]]*11.5%))/Tabla4[[#This Row],[Total]]</f>
        <v>#N/A</v>
      </c>
      <c r="V4762" s="282" t="e">
        <f>+Tabla4[[#This Row],[Comisión Calculada]]*Tabla4[[#This Row],[Total]]</f>
        <v>#N/A</v>
      </c>
    </row>
    <row r="4763" spans="1:22" hidden="1" x14ac:dyDescent="0.25">
      <c r="A4763" s="100">
        <v>45853</v>
      </c>
      <c r="B4763" t="str">
        <f t="shared" si="237"/>
        <v>July</v>
      </c>
      <c r="C4763" s="46" t="s">
        <v>280</v>
      </c>
      <c r="F4763" s="366" t="s">
        <v>2501</v>
      </c>
      <c r="G4763" s="46" t="s">
        <v>412</v>
      </c>
      <c r="H4763" s="46">
        <v>1</v>
      </c>
      <c r="I4763" s="51">
        <v>3240.84</v>
      </c>
      <c r="J4763" s="281">
        <f>++Tabla4[[#This Row],[Precio Bruto]]*1.16</f>
        <v>3759.3743999999997</v>
      </c>
      <c r="K4763" s="281">
        <f>+Tabla4[[#This Row],[Precio Unitario Neto]]*Tabla4[[#Headers],[20.85%]]</f>
        <v>783.82956239999987</v>
      </c>
      <c r="L4763" s="282">
        <f>++Tabla4[[#This Row],[Precio Unitario Neto]]-Tabla4[[#This Row],[20.85%]]</f>
        <v>2975.5448375999999</v>
      </c>
      <c r="M4763" s="282" t="e">
        <f>(INDEX(Tabla6[#All],MATCH(Tabla4[[#This Row],[Producto]],Tabla6[[#All],[PRODUCTO]],0),MATCH(Tabla4[[#This Row],[Mes]],Tabla6[#Headers],0)))*(1+Catalogos!$L$2)</f>
        <v>#N/A</v>
      </c>
      <c r="N4763" s="283" t="e">
        <f>+(Tabla4[[#This Row],[Precio Descontado]]-Tabla4[[#This Row],[Precio Base]])*Tabla4[[#This Row],[Cantidad]]</f>
        <v>#N/A</v>
      </c>
      <c r="O4763" s="284" t="e">
        <f>++Tabla4[[#This Row],[Utilidad Total]]/Tabla4[[#This Row],[Total]]</f>
        <v>#N/A</v>
      </c>
      <c r="P4763" s="282">
        <f>++Tabla4[[#This Row],[Precio Descontado]]*Tabla4[[#This Row],[Cantidad]]</f>
        <v>2975.5448375999999</v>
      </c>
      <c r="Q4763" s="282" t="e">
        <f>(INDEX(Tabla6[#All],MATCH(Tabla4[[#This Row],[Producto]],Tabla6[[#All],[PRODUCTO]],0),MATCH(Tabla4[[#This Row],[Mes]],Tabla6[#Headers],0)))</f>
        <v>#N/A</v>
      </c>
      <c r="R4763" s="282" t="e">
        <f>++Tabla4[[#This Row],[Precio Unitario Neto]]-Tabla4[[#This Row],[20.85%]]-Tabla4[[#This Row],[Costo]]</f>
        <v>#N/A</v>
      </c>
      <c r="S4763" s="282" t="e">
        <f>++Tabla4[[#This Row],[U. Bruta Uni]]*Tabla4[[#This Row],[Cantidad]]</f>
        <v>#N/A</v>
      </c>
      <c r="T4763" s="369" t="str">
        <f>VLOOKUP(Tabla4[[#This Row],[Producto]],Tabla6[#All],14,FALSE)</f>
        <v>Termico Solar</v>
      </c>
      <c r="U4763" s="284" t="e">
        <f>(IF(Tabla4[[#This Row],[Familia]]="termico solar",Tabla4[[#This Row],[Utilidad Total]]*6%,Tabla4[[#This Row],[Utilidad Total]]*11.5%))/Tabla4[[#This Row],[Total]]</f>
        <v>#N/A</v>
      </c>
      <c r="V4763" s="282" t="e">
        <f>+Tabla4[[#This Row],[Comisión Calculada]]*Tabla4[[#This Row],[Total]]</f>
        <v>#N/A</v>
      </c>
    </row>
    <row r="4764" spans="1:22" hidden="1" x14ac:dyDescent="0.25">
      <c r="A4764" s="100">
        <v>45853</v>
      </c>
      <c r="B4764" t="str">
        <f t="shared" si="237"/>
        <v>July</v>
      </c>
      <c r="C4764" s="46" t="s">
        <v>280</v>
      </c>
      <c r="F4764" s="366" t="s">
        <v>2501</v>
      </c>
      <c r="G4764" s="46" t="s">
        <v>16</v>
      </c>
      <c r="H4764" s="46">
        <v>1</v>
      </c>
      <c r="I4764" s="51">
        <v>4103.8500000000004</v>
      </c>
      <c r="J4764" s="281">
        <f>++Tabla4[[#This Row],[Precio Bruto]]*1.16</f>
        <v>4760.4660000000003</v>
      </c>
      <c r="K4764" s="281">
        <f>+Tabla4[[#This Row],[Precio Unitario Neto]]*Tabla4[[#Headers],[20.85%]]</f>
        <v>992.55716100000006</v>
      </c>
      <c r="L4764" s="282">
        <f>++Tabla4[[#This Row],[Precio Unitario Neto]]-Tabla4[[#This Row],[20.85%]]</f>
        <v>3767.9088390000002</v>
      </c>
      <c r="M4764" s="282" t="e">
        <f>(INDEX(Tabla6[#All],MATCH(Tabla4[[#This Row],[Producto]],Tabla6[[#All],[PRODUCTO]],0),MATCH(Tabla4[[#This Row],[Mes]],Tabla6[#Headers],0)))*(1+Catalogos!$L$2)</f>
        <v>#N/A</v>
      </c>
      <c r="N4764" s="283" t="e">
        <f>+(Tabla4[[#This Row],[Precio Descontado]]-Tabla4[[#This Row],[Precio Base]])*Tabla4[[#This Row],[Cantidad]]</f>
        <v>#N/A</v>
      </c>
      <c r="O4764" s="284" t="e">
        <f>++Tabla4[[#This Row],[Utilidad Total]]/Tabla4[[#This Row],[Total]]</f>
        <v>#N/A</v>
      </c>
      <c r="P4764" s="282">
        <f>++Tabla4[[#This Row],[Precio Descontado]]*Tabla4[[#This Row],[Cantidad]]</f>
        <v>3767.9088390000002</v>
      </c>
      <c r="Q4764" s="282" t="e">
        <f>(INDEX(Tabla6[#All],MATCH(Tabla4[[#This Row],[Producto]],Tabla6[[#All],[PRODUCTO]],0),MATCH(Tabla4[[#This Row],[Mes]],Tabla6[#Headers],0)))</f>
        <v>#N/A</v>
      </c>
      <c r="R4764" s="282" t="e">
        <f>++Tabla4[[#This Row],[Precio Unitario Neto]]-Tabla4[[#This Row],[20.85%]]-Tabla4[[#This Row],[Costo]]</f>
        <v>#N/A</v>
      </c>
      <c r="S4764" s="282" t="e">
        <f>++Tabla4[[#This Row],[U. Bruta Uni]]*Tabla4[[#This Row],[Cantidad]]</f>
        <v>#N/A</v>
      </c>
      <c r="T4764" s="369" t="str">
        <f>VLOOKUP(Tabla4[[#This Row],[Producto]],Tabla6[#All],14,FALSE)</f>
        <v>Termico Solar</v>
      </c>
      <c r="U4764" s="284" t="e">
        <f>(IF(Tabla4[[#This Row],[Familia]]="termico solar",Tabla4[[#This Row],[Utilidad Total]]*6%,Tabla4[[#This Row],[Utilidad Total]]*11.5%))/Tabla4[[#This Row],[Total]]</f>
        <v>#N/A</v>
      </c>
      <c r="V4764" s="282" t="e">
        <f>+Tabla4[[#This Row],[Comisión Calculada]]*Tabla4[[#This Row],[Total]]</f>
        <v>#N/A</v>
      </c>
    </row>
    <row r="4765" spans="1:22" hidden="1" x14ac:dyDescent="0.25">
      <c r="A4765" s="100">
        <v>45853</v>
      </c>
      <c r="B4765" t="str">
        <f t="shared" si="237"/>
        <v>July</v>
      </c>
      <c r="C4765" s="46" t="s">
        <v>280</v>
      </c>
      <c r="F4765" s="366" t="s">
        <v>2502</v>
      </c>
      <c r="G4765" s="46" t="s">
        <v>83</v>
      </c>
      <c r="H4765" s="46">
        <v>2</v>
      </c>
      <c r="I4765" s="51">
        <v>8858.76</v>
      </c>
      <c r="J4765" s="281">
        <f>++Tabla4[[#This Row],[Precio Bruto]]*1.16</f>
        <v>10276.161599999999</v>
      </c>
      <c r="K4765" s="281">
        <f>+Tabla4[[#This Row],[Precio Unitario Neto]]*Tabla4[[#Headers],[20.85%]]</f>
        <v>2142.5796935999997</v>
      </c>
      <c r="L4765" s="282">
        <f>++Tabla4[[#This Row],[Precio Unitario Neto]]-Tabla4[[#This Row],[20.85%]]</f>
        <v>8133.5819063999998</v>
      </c>
      <c r="M4765" s="282" t="e">
        <f>(INDEX(Tabla6[#All],MATCH(Tabla4[[#This Row],[Producto]],Tabla6[[#All],[PRODUCTO]],0),MATCH(Tabla4[[#This Row],[Mes]],Tabla6[#Headers],0)))*(1+Catalogos!$L$2)</f>
        <v>#N/A</v>
      </c>
      <c r="N4765" s="283" t="e">
        <f>+(Tabla4[[#This Row],[Precio Descontado]]-Tabla4[[#This Row],[Precio Base]])*Tabla4[[#This Row],[Cantidad]]</f>
        <v>#N/A</v>
      </c>
      <c r="O4765" s="284" t="e">
        <f>++Tabla4[[#This Row],[Utilidad Total]]/Tabla4[[#This Row],[Total]]</f>
        <v>#N/A</v>
      </c>
      <c r="P4765" s="282">
        <f>++Tabla4[[#This Row],[Precio Descontado]]*Tabla4[[#This Row],[Cantidad]]</f>
        <v>16267.1638128</v>
      </c>
      <c r="Q4765" s="282" t="e">
        <f>(INDEX(Tabla6[#All],MATCH(Tabla4[[#This Row],[Producto]],Tabla6[[#All],[PRODUCTO]],0),MATCH(Tabla4[[#This Row],[Mes]],Tabla6[#Headers],0)))</f>
        <v>#N/A</v>
      </c>
      <c r="R4765" s="282" t="e">
        <f>++Tabla4[[#This Row],[Precio Unitario Neto]]-Tabla4[[#This Row],[20.85%]]-Tabla4[[#This Row],[Costo]]</f>
        <v>#N/A</v>
      </c>
      <c r="S4765" s="282" t="e">
        <f>++Tabla4[[#This Row],[U. Bruta Uni]]*Tabla4[[#This Row],[Cantidad]]</f>
        <v>#N/A</v>
      </c>
      <c r="T4765" s="369" t="str">
        <f>VLOOKUP(Tabla4[[#This Row],[Producto]],Tabla6[#All],14,FALSE)</f>
        <v>Termico Solar</v>
      </c>
      <c r="U4765" s="284" t="e">
        <f>(IF(Tabla4[[#This Row],[Familia]]="termico solar",Tabla4[[#This Row],[Utilidad Total]]*6%,Tabla4[[#This Row],[Utilidad Total]]*11.5%))/Tabla4[[#This Row],[Total]]</f>
        <v>#N/A</v>
      </c>
      <c r="V4765" s="282" t="e">
        <f>+Tabla4[[#This Row],[Comisión Calculada]]*Tabla4[[#This Row],[Total]]</f>
        <v>#N/A</v>
      </c>
    </row>
    <row r="4766" spans="1:22" hidden="1" x14ac:dyDescent="0.25">
      <c r="A4766" s="100">
        <v>45853</v>
      </c>
      <c r="B4766" t="str">
        <f t="shared" si="237"/>
        <v>July</v>
      </c>
      <c r="C4766" s="46" t="s">
        <v>280</v>
      </c>
      <c r="F4766" s="366" t="s">
        <v>2502</v>
      </c>
      <c r="G4766" s="46" t="s">
        <v>19</v>
      </c>
      <c r="H4766" s="46">
        <v>2</v>
      </c>
      <c r="I4766" s="51">
        <v>6412.03</v>
      </c>
      <c r="J4766" s="281">
        <f>++Tabla4[[#This Row],[Precio Bruto]]*1.16</f>
        <v>7437.9547999999995</v>
      </c>
      <c r="K4766" s="281">
        <f>+Tabla4[[#This Row],[Precio Unitario Neto]]*Tabla4[[#Headers],[20.85%]]</f>
        <v>1550.8135757999999</v>
      </c>
      <c r="L4766" s="282">
        <f>++Tabla4[[#This Row],[Precio Unitario Neto]]-Tabla4[[#This Row],[20.85%]]</f>
        <v>5887.1412241999997</v>
      </c>
      <c r="M4766" s="282" t="e">
        <f>(INDEX(Tabla6[#All],MATCH(Tabla4[[#This Row],[Producto]],Tabla6[[#All],[PRODUCTO]],0),MATCH(Tabla4[[#This Row],[Mes]],Tabla6[#Headers],0)))*(1+Catalogos!$L$2)</f>
        <v>#N/A</v>
      </c>
      <c r="N4766" s="283" t="e">
        <f>+(Tabla4[[#This Row],[Precio Descontado]]-Tabla4[[#This Row],[Precio Base]])*Tabla4[[#This Row],[Cantidad]]</f>
        <v>#N/A</v>
      </c>
      <c r="O4766" s="284" t="e">
        <f>++Tabla4[[#This Row],[Utilidad Total]]/Tabla4[[#This Row],[Total]]</f>
        <v>#N/A</v>
      </c>
      <c r="P4766" s="282">
        <f>++Tabla4[[#This Row],[Precio Descontado]]*Tabla4[[#This Row],[Cantidad]]</f>
        <v>11774.282448399999</v>
      </c>
      <c r="Q4766" s="282" t="e">
        <f>(INDEX(Tabla6[#All],MATCH(Tabla4[[#This Row],[Producto]],Tabla6[[#All],[PRODUCTO]],0),MATCH(Tabla4[[#This Row],[Mes]],Tabla6[#Headers],0)))</f>
        <v>#N/A</v>
      </c>
      <c r="R4766" s="282" t="e">
        <f>++Tabla4[[#This Row],[Precio Unitario Neto]]-Tabla4[[#This Row],[20.85%]]-Tabla4[[#This Row],[Costo]]</f>
        <v>#N/A</v>
      </c>
      <c r="S4766" s="282" t="e">
        <f>++Tabla4[[#This Row],[U. Bruta Uni]]*Tabla4[[#This Row],[Cantidad]]</f>
        <v>#N/A</v>
      </c>
      <c r="T4766" s="369" t="str">
        <f>VLOOKUP(Tabla4[[#This Row],[Producto]],Tabla6[#All],14,FALSE)</f>
        <v>Termico Solar</v>
      </c>
      <c r="U4766" s="284" t="e">
        <f>(IF(Tabla4[[#This Row],[Familia]]="termico solar",Tabla4[[#This Row],[Utilidad Total]]*6%,Tabla4[[#This Row],[Utilidad Total]]*11.5%))/Tabla4[[#This Row],[Total]]</f>
        <v>#N/A</v>
      </c>
      <c r="V4766" s="282" t="e">
        <f>+Tabla4[[#This Row],[Comisión Calculada]]*Tabla4[[#This Row],[Total]]</f>
        <v>#N/A</v>
      </c>
    </row>
    <row r="4767" spans="1:22" hidden="1" x14ac:dyDescent="0.25">
      <c r="A4767" s="100">
        <v>45853</v>
      </c>
      <c r="B4767" t="str">
        <f t="shared" si="237"/>
        <v>July</v>
      </c>
      <c r="C4767" s="46" t="s">
        <v>280</v>
      </c>
      <c r="F4767" s="366" t="s">
        <v>2502</v>
      </c>
      <c r="G4767" s="46" t="s">
        <v>16</v>
      </c>
      <c r="H4767" s="46">
        <v>2</v>
      </c>
      <c r="I4767" s="51">
        <v>4103.8500000000004</v>
      </c>
      <c r="J4767" s="281">
        <f>++Tabla4[[#This Row],[Precio Bruto]]*1.16</f>
        <v>4760.4660000000003</v>
      </c>
      <c r="K4767" s="281">
        <f>+Tabla4[[#This Row],[Precio Unitario Neto]]*Tabla4[[#Headers],[20.85%]]</f>
        <v>992.55716100000006</v>
      </c>
      <c r="L4767" s="282">
        <f>++Tabla4[[#This Row],[Precio Unitario Neto]]-Tabla4[[#This Row],[20.85%]]</f>
        <v>3767.9088390000002</v>
      </c>
      <c r="M4767" s="282" t="e">
        <f>(INDEX(Tabla6[#All],MATCH(Tabla4[[#This Row],[Producto]],Tabla6[[#All],[PRODUCTO]],0),MATCH(Tabla4[[#This Row],[Mes]],Tabla6[#Headers],0)))*(1+Catalogos!$L$2)</f>
        <v>#N/A</v>
      </c>
      <c r="N4767" s="283" t="e">
        <f>+(Tabla4[[#This Row],[Precio Descontado]]-Tabla4[[#This Row],[Precio Base]])*Tabla4[[#This Row],[Cantidad]]</f>
        <v>#N/A</v>
      </c>
      <c r="O4767" s="284" t="e">
        <f>++Tabla4[[#This Row],[Utilidad Total]]/Tabla4[[#This Row],[Total]]</f>
        <v>#N/A</v>
      </c>
      <c r="P4767" s="282">
        <f>++Tabla4[[#This Row],[Precio Descontado]]*Tabla4[[#This Row],[Cantidad]]</f>
        <v>7535.8176780000003</v>
      </c>
      <c r="Q4767" s="282" t="e">
        <f>(INDEX(Tabla6[#All],MATCH(Tabla4[[#This Row],[Producto]],Tabla6[[#All],[PRODUCTO]],0),MATCH(Tabla4[[#This Row],[Mes]],Tabla6[#Headers],0)))</f>
        <v>#N/A</v>
      </c>
      <c r="R4767" s="282" t="e">
        <f>++Tabla4[[#This Row],[Precio Unitario Neto]]-Tabla4[[#This Row],[20.85%]]-Tabla4[[#This Row],[Costo]]</f>
        <v>#N/A</v>
      </c>
      <c r="S4767" s="282" t="e">
        <f>++Tabla4[[#This Row],[U. Bruta Uni]]*Tabla4[[#This Row],[Cantidad]]</f>
        <v>#N/A</v>
      </c>
      <c r="T4767" s="369" t="str">
        <f>VLOOKUP(Tabla4[[#This Row],[Producto]],Tabla6[#All],14,FALSE)</f>
        <v>Termico Solar</v>
      </c>
      <c r="U4767" s="284" t="e">
        <f>(IF(Tabla4[[#This Row],[Familia]]="termico solar",Tabla4[[#This Row],[Utilidad Total]]*6%,Tabla4[[#This Row],[Utilidad Total]]*11.5%))/Tabla4[[#This Row],[Total]]</f>
        <v>#N/A</v>
      </c>
      <c r="V4767" s="282" t="e">
        <f>+Tabla4[[#This Row],[Comisión Calculada]]*Tabla4[[#This Row],[Total]]</f>
        <v>#N/A</v>
      </c>
    </row>
    <row r="4768" spans="1:22" hidden="1" x14ac:dyDescent="0.25">
      <c r="A4768" s="100">
        <v>45853</v>
      </c>
      <c r="B4768" t="str">
        <f t="shared" si="237"/>
        <v>July</v>
      </c>
      <c r="C4768" s="46" t="s">
        <v>280</v>
      </c>
      <c r="F4768" s="366" t="s">
        <v>2503</v>
      </c>
      <c r="G4768" s="46" t="s">
        <v>18</v>
      </c>
      <c r="H4768" s="46">
        <v>1</v>
      </c>
      <c r="I4768" s="51">
        <v>5367.65</v>
      </c>
      <c r="J4768" s="281">
        <f>++Tabla4[[#This Row],[Precio Bruto]]*1.16</f>
        <v>6226.4739999999993</v>
      </c>
      <c r="K4768" s="281">
        <f>+Tabla4[[#This Row],[Precio Unitario Neto]]*Tabla4[[#Headers],[20.85%]]</f>
        <v>1298.2198289999999</v>
      </c>
      <c r="L4768" s="282">
        <f>++Tabla4[[#This Row],[Precio Unitario Neto]]-Tabla4[[#This Row],[20.85%]]</f>
        <v>4928.2541709999996</v>
      </c>
      <c r="M4768" s="282" t="e">
        <f>(INDEX(Tabla6[#All],MATCH(Tabla4[[#This Row],[Producto]],Tabla6[[#All],[PRODUCTO]],0),MATCH(Tabla4[[#This Row],[Mes]],Tabla6[#Headers],0)))*(1+Catalogos!$L$2)</f>
        <v>#N/A</v>
      </c>
      <c r="N4768" s="283" t="e">
        <f>+(Tabla4[[#This Row],[Precio Descontado]]-Tabla4[[#This Row],[Precio Base]])*Tabla4[[#This Row],[Cantidad]]</f>
        <v>#N/A</v>
      </c>
      <c r="O4768" s="284" t="e">
        <f>++Tabla4[[#This Row],[Utilidad Total]]/Tabla4[[#This Row],[Total]]</f>
        <v>#N/A</v>
      </c>
      <c r="P4768" s="282">
        <f>++Tabla4[[#This Row],[Precio Descontado]]*Tabla4[[#This Row],[Cantidad]]</f>
        <v>4928.2541709999996</v>
      </c>
      <c r="Q4768" s="282" t="e">
        <f>(INDEX(Tabla6[#All],MATCH(Tabla4[[#This Row],[Producto]],Tabla6[[#All],[PRODUCTO]],0),MATCH(Tabla4[[#This Row],[Mes]],Tabla6[#Headers],0)))</f>
        <v>#N/A</v>
      </c>
      <c r="R4768" s="282" t="e">
        <f>++Tabla4[[#This Row],[Precio Unitario Neto]]-Tabla4[[#This Row],[20.85%]]-Tabla4[[#This Row],[Costo]]</f>
        <v>#N/A</v>
      </c>
      <c r="S4768" s="282" t="e">
        <f>++Tabla4[[#This Row],[U. Bruta Uni]]*Tabla4[[#This Row],[Cantidad]]</f>
        <v>#N/A</v>
      </c>
      <c r="T4768" s="369" t="str">
        <f>VLOOKUP(Tabla4[[#This Row],[Producto]],Tabla6[#All],14,FALSE)</f>
        <v>Termico Solar</v>
      </c>
      <c r="U4768" s="284" t="e">
        <f>(IF(Tabla4[[#This Row],[Familia]]="termico solar",Tabla4[[#This Row],[Utilidad Total]]*6%,Tabla4[[#This Row],[Utilidad Total]]*11.5%))/Tabla4[[#This Row],[Total]]</f>
        <v>#N/A</v>
      </c>
      <c r="V4768" s="282" t="e">
        <f>+Tabla4[[#This Row],[Comisión Calculada]]*Tabla4[[#This Row],[Total]]</f>
        <v>#N/A</v>
      </c>
    </row>
    <row r="4769" spans="1:22" hidden="1" x14ac:dyDescent="0.25">
      <c r="A4769" s="100">
        <v>45853</v>
      </c>
      <c r="B4769" t="str">
        <f t="shared" si="237"/>
        <v>July</v>
      </c>
      <c r="C4769" s="46" t="s">
        <v>280</v>
      </c>
      <c r="F4769" s="366" t="s">
        <v>2503</v>
      </c>
      <c r="G4769" s="46" t="s">
        <v>16</v>
      </c>
      <c r="H4769" s="46">
        <v>3</v>
      </c>
      <c r="I4769" s="51">
        <v>4103.8499999999995</v>
      </c>
      <c r="J4769" s="281">
        <f>++Tabla4[[#This Row],[Precio Bruto]]*1.16</f>
        <v>4760.4659999999994</v>
      </c>
      <c r="K4769" s="281">
        <f>+Tabla4[[#This Row],[Precio Unitario Neto]]*Tabla4[[#Headers],[20.85%]]</f>
        <v>992.55716099999984</v>
      </c>
      <c r="L4769" s="282">
        <f>++Tabla4[[#This Row],[Precio Unitario Neto]]-Tabla4[[#This Row],[20.85%]]</f>
        <v>3767.9088389999997</v>
      </c>
      <c r="M4769" s="282" t="e">
        <f>(INDEX(Tabla6[#All],MATCH(Tabla4[[#This Row],[Producto]],Tabla6[[#All],[PRODUCTO]],0),MATCH(Tabla4[[#This Row],[Mes]],Tabla6[#Headers],0)))*(1+Catalogos!$L$2)</f>
        <v>#N/A</v>
      </c>
      <c r="N4769" s="283" t="e">
        <f>+(Tabla4[[#This Row],[Precio Descontado]]-Tabla4[[#This Row],[Precio Base]])*Tabla4[[#This Row],[Cantidad]]</f>
        <v>#N/A</v>
      </c>
      <c r="O4769" s="284" t="e">
        <f>++Tabla4[[#This Row],[Utilidad Total]]/Tabla4[[#This Row],[Total]]</f>
        <v>#N/A</v>
      </c>
      <c r="P4769" s="282">
        <f>++Tabla4[[#This Row],[Precio Descontado]]*Tabla4[[#This Row],[Cantidad]]</f>
        <v>11303.726516999999</v>
      </c>
      <c r="Q4769" s="282" t="e">
        <f>(INDEX(Tabla6[#All],MATCH(Tabla4[[#This Row],[Producto]],Tabla6[[#All],[PRODUCTO]],0),MATCH(Tabla4[[#This Row],[Mes]],Tabla6[#Headers],0)))</f>
        <v>#N/A</v>
      </c>
      <c r="R4769" s="282" t="e">
        <f>++Tabla4[[#This Row],[Precio Unitario Neto]]-Tabla4[[#This Row],[20.85%]]-Tabla4[[#This Row],[Costo]]</f>
        <v>#N/A</v>
      </c>
      <c r="S4769" s="282" t="e">
        <f>++Tabla4[[#This Row],[U. Bruta Uni]]*Tabla4[[#This Row],[Cantidad]]</f>
        <v>#N/A</v>
      </c>
      <c r="T4769" s="369" t="str">
        <f>VLOOKUP(Tabla4[[#This Row],[Producto]],Tabla6[#All],14,FALSE)</f>
        <v>Termico Solar</v>
      </c>
      <c r="U4769" s="284" t="e">
        <f>(IF(Tabla4[[#This Row],[Familia]]="termico solar",Tabla4[[#This Row],[Utilidad Total]]*6%,Tabla4[[#This Row],[Utilidad Total]]*11.5%))/Tabla4[[#This Row],[Total]]</f>
        <v>#N/A</v>
      </c>
      <c r="V4769" s="282" t="e">
        <f>+Tabla4[[#This Row],[Comisión Calculada]]*Tabla4[[#This Row],[Total]]</f>
        <v>#N/A</v>
      </c>
    </row>
    <row r="4770" spans="1:22" hidden="1" x14ac:dyDescent="0.25">
      <c r="A4770" s="100">
        <v>45853</v>
      </c>
      <c r="B4770" t="str">
        <f t="shared" si="237"/>
        <v>July</v>
      </c>
      <c r="C4770" s="46" t="s">
        <v>280</v>
      </c>
      <c r="F4770" s="366" t="s">
        <v>2504</v>
      </c>
      <c r="G4770" s="46" t="s">
        <v>566</v>
      </c>
      <c r="H4770" s="46">
        <v>1</v>
      </c>
      <c r="I4770" s="51">
        <v>2109.4499999999998</v>
      </c>
      <c r="J4770" s="281">
        <f>++Tabla4[[#This Row],[Precio Bruto]]*1.16</f>
        <v>2446.9619999999995</v>
      </c>
      <c r="K4770" s="281">
        <f>+Tabla4[[#This Row],[Precio Unitario Neto]]*Tabla4[[#Headers],[20.85%]]</f>
        <v>510.19157699999988</v>
      </c>
      <c r="L4770" s="282">
        <f>++Tabla4[[#This Row],[Precio Unitario Neto]]-Tabla4[[#This Row],[20.85%]]</f>
        <v>1936.7704229999997</v>
      </c>
      <c r="M4770" s="282" t="e">
        <f>(INDEX(Tabla6[#All],MATCH(Tabla4[[#This Row],[Producto]],Tabla6[[#All],[PRODUCTO]],0),MATCH(Tabla4[[#This Row],[Mes]],Tabla6[#Headers],0)))*(1+Catalogos!$L$2)</f>
        <v>#N/A</v>
      </c>
      <c r="N4770" s="283" t="e">
        <f>+(Tabla4[[#This Row],[Precio Descontado]]-Tabla4[[#This Row],[Precio Base]])*Tabla4[[#This Row],[Cantidad]]</f>
        <v>#N/A</v>
      </c>
      <c r="O4770" s="284" t="e">
        <f>++Tabla4[[#This Row],[Utilidad Total]]/Tabla4[[#This Row],[Total]]</f>
        <v>#N/A</v>
      </c>
      <c r="P4770" s="282">
        <f>++Tabla4[[#This Row],[Precio Descontado]]*Tabla4[[#This Row],[Cantidad]]</f>
        <v>1936.7704229999997</v>
      </c>
      <c r="Q4770" s="282" t="e">
        <f>(INDEX(Tabla6[#All],MATCH(Tabla4[[#This Row],[Producto]],Tabla6[[#All],[PRODUCTO]],0),MATCH(Tabla4[[#This Row],[Mes]],Tabla6[#Headers],0)))</f>
        <v>#N/A</v>
      </c>
      <c r="R4770" s="282" t="e">
        <f>++Tabla4[[#This Row],[Precio Unitario Neto]]-Tabla4[[#This Row],[20.85%]]-Tabla4[[#This Row],[Costo]]</f>
        <v>#N/A</v>
      </c>
      <c r="S4770" s="282" t="e">
        <f>++Tabla4[[#This Row],[U. Bruta Uni]]*Tabla4[[#This Row],[Cantidad]]</f>
        <v>#N/A</v>
      </c>
      <c r="T4770" s="369" t="str">
        <f>VLOOKUP(Tabla4[[#This Row],[Producto]],Tabla6[#All],14,FALSE)</f>
        <v>Termico Solar</v>
      </c>
      <c r="U4770" s="284" t="e">
        <f>(IF(Tabla4[[#This Row],[Familia]]="termico solar",Tabla4[[#This Row],[Utilidad Total]]*6%,Tabla4[[#This Row],[Utilidad Total]]*11.5%))/Tabla4[[#This Row],[Total]]</f>
        <v>#N/A</v>
      </c>
      <c r="V4770" s="282" t="e">
        <f>+Tabla4[[#This Row],[Comisión Calculada]]*Tabla4[[#This Row],[Total]]</f>
        <v>#N/A</v>
      </c>
    </row>
    <row r="4771" spans="1:22" hidden="1" x14ac:dyDescent="0.25">
      <c r="A4771" s="100">
        <v>45853</v>
      </c>
      <c r="B4771" t="str">
        <f t="shared" ref="B4771:B4783" si="238">TEXT(A4771, "mmmm")</f>
        <v>July</v>
      </c>
      <c r="C4771" s="46" t="s">
        <v>280</v>
      </c>
      <c r="F4771" s="366" t="s">
        <v>2504</v>
      </c>
      <c r="G4771" s="46" t="s">
        <v>16</v>
      </c>
      <c r="H4771" s="46">
        <v>2</v>
      </c>
      <c r="I4771" s="51">
        <v>4103.8500000000004</v>
      </c>
      <c r="J4771" s="281">
        <f>++Tabla4[[#This Row],[Precio Bruto]]*1.16</f>
        <v>4760.4660000000003</v>
      </c>
      <c r="K4771" s="281">
        <f>+Tabla4[[#This Row],[Precio Unitario Neto]]*Tabla4[[#Headers],[20.85%]]</f>
        <v>992.55716100000006</v>
      </c>
      <c r="L4771" s="282">
        <f>++Tabla4[[#This Row],[Precio Unitario Neto]]-Tabla4[[#This Row],[20.85%]]</f>
        <v>3767.9088390000002</v>
      </c>
      <c r="M4771" s="282" t="e">
        <f>(INDEX(Tabla6[#All],MATCH(Tabla4[[#This Row],[Producto]],Tabla6[[#All],[PRODUCTO]],0),MATCH(Tabla4[[#This Row],[Mes]],Tabla6[#Headers],0)))*(1+Catalogos!$L$2)</f>
        <v>#N/A</v>
      </c>
      <c r="N4771" s="283" t="e">
        <f>+(Tabla4[[#This Row],[Precio Descontado]]-Tabla4[[#This Row],[Precio Base]])*Tabla4[[#This Row],[Cantidad]]</f>
        <v>#N/A</v>
      </c>
      <c r="O4771" s="284" t="e">
        <f>++Tabla4[[#This Row],[Utilidad Total]]/Tabla4[[#This Row],[Total]]</f>
        <v>#N/A</v>
      </c>
      <c r="P4771" s="282">
        <f>++Tabla4[[#This Row],[Precio Descontado]]*Tabla4[[#This Row],[Cantidad]]</f>
        <v>7535.8176780000003</v>
      </c>
      <c r="Q4771" s="282" t="e">
        <f>(INDEX(Tabla6[#All],MATCH(Tabla4[[#This Row],[Producto]],Tabla6[[#All],[PRODUCTO]],0),MATCH(Tabla4[[#This Row],[Mes]],Tabla6[#Headers],0)))</f>
        <v>#N/A</v>
      </c>
      <c r="R4771" s="282" t="e">
        <f>++Tabla4[[#This Row],[Precio Unitario Neto]]-Tabla4[[#This Row],[20.85%]]-Tabla4[[#This Row],[Costo]]</f>
        <v>#N/A</v>
      </c>
      <c r="S4771" s="282" t="e">
        <f>++Tabla4[[#This Row],[U. Bruta Uni]]*Tabla4[[#This Row],[Cantidad]]</f>
        <v>#N/A</v>
      </c>
      <c r="T4771" s="369" t="str">
        <f>VLOOKUP(Tabla4[[#This Row],[Producto]],Tabla6[#All],14,FALSE)</f>
        <v>Termico Solar</v>
      </c>
      <c r="U4771" s="284" t="e">
        <f>(IF(Tabla4[[#This Row],[Familia]]="termico solar",Tabla4[[#This Row],[Utilidad Total]]*6%,Tabla4[[#This Row],[Utilidad Total]]*11.5%))/Tabla4[[#This Row],[Total]]</f>
        <v>#N/A</v>
      </c>
      <c r="V4771" s="282" t="e">
        <f>+Tabla4[[#This Row],[Comisión Calculada]]*Tabla4[[#This Row],[Total]]</f>
        <v>#N/A</v>
      </c>
    </row>
    <row r="4772" spans="1:22" hidden="1" x14ac:dyDescent="0.25">
      <c r="A4772" s="100">
        <v>45853</v>
      </c>
      <c r="B4772" t="str">
        <f t="shared" si="238"/>
        <v>July</v>
      </c>
      <c r="C4772" s="46" t="s">
        <v>280</v>
      </c>
      <c r="F4772" s="366" t="s">
        <v>2505</v>
      </c>
      <c r="G4772" s="46" t="s">
        <v>18</v>
      </c>
      <c r="H4772" s="46">
        <v>3</v>
      </c>
      <c r="I4772" s="51">
        <v>5367.6500000000005</v>
      </c>
      <c r="J4772" s="281">
        <f>++Tabla4[[#This Row],[Precio Bruto]]*1.16</f>
        <v>6226.4740000000002</v>
      </c>
      <c r="K4772" s="281">
        <f>+Tabla4[[#This Row],[Precio Unitario Neto]]*Tabla4[[#Headers],[20.85%]]</f>
        <v>1298.2198289999999</v>
      </c>
      <c r="L4772" s="282">
        <f>++Tabla4[[#This Row],[Precio Unitario Neto]]-Tabla4[[#This Row],[20.85%]]</f>
        <v>4928.2541710000005</v>
      </c>
      <c r="M4772" s="282" t="e">
        <f>(INDEX(Tabla6[#All],MATCH(Tabla4[[#This Row],[Producto]],Tabla6[[#All],[PRODUCTO]],0),MATCH(Tabla4[[#This Row],[Mes]],Tabla6[#Headers],0)))*(1+Catalogos!$L$2)</f>
        <v>#N/A</v>
      </c>
      <c r="N4772" s="283" t="e">
        <f>+(Tabla4[[#This Row],[Precio Descontado]]-Tabla4[[#This Row],[Precio Base]])*Tabla4[[#This Row],[Cantidad]]</f>
        <v>#N/A</v>
      </c>
      <c r="O4772" s="284" t="e">
        <f>++Tabla4[[#This Row],[Utilidad Total]]/Tabla4[[#This Row],[Total]]</f>
        <v>#N/A</v>
      </c>
      <c r="P4772" s="282">
        <f>++Tabla4[[#This Row],[Precio Descontado]]*Tabla4[[#This Row],[Cantidad]]</f>
        <v>14784.762513000001</v>
      </c>
      <c r="Q4772" s="282" t="e">
        <f>(INDEX(Tabla6[#All],MATCH(Tabla4[[#This Row],[Producto]],Tabla6[[#All],[PRODUCTO]],0),MATCH(Tabla4[[#This Row],[Mes]],Tabla6[#Headers],0)))</f>
        <v>#N/A</v>
      </c>
      <c r="R4772" s="282" t="e">
        <f>++Tabla4[[#This Row],[Precio Unitario Neto]]-Tabla4[[#This Row],[20.85%]]-Tabla4[[#This Row],[Costo]]</f>
        <v>#N/A</v>
      </c>
      <c r="S4772" s="282" t="e">
        <f>++Tabla4[[#This Row],[U. Bruta Uni]]*Tabla4[[#This Row],[Cantidad]]</f>
        <v>#N/A</v>
      </c>
      <c r="T4772" s="369" t="str">
        <f>VLOOKUP(Tabla4[[#This Row],[Producto]],Tabla6[#All],14,FALSE)</f>
        <v>Termico Solar</v>
      </c>
      <c r="U4772" s="284" t="e">
        <f>(IF(Tabla4[[#This Row],[Familia]]="termico solar",Tabla4[[#This Row],[Utilidad Total]]*6%,Tabla4[[#This Row],[Utilidad Total]]*11.5%))/Tabla4[[#This Row],[Total]]</f>
        <v>#N/A</v>
      </c>
      <c r="V4772" s="282" t="e">
        <f>+Tabla4[[#This Row],[Comisión Calculada]]*Tabla4[[#This Row],[Total]]</f>
        <v>#N/A</v>
      </c>
    </row>
    <row r="4773" spans="1:22" hidden="1" x14ac:dyDescent="0.25">
      <c r="A4773" s="100">
        <v>45853</v>
      </c>
      <c r="B4773" t="str">
        <f t="shared" si="238"/>
        <v>July</v>
      </c>
      <c r="C4773" s="46" t="s">
        <v>280</v>
      </c>
      <c r="F4773" s="366" t="s">
        <v>2506</v>
      </c>
      <c r="G4773" s="46" t="s">
        <v>83</v>
      </c>
      <c r="H4773" s="46">
        <v>15</v>
      </c>
      <c r="I4773" s="51">
        <v>8858.76</v>
      </c>
      <c r="J4773" s="281">
        <f>++Tabla4[[#This Row],[Precio Bruto]]*1.16</f>
        <v>10276.161599999999</v>
      </c>
      <c r="K4773" s="281">
        <f>+Tabla4[[#This Row],[Precio Unitario Neto]]*Tabla4[[#Headers],[20.85%]]</f>
        <v>2142.5796935999997</v>
      </c>
      <c r="L4773" s="282">
        <f>++Tabla4[[#This Row],[Precio Unitario Neto]]-Tabla4[[#This Row],[20.85%]]</f>
        <v>8133.5819063999998</v>
      </c>
      <c r="M4773" s="282" t="e">
        <f>(INDEX(Tabla6[#All],MATCH(Tabla4[[#This Row],[Producto]],Tabla6[[#All],[PRODUCTO]],0),MATCH(Tabla4[[#This Row],[Mes]],Tabla6[#Headers],0)))*(1+Catalogos!$L$2)</f>
        <v>#N/A</v>
      </c>
      <c r="N4773" s="283" t="e">
        <f>+(Tabla4[[#This Row],[Precio Descontado]]-Tabla4[[#This Row],[Precio Base]])*Tabla4[[#This Row],[Cantidad]]</f>
        <v>#N/A</v>
      </c>
      <c r="O4773" s="284" t="e">
        <f>++Tabla4[[#This Row],[Utilidad Total]]/Tabla4[[#This Row],[Total]]</f>
        <v>#N/A</v>
      </c>
      <c r="P4773" s="282">
        <f>++Tabla4[[#This Row],[Precio Descontado]]*Tabla4[[#This Row],[Cantidad]]</f>
        <v>122003.728596</v>
      </c>
      <c r="Q4773" s="282" t="e">
        <f>(INDEX(Tabla6[#All],MATCH(Tabla4[[#This Row],[Producto]],Tabla6[[#All],[PRODUCTO]],0),MATCH(Tabla4[[#This Row],[Mes]],Tabla6[#Headers],0)))</f>
        <v>#N/A</v>
      </c>
      <c r="R4773" s="282" t="e">
        <f>++Tabla4[[#This Row],[Precio Unitario Neto]]-Tabla4[[#This Row],[20.85%]]-Tabla4[[#This Row],[Costo]]</f>
        <v>#N/A</v>
      </c>
      <c r="S4773" s="282" t="e">
        <f>++Tabla4[[#This Row],[U. Bruta Uni]]*Tabla4[[#This Row],[Cantidad]]</f>
        <v>#N/A</v>
      </c>
      <c r="T4773" s="369" t="str">
        <f>VLOOKUP(Tabla4[[#This Row],[Producto]],Tabla6[#All],14,FALSE)</f>
        <v>Termico Solar</v>
      </c>
      <c r="U4773" s="284" t="e">
        <f>(IF(Tabla4[[#This Row],[Familia]]="termico solar",Tabla4[[#This Row],[Utilidad Total]]*6%,Tabla4[[#This Row],[Utilidad Total]]*11.5%))/Tabla4[[#This Row],[Total]]</f>
        <v>#N/A</v>
      </c>
      <c r="V4773" s="282" t="e">
        <f>+Tabla4[[#This Row],[Comisión Calculada]]*Tabla4[[#This Row],[Total]]</f>
        <v>#N/A</v>
      </c>
    </row>
    <row r="4774" spans="1:22" hidden="1" x14ac:dyDescent="0.25">
      <c r="A4774" s="100">
        <v>45853</v>
      </c>
      <c r="B4774" t="str">
        <f t="shared" si="238"/>
        <v>July</v>
      </c>
      <c r="C4774" s="46" t="s">
        <v>280</v>
      </c>
      <c r="F4774" s="366" t="s">
        <v>2507</v>
      </c>
      <c r="G4774" s="46" t="s">
        <v>83</v>
      </c>
      <c r="H4774" s="46">
        <v>3</v>
      </c>
      <c r="I4774" s="51">
        <v>8858.76</v>
      </c>
      <c r="J4774" s="281">
        <f>++Tabla4[[#This Row],[Precio Bruto]]*1.16</f>
        <v>10276.161599999999</v>
      </c>
      <c r="K4774" s="281">
        <f>+Tabla4[[#This Row],[Precio Unitario Neto]]*Tabla4[[#Headers],[20.85%]]</f>
        <v>2142.5796935999997</v>
      </c>
      <c r="L4774" s="282">
        <f>++Tabla4[[#This Row],[Precio Unitario Neto]]-Tabla4[[#This Row],[20.85%]]</f>
        <v>8133.5819063999998</v>
      </c>
      <c r="M4774" s="282" t="e">
        <f>(INDEX(Tabla6[#All],MATCH(Tabla4[[#This Row],[Producto]],Tabla6[[#All],[PRODUCTO]],0),MATCH(Tabla4[[#This Row],[Mes]],Tabla6[#Headers],0)))*(1+Catalogos!$L$2)</f>
        <v>#N/A</v>
      </c>
      <c r="N4774" s="283" t="e">
        <f>+(Tabla4[[#This Row],[Precio Descontado]]-Tabla4[[#This Row],[Precio Base]])*Tabla4[[#This Row],[Cantidad]]</f>
        <v>#N/A</v>
      </c>
      <c r="O4774" s="284" t="e">
        <f>++Tabla4[[#This Row],[Utilidad Total]]/Tabla4[[#This Row],[Total]]</f>
        <v>#N/A</v>
      </c>
      <c r="P4774" s="282">
        <f>++Tabla4[[#This Row],[Precio Descontado]]*Tabla4[[#This Row],[Cantidad]]</f>
        <v>24400.7457192</v>
      </c>
      <c r="Q4774" s="282" t="e">
        <f>(INDEX(Tabla6[#All],MATCH(Tabla4[[#This Row],[Producto]],Tabla6[[#All],[PRODUCTO]],0),MATCH(Tabla4[[#This Row],[Mes]],Tabla6[#Headers],0)))</f>
        <v>#N/A</v>
      </c>
      <c r="R4774" s="282" t="e">
        <f>++Tabla4[[#This Row],[Precio Unitario Neto]]-Tabla4[[#This Row],[20.85%]]-Tabla4[[#This Row],[Costo]]</f>
        <v>#N/A</v>
      </c>
      <c r="S4774" s="282" t="e">
        <f>++Tabla4[[#This Row],[U. Bruta Uni]]*Tabla4[[#This Row],[Cantidad]]</f>
        <v>#N/A</v>
      </c>
      <c r="T4774" s="369" t="str">
        <f>VLOOKUP(Tabla4[[#This Row],[Producto]],Tabla6[#All],14,FALSE)</f>
        <v>Termico Solar</v>
      </c>
      <c r="U4774" s="284" t="e">
        <f>(IF(Tabla4[[#This Row],[Familia]]="termico solar",Tabla4[[#This Row],[Utilidad Total]]*6%,Tabla4[[#This Row],[Utilidad Total]]*11.5%))/Tabla4[[#This Row],[Total]]</f>
        <v>#N/A</v>
      </c>
      <c r="V4774" s="282" t="e">
        <f>+Tabla4[[#This Row],[Comisión Calculada]]*Tabla4[[#This Row],[Total]]</f>
        <v>#N/A</v>
      </c>
    </row>
    <row r="4775" spans="1:22" hidden="1" x14ac:dyDescent="0.25">
      <c r="A4775" s="100">
        <v>45853</v>
      </c>
      <c r="B4775" t="str">
        <f t="shared" si="238"/>
        <v>July</v>
      </c>
      <c r="C4775" s="46" t="s">
        <v>280</v>
      </c>
      <c r="F4775" s="366" t="s">
        <v>2507</v>
      </c>
      <c r="G4775" s="46" t="s">
        <v>566</v>
      </c>
      <c r="H4775" s="46">
        <v>1</v>
      </c>
      <c r="I4775" s="51">
        <v>2109.4499999999998</v>
      </c>
      <c r="J4775" s="281">
        <f>++Tabla4[[#This Row],[Precio Bruto]]*1.16</f>
        <v>2446.9619999999995</v>
      </c>
      <c r="K4775" s="281">
        <f>+Tabla4[[#This Row],[Precio Unitario Neto]]*Tabla4[[#Headers],[20.85%]]</f>
        <v>510.19157699999988</v>
      </c>
      <c r="L4775" s="282">
        <f>++Tabla4[[#This Row],[Precio Unitario Neto]]-Tabla4[[#This Row],[20.85%]]</f>
        <v>1936.7704229999997</v>
      </c>
      <c r="M4775" s="282" t="e">
        <f>(INDEX(Tabla6[#All],MATCH(Tabla4[[#This Row],[Producto]],Tabla6[[#All],[PRODUCTO]],0),MATCH(Tabla4[[#This Row],[Mes]],Tabla6[#Headers],0)))*(1+Catalogos!$L$2)</f>
        <v>#N/A</v>
      </c>
      <c r="N4775" s="283" t="e">
        <f>+(Tabla4[[#This Row],[Precio Descontado]]-Tabla4[[#This Row],[Precio Base]])*Tabla4[[#This Row],[Cantidad]]</f>
        <v>#N/A</v>
      </c>
      <c r="O4775" s="284" t="e">
        <f>++Tabla4[[#This Row],[Utilidad Total]]/Tabla4[[#This Row],[Total]]</f>
        <v>#N/A</v>
      </c>
      <c r="P4775" s="282">
        <f>++Tabla4[[#This Row],[Precio Descontado]]*Tabla4[[#This Row],[Cantidad]]</f>
        <v>1936.7704229999997</v>
      </c>
      <c r="Q4775" s="282" t="e">
        <f>(INDEX(Tabla6[#All],MATCH(Tabla4[[#This Row],[Producto]],Tabla6[[#All],[PRODUCTO]],0),MATCH(Tabla4[[#This Row],[Mes]],Tabla6[#Headers],0)))</f>
        <v>#N/A</v>
      </c>
      <c r="R4775" s="282" t="e">
        <f>++Tabla4[[#This Row],[Precio Unitario Neto]]-Tabla4[[#This Row],[20.85%]]-Tabla4[[#This Row],[Costo]]</f>
        <v>#N/A</v>
      </c>
      <c r="S4775" s="282" t="e">
        <f>++Tabla4[[#This Row],[U. Bruta Uni]]*Tabla4[[#This Row],[Cantidad]]</f>
        <v>#N/A</v>
      </c>
      <c r="T4775" s="369" t="str">
        <f>VLOOKUP(Tabla4[[#This Row],[Producto]],Tabla6[#All],14,FALSE)</f>
        <v>Termico Solar</v>
      </c>
      <c r="U4775" s="284" t="e">
        <f>(IF(Tabla4[[#This Row],[Familia]]="termico solar",Tabla4[[#This Row],[Utilidad Total]]*6%,Tabla4[[#This Row],[Utilidad Total]]*11.5%))/Tabla4[[#This Row],[Total]]</f>
        <v>#N/A</v>
      </c>
      <c r="V4775" s="282" t="e">
        <f>+Tabla4[[#This Row],[Comisión Calculada]]*Tabla4[[#This Row],[Total]]</f>
        <v>#N/A</v>
      </c>
    </row>
    <row r="4776" spans="1:22" hidden="1" x14ac:dyDescent="0.25">
      <c r="A4776" s="100">
        <v>45853</v>
      </c>
      <c r="B4776" t="str">
        <f t="shared" si="238"/>
        <v>July</v>
      </c>
      <c r="C4776" s="46" t="s">
        <v>280</v>
      </c>
      <c r="F4776" s="366" t="s">
        <v>2508</v>
      </c>
      <c r="G4776" s="46" t="s">
        <v>83</v>
      </c>
      <c r="H4776" s="46">
        <v>2</v>
      </c>
      <c r="I4776" s="51">
        <v>8858.76</v>
      </c>
      <c r="J4776" s="281">
        <f>++Tabla4[[#This Row],[Precio Bruto]]*1.16</f>
        <v>10276.161599999999</v>
      </c>
      <c r="K4776" s="281">
        <f>+Tabla4[[#This Row],[Precio Unitario Neto]]*Tabla4[[#Headers],[20.85%]]</f>
        <v>2142.5796935999997</v>
      </c>
      <c r="L4776" s="282">
        <f>++Tabla4[[#This Row],[Precio Unitario Neto]]-Tabla4[[#This Row],[20.85%]]</f>
        <v>8133.5819063999998</v>
      </c>
      <c r="M4776" s="282" t="e">
        <f>(INDEX(Tabla6[#All],MATCH(Tabla4[[#This Row],[Producto]],Tabla6[[#All],[PRODUCTO]],0),MATCH(Tabla4[[#This Row],[Mes]],Tabla6[#Headers],0)))*(1+Catalogos!$L$2)</f>
        <v>#N/A</v>
      </c>
      <c r="N4776" s="283" t="e">
        <f>+(Tabla4[[#This Row],[Precio Descontado]]-Tabla4[[#This Row],[Precio Base]])*Tabla4[[#This Row],[Cantidad]]</f>
        <v>#N/A</v>
      </c>
      <c r="O4776" s="284" t="e">
        <f>++Tabla4[[#This Row],[Utilidad Total]]/Tabla4[[#This Row],[Total]]</f>
        <v>#N/A</v>
      </c>
      <c r="P4776" s="282">
        <f>++Tabla4[[#This Row],[Precio Descontado]]*Tabla4[[#This Row],[Cantidad]]</f>
        <v>16267.1638128</v>
      </c>
      <c r="Q4776" s="282" t="e">
        <f>(INDEX(Tabla6[#All],MATCH(Tabla4[[#This Row],[Producto]],Tabla6[[#All],[PRODUCTO]],0),MATCH(Tabla4[[#This Row],[Mes]],Tabla6[#Headers],0)))</f>
        <v>#N/A</v>
      </c>
      <c r="R4776" s="282" t="e">
        <f>++Tabla4[[#This Row],[Precio Unitario Neto]]-Tabla4[[#This Row],[20.85%]]-Tabla4[[#This Row],[Costo]]</f>
        <v>#N/A</v>
      </c>
      <c r="S4776" s="282" t="e">
        <f>++Tabla4[[#This Row],[U. Bruta Uni]]*Tabla4[[#This Row],[Cantidad]]</f>
        <v>#N/A</v>
      </c>
      <c r="T4776" s="369" t="str">
        <f>VLOOKUP(Tabla4[[#This Row],[Producto]],Tabla6[#All],14,FALSE)</f>
        <v>Termico Solar</v>
      </c>
      <c r="U4776" s="284" t="e">
        <f>(IF(Tabla4[[#This Row],[Familia]]="termico solar",Tabla4[[#This Row],[Utilidad Total]]*6%,Tabla4[[#This Row],[Utilidad Total]]*11.5%))/Tabla4[[#This Row],[Total]]</f>
        <v>#N/A</v>
      </c>
      <c r="V4776" s="282" t="e">
        <f>+Tabla4[[#This Row],[Comisión Calculada]]*Tabla4[[#This Row],[Total]]</f>
        <v>#N/A</v>
      </c>
    </row>
    <row r="4777" spans="1:22" hidden="1" x14ac:dyDescent="0.25">
      <c r="A4777" s="100">
        <v>45853</v>
      </c>
      <c r="B4777" t="str">
        <f t="shared" si="238"/>
        <v>July</v>
      </c>
      <c r="C4777" s="46" t="s">
        <v>280</v>
      </c>
      <c r="F4777" s="366" t="s">
        <v>2508</v>
      </c>
      <c r="G4777" s="46" t="s">
        <v>17</v>
      </c>
      <c r="H4777" s="46">
        <v>2</v>
      </c>
      <c r="I4777" s="51">
        <v>4622.28</v>
      </c>
      <c r="J4777" s="281">
        <f>++Tabla4[[#This Row],[Precio Bruto]]*1.16</f>
        <v>5361.8447999999989</v>
      </c>
      <c r="K4777" s="281">
        <f>+Tabla4[[#This Row],[Precio Unitario Neto]]*Tabla4[[#Headers],[20.85%]]</f>
        <v>1117.9446407999997</v>
      </c>
      <c r="L4777" s="282">
        <f>++Tabla4[[#This Row],[Precio Unitario Neto]]-Tabla4[[#This Row],[20.85%]]</f>
        <v>4243.9001591999995</v>
      </c>
      <c r="M4777" s="282" t="e">
        <f>(INDEX(Tabla6[#All],MATCH(Tabla4[[#This Row],[Producto]],Tabla6[[#All],[PRODUCTO]],0),MATCH(Tabla4[[#This Row],[Mes]],Tabla6[#Headers],0)))*(1+Catalogos!$L$2)</f>
        <v>#N/A</v>
      </c>
      <c r="N4777" s="283" t="e">
        <f>+(Tabla4[[#This Row],[Precio Descontado]]-Tabla4[[#This Row],[Precio Base]])*Tabla4[[#This Row],[Cantidad]]</f>
        <v>#N/A</v>
      </c>
      <c r="O4777" s="284" t="e">
        <f>++Tabla4[[#This Row],[Utilidad Total]]/Tabla4[[#This Row],[Total]]</f>
        <v>#N/A</v>
      </c>
      <c r="P4777" s="282">
        <f>++Tabla4[[#This Row],[Precio Descontado]]*Tabla4[[#This Row],[Cantidad]]</f>
        <v>8487.800318399999</v>
      </c>
      <c r="Q4777" s="282" t="e">
        <f>(INDEX(Tabla6[#All],MATCH(Tabla4[[#This Row],[Producto]],Tabla6[[#All],[PRODUCTO]],0),MATCH(Tabla4[[#This Row],[Mes]],Tabla6[#Headers],0)))</f>
        <v>#N/A</v>
      </c>
      <c r="R4777" s="282" t="e">
        <f>++Tabla4[[#This Row],[Precio Unitario Neto]]-Tabla4[[#This Row],[20.85%]]-Tabla4[[#This Row],[Costo]]</f>
        <v>#N/A</v>
      </c>
      <c r="S4777" s="282" t="e">
        <f>++Tabla4[[#This Row],[U. Bruta Uni]]*Tabla4[[#This Row],[Cantidad]]</f>
        <v>#N/A</v>
      </c>
      <c r="T4777" s="369" t="str">
        <f>VLOOKUP(Tabla4[[#This Row],[Producto]],Tabla6[#All],14,FALSE)</f>
        <v>Termico Solar</v>
      </c>
      <c r="U4777" s="284" t="e">
        <f>(IF(Tabla4[[#This Row],[Familia]]="termico solar",Tabla4[[#This Row],[Utilidad Total]]*6%,Tabla4[[#This Row],[Utilidad Total]]*11.5%))/Tabla4[[#This Row],[Total]]</f>
        <v>#N/A</v>
      </c>
      <c r="V4777" s="282" t="e">
        <f>+Tabla4[[#This Row],[Comisión Calculada]]*Tabla4[[#This Row],[Total]]</f>
        <v>#N/A</v>
      </c>
    </row>
    <row r="4778" spans="1:22" hidden="1" x14ac:dyDescent="0.25">
      <c r="A4778" s="100">
        <v>45853</v>
      </c>
      <c r="B4778" t="str">
        <f t="shared" si="238"/>
        <v>July</v>
      </c>
      <c r="C4778" s="46" t="s">
        <v>280</v>
      </c>
      <c r="F4778" s="366" t="s">
        <v>2508</v>
      </c>
      <c r="G4778" s="46" t="s">
        <v>18</v>
      </c>
      <c r="H4778" s="46">
        <v>1</v>
      </c>
      <c r="I4778" s="51">
        <v>5367.65</v>
      </c>
      <c r="J4778" s="281">
        <f>++Tabla4[[#This Row],[Precio Bruto]]*1.16</f>
        <v>6226.4739999999993</v>
      </c>
      <c r="K4778" s="281">
        <f>+Tabla4[[#This Row],[Precio Unitario Neto]]*Tabla4[[#Headers],[20.85%]]</f>
        <v>1298.2198289999999</v>
      </c>
      <c r="L4778" s="282">
        <f>++Tabla4[[#This Row],[Precio Unitario Neto]]-Tabla4[[#This Row],[20.85%]]</f>
        <v>4928.2541709999996</v>
      </c>
      <c r="M4778" s="282" t="e">
        <f>(INDEX(Tabla6[#All],MATCH(Tabla4[[#This Row],[Producto]],Tabla6[[#All],[PRODUCTO]],0),MATCH(Tabla4[[#This Row],[Mes]],Tabla6[#Headers],0)))*(1+Catalogos!$L$2)</f>
        <v>#N/A</v>
      </c>
      <c r="N4778" s="283" t="e">
        <f>+(Tabla4[[#This Row],[Precio Descontado]]-Tabla4[[#This Row],[Precio Base]])*Tabla4[[#This Row],[Cantidad]]</f>
        <v>#N/A</v>
      </c>
      <c r="O4778" s="284" t="e">
        <f>++Tabla4[[#This Row],[Utilidad Total]]/Tabla4[[#This Row],[Total]]</f>
        <v>#N/A</v>
      </c>
      <c r="P4778" s="282">
        <f>++Tabla4[[#This Row],[Precio Descontado]]*Tabla4[[#This Row],[Cantidad]]</f>
        <v>4928.2541709999996</v>
      </c>
      <c r="Q4778" s="282" t="e">
        <f>(INDEX(Tabla6[#All],MATCH(Tabla4[[#This Row],[Producto]],Tabla6[[#All],[PRODUCTO]],0),MATCH(Tabla4[[#This Row],[Mes]],Tabla6[#Headers],0)))</f>
        <v>#N/A</v>
      </c>
      <c r="R4778" s="282" t="e">
        <f>++Tabla4[[#This Row],[Precio Unitario Neto]]-Tabla4[[#This Row],[20.85%]]-Tabla4[[#This Row],[Costo]]</f>
        <v>#N/A</v>
      </c>
      <c r="S4778" s="282" t="e">
        <f>++Tabla4[[#This Row],[U. Bruta Uni]]*Tabla4[[#This Row],[Cantidad]]</f>
        <v>#N/A</v>
      </c>
      <c r="T4778" s="369" t="str">
        <f>VLOOKUP(Tabla4[[#This Row],[Producto]],Tabla6[#All],14,FALSE)</f>
        <v>Termico Solar</v>
      </c>
      <c r="U4778" s="284" t="e">
        <f>(IF(Tabla4[[#This Row],[Familia]]="termico solar",Tabla4[[#This Row],[Utilidad Total]]*6%,Tabla4[[#This Row],[Utilidad Total]]*11.5%))/Tabla4[[#This Row],[Total]]</f>
        <v>#N/A</v>
      </c>
      <c r="V4778" s="282" t="e">
        <f>+Tabla4[[#This Row],[Comisión Calculada]]*Tabla4[[#This Row],[Total]]</f>
        <v>#N/A</v>
      </c>
    </row>
    <row r="4779" spans="1:22" hidden="1" x14ac:dyDescent="0.25">
      <c r="A4779" s="100">
        <v>45869</v>
      </c>
      <c r="B4779" t="str">
        <f t="shared" si="238"/>
        <v>July</v>
      </c>
      <c r="C4779" s="46" t="s">
        <v>280</v>
      </c>
      <c r="F4779" s="366" t="s">
        <v>2509</v>
      </c>
      <c r="G4779" s="46" t="s">
        <v>200</v>
      </c>
      <c r="H4779" s="46">
        <v>12</v>
      </c>
      <c r="I4779" s="51">
        <v>393.22</v>
      </c>
      <c r="J4779" s="281">
        <f>++Tabla4[[#This Row],[Precio Bruto]]*1.16</f>
        <v>456.1352</v>
      </c>
      <c r="K4779" s="281">
        <f>+Tabla4[[#This Row],[Precio Unitario Neto]]*Tabla4[[#Headers],[20.85%]]</f>
        <v>95.104189199999993</v>
      </c>
      <c r="L4779" s="282">
        <f>++Tabla4[[#This Row],[Precio Unitario Neto]]-Tabla4[[#This Row],[20.85%]]</f>
        <v>361.03101079999999</v>
      </c>
      <c r="M4779" s="282" t="e">
        <f>(INDEX(Tabla6[#All],MATCH(Tabla4[[#This Row],[Producto]],Tabla6[[#All],[PRODUCTO]],0),MATCH(Tabla4[[#This Row],[Mes]],Tabla6[#Headers],0)))*(1+Catalogos!$L$2)</f>
        <v>#N/A</v>
      </c>
      <c r="N4779" s="283" t="e">
        <f>+(Tabla4[[#This Row],[Precio Descontado]]-Tabla4[[#This Row],[Precio Base]])*Tabla4[[#This Row],[Cantidad]]</f>
        <v>#N/A</v>
      </c>
      <c r="O4779" s="284" t="e">
        <f>++Tabla4[[#This Row],[Utilidad Total]]/Tabla4[[#This Row],[Total]]</f>
        <v>#N/A</v>
      </c>
      <c r="P4779" s="282">
        <f>++Tabla4[[#This Row],[Precio Descontado]]*Tabla4[[#This Row],[Cantidad]]</f>
        <v>4332.3721296000003</v>
      </c>
      <c r="Q4779" s="282" t="e">
        <f>(INDEX(Tabla6[#All],MATCH(Tabla4[[#This Row],[Producto]],Tabla6[[#All],[PRODUCTO]],0),MATCH(Tabla4[[#This Row],[Mes]],Tabla6[#Headers],0)))</f>
        <v>#N/A</v>
      </c>
      <c r="R4779" s="282" t="e">
        <f>++Tabla4[[#This Row],[Precio Unitario Neto]]-Tabla4[[#This Row],[20.85%]]-Tabla4[[#This Row],[Costo]]</f>
        <v>#N/A</v>
      </c>
      <c r="S4779" s="282" t="e">
        <f>++Tabla4[[#This Row],[U. Bruta Uni]]*Tabla4[[#This Row],[Cantidad]]</f>
        <v>#N/A</v>
      </c>
      <c r="T4779" s="369" t="str">
        <f>VLOOKUP(Tabla4[[#This Row],[Producto]],Tabla6[#All],14,FALSE)</f>
        <v>Termico Solar</v>
      </c>
      <c r="U4779" s="284" t="e">
        <f>(IF(Tabla4[[#This Row],[Familia]]="termico solar",Tabla4[[#This Row],[Utilidad Total]]*6%,Tabla4[[#This Row],[Utilidad Total]]*11.5%))/Tabla4[[#This Row],[Total]]</f>
        <v>#N/A</v>
      </c>
      <c r="V4779" s="282" t="e">
        <f>+Tabla4[[#This Row],[Comisión Calculada]]*Tabla4[[#This Row],[Total]]</f>
        <v>#N/A</v>
      </c>
    </row>
    <row r="4780" spans="1:22" hidden="1" x14ac:dyDescent="0.25">
      <c r="A4780" s="100">
        <v>45869</v>
      </c>
      <c r="B4780" t="str">
        <f t="shared" si="238"/>
        <v>July</v>
      </c>
      <c r="C4780" s="46" t="s">
        <v>280</v>
      </c>
      <c r="F4780" s="366" t="s">
        <v>2509</v>
      </c>
      <c r="G4780" s="46" t="s">
        <v>545</v>
      </c>
      <c r="H4780" s="46">
        <v>24</v>
      </c>
      <c r="I4780" s="51">
        <v>304.32</v>
      </c>
      <c r="J4780" s="281">
        <f>++Tabla4[[#This Row],[Precio Bruto]]*1.16</f>
        <v>353.01119999999997</v>
      </c>
      <c r="K4780" s="281">
        <f>+Tabla4[[#This Row],[Precio Unitario Neto]]*Tabla4[[#Headers],[20.85%]]</f>
        <v>73.602835199999987</v>
      </c>
      <c r="L4780" s="282">
        <f>++Tabla4[[#This Row],[Precio Unitario Neto]]-Tabla4[[#This Row],[20.85%]]</f>
        <v>279.40836479999996</v>
      </c>
      <c r="M4780" s="282" t="e">
        <f>(INDEX(Tabla6[#All],MATCH(Tabla4[[#This Row],[Producto]],Tabla6[[#All],[PRODUCTO]],0),MATCH(Tabla4[[#This Row],[Mes]],Tabla6[#Headers],0)))*(1+Catalogos!$L$2)</f>
        <v>#N/A</v>
      </c>
      <c r="N4780" s="283" t="e">
        <f>+(Tabla4[[#This Row],[Precio Descontado]]-Tabla4[[#This Row],[Precio Base]])*Tabla4[[#This Row],[Cantidad]]</f>
        <v>#N/A</v>
      </c>
      <c r="O4780" s="284" t="e">
        <f>++Tabla4[[#This Row],[Utilidad Total]]/Tabla4[[#This Row],[Total]]</f>
        <v>#N/A</v>
      </c>
      <c r="P4780" s="282">
        <f>++Tabla4[[#This Row],[Precio Descontado]]*Tabla4[[#This Row],[Cantidad]]</f>
        <v>6705.800755199999</v>
      </c>
      <c r="Q4780" s="282" t="e">
        <f>(INDEX(Tabla6[#All],MATCH(Tabla4[[#This Row],[Producto]],Tabla6[[#All],[PRODUCTO]],0),MATCH(Tabla4[[#This Row],[Mes]],Tabla6[#Headers],0)))</f>
        <v>#N/A</v>
      </c>
      <c r="R4780" s="282" t="e">
        <f>++Tabla4[[#This Row],[Precio Unitario Neto]]-Tabla4[[#This Row],[20.85%]]-Tabla4[[#This Row],[Costo]]</f>
        <v>#N/A</v>
      </c>
      <c r="S4780" s="282" t="e">
        <f>++Tabla4[[#This Row],[U. Bruta Uni]]*Tabla4[[#This Row],[Cantidad]]</f>
        <v>#N/A</v>
      </c>
      <c r="T4780" s="369" t="str">
        <f>VLOOKUP(Tabla4[[#This Row],[Producto]],Tabla6[#All],14,FALSE)</f>
        <v>Termico Solar</v>
      </c>
      <c r="U4780" s="284" t="e">
        <f>(IF(Tabla4[[#This Row],[Familia]]="termico solar",Tabla4[[#This Row],[Utilidad Total]]*6%,Tabla4[[#This Row],[Utilidad Total]]*11.5%))/Tabla4[[#This Row],[Total]]</f>
        <v>#N/A</v>
      </c>
      <c r="V4780" s="282" t="e">
        <f>+Tabla4[[#This Row],[Comisión Calculada]]*Tabla4[[#This Row],[Total]]</f>
        <v>#N/A</v>
      </c>
    </row>
    <row r="4781" spans="1:22" hidden="1" x14ac:dyDescent="0.25">
      <c r="A4781" s="100">
        <v>45869</v>
      </c>
      <c r="B4781" t="str">
        <f t="shared" si="238"/>
        <v>July</v>
      </c>
      <c r="C4781" s="46" t="s">
        <v>280</v>
      </c>
      <c r="F4781" s="366" t="s">
        <v>2509</v>
      </c>
      <c r="G4781" s="46" t="s">
        <v>209</v>
      </c>
      <c r="H4781" s="46">
        <v>5</v>
      </c>
      <c r="I4781" s="51">
        <v>347.48</v>
      </c>
      <c r="J4781" s="281">
        <f>++Tabla4[[#This Row],[Precio Bruto]]*1.16</f>
        <v>403.07679999999999</v>
      </c>
      <c r="K4781" s="281">
        <f>+Tabla4[[#This Row],[Precio Unitario Neto]]*Tabla4[[#Headers],[20.85%]]</f>
        <v>84.041512799999992</v>
      </c>
      <c r="L4781" s="282">
        <f>++Tabla4[[#This Row],[Precio Unitario Neto]]-Tabla4[[#This Row],[20.85%]]</f>
        <v>319.03528719999997</v>
      </c>
      <c r="M4781" s="282" t="e">
        <f>(INDEX(Tabla6[#All],MATCH(Tabla4[[#This Row],[Producto]],Tabla6[[#All],[PRODUCTO]],0),MATCH(Tabla4[[#This Row],[Mes]],Tabla6[#Headers],0)))*(1+Catalogos!$L$2)</f>
        <v>#N/A</v>
      </c>
      <c r="N4781" s="283" t="e">
        <f>+(Tabla4[[#This Row],[Precio Descontado]]-Tabla4[[#This Row],[Precio Base]])*Tabla4[[#This Row],[Cantidad]]</f>
        <v>#N/A</v>
      </c>
      <c r="O4781" s="284" t="e">
        <f>++Tabla4[[#This Row],[Utilidad Total]]/Tabla4[[#This Row],[Total]]</f>
        <v>#N/A</v>
      </c>
      <c r="P4781" s="282">
        <f>++Tabla4[[#This Row],[Precio Descontado]]*Tabla4[[#This Row],[Cantidad]]</f>
        <v>1595.1764359999997</v>
      </c>
      <c r="Q4781" s="282" t="e">
        <f>(INDEX(Tabla6[#All],MATCH(Tabla4[[#This Row],[Producto]],Tabla6[[#All],[PRODUCTO]],0),MATCH(Tabla4[[#This Row],[Mes]],Tabla6[#Headers],0)))</f>
        <v>#N/A</v>
      </c>
      <c r="R4781" s="282" t="e">
        <f>++Tabla4[[#This Row],[Precio Unitario Neto]]-Tabla4[[#This Row],[20.85%]]-Tabla4[[#This Row],[Costo]]</f>
        <v>#N/A</v>
      </c>
      <c r="S4781" s="282" t="e">
        <f>++Tabla4[[#This Row],[U. Bruta Uni]]*Tabla4[[#This Row],[Cantidad]]</f>
        <v>#N/A</v>
      </c>
      <c r="T4781" s="369" t="str">
        <f>VLOOKUP(Tabla4[[#This Row],[Producto]],Tabla6[#All],14,FALSE)</f>
        <v>Termico Solar</v>
      </c>
      <c r="U4781" s="284" t="e">
        <f>(IF(Tabla4[[#This Row],[Familia]]="termico solar",Tabla4[[#This Row],[Utilidad Total]]*6%,Tabla4[[#This Row],[Utilidad Total]]*11.5%))/Tabla4[[#This Row],[Total]]</f>
        <v>#N/A</v>
      </c>
      <c r="V4781" s="282" t="e">
        <f>+Tabla4[[#This Row],[Comisión Calculada]]*Tabla4[[#This Row],[Total]]</f>
        <v>#N/A</v>
      </c>
    </row>
    <row r="4782" spans="1:22" hidden="1" x14ac:dyDescent="0.25">
      <c r="A4782" s="100">
        <v>45869</v>
      </c>
      <c r="B4782" t="str">
        <f t="shared" si="238"/>
        <v>July</v>
      </c>
      <c r="C4782" s="46" t="s">
        <v>280</v>
      </c>
      <c r="F4782" s="366" t="s">
        <v>2510</v>
      </c>
      <c r="G4782" s="46" t="s">
        <v>209</v>
      </c>
      <c r="H4782" s="46">
        <v>1</v>
      </c>
      <c r="I4782" s="51">
        <v>347.48</v>
      </c>
      <c r="J4782" s="281">
        <f>++Tabla4[[#This Row],[Precio Bruto]]*1.16</f>
        <v>403.07679999999999</v>
      </c>
      <c r="K4782" s="281">
        <f>+Tabla4[[#This Row],[Precio Unitario Neto]]*Tabla4[[#Headers],[20.85%]]</f>
        <v>84.041512799999992</v>
      </c>
      <c r="L4782" s="282">
        <f>++Tabla4[[#This Row],[Precio Unitario Neto]]-Tabla4[[#This Row],[20.85%]]</f>
        <v>319.03528719999997</v>
      </c>
      <c r="M4782" s="282" t="e">
        <f>(INDEX(Tabla6[#All],MATCH(Tabla4[[#This Row],[Producto]],Tabla6[[#All],[PRODUCTO]],0),MATCH(Tabla4[[#This Row],[Mes]],Tabla6[#Headers],0)))*(1+Catalogos!$L$2)</f>
        <v>#N/A</v>
      </c>
      <c r="N4782" s="283" t="e">
        <f>+(Tabla4[[#This Row],[Precio Descontado]]-Tabla4[[#This Row],[Precio Base]])*Tabla4[[#This Row],[Cantidad]]</f>
        <v>#N/A</v>
      </c>
      <c r="O4782" s="284" t="e">
        <f>++Tabla4[[#This Row],[Utilidad Total]]/Tabla4[[#This Row],[Total]]</f>
        <v>#N/A</v>
      </c>
      <c r="P4782" s="282">
        <f>++Tabla4[[#This Row],[Precio Descontado]]*Tabla4[[#This Row],[Cantidad]]</f>
        <v>319.03528719999997</v>
      </c>
      <c r="Q4782" s="282" t="e">
        <f>(INDEX(Tabla6[#All],MATCH(Tabla4[[#This Row],[Producto]],Tabla6[[#All],[PRODUCTO]],0),MATCH(Tabla4[[#This Row],[Mes]],Tabla6[#Headers],0)))</f>
        <v>#N/A</v>
      </c>
      <c r="R4782" s="282" t="e">
        <f>++Tabla4[[#This Row],[Precio Unitario Neto]]-Tabla4[[#This Row],[20.85%]]-Tabla4[[#This Row],[Costo]]</f>
        <v>#N/A</v>
      </c>
      <c r="S4782" s="282" t="e">
        <f>++Tabla4[[#This Row],[U. Bruta Uni]]*Tabla4[[#This Row],[Cantidad]]</f>
        <v>#N/A</v>
      </c>
      <c r="T4782" s="369" t="str">
        <f>VLOOKUP(Tabla4[[#This Row],[Producto]],Tabla6[#All],14,FALSE)</f>
        <v>Termico Solar</v>
      </c>
      <c r="U4782" s="284" t="e">
        <f>(IF(Tabla4[[#This Row],[Familia]]="termico solar",Tabla4[[#This Row],[Utilidad Total]]*6%,Tabla4[[#This Row],[Utilidad Total]]*11.5%))/Tabla4[[#This Row],[Total]]</f>
        <v>#N/A</v>
      </c>
      <c r="V4782" s="282" t="e">
        <f>+Tabla4[[#This Row],[Comisión Calculada]]*Tabla4[[#This Row],[Total]]</f>
        <v>#N/A</v>
      </c>
    </row>
    <row r="4783" spans="1:22" hidden="1" x14ac:dyDescent="0.25">
      <c r="A4783" s="100">
        <v>45869</v>
      </c>
      <c r="B4783" t="str">
        <f t="shared" si="238"/>
        <v>July</v>
      </c>
      <c r="C4783" s="46" t="s">
        <v>280</v>
      </c>
      <c r="F4783" s="366" t="s">
        <v>2511</v>
      </c>
      <c r="G4783" s="46" t="s">
        <v>208</v>
      </c>
      <c r="H4783" s="46">
        <v>1</v>
      </c>
      <c r="I4783" s="51">
        <v>189.75</v>
      </c>
      <c r="J4783" s="281">
        <f>++Tabla4[[#This Row],[Precio Bruto]]*1.16</f>
        <v>220.10999999999999</v>
      </c>
      <c r="K4783" s="281">
        <f>+Tabla4[[#This Row],[Precio Unitario Neto]]*Tabla4[[#Headers],[20.85%]]</f>
        <v>45.892934999999994</v>
      </c>
      <c r="L4783" s="282">
        <f>++Tabla4[[#This Row],[Precio Unitario Neto]]-Tabla4[[#This Row],[20.85%]]</f>
        <v>174.21706499999999</v>
      </c>
      <c r="M4783" s="282" t="e">
        <f>(INDEX(Tabla6[#All],MATCH(Tabla4[[#This Row],[Producto]],Tabla6[[#All],[PRODUCTO]],0),MATCH(Tabla4[[#This Row],[Mes]],Tabla6[#Headers],0)))*(1+Catalogos!$L$2)</f>
        <v>#N/A</v>
      </c>
      <c r="N4783" s="283" t="e">
        <f>+(Tabla4[[#This Row],[Precio Descontado]]-Tabla4[[#This Row],[Precio Base]])*Tabla4[[#This Row],[Cantidad]]</f>
        <v>#N/A</v>
      </c>
      <c r="O4783" s="284" t="e">
        <f>++Tabla4[[#This Row],[Utilidad Total]]/Tabla4[[#This Row],[Total]]</f>
        <v>#N/A</v>
      </c>
      <c r="P4783" s="282">
        <f>++Tabla4[[#This Row],[Precio Descontado]]*Tabla4[[#This Row],[Cantidad]]</f>
        <v>174.21706499999999</v>
      </c>
      <c r="Q4783" s="282" t="e">
        <f>(INDEX(Tabla6[#All],MATCH(Tabla4[[#This Row],[Producto]],Tabla6[[#All],[PRODUCTO]],0),MATCH(Tabla4[[#This Row],[Mes]],Tabla6[#Headers],0)))</f>
        <v>#N/A</v>
      </c>
      <c r="R4783" s="282" t="e">
        <f>++Tabla4[[#This Row],[Precio Unitario Neto]]-Tabla4[[#This Row],[20.85%]]-Tabla4[[#This Row],[Costo]]</f>
        <v>#N/A</v>
      </c>
      <c r="S4783" s="282" t="e">
        <f>++Tabla4[[#This Row],[U. Bruta Uni]]*Tabla4[[#This Row],[Cantidad]]</f>
        <v>#N/A</v>
      </c>
      <c r="T4783" s="369" t="str">
        <f>VLOOKUP(Tabla4[[#This Row],[Producto]],Tabla6[#All],14,FALSE)</f>
        <v>Termico Solar</v>
      </c>
      <c r="U4783" s="284" t="e">
        <f>(IF(Tabla4[[#This Row],[Familia]]="termico solar",Tabla4[[#This Row],[Utilidad Total]]*6%,Tabla4[[#This Row],[Utilidad Total]]*11.5%))/Tabla4[[#This Row],[Total]]</f>
        <v>#N/A</v>
      </c>
      <c r="V4783" s="282" t="e">
        <f>+Tabla4[[#This Row],[Comisión Calculada]]*Tabla4[[#This Row],[Total]]</f>
        <v>#N/A</v>
      </c>
    </row>
    <row r="4784" spans="1:22" hidden="1" x14ac:dyDescent="0.25">
      <c r="A4784" s="100">
        <v>45869</v>
      </c>
      <c r="B4784" t="str">
        <f t="shared" ref="B4784:B4790" si="239">TEXT(A4784, "mmmm")</f>
        <v>July</v>
      </c>
      <c r="C4784" s="46" t="s">
        <v>280</v>
      </c>
      <c r="F4784" s="366" t="s">
        <v>2512</v>
      </c>
      <c r="G4784" s="46" t="s">
        <v>83</v>
      </c>
      <c r="H4784" s="46">
        <v>10</v>
      </c>
      <c r="I4784" s="51">
        <v>8858.76</v>
      </c>
      <c r="J4784" s="281">
        <f>++Tabla4[[#This Row],[Precio Bruto]]*1.16</f>
        <v>10276.161599999999</v>
      </c>
      <c r="K4784" s="281">
        <f>+Tabla4[[#This Row],[Precio Unitario Neto]]*Tabla4[[#Headers],[20.85%]]</f>
        <v>2142.5796935999997</v>
      </c>
      <c r="L4784" s="282">
        <f>++Tabla4[[#This Row],[Precio Unitario Neto]]-Tabla4[[#This Row],[20.85%]]</f>
        <v>8133.5819063999998</v>
      </c>
      <c r="M4784" s="282" t="e">
        <f>(INDEX(Tabla6[#All],MATCH(Tabla4[[#This Row],[Producto]],Tabla6[[#All],[PRODUCTO]],0),MATCH(Tabla4[[#This Row],[Mes]],Tabla6[#Headers],0)))*(1+Catalogos!$L$2)</f>
        <v>#N/A</v>
      </c>
      <c r="N4784" s="283" t="e">
        <f>+(Tabla4[[#This Row],[Precio Descontado]]-Tabla4[[#This Row],[Precio Base]])*Tabla4[[#This Row],[Cantidad]]</f>
        <v>#N/A</v>
      </c>
      <c r="O4784" s="284" t="e">
        <f>++Tabla4[[#This Row],[Utilidad Total]]/Tabla4[[#This Row],[Total]]</f>
        <v>#N/A</v>
      </c>
      <c r="P4784" s="282">
        <f>++Tabla4[[#This Row],[Precio Descontado]]*Tabla4[[#This Row],[Cantidad]]</f>
        <v>81335.819063999996</v>
      </c>
      <c r="Q4784" s="282" t="e">
        <f>(INDEX(Tabla6[#All],MATCH(Tabla4[[#This Row],[Producto]],Tabla6[[#All],[PRODUCTO]],0),MATCH(Tabla4[[#This Row],[Mes]],Tabla6[#Headers],0)))</f>
        <v>#N/A</v>
      </c>
      <c r="R4784" s="282" t="e">
        <f>++Tabla4[[#This Row],[Precio Unitario Neto]]-Tabla4[[#This Row],[20.85%]]-Tabla4[[#This Row],[Costo]]</f>
        <v>#N/A</v>
      </c>
      <c r="S4784" s="282" t="e">
        <f>++Tabla4[[#This Row],[U. Bruta Uni]]*Tabla4[[#This Row],[Cantidad]]</f>
        <v>#N/A</v>
      </c>
      <c r="T4784" s="369" t="str">
        <f>VLOOKUP(Tabla4[[#This Row],[Producto]],Tabla6[#All],14,FALSE)</f>
        <v>Termico Solar</v>
      </c>
      <c r="U4784" s="284" t="e">
        <f>(IF(Tabla4[[#This Row],[Familia]]="termico solar",Tabla4[[#This Row],[Utilidad Total]]*6%,Tabla4[[#This Row],[Utilidad Total]]*11.5%))/Tabla4[[#This Row],[Total]]</f>
        <v>#N/A</v>
      </c>
      <c r="V4784" s="282" t="e">
        <f>+Tabla4[[#This Row],[Comisión Calculada]]*Tabla4[[#This Row],[Total]]</f>
        <v>#N/A</v>
      </c>
    </row>
    <row r="4785" spans="1:22" hidden="1" x14ac:dyDescent="0.25">
      <c r="A4785" s="100">
        <v>45869</v>
      </c>
      <c r="B4785" t="str">
        <f t="shared" si="239"/>
        <v>July</v>
      </c>
      <c r="C4785" s="46" t="s">
        <v>280</v>
      </c>
      <c r="F4785" s="366" t="s">
        <v>2512</v>
      </c>
      <c r="G4785" s="46" t="s">
        <v>19</v>
      </c>
      <c r="H4785" s="46">
        <v>4</v>
      </c>
      <c r="I4785" s="51">
        <v>6412.03</v>
      </c>
      <c r="J4785" s="281">
        <f>++Tabla4[[#This Row],[Precio Bruto]]*1.16</f>
        <v>7437.9547999999995</v>
      </c>
      <c r="K4785" s="281">
        <f>+Tabla4[[#This Row],[Precio Unitario Neto]]*Tabla4[[#Headers],[20.85%]]</f>
        <v>1550.8135757999999</v>
      </c>
      <c r="L4785" s="282">
        <f>++Tabla4[[#This Row],[Precio Unitario Neto]]-Tabla4[[#This Row],[20.85%]]</f>
        <v>5887.1412241999997</v>
      </c>
      <c r="M4785" s="282" t="e">
        <f>(INDEX(Tabla6[#All],MATCH(Tabla4[[#This Row],[Producto]],Tabla6[[#All],[PRODUCTO]],0),MATCH(Tabla4[[#This Row],[Mes]],Tabla6[#Headers],0)))*(1+Catalogos!$L$2)</f>
        <v>#N/A</v>
      </c>
      <c r="N4785" s="283" t="e">
        <f>+(Tabla4[[#This Row],[Precio Descontado]]-Tabla4[[#This Row],[Precio Base]])*Tabla4[[#This Row],[Cantidad]]</f>
        <v>#N/A</v>
      </c>
      <c r="O4785" s="284" t="e">
        <f>++Tabla4[[#This Row],[Utilidad Total]]/Tabla4[[#This Row],[Total]]</f>
        <v>#N/A</v>
      </c>
      <c r="P4785" s="282">
        <f>++Tabla4[[#This Row],[Precio Descontado]]*Tabla4[[#This Row],[Cantidad]]</f>
        <v>23548.564896799999</v>
      </c>
      <c r="Q4785" s="282" t="e">
        <f>(INDEX(Tabla6[#All],MATCH(Tabla4[[#This Row],[Producto]],Tabla6[[#All],[PRODUCTO]],0),MATCH(Tabla4[[#This Row],[Mes]],Tabla6[#Headers],0)))</f>
        <v>#N/A</v>
      </c>
      <c r="R4785" s="282" t="e">
        <f>++Tabla4[[#This Row],[Precio Unitario Neto]]-Tabla4[[#This Row],[20.85%]]-Tabla4[[#This Row],[Costo]]</f>
        <v>#N/A</v>
      </c>
      <c r="S4785" s="282" t="e">
        <f>++Tabla4[[#This Row],[U. Bruta Uni]]*Tabla4[[#This Row],[Cantidad]]</f>
        <v>#N/A</v>
      </c>
      <c r="T4785" s="369" t="str">
        <f>VLOOKUP(Tabla4[[#This Row],[Producto]],Tabla6[#All],14,FALSE)</f>
        <v>Termico Solar</v>
      </c>
      <c r="U4785" s="284" t="e">
        <f>(IF(Tabla4[[#This Row],[Familia]]="termico solar",Tabla4[[#This Row],[Utilidad Total]]*6%,Tabla4[[#This Row],[Utilidad Total]]*11.5%))/Tabla4[[#This Row],[Total]]</f>
        <v>#N/A</v>
      </c>
      <c r="V4785" s="282" t="e">
        <f>+Tabla4[[#This Row],[Comisión Calculada]]*Tabla4[[#This Row],[Total]]</f>
        <v>#N/A</v>
      </c>
    </row>
    <row r="4786" spans="1:22" hidden="1" x14ac:dyDescent="0.25">
      <c r="A4786" s="100">
        <v>45869</v>
      </c>
      <c r="B4786" t="str">
        <f t="shared" si="239"/>
        <v>July</v>
      </c>
      <c r="C4786" s="46" t="s">
        <v>280</v>
      </c>
      <c r="F4786" s="366" t="s">
        <v>2512</v>
      </c>
      <c r="G4786" s="46" t="s">
        <v>21</v>
      </c>
      <c r="H4786" s="46">
        <v>6</v>
      </c>
      <c r="I4786" s="51">
        <v>9282.19</v>
      </c>
      <c r="J4786" s="281">
        <f>++Tabla4[[#This Row],[Precio Bruto]]*1.16</f>
        <v>10767.340399999999</v>
      </c>
      <c r="K4786" s="281">
        <f>+Tabla4[[#This Row],[Precio Unitario Neto]]*Tabla4[[#Headers],[20.85%]]</f>
        <v>2244.9904733999997</v>
      </c>
      <c r="L4786" s="282">
        <f>++Tabla4[[#This Row],[Precio Unitario Neto]]-Tabla4[[#This Row],[20.85%]]</f>
        <v>8522.3499265999999</v>
      </c>
      <c r="M4786" s="282" t="e">
        <f>(INDEX(Tabla6[#All],MATCH(Tabla4[[#This Row],[Producto]],Tabla6[[#All],[PRODUCTO]],0),MATCH(Tabla4[[#This Row],[Mes]],Tabla6[#Headers],0)))*(1+Catalogos!$L$2)</f>
        <v>#N/A</v>
      </c>
      <c r="N4786" s="283" t="e">
        <f>+(Tabla4[[#This Row],[Precio Descontado]]-Tabla4[[#This Row],[Precio Base]])*Tabla4[[#This Row],[Cantidad]]</f>
        <v>#N/A</v>
      </c>
      <c r="O4786" s="284" t="e">
        <f>++Tabla4[[#This Row],[Utilidad Total]]/Tabla4[[#This Row],[Total]]</f>
        <v>#N/A</v>
      </c>
      <c r="P4786" s="282">
        <f>++Tabla4[[#This Row],[Precio Descontado]]*Tabla4[[#This Row],[Cantidad]]</f>
        <v>51134.099559599999</v>
      </c>
      <c r="Q4786" s="282" t="e">
        <f>(INDEX(Tabla6[#All],MATCH(Tabla4[[#This Row],[Producto]],Tabla6[[#All],[PRODUCTO]],0),MATCH(Tabla4[[#This Row],[Mes]],Tabla6[#Headers],0)))</f>
        <v>#N/A</v>
      </c>
      <c r="R4786" s="282" t="e">
        <f>++Tabla4[[#This Row],[Precio Unitario Neto]]-Tabla4[[#This Row],[20.85%]]-Tabla4[[#This Row],[Costo]]</f>
        <v>#N/A</v>
      </c>
      <c r="S4786" s="282" t="e">
        <f>++Tabla4[[#This Row],[U. Bruta Uni]]*Tabla4[[#This Row],[Cantidad]]</f>
        <v>#N/A</v>
      </c>
      <c r="T4786" s="369" t="str">
        <f>VLOOKUP(Tabla4[[#This Row],[Producto]],Tabla6[#All],14,FALSE)</f>
        <v>Termico Solar</v>
      </c>
      <c r="U4786" s="284" t="e">
        <f>(IF(Tabla4[[#This Row],[Familia]]="termico solar",Tabla4[[#This Row],[Utilidad Total]]*6%,Tabla4[[#This Row],[Utilidad Total]]*11.5%))/Tabla4[[#This Row],[Total]]</f>
        <v>#N/A</v>
      </c>
      <c r="V4786" s="282" t="e">
        <f>+Tabla4[[#This Row],[Comisión Calculada]]*Tabla4[[#This Row],[Total]]</f>
        <v>#N/A</v>
      </c>
    </row>
    <row r="4787" spans="1:22" hidden="1" x14ac:dyDescent="0.25">
      <c r="A4787" s="100">
        <v>45869</v>
      </c>
      <c r="B4787" t="str">
        <f t="shared" si="239"/>
        <v>July</v>
      </c>
      <c r="C4787" s="46" t="s">
        <v>280</v>
      </c>
      <c r="F4787" s="366" t="s">
        <v>2512</v>
      </c>
      <c r="G4787" s="46" t="s">
        <v>22</v>
      </c>
      <c r="H4787" s="46">
        <v>6</v>
      </c>
      <c r="I4787" s="51">
        <v>13355.75</v>
      </c>
      <c r="J4787" s="281">
        <f>++Tabla4[[#This Row],[Precio Bruto]]*1.16</f>
        <v>15492.669999999998</v>
      </c>
      <c r="K4787" s="281">
        <f>+Tabla4[[#This Row],[Precio Unitario Neto]]*Tabla4[[#Headers],[20.85%]]</f>
        <v>3230.2216949999993</v>
      </c>
      <c r="L4787" s="282">
        <f>++Tabla4[[#This Row],[Precio Unitario Neto]]-Tabla4[[#This Row],[20.85%]]</f>
        <v>12262.448304999998</v>
      </c>
      <c r="M4787" s="282" t="e">
        <f>(INDEX(Tabla6[#All],MATCH(Tabla4[[#This Row],[Producto]],Tabla6[[#All],[PRODUCTO]],0),MATCH(Tabla4[[#This Row],[Mes]],Tabla6[#Headers],0)))*(1+Catalogos!$L$2)</f>
        <v>#N/A</v>
      </c>
      <c r="N4787" s="283" t="e">
        <f>+(Tabla4[[#This Row],[Precio Descontado]]-Tabla4[[#This Row],[Precio Base]])*Tabla4[[#This Row],[Cantidad]]</f>
        <v>#N/A</v>
      </c>
      <c r="O4787" s="284" t="e">
        <f>++Tabla4[[#This Row],[Utilidad Total]]/Tabla4[[#This Row],[Total]]</f>
        <v>#N/A</v>
      </c>
      <c r="P4787" s="282">
        <f>++Tabla4[[#This Row],[Precio Descontado]]*Tabla4[[#This Row],[Cantidad]]</f>
        <v>73574.689829999988</v>
      </c>
      <c r="Q4787" s="282" t="e">
        <f>(INDEX(Tabla6[#All],MATCH(Tabla4[[#This Row],[Producto]],Tabla6[[#All],[PRODUCTO]],0),MATCH(Tabla4[[#This Row],[Mes]],Tabla6[#Headers],0)))</f>
        <v>#N/A</v>
      </c>
      <c r="R4787" s="282" t="e">
        <f>++Tabla4[[#This Row],[Precio Unitario Neto]]-Tabla4[[#This Row],[20.85%]]-Tabla4[[#This Row],[Costo]]</f>
        <v>#N/A</v>
      </c>
      <c r="S4787" s="282" t="e">
        <f>++Tabla4[[#This Row],[U. Bruta Uni]]*Tabla4[[#This Row],[Cantidad]]</f>
        <v>#N/A</v>
      </c>
      <c r="T4787" s="369" t="str">
        <f>VLOOKUP(Tabla4[[#This Row],[Producto]],Tabla6[#All],14,FALSE)</f>
        <v>Termico Solar</v>
      </c>
      <c r="U4787" s="284" t="e">
        <f>(IF(Tabla4[[#This Row],[Familia]]="termico solar",Tabla4[[#This Row],[Utilidad Total]]*6%,Tabla4[[#This Row],[Utilidad Total]]*11.5%))/Tabla4[[#This Row],[Total]]</f>
        <v>#N/A</v>
      </c>
      <c r="V4787" s="282" t="e">
        <f>+Tabla4[[#This Row],[Comisión Calculada]]*Tabla4[[#This Row],[Total]]</f>
        <v>#N/A</v>
      </c>
    </row>
    <row r="4788" spans="1:22" hidden="1" x14ac:dyDescent="0.25">
      <c r="A4788" s="100">
        <v>45869</v>
      </c>
      <c r="B4788" t="str">
        <f t="shared" si="239"/>
        <v>July</v>
      </c>
      <c r="C4788" s="46" t="s">
        <v>280</v>
      </c>
      <c r="F4788" s="366" t="s">
        <v>2512</v>
      </c>
      <c r="G4788" s="46" t="s">
        <v>566</v>
      </c>
      <c r="H4788" s="46">
        <v>2</v>
      </c>
      <c r="I4788" s="51">
        <v>2109.4499999999998</v>
      </c>
      <c r="J4788" s="281">
        <f>++Tabla4[[#This Row],[Precio Bruto]]*1.16</f>
        <v>2446.9619999999995</v>
      </c>
      <c r="K4788" s="281">
        <f>+Tabla4[[#This Row],[Precio Unitario Neto]]*Tabla4[[#Headers],[20.85%]]</f>
        <v>510.19157699999988</v>
      </c>
      <c r="L4788" s="282">
        <f>++Tabla4[[#This Row],[Precio Unitario Neto]]-Tabla4[[#This Row],[20.85%]]</f>
        <v>1936.7704229999997</v>
      </c>
      <c r="M4788" s="282" t="e">
        <f>(INDEX(Tabla6[#All],MATCH(Tabla4[[#This Row],[Producto]],Tabla6[[#All],[PRODUCTO]],0),MATCH(Tabla4[[#This Row],[Mes]],Tabla6[#Headers],0)))*(1+Catalogos!$L$2)</f>
        <v>#N/A</v>
      </c>
      <c r="N4788" s="283" t="e">
        <f>+(Tabla4[[#This Row],[Precio Descontado]]-Tabla4[[#This Row],[Precio Base]])*Tabla4[[#This Row],[Cantidad]]</f>
        <v>#N/A</v>
      </c>
      <c r="O4788" s="284" t="e">
        <f>++Tabla4[[#This Row],[Utilidad Total]]/Tabla4[[#This Row],[Total]]</f>
        <v>#N/A</v>
      </c>
      <c r="P4788" s="282">
        <f>++Tabla4[[#This Row],[Precio Descontado]]*Tabla4[[#This Row],[Cantidad]]</f>
        <v>3873.5408459999994</v>
      </c>
      <c r="Q4788" s="282" t="e">
        <f>(INDEX(Tabla6[#All],MATCH(Tabla4[[#This Row],[Producto]],Tabla6[[#All],[PRODUCTO]],0),MATCH(Tabla4[[#This Row],[Mes]],Tabla6[#Headers],0)))</f>
        <v>#N/A</v>
      </c>
      <c r="R4788" s="282" t="e">
        <f>++Tabla4[[#This Row],[Precio Unitario Neto]]-Tabla4[[#This Row],[20.85%]]-Tabla4[[#This Row],[Costo]]</f>
        <v>#N/A</v>
      </c>
      <c r="S4788" s="282" t="e">
        <f>++Tabla4[[#This Row],[U. Bruta Uni]]*Tabla4[[#This Row],[Cantidad]]</f>
        <v>#N/A</v>
      </c>
      <c r="T4788" s="369" t="str">
        <f>VLOOKUP(Tabla4[[#This Row],[Producto]],Tabla6[#All],14,FALSE)</f>
        <v>Termico Solar</v>
      </c>
      <c r="U4788" s="284" t="e">
        <f>(IF(Tabla4[[#This Row],[Familia]]="termico solar",Tabla4[[#This Row],[Utilidad Total]]*6%,Tabla4[[#This Row],[Utilidad Total]]*11.5%))/Tabla4[[#This Row],[Total]]</f>
        <v>#N/A</v>
      </c>
      <c r="V4788" s="282" t="e">
        <f>+Tabla4[[#This Row],[Comisión Calculada]]*Tabla4[[#This Row],[Total]]</f>
        <v>#N/A</v>
      </c>
    </row>
    <row r="4789" spans="1:22" hidden="1" x14ac:dyDescent="0.25">
      <c r="A4789" s="100">
        <v>45869</v>
      </c>
      <c r="B4789" t="str">
        <f t="shared" si="239"/>
        <v>July</v>
      </c>
      <c r="C4789" s="46" t="s">
        <v>280</v>
      </c>
      <c r="F4789" s="366" t="s">
        <v>2512</v>
      </c>
      <c r="G4789" s="46" t="s">
        <v>394</v>
      </c>
      <c r="H4789" s="46">
        <v>9</v>
      </c>
      <c r="I4789" s="51">
        <v>108.1</v>
      </c>
      <c r="J4789" s="281">
        <f>++Tabla4[[#This Row],[Precio Bruto]]*1.16</f>
        <v>125.39599999999999</v>
      </c>
      <c r="K4789" s="281">
        <f>+Tabla4[[#This Row],[Precio Unitario Neto]]*Tabla4[[#Headers],[20.85%]]</f>
        <v>26.145065999999996</v>
      </c>
      <c r="L4789" s="282">
        <f>++Tabla4[[#This Row],[Precio Unitario Neto]]-Tabla4[[#This Row],[20.85%]]</f>
        <v>99.250933999999987</v>
      </c>
      <c r="M4789" s="282" t="e">
        <f>(INDEX(Tabla6[#All],MATCH(Tabla4[[#This Row],[Producto]],Tabla6[[#All],[PRODUCTO]],0),MATCH(Tabla4[[#This Row],[Mes]],Tabla6[#Headers],0)))*(1+Catalogos!$L$2)</f>
        <v>#N/A</v>
      </c>
      <c r="N4789" s="283" t="e">
        <f>+(Tabla4[[#This Row],[Precio Descontado]]-Tabla4[[#This Row],[Precio Base]])*Tabla4[[#This Row],[Cantidad]]</f>
        <v>#N/A</v>
      </c>
      <c r="O4789" s="284" t="e">
        <f>++Tabla4[[#This Row],[Utilidad Total]]/Tabla4[[#This Row],[Total]]</f>
        <v>#N/A</v>
      </c>
      <c r="P4789" s="282">
        <f>++Tabla4[[#This Row],[Precio Descontado]]*Tabla4[[#This Row],[Cantidad]]</f>
        <v>893.25840599999992</v>
      </c>
      <c r="Q4789" s="282" t="e">
        <f>(INDEX(Tabla6[#All],MATCH(Tabla4[[#This Row],[Producto]],Tabla6[[#All],[PRODUCTO]],0),MATCH(Tabla4[[#This Row],[Mes]],Tabla6[#Headers],0)))</f>
        <v>#N/A</v>
      </c>
      <c r="R4789" s="282" t="e">
        <f>++Tabla4[[#This Row],[Precio Unitario Neto]]-Tabla4[[#This Row],[20.85%]]-Tabla4[[#This Row],[Costo]]</f>
        <v>#N/A</v>
      </c>
      <c r="S4789" s="282" t="e">
        <f>++Tabla4[[#This Row],[U. Bruta Uni]]*Tabla4[[#This Row],[Cantidad]]</f>
        <v>#N/A</v>
      </c>
      <c r="T4789" s="369" t="str">
        <f>VLOOKUP(Tabla4[[#This Row],[Producto]],Tabla6[#All],14,FALSE)</f>
        <v>Termico Solar</v>
      </c>
      <c r="U4789" s="284" t="e">
        <f>(IF(Tabla4[[#This Row],[Familia]]="termico solar",Tabla4[[#This Row],[Utilidad Total]]*6%,Tabla4[[#This Row],[Utilidad Total]]*11.5%))/Tabla4[[#This Row],[Total]]</f>
        <v>#N/A</v>
      </c>
      <c r="V4789" s="282" t="e">
        <f>+Tabla4[[#This Row],[Comisión Calculada]]*Tabla4[[#This Row],[Total]]</f>
        <v>#N/A</v>
      </c>
    </row>
    <row r="4790" spans="1:22" hidden="1" x14ac:dyDescent="0.25">
      <c r="A4790" s="100">
        <v>45869</v>
      </c>
      <c r="B4790" t="str">
        <f t="shared" si="239"/>
        <v>July</v>
      </c>
      <c r="C4790" s="46" t="s">
        <v>280</v>
      </c>
      <c r="F4790" s="366" t="s">
        <v>2512</v>
      </c>
      <c r="G4790" s="46" t="s">
        <v>16</v>
      </c>
      <c r="H4790" s="46">
        <v>15</v>
      </c>
      <c r="I4790" s="51">
        <v>4103.8500000000004</v>
      </c>
      <c r="J4790" s="281">
        <f>++Tabla4[[#This Row],[Precio Bruto]]*1.16</f>
        <v>4760.4660000000003</v>
      </c>
      <c r="K4790" s="281">
        <f>+Tabla4[[#This Row],[Precio Unitario Neto]]*Tabla4[[#Headers],[20.85%]]</f>
        <v>992.55716100000006</v>
      </c>
      <c r="L4790" s="282">
        <f>++Tabla4[[#This Row],[Precio Unitario Neto]]-Tabla4[[#This Row],[20.85%]]</f>
        <v>3767.9088390000002</v>
      </c>
      <c r="M4790" s="282" t="e">
        <f>(INDEX(Tabla6[#All],MATCH(Tabla4[[#This Row],[Producto]],Tabla6[[#All],[PRODUCTO]],0),MATCH(Tabla4[[#This Row],[Mes]],Tabla6[#Headers],0)))*(1+Catalogos!$L$2)</f>
        <v>#N/A</v>
      </c>
      <c r="N4790" s="283" t="e">
        <f>+(Tabla4[[#This Row],[Precio Descontado]]-Tabla4[[#This Row],[Precio Base]])*Tabla4[[#This Row],[Cantidad]]</f>
        <v>#N/A</v>
      </c>
      <c r="O4790" s="284" t="e">
        <f>++Tabla4[[#This Row],[Utilidad Total]]/Tabla4[[#This Row],[Total]]</f>
        <v>#N/A</v>
      </c>
      <c r="P4790" s="282">
        <f>++Tabla4[[#This Row],[Precio Descontado]]*Tabla4[[#This Row],[Cantidad]]</f>
        <v>56518.632584999999</v>
      </c>
      <c r="Q4790" s="282" t="e">
        <f>(INDEX(Tabla6[#All],MATCH(Tabla4[[#This Row],[Producto]],Tabla6[[#All],[PRODUCTO]],0),MATCH(Tabla4[[#This Row],[Mes]],Tabla6[#Headers],0)))</f>
        <v>#N/A</v>
      </c>
      <c r="R4790" s="282" t="e">
        <f>++Tabla4[[#This Row],[Precio Unitario Neto]]-Tabla4[[#This Row],[20.85%]]-Tabla4[[#This Row],[Costo]]</f>
        <v>#N/A</v>
      </c>
      <c r="S4790" s="282" t="e">
        <f>++Tabla4[[#This Row],[U. Bruta Uni]]*Tabla4[[#This Row],[Cantidad]]</f>
        <v>#N/A</v>
      </c>
      <c r="T4790" s="369" t="str">
        <f>VLOOKUP(Tabla4[[#This Row],[Producto]],Tabla6[#All],14,FALSE)</f>
        <v>Termico Solar</v>
      </c>
      <c r="U4790" s="284" t="e">
        <f>(IF(Tabla4[[#This Row],[Familia]]="termico solar",Tabla4[[#This Row],[Utilidad Total]]*6%,Tabla4[[#This Row],[Utilidad Total]]*11.5%))/Tabla4[[#This Row],[Total]]</f>
        <v>#N/A</v>
      </c>
      <c r="V4790" s="282" t="e">
        <f>+Tabla4[[#This Row],[Comisión Calculada]]*Tabla4[[#This Row],[Total]]</f>
        <v>#N/A</v>
      </c>
    </row>
    <row r="4791" spans="1:22" hidden="1" x14ac:dyDescent="0.25">
      <c r="A4791" s="100">
        <v>45869</v>
      </c>
      <c r="B4791" t="str">
        <f t="shared" ref="B4791:B4854" si="240">TEXT(A4791, "mmmm")</f>
        <v>July</v>
      </c>
      <c r="C4791" s="46" t="s">
        <v>280</v>
      </c>
      <c r="F4791" s="366" t="s">
        <v>2513</v>
      </c>
      <c r="G4791" s="46" t="s">
        <v>17</v>
      </c>
      <c r="H4791" s="46">
        <v>5</v>
      </c>
      <c r="I4791" s="51">
        <v>4622.2800000000007</v>
      </c>
      <c r="J4791" s="281">
        <f>++Tabla4[[#This Row],[Precio Bruto]]*1.16</f>
        <v>5361.8448000000008</v>
      </c>
      <c r="K4791" s="281">
        <f>+Tabla4[[#This Row],[Precio Unitario Neto]]*Tabla4[[#Headers],[20.85%]]</f>
        <v>1117.9446408000001</v>
      </c>
      <c r="L4791" s="282">
        <f>++Tabla4[[#This Row],[Precio Unitario Neto]]-Tabla4[[#This Row],[20.85%]]</f>
        <v>4243.9001592000004</v>
      </c>
      <c r="M4791" s="282" t="e">
        <f>(INDEX(Tabla6[#All],MATCH(Tabla4[[#This Row],[Producto]],Tabla6[[#All],[PRODUCTO]],0),MATCH(Tabla4[[#This Row],[Mes]],Tabla6[#Headers],0)))*(1+Catalogos!$L$2)</f>
        <v>#N/A</v>
      </c>
      <c r="N4791" s="283" t="e">
        <f>+(Tabla4[[#This Row],[Precio Descontado]]-Tabla4[[#This Row],[Precio Base]])*Tabla4[[#This Row],[Cantidad]]</f>
        <v>#N/A</v>
      </c>
      <c r="O4791" s="284" t="e">
        <f>++Tabla4[[#This Row],[Utilidad Total]]/Tabla4[[#This Row],[Total]]</f>
        <v>#N/A</v>
      </c>
      <c r="P4791" s="282">
        <f>++Tabla4[[#This Row],[Precio Descontado]]*Tabla4[[#This Row],[Cantidad]]</f>
        <v>21219.500796</v>
      </c>
      <c r="Q4791" s="282" t="e">
        <f>(INDEX(Tabla6[#All],MATCH(Tabla4[[#This Row],[Producto]],Tabla6[[#All],[PRODUCTO]],0),MATCH(Tabla4[[#This Row],[Mes]],Tabla6[#Headers],0)))</f>
        <v>#N/A</v>
      </c>
      <c r="R4791" s="282" t="e">
        <f>++Tabla4[[#This Row],[Precio Unitario Neto]]-Tabla4[[#This Row],[20.85%]]-Tabla4[[#This Row],[Costo]]</f>
        <v>#N/A</v>
      </c>
      <c r="S4791" s="282" t="e">
        <f>++Tabla4[[#This Row],[U. Bruta Uni]]*Tabla4[[#This Row],[Cantidad]]</f>
        <v>#N/A</v>
      </c>
      <c r="T4791" s="369" t="str">
        <f>VLOOKUP(Tabla4[[#This Row],[Producto]],Tabla6[#All],14,FALSE)</f>
        <v>Termico Solar</v>
      </c>
      <c r="U4791" s="284" t="e">
        <f>(IF(Tabla4[[#This Row],[Familia]]="termico solar",Tabla4[[#This Row],[Utilidad Total]]*6%,Tabla4[[#This Row],[Utilidad Total]]*11.5%))/Tabla4[[#This Row],[Total]]</f>
        <v>#N/A</v>
      </c>
      <c r="V4791" s="282" t="e">
        <f>+Tabla4[[#This Row],[Comisión Calculada]]*Tabla4[[#This Row],[Total]]</f>
        <v>#N/A</v>
      </c>
    </row>
    <row r="4792" spans="1:22" hidden="1" x14ac:dyDescent="0.25">
      <c r="A4792" s="100">
        <v>45869</v>
      </c>
      <c r="B4792" t="str">
        <f t="shared" si="240"/>
        <v>July</v>
      </c>
      <c r="C4792" s="46" t="s">
        <v>280</v>
      </c>
      <c r="F4792" s="366" t="s">
        <v>2513</v>
      </c>
      <c r="G4792" s="46" t="s">
        <v>18</v>
      </c>
      <c r="H4792" s="46">
        <v>5</v>
      </c>
      <c r="I4792" s="51">
        <v>5367.65</v>
      </c>
      <c r="J4792" s="281">
        <f>++Tabla4[[#This Row],[Precio Bruto]]*1.16</f>
        <v>6226.4739999999993</v>
      </c>
      <c r="K4792" s="281">
        <f>+Tabla4[[#This Row],[Precio Unitario Neto]]*Tabla4[[#Headers],[20.85%]]</f>
        <v>1298.2198289999999</v>
      </c>
      <c r="L4792" s="282">
        <f>++Tabla4[[#This Row],[Precio Unitario Neto]]-Tabla4[[#This Row],[20.85%]]</f>
        <v>4928.2541709999996</v>
      </c>
      <c r="M4792" s="282" t="e">
        <f>(INDEX(Tabla6[#All],MATCH(Tabla4[[#This Row],[Producto]],Tabla6[[#All],[PRODUCTO]],0),MATCH(Tabla4[[#This Row],[Mes]],Tabla6[#Headers],0)))*(1+Catalogos!$L$2)</f>
        <v>#N/A</v>
      </c>
      <c r="N4792" s="283" t="e">
        <f>+(Tabla4[[#This Row],[Precio Descontado]]-Tabla4[[#This Row],[Precio Base]])*Tabla4[[#This Row],[Cantidad]]</f>
        <v>#N/A</v>
      </c>
      <c r="O4792" s="284" t="e">
        <f>++Tabla4[[#This Row],[Utilidad Total]]/Tabla4[[#This Row],[Total]]</f>
        <v>#N/A</v>
      </c>
      <c r="P4792" s="282">
        <f>++Tabla4[[#This Row],[Precio Descontado]]*Tabla4[[#This Row],[Cantidad]]</f>
        <v>24641.270854999999</v>
      </c>
      <c r="Q4792" s="282" t="e">
        <f>(INDEX(Tabla6[#All],MATCH(Tabla4[[#This Row],[Producto]],Tabla6[[#All],[PRODUCTO]],0),MATCH(Tabla4[[#This Row],[Mes]],Tabla6[#Headers],0)))</f>
        <v>#N/A</v>
      </c>
      <c r="R4792" s="282" t="e">
        <f>++Tabla4[[#This Row],[Precio Unitario Neto]]-Tabla4[[#This Row],[20.85%]]-Tabla4[[#This Row],[Costo]]</f>
        <v>#N/A</v>
      </c>
      <c r="S4792" s="282" t="e">
        <f>++Tabla4[[#This Row],[U. Bruta Uni]]*Tabla4[[#This Row],[Cantidad]]</f>
        <v>#N/A</v>
      </c>
      <c r="T4792" s="369" t="str">
        <f>VLOOKUP(Tabla4[[#This Row],[Producto]],Tabla6[#All],14,FALSE)</f>
        <v>Termico Solar</v>
      </c>
      <c r="U4792" s="284" t="e">
        <f>(IF(Tabla4[[#This Row],[Familia]]="termico solar",Tabla4[[#This Row],[Utilidad Total]]*6%,Tabla4[[#This Row],[Utilidad Total]]*11.5%))/Tabla4[[#This Row],[Total]]</f>
        <v>#N/A</v>
      </c>
      <c r="V4792" s="282" t="e">
        <f>+Tabla4[[#This Row],[Comisión Calculada]]*Tabla4[[#This Row],[Total]]</f>
        <v>#N/A</v>
      </c>
    </row>
    <row r="4793" spans="1:22" hidden="1" x14ac:dyDescent="0.25">
      <c r="A4793" s="100">
        <v>45869</v>
      </c>
      <c r="B4793" t="str">
        <f t="shared" si="240"/>
        <v>July</v>
      </c>
      <c r="C4793" s="46" t="s">
        <v>280</v>
      </c>
      <c r="F4793" s="366" t="s">
        <v>2513</v>
      </c>
      <c r="G4793" s="46" t="s">
        <v>208</v>
      </c>
      <c r="H4793" s="46">
        <v>2</v>
      </c>
      <c r="I4793" s="51">
        <v>189.75</v>
      </c>
      <c r="J4793" s="281">
        <f>++Tabla4[[#This Row],[Precio Bruto]]*1.16</f>
        <v>220.10999999999999</v>
      </c>
      <c r="K4793" s="281">
        <f>+Tabla4[[#This Row],[Precio Unitario Neto]]*Tabla4[[#Headers],[20.85%]]</f>
        <v>45.892934999999994</v>
      </c>
      <c r="L4793" s="282">
        <f>++Tabla4[[#This Row],[Precio Unitario Neto]]-Tabla4[[#This Row],[20.85%]]</f>
        <v>174.21706499999999</v>
      </c>
      <c r="M4793" s="282" t="e">
        <f>(INDEX(Tabla6[#All],MATCH(Tabla4[[#This Row],[Producto]],Tabla6[[#All],[PRODUCTO]],0),MATCH(Tabla4[[#This Row],[Mes]],Tabla6[#Headers],0)))*(1+Catalogos!$L$2)</f>
        <v>#N/A</v>
      </c>
      <c r="N4793" s="283" t="e">
        <f>+(Tabla4[[#This Row],[Precio Descontado]]-Tabla4[[#This Row],[Precio Base]])*Tabla4[[#This Row],[Cantidad]]</f>
        <v>#N/A</v>
      </c>
      <c r="O4793" s="284" t="e">
        <f>++Tabla4[[#This Row],[Utilidad Total]]/Tabla4[[#This Row],[Total]]</f>
        <v>#N/A</v>
      </c>
      <c r="P4793" s="282">
        <f>++Tabla4[[#This Row],[Precio Descontado]]*Tabla4[[#This Row],[Cantidad]]</f>
        <v>348.43412999999998</v>
      </c>
      <c r="Q4793" s="282" t="e">
        <f>(INDEX(Tabla6[#All],MATCH(Tabla4[[#This Row],[Producto]],Tabla6[[#All],[PRODUCTO]],0),MATCH(Tabla4[[#This Row],[Mes]],Tabla6[#Headers],0)))</f>
        <v>#N/A</v>
      </c>
      <c r="R4793" s="282" t="e">
        <f>++Tabla4[[#This Row],[Precio Unitario Neto]]-Tabla4[[#This Row],[20.85%]]-Tabla4[[#This Row],[Costo]]</f>
        <v>#N/A</v>
      </c>
      <c r="S4793" s="282" t="e">
        <f>++Tabla4[[#This Row],[U. Bruta Uni]]*Tabla4[[#This Row],[Cantidad]]</f>
        <v>#N/A</v>
      </c>
      <c r="T4793" s="369" t="str">
        <f>VLOOKUP(Tabla4[[#This Row],[Producto]],Tabla6[#All],14,FALSE)</f>
        <v>Termico Solar</v>
      </c>
      <c r="U4793" s="284" t="e">
        <f>(IF(Tabla4[[#This Row],[Familia]]="termico solar",Tabla4[[#This Row],[Utilidad Total]]*6%,Tabla4[[#This Row],[Utilidad Total]]*11.5%))/Tabla4[[#This Row],[Total]]</f>
        <v>#N/A</v>
      </c>
      <c r="V4793" s="282" t="e">
        <f>+Tabla4[[#This Row],[Comisión Calculada]]*Tabla4[[#This Row],[Total]]</f>
        <v>#N/A</v>
      </c>
    </row>
    <row r="4794" spans="1:22" hidden="1" x14ac:dyDescent="0.25">
      <c r="A4794" s="100">
        <v>45869</v>
      </c>
      <c r="B4794" t="str">
        <f t="shared" si="240"/>
        <v>July</v>
      </c>
      <c r="C4794" s="46" t="s">
        <v>280</v>
      </c>
      <c r="F4794" s="366" t="s">
        <v>2514</v>
      </c>
      <c r="G4794" s="46" t="s">
        <v>22</v>
      </c>
      <c r="H4794" s="46">
        <v>2</v>
      </c>
      <c r="I4794" s="51">
        <v>13355.75</v>
      </c>
      <c r="J4794" s="281">
        <f>++Tabla4[[#This Row],[Precio Bruto]]*1.16</f>
        <v>15492.669999999998</v>
      </c>
      <c r="K4794" s="281">
        <f>+Tabla4[[#This Row],[Precio Unitario Neto]]*Tabla4[[#Headers],[20.85%]]</f>
        <v>3230.2216949999993</v>
      </c>
      <c r="L4794" s="282">
        <f>++Tabla4[[#This Row],[Precio Unitario Neto]]-Tabla4[[#This Row],[20.85%]]</f>
        <v>12262.448304999998</v>
      </c>
      <c r="M4794" s="282" t="e">
        <f>(INDEX(Tabla6[#All],MATCH(Tabla4[[#This Row],[Producto]],Tabla6[[#All],[PRODUCTO]],0),MATCH(Tabla4[[#This Row],[Mes]],Tabla6[#Headers],0)))*(1+Catalogos!$L$2)</f>
        <v>#N/A</v>
      </c>
      <c r="N4794" s="283" t="e">
        <f>+(Tabla4[[#This Row],[Precio Descontado]]-Tabla4[[#This Row],[Precio Base]])*Tabla4[[#This Row],[Cantidad]]</f>
        <v>#N/A</v>
      </c>
      <c r="O4794" s="284" t="e">
        <f>++Tabla4[[#This Row],[Utilidad Total]]/Tabla4[[#This Row],[Total]]</f>
        <v>#N/A</v>
      </c>
      <c r="P4794" s="282">
        <f>++Tabla4[[#This Row],[Precio Descontado]]*Tabla4[[#This Row],[Cantidad]]</f>
        <v>24524.896609999996</v>
      </c>
      <c r="Q4794" s="282" t="e">
        <f>(INDEX(Tabla6[#All],MATCH(Tabla4[[#This Row],[Producto]],Tabla6[[#All],[PRODUCTO]],0),MATCH(Tabla4[[#This Row],[Mes]],Tabla6[#Headers],0)))</f>
        <v>#N/A</v>
      </c>
      <c r="R4794" s="282" t="e">
        <f>++Tabla4[[#This Row],[Precio Unitario Neto]]-Tabla4[[#This Row],[20.85%]]-Tabla4[[#This Row],[Costo]]</f>
        <v>#N/A</v>
      </c>
      <c r="S4794" s="282" t="e">
        <f>++Tabla4[[#This Row],[U. Bruta Uni]]*Tabla4[[#This Row],[Cantidad]]</f>
        <v>#N/A</v>
      </c>
      <c r="T4794" s="369" t="str">
        <f>VLOOKUP(Tabla4[[#This Row],[Producto]],Tabla6[#All],14,FALSE)</f>
        <v>Termico Solar</v>
      </c>
      <c r="U4794" s="284" t="e">
        <f>(IF(Tabla4[[#This Row],[Familia]]="termico solar",Tabla4[[#This Row],[Utilidad Total]]*6%,Tabla4[[#This Row],[Utilidad Total]]*11.5%))/Tabla4[[#This Row],[Total]]</f>
        <v>#N/A</v>
      </c>
      <c r="V4794" s="282" t="e">
        <f>+Tabla4[[#This Row],[Comisión Calculada]]*Tabla4[[#This Row],[Total]]</f>
        <v>#N/A</v>
      </c>
    </row>
    <row r="4795" spans="1:22" hidden="1" x14ac:dyDescent="0.25">
      <c r="A4795" s="100">
        <v>45869</v>
      </c>
      <c r="B4795" t="str">
        <f t="shared" si="240"/>
        <v>July</v>
      </c>
      <c r="C4795" s="46" t="s">
        <v>280</v>
      </c>
      <c r="F4795" s="366" t="s">
        <v>2515</v>
      </c>
      <c r="G4795" s="46" t="s">
        <v>17</v>
      </c>
      <c r="H4795" s="46">
        <v>8</v>
      </c>
      <c r="I4795" s="51">
        <v>4622.28</v>
      </c>
      <c r="J4795" s="281">
        <f>++Tabla4[[#This Row],[Precio Bruto]]*1.16</f>
        <v>5361.8447999999989</v>
      </c>
      <c r="K4795" s="281">
        <f>+Tabla4[[#This Row],[Precio Unitario Neto]]*Tabla4[[#Headers],[20.85%]]</f>
        <v>1117.9446407999997</v>
      </c>
      <c r="L4795" s="282">
        <f>++Tabla4[[#This Row],[Precio Unitario Neto]]-Tabla4[[#This Row],[20.85%]]</f>
        <v>4243.9001591999995</v>
      </c>
      <c r="M4795" s="282" t="e">
        <f>(INDEX(Tabla6[#All],MATCH(Tabla4[[#This Row],[Producto]],Tabla6[[#All],[PRODUCTO]],0),MATCH(Tabla4[[#This Row],[Mes]],Tabla6[#Headers],0)))*(1+Catalogos!$L$2)</f>
        <v>#N/A</v>
      </c>
      <c r="N4795" s="283" t="e">
        <f>+(Tabla4[[#This Row],[Precio Descontado]]-Tabla4[[#This Row],[Precio Base]])*Tabla4[[#This Row],[Cantidad]]</f>
        <v>#N/A</v>
      </c>
      <c r="O4795" s="284" t="e">
        <f>++Tabla4[[#This Row],[Utilidad Total]]/Tabla4[[#This Row],[Total]]</f>
        <v>#N/A</v>
      </c>
      <c r="P4795" s="282">
        <f>++Tabla4[[#This Row],[Precio Descontado]]*Tabla4[[#This Row],[Cantidad]]</f>
        <v>33951.201273599996</v>
      </c>
      <c r="Q4795" s="282" t="e">
        <f>(INDEX(Tabla6[#All],MATCH(Tabla4[[#This Row],[Producto]],Tabla6[[#All],[PRODUCTO]],0),MATCH(Tabla4[[#This Row],[Mes]],Tabla6[#Headers],0)))</f>
        <v>#N/A</v>
      </c>
      <c r="R4795" s="282" t="e">
        <f>++Tabla4[[#This Row],[Precio Unitario Neto]]-Tabla4[[#This Row],[20.85%]]-Tabla4[[#This Row],[Costo]]</f>
        <v>#N/A</v>
      </c>
      <c r="S4795" s="282" t="e">
        <f>++Tabla4[[#This Row],[U. Bruta Uni]]*Tabla4[[#This Row],[Cantidad]]</f>
        <v>#N/A</v>
      </c>
      <c r="T4795" s="369" t="str">
        <f>VLOOKUP(Tabla4[[#This Row],[Producto]],Tabla6[#All],14,FALSE)</f>
        <v>Termico Solar</v>
      </c>
      <c r="U4795" s="284" t="e">
        <f>(IF(Tabla4[[#This Row],[Familia]]="termico solar",Tabla4[[#This Row],[Utilidad Total]]*6%,Tabla4[[#This Row],[Utilidad Total]]*11.5%))/Tabla4[[#This Row],[Total]]</f>
        <v>#N/A</v>
      </c>
      <c r="V4795" s="282" t="e">
        <f>+Tabla4[[#This Row],[Comisión Calculada]]*Tabla4[[#This Row],[Total]]</f>
        <v>#N/A</v>
      </c>
    </row>
    <row r="4796" spans="1:22" hidden="1" x14ac:dyDescent="0.25">
      <c r="A4796" s="100">
        <v>45869</v>
      </c>
      <c r="B4796" t="str">
        <f t="shared" si="240"/>
        <v>July</v>
      </c>
      <c r="C4796" s="46" t="s">
        <v>280</v>
      </c>
      <c r="F4796" s="366" t="s">
        <v>2515</v>
      </c>
      <c r="G4796" s="46" t="s">
        <v>566</v>
      </c>
      <c r="H4796" s="46">
        <v>1</v>
      </c>
      <c r="I4796" s="51">
        <v>2109.4499999999998</v>
      </c>
      <c r="J4796" s="281">
        <f>++Tabla4[[#This Row],[Precio Bruto]]*1.16</f>
        <v>2446.9619999999995</v>
      </c>
      <c r="K4796" s="281">
        <f>+Tabla4[[#This Row],[Precio Unitario Neto]]*Tabla4[[#Headers],[20.85%]]</f>
        <v>510.19157699999988</v>
      </c>
      <c r="L4796" s="282">
        <f>++Tabla4[[#This Row],[Precio Unitario Neto]]-Tabla4[[#This Row],[20.85%]]</f>
        <v>1936.7704229999997</v>
      </c>
      <c r="M4796" s="282" t="e">
        <f>(INDEX(Tabla6[#All],MATCH(Tabla4[[#This Row],[Producto]],Tabla6[[#All],[PRODUCTO]],0),MATCH(Tabla4[[#This Row],[Mes]],Tabla6[#Headers],0)))*(1+Catalogos!$L$2)</f>
        <v>#N/A</v>
      </c>
      <c r="N4796" s="283" t="e">
        <f>+(Tabla4[[#This Row],[Precio Descontado]]-Tabla4[[#This Row],[Precio Base]])*Tabla4[[#This Row],[Cantidad]]</f>
        <v>#N/A</v>
      </c>
      <c r="O4796" s="284" t="e">
        <f>++Tabla4[[#This Row],[Utilidad Total]]/Tabla4[[#This Row],[Total]]</f>
        <v>#N/A</v>
      </c>
      <c r="P4796" s="282">
        <f>++Tabla4[[#This Row],[Precio Descontado]]*Tabla4[[#This Row],[Cantidad]]</f>
        <v>1936.7704229999997</v>
      </c>
      <c r="Q4796" s="282" t="e">
        <f>(INDEX(Tabla6[#All],MATCH(Tabla4[[#This Row],[Producto]],Tabla6[[#All],[PRODUCTO]],0),MATCH(Tabla4[[#This Row],[Mes]],Tabla6[#Headers],0)))</f>
        <v>#N/A</v>
      </c>
      <c r="R4796" s="282" t="e">
        <f>++Tabla4[[#This Row],[Precio Unitario Neto]]-Tabla4[[#This Row],[20.85%]]-Tabla4[[#This Row],[Costo]]</f>
        <v>#N/A</v>
      </c>
      <c r="S4796" s="282" t="e">
        <f>++Tabla4[[#This Row],[U. Bruta Uni]]*Tabla4[[#This Row],[Cantidad]]</f>
        <v>#N/A</v>
      </c>
      <c r="T4796" s="369" t="str">
        <f>VLOOKUP(Tabla4[[#This Row],[Producto]],Tabla6[#All],14,FALSE)</f>
        <v>Termico Solar</v>
      </c>
      <c r="U4796" s="284" t="e">
        <f>(IF(Tabla4[[#This Row],[Familia]]="termico solar",Tabla4[[#This Row],[Utilidad Total]]*6%,Tabla4[[#This Row],[Utilidad Total]]*11.5%))/Tabla4[[#This Row],[Total]]</f>
        <v>#N/A</v>
      </c>
      <c r="V4796" s="282" t="e">
        <f>+Tabla4[[#This Row],[Comisión Calculada]]*Tabla4[[#This Row],[Total]]</f>
        <v>#N/A</v>
      </c>
    </row>
    <row r="4797" spans="1:22" hidden="1" x14ac:dyDescent="0.25">
      <c r="A4797" s="100">
        <v>45869</v>
      </c>
      <c r="B4797" t="str">
        <f t="shared" si="240"/>
        <v>July</v>
      </c>
      <c r="C4797" s="46" t="s">
        <v>280</v>
      </c>
      <c r="F4797" s="366" t="s">
        <v>2515</v>
      </c>
      <c r="G4797" s="46" t="s">
        <v>16</v>
      </c>
      <c r="H4797" s="46">
        <v>9</v>
      </c>
      <c r="I4797" s="51">
        <v>4103.8500000000004</v>
      </c>
      <c r="J4797" s="281">
        <f>++Tabla4[[#This Row],[Precio Bruto]]*1.16</f>
        <v>4760.4660000000003</v>
      </c>
      <c r="K4797" s="281">
        <f>+Tabla4[[#This Row],[Precio Unitario Neto]]*Tabla4[[#Headers],[20.85%]]</f>
        <v>992.55716100000006</v>
      </c>
      <c r="L4797" s="282">
        <f>++Tabla4[[#This Row],[Precio Unitario Neto]]-Tabla4[[#This Row],[20.85%]]</f>
        <v>3767.9088390000002</v>
      </c>
      <c r="M4797" s="282" t="e">
        <f>(INDEX(Tabla6[#All],MATCH(Tabla4[[#This Row],[Producto]],Tabla6[[#All],[PRODUCTO]],0),MATCH(Tabla4[[#This Row],[Mes]],Tabla6[#Headers],0)))*(1+Catalogos!$L$2)</f>
        <v>#N/A</v>
      </c>
      <c r="N4797" s="283" t="e">
        <f>+(Tabla4[[#This Row],[Precio Descontado]]-Tabla4[[#This Row],[Precio Base]])*Tabla4[[#This Row],[Cantidad]]</f>
        <v>#N/A</v>
      </c>
      <c r="O4797" s="284" t="e">
        <f>++Tabla4[[#This Row],[Utilidad Total]]/Tabla4[[#This Row],[Total]]</f>
        <v>#N/A</v>
      </c>
      <c r="P4797" s="282">
        <f>++Tabla4[[#This Row],[Precio Descontado]]*Tabla4[[#This Row],[Cantidad]]</f>
        <v>33911.179551000001</v>
      </c>
      <c r="Q4797" s="282" t="e">
        <f>(INDEX(Tabla6[#All],MATCH(Tabla4[[#This Row],[Producto]],Tabla6[[#All],[PRODUCTO]],0),MATCH(Tabla4[[#This Row],[Mes]],Tabla6[#Headers],0)))</f>
        <v>#N/A</v>
      </c>
      <c r="R4797" s="282" t="e">
        <f>++Tabla4[[#This Row],[Precio Unitario Neto]]-Tabla4[[#This Row],[20.85%]]-Tabla4[[#This Row],[Costo]]</f>
        <v>#N/A</v>
      </c>
      <c r="S4797" s="282" t="e">
        <f>++Tabla4[[#This Row],[U. Bruta Uni]]*Tabla4[[#This Row],[Cantidad]]</f>
        <v>#N/A</v>
      </c>
      <c r="T4797" s="369" t="str">
        <f>VLOOKUP(Tabla4[[#This Row],[Producto]],Tabla6[#All],14,FALSE)</f>
        <v>Termico Solar</v>
      </c>
      <c r="U4797" s="284" t="e">
        <f>(IF(Tabla4[[#This Row],[Familia]]="termico solar",Tabla4[[#This Row],[Utilidad Total]]*6%,Tabla4[[#This Row],[Utilidad Total]]*11.5%))/Tabla4[[#This Row],[Total]]</f>
        <v>#N/A</v>
      </c>
      <c r="V4797" s="282" t="e">
        <f>+Tabla4[[#This Row],[Comisión Calculada]]*Tabla4[[#This Row],[Total]]</f>
        <v>#N/A</v>
      </c>
    </row>
    <row r="4798" spans="1:22" hidden="1" x14ac:dyDescent="0.25">
      <c r="A4798" s="100">
        <v>45869</v>
      </c>
      <c r="B4798" t="str">
        <f t="shared" si="240"/>
        <v>July</v>
      </c>
      <c r="C4798" s="46" t="s">
        <v>280</v>
      </c>
      <c r="F4798" s="366" t="s">
        <v>2515</v>
      </c>
      <c r="G4798" s="46" t="s">
        <v>208</v>
      </c>
      <c r="H4798" s="46">
        <v>1</v>
      </c>
      <c r="I4798" s="51">
        <v>189.75</v>
      </c>
      <c r="J4798" s="281">
        <f>++Tabla4[[#This Row],[Precio Bruto]]*1.16</f>
        <v>220.10999999999999</v>
      </c>
      <c r="K4798" s="281">
        <f>+Tabla4[[#This Row],[Precio Unitario Neto]]*Tabla4[[#Headers],[20.85%]]</f>
        <v>45.892934999999994</v>
      </c>
      <c r="L4798" s="282">
        <f>++Tabla4[[#This Row],[Precio Unitario Neto]]-Tabla4[[#This Row],[20.85%]]</f>
        <v>174.21706499999999</v>
      </c>
      <c r="M4798" s="282" t="e">
        <f>(INDEX(Tabla6[#All],MATCH(Tabla4[[#This Row],[Producto]],Tabla6[[#All],[PRODUCTO]],0),MATCH(Tabla4[[#This Row],[Mes]],Tabla6[#Headers],0)))*(1+Catalogos!$L$2)</f>
        <v>#N/A</v>
      </c>
      <c r="N4798" s="283" t="e">
        <f>+(Tabla4[[#This Row],[Precio Descontado]]-Tabla4[[#This Row],[Precio Base]])*Tabla4[[#This Row],[Cantidad]]</f>
        <v>#N/A</v>
      </c>
      <c r="O4798" s="284" t="e">
        <f>++Tabla4[[#This Row],[Utilidad Total]]/Tabla4[[#This Row],[Total]]</f>
        <v>#N/A</v>
      </c>
      <c r="P4798" s="282">
        <f>++Tabla4[[#This Row],[Precio Descontado]]*Tabla4[[#This Row],[Cantidad]]</f>
        <v>174.21706499999999</v>
      </c>
      <c r="Q4798" s="282" t="e">
        <f>(INDEX(Tabla6[#All],MATCH(Tabla4[[#This Row],[Producto]],Tabla6[[#All],[PRODUCTO]],0),MATCH(Tabla4[[#This Row],[Mes]],Tabla6[#Headers],0)))</f>
        <v>#N/A</v>
      </c>
      <c r="R4798" s="282" t="e">
        <f>++Tabla4[[#This Row],[Precio Unitario Neto]]-Tabla4[[#This Row],[20.85%]]-Tabla4[[#This Row],[Costo]]</f>
        <v>#N/A</v>
      </c>
      <c r="S4798" s="282" t="e">
        <f>++Tabla4[[#This Row],[U. Bruta Uni]]*Tabla4[[#This Row],[Cantidad]]</f>
        <v>#N/A</v>
      </c>
      <c r="T4798" s="369" t="str">
        <f>VLOOKUP(Tabla4[[#This Row],[Producto]],Tabla6[#All],14,FALSE)</f>
        <v>Termico Solar</v>
      </c>
      <c r="U4798" s="284" t="e">
        <f>(IF(Tabla4[[#This Row],[Familia]]="termico solar",Tabla4[[#This Row],[Utilidad Total]]*6%,Tabla4[[#This Row],[Utilidad Total]]*11.5%))/Tabla4[[#This Row],[Total]]</f>
        <v>#N/A</v>
      </c>
      <c r="V4798" s="282" t="e">
        <f>+Tabla4[[#This Row],[Comisión Calculada]]*Tabla4[[#This Row],[Total]]</f>
        <v>#N/A</v>
      </c>
    </row>
    <row r="4799" spans="1:22" hidden="1" x14ac:dyDescent="0.25">
      <c r="A4799" s="100">
        <v>45869</v>
      </c>
      <c r="B4799" t="str">
        <f t="shared" si="240"/>
        <v>July</v>
      </c>
      <c r="C4799" s="46" t="s">
        <v>280</v>
      </c>
      <c r="F4799" s="366" t="s">
        <v>2516</v>
      </c>
      <c r="G4799" s="46" t="s">
        <v>566</v>
      </c>
      <c r="H4799" s="46">
        <v>1</v>
      </c>
      <c r="I4799" s="51">
        <v>2109.4499999999998</v>
      </c>
      <c r="J4799" s="281">
        <f>++Tabla4[[#This Row],[Precio Bruto]]*1.16</f>
        <v>2446.9619999999995</v>
      </c>
      <c r="K4799" s="281">
        <f>+Tabla4[[#This Row],[Precio Unitario Neto]]*Tabla4[[#Headers],[20.85%]]</f>
        <v>510.19157699999988</v>
      </c>
      <c r="L4799" s="282">
        <f>++Tabla4[[#This Row],[Precio Unitario Neto]]-Tabla4[[#This Row],[20.85%]]</f>
        <v>1936.7704229999997</v>
      </c>
      <c r="M4799" s="282" t="e">
        <f>(INDEX(Tabla6[#All],MATCH(Tabla4[[#This Row],[Producto]],Tabla6[[#All],[PRODUCTO]],0),MATCH(Tabla4[[#This Row],[Mes]],Tabla6[#Headers],0)))*(1+Catalogos!$L$2)</f>
        <v>#N/A</v>
      </c>
      <c r="N4799" s="283" t="e">
        <f>+(Tabla4[[#This Row],[Precio Descontado]]-Tabla4[[#This Row],[Precio Base]])*Tabla4[[#This Row],[Cantidad]]</f>
        <v>#N/A</v>
      </c>
      <c r="O4799" s="284" t="e">
        <f>++Tabla4[[#This Row],[Utilidad Total]]/Tabla4[[#This Row],[Total]]</f>
        <v>#N/A</v>
      </c>
      <c r="P4799" s="282">
        <f>++Tabla4[[#This Row],[Precio Descontado]]*Tabla4[[#This Row],[Cantidad]]</f>
        <v>1936.7704229999997</v>
      </c>
      <c r="Q4799" s="282" t="e">
        <f>(INDEX(Tabla6[#All],MATCH(Tabla4[[#This Row],[Producto]],Tabla6[[#All],[PRODUCTO]],0),MATCH(Tabla4[[#This Row],[Mes]],Tabla6[#Headers],0)))</f>
        <v>#N/A</v>
      </c>
      <c r="R4799" s="282" t="e">
        <f>++Tabla4[[#This Row],[Precio Unitario Neto]]-Tabla4[[#This Row],[20.85%]]-Tabla4[[#This Row],[Costo]]</f>
        <v>#N/A</v>
      </c>
      <c r="S4799" s="282" t="e">
        <f>++Tabla4[[#This Row],[U. Bruta Uni]]*Tabla4[[#This Row],[Cantidad]]</f>
        <v>#N/A</v>
      </c>
      <c r="T4799" s="369" t="str">
        <f>VLOOKUP(Tabla4[[#This Row],[Producto]],Tabla6[#All],14,FALSE)</f>
        <v>Termico Solar</v>
      </c>
      <c r="U4799" s="284" t="e">
        <f>(IF(Tabla4[[#This Row],[Familia]]="termico solar",Tabla4[[#This Row],[Utilidad Total]]*6%,Tabla4[[#This Row],[Utilidad Total]]*11.5%))/Tabla4[[#This Row],[Total]]</f>
        <v>#N/A</v>
      </c>
      <c r="V4799" s="282" t="e">
        <f>+Tabla4[[#This Row],[Comisión Calculada]]*Tabla4[[#This Row],[Total]]</f>
        <v>#N/A</v>
      </c>
    </row>
    <row r="4800" spans="1:22" hidden="1" x14ac:dyDescent="0.25">
      <c r="A4800" s="100">
        <v>45869</v>
      </c>
      <c r="B4800" t="str">
        <f t="shared" si="240"/>
        <v>July</v>
      </c>
      <c r="C4800" s="46" t="s">
        <v>280</v>
      </c>
      <c r="F4800" s="366" t="s">
        <v>2516</v>
      </c>
      <c r="G4800" s="46" t="s">
        <v>412</v>
      </c>
      <c r="H4800" s="46">
        <v>1</v>
      </c>
      <c r="I4800" s="51">
        <v>3240.84</v>
      </c>
      <c r="J4800" s="281">
        <f>++Tabla4[[#This Row],[Precio Bruto]]*1.16</f>
        <v>3759.3743999999997</v>
      </c>
      <c r="K4800" s="281">
        <f>+Tabla4[[#This Row],[Precio Unitario Neto]]*Tabla4[[#Headers],[20.85%]]</f>
        <v>783.82956239999987</v>
      </c>
      <c r="L4800" s="282">
        <f>++Tabla4[[#This Row],[Precio Unitario Neto]]-Tabla4[[#This Row],[20.85%]]</f>
        <v>2975.5448375999999</v>
      </c>
      <c r="M4800" s="282" t="e">
        <f>(INDEX(Tabla6[#All],MATCH(Tabla4[[#This Row],[Producto]],Tabla6[[#All],[PRODUCTO]],0),MATCH(Tabla4[[#This Row],[Mes]],Tabla6[#Headers],0)))*(1+Catalogos!$L$2)</f>
        <v>#N/A</v>
      </c>
      <c r="N4800" s="283" t="e">
        <f>+(Tabla4[[#This Row],[Precio Descontado]]-Tabla4[[#This Row],[Precio Base]])*Tabla4[[#This Row],[Cantidad]]</f>
        <v>#N/A</v>
      </c>
      <c r="O4800" s="284" t="e">
        <f>++Tabla4[[#This Row],[Utilidad Total]]/Tabla4[[#This Row],[Total]]</f>
        <v>#N/A</v>
      </c>
      <c r="P4800" s="282">
        <f>++Tabla4[[#This Row],[Precio Descontado]]*Tabla4[[#This Row],[Cantidad]]</f>
        <v>2975.5448375999999</v>
      </c>
      <c r="Q4800" s="282" t="e">
        <f>(INDEX(Tabla6[#All],MATCH(Tabla4[[#This Row],[Producto]],Tabla6[[#All],[PRODUCTO]],0),MATCH(Tabla4[[#This Row],[Mes]],Tabla6[#Headers],0)))</f>
        <v>#N/A</v>
      </c>
      <c r="R4800" s="282" t="e">
        <f>++Tabla4[[#This Row],[Precio Unitario Neto]]-Tabla4[[#This Row],[20.85%]]-Tabla4[[#This Row],[Costo]]</f>
        <v>#N/A</v>
      </c>
      <c r="S4800" s="282" t="e">
        <f>++Tabla4[[#This Row],[U. Bruta Uni]]*Tabla4[[#This Row],[Cantidad]]</f>
        <v>#N/A</v>
      </c>
      <c r="T4800" s="369" t="str">
        <f>VLOOKUP(Tabla4[[#This Row],[Producto]],Tabla6[#All],14,FALSE)</f>
        <v>Termico Solar</v>
      </c>
      <c r="U4800" s="284" t="e">
        <f>(IF(Tabla4[[#This Row],[Familia]]="termico solar",Tabla4[[#This Row],[Utilidad Total]]*6%,Tabla4[[#This Row],[Utilidad Total]]*11.5%))/Tabla4[[#This Row],[Total]]</f>
        <v>#N/A</v>
      </c>
      <c r="V4800" s="282" t="e">
        <f>+Tabla4[[#This Row],[Comisión Calculada]]*Tabla4[[#This Row],[Total]]</f>
        <v>#N/A</v>
      </c>
    </row>
    <row r="4801" spans="1:22" hidden="1" x14ac:dyDescent="0.25">
      <c r="A4801" s="100">
        <v>45869</v>
      </c>
      <c r="B4801" t="str">
        <f t="shared" si="240"/>
        <v>July</v>
      </c>
      <c r="C4801" s="46" t="s">
        <v>280</v>
      </c>
      <c r="F4801" s="366" t="s">
        <v>2517</v>
      </c>
      <c r="G4801" s="46" t="s">
        <v>83</v>
      </c>
      <c r="H4801" s="46">
        <v>2</v>
      </c>
      <c r="I4801" s="51">
        <v>8858.76</v>
      </c>
      <c r="J4801" s="281">
        <f>++Tabla4[[#This Row],[Precio Bruto]]*1.16</f>
        <v>10276.161599999999</v>
      </c>
      <c r="K4801" s="281">
        <f>+Tabla4[[#This Row],[Precio Unitario Neto]]*Tabla4[[#Headers],[20.85%]]</f>
        <v>2142.5796935999997</v>
      </c>
      <c r="L4801" s="282">
        <f>++Tabla4[[#This Row],[Precio Unitario Neto]]-Tabla4[[#This Row],[20.85%]]</f>
        <v>8133.5819063999998</v>
      </c>
      <c r="M4801" s="282" t="e">
        <f>(INDEX(Tabla6[#All],MATCH(Tabla4[[#This Row],[Producto]],Tabla6[[#All],[PRODUCTO]],0),MATCH(Tabla4[[#This Row],[Mes]],Tabla6[#Headers],0)))*(1+Catalogos!$L$2)</f>
        <v>#N/A</v>
      </c>
      <c r="N4801" s="283" t="e">
        <f>+(Tabla4[[#This Row],[Precio Descontado]]-Tabla4[[#This Row],[Precio Base]])*Tabla4[[#This Row],[Cantidad]]</f>
        <v>#N/A</v>
      </c>
      <c r="O4801" s="284" t="e">
        <f>++Tabla4[[#This Row],[Utilidad Total]]/Tabla4[[#This Row],[Total]]</f>
        <v>#N/A</v>
      </c>
      <c r="P4801" s="282">
        <f>++Tabla4[[#This Row],[Precio Descontado]]*Tabla4[[#This Row],[Cantidad]]</f>
        <v>16267.1638128</v>
      </c>
      <c r="Q4801" s="282" t="e">
        <f>(INDEX(Tabla6[#All],MATCH(Tabla4[[#This Row],[Producto]],Tabla6[[#All],[PRODUCTO]],0),MATCH(Tabla4[[#This Row],[Mes]],Tabla6[#Headers],0)))</f>
        <v>#N/A</v>
      </c>
      <c r="R4801" s="282" t="e">
        <f>++Tabla4[[#This Row],[Precio Unitario Neto]]-Tabla4[[#This Row],[20.85%]]-Tabla4[[#This Row],[Costo]]</f>
        <v>#N/A</v>
      </c>
      <c r="S4801" s="282" t="e">
        <f>++Tabla4[[#This Row],[U. Bruta Uni]]*Tabla4[[#This Row],[Cantidad]]</f>
        <v>#N/A</v>
      </c>
      <c r="T4801" s="369" t="str">
        <f>VLOOKUP(Tabla4[[#This Row],[Producto]],Tabla6[#All],14,FALSE)</f>
        <v>Termico Solar</v>
      </c>
      <c r="U4801" s="284" t="e">
        <f>(IF(Tabla4[[#This Row],[Familia]]="termico solar",Tabla4[[#This Row],[Utilidad Total]]*6%,Tabla4[[#This Row],[Utilidad Total]]*11.5%))/Tabla4[[#This Row],[Total]]</f>
        <v>#N/A</v>
      </c>
      <c r="V4801" s="282" t="e">
        <f>+Tabla4[[#This Row],[Comisión Calculada]]*Tabla4[[#This Row],[Total]]</f>
        <v>#N/A</v>
      </c>
    </row>
    <row r="4802" spans="1:22" hidden="1" x14ac:dyDescent="0.25">
      <c r="A4802" s="100">
        <v>45869</v>
      </c>
      <c r="B4802" t="str">
        <f t="shared" si="240"/>
        <v>July</v>
      </c>
      <c r="C4802" s="46" t="s">
        <v>280</v>
      </c>
      <c r="F4802" s="366" t="s">
        <v>2517</v>
      </c>
      <c r="G4802" s="46" t="s">
        <v>566</v>
      </c>
      <c r="H4802" s="46">
        <v>1</v>
      </c>
      <c r="I4802" s="51">
        <v>2109.4499999999998</v>
      </c>
      <c r="J4802" s="281">
        <f>++Tabla4[[#This Row],[Precio Bruto]]*1.16</f>
        <v>2446.9619999999995</v>
      </c>
      <c r="K4802" s="281">
        <f>+Tabla4[[#This Row],[Precio Unitario Neto]]*Tabla4[[#Headers],[20.85%]]</f>
        <v>510.19157699999988</v>
      </c>
      <c r="L4802" s="282">
        <f>++Tabla4[[#This Row],[Precio Unitario Neto]]-Tabla4[[#This Row],[20.85%]]</f>
        <v>1936.7704229999997</v>
      </c>
      <c r="M4802" s="282" t="e">
        <f>(INDEX(Tabla6[#All],MATCH(Tabla4[[#This Row],[Producto]],Tabla6[[#All],[PRODUCTO]],0),MATCH(Tabla4[[#This Row],[Mes]],Tabla6[#Headers],0)))*(1+Catalogos!$L$2)</f>
        <v>#N/A</v>
      </c>
      <c r="N4802" s="283" t="e">
        <f>+(Tabla4[[#This Row],[Precio Descontado]]-Tabla4[[#This Row],[Precio Base]])*Tabla4[[#This Row],[Cantidad]]</f>
        <v>#N/A</v>
      </c>
      <c r="O4802" s="284" t="e">
        <f>++Tabla4[[#This Row],[Utilidad Total]]/Tabla4[[#This Row],[Total]]</f>
        <v>#N/A</v>
      </c>
      <c r="P4802" s="282">
        <f>++Tabla4[[#This Row],[Precio Descontado]]*Tabla4[[#This Row],[Cantidad]]</f>
        <v>1936.7704229999997</v>
      </c>
      <c r="Q4802" s="282" t="e">
        <f>(INDEX(Tabla6[#All],MATCH(Tabla4[[#This Row],[Producto]],Tabla6[[#All],[PRODUCTO]],0),MATCH(Tabla4[[#This Row],[Mes]],Tabla6[#Headers],0)))</f>
        <v>#N/A</v>
      </c>
      <c r="R4802" s="282" t="e">
        <f>++Tabla4[[#This Row],[Precio Unitario Neto]]-Tabla4[[#This Row],[20.85%]]-Tabla4[[#This Row],[Costo]]</f>
        <v>#N/A</v>
      </c>
      <c r="S4802" s="282" t="e">
        <f>++Tabla4[[#This Row],[U. Bruta Uni]]*Tabla4[[#This Row],[Cantidad]]</f>
        <v>#N/A</v>
      </c>
      <c r="T4802" s="369" t="str">
        <f>VLOOKUP(Tabla4[[#This Row],[Producto]],Tabla6[#All],14,FALSE)</f>
        <v>Termico Solar</v>
      </c>
      <c r="U4802" s="284" t="e">
        <f>(IF(Tabla4[[#This Row],[Familia]]="termico solar",Tabla4[[#This Row],[Utilidad Total]]*6%,Tabla4[[#This Row],[Utilidad Total]]*11.5%))/Tabla4[[#This Row],[Total]]</f>
        <v>#N/A</v>
      </c>
      <c r="V4802" s="282" t="e">
        <f>+Tabla4[[#This Row],[Comisión Calculada]]*Tabla4[[#This Row],[Total]]</f>
        <v>#N/A</v>
      </c>
    </row>
    <row r="4803" spans="1:22" hidden="1" x14ac:dyDescent="0.25">
      <c r="A4803" s="100">
        <v>45869</v>
      </c>
      <c r="B4803" t="str">
        <f t="shared" si="240"/>
        <v>July</v>
      </c>
      <c r="C4803" s="46" t="s">
        <v>280</v>
      </c>
      <c r="F4803" s="366" t="s">
        <v>2518</v>
      </c>
      <c r="G4803" s="46" t="s">
        <v>566</v>
      </c>
      <c r="H4803" s="46">
        <v>2</v>
      </c>
      <c r="I4803" s="51">
        <v>2109.4499999999998</v>
      </c>
      <c r="J4803" s="281">
        <f>++Tabla4[[#This Row],[Precio Bruto]]*1.16</f>
        <v>2446.9619999999995</v>
      </c>
      <c r="K4803" s="281">
        <f>+Tabla4[[#This Row],[Precio Unitario Neto]]*Tabla4[[#Headers],[20.85%]]</f>
        <v>510.19157699999988</v>
      </c>
      <c r="L4803" s="282">
        <f>++Tabla4[[#This Row],[Precio Unitario Neto]]-Tabla4[[#This Row],[20.85%]]</f>
        <v>1936.7704229999997</v>
      </c>
      <c r="M4803" s="282" t="e">
        <f>(INDEX(Tabla6[#All],MATCH(Tabla4[[#This Row],[Producto]],Tabla6[[#All],[PRODUCTO]],0),MATCH(Tabla4[[#This Row],[Mes]],Tabla6[#Headers],0)))*(1+Catalogos!$L$2)</f>
        <v>#N/A</v>
      </c>
      <c r="N4803" s="283" t="e">
        <f>+(Tabla4[[#This Row],[Precio Descontado]]-Tabla4[[#This Row],[Precio Base]])*Tabla4[[#This Row],[Cantidad]]</f>
        <v>#N/A</v>
      </c>
      <c r="O4803" s="284" t="e">
        <f>++Tabla4[[#This Row],[Utilidad Total]]/Tabla4[[#This Row],[Total]]</f>
        <v>#N/A</v>
      </c>
      <c r="P4803" s="282">
        <f>++Tabla4[[#This Row],[Precio Descontado]]*Tabla4[[#This Row],[Cantidad]]</f>
        <v>3873.5408459999994</v>
      </c>
      <c r="Q4803" s="282" t="e">
        <f>(INDEX(Tabla6[#All],MATCH(Tabla4[[#This Row],[Producto]],Tabla6[[#All],[PRODUCTO]],0),MATCH(Tabla4[[#This Row],[Mes]],Tabla6[#Headers],0)))</f>
        <v>#N/A</v>
      </c>
      <c r="R4803" s="282" t="e">
        <f>++Tabla4[[#This Row],[Precio Unitario Neto]]-Tabla4[[#This Row],[20.85%]]-Tabla4[[#This Row],[Costo]]</f>
        <v>#N/A</v>
      </c>
      <c r="S4803" s="282" t="e">
        <f>++Tabla4[[#This Row],[U. Bruta Uni]]*Tabla4[[#This Row],[Cantidad]]</f>
        <v>#N/A</v>
      </c>
      <c r="T4803" s="369" t="str">
        <f>VLOOKUP(Tabla4[[#This Row],[Producto]],Tabla6[#All],14,FALSE)</f>
        <v>Termico Solar</v>
      </c>
      <c r="U4803" s="284" t="e">
        <f>(IF(Tabla4[[#This Row],[Familia]]="termico solar",Tabla4[[#This Row],[Utilidad Total]]*6%,Tabla4[[#This Row],[Utilidad Total]]*11.5%))/Tabla4[[#This Row],[Total]]</f>
        <v>#N/A</v>
      </c>
      <c r="V4803" s="282" t="e">
        <f>+Tabla4[[#This Row],[Comisión Calculada]]*Tabla4[[#This Row],[Total]]</f>
        <v>#N/A</v>
      </c>
    </row>
    <row r="4804" spans="1:22" hidden="1" x14ac:dyDescent="0.25">
      <c r="A4804" s="100">
        <v>45869</v>
      </c>
      <c r="B4804" t="str">
        <f t="shared" si="240"/>
        <v>July</v>
      </c>
      <c r="C4804" s="46" t="s">
        <v>280</v>
      </c>
      <c r="F4804" s="366" t="s">
        <v>2518</v>
      </c>
      <c r="G4804" s="46" t="s">
        <v>208</v>
      </c>
      <c r="H4804" s="46">
        <v>2</v>
      </c>
      <c r="I4804" s="51">
        <v>189.75</v>
      </c>
      <c r="J4804" s="281">
        <f>++Tabla4[[#This Row],[Precio Bruto]]*1.16</f>
        <v>220.10999999999999</v>
      </c>
      <c r="K4804" s="281">
        <f>+Tabla4[[#This Row],[Precio Unitario Neto]]*Tabla4[[#Headers],[20.85%]]</f>
        <v>45.892934999999994</v>
      </c>
      <c r="L4804" s="282">
        <f>++Tabla4[[#This Row],[Precio Unitario Neto]]-Tabla4[[#This Row],[20.85%]]</f>
        <v>174.21706499999999</v>
      </c>
      <c r="M4804" s="282" t="e">
        <f>(INDEX(Tabla6[#All],MATCH(Tabla4[[#This Row],[Producto]],Tabla6[[#All],[PRODUCTO]],0),MATCH(Tabla4[[#This Row],[Mes]],Tabla6[#Headers],0)))*(1+Catalogos!$L$2)</f>
        <v>#N/A</v>
      </c>
      <c r="N4804" s="283" t="e">
        <f>+(Tabla4[[#This Row],[Precio Descontado]]-Tabla4[[#This Row],[Precio Base]])*Tabla4[[#This Row],[Cantidad]]</f>
        <v>#N/A</v>
      </c>
      <c r="O4804" s="284" t="e">
        <f>++Tabla4[[#This Row],[Utilidad Total]]/Tabla4[[#This Row],[Total]]</f>
        <v>#N/A</v>
      </c>
      <c r="P4804" s="282">
        <f>++Tabla4[[#This Row],[Precio Descontado]]*Tabla4[[#This Row],[Cantidad]]</f>
        <v>348.43412999999998</v>
      </c>
      <c r="Q4804" s="282" t="e">
        <f>(INDEX(Tabla6[#All],MATCH(Tabla4[[#This Row],[Producto]],Tabla6[[#All],[PRODUCTO]],0),MATCH(Tabla4[[#This Row],[Mes]],Tabla6[#Headers],0)))</f>
        <v>#N/A</v>
      </c>
      <c r="R4804" s="282" t="e">
        <f>++Tabla4[[#This Row],[Precio Unitario Neto]]-Tabla4[[#This Row],[20.85%]]-Tabla4[[#This Row],[Costo]]</f>
        <v>#N/A</v>
      </c>
      <c r="S4804" s="282" t="e">
        <f>++Tabla4[[#This Row],[U. Bruta Uni]]*Tabla4[[#This Row],[Cantidad]]</f>
        <v>#N/A</v>
      </c>
      <c r="T4804" s="369" t="str">
        <f>VLOOKUP(Tabla4[[#This Row],[Producto]],Tabla6[#All],14,FALSE)</f>
        <v>Termico Solar</v>
      </c>
      <c r="U4804" s="284" t="e">
        <f>(IF(Tabla4[[#This Row],[Familia]]="termico solar",Tabla4[[#This Row],[Utilidad Total]]*6%,Tabla4[[#This Row],[Utilidad Total]]*11.5%))/Tabla4[[#This Row],[Total]]</f>
        <v>#N/A</v>
      </c>
      <c r="V4804" s="282" t="e">
        <f>+Tabla4[[#This Row],[Comisión Calculada]]*Tabla4[[#This Row],[Total]]</f>
        <v>#N/A</v>
      </c>
    </row>
    <row r="4805" spans="1:22" hidden="1" x14ac:dyDescent="0.25">
      <c r="A4805" s="100">
        <v>45869</v>
      </c>
      <c r="B4805" t="str">
        <f t="shared" si="240"/>
        <v>July</v>
      </c>
      <c r="C4805" s="46" t="s">
        <v>280</v>
      </c>
      <c r="F4805" s="366" t="s">
        <v>2519</v>
      </c>
      <c r="G4805" s="46" t="s">
        <v>83</v>
      </c>
      <c r="H4805" s="46">
        <v>1</v>
      </c>
      <c r="I4805" s="51">
        <v>8858.76</v>
      </c>
      <c r="J4805" s="281">
        <f>++Tabla4[[#This Row],[Precio Bruto]]*1.16</f>
        <v>10276.161599999999</v>
      </c>
      <c r="K4805" s="281">
        <f>+Tabla4[[#This Row],[Precio Unitario Neto]]*Tabla4[[#Headers],[20.85%]]</f>
        <v>2142.5796935999997</v>
      </c>
      <c r="L4805" s="282">
        <f>++Tabla4[[#This Row],[Precio Unitario Neto]]-Tabla4[[#This Row],[20.85%]]</f>
        <v>8133.5819063999998</v>
      </c>
      <c r="M4805" s="282" t="e">
        <f>(INDEX(Tabla6[#All],MATCH(Tabla4[[#This Row],[Producto]],Tabla6[[#All],[PRODUCTO]],0),MATCH(Tabla4[[#This Row],[Mes]],Tabla6[#Headers],0)))*(1+Catalogos!$L$2)</f>
        <v>#N/A</v>
      </c>
      <c r="N4805" s="283" t="e">
        <f>+(Tabla4[[#This Row],[Precio Descontado]]-Tabla4[[#This Row],[Precio Base]])*Tabla4[[#This Row],[Cantidad]]</f>
        <v>#N/A</v>
      </c>
      <c r="O4805" s="284" t="e">
        <f>++Tabla4[[#This Row],[Utilidad Total]]/Tabla4[[#This Row],[Total]]</f>
        <v>#N/A</v>
      </c>
      <c r="P4805" s="282">
        <f>++Tabla4[[#This Row],[Precio Descontado]]*Tabla4[[#This Row],[Cantidad]]</f>
        <v>8133.5819063999998</v>
      </c>
      <c r="Q4805" s="282" t="e">
        <f>(INDEX(Tabla6[#All],MATCH(Tabla4[[#This Row],[Producto]],Tabla6[[#All],[PRODUCTO]],0),MATCH(Tabla4[[#This Row],[Mes]],Tabla6[#Headers],0)))</f>
        <v>#N/A</v>
      </c>
      <c r="R4805" s="282" t="e">
        <f>++Tabla4[[#This Row],[Precio Unitario Neto]]-Tabla4[[#This Row],[20.85%]]-Tabla4[[#This Row],[Costo]]</f>
        <v>#N/A</v>
      </c>
      <c r="S4805" s="282" t="e">
        <f>++Tabla4[[#This Row],[U. Bruta Uni]]*Tabla4[[#This Row],[Cantidad]]</f>
        <v>#N/A</v>
      </c>
      <c r="T4805" s="369" t="str">
        <f>VLOOKUP(Tabla4[[#This Row],[Producto]],Tabla6[#All],14,FALSE)</f>
        <v>Termico Solar</v>
      </c>
      <c r="U4805" s="284" t="e">
        <f>(IF(Tabla4[[#This Row],[Familia]]="termico solar",Tabla4[[#This Row],[Utilidad Total]]*6%,Tabla4[[#This Row],[Utilidad Total]]*11.5%))/Tabla4[[#This Row],[Total]]</f>
        <v>#N/A</v>
      </c>
      <c r="V4805" s="282" t="e">
        <f>+Tabla4[[#This Row],[Comisión Calculada]]*Tabla4[[#This Row],[Total]]</f>
        <v>#N/A</v>
      </c>
    </row>
    <row r="4806" spans="1:22" hidden="1" x14ac:dyDescent="0.25">
      <c r="A4806" s="100">
        <v>45869</v>
      </c>
      <c r="B4806" t="str">
        <f t="shared" si="240"/>
        <v>July</v>
      </c>
      <c r="C4806" s="46" t="s">
        <v>280</v>
      </c>
      <c r="F4806" s="366" t="s">
        <v>2519</v>
      </c>
      <c r="G4806" s="46" t="s">
        <v>566</v>
      </c>
      <c r="H4806" s="46">
        <v>1</v>
      </c>
      <c r="I4806" s="51">
        <v>2109.4499999999998</v>
      </c>
      <c r="J4806" s="281">
        <f>++Tabla4[[#This Row],[Precio Bruto]]*1.16</f>
        <v>2446.9619999999995</v>
      </c>
      <c r="K4806" s="281">
        <f>+Tabla4[[#This Row],[Precio Unitario Neto]]*Tabla4[[#Headers],[20.85%]]</f>
        <v>510.19157699999988</v>
      </c>
      <c r="L4806" s="282">
        <f>++Tabla4[[#This Row],[Precio Unitario Neto]]-Tabla4[[#This Row],[20.85%]]</f>
        <v>1936.7704229999997</v>
      </c>
      <c r="M4806" s="282" t="e">
        <f>(INDEX(Tabla6[#All],MATCH(Tabla4[[#This Row],[Producto]],Tabla6[[#All],[PRODUCTO]],0),MATCH(Tabla4[[#This Row],[Mes]],Tabla6[#Headers],0)))*(1+Catalogos!$L$2)</f>
        <v>#N/A</v>
      </c>
      <c r="N4806" s="283" t="e">
        <f>+(Tabla4[[#This Row],[Precio Descontado]]-Tabla4[[#This Row],[Precio Base]])*Tabla4[[#This Row],[Cantidad]]</f>
        <v>#N/A</v>
      </c>
      <c r="O4806" s="284" t="e">
        <f>++Tabla4[[#This Row],[Utilidad Total]]/Tabla4[[#This Row],[Total]]</f>
        <v>#N/A</v>
      </c>
      <c r="P4806" s="282">
        <f>++Tabla4[[#This Row],[Precio Descontado]]*Tabla4[[#This Row],[Cantidad]]</f>
        <v>1936.7704229999997</v>
      </c>
      <c r="Q4806" s="282" t="e">
        <f>(INDEX(Tabla6[#All],MATCH(Tabla4[[#This Row],[Producto]],Tabla6[[#All],[PRODUCTO]],0),MATCH(Tabla4[[#This Row],[Mes]],Tabla6[#Headers],0)))</f>
        <v>#N/A</v>
      </c>
      <c r="R4806" s="282" t="e">
        <f>++Tabla4[[#This Row],[Precio Unitario Neto]]-Tabla4[[#This Row],[20.85%]]-Tabla4[[#This Row],[Costo]]</f>
        <v>#N/A</v>
      </c>
      <c r="S4806" s="282" t="e">
        <f>++Tabla4[[#This Row],[U. Bruta Uni]]*Tabla4[[#This Row],[Cantidad]]</f>
        <v>#N/A</v>
      </c>
      <c r="T4806" s="369" t="str">
        <f>VLOOKUP(Tabla4[[#This Row],[Producto]],Tabla6[#All],14,FALSE)</f>
        <v>Termico Solar</v>
      </c>
      <c r="U4806" s="284" t="e">
        <f>(IF(Tabla4[[#This Row],[Familia]]="termico solar",Tabla4[[#This Row],[Utilidad Total]]*6%,Tabla4[[#This Row],[Utilidad Total]]*11.5%))/Tabla4[[#This Row],[Total]]</f>
        <v>#N/A</v>
      </c>
      <c r="V4806" s="282" t="e">
        <f>+Tabla4[[#This Row],[Comisión Calculada]]*Tabla4[[#This Row],[Total]]</f>
        <v>#N/A</v>
      </c>
    </row>
    <row r="4807" spans="1:22" hidden="1" x14ac:dyDescent="0.25">
      <c r="A4807" s="100">
        <v>45869</v>
      </c>
      <c r="B4807" t="str">
        <f t="shared" si="240"/>
        <v>July</v>
      </c>
      <c r="C4807" s="46" t="s">
        <v>280</v>
      </c>
      <c r="F4807" s="366" t="s">
        <v>2520</v>
      </c>
      <c r="G4807" s="46" t="s">
        <v>83</v>
      </c>
      <c r="H4807" s="46">
        <v>1</v>
      </c>
      <c r="I4807" s="51">
        <v>8858.76</v>
      </c>
      <c r="J4807" s="281">
        <f>++Tabla4[[#This Row],[Precio Bruto]]*1.16</f>
        <v>10276.161599999999</v>
      </c>
      <c r="K4807" s="281">
        <f>+Tabla4[[#This Row],[Precio Unitario Neto]]*Tabla4[[#Headers],[20.85%]]</f>
        <v>2142.5796935999997</v>
      </c>
      <c r="L4807" s="282">
        <f>++Tabla4[[#This Row],[Precio Unitario Neto]]-Tabla4[[#This Row],[20.85%]]</f>
        <v>8133.5819063999998</v>
      </c>
      <c r="M4807" s="282" t="e">
        <f>(INDEX(Tabla6[#All],MATCH(Tabla4[[#This Row],[Producto]],Tabla6[[#All],[PRODUCTO]],0),MATCH(Tabla4[[#This Row],[Mes]],Tabla6[#Headers],0)))*(1+Catalogos!$L$2)</f>
        <v>#N/A</v>
      </c>
      <c r="N4807" s="283" t="e">
        <f>+(Tabla4[[#This Row],[Precio Descontado]]-Tabla4[[#This Row],[Precio Base]])*Tabla4[[#This Row],[Cantidad]]</f>
        <v>#N/A</v>
      </c>
      <c r="O4807" s="284" t="e">
        <f>++Tabla4[[#This Row],[Utilidad Total]]/Tabla4[[#This Row],[Total]]</f>
        <v>#N/A</v>
      </c>
      <c r="P4807" s="282">
        <f>++Tabla4[[#This Row],[Precio Descontado]]*Tabla4[[#This Row],[Cantidad]]</f>
        <v>8133.5819063999998</v>
      </c>
      <c r="Q4807" s="282" t="e">
        <f>(INDEX(Tabla6[#All],MATCH(Tabla4[[#This Row],[Producto]],Tabla6[[#All],[PRODUCTO]],0),MATCH(Tabla4[[#This Row],[Mes]],Tabla6[#Headers],0)))</f>
        <v>#N/A</v>
      </c>
      <c r="R4807" s="282" t="e">
        <f>++Tabla4[[#This Row],[Precio Unitario Neto]]-Tabla4[[#This Row],[20.85%]]-Tabla4[[#This Row],[Costo]]</f>
        <v>#N/A</v>
      </c>
      <c r="S4807" s="282" t="e">
        <f>++Tabla4[[#This Row],[U. Bruta Uni]]*Tabla4[[#This Row],[Cantidad]]</f>
        <v>#N/A</v>
      </c>
      <c r="T4807" s="369" t="str">
        <f>VLOOKUP(Tabla4[[#This Row],[Producto]],Tabla6[#All],14,FALSE)</f>
        <v>Termico Solar</v>
      </c>
      <c r="U4807" s="284" t="e">
        <f>(IF(Tabla4[[#This Row],[Familia]]="termico solar",Tabla4[[#This Row],[Utilidad Total]]*6%,Tabla4[[#This Row],[Utilidad Total]]*11.5%))/Tabla4[[#This Row],[Total]]</f>
        <v>#N/A</v>
      </c>
      <c r="V4807" s="282" t="e">
        <f>+Tabla4[[#This Row],[Comisión Calculada]]*Tabla4[[#This Row],[Total]]</f>
        <v>#N/A</v>
      </c>
    </row>
    <row r="4808" spans="1:22" hidden="1" x14ac:dyDescent="0.25">
      <c r="A4808" s="100">
        <v>45869</v>
      </c>
      <c r="B4808" t="str">
        <f t="shared" si="240"/>
        <v>July</v>
      </c>
      <c r="C4808" s="46" t="s">
        <v>280</v>
      </c>
      <c r="F4808" s="366" t="s">
        <v>2521</v>
      </c>
      <c r="G4808" s="46" t="s">
        <v>17</v>
      </c>
      <c r="H4808" s="46">
        <v>1</v>
      </c>
      <c r="I4808" s="51">
        <v>4622.28</v>
      </c>
      <c r="J4808" s="281">
        <f>++Tabla4[[#This Row],[Precio Bruto]]*1.16</f>
        <v>5361.8447999999989</v>
      </c>
      <c r="K4808" s="281">
        <f>+Tabla4[[#This Row],[Precio Unitario Neto]]*Tabla4[[#Headers],[20.85%]]</f>
        <v>1117.9446407999997</v>
      </c>
      <c r="L4808" s="282">
        <f>++Tabla4[[#This Row],[Precio Unitario Neto]]-Tabla4[[#This Row],[20.85%]]</f>
        <v>4243.9001591999995</v>
      </c>
      <c r="M4808" s="282" t="e">
        <f>(INDEX(Tabla6[#All],MATCH(Tabla4[[#This Row],[Producto]],Tabla6[[#All],[PRODUCTO]],0),MATCH(Tabla4[[#This Row],[Mes]],Tabla6[#Headers],0)))*(1+Catalogos!$L$2)</f>
        <v>#N/A</v>
      </c>
      <c r="N4808" s="283" t="e">
        <f>+(Tabla4[[#This Row],[Precio Descontado]]-Tabla4[[#This Row],[Precio Base]])*Tabla4[[#This Row],[Cantidad]]</f>
        <v>#N/A</v>
      </c>
      <c r="O4808" s="284" t="e">
        <f>++Tabla4[[#This Row],[Utilidad Total]]/Tabla4[[#This Row],[Total]]</f>
        <v>#N/A</v>
      </c>
      <c r="P4808" s="282">
        <f>++Tabla4[[#This Row],[Precio Descontado]]*Tabla4[[#This Row],[Cantidad]]</f>
        <v>4243.9001591999995</v>
      </c>
      <c r="Q4808" s="282" t="e">
        <f>(INDEX(Tabla6[#All],MATCH(Tabla4[[#This Row],[Producto]],Tabla6[[#All],[PRODUCTO]],0),MATCH(Tabla4[[#This Row],[Mes]],Tabla6[#Headers],0)))</f>
        <v>#N/A</v>
      </c>
      <c r="R4808" s="282" t="e">
        <f>++Tabla4[[#This Row],[Precio Unitario Neto]]-Tabla4[[#This Row],[20.85%]]-Tabla4[[#This Row],[Costo]]</f>
        <v>#N/A</v>
      </c>
      <c r="S4808" s="282" t="e">
        <f>++Tabla4[[#This Row],[U. Bruta Uni]]*Tabla4[[#This Row],[Cantidad]]</f>
        <v>#N/A</v>
      </c>
      <c r="T4808" s="369" t="str">
        <f>VLOOKUP(Tabla4[[#This Row],[Producto]],Tabla6[#All],14,FALSE)</f>
        <v>Termico Solar</v>
      </c>
      <c r="U4808" s="284" t="e">
        <f>(IF(Tabla4[[#This Row],[Familia]]="termico solar",Tabla4[[#This Row],[Utilidad Total]]*6%,Tabla4[[#This Row],[Utilidad Total]]*11.5%))/Tabla4[[#This Row],[Total]]</f>
        <v>#N/A</v>
      </c>
      <c r="V4808" s="282" t="e">
        <f>+Tabla4[[#This Row],[Comisión Calculada]]*Tabla4[[#This Row],[Total]]</f>
        <v>#N/A</v>
      </c>
    </row>
    <row r="4809" spans="1:22" hidden="1" x14ac:dyDescent="0.25">
      <c r="A4809" s="100">
        <v>45869</v>
      </c>
      <c r="B4809" t="str">
        <f t="shared" si="240"/>
        <v>July</v>
      </c>
      <c r="C4809" s="46" t="s">
        <v>280</v>
      </c>
      <c r="F4809" s="366" t="s">
        <v>2522</v>
      </c>
      <c r="G4809" s="46" t="s">
        <v>83</v>
      </c>
      <c r="H4809" s="46">
        <v>1</v>
      </c>
      <c r="I4809" s="51">
        <v>8858.76</v>
      </c>
      <c r="J4809" s="281">
        <f>++Tabla4[[#This Row],[Precio Bruto]]*1.16</f>
        <v>10276.161599999999</v>
      </c>
      <c r="K4809" s="281">
        <f>+Tabla4[[#This Row],[Precio Unitario Neto]]*Tabla4[[#Headers],[20.85%]]</f>
        <v>2142.5796935999997</v>
      </c>
      <c r="L4809" s="282">
        <f>++Tabla4[[#This Row],[Precio Unitario Neto]]-Tabla4[[#This Row],[20.85%]]</f>
        <v>8133.5819063999998</v>
      </c>
      <c r="M4809" s="282" t="e">
        <f>(INDEX(Tabla6[#All],MATCH(Tabla4[[#This Row],[Producto]],Tabla6[[#All],[PRODUCTO]],0),MATCH(Tabla4[[#This Row],[Mes]],Tabla6[#Headers],0)))*(1+Catalogos!$L$2)</f>
        <v>#N/A</v>
      </c>
      <c r="N4809" s="283" t="e">
        <f>+(Tabla4[[#This Row],[Precio Descontado]]-Tabla4[[#This Row],[Precio Base]])*Tabla4[[#This Row],[Cantidad]]</f>
        <v>#N/A</v>
      </c>
      <c r="O4809" s="284" t="e">
        <f>++Tabla4[[#This Row],[Utilidad Total]]/Tabla4[[#This Row],[Total]]</f>
        <v>#N/A</v>
      </c>
      <c r="P4809" s="282">
        <f>++Tabla4[[#This Row],[Precio Descontado]]*Tabla4[[#This Row],[Cantidad]]</f>
        <v>8133.5819063999998</v>
      </c>
      <c r="Q4809" s="282" t="e">
        <f>(INDEX(Tabla6[#All],MATCH(Tabla4[[#This Row],[Producto]],Tabla6[[#All],[PRODUCTO]],0),MATCH(Tabla4[[#This Row],[Mes]],Tabla6[#Headers],0)))</f>
        <v>#N/A</v>
      </c>
      <c r="R4809" s="282" t="e">
        <f>++Tabla4[[#This Row],[Precio Unitario Neto]]-Tabla4[[#This Row],[20.85%]]-Tabla4[[#This Row],[Costo]]</f>
        <v>#N/A</v>
      </c>
      <c r="S4809" s="282" t="e">
        <f>++Tabla4[[#This Row],[U. Bruta Uni]]*Tabla4[[#This Row],[Cantidad]]</f>
        <v>#N/A</v>
      </c>
      <c r="T4809" s="369" t="str">
        <f>VLOOKUP(Tabla4[[#This Row],[Producto]],Tabla6[#All],14,FALSE)</f>
        <v>Termico Solar</v>
      </c>
      <c r="U4809" s="284" t="e">
        <f>(IF(Tabla4[[#This Row],[Familia]]="termico solar",Tabla4[[#This Row],[Utilidad Total]]*6%,Tabla4[[#This Row],[Utilidad Total]]*11.5%))/Tabla4[[#This Row],[Total]]</f>
        <v>#N/A</v>
      </c>
      <c r="V4809" s="282" t="e">
        <f>+Tabla4[[#This Row],[Comisión Calculada]]*Tabla4[[#This Row],[Total]]</f>
        <v>#N/A</v>
      </c>
    </row>
    <row r="4810" spans="1:22" hidden="1" x14ac:dyDescent="0.25">
      <c r="A4810" s="100">
        <v>45869</v>
      </c>
      <c r="B4810" t="str">
        <f t="shared" si="240"/>
        <v>July</v>
      </c>
      <c r="C4810" s="46" t="s">
        <v>280</v>
      </c>
      <c r="F4810" s="366" t="s">
        <v>2522</v>
      </c>
      <c r="G4810" s="46" t="s">
        <v>16</v>
      </c>
      <c r="H4810" s="46">
        <v>1</v>
      </c>
      <c r="I4810" s="51">
        <v>4103.8500000000004</v>
      </c>
      <c r="J4810" s="281">
        <f>++Tabla4[[#This Row],[Precio Bruto]]*1.16</f>
        <v>4760.4660000000003</v>
      </c>
      <c r="K4810" s="281">
        <f>+Tabla4[[#This Row],[Precio Unitario Neto]]*Tabla4[[#Headers],[20.85%]]</f>
        <v>992.55716100000006</v>
      </c>
      <c r="L4810" s="282">
        <f>++Tabla4[[#This Row],[Precio Unitario Neto]]-Tabla4[[#This Row],[20.85%]]</f>
        <v>3767.9088390000002</v>
      </c>
      <c r="M4810" s="282" t="e">
        <f>(INDEX(Tabla6[#All],MATCH(Tabla4[[#This Row],[Producto]],Tabla6[[#All],[PRODUCTO]],0),MATCH(Tabla4[[#This Row],[Mes]],Tabla6[#Headers],0)))*(1+Catalogos!$L$2)</f>
        <v>#N/A</v>
      </c>
      <c r="N4810" s="283" t="e">
        <f>+(Tabla4[[#This Row],[Precio Descontado]]-Tabla4[[#This Row],[Precio Base]])*Tabla4[[#This Row],[Cantidad]]</f>
        <v>#N/A</v>
      </c>
      <c r="O4810" s="284" t="e">
        <f>++Tabla4[[#This Row],[Utilidad Total]]/Tabla4[[#This Row],[Total]]</f>
        <v>#N/A</v>
      </c>
      <c r="P4810" s="282">
        <f>++Tabla4[[#This Row],[Precio Descontado]]*Tabla4[[#This Row],[Cantidad]]</f>
        <v>3767.9088390000002</v>
      </c>
      <c r="Q4810" s="282" t="e">
        <f>(INDEX(Tabla6[#All],MATCH(Tabla4[[#This Row],[Producto]],Tabla6[[#All],[PRODUCTO]],0),MATCH(Tabla4[[#This Row],[Mes]],Tabla6[#Headers],0)))</f>
        <v>#N/A</v>
      </c>
      <c r="R4810" s="282" t="e">
        <f>++Tabla4[[#This Row],[Precio Unitario Neto]]-Tabla4[[#This Row],[20.85%]]-Tabla4[[#This Row],[Costo]]</f>
        <v>#N/A</v>
      </c>
      <c r="S4810" s="282" t="e">
        <f>++Tabla4[[#This Row],[U. Bruta Uni]]*Tabla4[[#This Row],[Cantidad]]</f>
        <v>#N/A</v>
      </c>
      <c r="T4810" s="369" t="str">
        <f>VLOOKUP(Tabla4[[#This Row],[Producto]],Tabla6[#All],14,FALSE)</f>
        <v>Termico Solar</v>
      </c>
      <c r="U4810" s="284" t="e">
        <f>(IF(Tabla4[[#This Row],[Familia]]="termico solar",Tabla4[[#This Row],[Utilidad Total]]*6%,Tabla4[[#This Row],[Utilidad Total]]*11.5%))/Tabla4[[#This Row],[Total]]</f>
        <v>#N/A</v>
      </c>
      <c r="V4810" s="282" t="e">
        <f>+Tabla4[[#This Row],[Comisión Calculada]]*Tabla4[[#This Row],[Total]]</f>
        <v>#N/A</v>
      </c>
    </row>
    <row r="4811" spans="1:22" hidden="1" x14ac:dyDescent="0.25">
      <c r="A4811" s="100">
        <v>45869</v>
      </c>
      <c r="B4811" t="str">
        <f t="shared" si="240"/>
        <v>July</v>
      </c>
      <c r="C4811" s="46" t="s">
        <v>280</v>
      </c>
      <c r="F4811" s="366" t="s">
        <v>2522</v>
      </c>
      <c r="G4811" s="46" t="s">
        <v>208</v>
      </c>
      <c r="H4811" s="46">
        <v>1</v>
      </c>
      <c r="I4811" s="51">
        <v>189.75</v>
      </c>
      <c r="J4811" s="281">
        <f>++Tabla4[[#This Row],[Precio Bruto]]*1.16</f>
        <v>220.10999999999999</v>
      </c>
      <c r="K4811" s="281">
        <f>+Tabla4[[#This Row],[Precio Unitario Neto]]*Tabla4[[#Headers],[20.85%]]</f>
        <v>45.892934999999994</v>
      </c>
      <c r="L4811" s="282">
        <f>++Tabla4[[#This Row],[Precio Unitario Neto]]-Tabla4[[#This Row],[20.85%]]</f>
        <v>174.21706499999999</v>
      </c>
      <c r="M4811" s="282" t="e">
        <f>(INDEX(Tabla6[#All],MATCH(Tabla4[[#This Row],[Producto]],Tabla6[[#All],[PRODUCTO]],0),MATCH(Tabla4[[#This Row],[Mes]],Tabla6[#Headers],0)))*(1+Catalogos!$L$2)</f>
        <v>#N/A</v>
      </c>
      <c r="N4811" s="283" t="e">
        <f>+(Tabla4[[#This Row],[Precio Descontado]]-Tabla4[[#This Row],[Precio Base]])*Tabla4[[#This Row],[Cantidad]]</f>
        <v>#N/A</v>
      </c>
      <c r="O4811" s="284" t="e">
        <f>++Tabla4[[#This Row],[Utilidad Total]]/Tabla4[[#This Row],[Total]]</f>
        <v>#N/A</v>
      </c>
      <c r="P4811" s="282">
        <f>++Tabla4[[#This Row],[Precio Descontado]]*Tabla4[[#This Row],[Cantidad]]</f>
        <v>174.21706499999999</v>
      </c>
      <c r="Q4811" s="282" t="e">
        <f>(INDEX(Tabla6[#All],MATCH(Tabla4[[#This Row],[Producto]],Tabla6[[#All],[PRODUCTO]],0),MATCH(Tabla4[[#This Row],[Mes]],Tabla6[#Headers],0)))</f>
        <v>#N/A</v>
      </c>
      <c r="R4811" s="282" t="e">
        <f>++Tabla4[[#This Row],[Precio Unitario Neto]]-Tabla4[[#This Row],[20.85%]]-Tabla4[[#This Row],[Costo]]</f>
        <v>#N/A</v>
      </c>
      <c r="S4811" s="282" t="e">
        <f>++Tabla4[[#This Row],[U. Bruta Uni]]*Tabla4[[#This Row],[Cantidad]]</f>
        <v>#N/A</v>
      </c>
      <c r="T4811" s="369" t="str">
        <f>VLOOKUP(Tabla4[[#This Row],[Producto]],Tabla6[#All],14,FALSE)</f>
        <v>Termico Solar</v>
      </c>
      <c r="U4811" s="284" t="e">
        <f>(IF(Tabla4[[#This Row],[Familia]]="termico solar",Tabla4[[#This Row],[Utilidad Total]]*6%,Tabla4[[#This Row],[Utilidad Total]]*11.5%))/Tabla4[[#This Row],[Total]]</f>
        <v>#N/A</v>
      </c>
      <c r="V4811" s="282" t="e">
        <f>+Tabla4[[#This Row],[Comisión Calculada]]*Tabla4[[#This Row],[Total]]</f>
        <v>#N/A</v>
      </c>
    </row>
    <row r="4812" spans="1:22" hidden="1" x14ac:dyDescent="0.25">
      <c r="A4812" s="100">
        <v>45869</v>
      </c>
      <c r="B4812" t="str">
        <f t="shared" si="240"/>
        <v>July</v>
      </c>
      <c r="C4812" s="46" t="s">
        <v>280</v>
      </c>
      <c r="F4812" s="366" t="s">
        <v>2523</v>
      </c>
      <c r="G4812" s="46" t="s">
        <v>566</v>
      </c>
      <c r="H4812" s="46">
        <v>2</v>
      </c>
      <c r="I4812" s="51">
        <v>2109.4499999999998</v>
      </c>
      <c r="J4812" s="281">
        <f>++Tabla4[[#This Row],[Precio Bruto]]*1.16</f>
        <v>2446.9619999999995</v>
      </c>
      <c r="K4812" s="281">
        <f>+Tabla4[[#This Row],[Precio Unitario Neto]]*Tabla4[[#Headers],[20.85%]]</f>
        <v>510.19157699999988</v>
      </c>
      <c r="L4812" s="282">
        <f>++Tabla4[[#This Row],[Precio Unitario Neto]]-Tabla4[[#This Row],[20.85%]]</f>
        <v>1936.7704229999997</v>
      </c>
      <c r="M4812" s="282" t="e">
        <f>(INDEX(Tabla6[#All],MATCH(Tabla4[[#This Row],[Producto]],Tabla6[[#All],[PRODUCTO]],0),MATCH(Tabla4[[#This Row],[Mes]],Tabla6[#Headers],0)))*(1+Catalogos!$L$2)</f>
        <v>#N/A</v>
      </c>
      <c r="N4812" s="283" t="e">
        <f>+(Tabla4[[#This Row],[Precio Descontado]]-Tabla4[[#This Row],[Precio Base]])*Tabla4[[#This Row],[Cantidad]]</f>
        <v>#N/A</v>
      </c>
      <c r="O4812" s="284" t="e">
        <f>++Tabla4[[#This Row],[Utilidad Total]]/Tabla4[[#This Row],[Total]]</f>
        <v>#N/A</v>
      </c>
      <c r="P4812" s="282">
        <f>++Tabla4[[#This Row],[Precio Descontado]]*Tabla4[[#This Row],[Cantidad]]</f>
        <v>3873.5408459999994</v>
      </c>
      <c r="Q4812" s="282" t="e">
        <f>(INDEX(Tabla6[#All],MATCH(Tabla4[[#This Row],[Producto]],Tabla6[[#All],[PRODUCTO]],0),MATCH(Tabla4[[#This Row],[Mes]],Tabla6[#Headers],0)))</f>
        <v>#N/A</v>
      </c>
      <c r="R4812" s="282" t="e">
        <f>++Tabla4[[#This Row],[Precio Unitario Neto]]-Tabla4[[#This Row],[20.85%]]-Tabla4[[#This Row],[Costo]]</f>
        <v>#N/A</v>
      </c>
      <c r="S4812" s="282" t="e">
        <f>++Tabla4[[#This Row],[U. Bruta Uni]]*Tabla4[[#This Row],[Cantidad]]</f>
        <v>#N/A</v>
      </c>
      <c r="T4812" s="369" t="str">
        <f>VLOOKUP(Tabla4[[#This Row],[Producto]],Tabla6[#All],14,FALSE)</f>
        <v>Termico Solar</v>
      </c>
      <c r="U4812" s="284" t="e">
        <f>(IF(Tabla4[[#This Row],[Familia]]="termico solar",Tabla4[[#This Row],[Utilidad Total]]*6%,Tabla4[[#This Row],[Utilidad Total]]*11.5%))/Tabla4[[#This Row],[Total]]</f>
        <v>#N/A</v>
      </c>
      <c r="V4812" s="282" t="e">
        <f>+Tabla4[[#This Row],[Comisión Calculada]]*Tabla4[[#This Row],[Total]]</f>
        <v>#N/A</v>
      </c>
    </row>
    <row r="4813" spans="1:22" hidden="1" x14ac:dyDescent="0.25">
      <c r="A4813" s="100">
        <v>45869</v>
      </c>
      <c r="B4813" t="str">
        <f t="shared" si="240"/>
        <v>July</v>
      </c>
      <c r="C4813" s="46" t="s">
        <v>280</v>
      </c>
      <c r="F4813" s="366" t="s">
        <v>2523</v>
      </c>
      <c r="G4813" s="46" t="s">
        <v>412</v>
      </c>
      <c r="H4813" s="46">
        <v>4</v>
      </c>
      <c r="I4813" s="51">
        <v>3240.84</v>
      </c>
      <c r="J4813" s="281">
        <f>++Tabla4[[#This Row],[Precio Bruto]]*1.16</f>
        <v>3759.3743999999997</v>
      </c>
      <c r="K4813" s="281">
        <f>+Tabla4[[#This Row],[Precio Unitario Neto]]*Tabla4[[#Headers],[20.85%]]</f>
        <v>783.82956239999987</v>
      </c>
      <c r="L4813" s="282">
        <f>++Tabla4[[#This Row],[Precio Unitario Neto]]-Tabla4[[#This Row],[20.85%]]</f>
        <v>2975.5448375999999</v>
      </c>
      <c r="M4813" s="282" t="e">
        <f>(INDEX(Tabla6[#All],MATCH(Tabla4[[#This Row],[Producto]],Tabla6[[#All],[PRODUCTO]],0),MATCH(Tabla4[[#This Row],[Mes]],Tabla6[#Headers],0)))*(1+Catalogos!$L$2)</f>
        <v>#N/A</v>
      </c>
      <c r="N4813" s="283" t="e">
        <f>+(Tabla4[[#This Row],[Precio Descontado]]-Tabla4[[#This Row],[Precio Base]])*Tabla4[[#This Row],[Cantidad]]</f>
        <v>#N/A</v>
      </c>
      <c r="O4813" s="284" t="e">
        <f>++Tabla4[[#This Row],[Utilidad Total]]/Tabla4[[#This Row],[Total]]</f>
        <v>#N/A</v>
      </c>
      <c r="P4813" s="282">
        <f>++Tabla4[[#This Row],[Precio Descontado]]*Tabla4[[#This Row],[Cantidad]]</f>
        <v>11902.1793504</v>
      </c>
      <c r="Q4813" s="282" t="e">
        <f>(INDEX(Tabla6[#All],MATCH(Tabla4[[#This Row],[Producto]],Tabla6[[#All],[PRODUCTO]],0),MATCH(Tabla4[[#This Row],[Mes]],Tabla6[#Headers],0)))</f>
        <v>#N/A</v>
      </c>
      <c r="R4813" s="282" t="e">
        <f>++Tabla4[[#This Row],[Precio Unitario Neto]]-Tabla4[[#This Row],[20.85%]]-Tabla4[[#This Row],[Costo]]</f>
        <v>#N/A</v>
      </c>
      <c r="S4813" s="282" t="e">
        <f>++Tabla4[[#This Row],[U. Bruta Uni]]*Tabla4[[#This Row],[Cantidad]]</f>
        <v>#N/A</v>
      </c>
      <c r="T4813" s="369" t="str">
        <f>VLOOKUP(Tabla4[[#This Row],[Producto]],Tabla6[#All],14,FALSE)</f>
        <v>Termico Solar</v>
      </c>
      <c r="U4813" s="284" t="e">
        <f>(IF(Tabla4[[#This Row],[Familia]]="termico solar",Tabla4[[#This Row],[Utilidad Total]]*6%,Tabla4[[#This Row],[Utilidad Total]]*11.5%))/Tabla4[[#This Row],[Total]]</f>
        <v>#N/A</v>
      </c>
      <c r="V4813" s="282" t="e">
        <f>+Tabla4[[#This Row],[Comisión Calculada]]*Tabla4[[#This Row],[Total]]</f>
        <v>#N/A</v>
      </c>
    </row>
    <row r="4814" spans="1:22" hidden="1" x14ac:dyDescent="0.25">
      <c r="A4814" s="100">
        <v>45869</v>
      </c>
      <c r="B4814" t="str">
        <f t="shared" si="240"/>
        <v>July</v>
      </c>
      <c r="C4814" s="46" t="s">
        <v>280</v>
      </c>
      <c r="F4814" s="366" t="s">
        <v>2524</v>
      </c>
      <c r="G4814" s="46" t="s">
        <v>18</v>
      </c>
      <c r="H4814" s="46">
        <v>1</v>
      </c>
      <c r="I4814" s="51">
        <v>5367.65</v>
      </c>
      <c r="J4814" s="281">
        <f>++Tabla4[[#This Row],[Precio Bruto]]*1.16</f>
        <v>6226.4739999999993</v>
      </c>
      <c r="K4814" s="281">
        <f>+Tabla4[[#This Row],[Precio Unitario Neto]]*Tabla4[[#Headers],[20.85%]]</f>
        <v>1298.2198289999999</v>
      </c>
      <c r="L4814" s="282">
        <f>++Tabla4[[#This Row],[Precio Unitario Neto]]-Tabla4[[#This Row],[20.85%]]</f>
        <v>4928.2541709999996</v>
      </c>
      <c r="M4814" s="282" t="e">
        <f>(INDEX(Tabla6[#All],MATCH(Tabla4[[#This Row],[Producto]],Tabla6[[#All],[PRODUCTO]],0),MATCH(Tabla4[[#This Row],[Mes]],Tabla6[#Headers],0)))*(1+Catalogos!$L$2)</f>
        <v>#N/A</v>
      </c>
      <c r="N4814" s="283" t="e">
        <f>+(Tabla4[[#This Row],[Precio Descontado]]-Tabla4[[#This Row],[Precio Base]])*Tabla4[[#This Row],[Cantidad]]</f>
        <v>#N/A</v>
      </c>
      <c r="O4814" s="284" t="e">
        <f>++Tabla4[[#This Row],[Utilidad Total]]/Tabla4[[#This Row],[Total]]</f>
        <v>#N/A</v>
      </c>
      <c r="P4814" s="282">
        <f>++Tabla4[[#This Row],[Precio Descontado]]*Tabla4[[#This Row],[Cantidad]]</f>
        <v>4928.2541709999996</v>
      </c>
      <c r="Q4814" s="282" t="e">
        <f>(INDEX(Tabla6[#All],MATCH(Tabla4[[#This Row],[Producto]],Tabla6[[#All],[PRODUCTO]],0),MATCH(Tabla4[[#This Row],[Mes]],Tabla6[#Headers],0)))</f>
        <v>#N/A</v>
      </c>
      <c r="R4814" s="282" t="e">
        <f>++Tabla4[[#This Row],[Precio Unitario Neto]]-Tabla4[[#This Row],[20.85%]]-Tabla4[[#This Row],[Costo]]</f>
        <v>#N/A</v>
      </c>
      <c r="S4814" s="282" t="e">
        <f>++Tabla4[[#This Row],[U. Bruta Uni]]*Tabla4[[#This Row],[Cantidad]]</f>
        <v>#N/A</v>
      </c>
      <c r="T4814" s="369" t="str">
        <f>VLOOKUP(Tabla4[[#This Row],[Producto]],Tabla6[#All],14,FALSE)</f>
        <v>Termico Solar</v>
      </c>
      <c r="U4814" s="284" t="e">
        <f>(IF(Tabla4[[#This Row],[Familia]]="termico solar",Tabla4[[#This Row],[Utilidad Total]]*6%,Tabla4[[#This Row],[Utilidad Total]]*11.5%))/Tabla4[[#This Row],[Total]]</f>
        <v>#N/A</v>
      </c>
      <c r="V4814" s="282" t="e">
        <f>+Tabla4[[#This Row],[Comisión Calculada]]*Tabla4[[#This Row],[Total]]</f>
        <v>#N/A</v>
      </c>
    </row>
    <row r="4815" spans="1:22" hidden="1" x14ac:dyDescent="0.25">
      <c r="A4815" s="100">
        <v>45869</v>
      </c>
      <c r="B4815" t="str">
        <f t="shared" si="240"/>
        <v>July</v>
      </c>
      <c r="C4815" s="46" t="s">
        <v>280</v>
      </c>
      <c r="F4815" s="366" t="s">
        <v>2525</v>
      </c>
      <c r="G4815" s="46" t="s">
        <v>566</v>
      </c>
      <c r="H4815" s="46">
        <v>1</v>
      </c>
      <c r="I4815" s="51">
        <v>2109.4499999999998</v>
      </c>
      <c r="J4815" s="281">
        <f>++Tabla4[[#This Row],[Precio Bruto]]*1.16</f>
        <v>2446.9619999999995</v>
      </c>
      <c r="K4815" s="281">
        <f>+Tabla4[[#This Row],[Precio Unitario Neto]]*Tabla4[[#Headers],[20.85%]]</f>
        <v>510.19157699999988</v>
      </c>
      <c r="L4815" s="282">
        <f>++Tabla4[[#This Row],[Precio Unitario Neto]]-Tabla4[[#This Row],[20.85%]]</f>
        <v>1936.7704229999997</v>
      </c>
      <c r="M4815" s="282" t="e">
        <f>(INDEX(Tabla6[#All],MATCH(Tabla4[[#This Row],[Producto]],Tabla6[[#All],[PRODUCTO]],0),MATCH(Tabla4[[#This Row],[Mes]],Tabla6[#Headers],0)))*(1+Catalogos!$L$2)</f>
        <v>#N/A</v>
      </c>
      <c r="N4815" s="283" t="e">
        <f>+(Tabla4[[#This Row],[Precio Descontado]]-Tabla4[[#This Row],[Precio Base]])*Tabla4[[#This Row],[Cantidad]]</f>
        <v>#N/A</v>
      </c>
      <c r="O4815" s="284" t="e">
        <f>++Tabla4[[#This Row],[Utilidad Total]]/Tabla4[[#This Row],[Total]]</f>
        <v>#N/A</v>
      </c>
      <c r="P4815" s="282">
        <f>++Tabla4[[#This Row],[Precio Descontado]]*Tabla4[[#This Row],[Cantidad]]</f>
        <v>1936.7704229999997</v>
      </c>
      <c r="Q4815" s="282" t="e">
        <f>(INDEX(Tabla6[#All],MATCH(Tabla4[[#This Row],[Producto]],Tabla6[[#All],[PRODUCTO]],0),MATCH(Tabla4[[#This Row],[Mes]],Tabla6[#Headers],0)))</f>
        <v>#N/A</v>
      </c>
      <c r="R4815" s="282" t="e">
        <f>++Tabla4[[#This Row],[Precio Unitario Neto]]-Tabla4[[#This Row],[20.85%]]-Tabla4[[#This Row],[Costo]]</f>
        <v>#N/A</v>
      </c>
      <c r="S4815" s="282" t="e">
        <f>++Tabla4[[#This Row],[U. Bruta Uni]]*Tabla4[[#This Row],[Cantidad]]</f>
        <v>#N/A</v>
      </c>
      <c r="T4815" s="369" t="str">
        <f>VLOOKUP(Tabla4[[#This Row],[Producto]],Tabla6[#All],14,FALSE)</f>
        <v>Termico Solar</v>
      </c>
      <c r="U4815" s="284" t="e">
        <f>(IF(Tabla4[[#This Row],[Familia]]="termico solar",Tabla4[[#This Row],[Utilidad Total]]*6%,Tabla4[[#This Row],[Utilidad Total]]*11.5%))/Tabla4[[#This Row],[Total]]</f>
        <v>#N/A</v>
      </c>
      <c r="V4815" s="282" t="e">
        <f>+Tabla4[[#This Row],[Comisión Calculada]]*Tabla4[[#This Row],[Total]]</f>
        <v>#N/A</v>
      </c>
    </row>
    <row r="4816" spans="1:22" hidden="1" x14ac:dyDescent="0.25">
      <c r="A4816" s="100">
        <v>45869</v>
      </c>
      <c r="B4816" t="str">
        <f t="shared" si="240"/>
        <v>July</v>
      </c>
      <c r="C4816" s="46" t="s">
        <v>280</v>
      </c>
      <c r="F4816" s="366" t="s">
        <v>2526</v>
      </c>
      <c r="G4816" s="46" t="s">
        <v>412</v>
      </c>
      <c r="H4816" s="46">
        <v>1</v>
      </c>
      <c r="I4816" s="51">
        <v>3240.84</v>
      </c>
      <c r="J4816" s="281">
        <f>++Tabla4[[#This Row],[Precio Bruto]]*1.16</f>
        <v>3759.3743999999997</v>
      </c>
      <c r="K4816" s="281">
        <f>+Tabla4[[#This Row],[Precio Unitario Neto]]*Tabla4[[#Headers],[20.85%]]</f>
        <v>783.82956239999987</v>
      </c>
      <c r="L4816" s="282">
        <f>++Tabla4[[#This Row],[Precio Unitario Neto]]-Tabla4[[#This Row],[20.85%]]</f>
        <v>2975.5448375999999</v>
      </c>
      <c r="M4816" s="282" t="e">
        <f>(INDEX(Tabla6[#All],MATCH(Tabla4[[#This Row],[Producto]],Tabla6[[#All],[PRODUCTO]],0),MATCH(Tabla4[[#This Row],[Mes]],Tabla6[#Headers],0)))*(1+Catalogos!$L$2)</f>
        <v>#N/A</v>
      </c>
      <c r="N4816" s="283" t="e">
        <f>+(Tabla4[[#This Row],[Precio Descontado]]-Tabla4[[#This Row],[Precio Base]])*Tabla4[[#This Row],[Cantidad]]</f>
        <v>#N/A</v>
      </c>
      <c r="O4816" s="284" t="e">
        <f>++Tabla4[[#This Row],[Utilidad Total]]/Tabla4[[#This Row],[Total]]</f>
        <v>#N/A</v>
      </c>
      <c r="P4816" s="282">
        <f>++Tabla4[[#This Row],[Precio Descontado]]*Tabla4[[#This Row],[Cantidad]]</f>
        <v>2975.5448375999999</v>
      </c>
      <c r="Q4816" s="282" t="e">
        <f>(INDEX(Tabla6[#All],MATCH(Tabla4[[#This Row],[Producto]],Tabla6[[#All],[PRODUCTO]],0),MATCH(Tabla4[[#This Row],[Mes]],Tabla6[#Headers],0)))</f>
        <v>#N/A</v>
      </c>
      <c r="R4816" s="282" t="e">
        <f>++Tabla4[[#This Row],[Precio Unitario Neto]]-Tabla4[[#This Row],[20.85%]]-Tabla4[[#This Row],[Costo]]</f>
        <v>#N/A</v>
      </c>
      <c r="S4816" s="282" t="e">
        <f>++Tabla4[[#This Row],[U. Bruta Uni]]*Tabla4[[#This Row],[Cantidad]]</f>
        <v>#N/A</v>
      </c>
      <c r="T4816" s="369" t="str">
        <f>VLOOKUP(Tabla4[[#This Row],[Producto]],Tabla6[#All],14,FALSE)</f>
        <v>Termico Solar</v>
      </c>
      <c r="U4816" s="284" t="e">
        <f>(IF(Tabla4[[#This Row],[Familia]]="termico solar",Tabla4[[#This Row],[Utilidad Total]]*6%,Tabla4[[#This Row],[Utilidad Total]]*11.5%))/Tabla4[[#This Row],[Total]]</f>
        <v>#N/A</v>
      </c>
      <c r="V4816" s="282" t="e">
        <f>+Tabla4[[#This Row],[Comisión Calculada]]*Tabla4[[#This Row],[Total]]</f>
        <v>#N/A</v>
      </c>
    </row>
    <row r="4817" spans="1:22" hidden="1" x14ac:dyDescent="0.25">
      <c r="A4817" s="100">
        <v>45869</v>
      </c>
      <c r="B4817" t="str">
        <f t="shared" si="240"/>
        <v>July</v>
      </c>
      <c r="C4817" s="46" t="s">
        <v>280</v>
      </c>
      <c r="F4817" s="366" t="s">
        <v>2526</v>
      </c>
      <c r="G4817" s="46" t="s">
        <v>16</v>
      </c>
      <c r="H4817" s="46">
        <v>1</v>
      </c>
      <c r="I4817" s="51">
        <v>4103.8500000000004</v>
      </c>
      <c r="J4817" s="281">
        <f>++Tabla4[[#This Row],[Precio Bruto]]*1.16</f>
        <v>4760.4660000000003</v>
      </c>
      <c r="K4817" s="281">
        <f>+Tabla4[[#This Row],[Precio Unitario Neto]]*Tabla4[[#Headers],[20.85%]]</f>
        <v>992.55716100000006</v>
      </c>
      <c r="L4817" s="282">
        <f>++Tabla4[[#This Row],[Precio Unitario Neto]]-Tabla4[[#This Row],[20.85%]]</f>
        <v>3767.9088390000002</v>
      </c>
      <c r="M4817" s="282" t="e">
        <f>(INDEX(Tabla6[#All],MATCH(Tabla4[[#This Row],[Producto]],Tabla6[[#All],[PRODUCTO]],0),MATCH(Tabla4[[#This Row],[Mes]],Tabla6[#Headers],0)))*(1+Catalogos!$L$2)</f>
        <v>#N/A</v>
      </c>
      <c r="N4817" s="283" t="e">
        <f>+(Tabla4[[#This Row],[Precio Descontado]]-Tabla4[[#This Row],[Precio Base]])*Tabla4[[#This Row],[Cantidad]]</f>
        <v>#N/A</v>
      </c>
      <c r="O4817" s="284" t="e">
        <f>++Tabla4[[#This Row],[Utilidad Total]]/Tabla4[[#This Row],[Total]]</f>
        <v>#N/A</v>
      </c>
      <c r="P4817" s="282">
        <f>++Tabla4[[#This Row],[Precio Descontado]]*Tabla4[[#This Row],[Cantidad]]</f>
        <v>3767.9088390000002</v>
      </c>
      <c r="Q4817" s="282" t="e">
        <f>(INDEX(Tabla6[#All],MATCH(Tabla4[[#This Row],[Producto]],Tabla6[[#All],[PRODUCTO]],0),MATCH(Tabla4[[#This Row],[Mes]],Tabla6[#Headers],0)))</f>
        <v>#N/A</v>
      </c>
      <c r="R4817" s="282" t="e">
        <f>++Tabla4[[#This Row],[Precio Unitario Neto]]-Tabla4[[#This Row],[20.85%]]-Tabla4[[#This Row],[Costo]]</f>
        <v>#N/A</v>
      </c>
      <c r="S4817" s="282" t="e">
        <f>++Tabla4[[#This Row],[U. Bruta Uni]]*Tabla4[[#This Row],[Cantidad]]</f>
        <v>#N/A</v>
      </c>
      <c r="T4817" s="369" t="str">
        <f>VLOOKUP(Tabla4[[#This Row],[Producto]],Tabla6[#All],14,FALSE)</f>
        <v>Termico Solar</v>
      </c>
      <c r="U4817" s="284" t="e">
        <f>(IF(Tabla4[[#This Row],[Familia]]="termico solar",Tabla4[[#This Row],[Utilidad Total]]*6%,Tabla4[[#This Row],[Utilidad Total]]*11.5%))/Tabla4[[#This Row],[Total]]</f>
        <v>#N/A</v>
      </c>
      <c r="V4817" s="282" t="e">
        <f>+Tabla4[[#This Row],[Comisión Calculada]]*Tabla4[[#This Row],[Total]]</f>
        <v>#N/A</v>
      </c>
    </row>
    <row r="4818" spans="1:22" hidden="1" x14ac:dyDescent="0.25">
      <c r="A4818" s="100">
        <v>45869</v>
      </c>
      <c r="B4818" t="str">
        <f t="shared" si="240"/>
        <v>July</v>
      </c>
      <c r="C4818" s="46" t="s">
        <v>280</v>
      </c>
      <c r="F4818" s="366" t="s">
        <v>2527</v>
      </c>
      <c r="G4818" s="46" t="s">
        <v>83</v>
      </c>
      <c r="H4818" s="46">
        <v>4</v>
      </c>
      <c r="I4818" s="51">
        <v>8858.76</v>
      </c>
      <c r="J4818" s="281">
        <f>++Tabla4[[#This Row],[Precio Bruto]]*1.16</f>
        <v>10276.161599999999</v>
      </c>
      <c r="K4818" s="281">
        <f>+Tabla4[[#This Row],[Precio Unitario Neto]]*Tabla4[[#Headers],[20.85%]]</f>
        <v>2142.5796935999997</v>
      </c>
      <c r="L4818" s="282">
        <f>++Tabla4[[#This Row],[Precio Unitario Neto]]-Tabla4[[#This Row],[20.85%]]</f>
        <v>8133.5819063999998</v>
      </c>
      <c r="M4818" s="282" t="e">
        <f>(INDEX(Tabla6[#All],MATCH(Tabla4[[#This Row],[Producto]],Tabla6[[#All],[PRODUCTO]],0),MATCH(Tabla4[[#This Row],[Mes]],Tabla6[#Headers],0)))*(1+Catalogos!$L$2)</f>
        <v>#N/A</v>
      </c>
      <c r="N4818" s="283" t="e">
        <f>+(Tabla4[[#This Row],[Precio Descontado]]-Tabla4[[#This Row],[Precio Base]])*Tabla4[[#This Row],[Cantidad]]</f>
        <v>#N/A</v>
      </c>
      <c r="O4818" s="284" t="e">
        <f>++Tabla4[[#This Row],[Utilidad Total]]/Tabla4[[#This Row],[Total]]</f>
        <v>#N/A</v>
      </c>
      <c r="P4818" s="282">
        <f>++Tabla4[[#This Row],[Precio Descontado]]*Tabla4[[#This Row],[Cantidad]]</f>
        <v>32534.327625599999</v>
      </c>
      <c r="Q4818" s="282" t="e">
        <f>(INDEX(Tabla6[#All],MATCH(Tabla4[[#This Row],[Producto]],Tabla6[[#All],[PRODUCTO]],0),MATCH(Tabla4[[#This Row],[Mes]],Tabla6[#Headers],0)))</f>
        <v>#N/A</v>
      </c>
      <c r="R4818" s="282" t="e">
        <f>++Tabla4[[#This Row],[Precio Unitario Neto]]-Tabla4[[#This Row],[20.85%]]-Tabla4[[#This Row],[Costo]]</f>
        <v>#N/A</v>
      </c>
      <c r="S4818" s="282" t="e">
        <f>++Tabla4[[#This Row],[U. Bruta Uni]]*Tabla4[[#This Row],[Cantidad]]</f>
        <v>#N/A</v>
      </c>
      <c r="T4818" s="369" t="str">
        <f>VLOOKUP(Tabla4[[#This Row],[Producto]],Tabla6[#All],14,FALSE)</f>
        <v>Termico Solar</v>
      </c>
      <c r="U4818" s="284" t="e">
        <f>(IF(Tabla4[[#This Row],[Familia]]="termico solar",Tabla4[[#This Row],[Utilidad Total]]*6%,Tabla4[[#This Row],[Utilidad Total]]*11.5%))/Tabla4[[#This Row],[Total]]</f>
        <v>#N/A</v>
      </c>
      <c r="V4818" s="282" t="e">
        <f>+Tabla4[[#This Row],[Comisión Calculada]]*Tabla4[[#This Row],[Total]]</f>
        <v>#N/A</v>
      </c>
    </row>
    <row r="4819" spans="1:22" hidden="1" x14ac:dyDescent="0.25">
      <c r="A4819" s="100">
        <v>45869</v>
      </c>
      <c r="B4819" t="str">
        <f t="shared" si="240"/>
        <v>July</v>
      </c>
      <c r="C4819" s="46" t="s">
        <v>280</v>
      </c>
      <c r="F4819" s="366" t="s">
        <v>2527</v>
      </c>
      <c r="G4819" s="46" t="s">
        <v>16</v>
      </c>
      <c r="H4819" s="46">
        <v>3</v>
      </c>
      <c r="I4819" s="51">
        <v>4103.8499999999995</v>
      </c>
      <c r="J4819" s="281">
        <f>++Tabla4[[#This Row],[Precio Bruto]]*1.16</f>
        <v>4760.4659999999994</v>
      </c>
      <c r="K4819" s="281">
        <f>+Tabla4[[#This Row],[Precio Unitario Neto]]*Tabla4[[#Headers],[20.85%]]</f>
        <v>992.55716099999984</v>
      </c>
      <c r="L4819" s="282">
        <f>++Tabla4[[#This Row],[Precio Unitario Neto]]-Tabla4[[#This Row],[20.85%]]</f>
        <v>3767.9088389999997</v>
      </c>
      <c r="M4819" s="282" t="e">
        <f>(INDEX(Tabla6[#All],MATCH(Tabla4[[#This Row],[Producto]],Tabla6[[#All],[PRODUCTO]],0),MATCH(Tabla4[[#This Row],[Mes]],Tabla6[#Headers],0)))*(1+Catalogos!$L$2)</f>
        <v>#N/A</v>
      </c>
      <c r="N4819" s="283" t="e">
        <f>+(Tabla4[[#This Row],[Precio Descontado]]-Tabla4[[#This Row],[Precio Base]])*Tabla4[[#This Row],[Cantidad]]</f>
        <v>#N/A</v>
      </c>
      <c r="O4819" s="284" t="e">
        <f>++Tabla4[[#This Row],[Utilidad Total]]/Tabla4[[#This Row],[Total]]</f>
        <v>#N/A</v>
      </c>
      <c r="P4819" s="282">
        <f>++Tabla4[[#This Row],[Precio Descontado]]*Tabla4[[#This Row],[Cantidad]]</f>
        <v>11303.726516999999</v>
      </c>
      <c r="Q4819" s="282" t="e">
        <f>(INDEX(Tabla6[#All],MATCH(Tabla4[[#This Row],[Producto]],Tabla6[[#All],[PRODUCTO]],0),MATCH(Tabla4[[#This Row],[Mes]],Tabla6[#Headers],0)))</f>
        <v>#N/A</v>
      </c>
      <c r="R4819" s="282" t="e">
        <f>++Tabla4[[#This Row],[Precio Unitario Neto]]-Tabla4[[#This Row],[20.85%]]-Tabla4[[#This Row],[Costo]]</f>
        <v>#N/A</v>
      </c>
      <c r="S4819" s="282" t="e">
        <f>++Tabla4[[#This Row],[U. Bruta Uni]]*Tabla4[[#This Row],[Cantidad]]</f>
        <v>#N/A</v>
      </c>
      <c r="T4819" s="369" t="str">
        <f>VLOOKUP(Tabla4[[#This Row],[Producto]],Tabla6[#All],14,FALSE)</f>
        <v>Termico Solar</v>
      </c>
      <c r="U4819" s="284" t="e">
        <f>(IF(Tabla4[[#This Row],[Familia]]="termico solar",Tabla4[[#This Row],[Utilidad Total]]*6%,Tabla4[[#This Row],[Utilidad Total]]*11.5%))/Tabla4[[#This Row],[Total]]</f>
        <v>#N/A</v>
      </c>
      <c r="V4819" s="282" t="e">
        <f>+Tabla4[[#This Row],[Comisión Calculada]]*Tabla4[[#This Row],[Total]]</f>
        <v>#N/A</v>
      </c>
    </row>
    <row r="4820" spans="1:22" hidden="1" x14ac:dyDescent="0.25">
      <c r="A4820" s="100">
        <v>45869</v>
      </c>
      <c r="B4820" t="str">
        <f t="shared" si="240"/>
        <v>July</v>
      </c>
      <c r="C4820" s="46" t="s">
        <v>280</v>
      </c>
      <c r="F4820" s="366" t="s">
        <v>2528</v>
      </c>
      <c r="G4820" s="46" t="s">
        <v>83</v>
      </c>
      <c r="H4820" s="46">
        <v>2</v>
      </c>
      <c r="I4820" s="51">
        <v>8858.76</v>
      </c>
      <c r="J4820" s="281">
        <f>++Tabla4[[#This Row],[Precio Bruto]]*1.16</f>
        <v>10276.161599999999</v>
      </c>
      <c r="K4820" s="281">
        <f>+Tabla4[[#This Row],[Precio Unitario Neto]]*Tabla4[[#Headers],[20.85%]]</f>
        <v>2142.5796935999997</v>
      </c>
      <c r="L4820" s="282">
        <f>++Tabla4[[#This Row],[Precio Unitario Neto]]-Tabla4[[#This Row],[20.85%]]</f>
        <v>8133.5819063999998</v>
      </c>
      <c r="M4820" s="282" t="e">
        <f>(INDEX(Tabla6[#All],MATCH(Tabla4[[#This Row],[Producto]],Tabla6[[#All],[PRODUCTO]],0),MATCH(Tabla4[[#This Row],[Mes]],Tabla6[#Headers],0)))*(1+Catalogos!$L$2)</f>
        <v>#N/A</v>
      </c>
      <c r="N4820" s="283" t="e">
        <f>+(Tabla4[[#This Row],[Precio Descontado]]-Tabla4[[#This Row],[Precio Base]])*Tabla4[[#This Row],[Cantidad]]</f>
        <v>#N/A</v>
      </c>
      <c r="O4820" s="284" t="e">
        <f>++Tabla4[[#This Row],[Utilidad Total]]/Tabla4[[#This Row],[Total]]</f>
        <v>#N/A</v>
      </c>
      <c r="P4820" s="282">
        <f>++Tabla4[[#This Row],[Precio Descontado]]*Tabla4[[#This Row],[Cantidad]]</f>
        <v>16267.1638128</v>
      </c>
      <c r="Q4820" s="282" t="e">
        <f>(INDEX(Tabla6[#All],MATCH(Tabla4[[#This Row],[Producto]],Tabla6[[#All],[PRODUCTO]],0),MATCH(Tabla4[[#This Row],[Mes]],Tabla6[#Headers],0)))</f>
        <v>#N/A</v>
      </c>
      <c r="R4820" s="282" t="e">
        <f>++Tabla4[[#This Row],[Precio Unitario Neto]]-Tabla4[[#This Row],[20.85%]]-Tabla4[[#This Row],[Costo]]</f>
        <v>#N/A</v>
      </c>
      <c r="S4820" s="282" t="e">
        <f>++Tabla4[[#This Row],[U. Bruta Uni]]*Tabla4[[#This Row],[Cantidad]]</f>
        <v>#N/A</v>
      </c>
      <c r="T4820" s="369" t="str">
        <f>VLOOKUP(Tabla4[[#This Row],[Producto]],Tabla6[#All],14,FALSE)</f>
        <v>Termico Solar</v>
      </c>
      <c r="U4820" s="284" t="e">
        <f>(IF(Tabla4[[#This Row],[Familia]]="termico solar",Tabla4[[#This Row],[Utilidad Total]]*6%,Tabla4[[#This Row],[Utilidad Total]]*11.5%))/Tabla4[[#This Row],[Total]]</f>
        <v>#N/A</v>
      </c>
      <c r="V4820" s="282" t="e">
        <f>+Tabla4[[#This Row],[Comisión Calculada]]*Tabla4[[#This Row],[Total]]</f>
        <v>#N/A</v>
      </c>
    </row>
    <row r="4821" spans="1:22" hidden="1" x14ac:dyDescent="0.25">
      <c r="A4821" s="100">
        <v>45869</v>
      </c>
      <c r="B4821" t="str">
        <f t="shared" si="240"/>
        <v>July</v>
      </c>
      <c r="C4821" s="46" t="s">
        <v>280</v>
      </c>
      <c r="F4821" s="366" t="s">
        <v>2529</v>
      </c>
      <c r="G4821" s="46" t="s">
        <v>566</v>
      </c>
      <c r="H4821" s="46">
        <v>1</v>
      </c>
      <c r="I4821" s="51">
        <v>2109.4499999999998</v>
      </c>
      <c r="J4821" s="281">
        <f>++Tabla4[[#This Row],[Precio Bruto]]*1.16</f>
        <v>2446.9619999999995</v>
      </c>
      <c r="K4821" s="281">
        <f>+Tabla4[[#This Row],[Precio Unitario Neto]]*Tabla4[[#Headers],[20.85%]]</f>
        <v>510.19157699999988</v>
      </c>
      <c r="L4821" s="282">
        <f>++Tabla4[[#This Row],[Precio Unitario Neto]]-Tabla4[[#This Row],[20.85%]]</f>
        <v>1936.7704229999997</v>
      </c>
      <c r="M4821" s="282" t="e">
        <f>(INDEX(Tabla6[#All],MATCH(Tabla4[[#This Row],[Producto]],Tabla6[[#All],[PRODUCTO]],0),MATCH(Tabla4[[#This Row],[Mes]],Tabla6[#Headers],0)))*(1+Catalogos!$L$2)</f>
        <v>#N/A</v>
      </c>
      <c r="N4821" s="283" t="e">
        <f>+(Tabla4[[#This Row],[Precio Descontado]]-Tabla4[[#This Row],[Precio Base]])*Tabla4[[#This Row],[Cantidad]]</f>
        <v>#N/A</v>
      </c>
      <c r="O4821" s="284" t="e">
        <f>++Tabla4[[#This Row],[Utilidad Total]]/Tabla4[[#This Row],[Total]]</f>
        <v>#N/A</v>
      </c>
      <c r="P4821" s="282">
        <f>++Tabla4[[#This Row],[Precio Descontado]]*Tabla4[[#This Row],[Cantidad]]</f>
        <v>1936.7704229999997</v>
      </c>
      <c r="Q4821" s="282" t="e">
        <f>(INDEX(Tabla6[#All],MATCH(Tabla4[[#This Row],[Producto]],Tabla6[[#All],[PRODUCTO]],0),MATCH(Tabla4[[#This Row],[Mes]],Tabla6[#Headers],0)))</f>
        <v>#N/A</v>
      </c>
      <c r="R4821" s="282" t="e">
        <f>++Tabla4[[#This Row],[Precio Unitario Neto]]-Tabla4[[#This Row],[20.85%]]-Tabla4[[#This Row],[Costo]]</f>
        <v>#N/A</v>
      </c>
      <c r="S4821" s="282" t="e">
        <f>++Tabla4[[#This Row],[U. Bruta Uni]]*Tabla4[[#This Row],[Cantidad]]</f>
        <v>#N/A</v>
      </c>
      <c r="T4821" s="369" t="str">
        <f>VLOOKUP(Tabla4[[#This Row],[Producto]],Tabla6[#All],14,FALSE)</f>
        <v>Termico Solar</v>
      </c>
      <c r="U4821" s="284" t="e">
        <f>(IF(Tabla4[[#This Row],[Familia]]="termico solar",Tabla4[[#This Row],[Utilidad Total]]*6%,Tabla4[[#This Row],[Utilidad Total]]*11.5%))/Tabla4[[#This Row],[Total]]</f>
        <v>#N/A</v>
      </c>
      <c r="V4821" s="282" t="e">
        <f>+Tabla4[[#This Row],[Comisión Calculada]]*Tabla4[[#This Row],[Total]]</f>
        <v>#N/A</v>
      </c>
    </row>
    <row r="4822" spans="1:22" hidden="1" x14ac:dyDescent="0.25">
      <c r="A4822" s="100">
        <v>45869</v>
      </c>
      <c r="B4822" t="str">
        <f t="shared" si="240"/>
        <v>July</v>
      </c>
      <c r="C4822" s="46" t="s">
        <v>280</v>
      </c>
      <c r="F4822" s="366" t="s">
        <v>2529</v>
      </c>
      <c r="G4822" s="46" t="s">
        <v>412</v>
      </c>
      <c r="H4822" s="46">
        <v>1</v>
      </c>
      <c r="I4822" s="51">
        <v>3240.84</v>
      </c>
      <c r="J4822" s="281">
        <f>++Tabla4[[#This Row],[Precio Bruto]]*1.16</f>
        <v>3759.3743999999997</v>
      </c>
      <c r="K4822" s="281">
        <f>+Tabla4[[#This Row],[Precio Unitario Neto]]*Tabla4[[#Headers],[20.85%]]</f>
        <v>783.82956239999987</v>
      </c>
      <c r="L4822" s="282">
        <f>++Tabla4[[#This Row],[Precio Unitario Neto]]-Tabla4[[#This Row],[20.85%]]</f>
        <v>2975.5448375999999</v>
      </c>
      <c r="M4822" s="282" t="e">
        <f>(INDEX(Tabla6[#All],MATCH(Tabla4[[#This Row],[Producto]],Tabla6[[#All],[PRODUCTO]],0),MATCH(Tabla4[[#This Row],[Mes]],Tabla6[#Headers],0)))*(1+Catalogos!$L$2)</f>
        <v>#N/A</v>
      </c>
      <c r="N4822" s="283" t="e">
        <f>+(Tabla4[[#This Row],[Precio Descontado]]-Tabla4[[#This Row],[Precio Base]])*Tabla4[[#This Row],[Cantidad]]</f>
        <v>#N/A</v>
      </c>
      <c r="O4822" s="284" t="e">
        <f>++Tabla4[[#This Row],[Utilidad Total]]/Tabla4[[#This Row],[Total]]</f>
        <v>#N/A</v>
      </c>
      <c r="P4822" s="282">
        <f>++Tabla4[[#This Row],[Precio Descontado]]*Tabla4[[#This Row],[Cantidad]]</f>
        <v>2975.5448375999999</v>
      </c>
      <c r="Q4822" s="282" t="e">
        <f>(INDEX(Tabla6[#All],MATCH(Tabla4[[#This Row],[Producto]],Tabla6[[#All],[PRODUCTO]],0),MATCH(Tabla4[[#This Row],[Mes]],Tabla6[#Headers],0)))</f>
        <v>#N/A</v>
      </c>
      <c r="R4822" s="282" t="e">
        <f>++Tabla4[[#This Row],[Precio Unitario Neto]]-Tabla4[[#This Row],[20.85%]]-Tabla4[[#This Row],[Costo]]</f>
        <v>#N/A</v>
      </c>
      <c r="S4822" s="282" t="e">
        <f>++Tabla4[[#This Row],[U. Bruta Uni]]*Tabla4[[#This Row],[Cantidad]]</f>
        <v>#N/A</v>
      </c>
      <c r="T4822" s="369" t="str">
        <f>VLOOKUP(Tabla4[[#This Row],[Producto]],Tabla6[#All],14,FALSE)</f>
        <v>Termico Solar</v>
      </c>
      <c r="U4822" s="284" t="e">
        <f>(IF(Tabla4[[#This Row],[Familia]]="termico solar",Tabla4[[#This Row],[Utilidad Total]]*6%,Tabla4[[#This Row],[Utilidad Total]]*11.5%))/Tabla4[[#This Row],[Total]]</f>
        <v>#N/A</v>
      </c>
      <c r="V4822" s="282" t="e">
        <f>+Tabla4[[#This Row],[Comisión Calculada]]*Tabla4[[#This Row],[Total]]</f>
        <v>#N/A</v>
      </c>
    </row>
    <row r="4823" spans="1:22" hidden="1" x14ac:dyDescent="0.25">
      <c r="A4823" s="100">
        <v>45869</v>
      </c>
      <c r="B4823" t="str">
        <f t="shared" si="240"/>
        <v>July</v>
      </c>
      <c r="C4823" s="46" t="s">
        <v>280</v>
      </c>
      <c r="F4823" s="366" t="s">
        <v>2530</v>
      </c>
      <c r="G4823" s="46" t="s">
        <v>18</v>
      </c>
      <c r="H4823" s="46">
        <v>2</v>
      </c>
      <c r="I4823" s="51">
        <v>5367.65</v>
      </c>
      <c r="J4823" s="281">
        <f>++Tabla4[[#This Row],[Precio Bruto]]*1.16</f>
        <v>6226.4739999999993</v>
      </c>
      <c r="K4823" s="281">
        <f>+Tabla4[[#This Row],[Precio Unitario Neto]]*Tabla4[[#Headers],[20.85%]]</f>
        <v>1298.2198289999999</v>
      </c>
      <c r="L4823" s="282">
        <f>++Tabla4[[#This Row],[Precio Unitario Neto]]-Tabla4[[#This Row],[20.85%]]</f>
        <v>4928.2541709999996</v>
      </c>
      <c r="M4823" s="282" t="e">
        <f>(INDEX(Tabla6[#All],MATCH(Tabla4[[#This Row],[Producto]],Tabla6[[#All],[PRODUCTO]],0),MATCH(Tabla4[[#This Row],[Mes]],Tabla6[#Headers],0)))*(1+Catalogos!$L$2)</f>
        <v>#N/A</v>
      </c>
      <c r="N4823" s="283" t="e">
        <f>+(Tabla4[[#This Row],[Precio Descontado]]-Tabla4[[#This Row],[Precio Base]])*Tabla4[[#This Row],[Cantidad]]</f>
        <v>#N/A</v>
      </c>
      <c r="O4823" s="284" t="e">
        <f>++Tabla4[[#This Row],[Utilidad Total]]/Tabla4[[#This Row],[Total]]</f>
        <v>#N/A</v>
      </c>
      <c r="P4823" s="282">
        <f>++Tabla4[[#This Row],[Precio Descontado]]*Tabla4[[#This Row],[Cantidad]]</f>
        <v>9856.5083419999992</v>
      </c>
      <c r="Q4823" s="282" t="e">
        <f>(INDEX(Tabla6[#All],MATCH(Tabla4[[#This Row],[Producto]],Tabla6[[#All],[PRODUCTO]],0),MATCH(Tabla4[[#This Row],[Mes]],Tabla6[#Headers],0)))</f>
        <v>#N/A</v>
      </c>
      <c r="R4823" s="282" t="e">
        <f>++Tabla4[[#This Row],[Precio Unitario Neto]]-Tabla4[[#This Row],[20.85%]]-Tabla4[[#This Row],[Costo]]</f>
        <v>#N/A</v>
      </c>
      <c r="S4823" s="282" t="e">
        <f>++Tabla4[[#This Row],[U. Bruta Uni]]*Tabla4[[#This Row],[Cantidad]]</f>
        <v>#N/A</v>
      </c>
      <c r="T4823" s="369" t="str">
        <f>VLOOKUP(Tabla4[[#This Row],[Producto]],Tabla6[#All],14,FALSE)</f>
        <v>Termico Solar</v>
      </c>
      <c r="U4823" s="284" t="e">
        <f>(IF(Tabla4[[#This Row],[Familia]]="termico solar",Tabla4[[#This Row],[Utilidad Total]]*6%,Tabla4[[#This Row],[Utilidad Total]]*11.5%))/Tabla4[[#This Row],[Total]]</f>
        <v>#N/A</v>
      </c>
      <c r="V4823" s="282" t="e">
        <f>+Tabla4[[#This Row],[Comisión Calculada]]*Tabla4[[#This Row],[Total]]</f>
        <v>#N/A</v>
      </c>
    </row>
    <row r="4824" spans="1:22" hidden="1" x14ac:dyDescent="0.25">
      <c r="A4824" s="100">
        <v>45869</v>
      </c>
      <c r="B4824" t="str">
        <f t="shared" si="240"/>
        <v>July</v>
      </c>
      <c r="C4824" s="46" t="s">
        <v>280</v>
      </c>
      <c r="F4824" s="366" t="s">
        <v>2530</v>
      </c>
      <c r="G4824" s="46" t="s">
        <v>16</v>
      </c>
      <c r="H4824" s="46">
        <v>1</v>
      </c>
      <c r="I4824" s="51">
        <v>4103.8500000000004</v>
      </c>
      <c r="J4824" s="281">
        <f>++Tabla4[[#This Row],[Precio Bruto]]*1.16</f>
        <v>4760.4660000000003</v>
      </c>
      <c r="K4824" s="281">
        <f>+Tabla4[[#This Row],[Precio Unitario Neto]]*Tabla4[[#Headers],[20.85%]]</f>
        <v>992.55716100000006</v>
      </c>
      <c r="L4824" s="282">
        <f>++Tabla4[[#This Row],[Precio Unitario Neto]]-Tabla4[[#This Row],[20.85%]]</f>
        <v>3767.9088390000002</v>
      </c>
      <c r="M4824" s="282" t="e">
        <f>(INDEX(Tabla6[#All],MATCH(Tabla4[[#This Row],[Producto]],Tabla6[[#All],[PRODUCTO]],0),MATCH(Tabla4[[#This Row],[Mes]],Tabla6[#Headers],0)))*(1+Catalogos!$L$2)</f>
        <v>#N/A</v>
      </c>
      <c r="N4824" s="283" t="e">
        <f>+(Tabla4[[#This Row],[Precio Descontado]]-Tabla4[[#This Row],[Precio Base]])*Tabla4[[#This Row],[Cantidad]]</f>
        <v>#N/A</v>
      </c>
      <c r="O4824" s="284" t="e">
        <f>++Tabla4[[#This Row],[Utilidad Total]]/Tabla4[[#This Row],[Total]]</f>
        <v>#N/A</v>
      </c>
      <c r="P4824" s="282">
        <f>++Tabla4[[#This Row],[Precio Descontado]]*Tabla4[[#This Row],[Cantidad]]</f>
        <v>3767.9088390000002</v>
      </c>
      <c r="Q4824" s="282" t="e">
        <f>(INDEX(Tabla6[#All],MATCH(Tabla4[[#This Row],[Producto]],Tabla6[[#All],[PRODUCTO]],0),MATCH(Tabla4[[#This Row],[Mes]],Tabla6[#Headers],0)))</f>
        <v>#N/A</v>
      </c>
      <c r="R4824" s="282" t="e">
        <f>++Tabla4[[#This Row],[Precio Unitario Neto]]-Tabla4[[#This Row],[20.85%]]-Tabla4[[#This Row],[Costo]]</f>
        <v>#N/A</v>
      </c>
      <c r="S4824" s="282" t="e">
        <f>++Tabla4[[#This Row],[U. Bruta Uni]]*Tabla4[[#This Row],[Cantidad]]</f>
        <v>#N/A</v>
      </c>
      <c r="T4824" s="369" t="str">
        <f>VLOOKUP(Tabla4[[#This Row],[Producto]],Tabla6[#All],14,FALSE)</f>
        <v>Termico Solar</v>
      </c>
      <c r="U4824" s="284" t="e">
        <f>(IF(Tabla4[[#This Row],[Familia]]="termico solar",Tabla4[[#This Row],[Utilidad Total]]*6%,Tabla4[[#This Row],[Utilidad Total]]*11.5%))/Tabla4[[#This Row],[Total]]</f>
        <v>#N/A</v>
      </c>
      <c r="V4824" s="282" t="e">
        <f>+Tabla4[[#This Row],[Comisión Calculada]]*Tabla4[[#This Row],[Total]]</f>
        <v>#N/A</v>
      </c>
    </row>
    <row r="4825" spans="1:22" hidden="1" x14ac:dyDescent="0.25">
      <c r="A4825" s="100">
        <v>45869</v>
      </c>
      <c r="B4825" t="str">
        <f t="shared" si="240"/>
        <v>July</v>
      </c>
      <c r="C4825" s="46" t="s">
        <v>280</v>
      </c>
      <c r="F4825" s="366" t="s">
        <v>2531</v>
      </c>
      <c r="G4825" s="46" t="s">
        <v>83</v>
      </c>
      <c r="H4825" s="46">
        <v>1</v>
      </c>
      <c r="I4825" s="51">
        <v>8858.76</v>
      </c>
      <c r="J4825" s="281">
        <f>++Tabla4[[#This Row],[Precio Bruto]]*1.16</f>
        <v>10276.161599999999</v>
      </c>
      <c r="K4825" s="281">
        <f>+Tabla4[[#This Row],[Precio Unitario Neto]]*Tabla4[[#Headers],[20.85%]]</f>
        <v>2142.5796935999997</v>
      </c>
      <c r="L4825" s="282">
        <f>++Tabla4[[#This Row],[Precio Unitario Neto]]-Tabla4[[#This Row],[20.85%]]</f>
        <v>8133.5819063999998</v>
      </c>
      <c r="M4825" s="282" t="e">
        <f>(INDEX(Tabla6[#All],MATCH(Tabla4[[#This Row],[Producto]],Tabla6[[#All],[PRODUCTO]],0),MATCH(Tabla4[[#This Row],[Mes]],Tabla6[#Headers],0)))*(1+Catalogos!$L$2)</f>
        <v>#N/A</v>
      </c>
      <c r="N4825" s="283" t="e">
        <f>+(Tabla4[[#This Row],[Precio Descontado]]-Tabla4[[#This Row],[Precio Base]])*Tabla4[[#This Row],[Cantidad]]</f>
        <v>#N/A</v>
      </c>
      <c r="O4825" s="284" t="e">
        <f>++Tabla4[[#This Row],[Utilidad Total]]/Tabla4[[#This Row],[Total]]</f>
        <v>#N/A</v>
      </c>
      <c r="P4825" s="282">
        <f>++Tabla4[[#This Row],[Precio Descontado]]*Tabla4[[#This Row],[Cantidad]]</f>
        <v>8133.5819063999998</v>
      </c>
      <c r="Q4825" s="282" t="e">
        <f>(INDEX(Tabla6[#All],MATCH(Tabla4[[#This Row],[Producto]],Tabla6[[#All],[PRODUCTO]],0),MATCH(Tabla4[[#This Row],[Mes]],Tabla6[#Headers],0)))</f>
        <v>#N/A</v>
      </c>
      <c r="R4825" s="282" t="e">
        <f>++Tabla4[[#This Row],[Precio Unitario Neto]]-Tabla4[[#This Row],[20.85%]]-Tabla4[[#This Row],[Costo]]</f>
        <v>#N/A</v>
      </c>
      <c r="S4825" s="282" t="e">
        <f>++Tabla4[[#This Row],[U. Bruta Uni]]*Tabla4[[#This Row],[Cantidad]]</f>
        <v>#N/A</v>
      </c>
      <c r="T4825" s="369" t="str">
        <f>VLOOKUP(Tabla4[[#This Row],[Producto]],Tabla6[#All],14,FALSE)</f>
        <v>Termico Solar</v>
      </c>
      <c r="U4825" s="284" t="e">
        <f>(IF(Tabla4[[#This Row],[Familia]]="termico solar",Tabla4[[#This Row],[Utilidad Total]]*6%,Tabla4[[#This Row],[Utilidad Total]]*11.5%))/Tabla4[[#This Row],[Total]]</f>
        <v>#N/A</v>
      </c>
      <c r="V4825" s="282" t="e">
        <f>+Tabla4[[#This Row],[Comisión Calculada]]*Tabla4[[#This Row],[Total]]</f>
        <v>#N/A</v>
      </c>
    </row>
    <row r="4826" spans="1:22" hidden="1" x14ac:dyDescent="0.25">
      <c r="A4826" s="100">
        <v>45869</v>
      </c>
      <c r="B4826" t="str">
        <f t="shared" si="240"/>
        <v>July</v>
      </c>
      <c r="C4826" s="46" t="s">
        <v>280</v>
      </c>
      <c r="F4826" s="366" t="s">
        <v>2531</v>
      </c>
      <c r="G4826" s="46" t="s">
        <v>17</v>
      </c>
      <c r="H4826" s="46">
        <v>1</v>
      </c>
      <c r="I4826" s="51">
        <v>4622.28</v>
      </c>
      <c r="J4826" s="281">
        <f>++Tabla4[[#This Row],[Precio Bruto]]*1.16</f>
        <v>5361.8447999999989</v>
      </c>
      <c r="K4826" s="281">
        <f>+Tabla4[[#This Row],[Precio Unitario Neto]]*Tabla4[[#Headers],[20.85%]]</f>
        <v>1117.9446407999997</v>
      </c>
      <c r="L4826" s="282">
        <f>++Tabla4[[#This Row],[Precio Unitario Neto]]-Tabla4[[#This Row],[20.85%]]</f>
        <v>4243.9001591999995</v>
      </c>
      <c r="M4826" s="282" t="e">
        <f>(INDEX(Tabla6[#All],MATCH(Tabla4[[#This Row],[Producto]],Tabla6[[#All],[PRODUCTO]],0),MATCH(Tabla4[[#This Row],[Mes]],Tabla6[#Headers],0)))*(1+Catalogos!$L$2)</f>
        <v>#N/A</v>
      </c>
      <c r="N4826" s="283" t="e">
        <f>+(Tabla4[[#This Row],[Precio Descontado]]-Tabla4[[#This Row],[Precio Base]])*Tabla4[[#This Row],[Cantidad]]</f>
        <v>#N/A</v>
      </c>
      <c r="O4826" s="284" t="e">
        <f>++Tabla4[[#This Row],[Utilidad Total]]/Tabla4[[#This Row],[Total]]</f>
        <v>#N/A</v>
      </c>
      <c r="P4826" s="282">
        <f>++Tabla4[[#This Row],[Precio Descontado]]*Tabla4[[#This Row],[Cantidad]]</f>
        <v>4243.9001591999995</v>
      </c>
      <c r="Q4826" s="282" t="e">
        <f>(INDEX(Tabla6[#All],MATCH(Tabla4[[#This Row],[Producto]],Tabla6[[#All],[PRODUCTO]],0),MATCH(Tabla4[[#This Row],[Mes]],Tabla6[#Headers],0)))</f>
        <v>#N/A</v>
      </c>
      <c r="R4826" s="282" t="e">
        <f>++Tabla4[[#This Row],[Precio Unitario Neto]]-Tabla4[[#This Row],[20.85%]]-Tabla4[[#This Row],[Costo]]</f>
        <v>#N/A</v>
      </c>
      <c r="S4826" s="282" t="e">
        <f>++Tabla4[[#This Row],[U. Bruta Uni]]*Tabla4[[#This Row],[Cantidad]]</f>
        <v>#N/A</v>
      </c>
      <c r="T4826" s="369" t="str">
        <f>VLOOKUP(Tabla4[[#This Row],[Producto]],Tabla6[#All],14,FALSE)</f>
        <v>Termico Solar</v>
      </c>
      <c r="U4826" s="284" t="e">
        <f>(IF(Tabla4[[#This Row],[Familia]]="termico solar",Tabla4[[#This Row],[Utilidad Total]]*6%,Tabla4[[#This Row],[Utilidad Total]]*11.5%))/Tabla4[[#This Row],[Total]]</f>
        <v>#N/A</v>
      </c>
      <c r="V4826" s="282" t="e">
        <f>+Tabla4[[#This Row],[Comisión Calculada]]*Tabla4[[#This Row],[Total]]</f>
        <v>#N/A</v>
      </c>
    </row>
    <row r="4827" spans="1:22" hidden="1" x14ac:dyDescent="0.25">
      <c r="A4827" s="100">
        <v>45869</v>
      </c>
      <c r="B4827" t="str">
        <f t="shared" si="240"/>
        <v>July</v>
      </c>
      <c r="C4827" s="46" t="s">
        <v>280</v>
      </c>
      <c r="F4827" s="366" t="s">
        <v>2531</v>
      </c>
      <c r="G4827" s="46" t="s">
        <v>18</v>
      </c>
      <c r="H4827" s="46">
        <v>1</v>
      </c>
      <c r="I4827" s="51">
        <v>5367.65</v>
      </c>
      <c r="J4827" s="281">
        <f>++Tabla4[[#This Row],[Precio Bruto]]*1.16</f>
        <v>6226.4739999999993</v>
      </c>
      <c r="K4827" s="281">
        <f>+Tabla4[[#This Row],[Precio Unitario Neto]]*Tabla4[[#Headers],[20.85%]]</f>
        <v>1298.2198289999999</v>
      </c>
      <c r="L4827" s="282">
        <f>++Tabla4[[#This Row],[Precio Unitario Neto]]-Tabla4[[#This Row],[20.85%]]</f>
        <v>4928.2541709999996</v>
      </c>
      <c r="M4827" s="282" t="e">
        <f>(INDEX(Tabla6[#All],MATCH(Tabla4[[#This Row],[Producto]],Tabla6[[#All],[PRODUCTO]],0),MATCH(Tabla4[[#This Row],[Mes]],Tabla6[#Headers],0)))*(1+Catalogos!$L$2)</f>
        <v>#N/A</v>
      </c>
      <c r="N4827" s="283" t="e">
        <f>+(Tabla4[[#This Row],[Precio Descontado]]-Tabla4[[#This Row],[Precio Base]])*Tabla4[[#This Row],[Cantidad]]</f>
        <v>#N/A</v>
      </c>
      <c r="O4827" s="284" t="e">
        <f>++Tabla4[[#This Row],[Utilidad Total]]/Tabla4[[#This Row],[Total]]</f>
        <v>#N/A</v>
      </c>
      <c r="P4827" s="282">
        <f>++Tabla4[[#This Row],[Precio Descontado]]*Tabla4[[#This Row],[Cantidad]]</f>
        <v>4928.2541709999996</v>
      </c>
      <c r="Q4827" s="282" t="e">
        <f>(INDEX(Tabla6[#All],MATCH(Tabla4[[#This Row],[Producto]],Tabla6[[#All],[PRODUCTO]],0),MATCH(Tabla4[[#This Row],[Mes]],Tabla6[#Headers],0)))</f>
        <v>#N/A</v>
      </c>
      <c r="R4827" s="282" t="e">
        <f>++Tabla4[[#This Row],[Precio Unitario Neto]]-Tabla4[[#This Row],[20.85%]]-Tabla4[[#This Row],[Costo]]</f>
        <v>#N/A</v>
      </c>
      <c r="S4827" s="282" t="e">
        <f>++Tabla4[[#This Row],[U. Bruta Uni]]*Tabla4[[#This Row],[Cantidad]]</f>
        <v>#N/A</v>
      </c>
      <c r="T4827" s="369" t="str">
        <f>VLOOKUP(Tabla4[[#This Row],[Producto]],Tabla6[#All],14,FALSE)</f>
        <v>Termico Solar</v>
      </c>
      <c r="U4827" s="284" t="e">
        <f>(IF(Tabla4[[#This Row],[Familia]]="termico solar",Tabla4[[#This Row],[Utilidad Total]]*6%,Tabla4[[#This Row],[Utilidad Total]]*11.5%))/Tabla4[[#This Row],[Total]]</f>
        <v>#N/A</v>
      </c>
      <c r="V4827" s="282" t="e">
        <f>+Tabla4[[#This Row],[Comisión Calculada]]*Tabla4[[#This Row],[Total]]</f>
        <v>#N/A</v>
      </c>
    </row>
    <row r="4828" spans="1:22" hidden="1" x14ac:dyDescent="0.25">
      <c r="A4828" s="100">
        <v>45869</v>
      </c>
      <c r="B4828" t="str">
        <f t="shared" si="240"/>
        <v>July</v>
      </c>
      <c r="C4828" s="46" t="s">
        <v>280</v>
      </c>
      <c r="F4828" s="366" t="s">
        <v>2531</v>
      </c>
      <c r="G4828" s="46" t="s">
        <v>566</v>
      </c>
      <c r="H4828" s="46">
        <v>1</v>
      </c>
      <c r="I4828" s="51">
        <v>2109.4499999999998</v>
      </c>
      <c r="J4828" s="281">
        <f>++Tabla4[[#This Row],[Precio Bruto]]*1.16</f>
        <v>2446.9619999999995</v>
      </c>
      <c r="K4828" s="281">
        <f>+Tabla4[[#This Row],[Precio Unitario Neto]]*Tabla4[[#Headers],[20.85%]]</f>
        <v>510.19157699999988</v>
      </c>
      <c r="L4828" s="282">
        <f>++Tabla4[[#This Row],[Precio Unitario Neto]]-Tabla4[[#This Row],[20.85%]]</f>
        <v>1936.7704229999997</v>
      </c>
      <c r="M4828" s="282" t="e">
        <f>(INDEX(Tabla6[#All],MATCH(Tabla4[[#This Row],[Producto]],Tabla6[[#All],[PRODUCTO]],0),MATCH(Tabla4[[#This Row],[Mes]],Tabla6[#Headers],0)))*(1+Catalogos!$L$2)</f>
        <v>#N/A</v>
      </c>
      <c r="N4828" s="283" t="e">
        <f>+(Tabla4[[#This Row],[Precio Descontado]]-Tabla4[[#This Row],[Precio Base]])*Tabla4[[#This Row],[Cantidad]]</f>
        <v>#N/A</v>
      </c>
      <c r="O4828" s="284" t="e">
        <f>++Tabla4[[#This Row],[Utilidad Total]]/Tabla4[[#This Row],[Total]]</f>
        <v>#N/A</v>
      </c>
      <c r="P4828" s="282">
        <f>++Tabla4[[#This Row],[Precio Descontado]]*Tabla4[[#This Row],[Cantidad]]</f>
        <v>1936.7704229999997</v>
      </c>
      <c r="Q4828" s="282" t="e">
        <f>(INDEX(Tabla6[#All],MATCH(Tabla4[[#This Row],[Producto]],Tabla6[[#All],[PRODUCTO]],0),MATCH(Tabla4[[#This Row],[Mes]],Tabla6[#Headers],0)))</f>
        <v>#N/A</v>
      </c>
      <c r="R4828" s="282" t="e">
        <f>++Tabla4[[#This Row],[Precio Unitario Neto]]-Tabla4[[#This Row],[20.85%]]-Tabla4[[#This Row],[Costo]]</f>
        <v>#N/A</v>
      </c>
      <c r="S4828" s="282" t="e">
        <f>++Tabla4[[#This Row],[U. Bruta Uni]]*Tabla4[[#This Row],[Cantidad]]</f>
        <v>#N/A</v>
      </c>
      <c r="T4828" s="369" t="str">
        <f>VLOOKUP(Tabla4[[#This Row],[Producto]],Tabla6[#All],14,FALSE)</f>
        <v>Termico Solar</v>
      </c>
      <c r="U4828" s="284" t="e">
        <f>(IF(Tabla4[[#This Row],[Familia]]="termico solar",Tabla4[[#This Row],[Utilidad Total]]*6%,Tabla4[[#This Row],[Utilidad Total]]*11.5%))/Tabla4[[#This Row],[Total]]</f>
        <v>#N/A</v>
      </c>
      <c r="V4828" s="282" t="e">
        <f>+Tabla4[[#This Row],[Comisión Calculada]]*Tabla4[[#This Row],[Total]]</f>
        <v>#N/A</v>
      </c>
    </row>
    <row r="4829" spans="1:22" hidden="1" x14ac:dyDescent="0.25">
      <c r="A4829" s="100">
        <v>45869</v>
      </c>
      <c r="B4829" t="str">
        <f t="shared" si="240"/>
        <v>July</v>
      </c>
      <c r="C4829" s="46" t="s">
        <v>280</v>
      </c>
      <c r="F4829" s="366" t="s">
        <v>2532</v>
      </c>
      <c r="G4829" s="46" t="s">
        <v>17</v>
      </c>
      <c r="H4829" s="46">
        <v>3</v>
      </c>
      <c r="I4829" s="51">
        <v>4622.28</v>
      </c>
      <c r="J4829" s="281">
        <f>++Tabla4[[#This Row],[Precio Bruto]]*1.16</f>
        <v>5361.8447999999989</v>
      </c>
      <c r="K4829" s="281">
        <f>+Tabla4[[#This Row],[Precio Unitario Neto]]*Tabla4[[#Headers],[20.85%]]</f>
        <v>1117.9446407999997</v>
      </c>
      <c r="L4829" s="282">
        <f>++Tabla4[[#This Row],[Precio Unitario Neto]]-Tabla4[[#This Row],[20.85%]]</f>
        <v>4243.9001591999995</v>
      </c>
      <c r="M4829" s="282" t="e">
        <f>(INDEX(Tabla6[#All],MATCH(Tabla4[[#This Row],[Producto]],Tabla6[[#All],[PRODUCTO]],0),MATCH(Tabla4[[#This Row],[Mes]],Tabla6[#Headers],0)))*(1+Catalogos!$L$2)</f>
        <v>#N/A</v>
      </c>
      <c r="N4829" s="283" t="e">
        <f>+(Tabla4[[#This Row],[Precio Descontado]]-Tabla4[[#This Row],[Precio Base]])*Tabla4[[#This Row],[Cantidad]]</f>
        <v>#N/A</v>
      </c>
      <c r="O4829" s="284" t="e">
        <f>++Tabla4[[#This Row],[Utilidad Total]]/Tabla4[[#This Row],[Total]]</f>
        <v>#N/A</v>
      </c>
      <c r="P4829" s="282">
        <f>++Tabla4[[#This Row],[Precio Descontado]]*Tabla4[[#This Row],[Cantidad]]</f>
        <v>12731.700477599999</v>
      </c>
      <c r="Q4829" s="282" t="e">
        <f>(INDEX(Tabla6[#All],MATCH(Tabla4[[#This Row],[Producto]],Tabla6[[#All],[PRODUCTO]],0),MATCH(Tabla4[[#This Row],[Mes]],Tabla6[#Headers],0)))</f>
        <v>#N/A</v>
      </c>
      <c r="R4829" s="282" t="e">
        <f>++Tabla4[[#This Row],[Precio Unitario Neto]]-Tabla4[[#This Row],[20.85%]]-Tabla4[[#This Row],[Costo]]</f>
        <v>#N/A</v>
      </c>
      <c r="S4829" s="282" t="e">
        <f>++Tabla4[[#This Row],[U. Bruta Uni]]*Tabla4[[#This Row],[Cantidad]]</f>
        <v>#N/A</v>
      </c>
      <c r="T4829" s="369" t="str">
        <f>VLOOKUP(Tabla4[[#This Row],[Producto]],Tabla6[#All],14,FALSE)</f>
        <v>Termico Solar</v>
      </c>
      <c r="U4829" s="284" t="e">
        <f>(IF(Tabla4[[#This Row],[Familia]]="termico solar",Tabla4[[#This Row],[Utilidad Total]]*6%,Tabla4[[#This Row],[Utilidad Total]]*11.5%))/Tabla4[[#This Row],[Total]]</f>
        <v>#N/A</v>
      </c>
      <c r="V4829" s="282" t="e">
        <f>+Tabla4[[#This Row],[Comisión Calculada]]*Tabla4[[#This Row],[Total]]</f>
        <v>#N/A</v>
      </c>
    </row>
    <row r="4830" spans="1:22" hidden="1" x14ac:dyDescent="0.25">
      <c r="A4830" s="100">
        <v>45869</v>
      </c>
      <c r="B4830" t="str">
        <f t="shared" si="240"/>
        <v>July</v>
      </c>
      <c r="C4830" s="46" t="s">
        <v>280</v>
      </c>
      <c r="F4830" s="366" t="s">
        <v>2533</v>
      </c>
      <c r="G4830" s="46" t="s">
        <v>83</v>
      </c>
      <c r="H4830" s="46">
        <v>1</v>
      </c>
      <c r="I4830" s="51">
        <v>8858.76</v>
      </c>
      <c r="J4830" s="281">
        <f>++Tabla4[[#This Row],[Precio Bruto]]*1.16</f>
        <v>10276.161599999999</v>
      </c>
      <c r="K4830" s="281">
        <f>+Tabla4[[#This Row],[Precio Unitario Neto]]*Tabla4[[#Headers],[20.85%]]</f>
        <v>2142.5796935999997</v>
      </c>
      <c r="L4830" s="282">
        <f>++Tabla4[[#This Row],[Precio Unitario Neto]]-Tabla4[[#This Row],[20.85%]]</f>
        <v>8133.5819063999998</v>
      </c>
      <c r="M4830" s="282" t="e">
        <f>(INDEX(Tabla6[#All],MATCH(Tabla4[[#This Row],[Producto]],Tabla6[[#All],[PRODUCTO]],0),MATCH(Tabla4[[#This Row],[Mes]],Tabla6[#Headers],0)))*(1+Catalogos!$L$2)</f>
        <v>#N/A</v>
      </c>
      <c r="N4830" s="283" t="e">
        <f>+(Tabla4[[#This Row],[Precio Descontado]]-Tabla4[[#This Row],[Precio Base]])*Tabla4[[#This Row],[Cantidad]]</f>
        <v>#N/A</v>
      </c>
      <c r="O4830" s="284" t="e">
        <f>++Tabla4[[#This Row],[Utilidad Total]]/Tabla4[[#This Row],[Total]]</f>
        <v>#N/A</v>
      </c>
      <c r="P4830" s="282">
        <f>++Tabla4[[#This Row],[Precio Descontado]]*Tabla4[[#This Row],[Cantidad]]</f>
        <v>8133.5819063999998</v>
      </c>
      <c r="Q4830" s="282" t="e">
        <f>(INDEX(Tabla6[#All],MATCH(Tabla4[[#This Row],[Producto]],Tabla6[[#All],[PRODUCTO]],0),MATCH(Tabla4[[#This Row],[Mes]],Tabla6[#Headers],0)))</f>
        <v>#N/A</v>
      </c>
      <c r="R4830" s="282" t="e">
        <f>++Tabla4[[#This Row],[Precio Unitario Neto]]-Tabla4[[#This Row],[20.85%]]-Tabla4[[#This Row],[Costo]]</f>
        <v>#N/A</v>
      </c>
      <c r="S4830" s="282" t="e">
        <f>++Tabla4[[#This Row],[U. Bruta Uni]]*Tabla4[[#This Row],[Cantidad]]</f>
        <v>#N/A</v>
      </c>
      <c r="T4830" s="369" t="str">
        <f>VLOOKUP(Tabla4[[#This Row],[Producto]],Tabla6[#All],14,FALSE)</f>
        <v>Termico Solar</v>
      </c>
      <c r="U4830" s="284" t="e">
        <f>(IF(Tabla4[[#This Row],[Familia]]="termico solar",Tabla4[[#This Row],[Utilidad Total]]*6%,Tabla4[[#This Row],[Utilidad Total]]*11.5%))/Tabla4[[#This Row],[Total]]</f>
        <v>#N/A</v>
      </c>
      <c r="V4830" s="282" t="e">
        <f>+Tabla4[[#This Row],[Comisión Calculada]]*Tabla4[[#This Row],[Total]]</f>
        <v>#N/A</v>
      </c>
    </row>
    <row r="4831" spans="1:22" hidden="1" x14ac:dyDescent="0.25">
      <c r="A4831" s="100">
        <v>45869</v>
      </c>
      <c r="B4831" t="str">
        <f t="shared" si="240"/>
        <v>July</v>
      </c>
      <c r="C4831" s="46" t="s">
        <v>280</v>
      </c>
      <c r="F4831" s="366" t="s">
        <v>2533</v>
      </c>
      <c r="G4831" s="46" t="s">
        <v>17</v>
      </c>
      <c r="H4831" s="46">
        <v>1</v>
      </c>
      <c r="I4831" s="51">
        <v>4622.28</v>
      </c>
      <c r="J4831" s="281">
        <f>++Tabla4[[#This Row],[Precio Bruto]]*1.16</f>
        <v>5361.8447999999989</v>
      </c>
      <c r="K4831" s="281">
        <f>+Tabla4[[#This Row],[Precio Unitario Neto]]*Tabla4[[#Headers],[20.85%]]</f>
        <v>1117.9446407999997</v>
      </c>
      <c r="L4831" s="282">
        <f>++Tabla4[[#This Row],[Precio Unitario Neto]]-Tabla4[[#This Row],[20.85%]]</f>
        <v>4243.9001591999995</v>
      </c>
      <c r="M4831" s="282" t="e">
        <f>(INDEX(Tabla6[#All],MATCH(Tabla4[[#This Row],[Producto]],Tabla6[[#All],[PRODUCTO]],0),MATCH(Tabla4[[#This Row],[Mes]],Tabla6[#Headers],0)))*(1+Catalogos!$L$2)</f>
        <v>#N/A</v>
      </c>
      <c r="N4831" s="283" t="e">
        <f>+(Tabla4[[#This Row],[Precio Descontado]]-Tabla4[[#This Row],[Precio Base]])*Tabla4[[#This Row],[Cantidad]]</f>
        <v>#N/A</v>
      </c>
      <c r="O4831" s="284" t="e">
        <f>++Tabla4[[#This Row],[Utilidad Total]]/Tabla4[[#This Row],[Total]]</f>
        <v>#N/A</v>
      </c>
      <c r="P4831" s="282">
        <f>++Tabla4[[#This Row],[Precio Descontado]]*Tabla4[[#This Row],[Cantidad]]</f>
        <v>4243.9001591999995</v>
      </c>
      <c r="Q4831" s="282" t="e">
        <f>(INDEX(Tabla6[#All],MATCH(Tabla4[[#This Row],[Producto]],Tabla6[[#All],[PRODUCTO]],0),MATCH(Tabla4[[#This Row],[Mes]],Tabla6[#Headers],0)))</f>
        <v>#N/A</v>
      </c>
      <c r="R4831" s="282" t="e">
        <f>++Tabla4[[#This Row],[Precio Unitario Neto]]-Tabla4[[#This Row],[20.85%]]-Tabla4[[#This Row],[Costo]]</f>
        <v>#N/A</v>
      </c>
      <c r="S4831" s="282" t="e">
        <f>++Tabla4[[#This Row],[U. Bruta Uni]]*Tabla4[[#This Row],[Cantidad]]</f>
        <v>#N/A</v>
      </c>
      <c r="T4831" s="369" t="str">
        <f>VLOOKUP(Tabla4[[#This Row],[Producto]],Tabla6[#All],14,FALSE)</f>
        <v>Termico Solar</v>
      </c>
      <c r="U4831" s="284" t="e">
        <f>(IF(Tabla4[[#This Row],[Familia]]="termico solar",Tabla4[[#This Row],[Utilidad Total]]*6%,Tabla4[[#This Row],[Utilidad Total]]*11.5%))/Tabla4[[#This Row],[Total]]</f>
        <v>#N/A</v>
      </c>
      <c r="V4831" s="282" t="e">
        <f>+Tabla4[[#This Row],[Comisión Calculada]]*Tabla4[[#This Row],[Total]]</f>
        <v>#N/A</v>
      </c>
    </row>
    <row r="4832" spans="1:22" hidden="1" x14ac:dyDescent="0.25">
      <c r="A4832" s="100">
        <v>45869</v>
      </c>
      <c r="B4832" t="str">
        <f t="shared" si="240"/>
        <v>July</v>
      </c>
      <c r="C4832" s="46" t="s">
        <v>280</v>
      </c>
      <c r="F4832" s="366" t="s">
        <v>2533</v>
      </c>
      <c r="G4832" s="46" t="s">
        <v>18</v>
      </c>
      <c r="H4832" s="46">
        <v>2</v>
      </c>
      <c r="I4832" s="51">
        <v>5367.65</v>
      </c>
      <c r="J4832" s="281">
        <f>++Tabla4[[#This Row],[Precio Bruto]]*1.16</f>
        <v>6226.4739999999993</v>
      </c>
      <c r="K4832" s="281">
        <f>+Tabla4[[#This Row],[Precio Unitario Neto]]*Tabla4[[#Headers],[20.85%]]</f>
        <v>1298.2198289999999</v>
      </c>
      <c r="L4832" s="282">
        <f>++Tabla4[[#This Row],[Precio Unitario Neto]]-Tabla4[[#This Row],[20.85%]]</f>
        <v>4928.2541709999996</v>
      </c>
      <c r="M4832" s="282" t="e">
        <f>(INDEX(Tabla6[#All],MATCH(Tabla4[[#This Row],[Producto]],Tabla6[[#All],[PRODUCTO]],0),MATCH(Tabla4[[#This Row],[Mes]],Tabla6[#Headers],0)))*(1+Catalogos!$L$2)</f>
        <v>#N/A</v>
      </c>
      <c r="N4832" s="283" t="e">
        <f>+(Tabla4[[#This Row],[Precio Descontado]]-Tabla4[[#This Row],[Precio Base]])*Tabla4[[#This Row],[Cantidad]]</f>
        <v>#N/A</v>
      </c>
      <c r="O4832" s="284" t="e">
        <f>++Tabla4[[#This Row],[Utilidad Total]]/Tabla4[[#This Row],[Total]]</f>
        <v>#N/A</v>
      </c>
      <c r="P4832" s="282">
        <f>++Tabla4[[#This Row],[Precio Descontado]]*Tabla4[[#This Row],[Cantidad]]</f>
        <v>9856.5083419999992</v>
      </c>
      <c r="Q4832" s="282" t="e">
        <f>(INDEX(Tabla6[#All],MATCH(Tabla4[[#This Row],[Producto]],Tabla6[[#All],[PRODUCTO]],0),MATCH(Tabla4[[#This Row],[Mes]],Tabla6[#Headers],0)))</f>
        <v>#N/A</v>
      </c>
      <c r="R4832" s="282" t="e">
        <f>++Tabla4[[#This Row],[Precio Unitario Neto]]-Tabla4[[#This Row],[20.85%]]-Tabla4[[#This Row],[Costo]]</f>
        <v>#N/A</v>
      </c>
      <c r="S4832" s="282" t="e">
        <f>++Tabla4[[#This Row],[U. Bruta Uni]]*Tabla4[[#This Row],[Cantidad]]</f>
        <v>#N/A</v>
      </c>
      <c r="T4832" s="369" t="str">
        <f>VLOOKUP(Tabla4[[#This Row],[Producto]],Tabla6[#All],14,FALSE)</f>
        <v>Termico Solar</v>
      </c>
      <c r="U4832" s="284" t="e">
        <f>(IF(Tabla4[[#This Row],[Familia]]="termico solar",Tabla4[[#This Row],[Utilidad Total]]*6%,Tabla4[[#This Row],[Utilidad Total]]*11.5%))/Tabla4[[#This Row],[Total]]</f>
        <v>#N/A</v>
      </c>
      <c r="V4832" s="282" t="e">
        <f>+Tabla4[[#This Row],[Comisión Calculada]]*Tabla4[[#This Row],[Total]]</f>
        <v>#N/A</v>
      </c>
    </row>
    <row r="4833" spans="1:22" hidden="1" x14ac:dyDescent="0.25">
      <c r="A4833" s="100">
        <v>45869</v>
      </c>
      <c r="B4833" t="str">
        <f t="shared" si="240"/>
        <v>July</v>
      </c>
      <c r="C4833" s="46" t="s">
        <v>280</v>
      </c>
      <c r="F4833" s="366" t="s">
        <v>2534</v>
      </c>
      <c r="G4833" s="46" t="s">
        <v>83</v>
      </c>
      <c r="H4833" s="46">
        <v>4</v>
      </c>
      <c r="I4833" s="51">
        <v>8858.76</v>
      </c>
      <c r="J4833" s="281">
        <f>++Tabla4[[#This Row],[Precio Bruto]]*1.16</f>
        <v>10276.161599999999</v>
      </c>
      <c r="K4833" s="281">
        <f>+Tabla4[[#This Row],[Precio Unitario Neto]]*Tabla4[[#Headers],[20.85%]]</f>
        <v>2142.5796935999997</v>
      </c>
      <c r="L4833" s="282">
        <f>++Tabla4[[#This Row],[Precio Unitario Neto]]-Tabla4[[#This Row],[20.85%]]</f>
        <v>8133.5819063999998</v>
      </c>
      <c r="M4833" s="282" t="e">
        <f>(INDEX(Tabla6[#All],MATCH(Tabla4[[#This Row],[Producto]],Tabla6[[#All],[PRODUCTO]],0),MATCH(Tabla4[[#This Row],[Mes]],Tabla6[#Headers],0)))*(1+Catalogos!$L$2)</f>
        <v>#N/A</v>
      </c>
      <c r="N4833" s="283" t="e">
        <f>+(Tabla4[[#This Row],[Precio Descontado]]-Tabla4[[#This Row],[Precio Base]])*Tabla4[[#This Row],[Cantidad]]</f>
        <v>#N/A</v>
      </c>
      <c r="O4833" s="284" t="e">
        <f>++Tabla4[[#This Row],[Utilidad Total]]/Tabla4[[#This Row],[Total]]</f>
        <v>#N/A</v>
      </c>
      <c r="P4833" s="282">
        <f>++Tabla4[[#This Row],[Precio Descontado]]*Tabla4[[#This Row],[Cantidad]]</f>
        <v>32534.327625599999</v>
      </c>
      <c r="Q4833" s="282" t="e">
        <f>(INDEX(Tabla6[#All],MATCH(Tabla4[[#This Row],[Producto]],Tabla6[[#All],[PRODUCTO]],0),MATCH(Tabla4[[#This Row],[Mes]],Tabla6[#Headers],0)))</f>
        <v>#N/A</v>
      </c>
      <c r="R4833" s="282" t="e">
        <f>++Tabla4[[#This Row],[Precio Unitario Neto]]-Tabla4[[#This Row],[20.85%]]-Tabla4[[#This Row],[Costo]]</f>
        <v>#N/A</v>
      </c>
      <c r="S4833" s="282" t="e">
        <f>++Tabla4[[#This Row],[U. Bruta Uni]]*Tabla4[[#This Row],[Cantidad]]</f>
        <v>#N/A</v>
      </c>
      <c r="T4833" s="369" t="str">
        <f>VLOOKUP(Tabla4[[#This Row],[Producto]],Tabla6[#All],14,FALSE)</f>
        <v>Termico Solar</v>
      </c>
      <c r="U4833" s="284" t="e">
        <f>(IF(Tabla4[[#This Row],[Familia]]="termico solar",Tabla4[[#This Row],[Utilidad Total]]*6%,Tabla4[[#This Row],[Utilidad Total]]*11.5%))/Tabla4[[#This Row],[Total]]</f>
        <v>#N/A</v>
      </c>
      <c r="V4833" s="282" t="e">
        <f>+Tabla4[[#This Row],[Comisión Calculada]]*Tabla4[[#This Row],[Total]]</f>
        <v>#N/A</v>
      </c>
    </row>
    <row r="4834" spans="1:22" hidden="1" x14ac:dyDescent="0.25">
      <c r="A4834" s="100">
        <v>45869</v>
      </c>
      <c r="B4834" t="str">
        <f t="shared" si="240"/>
        <v>July</v>
      </c>
      <c r="C4834" s="46" t="s">
        <v>280</v>
      </c>
      <c r="F4834" s="366" t="s">
        <v>2535</v>
      </c>
      <c r="G4834" s="46" t="s">
        <v>17</v>
      </c>
      <c r="H4834" s="46">
        <v>1</v>
      </c>
      <c r="I4834" s="51">
        <v>4622.28</v>
      </c>
      <c r="J4834" s="281">
        <f>++Tabla4[[#This Row],[Precio Bruto]]*1.16</f>
        <v>5361.8447999999989</v>
      </c>
      <c r="K4834" s="281">
        <f>+Tabla4[[#This Row],[Precio Unitario Neto]]*Tabla4[[#Headers],[20.85%]]</f>
        <v>1117.9446407999997</v>
      </c>
      <c r="L4834" s="282">
        <f>++Tabla4[[#This Row],[Precio Unitario Neto]]-Tabla4[[#This Row],[20.85%]]</f>
        <v>4243.9001591999995</v>
      </c>
      <c r="M4834" s="282" t="e">
        <f>(INDEX(Tabla6[#All],MATCH(Tabla4[[#This Row],[Producto]],Tabla6[[#All],[PRODUCTO]],0),MATCH(Tabla4[[#This Row],[Mes]],Tabla6[#Headers],0)))*(1+Catalogos!$L$2)</f>
        <v>#N/A</v>
      </c>
      <c r="N4834" s="283" t="e">
        <f>+(Tabla4[[#This Row],[Precio Descontado]]-Tabla4[[#This Row],[Precio Base]])*Tabla4[[#This Row],[Cantidad]]</f>
        <v>#N/A</v>
      </c>
      <c r="O4834" s="284" t="e">
        <f>++Tabla4[[#This Row],[Utilidad Total]]/Tabla4[[#This Row],[Total]]</f>
        <v>#N/A</v>
      </c>
      <c r="P4834" s="282">
        <f>++Tabla4[[#This Row],[Precio Descontado]]*Tabla4[[#This Row],[Cantidad]]</f>
        <v>4243.9001591999995</v>
      </c>
      <c r="Q4834" s="282" t="e">
        <f>(INDEX(Tabla6[#All],MATCH(Tabla4[[#This Row],[Producto]],Tabla6[[#All],[PRODUCTO]],0),MATCH(Tabla4[[#This Row],[Mes]],Tabla6[#Headers],0)))</f>
        <v>#N/A</v>
      </c>
      <c r="R4834" s="282" t="e">
        <f>++Tabla4[[#This Row],[Precio Unitario Neto]]-Tabla4[[#This Row],[20.85%]]-Tabla4[[#This Row],[Costo]]</f>
        <v>#N/A</v>
      </c>
      <c r="S4834" s="282" t="e">
        <f>++Tabla4[[#This Row],[U. Bruta Uni]]*Tabla4[[#This Row],[Cantidad]]</f>
        <v>#N/A</v>
      </c>
      <c r="T4834" s="369" t="str">
        <f>VLOOKUP(Tabla4[[#This Row],[Producto]],Tabla6[#All],14,FALSE)</f>
        <v>Termico Solar</v>
      </c>
      <c r="U4834" s="284" t="e">
        <f>(IF(Tabla4[[#This Row],[Familia]]="termico solar",Tabla4[[#This Row],[Utilidad Total]]*6%,Tabla4[[#This Row],[Utilidad Total]]*11.5%))/Tabla4[[#This Row],[Total]]</f>
        <v>#N/A</v>
      </c>
      <c r="V4834" s="282" t="e">
        <f>+Tabla4[[#This Row],[Comisión Calculada]]*Tabla4[[#This Row],[Total]]</f>
        <v>#N/A</v>
      </c>
    </row>
    <row r="4835" spans="1:22" hidden="1" x14ac:dyDescent="0.25">
      <c r="A4835" s="100">
        <v>45869</v>
      </c>
      <c r="B4835" t="str">
        <f t="shared" si="240"/>
        <v>July</v>
      </c>
      <c r="C4835" s="46" t="s">
        <v>280</v>
      </c>
      <c r="F4835" s="366" t="s">
        <v>2536</v>
      </c>
      <c r="G4835" s="46" t="s">
        <v>208</v>
      </c>
      <c r="H4835" s="46">
        <v>10</v>
      </c>
      <c r="I4835" s="51">
        <v>189.75</v>
      </c>
      <c r="J4835" s="281">
        <f>++Tabla4[[#This Row],[Precio Bruto]]*1.16</f>
        <v>220.10999999999999</v>
      </c>
      <c r="K4835" s="281">
        <f>+Tabla4[[#This Row],[Precio Unitario Neto]]*Tabla4[[#Headers],[20.85%]]</f>
        <v>45.892934999999994</v>
      </c>
      <c r="L4835" s="282">
        <f>++Tabla4[[#This Row],[Precio Unitario Neto]]-Tabla4[[#This Row],[20.85%]]</f>
        <v>174.21706499999999</v>
      </c>
      <c r="M4835" s="282" t="e">
        <f>(INDEX(Tabla6[#All],MATCH(Tabla4[[#This Row],[Producto]],Tabla6[[#All],[PRODUCTO]],0),MATCH(Tabla4[[#This Row],[Mes]],Tabla6[#Headers],0)))*(1+Catalogos!$L$2)</f>
        <v>#N/A</v>
      </c>
      <c r="N4835" s="283" t="e">
        <f>+(Tabla4[[#This Row],[Precio Descontado]]-Tabla4[[#This Row],[Precio Base]])*Tabla4[[#This Row],[Cantidad]]</f>
        <v>#N/A</v>
      </c>
      <c r="O4835" s="284" t="e">
        <f>++Tabla4[[#This Row],[Utilidad Total]]/Tabla4[[#This Row],[Total]]</f>
        <v>#N/A</v>
      </c>
      <c r="P4835" s="282">
        <f>++Tabla4[[#This Row],[Precio Descontado]]*Tabla4[[#This Row],[Cantidad]]</f>
        <v>1742.17065</v>
      </c>
      <c r="Q4835" s="282" t="e">
        <f>(INDEX(Tabla6[#All],MATCH(Tabla4[[#This Row],[Producto]],Tabla6[[#All],[PRODUCTO]],0),MATCH(Tabla4[[#This Row],[Mes]],Tabla6[#Headers],0)))</f>
        <v>#N/A</v>
      </c>
      <c r="R4835" s="282" t="e">
        <f>++Tabla4[[#This Row],[Precio Unitario Neto]]-Tabla4[[#This Row],[20.85%]]-Tabla4[[#This Row],[Costo]]</f>
        <v>#N/A</v>
      </c>
      <c r="S4835" s="282" t="e">
        <f>++Tabla4[[#This Row],[U. Bruta Uni]]*Tabla4[[#This Row],[Cantidad]]</f>
        <v>#N/A</v>
      </c>
      <c r="T4835" s="369" t="str">
        <f>VLOOKUP(Tabla4[[#This Row],[Producto]],Tabla6[#All],14,FALSE)</f>
        <v>Termico Solar</v>
      </c>
      <c r="U4835" s="284" t="e">
        <f>(IF(Tabla4[[#This Row],[Familia]]="termico solar",Tabla4[[#This Row],[Utilidad Total]]*6%,Tabla4[[#This Row],[Utilidad Total]]*11.5%))/Tabla4[[#This Row],[Total]]</f>
        <v>#N/A</v>
      </c>
      <c r="V4835" s="282" t="e">
        <f>+Tabla4[[#This Row],[Comisión Calculada]]*Tabla4[[#This Row],[Total]]</f>
        <v>#N/A</v>
      </c>
    </row>
    <row r="4836" spans="1:22" hidden="1" x14ac:dyDescent="0.25">
      <c r="A4836" s="100">
        <v>45869</v>
      </c>
      <c r="B4836" t="str">
        <f t="shared" si="240"/>
        <v>July</v>
      </c>
      <c r="C4836" s="46" t="s">
        <v>280</v>
      </c>
      <c r="F4836" s="366" t="s">
        <v>2537</v>
      </c>
      <c r="G4836" s="46" t="s">
        <v>83</v>
      </c>
      <c r="H4836" s="46">
        <v>1</v>
      </c>
      <c r="I4836" s="51">
        <v>8858.76</v>
      </c>
      <c r="J4836" s="281">
        <f>++Tabla4[[#This Row],[Precio Bruto]]*1.16</f>
        <v>10276.161599999999</v>
      </c>
      <c r="K4836" s="281">
        <f>+Tabla4[[#This Row],[Precio Unitario Neto]]*Tabla4[[#Headers],[20.85%]]</f>
        <v>2142.5796935999997</v>
      </c>
      <c r="L4836" s="282">
        <f>++Tabla4[[#This Row],[Precio Unitario Neto]]-Tabla4[[#This Row],[20.85%]]</f>
        <v>8133.5819063999998</v>
      </c>
      <c r="M4836" s="282" t="e">
        <f>(INDEX(Tabla6[#All],MATCH(Tabla4[[#This Row],[Producto]],Tabla6[[#All],[PRODUCTO]],0),MATCH(Tabla4[[#This Row],[Mes]],Tabla6[#Headers],0)))*(1+Catalogos!$L$2)</f>
        <v>#N/A</v>
      </c>
      <c r="N4836" s="283" t="e">
        <f>+(Tabla4[[#This Row],[Precio Descontado]]-Tabla4[[#This Row],[Precio Base]])*Tabla4[[#This Row],[Cantidad]]</f>
        <v>#N/A</v>
      </c>
      <c r="O4836" s="284" t="e">
        <f>++Tabla4[[#This Row],[Utilidad Total]]/Tabla4[[#This Row],[Total]]</f>
        <v>#N/A</v>
      </c>
      <c r="P4836" s="282">
        <f>++Tabla4[[#This Row],[Precio Descontado]]*Tabla4[[#This Row],[Cantidad]]</f>
        <v>8133.5819063999998</v>
      </c>
      <c r="Q4836" s="282" t="e">
        <f>(INDEX(Tabla6[#All],MATCH(Tabla4[[#This Row],[Producto]],Tabla6[[#All],[PRODUCTO]],0),MATCH(Tabla4[[#This Row],[Mes]],Tabla6[#Headers],0)))</f>
        <v>#N/A</v>
      </c>
      <c r="R4836" s="282" t="e">
        <f>++Tabla4[[#This Row],[Precio Unitario Neto]]-Tabla4[[#This Row],[20.85%]]-Tabla4[[#This Row],[Costo]]</f>
        <v>#N/A</v>
      </c>
      <c r="S4836" s="282" t="e">
        <f>++Tabla4[[#This Row],[U. Bruta Uni]]*Tabla4[[#This Row],[Cantidad]]</f>
        <v>#N/A</v>
      </c>
      <c r="T4836" s="369" t="str">
        <f>VLOOKUP(Tabla4[[#This Row],[Producto]],Tabla6[#All],14,FALSE)</f>
        <v>Termico Solar</v>
      </c>
      <c r="U4836" s="284" t="e">
        <f>(IF(Tabla4[[#This Row],[Familia]]="termico solar",Tabla4[[#This Row],[Utilidad Total]]*6%,Tabla4[[#This Row],[Utilidad Total]]*11.5%))/Tabla4[[#This Row],[Total]]</f>
        <v>#N/A</v>
      </c>
      <c r="V4836" s="282" t="e">
        <f>+Tabla4[[#This Row],[Comisión Calculada]]*Tabla4[[#This Row],[Total]]</f>
        <v>#N/A</v>
      </c>
    </row>
    <row r="4837" spans="1:22" hidden="1" x14ac:dyDescent="0.25">
      <c r="A4837" s="100">
        <v>45869</v>
      </c>
      <c r="B4837" t="str">
        <f t="shared" si="240"/>
        <v>July</v>
      </c>
      <c r="C4837" s="46" t="s">
        <v>280</v>
      </c>
      <c r="F4837" s="366" t="s">
        <v>2538</v>
      </c>
      <c r="G4837" s="46" t="s">
        <v>19</v>
      </c>
      <c r="H4837" s="46">
        <v>1</v>
      </c>
      <c r="I4837" s="51">
        <v>6412.03</v>
      </c>
      <c r="J4837" s="281">
        <f>++Tabla4[[#This Row],[Precio Bruto]]*1.16</f>
        <v>7437.9547999999995</v>
      </c>
      <c r="K4837" s="281">
        <f>+Tabla4[[#This Row],[Precio Unitario Neto]]*Tabla4[[#Headers],[20.85%]]</f>
        <v>1550.8135757999999</v>
      </c>
      <c r="L4837" s="282">
        <f>++Tabla4[[#This Row],[Precio Unitario Neto]]-Tabla4[[#This Row],[20.85%]]</f>
        <v>5887.1412241999997</v>
      </c>
      <c r="M4837" s="282" t="e">
        <f>(INDEX(Tabla6[#All],MATCH(Tabla4[[#This Row],[Producto]],Tabla6[[#All],[PRODUCTO]],0),MATCH(Tabla4[[#This Row],[Mes]],Tabla6[#Headers],0)))*(1+Catalogos!$L$2)</f>
        <v>#N/A</v>
      </c>
      <c r="N4837" s="283" t="e">
        <f>+(Tabla4[[#This Row],[Precio Descontado]]-Tabla4[[#This Row],[Precio Base]])*Tabla4[[#This Row],[Cantidad]]</f>
        <v>#N/A</v>
      </c>
      <c r="O4837" s="284" t="e">
        <f>++Tabla4[[#This Row],[Utilidad Total]]/Tabla4[[#This Row],[Total]]</f>
        <v>#N/A</v>
      </c>
      <c r="P4837" s="282">
        <f>++Tabla4[[#This Row],[Precio Descontado]]*Tabla4[[#This Row],[Cantidad]]</f>
        <v>5887.1412241999997</v>
      </c>
      <c r="Q4837" s="282" t="e">
        <f>(INDEX(Tabla6[#All],MATCH(Tabla4[[#This Row],[Producto]],Tabla6[[#All],[PRODUCTO]],0),MATCH(Tabla4[[#This Row],[Mes]],Tabla6[#Headers],0)))</f>
        <v>#N/A</v>
      </c>
      <c r="R4837" s="282" t="e">
        <f>++Tabla4[[#This Row],[Precio Unitario Neto]]-Tabla4[[#This Row],[20.85%]]-Tabla4[[#This Row],[Costo]]</f>
        <v>#N/A</v>
      </c>
      <c r="S4837" s="282" t="e">
        <f>++Tabla4[[#This Row],[U. Bruta Uni]]*Tabla4[[#This Row],[Cantidad]]</f>
        <v>#N/A</v>
      </c>
      <c r="T4837" s="369" t="str">
        <f>VLOOKUP(Tabla4[[#This Row],[Producto]],Tabla6[#All],14,FALSE)</f>
        <v>Termico Solar</v>
      </c>
      <c r="U4837" s="284" t="e">
        <f>(IF(Tabla4[[#This Row],[Familia]]="termico solar",Tabla4[[#This Row],[Utilidad Total]]*6%,Tabla4[[#This Row],[Utilidad Total]]*11.5%))/Tabla4[[#This Row],[Total]]</f>
        <v>#N/A</v>
      </c>
      <c r="V4837" s="282" t="e">
        <f>+Tabla4[[#This Row],[Comisión Calculada]]*Tabla4[[#This Row],[Total]]</f>
        <v>#N/A</v>
      </c>
    </row>
    <row r="4838" spans="1:22" hidden="1" x14ac:dyDescent="0.25">
      <c r="A4838" s="100">
        <v>45869</v>
      </c>
      <c r="B4838" t="str">
        <f t="shared" si="240"/>
        <v>July</v>
      </c>
      <c r="C4838" s="46" t="s">
        <v>280</v>
      </c>
      <c r="F4838" s="366" t="s">
        <v>2538</v>
      </c>
      <c r="G4838" s="46" t="s">
        <v>208</v>
      </c>
      <c r="H4838" s="46">
        <v>2</v>
      </c>
      <c r="I4838" s="51">
        <v>189.75</v>
      </c>
      <c r="J4838" s="281">
        <f>++Tabla4[[#This Row],[Precio Bruto]]*1.16</f>
        <v>220.10999999999999</v>
      </c>
      <c r="K4838" s="281">
        <f>+Tabla4[[#This Row],[Precio Unitario Neto]]*Tabla4[[#Headers],[20.85%]]</f>
        <v>45.892934999999994</v>
      </c>
      <c r="L4838" s="282">
        <f>++Tabla4[[#This Row],[Precio Unitario Neto]]-Tabla4[[#This Row],[20.85%]]</f>
        <v>174.21706499999999</v>
      </c>
      <c r="M4838" s="282" t="e">
        <f>(INDEX(Tabla6[#All],MATCH(Tabla4[[#This Row],[Producto]],Tabla6[[#All],[PRODUCTO]],0),MATCH(Tabla4[[#This Row],[Mes]],Tabla6[#Headers],0)))*(1+Catalogos!$L$2)</f>
        <v>#N/A</v>
      </c>
      <c r="N4838" s="283" t="e">
        <f>+(Tabla4[[#This Row],[Precio Descontado]]-Tabla4[[#This Row],[Precio Base]])*Tabla4[[#This Row],[Cantidad]]</f>
        <v>#N/A</v>
      </c>
      <c r="O4838" s="284" t="e">
        <f>++Tabla4[[#This Row],[Utilidad Total]]/Tabla4[[#This Row],[Total]]</f>
        <v>#N/A</v>
      </c>
      <c r="P4838" s="282">
        <f>++Tabla4[[#This Row],[Precio Descontado]]*Tabla4[[#This Row],[Cantidad]]</f>
        <v>348.43412999999998</v>
      </c>
      <c r="Q4838" s="282" t="e">
        <f>(INDEX(Tabla6[#All],MATCH(Tabla4[[#This Row],[Producto]],Tabla6[[#All],[PRODUCTO]],0),MATCH(Tabla4[[#This Row],[Mes]],Tabla6[#Headers],0)))</f>
        <v>#N/A</v>
      </c>
      <c r="R4838" s="282" t="e">
        <f>++Tabla4[[#This Row],[Precio Unitario Neto]]-Tabla4[[#This Row],[20.85%]]-Tabla4[[#This Row],[Costo]]</f>
        <v>#N/A</v>
      </c>
      <c r="S4838" s="282" t="e">
        <f>++Tabla4[[#This Row],[U. Bruta Uni]]*Tabla4[[#This Row],[Cantidad]]</f>
        <v>#N/A</v>
      </c>
      <c r="T4838" s="369" t="str">
        <f>VLOOKUP(Tabla4[[#This Row],[Producto]],Tabla6[#All],14,FALSE)</f>
        <v>Termico Solar</v>
      </c>
      <c r="U4838" s="284" t="e">
        <f>(IF(Tabla4[[#This Row],[Familia]]="termico solar",Tabla4[[#This Row],[Utilidad Total]]*6%,Tabla4[[#This Row],[Utilidad Total]]*11.5%))/Tabla4[[#This Row],[Total]]</f>
        <v>#N/A</v>
      </c>
      <c r="V4838" s="282" t="e">
        <f>+Tabla4[[#This Row],[Comisión Calculada]]*Tabla4[[#This Row],[Total]]</f>
        <v>#N/A</v>
      </c>
    </row>
    <row r="4839" spans="1:22" hidden="1" x14ac:dyDescent="0.25">
      <c r="A4839" s="100">
        <v>45869</v>
      </c>
      <c r="B4839" t="str">
        <f t="shared" si="240"/>
        <v>July</v>
      </c>
      <c r="C4839" s="46" t="s">
        <v>280</v>
      </c>
      <c r="F4839" s="366" t="s">
        <v>2539</v>
      </c>
      <c r="G4839" s="46" t="s">
        <v>566</v>
      </c>
      <c r="H4839" s="46">
        <v>2</v>
      </c>
      <c r="I4839" s="51">
        <v>2109.4499999999998</v>
      </c>
      <c r="J4839" s="281">
        <f>++Tabla4[[#This Row],[Precio Bruto]]*1.16</f>
        <v>2446.9619999999995</v>
      </c>
      <c r="K4839" s="281">
        <f>+Tabla4[[#This Row],[Precio Unitario Neto]]*Tabla4[[#Headers],[20.85%]]</f>
        <v>510.19157699999988</v>
      </c>
      <c r="L4839" s="282">
        <f>++Tabla4[[#This Row],[Precio Unitario Neto]]-Tabla4[[#This Row],[20.85%]]</f>
        <v>1936.7704229999997</v>
      </c>
      <c r="M4839" s="282" t="e">
        <f>(INDEX(Tabla6[#All],MATCH(Tabla4[[#This Row],[Producto]],Tabla6[[#All],[PRODUCTO]],0),MATCH(Tabla4[[#This Row],[Mes]],Tabla6[#Headers],0)))*(1+Catalogos!$L$2)</f>
        <v>#N/A</v>
      </c>
      <c r="N4839" s="283" t="e">
        <f>+(Tabla4[[#This Row],[Precio Descontado]]-Tabla4[[#This Row],[Precio Base]])*Tabla4[[#This Row],[Cantidad]]</f>
        <v>#N/A</v>
      </c>
      <c r="O4839" s="284" t="e">
        <f>++Tabla4[[#This Row],[Utilidad Total]]/Tabla4[[#This Row],[Total]]</f>
        <v>#N/A</v>
      </c>
      <c r="P4839" s="282">
        <f>++Tabla4[[#This Row],[Precio Descontado]]*Tabla4[[#This Row],[Cantidad]]</f>
        <v>3873.5408459999994</v>
      </c>
      <c r="Q4839" s="282" t="e">
        <f>(INDEX(Tabla6[#All],MATCH(Tabla4[[#This Row],[Producto]],Tabla6[[#All],[PRODUCTO]],0),MATCH(Tabla4[[#This Row],[Mes]],Tabla6[#Headers],0)))</f>
        <v>#N/A</v>
      </c>
      <c r="R4839" s="282" t="e">
        <f>++Tabla4[[#This Row],[Precio Unitario Neto]]-Tabla4[[#This Row],[20.85%]]-Tabla4[[#This Row],[Costo]]</f>
        <v>#N/A</v>
      </c>
      <c r="S4839" s="282" t="e">
        <f>++Tabla4[[#This Row],[U. Bruta Uni]]*Tabla4[[#This Row],[Cantidad]]</f>
        <v>#N/A</v>
      </c>
      <c r="T4839" s="369" t="str">
        <f>VLOOKUP(Tabla4[[#This Row],[Producto]],Tabla6[#All],14,FALSE)</f>
        <v>Termico Solar</v>
      </c>
      <c r="U4839" s="284" t="e">
        <f>(IF(Tabla4[[#This Row],[Familia]]="termico solar",Tabla4[[#This Row],[Utilidad Total]]*6%,Tabla4[[#This Row],[Utilidad Total]]*11.5%))/Tabla4[[#This Row],[Total]]</f>
        <v>#N/A</v>
      </c>
      <c r="V4839" s="282" t="e">
        <f>+Tabla4[[#This Row],[Comisión Calculada]]*Tabla4[[#This Row],[Total]]</f>
        <v>#N/A</v>
      </c>
    </row>
    <row r="4840" spans="1:22" hidden="1" x14ac:dyDescent="0.25">
      <c r="A4840" s="100">
        <v>45869</v>
      </c>
      <c r="B4840" t="str">
        <f t="shared" si="240"/>
        <v>July</v>
      </c>
      <c r="C4840" s="46" t="s">
        <v>280</v>
      </c>
      <c r="F4840" s="366" t="s">
        <v>2540</v>
      </c>
      <c r="G4840" s="46" t="s">
        <v>16</v>
      </c>
      <c r="H4840" s="46">
        <v>2</v>
      </c>
      <c r="I4840" s="51">
        <v>4103.8500000000004</v>
      </c>
      <c r="J4840" s="281">
        <f>++Tabla4[[#This Row],[Precio Bruto]]*1.16</f>
        <v>4760.4660000000003</v>
      </c>
      <c r="K4840" s="281">
        <f>+Tabla4[[#This Row],[Precio Unitario Neto]]*Tabla4[[#Headers],[20.85%]]</f>
        <v>992.55716100000006</v>
      </c>
      <c r="L4840" s="282">
        <f>++Tabla4[[#This Row],[Precio Unitario Neto]]-Tabla4[[#This Row],[20.85%]]</f>
        <v>3767.9088390000002</v>
      </c>
      <c r="M4840" s="282" t="e">
        <f>(INDEX(Tabla6[#All],MATCH(Tabla4[[#This Row],[Producto]],Tabla6[[#All],[PRODUCTO]],0),MATCH(Tabla4[[#This Row],[Mes]],Tabla6[#Headers],0)))*(1+Catalogos!$L$2)</f>
        <v>#N/A</v>
      </c>
      <c r="N4840" s="283" t="e">
        <f>+(Tabla4[[#This Row],[Precio Descontado]]-Tabla4[[#This Row],[Precio Base]])*Tabla4[[#This Row],[Cantidad]]</f>
        <v>#N/A</v>
      </c>
      <c r="O4840" s="284" t="e">
        <f>++Tabla4[[#This Row],[Utilidad Total]]/Tabla4[[#This Row],[Total]]</f>
        <v>#N/A</v>
      </c>
      <c r="P4840" s="282">
        <f>++Tabla4[[#This Row],[Precio Descontado]]*Tabla4[[#This Row],[Cantidad]]</f>
        <v>7535.8176780000003</v>
      </c>
      <c r="Q4840" s="282" t="e">
        <f>(INDEX(Tabla6[#All],MATCH(Tabla4[[#This Row],[Producto]],Tabla6[[#All],[PRODUCTO]],0),MATCH(Tabla4[[#This Row],[Mes]],Tabla6[#Headers],0)))</f>
        <v>#N/A</v>
      </c>
      <c r="R4840" s="282" t="e">
        <f>++Tabla4[[#This Row],[Precio Unitario Neto]]-Tabla4[[#This Row],[20.85%]]-Tabla4[[#This Row],[Costo]]</f>
        <v>#N/A</v>
      </c>
      <c r="S4840" s="282" t="e">
        <f>++Tabla4[[#This Row],[U. Bruta Uni]]*Tabla4[[#This Row],[Cantidad]]</f>
        <v>#N/A</v>
      </c>
      <c r="T4840" s="369" t="str">
        <f>VLOOKUP(Tabla4[[#This Row],[Producto]],Tabla6[#All],14,FALSE)</f>
        <v>Termico Solar</v>
      </c>
      <c r="U4840" s="284" t="e">
        <f>(IF(Tabla4[[#This Row],[Familia]]="termico solar",Tabla4[[#This Row],[Utilidad Total]]*6%,Tabla4[[#This Row],[Utilidad Total]]*11.5%))/Tabla4[[#This Row],[Total]]</f>
        <v>#N/A</v>
      </c>
      <c r="V4840" s="282" t="e">
        <f>+Tabla4[[#This Row],[Comisión Calculada]]*Tabla4[[#This Row],[Total]]</f>
        <v>#N/A</v>
      </c>
    </row>
    <row r="4841" spans="1:22" hidden="1" x14ac:dyDescent="0.25">
      <c r="A4841" s="100">
        <v>45869</v>
      </c>
      <c r="B4841" t="str">
        <f t="shared" si="240"/>
        <v>July</v>
      </c>
      <c r="C4841" s="46" t="s">
        <v>280</v>
      </c>
      <c r="F4841" s="366" t="s">
        <v>2540</v>
      </c>
      <c r="G4841" s="46" t="s">
        <v>208</v>
      </c>
      <c r="H4841" s="46">
        <v>1</v>
      </c>
      <c r="I4841" s="51">
        <v>189.75</v>
      </c>
      <c r="J4841" s="281">
        <f>++Tabla4[[#This Row],[Precio Bruto]]*1.16</f>
        <v>220.10999999999999</v>
      </c>
      <c r="K4841" s="281">
        <f>+Tabla4[[#This Row],[Precio Unitario Neto]]*Tabla4[[#Headers],[20.85%]]</f>
        <v>45.892934999999994</v>
      </c>
      <c r="L4841" s="282">
        <f>++Tabla4[[#This Row],[Precio Unitario Neto]]-Tabla4[[#This Row],[20.85%]]</f>
        <v>174.21706499999999</v>
      </c>
      <c r="M4841" s="282" t="e">
        <f>(INDEX(Tabla6[#All],MATCH(Tabla4[[#This Row],[Producto]],Tabla6[[#All],[PRODUCTO]],0),MATCH(Tabla4[[#This Row],[Mes]],Tabla6[#Headers],0)))*(1+Catalogos!$L$2)</f>
        <v>#N/A</v>
      </c>
      <c r="N4841" s="283" t="e">
        <f>+(Tabla4[[#This Row],[Precio Descontado]]-Tabla4[[#This Row],[Precio Base]])*Tabla4[[#This Row],[Cantidad]]</f>
        <v>#N/A</v>
      </c>
      <c r="O4841" s="284" t="e">
        <f>++Tabla4[[#This Row],[Utilidad Total]]/Tabla4[[#This Row],[Total]]</f>
        <v>#N/A</v>
      </c>
      <c r="P4841" s="282">
        <f>++Tabla4[[#This Row],[Precio Descontado]]*Tabla4[[#This Row],[Cantidad]]</f>
        <v>174.21706499999999</v>
      </c>
      <c r="Q4841" s="282" t="e">
        <f>(INDEX(Tabla6[#All],MATCH(Tabla4[[#This Row],[Producto]],Tabla6[[#All],[PRODUCTO]],0),MATCH(Tabla4[[#This Row],[Mes]],Tabla6[#Headers],0)))</f>
        <v>#N/A</v>
      </c>
      <c r="R4841" s="282" t="e">
        <f>++Tabla4[[#This Row],[Precio Unitario Neto]]-Tabla4[[#This Row],[20.85%]]-Tabla4[[#This Row],[Costo]]</f>
        <v>#N/A</v>
      </c>
      <c r="S4841" s="282" t="e">
        <f>++Tabla4[[#This Row],[U. Bruta Uni]]*Tabla4[[#This Row],[Cantidad]]</f>
        <v>#N/A</v>
      </c>
      <c r="T4841" s="369" t="str">
        <f>VLOOKUP(Tabla4[[#This Row],[Producto]],Tabla6[#All],14,FALSE)</f>
        <v>Termico Solar</v>
      </c>
      <c r="U4841" s="284" t="e">
        <f>(IF(Tabla4[[#This Row],[Familia]]="termico solar",Tabla4[[#This Row],[Utilidad Total]]*6%,Tabla4[[#This Row],[Utilidad Total]]*11.5%))/Tabla4[[#This Row],[Total]]</f>
        <v>#N/A</v>
      </c>
      <c r="V4841" s="282" t="e">
        <f>+Tabla4[[#This Row],[Comisión Calculada]]*Tabla4[[#This Row],[Total]]</f>
        <v>#N/A</v>
      </c>
    </row>
    <row r="4842" spans="1:22" hidden="1" x14ac:dyDescent="0.25">
      <c r="A4842" s="100">
        <v>45869</v>
      </c>
      <c r="B4842" t="str">
        <f t="shared" si="240"/>
        <v>July</v>
      </c>
      <c r="C4842" s="46" t="s">
        <v>280</v>
      </c>
      <c r="F4842" s="366" t="s">
        <v>2541</v>
      </c>
      <c r="G4842" s="46" t="s">
        <v>566</v>
      </c>
      <c r="H4842" s="46">
        <v>1</v>
      </c>
      <c r="I4842" s="51">
        <v>2109.4499999999998</v>
      </c>
      <c r="J4842" s="281">
        <f>++Tabla4[[#This Row],[Precio Bruto]]*1.16</f>
        <v>2446.9619999999995</v>
      </c>
      <c r="K4842" s="281">
        <f>+Tabla4[[#This Row],[Precio Unitario Neto]]*Tabla4[[#Headers],[20.85%]]</f>
        <v>510.19157699999988</v>
      </c>
      <c r="L4842" s="282">
        <f>++Tabla4[[#This Row],[Precio Unitario Neto]]-Tabla4[[#This Row],[20.85%]]</f>
        <v>1936.7704229999997</v>
      </c>
      <c r="M4842" s="282" t="e">
        <f>(INDEX(Tabla6[#All],MATCH(Tabla4[[#This Row],[Producto]],Tabla6[[#All],[PRODUCTO]],0),MATCH(Tabla4[[#This Row],[Mes]],Tabla6[#Headers],0)))*(1+Catalogos!$L$2)</f>
        <v>#N/A</v>
      </c>
      <c r="N4842" s="283" t="e">
        <f>+(Tabla4[[#This Row],[Precio Descontado]]-Tabla4[[#This Row],[Precio Base]])*Tabla4[[#This Row],[Cantidad]]</f>
        <v>#N/A</v>
      </c>
      <c r="O4842" s="284" t="e">
        <f>++Tabla4[[#This Row],[Utilidad Total]]/Tabla4[[#This Row],[Total]]</f>
        <v>#N/A</v>
      </c>
      <c r="P4842" s="282">
        <f>++Tabla4[[#This Row],[Precio Descontado]]*Tabla4[[#This Row],[Cantidad]]</f>
        <v>1936.7704229999997</v>
      </c>
      <c r="Q4842" s="282" t="e">
        <f>(INDEX(Tabla6[#All],MATCH(Tabla4[[#This Row],[Producto]],Tabla6[[#All],[PRODUCTO]],0),MATCH(Tabla4[[#This Row],[Mes]],Tabla6[#Headers],0)))</f>
        <v>#N/A</v>
      </c>
      <c r="R4842" s="282" t="e">
        <f>++Tabla4[[#This Row],[Precio Unitario Neto]]-Tabla4[[#This Row],[20.85%]]-Tabla4[[#This Row],[Costo]]</f>
        <v>#N/A</v>
      </c>
      <c r="S4842" s="282" t="e">
        <f>++Tabla4[[#This Row],[U. Bruta Uni]]*Tabla4[[#This Row],[Cantidad]]</f>
        <v>#N/A</v>
      </c>
      <c r="T4842" s="369" t="str">
        <f>VLOOKUP(Tabla4[[#This Row],[Producto]],Tabla6[#All],14,FALSE)</f>
        <v>Termico Solar</v>
      </c>
      <c r="U4842" s="284" t="e">
        <f>(IF(Tabla4[[#This Row],[Familia]]="termico solar",Tabla4[[#This Row],[Utilidad Total]]*6%,Tabla4[[#This Row],[Utilidad Total]]*11.5%))/Tabla4[[#This Row],[Total]]</f>
        <v>#N/A</v>
      </c>
      <c r="V4842" s="282" t="e">
        <f>+Tabla4[[#This Row],[Comisión Calculada]]*Tabla4[[#This Row],[Total]]</f>
        <v>#N/A</v>
      </c>
    </row>
    <row r="4843" spans="1:22" hidden="1" x14ac:dyDescent="0.25">
      <c r="A4843" s="100">
        <v>45869</v>
      </c>
      <c r="B4843" t="str">
        <f t="shared" si="240"/>
        <v>July</v>
      </c>
      <c r="C4843" s="46" t="s">
        <v>280</v>
      </c>
      <c r="F4843" s="366" t="s">
        <v>2541</v>
      </c>
      <c r="G4843" s="46" t="s">
        <v>16</v>
      </c>
      <c r="H4843" s="46">
        <v>3</v>
      </c>
      <c r="I4843" s="51">
        <v>4103.8499999999995</v>
      </c>
      <c r="J4843" s="281">
        <f>++Tabla4[[#This Row],[Precio Bruto]]*1.16</f>
        <v>4760.4659999999994</v>
      </c>
      <c r="K4843" s="281">
        <f>+Tabla4[[#This Row],[Precio Unitario Neto]]*Tabla4[[#Headers],[20.85%]]</f>
        <v>992.55716099999984</v>
      </c>
      <c r="L4843" s="282">
        <f>++Tabla4[[#This Row],[Precio Unitario Neto]]-Tabla4[[#This Row],[20.85%]]</f>
        <v>3767.9088389999997</v>
      </c>
      <c r="M4843" s="282" t="e">
        <f>(INDEX(Tabla6[#All],MATCH(Tabla4[[#This Row],[Producto]],Tabla6[[#All],[PRODUCTO]],0),MATCH(Tabla4[[#This Row],[Mes]],Tabla6[#Headers],0)))*(1+Catalogos!$L$2)</f>
        <v>#N/A</v>
      </c>
      <c r="N4843" s="283" t="e">
        <f>+(Tabla4[[#This Row],[Precio Descontado]]-Tabla4[[#This Row],[Precio Base]])*Tabla4[[#This Row],[Cantidad]]</f>
        <v>#N/A</v>
      </c>
      <c r="O4843" s="284" t="e">
        <f>++Tabla4[[#This Row],[Utilidad Total]]/Tabla4[[#This Row],[Total]]</f>
        <v>#N/A</v>
      </c>
      <c r="P4843" s="282">
        <f>++Tabla4[[#This Row],[Precio Descontado]]*Tabla4[[#This Row],[Cantidad]]</f>
        <v>11303.726516999999</v>
      </c>
      <c r="Q4843" s="282" t="e">
        <f>(INDEX(Tabla6[#All],MATCH(Tabla4[[#This Row],[Producto]],Tabla6[[#All],[PRODUCTO]],0),MATCH(Tabla4[[#This Row],[Mes]],Tabla6[#Headers],0)))</f>
        <v>#N/A</v>
      </c>
      <c r="R4843" s="282" t="e">
        <f>++Tabla4[[#This Row],[Precio Unitario Neto]]-Tabla4[[#This Row],[20.85%]]-Tabla4[[#This Row],[Costo]]</f>
        <v>#N/A</v>
      </c>
      <c r="S4843" s="282" t="e">
        <f>++Tabla4[[#This Row],[U. Bruta Uni]]*Tabla4[[#This Row],[Cantidad]]</f>
        <v>#N/A</v>
      </c>
      <c r="T4843" s="369" t="str">
        <f>VLOOKUP(Tabla4[[#This Row],[Producto]],Tabla6[#All],14,FALSE)</f>
        <v>Termico Solar</v>
      </c>
      <c r="U4843" s="284" t="e">
        <f>(IF(Tabla4[[#This Row],[Familia]]="termico solar",Tabla4[[#This Row],[Utilidad Total]]*6%,Tabla4[[#This Row],[Utilidad Total]]*11.5%))/Tabla4[[#This Row],[Total]]</f>
        <v>#N/A</v>
      </c>
      <c r="V4843" s="282" t="e">
        <f>+Tabla4[[#This Row],[Comisión Calculada]]*Tabla4[[#This Row],[Total]]</f>
        <v>#N/A</v>
      </c>
    </row>
    <row r="4844" spans="1:22" hidden="1" x14ac:dyDescent="0.25">
      <c r="A4844" s="100">
        <v>45869</v>
      </c>
      <c r="B4844" t="str">
        <f t="shared" si="240"/>
        <v>July</v>
      </c>
      <c r="C4844" s="46" t="s">
        <v>280</v>
      </c>
      <c r="F4844" s="366" t="s">
        <v>2542</v>
      </c>
      <c r="G4844" s="46" t="s">
        <v>17</v>
      </c>
      <c r="H4844" s="46">
        <v>3</v>
      </c>
      <c r="I4844" s="51">
        <v>4622.28</v>
      </c>
      <c r="J4844" s="281">
        <f>++Tabla4[[#This Row],[Precio Bruto]]*1.16</f>
        <v>5361.8447999999989</v>
      </c>
      <c r="K4844" s="281">
        <f>+Tabla4[[#This Row],[Precio Unitario Neto]]*Tabla4[[#Headers],[20.85%]]</f>
        <v>1117.9446407999997</v>
      </c>
      <c r="L4844" s="282">
        <f>++Tabla4[[#This Row],[Precio Unitario Neto]]-Tabla4[[#This Row],[20.85%]]</f>
        <v>4243.9001591999995</v>
      </c>
      <c r="M4844" s="282" t="e">
        <f>(INDEX(Tabla6[#All],MATCH(Tabla4[[#This Row],[Producto]],Tabla6[[#All],[PRODUCTO]],0),MATCH(Tabla4[[#This Row],[Mes]],Tabla6[#Headers],0)))*(1+Catalogos!$L$2)</f>
        <v>#N/A</v>
      </c>
      <c r="N4844" s="283" t="e">
        <f>+(Tabla4[[#This Row],[Precio Descontado]]-Tabla4[[#This Row],[Precio Base]])*Tabla4[[#This Row],[Cantidad]]</f>
        <v>#N/A</v>
      </c>
      <c r="O4844" s="284" t="e">
        <f>++Tabla4[[#This Row],[Utilidad Total]]/Tabla4[[#This Row],[Total]]</f>
        <v>#N/A</v>
      </c>
      <c r="P4844" s="282">
        <f>++Tabla4[[#This Row],[Precio Descontado]]*Tabla4[[#This Row],[Cantidad]]</f>
        <v>12731.700477599999</v>
      </c>
      <c r="Q4844" s="282" t="e">
        <f>(INDEX(Tabla6[#All],MATCH(Tabla4[[#This Row],[Producto]],Tabla6[[#All],[PRODUCTO]],0),MATCH(Tabla4[[#This Row],[Mes]],Tabla6[#Headers],0)))</f>
        <v>#N/A</v>
      </c>
      <c r="R4844" s="282" t="e">
        <f>++Tabla4[[#This Row],[Precio Unitario Neto]]-Tabla4[[#This Row],[20.85%]]-Tabla4[[#This Row],[Costo]]</f>
        <v>#N/A</v>
      </c>
      <c r="S4844" s="282" t="e">
        <f>++Tabla4[[#This Row],[U. Bruta Uni]]*Tabla4[[#This Row],[Cantidad]]</f>
        <v>#N/A</v>
      </c>
      <c r="T4844" s="369" t="str">
        <f>VLOOKUP(Tabla4[[#This Row],[Producto]],Tabla6[#All],14,FALSE)</f>
        <v>Termico Solar</v>
      </c>
      <c r="U4844" s="284" t="e">
        <f>(IF(Tabla4[[#This Row],[Familia]]="termico solar",Tabla4[[#This Row],[Utilidad Total]]*6%,Tabla4[[#This Row],[Utilidad Total]]*11.5%))/Tabla4[[#This Row],[Total]]</f>
        <v>#N/A</v>
      </c>
      <c r="V4844" s="282" t="e">
        <f>+Tabla4[[#This Row],[Comisión Calculada]]*Tabla4[[#This Row],[Total]]</f>
        <v>#N/A</v>
      </c>
    </row>
    <row r="4845" spans="1:22" hidden="1" x14ac:dyDescent="0.25">
      <c r="A4845" s="100">
        <v>45869</v>
      </c>
      <c r="B4845" t="str">
        <f t="shared" si="240"/>
        <v>July</v>
      </c>
      <c r="C4845" s="46" t="s">
        <v>280</v>
      </c>
      <c r="F4845" s="366" t="s">
        <v>2542</v>
      </c>
      <c r="G4845" s="46" t="s">
        <v>19</v>
      </c>
      <c r="H4845" s="46">
        <v>1</v>
      </c>
      <c r="I4845" s="51">
        <v>6412.03</v>
      </c>
      <c r="J4845" s="281">
        <f>++Tabla4[[#This Row],[Precio Bruto]]*1.16</f>
        <v>7437.9547999999995</v>
      </c>
      <c r="K4845" s="281">
        <f>+Tabla4[[#This Row],[Precio Unitario Neto]]*Tabla4[[#Headers],[20.85%]]</f>
        <v>1550.8135757999999</v>
      </c>
      <c r="L4845" s="282">
        <f>++Tabla4[[#This Row],[Precio Unitario Neto]]-Tabla4[[#This Row],[20.85%]]</f>
        <v>5887.1412241999997</v>
      </c>
      <c r="M4845" s="282" t="e">
        <f>(INDEX(Tabla6[#All],MATCH(Tabla4[[#This Row],[Producto]],Tabla6[[#All],[PRODUCTO]],0),MATCH(Tabla4[[#This Row],[Mes]],Tabla6[#Headers],0)))*(1+Catalogos!$L$2)</f>
        <v>#N/A</v>
      </c>
      <c r="N4845" s="283" t="e">
        <f>+(Tabla4[[#This Row],[Precio Descontado]]-Tabla4[[#This Row],[Precio Base]])*Tabla4[[#This Row],[Cantidad]]</f>
        <v>#N/A</v>
      </c>
      <c r="O4845" s="284" t="e">
        <f>++Tabla4[[#This Row],[Utilidad Total]]/Tabla4[[#This Row],[Total]]</f>
        <v>#N/A</v>
      </c>
      <c r="P4845" s="282">
        <f>++Tabla4[[#This Row],[Precio Descontado]]*Tabla4[[#This Row],[Cantidad]]</f>
        <v>5887.1412241999997</v>
      </c>
      <c r="Q4845" s="282" t="e">
        <f>(INDEX(Tabla6[#All],MATCH(Tabla4[[#This Row],[Producto]],Tabla6[[#All],[PRODUCTO]],0),MATCH(Tabla4[[#This Row],[Mes]],Tabla6[#Headers],0)))</f>
        <v>#N/A</v>
      </c>
      <c r="R4845" s="282" t="e">
        <f>++Tabla4[[#This Row],[Precio Unitario Neto]]-Tabla4[[#This Row],[20.85%]]-Tabla4[[#This Row],[Costo]]</f>
        <v>#N/A</v>
      </c>
      <c r="S4845" s="282" t="e">
        <f>++Tabla4[[#This Row],[U. Bruta Uni]]*Tabla4[[#This Row],[Cantidad]]</f>
        <v>#N/A</v>
      </c>
      <c r="T4845" s="369" t="str">
        <f>VLOOKUP(Tabla4[[#This Row],[Producto]],Tabla6[#All],14,FALSE)</f>
        <v>Termico Solar</v>
      </c>
      <c r="U4845" s="284" t="e">
        <f>(IF(Tabla4[[#This Row],[Familia]]="termico solar",Tabla4[[#This Row],[Utilidad Total]]*6%,Tabla4[[#This Row],[Utilidad Total]]*11.5%))/Tabla4[[#This Row],[Total]]</f>
        <v>#N/A</v>
      </c>
      <c r="V4845" s="282" t="e">
        <f>+Tabla4[[#This Row],[Comisión Calculada]]*Tabla4[[#This Row],[Total]]</f>
        <v>#N/A</v>
      </c>
    </row>
    <row r="4846" spans="1:22" hidden="1" x14ac:dyDescent="0.25">
      <c r="A4846" s="100">
        <v>45869</v>
      </c>
      <c r="B4846" t="str">
        <f t="shared" si="240"/>
        <v>July</v>
      </c>
      <c r="C4846" s="46" t="s">
        <v>280</v>
      </c>
      <c r="F4846" s="366" t="s">
        <v>2542</v>
      </c>
      <c r="G4846" s="46" t="s">
        <v>566</v>
      </c>
      <c r="H4846" s="46">
        <v>2</v>
      </c>
      <c r="I4846" s="51">
        <v>2109.4499999999998</v>
      </c>
      <c r="J4846" s="281">
        <f>++Tabla4[[#This Row],[Precio Bruto]]*1.16</f>
        <v>2446.9619999999995</v>
      </c>
      <c r="K4846" s="281">
        <f>+Tabla4[[#This Row],[Precio Unitario Neto]]*Tabla4[[#Headers],[20.85%]]</f>
        <v>510.19157699999988</v>
      </c>
      <c r="L4846" s="282">
        <f>++Tabla4[[#This Row],[Precio Unitario Neto]]-Tabla4[[#This Row],[20.85%]]</f>
        <v>1936.7704229999997</v>
      </c>
      <c r="M4846" s="282" t="e">
        <f>(INDEX(Tabla6[#All],MATCH(Tabla4[[#This Row],[Producto]],Tabla6[[#All],[PRODUCTO]],0),MATCH(Tabla4[[#This Row],[Mes]],Tabla6[#Headers],0)))*(1+Catalogos!$L$2)</f>
        <v>#N/A</v>
      </c>
      <c r="N4846" s="283" t="e">
        <f>+(Tabla4[[#This Row],[Precio Descontado]]-Tabla4[[#This Row],[Precio Base]])*Tabla4[[#This Row],[Cantidad]]</f>
        <v>#N/A</v>
      </c>
      <c r="O4846" s="284" t="e">
        <f>++Tabla4[[#This Row],[Utilidad Total]]/Tabla4[[#This Row],[Total]]</f>
        <v>#N/A</v>
      </c>
      <c r="P4846" s="282">
        <f>++Tabla4[[#This Row],[Precio Descontado]]*Tabla4[[#This Row],[Cantidad]]</f>
        <v>3873.5408459999994</v>
      </c>
      <c r="Q4846" s="282" t="e">
        <f>(INDEX(Tabla6[#All],MATCH(Tabla4[[#This Row],[Producto]],Tabla6[[#All],[PRODUCTO]],0),MATCH(Tabla4[[#This Row],[Mes]],Tabla6[#Headers],0)))</f>
        <v>#N/A</v>
      </c>
      <c r="R4846" s="282" t="e">
        <f>++Tabla4[[#This Row],[Precio Unitario Neto]]-Tabla4[[#This Row],[20.85%]]-Tabla4[[#This Row],[Costo]]</f>
        <v>#N/A</v>
      </c>
      <c r="S4846" s="282" t="e">
        <f>++Tabla4[[#This Row],[U. Bruta Uni]]*Tabla4[[#This Row],[Cantidad]]</f>
        <v>#N/A</v>
      </c>
      <c r="T4846" s="369" t="str">
        <f>VLOOKUP(Tabla4[[#This Row],[Producto]],Tabla6[#All],14,FALSE)</f>
        <v>Termico Solar</v>
      </c>
      <c r="U4846" s="284" t="e">
        <f>(IF(Tabla4[[#This Row],[Familia]]="termico solar",Tabla4[[#This Row],[Utilidad Total]]*6%,Tabla4[[#This Row],[Utilidad Total]]*11.5%))/Tabla4[[#This Row],[Total]]</f>
        <v>#N/A</v>
      </c>
      <c r="V4846" s="282" t="e">
        <f>+Tabla4[[#This Row],[Comisión Calculada]]*Tabla4[[#This Row],[Total]]</f>
        <v>#N/A</v>
      </c>
    </row>
    <row r="4847" spans="1:22" hidden="1" x14ac:dyDescent="0.25">
      <c r="A4847" s="100">
        <v>45869</v>
      </c>
      <c r="B4847" t="str">
        <f t="shared" si="240"/>
        <v>July</v>
      </c>
      <c r="C4847" s="46" t="s">
        <v>280</v>
      </c>
      <c r="F4847" s="366" t="s">
        <v>2543</v>
      </c>
      <c r="G4847" s="46" t="s">
        <v>566</v>
      </c>
      <c r="H4847" s="46">
        <v>1</v>
      </c>
      <c r="I4847" s="51">
        <v>2109.4499999999998</v>
      </c>
      <c r="J4847" s="281">
        <f>++Tabla4[[#This Row],[Precio Bruto]]*1.16</f>
        <v>2446.9619999999995</v>
      </c>
      <c r="K4847" s="281">
        <f>+Tabla4[[#This Row],[Precio Unitario Neto]]*Tabla4[[#Headers],[20.85%]]</f>
        <v>510.19157699999988</v>
      </c>
      <c r="L4847" s="282">
        <f>++Tabla4[[#This Row],[Precio Unitario Neto]]-Tabla4[[#This Row],[20.85%]]</f>
        <v>1936.7704229999997</v>
      </c>
      <c r="M4847" s="282" t="e">
        <f>(INDEX(Tabla6[#All],MATCH(Tabla4[[#This Row],[Producto]],Tabla6[[#All],[PRODUCTO]],0),MATCH(Tabla4[[#This Row],[Mes]],Tabla6[#Headers],0)))*(1+Catalogos!$L$2)</f>
        <v>#N/A</v>
      </c>
      <c r="N4847" s="283" t="e">
        <f>+(Tabla4[[#This Row],[Precio Descontado]]-Tabla4[[#This Row],[Precio Base]])*Tabla4[[#This Row],[Cantidad]]</f>
        <v>#N/A</v>
      </c>
      <c r="O4847" s="284" t="e">
        <f>++Tabla4[[#This Row],[Utilidad Total]]/Tabla4[[#This Row],[Total]]</f>
        <v>#N/A</v>
      </c>
      <c r="P4847" s="282">
        <f>++Tabla4[[#This Row],[Precio Descontado]]*Tabla4[[#This Row],[Cantidad]]</f>
        <v>1936.7704229999997</v>
      </c>
      <c r="Q4847" s="282" t="e">
        <f>(INDEX(Tabla6[#All],MATCH(Tabla4[[#This Row],[Producto]],Tabla6[[#All],[PRODUCTO]],0),MATCH(Tabla4[[#This Row],[Mes]],Tabla6[#Headers],0)))</f>
        <v>#N/A</v>
      </c>
      <c r="R4847" s="282" t="e">
        <f>++Tabla4[[#This Row],[Precio Unitario Neto]]-Tabla4[[#This Row],[20.85%]]-Tabla4[[#This Row],[Costo]]</f>
        <v>#N/A</v>
      </c>
      <c r="S4847" s="282" t="e">
        <f>++Tabla4[[#This Row],[U. Bruta Uni]]*Tabla4[[#This Row],[Cantidad]]</f>
        <v>#N/A</v>
      </c>
      <c r="T4847" s="369" t="str">
        <f>VLOOKUP(Tabla4[[#This Row],[Producto]],Tabla6[#All],14,FALSE)</f>
        <v>Termico Solar</v>
      </c>
      <c r="U4847" s="284" t="e">
        <f>(IF(Tabla4[[#This Row],[Familia]]="termico solar",Tabla4[[#This Row],[Utilidad Total]]*6%,Tabla4[[#This Row],[Utilidad Total]]*11.5%))/Tabla4[[#This Row],[Total]]</f>
        <v>#N/A</v>
      </c>
      <c r="V4847" s="282" t="e">
        <f>+Tabla4[[#This Row],[Comisión Calculada]]*Tabla4[[#This Row],[Total]]</f>
        <v>#N/A</v>
      </c>
    </row>
    <row r="4848" spans="1:22" hidden="1" x14ac:dyDescent="0.25">
      <c r="A4848" s="100">
        <v>45869</v>
      </c>
      <c r="B4848" t="str">
        <f t="shared" si="240"/>
        <v>July</v>
      </c>
      <c r="C4848" s="46" t="s">
        <v>280</v>
      </c>
      <c r="F4848" s="366" t="s">
        <v>2544</v>
      </c>
      <c r="G4848" s="46" t="s">
        <v>83</v>
      </c>
      <c r="H4848" s="46">
        <v>1</v>
      </c>
      <c r="I4848" s="51">
        <v>8858.76</v>
      </c>
      <c r="J4848" s="281">
        <f>++Tabla4[[#This Row],[Precio Bruto]]*1.16</f>
        <v>10276.161599999999</v>
      </c>
      <c r="K4848" s="281">
        <f>+Tabla4[[#This Row],[Precio Unitario Neto]]*Tabla4[[#Headers],[20.85%]]</f>
        <v>2142.5796935999997</v>
      </c>
      <c r="L4848" s="282">
        <f>++Tabla4[[#This Row],[Precio Unitario Neto]]-Tabla4[[#This Row],[20.85%]]</f>
        <v>8133.5819063999998</v>
      </c>
      <c r="M4848" s="282" t="e">
        <f>(INDEX(Tabla6[#All],MATCH(Tabla4[[#This Row],[Producto]],Tabla6[[#All],[PRODUCTO]],0),MATCH(Tabla4[[#This Row],[Mes]],Tabla6[#Headers],0)))*(1+Catalogos!$L$2)</f>
        <v>#N/A</v>
      </c>
      <c r="N4848" s="283" t="e">
        <f>+(Tabla4[[#This Row],[Precio Descontado]]-Tabla4[[#This Row],[Precio Base]])*Tabla4[[#This Row],[Cantidad]]</f>
        <v>#N/A</v>
      </c>
      <c r="O4848" s="284" t="e">
        <f>++Tabla4[[#This Row],[Utilidad Total]]/Tabla4[[#This Row],[Total]]</f>
        <v>#N/A</v>
      </c>
      <c r="P4848" s="282">
        <f>++Tabla4[[#This Row],[Precio Descontado]]*Tabla4[[#This Row],[Cantidad]]</f>
        <v>8133.5819063999998</v>
      </c>
      <c r="Q4848" s="282" t="e">
        <f>(INDEX(Tabla6[#All],MATCH(Tabla4[[#This Row],[Producto]],Tabla6[[#All],[PRODUCTO]],0),MATCH(Tabla4[[#This Row],[Mes]],Tabla6[#Headers],0)))</f>
        <v>#N/A</v>
      </c>
      <c r="R4848" s="282" t="e">
        <f>++Tabla4[[#This Row],[Precio Unitario Neto]]-Tabla4[[#This Row],[20.85%]]-Tabla4[[#This Row],[Costo]]</f>
        <v>#N/A</v>
      </c>
      <c r="S4848" s="282" t="e">
        <f>++Tabla4[[#This Row],[U. Bruta Uni]]*Tabla4[[#This Row],[Cantidad]]</f>
        <v>#N/A</v>
      </c>
      <c r="T4848" s="369" t="str">
        <f>VLOOKUP(Tabla4[[#This Row],[Producto]],Tabla6[#All],14,FALSE)</f>
        <v>Termico Solar</v>
      </c>
      <c r="U4848" s="284" t="e">
        <f>(IF(Tabla4[[#This Row],[Familia]]="termico solar",Tabla4[[#This Row],[Utilidad Total]]*6%,Tabla4[[#This Row],[Utilidad Total]]*11.5%))/Tabla4[[#This Row],[Total]]</f>
        <v>#N/A</v>
      </c>
      <c r="V4848" s="282" t="e">
        <f>+Tabla4[[#This Row],[Comisión Calculada]]*Tabla4[[#This Row],[Total]]</f>
        <v>#N/A</v>
      </c>
    </row>
    <row r="4849" spans="1:22" hidden="1" x14ac:dyDescent="0.25">
      <c r="A4849" s="100">
        <v>45869</v>
      </c>
      <c r="B4849" t="str">
        <f t="shared" si="240"/>
        <v>July</v>
      </c>
      <c r="C4849" s="46" t="s">
        <v>280</v>
      </c>
      <c r="F4849" s="366" t="s">
        <v>2544</v>
      </c>
      <c r="G4849" s="46" t="s">
        <v>17</v>
      </c>
      <c r="H4849" s="46">
        <v>1</v>
      </c>
      <c r="I4849" s="51">
        <v>4622.28</v>
      </c>
      <c r="J4849" s="281">
        <f>++Tabla4[[#This Row],[Precio Bruto]]*1.16</f>
        <v>5361.8447999999989</v>
      </c>
      <c r="K4849" s="281">
        <f>+Tabla4[[#This Row],[Precio Unitario Neto]]*Tabla4[[#Headers],[20.85%]]</f>
        <v>1117.9446407999997</v>
      </c>
      <c r="L4849" s="282">
        <f>++Tabla4[[#This Row],[Precio Unitario Neto]]-Tabla4[[#This Row],[20.85%]]</f>
        <v>4243.9001591999995</v>
      </c>
      <c r="M4849" s="282" t="e">
        <f>(INDEX(Tabla6[#All],MATCH(Tabla4[[#This Row],[Producto]],Tabla6[[#All],[PRODUCTO]],0),MATCH(Tabla4[[#This Row],[Mes]],Tabla6[#Headers],0)))*(1+Catalogos!$L$2)</f>
        <v>#N/A</v>
      </c>
      <c r="N4849" s="283" t="e">
        <f>+(Tabla4[[#This Row],[Precio Descontado]]-Tabla4[[#This Row],[Precio Base]])*Tabla4[[#This Row],[Cantidad]]</f>
        <v>#N/A</v>
      </c>
      <c r="O4849" s="284" t="e">
        <f>++Tabla4[[#This Row],[Utilidad Total]]/Tabla4[[#This Row],[Total]]</f>
        <v>#N/A</v>
      </c>
      <c r="P4849" s="282">
        <f>++Tabla4[[#This Row],[Precio Descontado]]*Tabla4[[#This Row],[Cantidad]]</f>
        <v>4243.9001591999995</v>
      </c>
      <c r="Q4849" s="282" t="e">
        <f>(INDEX(Tabla6[#All],MATCH(Tabla4[[#This Row],[Producto]],Tabla6[[#All],[PRODUCTO]],0),MATCH(Tabla4[[#This Row],[Mes]],Tabla6[#Headers],0)))</f>
        <v>#N/A</v>
      </c>
      <c r="R4849" s="282" t="e">
        <f>++Tabla4[[#This Row],[Precio Unitario Neto]]-Tabla4[[#This Row],[20.85%]]-Tabla4[[#This Row],[Costo]]</f>
        <v>#N/A</v>
      </c>
      <c r="S4849" s="282" t="e">
        <f>++Tabla4[[#This Row],[U. Bruta Uni]]*Tabla4[[#This Row],[Cantidad]]</f>
        <v>#N/A</v>
      </c>
      <c r="T4849" s="369" t="str">
        <f>VLOOKUP(Tabla4[[#This Row],[Producto]],Tabla6[#All],14,FALSE)</f>
        <v>Termico Solar</v>
      </c>
      <c r="U4849" s="284" t="e">
        <f>(IF(Tabla4[[#This Row],[Familia]]="termico solar",Tabla4[[#This Row],[Utilidad Total]]*6%,Tabla4[[#This Row],[Utilidad Total]]*11.5%))/Tabla4[[#This Row],[Total]]</f>
        <v>#N/A</v>
      </c>
      <c r="V4849" s="282" t="e">
        <f>+Tabla4[[#This Row],[Comisión Calculada]]*Tabla4[[#This Row],[Total]]</f>
        <v>#N/A</v>
      </c>
    </row>
    <row r="4850" spans="1:22" hidden="1" x14ac:dyDescent="0.25">
      <c r="A4850" s="100">
        <v>45869</v>
      </c>
      <c r="B4850" t="str">
        <f t="shared" si="240"/>
        <v>July</v>
      </c>
      <c r="C4850" s="46" t="s">
        <v>280</v>
      </c>
      <c r="F4850" s="366" t="s">
        <v>2544</v>
      </c>
      <c r="G4850" s="46" t="s">
        <v>18</v>
      </c>
      <c r="H4850" s="46">
        <v>1</v>
      </c>
      <c r="I4850" s="51">
        <v>5367.65</v>
      </c>
      <c r="J4850" s="281">
        <f>++Tabla4[[#This Row],[Precio Bruto]]*1.16</f>
        <v>6226.4739999999993</v>
      </c>
      <c r="K4850" s="281">
        <f>+Tabla4[[#This Row],[Precio Unitario Neto]]*Tabla4[[#Headers],[20.85%]]</f>
        <v>1298.2198289999999</v>
      </c>
      <c r="L4850" s="282">
        <f>++Tabla4[[#This Row],[Precio Unitario Neto]]-Tabla4[[#This Row],[20.85%]]</f>
        <v>4928.2541709999996</v>
      </c>
      <c r="M4850" s="282" t="e">
        <f>(INDEX(Tabla6[#All],MATCH(Tabla4[[#This Row],[Producto]],Tabla6[[#All],[PRODUCTO]],0),MATCH(Tabla4[[#This Row],[Mes]],Tabla6[#Headers],0)))*(1+Catalogos!$L$2)</f>
        <v>#N/A</v>
      </c>
      <c r="N4850" s="283" t="e">
        <f>+(Tabla4[[#This Row],[Precio Descontado]]-Tabla4[[#This Row],[Precio Base]])*Tabla4[[#This Row],[Cantidad]]</f>
        <v>#N/A</v>
      </c>
      <c r="O4850" s="284" t="e">
        <f>++Tabla4[[#This Row],[Utilidad Total]]/Tabla4[[#This Row],[Total]]</f>
        <v>#N/A</v>
      </c>
      <c r="P4850" s="282">
        <f>++Tabla4[[#This Row],[Precio Descontado]]*Tabla4[[#This Row],[Cantidad]]</f>
        <v>4928.2541709999996</v>
      </c>
      <c r="Q4850" s="282" t="e">
        <f>(INDEX(Tabla6[#All],MATCH(Tabla4[[#This Row],[Producto]],Tabla6[[#All],[PRODUCTO]],0),MATCH(Tabla4[[#This Row],[Mes]],Tabla6[#Headers],0)))</f>
        <v>#N/A</v>
      </c>
      <c r="R4850" s="282" t="e">
        <f>++Tabla4[[#This Row],[Precio Unitario Neto]]-Tabla4[[#This Row],[20.85%]]-Tabla4[[#This Row],[Costo]]</f>
        <v>#N/A</v>
      </c>
      <c r="S4850" s="282" t="e">
        <f>++Tabla4[[#This Row],[U. Bruta Uni]]*Tabla4[[#This Row],[Cantidad]]</f>
        <v>#N/A</v>
      </c>
      <c r="T4850" s="369" t="str">
        <f>VLOOKUP(Tabla4[[#This Row],[Producto]],Tabla6[#All],14,FALSE)</f>
        <v>Termico Solar</v>
      </c>
      <c r="U4850" s="284" t="e">
        <f>(IF(Tabla4[[#This Row],[Familia]]="termico solar",Tabla4[[#This Row],[Utilidad Total]]*6%,Tabla4[[#This Row],[Utilidad Total]]*11.5%))/Tabla4[[#This Row],[Total]]</f>
        <v>#N/A</v>
      </c>
      <c r="V4850" s="282" t="e">
        <f>+Tabla4[[#This Row],[Comisión Calculada]]*Tabla4[[#This Row],[Total]]</f>
        <v>#N/A</v>
      </c>
    </row>
    <row r="4851" spans="1:22" hidden="1" x14ac:dyDescent="0.25">
      <c r="A4851" s="100">
        <v>45869</v>
      </c>
      <c r="B4851" t="str">
        <f t="shared" si="240"/>
        <v>July</v>
      </c>
      <c r="C4851" s="46" t="s">
        <v>280</v>
      </c>
      <c r="F4851" s="366" t="s">
        <v>2544</v>
      </c>
      <c r="G4851" s="46" t="s">
        <v>566</v>
      </c>
      <c r="H4851" s="46">
        <v>1</v>
      </c>
      <c r="I4851" s="51">
        <v>2109.4499999999998</v>
      </c>
      <c r="J4851" s="281">
        <f>++Tabla4[[#This Row],[Precio Bruto]]*1.16</f>
        <v>2446.9619999999995</v>
      </c>
      <c r="K4851" s="281">
        <f>+Tabla4[[#This Row],[Precio Unitario Neto]]*Tabla4[[#Headers],[20.85%]]</f>
        <v>510.19157699999988</v>
      </c>
      <c r="L4851" s="282">
        <f>++Tabla4[[#This Row],[Precio Unitario Neto]]-Tabla4[[#This Row],[20.85%]]</f>
        <v>1936.7704229999997</v>
      </c>
      <c r="M4851" s="282" t="e">
        <f>(INDEX(Tabla6[#All],MATCH(Tabla4[[#This Row],[Producto]],Tabla6[[#All],[PRODUCTO]],0),MATCH(Tabla4[[#This Row],[Mes]],Tabla6[#Headers],0)))*(1+Catalogos!$L$2)</f>
        <v>#N/A</v>
      </c>
      <c r="N4851" s="283" t="e">
        <f>+(Tabla4[[#This Row],[Precio Descontado]]-Tabla4[[#This Row],[Precio Base]])*Tabla4[[#This Row],[Cantidad]]</f>
        <v>#N/A</v>
      </c>
      <c r="O4851" s="284" t="e">
        <f>++Tabla4[[#This Row],[Utilidad Total]]/Tabla4[[#This Row],[Total]]</f>
        <v>#N/A</v>
      </c>
      <c r="P4851" s="282">
        <f>++Tabla4[[#This Row],[Precio Descontado]]*Tabla4[[#This Row],[Cantidad]]</f>
        <v>1936.7704229999997</v>
      </c>
      <c r="Q4851" s="282" t="e">
        <f>(INDEX(Tabla6[#All],MATCH(Tabla4[[#This Row],[Producto]],Tabla6[[#All],[PRODUCTO]],0),MATCH(Tabla4[[#This Row],[Mes]],Tabla6[#Headers],0)))</f>
        <v>#N/A</v>
      </c>
      <c r="R4851" s="282" t="e">
        <f>++Tabla4[[#This Row],[Precio Unitario Neto]]-Tabla4[[#This Row],[20.85%]]-Tabla4[[#This Row],[Costo]]</f>
        <v>#N/A</v>
      </c>
      <c r="S4851" s="282" t="e">
        <f>++Tabla4[[#This Row],[U. Bruta Uni]]*Tabla4[[#This Row],[Cantidad]]</f>
        <v>#N/A</v>
      </c>
      <c r="T4851" s="369" t="str">
        <f>VLOOKUP(Tabla4[[#This Row],[Producto]],Tabla6[#All],14,FALSE)</f>
        <v>Termico Solar</v>
      </c>
      <c r="U4851" s="284" t="e">
        <f>(IF(Tabla4[[#This Row],[Familia]]="termico solar",Tabla4[[#This Row],[Utilidad Total]]*6%,Tabla4[[#This Row],[Utilidad Total]]*11.5%))/Tabla4[[#This Row],[Total]]</f>
        <v>#N/A</v>
      </c>
      <c r="V4851" s="282" t="e">
        <f>+Tabla4[[#This Row],[Comisión Calculada]]*Tabla4[[#This Row],[Total]]</f>
        <v>#N/A</v>
      </c>
    </row>
    <row r="4852" spans="1:22" hidden="1" x14ac:dyDescent="0.25">
      <c r="A4852" s="100">
        <v>45869</v>
      </c>
      <c r="B4852" t="str">
        <f t="shared" si="240"/>
        <v>July</v>
      </c>
      <c r="C4852" s="46" t="s">
        <v>280</v>
      </c>
      <c r="F4852" s="366" t="s">
        <v>2544</v>
      </c>
      <c r="G4852" s="46" t="s">
        <v>208</v>
      </c>
      <c r="H4852" s="46">
        <v>2</v>
      </c>
      <c r="I4852" s="51">
        <v>189.75</v>
      </c>
      <c r="J4852" s="281">
        <f>++Tabla4[[#This Row],[Precio Bruto]]*1.16</f>
        <v>220.10999999999999</v>
      </c>
      <c r="K4852" s="281">
        <f>+Tabla4[[#This Row],[Precio Unitario Neto]]*Tabla4[[#Headers],[20.85%]]</f>
        <v>45.892934999999994</v>
      </c>
      <c r="L4852" s="282">
        <f>++Tabla4[[#This Row],[Precio Unitario Neto]]-Tabla4[[#This Row],[20.85%]]</f>
        <v>174.21706499999999</v>
      </c>
      <c r="M4852" s="282" t="e">
        <f>(INDEX(Tabla6[#All],MATCH(Tabla4[[#This Row],[Producto]],Tabla6[[#All],[PRODUCTO]],0),MATCH(Tabla4[[#This Row],[Mes]],Tabla6[#Headers],0)))*(1+Catalogos!$L$2)</f>
        <v>#N/A</v>
      </c>
      <c r="N4852" s="283" t="e">
        <f>+(Tabla4[[#This Row],[Precio Descontado]]-Tabla4[[#This Row],[Precio Base]])*Tabla4[[#This Row],[Cantidad]]</f>
        <v>#N/A</v>
      </c>
      <c r="O4852" s="284" t="e">
        <f>++Tabla4[[#This Row],[Utilidad Total]]/Tabla4[[#This Row],[Total]]</f>
        <v>#N/A</v>
      </c>
      <c r="P4852" s="282">
        <f>++Tabla4[[#This Row],[Precio Descontado]]*Tabla4[[#This Row],[Cantidad]]</f>
        <v>348.43412999999998</v>
      </c>
      <c r="Q4852" s="282" t="e">
        <f>(INDEX(Tabla6[#All],MATCH(Tabla4[[#This Row],[Producto]],Tabla6[[#All],[PRODUCTO]],0),MATCH(Tabla4[[#This Row],[Mes]],Tabla6[#Headers],0)))</f>
        <v>#N/A</v>
      </c>
      <c r="R4852" s="282" t="e">
        <f>++Tabla4[[#This Row],[Precio Unitario Neto]]-Tabla4[[#This Row],[20.85%]]-Tabla4[[#This Row],[Costo]]</f>
        <v>#N/A</v>
      </c>
      <c r="S4852" s="282" t="e">
        <f>++Tabla4[[#This Row],[U. Bruta Uni]]*Tabla4[[#This Row],[Cantidad]]</f>
        <v>#N/A</v>
      </c>
      <c r="T4852" s="369" t="str">
        <f>VLOOKUP(Tabla4[[#This Row],[Producto]],Tabla6[#All],14,FALSE)</f>
        <v>Termico Solar</v>
      </c>
      <c r="U4852" s="284" t="e">
        <f>(IF(Tabla4[[#This Row],[Familia]]="termico solar",Tabla4[[#This Row],[Utilidad Total]]*6%,Tabla4[[#This Row],[Utilidad Total]]*11.5%))/Tabla4[[#This Row],[Total]]</f>
        <v>#N/A</v>
      </c>
      <c r="V4852" s="282" t="e">
        <f>+Tabla4[[#This Row],[Comisión Calculada]]*Tabla4[[#This Row],[Total]]</f>
        <v>#N/A</v>
      </c>
    </row>
    <row r="4853" spans="1:22" hidden="1" x14ac:dyDescent="0.25">
      <c r="A4853" s="100">
        <v>45869</v>
      </c>
      <c r="B4853" t="str">
        <f t="shared" si="240"/>
        <v>July</v>
      </c>
      <c r="C4853" s="46" t="s">
        <v>280</v>
      </c>
      <c r="F4853" s="366" t="s">
        <v>2545</v>
      </c>
      <c r="G4853" s="46" t="s">
        <v>83</v>
      </c>
      <c r="H4853" s="46">
        <v>1</v>
      </c>
      <c r="I4853" s="51">
        <v>8858.76</v>
      </c>
      <c r="J4853" s="281">
        <f>++Tabla4[[#This Row],[Precio Bruto]]*1.16</f>
        <v>10276.161599999999</v>
      </c>
      <c r="K4853" s="281">
        <f>+Tabla4[[#This Row],[Precio Unitario Neto]]*Tabla4[[#Headers],[20.85%]]</f>
        <v>2142.5796935999997</v>
      </c>
      <c r="L4853" s="282">
        <f>++Tabla4[[#This Row],[Precio Unitario Neto]]-Tabla4[[#This Row],[20.85%]]</f>
        <v>8133.5819063999998</v>
      </c>
      <c r="M4853" s="282" t="e">
        <f>(INDEX(Tabla6[#All],MATCH(Tabla4[[#This Row],[Producto]],Tabla6[[#All],[PRODUCTO]],0),MATCH(Tabla4[[#This Row],[Mes]],Tabla6[#Headers],0)))*(1+Catalogos!$L$2)</f>
        <v>#N/A</v>
      </c>
      <c r="N4853" s="283" t="e">
        <f>+(Tabla4[[#This Row],[Precio Descontado]]-Tabla4[[#This Row],[Precio Base]])*Tabla4[[#This Row],[Cantidad]]</f>
        <v>#N/A</v>
      </c>
      <c r="O4853" s="284" t="e">
        <f>++Tabla4[[#This Row],[Utilidad Total]]/Tabla4[[#This Row],[Total]]</f>
        <v>#N/A</v>
      </c>
      <c r="P4853" s="282">
        <f>++Tabla4[[#This Row],[Precio Descontado]]*Tabla4[[#This Row],[Cantidad]]</f>
        <v>8133.5819063999998</v>
      </c>
      <c r="Q4853" s="282" t="e">
        <f>(INDEX(Tabla6[#All],MATCH(Tabla4[[#This Row],[Producto]],Tabla6[[#All],[PRODUCTO]],0),MATCH(Tabla4[[#This Row],[Mes]],Tabla6[#Headers],0)))</f>
        <v>#N/A</v>
      </c>
      <c r="R4853" s="282" t="e">
        <f>++Tabla4[[#This Row],[Precio Unitario Neto]]-Tabla4[[#This Row],[20.85%]]-Tabla4[[#This Row],[Costo]]</f>
        <v>#N/A</v>
      </c>
      <c r="S4853" s="282" t="e">
        <f>++Tabla4[[#This Row],[U. Bruta Uni]]*Tabla4[[#This Row],[Cantidad]]</f>
        <v>#N/A</v>
      </c>
      <c r="T4853" s="369" t="str">
        <f>VLOOKUP(Tabla4[[#This Row],[Producto]],Tabla6[#All],14,FALSE)</f>
        <v>Termico Solar</v>
      </c>
      <c r="U4853" s="284" t="e">
        <f>(IF(Tabla4[[#This Row],[Familia]]="termico solar",Tabla4[[#This Row],[Utilidad Total]]*6%,Tabla4[[#This Row],[Utilidad Total]]*11.5%))/Tabla4[[#This Row],[Total]]</f>
        <v>#N/A</v>
      </c>
      <c r="V4853" s="282" t="e">
        <f>+Tabla4[[#This Row],[Comisión Calculada]]*Tabla4[[#This Row],[Total]]</f>
        <v>#N/A</v>
      </c>
    </row>
    <row r="4854" spans="1:22" hidden="1" x14ac:dyDescent="0.25">
      <c r="A4854" s="100">
        <v>45869</v>
      </c>
      <c r="B4854" t="str">
        <f t="shared" si="240"/>
        <v>July</v>
      </c>
      <c r="C4854" s="46" t="s">
        <v>280</v>
      </c>
      <c r="F4854" s="366" t="s">
        <v>2545</v>
      </c>
      <c r="G4854" s="46" t="s">
        <v>17</v>
      </c>
      <c r="H4854" s="46">
        <v>2</v>
      </c>
      <c r="I4854" s="51">
        <v>4622.28</v>
      </c>
      <c r="J4854" s="281">
        <f>++Tabla4[[#This Row],[Precio Bruto]]*1.16</f>
        <v>5361.8447999999989</v>
      </c>
      <c r="K4854" s="281">
        <f>+Tabla4[[#This Row],[Precio Unitario Neto]]*Tabla4[[#Headers],[20.85%]]</f>
        <v>1117.9446407999997</v>
      </c>
      <c r="L4854" s="282">
        <f>++Tabla4[[#This Row],[Precio Unitario Neto]]-Tabla4[[#This Row],[20.85%]]</f>
        <v>4243.9001591999995</v>
      </c>
      <c r="M4854" s="282" t="e">
        <f>(INDEX(Tabla6[#All],MATCH(Tabla4[[#This Row],[Producto]],Tabla6[[#All],[PRODUCTO]],0),MATCH(Tabla4[[#This Row],[Mes]],Tabla6[#Headers],0)))*(1+Catalogos!$L$2)</f>
        <v>#N/A</v>
      </c>
      <c r="N4854" s="283" t="e">
        <f>+(Tabla4[[#This Row],[Precio Descontado]]-Tabla4[[#This Row],[Precio Base]])*Tabla4[[#This Row],[Cantidad]]</f>
        <v>#N/A</v>
      </c>
      <c r="O4854" s="284" t="e">
        <f>++Tabla4[[#This Row],[Utilidad Total]]/Tabla4[[#This Row],[Total]]</f>
        <v>#N/A</v>
      </c>
      <c r="P4854" s="282">
        <f>++Tabla4[[#This Row],[Precio Descontado]]*Tabla4[[#This Row],[Cantidad]]</f>
        <v>8487.800318399999</v>
      </c>
      <c r="Q4854" s="282" t="e">
        <f>(INDEX(Tabla6[#All],MATCH(Tabla4[[#This Row],[Producto]],Tabla6[[#All],[PRODUCTO]],0),MATCH(Tabla4[[#This Row],[Mes]],Tabla6[#Headers],0)))</f>
        <v>#N/A</v>
      </c>
      <c r="R4854" s="282" t="e">
        <f>++Tabla4[[#This Row],[Precio Unitario Neto]]-Tabla4[[#This Row],[20.85%]]-Tabla4[[#This Row],[Costo]]</f>
        <v>#N/A</v>
      </c>
      <c r="S4854" s="282" t="e">
        <f>++Tabla4[[#This Row],[U. Bruta Uni]]*Tabla4[[#This Row],[Cantidad]]</f>
        <v>#N/A</v>
      </c>
      <c r="T4854" s="369" t="str">
        <f>VLOOKUP(Tabla4[[#This Row],[Producto]],Tabla6[#All],14,FALSE)</f>
        <v>Termico Solar</v>
      </c>
      <c r="U4854" s="284" t="e">
        <f>(IF(Tabla4[[#This Row],[Familia]]="termico solar",Tabla4[[#This Row],[Utilidad Total]]*6%,Tabla4[[#This Row],[Utilidad Total]]*11.5%))/Tabla4[[#This Row],[Total]]</f>
        <v>#N/A</v>
      </c>
      <c r="V4854" s="282" t="e">
        <f>+Tabla4[[#This Row],[Comisión Calculada]]*Tabla4[[#This Row],[Total]]</f>
        <v>#N/A</v>
      </c>
    </row>
    <row r="4855" spans="1:22" hidden="1" x14ac:dyDescent="0.25">
      <c r="A4855" s="100">
        <v>45869</v>
      </c>
      <c r="B4855" t="str">
        <f t="shared" ref="B4855:B4918" si="241">TEXT(A4855, "mmmm")</f>
        <v>July</v>
      </c>
      <c r="C4855" s="46" t="s">
        <v>280</v>
      </c>
      <c r="F4855" s="366" t="s">
        <v>2545</v>
      </c>
      <c r="G4855" s="46" t="s">
        <v>555</v>
      </c>
      <c r="H4855" s="46">
        <v>8</v>
      </c>
      <c r="I4855" s="51">
        <v>389.47</v>
      </c>
      <c r="J4855" s="281">
        <f>++Tabla4[[#This Row],[Precio Bruto]]*1.16</f>
        <v>451.78519999999997</v>
      </c>
      <c r="K4855" s="281">
        <f>+Tabla4[[#This Row],[Precio Unitario Neto]]*Tabla4[[#Headers],[20.85%]]</f>
        <v>94.197214199999991</v>
      </c>
      <c r="L4855" s="282">
        <f>++Tabla4[[#This Row],[Precio Unitario Neto]]-Tabla4[[#This Row],[20.85%]]</f>
        <v>357.58798579999996</v>
      </c>
      <c r="M4855" s="282" t="e">
        <f>(INDEX(Tabla6[#All],MATCH(Tabla4[[#This Row],[Producto]],Tabla6[[#All],[PRODUCTO]],0),MATCH(Tabla4[[#This Row],[Mes]],Tabla6[#Headers],0)))*(1+Catalogos!$L$2)</f>
        <v>#N/A</v>
      </c>
      <c r="N4855" s="283" t="e">
        <f>+(Tabla4[[#This Row],[Precio Descontado]]-Tabla4[[#This Row],[Precio Base]])*Tabla4[[#This Row],[Cantidad]]</f>
        <v>#N/A</v>
      </c>
      <c r="O4855" s="284" t="e">
        <f>++Tabla4[[#This Row],[Utilidad Total]]/Tabla4[[#This Row],[Total]]</f>
        <v>#N/A</v>
      </c>
      <c r="P4855" s="282">
        <f>++Tabla4[[#This Row],[Precio Descontado]]*Tabla4[[#This Row],[Cantidad]]</f>
        <v>2860.7038863999996</v>
      </c>
      <c r="Q4855" s="282" t="e">
        <f>(INDEX(Tabla6[#All],MATCH(Tabla4[[#This Row],[Producto]],Tabla6[[#All],[PRODUCTO]],0),MATCH(Tabla4[[#This Row],[Mes]],Tabla6[#Headers],0)))</f>
        <v>#N/A</v>
      </c>
      <c r="R4855" s="282" t="e">
        <f>++Tabla4[[#This Row],[Precio Unitario Neto]]-Tabla4[[#This Row],[20.85%]]-Tabla4[[#This Row],[Costo]]</f>
        <v>#N/A</v>
      </c>
      <c r="S4855" s="282" t="e">
        <f>++Tabla4[[#This Row],[U. Bruta Uni]]*Tabla4[[#This Row],[Cantidad]]</f>
        <v>#N/A</v>
      </c>
      <c r="T4855" s="369" t="str">
        <f>VLOOKUP(Tabla4[[#This Row],[Producto]],Tabla6[#All],14,FALSE)</f>
        <v>Termico Solar</v>
      </c>
      <c r="U4855" s="284" t="e">
        <f>(IF(Tabla4[[#This Row],[Familia]]="termico solar",Tabla4[[#This Row],[Utilidad Total]]*6%,Tabla4[[#This Row],[Utilidad Total]]*11.5%))/Tabla4[[#This Row],[Total]]</f>
        <v>#N/A</v>
      </c>
      <c r="V4855" s="282" t="e">
        <f>+Tabla4[[#This Row],[Comisión Calculada]]*Tabla4[[#This Row],[Total]]</f>
        <v>#N/A</v>
      </c>
    </row>
    <row r="4856" spans="1:22" hidden="1" x14ac:dyDescent="0.25">
      <c r="A4856" s="100">
        <v>45869</v>
      </c>
      <c r="B4856" t="str">
        <f t="shared" si="241"/>
        <v>July</v>
      </c>
      <c r="C4856" s="46" t="s">
        <v>280</v>
      </c>
      <c r="F4856" s="366" t="s">
        <v>2546</v>
      </c>
      <c r="G4856" s="46" t="s">
        <v>18</v>
      </c>
      <c r="H4856" s="46">
        <v>1</v>
      </c>
      <c r="I4856" s="51">
        <v>5367.65</v>
      </c>
      <c r="J4856" s="281">
        <f>++Tabla4[[#This Row],[Precio Bruto]]*1.16</f>
        <v>6226.4739999999993</v>
      </c>
      <c r="K4856" s="281">
        <f>+Tabla4[[#This Row],[Precio Unitario Neto]]*Tabla4[[#Headers],[20.85%]]</f>
        <v>1298.2198289999999</v>
      </c>
      <c r="L4856" s="282">
        <f>++Tabla4[[#This Row],[Precio Unitario Neto]]-Tabla4[[#This Row],[20.85%]]</f>
        <v>4928.2541709999996</v>
      </c>
      <c r="M4856" s="282" t="e">
        <f>(INDEX(Tabla6[#All],MATCH(Tabla4[[#This Row],[Producto]],Tabla6[[#All],[PRODUCTO]],0),MATCH(Tabla4[[#This Row],[Mes]],Tabla6[#Headers],0)))*(1+Catalogos!$L$2)</f>
        <v>#N/A</v>
      </c>
      <c r="N4856" s="283" t="e">
        <f>+(Tabla4[[#This Row],[Precio Descontado]]-Tabla4[[#This Row],[Precio Base]])*Tabla4[[#This Row],[Cantidad]]</f>
        <v>#N/A</v>
      </c>
      <c r="O4856" s="284" t="e">
        <f>++Tabla4[[#This Row],[Utilidad Total]]/Tabla4[[#This Row],[Total]]</f>
        <v>#N/A</v>
      </c>
      <c r="P4856" s="282">
        <f>++Tabla4[[#This Row],[Precio Descontado]]*Tabla4[[#This Row],[Cantidad]]</f>
        <v>4928.2541709999996</v>
      </c>
      <c r="Q4856" s="282" t="e">
        <f>(INDEX(Tabla6[#All],MATCH(Tabla4[[#This Row],[Producto]],Tabla6[[#All],[PRODUCTO]],0),MATCH(Tabla4[[#This Row],[Mes]],Tabla6[#Headers],0)))</f>
        <v>#N/A</v>
      </c>
      <c r="R4856" s="282" t="e">
        <f>++Tabla4[[#This Row],[Precio Unitario Neto]]-Tabla4[[#This Row],[20.85%]]-Tabla4[[#This Row],[Costo]]</f>
        <v>#N/A</v>
      </c>
      <c r="S4856" s="282" t="e">
        <f>++Tabla4[[#This Row],[U. Bruta Uni]]*Tabla4[[#This Row],[Cantidad]]</f>
        <v>#N/A</v>
      </c>
      <c r="T4856" s="369" t="str">
        <f>VLOOKUP(Tabla4[[#This Row],[Producto]],Tabla6[#All],14,FALSE)</f>
        <v>Termico Solar</v>
      </c>
      <c r="U4856" s="284" t="e">
        <f>(IF(Tabla4[[#This Row],[Familia]]="termico solar",Tabla4[[#This Row],[Utilidad Total]]*6%,Tabla4[[#This Row],[Utilidad Total]]*11.5%))/Tabla4[[#This Row],[Total]]</f>
        <v>#N/A</v>
      </c>
      <c r="V4856" s="282" t="e">
        <f>+Tabla4[[#This Row],[Comisión Calculada]]*Tabla4[[#This Row],[Total]]</f>
        <v>#N/A</v>
      </c>
    </row>
    <row r="4857" spans="1:22" hidden="1" x14ac:dyDescent="0.25">
      <c r="A4857" s="100">
        <v>45869</v>
      </c>
      <c r="B4857" t="str">
        <f t="shared" si="241"/>
        <v>July</v>
      </c>
      <c r="C4857" s="46" t="s">
        <v>280</v>
      </c>
      <c r="F4857" s="366" t="s">
        <v>2546</v>
      </c>
      <c r="G4857" s="46" t="s">
        <v>208</v>
      </c>
      <c r="H4857" s="46">
        <v>10</v>
      </c>
      <c r="I4857" s="51">
        <v>189.75</v>
      </c>
      <c r="J4857" s="281">
        <f>++Tabla4[[#This Row],[Precio Bruto]]*1.16</f>
        <v>220.10999999999999</v>
      </c>
      <c r="K4857" s="281">
        <f>+Tabla4[[#This Row],[Precio Unitario Neto]]*Tabla4[[#Headers],[20.85%]]</f>
        <v>45.892934999999994</v>
      </c>
      <c r="L4857" s="282">
        <f>++Tabla4[[#This Row],[Precio Unitario Neto]]-Tabla4[[#This Row],[20.85%]]</f>
        <v>174.21706499999999</v>
      </c>
      <c r="M4857" s="282" t="e">
        <f>(INDEX(Tabla6[#All],MATCH(Tabla4[[#This Row],[Producto]],Tabla6[[#All],[PRODUCTO]],0),MATCH(Tabla4[[#This Row],[Mes]],Tabla6[#Headers],0)))*(1+Catalogos!$L$2)</f>
        <v>#N/A</v>
      </c>
      <c r="N4857" s="283" t="e">
        <f>+(Tabla4[[#This Row],[Precio Descontado]]-Tabla4[[#This Row],[Precio Base]])*Tabla4[[#This Row],[Cantidad]]</f>
        <v>#N/A</v>
      </c>
      <c r="O4857" s="284" t="e">
        <f>++Tabla4[[#This Row],[Utilidad Total]]/Tabla4[[#This Row],[Total]]</f>
        <v>#N/A</v>
      </c>
      <c r="P4857" s="282">
        <f>++Tabla4[[#This Row],[Precio Descontado]]*Tabla4[[#This Row],[Cantidad]]</f>
        <v>1742.17065</v>
      </c>
      <c r="Q4857" s="282" t="e">
        <f>(INDEX(Tabla6[#All],MATCH(Tabla4[[#This Row],[Producto]],Tabla6[[#All],[PRODUCTO]],0),MATCH(Tabla4[[#This Row],[Mes]],Tabla6[#Headers],0)))</f>
        <v>#N/A</v>
      </c>
      <c r="R4857" s="282" t="e">
        <f>++Tabla4[[#This Row],[Precio Unitario Neto]]-Tabla4[[#This Row],[20.85%]]-Tabla4[[#This Row],[Costo]]</f>
        <v>#N/A</v>
      </c>
      <c r="S4857" s="282" t="e">
        <f>++Tabla4[[#This Row],[U. Bruta Uni]]*Tabla4[[#This Row],[Cantidad]]</f>
        <v>#N/A</v>
      </c>
      <c r="T4857" s="369" t="str">
        <f>VLOOKUP(Tabla4[[#This Row],[Producto]],Tabla6[#All],14,FALSE)</f>
        <v>Termico Solar</v>
      </c>
      <c r="U4857" s="284" t="e">
        <f>(IF(Tabla4[[#This Row],[Familia]]="termico solar",Tabla4[[#This Row],[Utilidad Total]]*6%,Tabla4[[#This Row],[Utilidad Total]]*11.5%))/Tabla4[[#This Row],[Total]]</f>
        <v>#N/A</v>
      </c>
      <c r="V4857" s="282" t="e">
        <f>+Tabla4[[#This Row],[Comisión Calculada]]*Tabla4[[#This Row],[Total]]</f>
        <v>#N/A</v>
      </c>
    </row>
    <row r="4858" spans="1:22" hidden="1" x14ac:dyDescent="0.25">
      <c r="A4858" s="100">
        <v>45869</v>
      </c>
      <c r="B4858" t="str">
        <f t="shared" si="241"/>
        <v>July</v>
      </c>
      <c r="C4858" s="46" t="s">
        <v>280</v>
      </c>
      <c r="F4858" s="366" t="s">
        <v>2547</v>
      </c>
      <c r="G4858" s="46" t="s">
        <v>83</v>
      </c>
      <c r="H4858" s="46">
        <v>2</v>
      </c>
      <c r="I4858" s="51">
        <v>8858.76</v>
      </c>
      <c r="J4858" s="281">
        <f>++Tabla4[[#This Row],[Precio Bruto]]*1.16</f>
        <v>10276.161599999999</v>
      </c>
      <c r="K4858" s="281">
        <f>+Tabla4[[#This Row],[Precio Unitario Neto]]*Tabla4[[#Headers],[20.85%]]</f>
        <v>2142.5796935999997</v>
      </c>
      <c r="L4858" s="282">
        <f>++Tabla4[[#This Row],[Precio Unitario Neto]]-Tabla4[[#This Row],[20.85%]]</f>
        <v>8133.5819063999998</v>
      </c>
      <c r="M4858" s="282" t="e">
        <f>(INDEX(Tabla6[#All],MATCH(Tabla4[[#This Row],[Producto]],Tabla6[[#All],[PRODUCTO]],0),MATCH(Tabla4[[#This Row],[Mes]],Tabla6[#Headers],0)))*(1+Catalogos!$L$2)</f>
        <v>#N/A</v>
      </c>
      <c r="N4858" s="283" t="e">
        <f>+(Tabla4[[#This Row],[Precio Descontado]]-Tabla4[[#This Row],[Precio Base]])*Tabla4[[#This Row],[Cantidad]]</f>
        <v>#N/A</v>
      </c>
      <c r="O4858" s="284" t="e">
        <f>++Tabla4[[#This Row],[Utilidad Total]]/Tabla4[[#This Row],[Total]]</f>
        <v>#N/A</v>
      </c>
      <c r="P4858" s="282">
        <f>++Tabla4[[#This Row],[Precio Descontado]]*Tabla4[[#This Row],[Cantidad]]</f>
        <v>16267.1638128</v>
      </c>
      <c r="Q4858" s="282" t="e">
        <f>(INDEX(Tabla6[#All],MATCH(Tabla4[[#This Row],[Producto]],Tabla6[[#All],[PRODUCTO]],0),MATCH(Tabla4[[#This Row],[Mes]],Tabla6[#Headers],0)))</f>
        <v>#N/A</v>
      </c>
      <c r="R4858" s="282" t="e">
        <f>++Tabla4[[#This Row],[Precio Unitario Neto]]-Tabla4[[#This Row],[20.85%]]-Tabla4[[#This Row],[Costo]]</f>
        <v>#N/A</v>
      </c>
      <c r="S4858" s="282" t="e">
        <f>++Tabla4[[#This Row],[U. Bruta Uni]]*Tabla4[[#This Row],[Cantidad]]</f>
        <v>#N/A</v>
      </c>
      <c r="T4858" s="369" t="str">
        <f>VLOOKUP(Tabla4[[#This Row],[Producto]],Tabla6[#All],14,FALSE)</f>
        <v>Termico Solar</v>
      </c>
      <c r="U4858" s="284" t="e">
        <f>(IF(Tabla4[[#This Row],[Familia]]="termico solar",Tabla4[[#This Row],[Utilidad Total]]*6%,Tabla4[[#This Row],[Utilidad Total]]*11.5%))/Tabla4[[#This Row],[Total]]</f>
        <v>#N/A</v>
      </c>
      <c r="V4858" s="282" t="e">
        <f>+Tabla4[[#This Row],[Comisión Calculada]]*Tabla4[[#This Row],[Total]]</f>
        <v>#N/A</v>
      </c>
    </row>
    <row r="4859" spans="1:22" hidden="1" x14ac:dyDescent="0.25">
      <c r="A4859" s="100">
        <v>45869</v>
      </c>
      <c r="B4859" t="str">
        <f t="shared" si="241"/>
        <v>July</v>
      </c>
      <c r="C4859" s="46" t="s">
        <v>280</v>
      </c>
      <c r="F4859" s="366" t="s">
        <v>2548</v>
      </c>
      <c r="G4859" s="46" t="s">
        <v>83</v>
      </c>
      <c r="H4859" s="46">
        <v>2</v>
      </c>
      <c r="I4859" s="51">
        <v>8858.76</v>
      </c>
      <c r="J4859" s="281">
        <f>++Tabla4[[#This Row],[Precio Bruto]]*1.16</f>
        <v>10276.161599999999</v>
      </c>
      <c r="K4859" s="281">
        <f>+Tabla4[[#This Row],[Precio Unitario Neto]]*Tabla4[[#Headers],[20.85%]]</f>
        <v>2142.5796935999997</v>
      </c>
      <c r="L4859" s="282">
        <f>++Tabla4[[#This Row],[Precio Unitario Neto]]-Tabla4[[#This Row],[20.85%]]</f>
        <v>8133.5819063999998</v>
      </c>
      <c r="M4859" s="282" t="e">
        <f>(INDEX(Tabla6[#All],MATCH(Tabla4[[#This Row],[Producto]],Tabla6[[#All],[PRODUCTO]],0),MATCH(Tabla4[[#This Row],[Mes]],Tabla6[#Headers],0)))*(1+Catalogos!$L$2)</f>
        <v>#N/A</v>
      </c>
      <c r="N4859" s="283" t="e">
        <f>+(Tabla4[[#This Row],[Precio Descontado]]-Tabla4[[#This Row],[Precio Base]])*Tabla4[[#This Row],[Cantidad]]</f>
        <v>#N/A</v>
      </c>
      <c r="O4859" s="284" t="e">
        <f>++Tabla4[[#This Row],[Utilidad Total]]/Tabla4[[#This Row],[Total]]</f>
        <v>#N/A</v>
      </c>
      <c r="P4859" s="282">
        <f>++Tabla4[[#This Row],[Precio Descontado]]*Tabla4[[#This Row],[Cantidad]]</f>
        <v>16267.1638128</v>
      </c>
      <c r="Q4859" s="282" t="e">
        <f>(INDEX(Tabla6[#All],MATCH(Tabla4[[#This Row],[Producto]],Tabla6[[#All],[PRODUCTO]],0),MATCH(Tabla4[[#This Row],[Mes]],Tabla6[#Headers],0)))</f>
        <v>#N/A</v>
      </c>
      <c r="R4859" s="282" t="e">
        <f>++Tabla4[[#This Row],[Precio Unitario Neto]]-Tabla4[[#This Row],[20.85%]]-Tabla4[[#This Row],[Costo]]</f>
        <v>#N/A</v>
      </c>
      <c r="S4859" s="282" t="e">
        <f>++Tabla4[[#This Row],[U. Bruta Uni]]*Tabla4[[#This Row],[Cantidad]]</f>
        <v>#N/A</v>
      </c>
      <c r="T4859" s="369" t="str">
        <f>VLOOKUP(Tabla4[[#This Row],[Producto]],Tabla6[#All],14,FALSE)</f>
        <v>Termico Solar</v>
      </c>
      <c r="U4859" s="284" t="e">
        <f>(IF(Tabla4[[#This Row],[Familia]]="termico solar",Tabla4[[#This Row],[Utilidad Total]]*6%,Tabla4[[#This Row],[Utilidad Total]]*11.5%))/Tabla4[[#This Row],[Total]]</f>
        <v>#N/A</v>
      </c>
      <c r="V4859" s="282" t="e">
        <f>+Tabla4[[#This Row],[Comisión Calculada]]*Tabla4[[#This Row],[Total]]</f>
        <v>#N/A</v>
      </c>
    </row>
    <row r="4860" spans="1:22" hidden="1" x14ac:dyDescent="0.25">
      <c r="A4860" s="100">
        <v>45869</v>
      </c>
      <c r="B4860" t="str">
        <f t="shared" si="241"/>
        <v>July</v>
      </c>
      <c r="C4860" s="46" t="s">
        <v>280</v>
      </c>
      <c r="F4860" s="366" t="s">
        <v>2548</v>
      </c>
      <c r="G4860" s="46" t="s">
        <v>19</v>
      </c>
      <c r="H4860" s="46">
        <v>1</v>
      </c>
      <c r="I4860" s="51">
        <v>6412.03</v>
      </c>
      <c r="J4860" s="281">
        <f>++Tabla4[[#This Row],[Precio Bruto]]*1.16</f>
        <v>7437.9547999999995</v>
      </c>
      <c r="K4860" s="281">
        <f>+Tabla4[[#This Row],[Precio Unitario Neto]]*Tabla4[[#Headers],[20.85%]]</f>
        <v>1550.8135757999999</v>
      </c>
      <c r="L4860" s="282">
        <f>++Tabla4[[#This Row],[Precio Unitario Neto]]-Tabla4[[#This Row],[20.85%]]</f>
        <v>5887.1412241999997</v>
      </c>
      <c r="M4860" s="282" t="e">
        <f>(INDEX(Tabla6[#All],MATCH(Tabla4[[#This Row],[Producto]],Tabla6[[#All],[PRODUCTO]],0),MATCH(Tabla4[[#This Row],[Mes]],Tabla6[#Headers],0)))*(1+Catalogos!$L$2)</f>
        <v>#N/A</v>
      </c>
      <c r="N4860" s="283" t="e">
        <f>+(Tabla4[[#This Row],[Precio Descontado]]-Tabla4[[#This Row],[Precio Base]])*Tabla4[[#This Row],[Cantidad]]</f>
        <v>#N/A</v>
      </c>
      <c r="O4860" s="284" t="e">
        <f>++Tabla4[[#This Row],[Utilidad Total]]/Tabla4[[#This Row],[Total]]</f>
        <v>#N/A</v>
      </c>
      <c r="P4860" s="282">
        <f>++Tabla4[[#This Row],[Precio Descontado]]*Tabla4[[#This Row],[Cantidad]]</f>
        <v>5887.1412241999997</v>
      </c>
      <c r="Q4860" s="282" t="e">
        <f>(INDEX(Tabla6[#All],MATCH(Tabla4[[#This Row],[Producto]],Tabla6[[#All],[PRODUCTO]],0),MATCH(Tabla4[[#This Row],[Mes]],Tabla6[#Headers],0)))</f>
        <v>#N/A</v>
      </c>
      <c r="R4860" s="282" t="e">
        <f>++Tabla4[[#This Row],[Precio Unitario Neto]]-Tabla4[[#This Row],[20.85%]]-Tabla4[[#This Row],[Costo]]</f>
        <v>#N/A</v>
      </c>
      <c r="S4860" s="282" t="e">
        <f>++Tabla4[[#This Row],[U. Bruta Uni]]*Tabla4[[#This Row],[Cantidad]]</f>
        <v>#N/A</v>
      </c>
      <c r="T4860" s="369" t="str">
        <f>VLOOKUP(Tabla4[[#This Row],[Producto]],Tabla6[#All],14,FALSE)</f>
        <v>Termico Solar</v>
      </c>
      <c r="U4860" s="284" t="e">
        <f>(IF(Tabla4[[#This Row],[Familia]]="termico solar",Tabla4[[#This Row],[Utilidad Total]]*6%,Tabla4[[#This Row],[Utilidad Total]]*11.5%))/Tabla4[[#This Row],[Total]]</f>
        <v>#N/A</v>
      </c>
      <c r="V4860" s="282" t="e">
        <f>+Tabla4[[#This Row],[Comisión Calculada]]*Tabla4[[#This Row],[Total]]</f>
        <v>#N/A</v>
      </c>
    </row>
    <row r="4861" spans="1:22" hidden="1" x14ac:dyDescent="0.25">
      <c r="A4861" s="100">
        <v>45869</v>
      </c>
      <c r="B4861" t="str">
        <f t="shared" si="241"/>
        <v>July</v>
      </c>
      <c r="C4861" s="46" t="s">
        <v>280</v>
      </c>
      <c r="F4861" s="366" t="s">
        <v>2548</v>
      </c>
      <c r="G4861" s="46" t="s">
        <v>16</v>
      </c>
      <c r="H4861" s="46">
        <v>1</v>
      </c>
      <c r="I4861" s="51">
        <v>4103.8500000000004</v>
      </c>
      <c r="J4861" s="281">
        <f>++Tabla4[[#This Row],[Precio Bruto]]*1.16</f>
        <v>4760.4660000000003</v>
      </c>
      <c r="K4861" s="281">
        <f>+Tabla4[[#This Row],[Precio Unitario Neto]]*Tabla4[[#Headers],[20.85%]]</f>
        <v>992.55716100000006</v>
      </c>
      <c r="L4861" s="282">
        <f>++Tabla4[[#This Row],[Precio Unitario Neto]]-Tabla4[[#This Row],[20.85%]]</f>
        <v>3767.9088390000002</v>
      </c>
      <c r="M4861" s="282" t="e">
        <f>(INDEX(Tabla6[#All],MATCH(Tabla4[[#This Row],[Producto]],Tabla6[[#All],[PRODUCTO]],0),MATCH(Tabla4[[#This Row],[Mes]],Tabla6[#Headers],0)))*(1+Catalogos!$L$2)</f>
        <v>#N/A</v>
      </c>
      <c r="N4861" s="283" t="e">
        <f>+(Tabla4[[#This Row],[Precio Descontado]]-Tabla4[[#This Row],[Precio Base]])*Tabla4[[#This Row],[Cantidad]]</f>
        <v>#N/A</v>
      </c>
      <c r="O4861" s="284" t="e">
        <f>++Tabla4[[#This Row],[Utilidad Total]]/Tabla4[[#This Row],[Total]]</f>
        <v>#N/A</v>
      </c>
      <c r="P4861" s="282">
        <f>++Tabla4[[#This Row],[Precio Descontado]]*Tabla4[[#This Row],[Cantidad]]</f>
        <v>3767.9088390000002</v>
      </c>
      <c r="Q4861" s="282" t="e">
        <f>(INDEX(Tabla6[#All],MATCH(Tabla4[[#This Row],[Producto]],Tabla6[[#All],[PRODUCTO]],0),MATCH(Tabla4[[#This Row],[Mes]],Tabla6[#Headers],0)))</f>
        <v>#N/A</v>
      </c>
      <c r="R4861" s="282" t="e">
        <f>++Tabla4[[#This Row],[Precio Unitario Neto]]-Tabla4[[#This Row],[20.85%]]-Tabla4[[#This Row],[Costo]]</f>
        <v>#N/A</v>
      </c>
      <c r="S4861" s="282" t="e">
        <f>++Tabla4[[#This Row],[U. Bruta Uni]]*Tabla4[[#This Row],[Cantidad]]</f>
        <v>#N/A</v>
      </c>
      <c r="T4861" s="369" t="str">
        <f>VLOOKUP(Tabla4[[#This Row],[Producto]],Tabla6[#All],14,FALSE)</f>
        <v>Termico Solar</v>
      </c>
      <c r="U4861" s="284" t="e">
        <f>(IF(Tabla4[[#This Row],[Familia]]="termico solar",Tabla4[[#This Row],[Utilidad Total]]*6%,Tabla4[[#This Row],[Utilidad Total]]*11.5%))/Tabla4[[#This Row],[Total]]</f>
        <v>#N/A</v>
      </c>
      <c r="V4861" s="282" t="e">
        <f>+Tabla4[[#This Row],[Comisión Calculada]]*Tabla4[[#This Row],[Total]]</f>
        <v>#N/A</v>
      </c>
    </row>
    <row r="4862" spans="1:22" hidden="1" x14ac:dyDescent="0.25">
      <c r="A4862" s="100">
        <v>45869</v>
      </c>
      <c r="B4862" t="str">
        <f t="shared" si="241"/>
        <v>July</v>
      </c>
      <c r="C4862" s="46" t="s">
        <v>280</v>
      </c>
      <c r="F4862" s="366" t="s">
        <v>2549</v>
      </c>
      <c r="G4862" s="46" t="s">
        <v>17</v>
      </c>
      <c r="H4862" s="46">
        <v>1</v>
      </c>
      <c r="I4862" s="51">
        <v>4622.28</v>
      </c>
      <c r="J4862" s="281">
        <f>++Tabla4[[#This Row],[Precio Bruto]]*1.16</f>
        <v>5361.8447999999989</v>
      </c>
      <c r="K4862" s="281">
        <f>+Tabla4[[#This Row],[Precio Unitario Neto]]*Tabla4[[#Headers],[20.85%]]</f>
        <v>1117.9446407999997</v>
      </c>
      <c r="L4862" s="282">
        <f>++Tabla4[[#This Row],[Precio Unitario Neto]]-Tabla4[[#This Row],[20.85%]]</f>
        <v>4243.9001591999995</v>
      </c>
      <c r="M4862" s="282" t="e">
        <f>(INDEX(Tabla6[#All],MATCH(Tabla4[[#This Row],[Producto]],Tabla6[[#All],[PRODUCTO]],0),MATCH(Tabla4[[#This Row],[Mes]],Tabla6[#Headers],0)))*(1+Catalogos!$L$2)</f>
        <v>#N/A</v>
      </c>
      <c r="N4862" s="283" t="e">
        <f>+(Tabla4[[#This Row],[Precio Descontado]]-Tabla4[[#This Row],[Precio Base]])*Tabla4[[#This Row],[Cantidad]]</f>
        <v>#N/A</v>
      </c>
      <c r="O4862" s="284" t="e">
        <f>++Tabla4[[#This Row],[Utilidad Total]]/Tabla4[[#This Row],[Total]]</f>
        <v>#N/A</v>
      </c>
      <c r="P4862" s="282">
        <f>++Tabla4[[#This Row],[Precio Descontado]]*Tabla4[[#This Row],[Cantidad]]</f>
        <v>4243.9001591999995</v>
      </c>
      <c r="Q4862" s="282" t="e">
        <f>(INDEX(Tabla6[#All],MATCH(Tabla4[[#This Row],[Producto]],Tabla6[[#All],[PRODUCTO]],0),MATCH(Tabla4[[#This Row],[Mes]],Tabla6[#Headers],0)))</f>
        <v>#N/A</v>
      </c>
      <c r="R4862" s="282" t="e">
        <f>++Tabla4[[#This Row],[Precio Unitario Neto]]-Tabla4[[#This Row],[20.85%]]-Tabla4[[#This Row],[Costo]]</f>
        <v>#N/A</v>
      </c>
      <c r="S4862" s="282" t="e">
        <f>++Tabla4[[#This Row],[U. Bruta Uni]]*Tabla4[[#This Row],[Cantidad]]</f>
        <v>#N/A</v>
      </c>
      <c r="T4862" s="369" t="str">
        <f>VLOOKUP(Tabla4[[#This Row],[Producto]],Tabla6[#All],14,FALSE)</f>
        <v>Termico Solar</v>
      </c>
      <c r="U4862" s="284" t="e">
        <f>(IF(Tabla4[[#This Row],[Familia]]="termico solar",Tabla4[[#This Row],[Utilidad Total]]*6%,Tabla4[[#This Row],[Utilidad Total]]*11.5%))/Tabla4[[#This Row],[Total]]</f>
        <v>#N/A</v>
      </c>
      <c r="V4862" s="282" t="e">
        <f>+Tabla4[[#This Row],[Comisión Calculada]]*Tabla4[[#This Row],[Total]]</f>
        <v>#N/A</v>
      </c>
    </row>
    <row r="4863" spans="1:22" hidden="1" x14ac:dyDescent="0.25">
      <c r="A4863" s="100">
        <v>45869</v>
      </c>
      <c r="B4863" t="str">
        <f t="shared" si="241"/>
        <v>July</v>
      </c>
      <c r="C4863" s="46" t="s">
        <v>280</v>
      </c>
      <c r="F4863" s="366" t="s">
        <v>2550</v>
      </c>
      <c r="G4863" s="46" t="s">
        <v>83</v>
      </c>
      <c r="H4863" s="46">
        <v>4</v>
      </c>
      <c r="I4863" s="51">
        <v>8858.76</v>
      </c>
      <c r="J4863" s="281">
        <f>++Tabla4[[#This Row],[Precio Bruto]]*1.16</f>
        <v>10276.161599999999</v>
      </c>
      <c r="K4863" s="281">
        <f>+Tabla4[[#This Row],[Precio Unitario Neto]]*Tabla4[[#Headers],[20.85%]]</f>
        <v>2142.5796935999997</v>
      </c>
      <c r="L4863" s="282">
        <f>++Tabla4[[#This Row],[Precio Unitario Neto]]-Tabla4[[#This Row],[20.85%]]</f>
        <v>8133.5819063999998</v>
      </c>
      <c r="M4863" s="282" t="e">
        <f>(INDEX(Tabla6[#All],MATCH(Tabla4[[#This Row],[Producto]],Tabla6[[#All],[PRODUCTO]],0),MATCH(Tabla4[[#This Row],[Mes]],Tabla6[#Headers],0)))*(1+Catalogos!$L$2)</f>
        <v>#N/A</v>
      </c>
      <c r="N4863" s="283" t="e">
        <f>+(Tabla4[[#This Row],[Precio Descontado]]-Tabla4[[#This Row],[Precio Base]])*Tabla4[[#This Row],[Cantidad]]</f>
        <v>#N/A</v>
      </c>
      <c r="O4863" s="284" t="e">
        <f>++Tabla4[[#This Row],[Utilidad Total]]/Tabla4[[#This Row],[Total]]</f>
        <v>#N/A</v>
      </c>
      <c r="P4863" s="282">
        <f>++Tabla4[[#This Row],[Precio Descontado]]*Tabla4[[#This Row],[Cantidad]]</f>
        <v>32534.327625599999</v>
      </c>
      <c r="Q4863" s="282" t="e">
        <f>(INDEX(Tabla6[#All],MATCH(Tabla4[[#This Row],[Producto]],Tabla6[[#All],[PRODUCTO]],0),MATCH(Tabla4[[#This Row],[Mes]],Tabla6[#Headers],0)))</f>
        <v>#N/A</v>
      </c>
      <c r="R4863" s="282" t="e">
        <f>++Tabla4[[#This Row],[Precio Unitario Neto]]-Tabla4[[#This Row],[20.85%]]-Tabla4[[#This Row],[Costo]]</f>
        <v>#N/A</v>
      </c>
      <c r="S4863" s="282" t="e">
        <f>++Tabla4[[#This Row],[U. Bruta Uni]]*Tabla4[[#This Row],[Cantidad]]</f>
        <v>#N/A</v>
      </c>
      <c r="T4863" s="369" t="str">
        <f>VLOOKUP(Tabla4[[#This Row],[Producto]],Tabla6[#All],14,FALSE)</f>
        <v>Termico Solar</v>
      </c>
      <c r="U4863" s="284" t="e">
        <f>(IF(Tabla4[[#This Row],[Familia]]="termico solar",Tabla4[[#This Row],[Utilidad Total]]*6%,Tabla4[[#This Row],[Utilidad Total]]*11.5%))/Tabla4[[#This Row],[Total]]</f>
        <v>#N/A</v>
      </c>
      <c r="V4863" s="282" t="e">
        <f>+Tabla4[[#This Row],[Comisión Calculada]]*Tabla4[[#This Row],[Total]]</f>
        <v>#N/A</v>
      </c>
    </row>
    <row r="4864" spans="1:22" hidden="1" x14ac:dyDescent="0.25">
      <c r="A4864" s="100">
        <v>45869</v>
      </c>
      <c r="B4864" t="str">
        <f t="shared" si="241"/>
        <v>July</v>
      </c>
      <c r="C4864" s="46" t="s">
        <v>280</v>
      </c>
      <c r="F4864" s="366" t="s">
        <v>2551</v>
      </c>
      <c r="G4864" s="46" t="s">
        <v>83</v>
      </c>
      <c r="H4864" s="46">
        <v>1</v>
      </c>
      <c r="I4864" s="51">
        <v>8858.76</v>
      </c>
      <c r="J4864" s="281">
        <f>++Tabla4[[#This Row],[Precio Bruto]]*1.16</f>
        <v>10276.161599999999</v>
      </c>
      <c r="K4864" s="281">
        <f>+Tabla4[[#This Row],[Precio Unitario Neto]]*Tabla4[[#Headers],[20.85%]]</f>
        <v>2142.5796935999997</v>
      </c>
      <c r="L4864" s="282">
        <f>++Tabla4[[#This Row],[Precio Unitario Neto]]-Tabla4[[#This Row],[20.85%]]</f>
        <v>8133.5819063999998</v>
      </c>
      <c r="M4864" s="282" t="e">
        <f>(INDEX(Tabla6[#All],MATCH(Tabla4[[#This Row],[Producto]],Tabla6[[#All],[PRODUCTO]],0),MATCH(Tabla4[[#This Row],[Mes]],Tabla6[#Headers],0)))*(1+Catalogos!$L$2)</f>
        <v>#N/A</v>
      </c>
      <c r="N4864" s="283" t="e">
        <f>+(Tabla4[[#This Row],[Precio Descontado]]-Tabla4[[#This Row],[Precio Base]])*Tabla4[[#This Row],[Cantidad]]</f>
        <v>#N/A</v>
      </c>
      <c r="O4864" s="284" t="e">
        <f>++Tabla4[[#This Row],[Utilidad Total]]/Tabla4[[#This Row],[Total]]</f>
        <v>#N/A</v>
      </c>
      <c r="P4864" s="282">
        <f>++Tabla4[[#This Row],[Precio Descontado]]*Tabla4[[#This Row],[Cantidad]]</f>
        <v>8133.5819063999998</v>
      </c>
      <c r="Q4864" s="282" t="e">
        <f>(INDEX(Tabla6[#All],MATCH(Tabla4[[#This Row],[Producto]],Tabla6[[#All],[PRODUCTO]],0),MATCH(Tabla4[[#This Row],[Mes]],Tabla6[#Headers],0)))</f>
        <v>#N/A</v>
      </c>
      <c r="R4864" s="282" t="e">
        <f>++Tabla4[[#This Row],[Precio Unitario Neto]]-Tabla4[[#This Row],[20.85%]]-Tabla4[[#This Row],[Costo]]</f>
        <v>#N/A</v>
      </c>
      <c r="S4864" s="282" t="e">
        <f>++Tabla4[[#This Row],[U. Bruta Uni]]*Tabla4[[#This Row],[Cantidad]]</f>
        <v>#N/A</v>
      </c>
      <c r="T4864" s="369" t="str">
        <f>VLOOKUP(Tabla4[[#This Row],[Producto]],Tabla6[#All],14,FALSE)</f>
        <v>Termico Solar</v>
      </c>
      <c r="U4864" s="284" t="e">
        <f>(IF(Tabla4[[#This Row],[Familia]]="termico solar",Tabla4[[#This Row],[Utilidad Total]]*6%,Tabla4[[#This Row],[Utilidad Total]]*11.5%))/Tabla4[[#This Row],[Total]]</f>
        <v>#N/A</v>
      </c>
      <c r="V4864" s="282" t="e">
        <f>+Tabla4[[#This Row],[Comisión Calculada]]*Tabla4[[#This Row],[Total]]</f>
        <v>#N/A</v>
      </c>
    </row>
    <row r="4865" spans="1:22" hidden="1" x14ac:dyDescent="0.25">
      <c r="A4865" s="100">
        <v>45869</v>
      </c>
      <c r="B4865" t="str">
        <f t="shared" si="241"/>
        <v>July</v>
      </c>
      <c r="C4865" s="46" t="s">
        <v>280</v>
      </c>
      <c r="F4865" s="366" t="s">
        <v>2551</v>
      </c>
      <c r="G4865" s="46" t="s">
        <v>17</v>
      </c>
      <c r="H4865" s="46">
        <v>1</v>
      </c>
      <c r="I4865" s="51">
        <v>4622.28</v>
      </c>
      <c r="J4865" s="281">
        <f>++Tabla4[[#This Row],[Precio Bruto]]*1.16</f>
        <v>5361.8447999999989</v>
      </c>
      <c r="K4865" s="281">
        <f>+Tabla4[[#This Row],[Precio Unitario Neto]]*Tabla4[[#Headers],[20.85%]]</f>
        <v>1117.9446407999997</v>
      </c>
      <c r="L4865" s="282">
        <f>++Tabla4[[#This Row],[Precio Unitario Neto]]-Tabla4[[#This Row],[20.85%]]</f>
        <v>4243.9001591999995</v>
      </c>
      <c r="M4865" s="282" t="e">
        <f>(INDEX(Tabla6[#All],MATCH(Tabla4[[#This Row],[Producto]],Tabla6[[#All],[PRODUCTO]],0),MATCH(Tabla4[[#This Row],[Mes]],Tabla6[#Headers],0)))*(1+Catalogos!$L$2)</f>
        <v>#N/A</v>
      </c>
      <c r="N4865" s="283" t="e">
        <f>+(Tabla4[[#This Row],[Precio Descontado]]-Tabla4[[#This Row],[Precio Base]])*Tabla4[[#This Row],[Cantidad]]</f>
        <v>#N/A</v>
      </c>
      <c r="O4865" s="284" t="e">
        <f>++Tabla4[[#This Row],[Utilidad Total]]/Tabla4[[#This Row],[Total]]</f>
        <v>#N/A</v>
      </c>
      <c r="P4865" s="282">
        <f>++Tabla4[[#This Row],[Precio Descontado]]*Tabla4[[#This Row],[Cantidad]]</f>
        <v>4243.9001591999995</v>
      </c>
      <c r="Q4865" s="282" t="e">
        <f>(INDEX(Tabla6[#All],MATCH(Tabla4[[#This Row],[Producto]],Tabla6[[#All],[PRODUCTO]],0),MATCH(Tabla4[[#This Row],[Mes]],Tabla6[#Headers],0)))</f>
        <v>#N/A</v>
      </c>
      <c r="R4865" s="282" t="e">
        <f>++Tabla4[[#This Row],[Precio Unitario Neto]]-Tabla4[[#This Row],[20.85%]]-Tabla4[[#This Row],[Costo]]</f>
        <v>#N/A</v>
      </c>
      <c r="S4865" s="282" t="e">
        <f>++Tabla4[[#This Row],[U. Bruta Uni]]*Tabla4[[#This Row],[Cantidad]]</f>
        <v>#N/A</v>
      </c>
      <c r="T4865" s="369" t="str">
        <f>VLOOKUP(Tabla4[[#This Row],[Producto]],Tabla6[#All],14,FALSE)</f>
        <v>Termico Solar</v>
      </c>
      <c r="U4865" s="284" t="e">
        <f>(IF(Tabla4[[#This Row],[Familia]]="termico solar",Tabla4[[#This Row],[Utilidad Total]]*6%,Tabla4[[#This Row],[Utilidad Total]]*11.5%))/Tabla4[[#This Row],[Total]]</f>
        <v>#N/A</v>
      </c>
      <c r="V4865" s="282" t="e">
        <f>+Tabla4[[#This Row],[Comisión Calculada]]*Tabla4[[#This Row],[Total]]</f>
        <v>#N/A</v>
      </c>
    </row>
    <row r="4866" spans="1:22" hidden="1" x14ac:dyDescent="0.25">
      <c r="A4866" s="100">
        <v>45869</v>
      </c>
      <c r="B4866" t="str">
        <f t="shared" si="241"/>
        <v>July</v>
      </c>
      <c r="C4866" s="46" t="s">
        <v>280</v>
      </c>
      <c r="F4866" s="366" t="s">
        <v>2551</v>
      </c>
      <c r="G4866" s="46" t="s">
        <v>394</v>
      </c>
      <c r="H4866" s="46">
        <v>9</v>
      </c>
      <c r="I4866" s="51">
        <v>108.1</v>
      </c>
      <c r="J4866" s="281">
        <f>++Tabla4[[#This Row],[Precio Bruto]]*1.16</f>
        <v>125.39599999999999</v>
      </c>
      <c r="K4866" s="281">
        <f>+Tabla4[[#This Row],[Precio Unitario Neto]]*Tabla4[[#Headers],[20.85%]]</f>
        <v>26.145065999999996</v>
      </c>
      <c r="L4866" s="282">
        <f>++Tabla4[[#This Row],[Precio Unitario Neto]]-Tabla4[[#This Row],[20.85%]]</f>
        <v>99.250933999999987</v>
      </c>
      <c r="M4866" s="282" t="e">
        <f>(INDEX(Tabla6[#All],MATCH(Tabla4[[#This Row],[Producto]],Tabla6[[#All],[PRODUCTO]],0),MATCH(Tabla4[[#This Row],[Mes]],Tabla6[#Headers],0)))*(1+Catalogos!$L$2)</f>
        <v>#N/A</v>
      </c>
      <c r="N4866" s="283" t="e">
        <f>+(Tabla4[[#This Row],[Precio Descontado]]-Tabla4[[#This Row],[Precio Base]])*Tabla4[[#This Row],[Cantidad]]</f>
        <v>#N/A</v>
      </c>
      <c r="O4866" s="284" t="e">
        <f>++Tabla4[[#This Row],[Utilidad Total]]/Tabla4[[#This Row],[Total]]</f>
        <v>#N/A</v>
      </c>
      <c r="P4866" s="282">
        <f>++Tabla4[[#This Row],[Precio Descontado]]*Tabla4[[#This Row],[Cantidad]]</f>
        <v>893.25840599999992</v>
      </c>
      <c r="Q4866" s="282" t="e">
        <f>(INDEX(Tabla6[#All],MATCH(Tabla4[[#This Row],[Producto]],Tabla6[[#All],[PRODUCTO]],0),MATCH(Tabla4[[#This Row],[Mes]],Tabla6[#Headers],0)))</f>
        <v>#N/A</v>
      </c>
      <c r="R4866" s="282" t="e">
        <f>++Tabla4[[#This Row],[Precio Unitario Neto]]-Tabla4[[#This Row],[20.85%]]-Tabla4[[#This Row],[Costo]]</f>
        <v>#N/A</v>
      </c>
      <c r="S4866" s="282" t="e">
        <f>++Tabla4[[#This Row],[U. Bruta Uni]]*Tabla4[[#This Row],[Cantidad]]</f>
        <v>#N/A</v>
      </c>
      <c r="T4866" s="369" t="str">
        <f>VLOOKUP(Tabla4[[#This Row],[Producto]],Tabla6[#All],14,FALSE)</f>
        <v>Termico Solar</v>
      </c>
      <c r="U4866" s="284" t="e">
        <f>(IF(Tabla4[[#This Row],[Familia]]="termico solar",Tabla4[[#This Row],[Utilidad Total]]*6%,Tabla4[[#This Row],[Utilidad Total]]*11.5%))/Tabla4[[#This Row],[Total]]</f>
        <v>#N/A</v>
      </c>
      <c r="V4866" s="282" t="e">
        <f>+Tabla4[[#This Row],[Comisión Calculada]]*Tabla4[[#This Row],[Total]]</f>
        <v>#N/A</v>
      </c>
    </row>
    <row r="4867" spans="1:22" hidden="1" x14ac:dyDescent="0.25">
      <c r="A4867" s="100">
        <v>45869</v>
      </c>
      <c r="B4867" t="str">
        <f t="shared" si="241"/>
        <v>July</v>
      </c>
      <c r="C4867" s="46" t="s">
        <v>280</v>
      </c>
      <c r="F4867" s="366" t="s">
        <v>2551</v>
      </c>
      <c r="G4867" s="46" t="s">
        <v>555</v>
      </c>
      <c r="H4867" s="46">
        <v>8</v>
      </c>
      <c r="I4867" s="51">
        <v>389.47</v>
      </c>
      <c r="J4867" s="281">
        <f>++Tabla4[[#This Row],[Precio Bruto]]*1.16</f>
        <v>451.78519999999997</v>
      </c>
      <c r="K4867" s="281">
        <f>+Tabla4[[#This Row],[Precio Unitario Neto]]*Tabla4[[#Headers],[20.85%]]</f>
        <v>94.197214199999991</v>
      </c>
      <c r="L4867" s="282">
        <f>++Tabla4[[#This Row],[Precio Unitario Neto]]-Tabla4[[#This Row],[20.85%]]</f>
        <v>357.58798579999996</v>
      </c>
      <c r="M4867" s="282" t="e">
        <f>(INDEX(Tabla6[#All],MATCH(Tabla4[[#This Row],[Producto]],Tabla6[[#All],[PRODUCTO]],0),MATCH(Tabla4[[#This Row],[Mes]],Tabla6[#Headers],0)))*(1+Catalogos!$L$2)</f>
        <v>#N/A</v>
      </c>
      <c r="N4867" s="283" t="e">
        <f>+(Tabla4[[#This Row],[Precio Descontado]]-Tabla4[[#This Row],[Precio Base]])*Tabla4[[#This Row],[Cantidad]]</f>
        <v>#N/A</v>
      </c>
      <c r="O4867" s="284" t="e">
        <f>++Tabla4[[#This Row],[Utilidad Total]]/Tabla4[[#This Row],[Total]]</f>
        <v>#N/A</v>
      </c>
      <c r="P4867" s="282">
        <f>++Tabla4[[#This Row],[Precio Descontado]]*Tabla4[[#This Row],[Cantidad]]</f>
        <v>2860.7038863999996</v>
      </c>
      <c r="Q4867" s="282" t="e">
        <f>(INDEX(Tabla6[#All],MATCH(Tabla4[[#This Row],[Producto]],Tabla6[[#All],[PRODUCTO]],0),MATCH(Tabla4[[#This Row],[Mes]],Tabla6[#Headers],0)))</f>
        <v>#N/A</v>
      </c>
      <c r="R4867" s="282" t="e">
        <f>++Tabla4[[#This Row],[Precio Unitario Neto]]-Tabla4[[#This Row],[20.85%]]-Tabla4[[#This Row],[Costo]]</f>
        <v>#N/A</v>
      </c>
      <c r="S4867" s="282" t="e">
        <f>++Tabla4[[#This Row],[U. Bruta Uni]]*Tabla4[[#This Row],[Cantidad]]</f>
        <v>#N/A</v>
      </c>
      <c r="T4867" s="369" t="str">
        <f>VLOOKUP(Tabla4[[#This Row],[Producto]],Tabla6[#All],14,FALSE)</f>
        <v>Termico Solar</v>
      </c>
      <c r="U4867" s="284" t="e">
        <f>(IF(Tabla4[[#This Row],[Familia]]="termico solar",Tabla4[[#This Row],[Utilidad Total]]*6%,Tabla4[[#This Row],[Utilidad Total]]*11.5%))/Tabla4[[#This Row],[Total]]</f>
        <v>#N/A</v>
      </c>
      <c r="V4867" s="282" t="e">
        <f>+Tabla4[[#This Row],[Comisión Calculada]]*Tabla4[[#This Row],[Total]]</f>
        <v>#N/A</v>
      </c>
    </row>
    <row r="4868" spans="1:22" hidden="1" x14ac:dyDescent="0.25">
      <c r="A4868" s="100">
        <v>45869</v>
      </c>
      <c r="B4868" t="str">
        <f t="shared" si="241"/>
        <v>July</v>
      </c>
      <c r="C4868" s="46" t="s">
        <v>280</v>
      </c>
      <c r="F4868" s="366" t="s">
        <v>2551</v>
      </c>
      <c r="G4868" s="46" t="s">
        <v>208</v>
      </c>
      <c r="H4868" s="46">
        <v>2</v>
      </c>
      <c r="I4868" s="51">
        <v>189.75</v>
      </c>
      <c r="J4868" s="281">
        <f>++Tabla4[[#This Row],[Precio Bruto]]*1.16</f>
        <v>220.10999999999999</v>
      </c>
      <c r="K4868" s="281">
        <f>+Tabla4[[#This Row],[Precio Unitario Neto]]*Tabla4[[#Headers],[20.85%]]</f>
        <v>45.892934999999994</v>
      </c>
      <c r="L4868" s="282">
        <f>++Tabla4[[#This Row],[Precio Unitario Neto]]-Tabla4[[#This Row],[20.85%]]</f>
        <v>174.21706499999999</v>
      </c>
      <c r="M4868" s="282" t="e">
        <f>(INDEX(Tabla6[#All],MATCH(Tabla4[[#This Row],[Producto]],Tabla6[[#All],[PRODUCTO]],0),MATCH(Tabla4[[#This Row],[Mes]],Tabla6[#Headers],0)))*(1+Catalogos!$L$2)</f>
        <v>#N/A</v>
      </c>
      <c r="N4868" s="283" t="e">
        <f>+(Tabla4[[#This Row],[Precio Descontado]]-Tabla4[[#This Row],[Precio Base]])*Tabla4[[#This Row],[Cantidad]]</f>
        <v>#N/A</v>
      </c>
      <c r="O4868" s="284" t="e">
        <f>++Tabla4[[#This Row],[Utilidad Total]]/Tabla4[[#This Row],[Total]]</f>
        <v>#N/A</v>
      </c>
      <c r="P4868" s="282">
        <f>++Tabla4[[#This Row],[Precio Descontado]]*Tabla4[[#This Row],[Cantidad]]</f>
        <v>348.43412999999998</v>
      </c>
      <c r="Q4868" s="282" t="e">
        <f>(INDEX(Tabla6[#All],MATCH(Tabla4[[#This Row],[Producto]],Tabla6[[#All],[PRODUCTO]],0),MATCH(Tabla4[[#This Row],[Mes]],Tabla6[#Headers],0)))</f>
        <v>#N/A</v>
      </c>
      <c r="R4868" s="282" t="e">
        <f>++Tabla4[[#This Row],[Precio Unitario Neto]]-Tabla4[[#This Row],[20.85%]]-Tabla4[[#This Row],[Costo]]</f>
        <v>#N/A</v>
      </c>
      <c r="S4868" s="282" t="e">
        <f>++Tabla4[[#This Row],[U. Bruta Uni]]*Tabla4[[#This Row],[Cantidad]]</f>
        <v>#N/A</v>
      </c>
      <c r="T4868" s="369" t="str">
        <f>VLOOKUP(Tabla4[[#This Row],[Producto]],Tabla6[#All],14,FALSE)</f>
        <v>Termico Solar</v>
      </c>
      <c r="U4868" s="284" t="e">
        <f>(IF(Tabla4[[#This Row],[Familia]]="termico solar",Tabla4[[#This Row],[Utilidad Total]]*6%,Tabla4[[#This Row],[Utilidad Total]]*11.5%))/Tabla4[[#This Row],[Total]]</f>
        <v>#N/A</v>
      </c>
      <c r="V4868" s="282" t="e">
        <f>+Tabla4[[#This Row],[Comisión Calculada]]*Tabla4[[#This Row],[Total]]</f>
        <v>#N/A</v>
      </c>
    </row>
    <row r="4869" spans="1:22" hidden="1" x14ac:dyDescent="0.25">
      <c r="A4869" s="100">
        <v>45869</v>
      </c>
      <c r="B4869" t="str">
        <f t="shared" si="241"/>
        <v>July</v>
      </c>
      <c r="C4869" s="46" t="s">
        <v>280</v>
      </c>
      <c r="F4869" s="366" t="s">
        <v>2552</v>
      </c>
      <c r="G4869" s="46" t="s">
        <v>566</v>
      </c>
      <c r="H4869" s="46">
        <v>1</v>
      </c>
      <c r="I4869" s="51">
        <v>2109.4499999999998</v>
      </c>
      <c r="J4869" s="281">
        <f>++Tabla4[[#This Row],[Precio Bruto]]*1.16</f>
        <v>2446.9619999999995</v>
      </c>
      <c r="K4869" s="281">
        <f>+Tabla4[[#This Row],[Precio Unitario Neto]]*Tabla4[[#Headers],[20.85%]]</f>
        <v>510.19157699999988</v>
      </c>
      <c r="L4869" s="282">
        <f>++Tabla4[[#This Row],[Precio Unitario Neto]]-Tabla4[[#This Row],[20.85%]]</f>
        <v>1936.7704229999997</v>
      </c>
      <c r="M4869" s="282" t="e">
        <f>(INDEX(Tabla6[#All],MATCH(Tabla4[[#This Row],[Producto]],Tabla6[[#All],[PRODUCTO]],0),MATCH(Tabla4[[#This Row],[Mes]],Tabla6[#Headers],0)))*(1+Catalogos!$L$2)</f>
        <v>#N/A</v>
      </c>
      <c r="N4869" s="283" t="e">
        <f>+(Tabla4[[#This Row],[Precio Descontado]]-Tabla4[[#This Row],[Precio Base]])*Tabla4[[#This Row],[Cantidad]]</f>
        <v>#N/A</v>
      </c>
      <c r="O4869" s="284" t="e">
        <f>++Tabla4[[#This Row],[Utilidad Total]]/Tabla4[[#This Row],[Total]]</f>
        <v>#N/A</v>
      </c>
      <c r="P4869" s="282">
        <f>++Tabla4[[#This Row],[Precio Descontado]]*Tabla4[[#This Row],[Cantidad]]</f>
        <v>1936.7704229999997</v>
      </c>
      <c r="Q4869" s="282" t="e">
        <f>(INDEX(Tabla6[#All],MATCH(Tabla4[[#This Row],[Producto]],Tabla6[[#All],[PRODUCTO]],0),MATCH(Tabla4[[#This Row],[Mes]],Tabla6[#Headers],0)))</f>
        <v>#N/A</v>
      </c>
      <c r="R4869" s="282" t="e">
        <f>++Tabla4[[#This Row],[Precio Unitario Neto]]-Tabla4[[#This Row],[20.85%]]-Tabla4[[#This Row],[Costo]]</f>
        <v>#N/A</v>
      </c>
      <c r="S4869" s="282" t="e">
        <f>++Tabla4[[#This Row],[U. Bruta Uni]]*Tabla4[[#This Row],[Cantidad]]</f>
        <v>#N/A</v>
      </c>
      <c r="T4869" s="369" t="str">
        <f>VLOOKUP(Tabla4[[#This Row],[Producto]],Tabla6[#All],14,FALSE)</f>
        <v>Termico Solar</v>
      </c>
      <c r="U4869" s="284" t="e">
        <f>(IF(Tabla4[[#This Row],[Familia]]="termico solar",Tabla4[[#This Row],[Utilidad Total]]*6%,Tabla4[[#This Row],[Utilidad Total]]*11.5%))/Tabla4[[#This Row],[Total]]</f>
        <v>#N/A</v>
      </c>
      <c r="V4869" s="282" t="e">
        <f>+Tabla4[[#This Row],[Comisión Calculada]]*Tabla4[[#This Row],[Total]]</f>
        <v>#N/A</v>
      </c>
    </row>
    <row r="4870" spans="1:22" hidden="1" x14ac:dyDescent="0.25">
      <c r="A4870" s="100">
        <v>45869</v>
      </c>
      <c r="B4870" t="str">
        <f t="shared" si="241"/>
        <v>July</v>
      </c>
      <c r="C4870" s="46" t="s">
        <v>280</v>
      </c>
      <c r="F4870" s="366" t="s">
        <v>2553</v>
      </c>
      <c r="G4870" s="46" t="s">
        <v>17</v>
      </c>
      <c r="H4870" s="46">
        <v>2</v>
      </c>
      <c r="I4870" s="51">
        <v>4622.28</v>
      </c>
      <c r="J4870" s="281">
        <f>++Tabla4[[#This Row],[Precio Bruto]]*1.16</f>
        <v>5361.8447999999989</v>
      </c>
      <c r="K4870" s="281">
        <f>+Tabla4[[#This Row],[Precio Unitario Neto]]*Tabla4[[#Headers],[20.85%]]</f>
        <v>1117.9446407999997</v>
      </c>
      <c r="L4870" s="282">
        <f>++Tabla4[[#This Row],[Precio Unitario Neto]]-Tabla4[[#This Row],[20.85%]]</f>
        <v>4243.9001591999995</v>
      </c>
      <c r="M4870" s="282" t="e">
        <f>(INDEX(Tabla6[#All],MATCH(Tabla4[[#This Row],[Producto]],Tabla6[[#All],[PRODUCTO]],0),MATCH(Tabla4[[#This Row],[Mes]],Tabla6[#Headers],0)))*(1+Catalogos!$L$2)</f>
        <v>#N/A</v>
      </c>
      <c r="N4870" s="283" t="e">
        <f>+(Tabla4[[#This Row],[Precio Descontado]]-Tabla4[[#This Row],[Precio Base]])*Tabla4[[#This Row],[Cantidad]]</f>
        <v>#N/A</v>
      </c>
      <c r="O4870" s="284" t="e">
        <f>++Tabla4[[#This Row],[Utilidad Total]]/Tabla4[[#This Row],[Total]]</f>
        <v>#N/A</v>
      </c>
      <c r="P4870" s="282">
        <f>++Tabla4[[#This Row],[Precio Descontado]]*Tabla4[[#This Row],[Cantidad]]</f>
        <v>8487.800318399999</v>
      </c>
      <c r="Q4870" s="282" t="e">
        <f>(INDEX(Tabla6[#All],MATCH(Tabla4[[#This Row],[Producto]],Tabla6[[#All],[PRODUCTO]],0),MATCH(Tabla4[[#This Row],[Mes]],Tabla6[#Headers],0)))</f>
        <v>#N/A</v>
      </c>
      <c r="R4870" s="282" t="e">
        <f>++Tabla4[[#This Row],[Precio Unitario Neto]]-Tabla4[[#This Row],[20.85%]]-Tabla4[[#This Row],[Costo]]</f>
        <v>#N/A</v>
      </c>
      <c r="S4870" s="282" t="e">
        <f>++Tabla4[[#This Row],[U. Bruta Uni]]*Tabla4[[#This Row],[Cantidad]]</f>
        <v>#N/A</v>
      </c>
      <c r="T4870" s="369" t="str">
        <f>VLOOKUP(Tabla4[[#This Row],[Producto]],Tabla6[#All],14,FALSE)</f>
        <v>Termico Solar</v>
      </c>
      <c r="U4870" s="284" t="e">
        <f>(IF(Tabla4[[#This Row],[Familia]]="termico solar",Tabla4[[#This Row],[Utilidad Total]]*6%,Tabla4[[#This Row],[Utilidad Total]]*11.5%))/Tabla4[[#This Row],[Total]]</f>
        <v>#N/A</v>
      </c>
      <c r="V4870" s="282" t="e">
        <f>+Tabla4[[#This Row],[Comisión Calculada]]*Tabla4[[#This Row],[Total]]</f>
        <v>#N/A</v>
      </c>
    </row>
    <row r="4871" spans="1:22" hidden="1" x14ac:dyDescent="0.25">
      <c r="A4871" s="100">
        <v>45869</v>
      </c>
      <c r="B4871" t="str">
        <f t="shared" si="241"/>
        <v>July</v>
      </c>
      <c r="C4871" s="46" t="s">
        <v>280</v>
      </c>
      <c r="F4871" s="366" t="s">
        <v>2553</v>
      </c>
      <c r="G4871" s="46" t="s">
        <v>18</v>
      </c>
      <c r="H4871" s="46">
        <v>2</v>
      </c>
      <c r="I4871" s="51">
        <v>5367.65</v>
      </c>
      <c r="J4871" s="281">
        <f>++Tabla4[[#This Row],[Precio Bruto]]*1.16</f>
        <v>6226.4739999999993</v>
      </c>
      <c r="K4871" s="281">
        <f>+Tabla4[[#This Row],[Precio Unitario Neto]]*Tabla4[[#Headers],[20.85%]]</f>
        <v>1298.2198289999999</v>
      </c>
      <c r="L4871" s="282">
        <f>++Tabla4[[#This Row],[Precio Unitario Neto]]-Tabla4[[#This Row],[20.85%]]</f>
        <v>4928.2541709999996</v>
      </c>
      <c r="M4871" s="282" t="e">
        <f>(INDEX(Tabla6[#All],MATCH(Tabla4[[#This Row],[Producto]],Tabla6[[#All],[PRODUCTO]],0),MATCH(Tabla4[[#This Row],[Mes]],Tabla6[#Headers],0)))*(1+Catalogos!$L$2)</f>
        <v>#N/A</v>
      </c>
      <c r="N4871" s="283" t="e">
        <f>+(Tabla4[[#This Row],[Precio Descontado]]-Tabla4[[#This Row],[Precio Base]])*Tabla4[[#This Row],[Cantidad]]</f>
        <v>#N/A</v>
      </c>
      <c r="O4871" s="284" t="e">
        <f>++Tabla4[[#This Row],[Utilidad Total]]/Tabla4[[#This Row],[Total]]</f>
        <v>#N/A</v>
      </c>
      <c r="P4871" s="282">
        <f>++Tabla4[[#This Row],[Precio Descontado]]*Tabla4[[#This Row],[Cantidad]]</f>
        <v>9856.5083419999992</v>
      </c>
      <c r="Q4871" s="282" t="e">
        <f>(INDEX(Tabla6[#All],MATCH(Tabla4[[#This Row],[Producto]],Tabla6[[#All],[PRODUCTO]],0),MATCH(Tabla4[[#This Row],[Mes]],Tabla6[#Headers],0)))</f>
        <v>#N/A</v>
      </c>
      <c r="R4871" s="282" t="e">
        <f>++Tabla4[[#This Row],[Precio Unitario Neto]]-Tabla4[[#This Row],[20.85%]]-Tabla4[[#This Row],[Costo]]</f>
        <v>#N/A</v>
      </c>
      <c r="S4871" s="282" t="e">
        <f>++Tabla4[[#This Row],[U. Bruta Uni]]*Tabla4[[#This Row],[Cantidad]]</f>
        <v>#N/A</v>
      </c>
      <c r="T4871" s="369" t="str">
        <f>VLOOKUP(Tabla4[[#This Row],[Producto]],Tabla6[#All],14,FALSE)</f>
        <v>Termico Solar</v>
      </c>
      <c r="U4871" s="284" t="e">
        <f>(IF(Tabla4[[#This Row],[Familia]]="termico solar",Tabla4[[#This Row],[Utilidad Total]]*6%,Tabla4[[#This Row],[Utilidad Total]]*11.5%))/Tabla4[[#This Row],[Total]]</f>
        <v>#N/A</v>
      </c>
      <c r="V4871" s="282" t="e">
        <f>+Tabla4[[#This Row],[Comisión Calculada]]*Tabla4[[#This Row],[Total]]</f>
        <v>#N/A</v>
      </c>
    </row>
    <row r="4872" spans="1:22" hidden="1" x14ac:dyDescent="0.25">
      <c r="A4872" s="100">
        <v>45869</v>
      </c>
      <c r="B4872" t="str">
        <f t="shared" si="241"/>
        <v>July</v>
      </c>
      <c r="C4872" s="46" t="s">
        <v>280</v>
      </c>
      <c r="F4872" s="366" t="s">
        <v>2554</v>
      </c>
      <c r="G4872" s="46" t="s">
        <v>83</v>
      </c>
      <c r="H4872" s="46">
        <v>2</v>
      </c>
      <c r="I4872" s="51">
        <v>8858.76</v>
      </c>
      <c r="J4872" s="281">
        <f>++Tabla4[[#This Row],[Precio Bruto]]*1.16</f>
        <v>10276.161599999999</v>
      </c>
      <c r="K4872" s="281">
        <f>+Tabla4[[#This Row],[Precio Unitario Neto]]*Tabla4[[#Headers],[20.85%]]</f>
        <v>2142.5796935999997</v>
      </c>
      <c r="L4872" s="282">
        <f>++Tabla4[[#This Row],[Precio Unitario Neto]]-Tabla4[[#This Row],[20.85%]]</f>
        <v>8133.5819063999998</v>
      </c>
      <c r="M4872" s="282" t="e">
        <f>(INDEX(Tabla6[#All],MATCH(Tabla4[[#This Row],[Producto]],Tabla6[[#All],[PRODUCTO]],0),MATCH(Tabla4[[#This Row],[Mes]],Tabla6[#Headers],0)))*(1+Catalogos!$L$2)</f>
        <v>#N/A</v>
      </c>
      <c r="N4872" s="283" t="e">
        <f>+(Tabla4[[#This Row],[Precio Descontado]]-Tabla4[[#This Row],[Precio Base]])*Tabla4[[#This Row],[Cantidad]]</f>
        <v>#N/A</v>
      </c>
      <c r="O4872" s="284" t="e">
        <f>++Tabla4[[#This Row],[Utilidad Total]]/Tabla4[[#This Row],[Total]]</f>
        <v>#N/A</v>
      </c>
      <c r="P4872" s="282">
        <f>++Tabla4[[#This Row],[Precio Descontado]]*Tabla4[[#This Row],[Cantidad]]</f>
        <v>16267.1638128</v>
      </c>
      <c r="Q4872" s="282" t="e">
        <f>(INDEX(Tabla6[#All],MATCH(Tabla4[[#This Row],[Producto]],Tabla6[[#All],[PRODUCTO]],0),MATCH(Tabla4[[#This Row],[Mes]],Tabla6[#Headers],0)))</f>
        <v>#N/A</v>
      </c>
      <c r="R4872" s="282" t="e">
        <f>++Tabla4[[#This Row],[Precio Unitario Neto]]-Tabla4[[#This Row],[20.85%]]-Tabla4[[#This Row],[Costo]]</f>
        <v>#N/A</v>
      </c>
      <c r="S4872" s="282" t="e">
        <f>++Tabla4[[#This Row],[U. Bruta Uni]]*Tabla4[[#This Row],[Cantidad]]</f>
        <v>#N/A</v>
      </c>
      <c r="T4872" s="369" t="str">
        <f>VLOOKUP(Tabla4[[#This Row],[Producto]],Tabla6[#All],14,FALSE)</f>
        <v>Termico Solar</v>
      </c>
      <c r="U4872" s="284" t="e">
        <f>(IF(Tabla4[[#This Row],[Familia]]="termico solar",Tabla4[[#This Row],[Utilidad Total]]*6%,Tabla4[[#This Row],[Utilidad Total]]*11.5%))/Tabla4[[#This Row],[Total]]</f>
        <v>#N/A</v>
      </c>
      <c r="V4872" s="282" t="e">
        <f>+Tabla4[[#This Row],[Comisión Calculada]]*Tabla4[[#This Row],[Total]]</f>
        <v>#N/A</v>
      </c>
    </row>
    <row r="4873" spans="1:22" hidden="1" x14ac:dyDescent="0.25">
      <c r="A4873" s="100">
        <v>45869</v>
      </c>
      <c r="B4873" t="str">
        <f t="shared" si="241"/>
        <v>July</v>
      </c>
      <c r="C4873" s="46" t="s">
        <v>280</v>
      </c>
      <c r="F4873" s="366" t="s">
        <v>2554</v>
      </c>
      <c r="G4873" s="46" t="s">
        <v>18</v>
      </c>
      <c r="H4873" s="46">
        <v>1</v>
      </c>
      <c r="I4873" s="51">
        <v>5367.65</v>
      </c>
      <c r="J4873" s="281">
        <f>++Tabla4[[#This Row],[Precio Bruto]]*1.16</f>
        <v>6226.4739999999993</v>
      </c>
      <c r="K4873" s="281">
        <f>+Tabla4[[#This Row],[Precio Unitario Neto]]*Tabla4[[#Headers],[20.85%]]</f>
        <v>1298.2198289999999</v>
      </c>
      <c r="L4873" s="282">
        <f>++Tabla4[[#This Row],[Precio Unitario Neto]]-Tabla4[[#This Row],[20.85%]]</f>
        <v>4928.2541709999996</v>
      </c>
      <c r="M4873" s="282" t="e">
        <f>(INDEX(Tabla6[#All],MATCH(Tabla4[[#This Row],[Producto]],Tabla6[[#All],[PRODUCTO]],0),MATCH(Tabla4[[#This Row],[Mes]],Tabla6[#Headers],0)))*(1+Catalogos!$L$2)</f>
        <v>#N/A</v>
      </c>
      <c r="N4873" s="283" t="e">
        <f>+(Tabla4[[#This Row],[Precio Descontado]]-Tabla4[[#This Row],[Precio Base]])*Tabla4[[#This Row],[Cantidad]]</f>
        <v>#N/A</v>
      </c>
      <c r="O4873" s="284" t="e">
        <f>++Tabla4[[#This Row],[Utilidad Total]]/Tabla4[[#This Row],[Total]]</f>
        <v>#N/A</v>
      </c>
      <c r="P4873" s="282">
        <f>++Tabla4[[#This Row],[Precio Descontado]]*Tabla4[[#This Row],[Cantidad]]</f>
        <v>4928.2541709999996</v>
      </c>
      <c r="Q4873" s="282" t="e">
        <f>(INDEX(Tabla6[#All],MATCH(Tabla4[[#This Row],[Producto]],Tabla6[[#All],[PRODUCTO]],0),MATCH(Tabla4[[#This Row],[Mes]],Tabla6[#Headers],0)))</f>
        <v>#N/A</v>
      </c>
      <c r="R4873" s="282" t="e">
        <f>++Tabla4[[#This Row],[Precio Unitario Neto]]-Tabla4[[#This Row],[20.85%]]-Tabla4[[#This Row],[Costo]]</f>
        <v>#N/A</v>
      </c>
      <c r="S4873" s="282" t="e">
        <f>++Tabla4[[#This Row],[U. Bruta Uni]]*Tabla4[[#This Row],[Cantidad]]</f>
        <v>#N/A</v>
      </c>
      <c r="T4873" s="369" t="str">
        <f>VLOOKUP(Tabla4[[#This Row],[Producto]],Tabla6[#All],14,FALSE)</f>
        <v>Termico Solar</v>
      </c>
      <c r="U4873" s="284" t="e">
        <f>(IF(Tabla4[[#This Row],[Familia]]="termico solar",Tabla4[[#This Row],[Utilidad Total]]*6%,Tabla4[[#This Row],[Utilidad Total]]*11.5%))/Tabla4[[#This Row],[Total]]</f>
        <v>#N/A</v>
      </c>
      <c r="V4873" s="282" t="e">
        <f>+Tabla4[[#This Row],[Comisión Calculada]]*Tabla4[[#This Row],[Total]]</f>
        <v>#N/A</v>
      </c>
    </row>
    <row r="4874" spans="1:22" hidden="1" x14ac:dyDescent="0.25">
      <c r="A4874" s="100">
        <v>45869</v>
      </c>
      <c r="B4874" t="str">
        <f t="shared" si="241"/>
        <v>July</v>
      </c>
      <c r="C4874" s="46" t="s">
        <v>280</v>
      </c>
      <c r="F4874" s="366" t="s">
        <v>2555</v>
      </c>
      <c r="G4874" s="46" t="s">
        <v>83</v>
      </c>
      <c r="H4874" s="46">
        <v>4</v>
      </c>
      <c r="I4874" s="51">
        <v>8858.76</v>
      </c>
      <c r="J4874" s="281">
        <f>++Tabla4[[#This Row],[Precio Bruto]]*1.16</f>
        <v>10276.161599999999</v>
      </c>
      <c r="K4874" s="281">
        <f>+Tabla4[[#This Row],[Precio Unitario Neto]]*Tabla4[[#Headers],[20.85%]]</f>
        <v>2142.5796935999997</v>
      </c>
      <c r="L4874" s="282">
        <f>++Tabla4[[#This Row],[Precio Unitario Neto]]-Tabla4[[#This Row],[20.85%]]</f>
        <v>8133.5819063999998</v>
      </c>
      <c r="M4874" s="282" t="e">
        <f>(INDEX(Tabla6[#All],MATCH(Tabla4[[#This Row],[Producto]],Tabla6[[#All],[PRODUCTO]],0),MATCH(Tabla4[[#This Row],[Mes]],Tabla6[#Headers],0)))*(1+Catalogos!$L$2)</f>
        <v>#N/A</v>
      </c>
      <c r="N4874" s="283" t="e">
        <f>+(Tabla4[[#This Row],[Precio Descontado]]-Tabla4[[#This Row],[Precio Base]])*Tabla4[[#This Row],[Cantidad]]</f>
        <v>#N/A</v>
      </c>
      <c r="O4874" s="284" t="e">
        <f>++Tabla4[[#This Row],[Utilidad Total]]/Tabla4[[#This Row],[Total]]</f>
        <v>#N/A</v>
      </c>
      <c r="P4874" s="282">
        <f>++Tabla4[[#This Row],[Precio Descontado]]*Tabla4[[#This Row],[Cantidad]]</f>
        <v>32534.327625599999</v>
      </c>
      <c r="Q4874" s="282" t="e">
        <f>(INDEX(Tabla6[#All],MATCH(Tabla4[[#This Row],[Producto]],Tabla6[[#All],[PRODUCTO]],0),MATCH(Tabla4[[#This Row],[Mes]],Tabla6[#Headers],0)))</f>
        <v>#N/A</v>
      </c>
      <c r="R4874" s="282" t="e">
        <f>++Tabla4[[#This Row],[Precio Unitario Neto]]-Tabla4[[#This Row],[20.85%]]-Tabla4[[#This Row],[Costo]]</f>
        <v>#N/A</v>
      </c>
      <c r="S4874" s="282" t="e">
        <f>++Tabla4[[#This Row],[U. Bruta Uni]]*Tabla4[[#This Row],[Cantidad]]</f>
        <v>#N/A</v>
      </c>
      <c r="T4874" s="369" t="str">
        <f>VLOOKUP(Tabla4[[#This Row],[Producto]],Tabla6[#All],14,FALSE)</f>
        <v>Termico Solar</v>
      </c>
      <c r="U4874" s="284" t="e">
        <f>(IF(Tabla4[[#This Row],[Familia]]="termico solar",Tabla4[[#This Row],[Utilidad Total]]*6%,Tabla4[[#This Row],[Utilidad Total]]*11.5%))/Tabla4[[#This Row],[Total]]</f>
        <v>#N/A</v>
      </c>
      <c r="V4874" s="282" t="e">
        <f>+Tabla4[[#This Row],[Comisión Calculada]]*Tabla4[[#This Row],[Total]]</f>
        <v>#N/A</v>
      </c>
    </row>
    <row r="4875" spans="1:22" hidden="1" x14ac:dyDescent="0.25">
      <c r="A4875" s="100">
        <v>45869</v>
      </c>
      <c r="B4875" t="str">
        <f t="shared" si="241"/>
        <v>July</v>
      </c>
      <c r="C4875" s="46" t="s">
        <v>280</v>
      </c>
      <c r="F4875" s="366" t="s">
        <v>2555</v>
      </c>
      <c r="G4875" s="46" t="s">
        <v>16</v>
      </c>
      <c r="H4875" s="46">
        <v>1</v>
      </c>
      <c r="I4875" s="51">
        <v>4103.8500000000004</v>
      </c>
      <c r="J4875" s="281">
        <f>++Tabla4[[#This Row],[Precio Bruto]]*1.16</f>
        <v>4760.4660000000003</v>
      </c>
      <c r="K4875" s="281">
        <f>+Tabla4[[#This Row],[Precio Unitario Neto]]*Tabla4[[#Headers],[20.85%]]</f>
        <v>992.55716100000006</v>
      </c>
      <c r="L4875" s="282">
        <f>++Tabla4[[#This Row],[Precio Unitario Neto]]-Tabla4[[#This Row],[20.85%]]</f>
        <v>3767.9088390000002</v>
      </c>
      <c r="M4875" s="282" t="e">
        <f>(INDEX(Tabla6[#All],MATCH(Tabla4[[#This Row],[Producto]],Tabla6[[#All],[PRODUCTO]],0),MATCH(Tabla4[[#This Row],[Mes]],Tabla6[#Headers],0)))*(1+Catalogos!$L$2)</f>
        <v>#N/A</v>
      </c>
      <c r="N4875" s="283" t="e">
        <f>+(Tabla4[[#This Row],[Precio Descontado]]-Tabla4[[#This Row],[Precio Base]])*Tabla4[[#This Row],[Cantidad]]</f>
        <v>#N/A</v>
      </c>
      <c r="O4875" s="284" t="e">
        <f>++Tabla4[[#This Row],[Utilidad Total]]/Tabla4[[#This Row],[Total]]</f>
        <v>#N/A</v>
      </c>
      <c r="P4875" s="282">
        <f>++Tabla4[[#This Row],[Precio Descontado]]*Tabla4[[#This Row],[Cantidad]]</f>
        <v>3767.9088390000002</v>
      </c>
      <c r="Q4875" s="282" t="e">
        <f>(INDEX(Tabla6[#All],MATCH(Tabla4[[#This Row],[Producto]],Tabla6[[#All],[PRODUCTO]],0),MATCH(Tabla4[[#This Row],[Mes]],Tabla6[#Headers],0)))</f>
        <v>#N/A</v>
      </c>
      <c r="R4875" s="282" t="e">
        <f>++Tabla4[[#This Row],[Precio Unitario Neto]]-Tabla4[[#This Row],[20.85%]]-Tabla4[[#This Row],[Costo]]</f>
        <v>#N/A</v>
      </c>
      <c r="S4875" s="282" t="e">
        <f>++Tabla4[[#This Row],[U. Bruta Uni]]*Tabla4[[#This Row],[Cantidad]]</f>
        <v>#N/A</v>
      </c>
      <c r="T4875" s="369" t="str">
        <f>VLOOKUP(Tabla4[[#This Row],[Producto]],Tabla6[#All],14,FALSE)</f>
        <v>Termico Solar</v>
      </c>
      <c r="U4875" s="284" t="e">
        <f>(IF(Tabla4[[#This Row],[Familia]]="termico solar",Tabla4[[#This Row],[Utilidad Total]]*6%,Tabla4[[#This Row],[Utilidad Total]]*11.5%))/Tabla4[[#This Row],[Total]]</f>
        <v>#N/A</v>
      </c>
      <c r="V4875" s="282" t="e">
        <f>+Tabla4[[#This Row],[Comisión Calculada]]*Tabla4[[#This Row],[Total]]</f>
        <v>#N/A</v>
      </c>
    </row>
    <row r="4876" spans="1:22" hidden="1" x14ac:dyDescent="0.25">
      <c r="A4876" s="100">
        <v>45869</v>
      </c>
      <c r="B4876" t="str">
        <f t="shared" si="241"/>
        <v>July</v>
      </c>
      <c r="C4876" s="46" t="s">
        <v>280</v>
      </c>
      <c r="F4876" s="366" t="s">
        <v>2556</v>
      </c>
      <c r="G4876" s="46" t="s">
        <v>83</v>
      </c>
      <c r="H4876" s="46">
        <v>1</v>
      </c>
      <c r="I4876" s="51">
        <v>8858.76</v>
      </c>
      <c r="J4876" s="281">
        <f>++Tabla4[[#This Row],[Precio Bruto]]*1.16</f>
        <v>10276.161599999999</v>
      </c>
      <c r="K4876" s="281">
        <f>+Tabla4[[#This Row],[Precio Unitario Neto]]*Tabla4[[#Headers],[20.85%]]</f>
        <v>2142.5796935999997</v>
      </c>
      <c r="L4876" s="282">
        <f>++Tabla4[[#This Row],[Precio Unitario Neto]]-Tabla4[[#This Row],[20.85%]]</f>
        <v>8133.5819063999998</v>
      </c>
      <c r="M4876" s="282" t="e">
        <f>(INDEX(Tabla6[#All],MATCH(Tabla4[[#This Row],[Producto]],Tabla6[[#All],[PRODUCTO]],0),MATCH(Tabla4[[#This Row],[Mes]],Tabla6[#Headers],0)))*(1+Catalogos!$L$2)</f>
        <v>#N/A</v>
      </c>
      <c r="N4876" s="283" t="e">
        <f>+(Tabla4[[#This Row],[Precio Descontado]]-Tabla4[[#This Row],[Precio Base]])*Tabla4[[#This Row],[Cantidad]]</f>
        <v>#N/A</v>
      </c>
      <c r="O4876" s="284" t="e">
        <f>++Tabla4[[#This Row],[Utilidad Total]]/Tabla4[[#This Row],[Total]]</f>
        <v>#N/A</v>
      </c>
      <c r="P4876" s="282">
        <f>++Tabla4[[#This Row],[Precio Descontado]]*Tabla4[[#This Row],[Cantidad]]</f>
        <v>8133.5819063999998</v>
      </c>
      <c r="Q4876" s="282" t="e">
        <f>(INDEX(Tabla6[#All],MATCH(Tabla4[[#This Row],[Producto]],Tabla6[[#All],[PRODUCTO]],0),MATCH(Tabla4[[#This Row],[Mes]],Tabla6[#Headers],0)))</f>
        <v>#N/A</v>
      </c>
      <c r="R4876" s="282" t="e">
        <f>++Tabla4[[#This Row],[Precio Unitario Neto]]-Tabla4[[#This Row],[20.85%]]-Tabla4[[#This Row],[Costo]]</f>
        <v>#N/A</v>
      </c>
      <c r="S4876" s="282" t="e">
        <f>++Tabla4[[#This Row],[U. Bruta Uni]]*Tabla4[[#This Row],[Cantidad]]</f>
        <v>#N/A</v>
      </c>
      <c r="T4876" s="369" t="str">
        <f>VLOOKUP(Tabla4[[#This Row],[Producto]],Tabla6[#All],14,FALSE)</f>
        <v>Termico Solar</v>
      </c>
      <c r="U4876" s="284" t="e">
        <f>(IF(Tabla4[[#This Row],[Familia]]="termico solar",Tabla4[[#This Row],[Utilidad Total]]*6%,Tabla4[[#This Row],[Utilidad Total]]*11.5%))/Tabla4[[#This Row],[Total]]</f>
        <v>#N/A</v>
      </c>
      <c r="V4876" s="282" t="e">
        <f>+Tabla4[[#This Row],[Comisión Calculada]]*Tabla4[[#This Row],[Total]]</f>
        <v>#N/A</v>
      </c>
    </row>
    <row r="4877" spans="1:22" hidden="1" x14ac:dyDescent="0.25">
      <c r="A4877" s="100">
        <v>45869</v>
      </c>
      <c r="B4877" t="str">
        <f t="shared" si="241"/>
        <v>July</v>
      </c>
      <c r="C4877" s="46" t="s">
        <v>280</v>
      </c>
      <c r="F4877" s="366" t="s">
        <v>2556</v>
      </c>
      <c r="G4877" s="46" t="s">
        <v>17</v>
      </c>
      <c r="H4877" s="46">
        <v>1</v>
      </c>
      <c r="I4877" s="51">
        <v>4622.28</v>
      </c>
      <c r="J4877" s="281">
        <f>++Tabla4[[#This Row],[Precio Bruto]]*1.16</f>
        <v>5361.8447999999989</v>
      </c>
      <c r="K4877" s="281">
        <f>+Tabla4[[#This Row],[Precio Unitario Neto]]*Tabla4[[#Headers],[20.85%]]</f>
        <v>1117.9446407999997</v>
      </c>
      <c r="L4877" s="282">
        <f>++Tabla4[[#This Row],[Precio Unitario Neto]]-Tabla4[[#This Row],[20.85%]]</f>
        <v>4243.9001591999995</v>
      </c>
      <c r="M4877" s="282" t="e">
        <f>(INDEX(Tabla6[#All],MATCH(Tabla4[[#This Row],[Producto]],Tabla6[[#All],[PRODUCTO]],0),MATCH(Tabla4[[#This Row],[Mes]],Tabla6[#Headers],0)))*(1+Catalogos!$L$2)</f>
        <v>#N/A</v>
      </c>
      <c r="N4877" s="283" t="e">
        <f>+(Tabla4[[#This Row],[Precio Descontado]]-Tabla4[[#This Row],[Precio Base]])*Tabla4[[#This Row],[Cantidad]]</f>
        <v>#N/A</v>
      </c>
      <c r="O4877" s="284" t="e">
        <f>++Tabla4[[#This Row],[Utilidad Total]]/Tabla4[[#This Row],[Total]]</f>
        <v>#N/A</v>
      </c>
      <c r="P4877" s="282">
        <f>++Tabla4[[#This Row],[Precio Descontado]]*Tabla4[[#This Row],[Cantidad]]</f>
        <v>4243.9001591999995</v>
      </c>
      <c r="Q4877" s="282" t="e">
        <f>(INDEX(Tabla6[#All],MATCH(Tabla4[[#This Row],[Producto]],Tabla6[[#All],[PRODUCTO]],0),MATCH(Tabla4[[#This Row],[Mes]],Tabla6[#Headers],0)))</f>
        <v>#N/A</v>
      </c>
      <c r="R4877" s="282" t="e">
        <f>++Tabla4[[#This Row],[Precio Unitario Neto]]-Tabla4[[#This Row],[20.85%]]-Tabla4[[#This Row],[Costo]]</f>
        <v>#N/A</v>
      </c>
      <c r="S4877" s="282" t="e">
        <f>++Tabla4[[#This Row],[U. Bruta Uni]]*Tabla4[[#This Row],[Cantidad]]</f>
        <v>#N/A</v>
      </c>
      <c r="T4877" s="369" t="str">
        <f>VLOOKUP(Tabla4[[#This Row],[Producto]],Tabla6[#All],14,FALSE)</f>
        <v>Termico Solar</v>
      </c>
      <c r="U4877" s="284" t="e">
        <f>(IF(Tabla4[[#This Row],[Familia]]="termico solar",Tabla4[[#This Row],[Utilidad Total]]*6%,Tabla4[[#This Row],[Utilidad Total]]*11.5%))/Tabla4[[#This Row],[Total]]</f>
        <v>#N/A</v>
      </c>
      <c r="V4877" s="282" t="e">
        <f>+Tabla4[[#This Row],[Comisión Calculada]]*Tabla4[[#This Row],[Total]]</f>
        <v>#N/A</v>
      </c>
    </row>
    <row r="4878" spans="1:22" hidden="1" x14ac:dyDescent="0.25">
      <c r="A4878" s="100">
        <v>45869</v>
      </c>
      <c r="B4878" t="str">
        <f t="shared" si="241"/>
        <v>July</v>
      </c>
      <c r="C4878" s="46" t="s">
        <v>280</v>
      </c>
      <c r="F4878" s="366" t="s">
        <v>2556</v>
      </c>
      <c r="G4878" s="46" t="s">
        <v>566</v>
      </c>
      <c r="H4878" s="46">
        <v>3</v>
      </c>
      <c r="I4878" s="51">
        <v>2109.4500000000003</v>
      </c>
      <c r="J4878" s="281">
        <f>++Tabla4[[#This Row],[Precio Bruto]]*1.16</f>
        <v>2446.962</v>
      </c>
      <c r="K4878" s="281">
        <f>+Tabla4[[#This Row],[Precio Unitario Neto]]*Tabla4[[#Headers],[20.85%]]</f>
        <v>510.191577</v>
      </c>
      <c r="L4878" s="282">
        <f>++Tabla4[[#This Row],[Precio Unitario Neto]]-Tabla4[[#This Row],[20.85%]]</f>
        <v>1936.7704229999999</v>
      </c>
      <c r="M4878" s="282" t="e">
        <f>(INDEX(Tabla6[#All],MATCH(Tabla4[[#This Row],[Producto]],Tabla6[[#All],[PRODUCTO]],0),MATCH(Tabla4[[#This Row],[Mes]],Tabla6[#Headers],0)))*(1+Catalogos!$L$2)</f>
        <v>#N/A</v>
      </c>
      <c r="N4878" s="283" t="e">
        <f>+(Tabla4[[#This Row],[Precio Descontado]]-Tabla4[[#This Row],[Precio Base]])*Tabla4[[#This Row],[Cantidad]]</f>
        <v>#N/A</v>
      </c>
      <c r="O4878" s="284" t="e">
        <f>++Tabla4[[#This Row],[Utilidad Total]]/Tabla4[[#This Row],[Total]]</f>
        <v>#N/A</v>
      </c>
      <c r="P4878" s="282">
        <f>++Tabla4[[#This Row],[Precio Descontado]]*Tabla4[[#This Row],[Cantidad]]</f>
        <v>5810.3112689999998</v>
      </c>
      <c r="Q4878" s="282" t="e">
        <f>(INDEX(Tabla6[#All],MATCH(Tabla4[[#This Row],[Producto]],Tabla6[[#All],[PRODUCTO]],0),MATCH(Tabla4[[#This Row],[Mes]],Tabla6[#Headers],0)))</f>
        <v>#N/A</v>
      </c>
      <c r="R4878" s="282" t="e">
        <f>++Tabla4[[#This Row],[Precio Unitario Neto]]-Tabla4[[#This Row],[20.85%]]-Tabla4[[#This Row],[Costo]]</f>
        <v>#N/A</v>
      </c>
      <c r="S4878" s="282" t="e">
        <f>++Tabla4[[#This Row],[U. Bruta Uni]]*Tabla4[[#This Row],[Cantidad]]</f>
        <v>#N/A</v>
      </c>
      <c r="T4878" s="369" t="str">
        <f>VLOOKUP(Tabla4[[#This Row],[Producto]],Tabla6[#All],14,FALSE)</f>
        <v>Termico Solar</v>
      </c>
      <c r="U4878" s="284" t="e">
        <f>(IF(Tabla4[[#This Row],[Familia]]="termico solar",Tabla4[[#This Row],[Utilidad Total]]*6%,Tabla4[[#This Row],[Utilidad Total]]*11.5%))/Tabla4[[#This Row],[Total]]</f>
        <v>#N/A</v>
      </c>
      <c r="V4878" s="282" t="e">
        <f>+Tabla4[[#This Row],[Comisión Calculada]]*Tabla4[[#This Row],[Total]]</f>
        <v>#N/A</v>
      </c>
    </row>
    <row r="4879" spans="1:22" hidden="1" x14ac:dyDescent="0.25">
      <c r="A4879" s="100">
        <v>45869</v>
      </c>
      <c r="B4879" t="str">
        <f t="shared" si="241"/>
        <v>July</v>
      </c>
      <c r="C4879" s="46" t="s">
        <v>280</v>
      </c>
      <c r="F4879" s="366" t="s">
        <v>2557</v>
      </c>
      <c r="G4879" s="46" t="s">
        <v>17</v>
      </c>
      <c r="H4879" s="46">
        <v>1</v>
      </c>
      <c r="I4879" s="51">
        <v>4622.28</v>
      </c>
      <c r="J4879" s="281">
        <f>++Tabla4[[#This Row],[Precio Bruto]]*1.16</f>
        <v>5361.8447999999989</v>
      </c>
      <c r="K4879" s="281">
        <f>+Tabla4[[#This Row],[Precio Unitario Neto]]*Tabla4[[#Headers],[20.85%]]</f>
        <v>1117.9446407999997</v>
      </c>
      <c r="L4879" s="282">
        <f>++Tabla4[[#This Row],[Precio Unitario Neto]]-Tabla4[[#This Row],[20.85%]]</f>
        <v>4243.9001591999995</v>
      </c>
      <c r="M4879" s="282" t="e">
        <f>(INDEX(Tabla6[#All],MATCH(Tabla4[[#This Row],[Producto]],Tabla6[[#All],[PRODUCTO]],0),MATCH(Tabla4[[#This Row],[Mes]],Tabla6[#Headers],0)))*(1+Catalogos!$L$2)</f>
        <v>#N/A</v>
      </c>
      <c r="N4879" s="283" t="e">
        <f>+(Tabla4[[#This Row],[Precio Descontado]]-Tabla4[[#This Row],[Precio Base]])*Tabla4[[#This Row],[Cantidad]]</f>
        <v>#N/A</v>
      </c>
      <c r="O4879" s="284" t="e">
        <f>++Tabla4[[#This Row],[Utilidad Total]]/Tabla4[[#This Row],[Total]]</f>
        <v>#N/A</v>
      </c>
      <c r="P4879" s="282">
        <f>++Tabla4[[#This Row],[Precio Descontado]]*Tabla4[[#This Row],[Cantidad]]</f>
        <v>4243.9001591999995</v>
      </c>
      <c r="Q4879" s="282" t="e">
        <f>(INDEX(Tabla6[#All],MATCH(Tabla4[[#This Row],[Producto]],Tabla6[[#All],[PRODUCTO]],0),MATCH(Tabla4[[#This Row],[Mes]],Tabla6[#Headers],0)))</f>
        <v>#N/A</v>
      </c>
      <c r="R4879" s="282" t="e">
        <f>++Tabla4[[#This Row],[Precio Unitario Neto]]-Tabla4[[#This Row],[20.85%]]-Tabla4[[#This Row],[Costo]]</f>
        <v>#N/A</v>
      </c>
      <c r="S4879" s="282" t="e">
        <f>++Tabla4[[#This Row],[U. Bruta Uni]]*Tabla4[[#This Row],[Cantidad]]</f>
        <v>#N/A</v>
      </c>
      <c r="T4879" s="369" t="str">
        <f>VLOOKUP(Tabla4[[#This Row],[Producto]],Tabla6[#All],14,FALSE)</f>
        <v>Termico Solar</v>
      </c>
      <c r="U4879" s="284" t="e">
        <f>(IF(Tabla4[[#This Row],[Familia]]="termico solar",Tabla4[[#This Row],[Utilidad Total]]*6%,Tabla4[[#This Row],[Utilidad Total]]*11.5%))/Tabla4[[#This Row],[Total]]</f>
        <v>#N/A</v>
      </c>
      <c r="V4879" s="282" t="e">
        <f>+Tabla4[[#This Row],[Comisión Calculada]]*Tabla4[[#This Row],[Total]]</f>
        <v>#N/A</v>
      </c>
    </row>
    <row r="4880" spans="1:22" hidden="1" x14ac:dyDescent="0.25">
      <c r="A4880" s="100">
        <v>45869</v>
      </c>
      <c r="B4880" t="str">
        <f t="shared" si="241"/>
        <v>July</v>
      </c>
      <c r="C4880" s="46" t="s">
        <v>280</v>
      </c>
      <c r="F4880" s="366" t="s">
        <v>2557</v>
      </c>
      <c r="G4880" s="46" t="s">
        <v>16</v>
      </c>
      <c r="H4880" s="46">
        <v>1</v>
      </c>
      <c r="I4880" s="51">
        <v>4103.8500000000004</v>
      </c>
      <c r="J4880" s="281">
        <f>++Tabla4[[#This Row],[Precio Bruto]]*1.16</f>
        <v>4760.4660000000003</v>
      </c>
      <c r="K4880" s="281">
        <f>+Tabla4[[#This Row],[Precio Unitario Neto]]*Tabla4[[#Headers],[20.85%]]</f>
        <v>992.55716100000006</v>
      </c>
      <c r="L4880" s="282">
        <f>++Tabla4[[#This Row],[Precio Unitario Neto]]-Tabla4[[#This Row],[20.85%]]</f>
        <v>3767.9088390000002</v>
      </c>
      <c r="M4880" s="282" t="e">
        <f>(INDEX(Tabla6[#All],MATCH(Tabla4[[#This Row],[Producto]],Tabla6[[#All],[PRODUCTO]],0),MATCH(Tabla4[[#This Row],[Mes]],Tabla6[#Headers],0)))*(1+Catalogos!$L$2)</f>
        <v>#N/A</v>
      </c>
      <c r="N4880" s="283" t="e">
        <f>+(Tabla4[[#This Row],[Precio Descontado]]-Tabla4[[#This Row],[Precio Base]])*Tabla4[[#This Row],[Cantidad]]</f>
        <v>#N/A</v>
      </c>
      <c r="O4880" s="284" t="e">
        <f>++Tabla4[[#This Row],[Utilidad Total]]/Tabla4[[#This Row],[Total]]</f>
        <v>#N/A</v>
      </c>
      <c r="P4880" s="282">
        <f>++Tabla4[[#This Row],[Precio Descontado]]*Tabla4[[#This Row],[Cantidad]]</f>
        <v>3767.9088390000002</v>
      </c>
      <c r="Q4880" s="282" t="e">
        <f>(INDEX(Tabla6[#All],MATCH(Tabla4[[#This Row],[Producto]],Tabla6[[#All],[PRODUCTO]],0),MATCH(Tabla4[[#This Row],[Mes]],Tabla6[#Headers],0)))</f>
        <v>#N/A</v>
      </c>
      <c r="R4880" s="282" t="e">
        <f>++Tabla4[[#This Row],[Precio Unitario Neto]]-Tabla4[[#This Row],[20.85%]]-Tabla4[[#This Row],[Costo]]</f>
        <v>#N/A</v>
      </c>
      <c r="S4880" s="282" t="e">
        <f>++Tabla4[[#This Row],[U. Bruta Uni]]*Tabla4[[#This Row],[Cantidad]]</f>
        <v>#N/A</v>
      </c>
      <c r="T4880" s="369" t="str">
        <f>VLOOKUP(Tabla4[[#This Row],[Producto]],Tabla6[#All],14,FALSE)</f>
        <v>Termico Solar</v>
      </c>
      <c r="U4880" s="284" t="e">
        <f>(IF(Tabla4[[#This Row],[Familia]]="termico solar",Tabla4[[#This Row],[Utilidad Total]]*6%,Tabla4[[#This Row],[Utilidad Total]]*11.5%))/Tabla4[[#This Row],[Total]]</f>
        <v>#N/A</v>
      </c>
      <c r="V4880" s="282" t="e">
        <f>+Tabla4[[#This Row],[Comisión Calculada]]*Tabla4[[#This Row],[Total]]</f>
        <v>#N/A</v>
      </c>
    </row>
    <row r="4881" spans="1:22" hidden="1" x14ac:dyDescent="0.25">
      <c r="A4881" s="100">
        <v>45869</v>
      </c>
      <c r="B4881" t="str">
        <f t="shared" si="241"/>
        <v>July</v>
      </c>
      <c r="C4881" s="46" t="s">
        <v>280</v>
      </c>
      <c r="F4881" s="366" t="s">
        <v>2558</v>
      </c>
      <c r="G4881" s="46" t="s">
        <v>566</v>
      </c>
      <c r="H4881" s="46">
        <v>1</v>
      </c>
      <c r="I4881" s="51">
        <v>2109.4499999999998</v>
      </c>
      <c r="J4881" s="281">
        <f>++Tabla4[[#This Row],[Precio Bruto]]*1.16</f>
        <v>2446.9619999999995</v>
      </c>
      <c r="K4881" s="281">
        <f>+Tabla4[[#This Row],[Precio Unitario Neto]]*Tabla4[[#Headers],[20.85%]]</f>
        <v>510.19157699999988</v>
      </c>
      <c r="L4881" s="282">
        <f>++Tabla4[[#This Row],[Precio Unitario Neto]]-Tabla4[[#This Row],[20.85%]]</f>
        <v>1936.7704229999997</v>
      </c>
      <c r="M4881" s="282" t="e">
        <f>(INDEX(Tabla6[#All],MATCH(Tabla4[[#This Row],[Producto]],Tabla6[[#All],[PRODUCTO]],0),MATCH(Tabla4[[#This Row],[Mes]],Tabla6[#Headers],0)))*(1+Catalogos!$L$2)</f>
        <v>#N/A</v>
      </c>
      <c r="N4881" s="283" t="e">
        <f>+(Tabla4[[#This Row],[Precio Descontado]]-Tabla4[[#This Row],[Precio Base]])*Tabla4[[#This Row],[Cantidad]]</f>
        <v>#N/A</v>
      </c>
      <c r="O4881" s="284" t="e">
        <f>++Tabla4[[#This Row],[Utilidad Total]]/Tabla4[[#This Row],[Total]]</f>
        <v>#N/A</v>
      </c>
      <c r="P4881" s="282">
        <f>++Tabla4[[#This Row],[Precio Descontado]]*Tabla4[[#This Row],[Cantidad]]</f>
        <v>1936.7704229999997</v>
      </c>
      <c r="Q4881" s="282" t="e">
        <f>(INDEX(Tabla6[#All],MATCH(Tabla4[[#This Row],[Producto]],Tabla6[[#All],[PRODUCTO]],0),MATCH(Tabla4[[#This Row],[Mes]],Tabla6[#Headers],0)))</f>
        <v>#N/A</v>
      </c>
      <c r="R4881" s="282" t="e">
        <f>++Tabla4[[#This Row],[Precio Unitario Neto]]-Tabla4[[#This Row],[20.85%]]-Tabla4[[#This Row],[Costo]]</f>
        <v>#N/A</v>
      </c>
      <c r="S4881" s="282" t="e">
        <f>++Tabla4[[#This Row],[U. Bruta Uni]]*Tabla4[[#This Row],[Cantidad]]</f>
        <v>#N/A</v>
      </c>
      <c r="T4881" s="369" t="str">
        <f>VLOOKUP(Tabla4[[#This Row],[Producto]],Tabla6[#All],14,FALSE)</f>
        <v>Termico Solar</v>
      </c>
      <c r="U4881" s="284" t="e">
        <f>(IF(Tabla4[[#This Row],[Familia]]="termico solar",Tabla4[[#This Row],[Utilidad Total]]*6%,Tabla4[[#This Row],[Utilidad Total]]*11.5%))/Tabla4[[#This Row],[Total]]</f>
        <v>#N/A</v>
      </c>
      <c r="V4881" s="282" t="e">
        <f>+Tabla4[[#This Row],[Comisión Calculada]]*Tabla4[[#This Row],[Total]]</f>
        <v>#N/A</v>
      </c>
    </row>
    <row r="4882" spans="1:22" hidden="1" x14ac:dyDescent="0.25">
      <c r="A4882" s="100">
        <v>45869</v>
      </c>
      <c r="B4882" t="str">
        <f t="shared" si="241"/>
        <v>July</v>
      </c>
      <c r="C4882" s="46" t="s">
        <v>280</v>
      </c>
      <c r="F4882" s="366" t="s">
        <v>2559</v>
      </c>
      <c r="G4882" s="46" t="s">
        <v>83</v>
      </c>
      <c r="H4882" s="46">
        <v>3</v>
      </c>
      <c r="I4882" s="51">
        <v>8858.76</v>
      </c>
      <c r="J4882" s="281">
        <f>++Tabla4[[#This Row],[Precio Bruto]]*1.16</f>
        <v>10276.161599999999</v>
      </c>
      <c r="K4882" s="281">
        <f>+Tabla4[[#This Row],[Precio Unitario Neto]]*Tabla4[[#Headers],[20.85%]]</f>
        <v>2142.5796935999997</v>
      </c>
      <c r="L4882" s="282">
        <f>++Tabla4[[#This Row],[Precio Unitario Neto]]-Tabla4[[#This Row],[20.85%]]</f>
        <v>8133.5819063999998</v>
      </c>
      <c r="M4882" s="282" t="e">
        <f>(INDEX(Tabla6[#All],MATCH(Tabla4[[#This Row],[Producto]],Tabla6[[#All],[PRODUCTO]],0),MATCH(Tabla4[[#This Row],[Mes]],Tabla6[#Headers],0)))*(1+Catalogos!$L$2)</f>
        <v>#N/A</v>
      </c>
      <c r="N4882" s="283" t="e">
        <f>+(Tabla4[[#This Row],[Precio Descontado]]-Tabla4[[#This Row],[Precio Base]])*Tabla4[[#This Row],[Cantidad]]</f>
        <v>#N/A</v>
      </c>
      <c r="O4882" s="284" t="e">
        <f>++Tabla4[[#This Row],[Utilidad Total]]/Tabla4[[#This Row],[Total]]</f>
        <v>#N/A</v>
      </c>
      <c r="P4882" s="282">
        <f>++Tabla4[[#This Row],[Precio Descontado]]*Tabla4[[#This Row],[Cantidad]]</f>
        <v>24400.7457192</v>
      </c>
      <c r="Q4882" s="282" t="e">
        <f>(INDEX(Tabla6[#All],MATCH(Tabla4[[#This Row],[Producto]],Tabla6[[#All],[PRODUCTO]],0),MATCH(Tabla4[[#This Row],[Mes]],Tabla6[#Headers],0)))</f>
        <v>#N/A</v>
      </c>
      <c r="R4882" s="282" t="e">
        <f>++Tabla4[[#This Row],[Precio Unitario Neto]]-Tabla4[[#This Row],[20.85%]]-Tabla4[[#This Row],[Costo]]</f>
        <v>#N/A</v>
      </c>
      <c r="S4882" s="282" t="e">
        <f>++Tabla4[[#This Row],[U. Bruta Uni]]*Tabla4[[#This Row],[Cantidad]]</f>
        <v>#N/A</v>
      </c>
      <c r="T4882" s="369" t="str">
        <f>VLOOKUP(Tabla4[[#This Row],[Producto]],Tabla6[#All],14,FALSE)</f>
        <v>Termico Solar</v>
      </c>
      <c r="U4882" s="284" t="e">
        <f>(IF(Tabla4[[#This Row],[Familia]]="termico solar",Tabla4[[#This Row],[Utilidad Total]]*6%,Tabla4[[#This Row],[Utilidad Total]]*11.5%))/Tabla4[[#This Row],[Total]]</f>
        <v>#N/A</v>
      </c>
      <c r="V4882" s="282" t="e">
        <f>+Tabla4[[#This Row],[Comisión Calculada]]*Tabla4[[#This Row],[Total]]</f>
        <v>#N/A</v>
      </c>
    </row>
    <row r="4883" spans="1:22" hidden="1" x14ac:dyDescent="0.25">
      <c r="A4883" s="100">
        <v>45869</v>
      </c>
      <c r="B4883" t="str">
        <f t="shared" si="241"/>
        <v>July</v>
      </c>
      <c r="C4883" s="46" t="s">
        <v>280</v>
      </c>
      <c r="F4883" s="366" t="s">
        <v>2559</v>
      </c>
      <c r="G4883" s="46" t="s">
        <v>18</v>
      </c>
      <c r="H4883" s="46">
        <v>2</v>
      </c>
      <c r="I4883" s="51">
        <v>5367.65</v>
      </c>
      <c r="J4883" s="281">
        <f>++Tabla4[[#This Row],[Precio Bruto]]*1.16</f>
        <v>6226.4739999999993</v>
      </c>
      <c r="K4883" s="281">
        <f>+Tabla4[[#This Row],[Precio Unitario Neto]]*Tabla4[[#Headers],[20.85%]]</f>
        <v>1298.2198289999999</v>
      </c>
      <c r="L4883" s="282">
        <f>++Tabla4[[#This Row],[Precio Unitario Neto]]-Tabla4[[#This Row],[20.85%]]</f>
        <v>4928.2541709999996</v>
      </c>
      <c r="M4883" s="282" t="e">
        <f>(INDEX(Tabla6[#All],MATCH(Tabla4[[#This Row],[Producto]],Tabla6[[#All],[PRODUCTO]],0),MATCH(Tabla4[[#This Row],[Mes]],Tabla6[#Headers],0)))*(1+Catalogos!$L$2)</f>
        <v>#N/A</v>
      </c>
      <c r="N4883" s="283" t="e">
        <f>+(Tabla4[[#This Row],[Precio Descontado]]-Tabla4[[#This Row],[Precio Base]])*Tabla4[[#This Row],[Cantidad]]</f>
        <v>#N/A</v>
      </c>
      <c r="O4883" s="284" t="e">
        <f>++Tabla4[[#This Row],[Utilidad Total]]/Tabla4[[#This Row],[Total]]</f>
        <v>#N/A</v>
      </c>
      <c r="P4883" s="282">
        <f>++Tabla4[[#This Row],[Precio Descontado]]*Tabla4[[#This Row],[Cantidad]]</f>
        <v>9856.5083419999992</v>
      </c>
      <c r="Q4883" s="282" t="e">
        <f>(INDEX(Tabla6[#All],MATCH(Tabla4[[#This Row],[Producto]],Tabla6[[#All],[PRODUCTO]],0),MATCH(Tabla4[[#This Row],[Mes]],Tabla6[#Headers],0)))</f>
        <v>#N/A</v>
      </c>
      <c r="R4883" s="282" t="e">
        <f>++Tabla4[[#This Row],[Precio Unitario Neto]]-Tabla4[[#This Row],[20.85%]]-Tabla4[[#This Row],[Costo]]</f>
        <v>#N/A</v>
      </c>
      <c r="S4883" s="282" t="e">
        <f>++Tabla4[[#This Row],[U. Bruta Uni]]*Tabla4[[#This Row],[Cantidad]]</f>
        <v>#N/A</v>
      </c>
      <c r="T4883" s="369" t="str">
        <f>VLOOKUP(Tabla4[[#This Row],[Producto]],Tabla6[#All],14,FALSE)</f>
        <v>Termico Solar</v>
      </c>
      <c r="U4883" s="284" t="e">
        <f>(IF(Tabla4[[#This Row],[Familia]]="termico solar",Tabla4[[#This Row],[Utilidad Total]]*6%,Tabla4[[#This Row],[Utilidad Total]]*11.5%))/Tabla4[[#This Row],[Total]]</f>
        <v>#N/A</v>
      </c>
      <c r="V4883" s="282" t="e">
        <f>+Tabla4[[#This Row],[Comisión Calculada]]*Tabla4[[#This Row],[Total]]</f>
        <v>#N/A</v>
      </c>
    </row>
    <row r="4884" spans="1:22" hidden="1" x14ac:dyDescent="0.25">
      <c r="A4884" s="100">
        <v>45869</v>
      </c>
      <c r="B4884" t="str">
        <f t="shared" si="241"/>
        <v>July</v>
      </c>
      <c r="C4884" s="46" t="s">
        <v>280</v>
      </c>
      <c r="F4884" s="366" t="s">
        <v>2559</v>
      </c>
      <c r="G4884" s="46" t="s">
        <v>566</v>
      </c>
      <c r="H4884" s="46">
        <v>1</v>
      </c>
      <c r="I4884" s="51">
        <v>2109.4499999999998</v>
      </c>
      <c r="J4884" s="281">
        <f>++Tabla4[[#This Row],[Precio Bruto]]*1.16</f>
        <v>2446.9619999999995</v>
      </c>
      <c r="K4884" s="281">
        <f>+Tabla4[[#This Row],[Precio Unitario Neto]]*Tabla4[[#Headers],[20.85%]]</f>
        <v>510.19157699999988</v>
      </c>
      <c r="L4884" s="282">
        <f>++Tabla4[[#This Row],[Precio Unitario Neto]]-Tabla4[[#This Row],[20.85%]]</f>
        <v>1936.7704229999997</v>
      </c>
      <c r="M4884" s="282" t="e">
        <f>(INDEX(Tabla6[#All],MATCH(Tabla4[[#This Row],[Producto]],Tabla6[[#All],[PRODUCTO]],0),MATCH(Tabla4[[#This Row],[Mes]],Tabla6[#Headers],0)))*(1+Catalogos!$L$2)</f>
        <v>#N/A</v>
      </c>
      <c r="N4884" s="283" t="e">
        <f>+(Tabla4[[#This Row],[Precio Descontado]]-Tabla4[[#This Row],[Precio Base]])*Tabla4[[#This Row],[Cantidad]]</f>
        <v>#N/A</v>
      </c>
      <c r="O4884" s="284" t="e">
        <f>++Tabla4[[#This Row],[Utilidad Total]]/Tabla4[[#This Row],[Total]]</f>
        <v>#N/A</v>
      </c>
      <c r="P4884" s="282">
        <f>++Tabla4[[#This Row],[Precio Descontado]]*Tabla4[[#This Row],[Cantidad]]</f>
        <v>1936.7704229999997</v>
      </c>
      <c r="Q4884" s="282" t="e">
        <f>(INDEX(Tabla6[#All],MATCH(Tabla4[[#This Row],[Producto]],Tabla6[[#All],[PRODUCTO]],0),MATCH(Tabla4[[#This Row],[Mes]],Tabla6[#Headers],0)))</f>
        <v>#N/A</v>
      </c>
      <c r="R4884" s="282" t="e">
        <f>++Tabla4[[#This Row],[Precio Unitario Neto]]-Tabla4[[#This Row],[20.85%]]-Tabla4[[#This Row],[Costo]]</f>
        <v>#N/A</v>
      </c>
      <c r="S4884" s="282" t="e">
        <f>++Tabla4[[#This Row],[U. Bruta Uni]]*Tabla4[[#This Row],[Cantidad]]</f>
        <v>#N/A</v>
      </c>
      <c r="T4884" s="369" t="str">
        <f>VLOOKUP(Tabla4[[#This Row],[Producto]],Tabla6[#All],14,FALSE)</f>
        <v>Termico Solar</v>
      </c>
      <c r="U4884" s="284" t="e">
        <f>(IF(Tabla4[[#This Row],[Familia]]="termico solar",Tabla4[[#This Row],[Utilidad Total]]*6%,Tabla4[[#This Row],[Utilidad Total]]*11.5%))/Tabla4[[#This Row],[Total]]</f>
        <v>#N/A</v>
      </c>
      <c r="V4884" s="282" t="e">
        <f>+Tabla4[[#This Row],[Comisión Calculada]]*Tabla4[[#This Row],[Total]]</f>
        <v>#N/A</v>
      </c>
    </row>
    <row r="4885" spans="1:22" hidden="1" x14ac:dyDescent="0.25">
      <c r="A4885" s="100">
        <v>45869</v>
      </c>
      <c r="B4885" t="str">
        <f t="shared" si="241"/>
        <v>July</v>
      </c>
      <c r="C4885" s="46" t="s">
        <v>280</v>
      </c>
      <c r="F4885" s="366" t="s">
        <v>2559</v>
      </c>
      <c r="G4885" s="46" t="s">
        <v>394</v>
      </c>
      <c r="H4885" s="46">
        <v>9</v>
      </c>
      <c r="I4885" s="51">
        <v>108.1</v>
      </c>
      <c r="J4885" s="281">
        <f>++Tabla4[[#This Row],[Precio Bruto]]*1.16</f>
        <v>125.39599999999999</v>
      </c>
      <c r="K4885" s="281">
        <f>+Tabla4[[#This Row],[Precio Unitario Neto]]*Tabla4[[#Headers],[20.85%]]</f>
        <v>26.145065999999996</v>
      </c>
      <c r="L4885" s="282">
        <f>++Tabla4[[#This Row],[Precio Unitario Neto]]-Tabla4[[#This Row],[20.85%]]</f>
        <v>99.250933999999987</v>
      </c>
      <c r="M4885" s="282" t="e">
        <f>(INDEX(Tabla6[#All],MATCH(Tabla4[[#This Row],[Producto]],Tabla6[[#All],[PRODUCTO]],0),MATCH(Tabla4[[#This Row],[Mes]],Tabla6[#Headers],0)))*(1+Catalogos!$L$2)</f>
        <v>#N/A</v>
      </c>
      <c r="N4885" s="283" t="e">
        <f>+(Tabla4[[#This Row],[Precio Descontado]]-Tabla4[[#This Row],[Precio Base]])*Tabla4[[#This Row],[Cantidad]]</f>
        <v>#N/A</v>
      </c>
      <c r="O4885" s="284" t="e">
        <f>++Tabla4[[#This Row],[Utilidad Total]]/Tabla4[[#This Row],[Total]]</f>
        <v>#N/A</v>
      </c>
      <c r="P4885" s="282">
        <f>++Tabla4[[#This Row],[Precio Descontado]]*Tabla4[[#This Row],[Cantidad]]</f>
        <v>893.25840599999992</v>
      </c>
      <c r="Q4885" s="282" t="e">
        <f>(INDEX(Tabla6[#All],MATCH(Tabla4[[#This Row],[Producto]],Tabla6[[#All],[PRODUCTO]],0),MATCH(Tabla4[[#This Row],[Mes]],Tabla6[#Headers],0)))</f>
        <v>#N/A</v>
      </c>
      <c r="R4885" s="282" t="e">
        <f>++Tabla4[[#This Row],[Precio Unitario Neto]]-Tabla4[[#This Row],[20.85%]]-Tabla4[[#This Row],[Costo]]</f>
        <v>#N/A</v>
      </c>
      <c r="S4885" s="282" t="e">
        <f>++Tabla4[[#This Row],[U. Bruta Uni]]*Tabla4[[#This Row],[Cantidad]]</f>
        <v>#N/A</v>
      </c>
      <c r="T4885" s="369" t="str">
        <f>VLOOKUP(Tabla4[[#This Row],[Producto]],Tabla6[#All],14,FALSE)</f>
        <v>Termico Solar</v>
      </c>
      <c r="U4885" s="284" t="e">
        <f>(IF(Tabla4[[#This Row],[Familia]]="termico solar",Tabla4[[#This Row],[Utilidad Total]]*6%,Tabla4[[#This Row],[Utilidad Total]]*11.5%))/Tabla4[[#This Row],[Total]]</f>
        <v>#N/A</v>
      </c>
      <c r="V4885" s="282" t="e">
        <f>+Tabla4[[#This Row],[Comisión Calculada]]*Tabla4[[#This Row],[Total]]</f>
        <v>#N/A</v>
      </c>
    </row>
    <row r="4886" spans="1:22" hidden="1" x14ac:dyDescent="0.25">
      <c r="A4886" s="100">
        <v>45869</v>
      </c>
      <c r="B4886" t="str">
        <f t="shared" si="241"/>
        <v>July</v>
      </c>
      <c r="C4886" s="46" t="s">
        <v>280</v>
      </c>
      <c r="F4886" s="366" t="s">
        <v>2560</v>
      </c>
      <c r="G4886" s="46" t="s">
        <v>566</v>
      </c>
      <c r="H4886" s="46">
        <v>2</v>
      </c>
      <c r="I4886" s="51">
        <v>2109.4499999999998</v>
      </c>
      <c r="J4886" s="281">
        <f>++Tabla4[[#This Row],[Precio Bruto]]*1.16</f>
        <v>2446.9619999999995</v>
      </c>
      <c r="K4886" s="281">
        <f>+Tabla4[[#This Row],[Precio Unitario Neto]]*Tabla4[[#Headers],[20.85%]]</f>
        <v>510.19157699999988</v>
      </c>
      <c r="L4886" s="282">
        <f>++Tabla4[[#This Row],[Precio Unitario Neto]]-Tabla4[[#This Row],[20.85%]]</f>
        <v>1936.7704229999997</v>
      </c>
      <c r="M4886" s="282" t="e">
        <f>(INDEX(Tabla6[#All],MATCH(Tabla4[[#This Row],[Producto]],Tabla6[[#All],[PRODUCTO]],0),MATCH(Tabla4[[#This Row],[Mes]],Tabla6[#Headers],0)))*(1+Catalogos!$L$2)</f>
        <v>#N/A</v>
      </c>
      <c r="N4886" s="283" t="e">
        <f>+(Tabla4[[#This Row],[Precio Descontado]]-Tabla4[[#This Row],[Precio Base]])*Tabla4[[#This Row],[Cantidad]]</f>
        <v>#N/A</v>
      </c>
      <c r="O4886" s="284" t="e">
        <f>++Tabla4[[#This Row],[Utilidad Total]]/Tabla4[[#This Row],[Total]]</f>
        <v>#N/A</v>
      </c>
      <c r="P4886" s="282">
        <f>++Tabla4[[#This Row],[Precio Descontado]]*Tabla4[[#This Row],[Cantidad]]</f>
        <v>3873.5408459999994</v>
      </c>
      <c r="Q4886" s="282" t="e">
        <f>(INDEX(Tabla6[#All],MATCH(Tabla4[[#This Row],[Producto]],Tabla6[[#All],[PRODUCTO]],0),MATCH(Tabla4[[#This Row],[Mes]],Tabla6[#Headers],0)))</f>
        <v>#N/A</v>
      </c>
      <c r="R4886" s="282" t="e">
        <f>++Tabla4[[#This Row],[Precio Unitario Neto]]-Tabla4[[#This Row],[20.85%]]-Tabla4[[#This Row],[Costo]]</f>
        <v>#N/A</v>
      </c>
      <c r="S4886" s="282" t="e">
        <f>++Tabla4[[#This Row],[U. Bruta Uni]]*Tabla4[[#This Row],[Cantidad]]</f>
        <v>#N/A</v>
      </c>
      <c r="T4886" s="369" t="str">
        <f>VLOOKUP(Tabla4[[#This Row],[Producto]],Tabla6[#All],14,FALSE)</f>
        <v>Termico Solar</v>
      </c>
      <c r="U4886" s="284" t="e">
        <f>(IF(Tabla4[[#This Row],[Familia]]="termico solar",Tabla4[[#This Row],[Utilidad Total]]*6%,Tabla4[[#This Row],[Utilidad Total]]*11.5%))/Tabla4[[#This Row],[Total]]</f>
        <v>#N/A</v>
      </c>
      <c r="V4886" s="282" t="e">
        <f>+Tabla4[[#This Row],[Comisión Calculada]]*Tabla4[[#This Row],[Total]]</f>
        <v>#N/A</v>
      </c>
    </row>
    <row r="4887" spans="1:22" hidden="1" x14ac:dyDescent="0.25">
      <c r="A4887" s="100">
        <v>45869</v>
      </c>
      <c r="B4887" t="str">
        <f t="shared" si="241"/>
        <v>July</v>
      </c>
      <c r="C4887" s="46" t="s">
        <v>280</v>
      </c>
      <c r="F4887" s="366" t="s">
        <v>2560</v>
      </c>
      <c r="G4887" s="46" t="s">
        <v>208</v>
      </c>
      <c r="H4887" s="46">
        <v>1</v>
      </c>
      <c r="I4887" s="51">
        <v>189.75</v>
      </c>
      <c r="J4887" s="281">
        <f>++Tabla4[[#This Row],[Precio Bruto]]*1.16</f>
        <v>220.10999999999999</v>
      </c>
      <c r="K4887" s="281">
        <f>+Tabla4[[#This Row],[Precio Unitario Neto]]*Tabla4[[#Headers],[20.85%]]</f>
        <v>45.892934999999994</v>
      </c>
      <c r="L4887" s="282">
        <f>++Tabla4[[#This Row],[Precio Unitario Neto]]-Tabla4[[#This Row],[20.85%]]</f>
        <v>174.21706499999999</v>
      </c>
      <c r="M4887" s="282" t="e">
        <f>(INDEX(Tabla6[#All],MATCH(Tabla4[[#This Row],[Producto]],Tabla6[[#All],[PRODUCTO]],0),MATCH(Tabla4[[#This Row],[Mes]],Tabla6[#Headers],0)))*(1+Catalogos!$L$2)</f>
        <v>#N/A</v>
      </c>
      <c r="N4887" s="283" t="e">
        <f>+(Tabla4[[#This Row],[Precio Descontado]]-Tabla4[[#This Row],[Precio Base]])*Tabla4[[#This Row],[Cantidad]]</f>
        <v>#N/A</v>
      </c>
      <c r="O4887" s="284" t="e">
        <f>++Tabla4[[#This Row],[Utilidad Total]]/Tabla4[[#This Row],[Total]]</f>
        <v>#N/A</v>
      </c>
      <c r="P4887" s="282">
        <f>++Tabla4[[#This Row],[Precio Descontado]]*Tabla4[[#This Row],[Cantidad]]</f>
        <v>174.21706499999999</v>
      </c>
      <c r="Q4887" s="282" t="e">
        <f>(INDEX(Tabla6[#All],MATCH(Tabla4[[#This Row],[Producto]],Tabla6[[#All],[PRODUCTO]],0),MATCH(Tabla4[[#This Row],[Mes]],Tabla6[#Headers],0)))</f>
        <v>#N/A</v>
      </c>
      <c r="R4887" s="282" t="e">
        <f>++Tabla4[[#This Row],[Precio Unitario Neto]]-Tabla4[[#This Row],[20.85%]]-Tabla4[[#This Row],[Costo]]</f>
        <v>#N/A</v>
      </c>
      <c r="S4887" s="282" t="e">
        <f>++Tabla4[[#This Row],[U. Bruta Uni]]*Tabla4[[#This Row],[Cantidad]]</f>
        <v>#N/A</v>
      </c>
      <c r="T4887" s="369" t="str">
        <f>VLOOKUP(Tabla4[[#This Row],[Producto]],Tabla6[#All],14,FALSE)</f>
        <v>Termico Solar</v>
      </c>
      <c r="U4887" s="284" t="e">
        <f>(IF(Tabla4[[#This Row],[Familia]]="termico solar",Tabla4[[#This Row],[Utilidad Total]]*6%,Tabla4[[#This Row],[Utilidad Total]]*11.5%))/Tabla4[[#This Row],[Total]]</f>
        <v>#N/A</v>
      </c>
      <c r="V4887" s="282" t="e">
        <f>+Tabla4[[#This Row],[Comisión Calculada]]*Tabla4[[#This Row],[Total]]</f>
        <v>#N/A</v>
      </c>
    </row>
    <row r="4888" spans="1:22" hidden="1" x14ac:dyDescent="0.25">
      <c r="A4888" s="100">
        <v>45869</v>
      </c>
      <c r="B4888" t="str">
        <f t="shared" si="241"/>
        <v>July</v>
      </c>
      <c r="C4888" s="46" t="s">
        <v>280</v>
      </c>
      <c r="F4888" s="366" t="s">
        <v>2561</v>
      </c>
      <c r="G4888" s="46" t="s">
        <v>83</v>
      </c>
      <c r="H4888" s="46">
        <v>1</v>
      </c>
      <c r="I4888" s="51">
        <v>8858.76</v>
      </c>
      <c r="J4888" s="281">
        <f>++Tabla4[[#This Row],[Precio Bruto]]*1.16</f>
        <v>10276.161599999999</v>
      </c>
      <c r="K4888" s="281">
        <f>+Tabla4[[#This Row],[Precio Unitario Neto]]*Tabla4[[#Headers],[20.85%]]</f>
        <v>2142.5796935999997</v>
      </c>
      <c r="L4888" s="282">
        <f>++Tabla4[[#This Row],[Precio Unitario Neto]]-Tabla4[[#This Row],[20.85%]]</f>
        <v>8133.5819063999998</v>
      </c>
      <c r="M4888" s="282" t="e">
        <f>(INDEX(Tabla6[#All],MATCH(Tabla4[[#This Row],[Producto]],Tabla6[[#All],[PRODUCTO]],0),MATCH(Tabla4[[#This Row],[Mes]],Tabla6[#Headers],0)))*(1+Catalogos!$L$2)</f>
        <v>#N/A</v>
      </c>
      <c r="N4888" s="283" t="e">
        <f>+(Tabla4[[#This Row],[Precio Descontado]]-Tabla4[[#This Row],[Precio Base]])*Tabla4[[#This Row],[Cantidad]]</f>
        <v>#N/A</v>
      </c>
      <c r="O4888" s="284" t="e">
        <f>++Tabla4[[#This Row],[Utilidad Total]]/Tabla4[[#This Row],[Total]]</f>
        <v>#N/A</v>
      </c>
      <c r="P4888" s="282">
        <f>++Tabla4[[#This Row],[Precio Descontado]]*Tabla4[[#This Row],[Cantidad]]</f>
        <v>8133.5819063999998</v>
      </c>
      <c r="Q4888" s="282" t="e">
        <f>(INDEX(Tabla6[#All],MATCH(Tabla4[[#This Row],[Producto]],Tabla6[[#All],[PRODUCTO]],0),MATCH(Tabla4[[#This Row],[Mes]],Tabla6[#Headers],0)))</f>
        <v>#N/A</v>
      </c>
      <c r="R4888" s="282" t="e">
        <f>++Tabla4[[#This Row],[Precio Unitario Neto]]-Tabla4[[#This Row],[20.85%]]-Tabla4[[#This Row],[Costo]]</f>
        <v>#N/A</v>
      </c>
      <c r="S4888" s="282" t="e">
        <f>++Tabla4[[#This Row],[U. Bruta Uni]]*Tabla4[[#This Row],[Cantidad]]</f>
        <v>#N/A</v>
      </c>
      <c r="T4888" s="369" t="str">
        <f>VLOOKUP(Tabla4[[#This Row],[Producto]],Tabla6[#All],14,FALSE)</f>
        <v>Termico Solar</v>
      </c>
      <c r="U4888" s="284" t="e">
        <f>(IF(Tabla4[[#This Row],[Familia]]="termico solar",Tabla4[[#This Row],[Utilidad Total]]*6%,Tabla4[[#This Row],[Utilidad Total]]*11.5%))/Tabla4[[#This Row],[Total]]</f>
        <v>#N/A</v>
      </c>
      <c r="V4888" s="282" t="e">
        <f>+Tabla4[[#This Row],[Comisión Calculada]]*Tabla4[[#This Row],[Total]]</f>
        <v>#N/A</v>
      </c>
    </row>
    <row r="4889" spans="1:22" hidden="1" x14ac:dyDescent="0.25">
      <c r="A4889" s="100">
        <v>45869</v>
      </c>
      <c r="B4889" t="str">
        <f t="shared" si="241"/>
        <v>July</v>
      </c>
      <c r="C4889" s="46" t="s">
        <v>280</v>
      </c>
      <c r="F4889" s="366" t="s">
        <v>2561</v>
      </c>
      <c r="G4889" s="46" t="s">
        <v>208</v>
      </c>
      <c r="H4889" s="46">
        <v>5</v>
      </c>
      <c r="I4889" s="51">
        <v>189.75</v>
      </c>
      <c r="J4889" s="281">
        <f>++Tabla4[[#This Row],[Precio Bruto]]*1.16</f>
        <v>220.10999999999999</v>
      </c>
      <c r="K4889" s="281">
        <f>+Tabla4[[#This Row],[Precio Unitario Neto]]*Tabla4[[#Headers],[20.85%]]</f>
        <v>45.892934999999994</v>
      </c>
      <c r="L4889" s="282">
        <f>++Tabla4[[#This Row],[Precio Unitario Neto]]-Tabla4[[#This Row],[20.85%]]</f>
        <v>174.21706499999999</v>
      </c>
      <c r="M4889" s="282" t="e">
        <f>(INDEX(Tabla6[#All],MATCH(Tabla4[[#This Row],[Producto]],Tabla6[[#All],[PRODUCTO]],0),MATCH(Tabla4[[#This Row],[Mes]],Tabla6[#Headers],0)))*(1+Catalogos!$L$2)</f>
        <v>#N/A</v>
      </c>
      <c r="N4889" s="283" t="e">
        <f>+(Tabla4[[#This Row],[Precio Descontado]]-Tabla4[[#This Row],[Precio Base]])*Tabla4[[#This Row],[Cantidad]]</f>
        <v>#N/A</v>
      </c>
      <c r="O4889" s="284" t="e">
        <f>++Tabla4[[#This Row],[Utilidad Total]]/Tabla4[[#This Row],[Total]]</f>
        <v>#N/A</v>
      </c>
      <c r="P4889" s="282">
        <f>++Tabla4[[#This Row],[Precio Descontado]]*Tabla4[[#This Row],[Cantidad]]</f>
        <v>871.08532500000001</v>
      </c>
      <c r="Q4889" s="282" t="e">
        <f>(INDEX(Tabla6[#All],MATCH(Tabla4[[#This Row],[Producto]],Tabla6[[#All],[PRODUCTO]],0),MATCH(Tabla4[[#This Row],[Mes]],Tabla6[#Headers],0)))</f>
        <v>#N/A</v>
      </c>
      <c r="R4889" s="282" t="e">
        <f>++Tabla4[[#This Row],[Precio Unitario Neto]]-Tabla4[[#This Row],[20.85%]]-Tabla4[[#This Row],[Costo]]</f>
        <v>#N/A</v>
      </c>
      <c r="S4889" s="282" t="e">
        <f>++Tabla4[[#This Row],[U. Bruta Uni]]*Tabla4[[#This Row],[Cantidad]]</f>
        <v>#N/A</v>
      </c>
      <c r="T4889" s="369" t="str">
        <f>VLOOKUP(Tabla4[[#This Row],[Producto]],Tabla6[#All],14,FALSE)</f>
        <v>Termico Solar</v>
      </c>
      <c r="U4889" s="284" t="e">
        <f>(IF(Tabla4[[#This Row],[Familia]]="termico solar",Tabla4[[#This Row],[Utilidad Total]]*6%,Tabla4[[#This Row],[Utilidad Total]]*11.5%))/Tabla4[[#This Row],[Total]]</f>
        <v>#N/A</v>
      </c>
      <c r="V4889" s="282" t="e">
        <f>+Tabla4[[#This Row],[Comisión Calculada]]*Tabla4[[#This Row],[Total]]</f>
        <v>#N/A</v>
      </c>
    </row>
    <row r="4890" spans="1:22" hidden="1" x14ac:dyDescent="0.25">
      <c r="A4890" s="100">
        <v>45869</v>
      </c>
      <c r="B4890" t="str">
        <f t="shared" si="241"/>
        <v>July</v>
      </c>
      <c r="C4890" s="46" t="s">
        <v>280</v>
      </c>
      <c r="F4890" s="366" t="s">
        <v>2562</v>
      </c>
      <c r="G4890" s="46" t="s">
        <v>16</v>
      </c>
      <c r="H4890" s="46">
        <v>3</v>
      </c>
      <c r="I4890" s="51">
        <v>4103.8499999999995</v>
      </c>
      <c r="J4890" s="281">
        <f>++Tabla4[[#This Row],[Precio Bruto]]*1.16</f>
        <v>4760.4659999999994</v>
      </c>
      <c r="K4890" s="281">
        <f>+Tabla4[[#This Row],[Precio Unitario Neto]]*Tabla4[[#Headers],[20.85%]]</f>
        <v>992.55716099999984</v>
      </c>
      <c r="L4890" s="282">
        <f>++Tabla4[[#This Row],[Precio Unitario Neto]]-Tabla4[[#This Row],[20.85%]]</f>
        <v>3767.9088389999997</v>
      </c>
      <c r="M4890" s="282" t="e">
        <f>(INDEX(Tabla6[#All],MATCH(Tabla4[[#This Row],[Producto]],Tabla6[[#All],[PRODUCTO]],0),MATCH(Tabla4[[#This Row],[Mes]],Tabla6[#Headers],0)))*(1+Catalogos!$L$2)</f>
        <v>#N/A</v>
      </c>
      <c r="N4890" s="283" t="e">
        <f>+(Tabla4[[#This Row],[Precio Descontado]]-Tabla4[[#This Row],[Precio Base]])*Tabla4[[#This Row],[Cantidad]]</f>
        <v>#N/A</v>
      </c>
      <c r="O4890" s="284" t="e">
        <f>++Tabla4[[#This Row],[Utilidad Total]]/Tabla4[[#This Row],[Total]]</f>
        <v>#N/A</v>
      </c>
      <c r="P4890" s="282">
        <f>++Tabla4[[#This Row],[Precio Descontado]]*Tabla4[[#This Row],[Cantidad]]</f>
        <v>11303.726516999999</v>
      </c>
      <c r="Q4890" s="282" t="e">
        <f>(INDEX(Tabla6[#All],MATCH(Tabla4[[#This Row],[Producto]],Tabla6[[#All],[PRODUCTO]],0),MATCH(Tabla4[[#This Row],[Mes]],Tabla6[#Headers],0)))</f>
        <v>#N/A</v>
      </c>
      <c r="R4890" s="282" t="e">
        <f>++Tabla4[[#This Row],[Precio Unitario Neto]]-Tabla4[[#This Row],[20.85%]]-Tabla4[[#This Row],[Costo]]</f>
        <v>#N/A</v>
      </c>
      <c r="S4890" s="282" t="e">
        <f>++Tabla4[[#This Row],[U. Bruta Uni]]*Tabla4[[#This Row],[Cantidad]]</f>
        <v>#N/A</v>
      </c>
      <c r="T4890" s="369" t="str">
        <f>VLOOKUP(Tabla4[[#This Row],[Producto]],Tabla6[#All],14,FALSE)</f>
        <v>Termico Solar</v>
      </c>
      <c r="U4890" s="284" t="e">
        <f>(IF(Tabla4[[#This Row],[Familia]]="termico solar",Tabla4[[#This Row],[Utilidad Total]]*6%,Tabla4[[#This Row],[Utilidad Total]]*11.5%))/Tabla4[[#This Row],[Total]]</f>
        <v>#N/A</v>
      </c>
      <c r="V4890" s="282" t="e">
        <f>+Tabla4[[#This Row],[Comisión Calculada]]*Tabla4[[#This Row],[Total]]</f>
        <v>#N/A</v>
      </c>
    </row>
    <row r="4891" spans="1:22" hidden="1" x14ac:dyDescent="0.25">
      <c r="A4891" s="100">
        <v>45869</v>
      </c>
      <c r="B4891" t="str">
        <f t="shared" si="241"/>
        <v>July</v>
      </c>
      <c r="C4891" s="46" t="s">
        <v>280</v>
      </c>
      <c r="F4891" s="366" t="s">
        <v>2563</v>
      </c>
      <c r="G4891" s="46" t="s">
        <v>20</v>
      </c>
      <c r="H4891" s="46">
        <v>1</v>
      </c>
      <c r="I4891" s="51">
        <v>7751.98</v>
      </c>
      <c r="J4891" s="281">
        <f>++Tabla4[[#This Row],[Precio Bruto]]*1.16</f>
        <v>8992.2967999999983</v>
      </c>
      <c r="K4891" s="281">
        <f>+Tabla4[[#This Row],[Precio Unitario Neto]]*Tabla4[[#Headers],[20.85%]]</f>
        <v>1874.8938827999996</v>
      </c>
      <c r="L4891" s="282">
        <f>++Tabla4[[#This Row],[Precio Unitario Neto]]-Tabla4[[#This Row],[20.85%]]</f>
        <v>7117.4029171999991</v>
      </c>
      <c r="M4891" s="282" t="e">
        <f>(INDEX(Tabla6[#All],MATCH(Tabla4[[#This Row],[Producto]],Tabla6[[#All],[PRODUCTO]],0),MATCH(Tabla4[[#This Row],[Mes]],Tabla6[#Headers],0)))*(1+Catalogos!$L$2)</f>
        <v>#N/A</v>
      </c>
      <c r="N4891" s="283" t="e">
        <f>+(Tabla4[[#This Row],[Precio Descontado]]-Tabla4[[#This Row],[Precio Base]])*Tabla4[[#This Row],[Cantidad]]</f>
        <v>#N/A</v>
      </c>
      <c r="O4891" s="284" t="e">
        <f>++Tabla4[[#This Row],[Utilidad Total]]/Tabla4[[#This Row],[Total]]</f>
        <v>#N/A</v>
      </c>
      <c r="P4891" s="282">
        <f>++Tabla4[[#This Row],[Precio Descontado]]*Tabla4[[#This Row],[Cantidad]]</f>
        <v>7117.4029171999991</v>
      </c>
      <c r="Q4891" s="282" t="e">
        <f>(INDEX(Tabla6[#All],MATCH(Tabla4[[#This Row],[Producto]],Tabla6[[#All],[PRODUCTO]],0),MATCH(Tabla4[[#This Row],[Mes]],Tabla6[#Headers],0)))</f>
        <v>#N/A</v>
      </c>
      <c r="R4891" s="282" t="e">
        <f>++Tabla4[[#This Row],[Precio Unitario Neto]]-Tabla4[[#This Row],[20.85%]]-Tabla4[[#This Row],[Costo]]</f>
        <v>#N/A</v>
      </c>
      <c r="S4891" s="282" t="e">
        <f>++Tabla4[[#This Row],[U. Bruta Uni]]*Tabla4[[#This Row],[Cantidad]]</f>
        <v>#N/A</v>
      </c>
      <c r="T4891" s="369" t="str">
        <f>VLOOKUP(Tabla4[[#This Row],[Producto]],Tabla6[#All],14,FALSE)</f>
        <v>Termico Solar</v>
      </c>
      <c r="U4891" s="284" t="e">
        <f>(IF(Tabla4[[#This Row],[Familia]]="termico solar",Tabla4[[#This Row],[Utilidad Total]]*6%,Tabla4[[#This Row],[Utilidad Total]]*11.5%))/Tabla4[[#This Row],[Total]]</f>
        <v>#N/A</v>
      </c>
      <c r="V4891" s="282" t="e">
        <f>+Tabla4[[#This Row],[Comisión Calculada]]*Tabla4[[#This Row],[Total]]</f>
        <v>#N/A</v>
      </c>
    </row>
    <row r="4892" spans="1:22" hidden="1" x14ac:dyDescent="0.25">
      <c r="A4892" s="100">
        <v>45869</v>
      </c>
      <c r="B4892" t="str">
        <f t="shared" si="241"/>
        <v>July</v>
      </c>
      <c r="C4892" s="46" t="s">
        <v>280</v>
      </c>
      <c r="F4892" s="366" t="s">
        <v>2564</v>
      </c>
      <c r="G4892" s="46" t="s">
        <v>566</v>
      </c>
      <c r="H4892" s="46">
        <v>2</v>
      </c>
      <c r="I4892" s="51">
        <v>2109.4499999999998</v>
      </c>
      <c r="J4892" s="281">
        <f>++Tabla4[[#This Row],[Precio Bruto]]*1.16</f>
        <v>2446.9619999999995</v>
      </c>
      <c r="K4892" s="281">
        <f>+Tabla4[[#This Row],[Precio Unitario Neto]]*Tabla4[[#Headers],[20.85%]]</f>
        <v>510.19157699999988</v>
      </c>
      <c r="L4892" s="282">
        <f>++Tabla4[[#This Row],[Precio Unitario Neto]]-Tabla4[[#This Row],[20.85%]]</f>
        <v>1936.7704229999997</v>
      </c>
      <c r="M4892" s="282" t="e">
        <f>(INDEX(Tabla6[#All],MATCH(Tabla4[[#This Row],[Producto]],Tabla6[[#All],[PRODUCTO]],0),MATCH(Tabla4[[#This Row],[Mes]],Tabla6[#Headers],0)))*(1+Catalogos!$L$2)</f>
        <v>#N/A</v>
      </c>
      <c r="N4892" s="283" t="e">
        <f>+(Tabla4[[#This Row],[Precio Descontado]]-Tabla4[[#This Row],[Precio Base]])*Tabla4[[#This Row],[Cantidad]]</f>
        <v>#N/A</v>
      </c>
      <c r="O4892" s="284" t="e">
        <f>++Tabla4[[#This Row],[Utilidad Total]]/Tabla4[[#This Row],[Total]]</f>
        <v>#N/A</v>
      </c>
      <c r="P4892" s="282">
        <f>++Tabla4[[#This Row],[Precio Descontado]]*Tabla4[[#This Row],[Cantidad]]</f>
        <v>3873.5408459999994</v>
      </c>
      <c r="Q4892" s="282" t="e">
        <f>(INDEX(Tabla6[#All],MATCH(Tabla4[[#This Row],[Producto]],Tabla6[[#All],[PRODUCTO]],0),MATCH(Tabla4[[#This Row],[Mes]],Tabla6[#Headers],0)))</f>
        <v>#N/A</v>
      </c>
      <c r="R4892" s="282" t="e">
        <f>++Tabla4[[#This Row],[Precio Unitario Neto]]-Tabla4[[#This Row],[20.85%]]-Tabla4[[#This Row],[Costo]]</f>
        <v>#N/A</v>
      </c>
      <c r="S4892" s="282" t="e">
        <f>++Tabla4[[#This Row],[U. Bruta Uni]]*Tabla4[[#This Row],[Cantidad]]</f>
        <v>#N/A</v>
      </c>
      <c r="T4892" s="369" t="str">
        <f>VLOOKUP(Tabla4[[#This Row],[Producto]],Tabla6[#All],14,FALSE)</f>
        <v>Termico Solar</v>
      </c>
      <c r="U4892" s="284" t="e">
        <f>(IF(Tabla4[[#This Row],[Familia]]="termico solar",Tabla4[[#This Row],[Utilidad Total]]*6%,Tabla4[[#This Row],[Utilidad Total]]*11.5%))/Tabla4[[#This Row],[Total]]</f>
        <v>#N/A</v>
      </c>
      <c r="V4892" s="282" t="e">
        <f>+Tabla4[[#This Row],[Comisión Calculada]]*Tabla4[[#This Row],[Total]]</f>
        <v>#N/A</v>
      </c>
    </row>
    <row r="4893" spans="1:22" hidden="1" x14ac:dyDescent="0.25">
      <c r="A4893" s="100">
        <v>45869</v>
      </c>
      <c r="B4893" t="str">
        <f t="shared" si="241"/>
        <v>July</v>
      </c>
      <c r="C4893" s="46" t="s">
        <v>280</v>
      </c>
      <c r="F4893" s="366" t="s">
        <v>2565</v>
      </c>
      <c r="G4893" s="46" t="s">
        <v>208</v>
      </c>
      <c r="H4893" s="46">
        <v>1</v>
      </c>
      <c r="I4893" s="51">
        <v>189.75</v>
      </c>
      <c r="J4893" s="281">
        <f>++Tabla4[[#This Row],[Precio Bruto]]*1.16</f>
        <v>220.10999999999999</v>
      </c>
      <c r="K4893" s="281">
        <f>+Tabla4[[#This Row],[Precio Unitario Neto]]*Tabla4[[#Headers],[20.85%]]</f>
        <v>45.892934999999994</v>
      </c>
      <c r="L4893" s="282">
        <f>++Tabla4[[#This Row],[Precio Unitario Neto]]-Tabla4[[#This Row],[20.85%]]</f>
        <v>174.21706499999999</v>
      </c>
      <c r="M4893" s="282" t="e">
        <f>(INDEX(Tabla6[#All],MATCH(Tabla4[[#This Row],[Producto]],Tabla6[[#All],[PRODUCTO]],0),MATCH(Tabla4[[#This Row],[Mes]],Tabla6[#Headers],0)))*(1+Catalogos!$L$2)</f>
        <v>#N/A</v>
      </c>
      <c r="N4893" s="283" t="e">
        <f>+(Tabla4[[#This Row],[Precio Descontado]]-Tabla4[[#This Row],[Precio Base]])*Tabla4[[#This Row],[Cantidad]]</f>
        <v>#N/A</v>
      </c>
      <c r="O4893" s="284" t="e">
        <f>++Tabla4[[#This Row],[Utilidad Total]]/Tabla4[[#This Row],[Total]]</f>
        <v>#N/A</v>
      </c>
      <c r="P4893" s="282">
        <f>++Tabla4[[#This Row],[Precio Descontado]]*Tabla4[[#This Row],[Cantidad]]</f>
        <v>174.21706499999999</v>
      </c>
      <c r="Q4893" s="282" t="e">
        <f>(INDEX(Tabla6[#All],MATCH(Tabla4[[#This Row],[Producto]],Tabla6[[#All],[PRODUCTO]],0),MATCH(Tabla4[[#This Row],[Mes]],Tabla6[#Headers],0)))</f>
        <v>#N/A</v>
      </c>
      <c r="R4893" s="282" t="e">
        <f>++Tabla4[[#This Row],[Precio Unitario Neto]]-Tabla4[[#This Row],[20.85%]]-Tabla4[[#This Row],[Costo]]</f>
        <v>#N/A</v>
      </c>
      <c r="S4893" s="282" t="e">
        <f>++Tabla4[[#This Row],[U. Bruta Uni]]*Tabla4[[#This Row],[Cantidad]]</f>
        <v>#N/A</v>
      </c>
      <c r="T4893" s="369" t="str">
        <f>VLOOKUP(Tabla4[[#This Row],[Producto]],Tabla6[#All],14,FALSE)</f>
        <v>Termico Solar</v>
      </c>
      <c r="U4893" s="284" t="e">
        <f>(IF(Tabla4[[#This Row],[Familia]]="termico solar",Tabla4[[#This Row],[Utilidad Total]]*6%,Tabla4[[#This Row],[Utilidad Total]]*11.5%))/Tabla4[[#This Row],[Total]]</f>
        <v>#N/A</v>
      </c>
      <c r="V4893" s="282" t="e">
        <f>+Tabla4[[#This Row],[Comisión Calculada]]*Tabla4[[#This Row],[Total]]</f>
        <v>#N/A</v>
      </c>
    </row>
    <row r="4894" spans="1:22" hidden="1" x14ac:dyDescent="0.25">
      <c r="A4894" s="100">
        <v>45869</v>
      </c>
      <c r="B4894" t="str">
        <f t="shared" si="241"/>
        <v>July</v>
      </c>
      <c r="C4894" s="46" t="s">
        <v>280</v>
      </c>
      <c r="F4894" s="366" t="s">
        <v>2566</v>
      </c>
      <c r="G4894" s="46" t="s">
        <v>18</v>
      </c>
      <c r="H4894" s="46">
        <v>1</v>
      </c>
      <c r="I4894" s="51">
        <v>5367.65</v>
      </c>
      <c r="J4894" s="281">
        <f>++Tabla4[[#This Row],[Precio Bruto]]*1.16</f>
        <v>6226.4739999999993</v>
      </c>
      <c r="K4894" s="281">
        <f>+Tabla4[[#This Row],[Precio Unitario Neto]]*Tabla4[[#Headers],[20.85%]]</f>
        <v>1298.2198289999999</v>
      </c>
      <c r="L4894" s="282">
        <f>++Tabla4[[#This Row],[Precio Unitario Neto]]-Tabla4[[#This Row],[20.85%]]</f>
        <v>4928.2541709999996</v>
      </c>
      <c r="M4894" s="282" t="e">
        <f>(INDEX(Tabla6[#All],MATCH(Tabla4[[#This Row],[Producto]],Tabla6[[#All],[PRODUCTO]],0),MATCH(Tabla4[[#This Row],[Mes]],Tabla6[#Headers],0)))*(1+Catalogos!$L$2)</f>
        <v>#N/A</v>
      </c>
      <c r="N4894" s="283" t="e">
        <f>+(Tabla4[[#This Row],[Precio Descontado]]-Tabla4[[#This Row],[Precio Base]])*Tabla4[[#This Row],[Cantidad]]</f>
        <v>#N/A</v>
      </c>
      <c r="O4894" s="284" t="e">
        <f>++Tabla4[[#This Row],[Utilidad Total]]/Tabla4[[#This Row],[Total]]</f>
        <v>#N/A</v>
      </c>
      <c r="P4894" s="282">
        <f>++Tabla4[[#This Row],[Precio Descontado]]*Tabla4[[#This Row],[Cantidad]]</f>
        <v>4928.2541709999996</v>
      </c>
      <c r="Q4894" s="282" t="e">
        <f>(INDEX(Tabla6[#All],MATCH(Tabla4[[#This Row],[Producto]],Tabla6[[#All],[PRODUCTO]],0),MATCH(Tabla4[[#This Row],[Mes]],Tabla6[#Headers],0)))</f>
        <v>#N/A</v>
      </c>
      <c r="R4894" s="282" t="e">
        <f>++Tabla4[[#This Row],[Precio Unitario Neto]]-Tabla4[[#This Row],[20.85%]]-Tabla4[[#This Row],[Costo]]</f>
        <v>#N/A</v>
      </c>
      <c r="S4894" s="282" t="e">
        <f>++Tabla4[[#This Row],[U. Bruta Uni]]*Tabla4[[#This Row],[Cantidad]]</f>
        <v>#N/A</v>
      </c>
      <c r="T4894" s="369" t="str">
        <f>VLOOKUP(Tabla4[[#This Row],[Producto]],Tabla6[#All],14,FALSE)</f>
        <v>Termico Solar</v>
      </c>
      <c r="U4894" s="284" t="e">
        <f>(IF(Tabla4[[#This Row],[Familia]]="termico solar",Tabla4[[#This Row],[Utilidad Total]]*6%,Tabla4[[#This Row],[Utilidad Total]]*11.5%))/Tabla4[[#This Row],[Total]]</f>
        <v>#N/A</v>
      </c>
      <c r="V4894" s="282" t="e">
        <f>+Tabla4[[#This Row],[Comisión Calculada]]*Tabla4[[#This Row],[Total]]</f>
        <v>#N/A</v>
      </c>
    </row>
    <row r="4895" spans="1:22" hidden="1" x14ac:dyDescent="0.25">
      <c r="A4895" s="100">
        <v>45869</v>
      </c>
      <c r="B4895" t="str">
        <f t="shared" si="241"/>
        <v>July</v>
      </c>
      <c r="C4895" s="46" t="s">
        <v>280</v>
      </c>
      <c r="F4895" s="366" t="s">
        <v>2566</v>
      </c>
      <c r="G4895" s="46" t="s">
        <v>19</v>
      </c>
      <c r="H4895" s="46">
        <v>1</v>
      </c>
      <c r="I4895" s="51">
        <v>6412.03</v>
      </c>
      <c r="J4895" s="281">
        <f>++Tabla4[[#This Row],[Precio Bruto]]*1.16</f>
        <v>7437.9547999999995</v>
      </c>
      <c r="K4895" s="281">
        <f>+Tabla4[[#This Row],[Precio Unitario Neto]]*Tabla4[[#Headers],[20.85%]]</f>
        <v>1550.8135757999999</v>
      </c>
      <c r="L4895" s="282">
        <f>++Tabla4[[#This Row],[Precio Unitario Neto]]-Tabla4[[#This Row],[20.85%]]</f>
        <v>5887.1412241999997</v>
      </c>
      <c r="M4895" s="282" t="e">
        <f>(INDEX(Tabla6[#All],MATCH(Tabla4[[#This Row],[Producto]],Tabla6[[#All],[PRODUCTO]],0),MATCH(Tabla4[[#This Row],[Mes]],Tabla6[#Headers],0)))*(1+Catalogos!$L$2)</f>
        <v>#N/A</v>
      </c>
      <c r="N4895" s="283" t="e">
        <f>+(Tabla4[[#This Row],[Precio Descontado]]-Tabla4[[#This Row],[Precio Base]])*Tabla4[[#This Row],[Cantidad]]</f>
        <v>#N/A</v>
      </c>
      <c r="O4895" s="284" t="e">
        <f>++Tabla4[[#This Row],[Utilidad Total]]/Tabla4[[#This Row],[Total]]</f>
        <v>#N/A</v>
      </c>
      <c r="P4895" s="282">
        <f>++Tabla4[[#This Row],[Precio Descontado]]*Tabla4[[#This Row],[Cantidad]]</f>
        <v>5887.1412241999997</v>
      </c>
      <c r="Q4895" s="282" t="e">
        <f>(INDEX(Tabla6[#All],MATCH(Tabla4[[#This Row],[Producto]],Tabla6[[#All],[PRODUCTO]],0),MATCH(Tabla4[[#This Row],[Mes]],Tabla6[#Headers],0)))</f>
        <v>#N/A</v>
      </c>
      <c r="R4895" s="282" t="e">
        <f>++Tabla4[[#This Row],[Precio Unitario Neto]]-Tabla4[[#This Row],[20.85%]]-Tabla4[[#This Row],[Costo]]</f>
        <v>#N/A</v>
      </c>
      <c r="S4895" s="282" t="e">
        <f>++Tabla4[[#This Row],[U. Bruta Uni]]*Tabla4[[#This Row],[Cantidad]]</f>
        <v>#N/A</v>
      </c>
      <c r="T4895" s="369" t="str">
        <f>VLOOKUP(Tabla4[[#This Row],[Producto]],Tabla6[#All],14,FALSE)</f>
        <v>Termico Solar</v>
      </c>
      <c r="U4895" s="284" t="e">
        <f>(IF(Tabla4[[#This Row],[Familia]]="termico solar",Tabla4[[#This Row],[Utilidad Total]]*6%,Tabla4[[#This Row],[Utilidad Total]]*11.5%))/Tabla4[[#This Row],[Total]]</f>
        <v>#N/A</v>
      </c>
      <c r="V4895" s="282" t="e">
        <f>+Tabla4[[#This Row],[Comisión Calculada]]*Tabla4[[#This Row],[Total]]</f>
        <v>#N/A</v>
      </c>
    </row>
    <row r="4896" spans="1:22" hidden="1" x14ac:dyDescent="0.25">
      <c r="A4896" s="100">
        <v>45869</v>
      </c>
      <c r="B4896" t="str">
        <f t="shared" si="241"/>
        <v>July</v>
      </c>
      <c r="C4896" s="46" t="s">
        <v>280</v>
      </c>
      <c r="F4896" s="366" t="s">
        <v>2566</v>
      </c>
      <c r="G4896" s="46" t="s">
        <v>566</v>
      </c>
      <c r="H4896" s="46">
        <v>1</v>
      </c>
      <c r="I4896" s="51">
        <v>2109.4499999999998</v>
      </c>
      <c r="J4896" s="281">
        <f>++Tabla4[[#This Row],[Precio Bruto]]*1.16</f>
        <v>2446.9619999999995</v>
      </c>
      <c r="K4896" s="281">
        <f>+Tabla4[[#This Row],[Precio Unitario Neto]]*Tabla4[[#Headers],[20.85%]]</f>
        <v>510.19157699999988</v>
      </c>
      <c r="L4896" s="282">
        <f>++Tabla4[[#This Row],[Precio Unitario Neto]]-Tabla4[[#This Row],[20.85%]]</f>
        <v>1936.7704229999997</v>
      </c>
      <c r="M4896" s="282" t="e">
        <f>(INDEX(Tabla6[#All],MATCH(Tabla4[[#This Row],[Producto]],Tabla6[[#All],[PRODUCTO]],0),MATCH(Tabla4[[#This Row],[Mes]],Tabla6[#Headers],0)))*(1+Catalogos!$L$2)</f>
        <v>#N/A</v>
      </c>
      <c r="N4896" s="283" t="e">
        <f>+(Tabla4[[#This Row],[Precio Descontado]]-Tabla4[[#This Row],[Precio Base]])*Tabla4[[#This Row],[Cantidad]]</f>
        <v>#N/A</v>
      </c>
      <c r="O4896" s="284" t="e">
        <f>++Tabla4[[#This Row],[Utilidad Total]]/Tabla4[[#This Row],[Total]]</f>
        <v>#N/A</v>
      </c>
      <c r="P4896" s="282">
        <f>++Tabla4[[#This Row],[Precio Descontado]]*Tabla4[[#This Row],[Cantidad]]</f>
        <v>1936.7704229999997</v>
      </c>
      <c r="Q4896" s="282" t="e">
        <f>(INDEX(Tabla6[#All],MATCH(Tabla4[[#This Row],[Producto]],Tabla6[[#All],[PRODUCTO]],0),MATCH(Tabla4[[#This Row],[Mes]],Tabla6[#Headers],0)))</f>
        <v>#N/A</v>
      </c>
      <c r="R4896" s="282" t="e">
        <f>++Tabla4[[#This Row],[Precio Unitario Neto]]-Tabla4[[#This Row],[20.85%]]-Tabla4[[#This Row],[Costo]]</f>
        <v>#N/A</v>
      </c>
      <c r="S4896" s="282" t="e">
        <f>++Tabla4[[#This Row],[U. Bruta Uni]]*Tabla4[[#This Row],[Cantidad]]</f>
        <v>#N/A</v>
      </c>
      <c r="T4896" s="369" t="str">
        <f>VLOOKUP(Tabla4[[#This Row],[Producto]],Tabla6[#All],14,FALSE)</f>
        <v>Termico Solar</v>
      </c>
      <c r="U4896" s="284" t="e">
        <f>(IF(Tabla4[[#This Row],[Familia]]="termico solar",Tabla4[[#This Row],[Utilidad Total]]*6%,Tabla4[[#This Row],[Utilidad Total]]*11.5%))/Tabla4[[#This Row],[Total]]</f>
        <v>#N/A</v>
      </c>
      <c r="V4896" s="282" t="e">
        <f>+Tabla4[[#This Row],[Comisión Calculada]]*Tabla4[[#This Row],[Total]]</f>
        <v>#N/A</v>
      </c>
    </row>
    <row r="4897" spans="1:22" hidden="1" x14ac:dyDescent="0.25">
      <c r="A4897" s="100">
        <v>45869</v>
      </c>
      <c r="B4897" t="str">
        <f t="shared" si="241"/>
        <v>July</v>
      </c>
      <c r="C4897" s="46" t="s">
        <v>280</v>
      </c>
      <c r="F4897" s="366" t="s">
        <v>2566</v>
      </c>
      <c r="G4897" s="46" t="s">
        <v>208</v>
      </c>
      <c r="H4897" s="46">
        <v>5</v>
      </c>
      <c r="I4897" s="51">
        <v>189.75</v>
      </c>
      <c r="J4897" s="281">
        <f>++Tabla4[[#This Row],[Precio Bruto]]*1.16</f>
        <v>220.10999999999999</v>
      </c>
      <c r="K4897" s="281">
        <f>+Tabla4[[#This Row],[Precio Unitario Neto]]*Tabla4[[#Headers],[20.85%]]</f>
        <v>45.892934999999994</v>
      </c>
      <c r="L4897" s="282">
        <f>++Tabla4[[#This Row],[Precio Unitario Neto]]-Tabla4[[#This Row],[20.85%]]</f>
        <v>174.21706499999999</v>
      </c>
      <c r="M4897" s="282" t="e">
        <f>(INDEX(Tabla6[#All],MATCH(Tabla4[[#This Row],[Producto]],Tabla6[[#All],[PRODUCTO]],0),MATCH(Tabla4[[#This Row],[Mes]],Tabla6[#Headers],0)))*(1+Catalogos!$L$2)</f>
        <v>#N/A</v>
      </c>
      <c r="N4897" s="283" t="e">
        <f>+(Tabla4[[#This Row],[Precio Descontado]]-Tabla4[[#This Row],[Precio Base]])*Tabla4[[#This Row],[Cantidad]]</f>
        <v>#N/A</v>
      </c>
      <c r="O4897" s="284" t="e">
        <f>++Tabla4[[#This Row],[Utilidad Total]]/Tabla4[[#This Row],[Total]]</f>
        <v>#N/A</v>
      </c>
      <c r="P4897" s="282">
        <f>++Tabla4[[#This Row],[Precio Descontado]]*Tabla4[[#This Row],[Cantidad]]</f>
        <v>871.08532500000001</v>
      </c>
      <c r="Q4897" s="282" t="e">
        <f>(INDEX(Tabla6[#All],MATCH(Tabla4[[#This Row],[Producto]],Tabla6[[#All],[PRODUCTO]],0),MATCH(Tabla4[[#This Row],[Mes]],Tabla6[#Headers],0)))</f>
        <v>#N/A</v>
      </c>
      <c r="R4897" s="282" t="e">
        <f>++Tabla4[[#This Row],[Precio Unitario Neto]]-Tabla4[[#This Row],[20.85%]]-Tabla4[[#This Row],[Costo]]</f>
        <v>#N/A</v>
      </c>
      <c r="S4897" s="282" t="e">
        <f>++Tabla4[[#This Row],[U. Bruta Uni]]*Tabla4[[#This Row],[Cantidad]]</f>
        <v>#N/A</v>
      </c>
      <c r="T4897" s="369" t="str">
        <f>VLOOKUP(Tabla4[[#This Row],[Producto]],Tabla6[#All],14,FALSE)</f>
        <v>Termico Solar</v>
      </c>
      <c r="U4897" s="284" t="e">
        <f>(IF(Tabla4[[#This Row],[Familia]]="termico solar",Tabla4[[#This Row],[Utilidad Total]]*6%,Tabla4[[#This Row],[Utilidad Total]]*11.5%))/Tabla4[[#This Row],[Total]]</f>
        <v>#N/A</v>
      </c>
      <c r="V4897" s="282" t="e">
        <f>+Tabla4[[#This Row],[Comisión Calculada]]*Tabla4[[#This Row],[Total]]</f>
        <v>#N/A</v>
      </c>
    </row>
    <row r="4898" spans="1:22" hidden="1" x14ac:dyDescent="0.25">
      <c r="A4898" s="100">
        <v>45869</v>
      </c>
      <c r="B4898" t="str">
        <f t="shared" si="241"/>
        <v>July</v>
      </c>
      <c r="C4898" s="46" t="s">
        <v>280</v>
      </c>
      <c r="F4898" s="366" t="s">
        <v>2567</v>
      </c>
      <c r="G4898" s="46" t="s">
        <v>208</v>
      </c>
      <c r="H4898" s="46">
        <v>3</v>
      </c>
      <c r="I4898" s="51">
        <v>189.75</v>
      </c>
      <c r="J4898" s="281">
        <f>++Tabla4[[#This Row],[Precio Bruto]]*1.16</f>
        <v>220.10999999999999</v>
      </c>
      <c r="K4898" s="281">
        <f>+Tabla4[[#This Row],[Precio Unitario Neto]]*Tabla4[[#Headers],[20.85%]]</f>
        <v>45.892934999999994</v>
      </c>
      <c r="L4898" s="282">
        <f>++Tabla4[[#This Row],[Precio Unitario Neto]]-Tabla4[[#This Row],[20.85%]]</f>
        <v>174.21706499999999</v>
      </c>
      <c r="M4898" s="282" t="e">
        <f>(INDEX(Tabla6[#All],MATCH(Tabla4[[#This Row],[Producto]],Tabla6[[#All],[PRODUCTO]],0),MATCH(Tabla4[[#This Row],[Mes]],Tabla6[#Headers],0)))*(1+Catalogos!$L$2)</f>
        <v>#N/A</v>
      </c>
      <c r="N4898" s="283" t="e">
        <f>+(Tabla4[[#This Row],[Precio Descontado]]-Tabla4[[#This Row],[Precio Base]])*Tabla4[[#This Row],[Cantidad]]</f>
        <v>#N/A</v>
      </c>
      <c r="O4898" s="284" t="e">
        <f>++Tabla4[[#This Row],[Utilidad Total]]/Tabla4[[#This Row],[Total]]</f>
        <v>#N/A</v>
      </c>
      <c r="P4898" s="282">
        <f>++Tabla4[[#This Row],[Precio Descontado]]*Tabla4[[#This Row],[Cantidad]]</f>
        <v>522.65119499999992</v>
      </c>
      <c r="Q4898" s="282" t="e">
        <f>(INDEX(Tabla6[#All],MATCH(Tabla4[[#This Row],[Producto]],Tabla6[[#All],[PRODUCTO]],0),MATCH(Tabla4[[#This Row],[Mes]],Tabla6[#Headers],0)))</f>
        <v>#N/A</v>
      </c>
      <c r="R4898" s="282" t="e">
        <f>++Tabla4[[#This Row],[Precio Unitario Neto]]-Tabla4[[#This Row],[20.85%]]-Tabla4[[#This Row],[Costo]]</f>
        <v>#N/A</v>
      </c>
      <c r="S4898" s="282" t="e">
        <f>++Tabla4[[#This Row],[U. Bruta Uni]]*Tabla4[[#This Row],[Cantidad]]</f>
        <v>#N/A</v>
      </c>
      <c r="T4898" s="369" t="str">
        <f>VLOOKUP(Tabla4[[#This Row],[Producto]],Tabla6[#All],14,FALSE)</f>
        <v>Termico Solar</v>
      </c>
      <c r="U4898" s="284" t="e">
        <f>(IF(Tabla4[[#This Row],[Familia]]="termico solar",Tabla4[[#This Row],[Utilidad Total]]*6%,Tabla4[[#This Row],[Utilidad Total]]*11.5%))/Tabla4[[#This Row],[Total]]</f>
        <v>#N/A</v>
      </c>
      <c r="V4898" s="282" t="e">
        <f>+Tabla4[[#This Row],[Comisión Calculada]]*Tabla4[[#This Row],[Total]]</f>
        <v>#N/A</v>
      </c>
    </row>
    <row r="4899" spans="1:22" hidden="1" x14ac:dyDescent="0.25">
      <c r="A4899" s="100">
        <v>45869</v>
      </c>
      <c r="B4899" t="str">
        <f t="shared" si="241"/>
        <v>July</v>
      </c>
      <c r="C4899" s="46" t="s">
        <v>280</v>
      </c>
      <c r="F4899" s="366" t="s">
        <v>2568</v>
      </c>
      <c r="G4899" s="46" t="s">
        <v>566</v>
      </c>
      <c r="H4899" s="46">
        <v>1</v>
      </c>
      <c r="I4899" s="51">
        <v>2109.4499999999998</v>
      </c>
      <c r="J4899" s="281">
        <f>++Tabla4[[#This Row],[Precio Bruto]]*1.16</f>
        <v>2446.9619999999995</v>
      </c>
      <c r="K4899" s="281">
        <f>+Tabla4[[#This Row],[Precio Unitario Neto]]*Tabla4[[#Headers],[20.85%]]</f>
        <v>510.19157699999988</v>
      </c>
      <c r="L4899" s="282">
        <f>++Tabla4[[#This Row],[Precio Unitario Neto]]-Tabla4[[#This Row],[20.85%]]</f>
        <v>1936.7704229999997</v>
      </c>
      <c r="M4899" s="282" t="e">
        <f>(INDEX(Tabla6[#All],MATCH(Tabla4[[#This Row],[Producto]],Tabla6[[#All],[PRODUCTO]],0),MATCH(Tabla4[[#This Row],[Mes]],Tabla6[#Headers],0)))*(1+Catalogos!$L$2)</f>
        <v>#N/A</v>
      </c>
      <c r="N4899" s="283" t="e">
        <f>+(Tabla4[[#This Row],[Precio Descontado]]-Tabla4[[#This Row],[Precio Base]])*Tabla4[[#This Row],[Cantidad]]</f>
        <v>#N/A</v>
      </c>
      <c r="O4899" s="284" t="e">
        <f>++Tabla4[[#This Row],[Utilidad Total]]/Tabla4[[#This Row],[Total]]</f>
        <v>#N/A</v>
      </c>
      <c r="P4899" s="282">
        <f>++Tabla4[[#This Row],[Precio Descontado]]*Tabla4[[#This Row],[Cantidad]]</f>
        <v>1936.7704229999997</v>
      </c>
      <c r="Q4899" s="282" t="e">
        <f>(INDEX(Tabla6[#All],MATCH(Tabla4[[#This Row],[Producto]],Tabla6[[#All],[PRODUCTO]],0),MATCH(Tabla4[[#This Row],[Mes]],Tabla6[#Headers],0)))</f>
        <v>#N/A</v>
      </c>
      <c r="R4899" s="282" t="e">
        <f>++Tabla4[[#This Row],[Precio Unitario Neto]]-Tabla4[[#This Row],[20.85%]]-Tabla4[[#This Row],[Costo]]</f>
        <v>#N/A</v>
      </c>
      <c r="S4899" s="282" t="e">
        <f>++Tabla4[[#This Row],[U. Bruta Uni]]*Tabla4[[#This Row],[Cantidad]]</f>
        <v>#N/A</v>
      </c>
      <c r="T4899" s="369" t="str">
        <f>VLOOKUP(Tabla4[[#This Row],[Producto]],Tabla6[#All],14,FALSE)</f>
        <v>Termico Solar</v>
      </c>
      <c r="U4899" s="284" t="e">
        <f>(IF(Tabla4[[#This Row],[Familia]]="termico solar",Tabla4[[#This Row],[Utilidad Total]]*6%,Tabla4[[#This Row],[Utilidad Total]]*11.5%))/Tabla4[[#This Row],[Total]]</f>
        <v>#N/A</v>
      </c>
      <c r="V4899" s="282" t="e">
        <f>+Tabla4[[#This Row],[Comisión Calculada]]*Tabla4[[#This Row],[Total]]</f>
        <v>#N/A</v>
      </c>
    </row>
    <row r="4900" spans="1:22" hidden="1" x14ac:dyDescent="0.25">
      <c r="A4900" s="100">
        <v>45869</v>
      </c>
      <c r="B4900" t="str">
        <f t="shared" si="241"/>
        <v>July</v>
      </c>
      <c r="C4900" s="46" t="s">
        <v>280</v>
      </c>
      <c r="F4900" s="366" t="s">
        <v>2569</v>
      </c>
      <c r="G4900" s="46" t="s">
        <v>16</v>
      </c>
      <c r="H4900" s="46">
        <v>2</v>
      </c>
      <c r="I4900" s="51">
        <v>4103.8500000000004</v>
      </c>
      <c r="J4900" s="281">
        <f>++Tabla4[[#This Row],[Precio Bruto]]*1.16</f>
        <v>4760.4660000000003</v>
      </c>
      <c r="K4900" s="281">
        <f>+Tabla4[[#This Row],[Precio Unitario Neto]]*Tabla4[[#Headers],[20.85%]]</f>
        <v>992.55716100000006</v>
      </c>
      <c r="L4900" s="282">
        <f>++Tabla4[[#This Row],[Precio Unitario Neto]]-Tabla4[[#This Row],[20.85%]]</f>
        <v>3767.9088390000002</v>
      </c>
      <c r="M4900" s="282" t="e">
        <f>(INDEX(Tabla6[#All],MATCH(Tabla4[[#This Row],[Producto]],Tabla6[[#All],[PRODUCTO]],0),MATCH(Tabla4[[#This Row],[Mes]],Tabla6[#Headers],0)))*(1+Catalogos!$L$2)</f>
        <v>#N/A</v>
      </c>
      <c r="N4900" s="283" t="e">
        <f>+(Tabla4[[#This Row],[Precio Descontado]]-Tabla4[[#This Row],[Precio Base]])*Tabla4[[#This Row],[Cantidad]]</f>
        <v>#N/A</v>
      </c>
      <c r="O4900" s="284" t="e">
        <f>++Tabla4[[#This Row],[Utilidad Total]]/Tabla4[[#This Row],[Total]]</f>
        <v>#N/A</v>
      </c>
      <c r="P4900" s="282">
        <f>++Tabla4[[#This Row],[Precio Descontado]]*Tabla4[[#This Row],[Cantidad]]</f>
        <v>7535.8176780000003</v>
      </c>
      <c r="Q4900" s="282" t="e">
        <f>(INDEX(Tabla6[#All],MATCH(Tabla4[[#This Row],[Producto]],Tabla6[[#All],[PRODUCTO]],0),MATCH(Tabla4[[#This Row],[Mes]],Tabla6[#Headers],0)))</f>
        <v>#N/A</v>
      </c>
      <c r="R4900" s="282" t="e">
        <f>++Tabla4[[#This Row],[Precio Unitario Neto]]-Tabla4[[#This Row],[20.85%]]-Tabla4[[#This Row],[Costo]]</f>
        <v>#N/A</v>
      </c>
      <c r="S4900" s="282" t="e">
        <f>++Tabla4[[#This Row],[U. Bruta Uni]]*Tabla4[[#This Row],[Cantidad]]</f>
        <v>#N/A</v>
      </c>
      <c r="T4900" s="369" t="str">
        <f>VLOOKUP(Tabla4[[#This Row],[Producto]],Tabla6[#All],14,FALSE)</f>
        <v>Termico Solar</v>
      </c>
      <c r="U4900" s="284" t="e">
        <f>(IF(Tabla4[[#This Row],[Familia]]="termico solar",Tabla4[[#This Row],[Utilidad Total]]*6%,Tabla4[[#This Row],[Utilidad Total]]*11.5%))/Tabla4[[#This Row],[Total]]</f>
        <v>#N/A</v>
      </c>
      <c r="V4900" s="282" t="e">
        <f>+Tabla4[[#This Row],[Comisión Calculada]]*Tabla4[[#This Row],[Total]]</f>
        <v>#N/A</v>
      </c>
    </row>
    <row r="4901" spans="1:22" hidden="1" x14ac:dyDescent="0.25">
      <c r="A4901" s="100">
        <v>45869</v>
      </c>
      <c r="B4901" t="str">
        <f t="shared" si="241"/>
        <v>July</v>
      </c>
      <c r="C4901" s="46" t="s">
        <v>280</v>
      </c>
      <c r="F4901" s="366" t="s">
        <v>2569</v>
      </c>
      <c r="G4901" s="46" t="s">
        <v>208</v>
      </c>
      <c r="H4901" s="46">
        <v>1</v>
      </c>
      <c r="I4901" s="51">
        <v>189.75</v>
      </c>
      <c r="J4901" s="281">
        <f>++Tabla4[[#This Row],[Precio Bruto]]*1.16</f>
        <v>220.10999999999999</v>
      </c>
      <c r="K4901" s="281">
        <f>+Tabla4[[#This Row],[Precio Unitario Neto]]*Tabla4[[#Headers],[20.85%]]</f>
        <v>45.892934999999994</v>
      </c>
      <c r="L4901" s="282">
        <f>++Tabla4[[#This Row],[Precio Unitario Neto]]-Tabla4[[#This Row],[20.85%]]</f>
        <v>174.21706499999999</v>
      </c>
      <c r="M4901" s="282" t="e">
        <f>(INDEX(Tabla6[#All],MATCH(Tabla4[[#This Row],[Producto]],Tabla6[[#All],[PRODUCTO]],0),MATCH(Tabla4[[#This Row],[Mes]],Tabla6[#Headers],0)))*(1+Catalogos!$L$2)</f>
        <v>#N/A</v>
      </c>
      <c r="N4901" s="283" t="e">
        <f>+(Tabla4[[#This Row],[Precio Descontado]]-Tabla4[[#This Row],[Precio Base]])*Tabla4[[#This Row],[Cantidad]]</f>
        <v>#N/A</v>
      </c>
      <c r="O4901" s="284" t="e">
        <f>++Tabla4[[#This Row],[Utilidad Total]]/Tabla4[[#This Row],[Total]]</f>
        <v>#N/A</v>
      </c>
      <c r="P4901" s="282">
        <f>++Tabla4[[#This Row],[Precio Descontado]]*Tabla4[[#This Row],[Cantidad]]</f>
        <v>174.21706499999999</v>
      </c>
      <c r="Q4901" s="282" t="e">
        <f>(INDEX(Tabla6[#All],MATCH(Tabla4[[#This Row],[Producto]],Tabla6[[#All],[PRODUCTO]],0),MATCH(Tabla4[[#This Row],[Mes]],Tabla6[#Headers],0)))</f>
        <v>#N/A</v>
      </c>
      <c r="R4901" s="282" t="e">
        <f>++Tabla4[[#This Row],[Precio Unitario Neto]]-Tabla4[[#This Row],[20.85%]]-Tabla4[[#This Row],[Costo]]</f>
        <v>#N/A</v>
      </c>
      <c r="S4901" s="282" t="e">
        <f>++Tabla4[[#This Row],[U. Bruta Uni]]*Tabla4[[#This Row],[Cantidad]]</f>
        <v>#N/A</v>
      </c>
      <c r="T4901" s="369" t="str">
        <f>VLOOKUP(Tabla4[[#This Row],[Producto]],Tabla6[#All],14,FALSE)</f>
        <v>Termico Solar</v>
      </c>
      <c r="U4901" s="284" t="e">
        <f>(IF(Tabla4[[#This Row],[Familia]]="termico solar",Tabla4[[#This Row],[Utilidad Total]]*6%,Tabla4[[#This Row],[Utilidad Total]]*11.5%))/Tabla4[[#This Row],[Total]]</f>
        <v>#N/A</v>
      </c>
      <c r="V4901" s="282" t="e">
        <f>+Tabla4[[#This Row],[Comisión Calculada]]*Tabla4[[#This Row],[Total]]</f>
        <v>#N/A</v>
      </c>
    </row>
    <row r="4902" spans="1:22" hidden="1" x14ac:dyDescent="0.25">
      <c r="A4902" s="100">
        <v>45869</v>
      </c>
      <c r="B4902" t="str">
        <f t="shared" si="241"/>
        <v>July</v>
      </c>
      <c r="C4902" s="46" t="s">
        <v>280</v>
      </c>
      <c r="F4902" s="366" t="s">
        <v>2570</v>
      </c>
      <c r="G4902" s="46" t="s">
        <v>83</v>
      </c>
      <c r="H4902" s="46">
        <v>1</v>
      </c>
      <c r="I4902" s="51">
        <v>8858.76</v>
      </c>
      <c r="J4902" s="281">
        <f>++Tabla4[[#This Row],[Precio Bruto]]*1.16</f>
        <v>10276.161599999999</v>
      </c>
      <c r="K4902" s="281">
        <f>+Tabla4[[#This Row],[Precio Unitario Neto]]*Tabla4[[#Headers],[20.85%]]</f>
        <v>2142.5796935999997</v>
      </c>
      <c r="L4902" s="282">
        <f>++Tabla4[[#This Row],[Precio Unitario Neto]]-Tabla4[[#This Row],[20.85%]]</f>
        <v>8133.5819063999998</v>
      </c>
      <c r="M4902" s="282" t="e">
        <f>(INDEX(Tabla6[#All],MATCH(Tabla4[[#This Row],[Producto]],Tabla6[[#All],[PRODUCTO]],0),MATCH(Tabla4[[#This Row],[Mes]],Tabla6[#Headers],0)))*(1+Catalogos!$L$2)</f>
        <v>#N/A</v>
      </c>
      <c r="N4902" s="283" t="e">
        <f>+(Tabla4[[#This Row],[Precio Descontado]]-Tabla4[[#This Row],[Precio Base]])*Tabla4[[#This Row],[Cantidad]]</f>
        <v>#N/A</v>
      </c>
      <c r="O4902" s="284" t="e">
        <f>++Tabla4[[#This Row],[Utilidad Total]]/Tabla4[[#This Row],[Total]]</f>
        <v>#N/A</v>
      </c>
      <c r="P4902" s="282">
        <f>++Tabla4[[#This Row],[Precio Descontado]]*Tabla4[[#This Row],[Cantidad]]</f>
        <v>8133.5819063999998</v>
      </c>
      <c r="Q4902" s="282" t="e">
        <f>(INDEX(Tabla6[#All],MATCH(Tabla4[[#This Row],[Producto]],Tabla6[[#All],[PRODUCTO]],0),MATCH(Tabla4[[#This Row],[Mes]],Tabla6[#Headers],0)))</f>
        <v>#N/A</v>
      </c>
      <c r="R4902" s="282" t="e">
        <f>++Tabla4[[#This Row],[Precio Unitario Neto]]-Tabla4[[#This Row],[20.85%]]-Tabla4[[#This Row],[Costo]]</f>
        <v>#N/A</v>
      </c>
      <c r="S4902" s="282" t="e">
        <f>++Tabla4[[#This Row],[U. Bruta Uni]]*Tabla4[[#This Row],[Cantidad]]</f>
        <v>#N/A</v>
      </c>
      <c r="T4902" s="369" t="str">
        <f>VLOOKUP(Tabla4[[#This Row],[Producto]],Tabla6[#All],14,FALSE)</f>
        <v>Termico Solar</v>
      </c>
      <c r="U4902" s="284" t="e">
        <f>(IF(Tabla4[[#This Row],[Familia]]="termico solar",Tabla4[[#This Row],[Utilidad Total]]*6%,Tabla4[[#This Row],[Utilidad Total]]*11.5%))/Tabla4[[#This Row],[Total]]</f>
        <v>#N/A</v>
      </c>
      <c r="V4902" s="282" t="e">
        <f>+Tabla4[[#This Row],[Comisión Calculada]]*Tabla4[[#This Row],[Total]]</f>
        <v>#N/A</v>
      </c>
    </row>
    <row r="4903" spans="1:22" hidden="1" x14ac:dyDescent="0.25">
      <c r="A4903" s="100">
        <v>45869</v>
      </c>
      <c r="B4903" t="str">
        <f t="shared" si="241"/>
        <v>July</v>
      </c>
      <c r="C4903" s="46" t="s">
        <v>280</v>
      </c>
      <c r="F4903" s="366" t="s">
        <v>2571</v>
      </c>
      <c r="G4903" s="46" t="s">
        <v>16</v>
      </c>
      <c r="H4903" s="46">
        <v>1</v>
      </c>
      <c r="I4903" s="51">
        <v>4103.8500000000004</v>
      </c>
      <c r="J4903" s="281">
        <f>++Tabla4[[#This Row],[Precio Bruto]]*1.16</f>
        <v>4760.4660000000003</v>
      </c>
      <c r="K4903" s="281">
        <f>+Tabla4[[#This Row],[Precio Unitario Neto]]*Tabla4[[#Headers],[20.85%]]</f>
        <v>992.55716100000006</v>
      </c>
      <c r="L4903" s="282">
        <f>++Tabla4[[#This Row],[Precio Unitario Neto]]-Tabla4[[#This Row],[20.85%]]</f>
        <v>3767.9088390000002</v>
      </c>
      <c r="M4903" s="282" t="e">
        <f>(INDEX(Tabla6[#All],MATCH(Tabla4[[#This Row],[Producto]],Tabla6[[#All],[PRODUCTO]],0),MATCH(Tabla4[[#This Row],[Mes]],Tabla6[#Headers],0)))*(1+Catalogos!$L$2)</f>
        <v>#N/A</v>
      </c>
      <c r="N4903" s="283" t="e">
        <f>+(Tabla4[[#This Row],[Precio Descontado]]-Tabla4[[#This Row],[Precio Base]])*Tabla4[[#This Row],[Cantidad]]</f>
        <v>#N/A</v>
      </c>
      <c r="O4903" s="284" t="e">
        <f>++Tabla4[[#This Row],[Utilidad Total]]/Tabla4[[#This Row],[Total]]</f>
        <v>#N/A</v>
      </c>
      <c r="P4903" s="282">
        <f>++Tabla4[[#This Row],[Precio Descontado]]*Tabla4[[#This Row],[Cantidad]]</f>
        <v>3767.9088390000002</v>
      </c>
      <c r="Q4903" s="282" t="e">
        <f>(INDEX(Tabla6[#All],MATCH(Tabla4[[#This Row],[Producto]],Tabla6[[#All],[PRODUCTO]],0),MATCH(Tabla4[[#This Row],[Mes]],Tabla6[#Headers],0)))</f>
        <v>#N/A</v>
      </c>
      <c r="R4903" s="282" t="e">
        <f>++Tabla4[[#This Row],[Precio Unitario Neto]]-Tabla4[[#This Row],[20.85%]]-Tabla4[[#This Row],[Costo]]</f>
        <v>#N/A</v>
      </c>
      <c r="S4903" s="282" t="e">
        <f>++Tabla4[[#This Row],[U. Bruta Uni]]*Tabla4[[#This Row],[Cantidad]]</f>
        <v>#N/A</v>
      </c>
      <c r="T4903" s="369" t="str">
        <f>VLOOKUP(Tabla4[[#This Row],[Producto]],Tabla6[#All],14,FALSE)</f>
        <v>Termico Solar</v>
      </c>
      <c r="U4903" s="284" t="e">
        <f>(IF(Tabla4[[#This Row],[Familia]]="termico solar",Tabla4[[#This Row],[Utilidad Total]]*6%,Tabla4[[#This Row],[Utilidad Total]]*11.5%))/Tabla4[[#This Row],[Total]]</f>
        <v>#N/A</v>
      </c>
      <c r="V4903" s="282" t="e">
        <f>+Tabla4[[#This Row],[Comisión Calculada]]*Tabla4[[#This Row],[Total]]</f>
        <v>#N/A</v>
      </c>
    </row>
    <row r="4904" spans="1:22" hidden="1" x14ac:dyDescent="0.25">
      <c r="A4904" s="100">
        <v>45869</v>
      </c>
      <c r="B4904" t="str">
        <f t="shared" si="241"/>
        <v>July</v>
      </c>
      <c r="C4904" s="46" t="s">
        <v>280</v>
      </c>
      <c r="F4904" s="366" t="s">
        <v>2572</v>
      </c>
      <c r="G4904" s="46" t="s">
        <v>18</v>
      </c>
      <c r="H4904" s="46">
        <v>2</v>
      </c>
      <c r="I4904" s="51">
        <v>5367.65</v>
      </c>
      <c r="J4904" s="281">
        <f>++Tabla4[[#This Row],[Precio Bruto]]*1.16</f>
        <v>6226.4739999999993</v>
      </c>
      <c r="K4904" s="281">
        <f>+Tabla4[[#This Row],[Precio Unitario Neto]]*Tabla4[[#Headers],[20.85%]]</f>
        <v>1298.2198289999999</v>
      </c>
      <c r="L4904" s="282">
        <f>++Tabla4[[#This Row],[Precio Unitario Neto]]-Tabla4[[#This Row],[20.85%]]</f>
        <v>4928.2541709999996</v>
      </c>
      <c r="M4904" s="282" t="e">
        <f>(INDEX(Tabla6[#All],MATCH(Tabla4[[#This Row],[Producto]],Tabla6[[#All],[PRODUCTO]],0),MATCH(Tabla4[[#This Row],[Mes]],Tabla6[#Headers],0)))*(1+Catalogos!$L$2)</f>
        <v>#N/A</v>
      </c>
      <c r="N4904" s="283" t="e">
        <f>+(Tabla4[[#This Row],[Precio Descontado]]-Tabla4[[#This Row],[Precio Base]])*Tabla4[[#This Row],[Cantidad]]</f>
        <v>#N/A</v>
      </c>
      <c r="O4904" s="284" t="e">
        <f>++Tabla4[[#This Row],[Utilidad Total]]/Tabla4[[#This Row],[Total]]</f>
        <v>#N/A</v>
      </c>
      <c r="P4904" s="282">
        <f>++Tabla4[[#This Row],[Precio Descontado]]*Tabla4[[#This Row],[Cantidad]]</f>
        <v>9856.5083419999992</v>
      </c>
      <c r="Q4904" s="282" t="e">
        <f>(INDEX(Tabla6[#All],MATCH(Tabla4[[#This Row],[Producto]],Tabla6[[#All],[PRODUCTO]],0),MATCH(Tabla4[[#This Row],[Mes]],Tabla6[#Headers],0)))</f>
        <v>#N/A</v>
      </c>
      <c r="R4904" s="282" t="e">
        <f>++Tabla4[[#This Row],[Precio Unitario Neto]]-Tabla4[[#This Row],[20.85%]]-Tabla4[[#This Row],[Costo]]</f>
        <v>#N/A</v>
      </c>
      <c r="S4904" s="282" t="e">
        <f>++Tabla4[[#This Row],[U. Bruta Uni]]*Tabla4[[#This Row],[Cantidad]]</f>
        <v>#N/A</v>
      </c>
      <c r="T4904" s="369" t="str">
        <f>VLOOKUP(Tabla4[[#This Row],[Producto]],Tabla6[#All],14,FALSE)</f>
        <v>Termico Solar</v>
      </c>
      <c r="U4904" s="284" t="e">
        <f>(IF(Tabla4[[#This Row],[Familia]]="termico solar",Tabla4[[#This Row],[Utilidad Total]]*6%,Tabla4[[#This Row],[Utilidad Total]]*11.5%))/Tabla4[[#This Row],[Total]]</f>
        <v>#N/A</v>
      </c>
      <c r="V4904" s="282" t="e">
        <f>+Tabla4[[#This Row],[Comisión Calculada]]*Tabla4[[#This Row],[Total]]</f>
        <v>#N/A</v>
      </c>
    </row>
    <row r="4905" spans="1:22" hidden="1" x14ac:dyDescent="0.25">
      <c r="A4905" s="100">
        <v>45869</v>
      </c>
      <c r="B4905" t="str">
        <f t="shared" si="241"/>
        <v>July</v>
      </c>
      <c r="C4905" s="46" t="s">
        <v>280</v>
      </c>
      <c r="F4905" s="366" t="s">
        <v>2572</v>
      </c>
      <c r="G4905" s="46" t="s">
        <v>19</v>
      </c>
      <c r="H4905" s="46">
        <v>1</v>
      </c>
      <c r="I4905" s="51">
        <v>6412.03</v>
      </c>
      <c r="J4905" s="281">
        <f>++Tabla4[[#This Row],[Precio Bruto]]*1.16</f>
        <v>7437.9547999999995</v>
      </c>
      <c r="K4905" s="281">
        <f>+Tabla4[[#This Row],[Precio Unitario Neto]]*Tabla4[[#Headers],[20.85%]]</f>
        <v>1550.8135757999999</v>
      </c>
      <c r="L4905" s="282">
        <f>++Tabla4[[#This Row],[Precio Unitario Neto]]-Tabla4[[#This Row],[20.85%]]</f>
        <v>5887.1412241999997</v>
      </c>
      <c r="M4905" s="282" t="e">
        <f>(INDEX(Tabla6[#All],MATCH(Tabla4[[#This Row],[Producto]],Tabla6[[#All],[PRODUCTO]],0),MATCH(Tabla4[[#This Row],[Mes]],Tabla6[#Headers],0)))*(1+Catalogos!$L$2)</f>
        <v>#N/A</v>
      </c>
      <c r="N4905" s="283" t="e">
        <f>+(Tabla4[[#This Row],[Precio Descontado]]-Tabla4[[#This Row],[Precio Base]])*Tabla4[[#This Row],[Cantidad]]</f>
        <v>#N/A</v>
      </c>
      <c r="O4905" s="284" t="e">
        <f>++Tabla4[[#This Row],[Utilidad Total]]/Tabla4[[#This Row],[Total]]</f>
        <v>#N/A</v>
      </c>
      <c r="P4905" s="282">
        <f>++Tabla4[[#This Row],[Precio Descontado]]*Tabla4[[#This Row],[Cantidad]]</f>
        <v>5887.1412241999997</v>
      </c>
      <c r="Q4905" s="282" t="e">
        <f>(INDEX(Tabla6[#All],MATCH(Tabla4[[#This Row],[Producto]],Tabla6[[#All],[PRODUCTO]],0),MATCH(Tabla4[[#This Row],[Mes]],Tabla6[#Headers],0)))</f>
        <v>#N/A</v>
      </c>
      <c r="R4905" s="282" t="e">
        <f>++Tabla4[[#This Row],[Precio Unitario Neto]]-Tabla4[[#This Row],[20.85%]]-Tabla4[[#This Row],[Costo]]</f>
        <v>#N/A</v>
      </c>
      <c r="S4905" s="282" t="e">
        <f>++Tabla4[[#This Row],[U. Bruta Uni]]*Tabla4[[#This Row],[Cantidad]]</f>
        <v>#N/A</v>
      </c>
      <c r="T4905" s="369" t="str">
        <f>VLOOKUP(Tabla4[[#This Row],[Producto]],Tabla6[#All],14,FALSE)</f>
        <v>Termico Solar</v>
      </c>
      <c r="U4905" s="284" t="e">
        <f>(IF(Tabla4[[#This Row],[Familia]]="termico solar",Tabla4[[#This Row],[Utilidad Total]]*6%,Tabla4[[#This Row],[Utilidad Total]]*11.5%))/Tabla4[[#This Row],[Total]]</f>
        <v>#N/A</v>
      </c>
      <c r="V4905" s="282" t="e">
        <f>+Tabla4[[#This Row],[Comisión Calculada]]*Tabla4[[#This Row],[Total]]</f>
        <v>#N/A</v>
      </c>
    </row>
    <row r="4906" spans="1:22" hidden="1" x14ac:dyDescent="0.25">
      <c r="A4906" s="100">
        <v>45869</v>
      </c>
      <c r="B4906" t="str">
        <f t="shared" si="241"/>
        <v>July</v>
      </c>
      <c r="C4906" s="46" t="s">
        <v>280</v>
      </c>
      <c r="F4906" s="366" t="s">
        <v>2573</v>
      </c>
      <c r="G4906" s="46" t="s">
        <v>17</v>
      </c>
      <c r="H4906" s="46">
        <v>2</v>
      </c>
      <c r="I4906" s="51">
        <v>4622.28</v>
      </c>
      <c r="J4906" s="281">
        <f>++Tabla4[[#This Row],[Precio Bruto]]*1.16</f>
        <v>5361.8447999999989</v>
      </c>
      <c r="K4906" s="281">
        <f>+Tabla4[[#This Row],[Precio Unitario Neto]]*Tabla4[[#Headers],[20.85%]]</f>
        <v>1117.9446407999997</v>
      </c>
      <c r="L4906" s="282">
        <f>++Tabla4[[#This Row],[Precio Unitario Neto]]-Tabla4[[#This Row],[20.85%]]</f>
        <v>4243.9001591999995</v>
      </c>
      <c r="M4906" s="282" t="e">
        <f>(INDEX(Tabla6[#All],MATCH(Tabla4[[#This Row],[Producto]],Tabla6[[#All],[PRODUCTO]],0),MATCH(Tabla4[[#This Row],[Mes]],Tabla6[#Headers],0)))*(1+Catalogos!$L$2)</f>
        <v>#N/A</v>
      </c>
      <c r="N4906" s="283" t="e">
        <f>+(Tabla4[[#This Row],[Precio Descontado]]-Tabla4[[#This Row],[Precio Base]])*Tabla4[[#This Row],[Cantidad]]</f>
        <v>#N/A</v>
      </c>
      <c r="O4906" s="284" t="e">
        <f>++Tabla4[[#This Row],[Utilidad Total]]/Tabla4[[#This Row],[Total]]</f>
        <v>#N/A</v>
      </c>
      <c r="P4906" s="282">
        <f>++Tabla4[[#This Row],[Precio Descontado]]*Tabla4[[#This Row],[Cantidad]]</f>
        <v>8487.800318399999</v>
      </c>
      <c r="Q4906" s="282" t="e">
        <f>(INDEX(Tabla6[#All],MATCH(Tabla4[[#This Row],[Producto]],Tabla6[[#All],[PRODUCTO]],0),MATCH(Tabla4[[#This Row],[Mes]],Tabla6[#Headers],0)))</f>
        <v>#N/A</v>
      </c>
      <c r="R4906" s="282" t="e">
        <f>++Tabla4[[#This Row],[Precio Unitario Neto]]-Tabla4[[#This Row],[20.85%]]-Tabla4[[#This Row],[Costo]]</f>
        <v>#N/A</v>
      </c>
      <c r="S4906" s="282" t="e">
        <f>++Tabla4[[#This Row],[U. Bruta Uni]]*Tabla4[[#This Row],[Cantidad]]</f>
        <v>#N/A</v>
      </c>
      <c r="T4906" s="369" t="str">
        <f>VLOOKUP(Tabla4[[#This Row],[Producto]],Tabla6[#All],14,FALSE)</f>
        <v>Termico Solar</v>
      </c>
      <c r="U4906" s="284" t="e">
        <f>(IF(Tabla4[[#This Row],[Familia]]="termico solar",Tabla4[[#This Row],[Utilidad Total]]*6%,Tabla4[[#This Row],[Utilidad Total]]*11.5%))/Tabla4[[#This Row],[Total]]</f>
        <v>#N/A</v>
      </c>
      <c r="V4906" s="282" t="e">
        <f>+Tabla4[[#This Row],[Comisión Calculada]]*Tabla4[[#This Row],[Total]]</f>
        <v>#N/A</v>
      </c>
    </row>
    <row r="4907" spans="1:22" hidden="1" x14ac:dyDescent="0.25">
      <c r="A4907" s="100">
        <v>45869</v>
      </c>
      <c r="B4907" t="str">
        <f t="shared" si="241"/>
        <v>July</v>
      </c>
      <c r="C4907" s="46" t="s">
        <v>280</v>
      </c>
      <c r="F4907" s="366" t="s">
        <v>2573</v>
      </c>
      <c r="G4907" s="46" t="s">
        <v>16</v>
      </c>
      <c r="H4907" s="46">
        <v>1</v>
      </c>
      <c r="I4907" s="51">
        <v>4103.8500000000004</v>
      </c>
      <c r="J4907" s="281">
        <f>++Tabla4[[#This Row],[Precio Bruto]]*1.16</f>
        <v>4760.4660000000003</v>
      </c>
      <c r="K4907" s="281">
        <f>+Tabla4[[#This Row],[Precio Unitario Neto]]*Tabla4[[#Headers],[20.85%]]</f>
        <v>992.55716100000006</v>
      </c>
      <c r="L4907" s="282">
        <f>++Tabla4[[#This Row],[Precio Unitario Neto]]-Tabla4[[#This Row],[20.85%]]</f>
        <v>3767.9088390000002</v>
      </c>
      <c r="M4907" s="282" t="e">
        <f>(INDEX(Tabla6[#All],MATCH(Tabla4[[#This Row],[Producto]],Tabla6[[#All],[PRODUCTO]],0),MATCH(Tabla4[[#This Row],[Mes]],Tabla6[#Headers],0)))*(1+Catalogos!$L$2)</f>
        <v>#N/A</v>
      </c>
      <c r="N4907" s="283" t="e">
        <f>+(Tabla4[[#This Row],[Precio Descontado]]-Tabla4[[#This Row],[Precio Base]])*Tabla4[[#This Row],[Cantidad]]</f>
        <v>#N/A</v>
      </c>
      <c r="O4907" s="284" t="e">
        <f>++Tabla4[[#This Row],[Utilidad Total]]/Tabla4[[#This Row],[Total]]</f>
        <v>#N/A</v>
      </c>
      <c r="P4907" s="282">
        <f>++Tabla4[[#This Row],[Precio Descontado]]*Tabla4[[#This Row],[Cantidad]]</f>
        <v>3767.9088390000002</v>
      </c>
      <c r="Q4907" s="282" t="e">
        <f>(INDEX(Tabla6[#All],MATCH(Tabla4[[#This Row],[Producto]],Tabla6[[#All],[PRODUCTO]],0),MATCH(Tabla4[[#This Row],[Mes]],Tabla6[#Headers],0)))</f>
        <v>#N/A</v>
      </c>
      <c r="R4907" s="282" t="e">
        <f>++Tabla4[[#This Row],[Precio Unitario Neto]]-Tabla4[[#This Row],[20.85%]]-Tabla4[[#This Row],[Costo]]</f>
        <v>#N/A</v>
      </c>
      <c r="S4907" s="282" t="e">
        <f>++Tabla4[[#This Row],[U. Bruta Uni]]*Tabla4[[#This Row],[Cantidad]]</f>
        <v>#N/A</v>
      </c>
      <c r="T4907" s="369" t="str">
        <f>VLOOKUP(Tabla4[[#This Row],[Producto]],Tabla6[#All],14,FALSE)</f>
        <v>Termico Solar</v>
      </c>
      <c r="U4907" s="284" t="e">
        <f>(IF(Tabla4[[#This Row],[Familia]]="termico solar",Tabla4[[#This Row],[Utilidad Total]]*6%,Tabla4[[#This Row],[Utilidad Total]]*11.5%))/Tabla4[[#This Row],[Total]]</f>
        <v>#N/A</v>
      </c>
      <c r="V4907" s="282" t="e">
        <f>+Tabla4[[#This Row],[Comisión Calculada]]*Tabla4[[#This Row],[Total]]</f>
        <v>#N/A</v>
      </c>
    </row>
    <row r="4908" spans="1:22" hidden="1" x14ac:dyDescent="0.25">
      <c r="A4908" s="100">
        <v>45869</v>
      </c>
      <c r="B4908" t="str">
        <f t="shared" si="241"/>
        <v>July</v>
      </c>
      <c r="C4908" s="46" t="s">
        <v>280</v>
      </c>
      <c r="F4908" s="366" t="s">
        <v>2574</v>
      </c>
      <c r="G4908" s="46" t="s">
        <v>208</v>
      </c>
      <c r="H4908" s="46">
        <v>1</v>
      </c>
      <c r="I4908" s="51">
        <v>189.75</v>
      </c>
      <c r="J4908" s="281">
        <f>++Tabla4[[#This Row],[Precio Bruto]]*1.16</f>
        <v>220.10999999999999</v>
      </c>
      <c r="K4908" s="281">
        <f>+Tabla4[[#This Row],[Precio Unitario Neto]]*Tabla4[[#Headers],[20.85%]]</f>
        <v>45.892934999999994</v>
      </c>
      <c r="L4908" s="282">
        <f>++Tabla4[[#This Row],[Precio Unitario Neto]]-Tabla4[[#This Row],[20.85%]]</f>
        <v>174.21706499999999</v>
      </c>
      <c r="M4908" s="282" t="e">
        <f>(INDEX(Tabla6[#All],MATCH(Tabla4[[#This Row],[Producto]],Tabla6[[#All],[PRODUCTO]],0),MATCH(Tabla4[[#This Row],[Mes]],Tabla6[#Headers],0)))*(1+Catalogos!$L$2)</f>
        <v>#N/A</v>
      </c>
      <c r="N4908" s="283" t="e">
        <f>+(Tabla4[[#This Row],[Precio Descontado]]-Tabla4[[#This Row],[Precio Base]])*Tabla4[[#This Row],[Cantidad]]</f>
        <v>#N/A</v>
      </c>
      <c r="O4908" s="284" t="e">
        <f>++Tabla4[[#This Row],[Utilidad Total]]/Tabla4[[#This Row],[Total]]</f>
        <v>#N/A</v>
      </c>
      <c r="P4908" s="282">
        <f>++Tabla4[[#This Row],[Precio Descontado]]*Tabla4[[#This Row],[Cantidad]]</f>
        <v>174.21706499999999</v>
      </c>
      <c r="Q4908" s="282" t="e">
        <f>(INDEX(Tabla6[#All],MATCH(Tabla4[[#This Row],[Producto]],Tabla6[[#All],[PRODUCTO]],0),MATCH(Tabla4[[#This Row],[Mes]],Tabla6[#Headers],0)))</f>
        <v>#N/A</v>
      </c>
      <c r="R4908" s="282" t="e">
        <f>++Tabla4[[#This Row],[Precio Unitario Neto]]-Tabla4[[#This Row],[20.85%]]-Tabla4[[#This Row],[Costo]]</f>
        <v>#N/A</v>
      </c>
      <c r="S4908" s="282" t="e">
        <f>++Tabla4[[#This Row],[U. Bruta Uni]]*Tabla4[[#This Row],[Cantidad]]</f>
        <v>#N/A</v>
      </c>
      <c r="T4908" s="369" t="str">
        <f>VLOOKUP(Tabla4[[#This Row],[Producto]],Tabla6[#All],14,FALSE)</f>
        <v>Termico Solar</v>
      </c>
      <c r="U4908" s="284" t="e">
        <f>(IF(Tabla4[[#This Row],[Familia]]="termico solar",Tabla4[[#This Row],[Utilidad Total]]*6%,Tabla4[[#This Row],[Utilidad Total]]*11.5%))/Tabla4[[#This Row],[Total]]</f>
        <v>#N/A</v>
      </c>
      <c r="V4908" s="282" t="e">
        <f>+Tabla4[[#This Row],[Comisión Calculada]]*Tabla4[[#This Row],[Total]]</f>
        <v>#N/A</v>
      </c>
    </row>
    <row r="4909" spans="1:22" hidden="1" x14ac:dyDescent="0.25">
      <c r="A4909" s="100">
        <v>45869</v>
      </c>
      <c r="B4909" t="str">
        <f t="shared" si="241"/>
        <v>July</v>
      </c>
      <c r="C4909" s="46" t="s">
        <v>280</v>
      </c>
      <c r="F4909" s="366" t="s">
        <v>2575</v>
      </c>
      <c r="G4909" s="46" t="s">
        <v>17</v>
      </c>
      <c r="H4909" s="46">
        <v>1</v>
      </c>
      <c r="I4909" s="51">
        <v>4622.28</v>
      </c>
      <c r="J4909" s="281">
        <f>++Tabla4[[#This Row],[Precio Bruto]]*1.16</f>
        <v>5361.8447999999989</v>
      </c>
      <c r="K4909" s="281">
        <f>+Tabla4[[#This Row],[Precio Unitario Neto]]*Tabla4[[#Headers],[20.85%]]</f>
        <v>1117.9446407999997</v>
      </c>
      <c r="L4909" s="282">
        <f>++Tabla4[[#This Row],[Precio Unitario Neto]]-Tabla4[[#This Row],[20.85%]]</f>
        <v>4243.9001591999995</v>
      </c>
      <c r="M4909" s="282" t="e">
        <f>(INDEX(Tabla6[#All],MATCH(Tabla4[[#This Row],[Producto]],Tabla6[[#All],[PRODUCTO]],0),MATCH(Tabla4[[#This Row],[Mes]],Tabla6[#Headers],0)))*(1+Catalogos!$L$2)</f>
        <v>#N/A</v>
      </c>
      <c r="N4909" s="283" t="e">
        <f>+(Tabla4[[#This Row],[Precio Descontado]]-Tabla4[[#This Row],[Precio Base]])*Tabla4[[#This Row],[Cantidad]]</f>
        <v>#N/A</v>
      </c>
      <c r="O4909" s="284" t="e">
        <f>++Tabla4[[#This Row],[Utilidad Total]]/Tabla4[[#This Row],[Total]]</f>
        <v>#N/A</v>
      </c>
      <c r="P4909" s="282">
        <f>++Tabla4[[#This Row],[Precio Descontado]]*Tabla4[[#This Row],[Cantidad]]</f>
        <v>4243.9001591999995</v>
      </c>
      <c r="Q4909" s="282" t="e">
        <f>(INDEX(Tabla6[#All],MATCH(Tabla4[[#This Row],[Producto]],Tabla6[[#All],[PRODUCTO]],0),MATCH(Tabla4[[#This Row],[Mes]],Tabla6[#Headers],0)))</f>
        <v>#N/A</v>
      </c>
      <c r="R4909" s="282" t="e">
        <f>++Tabla4[[#This Row],[Precio Unitario Neto]]-Tabla4[[#This Row],[20.85%]]-Tabla4[[#This Row],[Costo]]</f>
        <v>#N/A</v>
      </c>
      <c r="S4909" s="282" t="e">
        <f>++Tabla4[[#This Row],[U. Bruta Uni]]*Tabla4[[#This Row],[Cantidad]]</f>
        <v>#N/A</v>
      </c>
      <c r="T4909" s="369" t="str">
        <f>VLOOKUP(Tabla4[[#This Row],[Producto]],Tabla6[#All],14,FALSE)</f>
        <v>Termico Solar</v>
      </c>
      <c r="U4909" s="284" t="e">
        <f>(IF(Tabla4[[#This Row],[Familia]]="termico solar",Tabla4[[#This Row],[Utilidad Total]]*6%,Tabla4[[#This Row],[Utilidad Total]]*11.5%))/Tabla4[[#This Row],[Total]]</f>
        <v>#N/A</v>
      </c>
      <c r="V4909" s="282" t="e">
        <f>+Tabla4[[#This Row],[Comisión Calculada]]*Tabla4[[#This Row],[Total]]</f>
        <v>#N/A</v>
      </c>
    </row>
    <row r="4910" spans="1:22" hidden="1" x14ac:dyDescent="0.25">
      <c r="A4910" s="100">
        <v>45869</v>
      </c>
      <c r="B4910" t="str">
        <f t="shared" si="241"/>
        <v>July</v>
      </c>
      <c r="C4910" s="46" t="s">
        <v>280</v>
      </c>
      <c r="F4910" s="366" t="s">
        <v>2575</v>
      </c>
      <c r="G4910" s="46" t="s">
        <v>18</v>
      </c>
      <c r="H4910" s="46">
        <v>2</v>
      </c>
      <c r="I4910" s="51">
        <v>5367.65</v>
      </c>
      <c r="J4910" s="281">
        <f>++Tabla4[[#This Row],[Precio Bruto]]*1.16</f>
        <v>6226.4739999999993</v>
      </c>
      <c r="K4910" s="281">
        <f>+Tabla4[[#This Row],[Precio Unitario Neto]]*Tabla4[[#Headers],[20.85%]]</f>
        <v>1298.2198289999999</v>
      </c>
      <c r="L4910" s="282">
        <f>++Tabla4[[#This Row],[Precio Unitario Neto]]-Tabla4[[#This Row],[20.85%]]</f>
        <v>4928.2541709999996</v>
      </c>
      <c r="M4910" s="282" t="e">
        <f>(INDEX(Tabla6[#All],MATCH(Tabla4[[#This Row],[Producto]],Tabla6[[#All],[PRODUCTO]],0),MATCH(Tabla4[[#This Row],[Mes]],Tabla6[#Headers],0)))*(1+Catalogos!$L$2)</f>
        <v>#N/A</v>
      </c>
      <c r="N4910" s="283" t="e">
        <f>+(Tabla4[[#This Row],[Precio Descontado]]-Tabla4[[#This Row],[Precio Base]])*Tabla4[[#This Row],[Cantidad]]</f>
        <v>#N/A</v>
      </c>
      <c r="O4910" s="284" t="e">
        <f>++Tabla4[[#This Row],[Utilidad Total]]/Tabla4[[#This Row],[Total]]</f>
        <v>#N/A</v>
      </c>
      <c r="P4910" s="282">
        <f>++Tabla4[[#This Row],[Precio Descontado]]*Tabla4[[#This Row],[Cantidad]]</f>
        <v>9856.5083419999992</v>
      </c>
      <c r="Q4910" s="282" t="e">
        <f>(INDEX(Tabla6[#All],MATCH(Tabla4[[#This Row],[Producto]],Tabla6[[#All],[PRODUCTO]],0),MATCH(Tabla4[[#This Row],[Mes]],Tabla6[#Headers],0)))</f>
        <v>#N/A</v>
      </c>
      <c r="R4910" s="282" t="e">
        <f>++Tabla4[[#This Row],[Precio Unitario Neto]]-Tabla4[[#This Row],[20.85%]]-Tabla4[[#This Row],[Costo]]</f>
        <v>#N/A</v>
      </c>
      <c r="S4910" s="282" t="e">
        <f>++Tabla4[[#This Row],[U. Bruta Uni]]*Tabla4[[#This Row],[Cantidad]]</f>
        <v>#N/A</v>
      </c>
      <c r="T4910" s="369" t="str">
        <f>VLOOKUP(Tabla4[[#This Row],[Producto]],Tabla6[#All],14,FALSE)</f>
        <v>Termico Solar</v>
      </c>
      <c r="U4910" s="284" t="e">
        <f>(IF(Tabla4[[#This Row],[Familia]]="termico solar",Tabla4[[#This Row],[Utilidad Total]]*6%,Tabla4[[#This Row],[Utilidad Total]]*11.5%))/Tabla4[[#This Row],[Total]]</f>
        <v>#N/A</v>
      </c>
      <c r="V4910" s="282" t="e">
        <f>+Tabla4[[#This Row],[Comisión Calculada]]*Tabla4[[#This Row],[Total]]</f>
        <v>#N/A</v>
      </c>
    </row>
    <row r="4911" spans="1:22" hidden="1" x14ac:dyDescent="0.25">
      <c r="A4911" s="100">
        <v>45869</v>
      </c>
      <c r="B4911" t="str">
        <f t="shared" si="241"/>
        <v>July</v>
      </c>
      <c r="C4911" s="46" t="s">
        <v>280</v>
      </c>
      <c r="F4911" s="366" t="s">
        <v>2575</v>
      </c>
      <c r="G4911" s="46" t="s">
        <v>16</v>
      </c>
      <c r="H4911" s="46">
        <v>2</v>
      </c>
      <c r="I4911" s="51">
        <v>4103.8500000000004</v>
      </c>
      <c r="J4911" s="281">
        <f>++Tabla4[[#This Row],[Precio Bruto]]*1.16</f>
        <v>4760.4660000000003</v>
      </c>
      <c r="K4911" s="281">
        <f>+Tabla4[[#This Row],[Precio Unitario Neto]]*Tabla4[[#Headers],[20.85%]]</f>
        <v>992.55716100000006</v>
      </c>
      <c r="L4911" s="282">
        <f>++Tabla4[[#This Row],[Precio Unitario Neto]]-Tabla4[[#This Row],[20.85%]]</f>
        <v>3767.9088390000002</v>
      </c>
      <c r="M4911" s="282" t="e">
        <f>(INDEX(Tabla6[#All],MATCH(Tabla4[[#This Row],[Producto]],Tabla6[[#All],[PRODUCTO]],0),MATCH(Tabla4[[#This Row],[Mes]],Tabla6[#Headers],0)))*(1+Catalogos!$L$2)</f>
        <v>#N/A</v>
      </c>
      <c r="N4911" s="283" t="e">
        <f>+(Tabla4[[#This Row],[Precio Descontado]]-Tabla4[[#This Row],[Precio Base]])*Tabla4[[#This Row],[Cantidad]]</f>
        <v>#N/A</v>
      </c>
      <c r="O4911" s="284" t="e">
        <f>++Tabla4[[#This Row],[Utilidad Total]]/Tabla4[[#This Row],[Total]]</f>
        <v>#N/A</v>
      </c>
      <c r="P4911" s="282">
        <f>++Tabla4[[#This Row],[Precio Descontado]]*Tabla4[[#This Row],[Cantidad]]</f>
        <v>7535.8176780000003</v>
      </c>
      <c r="Q4911" s="282" t="e">
        <f>(INDEX(Tabla6[#All],MATCH(Tabla4[[#This Row],[Producto]],Tabla6[[#All],[PRODUCTO]],0),MATCH(Tabla4[[#This Row],[Mes]],Tabla6[#Headers],0)))</f>
        <v>#N/A</v>
      </c>
      <c r="R4911" s="282" t="e">
        <f>++Tabla4[[#This Row],[Precio Unitario Neto]]-Tabla4[[#This Row],[20.85%]]-Tabla4[[#This Row],[Costo]]</f>
        <v>#N/A</v>
      </c>
      <c r="S4911" s="282" t="e">
        <f>++Tabla4[[#This Row],[U. Bruta Uni]]*Tabla4[[#This Row],[Cantidad]]</f>
        <v>#N/A</v>
      </c>
      <c r="T4911" s="369" t="str">
        <f>VLOOKUP(Tabla4[[#This Row],[Producto]],Tabla6[#All],14,FALSE)</f>
        <v>Termico Solar</v>
      </c>
      <c r="U4911" s="284" t="e">
        <f>(IF(Tabla4[[#This Row],[Familia]]="termico solar",Tabla4[[#This Row],[Utilidad Total]]*6%,Tabla4[[#This Row],[Utilidad Total]]*11.5%))/Tabla4[[#This Row],[Total]]</f>
        <v>#N/A</v>
      </c>
      <c r="V4911" s="282" t="e">
        <f>+Tabla4[[#This Row],[Comisión Calculada]]*Tabla4[[#This Row],[Total]]</f>
        <v>#N/A</v>
      </c>
    </row>
    <row r="4912" spans="1:22" hidden="1" x14ac:dyDescent="0.25">
      <c r="A4912" s="100">
        <v>45869</v>
      </c>
      <c r="B4912" t="str">
        <f t="shared" si="241"/>
        <v>July</v>
      </c>
      <c r="C4912" s="46" t="s">
        <v>280</v>
      </c>
      <c r="F4912" s="366" t="s">
        <v>2576</v>
      </c>
      <c r="G4912" s="46" t="s">
        <v>18</v>
      </c>
      <c r="H4912" s="46">
        <v>1</v>
      </c>
      <c r="I4912" s="51">
        <v>5367.65</v>
      </c>
      <c r="J4912" s="281">
        <f>++Tabla4[[#This Row],[Precio Bruto]]*1.16</f>
        <v>6226.4739999999993</v>
      </c>
      <c r="K4912" s="281">
        <f>+Tabla4[[#This Row],[Precio Unitario Neto]]*Tabla4[[#Headers],[20.85%]]</f>
        <v>1298.2198289999999</v>
      </c>
      <c r="L4912" s="282">
        <f>++Tabla4[[#This Row],[Precio Unitario Neto]]-Tabla4[[#This Row],[20.85%]]</f>
        <v>4928.2541709999996</v>
      </c>
      <c r="M4912" s="282" t="e">
        <f>(INDEX(Tabla6[#All],MATCH(Tabla4[[#This Row],[Producto]],Tabla6[[#All],[PRODUCTO]],0),MATCH(Tabla4[[#This Row],[Mes]],Tabla6[#Headers],0)))*(1+Catalogos!$L$2)</f>
        <v>#N/A</v>
      </c>
      <c r="N4912" s="283" t="e">
        <f>+(Tabla4[[#This Row],[Precio Descontado]]-Tabla4[[#This Row],[Precio Base]])*Tabla4[[#This Row],[Cantidad]]</f>
        <v>#N/A</v>
      </c>
      <c r="O4912" s="284" t="e">
        <f>++Tabla4[[#This Row],[Utilidad Total]]/Tabla4[[#This Row],[Total]]</f>
        <v>#N/A</v>
      </c>
      <c r="P4912" s="282">
        <f>++Tabla4[[#This Row],[Precio Descontado]]*Tabla4[[#This Row],[Cantidad]]</f>
        <v>4928.2541709999996</v>
      </c>
      <c r="Q4912" s="282" t="e">
        <f>(INDEX(Tabla6[#All],MATCH(Tabla4[[#This Row],[Producto]],Tabla6[[#All],[PRODUCTO]],0),MATCH(Tabla4[[#This Row],[Mes]],Tabla6[#Headers],0)))</f>
        <v>#N/A</v>
      </c>
      <c r="R4912" s="282" t="e">
        <f>++Tabla4[[#This Row],[Precio Unitario Neto]]-Tabla4[[#This Row],[20.85%]]-Tabla4[[#This Row],[Costo]]</f>
        <v>#N/A</v>
      </c>
      <c r="S4912" s="282" t="e">
        <f>++Tabla4[[#This Row],[U. Bruta Uni]]*Tabla4[[#This Row],[Cantidad]]</f>
        <v>#N/A</v>
      </c>
      <c r="T4912" s="369" t="str">
        <f>VLOOKUP(Tabla4[[#This Row],[Producto]],Tabla6[#All],14,FALSE)</f>
        <v>Termico Solar</v>
      </c>
      <c r="U4912" s="284" t="e">
        <f>(IF(Tabla4[[#This Row],[Familia]]="termico solar",Tabla4[[#This Row],[Utilidad Total]]*6%,Tabla4[[#This Row],[Utilidad Total]]*11.5%))/Tabla4[[#This Row],[Total]]</f>
        <v>#N/A</v>
      </c>
      <c r="V4912" s="282" t="e">
        <f>+Tabla4[[#This Row],[Comisión Calculada]]*Tabla4[[#This Row],[Total]]</f>
        <v>#N/A</v>
      </c>
    </row>
    <row r="4913" spans="1:22" hidden="1" x14ac:dyDescent="0.25">
      <c r="A4913" s="100">
        <v>45869</v>
      </c>
      <c r="B4913" t="str">
        <f t="shared" si="241"/>
        <v>July</v>
      </c>
      <c r="C4913" s="46" t="s">
        <v>280</v>
      </c>
      <c r="F4913" s="366" t="s">
        <v>2576</v>
      </c>
      <c r="G4913" s="46" t="s">
        <v>16</v>
      </c>
      <c r="H4913" s="46">
        <v>2</v>
      </c>
      <c r="I4913" s="51">
        <v>4103.8500000000004</v>
      </c>
      <c r="J4913" s="281">
        <f>++Tabla4[[#This Row],[Precio Bruto]]*1.16</f>
        <v>4760.4660000000003</v>
      </c>
      <c r="K4913" s="281">
        <f>+Tabla4[[#This Row],[Precio Unitario Neto]]*Tabla4[[#Headers],[20.85%]]</f>
        <v>992.55716100000006</v>
      </c>
      <c r="L4913" s="282">
        <f>++Tabla4[[#This Row],[Precio Unitario Neto]]-Tabla4[[#This Row],[20.85%]]</f>
        <v>3767.9088390000002</v>
      </c>
      <c r="M4913" s="282" t="e">
        <f>(INDEX(Tabla6[#All],MATCH(Tabla4[[#This Row],[Producto]],Tabla6[[#All],[PRODUCTO]],0),MATCH(Tabla4[[#This Row],[Mes]],Tabla6[#Headers],0)))*(1+Catalogos!$L$2)</f>
        <v>#N/A</v>
      </c>
      <c r="N4913" s="283" t="e">
        <f>+(Tabla4[[#This Row],[Precio Descontado]]-Tabla4[[#This Row],[Precio Base]])*Tabla4[[#This Row],[Cantidad]]</f>
        <v>#N/A</v>
      </c>
      <c r="O4913" s="284" t="e">
        <f>++Tabla4[[#This Row],[Utilidad Total]]/Tabla4[[#This Row],[Total]]</f>
        <v>#N/A</v>
      </c>
      <c r="P4913" s="282">
        <f>++Tabla4[[#This Row],[Precio Descontado]]*Tabla4[[#This Row],[Cantidad]]</f>
        <v>7535.8176780000003</v>
      </c>
      <c r="Q4913" s="282" t="e">
        <f>(INDEX(Tabla6[#All],MATCH(Tabla4[[#This Row],[Producto]],Tabla6[[#All],[PRODUCTO]],0),MATCH(Tabla4[[#This Row],[Mes]],Tabla6[#Headers],0)))</f>
        <v>#N/A</v>
      </c>
      <c r="R4913" s="282" t="e">
        <f>++Tabla4[[#This Row],[Precio Unitario Neto]]-Tabla4[[#This Row],[20.85%]]-Tabla4[[#This Row],[Costo]]</f>
        <v>#N/A</v>
      </c>
      <c r="S4913" s="282" t="e">
        <f>++Tabla4[[#This Row],[U. Bruta Uni]]*Tabla4[[#This Row],[Cantidad]]</f>
        <v>#N/A</v>
      </c>
      <c r="T4913" s="369" t="str">
        <f>VLOOKUP(Tabla4[[#This Row],[Producto]],Tabla6[#All],14,FALSE)</f>
        <v>Termico Solar</v>
      </c>
      <c r="U4913" s="284" t="e">
        <f>(IF(Tabla4[[#This Row],[Familia]]="termico solar",Tabla4[[#This Row],[Utilidad Total]]*6%,Tabla4[[#This Row],[Utilidad Total]]*11.5%))/Tabla4[[#This Row],[Total]]</f>
        <v>#N/A</v>
      </c>
      <c r="V4913" s="282" t="e">
        <f>+Tabla4[[#This Row],[Comisión Calculada]]*Tabla4[[#This Row],[Total]]</f>
        <v>#N/A</v>
      </c>
    </row>
    <row r="4914" spans="1:22" hidden="1" x14ac:dyDescent="0.25">
      <c r="A4914" s="100">
        <v>45869</v>
      </c>
      <c r="B4914" t="str">
        <f t="shared" si="241"/>
        <v>July</v>
      </c>
      <c r="C4914" s="46" t="s">
        <v>280</v>
      </c>
      <c r="F4914" s="366" t="s">
        <v>2577</v>
      </c>
      <c r="G4914" s="46" t="s">
        <v>412</v>
      </c>
      <c r="H4914" s="46">
        <v>2</v>
      </c>
      <c r="I4914" s="51">
        <v>3240.84</v>
      </c>
      <c r="J4914" s="281">
        <f>++Tabla4[[#This Row],[Precio Bruto]]*1.16</f>
        <v>3759.3743999999997</v>
      </c>
      <c r="K4914" s="281">
        <f>+Tabla4[[#This Row],[Precio Unitario Neto]]*Tabla4[[#Headers],[20.85%]]</f>
        <v>783.82956239999987</v>
      </c>
      <c r="L4914" s="282">
        <f>++Tabla4[[#This Row],[Precio Unitario Neto]]-Tabla4[[#This Row],[20.85%]]</f>
        <v>2975.5448375999999</v>
      </c>
      <c r="M4914" s="282" t="e">
        <f>(INDEX(Tabla6[#All],MATCH(Tabla4[[#This Row],[Producto]],Tabla6[[#All],[PRODUCTO]],0),MATCH(Tabla4[[#This Row],[Mes]],Tabla6[#Headers],0)))*(1+Catalogos!$L$2)</f>
        <v>#N/A</v>
      </c>
      <c r="N4914" s="283" t="e">
        <f>+(Tabla4[[#This Row],[Precio Descontado]]-Tabla4[[#This Row],[Precio Base]])*Tabla4[[#This Row],[Cantidad]]</f>
        <v>#N/A</v>
      </c>
      <c r="O4914" s="284" t="e">
        <f>++Tabla4[[#This Row],[Utilidad Total]]/Tabla4[[#This Row],[Total]]</f>
        <v>#N/A</v>
      </c>
      <c r="P4914" s="282">
        <f>++Tabla4[[#This Row],[Precio Descontado]]*Tabla4[[#This Row],[Cantidad]]</f>
        <v>5951.0896751999999</v>
      </c>
      <c r="Q4914" s="282" t="e">
        <f>(INDEX(Tabla6[#All],MATCH(Tabla4[[#This Row],[Producto]],Tabla6[[#All],[PRODUCTO]],0),MATCH(Tabla4[[#This Row],[Mes]],Tabla6[#Headers],0)))</f>
        <v>#N/A</v>
      </c>
      <c r="R4914" s="282" t="e">
        <f>++Tabla4[[#This Row],[Precio Unitario Neto]]-Tabla4[[#This Row],[20.85%]]-Tabla4[[#This Row],[Costo]]</f>
        <v>#N/A</v>
      </c>
      <c r="S4914" s="282" t="e">
        <f>++Tabla4[[#This Row],[U. Bruta Uni]]*Tabla4[[#This Row],[Cantidad]]</f>
        <v>#N/A</v>
      </c>
      <c r="T4914" s="369" t="str">
        <f>VLOOKUP(Tabla4[[#This Row],[Producto]],Tabla6[#All],14,FALSE)</f>
        <v>Termico Solar</v>
      </c>
      <c r="U4914" s="284" t="e">
        <f>(IF(Tabla4[[#This Row],[Familia]]="termico solar",Tabla4[[#This Row],[Utilidad Total]]*6%,Tabla4[[#This Row],[Utilidad Total]]*11.5%))/Tabla4[[#This Row],[Total]]</f>
        <v>#N/A</v>
      </c>
      <c r="V4914" s="282" t="e">
        <f>+Tabla4[[#This Row],[Comisión Calculada]]*Tabla4[[#This Row],[Total]]</f>
        <v>#N/A</v>
      </c>
    </row>
    <row r="4915" spans="1:22" hidden="1" x14ac:dyDescent="0.25">
      <c r="A4915" s="100">
        <v>45869</v>
      </c>
      <c r="B4915" t="str">
        <f t="shared" si="241"/>
        <v>July</v>
      </c>
      <c r="C4915" s="46" t="s">
        <v>280</v>
      </c>
      <c r="F4915" s="366" t="s">
        <v>2578</v>
      </c>
      <c r="G4915" s="46" t="s">
        <v>83</v>
      </c>
      <c r="H4915" s="46">
        <v>1</v>
      </c>
      <c r="I4915" s="51">
        <v>8858.76</v>
      </c>
      <c r="J4915" s="281">
        <f>++Tabla4[[#This Row],[Precio Bruto]]*1.16</f>
        <v>10276.161599999999</v>
      </c>
      <c r="K4915" s="281">
        <f>+Tabla4[[#This Row],[Precio Unitario Neto]]*Tabla4[[#Headers],[20.85%]]</f>
        <v>2142.5796935999997</v>
      </c>
      <c r="L4915" s="282">
        <f>++Tabla4[[#This Row],[Precio Unitario Neto]]-Tabla4[[#This Row],[20.85%]]</f>
        <v>8133.5819063999998</v>
      </c>
      <c r="M4915" s="282" t="e">
        <f>(INDEX(Tabla6[#All],MATCH(Tabla4[[#This Row],[Producto]],Tabla6[[#All],[PRODUCTO]],0),MATCH(Tabla4[[#This Row],[Mes]],Tabla6[#Headers],0)))*(1+Catalogos!$L$2)</f>
        <v>#N/A</v>
      </c>
      <c r="N4915" s="283" t="e">
        <f>+(Tabla4[[#This Row],[Precio Descontado]]-Tabla4[[#This Row],[Precio Base]])*Tabla4[[#This Row],[Cantidad]]</f>
        <v>#N/A</v>
      </c>
      <c r="O4915" s="284" t="e">
        <f>++Tabla4[[#This Row],[Utilidad Total]]/Tabla4[[#This Row],[Total]]</f>
        <v>#N/A</v>
      </c>
      <c r="P4915" s="282">
        <f>++Tabla4[[#This Row],[Precio Descontado]]*Tabla4[[#This Row],[Cantidad]]</f>
        <v>8133.5819063999998</v>
      </c>
      <c r="Q4915" s="282" t="e">
        <f>(INDEX(Tabla6[#All],MATCH(Tabla4[[#This Row],[Producto]],Tabla6[[#All],[PRODUCTO]],0),MATCH(Tabla4[[#This Row],[Mes]],Tabla6[#Headers],0)))</f>
        <v>#N/A</v>
      </c>
      <c r="R4915" s="282" t="e">
        <f>++Tabla4[[#This Row],[Precio Unitario Neto]]-Tabla4[[#This Row],[20.85%]]-Tabla4[[#This Row],[Costo]]</f>
        <v>#N/A</v>
      </c>
      <c r="S4915" s="282" t="e">
        <f>++Tabla4[[#This Row],[U. Bruta Uni]]*Tabla4[[#This Row],[Cantidad]]</f>
        <v>#N/A</v>
      </c>
      <c r="T4915" s="369" t="str">
        <f>VLOOKUP(Tabla4[[#This Row],[Producto]],Tabla6[#All],14,FALSE)</f>
        <v>Termico Solar</v>
      </c>
      <c r="U4915" s="284" t="e">
        <f>(IF(Tabla4[[#This Row],[Familia]]="termico solar",Tabla4[[#This Row],[Utilidad Total]]*6%,Tabla4[[#This Row],[Utilidad Total]]*11.5%))/Tabla4[[#This Row],[Total]]</f>
        <v>#N/A</v>
      </c>
      <c r="V4915" s="282" t="e">
        <f>+Tabla4[[#This Row],[Comisión Calculada]]*Tabla4[[#This Row],[Total]]</f>
        <v>#N/A</v>
      </c>
    </row>
    <row r="4916" spans="1:22" hidden="1" x14ac:dyDescent="0.25">
      <c r="A4916" s="100">
        <v>45869</v>
      </c>
      <c r="B4916" t="str">
        <f t="shared" si="241"/>
        <v>July</v>
      </c>
      <c r="C4916" s="46" t="s">
        <v>280</v>
      </c>
      <c r="F4916" s="366" t="s">
        <v>2579</v>
      </c>
      <c r="G4916" s="46" t="s">
        <v>83</v>
      </c>
      <c r="H4916" s="46">
        <v>1</v>
      </c>
      <c r="I4916" s="51">
        <v>8858.76</v>
      </c>
      <c r="J4916" s="281">
        <f>++Tabla4[[#This Row],[Precio Bruto]]*1.16</f>
        <v>10276.161599999999</v>
      </c>
      <c r="K4916" s="281">
        <f>+Tabla4[[#This Row],[Precio Unitario Neto]]*Tabla4[[#Headers],[20.85%]]</f>
        <v>2142.5796935999997</v>
      </c>
      <c r="L4916" s="282">
        <f>++Tabla4[[#This Row],[Precio Unitario Neto]]-Tabla4[[#This Row],[20.85%]]</f>
        <v>8133.5819063999998</v>
      </c>
      <c r="M4916" s="282" t="e">
        <f>(INDEX(Tabla6[#All],MATCH(Tabla4[[#This Row],[Producto]],Tabla6[[#All],[PRODUCTO]],0),MATCH(Tabla4[[#This Row],[Mes]],Tabla6[#Headers],0)))*(1+Catalogos!$L$2)</f>
        <v>#N/A</v>
      </c>
      <c r="N4916" s="283" t="e">
        <f>+(Tabla4[[#This Row],[Precio Descontado]]-Tabla4[[#This Row],[Precio Base]])*Tabla4[[#This Row],[Cantidad]]</f>
        <v>#N/A</v>
      </c>
      <c r="O4916" s="284" t="e">
        <f>++Tabla4[[#This Row],[Utilidad Total]]/Tabla4[[#This Row],[Total]]</f>
        <v>#N/A</v>
      </c>
      <c r="P4916" s="282">
        <f>++Tabla4[[#This Row],[Precio Descontado]]*Tabla4[[#This Row],[Cantidad]]</f>
        <v>8133.5819063999998</v>
      </c>
      <c r="Q4916" s="282" t="e">
        <f>(INDEX(Tabla6[#All],MATCH(Tabla4[[#This Row],[Producto]],Tabla6[[#All],[PRODUCTO]],0),MATCH(Tabla4[[#This Row],[Mes]],Tabla6[#Headers],0)))</f>
        <v>#N/A</v>
      </c>
      <c r="R4916" s="282" t="e">
        <f>++Tabla4[[#This Row],[Precio Unitario Neto]]-Tabla4[[#This Row],[20.85%]]-Tabla4[[#This Row],[Costo]]</f>
        <v>#N/A</v>
      </c>
      <c r="S4916" s="282" t="e">
        <f>++Tabla4[[#This Row],[U. Bruta Uni]]*Tabla4[[#This Row],[Cantidad]]</f>
        <v>#N/A</v>
      </c>
      <c r="T4916" s="369" t="str">
        <f>VLOOKUP(Tabla4[[#This Row],[Producto]],Tabla6[#All],14,FALSE)</f>
        <v>Termico Solar</v>
      </c>
      <c r="U4916" s="284" t="e">
        <f>(IF(Tabla4[[#This Row],[Familia]]="termico solar",Tabla4[[#This Row],[Utilidad Total]]*6%,Tabla4[[#This Row],[Utilidad Total]]*11.5%))/Tabla4[[#This Row],[Total]]</f>
        <v>#N/A</v>
      </c>
      <c r="V4916" s="282" t="e">
        <f>+Tabla4[[#This Row],[Comisión Calculada]]*Tabla4[[#This Row],[Total]]</f>
        <v>#N/A</v>
      </c>
    </row>
    <row r="4917" spans="1:22" hidden="1" x14ac:dyDescent="0.25">
      <c r="A4917" s="100">
        <v>45869</v>
      </c>
      <c r="B4917" t="str">
        <f t="shared" si="241"/>
        <v>July</v>
      </c>
      <c r="C4917" s="46" t="s">
        <v>280</v>
      </c>
      <c r="F4917" s="366" t="s">
        <v>2579</v>
      </c>
      <c r="G4917" s="46" t="s">
        <v>566</v>
      </c>
      <c r="H4917" s="46">
        <v>1</v>
      </c>
      <c r="I4917" s="51">
        <v>2109.4499999999998</v>
      </c>
      <c r="J4917" s="281">
        <f>++Tabla4[[#This Row],[Precio Bruto]]*1.16</f>
        <v>2446.9619999999995</v>
      </c>
      <c r="K4917" s="281">
        <f>+Tabla4[[#This Row],[Precio Unitario Neto]]*Tabla4[[#Headers],[20.85%]]</f>
        <v>510.19157699999988</v>
      </c>
      <c r="L4917" s="282">
        <f>++Tabla4[[#This Row],[Precio Unitario Neto]]-Tabla4[[#This Row],[20.85%]]</f>
        <v>1936.7704229999997</v>
      </c>
      <c r="M4917" s="282" t="e">
        <f>(INDEX(Tabla6[#All],MATCH(Tabla4[[#This Row],[Producto]],Tabla6[[#All],[PRODUCTO]],0),MATCH(Tabla4[[#This Row],[Mes]],Tabla6[#Headers],0)))*(1+Catalogos!$L$2)</f>
        <v>#N/A</v>
      </c>
      <c r="N4917" s="283" t="e">
        <f>+(Tabla4[[#This Row],[Precio Descontado]]-Tabla4[[#This Row],[Precio Base]])*Tabla4[[#This Row],[Cantidad]]</f>
        <v>#N/A</v>
      </c>
      <c r="O4917" s="284" t="e">
        <f>++Tabla4[[#This Row],[Utilidad Total]]/Tabla4[[#This Row],[Total]]</f>
        <v>#N/A</v>
      </c>
      <c r="P4917" s="282">
        <f>++Tabla4[[#This Row],[Precio Descontado]]*Tabla4[[#This Row],[Cantidad]]</f>
        <v>1936.7704229999997</v>
      </c>
      <c r="Q4917" s="282" t="e">
        <f>(INDEX(Tabla6[#All],MATCH(Tabla4[[#This Row],[Producto]],Tabla6[[#All],[PRODUCTO]],0),MATCH(Tabla4[[#This Row],[Mes]],Tabla6[#Headers],0)))</f>
        <v>#N/A</v>
      </c>
      <c r="R4917" s="282" t="e">
        <f>++Tabla4[[#This Row],[Precio Unitario Neto]]-Tabla4[[#This Row],[20.85%]]-Tabla4[[#This Row],[Costo]]</f>
        <v>#N/A</v>
      </c>
      <c r="S4917" s="282" t="e">
        <f>++Tabla4[[#This Row],[U. Bruta Uni]]*Tabla4[[#This Row],[Cantidad]]</f>
        <v>#N/A</v>
      </c>
      <c r="T4917" s="369" t="str">
        <f>VLOOKUP(Tabla4[[#This Row],[Producto]],Tabla6[#All],14,FALSE)</f>
        <v>Termico Solar</v>
      </c>
      <c r="U4917" s="284" t="e">
        <f>(IF(Tabla4[[#This Row],[Familia]]="termico solar",Tabla4[[#This Row],[Utilidad Total]]*6%,Tabla4[[#This Row],[Utilidad Total]]*11.5%))/Tabla4[[#This Row],[Total]]</f>
        <v>#N/A</v>
      </c>
      <c r="V4917" s="282" t="e">
        <f>+Tabla4[[#This Row],[Comisión Calculada]]*Tabla4[[#This Row],[Total]]</f>
        <v>#N/A</v>
      </c>
    </row>
    <row r="4918" spans="1:22" hidden="1" x14ac:dyDescent="0.25">
      <c r="A4918" s="100">
        <v>45869</v>
      </c>
      <c r="B4918" t="str">
        <f t="shared" si="241"/>
        <v>July</v>
      </c>
      <c r="C4918" s="46" t="s">
        <v>280</v>
      </c>
      <c r="F4918" s="366" t="s">
        <v>2579</v>
      </c>
      <c r="G4918" s="46" t="s">
        <v>208</v>
      </c>
      <c r="H4918" s="46">
        <v>1</v>
      </c>
      <c r="I4918" s="51">
        <v>189.75</v>
      </c>
      <c r="J4918" s="281">
        <f>++Tabla4[[#This Row],[Precio Bruto]]*1.16</f>
        <v>220.10999999999999</v>
      </c>
      <c r="K4918" s="281">
        <f>+Tabla4[[#This Row],[Precio Unitario Neto]]*Tabla4[[#Headers],[20.85%]]</f>
        <v>45.892934999999994</v>
      </c>
      <c r="L4918" s="282">
        <f>++Tabla4[[#This Row],[Precio Unitario Neto]]-Tabla4[[#This Row],[20.85%]]</f>
        <v>174.21706499999999</v>
      </c>
      <c r="M4918" s="282" t="e">
        <f>(INDEX(Tabla6[#All],MATCH(Tabla4[[#This Row],[Producto]],Tabla6[[#All],[PRODUCTO]],0),MATCH(Tabla4[[#This Row],[Mes]],Tabla6[#Headers],0)))*(1+Catalogos!$L$2)</f>
        <v>#N/A</v>
      </c>
      <c r="N4918" s="283" t="e">
        <f>+(Tabla4[[#This Row],[Precio Descontado]]-Tabla4[[#This Row],[Precio Base]])*Tabla4[[#This Row],[Cantidad]]</f>
        <v>#N/A</v>
      </c>
      <c r="O4918" s="284" t="e">
        <f>++Tabla4[[#This Row],[Utilidad Total]]/Tabla4[[#This Row],[Total]]</f>
        <v>#N/A</v>
      </c>
      <c r="P4918" s="282">
        <f>++Tabla4[[#This Row],[Precio Descontado]]*Tabla4[[#This Row],[Cantidad]]</f>
        <v>174.21706499999999</v>
      </c>
      <c r="Q4918" s="282" t="e">
        <f>(INDEX(Tabla6[#All],MATCH(Tabla4[[#This Row],[Producto]],Tabla6[[#All],[PRODUCTO]],0),MATCH(Tabla4[[#This Row],[Mes]],Tabla6[#Headers],0)))</f>
        <v>#N/A</v>
      </c>
      <c r="R4918" s="282" t="e">
        <f>++Tabla4[[#This Row],[Precio Unitario Neto]]-Tabla4[[#This Row],[20.85%]]-Tabla4[[#This Row],[Costo]]</f>
        <v>#N/A</v>
      </c>
      <c r="S4918" s="282" t="e">
        <f>++Tabla4[[#This Row],[U. Bruta Uni]]*Tabla4[[#This Row],[Cantidad]]</f>
        <v>#N/A</v>
      </c>
      <c r="T4918" s="369" t="str">
        <f>VLOOKUP(Tabla4[[#This Row],[Producto]],Tabla6[#All],14,FALSE)</f>
        <v>Termico Solar</v>
      </c>
      <c r="U4918" s="284" t="e">
        <f>(IF(Tabla4[[#This Row],[Familia]]="termico solar",Tabla4[[#This Row],[Utilidad Total]]*6%,Tabla4[[#This Row],[Utilidad Total]]*11.5%))/Tabla4[[#This Row],[Total]]</f>
        <v>#N/A</v>
      </c>
      <c r="V4918" s="282" t="e">
        <f>+Tabla4[[#This Row],[Comisión Calculada]]*Tabla4[[#This Row],[Total]]</f>
        <v>#N/A</v>
      </c>
    </row>
    <row r="4919" spans="1:22" hidden="1" x14ac:dyDescent="0.25">
      <c r="A4919" s="100">
        <v>45869</v>
      </c>
      <c r="B4919" t="str">
        <f t="shared" ref="B4919:B4982" si="242">TEXT(A4919, "mmmm")</f>
        <v>July</v>
      </c>
      <c r="C4919" s="46" t="s">
        <v>280</v>
      </c>
      <c r="F4919" s="366" t="s">
        <v>2580</v>
      </c>
      <c r="G4919" s="46" t="s">
        <v>16</v>
      </c>
      <c r="H4919" s="46">
        <v>1</v>
      </c>
      <c r="I4919" s="51">
        <v>4103.8500000000004</v>
      </c>
      <c r="J4919" s="281">
        <f>++Tabla4[[#This Row],[Precio Bruto]]*1.16</f>
        <v>4760.4660000000003</v>
      </c>
      <c r="K4919" s="281">
        <f>+Tabla4[[#This Row],[Precio Unitario Neto]]*Tabla4[[#Headers],[20.85%]]</f>
        <v>992.55716100000006</v>
      </c>
      <c r="L4919" s="282">
        <f>++Tabla4[[#This Row],[Precio Unitario Neto]]-Tabla4[[#This Row],[20.85%]]</f>
        <v>3767.9088390000002</v>
      </c>
      <c r="M4919" s="282" t="e">
        <f>(INDEX(Tabla6[#All],MATCH(Tabla4[[#This Row],[Producto]],Tabla6[[#All],[PRODUCTO]],0),MATCH(Tabla4[[#This Row],[Mes]],Tabla6[#Headers],0)))*(1+Catalogos!$L$2)</f>
        <v>#N/A</v>
      </c>
      <c r="N4919" s="283" t="e">
        <f>+(Tabla4[[#This Row],[Precio Descontado]]-Tabla4[[#This Row],[Precio Base]])*Tabla4[[#This Row],[Cantidad]]</f>
        <v>#N/A</v>
      </c>
      <c r="O4919" s="284" t="e">
        <f>++Tabla4[[#This Row],[Utilidad Total]]/Tabla4[[#This Row],[Total]]</f>
        <v>#N/A</v>
      </c>
      <c r="P4919" s="282">
        <f>++Tabla4[[#This Row],[Precio Descontado]]*Tabla4[[#This Row],[Cantidad]]</f>
        <v>3767.9088390000002</v>
      </c>
      <c r="Q4919" s="282" t="e">
        <f>(INDEX(Tabla6[#All],MATCH(Tabla4[[#This Row],[Producto]],Tabla6[[#All],[PRODUCTO]],0),MATCH(Tabla4[[#This Row],[Mes]],Tabla6[#Headers],0)))</f>
        <v>#N/A</v>
      </c>
      <c r="R4919" s="282" t="e">
        <f>++Tabla4[[#This Row],[Precio Unitario Neto]]-Tabla4[[#This Row],[20.85%]]-Tabla4[[#This Row],[Costo]]</f>
        <v>#N/A</v>
      </c>
      <c r="S4919" s="282" t="e">
        <f>++Tabla4[[#This Row],[U. Bruta Uni]]*Tabla4[[#This Row],[Cantidad]]</f>
        <v>#N/A</v>
      </c>
      <c r="T4919" s="369" t="str">
        <f>VLOOKUP(Tabla4[[#This Row],[Producto]],Tabla6[#All],14,FALSE)</f>
        <v>Termico Solar</v>
      </c>
      <c r="U4919" s="284" t="e">
        <f>(IF(Tabla4[[#This Row],[Familia]]="termico solar",Tabla4[[#This Row],[Utilidad Total]]*6%,Tabla4[[#This Row],[Utilidad Total]]*11.5%))/Tabla4[[#This Row],[Total]]</f>
        <v>#N/A</v>
      </c>
      <c r="V4919" s="282" t="e">
        <f>+Tabla4[[#This Row],[Comisión Calculada]]*Tabla4[[#This Row],[Total]]</f>
        <v>#N/A</v>
      </c>
    </row>
    <row r="4920" spans="1:22" hidden="1" x14ac:dyDescent="0.25">
      <c r="A4920" s="100">
        <v>45869</v>
      </c>
      <c r="B4920" t="str">
        <f t="shared" si="242"/>
        <v>July</v>
      </c>
      <c r="C4920" s="46" t="s">
        <v>280</v>
      </c>
      <c r="F4920" s="366" t="s">
        <v>2580</v>
      </c>
      <c r="G4920" s="46" t="s">
        <v>208</v>
      </c>
      <c r="H4920" s="46">
        <v>1</v>
      </c>
      <c r="I4920" s="51">
        <v>189.75</v>
      </c>
      <c r="J4920" s="281">
        <f>++Tabla4[[#This Row],[Precio Bruto]]*1.16</f>
        <v>220.10999999999999</v>
      </c>
      <c r="K4920" s="281">
        <f>+Tabla4[[#This Row],[Precio Unitario Neto]]*Tabla4[[#Headers],[20.85%]]</f>
        <v>45.892934999999994</v>
      </c>
      <c r="L4920" s="282">
        <f>++Tabla4[[#This Row],[Precio Unitario Neto]]-Tabla4[[#This Row],[20.85%]]</f>
        <v>174.21706499999999</v>
      </c>
      <c r="M4920" s="282" t="e">
        <f>(INDEX(Tabla6[#All],MATCH(Tabla4[[#This Row],[Producto]],Tabla6[[#All],[PRODUCTO]],0),MATCH(Tabla4[[#This Row],[Mes]],Tabla6[#Headers],0)))*(1+Catalogos!$L$2)</f>
        <v>#N/A</v>
      </c>
      <c r="N4920" s="283" t="e">
        <f>+(Tabla4[[#This Row],[Precio Descontado]]-Tabla4[[#This Row],[Precio Base]])*Tabla4[[#This Row],[Cantidad]]</f>
        <v>#N/A</v>
      </c>
      <c r="O4920" s="284" t="e">
        <f>++Tabla4[[#This Row],[Utilidad Total]]/Tabla4[[#This Row],[Total]]</f>
        <v>#N/A</v>
      </c>
      <c r="P4920" s="282">
        <f>++Tabla4[[#This Row],[Precio Descontado]]*Tabla4[[#This Row],[Cantidad]]</f>
        <v>174.21706499999999</v>
      </c>
      <c r="Q4920" s="282" t="e">
        <f>(INDEX(Tabla6[#All],MATCH(Tabla4[[#This Row],[Producto]],Tabla6[[#All],[PRODUCTO]],0),MATCH(Tabla4[[#This Row],[Mes]],Tabla6[#Headers],0)))</f>
        <v>#N/A</v>
      </c>
      <c r="R4920" s="282" t="e">
        <f>++Tabla4[[#This Row],[Precio Unitario Neto]]-Tabla4[[#This Row],[20.85%]]-Tabla4[[#This Row],[Costo]]</f>
        <v>#N/A</v>
      </c>
      <c r="S4920" s="282" t="e">
        <f>++Tabla4[[#This Row],[U. Bruta Uni]]*Tabla4[[#This Row],[Cantidad]]</f>
        <v>#N/A</v>
      </c>
      <c r="T4920" s="369" t="str">
        <f>VLOOKUP(Tabla4[[#This Row],[Producto]],Tabla6[#All],14,FALSE)</f>
        <v>Termico Solar</v>
      </c>
      <c r="U4920" s="284" t="e">
        <f>(IF(Tabla4[[#This Row],[Familia]]="termico solar",Tabla4[[#This Row],[Utilidad Total]]*6%,Tabla4[[#This Row],[Utilidad Total]]*11.5%))/Tabla4[[#This Row],[Total]]</f>
        <v>#N/A</v>
      </c>
      <c r="V4920" s="282" t="e">
        <f>+Tabla4[[#This Row],[Comisión Calculada]]*Tabla4[[#This Row],[Total]]</f>
        <v>#N/A</v>
      </c>
    </row>
    <row r="4921" spans="1:22" hidden="1" x14ac:dyDescent="0.25">
      <c r="A4921" s="100">
        <v>45869</v>
      </c>
      <c r="B4921" t="str">
        <f t="shared" si="242"/>
        <v>July</v>
      </c>
      <c r="C4921" s="46" t="s">
        <v>280</v>
      </c>
      <c r="F4921" s="366" t="s">
        <v>2581</v>
      </c>
      <c r="G4921" s="46" t="s">
        <v>83</v>
      </c>
      <c r="H4921" s="46">
        <v>1</v>
      </c>
      <c r="I4921" s="51">
        <v>8858.76</v>
      </c>
      <c r="J4921" s="281">
        <f>++Tabla4[[#This Row],[Precio Bruto]]*1.16</f>
        <v>10276.161599999999</v>
      </c>
      <c r="K4921" s="281">
        <f>+Tabla4[[#This Row],[Precio Unitario Neto]]*Tabla4[[#Headers],[20.85%]]</f>
        <v>2142.5796935999997</v>
      </c>
      <c r="L4921" s="282">
        <f>++Tabla4[[#This Row],[Precio Unitario Neto]]-Tabla4[[#This Row],[20.85%]]</f>
        <v>8133.5819063999998</v>
      </c>
      <c r="M4921" s="282" t="e">
        <f>(INDEX(Tabla6[#All],MATCH(Tabla4[[#This Row],[Producto]],Tabla6[[#All],[PRODUCTO]],0),MATCH(Tabla4[[#This Row],[Mes]],Tabla6[#Headers],0)))*(1+Catalogos!$L$2)</f>
        <v>#N/A</v>
      </c>
      <c r="N4921" s="283" t="e">
        <f>+(Tabla4[[#This Row],[Precio Descontado]]-Tabla4[[#This Row],[Precio Base]])*Tabla4[[#This Row],[Cantidad]]</f>
        <v>#N/A</v>
      </c>
      <c r="O4921" s="284" t="e">
        <f>++Tabla4[[#This Row],[Utilidad Total]]/Tabla4[[#This Row],[Total]]</f>
        <v>#N/A</v>
      </c>
      <c r="P4921" s="282">
        <f>++Tabla4[[#This Row],[Precio Descontado]]*Tabla4[[#This Row],[Cantidad]]</f>
        <v>8133.5819063999998</v>
      </c>
      <c r="Q4921" s="282" t="e">
        <f>(INDEX(Tabla6[#All],MATCH(Tabla4[[#This Row],[Producto]],Tabla6[[#All],[PRODUCTO]],0),MATCH(Tabla4[[#This Row],[Mes]],Tabla6[#Headers],0)))</f>
        <v>#N/A</v>
      </c>
      <c r="R4921" s="282" t="e">
        <f>++Tabla4[[#This Row],[Precio Unitario Neto]]-Tabla4[[#This Row],[20.85%]]-Tabla4[[#This Row],[Costo]]</f>
        <v>#N/A</v>
      </c>
      <c r="S4921" s="282" t="e">
        <f>++Tabla4[[#This Row],[U. Bruta Uni]]*Tabla4[[#This Row],[Cantidad]]</f>
        <v>#N/A</v>
      </c>
      <c r="T4921" s="369" t="str">
        <f>VLOOKUP(Tabla4[[#This Row],[Producto]],Tabla6[#All],14,FALSE)</f>
        <v>Termico Solar</v>
      </c>
      <c r="U4921" s="284" t="e">
        <f>(IF(Tabla4[[#This Row],[Familia]]="termico solar",Tabla4[[#This Row],[Utilidad Total]]*6%,Tabla4[[#This Row],[Utilidad Total]]*11.5%))/Tabla4[[#This Row],[Total]]</f>
        <v>#N/A</v>
      </c>
      <c r="V4921" s="282" t="e">
        <f>+Tabla4[[#This Row],[Comisión Calculada]]*Tabla4[[#This Row],[Total]]</f>
        <v>#N/A</v>
      </c>
    </row>
    <row r="4922" spans="1:22" hidden="1" x14ac:dyDescent="0.25">
      <c r="A4922" s="100">
        <v>45869</v>
      </c>
      <c r="B4922" t="str">
        <f t="shared" si="242"/>
        <v>July</v>
      </c>
      <c r="C4922" s="46" t="s">
        <v>280</v>
      </c>
      <c r="F4922" s="366" t="s">
        <v>2581</v>
      </c>
      <c r="G4922" s="46" t="s">
        <v>566</v>
      </c>
      <c r="H4922" s="46">
        <v>1</v>
      </c>
      <c r="I4922" s="51">
        <v>2109.4499999999998</v>
      </c>
      <c r="J4922" s="281">
        <f>++Tabla4[[#This Row],[Precio Bruto]]*1.16</f>
        <v>2446.9619999999995</v>
      </c>
      <c r="K4922" s="281">
        <f>+Tabla4[[#This Row],[Precio Unitario Neto]]*Tabla4[[#Headers],[20.85%]]</f>
        <v>510.19157699999988</v>
      </c>
      <c r="L4922" s="282">
        <f>++Tabla4[[#This Row],[Precio Unitario Neto]]-Tabla4[[#This Row],[20.85%]]</f>
        <v>1936.7704229999997</v>
      </c>
      <c r="M4922" s="282" t="e">
        <f>(INDEX(Tabla6[#All],MATCH(Tabla4[[#This Row],[Producto]],Tabla6[[#All],[PRODUCTO]],0),MATCH(Tabla4[[#This Row],[Mes]],Tabla6[#Headers],0)))*(1+Catalogos!$L$2)</f>
        <v>#N/A</v>
      </c>
      <c r="N4922" s="283" t="e">
        <f>+(Tabla4[[#This Row],[Precio Descontado]]-Tabla4[[#This Row],[Precio Base]])*Tabla4[[#This Row],[Cantidad]]</f>
        <v>#N/A</v>
      </c>
      <c r="O4922" s="284" t="e">
        <f>++Tabla4[[#This Row],[Utilidad Total]]/Tabla4[[#This Row],[Total]]</f>
        <v>#N/A</v>
      </c>
      <c r="P4922" s="282">
        <f>++Tabla4[[#This Row],[Precio Descontado]]*Tabla4[[#This Row],[Cantidad]]</f>
        <v>1936.7704229999997</v>
      </c>
      <c r="Q4922" s="282" t="e">
        <f>(INDEX(Tabla6[#All],MATCH(Tabla4[[#This Row],[Producto]],Tabla6[[#All],[PRODUCTO]],0),MATCH(Tabla4[[#This Row],[Mes]],Tabla6[#Headers],0)))</f>
        <v>#N/A</v>
      </c>
      <c r="R4922" s="282" t="e">
        <f>++Tabla4[[#This Row],[Precio Unitario Neto]]-Tabla4[[#This Row],[20.85%]]-Tabla4[[#This Row],[Costo]]</f>
        <v>#N/A</v>
      </c>
      <c r="S4922" s="282" t="e">
        <f>++Tabla4[[#This Row],[U. Bruta Uni]]*Tabla4[[#This Row],[Cantidad]]</f>
        <v>#N/A</v>
      </c>
      <c r="T4922" s="369" t="str">
        <f>VLOOKUP(Tabla4[[#This Row],[Producto]],Tabla6[#All],14,FALSE)</f>
        <v>Termico Solar</v>
      </c>
      <c r="U4922" s="284" t="e">
        <f>(IF(Tabla4[[#This Row],[Familia]]="termico solar",Tabla4[[#This Row],[Utilidad Total]]*6%,Tabla4[[#This Row],[Utilidad Total]]*11.5%))/Tabla4[[#This Row],[Total]]</f>
        <v>#N/A</v>
      </c>
      <c r="V4922" s="282" t="e">
        <f>+Tabla4[[#This Row],[Comisión Calculada]]*Tabla4[[#This Row],[Total]]</f>
        <v>#N/A</v>
      </c>
    </row>
    <row r="4923" spans="1:22" hidden="1" x14ac:dyDescent="0.25">
      <c r="A4923" s="100">
        <v>45869</v>
      </c>
      <c r="B4923" t="str">
        <f t="shared" si="242"/>
        <v>July</v>
      </c>
      <c r="C4923" s="46" t="s">
        <v>280</v>
      </c>
      <c r="F4923" s="366" t="s">
        <v>2581</v>
      </c>
      <c r="G4923" s="46" t="s">
        <v>16</v>
      </c>
      <c r="H4923" s="46">
        <v>3</v>
      </c>
      <c r="I4923" s="51">
        <v>4103.8499999999995</v>
      </c>
      <c r="J4923" s="281">
        <f>++Tabla4[[#This Row],[Precio Bruto]]*1.16</f>
        <v>4760.4659999999994</v>
      </c>
      <c r="K4923" s="281">
        <f>+Tabla4[[#This Row],[Precio Unitario Neto]]*Tabla4[[#Headers],[20.85%]]</f>
        <v>992.55716099999984</v>
      </c>
      <c r="L4923" s="282">
        <f>++Tabla4[[#This Row],[Precio Unitario Neto]]-Tabla4[[#This Row],[20.85%]]</f>
        <v>3767.9088389999997</v>
      </c>
      <c r="M4923" s="282" t="e">
        <f>(INDEX(Tabla6[#All],MATCH(Tabla4[[#This Row],[Producto]],Tabla6[[#All],[PRODUCTO]],0),MATCH(Tabla4[[#This Row],[Mes]],Tabla6[#Headers],0)))*(1+Catalogos!$L$2)</f>
        <v>#N/A</v>
      </c>
      <c r="N4923" s="283" t="e">
        <f>+(Tabla4[[#This Row],[Precio Descontado]]-Tabla4[[#This Row],[Precio Base]])*Tabla4[[#This Row],[Cantidad]]</f>
        <v>#N/A</v>
      </c>
      <c r="O4923" s="284" t="e">
        <f>++Tabla4[[#This Row],[Utilidad Total]]/Tabla4[[#This Row],[Total]]</f>
        <v>#N/A</v>
      </c>
      <c r="P4923" s="282">
        <f>++Tabla4[[#This Row],[Precio Descontado]]*Tabla4[[#This Row],[Cantidad]]</f>
        <v>11303.726516999999</v>
      </c>
      <c r="Q4923" s="282" t="e">
        <f>(INDEX(Tabla6[#All],MATCH(Tabla4[[#This Row],[Producto]],Tabla6[[#All],[PRODUCTO]],0),MATCH(Tabla4[[#This Row],[Mes]],Tabla6[#Headers],0)))</f>
        <v>#N/A</v>
      </c>
      <c r="R4923" s="282" t="e">
        <f>++Tabla4[[#This Row],[Precio Unitario Neto]]-Tabla4[[#This Row],[20.85%]]-Tabla4[[#This Row],[Costo]]</f>
        <v>#N/A</v>
      </c>
      <c r="S4923" s="282" t="e">
        <f>++Tabla4[[#This Row],[U. Bruta Uni]]*Tabla4[[#This Row],[Cantidad]]</f>
        <v>#N/A</v>
      </c>
      <c r="T4923" s="369" t="str">
        <f>VLOOKUP(Tabla4[[#This Row],[Producto]],Tabla6[#All],14,FALSE)</f>
        <v>Termico Solar</v>
      </c>
      <c r="U4923" s="284" t="e">
        <f>(IF(Tabla4[[#This Row],[Familia]]="termico solar",Tabla4[[#This Row],[Utilidad Total]]*6%,Tabla4[[#This Row],[Utilidad Total]]*11.5%))/Tabla4[[#This Row],[Total]]</f>
        <v>#N/A</v>
      </c>
      <c r="V4923" s="282" t="e">
        <f>+Tabla4[[#This Row],[Comisión Calculada]]*Tabla4[[#This Row],[Total]]</f>
        <v>#N/A</v>
      </c>
    </row>
    <row r="4924" spans="1:22" hidden="1" x14ac:dyDescent="0.25">
      <c r="A4924" s="100">
        <v>45869</v>
      </c>
      <c r="B4924" t="str">
        <f t="shared" si="242"/>
        <v>July</v>
      </c>
      <c r="C4924" s="46" t="s">
        <v>280</v>
      </c>
      <c r="F4924" s="366" t="s">
        <v>2582</v>
      </c>
      <c r="G4924" s="46" t="s">
        <v>566</v>
      </c>
      <c r="H4924" s="46">
        <v>1</v>
      </c>
      <c r="I4924" s="51">
        <v>2109.4499999999998</v>
      </c>
      <c r="J4924" s="281">
        <f>++Tabla4[[#This Row],[Precio Bruto]]*1.16</f>
        <v>2446.9619999999995</v>
      </c>
      <c r="K4924" s="281">
        <f>+Tabla4[[#This Row],[Precio Unitario Neto]]*Tabla4[[#Headers],[20.85%]]</f>
        <v>510.19157699999988</v>
      </c>
      <c r="L4924" s="282">
        <f>++Tabla4[[#This Row],[Precio Unitario Neto]]-Tabla4[[#This Row],[20.85%]]</f>
        <v>1936.7704229999997</v>
      </c>
      <c r="M4924" s="282" t="e">
        <f>(INDEX(Tabla6[#All],MATCH(Tabla4[[#This Row],[Producto]],Tabla6[[#All],[PRODUCTO]],0),MATCH(Tabla4[[#This Row],[Mes]],Tabla6[#Headers],0)))*(1+Catalogos!$L$2)</f>
        <v>#N/A</v>
      </c>
      <c r="N4924" s="283" t="e">
        <f>+(Tabla4[[#This Row],[Precio Descontado]]-Tabla4[[#This Row],[Precio Base]])*Tabla4[[#This Row],[Cantidad]]</f>
        <v>#N/A</v>
      </c>
      <c r="O4924" s="284" t="e">
        <f>++Tabla4[[#This Row],[Utilidad Total]]/Tabla4[[#This Row],[Total]]</f>
        <v>#N/A</v>
      </c>
      <c r="P4924" s="282">
        <f>++Tabla4[[#This Row],[Precio Descontado]]*Tabla4[[#This Row],[Cantidad]]</f>
        <v>1936.7704229999997</v>
      </c>
      <c r="Q4924" s="282" t="e">
        <f>(INDEX(Tabla6[#All],MATCH(Tabla4[[#This Row],[Producto]],Tabla6[[#All],[PRODUCTO]],0),MATCH(Tabla4[[#This Row],[Mes]],Tabla6[#Headers],0)))</f>
        <v>#N/A</v>
      </c>
      <c r="R4924" s="282" t="e">
        <f>++Tabla4[[#This Row],[Precio Unitario Neto]]-Tabla4[[#This Row],[20.85%]]-Tabla4[[#This Row],[Costo]]</f>
        <v>#N/A</v>
      </c>
      <c r="S4924" s="282" t="e">
        <f>++Tabla4[[#This Row],[U. Bruta Uni]]*Tabla4[[#This Row],[Cantidad]]</f>
        <v>#N/A</v>
      </c>
      <c r="T4924" s="369" t="str">
        <f>VLOOKUP(Tabla4[[#This Row],[Producto]],Tabla6[#All],14,FALSE)</f>
        <v>Termico Solar</v>
      </c>
      <c r="U4924" s="284" t="e">
        <f>(IF(Tabla4[[#This Row],[Familia]]="termico solar",Tabla4[[#This Row],[Utilidad Total]]*6%,Tabla4[[#This Row],[Utilidad Total]]*11.5%))/Tabla4[[#This Row],[Total]]</f>
        <v>#N/A</v>
      </c>
      <c r="V4924" s="282" t="e">
        <f>+Tabla4[[#This Row],[Comisión Calculada]]*Tabla4[[#This Row],[Total]]</f>
        <v>#N/A</v>
      </c>
    </row>
    <row r="4925" spans="1:22" hidden="1" x14ac:dyDescent="0.25">
      <c r="A4925" s="100">
        <v>45869</v>
      </c>
      <c r="B4925" t="str">
        <f t="shared" si="242"/>
        <v>July</v>
      </c>
      <c r="C4925" s="46" t="s">
        <v>280</v>
      </c>
      <c r="F4925" s="366" t="s">
        <v>2582</v>
      </c>
      <c r="G4925" s="46" t="s">
        <v>394</v>
      </c>
      <c r="H4925" s="46">
        <v>16</v>
      </c>
      <c r="I4925" s="51">
        <v>224.29</v>
      </c>
      <c r="J4925" s="281">
        <f>++Tabla4[[#This Row],[Precio Bruto]]*1.16</f>
        <v>260.1764</v>
      </c>
      <c r="K4925" s="281">
        <f>+Tabla4[[#This Row],[Precio Unitario Neto]]*Tabla4[[#Headers],[20.85%]]</f>
        <v>54.246779400000001</v>
      </c>
      <c r="L4925" s="282">
        <f>++Tabla4[[#This Row],[Precio Unitario Neto]]-Tabla4[[#This Row],[20.85%]]</f>
        <v>205.92962059999999</v>
      </c>
      <c r="M4925" s="282" t="e">
        <f>(INDEX(Tabla6[#All],MATCH(Tabla4[[#This Row],[Producto]],Tabla6[[#All],[PRODUCTO]],0),MATCH(Tabla4[[#This Row],[Mes]],Tabla6[#Headers],0)))*(1+Catalogos!$L$2)</f>
        <v>#N/A</v>
      </c>
      <c r="N4925" s="283" t="e">
        <f>+(Tabla4[[#This Row],[Precio Descontado]]-Tabla4[[#This Row],[Precio Base]])*Tabla4[[#This Row],[Cantidad]]</f>
        <v>#N/A</v>
      </c>
      <c r="O4925" s="284" t="e">
        <f>++Tabla4[[#This Row],[Utilidad Total]]/Tabla4[[#This Row],[Total]]</f>
        <v>#N/A</v>
      </c>
      <c r="P4925" s="282">
        <f>++Tabla4[[#This Row],[Precio Descontado]]*Tabla4[[#This Row],[Cantidad]]</f>
        <v>3294.8739295999999</v>
      </c>
      <c r="Q4925" s="282" t="e">
        <f>(INDEX(Tabla6[#All],MATCH(Tabla4[[#This Row],[Producto]],Tabla6[[#All],[PRODUCTO]],0),MATCH(Tabla4[[#This Row],[Mes]],Tabla6[#Headers],0)))</f>
        <v>#N/A</v>
      </c>
      <c r="R4925" s="282" t="e">
        <f>++Tabla4[[#This Row],[Precio Unitario Neto]]-Tabla4[[#This Row],[20.85%]]-Tabla4[[#This Row],[Costo]]</f>
        <v>#N/A</v>
      </c>
      <c r="S4925" s="282" t="e">
        <f>++Tabla4[[#This Row],[U. Bruta Uni]]*Tabla4[[#This Row],[Cantidad]]</f>
        <v>#N/A</v>
      </c>
      <c r="T4925" s="369" t="str">
        <f>VLOOKUP(Tabla4[[#This Row],[Producto]],Tabla6[#All],14,FALSE)</f>
        <v>Termico Solar</v>
      </c>
      <c r="U4925" s="284" t="e">
        <f>(IF(Tabla4[[#This Row],[Familia]]="termico solar",Tabla4[[#This Row],[Utilidad Total]]*6%,Tabla4[[#This Row],[Utilidad Total]]*11.5%))/Tabla4[[#This Row],[Total]]</f>
        <v>#N/A</v>
      </c>
      <c r="V4925" s="282" t="e">
        <f>+Tabla4[[#This Row],[Comisión Calculada]]*Tabla4[[#This Row],[Total]]</f>
        <v>#N/A</v>
      </c>
    </row>
    <row r="4926" spans="1:22" hidden="1" x14ac:dyDescent="0.25">
      <c r="A4926" s="100">
        <v>45869</v>
      </c>
      <c r="B4926" t="str">
        <f t="shared" si="242"/>
        <v>July</v>
      </c>
      <c r="C4926" s="46" t="s">
        <v>280</v>
      </c>
      <c r="F4926" s="366" t="s">
        <v>2582</v>
      </c>
      <c r="G4926" s="46" t="s">
        <v>555</v>
      </c>
      <c r="H4926" s="46">
        <v>8</v>
      </c>
      <c r="I4926" s="51">
        <v>389.47</v>
      </c>
      <c r="J4926" s="281">
        <f>++Tabla4[[#This Row],[Precio Bruto]]*1.16</f>
        <v>451.78519999999997</v>
      </c>
      <c r="K4926" s="281">
        <f>+Tabla4[[#This Row],[Precio Unitario Neto]]*Tabla4[[#Headers],[20.85%]]</f>
        <v>94.197214199999991</v>
      </c>
      <c r="L4926" s="282">
        <f>++Tabla4[[#This Row],[Precio Unitario Neto]]-Tabla4[[#This Row],[20.85%]]</f>
        <v>357.58798579999996</v>
      </c>
      <c r="M4926" s="282" t="e">
        <f>(INDEX(Tabla6[#All],MATCH(Tabla4[[#This Row],[Producto]],Tabla6[[#All],[PRODUCTO]],0),MATCH(Tabla4[[#This Row],[Mes]],Tabla6[#Headers],0)))*(1+Catalogos!$L$2)</f>
        <v>#N/A</v>
      </c>
      <c r="N4926" s="283" t="e">
        <f>+(Tabla4[[#This Row],[Precio Descontado]]-Tabla4[[#This Row],[Precio Base]])*Tabla4[[#This Row],[Cantidad]]</f>
        <v>#N/A</v>
      </c>
      <c r="O4926" s="284" t="e">
        <f>++Tabla4[[#This Row],[Utilidad Total]]/Tabla4[[#This Row],[Total]]</f>
        <v>#N/A</v>
      </c>
      <c r="P4926" s="282">
        <f>++Tabla4[[#This Row],[Precio Descontado]]*Tabla4[[#This Row],[Cantidad]]</f>
        <v>2860.7038863999996</v>
      </c>
      <c r="Q4926" s="282" t="e">
        <f>(INDEX(Tabla6[#All],MATCH(Tabla4[[#This Row],[Producto]],Tabla6[[#All],[PRODUCTO]],0),MATCH(Tabla4[[#This Row],[Mes]],Tabla6[#Headers],0)))</f>
        <v>#N/A</v>
      </c>
      <c r="R4926" s="282" t="e">
        <f>++Tabla4[[#This Row],[Precio Unitario Neto]]-Tabla4[[#This Row],[20.85%]]-Tabla4[[#This Row],[Costo]]</f>
        <v>#N/A</v>
      </c>
      <c r="S4926" s="282" t="e">
        <f>++Tabla4[[#This Row],[U. Bruta Uni]]*Tabla4[[#This Row],[Cantidad]]</f>
        <v>#N/A</v>
      </c>
      <c r="T4926" s="369" t="str">
        <f>VLOOKUP(Tabla4[[#This Row],[Producto]],Tabla6[#All],14,FALSE)</f>
        <v>Termico Solar</v>
      </c>
      <c r="U4926" s="284" t="e">
        <f>(IF(Tabla4[[#This Row],[Familia]]="termico solar",Tabla4[[#This Row],[Utilidad Total]]*6%,Tabla4[[#This Row],[Utilidad Total]]*11.5%))/Tabla4[[#This Row],[Total]]</f>
        <v>#N/A</v>
      </c>
      <c r="V4926" s="282" t="e">
        <f>+Tabla4[[#This Row],[Comisión Calculada]]*Tabla4[[#This Row],[Total]]</f>
        <v>#N/A</v>
      </c>
    </row>
    <row r="4927" spans="1:22" hidden="1" x14ac:dyDescent="0.25">
      <c r="A4927" s="100">
        <v>45869</v>
      </c>
      <c r="B4927" t="str">
        <f t="shared" si="242"/>
        <v>July</v>
      </c>
      <c r="C4927" s="46" t="s">
        <v>280</v>
      </c>
      <c r="F4927" s="366" t="s">
        <v>2582</v>
      </c>
      <c r="G4927" s="46" t="s">
        <v>208</v>
      </c>
      <c r="H4927" s="46">
        <v>2</v>
      </c>
      <c r="I4927" s="51">
        <v>189.75</v>
      </c>
      <c r="J4927" s="281">
        <f>++Tabla4[[#This Row],[Precio Bruto]]*1.16</f>
        <v>220.10999999999999</v>
      </c>
      <c r="K4927" s="281">
        <f>+Tabla4[[#This Row],[Precio Unitario Neto]]*Tabla4[[#Headers],[20.85%]]</f>
        <v>45.892934999999994</v>
      </c>
      <c r="L4927" s="282">
        <f>++Tabla4[[#This Row],[Precio Unitario Neto]]-Tabla4[[#This Row],[20.85%]]</f>
        <v>174.21706499999999</v>
      </c>
      <c r="M4927" s="282" t="e">
        <f>(INDEX(Tabla6[#All],MATCH(Tabla4[[#This Row],[Producto]],Tabla6[[#All],[PRODUCTO]],0),MATCH(Tabla4[[#This Row],[Mes]],Tabla6[#Headers],0)))*(1+Catalogos!$L$2)</f>
        <v>#N/A</v>
      </c>
      <c r="N4927" s="283" t="e">
        <f>+(Tabla4[[#This Row],[Precio Descontado]]-Tabla4[[#This Row],[Precio Base]])*Tabla4[[#This Row],[Cantidad]]</f>
        <v>#N/A</v>
      </c>
      <c r="O4927" s="284" t="e">
        <f>++Tabla4[[#This Row],[Utilidad Total]]/Tabla4[[#This Row],[Total]]</f>
        <v>#N/A</v>
      </c>
      <c r="P4927" s="282">
        <f>++Tabla4[[#This Row],[Precio Descontado]]*Tabla4[[#This Row],[Cantidad]]</f>
        <v>348.43412999999998</v>
      </c>
      <c r="Q4927" s="282" t="e">
        <f>(INDEX(Tabla6[#All],MATCH(Tabla4[[#This Row],[Producto]],Tabla6[[#All],[PRODUCTO]],0),MATCH(Tabla4[[#This Row],[Mes]],Tabla6[#Headers],0)))</f>
        <v>#N/A</v>
      </c>
      <c r="R4927" s="282" t="e">
        <f>++Tabla4[[#This Row],[Precio Unitario Neto]]-Tabla4[[#This Row],[20.85%]]-Tabla4[[#This Row],[Costo]]</f>
        <v>#N/A</v>
      </c>
      <c r="S4927" s="282" t="e">
        <f>++Tabla4[[#This Row],[U. Bruta Uni]]*Tabla4[[#This Row],[Cantidad]]</f>
        <v>#N/A</v>
      </c>
      <c r="T4927" s="369" t="str">
        <f>VLOOKUP(Tabla4[[#This Row],[Producto]],Tabla6[#All],14,FALSE)</f>
        <v>Termico Solar</v>
      </c>
      <c r="U4927" s="284" t="e">
        <f>(IF(Tabla4[[#This Row],[Familia]]="termico solar",Tabla4[[#This Row],[Utilidad Total]]*6%,Tabla4[[#This Row],[Utilidad Total]]*11.5%))/Tabla4[[#This Row],[Total]]</f>
        <v>#N/A</v>
      </c>
      <c r="V4927" s="282" t="e">
        <f>+Tabla4[[#This Row],[Comisión Calculada]]*Tabla4[[#This Row],[Total]]</f>
        <v>#N/A</v>
      </c>
    </row>
    <row r="4928" spans="1:22" hidden="1" x14ac:dyDescent="0.25">
      <c r="A4928" s="100">
        <v>45869</v>
      </c>
      <c r="B4928" t="str">
        <f t="shared" si="242"/>
        <v>July</v>
      </c>
      <c r="C4928" s="46" t="s">
        <v>280</v>
      </c>
      <c r="F4928" s="366" t="s">
        <v>2583</v>
      </c>
      <c r="G4928" s="46" t="s">
        <v>16</v>
      </c>
      <c r="H4928" s="46">
        <v>1</v>
      </c>
      <c r="I4928" s="51">
        <v>4103.8500000000004</v>
      </c>
      <c r="J4928" s="281">
        <f>++Tabla4[[#This Row],[Precio Bruto]]*1.16</f>
        <v>4760.4660000000003</v>
      </c>
      <c r="K4928" s="281">
        <f>+Tabla4[[#This Row],[Precio Unitario Neto]]*Tabla4[[#Headers],[20.85%]]</f>
        <v>992.55716100000006</v>
      </c>
      <c r="L4928" s="282">
        <f>++Tabla4[[#This Row],[Precio Unitario Neto]]-Tabla4[[#This Row],[20.85%]]</f>
        <v>3767.9088390000002</v>
      </c>
      <c r="M4928" s="282" t="e">
        <f>(INDEX(Tabla6[#All],MATCH(Tabla4[[#This Row],[Producto]],Tabla6[[#All],[PRODUCTO]],0),MATCH(Tabla4[[#This Row],[Mes]],Tabla6[#Headers],0)))*(1+Catalogos!$L$2)</f>
        <v>#N/A</v>
      </c>
      <c r="N4928" s="283" t="e">
        <f>+(Tabla4[[#This Row],[Precio Descontado]]-Tabla4[[#This Row],[Precio Base]])*Tabla4[[#This Row],[Cantidad]]</f>
        <v>#N/A</v>
      </c>
      <c r="O4928" s="284" t="e">
        <f>++Tabla4[[#This Row],[Utilidad Total]]/Tabla4[[#This Row],[Total]]</f>
        <v>#N/A</v>
      </c>
      <c r="P4928" s="282">
        <f>++Tabla4[[#This Row],[Precio Descontado]]*Tabla4[[#This Row],[Cantidad]]</f>
        <v>3767.9088390000002</v>
      </c>
      <c r="Q4928" s="282" t="e">
        <f>(INDEX(Tabla6[#All],MATCH(Tabla4[[#This Row],[Producto]],Tabla6[[#All],[PRODUCTO]],0),MATCH(Tabla4[[#This Row],[Mes]],Tabla6[#Headers],0)))</f>
        <v>#N/A</v>
      </c>
      <c r="R4928" s="282" t="e">
        <f>++Tabla4[[#This Row],[Precio Unitario Neto]]-Tabla4[[#This Row],[20.85%]]-Tabla4[[#This Row],[Costo]]</f>
        <v>#N/A</v>
      </c>
      <c r="S4928" s="282" t="e">
        <f>++Tabla4[[#This Row],[U. Bruta Uni]]*Tabla4[[#This Row],[Cantidad]]</f>
        <v>#N/A</v>
      </c>
      <c r="T4928" s="369" t="str">
        <f>VLOOKUP(Tabla4[[#This Row],[Producto]],Tabla6[#All],14,FALSE)</f>
        <v>Termico Solar</v>
      </c>
      <c r="U4928" s="284" t="e">
        <f>(IF(Tabla4[[#This Row],[Familia]]="termico solar",Tabla4[[#This Row],[Utilidad Total]]*6%,Tabla4[[#This Row],[Utilidad Total]]*11.5%))/Tabla4[[#This Row],[Total]]</f>
        <v>#N/A</v>
      </c>
      <c r="V4928" s="282" t="e">
        <f>+Tabla4[[#This Row],[Comisión Calculada]]*Tabla4[[#This Row],[Total]]</f>
        <v>#N/A</v>
      </c>
    </row>
    <row r="4929" spans="1:22" hidden="1" x14ac:dyDescent="0.25">
      <c r="A4929" s="100">
        <v>45869</v>
      </c>
      <c r="B4929" t="str">
        <f t="shared" si="242"/>
        <v>July</v>
      </c>
      <c r="C4929" s="46" t="s">
        <v>280</v>
      </c>
      <c r="F4929" s="366" t="s">
        <v>2584</v>
      </c>
      <c r="G4929" s="46" t="s">
        <v>83</v>
      </c>
      <c r="H4929" s="46">
        <v>2</v>
      </c>
      <c r="I4929" s="51">
        <v>8858.76</v>
      </c>
      <c r="J4929" s="281">
        <f>++Tabla4[[#This Row],[Precio Bruto]]*1.16</f>
        <v>10276.161599999999</v>
      </c>
      <c r="K4929" s="281">
        <f>+Tabla4[[#This Row],[Precio Unitario Neto]]*Tabla4[[#Headers],[20.85%]]</f>
        <v>2142.5796935999997</v>
      </c>
      <c r="L4929" s="282">
        <f>++Tabla4[[#This Row],[Precio Unitario Neto]]-Tabla4[[#This Row],[20.85%]]</f>
        <v>8133.5819063999998</v>
      </c>
      <c r="M4929" s="282" t="e">
        <f>(INDEX(Tabla6[#All],MATCH(Tabla4[[#This Row],[Producto]],Tabla6[[#All],[PRODUCTO]],0),MATCH(Tabla4[[#This Row],[Mes]],Tabla6[#Headers],0)))*(1+Catalogos!$L$2)</f>
        <v>#N/A</v>
      </c>
      <c r="N4929" s="283" t="e">
        <f>+(Tabla4[[#This Row],[Precio Descontado]]-Tabla4[[#This Row],[Precio Base]])*Tabla4[[#This Row],[Cantidad]]</f>
        <v>#N/A</v>
      </c>
      <c r="O4929" s="284" t="e">
        <f>++Tabla4[[#This Row],[Utilidad Total]]/Tabla4[[#This Row],[Total]]</f>
        <v>#N/A</v>
      </c>
      <c r="P4929" s="282">
        <f>++Tabla4[[#This Row],[Precio Descontado]]*Tabla4[[#This Row],[Cantidad]]</f>
        <v>16267.1638128</v>
      </c>
      <c r="Q4929" s="282" t="e">
        <f>(INDEX(Tabla6[#All],MATCH(Tabla4[[#This Row],[Producto]],Tabla6[[#All],[PRODUCTO]],0),MATCH(Tabla4[[#This Row],[Mes]],Tabla6[#Headers],0)))</f>
        <v>#N/A</v>
      </c>
      <c r="R4929" s="282" t="e">
        <f>++Tabla4[[#This Row],[Precio Unitario Neto]]-Tabla4[[#This Row],[20.85%]]-Tabla4[[#This Row],[Costo]]</f>
        <v>#N/A</v>
      </c>
      <c r="S4929" s="282" t="e">
        <f>++Tabla4[[#This Row],[U. Bruta Uni]]*Tabla4[[#This Row],[Cantidad]]</f>
        <v>#N/A</v>
      </c>
      <c r="T4929" s="369" t="str">
        <f>VLOOKUP(Tabla4[[#This Row],[Producto]],Tabla6[#All],14,FALSE)</f>
        <v>Termico Solar</v>
      </c>
      <c r="U4929" s="284" t="e">
        <f>(IF(Tabla4[[#This Row],[Familia]]="termico solar",Tabla4[[#This Row],[Utilidad Total]]*6%,Tabla4[[#This Row],[Utilidad Total]]*11.5%))/Tabla4[[#This Row],[Total]]</f>
        <v>#N/A</v>
      </c>
      <c r="V4929" s="282" t="e">
        <f>+Tabla4[[#This Row],[Comisión Calculada]]*Tabla4[[#This Row],[Total]]</f>
        <v>#N/A</v>
      </c>
    </row>
    <row r="4930" spans="1:22" hidden="1" x14ac:dyDescent="0.25">
      <c r="A4930" s="100">
        <v>45869</v>
      </c>
      <c r="B4930" t="str">
        <f t="shared" si="242"/>
        <v>July</v>
      </c>
      <c r="C4930" s="46" t="s">
        <v>280</v>
      </c>
      <c r="F4930" s="366" t="s">
        <v>2585</v>
      </c>
      <c r="G4930" s="46" t="s">
        <v>18</v>
      </c>
      <c r="H4930" s="46">
        <v>3</v>
      </c>
      <c r="I4930" s="51">
        <v>5367.6500000000005</v>
      </c>
      <c r="J4930" s="281">
        <f>++Tabla4[[#This Row],[Precio Bruto]]*1.16</f>
        <v>6226.4740000000002</v>
      </c>
      <c r="K4930" s="281">
        <f>+Tabla4[[#This Row],[Precio Unitario Neto]]*Tabla4[[#Headers],[20.85%]]</f>
        <v>1298.2198289999999</v>
      </c>
      <c r="L4930" s="282">
        <f>++Tabla4[[#This Row],[Precio Unitario Neto]]-Tabla4[[#This Row],[20.85%]]</f>
        <v>4928.2541710000005</v>
      </c>
      <c r="M4930" s="282" t="e">
        <f>(INDEX(Tabla6[#All],MATCH(Tabla4[[#This Row],[Producto]],Tabla6[[#All],[PRODUCTO]],0),MATCH(Tabla4[[#This Row],[Mes]],Tabla6[#Headers],0)))*(1+Catalogos!$L$2)</f>
        <v>#N/A</v>
      </c>
      <c r="N4930" s="283" t="e">
        <f>+(Tabla4[[#This Row],[Precio Descontado]]-Tabla4[[#This Row],[Precio Base]])*Tabla4[[#This Row],[Cantidad]]</f>
        <v>#N/A</v>
      </c>
      <c r="O4930" s="284" t="e">
        <f>++Tabla4[[#This Row],[Utilidad Total]]/Tabla4[[#This Row],[Total]]</f>
        <v>#N/A</v>
      </c>
      <c r="P4930" s="282">
        <f>++Tabla4[[#This Row],[Precio Descontado]]*Tabla4[[#This Row],[Cantidad]]</f>
        <v>14784.762513000001</v>
      </c>
      <c r="Q4930" s="282" t="e">
        <f>(INDEX(Tabla6[#All],MATCH(Tabla4[[#This Row],[Producto]],Tabla6[[#All],[PRODUCTO]],0),MATCH(Tabla4[[#This Row],[Mes]],Tabla6[#Headers],0)))</f>
        <v>#N/A</v>
      </c>
      <c r="R4930" s="282" t="e">
        <f>++Tabla4[[#This Row],[Precio Unitario Neto]]-Tabla4[[#This Row],[20.85%]]-Tabla4[[#This Row],[Costo]]</f>
        <v>#N/A</v>
      </c>
      <c r="S4930" s="282" t="e">
        <f>++Tabla4[[#This Row],[U. Bruta Uni]]*Tabla4[[#This Row],[Cantidad]]</f>
        <v>#N/A</v>
      </c>
      <c r="T4930" s="369" t="str">
        <f>VLOOKUP(Tabla4[[#This Row],[Producto]],Tabla6[#All],14,FALSE)</f>
        <v>Termico Solar</v>
      </c>
      <c r="U4930" s="284" t="e">
        <f>(IF(Tabla4[[#This Row],[Familia]]="termico solar",Tabla4[[#This Row],[Utilidad Total]]*6%,Tabla4[[#This Row],[Utilidad Total]]*11.5%))/Tabla4[[#This Row],[Total]]</f>
        <v>#N/A</v>
      </c>
      <c r="V4930" s="282" t="e">
        <f>+Tabla4[[#This Row],[Comisión Calculada]]*Tabla4[[#This Row],[Total]]</f>
        <v>#N/A</v>
      </c>
    </row>
    <row r="4931" spans="1:22" hidden="1" x14ac:dyDescent="0.25">
      <c r="A4931" s="100">
        <v>45869</v>
      </c>
      <c r="B4931" t="str">
        <f t="shared" si="242"/>
        <v>July</v>
      </c>
      <c r="C4931" s="46" t="s">
        <v>280</v>
      </c>
      <c r="F4931" s="366" t="s">
        <v>2585</v>
      </c>
      <c r="G4931" s="46" t="s">
        <v>566</v>
      </c>
      <c r="H4931" s="46">
        <v>1</v>
      </c>
      <c r="I4931" s="51">
        <v>2109.4499999999998</v>
      </c>
      <c r="J4931" s="281">
        <f>++Tabla4[[#This Row],[Precio Bruto]]*1.16</f>
        <v>2446.9619999999995</v>
      </c>
      <c r="K4931" s="281">
        <f>+Tabla4[[#This Row],[Precio Unitario Neto]]*Tabla4[[#Headers],[20.85%]]</f>
        <v>510.19157699999988</v>
      </c>
      <c r="L4931" s="282">
        <f>++Tabla4[[#This Row],[Precio Unitario Neto]]-Tabla4[[#This Row],[20.85%]]</f>
        <v>1936.7704229999997</v>
      </c>
      <c r="M4931" s="282" t="e">
        <f>(INDEX(Tabla6[#All],MATCH(Tabla4[[#This Row],[Producto]],Tabla6[[#All],[PRODUCTO]],0),MATCH(Tabla4[[#This Row],[Mes]],Tabla6[#Headers],0)))*(1+Catalogos!$L$2)</f>
        <v>#N/A</v>
      </c>
      <c r="N4931" s="283" t="e">
        <f>+(Tabla4[[#This Row],[Precio Descontado]]-Tabla4[[#This Row],[Precio Base]])*Tabla4[[#This Row],[Cantidad]]</f>
        <v>#N/A</v>
      </c>
      <c r="O4931" s="284" t="e">
        <f>++Tabla4[[#This Row],[Utilidad Total]]/Tabla4[[#This Row],[Total]]</f>
        <v>#N/A</v>
      </c>
      <c r="P4931" s="282">
        <f>++Tabla4[[#This Row],[Precio Descontado]]*Tabla4[[#This Row],[Cantidad]]</f>
        <v>1936.7704229999997</v>
      </c>
      <c r="Q4931" s="282" t="e">
        <f>(INDEX(Tabla6[#All],MATCH(Tabla4[[#This Row],[Producto]],Tabla6[[#All],[PRODUCTO]],0),MATCH(Tabla4[[#This Row],[Mes]],Tabla6[#Headers],0)))</f>
        <v>#N/A</v>
      </c>
      <c r="R4931" s="282" t="e">
        <f>++Tabla4[[#This Row],[Precio Unitario Neto]]-Tabla4[[#This Row],[20.85%]]-Tabla4[[#This Row],[Costo]]</f>
        <v>#N/A</v>
      </c>
      <c r="S4931" s="282" t="e">
        <f>++Tabla4[[#This Row],[U. Bruta Uni]]*Tabla4[[#This Row],[Cantidad]]</f>
        <v>#N/A</v>
      </c>
      <c r="T4931" s="369" t="str">
        <f>VLOOKUP(Tabla4[[#This Row],[Producto]],Tabla6[#All],14,FALSE)</f>
        <v>Termico Solar</v>
      </c>
      <c r="U4931" s="284" t="e">
        <f>(IF(Tabla4[[#This Row],[Familia]]="termico solar",Tabla4[[#This Row],[Utilidad Total]]*6%,Tabla4[[#This Row],[Utilidad Total]]*11.5%))/Tabla4[[#This Row],[Total]]</f>
        <v>#N/A</v>
      </c>
      <c r="V4931" s="282" t="e">
        <f>+Tabla4[[#This Row],[Comisión Calculada]]*Tabla4[[#This Row],[Total]]</f>
        <v>#N/A</v>
      </c>
    </row>
    <row r="4932" spans="1:22" hidden="1" x14ac:dyDescent="0.25">
      <c r="A4932" s="100">
        <v>45869</v>
      </c>
      <c r="B4932" t="str">
        <f t="shared" si="242"/>
        <v>July</v>
      </c>
      <c r="C4932" s="46" t="s">
        <v>280</v>
      </c>
      <c r="F4932" s="366" t="s">
        <v>2585</v>
      </c>
      <c r="G4932" s="46" t="s">
        <v>16</v>
      </c>
      <c r="H4932" s="46">
        <v>2</v>
      </c>
      <c r="I4932" s="51">
        <v>4103.8500000000004</v>
      </c>
      <c r="J4932" s="281">
        <f>++Tabla4[[#This Row],[Precio Bruto]]*1.16</f>
        <v>4760.4660000000003</v>
      </c>
      <c r="K4932" s="281">
        <f>+Tabla4[[#This Row],[Precio Unitario Neto]]*Tabla4[[#Headers],[20.85%]]</f>
        <v>992.55716100000006</v>
      </c>
      <c r="L4932" s="282">
        <f>++Tabla4[[#This Row],[Precio Unitario Neto]]-Tabla4[[#This Row],[20.85%]]</f>
        <v>3767.9088390000002</v>
      </c>
      <c r="M4932" s="282" t="e">
        <f>(INDEX(Tabla6[#All],MATCH(Tabla4[[#This Row],[Producto]],Tabla6[[#All],[PRODUCTO]],0),MATCH(Tabla4[[#This Row],[Mes]],Tabla6[#Headers],0)))*(1+Catalogos!$L$2)</f>
        <v>#N/A</v>
      </c>
      <c r="N4932" s="283" t="e">
        <f>+(Tabla4[[#This Row],[Precio Descontado]]-Tabla4[[#This Row],[Precio Base]])*Tabla4[[#This Row],[Cantidad]]</f>
        <v>#N/A</v>
      </c>
      <c r="O4932" s="284" t="e">
        <f>++Tabla4[[#This Row],[Utilidad Total]]/Tabla4[[#This Row],[Total]]</f>
        <v>#N/A</v>
      </c>
      <c r="P4932" s="282">
        <f>++Tabla4[[#This Row],[Precio Descontado]]*Tabla4[[#This Row],[Cantidad]]</f>
        <v>7535.8176780000003</v>
      </c>
      <c r="Q4932" s="282" t="e">
        <f>(INDEX(Tabla6[#All],MATCH(Tabla4[[#This Row],[Producto]],Tabla6[[#All],[PRODUCTO]],0),MATCH(Tabla4[[#This Row],[Mes]],Tabla6[#Headers],0)))</f>
        <v>#N/A</v>
      </c>
      <c r="R4932" s="282" t="e">
        <f>++Tabla4[[#This Row],[Precio Unitario Neto]]-Tabla4[[#This Row],[20.85%]]-Tabla4[[#This Row],[Costo]]</f>
        <v>#N/A</v>
      </c>
      <c r="S4932" s="282" t="e">
        <f>++Tabla4[[#This Row],[U. Bruta Uni]]*Tabla4[[#This Row],[Cantidad]]</f>
        <v>#N/A</v>
      </c>
      <c r="T4932" s="369" t="str">
        <f>VLOOKUP(Tabla4[[#This Row],[Producto]],Tabla6[#All],14,FALSE)</f>
        <v>Termico Solar</v>
      </c>
      <c r="U4932" s="284" t="e">
        <f>(IF(Tabla4[[#This Row],[Familia]]="termico solar",Tabla4[[#This Row],[Utilidad Total]]*6%,Tabla4[[#This Row],[Utilidad Total]]*11.5%))/Tabla4[[#This Row],[Total]]</f>
        <v>#N/A</v>
      </c>
      <c r="V4932" s="282" t="e">
        <f>+Tabla4[[#This Row],[Comisión Calculada]]*Tabla4[[#This Row],[Total]]</f>
        <v>#N/A</v>
      </c>
    </row>
    <row r="4933" spans="1:22" hidden="1" x14ac:dyDescent="0.25">
      <c r="A4933" s="100">
        <v>45869</v>
      </c>
      <c r="B4933" t="str">
        <f t="shared" si="242"/>
        <v>July</v>
      </c>
      <c r="C4933" s="46" t="s">
        <v>280</v>
      </c>
      <c r="F4933" s="366" t="s">
        <v>2586</v>
      </c>
      <c r="G4933" s="46" t="s">
        <v>83</v>
      </c>
      <c r="H4933" s="46">
        <v>1</v>
      </c>
      <c r="I4933" s="51">
        <v>8858.76</v>
      </c>
      <c r="J4933" s="281">
        <f>++Tabla4[[#This Row],[Precio Bruto]]*1.16</f>
        <v>10276.161599999999</v>
      </c>
      <c r="K4933" s="281">
        <f>+Tabla4[[#This Row],[Precio Unitario Neto]]*Tabla4[[#Headers],[20.85%]]</f>
        <v>2142.5796935999997</v>
      </c>
      <c r="L4933" s="282">
        <f>++Tabla4[[#This Row],[Precio Unitario Neto]]-Tabla4[[#This Row],[20.85%]]</f>
        <v>8133.5819063999998</v>
      </c>
      <c r="M4933" s="282" t="e">
        <f>(INDEX(Tabla6[#All],MATCH(Tabla4[[#This Row],[Producto]],Tabla6[[#All],[PRODUCTO]],0),MATCH(Tabla4[[#This Row],[Mes]],Tabla6[#Headers],0)))*(1+Catalogos!$L$2)</f>
        <v>#N/A</v>
      </c>
      <c r="N4933" s="283" t="e">
        <f>+(Tabla4[[#This Row],[Precio Descontado]]-Tabla4[[#This Row],[Precio Base]])*Tabla4[[#This Row],[Cantidad]]</f>
        <v>#N/A</v>
      </c>
      <c r="O4933" s="284" t="e">
        <f>++Tabla4[[#This Row],[Utilidad Total]]/Tabla4[[#This Row],[Total]]</f>
        <v>#N/A</v>
      </c>
      <c r="P4933" s="282">
        <f>++Tabla4[[#This Row],[Precio Descontado]]*Tabla4[[#This Row],[Cantidad]]</f>
        <v>8133.5819063999998</v>
      </c>
      <c r="Q4933" s="282" t="e">
        <f>(INDEX(Tabla6[#All],MATCH(Tabla4[[#This Row],[Producto]],Tabla6[[#All],[PRODUCTO]],0),MATCH(Tabla4[[#This Row],[Mes]],Tabla6[#Headers],0)))</f>
        <v>#N/A</v>
      </c>
      <c r="R4933" s="282" t="e">
        <f>++Tabla4[[#This Row],[Precio Unitario Neto]]-Tabla4[[#This Row],[20.85%]]-Tabla4[[#This Row],[Costo]]</f>
        <v>#N/A</v>
      </c>
      <c r="S4933" s="282" t="e">
        <f>++Tabla4[[#This Row],[U. Bruta Uni]]*Tabla4[[#This Row],[Cantidad]]</f>
        <v>#N/A</v>
      </c>
      <c r="T4933" s="369" t="str">
        <f>VLOOKUP(Tabla4[[#This Row],[Producto]],Tabla6[#All],14,FALSE)</f>
        <v>Termico Solar</v>
      </c>
      <c r="U4933" s="284" t="e">
        <f>(IF(Tabla4[[#This Row],[Familia]]="termico solar",Tabla4[[#This Row],[Utilidad Total]]*6%,Tabla4[[#This Row],[Utilidad Total]]*11.5%))/Tabla4[[#This Row],[Total]]</f>
        <v>#N/A</v>
      </c>
      <c r="V4933" s="282" t="e">
        <f>+Tabla4[[#This Row],[Comisión Calculada]]*Tabla4[[#This Row],[Total]]</f>
        <v>#N/A</v>
      </c>
    </row>
    <row r="4934" spans="1:22" hidden="1" x14ac:dyDescent="0.25">
      <c r="A4934" s="100">
        <v>45869</v>
      </c>
      <c r="B4934" t="str">
        <f t="shared" si="242"/>
        <v>July</v>
      </c>
      <c r="C4934" s="46" t="s">
        <v>280</v>
      </c>
      <c r="F4934" s="366" t="s">
        <v>2586</v>
      </c>
      <c r="G4934" s="46" t="s">
        <v>17</v>
      </c>
      <c r="H4934" s="46">
        <v>2</v>
      </c>
      <c r="I4934" s="51">
        <v>4622.28</v>
      </c>
      <c r="J4934" s="281">
        <f>++Tabla4[[#This Row],[Precio Bruto]]*1.16</f>
        <v>5361.8447999999989</v>
      </c>
      <c r="K4934" s="281">
        <f>+Tabla4[[#This Row],[Precio Unitario Neto]]*Tabla4[[#Headers],[20.85%]]</f>
        <v>1117.9446407999997</v>
      </c>
      <c r="L4934" s="282">
        <f>++Tabla4[[#This Row],[Precio Unitario Neto]]-Tabla4[[#This Row],[20.85%]]</f>
        <v>4243.9001591999995</v>
      </c>
      <c r="M4934" s="282" t="e">
        <f>(INDEX(Tabla6[#All],MATCH(Tabla4[[#This Row],[Producto]],Tabla6[[#All],[PRODUCTO]],0),MATCH(Tabla4[[#This Row],[Mes]],Tabla6[#Headers],0)))*(1+Catalogos!$L$2)</f>
        <v>#N/A</v>
      </c>
      <c r="N4934" s="283" t="e">
        <f>+(Tabla4[[#This Row],[Precio Descontado]]-Tabla4[[#This Row],[Precio Base]])*Tabla4[[#This Row],[Cantidad]]</f>
        <v>#N/A</v>
      </c>
      <c r="O4934" s="284" t="e">
        <f>++Tabla4[[#This Row],[Utilidad Total]]/Tabla4[[#This Row],[Total]]</f>
        <v>#N/A</v>
      </c>
      <c r="P4934" s="282">
        <f>++Tabla4[[#This Row],[Precio Descontado]]*Tabla4[[#This Row],[Cantidad]]</f>
        <v>8487.800318399999</v>
      </c>
      <c r="Q4934" s="282" t="e">
        <f>(INDEX(Tabla6[#All],MATCH(Tabla4[[#This Row],[Producto]],Tabla6[[#All],[PRODUCTO]],0),MATCH(Tabla4[[#This Row],[Mes]],Tabla6[#Headers],0)))</f>
        <v>#N/A</v>
      </c>
      <c r="R4934" s="282" t="e">
        <f>++Tabla4[[#This Row],[Precio Unitario Neto]]-Tabla4[[#This Row],[20.85%]]-Tabla4[[#This Row],[Costo]]</f>
        <v>#N/A</v>
      </c>
      <c r="S4934" s="282" t="e">
        <f>++Tabla4[[#This Row],[U. Bruta Uni]]*Tabla4[[#This Row],[Cantidad]]</f>
        <v>#N/A</v>
      </c>
      <c r="T4934" s="369" t="str">
        <f>VLOOKUP(Tabla4[[#This Row],[Producto]],Tabla6[#All],14,FALSE)</f>
        <v>Termico Solar</v>
      </c>
      <c r="U4934" s="284" t="e">
        <f>(IF(Tabla4[[#This Row],[Familia]]="termico solar",Tabla4[[#This Row],[Utilidad Total]]*6%,Tabla4[[#This Row],[Utilidad Total]]*11.5%))/Tabla4[[#This Row],[Total]]</f>
        <v>#N/A</v>
      </c>
      <c r="V4934" s="282" t="e">
        <f>+Tabla4[[#This Row],[Comisión Calculada]]*Tabla4[[#This Row],[Total]]</f>
        <v>#N/A</v>
      </c>
    </row>
    <row r="4935" spans="1:22" hidden="1" x14ac:dyDescent="0.25">
      <c r="A4935" s="100">
        <v>45869</v>
      </c>
      <c r="B4935" t="str">
        <f t="shared" si="242"/>
        <v>July</v>
      </c>
      <c r="C4935" s="46" t="s">
        <v>280</v>
      </c>
      <c r="F4935" s="366" t="s">
        <v>2586</v>
      </c>
      <c r="G4935" s="46" t="s">
        <v>18</v>
      </c>
      <c r="H4935" s="46">
        <v>2</v>
      </c>
      <c r="I4935" s="51">
        <v>5367.65</v>
      </c>
      <c r="J4935" s="281">
        <f>++Tabla4[[#This Row],[Precio Bruto]]*1.16</f>
        <v>6226.4739999999993</v>
      </c>
      <c r="K4935" s="281">
        <f>+Tabla4[[#This Row],[Precio Unitario Neto]]*Tabla4[[#Headers],[20.85%]]</f>
        <v>1298.2198289999999</v>
      </c>
      <c r="L4935" s="282">
        <f>++Tabla4[[#This Row],[Precio Unitario Neto]]-Tabla4[[#This Row],[20.85%]]</f>
        <v>4928.2541709999996</v>
      </c>
      <c r="M4935" s="282" t="e">
        <f>(INDEX(Tabla6[#All],MATCH(Tabla4[[#This Row],[Producto]],Tabla6[[#All],[PRODUCTO]],0),MATCH(Tabla4[[#This Row],[Mes]],Tabla6[#Headers],0)))*(1+Catalogos!$L$2)</f>
        <v>#N/A</v>
      </c>
      <c r="N4935" s="283" t="e">
        <f>+(Tabla4[[#This Row],[Precio Descontado]]-Tabla4[[#This Row],[Precio Base]])*Tabla4[[#This Row],[Cantidad]]</f>
        <v>#N/A</v>
      </c>
      <c r="O4935" s="284" t="e">
        <f>++Tabla4[[#This Row],[Utilidad Total]]/Tabla4[[#This Row],[Total]]</f>
        <v>#N/A</v>
      </c>
      <c r="P4935" s="282">
        <f>++Tabla4[[#This Row],[Precio Descontado]]*Tabla4[[#This Row],[Cantidad]]</f>
        <v>9856.5083419999992</v>
      </c>
      <c r="Q4935" s="282" t="e">
        <f>(INDEX(Tabla6[#All],MATCH(Tabla4[[#This Row],[Producto]],Tabla6[[#All],[PRODUCTO]],0),MATCH(Tabla4[[#This Row],[Mes]],Tabla6[#Headers],0)))</f>
        <v>#N/A</v>
      </c>
      <c r="R4935" s="282" t="e">
        <f>++Tabla4[[#This Row],[Precio Unitario Neto]]-Tabla4[[#This Row],[20.85%]]-Tabla4[[#This Row],[Costo]]</f>
        <v>#N/A</v>
      </c>
      <c r="S4935" s="282" t="e">
        <f>++Tabla4[[#This Row],[U. Bruta Uni]]*Tabla4[[#This Row],[Cantidad]]</f>
        <v>#N/A</v>
      </c>
      <c r="T4935" s="369" t="str">
        <f>VLOOKUP(Tabla4[[#This Row],[Producto]],Tabla6[#All],14,FALSE)</f>
        <v>Termico Solar</v>
      </c>
      <c r="U4935" s="284" t="e">
        <f>(IF(Tabla4[[#This Row],[Familia]]="termico solar",Tabla4[[#This Row],[Utilidad Total]]*6%,Tabla4[[#This Row],[Utilidad Total]]*11.5%))/Tabla4[[#This Row],[Total]]</f>
        <v>#N/A</v>
      </c>
      <c r="V4935" s="282" t="e">
        <f>+Tabla4[[#This Row],[Comisión Calculada]]*Tabla4[[#This Row],[Total]]</f>
        <v>#N/A</v>
      </c>
    </row>
    <row r="4936" spans="1:22" hidden="1" x14ac:dyDescent="0.25">
      <c r="A4936" s="100">
        <v>45869</v>
      </c>
      <c r="B4936" t="str">
        <f t="shared" si="242"/>
        <v>July</v>
      </c>
      <c r="C4936" s="46" t="s">
        <v>280</v>
      </c>
      <c r="F4936" s="366" t="s">
        <v>2586</v>
      </c>
      <c r="G4936" s="46" t="s">
        <v>16</v>
      </c>
      <c r="H4936" s="46">
        <v>2</v>
      </c>
      <c r="I4936" s="51">
        <v>4103.8500000000004</v>
      </c>
      <c r="J4936" s="281">
        <f>++Tabla4[[#This Row],[Precio Bruto]]*1.16</f>
        <v>4760.4660000000003</v>
      </c>
      <c r="K4936" s="281">
        <f>+Tabla4[[#This Row],[Precio Unitario Neto]]*Tabla4[[#Headers],[20.85%]]</f>
        <v>992.55716100000006</v>
      </c>
      <c r="L4936" s="282">
        <f>++Tabla4[[#This Row],[Precio Unitario Neto]]-Tabla4[[#This Row],[20.85%]]</f>
        <v>3767.9088390000002</v>
      </c>
      <c r="M4936" s="282" t="e">
        <f>(INDEX(Tabla6[#All],MATCH(Tabla4[[#This Row],[Producto]],Tabla6[[#All],[PRODUCTO]],0),MATCH(Tabla4[[#This Row],[Mes]],Tabla6[#Headers],0)))*(1+Catalogos!$L$2)</f>
        <v>#N/A</v>
      </c>
      <c r="N4936" s="283" t="e">
        <f>+(Tabla4[[#This Row],[Precio Descontado]]-Tabla4[[#This Row],[Precio Base]])*Tabla4[[#This Row],[Cantidad]]</f>
        <v>#N/A</v>
      </c>
      <c r="O4936" s="284" t="e">
        <f>++Tabla4[[#This Row],[Utilidad Total]]/Tabla4[[#This Row],[Total]]</f>
        <v>#N/A</v>
      </c>
      <c r="P4936" s="282">
        <f>++Tabla4[[#This Row],[Precio Descontado]]*Tabla4[[#This Row],[Cantidad]]</f>
        <v>7535.8176780000003</v>
      </c>
      <c r="Q4936" s="282" t="e">
        <f>(INDEX(Tabla6[#All],MATCH(Tabla4[[#This Row],[Producto]],Tabla6[[#All],[PRODUCTO]],0),MATCH(Tabla4[[#This Row],[Mes]],Tabla6[#Headers],0)))</f>
        <v>#N/A</v>
      </c>
      <c r="R4936" s="282" t="e">
        <f>++Tabla4[[#This Row],[Precio Unitario Neto]]-Tabla4[[#This Row],[20.85%]]-Tabla4[[#This Row],[Costo]]</f>
        <v>#N/A</v>
      </c>
      <c r="S4936" s="282" t="e">
        <f>++Tabla4[[#This Row],[U. Bruta Uni]]*Tabla4[[#This Row],[Cantidad]]</f>
        <v>#N/A</v>
      </c>
      <c r="T4936" s="369" t="str">
        <f>VLOOKUP(Tabla4[[#This Row],[Producto]],Tabla6[#All],14,FALSE)</f>
        <v>Termico Solar</v>
      </c>
      <c r="U4936" s="284" t="e">
        <f>(IF(Tabla4[[#This Row],[Familia]]="termico solar",Tabla4[[#This Row],[Utilidad Total]]*6%,Tabla4[[#This Row],[Utilidad Total]]*11.5%))/Tabla4[[#This Row],[Total]]</f>
        <v>#N/A</v>
      </c>
      <c r="V4936" s="282" t="e">
        <f>+Tabla4[[#This Row],[Comisión Calculada]]*Tabla4[[#This Row],[Total]]</f>
        <v>#N/A</v>
      </c>
    </row>
    <row r="4937" spans="1:22" hidden="1" x14ac:dyDescent="0.25">
      <c r="A4937" s="100">
        <v>45869</v>
      </c>
      <c r="B4937" t="str">
        <f t="shared" si="242"/>
        <v>July</v>
      </c>
      <c r="C4937" s="46" t="s">
        <v>280</v>
      </c>
      <c r="F4937" s="366" t="s">
        <v>2586</v>
      </c>
      <c r="G4937" s="46" t="s">
        <v>208</v>
      </c>
      <c r="H4937" s="46">
        <v>1</v>
      </c>
      <c r="I4937" s="51">
        <v>189.75</v>
      </c>
      <c r="J4937" s="281">
        <f>++Tabla4[[#This Row],[Precio Bruto]]*1.16</f>
        <v>220.10999999999999</v>
      </c>
      <c r="K4937" s="281">
        <f>+Tabla4[[#This Row],[Precio Unitario Neto]]*Tabla4[[#Headers],[20.85%]]</f>
        <v>45.892934999999994</v>
      </c>
      <c r="L4937" s="282">
        <f>++Tabla4[[#This Row],[Precio Unitario Neto]]-Tabla4[[#This Row],[20.85%]]</f>
        <v>174.21706499999999</v>
      </c>
      <c r="M4937" s="282" t="e">
        <f>(INDEX(Tabla6[#All],MATCH(Tabla4[[#This Row],[Producto]],Tabla6[[#All],[PRODUCTO]],0),MATCH(Tabla4[[#This Row],[Mes]],Tabla6[#Headers],0)))*(1+Catalogos!$L$2)</f>
        <v>#N/A</v>
      </c>
      <c r="N4937" s="283" t="e">
        <f>+(Tabla4[[#This Row],[Precio Descontado]]-Tabla4[[#This Row],[Precio Base]])*Tabla4[[#This Row],[Cantidad]]</f>
        <v>#N/A</v>
      </c>
      <c r="O4937" s="284" t="e">
        <f>++Tabla4[[#This Row],[Utilidad Total]]/Tabla4[[#This Row],[Total]]</f>
        <v>#N/A</v>
      </c>
      <c r="P4937" s="282">
        <f>++Tabla4[[#This Row],[Precio Descontado]]*Tabla4[[#This Row],[Cantidad]]</f>
        <v>174.21706499999999</v>
      </c>
      <c r="Q4937" s="282" t="e">
        <f>(INDEX(Tabla6[#All],MATCH(Tabla4[[#This Row],[Producto]],Tabla6[[#All],[PRODUCTO]],0),MATCH(Tabla4[[#This Row],[Mes]],Tabla6[#Headers],0)))</f>
        <v>#N/A</v>
      </c>
      <c r="R4937" s="282" t="e">
        <f>++Tabla4[[#This Row],[Precio Unitario Neto]]-Tabla4[[#This Row],[20.85%]]-Tabla4[[#This Row],[Costo]]</f>
        <v>#N/A</v>
      </c>
      <c r="S4937" s="282" t="e">
        <f>++Tabla4[[#This Row],[U. Bruta Uni]]*Tabla4[[#This Row],[Cantidad]]</f>
        <v>#N/A</v>
      </c>
      <c r="T4937" s="369" t="str">
        <f>VLOOKUP(Tabla4[[#This Row],[Producto]],Tabla6[#All],14,FALSE)</f>
        <v>Termico Solar</v>
      </c>
      <c r="U4937" s="284" t="e">
        <f>(IF(Tabla4[[#This Row],[Familia]]="termico solar",Tabla4[[#This Row],[Utilidad Total]]*6%,Tabla4[[#This Row],[Utilidad Total]]*11.5%))/Tabla4[[#This Row],[Total]]</f>
        <v>#N/A</v>
      </c>
      <c r="V4937" s="282" t="e">
        <f>+Tabla4[[#This Row],[Comisión Calculada]]*Tabla4[[#This Row],[Total]]</f>
        <v>#N/A</v>
      </c>
    </row>
    <row r="4938" spans="1:22" hidden="1" x14ac:dyDescent="0.25">
      <c r="A4938" s="100">
        <v>45869</v>
      </c>
      <c r="B4938" t="str">
        <f t="shared" si="242"/>
        <v>July</v>
      </c>
      <c r="C4938" s="46" t="s">
        <v>280</v>
      </c>
      <c r="F4938" s="366" t="s">
        <v>2587</v>
      </c>
      <c r="G4938" s="46" t="s">
        <v>83</v>
      </c>
      <c r="H4938" s="46">
        <v>4</v>
      </c>
      <c r="I4938" s="51">
        <v>8858.76</v>
      </c>
      <c r="J4938" s="281">
        <f>++Tabla4[[#This Row],[Precio Bruto]]*1.16</f>
        <v>10276.161599999999</v>
      </c>
      <c r="K4938" s="281">
        <f>+Tabla4[[#This Row],[Precio Unitario Neto]]*Tabla4[[#Headers],[20.85%]]</f>
        <v>2142.5796935999997</v>
      </c>
      <c r="L4938" s="282">
        <f>++Tabla4[[#This Row],[Precio Unitario Neto]]-Tabla4[[#This Row],[20.85%]]</f>
        <v>8133.5819063999998</v>
      </c>
      <c r="M4938" s="282" t="e">
        <f>(INDEX(Tabla6[#All],MATCH(Tabla4[[#This Row],[Producto]],Tabla6[[#All],[PRODUCTO]],0),MATCH(Tabla4[[#This Row],[Mes]],Tabla6[#Headers],0)))*(1+Catalogos!$L$2)</f>
        <v>#N/A</v>
      </c>
      <c r="N4938" s="283" t="e">
        <f>+(Tabla4[[#This Row],[Precio Descontado]]-Tabla4[[#This Row],[Precio Base]])*Tabla4[[#This Row],[Cantidad]]</f>
        <v>#N/A</v>
      </c>
      <c r="O4938" s="284" t="e">
        <f>++Tabla4[[#This Row],[Utilidad Total]]/Tabla4[[#This Row],[Total]]</f>
        <v>#N/A</v>
      </c>
      <c r="P4938" s="282">
        <f>++Tabla4[[#This Row],[Precio Descontado]]*Tabla4[[#This Row],[Cantidad]]</f>
        <v>32534.327625599999</v>
      </c>
      <c r="Q4938" s="282" t="e">
        <f>(INDEX(Tabla6[#All],MATCH(Tabla4[[#This Row],[Producto]],Tabla6[[#All],[PRODUCTO]],0),MATCH(Tabla4[[#This Row],[Mes]],Tabla6[#Headers],0)))</f>
        <v>#N/A</v>
      </c>
      <c r="R4938" s="282" t="e">
        <f>++Tabla4[[#This Row],[Precio Unitario Neto]]-Tabla4[[#This Row],[20.85%]]-Tabla4[[#This Row],[Costo]]</f>
        <v>#N/A</v>
      </c>
      <c r="S4938" s="282" t="e">
        <f>++Tabla4[[#This Row],[U. Bruta Uni]]*Tabla4[[#This Row],[Cantidad]]</f>
        <v>#N/A</v>
      </c>
      <c r="T4938" s="369" t="str">
        <f>VLOOKUP(Tabla4[[#This Row],[Producto]],Tabla6[#All],14,FALSE)</f>
        <v>Termico Solar</v>
      </c>
      <c r="U4938" s="284" t="e">
        <f>(IF(Tabla4[[#This Row],[Familia]]="termico solar",Tabla4[[#This Row],[Utilidad Total]]*6%,Tabla4[[#This Row],[Utilidad Total]]*11.5%))/Tabla4[[#This Row],[Total]]</f>
        <v>#N/A</v>
      </c>
      <c r="V4938" s="282" t="e">
        <f>+Tabla4[[#This Row],[Comisión Calculada]]*Tabla4[[#This Row],[Total]]</f>
        <v>#N/A</v>
      </c>
    </row>
    <row r="4939" spans="1:22" hidden="1" x14ac:dyDescent="0.25">
      <c r="A4939" s="100">
        <v>45869</v>
      </c>
      <c r="B4939" t="str">
        <f t="shared" si="242"/>
        <v>July</v>
      </c>
      <c r="C4939" s="46" t="s">
        <v>280</v>
      </c>
      <c r="F4939" s="366" t="s">
        <v>2587</v>
      </c>
      <c r="G4939" s="46" t="s">
        <v>17</v>
      </c>
      <c r="H4939" s="46">
        <v>4</v>
      </c>
      <c r="I4939" s="51">
        <v>4622.28</v>
      </c>
      <c r="J4939" s="281">
        <f>++Tabla4[[#This Row],[Precio Bruto]]*1.16</f>
        <v>5361.8447999999989</v>
      </c>
      <c r="K4939" s="281">
        <f>+Tabla4[[#This Row],[Precio Unitario Neto]]*Tabla4[[#Headers],[20.85%]]</f>
        <v>1117.9446407999997</v>
      </c>
      <c r="L4939" s="282">
        <f>++Tabla4[[#This Row],[Precio Unitario Neto]]-Tabla4[[#This Row],[20.85%]]</f>
        <v>4243.9001591999995</v>
      </c>
      <c r="M4939" s="282" t="e">
        <f>(INDEX(Tabla6[#All],MATCH(Tabla4[[#This Row],[Producto]],Tabla6[[#All],[PRODUCTO]],0),MATCH(Tabla4[[#This Row],[Mes]],Tabla6[#Headers],0)))*(1+Catalogos!$L$2)</f>
        <v>#N/A</v>
      </c>
      <c r="N4939" s="283" t="e">
        <f>+(Tabla4[[#This Row],[Precio Descontado]]-Tabla4[[#This Row],[Precio Base]])*Tabla4[[#This Row],[Cantidad]]</f>
        <v>#N/A</v>
      </c>
      <c r="O4939" s="284" t="e">
        <f>++Tabla4[[#This Row],[Utilidad Total]]/Tabla4[[#This Row],[Total]]</f>
        <v>#N/A</v>
      </c>
      <c r="P4939" s="282">
        <f>++Tabla4[[#This Row],[Precio Descontado]]*Tabla4[[#This Row],[Cantidad]]</f>
        <v>16975.600636799998</v>
      </c>
      <c r="Q4939" s="282" t="e">
        <f>(INDEX(Tabla6[#All],MATCH(Tabla4[[#This Row],[Producto]],Tabla6[[#All],[PRODUCTO]],0),MATCH(Tabla4[[#This Row],[Mes]],Tabla6[#Headers],0)))</f>
        <v>#N/A</v>
      </c>
      <c r="R4939" s="282" t="e">
        <f>++Tabla4[[#This Row],[Precio Unitario Neto]]-Tabla4[[#This Row],[20.85%]]-Tabla4[[#This Row],[Costo]]</f>
        <v>#N/A</v>
      </c>
      <c r="S4939" s="282" t="e">
        <f>++Tabla4[[#This Row],[U. Bruta Uni]]*Tabla4[[#This Row],[Cantidad]]</f>
        <v>#N/A</v>
      </c>
      <c r="T4939" s="369" t="str">
        <f>VLOOKUP(Tabla4[[#This Row],[Producto]],Tabla6[#All],14,FALSE)</f>
        <v>Termico Solar</v>
      </c>
      <c r="U4939" s="284" t="e">
        <f>(IF(Tabla4[[#This Row],[Familia]]="termico solar",Tabla4[[#This Row],[Utilidad Total]]*6%,Tabla4[[#This Row],[Utilidad Total]]*11.5%))/Tabla4[[#This Row],[Total]]</f>
        <v>#N/A</v>
      </c>
      <c r="V4939" s="282" t="e">
        <f>+Tabla4[[#This Row],[Comisión Calculada]]*Tabla4[[#This Row],[Total]]</f>
        <v>#N/A</v>
      </c>
    </row>
    <row r="4940" spans="1:22" hidden="1" x14ac:dyDescent="0.25">
      <c r="A4940" s="100">
        <v>45869</v>
      </c>
      <c r="B4940" t="str">
        <f t="shared" si="242"/>
        <v>July</v>
      </c>
      <c r="C4940" s="46" t="s">
        <v>280</v>
      </c>
      <c r="F4940" s="366" t="s">
        <v>2587</v>
      </c>
      <c r="G4940" s="46" t="s">
        <v>566</v>
      </c>
      <c r="H4940" s="46">
        <v>1</v>
      </c>
      <c r="I4940" s="51">
        <v>2109.4499999999998</v>
      </c>
      <c r="J4940" s="281">
        <f>++Tabla4[[#This Row],[Precio Bruto]]*1.16</f>
        <v>2446.9619999999995</v>
      </c>
      <c r="K4940" s="281">
        <f>+Tabla4[[#This Row],[Precio Unitario Neto]]*Tabla4[[#Headers],[20.85%]]</f>
        <v>510.19157699999988</v>
      </c>
      <c r="L4940" s="282">
        <f>++Tabla4[[#This Row],[Precio Unitario Neto]]-Tabla4[[#This Row],[20.85%]]</f>
        <v>1936.7704229999997</v>
      </c>
      <c r="M4940" s="282" t="e">
        <f>(INDEX(Tabla6[#All],MATCH(Tabla4[[#This Row],[Producto]],Tabla6[[#All],[PRODUCTO]],0),MATCH(Tabla4[[#This Row],[Mes]],Tabla6[#Headers],0)))*(1+Catalogos!$L$2)</f>
        <v>#N/A</v>
      </c>
      <c r="N4940" s="283" t="e">
        <f>+(Tabla4[[#This Row],[Precio Descontado]]-Tabla4[[#This Row],[Precio Base]])*Tabla4[[#This Row],[Cantidad]]</f>
        <v>#N/A</v>
      </c>
      <c r="O4940" s="284" t="e">
        <f>++Tabla4[[#This Row],[Utilidad Total]]/Tabla4[[#This Row],[Total]]</f>
        <v>#N/A</v>
      </c>
      <c r="P4940" s="282">
        <f>++Tabla4[[#This Row],[Precio Descontado]]*Tabla4[[#This Row],[Cantidad]]</f>
        <v>1936.7704229999997</v>
      </c>
      <c r="Q4940" s="282" t="e">
        <f>(INDEX(Tabla6[#All],MATCH(Tabla4[[#This Row],[Producto]],Tabla6[[#All],[PRODUCTO]],0),MATCH(Tabla4[[#This Row],[Mes]],Tabla6[#Headers],0)))</f>
        <v>#N/A</v>
      </c>
      <c r="R4940" s="282" t="e">
        <f>++Tabla4[[#This Row],[Precio Unitario Neto]]-Tabla4[[#This Row],[20.85%]]-Tabla4[[#This Row],[Costo]]</f>
        <v>#N/A</v>
      </c>
      <c r="S4940" s="282" t="e">
        <f>++Tabla4[[#This Row],[U. Bruta Uni]]*Tabla4[[#This Row],[Cantidad]]</f>
        <v>#N/A</v>
      </c>
      <c r="T4940" s="369" t="str">
        <f>VLOOKUP(Tabla4[[#This Row],[Producto]],Tabla6[#All],14,FALSE)</f>
        <v>Termico Solar</v>
      </c>
      <c r="U4940" s="284" t="e">
        <f>(IF(Tabla4[[#This Row],[Familia]]="termico solar",Tabla4[[#This Row],[Utilidad Total]]*6%,Tabla4[[#This Row],[Utilidad Total]]*11.5%))/Tabla4[[#This Row],[Total]]</f>
        <v>#N/A</v>
      </c>
      <c r="V4940" s="282" t="e">
        <f>+Tabla4[[#This Row],[Comisión Calculada]]*Tabla4[[#This Row],[Total]]</f>
        <v>#N/A</v>
      </c>
    </row>
    <row r="4941" spans="1:22" hidden="1" x14ac:dyDescent="0.25">
      <c r="A4941" s="100">
        <v>45869</v>
      </c>
      <c r="B4941" t="str">
        <f t="shared" si="242"/>
        <v>July</v>
      </c>
      <c r="C4941" s="46" t="s">
        <v>280</v>
      </c>
      <c r="F4941" s="366" t="s">
        <v>2587</v>
      </c>
      <c r="G4941" s="46" t="s">
        <v>16</v>
      </c>
      <c r="H4941" s="46">
        <v>3</v>
      </c>
      <c r="I4941" s="51">
        <v>4103.8499999999995</v>
      </c>
      <c r="J4941" s="281">
        <f>++Tabla4[[#This Row],[Precio Bruto]]*1.16</f>
        <v>4760.4659999999994</v>
      </c>
      <c r="K4941" s="281">
        <f>+Tabla4[[#This Row],[Precio Unitario Neto]]*Tabla4[[#Headers],[20.85%]]</f>
        <v>992.55716099999984</v>
      </c>
      <c r="L4941" s="282">
        <f>++Tabla4[[#This Row],[Precio Unitario Neto]]-Tabla4[[#This Row],[20.85%]]</f>
        <v>3767.9088389999997</v>
      </c>
      <c r="M4941" s="282" t="e">
        <f>(INDEX(Tabla6[#All],MATCH(Tabla4[[#This Row],[Producto]],Tabla6[[#All],[PRODUCTO]],0),MATCH(Tabla4[[#This Row],[Mes]],Tabla6[#Headers],0)))*(1+Catalogos!$L$2)</f>
        <v>#N/A</v>
      </c>
      <c r="N4941" s="283" t="e">
        <f>+(Tabla4[[#This Row],[Precio Descontado]]-Tabla4[[#This Row],[Precio Base]])*Tabla4[[#This Row],[Cantidad]]</f>
        <v>#N/A</v>
      </c>
      <c r="O4941" s="284" t="e">
        <f>++Tabla4[[#This Row],[Utilidad Total]]/Tabla4[[#This Row],[Total]]</f>
        <v>#N/A</v>
      </c>
      <c r="P4941" s="282">
        <f>++Tabla4[[#This Row],[Precio Descontado]]*Tabla4[[#This Row],[Cantidad]]</f>
        <v>11303.726516999999</v>
      </c>
      <c r="Q4941" s="282" t="e">
        <f>(INDEX(Tabla6[#All],MATCH(Tabla4[[#This Row],[Producto]],Tabla6[[#All],[PRODUCTO]],0),MATCH(Tabla4[[#This Row],[Mes]],Tabla6[#Headers],0)))</f>
        <v>#N/A</v>
      </c>
      <c r="R4941" s="282" t="e">
        <f>++Tabla4[[#This Row],[Precio Unitario Neto]]-Tabla4[[#This Row],[20.85%]]-Tabla4[[#This Row],[Costo]]</f>
        <v>#N/A</v>
      </c>
      <c r="S4941" s="282" t="e">
        <f>++Tabla4[[#This Row],[U. Bruta Uni]]*Tabla4[[#This Row],[Cantidad]]</f>
        <v>#N/A</v>
      </c>
      <c r="T4941" s="369" t="str">
        <f>VLOOKUP(Tabla4[[#This Row],[Producto]],Tabla6[#All],14,FALSE)</f>
        <v>Termico Solar</v>
      </c>
      <c r="U4941" s="284" t="e">
        <f>(IF(Tabla4[[#This Row],[Familia]]="termico solar",Tabla4[[#This Row],[Utilidad Total]]*6%,Tabla4[[#This Row],[Utilidad Total]]*11.5%))/Tabla4[[#This Row],[Total]]</f>
        <v>#N/A</v>
      </c>
      <c r="V4941" s="282" t="e">
        <f>+Tabla4[[#This Row],[Comisión Calculada]]*Tabla4[[#This Row],[Total]]</f>
        <v>#N/A</v>
      </c>
    </row>
    <row r="4942" spans="1:22" hidden="1" x14ac:dyDescent="0.25">
      <c r="A4942" s="100">
        <v>45869</v>
      </c>
      <c r="B4942" t="str">
        <f t="shared" si="242"/>
        <v>July</v>
      </c>
      <c r="C4942" s="46" t="s">
        <v>280</v>
      </c>
      <c r="F4942" s="366" t="s">
        <v>2588</v>
      </c>
      <c r="G4942" s="46" t="s">
        <v>17</v>
      </c>
      <c r="H4942" s="46">
        <v>1</v>
      </c>
      <c r="I4942" s="51">
        <v>4622.28</v>
      </c>
      <c r="J4942" s="281">
        <f>++Tabla4[[#This Row],[Precio Bruto]]*1.16</f>
        <v>5361.8447999999989</v>
      </c>
      <c r="K4942" s="281">
        <f>+Tabla4[[#This Row],[Precio Unitario Neto]]*Tabla4[[#Headers],[20.85%]]</f>
        <v>1117.9446407999997</v>
      </c>
      <c r="L4942" s="282">
        <f>++Tabla4[[#This Row],[Precio Unitario Neto]]-Tabla4[[#This Row],[20.85%]]</f>
        <v>4243.9001591999995</v>
      </c>
      <c r="M4942" s="282" t="e">
        <f>(INDEX(Tabla6[#All],MATCH(Tabla4[[#This Row],[Producto]],Tabla6[[#All],[PRODUCTO]],0),MATCH(Tabla4[[#This Row],[Mes]],Tabla6[#Headers],0)))*(1+Catalogos!$L$2)</f>
        <v>#N/A</v>
      </c>
      <c r="N4942" s="283" t="e">
        <f>+(Tabla4[[#This Row],[Precio Descontado]]-Tabla4[[#This Row],[Precio Base]])*Tabla4[[#This Row],[Cantidad]]</f>
        <v>#N/A</v>
      </c>
      <c r="O4942" s="284" t="e">
        <f>++Tabla4[[#This Row],[Utilidad Total]]/Tabla4[[#This Row],[Total]]</f>
        <v>#N/A</v>
      </c>
      <c r="P4942" s="282">
        <f>++Tabla4[[#This Row],[Precio Descontado]]*Tabla4[[#This Row],[Cantidad]]</f>
        <v>4243.9001591999995</v>
      </c>
      <c r="Q4942" s="282" t="e">
        <f>(INDEX(Tabla6[#All],MATCH(Tabla4[[#This Row],[Producto]],Tabla6[[#All],[PRODUCTO]],0),MATCH(Tabla4[[#This Row],[Mes]],Tabla6[#Headers],0)))</f>
        <v>#N/A</v>
      </c>
      <c r="R4942" s="282" t="e">
        <f>++Tabla4[[#This Row],[Precio Unitario Neto]]-Tabla4[[#This Row],[20.85%]]-Tabla4[[#This Row],[Costo]]</f>
        <v>#N/A</v>
      </c>
      <c r="S4942" s="282" t="e">
        <f>++Tabla4[[#This Row],[U. Bruta Uni]]*Tabla4[[#This Row],[Cantidad]]</f>
        <v>#N/A</v>
      </c>
      <c r="T4942" s="369" t="str">
        <f>VLOOKUP(Tabla4[[#This Row],[Producto]],Tabla6[#All],14,FALSE)</f>
        <v>Termico Solar</v>
      </c>
      <c r="U4942" s="284" t="e">
        <f>(IF(Tabla4[[#This Row],[Familia]]="termico solar",Tabla4[[#This Row],[Utilidad Total]]*6%,Tabla4[[#This Row],[Utilidad Total]]*11.5%))/Tabla4[[#This Row],[Total]]</f>
        <v>#N/A</v>
      </c>
      <c r="V4942" s="282" t="e">
        <f>+Tabla4[[#This Row],[Comisión Calculada]]*Tabla4[[#This Row],[Total]]</f>
        <v>#N/A</v>
      </c>
    </row>
    <row r="4943" spans="1:22" hidden="1" x14ac:dyDescent="0.25">
      <c r="A4943" s="100">
        <v>45869</v>
      </c>
      <c r="B4943" t="str">
        <f t="shared" si="242"/>
        <v>July</v>
      </c>
      <c r="C4943" s="46" t="s">
        <v>280</v>
      </c>
      <c r="F4943" s="366" t="s">
        <v>2588</v>
      </c>
      <c r="G4943" s="46" t="s">
        <v>208</v>
      </c>
      <c r="H4943" s="46">
        <v>1</v>
      </c>
      <c r="I4943" s="51">
        <v>189.75</v>
      </c>
      <c r="J4943" s="281">
        <f>++Tabla4[[#This Row],[Precio Bruto]]*1.16</f>
        <v>220.10999999999999</v>
      </c>
      <c r="K4943" s="281">
        <f>+Tabla4[[#This Row],[Precio Unitario Neto]]*Tabla4[[#Headers],[20.85%]]</f>
        <v>45.892934999999994</v>
      </c>
      <c r="L4943" s="282">
        <f>++Tabla4[[#This Row],[Precio Unitario Neto]]-Tabla4[[#This Row],[20.85%]]</f>
        <v>174.21706499999999</v>
      </c>
      <c r="M4943" s="282" t="e">
        <f>(INDEX(Tabla6[#All],MATCH(Tabla4[[#This Row],[Producto]],Tabla6[[#All],[PRODUCTO]],0),MATCH(Tabla4[[#This Row],[Mes]],Tabla6[#Headers],0)))*(1+Catalogos!$L$2)</f>
        <v>#N/A</v>
      </c>
      <c r="N4943" s="283" t="e">
        <f>+(Tabla4[[#This Row],[Precio Descontado]]-Tabla4[[#This Row],[Precio Base]])*Tabla4[[#This Row],[Cantidad]]</f>
        <v>#N/A</v>
      </c>
      <c r="O4943" s="284" t="e">
        <f>++Tabla4[[#This Row],[Utilidad Total]]/Tabla4[[#This Row],[Total]]</f>
        <v>#N/A</v>
      </c>
      <c r="P4943" s="282">
        <f>++Tabla4[[#This Row],[Precio Descontado]]*Tabla4[[#This Row],[Cantidad]]</f>
        <v>174.21706499999999</v>
      </c>
      <c r="Q4943" s="282" t="e">
        <f>(INDEX(Tabla6[#All],MATCH(Tabla4[[#This Row],[Producto]],Tabla6[[#All],[PRODUCTO]],0),MATCH(Tabla4[[#This Row],[Mes]],Tabla6[#Headers],0)))</f>
        <v>#N/A</v>
      </c>
      <c r="R4943" s="282" t="e">
        <f>++Tabla4[[#This Row],[Precio Unitario Neto]]-Tabla4[[#This Row],[20.85%]]-Tabla4[[#This Row],[Costo]]</f>
        <v>#N/A</v>
      </c>
      <c r="S4943" s="282" t="e">
        <f>++Tabla4[[#This Row],[U. Bruta Uni]]*Tabla4[[#This Row],[Cantidad]]</f>
        <v>#N/A</v>
      </c>
      <c r="T4943" s="369" t="str">
        <f>VLOOKUP(Tabla4[[#This Row],[Producto]],Tabla6[#All],14,FALSE)</f>
        <v>Termico Solar</v>
      </c>
      <c r="U4943" s="284" t="e">
        <f>(IF(Tabla4[[#This Row],[Familia]]="termico solar",Tabla4[[#This Row],[Utilidad Total]]*6%,Tabla4[[#This Row],[Utilidad Total]]*11.5%))/Tabla4[[#This Row],[Total]]</f>
        <v>#N/A</v>
      </c>
      <c r="V4943" s="282" t="e">
        <f>+Tabla4[[#This Row],[Comisión Calculada]]*Tabla4[[#This Row],[Total]]</f>
        <v>#N/A</v>
      </c>
    </row>
    <row r="4944" spans="1:22" hidden="1" x14ac:dyDescent="0.25">
      <c r="A4944" s="100">
        <v>45869</v>
      </c>
      <c r="B4944" t="str">
        <f t="shared" si="242"/>
        <v>July</v>
      </c>
      <c r="C4944" s="46" t="s">
        <v>280</v>
      </c>
      <c r="F4944" s="366" t="s">
        <v>2589</v>
      </c>
      <c r="G4944" s="46" t="s">
        <v>566</v>
      </c>
      <c r="H4944" s="46">
        <v>1</v>
      </c>
      <c r="I4944" s="51">
        <v>2109.4499999999998</v>
      </c>
      <c r="J4944" s="281">
        <f>++Tabla4[[#This Row],[Precio Bruto]]*1.16</f>
        <v>2446.9619999999995</v>
      </c>
      <c r="K4944" s="281">
        <f>+Tabla4[[#This Row],[Precio Unitario Neto]]*Tabla4[[#Headers],[20.85%]]</f>
        <v>510.19157699999988</v>
      </c>
      <c r="L4944" s="282">
        <f>++Tabla4[[#This Row],[Precio Unitario Neto]]-Tabla4[[#This Row],[20.85%]]</f>
        <v>1936.7704229999997</v>
      </c>
      <c r="M4944" s="282" t="e">
        <f>(INDEX(Tabla6[#All],MATCH(Tabla4[[#This Row],[Producto]],Tabla6[[#All],[PRODUCTO]],0),MATCH(Tabla4[[#This Row],[Mes]],Tabla6[#Headers],0)))*(1+Catalogos!$L$2)</f>
        <v>#N/A</v>
      </c>
      <c r="N4944" s="283" t="e">
        <f>+(Tabla4[[#This Row],[Precio Descontado]]-Tabla4[[#This Row],[Precio Base]])*Tabla4[[#This Row],[Cantidad]]</f>
        <v>#N/A</v>
      </c>
      <c r="O4944" s="284" t="e">
        <f>++Tabla4[[#This Row],[Utilidad Total]]/Tabla4[[#This Row],[Total]]</f>
        <v>#N/A</v>
      </c>
      <c r="P4944" s="282">
        <f>++Tabla4[[#This Row],[Precio Descontado]]*Tabla4[[#This Row],[Cantidad]]</f>
        <v>1936.7704229999997</v>
      </c>
      <c r="Q4944" s="282" t="e">
        <f>(INDEX(Tabla6[#All],MATCH(Tabla4[[#This Row],[Producto]],Tabla6[[#All],[PRODUCTO]],0),MATCH(Tabla4[[#This Row],[Mes]],Tabla6[#Headers],0)))</f>
        <v>#N/A</v>
      </c>
      <c r="R4944" s="282" t="e">
        <f>++Tabla4[[#This Row],[Precio Unitario Neto]]-Tabla4[[#This Row],[20.85%]]-Tabla4[[#This Row],[Costo]]</f>
        <v>#N/A</v>
      </c>
      <c r="S4944" s="282" t="e">
        <f>++Tabla4[[#This Row],[U. Bruta Uni]]*Tabla4[[#This Row],[Cantidad]]</f>
        <v>#N/A</v>
      </c>
      <c r="T4944" s="369" t="str">
        <f>VLOOKUP(Tabla4[[#This Row],[Producto]],Tabla6[#All],14,FALSE)</f>
        <v>Termico Solar</v>
      </c>
      <c r="U4944" s="284" t="e">
        <f>(IF(Tabla4[[#This Row],[Familia]]="termico solar",Tabla4[[#This Row],[Utilidad Total]]*6%,Tabla4[[#This Row],[Utilidad Total]]*11.5%))/Tabla4[[#This Row],[Total]]</f>
        <v>#N/A</v>
      </c>
      <c r="V4944" s="282" t="e">
        <f>+Tabla4[[#This Row],[Comisión Calculada]]*Tabla4[[#This Row],[Total]]</f>
        <v>#N/A</v>
      </c>
    </row>
    <row r="4945" spans="1:22" hidden="1" x14ac:dyDescent="0.25">
      <c r="A4945" s="100">
        <v>45869</v>
      </c>
      <c r="B4945" t="str">
        <f t="shared" si="242"/>
        <v>July</v>
      </c>
      <c r="C4945" s="46" t="s">
        <v>280</v>
      </c>
      <c r="F4945" s="366" t="s">
        <v>2590</v>
      </c>
      <c r="G4945" s="46" t="s">
        <v>83</v>
      </c>
      <c r="H4945" s="46">
        <v>4</v>
      </c>
      <c r="I4945" s="51">
        <v>8858.76</v>
      </c>
      <c r="J4945" s="281">
        <f>++Tabla4[[#This Row],[Precio Bruto]]*1.16</f>
        <v>10276.161599999999</v>
      </c>
      <c r="K4945" s="281">
        <f>+Tabla4[[#This Row],[Precio Unitario Neto]]*Tabla4[[#Headers],[20.85%]]</f>
        <v>2142.5796935999997</v>
      </c>
      <c r="L4945" s="282">
        <f>++Tabla4[[#This Row],[Precio Unitario Neto]]-Tabla4[[#This Row],[20.85%]]</f>
        <v>8133.5819063999998</v>
      </c>
      <c r="M4945" s="282" t="e">
        <f>(INDEX(Tabla6[#All],MATCH(Tabla4[[#This Row],[Producto]],Tabla6[[#All],[PRODUCTO]],0),MATCH(Tabla4[[#This Row],[Mes]],Tabla6[#Headers],0)))*(1+Catalogos!$L$2)</f>
        <v>#N/A</v>
      </c>
      <c r="N4945" s="283" t="e">
        <f>+(Tabla4[[#This Row],[Precio Descontado]]-Tabla4[[#This Row],[Precio Base]])*Tabla4[[#This Row],[Cantidad]]</f>
        <v>#N/A</v>
      </c>
      <c r="O4945" s="284" t="e">
        <f>++Tabla4[[#This Row],[Utilidad Total]]/Tabla4[[#This Row],[Total]]</f>
        <v>#N/A</v>
      </c>
      <c r="P4945" s="282">
        <f>++Tabla4[[#This Row],[Precio Descontado]]*Tabla4[[#This Row],[Cantidad]]</f>
        <v>32534.327625599999</v>
      </c>
      <c r="Q4945" s="282" t="e">
        <f>(INDEX(Tabla6[#All],MATCH(Tabla4[[#This Row],[Producto]],Tabla6[[#All],[PRODUCTO]],0),MATCH(Tabla4[[#This Row],[Mes]],Tabla6[#Headers],0)))</f>
        <v>#N/A</v>
      </c>
      <c r="R4945" s="282" t="e">
        <f>++Tabla4[[#This Row],[Precio Unitario Neto]]-Tabla4[[#This Row],[20.85%]]-Tabla4[[#This Row],[Costo]]</f>
        <v>#N/A</v>
      </c>
      <c r="S4945" s="282" t="e">
        <f>++Tabla4[[#This Row],[U. Bruta Uni]]*Tabla4[[#This Row],[Cantidad]]</f>
        <v>#N/A</v>
      </c>
      <c r="T4945" s="369" t="str">
        <f>VLOOKUP(Tabla4[[#This Row],[Producto]],Tabla6[#All],14,FALSE)</f>
        <v>Termico Solar</v>
      </c>
      <c r="U4945" s="284" t="e">
        <f>(IF(Tabla4[[#This Row],[Familia]]="termico solar",Tabla4[[#This Row],[Utilidad Total]]*6%,Tabla4[[#This Row],[Utilidad Total]]*11.5%))/Tabla4[[#This Row],[Total]]</f>
        <v>#N/A</v>
      </c>
      <c r="V4945" s="282" t="e">
        <f>+Tabla4[[#This Row],[Comisión Calculada]]*Tabla4[[#This Row],[Total]]</f>
        <v>#N/A</v>
      </c>
    </row>
    <row r="4946" spans="1:22" hidden="1" x14ac:dyDescent="0.25">
      <c r="A4946" s="100">
        <v>45869</v>
      </c>
      <c r="B4946" t="str">
        <f t="shared" si="242"/>
        <v>July</v>
      </c>
      <c r="C4946" s="46" t="s">
        <v>280</v>
      </c>
      <c r="F4946" s="366" t="s">
        <v>2590</v>
      </c>
      <c r="G4946" s="46" t="s">
        <v>566</v>
      </c>
      <c r="H4946" s="46">
        <v>1</v>
      </c>
      <c r="I4946" s="51">
        <v>2109.4499999999998</v>
      </c>
      <c r="J4946" s="281">
        <f>++Tabla4[[#This Row],[Precio Bruto]]*1.16</f>
        <v>2446.9619999999995</v>
      </c>
      <c r="K4946" s="281">
        <f>+Tabla4[[#This Row],[Precio Unitario Neto]]*Tabla4[[#Headers],[20.85%]]</f>
        <v>510.19157699999988</v>
      </c>
      <c r="L4946" s="282">
        <f>++Tabla4[[#This Row],[Precio Unitario Neto]]-Tabla4[[#This Row],[20.85%]]</f>
        <v>1936.7704229999997</v>
      </c>
      <c r="M4946" s="282" t="e">
        <f>(INDEX(Tabla6[#All],MATCH(Tabla4[[#This Row],[Producto]],Tabla6[[#All],[PRODUCTO]],0),MATCH(Tabla4[[#This Row],[Mes]],Tabla6[#Headers],0)))*(1+Catalogos!$L$2)</f>
        <v>#N/A</v>
      </c>
      <c r="N4946" s="283" t="e">
        <f>+(Tabla4[[#This Row],[Precio Descontado]]-Tabla4[[#This Row],[Precio Base]])*Tabla4[[#This Row],[Cantidad]]</f>
        <v>#N/A</v>
      </c>
      <c r="O4946" s="284" t="e">
        <f>++Tabla4[[#This Row],[Utilidad Total]]/Tabla4[[#This Row],[Total]]</f>
        <v>#N/A</v>
      </c>
      <c r="P4946" s="282">
        <f>++Tabla4[[#This Row],[Precio Descontado]]*Tabla4[[#This Row],[Cantidad]]</f>
        <v>1936.7704229999997</v>
      </c>
      <c r="Q4946" s="282" t="e">
        <f>(INDEX(Tabla6[#All],MATCH(Tabla4[[#This Row],[Producto]],Tabla6[[#All],[PRODUCTO]],0),MATCH(Tabla4[[#This Row],[Mes]],Tabla6[#Headers],0)))</f>
        <v>#N/A</v>
      </c>
      <c r="R4946" s="282" t="e">
        <f>++Tabla4[[#This Row],[Precio Unitario Neto]]-Tabla4[[#This Row],[20.85%]]-Tabla4[[#This Row],[Costo]]</f>
        <v>#N/A</v>
      </c>
      <c r="S4946" s="282" t="e">
        <f>++Tabla4[[#This Row],[U. Bruta Uni]]*Tabla4[[#This Row],[Cantidad]]</f>
        <v>#N/A</v>
      </c>
      <c r="T4946" s="369" t="str">
        <f>VLOOKUP(Tabla4[[#This Row],[Producto]],Tabla6[#All],14,FALSE)</f>
        <v>Termico Solar</v>
      </c>
      <c r="U4946" s="284" t="e">
        <f>(IF(Tabla4[[#This Row],[Familia]]="termico solar",Tabla4[[#This Row],[Utilidad Total]]*6%,Tabla4[[#This Row],[Utilidad Total]]*11.5%))/Tabla4[[#This Row],[Total]]</f>
        <v>#N/A</v>
      </c>
      <c r="V4946" s="282" t="e">
        <f>+Tabla4[[#This Row],[Comisión Calculada]]*Tabla4[[#This Row],[Total]]</f>
        <v>#N/A</v>
      </c>
    </row>
    <row r="4947" spans="1:22" hidden="1" x14ac:dyDescent="0.25">
      <c r="A4947" s="100">
        <v>45869</v>
      </c>
      <c r="B4947" t="str">
        <f t="shared" si="242"/>
        <v>July</v>
      </c>
      <c r="C4947" s="46" t="s">
        <v>280</v>
      </c>
      <c r="F4947" s="366" t="s">
        <v>2591</v>
      </c>
      <c r="G4947" s="46" t="s">
        <v>17</v>
      </c>
      <c r="H4947" s="46">
        <v>5</v>
      </c>
      <c r="I4947" s="51">
        <v>4622.2800000000007</v>
      </c>
      <c r="J4947" s="281">
        <f>++Tabla4[[#This Row],[Precio Bruto]]*1.16</f>
        <v>5361.8448000000008</v>
      </c>
      <c r="K4947" s="281">
        <f>+Tabla4[[#This Row],[Precio Unitario Neto]]*Tabla4[[#Headers],[20.85%]]</f>
        <v>1117.9446408000001</v>
      </c>
      <c r="L4947" s="282">
        <f>++Tabla4[[#This Row],[Precio Unitario Neto]]-Tabla4[[#This Row],[20.85%]]</f>
        <v>4243.9001592000004</v>
      </c>
      <c r="M4947" s="282" t="e">
        <f>(INDEX(Tabla6[#All],MATCH(Tabla4[[#This Row],[Producto]],Tabla6[[#All],[PRODUCTO]],0),MATCH(Tabla4[[#This Row],[Mes]],Tabla6[#Headers],0)))*(1+Catalogos!$L$2)</f>
        <v>#N/A</v>
      </c>
      <c r="N4947" s="283" t="e">
        <f>+(Tabla4[[#This Row],[Precio Descontado]]-Tabla4[[#This Row],[Precio Base]])*Tabla4[[#This Row],[Cantidad]]</f>
        <v>#N/A</v>
      </c>
      <c r="O4947" s="284" t="e">
        <f>++Tabla4[[#This Row],[Utilidad Total]]/Tabla4[[#This Row],[Total]]</f>
        <v>#N/A</v>
      </c>
      <c r="P4947" s="282">
        <f>++Tabla4[[#This Row],[Precio Descontado]]*Tabla4[[#This Row],[Cantidad]]</f>
        <v>21219.500796</v>
      </c>
      <c r="Q4947" s="282" t="e">
        <f>(INDEX(Tabla6[#All],MATCH(Tabla4[[#This Row],[Producto]],Tabla6[[#All],[PRODUCTO]],0),MATCH(Tabla4[[#This Row],[Mes]],Tabla6[#Headers],0)))</f>
        <v>#N/A</v>
      </c>
      <c r="R4947" s="282" t="e">
        <f>++Tabla4[[#This Row],[Precio Unitario Neto]]-Tabla4[[#This Row],[20.85%]]-Tabla4[[#This Row],[Costo]]</f>
        <v>#N/A</v>
      </c>
      <c r="S4947" s="282" t="e">
        <f>++Tabla4[[#This Row],[U. Bruta Uni]]*Tabla4[[#This Row],[Cantidad]]</f>
        <v>#N/A</v>
      </c>
      <c r="T4947" s="369" t="str">
        <f>VLOOKUP(Tabla4[[#This Row],[Producto]],Tabla6[#All],14,FALSE)</f>
        <v>Termico Solar</v>
      </c>
      <c r="U4947" s="284" t="e">
        <f>(IF(Tabla4[[#This Row],[Familia]]="termico solar",Tabla4[[#This Row],[Utilidad Total]]*6%,Tabla4[[#This Row],[Utilidad Total]]*11.5%))/Tabla4[[#This Row],[Total]]</f>
        <v>#N/A</v>
      </c>
      <c r="V4947" s="282" t="e">
        <f>+Tabla4[[#This Row],[Comisión Calculada]]*Tabla4[[#This Row],[Total]]</f>
        <v>#N/A</v>
      </c>
    </row>
    <row r="4948" spans="1:22" hidden="1" x14ac:dyDescent="0.25">
      <c r="A4948" s="100">
        <v>45869</v>
      </c>
      <c r="B4948" t="str">
        <f t="shared" si="242"/>
        <v>July</v>
      </c>
      <c r="C4948" s="46" t="s">
        <v>280</v>
      </c>
      <c r="F4948" s="366" t="s">
        <v>2591</v>
      </c>
      <c r="G4948" s="46" t="s">
        <v>18</v>
      </c>
      <c r="H4948" s="46">
        <v>3</v>
      </c>
      <c r="I4948" s="51">
        <v>5367.6500000000005</v>
      </c>
      <c r="J4948" s="281">
        <f>++Tabla4[[#This Row],[Precio Bruto]]*1.16</f>
        <v>6226.4740000000002</v>
      </c>
      <c r="K4948" s="281">
        <f>+Tabla4[[#This Row],[Precio Unitario Neto]]*Tabla4[[#Headers],[20.85%]]</f>
        <v>1298.2198289999999</v>
      </c>
      <c r="L4948" s="282">
        <f>++Tabla4[[#This Row],[Precio Unitario Neto]]-Tabla4[[#This Row],[20.85%]]</f>
        <v>4928.2541710000005</v>
      </c>
      <c r="M4948" s="282" t="e">
        <f>(INDEX(Tabla6[#All],MATCH(Tabla4[[#This Row],[Producto]],Tabla6[[#All],[PRODUCTO]],0),MATCH(Tabla4[[#This Row],[Mes]],Tabla6[#Headers],0)))*(1+Catalogos!$L$2)</f>
        <v>#N/A</v>
      </c>
      <c r="N4948" s="283" t="e">
        <f>+(Tabla4[[#This Row],[Precio Descontado]]-Tabla4[[#This Row],[Precio Base]])*Tabla4[[#This Row],[Cantidad]]</f>
        <v>#N/A</v>
      </c>
      <c r="O4948" s="284" t="e">
        <f>++Tabla4[[#This Row],[Utilidad Total]]/Tabla4[[#This Row],[Total]]</f>
        <v>#N/A</v>
      </c>
      <c r="P4948" s="282">
        <f>++Tabla4[[#This Row],[Precio Descontado]]*Tabla4[[#This Row],[Cantidad]]</f>
        <v>14784.762513000001</v>
      </c>
      <c r="Q4948" s="282" t="e">
        <f>(INDEX(Tabla6[#All],MATCH(Tabla4[[#This Row],[Producto]],Tabla6[[#All],[PRODUCTO]],0),MATCH(Tabla4[[#This Row],[Mes]],Tabla6[#Headers],0)))</f>
        <v>#N/A</v>
      </c>
      <c r="R4948" s="282" t="e">
        <f>++Tabla4[[#This Row],[Precio Unitario Neto]]-Tabla4[[#This Row],[20.85%]]-Tabla4[[#This Row],[Costo]]</f>
        <v>#N/A</v>
      </c>
      <c r="S4948" s="282" t="e">
        <f>++Tabla4[[#This Row],[U. Bruta Uni]]*Tabla4[[#This Row],[Cantidad]]</f>
        <v>#N/A</v>
      </c>
      <c r="T4948" s="369" t="str">
        <f>VLOOKUP(Tabla4[[#This Row],[Producto]],Tabla6[#All],14,FALSE)</f>
        <v>Termico Solar</v>
      </c>
      <c r="U4948" s="284" t="e">
        <f>(IF(Tabla4[[#This Row],[Familia]]="termico solar",Tabla4[[#This Row],[Utilidad Total]]*6%,Tabla4[[#This Row],[Utilidad Total]]*11.5%))/Tabla4[[#This Row],[Total]]</f>
        <v>#N/A</v>
      </c>
      <c r="V4948" s="282" t="e">
        <f>+Tabla4[[#This Row],[Comisión Calculada]]*Tabla4[[#This Row],[Total]]</f>
        <v>#N/A</v>
      </c>
    </row>
    <row r="4949" spans="1:22" hidden="1" x14ac:dyDescent="0.25">
      <c r="A4949" s="100">
        <v>45869</v>
      </c>
      <c r="B4949" t="str">
        <f t="shared" si="242"/>
        <v>July</v>
      </c>
      <c r="C4949" s="46" t="s">
        <v>280</v>
      </c>
      <c r="F4949" s="366" t="s">
        <v>2591</v>
      </c>
      <c r="G4949" s="46" t="s">
        <v>19</v>
      </c>
      <c r="H4949" s="46">
        <v>1</v>
      </c>
      <c r="I4949" s="51">
        <v>6412.03</v>
      </c>
      <c r="J4949" s="281">
        <f>++Tabla4[[#This Row],[Precio Bruto]]*1.16</f>
        <v>7437.9547999999995</v>
      </c>
      <c r="K4949" s="281">
        <f>+Tabla4[[#This Row],[Precio Unitario Neto]]*Tabla4[[#Headers],[20.85%]]</f>
        <v>1550.8135757999999</v>
      </c>
      <c r="L4949" s="282">
        <f>++Tabla4[[#This Row],[Precio Unitario Neto]]-Tabla4[[#This Row],[20.85%]]</f>
        <v>5887.1412241999997</v>
      </c>
      <c r="M4949" s="282" t="e">
        <f>(INDEX(Tabla6[#All],MATCH(Tabla4[[#This Row],[Producto]],Tabla6[[#All],[PRODUCTO]],0),MATCH(Tabla4[[#This Row],[Mes]],Tabla6[#Headers],0)))*(1+Catalogos!$L$2)</f>
        <v>#N/A</v>
      </c>
      <c r="N4949" s="283" t="e">
        <f>+(Tabla4[[#This Row],[Precio Descontado]]-Tabla4[[#This Row],[Precio Base]])*Tabla4[[#This Row],[Cantidad]]</f>
        <v>#N/A</v>
      </c>
      <c r="O4949" s="284" t="e">
        <f>++Tabla4[[#This Row],[Utilidad Total]]/Tabla4[[#This Row],[Total]]</f>
        <v>#N/A</v>
      </c>
      <c r="P4949" s="282">
        <f>++Tabla4[[#This Row],[Precio Descontado]]*Tabla4[[#This Row],[Cantidad]]</f>
        <v>5887.1412241999997</v>
      </c>
      <c r="Q4949" s="282" t="e">
        <f>(INDEX(Tabla6[#All],MATCH(Tabla4[[#This Row],[Producto]],Tabla6[[#All],[PRODUCTO]],0),MATCH(Tabla4[[#This Row],[Mes]],Tabla6[#Headers],0)))</f>
        <v>#N/A</v>
      </c>
      <c r="R4949" s="282" t="e">
        <f>++Tabla4[[#This Row],[Precio Unitario Neto]]-Tabla4[[#This Row],[20.85%]]-Tabla4[[#This Row],[Costo]]</f>
        <v>#N/A</v>
      </c>
      <c r="S4949" s="282" t="e">
        <f>++Tabla4[[#This Row],[U. Bruta Uni]]*Tabla4[[#This Row],[Cantidad]]</f>
        <v>#N/A</v>
      </c>
      <c r="T4949" s="369" t="str">
        <f>VLOOKUP(Tabla4[[#This Row],[Producto]],Tabla6[#All],14,FALSE)</f>
        <v>Termico Solar</v>
      </c>
      <c r="U4949" s="284" t="e">
        <f>(IF(Tabla4[[#This Row],[Familia]]="termico solar",Tabla4[[#This Row],[Utilidad Total]]*6%,Tabla4[[#This Row],[Utilidad Total]]*11.5%))/Tabla4[[#This Row],[Total]]</f>
        <v>#N/A</v>
      </c>
      <c r="V4949" s="282" t="e">
        <f>+Tabla4[[#This Row],[Comisión Calculada]]*Tabla4[[#This Row],[Total]]</f>
        <v>#N/A</v>
      </c>
    </row>
    <row r="4950" spans="1:22" hidden="1" x14ac:dyDescent="0.25">
      <c r="A4950" s="100">
        <v>45869</v>
      </c>
      <c r="B4950" t="str">
        <f t="shared" si="242"/>
        <v>July</v>
      </c>
      <c r="C4950" s="46" t="s">
        <v>280</v>
      </c>
      <c r="F4950" s="366" t="s">
        <v>2592</v>
      </c>
      <c r="G4950" s="46" t="s">
        <v>83</v>
      </c>
      <c r="H4950" s="46">
        <v>9</v>
      </c>
      <c r="I4950" s="51">
        <v>8858.76</v>
      </c>
      <c r="J4950" s="281">
        <f>++Tabla4[[#This Row],[Precio Bruto]]*1.16</f>
        <v>10276.161599999999</v>
      </c>
      <c r="K4950" s="281">
        <f>+Tabla4[[#This Row],[Precio Unitario Neto]]*Tabla4[[#Headers],[20.85%]]</f>
        <v>2142.5796935999997</v>
      </c>
      <c r="L4950" s="282">
        <f>++Tabla4[[#This Row],[Precio Unitario Neto]]-Tabla4[[#This Row],[20.85%]]</f>
        <v>8133.5819063999998</v>
      </c>
      <c r="M4950" s="282" t="e">
        <f>(INDEX(Tabla6[#All],MATCH(Tabla4[[#This Row],[Producto]],Tabla6[[#All],[PRODUCTO]],0),MATCH(Tabla4[[#This Row],[Mes]],Tabla6[#Headers],0)))*(1+Catalogos!$L$2)</f>
        <v>#N/A</v>
      </c>
      <c r="N4950" s="283" t="e">
        <f>+(Tabla4[[#This Row],[Precio Descontado]]-Tabla4[[#This Row],[Precio Base]])*Tabla4[[#This Row],[Cantidad]]</f>
        <v>#N/A</v>
      </c>
      <c r="O4950" s="284" t="e">
        <f>++Tabla4[[#This Row],[Utilidad Total]]/Tabla4[[#This Row],[Total]]</f>
        <v>#N/A</v>
      </c>
      <c r="P4950" s="282">
        <f>++Tabla4[[#This Row],[Precio Descontado]]*Tabla4[[#This Row],[Cantidad]]</f>
        <v>73202.237157600001</v>
      </c>
      <c r="Q4950" s="282" t="e">
        <f>(INDEX(Tabla6[#All],MATCH(Tabla4[[#This Row],[Producto]],Tabla6[[#All],[PRODUCTO]],0),MATCH(Tabla4[[#This Row],[Mes]],Tabla6[#Headers],0)))</f>
        <v>#N/A</v>
      </c>
      <c r="R4950" s="282" t="e">
        <f>++Tabla4[[#This Row],[Precio Unitario Neto]]-Tabla4[[#This Row],[20.85%]]-Tabla4[[#This Row],[Costo]]</f>
        <v>#N/A</v>
      </c>
      <c r="S4950" s="282" t="e">
        <f>++Tabla4[[#This Row],[U. Bruta Uni]]*Tabla4[[#This Row],[Cantidad]]</f>
        <v>#N/A</v>
      </c>
      <c r="T4950" s="369" t="str">
        <f>VLOOKUP(Tabla4[[#This Row],[Producto]],Tabla6[#All],14,FALSE)</f>
        <v>Termico Solar</v>
      </c>
      <c r="U4950" s="284" t="e">
        <f>(IF(Tabla4[[#This Row],[Familia]]="termico solar",Tabla4[[#This Row],[Utilidad Total]]*6%,Tabla4[[#This Row],[Utilidad Total]]*11.5%))/Tabla4[[#This Row],[Total]]</f>
        <v>#N/A</v>
      </c>
      <c r="V4950" s="282" t="e">
        <f>+Tabla4[[#This Row],[Comisión Calculada]]*Tabla4[[#This Row],[Total]]</f>
        <v>#N/A</v>
      </c>
    </row>
    <row r="4951" spans="1:22" hidden="1" x14ac:dyDescent="0.25">
      <c r="A4951" s="100">
        <v>45869</v>
      </c>
      <c r="B4951" t="str">
        <f t="shared" si="242"/>
        <v>July</v>
      </c>
      <c r="C4951" s="46" t="s">
        <v>280</v>
      </c>
      <c r="F4951" s="366" t="s">
        <v>2592</v>
      </c>
      <c r="G4951" s="46" t="s">
        <v>17</v>
      </c>
      <c r="H4951" s="46">
        <v>37</v>
      </c>
      <c r="I4951" s="51">
        <v>4622.28</v>
      </c>
      <c r="J4951" s="281">
        <f>++Tabla4[[#This Row],[Precio Bruto]]*1.16</f>
        <v>5361.8447999999989</v>
      </c>
      <c r="K4951" s="281">
        <f>+Tabla4[[#This Row],[Precio Unitario Neto]]*Tabla4[[#Headers],[20.85%]]</f>
        <v>1117.9446407999997</v>
      </c>
      <c r="L4951" s="282">
        <f>++Tabla4[[#This Row],[Precio Unitario Neto]]-Tabla4[[#This Row],[20.85%]]</f>
        <v>4243.9001591999995</v>
      </c>
      <c r="M4951" s="282" t="e">
        <f>(INDEX(Tabla6[#All],MATCH(Tabla4[[#This Row],[Producto]],Tabla6[[#All],[PRODUCTO]],0),MATCH(Tabla4[[#This Row],[Mes]],Tabla6[#Headers],0)))*(1+Catalogos!$L$2)</f>
        <v>#N/A</v>
      </c>
      <c r="N4951" s="283" t="e">
        <f>+(Tabla4[[#This Row],[Precio Descontado]]-Tabla4[[#This Row],[Precio Base]])*Tabla4[[#This Row],[Cantidad]]</f>
        <v>#N/A</v>
      </c>
      <c r="O4951" s="284" t="e">
        <f>++Tabla4[[#This Row],[Utilidad Total]]/Tabla4[[#This Row],[Total]]</f>
        <v>#N/A</v>
      </c>
      <c r="P4951" s="282">
        <f>++Tabla4[[#This Row],[Precio Descontado]]*Tabla4[[#This Row],[Cantidad]]</f>
        <v>157024.30589039999</v>
      </c>
      <c r="Q4951" s="282" t="e">
        <f>(INDEX(Tabla6[#All],MATCH(Tabla4[[#This Row],[Producto]],Tabla6[[#All],[PRODUCTO]],0),MATCH(Tabla4[[#This Row],[Mes]],Tabla6[#Headers],0)))</f>
        <v>#N/A</v>
      </c>
      <c r="R4951" s="282" t="e">
        <f>++Tabla4[[#This Row],[Precio Unitario Neto]]-Tabla4[[#This Row],[20.85%]]-Tabla4[[#This Row],[Costo]]</f>
        <v>#N/A</v>
      </c>
      <c r="S4951" s="282" t="e">
        <f>++Tabla4[[#This Row],[U. Bruta Uni]]*Tabla4[[#This Row],[Cantidad]]</f>
        <v>#N/A</v>
      </c>
      <c r="T4951" s="369" t="str">
        <f>VLOOKUP(Tabla4[[#This Row],[Producto]],Tabla6[#All],14,FALSE)</f>
        <v>Termico Solar</v>
      </c>
      <c r="U4951" s="284" t="e">
        <f>(IF(Tabla4[[#This Row],[Familia]]="termico solar",Tabla4[[#This Row],[Utilidad Total]]*6%,Tabla4[[#This Row],[Utilidad Total]]*11.5%))/Tabla4[[#This Row],[Total]]</f>
        <v>#N/A</v>
      </c>
      <c r="V4951" s="282" t="e">
        <f>+Tabla4[[#This Row],[Comisión Calculada]]*Tabla4[[#This Row],[Total]]</f>
        <v>#N/A</v>
      </c>
    </row>
    <row r="4952" spans="1:22" hidden="1" x14ac:dyDescent="0.25">
      <c r="A4952" s="100">
        <v>45869</v>
      </c>
      <c r="B4952" t="str">
        <f t="shared" si="242"/>
        <v>July</v>
      </c>
      <c r="C4952" s="46" t="s">
        <v>280</v>
      </c>
      <c r="F4952" s="366" t="s">
        <v>2592</v>
      </c>
      <c r="G4952" s="46" t="s">
        <v>16</v>
      </c>
      <c r="H4952" s="46">
        <v>22</v>
      </c>
      <c r="I4952" s="51">
        <v>4103.8499999999995</v>
      </c>
      <c r="J4952" s="281">
        <f>++Tabla4[[#This Row],[Precio Bruto]]*1.16</f>
        <v>4760.4659999999994</v>
      </c>
      <c r="K4952" s="281">
        <f>+Tabla4[[#This Row],[Precio Unitario Neto]]*Tabla4[[#Headers],[20.85%]]</f>
        <v>992.55716099999984</v>
      </c>
      <c r="L4952" s="282">
        <f>++Tabla4[[#This Row],[Precio Unitario Neto]]-Tabla4[[#This Row],[20.85%]]</f>
        <v>3767.9088389999997</v>
      </c>
      <c r="M4952" s="282" t="e">
        <f>(INDEX(Tabla6[#All],MATCH(Tabla4[[#This Row],[Producto]],Tabla6[[#All],[PRODUCTO]],0),MATCH(Tabla4[[#This Row],[Mes]],Tabla6[#Headers],0)))*(1+Catalogos!$L$2)</f>
        <v>#N/A</v>
      </c>
      <c r="N4952" s="283" t="e">
        <f>+(Tabla4[[#This Row],[Precio Descontado]]-Tabla4[[#This Row],[Precio Base]])*Tabla4[[#This Row],[Cantidad]]</f>
        <v>#N/A</v>
      </c>
      <c r="O4952" s="284" t="e">
        <f>++Tabla4[[#This Row],[Utilidad Total]]/Tabla4[[#This Row],[Total]]</f>
        <v>#N/A</v>
      </c>
      <c r="P4952" s="282">
        <f>++Tabla4[[#This Row],[Precio Descontado]]*Tabla4[[#This Row],[Cantidad]]</f>
        <v>82893.994458000001</v>
      </c>
      <c r="Q4952" s="282" t="e">
        <f>(INDEX(Tabla6[#All],MATCH(Tabla4[[#This Row],[Producto]],Tabla6[[#All],[PRODUCTO]],0),MATCH(Tabla4[[#This Row],[Mes]],Tabla6[#Headers],0)))</f>
        <v>#N/A</v>
      </c>
      <c r="R4952" s="282" t="e">
        <f>++Tabla4[[#This Row],[Precio Unitario Neto]]-Tabla4[[#This Row],[20.85%]]-Tabla4[[#This Row],[Costo]]</f>
        <v>#N/A</v>
      </c>
      <c r="S4952" s="282" t="e">
        <f>++Tabla4[[#This Row],[U. Bruta Uni]]*Tabla4[[#This Row],[Cantidad]]</f>
        <v>#N/A</v>
      </c>
      <c r="T4952" s="369" t="str">
        <f>VLOOKUP(Tabla4[[#This Row],[Producto]],Tabla6[#All],14,FALSE)</f>
        <v>Termico Solar</v>
      </c>
      <c r="U4952" s="284" t="e">
        <f>(IF(Tabla4[[#This Row],[Familia]]="termico solar",Tabla4[[#This Row],[Utilidad Total]]*6%,Tabla4[[#This Row],[Utilidad Total]]*11.5%))/Tabla4[[#This Row],[Total]]</f>
        <v>#N/A</v>
      </c>
      <c r="V4952" s="282" t="e">
        <f>+Tabla4[[#This Row],[Comisión Calculada]]*Tabla4[[#This Row],[Total]]</f>
        <v>#N/A</v>
      </c>
    </row>
    <row r="4953" spans="1:22" hidden="1" x14ac:dyDescent="0.25">
      <c r="A4953" s="100">
        <v>45869</v>
      </c>
      <c r="B4953" t="str">
        <f t="shared" si="242"/>
        <v>July</v>
      </c>
      <c r="C4953" s="46" t="s">
        <v>280</v>
      </c>
      <c r="F4953" s="366" t="s">
        <v>2593</v>
      </c>
      <c r="G4953" s="46" t="s">
        <v>18</v>
      </c>
      <c r="H4953" s="46">
        <v>2</v>
      </c>
      <c r="I4953" s="51">
        <v>5367.65</v>
      </c>
      <c r="J4953" s="281">
        <f>++Tabla4[[#This Row],[Precio Bruto]]*1.16</f>
        <v>6226.4739999999993</v>
      </c>
      <c r="K4953" s="281">
        <f>+Tabla4[[#This Row],[Precio Unitario Neto]]*Tabla4[[#Headers],[20.85%]]</f>
        <v>1298.2198289999999</v>
      </c>
      <c r="L4953" s="282">
        <f>++Tabla4[[#This Row],[Precio Unitario Neto]]-Tabla4[[#This Row],[20.85%]]</f>
        <v>4928.2541709999996</v>
      </c>
      <c r="M4953" s="282" t="e">
        <f>(INDEX(Tabla6[#All],MATCH(Tabla4[[#This Row],[Producto]],Tabla6[[#All],[PRODUCTO]],0),MATCH(Tabla4[[#This Row],[Mes]],Tabla6[#Headers],0)))*(1+Catalogos!$L$2)</f>
        <v>#N/A</v>
      </c>
      <c r="N4953" s="283" t="e">
        <f>+(Tabla4[[#This Row],[Precio Descontado]]-Tabla4[[#This Row],[Precio Base]])*Tabla4[[#This Row],[Cantidad]]</f>
        <v>#N/A</v>
      </c>
      <c r="O4953" s="284" t="e">
        <f>++Tabla4[[#This Row],[Utilidad Total]]/Tabla4[[#This Row],[Total]]</f>
        <v>#N/A</v>
      </c>
      <c r="P4953" s="282">
        <f>++Tabla4[[#This Row],[Precio Descontado]]*Tabla4[[#This Row],[Cantidad]]</f>
        <v>9856.5083419999992</v>
      </c>
      <c r="Q4953" s="282" t="e">
        <f>(INDEX(Tabla6[#All],MATCH(Tabla4[[#This Row],[Producto]],Tabla6[[#All],[PRODUCTO]],0),MATCH(Tabla4[[#This Row],[Mes]],Tabla6[#Headers],0)))</f>
        <v>#N/A</v>
      </c>
      <c r="R4953" s="282" t="e">
        <f>++Tabla4[[#This Row],[Precio Unitario Neto]]-Tabla4[[#This Row],[20.85%]]-Tabla4[[#This Row],[Costo]]</f>
        <v>#N/A</v>
      </c>
      <c r="S4953" s="282" t="e">
        <f>++Tabla4[[#This Row],[U. Bruta Uni]]*Tabla4[[#This Row],[Cantidad]]</f>
        <v>#N/A</v>
      </c>
      <c r="T4953" s="369" t="str">
        <f>VLOOKUP(Tabla4[[#This Row],[Producto]],Tabla6[#All],14,FALSE)</f>
        <v>Termico Solar</v>
      </c>
      <c r="U4953" s="284" t="e">
        <f>(IF(Tabla4[[#This Row],[Familia]]="termico solar",Tabla4[[#This Row],[Utilidad Total]]*6%,Tabla4[[#This Row],[Utilidad Total]]*11.5%))/Tabla4[[#This Row],[Total]]</f>
        <v>#N/A</v>
      </c>
      <c r="V4953" s="282" t="e">
        <f>+Tabla4[[#This Row],[Comisión Calculada]]*Tabla4[[#This Row],[Total]]</f>
        <v>#N/A</v>
      </c>
    </row>
    <row r="4954" spans="1:22" hidden="1" x14ac:dyDescent="0.25">
      <c r="A4954" s="100">
        <v>45869</v>
      </c>
      <c r="B4954" t="str">
        <f t="shared" si="242"/>
        <v>July</v>
      </c>
      <c r="C4954" s="46" t="s">
        <v>280</v>
      </c>
      <c r="F4954" s="366" t="s">
        <v>2593</v>
      </c>
      <c r="G4954" s="46" t="s">
        <v>566</v>
      </c>
      <c r="H4954" s="46">
        <v>1</v>
      </c>
      <c r="I4954" s="51">
        <v>2109.4499999999998</v>
      </c>
      <c r="J4954" s="281">
        <f>++Tabla4[[#This Row],[Precio Bruto]]*1.16</f>
        <v>2446.9619999999995</v>
      </c>
      <c r="K4954" s="281">
        <f>+Tabla4[[#This Row],[Precio Unitario Neto]]*Tabla4[[#Headers],[20.85%]]</f>
        <v>510.19157699999988</v>
      </c>
      <c r="L4954" s="282">
        <f>++Tabla4[[#This Row],[Precio Unitario Neto]]-Tabla4[[#This Row],[20.85%]]</f>
        <v>1936.7704229999997</v>
      </c>
      <c r="M4954" s="282" t="e">
        <f>(INDEX(Tabla6[#All],MATCH(Tabla4[[#This Row],[Producto]],Tabla6[[#All],[PRODUCTO]],0),MATCH(Tabla4[[#This Row],[Mes]],Tabla6[#Headers],0)))*(1+Catalogos!$L$2)</f>
        <v>#N/A</v>
      </c>
      <c r="N4954" s="283" t="e">
        <f>+(Tabla4[[#This Row],[Precio Descontado]]-Tabla4[[#This Row],[Precio Base]])*Tabla4[[#This Row],[Cantidad]]</f>
        <v>#N/A</v>
      </c>
      <c r="O4954" s="284" t="e">
        <f>++Tabla4[[#This Row],[Utilidad Total]]/Tabla4[[#This Row],[Total]]</f>
        <v>#N/A</v>
      </c>
      <c r="P4954" s="282">
        <f>++Tabla4[[#This Row],[Precio Descontado]]*Tabla4[[#This Row],[Cantidad]]</f>
        <v>1936.7704229999997</v>
      </c>
      <c r="Q4954" s="282" t="e">
        <f>(INDEX(Tabla6[#All],MATCH(Tabla4[[#This Row],[Producto]],Tabla6[[#All],[PRODUCTO]],0),MATCH(Tabla4[[#This Row],[Mes]],Tabla6[#Headers],0)))</f>
        <v>#N/A</v>
      </c>
      <c r="R4954" s="282" t="e">
        <f>++Tabla4[[#This Row],[Precio Unitario Neto]]-Tabla4[[#This Row],[20.85%]]-Tabla4[[#This Row],[Costo]]</f>
        <v>#N/A</v>
      </c>
      <c r="S4954" s="282" t="e">
        <f>++Tabla4[[#This Row],[U. Bruta Uni]]*Tabla4[[#This Row],[Cantidad]]</f>
        <v>#N/A</v>
      </c>
      <c r="T4954" s="369" t="str">
        <f>VLOOKUP(Tabla4[[#This Row],[Producto]],Tabla6[#All],14,FALSE)</f>
        <v>Termico Solar</v>
      </c>
      <c r="U4954" s="284" t="e">
        <f>(IF(Tabla4[[#This Row],[Familia]]="termico solar",Tabla4[[#This Row],[Utilidad Total]]*6%,Tabla4[[#This Row],[Utilidad Total]]*11.5%))/Tabla4[[#This Row],[Total]]</f>
        <v>#N/A</v>
      </c>
      <c r="V4954" s="282" t="e">
        <f>+Tabla4[[#This Row],[Comisión Calculada]]*Tabla4[[#This Row],[Total]]</f>
        <v>#N/A</v>
      </c>
    </row>
    <row r="4955" spans="1:22" hidden="1" x14ac:dyDescent="0.25">
      <c r="A4955" s="100">
        <v>45869</v>
      </c>
      <c r="B4955" t="str">
        <f t="shared" si="242"/>
        <v>July</v>
      </c>
      <c r="C4955" s="46" t="s">
        <v>280</v>
      </c>
      <c r="F4955" s="366" t="s">
        <v>2594</v>
      </c>
      <c r="G4955" s="46" t="s">
        <v>16</v>
      </c>
      <c r="H4955" s="46">
        <v>1</v>
      </c>
      <c r="I4955" s="51">
        <v>4103.8500000000004</v>
      </c>
      <c r="J4955" s="281">
        <f>++Tabla4[[#This Row],[Precio Bruto]]*1.16</f>
        <v>4760.4660000000003</v>
      </c>
      <c r="K4955" s="281">
        <f>+Tabla4[[#This Row],[Precio Unitario Neto]]*Tabla4[[#Headers],[20.85%]]</f>
        <v>992.55716100000006</v>
      </c>
      <c r="L4955" s="282">
        <f>++Tabla4[[#This Row],[Precio Unitario Neto]]-Tabla4[[#This Row],[20.85%]]</f>
        <v>3767.9088390000002</v>
      </c>
      <c r="M4955" s="282" t="e">
        <f>(INDEX(Tabla6[#All],MATCH(Tabla4[[#This Row],[Producto]],Tabla6[[#All],[PRODUCTO]],0),MATCH(Tabla4[[#This Row],[Mes]],Tabla6[#Headers],0)))*(1+Catalogos!$L$2)</f>
        <v>#N/A</v>
      </c>
      <c r="N4955" s="283" t="e">
        <f>+(Tabla4[[#This Row],[Precio Descontado]]-Tabla4[[#This Row],[Precio Base]])*Tabla4[[#This Row],[Cantidad]]</f>
        <v>#N/A</v>
      </c>
      <c r="O4955" s="284" t="e">
        <f>++Tabla4[[#This Row],[Utilidad Total]]/Tabla4[[#This Row],[Total]]</f>
        <v>#N/A</v>
      </c>
      <c r="P4955" s="282">
        <f>++Tabla4[[#This Row],[Precio Descontado]]*Tabla4[[#This Row],[Cantidad]]</f>
        <v>3767.9088390000002</v>
      </c>
      <c r="Q4955" s="282" t="e">
        <f>(INDEX(Tabla6[#All],MATCH(Tabla4[[#This Row],[Producto]],Tabla6[[#All],[PRODUCTO]],0),MATCH(Tabla4[[#This Row],[Mes]],Tabla6[#Headers],0)))</f>
        <v>#N/A</v>
      </c>
      <c r="R4955" s="282" t="e">
        <f>++Tabla4[[#This Row],[Precio Unitario Neto]]-Tabla4[[#This Row],[20.85%]]-Tabla4[[#This Row],[Costo]]</f>
        <v>#N/A</v>
      </c>
      <c r="S4955" s="282" t="e">
        <f>++Tabla4[[#This Row],[U. Bruta Uni]]*Tabla4[[#This Row],[Cantidad]]</f>
        <v>#N/A</v>
      </c>
      <c r="T4955" s="369" t="str">
        <f>VLOOKUP(Tabla4[[#This Row],[Producto]],Tabla6[#All],14,FALSE)</f>
        <v>Termico Solar</v>
      </c>
      <c r="U4955" s="284" t="e">
        <f>(IF(Tabla4[[#This Row],[Familia]]="termico solar",Tabla4[[#This Row],[Utilidad Total]]*6%,Tabla4[[#This Row],[Utilidad Total]]*11.5%))/Tabla4[[#This Row],[Total]]</f>
        <v>#N/A</v>
      </c>
      <c r="V4955" s="282" t="e">
        <f>+Tabla4[[#This Row],[Comisión Calculada]]*Tabla4[[#This Row],[Total]]</f>
        <v>#N/A</v>
      </c>
    </row>
    <row r="4956" spans="1:22" hidden="1" x14ac:dyDescent="0.25">
      <c r="A4956" s="100">
        <v>45869</v>
      </c>
      <c r="B4956" t="str">
        <f t="shared" si="242"/>
        <v>July</v>
      </c>
      <c r="C4956" s="46" t="s">
        <v>280</v>
      </c>
      <c r="F4956" s="366" t="s">
        <v>2595</v>
      </c>
      <c r="G4956" s="46" t="s">
        <v>83</v>
      </c>
      <c r="H4956" s="46">
        <v>2</v>
      </c>
      <c r="I4956" s="51">
        <v>8858.76</v>
      </c>
      <c r="J4956" s="281">
        <f>++Tabla4[[#This Row],[Precio Bruto]]*1.16</f>
        <v>10276.161599999999</v>
      </c>
      <c r="K4956" s="281">
        <f>+Tabla4[[#This Row],[Precio Unitario Neto]]*Tabla4[[#Headers],[20.85%]]</f>
        <v>2142.5796935999997</v>
      </c>
      <c r="L4956" s="282">
        <f>++Tabla4[[#This Row],[Precio Unitario Neto]]-Tabla4[[#This Row],[20.85%]]</f>
        <v>8133.5819063999998</v>
      </c>
      <c r="M4956" s="282" t="e">
        <f>(INDEX(Tabla6[#All],MATCH(Tabla4[[#This Row],[Producto]],Tabla6[[#All],[PRODUCTO]],0),MATCH(Tabla4[[#This Row],[Mes]],Tabla6[#Headers],0)))*(1+Catalogos!$L$2)</f>
        <v>#N/A</v>
      </c>
      <c r="N4956" s="283" t="e">
        <f>+(Tabla4[[#This Row],[Precio Descontado]]-Tabla4[[#This Row],[Precio Base]])*Tabla4[[#This Row],[Cantidad]]</f>
        <v>#N/A</v>
      </c>
      <c r="O4956" s="284" t="e">
        <f>++Tabla4[[#This Row],[Utilidad Total]]/Tabla4[[#This Row],[Total]]</f>
        <v>#N/A</v>
      </c>
      <c r="P4956" s="282">
        <f>++Tabla4[[#This Row],[Precio Descontado]]*Tabla4[[#This Row],[Cantidad]]</f>
        <v>16267.1638128</v>
      </c>
      <c r="Q4956" s="282" t="e">
        <f>(INDEX(Tabla6[#All],MATCH(Tabla4[[#This Row],[Producto]],Tabla6[[#All],[PRODUCTO]],0),MATCH(Tabla4[[#This Row],[Mes]],Tabla6[#Headers],0)))</f>
        <v>#N/A</v>
      </c>
      <c r="R4956" s="282" t="e">
        <f>++Tabla4[[#This Row],[Precio Unitario Neto]]-Tabla4[[#This Row],[20.85%]]-Tabla4[[#This Row],[Costo]]</f>
        <v>#N/A</v>
      </c>
      <c r="S4956" s="282" t="e">
        <f>++Tabla4[[#This Row],[U. Bruta Uni]]*Tabla4[[#This Row],[Cantidad]]</f>
        <v>#N/A</v>
      </c>
      <c r="T4956" s="369" t="str">
        <f>VLOOKUP(Tabla4[[#This Row],[Producto]],Tabla6[#All],14,FALSE)</f>
        <v>Termico Solar</v>
      </c>
      <c r="U4956" s="284" t="e">
        <f>(IF(Tabla4[[#This Row],[Familia]]="termico solar",Tabla4[[#This Row],[Utilidad Total]]*6%,Tabla4[[#This Row],[Utilidad Total]]*11.5%))/Tabla4[[#This Row],[Total]]</f>
        <v>#N/A</v>
      </c>
      <c r="V4956" s="282" t="e">
        <f>+Tabla4[[#This Row],[Comisión Calculada]]*Tabla4[[#This Row],[Total]]</f>
        <v>#N/A</v>
      </c>
    </row>
    <row r="4957" spans="1:22" hidden="1" x14ac:dyDescent="0.25">
      <c r="A4957" s="100">
        <v>45869</v>
      </c>
      <c r="B4957" t="str">
        <f t="shared" si="242"/>
        <v>July</v>
      </c>
      <c r="C4957" s="46" t="s">
        <v>280</v>
      </c>
      <c r="F4957" s="366" t="s">
        <v>2595</v>
      </c>
      <c r="G4957" s="46" t="s">
        <v>18</v>
      </c>
      <c r="H4957" s="46">
        <v>3</v>
      </c>
      <c r="I4957" s="51">
        <v>5367.6500000000005</v>
      </c>
      <c r="J4957" s="281">
        <f>++Tabla4[[#This Row],[Precio Bruto]]*1.16</f>
        <v>6226.4740000000002</v>
      </c>
      <c r="K4957" s="281">
        <f>+Tabla4[[#This Row],[Precio Unitario Neto]]*Tabla4[[#Headers],[20.85%]]</f>
        <v>1298.2198289999999</v>
      </c>
      <c r="L4957" s="282">
        <f>++Tabla4[[#This Row],[Precio Unitario Neto]]-Tabla4[[#This Row],[20.85%]]</f>
        <v>4928.2541710000005</v>
      </c>
      <c r="M4957" s="282" t="e">
        <f>(INDEX(Tabla6[#All],MATCH(Tabla4[[#This Row],[Producto]],Tabla6[[#All],[PRODUCTO]],0),MATCH(Tabla4[[#This Row],[Mes]],Tabla6[#Headers],0)))*(1+Catalogos!$L$2)</f>
        <v>#N/A</v>
      </c>
      <c r="N4957" s="283" t="e">
        <f>+(Tabla4[[#This Row],[Precio Descontado]]-Tabla4[[#This Row],[Precio Base]])*Tabla4[[#This Row],[Cantidad]]</f>
        <v>#N/A</v>
      </c>
      <c r="O4957" s="284" t="e">
        <f>++Tabla4[[#This Row],[Utilidad Total]]/Tabla4[[#This Row],[Total]]</f>
        <v>#N/A</v>
      </c>
      <c r="P4957" s="282">
        <f>++Tabla4[[#This Row],[Precio Descontado]]*Tabla4[[#This Row],[Cantidad]]</f>
        <v>14784.762513000001</v>
      </c>
      <c r="Q4957" s="282" t="e">
        <f>(INDEX(Tabla6[#All],MATCH(Tabla4[[#This Row],[Producto]],Tabla6[[#All],[PRODUCTO]],0),MATCH(Tabla4[[#This Row],[Mes]],Tabla6[#Headers],0)))</f>
        <v>#N/A</v>
      </c>
      <c r="R4957" s="282" t="e">
        <f>++Tabla4[[#This Row],[Precio Unitario Neto]]-Tabla4[[#This Row],[20.85%]]-Tabla4[[#This Row],[Costo]]</f>
        <v>#N/A</v>
      </c>
      <c r="S4957" s="282" t="e">
        <f>++Tabla4[[#This Row],[U. Bruta Uni]]*Tabla4[[#This Row],[Cantidad]]</f>
        <v>#N/A</v>
      </c>
      <c r="T4957" s="369" t="str">
        <f>VLOOKUP(Tabla4[[#This Row],[Producto]],Tabla6[#All],14,FALSE)</f>
        <v>Termico Solar</v>
      </c>
      <c r="U4957" s="284" t="e">
        <f>(IF(Tabla4[[#This Row],[Familia]]="termico solar",Tabla4[[#This Row],[Utilidad Total]]*6%,Tabla4[[#This Row],[Utilidad Total]]*11.5%))/Tabla4[[#This Row],[Total]]</f>
        <v>#N/A</v>
      </c>
      <c r="V4957" s="282" t="e">
        <f>+Tabla4[[#This Row],[Comisión Calculada]]*Tabla4[[#This Row],[Total]]</f>
        <v>#N/A</v>
      </c>
    </row>
    <row r="4958" spans="1:22" hidden="1" x14ac:dyDescent="0.25">
      <c r="A4958" s="100">
        <v>45869</v>
      </c>
      <c r="B4958" t="str">
        <f t="shared" si="242"/>
        <v>July</v>
      </c>
      <c r="C4958" s="46" t="s">
        <v>280</v>
      </c>
      <c r="F4958" s="366" t="s">
        <v>2595</v>
      </c>
      <c r="G4958" s="46" t="s">
        <v>16</v>
      </c>
      <c r="H4958" s="46">
        <v>1</v>
      </c>
      <c r="I4958" s="51">
        <v>4103.8500000000004</v>
      </c>
      <c r="J4958" s="281">
        <f>++Tabla4[[#This Row],[Precio Bruto]]*1.16</f>
        <v>4760.4660000000003</v>
      </c>
      <c r="K4958" s="281">
        <f>+Tabla4[[#This Row],[Precio Unitario Neto]]*Tabla4[[#Headers],[20.85%]]</f>
        <v>992.55716100000006</v>
      </c>
      <c r="L4958" s="282">
        <f>++Tabla4[[#This Row],[Precio Unitario Neto]]-Tabla4[[#This Row],[20.85%]]</f>
        <v>3767.9088390000002</v>
      </c>
      <c r="M4958" s="282" t="e">
        <f>(INDEX(Tabla6[#All],MATCH(Tabla4[[#This Row],[Producto]],Tabla6[[#All],[PRODUCTO]],0),MATCH(Tabla4[[#This Row],[Mes]],Tabla6[#Headers],0)))*(1+Catalogos!$L$2)</f>
        <v>#N/A</v>
      </c>
      <c r="N4958" s="283" t="e">
        <f>+(Tabla4[[#This Row],[Precio Descontado]]-Tabla4[[#This Row],[Precio Base]])*Tabla4[[#This Row],[Cantidad]]</f>
        <v>#N/A</v>
      </c>
      <c r="O4958" s="284" t="e">
        <f>++Tabla4[[#This Row],[Utilidad Total]]/Tabla4[[#This Row],[Total]]</f>
        <v>#N/A</v>
      </c>
      <c r="P4958" s="282">
        <f>++Tabla4[[#This Row],[Precio Descontado]]*Tabla4[[#This Row],[Cantidad]]</f>
        <v>3767.9088390000002</v>
      </c>
      <c r="Q4958" s="282" t="e">
        <f>(INDEX(Tabla6[#All],MATCH(Tabla4[[#This Row],[Producto]],Tabla6[[#All],[PRODUCTO]],0),MATCH(Tabla4[[#This Row],[Mes]],Tabla6[#Headers],0)))</f>
        <v>#N/A</v>
      </c>
      <c r="R4958" s="282" t="e">
        <f>++Tabla4[[#This Row],[Precio Unitario Neto]]-Tabla4[[#This Row],[20.85%]]-Tabla4[[#This Row],[Costo]]</f>
        <v>#N/A</v>
      </c>
      <c r="S4958" s="282" t="e">
        <f>++Tabla4[[#This Row],[U. Bruta Uni]]*Tabla4[[#This Row],[Cantidad]]</f>
        <v>#N/A</v>
      </c>
      <c r="T4958" s="369" t="str">
        <f>VLOOKUP(Tabla4[[#This Row],[Producto]],Tabla6[#All],14,FALSE)</f>
        <v>Termico Solar</v>
      </c>
      <c r="U4958" s="284" t="e">
        <f>(IF(Tabla4[[#This Row],[Familia]]="termico solar",Tabla4[[#This Row],[Utilidad Total]]*6%,Tabla4[[#This Row],[Utilidad Total]]*11.5%))/Tabla4[[#This Row],[Total]]</f>
        <v>#N/A</v>
      </c>
      <c r="V4958" s="282" t="e">
        <f>+Tabla4[[#This Row],[Comisión Calculada]]*Tabla4[[#This Row],[Total]]</f>
        <v>#N/A</v>
      </c>
    </row>
    <row r="4959" spans="1:22" hidden="1" x14ac:dyDescent="0.25">
      <c r="A4959" s="100">
        <v>45869</v>
      </c>
      <c r="B4959" t="str">
        <f t="shared" si="242"/>
        <v>July</v>
      </c>
      <c r="C4959" s="46" t="s">
        <v>280</v>
      </c>
      <c r="F4959" s="366" t="s">
        <v>2596</v>
      </c>
      <c r="G4959" s="46" t="s">
        <v>83</v>
      </c>
      <c r="H4959" s="46">
        <v>1</v>
      </c>
      <c r="I4959" s="51">
        <v>8858.76</v>
      </c>
      <c r="J4959" s="281">
        <f>++Tabla4[[#This Row],[Precio Bruto]]*1.16</f>
        <v>10276.161599999999</v>
      </c>
      <c r="K4959" s="281">
        <f>+Tabla4[[#This Row],[Precio Unitario Neto]]*Tabla4[[#Headers],[20.85%]]</f>
        <v>2142.5796935999997</v>
      </c>
      <c r="L4959" s="282">
        <f>++Tabla4[[#This Row],[Precio Unitario Neto]]-Tabla4[[#This Row],[20.85%]]</f>
        <v>8133.5819063999998</v>
      </c>
      <c r="M4959" s="282" t="e">
        <f>(INDEX(Tabla6[#All],MATCH(Tabla4[[#This Row],[Producto]],Tabla6[[#All],[PRODUCTO]],0),MATCH(Tabla4[[#This Row],[Mes]],Tabla6[#Headers],0)))*(1+Catalogos!$L$2)</f>
        <v>#N/A</v>
      </c>
      <c r="N4959" s="283" t="e">
        <f>+(Tabla4[[#This Row],[Precio Descontado]]-Tabla4[[#This Row],[Precio Base]])*Tabla4[[#This Row],[Cantidad]]</f>
        <v>#N/A</v>
      </c>
      <c r="O4959" s="284" t="e">
        <f>++Tabla4[[#This Row],[Utilidad Total]]/Tabla4[[#This Row],[Total]]</f>
        <v>#N/A</v>
      </c>
      <c r="P4959" s="282">
        <f>++Tabla4[[#This Row],[Precio Descontado]]*Tabla4[[#This Row],[Cantidad]]</f>
        <v>8133.5819063999998</v>
      </c>
      <c r="Q4959" s="282" t="e">
        <f>(INDEX(Tabla6[#All],MATCH(Tabla4[[#This Row],[Producto]],Tabla6[[#All],[PRODUCTO]],0),MATCH(Tabla4[[#This Row],[Mes]],Tabla6[#Headers],0)))</f>
        <v>#N/A</v>
      </c>
      <c r="R4959" s="282" t="e">
        <f>++Tabla4[[#This Row],[Precio Unitario Neto]]-Tabla4[[#This Row],[20.85%]]-Tabla4[[#This Row],[Costo]]</f>
        <v>#N/A</v>
      </c>
      <c r="S4959" s="282" t="e">
        <f>++Tabla4[[#This Row],[U. Bruta Uni]]*Tabla4[[#This Row],[Cantidad]]</f>
        <v>#N/A</v>
      </c>
      <c r="T4959" s="369" t="str">
        <f>VLOOKUP(Tabla4[[#This Row],[Producto]],Tabla6[#All],14,FALSE)</f>
        <v>Termico Solar</v>
      </c>
      <c r="U4959" s="284" t="e">
        <f>(IF(Tabla4[[#This Row],[Familia]]="termico solar",Tabla4[[#This Row],[Utilidad Total]]*6%,Tabla4[[#This Row],[Utilidad Total]]*11.5%))/Tabla4[[#This Row],[Total]]</f>
        <v>#N/A</v>
      </c>
      <c r="V4959" s="282" t="e">
        <f>+Tabla4[[#This Row],[Comisión Calculada]]*Tabla4[[#This Row],[Total]]</f>
        <v>#N/A</v>
      </c>
    </row>
    <row r="4960" spans="1:22" hidden="1" x14ac:dyDescent="0.25">
      <c r="A4960" s="100">
        <v>45869</v>
      </c>
      <c r="B4960" t="str">
        <f t="shared" si="242"/>
        <v>July</v>
      </c>
      <c r="C4960" s="46" t="s">
        <v>280</v>
      </c>
      <c r="F4960" s="366" t="s">
        <v>2596</v>
      </c>
      <c r="G4960" s="46" t="s">
        <v>17</v>
      </c>
      <c r="H4960" s="46">
        <v>1</v>
      </c>
      <c r="I4960" s="51">
        <v>4622.28</v>
      </c>
      <c r="J4960" s="281">
        <f>++Tabla4[[#This Row],[Precio Bruto]]*1.16</f>
        <v>5361.8447999999989</v>
      </c>
      <c r="K4960" s="281">
        <f>+Tabla4[[#This Row],[Precio Unitario Neto]]*Tabla4[[#Headers],[20.85%]]</f>
        <v>1117.9446407999997</v>
      </c>
      <c r="L4960" s="282">
        <f>++Tabla4[[#This Row],[Precio Unitario Neto]]-Tabla4[[#This Row],[20.85%]]</f>
        <v>4243.9001591999995</v>
      </c>
      <c r="M4960" s="282" t="e">
        <f>(INDEX(Tabla6[#All],MATCH(Tabla4[[#This Row],[Producto]],Tabla6[[#All],[PRODUCTO]],0),MATCH(Tabla4[[#This Row],[Mes]],Tabla6[#Headers],0)))*(1+Catalogos!$L$2)</f>
        <v>#N/A</v>
      </c>
      <c r="N4960" s="283" t="e">
        <f>+(Tabla4[[#This Row],[Precio Descontado]]-Tabla4[[#This Row],[Precio Base]])*Tabla4[[#This Row],[Cantidad]]</f>
        <v>#N/A</v>
      </c>
      <c r="O4960" s="284" t="e">
        <f>++Tabla4[[#This Row],[Utilidad Total]]/Tabla4[[#This Row],[Total]]</f>
        <v>#N/A</v>
      </c>
      <c r="P4960" s="282">
        <f>++Tabla4[[#This Row],[Precio Descontado]]*Tabla4[[#This Row],[Cantidad]]</f>
        <v>4243.9001591999995</v>
      </c>
      <c r="Q4960" s="282" t="e">
        <f>(INDEX(Tabla6[#All],MATCH(Tabla4[[#This Row],[Producto]],Tabla6[[#All],[PRODUCTO]],0),MATCH(Tabla4[[#This Row],[Mes]],Tabla6[#Headers],0)))</f>
        <v>#N/A</v>
      </c>
      <c r="R4960" s="282" t="e">
        <f>++Tabla4[[#This Row],[Precio Unitario Neto]]-Tabla4[[#This Row],[20.85%]]-Tabla4[[#This Row],[Costo]]</f>
        <v>#N/A</v>
      </c>
      <c r="S4960" s="282" t="e">
        <f>++Tabla4[[#This Row],[U. Bruta Uni]]*Tabla4[[#This Row],[Cantidad]]</f>
        <v>#N/A</v>
      </c>
      <c r="T4960" s="369" t="str">
        <f>VLOOKUP(Tabla4[[#This Row],[Producto]],Tabla6[#All],14,FALSE)</f>
        <v>Termico Solar</v>
      </c>
      <c r="U4960" s="284" t="e">
        <f>(IF(Tabla4[[#This Row],[Familia]]="termico solar",Tabla4[[#This Row],[Utilidad Total]]*6%,Tabla4[[#This Row],[Utilidad Total]]*11.5%))/Tabla4[[#This Row],[Total]]</f>
        <v>#N/A</v>
      </c>
      <c r="V4960" s="282" t="e">
        <f>+Tabla4[[#This Row],[Comisión Calculada]]*Tabla4[[#This Row],[Total]]</f>
        <v>#N/A</v>
      </c>
    </row>
    <row r="4961" spans="1:22" hidden="1" x14ac:dyDescent="0.25">
      <c r="A4961" s="100">
        <v>45869</v>
      </c>
      <c r="B4961" t="str">
        <f t="shared" si="242"/>
        <v>July</v>
      </c>
      <c r="C4961" s="46" t="s">
        <v>280</v>
      </c>
      <c r="F4961" s="366" t="s">
        <v>2597</v>
      </c>
      <c r="G4961" s="46" t="s">
        <v>566</v>
      </c>
      <c r="H4961" s="46">
        <v>1</v>
      </c>
      <c r="I4961" s="51">
        <v>2109.4499999999998</v>
      </c>
      <c r="J4961" s="281">
        <f>++Tabla4[[#This Row],[Precio Bruto]]*1.16</f>
        <v>2446.9619999999995</v>
      </c>
      <c r="K4961" s="281">
        <f>+Tabla4[[#This Row],[Precio Unitario Neto]]*Tabla4[[#Headers],[20.85%]]</f>
        <v>510.19157699999988</v>
      </c>
      <c r="L4961" s="282">
        <f>++Tabla4[[#This Row],[Precio Unitario Neto]]-Tabla4[[#This Row],[20.85%]]</f>
        <v>1936.7704229999997</v>
      </c>
      <c r="M4961" s="282" t="e">
        <f>(INDEX(Tabla6[#All],MATCH(Tabla4[[#This Row],[Producto]],Tabla6[[#All],[PRODUCTO]],0),MATCH(Tabla4[[#This Row],[Mes]],Tabla6[#Headers],0)))*(1+Catalogos!$L$2)</f>
        <v>#N/A</v>
      </c>
      <c r="N4961" s="283" t="e">
        <f>+(Tabla4[[#This Row],[Precio Descontado]]-Tabla4[[#This Row],[Precio Base]])*Tabla4[[#This Row],[Cantidad]]</f>
        <v>#N/A</v>
      </c>
      <c r="O4961" s="284" t="e">
        <f>++Tabla4[[#This Row],[Utilidad Total]]/Tabla4[[#This Row],[Total]]</f>
        <v>#N/A</v>
      </c>
      <c r="P4961" s="282">
        <f>++Tabla4[[#This Row],[Precio Descontado]]*Tabla4[[#This Row],[Cantidad]]</f>
        <v>1936.7704229999997</v>
      </c>
      <c r="Q4961" s="282" t="e">
        <f>(INDEX(Tabla6[#All],MATCH(Tabla4[[#This Row],[Producto]],Tabla6[[#All],[PRODUCTO]],0),MATCH(Tabla4[[#This Row],[Mes]],Tabla6[#Headers],0)))</f>
        <v>#N/A</v>
      </c>
      <c r="R4961" s="282" t="e">
        <f>++Tabla4[[#This Row],[Precio Unitario Neto]]-Tabla4[[#This Row],[20.85%]]-Tabla4[[#This Row],[Costo]]</f>
        <v>#N/A</v>
      </c>
      <c r="S4961" s="282" t="e">
        <f>++Tabla4[[#This Row],[U. Bruta Uni]]*Tabla4[[#This Row],[Cantidad]]</f>
        <v>#N/A</v>
      </c>
      <c r="T4961" s="369" t="str">
        <f>VLOOKUP(Tabla4[[#This Row],[Producto]],Tabla6[#All],14,FALSE)</f>
        <v>Termico Solar</v>
      </c>
      <c r="U4961" s="284" t="e">
        <f>(IF(Tabla4[[#This Row],[Familia]]="termico solar",Tabla4[[#This Row],[Utilidad Total]]*6%,Tabla4[[#This Row],[Utilidad Total]]*11.5%))/Tabla4[[#This Row],[Total]]</f>
        <v>#N/A</v>
      </c>
      <c r="V4961" s="282" t="e">
        <f>+Tabla4[[#This Row],[Comisión Calculada]]*Tabla4[[#This Row],[Total]]</f>
        <v>#N/A</v>
      </c>
    </row>
    <row r="4962" spans="1:22" hidden="1" x14ac:dyDescent="0.25">
      <c r="A4962" s="100">
        <v>45869</v>
      </c>
      <c r="B4962" t="str">
        <f t="shared" si="242"/>
        <v>July</v>
      </c>
      <c r="C4962" s="46" t="s">
        <v>280</v>
      </c>
      <c r="F4962" s="366" t="s">
        <v>2598</v>
      </c>
      <c r="G4962" s="46" t="s">
        <v>17</v>
      </c>
      <c r="H4962" s="46">
        <v>1</v>
      </c>
      <c r="I4962" s="51">
        <v>4622.28</v>
      </c>
      <c r="J4962" s="281">
        <f>++Tabla4[[#This Row],[Precio Bruto]]*1.16</f>
        <v>5361.8447999999989</v>
      </c>
      <c r="K4962" s="281">
        <f>+Tabla4[[#This Row],[Precio Unitario Neto]]*Tabla4[[#Headers],[20.85%]]</f>
        <v>1117.9446407999997</v>
      </c>
      <c r="L4962" s="282">
        <f>++Tabla4[[#This Row],[Precio Unitario Neto]]-Tabla4[[#This Row],[20.85%]]</f>
        <v>4243.9001591999995</v>
      </c>
      <c r="M4962" s="282" t="e">
        <f>(INDEX(Tabla6[#All],MATCH(Tabla4[[#This Row],[Producto]],Tabla6[[#All],[PRODUCTO]],0),MATCH(Tabla4[[#This Row],[Mes]],Tabla6[#Headers],0)))*(1+Catalogos!$L$2)</f>
        <v>#N/A</v>
      </c>
      <c r="N4962" s="283" t="e">
        <f>+(Tabla4[[#This Row],[Precio Descontado]]-Tabla4[[#This Row],[Precio Base]])*Tabla4[[#This Row],[Cantidad]]</f>
        <v>#N/A</v>
      </c>
      <c r="O4962" s="284" t="e">
        <f>++Tabla4[[#This Row],[Utilidad Total]]/Tabla4[[#This Row],[Total]]</f>
        <v>#N/A</v>
      </c>
      <c r="P4962" s="282">
        <f>++Tabla4[[#This Row],[Precio Descontado]]*Tabla4[[#This Row],[Cantidad]]</f>
        <v>4243.9001591999995</v>
      </c>
      <c r="Q4962" s="282" t="e">
        <f>(INDEX(Tabla6[#All],MATCH(Tabla4[[#This Row],[Producto]],Tabla6[[#All],[PRODUCTO]],0),MATCH(Tabla4[[#This Row],[Mes]],Tabla6[#Headers],0)))</f>
        <v>#N/A</v>
      </c>
      <c r="R4962" s="282" t="e">
        <f>++Tabla4[[#This Row],[Precio Unitario Neto]]-Tabla4[[#This Row],[20.85%]]-Tabla4[[#This Row],[Costo]]</f>
        <v>#N/A</v>
      </c>
      <c r="S4962" s="282" t="e">
        <f>++Tabla4[[#This Row],[U. Bruta Uni]]*Tabla4[[#This Row],[Cantidad]]</f>
        <v>#N/A</v>
      </c>
      <c r="T4962" s="369" t="str">
        <f>VLOOKUP(Tabla4[[#This Row],[Producto]],Tabla6[#All],14,FALSE)</f>
        <v>Termico Solar</v>
      </c>
      <c r="U4962" s="284" t="e">
        <f>(IF(Tabla4[[#This Row],[Familia]]="termico solar",Tabla4[[#This Row],[Utilidad Total]]*6%,Tabla4[[#This Row],[Utilidad Total]]*11.5%))/Tabla4[[#This Row],[Total]]</f>
        <v>#N/A</v>
      </c>
      <c r="V4962" s="282" t="e">
        <f>+Tabla4[[#This Row],[Comisión Calculada]]*Tabla4[[#This Row],[Total]]</f>
        <v>#N/A</v>
      </c>
    </row>
    <row r="4963" spans="1:22" hidden="1" x14ac:dyDescent="0.25">
      <c r="A4963" s="100">
        <v>45869</v>
      </c>
      <c r="B4963" t="str">
        <f t="shared" si="242"/>
        <v>July</v>
      </c>
      <c r="C4963" s="46" t="s">
        <v>280</v>
      </c>
      <c r="F4963" s="366" t="s">
        <v>2598</v>
      </c>
      <c r="G4963" s="46" t="s">
        <v>566</v>
      </c>
      <c r="H4963" s="46">
        <v>1</v>
      </c>
      <c r="I4963" s="51">
        <v>2109.4499999999998</v>
      </c>
      <c r="J4963" s="281">
        <f>++Tabla4[[#This Row],[Precio Bruto]]*1.16</f>
        <v>2446.9619999999995</v>
      </c>
      <c r="K4963" s="281">
        <f>+Tabla4[[#This Row],[Precio Unitario Neto]]*Tabla4[[#Headers],[20.85%]]</f>
        <v>510.19157699999988</v>
      </c>
      <c r="L4963" s="282">
        <f>++Tabla4[[#This Row],[Precio Unitario Neto]]-Tabla4[[#This Row],[20.85%]]</f>
        <v>1936.7704229999997</v>
      </c>
      <c r="M4963" s="282" t="e">
        <f>(INDEX(Tabla6[#All],MATCH(Tabla4[[#This Row],[Producto]],Tabla6[[#All],[PRODUCTO]],0),MATCH(Tabla4[[#This Row],[Mes]],Tabla6[#Headers],0)))*(1+Catalogos!$L$2)</f>
        <v>#N/A</v>
      </c>
      <c r="N4963" s="283" t="e">
        <f>+(Tabla4[[#This Row],[Precio Descontado]]-Tabla4[[#This Row],[Precio Base]])*Tabla4[[#This Row],[Cantidad]]</f>
        <v>#N/A</v>
      </c>
      <c r="O4963" s="284" t="e">
        <f>++Tabla4[[#This Row],[Utilidad Total]]/Tabla4[[#This Row],[Total]]</f>
        <v>#N/A</v>
      </c>
      <c r="P4963" s="282">
        <f>++Tabla4[[#This Row],[Precio Descontado]]*Tabla4[[#This Row],[Cantidad]]</f>
        <v>1936.7704229999997</v>
      </c>
      <c r="Q4963" s="282" t="e">
        <f>(INDEX(Tabla6[#All],MATCH(Tabla4[[#This Row],[Producto]],Tabla6[[#All],[PRODUCTO]],0),MATCH(Tabla4[[#This Row],[Mes]],Tabla6[#Headers],0)))</f>
        <v>#N/A</v>
      </c>
      <c r="R4963" s="282" t="e">
        <f>++Tabla4[[#This Row],[Precio Unitario Neto]]-Tabla4[[#This Row],[20.85%]]-Tabla4[[#This Row],[Costo]]</f>
        <v>#N/A</v>
      </c>
      <c r="S4963" s="282" t="e">
        <f>++Tabla4[[#This Row],[U. Bruta Uni]]*Tabla4[[#This Row],[Cantidad]]</f>
        <v>#N/A</v>
      </c>
      <c r="T4963" s="369" t="str">
        <f>VLOOKUP(Tabla4[[#This Row],[Producto]],Tabla6[#All],14,FALSE)</f>
        <v>Termico Solar</v>
      </c>
      <c r="U4963" s="284" t="e">
        <f>(IF(Tabla4[[#This Row],[Familia]]="termico solar",Tabla4[[#This Row],[Utilidad Total]]*6%,Tabla4[[#This Row],[Utilidad Total]]*11.5%))/Tabla4[[#This Row],[Total]]</f>
        <v>#N/A</v>
      </c>
      <c r="V4963" s="282" t="e">
        <f>+Tabla4[[#This Row],[Comisión Calculada]]*Tabla4[[#This Row],[Total]]</f>
        <v>#N/A</v>
      </c>
    </row>
    <row r="4964" spans="1:22" hidden="1" x14ac:dyDescent="0.25">
      <c r="A4964" s="100">
        <v>45869</v>
      </c>
      <c r="B4964" t="str">
        <f t="shared" si="242"/>
        <v>July</v>
      </c>
      <c r="C4964" s="46" t="s">
        <v>280</v>
      </c>
      <c r="F4964" s="366" t="s">
        <v>2599</v>
      </c>
      <c r="G4964" s="46" t="s">
        <v>17</v>
      </c>
      <c r="H4964" s="46">
        <v>1</v>
      </c>
      <c r="I4964" s="51">
        <v>4622.28</v>
      </c>
      <c r="J4964" s="281">
        <f>++Tabla4[[#This Row],[Precio Bruto]]*1.16</f>
        <v>5361.8447999999989</v>
      </c>
      <c r="K4964" s="281">
        <f>+Tabla4[[#This Row],[Precio Unitario Neto]]*Tabla4[[#Headers],[20.85%]]</f>
        <v>1117.9446407999997</v>
      </c>
      <c r="L4964" s="282">
        <f>++Tabla4[[#This Row],[Precio Unitario Neto]]-Tabla4[[#This Row],[20.85%]]</f>
        <v>4243.9001591999995</v>
      </c>
      <c r="M4964" s="282" t="e">
        <f>(INDEX(Tabla6[#All],MATCH(Tabla4[[#This Row],[Producto]],Tabla6[[#All],[PRODUCTO]],0),MATCH(Tabla4[[#This Row],[Mes]],Tabla6[#Headers],0)))*(1+Catalogos!$L$2)</f>
        <v>#N/A</v>
      </c>
      <c r="N4964" s="283" t="e">
        <f>+(Tabla4[[#This Row],[Precio Descontado]]-Tabla4[[#This Row],[Precio Base]])*Tabla4[[#This Row],[Cantidad]]</f>
        <v>#N/A</v>
      </c>
      <c r="O4964" s="284" t="e">
        <f>++Tabla4[[#This Row],[Utilidad Total]]/Tabla4[[#This Row],[Total]]</f>
        <v>#N/A</v>
      </c>
      <c r="P4964" s="282">
        <f>++Tabla4[[#This Row],[Precio Descontado]]*Tabla4[[#This Row],[Cantidad]]</f>
        <v>4243.9001591999995</v>
      </c>
      <c r="Q4964" s="282" t="e">
        <f>(INDEX(Tabla6[#All],MATCH(Tabla4[[#This Row],[Producto]],Tabla6[[#All],[PRODUCTO]],0),MATCH(Tabla4[[#This Row],[Mes]],Tabla6[#Headers],0)))</f>
        <v>#N/A</v>
      </c>
      <c r="R4964" s="282" t="e">
        <f>++Tabla4[[#This Row],[Precio Unitario Neto]]-Tabla4[[#This Row],[20.85%]]-Tabla4[[#This Row],[Costo]]</f>
        <v>#N/A</v>
      </c>
      <c r="S4964" s="282" t="e">
        <f>++Tabla4[[#This Row],[U. Bruta Uni]]*Tabla4[[#This Row],[Cantidad]]</f>
        <v>#N/A</v>
      </c>
      <c r="T4964" s="369" t="str">
        <f>VLOOKUP(Tabla4[[#This Row],[Producto]],Tabla6[#All],14,FALSE)</f>
        <v>Termico Solar</v>
      </c>
      <c r="U4964" s="284" t="e">
        <f>(IF(Tabla4[[#This Row],[Familia]]="termico solar",Tabla4[[#This Row],[Utilidad Total]]*6%,Tabla4[[#This Row],[Utilidad Total]]*11.5%))/Tabla4[[#This Row],[Total]]</f>
        <v>#N/A</v>
      </c>
      <c r="V4964" s="282" t="e">
        <f>+Tabla4[[#This Row],[Comisión Calculada]]*Tabla4[[#This Row],[Total]]</f>
        <v>#N/A</v>
      </c>
    </row>
    <row r="4965" spans="1:22" hidden="1" x14ac:dyDescent="0.25">
      <c r="A4965" s="100">
        <v>45869</v>
      </c>
      <c r="B4965" t="str">
        <f t="shared" si="242"/>
        <v>July</v>
      </c>
      <c r="C4965" s="46" t="s">
        <v>280</v>
      </c>
      <c r="F4965" s="366" t="s">
        <v>2599</v>
      </c>
      <c r="G4965" s="46" t="s">
        <v>19</v>
      </c>
      <c r="H4965" s="46">
        <v>1</v>
      </c>
      <c r="I4965" s="51">
        <v>6412.03</v>
      </c>
      <c r="J4965" s="281">
        <f>++Tabla4[[#This Row],[Precio Bruto]]*1.16</f>
        <v>7437.9547999999995</v>
      </c>
      <c r="K4965" s="281">
        <f>+Tabla4[[#This Row],[Precio Unitario Neto]]*Tabla4[[#Headers],[20.85%]]</f>
        <v>1550.8135757999999</v>
      </c>
      <c r="L4965" s="282">
        <f>++Tabla4[[#This Row],[Precio Unitario Neto]]-Tabla4[[#This Row],[20.85%]]</f>
        <v>5887.1412241999997</v>
      </c>
      <c r="M4965" s="282" t="e">
        <f>(INDEX(Tabla6[#All],MATCH(Tabla4[[#This Row],[Producto]],Tabla6[[#All],[PRODUCTO]],0),MATCH(Tabla4[[#This Row],[Mes]],Tabla6[#Headers],0)))*(1+Catalogos!$L$2)</f>
        <v>#N/A</v>
      </c>
      <c r="N4965" s="283" t="e">
        <f>+(Tabla4[[#This Row],[Precio Descontado]]-Tabla4[[#This Row],[Precio Base]])*Tabla4[[#This Row],[Cantidad]]</f>
        <v>#N/A</v>
      </c>
      <c r="O4965" s="284" t="e">
        <f>++Tabla4[[#This Row],[Utilidad Total]]/Tabla4[[#This Row],[Total]]</f>
        <v>#N/A</v>
      </c>
      <c r="P4965" s="282">
        <f>++Tabla4[[#This Row],[Precio Descontado]]*Tabla4[[#This Row],[Cantidad]]</f>
        <v>5887.1412241999997</v>
      </c>
      <c r="Q4965" s="282" t="e">
        <f>(INDEX(Tabla6[#All],MATCH(Tabla4[[#This Row],[Producto]],Tabla6[[#All],[PRODUCTO]],0),MATCH(Tabla4[[#This Row],[Mes]],Tabla6[#Headers],0)))</f>
        <v>#N/A</v>
      </c>
      <c r="R4965" s="282" t="e">
        <f>++Tabla4[[#This Row],[Precio Unitario Neto]]-Tabla4[[#This Row],[20.85%]]-Tabla4[[#This Row],[Costo]]</f>
        <v>#N/A</v>
      </c>
      <c r="S4965" s="282" t="e">
        <f>++Tabla4[[#This Row],[U. Bruta Uni]]*Tabla4[[#This Row],[Cantidad]]</f>
        <v>#N/A</v>
      </c>
      <c r="T4965" s="369" t="str">
        <f>VLOOKUP(Tabla4[[#This Row],[Producto]],Tabla6[#All],14,FALSE)</f>
        <v>Termico Solar</v>
      </c>
      <c r="U4965" s="284" t="e">
        <f>(IF(Tabla4[[#This Row],[Familia]]="termico solar",Tabla4[[#This Row],[Utilidad Total]]*6%,Tabla4[[#This Row],[Utilidad Total]]*11.5%))/Tabla4[[#This Row],[Total]]</f>
        <v>#N/A</v>
      </c>
      <c r="V4965" s="282" t="e">
        <f>+Tabla4[[#This Row],[Comisión Calculada]]*Tabla4[[#This Row],[Total]]</f>
        <v>#N/A</v>
      </c>
    </row>
    <row r="4966" spans="1:22" hidden="1" x14ac:dyDescent="0.25">
      <c r="A4966" s="100">
        <v>45869</v>
      </c>
      <c r="B4966" t="str">
        <f t="shared" si="242"/>
        <v>July</v>
      </c>
      <c r="C4966" s="46" t="s">
        <v>280</v>
      </c>
      <c r="F4966" s="366" t="s">
        <v>2599</v>
      </c>
      <c r="G4966" s="46" t="s">
        <v>16</v>
      </c>
      <c r="H4966" s="46">
        <v>1</v>
      </c>
      <c r="I4966" s="51">
        <v>4103.8500000000004</v>
      </c>
      <c r="J4966" s="281">
        <f>++Tabla4[[#This Row],[Precio Bruto]]*1.16</f>
        <v>4760.4660000000003</v>
      </c>
      <c r="K4966" s="281">
        <f>+Tabla4[[#This Row],[Precio Unitario Neto]]*Tabla4[[#Headers],[20.85%]]</f>
        <v>992.55716100000006</v>
      </c>
      <c r="L4966" s="282">
        <f>++Tabla4[[#This Row],[Precio Unitario Neto]]-Tabla4[[#This Row],[20.85%]]</f>
        <v>3767.9088390000002</v>
      </c>
      <c r="M4966" s="282" t="e">
        <f>(INDEX(Tabla6[#All],MATCH(Tabla4[[#This Row],[Producto]],Tabla6[[#All],[PRODUCTO]],0),MATCH(Tabla4[[#This Row],[Mes]],Tabla6[#Headers],0)))*(1+Catalogos!$L$2)</f>
        <v>#N/A</v>
      </c>
      <c r="N4966" s="283" t="e">
        <f>+(Tabla4[[#This Row],[Precio Descontado]]-Tabla4[[#This Row],[Precio Base]])*Tabla4[[#This Row],[Cantidad]]</f>
        <v>#N/A</v>
      </c>
      <c r="O4966" s="284" t="e">
        <f>++Tabla4[[#This Row],[Utilidad Total]]/Tabla4[[#This Row],[Total]]</f>
        <v>#N/A</v>
      </c>
      <c r="P4966" s="282">
        <f>++Tabla4[[#This Row],[Precio Descontado]]*Tabla4[[#This Row],[Cantidad]]</f>
        <v>3767.9088390000002</v>
      </c>
      <c r="Q4966" s="282" t="e">
        <f>(INDEX(Tabla6[#All],MATCH(Tabla4[[#This Row],[Producto]],Tabla6[[#All],[PRODUCTO]],0),MATCH(Tabla4[[#This Row],[Mes]],Tabla6[#Headers],0)))</f>
        <v>#N/A</v>
      </c>
      <c r="R4966" s="282" t="e">
        <f>++Tabla4[[#This Row],[Precio Unitario Neto]]-Tabla4[[#This Row],[20.85%]]-Tabla4[[#This Row],[Costo]]</f>
        <v>#N/A</v>
      </c>
      <c r="S4966" s="282" t="e">
        <f>++Tabla4[[#This Row],[U. Bruta Uni]]*Tabla4[[#This Row],[Cantidad]]</f>
        <v>#N/A</v>
      </c>
      <c r="T4966" s="369" t="str">
        <f>VLOOKUP(Tabla4[[#This Row],[Producto]],Tabla6[#All],14,FALSE)</f>
        <v>Termico Solar</v>
      </c>
      <c r="U4966" s="284" t="e">
        <f>(IF(Tabla4[[#This Row],[Familia]]="termico solar",Tabla4[[#This Row],[Utilidad Total]]*6%,Tabla4[[#This Row],[Utilidad Total]]*11.5%))/Tabla4[[#This Row],[Total]]</f>
        <v>#N/A</v>
      </c>
      <c r="V4966" s="282" t="e">
        <f>+Tabla4[[#This Row],[Comisión Calculada]]*Tabla4[[#This Row],[Total]]</f>
        <v>#N/A</v>
      </c>
    </row>
    <row r="4967" spans="1:22" hidden="1" x14ac:dyDescent="0.25">
      <c r="A4967" s="100">
        <v>45869</v>
      </c>
      <c r="B4967" t="str">
        <f t="shared" si="242"/>
        <v>July</v>
      </c>
      <c r="C4967" s="46" t="s">
        <v>280</v>
      </c>
      <c r="F4967" s="366" t="s">
        <v>2600</v>
      </c>
      <c r="G4967" s="46" t="s">
        <v>17</v>
      </c>
      <c r="H4967" s="46">
        <v>2</v>
      </c>
      <c r="I4967" s="51">
        <v>4622.28</v>
      </c>
      <c r="J4967" s="281">
        <f>++Tabla4[[#This Row],[Precio Bruto]]*1.16</f>
        <v>5361.8447999999989</v>
      </c>
      <c r="K4967" s="281">
        <f>+Tabla4[[#This Row],[Precio Unitario Neto]]*Tabla4[[#Headers],[20.85%]]</f>
        <v>1117.9446407999997</v>
      </c>
      <c r="L4967" s="282">
        <f>++Tabla4[[#This Row],[Precio Unitario Neto]]-Tabla4[[#This Row],[20.85%]]</f>
        <v>4243.9001591999995</v>
      </c>
      <c r="M4967" s="282" t="e">
        <f>(INDEX(Tabla6[#All],MATCH(Tabla4[[#This Row],[Producto]],Tabla6[[#All],[PRODUCTO]],0),MATCH(Tabla4[[#This Row],[Mes]],Tabla6[#Headers],0)))*(1+Catalogos!$L$2)</f>
        <v>#N/A</v>
      </c>
      <c r="N4967" s="283" t="e">
        <f>+(Tabla4[[#This Row],[Precio Descontado]]-Tabla4[[#This Row],[Precio Base]])*Tabla4[[#This Row],[Cantidad]]</f>
        <v>#N/A</v>
      </c>
      <c r="O4967" s="284" t="e">
        <f>++Tabla4[[#This Row],[Utilidad Total]]/Tabla4[[#This Row],[Total]]</f>
        <v>#N/A</v>
      </c>
      <c r="P4967" s="282">
        <f>++Tabla4[[#This Row],[Precio Descontado]]*Tabla4[[#This Row],[Cantidad]]</f>
        <v>8487.800318399999</v>
      </c>
      <c r="Q4967" s="282" t="e">
        <f>(INDEX(Tabla6[#All],MATCH(Tabla4[[#This Row],[Producto]],Tabla6[[#All],[PRODUCTO]],0),MATCH(Tabla4[[#This Row],[Mes]],Tabla6[#Headers],0)))</f>
        <v>#N/A</v>
      </c>
      <c r="R4967" s="282" t="e">
        <f>++Tabla4[[#This Row],[Precio Unitario Neto]]-Tabla4[[#This Row],[20.85%]]-Tabla4[[#This Row],[Costo]]</f>
        <v>#N/A</v>
      </c>
      <c r="S4967" s="282" t="e">
        <f>++Tabla4[[#This Row],[U. Bruta Uni]]*Tabla4[[#This Row],[Cantidad]]</f>
        <v>#N/A</v>
      </c>
      <c r="T4967" s="369" t="str">
        <f>VLOOKUP(Tabla4[[#This Row],[Producto]],Tabla6[#All],14,FALSE)</f>
        <v>Termico Solar</v>
      </c>
      <c r="U4967" s="284" t="e">
        <f>(IF(Tabla4[[#This Row],[Familia]]="termico solar",Tabla4[[#This Row],[Utilidad Total]]*6%,Tabla4[[#This Row],[Utilidad Total]]*11.5%))/Tabla4[[#This Row],[Total]]</f>
        <v>#N/A</v>
      </c>
      <c r="V4967" s="282" t="e">
        <f>+Tabla4[[#This Row],[Comisión Calculada]]*Tabla4[[#This Row],[Total]]</f>
        <v>#N/A</v>
      </c>
    </row>
    <row r="4968" spans="1:22" hidden="1" x14ac:dyDescent="0.25">
      <c r="A4968" s="100">
        <v>45869</v>
      </c>
      <c r="B4968" t="str">
        <f t="shared" si="242"/>
        <v>July</v>
      </c>
      <c r="C4968" s="46" t="s">
        <v>280</v>
      </c>
      <c r="F4968" s="366" t="s">
        <v>2600</v>
      </c>
      <c r="G4968" s="46" t="s">
        <v>208</v>
      </c>
      <c r="H4968" s="46">
        <v>1</v>
      </c>
      <c r="I4968" s="51">
        <v>189.75</v>
      </c>
      <c r="J4968" s="281">
        <f>++Tabla4[[#This Row],[Precio Bruto]]*1.16</f>
        <v>220.10999999999999</v>
      </c>
      <c r="K4968" s="281">
        <f>+Tabla4[[#This Row],[Precio Unitario Neto]]*Tabla4[[#Headers],[20.85%]]</f>
        <v>45.892934999999994</v>
      </c>
      <c r="L4968" s="282">
        <f>++Tabla4[[#This Row],[Precio Unitario Neto]]-Tabla4[[#This Row],[20.85%]]</f>
        <v>174.21706499999999</v>
      </c>
      <c r="M4968" s="282" t="e">
        <f>(INDEX(Tabla6[#All],MATCH(Tabla4[[#This Row],[Producto]],Tabla6[[#All],[PRODUCTO]],0),MATCH(Tabla4[[#This Row],[Mes]],Tabla6[#Headers],0)))*(1+Catalogos!$L$2)</f>
        <v>#N/A</v>
      </c>
      <c r="N4968" s="283" t="e">
        <f>+(Tabla4[[#This Row],[Precio Descontado]]-Tabla4[[#This Row],[Precio Base]])*Tabla4[[#This Row],[Cantidad]]</f>
        <v>#N/A</v>
      </c>
      <c r="O4968" s="284" t="e">
        <f>++Tabla4[[#This Row],[Utilidad Total]]/Tabla4[[#This Row],[Total]]</f>
        <v>#N/A</v>
      </c>
      <c r="P4968" s="282">
        <f>++Tabla4[[#This Row],[Precio Descontado]]*Tabla4[[#This Row],[Cantidad]]</f>
        <v>174.21706499999999</v>
      </c>
      <c r="Q4968" s="282" t="e">
        <f>(INDEX(Tabla6[#All],MATCH(Tabla4[[#This Row],[Producto]],Tabla6[[#All],[PRODUCTO]],0),MATCH(Tabla4[[#This Row],[Mes]],Tabla6[#Headers],0)))</f>
        <v>#N/A</v>
      </c>
      <c r="R4968" s="282" t="e">
        <f>++Tabla4[[#This Row],[Precio Unitario Neto]]-Tabla4[[#This Row],[20.85%]]-Tabla4[[#This Row],[Costo]]</f>
        <v>#N/A</v>
      </c>
      <c r="S4968" s="282" t="e">
        <f>++Tabla4[[#This Row],[U. Bruta Uni]]*Tabla4[[#This Row],[Cantidad]]</f>
        <v>#N/A</v>
      </c>
      <c r="T4968" s="369" t="str">
        <f>VLOOKUP(Tabla4[[#This Row],[Producto]],Tabla6[#All],14,FALSE)</f>
        <v>Termico Solar</v>
      </c>
      <c r="U4968" s="284" t="e">
        <f>(IF(Tabla4[[#This Row],[Familia]]="termico solar",Tabla4[[#This Row],[Utilidad Total]]*6%,Tabla4[[#This Row],[Utilidad Total]]*11.5%))/Tabla4[[#This Row],[Total]]</f>
        <v>#N/A</v>
      </c>
      <c r="V4968" s="282" t="e">
        <f>+Tabla4[[#This Row],[Comisión Calculada]]*Tabla4[[#This Row],[Total]]</f>
        <v>#N/A</v>
      </c>
    </row>
    <row r="4969" spans="1:22" hidden="1" x14ac:dyDescent="0.25">
      <c r="A4969" s="100">
        <v>45869</v>
      </c>
      <c r="B4969" t="str">
        <f t="shared" si="242"/>
        <v>July</v>
      </c>
      <c r="C4969" s="46" t="s">
        <v>280</v>
      </c>
      <c r="F4969" s="366" t="s">
        <v>2601</v>
      </c>
      <c r="G4969" s="46" t="s">
        <v>412</v>
      </c>
      <c r="H4969" s="46">
        <v>1</v>
      </c>
      <c r="I4969" s="51">
        <v>3240.84</v>
      </c>
      <c r="J4969" s="281">
        <f>++Tabla4[[#This Row],[Precio Bruto]]*1.16</f>
        <v>3759.3743999999997</v>
      </c>
      <c r="K4969" s="281">
        <f>+Tabla4[[#This Row],[Precio Unitario Neto]]*Tabla4[[#Headers],[20.85%]]</f>
        <v>783.82956239999987</v>
      </c>
      <c r="L4969" s="282">
        <f>++Tabla4[[#This Row],[Precio Unitario Neto]]-Tabla4[[#This Row],[20.85%]]</f>
        <v>2975.5448375999999</v>
      </c>
      <c r="M4969" s="282" t="e">
        <f>(INDEX(Tabla6[#All],MATCH(Tabla4[[#This Row],[Producto]],Tabla6[[#All],[PRODUCTO]],0),MATCH(Tabla4[[#This Row],[Mes]],Tabla6[#Headers],0)))*(1+Catalogos!$L$2)</f>
        <v>#N/A</v>
      </c>
      <c r="N4969" s="283" t="e">
        <f>+(Tabla4[[#This Row],[Precio Descontado]]-Tabla4[[#This Row],[Precio Base]])*Tabla4[[#This Row],[Cantidad]]</f>
        <v>#N/A</v>
      </c>
      <c r="O4969" s="284" t="e">
        <f>++Tabla4[[#This Row],[Utilidad Total]]/Tabla4[[#This Row],[Total]]</f>
        <v>#N/A</v>
      </c>
      <c r="P4969" s="282">
        <f>++Tabla4[[#This Row],[Precio Descontado]]*Tabla4[[#This Row],[Cantidad]]</f>
        <v>2975.5448375999999</v>
      </c>
      <c r="Q4969" s="282" t="e">
        <f>(INDEX(Tabla6[#All],MATCH(Tabla4[[#This Row],[Producto]],Tabla6[[#All],[PRODUCTO]],0),MATCH(Tabla4[[#This Row],[Mes]],Tabla6[#Headers],0)))</f>
        <v>#N/A</v>
      </c>
      <c r="R4969" s="282" t="e">
        <f>++Tabla4[[#This Row],[Precio Unitario Neto]]-Tabla4[[#This Row],[20.85%]]-Tabla4[[#This Row],[Costo]]</f>
        <v>#N/A</v>
      </c>
      <c r="S4969" s="282" t="e">
        <f>++Tabla4[[#This Row],[U. Bruta Uni]]*Tabla4[[#This Row],[Cantidad]]</f>
        <v>#N/A</v>
      </c>
      <c r="T4969" s="369" t="str">
        <f>VLOOKUP(Tabla4[[#This Row],[Producto]],Tabla6[#All],14,FALSE)</f>
        <v>Termico Solar</v>
      </c>
      <c r="U4969" s="284" t="e">
        <f>(IF(Tabla4[[#This Row],[Familia]]="termico solar",Tabla4[[#This Row],[Utilidad Total]]*6%,Tabla4[[#This Row],[Utilidad Total]]*11.5%))/Tabla4[[#This Row],[Total]]</f>
        <v>#N/A</v>
      </c>
      <c r="V4969" s="282" t="e">
        <f>+Tabla4[[#This Row],[Comisión Calculada]]*Tabla4[[#This Row],[Total]]</f>
        <v>#N/A</v>
      </c>
    </row>
    <row r="4970" spans="1:22" hidden="1" x14ac:dyDescent="0.25">
      <c r="A4970" s="100">
        <v>45869</v>
      </c>
      <c r="B4970" t="str">
        <f t="shared" si="242"/>
        <v>July</v>
      </c>
      <c r="C4970" s="46" t="s">
        <v>280</v>
      </c>
      <c r="F4970" s="366" t="s">
        <v>2601</v>
      </c>
      <c r="G4970" s="46" t="s">
        <v>16</v>
      </c>
      <c r="H4970" s="46">
        <v>1</v>
      </c>
      <c r="I4970" s="51">
        <v>4103.8500000000004</v>
      </c>
      <c r="J4970" s="281">
        <f>++Tabla4[[#This Row],[Precio Bruto]]*1.16</f>
        <v>4760.4660000000003</v>
      </c>
      <c r="K4970" s="281">
        <f>+Tabla4[[#This Row],[Precio Unitario Neto]]*Tabla4[[#Headers],[20.85%]]</f>
        <v>992.55716100000006</v>
      </c>
      <c r="L4970" s="282">
        <f>++Tabla4[[#This Row],[Precio Unitario Neto]]-Tabla4[[#This Row],[20.85%]]</f>
        <v>3767.9088390000002</v>
      </c>
      <c r="M4970" s="282" t="e">
        <f>(INDEX(Tabla6[#All],MATCH(Tabla4[[#This Row],[Producto]],Tabla6[[#All],[PRODUCTO]],0),MATCH(Tabla4[[#This Row],[Mes]],Tabla6[#Headers],0)))*(1+Catalogos!$L$2)</f>
        <v>#N/A</v>
      </c>
      <c r="N4970" s="283" t="e">
        <f>+(Tabla4[[#This Row],[Precio Descontado]]-Tabla4[[#This Row],[Precio Base]])*Tabla4[[#This Row],[Cantidad]]</f>
        <v>#N/A</v>
      </c>
      <c r="O4970" s="284" t="e">
        <f>++Tabla4[[#This Row],[Utilidad Total]]/Tabla4[[#This Row],[Total]]</f>
        <v>#N/A</v>
      </c>
      <c r="P4970" s="282">
        <f>++Tabla4[[#This Row],[Precio Descontado]]*Tabla4[[#This Row],[Cantidad]]</f>
        <v>3767.9088390000002</v>
      </c>
      <c r="Q4970" s="282" t="e">
        <f>(INDEX(Tabla6[#All],MATCH(Tabla4[[#This Row],[Producto]],Tabla6[[#All],[PRODUCTO]],0),MATCH(Tabla4[[#This Row],[Mes]],Tabla6[#Headers],0)))</f>
        <v>#N/A</v>
      </c>
      <c r="R4970" s="282" t="e">
        <f>++Tabla4[[#This Row],[Precio Unitario Neto]]-Tabla4[[#This Row],[20.85%]]-Tabla4[[#This Row],[Costo]]</f>
        <v>#N/A</v>
      </c>
      <c r="S4970" s="282" t="e">
        <f>++Tabla4[[#This Row],[U. Bruta Uni]]*Tabla4[[#This Row],[Cantidad]]</f>
        <v>#N/A</v>
      </c>
      <c r="T4970" s="369" t="str">
        <f>VLOOKUP(Tabla4[[#This Row],[Producto]],Tabla6[#All],14,FALSE)</f>
        <v>Termico Solar</v>
      </c>
      <c r="U4970" s="284" t="e">
        <f>(IF(Tabla4[[#This Row],[Familia]]="termico solar",Tabla4[[#This Row],[Utilidad Total]]*6%,Tabla4[[#This Row],[Utilidad Total]]*11.5%))/Tabla4[[#This Row],[Total]]</f>
        <v>#N/A</v>
      </c>
      <c r="V4970" s="282" t="e">
        <f>+Tabla4[[#This Row],[Comisión Calculada]]*Tabla4[[#This Row],[Total]]</f>
        <v>#N/A</v>
      </c>
    </row>
    <row r="4971" spans="1:22" hidden="1" x14ac:dyDescent="0.25">
      <c r="A4971" s="100">
        <v>45869</v>
      </c>
      <c r="B4971" t="str">
        <f t="shared" si="242"/>
        <v>July</v>
      </c>
      <c r="C4971" s="46" t="s">
        <v>280</v>
      </c>
      <c r="F4971" s="366" t="s">
        <v>2602</v>
      </c>
      <c r="G4971" s="46" t="s">
        <v>83</v>
      </c>
      <c r="H4971" s="46">
        <v>6</v>
      </c>
      <c r="I4971" s="51">
        <v>8858.76</v>
      </c>
      <c r="J4971" s="281">
        <f>++Tabla4[[#This Row],[Precio Bruto]]*1.16</f>
        <v>10276.161599999999</v>
      </c>
      <c r="K4971" s="281">
        <f>+Tabla4[[#This Row],[Precio Unitario Neto]]*Tabla4[[#Headers],[20.85%]]</f>
        <v>2142.5796935999997</v>
      </c>
      <c r="L4971" s="282">
        <f>++Tabla4[[#This Row],[Precio Unitario Neto]]-Tabla4[[#This Row],[20.85%]]</f>
        <v>8133.5819063999998</v>
      </c>
      <c r="M4971" s="282" t="e">
        <f>(INDEX(Tabla6[#All],MATCH(Tabla4[[#This Row],[Producto]],Tabla6[[#All],[PRODUCTO]],0),MATCH(Tabla4[[#This Row],[Mes]],Tabla6[#Headers],0)))*(1+Catalogos!$L$2)</f>
        <v>#N/A</v>
      </c>
      <c r="N4971" s="283" t="e">
        <f>+(Tabla4[[#This Row],[Precio Descontado]]-Tabla4[[#This Row],[Precio Base]])*Tabla4[[#This Row],[Cantidad]]</f>
        <v>#N/A</v>
      </c>
      <c r="O4971" s="284" t="e">
        <f>++Tabla4[[#This Row],[Utilidad Total]]/Tabla4[[#This Row],[Total]]</f>
        <v>#N/A</v>
      </c>
      <c r="P4971" s="282">
        <f>++Tabla4[[#This Row],[Precio Descontado]]*Tabla4[[#This Row],[Cantidad]]</f>
        <v>48801.4914384</v>
      </c>
      <c r="Q4971" s="282" t="e">
        <f>(INDEX(Tabla6[#All],MATCH(Tabla4[[#This Row],[Producto]],Tabla6[[#All],[PRODUCTO]],0),MATCH(Tabla4[[#This Row],[Mes]],Tabla6[#Headers],0)))</f>
        <v>#N/A</v>
      </c>
      <c r="R4971" s="282" t="e">
        <f>++Tabla4[[#This Row],[Precio Unitario Neto]]-Tabla4[[#This Row],[20.85%]]-Tabla4[[#This Row],[Costo]]</f>
        <v>#N/A</v>
      </c>
      <c r="S4971" s="282" t="e">
        <f>++Tabla4[[#This Row],[U. Bruta Uni]]*Tabla4[[#This Row],[Cantidad]]</f>
        <v>#N/A</v>
      </c>
      <c r="T4971" s="369" t="str">
        <f>VLOOKUP(Tabla4[[#This Row],[Producto]],Tabla6[#All],14,FALSE)</f>
        <v>Termico Solar</v>
      </c>
      <c r="U4971" s="284" t="e">
        <f>(IF(Tabla4[[#This Row],[Familia]]="termico solar",Tabla4[[#This Row],[Utilidad Total]]*6%,Tabla4[[#This Row],[Utilidad Total]]*11.5%))/Tabla4[[#This Row],[Total]]</f>
        <v>#N/A</v>
      </c>
      <c r="V4971" s="282" t="e">
        <f>+Tabla4[[#This Row],[Comisión Calculada]]*Tabla4[[#This Row],[Total]]</f>
        <v>#N/A</v>
      </c>
    </row>
    <row r="4972" spans="1:22" hidden="1" x14ac:dyDescent="0.25">
      <c r="A4972" s="100">
        <v>45869</v>
      </c>
      <c r="B4972" t="str">
        <f t="shared" si="242"/>
        <v>July</v>
      </c>
      <c r="C4972" s="46" t="s">
        <v>280</v>
      </c>
      <c r="F4972" s="366" t="s">
        <v>2602</v>
      </c>
      <c r="G4972" s="46" t="s">
        <v>566</v>
      </c>
      <c r="H4972" s="46">
        <v>2</v>
      </c>
      <c r="I4972" s="51">
        <v>2109.4499999999998</v>
      </c>
      <c r="J4972" s="281">
        <f>++Tabla4[[#This Row],[Precio Bruto]]*1.16</f>
        <v>2446.9619999999995</v>
      </c>
      <c r="K4972" s="281">
        <f>+Tabla4[[#This Row],[Precio Unitario Neto]]*Tabla4[[#Headers],[20.85%]]</f>
        <v>510.19157699999988</v>
      </c>
      <c r="L4972" s="282">
        <f>++Tabla4[[#This Row],[Precio Unitario Neto]]-Tabla4[[#This Row],[20.85%]]</f>
        <v>1936.7704229999997</v>
      </c>
      <c r="M4972" s="282" t="e">
        <f>(INDEX(Tabla6[#All],MATCH(Tabla4[[#This Row],[Producto]],Tabla6[[#All],[PRODUCTO]],0),MATCH(Tabla4[[#This Row],[Mes]],Tabla6[#Headers],0)))*(1+Catalogos!$L$2)</f>
        <v>#N/A</v>
      </c>
      <c r="N4972" s="283" t="e">
        <f>+(Tabla4[[#This Row],[Precio Descontado]]-Tabla4[[#This Row],[Precio Base]])*Tabla4[[#This Row],[Cantidad]]</f>
        <v>#N/A</v>
      </c>
      <c r="O4972" s="284" t="e">
        <f>++Tabla4[[#This Row],[Utilidad Total]]/Tabla4[[#This Row],[Total]]</f>
        <v>#N/A</v>
      </c>
      <c r="P4972" s="282">
        <f>++Tabla4[[#This Row],[Precio Descontado]]*Tabla4[[#This Row],[Cantidad]]</f>
        <v>3873.5408459999994</v>
      </c>
      <c r="Q4972" s="282" t="e">
        <f>(INDEX(Tabla6[#All],MATCH(Tabla4[[#This Row],[Producto]],Tabla6[[#All],[PRODUCTO]],0),MATCH(Tabla4[[#This Row],[Mes]],Tabla6[#Headers],0)))</f>
        <v>#N/A</v>
      </c>
      <c r="R4972" s="282" t="e">
        <f>++Tabla4[[#This Row],[Precio Unitario Neto]]-Tabla4[[#This Row],[20.85%]]-Tabla4[[#This Row],[Costo]]</f>
        <v>#N/A</v>
      </c>
      <c r="S4972" s="282" t="e">
        <f>++Tabla4[[#This Row],[U. Bruta Uni]]*Tabla4[[#This Row],[Cantidad]]</f>
        <v>#N/A</v>
      </c>
      <c r="T4972" s="369" t="str">
        <f>VLOOKUP(Tabla4[[#This Row],[Producto]],Tabla6[#All],14,FALSE)</f>
        <v>Termico Solar</v>
      </c>
      <c r="U4972" s="284" t="e">
        <f>(IF(Tabla4[[#This Row],[Familia]]="termico solar",Tabla4[[#This Row],[Utilidad Total]]*6%,Tabla4[[#This Row],[Utilidad Total]]*11.5%))/Tabla4[[#This Row],[Total]]</f>
        <v>#N/A</v>
      </c>
      <c r="V4972" s="282" t="e">
        <f>+Tabla4[[#This Row],[Comisión Calculada]]*Tabla4[[#This Row],[Total]]</f>
        <v>#N/A</v>
      </c>
    </row>
    <row r="4973" spans="1:22" hidden="1" x14ac:dyDescent="0.25">
      <c r="A4973" s="100">
        <v>45869</v>
      </c>
      <c r="B4973" t="str">
        <f t="shared" si="242"/>
        <v>July</v>
      </c>
      <c r="C4973" s="46" t="s">
        <v>280</v>
      </c>
      <c r="F4973" s="366" t="s">
        <v>2602</v>
      </c>
      <c r="G4973" s="46" t="s">
        <v>16</v>
      </c>
      <c r="H4973" s="46">
        <v>2</v>
      </c>
      <c r="I4973" s="51">
        <v>4103.8500000000004</v>
      </c>
      <c r="J4973" s="281">
        <f>++Tabla4[[#This Row],[Precio Bruto]]*1.16</f>
        <v>4760.4660000000003</v>
      </c>
      <c r="K4973" s="281">
        <f>+Tabla4[[#This Row],[Precio Unitario Neto]]*Tabla4[[#Headers],[20.85%]]</f>
        <v>992.55716100000006</v>
      </c>
      <c r="L4973" s="282">
        <f>++Tabla4[[#This Row],[Precio Unitario Neto]]-Tabla4[[#This Row],[20.85%]]</f>
        <v>3767.9088390000002</v>
      </c>
      <c r="M4973" s="282" t="e">
        <f>(INDEX(Tabla6[#All],MATCH(Tabla4[[#This Row],[Producto]],Tabla6[[#All],[PRODUCTO]],0),MATCH(Tabla4[[#This Row],[Mes]],Tabla6[#Headers],0)))*(1+Catalogos!$L$2)</f>
        <v>#N/A</v>
      </c>
      <c r="N4973" s="283" t="e">
        <f>+(Tabla4[[#This Row],[Precio Descontado]]-Tabla4[[#This Row],[Precio Base]])*Tabla4[[#This Row],[Cantidad]]</f>
        <v>#N/A</v>
      </c>
      <c r="O4973" s="284" t="e">
        <f>++Tabla4[[#This Row],[Utilidad Total]]/Tabla4[[#This Row],[Total]]</f>
        <v>#N/A</v>
      </c>
      <c r="P4973" s="282">
        <f>++Tabla4[[#This Row],[Precio Descontado]]*Tabla4[[#This Row],[Cantidad]]</f>
        <v>7535.8176780000003</v>
      </c>
      <c r="Q4973" s="282" t="e">
        <f>(INDEX(Tabla6[#All],MATCH(Tabla4[[#This Row],[Producto]],Tabla6[[#All],[PRODUCTO]],0),MATCH(Tabla4[[#This Row],[Mes]],Tabla6[#Headers],0)))</f>
        <v>#N/A</v>
      </c>
      <c r="R4973" s="282" t="e">
        <f>++Tabla4[[#This Row],[Precio Unitario Neto]]-Tabla4[[#This Row],[20.85%]]-Tabla4[[#This Row],[Costo]]</f>
        <v>#N/A</v>
      </c>
      <c r="S4973" s="282" t="e">
        <f>++Tabla4[[#This Row],[U. Bruta Uni]]*Tabla4[[#This Row],[Cantidad]]</f>
        <v>#N/A</v>
      </c>
      <c r="T4973" s="369" t="str">
        <f>VLOOKUP(Tabla4[[#This Row],[Producto]],Tabla6[#All],14,FALSE)</f>
        <v>Termico Solar</v>
      </c>
      <c r="U4973" s="284" t="e">
        <f>(IF(Tabla4[[#This Row],[Familia]]="termico solar",Tabla4[[#This Row],[Utilidad Total]]*6%,Tabla4[[#This Row],[Utilidad Total]]*11.5%))/Tabla4[[#This Row],[Total]]</f>
        <v>#N/A</v>
      </c>
      <c r="V4973" s="282" t="e">
        <f>+Tabla4[[#This Row],[Comisión Calculada]]*Tabla4[[#This Row],[Total]]</f>
        <v>#N/A</v>
      </c>
    </row>
    <row r="4974" spans="1:22" hidden="1" x14ac:dyDescent="0.25">
      <c r="A4974" s="100">
        <v>45869</v>
      </c>
      <c r="B4974" t="str">
        <f t="shared" si="242"/>
        <v>July</v>
      </c>
      <c r="C4974" s="46" t="s">
        <v>280</v>
      </c>
      <c r="F4974" s="366" t="s">
        <v>2603</v>
      </c>
      <c r="G4974" s="46" t="s">
        <v>566</v>
      </c>
      <c r="H4974" s="46">
        <v>1</v>
      </c>
      <c r="I4974" s="51">
        <v>2109.4499999999998</v>
      </c>
      <c r="J4974" s="281">
        <f>++Tabla4[[#This Row],[Precio Bruto]]*1.16</f>
        <v>2446.9619999999995</v>
      </c>
      <c r="K4974" s="281">
        <f>+Tabla4[[#This Row],[Precio Unitario Neto]]*Tabla4[[#Headers],[20.85%]]</f>
        <v>510.19157699999988</v>
      </c>
      <c r="L4974" s="282">
        <f>++Tabla4[[#This Row],[Precio Unitario Neto]]-Tabla4[[#This Row],[20.85%]]</f>
        <v>1936.7704229999997</v>
      </c>
      <c r="M4974" s="282" t="e">
        <f>(INDEX(Tabla6[#All],MATCH(Tabla4[[#This Row],[Producto]],Tabla6[[#All],[PRODUCTO]],0),MATCH(Tabla4[[#This Row],[Mes]],Tabla6[#Headers],0)))*(1+Catalogos!$L$2)</f>
        <v>#N/A</v>
      </c>
      <c r="N4974" s="283" t="e">
        <f>+(Tabla4[[#This Row],[Precio Descontado]]-Tabla4[[#This Row],[Precio Base]])*Tabla4[[#This Row],[Cantidad]]</f>
        <v>#N/A</v>
      </c>
      <c r="O4974" s="284" t="e">
        <f>++Tabla4[[#This Row],[Utilidad Total]]/Tabla4[[#This Row],[Total]]</f>
        <v>#N/A</v>
      </c>
      <c r="P4974" s="282">
        <f>++Tabla4[[#This Row],[Precio Descontado]]*Tabla4[[#This Row],[Cantidad]]</f>
        <v>1936.7704229999997</v>
      </c>
      <c r="Q4974" s="282" t="e">
        <f>(INDEX(Tabla6[#All],MATCH(Tabla4[[#This Row],[Producto]],Tabla6[[#All],[PRODUCTO]],0),MATCH(Tabla4[[#This Row],[Mes]],Tabla6[#Headers],0)))</f>
        <v>#N/A</v>
      </c>
      <c r="R4974" s="282" t="e">
        <f>++Tabla4[[#This Row],[Precio Unitario Neto]]-Tabla4[[#This Row],[20.85%]]-Tabla4[[#This Row],[Costo]]</f>
        <v>#N/A</v>
      </c>
      <c r="S4974" s="282" t="e">
        <f>++Tabla4[[#This Row],[U. Bruta Uni]]*Tabla4[[#This Row],[Cantidad]]</f>
        <v>#N/A</v>
      </c>
      <c r="T4974" s="369" t="str">
        <f>VLOOKUP(Tabla4[[#This Row],[Producto]],Tabla6[#All],14,FALSE)</f>
        <v>Termico Solar</v>
      </c>
      <c r="U4974" s="284" t="e">
        <f>(IF(Tabla4[[#This Row],[Familia]]="termico solar",Tabla4[[#This Row],[Utilidad Total]]*6%,Tabla4[[#This Row],[Utilidad Total]]*11.5%))/Tabla4[[#This Row],[Total]]</f>
        <v>#N/A</v>
      </c>
      <c r="V4974" s="282" t="e">
        <f>+Tabla4[[#This Row],[Comisión Calculada]]*Tabla4[[#This Row],[Total]]</f>
        <v>#N/A</v>
      </c>
    </row>
    <row r="4975" spans="1:22" hidden="1" x14ac:dyDescent="0.25">
      <c r="A4975" s="100">
        <v>45869</v>
      </c>
      <c r="B4975" t="str">
        <f t="shared" si="242"/>
        <v>July</v>
      </c>
      <c r="C4975" s="46" t="s">
        <v>280</v>
      </c>
      <c r="F4975" s="366" t="s">
        <v>2603</v>
      </c>
      <c r="G4975" s="46" t="s">
        <v>208</v>
      </c>
      <c r="H4975" s="46">
        <v>8</v>
      </c>
      <c r="I4975" s="51">
        <v>189.75</v>
      </c>
      <c r="J4975" s="281">
        <f>++Tabla4[[#This Row],[Precio Bruto]]*1.16</f>
        <v>220.10999999999999</v>
      </c>
      <c r="K4975" s="281">
        <f>+Tabla4[[#This Row],[Precio Unitario Neto]]*Tabla4[[#Headers],[20.85%]]</f>
        <v>45.892934999999994</v>
      </c>
      <c r="L4975" s="282">
        <f>++Tabla4[[#This Row],[Precio Unitario Neto]]-Tabla4[[#This Row],[20.85%]]</f>
        <v>174.21706499999999</v>
      </c>
      <c r="M4975" s="282" t="e">
        <f>(INDEX(Tabla6[#All],MATCH(Tabla4[[#This Row],[Producto]],Tabla6[[#All],[PRODUCTO]],0),MATCH(Tabla4[[#This Row],[Mes]],Tabla6[#Headers],0)))*(1+Catalogos!$L$2)</f>
        <v>#N/A</v>
      </c>
      <c r="N4975" s="283" t="e">
        <f>+(Tabla4[[#This Row],[Precio Descontado]]-Tabla4[[#This Row],[Precio Base]])*Tabla4[[#This Row],[Cantidad]]</f>
        <v>#N/A</v>
      </c>
      <c r="O4975" s="284" t="e">
        <f>++Tabla4[[#This Row],[Utilidad Total]]/Tabla4[[#This Row],[Total]]</f>
        <v>#N/A</v>
      </c>
      <c r="P4975" s="282">
        <f>++Tabla4[[#This Row],[Precio Descontado]]*Tabla4[[#This Row],[Cantidad]]</f>
        <v>1393.7365199999999</v>
      </c>
      <c r="Q4975" s="282" t="e">
        <f>(INDEX(Tabla6[#All],MATCH(Tabla4[[#This Row],[Producto]],Tabla6[[#All],[PRODUCTO]],0),MATCH(Tabla4[[#This Row],[Mes]],Tabla6[#Headers],0)))</f>
        <v>#N/A</v>
      </c>
      <c r="R4975" s="282" t="e">
        <f>++Tabla4[[#This Row],[Precio Unitario Neto]]-Tabla4[[#This Row],[20.85%]]-Tabla4[[#This Row],[Costo]]</f>
        <v>#N/A</v>
      </c>
      <c r="S4975" s="282" t="e">
        <f>++Tabla4[[#This Row],[U. Bruta Uni]]*Tabla4[[#This Row],[Cantidad]]</f>
        <v>#N/A</v>
      </c>
      <c r="T4975" s="369" t="str">
        <f>VLOOKUP(Tabla4[[#This Row],[Producto]],Tabla6[#All],14,FALSE)</f>
        <v>Termico Solar</v>
      </c>
      <c r="U4975" s="284" t="e">
        <f>(IF(Tabla4[[#This Row],[Familia]]="termico solar",Tabla4[[#This Row],[Utilidad Total]]*6%,Tabla4[[#This Row],[Utilidad Total]]*11.5%))/Tabla4[[#This Row],[Total]]</f>
        <v>#N/A</v>
      </c>
      <c r="V4975" s="282" t="e">
        <f>+Tabla4[[#This Row],[Comisión Calculada]]*Tabla4[[#This Row],[Total]]</f>
        <v>#N/A</v>
      </c>
    </row>
    <row r="4976" spans="1:22" hidden="1" x14ac:dyDescent="0.25">
      <c r="A4976" s="100">
        <v>45869</v>
      </c>
      <c r="B4976" t="str">
        <f t="shared" si="242"/>
        <v>July</v>
      </c>
      <c r="C4976" s="46" t="s">
        <v>280</v>
      </c>
      <c r="F4976" s="366" t="s">
        <v>2604</v>
      </c>
      <c r="G4976" s="46" t="s">
        <v>566</v>
      </c>
      <c r="H4976" s="46">
        <v>2</v>
      </c>
      <c r="I4976" s="51">
        <v>2109.4499999999998</v>
      </c>
      <c r="J4976" s="281">
        <f>++Tabla4[[#This Row],[Precio Bruto]]*1.16</f>
        <v>2446.9619999999995</v>
      </c>
      <c r="K4976" s="281">
        <f>+Tabla4[[#This Row],[Precio Unitario Neto]]*Tabla4[[#Headers],[20.85%]]</f>
        <v>510.19157699999988</v>
      </c>
      <c r="L4976" s="282">
        <f>++Tabla4[[#This Row],[Precio Unitario Neto]]-Tabla4[[#This Row],[20.85%]]</f>
        <v>1936.7704229999997</v>
      </c>
      <c r="M4976" s="282" t="e">
        <f>(INDEX(Tabla6[#All],MATCH(Tabla4[[#This Row],[Producto]],Tabla6[[#All],[PRODUCTO]],0),MATCH(Tabla4[[#This Row],[Mes]],Tabla6[#Headers],0)))*(1+Catalogos!$L$2)</f>
        <v>#N/A</v>
      </c>
      <c r="N4976" s="283" t="e">
        <f>+(Tabla4[[#This Row],[Precio Descontado]]-Tabla4[[#This Row],[Precio Base]])*Tabla4[[#This Row],[Cantidad]]</f>
        <v>#N/A</v>
      </c>
      <c r="O4976" s="284" t="e">
        <f>++Tabla4[[#This Row],[Utilidad Total]]/Tabla4[[#This Row],[Total]]</f>
        <v>#N/A</v>
      </c>
      <c r="P4976" s="282">
        <f>++Tabla4[[#This Row],[Precio Descontado]]*Tabla4[[#This Row],[Cantidad]]</f>
        <v>3873.5408459999994</v>
      </c>
      <c r="Q4976" s="282" t="e">
        <f>(INDEX(Tabla6[#All],MATCH(Tabla4[[#This Row],[Producto]],Tabla6[[#All],[PRODUCTO]],0),MATCH(Tabla4[[#This Row],[Mes]],Tabla6[#Headers],0)))</f>
        <v>#N/A</v>
      </c>
      <c r="R4976" s="282" t="e">
        <f>++Tabla4[[#This Row],[Precio Unitario Neto]]-Tabla4[[#This Row],[20.85%]]-Tabla4[[#This Row],[Costo]]</f>
        <v>#N/A</v>
      </c>
      <c r="S4976" s="282" t="e">
        <f>++Tabla4[[#This Row],[U. Bruta Uni]]*Tabla4[[#This Row],[Cantidad]]</f>
        <v>#N/A</v>
      </c>
      <c r="T4976" s="369" t="str">
        <f>VLOOKUP(Tabla4[[#This Row],[Producto]],Tabla6[#All],14,FALSE)</f>
        <v>Termico Solar</v>
      </c>
      <c r="U4976" s="284" t="e">
        <f>(IF(Tabla4[[#This Row],[Familia]]="termico solar",Tabla4[[#This Row],[Utilidad Total]]*6%,Tabla4[[#This Row],[Utilidad Total]]*11.5%))/Tabla4[[#This Row],[Total]]</f>
        <v>#N/A</v>
      </c>
      <c r="V4976" s="282" t="e">
        <f>+Tabla4[[#This Row],[Comisión Calculada]]*Tabla4[[#This Row],[Total]]</f>
        <v>#N/A</v>
      </c>
    </row>
    <row r="4977" spans="1:22" hidden="1" x14ac:dyDescent="0.25">
      <c r="A4977" s="100">
        <v>45869</v>
      </c>
      <c r="B4977" t="str">
        <f t="shared" si="242"/>
        <v>July</v>
      </c>
      <c r="C4977" s="46" t="s">
        <v>280</v>
      </c>
      <c r="F4977" s="366" t="s">
        <v>2605</v>
      </c>
      <c r="G4977" s="46" t="s">
        <v>16</v>
      </c>
      <c r="H4977" s="46">
        <v>1</v>
      </c>
      <c r="I4977" s="51">
        <v>4103.8500000000004</v>
      </c>
      <c r="J4977" s="281">
        <f>++Tabla4[[#This Row],[Precio Bruto]]*1.16</f>
        <v>4760.4660000000003</v>
      </c>
      <c r="K4977" s="281">
        <f>+Tabla4[[#This Row],[Precio Unitario Neto]]*Tabla4[[#Headers],[20.85%]]</f>
        <v>992.55716100000006</v>
      </c>
      <c r="L4977" s="282">
        <f>++Tabla4[[#This Row],[Precio Unitario Neto]]-Tabla4[[#This Row],[20.85%]]</f>
        <v>3767.9088390000002</v>
      </c>
      <c r="M4977" s="282" t="e">
        <f>(INDEX(Tabla6[#All],MATCH(Tabla4[[#This Row],[Producto]],Tabla6[[#All],[PRODUCTO]],0),MATCH(Tabla4[[#This Row],[Mes]],Tabla6[#Headers],0)))*(1+Catalogos!$L$2)</f>
        <v>#N/A</v>
      </c>
      <c r="N4977" s="283" t="e">
        <f>+(Tabla4[[#This Row],[Precio Descontado]]-Tabla4[[#This Row],[Precio Base]])*Tabla4[[#This Row],[Cantidad]]</f>
        <v>#N/A</v>
      </c>
      <c r="O4977" s="284" t="e">
        <f>++Tabla4[[#This Row],[Utilidad Total]]/Tabla4[[#This Row],[Total]]</f>
        <v>#N/A</v>
      </c>
      <c r="P4977" s="282">
        <f>++Tabla4[[#This Row],[Precio Descontado]]*Tabla4[[#This Row],[Cantidad]]</f>
        <v>3767.9088390000002</v>
      </c>
      <c r="Q4977" s="282" t="e">
        <f>(INDEX(Tabla6[#All],MATCH(Tabla4[[#This Row],[Producto]],Tabla6[[#All],[PRODUCTO]],0),MATCH(Tabla4[[#This Row],[Mes]],Tabla6[#Headers],0)))</f>
        <v>#N/A</v>
      </c>
      <c r="R4977" s="282" t="e">
        <f>++Tabla4[[#This Row],[Precio Unitario Neto]]-Tabla4[[#This Row],[20.85%]]-Tabla4[[#This Row],[Costo]]</f>
        <v>#N/A</v>
      </c>
      <c r="S4977" s="282" t="e">
        <f>++Tabla4[[#This Row],[U. Bruta Uni]]*Tabla4[[#This Row],[Cantidad]]</f>
        <v>#N/A</v>
      </c>
      <c r="T4977" s="369" t="str">
        <f>VLOOKUP(Tabla4[[#This Row],[Producto]],Tabla6[#All],14,FALSE)</f>
        <v>Termico Solar</v>
      </c>
      <c r="U4977" s="284" t="e">
        <f>(IF(Tabla4[[#This Row],[Familia]]="termico solar",Tabla4[[#This Row],[Utilidad Total]]*6%,Tabla4[[#This Row],[Utilidad Total]]*11.5%))/Tabla4[[#This Row],[Total]]</f>
        <v>#N/A</v>
      </c>
      <c r="V4977" s="282" t="e">
        <f>+Tabla4[[#This Row],[Comisión Calculada]]*Tabla4[[#This Row],[Total]]</f>
        <v>#N/A</v>
      </c>
    </row>
    <row r="4978" spans="1:22" hidden="1" x14ac:dyDescent="0.25">
      <c r="A4978" s="100">
        <v>45869</v>
      </c>
      <c r="B4978" t="str">
        <f t="shared" si="242"/>
        <v>July</v>
      </c>
      <c r="C4978" s="46" t="s">
        <v>280</v>
      </c>
      <c r="F4978" s="366" t="s">
        <v>2605</v>
      </c>
      <c r="G4978" s="46" t="s">
        <v>208</v>
      </c>
      <c r="H4978" s="46">
        <v>1</v>
      </c>
      <c r="I4978" s="51">
        <v>189.75</v>
      </c>
      <c r="J4978" s="281">
        <f>++Tabla4[[#This Row],[Precio Bruto]]*1.16</f>
        <v>220.10999999999999</v>
      </c>
      <c r="K4978" s="281">
        <f>+Tabla4[[#This Row],[Precio Unitario Neto]]*Tabla4[[#Headers],[20.85%]]</f>
        <v>45.892934999999994</v>
      </c>
      <c r="L4978" s="282">
        <f>++Tabla4[[#This Row],[Precio Unitario Neto]]-Tabla4[[#This Row],[20.85%]]</f>
        <v>174.21706499999999</v>
      </c>
      <c r="M4978" s="282" t="e">
        <f>(INDEX(Tabla6[#All],MATCH(Tabla4[[#This Row],[Producto]],Tabla6[[#All],[PRODUCTO]],0),MATCH(Tabla4[[#This Row],[Mes]],Tabla6[#Headers],0)))*(1+Catalogos!$L$2)</f>
        <v>#N/A</v>
      </c>
      <c r="N4978" s="283" t="e">
        <f>+(Tabla4[[#This Row],[Precio Descontado]]-Tabla4[[#This Row],[Precio Base]])*Tabla4[[#This Row],[Cantidad]]</f>
        <v>#N/A</v>
      </c>
      <c r="O4978" s="284" t="e">
        <f>++Tabla4[[#This Row],[Utilidad Total]]/Tabla4[[#This Row],[Total]]</f>
        <v>#N/A</v>
      </c>
      <c r="P4978" s="282">
        <f>++Tabla4[[#This Row],[Precio Descontado]]*Tabla4[[#This Row],[Cantidad]]</f>
        <v>174.21706499999999</v>
      </c>
      <c r="Q4978" s="282" t="e">
        <f>(INDEX(Tabla6[#All],MATCH(Tabla4[[#This Row],[Producto]],Tabla6[[#All],[PRODUCTO]],0),MATCH(Tabla4[[#This Row],[Mes]],Tabla6[#Headers],0)))</f>
        <v>#N/A</v>
      </c>
      <c r="R4978" s="282" t="e">
        <f>++Tabla4[[#This Row],[Precio Unitario Neto]]-Tabla4[[#This Row],[20.85%]]-Tabla4[[#This Row],[Costo]]</f>
        <v>#N/A</v>
      </c>
      <c r="S4978" s="282" t="e">
        <f>++Tabla4[[#This Row],[U. Bruta Uni]]*Tabla4[[#This Row],[Cantidad]]</f>
        <v>#N/A</v>
      </c>
      <c r="T4978" s="369" t="str">
        <f>VLOOKUP(Tabla4[[#This Row],[Producto]],Tabla6[#All],14,FALSE)</f>
        <v>Termico Solar</v>
      </c>
      <c r="U4978" s="284" t="e">
        <f>(IF(Tabla4[[#This Row],[Familia]]="termico solar",Tabla4[[#This Row],[Utilidad Total]]*6%,Tabla4[[#This Row],[Utilidad Total]]*11.5%))/Tabla4[[#This Row],[Total]]</f>
        <v>#N/A</v>
      </c>
      <c r="V4978" s="282" t="e">
        <f>+Tabla4[[#This Row],[Comisión Calculada]]*Tabla4[[#This Row],[Total]]</f>
        <v>#N/A</v>
      </c>
    </row>
    <row r="4979" spans="1:22" hidden="1" x14ac:dyDescent="0.25">
      <c r="A4979" s="100">
        <v>45869</v>
      </c>
      <c r="B4979" t="str">
        <f t="shared" si="242"/>
        <v>July</v>
      </c>
      <c r="C4979" s="46" t="s">
        <v>280</v>
      </c>
      <c r="F4979" s="366" t="s">
        <v>2606</v>
      </c>
      <c r="G4979" s="46" t="s">
        <v>16</v>
      </c>
      <c r="H4979" s="46">
        <v>2</v>
      </c>
      <c r="I4979" s="51">
        <v>4103.8500000000004</v>
      </c>
      <c r="J4979" s="281">
        <f>++Tabla4[[#This Row],[Precio Bruto]]*1.16</f>
        <v>4760.4660000000003</v>
      </c>
      <c r="K4979" s="281">
        <f>+Tabla4[[#This Row],[Precio Unitario Neto]]*Tabla4[[#Headers],[20.85%]]</f>
        <v>992.55716100000006</v>
      </c>
      <c r="L4979" s="282">
        <f>++Tabla4[[#This Row],[Precio Unitario Neto]]-Tabla4[[#This Row],[20.85%]]</f>
        <v>3767.9088390000002</v>
      </c>
      <c r="M4979" s="282" t="e">
        <f>(INDEX(Tabla6[#All],MATCH(Tabla4[[#This Row],[Producto]],Tabla6[[#All],[PRODUCTO]],0),MATCH(Tabla4[[#This Row],[Mes]],Tabla6[#Headers],0)))*(1+Catalogos!$L$2)</f>
        <v>#N/A</v>
      </c>
      <c r="N4979" s="283" t="e">
        <f>+(Tabla4[[#This Row],[Precio Descontado]]-Tabla4[[#This Row],[Precio Base]])*Tabla4[[#This Row],[Cantidad]]</f>
        <v>#N/A</v>
      </c>
      <c r="O4979" s="284" t="e">
        <f>++Tabla4[[#This Row],[Utilidad Total]]/Tabla4[[#This Row],[Total]]</f>
        <v>#N/A</v>
      </c>
      <c r="P4979" s="282">
        <f>++Tabla4[[#This Row],[Precio Descontado]]*Tabla4[[#This Row],[Cantidad]]</f>
        <v>7535.8176780000003</v>
      </c>
      <c r="Q4979" s="282" t="e">
        <f>(INDEX(Tabla6[#All],MATCH(Tabla4[[#This Row],[Producto]],Tabla6[[#All],[PRODUCTO]],0),MATCH(Tabla4[[#This Row],[Mes]],Tabla6[#Headers],0)))</f>
        <v>#N/A</v>
      </c>
      <c r="R4979" s="282" t="e">
        <f>++Tabla4[[#This Row],[Precio Unitario Neto]]-Tabla4[[#This Row],[20.85%]]-Tabla4[[#This Row],[Costo]]</f>
        <v>#N/A</v>
      </c>
      <c r="S4979" s="282" t="e">
        <f>++Tabla4[[#This Row],[U. Bruta Uni]]*Tabla4[[#This Row],[Cantidad]]</f>
        <v>#N/A</v>
      </c>
      <c r="T4979" s="369" t="str">
        <f>VLOOKUP(Tabla4[[#This Row],[Producto]],Tabla6[#All],14,FALSE)</f>
        <v>Termico Solar</v>
      </c>
      <c r="U4979" s="284" t="e">
        <f>(IF(Tabla4[[#This Row],[Familia]]="termico solar",Tabla4[[#This Row],[Utilidad Total]]*6%,Tabla4[[#This Row],[Utilidad Total]]*11.5%))/Tabla4[[#This Row],[Total]]</f>
        <v>#N/A</v>
      </c>
      <c r="V4979" s="282" t="e">
        <f>+Tabla4[[#This Row],[Comisión Calculada]]*Tabla4[[#This Row],[Total]]</f>
        <v>#N/A</v>
      </c>
    </row>
    <row r="4980" spans="1:22" hidden="1" x14ac:dyDescent="0.25">
      <c r="A4980" s="100">
        <v>45869</v>
      </c>
      <c r="B4980" t="str">
        <f t="shared" si="242"/>
        <v>July</v>
      </c>
      <c r="C4980" s="46" t="s">
        <v>280</v>
      </c>
      <c r="F4980" s="366" t="s">
        <v>2606</v>
      </c>
      <c r="G4980" s="46" t="s">
        <v>208</v>
      </c>
      <c r="H4980" s="46">
        <v>3</v>
      </c>
      <c r="I4980" s="51">
        <v>189.75</v>
      </c>
      <c r="J4980" s="281">
        <f>++Tabla4[[#This Row],[Precio Bruto]]*1.16</f>
        <v>220.10999999999999</v>
      </c>
      <c r="K4980" s="281">
        <f>+Tabla4[[#This Row],[Precio Unitario Neto]]*Tabla4[[#Headers],[20.85%]]</f>
        <v>45.892934999999994</v>
      </c>
      <c r="L4980" s="282">
        <f>++Tabla4[[#This Row],[Precio Unitario Neto]]-Tabla4[[#This Row],[20.85%]]</f>
        <v>174.21706499999999</v>
      </c>
      <c r="M4980" s="282" t="e">
        <f>(INDEX(Tabla6[#All],MATCH(Tabla4[[#This Row],[Producto]],Tabla6[[#All],[PRODUCTO]],0),MATCH(Tabla4[[#This Row],[Mes]],Tabla6[#Headers],0)))*(1+Catalogos!$L$2)</f>
        <v>#N/A</v>
      </c>
      <c r="N4980" s="283" t="e">
        <f>+(Tabla4[[#This Row],[Precio Descontado]]-Tabla4[[#This Row],[Precio Base]])*Tabla4[[#This Row],[Cantidad]]</f>
        <v>#N/A</v>
      </c>
      <c r="O4980" s="284" t="e">
        <f>++Tabla4[[#This Row],[Utilidad Total]]/Tabla4[[#This Row],[Total]]</f>
        <v>#N/A</v>
      </c>
      <c r="P4980" s="282">
        <f>++Tabla4[[#This Row],[Precio Descontado]]*Tabla4[[#This Row],[Cantidad]]</f>
        <v>522.65119499999992</v>
      </c>
      <c r="Q4980" s="282" t="e">
        <f>(INDEX(Tabla6[#All],MATCH(Tabla4[[#This Row],[Producto]],Tabla6[[#All],[PRODUCTO]],0),MATCH(Tabla4[[#This Row],[Mes]],Tabla6[#Headers],0)))</f>
        <v>#N/A</v>
      </c>
      <c r="R4980" s="282" t="e">
        <f>++Tabla4[[#This Row],[Precio Unitario Neto]]-Tabla4[[#This Row],[20.85%]]-Tabla4[[#This Row],[Costo]]</f>
        <v>#N/A</v>
      </c>
      <c r="S4980" s="282" t="e">
        <f>++Tabla4[[#This Row],[U. Bruta Uni]]*Tabla4[[#This Row],[Cantidad]]</f>
        <v>#N/A</v>
      </c>
      <c r="T4980" s="369" t="str">
        <f>VLOOKUP(Tabla4[[#This Row],[Producto]],Tabla6[#All],14,FALSE)</f>
        <v>Termico Solar</v>
      </c>
      <c r="U4980" s="284" t="e">
        <f>(IF(Tabla4[[#This Row],[Familia]]="termico solar",Tabla4[[#This Row],[Utilidad Total]]*6%,Tabla4[[#This Row],[Utilidad Total]]*11.5%))/Tabla4[[#This Row],[Total]]</f>
        <v>#N/A</v>
      </c>
      <c r="V4980" s="282" t="e">
        <f>+Tabla4[[#This Row],[Comisión Calculada]]*Tabla4[[#This Row],[Total]]</f>
        <v>#N/A</v>
      </c>
    </row>
    <row r="4981" spans="1:22" hidden="1" x14ac:dyDescent="0.25">
      <c r="A4981" s="100">
        <v>45869</v>
      </c>
      <c r="B4981" t="str">
        <f t="shared" si="242"/>
        <v>July</v>
      </c>
      <c r="C4981" s="46" t="s">
        <v>280</v>
      </c>
      <c r="F4981" s="366" t="s">
        <v>2607</v>
      </c>
      <c r="G4981" s="46" t="s">
        <v>16</v>
      </c>
      <c r="H4981" s="46">
        <v>2</v>
      </c>
      <c r="I4981" s="51">
        <v>4103.8500000000004</v>
      </c>
      <c r="J4981" s="281">
        <f>++Tabla4[[#This Row],[Precio Bruto]]*1.16</f>
        <v>4760.4660000000003</v>
      </c>
      <c r="K4981" s="281">
        <f>+Tabla4[[#This Row],[Precio Unitario Neto]]*Tabla4[[#Headers],[20.85%]]</f>
        <v>992.55716100000006</v>
      </c>
      <c r="L4981" s="282">
        <f>++Tabla4[[#This Row],[Precio Unitario Neto]]-Tabla4[[#This Row],[20.85%]]</f>
        <v>3767.9088390000002</v>
      </c>
      <c r="M4981" s="282" t="e">
        <f>(INDEX(Tabla6[#All],MATCH(Tabla4[[#This Row],[Producto]],Tabla6[[#All],[PRODUCTO]],0),MATCH(Tabla4[[#This Row],[Mes]],Tabla6[#Headers],0)))*(1+Catalogos!$L$2)</f>
        <v>#N/A</v>
      </c>
      <c r="N4981" s="283" t="e">
        <f>+(Tabla4[[#This Row],[Precio Descontado]]-Tabla4[[#This Row],[Precio Base]])*Tabla4[[#This Row],[Cantidad]]</f>
        <v>#N/A</v>
      </c>
      <c r="O4981" s="284" t="e">
        <f>++Tabla4[[#This Row],[Utilidad Total]]/Tabla4[[#This Row],[Total]]</f>
        <v>#N/A</v>
      </c>
      <c r="P4981" s="282">
        <f>++Tabla4[[#This Row],[Precio Descontado]]*Tabla4[[#This Row],[Cantidad]]</f>
        <v>7535.8176780000003</v>
      </c>
      <c r="Q4981" s="282" t="e">
        <f>(INDEX(Tabla6[#All],MATCH(Tabla4[[#This Row],[Producto]],Tabla6[[#All],[PRODUCTO]],0),MATCH(Tabla4[[#This Row],[Mes]],Tabla6[#Headers],0)))</f>
        <v>#N/A</v>
      </c>
      <c r="R4981" s="282" t="e">
        <f>++Tabla4[[#This Row],[Precio Unitario Neto]]-Tabla4[[#This Row],[20.85%]]-Tabla4[[#This Row],[Costo]]</f>
        <v>#N/A</v>
      </c>
      <c r="S4981" s="282" t="e">
        <f>++Tabla4[[#This Row],[U. Bruta Uni]]*Tabla4[[#This Row],[Cantidad]]</f>
        <v>#N/A</v>
      </c>
      <c r="T4981" s="369" t="str">
        <f>VLOOKUP(Tabla4[[#This Row],[Producto]],Tabla6[#All],14,FALSE)</f>
        <v>Termico Solar</v>
      </c>
      <c r="U4981" s="284" t="e">
        <f>(IF(Tabla4[[#This Row],[Familia]]="termico solar",Tabla4[[#This Row],[Utilidad Total]]*6%,Tabla4[[#This Row],[Utilidad Total]]*11.5%))/Tabla4[[#This Row],[Total]]</f>
        <v>#N/A</v>
      </c>
      <c r="V4981" s="282" t="e">
        <f>+Tabla4[[#This Row],[Comisión Calculada]]*Tabla4[[#This Row],[Total]]</f>
        <v>#N/A</v>
      </c>
    </row>
    <row r="4982" spans="1:22" hidden="1" x14ac:dyDescent="0.25">
      <c r="A4982" s="100">
        <v>45869</v>
      </c>
      <c r="B4982" t="str">
        <f t="shared" si="242"/>
        <v>July</v>
      </c>
      <c r="C4982" s="46" t="s">
        <v>280</v>
      </c>
      <c r="F4982" s="366" t="s">
        <v>2608</v>
      </c>
      <c r="G4982" s="46" t="s">
        <v>18</v>
      </c>
      <c r="H4982" s="46">
        <v>1</v>
      </c>
      <c r="I4982" s="51">
        <v>5367.65</v>
      </c>
      <c r="J4982" s="281">
        <f>++Tabla4[[#This Row],[Precio Bruto]]*1.16</f>
        <v>6226.4739999999993</v>
      </c>
      <c r="K4982" s="281">
        <f>+Tabla4[[#This Row],[Precio Unitario Neto]]*Tabla4[[#Headers],[20.85%]]</f>
        <v>1298.2198289999999</v>
      </c>
      <c r="L4982" s="282">
        <f>++Tabla4[[#This Row],[Precio Unitario Neto]]-Tabla4[[#This Row],[20.85%]]</f>
        <v>4928.2541709999996</v>
      </c>
      <c r="M4982" s="282" t="e">
        <f>(INDEX(Tabla6[#All],MATCH(Tabla4[[#This Row],[Producto]],Tabla6[[#All],[PRODUCTO]],0),MATCH(Tabla4[[#This Row],[Mes]],Tabla6[#Headers],0)))*(1+Catalogos!$L$2)</f>
        <v>#N/A</v>
      </c>
      <c r="N4982" s="283" t="e">
        <f>+(Tabla4[[#This Row],[Precio Descontado]]-Tabla4[[#This Row],[Precio Base]])*Tabla4[[#This Row],[Cantidad]]</f>
        <v>#N/A</v>
      </c>
      <c r="O4982" s="284" t="e">
        <f>++Tabla4[[#This Row],[Utilidad Total]]/Tabla4[[#This Row],[Total]]</f>
        <v>#N/A</v>
      </c>
      <c r="P4982" s="282">
        <f>++Tabla4[[#This Row],[Precio Descontado]]*Tabla4[[#This Row],[Cantidad]]</f>
        <v>4928.2541709999996</v>
      </c>
      <c r="Q4982" s="282" t="e">
        <f>(INDEX(Tabla6[#All],MATCH(Tabla4[[#This Row],[Producto]],Tabla6[[#All],[PRODUCTO]],0),MATCH(Tabla4[[#This Row],[Mes]],Tabla6[#Headers],0)))</f>
        <v>#N/A</v>
      </c>
      <c r="R4982" s="282" t="e">
        <f>++Tabla4[[#This Row],[Precio Unitario Neto]]-Tabla4[[#This Row],[20.85%]]-Tabla4[[#This Row],[Costo]]</f>
        <v>#N/A</v>
      </c>
      <c r="S4982" s="282" t="e">
        <f>++Tabla4[[#This Row],[U. Bruta Uni]]*Tabla4[[#This Row],[Cantidad]]</f>
        <v>#N/A</v>
      </c>
      <c r="T4982" s="369" t="str">
        <f>VLOOKUP(Tabla4[[#This Row],[Producto]],Tabla6[#All],14,FALSE)</f>
        <v>Termico Solar</v>
      </c>
      <c r="U4982" s="284" t="e">
        <f>(IF(Tabla4[[#This Row],[Familia]]="termico solar",Tabla4[[#This Row],[Utilidad Total]]*6%,Tabla4[[#This Row],[Utilidad Total]]*11.5%))/Tabla4[[#This Row],[Total]]</f>
        <v>#N/A</v>
      </c>
      <c r="V4982" s="282" t="e">
        <f>+Tabla4[[#This Row],[Comisión Calculada]]*Tabla4[[#This Row],[Total]]</f>
        <v>#N/A</v>
      </c>
    </row>
    <row r="4983" spans="1:22" hidden="1" x14ac:dyDescent="0.25">
      <c r="A4983" s="100">
        <v>45869</v>
      </c>
      <c r="B4983" t="str">
        <f t="shared" ref="B4983:B5046" si="243">TEXT(A4983, "mmmm")</f>
        <v>July</v>
      </c>
      <c r="C4983" s="46" t="s">
        <v>280</v>
      </c>
      <c r="F4983" s="366" t="s">
        <v>2609</v>
      </c>
      <c r="G4983" s="46" t="s">
        <v>19</v>
      </c>
      <c r="H4983" s="46">
        <v>3</v>
      </c>
      <c r="I4983" s="51">
        <v>6412.03</v>
      </c>
      <c r="J4983" s="281">
        <f>++Tabla4[[#This Row],[Precio Bruto]]*1.16</f>
        <v>7437.9547999999995</v>
      </c>
      <c r="K4983" s="281">
        <f>+Tabla4[[#This Row],[Precio Unitario Neto]]*Tabla4[[#Headers],[20.85%]]</f>
        <v>1550.8135757999999</v>
      </c>
      <c r="L4983" s="282">
        <f>++Tabla4[[#This Row],[Precio Unitario Neto]]-Tabla4[[#This Row],[20.85%]]</f>
        <v>5887.1412241999997</v>
      </c>
      <c r="M4983" s="282" t="e">
        <f>(INDEX(Tabla6[#All],MATCH(Tabla4[[#This Row],[Producto]],Tabla6[[#All],[PRODUCTO]],0),MATCH(Tabla4[[#This Row],[Mes]],Tabla6[#Headers],0)))*(1+Catalogos!$L$2)</f>
        <v>#N/A</v>
      </c>
      <c r="N4983" s="283" t="e">
        <f>+(Tabla4[[#This Row],[Precio Descontado]]-Tabla4[[#This Row],[Precio Base]])*Tabla4[[#This Row],[Cantidad]]</f>
        <v>#N/A</v>
      </c>
      <c r="O4983" s="284" t="e">
        <f>++Tabla4[[#This Row],[Utilidad Total]]/Tabla4[[#This Row],[Total]]</f>
        <v>#N/A</v>
      </c>
      <c r="P4983" s="282">
        <f>++Tabla4[[#This Row],[Precio Descontado]]*Tabla4[[#This Row],[Cantidad]]</f>
        <v>17661.423672599998</v>
      </c>
      <c r="Q4983" s="282" t="e">
        <f>(INDEX(Tabla6[#All],MATCH(Tabla4[[#This Row],[Producto]],Tabla6[[#All],[PRODUCTO]],0),MATCH(Tabla4[[#This Row],[Mes]],Tabla6[#Headers],0)))</f>
        <v>#N/A</v>
      </c>
      <c r="R4983" s="282" t="e">
        <f>++Tabla4[[#This Row],[Precio Unitario Neto]]-Tabla4[[#This Row],[20.85%]]-Tabla4[[#This Row],[Costo]]</f>
        <v>#N/A</v>
      </c>
      <c r="S4983" s="282" t="e">
        <f>++Tabla4[[#This Row],[U. Bruta Uni]]*Tabla4[[#This Row],[Cantidad]]</f>
        <v>#N/A</v>
      </c>
      <c r="T4983" s="369" t="str">
        <f>VLOOKUP(Tabla4[[#This Row],[Producto]],Tabla6[#All],14,FALSE)</f>
        <v>Termico Solar</v>
      </c>
      <c r="U4983" s="284" t="e">
        <f>(IF(Tabla4[[#This Row],[Familia]]="termico solar",Tabla4[[#This Row],[Utilidad Total]]*6%,Tabla4[[#This Row],[Utilidad Total]]*11.5%))/Tabla4[[#This Row],[Total]]</f>
        <v>#N/A</v>
      </c>
      <c r="V4983" s="282" t="e">
        <f>+Tabla4[[#This Row],[Comisión Calculada]]*Tabla4[[#This Row],[Total]]</f>
        <v>#N/A</v>
      </c>
    </row>
    <row r="4984" spans="1:22" hidden="1" x14ac:dyDescent="0.25">
      <c r="A4984" s="100">
        <v>45869</v>
      </c>
      <c r="B4984" t="str">
        <f t="shared" si="243"/>
        <v>July</v>
      </c>
      <c r="C4984" s="46" t="s">
        <v>280</v>
      </c>
      <c r="F4984" s="366" t="s">
        <v>2609</v>
      </c>
      <c r="G4984" s="46" t="s">
        <v>208</v>
      </c>
      <c r="H4984" s="46">
        <v>12</v>
      </c>
      <c r="I4984" s="51">
        <v>189.75</v>
      </c>
      <c r="J4984" s="281">
        <f>++Tabla4[[#This Row],[Precio Bruto]]*1.16</f>
        <v>220.10999999999999</v>
      </c>
      <c r="K4984" s="281">
        <f>+Tabla4[[#This Row],[Precio Unitario Neto]]*Tabla4[[#Headers],[20.85%]]</f>
        <v>45.892934999999994</v>
      </c>
      <c r="L4984" s="282">
        <f>++Tabla4[[#This Row],[Precio Unitario Neto]]-Tabla4[[#This Row],[20.85%]]</f>
        <v>174.21706499999999</v>
      </c>
      <c r="M4984" s="282" t="e">
        <f>(INDEX(Tabla6[#All],MATCH(Tabla4[[#This Row],[Producto]],Tabla6[[#All],[PRODUCTO]],0),MATCH(Tabla4[[#This Row],[Mes]],Tabla6[#Headers],0)))*(1+Catalogos!$L$2)</f>
        <v>#N/A</v>
      </c>
      <c r="N4984" s="283" t="e">
        <f>+(Tabla4[[#This Row],[Precio Descontado]]-Tabla4[[#This Row],[Precio Base]])*Tabla4[[#This Row],[Cantidad]]</f>
        <v>#N/A</v>
      </c>
      <c r="O4984" s="284" t="e">
        <f>++Tabla4[[#This Row],[Utilidad Total]]/Tabla4[[#This Row],[Total]]</f>
        <v>#N/A</v>
      </c>
      <c r="P4984" s="282">
        <f>++Tabla4[[#This Row],[Precio Descontado]]*Tabla4[[#This Row],[Cantidad]]</f>
        <v>2090.6047799999997</v>
      </c>
      <c r="Q4984" s="282" t="e">
        <f>(INDEX(Tabla6[#All],MATCH(Tabla4[[#This Row],[Producto]],Tabla6[[#All],[PRODUCTO]],0),MATCH(Tabla4[[#This Row],[Mes]],Tabla6[#Headers],0)))</f>
        <v>#N/A</v>
      </c>
      <c r="R4984" s="282" t="e">
        <f>++Tabla4[[#This Row],[Precio Unitario Neto]]-Tabla4[[#This Row],[20.85%]]-Tabla4[[#This Row],[Costo]]</f>
        <v>#N/A</v>
      </c>
      <c r="S4984" s="282" t="e">
        <f>++Tabla4[[#This Row],[U. Bruta Uni]]*Tabla4[[#This Row],[Cantidad]]</f>
        <v>#N/A</v>
      </c>
      <c r="T4984" s="369" t="str">
        <f>VLOOKUP(Tabla4[[#This Row],[Producto]],Tabla6[#All],14,FALSE)</f>
        <v>Termico Solar</v>
      </c>
      <c r="U4984" s="284" t="e">
        <f>(IF(Tabla4[[#This Row],[Familia]]="termico solar",Tabla4[[#This Row],[Utilidad Total]]*6%,Tabla4[[#This Row],[Utilidad Total]]*11.5%))/Tabla4[[#This Row],[Total]]</f>
        <v>#N/A</v>
      </c>
      <c r="V4984" s="282" t="e">
        <f>+Tabla4[[#This Row],[Comisión Calculada]]*Tabla4[[#This Row],[Total]]</f>
        <v>#N/A</v>
      </c>
    </row>
    <row r="4985" spans="1:22" hidden="1" x14ac:dyDescent="0.25">
      <c r="A4985" s="100">
        <v>45869</v>
      </c>
      <c r="B4985" t="str">
        <f t="shared" si="243"/>
        <v>July</v>
      </c>
      <c r="C4985" s="46" t="s">
        <v>280</v>
      </c>
      <c r="F4985" s="366" t="s">
        <v>2610</v>
      </c>
      <c r="G4985" s="46" t="s">
        <v>19</v>
      </c>
      <c r="H4985" s="46">
        <v>3</v>
      </c>
      <c r="I4985" s="51">
        <v>6412.03</v>
      </c>
      <c r="J4985" s="281">
        <f>++Tabla4[[#This Row],[Precio Bruto]]*1.16</f>
        <v>7437.9547999999995</v>
      </c>
      <c r="K4985" s="281">
        <f>+Tabla4[[#This Row],[Precio Unitario Neto]]*Tabla4[[#Headers],[20.85%]]</f>
        <v>1550.8135757999999</v>
      </c>
      <c r="L4985" s="282">
        <f>++Tabla4[[#This Row],[Precio Unitario Neto]]-Tabla4[[#This Row],[20.85%]]</f>
        <v>5887.1412241999997</v>
      </c>
      <c r="M4985" s="282" t="e">
        <f>(INDEX(Tabla6[#All],MATCH(Tabla4[[#This Row],[Producto]],Tabla6[[#All],[PRODUCTO]],0),MATCH(Tabla4[[#This Row],[Mes]],Tabla6[#Headers],0)))*(1+Catalogos!$L$2)</f>
        <v>#N/A</v>
      </c>
      <c r="N4985" s="283" t="e">
        <f>+(Tabla4[[#This Row],[Precio Descontado]]-Tabla4[[#This Row],[Precio Base]])*Tabla4[[#This Row],[Cantidad]]</f>
        <v>#N/A</v>
      </c>
      <c r="O4985" s="284" t="e">
        <f>++Tabla4[[#This Row],[Utilidad Total]]/Tabla4[[#This Row],[Total]]</f>
        <v>#N/A</v>
      </c>
      <c r="P4985" s="282">
        <f>++Tabla4[[#This Row],[Precio Descontado]]*Tabla4[[#This Row],[Cantidad]]</f>
        <v>17661.423672599998</v>
      </c>
      <c r="Q4985" s="282" t="e">
        <f>(INDEX(Tabla6[#All],MATCH(Tabla4[[#This Row],[Producto]],Tabla6[[#All],[PRODUCTO]],0),MATCH(Tabla4[[#This Row],[Mes]],Tabla6[#Headers],0)))</f>
        <v>#N/A</v>
      </c>
      <c r="R4985" s="282" t="e">
        <f>++Tabla4[[#This Row],[Precio Unitario Neto]]-Tabla4[[#This Row],[20.85%]]-Tabla4[[#This Row],[Costo]]</f>
        <v>#N/A</v>
      </c>
      <c r="S4985" s="282" t="e">
        <f>++Tabla4[[#This Row],[U. Bruta Uni]]*Tabla4[[#This Row],[Cantidad]]</f>
        <v>#N/A</v>
      </c>
      <c r="T4985" s="369" t="str">
        <f>VLOOKUP(Tabla4[[#This Row],[Producto]],Tabla6[#All],14,FALSE)</f>
        <v>Termico Solar</v>
      </c>
      <c r="U4985" s="284" t="e">
        <f>(IF(Tabla4[[#This Row],[Familia]]="termico solar",Tabla4[[#This Row],[Utilidad Total]]*6%,Tabla4[[#This Row],[Utilidad Total]]*11.5%))/Tabla4[[#This Row],[Total]]</f>
        <v>#N/A</v>
      </c>
      <c r="V4985" s="282" t="e">
        <f>+Tabla4[[#This Row],[Comisión Calculada]]*Tabla4[[#This Row],[Total]]</f>
        <v>#N/A</v>
      </c>
    </row>
    <row r="4986" spans="1:22" hidden="1" x14ac:dyDescent="0.25">
      <c r="A4986" s="100">
        <v>45869</v>
      </c>
      <c r="B4986" t="str">
        <f t="shared" si="243"/>
        <v>July</v>
      </c>
      <c r="C4986" s="46" t="s">
        <v>280</v>
      </c>
      <c r="F4986" s="366" t="s">
        <v>2611</v>
      </c>
      <c r="G4986" s="46" t="s">
        <v>18</v>
      </c>
      <c r="H4986" s="46">
        <v>4</v>
      </c>
      <c r="I4986" s="51">
        <v>5367.65</v>
      </c>
      <c r="J4986" s="281">
        <f>++Tabla4[[#This Row],[Precio Bruto]]*1.16</f>
        <v>6226.4739999999993</v>
      </c>
      <c r="K4986" s="281">
        <f>+Tabla4[[#This Row],[Precio Unitario Neto]]*Tabla4[[#Headers],[20.85%]]</f>
        <v>1298.2198289999999</v>
      </c>
      <c r="L4986" s="282">
        <f>++Tabla4[[#This Row],[Precio Unitario Neto]]-Tabla4[[#This Row],[20.85%]]</f>
        <v>4928.2541709999996</v>
      </c>
      <c r="M4986" s="282" t="e">
        <f>(INDEX(Tabla6[#All],MATCH(Tabla4[[#This Row],[Producto]],Tabla6[[#All],[PRODUCTO]],0),MATCH(Tabla4[[#This Row],[Mes]],Tabla6[#Headers],0)))*(1+Catalogos!$L$2)</f>
        <v>#N/A</v>
      </c>
      <c r="N4986" s="283" t="e">
        <f>+(Tabla4[[#This Row],[Precio Descontado]]-Tabla4[[#This Row],[Precio Base]])*Tabla4[[#This Row],[Cantidad]]</f>
        <v>#N/A</v>
      </c>
      <c r="O4986" s="284" t="e">
        <f>++Tabla4[[#This Row],[Utilidad Total]]/Tabla4[[#This Row],[Total]]</f>
        <v>#N/A</v>
      </c>
      <c r="P4986" s="282">
        <f>++Tabla4[[#This Row],[Precio Descontado]]*Tabla4[[#This Row],[Cantidad]]</f>
        <v>19713.016683999998</v>
      </c>
      <c r="Q4986" s="282" t="e">
        <f>(INDEX(Tabla6[#All],MATCH(Tabla4[[#This Row],[Producto]],Tabla6[[#All],[PRODUCTO]],0),MATCH(Tabla4[[#This Row],[Mes]],Tabla6[#Headers],0)))</f>
        <v>#N/A</v>
      </c>
      <c r="R4986" s="282" t="e">
        <f>++Tabla4[[#This Row],[Precio Unitario Neto]]-Tabla4[[#This Row],[20.85%]]-Tabla4[[#This Row],[Costo]]</f>
        <v>#N/A</v>
      </c>
      <c r="S4986" s="282" t="e">
        <f>++Tabla4[[#This Row],[U. Bruta Uni]]*Tabla4[[#This Row],[Cantidad]]</f>
        <v>#N/A</v>
      </c>
      <c r="T4986" s="369" t="str">
        <f>VLOOKUP(Tabla4[[#This Row],[Producto]],Tabla6[#All],14,FALSE)</f>
        <v>Termico Solar</v>
      </c>
      <c r="U4986" s="284" t="e">
        <f>(IF(Tabla4[[#This Row],[Familia]]="termico solar",Tabla4[[#This Row],[Utilidad Total]]*6%,Tabla4[[#This Row],[Utilidad Total]]*11.5%))/Tabla4[[#This Row],[Total]]</f>
        <v>#N/A</v>
      </c>
      <c r="V4986" s="282" t="e">
        <f>+Tabla4[[#This Row],[Comisión Calculada]]*Tabla4[[#This Row],[Total]]</f>
        <v>#N/A</v>
      </c>
    </row>
    <row r="4987" spans="1:22" hidden="1" x14ac:dyDescent="0.25">
      <c r="A4987" s="100">
        <v>45869</v>
      </c>
      <c r="B4987" t="str">
        <f t="shared" si="243"/>
        <v>July</v>
      </c>
      <c r="C4987" s="46" t="s">
        <v>280</v>
      </c>
      <c r="F4987" s="366" t="s">
        <v>2611</v>
      </c>
      <c r="G4987" s="46" t="s">
        <v>566</v>
      </c>
      <c r="H4987" s="46">
        <v>1</v>
      </c>
      <c r="I4987" s="51">
        <v>2109.4499999999998</v>
      </c>
      <c r="J4987" s="281">
        <f>++Tabla4[[#This Row],[Precio Bruto]]*1.16</f>
        <v>2446.9619999999995</v>
      </c>
      <c r="K4987" s="281">
        <f>+Tabla4[[#This Row],[Precio Unitario Neto]]*Tabla4[[#Headers],[20.85%]]</f>
        <v>510.19157699999988</v>
      </c>
      <c r="L4987" s="282">
        <f>++Tabla4[[#This Row],[Precio Unitario Neto]]-Tabla4[[#This Row],[20.85%]]</f>
        <v>1936.7704229999997</v>
      </c>
      <c r="M4987" s="282" t="e">
        <f>(INDEX(Tabla6[#All],MATCH(Tabla4[[#This Row],[Producto]],Tabla6[[#All],[PRODUCTO]],0),MATCH(Tabla4[[#This Row],[Mes]],Tabla6[#Headers],0)))*(1+Catalogos!$L$2)</f>
        <v>#N/A</v>
      </c>
      <c r="N4987" s="283" t="e">
        <f>+(Tabla4[[#This Row],[Precio Descontado]]-Tabla4[[#This Row],[Precio Base]])*Tabla4[[#This Row],[Cantidad]]</f>
        <v>#N/A</v>
      </c>
      <c r="O4987" s="284" t="e">
        <f>++Tabla4[[#This Row],[Utilidad Total]]/Tabla4[[#This Row],[Total]]</f>
        <v>#N/A</v>
      </c>
      <c r="P4987" s="282">
        <f>++Tabla4[[#This Row],[Precio Descontado]]*Tabla4[[#This Row],[Cantidad]]</f>
        <v>1936.7704229999997</v>
      </c>
      <c r="Q4987" s="282" t="e">
        <f>(INDEX(Tabla6[#All],MATCH(Tabla4[[#This Row],[Producto]],Tabla6[[#All],[PRODUCTO]],0),MATCH(Tabla4[[#This Row],[Mes]],Tabla6[#Headers],0)))</f>
        <v>#N/A</v>
      </c>
      <c r="R4987" s="282" t="e">
        <f>++Tabla4[[#This Row],[Precio Unitario Neto]]-Tabla4[[#This Row],[20.85%]]-Tabla4[[#This Row],[Costo]]</f>
        <v>#N/A</v>
      </c>
      <c r="S4987" s="282" t="e">
        <f>++Tabla4[[#This Row],[U. Bruta Uni]]*Tabla4[[#This Row],[Cantidad]]</f>
        <v>#N/A</v>
      </c>
      <c r="T4987" s="369" t="str">
        <f>VLOOKUP(Tabla4[[#This Row],[Producto]],Tabla6[#All],14,FALSE)</f>
        <v>Termico Solar</v>
      </c>
      <c r="U4987" s="284" t="e">
        <f>(IF(Tabla4[[#This Row],[Familia]]="termico solar",Tabla4[[#This Row],[Utilidad Total]]*6%,Tabla4[[#This Row],[Utilidad Total]]*11.5%))/Tabla4[[#This Row],[Total]]</f>
        <v>#N/A</v>
      </c>
      <c r="V4987" s="282" t="e">
        <f>+Tabla4[[#This Row],[Comisión Calculada]]*Tabla4[[#This Row],[Total]]</f>
        <v>#N/A</v>
      </c>
    </row>
    <row r="4988" spans="1:22" hidden="1" x14ac:dyDescent="0.25">
      <c r="A4988" s="100">
        <v>45869</v>
      </c>
      <c r="B4988" t="str">
        <f t="shared" si="243"/>
        <v>July</v>
      </c>
      <c r="C4988" s="46" t="s">
        <v>280</v>
      </c>
      <c r="F4988" s="366" t="s">
        <v>2612</v>
      </c>
      <c r="G4988" s="46" t="s">
        <v>566</v>
      </c>
      <c r="H4988" s="46">
        <v>1</v>
      </c>
      <c r="I4988" s="51">
        <v>2109.4499999999998</v>
      </c>
      <c r="J4988" s="281">
        <f>++Tabla4[[#This Row],[Precio Bruto]]*1.16</f>
        <v>2446.9619999999995</v>
      </c>
      <c r="K4988" s="281">
        <f>+Tabla4[[#This Row],[Precio Unitario Neto]]*Tabla4[[#Headers],[20.85%]]</f>
        <v>510.19157699999988</v>
      </c>
      <c r="L4988" s="282">
        <f>++Tabla4[[#This Row],[Precio Unitario Neto]]-Tabla4[[#This Row],[20.85%]]</f>
        <v>1936.7704229999997</v>
      </c>
      <c r="M4988" s="282" t="e">
        <f>(INDEX(Tabla6[#All],MATCH(Tabla4[[#This Row],[Producto]],Tabla6[[#All],[PRODUCTO]],0),MATCH(Tabla4[[#This Row],[Mes]],Tabla6[#Headers],0)))*(1+Catalogos!$L$2)</f>
        <v>#N/A</v>
      </c>
      <c r="N4988" s="283" t="e">
        <f>+(Tabla4[[#This Row],[Precio Descontado]]-Tabla4[[#This Row],[Precio Base]])*Tabla4[[#This Row],[Cantidad]]</f>
        <v>#N/A</v>
      </c>
      <c r="O4988" s="284" t="e">
        <f>++Tabla4[[#This Row],[Utilidad Total]]/Tabla4[[#This Row],[Total]]</f>
        <v>#N/A</v>
      </c>
      <c r="P4988" s="282">
        <f>++Tabla4[[#This Row],[Precio Descontado]]*Tabla4[[#This Row],[Cantidad]]</f>
        <v>1936.7704229999997</v>
      </c>
      <c r="Q4988" s="282" t="e">
        <f>(INDEX(Tabla6[#All],MATCH(Tabla4[[#This Row],[Producto]],Tabla6[[#All],[PRODUCTO]],0),MATCH(Tabla4[[#This Row],[Mes]],Tabla6[#Headers],0)))</f>
        <v>#N/A</v>
      </c>
      <c r="R4988" s="282" t="e">
        <f>++Tabla4[[#This Row],[Precio Unitario Neto]]-Tabla4[[#This Row],[20.85%]]-Tabla4[[#This Row],[Costo]]</f>
        <v>#N/A</v>
      </c>
      <c r="S4988" s="282" t="e">
        <f>++Tabla4[[#This Row],[U. Bruta Uni]]*Tabla4[[#This Row],[Cantidad]]</f>
        <v>#N/A</v>
      </c>
      <c r="T4988" s="369" t="str">
        <f>VLOOKUP(Tabla4[[#This Row],[Producto]],Tabla6[#All],14,FALSE)</f>
        <v>Termico Solar</v>
      </c>
      <c r="U4988" s="284" t="e">
        <f>(IF(Tabla4[[#This Row],[Familia]]="termico solar",Tabla4[[#This Row],[Utilidad Total]]*6%,Tabla4[[#This Row],[Utilidad Total]]*11.5%))/Tabla4[[#This Row],[Total]]</f>
        <v>#N/A</v>
      </c>
      <c r="V4988" s="282" t="e">
        <f>+Tabla4[[#This Row],[Comisión Calculada]]*Tabla4[[#This Row],[Total]]</f>
        <v>#N/A</v>
      </c>
    </row>
    <row r="4989" spans="1:22" hidden="1" x14ac:dyDescent="0.25">
      <c r="A4989" s="100">
        <v>45869</v>
      </c>
      <c r="B4989" t="str">
        <f t="shared" si="243"/>
        <v>July</v>
      </c>
      <c r="C4989" s="46" t="s">
        <v>280</v>
      </c>
      <c r="F4989" s="366" t="s">
        <v>2613</v>
      </c>
      <c r="G4989" s="46" t="s">
        <v>83</v>
      </c>
      <c r="H4989" s="46">
        <v>1</v>
      </c>
      <c r="I4989" s="51">
        <v>8858.76</v>
      </c>
      <c r="J4989" s="281">
        <f>++Tabla4[[#This Row],[Precio Bruto]]*1.16</f>
        <v>10276.161599999999</v>
      </c>
      <c r="K4989" s="281">
        <f>+Tabla4[[#This Row],[Precio Unitario Neto]]*Tabla4[[#Headers],[20.85%]]</f>
        <v>2142.5796935999997</v>
      </c>
      <c r="L4989" s="282">
        <f>++Tabla4[[#This Row],[Precio Unitario Neto]]-Tabla4[[#This Row],[20.85%]]</f>
        <v>8133.5819063999998</v>
      </c>
      <c r="M4989" s="282" t="e">
        <f>(INDEX(Tabla6[#All],MATCH(Tabla4[[#This Row],[Producto]],Tabla6[[#All],[PRODUCTO]],0),MATCH(Tabla4[[#This Row],[Mes]],Tabla6[#Headers],0)))*(1+Catalogos!$L$2)</f>
        <v>#N/A</v>
      </c>
      <c r="N4989" s="283" t="e">
        <f>+(Tabla4[[#This Row],[Precio Descontado]]-Tabla4[[#This Row],[Precio Base]])*Tabla4[[#This Row],[Cantidad]]</f>
        <v>#N/A</v>
      </c>
      <c r="O4989" s="284" t="e">
        <f>++Tabla4[[#This Row],[Utilidad Total]]/Tabla4[[#This Row],[Total]]</f>
        <v>#N/A</v>
      </c>
      <c r="P4989" s="282">
        <f>++Tabla4[[#This Row],[Precio Descontado]]*Tabla4[[#This Row],[Cantidad]]</f>
        <v>8133.5819063999998</v>
      </c>
      <c r="Q4989" s="282" t="e">
        <f>(INDEX(Tabla6[#All],MATCH(Tabla4[[#This Row],[Producto]],Tabla6[[#All],[PRODUCTO]],0),MATCH(Tabla4[[#This Row],[Mes]],Tabla6[#Headers],0)))</f>
        <v>#N/A</v>
      </c>
      <c r="R4989" s="282" t="e">
        <f>++Tabla4[[#This Row],[Precio Unitario Neto]]-Tabla4[[#This Row],[20.85%]]-Tabla4[[#This Row],[Costo]]</f>
        <v>#N/A</v>
      </c>
      <c r="S4989" s="282" t="e">
        <f>++Tabla4[[#This Row],[U. Bruta Uni]]*Tabla4[[#This Row],[Cantidad]]</f>
        <v>#N/A</v>
      </c>
      <c r="T4989" s="369" t="str">
        <f>VLOOKUP(Tabla4[[#This Row],[Producto]],Tabla6[#All],14,FALSE)</f>
        <v>Termico Solar</v>
      </c>
      <c r="U4989" s="284" t="e">
        <f>(IF(Tabla4[[#This Row],[Familia]]="termico solar",Tabla4[[#This Row],[Utilidad Total]]*6%,Tabla4[[#This Row],[Utilidad Total]]*11.5%))/Tabla4[[#This Row],[Total]]</f>
        <v>#N/A</v>
      </c>
      <c r="V4989" s="282" t="e">
        <f>+Tabla4[[#This Row],[Comisión Calculada]]*Tabla4[[#This Row],[Total]]</f>
        <v>#N/A</v>
      </c>
    </row>
    <row r="4990" spans="1:22" hidden="1" x14ac:dyDescent="0.25">
      <c r="A4990" s="100">
        <v>45869</v>
      </c>
      <c r="B4990" t="str">
        <f t="shared" si="243"/>
        <v>July</v>
      </c>
      <c r="C4990" s="46" t="s">
        <v>280</v>
      </c>
      <c r="F4990" s="366" t="s">
        <v>2614</v>
      </c>
      <c r="G4990" s="46" t="s">
        <v>17</v>
      </c>
      <c r="H4990" s="46">
        <v>1</v>
      </c>
      <c r="I4990" s="51">
        <v>4622.28</v>
      </c>
      <c r="J4990" s="281">
        <f>++Tabla4[[#This Row],[Precio Bruto]]*1.16</f>
        <v>5361.8447999999989</v>
      </c>
      <c r="K4990" s="281">
        <f>+Tabla4[[#This Row],[Precio Unitario Neto]]*Tabla4[[#Headers],[20.85%]]</f>
        <v>1117.9446407999997</v>
      </c>
      <c r="L4990" s="282">
        <f>++Tabla4[[#This Row],[Precio Unitario Neto]]-Tabla4[[#This Row],[20.85%]]</f>
        <v>4243.9001591999995</v>
      </c>
      <c r="M4990" s="282" t="e">
        <f>(INDEX(Tabla6[#All],MATCH(Tabla4[[#This Row],[Producto]],Tabla6[[#All],[PRODUCTO]],0),MATCH(Tabla4[[#This Row],[Mes]],Tabla6[#Headers],0)))*(1+Catalogos!$L$2)</f>
        <v>#N/A</v>
      </c>
      <c r="N4990" s="283" t="e">
        <f>+(Tabla4[[#This Row],[Precio Descontado]]-Tabla4[[#This Row],[Precio Base]])*Tabla4[[#This Row],[Cantidad]]</f>
        <v>#N/A</v>
      </c>
      <c r="O4990" s="284" t="e">
        <f>++Tabla4[[#This Row],[Utilidad Total]]/Tabla4[[#This Row],[Total]]</f>
        <v>#N/A</v>
      </c>
      <c r="P4990" s="282">
        <f>++Tabla4[[#This Row],[Precio Descontado]]*Tabla4[[#This Row],[Cantidad]]</f>
        <v>4243.9001591999995</v>
      </c>
      <c r="Q4990" s="282" t="e">
        <f>(INDEX(Tabla6[#All],MATCH(Tabla4[[#This Row],[Producto]],Tabla6[[#All],[PRODUCTO]],0),MATCH(Tabla4[[#This Row],[Mes]],Tabla6[#Headers],0)))</f>
        <v>#N/A</v>
      </c>
      <c r="R4990" s="282" t="e">
        <f>++Tabla4[[#This Row],[Precio Unitario Neto]]-Tabla4[[#This Row],[20.85%]]-Tabla4[[#This Row],[Costo]]</f>
        <v>#N/A</v>
      </c>
      <c r="S4990" s="282" t="e">
        <f>++Tabla4[[#This Row],[U. Bruta Uni]]*Tabla4[[#This Row],[Cantidad]]</f>
        <v>#N/A</v>
      </c>
      <c r="T4990" s="369" t="str">
        <f>VLOOKUP(Tabla4[[#This Row],[Producto]],Tabla6[#All],14,FALSE)</f>
        <v>Termico Solar</v>
      </c>
      <c r="U4990" s="284" t="e">
        <f>(IF(Tabla4[[#This Row],[Familia]]="termico solar",Tabla4[[#This Row],[Utilidad Total]]*6%,Tabla4[[#This Row],[Utilidad Total]]*11.5%))/Tabla4[[#This Row],[Total]]</f>
        <v>#N/A</v>
      </c>
      <c r="V4990" s="282" t="e">
        <f>+Tabla4[[#This Row],[Comisión Calculada]]*Tabla4[[#This Row],[Total]]</f>
        <v>#N/A</v>
      </c>
    </row>
    <row r="4991" spans="1:22" hidden="1" x14ac:dyDescent="0.25">
      <c r="A4991" s="100">
        <v>45869</v>
      </c>
      <c r="B4991" t="str">
        <f t="shared" si="243"/>
        <v>July</v>
      </c>
      <c r="C4991" s="46" t="s">
        <v>280</v>
      </c>
      <c r="F4991" s="366" t="s">
        <v>2615</v>
      </c>
      <c r="G4991" s="46" t="s">
        <v>208</v>
      </c>
      <c r="H4991" s="46">
        <v>1</v>
      </c>
      <c r="I4991" s="51">
        <v>189.75</v>
      </c>
      <c r="J4991" s="281">
        <f>++Tabla4[[#This Row],[Precio Bruto]]*1.16</f>
        <v>220.10999999999999</v>
      </c>
      <c r="K4991" s="281">
        <f>+Tabla4[[#This Row],[Precio Unitario Neto]]*Tabla4[[#Headers],[20.85%]]</f>
        <v>45.892934999999994</v>
      </c>
      <c r="L4991" s="282">
        <f>++Tabla4[[#This Row],[Precio Unitario Neto]]-Tabla4[[#This Row],[20.85%]]</f>
        <v>174.21706499999999</v>
      </c>
      <c r="M4991" s="282" t="e">
        <f>(INDEX(Tabla6[#All],MATCH(Tabla4[[#This Row],[Producto]],Tabla6[[#All],[PRODUCTO]],0),MATCH(Tabla4[[#This Row],[Mes]],Tabla6[#Headers],0)))*(1+Catalogos!$L$2)</f>
        <v>#N/A</v>
      </c>
      <c r="N4991" s="283" t="e">
        <f>+(Tabla4[[#This Row],[Precio Descontado]]-Tabla4[[#This Row],[Precio Base]])*Tabla4[[#This Row],[Cantidad]]</f>
        <v>#N/A</v>
      </c>
      <c r="O4991" s="284" t="e">
        <f>++Tabla4[[#This Row],[Utilidad Total]]/Tabla4[[#This Row],[Total]]</f>
        <v>#N/A</v>
      </c>
      <c r="P4991" s="282">
        <f>++Tabla4[[#This Row],[Precio Descontado]]*Tabla4[[#This Row],[Cantidad]]</f>
        <v>174.21706499999999</v>
      </c>
      <c r="Q4991" s="282" t="e">
        <f>(INDEX(Tabla6[#All],MATCH(Tabla4[[#This Row],[Producto]],Tabla6[[#All],[PRODUCTO]],0),MATCH(Tabla4[[#This Row],[Mes]],Tabla6[#Headers],0)))</f>
        <v>#N/A</v>
      </c>
      <c r="R4991" s="282" t="e">
        <f>++Tabla4[[#This Row],[Precio Unitario Neto]]-Tabla4[[#This Row],[20.85%]]-Tabla4[[#This Row],[Costo]]</f>
        <v>#N/A</v>
      </c>
      <c r="S4991" s="282" t="e">
        <f>++Tabla4[[#This Row],[U. Bruta Uni]]*Tabla4[[#This Row],[Cantidad]]</f>
        <v>#N/A</v>
      </c>
      <c r="T4991" s="369" t="str">
        <f>VLOOKUP(Tabla4[[#This Row],[Producto]],Tabla6[#All],14,FALSE)</f>
        <v>Termico Solar</v>
      </c>
      <c r="U4991" s="284" t="e">
        <f>(IF(Tabla4[[#This Row],[Familia]]="termico solar",Tabla4[[#This Row],[Utilidad Total]]*6%,Tabla4[[#This Row],[Utilidad Total]]*11.5%))/Tabla4[[#This Row],[Total]]</f>
        <v>#N/A</v>
      </c>
      <c r="V4991" s="282" t="e">
        <f>+Tabla4[[#This Row],[Comisión Calculada]]*Tabla4[[#This Row],[Total]]</f>
        <v>#N/A</v>
      </c>
    </row>
    <row r="4992" spans="1:22" hidden="1" x14ac:dyDescent="0.25">
      <c r="A4992" s="100">
        <v>45869</v>
      </c>
      <c r="B4992" t="str">
        <f t="shared" si="243"/>
        <v>July</v>
      </c>
      <c r="C4992" s="46" t="s">
        <v>280</v>
      </c>
      <c r="F4992" s="366" t="s">
        <v>2616</v>
      </c>
      <c r="G4992" s="46" t="s">
        <v>17</v>
      </c>
      <c r="H4992" s="46">
        <v>1</v>
      </c>
      <c r="I4992" s="51">
        <v>4622.28</v>
      </c>
      <c r="J4992" s="281">
        <f>++Tabla4[[#This Row],[Precio Bruto]]*1.16</f>
        <v>5361.8447999999989</v>
      </c>
      <c r="K4992" s="281">
        <f>+Tabla4[[#This Row],[Precio Unitario Neto]]*Tabla4[[#Headers],[20.85%]]</f>
        <v>1117.9446407999997</v>
      </c>
      <c r="L4992" s="282">
        <f>++Tabla4[[#This Row],[Precio Unitario Neto]]-Tabla4[[#This Row],[20.85%]]</f>
        <v>4243.9001591999995</v>
      </c>
      <c r="M4992" s="282" t="e">
        <f>(INDEX(Tabla6[#All],MATCH(Tabla4[[#This Row],[Producto]],Tabla6[[#All],[PRODUCTO]],0),MATCH(Tabla4[[#This Row],[Mes]],Tabla6[#Headers],0)))*(1+Catalogos!$L$2)</f>
        <v>#N/A</v>
      </c>
      <c r="N4992" s="283" t="e">
        <f>+(Tabla4[[#This Row],[Precio Descontado]]-Tabla4[[#This Row],[Precio Base]])*Tabla4[[#This Row],[Cantidad]]</f>
        <v>#N/A</v>
      </c>
      <c r="O4992" s="284" t="e">
        <f>++Tabla4[[#This Row],[Utilidad Total]]/Tabla4[[#This Row],[Total]]</f>
        <v>#N/A</v>
      </c>
      <c r="P4992" s="282">
        <f>++Tabla4[[#This Row],[Precio Descontado]]*Tabla4[[#This Row],[Cantidad]]</f>
        <v>4243.9001591999995</v>
      </c>
      <c r="Q4992" s="282" t="e">
        <f>(INDEX(Tabla6[#All],MATCH(Tabla4[[#This Row],[Producto]],Tabla6[[#All],[PRODUCTO]],0),MATCH(Tabla4[[#This Row],[Mes]],Tabla6[#Headers],0)))</f>
        <v>#N/A</v>
      </c>
      <c r="R4992" s="282" t="e">
        <f>++Tabla4[[#This Row],[Precio Unitario Neto]]-Tabla4[[#This Row],[20.85%]]-Tabla4[[#This Row],[Costo]]</f>
        <v>#N/A</v>
      </c>
      <c r="S4992" s="282" t="e">
        <f>++Tabla4[[#This Row],[U. Bruta Uni]]*Tabla4[[#This Row],[Cantidad]]</f>
        <v>#N/A</v>
      </c>
      <c r="T4992" s="369" t="str">
        <f>VLOOKUP(Tabla4[[#This Row],[Producto]],Tabla6[#All],14,FALSE)</f>
        <v>Termico Solar</v>
      </c>
      <c r="U4992" s="284" t="e">
        <f>(IF(Tabla4[[#This Row],[Familia]]="termico solar",Tabla4[[#This Row],[Utilidad Total]]*6%,Tabla4[[#This Row],[Utilidad Total]]*11.5%))/Tabla4[[#This Row],[Total]]</f>
        <v>#N/A</v>
      </c>
      <c r="V4992" s="282" t="e">
        <f>+Tabla4[[#This Row],[Comisión Calculada]]*Tabla4[[#This Row],[Total]]</f>
        <v>#N/A</v>
      </c>
    </row>
    <row r="4993" spans="1:22" hidden="1" x14ac:dyDescent="0.25">
      <c r="A4993" s="100">
        <v>45869</v>
      </c>
      <c r="B4993" t="str">
        <f t="shared" si="243"/>
        <v>July</v>
      </c>
      <c r="C4993" s="46" t="s">
        <v>280</v>
      </c>
      <c r="F4993" s="366" t="s">
        <v>2616</v>
      </c>
      <c r="G4993" s="46" t="s">
        <v>566</v>
      </c>
      <c r="H4993" s="46">
        <v>1</v>
      </c>
      <c r="I4993" s="51">
        <v>2109.4499999999998</v>
      </c>
      <c r="J4993" s="281">
        <f>++Tabla4[[#This Row],[Precio Bruto]]*1.16</f>
        <v>2446.9619999999995</v>
      </c>
      <c r="K4993" s="281">
        <f>+Tabla4[[#This Row],[Precio Unitario Neto]]*Tabla4[[#Headers],[20.85%]]</f>
        <v>510.19157699999988</v>
      </c>
      <c r="L4993" s="282">
        <f>++Tabla4[[#This Row],[Precio Unitario Neto]]-Tabla4[[#This Row],[20.85%]]</f>
        <v>1936.7704229999997</v>
      </c>
      <c r="M4993" s="282" t="e">
        <f>(INDEX(Tabla6[#All],MATCH(Tabla4[[#This Row],[Producto]],Tabla6[[#All],[PRODUCTO]],0),MATCH(Tabla4[[#This Row],[Mes]],Tabla6[#Headers],0)))*(1+Catalogos!$L$2)</f>
        <v>#N/A</v>
      </c>
      <c r="N4993" s="283" t="e">
        <f>+(Tabla4[[#This Row],[Precio Descontado]]-Tabla4[[#This Row],[Precio Base]])*Tabla4[[#This Row],[Cantidad]]</f>
        <v>#N/A</v>
      </c>
      <c r="O4993" s="284" t="e">
        <f>++Tabla4[[#This Row],[Utilidad Total]]/Tabla4[[#This Row],[Total]]</f>
        <v>#N/A</v>
      </c>
      <c r="P4993" s="282">
        <f>++Tabla4[[#This Row],[Precio Descontado]]*Tabla4[[#This Row],[Cantidad]]</f>
        <v>1936.7704229999997</v>
      </c>
      <c r="Q4993" s="282" t="e">
        <f>(INDEX(Tabla6[#All],MATCH(Tabla4[[#This Row],[Producto]],Tabla6[[#All],[PRODUCTO]],0),MATCH(Tabla4[[#This Row],[Mes]],Tabla6[#Headers],0)))</f>
        <v>#N/A</v>
      </c>
      <c r="R4993" s="282" t="e">
        <f>++Tabla4[[#This Row],[Precio Unitario Neto]]-Tabla4[[#This Row],[20.85%]]-Tabla4[[#This Row],[Costo]]</f>
        <v>#N/A</v>
      </c>
      <c r="S4993" s="282" t="e">
        <f>++Tabla4[[#This Row],[U. Bruta Uni]]*Tabla4[[#This Row],[Cantidad]]</f>
        <v>#N/A</v>
      </c>
      <c r="T4993" s="369" t="str">
        <f>VLOOKUP(Tabla4[[#This Row],[Producto]],Tabla6[#All],14,FALSE)</f>
        <v>Termico Solar</v>
      </c>
      <c r="U4993" s="284" t="e">
        <f>(IF(Tabla4[[#This Row],[Familia]]="termico solar",Tabla4[[#This Row],[Utilidad Total]]*6%,Tabla4[[#This Row],[Utilidad Total]]*11.5%))/Tabla4[[#This Row],[Total]]</f>
        <v>#N/A</v>
      </c>
      <c r="V4993" s="282" t="e">
        <f>+Tabla4[[#This Row],[Comisión Calculada]]*Tabla4[[#This Row],[Total]]</f>
        <v>#N/A</v>
      </c>
    </row>
    <row r="4994" spans="1:22" hidden="1" x14ac:dyDescent="0.25">
      <c r="A4994" s="100">
        <v>45869</v>
      </c>
      <c r="B4994" t="str">
        <f t="shared" si="243"/>
        <v>July</v>
      </c>
      <c r="C4994" s="46" t="s">
        <v>280</v>
      </c>
      <c r="F4994" s="366" t="s">
        <v>2616</v>
      </c>
      <c r="G4994" s="46" t="s">
        <v>208</v>
      </c>
      <c r="H4994" s="46">
        <v>1</v>
      </c>
      <c r="I4994" s="51">
        <v>189.75</v>
      </c>
      <c r="J4994" s="281">
        <f>++Tabla4[[#This Row],[Precio Bruto]]*1.16</f>
        <v>220.10999999999999</v>
      </c>
      <c r="K4994" s="281">
        <f>+Tabla4[[#This Row],[Precio Unitario Neto]]*Tabla4[[#Headers],[20.85%]]</f>
        <v>45.892934999999994</v>
      </c>
      <c r="L4994" s="282">
        <f>++Tabla4[[#This Row],[Precio Unitario Neto]]-Tabla4[[#This Row],[20.85%]]</f>
        <v>174.21706499999999</v>
      </c>
      <c r="M4994" s="282" t="e">
        <f>(INDEX(Tabla6[#All],MATCH(Tabla4[[#This Row],[Producto]],Tabla6[[#All],[PRODUCTO]],0),MATCH(Tabla4[[#This Row],[Mes]],Tabla6[#Headers],0)))*(1+Catalogos!$L$2)</f>
        <v>#N/A</v>
      </c>
      <c r="N4994" s="283" t="e">
        <f>+(Tabla4[[#This Row],[Precio Descontado]]-Tabla4[[#This Row],[Precio Base]])*Tabla4[[#This Row],[Cantidad]]</f>
        <v>#N/A</v>
      </c>
      <c r="O4994" s="284" t="e">
        <f>++Tabla4[[#This Row],[Utilidad Total]]/Tabla4[[#This Row],[Total]]</f>
        <v>#N/A</v>
      </c>
      <c r="P4994" s="282">
        <f>++Tabla4[[#This Row],[Precio Descontado]]*Tabla4[[#This Row],[Cantidad]]</f>
        <v>174.21706499999999</v>
      </c>
      <c r="Q4994" s="282" t="e">
        <f>(INDEX(Tabla6[#All],MATCH(Tabla4[[#This Row],[Producto]],Tabla6[[#All],[PRODUCTO]],0),MATCH(Tabla4[[#This Row],[Mes]],Tabla6[#Headers],0)))</f>
        <v>#N/A</v>
      </c>
      <c r="R4994" s="282" t="e">
        <f>++Tabla4[[#This Row],[Precio Unitario Neto]]-Tabla4[[#This Row],[20.85%]]-Tabla4[[#This Row],[Costo]]</f>
        <v>#N/A</v>
      </c>
      <c r="S4994" s="282" t="e">
        <f>++Tabla4[[#This Row],[U. Bruta Uni]]*Tabla4[[#This Row],[Cantidad]]</f>
        <v>#N/A</v>
      </c>
      <c r="T4994" s="369" t="str">
        <f>VLOOKUP(Tabla4[[#This Row],[Producto]],Tabla6[#All],14,FALSE)</f>
        <v>Termico Solar</v>
      </c>
      <c r="U4994" s="284" t="e">
        <f>(IF(Tabla4[[#This Row],[Familia]]="termico solar",Tabla4[[#This Row],[Utilidad Total]]*6%,Tabla4[[#This Row],[Utilidad Total]]*11.5%))/Tabla4[[#This Row],[Total]]</f>
        <v>#N/A</v>
      </c>
      <c r="V4994" s="282" t="e">
        <f>+Tabla4[[#This Row],[Comisión Calculada]]*Tabla4[[#This Row],[Total]]</f>
        <v>#N/A</v>
      </c>
    </row>
    <row r="4995" spans="1:22" hidden="1" x14ac:dyDescent="0.25">
      <c r="A4995" s="100">
        <v>45869</v>
      </c>
      <c r="B4995" t="str">
        <f t="shared" si="243"/>
        <v>July</v>
      </c>
      <c r="C4995" s="46" t="s">
        <v>280</v>
      </c>
      <c r="F4995" s="366" t="s">
        <v>2617</v>
      </c>
      <c r="G4995" s="46" t="s">
        <v>16</v>
      </c>
      <c r="H4995" s="46">
        <v>1</v>
      </c>
      <c r="I4995" s="51">
        <v>4103.8500000000004</v>
      </c>
      <c r="J4995" s="281">
        <f>++Tabla4[[#This Row],[Precio Bruto]]*1.16</f>
        <v>4760.4660000000003</v>
      </c>
      <c r="K4995" s="281">
        <f>+Tabla4[[#This Row],[Precio Unitario Neto]]*Tabla4[[#Headers],[20.85%]]</f>
        <v>992.55716100000006</v>
      </c>
      <c r="L4995" s="282">
        <f>++Tabla4[[#This Row],[Precio Unitario Neto]]-Tabla4[[#This Row],[20.85%]]</f>
        <v>3767.9088390000002</v>
      </c>
      <c r="M4995" s="282" t="e">
        <f>(INDEX(Tabla6[#All],MATCH(Tabla4[[#This Row],[Producto]],Tabla6[[#All],[PRODUCTO]],0),MATCH(Tabla4[[#This Row],[Mes]],Tabla6[#Headers],0)))*(1+Catalogos!$L$2)</f>
        <v>#N/A</v>
      </c>
      <c r="N4995" s="283" t="e">
        <f>+(Tabla4[[#This Row],[Precio Descontado]]-Tabla4[[#This Row],[Precio Base]])*Tabla4[[#This Row],[Cantidad]]</f>
        <v>#N/A</v>
      </c>
      <c r="O4995" s="284" t="e">
        <f>++Tabla4[[#This Row],[Utilidad Total]]/Tabla4[[#This Row],[Total]]</f>
        <v>#N/A</v>
      </c>
      <c r="P4995" s="282">
        <f>++Tabla4[[#This Row],[Precio Descontado]]*Tabla4[[#This Row],[Cantidad]]</f>
        <v>3767.9088390000002</v>
      </c>
      <c r="Q4995" s="282" t="e">
        <f>(INDEX(Tabla6[#All],MATCH(Tabla4[[#This Row],[Producto]],Tabla6[[#All],[PRODUCTO]],0),MATCH(Tabla4[[#This Row],[Mes]],Tabla6[#Headers],0)))</f>
        <v>#N/A</v>
      </c>
      <c r="R4995" s="282" t="e">
        <f>++Tabla4[[#This Row],[Precio Unitario Neto]]-Tabla4[[#This Row],[20.85%]]-Tabla4[[#This Row],[Costo]]</f>
        <v>#N/A</v>
      </c>
      <c r="S4995" s="282" t="e">
        <f>++Tabla4[[#This Row],[U. Bruta Uni]]*Tabla4[[#This Row],[Cantidad]]</f>
        <v>#N/A</v>
      </c>
      <c r="T4995" s="369" t="str">
        <f>VLOOKUP(Tabla4[[#This Row],[Producto]],Tabla6[#All],14,FALSE)</f>
        <v>Termico Solar</v>
      </c>
      <c r="U4995" s="284" t="e">
        <f>(IF(Tabla4[[#This Row],[Familia]]="termico solar",Tabla4[[#This Row],[Utilidad Total]]*6%,Tabla4[[#This Row],[Utilidad Total]]*11.5%))/Tabla4[[#This Row],[Total]]</f>
        <v>#N/A</v>
      </c>
      <c r="V4995" s="282" t="e">
        <f>+Tabla4[[#This Row],[Comisión Calculada]]*Tabla4[[#This Row],[Total]]</f>
        <v>#N/A</v>
      </c>
    </row>
    <row r="4996" spans="1:22" hidden="1" x14ac:dyDescent="0.25">
      <c r="A4996" s="100">
        <v>45869</v>
      </c>
      <c r="B4996" t="str">
        <f t="shared" si="243"/>
        <v>July</v>
      </c>
      <c r="C4996" s="46" t="s">
        <v>280</v>
      </c>
      <c r="F4996" s="366" t="s">
        <v>2618</v>
      </c>
      <c r="G4996" s="46" t="s">
        <v>566</v>
      </c>
      <c r="H4996" s="46">
        <v>1</v>
      </c>
      <c r="I4996" s="51">
        <v>2109.4499999999998</v>
      </c>
      <c r="J4996" s="281">
        <f>++Tabla4[[#This Row],[Precio Bruto]]*1.16</f>
        <v>2446.9619999999995</v>
      </c>
      <c r="K4996" s="281">
        <f>+Tabla4[[#This Row],[Precio Unitario Neto]]*Tabla4[[#Headers],[20.85%]]</f>
        <v>510.19157699999988</v>
      </c>
      <c r="L4996" s="282">
        <f>++Tabla4[[#This Row],[Precio Unitario Neto]]-Tabla4[[#This Row],[20.85%]]</f>
        <v>1936.7704229999997</v>
      </c>
      <c r="M4996" s="282" t="e">
        <f>(INDEX(Tabla6[#All],MATCH(Tabla4[[#This Row],[Producto]],Tabla6[[#All],[PRODUCTO]],0),MATCH(Tabla4[[#This Row],[Mes]],Tabla6[#Headers],0)))*(1+Catalogos!$L$2)</f>
        <v>#N/A</v>
      </c>
      <c r="N4996" s="283" t="e">
        <f>+(Tabla4[[#This Row],[Precio Descontado]]-Tabla4[[#This Row],[Precio Base]])*Tabla4[[#This Row],[Cantidad]]</f>
        <v>#N/A</v>
      </c>
      <c r="O4996" s="284" t="e">
        <f>++Tabla4[[#This Row],[Utilidad Total]]/Tabla4[[#This Row],[Total]]</f>
        <v>#N/A</v>
      </c>
      <c r="P4996" s="282">
        <f>++Tabla4[[#This Row],[Precio Descontado]]*Tabla4[[#This Row],[Cantidad]]</f>
        <v>1936.7704229999997</v>
      </c>
      <c r="Q4996" s="282" t="e">
        <f>(INDEX(Tabla6[#All],MATCH(Tabla4[[#This Row],[Producto]],Tabla6[[#All],[PRODUCTO]],0),MATCH(Tabla4[[#This Row],[Mes]],Tabla6[#Headers],0)))</f>
        <v>#N/A</v>
      </c>
      <c r="R4996" s="282" t="e">
        <f>++Tabla4[[#This Row],[Precio Unitario Neto]]-Tabla4[[#This Row],[20.85%]]-Tabla4[[#This Row],[Costo]]</f>
        <v>#N/A</v>
      </c>
      <c r="S4996" s="282" t="e">
        <f>++Tabla4[[#This Row],[U. Bruta Uni]]*Tabla4[[#This Row],[Cantidad]]</f>
        <v>#N/A</v>
      </c>
      <c r="T4996" s="369" t="str">
        <f>VLOOKUP(Tabla4[[#This Row],[Producto]],Tabla6[#All],14,FALSE)</f>
        <v>Termico Solar</v>
      </c>
      <c r="U4996" s="284" t="e">
        <f>(IF(Tabla4[[#This Row],[Familia]]="termico solar",Tabla4[[#This Row],[Utilidad Total]]*6%,Tabla4[[#This Row],[Utilidad Total]]*11.5%))/Tabla4[[#This Row],[Total]]</f>
        <v>#N/A</v>
      </c>
      <c r="V4996" s="282" t="e">
        <f>+Tabla4[[#This Row],[Comisión Calculada]]*Tabla4[[#This Row],[Total]]</f>
        <v>#N/A</v>
      </c>
    </row>
    <row r="4997" spans="1:22" hidden="1" x14ac:dyDescent="0.25">
      <c r="A4997" s="100">
        <v>45869</v>
      </c>
      <c r="B4997" t="str">
        <f t="shared" si="243"/>
        <v>July</v>
      </c>
      <c r="C4997" s="46" t="s">
        <v>280</v>
      </c>
      <c r="F4997" s="366" t="s">
        <v>2618</v>
      </c>
      <c r="G4997" s="46" t="s">
        <v>16</v>
      </c>
      <c r="H4997" s="46">
        <v>2</v>
      </c>
      <c r="I4997" s="51">
        <v>4103.8500000000004</v>
      </c>
      <c r="J4997" s="281">
        <f>++Tabla4[[#This Row],[Precio Bruto]]*1.16</f>
        <v>4760.4660000000003</v>
      </c>
      <c r="K4997" s="281">
        <f>+Tabla4[[#This Row],[Precio Unitario Neto]]*Tabla4[[#Headers],[20.85%]]</f>
        <v>992.55716100000006</v>
      </c>
      <c r="L4997" s="282">
        <f>++Tabla4[[#This Row],[Precio Unitario Neto]]-Tabla4[[#This Row],[20.85%]]</f>
        <v>3767.9088390000002</v>
      </c>
      <c r="M4997" s="282" t="e">
        <f>(INDEX(Tabla6[#All],MATCH(Tabla4[[#This Row],[Producto]],Tabla6[[#All],[PRODUCTO]],0),MATCH(Tabla4[[#This Row],[Mes]],Tabla6[#Headers],0)))*(1+Catalogos!$L$2)</f>
        <v>#N/A</v>
      </c>
      <c r="N4997" s="283" t="e">
        <f>+(Tabla4[[#This Row],[Precio Descontado]]-Tabla4[[#This Row],[Precio Base]])*Tabla4[[#This Row],[Cantidad]]</f>
        <v>#N/A</v>
      </c>
      <c r="O4997" s="284" t="e">
        <f>++Tabla4[[#This Row],[Utilidad Total]]/Tabla4[[#This Row],[Total]]</f>
        <v>#N/A</v>
      </c>
      <c r="P4997" s="282">
        <f>++Tabla4[[#This Row],[Precio Descontado]]*Tabla4[[#This Row],[Cantidad]]</f>
        <v>7535.8176780000003</v>
      </c>
      <c r="Q4997" s="282" t="e">
        <f>(INDEX(Tabla6[#All],MATCH(Tabla4[[#This Row],[Producto]],Tabla6[[#All],[PRODUCTO]],0),MATCH(Tabla4[[#This Row],[Mes]],Tabla6[#Headers],0)))</f>
        <v>#N/A</v>
      </c>
      <c r="R4997" s="282" t="e">
        <f>++Tabla4[[#This Row],[Precio Unitario Neto]]-Tabla4[[#This Row],[20.85%]]-Tabla4[[#This Row],[Costo]]</f>
        <v>#N/A</v>
      </c>
      <c r="S4997" s="282" t="e">
        <f>++Tabla4[[#This Row],[U. Bruta Uni]]*Tabla4[[#This Row],[Cantidad]]</f>
        <v>#N/A</v>
      </c>
      <c r="T4997" s="369" t="str">
        <f>VLOOKUP(Tabla4[[#This Row],[Producto]],Tabla6[#All],14,FALSE)</f>
        <v>Termico Solar</v>
      </c>
      <c r="U4997" s="284" t="e">
        <f>(IF(Tabla4[[#This Row],[Familia]]="termico solar",Tabla4[[#This Row],[Utilidad Total]]*6%,Tabla4[[#This Row],[Utilidad Total]]*11.5%))/Tabla4[[#This Row],[Total]]</f>
        <v>#N/A</v>
      </c>
      <c r="V4997" s="282" t="e">
        <f>+Tabla4[[#This Row],[Comisión Calculada]]*Tabla4[[#This Row],[Total]]</f>
        <v>#N/A</v>
      </c>
    </row>
    <row r="4998" spans="1:22" hidden="1" x14ac:dyDescent="0.25">
      <c r="A4998" s="100">
        <v>45869</v>
      </c>
      <c r="B4998" t="str">
        <f t="shared" si="243"/>
        <v>July</v>
      </c>
      <c r="C4998" s="46" t="s">
        <v>280</v>
      </c>
      <c r="F4998" s="366" t="s">
        <v>2618</v>
      </c>
      <c r="G4998" s="46" t="s">
        <v>208</v>
      </c>
      <c r="H4998" s="46">
        <v>2</v>
      </c>
      <c r="I4998" s="51">
        <v>189.75</v>
      </c>
      <c r="J4998" s="281">
        <f>++Tabla4[[#This Row],[Precio Bruto]]*1.16</f>
        <v>220.10999999999999</v>
      </c>
      <c r="K4998" s="281">
        <f>+Tabla4[[#This Row],[Precio Unitario Neto]]*Tabla4[[#Headers],[20.85%]]</f>
        <v>45.892934999999994</v>
      </c>
      <c r="L4998" s="282">
        <f>++Tabla4[[#This Row],[Precio Unitario Neto]]-Tabla4[[#This Row],[20.85%]]</f>
        <v>174.21706499999999</v>
      </c>
      <c r="M4998" s="282" t="e">
        <f>(INDEX(Tabla6[#All],MATCH(Tabla4[[#This Row],[Producto]],Tabla6[[#All],[PRODUCTO]],0),MATCH(Tabla4[[#This Row],[Mes]],Tabla6[#Headers],0)))*(1+Catalogos!$L$2)</f>
        <v>#N/A</v>
      </c>
      <c r="N4998" s="283" t="e">
        <f>+(Tabla4[[#This Row],[Precio Descontado]]-Tabla4[[#This Row],[Precio Base]])*Tabla4[[#This Row],[Cantidad]]</f>
        <v>#N/A</v>
      </c>
      <c r="O4998" s="284" t="e">
        <f>++Tabla4[[#This Row],[Utilidad Total]]/Tabla4[[#This Row],[Total]]</f>
        <v>#N/A</v>
      </c>
      <c r="P4998" s="282">
        <f>++Tabla4[[#This Row],[Precio Descontado]]*Tabla4[[#This Row],[Cantidad]]</f>
        <v>348.43412999999998</v>
      </c>
      <c r="Q4998" s="282" t="e">
        <f>(INDEX(Tabla6[#All],MATCH(Tabla4[[#This Row],[Producto]],Tabla6[[#All],[PRODUCTO]],0),MATCH(Tabla4[[#This Row],[Mes]],Tabla6[#Headers],0)))</f>
        <v>#N/A</v>
      </c>
      <c r="R4998" s="282" t="e">
        <f>++Tabla4[[#This Row],[Precio Unitario Neto]]-Tabla4[[#This Row],[20.85%]]-Tabla4[[#This Row],[Costo]]</f>
        <v>#N/A</v>
      </c>
      <c r="S4998" s="282" t="e">
        <f>++Tabla4[[#This Row],[U. Bruta Uni]]*Tabla4[[#This Row],[Cantidad]]</f>
        <v>#N/A</v>
      </c>
      <c r="T4998" s="369" t="str">
        <f>VLOOKUP(Tabla4[[#This Row],[Producto]],Tabla6[#All],14,FALSE)</f>
        <v>Termico Solar</v>
      </c>
      <c r="U4998" s="284" t="e">
        <f>(IF(Tabla4[[#This Row],[Familia]]="termico solar",Tabla4[[#This Row],[Utilidad Total]]*6%,Tabla4[[#This Row],[Utilidad Total]]*11.5%))/Tabla4[[#This Row],[Total]]</f>
        <v>#N/A</v>
      </c>
      <c r="V4998" s="282" t="e">
        <f>+Tabla4[[#This Row],[Comisión Calculada]]*Tabla4[[#This Row],[Total]]</f>
        <v>#N/A</v>
      </c>
    </row>
    <row r="4999" spans="1:22" hidden="1" x14ac:dyDescent="0.25">
      <c r="A4999" s="100">
        <v>45869</v>
      </c>
      <c r="B4999" t="str">
        <f t="shared" si="243"/>
        <v>July</v>
      </c>
      <c r="C4999" s="46" t="s">
        <v>280</v>
      </c>
      <c r="F4999" s="366" t="s">
        <v>2619</v>
      </c>
      <c r="G4999" s="46" t="s">
        <v>83</v>
      </c>
      <c r="H4999" s="46">
        <v>1</v>
      </c>
      <c r="I4999" s="51">
        <v>8858.76</v>
      </c>
      <c r="J4999" s="281">
        <f>++Tabla4[[#This Row],[Precio Bruto]]*1.16</f>
        <v>10276.161599999999</v>
      </c>
      <c r="K4999" s="281">
        <f>+Tabla4[[#This Row],[Precio Unitario Neto]]*Tabla4[[#Headers],[20.85%]]</f>
        <v>2142.5796935999997</v>
      </c>
      <c r="L4999" s="282">
        <f>++Tabla4[[#This Row],[Precio Unitario Neto]]-Tabla4[[#This Row],[20.85%]]</f>
        <v>8133.5819063999998</v>
      </c>
      <c r="M4999" s="282" t="e">
        <f>(INDEX(Tabla6[#All],MATCH(Tabla4[[#This Row],[Producto]],Tabla6[[#All],[PRODUCTO]],0),MATCH(Tabla4[[#This Row],[Mes]],Tabla6[#Headers],0)))*(1+Catalogos!$L$2)</f>
        <v>#N/A</v>
      </c>
      <c r="N4999" s="283" t="e">
        <f>+(Tabla4[[#This Row],[Precio Descontado]]-Tabla4[[#This Row],[Precio Base]])*Tabla4[[#This Row],[Cantidad]]</f>
        <v>#N/A</v>
      </c>
      <c r="O4999" s="284" t="e">
        <f>++Tabla4[[#This Row],[Utilidad Total]]/Tabla4[[#This Row],[Total]]</f>
        <v>#N/A</v>
      </c>
      <c r="P4999" s="282">
        <f>++Tabla4[[#This Row],[Precio Descontado]]*Tabla4[[#This Row],[Cantidad]]</f>
        <v>8133.5819063999998</v>
      </c>
      <c r="Q4999" s="282" t="e">
        <f>(INDEX(Tabla6[#All],MATCH(Tabla4[[#This Row],[Producto]],Tabla6[[#All],[PRODUCTO]],0),MATCH(Tabla4[[#This Row],[Mes]],Tabla6[#Headers],0)))</f>
        <v>#N/A</v>
      </c>
      <c r="R4999" s="282" t="e">
        <f>++Tabla4[[#This Row],[Precio Unitario Neto]]-Tabla4[[#This Row],[20.85%]]-Tabla4[[#This Row],[Costo]]</f>
        <v>#N/A</v>
      </c>
      <c r="S4999" s="282" t="e">
        <f>++Tabla4[[#This Row],[U. Bruta Uni]]*Tabla4[[#This Row],[Cantidad]]</f>
        <v>#N/A</v>
      </c>
      <c r="T4999" s="369" t="str">
        <f>VLOOKUP(Tabla4[[#This Row],[Producto]],Tabla6[#All],14,FALSE)</f>
        <v>Termico Solar</v>
      </c>
      <c r="U4999" s="284" t="e">
        <f>(IF(Tabla4[[#This Row],[Familia]]="termico solar",Tabla4[[#This Row],[Utilidad Total]]*6%,Tabla4[[#This Row],[Utilidad Total]]*11.5%))/Tabla4[[#This Row],[Total]]</f>
        <v>#N/A</v>
      </c>
      <c r="V4999" s="282" t="e">
        <f>+Tabla4[[#This Row],[Comisión Calculada]]*Tabla4[[#This Row],[Total]]</f>
        <v>#N/A</v>
      </c>
    </row>
    <row r="5000" spans="1:22" hidden="1" x14ac:dyDescent="0.25">
      <c r="A5000" s="100">
        <v>45869</v>
      </c>
      <c r="B5000" t="str">
        <f t="shared" si="243"/>
        <v>July</v>
      </c>
      <c r="C5000" s="46" t="s">
        <v>280</v>
      </c>
      <c r="F5000" s="366" t="s">
        <v>2620</v>
      </c>
      <c r="G5000" s="46" t="s">
        <v>17</v>
      </c>
      <c r="H5000" s="46">
        <v>1</v>
      </c>
      <c r="I5000" s="51">
        <v>4622.28</v>
      </c>
      <c r="J5000" s="281">
        <f>++Tabla4[[#This Row],[Precio Bruto]]*1.16</f>
        <v>5361.8447999999989</v>
      </c>
      <c r="K5000" s="281">
        <f>+Tabla4[[#This Row],[Precio Unitario Neto]]*Tabla4[[#Headers],[20.85%]]</f>
        <v>1117.9446407999997</v>
      </c>
      <c r="L5000" s="282">
        <f>++Tabla4[[#This Row],[Precio Unitario Neto]]-Tabla4[[#This Row],[20.85%]]</f>
        <v>4243.9001591999995</v>
      </c>
      <c r="M5000" s="282" t="e">
        <f>(INDEX(Tabla6[#All],MATCH(Tabla4[[#This Row],[Producto]],Tabla6[[#All],[PRODUCTO]],0),MATCH(Tabla4[[#This Row],[Mes]],Tabla6[#Headers],0)))*(1+Catalogos!$L$2)</f>
        <v>#N/A</v>
      </c>
      <c r="N5000" s="283" t="e">
        <f>+(Tabla4[[#This Row],[Precio Descontado]]-Tabla4[[#This Row],[Precio Base]])*Tabla4[[#This Row],[Cantidad]]</f>
        <v>#N/A</v>
      </c>
      <c r="O5000" s="284" t="e">
        <f>++Tabla4[[#This Row],[Utilidad Total]]/Tabla4[[#This Row],[Total]]</f>
        <v>#N/A</v>
      </c>
      <c r="P5000" s="282">
        <f>++Tabla4[[#This Row],[Precio Descontado]]*Tabla4[[#This Row],[Cantidad]]</f>
        <v>4243.9001591999995</v>
      </c>
      <c r="Q5000" s="282" t="e">
        <f>(INDEX(Tabla6[#All],MATCH(Tabla4[[#This Row],[Producto]],Tabla6[[#All],[PRODUCTO]],0),MATCH(Tabla4[[#This Row],[Mes]],Tabla6[#Headers],0)))</f>
        <v>#N/A</v>
      </c>
      <c r="R5000" s="282" t="e">
        <f>++Tabla4[[#This Row],[Precio Unitario Neto]]-Tabla4[[#This Row],[20.85%]]-Tabla4[[#This Row],[Costo]]</f>
        <v>#N/A</v>
      </c>
      <c r="S5000" s="282" t="e">
        <f>++Tabla4[[#This Row],[U. Bruta Uni]]*Tabla4[[#This Row],[Cantidad]]</f>
        <v>#N/A</v>
      </c>
      <c r="T5000" s="369" t="str">
        <f>VLOOKUP(Tabla4[[#This Row],[Producto]],Tabla6[#All],14,FALSE)</f>
        <v>Termico Solar</v>
      </c>
      <c r="U5000" s="284" t="e">
        <f>(IF(Tabla4[[#This Row],[Familia]]="termico solar",Tabla4[[#This Row],[Utilidad Total]]*6%,Tabla4[[#This Row],[Utilidad Total]]*11.5%))/Tabla4[[#This Row],[Total]]</f>
        <v>#N/A</v>
      </c>
      <c r="V5000" s="282" t="e">
        <f>+Tabla4[[#This Row],[Comisión Calculada]]*Tabla4[[#This Row],[Total]]</f>
        <v>#N/A</v>
      </c>
    </row>
    <row r="5001" spans="1:22" hidden="1" x14ac:dyDescent="0.25">
      <c r="A5001" s="100">
        <v>45869</v>
      </c>
      <c r="B5001" t="str">
        <f t="shared" si="243"/>
        <v>July</v>
      </c>
      <c r="C5001" s="46" t="s">
        <v>280</v>
      </c>
      <c r="F5001" s="366" t="s">
        <v>2621</v>
      </c>
      <c r="G5001" s="46" t="s">
        <v>16</v>
      </c>
      <c r="H5001" s="46">
        <v>1</v>
      </c>
      <c r="I5001" s="51">
        <v>4103.8500000000004</v>
      </c>
      <c r="J5001" s="281">
        <f>++Tabla4[[#This Row],[Precio Bruto]]*1.16</f>
        <v>4760.4660000000003</v>
      </c>
      <c r="K5001" s="281">
        <f>+Tabla4[[#This Row],[Precio Unitario Neto]]*Tabla4[[#Headers],[20.85%]]</f>
        <v>992.55716100000006</v>
      </c>
      <c r="L5001" s="282">
        <f>++Tabla4[[#This Row],[Precio Unitario Neto]]-Tabla4[[#This Row],[20.85%]]</f>
        <v>3767.9088390000002</v>
      </c>
      <c r="M5001" s="282" t="e">
        <f>(INDEX(Tabla6[#All],MATCH(Tabla4[[#This Row],[Producto]],Tabla6[[#All],[PRODUCTO]],0),MATCH(Tabla4[[#This Row],[Mes]],Tabla6[#Headers],0)))*(1+Catalogos!$L$2)</f>
        <v>#N/A</v>
      </c>
      <c r="N5001" s="283" t="e">
        <f>+(Tabla4[[#This Row],[Precio Descontado]]-Tabla4[[#This Row],[Precio Base]])*Tabla4[[#This Row],[Cantidad]]</f>
        <v>#N/A</v>
      </c>
      <c r="O5001" s="284" t="e">
        <f>++Tabla4[[#This Row],[Utilidad Total]]/Tabla4[[#This Row],[Total]]</f>
        <v>#N/A</v>
      </c>
      <c r="P5001" s="282">
        <f>++Tabla4[[#This Row],[Precio Descontado]]*Tabla4[[#This Row],[Cantidad]]</f>
        <v>3767.9088390000002</v>
      </c>
      <c r="Q5001" s="282" t="e">
        <f>(INDEX(Tabla6[#All],MATCH(Tabla4[[#This Row],[Producto]],Tabla6[[#All],[PRODUCTO]],0),MATCH(Tabla4[[#This Row],[Mes]],Tabla6[#Headers],0)))</f>
        <v>#N/A</v>
      </c>
      <c r="R5001" s="282" t="e">
        <f>++Tabla4[[#This Row],[Precio Unitario Neto]]-Tabla4[[#This Row],[20.85%]]-Tabla4[[#This Row],[Costo]]</f>
        <v>#N/A</v>
      </c>
      <c r="S5001" s="282" t="e">
        <f>++Tabla4[[#This Row],[U. Bruta Uni]]*Tabla4[[#This Row],[Cantidad]]</f>
        <v>#N/A</v>
      </c>
      <c r="T5001" s="369" t="str">
        <f>VLOOKUP(Tabla4[[#This Row],[Producto]],Tabla6[#All],14,FALSE)</f>
        <v>Termico Solar</v>
      </c>
      <c r="U5001" s="284" t="e">
        <f>(IF(Tabla4[[#This Row],[Familia]]="termico solar",Tabla4[[#This Row],[Utilidad Total]]*6%,Tabla4[[#This Row],[Utilidad Total]]*11.5%))/Tabla4[[#This Row],[Total]]</f>
        <v>#N/A</v>
      </c>
      <c r="V5001" s="282" t="e">
        <f>+Tabla4[[#This Row],[Comisión Calculada]]*Tabla4[[#This Row],[Total]]</f>
        <v>#N/A</v>
      </c>
    </row>
    <row r="5002" spans="1:22" hidden="1" x14ac:dyDescent="0.25">
      <c r="A5002" s="100">
        <v>45869</v>
      </c>
      <c r="B5002" t="str">
        <f t="shared" si="243"/>
        <v>July</v>
      </c>
      <c r="C5002" s="46" t="s">
        <v>280</v>
      </c>
      <c r="F5002" s="366" t="s">
        <v>2622</v>
      </c>
      <c r="G5002" s="46" t="s">
        <v>19</v>
      </c>
      <c r="H5002" s="46">
        <v>1</v>
      </c>
      <c r="I5002" s="51">
        <v>6412.03</v>
      </c>
      <c r="J5002" s="281">
        <f>++Tabla4[[#This Row],[Precio Bruto]]*1.16</f>
        <v>7437.9547999999995</v>
      </c>
      <c r="K5002" s="281">
        <f>+Tabla4[[#This Row],[Precio Unitario Neto]]*Tabla4[[#Headers],[20.85%]]</f>
        <v>1550.8135757999999</v>
      </c>
      <c r="L5002" s="282">
        <f>++Tabla4[[#This Row],[Precio Unitario Neto]]-Tabla4[[#This Row],[20.85%]]</f>
        <v>5887.1412241999997</v>
      </c>
      <c r="M5002" s="282" t="e">
        <f>(INDEX(Tabla6[#All],MATCH(Tabla4[[#This Row],[Producto]],Tabla6[[#All],[PRODUCTO]],0),MATCH(Tabla4[[#This Row],[Mes]],Tabla6[#Headers],0)))*(1+Catalogos!$L$2)</f>
        <v>#N/A</v>
      </c>
      <c r="N5002" s="283" t="e">
        <f>+(Tabla4[[#This Row],[Precio Descontado]]-Tabla4[[#This Row],[Precio Base]])*Tabla4[[#This Row],[Cantidad]]</f>
        <v>#N/A</v>
      </c>
      <c r="O5002" s="284" t="e">
        <f>++Tabla4[[#This Row],[Utilidad Total]]/Tabla4[[#This Row],[Total]]</f>
        <v>#N/A</v>
      </c>
      <c r="P5002" s="282">
        <f>++Tabla4[[#This Row],[Precio Descontado]]*Tabla4[[#This Row],[Cantidad]]</f>
        <v>5887.1412241999997</v>
      </c>
      <c r="Q5002" s="282" t="e">
        <f>(INDEX(Tabla6[#All],MATCH(Tabla4[[#This Row],[Producto]],Tabla6[[#All],[PRODUCTO]],0),MATCH(Tabla4[[#This Row],[Mes]],Tabla6[#Headers],0)))</f>
        <v>#N/A</v>
      </c>
      <c r="R5002" s="282" t="e">
        <f>++Tabla4[[#This Row],[Precio Unitario Neto]]-Tabla4[[#This Row],[20.85%]]-Tabla4[[#This Row],[Costo]]</f>
        <v>#N/A</v>
      </c>
      <c r="S5002" s="282" t="e">
        <f>++Tabla4[[#This Row],[U. Bruta Uni]]*Tabla4[[#This Row],[Cantidad]]</f>
        <v>#N/A</v>
      </c>
      <c r="T5002" s="369" t="str">
        <f>VLOOKUP(Tabla4[[#This Row],[Producto]],Tabla6[#All],14,FALSE)</f>
        <v>Termico Solar</v>
      </c>
      <c r="U5002" s="284" t="e">
        <f>(IF(Tabla4[[#This Row],[Familia]]="termico solar",Tabla4[[#This Row],[Utilidad Total]]*6%,Tabla4[[#This Row],[Utilidad Total]]*11.5%))/Tabla4[[#This Row],[Total]]</f>
        <v>#N/A</v>
      </c>
      <c r="V5002" s="282" t="e">
        <f>+Tabla4[[#This Row],[Comisión Calculada]]*Tabla4[[#This Row],[Total]]</f>
        <v>#N/A</v>
      </c>
    </row>
    <row r="5003" spans="1:22" hidden="1" x14ac:dyDescent="0.25">
      <c r="A5003" s="100">
        <v>45869</v>
      </c>
      <c r="B5003" t="str">
        <f t="shared" si="243"/>
        <v>July</v>
      </c>
      <c r="C5003" s="46" t="s">
        <v>280</v>
      </c>
      <c r="F5003" s="366" t="s">
        <v>2622</v>
      </c>
      <c r="G5003" s="46" t="s">
        <v>208</v>
      </c>
      <c r="H5003" s="46">
        <v>2</v>
      </c>
      <c r="I5003" s="51">
        <v>189.75</v>
      </c>
      <c r="J5003" s="281">
        <f>++Tabla4[[#This Row],[Precio Bruto]]*1.16</f>
        <v>220.10999999999999</v>
      </c>
      <c r="K5003" s="281">
        <f>+Tabla4[[#This Row],[Precio Unitario Neto]]*Tabla4[[#Headers],[20.85%]]</f>
        <v>45.892934999999994</v>
      </c>
      <c r="L5003" s="282">
        <f>++Tabla4[[#This Row],[Precio Unitario Neto]]-Tabla4[[#This Row],[20.85%]]</f>
        <v>174.21706499999999</v>
      </c>
      <c r="M5003" s="282" t="e">
        <f>(INDEX(Tabla6[#All],MATCH(Tabla4[[#This Row],[Producto]],Tabla6[[#All],[PRODUCTO]],0),MATCH(Tabla4[[#This Row],[Mes]],Tabla6[#Headers],0)))*(1+Catalogos!$L$2)</f>
        <v>#N/A</v>
      </c>
      <c r="N5003" s="283" t="e">
        <f>+(Tabla4[[#This Row],[Precio Descontado]]-Tabla4[[#This Row],[Precio Base]])*Tabla4[[#This Row],[Cantidad]]</f>
        <v>#N/A</v>
      </c>
      <c r="O5003" s="284" t="e">
        <f>++Tabla4[[#This Row],[Utilidad Total]]/Tabla4[[#This Row],[Total]]</f>
        <v>#N/A</v>
      </c>
      <c r="P5003" s="282">
        <f>++Tabla4[[#This Row],[Precio Descontado]]*Tabla4[[#This Row],[Cantidad]]</f>
        <v>348.43412999999998</v>
      </c>
      <c r="Q5003" s="282" t="e">
        <f>(INDEX(Tabla6[#All],MATCH(Tabla4[[#This Row],[Producto]],Tabla6[[#All],[PRODUCTO]],0),MATCH(Tabla4[[#This Row],[Mes]],Tabla6[#Headers],0)))</f>
        <v>#N/A</v>
      </c>
      <c r="R5003" s="282" t="e">
        <f>++Tabla4[[#This Row],[Precio Unitario Neto]]-Tabla4[[#This Row],[20.85%]]-Tabla4[[#This Row],[Costo]]</f>
        <v>#N/A</v>
      </c>
      <c r="S5003" s="282" t="e">
        <f>++Tabla4[[#This Row],[U. Bruta Uni]]*Tabla4[[#This Row],[Cantidad]]</f>
        <v>#N/A</v>
      </c>
      <c r="T5003" s="369" t="str">
        <f>VLOOKUP(Tabla4[[#This Row],[Producto]],Tabla6[#All],14,FALSE)</f>
        <v>Termico Solar</v>
      </c>
      <c r="U5003" s="284" t="e">
        <f>(IF(Tabla4[[#This Row],[Familia]]="termico solar",Tabla4[[#This Row],[Utilidad Total]]*6%,Tabla4[[#This Row],[Utilidad Total]]*11.5%))/Tabla4[[#This Row],[Total]]</f>
        <v>#N/A</v>
      </c>
      <c r="V5003" s="282" t="e">
        <f>+Tabla4[[#This Row],[Comisión Calculada]]*Tabla4[[#This Row],[Total]]</f>
        <v>#N/A</v>
      </c>
    </row>
    <row r="5004" spans="1:22" hidden="1" x14ac:dyDescent="0.25">
      <c r="A5004" s="100">
        <v>45869</v>
      </c>
      <c r="B5004" t="str">
        <f t="shared" si="243"/>
        <v>July</v>
      </c>
      <c r="C5004" s="46" t="s">
        <v>280</v>
      </c>
      <c r="F5004" s="366" t="s">
        <v>2623</v>
      </c>
      <c r="G5004" s="46" t="s">
        <v>394</v>
      </c>
      <c r="H5004" s="46">
        <v>9</v>
      </c>
      <c r="I5004" s="51">
        <v>108.1</v>
      </c>
      <c r="J5004" s="281">
        <f>++Tabla4[[#This Row],[Precio Bruto]]*1.16</f>
        <v>125.39599999999999</v>
      </c>
      <c r="K5004" s="281">
        <f>+Tabla4[[#This Row],[Precio Unitario Neto]]*Tabla4[[#Headers],[20.85%]]</f>
        <v>26.145065999999996</v>
      </c>
      <c r="L5004" s="282">
        <f>++Tabla4[[#This Row],[Precio Unitario Neto]]-Tabla4[[#This Row],[20.85%]]</f>
        <v>99.250933999999987</v>
      </c>
      <c r="M5004" s="282" t="e">
        <f>(INDEX(Tabla6[#All],MATCH(Tabla4[[#This Row],[Producto]],Tabla6[[#All],[PRODUCTO]],0),MATCH(Tabla4[[#This Row],[Mes]],Tabla6[#Headers],0)))*(1+Catalogos!$L$2)</f>
        <v>#N/A</v>
      </c>
      <c r="N5004" s="283" t="e">
        <f>+(Tabla4[[#This Row],[Precio Descontado]]-Tabla4[[#This Row],[Precio Base]])*Tabla4[[#This Row],[Cantidad]]</f>
        <v>#N/A</v>
      </c>
      <c r="O5004" s="284" t="e">
        <f>++Tabla4[[#This Row],[Utilidad Total]]/Tabla4[[#This Row],[Total]]</f>
        <v>#N/A</v>
      </c>
      <c r="P5004" s="282">
        <f>++Tabla4[[#This Row],[Precio Descontado]]*Tabla4[[#This Row],[Cantidad]]</f>
        <v>893.25840599999992</v>
      </c>
      <c r="Q5004" s="282" t="e">
        <f>(INDEX(Tabla6[#All],MATCH(Tabla4[[#This Row],[Producto]],Tabla6[[#All],[PRODUCTO]],0),MATCH(Tabla4[[#This Row],[Mes]],Tabla6[#Headers],0)))</f>
        <v>#N/A</v>
      </c>
      <c r="R5004" s="282" t="e">
        <f>++Tabla4[[#This Row],[Precio Unitario Neto]]-Tabla4[[#This Row],[20.85%]]-Tabla4[[#This Row],[Costo]]</f>
        <v>#N/A</v>
      </c>
      <c r="S5004" s="282" t="e">
        <f>++Tabla4[[#This Row],[U. Bruta Uni]]*Tabla4[[#This Row],[Cantidad]]</f>
        <v>#N/A</v>
      </c>
      <c r="T5004" s="369" t="str">
        <f>VLOOKUP(Tabla4[[#This Row],[Producto]],Tabla6[#All],14,FALSE)</f>
        <v>Termico Solar</v>
      </c>
      <c r="U5004" s="284" t="e">
        <f>(IF(Tabla4[[#This Row],[Familia]]="termico solar",Tabla4[[#This Row],[Utilidad Total]]*6%,Tabla4[[#This Row],[Utilidad Total]]*11.5%))/Tabla4[[#This Row],[Total]]</f>
        <v>#N/A</v>
      </c>
      <c r="V5004" s="282" t="e">
        <f>+Tabla4[[#This Row],[Comisión Calculada]]*Tabla4[[#This Row],[Total]]</f>
        <v>#N/A</v>
      </c>
    </row>
    <row r="5005" spans="1:22" hidden="1" x14ac:dyDescent="0.25">
      <c r="A5005" s="100">
        <v>45869</v>
      </c>
      <c r="B5005" t="str">
        <f t="shared" si="243"/>
        <v>July</v>
      </c>
      <c r="C5005" s="46" t="s">
        <v>280</v>
      </c>
      <c r="F5005" s="366" t="s">
        <v>2623</v>
      </c>
      <c r="G5005" s="46" t="s">
        <v>208</v>
      </c>
      <c r="H5005" s="46">
        <v>6</v>
      </c>
      <c r="I5005" s="51">
        <v>189.75</v>
      </c>
      <c r="J5005" s="281">
        <f>++Tabla4[[#This Row],[Precio Bruto]]*1.16</f>
        <v>220.10999999999999</v>
      </c>
      <c r="K5005" s="281">
        <f>+Tabla4[[#This Row],[Precio Unitario Neto]]*Tabla4[[#Headers],[20.85%]]</f>
        <v>45.892934999999994</v>
      </c>
      <c r="L5005" s="282">
        <f>++Tabla4[[#This Row],[Precio Unitario Neto]]-Tabla4[[#This Row],[20.85%]]</f>
        <v>174.21706499999999</v>
      </c>
      <c r="M5005" s="282" t="e">
        <f>(INDEX(Tabla6[#All],MATCH(Tabla4[[#This Row],[Producto]],Tabla6[[#All],[PRODUCTO]],0),MATCH(Tabla4[[#This Row],[Mes]],Tabla6[#Headers],0)))*(1+Catalogos!$L$2)</f>
        <v>#N/A</v>
      </c>
      <c r="N5005" s="283" t="e">
        <f>+(Tabla4[[#This Row],[Precio Descontado]]-Tabla4[[#This Row],[Precio Base]])*Tabla4[[#This Row],[Cantidad]]</f>
        <v>#N/A</v>
      </c>
      <c r="O5005" s="284" t="e">
        <f>++Tabla4[[#This Row],[Utilidad Total]]/Tabla4[[#This Row],[Total]]</f>
        <v>#N/A</v>
      </c>
      <c r="P5005" s="282">
        <f>++Tabla4[[#This Row],[Precio Descontado]]*Tabla4[[#This Row],[Cantidad]]</f>
        <v>1045.3023899999998</v>
      </c>
      <c r="Q5005" s="282" t="e">
        <f>(INDEX(Tabla6[#All],MATCH(Tabla4[[#This Row],[Producto]],Tabla6[[#All],[PRODUCTO]],0),MATCH(Tabla4[[#This Row],[Mes]],Tabla6[#Headers],0)))</f>
        <v>#N/A</v>
      </c>
      <c r="R5005" s="282" t="e">
        <f>++Tabla4[[#This Row],[Precio Unitario Neto]]-Tabla4[[#This Row],[20.85%]]-Tabla4[[#This Row],[Costo]]</f>
        <v>#N/A</v>
      </c>
      <c r="S5005" s="282" t="e">
        <f>++Tabla4[[#This Row],[U. Bruta Uni]]*Tabla4[[#This Row],[Cantidad]]</f>
        <v>#N/A</v>
      </c>
      <c r="T5005" s="369" t="str">
        <f>VLOOKUP(Tabla4[[#This Row],[Producto]],Tabla6[#All],14,FALSE)</f>
        <v>Termico Solar</v>
      </c>
      <c r="U5005" s="284" t="e">
        <f>(IF(Tabla4[[#This Row],[Familia]]="termico solar",Tabla4[[#This Row],[Utilidad Total]]*6%,Tabla4[[#This Row],[Utilidad Total]]*11.5%))/Tabla4[[#This Row],[Total]]</f>
        <v>#N/A</v>
      </c>
      <c r="V5005" s="282" t="e">
        <f>+Tabla4[[#This Row],[Comisión Calculada]]*Tabla4[[#This Row],[Total]]</f>
        <v>#N/A</v>
      </c>
    </row>
    <row r="5006" spans="1:22" hidden="1" x14ac:dyDescent="0.25">
      <c r="A5006" s="100">
        <v>45869</v>
      </c>
      <c r="B5006" t="str">
        <f t="shared" si="243"/>
        <v>July</v>
      </c>
      <c r="C5006" s="46" t="s">
        <v>280</v>
      </c>
      <c r="F5006" s="366" t="s">
        <v>2624</v>
      </c>
      <c r="G5006" s="46" t="s">
        <v>16</v>
      </c>
      <c r="H5006" s="46">
        <v>1</v>
      </c>
      <c r="I5006" s="51">
        <v>4103.8500000000004</v>
      </c>
      <c r="J5006" s="281">
        <f>++Tabla4[[#This Row],[Precio Bruto]]*1.16</f>
        <v>4760.4660000000003</v>
      </c>
      <c r="K5006" s="281">
        <f>+Tabla4[[#This Row],[Precio Unitario Neto]]*Tabla4[[#Headers],[20.85%]]</f>
        <v>992.55716100000006</v>
      </c>
      <c r="L5006" s="282">
        <f>++Tabla4[[#This Row],[Precio Unitario Neto]]-Tabla4[[#This Row],[20.85%]]</f>
        <v>3767.9088390000002</v>
      </c>
      <c r="M5006" s="282" t="e">
        <f>(INDEX(Tabla6[#All],MATCH(Tabla4[[#This Row],[Producto]],Tabla6[[#All],[PRODUCTO]],0),MATCH(Tabla4[[#This Row],[Mes]],Tabla6[#Headers],0)))*(1+Catalogos!$L$2)</f>
        <v>#N/A</v>
      </c>
      <c r="N5006" s="283" t="e">
        <f>+(Tabla4[[#This Row],[Precio Descontado]]-Tabla4[[#This Row],[Precio Base]])*Tabla4[[#This Row],[Cantidad]]</f>
        <v>#N/A</v>
      </c>
      <c r="O5006" s="284" t="e">
        <f>++Tabla4[[#This Row],[Utilidad Total]]/Tabla4[[#This Row],[Total]]</f>
        <v>#N/A</v>
      </c>
      <c r="P5006" s="282">
        <f>++Tabla4[[#This Row],[Precio Descontado]]*Tabla4[[#This Row],[Cantidad]]</f>
        <v>3767.9088390000002</v>
      </c>
      <c r="Q5006" s="282" t="e">
        <f>(INDEX(Tabla6[#All],MATCH(Tabla4[[#This Row],[Producto]],Tabla6[[#All],[PRODUCTO]],0),MATCH(Tabla4[[#This Row],[Mes]],Tabla6[#Headers],0)))</f>
        <v>#N/A</v>
      </c>
      <c r="R5006" s="282" t="e">
        <f>++Tabla4[[#This Row],[Precio Unitario Neto]]-Tabla4[[#This Row],[20.85%]]-Tabla4[[#This Row],[Costo]]</f>
        <v>#N/A</v>
      </c>
      <c r="S5006" s="282" t="e">
        <f>++Tabla4[[#This Row],[U. Bruta Uni]]*Tabla4[[#This Row],[Cantidad]]</f>
        <v>#N/A</v>
      </c>
      <c r="T5006" s="369" t="str">
        <f>VLOOKUP(Tabla4[[#This Row],[Producto]],Tabla6[#All],14,FALSE)</f>
        <v>Termico Solar</v>
      </c>
      <c r="U5006" s="284" t="e">
        <f>(IF(Tabla4[[#This Row],[Familia]]="termico solar",Tabla4[[#This Row],[Utilidad Total]]*6%,Tabla4[[#This Row],[Utilidad Total]]*11.5%))/Tabla4[[#This Row],[Total]]</f>
        <v>#N/A</v>
      </c>
      <c r="V5006" s="282" t="e">
        <f>+Tabla4[[#This Row],[Comisión Calculada]]*Tabla4[[#This Row],[Total]]</f>
        <v>#N/A</v>
      </c>
    </row>
    <row r="5007" spans="1:22" hidden="1" x14ac:dyDescent="0.25">
      <c r="A5007" s="100">
        <v>45869</v>
      </c>
      <c r="B5007" t="str">
        <f t="shared" si="243"/>
        <v>July</v>
      </c>
      <c r="C5007" s="46" t="s">
        <v>280</v>
      </c>
      <c r="F5007" s="366" t="s">
        <v>2625</v>
      </c>
      <c r="G5007" s="46" t="s">
        <v>566</v>
      </c>
      <c r="H5007" s="46">
        <v>2</v>
      </c>
      <c r="I5007" s="51">
        <v>2109.4499999999998</v>
      </c>
      <c r="J5007" s="281">
        <f>++Tabla4[[#This Row],[Precio Bruto]]*1.16</f>
        <v>2446.9619999999995</v>
      </c>
      <c r="K5007" s="281">
        <f>+Tabla4[[#This Row],[Precio Unitario Neto]]*Tabla4[[#Headers],[20.85%]]</f>
        <v>510.19157699999988</v>
      </c>
      <c r="L5007" s="282">
        <f>++Tabla4[[#This Row],[Precio Unitario Neto]]-Tabla4[[#This Row],[20.85%]]</f>
        <v>1936.7704229999997</v>
      </c>
      <c r="M5007" s="282" t="e">
        <f>(INDEX(Tabla6[#All],MATCH(Tabla4[[#This Row],[Producto]],Tabla6[[#All],[PRODUCTO]],0),MATCH(Tabla4[[#This Row],[Mes]],Tabla6[#Headers],0)))*(1+Catalogos!$L$2)</f>
        <v>#N/A</v>
      </c>
      <c r="N5007" s="283" t="e">
        <f>+(Tabla4[[#This Row],[Precio Descontado]]-Tabla4[[#This Row],[Precio Base]])*Tabla4[[#This Row],[Cantidad]]</f>
        <v>#N/A</v>
      </c>
      <c r="O5007" s="284" t="e">
        <f>++Tabla4[[#This Row],[Utilidad Total]]/Tabla4[[#This Row],[Total]]</f>
        <v>#N/A</v>
      </c>
      <c r="P5007" s="282">
        <f>++Tabla4[[#This Row],[Precio Descontado]]*Tabla4[[#This Row],[Cantidad]]</f>
        <v>3873.5408459999994</v>
      </c>
      <c r="Q5007" s="282" t="e">
        <f>(INDEX(Tabla6[#All],MATCH(Tabla4[[#This Row],[Producto]],Tabla6[[#All],[PRODUCTO]],0),MATCH(Tabla4[[#This Row],[Mes]],Tabla6[#Headers],0)))</f>
        <v>#N/A</v>
      </c>
      <c r="R5007" s="282" t="e">
        <f>++Tabla4[[#This Row],[Precio Unitario Neto]]-Tabla4[[#This Row],[20.85%]]-Tabla4[[#This Row],[Costo]]</f>
        <v>#N/A</v>
      </c>
      <c r="S5007" s="282" t="e">
        <f>++Tabla4[[#This Row],[U. Bruta Uni]]*Tabla4[[#This Row],[Cantidad]]</f>
        <v>#N/A</v>
      </c>
      <c r="T5007" s="369" t="str">
        <f>VLOOKUP(Tabla4[[#This Row],[Producto]],Tabla6[#All],14,FALSE)</f>
        <v>Termico Solar</v>
      </c>
      <c r="U5007" s="284" t="e">
        <f>(IF(Tabla4[[#This Row],[Familia]]="termico solar",Tabla4[[#This Row],[Utilidad Total]]*6%,Tabla4[[#This Row],[Utilidad Total]]*11.5%))/Tabla4[[#This Row],[Total]]</f>
        <v>#N/A</v>
      </c>
      <c r="V5007" s="282" t="e">
        <f>+Tabla4[[#This Row],[Comisión Calculada]]*Tabla4[[#This Row],[Total]]</f>
        <v>#N/A</v>
      </c>
    </row>
    <row r="5008" spans="1:22" hidden="1" x14ac:dyDescent="0.25">
      <c r="A5008" s="100">
        <v>45869</v>
      </c>
      <c r="B5008" t="str">
        <f t="shared" si="243"/>
        <v>July</v>
      </c>
      <c r="C5008" s="46" t="s">
        <v>280</v>
      </c>
      <c r="F5008" s="366" t="s">
        <v>2625</v>
      </c>
      <c r="G5008" s="46" t="s">
        <v>38</v>
      </c>
      <c r="H5008" s="46">
        <v>1</v>
      </c>
      <c r="I5008" s="51">
        <v>1064.81</v>
      </c>
      <c r="J5008" s="281">
        <f>++Tabla4[[#This Row],[Precio Bruto]]*1.16</f>
        <v>1235.1795999999999</v>
      </c>
      <c r="K5008" s="281">
        <f>+Tabla4[[#This Row],[Precio Unitario Neto]]*Tabla4[[#Headers],[20.85%]]</f>
        <v>257.53494659999996</v>
      </c>
      <c r="L5008" s="282">
        <f>++Tabla4[[#This Row],[Precio Unitario Neto]]-Tabla4[[#This Row],[20.85%]]</f>
        <v>977.64465339999992</v>
      </c>
      <c r="M5008" s="282" t="e">
        <f>(INDEX(Tabla6[#All],MATCH(Tabla4[[#This Row],[Producto]],Tabla6[[#All],[PRODUCTO]],0),MATCH(Tabla4[[#This Row],[Mes]],Tabla6[#Headers],0)))*(1+Catalogos!$L$2)</f>
        <v>#N/A</v>
      </c>
      <c r="N5008" s="283" t="e">
        <f>+(Tabla4[[#This Row],[Precio Descontado]]-Tabla4[[#This Row],[Precio Base]])*Tabla4[[#This Row],[Cantidad]]</f>
        <v>#N/A</v>
      </c>
      <c r="O5008" s="284" t="e">
        <f>++Tabla4[[#This Row],[Utilidad Total]]/Tabla4[[#This Row],[Total]]</f>
        <v>#N/A</v>
      </c>
      <c r="P5008" s="282">
        <f>++Tabla4[[#This Row],[Precio Descontado]]*Tabla4[[#This Row],[Cantidad]]</f>
        <v>977.64465339999992</v>
      </c>
      <c r="Q5008" s="282" t="e">
        <f>(INDEX(Tabla6[#All],MATCH(Tabla4[[#This Row],[Producto]],Tabla6[[#All],[PRODUCTO]],0),MATCH(Tabla4[[#This Row],[Mes]],Tabla6[#Headers],0)))</f>
        <v>#N/A</v>
      </c>
      <c r="R5008" s="282" t="e">
        <f>++Tabla4[[#This Row],[Precio Unitario Neto]]-Tabla4[[#This Row],[20.85%]]-Tabla4[[#This Row],[Costo]]</f>
        <v>#N/A</v>
      </c>
      <c r="S5008" s="282" t="e">
        <f>++Tabla4[[#This Row],[U. Bruta Uni]]*Tabla4[[#This Row],[Cantidad]]</f>
        <v>#N/A</v>
      </c>
      <c r="T5008" s="369" t="str">
        <f>VLOOKUP(Tabla4[[#This Row],[Producto]],Tabla6[#All],14,FALSE)</f>
        <v>Termico Solar</v>
      </c>
      <c r="U5008" s="284" t="e">
        <f>(IF(Tabla4[[#This Row],[Familia]]="termico solar",Tabla4[[#This Row],[Utilidad Total]]*6%,Tabla4[[#This Row],[Utilidad Total]]*11.5%))/Tabla4[[#This Row],[Total]]</f>
        <v>#N/A</v>
      </c>
      <c r="V5008" s="282" t="e">
        <f>+Tabla4[[#This Row],[Comisión Calculada]]*Tabla4[[#This Row],[Total]]</f>
        <v>#N/A</v>
      </c>
    </row>
    <row r="5009" spans="1:22" hidden="1" x14ac:dyDescent="0.25">
      <c r="A5009" s="100">
        <v>45869</v>
      </c>
      <c r="B5009" t="str">
        <f t="shared" si="243"/>
        <v>July</v>
      </c>
      <c r="C5009" s="46" t="s">
        <v>280</v>
      </c>
      <c r="F5009" s="366" t="s">
        <v>2625</v>
      </c>
      <c r="G5009" s="46" t="s">
        <v>39</v>
      </c>
      <c r="H5009" s="46">
        <v>1</v>
      </c>
      <c r="I5009" s="51">
        <v>1107.33</v>
      </c>
      <c r="J5009" s="281">
        <f>++Tabla4[[#This Row],[Precio Bruto]]*1.16</f>
        <v>1284.5027999999998</v>
      </c>
      <c r="K5009" s="281">
        <f>+Tabla4[[#This Row],[Precio Unitario Neto]]*Tabla4[[#Headers],[20.85%]]</f>
        <v>267.81883379999994</v>
      </c>
      <c r="L5009" s="282">
        <f>++Tabla4[[#This Row],[Precio Unitario Neto]]-Tabla4[[#This Row],[20.85%]]</f>
        <v>1016.6839661999998</v>
      </c>
      <c r="M5009" s="282" t="e">
        <f>(INDEX(Tabla6[#All],MATCH(Tabla4[[#This Row],[Producto]],Tabla6[[#All],[PRODUCTO]],0),MATCH(Tabla4[[#This Row],[Mes]],Tabla6[#Headers],0)))*(1+Catalogos!$L$2)</f>
        <v>#N/A</v>
      </c>
      <c r="N5009" s="283" t="e">
        <f>+(Tabla4[[#This Row],[Precio Descontado]]-Tabla4[[#This Row],[Precio Base]])*Tabla4[[#This Row],[Cantidad]]</f>
        <v>#N/A</v>
      </c>
      <c r="O5009" s="284" t="e">
        <f>++Tabla4[[#This Row],[Utilidad Total]]/Tabla4[[#This Row],[Total]]</f>
        <v>#N/A</v>
      </c>
      <c r="P5009" s="282">
        <f>++Tabla4[[#This Row],[Precio Descontado]]*Tabla4[[#This Row],[Cantidad]]</f>
        <v>1016.6839661999998</v>
      </c>
      <c r="Q5009" s="282" t="e">
        <f>(INDEX(Tabla6[#All],MATCH(Tabla4[[#This Row],[Producto]],Tabla6[[#All],[PRODUCTO]],0),MATCH(Tabla4[[#This Row],[Mes]],Tabla6[#Headers],0)))</f>
        <v>#N/A</v>
      </c>
      <c r="R5009" s="282" t="e">
        <f>++Tabla4[[#This Row],[Precio Unitario Neto]]-Tabla4[[#This Row],[20.85%]]-Tabla4[[#This Row],[Costo]]</f>
        <v>#N/A</v>
      </c>
      <c r="S5009" s="282" t="e">
        <f>++Tabla4[[#This Row],[U. Bruta Uni]]*Tabla4[[#This Row],[Cantidad]]</f>
        <v>#N/A</v>
      </c>
      <c r="T5009" s="369" t="str">
        <f>VLOOKUP(Tabla4[[#This Row],[Producto]],Tabla6[#All],14,FALSE)</f>
        <v>Termico Solar</v>
      </c>
      <c r="U5009" s="284" t="e">
        <f>(IF(Tabla4[[#This Row],[Familia]]="termico solar",Tabla4[[#This Row],[Utilidad Total]]*6%,Tabla4[[#This Row],[Utilidad Total]]*11.5%))/Tabla4[[#This Row],[Total]]</f>
        <v>#N/A</v>
      </c>
      <c r="V5009" s="282" t="e">
        <f>+Tabla4[[#This Row],[Comisión Calculada]]*Tabla4[[#This Row],[Total]]</f>
        <v>#N/A</v>
      </c>
    </row>
    <row r="5010" spans="1:22" hidden="1" x14ac:dyDescent="0.25">
      <c r="A5010" s="100">
        <v>45869</v>
      </c>
      <c r="B5010" t="str">
        <f t="shared" si="243"/>
        <v>July</v>
      </c>
      <c r="C5010" s="46" t="s">
        <v>280</v>
      </c>
      <c r="F5010" s="366" t="s">
        <v>2626</v>
      </c>
      <c r="G5010" s="46" t="s">
        <v>83</v>
      </c>
      <c r="H5010" s="46">
        <v>1</v>
      </c>
      <c r="I5010" s="51">
        <v>8858.76</v>
      </c>
      <c r="J5010" s="281">
        <f>++Tabla4[[#This Row],[Precio Bruto]]*1.16</f>
        <v>10276.161599999999</v>
      </c>
      <c r="K5010" s="281">
        <f>+Tabla4[[#This Row],[Precio Unitario Neto]]*Tabla4[[#Headers],[20.85%]]</f>
        <v>2142.5796935999997</v>
      </c>
      <c r="L5010" s="282">
        <f>++Tabla4[[#This Row],[Precio Unitario Neto]]-Tabla4[[#This Row],[20.85%]]</f>
        <v>8133.5819063999998</v>
      </c>
      <c r="M5010" s="282" t="e">
        <f>(INDEX(Tabla6[#All],MATCH(Tabla4[[#This Row],[Producto]],Tabla6[[#All],[PRODUCTO]],0),MATCH(Tabla4[[#This Row],[Mes]],Tabla6[#Headers],0)))*(1+Catalogos!$L$2)</f>
        <v>#N/A</v>
      </c>
      <c r="N5010" s="283" t="e">
        <f>+(Tabla4[[#This Row],[Precio Descontado]]-Tabla4[[#This Row],[Precio Base]])*Tabla4[[#This Row],[Cantidad]]</f>
        <v>#N/A</v>
      </c>
      <c r="O5010" s="284" t="e">
        <f>++Tabla4[[#This Row],[Utilidad Total]]/Tabla4[[#This Row],[Total]]</f>
        <v>#N/A</v>
      </c>
      <c r="P5010" s="282">
        <f>++Tabla4[[#This Row],[Precio Descontado]]*Tabla4[[#This Row],[Cantidad]]</f>
        <v>8133.5819063999998</v>
      </c>
      <c r="Q5010" s="282" t="e">
        <f>(INDEX(Tabla6[#All],MATCH(Tabla4[[#This Row],[Producto]],Tabla6[[#All],[PRODUCTO]],0),MATCH(Tabla4[[#This Row],[Mes]],Tabla6[#Headers],0)))</f>
        <v>#N/A</v>
      </c>
      <c r="R5010" s="282" t="e">
        <f>++Tabla4[[#This Row],[Precio Unitario Neto]]-Tabla4[[#This Row],[20.85%]]-Tabla4[[#This Row],[Costo]]</f>
        <v>#N/A</v>
      </c>
      <c r="S5010" s="282" t="e">
        <f>++Tabla4[[#This Row],[U. Bruta Uni]]*Tabla4[[#This Row],[Cantidad]]</f>
        <v>#N/A</v>
      </c>
      <c r="T5010" s="369" t="str">
        <f>VLOOKUP(Tabla4[[#This Row],[Producto]],Tabla6[#All],14,FALSE)</f>
        <v>Termico Solar</v>
      </c>
      <c r="U5010" s="284" t="e">
        <f>(IF(Tabla4[[#This Row],[Familia]]="termico solar",Tabla4[[#This Row],[Utilidad Total]]*6%,Tabla4[[#This Row],[Utilidad Total]]*11.5%))/Tabla4[[#This Row],[Total]]</f>
        <v>#N/A</v>
      </c>
      <c r="V5010" s="282" t="e">
        <f>+Tabla4[[#This Row],[Comisión Calculada]]*Tabla4[[#This Row],[Total]]</f>
        <v>#N/A</v>
      </c>
    </row>
    <row r="5011" spans="1:22" hidden="1" x14ac:dyDescent="0.25">
      <c r="A5011" s="100">
        <v>45869</v>
      </c>
      <c r="B5011" t="str">
        <f t="shared" si="243"/>
        <v>July</v>
      </c>
      <c r="C5011" s="46" t="s">
        <v>280</v>
      </c>
      <c r="F5011" s="366" t="s">
        <v>2626</v>
      </c>
      <c r="G5011" s="46" t="s">
        <v>394</v>
      </c>
      <c r="H5011" s="46">
        <v>9</v>
      </c>
      <c r="I5011" s="51">
        <v>108.1</v>
      </c>
      <c r="J5011" s="281">
        <f>++Tabla4[[#This Row],[Precio Bruto]]*1.16</f>
        <v>125.39599999999999</v>
      </c>
      <c r="K5011" s="281">
        <f>+Tabla4[[#This Row],[Precio Unitario Neto]]*Tabla4[[#Headers],[20.85%]]</f>
        <v>26.145065999999996</v>
      </c>
      <c r="L5011" s="282">
        <f>++Tabla4[[#This Row],[Precio Unitario Neto]]-Tabla4[[#This Row],[20.85%]]</f>
        <v>99.250933999999987</v>
      </c>
      <c r="M5011" s="282" t="e">
        <f>(INDEX(Tabla6[#All],MATCH(Tabla4[[#This Row],[Producto]],Tabla6[[#All],[PRODUCTO]],0),MATCH(Tabla4[[#This Row],[Mes]],Tabla6[#Headers],0)))*(1+Catalogos!$L$2)</f>
        <v>#N/A</v>
      </c>
      <c r="N5011" s="283" t="e">
        <f>+(Tabla4[[#This Row],[Precio Descontado]]-Tabla4[[#This Row],[Precio Base]])*Tabla4[[#This Row],[Cantidad]]</f>
        <v>#N/A</v>
      </c>
      <c r="O5011" s="284" t="e">
        <f>++Tabla4[[#This Row],[Utilidad Total]]/Tabla4[[#This Row],[Total]]</f>
        <v>#N/A</v>
      </c>
      <c r="P5011" s="282">
        <f>++Tabla4[[#This Row],[Precio Descontado]]*Tabla4[[#This Row],[Cantidad]]</f>
        <v>893.25840599999992</v>
      </c>
      <c r="Q5011" s="282" t="e">
        <f>(INDEX(Tabla6[#All],MATCH(Tabla4[[#This Row],[Producto]],Tabla6[[#All],[PRODUCTO]],0),MATCH(Tabla4[[#This Row],[Mes]],Tabla6[#Headers],0)))</f>
        <v>#N/A</v>
      </c>
      <c r="R5011" s="282" t="e">
        <f>++Tabla4[[#This Row],[Precio Unitario Neto]]-Tabla4[[#This Row],[20.85%]]-Tabla4[[#This Row],[Costo]]</f>
        <v>#N/A</v>
      </c>
      <c r="S5011" s="282" t="e">
        <f>++Tabla4[[#This Row],[U. Bruta Uni]]*Tabla4[[#This Row],[Cantidad]]</f>
        <v>#N/A</v>
      </c>
      <c r="T5011" s="369" t="str">
        <f>VLOOKUP(Tabla4[[#This Row],[Producto]],Tabla6[#All],14,FALSE)</f>
        <v>Termico Solar</v>
      </c>
      <c r="U5011" s="284" t="e">
        <f>(IF(Tabla4[[#This Row],[Familia]]="termico solar",Tabla4[[#This Row],[Utilidad Total]]*6%,Tabla4[[#This Row],[Utilidad Total]]*11.5%))/Tabla4[[#This Row],[Total]]</f>
        <v>#N/A</v>
      </c>
      <c r="V5011" s="282" t="e">
        <f>+Tabla4[[#This Row],[Comisión Calculada]]*Tabla4[[#This Row],[Total]]</f>
        <v>#N/A</v>
      </c>
    </row>
    <row r="5012" spans="1:22" hidden="1" x14ac:dyDescent="0.25">
      <c r="A5012" s="100">
        <v>45869</v>
      </c>
      <c r="B5012" t="str">
        <f t="shared" si="243"/>
        <v>July</v>
      </c>
      <c r="C5012" s="46" t="s">
        <v>280</v>
      </c>
      <c r="F5012" s="366" t="s">
        <v>2627</v>
      </c>
      <c r="G5012" s="46" t="s">
        <v>394</v>
      </c>
      <c r="H5012" s="46">
        <v>16</v>
      </c>
      <c r="I5012" s="51">
        <v>224.29</v>
      </c>
      <c r="J5012" s="281">
        <f>++Tabla4[[#This Row],[Precio Bruto]]*1.16</f>
        <v>260.1764</v>
      </c>
      <c r="K5012" s="281">
        <f>+Tabla4[[#This Row],[Precio Unitario Neto]]*Tabla4[[#Headers],[20.85%]]</f>
        <v>54.246779400000001</v>
      </c>
      <c r="L5012" s="282">
        <f>++Tabla4[[#This Row],[Precio Unitario Neto]]-Tabla4[[#This Row],[20.85%]]</f>
        <v>205.92962059999999</v>
      </c>
      <c r="M5012" s="282" t="e">
        <f>(INDEX(Tabla6[#All],MATCH(Tabla4[[#This Row],[Producto]],Tabla6[[#All],[PRODUCTO]],0),MATCH(Tabla4[[#This Row],[Mes]],Tabla6[#Headers],0)))*(1+Catalogos!$L$2)</f>
        <v>#N/A</v>
      </c>
      <c r="N5012" s="283" t="e">
        <f>+(Tabla4[[#This Row],[Precio Descontado]]-Tabla4[[#This Row],[Precio Base]])*Tabla4[[#This Row],[Cantidad]]</f>
        <v>#N/A</v>
      </c>
      <c r="O5012" s="284" t="e">
        <f>++Tabla4[[#This Row],[Utilidad Total]]/Tabla4[[#This Row],[Total]]</f>
        <v>#N/A</v>
      </c>
      <c r="P5012" s="282">
        <f>++Tabla4[[#This Row],[Precio Descontado]]*Tabla4[[#This Row],[Cantidad]]</f>
        <v>3294.8739295999999</v>
      </c>
      <c r="Q5012" s="282" t="e">
        <f>(INDEX(Tabla6[#All],MATCH(Tabla4[[#This Row],[Producto]],Tabla6[[#All],[PRODUCTO]],0),MATCH(Tabla4[[#This Row],[Mes]],Tabla6[#Headers],0)))</f>
        <v>#N/A</v>
      </c>
      <c r="R5012" s="282" t="e">
        <f>++Tabla4[[#This Row],[Precio Unitario Neto]]-Tabla4[[#This Row],[20.85%]]-Tabla4[[#This Row],[Costo]]</f>
        <v>#N/A</v>
      </c>
      <c r="S5012" s="282" t="e">
        <f>++Tabla4[[#This Row],[U. Bruta Uni]]*Tabla4[[#This Row],[Cantidad]]</f>
        <v>#N/A</v>
      </c>
      <c r="T5012" s="369" t="str">
        <f>VLOOKUP(Tabla4[[#This Row],[Producto]],Tabla6[#All],14,FALSE)</f>
        <v>Termico Solar</v>
      </c>
      <c r="U5012" s="284" t="e">
        <f>(IF(Tabla4[[#This Row],[Familia]]="termico solar",Tabla4[[#This Row],[Utilidad Total]]*6%,Tabla4[[#This Row],[Utilidad Total]]*11.5%))/Tabla4[[#This Row],[Total]]</f>
        <v>#N/A</v>
      </c>
      <c r="V5012" s="282" t="e">
        <f>+Tabla4[[#This Row],[Comisión Calculada]]*Tabla4[[#This Row],[Total]]</f>
        <v>#N/A</v>
      </c>
    </row>
    <row r="5013" spans="1:22" hidden="1" x14ac:dyDescent="0.25">
      <c r="A5013" s="100">
        <v>45869</v>
      </c>
      <c r="B5013" t="str">
        <f t="shared" si="243"/>
        <v>July</v>
      </c>
      <c r="C5013" s="46" t="s">
        <v>280</v>
      </c>
      <c r="F5013" s="366" t="s">
        <v>2628</v>
      </c>
      <c r="G5013" s="46" t="s">
        <v>83</v>
      </c>
      <c r="H5013" s="46">
        <v>1</v>
      </c>
      <c r="I5013" s="51">
        <v>8858.76</v>
      </c>
      <c r="J5013" s="281">
        <f>++Tabla4[[#This Row],[Precio Bruto]]*1.16</f>
        <v>10276.161599999999</v>
      </c>
      <c r="K5013" s="281">
        <f>+Tabla4[[#This Row],[Precio Unitario Neto]]*Tabla4[[#Headers],[20.85%]]</f>
        <v>2142.5796935999997</v>
      </c>
      <c r="L5013" s="282">
        <f>++Tabla4[[#This Row],[Precio Unitario Neto]]-Tabla4[[#This Row],[20.85%]]</f>
        <v>8133.5819063999998</v>
      </c>
      <c r="M5013" s="282" t="e">
        <f>(INDEX(Tabla6[#All],MATCH(Tabla4[[#This Row],[Producto]],Tabla6[[#All],[PRODUCTO]],0),MATCH(Tabla4[[#This Row],[Mes]],Tabla6[#Headers],0)))*(1+Catalogos!$L$2)</f>
        <v>#N/A</v>
      </c>
      <c r="N5013" s="283" t="e">
        <f>+(Tabla4[[#This Row],[Precio Descontado]]-Tabla4[[#This Row],[Precio Base]])*Tabla4[[#This Row],[Cantidad]]</f>
        <v>#N/A</v>
      </c>
      <c r="O5013" s="284" t="e">
        <f>++Tabla4[[#This Row],[Utilidad Total]]/Tabla4[[#This Row],[Total]]</f>
        <v>#N/A</v>
      </c>
      <c r="P5013" s="282">
        <f>++Tabla4[[#This Row],[Precio Descontado]]*Tabla4[[#This Row],[Cantidad]]</f>
        <v>8133.5819063999998</v>
      </c>
      <c r="Q5013" s="282" t="e">
        <f>(INDEX(Tabla6[#All],MATCH(Tabla4[[#This Row],[Producto]],Tabla6[[#All],[PRODUCTO]],0),MATCH(Tabla4[[#This Row],[Mes]],Tabla6[#Headers],0)))</f>
        <v>#N/A</v>
      </c>
      <c r="R5013" s="282" t="e">
        <f>++Tabla4[[#This Row],[Precio Unitario Neto]]-Tabla4[[#This Row],[20.85%]]-Tabla4[[#This Row],[Costo]]</f>
        <v>#N/A</v>
      </c>
      <c r="S5013" s="282" t="e">
        <f>++Tabla4[[#This Row],[U. Bruta Uni]]*Tabla4[[#This Row],[Cantidad]]</f>
        <v>#N/A</v>
      </c>
      <c r="T5013" s="369" t="str">
        <f>VLOOKUP(Tabla4[[#This Row],[Producto]],Tabla6[#All],14,FALSE)</f>
        <v>Termico Solar</v>
      </c>
      <c r="U5013" s="284" t="e">
        <f>(IF(Tabla4[[#This Row],[Familia]]="termico solar",Tabla4[[#This Row],[Utilidad Total]]*6%,Tabla4[[#This Row],[Utilidad Total]]*11.5%))/Tabla4[[#This Row],[Total]]</f>
        <v>#N/A</v>
      </c>
      <c r="V5013" s="282" t="e">
        <f>+Tabla4[[#This Row],[Comisión Calculada]]*Tabla4[[#This Row],[Total]]</f>
        <v>#N/A</v>
      </c>
    </row>
    <row r="5014" spans="1:22" hidden="1" x14ac:dyDescent="0.25">
      <c r="A5014" s="100">
        <v>45869</v>
      </c>
      <c r="B5014" t="str">
        <f t="shared" si="243"/>
        <v>July</v>
      </c>
      <c r="C5014" s="46" t="s">
        <v>280</v>
      </c>
      <c r="F5014" s="366" t="s">
        <v>2628</v>
      </c>
      <c r="G5014" s="46" t="s">
        <v>208</v>
      </c>
      <c r="H5014" s="46">
        <v>1</v>
      </c>
      <c r="I5014" s="51">
        <v>189.75</v>
      </c>
      <c r="J5014" s="281">
        <f>++Tabla4[[#This Row],[Precio Bruto]]*1.16</f>
        <v>220.10999999999999</v>
      </c>
      <c r="K5014" s="281">
        <f>+Tabla4[[#This Row],[Precio Unitario Neto]]*Tabla4[[#Headers],[20.85%]]</f>
        <v>45.892934999999994</v>
      </c>
      <c r="L5014" s="282">
        <f>++Tabla4[[#This Row],[Precio Unitario Neto]]-Tabla4[[#This Row],[20.85%]]</f>
        <v>174.21706499999999</v>
      </c>
      <c r="M5014" s="282" t="e">
        <f>(INDEX(Tabla6[#All],MATCH(Tabla4[[#This Row],[Producto]],Tabla6[[#All],[PRODUCTO]],0),MATCH(Tabla4[[#This Row],[Mes]],Tabla6[#Headers],0)))*(1+Catalogos!$L$2)</f>
        <v>#N/A</v>
      </c>
      <c r="N5014" s="283" t="e">
        <f>+(Tabla4[[#This Row],[Precio Descontado]]-Tabla4[[#This Row],[Precio Base]])*Tabla4[[#This Row],[Cantidad]]</f>
        <v>#N/A</v>
      </c>
      <c r="O5014" s="284" t="e">
        <f>++Tabla4[[#This Row],[Utilidad Total]]/Tabla4[[#This Row],[Total]]</f>
        <v>#N/A</v>
      </c>
      <c r="P5014" s="282">
        <f>++Tabla4[[#This Row],[Precio Descontado]]*Tabla4[[#This Row],[Cantidad]]</f>
        <v>174.21706499999999</v>
      </c>
      <c r="Q5014" s="282" t="e">
        <f>(INDEX(Tabla6[#All],MATCH(Tabla4[[#This Row],[Producto]],Tabla6[[#All],[PRODUCTO]],0),MATCH(Tabla4[[#This Row],[Mes]],Tabla6[#Headers],0)))</f>
        <v>#N/A</v>
      </c>
      <c r="R5014" s="282" t="e">
        <f>++Tabla4[[#This Row],[Precio Unitario Neto]]-Tabla4[[#This Row],[20.85%]]-Tabla4[[#This Row],[Costo]]</f>
        <v>#N/A</v>
      </c>
      <c r="S5014" s="282" t="e">
        <f>++Tabla4[[#This Row],[U. Bruta Uni]]*Tabla4[[#This Row],[Cantidad]]</f>
        <v>#N/A</v>
      </c>
      <c r="T5014" s="369" t="str">
        <f>VLOOKUP(Tabla4[[#This Row],[Producto]],Tabla6[#All],14,FALSE)</f>
        <v>Termico Solar</v>
      </c>
      <c r="U5014" s="284" t="e">
        <f>(IF(Tabla4[[#This Row],[Familia]]="termico solar",Tabla4[[#This Row],[Utilidad Total]]*6%,Tabla4[[#This Row],[Utilidad Total]]*11.5%))/Tabla4[[#This Row],[Total]]</f>
        <v>#N/A</v>
      </c>
      <c r="V5014" s="282" t="e">
        <f>+Tabla4[[#This Row],[Comisión Calculada]]*Tabla4[[#This Row],[Total]]</f>
        <v>#N/A</v>
      </c>
    </row>
    <row r="5015" spans="1:22" hidden="1" x14ac:dyDescent="0.25">
      <c r="A5015" s="100">
        <v>45869</v>
      </c>
      <c r="B5015" t="str">
        <f t="shared" si="243"/>
        <v>July</v>
      </c>
      <c r="C5015" s="46" t="s">
        <v>280</v>
      </c>
      <c r="F5015" s="366" t="s">
        <v>2629</v>
      </c>
      <c r="G5015" s="46" t="s">
        <v>83</v>
      </c>
      <c r="H5015" s="46">
        <v>1</v>
      </c>
      <c r="I5015" s="51">
        <v>8858.76</v>
      </c>
      <c r="J5015" s="281">
        <f>++Tabla4[[#This Row],[Precio Bruto]]*1.16</f>
        <v>10276.161599999999</v>
      </c>
      <c r="K5015" s="281">
        <f>+Tabla4[[#This Row],[Precio Unitario Neto]]*Tabla4[[#Headers],[20.85%]]</f>
        <v>2142.5796935999997</v>
      </c>
      <c r="L5015" s="282">
        <f>++Tabla4[[#This Row],[Precio Unitario Neto]]-Tabla4[[#This Row],[20.85%]]</f>
        <v>8133.5819063999998</v>
      </c>
      <c r="M5015" s="282" t="e">
        <f>(INDEX(Tabla6[#All],MATCH(Tabla4[[#This Row],[Producto]],Tabla6[[#All],[PRODUCTO]],0),MATCH(Tabla4[[#This Row],[Mes]],Tabla6[#Headers],0)))*(1+Catalogos!$L$2)</f>
        <v>#N/A</v>
      </c>
      <c r="N5015" s="283" t="e">
        <f>+(Tabla4[[#This Row],[Precio Descontado]]-Tabla4[[#This Row],[Precio Base]])*Tabla4[[#This Row],[Cantidad]]</f>
        <v>#N/A</v>
      </c>
      <c r="O5015" s="284" t="e">
        <f>++Tabla4[[#This Row],[Utilidad Total]]/Tabla4[[#This Row],[Total]]</f>
        <v>#N/A</v>
      </c>
      <c r="P5015" s="282">
        <f>++Tabla4[[#This Row],[Precio Descontado]]*Tabla4[[#This Row],[Cantidad]]</f>
        <v>8133.5819063999998</v>
      </c>
      <c r="Q5015" s="282" t="e">
        <f>(INDEX(Tabla6[#All],MATCH(Tabla4[[#This Row],[Producto]],Tabla6[[#All],[PRODUCTO]],0),MATCH(Tabla4[[#This Row],[Mes]],Tabla6[#Headers],0)))</f>
        <v>#N/A</v>
      </c>
      <c r="R5015" s="282" t="e">
        <f>++Tabla4[[#This Row],[Precio Unitario Neto]]-Tabla4[[#This Row],[20.85%]]-Tabla4[[#This Row],[Costo]]</f>
        <v>#N/A</v>
      </c>
      <c r="S5015" s="282" t="e">
        <f>++Tabla4[[#This Row],[U. Bruta Uni]]*Tabla4[[#This Row],[Cantidad]]</f>
        <v>#N/A</v>
      </c>
      <c r="T5015" s="369" t="str">
        <f>VLOOKUP(Tabla4[[#This Row],[Producto]],Tabla6[#All],14,FALSE)</f>
        <v>Termico Solar</v>
      </c>
      <c r="U5015" s="284" t="e">
        <f>(IF(Tabla4[[#This Row],[Familia]]="termico solar",Tabla4[[#This Row],[Utilidad Total]]*6%,Tabla4[[#This Row],[Utilidad Total]]*11.5%))/Tabla4[[#This Row],[Total]]</f>
        <v>#N/A</v>
      </c>
      <c r="V5015" s="282" t="e">
        <f>+Tabla4[[#This Row],[Comisión Calculada]]*Tabla4[[#This Row],[Total]]</f>
        <v>#N/A</v>
      </c>
    </row>
    <row r="5016" spans="1:22" hidden="1" x14ac:dyDescent="0.25">
      <c r="A5016" s="100">
        <v>45869</v>
      </c>
      <c r="B5016" t="str">
        <f t="shared" si="243"/>
        <v>July</v>
      </c>
      <c r="C5016" s="46" t="s">
        <v>280</v>
      </c>
      <c r="F5016" s="366" t="s">
        <v>2629</v>
      </c>
      <c r="G5016" s="46" t="s">
        <v>17</v>
      </c>
      <c r="H5016" s="46">
        <v>1</v>
      </c>
      <c r="I5016" s="51">
        <v>4622.28</v>
      </c>
      <c r="J5016" s="281">
        <f>++Tabla4[[#This Row],[Precio Bruto]]*1.16</f>
        <v>5361.8447999999989</v>
      </c>
      <c r="K5016" s="281">
        <f>+Tabla4[[#This Row],[Precio Unitario Neto]]*Tabla4[[#Headers],[20.85%]]</f>
        <v>1117.9446407999997</v>
      </c>
      <c r="L5016" s="282">
        <f>++Tabla4[[#This Row],[Precio Unitario Neto]]-Tabla4[[#This Row],[20.85%]]</f>
        <v>4243.9001591999995</v>
      </c>
      <c r="M5016" s="282" t="e">
        <f>(INDEX(Tabla6[#All],MATCH(Tabla4[[#This Row],[Producto]],Tabla6[[#All],[PRODUCTO]],0),MATCH(Tabla4[[#This Row],[Mes]],Tabla6[#Headers],0)))*(1+Catalogos!$L$2)</f>
        <v>#N/A</v>
      </c>
      <c r="N5016" s="283" t="e">
        <f>+(Tabla4[[#This Row],[Precio Descontado]]-Tabla4[[#This Row],[Precio Base]])*Tabla4[[#This Row],[Cantidad]]</f>
        <v>#N/A</v>
      </c>
      <c r="O5016" s="284" t="e">
        <f>++Tabla4[[#This Row],[Utilidad Total]]/Tabla4[[#This Row],[Total]]</f>
        <v>#N/A</v>
      </c>
      <c r="P5016" s="282">
        <f>++Tabla4[[#This Row],[Precio Descontado]]*Tabla4[[#This Row],[Cantidad]]</f>
        <v>4243.9001591999995</v>
      </c>
      <c r="Q5016" s="282" t="e">
        <f>(INDEX(Tabla6[#All],MATCH(Tabla4[[#This Row],[Producto]],Tabla6[[#All],[PRODUCTO]],0),MATCH(Tabla4[[#This Row],[Mes]],Tabla6[#Headers],0)))</f>
        <v>#N/A</v>
      </c>
      <c r="R5016" s="282" t="e">
        <f>++Tabla4[[#This Row],[Precio Unitario Neto]]-Tabla4[[#This Row],[20.85%]]-Tabla4[[#This Row],[Costo]]</f>
        <v>#N/A</v>
      </c>
      <c r="S5016" s="282" t="e">
        <f>++Tabla4[[#This Row],[U. Bruta Uni]]*Tabla4[[#This Row],[Cantidad]]</f>
        <v>#N/A</v>
      </c>
      <c r="T5016" s="369" t="str">
        <f>VLOOKUP(Tabla4[[#This Row],[Producto]],Tabla6[#All],14,FALSE)</f>
        <v>Termico Solar</v>
      </c>
      <c r="U5016" s="284" t="e">
        <f>(IF(Tabla4[[#This Row],[Familia]]="termico solar",Tabla4[[#This Row],[Utilidad Total]]*6%,Tabla4[[#This Row],[Utilidad Total]]*11.5%))/Tabla4[[#This Row],[Total]]</f>
        <v>#N/A</v>
      </c>
      <c r="V5016" s="282" t="e">
        <f>+Tabla4[[#This Row],[Comisión Calculada]]*Tabla4[[#This Row],[Total]]</f>
        <v>#N/A</v>
      </c>
    </row>
    <row r="5017" spans="1:22" hidden="1" x14ac:dyDescent="0.25">
      <c r="A5017" s="100">
        <v>45869</v>
      </c>
      <c r="B5017" t="str">
        <f t="shared" si="243"/>
        <v>July</v>
      </c>
      <c r="C5017" s="46" t="s">
        <v>280</v>
      </c>
      <c r="F5017" s="366" t="s">
        <v>2629</v>
      </c>
      <c r="G5017" s="46" t="s">
        <v>16</v>
      </c>
      <c r="H5017" s="46">
        <v>1</v>
      </c>
      <c r="I5017" s="51">
        <v>4103.8500000000004</v>
      </c>
      <c r="J5017" s="281">
        <f>++Tabla4[[#This Row],[Precio Bruto]]*1.16</f>
        <v>4760.4660000000003</v>
      </c>
      <c r="K5017" s="281">
        <f>+Tabla4[[#This Row],[Precio Unitario Neto]]*Tabla4[[#Headers],[20.85%]]</f>
        <v>992.55716100000006</v>
      </c>
      <c r="L5017" s="282">
        <f>++Tabla4[[#This Row],[Precio Unitario Neto]]-Tabla4[[#This Row],[20.85%]]</f>
        <v>3767.9088390000002</v>
      </c>
      <c r="M5017" s="282" t="e">
        <f>(INDEX(Tabla6[#All],MATCH(Tabla4[[#This Row],[Producto]],Tabla6[[#All],[PRODUCTO]],0),MATCH(Tabla4[[#This Row],[Mes]],Tabla6[#Headers],0)))*(1+Catalogos!$L$2)</f>
        <v>#N/A</v>
      </c>
      <c r="N5017" s="283" t="e">
        <f>+(Tabla4[[#This Row],[Precio Descontado]]-Tabla4[[#This Row],[Precio Base]])*Tabla4[[#This Row],[Cantidad]]</f>
        <v>#N/A</v>
      </c>
      <c r="O5017" s="284" t="e">
        <f>++Tabla4[[#This Row],[Utilidad Total]]/Tabla4[[#This Row],[Total]]</f>
        <v>#N/A</v>
      </c>
      <c r="P5017" s="282">
        <f>++Tabla4[[#This Row],[Precio Descontado]]*Tabla4[[#This Row],[Cantidad]]</f>
        <v>3767.9088390000002</v>
      </c>
      <c r="Q5017" s="282" t="e">
        <f>(INDEX(Tabla6[#All],MATCH(Tabla4[[#This Row],[Producto]],Tabla6[[#All],[PRODUCTO]],0),MATCH(Tabla4[[#This Row],[Mes]],Tabla6[#Headers],0)))</f>
        <v>#N/A</v>
      </c>
      <c r="R5017" s="282" t="e">
        <f>++Tabla4[[#This Row],[Precio Unitario Neto]]-Tabla4[[#This Row],[20.85%]]-Tabla4[[#This Row],[Costo]]</f>
        <v>#N/A</v>
      </c>
      <c r="S5017" s="282" t="e">
        <f>++Tabla4[[#This Row],[U. Bruta Uni]]*Tabla4[[#This Row],[Cantidad]]</f>
        <v>#N/A</v>
      </c>
      <c r="T5017" s="369" t="str">
        <f>VLOOKUP(Tabla4[[#This Row],[Producto]],Tabla6[#All],14,FALSE)</f>
        <v>Termico Solar</v>
      </c>
      <c r="U5017" s="284" t="e">
        <f>(IF(Tabla4[[#This Row],[Familia]]="termico solar",Tabla4[[#This Row],[Utilidad Total]]*6%,Tabla4[[#This Row],[Utilidad Total]]*11.5%))/Tabla4[[#This Row],[Total]]</f>
        <v>#N/A</v>
      </c>
      <c r="V5017" s="282" t="e">
        <f>+Tabla4[[#This Row],[Comisión Calculada]]*Tabla4[[#This Row],[Total]]</f>
        <v>#N/A</v>
      </c>
    </row>
    <row r="5018" spans="1:22" hidden="1" x14ac:dyDescent="0.25">
      <c r="A5018" s="100">
        <v>45869</v>
      </c>
      <c r="B5018" t="str">
        <f t="shared" si="243"/>
        <v>July</v>
      </c>
      <c r="C5018" s="46" t="s">
        <v>280</v>
      </c>
      <c r="F5018" s="366" t="s">
        <v>2630</v>
      </c>
      <c r="G5018" s="46" t="s">
        <v>394</v>
      </c>
      <c r="H5018" s="46">
        <v>9</v>
      </c>
      <c r="I5018" s="51">
        <v>108.1</v>
      </c>
      <c r="J5018" s="281">
        <f>++Tabla4[[#This Row],[Precio Bruto]]*1.16</f>
        <v>125.39599999999999</v>
      </c>
      <c r="K5018" s="281">
        <f>+Tabla4[[#This Row],[Precio Unitario Neto]]*Tabla4[[#Headers],[20.85%]]</f>
        <v>26.145065999999996</v>
      </c>
      <c r="L5018" s="282">
        <f>++Tabla4[[#This Row],[Precio Unitario Neto]]-Tabla4[[#This Row],[20.85%]]</f>
        <v>99.250933999999987</v>
      </c>
      <c r="M5018" s="282" t="e">
        <f>(INDEX(Tabla6[#All],MATCH(Tabla4[[#This Row],[Producto]],Tabla6[[#All],[PRODUCTO]],0),MATCH(Tabla4[[#This Row],[Mes]],Tabla6[#Headers],0)))*(1+Catalogos!$L$2)</f>
        <v>#N/A</v>
      </c>
      <c r="N5018" s="283" t="e">
        <f>+(Tabla4[[#This Row],[Precio Descontado]]-Tabla4[[#This Row],[Precio Base]])*Tabla4[[#This Row],[Cantidad]]</f>
        <v>#N/A</v>
      </c>
      <c r="O5018" s="284" t="e">
        <f>++Tabla4[[#This Row],[Utilidad Total]]/Tabla4[[#This Row],[Total]]</f>
        <v>#N/A</v>
      </c>
      <c r="P5018" s="282">
        <f>++Tabla4[[#This Row],[Precio Descontado]]*Tabla4[[#This Row],[Cantidad]]</f>
        <v>893.25840599999992</v>
      </c>
      <c r="Q5018" s="282" t="e">
        <f>(INDEX(Tabla6[#All],MATCH(Tabla4[[#This Row],[Producto]],Tabla6[[#All],[PRODUCTO]],0),MATCH(Tabla4[[#This Row],[Mes]],Tabla6[#Headers],0)))</f>
        <v>#N/A</v>
      </c>
      <c r="R5018" s="282" t="e">
        <f>++Tabla4[[#This Row],[Precio Unitario Neto]]-Tabla4[[#This Row],[20.85%]]-Tabla4[[#This Row],[Costo]]</f>
        <v>#N/A</v>
      </c>
      <c r="S5018" s="282" t="e">
        <f>++Tabla4[[#This Row],[U. Bruta Uni]]*Tabla4[[#This Row],[Cantidad]]</f>
        <v>#N/A</v>
      </c>
      <c r="T5018" s="369" t="str">
        <f>VLOOKUP(Tabla4[[#This Row],[Producto]],Tabla6[#All],14,FALSE)</f>
        <v>Termico Solar</v>
      </c>
      <c r="U5018" s="284" t="e">
        <f>(IF(Tabla4[[#This Row],[Familia]]="termico solar",Tabla4[[#This Row],[Utilidad Total]]*6%,Tabla4[[#This Row],[Utilidad Total]]*11.5%))/Tabla4[[#This Row],[Total]]</f>
        <v>#N/A</v>
      </c>
      <c r="V5018" s="282" t="e">
        <f>+Tabla4[[#This Row],[Comisión Calculada]]*Tabla4[[#This Row],[Total]]</f>
        <v>#N/A</v>
      </c>
    </row>
    <row r="5019" spans="1:22" hidden="1" x14ac:dyDescent="0.25">
      <c r="A5019" s="100">
        <v>45869</v>
      </c>
      <c r="B5019" t="str">
        <f t="shared" si="243"/>
        <v>July</v>
      </c>
      <c r="C5019" s="46" t="s">
        <v>280</v>
      </c>
      <c r="F5019" s="366" t="s">
        <v>2631</v>
      </c>
      <c r="G5019" s="46" t="s">
        <v>83</v>
      </c>
      <c r="H5019" s="46">
        <v>1</v>
      </c>
      <c r="I5019" s="51">
        <v>8858.76</v>
      </c>
      <c r="J5019" s="281">
        <f>++Tabla4[[#This Row],[Precio Bruto]]*1.16</f>
        <v>10276.161599999999</v>
      </c>
      <c r="K5019" s="281">
        <f>+Tabla4[[#This Row],[Precio Unitario Neto]]*Tabla4[[#Headers],[20.85%]]</f>
        <v>2142.5796935999997</v>
      </c>
      <c r="L5019" s="282">
        <f>++Tabla4[[#This Row],[Precio Unitario Neto]]-Tabla4[[#This Row],[20.85%]]</f>
        <v>8133.5819063999998</v>
      </c>
      <c r="M5019" s="282" t="e">
        <f>(INDEX(Tabla6[#All],MATCH(Tabla4[[#This Row],[Producto]],Tabla6[[#All],[PRODUCTO]],0),MATCH(Tabla4[[#This Row],[Mes]],Tabla6[#Headers],0)))*(1+Catalogos!$L$2)</f>
        <v>#N/A</v>
      </c>
      <c r="N5019" s="283" t="e">
        <f>+(Tabla4[[#This Row],[Precio Descontado]]-Tabla4[[#This Row],[Precio Base]])*Tabla4[[#This Row],[Cantidad]]</f>
        <v>#N/A</v>
      </c>
      <c r="O5019" s="284" t="e">
        <f>++Tabla4[[#This Row],[Utilidad Total]]/Tabla4[[#This Row],[Total]]</f>
        <v>#N/A</v>
      </c>
      <c r="P5019" s="282">
        <f>++Tabla4[[#This Row],[Precio Descontado]]*Tabla4[[#This Row],[Cantidad]]</f>
        <v>8133.5819063999998</v>
      </c>
      <c r="Q5019" s="282" t="e">
        <f>(INDEX(Tabla6[#All],MATCH(Tabla4[[#This Row],[Producto]],Tabla6[[#All],[PRODUCTO]],0),MATCH(Tabla4[[#This Row],[Mes]],Tabla6[#Headers],0)))</f>
        <v>#N/A</v>
      </c>
      <c r="R5019" s="282" t="e">
        <f>++Tabla4[[#This Row],[Precio Unitario Neto]]-Tabla4[[#This Row],[20.85%]]-Tabla4[[#This Row],[Costo]]</f>
        <v>#N/A</v>
      </c>
      <c r="S5019" s="282" t="e">
        <f>++Tabla4[[#This Row],[U. Bruta Uni]]*Tabla4[[#This Row],[Cantidad]]</f>
        <v>#N/A</v>
      </c>
      <c r="T5019" s="369" t="str">
        <f>VLOOKUP(Tabla4[[#This Row],[Producto]],Tabla6[#All],14,FALSE)</f>
        <v>Termico Solar</v>
      </c>
      <c r="U5019" s="284" t="e">
        <f>(IF(Tabla4[[#This Row],[Familia]]="termico solar",Tabla4[[#This Row],[Utilidad Total]]*6%,Tabla4[[#This Row],[Utilidad Total]]*11.5%))/Tabla4[[#This Row],[Total]]</f>
        <v>#N/A</v>
      </c>
      <c r="V5019" s="282" t="e">
        <f>+Tabla4[[#This Row],[Comisión Calculada]]*Tabla4[[#This Row],[Total]]</f>
        <v>#N/A</v>
      </c>
    </row>
    <row r="5020" spans="1:22" hidden="1" x14ac:dyDescent="0.25">
      <c r="A5020" s="100">
        <v>45869</v>
      </c>
      <c r="B5020" t="str">
        <f t="shared" si="243"/>
        <v>July</v>
      </c>
      <c r="C5020" s="46" t="s">
        <v>280</v>
      </c>
      <c r="F5020" s="366" t="s">
        <v>2632</v>
      </c>
      <c r="G5020" s="46" t="s">
        <v>19</v>
      </c>
      <c r="H5020" s="46">
        <v>1</v>
      </c>
      <c r="I5020" s="51">
        <v>6412.03</v>
      </c>
      <c r="J5020" s="281">
        <f>++Tabla4[[#This Row],[Precio Bruto]]*1.16</f>
        <v>7437.9547999999995</v>
      </c>
      <c r="K5020" s="281">
        <f>+Tabla4[[#This Row],[Precio Unitario Neto]]*Tabla4[[#Headers],[20.85%]]</f>
        <v>1550.8135757999999</v>
      </c>
      <c r="L5020" s="282">
        <f>++Tabla4[[#This Row],[Precio Unitario Neto]]-Tabla4[[#This Row],[20.85%]]</f>
        <v>5887.1412241999997</v>
      </c>
      <c r="M5020" s="282" t="e">
        <f>(INDEX(Tabla6[#All],MATCH(Tabla4[[#This Row],[Producto]],Tabla6[[#All],[PRODUCTO]],0),MATCH(Tabla4[[#This Row],[Mes]],Tabla6[#Headers],0)))*(1+Catalogos!$L$2)</f>
        <v>#N/A</v>
      </c>
      <c r="N5020" s="283" t="e">
        <f>+(Tabla4[[#This Row],[Precio Descontado]]-Tabla4[[#This Row],[Precio Base]])*Tabla4[[#This Row],[Cantidad]]</f>
        <v>#N/A</v>
      </c>
      <c r="O5020" s="284" t="e">
        <f>++Tabla4[[#This Row],[Utilidad Total]]/Tabla4[[#This Row],[Total]]</f>
        <v>#N/A</v>
      </c>
      <c r="P5020" s="282">
        <f>++Tabla4[[#This Row],[Precio Descontado]]*Tabla4[[#This Row],[Cantidad]]</f>
        <v>5887.1412241999997</v>
      </c>
      <c r="Q5020" s="282" t="e">
        <f>(INDEX(Tabla6[#All],MATCH(Tabla4[[#This Row],[Producto]],Tabla6[[#All],[PRODUCTO]],0),MATCH(Tabla4[[#This Row],[Mes]],Tabla6[#Headers],0)))</f>
        <v>#N/A</v>
      </c>
      <c r="R5020" s="282" t="e">
        <f>++Tabla4[[#This Row],[Precio Unitario Neto]]-Tabla4[[#This Row],[20.85%]]-Tabla4[[#This Row],[Costo]]</f>
        <v>#N/A</v>
      </c>
      <c r="S5020" s="282" t="e">
        <f>++Tabla4[[#This Row],[U. Bruta Uni]]*Tabla4[[#This Row],[Cantidad]]</f>
        <v>#N/A</v>
      </c>
      <c r="T5020" s="369" t="str">
        <f>VLOOKUP(Tabla4[[#This Row],[Producto]],Tabla6[#All],14,FALSE)</f>
        <v>Termico Solar</v>
      </c>
      <c r="U5020" s="284" t="e">
        <f>(IF(Tabla4[[#This Row],[Familia]]="termico solar",Tabla4[[#This Row],[Utilidad Total]]*6%,Tabla4[[#This Row],[Utilidad Total]]*11.5%))/Tabla4[[#This Row],[Total]]</f>
        <v>#N/A</v>
      </c>
      <c r="V5020" s="282" t="e">
        <f>+Tabla4[[#This Row],[Comisión Calculada]]*Tabla4[[#This Row],[Total]]</f>
        <v>#N/A</v>
      </c>
    </row>
    <row r="5021" spans="1:22" hidden="1" x14ac:dyDescent="0.25">
      <c r="A5021" s="100">
        <v>45869</v>
      </c>
      <c r="B5021" t="str">
        <f t="shared" si="243"/>
        <v>July</v>
      </c>
      <c r="C5021" s="46" t="s">
        <v>280</v>
      </c>
      <c r="F5021" s="366" t="s">
        <v>2632</v>
      </c>
      <c r="G5021" s="46" t="s">
        <v>566</v>
      </c>
      <c r="H5021" s="46">
        <v>1</v>
      </c>
      <c r="I5021" s="51">
        <v>2109.4499999999998</v>
      </c>
      <c r="J5021" s="281">
        <f>++Tabla4[[#This Row],[Precio Bruto]]*1.16</f>
        <v>2446.9619999999995</v>
      </c>
      <c r="K5021" s="281">
        <f>+Tabla4[[#This Row],[Precio Unitario Neto]]*Tabla4[[#Headers],[20.85%]]</f>
        <v>510.19157699999988</v>
      </c>
      <c r="L5021" s="282">
        <f>++Tabla4[[#This Row],[Precio Unitario Neto]]-Tabla4[[#This Row],[20.85%]]</f>
        <v>1936.7704229999997</v>
      </c>
      <c r="M5021" s="282" t="e">
        <f>(INDEX(Tabla6[#All],MATCH(Tabla4[[#This Row],[Producto]],Tabla6[[#All],[PRODUCTO]],0),MATCH(Tabla4[[#This Row],[Mes]],Tabla6[#Headers],0)))*(1+Catalogos!$L$2)</f>
        <v>#N/A</v>
      </c>
      <c r="N5021" s="283" t="e">
        <f>+(Tabla4[[#This Row],[Precio Descontado]]-Tabla4[[#This Row],[Precio Base]])*Tabla4[[#This Row],[Cantidad]]</f>
        <v>#N/A</v>
      </c>
      <c r="O5021" s="284" t="e">
        <f>++Tabla4[[#This Row],[Utilidad Total]]/Tabla4[[#This Row],[Total]]</f>
        <v>#N/A</v>
      </c>
      <c r="P5021" s="282">
        <f>++Tabla4[[#This Row],[Precio Descontado]]*Tabla4[[#This Row],[Cantidad]]</f>
        <v>1936.7704229999997</v>
      </c>
      <c r="Q5021" s="282" t="e">
        <f>(INDEX(Tabla6[#All],MATCH(Tabla4[[#This Row],[Producto]],Tabla6[[#All],[PRODUCTO]],0),MATCH(Tabla4[[#This Row],[Mes]],Tabla6[#Headers],0)))</f>
        <v>#N/A</v>
      </c>
      <c r="R5021" s="282" t="e">
        <f>++Tabla4[[#This Row],[Precio Unitario Neto]]-Tabla4[[#This Row],[20.85%]]-Tabla4[[#This Row],[Costo]]</f>
        <v>#N/A</v>
      </c>
      <c r="S5021" s="282" t="e">
        <f>++Tabla4[[#This Row],[U. Bruta Uni]]*Tabla4[[#This Row],[Cantidad]]</f>
        <v>#N/A</v>
      </c>
      <c r="T5021" s="369" t="str">
        <f>VLOOKUP(Tabla4[[#This Row],[Producto]],Tabla6[#All],14,FALSE)</f>
        <v>Termico Solar</v>
      </c>
      <c r="U5021" s="284" t="e">
        <f>(IF(Tabla4[[#This Row],[Familia]]="termico solar",Tabla4[[#This Row],[Utilidad Total]]*6%,Tabla4[[#This Row],[Utilidad Total]]*11.5%))/Tabla4[[#This Row],[Total]]</f>
        <v>#N/A</v>
      </c>
      <c r="V5021" s="282" t="e">
        <f>+Tabla4[[#This Row],[Comisión Calculada]]*Tabla4[[#This Row],[Total]]</f>
        <v>#N/A</v>
      </c>
    </row>
    <row r="5022" spans="1:22" hidden="1" x14ac:dyDescent="0.25">
      <c r="A5022" s="100">
        <v>45869</v>
      </c>
      <c r="B5022" t="str">
        <f t="shared" si="243"/>
        <v>July</v>
      </c>
      <c r="C5022" s="46" t="s">
        <v>280</v>
      </c>
      <c r="F5022" s="366" t="s">
        <v>2632</v>
      </c>
      <c r="G5022" s="46" t="s">
        <v>208</v>
      </c>
      <c r="H5022" s="46">
        <v>3</v>
      </c>
      <c r="I5022" s="51">
        <v>189.75</v>
      </c>
      <c r="J5022" s="281">
        <f>++Tabla4[[#This Row],[Precio Bruto]]*1.16</f>
        <v>220.10999999999999</v>
      </c>
      <c r="K5022" s="281">
        <f>+Tabla4[[#This Row],[Precio Unitario Neto]]*Tabla4[[#Headers],[20.85%]]</f>
        <v>45.892934999999994</v>
      </c>
      <c r="L5022" s="282">
        <f>++Tabla4[[#This Row],[Precio Unitario Neto]]-Tabla4[[#This Row],[20.85%]]</f>
        <v>174.21706499999999</v>
      </c>
      <c r="M5022" s="282" t="e">
        <f>(INDEX(Tabla6[#All],MATCH(Tabla4[[#This Row],[Producto]],Tabla6[[#All],[PRODUCTO]],0),MATCH(Tabla4[[#This Row],[Mes]],Tabla6[#Headers],0)))*(1+Catalogos!$L$2)</f>
        <v>#N/A</v>
      </c>
      <c r="N5022" s="283" t="e">
        <f>+(Tabla4[[#This Row],[Precio Descontado]]-Tabla4[[#This Row],[Precio Base]])*Tabla4[[#This Row],[Cantidad]]</f>
        <v>#N/A</v>
      </c>
      <c r="O5022" s="284" t="e">
        <f>++Tabla4[[#This Row],[Utilidad Total]]/Tabla4[[#This Row],[Total]]</f>
        <v>#N/A</v>
      </c>
      <c r="P5022" s="282">
        <f>++Tabla4[[#This Row],[Precio Descontado]]*Tabla4[[#This Row],[Cantidad]]</f>
        <v>522.65119499999992</v>
      </c>
      <c r="Q5022" s="282" t="e">
        <f>(INDEX(Tabla6[#All],MATCH(Tabla4[[#This Row],[Producto]],Tabla6[[#All],[PRODUCTO]],0),MATCH(Tabla4[[#This Row],[Mes]],Tabla6[#Headers],0)))</f>
        <v>#N/A</v>
      </c>
      <c r="R5022" s="282" t="e">
        <f>++Tabla4[[#This Row],[Precio Unitario Neto]]-Tabla4[[#This Row],[20.85%]]-Tabla4[[#This Row],[Costo]]</f>
        <v>#N/A</v>
      </c>
      <c r="S5022" s="282" t="e">
        <f>++Tabla4[[#This Row],[U. Bruta Uni]]*Tabla4[[#This Row],[Cantidad]]</f>
        <v>#N/A</v>
      </c>
      <c r="T5022" s="369" t="str">
        <f>VLOOKUP(Tabla4[[#This Row],[Producto]],Tabla6[#All],14,FALSE)</f>
        <v>Termico Solar</v>
      </c>
      <c r="U5022" s="284" t="e">
        <f>(IF(Tabla4[[#This Row],[Familia]]="termico solar",Tabla4[[#This Row],[Utilidad Total]]*6%,Tabla4[[#This Row],[Utilidad Total]]*11.5%))/Tabla4[[#This Row],[Total]]</f>
        <v>#N/A</v>
      </c>
      <c r="V5022" s="282" t="e">
        <f>+Tabla4[[#This Row],[Comisión Calculada]]*Tabla4[[#This Row],[Total]]</f>
        <v>#N/A</v>
      </c>
    </row>
    <row r="5023" spans="1:22" hidden="1" x14ac:dyDescent="0.25">
      <c r="A5023" s="100">
        <v>45869</v>
      </c>
      <c r="B5023" t="str">
        <f t="shared" si="243"/>
        <v>July</v>
      </c>
      <c r="C5023" s="46" t="s">
        <v>280</v>
      </c>
      <c r="F5023" s="366" t="s">
        <v>2633</v>
      </c>
      <c r="G5023" s="46" t="s">
        <v>17</v>
      </c>
      <c r="H5023" s="46">
        <v>1</v>
      </c>
      <c r="I5023" s="51">
        <v>4622.28</v>
      </c>
      <c r="J5023" s="281">
        <f>++Tabla4[[#This Row],[Precio Bruto]]*1.16</f>
        <v>5361.8447999999989</v>
      </c>
      <c r="K5023" s="281">
        <f>+Tabla4[[#This Row],[Precio Unitario Neto]]*Tabla4[[#Headers],[20.85%]]</f>
        <v>1117.9446407999997</v>
      </c>
      <c r="L5023" s="282">
        <f>++Tabla4[[#This Row],[Precio Unitario Neto]]-Tabla4[[#This Row],[20.85%]]</f>
        <v>4243.9001591999995</v>
      </c>
      <c r="M5023" s="282" t="e">
        <f>(INDEX(Tabla6[#All],MATCH(Tabla4[[#This Row],[Producto]],Tabla6[[#All],[PRODUCTO]],0),MATCH(Tabla4[[#This Row],[Mes]],Tabla6[#Headers],0)))*(1+Catalogos!$L$2)</f>
        <v>#N/A</v>
      </c>
      <c r="N5023" s="283" t="e">
        <f>+(Tabla4[[#This Row],[Precio Descontado]]-Tabla4[[#This Row],[Precio Base]])*Tabla4[[#This Row],[Cantidad]]</f>
        <v>#N/A</v>
      </c>
      <c r="O5023" s="284" t="e">
        <f>++Tabla4[[#This Row],[Utilidad Total]]/Tabla4[[#This Row],[Total]]</f>
        <v>#N/A</v>
      </c>
      <c r="P5023" s="282">
        <f>++Tabla4[[#This Row],[Precio Descontado]]*Tabla4[[#This Row],[Cantidad]]</f>
        <v>4243.9001591999995</v>
      </c>
      <c r="Q5023" s="282" t="e">
        <f>(INDEX(Tabla6[#All],MATCH(Tabla4[[#This Row],[Producto]],Tabla6[[#All],[PRODUCTO]],0),MATCH(Tabla4[[#This Row],[Mes]],Tabla6[#Headers],0)))</f>
        <v>#N/A</v>
      </c>
      <c r="R5023" s="282" t="e">
        <f>++Tabla4[[#This Row],[Precio Unitario Neto]]-Tabla4[[#This Row],[20.85%]]-Tabla4[[#This Row],[Costo]]</f>
        <v>#N/A</v>
      </c>
      <c r="S5023" s="282" t="e">
        <f>++Tabla4[[#This Row],[U. Bruta Uni]]*Tabla4[[#This Row],[Cantidad]]</f>
        <v>#N/A</v>
      </c>
      <c r="T5023" s="369" t="str">
        <f>VLOOKUP(Tabla4[[#This Row],[Producto]],Tabla6[#All],14,FALSE)</f>
        <v>Termico Solar</v>
      </c>
      <c r="U5023" s="284" t="e">
        <f>(IF(Tabla4[[#This Row],[Familia]]="termico solar",Tabla4[[#This Row],[Utilidad Total]]*6%,Tabla4[[#This Row],[Utilidad Total]]*11.5%))/Tabla4[[#This Row],[Total]]</f>
        <v>#N/A</v>
      </c>
      <c r="V5023" s="282" t="e">
        <f>+Tabla4[[#This Row],[Comisión Calculada]]*Tabla4[[#This Row],[Total]]</f>
        <v>#N/A</v>
      </c>
    </row>
    <row r="5024" spans="1:22" hidden="1" x14ac:dyDescent="0.25">
      <c r="A5024" s="100">
        <v>45869</v>
      </c>
      <c r="B5024" t="str">
        <f t="shared" si="243"/>
        <v>July</v>
      </c>
      <c r="C5024" s="46" t="s">
        <v>280</v>
      </c>
      <c r="F5024" s="366" t="s">
        <v>2633</v>
      </c>
      <c r="G5024" s="46" t="s">
        <v>208</v>
      </c>
      <c r="H5024" s="46">
        <v>9</v>
      </c>
      <c r="I5024" s="51">
        <v>189.75</v>
      </c>
      <c r="J5024" s="281">
        <f>++Tabla4[[#This Row],[Precio Bruto]]*1.16</f>
        <v>220.10999999999999</v>
      </c>
      <c r="K5024" s="281">
        <f>+Tabla4[[#This Row],[Precio Unitario Neto]]*Tabla4[[#Headers],[20.85%]]</f>
        <v>45.892934999999994</v>
      </c>
      <c r="L5024" s="282">
        <f>++Tabla4[[#This Row],[Precio Unitario Neto]]-Tabla4[[#This Row],[20.85%]]</f>
        <v>174.21706499999999</v>
      </c>
      <c r="M5024" s="282" t="e">
        <f>(INDEX(Tabla6[#All],MATCH(Tabla4[[#This Row],[Producto]],Tabla6[[#All],[PRODUCTO]],0),MATCH(Tabla4[[#This Row],[Mes]],Tabla6[#Headers],0)))*(1+Catalogos!$L$2)</f>
        <v>#N/A</v>
      </c>
      <c r="N5024" s="283" t="e">
        <f>+(Tabla4[[#This Row],[Precio Descontado]]-Tabla4[[#This Row],[Precio Base]])*Tabla4[[#This Row],[Cantidad]]</f>
        <v>#N/A</v>
      </c>
      <c r="O5024" s="284" t="e">
        <f>++Tabla4[[#This Row],[Utilidad Total]]/Tabla4[[#This Row],[Total]]</f>
        <v>#N/A</v>
      </c>
      <c r="P5024" s="282">
        <f>++Tabla4[[#This Row],[Precio Descontado]]*Tabla4[[#This Row],[Cantidad]]</f>
        <v>1567.953585</v>
      </c>
      <c r="Q5024" s="282" t="e">
        <f>(INDEX(Tabla6[#All],MATCH(Tabla4[[#This Row],[Producto]],Tabla6[[#All],[PRODUCTO]],0),MATCH(Tabla4[[#This Row],[Mes]],Tabla6[#Headers],0)))</f>
        <v>#N/A</v>
      </c>
      <c r="R5024" s="282" t="e">
        <f>++Tabla4[[#This Row],[Precio Unitario Neto]]-Tabla4[[#This Row],[20.85%]]-Tabla4[[#This Row],[Costo]]</f>
        <v>#N/A</v>
      </c>
      <c r="S5024" s="282" t="e">
        <f>++Tabla4[[#This Row],[U. Bruta Uni]]*Tabla4[[#This Row],[Cantidad]]</f>
        <v>#N/A</v>
      </c>
      <c r="T5024" s="369" t="str">
        <f>VLOOKUP(Tabla4[[#This Row],[Producto]],Tabla6[#All],14,FALSE)</f>
        <v>Termico Solar</v>
      </c>
      <c r="U5024" s="284" t="e">
        <f>(IF(Tabla4[[#This Row],[Familia]]="termico solar",Tabla4[[#This Row],[Utilidad Total]]*6%,Tabla4[[#This Row],[Utilidad Total]]*11.5%))/Tabla4[[#This Row],[Total]]</f>
        <v>#N/A</v>
      </c>
      <c r="V5024" s="282" t="e">
        <f>+Tabla4[[#This Row],[Comisión Calculada]]*Tabla4[[#This Row],[Total]]</f>
        <v>#N/A</v>
      </c>
    </row>
    <row r="5025" spans="1:22" hidden="1" x14ac:dyDescent="0.25">
      <c r="A5025" s="100">
        <v>45869</v>
      </c>
      <c r="B5025" t="str">
        <f t="shared" si="243"/>
        <v>July</v>
      </c>
      <c r="C5025" s="46" t="s">
        <v>280</v>
      </c>
      <c r="F5025" s="366" t="s">
        <v>2634</v>
      </c>
      <c r="G5025" s="46" t="s">
        <v>17</v>
      </c>
      <c r="H5025" s="46">
        <v>2</v>
      </c>
      <c r="I5025" s="51">
        <v>4622.28</v>
      </c>
      <c r="J5025" s="281">
        <f>++Tabla4[[#This Row],[Precio Bruto]]*1.16</f>
        <v>5361.8447999999989</v>
      </c>
      <c r="K5025" s="281">
        <f>+Tabla4[[#This Row],[Precio Unitario Neto]]*Tabla4[[#Headers],[20.85%]]</f>
        <v>1117.9446407999997</v>
      </c>
      <c r="L5025" s="282">
        <f>++Tabla4[[#This Row],[Precio Unitario Neto]]-Tabla4[[#This Row],[20.85%]]</f>
        <v>4243.9001591999995</v>
      </c>
      <c r="M5025" s="282" t="e">
        <f>(INDEX(Tabla6[#All],MATCH(Tabla4[[#This Row],[Producto]],Tabla6[[#All],[PRODUCTO]],0),MATCH(Tabla4[[#This Row],[Mes]],Tabla6[#Headers],0)))*(1+Catalogos!$L$2)</f>
        <v>#N/A</v>
      </c>
      <c r="N5025" s="283" t="e">
        <f>+(Tabla4[[#This Row],[Precio Descontado]]-Tabla4[[#This Row],[Precio Base]])*Tabla4[[#This Row],[Cantidad]]</f>
        <v>#N/A</v>
      </c>
      <c r="O5025" s="284" t="e">
        <f>++Tabla4[[#This Row],[Utilidad Total]]/Tabla4[[#This Row],[Total]]</f>
        <v>#N/A</v>
      </c>
      <c r="P5025" s="282">
        <f>++Tabla4[[#This Row],[Precio Descontado]]*Tabla4[[#This Row],[Cantidad]]</f>
        <v>8487.800318399999</v>
      </c>
      <c r="Q5025" s="282" t="e">
        <f>(INDEX(Tabla6[#All],MATCH(Tabla4[[#This Row],[Producto]],Tabla6[[#All],[PRODUCTO]],0),MATCH(Tabla4[[#This Row],[Mes]],Tabla6[#Headers],0)))</f>
        <v>#N/A</v>
      </c>
      <c r="R5025" s="282" t="e">
        <f>++Tabla4[[#This Row],[Precio Unitario Neto]]-Tabla4[[#This Row],[20.85%]]-Tabla4[[#This Row],[Costo]]</f>
        <v>#N/A</v>
      </c>
      <c r="S5025" s="282" t="e">
        <f>++Tabla4[[#This Row],[U. Bruta Uni]]*Tabla4[[#This Row],[Cantidad]]</f>
        <v>#N/A</v>
      </c>
      <c r="T5025" s="369" t="str">
        <f>VLOOKUP(Tabla4[[#This Row],[Producto]],Tabla6[#All],14,FALSE)</f>
        <v>Termico Solar</v>
      </c>
      <c r="U5025" s="284" t="e">
        <f>(IF(Tabla4[[#This Row],[Familia]]="termico solar",Tabla4[[#This Row],[Utilidad Total]]*6%,Tabla4[[#This Row],[Utilidad Total]]*11.5%))/Tabla4[[#This Row],[Total]]</f>
        <v>#N/A</v>
      </c>
      <c r="V5025" s="282" t="e">
        <f>+Tabla4[[#This Row],[Comisión Calculada]]*Tabla4[[#This Row],[Total]]</f>
        <v>#N/A</v>
      </c>
    </row>
    <row r="5026" spans="1:22" hidden="1" x14ac:dyDescent="0.25">
      <c r="A5026" s="100">
        <v>45869</v>
      </c>
      <c r="B5026" t="str">
        <f t="shared" si="243"/>
        <v>July</v>
      </c>
      <c r="C5026" s="46" t="s">
        <v>280</v>
      </c>
      <c r="F5026" s="366" t="s">
        <v>2634</v>
      </c>
      <c r="G5026" s="46" t="s">
        <v>394</v>
      </c>
      <c r="H5026" s="46">
        <v>9</v>
      </c>
      <c r="I5026" s="51">
        <v>108.1</v>
      </c>
      <c r="J5026" s="281">
        <f>++Tabla4[[#This Row],[Precio Bruto]]*1.16</f>
        <v>125.39599999999999</v>
      </c>
      <c r="K5026" s="281">
        <f>+Tabla4[[#This Row],[Precio Unitario Neto]]*Tabla4[[#Headers],[20.85%]]</f>
        <v>26.145065999999996</v>
      </c>
      <c r="L5026" s="282">
        <f>++Tabla4[[#This Row],[Precio Unitario Neto]]-Tabla4[[#This Row],[20.85%]]</f>
        <v>99.250933999999987</v>
      </c>
      <c r="M5026" s="282" t="e">
        <f>(INDEX(Tabla6[#All],MATCH(Tabla4[[#This Row],[Producto]],Tabla6[[#All],[PRODUCTO]],0),MATCH(Tabla4[[#This Row],[Mes]],Tabla6[#Headers],0)))*(1+Catalogos!$L$2)</f>
        <v>#N/A</v>
      </c>
      <c r="N5026" s="283" t="e">
        <f>+(Tabla4[[#This Row],[Precio Descontado]]-Tabla4[[#This Row],[Precio Base]])*Tabla4[[#This Row],[Cantidad]]</f>
        <v>#N/A</v>
      </c>
      <c r="O5026" s="284" t="e">
        <f>++Tabla4[[#This Row],[Utilidad Total]]/Tabla4[[#This Row],[Total]]</f>
        <v>#N/A</v>
      </c>
      <c r="P5026" s="282">
        <f>++Tabla4[[#This Row],[Precio Descontado]]*Tabla4[[#This Row],[Cantidad]]</f>
        <v>893.25840599999992</v>
      </c>
      <c r="Q5026" s="282" t="e">
        <f>(INDEX(Tabla6[#All],MATCH(Tabla4[[#This Row],[Producto]],Tabla6[[#All],[PRODUCTO]],0),MATCH(Tabla4[[#This Row],[Mes]],Tabla6[#Headers],0)))</f>
        <v>#N/A</v>
      </c>
      <c r="R5026" s="282" t="e">
        <f>++Tabla4[[#This Row],[Precio Unitario Neto]]-Tabla4[[#This Row],[20.85%]]-Tabla4[[#This Row],[Costo]]</f>
        <v>#N/A</v>
      </c>
      <c r="S5026" s="282" t="e">
        <f>++Tabla4[[#This Row],[U. Bruta Uni]]*Tabla4[[#This Row],[Cantidad]]</f>
        <v>#N/A</v>
      </c>
      <c r="T5026" s="369" t="str">
        <f>VLOOKUP(Tabla4[[#This Row],[Producto]],Tabla6[#All],14,FALSE)</f>
        <v>Termico Solar</v>
      </c>
      <c r="U5026" s="284" t="e">
        <f>(IF(Tabla4[[#This Row],[Familia]]="termico solar",Tabla4[[#This Row],[Utilidad Total]]*6%,Tabla4[[#This Row],[Utilidad Total]]*11.5%))/Tabla4[[#This Row],[Total]]</f>
        <v>#N/A</v>
      </c>
      <c r="V5026" s="282" t="e">
        <f>+Tabla4[[#This Row],[Comisión Calculada]]*Tabla4[[#This Row],[Total]]</f>
        <v>#N/A</v>
      </c>
    </row>
    <row r="5027" spans="1:22" hidden="1" x14ac:dyDescent="0.25">
      <c r="A5027" s="100">
        <v>45869</v>
      </c>
      <c r="B5027" t="str">
        <f t="shared" si="243"/>
        <v>July</v>
      </c>
      <c r="C5027" s="46" t="s">
        <v>280</v>
      </c>
      <c r="F5027" s="366" t="s">
        <v>2634</v>
      </c>
      <c r="G5027" s="46" t="s">
        <v>208</v>
      </c>
      <c r="H5027" s="46">
        <v>1</v>
      </c>
      <c r="I5027" s="51">
        <v>189.75</v>
      </c>
      <c r="J5027" s="281">
        <f>++Tabla4[[#This Row],[Precio Bruto]]*1.16</f>
        <v>220.10999999999999</v>
      </c>
      <c r="K5027" s="281">
        <f>+Tabla4[[#This Row],[Precio Unitario Neto]]*Tabla4[[#Headers],[20.85%]]</f>
        <v>45.892934999999994</v>
      </c>
      <c r="L5027" s="282">
        <f>++Tabla4[[#This Row],[Precio Unitario Neto]]-Tabla4[[#This Row],[20.85%]]</f>
        <v>174.21706499999999</v>
      </c>
      <c r="M5027" s="282" t="e">
        <f>(INDEX(Tabla6[#All],MATCH(Tabla4[[#This Row],[Producto]],Tabla6[[#All],[PRODUCTO]],0),MATCH(Tabla4[[#This Row],[Mes]],Tabla6[#Headers],0)))*(1+Catalogos!$L$2)</f>
        <v>#N/A</v>
      </c>
      <c r="N5027" s="283" t="e">
        <f>+(Tabla4[[#This Row],[Precio Descontado]]-Tabla4[[#This Row],[Precio Base]])*Tabla4[[#This Row],[Cantidad]]</f>
        <v>#N/A</v>
      </c>
      <c r="O5027" s="284" t="e">
        <f>++Tabla4[[#This Row],[Utilidad Total]]/Tabla4[[#This Row],[Total]]</f>
        <v>#N/A</v>
      </c>
      <c r="P5027" s="282">
        <f>++Tabla4[[#This Row],[Precio Descontado]]*Tabla4[[#This Row],[Cantidad]]</f>
        <v>174.21706499999999</v>
      </c>
      <c r="Q5027" s="282" t="e">
        <f>(INDEX(Tabla6[#All],MATCH(Tabla4[[#This Row],[Producto]],Tabla6[[#All],[PRODUCTO]],0),MATCH(Tabla4[[#This Row],[Mes]],Tabla6[#Headers],0)))</f>
        <v>#N/A</v>
      </c>
      <c r="R5027" s="282" t="e">
        <f>++Tabla4[[#This Row],[Precio Unitario Neto]]-Tabla4[[#This Row],[20.85%]]-Tabla4[[#This Row],[Costo]]</f>
        <v>#N/A</v>
      </c>
      <c r="S5027" s="282" t="e">
        <f>++Tabla4[[#This Row],[U. Bruta Uni]]*Tabla4[[#This Row],[Cantidad]]</f>
        <v>#N/A</v>
      </c>
      <c r="T5027" s="369" t="str">
        <f>VLOOKUP(Tabla4[[#This Row],[Producto]],Tabla6[#All],14,FALSE)</f>
        <v>Termico Solar</v>
      </c>
      <c r="U5027" s="284" t="e">
        <f>(IF(Tabla4[[#This Row],[Familia]]="termico solar",Tabla4[[#This Row],[Utilidad Total]]*6%,Tabla4[[#This Row],[Utilidad Total]]*11.5%))/Tabla4[[#This Row],[Total]]</f>
        <v>#N/A</v>
      </c>
      <c r="V5027" s="282" t="e">
        <f>+Tabla4[[#This Row],[Comisión Calculada]]*Tabla4[[#This Row],[Total]]</f>
        <v>#N/A</v>
      </c>
    </row>
    <row r="5028" spans="1:22" hidden="1" x14ac:dyDescent="0.25">
      <c r="A5028" s="100">
        <v>45869</v>
      </c>
      <c r="B5028" t="str">
        <f t="shared" si="243"/>
        <v>July</v>
      </c>
      <c r="C5028" s="46" t="s">
        <v>280</v>
      </c>
      <c r="F5028" s="366" t="s">
        <v>2635</v>
      </c>
      <c r="G5028" s="46" t="s">
        <v>208</v>
      </c>
      <c r="H5028" s="46">
        <v>1</v>
      </c>
      <c r="I5028" s="51">
        <v>189.75</v>
      </c>
      <c r="J5028" s="281">
        <f>++Tabla4[[#This Row],[Precio Bruto]]*1.16</f>
        <v>220.10999999999999</v>
      </c>
      <c r="K5028" s="281">
        <f>+Tabla4[[#This Row],[Precio Unitario Neto]]*Tabla4[[#Headers],[20.85%]]</f>
        <v>45.892934999999994</v>
      </c>
      <c r="L5028" s="282">
        <f>++Tabla4[[#This Row],[Precio Unitario Neto]]-Tabla4[[#This Row],[20.85%]]</f>
        <v>174.21706499999999</v>
      </c>
      <c r="M5028" s="282" t="e">
        <f>(INDEX(Tabla6[#All],MATCH(Tabla4[[#This Row],[Producto]],Tabla6[[#All],[PRODUCTO]],0),MATCH(Tabla4[[#This Row],[Mes]],Tabla6[#Headers],0)))*(1+Catalogos!$L$2)</f>
        <v>#N/A</v>
      </c>
      <c r="N5028" s="283" t="e">
        <f>+(Tabla4[[#This Row],[Precio Descontado]]-Tabla4[[#This Row],[Precio Base]])*Tabla4[[#This Row],[Cantidad]]</f>
        <v>#N/A</v>
      </c>
      <c r="O5028" s="284" t="e">
        <f>++Tabla4[[#This Row],[Utilidad Total]]/Tabla4[[#This Row],[Total]]</f>
        <v>#N/A</v>
      </c>
      <c r="P5028" s="282">
        <f>++Tabla4[[#This Row],[Precio Descontado]]*Tabla4[[#This Row],[Cantidad]]</f>
        <v>174.21706499999999</v>
      </c>
      <c r="Q5028" s="282" t="e">
        <f>(INDEX(Tabla6[#All],MATCH(Tabla4[[#This Row],[Producto]],Tabla6[[#All],[PRODUCTO]],0),MATCH(Tabla4[[#This Row],[Mes]],Tabla6[#Headers],0)))</f>
        <v>#N/A</v>
      </c>
      <c r="R5028" s="282" t="e">
        <f>++Tabla4[[#This Row],[Precio Unitario Neto]]-Tabla4[[#This Row],[20.85%]]-Tabla4[[#This Row],[Costo]]</f>
        <v>#N/A</v>
      </c>
      <c r="S5028" s="282" t="e">
        <f>++Tabla4[[#This Row],[U. Bruta Uni]]*Tabla4[[#This Row],[Cantidad]]</f>
        <v>#N/A</v>
      </c>
      <c r="T5028" s="369" t="str">
        <f>VLOOKUP(Tabla4[[#This Row],[Producto]],Tabla6[#All],14,FALSE)</f>
        <v>Termico Solar</v>
      </c>
      <c r="U5028" s="284" t="e">
        <f>(IF(Tabla4[[#This Row],[Familia]]="termico solar",Tabla4[[#This Row],[Utilidad Total]]*6%,Tabla4[[#This Row],[Utilidad Total]]*11.5%))/Tabla4[[#This Row],[Total]]</f>
        <v>#N/A</v>
      </c>
      <c r="V5028" s="282" t="e">
        <f>+Tabla4[[#This Row],[Comisión Calculada]]*Tabla4[[#This Row],[Total]]</f>
        <v>#N/A</v>
      </c>
    </row>
    <row r="5029" spans="1:22" hidden="1" x14ac:dyDescent="0.25">
      <c r="A5029" s="100">
        <v>45869</v>
      </c>
      <c r="B5029" t="str">
        <f t="shared" si="243"/>
        <v>July</v>
      </c>
      <c r="C5029" s="46" t="s">
        <v>280</v>
      </c>
      <c r="F5029" s="366" t="s">
        <v>2636</v>
      </c>
      <c r="G5029" s="46" t="s">
        <v>16</v>
      </c>
      <c r="H5029" s="46">
        <v>2</v>
      </c>
      <c r="I5029" s="51">
        <v>4103.8500000000004</v>
      </c>
      <c r="J5029" s="281">
        <f>++Tabla4[[#This Row],[Precio Bruto]]*1.16</f>
        <v>4760.4660000000003</v>
      </c>
      <c r="K5029" s="281">
        <f>+Tabla4[[#This Row],[Precio Unitario Neto]]*Tabla4[[#Headers],[20.85%]]</f>
        <v>992.55716100000006</v>
      </c>
      <c r="L5029" s="282">
        <f>++Tabla4[[#This Row],[Precio Unitario Neto]]-Tabla4[[#This Row],[20.85%]]</f>
        <v>3767.9088390000002</v>
      </c>
      <c r="M5029" s="282" t="e">
        <f>(INDEX(Tabla6[#All],MATCH(Tabla4[[#This Row],[Producto]],Tabla6[[#All],[PRODUCTO]],0),MATCH(Tabla4[[#This Row],[Mes]],Tabla6[#Headers],0)))*(1+Catalogos!$L$2)</f>
        <v>#N/A</v>
      </c>
      <c r="N5029" s="283" t="e">
        <f>+(Tabla4[[#This Row],[Precio Descontado]]-Tabla4[[#This Row],[Precio Base]])*Tabla4[[#This Row],[Cantidad]]</f>
        <v>#N/A</v>
      </c>
      <c r="O5029" s="284" t="e">
        <f>++Tabla4[[#This Row],[Utilidad Total]]/Tabla4[[#This Row],[Total]]</f>
        <v>#N/A</v>
      </c>
      <c r="P5029" s="282">
        <f>++Tabla4[[#This Row],[Precio Descontado]]*Tabla4[[#This Row],[Cantidad]]</f>
        <v>7535.8176780000003</v>
      </c>
      <c r="Q5029" s="282" t="e">
        <f>(INDEX(Tabla6[#All],MATCH(Tabla4[[#This Row],[Producto]],Tabla6[[#All],[PRODUCTO]],0),MATCH(Tabla4[[#This Row],[Mes]],Tabla6[#Headers],0)))</f>
        <v>#N/A</v>
      </c>
      <c r="R5029" s="282" t="e">
        <f>++Tabla4[[#This Row],[Precio Unitario Neto]]-Tabla4[[#This Row],[20.85%]]-Tabla4[[#This Row],[Costo]]</f>
        <v>#N/A</v>
      </c>
      <c r="S5029" s="282" t="e">
        <f>++Tabla4[[#This Row],[U. Bruta Uni]]*Tabla4[[#This Row],[Cantidad]]</f>
        <v>#N/A</v>
      </c>
      <c r="T5029" s="369" t="str">
        <f>VLOOKUP(Tabla4[[#This Row],[Producto]],Tabla6[#All],14,FALSE)</f>
        <v>Termico Solar</v>
      </c>
      <c r="U5029" s="284" t="e">
        <f>(IF(Tabla4[[#This Row],[Familia]]="termico solar",Tabla4[[#This Row],[Utilidad Total]]*6%,Tabla4[[#This Row],[Utilidad Total]]*11.5%))/Tabla4[[#This Row],[Total]]</f>
        <v>#N/A</v>
      </c>
      <c r="V5029" s="282" t="e">
        <f>+Tabla4[[#This Row],[Comisión Calculada]]*Tabla4[[#This Row],[Total]]</f>
        <v>#N/A</v>
      </c>
    </row>
    <row r="5030" spans="1:22" hidden="1" x14ac:dyDescent="0.25">
      <c r="A5030" s="100">
        <v>45869</v>
      </c>
      <c r="B5030" t="str">
        <f t="shared" si="243"/>
        <v>July</v>
      </c>
      <c r="C5030" s="46" t="s">
        <v>280</v>
      </c>
      <c r="F5030" s="366" t="s">
        <v>2637</v>
      </c>
      <c r="G5030" s="46" t="s">
        <v>83</v>
      </c>
      <c r="H5030" s="46">
        <v>1</v>
      </c>
      <c r="I5030" s="51">
        <v>8858.76</v>
      </c>
      <c r="J5030" s="281">
        <f>++Tabla4[[#This Row],[Precio Bruto]]*1.16</f>
        <v>10276.161599999999</v>
      </c>
      <c r="K5030" s="281">
        <f>+Tabla4[[#This Row],[Precio Unitario Neto]]*Tabla4[[#Headers],[20.85%]]</f>
        <v>2142.5796935999997</v>
      </c>
      <c r="L5030" s="282">
        <f>++Tabla4[[#This Row],[Precio Unitario Neto]]-Tabla4[[#This Row],[20.85%]]</f>
        <v>8133.5819063999998</v>
      </c>
      <c r="M5030" s="282" t="e">
        <f>(INDEX(Tabla6[#All],MATCH(Tabla4[[#This Row],[Producto]],Tabla6[[#All],[PRODUCTO]],0),MATCH(Tabla4[[#This Row],[Mes]],Tabla6[#Headers],0)))*(1+Catalogos!$L$2)</f>
        <v>#N/A</v>
      </c>
      <c r="N5030" s="283" t="e">
        <f>+(Tabla4[[#This Row],[Precio Descontado]]-Tabla4[[#This Row],[Precio Base]])*Tabla4[[#This Row],[Cantidad]]</f>
        <v>#N/A</v>
      </c>
      <c r="O5030" s="284" t="e">
        <f>++Tabla4[[#This Row],[Utilidad Total]]/Tabla4[[#This Row],[Total]]</f>
        <v>#N/A</v>
      </c>
      <c r="P5030" s="282">
        <f>++Tabla4[[#This Row],[Precio Descontado]]*Tabla4[[#This Row],[Cantidad]]</f>
        <v>8133.5819063999998</v>
      </c>
      <c r="Q5030" s="282" t="e">
        <f>(INDEX(Tabla6[#All],MATCH(Tabla4[[#This Row],[Producto]],Tabla6[[#All],[PRODUCTO]],0),MATCH(Tabla4[[#This Row],[Mes]],Tabla6[#Headers],0)))</f>
        <v>#N/A</v>
      </c>
      <c r="R5030" s="282" t="e">
        <f>++Tabla4[[#This Row],[Precio Unitario Neto]]-Tabla4[[#This Row],[20.85%]]-Tabla4[[#This Row],[Costo]]</f>
        <v>#N/A</v>
      </c>
      <c r="S5030" s="282" t="e">
        <f>++Tabla4[[#This Row],[U. Bruta Uni]]*Tabla4[[#This Row],[Cantidad]]</f>
        <v>#N/A</v>
      </c>
      <c r="T5030" s="369" t="str">
        <f>VLOOKUP(Tabla4[[#This Row],[Producto]],Tabla6[#All],14,FALSE)</f>
        <v>Termico Solar</v>
      </c>
      <c r="U5030" s="284" t="e">
        <f>(IF(Tabla4[[#This Row],[Familia]]="termico solar",Tabla4[[#This Row],[Utilidad Total]]*6%,Tabla4[[#This Row],[Utilidad Total]]*11.5%))/Tabla4[[#This Row],[Total]]</f>
        <v>#N/A</v>
      </c>
      <c r="V5030" s="282" t="e">
        <f>+Tabla4[[#This Row],[Comisión Calculada]]*Tabla4[[#This Row],[Total]]</f>
        <v>#N/A</v>
      </c>
    </row>
    <row r="5031" spans="1:22" hidden="1" x14ac:dyDescent="0.25">
      <c r="A5031" s="100">
        <v>45869</v>
      </c>
      <c r="B5031" t="str">
        <f t="shared" si="243"/>
        <v>July</v>
      </c>
      <c r="C5031" s="46" t="s">
        <v>280</v>
      </c>
      <c r="F5031" s="366" t="s">
        <v>2637</v>
      </c>
      <c r="G5031" s="46" t="s">
        <v>17</v>
      </c>
      <c r="H5031" s="46">
        <v>1</v>
      </c>
      <c r="I5031" s="51">
        <v>4622.28</v>
      </c>
      <c r="J5031" s="281">
        <f>++Tabla4[[#This Row],[Precio Bruto]]*1.16</f>
        <v>5361.8447999999989</v>
      </c>
      <c r="K5031" s="281">
        <f>+Tabla4[[#This Row],[Precio Unitario Neto]]*Tabla4[[#Headers],[20.85%]]</f>
        <v>1117.9446407999997</v>
      </c>
      <c r="L5031" s="282">
        <f>++Tabla4[[#This Row],[Precio Unitario Neto]]-Tabla4[[#This Row],[20.85%]]</f>
        <v>4243.9001591999995</v>
      </c>
      <c r="M5031" s="282" t="e">
        <f>(INDEX(Tabla6[#All],MATCH(Tabla4[[#This Row],[Producto]],Tabla6[[#All],[PRODUCTO]],0),MATCH(Tabla4[[#This Row],[Mes]],Tabla6[#Headers],0)))*(1+Catalogos!$L$2)</f>
        <v>#N/A</v>
      </c>
      <c r="N5031" s="283" t="e">
        <f>+(Tabla4[[#This Row],[Precio Descontado]]-Tabla4[[#This Row],[Precio Base]])*Tabla4[[#This Row],[Cantidad]]</f>
        <v>#N/A</v>
      </c>
      <c r="O5031" s="284" t="e">
        <f>++Tabla4[[#This Row],[Utilidad Total]]/Tabla4[[#This Row],[Total]]</f>
        <v>#N/A</v>
      </c>
      <c r="P5031" s="282">
        <f>++Tabla4[[#This Row],[Precio Descontado]]*Tabla4[[#This Row],[Cantidad]]</f>
        <v>4243.9001591999995</v>
      </c>
      <c r="Q5031" s="282" t="e">
        <f>(INDEX(Tabla6[#All],MATCH(Tabla4[[#This Row],[Producto]],Tabla6[[#All],[PRODUCTO]],0),MATCH(Tabla4[[#This Row],[Mes]],Tabla6[#Headers],0)))</f>
        <v>#N/A</v>
      </c>
      <c r="R5031" s="282" t="e">
        <f>++Tabla4[[#This Row],[Precio Unitario Neto]]-Tabla4[[#This Row],[20.85%]]-Tabla4[[#This Row],[Costo]]</f>
        <v>#N/A</v>
      </c>
      <c r="S5031" s="282" t="e">
        <f>++Tabla4[[#This Row],[U. Bruta Uni]]*Tabla4[[#This Row],[Cantidad]]</f>
        <v>#N/A</v>
      </c>
      <c r="T5031" s="369" t="str">
        <f>VLOOKUP(Tabla4[[#This Row],[Producto]],Tabla6[#All],14,FALSE)</f>
        <v>Termico Solar</v>
      </c>
      <c r="U5031" s="284" t="e">
        <f>(IF(Tabla4[[#This Row],[Familia]]="termico solar",Tabla4[[#This Row],[Utilidad Total]]*6%,Tabla4[[#This Row],[Utilidad Total]]*11.5%))/Tabla4[[#This Row],[Total]]</f>
        <v>#N/A</v>
      </c>
      <c r="V5031" s="282" t="e">
        <f>+Tabla4[[#This Row],[Comisión Calculada]]*Tabla4[[#This Row],[Total]]</f>
        <v>#N/A</v>
      </c>
    </row>
    <row r="5032" spans="1:22" hidden="1" x14ac:dyDescent="0.25">
      <c r="A5032" s="100">
        <v>45869</v>
      </c>
      <c r="B5032" t="str">
        <f t="shared" si="243"/>
        <v>July</v>
      </c>
      <c r="C5032" s="46" t="s">
        <v>280</v>
      </c>
      <c r="F5032" s="366" t="s">
        <v>2638</v>
      </c>
      <c r="G5032" s="46" t="s">
        <v>83</v>
      </c>
      <c r="H5032" s="46">
        <v>4</v>
      </c>
      <c r="I5032" s="51">
        <v>8858.76</v>
      </c>
      <c r="J5032" s="281">
        <f>++Tabla4[[#This Row],[Precio Bruto]]*1.16</f>
        <v>10276.161599999999</v>
      </c>
      <c r="K5032" s="281">
        <f>+Tabla4[[#This Row],[Precio Unitario Neto]]*Tabla4[[#Headers],[20.85%]]</f>
        <v>2142.5796935999997</v>
      </c>
      <c r="L5032" s="282">
        <f>++Tabla4[[#This Row],[Precio Unitario Neto]]-Tabla4[[#This Row],[20.85%]]</f>
        <v>8133.5819063999998</v>
      </c>
      <c r="M5032" s="282" t="e">
        <f>(INDEX(Tabla6[#All],MATCH(Tabla4[[#This Row],[Producto]],Tabla6[[#All],[PRODUCTO]],0),MATCH(Tabla4[[#This Row],[Mes]],Tabla6[#Headers],0)))*(1+Catalogos!$L$2)</f>
        <v>#N/A</v>
      </c>
      <c r="N5032" s="283" t="e">
        <f>+(Tabla4[[#This Row],[Precio Descontado]]-Tabla4[[#This Row],[Precio Base]])*Tabla4[[#This Row],[Cantidad]]</f>
        <v>#N/A</v>
      </c>
      <c r="O5032" s="284" t="e">
        <f>++Tabla4[[#This Row],[Utilidad Total]]/Tabla4[[#This Row],[Total]]</f>
        <v>#N/A</v>
      </c>
      <c r="P5032" s="282">
        <f>++Tabla4[[#This Row],[Precio Descontado]]*Tabla4[[#This Row],[Cantidad]]</f>
        <v>32534.327625599999</v>
      </c>
      <c r="Q5032" s="282" t="e">
        <f>(INDEX(Tabla6[#All],MATCH(Tabla4[[#This Row],[Producto]],Tabla6[[#All],[PRODUCTO]],0),MATCH(Tabla4[[#This Row],[Mes]],Tabla6[#Headers],0)))</f>
        <v>#N/A</v>
      </c>
      <c r="R5032" s="282" t="e">
        <f>++Tabla4[[#This Row],[Precio Unitario Neto]]-Tabla4[[#This Row],[20.85%]]-Tabla4[[#This Row],[Costo]]</f>
        <v>#N/A</v>
      </c>
      <c r="S5032" s="282" t="e">
        <f>++Tabla4[[#This Row],[U. Bruta Uni]]*Tabla4[[#This Row],[Cantidad]]</f>
        <v>#N/A</v>
      </c>
      <c r="T5032" s="369" t="str">
        <f>VLOOKUP(Tabla4[[#This Row],[Producto]],Tabla6[#All],14,FALSE)</f>
        <v>Termico Solar</v>
      </c>
      <c r="U5032" s="284" t="e">
        <f>(IF(Tabla4[[#This Row],[Familia]]="termico solar",Tabla4[[#This Row],[Utilidad Total]]*6%,Tabla4[[#This Row],[Utilidad Total]]*11.5%))/Tabla4[[#This Row],[Total]]</f>
        <v>#N/A</v>
      </c>
      <c r="V5032" s="282" t="e">
        <f>+Tabla4[[#This Row],[Comisión Calculada]]*Tabla4[[#This Row],[Total]]</f>
        <v>#N/A</v>
      </c>
    </row>
    <row r="5033" spans="1:22" hidden="1" x14ac:dyDescent="0.25">
      <c r="A5033" s="100">
        <v>45869</v>
      </c>
      <c r="B5033" t="str">
        <f t="shared" si="243"/>
        <v>July</v>
      </c>
      <c r="C5033" s="46" t="s">
        <v>280</v>
      </c>
      <c r="F5033" s="366" t="s">
        <v>2638</v>
      </c>
      <c r="G5033" s="46" t="s">
        <v>394</v>
      </c>
      <c r="H5033" s="46">
        <v>9</v>
      </c>
      <c r="I5033" s="51">
        <v>108.1</v>
      </c>
      <c r="J5033" s="281">
        <f>++Tabla4[[#This Row],[Precio Bruto]]*1.16</f>
        <v>125.39599999999999</v>
      </c>
      <c r="K5033" s="281">
        <f>+Tabla4[[#This Row],[Precio Unitario Neto]]*Tabla4[[#Headers],[20.85%]]</f>
        <v>26.145065999999996</v>
      </c>
      <c r="L5033" s="282">
        <f>++Tabla4[[#This Row],[Precio Unitario Neto]]-Tabla4[[#This Row],[20.85%]]</f>
        <v>99.250933999999987</v>
      </c>
      <c r="M5033" s="282" t="e">
        <f>(INDEX(Tabla6[#All],MATCH(Tabla4[[#This Row],[Producto]],Tabla6[[#All],[PRODUCTO]],0),MATCH(Tabla4[[#This Row],[Mes]],Tabla6[#Headers],0)))*(1+Catalogos!$L$2)</f>
        <v>#N/A</v>
      </c>
      <c r="N5033" s="283" t="e">
        <f>+(Tabla4[[#This Row],[Precio Descontado]]-Tabla4[[#This Row],[Precio Base]])*Tabla4[[#This Row],[Cantidad]]</f>
        <v>#N/A</v>
      </c>
      <c r="O5033" s="284" t="e">
        <f>++Tabla4[[#This Row],[Utilidad Total]]/Tabla4[[#This Row],[Total]]</f>
        <v>#N/A</v>
      </c>
      <c r="P5033" s="282">
        <f>++Tabla4[[#This Row],[Precio Descontado]]*Tabla4[[#This Row],[Cantidad]]</f>
        <v>893.25840599999992</v>
      </c>
      <c r="Q5033" s="282" t="e">
        <f>(INDEX(Tabla6[#All],MATCH(Tabla4[[#This Row],[Producto]],Tabla6[[#All],[PRODUCTO]],0),MATCH(Tabla4[[#This Row],[Mes]],Tabla6[#Headers],0)))</f>
        <v>#N/A</v>
      </c>
      <c r="R5033" s="282" t="e">
        <f>++Tabla4[[#This Row],[Precio Unitario Neto]]-Tabla4[[#This Row],[20.85%]]-Tabla4[[#This Row],[Costo]]</f>
        <v>#N/A</v>
      </c>
      <c r="S5033" s="282" t="e">
        <f>++Tabla4[[#This Row],[U. Bruta Uni]]*Tabla4[[#This Row],[Cantidad]]</f>
        <v>#N/A</v>
      </c>
      <c r="T5033" s="369" t="str">
        <f>VLOOKUP(Tabla4[[#This Row],[Producto]],Tabla6[#All],14,FALSE)</f>
        <v>Termico Solar</v>
      </c>
      <c r="U5033" s="284" t="e">
        <f>(IF(Tabla4[[#This Row],[Familia]]="termico solar",Tabla4[[#This Row],[Utilidad Total]]*6%,Tabla4[[#This Row],[Utilidad Total]]*11.5%))/Tabla4[[#This Row],[Total]]</f>
        <v>#N/A</v>
      </c>
      <c r="V5033" s="282" t="e">
        <f>+Tabla4[[#This Row],[Comisión Calculada]]*Tabla4[[#This Row],[Total]]</f>
        <v>#N/A</v>
      </c>
    </row>
    <row r="5034" spans="1:22" hidden="1" x14ac:dyDescent="0.25">
      <c r="A5034" s="100">
        <v>45869</v>
      </c>
      <c r="B5034" t="str">
        <f t="shared" si="243"/>
        <v>July</v>
      </c>
      <c r="C5034" s="46" t="s">
        <v>280</v>
      </c>
      <c r="F5034" s="366" t="s">
        <v>2639</v>
      </c>
      <c r="G5034" s="46" t="s">
        <v>18</v>
      </c>
      <c r="H5034" s="46">
        <v>1</v>
      </c>
      <c r="I5034" s="51">
        <v>5367.65</v>
      </c>
      <c r="J5034" s="281">
        <f>++Tabla4[[#This Row],[Precio Bruto]]*1.16</f>
        <v>6226.4739999999993</v>
      </c>
      <c r="K5034" s="281">
        <f>+Tabla4[[#This Row],[Precio Unitario Neto]]*Tabla4[[#Headers],[20.85%]]</f>
        <v>1298.2198289999999</v>
      </c>
      <c r="L5034" s="282">
        <f>++Tabla4[[#This Row],[Precio Unitario Neto]]-Tabla4[[#This Row],[20.85%]]</f>
        <v>4928.2541709999996</v>
      </c>
      <c r="M5034" s="282" t="e">
        <f>(INDEX(Tabla6[#All],MATCH(Tabla4[[#This Row],[Producto]],Tabla6[[#All],[PRODUCTO]],0),MATCH(Tabla4[[#This Row],[Mes]],Tabla6[#Headers],0)))*(1+Catalogos!$L$2)</f>
        <v>#N/A</v>
      </c>
      <c r="N5034" s="283" t="e">
        <f>+(Tabla4[[#This Row],[Precio Descontado]]-Tabla4[[#This Row],[Precio Base]])*Tabla4[[#This Row],[Cantidad]]</f>
        <v>#N/A</v>
      </c>
      <c r="O5034" s="284" t="e">
        <f>++Tabla4[[#This Row],[Utilidad Total]]/Tabla4[[#This Row],[Total]]</f>
        <v>#N/A</v>
      </c>
      <c r="P5034" s="282">
        <f>++Tabla4[[#This Row],[Precio Descontado]]*Tabla4[[#This Row],[Cantidad]]</f>
        <v>4928.2541709999996</v>
      </c>
      <c r="Q5034" s="282" t="e">
        <f>(INDEX(Tabla6[#All],MATCH(Tabla4[[#This Row],[Producto]],Tabla6[[#All],[PRODUCTO]],0),MATCH(Tabla4[[#This Row],[Mes]],Tabla6[#Headers],0)))</f>
        <v>#N/A</v>
      </c>
      <c r="R5034" s="282" t="e">
        <f>++Tabla4[[#This Row],[Precio Unitario Neto]]-Tabla4[[#This Row],[20.85%]]-Tabla4[[#This Row],[Costo]]</f>
        <v>#N/A</v>
      </c>
      <c r="S5034" s="282" t="e">
        <f>++Tabla4[[#This Row],[U. Bruta Uni]]*Tabla4[[#This Row],[Cantidad]]</f>
        <v>#N/A</v>
      </c>
      <c r="T5034" s="369" t="str">
        <f>VLOOKUP(Tabla4[[#This Row],[Producto]],Tabla6[#All],14,FALSE)</f>
        <v>Termico Solar</v>
      </c>
      <c r="U5034" s="284" t="e">
        <f>(IF(Tabla4[[#This Row],[Familia]]="termico solar",Tabla4[[#This Row],[Utilidad Total]]*6%,Tabla4[[#This Row],[Utilidad Total]]*11.5%))/Tabla4[[#This Row],[Total]]</f>
        <v>#N/A</v>
      </c>
      <c r="V5034" s="282" t="e">
        <f>+Tabla4[[#This Row],[Comisión Calculada]]*Tabla4[[#This Row],[Total]]</f>
        <v>#N/A</v>
      </c>
    </row>
    <row r="5035" spans="1:22" hidden="1" x14ac:dyDescent="0.25">
      <c r="A5035" s="100">
        <v>45869</v>
      </c>
      <c r="B5035" t="str">
        <f t="shared" si="243"/>
        <v>July</v>
      </c>
      <c r="C5035" s="46" t="s">
        <v>280</v>
      </c>
      <c r="F5035" s="366" t="s">
        <v>2640</v>
      </c>
      <c r="G5035" s="46" t="s">
        <v>83</v>
      </c>
      <c r="H5035" s="46">
        <v>1</v>
      </c>
      <c r="I5035" s="51">
        <v>8858.76</v>
      </c>
      <c r="J5035" s="281">
        <f>++Tabla4[[#This Row],[Precio Bruto]]*1.16</f>
        <v>10276.161599999999</v>
      </c>
      <c r="K5035" s="281">
        <f>+Tabla4[[#This Row],[Precio Unitario Neto]]*Tabla4[[#Headers],[20.85%]]</f>
        <v>2142.5796935999997</v>
      </c>
      <c r="L5035" s="282">
        <f>++Tabla4[[#This Row],[Precio Unitario Neto]]-Tabla4[[#This Row],[20.85%]]</f>
        <v>8133.5819063999998</v>
      </c>
      <c r="M5035" s="282" t="e">
        <f>(INDEX(Tabla6[#All],MATCH(Tabla4[[#This Row],[Producto]],Tabla6[[#All],[PRODUCTO]],0),MATCH(Tabla4[[#This Row],[Mes]],Tabla6[#Headers],0)))*(1+Catalogos!$L$2)</f>
        <v>#N/A</v>
      </c>
      <c r="N5035" s="283" t="e">
        <f>+(Tabla4[[#This Row],[Precio Descontado]]-Tabla4[[#This Row],[Precio Base]])*Tabla4[[#This Row],[Cantidad]]</f>
        <v>#N/A</v>
      </c>
      <c r="O5035" s="284" t="e">
        <f>++Tabla4[[#This Row],[Utilidad Total]]/Tabla4[[#This Row],[Total]]</f>
        <v>#N/A</v>
      </c>
      <c r="P5035" s="282">
        <f>++Tabla4[[#This Row],[Precio Descontado]]*Tabla4[[#This Row],[Cantidad]]</f>
        <v>8133.5819063999998</v>
      </c>
      <c r="Q5035" s="282" t="e">
        <f>(INDEX(Tabla6[#All],MATCH(Tabla4[[#This Row],[Producto]],Tabla6[[#All],[PRODUCTO]],0),MATCH(Tabla4[[#This Row],[Mes]],Tabla6[#Headers],0)))</f>
        <v>#N/A</v>
      </c>
      <c r="R5035" s="282" t="e">
        <f>++Tabla4[[#This Row],[Precio Unitario Neto]]-Tabla4[[#This Row],[20.85%]]-Tabla4[[#This Row],[Costo]]</f>
        <v>#N/A</v>
      </c>
      <c r="S5035" s="282" t="e">
        <f>++Tabla4[[#This Row],[U. Bruta Uni]]*Tabla4[[#This Row],[Cantidad]]</f>
        <v>#N/A</v>
      </c>
      <c r="T5035" s="369" t="str">
        <f>VLOOKUP(Tabla4[[#This Row],[Producto]],Tabla6[#All],14,FALSE)</f>
        <v>Termico Solar</v>
      </c>
      <c r="U5035" s="284" t="e">
        <f>(IF(Tabla4[[#This Row],[Familia]]="termico solar",Tabla4[[#This Row],[Utilidad Total]]*6%,Tabla4[[#This Row],[Utilidad Total]]*11.5%))/Tabla4[[#This Row],[Total]]</f>
        <v>#N/A</v>
      </c>
      <c r="V5035" s="282" t="e">
        <f>+Tabla4[[#This Row],[Comisión Calculada]]*Tabla4[[#This Row],[Total]]</f>
        <v>#N/A</v>
      </c>
    </row>
    <row r="5036" spans="1:22" hidden="1" x14ac:dyDescent="0.25">
      <c r="A5036" s="100">
        <v>45869</v>
      </c>
      <c r="B5036" t="str">
        <f t="shared" si="243"/>
        <v>July</v>
      </c>
      <c r="C5036" s="46" t="s">
        <v>280</v>
      </c>
      <c r="F5036" s="366" t="s">
        <v>2641</v>
      </c>
      <c r="G5036" s="46" t="s">
        <v>17</v>
      </c>
      <c r="H5036" s="46">
        <v>3</v>
      </c>
      <c r="I5036" s="51">
        <v>4622.28</v>
      </c>
      <c r="J5036" s="281">
        <f>++Tabla4[[#This Row],[Precio Bruto]]*1.16</f>
        <v>5361.8447999999989</v>
      </c>
      <c r="K5036" s="281">
        <f>+Tabla4[[#This Row],[Precio Unitario Neto]]*Tabla4[[#Headers],[20.85%]]</f>
        <v>1117.9446407999997</v>
      </c>
      <c r="L5036" s="282">
        <f>++Tabla4[[#This Row],[Precio Unitario Neto]]-Tabla4[[#This Row],[20.85%]]</f>
        <v>4243.9001591999995</v>
      </c>
      <c r="M5036" s="282" t="e">
        <f>(INDEX(Tabla6[#All],MATCH(Tabla4[[#This Row],[Producto]],Tabla6[[#All],[PRODUCTO]],0),MATCH(Tabla4[[#This Row],[Mes]],Tabla6[#Headers],0)))*(1+Catalogos!$L$2)</f>
        <v>#N/A</v>
      </c>
      <c r="N5036" s="283" t="e">
        <f>+(Tabla4[[#This Row],[Precio Descontado]]-Tabla4[[#This Row],[Precio Base]])*Tabla4[[#This Row],[Cantidad]]</f>
        <v>#N/A</v>
      </c>
      <c r="O5036" s="284" t="e">
        <f>++Tabla4[[#This Row],[Utilidad Total]]/Tabla4[[#This Row],[Total]]</f>
        <v>#N/A</v>
      </c>
      <c r="P5036" s="282">
        <f>++Tabla4[[#This Row],[Precio Descontado]]*Tabla4[[#This Row],[Cantidad]]</f>
        <v>12731.700477599999</v>
      </c>
      <c r="Q5036" s="282" t="e">
        <f>(INDEX(Tabla6[#All],MATCH(Tabla4[[#This Row],[Producto]],Tabla6[[#All],[PRODUCTO]],0),MATCH(Tabla4[[#This Row],[Mes]],Tabla6[#Headers],0)))</f>
        <v>#N/A</v>
      </c>
      <c r="R5036" s="282" t="e">
        <f>++Tabla4[[#This Row],[Precio Unitario Neto]]-Tabla4[[#This Row],[20.85%]]-Tabla4[[#This Row],[Costo]]</f>
        <v>#N/A</v>
      </c>
      <c r="S5036" s="282" t="e">
        <f>++Tabla4[[#This Row],[U. Bruta Uni]]*Tabla4[[#This Row],[Cantidad]]</f>
        <v>#N/A</v>
      </c>
      <c r="T5036" s="369" t="str">
        <f>VLOOKUP(Tabla4[[#This Row],[Producto]],Tabla6[#All],14,FALSE)</f>
        <v>Termico Solar</v>
      </c>
      <c r="U5036" s="284" t="e">
        <f>(IF(Tabla4[[#This Row],[Familia]]="termico solar",Tabla4[[#This Row],[Utilidad Total]]*6%,Tabla4[[#This Row],[Utilidad Total]]*11.5%))/Tabla4[[#This Row],[Total]]</f>
        <v>#N/A</v>
      </c>
      <c r="V5036" s="282" t="e">
        <f>+Tabla4[[#This Row],[Comisión Calculada]]*Tabla4[[#This Row],[Total]]</f>
        <v>#N/A</v>
      </c>
    </row>
    <row r="5037" spans="1:22" hidden="1" x14ac:dyDescent="0.25">
      <c r="A5037" s="100">
        <v>45869</v>
      </c>
      <c r="B5037" t="str">
        <f t="shared" si="243"/>
        <v>July</v>
      </c>
      <c r="C5037" s="46" t="s">
        <v>280</v>
      </c>
      <c r="F5037" s="366" t="s">
        <v>2641</v>
      </c>
      <c r="G5037" s="46" t="s">
        <v>18</v>
      </c>
      <c r="H5037" s="46">
        <v>2</v>
      </c>
      <c r="I5037" s="51">
        <v>5367.65</v>
      </c>
      <c r="J5037" s="281">
        <f>++Tabla4[[#This Row],[Precio Bruto]]*1.16</f>
        <v>6226.4739999999993</v>
      </c>
      <c r="K5037" s="281">
        <f>+Tabla4[[#This Row],[Precio Unitario Neto]]*Tabla4[[#Headers],[20.85%]]</f>
        <v>1298.2198289999999</v>
      </c>
      <c r="L5037" s="282">
        <f>++Tabla4[[#This Row],[Precio Unitario Neto]]-Tabla4[[#This Row],[20.85%]]</f>
        <v>4928.2541709999996</v>
      </c>
      <c r="M5037" s="282" t="e">
        <f>(INDEX(Tabla6[#All],MATCH(Tabla4[[#This Row],[Producto]],Tabla6[[#All],[PRODUCTO]],0),MATCH(Tabla4[[#This Row],[Mes]],Tabla6[#Headers],0)))*(1+Catalogos!$L$2)</f>
        <v>#N/A</v>
      </c>
      <c r="N5037" s="283" t="e">
        <f>+(Tabla4[[#This Row],[Precio Descontado]]-Tabla4[[#This Row],[Precio Base]])*Tabla4[[#This Row],[Cantidad]]</f>
        <v>#N/A</v>
      </c>
      <c r="O5037" s="284" t="e">
        <f>++Tabla4[[#This Row],[Utilidad Total]]/Tabla4[[#This Row],[Total]]</f>
        <v>#N/A</v>
      </c>
      <c r="P5037" s="282">
        <f>++Tabla4[[#This Row],[Precio Descontado]]*Tabla4[[#This Row],[Cantidad]]</f>
        <v>9856.5083419999992</v>
      </c>
      <c r="Q5037" s="282" t="e">
        <f>(INDEX(Tabla6[#All],MATCH(Tabla4[[#This Row],[Producto]],Tabla6[[#All],[PRODUCTO]],0),MATCH(Tabla4[[#This Row],[Mes]],Tabla6[#Headers],0)))</f>
        <v>#N/A</v>
      </c>
      <c r="R5037" s="282" t="e">
        <f>++Tabla4[[#This Row],[Precio Unitario Neto]]-Tabla4[[#This Row],[20.85%]]-Tabla4[[#This Row],[Costo]]</f>
        <v>#N/A</v>
      </c>
      <c r="S5037" s="282" t="e">
        <f>++Tabla4[[#This Row],[U. Bruta Uni]]*Tabla4[[#This Row],[Cantidad]]</f>
        <v>#N/A</v>
      </c>
      <c r="T5037" s="369" t="str">
        <f>VLOOKUP(Tabla4[[#This Row],[Producto]],Tabla6[#All],14,FALSE)</f>
        <v>Termico Solar</v>
      </c>
      <c r="U5037" s="284" t="e">
        <f>(IF(Tabla4[[#This Row],[Familia]]="termico solar",Tabla4[[#This Row],[Utilidad Total]]*6%,Tabla4[[#This Row],[Utilidad Total]]*11.5%))/Tabla4[[#This Row],[Total]]</f>
        <v>#N/A</v>
      </c>
      <c r="V5037" s="282" t="e">
        <f>+Tabla4[[#This Row],[Comisión Calculada]]*Tabla4[[#This Row],[Total]]</f>
        <v>#N/A</v>
      </c>
    </row>
    <row r="5038" spans="1:22" hidden="1" x14ac:dyDescent="0.25">
      <c r="A5038" s="100">
        <v>45869</v>
      </c>
      <c r="B5038" t="str">
        <f t="shared" si="243"/>
        <v>July</v>
      </c>
      <c r="C5038" s="46" t="s">
        <v>280</v>
      </c>
      <c r="F5038" s="366" t="s">
        <v>2641</v>
      </c>
      <c r="G5038" s="46" t="s">
        <v>16</v>
      </c>
      <c r="H5038" s="46">
        <v>1</v>
      </c>
      <c r="I5038" s="51">
        <v>4103.8500000000004</v>
      </c>
      <c r="J5038" s="281">
        <f>++Tabla4[[#This Row],[Precio Bruto]]*1.16</f>
        <v>4760.4660000000003</v>
      </c>
      <c r="K5038" s="281">
        <f>+Tabla4[[#This Row],[Precio Unitario Neto]]*Tabla4[[#Headers],[20.85%]]</f>
        <v>992.55716100000006</v>
      </c>
      <c r="L5038" s="282">
        <f>++Tabla4[[#This Row],[Precio Unitario Neto]]-Tabla4[[#This Row],[20.85%]]</f>
        <v>3767.9088390000002</v>
      </c>
      <c r="M5038" s="282" t="e">
        <f>(INDEX(Tabla6[#All],MATCH(Tabla4[[#This Row],[Producto]],Tabla6[[#All],[PRODUCTO]],0),MATCH(Tabla4[[#This Row],[Mes]],Tabla6[#Headers],0)))*(1+Catalogos!$L$2)</f>
        <v>#N/A</v>
      </c>
      <c r="N5038" s="283" t="e">
        <f>+(Tabla4[[#This Row],[Precio Descontado]]-Tabla4[[#This Row],[Precio Base]])*Tabla4[[#This Row],[Cantidad]]</f>
        <v>#N/A</v>
      </c>
      <c r="O5038" s="284" t="e">
        <f>++Tabla4[[#This Row],[Utilidad Total]]/Tabla4[[#This Row],[Total]]</f>
        <v>#N/A</v>
      </c>
      <c r="P5038" s="282">
        <f>++Tabla4[[#This Row],[Precio Descontado]]*Tabla4[[#This Row],[Cantidad]]</f>
        <v>3767.9088390000002</v>
      </c>
      <c r="Q5038" s="282" t="e">
        <f>(INDEX(Tabla6[#All],MATCH(Tabla4[[#This Row],[Producto]],Tabla6[[#All],[PRODUCTO]],0),MATCH(Tabla4[[#This Row],[Mes]],Tabla6[#Headers],0)))</f>
        <v>#N/A</v>
      </c>
      <c r="R5038" s="282" t="e">
        <f>++Tabla4[[#This Row],[Precio Unitario Neto]]-Tabla4[[#This Row],[20.85%]]-Tabla4[[#This Row],[Costo]]</f>
        <v>#N/A</v>
      </c>
      <c r="S5038" s="282" t="e">
        <f>++Tabla4[[#This Row],[U. Bruta Uni]]*Tabla4[[#This Row],[Cantidad]]</f>
        <v>#N/A</v>
      </c>
      <c r="T5038" s="369" t="str">
        <f>VLOOKUP(Tabla4[[#This Row],[Producto]],Tabla6[#All],14,FALSE)</f>
        <v>Termico Solar</v>
      </c>
      <c r="U5038" s="284" t="e">
        <f>(IF(Tabla4[[#This Row],[Familia]]="termico solar",Tabla4[[#This Row],[Utilidad Total]]*6%,Tabla4[[#This Row],[Utilidad Total]]*11.5%))/Tabla4[[#This Row],[Total]]</f>
        <v>#N/A</v>
      </c>
      <c r="V5038" s="282" t="e">
        <f>+Tabla4[[#This Row],[Comisión Calculada]]*Tabla4[[#This Row],[Total]]</f>
        <v>#N/A</v>
      </c>
    </row>
    <row r="5039" spans="1:22" hidden="1" x14ac:dyDescent="0.25">
      <c r="A5039" s="100">
        <v>45869</v>
      </c>
      <c r="B5039" t="str">
        <f t="shared" si="243"/>
        <v>July</v>
      </c>
      <c r="C5039" s="46" t="s">
        <v>280</v>
      </c>
      <c r="F5039" s="366" t="s">
        <v>2642</v>
      </c>
      <c r="G5039" s="46" t="s">
        <v>412</v>
      </c>
      <c r="H5039" s="46">
        <v>1</v>
      </c>
      <c r="I5039" s="51">
        <v>3240.84</v>
      </c>
      <c r="J5039" s="281">
        <f>++Tabla4[[#This Row],[Precio Bruto]]*1.16</f>
        <v>3759.3743999999997</v>
      </c>
      <c r="K5039" s="281">
        <f>+Tabla4[[#This Row],[Precio Unitario Neto]]*Tabla4[[#Headers],[20.85%]]</f>
        <v>783.82956239999987</v>
      </c>
      <c r="L5039" s="282">
        <f>++Tabla4[[#This Row],[Precio Unitario Neto]]-Tabla4[[#This Row],[20.85%]]</f>
        <v>2975.5448375999999</v>
      </c>
      <c r="M5039" s="282" t="e">
        <f>(INDEX(Tabla6[#All],MATCH(Tabla4[[#This Row],[Producto]],Tabla6[[#All],[PRODUCTO]],0),MATCH(Tabla4[[#This Row],[Mes]],Tabla6[#Headers],0)))*(1+Catalogos!$L$2)</f>
        <v>#N/A</v>
      </c>
      <c r="N5039" s="283" t="e">
        <f>+(Tabla4[[#This Row],[Precio Descontado]]-Tabla4[[#This Row],[Precio Base]])*Tabla4[[#This Row],[Cantidad]]</f>
        <v>#N/A</v>
      </c>
      <c r="O5039" s="284" t="e">
        <f>++Tabla4[[#This Row],[Utilidad Total]]/Tabla4[[#This Row],[Total]]</f>
        <v>#N/A</v>
      </c>
      <c r="P5039" s="282">
        <f>++Tabla4[[#This Row],[Precio Descontado]]*Tabla4[[#This Row],[Cantidad]]</f>
        <v>2975.5448375999999</v>
      </c>
      <c r="Q5039" s="282" t="e">
        <f>(INDEX(Tabla6[#All],MATCH(Tabla4[[#This Row],[Producto]],Tabla6[[#All],[PRODUCTO]],0),MATCH(Tabla4[[#This Row],[Mes]],Tabla6[#Headers],0)))</f>
        <v>#N/A</v>
      </c>
      <c r="R5039" s="282" t="e">
        <f>++Tabla4[[#This Row],[Precio Unitario Neto]]-Tabla4[[#This Row],[20.85%]]-Tabla4[[#This Row],[Costo]]</f>
        <v>#N/A</v>
      </c>
      <c r="S5039" s="282" t="e">
        <f>++Tabla4[[#This Row],[U. Bruta Uni]]*Tabla4[[#This Row],[Cantidad]]</f>
        <v>#N/A</v>
      </c>
      <c r="T5039" s="369" t="str">
        <f>VLOOKUP(Tabla4[[#This Row],[Producto]],Tabla6[#All],14,FALSE)</f>
        <v>Termico Solar</v>
      </c>
      <c r="U5039" s="284" t="e">
        <f>(IF(Tabla4[[#This Row],[Familia]]="termico solar",Tabla4[[#This Row],[Utilidad Total]]*6%,Tabla4[[#This Row],[Utilidad Total]]*11.5%))/Tabla4[[#This Row],[Total]]</f>
        <v>#N/A</v>
      </c>
      <c r="V5039" s="282" t="e">
        <f>+Tabla4[[#This Row],[Comisión Calculada]]*Tabla4[[#This Row],[Total]]</f>
        <v>#N/A</v>
      </c>
    </row>
    <row r="5040" spans="1:22" hidden="1" x14ac:dyDescent="0.25">
      <c r="A5040" s="100">
        <v>45869</v>
      </c>
      <c r="B5040" t="str">
        <f t="shared" si="243"/>
        <v>July</v>
      </c>
      <c r="C5040" s="46" t="s">
        <v>280</v>
      </c>
      <c r="F5040" s="366" t="s">
        <v>2642</v>
      </c>
      <c r="G5040" s="46" t="s">
        <v>394</v>
      </c>
      <c r="H5040" s="46">
        <v>9</v>
      </c>
      <c r="I5040" s="51">
        <v>108.1</v>
      </c>
      <c r="J5040" s="281">
        <f>++Tabla4[[#This Row],[Precio Bruto]]*1.16</f>
        <v>125.39599999999999</v>
      </c>
      <c r="K5040" s="281">
        <f>+Tabla4[[#This Row],[Precio Unitario Neto]]*Tabla4[[#Headers],[20.85%]]</f>
        <v>26.145065999999996</v>
      </c>
      <c r="L5040" s="282">
        <f>++Tabla4[[#This Row],[Precio Unitario Neto]]-Tabla4[[#This Row],[20.85%]]</f>
        <v>99.250933999999987</v>
      </c>
      <c r="M5040" s="282" t="e">
        <f>(INDEX(Tabla6[#All],MATCH(Tabla4[[#This Row],[Producto]],Tabla6[[#All],[PRODUCTO]],0),MATCH(Tabla4[[#This Row],[Mes]],Tabla6[#Headers],0)))*(1+Catalogos!$L$2)</f>
        <v>#N/A</v>
      </c>
      <c r="N5040" s="283" t="e">
        <f>+(Tabla4[[#This Row],[Precio Descontado]]-Tabla4[[#This Row],[Precio Base]])*Tabla4[[#This Row],[Cantidad]]</f>
        <v>#N/A</v>
      </c>
      <c r="O5040" s="284" t="e">
        <f>++Tabla4[[#This Row],[Utilidad Total]]/Tabla4[[#This Row],[Total]]</f>
        <v>#N/A</v>
      </c>
      <c r="P5040" s="282">
        <f>++Tabla4[[#This Row],[Precio Descontado]]*Tabla4[[#This Row],[Cantidad]]</f>
        <v>893.25840599999992</v>
      </c>
      <c r="Q5040" s="282" t="e">
        <f>(INDEX(Tabla6[#All],MATCH(Tabla4[[#This Row],[Producto]],Tabla6[[#All],[PRODUCTO]],0),MATCH(Tabla4[[#This Row],[Mes]],Tabla6[#Headers],0)))</f>
        <v>#N/A</v>
      </c>
      <c r="R5040" s="282" t="e">
        <f>++Tabla4[[#This Row],[Precio Unitario Neto]]-Tabla4[[#This Row],[20.85%]]-Tabla4[[#This Row],[Costo]]</f>
        <v>#N/A</v>
      </c>
      <c r="S5040" s="282" t="e">
        <f>++Tabla4[[#This Row],[U. Bruta Uni]]*Tabla4[[#This Row],[Cantidad]]</f>
        <v>#N/A</v>
      </c>
      <c r="T5040" s="369" t="str">
        <f>VLOOKUP(Tabla4[[#This Row],[Producto]],Tabla6[#All],14,FALSE)</f>
        <v>Termico Solar</v>
      </c>
      <c r="U5040" s="284" t="e">
        <f>(IF(Tabla4[[#This Row],[Familia]]="termico solar",Tabla4[[#This Row],[Utilidad Total]]*6%,Tabla4[[#This Row],[Utilidad Total]]*11.5%))/Tabla4[[#This Row],[Total]]</f>
        <v>#N/A</v>
      </c>
      <c r="V5040" s="282" t="e">
        <f>+Tabla4[[#This Row],[Comisión Calculada]]*Tabla4[[#This Row],[Total]]</f>
        <v>#N/A</v>
      </c>
    </row>
    <row r="5041" spans="1:22" hidden="1" x14ac:dyDescent="0.25">
      <c r="A5041" s="100">
        <v>45869</v>
      </c>
      <c r="B5041" t="str">
        <f t="shared" si="243"/>
        <v>July</v>
      </c>
      <c r="C5041" s="46" t="s">
        <v>280</v>
      </c>
      <c r="F5041" s="366" t="s">
        <v>2643</v>
      </c>
      <c r="G5041" s="46" t="s">
        <v>83</v>
      </c>
      <c r="H5041" s="46">
        <v>2</v>
      </c>
      <c r="I5041" s="51">
        <v>8858.76</v>
      </c>
      <c r="J5041" s="281">
        <f>++Tabla4[[#This Row],[Precio Bruto]]*1.16</f>
        <v>10276.161599999999</v>
      </c>
      <c r="K5041" s="281">
        <f>+Tabla4[[#This Row],[Precio Unitario Neto]]*Tabla4[[#Headers],[20.85%]]</f>
        <v>2142.5796935999997</v>
      </c>
      <c r="L5041" s="282">
        <f>++Tabla4[[#This Row],[Precio Unitario Neto]]-Tabla4[[#This Row],[20.85%]]</f>
        <v>8133.5819063999998</v>
      </c>
      <c r="M5041" s="282" t="e">
        <f>(INDEX(Tabla6[#All],MATCH(Tabla4[[#This Row],[Producto]],Tabla6[[#All],[PRODUCTO]],0),MATCH(Tabla4[[#This Row],[Mes]],Tabla6[#Headers],0)))*(1+Catalogos!$L$2)</f>
        <v>#N/A</v>
      </c>
      <c r="N5041" s="283" t="e">
        <f>+(Tabla4[[#This Row],[Precio Descontado]]-Tabla4[[#This Row],[Precio Base]])*Tabla4[[#This Row],[Cantidad]]</f>
        <v>#N/A</v>
      </c>
      <c r="O5041" s="284" t="e">
        <f>++Tabla4[[#This Row],[Utilidad Total]]/Tabla4[[#This Row],[Total]]</f>
        <v>#N/A</v>
      </c>
      <c r="P5041" s="282">
        <f>++Tabla4[[#This Row],[Precio Descontado]]*Tabla4[[#This Row],[Cantidad]]</f>
        <v>16267.1638128</v>
      </c>
      <c r="Q5041" s="282" t="e">
        <f>(INDEX(Tabla6[#All],MATCH(Tabla4[[#This Row],[Producto]],Tabla6[[#All],[PRODUCTO]],0),MATCH(Tabla4[[#This Row],[Mes]],Tabla6[#Headers],0)))</f>
        <v>#N/A</v>
      </c>
      <c r="R5041" s="282" t="e">
        <f>++Tabla4[[#This Row],[Precio Unitario Neto]]-Tabla4[[#This Row],[20.85%]]-Tabla4[[#This Row],[Costo]]</f>
        <v>#N/A</v>
      </c>
      <c r="S5041" s="282" t="e">
        <f>++Tabla4[[#This Row],[U. Bruta Uni]]*Tabla4[[#This Row],[Cantidad]]</f>
        <v>#N/A</v>
      </c>
      <c r="T5041" s="369" t="str">
        <f>VLOOKUP(Tabla4[[#This Row],[Producto]],Tabla6[#All],14,FALSE)</f>
        <v>Termico Solar</v>
      </c>
      <c r="U5041" s="284" t="e">
        <f>(IF(Tabla4[[#This Row],[Familia]]="termico solar",Tabla4[[#This Row],[Utilidad Total]]*6%,Tabla4[[#This Row],[Utilidad Total]]*11.5%))/Tabla4[[#This Row],[Total]]</f>
        <v>#N/A</v>
      </c>
      <c r="V5041" s="282" t="e">
        <f>+Tabla4[[#This Row],[Comisión Calculada]]*Tabla4[[#This Row],[Total]]</f>
        <v>#N/A</v>
      </c>
    </row>
    <row r="5042" spans="1:22" hidden="1" x14ac:dyDescent="0.25">
      <c r="A5042" s="100">
        <v>45869</v>
      </c>
      <c r="B5042" t="str">
        <f t="shared" si="243"/>
        <v>July</v>
      </c>
      <c r="C5042" s="46" t="s">
        <v>280</v>
      </c>
      <c r="F5042" s="366" t="s">
        <v>2643</v>
      </c>
      <c r="G5042" s="46" t="s">
        <v>17</v>
      </c>
      <c r="H5042" s="46">
        <v>3</v>
      </c>
      <c r="I5042" s="51">
        <v>4622.28</v>
      </c>
      <c r="J5042" s="281">
        <f>++Tabla4[[#This Row],[Precio Bruto]]*1.16</f>
        <v>5361.8447999999989</v>
      </c>
      <c r="K5042" s="281">
        <f>+Tabla4[[#This Row],[Precio Unitario Neto]]*Tabla4[[#Headers],[20.85%]]</f>
        <v>1117.9446407999997</v>
      </c>
      <c r="L5042" s="282">
        <f>++Tabla4[[#This Row],[Precio Unitario Neto]]-Tabla4[[#This Row],[20.85%]]</f>
        <v>4243.9001591999995</v>
      </c>
      <c r="M5042" s="282" t="e">
        <f>(INDEX(Tabla6[#All],MATCH(Tabla4[[#This Row],[Producto]],Tabla6[[#All],[PRODUCTO]],0),MATCH(Tabla4[[#This Row],[Mes]],Tabla6[#Headers],0)))*(1+Catalogos!$L$2)</f>
        <v>#N/A</v>
      </c>
      <c r="N5042" s="283" t="e">
        <f>+(Tabla4[[#This Row],[Precio Descontado]]-Tabla4[[#This Row],[Precio Base]])*Tabla4[[#This Row],[Cantidad]]</f>
        <v>#N/A</v>
      </c>
      <c r="O5042" s="284" t="e">
        <f>++Tabla4[[#This Row],[Utilidad Total]]/Tabla4[[#This Row],[Total]]</f>
        <v>#N/A</v>
      </c>
      <c r="P5042" s="282">
        <f>++Tabla4[[#This Row],[Precio Descontado]]*Tabla4[[#This Row],[Cantidad]]</f>
        <v>12731.700477599999</v>
      </c>
      <c r="Q5042" s="282" t="e">
        <f>(INDEX(Tabla6[#All],MATCH(Tabla4[[#This Row],[Producto]],Tabla6[[#All],[PRODUCTO]],0),MATCH(Tabla4[[#This Row],[Mes]],Tabla6[#Headers],0)))</f>
        <v>#N/A</v>
      </c>
      <c r="R5042" s="282" t="e">
        <f>++Tabla4[[#This Row],[Precio Unitario Neto]]-Tabla4[[#This Row],[20.85%]]-Tabla4[[#This Row],[Costo]]</f>
        <v>#N/A</v>
      </c>
      <c r="S5042" s="282" t="e">
        <f>++Tabla4[[#This Row],[U. Bruta Uni]]*Tabla4[[#This Row],[Cantidad]]</f>
        <v>#N/A</v>
      </c>
      <c r="T5042" s="369" t="str">
        <f>VLOOKUP(Tabla4[[#This Row],[Producto]],Tabla6[#All],14,FALSE)</f>
        <v>Termico Solar</v>
      </c>
      <c r="U5042" s="284" t="e">
        <f>(IF(Tabla4[[#This Row],[Familia]]="termico solar",Tabla4[[#This Row],[Utilidad Total]]*6%,Tabla4[[#This Row],[Utilidad Total]]*11.5%))/Tabla4[[#This Row],[Total]]</f>
        <v>#N/A</v>
      </c>
      <c r="V5042" s="282" t="e">
        <f>+Tabla4[[#This Row],[Comisión Calculada]]*Tabla4[[#This Row],[Total]]</f>
        <v>#N/A</v>
      </c>
    </row>
    <row r="5043" spans="1:22" hidden="1" x14ac:dyDescent="0.25">
      <c r="A5043" s="100">
        <v>45869</v>
      </c>
      <c r="B5043" t="str">
        <f t="shared" si="243"/>
        <v>July</v>
      </c>
      <c r="C5043" s="46" t="s">
        <v>280</v>
      </c>
      <c r="F5043" s="366" t="s">
        <v>2643</v>
      </c>
      <c r="G5043" s="46" t="s">
        <v>208</v>
      </c>
      <c r="H5043" s="46">
        <v>1</v>
      </c>
      <c r="I5043" s="51">
        <v>189.75</v>
      </c>
      <c r="J5043" s="281">
        <f>++Tabla4[[#This Row],[Precio Bruto]]*1.16</f>
        <v>220.10999999999999</v>
      </c>
      <c r="K5043" s="281">
        <f>+Tabla4[[#This Row],[Precio Unitario Neto]]*Tabla4[[#Headers],[20.85%]]</f>
        <v>45.892934999999994</v>
      </c>
      <c r="L5043" s="282">
        <f>++Tabla4[[#This Row],[Precio Unitario Neto]]-Tabla4[[#This Row],[20.85%]]</f>
        <v>174.21706499999999</v>
      </c>
      <c r="M5043" s="282" t="e">
        <f>(INDEX(Tabla6[#All],MATCH(Tabla4[[#This Row],[Producto]],Tabla6[[#All],[PRODUCTO]],0),MATCH(Tabla4[[#This Row],[Mes]],Tabla6[#Headers],0)))*(1+Catalogos!$L$2)</f>
        <v>#N/A</v>
      </c>
      <c r="N5043" s="283" t="e">
        <f>+(Tabla4[[#This Row],[Precio Descontado]]-Tabla4[[#This Row],[Precio Base]])*Tabla4[[#This Row],[Cantidad]]</f>
        <v>#N/A</v>
      </c>
      <c r="O5043" s="284" t="e">
        <f>++Tabla4[[#This Row],[Utilidad Total]]/Tabla4[[#This Row],[Total]]</f>
        <v>#N/A</v>
      </c>
      <c r="P5043" s="282">
        <f>++Tabla4[[#This Row],[Precio Descontado]]*Tabla4[[#This Row],[Cantidad]]</f>
        <v>174.21706499999999</v>
      </c>
      <c r="Q5043" s="282" t="e">
        <f>(INDEX(Tabla6[#All],MATCH(Tabla4[[#This Row],[Producto]],Tabla6[[#All],[PRODUCTO]],0),MATCH(Tabla4[[#This Row],[Mes]],Tabla6[#Headers],0)))</f>
        <v>#N/A</v>
      </c>
      <c r="R5043" s="282" t="e">
        <f>++Tabla4[[#This Row],[Precio Unitario Neto]]-Tabla4[[#This Row],[20.85%]]-Tabla4[[#This Row],[Costo]]</f>
        <v>#N/A</v>
      </c>
      <c r="S5043" s="282" t="e">
        <f>++Tabla4[[#This Row],[U. Bruta Uni]]*Tabla4[[#This Row],[Cantidad]]</f>
        <v>#N/A</v>
      </c>
      <c r="T5043" s="369" t="str">
        <f>VLOOKUP(Tabla4[[#This Row],[Producto]],Tabla6[#All],14,FALSE)</f>
        <v>Termico Solar</v>
      </c>
      <c r="U5043" s="284" t="e">
        <f>(IF(Tabla4[[#This Row],[Familia]]="termico solar",Tabla4[[#This Row],[Utilidad Total]]*6%,Tabla4[[#This Row],[Utilidad Total]]*11.5%))/Tabla4[[#This Row],[Total]]</f>
        <v>#N/A</v>
      </c>
      <c r="V5043" s="282" t="e">
        <f>+Tabla4[[#This Row],[Comisión Calculada]]*Tabla4[[#This Row],[Total]]</f>
        <v>#N/A</v>
      </c>
    </row>
    <row r="5044" spans="1:22" hidden="1" x14ac:dyDescent="0.25">
      <c r="A5044" s="100">
        <v>45869</v>
      </c>
      <c r="B5044" t="str">
        <f t="shared" si="243"/>
        <v>July</v>
      </c>
      <c r="C5044" s="46" t="s">
        <v>280</v>
      </c>
      <c r="F5044" s="366" t="s">
        <v>2644</v>
      </c>
      <c r="G5044" s="46" t="s">
        <v>83</v>
      </c>
      <c r="H5044" s="46">
        <v>2</v>
      </c>
      <c r="I5044" s="51">
        <v>8858.76</v>
      </c>
      <c r="J5044" s="281">
        <f>++Tabla4[[#This Row],[Precio Bruto]]*1.16</f>
        <v>10276.161599999999</v>
      </c>
      <c r="K5044" s="281">
        <f>+Tabla4[[#This Row],[Precio Unitario Neto]]*Tabla4[[#Headers],[20.85%]]</f>
        <v>2142.5796935999997</v>
      </c>
      <c r="L5044" s="282">
        <f>++Tabla4[[#This Row],[Precio Unitario Neto]]-Tabla4[[#This Row],[20.85%]]</f>
        <v>8133.5819063999998</v>
      </c>
      <c r="M5044" s="282" t="e">
        <f>(INDEX(Tabla6[#All],MATCH(Tabla4[[#This Row],[Producto]],Tabla6[[#All],[PRODUCTO]],0),MATCH(Tabla4[[#This Row],[Mes]],Tabla6[#Headers],0)))*(1+Catalogos!$L$2)</f>
        <v>#N/A</v>
      </c>
      <c r="N5044" s="283" t="e">
        <f>+(Tabla4[[#This Row],[Precio Descontado]]-Tabla4[[#This Row],[Precio Base]])*Tabla4[[#This Row],[Cantidad]]</f>
        <v>#N/A</v>
      </c>
      <c r="O5044" s="284" t="e">
        <f>++Tabla4[[#This Row],[Utilidad Total]]/Tabla4[[#This Row],[Total]]</f>
        <v>#N/A</v>
      </c>
      <c r="P5044" s="282">
        <f>++Tabla4[[#This Row],[Precio Descontado]]*Tabla4[[#This Row],[Cantidad]]</f>
        <v>16267.1638128</v>
      </c>
      <c r="Q5044" s="282" t="e">
        <f>(INDEX(Tabla6[#All],MATCH(Tabla4[[#This Row],[Producto]],Tabla6[[#All],[PRODUCTO]],0),MATCH(Tabla4[[#This Row],[Mes]],Tabla6[#Headers],0)))</f>
        <v>#N/A</v>
      </c>
      <c r="R5044" s="282" t="e">
        <f>++Tabla4[[#This Row],[Precio Unitario Neto]]-Tabla4[[#This Row],[20.85%]]-Tabla4[[#This Row],[Costo]]</f>
        <v>#N/A</v>
      </c>
      <c r="S5044" s="282" t="e">
        <f>++Tabla4[[#This Row],[U. Bruta Uni]]*Tabla4[[#This Row],[Cantidad]]</f>
        <v>#N/A</v>
      </c>
      <c r="T5044" s="369" t="str">
        <f>VLOOKUP(Tabla4[[#This Row],[Producto]],Tabla6[#All],14,FALSE)</f>
        <v>Termico Solar</v>
      </c>
      <c r="U5044" s="284" t="e">
        <f>(IF(Tabla4[[#This Row],[Familia]]="termico solar",Tabla4[[#This Row],[Utilidad Total]]*6%,Tabla4[[#This Row],[Utilidad Total]]*11.5%))/Tabla4[[#This Row],[Total]]</f>
        <v>#N/A</v>
      </c>
      <c r="V5044" s="282" t="e">
        <f>+Tabla4[[#This Row],[Comisión Calculada]]*Tabla4[[#This Row],[Total]]</f>
        <v>#N/A</v>
      </c>
    </row>
    <row r="5045" spans="1:22" hidden="1" x14ac:dyDescent="0.25">
      <c r="A5045" s="100">
        <v>45869</v>
      </c>
      <c r="B5045" t="str">
        <f t="shared" si="243"/>
        <v>July</v>
      </c>
      <c r="C5045" s="46" t="s">
        <v>280</v>
      </c>
      <c r="F5045" s="366" t="s">
        <v>2644</v>
      </c>
      <c r="G5045" s="46" t="s">
        <v>18</v>
      </c>
      <c r="H5045" s="46">
        <v>1</v>
      </c>
      <c r="I5045" s="51">
        <v>5367.65</v>
      </c>
      <c r="J5045" s="281">
        <f>++Tabla4[[#This Row],[Precio Bruto]]*1.16</f>
        <v>6226.4739999999993</v>
      </c>
      <c r="K5045" s="281">
        <f>+Tabla4[[#This Row],[Precio Unitario Neto]]*Tabla4[[#Headers],[20.85%]]</f>
        <v>1298.2198289999999</v>
      </c>
      <c r="L5045" s="282">
        <f>++Tabla4[[#This Row],[Precio Unitario Neto]]-Tabla4[[#This Row],[20.85%]]</f>
        <v>4928.2541709999996</v>
      </c>
      <c r="M5045" s="282" t="e">
        <f>(INDEX(Tabla6[#All],MATCH(Tabla4[[#This Row],[Producto]],Tabla6[[#All],[PRODUCTO]],0),MATCH(Tabla4[[#This Row],[Mes]],Tabla6[#Headers],0)))*(1+Catalogos!$L$2)</f>
        <v>#N/A</v>
      </c>
      <c r="N5045" s="283" t="e">
        <f>+(Tabla4[[#This Row],[Precio Descontado]]-Tabla4[[#This Row],[Precio Base]])*Tabla4[[#This Row],[Cantidad]]</f>
        <v>#N/A</v>
      </c>
      <c r="O5045" s="284" t="e">
        <f>++Tabla4[[#This Row],[Utilidad Total]]/Tabla4[[#This Row],[Total]]</f>
        <v>#N/A</v>
      </c>
      <c r="P5045" s="282">
        <f>++Tabla4[[#This Row],[Precio Descontado]]*Tabla4[[#This Row],[Cantidad]]</f>
        <v>4928.2541709999996</v>
      </c>
      <c r="Q5045" s="282" t="e">
        <f>(INDEX(Tabla6[#All],MATCH(Tabla4[[#This Row],[Producto]],Tabla6[[#All],[PRODUCTO]],0),MATCH(Tabla4[[#This Row],[Mes]],Tabla6[#Headers],0)))</f>
        <v>#N/A</v>
      </c>
      <c r="R5045" s="282" t="e">
        <f>++Tabla4[[#This Row],[Precio Unitario Neto]]-Tabla4[[#This Row],[20.85%]]-Tabla4[[#This Row],[Costo]]</f>
        <v>#N/A</v>
      </c>
      <c r="S5045" s="282" t="e">
        <f>++Tabla4[[#This Row],[U. Bruta Uni]]*Tabla4[[#This Row],[Cantidad]]</f>
        <v>#N/A</v>
      </c>
      <c r="T5045" s="369" t="str">
        <f>VLOOKUP(Tabla4[[#This Row],[Producto]],Tabla6[#All],14,FALSE)</f>
        <v>Termico Solar</v>
      </c>
      <c r="U5045" s="284" t="e">
        <f>(IF(Tabla4[[#This Row],[Familia]]="termico solar",Tabla4[[#This Row],[Utilidad Total]]*6%,Tabla4[[#This Row],[Utilidad Total]]*11.5%))/Tabla4[[#This Row],[Total]]</f>
        <v>#N/A</v>
      </c>
      <c r="V5045" s="282" t="e">
        <f>+Tabla4[[#This Row],[Comisión Calculada]]*Tabla4[[#This Row],[Total]]</f>
        <v>#N/A</v>
      </c>
    </row>
    <row r="5046" spans="1:22" hidden="1" x14ac:dyDescent="0.25">
      <c r="A5046" s="100">
        <v>45869</v>
      </c>
      <c r="B5046" t="str">
        <f t="shared" si="243"/>
        <v>July</v>
      </c>
      <c r="C5046" s="46" t="s">
        <v>280</v>
      </c>
      <c r="F5046" s="366" t="s">
        <v>2645</v>
      </c>
      <c r="G5046" s="46" t="s">
        <v>83</v>
      </c>
      <c r="H5046" s="46">
        <v>2</v>
      </c>
      <c r="I5046" s="51">
        <v>8858.76</v>
      </c>
      <c r="J5046" s="281">
        <f>++Tabla4[[#This Row],[Precio Bruto]]*1.16</f>
        <v>10276.161599999999</v>
      </c>
      <c r="K5046" s="281">
        <f>+Tabla4[[#This Row],[Precio Unitario Neto]]*Tabla4[[#Headers],[20.85%]]</f>
        <v>2142.5796935999997</v>
      </c>
      <c r="L5046" s="282">
        <f>++Tabla4[[#This Row],[Precio Unitario Neto]]-Tabla4[[#This Row],[20.85%]]</f>
        <v>8133.5819063999998</v>
      </c>
      <c r="M5046" s="282" t="e">
        <f>(INDEX(Tabla6[#All],MATCH(Tabla4[[#This Row],[Producto]],Tabla6[[#All],[PRODUCTO]],0),MATCH(Tabla4[[#This Row],[Mes]],Tabla6[#Headers],0)))*(1+Catalogos!$L$2)</f>
        <v>#N/A</v>
      </c>
      <c r="N5046" s="283" t="e">
        <f>+(Tabla4[[#This Row],[Precio Descontado]]-Tabla4[[#This Row],[Precio Base]])*Tabla4[[#This Row],[Cantidad]]</f>
        <v>#N/A</v>
      </c>
      <c r="O5046" s="284" t="e">
        <f>++Tabla4[[#This Row],[Utilidad Total]]/Tabla4[[#This Row],[Total]]</f>
        <v>#N/A</v>
      </c>
      <c r="P5046" s="282">
        <f>++Tabla4[[#This Row],[Precio Descontado]]*Tabla4[[#This Row],[Cantidad]]</f>
        <v>16267.1638128</v>
      </c>
      <c r="Q5046" s="282" t="e">
        <f>(INDEX(Tabla6[#All],MATCH(Tabla4[[#This Row],[Producto]],Tabla6[[#All],[PRODUCTO]],0),MATCH(Tabla4[[#This Row],[Mes]],Tabla6[#Headers],0)))</f>
        <v>#N/A</v>
      </c>
      <c r="R5046" s="282" t="e">
        <f>++Tabla4[[#This Row],[Precio Unitario Neto]]-Tabla4[[#This Row],[20.85%]]-Tabla4[[#This Row],[Costo]]</f>
        <v>#N/A</v>
      </c>
      <c r="S5046" s="282" t="e">
        <f>++Tabla4[[#This Row],[U. Bruta Uni]]*Tabla4[[#This Row],[Cantidad]]</f>
        <v>#N/A</v>
      </c>
      <c r="T5046" s="369" t="str">
        <f>VLOOKUP(Tabla4[[#This Row],[Producto]],Tabla6[#All],14,FALSE)</f>
        <v>Termico Solar</v>
      </c>
      <c r="U5046" s="284" t="e">
        <f>(IF(Tabla4[[#This Row],[Familia]]="termico solar",Tabla4[[#This Row],[Utilidad Total]]*6%,Tabla4[[#This Row],[Utilidad Total]]*11.5%))/Tabla4[[#This Row],[Total]]</f>
        <v>#N/A</v>
      </c>
      <c r="V5046" s="282" t="e">
        <f>+Tabla4[[#This Row],[Comisión Calculada]]*Tabla4[[#This Row],[Total]]</f>
        <v>#N/A</v>
      </c>
    </row>
    <row r="5047" spans="1:22" hidden="1" x14ac:dyDescent="0.25">
      <c r="A5047" s="100">
        <v>45869</v>
      </c>
      <c r="B5047" t="str">
        <f t="shared" ref="B5047:B5050" si="244">TEXT(A5047, "mmmm")</f>
        <v>July</v>
      </c>
      <c r="C5047" s="46" t="s">
        <v>280</v>
      </c>
      <c r="F5047" s="366" t="s">
        <v>2645</v>
      </c>
      <c r="G5047" s="46" t="s">
        <v>17</v>
      </c>
      <c r="H5047" s="46">
        <v>6</v>
      </c>
      <c r="I5047" s="51">
        <v>4622.28</v>
      </c>
      <c r="J5047" s="281">
        <f>++Tabla4[[#This Row],[Precio Bruto]]*1.16</f>
        <v>5361.8447999999989</v>
      </c>
      <c r="K5047" s="281">
        <f>+Tabla4[[#This Row],[Precio Unitario Neto]]*Tabla4[[#Headers],[20.85%]]</f>
        <v>1117.9446407999997</v>
      </c>
      <c r="L5047" s="282">
        <f>++Tabla4[[#This Row],[Precio Unitario Neto]]-Tabla4[[#This Row],[20.85%]]</f>
        <v>4243.9001591999995</v>
      </c>
      <c r="M5047" s="282" t="e">
        <f>(INDEX(Tabla6[#All],MATCH(Tabla4[[#This Row],[Producto]],Tabla6[[#All],[PRODUCTO]],0),MATCH(Tabla4[[#This Row],[Mes]],Tabla6[#Headers],0)))*(1+Catalogos!$L$2)</f>
        <v>#N/A</v>
      </c>
      <c r="N5047" s="283" t="e">
        <f>+(Tabla4[[#This Row],[Precio Descontado]]-Tabla4[[#This Row],[Precio Base]])*Tabla4[[#This Row],[Cantidad]]</f>
        <v>#N/A</v>
      </c>
      <c r="O5047" s="284" t="e">
        <f>++Tabla4[[#This Row],[Utilidad Total]]/Tabla4[[#This Row],[Total]]</f>
        <v>#N/A</v>
      </c>
      <c r="P5047" s="282">
        <f>++Tabla4[[#This Row],[Precio Descontado]]*Tabla4[[#This Row],[Cantidad]]</f>
        <v>25463.400955199999</v>
      </c>
      <c r="Q5047" s="282" t="e">
        <f>(INDEX(Tabla6[#All],MATCH(Tabla4[[#This Row],[Producto]],Tabla6[[#All],[PRODUCTO]],0),MATCH(Tabla4[[#This Row],[Mes]],Tabla6[#Headers],0)))</f>
        <v>#N/A</v>
      </c>
      <c r="R5047" s="282" t="e">
        <f>++Tabla4[[#This Row],[Precio Unitario Neto]]-Tabla4[[#This Row],[20.85%]]-Tabla4[[#This Row],[Costo]]</f>
        <v>#N/A</v>
      </c>
      <c r="S5047" s="282" t="e">
        <f>++Tabla4[[#This Row],[U. Bruta Uni]]*Tabla4[[#This Row],[Cantidad]]</f>
        <v>#N/A</v>
      </c>
      <c r="T5047" s="369" t="str">
        <f>VLOOKUP(Tabla4[[#This Row],[Producto]],Tabla6[#All],14,FALSE)</f>
        <v>Termico Solar</v>
      </c>
      <c r="U5047" s="284" t="e">
        <f>(IF(Tabla4[[#This Row],[Familia]]="termico solar",Tabla4[[#This Row],[Utilidad Total]]*6%,Tabla4[[#This Row],[Utilidad Total]]*11.5%))/Tabla4[[#This Row],[Total]]</f>
        <v>#N/A</v>
      </c>
      <c r="V5047" s="282" t="e">
        <f>+Tabla4[[#This Row],[Comisión Calculada]]*Tabla4[[#This Row],[Total]]</f>
        <v>#N/A</v>
      </c>
    </row>
    <row r="5048" spans="1:22" hidden="1" x14ac:dyDescent="0.25">
      <c r="A5048" s="100">
        <v>45869</v>
      </c>
      <c r="B5048" t="str">
        <f t="shared" si="244"/>
        <v>July</v>
      </c>
      <c r="C5048" s="46" t="s">
        <v>280</v>
      </c>
      <c r="F5048" s="366" t="s">
        <v>2646</v>
      </c>
      <c r="G5048" s="46" t="s">
        <v>208</v>
      </c>
      <c r="H5048" s="46">
        <v>2</v>
      </c>
      <c r="I5048" s="51">
        <v>189.75</v>
      </c>
      <c r="J5048" s="281">
        <f>++Tabla4[[#This Row],[Precio Bruto]]*1.16</f>
        <v>220.10999999999999</v>
      </c>
      <c r="K5048" s="281">
        <f>+Tabla4[[#This Row],[Precio Unitario Neto]]*Tabla4[[#Headers],[20.85%]]</f>
        <v>45.892934999999994</v>
      </c>
      <c r="L5048" s="282">
        <f>++Tabla4[[#This Row],[Precio Unitario Neto]]-Tabla4[[#This Row],[20.85%]]</f>
        <v>174.21706499999999</v>
      </c>
      <c r="M5048" s="282" t="e">
        <f>(INDEX(Tabla6[#All],MATCH(Tabla4[[#This Row],[Producto]],Tabla6[[#All],[PRODUCTO]],0),MATCH(Tabla4[[#This Row],[Mes]],Tabla6[#Headers],0)))*(1+Catalogos!$L$2)</f>
        <v>#N/A</v>
      </c>
      <c r="N5048" s="283" t="e">
        <f>+(Tabla4[[#This Row],[Precio Descontado]]-Tabla4[[#This Row],[Precio Base]])*Tabla4[[#This Row],[Cantidad]]</f>
        <v>#N/A</v>
      </c>
      <c r="O5048" s="284" t="e">
        <f>++Tabla4[[#This Row],[Utilidad Total]]/Tabla4[[#This Row],[Total]]</f>
        <v>#N/A</v>
      </c>
      <c r="P5048" s="282">
        <f>++Tabla4[[#This Row],[Precio Descontado]]*Tabla4[[#This Row],[Cantidad]]</f>
        <v>348.43412999999998</v>
      </c>
      <c r="Q5048" s="282" t="e">
        <f>(INDEX(Tabla6[#All],MATCH(Tabla4[[#This Row],[Producto]],Tabla6[[#All],[PRODUCTO]],0),MATCH(Tabla4[[#This Row],[Mes]],Tabla6[#Headers],0)))</f>
        <v>#N/A</v>
      </c>
      <c r="R5048" s="282" t="e">
        <f>++Tabla4[[#This Row],[Precio Unitario Neto]]-Tabla4[[#This Row],[20.85%]]-Tabla4[[#This Row],[Costo]]</f>
        <v>#N/A</v>
      </c>
      <c r="S5048" s="282" t="e">
        <f>++Tabla4[[#This Row],[U. Bruta Uni]]*Tabla4[[#This Row],[Cantidad]]</f>
        <v>#N/A</v>
      </c>
      <c r="T5048" s="369" t="str">
        <f>VLOOKUP(Tabla4[[#This Row],[Producto]],Tabla6[#All],14,FALSE)</f>
        <v>Termico Solar</v>
      </c>
      <c r="U5048" s="284" t="e">
        <f>(IF(Tabla4[[#This Row],[Familia]]="termico solar",Tabla4[[#This Row],[Utilidad Total]]*6%,Tabla4[[#This Row],[Utilidad Total]]*11.5%))/Tabla4[[#This Row],[Total]]</f>
        <v>#N/A</v>
      </c>
      <c r="V5048" s="282" t="e">
        <f>+Tabla4[[#This Row],[Comisión Calculada]]*Tabla4[[#This Row],[Total]]</f>
        <v>#N/A</v>
      </c>
    </row>
    <row r="5049" spans="1:22" hidden="1" x14ac:dyDescent="0.25">
      <c r="A5049" s="100">
        <v>45869</v>
      </c>
      <c r="B5049" t="str">
        <f t="shared" si="244"/>
        <v>July</v>
      </c>
      <c r="C5049" s="46" t="s">
        <v>280</v>
      </c>
      <c r="F5049" s="366" t="s">
        <v>2647</v>
      </c>
      <c r="G5049" s="46" t="s">
        <v>17</v>
      </c>
      <c r="H5049" s="46">
        <v>1</v>
      </c>
      <c r="I5049" s="51">
        <v>4622.28</v>
      </c>
      <c r="J5049" s="281">
        <f>++Tabla4[[#This Row],[Precio Bruto]]*1.16</f>
        <v>5361.8447999999989</v>
      </c>
      <c r="K5049" s="281">
        <f>+Tabla4[[#This Row],[Precio Unitario Neto]]*Tabla4[[#Headers],[20.85%]]</f>
        <v>1117.9446407999997</v>
      </c>
      <c r="L5049" s="282">
        <f>++Tabla4[[#This Row],[Precio Unitario Neto]]-Tabla4[[#This Row],[20.85%]]</f>
        <v>4243.9001591999995</v>
      </c>
      <c r="M5049" s="282" t="e">
        <f>(INDEX(Tabla6[#All],MATCH(Tabla4[[#This Row],[Producto]],Tabla6[[#All],[PRODUCTO]],0),MATCH(Tabla4[[#This Row],[Mes]],Tabla6[#Headers],0)))*(1+Catalogos!$L$2)</f>
        <v>#N/A</v>
      </c>
      <c r="N5049" s="283" t="e">
        <f>+(Tabla4[[#This Row],[Precio Descontado]]-Tabla4[[#This Row],[Precio Base]])*Tabla4[[#This Row],[Cantidad]]</f>
        <v>#N/A</v>
      </c>
      <c r="O5049" s="284" t="e">
        <f>++Tabla4[[#This Row],[Utilidad Total]]/Tabla4[[#This Row],[Total]]</f>
        <v>#N/A</v>
      </c>
      <c r="P5049" s="282">
        <f>++Tabla4[[#This Row],[Precio Descontado]]*Tabla4[[#This Row],[Cantidad]]</f>
        <v>4243.9001591999995</v>
      </c>
      <c r="Q5049" s="282" t="e">
        <f>(INDEX(Tabla6[#All],MATCH(Tabla4[[#This Row],[Producto]],Tabla6[[#All],[PRODUCTO]],0),MATCH(Tabla4[[#This Row],[Mes]],Tabla6[#Headers],0)))</f>
        <v>#N/A</v>
      </c>
      <c r="R5049" s="282" t="e">
        <f>++Tabla4[[#This Row],[Precio Unitario Neto]]-Tabla4[[#This Row],[20.85%]]-Tabla4[[#This Row],[Costo]]</f>
        <v>#N/A</v>
      </c>
      <c r="S5049" s="282" t="e">
        <f>++Tabla4[[#This Row],[U. Bruta Uni]]*Tabla4[[#This Row],[Cantidad]]</f>
        <v>#N/A</v>
      </c>
      <c r="T5049" s="369" t="str">
        <f>VLOOKUP(Tabla4[[#This Row],[Producto]],Tabla6[#All],14,FALSE)</f>
        <v>Termico Solar</v>
      </c>
      <c r="U5049" s="284" t="e">
        <f>(IF(Tabla4[[#This Row],[Familia]]="termico solar",Tabla4[[#This Row],[Utilidad Total]]*6%,Tabla4[[#This Row],[Utilidad Total]]*11.5%))/Tabla4[[#This Row],[Total]]</f>
        <v>#N/A</v>
      </c>
      <c r="V5049" s="282" t="e">
        <f>+Tabla4[[#This Row],[Comisión Calculada]]*Tabla4[[#This Row],[Total]]</f>
        <v>#N/A</v>
      </c>
    </row>
    <row r="5050" spans="1:22" hidden="1" x14ac:dyDescent="0.25">
      <c r="A5050" s="100">
        <v>45869</v>
      </c>
      <c r="B5050" t="str">
        <f t="shared" si="244"/>
        <v>July</v>
      </c>
      <c r="C5050" s="46" t="s">
        <v>280</v>
      </c>
      <c r="F5050" s="366" t="s">
        <v>2647</v>
      </c>
      <c r="G5050" s="46" t="s">
        <v>18</v>
      </c>
      <c r="H5050" s="46">
        <v>1</v>
      </c>
      <c r="I5050" s="51">
        <v>5367.65</v>
      </c>
      <c r="J5050" s="281">
        <f>++Tabla4[[#This Row],[Precio Bruto]]*1.16</f>
        <v>6226.4739999999993</v>
      </c>
      <c r="K5050" s="281">
        <f>+Tabla4[[#This Row],[Precio Unitario Neto]]*Tabla4[[#Headers],[20.85%]]</f>
        <v>1298.2198289999999</v>
      </c>
      <c r="L5050" s="282">
        <f>++Tabla4[[#This Row],[Precio Unitario Neto]]-Tabla4[[#This Row],[20.85%]]</f>
        <v>4928.2541709999996</v>
      </c>
      <c r="M5050" s="282" t="e">
        <f>(INDEX(Tabla6[#All],MATCH(Tabla4[[#This Row],[Producto]],Tabla6[[#All],[PRODUCTO]],0),MATCH(Tabla4[[#This Row],[Mes]],Tabla6[#Headers],0)))*(1+Catalogos!$L$2)</f>
        <v>#N/A</v>
      </c>
      <c r="N5050" s="283" t="e">
        <f>+(Tabla4[[#This Row],[Precio Descontado]]-Tabla4[[#This Row],[Precio Base]])*Tabla4[[#This Row],[Cantidad]]</f>
        <v>#N/A</v>
      </c>
      <c r="O5050" s="284" t="e">
        <f>++Tabla4[[#This Row],[Utilidad Total]]/Tabla4[[#This Row],[Total]]</f>
        <v>#N/A</v>
      </c>
      <c r="P5050" s="282">
        <f>++Tabla4[[#This Row],[Precio Descontado]]*Tabla4[[#This Row],[Cantidad]]</f>
        <v>4928.2541709999996</v>
      </c>
      <c r="Q5050" s="282" t="e">
        <f>(INDEX(Tabla6[#All],MATCH(Tabla4[[#This Row],[Producto]],Tabla6[[#All],[PRODUCTO]],0),MATCH(Tabla4[[#This Row],[Mes]],Tabla6[#Headers],0)))</f>
        <v>#N/A</v>
      </c>
      <c r="R5050" s="282" t="e">
        <f>++Tabla4[[#This Row],[Precio Unitario Neto]]-Tabla4[[#This Row],[20.85%]]-Tabla4[[#This Row],[Costo]]</f>
        <v>#N/A</v>
      </c>
      <c r="S5050" s="282" t="e">
        <f>++Tabla4[[#This Row],[U. Bruta Uni]]*Tabla4[[#This Row],[Cantidad]]</f>
        <v>#N/A</v>
      </c>
      <c r="T5050" s="369" t="str">
        <f>VLOOKUP(Tabla4[[#This Row],[Producto]],Tabla6[#All],14,FALSE)</f>
        <v>Termico Solar</v>
      </c>
      <c r="U5050" s="284" t="e">
        <f>(IF(Tabla4[[#This Row],[Familia]]="termico solar",Tabla4[[#This Row],[Utilidad Total]]*6%,Tabla4[[#This Row],[Utilidad Total]]*11.5%))/Tabla4[[#This Row],[Total]]</f>
        <v>#N/A</v>
      </c>
      <c r="V5050" s="282" t="e">
        <f>+Tabla4[[#This Row],[Comisión Calculada]]*Tabla4[[#This Row],[Total]]</f>
        <v>#N/A</v>
      </c>
    </row>
    <row r="5051" spans="1:22" hidden="1" x14ac:dyDescent="0.25">
      <c r="A5051" s="100">
        <v>45869</v>
      </c>
      <c r="B5051" t="str">
        <f t="shared" ref="B5051:B5056" si="245">TEXT(A5051, "mmmm")</f>
        <v>July</v>
      </c>
      <c r="C5051" s="46" t="s">
        <v>280</v>
      </c>
      <c r="F5051" s="366" t="s">
        <v>2648</v>
      </c>
      <c r="G5051" s="46" t="s">
        <v>83</v>
      </c>
      <c r="H5051" s="46">
        <v>2</v>
      </c>
      <c r="I5051" s="51">
        <v>8858.76</v>
      </c>
      <c r="J5051" s="281">
        <f>++Tabla4[[#This Row],[Precio Bruto]]*1.16</f>
        <v>10276.161599999999</v>
      </c>
      <c r="K5051" s="281">
        <f>+Tabla4[[#This Row],[Precio Unitario Neto]]*Tabla4[[#Headers],[20.85%]]</f>
        <v>2142.5796935999997</v>
      </c>
      <c r="L5051" s="282">
        <f>++Tabla4[[#This Row],[Precio Unitario Neto]]-Tabla4[[#This Row],[20.85%]]</f>
        <v>8133.5819063999998</v>
      </c>
      <c r="M5051" s="282" t="e">
        <f>(INDEX(Tabla6[#All],MATCH(Tabla4[[#This Row],[Producto]],Tabla6[[#All],[PRODUCTO]],0),MATCH(Tabla4[[#This Row],[Mes]],Tabla6[#Headers],0)))*(1+Catalogos!$L$2)</f>
        <v>#N/A</v>
      </c>
      <c r="N5051" s="283" t="e">
        <f>+(Tabla4[[#This Row],[Precio Descontado]]-Tabla4[[#This Row],[Precio Base]])*Tabla4[[#This Row],[Cantidad]]</f>
        <v>#N/A</v>
      </c>
      <c r="O5051" s="284" t="e">
        <f>++Tabla4[[#This Row],[Utilidad Total]]/Tabla4[[#This Row],[Total]]</f>
        <v>#N/A</v>
      </c>
      <c r="P5051" s="282">
        <f>++Tabla4[[#This Row],[Precio Descontado]]*Tabla4[[#This Row],[Cantidad]]</f>
        <v>16267.1638128</v>
      </c>
      <c r="Q5051" s="282" t="e">
        <f>(INDEX(Tabla6[#All],MATCH(Tabla4[[#This Row],[Producto]],Tabla6[[#All],[PRODUCTO]],0),MATCH(Tabla4[[#This Row],[Mes]],Tabla6[#Headers],0)))</f>
        <v>#N/A</v>
      </c>
      <c r="R5051" s="282" t="e">
        <f>++Tabla4[[#This Row],[Precio Unitario Neto]]-Tabla4[[#This Row],[20.85%]]-Tabla4[[#This Row],[Costo]]</f>
        <v>#N/A</v>
      </c>
      <c r="S5051" s="282" t="e">
        <f>++Tabla4[[#This Row],[U. Bruta Uni]]*Tabla4[[#This Row],[Cantidad]]</f>
        <v>#N/A</v>
      </c>
      <c r="T5051" s="369" t="str">
        <f>VLOOKUP(Tabla4[[#This Row],[Producto]],Tabla6[#All],14,FALSE)</f>
        <v>Termico Solar</v>
      </c>
      <c r="U5051" s="284" t="e">
        <f>(IF(Tabla4[[#This Row],[Familia]]="termico solar",Tabla4[[#This Row],[Utilidad Total]]*6%,Tabla4[[#This Row],[Utilidad Total]]*11.5%))/Tabla4[[#This Row],[Total]]</f>
        <v>#N/A</v>
      </c>
      <c r="V5051" s="282" t="e">
        <f>+Tabla4[[#This Row],[Comisión Calculada]]*Tabla4[[#This Row],[Total]]</f>
        <v>#N/A</v>
      </c>
    </row>
    <row r="5052" spans="1:22" hidden="1" x14ac:dyDescent="0.25">
      <c r="A5052" s="100">
        <v>45869</v>
      </c>
      <c r="B5052" t="str">
        <f t="shared" si="245"/>
        <v>July</v>
      </c>
      <c r="C5052" s="46" t="s">
        <v>280</v>
      </c>
      <c r="F5052" s="366" t="s">
        <v>2648</v>
      </c>
      <c r="G5052" s="46" t="s">
        <v>18</v>
      </c>
      <c r="H5052" s="46">
        <v>1</v>
      </c>
      <c r="I5052" s="51">
        <v>5367.65</v>
      </c>
      <c r="J5052" s="281">
        <f>++Tabla4[[#This Row],[Precio Bruto]]*1.16</f>
        <v>6226.4739999999993</v>
      </c>
      <c r="K5052" s="281">
        <f>+Tabla4[[#This Row],[Precio Unitario Neto]]*Tabla4[[#Headers],[20.85%]]</f>
        <v>1298.2198289999999</v>
      </c>
      <c r="L5052" s="282">
        <f>++Tabla4[[#This Row],[Precio Unitario Neto]]-Tabla4[[#This Row],[20.85%]]</f>
        <v>4928.2541709999996</v>
      </c>
      <c r="M5052" s="282" t="e">
        <f>(INDEX(Tabla6[#All],MATCH(Tabla4[[#This Row],[Producto]],Tabla6[[#All],[PRODUCTO]],0),MATCH(Tabla4[[#This Row],[Mes]],Tabla6[#Headers],0)))*(1+Catalogos!$L$2)</f>
        <v>#N/A</v>
      </c>
      <c r="N5052" s="283" t="e">
        <f>+(Tabla4[[#This Row],[Precio Descontado]]-Tabla4[[#This Row],[Precio Base]])*Tabla4[[#This Row],[Cantidad]]</f>
        <v>#N/A</v>
      </c>
      <c r="O5052" s="284" t="e">
        <f>++Tabla4[[#This Row],[Utilidad Total]]/Tabla4[[#This Row],[Total]]</f>
        <v>#N/A</v>
      </c>
      <c r="P5052" s="282">
        <f>++Tabla4[[#This Row],[Precio Descontado]]*Tabla4[[#This Row],[Cantidad]]</f>
        <v>4928.2541709999996</v>
      </c>
      <c r="Q5052" s="282" t="e">
        <f>(INDEX(Tabla6[#All],MATCH(Tabla4[[#This Row],[Producto]],Tabla6[[#All],[PRODUCTO]],0),MATCH(Tabla4[[#This Row],[Mes]],Tabla6[#Headers],0)))</f>
        <v>#N/A</v>
      </c>
      <c r="R5052" s="282" t="e">
        <f>++Tabla4[[#This Row],[Precio Unitario Neto]]-Tabla4[[#This Row],[20.85%]]-Tabla4[[#This Row],[Costo]]</f>
        <v>#N/A</v>
      </c>
      <c r="S5052" s="282" t="e">
        <f>++Tabla4[[#This Row],[U. Bruta Uni]]*Tabla4[[#This Row],[Cantidad]]</f>
        <v>#N/A</v>
      </c>
      <c r="T5052" s="369" t="str">
        <f>VLOOKUP(Tabla4[[#This Row],[Producto]],Tabla6[#All],14,FALSE)</f>
        <v>Termico Solar</v>
      </c>
      <c r="U5052" s="284" t="e">
        <f>(IF(Tabla4[[#This Row],[Familia]]="termico solar",Tabla4[[#This Row],[Utilidad Total]]*6%,Tabla4[[#This Row],[Utilidad Total]]*11.5%))/Tabla4[[#This Row],[Total]]</f>
        <v>#N/A</v>
      </c>
      <c r="V5052" s="282" t="e">
        <f>+Tabla4[[#This Row],[Comisión Calculada]]*Tabla4[[#This Row],[Total]]</f>
        <v>#N/A</v>
      </c>
    </row>
    <row r="5053" spans="1:22" hidden="1" x14ac:dyDescent="0.25">
      <c r="A5053" s="100">
        <v>45869</v>
      </c>
      <c r="B5053" t="str">
        <f t="shared" si="245"/>
        <v>July</v>
      </c>
      <c r="C5053" s="46" t="s">
        <v>280</v>
      </c>
      <c r="F5053" s="366" t="s">
        <v>2648</v>
      </c>
      <c r="G5053" s="46" t="s">
        <v>566</v>
      </c>
      <c r="H5053" s="46">
        <v>1</v>
      </c>
      <c r="I5053" s="51">
        <v>2109.4499999999998</v>
      </c>
      <c r="J5053" s="281">
        <f>++Tabla4[[#This Row],[Precio Bruto]]*1.16</f>
        <v>2446.9619999999995</v>
      </c>
      <c r="K5053" s="281">
        <f>+Tabla4[[#This Row],[Precio Unitario Neto]]*Tabla4[[#Headers],[20.85%]]</f>
        <v>510.19157699999988</v>
      </c>
      <c r="L5053" s="282">
        <f>++Tabla4[[#This Row],[Precio Unitario Neto]]-Tabla4[[#This Row],[20.85%]]</f>
        <v>1936.7704229999997</v>
      </c>
      <c r="M5053" s="282" t="e">
        <f>(INDEX(Tabla6[#All],MATCH(Tabla4[[#This Row],[Producto]],Tabla6[[#All],[PRODUCTO]],0),MATCH(Tabla4[[#This Row],[Mes]],Tabla6[#Headers],0)))*(1+Catalogos!$L$2)</f>
        <v>#N/A</v>
      </c>
      <c r="N5053" s="283" t="e">
        <f>+(Tabla4[[#This Row],[Precio Descontado]]-Tabla4[[#This Row],[Precio Base]])*Tabla4[[#This Row],[Cantidad]]</f>
        <v>#N/A</v>
      </c>
      <c r="O5053" s="284" t="e">
        <f>++Tabla4[[#This Row],[Utilidad Total]]/Tabla4[[#This Row],[Total]]</f>
        <v>#N/A</v>
      </c>
      <c r="P5053" s="282">
        <f>++Tabla4[[#This Row],[Precio Descontado]]*Tabla4[[#This Row],[Cantidad]]</f>
        <v>1936.7704229999997</v>
      </c>
      <c r="Q5053" s="282" t="e">
        <f>(INDEX(Tabla6[#All],MATCH(Tabla4[[#This Row],[Producto]],Tabla6[[#All],[PRODUCTO]],0),MATCH(Tabla4[[#This Row],[Mes]],Tabla6[#Headers],0)))</f>
        <v>#N/A</v>
      </c>
      <c r="R5053" s="282" t="e">
        <f>++Tabla4[[#This Row],[Precio Unitario Neto]]-Tabla4[[#This Row],[20.85%]]-Tabla4[[#This Row],[Costo]]</f>
        <v>#N/A</v>
      </c>
      <c r="S5053" s="282" t="e">
        <f>++Tabla4[[#This Row],[U. Bruta Uni]]*Tabla4[[#This Row],[Cantidad]]</f>
        <v>#N/A</v>
      </c>
      <c r="T5053" s="369" t="str">
        <f>VLOOKUP(Tabla4[[#This Row],[Producto]],Tabla6[#All],14,FALSE)</f>
        <v>Termico Solar</v>
      </c>
      <c r="U5053" s="284" t="e">
        <f>(IF(Tabla4[[#This Row],[Familia]]="termico solar",Tabla4[[#This Row],[Utilidad Total]]*6%,Tabla4[[#This Row],[Utilidad Total]]*11.5%))/Tabla4[[#This Row],[Total]]</f>
        <v>#N/A</v>
      </c>
      <c r="V5053" s="282" t="e">
        <f>+Tabla4[[#This Row],[Comisión Calculada]]*Tabla4[[#This Row],[Total]]</f>
        <v>#N/A</v>
      </c>
    </row>
    <row r="5054" spans="1:22" hidden="1" x14ac:dyDescent="0.25">
      <c r="A5054" s="100">
        <v>45869</v>
      </c>
      <c r="B5054" t="str">
        <f t="shared" si="245"/>
        <v>July</v>
      </c>
      <c r="C5054" s="46" t="s">
        <v>280</v>
      </c>
      <c r="F5054" s="366" t="s">
        <v>2648</v>
      </c>
      <c r="G5054" s="46" t="s">
        <v>412</v>
      </c>
      <c r="H5054" s="46">
        <v>1</v>
      </c>
      <c r="I5054" s="51">
        <v>3240.84</v>
      </c>
      <c r="J5054" s="281">
        <f>++Tabla4[[#This Row],[Precio Bruto]]*1.16</f>
        <v>3759.3743999999997</v>
      </c>
      <c r="K5054" s="281">
        <f>+Tabla4[[#This Row],[Precio Unitario Neto]]*Tabla4[[#Headers],[20.85%]]</f>
        <v>783.82956239999987</v>
      </c>
      <c r="L5054" s="282">
        <f>++Tabla4[[#This Row],[Precio Unitario Neto]]-Tabla4[[#This Row],[20.85%]]</f>
        <v>2975.5448375999999</v>
      </c>
      <c r="M5054" s="282" t="e">
        <f>(INDEX(Tabla6[#All],MATCH(Tabla4[[#This Row],[Producto]],Tabla6[[#All],[PRODUCTO]],0),MATCH(Tabla4[[#This Row],[Mes]],Tabla6[#Headers],0)))*(1+Catalogos!$L$2)</f>
        <v>#N/A</v>
      </c>
      <c r="N5054" s="283" t="e">
        <f>+(Tabla4[[#This Row],[Precio Descontado]]-Tabla4[[#This Row],[Precio Base]])*Tabla4[[#This Row],[Cantidad]]</f>
        <v>#N/A</v>
      </c>
      <c r="O5054" s="284" t="e">
        <f>++Tabla4[[#This Row],[Utilidad Total]]/Tabla4[[#This Row],[Total]]</f>
        <v>#N/A</v>
      </c>
      <c r="P5054" s="282">
        <f>++Tabla4[[#This Row],[Precio Descontado]]*Tabla4[[#This Row],[Cantidad]]</f>
        <v>2975.5448375999999</v>
      </c>
      <c r="Q5054" s="282" t="e">
        <f>(INDEX(Tabla6[#All],MATCH(Tabla4[[#This Row],[Producto]],Tabla6[[#All],[PRODUCTO]],0),MATCH(Tabla4[[#This Row],[Mes]],Tabla6[#Headers],0)))</f>
        <v>#N/A</v>
      </c>
      <c r="R5054" s="282" t="e">
        <f>++Tabla4[[#This Row],[Precio Unitario Neto]]-Tabla4[[#This Row],[20.85%]]-Tabla4[[#This Row],[Costo]]</f>
        <v>#N/A</v>
      </c>
      <c r="S5054" s="282" t="e">
        <f>++Tabla4[[#This Row],[U. Bruta Uni]]*Tabla4[[#This Row],[Cantidad]]</f>
        <v>#N/A</v>
      </c>
      <c r="T5054" s="369" t="str">
        <f>VLOOKUP(Tabla4[[#This Row],[Producto]],Tabla6[#All],14,FALSE)</f>
        <v>Termico Solar</v>
      </c>
      <c r="U5054" s="284" t="e">
        <f>(IF(Tabla4[[#This Row],[Familia]]="termico solar",Tabla4[[#This Row],[Utilidad Total]]*6%,Tabla4[[#This Row],[Utilidad Total]]*11.5%))/Tabla4[[#This Row],[Total]]</f>
        <v>#N/A</v>
      </c>
      <c r="V5054" s="282" t="e">
        <f>+Tabla4[[#This Row],[Comisión Calculada]]*Tabla4[[#This Row],[Total]]</f>
        <v>#N/A</v>
      </c>
    </row>
    <row r="5055" spans="1:22" hidden="1" x14ac:dyDescent="0.25">
      <c r="A5055" s="100">
        <v>45869</v>
      </c>
      <c r="B5055" t="str">
        <f t="shared" si="245"/>
        <v>July</v>
      </c>
      <c r="C5055" s="46" t="s">
        <v>280</v>
      </c>
      <c r="F5055" s="366" t="s">
        <v>2648</v>
      </c>
      <c r="G5055" s="46" t="s">
        <v>394</v>
      </c>
      <c r="H5055" s="46">
        <v>9</v>
      </c>
      <c r="I5055" s="51">
        <v>108.1</v>
      </c>
      <c r="J5055" s="281">
        <f>++Tabla4[[#This Row],[Precio Bruto]]*1.16</f>
        <v>125.39599999999999</v>
      </c>
      <c r="K5055" s="281">
        <f>+Tabla4[[#This Row],[Precio Unitario Neto]]*Tabla4[[#Headers],[20.85%]]</f>
        <v>26.145065999999996</v>
      </c>
      <c r="L5055" s="282">
        <f>++Tabla4[[#This Row],[Precio Unitario Neto]]-Tabla4[[#This Row],[20.85%]]</f>
        <v>99.250933999999987</v>
      </c>
      <c r="M5055" s="282" t="e">
        <f>(INDEX(Tabla6[#All],MATCH(Tabla4[[#This Row],[Producto]],Tabla6[[#All],[PRODUCTO]],0),MATCH(Tabla4[[#This Row],[Mes]],Tabla6[#Headers],0)))*(1+Catalogos!$L$2)</f>
        <v>#N/A</v>
      </c>
      <c r="N5055" s="283" t="e">
        <f>+(Tabla4[[#This Row],[Precio Descontado]]-Tabla4[[#This Row],[Precio Base]])*Tabla4[[#This Row],[Cantidad]]</f>
        <v>#N/A</v>
      </c>
      <c r="O5055" s="284" t="e">
        <f>++Tabla4[[#This Row],[Utilidad Total]]/Tabla4[[#This Row],[Total]]</f>
        <v>#N/A</v>
      </c>
      <c r="P5055" s="282">
        <f>++Tabla4[[#This Row],[Precio Descontado]]*Tabla4[[#This Row],[Cantidad]]</f>
        <v>893.25840599999992</v>
      </c>
      <c r="Q5055" s="282" t="e">
        <f>(INDEX(Tabla6[#All],MATCH(Tabla4[[#This Row],[Producto]],Tabla6[[#All],[PRODUCTO]],0),MATCH(Tabla4[[#This Row],[Mes]],Tabla6[#Headers],0)))</f>
        <v>#N/A</v>
      </c>
      <c r="R5055" s="282" t="e">
        <f>++Tabla4[[#This Row],[Precio Unitario Neto]]-Tabla4[[#This Row],[20.85%]]-Tabla4[[#This Row],[Costo]]</f>
        <v>#N/A</v>
      </c>
      <c r="S5055" s="282" t="e">
        <f>++Tabla4[[#This Row],[U. Bruta Uni]]*Tabla4[[#This Row],[Cantidad]]</f>
        <v>#N/A</v>
      </c>
      <c r="T5055" s="369" t="str">
        <f>VLOOKUP(Tabla4[[#This Row],[Producto]],Tabla6[#All],14,FALSE)</f>
        <v>Termico Solar</v>
      </c>
      <c r="U5055" s="284" t="e">
        <f>(IF(Tabla4[[#This Row],[Familia]]="termico solar",Tabla4[[#This Row],[Utilidad Total]]*6%,Tabla4[[#This Row],[Utilidad Total]]*11.5%))/Tabla4[[#This Row],[Total]]</f>
        <v>#N/A</v>
      </c>
      <c r="V5055" s="282" t="e">
        <f>+Tabla4[[#This Row],[Comisión Calculada]]*Tabla4[[#This Row],[Total]]</f>
        <v>#N/A</v>
      </c>
    </row>
    <row r="5056" spans="1:22" hidden="1" x14ac:dyDescent="0.25">
      <c r="A5056" s="100">
        <v>45869</v>
      </c>
      <c r="B5056" t="str">
        <f t="shared" si="245"/>
        <v>July</v>
      </c>
      <c r="C5056" s="46" t="s">
        <v>280</v>
      </c>
      <c r="F5056" s="366" t="s">
        <v>2648</v>
      </c>
      <c r="G5056" s="46" t="s">
        <v>208</v>
      </c>
      <c r="H5056" s="46">
        <v>1</v>
      </c>
      <c r="I5056" s="51">
        <v>189.75</v>
      </c>
      <c r="J5056" s="281">
        <f>++Tabla4[[#This Row],[Precio Bruto]]*1.16</f>
        <v>220.10999999999999</v>
      </c>
      <c r="K5056" s="281">
        <f>+Tabla4[[#This Row],[Precio Unitario Neto]]*Tabla4[[#Headers],[20.85%]]</f>
        <v>45.892934999999994</v>
      </c>
      <c r="L5056" s="282">
        <f>++Tabla4[[#This Row],[Precio Unitario Neto]]-Tabla4[[#This Row],[20.85%]]</f>
        <v>174.21706499999999</v>
      </c>
      <c r="M5056" s="282" t="e">
        <f>(INDEX(Tabla6[#All],MATCH(Tabla4[[#This Row],[Producto]],Tabla6[[#All],[PRODUCTO]],0),MATCH(Tabla4[[#This Row],[Mes]],Tabla6[#Headers],0)))*(1+Catalogos!$L$2)</f>
        <v>#N/A</v>
      </c>
      <c r="N5056" s="283" t="e">
        <f>+(Tabla4[[#This Row],[Precio Descontado]]-Tabla4[[#This Row],[Precio Base]])*Tabla4[[#This Row],[Cantidad]]</f>
        <v>#N/A</v>
      </c>
      <c r="O5056" s="284" t="e">
        <f>++Tabla4[[#This Row],[Utilidad Total]]/Tabla4[[#This Row],[Total]]</f>
        <v>#N/A</v>
      </c>
      <c r="P5056" s="282">
        <f>++Tabla4[[#This Row],[Precio Descontado]]*Tabla4[[#This Row],[Cantidad]]</f>
        <v>174.21706499999999</v>
      </c>
      <c r="Q5056" s="282" t="e">
        <f>(INDEX(Tabla6[#All],MATCH(Tabla4[[#This Row],[Producto]],Tabla6[[#All],[PRODUCTO]],0),MATCH(Tabla4[[#This Row],[Mes]],Tabla6[#Headers],0)))</f>
        <v>#N/A</v>
      </c>
      <c r="R5056" s="282" t="e">
        <f>++Tabla4[[#This Row],[Precio Unitario Neto]]-Tabla4[[#This Row],[20.85%]]-Tabla4[[#This Row],[Costo]]</f>
        <v>#N/A</v>
      </c>
      <c r="S5056" s="282" t="e">
        <f>++Tabla4[[#This Row],[U. Bruta Uni]]*Tabla4[[#This Row],[Cantidad]]</f>
        <v>#N/A</v>
      </c>
      <c r="T5056" s="369" t="str">
        <f>VLOOKUP(Tabla4[[#This Row],[Producto]],Tabla6[#All],14,FALSE)</f>
        <v>Termico Solar</v>
      </c>
      <c r="U5056" s="284" t="e">
        <f>(IF(Tabla4[[#This Row],[Familia]]="termico solar",Tabla4[[#This Row],[Utilidad Total]]*6%,Tabla4[[#This Row],[Utilidad Total]]*11.5%))/Tabla4[[#This Row],[Total]]</f>
        <v>#N/A</v>
      </c>
      <c r="V5056" s="282" t="e">
        <f>+Tabla4[[#This Row],[Comisión Calculada]]*Tabla4[[#This Row],[Total]]</f>
        <v>#N/A</v>
      </c>
    </row>
    <row r="5057" spans="1:22" hidden="1" x14ac:dyDescent="0.25">
      <c r="A5057" s="100">
        <v>45869</v>
      </c>
      <c r="B5057" t="str">
        <f t="shared" ref="B5057:B5088" si="246">TEXT(A5057, "mmmm")</f>
        <v>July</v>
      </c>
      <c r="C5057" s="46" t="s">
        <v>280</v>
      </c>
      <c r="F5057" s="366" t="s">
        <v>2649</v>
      </c>
      <c r="G5057" s="46" t="s">
        <v>17</v>
      </c>
      <c r="H5057" s="46">
        <v>1</v>
      </c>
      <c r="I5057" s="51">
        <v>4622.28</v>
      </c>
      <c r="J5057" s="281">
        <f>++Tabla4[[#This Row],[Precio Bruto]]*1.16</f>
        <v>5361.8447999999989</v>
      </c>
      <c r="K5057" s="281">
        <f>+Tabla4[[#This Row],[Precio Unitario Neto]]*Tabla4[[#Headers],[20.85%]]</f>
        <v>1117.9446407999997</v>
      </c>
      <c r="L5057" s="282">
        <f>++Tabla4[[#This Row],[Precio Unitario Neto]]-Tabla4[[#This Row],[20.85%]]</f>
        <v>4243.9001591999995</v>
      </c>
      <c r="M5057" s="282" t="e">
        <f>(INDEX(Tabla6[#All],MATCH(Tabla4[[#This Row],[Producto]],Tabla6[[#All],[PRODUCTO]],0),MATCH(Tabla4[[#This Row],[Mes]],Tabla6[#Headers],0)))*(1+Catalogos!$L$2)</f>
        <v>#N/A</v>
      </c>
      <c r="N5057" s="283" t="e">
        <f>+(Tabla4[[#This Row],[Precio Descontado]]-Tabla4[[#This Row],[Precio Base]])*Tabla4[[#This Row],[Cantidad]]</f>
        <v>#N/A</v>
      </c>
      <c r="O5057" s="284" t="e">
        <f>++Tabla4[[#This Row],[Utilidad Total]]/Tabla4[[#This Row],[Total]]</f>
        <v>#N/A</v>
      </c>
      <c r="P5057" s="282">
        <f>++Tabla4[[#This Row],[Precio Descontado]]*Tabla4[[#This Row],[Cantidad]]</f>
        <v>4243.9001591999995</v>
      </c>
      <c r="Q5057" s="282" t="e">
        <f>(INDEX(Tabla6[#All],MATCH(Tabla4[[#This Row],[Producto]],Tabla6[[#All],[PRODUCTO]],0),MATCH(Tabla4[[#This Row],[Mes]],Tabla6[#Headers],0)))</f>
        <v>#N/A</v>
      </c>
      <c r="R5057" s="282" t="e">
        <f>++Tabla4[[#This Row],[Precio Unitario Neto]]-Tabla4[[#This Row],[20.85%]]-Tabla4[[#This Row],[Costo]]</f>
        <v>#N/A</v>
      </c>
      <c r="S5057" s="282" t="e">
        <f>++Tabla4[[#This Row],[U. Bruta Uni]]*Tabla4[[#This Row],[Cantidad]]</f>
        <v>#N/A</v>
      </c>
      <c r="T5057" s="369" t="str">
        <f>VLOOKUP(Tabla4[[#This Row],[Producto]],Tabla6[#All],14,FALSE)</f>
        <v>Termico Solar</v>
      </c>
      <c r="U5057" s="284" t="e">
        <f>(IF(Tabla4[[#This Row],[Familia]]="termico solar",Tabla4[[#This Row],[Utilidad Total]]*6%,Tabla4[[#This Row],[Utilidad Total]]*11.5%))/Tabla4[[#This Row],[Total]]</f>
        <v>#N/A</v>
      </c>
      <c r="V5057" s="282" t="e">
        <f>+Tabla4[[#This Row],[Comisión Calculada]]*Tabla4[[#This Row],[Total]]</f>
        <v>#N/A</v>
      </c>
    </row>
    <row r="5058" spans="1:22" hidden="1" x14ac:dyDescent="0.25">
      <c r="A5058" s="100">
        <v>45869</v>
      </c>
      <c r="B5058" t="str">
        <f t="shared" si="246"/>
        <v>July</v>
      </c>
      <c r="C5058" s="46" t="s">
        <v>280</v>
      </c>
      <c r="F5058" s="366" t="s">
        <v>2649</v>
      </c>
      <c r="G5058" s="46" t="s">
        <v>18</v>
      </c>
      <c r="H5058" s="46">
        <v>1</v>
      </c>
      <c r="I5058" s="51">
        <v>5367.65</v>
      </c>
      <c r="J5058" s="281">
        <f>++Tabla4[[#This Row],[Precio Bruto]]*1.16</f>
        <v>6226.4739999999993</v>
      </c>
      <c r="K5058" s="281">
        <f>+Tabla4[[#This Row],[Precio Unitario Neto]]*Tabla4[[#Headers],[20.85%]]</f>
        <v>1298.2198289999999</v>
      </c>
      <c r="L5058" s="282">
        <f>++Tabla4[[#This Row],[Precio Unitario Neto]]-Tabla4[[#This Row],[20.85%]]</f>
        <v>4928.2541709999996</v>
      </c>
      <c r="M5058" s="282" t="e">
        <f>(INDEX(Tabla6[#All],MATCH(Tabla4[[#This Row],[Producto]],Tabla6[[#All],[PRODUCTO]],0),MATCH(Tabla4[[#This Row],[Mes]],Tabla6[#Headers],0)))*(1+Catalogos!$L$2)</f>
        <v>#N/A</v>
      </c>
      <c r="N5058" s="283" t="e">
        <f>+(Tabla4[[#This Row],[Precio Descontado]]-Tabla4[[#This Row],[Precio Base]])*Tabla4[[#This Row],[Cantidad]]</f>
        <v>#N/A</v>
      </c>
      <c r="O5058" s="284" t="e">
        <f>++Tabla4[[#This Row],[Utilidad Total]]/Tabla4[[#This Row],[Total]]</f>
        <v>#N/A</v>
      </c>
      <c r="P5058" s="282">
        <f>++Tabla4[[#This Row],[Precio Descontado]]*Tabla4[[#This Row],[Cantidad]]</f>
        <v>4928.2541709999996</v>
      </c>
      <c r="Q5058" s="282" t="e">
        <f>(INDEX(Tabla6[#All],MATCH(Tabla4[[#This Row],[Producto]],Tabla6[[#All],[PRODUCTO]],0),MATCH(Tabla4[[#This Row],[Mes]],Tabla6[#Headers],0)))</f>
        <v>#N/A</v>
      </c>
      <c r="R5058" s="282" t="e">
        <f>++Tabla4[[#This Row],[Precio Unitario Neto]]-Tabla4[[#This Row],[20.85%]]-Tabla4[[#This Row],[Costo]]</f>
        <v>#N/A</v>
      </c>
      <c r="S5058" s="282" t="e">
        <f>++Tabla4[[#This Row],[U. Bruta Uni]]*Tabla4[[#This Row],[Cantidad]]</f>
        <v>#N/A</v>
      </c>
      <c r="T5058" s="369" t="str">
        <f>VLOOKUP(Tabla4[[#This Row],[Producto]],Tabla6[#All],14,FALSE)</f>
        <v>Termico Solar</v>
      </c>
      <c r="U5058" s="284" t="e">
        <f>(IF(Tabla4[[#This Row],[Familia]]="termico solar",Tabla4[[#This Row],[Utilidad Total]]*6%,Tabla4[[#This Row],[Utilidad Total]]*11.5%))/Tabla4[[#This Row],[Total]]</f>
        <v>#N/A</v>
      </c>
      <c r="V5058" s="282" t="e">
        <f>+Tabla4[[#This Row],[Comisión Calculada]]*Tabla4[[#This Row],[Total]]</f>
        <v>#N/A</v>
      </c>
    </row>
    <row r="5059" spans="1:22" hidden="1" x14ac:dyDescent="0.25">
      <c r="A5059" s="100">
        <v>45869</v>
      </c>
      <c r="B5059" t="str">
        <f t="shared" si="246"/>
        <v>July</v>
      </c>
      <c r="C5059" s="46" t="s">
        <v>280</v>
      </c>
      <c r="F5059" s="366" t="s">
        <v>2649</v>
      </c>
      <c r="G5059" s="46" t="s">
        <v>208</v>
      </c>
      <c r="H5059" s="46">
        <v>1</v>
      </c>
      <c r="I5059" s="51">
        <v>189.75</v>
      </c>
      <c r="J5059" s="281">
        <f>++Tabla4[[#This Row],[Precio Bruto]]*1.16</f>
        <v>220.10999999999999</v>
      </c>
      <c r="K5059" s="281">
        <f>+Tabla4[[#This Row],[Precio Unitario Neto]]*Tabla4[[#Headers],[20.85%]]</f>
        <v>45.892934999999994</v>
      </c>
      <c r="L5059" s="282">
        <f>++Tabla4[[#This Row],[Precio Unitario Neto]]-Tabla4[[#This Row],[20.85%]]</f>
        <v>174.21706499999999</v>
      </c>
      <c r="M5059" s="282" t="e">
        <f>(INDEX(Tabla6[#All],MATCH(Tabla4[[#This Row],[Producto]],Tabla6[[#All],[PRODUCTO]],0),MATCH(Tabla4[[#This Row],[Mes]],Tabla6[#Headers],0)))*(1+Catalogos!$L$2)</f>
        <v>#N/A</v>
      </c>
      <c r="N5059" s="283" t="e">
        <f>+(Tabla4[[#This Row],[Precio Descontado]]-Tabla4[[#This Row],[Precio Base]])*Tabla4[[#This Row],[Cantidad]]</f>
        <v>#N/A</v>
      </c>
      <c r="O5059" s="284" t="e">
        <f>++Tabla4[[#This Row],[Utilidad Total]]/Tabla4[[#This Row],[Total]]</f>
        <v>#N/A</v>
      </c>
      <c r="P5059" s="282">
        <f>++Tabla4[[#This Row],[Precio Descontado]]*Tabla4[[#This Row],[Cantidad]]</f>
        <v>174.21706499999999</v>
      </c>
      <c r="Q5059" s="282" t="e">
        <f>(INDEX(Tabla6[#All],MATCH(Tabla4[[#This Row],[Producto]],Tabla6[[#All],[PRODUCTO]],0),MATCH(Tabla4[[#This Row],[Mes]],Tabla6[#Headers],0)))</f>
        <v>#N/A</v>
      </c>
      <c r="R5059" s="282" t="e">
        <f>++Tabla4[[#This Row],[Precio Unitario Neto]]-Tabla4[[#This Row],[20.85%]]-Tabla4[[#This Row],[Costo]]</f>
        <v>#N/A</v>
      </c>
      <c r="S5059" s="282" t="e">
        <f>++Tabla4[[#This Row],[U. Bruta Uni]]*Tabla4[[#This Row],[Cantidad]]</f>
        <v>#N/A</v>
      </c>
      <c r="T5059" s="369" t="str">
        <f>VLOOKUP(Tabla4[[#This Row],[Producto]],Tabla6[#All],14,FALSE)</f>
        <v>Termico Solar</v>
      </c>
      <c r="U5059" s="284" t="e">
        <f>(IF(Tabla4[[#This Row],[Familia]]="termico solar",Tabla4[[#This Row],[Utilidad Total]]*6%,Tabla4[[#This Row],[Utilidad Total]]*11.5%))/Tabla4[[#This Row],[Total]]</f>
        <v>#N/A</v>
      </c>
      <c r="V5059" s="282" t="e">
        <f>+Tabla4[[#This Row],[Comisión Calculada]]*Tabla4[[#This Row],[Total]]</f>
        <v>#N/A</v>
      </c>
    </row>
    <row r="5060" spans="1:22" hidden="1" x14ac:dyDescent="0.25">
      <c r="A5060" s="100">
        <v>45869</v>
      </c>
      <c r="B5060" t="str">
        <f t="shared" si="246"/>
        <v>July</v>
      </c>
      <c r="C5060" s="46" t="s">
        <v>280</v>
      </c>
      <c r="F5060" s="366" t="s">
        <v>2650</v>
      </c>
      <c r="G5060" s="46" t="s">
        <v>83</v>
      </c>
      <c r="H5060" s="46">
        <v>2</v>
      </c>
      <c r="I5060" s="51">
        <v>8858.76</v>
      </c>
      <c r="J5060" s="281">
        <f>++Tabla4[[#This Row],[Precio Bruto]]*1.16</f>
        <v>10276.161599999999</v>
      </c>
      <c r="K5060" s="281">
        <f>+Tabla4[[#This Row],[Precio Unitario Neto]]*Tabla4[[#Headers],[20.85%]]</f>
        <v>2142.5796935999997</v>
      </c>
      <c r="L5060" s="282">
        <f>++Tabla4[[#This Row],[Precio Unitario Neto]]-Tabla4[[#This Row],[20.85%]]</f>
        <v>8133.5819063999998</v>
      </c>
      <c r="M5060" s="282" t="e">
        <f>(INDEX(Tabla6[#All],MATCH(Tabla4[[#This Row],[Producto]],Tabla6[[#All],[PRODUCTO]],0),MATCH(Tabla4[[#This Row],[Mes]],Tabla6[#Headers],0)))*(1+Catalogos!$L$2)</f>
        <v>#N/A</v>
      </c>
      <c r="N5060" s="283" t="e">
        <f>+(Tabla4[[#This Row],[Precio Descontado]]-Tabla4[[#This Row],[Precio Base]])*Tabla4[[#This Row],[Cantidad]]</f>
        <v>#N/A</v>
      </c>
      <c r="O5060" s="284" t="e">
        <f>++Tabla4[[#This Row],[Utilidad Total]]/Tabla4[[#This Row],[Total]]</f>
        <v>#N/A</v>
      </c>
      <c r="P5060" s="282">
        <f>++Tabla4[[#This Row],[Precio Descontado]]*Tabla4[[#This Row],[Cantidad]]</f>
        <v>16267.1638128</v>
      </c>
      <c r="Q5060" s="282" t="e">
        <f>(INDEX(Tabla6[#All],MATCH(Tabla4[[#This Row],[Producto]],Tabla6[[#All],[PRODUCTO]],0),MATCH(Tabla4[[#This Row],[Mes]],Tabla6[#Headers],0)))</f>
        <v>#N/A</v>
      </c>
      <c r="R5060" s="282" t="e">
        <f>++Tabla4[[#This Row],[Precio Unitario Neto]]-Tabla4[[#This Row],[20.85%]]-Tabla4[[#This Row],[Costo]]</f>
        <v>#N/A</v>
      </c>
      <c r="S5060" s="282" t="e">
        <f>++Tabla4[[#This Row],[U. Bruta Uni]]*Tabla4[[#This Row],[Cantidad]]</f>
        <v>#N/A</v>
      </c>
      <c r="T5060" s="369" t="str">
        <f>VLOOKUP(Tabla4[[#This Row],[Producto]],Tabla6[#All],14,FALSE)</f>
        <v>Termico Solar</v>
      </c>
      <c r="U5060" s="284" t="e">
        <f>(IF(Tabla4[[#This Row],[Familia]]="termico solar",Tabla4[[#This Row],[Utilidad Total]]*6%,Tabla4[[#This Row],[Utilidad Total]]*11.5%))/Tabla4[[#This Row],[Total]]</f>
        <v>#N/A</v>
      </c>
      <c r="V5060" s="282" t="e">
        <f>+Tabla4[[#This Row],[Comisión Calculada]]*Tabla4[[#This Row],[Total]]</f>
        <v>#N/A</v>
      </c>
    </row>
    <row r="5061" spans="1:22" hidden="1" x14ac:dyDescent="0.25">
      <c r="A5061" s="100">
        <v>45869</v>
      </c>
      <c r="B5061" t="str">
        <f t="shared" si="246"/>
        <v>July</v>
      </c>
      <c r="C5061" s="46" t="s">
        <v>280</v>
      </c>
      <c r="F5061" s="366" t="s">
        <v>2650</v>
      </c>
      <c r="G5061" s="46" t="s">
        <v>18</v>
      </c>
      <c r="H5061" s="46">
        <v>2</v>
      </c>
      <c r="I5061" s="51">
        <v>5367.65</v>
      </c>
      <c r="J5061" s="281">
        <f>++Tabla4[[#This Row],[Precio Bruto]]*1.16</f>
        <v>6226.4739999999993</v>
      </c>
      <c r="K5061" s="281">
        <f>+Tabla4[[#This Row],[Precio Unitario Neto]]*Tabla4[[#Headers],[20.85%]]</f>
        <v>1298.2198289999999</v>
      </c>
      <c r="L5061" s="282">
        <f>++Tabla4[[#This Row],[Precio Unitario Neto]]-Tabla4[[#This Row],[20.85%]]</f>
        <v>4928.2541709999996</v>
      </c>
      <c r="M5061" s="282" t="e">
        <f>(INDEX(Tabla6[#All],MATCH(Tabla4[[#This Row],[Producto]],Tabla6[[#All],[PRODUCTO]],0),MATCH(Tabla4[[#This Row],[Mes]],Tabla6[#Headers],0)))*(1+Catalogos!$L$2)</f>
        <v>#N/A</v>
      </c>
      <c r="N5061" s="283" t="e">
        <f>+(Tabla4[[#This Row],[Precio Descontado]]-Tabla4[[#This Row],[Precio Base]])*Tabla4[[#This Row],[Cantidad]]</f>
        <v>#N/A</v>
      </c>
      <c r="O5061" s="284" t="e">
        <f>++Tabla4[[#This Row],[Utilidad Total]]/Tabla4[[#This Row],[Total]]</f>
        <v>#N/A</v>
      </c>
      <c r="P5061" s="282">
        <f>++Tabla4[[#This Row],[Precio Descontado]]*Tabla4[[#This Row],[Cantidad]]</f>
        <v>9856.5083419999992</v>
      </c>
      <c r="Q5061" s="282" t="e">
        <f>(INDEX(Tabla6[#All],MATCH(Tabla4[[#This Row],[Producto]],Tabla6[[#All],[PRODUCTO]],0),MATCH(Tabla4[[#This Row],[Mes]],Tabla6[#Headers],0)))</f>
        <v>#N/A</v>
      </c>
      <c r="R5061" s="282" t="e">
        <f>++Tabla4[[#This Row],[Precio Unitario Neto]]-Tabla4[[#This Row],[20.85%]]-Tabla4[[#This Row],[Costo]]</f>
        <v>#N/A</v>
      </c>
      <c r="S5061" s="282" t="e">
        <f>++Tabla4[[#This Row],[U. Bruta Uni]]*Tabla4[[#This Row],[Cantidad]]</f>
        <v>#N/A</v>
      </c>
      <c r="T5061" s="369" t="str">
        <f>VLOOKUP(Tabla4[[#This Row],[Producto]],Tabla6[#All],14,FALSE)</f>
        <v>Termico Solar</v>
      </c>
      <c r="U5061" s="284" t="e">
        <f>(IF(Tabla4[[#This Row],[Familia]]="termico solar",Tabla4[[#This Row],[Utilidad Total]]*6%,Tabla4[[#This Row],[Utilidad Total]]*11.5%))/Tabla4[[#This Row],[Total]]</f>
        <v>#N/A</v>
      </c>
      <c r="V5061" s="282" t="e">
        <f>+Tabla4[[#This Row],[Comisión Calculada]]*Tabla4[[#This Row],[Total]]</f>
        <v>#N/A</v>
      </c>
    </row>
    <row r="5062" spans="1:22" hidden="1" x14ac:dyDescent="0.25">
      <c r="A5062" s="100">
        <v>45869</v>
      </c>
      <c r="B5062" t="str">
        <f t="shared" si="246"/>
        <v>July</v>
      </c>
      <c r="C5062" s="46" t="s">
        <v>280</v>
      </c>
      <c r="F5062" s="366" t="s">
        <v>2650</v>
      </c>
      <c r="G5062" s="46" t="s">
        <v>566</v>
      </c>
      <c r="H5062" s="46">
        <v>1</v>
      </c>
      <c r="I5062" s="51">
        <v>2109.4499999999998</v>
      </c>
      <c r="J5062" s="281">
        <f>++Tabla4[[#This Row],[Precio Bruto]]*1.16</f>
        <v>2446.9619999999995</v>
      </c>
      <c r="K5062" s="281">
        <f>+Tabla4[[#This Row],[Precio Unitario Neto]]*Tabla4[[#Headers],[20.85%]]</f>
        <v>510.19157699999988</v>
      </c>
      <c r="L5062" s="282">
        <f>++Tabla4[[#This Row],[Precio Unitario Neto]]-Tabla4[[#This Row],[20.85%]]</f>
        <v>1936.7704229999997</v>
      </c>
      <c r="M5062" s="282" t="e">
        <f>(INDEX(Tabla6[#All],MATCH(Tabla4[[#This Row],[Producto]],Tabla6[[#All],[PRODUCTO]],0),MATCH(Tabla4[[#This Row],[Mes]],Tabla6[#Headers],0)))*(1+Catalogos!$L$2)</f>
        <v>#N/A</v>
      </c>
      <c r="N5062" s="283" t="e">
        <f>+(Tabla4[[#This Row],[Precio Descontado]]-Tabla4[[#This Row],[Precio Base]])*Tabla4[[#This Row],[Cantidad]]</f>
        <v>#N/A</v>
      </c>
      <c r="O5062" s="284" t="e">
        <f>++Tabla4[[#This Row],[Utilidad Total]]/Tabla4[[#This Row],[Total]]</f>
        <v>#N/A</v>
      </c>
      <c r="P5062" s="282">
        <f>++Tabla4[[#This Row],[Precio Descontado]]*Tabla4[[#This Row],[Cantidad]]</f>
        <v>1936.7704229999997</v>
      </c>
      <c r="Q5062" s="282" t="e">
        <f>(INDEX(Tabla6[#All],MATCH(Tabla4[[#This Row],[Producto]],Tabla6[[#All],[PRODUCTO]],0),MATCH(Tabla4[[#This Row],[Mes]],Tabla6[#Headers],0)))</f>
        <v>#N/A</v>
      </c>
      <c r="R5062" s="282" t="e">
        <f>++Tabla4[[#This Row],[Precio Unitario Neto]]-Tabla4[[#This Row],[20.85%]]-Tabla4[[#This Row],[Costo]]</f>
        <v>#N/A</v>
      </c>
      <c r="S5062" s="282" t="e">
        <f>++Tabla4[[#This Row],[U. Bruta Uni]]*Tabla4[[#This Row],[Cantidad]]</f>
        <v>#N/A</v>
      </c>
      <c r="T5062" s="369" t="str">
        <f>VLOOKUP(Tabla4[[#This Row],[Producto]],Tabla6[#All],14,FALSE)</f>
        <v>Termico Solar</v>
      </c>
      <c r="U5062" s="284" t="e">
        <f>(IF(Tabla4[[#This Row],[Familia]]="termico solar",Tabla4[[#This Row],[Utilidad Total]]*6%,Tabla4[[#This Row],[Utilidad Total]]*11.5%))/Tabla4[[#This Row],[Total]]</f>
        <v>#N/A</v>
      </c>
      <c r="V5062" s="282" t="e">
        <f>+Tabla4[[#This Row],[Comisión Calculada]]*Tabla4[[#This Row],[Total]]</f>
        <v>#N/A</v>
      </c>
    </row>
    <row r="5063" spans="1:22" hidden="1" x14ac:dyDescent="0.25">
      <c r="A5063" s="100">
        <v>45869</v>
      </c>
      <c r="B5063" t="str">
        <f t="shared" si="246"/>
        <v>July</v>
      </c>
      <c r="C5063" s="46" t="s">
        <v>280</v>
      </c>
      <c r="F5063" s="366" t="s">
        <v>2650</v>
      </c>
      <c r="G5063" s="46" t="s">
        <v>412</v>
      </c>
      <c r="H5063" s="46">
        <v>1</v>
      </c>
      <c r="I5063" s="51">
        <v>3240.84</v>
      </c>
      <c r="J5063" s="281">
        <f>++Tabla4[[#This Row],[Precio Bruto]]*1.16</f>
        <v>3759.3743999999997</v>
      </c>
      <c r="K5063" s="281">
        <f>+Tabla4[[#This Row],[Precio Unitario Neto]]*Tabla4[[#Headers],[20.85%]]</f>
        <v>783.82956239999987</v>
      </c>
      <c r="L5063" s="282">
        <f>++Tabla4[[#This Row],[Precio Unitario Neto]]-Tabla4[[#This Row],[20.85%]]</f>
        <v>2975.5448375999999</v>
      </c>
      <c r="M5063" s="282" t="e">
        <f>(INDEX(Tabla6[#All],MATCH(Tabla4[[#This Row],[Producto]],Tabla6[[#All],[PRODUCTO]],0),MATCH(Tabla4[[#This Row],[Mes]],Tabla6[#Headers],0)))*(1+Catalogos!$L$2)</f>
        <v>#N/A</v>
      </c>
      <c r="N5063" s="283" t="e">
        <f>+(Tabla4[[#This Row],[Precio Descontado]]-Tabla4[[#This Row],[Precio Base]])*Tabla4[[#This Row],[Cantidad]]</f>
        <v>#N/A</v>
      </c>
      <c r="O5063" s="284" t="e">
        <f>++Tabla4[[#This Row],[Utilidad Total]]/Tabla4[[#This Row],[Total]]</f>
        <v>#N/A</v>
      </c>
      <c r="P5063" s="282">
        <f>++Tabla4[[#This Row],[Precio Descontado]]*Tabla4[[#This Row],[Cantidad]]</f>
        <v>2975.5448375999999</v>
      </c>
      <c r="Q5063" s="282" t="e">
        <f>(INDEX(Tabla6[#All],MATCH(Tabla4[[#This Row],[Producto]],Tabla6[[#All],[PRODUCTO]],0),MATCH(Tabla4[[#This Row],[Mes]],Tabla6[#Headers],0)))</f>
        <v>#N/A</v>
      </c>
      <c r="R5063" s="282" t="e">
        <f>++Tabla4[[#This Row],[Precio Unitario Neto]]-Tabla4[[#This Row],[20.85%]]-Tabla4[[#This Row],[Costo]]</f>
        <v>#N/A</v>
      </c>
      <c r="S5063" s="282" t="e">
        <f>++Tabla4[[#This Row],[U. Bruta Uni]]*Tabla4[[#This Row],[Cantidad]]</f>
        <v>#N/A</v>
      </c>
      <c r="T5063" s="369" t="str">
        <f>VLOOKUP(Tabla4[[#This Row],[Producto]],Tabla6[#All],14,FALSE)</f>
        <v>Termico Solar</v>
      </c>
      <c r="U5063" s="284" t="e">
        <f>(IF(Tabla4[[#This Row],[Familia]]="termico solar",Tabla4[[#This Row],[Utilidad Total]]*6%,Tabla4[[#This Row],[Utilidad Total]]*11.5%))/Tabla4[[#This Row],[Total]]</f>
        <v>#N/A</v>
      </c>
      <c r="V5063" s="282" t="e">
        <f>+Tabla4[[#This Row],[Comisión Calculada]]*Tabla4[[#This Row],[Total]]</f>
        <v>#N/A</v>
      </c>
    </row>
    <row r="5064" spans="1:22" hidden="1" x14ac:dyDescent="0.25">
      <c r="A5064" s="100">
        <v>45869</v>
      </c>
      <c r="B5064" t="str">
        <f t="shared" si="246"/>
        <v>July</v>
      </c>
      <c r="C5064" s="46" t="s">
        <v>280</v>
      </c>
      <c r="F5064" s="366" t="s">
        <v>2650</v>
      </c>
      <c r="G5064" s="46" t="s">
        <v>16</v>
      </c>
      <c r="H5064" s="46">
        <v>2</v>
      </c>
      <c r="I5064" s="51">
        <v>4103.8500000000004</v>
      </c>
      <c r="J5064" s="281">
        <f>++Tabla4[[#This Row],[Precio Bruto]]*1.16</f>
        <v>4760.4660000000003</v>
      </c>
      <c r="K5064" s="281">
        <f>+Tabla4[[#This Row],[Precio Unitario Neto]]*Tabla4[[#Headers],[20.85%]]</f>
        <v>992.55716100000006</v>
      </c>
      <c r="L5064" s="282">
        <f>++Tabla4[[#This Row],[Precio Unitario Neto]]-Tabla4[[#This Row],[20.85%]]</f>
        <v>3767.9088390000002</v>
      </c>
      <c r="M5064" s="282" t="e">
        <f>(INDEX(Tabla6[#All],MATCH(Tabla4[[#This Row],[Producto]],Tabla6[[#All],[PRODUCTO]],0),MATCH(Tabla4[[#This Row],[Mes]],Tabla6[#Headers],0)))*(1+Catalogos!$L$2)</f>
        <v>#N/A</v>
      </c>
      <c r="N5064" s="283" t="e">
        <f>+(Tabla4[[#This Row],[Precio Descontado]]-Tabla4[[#This Row],[Precio Base]])*Tabla4[[#This Row],[Cantidad]]</f>
        <v>#N/A</v>
      </c>
      <c r="O5064" s="284" t="e">
        <f>++Tabla4[[#This Row],[Utilidad Total]]/Tabla4[[#This Row],[Total]]</f>
        <v>#N/A</v>
      </c>
      <c r="P5064" s="282">
        <f>++Tabla4[[#This Row],[Precio Descontado]]*Tabla4[[#This Row],[Cantidad]]</f>
        <v>7535.8176780000003</v>
      </c>
      <c r="Q5064" s="282" t="e">
        <f>(INDEX(Tabla6[#All],MATCH(Tabla4[[#This Row],[Producto]],Tabla6[[#All],[PRODUCTO]],0),MATCH(Tabla4[[#This Row],[Mes]],Tabla6[#Headers],0)))</f>
        <v>#N/A</v>
      </c>
      <c r="R5064" s="282" t="e">
        <f>++Tabla4[[#This Row],[Precio Unitario Neto]]-Tabla4[[#This Row],[20.85%]]-Tabla4[[#This Row],[Costo]]</f>
        <v>#N/A</v>
      </c>
      <c r="S5064" s="282" t="e">
        <f>++Tabla4[[#This Row],[U. Bruta Uni]]*Tabla4[[#This Row],[Cantidad]]</f>
        <v>#N/A</v>
      </c>
      <c r="T5064" s="369" t="str">
        <f>VLOOKUP(Tabla4[[#This Row],[Producto]],Tabla6[#All],14,FALSE)</f>
        <v>Termico Solar</v>
      </c>
      <c r="U5064" s="284" t="e">
        <f>(IF(Tabla4[[#This Row],[Familia]]="termico solar",Tabla4[[#This Row],[Utilidad Total]]*6%,Tabla4[[#This Row],[Utilidad Total]]*11.5%))/Tabla4[[#This Row],[Total]]</f>
        <v>#N/A</v>
      </c>
      <c r="V5064" s="282" t="e">
        <f>+Tabla4[[#This Row],[Comisión Calculada]]*Tabla4[[#This Row],[Total]]</f>
        <v>#N/A</v>
      </c>
    </row>
    <row r="5065" spans="1:22" hidden="1" x14ac:dyDescent="0.25">
      <c r="A5065" s="100">
        <v>45869</v>
      </c>
      <c r="B5065" t="str">
        <f t="shared" si="246"/>
        <v>July</v>
      </c>
      <c r="C5065" s="46" t="s">
        <v>280</v>
      </c>
      <c r="F5065" s="366" t="s">
        <v>2651</v>
      </c>
      <c r="G5065" s="46" t="s">
        <v>83</v>
      </c>
      <c r="H5065" s="46">
        <v>1</v>
      </c>
      <c r="I5065" s="51">
        <v>8858.76</v>
      </c>
      <c r="J5065" s="281">
        <f>++Tabla4[[#This Row],[Precio Bruto]]*1.16</f>
        <v>10276.161599999999</v>
      </c>
      <c r="K5065" s="281">
        <f>+Tabla4[[#This Row],[Precio Unitario Neto]]*Tabla4[[#Headers],[20.85%]]</f>
        <v>2142.5796935999997</v>
      </c>
      <c r="L5065" s="282">
        <f>++Tabla4[[#This Row],[Precio Unitario Neto]]-Tabla4[[#This Row],[20.85%]]</f>
        <v>8133.5819063999998</v>
      </c>
      <c r="M5065" s="282" t="e">
        <f>(INDEX(Tabla6[#All],MATCH(Tabla4[[#This Row],[Producto]],Tabla6[[#All],[PRODUCTO]],0),MATCH(Tabla4[[#This Row],[Mes]],Tabla6[#Headers],0)))*(1+Catalogos!$L$2)</f>
        <v>#N/A</v>
      </c>
      <c r="N5065" s="283" t="e">
        <f>+(Tabla4[[#This Row],[Precio Descontado]]-Tabla4[[#This Row],[Precio Base]])*Tabla4[[#This Row],[Cantidad]]</f>
        <v>#N/A</v>
      </c>
      <c r="O5065" s="284" t="e">
        <f>++Tabla4[[#This Row],[Utilidad Total]]/Tabla4[[#This Row],[Total]]</f>
        <v>#N/A</v>
      </c>
      <c r="P5065" s="282">
        <f>++Tabla4[[#This Row],[Precio Descontado]]*Tabla4[[#This Row],[Cantidad]]</f>
        <v>8133.5819063999998</v>
      </c>
      <c r="Q5065" s="282" t="e">
        <f>(INDEX(Tabla6[#All],MATCH(Tabla4[[#This Row],[Producto]],Tabla6[[#All],[PRODUCTO]],0),MATCH(Tabla4[[#This Row],[Mes]],Tabla6[#Headers],0)))</f>
        <v>#N/A</v>
      </c>
      <c r="R5065" s="282" t="e">
        <f>++Tabla4[[#This Row],[Precio Unitario Neto]]-Tabla4[[#This Row],[20.85%]]-Tabla4[[#This Row],[Costo]]</f>
        <v>#N/A</v>
      </c>
      <c r="S5065" s="282" t="e">
        <f>++Tabla4[[#This Row],[U. Bruta Uni]]*Tabla4[[#This Row],[Cantidad]]</f>
        <v>#N/A</v>
      </c>
      <c r="T5065" s="369" t="str">
        <f>VLOOKUP(Tabla4[[#This Row],[Producto]],Tabla6[#All],14,FALSE)</f>
        <v>Termico Solar</v>
      </c>
      <c r="U5065" s="284" t="e">
        <f>(IF(Tabla4[[#This Row],[Familia]]="termico solar",Tabla4[[#This Row],[Utilidad Total]]*6%,Tabla4[[#This Row],[Utilidad Total]]*11.5%))/Tabla4[[#This Row],[Total]]</f>
        <v>#N/A</v>
      </c>
      <c r="V5065" s="282" t="e">
        <f>+Tabla4[[#This Row],[Comisión Calculada]]*Tabla4[[#This Row],[Total]]</f>
        <v>#N/A</v>
      </c>
    </row>
    <row r="5066" spans="1:22" hidden="1" x14ac:dyDescent="0.25">
      <c r="A5066" s="100">
        <v>45869</v>
      </c>
      <c r="B5066" t="str">
        <f t="shared" si="246"/>
        <v>July</v>
      </c>
      <c r="C5066" s="46" t="s">
        <v>280</v>
      </c>
      <c r="F5066" s="366" t="s">
        <v>2651</v>
      </c>
      <c r="G5066" s="46" t="s">
        <v>16</v>
      </c>
      <c r="H5066" s="46">
        <v>2</v>
      </c>
      <c r="I5066" s="51">
        <v>4103.8500000000004</v>
      </c>
      <c r="J5066" s="281">
        <f>++Tabla4[[#This Row],[Precio Bruto]]*1.16</f>
        <v>4760.4660000000003</v>
      </c>
      <c r="K5066" s="281">
        <f>+Tabla4[[#This Row],[Precio Unitario Neto]]*Tabla4[[#Headers],[20.85%]]</f>
        <v>992.55716100000006</v>
      </c>
      <c r="L5066" s="282">
        <f>++Tabla4[[#This Row],[Precio Unitario Neto]]-Tabla4[[#This Row],[20.85%]]</f>
        <v>3767.9088390000002</v>
      </c>
      <c r="M5066" s="282" t="e">
        <f>(INDEX(Tabla6[#All],MATCH(Tabla4[[#This Row],[Producto]],Tabla6[[#All],[PRODUCTO]],0),MATCH(Tabla4[[#This Row],[Mes]],Tabla6[#Headers],0)))*(1+Catalogos!$L$2)</f>
        <v>#N/A</v>
      </c>
      <c r="N5066" s="283" t="e">
        <f>+(Tabla4[[#This Row],[Precio Descontado]]-Tabla4[[#This Row],[Precio Base]])*Tabla4[[#This Row],[Cantidad]]</f>
        <v>#N/A</v>
      </c>
      <c r="O5066" s="284" t="e">
        <f>++Tabla4[[#This Row],[Utilidad Total]]/Tabla4[[#This Row],[Total]]</f>
        <v>#N/A</v>
      </c>
      <c r="P5066" s="282">
        <f>++Tabla4[[#This Row],[Precio Descontado]]*Tabla4[[#This Row],[Cantidad]]</f>
        <v>7535.8176780000003</v>
      </c>
      <c r="Q5066" s="282" t="e">
        <f>(INDEX(Tabla6[#All],MATCH(Tabla4[[#This Row],[Producto]],Tabla6[[#All],[PRODUCTO]],0),MATCH(Tabla4[[#This Row],[Mes]],Tabla6[#Headers],0)))</f>
        <v>#N/A</v>
      </c>
      <c r="R5066" s="282" t="e">
        <f>++Tabla4[[#This Row],[Precio Unitario Neto]]-Tabla4[[#This Row],[20.85%]]-Tabla4[[#This Row],[Costo]]</f>
        <v>#N/A</v>
      </c>
      <c r="S5066" s="282" t="e">
        <f>++Tabla4[[#This Row],[U. Bruta Uni]]*Tabla4[[#This Row],[Cantidad]]</f>
        <v>#N/A</v>
      </c>
      <c r="T5066" s="369" t="str">
        <f>VLOOKUP(Tabla4[[#This Row],[Producto]],Tabla6[#All],14,FALSE)</f>
        <v>Termico Solar</v>
      </c>
      <c r="U5066" s="284" t="e">
        <f>(IF(Tabla4[[#This Row],[Familia]]="termico solar",Tabla4[[#This Row],[Utilidad Total]]*6%,Tabla4[[#This Row],[Utilidad Total]]*11.5%))/Tabla4[[#This Row],[Total]]</f>
        <v>#N/A</v>
      </c>
      <c r="V5066" s="282" t="e">
        <f>+Tabla4[[#This Row],[Comisión Calculada]]*Tabla4[[#This Row],[Total]]</f>
        <v>#N/A</v>
      </c>
    </row>
    <row r="5067" spans="1:22" hidden="1" x14ac:dyDescent="0.25">
      <c r="A5067" s="100">
        <v>45869</v>
      </c>
      <c r="B5067" t="str">
        <f t="shared" si="246"/>
        <v>July</v>
      </c>
      <c r="C5067" s="46" t="s">
        <v>280</v>
      </c>
      <c r="F5067" s="366" t="s">
        <v>2652</v>
      </c>
      <c r="G5067" s="46" t="s">
        <v>17</v>
      </c>
      <c r="H5067" s="46">
        <v>2</v>
      </c>
      <c r="I5067" s="51">
        <v>4622.28</v>
      </c>
      <c r="J5067" s="281">
        <f>++Tabla4[[#This Row],[Precio Bruto]]*1.16</f>
        <v>5361.8447999999989</v>
      </c>
      <c r="K5067" s="281">
        <f>+Tabla4[[#This Row],[Precio Unitario Neto]]*Tabla4[[#Headers],[20.85%]]</f>
        <v>1117.9446407999997</v>
      </c>
      <c r="L5067" s="282">
        <f>++Tabla4[[#This Row],[Precio Unitario Neto]]-Tabla4[[#This Row],[20.85%]]</f>
        <v>4243.9001591999995</v>
      </c>
      <c r="M5067" s="282" t="e">
        <f>(INDEX(Tabla6[#All],MATCH(Tabla4[[#This Row],[Producto]],Tabla6[[#All],[PRODUCTO]],0),MATCH(Tabla4[[#This Row],[Mes]],Tabla6[#Headers],0)))*(1+Catalogos!$L$2)</f>
        <v>#N/A</v>
      </c>
      <c r="N5067" s="283" t="e">
        <f>+(Tabla4[[#This Row],[Precio Descontado]]-Tabla4[[#This Row],[Precio Base]])*Tabla4[[#This Row],[Cantidad]]</f>
        <v>#N/A</v>
      </c>
      <c r="O5067" s="284" t="e">
        <f>++Tabla4[[#This Row],[Utilidad Total]]/Tabla4[[#This Row],[Total]]</f>
        <v>#N/A</v>
      </c>
      <c r="P5067" s="282">
        <f>++Tabla4[[#This Row],[Precio Descontado]]*Tabla4[[#This Row],[Cantidad]]</f>
        <v>8487.800318399999</v>
      </c>
      <c r="Q5067" s="282" t="e">
        <f>(INDEX(Tabla6[#All],MATCH(Tabla4[[#This Row],[Producto]],Tabla6[[#All],[PRODUCTO]],0),MATCH(Tabla4[[#This Row],[Mes]],Tabla6[#Headers],0)))</f>
        <v>#N/A</v>
      </c>
      <c r="R5067" s="282" t="e">
        <f>++Tabla4[[#This Row],[Precio Unitario Neto]]-Tabla4[[#This Row],[20.85%]]-Tabla4[[#This Row],[Costo]]</f>
        <v>#N/A</v>
      </c>
      <c r="S5067" s="282" t="e">
        <f>++Tabla4[[#This Row],[U. Bruta Uni]]*Tabla4[[#This Row],[Cantidad]]</f>
        <v>#N/A</v>
      </c>
      <c r="T5067" s="369" t="str">
        <f>VLOOKUP(Tabla4[[#This Row],[Producto]],Tabla6[#All],14,FALSE)</f>
        <v>Termico Solar</v>
      </c>
      <c r="U5067" s="284" t="e">
        <f>(IF(Tabla4[[#This Row],[Familia]]="termico solar",Tabla4[[#This Row],[Utilidad Total]]*6%,Tabla4[[#This Row],[Utilidad Total]]*11.5%))/Tabla4[[#This Row],[Total]]</f>
        <v>#N/A</v>
      </c>
      <c r="V5067" s="282" t="e">
        <f>+Tabla4[[#This Row],[Comisión Calculada]]*Tabla4[[#This Row],[Total]]</f>
        <v>#N/A</v>
      </c>
    </row>
    <row r="5068" spans="1:22" hidden="1" x14ac:dyDescent="0.25">
      <c r="A5068" s="100">
        <v>45869</v>
      </c>
      <c r="B5068" t="str">
        <f t="shared" si="246"/>
        <v>July</v>
      </c>
      <c r="C5068" s="46" t="s">
        <v>280</v>
      </c>
      <c r="F5068" s="366" t="s">
        <v>2652</v>
      </c>
      <c r="G5068" s="46" t="s">
        <v>19</v>
      </c>
      <c r="H5068" s="46">
        <v>2</v>
      </c>
      <c r="I5068" s="51">
        <v>6412.03</v>
      </c>
      <c r="J5068" s="281">
        <f>++Tabla4[[#This Row],[Precio Bruto]]*1.16</f>
        <v>7437.9547999999995</v>
      </c>
      <c r="K5068" s="281">
        <f>+Tabla4[[#This Row],[Precio Unitario Neto]]*Tabla4[[#Headers],[20.85%]]</f>
        <v>1550.8135757999999</v>
      </c>
      <c r="L5068" s="282">
        <f>++Tabla4[[#This Row],[Precio Unitario Neto]]-Tabla4[[#This Row],[20.85%]]</f>
        <v>5887.1412241999997</v>
      </c>
      <c r="M5068" s="282" t="e">
        <f>(INDEX(Tabla6[#All],MATCH(Tabla4[[#This Row],[Producto]],Tabla6[[#All],[PRODUCTO]],0),MATCH(Tabla4[[#This Row],[Mes]],Tabla6[#Headers],0)))*(1+Catalogos!$L$2)</f>
        <v>#N/A</v>
      </c>
      <c r="N5068" s="283" t="e">
        <f>+(Tabla4[[#This Row],[Precio Descontado]]-Tabla4[[#This Row],[Precio Base]])*Tabla4[[#This Row],[Cantidad]]</f>
        <v>#N/A</v>
      </c>
      <c r="O5068" s="284" t="e">
        <f>++Tabla4[[#This Row],[Utilidad Total]]/Tabla4[[#This Row],[Total]]</f>
        <v>#N/A</v>
      </c>
      <c r="P5068" s="282">
        <f>++Tabla4[[#This Row],[Precio Descontado]]*Tabla4[[#This Row],[Cantidad]]</f>
        <v>11774.282448399999</v>
      </c>
      <c r="Q5068" s="282" t="e">
        <f>(INDEX(Tabla6[#All],MATCH(Tabla4[[#This Row],[Producto]],Tabla6[[#All],[PRODUCTO]],0),MATCH(Tabla4[[#This Row],[Mes]],Tabla6[#Headers],0)))</f>
        <v>#N/A</v>
      </c>
      <c r="R5068" s="282" t="e">
        <f>++Tabla4[[#This Row],[Precio Unitario Neto]]-Tabla4[[#This Row],[20.85%]]-Tabla4[[#This Row],[Costo]]</f>
        <v>#N/A</v>
      </c>
      <c r="S5068" s="282" t="e">
        <f>++Tabla4[[#This Row],[U. Bruta Uni]]*Tabla4[[#This Row],[Cantidad]]</f>
        <v>#N/A</v>
      </c>
      <c r="T5068" s="369" t="str">
        <f>VLOOKUP(Tabla4[[#This Row],[Producto]],Tabla6[#All],14,FALSE)</f>
        <v>Termico Solar</v>
      </c>
      <c r="U5068" s="284" t="e">
        <f>(IF(Tabla4[[#This Row],[Familia]]="termico solar",Tabla4[[#This Row],[Utilidad Total]]*6%,Tabla4[[#This Row],[Utilidad Total]]*11.5%))/Tabla4[[#This Row],[Total]]</f>
        <v>#N/A</v>
      </c>
      <c r="V5068" s="282" t="e">
        <f>+Tabla4[[#This Row],[Comisión Calculada]]*Tabla4[[#This Row],[Total]]</f>
        <v>#N/A</v>
      </c>
    </row>
    <row r="5069" spans="1:22" hidden="1" x14ac:dyDescent="0.25">
      <c r="A5069" s="100">
        <v>45869</v>
      </c>
      <c r="B5069" t="str">
        <f t="shared" si="246"/>
        <v>July</v>
      </c>
      <c r="C5069" s="46" t="s">
        <v>280</v>
      </c>
      <c r="F5069" s="366" t="s">
        <v>2653</v>
      </c>
      <c r="G5069" s="46" t="s">
        <v>83</v>
      </c>
      <c r="H5069" s="46">
        <v>1</v>
      </c>
      <c r="I5069" s="51">
        <v>8858.76</v>
      </c>
      <c r="J5069" s="281">
        <f>++Tabla4[[#This Row],[Precio Bruto]]*1.16</f>
        <v>10276.161599999999</v>
      </c>
      <c r="K5069" s="281">
        <f>+Tabla4[[#This Row],[Precio Unitario Neto]]*Tabla4[[#Headers],[20.85%]]</f>
        <v>2142.5796935999997</v>
      </c>
      <c r="L5069" s="282">
        <f>++Tabla4[[#This Row],[Precio Unitario Neto]]-Tabla4[[#This Row],[20.85%]]</f>
        <v>8133.5819063999998</v>
      </c>
      <c r="M5069" s="282" t="e">
        <f>(INDEX(Tabla6[#All],MATCH(Tabla4[[#This Row],[Producto]],Tabla6[[#All],[PRODUCTO]],0),MATCH(Tabla4[[#This Row],[Mes]],Tabla6[#Headers],0)))*(1+Catalogos!$L$2)</f>
        <v>#N/A</v>
      </c>
      <c r="N5069" s="283" t="e">
        <f>+(Tabla4[[#This Row],[Precio Descontado]]-Tabla4[[#This Row],[Precio Base]])*Tabla4[[#This Row],[Cantidad]]</f>
        <v>#N/A</v>
      </c>
      <c r="O5069" s="284" t="e">
        <f>++Tabla4[[#This Row],[Utilidad Total]]/Tabla4[[#This Row],[Total]]</f>
        <v>#N/A</v>
      </c>
      <c r="P5069" s="282">
        <f>++Tabla4[[#This Row],[Precio Descontado]]*Tabla4[[#This Row],[Cantidad]]</f>
        <v>8133.5819063999998</v>
      </c>
      <c r="Q5069" s="282" t="e">
        <f>(INDEX(Tabla6[#All],MATCH(Tabla4[[#This Row],[Producto]],Tabla6[[#All],[PRODUCTO]],0),MATCH(Tabla4[[#This Row],[Mes]],Tabla6[#Headers],0)))</f>
        <v>#N/A</v>
      </c>
      <c r="R5069" s="282" t="e">
        <f>++Tabla4[[#This Row],[Precio Unitario Neto]]-Tabla4[[#This Row],[20.85%]]-Tabla4[[#This Row],[Costo]]</f>
        <v>#N/A</v>
      </c>
      <c r="S5069" s="282" t="e">
        <f>++Tabla4[[#This Row],[U. Bruta Uni]]*Tabla4[[#This Row],[Cantidad]]</f>
        <v>#N/A</v>
      </c>
      <c r="T5069" s="369" t="str">
        <f>VLOOKUP(Tabla4[[#This Row],[Producto]],Tabla6[#All],14,FALSE)</f>
        <v>Termico Solar</v>
      </c>
      <c r="U5069" s="284" t="e">
        <f>(IF(Tabla4[[#This Row],[Familia]]="termico solar",Tabla4[[#This Row],[Utilidad Total]]*6%,Tabla4[[#This Row],[Utilidad Total]]*11.5%))/Tabla4[[#This Row],[Total]]</f>
        <v>#N/A</v>
      </c>
      <c r="V5069" s="282" t="e">
        <f>+Tabla4[[#This Row],[Comisión Calculada]]*Tabla4[[#This Row],[Total]]</f>
        <v>#N/A</v>
      </c>
    </row>
    <row r="5070" spans="1:22" hidden="1" x14ac:dyDescent="0.25">
      <c r="A5070" s="100">
        <v>45869</v>
      </c>
      <c r="B5070" t="str">
        <f t="shared" si="246"/>
        <v>July</v>
      </c>
      <c r="C5070" s="46" t="s">
        <v>280</v>
      </c>
      <c r="F5070" s="366" t="s">
        <v>2653</v>
      </c>
      <c r="G5070" s="46" t="s">
        <v>566</v>
      </c>
      <c r="H5070" s="46">
        <v>1</v>
      </c>
      <c r="I5070" s="51">
        <v>2109.4499999999998</v>
      </c>
      <c r="J5070" s="281">
        <f>++Tabla4[[#This Row],[Precio Bruto]]*1.16</f>
        <v>2446.9619999999995</v>
      </c>
      <c r="K5070" s="281">
        <f>+Tabla4[[#This Row],[Precio Unitario Neto]]*Tabla4[[#Headers],[20.85%]]</f>
        <v>510.19157699999988</v>
      </c>
      <c r="L5070" s="282">
        <f>++Tabla4[[#This Row],[Precio Unitario Neto]]-Tabla4[[#This Row],[20.85%]]</f>
        <v>1936.7704229999997</v>
      </c>
      <c r="M5070" s="282" t="e">
        <f>(INDEX(Tabla6[#All],MATCH(Tabla4[[#This Row],[Producto]],Tabla6[[#All],[PRODUCTO]],0),MATCH(Tabla4[[#This Row],[Mes]],Tabla6[#Headers],0)))*(1+Catalogos!$L$2)</f>
        <v>#N/A</v>
      </c>
      <c r="N5070" s="283" t="e">
        <f>+(Tabla4[[#This Row],[Precio Descontado]]-Tabla4[[#This Row],[Precio Base]])*Tabla4[[#This Row],[Cantidad]]</f>
        <v>#N/A</v>
      </c>
      <c r="O5070" s="284" t="e">
        <f>++Tabla4[[#This Row],[Utilidad Total]]/Tabla4[[#This Row],[Total]]</f>
        <v>#N/A</v>
      </c>
      <c r="P5070" s="282">
        <f>++Tabla4[[#This Row],[Precio Descontado]]*Tabla4[[#This Row],[Cantidad]]</f>
        <v>1936.7704229999997</v>
      </c>
      <c r="Q5070" s="282" t="e">
        <f>(INDEX(Tabla6[#All],MATCH(Tabla4[[#This Row],[Producto]],Tabla6[[#All],[PRODUCTO]],0),MATCH(Tabla4[[#This Row],[Mes]],Tabla6[#Headers],0)))</f>
        <v>#N/A</v>
      </c>
      <c r="R5070" s="282" t="e">
        <f>++Tabla4[[#This Row],[Precio Unitario Neto]]-Tabla4[[#This Row],[20.85%]]-Tabla4[[#This Row],[Costo]]</f>
        <v>#N/A</v>
      </c>
      <c r="S5070" s="282" t="e">
        <f>++Tabla4[[#This Row],[U. Bruta Uni]]*Tabla4[[#This Row],[Cantidad]]</f>
        <v>#N/A</v>
      </c>
      <c r="T5070" s="369" t="str">
        <f>VLOOKUP(Tabla4[[#This Row],[Producto]],Tabla6[#All],14,FALSE)</f>
        <v>Termico Solar</v>
      </c>
      <c r="U5070" s="284" t="e">
        <f>(IF(Tabla4[[#This Row],[Familia]]="termico solar",Tabla4[[#This Row],[Utilidad Total]]*6%,Tabla4[[#This Row],[Utilidad Total]]*11.5%))/Tabla4[[#This Row],[Total]]</f>
        <v>#N/A</v>
      </c>
      <c r="V5070" s="282" t="e">
        <f>+Tabla4[[#This Row],[Comisión Calculada]]*Tabla4[[#This Row],[Total]]</f>
        <v>#N/A</v>
      </c>
    </row>
    <row r="5071" spans="1:22" hidden="1" x14ac:dyDescent="0.25">
      <c r="A5071" s="100">
        <v>45869</v>
      </c>
      <c r="B5071" t="str">
        <f t="shared" si="246"/>
        <v>July</v>
      </c>
      <c r="C5071" s="46" t="s">
        <v>280</v>
      </c>
      <c r="F5071" s="366" t="s">
        <v>2654</v>
      </c>
      <c r="G5071" s="46" t="s">
        <v>17</v>
      </c>
      <c r="H5071" s="46">
        <v>1</v>
      </c>
      <c r="I5071" s="51">
        <v>4622.28</v>
      </c>
      <c r="J5071" s="281">
        <f>++Tabla4[[#This Row],[Precio Bruto]]*1.16</f>
        <v>5361.8447999999989</v>
      </c>
      <c r="K5071" s="281">
        <f>+Tabla4[[#This Row],[Precio Unitario Neto]]*Tabla4[[#Headers],[20.85%]]</f>
        <v>1117.9446407999997</v>
      </c>
      <c r="L5071" s="282">
        <f>++Tabla4[[#This Row],[Precio Unitario Neto]]-Tabla4[[#This Row],[20.85%]]</f>
        <v>4243.9001591999995</v>
      </c>
      <c r="M5071" s="282" t="e">
        <f>(INDEX(Tabla6[#All],MATCH(Tabla4[[#This Row],[Producto]],Tabla6[[#All],[PRODUCTO]],0),MATCH(Tabla4[[#This Row],[Mes]],Tabla6[#Headers],0)))*(1+Catalogos!$L$2)</f>
        <v>#N/A</v>
      </c>
      <c r="N5071" s="283" t="e">
        <f>+(Tabla4[[#This Row],[Precio Descontado]]-Tabla4[[#This Row],[Precio Base]])*Tabla4[[#This Row],[Cantidad]]</f>
        <v>#N/A</v>
      </c>
      <c r="O5071" s="284" t="e">
        <f>++Tabla4[[#This Row],[Utilidad Total]]/Tabla4[[#This Row],[Total]]</f>
        <v>#N/A</v>
      </c>
      <c r="P5071" s="282">
        <f>++Tabla4[[#This Row],[Precio Descontado]]*Tabla4[[#This Row],[Cantidad]]</f>
        <v>4243.9001591999995</v>
      </c>
      <c r="Q5071" s="282" t="e">
        <f>(INDEX(Tabla6[#All],MATCH(Tabla4[[#This Row],[Producto]],Tabla6[[#All],[PRODUCTO]],0),MATCH(Tabla4[[#This Row],[Mes]],Tabla6[#Headers],0)))</f>
        <v>#N/A</v>
      </c>
      <c r="R5071" s="282" t="e">
        <f>++Tabla4[[#This Row],[Precio Unitario Neto]]-Tabla4[[#This Row],[20.85%]]-Tabla4[[#This Row],[Costo]]</f>
        <v>#N/A</v>
      </c>
      <c r="S5071" s="282" t="e">
        <f>++Tabla4[[#This Row],[U. Bruta Uni]]*Tabla4[[#This Row],[Cantidad]]</f>
        <v>#N/A</v>
      </c>
      <c r="T5071" s="369" t="str">
        <f>VLOOKUP(Tabla4[[#This Row],[Producto]],Tabla6[#All],14,FALSE)</f>
        <v>Termico Solar</v>
      </c>
      <c r="U5071" s="284" t="e">
        <f>(IF(Tabla4[[#This Row],[Familia]]="termico solar",Tabla4[[#This Row],[Utilidad Total]]*6%,Tabla4[[#This Row],[Utilidad Total]]*11.5%))/Tabla4[[#This Row],[Total]]</f>
        <v>#N/A</v>
      </c>
      <c r="V5071" s="282" t="e">
        <f>+Tabla4[[#This Row],[Comisión Calculada]]*Tabla4[[#This Row],[Total]]</f>
        <v>#N/A</v>
      </c>
    </row>
    <row r="5072" spans="1:22" hidden="1" x14ac:dyDescent="0.25">
      <c r="A5072" s="100">
        <v>45869</v>
      </c>
      <c r="B5072" t="str">
        <f t="shared" si="246"/>
        <v>July</v>
      </c>
      <c r="C5072" s="46" t="s">
        <v>280</v>
      </c>
      <c r="F5072" s="366" t="s">
        <v>2655</v>
      </c>
      <c r="G5072" s="46" t="s">
        <v>566</v>
      </c>
      <c r="H5072" s="46">
        <v>1</v>
      </c>
      <c r="I5072" s="51">
        <v>2109.4499999999998</v>
      </c>
      <c r="J5072" s="281">
        <f>++Tabla4[[#This Row],[Precio Bruto]]*1.16</f>
        <v>2446.9619999999995</v>
      </c>
      <c r="K5072" s="281">
        <f>+Tabla4[[#This Row],[Precio Unitario Neto]]*Tabla4[[#Headers],[20.85%]]</f>
        <v>510.19157699999988</v>
      </c>
      <c r="L5072" s="282">
        <f>++Tabla4[[#This Row],[Precio Unitario Neto]]-Tabla4[[#This Row],[20.85%]]</f>
        <v>1936.7704229999997</v>
      </c>
      <c r="M5072" s="282" t="e">
        <f>(INDEX(Tabla6[#All],MATCH(Tabla4[[#This Row],[Producto]],Tabla6[[#All],[PRODUCTO]],0),MATCH(Tabla4[[#This Row],[Mes]],Tabla6[#Headers],0)))*(1+Catalogos!$L$2)</f>
        <v>#N/A</v>
      </c>
      <c r="N5072" s="283" t="e">
        <f>+(Tabla4[[#This Row],[Precio Descontado]]-Tabla4[[#This Row],[Precio Base]])*Tabla4[[#This Row],[Cantidad]]</f>
        <v>#N/A</v>
      </c>
      <c r="O5072" s="284" t="e">
        <f>++Tabla4[[#This Row],[Utilidad Total]]/Tabla4[[#This Row],[Total]]</f>
        <v>#N/A</v>
      </c>
      <c r="P5072" s="282">
        <f>++Tabla4[[#This Row],[Precio Descontado]]*Tabla4[[#This Row],[Cantidad]]</f>
        <v>1936.7704229999997</v>
      </c>
      <c r="Q5072" s="282" t="e">
        <f>(INDEX(Tabla6[#All],MATCH(Tabla4[[#This Row],[Producto]],Tabla6[[#All],[PRODUCTO]],0),MATCH(Tabla4[[#This Row],[Mes]],Tabla6[#Headers],0)))</f>
        <v>#N/A</v>
      </c>
      <c r="R5072" s="282" t="e">
        <f>++Tabla4[[#This Row],[Precio Unitario Neto]]-Tabla4[[#This Row],[20.85%]]-Tabla4[[#This Row],[Costo]]</f>
        <v>#N/A</v>
      </c>
      <c r="S5072" s="282" t="e">
        <f>++Tabla4[[#This Row],[U. Bruta Uni]]*Tabla4[[#This Row],[Cantidad]]</f>
        <v>#N/A</v>
      </c>
      <c r="T5072" s="369" t="str">
        <f>VLOOKUP(Tabla4[[#This Row],[Producto]],Tabla6[#All],14,FALSE)</f>
        <v>Termico Solar</v>
      </c>
      <c r="U5072" s="284" t="e">
        <f>(IF(Tabla4[[#This Row],[Familia]]="termico solar",Tabla4[[#This Row],[Utilidad Total]]*6%,Tabla4[[#This Row],[Utilidad Total]]*11.5%))/Tabla4[[#This Row],[Total]]</f>
        <v>#N/A</v>
      </c>
      <c r="V5072" s="282" t="e">
        <f>+Tabla4[[#This Row],[Comisión Calculada]]*Tabla4[[#This Row],[Total]]</f>
        <v>#N/A</v>
      </c>
    </row>
    <row r="5073" spans="1:22" hidden="1" x14ac:dyDescent="0.25">
      <c r="A5073" s="100">
        <v>45869</v>
      </c>
      <c r="B5073" t="str">
        <f t="shared" si="246"/>
        <v>July</v>
      </c>
      <c r="C5073" s="46" t="s">
        <v>280</v>
      </c>
      <c r="F5073" s="366" t="s">
        <v>2656</v>
      </c>
      <c r="G5073" s="46" t="s">
        <v>83</v>
      </c>
      <c r="H5073" s="46">
        <v>2</v>
      </c>
      <c r="I5073" s="51">
        <v>8858.76</v>
      </c>
      <c r="J5073" s="281">
        <f>++Tabla4[[#This Row],[Precio Bruto]]*1.16</f>
        <v>10276.161599999999</v>
      </c>
      <c r="K5073" s="281">
        <f>+Tabla4[[#This Row],[Precio Unitario Neto]]*Tabla4[[#Headers],[20.85%]]</f>
        <v>2142.5796935999997</v>
      </c>
      <c r="L5073" s="282">
        <f>++Tabla4[[#This Row],[Precio Unitario Neto]]-Tabla4[[#This Row],[20.85%]]</f>
        <v>8133.5819063999998</v>
      </c>
      <c r="M5073" s="282" t="e">
        <f>(INDEX(Tabla6[#All],MATCH(Tabla4[[#This Row],[Producto]],Tabla6[[#All],[PRODUCTO]],0),MATCH(Tabla4[[#This Row],[Mes]],Tabla6[#Headers],0)))*(1+Catalogos!$L$2)</f>
        <v>#N/A</v>
      </c>
      <c r="N5073" s="283" t="e">
        <f>+(Tabla4[[#This Row],[Precio Descontado]]-Tabla4[[#This Row],[Precio Base]])*Tabla4[[#This Row],[Cantidad]]</f>
        <v>#N/A</v>
      </c>
      <c r="O5073" s="284" t="e">
        <f>++Tabla4[[#This Row],[Utilidad Total]]/Tabla4[[#This Row],[Total]]</f>
        <v>#N/A</v>
      </c>
      <c r="P5073" s="282">
        <f>++Tabla4[[#This Row],[Precio Descontado]]*Tabla4[[#This Row],[Cantidad]]</f>
        <v>16267.1638128</v>
      </c>
      <c r="Q5073" s="282" t="e">
        <f>(INDEX(Tabla6[#All],MATCH(Tabla4[[#This Row],[Producto]],Tabla6[[#All],[PRODUCTO]],0),MATCH(Tabla4[[#This Row],[Mes]],Tabla6[#Headers],0)))</f>
        <v>#N/A</v>
      </c>
      <c r="R5073" s="282" t="e">
        <f>++Tabla4[[#This Row],[Precio Unitario Neto]]-Tabla4[[#This Row],[20.85%]]-Tabla4[[#This Row],[Costo]]</f>
        <v>#N/A</v>
      </c>
      <c r="S5073" s="282" t="e">
        <f>++Tabla4[[#This Row],[U. Bruta Uni]]*Tabla4[[#This Row],[Cantidad]]</f>
        <v>#N/A</v>
      </c>
      <c r="T5073" s="369" t="str">
        <f>VLOOKUP(Tabla4[[#This Row],[Producto]],Tabla6[#All],14,FALSE)</f>
        <v>Termico Solar</v>
      </c>
      <c r="U5073" s="284" t="e">
        <f>(IF(Tabla4[[#This Row],[Familia]]="termico solar",Tabla4[[#This Row],[Utilidad Total]]*6%,Tabla4[[#This Row],[Utilidad Total]]*11.5%))/Tabla4[[#This Row],[Total]]</f>
        <v>#N/A</v>
      </c>
      <c r="V5073" s="282" t="e">
        <f>+Tabla4[[#This Row],[Comisión Calculada]]*Tabla4[[#This Row],[Total]]</f>
        <v>#N/A</v>
      </c>
    </row>
    <row r="5074" spans="1:22" hidden="1" x14ac:dyDescent="0.25">
      <c r="A5074" s="100">
        <v>45869</v>
      </c>
      <c r="B5074" t="str">
        <f t="shared" si="246"/>
        <v>July</v>
      </c>
      <c r="C5074" s="46" t="s">
        <v>280</v>
      </c>
      <c r="F5074" s="366" t="s">
        <v>2656</v>
      </c>
      <c r="G5074" s="46" t="s">
        <v>17</v>
      </c>
      <c r="H5074" s="46">
        <v>2</v>
      </c>
      <c r="I5074" s="51">
        <v>4622.28</v>
      </c>
      <c r="J5074" s="281">
        <f>++Tabla4[[#This Row],[Precio Bruto]]*1.16</f>
        <v>5361.8447999999989</v>
      </c>
      <c r="K5074" s="281">
        <f>+Tabla4[[#This Row],[Precio Unitario Neto]]*Tabla4[[#Headers],[20.85%]]</f>
        <v>1117.9446407999997</v>
      </c>
      <c r="L5074" s="282">
        <f>++Tabla4[[#This Row],[Precio Unitario Neto]]-Tabla4[[#This Row],[20.85%]]</f>
        <v>4243.9001591999995</v>
      </c>
      <c r="M5074" s="282" t="e">
        <f>(INDEX(Tabla6[#All],MATCH(Tabla4[[#This Row],[Producto]],Tabla6[[#All],[PRODUCTO]],0),MATCH(Tabla4[[#This Row],[Mes]],Tabla6[#Headers],0)))*(1+Catalogos!$L$2)</f>
        <v>#N/A</v>
      </c>
      <c r="N5074" s="283" t="e">
        <f>+(Tabla4[[#This Row],[Precio Descontado]]-Tabla4[[#This Row],[Precio Base]])*Tabla4[[#This Row],[Cantidad]]</f>
        <v>#N/A</v>
      </c>
      <c r="O5074" s="284" t="e">
        <f>++Tabla4[[#This Row],[Utilidad Total]]/Tabla4[[#This Row],[Total]]</f>
        <v>#N/A</v>
      </c>
      <c r="P5074" s="282">
        <f>++Tabla4[[#This Row],[Precio Descontado]]*Tabla4[[#This Row],[Cantidad]]</f>
        <v>8487.800318399999</v>
      </c>
      <c r="Q5074" s="282" t="e">
        <f>(INDEX(Tabla6[#All],MATCH(Tabla4[[#This Row],[Producto]],Tabla6[[#All],[PRODUCTO]],0),MATCH(Tabla4[[#This Row],[Mes]],Tabla6[#Headers],0)))</f>
        <v>#N/A</v>
      </c>
      <c r="R5074" s="282" t="e">
        <f>++Tabla4[[#This Row],[Precio Unitario Neto]]-Tabla4[[#This Row],[20.85%]]-Tabla4[[#This Row],[Costo]]</f>
        <v>#N/A</v>
      </c>
      <c r="S5074" s="282" t="e">
        <f>++Tabla4[[#This Row],[U. Bruta Uni]]*Tabla4[[#This Row],[Cantidad]]</f>
        <v>#N/A</v>
      </c>
      <c r="T5074" s="369" t="str">
        <f>VLOOKUP(Tabla4[[#This Row],[Producto]],Tabla6[#All],14,FALSE)</f>
        <v>Termico Solar</v>
      </c>
      <c r="U5074" s="284" t="e">
        <f>(IF(Tabla4[[#This Row],[Familia]]="termico solar",Tabla4[[#This Row],[Utilidad Total]]*6%,Tabla4[[#This Row],[Utilidad Total]]*11.5%))/Tabla4[[#This Row],[Total]]</f>
        <v>#N/A</v>
      </c>
      <c r="V5074" s="282" t="e">
        <f>+Tabla4[[#This Row],[Comisión Calculada]]*Tabla4[[#This Row],[Total]]</f>
        <v>#N/A</v>
      </c>
    </row>
    <row r="5075" spans="1:22" hidden="1" x14ac:dyDescent="0.25">
      <c r="A5075" s="100">
        <v>45869</v>
      </c>
      <c r="B5075" t="str">
        <f t="shared" si="246"/>
        <v>July</v>
      </c>
      <c r="C5075" s="46" t="s">
        <v>280</v>
      </c>
      <c r="F5075" s="366" t="s">
        <v>2656</v>
      </c>
      <c r="G5075" s="46" t="s">
        <v>566</v>
      </c>
      <c r="H5075" s="46">
        <v>4</v>
      </c>
      <c r="I5075" s="51">
        <v>2109.4499999999998</v>
      </c>
      <c r="J5075" s="281">
        <f>++Tabla4[[#This Row],[Precio Bruto]]*1.16</f>
        <v>2446.9619999999995</v>
      </c>
      <c r="K5075" s="281">
        <f>+Tabla4[[#This Row],[Precio Unitario Neto]]*Tabla4[[#Headers],[20.85%]]</f>
        <v>510.19157699999988</v>
      </c>
      <c r="L5075" s="282">
        <f>++Tabla4[[#This Row],[Precio Unitario Neto]]-Tabla4[[#This Row],[20.85%]]</f>
        <v>1936.7704229999997</v>
      </c>
      <c r="M5075" s="282" t="e">
        <f>(INDEX(Tabla6[#All],MATCH(Tabla4[[#This Row],[Producto]],Tabla6[[#All],[PRODUCTO]],0),MATCH(Tabla4[[#This Row],[Mes]],Tabla6[#Headers],0)))*(1+Catalogos!$L$2)</f>
        <v>#N/A</v>
      </c>
      <c r="N5075" s="283" t="e">
        <f>+(Tabla4[[#This Row],[Precio Descontado]]-Tabla4[[#This Row],[Precio Base]])*Tabla4[[#This Row],[Cantidad]]</f>
        <v>#N/A</v>
      </c>
      <c r="O5075" s="284" t="e">
        <f>++Tabla4[[#This Row],[Utilidad Total]]/Tabla4[[#This Row],[Total]]</f>
        <v>#N/A</v>
      </c>
      <c r="P5075" s="282">
        <f>++Tabla4[[#This Row],[Precio Descontado]]*Tabla4[[#This Row],[Cantidad]]</f>
        <v>7747.0816919999988</v>
      </c>
      <c r="Q5075" s="282" t="e">
        <f>(INDEX(Tabla6[#All],MATCH(Tabla4[[#This Row],[Producto]],Tabla6[[#All],[PRODUCTO]],0),MATCH(Tabla4[[#This Row],[Mes]],Tabla6[#Headers],0)))</f>
        <v>#N/A</v>
      </c>
      <c r="R5075" s="282" t="e">
        <f>++Tabla4[[#This Row],[Precio Unitario Neto]]-Tabla4[[#This Row],[20.85%]]-Tabla4[[#This Row],[Costo]]</f>
        <v>#N/A</v>
      </c>
      <c r="S5075" s="282" t="e">
        <f>++Tabla4[[#This Row],[U. Bruta Uni]]*Tabla4[[#This Row],[Cantidad]]</f>
        <v>#N/A</v>
      </c>
      <c r="T5075" s="369" t="str">
        <f>VLOOKUP(Tabla4[[#This Row],[Producto]],Tabla6[#All],14,FALSE)</f>
        <v>Termico Solar</v>
      </c>
      <c r="U5075" s="284" t="e">
        <f>(IF(Tabla4[[#This Row],[Familia]]="termico solar",Tabla4[[#This Row],[Utilidad Total]]*6%,Tabla4[[#This Row],[Utilidad Total]]*11.5%))/Tabla4[[#This Row],[Total]]</f>
        <v>#N/A</v>
      </c>
      <c r="V5075" s="282" t="e">
        <f>+Tabla4[[#This Row],[Comisión Calculada]]*Tabla4[[#This Row],[Total]]</f>
        <v>#N/A</v>
      </c>
    </row>
    <row r="5076" spans="1:22" hidden="1" x14ac:dyDescent="0.25">
      <c r="A5076" s="100">
        <v>45869</v>
      </c>
      <c r="B5076" t="str">
        <f t="shared" si="246"/>
        <v>July</v>
      </c>
      <c r="C5076" s="46" t="s">
        <v>280</v>
      </c>
      <c r="F5076" s="366" t="s">
        <v>2656</v>
      </c>
      <c r="G5076" s="46" t="s">
        <v>412</v>
      </c>
      <c r="H5076" s="46">
        <v>1</v>
      </c>
      <c r="I5076" s="51">
        <v>3240.84</v>
      </c>
      <c r="J5076" s="281">
        <f>++Tabla4[[#This Row],[Precio Bruto]]*1.16</f>
        <v>3759.3743999999997</v>
      </c>
      <c r="K5076" s="281">
        <f>+Tabla4[[#This Row],[Precio Unitario Neto]]*Tabla4[[#Headers],[20.85%]]</f>
        <v>783.82956239999987</v>
      </c>
      <c r="L5076" s="282">
        <f>++Tabla4[[#This Row],[Precio Unitario Neto]]-Tabla4[[#This Row],[20.85%]]</f>
        <v>2975.5448375999999</v>
      </c>
      <c r="M5076" s="282" t="e">
        <f>(INDEX(Tabla6[#All],MATCH(Tabla4[[#This Row],[Producto]],Tabla6[[#All],[PRODUCTO]],0),MATCH(Tabla4[[#This Row],[Mes]],Tabla6[#Headers],0)))*(1+Catalogos!$L$2)</f>
        <v>#N/A</v>
      </c>
      <c r="N5076" s="283" t="e">
        <f>+(Tabla4[[#This Row],[Precio Descontado]]-Tabla4[[#This Row],[Precio Base]])*Tabla4[[#This Row],[Cantidad]]</f>
        <v>#N/A</v>
      </c>
      <c r="O5076" s="284" t="e">
        <f>++Tabla4[[#This Row],[Utilidad Total]]/Tabla4[[#This Row],[Total]]</f>
        <v>#N/A</v>
      </c>
      <c r="P5076" s="282">
        <f>++Tabla4[[#This Row],[Precio Descontado]]*Tabla4[[#This Row],[Cantidad]]</f>
        <v>2975.5448375999999</v>
      </c>
      <c r="Q5076" s="282" t="e">
        <f>(INDEX(Tabla6[#All],MATCH(Tabla4[[#This Row],[Producto]],Tabla6[[#All],[PRODUCTO]],0),MATCH(Tabla4[[#This Row],[Mes]],Tabla6[#Headers],0)))</f>
        <v>#N/A</v>
      </c>
      <c r="R5076" s="282" t="e">
        <f>++Tabla4[[#This Row],[Precio Unitario Neto]]-Tabla4[[#This Row],[20.85%]]-Tabla4[[#This Row],[Costo]]</f>
        <v>#N/A</v>
      </c>
      <c r="S5076" s="282" t="e">
        <f>++Tabla4[[#This Row],[U. Bruta Uni]]*Tabla4[[#This Row],[Cantidad]]</f>
        <v>#N/A</v>
      </c>
      <c r="T5076" s="369" t="str">
        <f>VLOOKUP(Tabla4[[#This Row],[Producto]],Tabla6[#All],14,FALSE)</f>
        <v>Termico Solar</v>
      </c>
      <c r="U5076" s="284" t="e">
        <f>(IF(Tabla4[[#This Row],[Familia]]="termico solar",Tabla4[[#This Row],[Utilidad Total]]*6%,Tabla4[[#This Row],[Utilidad Total]]*11.5%))/Tabla4[[#This Row],[Total]]</f>
        <v>#N/A</v>
      </c>
      <c r="V5076" s="282" t="e">
        <f>+Tabla4[[#This Row],[Comisión Calculada]]*Tabla4[[#This Row],[Total]]</f>
        <v>#N/A</v>
      </c>
    </row>
    <row r="5077" spans="1:22" hidden="1" x14ac:dyDescent="0.25">
      <c r="A5077" s="100">
        <v>45869</v>
      </c>
      <c r="B5077" t="str">
        <f t="shared" si="246"/>
        <v>July</v>
      </c>
      <c r="C5077" s="46" t="s">
        <v>280</v>
      </c>
      <c r="F5077" s="366" t="s">
        <v>2656</v>
      </c>
      <c r="G5077" s="46" t="s">
        <v>16</v>
      </c>
      <c r="H5077" s="46">
        <v>1</v>
      </c>
      <c r="I5077" s="51">
        <v>4103.8500000000004</v>
      </c>
      <c r="J5077" s="281">
        <f>++Tabla4[[#This Row],[Precio Bruto]]*1.16</f>
        <v>4760.4660000000003</v>
      </c>
      <c r="K5077" s="281">
        <f>+Tabla4[[#This Row],[Precio Unitario Neto]]*Tabla4[[#Headers],[20.85%]]</f>
        <v>992.55716100000006</v>
      </c>
      <c r="L5077" s="282">
        <f>++Tabla4[[#This Row],[Precio Unitario Neto]]-Tabla4[[#This Row],[20.85%]]</f>
        <v>3767.9088390000002</v>
      </c>
      <c r="M5077" s="282" t="e">
        <f>(INDEX(Tabla6[#All],MATCH(Tabla4[[#This Row],[Producto]],Tabla6[[#All],[PRODUCTO]],0),MATCH(Tabla4[[#This Row],[Mes]],Tabla6[#Headers],0)))*(1+Catalogos!$L$2)</f>
        <v>#N/A</v>
      </c>
      <c r="N5077" s="283" t="e">
        <f>+(Tabla4[[#This Row],[Precio Descontado]]-Tabla4[[#This Row],[Precio Base]])*Tabla4[[#This Row],[Cantidad]]</f>
        <v>#N/A</v>
      </c>
      <c r="O5077" s="284" t="e">
        <f>++Tabla4[[#This Row],[Utilidad Total]]/Tabla4[[#This Row],[Total]]</f>
        <v>#N/A</v>
      </c>
      <c r="P5077" s="282">
        <f>++Tabla4[[#This Row],[Precio Descontado]]*Tabla4[[#This Row],[Cantidad]]</f>
        <v>3767.9088390000002</v>
      </c>
      <c r="Q5077" s="282" t="e">
        <f>(INDEX(Tabla6[#All],MATCH(Tabla4[[#This Row],[Producto]],Tabla6[[#All],[PRODUCTO]],0),MATCH(Tabla4[[#This Row],[Mes]],Tabla6[#Headers],0)))</f>
        <v>#N/A</v>
      </c>
      <c r="R5077" s="282" t="e">
        <f>++Tabla4[[#This Row],[Precio Unitario Neto]]-Tabla4[[#This Row],[20.85%]]-Tabla4[[#This Row],[Costo]]</f>
        <v>#N/A</v>
      </c>
      <c r="S5077" s="282" t="e">
        <f>++Tabla4[[#This Row],[U. Bruta Uni]]*Tabla4[[#This Row],[Cantidad]]</f>
        <v>#N/A</v>
      </c>
      <c r="T5077" s="369" t="str">
        <f>VLOOKUP(Tabla4[[#This Row],[Producto]],Tabla6[#All],14,FALSE)</f>
        <v>Termico Solar</v>
      </c>
      <c r="U5077" s="284" t="e">
        <f>(IF(Tabla4[[#This Row],[Familia]]="termico solar",Tabla4[[#This Row],[Utilidad Total]]*6%,Tabla4[[#This Row],[Utilidad Total]]*11.5%))/Tabla4[[#This Row],[Total]]</f>
        <v>#N/A</v>
      </c>
      <c r="V5077" s="282" t="e">
        <f>+Tabla4[[#This Row],[Comisión Calculada]]*Tabla4[[#This Row],[Total]]</f>
        <v>#N/A</v>
      </c>
    </row>
    <row r="5078" spans="1:22" hidden="1" x14ac:dyDescent="0.25">
      <c r="A5078" s="100">
        <v>45869</v>
      </c>
      <c r="B5078" t="str">
        <f t="shared" si="246"/>
        <v>July</v>
      </c>
      <c r="C5078" s="46" t="s">
        <v>280</v>
      </c>
      <c r="F5078" s="366" t="s">
        <v>2657</v>
      </c>
      <c r="G5078" s="46" t="s">
        <v>83</v>
      </c>
      <c r="H5078" s="46">
        <v>1</v>
      </c>
      <c r="I5078" s="51">
        <v>8858.76</v>
      </c>
      <c r="J5078" s="281">
        <f>++Tabla4[[#This Row],[Precio Bruto]]*1.16</f>
        <v>10276.161599999999</v>
      </c>
      <c r="K5078" s="281">
        <f>+Tabla4[[#This Row],[Precio Unitario Neto]]*Tabla4[[#Headers],[20.85%]]</f>
        <v>2142.5796935999997</v>
      </c>
      <c r="L5078" s="282">
        <f>++Tabla4[[#This Row],[Precio Unitario Neto]]-Tabla4[[#This Row],[20.85%]]</f>
        <v>8133.5819063999998</v>
      </c>
      <c r="M5078" s="282" t="e">
        <f>(INDEX(Tabla6[#All],MATCH(Tabla4[[#This Row],[Producto]],Tabla6[[#All],[PRODUCTO]],0),MATCH(Tabla4[[#This Row],[Mes]],Tabla6[#Headers],0)))*(1+Catalogos!$L$2)</f>
        <v>#N/A</v>
      </c>
      <c r="N5078" s="283" t="e">
        <f>+(Tabla4[[#This Row],[Precio Descontado]]-Tabla4[[#This Row],[Precio Base]])*Tabla4[[#This Row],[Cantidad]]</f>
        <v>#N/A</v>
      </c>
      <c r="O5078" s="284" t="e">
        <f>++Tabla4[[#This Row],[Utilidad Total]]/Tabla4[[#This Row],[Total]]</f>
        <v>#N/A</v>
      </c>
      <c r="P5078" s="282">
        <f>++Tabla4[[#This Row],[Precio Descontado]]*Tabla4[[#This Row],[Cantidad]]</f>
        <v>8133.5819063999998</v>
      </c>
      <c r="Q5078" s="282" t="e">
        <f>(INDEX(Tabla6[#All],MATCH(Tabla4[[#This Row],[Producto]],Tabla6[[#All],[PRODUCTO]],0),MATCH(Tabla4[[#This Row],[Mes]],Tabla6[#Headers],0)))</f>
        <v>#N/A</v>
      </c>
      <c r="R5078" s="282" t="e">
        <f>++Tabla4[[#This Row],[Precio Unitario Neto]]-Tabla4[[#This Row],[20.85%]]-Tabla4[[#This Row],[Costo]]</f>
        <v>#N/A</v>
      </c>
      <c r="S5078" s="282" t="e">
        <f>++Tabla4[[#This Row],[U. Bruta Uni]]*Tabla4[[#This Row],[Cantidad]]</f>
        <v>#N/A</v>
      </c>
      <c r="T5078" s="369" t="str">
        <f>VLOOKUP(Tabla4[[#This Row],[Producto]],Tabla6[#All],14,FALSE)</f>
        <v>Termico Solar</v>
      </c>
      <c r="U5078" s="284" t="e">
        <f>(IF(Tabla4[[#This Row],[Familia]]="termico solar",Tabla4[[#This Row],[Utilidad Total]]*6%,Tabla4[[#This Row],[Utilidad Total]]*11.5%))/Tabla4[[#This Row],[Total]]</f>
        <v>#N/A</v>
      </c>
      <c r="V5078" s="282" t="e">
        <f>+Tabla4[[#This Row],[Comisión Calculada]]*Tabla4[[#This Row],[Total]]</f>
        <v>#N/A</v>
      </c>
    </row>
    <row r="5079" spans="1:22" hidden="1" x14ac:dyDescent="0.25">
      <c r="A5079" s="100">
        <v>45869</v>
      </c>
      <c r="B5079" t="str">
        <f t="shared" si="246"/>
        <v>July</v>
      </c>
      <c r="C5079" s="46" t="s">
        <v>280</v>
      </c>
      <c r="F5079" s="366" t="s">
        <v>2657</v>
      </c>
      <c r="G5079" s="46" t="s">
        <v>17</v>
      </c>
      <c r="H5079" s="46">
        <v>1</v>
      </c>
      <c r="I5079" s="51">
        <v>4622.28</v>
      </c>
      <c r="J5079" s="281">
        <f>++Tabla4[[#This Row],[Precio Bruto]]*1.16</f>
        <v>5361.8447999999989</v>
      </c>
      <c r="K5079" s="281">
        <f>+Tabla4[[#This Row],[Precio Unitario Neto]]*Tabla4[[#Headers],[20.85%]]</f>
        <v>1117.9446407999997</v>
      </c>
      <c r="L5079" s="282">
        <f>++Tabla4[[#This Row],[Precio Unitario Neto]]-Tabla4[[#This Row],[20.85%]]</f>
        <v>4243.9001591999995</v>
      </c>
      <c r="M5079" s="282" t="e">
        <f>(INDEX(Tabla6[#All],MATCH(Tabla4[[#This Row],[Producto]],Tabla6[[#All],[PRODUCTO]],0),MATCH(Tabla4[[#This Row],[Mes]],Tabla6[#Headers],0)))*(1+Catalogos!$L$2)</f>
        <v>#N/A</v>
      </c>
      <c r="N5079" s="283" t="e">
        <f>+(Tabla4[[#This Row],[Precio Descontado]]-Tabla4[[#This Row],[Precio Base]])*Tabla4[[#This Row],[Cantidad]]</f>
        <v>#N/A</v>
      </c>
      <c r="O5079" s="284" t="e">
        <f>++Tabla4[[#This Row],[Utilidad Total]]/Tabla4[[#This Row],[Total]]</f>
        <v>#N/A</v>
      </c>
      <c r="P5079" s="282">
        <f>++Tabla4[[#This Row],[Precio Descontado]]*Tabla4[[#This Row],[Cantidad]]</f>
        <v>4243.9001591999995</v>
      </c>
      <c r="Q5079" s="282" t="e">
        <f>(INDEX(Tabla6[#All],MATCH(Tabla4[[#This Row],[Producto]],Tabla6[[#All],[PRODUCTO]],0),MATCH(Tabla4[[#This Row],[Mes]],Tabla6[#Headers],0)))</f>
        <v>#N/A</v>
      </c>
      <c r="R5079" s="282" t="e">
        <f>++Tabla4[[#This Row],[Precio Unitario Neto]]-Tabla4[[#This Row],[20.85%]]-Tabla4[[#This Row],[Costo]]</f>
        <v>#N/A</v>
      </c>
      <c r="S5079" s="282" t="e">
        <f>++Tabla4[[#This Row],[U. Bruta Uni]]*Tabla4[[#This Row],[Cantidad]]</f>
        <v>#N/A</v>
      </c>
      <c r="T5079" s="369" t="str">
        <f>VLOOKUP(Tabla4[[#This Row],[Producto]],Tabla6[#All],14,FALSE)</f>
        <v>Termico Solar</v>
      </c>
      <c r="U5079" s="284" t="e">
        <f>(IF(Tabla4[[#This Row],[Familia]]="termico solar",Tabla4[[#This Row],[Utilidad Total]]*6%,Tabla4[[#This Row],[Utilidad Total]]*11.5%))/Tabla4[[#This Row],[Total]]</f>
        <v>#N/A</v>
      </c>
      <c r="V5079" s="282" t="e">
        <f>+Tabla4[[#This Row],[Comisión Calculada]]*Tabla4[[#This Row],[Total]]</f>
        <v>#N/A</v>
      </c>
    </row>
    <row r="5080" spans="1:22" hidden="1" x14ac:dyDescent="0.25">
      <c r="A5080" s="100">
        <v>45869</v>
      </c>
      <c r="B5080" t="str">
        <f t="shared" si="246"/>
        <v>July</v>
      </c>
      <c r="C5080" s="46" t="s">
        <v>280</v>
      </c>
      <c r="F5080" s="366" t="s">
        <v>2657</v>
      </c>
      <c r="G5080" s="46" t="s">
        <v>18</v>
      </c>
      <c r="H5080" s="46">
        <v>1</v>
      </c>
      <c r="I5080" s="51">
        <v>5367.65</v>
      </c>
      <c r="J5080" s="281">
        <f>++Tabla4[[#This Row],[Precio Bruto]]*1.16</f>
        <v>6226.4739999999993</v>
      </c>
      <c r="K5080" s="281">
        <f>+Tabla4[[#This Row],[Precio Unitario Neto]]*Tabla4[[#Headers],[20.85%]]</f>
        <v>1298.2198289999999</v>
      </c>
      <c r="L5080" s="282">
        <f>++Tabla4[[#This Row],[Precio Unitario Neto]]-Tabla4[[#This Row],[20.85%]]</f>
        <v>4928.2541709999996</v>
      </c>
      <c r="M5080" s="282" t="e">
        <f>(INDEX(Tabla6[#All],MATCH(Tabla4[[#This Row],[Producto]],Tabla6[[#All],[PRODUCTO]],0),MATCH(Tabla4[[#This Row],[Mes]],Tabla6[#Headers],0)))*(1+Catalogos!$L$2)</f>
        <v>#N/A</v>
      </c>
      <c r="N5080" s="283" t="e">
        <f>+(Tabla4[[#This Row],[Precio Descontado]]-Tabla4[[#This Row],[Precio Base]])*Tabla4[[#This Row],[Cantidad]]</f>
        <v>#N/A</v>
      </c>
      <c r="O5080" s="284" t="e">
        <f>++Tabla4[[#This Row],[Utilidad Total]]/Tabla4[[#This Row],[Total]]</f>
        <v>#N/A</v>
      </c>
      <c r="P5080" s="282">
        <f>++Tabla4[[#This Row],[Precio Descontado]]*Tabla4[[#This Row],[Cantidad]]</f>
        <v>4928.2541709999996</v>
      </c>
      <c r="Q5080" s="282" t="e">
        <f>(INDEX(Tabla6[#All],MATCH(Tabla4[[#This Row],[Producto]],Tabla6[[#All],[PRODUCTO]],0),MATCH(Tabla4[[#This Row],[Mes]],Tabla6[#Headers],0)))</f>
        <v>#N/A</v>
      </c>
      <c r="R5080" s="282" t="e">
        <f>++Tabla4[[#This Row],[Precio Unitario Neto]]-Tabla4[[#This Row],[20.85%]]-Tabla4[[#This Row],[Costo]]</f>
        <v>#N/A</v>
      </c>
      <c r="S5080" s="282" t="e">
        <f>++Tabla4[[#This Row],[U. Bruta Uni]]*Tabla4[[#This Row],[Cantidad]]</f>
        <v>#N/A</v>
      </c>
      <c r="T5080" s="369" t="str">
        <f>VLOOKUP(Tabla4[[#This Row],[Producto]],Tabla6[#All],14,FALSE)</f>
        <v>Termico Solar</v>
      </c>
      <c r="U5080" s="284" t="e">
        <f>(IF(Tabla4[[#This Row],[Familia]]="termico solar",Tabla4[[#This Row],[Utilidad Total]]*6%,Tabla4[[#This Row],[Utilidad Total]]*11.5%))/Tabla4[[#This Row],[Total]]</f>
        <v>#N/A</v>
      </c>
      <c r="V5080" s="282" t="e">
        <f>+Tabla4[[#This Row],[Comisión Calculada]]*Tabla4[[#This Row],[Total]]</f>
        <v>#N/A</v>
      </c>
    </row>
    <row r="5081" spans="1:22" hidden="1" x14ac:dyDescent="0.25">
      <c r="A5081" s="100">
        <v>45869</v>
      </c>
      <c r="B5081" t="str">
        <f t="shared" si="246"/>
        <v>July</v>
      </c>
      <c r="C5081" s="46" t="s">
        <v>280</v>
      </c>
      <c r="F5081" s="366" t="s">
        <v>2657</v>
      </c>
      <c r="G5081" s="46" t="s">
        <v>16</v>
      </c>
      <c r="H5081" s="46">
        <v>2</v>
      </c>
      <c r="I5081" s="51">
        <v>4103.8500000000004</v>
      </c>
      <c r="J5081" s="281">
        <f>++Tabla4[[#This Row],[Precio Bruto]]*1.16</f>
        <v>4760.4660000000003</v>
      </c>
      <c r="K5081" s="281">
        <f>+Tabla4[[#This Row],[Precio Unitario Neto]]*Tabla4[[#Headers],[20.85%]]</f>
        <v>992.55716100000006</v>
      </c>
      <c r="L5081" s="282">
        <f>++Tabla4[[#This Row],[Precio Unitario Neto]]-Tabla4[[#This Row],[20.85%]]</f>
        <v>3767.9088390000002</v>
      </c>
      <c r="M5081" s="282" t="e">
        <f>(INDEX(Tabla6[#All],MATCH(Tabla4[[#This Row],[Producto]],Tabla6[[#All],[PRODUCTO]],0),MATCH(Tabla4[[#This Row],[Mes]],Tabla6[#Headers],0)))*(1+Catalogos!$L$2)</f>
        <v>#N/A</v>
      </c>
      <c r="N5081" s="283" t="e">
        <f>+(Tabla4[[#This Row],[Precio Descontado]]-Tabla4[[#This Row],[Precio Base]])*Tabla4[[#This Row],[Cantidad]]</f>
        <v>#N/A</v>
      </c>
      <c r="O5081" s="284" t="e">
        <f>++Tabla4[[#This Row],[Utilidad Total]]/Tabla4[[#This Row],[Total]]</f>
        <v>#N/A</v>
      </c>
      <c r="P5081" s="282">
        <f>++Tabla4[[#This Row],[Precio Descontado]]*Tabla4[[#This Row],[Cantidad]]</f>
        <v>7535.8176780000003</v>
      </c>
      <c r="Q5081" s="282" t="e">
        <f>(INDEX(Tabla6[#All],MATCH(Tabla4[[#This Row],[Producto]],Tabla6[[#All],[PRODUCTO]],0),MATCH(Tabla4[[#This Row],[Mes]],Tabla6[#Headers],0)))</f>
        <v>#N/A</v>
      </c>
      <c r="R5081" s="282" t="e">
        <f>++Tabla4[[#This Row],[Precio Unitario Neto]]-Tabla4[[#This Row],[20.85%]]-Tabla4[[#This Row],[Costo]]</f>
        <v>#N/A</v>
      </c>
      <c r="S5081" s="282" t="e">
        <f>++Tabla4[[#This Row],[U. Bruta Uni]]*Tabla4[[#This Row],[Cantidad]]</f>
        <v>#N/A</v>
      </c>
      <c r="T5081" s="369" t="str">
        <f>VLOOKUP(Tabla4[[#This Row],[Producto]],Tabla6[#All],14,FALSE)</f>
        <v>Termico Solar</v>
      </c>
      <c r="U5081" s="284" t="e">
        <f>(IF(Tabla4[[#This Row],[Familia]]="termico solar",Tabla4[[#This Row],[Utilidad Total]]*6%,Tabla4[[#This Row],[Utilidad Total]]*11.5%))/Tabla4[[#This Row],[Total]]</f>
        <v>#N/A</v>
      </c>
      <c r="V5081" s="282" t="e">
        <f>+Tabla4[[#This Row],[Comisión Calculada]]*Tabla4[[#This Row],[Total]]</f>
        <v>#N/A</v>
      </c>
    </row>
    <row r="5082" spans="1:22" hidden="1" x14ac:dyDescent="0.25">
      <c r="A5082" s="100">
        <v>45869</v>
      </c>
      <c r="B5082" t="str">
        <f t="shared" si="246"/>
        <v>July</v>
      </c>
      <c r="C5082" s="46" t="s">
        <v>280</v>
      </c>
      <c r="F5082" s="366" t="s">
        <v>2658</v>
      </c>
      <c r="G5082" s="46" t="s">
        <v>18</v>
      </c>
      <c r="H5082" s="46">
        <v>1</v>
      </c>
      <c r="I5082" s="51">
        <v>5367.65</v>
      </c>
      <c r="J5082" s="281">
        <f>++Tabla4[[#This Row],[Precio Bruto]]*1.16</f>
        <v>6226.4739999999993</v>
      </c>
      <c r="K5082" s="281">
        <f>+Tabla4[[#This Row],[Precio Unitario Neto]]*Tabla4[[#Headers],[20.85%]]</f>
        <v>1298.2198289999999</v>
      </c>
      <c r="L5082" s="282">
        <f>++Tabla4[[#This Row],[Precio Unitario Neto]]-Tabla4[[#This Row],[20.85%]]</f>
        <v>4928.2541709999996</v>
      </c>
      <c r="M5082" s="282" t="e">
        <f>(INDEX(Tabla6[#All],MATCH(Tabla4[[#This Row],[Producto]],Tabla6[[#All],[PRODUCTO]],0),MATCH(Tabla4[[#This Row],[Mes]],Tabla6[#Headers],0)))*(1+Catalogos!$L$2)</f>
        <v>#N/A</v>
      </c>
      <c r="N5082" s="283" t="e">
        <f>+(Tabla4[[#This Row],[Precio Descontado]]-Tabla4[[#This Row],[Precio Base]])*Tabla4[[#This Row],[Cantidad]]</f>
        <v>#N/A</v>
      </c>
      <c r="O5082" s="284" t="e">
        <f>++Tabla4[[#This Row],[Utilidad Total]]/Tabla4[[#This Row],[Total]]</f>
        <v>#N/A</v>
      </c>
      <c r="P5082" s="282">
        <f>++Tabla4[[#This Row],[Precio Descontado]]*Tabla4[[#This Row],[Cantidad]]</f>
        <v>4928.2541709999996</v>
      </c>
      <c r="Q5082" s="282" t="e">
        <f>(INDEX(Tabla6[#All],MATCH(Tabla4[[#This Row],[Producto]],Tabla6[[#All],[PRODUCTO]],0),MATCH(Tabla4[[#This Row],[Mes]],Tabla6[#Headers],0)))</f>
        <v>#N/A</v>
      </c>
      <c r="R5082" s="282" t="e">
        <f>++Tabla4[[#This Row],[Precio Unitario Neto]]-Tabla4[[#This Row],[20.85%]]-Tabla4[[#This Row],[Costo]]</f>
        <v>#N/A</v>
      </c>
      <c r="S5082" s="282" t="e">
        <f>++Tabla4[[#This Row],[U. Bruta Uni]]*Tabla4[[#This Row],[Cantidad]]</f>
        <v>#N/A</v>
      </c>
      <c r="T5082" s="369" t="str">
        <f>VLOOKUP(Tabla4[[#This Row],[Producto]],Tabla6[#All],14,FALSE)</f>
        <v>Termico Solar</v>
      </c>
      <c r="U5082" s="284" t="e">
        <f>(IF(Tabla4[[#This Row],[Familia]]="termico solar",Tabla4[[#This Row],[Utilidad Total]]*6%,Tabla4[[#This Row],[Utilidad Total]]*11.5%))/Tabla4[[#This Row],[Total]]</f>
        <v>#N/A</v>
      </c>
      <c r="V5082" s="282" t="e">
        <f>+Tabla4[[#This Row],[Comisión Calculada]]*Tabla4[[#This Row],[Total]]</f>
        <v>#N/A</v>
      </c>
    </row>
    <row r="5083" spans="1:22" hidden="1" x14ac:dyDescent="0.25">
      <c r="A5083" s="100">
        <v>45869</v>
      </c>
      <c r="B5083" t="str">
        <f t="shared" si="246"/>
        <v>July</v>
      </c>
      <c r="C5083" s="46" t="s">
        <v>280</v>
      </c>
      <c r="F5083" s="366" t="s">
        <v>2659</v>
      </c>
      <c r="G5083" s="46" t="s">
        <v>83</v>
      </c>
      <c r="H5083" s="46">
        <v>1</v>
      </c>
      <c r="I5083" s="51">
        <v>8858.76</v>
      </c>
      <c r="J5083" s="281">
        <f>++Tabla4[[#This Row],[Precio Bruto]]*1.16</f>
        <v>10276.161599999999</v>
      </c>
      <c r="K5083" s="281">
        <f>+Tabla4[[#This Row],[Precio Unitario Neto]]*Tabla4[[#Headers],[20.85%]]</f>
        <v>2142.5796935999997</v>
      </c>
      <c r="L5083" s="282">
        <f>++Tabla4[[#This Row],[Precio Unitario Neto]]-Tabla4[[#This Row],[20.85%]]</f>
        <v>8133.5819063999998</v>
      </c>
      <c r="M5083" s="282" t="e">
        <f>(INDEX(Tabla6[#All],MATCH(Tabla4[[#This Row],[Producto]],Tabla6[[#All],[PRODUCTO]],0),MATCH(Tabla4[[#This Row],[Mes]],Tabla6[#Headers],0)))*(1+Catalogos!$L$2)</f>
        <v>#N/A</v>
      </c>
      <c r="N5083" s="283" t="e">
        <f>+(Tabla4[[#This Row],[Precio Descontado]]-Tabla4[[#This Row],[Precio Base]])*Tabla4[[#This Row],[Cantidad]]</f>
        <v>#N/A</v>
      </c>
      <c r="O5083" s="284" t="e">
        <f>++Tabla4[[#This Row],[Utilidad Total]]/Tabla4[[#This Row],[Total]]</f>
        <v>#N/A</v>
      </c>
      <c r="P5083" s="282">
        <f>++Tabla4[[#This Row],[Precio Descontado]]*Tabla4[[#This Row],[Cantidad]]</f>
        <v>8133.5819063999998</v>
      </c>
      <c r="Q5083" s="282" t="e">
        <f>(INDEX(Tabla6[#All],MATCH(Tabla4[[#This Row],[Producto]],Tabla6[[#All],[PRODUCTO]],0),MATCH(Tabla4[[#This Row],[Mes]],Tabla6[#Headers],0)))</f>
        <v>#N/A</v>
      </c>
      <c r="R5083" s="282" t="e">
        <f>++Tabla4[[#This Row],[Precio Unitario Neto]]-Tabla4[[#This Row],[20.85%]]-Tabla4[[#This Row],[Costo]]</f>
        <v>#N/A</v>
      </c>
      <c r="S5083" s="282" t="e">
        <f>++Tabla4[[#This Row],[U. Bruta Uni]]*Tabla4[[#This Row],[Cantidad]]</f>
        <v>#N/A</v>
      </c>
      <c r="T5083" s="369" t="str">
        <f>VLOOKUP(Tabla4[[#This Row],[Producto]],Tabla6[#All],14,FALSE)</f>
        <v>Termico Solar</v>
      </c>
      <c r="U5083" s="284" t="e">
        <f>(IF(Tabla4[[#This Row],[Familia]]="termico solar",Tabla4[[#This Row],[Utilidad Total]]*6%,Tabla4[[#This Row],[Utilidad Total]]*11.5%))/Tabla4[[#This Row],[Total]]</f>
        <v>#N/A</v>
      </c>
      <c r="V5083" s="282" t="e">
        <f>+Tabla4[[#This Row],[Comisión Calculada]]*Tabla4[[#This Row],[Total]]</f>
        <v>#N/A</v>
      </c>
    </row>
    <row r="5084" spans="1:22" hidden="1" x14ac:dyDescent="0.25">
      <c r="A5084" s="100">
        <v>45869</v>
      </c>
      <c r="B5084" t="str">
        <f t="shared" si="246"/>
        <v>July</v>
      </c>
      <c r="C5084" s="46" t="s">
        <v>280</v>
      </c>
      <c r="F5084" s="366" t="s">
        <v>2659</v>
      </c>
      <c r="G5084" s="46" t="s">
        <v>18</v>
      </c>
      <c r="H5084" s="46">
        <v>2</v>
      </c>
      <c r="I5084" s="51">
        <v>5367.65</v>
      </c>
      <c r="J5084" s="281">
        <f>++Tabla4[[#This Row],[Precio Bruto]]*1.16</f>
        <v>6226.4739999999993</v>
      </c>
      <c r="K5084" s="281">
        <f>+Tabla4[[#This Row],[Precio Unitario Neto]]*Tabla4[[#Headers],[20.85%]]</f>
        <v>1298.2198289999999</v>
      </c>
      <c r="L5084" s="282">
        <f>++Tabla4[[#This Row],[Precio Unitario Neto]]-Tabla4[[#This Row],[20.85%]]</f>
        <v>4928.2541709999996</v>
      </c>
      <c r="M5084" s="282" t="e">
        <f>(INDEX(Tabla6[#All],MATCH(Tabla4[[#This Row],[Producto]],Tabla6[[#All],[PRODUCTO]],0),MATCH(Tabla4[[#This Row],[Mes]],Tabla6[#Headers],0)))*(1+Catalogos!$L$2)</f>
        <v>#N/A</v>
      </c>
      <c r="N5084" s="283" t="e">
        <f>+(Tabla4[[#This Row],[Precio Descontado]]-Tabla4[[#This Row],[Precio Base]])*Tabla4[[#This Row],[Cantidad]]</f>
        <v>#N/A</v>
      </c>
      <c r="O5084" s="284" t="e">
        <f>++Tabla4[[#This Row],[Utilidad Total]]/Tabla4[[#This Row],[Total]]</f>
        <v>#N/A</v>
      </c>
      <c r="P5084" s="282">
        <f>++Tabla4[[#This Row],[Precio Descontado]]*Tabla4[[#This Row],[Cantidad]]</f>
        <v>9856.5083419999992</v>
      </c>
      <c r="Q5084" s="282" t="e">
        <f>(INDEX(Tabla6[#All],MATCH(Tabla4[[#This Row],[Producto]],Tabla6[[#All],[PRODUCTO]],0),MATCH(Tabla4[[#This Row],[Mes]],Tabla6[#Headers],0)))</f>
        <v>#N/A</v>
      </c>
      <c r="R5084" s="282" t="e">
        <f>++Tabla4[[#This Row],[Precio Unitario Neto]]-Tabla4[[#This Row],[20.85%]]-Tabla4[[#This Row],[Costo]]</f>
        <v>#N/A</v>
      </c>
      <c r="S5084" s="282" t="e">
        <f>++Tabla4[[#This Row],[U. Bruta Uni]]*Tabla4[[#This Row],[Cantidad]]</f>
        <v>#N/A</v>
      </c>
      <c r="T5084" s="369" t="str">
        <f>VLOOKUP(Tabla4[[#This Row],[Producto]],Tabla6[#All],14,FALSE)</f>
        <v>Termico Solar</v>
      </c>
      <c r="U5084" s="284" t="e">
        <f>(IF(Tabla4[[#This Row],[Familia]]="termico solar",Tabla4[[#This Row],[Utilidad Total]]*6%,Tabla4[[#This Row],[Utilidad Total]]*11.5%))/Tabla4[[#This Row],[Total]]</f>
        <v>#N/A</v>
      </c>
      <c r="V5084" s="282" t="e">
        <f>+Tabla4[[#This Row],[Comisión Calculada]]*Tabla4[[#This Row],[Total]]</f>
        <v>#N/A</v>
      </c>
    </row>
    <row r="5085" spans="1:22" hidden="1" x14ac:dyDescent="0.25">
      <c r="A5085" s="100">
        <v>45869</v>
      </c>
      <c r="B5085" t="str">
        <f t="shared" si="246"/>
        <v>July</v>
      </c>
      <c r="C5085" s="46" t="s">
        <v>280</v>
      </c>
      <c r="F5085" s="366" t="s">
        <v>2659</v>
      </c>
      <c r="G5085" s="46" t="s">
        <v>16</v>
      </c>
      <c r="H5085" s="46">
        <v>1</v>
      </c>
      <c r="I5085" s="51">
        <v>4103.8500000000004</v>
      </c>
      <c r="J5085" s="281">
        <f>++Tabla4[[#This Row],[Precio Bruto]]*1.16</f>
        <v>4760.4660000000003</v>
      </c>
      <c r="K5085" s="281">
        <f>+Tabla4[[#This Row],[Precio Unitario Neto]]*Tabla4[[#Headers],[20.85%]]</f>
        <v>992.55716100000006</v>
      </c>
      <c r="L5085" s="282">
        <f>++Tabla4[[#This Row],[Precio Unitario Neto]]-Tabla4[[#This Row],[20.85%]]</f>
        <v>3767.9088390000002</v>
      </c>
      <c r="M5085" s="282" t="e">
        <f>(INDEX(Tabla6[#All],MATCH(Tabla4[[#This Row],[Producto]],Tabla6[[#All],[PRODUCTO]],0),MATCH(Tabla4[[#This Row],[Mes]],Tabla6[#Headers],0)))*(1+Catalogos!$L$2)</f>
        <v>#N/A</v>
      </c>
      <c r="N5085" s="283" t="e">
        <f>+(Tabla4[[#This Row],[Precio Descontado]]-Tabla4[[#This Row],[Precio Base]])*Tabla4[[#This Row],[Cantidad]]</f>
        <v>#N/A</v>
      </c>
      <c r="O5085" s="284" t="e">
        <f>++Tabla4[[#This Row],[Utilidad Total]]/Tabla4[[#This Row],[Total]]</f>
        <v>#N/A</v>
      </c>
      <c r="P5085" s="282">
        <f>++Tabla4[[#This Row],[Precio Descontado]]*Tabla4[[#This Row],[Cantidad]]</f>
        <v>3767.9088390000002</v>
      </c>
      <c r="Q5085" s="282" t="e">
        <f>(INDEX(Tabla6[#All],MATCH(Tabla4[[#This Row],[Producto]],Tabla6[[#All],[PRODUCTO]],0),MATCH(Tabla4[[#This Row],[Mes]],Tabla6[#Headers],0)))</f>
        <v>#N/A</v>
      </c>
      <c r="R5085" s="282" t="e">
        <f>++Tabla4[[#This Row],[Precio Unitario Neto]]-Tabla4[[#This Row],[20.85%]]-Tabla4[[#This Row],[Costo]]</f>
        <v>#N/A</v>
      </c>
      <c r="S5085" s="282" t="e">
        <f>++Tabla4[[#This Row],[U. Bruta Uni]]*Tabla4[[#This Row],[Cantidad]]</f>
        <v>#N/A</v>
      </c>
      <c r="T5085" s="369" t="str">
        <f>VLOOKUP(Tabla4[[#This Row],[Producto]],Tabla6[#All],14,FALSE)</f>
        <v>Termico Solar</v>
      </c>
      <c r="U5085" s="284" t="e">
        <f>(IF(Tabla4[[#This Row],[Familia]]="termico solar",Tabla4[[#This Row],[Utilidad Total]]*6%,Tabla4[[#This Row],[Utilidad Total]]*11.5%))/Tabla4[[#This Row],[Total]]</f>
        <v>#N/A</v>
      </c>
      <c r="V5085" s="282" t="e">
        <f>+Tabla4[[#This Row],[Comisión Calculada]]*Tabla4[[#This Row],[Total]]</f>
        <v>#N/A</v>
      </c>
    </row>
    <row r="5086" spans="1:22" hidden="1" x14ac:dyDescent="0.25">
      <c r="A5086" s="100">
        <v>45869</v>
      </c>
      <c r="B5086" t="str">
        <f t="shared" si="246"/>
        <v>July</v>
      </c>
      <c r="C5086" s="46" t="s">
        <v>280</v>
      </c>
      <c r="F5086" s="366" t="s">
        <v>2659</v>
      </c>
      <c r="G5086" s="46" t="s">
        <v>208</v>
      </c>
      <c r="H5086" s="46">
        <v>2</v>
      </c>
      <c r="I5086" s="51">
        <v>189.75</v>
      </c>
      <c r="J5086" s="281">
        <f>++Tabla4[[#This Row],[Precio Bruto]]*1.16</f>
        <v>220.10999999999999</v>
      </c>
      <c r="K5086" s="281">
        <f>+Tabla4[[#This Row],[Precio Unitario Neto]]*Tabla4[[#Headers],[20.85%]]</f>
        <v>45.892934999999994</v>
      </c>
      <c r="L5086" s="282">
        <f>++Tabla4[[#This Row],[Precio Unitario Neto]]-Tabla4[[#This Row],[20.85%]]</f>
        <v>174.21706499999999</v>
      </c>
      <c r="M5086" s="282" t="e">
        <f>(INDEX(Tabla6[#All],MATCH(Tabla4[[#This Row],[Producto]],Tabla6[[#All],[PRODUCTO]],0),MATCH(Tabla4[[#This Row],[Mes]],Tabla6[#Headers],0)))*(1+Catalogos!$L$2)</f>
        <v>#N/A</v>
      </c>
      <c r="N5086" s="283" t="e">
        <f>+(Tabla4[[#This Row],[Precio Descontado]]-Tabla4[[#This Row],[Precio Base]])*Tabla4[[#This Row],[Cantidad]]</f>
        <v>#N/A</v>
      </c>
      <c r="O5086" s="284" t="e">
        <f>++Tabla4[[#This Row],[Utilidad Total]]/Tabla4[[#This Row],[Total]]</f>
        <v>#N/A</v>
      </c>
      <c r="P5086" s="282">
        <f>++Tabla4[[#This Row],[Precio Descontado]]*Tabla4[[#This Row],[Cantidad]]</f>
        <v>348.43412999999998</v>
      </c>
      <c r="Q5086" s="282" t="e">
        <f>(INDEX(Tabla6[#All],MATCH(Tabla4[[#This Row],[Producto]],Tabla6[[#All],[PRODUCTO]],0),MATCH(Tabla4[[#This Row],[Mes]],Tabla6[#Headers],0)))</f>
        <v>#N/A</v>
      </c>
      <c r="R5086" s="282" t="e">
        <f>++Tabla4[[#This Row],[Precio Unitario Neto]]-Tabla4[[#This Row],[20.85%]]-Tabla4[[#This Row],[Costo]]</f>
        <v>#N/A</v>
      </c>
      <c r="S5086" s="282" t="e">
        <f>++Tabla4[[#This Row],[U. Bruta Uni]]*Tabla4[[#This Row],[Cantidad]]</f>
        <v>#N/A</v>
      </c>
      <c r="T5086" s="369" t="str">
        <f>VLOOKUP(Tabla4[[#This Row],[Producto]],Tabla6[#All],14,FALSE)</f>
        <v>Termico Solar</v>
      </c>
      <c r="U5086" s="284" t="e">
        <f>(IF(Tabla4[[#This Row],[Familia]]="termico solar",Tabla4[[#This Row],[Utilidad Total]]*6%,Tabla4[[#This Row],[Utilidad Total]]*11.5%))/Tabla4[[#This Row],[Total]]</f>
        <v>#N/A</v>
      </c>
      <c r="V5086" s="282" t="e">
        <f>+Tabla4[[#This Row],[Comisión Calculada]]*Tabla4[[#This Row],[Total]]</f>
        <v>#N/A</v>
      </c>
    </row>
    <row r="5087" spans="1:22" hidden="1" x14ac:dyDescent="0.25">
      <c r="A5087" s="100">
        <v>45869</v>
      </c>
      <c r="B5087" t="str">
        <f t="shared" si="246"/>
        <v>July</v>
      </c>
      <c r="C5087" s="46" t="s">
        <v>280</v>
      </c>
      <c r="F5087" s="366" t="s">
        <v>2660</v>
      </c>
      <c r="G5087" s="46" t="s">
        <v>83</v>
      </c>
      <c r="H5087" s="46">
        <v>2</v>
      </c>
      <c r="I5087" s="51">
        <v>8858.76</v>
      </c>
      <c r="J5087" s="281">
        <f>++Tabla4[[#This Row],[Precio Bruto]]*1.16</f>
        <v>10276.161599999999</v>
      </c>
      <c r="K5087" s="281">
        <f>+Tabla4[[#This Row],[Precio Unitario Neto]]*Tabla4[[#Headers],[20.85%]]</f>
        <v>2142.5796935999997</v>
      </c>
      <c r="L5087" s="282">
        <f>++Tabla4[[#This Row],[Precio Unitario Neto]]-Tabla4[[#This Row],[20.85%]]</f>
        <v>8133.5819063999998</v>
      </c>
      <c r="M5087" s="282" t="e">
        <f>(INDEX(Tabla6[#All],MATCH(Tabla4[[#This Row],[Producto]],Tabla6[[#All],[PRODUCTO]],0),MATCH(Tabla4[[#This Row],[Mes]],Tabla6[#Headers],0)))*(1+Catalogos!$L$2)</f>
        <v>#N/A</v>
      </c>
      <c r="N5087" s="283" t="e">
        <f>+(Tabla4[[#This Row],[Precio Descontado]]-Tabla4[[#This Row],[Precio Base]])*Tabla4[[#This Row],[Cantidad]]</f>
        <v>#N/A</v>
      </c>
      <c r="O5087" s="284" t="e">
        <f>++Tabla4[[#This Row],[Utilidad Total]]/Tabla4[[#This Row],[Total]]</f>
        <v>#N/A</v>
      </c>
      <c r="P5087" s="282">
        <f>++Tabla4[[#This Row],[Precio Descontado]]*Tabla4[[#This Row],[Cantidad]]</f>
        <v>16267.1638128</v>
      </c>
      <c r="Q5087" s="282" t="e">
        <f>(INDEX(Tabla6[#All],MATCH(Tabla4[[#This Row],[Producto]],Tabla6[[#All],[PRODUCTO]],0),MATCH(Tabla4[[#This Row],[Mes]],Tabla6[#Headers],0)))</f>
        <v>#N/A</v>
      </c>
      <c r="R5087" s="282" t="e">
        <f>++Tabla4[[#This Row],[Precio Unitario Neto]]-Tabla4[[#This Row],[20.85%]]-Tabla4[[#This Row],[Costo]]</f>
        <v>#N/A</v>
      </c>
      <c r="S5087" s="282" t="e">
        <f>++Tabla4[[#This Row],[U. Bruta Uni]]*Tabla4[[#This Row],[Cantidad]]</f>
        <v>#N/A</v>
      </c>
      <c r="T5087" s="369" t="str">
        <f>VLOOKUP(Tabla4[[#This Row],[Producto]],Tabla6[#All],14,FALSE)</f>
        <v>Termico Solar</v>
      </c>
      <c r="U5087" s="284" t="e">
        <f>(IF(Tabla4[[#This Row],[Familia]]="termico solar",Tabla4[[#This Row],[Utilidad Total]]*6%,Tabla4[[#This Row],[Utilidad Total]]*11.5%))/Tabla4[[#This Row],[Total]]</f>
        <v>#N/A</v>
      </c>
      <c r="V5087" s="282" t="e">
        <f>+Tabla4[[#This Row],[Comisión Calculada]]*Tabla4[[#This Row],[Total]]</f>
        <v>#N/A</v>
      </c>
    </row>
    <row r="5088" spans="1:22" hidden="1" x14ac:dyDescent="0.25">
      <c r="A5088" s="100">
        <v>45869</v>
      </c>
      <c r="B5088" t="str">
        <f t="shared" si="246"/>
        <v>July</v>
      </c>
      <c r="C5088" s="46" t="s">
        <v>280</v>
      </c>
      <c r="F5088" s="366" t="s">
        <v>2660</v>
      </c>
      <c r="G5088" s="46" t="s">
        <v>17</v>
      </c>
      <c r="H5088" s="46">
        <v>4</v>
      </c>
      <c r="I5088" s="51">
        <v>4622.28</v>
      </c>
      <c r="J5088" s="281">
        <f>++Tabla4[[#This Row],[Precio Bruto]]*1.16</f>
        <v>5361.8447999999989</v>
      </c>
      <c r="K5088" s="281">
        <f>+Tabla4[[#This Row],[Precio Unitario Neto]]*Tabla4[[#Headers],[20.85%]]</f>
        <v>1117.9446407999997</v>
      </c>
      <c r="L5088" s="282">
        <f>++Tabla4[[#This Row],[Precio Unitario Neto]]-Tabla4[[#This Row],[20.85%]]</f>
        <v>4243.9001591999995</v>
      </c>
      <c r="M5088" s="282" t="e">
        <f>(INDEX(Tabla6[#All],MATCH(Tabla4[[#This Row],[Producto]],Tabla6[[#All],[PRODUCTO]],0),MATCH(Tabla4[[#This Row],[Mes]],Tabla6[#Headers],0)))*(1+Catalogos!$L$2)</f>
        <v>#N/A</v>
      </c>
      <c r="N5088" s="283" t="e">
        <f>+(Tabla4[[#This Row],[Precio Descontado]]-Tabla4[[#This Row],[Precio Base]])*Tabla4[[#This Row],[Cantidad]]</f>
        <v>#N/A</v>
      </c>
      <c r="O5088" s="284" t="e">
        <f>++Tabla4[[#This Row],[Utilidad Total]]/Tabla4[[#This Row],[Total]]</f>
        <v>#N/A</v>
      </c>
      <c r="P5088" s="282">
        <f>++Tabla4[[#This Row],[Precio Descontado]]*Tabla4[[#This Row],[Cantidad]]</f>
        <v>16975.600636799998</v>
      </c>
      <c r="Q5088" s="282" t="e">
        <f>(INDEX(Tabla6[#All],MATCH(Tabla4[[#This Row],[Producto]],Tabla6[[#All],[PRODUCTO]],0),MATCH(Tabla4[[#This Row],[Mes]],Tabla6[#Headers],0)))</f>
        <v>#N/A</v>
      </c>
      <c r="R5088" s="282" t="e">
        <f>++Tabla4[[#This Row],[Precio Unitario Neto]]-Tabla4[[#This Row],[20.85%]]-Tabla4[[#This Row],[Costo]]</f>
        <v>#N/A</v>
      </c>
      <c r="S5088" s="282" t="e">
        <f>++Tabla4[[#This Row],[U. Bruta Uni]]*Tabla4[[#This Row],[Cantidad]]</f>
        <v>#N/A</v>
      </c>
      <c r="T5088" s="369" t="str">
        <f>VLOOKUP(Tabla4[[#This Row],[Producto]],Tabla6[#All],14,FALSE)</f>
        <v>Termico Solar</v>
      </c>
      <c r="U5088" s="284" t="e">
        <f>(IF(Tabla4[[#This Row],[Familia]]="termico solar",Tabla4[[#This Row],[Utilidad Total]]*6%,Tabla4[[#This Row],[Utilidad Total]]*11.5%))/Tabla4[[#This Row],[Total]]</f>
        <v>#N/A</v>
      </c>
      <c r="V5088" s="282" t="e">
        <f>+Tabla4[[#This Row],[Comisión Calculada]]*Tabla4[[#This Row],[Total]]</f>
        <v>#N/A</v>
      </c>
    </row>
    <row r="5089" spans="1:22" hidden="1" x14ac:dyDescent="0.25">
      <c r="A5089" s="100">
        <v>45869</v>
      </c>
      <c r="B5089" t="str">
        <f t="shared" ref="B5089:B5120" si="247">TEXT(A5089, "mmmm")</f>
        <v>July</v>
      </c>
      <c r="C5089" s="46" t="s">
        <v>280</v>
      </c>
      <c r="F5089" s="366" t="s">
        <v>2660</v>
      </c>
      <c r="G5089" s="46" t="s">
        <v>18</v>
      </c>
      <c r="H5089" s="46">
        <v>2</v>
      </c>
      <c r="I5089" s="51">
        <v>5367.65</v>
      </c>
      <c r="J5089" s="281">
        <f>++Tabla4[[#This Row],[Precio Bruto]]*1.16</f>
        <v>6226.4739999999993</v>
      </c>
      <c r="K5089" s="281">
        <f>+Tabla4[[#This Row],[Precio Unitario Neto]]*Tabla4[[#Headers],[20.85%]]</f>
        <v>1298.2198289999999</v>
      </c>
      <c r="L5089" s="282">
        <f>++Tabla4[[#This Row],[Precio Unitario Neto]]-Tabla4[[#This Row],[20.85%]]</f>
        <v>4928.2541709999996</v>
      </c>
      <c r="M5089" s="282" t="e">
        <f>(INDEX(Tabla6[#All],MATCH(Tabla4[[#This Row],[Producto]],Tabla6[[#All],[PRODUCTO]],0),MATCH(Tabla4[[#This Row],[Mes]],Tabla6[#Headers],0)))*(1+Catalogos!$L$2)</f>
        <v>#N/A</v>
      </c>
      <c r="N5089" s="283" t="e">
        <f>+(Tabla4[[#This Row],[Precio Descontado]]-Tabla4[[#This Row],[Precio Base]])*Tabla4[[#This Row],[Cantidad]]</f>
        <v>#N/A</v>
      </c>
      <c r="O5089" s="284" t="e">
        <f>++Tabla4[[#This Row],[Utilidad Total]]/Tabla4[[#This Row],[Total]]</f>
        <v>#N/A</v>
      </c>
      <c r="P5089" s="282">
        <f>++Tabla4[[#This Row],[Precio Descontado]]*Tabla4[[#This Row],[Cantidad]]</f>
        <v>9856.5083419999992</v>
      </c>
      <c r="Q5089" s="282" t="e">
        <f>(INDEX(Tabla6[#All],MATCH(Tabla4[[#This Row],[Producto]],Tabla6[[#All],[PRODUCTO]],0),MATCH(Tabla4[[#This Row],[Mes]],Tabla6[#Headers],0)))</f>
        <v>#N/A</v>
      </c>
      <c r="R5089" s="282" t="e">
        <f>++Tabla4[[#This Row],[Precio Unitario Neto]]-Tabla4[[#This Row],[20.85%]]-Tabla4[[#This Row],[Costo]]</f>
        <v>#N/A</v>
      </c>
      <c r="S5089" s="282" t="e">
        <f>++Tabla4[[#This Row],[U. Bruta Uni]]*Tabla4[[#This Row],[Cantidad]]</f>
        <v>#N/A</v>
      </c>
      <c r="T5089" s="369" t="str">
        <f>VLOOKUP(Tabla4[[#This Row],[Producto]],Tabla6[#All],14,FALSE)</f>
        <v>Termico Solar</v>
      </c>
      <c r="U5089" s="284" t="e">
        <f>(IF(Tabla4[[#This Row],[Familia]]="termico solar",Tabla4[[#This Row],[Utilidad Total]]*6%,Tabla4[[#This Row],[Utilidad Total]]*11.5%))/Tabla4[[#This Row],[Total]]</f>
        <v>#N/A</v>
      </c>
      <c r="V5089" s="282" t="e">
        <f>+Tabla4[[#This Row],[Comisión Calculada]]*Tabla4[[#This Row],[Total]]</f>
        <v>#N/A</v>
      </c>
    </row>
    <row r="5090" spans="1:22" hidden="1" x14ac:dyDescent="0.25">
      <c r="A5090" s="100">
        <v>45869</v>
      </c>
      <c r="B5090" t="str">
        <f t="shared" si="247"/>
        <v>July</v>
      </c>
      <c r="C5090" s="46" t="s">
        <v>280</v>
      </c>
      <c r="F5090" s="366" t="s">
        <v>2661</v>
      </c>
      <c r="G5090" s="46" t="s">
        <v>17</v>
      </c>
      <c r="H5090" s="46">
        <v>1</v>
      </c>
      <c r="I5090" s="51">
        <v>4622.28</v>
      </c>
      <c r="J5090" s="281">
        <f>++Tabla4[[#This Row],[Precio Bruto]]*1.16</f>
        <v>5361.8447999999989</v>
      </c>
      <c r="K5090" s="281">
        <f>+Tabla4[[#This Row],[Precio Unitario Neto]]*Tabla4[[#Headers],[20.85%]]</f>
        <v>1117.9446407999997</v>
      </c>
      <c r="L5090" s="282">
        <f>++Tabla4[[#This Row],[Precio Unitario Neto]]-Tabla4[[#This Row],[20.85%]]</f>
        <v>4243.9001591999995</v>
      </c>
      <c r="M5090" s="282" t="e">
        <f>(INDEX(Tabla6[#All],MATCH(Tabla4[[#This Row],[Producto]],Tabla6[[#All],[PRODUCTO]],0),MATCH(Tabla4[[#This Row],[Mes]],Tabla6[#Headers],0)))*(1+Catalogos!$L$2)</f>
        <v>#N/A</v>
      </c>
      <c r="N5090" s="283" t="e">
        <f>+(Tabla4[[#This Row],[Precio Descontado]]-Tabla4[[#This Row],[Precio Base]])*Tabla4[[#This Row],[Cantidad]]</f>
        <v>#N/A</v>
      </c>
      <c r="O5090" s="284" t="e">
        <f>++Tabla4[[#This Row],[Utilidad Total]]/Tabla4[[#This Row],[Total]]</f>
        <v>#N/A</v>
      </c>
      <c r="P5090" s="282">
        <f>++Tabla4[[#This Row],[Precio Descontado]]*Tabla4[[#This Row],[Cantidad]]</f>
        <v>4243.9001591999995</v>
      </c>
      <c r="Q5090" s="282" t="e">
        <f>(INDEX(Tabla6[#All],MATCH(Tabla4[[#This Row],[Producto]],Tabla6[[#All],[PRODUCTO]],0),MATCH(Tabla4[[#This Row],[Mes]],Tabla6[#Headers],0)))</f>
        <v>#N/A</v>
      </c>
      <c r="R5090" s="282" t="e">
        <f>++Tabla4[[#This Row],[Precio Unitario Neto]]-Tabla4[[#This Row],[20.85%]]-Tabla4[[#This Row],[Costo]]</f>
        <v>#N/A</v>
      </c>
      <c r="S5090" s="282" t="e">
        <f>++Tabla4[[#This Row],[U. Bruta Uni]]*Tabla4[[#This Row],[Cantidad]]</f>
        <v>#N/A</v>
      </c>
      <c r="T5090" s="369" t="str">
        <f>VLOOKUP(Tabla4[[#This Row],[Producto]],Tabla6[#All],14,FALSE)</f>
        <v>Termico Solar</v>
      </c>
      <c r="U5090" s="284" t="e">
        <f>(IF(Tabla4[[#This Row],[Familia]]="termico solar",Tabla4[[#This Row],[Utilidad Total]]*6%,Tabla4[[#This Row],[Utilidad Total]]*11.5%))/Tabla4[[#This Row],[Total]]</f>
        <v>#N/A</v>
      </c>
      <c r="V5090" s="282" t="e">
        <f>+Tabla4[[#This Row],[Comisión Calculada]]*Tabla4[[#This Row],[Total]]</f>
        <v>#N/A</v>
      </c>
    </row>
    <row r="5091" spans="1:22" hidden="1" x14ac:dyDescent="0.25">
      <c r="A5091" s="100">
        <v>45869</v>
      </c>
      <c r="B5091" t="str">
        <f t="shared" si="247"/>
        <v>July</v>
      </c>
      <c r="C5091" s="46" t="s">
        <v>280</v>
      </c>
      <c r="F5091" s="366" t="s">
        <v>2661</v>
      </c>
      <c r="G5091" s="46" t="s">
        <v>16</v>
      </c>
      <c r="H5091" s="46">
        <v>1</v>
      </c>
      <c r="I5091" s="51">
        <v>4103.8500000000004</v>
      </c>
      <c r="J5091" s="281">
        <f>++Tabla4[[#This Row],[Precio Bruto]]*1.16</f>
        <v>4760.4660000000003</v>
      </c>
      <c r="K5091" s="281">
        <f>+Tabla4[[#This Row],[Precio Unitario Neto]]*Tabla4[[#Headers],[20.85%]]</f>
        <v>992.55716100000006</v>
      </c>
      <c r="L5091" s="282">
        <f>++Tabla4[[#This Row],[Precio Unitario Neto]]-Tabla4[[#This Row],[20.85%]]</f>
        <v>3767.9088390000002</v>
      </c>
      <c r="M5091" s="282" t="e">
        <f>(INDEX(Tabla6[#All],MATCH(Tabla4[[#This Row],[Producto]],Tabla6[[#All],[PRODUCTO]],0),MATCH(Tabla4[[#This Row],[Mes]],Tabla6[#Headers],0)))*(1+Catalogos!$L$2)</f>
        <v>#N/A</v>
      </c>
      <c r="N5091" s="283" t="e">
        <f>+(Tabla4[[#This Row],[Precio Descontado]]-Tabla4[[#This Row],[Precio Base]])*Tabla4[[#This Row],[Cantidad]]</f>
        <v>#N/A</v>
      </c>
      <c r="O5091" s="284" t="e">
        <f>++Tabla4[[#This Row],[Utilidad Total]]/Tabla4[[#This Row],[Total]]</f>
        <v>#N/A</v>
      </c>
      <c r="P5091" s="282">
        <f>++Tabla4[[#This Row],[Precio Descontado]]*Tabla4[[#This Row],[Cantidad]]</f>
        <v>3767.9088390000002</v>
      </c>
      <c r="Q5091" s="282" t="e">
        <f>(INDEX(Tabla6[#All],MATCH(Tabla4[[#This Row],[Producto]],Tabla6[[#All],[PRODUCTO]],0),MATCH(Tabla4[[#This Row],[Mes]],Tabla6[#Headers],0)))</f>
        <v>#N/A</v>
      </c>
      <c r="R5091" s="282" t="e">
        <f>++Tabla4[[#This Row],[Precio Unitario Neto]]-Tabla4[[#This Row],[20.85%]]-Tabla4[[#This Row],[Costo]]</f>
        <v>#N/A</v>
      </c>
      <c r="S5091" s="282" t="e">
        <f>++Tabla4[[#This Row],[U. Bruta Uni]]*Tabla4[[#This Row],[Cantidad]]</f>
        <v>#N/A</v>
      </c>
      <c r="T5091" s="369" t="str">
        <f>VLOOKUP(Tabla4[[#This Row],[Producto]],Tabla6[#All],14,FALSE)</f>
        <v>Termico Solar</v>
      </c>
      <c r="U5091" s="284" t="e">
        <f>(IF(Tabla4[[#This Row],[Familia]]="termico solar",Tabla4[[#This Row],[Utilidad Total]]*6%,Tabla4[[#This Row],[Utilidad Total]]*11.5%))/Tabla4[[#This Row],[Total]]</f>
        <v>#N/A</v>
      </c>
      <c r="V5091" s="282" t="e">
        <f>+Tabla4[[#This Row],[Comisión Calculada]]*Tabla4[[#This Row],[Total]]</f>
        <v>#N/A</v>
      </c>
    </row>
    <row r="5092" spans="1:22" hidden="1" x14ac:dyDescent="0.25">
      <c r="A5092" s="100">
        <v>45869</v>
      </c>
      <c r="B5092" t="str">
        <f t="shared" si="247"/>
        <v>July</v>
      </c>
      <c r="C5092" s="46" t="s">
        <v>280</v>
      </c>
      <c r="F5092" s="366" t="s">
        <v>2662</v>
      </c>
      <c r="G5092" s="46" t="s">
        <v>83</v>
      </c>
      <c r="H5092" s="46">
        <v>3</v>
      </c>
      <c r="I5092" s="51">
        <v>8858.76</v>
      </c>
      <c r="J5092" s="281">
        <f>++Tabla4[[#This Row],[Precio Bruto]]*1.16</f>
        <v>10276.161599999999</v>
      </c>
      <c r="K5092" s="281">
        <f>+Tabla4[[#This Row],[Precio Unitario Neto]]*Tabla4[[#Headers],[20.85%]]</f>
        <v>2142.5796935999997</v>
      </c>
      <c r="L5092" s="282">
        <f>++Tabla4[[#This Row],[Precio Unitario Neto]]-Tabla4[[#This Row],[20.85%]]</f>
        <v>8133.5819063999998</v>
      </c>
      <c r="M5092" s="282" t="e">
        <f>(INDEX(Tabla6[#All],MATCH(Tabla4[[#This Row],[Producto]],Tabla6[[#All],[PRODUCTO]],0),MATCH(Tabla4[[#This Row],[Mes]],Tabla6[#Headers],0)))*(1+Catalogos!$L$2)</f>
        <v>#N/A</v>
      </c>
      <c r="N5092" s="283" t="e">
        <f>+(Tabla4[[#This Row],[Precio Descontado]]-Tabla4[[#This Row],[Precio Base]])*Tabla4[[#This Row],[Cantidad]]</f>
        <v>#N/A</v>
      </c>
      <c r="O5092" s="284" t="e">
        <f>++Tabla4[[#This Row],[Utilidad Total]]/Tabla4[[#This Row],[Total]]</f>
        <v>#N/A</v>
      </c>
      <c r="P5092" s="282">
        <f>++Tabla4[[#This Row],[Precio Descontado]]*Tabla4[[#This Row],[Cantidad]]</f>
        <v>24400.7457192</v>
      </c>
      <c r="Q5092" s="282" t="e">
        <f>(INDEX(Tabla6[#All],MATCH(Tabla4[[#This Row],[Producto]],Tabla6[[#All],[PRODUCTO]],0),MATCH(Tabla4[[#This Row],[Mes]],Tabla6[#Headers],0)))</f>
        <v>#N/A</v>
      </c>
      <c r="R5092" s="282" t="e">
        <f>++Tabla4[[#This Row],[Precio Unitario Neto]]-Tabla4[[#This Row],[20.85%]]-Tabla4[[#This Row],[Costo]]</f>
        <v>#N/A</v>
      </c>
      <c r="S5092" s="282" t="e">
        <f>++Tabla4[[#This Row],[U. Bruta Uni]]*Tabla4[[#This Row],[Cantidad]]</f>
        <v>#N/A</v>
      </c>
      <c r="T5092" s="369" t="str">
        <f>VLOOKUP(Tabla4[[#This Row],[Producto]],Tabla6[#All],14,FALSE)</f>
        <v>Termico Solar</v>
      </c>
      <c r="U5092" s="284" t="e">
        <f>(IF(Tabla4[[#This Row],[Familia]]="termico solar",Tabla4[[#This Row],[Utilidad Total]]*6%,Tabla4[[#This Row],[Utilidad Total]]*11.5%))/Tabla4[[#This Row],[Total]]</f>
        <v>#N/A</v>
      </c>
      <c r="V5092" s="282" t="e">
        <f>+Tabla4[[#This Row],[Comisión Calculada]]*Tabla4[[#This Row],[Total]]</f>
        <v>#N/A</v>
      </c>
    </row>
    <row r="5093" spans="1:22" hidden="1" x14ac:dyDescent="0.25">
      <c r="A5093" s="100">
        <v>45869</v>
      </c>
      <c r="B5093" t="str">
        <f t="shared" si="247"/>
        <v>July</v>
      </c>
      <c r="C5093" s="46" t="s">
        <v>280</v>
      </c>
      <c r="F5093" s="366" t="s">
        <v>2662</v>
      </c>
      <c r="G5093" s="46" t="s">
        <v>18</v>
      </c>
      <c r="H5093" s="46">
        <v>4</v>
      </c>
      <c r="I5093" s="51">
        <v>5367.65</v>
      </c>
      <c r="J5093" s="281">
        <f>++Tabla4[[#This Row],[Precio Bruto]]*1.16</f>
        <v>6226.4739999999993</v>
      </c>
      <c r="K5093" s="281">
        <f>+Tabla4[[#This Row],[Precio Unitario Neto]]*Tabla4[[#Headers],[20.85%]]</f>
        <v>1298.2198289999999</v>
      </c>
      <c r="L5093" s="282">
        <f>++Tabla4[[#This Row],[Precio Unitario Neto]]-Tabla4[[#This Row],[20.85%]]</f>
        <v>4928.2541709999996</v>
      </c>
      <c r="M5093" s="282" t="e">
        <f>(INDEX(Tabla6[#All],MATCH(Tabla4[[#This Row],[Producto]],Tabla6[[#All],[PRODUCTO]],0),MATCH(Tabla4[[#This Row],[Mes]],Tabla6[#Headers],0)))*(1+Catalogos!$L$2)</f>
        <v>#N/A</v>
      </c>
      <c r="N5093" s="283" t="e">
        <f>+(Tabla4[[#This Row],[Precio Descontado]]-Tabla4[[#This Row],[Precio Base]])*Tabla4[[#This Row],[Cantidad]]</f>
        <v>#N/A</v>
      </c>
      <c r="O5093" s="284" t="e">
        <f>++Tabla4[[#This Row],[Utilidad Total]]/Tabla4[[#This Row],[Total]]</f>
        <v>#N/A</v>
      </c>
      <c r="P5093" s="282">
        <f>++Tabla4[[#This Row],[Precio Descontado]]*Tabla4[[#This Row],[Cantidad]]</f>
        <v>19713.016683999998</v>
      </c>
      <c r="Q5093" s="282" t="e">
        <f>(INDEX(Tabla6[#All],MATCH(Tabla4[[#This Row],[Producto]],Tabla6[[#All],[PRODUCTO]],0),MATCH(Tabla4[[#This Row],[Mes]],Tabla6[#Headers],0)))</f>
        <v>#N/A</v>
      </c>
      <c r="R5093" s="282" t="e">
        <f>++Tabla4[[#This Row],[Precio Unitario Neto]]-Tabla4[[#This Row],[20.85%]]-Tabla4[[#This Row],[Costo]]</f>
        <v>#N/A</v>
      </c>
      <c r="S5093" s="282" t="e">
        <f>++Tabla4[[#This Row],[U. Bruta Uni]]*Tabla4[[#This Row],[Cantidad]]</f>
        <v>#N/A</v>
      </c>
      <c r="T5093" s="369" t="str">
        <f>VLOOKUP(Tabla4[[#This Row],[Producto]],Tabla6[#All],14,FALSE)</f>
        <v>Termico Solar</v>
      </c>
      <c r="U5093" s="284" t="e">
        <f>(IF(Tabla4[[#This Row],[Familia]]="termico solar",Tabla4[[#This Row],[Utilidad Total]]*6%,Tabla4[[#This Row],[Utilidad Total]]*11.5%))/Tabla4[[#This Row],[Total]]</f>
        <v>#N/A</v>
      </c>
      <c r="V5093" s="282" t="e">
        <f>+Tabla4[[#This Row],[Comisión Calculada]]*Tabla4[[#This Row],[Total]]</f>
        <v>#N/A</v>
      </c>
    </row>
    <row r="5094" spans="1:22" hidden="1" x14ac:dyDescent="0.25">
      <c r="A5094" s="100">
        <v>45869</v>
      </c>
      <c r="B5094" t="str">
        <f t="shared" si="247"/>
        <v>July</v>
      </c>
      <c r="C5094" s="46" t="s">
        <v>280</v>
      </c>
      <c r="F5094" s="366" t="s">
        <v>2662</v>
      </c>
      <c r="G5094" s="46" t="s">
        <v>16</v>
      </c>
      <c r="H5094" s="46">
        <v>1</v>
      </c>
      <c r="I5094" s="51">
        <v>4103.8500000000004</v>
      </c>
      <c r="J5094" s="281">
        <f>++Tabla4[[#This Row],[Precio Bruto]]*1.16</f>
        <v>4760.4660000000003</v>
      </c>
      <c r="K5094" s="281">
        <f>+Tabla4[[#This Row],[Precio Unitario Neto]]*Tabla4[[#Headers],[20.85%]]</f>
        <v>992.55716100000006</v>
      </c>
      <c r="L5094" s="282">
        <f>++Tabla4[[#This Row],[Precio Unitario Neto]]-Tabla4[[#This Row],[20.85%]]</f>
        <v>3767.9088390000002</v>
      </c>
      <c r="M5094" s="282" t="e">
        <f>(INDEX(Tabla6[#All],MATCH(Tabla4[[#This Row],[Producto]],Tabla6[[#All],[PRODUCTO]],0),MATCH(Tabla4[[#This Row],[Mes]],Tabla6[#Headers],0)))*(1+Catalogos!$L$2)</f>
        <v>#N/A</v>
      </c>
      <c r="N5094" s="283" t="e">
        <f>+(Tabla4[[#This Row],[Precio Descontado]]-Tabla4[[#This Row],[Precio Base]])*Tabla4[[#This Row],[Cantidad]]</f>
        <v>#N/A</v>
      </c>
      <c r="O5094" s="284" t="e">
        <f>++Tabla4[[#This Row],[Utilidad Total]]/Tabla4[[#This Row],[Total]]</f>
        <v>#N/A</v>
      </c>
      <c r="P5094" s="282">
        <f>++Tabla4[[#This Row],[Precio Descontado]]*Tabla4[[#This Row],[Cantidad]]</f>
        <v>3767.9088390000002</v>
      </c>
      <c r="Q5094" s="282" t="e">
        <f>(INDEX(Tabla6[#All],MATCH(Tabla4[[#This Row],[Producto]],Tabla6[[#All],[PRODUCTO]],0),MATCH(Tabla4[[#This Row],[Mes]],Tabla6[#Headers],0)))</f>
        <v>#N/A</v>
      </c>
      <c r="R5094" s="282" t="e">
        <f>++Tabla4[[#This Row],[Precio Unitario Neto]]-Tabla4[[#This Row],[20.85%]]-Tabla4[[#This Row],[Costo]]</f>
        <v>#N/A</v>
      </c>
      <c r="S5094" s="282" t="e">
        <f>++Tabla4[[#This Row],[U. Bruta Uni]]*Tabla4[[#This Row],[Cantidad]]</f>
        <v>#N/A</v>
      </c>
      <c r="T5094" s="369" t="str">
        <f>VLOOKUP(Tabla4[[#This Row],[Producto]],Tabla6[#All],14,FALSE)</f>
        <v>Termico Solar</v>
      </c>
      <c r="U5094" s="284" t="e">
        <f>(IF(Tabla4[[#This Row],[Familia]]="termico solar",Tabla4[[#This Row],[Utilidad Total]]*6%,Tabla4[[#This Row],[Utilidad Total]]*11.5%))/Tabla4[[#This Row],[Total]]</f>
        <v>#N/A</v>
      </c>
      <c r="V5094" s="282" t="e">
        <f>+Tabla4[[#This Row],[Comisión Calculada]]*Tabla4[[#This Row],[Total]]</f>
        <v>#N/A</v>
      </c>
    </row>
    <row r="5095" spans="1:22" hidden="1" x14ac:dyDescent="0.25">
      <c r="A5095" s="100">
        <v>45869</v>
      </c>
      <c r="B5095" t="str">
        <f t="shared" si="247"/>
        <v>July</v>
      </c>
      <c r="C5095" s="46" t="s">
        <v>280</v>
      </c>
      <c r="F5095" s="366" t="s">
        <v>2662</v>
      </c>
      <c r="G5095" s="46" t="s">
        <v>208</v>
      </c>
      <c r="H5095" s="46">
        <v>1</v>
      </c>
      <c r="I5095" s="51">
        <v>189.75</v>
      </c>
      <c r="J5095" s="281">
        <f>++Tabla4[[#This Row],[Precio Bruto]]*1.16</f>
        <v>220.10999999999999</v>
      </c>
      <c r="K5095" s="281">
        <f>+Tabla4[[#This Row],[Precio Unitario Neto]]*Tabla4[[#Headers],[20.85%]]</f>
        <v>45.892934999999994</v>
      </c>
      <c r="L5095" s="282">
        <f>++Tabla4[[#This Row],[Precio Unitario Neto]]-Tabla4[[#This Row],[20.85%]]</f>
        <v>174.21706499999999</v>
      </c>
      <c r="M5095" s="282" t="e">
        <f>(INDEX(Tabla6[#All],MATCH(Tabla4[[#This Row],[Producto]],Tabla6[[#All],[PRODUCTO]],0),MATCH(Tabla4[[#This Row],[Mes]],Tabla6[#Headers],0)))*(1+Catalogos!$L$2)</f>
        <v>#N/A</v>
      </c>
      <c r="N5095" s="283" t="e">
        <f>+(Tabla4[[#This Row],[Precio Descontado]]-Tabla4[[#This Row],[Precio Base]])*Tabla4[[#This Row],[Cantidad]]</f>
        <v>#N/A</v>
      </c>
      <c r="O5095" s="284" t="e">
        <f>++Tabla4[[#This Row],[Utilidad Total]]/Tabla4[[#This Row],[Total]]</f>
        <v>#N/A</v>
      </c>
      <c r="P5095" s="282">
        <f>++Tabla4[[#This Row],[Precio Descontado]]*Tabla4[[#This Row],[Cantidad]]</f>
        <v>174.21706499999999</v>
      </c>
      <c r="Q5095" s="282" t="e">
        <f>(INDEX(Tabla6[#All],MATCH(Tabla4[[#This Row],[Producto]],Tabla6[[#All],[PRODUCTO]],0),MATCH(Tabla4[[#This Row],[Mes]],Tabla6[#Headers],0)))</f>
        <v>#N/A</v>
      </c>
      <c r="R5095" s="282" t="e">
        <f>++Tabla4[[#This Row],[Precio Unitario Neto]]-Tabla4[[#This Row],[20.85%]]-Tabla4[[#This Row],[Costo]]</f>
        <v>#N/A</v>
      </c>
      <c r="S5095" s="282" t="e">
        <f>++Tabla4[[#This Row],[U. Bruta Uni]]*Tabla4[[#This Row],[Cantidad]]</f>
        <v>#N/A</v>
      </c>
      <c r="T5095" s="369" t="str">
        <f>VLOOKUP(Tabla4[[#This Row],[Producto]],Tabla6[#All],14,FALSE)</f>
        <v>Termico Solar</v>
      </c>
      <c r="U5095" s="284" t="e">
        <f>(IF(Tabla4[[#This Row],[Familia]]="termico solar",Tabla4[[#This Row],[Utilidad Total]]*6%,Tabla4[[#This Row],[Utilidad Total]]*11.5%))/Tabla4[[#This Row],[Total]]</f>
        <v>#N/A</v>
      </c>
      <c r="V5095" s="282" t="e">
        <f>+Tabla4[[#This Row],[Comisión Calculada]]*Tabla4[[#This Row],[Total]]</f>
        <v>#N/A</v>
      </c>
    </row>
    <row r="5096" spans="1:22" hidden="1" x14ac:dyDescent="0.25">
      <c r="A5096" s="100">
        <v>45869</v>
      </c>
      <c r="B5096" t="str">
        <f t="shared" si="247"/>
        <v>July</v>
      </c>
      <c r="C5096" s="46" t="s">
        <v>280</v>
      </c>
      <c r="F5096" s="366" t="s">
        <v>2663</v>
      </c>
      <c r="G5096" s="46" t="s">
        <v>17</v>
      </c>
      <c r="H5096" s="46">
        <v>2</v>
      </c>
      <c r="I5096" s="51">
        <v>4622.28</v>
      </c>
      <c r="J5096" s="281">
        <f>++Tabla4[[#This Row],[Precio Bruto]]*1.16</f>
        <v>5361.8447999999989</v>
      </c>
      <c r="K5096" s="281">
        <f>+Tabla4[[#This Row],[Precio Unitario Neto]]*Tabla4[[#Headers],[20.85%]]</f>
        <v>1117.9446407999997</v>
      </c>
      <c r="L5096" s="282">
        <f>++Tabla4[[#This Row],[Precio Unitario Neto]]-Tabla4[[#This Row],[20.85%]]</f>
        <v>4243.9001591999995</v>
      </c>
      <c r="M5096" s="282" t="e">
        <f>(INDEX(Tabla6[#All],MATCH(Tabla4[[#This Row],[Producto]],Tabla6[[#All],[PRODUCTO]],0),MATCH(Tabla4[[#This Row],[Mes]],Tabla6[#Headers],0)))*(1+Catalogos!$L$2)</f>
        <v>#N/A</v>
      </c>
      <c r="N5096" s="283" t="e">
        <f>+(Tabla4[[#This Row],[Precio Descontado]]-Tabla4[[#This Row],[Precio Base]])*Tabla4[[#This Row],[Cantidad]]</f>
        <v>#N/A</v>
      </c>
      <c r="O5096" s="284" t="e">
        <f>++Tabla4[[#This Row],[Utilidad Total]]/Tabla4[[#This Row],[Total]]</f>
        <v>#N/A</v>
      </c>
      <c r="P5096" s="282">
        <f>++Tabla4[[#This Row],[Precio Descontado]]*Tabla4[[#This Row],[Cantidad]]</f>
        <v>8487.800318399999</v>
      </c>
      <c r="Q5096" s="282" t="e">
        <f>(INDEX(Tabla6[#All],MATCH(Tabla4[[#This Row],[Producto]],Tabla6[[#All],[PRODUCTO]],0),MATCH(Tabla4[[#This Row],[Mes]],Tabla6[#Headers],0)))</f>
        <v>#N/A</v>
      </c>
      <c r="R5096" s="282" t="e">
        <f>++Tabla4[[#This Row],[Precio Unitario Neto]]-Tabla4[[#This Row],[20.85%]]-Tabla4[[#This Row],[Costo]]</f>
        <v>#N/A</v>
      </c>
      <c r="S5096" s="282" t="e">
        <f>++Tabla4[[#This Row],[U. Bruta Uni]]*Tabla4[[#This Row],[Cantidad]]</f>
        <v>#N/A</v>
      </c>
      <c r="T5096" s="369" t="str">
        <f>VLOOKUP(Tabla4[[#This Row],[Producto]],Tabla6[#All],14,FALSE)</f>
        <v>Termico Solar</v>
      </c>
      <c r="U5096" s="284" t="e">
        <f>(IF(Tabla4[[#This Row],[Familia]]="termico solar",Tabla4[[#This Row],[Utilidad Total]]*6%,Tabla4[[#This Row],[Utilidad Total]]*11.5%))/Tabla4[[#This Row],[Total]]</f>
        <v>#N/A</v>
      </c>
      <c r="V5096" s="282" t="e">
        <f>+Tabla4[[#This Row],[Comisión Calculada]]*Tabla4[[#This Row],[Total]]</f>
        <v>#N/A</v>
      </c>
    </row>
    <row r="5097" spans="1:22" hidden="1" x14ac:dyDescent="0.25">
      <c r="A5097" s="100">
        <v>45869</v>
      </c>
      <c r="B5097" t="str">
        <f t="shared" si="247"/>
        <v>July</v>
      </c>
      <c r="C5097" s="46" t="s">
        <v>280</v>
      </c>
      <c r="F5097" s="366" t="s">
        <v>2664</v>
      </c>
      <c r="G5097" s="46" t="s">
        <v>17</v>
      </c>
      <c r="H5097" s="46">
        <v>1</v>
      </c>
      <c r="I5097" s="51">
        <v>4622.28</v>
      </c>
      <c r="J5097" s="281">
        <f>++Tabla4[[#This Row],[Precio Bruto]]*1.16</f>
        <v>5361.8447999999989</v>
      </c>
      <c r="K5097" s="281">
        <f>+Tabla4[[#This Row],[Precio Unitario Neto]]*Tabla4[[#Headers],[20.85%]]</f>
        <v>1117.9446407999997</v>
      </c>
      <c r="L5097" s="282">
        <f>++Tabla4[[#This Row],[Precio Unitario Neto]]-Tabla4[[#This Row],[20.85%]]</f>
        <v>4243.9001591999995</v>
      </c>
      <c r="M5097" s="282" t="e">
        <f>(INDEX(Tabla6[#All],MATCH(Tabla4[[#This Row],[Producto]],Tabla6[[#All],[PRODUCTO]],0),MATCH(Tabla4[[#This Row],[Mes]],Tabla6[#Headers],0)))*(1+Catalogos!$L$2)</f>
        <v>#N/A</v>
      </c>
      <c r="N5097" s="283" t="e">
        <f>+(Tabla4[[#This Row],[Precio Descontado]]-Tabla4[[#This Row],[Precio Base]])*Tabla4[[#This Row],[Cantidad]]</f>
        <v>#N/A</v>
      </c>
      <c r="O5097" s="284" t="e">
        <f>++Tabla4[[#This Row],[Utilidad Total]]/Tabla4[[#This Row],[Total]]</f>
        <v>#N/A</v>
      </c>
      <c r="P5097" s="282">
        <f>++Tabla4[[#This Row],[Precio Descontado]]*Tabla4[[#This Row],[Cantidad]]</f>
        <v>4243.9001591999995</v>
      </c>
      <c r="Q5097" s="282" t="e">
        <f>(INDEX(Tabla6[#All],MATCH(Tabla4[[#This Row],[Producto]],Tabla6[[#All],[PRODUCTO]],0),MATCH(Tabla4[[#This Row],[Mes]],Tabla6[#Headers],0)))</f>
        <v>#N/A</v>
      </c>
      <c r="R5097" s="282" t="e">
        <f>++Tabla4[[#This Row],[Precio Unitario Neto]]-Tabla4[[#This Row],[20.85%]]-Tabla4[[#This Row],[Costo]]</f>
        <v>#N/A</v>
      </c>
      <c r="S5097" s="282" t="e">
        <f>++Tabla4[[#This Row],[U. Bruta Uni]]*Tabla4[[#This Row],[Cantidad]]</f>
        <v>#N/A</v>
      </c>
      <c r="T5097" s="369" t="str">
        <f>VLOOKUP(Tabla4[[#This Row],[Producto]],Tabla6[#All],14,FALSE)</f>
        <v>Termico Solar</v>
      </c>
      <c r="U5097" s="284" t="e">
        <f>(IF(Tabla4[[#This Row],[Familia]]="termico solar",Tabla4[[#This Row],[Utilidad Total]]*6%,Tabla4[[#This Row],[Utilidad Total]]*11.5%))/Tabla4[[#This Row],[Total]]</f>
        <v>#N/A</v>
      </c>
      <c r="V5097" s="282" t="e">
        <f>+Tabla4[[#This Row],[Comisión Calculada]]*Tabla4[[#This Row],[Total]]</f>
        <v>#N/A</v>
      </c>
    </row>
    <row r="5098" spans="1:22" hidden="1" x14ac:dyDescent="0.25">
      <c r="A5098" s="100">
        <v>45869</v>
      </c>
      <c r="B5098" t="str">
        <f t="shared" si="247"/>
        <v>July</v>
      </c>
      <c r="C5098" s="46" t="s">
        <v>280</v>
      </c>
      <c r="F5098" s="366" t="s">
        <v>2664</v>
      </c>
      <c r="G5098" s="46" t="s">
        <v>208</v>
      </c>
      <c r="H5098" s="46">
        <v>1</v>
      </c>
      <c r="I5098" s="51">
        <v>189.75</v>
      </c>
      <c r="J5098" s="281">
        <f>++Tabla4[[#This Row],[Precio Bruto]]*1.16</f>
        <v>220.10999999999999</v>
      </c>
      <c r="K5098" s="281">
        <f>+Tabla4[[#This Row],[Precio Unitario Neto]]*Tabla4[[#Headers],[20.85%]]</f>
        <v>45.892934999999994</v>
      </c>
      <c r="L5098" s="282">
        <f>++Tabla4[[#This Row],[Precio Unitario Neto]]-Tabla4[[#This Row],[20.85%]]</f>
        <v>174.21706499999999</v>
      </c>
      <c r="M5098" s="282" t="e">
        <f>(INDEX(Tabla6[#All],MATCH(Tabla4[[#This Row],[Producto]],Tabla6[[#All],[PRODUCTO]],0),MATCH(Tabla4[[#This Row],[Mes]],Tabla6[#Headers],0)))*(1+Catalogos!$L$2)</f>
        <v>#N/A</v>
      </c>
      <c r="N5098" s="283" t="e">
        <f>+(Tabla4[[#This Row],[Precio Descontado]]-Tabla4[[#This Row],[Precio Base]])*Tabla4[[#This Row],[Cantidad]]</f>
        <v>#N/A</v>
      </c>
      <c r="O5098" s="284" t="e">
        <f>++Tabla4[[#This Row],[Utilidad Total]]/Tabla4[[#This Row],[Total]]</f>
        <v>#N/A</v>
      </c>
      <c r="P5098" s="282">
        <f>++Tabla4[[#This Row],[Precio Descontado]]*Tabla4[[#This Row],[Cantidad]]</f>
        <v>174.21706499999999</v>
      </c>
      <c r="Q5098" s="282" t="e">
        <f>(INDEX(Tabla6[#All],MATCH(Tabla4[[#This Row],[Producto]],Tabla6[[#All],[PRODUCTO]],0),MATCH(Tabla4[[#This Row],[Mes]],Tabla6[#Headers],0)))</f>
        <v>#N/A</v>
      </c>
      <c r="R5098" s="282" t="e">
        <f>++Tabla4[[#This Row],[Precio Unitario Neto]]-Tabla4[[#This Row],[20.85%]]-Tabla4[[#This Row],[Costo]]</f>
        <v>#N/A</v>
      </c>
      <c r="S5098" s="282" t="e">
        <f>++Tabla4[[#This Row],[U. Bruta Uni]]*Tabla4[[#This Row],[Cantidad]]</f>
        <v>#N/A</v>
      </c>
      <c r="T5098" s="369" t="str">
        <f>VLOOKUP(Tabla4[[#This Row],[Producto]],Tabla6[#All],14,FALSE)</f>
        <v>Termico Solar</v>
      </c>
      <c r="U5098" s="284" t="e">
        <f>(IF(Tabla4[[#This Row],[Familia]]="termico solar",Tabla4[[#This Row],[Utilidad Total]]*6%,Tabla4[[#This Row],[Utilidad Total]]*11.5%))/Tabla4[[#This Row],[Total]]</f>
        <v>#N/A</v>
      </c>
      <c r="V5098" s="282" t="e">
        <f>+Tabla4[[#This Row],[Comisión Calculada]]*Tabla4[[#This Row],[Total]]</f>
        <v>#N/A</v>
      </c>
    </row>
    <row r="5099" spans="1:22" hidden="1" x14ac:dyDescent="0.25">
      <c r="A5099" s="100">
        <v>45869</v>
      </c>
      <c r="B5099" t="str">
        <f t="shared" si="247"/>
        <v>July</v>
      </c>
      <c r="C5099" s="46" t="s">
        <v>280</v>
      </c>
      <c r="F5099" s="366" t="s">
        <v>2665</v>
      </c>
      <c r="G5099" s="46" t="s">
        <v>83</v>
      </c>
      <c r="H5099" s="46">
        <v>3</v>
      </c>
      <c r="I5099" s="51">
        <v>8858.76</v>
      </c>
      <c r="J5099" s="281">
        <f>++Tabla4[[#This Row],[Precio Bruto]]*1.16</f>
        <v>10276.161599999999</v>
      </c>
      <c r="K5099" s="281">
        <f>+Tabla4[[#This Row],[Precio Unitario Neto]]*Tabla4[[#Headers],[20.85%]]</f>
        <v>2142.5796935999997</v>
      </c>
      <c r="L5099" s="282">
        <f>++Tabla4[[#This Row],[Precio Unitario Neto]]-Tabla4[[#This Row],[20.85%]]</f>
        <v>8133.5819063999998</v>
      </c>
      <c r="M5099" s="282" t="e">
        <f>(INDEX(Tabla6[#All],MATCH(Tabla4[[#This Row],[Producto]],Tabla6[[#All],[PRODUCTO]],0),MATCH(Tabla4[[#This Row],[Mes]],Tabla6[#Headers],0)))*(1+Catalogos!$L$2)</f>
        <v>#N/A</v>
      </c>
      <c r="N5099" s="283" t="e">
        <f>+(Tabla4[[#This Row],[Precio Descontado]]-Tabla4[[#This Row],[Precio Base]])*Tabla4[[#This Row],[Cantidad]]</f>
        <v>#N/A</v>
      </c>
      <c r="O5099" s="284" t="e">
        <f>++Tabla4[[#This Row],[Utilidad Total]]/Tabla4[[#This Row],[Total]]</f>
        <v>#N/A</v>
      </c>
      <c r="P5099" s="282">
        <f>++Tabla4[[#This Row],[Precio Descontado]]*Tabla4[[#This Row],[Cantidad]]</f>
        <v>24400.7457192</v>
      </c>
      <c r="Q5099" s="282" t="e">
        <f>(INDEX(Tabla6[#All],MATCH(Tabla4[[#This Row],[Producto]],Tabla6[[#All],[PRODUCTO]],0),MATCH(Tabla4[[#This Row],[Mes]],Tabla6[#Headers],0)))</f>
        <v>#N/A</v>
      </c>
      <c r="R5099" s="282" t="e">
        <f>++Tabla4[[#This Row],[Precio Unitario Neto]]-Tabla4[[#This Row],[20.85%]]-Tabla4[[#This Row],[Costo]]</f>
        <v>#N/A</v>
      </c>
      <c r="S5099" s="282" t="e">
        <f>++Tabla4[[#This Row],[U. Bruta Uni]]*Tabla4[[#This Row],[Cantidad]]</f>
        <v>#N/A</v>
      </c>
      <c r="T5099" s="369" t="str">
        <f>VLOOKUP(Tabla4[[#This Row],[Producto]],Tabla6[#All],14,FALSE)</f>
        <v>Termico Solar</v>
      </c>
      <c r="U5099" s="284" t="e">
        <f>(IF(Tabla4[[#This Row],[Familia]]="termico solar",Tabla4[[#This Row],[Utilidad Total]]*6%,Tabla4[[#This Row],[Utilidad Total]]*11.5%))/Tabla4[[#This Row],[Total]]</f>
        <v>#N/A</v>
      </c>
      <c r="V5099" s="282" t="e">
        <f>+Tabla4[[#This Row],[Comisión Calculada]]*Tabla4[[#This Row],[Total]]</f>
        <v>#N/A</v>
      </c>
    </row>
    <row r="5100" spans="1:22" hidden="1" x14ac:dyDescent="0.25">
      <c r="A5100" s="100">
        <v>45869</v>
      </c>
      <c r="B5100" t="str">
        <f t="shared" si="247"/>
        <v>July</v>
      </c>
      <c r="C5100" s="46" t="s">
        <v>280</v>
      </c>
      <c r="F5100" s="366" t="s">
        <v>2665</v>
      </c>
      <c r="G5100" s="46" t="s">
        <v>17</v>
      </c>
      <c r="H5100" s="46">
        <v>4</v>
      </c>
      <c r="I5100" s="51">
        <v>4622.28</v>
      </c>
      <c r="J5100" s="281">
        <f>++Tabla4[[#This Row],[Precio Bruto]]*1.16</f>
        <v>5361.8447999999989</v>
      </c>
      <c r="K5100" s="281">
        <f>+Tabla4[[#This Row],[Precio Unitario Neto]]*Tabla4[[#Headers],[20.85%]]</f>
        <v>1117.9446407999997</v>
      </c>
      <c r="L5100" s="282">
        <f>++Tabla4[[#This Row],[Precio Unitario Neto]]-Tabla4[[#This Row],[20.85%]]</f>
        <v>4243.9001591999995</v>
      </c>
      <c r="M5100" s="282" t="e">
        <f>(INDEX(Tabla6[#All],MATCH(Tabla4[[#This Row],[Producto]],Tabla6[[#All],[PRODUCTO]],0),MATCH(Tabla4[[#This Row],[Mes]],Tabla6[#Headers],0)))*(1+Catalogos!$L$2)</f>
        <v>#N/A</v>
      </c>
      <c r="N5100" s="283" t="e">
        <f>+(Tabla4[[#This Row],[Precio Descontado]]-Tabla4[[#This Row],[Precio Base]])*Tabla4[[#This Row],[Cantidad]]</f>
        <v>#N/A</v>
      </c>
      <c r="O5100" s="284" t="e">
        <f>++Tabla4[[#This Row],[Utilidad Total]]/Tabla4[[#This Row],[Total]]</f>
        <v>#N/A</v>
      </c>
      <c r="P5100" s="282">
        <f>++Tabla4[[#This Row],[Precio Descontado]]*Tabla4[[#This Row],[Cantidad]]</f>
        <v>16975.600636799998</v>
      </c>
      <c r="Q5100" s="282" t="e">
        <f>(INDEX(Tabla6[#All],MATCH(Tabla4[[#This Row],[Producto]],Tabla6[[#All],[PRODUCTO]],0),MATCH(Tabla4[[#This Row],[Mes]],Tabla6[#Headers],0)))</f>
        <v>#N/A</v>
      </c>
      <c r="R5100" s="282" t="e">
        <f>++Tabla4[[#This Row],[Precio Unitario Neto]]-Tabla4[[#This Row],[20.85%]]-Tabla4[[#This Row],[Costo]]</f>
        <v>#N/A</v>
      </c>
      <c r="S5100" s="282" t="e">
        <f>++Tabla4[[#This Row],[U. Bruta Uni]]*Tabla4[[#This Row],[Cantidad]]</f>
        <v>#N/A</v>
      </c>
      <c r="T5100" s="369" t="str">
        <f>VLOOKUP(Tabla4[[#This Row],[Producto]],Tabla6[#All],14,FALSE)</f>
        <v>Termico Solar</v>
      </c>
      <c r="U5100" s="284" t="e">
        <f>(IF(Tabla4[[#This Row],[Familia]]="termico solar",Tabla4[[#This Row],[Utilidad Total]]*6%,Tabla4[[#This Row],[Utilidad Total]]*11.5%))/Tabla4[[#This Row],[Total]]</f>
        <v>#N/A</v>
      </c>
      <c r="V5100" s="282" t="e">
        <f>+Tabla4[[#This Row],[Comisión Calculada]]*Tabla4[[#This Row],[Total]]</f>
        <v>#N/A</v>
      </c>
    </row>
    <row r="5101" spans="1:22" hidden="1" x14ac:dyDescent="0.25">
      <c r="A5101" s="100">
        <v>45869</v>
      </c>
      <c r="B5101" t="str">
        <f t="shared" si="247"/>
        <v>July</v>
      </c>
      <c r="C5101" s="46" t="s">
        <v>280</v>
      </c>
      <c r="F5101" s="366" t="s">
        <v>2665</v>
      </c>
      <c r="G5101" s="46" t="s">
        <v>18</v>
      </c>
      <c r="H5101" s="46">
        <v>4</v>
      </c>
      <c r="I5101" s="51">
        <v>5367.65</v>
      </c>
      <c r="J5101" s="281">
        <f>++Tabla4[[#This Row],[Precio Bruto]]*1.16</f>
        <v>6226.4739999999993</v>
      </c>
      <c r="K5101" s="281">
        <f>+Tabla4[[#This Row],[Precio Unitario Neto]]*Tabla4[[#Headers],[20.85%]]</f>
        <v>1298.2198289999999</v>
      </c>
      <c r="L5101" s="282">
        <f>++Tabla4[[#This Row],[Precio Unitario Neto]]-Tabla4[[#This Row],[20.85%]]</f>
        <v>4928.2541709999996</v>
      </c>
      <c r="M5101" s="282" t="e">
        <f>(INDEX(Tabla6[#All],MATCH(Tabla4[[#This Row],[Producto]],Tabla6[[#All],[PRODUCTO]],0),MATCH(Tabla4[[#This Row],[Mes]],Tabla6[#Headers],0)))*(1+Catalogos!$L$2)</f>
        <v>#N/A</v>
      </c>
      <c r="N5101" s="283" t="e">
        <f>+(Tabla4[[#This Row],[Precio Descontado]]-Tabla4[[#This Row],[Precio Base]])*Tabla4[[#This Row],[Cantidad]]</f>
        <v>#N/A</v>
      </c>
      <c r="O5101" s="284" t="e">
        <f>++Tabla4[[#This Row],[Utilidad Total]]/Tabla4[[#This Row],[Total]]</f>
        <v>#N/A</v>
      </c>
      <c r="P5101" s="282">
        <f>++Tabla4[[#This Row],[Precio Descontado]]*Tabla4[[#This Row],[Cantidad]]</f>
        <v>19713.016683999998</v>
      </c>
      <c r="Q5101" s="282" t="e">
        <f>(INDEX(Tabla6[#All],MATCH(Tabla4[[#This Row],[Producto]],Tabla6[[#All],[PRODUCTO]],0),MATCH(Tabla4[[#This Row],[Mes]],Tabla6[#Headers],0)))</f>
        <v>#N/A</v>
      </c>
      <c r="R5101" s="282" t="e">
        <f>++Tabla4[[#This Row],[Precio Unitario Neto]]-Tabla4[[#This Row],[20.85%]]-Tabla4[[#This Row],[Costo]]</f>
        <v>#N/A</v>
      </c>
      <c r="S5101" s="282" t="e">
        <f>++Tabla4[[#This Row],[U. Bruta Uni]]*Tabla4[[#This Row],[Cantidad]]</f>
        <v>#N/A</v>
      </c>
      <c r="T5101" s="369" t="str">
        <f>VLOOKUP(Tabla4[[#This Row],[Producto]],Tabla6[#All],14,FALSE)</f>
        <v>Termico Solar</v>
      </c>
      <c r="U5101" s="284" t="e">
        <f>(IF(Tabla4[[#This Row],[Familia]]="termico solar",Tabla4[[#This Row],[Utilidad Total]]*6%,Tabla4[[#This Row],[Utilidad Total]]*11.5%))/Tabla4[[#This Row],[Total]]</f>
        <v>#N/A</v>
      </c>
      <c r="V5101" s="282" t="e">
        <f>+Tabla4[[#This Row],[Comisión Calculada]]*Tabla4[[#This Row],[Total]]</f>
        <v>#N/A</v>
      </c>
    </row>
    <row r="5102" spans="1:22" hidden="1" x14ac:dyDescent="0.25">
      <c r="A5102" s="100">
        <v>45869</v>
      </c>
      <c r="B5102" t="str">
        <f t="shared" si="247"/>
        <v>July</v>
      </c>
      <c r="C5102" s="46" t="s">
        <v>280</v>
      </c>
      <c r="F5102" s="366" t="s">
        <v>2665</v>
      </c>
      <c r="G5102" s="46" t="s">
        <v>16</v>
      </c>
      <c r="H5102" s="46">
        <v>2</v>
      </c>
      <c r="I5102" s="51">
        <v>4103.8500000000004</v>
      </c>
      <c r="J5102" s="281">
        <f>++Tabla4[[#This Row],[Precio Bruto]]*1.16</f>
        <v>4760.4660000000003</v>
      </c>
      <c r="K5102" s="281">
        <f>+Tabla4[[#This Row],[Precio Unitario Neto]]*Tabla4[[#Headers],[20.85%]]</f>
        <v>992.55716100000006</v>
      </c>
      <c r="L5102" s="282">
        <f>++Tabla4[[#This Row],[Precio Unitario Neto]]-Tabla4[[#This Row],[20.85%]]</f>
        <v>3767.9088390000002</v>
      </c>
      <c r="M5102" s="282" t="e">
        <f>(INDEX(Tabla6[#All],MATCH(Tabla4[[#This Row],[Producto]],Tabla6[[#All],[PRODUCTO]],0),MATCH(Tabla4[[#This Row],[Mes]],Tabla6[#Headers],0)))*(1+Catalogos!$L$2)</f>
        <v>#N/A</v>
      </c>
      <c r="N5102" s="283" t="e">
        <f>+(Tabla4[[#This Row],[Precio Descontado]]-Tabla4[[#This Row],[Precio Base]])*Tabla4[[#This Row],[Cantidad]]</f>
        <v>#N/A</v>
      </c>
      <c r="O5102" s="284" t="e">
        <f>++Tabla4[[#This Row],[Utilidad Total]]/Tabla4[[#This Row],[Total]]</f>
        <v>#N/A</v>
      </c>
      <c r="P5102" s="282">
        <f>++Tabla4[[#This Row],[Precio Descontado]]*Tabla4[[#This Row],[Cantidad]]</f>
        <v>7535.8176780000003</v>
      </c>
      <c r="Q5102" s="282" t="e">
        <f>(INDEX(Tabla6[#All],MATCH(Tabla4[[#This Row],[Producto]],Tabla6[[#All],[PRODUCTO]],0),MATCH(Tabla4[[#This Row],[Mes]],Tabla6[#Headers],0)))</f>
        <v>#N/A</v>
      </c>
      <c r="R5102" s="282" t="e">
        <f>++Tabla4[[#This Row],[Precio Unitario Neto]]-Tabla4[[#This Row],[20.85%]]-Tabla4[[#This Row],[Costo]]</f>
        <v>#N/A</v>
      </c>
      <c r="S5102" s="282" t="e">
        <f>++Tabla4[[#This Row],[U. Bruta Uni]]*Tabla4[[#This Row],[Cantidad]]</f>
        <v>#N/A</v>
      </c>
      <c r="T5102" s="369" t="str">
        <f>VLOOKUP(Tabla4[[#This Row],[Producto]],Tabla6[#All],14,FALSE)</f>
        <v>Termico Solar</v>
      </c>
      <c r="U5102" s="284" t="e">
        <f>(IF(Tabla4[[#This Row],[Familia]]="termico solar",Tabla4[[#This Row],[Utilidad Total]]*6%,Tabla4[[#This Row],[Utilidad Total]]*11.5%))/Tabla4[[#This Row],[Total]]</f>
        <v>#N/A</v>
      </c>
      <c r="V5102" s="282" t="e">
        <f>+Tabla4[[#This Row],[Comisión Calculada]]*Tabla4[[#This Row],[Total]]</f>
        <v>#N/A</v>
      </c>
    </row>
    <row r="5103" spans="1:22" hidden="1" x14ac:dyDescent="0.25">
      <c r="A5103" s="100">
        <v>45869</v>
      </c>
      <c r="B5103" t="str">
        <f t="shared" si="247"/>
        <v>July</v>
      </c>
      <c r="C5103" s="46" t="s">
        <v>280</v>
      </c>
      <c r="F5103" s="366" t="s">
        <v>2666</v>
      </c>
      <c r="G5103" s="46" t="s">
        <v>83</v>
      </c>
      <c r="H5103" s="46">
        <v>5</v>
      </c>
      <c r="I5103" s="51">
        <v>8858.76</v>
      </c>
      <c r="J5103" s="281">
        <f>++Tabla4[[#This Row],[Precio Bruto]]*1.16</f>
        <v>10276.161599999999</v>
      </c>
      <c r="K5103" s="281">
        <f>+Tabla4[[#This Row],[Precio Unitario Neto]]*Tabla4[[#Headers],[20.85%]]</f>
        <v>2142.5796935999997</v>
      </c>
      <c r="L5103" s="282">
        <f>++Tabla4[[#This Row],[Precio Unitario Neto]]-Tabla4[[#This Row],[20.85%]]</f>
        <v>8133.5819063999998</v>
      </c>
      <c r="M5103" s="282" t="e">
        <f>(INDEX(Tabla6[#All],MATCH(Tabla4[[#This Row],[Producto]],Tabla6[[#All],[PRODUCTO]],0),MATCH(Tabla4[[#This Row],[Mes]],Tabla6[#Headers],0)))*(1+Catalogos!$L$2)</f>
        <v>#N/A</v>
      </c>
      <c r="N5103" s="283" t="e">
        <f>+(Tabla4[[#This Row],[Precio Descontado]]-Tabla4[[#This Row],[Precio Base]])*Tabla4[[#This Row],[Cantidad]]</f>
        <v>#N/A</v>
      </c>
      <c r="O5103" s="284" t="e">
        <f>++Tabla4[[#This Row],[Utilidad Total]]/Tabla4[[#This Row],[Total]]</f>
        <v>#N/A</v>
      </c>
      <c r="P5103" s="282">
        <f>++Tabla4[[#This Row],[Precio Descontado]]*Tabla4[[#This Row],[Cantidad]]</f>
        <v>40667.909531999998</v>
      </c>
      <c r="Q5103" s="282" t="e">
        <f>(INDEX(Tabla6[#All],MATCH(Tabla4[[#This Row],[Producto]],Tabla6[[#All],[PRODUCTO]],0),MATCH(Tabla4[[#This Row],[Mes]],Tabla6[#Headers],0)))</f>
        <v>#N/A</v>
      </c>
      <c r="R5103" s="282" t="e">
        <f>++Tabla4[[#This Row],[Precio Unitario Neto]]-Tabla4[[#This Row],[20.85%]]-Tabla4[[#This Row],[Costo]]</f>
        <v>#N/A</v>
      </c>
      <c r="S5103" s="282" t="e">
        <f>++Tabla4[[#This Row],[U. Bruta Uni]]*Tabla4[[#This Row],[Cantidad]]</f>
        <v>#N/A</v>
      </c>
      <c r="T5103" s="369" t="str">
        <f>VLOOKUP(Tabla4[[#This Row],[Producto]],Tabla6[#All],14,FALSE)</f>
        <v>Termico Solar</v>
      </c>
      <c r="U5103" s="284" t="e">
        <f>(IF(Tabla4[[#This Row],[Familia]]="termico solar",Tabla4[[#This Row],[Utilidad Total]]*6%,Tabla4[[#This Row],[Utilidad Total]]*11.5%))/Tabla4[[#This Row],[Total]]</f>
        <v>#N/A</v>
      </c>
      <c r="V5103" s="282" t="e">
        <f>+Tabla4[[#This Row],[Comisión Calculada]]*Tabla4[[#This Row],[Total]]</f>
        <v>#N/A</v>
      </c>
    </row>
    <row r="5104" spans="1:22" hidden="1" x14ac:dyDescent="0.25">
      <c r="A5104" s="100">
        <v>45869</v>
      </c>
      <c r="B5104" t="str">
        <f t="shared" si="247"/>
        <v>July</v>
      </c>
      <c r="C5104" s="46" t="s">
        <v>280</v>
      </c>
      <c r="F5104" s="366" t="s">
        <v>2666</v>
      </c>
      <c r="G5104" s="46" t="s">
        <v>17</v>
      </c>
      <c r="H5104" s="46">
        <v>1</v>
      </c>
      <c r="I5104" s="51">
        <v>4622.28</v>
      </c>
      <c r="J5104" s="281">
        <f>++Tabla4[[#This Row],[Precio Bruto]]*1.16</f>
        <v>5361.8447999999989</v>
      </c>
      <c r="K5104" s="281">
        <f>+Tabla4[[#This Row],[Precio Unitario Neto]]*Tabla4[[#Headers],[20.85%]]</f>
        <v>1117.9446407999997</v>
      </c>
      <c r="L5104" s="282">
        <f>++Tabla4[[#This Row],[Precio Unitario Neto]]-Tabla4[[#This Row],[20.85%]]</f>
        <v>4243.9001591999995</v>
      </c>
      <c r="M5104" s="282" t="e">
        <f>(INDEX(Tabla6[#All],MATCH(Tabla4[[#This Row],[Producto]],Tabla6[[#All],[PRODUCTO]],0),MATCH(Tabla4[[#This Row],[Mes]],Tabla6[#Headers],0)))*(1+Catalogos!$L$2)</f>
        <v>#N/A</v>
      </c>
      <c r="N5104" s="283" t="e">
        <f>+(Tabla4[[#This Row],[Precio Descontado]]-Tabla4[[#This Row],[Precio Base]])*Tabla4[[#This Row],[Cantidad]]</f>
        <v>#N/A</v>
      </c>
      <c r="O5104" s="284" t="e">
        <f>++Tabla4[[#This Row],[Utilidad Total]]/Tabla4[[#This Row],[Total]]</f>
        <v>#N/A</v>
      </c>
      <c r="P5104" s="282">
        <f>++Tabla4[[#This Row],[Precio Descontado]]*Tabla4[[#This Row],[Cantidad]]</f>
        <v>4243.9001591999995</v>
      </c>
      <c r="Q5104" s="282" t="e">
        <f>(INDEX(Tabla6[#All],MATCH(Tabla4[[#This Row],[Producto]],Tabla6[[#All],[PRODUCTO]],0),MATCH(Tabla4[[#This Row],[Mes]],Tabla6[#Headers],0)))</f>
        <v>#N/A</v>
      </c>
      <c r="R5104" s="282" t="e">
        <f>++Tabla4[[#This Row],[Precio Unitario Neto]]-Tabla4[[#This Row],[20.85%]]-Tabla4[[#This Row],[Costo]]</f>
        <v>#N/A</v>
      </c>
      <c r="S5104" s="282" t="e">
        <f>++Tabla4[[#This Row],[U. Bruta Uni]]*Tabla4[[#This Row],[Cantidad]]</f>
        <v>#N/A</v>
      </c>
      <c r="T5104" s="369" t="str">
        <f>VLOOKUP(Tabla4[[#This Row],[Producto]],Tabla6[#All],14,FALSE)</f>
        <v>Termico Solar</v>
      </c>
      <c r="U5104" s="284" t="e">
        <f>(IF(Tabla4[[#This Row],[Familia]]="termico solar",Tabla4[[#This Row],[Utilidad Total]]*6%,Tabla4[[#This Row],[Utilidad Total]]*11.5%))/Tabla4[[#This Row],[Total]]</f>
        <v>#N/A</v>
      </c>
      <c r="V5104" s="282" t="e">
        <f>+Tabla4[[#This Row],[Comisión Calculada]]*Tabla4[[#This Row],[Total]]</f>
        <v>#N/A</v>
      </c>
    </row>
    <row r="5105" spans="1:22" hidden="1" x14ac:dyDescent="0.25">
      <c r="A5105" s="100">
        <v>45869</v>
      </c>
      <c r="B5105" t="str">
        <f t="shared" si="247"/>
        <v>July</v>
      </c>
      <c r="C5105" s="46" t="s">
        <v>280</v>
      </c>
      <c r="F5105" s="366" t="s">
        <v>2667</v>
      </c>
      <c r="G5105" s="46" t="s">
        <v>83</v>
      </c>
      <c r="H5105" s="46">
        <v>6</v>
      </c>
      <c r="I5105" s="51">
        <v>8858.76</v>
      </c>
      <c r="J5105" s="281">
        <f>++Tabla4[[#This Row],[Precio Bruto]]*1.16</f>
        <v>10276.161599999999</v>
      </c>
      <c r="K5105" s="281">
        <f>+Tabla4[[#This Row],[Precio Unitario Neto]]*Tabla4[[#Headers],[20.85%]]</f>
        <v>2142.5796935999997</v>
      </c>
      <c r="L5105" s="282">
        <f>++Tabla4[[#This Row],[Precio Unitario Neto]]-Tabla4[[#This Row],[20.85%]]</f>
        <v>8133.5819063999998</v>
      </c>
      <c r="M5105" s="282" t="e">
        <f>(INDEX(Tabla6[#All],MATCH(Tabla4[[#This Row],[Producto]],Tabla6[[#All],[PRODUCTO]],0),MATCH(Tabla4[[#This Row],[Mes]],Tabla6[#Headers],0)))*(1+Catalogos!$L$2)</f>
        <v>#N/A</v>
      </c>
      <c r="N5105" s="283" t="e">
        <f>+(Tabla4[[#This Row],[Precio Descontado]]-Tabla4[[#This Row],[Precio Base]])*Tabla4[[#This Row],[Cantidad]]</f>
        <v>#N/A</v>
      </c>
      <c r="O5105" s="284" t="e">
        <f>++Tabla4[[#This Row],[Utilidad Total]]/Tabla4[[#This Row],[Total]]</f>
        <v>#N/A</v>
      </c>
      <c r="P5105" s="282">
        <f>++Tabla4[[#This Row],[Precio Descontado]]*Tabla4[[#This Row],[Cantidad]]</f>
        <v>48801.4914384</v>
      </c>
      <c r="Q5105" s="282" t="e">
        <f>(INDEX(Tabla6[#All],MATCH(Tabla4[[#This Row],[Producto]],Tabla6[[#All],[PRODUCTO]],0),MATCH(Tabla4[[#This Row],[Mes]],Tabla6[#Headers],0)))</f>
        <v>#N/A</v>
      </c>
      <c r="R5105" s="282" t="e">
        <f>++Tabla4[[#This Row],[Precio Unitario Neto]]-Tabla4[[#This Row],[20.85%]]-Tabla4[[#This Row],[Costo]]</f>
        <v>#N/A</v>
      </c>
      <c r="S5105" s="282" t="e">
        <f>++Tabla4[[#This Row],[U. Bruta Uni]]*Tabla4[[#This Row],[Cantidad]]</f>
        <v>#N/A</v>
      </c>
      <c r="T5105" s="369" t="str">
        <f>VLOOKUP(Tabla4[[#This Row],[Producto]],Tabla6[#All],14,FALSE)</f>
        <v>Termico Solar</v>
      </c>
      <c r="U5105" s="284" t="e">
        <f>(IF(Tabla4[[#This Row],[Familia]]="termico solar",Tabla4[[#This Row],[Utilidad Total]]*6%,Tabla4[[#This Row],[Utilidad Total]]*11.5%))/Tabla4[[#This Row],[Total]]</f>
        <v>#N/A</v>
      </c>
      <c r="V5105" s="282" t="e">
        <f>+Tabla4[[#This Row],[Comisión Calculada]]*Tabla4[[#This Row],[Total]]</f>
        <v>#N/A</v>
      </c>
    </row>
    <row r="5106" spans="1:22" hidden="1" x14ac:dyDescent="0.25">
      <c r="A5106" s="100">
        <v>45869</v>
      </c>
      <c r="B5106" t="str">
        <f t="shared" si="247"/>
        <v>July</v>
      </c>
      <c r="C5106" s="46" t="s">
        <v>280</v>
      </c>
      <c r="F5106" s="366" t="s">
        <v>2667</v>
      </c>
      <c r="G5106" s="46" t="s">
        <v>18</v>
      </c>
      <c r="H5106" s="46">
        <v>2</v>
      </c>
      <c r="I5106" s="51">
        <v>5367.65</v>
      </c>
      <c r="J5106" s="281">
        <f>++Tabla4[[#This Row],[Precio Bruto]]*1.16</f>
        <v>6226.4739999999993</v>
      </c>
      <c r="K5106" s="281">
        <f>+Tabla4[[#This Row],[Precio Unitario Neto]]*Tabla4[[#Headers],[20.85%]]</f>
        <v>1298.2198289999999</v>
      </c>
      <c r="L5106" s="282">
        <f>++Tabla4[[#This Row],[Precio Unitario Neto]]-Tabla4[[#This Row],[20.85%]]</f>
        <v>4928.2541709999996</v>
      </c>
      <c r="M5106" s="282" t="e">
        <f>(INDEX(Tabla6[#All],MATCH(Tabla4[[#This Row],[Producto]],Tabla6[[#All],[PRODUCTO]],0),MATCH(Tabla4[[#This Row],[Mes]],Tabla6[#Headers],0)))*(1+Catalogos!$L$2)</f>
        <v>#N/A</v>
      </c>
      <c r="N5106" s="283" t="e">
        <f>+(Tabla4[[#This Row],[Precio Descontado]]-Tabla4[[#This Row],[Precio Base]])*Tabla4[[#This Row],[Cantidad]]</f>
        <v>#N/A</v>
      </c>
      <c r="O5106" s="284" t="e">
        <f>++Tabla4[[#This Row],[Utilidad Total]]/Tabla4[[#This Row],[Total]]</f>
        <v>#N/A</v>
      </c>
      <c r="P5106" s="282">
        <f>++Tabla4[[#This Row],[Precio Descontado]]*Tabla4[[#This Row],[Cantidad]]</f>
        <v>9856.5083419999992</v>
      </c>
      <c r="Q5106" s="282" t="e">
        <f>(INDEX(Tabla6[#All],MATCH(Tabla4[[#This Row],[Producto]],Tabla6[[#All],[PRODUCTO]],0),MATCH(Tabla4[[#This Row],[Mes]],Tabla6[#Headers],0)))</f>
        <v>#N/A</v>
      </c>
      <c r="R5106" s="282" t="e">
        <f>++Tabla4[[#This Row],[Precio Unitario Neto]]-Tabla4[[#This Row],[20.85%]]-Tabla4[[#This Row],[Costo]]</f>
        <v>#N/A</v>
      </c>
      <c r="S5106" s="282" t="e">
        <f>++Tabla4[[#This Row],[U. Bruta Uni]]*Tabla4[[#This Row],[Cantidad]]</f>
        <v>#N/A</v>
      </c>
      <c r="T5106" s="369" t="str">
        <f>VLOOKUP(Tabla4[[#This Row],[Producto]],Tabla6[#All],14,FALSE)</f>
        <v>Termico Solar</v>
      </c>
      <c r="U5106" s="284" t="e">
        <f>(IF(Tabla4[[#This Row],[Familia]]="termico solar",Tabla4[[#This Row],[Utilidad Total]]*6%,Tabla4[[#This Row],[Utilidad Total]]*11.5%))/Tabla4[[#This Row],[Total]]</f>
        <v>#N/A</v>
      </c>
      <c r="V5106" s="282" t="e">
        <f>+Tabla4[[#This Row],[Comisión Calculada]]*Tabla4[[#This Row],[Total]]</f>
        <v>#N/A</v>
      </c>
    </row>
    <row r="5107" spans="1:22" hidden="1" x14ac:dyDescent="0.25">
      <c r="A5107" s="100">
        <v>45869</v>
      </c>
      <c r="B5107" t="str">
        <f t="shared" si="247"/>
        <v>July</v>
      </c>
      <c r="C5107" s="46" t="s">
        <v>280</v>
      </c>
      <c r="F5107" s="366" t="s">
        <v>2667</v>
      </c>
      <c r="G5107" s="46" t="s">
        <v>16</v>
      </c>
      <c r="H5107" s="46">
        <v>3</v>
      </c>
      <c r="I5107" s="51">
        <v>4103.8499999999995</v>
      </c>
      <c r="J5107" s="281">
        <f>++Tabla4[[#This Row],[Precio Bruto]]*1.16</f>
        <v>4760.4659999999994</v>
      </c>
      <c r="K5107" s="281">
        <f>+Tabla4[[#This Row],[Precio Unitario Neto]]*Tabla4[[#Headers],[20.85%]]</f>
        <v>992.55716099999984</v>
      </c>
      <c r="L5107" s="282">
        <f>++Tabla4[[#This Row],[Precio Unitario Neto]]-Tabla4[[#This Row],[20.85%]]</f>
        <v>3767.9088389999997</v>
      </c>
      <c r="M5107" s="282" t="e">
        <f>(INDEX(Tabla6[#All],MATCH(Tabla4[[#This Row],[Producto]],Tabla6[[#All],[PRODUCTO]],0),MATCH(Tabla4[[#This Row],[Mes]],Tabla6[#Headers],0)))*(1+Catalogos!$L$2)</f>
        <v>#N/A</v>
      </c>
      <c r="N5107" s="283" t="e">
        <f>+(Tabla4[[#This Row],[Precio Descontado]]-Tabla4[[#This Row],[Precio Base]])*Tabla4[[#This Row],[Cantidad]]</f>
        <v>#N/A</v>
      </c>
      <c r="O5107" s="284" t="e">
        <f>++Tabla4[[#This Row],[Utilidad Total]]/Tabla4[[#This Row],[Total]]</f>
        <v>#N/A</v>
      </c>
      <c r="P5107" s="282">
        <f>++Tabla4[[#This Row],[Precio Descontado]]*Tabla4[[#This Row],[Cantidad]]</f>
        <v>11303.726516999999</v>
      </c>
      <c r="Q5107" s="282" t="e">
        <f>(INDEX(Tabla6[#All],MATCH(Tabla4[[#This Row],[Producto]],Tabla6[[#All],[PRODUCTO]],0),MATCH(Tabla4[[#This Row],[Mes]],Tabla6[#Headers],0)))</f>
        <v>#N/A</v>
      </c>
      <c r="R5107" s="282" t="e">
        <f>++Tabla4[[#This Row],[Precio Unitario Neto]]-Tabla4[[#This Row],[20.85%]]-Tabla4[[#This Row],[Costo]]</f>
        <v>#N/A</v>
      </c>
      <c r="S5107" s="282" t="e">
        <f>++Tabla4[[#This Row],[U. Bruta Uni]]*Tabla4[[#This Row],[Cantidad]]</f>
        <v>#N/A</v>
      </c>
      <c r="T5107" s="369" t="str">
        <f>VLOOKUP(Tabla4[[#This Row],[Producto]],Tabla6[#All],14,FALSE)</f>
        <v>Termico Solar</v>
      </c>
      <c r="U5107" s="284" t="e">
        <f>(IF(Tabla4[[#This Row],[Familia]]="termico solar",Tabla4[[#This Row],[Utilidad Total]]*6%,Tabla4[[#This Row],[Utilidad Total]]*11.5%))/Tabla4[[#This Row],[Total]]</f>
        <v>#N/A</v>
      </c>
      <c r="V5107" s="282" t="e">
        <f>+Tabla4[[#This Row],[Comisión Calculada]]*Tabla4[[#This Row],[Total]]</f>
        <v>#N/A</v>
      </c>
    </row>
    <row r="5108" spans="1:22" hidden="1" x14ac:dyDescent="0.25">
      <c r="A5108" s="100">
        <v>45869</v>
      </c>
      <c r="B5108" t="str">
        <f t="shared" si="247"/>
        <v>July</v>
      </c>
      <c r="C5108" s="46" t="s">
        <v>280</v>
      </c>
      <c r="F5108" s="366" t="s">
        <v>2667</v>
      </c>
      <c r="G5108" s="46" t="s">
        <v>208</v>
      </c>
      <c r="H5108" s="46">
        <v>2</v>
      </c>
      <c r="I5108" s="51">
        <v>189.75</v>
      </c>
      <c r="J5108" s="281">
        <f>++Tabla4[[#This Row],[Precio Bruto]]*1.16</f>
        <v>220.10999999999999</v>
      </c>
      <c r="K5108" s="281">
        <f>+Tabla4[[#This Row],[Precio Unitario Neto]]*Tabla4[[#Headers],[20.85%]]</f>
        <v>45.892934999999994</v>
      </c>
      <c r="L5108" s="282">
        <f>++Tabla4[[#This Row],[Precio Unitario Neto]]-Tabla4[[#This Row],[20.85%]]</f>
        <v>174.21706499999999</v>
      </c>
      <c r="M5108" s="282" t="e">
        <f>(INDEX(Tabla6[#All],MATCH(Tabla4[[#This Row],[Producto]],Tabla6[[#All],[PRODUCTO]],0),MATCH(Tabla4[[#This Row],[Mes]],Tabla6[#Headers],0)))*(1+Catalogos!$L$2)</f>
        <v>#N/A</v>
      </c>
      <c r="N5108" s="283" t="e">
        <f>+(Tabla4[[#This Row],[Precio Descontado]]-Tabla4[[#This Row],[Precio Base]])*Tabla4[[#This Row],[Cantidad]]</f>
        <v>#N/A</v>
      </c>
      <c r="O5108" s="284" t="e">
        <f>++Tabla4[[#This Row],[Utilidad Total]]/Tabla4[[#This Row],[Total]]</f>
        <v>#N/A</v>
      </c>
      <c r="P5108" s="282">
        <f>++Tabla4[[#This Row],[Precio Descontado]]*Tabla4[[#This Row],[Cantidad]]</f>
        <v>348.43412999999998</v>
      </c>
      <c r="Q5108" s="282" t="e">
        <f>(INDEX(Tabla6[#All],MATCH(Tabla4[[#This Row],[Producto]],Tabla6[[#All],[PRODUCTO]],0),MATCH(Tabla4[[#This Row],[Mes]],Tabla6[#Headers],0)))</f>
        <v>#N/A</v>
      </c>
      <c r="R5108" s="282" t="e">
        <f>++Tabla4[[#This Row],[Precio Unitario Neto]]-Tabla4[[#This Row],[20.85%]]-Tabla4[[#This Row],[Costo]]</f>
        <v>#N/A</v>
      </c>
      <c r="S5108" s="282" t="e">
        <f>++Tabla4[[#This Row],[U. Bruta Uni]]*Tabla4[[#This Row],[Cantidad]]</f>
        <v>#N/A</v>
      </c>
      <c r="T5108" s="369" t="str">
        <f>VLOOKUP(Tabla4[[#This Row],[Producto]],Tabla6[#All],14,FALSE)</f>
        <v>Termico Solar</v>
      </c>
      <c r="U5108" s="284" t="e">
        <f>(IF(Tabla4[[#This Row],[Familia]]="termico solar",Tabla4[[#This Row],[Utilidad Total]]*6%,Tabla4[[#This Row],[Utilidad Total]]*11.5%))/Tabla4[[#This Row],[Total]]</f>
        <v>#N/A</v>
      </c>
      <c r="V5108" s="282" t="e">
        <f>+Tabla4[[#This Row],[Comisión Calculada]]*Tabla4[[#This Row],[Total]]</f>
        <v>#N/A</v>
      </c>
    </row>
    <row r="5109" spans="1:22" hidden="1" x14ac:dyDescent="0.25">
      <c r="A5109" s="100">
        <v>45869</v>
      </c>
      <c r="B5109" t="str">
        <f t="shared" si="247"/>
        <v>July</v>
      </c>
      <c r="C5109" s="46" t="s">
        <v>280</v>
      </c>
      <c r="F5109" s="366" t="s">
        <v>2668</v>
      </c>
      <c r="G5109" s="46" t="s">
        <v>18</v>
      </c>
      <c r="H5109" s="46">
        <v>1</v>
      </c>
      <c r="I5109" s="51">
        <v>5367.65</v>
      </c>
      <c r="J5109" s="281">
        <f>++Tabla4[[#This Row],[Precio Bruto]]*1.16</f>
        <v>6226.4739999999993</v>
      </c>
      <c r="K5109" s="281">
        <f>+Tabla4[[#This Row],[Precio Unitario Neto]]*Tabla4[[#Headers],[20.85%]]</f>
        <v>1298.2198289999999</v>
      </c>
      <c r="L5109" s="282">
        <f>++Tabla4[[#This Row],[Precio Unitario Neto]]-Tabla4[[#This Row],[20.85%]]</f>
        <v>4928.2541709999996</v>
      </c>
      <c r="M5109" s="282" t="e">
        <f>(INDEX(Tabla6[#All],MATCH(Tabla4[[#This Row],[Producto]],Tabla6[[#All],[PRODUCTO]],0),MATCH(Tabla4[[#This Row],[Mes]],Tabla6[#Headers],0)))*(1+Catalogos!$L$2)</f>
        <v>#N/A</v>
      </c>
      <c r="N5109" s="283" t="e">
        <f>+(Tabla4[[#This Row],[Precio Descontado]]-Tabla4[[#This Row],[Precio Base]])*Tabla4[[#This Row],[Cantidad]]</f>
        <v>#N/A</v>
      </c>
      <c r="O5109" s="284" t="e">
        <f>++Tabla4[[#This Row],[Utilidad Total]]/Tabla4[[#This Row],[Total]]</f>
        <v>#N/A</v>
      </c>
      <c r="P5109" s="282">
        <f>++Tabla4[[#This Row],[Precio Descontado]]*Tabla4[[#This Row],[Cantidad]]</f>
        <v>4928.2541709999996</v>
      </c>
      <c r="Q5109" s="282" t="e">
        <f>(INDEX(Tabla6[#All],MATCH(Tabla4[[#This Row],[Producto]],Tabla6[[#All],[PRODUCTO]],0),MATCH(Tabla4[[#This Row],[Mes]],Tabla6[#Headers],0)))</f>
        <v>#N/A</v>
      </c>
      <c r="R5109" s="282" t="e">
        <f>++Tabla4[[#This Row],[Precio Unitario Neto]]-Tabla4[[#This Row],[20.85%]]-Tabla4[[#This Row],[Costo]]</f>
        <v>#N/A</v>
      </c>
      <c r="S5109" s="282" t="e">
        <f>++Tabla4[[#This Row],[U. Bruta Uni]]*Tabla4[[#This Row],[Cantidad]]</f>
        <v>#N/A</v>
      </c>
      <c r="T5109" s="369" t="str">
        <f>VLOOKUP(Tabla4[[#This Row],[Producto]],Tabla6[#All],14,FALSE)</f>
        <v>Termico Solar</v>
      </c>
      <c r="U5109" s="284" t="e">
        <f>(IF(Tabla4[[#This Row],[Familia]]="termico solar",Tabla4[[#This Row],[Utilidad Total]]*6%,Tabla4[[#This Row],[Utilidad Total]]*11.5%))/Tabla4[[#This Row],[Total]]</f>
        <v>#N/A</v>
      </c>
      <c r="V5109" s="282" t="e">
        <f>+Tabla4[[#This Row],[Comisión Calculada]]*Tabla4[[#This Row],[Total]]</f>
        <v>#N/A</v>
      </c>
    </row>
    <row r="5110" spans="1:22" hidden="1" x14ac:dyDescent="0.25">
      <c r="A5110" s="100">
        <v>45869</v>
      </c>
      <c r="B5110" t="str">
        <f t="shared" si="247"/>
        <v>July</v>
      </c>
      <c r="C5110" s="46" t="s">
        <v>280</v>
      </c>
      <c r="F5110" s="366" t="s">
        <v>2669</v>
      </c>
      <c r="G5110" s="46" t="s">
        <v>18</v>
      </c>
      <c r="H5110" s="46">
        <v>2</v>
      </c>
      <c r="I5110" s="51">
        <v>5367.65</v>
      </c>
      <c r="J5110" s="281">
        <f>++Tabla4[[#This Row],[Precio Bruto]]*1.16</f>
        <v>6226.4739999999993</v>
      </c>
      <c r="K5110" s="281">
        <f>+Tabla4[[#This Row],[Precio Unitario Neto]]*Tabla4[[#Headers],[20.85%]]</f>
        <v>1298.2198289999999</v>
      </c>
      <c r="L5110" s="282">
        <f>++Tabla4[[#This Row],[Precio Unitario Neto]]-Tabla4[[#This Row],[20.85%]]</f>
        <v>4928.2541709999996</v>
      </c>
      <c r="M5110" s="282" t="e">
        <f>(INDEX(Tabla6[#All],MATCH(Tabla4[[#This Row],[Producto]],Tabla6[[#All],[PRODUCTO]],0),MATCH(Tabla4[[#This Row],[Mes]],Tabla6[#Headers],0)))*(1+Catalogos!$L$2)</f>
        <v>#N/A</v>
      </c>
      <c r="N5110" s="283" t="e">
        <f>+(Tabla4[[#This Row],[Precio Descontado]]-Tabla4[[#This Row],[Precio Base]])*Tabla4[[#This Row],[Cantidad]]</f>
        <v>#N/A</v>
      </c>
      <c r="O5110" s="284" t="e">
        <f>++Tabla4[[#This Row],[Utilidad Total]]/Tabla4[[#This Row],[Total]]</f>
        <v>#N/A</v>
      </c>
      <c r="P5110" s="282">
        <f>++Tabla4[[#This Row],[Precio Descontado]]*Tabla4[[#This Row],[Cantidad]]</f>
        <v>9856.5083419999992</v>
      </c>
      <c r="Q5110" s="282" t="e">
        <f>(INDEX(Tabla6[#All],MATCH(Tabla4[[#This Row],[Producto]],Tabla6[[#All],[PRODUCTO]],0),MATCH(Tabla4[[#This Row],[Mes]],Tabla6[#Headers],0)))</f>
        <v>#N/A</v>
      </c>
      <c r="R5110" s="282" t="e">
        <f>++Tabla4[[#This Row],[Precio Unitario Neto]]-Tabla4[[#This Row],[20.85%]]-Tabla4[[#This Row],[Costo]]</f>
        <v>#N/A</v>
      </c>
      <c r="S5110" s="282" t="e">
        <f>++Tabla4[[#This Row],[U. Bruta Uni]]*Tabla4[[#This Row],[Cantidad]]</f>
        <v>#N/A</v>
      </c>
      <c r="T5110" s="369" t="str">
        <f>VLOOKUP(Tabla4[[#This Row],[Producto]],Tabla6[#All],14,FALSE)</f>
        <v>Termico Solar</v>
      </c>
      <c r="U5110" s="284" t="e">
        <f>(IF(Tabla4[[#This Row],[Familia]]="termico solar",Tabla4[[#This Row],[Utilidad Total]]*6%,Tabla4[[#This Row],[Utilidad Total]]*11.5%))/Tabla4[[#This Row],[Total]]</f>
        <v>#N/A</v>
      </c>
      <c r="V5110" s="282" t="e">
        <f>+Tabla4[[#This Row],[Comisión Calculada]]*Tabla4[[#This Row],[Total]]</f>
        <v>#N/A</v>
      </c>
    </row>
    <row r="5111" spans="1:22" hidden="1" x14ac:dyDescent="0.25">
      <c r="A5111" s="100">
        <v>45869</v>
      </c>
      <c r="B5111" t="str">
        <f t="shared" si="247"/>
        <v>July</v>
      </c>
      <c r="C5111" s="46" t="s">
        <v>280</v>
      </c>
      <c r="F5111" s="366" t="s">
        <v>2669</v>
      </c>
      <c r="G5111" s="46" t="s">
        <v>16</v>
      </c>
      <c r="H5111" s="46">
        <v>3</v>
      </c>
      <c r="I5111" s="51">
        <v>4103.8499999999995</v>
      </c>
      <c r="J5111" s="281">
        <f>++Tabla4[[#This Row],[Precio Bruto]]*1.16</f>
        <v>4760.4659999999994</v>
      </c>
      <c r="K5111" s="281">
        <f>+Tabla4[[#This Row],[Precio Unitario Neto]]*Tabla4[[#Headers],[20.85%]]</f>
        <v>992.55716099999984</v>
      </c>
      <c r="L5111" s="282">
        <f>++Tabla4[[#This Row],[Precio Unitario Neto]]-Tabla4[[#This Row],[20.85%]]</f>
        <v>3767.9088389999997</v>
      </c>
      <c r="M5111" s="282" t="e">
        <f>(INDEX(Tabla6[#All],MATCH(Tabla4[[#This Row],[Producto]],Tabla6[[#All],[PRODUCTO]],0),MATCH(Tabla4[[#This Row],[Mes]],Tabla6[#Headers],0)))*(1+Catalogos!$L$2)</f>
        <v>#N/A</v>
      </c>
      <c r="N5111" s="283" t="e">
        <f>+(Tabla4[[#This Row],[Precio Descontado]]-Tabla4[[#This Row],[Precio Base]])*Tabla4[[#This Row],[Cantidad]]</f>
        <v>#N/A</v>
      </c>
      <c r="O5111" s="284" t="e">
        <f>++Tabla4[[#This Row],[Utilidad Total]]/Tabla4[[#This Row],[Total]]</f>
        <v>#N/A</v>
      </c>
      <c r="P5111" s="282">
        <f>++Tabla4[[#This Row],[Precio Descontado]]*Tabla4[[#This Row],[Cantidad]]</f>
        <v>11303.726516999999</v>
      </c>
      <c r="Q5111" s="282" t="e">
        <f>(INDEX(Tabla6[#All],MATCH(Tabla4[[#This Row],[Producto]],Tabla6[[#All],[PRODUCTO]],0),MATCH(Tabla4[[#This Row],[Mes]],Tabla6[#Headers],0)))</f>
        <v>#N/A</v>
      </c>
      <c r="R5111" s="282" t="e">
        <f>++Tabla4[[#This Row],[Precio Unitario Neto]]-Tabla4[[#This Row],[20.85%]]-Tabla4[[#This Row],[Costo]]</f>
        <v>#N/A</v>
      </c>
      <c r="S5111" s="282" t="e">
        <f>++Tabla4[[#This Row],[U. Bruta Uni]]*Tabla4[[#This Row],[Cantidad]]</f>
        <v>#N/A</v>
      </c>
      <c r="T5111" s="369" t="str">
        <f>VLOOKUP(Tabla4[[#This Row],[Producto]],Tabla6[#All],14,FALSE)</f>
        <v>Termico Solar</v>
      </c>
      <c r="U5111" s="284" t="e">
        <f>(IF(Tabla4[[#This Row],[Familia]]="termico solar",Tabla4[[#This Row],[Utilidad Total]]*6%,Tabla4[[#This Row],[Utilidad Total]]*11.5%))/Tabla4[[#This Row],[Total]]</f>
        <v>#N/A</v>
      </c>
      <c r="V5111" s="282" t="e">
        <f>+Tabla4[[#This Row],[Comisión Calculada]]*Tabla4[[#This Row],[Total]]</f>
        <v>#N/A</v>
      </c>
    </row>
    <row r="5112" spans="1:22" hidden="1" x14ac:dyDescent="0.25">
      <c r="A5112" s="100">
        <v>45869</v>
      </c>
      <c r="B5112" t="str">
        <f t="shared" si="247"/>
        <v>July</v>
      </c>
      <c r="C5112" s="46" t="s">
        <v>280</v>
      </c>
      <c r="F5112" s="366" t="s">
        <v>2670</v>
      </c>
      <c r="G5112" s="46" t="s">
        <v>83</v>
      </c>
      <c r="H5112" s="46">
        <v>1</v>
      </c>
      <c r="I5112" s="51">
        <v>8858.76</v>
      </c>
      <c r="J5112" s="281">
        <f>++Tabla4[[#This Row],[Precio Bruto]]*1.16</f>
        <v>10276.161599999999</v>
      </c>
      <c r="K5112" s="281">
        <f>+Tabla4[[#This Row],[Precio Unitario Neto]]*Tabla4[[#Headers],[20.85%]]</f>
        <v>2142.5796935999997</v>
      </c>
      <c r="L5112" s="282">
        <f>++Tabla4[[#This Row],[Precio Unitario Neto]]-Tabla4[[#This Row],[20.85%]]</f>
        <v>8133.5819063999998</v>
      </c>
      <c r="M5112" s="282" t="e">
        <f>(INDEX(Tabla6[#All],MATCH(Tabla4[[#This Row],[Producto]],Tabla6[[#All],[PRODUCTO]],0),MATCH(Tabla4[[#This Row],[Mes]],Tabla6[#Headers],0)))*(1+Catalogos!$L$2)</f>
        <v>#N/A</v>
      </c>
      <c r="N5112" s="283" t="e">
        <f>+(Tabla4[[#This Row],[Precio Descontado]]-Tabla4[[#This Row],[Precio Base]])*Tabla4[[#This Row],[Cantidad]]</f>
        <v>#N/A</v>
      </c>
      <c r="O5112" s="284" t="e">
        <f>++Tabla4[[#This Row],[Utilidad Total]]/Tabla4[[#This Row],[Total]]</f>
        <v>#N/A</v>
      </c>
      <c r="P5112" s="282">
        <f>++Tabla4[[#This Row],[Precio Descontado]]*Tabla4[[#This Row],[Cantidad]]</f>
        <v>8133.5819063999998</v>
      </c>
      <c r="Q5112" s="282" t="e">
        <f>(INDEX(Tabla6[#All],MATCH(Tabla4[[#This Row],[Producto]],Tabla6[[#All],[PRODUCTO]],0),MATCH(Tabla4[[#This Row],[Mes]],Tabla6[#Headers],0)))</f>
        <v>#N/A</v>
      </c>
      <c r="R5112" s="282" t="e">
        <f>++Tabla4[[#This Row],[Precio Unitario Neto]]-Tabla4[[#This Row],[20.85%]]-Tabla4[[#This Row],[Costo]]</f>
        <v>#N/A</v>
      </c>
      <c r="S5112" s="282" t="e">
        <f>++Tabla4[[#This Row],[U. Bruta Uni]]*Tabla4[[#This Row],[Cantidad]]</f>
        <v>#N/A</v>
      </c>
      <c r="T5112" s="369" t="str">
        <f>VLOOKUP(Tabla4[[#This Row],[Producto]],Tabla6[#All],14,FALSE)</f>
        <v>Termico Solar</v>
      </c>
      <c r="U5112" s="284" t="e">
        <f>(IF(Tabla4[[#This Row],[Familia]]="termico solar",Tabla4[[#This Row],[Utilidad Total]]*6%,Tabla4[[#This Row],[Utilidad Total]]*11.5%))/Tabla4[[#This Row],[Total]]</f>
        <v>#N/A</v>
      </c>
      <c r="V5112" s="282" t="e">
        <f>+Tabla4[[#This Row],[Comisión Calculada]]*Tabla4[[#This Row],[Total]]</f>
        <v>#N/A</v>
      </c>
    </row>
    <row r="5113" spans="1:22" hidden="1" x14ac:dyDescent="0.25">
      <c r="A5113" s="100">
        <v>45869</v>
      </c>
      <c r="B5113" t="str">
        <f t="shared" si="247"/>
        <v>July</v>
      </c>
      <c r="C5113" s="46" t="s">
        <v>280</v>
      </c>
      <c r="F5113" s="366" t="s">
        <v>2670</v>
      </c>
      <c r="G5113" s="46" t="s">
        <v>566</v>
      </c>
      <c r="H5113" s="46">
        <v>1</v>
      </c>
      <c r="I5113" s="51">
        <v>2109.4499999999998</v>
      </c>
      <c r="J5113" s="281">
        <f>++Tabla4[[#This Row],[Precio Bruto]]*1.16</f>
        <v>2446.9619999999995</v>
      </c>
      <c r="K5113" s="281">
        <f>+Tabla4[[#This Row],[Precio Unitario Neto]]*Tabla4[[#Headers],[20.85%]]</f>
        <v>510.19157699999988</v>
      </c>
      <c r="L5113" s="282">
        <f>++Tabla4[[#This Row],[Precio Unitario Neto]]-Tabla4[[#This Row],[20.85%]]</f>
        <v>1936.7704229999997</v>
      </c>
      <c r="M5113" s="282" t="e">
        <f>(INDEX(Tabla6[#All],MATCH(Tabla4[[#This Row],[Producto]],Tabla6[[#All],[PRODUCTO]],0),MATCH(Tabla4[[#This Row],[Mes]],Tabla6[#Headers],0)))*(1+Catalogos!$L$2)</f>
        <v>#N/A</v>
      </c>
      <c r="N5113" s="283" t="e">
        <f>+(Tabla4[[#This Row],[Precio Descontado]]-Tabla4[[#This Row],[Precio Base]])*Tabla4[[#This Row],[Cantidad]]</f>
        <v>#N/A</v>
      </c>
      <c r="O5113" s="284" t="e">
        <f>++Tabla4[[#This Row],[Utilidad Total]]/Tabla4[[#This Row],[Total]]</f>
        <v>#N/A</v>
      </c>
      <c r="P5113" s="282">
        <f>++Tabla4[[#This Row],[Precio Descontado]]*Tabla4[[#This Row],[Cantidad]]</f>
        <v>1936.7704229999997</v>
      </c>
      <c r="Q5113" s="282" t="e">
        <f>(INDEX(Tabla6[#All],MATCH(Tabla4[[#This Row],[Producto]],Tabla6[[#All],[PRODUCTO]],0),MATCH(Tabla4[[#This Row],[Mes]],Tabla6[#Headers],0)))</f>
        <v>#N/A</v>
      </c>
      <c r="R5113" s="282" t="e">
        <f>++Tabla4[[#This Row],[Precio Unitario Neto]]-Tabla4[[#This Row],[20.85%]]-Tabla4[[#This Row],[Costo]]</f>
        <v>#N/A</v>
      </c>
      <c r="S5113" s="282" t="e">
        <f>++Tabla4[[#This Row],[U. Bruta Uni]]*Tabla4[[#This Row],[Cantidad]]</f>
        <v>#N/A</v>
      </c>
      <c r="T5113" s="369" t="str">
        <f>VLOOKUP(Tabla4[[#This Row],[Producto]],Tabla6[#All],14,FALSE)</f>
        <v>Termico Solar</v>
      </c>
      <c r="U5113" s="284" t="e">
        <f>(IF(Tabla4[[#This Row],[Familia]]="termico solar",Tabla4[[#This Row],[Utilidad Total]]*6%,Tabla4[[#This Row],[Utilidad Total]]*11.5%))/Tabla4[[#This Row],[Total]]</f>
        <v>#N/A</v>
      </c>
      <c r="V5113" s="282" t="e">
        <f>+Tabla4[[#This Row],[Comisión Calculada]]*Tabla4[[#This Row],[Total]]</f>
        <v>#N/A</v>
      </c>
    </row>
    <row r="5114" spans="1:22" hidden="1" x14ac:dyDescent="0.25">
      <c r="A5114" s="100">
        <v>45869</v>
      </c>
      <c r="B5114" t="str">
        <f t="shared" si="247"/>
        <v>July</v>
      </c>
      <c r="C5114" s="46" t="s">
        <v>280</v>
      </c>
      <c r="F5114" s="366" t="s">
        <v>2671</v>
      </c>
      <c r="G5114" s="46" t="s">
        <v>18</v>
      </c>
      <c r="H5114" s="46">
        <v>2</v>
      </c>
      <c r="I5114" s="51">
        <v>5367.65</v>
      </c>
      <c r="J5114" s="281">
        <f>++Tabla4[[#This Row],[Precio Bruto]]*1.16</f>
        <v>6226.4739999999993</v>
      </c>
      <c r="K5114" s="281">
        <f>+Tabla4[[#This Row],[Precio Unitario Neto]]*Tabla4[[#Headers],[20.85%]]</f>
        <v>1298.2198289999999</v>
      </c>
      <c r="L5114" s="282">
        <f>++Tabla4[[#This Row],[Precio Unitario Neto]]-Tabla4[[#This Row],[20.85%]]</f>
        <v>4928.2541709999996</v>
      </c>
      <c r="M5114" s="282" t="e">
        <f>(INDEX(Tabla6[#All],MATCH(Tabla4[[#This Row],[Producto]],Tabla6[[#All],[PRODUCTO]],0),MATCH(Tabla4[[#This Row],[Mes]],Tabla6[#Headers],0)))*(1+Catalogos!$L$2)</f>
        <v>#N/A</v>
      </c>
      <c r="N5114" s="283" t="e">
        <f>+(Tabla4[[#This Row],[Precio Descontado]]-Tabla4[[#This Row],[Precio Base]])*Tabla4[[#This Row],[Cantidad]]</f>
        <v>#N/A</v>
      </c>
      <c r="O5114" s="284" t="e">
        <f>++Tabla4[[#This Row],[Utilidad Total]]/Tabla4[[#This Row],[Total]]</f>
        <v>#N/A</v>
      </c>
      <c r="P5114" s="282">
        <f>++Tabla4[[#This Row],[Precio Descontado]]*Tabla4[[#This Row],[Cantidad]]</f>
        <v>9856.5083419999992</v>
      </c>
      <c r="Q5114" s="282" t="e">
        <f>(INDEX(Tabla6[#All],MATCH(Tabla4[[#This Row],[Producto]],Tabla6[[#All],[PRODUCTO]],0),MATCH(Tabla4[[#This Row],[Mes]],Tabla6[#Headers],0)))</f>
        <v>#N/A</v>
      </c>
      <c r="R5114" s="282" t="e">
        <f>++Tabla4[[#This Row],[Precio Unitario Neto]]-Tabla4[[#This Row],[20.85%]]-Tabla4[[#This Row],[Costo]]</f>
        <v>#N/A</v>
      </c>
      <c r="S5114" s="282" t="e">
        <f>++Tabla4[[#This Row],[U. Bruta Uni]]*Tabla4[[#This Row],[Cantidad]]</f>
        <v>#N/A</v>
      </c>
      <c r="T5114" s="369" t="str">
        <f>VLOOKUP(Tabla4[[#This Row],[Producto]],Tabla6[#All],14,FALSE)</f>
        <v>Termico Solar</v>
      </c>
      <c r="U5114" s="284" t="e">
        <f>(IF(Tabla4[[#This Row],[Familia]]="termico solar",Tabla4[[#This Row],[Utilidad Total]]*6%,Tabla4[[#This Row],[Utilidad Total]]*11.5%))/Tabla4[[#This Row],[Total]]</f>
        <v>#N/A</v>
      </c>
      <c r="V5114" s="282" t="e">
        <f>+Tabla4[[#This Row],[Comisión Calculada]]*Tabla4[[#This Row],[Total]]</f>
        <v>#N/A</v>
      </c>
    </row>
    <row r="5115" spans="1:22" hidden="1" x14ac:dyDescent="0.25">
      <c r="A5115" s="100">
        <v>45869</v>
      </c>
      <c r="B5115" t="str">
        <f t="shared" si="247"/>
        <v>July</v>
      </c>
      <c r="C5115" s="46" t="s">
        <v>280</v>
      </c>
      <c r="F5115" s="366" t="s">
        <v>2671</v>
      </c>
      <c r="G5115" s="46" t="s">
        <v>16</v>
      </c>
      <c r="H5115" s="46">
        <v>1</v>
      </c>
      <c r="I5115" s="51">
        <v>4103.8500000000004</v>
      </c>
      <c r="J5115" s="281">
        <f>++Tabla4[[#This Row],[Precio Bruto]]*1.16</f>
        <v>4760.4660000000003</v>
      </c>
      <c r="K5115" s="281">
        <f>+Tabla4[[#This Row],[Precio Unitario Neto]]*Tabla4[[#Headers],[20.85%]]</f>
        <v>992.55716100000006</v>
      </c>
      <c r="L5115" s="282">
        <f>++Tabla4[[#This Row],[Precio Unitario Neto]]-Tabla4[[#This Row],[20.85%]]</f>
        <v>3767.9088390000002</v>
      </c>
      <c r="M5115" s="282" t="e">
        <f>(INDEX(Tabla6[#All],MATCH(Tabla4[[#This Row],[Producto]],Tabla6[[#All],[PRODUCTO]],0),MATCH(Tabla4[[#This Row],[Mes]],Tabla6[#Headers],0)))*(1+Catalogos!$L$2)</f>
        <v>#N/A</v>
      </c>
      <c r="N5115" s="283" t="e">
        <f>+(Tabla4[[#This Row],[Precio Descontado]]-Tabla4[[#This Row],[Precio Base]])*Tabla4[[#This Row],[Cantidad]]</f>
        <v>#N/A</v>
      </c>
      <c r="O5115" s="284" t="e">
        <f>++Tabla4[[#This Row],[Utilidad Total]]/Tabla4[[#This Row],[Total]]</f>
        <v>#N/A</v>
      </c>
      <c r="P5115" s="282">
        <f>++Tabla4[[#This Row],[Precio Descontado]]*Tabla4[[#This Row],[Cantidad]]</f>
        <v>3767.9088390000002</v>
      </c>
      <c r="Q5115" s="282" t="e">
        <f>(INDEX(Tabla6[#All],MATCH(Tabla4[[#This Row],[Producto]],Tabla6[[#All],[PRODUCTO]],0),MATCH(Tabla4[[#This Row],[Mes]],Tabla6[#Headers],0)))</f>
        <v>#N/A</v>
      </c>
      <c r="R5115" s="282" t="e">
        <f>++Tabla4[[#This Row],[Precio Unitario Neto]]-Tabla4[[#This Row],[20.85%]]-Tabla4[[#This Row],[Costo]]</f>
        <v>#N/A</v>
      </c>
      <c r="S5115" s="282" t="e">
        <f>++Tabla4[[#This Row],[U. Bruta Uni]]*Tabla4[[#This Row],[Cantidad]]</f>
        <v>#N/A</v>
      </c>
      <c r="T5115" s="369" t="str">
        <f>VLOOKUP(Tabla4[[#This Row],[Producto]],Tabla6[#All],14,FALSE)</f>
        <v>Termico Solar</v>
      </c>
      <c r="U5115" s="284" t="e">
        <f>(IF(Tabla4[[#This Row],[Familia]]="termico solar",Tabla4[[#This Row],[Utilidad Total]]*6%,Tabla4[[#This Row],[Utilidad Total]]*11.5%))/Tabla4[[#This Row],[Total]]</f>
        <v>#N/A</v>
      </c>
      <c r="V5115" s="282" t="e">
        <f>+Tabla4[[#This Row],[Comisión Calculada]]*Tabla4[[#This Row],[Total]]</f>
        <v>#N/A</v>
      </c>
    </row>
    <row r="5116" spans="1:22" hidden="1" x14ac:dyDescent="0.25">
      <c r="A5116" s="100">
        <v>45869</v>
      </c>
      <c r="B5116" t="str">
        <f t="shared" si="247"/>
        <v>July</v>
      </c>
      <c r="C5116" s="46" t="s">
        <v>280</v>
      </c>
      <c r="F5116" s="366" t="s">
        <v>2672</v>
      </c>
      <c r="G5116" s="46" t="s">
        <v>83</v>
      </c>
      <c r="H5116" s="46">
        <v>2</v>
      </c>
      <c r="I5116" s="51">
        <v>8858.76</v>
      </c>
      <c r="J5116" s="281">
        <f>++Tabla4[[#This Row],[Precio Bruto]]*1.16</f>
        <v>10276.161599999999</v>
      </c>
      <c r="K5116" s="281">
        <f>+Tabla4[[#This Row],[Precio Unitario Neto]]*Tabla4[[#Headers],[20.85%]]</f>
        <v>2142.5796935999997</v>
      </c>
      <c r="L5116" s="282">
        <f>++Tabla4[[#This Row],[Precio Unitario Neto]]-Tabla4[[#This Row],[20.85%]]</f>
        <v>8133.5819063999998</v>
      </c>
      <c r="M5116" s="282" t="e">
        <f>(INDEX(Tabla6[#All],MATCH(Tabla4[[#This Row],[Producto]],Tabla6[[#All],[PRODUCTO]],0),MATCH(Tabla4[[#This Row],[Mes]],Tabla6[#Headers],0)))*(1+Catalogos!$L$2)</f>
        <v>#N/A</v>
      </c>
      <c r="N5116" s="283" t="e">
        <f>+(Tabla4[[#This Row],[Precio Descontado]]-Tabla4[[#This Row],[Precio Base]])*Tabla4[[#This Row],[Cantidad]]</f>
        <v>#N/A</v>
      </c>
      <c r="O5116" s="284" t="e">
        <f>++Tabla4[[#This Row],[Utilidad Total]]/Tabla4[[#This Row],[Total]]</f>
        <v>#N/A</v>
      </c>
      <c r="P5116" s="282">
        <f>++Tabla4[[#This Row],[Precio Descontado]]*Tabla4[[#This Row],[Cantidad]]</f>
        <v>16267.1638128</v>
      </c>
      <c r="Q5116" s="282" t="e">
        <f>(INDEX(Tabla6[#All],MATCH(Tabla4[[#This Row],[Producto]],Tabla6[[#All],[PRODUCTO]],0),MATCH(Tabla4[[#This Row],[Mes]],Tabla6[#Headers],0)))</f>
        <v>#N/A</v>
      </c>
      <c r="R5116" s="282" t="e">
        <f>++Tabla4[[#This Row],[Precio Unitario Neto]]-Tabla4[[#This Row],[20.85%]]-Tabla4[[#This Row],[Costo]]</f>
        <v>#N/A</v>
      </c>
      <c r="S5116" s="282" t="e">
        <f>++Tabla4[[#This Row],[U. Bruta Uni]]*Tabla4[[#This Row],[Cantidad]]</f>
        <v>#N/A</v>
      </c>
      <c r="T5116" s="369" t="str">
        <f>VLOOKUP(Tabla4[[#This Row],[Producto]],Tabla6[#All],14,FALSE)</f>
        <v>Termico Solar</v>
      </c>
      <c r="U5116" s="284" t="e">
        <f>(IF(Tabla4[[#This Row],[Familia]]="termico solar",Tabla4[[#This Row],[Utilidad Total]]*6%,Tabla4[[#This Row],[Utilidad Total]]*11.5%))/Tabla4[[#This Row],[Total]]</f>
        <v>#N/A</v>
      </c>
      <c r="V5116" s="282" t="e">
        <f>+Tabla4[[#This Row],[Comisión Calculada]]*Tabla4[[#This Row],[Total]]</f>
        <v>#N/A</v>
      </c>
    </row>
    <row r="5117" spans="1:22" hidden="1" x14ac:dyDescent="0.25">
      <c r="A5117" s="100">
        <v>45869</v>
      </c>
      <c r="B5117" t="str">
        <f t="shared" si="247"/>
        <v>July</v>
      </c>
      <c r="C5117" s="46" t="s">
        <v>280</v>
      </c>
      <c r="F5117" s="366" t="s">
        <v>2673</v>
      </c>
      <c r="G5117" s="46" t="s">
        <v>83</v>
      </c>
      <c r="H5117" s="46">
        <v>3</v>
      </c>
      <c r="I5117" s="51">
        <v>8858.76</v>
      </c>
      <c r="J5117" s="281">
        <f>++Tabla4[[#This Row],[Precio Bruto]]*1.16</f>
        <v>10276.161599999999</v>
      </c>
      <c r="K5117" s="281">
        <f>+Tabla4[[#This Row],[Precio Unitario Neto]]*Tabla4[[#Headers],[20.85%]]</f>
        <v>2142.5796935999997</v>
      </c>
      <c r="L5117" s="282">
        <f>++Tabla4[[#This Row],[Precio Unitario Neto]]-Tabla4[[#This Row],[20.85%]]</f>
        <v>8133.5819063999998</v>
      </c>
      <c r="M5117" s="282" t="e">
        <f>(INDEX(Tabla6[#All],MATCH(Tabla4[[#This Row],[Producto]],Tabla6[[#All],[PRODUCTO]],0),MATCH(Tabla4[[#This Row],[Mes]],Tabla6[#Headers],0)))*(1+Catalogos!$L$2)</f>
        <v>#N/A</v>
      </c>
      <c r="N5117" s="283" t="e">
        <f>+(Tabla4[[#This Row],[Precio Descontado]]-Tabla4[[#This Row],[Precio Base]])*Tabla4[[#This Row],[Cantidad]]</f>
        <v>#N/A</v>
      </c>
      <c r="O5117" s="284" t="e">
        <f>++Tabla4[[#This Row],[Utilidad Total]]/Tabla4[[#This Row],[Total]]</f>
        <v>#N/A</v>
      </c>
      <c r="P5117" s="282">
        <f>++Tabla4[[#This Row],[Precio Descontado]]*Tabla4[[#This Row],[Cantidad]]</f>
        <v>24400.7457192</v>
      </c>
      <c r="Q5117" s="282" t="e">
        <f>(INDEX(Tabla6[#All],MATCH(Tabla4[[#This Row],[Producto]],Tabla6[[#All],[PRODUCTO]],0),MATCH(Tabla4[[#This Row],[Mes]],Tabla6[#Headers],0)))</f>
        <v>#N/A</v>
      </c>
      <c r="R5117" s="282" t="e">
        <f>++Tabla4[[#This Row],[Precio Unitario Neto]]-Tabla4[[#This Row],[20.85%]]-Tabla4[[#This Row],[Costo]]</f>
        <v>#N/A</v>
      </c>
      <c r="S5117" s="282" t="e">
        <f>++Tabla4[[#This Row],[U. Bruta Uni]]*Tabla4[[#This Row],[Cantidad]]</f>
        <v>#N/A</v>
      </c>
      <c r="T5117" s="369" t="str">
        <f>VLOOKUP(Tabla4[[#This Row],[Producto]],Tabla6[#All],14,FALSE)</f>
        <v>Termico Solar</v>
      </c>
      <c r="U5117" s="284" t="e">
        <f>(IF(Tabla4[[#This Row],[Familia]]="termico solar",Tabla4[[#This Row],[Utilidad Total]]*6%,Tabla4[[#This Row],[Utilidad Total]]*11.5%))/Tabla4[[#This Row],[Total]]</f>
        <v>#N/A</v>
      </c>
      <c r="V5117" s="282" t="e">
        <f>+Tabla4[[#This Row],[Comisión Calculada]]*Tabla4[[#This Row],[Total]]</f>
        <v>#N/A</v>
      </c>
    </row>
    <row r="5118" spans="1:22" hidden="1" x14ac:dyDescent="0.25">
      <c r="A5118" s="100">
        <v>45869</v>
      </c>
      <c r="B5118" t="str">
        <f t="shared" si="247"/>
        <v>July</v>
      </c>
      <c r="C5118" s="46" t="s">
        <v>280</v>
      </c>
      <c r="F5118" s="366" t="s">
        <v>2674</v>
      </c>
      <c r="G5118" s="46" t="s">
        <v>18</v>
      </c>
      <c r="H5118" s="46">
        <v>1</v>
      </c>
      <c r="I5118" s="51">
        <v>5367.65</v>
      </c>
      <c r="J5118" s="281">
        <f>++Tabla4[[#This Row],[Precio Bruto]]*1.16</f>
        <v>6226.4739999999993</v>
      </c>
      <c r="K5118" s="281">
        <f>+Tabla4[[#This Row],[Precio Unitario Neto]]*Tabla4[[#Headers],[20.85%]]</f>
        <v>1298.2198289999999</v>
      </c>
      <c r="L5118" s="282">
        <f>++Tabla4[[#This Row],[Precio Unitario Neto]]-Tabla4[[#This Row],[20.85%]]</f>
        <v>4928.2541709999996</v>
      </c>
      <c r="M5118" s="282" t="e">
        <f>(INDEX(Tabla6[#All],MATCH(Tabla4[[#This Row],[Producto]],Tabla6[[#All],[PRODUCTO]],0),MATCH(Tabla4[[#This Row],[Mes]],Tabla6[#Headers],0)))*(1+Catalogos!$L$2)</f>
        <v>#N/A</v>
      </c>
      <c r="N5118" s="283" t="e">
        <f>+(Tabla4[[#This Row],[Precio Descontado]]-Tabla4[[#This Row],[Precio Base]])*Tabla4[[#This Row],[Cantidad]]</f>
        <v>#N/A</v>
      </c>
      <c r="O5118" s="284" t="e">
        <f>++Tabla4[[#This Row],[Utilidad Total]]/Tabla4[[#This Row],[Total]]</f>
        <v>#N/A</v>
      </c>
      <c r="P5118" s="282">
        <f>++Tabla4[[#This Row],[Precio Descontado]]*Tabla4[[#This Row],[Cantidad]]</f>
        <v>4928.2541709999996</v>
      </c>
      <c r="Q5118" s="282" t="e">
        <f>(INDEX(Tabla6[#All],MATCH(Tabla4[[#This Row],[Producto]],Tabla6[[#All],[PRODUCTO]],0),MATCH(Tabla4[[#This Row],[Mes]],Tabla6[#Headers],0)))</f>
        <v>#N/A</v>
      </c>
      <c r="R5118" s="282" t="e">
        <f>++Tabla4[[#This Row],[Precio Unitario Neto]]-Tabla4[[#This Row],[20.85%]]-Tabla4[[#This Row],[Costo]]</f>
        <v>#N/A</v>
      </c>
      <c r="S5118" s="282" t="e">
        <f>++Tabla4[[#This Row],[U. Bruta Uni]]*Tabla4[[#This Row],[Cantidad]]</f>
        <v>#N/A</v>
      </c>
      <c r="T5118" s="369" t="str">
        <f>VLOOKUP(Tabla4[[#This Row],[Producto]],Tabla6[#All],14,FALSE)</f>
        <v>Termico Solar</v>
      </c>
      <c r="U5118" s="284" t="e">
        <f>(IF(Tabla4[[#This Row],[Familia]]="termico solar",Tabla4[[#This Row],[Utilidad Total]]*6%,Tabla4[[#This Row],[Utilidad Total]]*11.5%))/Tabla4[[#This Row],[Total]]</f>
        <v>#N/A</v>
      </c>
      <c r="V5118" s="282" t="e">
        <f>+Tabla4[[#This Row],[Comisión Calculada]]*Tabla4[[#This Row],[Total]]</f>
        <v>#N/A</v>
      </c>
    </row>
    <row r="5119" spans="1:22" hidden="1" x14ac:dyDescent="0.25">
      <c r="A5119" s="100">
        <v>45869</v>
      </c>
      <c r="B5119" t="str">
        <f t="shared" si="247"/>
        <v>July</v>
      </c>
      <c r="C5119" s="46" t="s">
        <v>280</v>
      </c>
      <c r="F5119" s="366" t="s">
        <v>2675</v>
      </c>
      <c r="G5119" s="46" t="s">
        <v>83</v>
      </c>
      <c r="H5119" s="46">
        <v>5</v>
      </c>
      <c r="I5119" s="51">
        <v>8858.76</v>
      </c>
      <c r="J5119" s="281">
        <f>++Tabla4[[#This Row],[Precio Bruto]]*1.16</f>
        <v>10276.161599999999</v>
      </c>
      <c r="K5119" s="281">
        <f>+Tabla4[[#This Row],[Precio Unitario Neto]]*Tabla4[[#Headers],[20.85%]]</f>
        <v>2142.5796935999997</v>
      </c>
      <c r="L5119" s="282">
        <f>++Tabla4[[#This Row],[Precio Unitario Neto]]-Tabla4[[#This Row],[20.85%]]</f>
        <v>8133.5819063999998</v>
      </c>
      <c r="M5119" s="282" t="e">
        <f>(INDEX(Tabla6[#All],MATCH(Tabla4[[#This Row],[Producto]],Tabla6[[#All],[PRODUCTO]],0),MATCH(Tabla4[[#This Row],[Mes]],Tabla6[#Headers],0)))*(1+Catalogos!$L$2)</f>
        <v>#N/A</v>
      </c>
      <c r="N5119" s="283" t="e">
        <f>+(Tabla4[[#This Row],[Precio Descontado]]-Tabla4[[#This Row],[Precio Base]])*Tabla4[[#This Row],[Cantidad]]</f>
        <v>#N/A</v>
      </c>
      <c r="O5119" s="284" t="e">
        <f>++Tabla4[[#This Row],[Utilidad Total]]/Tabla4[[#This Row],[Total]]</f>
        <v>#N/A</v>
      </c>
      <c r="P5119" s="282">
        <f>++Tabla4[[#This Row],[Precio Descontado]]*Tabla4[[#This Row],[Cantidad]]</f>
        <v>40667.909531999998</v>
      </c>
      <c r="Q5119" s="282" t="e">
        <f>(INDEX(Tabla6[#All],MATCH(Tabla4[[#This Row],[Producto]],Tabla6[[#All],[PRODUCTO]],0),MATCH(Tabla4[[#This Row],[Mes]],Tabla6[#Headers],0)))</f>
        <v>#N/A</v>
      </c>
      <c r="R5119" s="282" t="e">
        <f>++Tabla4[[#This Row],[Precio Unitario Neto]]-Tabla4[[#This Row],[20.85%]]-Tabla4[[#This Row],[Costo]]</f>
        <v>#N/A</v>
      </c>
      <c r="S5119" s="282" t="e">
        <f>++Tabla4[[#This Row],[U. Bruta Uni]]*Tabla4[[#This Row],[Cantidad]]</f>
        <v>#N/A</v>
      </c>
      <c r="T5119" s="369" t="str">
        <f>VLOOKUP(Tabla4[[#This Row],[Producto]],Tabla6[#All],14,FALSE)</f>
        <v>Termico Solar</v>
      </c>
      <c r="U5119" s="284" t="e">
        <f>(IF(Tabla4[[#This Row],[Familia]]="termico solar",Tabla4[[#This Row],[Utilidad Total]]*6%,Tabla4[[#This Row],[Utilidad Total]]*11.5%))/Tabla4[[#This Row],[Total]]</f>
        <v>#N/A</v>
      </c>
      <c r="V5119" s="282" t="e">
        <f>+Tabla4[[#This Row],[Comisión Calculada]]*Tabla4[[#This Row],[Total]]</f>
        <v>#N/A</v>
      </c>
    </row>
    <row r="5120" spans="1:22" hidden="1" x14ac:dyDescent="0.25">
      <c r="A5120" s="100">
        <v>45869</v>
      </c>
      <c r="B5120" t="str">
        <f t="shared" si="247"/>
        <v>July</v>
      </c>
      <c r="C5120" s="46" t="s">
        <v>280</v>
      </c>
      <c r="F5120" s="366" t="s">
        <v>2676</v>
      </c>
      <c r="G5120" s="46" t="s">
        <v>17</v>
      </c>
      <c r="H5120" s="46">
        <v>2</v>
      </c>
      <c r="I5120" s="51">
        <v>4622.28</v>
      </c>
      <c r="J5120" s="281">
        <f>++Tabla4[[#This Row],[Precio Bruto]]*1.16</f>
        <v>5361.8447999999989</v>
      </c>
      <c r="K5120" s="281">
        <f>+Tabla4[[#This Row],[Precio Unitario Neto]]*Tabla4[[#Headers],[20.85%]]</f>
        <v>1117.9446407999997</v>
      </c>
      <c r="L5120" s="282">
        <f>++Tabla4[[#This Row],[Precio Unitario Neto]]-Tabla4[[#This Row],[20.85%]]</f>
        <v>4243.9001591999995</v>
      </c>
      <c r="M5120" s="282" t="e">
        <f>(INDEX(Tabla6[#All],MATCH(Tabla4[[#This Row],[Producto]],Tabla6[[#All],[PRODUCTO]],0),MATCH(Tabla4[[#This Row],[Mes]],Tabla6[#Headers],0)))*(1+Catalogos!$L$2)</f>
        <v>#N/A</v>
      </c>
      <c r="N5120" s="283" t="e">
        <f>+(Tabla4[[#This Row],[Precio Descontado]]-Tabla4[[#This Row],[Precio Base]])*Tabla4[[#This Row],[Cantidad]]</f>
        <v>#N/A</v>
      </c>
      <c r="O5120" s="284" t="e">
        <f>++Tabla4[[#This Row],[Utilidad Total]]/Tabla4[[#This Row],[Total]]</f>
        <v>#N/A</v>
      </c>
      <c r="P5120" s="282">
        <f>++Tabla4[[#This Row],[Precio Descontado]]*Tabla4[[#This Row],[Cantidad]]</f>
        <v>8487.800318399999</v>
      </c>
      <c r="Q5120" s="282" t="e">
        <f>(INDEX(Tabla6[#All],MATCH(Tabla4[[#This Row],[Producto]],Tabla6[[#All],[PRODUCTO]],0),MATCH(Tabla4[[#This Row],[Mes]],Tabla6[#Headers],0)))</f>
        <v>#N/A</v>
      </c>
      <c r="R5120" s="282" t="e">
        <f>++Tabla4[[#This Row],[Precio Unitario Neto]]-Tabla4[[#This Row],[20.85%]]-Tabla4[[#This Row],[Costo]]</f>
        <v>#N/A</v>
      </c>
      <c r="S5120" s="282" t="e">
        <f>++Tabla4[[#This Row],[U. Bruta Uni]]*Tabla4[[#This Row],[Cantidad]]</f>
        <v>#N/A</v>
      </c>
      <c r="T5120" s="369" t="str">
        <f>VLOOKUP(Tabla4[[#This Row],[Producto]],Tabla6[#All],14,FALSE)</f>
        <v>Termico Solar</v>
      </c>
      <c r="U5120" s="284" t="e">
        <f>(IF(Tabla4[[#This Row],[Familia]]="termico solar",Tabla4[[#This Row],[Utilidad Total]]*6%,Tabla4[[#This Row],[Utilidad Total]]*11.5%))/Tabla4[[#This Row],[Total]]</f>
        <v>#N/A</v>
      </c>
      <c r="V5120" s="282" t="e">
        <f>+Tabla4[[#This Row],[Comisión Calculada]]*Tabla4[[#This Row],[Total]]</f>
        <v>#N/A</v>
      </c>
    </row>
    <row r="5121" spans="1:22" hidden="1" x14ac:dyDescent="0.25">
      <c r="A5121" s="100">
        <v>45869</v>
      </c>
      <c r="B5121" t="str">
        <f t="shared" ref="B5121" si="248">TEXT(A5121, "mmmm")</f>
        <v>July</v>
      </c>
      <c r="C5121" s="46" t="s">
        <v>280</v>
      </c>
      <c r="F5121" s="366" t="s">
        <v>2676</v>
      </c>
      <c r="G5121" s="46" t="s">
        <v>18</v>
      </c>
      <c r="H5121" s="46">
        <v>2</v>
      </c>
      <c r="I5121" s="51">
        <v>5367.65</v>
      </c>
      <c r="J5121" s="281">
        <f>++Tabla4[[#This Row],[Precio Bruto]]*1.16</f>
        <v>6226.4739999999993</v>
      </c>
      <c r="K5121" s="281">
        <f>+Tabla4[[#This Row],[Precio Unitario Neto]]*Tabla4[[#Headers],[20.85%]]</f>
        <v>1298.2198289999999</v>
      </c>
      <c r="L5121" s="282">
        <f>++Tabla4[[#This Row],[Precio Unitario Neto]]-Tabla4[[#This Row],[20.85%]]</f>
        <v>4928.2541709999996</v>
      </c>
      <c r="M5121" s="282" t="e">
        <f>(INDEX(Tabla6[#All],MATCH(Tabla4[[#This Row],[Producto]],Tabla6[[#All],[PRODUCTO]],0),MATCH(Tabla4[[#This Row],[Mes]],Tabla6[#Headers],0)))*(1+Catalogos!$L$2)</f>
        <v>#N/A</v>
      </c>
      <c r="N5121" s="283" t="e">
        <f>+(Tabla4[[#This Row],[Precio Descontado]]-Tabla4[[#This Row],[Precio Base]])*Tabla4[[#This Row],[Cantidad]]</f>
        <v>#N/A</v>
      </c>
      <c r="O5121" s="284" t="e">
        <f>++Tabla4[[#This Row],[Utilidad Total]]/Tabla4[[#This Row],[Total]]</f>
        <v>#N/A</v>
      </c>
      <c r="P5121" s="282">
        <f>++Tabla4[[#This Row],[Precio Descontado]]*Tabla4[[#This Row],[Cantidad]]</f>
        <v>9856.5083419999992</v>
      </c>
      <c r="Q5121" s="282" t="e">
        <f>(INDEX(Tabla6[#All],MATCH(Tabla4[[#This Row],[Producto]],Tabla6[[#All],[PRODUCTO]],0),MATCH(Tabla4[[#This Row],[Mes]],Tabla6[#Headers],0)))</f>
        <v>#N/A</v>
      </c>
      <c r="R5121" s="282" t="e">
        <f>++Tabla4[[#This Row],[Precio Unitario Neto]]-Tabla4[[#This Row],[20.85%]]-Tabla4[[#This Row],[Costo]]</f>
        <v>#N/A</v>
      </c>
      <c r="S5121" s="282" t="e">
        <f>++Tabla4[[#This Row],[U. Bruta Uni]]*Tabla4[[#This Row],[Cantidad]]</f>
        <v>#N/A</v>
      </c>
      <c r="T5121" s="369" t="str">
        <f>VLOOKUP(Tabla4[[#This Row],[Producto]],Tabla6[#All],14,FALSE)</f>
        <v>Termico Solar</v>
      </c>
      <c r="U5121" s="284" t="e">
        <f>(IF(Tabla4[[#This Row],[Familia]]="termico solar",Tabla4[[#This Row],[Utilidad Total]]*6%,Tabla4[[#This Row],[Utilidad Total]]*11.5%))/Tabla4[[#This Row],[Total]]</f>
        <v>#N/A</v>
      </c>
      <c r="V5121" s="282" t="e">
        <f>+Tabla4[[#This Row],[Comisión Calculada]]*Tabla4[[#This Row],[Total]]</f>
        <v>#N/A</v>
      </c>
    </row>
    <row r="5122" spans="1:22" hidden="1" x14ac:dyDescent="0.25">
      <c r="A5122" s="100">
        <v>45869</v>
      </c>
      <c r="B5122" t="str">
        <f t="shared" ref="B5122:B5127" si="249">TEXT(A5122, "mmmm")</f>
        <v>July</v>
      </c>
      <c r="C5122" s="46" t="s">
        <v>280</v>
      </c>
      <c r="F5122" s="366" t="s">
        <v>2677</v>
      </c>
      <c r="G5122" s="46" t="s">
        <v>83</v>
      </c>
      <c r="H5122" s="46">
        <v>3</v>
      </c>
      <c r="I5122" s="51">
        <v>8858.76</v>
      </c>
      <c r="J5122" s="281">
        <f>++Tabla4[[#This Row],[Precio Bruto]]*1.16</f>
        <v>10276.161599999999</v>
      </c>
      <c r="K5122" s="281">
        <f>+Tabla4[[#This Row],[Precio Unitario Neto]]*Tabla4[[#Headers],[20.85%]]</f>
        <v>2142.5796935999997</v>
      </c>
      <c r="L5122" s="282">
        <f>++Tabla4[[#This Row],[Precio Unitario Neto]]-Tabla4[[#This Row],[20.85%]]</f>
        <v>8133.5819063999998</v>
      </c>
      <c r="M5122" s="282" t="e">
        <f>(INDEX(Tabla6[#All],MATCH(Tabla4[[#This Row],[Producto]],Tabla6[[#All],[PRODUCTO]],0),MATCH(Tabla4[[#This Row],[Mes]],Tabla6[#Headers],0)))*(1+Catalogos!$L$2)</f>
        <v>#N/A</v>
      </c>
      <c r="N5122" s="283" t="e">
        <f>+(Tabla4[[#This Row],[Precio Descontado]]-Tabla4[[#This Row],[Precio Base]])*Tabla4[[#This Row],[Cantidad]]</f>
        <v>#N/A</v>
      </c>
      <c r="O5122" s="284" t="e">
        <f>++Tabla4[[#This Row],[Utilidad Total]]/Tabla4[[#This Row],[Total]]</f>
        <v>#N/A</v>
      </c>
      <c r="P5122" s="282">
        <f>++Tabla4[[#This Row],[Precio Descontado]]*Tabla4[[#This Row],[Cantidad]]</f>
        <v>24400.7457192</v>
      </c>
      <c r="Q5122" s="282" t="e">
        <f>(INDEX(Tabla6[#All],MATCH(Tabla4[[#This Row],[Producto]],Tabla6[[#All],[PRODUCTO]],0),MATCH(Tabla4[[#This Row],[Mes]],Tabla6[#Headers],0)))</f>
        <v>#N/A</v>
      </c>
      <c r="R5122" s="282" t="e">
        <f>++Tabla4[[#This Row],[Precio Unitario Neto]]-Tabla4[[#This Row],[20.85%]]-Tabla4[[#This Row],[Costo]]</f>
        <v>#N/A</v>
      </c>
      <c r="S5122" s="282" t="e">
        <f>++Tabla4[[#This Row],[U. Bruta Uni]]*Tabla4[[#This Row],[Cantidad]]</f>
        <v>#N/A</v>
      </c>
      <c r="T5122" s="369" t="str">
        <f>VLOOKUP(Tabla4[[#This Row],[Producto]],Tabla6[#All],14,FALSE)</f>
        <v>Termico Solar</v>
      </c>
      <c r="U5122" s="284" t="e">
        <f>(IF(Tabla4[[#This Row],[Familia]]="termico solar",Tabla4[[#This Row],[Utilidad Total]]*6%,Tabla4[[#This Row],[Utilidad Total]]*11.5%))/Tabla4[[#This Row],[Total]]</f>
        <v>#N/A</v>
      </c>
      <c r="V5122" s="282" t="e">
        <f>+Tabla4[[#This Row],[Comisión Calculada]]*Tabla4[[#This Row],[Total]]</f>
        <v>#N/A</v>
      </c>
    </row>
    <row r="5123" spans="1:22" hidden="1" x14ac:dyDescent="0.25">
      <c r="A5123" s="100">
        <v>45869</v>
      </c>
      <c r="B5123" t="str">
        <f t="shared" si="249"/>
        <v>July</v>
      </c>
      <c r="C5123" s="46" t="s">
        <v>280</v>
      </c>
      <c r="F5123" s="366" t="s">
        <v>2677</v>
      </c>
      <c r="G5123" s="46" t="s">
        <v>17</v>
      </c>
      <c r="H5123" s="46">
        <v>2</v>
      </c>
      <c r="I5123" s="51">
        <v>4622.28</v>
      </c>
      <c r="J5123" s="281">
        <f>++Tabla4[[#This Row],[Precio Bruto]]*1.16</f>
        <v>5361.8447999999989</v>
      </c>
      <c r="K5123" s="281">
        <f>+Tabla4[[#This Row],[Precio Unitario Neto]]*Tabla4[[#Headers],[20.85%]]</f>
        <v>1117.9446407999997</v>
      </c>
      <c r="L5123" s="282">
        <f>++Tabla4[[#This Row],[Precio Unitario Neto]]-Tabla4[[#This Row],[20.85%]]</f>
        <v>4243.9001591999995</v>
      </c>
      <c r="M5123" s="282" t="e">
        <f>(INDEX(Tabla6[#All],MATCH(Tabla4[[#This Row],[Producto]],Tabla6[[#All],[PRODUCTO]],0),MATCH(Tabla4[[#This Row],[Mes]],Tabla6[#Headers],0)))*(1+Catalogos!$L$2)</f>
        <v>#N/A</v>
      </c>
      <c r="N5123" s="283" t="e">
        <f>+(Tabla4[[#This Row],[Precio Descontado]]-Tabla4[[#This Row],[Precio Base]])*Tabla4[[#This Row],[Cantidad]]</f>
        <v>#N/A</v>
      </c>
      <c r="O5123" s="284" t="e">
        <f>++Tabla4[[#This Row],[Utilidad Total]]/Tabla4[[#This Row],[Total]]</f>
        <v>#N/A</v>
      </c>
      <c r="P5123" s="282">
        <f>++Tabla4[[#This Row],[Precio Descontado]]*Tabla4[[#This Row],[Cantidad]]</f>
        <v>8487.800318399999</v>
      </c>
      <c r="Q5123" s="282" t="e">
        <f>(INDEX(Tabla6[#All],MATCH(Tabla4[[#This Row],[Producto]],Tabla6[[#All],[PRODUCTO]],0),MATCH(Tabla4[[#This Row],[Mes]],Tabla6[#Headers],0)))</f>
        <v>#N/A</v>
      </c>
      <c r="R5123" s="282" t="e">
        <f>++Tabla4[[#This Row],[Precio Unitario Neto]]-Tabla4[[#This Row],[20.85%]]-Tabla4[[#This Row],[Costo]]</f>
        <v>#N/A</v>
      </c>
      <c r="S5123" s="282" t="e">
        <f>++Tabla4[[#This Row],[U. Bruta Uni]]*Tabla4[[#This Row],[Cantidad]]</f>
        <v>#N/A</v>
      </c>
      <c r="T5123" s="369" t="str">
        <f>VLOOKUP(Tabla4[[#This Row],[Producto]],Tabla6[#All],14,FALSE)</f>
        <v>Termico Solar</v>
      </c>
      <c r="U5123" s="284" t="e">
        <f>(IF(Tabla4[[#This Row],[Familia]]="termico solar",Tabla4[[#This Row],[Utilidad Total]]*6%,Tabla4[[#This Row],[Utilidad Total]]*11.5%))/Tabla4[[#This Row],[Total]]</f>
        <v>#N/A</v>
      </c>
      <c r="V5123" s="282" t="e">
        <f>+Tabla4[[#This Row],[Comisión Calculada]]*Tabla4[[#This Row],[Total]]</f>
        <v>#N/A</v>
      </c>
    </row>
    <row r="5124" spans="1:22" hidden="1" x14ac:dyDescent="0.25">
      <c r="A5124" s="100">
        <v>45869</v>
      </c>
      <c r="B5124" t="str">
        <f t="shared" si="249"/>
        <v>July</v>
      </c>
      <c r="C5124" s="46" t="s">
        <v>280</v>
      </c>
      <c r="F5124" s="366" t="s">
        <v>2677</v>
      </c>
      <c r="G5124" s="46" t="s">
        <v>18</v>
      </c>
      <c r="H5124" s="46">
        <v>3</v>
      </c>
      <c r="I5124" s="51">
        <v>5367.6500000000005</v>
      </c>
      <c r="J5124" s="281">
        <f>++Tabla4[[#This Row],[Precio Bruto]]*1.16</f>
        <v>6226.4740000000002</v>
      </c>
      <c r="K5124" s="281">
        <f>+Tabla4[[#This Row],[Precio Unitario Neto]]*Tabla4[[#Headers],[20.85%]]</f>
        <v>1298.2198289999999</v>
      </c>
      <c r="L5124" s="282">
        <f>++Tabla4[[#This Row],[Precio Unitario Neto]]-Tabla4[[#This Row],[20.85%]]</f>
        <v>4928.2541710000005</v>
      </c>
      <c r="M5124" s="282" t="e">
        <f>(INDEX(Tabla6[#All],MATCH(Tabla4[[#This Row],[Producto]],Tabla6[[#All],[PRODUCTO]],0),MATCH(Tabla4[[#This Row],[Mes]],Tabla6[#Headers],0)))*(1+Catalogos!$L$2)</f>
        <v>#N/A</v>
      </c>
      <c r="N5124" s="283" t="e">
        <f>+(Tabla4[[#This Row],[Precio Descontado]]-Tabla4[[#This Row],[Precio Base]])*Tabla4[[#This Row],[Cantidad]]</f>
        <v>#N/A</v>
      </c>
      <c r="O5124" s="284" t="e">
        <f>++Tabla4[[#This Row],[Utilidad Total]]/Tabla4[[#This Row],[Total]]</f>
        <v>#N/A</v>
      </c>
      <c r="P5124" s="282">
        <f>++Tabla4[[#This Row],[Precio Descontado]]*Tabla4[[#This Row],[Cantidad]]</f>
        <v>14784.762513000001</v>
      </c>
      <c r="Q5124" s="282" t="e">
        <f>(INDEX(Tabla6[#All],MATCH(Tabla4[[#This Row],[Producto]],Tabla6[[#All],[PRODUCTO]],0),MATCH(Tabla4[[#This Row],[Mes]],Tabla6[#Headers],0)))</f>
        <v>#N/A</v>
      </c>
      <c r="R5124" s="282" t="e">
        <f>++Tabla4[[#This Row],[Precio Unitario Neto]]-Tabla4[[#This Row],[20.85%]]-Tabla4[[#This Row],[Costo]]</f>
        <v>#N/A</v>
      </c>
      <c r="S5124" s="282" t="e">
        <f>++Tabla4[[#This Row],[U. Bruta Uni]]*Tabla4[[#This Row],[Cantidad]]</f>
        <v>#N/A</v>
      </c>
      <c r="T5124" s="369" t="str">
        <f>VLOOKUP(Tabla4[[#This Row],[Producto]],Tabla6[#All],14,FALSE)</f>
        <v>Termico Solar</v>
      </c>
      <c r="U5124" s="284" t="e">
        <f>(IF(Tabla4[[#This Row],[Familia]]="termico solar",Tabla4[[#This Row],[Utilidad Total]]*6%,Tabla4[[#This Row],[Utilidad Total]]*11.5%))/Tabla4[[#This Row],[Total]]</f>
        <v>#N/A</v>
      </c>
      <c r="V5124" s="282" t="e">
        <f>+Tabla4[[#This Row],[Comisión Calculada]]*Tabla4[[#This Row],[Total]]</f>
        <v>#N/A</v>
      </c>
    </row>
    <row r="5125" spans="1:22" hidden="1" x14ac:dyDescent="0.25">
      <c r="A5125" s="100">
        <v>45869</v>
      </c>
      <c r="B5125" t="str">
        <f t="shared" si="249"/>
        <v>July</v>
      </c>
      <c r="C5125" s="46" t="s">
        <v>280</v>
      </c>
      <c r="F5125" s="366" t="s">
        <v>2677</v>
      </c>
      <c r="G5125" s="46" t="s">
        <v>566</v>
      </c>
      <c r="H5125" s="46">
        <v>1</v>
      </c>
      <c r="I5125" s="51">
        <v>2109.4499999999998</v>
      </c>
      <c r="J5125" s="281">
        <f>++Tabla4[[#This Row],[Precio Bruto]]*1.16</f>
        <v>2446.9619999999995</v>
      </c>
      <c r="K5125" s="281">
        <f>+Tabla4[[#This Row],[Precio Unitario Neto]]*Tabla4[[#Headers],[20.85%]]</f>
        <v>510.19157699999988</v>
      </c>
      <c r="L5125" s="282">
        <f>++Tabla4[[#This Row],[Precio Unitario Neto]]-Tabla4[[#This Row],[20.85%]]</f>
        <v>1936.7704229999997</v>
      </c>
      <c r="M5125" s="282" t="e">
        <f>(INDEX(Tabla6[#All],MATCH(Tabla4[[#This Row],[Producto]],Tabla6[[#All],[PRODUCTO]],0),MATCH(Tabla4[[#This Row],[Mes]],Tabla6[#Headers],0)))*(1+Catalogos!$L$2)</f>
        <v>#N/A</v>
      </c>
      <c r="N5125" s="283" t="e">
        <f>+(Tabla4[[#This Row],[Precio Descontado]]-Tabla4[[#This Row],[Precio Base]])*Tabla4[[#This Row],[Cantidad]]</f>
        <v>#N/A</v>
      </c>
      <c r="O5125" s="284" t="e">
        <f>++Tabla4[[#This Row],[Utilidad Total]]/Tabla4[[#This Row],[Total]]</f>
        <v>#N/A</v>
      </c>
      <c r="P5125" s="282">
        <f>++Tabla4[[#This Row],[Precio Descontado]]*Tabla4[[#This Row],[Cantidad]]</f>
        <v>1936.7704229999997</v>
      </c>
      <c r="Q5125" s="282" t="e">
        <f>(INDEX(Tabla6[#All],MATCH(Tabla4[[#This Row],[Producto]],Tabla6[[#All],[PRODUCTO]],0),MATCH(Tabla4[[#This Row],[Mes]],Tabla6[#Headers],0)))</f>
        <v>#N/A</v>
      </c>
      <c r="R5125" s="282" t="e">
        <f>++Tabla4[[#This Row],[Precio Unitario Neto]]-Tabla4[[#This Row],[20.85%]]-Tabla4[[#This Row],[Costo]]</f>
        <v>#N/A</v>
      </c>
      <c r="S5125" s="282" t="e">
        <f>++Tabla4[[#This Row],[U. Bruta Uni]]*Tabla4[[#This Row],[Cantidad]]</f>
        <v>#N/A</v>
      </c>
      <c r="T5125" s="369" t="str">
        <f>VLOOKUP(Tabla4[[#This Row],[Producto]],Tabla6[#All],14,FALSE)</f>
        <v>Termico Solar</v>
      </c>
      <c r="U5125" s="284" t="e">
        <f>(IF(Tabla4[[#This Row],[Familia]]="termico solar",Tabla4[[#This Row],[Utilidad Total]]*6%,Tabla4[[#This Row],[Utilidad Total]]*11.5%))/Tabla4[[#This Row],[Total]]</f>
        <v>#N/A</v>
      </c>
      <c r="V5125" s="282" t="e">
        <f>+Tabla4[[#This Row],[Comisión Calculada]]*Tabla4[[#This Row],[Total]]</f>
        <v>#N/A</v>
      </c>
    </row>
    <row r="5126" spans="1:22" hidden="1" x14ac:dyDescent="0.25">
      <c r="A5126" s="100">
        <v>45869</v>
      </c>
      <c r="B5126" t="str">
        <f t="shared" si="249"/>
        <v>July</v>
      </c>
      <c r="C5126" s="46" t="s">
        <v>280</v>
      </c>
      <c r="F5126" s="366" t="s">
        <v>2677</v>
      </c>
      <c r="G5126" s="46" t="s">
        <v>16</v>
      </c>
      <c r="H5126" s="46">
        <v>2</v>
      </c>
      <c r="I5126" s="51">
        <v>4103.8500000000004</v>
      </c>
      <c r="J5126" s="281">
        <f>++Tabla4[[#This Row],[Precio Bruto]]*1.16</f>
        <v>4760.4660000000003</v>
      </c>
      <c r="K5126" s="281">
        <f>+Tabla4[[#This Row],[Precio Unitario Neto]]*Tabla4[[#Headers],[20.85%]]</f>
        <v>992.55716100000006</v>
      </c>
      <c r="L5126" s="282">
        <f>++Tabla4[[#This Row],[Precio Unitario Neto]]-Tabla4[[#This Row],[20.85%]]</f>
        <v>3767.9088390000002</v>
      </c>
      <c r="M5126" s="282" t="e">
        <f>(INDEX(Tabla6[#All],MATCH(Tabla4[[#This Row],[Producto]],Tabla6[[#All],[PRODUCTO]],0),MATCH(Tabla4[[#This Row],[Mes]],Tabla6[#Headers],0)))*(1+Catalogos!$L$2)</f>
        <v>#N/A</v>
      </c>
      <c r="N5126" s="283" t="e">
        <f>+(Tabla4[[#This Row],[Precio Descontado]]-Tabla4[[#This Row],[Precio Base]])*Tabla4[[#This Row],[Cantidad]]</f>
        <v>#N/A</v>
      </c>
      <c r="O5126" s="284" t="e">
        <f>++Tabla4[[#This Row],[Utilidad Total]]/Tabla4[[#This Row],[Total]]</f>
        <v>#N/A</v>
      </c>
      <c r="P5126" s="282">
        <f>++Tabla4[[#This Row],[Precio Descontado]]*Tabla4[[#This Row],[Cantidad]]</f>
        <v>7535.8176780000003</v>
      </c>
      <c r="Q5126" s="282" t="e">
        <f>(INDEX(Tabla6[#All],MATCH(Tabla4[[#This Row],[Producto]],Tabla6[[#All],[PRODUCTO]],0),MATCH(Tabla4[[#This Row],[Mes]],Tabla6[#Headers],0)))</f>
        <v>#N/A</v>
      </c>
      <c r="R5126" s="282" t="e">
        <f>++Tabla4[[#This Row],[Precio Unitario Neto]]-Tabla4[[#This Row],[20.85%]]-Tabla4[[#This Row],[Costo]]</f>
        <v>#N/A</v>
      </c>
      <c r="S5126" s="282" t="e">
        <f>++Tabla4[[#This Row],[U. Bruta Uni]]*Tabla4[[#This Row],[Cantidad]]</f>
        <v>#N/A</v>
      </c>
      <c r="T5126" s="369" t="str">
        <f>VLOOKUP(Tabla4[[#This Row],[Producto]],Tabla6[#All],14,FALSE)</f>
        <v>Termico Solar</v>
      </c>
      <c r="U5126" s="284" t="e">
        <f>(IF(Tabla4[[#This Row],[Familia]]="termico solar",Tabla4[[#This Row],[Utilidad Total]]*6%,Tabla4[[#This Row],[Utilidad Total]]*11.5%))/Tabla4[[#This Row],[Total]]</f>
        <v>#N/A</v>
      </c>
      <c r="V5126" s="282" t="e">
        <f>+Tabla4[[#This Row],[Comisión Calculada]]*Tabla4[[#This Row],[Total]]</f>
        <v>#N/A</v>
      </c>
    </row>
    <row r="5127" spans="1:22" hidden="1" x14ac:dyDescent="0.25">
      <c r="A5127" s="100">
        <v>45869</v>
      </c>
      <c r="B5127" t="str">
        <f t="shared" si="249"/>
        <v>July</v>
      </c>
      <c r="C5127" s="46" t="s">
        <v>280</v>
      </c>
      <c r="F5127" s="366" t="s">
        <v>2677</v>
      </c>
      <c r="G5127" s="46" t="s">
        <v>208</v>
      </c>
      <c r="H5127" s="46">
        <v>7</v>
      </c>
      <c r="I5127" s="51">
        <v>189.75</v>
      </c>
      <c r="J5127" s="281">
        <f>++Tabla4[[#This Row],[Precio Bruto]]*1.16</f>
        <v>220.10999999999999</v>
      </c>
      <c r="K5127" s="281">
        <f>+Tabla4[[#This Row],[Precio Unitario Neto]]*Tabla4[[#Headers],[20.85%]]</f>
        <v>45.892934999999994</v>
      </c>
      <c r="L5127" s="282">
        <f>++Tabla4[[#This Row],[Precio Unitario Neto]]-Tabla4[[#This Row],[20.85%]]</f>
        <v>174.21706499999999</v>
      </c>
      <c r="M5127" s="282" t="e">
        <f>(INDEX(Tabla6[#All],MATCH(Tabla4[[#This Row],[Producto]],Tabla6[[#All],[PRODUCTO]],0),MATCH(Tabla4[[#This Row],[Mes]],Tabla6[#Headers],0)))*(1+Catalogos!$L$2)</f>
        <v>#N/A</v>
      </c>
      <c r="N5127" s="283" t="e">
        <f>+(Tabla4[[#This Row],[Precio Descontado]]-Tabla4[[#This Row],[Precio Base]])*Tabla4[[#This Row],[Cantidad]]</f>
        <v>#N/A</v>
      </c>
      <c r="O5127" s="284" t="e">
        <f>++Tabla4[[#This Row],[Utilidad Total]]/Tabla4[[#This Row],[Total]]</f>
        <v>#N/A</v>
      </c>
      <c r="P5127" s="282">
        <f>++Tabla4[[#This Row],[Precio Descontado]]*Tabla4[[#This Row],[Cantidad]]</f>
        <v>1219.5194549999999</v>
      </c>
      <c r="Q5127" s="282" t="e">
        <f>(INDEX(Tabla6[#All],MATCH(Tabla4[[#This Row],[Producto]],Tabla6[[#All],[PRODUCTO]],0),MATCH(Tabla4[[#This Row],[Mes]],Tabla6[#Headers],0)))</f>
        <v>#N/A</v>
      </c>
      <c r="R5127" s="282" t="e">
        <f>++Tabla4[[#This Row],[Precio Unitario Neto]]-Tabla4[[#This Row],[20.85%]]-Tabla4[[#This Row],[Costo]]</f>
        <v>#N/A</v>
      </c>
      <c r="S5127" s="282" t="e">
        <f>++Tabla4[[#This Row],[U. Bruta Uni]]*Tabla4[[#This Row],[Cantidad]]</f>
        <v>#N/A</v>
      </c>
      <c r="T5127" s="369" t="str">
        <f>VLOOKUP(Tabla4[[#This Row],[Producto]],Tabla6[#All],14,FALSE)</f>
        <v>Termico Solar</v>
      </c>
      <c r="U5127" s="284" t="e">
        <f>(IF(Tabla4[[#This Row],[Familia]]="termico solar",Tabla4[[#This Row],[Utilidad Total]]*6%,Tabla4[[#This Row],[Utilidad Total]]*11.5%))/Tabla4[[#This Row],[Total]]</f>
        <v>#N/A</v>
      </c>
      <c r="V5127" s="282" t="e">
        <f>+Tabla4[[#This Row],[Comisión Calculada]]*Tabla4[[#This Row],[Total]]</f>
        <v>#N/A</v>
      </c>
    </row>
    <row r="5128" spans="1:22" hidden="1" x14ac:dyDescent="0.25">
      <c r="A5128" s="100">
        <v>45869</v>
      </c>
      <c r="B5128" t="str">
        <f t="shared" ref="B5128:B5173" si="250">TEXT(A5128, "mmmm")</f>
        <v>July</v>
      </c>
      <c r="C5128" s="46" t="s">
        <v>280</v>
      </c>
      <c r="F5128" s="366" t="s">
        <v>2678</v>
      </c>
      <c r="G5128" s="46" t="s">
        <v>83</v>
      </c>
      <c r="H5128" s="46">
        <v>1</v>
      </c>
      <c r="I5128" s="51">
        <v>8858.76</v>
      </c>
      <c r="J5128" s="281">
        <f>++Tabla4[[#This Row],[Precio Bruto]]*1.16</f>
        <v>10276.161599999999</v>
      </c>
      <c r="K5128" s="281">
        <f>+Tabla4[[#This Row],[Precio Unitario Neto]]*Tabla4[[#Headers],[20.85%]]</f>
        <v>2142.5796935999997</v>
      </c>
      <c r="L5128" s="282">
        <f>++Tabla4[[#This Row],[Precio Unitario Neto]]-Tabla4[[#This Row],[20.85%]]</f>
        <v>8133.5819063999998</v>
      </c>
      <c r="M5128" s="282" t="e">
        <f>(INDEX(Tabla6[#All],MATCH(Tabla4[[#This Row],[Producto]],Tabla6[[#All],[PRODUCTO]],0),MATCH(Tabla4[[#This Row],[Mes]],Tabla6[#Headers],0)))*(1+Catalogos!$L$2)</f>
        <v>#N/A</v>
      </c>
      <c r="N5128" s="283" t="e">
        <f>+(Tabla4[[#This Row],[Precio Descontado]]-Tabla4[[#This Row],[Precio Base]])*Tabla4[[#This Row],[Cantidad]]</f>
        <v>#N/A</v>
      </c>
      <c r="O5128" s="284" t="e">
        <f>++Tabla4[[#This Row],[Utilidad Total]]/Tabla4[[#This Row],[Total]]</f>
        <v>#N/A</v>
      </c>
      <c r="P5128" s="282">
        <f>++Tabla4[[#This Row],[Precio Descontado]]*Tabla4[[#This Row],[Cantidad]]</f>
        <v>8133.5819063999998</v>
      </c>
      <c r="Q5128" s="282" t="e">
        <f>(INDEX(Tabla6[#All],MATCH(Tabla4[[#This Row],[Producto]],Tabla6[[#All],[PRODUCTO]],0),MATCH(Tabla4[[#This Row],[Mes]],Tabla6[#Headers],0)))</f>
        <v>#N/A</v>
      </c>
      <c r="R5128" s="282" t="e">
        <f>++Tabla4[[#This Row],[Precio Unitario Neto]]-Tabla4[[#This Row],[20.85%]]-Tabla4[[#This Row],[Costo]]</f>
        <v>#N/A</v>
      </c>
      <c r="S5128" s="282" t="e">
        <f>++Tabla4[[#This Row],[U. Bruta Uni]]*Tabla4[[#This Row],[Cantidad]]</f>
        <v>#N/A</v>
      </c>
      <c r="T5128" s="369" t="str">
        <f>VLOOKUP(Tabla4[[#This Row],[Producto]],Tabla6[#All],14,FALSE)</f>
        <v>Termico Solar</v>
      </c>
      <c r="U5128" s="284" t="e">
        <f>(IF(Tabla4[[#This Row],[Familia]]="termico solar",Tabla4[[#This Row],[Utilidad Total]]*6%,Tabla4[[#This Row],[Utilidad Total]]*11.5%))/Tabla4[[#This Row],[Total]]</f>
        <v>#N/A</v>
      </c>
      <c r="V5128" s="282" t="e">
        <f>+Tabla4[[#This Row],[Comisión Calculada]]*Tabla4[[#This Row],[Total]]</f>
        <v>#N/A</v>
      </c>
    </row>
    <row r="5129" spans="1:22" hidden="1" x14ac:dyDescent="0.25">
      <c r="A5129" s="100">
        <v>45869</v>
      </c>
      <c r="B5129" t="str">
        <f t="shared" si="250"/>
        <v>July</v>
      </c>
      <c r="C5129" s="46" t="s">
        <v>280</v>
      </c>
      <c r="F5129" s="366" t="s">
        <v>2678</v>
      </c>
      <c r="G5129" s="46" t="s">
        <v>18</v>
      </c>
      <c r="H5129" s="46">
        <v>2</v>
      </c>
      <c r="I5129" s="51">
        <v>5367.65</v>
      </c>
      <c r="J5129" s="281">
        <f>++Tabla4[[#This Row],[Precio Bruto]]*1.16</f>
        <v>6226.4739999999993</v>
      </c>
      <c r="K5129" s="281">
        <f>+Tabla4[[#This Row],[Precio Unitario Neto]]*Tabla4[[#Headers],[20.85%]]</f>
        <v>1298.2198289999999</v>
      </c>
      <c r="L5129" s="282">
        <f>++Tabla4[[#This Row],[Precio Unitario Neto]]-Tabla4[[#This Row],[20.85%]]</f>
        <v>4928.2541709999996</v>
      </c>
      <c r="M5129" s="282" t="e">
        <f>(INDEX(Tabla6[#All],MATCH(Tabla4[[#This Row],[Producto]],Tabla6[[#All],[PRODUCTO]],0),MATCH(Tabla4[[#This Row],[Mes]],Tabla6[#Headers],0)))*(1+Catalogos!$L$2)</f>
        <v>#N/A</v>
      </c>
      <c r="N5129" s="283" t="e">
        <f>+(Tabla4[[#This Row],[Precio Descontado]]-Tabla4[[#This Row],[Precio Base]])*Tabla4[[#This Row],[Cantidad]]</f>
        <v>#N/A</v>
      </c>
      <c r="O5129" s="284" t="e">
        <f>++Tabla4[[#This Row],[Utilidad Total]]/Tabla4[[#This Row],[Total]]</f>
        <v>#N/A</v>
      </c>
      <c r="P5129" s="282">
        <f>++Tabla4[[#This Row],[Precio Descontado]]*Tabla4[[#This Row],[Cantidad]]</f>
        <v>9856.5083419999992</v>
      </c>
      <c r="Q5129" s="282" t="e">
        <f>(INDEX(Tabla6[#All],MATCH(Tabla4[[#This Row],[Producto]],Tabla6[[#All],[PRODUCTO]],0),MATCH(Tabla4[[#This Row],[Mes]],Tabla6[#Headers],0)))</f>
        <v>#N/A</v>
      </c>
      <c r="R5129" s="282" t="e">
        <f>++Tabla4[[#This Row],[Precio Unitario Neto]]-Tabla4[[#This Row],[20.85%]]-Tabla4[[#This Row],[Costo]]</f>
        <v>#N/A</v>
      </c>
      <c r="S5129" s="282" t="e">
        <f>++Tabla4[[#This Row],[U. Bruta Uni]]*Tabla4[[#This Row],[Cantidad]]</f>
        <v>#N/A</v>
      </c>
      <c r="T5129" s="369" t="str">
        <f>VLOOKUP(Tabla4[[#This Row],[Producto]],Tabla6[#All],14,FALSE)</f>
        <v>Termico Solar</v>
      </c>
      <c r="U5129" s="284" t="e">
        <f>(IF(Tabla4[[#This Row],[Familia]]="termico solar",Tabla4[[#This Row],[Utilidad Total]]*6%,Tabla4[[#This Row],[Utilidad Total]]*11.5%))/Tabla4[[#This Row],[Total]]</f>
        <v>#N/A</v>
      </c>
      <c r="V5129" s="282" t="e">
        <f>+Tabla4[[#This Row],[Comisión Calculada]]*Tabla4[[#This Row],[Total]]</f>
        <v>#N/A</v>
      </c>
    </row>
    <row r="5130" spans="1:22" hidden="1" x14ac:dyDescent="0.25">
      <c r="A5130" s="100">
        <v>45869</v>
      </c>
      <c r="B5130" t="str">
        <f t="shared" si="250"/>
        <v>July</v>
      </c>
      <c r="C5130" s="46" t="s">
        <v>280</v>
      </c>
      <c r="F5130" s="366" t="s">
        <v>2678</v>
      </c>
      <c r="G5130" s="46" t="s">
        <v>16</v>
      </c>
      <c r="H5130" s="46">
        <v>3</v>
      </c>
      <c r="I5130" s="51">
        <v>4103.8499999999995</v>
      </c>
      <c r="J5130" s="281">
        <f>++Tabla4[[#This Row],[Precio Bruto]]*1.16</f>
        <v>4760.4659999999994</v>
      </c>
      <c r="K5130" s="281">
        <f>+Tabla4[[#This Row],[Precio Unitario Neto]]*Tabla4[[#Headers],[20.85%]]</f>
        <v>992.55716099999984</v>
      </c>
      <c r="L5130" s="282">
        <f>++Tabla4[[#This Row],[Precio Unitario Neto]]-Tabla4[[#This Row],[20.85%]]</f>
        <v>3767.9088389999997</v>
      </c>
      <c r="M5130" s="282" t="e">
        <f>(INDEX(Tabla6[#All],MATCH(Tabla4[[#This Row],[Producto]],Tabla6[[#All],[PRODUCTO]],0),MATCH(Tabla4[[#This Row],[Mes]],Tabla6[#Headers],0)))*(1+Catalogos!$L$2)</f>
        <v>#N/A</v>
      </c>
      <c r="N5130" s="283" t="e">
        <f>+(Tabla4[[#This Row],[Precio Descontado]]-Tabla4[[#This Row],[Precio Base]])*Tabla4[[#This Row],[Cantidad]]</f>
        <v>#N/A</v>
      </c>
      <c r="O5130" s="284" t="e">
        <f>++Tabla4[[#This Row],[Utilidad Total]]/Tabla4[[#This Row],[Total]]</f>
        <v>#N/A</v>
      </c>
      <c r="P5130" s="282">
        <f>++Tabla4[[#This Row],[Precio Descontado]]*Tabla4[[#This Row],[Cantidad]]</f>
        <v>11303.726516999999</v>
      </c>
      <c r="Q5130" s="282" t="e">
        <f>(INDEX(Tabla6[#All],MATCH(Tabla4[[#This Row],[Producto]],Tabla6[[#All],[PRODUCTO]],0),MATCH(Tabla4[[#This Row],[Mes]],Tabla6[#Headers],0)))</f>
        <v>#N/A</v>
      </c>
      <c r="R5130" s="282" t="e">
        <f>++Tabla4[[#This Row],[Precio Unitario Neto]]-Tabla4[[#This Row],[20.85%]]-Tabla4[[#This Row],[Costo]]</f>
        <v>#N/A</v>
      </c>
      <c r="S5130" s="282" t="e">
        <f>++Tabla4[[#This Row],[U. Bruta Uni]]*Tabla4[[#This Row],[Cantidad]]</f>
        <v>#N/A</v>
      </c>
      <c r="T5130" s="369" t="str">
        <f>VLOOKUP(Tabla4[[#This Row],[Producto]],Tabla6[#All],14,FALSE)</f>
        <v>Termico Solar</v>
      </c>
      <c r="U5130" s="284" t="e">
        <f>(IF(Tabla4[[#This Row],[Familia]]="termico solar",Tabla4[[#This Row],[Utilidad Total]]*6%,Tabla4[[#This Row],[Utilidad Total]]*11.5%))/Tabla4[[#This Row],[Total]]</f>
        <v>#N/A</v>
      </c>
      <c r="V5130" s="282" t="e">
        <f>+Tabla4[[#This Row],[Comisión Calculada]]*Tabla4[[#This Row],[Total]]</f>
        <v>#N/A</v>
      </c>
    </row>
    <row r="5131" spans="1:22" hidden="1" x14ac:dyDescent="0.25">
      <c r="A5131" s="100">
        <v>45869</v>
      </c>
      <c r="B5131" t="str">
        <f t="shared" si="250"/>
        <v>July</v>
      </c>
      <c r="C5131" s="46" t="s">
        <v>280</v>
      </c>
      <c r="F5131" s="366" t="s">
        <v>2679</v>
      </c>
      <c r="G5131" s="46" t="s">
        <v>83</v>
      </c>
      <c r="H5131" s="46">
        <v>2</v>
      </c>
      <c r="I5131" s="51">
        <v>8858.76</v>
      </c>
      <c r="J5131" s="281">
        <f>++Tabla4[[#This Row],[Precio Bruto]]*1.16</f>
        <v>10276.161599999999</v>
      </c>
      <c r="K5131" s="281">
        <f>+Tabla4[[#This Row],[Precio Unitario Neto]]*Tabla4[[#Headers],[20.85%]]</f>
        <v>2142.5796935999997</v>
      </c>
      <c r="L5131" s="282">
        <f>++Tabla4[[#This Row],[Precio Unitario Neto]]-Tabla4[[#This Row],[20.85%]]</f>
        <v>8133.5819063999998</v>
      </c>
      <c r="M5131" s="282" t="e">
        <f>(INDEX(Tabla6[#All],MATCH(Tabla4[[#This Row],[Producto]],Tabla6[[#All],[PRODUCTO]],0),MATCH(Tabla4[[#This Row],[Mes]],Tabla6[#Headers],0)))*(1+Catalogos!$L$2)</f>
        <v>#N/A</v>
      </c>
      <c r="N5131" s="283" t="e">
        <f>+(Tabla4[[#This Row],[Precio Descontado]]-Tabla4[[#This Row],[Precio Base]])*Tabla4[[#This Row],[Cantidad]]</f>
        <v>#N/A</v>
      </c>
      <c r="O5131" s="284" t="e">
        <f>++Tabla4[[#This Row],[Utilidad Total]]/Tabla4[[#This Row],[Total]]</f>
        <v>#N/A</v>
      </c>
      <c r="P5131" s="282">
        <f>++Tabla4[[#This Row],[Precio Descontado]]*Tabla4[[#This Row],[Cantidad]]</f>
        <v>16267.1638128</v>
      </c>
      <c r="Q5131" s="282" t="e">
        <f>(INDEX(Tabla6[#All],MATCH(Tabla4[[#This Row],[Producto]],Tabla6[[#All],[PRODUCTO]],0),MATCH(Tabla4[[#This Row],[Mes]],Tabla6[#Headers],0)))</f>
        <v>#N/A</v>
      </c>
      <c r="R5131" s="282" t="e">
        <f>++Tabla4[[#This Row],[Precio Unitario Neto]]-Tabla4[[#This Row],[20.85%]]-Tabla4[[#This Row],[Costo]]</f>
        <v>#N/A</v>
      </c>
      <c r="S5131" s="282" t="e">
        <f>++Tabla4[[#This Row],[U. Bruta Uni]]*Tabla4[[#This Row],[Cantidad]]</f>
        <v>#N/A</v>
      </c>
      <c r="T5131" s="369" t="str">
        <f>VLOOKUP(Tabla4[[#This Row],[Producto]],Tabla6[#All],14,FALSE)</f>
        <v>Termico Solar</v>
      </c>
      <c r="U5131" s="284" t="e">
        <f>(IF(Tabla4[[#This Row],[Familia]]="termico solar",Tabla4[[#This Row],[Utilidad Total]]*6%,Tabla4[[#This Row],[Utilidad Total]]*11.5%))/Tabla4[[#This Row],[Total]]</f>
        <v>#N/A</v>
      </c>
      <c r="V5131" s="282" t="e">
        <f>+Tabla4[[#This Row],[Comisión Calculada]]*Tabla4[[#This Row],[Total]]</f>
        <v>#N/A</v>
      </c>
    </row>
    <row r="5132" spans="1:22" hidden="1" x14ac:dyDescent="0.25">
      <c r="A5132" s="100">
        <v>45869</v>
      </c>
      <c r="B5132" t="str">
        <f t="shared" si="250"/>
        <v>July</v>
      </c>
      <c r="C5132" s="46" t="s">
        <v>280</v>
      </c>
      <c r="F5132" s="366" t="s">
        <v>2679</v>
      </c>
      <c r="G5132" s="46" t="s">
        <v>566</v>
      </c>
      <c r="H5132" s="46">
        <v>2</v>
      </c>
      <c r="I5132" s="51">
        <v>2109.4499999999998</v>
      </c>
      <c r="J5132" s="281">
        <f>++Tabla4[[#This Row],[Precio Bruto]]*1.16</f>
        <v>2446.9619999999995</v>
      </c>
      <c r="K5132" s="281">
        <f>+Tabla4[[#This Row],[Precio Unitario Neto]]*Tabla4[[#Headers],[20.85%]]</f>
        <v>510.19157699999988</v>
      </c>
      <c r="L5132" s="282">
        <f>++Tabla4[[#This Row],[Precio Unitario Neto]]-Tabla4[[#This Row],[20.85%]]</f>
        <v>1936.7704229999997</v>
      </c>
      <c r="M5132" s="282" t="e">
        <f>(INDEX(Tabla6[#All],MATCH(Tabla4[[#This Row],[Producto]],Tabla6[[#All],[PRODUCTO]],0),MATCH(Tabla4[[#This Row],[Mes]],Tabla6[#Headers],0)))*(1+Catalogos!$L$2)</f>
        <v>#N/A</v>
      </c>
      <c r="N5132" s="283" t="e">
        <f>+(Tabla4[[#This Row],[Precio Descontado]]-Tabla4[[#This Row],[Precio Base]])*Tabla4[[#This Row],[Cantidad]]</f>
        <v>#N/A</v>
      </c>
      <c r="O5132" s="284" t="e">
        <f>++Tabla4[[#This Row],[Utilidad Total]]/Tabla4[[#This Row],[Total]]</f>
        <v>#N/A</v>
      </c>
      <c r="P5132" s="282">
        <f>++Tabla4[[#This Row],[Precio Descontado]]*Tabla4[[#This Row],[Cantidad]]</f>
        <v>3873.5408459999994</v>
      </c>
      <c r="Q5132" s="282" t="e">
        <f>(INDEX(Tabla6[#All],MATCH(Tabla4[[#This Row],[Producto]],Tabla6[[#All],[PRODUCTO]],0),MATCH(Tabla4[[#This Row],[Mes]],Tabla6[#Headers],0)))</f>
        <v>#N/A</v>
      </c>
      <c r="R5132" s="282" t="e">
        <f>++Tabla4[[#This Row],[Precio Unitario Neto]]-Tabla4[[#This Row],[20.85%]]-Tabla4[[#This Row],[Costo]]</f>
        <v>#N/A</v>
      </c>
      <c r="S5132" s="282" t="e">
        <f>++Tabla4[[#This Row],[U. Bruta Uni]]*Tabla4[[#This Row],[Cantidad]]</f>
        <v>#N/A</v>
      </c>
      <c r="T5132" s="369" t="str">
        <f>VLOOKUP(Tabla4[[#This Row],[Producto]],Tabla6[#All],14,FALSE)</f>
        <v>Termico Solar</v>
      </c>
      <c r="U5132" s="284" t="e">
        <f>(IF(Tabla4[[#This Row],[Familia]]="termico solar",Tabla4[[#This Row],[Utilidad Total]]*6%,Tabla4[[#This Row],[Utilidad Total]]*11.5%))/Tabla4[[#This Row],[Total]]</f>
        <v>#N/A</v>
      </c>
      <c r="V5132" s="282" t="e">
        <f>+Tabla4[[#This Row],[Comisión Calculada]]*Tabla4[[#This Row],[Total]]</f>
        <v>#N/A</v>
      </c>
    </row>
    <row r="5133" spans="1:22" hidden="1" x14ac:dyDescent="0.25">
      <c r="A5133" s="100">
        <v>45869</v>
      </c>
      <c r="B5133" t="str">
        <f t="shared" si="250"/>
        <v>July</v>
      </c>
      <c r="C5133" s="46" t="s">
        <v>280</v>
      </c>
      <c r="F5133" s="366" t="s">
        <v>2679</v>
      </c>
      <c r="G5133" s="46" t="s">
        <v>208</v>
      </c>
      <c r="H5133" s="46">
        <v>1</v>
      </c>
      <c r="I5133" s="51">
        <v>189.75</v>
      </c>
      <c r="J5133" s="281">
        <f>++Tabla4[[#This Row],[Precio Bruto]]*1.16</f>
        <v>220.10999999999999</v>
      </c>
      <c r="K5133" s="281">
        <f>+Tabla4[[#This Row],[Precio Unitario Neto]]*Tabla4[[#Headers],[20.85%]]</f>
        <v>45.892934999999994</v>
      </c>
      <c r="L5133" s="282">
        <f>++Tabla4[[#This Row],[Precio Unitario Neto]]-Tabla4[[#This Row],[20.85%]]</f>
        <v>174.21706499999999</v>
      </c>
      <c r="M5133" s="282" t="e">
        <f>(INDEX(Tabla6[#All],MATCH(Tabla4[[#This Row],[Producto]],Tabla6[[#All],[PRODUCTO]],0),MATCH(Tabla4[[#This Row],[Mes]],Tabla6[#Headers],0)))*(1+Catalogos!$L$2)</f>
        <v>#N/A</v>
      </c>
      <c r="N5133" s="283" t="e">
        <f>+(Tabla4[[#This Row],[Precio Descontado]]-Tabla4[[#This Row],[Precio Base]])*Tabla4[[#This Row],[Cantidad]]</f>
        <v>#N/A</v>
      </c>
      <c r="O5133" s="284" t="e">
        <f>++Tabla4[[#This Row],[Utilidad Total]]/Tabla4[[#This Row],[Total]]</f>
        <v>#N/A</v>
      </c>
      <c r="P5133" s="282">
        <f>++Tabla4[[#This Row],[Precio Descontado]]*Tabla4[[#This Row],[Cantidad]]</f>
        <v>174.21706499999999</v>
      </c>
      <c r="Q5133" s="282" t="e">
        <f>(INDEX(Tabla6[#All],MATCH(Tabla4[[#This Row],[Producto]],Tabla6[[#All],[PRODUCTO]],0),MATCH(Tabla4[[#This Row],[Mes]],Tabla6[#Headers],0)))</f>
        <v>#N/A</v>
      </c>
      <c r="R5133" s="282" t="e">
        <f>++Tabla4[[#This Row],[Precio Unitario Neto]]-Tabla4[[#This Row],[20.85%]]-Tabla4[[#This Row],[Costo]]</f>
        <v>#N/A</v>
      </c>
      <c r="S5133" s="282" t="e">
        <f>++Tabla4[[#This Row],[U. Bruta Uni]]*Tabla4[[#This Row],[Cantidad]]</f>
        <v>#N/A</v>
      </c>
      <c r="T5133" s="369" t="str">
        <f>VLOOKUP(Tabla4[[#This Row],[Producto]],Tabla6[#All],14,FALSE)</f>
        <v>Termico Solar</v>
      </c>
      <c r="U5133" s="284" t="e">
        <f>(IF(Tabla4[[#This Row],[Familia]]="termico solar",Tabla4[[#This Row],[Utilidad Total]]*6%,Tabla4[[#This Row],[Utilidad Total]]*11.5%))/Tabla4[[#This Row],[Total]]</f>
        <v>#N/A</v>
      </c>
      <c r="V5133" s="282" t="e">
        <f>+Tabla4[[#This Row],[Comisión Calculada]]*Tabla4[[#This Row],[Total]]</f>
        <v>#N/A</v>
      </c>
    </row>
    <row r="5134" spans="1:22" hidden="1" x14ac:dyDescent="0.25">
      <c r="A5134" s="100">
        <v>45869</v>
      </c>
      <c r="B5134" t="str">
        <f t="shared" si="250"/>
        <v>July</v>
      </c>
      <c r="C5134" s="46" t="s">
        <v>280</v>
      </c>
      <c r="F5134" s="366" t="s">
        <v>2680</v>
      </c>
      <c r="G5134" s="46" t="s">
        <v>83</v>
      </c>
      <c r="H5134" s="46">
        <v>5</v>
      </c>
      <c r="I5134" s="51">
        <v>8858.76</v>
      </c>
      <c r="J5134" s="281">
        <f>++Tabla4[[#This Row],[Precio Bruto]]*1.16</f>
        <v>10276.161599999999</v>
      </c>
      <c r="K5134" s="281">
        <f>+Tabla4[[#This Row],[Precio Unitario Neto]]*Tabla4[[#Headers],[20.85%]]</f>
        <v>2142.5796935999997</v>
      </c>
      <c r="L5134" s="282">
        <f>++Tabla4[[#This Row],[Precio Unitario Neto]]-Tabla4[[#This Row],[20.85%]]</f>
        <v>8133.5819063999998</v>
      </c>
      <c r="M5134" s="282" t="e">
        <f>(INDEX(Tabla6[#All],MATCH(Tabla4[[#This Row],[Producto]],Tabla6[[#All],[PRODUCTO]],0),MATCH(Tabla4[[#This Row],[Mes]],Tabla6[#Headers],0)))*(1+Catalogos!$L$2)</f>
        <v>#N/A</v>
      </c>
      <c r="N5134" s="283" t="e">
        <f>+(Tabla4[[#This Row],[Precio Descontado]]-Tabla4[[#This Row],[Precio Base]])*Tabla4[[#This Row],[Cantidad]]</f>
        <v>#N/A</v>
      </c>
      <c r="O5134" s="284" t="e">
        <f>++Tabla4[[#This Row],[Utilidad Total]]/Tabla4[[#This Row],[Total]]</f>
        <v>#N/A</v>
      </c>
      <c r="P5134" s="282">
        <f>++Tabla4[[#This Row],[Precio Descontado]]*Tabla4[[#This Row],[Cantidad]]</f>
        <v>40667.909531999998</v>
      </c>
      <c r="Q5134" s="282" t="e">
        <f>(INDEX(Tabla6[#All],MATCH(Tabla4[[#This Row],[Producto]],Tabla6[[#All],[PRODUCTO]],0),MATCH(Tabla4[[#This Row],[Mes]],Tabla6[#Headers],0)))</f>
        <v>#N/A</v>
      </c>
      <c r="R5134" s="282" t="e">
        <f>++Tabla4[[#This Row],[Precio Unitario Neto]]-Tabla4[[#This Row],[20.85%]]-Tabla4[[#This Row],[Costo]]</f>
        <v>#N/A</v>
      </c>
      <c r="S5134" s="282" t="e">
        <f>++Tabla4[[#This Row],[U. Bruta Uni]]*Tabla4[[#This Row],[Cantidad]]</f>
        <v>#N/A</v>
      </c>
      <c r="T5134" s="369" t="str">
        <f>VLOOKUP(Tabla4[[#This Row],[Producto]],Tabla6[#All],14,FALSE)</f>
        <v>Termico Solar</v>
      </c>
      <c r="U5134" s="284" t="e">
        <f>(IF(Tabla4[[#This Row],[Familia]]="termico solar",Tabla4[[#This Row],[Utilidad Total]]*6%,Tabla4[[#This Row],[Utilidad Total]]*11.5%))/Tabla4[[#This Row],[Total]]</f>
        <v>#N/A</v>
      </c>
      <c r="V5134" s="282" t="e">
        <f>+Tabla4[[#This Row],[Comisión Calculada]]*Tabla4[[#This Row],[Total]]</f>
        <v>#N/A</v>
      </c>
    </row>
    <row r="5135" spans="1:22" hidden="1" x14ac:dyDescent="0.25">
      <c r="A5135" s="100">
        <v>45869</v>
      </c>
      <c r="B5135" t="str">
        <f t="shared" si="250"/>
        <v>July</v>
      </c>
      <c r="C5135" s="46" t="s">
        <v>280</v>
      </c>
      <c r="F5135" s="366" t="s">
        <v>2681</v>
      </c>
      <c r="G5135" s="46" t="s">
        <v>83</v>
      </c>
      <c r="H5135" s="46">
        <v>2</v>
      </c>
      <c r="I5135" s="51">
        <v>8858.76</v>
      </c>
      <c r="J5135" s="281">
        <f>++Tabla4[[#This Row],[Precio Bruto]]*1.16</f>
        <v>10276.161599999999</v>
      </c>
      <c r="K5135" s="281">
        <f>+Tabla4[[#This Row],[Precio Unitario Neto]]*Tabla4[[#Headers],[20.85%]]</f>
        <v>2142.5796935999997</v>
      </c>
      <c r="L5135" s="282">
        <f>++Tabla4[[#This Row],[Precio Unitario Neto]]-Tabla4[[#This Row],[20.85%]]</f>
        <v>8133.5819063999998</v>
      </c>
      <c r="M5135" s="282" t="e">
        <f>(INDEX(Tabla6[#All],MATCH(Tabla4[[#This Row],[Producto]],Tabla6[[#All],[PRODUCTO]],0),MATCH(Tabla4[[#This Row],[Mes]],Tabla6[#Headers],0)))*(1+Catalogos!$L$2)</f>
        <v>#N/A</v>
      </c>
      <c r="N5135" s="283" t="e">
        <f>+(Tabla4[[#This Row],[Precio Descontado]]-Tabla4[[#This Row],[Precio Base]])*Tabla4[[#This Row],[Cantidad]]</f>
        <v>#N/A</v>
      </c>
      <c r="O5135" s="284" t="e">
        <f>++Tabla4[[#This Row],[Utilidad Total]]/Tabla4[[#This Row],[Total]]</f>
        <v>#N/A</v>
      </c>
      <c r="P5135" s="282">
        <f>++Tabla4[[#This Row],[Precio Descontado]]*Tabla4[[#This Row],[Cantidad]]</f>
        <v>16267.1638128</v>
      </c>
      <c r="Q5135" s="282" t="e">
        <f>(INDEX(Tabla6[#All],MATCH(Tabla4[[#This Row],[Producto]],Tabla6[[#All],[PRODUCTO]],0),MATCH(Tabla4[[#This Row],[Mes]],Tabla6[#Headers],0)))</f>
        <v>#N/A</v>
      </c>
      <c r="R5135" s="282" t="e">
        <f>++Tabla4[[#This Row],[Precio Unitario Neto]]-Tabla4[[#This Row],[20.85%]]-Tabla4[[#This Row],[Costo]]</f>
        <v>#N/A</v>
      </c>
      <c r="S5135" s="282" t="e">
        <f>++Tabla4[[#This Row],[U. Bruta Uni]]*Tabla4[[#This Row],[Cantidad]]</f>
        <v>#N/A</v>
      </c>
      <c r="T5135" s="369" t="str">
        <f>VLOOKUP(Tabla4[[#This Row],[Producto]],Tabla6[#All],14,FALSE)</f>
        <v>Termico Solar</v>
      </c>
      <c r="U5135" s="284" t="e">
        <f>(IF(Tabla4[[#This Row],[Familia]]="termico solar",Tabla4[[#This Row],[Utilidad Total]]*6%,Tabla4[[#This Row],[Utilidad Total]]*11.5%))/Tabla4[[#This Row],[Total]]</f>
        <v>#N/A</v>
      </c>
      <c r="V5135" s="282" t="e">
        <f>+Tabla4[[#This Row],[Comisión Calculada]]*Tabla4[[#This Row],[Total]]</f>
        <v>#N/A</v>
      </c>
    </row>
    <row r="5136" spans="1:22" hidden="1" x14ac:dyDescent="0.25">
      <c r="A5136" s="100">
        <v>45869</v>
      </c>
      <c r="B5136" t="str">
        <f t="shared" si="250"/>
        <v>July</v>
      </c>
      <c r="C5136" s="46" t="s">
        <v>280</v>
      </c>
      <c r="F5136" s="366" t="s">
        <v>2681</v>
      </c>
      <c r="G5136" s="46" t="s">
        <v>19</v>
      </c>
      <c r="H5136" s="46">
        <v>1</v>
      </c>
      <c r="I5136" s="51">
        <v>6412.03</v>
      </c>
      <c r="J5136" s="281">
        <f>++Tabla4[[#This Row],[Precio Bruto]]*1.16</f>
        <v>7437.9547999999995</v>
      </c>
      <c r="K5136" s="281">
        <f>+Tabla4[[#This Row],[Precio Unitario Neto]]*Tabla4[[#Headers],[20.85%]]</f>
        <v>1550.8135757999999</v>
      </c>
      <c r="L5136" s="282">
        <f>++Tabla4[[#This Row],[Precio Unitario Neto]]-Tabla4[[#This Row],[20.85%]]</f>
        <v>5887.1412241999997</v>
      </c>
      <c r="M5136" s="282" t="e">
        <f>(INDEX(Tabla6[#All],MATCH(Tabla4[[#This Row],[Producto]],Tabla6[[#All],[PRODUCTO]],0),MATCH(Tabla4[[#This Row],[Mes]],Tabla6[#Headers],0)))*(1+Catalogos!$L$2)</f>
        <v>#N/A</v>
      </c>
      <c r="N5136" s="283" t="e">
        <f>+(Tabla4[[#This Row],[Precio Descontado]]-Tabla4[[#This Row],[Precio Base]])*Tabla4[[#This Row],[Cantidad]]</f>
        <v>#N/A</v>
      </c>
      <c r="O5136" s="284" t="e">
        <f>++Tabla4[[#This Row],[Utilidad Total]]/Tabla4[[#This Row],[Total]]</f>
        <v>#N/A</v>
      </c>
      <c r="P5136" s="282">
        <f>++Tabla4[[#This Row],[Precio Descontado]]*Tabla4[[#This Row],[Cantidad]]</f>
        <v>5887.1412241999997</v>
      </c>
      <c r="Q5136" s="282" t="e">
        <f>(INDEX(Tabla6[#All],MATCH(Tabla4[[#This Row],[Producto]],Tabla6[[#All],[PRODUCTO]],0),MATCH(Tabla4[[#This Row],[Mes]],Tabla6[#Headers],0)))</f>
        <v>#N/A</v>
      </c>
      <c r="R5136" s="282" t="e">
        <f>++Tabla4[[#This Row],[Precio Unitario Neto]]-Tabla4[[#This Row],[20.85%]]-Tabla4[[#This Row],[Costo]]</f>
        <v>#N/A</v>
      </c>
      <c r="S5136" s="282" t="e">
        <f>++Tabla4[[#This Row],[U. Bruta Uni]]*Tabla4[[#This Row],[Cantidad]]</f>
        <v>#N/A</v>
      </c>
      <c r="T5136" s="369" t="str">
        <f>VLOOKUP(Tabla4[[#This Row],[Producto]],Tabla6[#All],14,FALSE)</f>
        <v>Termico Solar</v>
      </c>
      <c r="U5136" s="284" t="e">
        <f>(IF(Tabla4[[#This Row],[Familia]]="termico solar",Tabla4[[#This Row],[Utilidad Total]]*6%,Tabla4[[#This Row],[Utilidad Total]]*11.5%))/Tabla4[[#This Row],[Total]]</f>
        <v>#N/A</v>
      </c>
      <c r="V5136" s="282" t="e">
        <f>+Tabla4[[#This Row],[Comisión Calculada]]*Tabla4[[#This Row],[Total]]</f>
        <v>#N/A</v>
      </c>
    </row>
    <row r="5137" spans="1:22" hidden="1" x14ac:dyDescent="0.25">
      <c r="A5137" s="100">
        <v>45869</v>
      </c>
      <c r="B5137" t="str">
        <f t="shared" si="250"/>
        <v>July</v>
      </c>
      <c r="C5137" s="46" t="s">
        <v>280</v>
      </c>
      <c r="F5137" s="366" t="s">
        <v>2681</v>
      </c>
      <c r="G5137" s="46" t="s">
        <v>16</v>
      </c>
      <c r="H5137" s="46">
        <v>1</v>
      </c>
      <c r="I5137" s="51">
        <v>4103.8500000000004</v>
      </c>
      <c r="J5137" s="281">
        <f>++Tabla4[[#This Row],[Precio Bruto]]*1.16</f>
        <v>4760.4660000000003</v>
      </c>
      <c r="K5137" s="281">
        <f>+Tabla4[[#This Row],[Precio Unitario Neto]]*Tabla4[[#Headers],[20.85%]]</f>
        <v>992.55716100000006</v>
      </c>
      <c r="L5137" s="282">
        <f>++Tabla4[[#This Row],[Precio Unitario Neto]]-Tabla4[[#This Row],[20.85%]]</f>
        <v>3767.9088390000002</v>
      </c>
      <c r="M5137" s="282" t="e">
        <f>(INDEX(Tabla6[#All],MATCH(Tabla4[[#This Row],[Producto]],Tabla6[[#All],[PRODUCTO]],0),MATCH(Tabla4[[#This Row],[Mes]],Tabla6[#Headers],0)))*(1+Catalogos!$L$2)</f>
        <v>#N/A</v>
      </c>
      <c r="N5137" s="283" t="e">
        <f>+(Tabla4[[#This Row],[Precio Descontado]]-Tabla4[[#This Row],[Precio Base]])*Tabla4[[#This Row],[Cantidad]]</f>
        <v>#N/A</v>
      </c>
      <c r="O5137" s="284" t="e">
        <f>++Tabla4[[#This Row],[Utilidad Total]]/Tabla4[[#This Row],[Total]]</f>
        <v>#N/A</v>
      </c>
      <c r="P5137" s="282">
        <f>++Tabla4[[#This Row],[Precio Descontado]]*Tabla4[[#This Row],[Cantidad]]</f>
        <v>3767.9088390000002</v>
      </c>
      <c r="Q5137" s="282" t="e">
        <f>(INDEX(Tabla6[#All],MATCH(Tabla4[[#This Row],[Producto]],Tabla6[[#All],[PRODUCTO]],0),MATCH(Tabla4[[#This Row],[Mes]],Tabla6[#Headers],0)))</f>
        <v>#N/A</v>
      </c>
      <c r="R5137" s="282" t="e">
        <f>++Tabla4[[#This Row],[Precio Unitario Neto]]-Tabla4[[#This Row],[20.85%]]-Tabla4[[#This Row],[Costo]]</f>
        <v>#N/A</v>
      </c>
      <c r="S5137" s="282" t="e">
        <f>++Tabla4[[#This Row],[U. Bruta Uni]]*Tabla4[[#This Row],[Cantidad]]</f>
        <v>#N/A</v>
      </c>
      <c r="T5137" s="369" t="str">
        <f>VLOOKUP(Tabla4[[#This Row],[Producto]],Tabla6[#All],14,FALSE)</f>
        <v>Termico Solar</v>
      </c>
      <c r="U5137" s="284" t="e">
        <f>(IF(Tabla4[[#This Row],[Familia]]="termico solar",Tabla4[[#This Row],[Utilidad Total]]*6%,Tabla4[[#This Row],[Utilidad Total]]*11.5%))/Tabla4[[#This Row],[Total]]</f>
        <v>#N/A</v>
      </c>
      <c r="V5137" s="282" t="e">
        <f>+Tabla4[[#This Row],[Comisión Calculada]]*Tabla4[[#This Row],[Total]]</f>
        <v>#N/A</v>
      </c>
    </row>
    <row r="5138" spans="1:22" hidden="1" x14ac:dyDescent="0.25">
      <c r="A5138" s="100">
        <v>45869</v>
      </c>
      <c r="B5138" t="str">
        <f t="shared" si="250"/>
        <v>July</v>
      </c>
      <c r="C5138" s="46" t="s">
        <v>280</v>
      </c>
      <c r="F5138" s="366" t="s">
        <v>2681</v>
      </c>
      <c r="G5138" s="46" t="s">
        <v>208</v>
      </c>
      <c r="H5138" s="46">
        <v>1</v>
      </c>
      <c r="I5138" s="51">
        <v>189.75</v>
      </c>
      <c r="J5138" s="281">
        <f>++Tabla4[[#This Row],[Precio Bruto]]*1.16</f>
        <v>220.10999999999999</v>
      </c>
      <c r="K5138" s="281">
        <f>+Tabla4[[#This Row],[Precio Unitario Neto]]*Tabla4[[#Headers],[20.85%]]</f>
        <v>45.892934999999994</v>
      </c>
      <c r="L5138" s="282">
        <f>++Tabla4[[#This Row],[Precio Unitario Neto]]-Tabla4[[#This Row],[20.85%]]</f>
        <v>174.21706499999999</v>
      </c>
      <c r="M5138" s="282" t="e">
        <f>(INDEX(Tabla6[#All],MATCH(Tabla4[[#This Row],[Producto]],Tabla6[[#All],[PRODUCTO]],0),MATCH(Tabla4[[#This Row],[Mes]],Tabla6[#Headers],0)))*(1+Catalogos!$L$2)</f>
        <v>#N/A</v>
      </c>
      <c r="N5138" s="283" t="e">
        <f>+(Tabla4[[#This Row],[Precio Descontado]]-Tabla4[[#This Row],[Precio Base]])*Tabla4[[#This Row],[Cantidad]]</f>
        <v>#N/A</v>
      </c>
      <c r="O5138" s="284" t="e">
        <f>++Tabla4[[#This Row],[Utilidad Total]]/Tabla4[[#This Row],[Total]]</f>
        <v>#N/A</v>
      </c>
      <c r="P5138" s="282">
        <f>++Tabla4[[#This Row],[Precio Descontado]]*Tabla4[[#This Row],[Cantidad]]</f>
        <v>174.21706499999999</v>
      </c>
      <c r="Q5138" s="282" t="e">
        <f>(INDEX(Tabla6[#All],MATCH(Tabla4[[#This Row],[Producto]],Tabla6[[#All],[PRODUCTO]],0),MATCH(Tabla4[[#This Row],[Mes]],Tabla6[#Headers],0)))</f>
        <v>#N/A</v>
      </c>
      <c r="R5138" s="282" t="e">
        <f>++Tabla4[[#This Row],[Precio Unitario Neto]]-Tabla4[[#This Row],[20.85%]]-Tabla4[[#This Row],[Costo]]</f>
        <v>#N/A</v>
      </c>
      <c r="S5138" s="282" t="e">
        <f>++Tabla4[[#This Row],[U. Bruta Uni]]*Tabla4[[#This Row],[Cantidad]]</f>
        <v>#N/A</v>
      </c>
      <c r="T5138" s="369" t="str">
        <f>VLOOKUP(Tabla4[[#This Row],[Producto]],Tabla6[#All],14,FALSE)</f>
        <v>Termico Solar</v>
      </c>
      <c r="U5138" s="284" t="e">
        <f>(IF(Tabla4[[#This Row],[Familia]]="termico solar",Tabla4[[#This Row],[Utilidad Total]]*6%,Tabla4[[#This Row],[Utilidad Total]]*11.5%))/Tabla4[[#This Row],[Total]]</f>
        <v>#N/A</v>
      </c>
      <c r="V5138" s="282" t="e">
        <f>+Tabla4[[#This Row],[Comisión Calculada]]*Tabla4[[#This Row],[Total]]</f>
        <v>#N/A</v>
      </c>
    </row>
    <row r="5139" spans="1:22" hidden="1" x14ac:dyDescent="0.25">
      <c r="A5139" s="100">
        <v>45869</v>
      </c>
      <c r="B5139" t="str">
        <f t="shared" si="250"/>
        <v>July</v>
      </c>
      <c r="C5139" s="46" t="s">
        <v>280</v>
      </c>
      <c r="F5139" s="366" t="s">
        <v>2682</v>
      </c>
      <c r="G5139" s="46" t="s">
        <v>18</v>
      </c>
      <c r="H5139" s="46">
        <v>4</v>
      </c>
      <c r="I5139" s="51">
        <v>5367.65</v>
      </c>
      <c r="J5139" s="281">
        <f>++Tabla4[[#This Row],[Precio Bruto]]*1.16</f>
        <v>6226.4739999999993</v>
      </c>
      <c r="K5139" s="281">
        <f>+Tabla4[[#This Row],[Precio Unitario Neto]]*Tabla4[[#Headers],[20.85%]]</f>
        <v>1298.2198289999999</v>
      </c>
      <c r="L5139" s="282">
        <f>++Tabla4[[#This Row],[Precio Unitario Neto]]-Tabla4[[#This Row],[20.85%]]</f>
        <v>4928.2541709999996</v>
      </c>
      <c r="M5139" s="282" t="e">
        <f>(INDEX(Tabla6[#All],MATCH(Tabla4[[#This Row],[Producto]],Tabla6[[#All],[PRODUCTO]],0),MATCH(Tabla4[[#This Row],[Mes]],Tabla6[#Headers],0)))*(1+Catalogos!$L$2)</f>
        <v>#N/A</v>
      </c>
      <c r="N5139" s="283" t="e">
        <f>+(Tabla4[[#This Row],[Precio Descontado]]-Tabla4[[#This Row],[Precio Base]])*Tabla4[[#This Row],[Cantidad]]</f>
        <v>#N/A</v>
      </c>
      <c r="O5139" s="284" t="e">
        <f>++Tabla4[[#This Row],[Utilidad Total]]/Tabla4[[#This Row],[Total]]</f>
        <v>#N/A</v>
      </c>
      <c r="P5139" s="282">
        <f>++Tabla4[[#This Row],[Precio Descontado]]*Tabla4[[#This Row],[Cantidad]]</f>
        <v>19713.016683999998</v>
      </c>
      <c r="Q5139" s="282" t="e">
        <f>(INDEX(Tabla6[#All],MATCH(Tabla4[[#This Row],[Producto]],Tabla6[[#All],[PRODUCTO]],0),MATCH(Tabla4[[#This Row],[Mes]],Tabla6[#Headers],0)))</f>
        <v>#N/A</v>
      </c>
      <c r="R5139" s="282" t="e">
        <f>++Tabla4[[#This Row],[Precio Unitario Neto]]-Tabla4[[#This Row],[20.85%]]-Tabla4[[#This Row],[Costo]]</f>
        <v>#N/A</v>
      </c>
      <c r="S5139" s="282" t="e">
        <f>++Tabla4[[#This Row],[U. Bruta Uni]]*Tabla4[[#This Row],[Cantidad]]</f>
        <v>#N/A</v>
      </c>
      <c r="T5139" s="369" t="str">
        <f>VLOOKUP(Tabla4[[#This Row],[Producto]],Tabla6[#All],14,FALSE)</f>
        <v>Termico Solar</v>
      </c>
      <c r="U5139" s="284" t="e">
        <f>(IF(Tabla4[[#This Row],[Familia]]="termico solar",Tabla4[[#This Row],[Utilidad Total]]*6%,Tabla4[[#This Row],[Utilidad Total]]*11.5%))/Tabla4[[#This Row],[Total]]</f>
        <v>#N/A</v>
      </c>
      <c r="V5139" s="282" t="e">
        <f>+Tabla4[[#This Row],[Comisión Calculada]]*Tabla4[[#This Row],[Total]]</f>
        <v>#N/A</v>
      </c>
    </row>
    <row r="5140" spans="1:22" hidden="1" x14ac:dyDescent="0.25">
      <c r="A5140" s="100">
        <v>45869</v>
      </c>
      <c r="B5140" t="str">
        <f t="shared" si="250"/>
        <v>July</v>
      </c>
      <c r="C5140" s="46" t="s">
        <v>280</v>
      </c>
      <c r="F5140" s="366" t="s">
        <v>2682</v>
      </c>
      <c r="G5140" s="46" t="s">
        <v>566</v>
      </c>
      <c r="H5140" s="46">
        <v>2</v>
      </c>
      <c r="I5140" s="51">
        <v>2109.4499999999998</v>
      </c>
      <c r="J5140" s="281">
        <f>++Tabla4[[#This Row],[Precio Bruto]]*1.16</f>
        <v>2446.9619999999995</v>
      </c>
      <c r="K5140" s="281">
        <f>+Tabla4[[#This Row],[Precio Unitario Neto]]*Tabla4[[#Headers],[20.85%]]</f>
        <v>510.19157699999988</v>
      </c>
      <c r="L5140" s="282">
        <f>++Tabla4[[#This Row],[Precio Unitario Neto]]-Tabla4[[#This Row],[20.85%]]</f>
        <v>1936.7704229999997</v>
      </c>
      <c r="M5140" s="282" t="e">
        <f>(INDEX(Tabla6[#All],MATCH(Tabla4[[#This Row],[Producto]],Tabla6[[#All],[PRODUCTO]],0),MATCH(Tabla4[[#This Row],[Mes]],Tabla6[#Headers],0)))*(1+Catalogos!$L$2)</f>
        <v>#N/A</v>
      </c>
      <c r="N5140" s="283" t="e">
        <f>+(Tabla4[[#This Row],[Precio Descontado]]-Tabla4[[#This Row],[Precio Base]])*Tabla4[[#This Row],[Cantidad]]</f>
        <v>#N/A</v>
      </c>
      <c r="O5140" s="284" t="e">
        <f>++Tabla4[[#This Row],[Utilidad Total]]/Tabla4[[#This Row],[Total]]</f>
        <v>#N/A</v>
      </c>
      <c r="P5140" s="282">
        <f>++Tabla4[[#This Row],[Precio Descontado]]*Tabla4[[#This Row],[Cantidad]]</f>
        <v>3873.5408459999994</v>
      </c>
      <c r="Q5140" s="282" t="e">
        <f>(INDEX(Tabla6[#All],MATCH(Tabla4[[#This Row],[Producto]],Tabla6[[#All],[PRODUCTO]],0),MATCH(Tabla4[[#This Row],[Mes]],Tabla6[#Headers],0)))</f>
        <v>#N/A</v>
      </c>
      <c r="R5140" s="282" t="e">
        <f>++Tabla4[[#This Row],[Precio Unitario Neto]]-Tabla4[[#This Row],[20.85%]]-Tabla4[[#This Row],[Costo]]</f>
        <v>#N/A</v>
      </c>
      <c r="S5140" s="282" t="e">
        <f>++Tabla4[[#This Row],[U. Bruta Uni]]*Tabla4[[#This Row],[Cantidad]]</f>
        <v>#N/A</v>
      </c>
      <c r="T5140" s="369" t="str">
        <f>VLOOKUP(Tabla4[[#This Row],[Producto]],Tabla6[#All],14,FALSE)</f>
        <v>Termico Solar</v>
      </c>
      <c r="U5140" s="284" t="e">
        <f>(IF(Tabla4[[#This Row],[Familia]]="termico solar",Tabla4[[#This Row],[Utilidad Total]]*6%,Tabla4[[#This Row],[Utilidad Total]]*11.5%))/Tabla4[[#This Row],[Total]]</f>
        <v>#N/A</v>
      </c>
      <c r="V5140" s="282" t="e">
        <f>+Tabla4[[#This Row],[Comisión Calculada]]*Tabla4[[#This Row],[Total]]</f>
        <v>#N/A</v>
      </c>
    </row>
    <row r="5141" spans="1:22" hidden="1" x14ac:dyDescent="0.25">
      <c r="A5141" s="100">
        <v>45869</v>
      </c>
      <c r="B5141" t="str">
        <f t="shared" si="250"/>
        <v>July</v>
      </c>
      <c r="C5141" s="46" t="s">
        <v>280</v>
      </c>
      <c r="F5141" s="366" t="s">
        <v>2683</v>
      </c>
      <c r="G5141" s="46" t="s">
        <v>83</v>
      </c>
      <c r="H5141" s="46">
        <v>4</v>
      </c>
      <c r="I5141" s="51">
        <v>8858.76</v>
      </c>
      <c r="J5141" s="281">
        <f>++Tabla4[[#This Row],[Precio Bruto]]*1.16</f>
        <v>10276.161599999999</v>
      </c>
      <c r="K5141" s="281">
        <f>+Tabla4[[#This Row],[Precio Unitario Neto]]*Tabla4[[#Headers],[20.85%]]</f>
        <v>2142.5796935999997</v>
      </c>
      <c r="L5141" s="282">
        <f>++Tabla4[[#This Row],[Precio Unitario Neto]]-Tabla4[[#This Row],[20.85%]]</f>
        <v>8133.5819063999998</v>
      </c>
      <c r="M5141" s="282" t="e">
        <f>(INDEX(Tabla6[#All],MATCH(Tabla4[[#This Row],[Producto]],Tabla6[[#All],[PRODUCTO]],0),MATCH(Tabla4[[#This Row],[Mes]],Tabla6[#Headers],0)))*(1+Catalogos!$L$2)</f>
        <v>#N/A</v>
      </c>
      <c r="N5141" s="283" t="e">
        <f>+(Tabla4[[#This Row],[Precio Descontado]]-Tabla4[[#This Row],[Precio Base]])*Tabla4[[#This Row],[Cantidad]]</f>
        <v>#N/A</v>
      </c>
      <c r="O5141" s="284" t="e">
        <f>++Tabla4[[#This Row],[Utilidad Total]]/Tabla4[[#This Row],[Total]]</f>
        <v>#N/A</v>
      </c>
      <c r="P5141" s="282">
        <f>++Tabla4[[#This Row],[Precio Descontado]]*Tabla4[[#This Row],[Cantidad]]</f>
        <v>32534.327625599999</v>
      </c>
      <c r="Q5141" s="282" t="e">
        <f>(INDEX(Tabla6[#All],MATCH(Tabla4[[#This Row],[Producto]],Tabla6[[#All],[PRODUCTO]],0),MATCH(Tabla4[[#This Row],[Mes]],Tabla6[#Headers],0)))</f>
        <v>#N/A</v>
      </c>
      <c r="R5141" s="282" t="e">
        <f>++Tabla4[[#This Row],[Precio Unitario Neto]]-Tabla4[[#This Row],[20.85%]]-Tabla4[[#This Row],[Costo]]</f>
        <v>#N/A</v>
      </c>
      <c r="S5141" s="282" t="e">
        <f>++Tabla4[[#This Row],[U. Bruta Uni]]*Tabla4[[#This Row],[Cantidad]]</f>
        <v>#N/A</v>
      </c>
      <c r="T5141" s="369" t="str">
        <f>VLOOKUP(Tabla4[[#This Row],[Producto]],Tabla6[#All],14,FALSE)</f>
        <v>Termico Solar</v>
      </c>
      <c r="U5141" s="284" t="e">
        <f>(IF(Tabla4[[#This Row],[Familia]]="termico solar",Tabla4[[#This Row],[Utilidad Total]]*6%,Tabla4[[#This Row],[Utilidad Total]]*11.5%))/Tabla4[[#This Row],[Total]]</f>
        <v>#N/A</v>
      </c>
      <c r="V5141" s="282" t="e">
        <f>+Tabla4[[#This Row],[Comisión Calculada]]*Tabla4[[#This Row],[Total]]</f>
        <v>#N/A</v>
      </c>
    </row>
    <row r="5142" spans="1:22" hidden="1" x14ac:dyDescent="0.25">
      <c r="A5142" s="100">
        <v>45869</v>
      </c>
      <c r="B5142" t="str">
        <f t="shared" si="250"/>
        <v>July</v>
      </c>
      <c r="C5142" s="46" t="s">
        <v>280</v>
      </c>
      <c r="F5142" s="366" t="s">
        <v>2684</v>
      </c>
      <c r="G5142" s="46" t="s">
        <v>83</v>
      </c>
      <c r="H5142" s="46">
        <v>2</v>
      </c>
      <c r="I5142" s="51">
        <v>8858.76</v>
      </c>
      <c r="J5142" s="281">
        <f>++Tabla4[[#This Row],[Precio Bruto]]*1.16</f>
        <v>10276.161599999999</v>
      </c>
      <c r="K5142" s="281">
        <f>+Tabla4[[#This Row],[Precio Unitario Neto]]*Tabla4[[#Headers],[20.85%]]</f>
        <v>2142.5796935999997</v>
      </c>
      <c r="L5142" s="282">
        <f>++Tabla4[[#This Row],[Precio Unitario Neto]]-Tabla4[[#This Row],[20.85%]]</f>
        <v>8133.5819063999998</v>
      </c>
      <c r="M5142" s="282" t="e">
        <f>(INDEX(Tabla6[#All],MATCH(Tabla4[[#This Row],[Producto]],Tabla6[[#All],[PRODUCTO]],0),MATCH(Tabla4[[#This Row],[Mes]],Tabla6[#Headers],0)))*(1+Catalogos!$L$2)</f>
        <v>#N/A</v>
      </c>
      <c r="N5142" s="283" t="e">
        <f>+(Tabla4[[#This Row],[Precio Descontado]]-Tabla4[[#This Row],[Precio Base]])*Tabla4[[#This Row],[Cantidad]]</f>
        <v>#N/A</v>
      </c>
      <c r="O5142" s="284" t="e">
        <f>++Tabla4[[#This Row],[Utilidad Total]]/Tabla4[[#This Row],[Total]]</f>
        <v>#N/A</v>
      </c>
      <c r="P5142" s="282">
        <f>++Tabla4[[#This Row],[Precio Descontado]]*Tabla4[[#This Row],[Cantidad]]</f>
        <v>16267.1638128</v>
      </c>
      <c r="Q5142" s="282" t="e">
        <f>(INDEX(Tabla6[#All],MATCH(Tabla4[[#This Row],[Producto]],Tabla6[[#All],[PRODUCTO]],0),MATCH(Tabla4[[#This Row],[Mes]],Tabla6[#Headers],0)))</f>
        <v>#N/A</v>
      </c>
      <c r="R5142" s="282" t="e">
        <f>++Tabla4[[#This Row],[Precio Unitario Neto]]-Tabla4[[#This Row],[20.85%]]-Tabla4[[#This Row],[Costo]]</f>
        <v>#N/A</v>
      </c>
      <c r="S5142" s="282" t="e">
        <f>++Tabla4[[#This Row],[U. Bruta Uni]]*Tabla4[[#This Row],[Cantidad]]</f>
        <v>#N/A</v>
      </c>
      <c r="T5142" s="369" t="str">
        <f>VLOOKUP(Tabla4[[#This Row],[Producto]],Tabla6[#All],14,FALSE)</f>
        <v>Termico Solar</v>
      </c>
      <c r="U5142" s="284" t="e">
        <f>(IF(Tabla4[[#This Row],[Familia]]="termico solar",Tabla4[[#This Row],[Utilidad Total]]*6%,Tabla4[[#This Row],[Utilidad Total]]*11.5%))/Tabla4[[#This Row],[Total]]</f>
        <v>#N/A</v>
      </c>
      <c r="V5142" s="282" t="e">
        <f>+Tabla4[[#This Row],[Comisión Calculada]]*Tabla4[[#This Row],[Total]]</f>
        <v>#N/A</v>
      </c>
    </row>
    <row r="5143" spans="1:22" hidden="1" x14ac:dyDescent="0.25">
      <c r="A5143" s="100">
        <v>45869</v>
      </c>
      <c r="B5143" t="str">
        <f t="shared" si="250"/>
        <v>July</v>
      </c>
      <c r="C5143" s="46" t="s">
        <v>280</v>
      </c>
      <c r="F5143" s="366" t="s">
        <v>2685</v>
      </c>
      <c r="G5143" s="46" t="s">
        <v>17</v>
      </c>
      <c r="H5143" s="46">
        <v>1</v>
      </c>
      <c r="I5143" s="51">
        <v>4622.28</v>
      </c>
      <c r="J5143" s="281">
        <f>++Tabla4[[#This Row],[Precio Bruto]]*1.16</f>
        <v>5361.8447999999989</v>
      </c>
      <c r="K5143" s="281">
        <f>+Tabla4[[#This Row],[Precio Unitario Neto]]*Tabla4[[#Headers],[20.85%]]</f>
        <v>1117.9446407999997</v>
      </c>
      <c r="L5143" s="282">
        <f>++Tabla4[[#This Row],[Precio Unitario Neto]]-Tabla4[[#This Row],[20.85%]]</f>
        <v>4243.9001591999995</v>
      </c>
      <c r="M5143" s="282" t="e">
        <f>(INDEX(Tabla6[#All],MATCH(Tabla4[[#This Row],[Producto]],Tabla6[[#All],[PRODUCTO]],0),MATCH(Tabla4[[#This Row],[Mes]],Tabla6[#Headers],0)))*(1+Catalogos!$L$2)</f>
        <v>#N/A</v>
      </c>
      <c r="N5143" s="283" t="e">
        <f>+(Tabla4[[#This Row],[Precio Descontado]]-Tabla4[[#This Row],[Precio Base]])*Tabla4[[#This Row],[Cantidad]]</f>
        <v>#N/A</v>
      </c>
      <c r="O5143" s="284" t="e">
        <f>++Tabla4[[#This Row],[Utilidad Total]]/Tabla4[[#This Row],[Total]]</f>
        <v>#N/A</v>
      </c>
      <c r="P5143" s="282">
        <f>++Tabla4[[#This Row],[Precio Descontado]]*Tabla4[[#This Row],[Cantidad]]</f>
        <v>4243.9001591999995</v>
      </c>
      <c r="Q5143" s="282" t="e">
        <f>(INDEX(Tabla6[#All],MATCH(Tabla4[[#This Row],[Producto]],Tabla6[[#All],[PRODUCTO]],0),MATCH(Tabla4[[#This Row],[Mes]],Tabla6[#Headers],0)))</f>
        <v>#N/A</v>
      </c>
      <c r="R5143" s="282" t="e">
        <f>++Tabla4[[#This Row],[Precio Unitario Neto]]-Tabla4[[#This Row],[20.85%]]-Tabla4[[#This Row],[Costo]]</f>
        <v>#N/A</v>
      </c>
      <c r="S5143" s="282" t="e">
        <f>++Tabla4[[#This Row],[U. Bruta Uni]]*Tabla4[[#This Row],[Cantidad]]</f>
        <v>#N/A</v>
      </c>
      <c r="T5143" s="369" t="str">
        <f>VLOOKUP(Tabla4[[#This Row],[Producto]],Tabla6[#All],14,FALSE)</f>
        <v>Termico Solar</v>
      </c>
      <c r="U5143" s="284" t="e">
        <f>(IF(Tabla4[[#This Row],[Familia]]="termico solar",Tabla4[[#This Row],[Utilidad Total]]*6%,Tabla4[[#This Row],[Utilidad Total]]*11.5%))/Tabla4[[#This Row],[Total]]</f>
        <v>#N/A</v>
      </c>
      <c r="V5143" s="282" t="e">
        <f>+Tabla4[[#This Row],[Comisión Calculada]]*Tabla4[[#This Row],[Total]]</f>
        <v>#N/A</v>
      </c>
    </row>
    <row r="5144" spans="1:22" hidden="1" x14ac:dyDescent="0.25">
      <c r="A5144" s="100">
        <v>45869</v>
      </c>
      <c r="B5144" t="str">
        <f t="shared" si="250"/>
        <v>July</v>
      </c>
      <c r="C5144" s="46" t="s">
        <v>280</v>
      </c>
      <c r="F5144" s="366" t="s">
        <v>2686</v>
      </c>
      <c r="G5144" s="46" t="s">
        <v>83</v>
      </c>
      <c r="H5144" s="46">
        <v>1</v>
      </c>
      <c r="I5144" s="51">
        <v>8858.76</v>
      </c>
      <c r="J5144" s="281">
        <f>++Tabla4[[#This Row],[Precio Bruto]]*1.16</f>
        <v>10276.161599999999</v>
      </c>
      <c r="K5144" s="281">
        <f>+Tabla4[[#This Row],[Precio Unitario Neto]]*Tabla4[[#Headers],[20.85%]]</f>
        <v>2142.5796935999997</v>
      </c>
      <c r="L5144" s="282">
        <f>++Tabla4[[#This Row],[Precio Unitario Neto]]-Tabla4[[#This Row],[20.85%]]</f>
        <v>8133.5819063999998</v>
      </c>
      <c r="M5144" s="282" t="e">
        <f>(INDEX(Tabla6[#All],MATCH(Tabla4[[#This Row],[Producto]],Tabla6[[#All],[PRODUCTO]],0),MATCH(Tabla4[[#This Row],[Mes]],Tabla6[#Headers],0)))*(1+Catalogos!$L$2)</f>
        <v>#N/A</v>
      </c>
      <c r="N5144" s="283" t="e">
        <f>+(Tabla4[[#This Row],[Precio Descontado]]-Tabla4[[#This Row],[Precio Base]])*Tabla4[[#This Row],[Cantidad]]</f>
        <v>#N/A</v>
      </c>
      <c r="O5144" s="284" t="e">
        <f>++Tabla4[[#This Row],[Utilidad Total]]/Tabla4[[#This Row],[Total]]</f>
        <v>#N/A</v>
      </c>
      <c r="P5144" s="282">
        <f>++Tabla4[[#This Row],[Precio Descontado]]*Tabla4[[#This Row],[Cantidad]]</f>
        <v>8133.5819063999998</v>
      </c>
      <c r="Q5144" s="282" t="e">
        <f>(INDEX(Tabla6[#All],MATCH(Tabla4[[#This Row],[Producto]],Tabla6[[#All],[PRODUCTO]],0),MATCH(Tabla4[[#This Row],[Mes]],Tabla6[#Headers],0)))</f>
        <v>#N/A</v>
      </c>
      <c r="R5144" s="282" t="e">
        <f>++Tabla4[[#This Row],[Precio Unitario Neto]]-Tabla4[[#This Row],[20.85%]]-Tabla4[[#This Row],[Costo]]</f>
        <v>#N/A</v>
      </c>
      <c r="S5144" s="282" t="e">
        <f>++Tabla4[[#This Row],[U. Bruta Uni]]*Tabla4[[#This Row],[Cantidad]]</f>
        <v>#N/A</v>
      </c>
      <c r="T5144" s="369" t="str">
        <f>VLOOKUP(Tabla4[[#This Row],[Producto]],Tabla6[#All],14,FALSE)</f>
        <v>Termico Solar</v>
      </c>
      <c r="U5144" s="284" t="e">
        <f>(IF(Tabla4[[#This Row],[Familia]]="termico solar",Tabla4[[#This Row],[Utilidad Total]]*6%,Tabla4[[#This Row],[Utilidad Total]]*11.5%))/Tabla4[[#This Row],[Total]]</f>
        <v>#N/A</v>
      </c>
      <c r="V5144" s="282" t="e">
        <f>+Tabla4[[#This Row],[Comisión Calculada]]*Tabla4[[#This Row],[Total]]</f>
        <v>#N/A</v>
      </c>
    </row>
    <row r="5145" spans="1:22" hidden="1" x14ac:dyDescent="0.25">
      <c r="A5145" s="100">
        <v>45869</v>
      </c>
      <c r="B5145" t="str">
        <f t="shared" si="250"/>
        <v>July</v>
      </c>
      <c r="C5145" s="46" t="s">
        <v>280</v>
      </c>
      <c r="F5145" s="366" t="s">
        <v>2686</v>
      </c>
      <c r="G5145" s="46" t="s">
        <v>17</v>
      </c>
      <c r="H5145" s="46">
        <v>1</v>
      </c>
      <c r="I5145" s="51">
        <v>4622.28</v>
      </c>
      <c r="J5145" s="281">
        <f>++Tabla4[[#This Row],[Precio Bruto]]*1.16</f>
        <v>5361.8447999999989</v>
      </c>
      <c r="K5145" s="281">
        <f>+Tabla4[[#This Row],[Precio Unitario Neto]]*Tabla4[[#Headers],[20.85%]]</f>
        <v>1117.9446407999997</v>
      </c>
      <c r="L5145" s="282">
        <f>++Tabla4[[#This Row],[Precio Unitario Neto]]-Tabla4[[#This Row],[20.85%]]</f>
        <v>4243.9001591999995</v>
      </c>
      <c r="M5145" s="282" t="e">
        <f>(INDEX(Tabla6[#All],MATCH(Tabla4[[#This Row],[Producto]],Tabla6[[#All],[PRODUCTO]],0),MATCH(Tabla4[[#This Row],[Mes]],Tabla6[#Headers],0)))*(1+Catalogos!$L$2)</f>
        <v>#N/A</v>
      </c>
      <c r="N5145" s="283" t="e">
        <f>+(Tabla4[[#This Row],[Precio Descontado]]-Tabla4[[#This Row],[Precio Base]])*Tabla4[[#This Row],[Cantidad]]</f>
        <v>#N/A</v>
      </c>
      <c r="O5145" s="284" t="e">
        <f>++Tabla4[[#This Row],[Utilidad Total]]/Tabla4[[#This Row],[Total]]</f>
        <v>#N/A</v>
      </c>
      <c r="P5145" s="282">
        <f>++Tabla4[[#This Row],[Precio Descontado]]*Tabla4[[#This Row],[Cantidad]]</f>
        <v>4243.9001591999995</v>
      </c>
      <c r="Q5145" s="282" t="e">
        <f>(INDEX(Tabla6[#All],MATCH(Tabla4[[#This Row],[Producto]],Tabla6[[#All],[PRODUCTO]],0),MATCH(Tabla4[[#This Row],[Mes]],Tabla6[#Headers],0)))</f>
        <v>#N/A</v>
      </c>
      <c r="R5145" s="282" t="e">
        <f>++Tabla4[[#This Row],[Precio Unitario Neto]]-Tabla4[[#This Row],[20.85%]]-Tabla4[[#This Row],[Costo]]</f>
        <v>#N/A</v>
      </c>
      <c r="S5145" s="282" t="e">
        <f>++Tabla4[[#This Row],[U. Bruta Uni]]*Tabla4[[#This Row],[Cantidad]]</f>
        <v>#N/A</v>
      </c>
      <c r="T5145" s="369" t="str">
        <f>VLOOKUP(Tabla4[[#This Row],[Producto]],Tabla6[#All],14,FALSE)</f>
        <v>Termico Solar</v>
      </c>
      <c r="U5145" s="284" t="e">
        <f>(IF(Tabla4[[#This Row],[Familia]]="termico solar",Tabla4[[#This Row],[Utilidad Total]]*6%,Tabla4[[#This Row],[Utilidad Total]]*11.5%))/Tabla4[[#This Row],[Total]]</f>
        <v>#N/A</v>
      </c>
      <c r="V5145" s="282" t="e">
        <f>+Tabla4[[#This Row],[Comisión Calculada]]*Tabla4[[#This Row],[Total]]</f>
        <v>#N/A</v>
      </c>
    </row>
    <row r="5146" spans="1:22" hidden="1" x14ac:dyDescent="0.25">
      <c r="A5146" s="100">
        <v>45869</v>
      </c>
      <c r="B5146" t="str">
        <f t="shared" si="250"/>
        <v>July</v>
      </c>
      <c r="C5146" s="46" t="s">
        <v>280</v>
      </c>
      <c r="F5146" s="366" t="s">
        <v>2686</v>
      </c>
      <c r="G5146" s="46" t="s">
        <v>18</v>
      </c>
      <c r="H5146" s="46">
        <v>1</v>
      </c>
      <c r="I5146" s="51">
        <v>5367.65</v>
      </c>
      <c r="J5146" s="281">
        <f>++Tabla4[[#This Row],[Precio Bruto]]*1.16</f>
        <v>6226.4739999999993</v>
      </c>
      <c r="K5146" s="281">
        <f>+Tabla4[[#This Row],[Precio Unitario Neto]]*Tabla4[[#Headers],[20.85%]]</f>
        <v>1298.2198289999999</v>
      </c>
      <c r="L5146" s="282">
        <f>++Tabla4[[#This Row],[Precio Unitario Neto]]-Tabla4[[#This Row],[20.85%]]</f>
        <v>4928.2541709999996</v>
      </c>
      <c r="M5146" s="282" t="e">
        <f>(INDEX(Tabla6[#All],MATCH(Tabla4[[#This Row],[Producto]],Tabla6[[#All],[PRODUCTO]],0),MATCH(Tabla4[[#This Row],[Mes]],Tabla6[#Headers],0)))*(1+Catalogos!$L$2)</f>
        <v>#N/A</v>
      </c>
      <c r="N5146" s="283" t="e">
        <f>+(Tabla4[[#This Row],[Precio Descontado]]-Tabla4[[#This Row],[Precio Base]])*Tabla4[[#This Row],[Cantidad]]</f>
        <v>#N/A</v>
      </c>
      <c r="O5146" s="284" t="e">
        <f>++Tabla4[[#This Row],[Utilidad Total]]/Tabla4[[#This Row],[Total]]</f>
        <v>#N/A</v>
      </c>
      <c r="P5146" s="282">
        <f>++Tabla4[[#This Row],[Precio Descontado]]*Tabla4[[#This Row],[Cantidad]]</f>
        <v>4928.2541709999996</v>
      </c>
      <c r="Q5146" s="282" t="e">
        <f>(INDEX(Tabla6[#All],MATCH(Tabla4[[#This Row],[Producto]],Tabla6[[#All],[PRODUCTO]],0),MATCH(Tabla4[[#This Row],[Mes]],Tabla6[#Headers],0)))</f>
        <v>#N/A</v>
      </c>
      <c r="R5146" s="282" t="e">
        <f>++Tabla4[[#This Row],[Precio Unitario Neto]]-Tabla4[[#This Row],[20.85%]]-Tabla4[[#This Row],[Costo]]</f>
        <v>#N/A</v>
      </c>
      <c r="S5146" s="282" t="e">
        <f>++Tabla4[[#This Row],[U. Bruta Uni]]*Tabla4[[#This Row],[Cantidad]]</f>
        <v>#N/A</v>
      </c>
      <c r="T5146" s="369" t="str">
        <f>VLOOKUP(Tabla4[[#This Row],[Producto]],Tabla6[#All],14,FALSE)</f>
        <v>Termico Solar</v>
      </c>
      <c r="U5146" s="284" t="e">
        <f>(IF(Tabla4[[#This Row],[Familia]]="termico solar",Tabla4[[#This Row],[Utilidad Total]]*6%,Tabla4[[#This Row],[Utilidad Total]]*11.5%))/Tabla4[[#This Row],[Total]]</f>
        <v>#N/A</v>
      </c>
      <c r="V5146" s="282" t="e">
        <f>+Tabla4[[#This Row],[Comisión Calculada]]*Tabla4[[#This Row],[Total]]</f>
        <v>#N/A</v>
      </c>
    </row>
    <row r="5147" spans="1:22" hidden="1" x14ac:dyDescent="0.25">
      <c r="A5147" s="100">
        <v>45869</v>
      </c>
      <c r="B5147" t="str">
        <f t="shared" si="250"/>
        <v>July</v>
      </c>
      <c r="C5147" s="46" t="s">
        <v>280</v>
      </c>
      <c r="F5147" s="366" t="s">
        <v>2686</v>
      </c>
      <c r="G5147" s="46" t="s">
        <v>16</v>
      </c>
      <c r="H5147" s="46">
        <v>2</v>
      </c>
      <c r="I5147" s="51">
        <v>4103.8500000000004</v>
      </c>
      <c r="J5147" s="281">
        <f>++Tabla4[[#This Row],[Precio Bruto]]*1.16</f>
        <v>4760.4660000000003</v>
      </c>
      <c r="K5147" s="281">
        <f>+Tabla4[[#This Row],[Precio Unitario Neto]]*Tabla4[[#Headers],[20.85%]]</f>
        <v>992.55716100000006</v>
      </c>
      <c r="L5147" s="282">
        <f>++Tabla4[[#This Row],[Precio Unitario Neto]]-Tabla4[[#This Row],[20.85%]]</f>
        <v>3767.9088390000002</v>
      </c>
      <c r="M5147" s="282" t="e">
        <f>(INDEX(Tabla6[#All],MATCH(Tabla4[[#This Row],[Producto]],Tabla6[[#All],[PRODUCTO]],0),MATCH(Tabla4[[#This Row],[Mes]],Tabla6[#Headers],0)))*(1+Catalogos!$L$2)</f>
        <v>#N/A</v>
      </c>
      <c r="N5147" s="283" t="e">
        <f>+(Tabla4[[#This Row],[Precio Descontado]]-Tabla4[[#This Row],[Precio Base]])*Tabla4[[#This Row],[Cantidad]]</f>
        <v>#N/A</v>
      </c>
      <c r="O5147" s="284" t="e">
        <f>++Tabla4[[#This Row],[Utilidad Total]]/Tabla4[[#This Row],[Total]]</f>
        <v>#N/A</v>
      </c>
      <c r="P5147" s="282">
        <f>++Tabla4[[#This Row],[Precio Descontado]]*Tabla4[[#This Row],[Cantidad]]</f>
        <v>7535.8176780000003</v>
      </c>
      <c r="Q5147" s="282" t="e">
        <f>(INDEX(Tabla6[#All],MATCH(Tabla4[[#This Row],[Producto]],Tabla6[[#All],[PRODUCTO]],0),MATCH(Tabla4[[#This Row],[Mes]],Tabla6[#Headers],0)))</f>
        <v>#N/A</v>
      </c>
      <c r="R5147" s="282" t="e">
        <f>++Tabla4[[#This Row],[Precio Unitario Neto]]-Tabla4[[#This Row],[20.85%]]-Tabla4[[#This Row],[Costo]]</f>
        <v>#N/A</v>
      </c>
      <c r="S5147" s="282" t="e">
        <f>++Tabla4[[#This Row],[U. Bruta Uni]]*Tabla4[[#This Row],[Cantidad]]</f>
        <v>#N/A</v>
      </c>
      <c r="T5147" s="369" t="str">
        <f>VLOOKUP(Tabla4[[#This Row],[Producto]],Tabla6[#All],14,FALSE)</f>
        <v>Termico Solar</v>
      </c>
      <c r="U5147" s="284" t="e">
        <f>(IF(Tabla4[[#This Row],[Familia]]="termico solar",Tabla4[[#This Row],[Utilidad Total]]*6%,Tabla4[[#This Row],[Utilidad Total]]*11.5%))/Tabla4[[#This Row],[Total]]</f>
        <v>#N/A</v>
      </c>
      <c r="V5147" s="282" t="e">
        <f>+Tabla4[[#This Row],[Comisión Calculada]]*Tabla4[[#This Row],[Total]]</f>
        <v>#N/A</v>
      </c>
    </row>
    <row r="5148" spans="1:22" hidden="1" x14ac:dyDescent="0.25">
      <c r="A5148" s="100">
        <v>45869</v>
      </c>
      <c r="B5148" t="str">
        <f t="shared" si="250"/>
        <v>July</v>
      </c>
      <c r="C5148" s="46" t="s">
        <v>280</v>
      </c>
      <c r="F5148" s="366" t="s">
        <v>2687</v>
      </c>
      <c r="G5148" s="46" t="s">
        <v>17</v>
      </c>
      <c r="H5148" s="46">
        <v>2</v>
      </c>
      <c r="I5148" s="51">
        <v>4622.28</v>
      </c>
      <c r="J5148" s="281">
        <f>++Tabla4[[#This Row],[Precio Bruto]]*1.16</f>
        <v>5361.8447999999989</v>
      </c>
      <c r="K5148" s="281">
        <f>+Tabla4[[#This Row],[Precio Unitario Neto]]*Tabla4[[#Headers],[20.85%]]</f>
        <v>1117.9446407999997</v>
      </c>
      <c r="L5148" s="282">
        <f>++Tabla4[[#This Row],[Precio Unitario Neto]]-Tabla4[[#This Row],[20.85%]]</f>
        <v>4243.9001591999995</v>
      </c>
      <c r="M5148" s="282" t="e">
        <f>(INDEX(Tabla6[#All],MATCH(Tabla4[[#This Row],[Producto]],Tabla6[[#All],[PRODUCTO]],0),MATCH(Tabla4[[#This Row],[Mes]],Tabla6[#Headers],0)))*(1+Catalogos!$L$2)</f>
        <v>#N/A</v>
      </c>
      <c r="N5148" s="283" t="e">
        <f>+(Tabla4[[#This Row],[Precio Descontado]]-Tabla4[[#This Row],[Precio Base]])*Tabla4[[#This Row],[Cantidad]]</f>
        <v>#N/A</v>
      </c>
      <c r="O5148" s="284" t="e">
        <f>++Tabla4[[#This Row],[Utilidad Total]]/Tabla4[[#This Row],[Total]]</f>
        <v>#N/A</v>
      </c>
      <c r="P5148" s="282">
        <f>++Tabla4[[#This Row],[Precio Descontado]]*Tabla4[[#This Row],[Cantidad]]</f>
        <v>8487.800318399999</v>
      </c>
      <c r="Q5148" s="282" t="e">
        <f>(INDEX(Tabla6[#All],MATCH(Tabla4[[#This Row],[Producto]],Tabla6[[#All],[PRODUCTO]],0),MATCH(Tabla4[[#This Row],[Mes]],Tabla6[#Headers],0)))</f>
        <v>#N/A</v>
      </c>
      <c r="R5148" s="282" t="e">
        <f>++Tabla4[[#This Row],[Precio Unitario Neto]]-Tabla4[[#This Row],[20.85%]]-Tabla4[[#This Row],[Costo]]</f>
        <v>#N/A</v>
      </c>
      <c r="S5148" s="282" t="e">
        <f>++Tabla4[[#This Row],[U. Bruta Uni]]*Tabla4[[#This Row],[Cantidad]]</f>
        <v>#N/A</v>
      </c>
      <c r="T5148" s="369" t="str">
        <f>VLOOKUP(Tabla4[[#This Row],[Producto]],Tabla6[#All],14,FALSE)</f>
        <v>Termico Solar</v>
      </c>
      <c r="U5148" s="284" t="e">
        <f>(IF(Tabla4[[#This Row],[Familia]]="termico solar",Tabla4[[#This Row],[Utilidad Total]]*6%,Tabla4[[#This Row],[Utilidad Total]]*11.5%))/Tabla4[[#This Row],[Total]]</f>
        <v>#N/A</v>
      </c>
      <c r="V5148" s="282" t="e">
        <f>+Tabla4[[#This Row],[Comisión Calculada]]*Tabla4[[#This Row],[Total]]</f>
        <v>#N/A</v>
      </c>
    </row>
    <row r="5149" spans="1:22" hidden="1" x14ac:dyDescent="0.25">
      <c r="A5149" s="100">
        <v>45869</v>
      </c>
      <c r="B5149" t="str">
        <f t="shared" si="250"/>
        <v>July</v>
      </c>
      <c r="C5149" s="46" t="s">
        <v>280</v>
      </c>
      <c r="F5149" s="366" t="s">
        <v>2687</v>
      </c>
      <c r="G5149" s="46" t="s">
        <v>16</v>
      </c>
      <c r="H5149" s="46">
        <v>1</v>
      </c>
      <c r="I5149" s="51">
        <v>4103.8500000000004</v>
      </c>
      <c r="J5149" s="281">
        <f>++Tabla4[[#This Row],[Precio Bruto]]*1.16</f>
        <v>4760.4660000000003</v>
      </c>
      <c r="K5149" s="281">
        <f>+Tabla4[[#This Row],[Precio Unitario Neto]]*Tabla4[[#Headers],[20.85%]]</f>
        <v>992.55716100000006</v>
      </c>
      <c r="L5149" s="282">
        <f>++Tabla4[[#This Row],[Precio Unitario Neto]]-Tabla4[[#This Row],[20.85%]]</f>
        <v>3767.9088390000002</v>
      </c>
      <c r="M5149" s="282" t="e">
        <f>(INDEX(Tabla6[#All],MATCH(Tabla4[[#This Row],[Producto]],Tabla6[[#All],[PRODUCTO]],0),MATCH(Tabla4[[#This Row],[Mes]],Tabla6[#Headers],0)))*(1+Catalogos!$L$2)</f>
        <v>#N/A</v>
      </c>
      <c r="N5149" s="283" t="e">
        <f>+(Tabla4[[#This Row],[Precio Descontado]]-Tabla4[[#This Row],[Precio Base]])*Tabla4[[#This Row],[Cantidad]]</f>
        <v>#N/A</v>
      </c>
      <c r="O5149" s="284" t="e">
        <f>++Tabla4[[#This Row],[Utilidad Total]]/Tabla4[[#This Row],[Total]]</f>
        <v>#N/A</v>
      </c>
      <c r="P5149" s="282">
        <f>++Tabla4[[#This Row],[Precio Descontado]]*Tabla4[[#This Row],[Cantidad]]</f>
        <v>3767.9088390000002</v>
      </c>
      <c r="Q5149" s="282" t="e">
        <f>(INDEX(Tabla6[#All],MATCH(Tabla4[[#This Row],[Producto]],Tabla6[[#All],[PRODUCTO]],0),MATCH(Tabla4[[#This Row],[Mes]],Tabla6[#Headers],0)))</f>
        <v>#N/A</v>
      </c>
      <c r="R5149" s="282" t="e">
        <f>++Tabla4[[#This Row],[Precio Unitario Neto]]-Tabla4[[#This Row],[20.85%]]-Tabla4[[#This Row],[Costo]]</f>
        <v>#N/A</v>
      </c>
      <c r="S5149" s="282" t="e">
        <f>++Tabla4[[#This Row],[U. Bruta Uni]]*Tabla4[[#This Row],[Cantidad]]</f>
        <v>#N/A</v>
      </c>
      <c r="T5149" s="369" t="str">
        <f>VLOOKUP(Tabla4[[#This Row],[Producto]],Tabla6[#All],14,FALSE)</f>
        <v>Termico Solar</v>
      </c>
      <c r="U5149" s="284" t="e">
        <f>(IF(Tabla4[[#This Row],[Familia]]="termico solar",Tabla4[[#This Row],[Utilidad Total]]*6%,Tabla4[[#This Row],[Utilidad Total]]*11.5%))/Tabla4[[#This Row],[Total]]</f>
        <v>#N/A</v>
      </c>
      <c r="V5149" s="282" t="e">
        <f>+Tabla4[[#This Row],[Comisión Calculada]]*Tabla4[[#This Row],[Total]]</f>
        <v>#N/A</v>
      </c>
    </row>
    <row r="5150" spans="1:22" hidden="1" x14ac:dyDescent="0.25">
      <c r="A5150" s="100">
        <v>45869</v>
      </c>
      <c r="B5150" t="str">
        <f t="shared" si="250"/>
        <v>July</v>
      </c>
      <c r="C5150" s="46" t="s">
        <v>280</v>
      </c>
      <c r="F5150" s="366" t="s">
        <v>2688</v>
      </c>
      <c r="G5150" s="46" t="s">
        <v>17</v>
      </c>
      <c r="H5150" s="46">
        <v>1</v>
      </c>
      <c r="I5150" s="51">
        <v>4622.28</v>
      </c>
      <c r="J5150" s="281">
        <f>++Tabla4[[#This Row],[Precio Bruto]]*1.16</f>
        <v>5361.8447999999989</v>
      </c>
      <c r="K5150" s="281">
        <f>+Tabla4[[#This Row],[Precio Unitario Neto]]*Tabla4[[#Headers],[20.85%]]</f>
        <v>1117.9446407999997</v>
      </c>
      <c r="L5150" s="282">
        <f>++Tabla4[[#This Row],[Precio Unitario Neto]]-Tabla4[[#This Row],[20.85%]]</f>
        <v>4243.9001591999995</v>
      </c>
      <c r="M5150" s="282" t="e">
        <f>(INDEX(Tabla6[#All],MATCH(Tabla4[[#This Row],[Producto]],Tabla6[[#All],[PRODUCTO]],0),MATCH(Tabla4[[#This Row],[Mes]],Tabla6[#Headers],0)))*(1+Catalogos!$L$2)</f>
        <v>#N/A</v>
      </c>
      <c r="N5150" s="283" t="e">
        <f>+(Tabla4[[#This Row],[Precio Descontado]]-Tabla4[[#This Row],[Precio Base]])*Tabla4[[#This Row],[Cantidad]]</f>
        <v>#N/A</v>
      </c>
      <c r="O5150" s="284" t="e">
        <f>++Tabla4[[#This Row],[Utilidad Total]]/Tabla4[[#This Row],[Total]]</f>
        <v>#N/A</v>
      </c>
      <c r="P5150" s="282">
        <f>++Tabla4[[#This Row],[Precio Descontado]]*Tabla4[[#This Row],[Cantidad]]</f>
        <v>4243.9001591999995</v>
      </c>
      <c r="Q5150" s="282" t="e">
        <f>(INDEX(Tabla6[#All],MATCH(Tabla4[[#This Row],[Producto]],Tabla6[[#All],[PRODUCTO]],0),MATCH(Tabla4[[#This Row],[Mes]],Tabla6[#Headers],0)))</f>
        <v>#N/A</v>
      </c>
      <c r="R5150" s="282" t="e">
        <f>++Tabla4[[#This Row],[Precio Unitario Neto]]-Tabla4[[#This Row],[20.85%]]-Tabla4[[#This Row],[Costo]]</f>
        <v>#N/A</v>
      </c>
      <c r="S5150" s="282" t="e">
        <f>++Tabla4[[#This Row],[U. Bruta Uni]]*Tabla4[[#This Row],[Cantidad]]</f>
        <v>#N/A</v>
      </c>
      <c r="T5150" s="369" t="str">
        <f>VLOOKUP(Tabla4[[#This Row],[Producto]],Tabla6[#All],14,FALSE)</f>
        <v>Termico Solar</v>
      </c>
      <c r="U5150" s="284" t="e">
        <f>(IF(Tabla4[[#This Row],[Familia]]="termico solar",Tabla4[[#This Row],[Utilidad Total]]*6%,Tabla4[[#This Row],[Utilidad Total]]*11.5%))/Tabla4[[#This Row],[Total]]</f>
        <v>#N/A</v>
      </c>
      <c r="V5150" s="282" t="e">
        <f>+Tabla4[[#This Row],[Comisión Calculada]]*Tabla4[[#This Row],[Total]]</f>
        <v>#N/A</v>
      </c>
    </row>
    <row r="5151" spans="1:22" hidden="1" x14ac:dyDescent="0.25">
      <c r="A5151" s="100">
        <v>45869</v>
      </c>
      <c r="B5151" t="str">
        <f t="shared" si="250"/>
        <v>July</v>
      </c>
      <c r="C5151" s="46" t="s">
        <v>280</v>
      </c>
      <c r="F5151" s="366" t="s">
        <v>2688</v>
      </c>
      <c r="G5151" s="46" t="s">
        <v>16</v>
      </c>
      <c r="H5151" s="46">
        <v>1</v>
      </c>
      <c r="I5151" s="51">
        <v>4103.8500000000004</v>
      </c>
      <c r="J5151" s="281">
        <f>++Tabla4[[#This Row],[Precio Bruto]]*1.16</f>
        <v>4760.4660000000003</v>
      </c>
      <c r="K5151" s="281">
        <f>+Tabla4[[#This Row],[Precio Unitario Neto]]*Tabla4[[#Headers],[20.85%]]</f>
        <v>992.55716100000006</v>
      </c>
      <c r="L5151" s="282">
        <f>++Tabla4[[#This Row],[Precio Unitario Neto]]-Tabla4[[#This Row],[20.85%]]</f>
        <v>3767.9088390000002</v>
      </c>
      <c r="M5151" s="282" t="e">
        <f>(INDEX(Tabla6[#All],MATCH(Tabla4[[#This Row],[Producto]],Tabla6[[#All],[PRODUCTO]],0),MATCH(Tabla4[[#This Row],[Mes]],Tabla6[#Headers],0)))*(1+Catalogos!$L$2)</f>
        <v>#N/A</v>
      </c>
      <c r="N5151" s="283" t="e">
        <f>+(Tabla4[[#This Row],[Precio Descontado]]-Tabla4[[#This Row],[Precio Base]])*Tabla4[[#This Row],[Cantidad]]</f>
        <v>#N/A</v>
      </c>
      <c r="O5151" s="284" t="e">
        <f>++Tabla4[[#This Row],[Utilidad Total]]/Tabla4[[#This Row],[Total]]</f>
        <v>#N/A</v>
      </c>
      <c r="P5151" s="282">
        <f>++Tabla4[[#This Row],[Precio Descontado]]*Tabla4[[#This Row],[Cantidad]]</f>
        <v>3767.9088390000002</v>
      </c>
      <c r="Q5151" s="282" t="e">
        <f>(INDEX(Tabla6[#All],MATCH(Tabla4[[#This Row],[Producto]],Tabla6[[#All],[PRODUCTO]],0),MATCH(Tabla4[[#This Row],[Mes]],Tabla6[#Headers],0)))</f>
        <v>#N/A</v>
      </c>
      <c r="R5151" s="282" t="e">
        <f>++Tabla4[[#This Row],[Precio Unitario Neto]]-Tabla4[[#This Row],[20.85%]]-Tabla4[[#This Row],[Costo]]</f>
        <v>#N/A</v>
      </c>
      <c r="S5151" s="282" t="e">
        <f>++Tabla4[[#This Row],[U. Bruta Uni]]*Tabla4[[#This Row],[Cantidad]]</f>
        <v>#N/A</v>
      </c>
      <c r="T5151" s="369" t="str">
        <f>VLOOKUP(Tabla4[[#This Row],[Producto]],Tabla6[#All],14,FALSE)</f>
        <v>Termico Solar</v>
      </c>
      <c r="U5151" s="284" t="e">
        <f>(IF(Tabla4[[#This Row],[Familia]]="termico solar",Tabla4[[#This Row],[Utilidad Total]]*6%,Tabla4[[#This Row],[Utilidad Total]]*11.5%))/Tabla4[[#This Row],[Total]]</f>
        <v>#N/A</v>
      </c>
      <c r="V5151" s="282" t="e">
        <f>+Tabla4[[#This Row],[Comisión Calculada]]*Tabla4[[#This Row],[Total]]</f>
        <v>#N/A</v>
      </c>
    </row>
    <row r="5152" spans="1:22" hidden="1" x14ac:dyDescent="0.25">
      <c r="A5152" s="100">
        <v>45869</v>
      </c>
      <c r="B5152" t="str">
        <f t="shared" si="250"/>
        <v>July</v>
      </c>
      <c r="C5152" s="46" t="s">
        <v>280</v>
      </c>
      <c r="F5152" s="366" t="s">
        <v>2689</v>
      </c>
      <c r="G5152" s="46" t="s">
        <v>17</v>
      </c>
      <c r="H5152" s="46">
        <v>2</v>
      </c>
      <c r="I5152" s="51">
        <v>4622.28</v>
      </c>
      <c r="J5152" s="281">
        <f>++Tabla4[[#This Row],[Precio Bruto]]*1.16</f>
        <v>5361.8447999999989</v>
      </c>
      <c r="K5152" s="281">
        <f>+Tabla4[[#This Row],[Precio Unitario Neto]]*Tabla4[[#Headers],[20.85%]]</f>
        <v>1117.9446407999997</v>
      </c>
      <c r="L5152" s="282">
        <f>++Tabla4[[#This Row],[Precio Unitario Neto]]-Tabla4[[#This Row],[20.85%]]</f>
        <v>4243.9001591999995</v>
      </c>
      <c r="M5152" s="282" t="e">
        <f>(INDEX(Tabla6[#All],MATCH(Tabla4[[#This Row],[Producto]],Tabla6[[#All],[PRODUCTO]],0),MATCH(Tabla4[[#This Row],[Mes]],Tabla6[#Headers],0)))*(1+Catalogos!$L$2)</f>
        <v>#N/A</v>
      </c>
      <c r="N5152" s="283" t="e">
        <f>+(Tabla4[[#This Row],[Precio Descontado]]-Tabla4[[#This Row],[Precio Base]])*Tabla4[[#This Row],[Cantidad]]</f>
        <v>#N/A</v>
      </c>
      <c r="O5152" s="284" t="e">
        <f>++Tabla4[[#This Row],[Utilidad Total]]/Tabla4[[#This Row],[Total]]</f>
        <v>#N/A</v>
      </c>
      <c r="P5152" s="282">
        <f>++Tabla4[[#This Row],[Precio Descontado]]*Tabla4[[#This Row],[Cantidad]]</f>
        <v>8487.800318399999</v>
      </c>
      <c r="Q5152" s="282" t="e">
        <f>(INDEX(Tabla6[#All],MATCH(Tabla4[[#This Row],[Producto]],Tabla6[[#All],[PRODUCTO]],0),MATCH(Tabla4[[#This Row],[Mes]],Tabla6[#Headers],0)))</f>
        <v>#N/A</v>
      </c>
      <c r="R5152" s="282" t="e">
        <f>++Tabla4[[#This Row],[Precio Unitario Neto]]-Tabla4[[#This Row],[20.85%]]-Tabla4[[#This Row],[Costo]]</f>
        <v>#N/A</v>
      </c>
      <c r="S5152" s="282" t="e">
        <f>++Tabla4[[#This Row],[U. Bruta Uni]]*Tabla4[[#This Row],[Cantidad]]</f>
        <v>#N/A</v>
      </c>
      <c r="T5152" s="369" t="str">
        <f>VLOOKUP(Tabla4[[#This Row],[Producto]],Tabla6[#All],14,FALSE)</f>
        <v>Termico Solar</v>
      </c>
      <c r="U5152" s="284" t="e">
        <f>(IF(Tabla4[[#This Row],[Familia]]="termico solar",Tabla4[[#This Row],[Utilidad Total]]*6%,Tabla4[[#This Row],[Utilidad Total]]*11.5%))/Tabla4[[#This Row],[Total]]</f>
        <v>#N/A</v>
      </c>
      <c r="V5152" s="282" t="e">
        <f>+Tabla4[[#This Row],[Comisión Calculada]]*Tabla4[[#This Row],[Total]]</f>
        <v>#N/A</v>
      </c>
    </row>
    <row r="5153" spans="1:22" hidden="1" x14ac:dyDescent="0.25">
      <c r="A5153" s="100">
        <v>45869</v>
      </c>
      <c r="B5153" t="str">
        <f t="shared" si="250"/>
        <v>July</v>
      </c>
      <c r="C5153" s="46" t="s">
        <v>280</v>
      </c>
      <c r="F5153" s="366" t="s">
        <v>2689</v>
      </c>
      <c r="G5153" s="46" t="s">
        <v>19</v>
      </c>
      <c r="H5153" s="46">
        <v>2</v>
      </c>
      <c r="I5153" s="51">
        <v>6412.03</v>
      </c>
      <c r="J5153" s="281">
        <f>++Tabla4[[#This Row],[Precio Bruto]]*1.16</f>
        <v>7437.9547999999995</v>
      </c>
      <c r="K5153" s="281">
        <f>+Tabla4[[#This Row],[Precio Unitario Neto]]*Tabla4[[#Headers],[20.85%]]</f>
        <v>1550.8135757999999</v>
      </c>
      <c r="L5153" s="282">
        <f>++Tabla4[[#This Row],[Precio Unitario Neto]]-Tabla4[[#This Row],[20.85%]]</f>
        <v>5887.1412241999997</v>
      </c>
      <c r="M5153" s="282" t="e">
        <f>(INDEX(Tabla6[#All],MATCH(Tabla4[[#This Row],[Producto]],Tabla6[[#All],[PRODUCTO]],0),MATCH(Tabla4[[#This Row],[Mes]],Tabla6[#Headers],0)))*(1+Catalogos!$L$2)</f>
        <v>#N/A</v>
      </c>
      <c r="N5153" s="283" t="e">
        <f>+(Tabla4[[#This Row],[Precio Descontado]]-Tabla4[[#This Row],[Precio Base]])*Tabla4[[#This Row],[Cantidad]]</f>
        <v>#N/A</v>
      </c>
      <c r="O5153" s="284" t="e">
        <f>++Tabla4[[#This Row],[Utilidad Total]]/Tabla4[[#This Row],[Total]]</f>
        <v>#N/A</v>
      </c>
      <c r="P5153" s="282">
        <f>++Tabla4[[#This Row],[Precio Descontado]]*Tabla4[[#This Row],[Cantidad]]</f>
        <v>11774.282448399999</v>
      </c>
      <c r="Q5153" s="282" t="e">
        <f>(INDEX(Tabla6[#All],MATCH(Tabla4[[#This Row],[Producto]],Tabla6[[#All],[PRODUCTO]],0),MATCH(Tabla4[[#This Row],[Mes]],Tabla6[#Headers],0)))</f>
        <v>#N/A</v>
      </c>
      <c r="R5153" s="282" t="e">
        <f>++Tabla4[[#This Row],[Precio Unitario Neto]]-Tabla4[[#This Row],[20.85%]]-Tabla4[[#This Row],[Costo]]</f>
        <v>#N/A</v>
      </c>
      <c r="S5153" s="282" t="e">
        <f>++Tabla4[[#This Row],[U. Bruta Uni]]*Tabla4[[#This Row],[Cantidad]]</f>
        <v>#N/A</v>
      </c>
      <c r="T5153" s="369" t="str">
        <f>VLOOKUP(Tabla4[[#This Row],[Producto]],Tabla6[#All],14,FALSE)</f>
        <v>Termico Solar</v>
      </c>
      <c r="U5153" s="284" t="e">
        <f>(IF(Tabla4[[#This Row],[Familia]]="termico solar",Tabla4[[#This Row],[Utilidad Total]]*6%,Tabla4[[#This Row],[Utilidad Total]]*11.5%))/Tabla4[[#This Row],[Total]]</f>
        <v>#N/A</v>
      </c>
      <c r="V5153" s="282" t="e">
        <f>+Tabla4[[#This Row],[Comisión Calculada]]*Tabla4[[#This Row],[Total]]</f>
        <v>#N/A</v>
      </c>
    </row>
    <row r="5154" spans="1:22" hidden="1" x14ac:dyDescent="0.25">
      <c r="A5154" s="100">
        <v>45869</v>
      </c>
      <c r="B5154" t="str">
        <f t="shared" si="250"/>
        <v>July</v>
      </c>
      <c r="C5154" s="46" t="s">
        <v>280</v>
      </c>
      <c r="F5154" s="366" t="s">
        <v>2689</v>
      </c>
      <c r="G5154" s="46" t="s">
        <v>566</v>
      </c>
      <c r="H5154" s="46">
        <v>1</v>
      </c>
      <c r="I5154" s="51">
        <v>2109.4499999999998</v>
      </c>
      <c r="J5154" s="281">
        <f>++Tabla4[[#This Row],[Precio Bruto]]*1.16</f>
        <v>2446.9619999999995</v>
      </c>
      <c r="K5154" s="281">
        <f>+Tabla4[[#This Row],[Precio Unitario Neto]]*Tabla4[[#Headers],[20.85%]]</f>
        <v>510.19157699999988</v>
      </c>
      <c r="L5154" s="282">
        <f>++Tabla4[[#This Row],[Precio Unitario Neto]]-Tabla4[[#This Row],[20.85%]]</f>
        <v>1936.7704229999997</v>
      </c>
      <c r="M5154" s="282" t="e">
        <f>(INDEX(Tabla6[#All],MATCH(Tabla4[[#This Row],[Producto]],Tabla6[[#All],[PRODUCTO]],0),MATCH(Tabla4[[#This Row],[Mes]],Tabla6[#Headers],0)))*(1+Catalogos!$L$2)</f>
        <v>#N/A</v>
      </c>
      <c r="N5154" s="283" t="e">
        <f>+(Tabla4[[#This Row],[Precio Descontado]]-Tabla4[[#This Row],[Precio Base]])*Tabla4[[#This Row],[Cantidad]]</f>
        <v>#N/A</v>
      </c>
      <c r="O5154" s="284" t="e">
        <f>++Tabla4[[#This Row],[Utilidad Total]]/Tabla4[[#This Row],[Total]]</f>
        <v>#N/A</v>
      </c>
      <c r="P5154" s="282">
        <f>++Tabla4[[#This Row],[Precio Descontado]]*Tabla4[[#This Row],[Cantidad]]</f>
        <v>1936.7704229999997</v>
      </c>
      <c r="Q5154" s="282" t="e">
        <f>(INDEX(Tabla6[#All],MATCH(Tabla4[[#This Row],[Producto]],Tabla6[[#All],[PRODUCTO]],0),MATCH(Tabla4[[#This Row],[Mes]],Tabla6[#Headers],0)))</f>
        <v>#N/A</v>
      </c>
      <c r="R5154" s="282" t="e">
        <f>++Tabla4[[#This Row],[Precio Unitario Neto]]-Tabla4[[#This Row],[20.85%]]-Tabla4[[#This Row],[Costo]]</f>
        <v>#N/A</v>
      </c>
      <c r="S5154" s="282" t="e">
        <f>++Tabla4[[#This Row],[U. Bruta Uni]]*Tabla4[[#This Row],[Cantidad]]</f>
        <v>#N/A</v>
      </c>
      <c r="T5154" s="369" t="str">
        <f>VLOOKUP(Tabla4[[#This Row],[Producto]],Tabla6[#All],14,FALSE)</f>
        <v>Termico Solar</v>
      </c>
      <c r="U5154" s="284" t="e">
        <f>(IF(Tabla4[[#This Row],[Familia]]="termico solar",Tabla4[[#This Row],[Utilidad Total]]*6%,Tabla4[[#This Row],[Utilidad Total]]*11.5%))/Tabla4[[#This Row],[Total]]</f>
        <v>#N/A</v>
      </c>
      <c r="V5154" s="282" t="e">
        <f>+Tabla4[[#This Row],[Comisión Calculada]]*Tabla4[[#This Row],[Total]]</f>
        <v>#N/A</v>
      </c>
    </row>
    <row r="5155" spans="1:22" hidden="1" x14ac:dyDescent="0.25">
      <c r="A5155" s="100">
        <v>45869</v>
      </c>
      <c r="B5155" t="str">
        <f t="shared" si="250"/>
        <v>July</v>
      </c>
      <c r="C5155" s="46" t="s">
        <v>280</v>
      </c>
      <c r="F5155" s="366" t="s">
        <v>2689</v>
      </c>
      <c r="G5155" s="46" t="s">
        <v>208</v>
      </c>
      <c r="H5155" s="46">
        <v>4</v>
      </c>
      <c r="I5155" s="51">
        <v>189.75</v>
      </c>
      <c r="J5155" s="281">
        <f>++Tabla4[[#This Row],[Precio Bruto]]*1.16</f>
        <v>220.10999999999999</v>
      </c>
      <c r="K5155" s="281">
        <f>+Tabla4[[#This Row],[Precio Unitario Neto]]*Tabla4[[#Headers],[20.85%]]</f>
        <v>45.892934999999994</v>
      </c>
      <c r="L5155" s="282">
        <f>++Tabla4[[#This Row],[Precio Unitario Neto]]-Tabla4[[#This Row],[20.85%]]</f>
        <v>174.21706499999999</v>
      </c>
      <c r="M5155" s="282" t="e">
        <f>(INDEX(Tabla6[#All],MATCH(Tabla4[[#This Row],[Producto]],Tabla6[[#All],[PRODUCTO]],0),MATCH(Tabla4[[#This Row],[Mes]],Tabla6[#Headers],0)))*(1+Catalogos!$L$2)</f>
        <v>#N/A</v>
      </c>
      <c r="N5155" s="283" t="e">
        <f>+(Tabla4[[#This Row],[Precio Descontado]]-Tabla4[[#This Row],[Precio Base]])*Tabla4[[#This Row],[Cantidad]]</f>
        <v>#N/A</v>
      </c>
      <c r="O5155" s="284" t="e">
        <f>++Tabla4[[#This Row],[Utilidad Total]]/Tabla4[[#This Row],[Total]]</f>
        <v>#N/A</v>
      </c>
      <c r="P5155" s="282">
        <f>++Tabla4[[#This Row],[Precio Descontado]]*Tabla4[[#This Row],[Cantidad]]</f>
        <v>696.86825999999996</v>
      </c>
      <c r="Q5155" s="282" t="e">
        <f>(INDEX(Tabla6[#All],MATCH(Tabla4[[#This Row],[Producto]],Tabla6[[#All],[PRODUCTO]],0),MATCH(Tabla4[[#This Row],[Mes]],Tabla6[#Headers],0)))</f>
        <v>#N/A</v>
      </c>
      <c r="R5155" s="282" t="e">
        <f>++Tabla4[[#This Row],[Precio Unitario Neto]]-Tabla4[[#This Row],[20.85%]]-Tabla4[[#This Row],[Costo]]</f>
        <v>#N/A</v>
      </c>
      <c r="S5155" s="282" t="e">
        <f>++Tabla4[[#This Row],[U. Bruta Uni]]*Tabla4[[#This Row],[Cantidad]]</f>
        <v>#N/A</v>
      </c>
      <c r="T5155" s="369" t="str">
        <f>VLOOKUP(Tabla4[[#This Row],[Producto]],Tabla6[#All],14,FALSE)</f>
        <v>Termico Solar</v>
      </c>
      <c r="U5155" s="284" t="e">
        <f>(IF(Tabla4[[#This Row],[Familia]]="termico solar",Tabla4[[#This Row],[Utilidad Total]]*6%,Tabla4[[#This Row],[Utilidad Total]]*11.5%))/Tabla4[[#This Row],[Total]]</f>
        <v>#N/A</v>
      </c>
      <c r="V5155" s="282" t="e">
        <f>+Tabla4[[#This Row],[Comisión Calculada]]*Tabla4[[#This Row],[Total]]</f>
        <v>#N/A</v>
      </c>
    </row>
    <row r="5156" spans="1:22" hidden="1" x14ac:dyDescent="0.25">
      <c r="A5156" s="100">
        <v>45869</v>
      </c>
      <c r="B5156" t="str">
        <f t="shared" si="250"/>
        <v>July</v>
      </c>
      <c r="C5156" s="46" t="s">
        <v>280</v>
      </c>
      <c r="F5156" s="366" t="s">
        <v>2690</v>
      </c>
      <c r="G5156" s="46" t="s">
        <v>83</v>
      </c>
      <c r="H5156" s="46">
        <v>1</v>
      </c>
      <c r="I5156" s="51">
        <v>8858.76</v>
      </c>
      <c r="J5156" s="281">
        <f>++Tabla4[[#This Row],[Precio Bruto]]*1.16</f>
        <v>10276.161599999999</v>
      </c>
      <c r="K5156" s="281">
        <f>+Tabla4[[#This Row],[Precio Unitario Neto]]*Tabla4[[#Headers],[20.85%]]</f>
        <v>2142.5796935999997</v>
      </c>
      <c r="L5156" s="282">
        <f>++Tabla4[[#This Row],[Precio Unitario Neto]]-Tabla4[[#This Row],[20.85%]]</f>
        <v>8133.5819063999998</v>
      </c>
      <c r="M5156" s="282" t="e">
        <f>(INDEX(Tabla6[#All],MATCH(Tabla4[[#This Row],[Producto]],Tabla6[[#All],[PRODUCTO]],0),MATCH(Tabla4[[#This Row],[Mes]],Tabla6[#Headers],0)))*(1+Catalogos!$L$2)</f>
        <v>#N/A</v>
      </c>
      <c r="N5156" s="283" t="e">
        <f>+(Tabla4[[#This Row],[Precio Descontado]]-Tabla4[[#This Row],[Precio Base]])*Tabla4[[#This Row],[Cantidad]]</f>
        <v>#N/A</v>
      </c>
      <c r="O5156" s="284" t="e">
        <f>++Tabla4[[#This Row],[Utilidad Total]]/Tabla4[[#This Row],[Total]]</f>
        <v>#N/A</v>
      </c>
      <c r="P5156" s="282">
        <f>++Tabla4[[#This Row],[Precio Descontado]]*Tabla4[[#This Row],[Cantidad]]</f>
        <v>8133.5819063999998</v>
      </c>
      <c r="Q5156" s="282" t="e">
        <f>(INDEX(Tabla6[#All],MATCH(Tabla4[[#This Row],[Producto]],Tabla6[[#All],[PRODUCTO]],0),MATCH(Tabla4[[#This Row],[Mes]],Tabla6[#Headers],0)))</f>
        <v>#N/A</v>
      </c>
      <c r="R5156" s="282" t="e">
        <f>++Tabla4[[#This Row],[Precio Unitario Neto]]-Tabla4[[#This Row],[20.85%]]-Tabla4[[#This Row],[Costo]]</f>
        <v>#N/A</v>
      </c>
      <c r="S5156" s="282" t="e">
        <f>++Tabla4[[#This Row],[U. Bruta Uni]]*Tabla4[[#This Row],[Cantidad]]</f>
        <v>#N/A</v>
      </c>
      <c r="T5156" s="369" t="str">
        <f>VLOOKUP(Tabla4[[#This Row],[Producto]],Tabla6[#All],14,FALSE)</f>
        <v>Termico Solar</v>
      </c>
      <c r="U5156" s="284" t="e">
        <f>(IF(Tabla4[[#This Row],[Familia]]="termico solar",Tabla4[[#This Row],[Utilidad Total]]*6%,Tabla4[[#This Row],[Utilidad Total]]*11.5%))/Tabla4[[#This Row],[Total]]</f>
        <v>#N/A</v>
      </c>
      <c r="V5156" s="282" t="e">
        <f>+Tabla4[[#This Row],[Comisión Calculada]]*Tabla4[[#This Row],[Total]]</f>
        <v>#N/A</v>
      </c>
    </row>
    <row r="5157" spans="1:22" hidden="1" x14ac:dyDescent="0.25">
      <c r="A5157" s="100">
        <v>45869</v>
      </c>
      <c r="B5157" t="str">
        <f t="shared" si="250"/>
        <v>July</v>
      </c>
      <c r="C5157" s="46" t="s">
        <v>280</v>
      </c>
      <c r="F5157" s="366" t="s">
        <v>2690</v>
      </c>
      <c r="G5157" s="46" t="s">
        <v>17</v>
      </c>
      <c r="H5157" s="46">
        <v>2</v>
      </c>
      <c r="I5157" s="51">
        <v>4622.28</v>
      </c>
      <c r="J5157" s="281">
        <f>++Tabla4[[#This Row],[Precio Bruto]]*1.16</f>
        <v>5361.8447999999989</v>
      </c>
      <c r="K5157" s="281">
        <f>+Tabla4[[#This Row],[Precio Unitario Neto]]*Tabla4[[#Headers],[20.85%]]</f>
        <v>1117.9446407999997</v>
      </c>
      <c r="L5157" s="282">
        <f>++Tabla4[[#This Row],[Precio Unitario Neto]]-Tabla4[[#This Row],[20.85%]]</f>
        <v>4243.9001591999995</v>
      </c>
      <c r="M5157" s="282" t="e">
        <f>(INDEX(Tabla6[#All],MATCH(Tabla4[[#This Row],[Producto]],Tabla6[[#All],[PRODUCTO]],0),MATCH(Tabla4[[#This Row],[Mes]],Tabla6[#Headers],0)))*(1+Catalogos!$L$2)</f>
        <v>#N/A</v>
      </c>
      <c r="N5157" s="283" t="e">
        <f>+(Tabla4[[#This Row],[Precio Descontado]]-Tabla4[[#This Row],[Precio Base]])*Tabla4[[#This Row],[Cantidad]]</f>
        <v>#N/A</v>
      </c>
      <c r="O5157" s="284" t="e">
        <f>++Tabla4[[#This Row],[Utilidad Total]]/Tabla4[[#This Row],[Total]]</f>
        <v>#N/A</v>
      </c>
      <c r="P5157" s="282">
        <f>++Tabla4[[#This Row],[Precio Descontado]]*Tabla4[[#This Row],[Cantidad]]</f>
        <v>8487.800318399999</v>
      </c>
      <c r="Q5157" s="282" t="e">
        <f>(INDEX(Tabla6[#All],MATCH(Tabla4[[#This Row],[Producto]],Tabla6[[#All],[PRODUCTO]],0),MATCH(Tabla4[[#This Row],[Mes]],Tabla6[#Headers],0)))</f>
        <v>#N/A</v>
      </c>
      <c r="R5157" s="282" t="e">
        <f>++Tabla4[[#This Row],[Precio Unitario Neto]]-Tabla4[[#This Row],[20.85%]]-Tabla4[[#This Row],[Costo]]</f>
        <v>#N/A</v>
      </c>
      <c r="S5157" s="282" t="e">
        <f>++Tabla4[[#This Row],[U. Bruta Uni]]*Tabla4[[#This Row],[Cantidad]]</f>
        <v>#N/A</v>
      </c>
      <c r="T5157" s="369" t="str">
        <f>VLOOKUP(Tabla4[[#This Row],[Producto]],Tabla6[#All],14,FALSE)</f>
        <v>Termico Solar</v>
      </c>
      <c r="U5157" s="284" t="e">
        <f>(IF(Tabla4[[#This Row],[Familia]]="termico solar",Tabla4[[#This Row],[Utilidad Total]]*6%,Tabla4[[#This Row],[Utilidad Total]]*11.5%))/Tabla4[[#This Row],[Total]]</f>
        <v>#N/A</v>
      </c>
      <c r="V5157" s="282" t="e">
        <f>+Tabla4[[#This Row],[Comisión Calculada]]*Tabla4[[#This Row],[Total]]</f>
        <v>#N/A</v>
      </c>
    </row>
    <row r="5158" spans="1:22" hidden="1" x14ac:dyDescent="0.25">
      <c r="A5158" s="100">
        <v>45869</v>
      </c>
      <c r="B5158" t="str">
        <f t="shared" si="250"/>
        <v>July</v>
      </c>
      <c r="C5158" s="46" t="s">
        <v>280</v>
      </c>
      <c r="F5158" s="366" t="s">
        <v>2691</v>
      </c>
      <c r="G5158" s="46" t="s">
        <v>17</v>
      </c>
      <c r="H5158" s="46">
        <v>1</v>
      </c>
      <c r="I5158" s="51">
        <v>4622.28</v>
      </c>
      <c r="J5158" s="281">
        <f>++Tabla4[[#This Row],[Precio Bruto]]*1.16</f>
        <v>5361.8447999999989</v>
      </c>
      <c r="K5158" s="281">
        <f>+Tabla4[[#This Row],[Precio Unitario Neto]]*Tabla4[[#Headers],[20.85%]]</f>
        <v>1117.9446407999997</v>
      </c>
      <c r="L5158" s="282">
        <f>++Tabla4[[#This Row],[Precio Unitario Neto]]-Tabla4[[#This Row],[20.85%]]</f>
        <v>4243.9001591999995</v>
      </c>
      <c r="M5158" s="282" t="e">
        <f>(INDEX(Tabla6[#All],MATCH(Tabla4[[#This Row],[Producto]],Tabla6[[#All],[PRODUCTO]],0),MATCH(Tabla4[[#This Row],[Mes]],Tabla6[#Headers],0)))*(1+Catalogos!$L$2)</f>
        <v>#N/A</v>
      </c>
      <c r="N5158" s="283" t="e">
        <f>+(Tabla4[[#This Row],[Precio Descontado]]-Tabla4[[#This Row],[Precio Base]])*Tabla4[[#This Row],[Cantidad]]</f>
        <v>#N/A</v>
      </c>
      <c r="O5158" s="284" t="e">
        <f>++Tabla4[[#This Row],[Utilidad Total]]/Tabla4[[#This Row],[Total]]</f>
        <v>#N/A</v>
      </c>
      <c r="P5158" s="282">
        <f>++Tabla4[[#This Row],[Precio Descontado]]*Tabla4[[#This Row],[Cantidad]]</f>
        <v>4243.9001591999995</v>
      </c>
      <c r="Q5158" s="282" t="e">
        <f>(INDEX(Tabla6[#All],MATCH(Tabla4[[#This Row],[Producto]],Tabla6[[#All],[PRODUCTO]],0),MATCH(Tabla4[[#This Row],[Mes]],Tabla6[#Headers],0)))</f>
        <v>#N/A</v>
      </c>
      <c r="R5158" s="282" t="e">
        <f>++Tabla4[[#This Row],[Precio Unitario Neto]]-Tabla4[[#This Row],[20.85%]]-Tabla4[[#This Row],[Costo]]</f>
        <v>#N/A</v>
      </c>
      <c r="S5158" s="282" t="e">
        <f>++Tabla4[[#This Row],[U. Bruta Uni]]*Tabla4[[#This Row],[Cantidad]]</f>
        <v>#N/A</v>
      </c>
      <c r="T5158" s="369" t="str">
        <f>VLOOKUP(Tabla4[[#This Row],[Producto]],Tabla6[#All],14,FALSE)</f>
        <v>Termico Solar</v>
      </c>
      <c r="U5158" s="284" t="e">
        <f>(IF(Tabla4[[#This Row],[Familia]]="termico solar",Tabla4[[#This Row],[Utilidad Total]]*6%,Tabla4[[#This Row],[Utilidad Total]]*11.5%))/Tabla4[[#This Row],[Total]]</f>
        <v>#N/A</v>
      </c>
      <c r="V5158" s="282" t="e">
        <f>+Tabla4[[#This Row],[Comisión Calculada]]*Tabla4[[#This Row],[Total]]</f>
        <v>#N/A</v>
      </c>
    </row>
    <row r="5159" spans="1:22" hidden="1" x14ac:dyDescent="0.25">
      <c r="A5159" s="100">
        <v>45869</v>
      </c>
      <c r="B5159" t="str">
        <f t="shared" si="250"/>
        <v>July</v>
      </c>
      <c r="C5159" s="46" t="s">
        <v>280</v>
      </c>
      <c r="F5159" s="366" t="s">
        <v>2691</v>
      </c>
      <c r="G5159" s="46" t="s">
        <v>566</v>
      </c>
      <c r="H5159" s="46">
        <v>1</v>
      </c>
      <c r="I5159" s="51">
        <v>2109.4499999999998</v>
      </c>
      <c r="J5159" s="281">
        <f>++Tabla4[[#This Row],[Precio Bruto]]*1.16</f>
        <v>2446.9619999999995</v>
      </c>
      <c r="K5159" s="281">
        <f>+Tabla4[[#This Row],[Precio Unitario Neto]]*Tabla4[[#Headers],[20.85%]]</f>
        <v>510.19157699999988</v>
      </c>
      <c r="L5159" s="282">
        <f>++Tabla4[[#This Row],[Precio Unitario Neto]]-Tabla4[[#This Row],[20.85%]]</f>
        <v>1936.7704229999997</v>
      </c>
      <c r="M5159" s="282" t="e">
        <f>(INDEX(Tabla6[#All],MATCH(Tabla4[[#This Row],[Producto]],Tabla6[[#All],[PRODUCTO]],0),MATCH(Tabla4[[#This Row],[Mes]],Tabla6[#Headers],0)))*(1+Catalogos!$L$2)</f>
        <v>#N/A</v>
      </c>
      <c r="N5159" s="283" t="e">
        <f>+(Tabla4[[#This Row],[Precio Descontado]]-Tabla4[[#This Row],[Precio Base]])*Tabla4[[#This Row],[Cantidad]]</f>
        <v>#N/A</v>
      </c>
      <c r="O5159" s="284" t="e">
        <f>++Tabla4[[#This Row],[Utilidad Total]]/Tabla4[[#This Row],[Total]]</f>
        <v>#N/A</v>
      </c>
      <c r="P5159" s="282">
        <f>++Tabla4[[#This Row],[Precio Descontado]]*Tabla4[[#This Row],[Cantidad]]</f>
        <v>1936.7704229999997</v>
      </c>
      <c r="Q5159" s="282" t="e">
        <f>(INDEX(Tabla6[#All],MATCH(Tabla4[[#This Row],[Producto]],Tabla6[[#All],[PRODUCTO]],0),MATCH(Tabla4[[#This Row],[Mes]],Tabla6[#Headers],0)))</f>
        <v>#N/A</v>
      </c>
      <c r="R5159" s="282" t="e">
        <f>++Tabla4[[#This Row],[Precio Unitario Neto]]-Tabla4[[#This Row],[20.85%]]-Tabla4[[#This Row],[Costo]]</f>
        <v>#N/A</v>
      </c>
      <c r="S5159" s="282" t="e">
        <f>++Tabla4[[#This Row],[U. Bruta Uni]]*Tabla4[[#This Row],[Cantidad]]</f>
        <v>#N/A</v>
      </c>
      <c r="T5159" s="369" t="str">
        <f>VLOOKUP(Tabla4[[#This Row],[Producto]],Tabla6[#All],14,FALSE)</f>
        <v>Termico Solar</v>
      </c>
      <c r="U5159" s="284" t="e">
        <f>(IF(Tabla4[[#This Row],[Familia]]="termico solar",Tabla4[[#This Row],[Utilidad Total]]*6%,Tabla4[[#This Row],[Utilidad Total]]*11.5%))/Tabla4[[#This Row],[Total]]</f>
        <v>#N/A</v>
      </c>
      <c r="V5159" s="282" t="e">
        <f>+Tabla4[[#This Row],[Comisión Calculada]]*Tabla4[[#This Row],[Total]]</f>
        <v>#N/A</v>
      </c>
    </row>
    <row r="5160" spans="1:22" hidden="1" x14ac:dyDescent="0.25">
      <c r="A5160" s="100">
        <v>45869</v>
      </c>
      <c r="B5160" t="str">
        <f t="shared" si="250"/>
        <v>July</v>
      </c>
      <c r="C5160" s="46" t="s">
        <v>280</v>
      </c>
      <c r="F5160" s="366" t="s">
        <v>2691</v>
      </c>
      <c r="G5160" s="46" t="s">
        <v>16</v>
      </c>
      <c r="H5160" s="46">
        <v>1</v>
      </c>
      <c r="I5160" s="51">
        <v>4103.8500000000004</v>
      </c>
      <c r="J5160" s="281">
        <f>++Tabla4[[#This Row],[Precio Bruto]]*1.16</f>
        <v>4760.4660000000003</v>
      </c>
      <c r="K5160" s="281">
        <f>+Tabla4[[#This Row],[Precio Unitario Neto]]*Tabla4[[#Headers],[20.85%]]</f>
        <v>992.55716100000006</v>
      </c>
      <c r="L5160" s="282">
        <f>++Tabla4[[#This Row],[Precio Unitario Neto]]-Tabla4[[#This Row],[20.85%]]</f>
        <v>3767.9088390000002</v>
      </c>
      <c r="M5160" s="282" t="e">
        <f>(INDEX(Tabla6[#All],MATCH(Tabla4[[#This Row],[Producto]],Tabla6[[#All],[PRODUCTO]],0),MATCH(Tabla4[[#This Row],[Mes]],Tabla6[#Headers],0)))*(1+Catalogos!$L$2)</f>
        <v>#N/A</v>
      </c>
      <c r="N5160" s="283" t="e">
        <f>+(Tabla4[[#This Row],[Precio Descontado]]-Tabla4[[#This Row],[Precio Base]])*Tabla4[[#This Row],[Cantidad]]</f>
        <v>#N/A</v>
      </c>
      <c r="O5160" s="284" t="e">
        <f>++Tabla4[[#This Row],[Utilidad Total]]/Tabla4[[#This Row],[Total]]</f>
        <v>#N/A</v>
      </c>
      <c r="P5160" s="282">
        <f>++Tabla4[[#This Row],[Precio Descontado]]*Tabla4[[#This Row],[Cantidad]]</f>
        <v>3767.9088390000002</v>
      </c>
      <c r="Q5160" s="282" t="e">
        <f>(INDEX(Tabla6[#All],MATCH(Tabla4[[#This Row],[Producto]],Tabla6[[#All],[PRODUCTO]],0),MATCH(Tabla4[[#This Row],[Mes]],Tabla6[#Headers],0)))</f>
        <v>#N/A</v>
      </c>
      <c r="R5160" s="282" t="e">
        <f>++Tabla4[[#This Row],[Precio Unitario Neto]]-Tabla4[[#This Row],[20.85%]]-Tabla4[[#This Row],[Costo]]</f>
        <v>#N/A</v>
      </c>
      <c r="S5160" s="282" t="e">
        <f>++Tabla4[[#This Row],[U. Bruta Uni]]*Tabla4[[#This Row],[Cantidad]]</f>
        <v>#N/A</v>
      </c>
      <c r="T5160" s="369" t="str">
        <f>VLOOKUP(Tabla4[[#This Row],[Producto]],Tabla6[#All],14,FALSE)</f>
        <v>Termico Solar</v>
      </c>
      <c r="U5160" s="284" t="e">
        <f>(IF(Tabla4[[#This Row],[Familia]]="termico solar",Tabla4[[#This Row],[Utilidad Total]]*6%,Tabla4[[#This Row],[Utilidad Total]]*11.5%))/Tabla4[[#This Row],[Total]]</f>
        <v>#N/A</v>
      </c>
      <c r="V5160" s="282" t="e">
        <f>+Tabla4[[#This Row],[Comisión Calculada]]*Tabla4[[#This Row],[Total]]</f>
        <v>#N/A</v>
      </c>
    </row>
    <row r="5161" spans="1:22" hidden="1" x14ac:dyDescent="0.25">
      <c r="A5161" s="100">
        <v>45869</v>
      </c>
      <c r="B5161" t="str">
        <f t="shared" si="250"/>
        <v>July</v>
      </c>
      <c r="C5161" s="46" t="s">
        <v>280</v>
      </c>
      <c r="F5161" s="366" t="s">
        <v>2692</v>
      </c>
      <c r="G5161" s="46" t="s">
        <v>83</v>
      </c>
      <c r="H5161" s="46">
        <v>3</v>
      </c>
      <c r="I5161" s="51">
        <v>8858.76</v>
      </c>
      <c r="J5161" s="281">
        <f>++Tabla4[[#This Row],[Precio Bruto]]*1.16</f>
        <v>10276.161599999999</v>
      </c>
      <c r="K5161" s="281">
        <f>+Tabla4[[#This Row],[Precio Unitario Neto]]*Tabla4[[#Headers],[20.85%]]</f>
        <v>2142.5796935999997</v>
      </c>
      <c r="L5161" s="282">
        <f>++Tabla4[[#This Row],[Precio Unitario Neto]]-Tabla4[[#This Row],[20.85%]]</f>
        <v>8133.5819063999998</v>
      </c>
      <c r="M5161" s="282" t="e">
        <f>(INDEX(Tabla6[#All],MATCH(Tabla4[[#This Row],[Producto]],Tabla6[[#All],[PRODUCTO]],0),MATCH(Tabla4[[#This Row],[Mes]],Tabla6[#Headers],0)))*(1+Catalogos!$L$2)</f>
        <v>#N/A</v>
      </c>
      <c r="N5161" s="283" t="e">
        <f>+(Tabla4[[#This Row],[Precio Descontado]]-Tabla4[[#This Row],[Precio Base]])*Tabla4[[#This Row],[Cantidad]]</f>
        <v>#N/A</v>
      </c>
      <c r="O5161" s="284" t="e">
        <f>++Tabla4[[#This Row],[Utilidad Total]]/Tabla4[[#This Row],[Total]]</f>
        <v>#N/A</v>
      </c>
      <c r="P5161" s="282">
        <f>++Tabla4[[#This Row],[Precio Descontado]]*Tabla4[[#This Row],[Cantidad]]</f>
        <v>24400.7457192</v>
      </c>
      <c r="Q5161" s="282" t="e">
        <f>(INDEX(Tabla6[#All],MATCH(Tabla4[[#This Row],[Producto]],Tabla6[[#All],[PRODUCTO]],0),MATCH(Tabla4[[#This Row],[Mes]],Tabla6[#Headers],0)))</f>
        <v>#N/A</v>
      </c>
      <c r="R5161" s="282" t="e">
        <f>++Tabla4[[#This Row],[Precio Unitario Neto]]-Tabla4[[#This Row],[20.85%]]-Tabla4[[#This Row],[Costo]]</f>
        <v>#N/A</v>
      </c>
      <c r="S5161" s="282" t="e">
        <f>++Tabla4[[#This Row],[U. Bruta Uni]]*Tabla4[[#This Row],[Cantidad]]</f>
        <v>#N/A</v>
      </c>
      <c r="T5161" s="369" t="str">
        <f>VLOOKUP(Tabla4[[#This Row],[Producto]],Tabla6[#All],14,FALSE)</f>
        <v>Termico Solar</v>
      </c>
      <c r="U5161" s="284" t="e">
        <f>(IF(Tabla4[[#This Row],[Familia]]="termico solar",Tabla4[[#This Row],[Utilidad Total]]*6%,Tabla4[[#This Row],[Utilidad Total]]*11.5%))/Tabla4[[#This Row],[Total]]</f>
        <v>#N/A</v>
      </c>
      <c r="V5161" s="282" t="e">
        <f>+Tabla4[[#This Row],[Comisión Calculada]]*Tabla4[[#This Row],[Total]]</f>
        <v>#N/A</v>
      </c>
    </row>
    <row r="5162" spans="1:22" hidden="1" x14ac:dyDescent="0.25">
      <c r="A5162" s="100">
        <v>45869</v>
      </c>
      <c r="B5162" t="str">
        <f t="shared" si="250"/>
        <v>July</v>
      </c>
      <c r="C5162" s="46" t="s">
        <v>280</v>
      </c>
      <c r="F5162" s="366" t="s">
        <v>2693</v>
      </c>
      <c r="G5162" s="46" t="s">
        <v>566</v>
      </c>
      <c r="H5162" s="46">
        <v>1</v>
      </c>
      <c r="I5162" s="51">
        <v>2109.4499999999998</v>
      </c>
      <c r="J5162" s="281">
        <f>++Tabla4[[#This Row],[Precio Bruto]]*1.16</f>
        <v>2446.9619999999995</v>
      </c>
      <c r="K5162" s="281">
        <f>+Tabla4[[#This Row],[Precio Unitario Neto]]*Tabla4[[#Headers],[20.85%]]</f>
        <v>510.19157699999988</v>
      </c>
      <c r="L5162" s="282">
        <f>++Tabla4[[#This Row],[Precio Unitario Neto]]-Tabla4[[#This Row],[20.85%]]</f>
        <v>1936.7704229999997</v>
      </c>
      <c r="M5162" s="282" t="e">
        <f>(INDEX(Tabla6[#All],MATCH(Tabla4[[#This Row],[Producto]],Tabla6[[#All],[PRODUCTO]],0),MATCH(Tabla4[[#This Row],[Mes]],Tabla6[#Headers],0)))*(1+Catalogos!$L$2)</f>
        <v>#N/A</v>
      </c>
      <c r="N5162" s="283" t="e">
        <f>+(Tabla4[[#This Row],[Precio Descontado]]-Tabla4[[#This Row],[Precio Base]])*Tabla4[[#This Row],[Cantidad]]</f>
        <v>#N/A</v>
      </c>
      <c r="O5162" s="284" t="e">
        <f>++Tabla4[[#This Row],[Utilidad Total]]/Tabla4[[#This Row],[Total]]</f>
        <v>#N/A</v>
      </c>
      <c r="P5162" s="282">
        <f>++Tabla4[[#This Row],[Precio Descontado]]*Tabla4[[#This Row],[Cantidad]]</f>
        <v>1936.7704229999997</v>
      </c>
      <c r="Q5162" s="282" t="e">
        <f>(INDEX(Tabla6[#All],MATCH(Tabla4[[#This Row],[Producto]],Tabla6[[#All],[PRODUCTO]],0),MATCH(Tabla4[[#This Row],[Mes]],Tabla6[#Headers],0)))</f>
        <v>#N/A</v>
      </c>
      <c r="R5162" s="282" t="e">
        <f>++Tabla4[[#This Row],[Precio Unitario Neto]]-Tabla4[[#This Row],[20.85%]]-Tabla4[[#This Row],[Costo]]</f>
        <v>#N/A</v>
      </c>
      <c r="S5162" s="282" t="e">
        <f>++Tabla4[[#This Row],[U. Bruta Uni]]*Tabla4[[#This Row],[Cantidad]]</f>
        <v>#N/A</v>
      </c>
      <c r="T5162" s="369" t="str">
        <f>VLOOKUP(Tabla4[[#This Row],[Producto]],Tabla6[#All],14,FALSE)</f>
        <v>Termico Solar</v>
      </c>
      <c r="U5162" s="284" t="e">
        <f>(IF(Tabla4[[#This Row],[Familia]]="termico solar",Tabla4[[#This Row],[Utilidad Total]]*6%,Tabla4[[#This Row],[Utilidad Total]]*11.5%))/Tabla4[[#This Row],[Total]]</f>
        <v>#N/A</v>
      </c>
      <c r="V5162" s="282" t="e">
        <f>+Tabla4[[#This Row],[Comisión Calculada]]*Tabla4[[#This Row],[Total]]</f>
        <v>#N/A</v>
      </c>
    </row>
    <row r="5163" spans="1:22" hidden="1" x14ac:dyDescent="0.25">
      <c r="A5163" s="100">
        <v>45869</v>
      </c>
      <c r="B5163" t="str">
        <f t="shared" si="250"/>
        <v>July</v>
      </c>
      <c r="C5163" s="46" t="s">
        <v>280</v>
      </c>
      <c r="F5163" s="366" t="s">
        <v>2694</v>
      </c>
      <c r="G5163" s="46" t="s">
        <v>17</v>
      </c>
      <c r="H5163" s="46">
        <v>2</v>
      </c>
      <c r="I5163" s="51">
        <v>4622.28</v>
      </c>
      <c r="J5163" s="281">
        <f>++Tabla4[[#This Row],[Precio Bruto]]*1.16</f>
        <v>5361.8447999999989</v>
      </c>
      <c r="K5163" s="281">
        <f>+Tabla4[[#This Row],[Precio Unitario Neto]]*Tabla4[[#Headers],[20.85%]]</f>
        <v>1117.9446407999997</v>
      </c>
      <c r="L5163" s="282">
        <f>++Tabla4[[#This Row],[Precio Unitario Neto]]-Tabla4[[#This Row],[20.85%]]</f>
        <v>4243.9001591999995</v>
      </c>
      <c r="M5163" s="282" t="e">
        <f>(INDEX(Tabla6[#All],MATCH(Tabla4[[#This Row],[Producto]],Tabla6[[#All],[PRODUCTO]],0),MATCH(Tabla4[[#This Row],[Mes]],Tabla6[#Headers],0)))*(1+Catalogos!$L$2)</f>
        <v>#N/A</v>
      </c>
      <c r="N5163" s="283" t="e">
        <f>+(Tabla4[[#This Row],[Precio Descontado]]-Tabla4[[#This Row],[Precio Base]])*Tabla4[[#This Row],[Cantidad]]</f>
        <v>#N/A</v>
      </c>
      <c r="O5163" s="284" t="e">
        <f>++Tabla4[[#This Row],[Utilidad Total]]/Tabla4[[#This Row],[Total]]</f>
        <v>#N/A</v>
      </c>
      <c r="P5163" s="282">
        <f>++Tabla4[[#This Row],[Precio Descontado]]*Tabla4[[#This Row],[Cantidad]]</f>
        <v>8487.800318399999</v>
      </c>
      <c r="Q5163" s="282" t="e">
        <f>(INDEX(Tabla6[#All],MATCH(Tabla4[[#This Row],[Producto]],Tabla6[[#All],[PRODUCTO]],0),MATCH(Tabla4[[#This Row],[Mes]],Tabla6[#Headers],0)))</f>
        <v>#N/A</v>
      </c>
      <c r="R5163" s="282" t="e">
        <f>++Tabla4[[#This Row],[Precio Unitario Neto]]-Tabla4[[#This Row],[20.85%]]-Tabla4[[#This Row],[Costo]]</f>
        <v>#N/A</v>
      </c>
      <c r="S5163" s="282" t="e">
        <f>++Tabla4[[#This Row],[U. Bruta Uni]]*Tabla4[[#This Row],[Cantidad]]</f>
        <v>#N/A</v>
      </c>
      <c r="T5163" s="369" t="str">
        <f>VLOOKUP(Tabla4[[#This Row],[Producto]],Tabla6[#All],14,FALSE)</f>
        <v>Termico Solar</v>
      </c>
      <c r="U5163" s="284" t="e">
        <f>(IF(Tabla4[[#This Row],[Familia]]="termico solar",Tabla4[[#This Row],[Utilidad Total]]*6%,Tabla4[[#This Row],[Utilidad Total]]*11.5%))/Tabla4[[#This Row],[Total]]</f>
        <v>#N/A</v>
      </c>
      <c r="V5163" s="282" t="e">
        <f>+Tabla4[[#This Row],[Comisión Calculada]]*Tabla4[[#This Row],[Total]]</f>
        <v>#N/A</v>
      </c>
    </row>
    <row r="5164" spans="1:22" hidden="1" x14ac:dyDescent="0.25">
      <c r="A5164" s="100">
        <v>45869</v>
      </c>
      <c r="B5164" t="str">
        <f t="shared" si="250"/>
        <v>July</v>
      </c>
      <c r="C5164" s="46" t="s">
        <v>280</v>
      </c>
      <c r="F5164" s="366" t="s">
        <v>2695</v>
      </c>
      <c r="G5164" s="46" t="s">
        <v>17</v>
      </c>
      <c r="H5164" s="46">
        <v>1</v>
      </c>
      <c r="I5164" s="51">
        <v>4622.28</v>
      </c>
      <c r="J5164" s="281">
        <f>++Tabla4[[#This Row],[Precio Bruto]]*1.16</f>
        <v>5361.8447999999989</v>
      </c>
      <c r="K5164" s="281">
        <f>+Tabla4[[#This Row],[Precio Unitario Neto]]*Tabla4[[#Headers],[20.85%]]</f>
        <v>1117.9446407999997</v>
      </c>
      <c r="L5164" s="282">
        <f>++Tabla4[[#This Row],[Precio Unitario Neto]]-Tabla4[[#This Row],[20.85%]]</f>
        <v>4243.9001591999995</v>
      </c>
      <c r="M5164" s="282" t="e">
        <f>(INDEX(Tabla6[#All],MATCH(Tabla4[[#This Row],[Producto]],Tabla6[[#All],[PRODUCTO]],0),MATCH(Tabla4[[#This Row],[Mes]],Tabla6[#Headers],0)))*(1+Catalogos!$L$2)</f>
        <v>#N/A</v>
      </c>
      <c r="N5164" s="283" t="e">
        <f>+(Tabla4[[#This Row],[Precio Descontado]]-Tabla4[[#This Row],[Precio Base]])*Tabla4[[#This Row],[Cantidad]]</f>
        <v>#N/A</v>
      </c>
      <c r="O5164" s="284" t="e">
        <f>++Tabla4[[#This Row],[Utilidad Total]]/Tabla4[[#This Row],[Total]]</f>
        <v>#N/A</v>
      </c>
      <c r="P5164" s="282">
        <f>++Tabla4[[#This Row],[Precio Descontado]]*Tabla4[[#This Row],[Cantidad]]</f>
        <v>4243.9001591999995</v>
      </c>
      <c r="Q5164" s="282" t="e">
        <f>(INDEX(Tabla6[#All],MATCH(Tabla4[[#This Row],[Producto]],Tabla6[[#All],[PRODUCTO]],0),MATCH(Tabla4[[#This Row],[Mes]],Tabla6[#Headers],0)))</f>
        <v>#N/A</v>
      </c>
      <c r="R5164" s="282" t="e">
        <f>++Tabla4[[#This Row],[Precio Unitario Neto]]-Tabla4[[#This Row],[20.85%]]-Tabla4[[#This Row],[Costo]]</f>
        <v>#N/A</v>
      </c>
      <c r="S5164" s="282" t="e">
        <f>++Tabla4[[#This Row],[U. Bruta Uni]]*Tabla4[[#This Row],[Cantidad]]</f>
        <v>#N/A</v>
      </c>
      <c r="T5164" s="369" t="str">
        <f>VLOOKUP(Tabla4[[#This Row],[Producto]],Tabla6[#All],14,FALSE)</f>
        <v>Termico Solar</v>
      </c>
      <c r="U5164" s="284" t="e">
        <f>(IF(Tabla4[[#This Row],[Familia]]="termico solar",Tabla4[[#This Row],[Utilidad Total]]*6%,Tabla4[[#This Row],[Utilidad Total]]*11.5%))/Tabla4[[#This Row],[Total]]</f>
        <v>#N/A</v>
      </c>
      <c r="V5164" s="282" t="e">
        <f>+Tabla4[[#This Row],[Comisión Calculada]]*Tabla4[[#This Row],[Total]]</f>
        <v>#N/A</v>
      </c>
    </row>
    <row r="5165" spans="1:22" hidden="1" x14ac:dyDescent="0.25">
      <c r="A5165" s="100">
        <v>45869</v>
      </c>
      <c r="B5165" t="str">
        <f t="shared" si="250"/>
        <v>July</v>
      </c>
      <c r="C5165" s="46" t="s">
        <v>280</v>
      </c>
      <c r="F5165" s="366" t="s">
        <v>2695</v>
      </c>
      <c r="G5165" s="46" t="s">
        <v>19</v>
      </c>
      <c r="H5165" s="46">
        <v>1</v>
      </c>
      <c r="I5165" s="51">
        <v>6412.03</v>
      </c>
      <c r="J5165" s="281">
        <f>++Tabla4[[#This Row],[Precio Bruto]]*1.16</f>
        <v>7437.9547999999995</v>
      </c>
      <c r="K5165" s="281">
        <f>+Tabla4[[#This Row],[Precio Unitario Neto]]*Tabla4[[#Headers],[20.85%]]</f>
        <v>1550.8135757999999</v>
      </c>
      <c r="L5165" s="282">
        <f>++Tabla4[[#This Row],[Precio Unitario Neto]]-Tabla4[[#This Row],[20.85%]]</f>
        <v>5887.1412241999997</v>
      </c>
      <c r="M5165" s="282" t="e">
        <f>(INDEX(Tabla6[#All],MATCH(Tabla4[[#This Row],[Producto]],Tabla6[[#All],[PRODUCTO]],0),MATCH(Tabla4[[#This Row],[Mes]],Tabla6[#Headers],0)))*(1+Catalogos!$L$2)</f>
        <v>#N/A</v>
      </c>
      <c r="N5165" s="283" t="e">
        <f>+(Tabla4[[#This Row],[Precio Descontado]]-Tabla4[[#This Row],[Precio Base]])*Tabla4[[#This Row],[Cantidad]]</f>
        <v>#N/A</v>
      </c>
      <c r="O5165" s="284" t="e">
        <f>++Tabla4[[#This Row],[Utilidad Total]]/Tabla4[[#This Row],[Total]]</f>
        <v>#N/A</v>
      </c>
      <c r="P5165" s="282">
        <f>++Tabla4[[#This Row],[Precio Descontado]]*Tabla4[[#This Row],[Cantidad]]</f>
        <v>5887.1412241999997</v>
      </c>
      <c r="Q5165" s="282" t="e">
        <f>(INDEX(Tabla6[#All],MATCH(Tabla4[[#This Row],[Producto]],Tabla6[[#All],[PRODUCTO]],0),MATCH(Tabla4[[#This Row],[Mes]],Tabla6[#Headers],0)))</f>
        <v>#N/A</v>
      </c>
      <c r="R5165" s="282" t="e">
        <f>++Tabla4[[#This Row],[Precio Unitario Neto]]-Tabla4[[#This Row],[20.85%]]-Tabla4[[#This Row],[Costo]]</f>
        <v>#N/A</v>
      </c>
      <c r="S5165" s="282" t="e">
        <f>++Tabla4[[#This Row],[U. Bruta Uni]]*Tabla4[[#This Row],[Cantidad]]</f>
        <v>#N/A</v>
      </c>
      <c r="T5165" s="369" t="str">
        <f>VLOOKUP(Tabla4[[#This Row],[Producto]],Tabla6[#All],14,FALSE)</f>
        <v>Termico Solar</v>
      </c>
      <c r="U5165" s="284" t="e">
        <f>(IF(Tabla4[[#This Row],[Familia]]="termico solar",Tabla4[[#This Row],[Utilidad Total]]*6%,Tabla4[[#This Row],[Utilidad Total]]*11.5%))/Tabla4[[#This Row],[Total]]</f>
        <v>#N/A</v>
      </c>
      <c r="V5165" s="282" t="e">
        <f>+Tabla4[[#This Row],[Comisión Calculada]]*Tabla4[[#This Row],[Total]]</f>
        <v>#N/A</v>
      </c>
    </row>
    <row r="5166" spans="1:22" hidden="1" x14ac:dyDescent="0.25">
      <c r="A5166" s="100">
        <v>45869</v>
      </c>
      <c r="B5166" t="str">
        <f t="shared" si="250"/>
        <v>July</v>
      </c>
      <c r="C5166" s="46" t="s">
        <v>280</v>
      </c>
      <c r="F5166" s="366" t="s">
        <v>2695</v>
      </c>
      <c r="G5166" s="46" t="s">
        <v>208</v>
      </c>
      <c r="H5166" s="46">
        <v>4</v>
      </c>
      <c r="I5166" s="51">
        <v>189.75</v>
      </c>
      <c r="J5166" s="281">
        <f>++Tabla4[[#This Row],[Precio Bruto]]*1.16</f>
        <v>220.10999999999999</v>
      </c>
      <c r="K5166" s="281">
        <f>+Tabla4[[#This Row],[Precio Unitario Neto]]*Tabla4[[#Headers],[20.85%]]</f>
        <v>45.892934999999994</v>
      </c>
      <c r="L5166" s="282">
        <f>++Tabla4[[#This Row],[Precio Unitario Neto]]-Tabla4[[#This Row],[20.85%]]</f>
        <v>174.21706499999999</v>
      </c>
      <c r="M5166" s="282" t="e">
        <f>(INDEX(Tabla6[#All],MATCH(Tabla4[[#This Row],[Producto]],Tabla6[[#All],[PRODUCTO]],0),MATCH(Tabla4[[#This Row],[Mes]],Tabla6[#Headers],0)))*(1+Catalogos!$L$2)</f>
        <v>#N/A</v>
      </c>
      <c r="N5166" s="283" t="e">
        <f>+(Tabla4[[#This Row],[Precio Descontado]]-Tabla4[[#This Row],[Precio Base]])*Tabla4[[#This Row],[Cantidad]]</f>
        <v>#N/A</v>
      </c>
      <c r="O5166" s="284" t="e">
        <f>++Tabla4[[#This Row],[Utilidad Total]]/Tabla4[[#This Row],[Total]]</f>
        <v>#N/A</v>
      </c>
      <c r="P5166" s="282">
        <f>++Tabla4[[#This Row],[Precio Descontado]]*Tabla4[[#This Row],[Cantidad]]</f>
        <v>696.86825999999996</v>
      </c>
      <c r="Q5166" s="282" t="e">
        <f>(INDEX(Tabla6[#All],MATCH(Tabla4[[#This Row],[Producto]],Tabla6[[#All],[PRODUCTO]],0),MATCH(Tabla4[[#This Row],[Mes]],Tabla6[#Headers],0)))</f>
        <v>#N/A</v>
      </c>
      <c r="R5166" s="282" t="e">
        <f>++Tabla4[[#This Row],[Precio Unitario Neto]]-Tabla4[[#This Row],[20.85%]]-Tabla4[[#This Row],[Costo]]</f>
        <v>#N/A</v>
      </c>
      <c r="S5166" s="282" t="e">
        <f>++Tabla4[[#This Row],[U. Bruta Uni]]*Tabla4[[#This Row],[Cantidad]]</f>
        <v>#N/A</v>
      </c>
      <c r="T5166" s="369" t="str">
        <f>VLOOKUP(Tabla4[[#This Row],[Producto]],Tabla6[#All],14,FALSE)</f>
        <v>Termico Solar</v>
      </c>
      <c r="U5166" s="284" t="e">
        <f>(IF(Tabla4[[#This Row],[Familia]]="termico solar",Tabla4[[#This Row],[Utilidad Total]]*6%,Tabla4[[#This Row],[Utilidad Total]]*11.5%))/Tabla4[[#This Row],[Total]]</f>
        <v>#N/A</v>
      </c>
      <c r="V5166" s="282" t="e">
        <f>+Tabla4[[#This Row],[Comisión Calculada]]*Tabla4[[#This Row],[Total]]</f>
        <v>#N/A</v>
      </c>
    </row>
    <row r="5167" spans="1:22" hidden="1" x14ac:dyDescent="0.25">
      <c r="A5167" s="100">
        <v>45869</v>
      </c>
      <c r="B5167" t="str">
        <f t="shared" si="250"/>
        <v>July</v>
      </c>
      <c r="C5167" s="46" t="s">
        <v>280</v>
      </c>
      <c r="F5167" s="366" t="s">
        <v>2696</v>
      </c>
      <c r="G5167" s="46" t="s">
        <v>17</v>
      </c>
      <c r="H5167" s="46">
        <v>1</v>
      </c>
      <c r="I5167" s="51">
        <v>4622.28</v>
      </c>
      <c r="J5167" s="281">
        <f>++Tabla4[[#This Row],[Precio Bruto]]*1.16</f>
        <v>5361.8447999999989</v>
      </c>
      <c r="K5167" s="281">
        <f>+Tabla4[[#This Row],[Precio Unitario Neto]]*Tabla4[[#Headers],[20.85%]]</f>
        <v>1117.9446407999997</v>
      </c>
      <c r="L5167" s="282">
        <f>++Tabla4[[#This Row],[Precio Unitario Neto]]-Tabla4[[#This Row],[20.85%]]</f>
        <v>4243.9001591999995</v>
      </c>
      <c r="M5167" s="282" t="e">
        <f>(INDEX(Tabla6[#All],MATCH(Tabla4[[#This Row],[Producto]],Tabla6[[#All],[PRODUCTO]],0),MATCH(Tabla4[[#This Row],[Mes]],Tabla6[#Headers],0)))*(1+Catalogos!$L$2)</f>
        <v>#N/A</v>
      </c>
      <c r="N5167" s="283" t="e">
        <f>+(Tabla4[[#This Row],[Precio Descontado]]-Tabla4[[#This Row],[Precio Base]])*Tabla4[[#This Row],[Cantidad]]</f>
        <v>#N/A</v>
      </c>
      <c r="O5167" s="284" t="e">
        <f>++Tabla4[[#This Row],[Utilidad Total]]/Tabla4[[#This Row],[Total]]</f>
        <v>#N/A</v>
      </c>
      <c r="P5167" s="282">
        <f>++Tabla4[[#This Row],[Precio Descontado]]*Tabla4[[#This Row],[Cantidad]]</f>
        <v>4243.9001591999995</v>
      </c>
      <c r="Q5167" s="282" t="e">
        <f>(INDEX(Tabla6[#All],MATCH(Tabla4[[#This Row],[Producto]],Tabla6[[#All],[PRODUCTO]],0),MATCH(Tabla4[[#This Row],[Mes]],Tabla6[#Headers],0)))</f>
        <v>#N/A</v>
      </c>
      <c r="R5167" s="282" t="e">
        <f>++Tabla4[[#This Row],[Precio Unitario Neto]]-Tabla4[[#This Row],[20.85%]]-Tabla4[[#This Row],[Costo]]</f>
        <v>#N/A</v>
      </c>
      <c r="S5167" s="282" t="e">
        <f>++Tabla4[[#This Row],[U. Bruta Uni]]*Tabla4[[#This Row],[Cantidad]]</f>
        <v>#N/A</v>
      </c>
      <c r="T5167" s="369" t="str">
        <f>VLOOKUP(Tabla4[[#This Row],[Producto]],Tabla6[#All],14,FALSE)</f>
        <v>Termico Solar</v>
      </c>
      <c r="U5167" s="284" t="e">
        <f>(IF(Tabla4[[#This Row],[Familia]]="termico solar",Tabla4[[#This Row],[Utilidad Total]]*6%,Tabla4[[#This Row],[Utilidad Total]]*11.5%))/Tabla4[[#This Row],[Total]]</f>
        <v>#N/A</v>
      </c>
      <c r="V5167" s="282" t="e">
        <f>+Tabla4[[#This Row],[Comisión Calculada]]*Tabla4[[#This Row],[Total]]</f>
        <v>#N/A</v>
      </c>
    </row>
    <row r="5168" spans="1:22" hidden="1" x14ac:dyDescent="0.25">
      <c r="A5168" s="100">
        <v>45869</v>
      </c>
      <c r="B5168" t="str">
        <f t="shared" si="250"/>
        <v>July</v>
      </c>
      <c r="C5168" s="46" t="s">
        <v>280</v>
      </c>
      <c r="F5168" s="366" t="s">
        <v>2696</v>
      </c>
      <c r="G5168" s="46" t="s">
        <v>566</v>
      </c>
      <c r="H5168" s="46">
        <v>1</v>
      </c>
      <c r="I5168" s="51">
        <v>2109.4499999999998</v>
      </c>
      <c r="J5168" s="281">
        <f>++Tabla4[[#This Row],[Precio Bruto]]*1.16</f>
        <v>2446.9619999999995</v>
      </c>
      <c r="K5168" s="281">
        <f>+Tabla4[[#This Row],[Precio Unitario Neto]]*Tabla4[[#Headers],[20.85%]]</f>
        <v>510.19157699999988</v>
      </c>
      <c r="L5168" s="282">
        <f>++Tabla4[[#This Row],[Precio Unitario Neto]]-Tabla4[[#This Row],[20.85%]]</f>
        <v>1936.7704229999997</v>
      </c>
      <c r="M5168" s="282" t="e">
        <f>(INDEX(Tabla6[#All],MATCH(Tabla4[[#This Row],[Producto]],Tabla6[[#All],[PRODUCTO]],0),MATCH(Tabla4[[#This Row],[Mes]],Tabla6[#Headers],0)))*(1+Catalogos!$L$2)</f>
        <v>#N/A</v>
      </c>
      <c r="N5168" s="283" t="e">
        <f>+(Tabla4[[#This Row],[Precio Descontado]]-Tabla4[[#This Row],[Precio Base]])*Tabla4[[#This Row],[Cantidad]]</f>
        <v>#N/A</v>
      </c>
      <c r="O5168" s="284" t="e">
        <f>++Tabla4[[#This Row],[Utilidad Total]]/Tabla4[[#This Row],[Total]]</f>
        <v>#N/A</v>
      </c>
      <c r="P5168" s="282">
        <f>++Tabla4[[#This Row],[Precio Descontado]]*Tabla4[[#This Row],[Cantidad]]</f>
        <v>1936.7704229999997</v>
      </c>
      <c r="Q5168" s="282" t="e">
        <f>(INDEX(Tabla6[#All],MATCH(Tabla4[[#This Row],[Producto]],Tabla6[[#All],[PRODUCTO]],0),MATCH(Tabla4[[#This Row],[Mes]],Tabla6[#Headers],0)))</f>
        <v>#N/A</v>
      </c>
      <c r="R5168" s="282" t="e">
        <f>++Tabla4[[#This Row],[Precio Unitario Neto]]-Tabla4[[#This Row],[20.85%]]-Tabla4[[#This Row],[Costo]]</f>
        <v>#N/A</v>
      </c>
      <c r="S5168" s="282" t="e">
        <f>++Tabla4[[#This Row],[U. Bruta Uni]]*Tabla4[[#This Row],[Cantidad]]</f>
        <v>#N/A</v>
      </c>
      <c r="T5168" s="369" t="str">
        <f>VLOOKUP(Tabla4[[#This Row],[Producto]],Tabla6[#All],14,FALSE)</f>
        <v>Termico Solar</v>
      </c>
      <c r="U5168" s="284" t="e">
        <f>(IF(Tabla4[[#This Row],[Familia]]="termico solar",Tabla4[[#This Row],[Utilidad Total]]*6%,Tabla4[[#This Row],[Utilidad Total]]*11.5%))/Tabla4[[#This Row],[Total]]</f>
        <v>#N/A</v>
      </c>
      <c r="V5168" s="282" t="e">
        <f>+Tabla4[[#This Row],[Comisión Calculada]]*Tabla4[[#This Row],[Total]]</f>
        <v>#N/A</v>
      </c>
    </row>
    <row r="5169" spans="1:22" hidden="1" x14ac:dyDescent="0.25">
      <c r="A5169" s="100">
        <v>45869</v>
      </c>
      <c r="B5169" t="str">
        <f t="shared" si="250"/>
        <v>July</v>
      </c>
      <c r="C5169" s="46" t="s">
        <v>280</v>
      </c>
      <c r="F5169" s="366" t="s">
        <v>2696</v>
      </c>
      <c r="G5169" s="46" t="s">
        <v>16</v>
      </c>
      <c r="H5169" s="46">
        <v>1</v>
      </c>
      <c r="I5169" s="51">
        <v>4103.8500000000004</v>
      </c>
      <c r="J5169" s="281">
        <f>++Tabla4[[#This Row],[Precio Bruto]]*1.16</f>
        <v>4760.4660000000003</v>
      </c>
      <c r="K5169" s="281">
        <f>+Tabla4[[#This Row],[Precio Unitario Neto]]*Tabla4[[#Headers],[20.85%]]</f>
        <v>992.55716100000006</v>
      </c>
      <c r="L5169" s="282">
        <f>++Tabla4[[#This Row],[Precio Unitario Neto]]-Tabla4[[#This Row],[20.85%]]</f>
        <v>3767.9088390000002</v>
      </c>
      <c r="M5169" s="282" t="e">
        <f>(INDEX(Tabla6[#All],MATCH(Tabla4[[#This Row],[Producto]],Tabla6[[#All],[PRODUCTO]],0),MATCH(Tabla4[[#This Row],[Mes]],Tabla6[#Headers],0)))*(1+Catalogos!$L$2)</f>
        <v>#N/A</v>
      </c>
      <c r="N5169" s="283" t="e">
        <f>+(Tabla4[[#This Row],[Precio Descontado]]-Tabla4[[#This Row],[Precio Base]])*Tabla4[[#This Row],[Cantidad]]</f>
        <v>#N/A</v>
      </c>
      <c r="O5169" s="284" t="e">
        <f>++Tabla4[[#This Row],[Utilidad Total]]/Tabla4[[#This Row],[Total]]</f>
        <v>#N/A</v>
      </c>
      <c r="P5169" s="282">
        <f>++Tabla4[[#This Row],[Precio Descontado]]*Tabla4[[#This Row],[Cantidad]]</f>
        <v>3767.9088390000002</v>
      </c>
      <c r="Q5169" s="282" t="e">
        <f>(INDEX(Tabla6[#All],MATCH(Tabla4[[#This Row],[Producto]],Tabla6[[#All],[PRODUCTO]],0),MATCH(Tabla4[[#This Row],[Mes]],Tabla6[#Headers],0)))</f>
        <v>#N/A</v>
      </c>
      <c r="R5169" s="282" t="e">
        <f>++Tabla4[[#This Row],[Precio Unitario Neto]]-Tabla4[[#This Row],[20.85%]]-Tabla4[[#This Row],[Costo]]</f>
        <v>#N/A</v>
      </c>
      <c r="S5169" s="282" t="e">
        <f>++Tabla4[[#This Row],[U. Bruta Uni]]*Tabla4[[#This Row],[Cantidad]]</f>
        <v>#N/A</v>
      </c>
      <c r="T5169" s="369" t="str">
        <f>VLOOKUP(Tabla4[[#This Row],[Producto]],Tabla6[#All],14,FALSE)</f>
        <v>Termico Solar</v>
      </c>
      <c r="U5169" s="284" t="e">
        <f>(IF(Tabla4[[#This Row],[Familia]]="termico solar",Tabla4[[#This Row],[Utilidad Total]]*6%,Tabla4[[#This Row],[Utilidad Total]]*11.5%))/Tabla4[[#This Row],[Total]]</f>
        <v>#N/A</v>
      </c>
      <c r="V5169" s="282" t="e">
        <f>+Tabla4[[#This Row],[Comisión Calculada]]*Tabla4[[#This Row],[Total]]</f>
        <v>#N/A</v>
      </c>
    </row>
    <row r="5170" spans="1:22" hidden="1" x14ac:dyDescent="0.25">
      <c r="A5170" s="100">
        <v>45869</v>
      </c>
      <c r="B5170" t="str">
        <f t="shared" si="250"/>
        <v>July</v>
      </c>
      <c r="C5170" s="46" t="s">
        <v>280</v>
      </c>
      <c r="F5170" s="366" t="s">
        <v>2696</v>
      </c>
      <c r="G5170" s="46" t="s">
        <v>208</v>
      </c>
      <c r="H5170" s="46">
        <v>1</v>
      </c>
      <c r="I5170" s="51">
        <v>189.75</v>
      </c>
      <c r="J5170" s="281">
        <f>++Tabla4[[#This Row],[Precio Bruto]]*1.16</f>
        <v>220.10999999999999</v>
      </c>
      <c r="K5170" s="281">
        <f>+Tabla4[[#This Row],[Precio Unitario Neto]]*Tabla4[[#Headers],[20.85%]]</f>
        <v>45.892934999999994</v>
      </c>
      <c r="L5170" s="282">
        <f>++Tabla4[[#This Row],[Precio Unitario Neto]]-Tabla4[[#This Row],[20.85%]]</f>
        <v>174.21706499999999</v>
      </c>
      <c r="M5170" s="282" t="e">
        <f>(INDEX(Tabla6[#All],MATCH(Tabla4[[#This Row],[Producto]],Tabla6[[#All],[PRODUCTO]],0),MATCH(Tabla4[[#This Row],[Mes]],Tabla6[#Headers],0)))*(1+Catalogos!$L$2)</f>
        <v>#N/A</v>
      </c>
      <c r="N5170" s="283" t="e">
        <f>+(Tabla4[[#This Row],[Precio Descontado]]-Tabla4[[#This Row],[Precio Base]])*Tabla4[[#This Row],[Cantidad]]</f>
        <v>#N/A</v>
      </c>
      <c r="O5170" s="284" t="e">
        <f>++Tabla4[[#This Row],[Utilidad Total]]/Tabla4[[#This Row],[Total]]</f>
        <v>#N/A</v>
      </c>
      <c r="P5170" s="282">
        <f>++Tabla4[[#This Row],[Precio Descontado]]*Tabla4[[#This Row],[Cantidad]]</f>
        <v>174.21706499999999</v>
      </c>
      <c r="Q5170" s="282" t="e">
        <f>(INDEX(Tabla6[#All],MATCH(Tabla4[[#This Row],[Producto]],Tabla6[[#All],[PRODUCTO]],0),MATCH(Tabla4[[#This Row],[Mes]],Tabla6[#Headers],0)))</f>
        <v>#N/A</v>
      </c>
      <c r="R5170" s="282" t="e">
        <f>++Tabla4[[#This Row],[Precio Unitario Neto]]-Tabla4[[#This Row],[20.85%]]-Tabla4[[#This Row],[Costo]]</f>
        <v>#N/A</v>
      </c>
      <c r="S5170" s="282" t="e">
        <f>++Tabla4[[#This Row],[U. Bruta Uni]]*Tabla4[[#This Row],[Cantidad]]</f>
        <v>#N/A</v>
      </c>
      <c r="T5170" s="369" t="str">
        <f>VLOOKUP(Tabla4[[#This Row],[Producto]],Tabla6[#All],14,FALSE)</f>
        <v>Termico Solar</v>
      </c>
      <c r="U5170" s="284" t="e">
        <f>(IF(Tabla4[[#This Row],[Familia]]="termico solar",Tabla4[[#This Row],[Utilidad Total]]*6%,Tabla4[[#This Row],[Utilidad Total]]*11.5%))/Tabla4[[#This Row],[Total]]</f>
        <v>#N/A</v>
      </c>
      <c r="V5170" s="282" t="e">
        <f>+Tabla4[[#This Row],[Comisión Calculada]]*Tabla4[[#This Row],[Total]]</f>
        <v>#N/A</v>
      </c>
    </row>
    <row r="5171" spans="1:22" hidden="1" x14ac:dyDescent="0.25">
      <c r="A5171" s="100">
        <v>45869</v>
      </c>
      <c r="B5171" t="str">
        <f t="shared" si="250"/>
        <v>July</v>
      </c>
      <c r="C5171" s="46" t="s">
        <v>280</v>
      </c>
      <c r="F5171" s="366" t="s">
        <v>2697</v>
      </c>
      <c r="G5171" s="46" t="s">
        <v>18</v>
      </c>
      <c r="H5171" s="46">
        <v>1</v>
      </c>
      <c r="I5171" s="51">
        <v>5367.65</v>
      </c>
      <c r="J5171" s="281">
        <f>++Tabla4[[#This Row],[Precio Bruto]]*1.16</f>
        <v>6226.4739999999993</v>
      </c>
      <c r="K5171" s="281">
        <f>+Tabla4[[#This Row],[Precio Unitario Neto]]*Tabla4[[#Headers],[20.85%]]</f>
        <v>1298.2198289999999</v>
      </c>
      <c r="L5171" s="282">
        <f>++Tabla4[[#This Row],[Precio Unitario Neto]]-Tabla4[[#This Row],[20.85%]]</f>
        <v>4928.2541709999996</v>
      </c>
      <c r="M5171" s="282" t="e">
        <f>(INDEX(Tabla6[#All],MATCH(Tabla4[[#This Row],[Producto]],Tabla6[[#All],[PRODUCTO]],0),MATCH(Tabla4[[#This Row],[Mes]],Tabla6[#Headers],0)))*(1+Catalogos!$L$2)</f>
        <v>#N/A</v>
      </c>
      <c r="N5171" s="283" t="e">
        <f>+(Tabla4[[#This Row],[Precio Descontado]]-Tabla4[[#This Row],[Precio Base]])*Tabla4[[#This Row],[Cantidad]]</f>
        <v>#N/A</v>
      </c>
      <c r="O5171" s="284" t="e">
        <f>++Tabla4[[#This Row],[Utilidad Total]]/Tabla4[[#This Row],[Total]]</f>
        <v>#N/A</v>
      </c>
      <c r="P5171" s="282">
        <f>++Tabla4[[#This Row],[Precio Descontado]]*Tabla4[[#This Row],[Cantidad]]</f>
        <v>4928.2541709999996</v>
      </c>
      <c r="Q5171" s="282" t="e">
        <f>(INDEX(Tabla6[#All],MATCH(Tabla4[[#This Row],[Producto]],Tabla6[[#All],[PRODUCTO]],0),MATCH(Tabla4[[#This Row],[Mes]],Tabla6[#Headers],0)))</f>
        <v>#N/A</v>
      </c>
      <c r="R5171" s="282" t="e">
        <f>++Tabla4[[#This Row],[Precio Unitario Neto]]-Tabla4[[#This Row],[20.85%]]-Tabla4[[#This Row],[Costo]]</f>
        <v>#N/A</v>
      </c>
      <c r="S5171" s="282" t="e">
        <f>++Tabla4[[#This Row],[U. Bruta Uni]]*Tabla4[[#This Row],[Cantidad]]</f>
        <v>#N/A</v>
      </c>
      <c r="T5171" s="369" t="str">
        <f>VLOOKUP(Tabla4[[#This Row],[Producto]],Tabla6[#All],14,FALSE)</f>
        <v>Termico Solar</v>
      </c>
      <c r="U5171" s="284" t="e">
        <f>(IF(Tabla4[[#This Row],[Familia]]="termico solar",Tabla4[[#This Row],[Utilidad Total]]*6%,Tabla4[[#This Row],[Utilidad Total]]*11.5%))/Tabla4[[#This Row],[Total]]</f>
        <v>#N/A</v>
      </c>
      <c r="V5171" s="282" t="e">
        <f>+Tabla4[[#This Row],[Comisión Calculada]]*Tabla4[[#This Row],[Total]]</f>
        <v>#N/A</v>
      </c>
    </row>
    <row r="5172" spans="1:22" hidden="1" x14ac:dyDescent="0.25">
      <c r="A5172" s="100">
        <v>45869</v>
      </c>
      <c r="B5172" t="str">
        <f t="shared" si="250"/>
        <v>July</v>
      </c>
      <c r="C5172" s="46" t="s">
        <v>280</v>
      </c>
      <c r="F5172" s="366" t="s">
        <v>2697</v>
      </c>
      <c r="G5172" s="46" t="s">
        <v>566</v>
      </c>
      <c r="H5172" s="46">
        <v>1</v>
      </c>
      <c r="I5172" s="51">
        <v>2109.4499999999998</v>
      </c>
      <c r="J5172" s="281">
        <f>++Tabla4[[#This Row],[Precio Bruto]]*1.16</f>
        <v>2446.9619999999995</v>
      </c>
      <c r="K5172" s="281">
        <f>+Tabla4[[#This Row],[Precio Unitario Neto]]*Tabla4[[#Headers],[20.85%]]</f>
        <v>510.19157699999988</v>
      </c>
      <c r="L5172" s="282">
        <f>++Tabla4[[#This Row],[Precio Unitario Neto]]-Tabla4[[#This Row],[20.85%]]</f>
        <v>1936.7704229999997</v>
      </c>
      <c r="M5172" s="282" t="e">
        <f>(INDEX(Tabla6[#All],MATCH(Tabla4[[#This Row],[Producto]],Tabla6[[#All],[PRODUCTO]],0),MATCH(Tabla4[[#This Row],[Mes]],Tabla6[#Headers],0)))*(1+Catalogos!$L$2)</f>
        <v>#N/A</v>
      </c>
      <c r="N5172" s="283" t="e">
        <f>+(Tabla4[[#This Row],[Precio Descontado]]-Tabla4[[#This Row],[Precio Base]])*Tabla4[[#This Row],[Cantidad]]</f>
        <v>#N/A</v>
      </c>
      <c r="O5172" s="284" t="e">
        <f>++Tabla4[[#This Row],[Utilidad Total]]/Tabla4[[#This Row],[Total]]</f>
        <v>#N/A</v>
      </c>
      <c r="P5172" s="282">
        <f>++Tabla4[[#This Row],[Precio Descontado]]*Tabla4[[#This Row],[Cantidad]]</f>
        <v>1936.7704229999997</v>
      </c>
      <c r="Q5172" s="282" t="e">
        <f>(INDEX(Tabla6[#All],MATCH(Tabla4[[#This Row],[Producto]],Tabla6[[#All],[PRODUCTO]],0),MATCH(Tabla4[[#This Row],[Mes]],Tabla6[#Headers],0)))</f>
        <v>#N/A</v>
      </c>
      <c r="R5172" s="282" t="e">
        <f>++Tabla4[[#This Row],[Precio Unitario Neto]]-Tabla4[[#This Row],[20.85%]]-Tabla4[[#This Row],[Costo]]</f>
        <v>#N/A</v>
      </c>
      <c r="S5172" s="282" t="e">
        <f>++Tabla4[[#This Row],[U. Bruta Uni]]*Tabla4[[#This Row],[Cantidad]]</f>
        <v>#N/A</v>
      </c>
      <c r="T5172" s="369" t="str">
        <f>VLOOKUP(Tabla4[[#This Row],[Producto]],Tabla6[#All],14,FALSE)</f>
        <v>Termico Solar</v>
      </c>
      <c r="U5172" s="284" t="e">
        <f>(IF(Tabla4[[#This Row],[Familia]]="termico solar",Tabla4[[#This Row],[Utilidad Total]]*6%,Tabla4[[#This Row],[Utilidad Total]]*11.5%))/Tabla4[[#This Row],[Total]]</f>
        <v>#N/A</v>
      </c>
      <c r="V5172" s="282" t="e">
        <f>+Tabla4[[#This Row],[Comisión Calculada]]*Tabla4[[#This Row],[Total]]</f>
        <v>#N/A</v>
      </c>
    </row>
    <row r="5173" spans="1:22" hidden="1" x14ac:dyDescent="0.25">
      <c r="A5173" s="100">
        <v>45884</v>
      </c>
      <c r="B5173" t="str">
        <f t="shared" si="250"/>
        <v>August</v>
      </c>
      <c r="C5173" s="46" t="s">
        <v>280</v>
      </c>
      <c r="F5173" s="366" t="s">
        <v>2701</v>
      </c>
      <c r="G5173" s="46" t="s">
        <v>412</v>
      </c>
      <c r="H5173" s="46">
        <v>5</v>
      </c>
      <c r="I5173" s="51">
        <v>3240.84</v>
      </c>
      <c r="J5173" s="281">
        <f>++Tabla4[[#This Row],[Precio Bruto]]*1.16</f>
        <v>3759.3743999999997</v>
      </c>
      <c r="K5173" s="281">
        <f>+Tabla4[[#This Row],[Precio Unitario Neto]]*Tabla4[[#Headers],[20.85%]]</f>
        <v>783.82956239999987</v>
      </c>
      <c r="L5173" s="282">
        <f>++Tabla4[[#This Row],[Precio Unitario Neto]]-Tabla4[[#This Row],[20.85%]]</f>
        <v>2975.5448375999999</v>
      </c>
      <c r="M5173" s="282" t="e">
        <f>(INDEX(Tabla6[#All],MATCH(Tabla4[[#This Row],[Producto]],Tabla6[[#All],[PRODUCTO]],0),MATCH(Tabla4[[#This Row],[Mes]],Tabla6[#Headers],0)))*(1+Catalogos!$L$2)</f>
        <v>#N/A</v>
      </c>
      <c r="N5173" s="283" t="e">
        <f>+(Tabla4[[#This Row],[Precio Descontado]]-Tabla4[[#This Row],[Precio Base]])*Tabla4[[#This Row],[Cantidad]]</f>
        <v>#N/A</v>
      </c>
      <c r="O5173" s="284" t="e">
        <f>++Tabla4[[#This Row],[Utilidad Total]]/Tabla4[[#This Row],[Total]]</f>
        <v>#N/A</v>
      </c>
      <c r="P5173" s="282">
        <f>++Tabla4[[#This Row],[Precio Descontado]]*Tabla4[[#This Row],[Cantidad]]</f>
        <v>14877.724188</v>
      </c>
      <c r="Q5173" s="282" t="e">
        <f>(INDEX(Tabla6[#All],MATCH(Tabla4[[#This Row],[Producto]],Tabla6[[#All],[PRODUCTO]],0),MATCH(Tabla4[[#This Row],[Mes]],Tabla6[#Headers],0)))</f>
        <v>#N/A</v>
      </c>
      <c r="R5173" s="282" t="e">
        <f>++Tabla4[[#This Row],[Precio Unitario Neto]]-Tabla4[[#This Row],[20.85%]]-Tabla4[[#This Row],[Costo]]</f>
        <v>#N/A</v>
      </c>
      <c r="S5173" s="282" t="e">
        <f>++Tabla4[[#This Row],[U. Bruta Uni]]*Tabla4[[#This Row],[Cantidad]]</f>
        <v>#N/A</v>
      </c>
      <c r="T5173" s="369" t="str">
        <f>VLOOKUP(Tabla4[[#This Row],[Producto]],Tabla6[#All],14,FALSE)</f>
        <v>Termico Solar</v>
      </c>
      <c r="U5173" s="284" t="e">
        <f>(IF(Tabla4[[#This Row],[Familia]]="termico solar",Tabla4[[#This Row],[Utilidad Total]]*6%,Tabla4[[#This Row],[Utilidad Total]]*11.5%))/Tabla4[[#This Row],[Total]]</f>
        <v>#N/A</v>
      </c>
      <c r="V5173" s="282" t="e">
        <f>+Tabla4[[#This Row],[Comisión Calculada]]*Tabla4[[#This Row],[Total]]</f>
        <v>#N/A</v>
      </c>
    </row>
    <row r="5174" spans="1:22" hidden="1" x14ac:dyDescent="0.25">
      <c r="A5174" s="100">
        <v>45884</v>
      </c>
      <c r="B5174" t="str">
        <f t="shared" ref="B5174:B5180" si="251">TEXT(A5174, "mmmm")</f>
        <v>August</v>
      </c>
      <c r="C5174" s="46" t="s">
        <v>280</v>
      </c>
      <c r="F5174" s="366" t="s">
        <v>2702</v>
      </c>
      <c r="G5174" s="46" t="s">
        <v>83</v>
      </c>
      <c r="H5174" s="46">
        <v>2</v>
      </c>
      <c r="I5174" s="51">
        <v>8858.76</v>
      </c>
      <c r="J5174" s="281">
        <f>++Tabla4[[#This Row],[Precio Bruto]]*1.16</f>
        <v>10276.161599999999</v>
      </c>
      <c r="K5174" s="281">
        <f>+Tabla4[[#This Row],[Precio Unitario Neto]]*Tabla4[[#Headers],[20.85%]]</f>
        <v>2142.5796935999997</v>
      </c>
      <c r="L5174" s="282">
        <f>++Tabla4[[#This Row],[Precio Unitario Neto]]-Tabla4[[#This Row],[20.85%]]</f>
        <v>8133.5819063999998</v>
      </c>
      <c r="M5174" s="282" t="e">
        <f>(INDEX(Tabla6[#All],MATCH(Tabla4[[#This Row],[Producto]],Tabla6[[#All],[PRODUCTO]],0),MATCH(Tabla4[[#This Row],[Mes]],Tabla6[#Headers],0)))*(1+Catalogos!$L$2)</f>
        <v>#N/A</v>
      </c>
      <c r="N5174" s="283" t="e">
        <f>+(Tabla4[[#This Row],[Precio Descontado]]-Tabla4[[#This Row],[Precio Base]])*Tabla4[[#This Row],[Cantidad]]</f>
        <v>#N/A</v>
      </c>
      <c r="O5174" s="284" t="e">
        <f>++Tabla4[[#This Row],[Utilidad Total]]/Tabla4[[#This Row],[Total]]</f>
        <v>#N/A</v>
      </c>
      <c r="P5174" s="282">
        <f>++Tabla4[[#This Row],[Precio Descontado]]*Tabla4[[#This Row],[Cantidad]]</f>
        <v>16267.1638128</v>
      </c>
      <c r="Q5174" s="282" t="e">
        <f>(INDEX(Tabla6[#All],MATCH(Tabla4[[#This Row],[Producto]],Tabla6[[#All],[PRODUCTO]],0),MATCH(Tabla4[[#This Row],[Mes]],Tabla6[#Headers],0)))</f>
        <v>#N/A</v>
      </c>
      <c r="R5174" s="282" t="e">
        <f>++Tabla4[[#This Row],[Precio Unitario Neto]]-Tabla4[[#This Row],[20.85%]]-Tabla4[[#This Row],[Costo]]</f>
        <v>#N/A</v>
      </c>
      <c r="S5174" s="282" t="e">
        <f>++Tabla4[[#This Row],[U. Bruta Uni]]*Tabla4[[#This Row],[Cantidad]]</f>
        <v>#N/A</v>
      </c>
      <c r="T5174" s="369" t="str">
        <f>VLOOKUP(Tabla4[[#This Row],[Producto]],Tabla6[#All],14,FALSE)</f>
        <v>Termico Solar</v>
      </c>
      <c r="U5174" s="284" t="e">
        <f>(IF(Tabla4[[#This Row],[Familia]]="termico solar",Tabla4[[#This Row],[Utilidad Total]]*6%,Tabla4[[#This Row],[Utilidad Total]]*11.5%))/Tabla4[[#This Row],[Total]]</f>
        <v>#N/A</v>
      </c>
      <c r="V5174" s="282" t="e">
        <f>+Tabla4[[#This Row],[Comisión Calculada]]*Tabla4[[#This Row],[Total]]</f>
        <v>#N/A</v>
      </c>
    </row>
    <row r="5175" spans="1:22" hidden="1" x14ac:dyDescent="0.25">
      <c r="A5175" s="100">
        <v>45884</v>
      </c>
      <c r="B5175" t="str">
        <f t="shared" si="251"/>
        <v>August</v>
      </c>
      <c r="C5175" s="46" t="s">
        <v>280</v>
      </c>
      <c r="F5175" s="366" t="s">
        <v>2702</v>
      </c>
      <c r="G5175" s="46" t="s">
        <v>18</v>
      </c>
      <c r="H5175" s="46">
        <v>4</v>
      </c>
      <c r="I5175" s="51">
        <v>5367.65</v>
      </c>
      <c r="J5175" s="281">
        <f>++Tabla4[[#This Row],[Precio Bruto]]*1.16</f>
        <v>6226.4739999999993</v>
      </c>
      <c r="K5175" s="281">
        <f>+Tabla4[[#This Row],[Precio Unitario Neto]]*Tabla4[[#Headers],[20.85%]]</f>
        <v>1298.2198289999999</v>
      </c>
      <c r="L5175" s="282">
        <f>++Tabla4[[#This Row],[Precio Unitario Neto]]-Tabla4[[#This Row],[20.85%]]</f>
        <v>4928.2541709999996</v>
      </c>
      <c r="M5175" s="282" t="e">
        <f>(INDEX(Tabla6[#All],MATCH(Tabla4[[#This Row],[Producto]],Tabla6[[#All],[PRODUCTO]],0),MATCH(Tabla4[[#This Row],[Mes]],Tabla6[#Headers],0)))*(1+Catalogos!$L$2)</f>
        <v>#N/A</v>
      </c>
      <c r="N5175" s="283" t="e">
        <f>+(Tabla4[[#This Row],[Precio Descontado]]-Tabla4[[#This Row],[Precio Base]])*Tabla4[[#This Row],[Cantidad]]</f>
        <v>#N/A</v>
      </c>
      <c r="O5175" s="284" t="e">
        <f>++Tabla4[[#This Row],[Utilidad Total]]/Tabla4[[#This Row],[Total]]</f>
        <v>#N/A</v>
      </c>
      <c r="P5175" s="282">
        <f>++Tabla4[[#This Row],[Precio Descontado]]*Tabla4[[#This Row],[Cantidad]]</f>
        <v>19713.016683999998</v>
      </c>
      <c r="Q5175" s="282" t="e">
        <f>(INDEX(Tabla6[#All],MATCH(Tabla4[[#This Row],[Producto]],Tabla6[[#All],[PRODUCTO]],0),MATCH(Tabla4[[#This Row],[Mes]],Tabla6[#Headers],0)))</f>
        <v>#N/A</v>
      </c>
      <c r="R5175" s="282" t="e">
        <f>++Tabla4[[#This Row],[Precio Unitario Neto]]-Tabla4[[#This Row],[20.85%]]-Tabla4[[#This Row],[Costo]]</f>
        <v>#N/A</v>
      </c>
      <c r="S5175" s="282" t="e">
        <f>++Tabla4[[#This Row],[U. Bruta Uni]]*Tabla4[[#This Row],[Cantidad]]</f>
        <v>#N/A</v>
      </c>
      <c r="T5175" s="369" t="str">
        <f>VLOOKUP(Tabla4[[#This Row],[Producto]],Tabla6[#All],14,FALSE)</f>
        <v>Termico Solar</v>
      </c>
      <c r="U5175" s="284" t="e">
        <f>(IF(Tabla4[[#This Row],[Familia]]="termico solar",Tabla4[[#This Row],[Utilidad Total]]*6%,Tabla4[[#This Row],[Utilidad Total]]*11.5%))/Tabla4[[#This Row],[Total]]</f>
        <v>#N/A</v>
      </c>
      <c r="V5175" s="282" t="e">
        <f>+Tabla4[[#This Row],[Comisión Calculada]]*Tabla4[[#This Row],[Total]]</f>
        <v>#N/A</v>
      </c>
    </row>
    <row r="5176" spans="1:22" hidden="1" x14ac:dyDescent="0.25">
      <c r="A5176" s="100">
        <v>45884</v>
      </c>
      <c r="B5176" t="str">
        <f t="shared" si="251"/>
        <v>August</v>
      </c>
      <c r="C5176" s="46" t="s">
        <v>280</v>
      </c>
      <c r="F5176" s="366" t="s">
        <v>2702</v>
      </c>
      <c r="G5176" s="46" t="s">
        <v>19</v>
      </c>
      <c r="H5176" s="46">
        <v>1</v>
      </c>
      <c r="I5176" s="51">
        <v>6412.03</v>
      </c>
      <c r="J5176" s="281">
        <f>++Tabla4[[#This Row],[Precio Bruto]]*1.16</f>
        <v>7437.9547999999995</v>
      </c>
      <c r="K5176" s="281">
        <f>+Tabla4[[#This Row],[Precio Unitario Neto]]*Tabla4[[#Headers],[20.85%]]</f>
        <v>1550.8135757999999</v>
      </c>
      <c r="L5176" s="282">
        <f>++Tabla4[[#This Row],[Precio Unitario Neto]]-Tabla4[[#This Row],[20.85%]]</f>
        <v>5887.1412241999997</v>
      </c>
      <c r="M5176" s="282" t="e">
        <f>(INDEX(Tabla6[#All],MATCH(Tabla4[[#This Row],[Producto]],Tabla6[[#All],[PRODUCTO]],0),MATCH(Tabla4[[#This Row],[Mes]],Tabla6[#Headers],0)))*(1+Catalogos!$L$2)</f>
        <v>#N/A</v>
      </c>
      <c r="N5176" s="283" t="e">
        <f>+(Tabla4[[#This Row],[Precio Descontado]]-Tabla4[[#This Row],[Precio Base]])*Tabla4[[#This Row],[Cantidad]]</f>
        <v>#N/A</v>
      </c>
      <c r="O5176" s="284" t="e">
        <f>++Tabla4[[#This Row],[Utilidad Total]]/Tabla4[[#This Row],[Total]]</f>
        <v>#N/A</v>
      </c>
      <c r="P5176" s="282">
        <f>++Tabla4[[#This Row],[Precio Descontado]]*Tabla4[[#This Row],[Cantidad]]</f>
        <v>5887.1412241999997</v>
      </c>
      <c r="Q5176" s="282" t="e">
        <f>(INDEX(Tabla6[#All],MATCH(Tabla4[[#This Row],[Producto]],Tabla6[[#All],[PRODUCTO]],0),MATCH(Tabla4[[#This Row],[Mes]],Tabla6[#Headers],0)))</f>
        <v>#N/A</v>
      </c>
      <c r="R5176" s="282" t="e">
        <f>++Tabla4[[#This Row],[Precio Unitario Neto]]-Tabla4[[#This Row],[20.85%]]-Tabla4[[#This Row],[Costo]]</f>
        <v>#N/A</v>
      </c>
      <c r="S5176" s="282" t="e">
        <f>++Tabla4[[#This Row],[U. Bruta Uni]]*Tabla4[[#This Row],[Cantidad]]</f>
        <v>#N/A</v>
      </c>
      <c r="T5176" s="369" t="str">
        <f>VLOOKUP(Tabla4[[#This Row],[Producto]],Tabla6[#All],14,FALSE)</f>
        <v>Termico Solar</v>
      </c>
      <c r="U5176" s="284" t="e">
        <f>(IF(Tabla4[[#This Row],[Familia]]="termico solar",Tabla4[[#This Row],[Utilidad Total]]*6%,Tabla4[[#This Row],[Utilidad Total]]*11.5%))/Tabla4[[#This Row],[Total]]</f>
        <v>#N/A</v>
      </c>
      <c r="V5176" s="282" t="e">
        <f>+Tabla4[[#This Row],[Comisión Calculada]]*Tabla4[[#This Row],[Total]]</f>
        <v>#N/A</v>
      </c>
    </row>
    <row r="5177" spans="1:22" hidden="1" x14ac:dyDescent="0.25">
      <c r="A5177" s="100">
        <v>45884</v>
      </c>
      <c r="B5177" t="str">
        <f t="shared" si="251"/>
        <v>August</v>
      </c>
      <c r="C5177" s="46" t="s">
        <v>280</v>
      </c>
      <c r="F5177" s="366" t="s">
        <v>2702</v>
      </c>
      <c r="G5177" s="46" t="s">
        <v>20</v>
      </c>
      <c r="H5177" s="46">
        <v>1</v>
      </c>
      <c r="I5177" s="51">
        <v>7751.98</v>
      </c>
      <c r="J5177" s="281">
        <f>++Tabla4[[#This Row],[Precio Bruto]]*1.16</f>
        <v>8992.2967999999983</v>
      </c>
      <c r="K5177" s="281">
        <f>+Tabla4[[#This Row],[Precio Unitario Neto]]*Tabla4[[#Headers],[20.85%]]</f>
        <v>1874.8938827999996</v>
      </c>
      <c r="L5177" s="282">
        <f>++Tabla4[[#This Row],[Precio Unitario Neto]]-Tabla4[[#This Row],[20.85%]]</f>
        <v>7117.4029171999991</v>
      </c>
      <c r="M5177" s="282" t="e">
        <f>(INDEX(Tabla6[#All],MATCH(Tabla4[[#This Row],[Producto]],Tabla6[[#All],[PRODUCTO]],0),MATCH(Tabla4[[#This Row],[Mes]],Tabla6[#Headers],0)))*(1+Catalogos!$L$2)</f>
        <v>#N/A</v>
      </c>
      <c r="N5177" s="283" t="e">
        <f>+(Tabla4[[#This Row],[Precio Descontado]]-Tabla4[[#This Row],[Precio Base]])*Tabla4[[#This Row],[Cantidad]]</f>
        <v>#N/A</v>
      </c>
      <c r="O5177" s="284" t="e">
        <f>++Tabla4[[#This Row],[Utilidad Total]]/Tabla4[[#This Row],[Total]]</f>
        <v>#N/A</v>
      </c>
      <c r="P5177" s="282">
        <f>++Tabla4[[#This Row],[Precio Descontado]]*Tabla4[[#This Row],[Cantidad]]</f>
        <v>7117.4029171999991</v>
      </c>
      <c r="Q5177" s="282" t="e">
        <f>(INDEX(Tabla6[#All],MATCH(Tabla4[[#This Row],[Producto]],Tabla6[[#All],[PRODUCTO]],0),MATCH(Tabla4[[#This Row],[Mes]],Tabla6[#Headers],0)))</f>
        <v>#N/A</v>
      </c>
      <c r="R5177" s="282" t="e">
        <f>++Tabla4[[#This Row],[Precio Unitario Neto]]-Tabla4[[#This Row],[20.85%]]-Tabla4[[#This Row],[Costo]]</f>
        <v>#N/A</v>
      </c>
      <c r="S5177" s="282" t="e">
        <f>++Tabla4[[#This Row],[U. Bruta Uni]]*Tabla4[[#This Row],[Cantidad]]</f>
        <v>#N/A</v>
      </c>
      <c r="T5177" s="369" t="str">
        <f>VLOOKUP(Tabla4[[#This Row],[Producto]],Tabla6[#All],14,FALSE)</f>
        <v>Termico Solar</v>
      </c>
      <c r="U5177" s="284" t="e">
        <f>(IF(Tabla4[[#This Row],[Familia]]="termico solar",Tabla4[[#This Row],[Utilidad Total]]*6%,Tabla4[[#This Row],[Utilidad Total]]*11.5%))/Tabla4[[#This Row],[Total]]</f>
        <v>#N/A</v>
      </c>
      <c r="V5177" s="282" t="e">
        <f>+Tabla4[[#This Row],[Comisión Calculada]]*Tabla4[[#This Row],[Total]]</f>
        <v>#N/A</v>
      </c>
    </row>
    <row r="5178" spans="1:22" hidden="1" x14ac:dyDescent="0.25">
      <c r="A5178" s="100">
        <v>45884</v>
      </c>
      <c r="B5178" t="str">
        <f t="shared" si="251"/>
        <v>August</v>
      </c>
      <c r="C5178" s="46" t="s">
        <v>280</v>
      </c>
      <c r="F5178" s="366" t="s">
        <v>2702</v>
      </c>
      <c r="G5178" s="46" t="s">
        <v>22</v>
      </c>
      <c r="H5178" s="46">
        <v>6</v>
      </c>
      <c r="I5178" s="51">
        <v>13355.75</v>
      </c>
      <c r="J5178" s="281">
        <f>++Tabla4[[#This Row],[Precio Bruto]]*1.16</f>
        <v>15492.669999999998</v>
      </c>
      <c r="K5178" s="281">
        <f>+Tabla4[[#This Row],[Precio Unitario Neto]]*Tabla4[[#Headers],[20.85%]]</f>
        <v>3230.2216949999993</v>
      </c>
      <c r="L5178" s="282">
        <f>++Tabla4[[#This Row],[Precio Unitario Neto]]-Tabla4[[#This Row],[20.85%]]</f>
        <v>12262.448304999998</v>
      </c>
      <c r="M5178" s="282" t="e">
        <f>(INDEX(Tabla6[#All],MATCH(Tabla4[[#This Row],[Producto]],Tabla6[[#All],[PRODUCTO]],0),MATCH(Tabla4[[#This Row],[Mes]],Tabla6[#Headers],0)))*(1+Catalogos!$L$2)</f>
        <v>#N/A</v>
      </c>
      <c r="N5178" s="283" t="e">
        <f>+(Tabla4[[#This Row],[Precio Descontado]]-Tabla4[[#This Row],[Precio Base]])*Tabla4[[#This Row],[Cantidad]]</f>
        <v>#N/A</v>
      </c>
      <c r="O5178" s="284" t="e">
        <f>++Tabla4[[#This Row],[Utilidad Total]]/Tabla4[[#This Row],[Total]]</f>
        <v>#N/A</v>
      </c>
      <c r="P5178" s="282">
        <f>++Tabla4[[#This Row],[Precio Descontado]]*Tabla4[[#This Row],[Cantidad]]</f>
        <v>73574.689829999988</v>
      </c>
      <c r="Q5178" s="282" t="e">
        <f>(INDEX(Tabla6[#All],MATCH(Tabla4[[#This Row],[Producto]],Tabla6[[#All],[PRODUCTO]],0),MATCH(Tabla4[[#This Row],[Mes]],Tabla6[#Headers],0)))</f>
        <v>#N/A</v>
      </c>
      <c r="R5178" s="282" t="e">
        <f>++Tabla4[[#This Row],[Precio Unitario Neto]]-Tabla4[[#This Row],[20.85%]]-Tabla4[[#This Row],[Costo]]</f>
        <v>#N/A</v>
      </c>
      <c r="S5178" s="282" t="e">
        <f>++Tabla4[[#This Row],[U. Bruta Uni]]*Tabla4[[#This Row],[Cantidad]]</f>
        <v>#N/A</v>
      </c>
      <c r="T5178" s="369" t="str">
        <f>VLOOKUP(Tabla4[[#This Row],[Producto]],Tabla6[#All],14,FALSE)</f>
        <v>Termico Solar</v>
      </c>
      <c r="U5178" s="284" t="e">
        <f>(IF(Tabla4[[#This Row],[Familia]]="termico solar",Tabla4[[#This Row],[Utilidad Total]]*6%,Tabla4[[#This Row],[Utilidad Total]]*11.5%))/Tabla4[[#This Row],[Total]]</f>
        <v>#N/A</v>
      </c>
      <c r="V5178" s="282" t="e">
        <f>+Tabla4[[#This Row],[Comisión Calculada]]*Tabla4[[#This Row],[Total]]</f>
        <v>#N/A</v>
      </c>
    </row>
    <row r="5179" spans="1:22" hidden="1" x14ac:dyDescent="0.25">
      <c r="A5179" s="100">
        <v>45884</v>
      </c>
      <c r="B5179" t="str">
        <f t="shared" si="251"/>
        <v>August</v>
      </c>
      <c r="C5179" s="46" t="s">
        <v>280</v>
      </c>
      <c r="F5179" s="366" t="s">
        <v>2702</v>
      </c>
      <c r="G5179" s="46" t="s">
        <v>84</v>
      </c>
      <c r="H5179" s="46">
        <v>6</v>
      </c>
      <c r="I5179" s="51">
        <v>16601.829999999998</v>
      </c>
      <c r="J5179" s="281">
        <f>++Tabla4[[#This Row],[Precio Bruto]]*1.16</f>
        <v>19258.122799999997</v>
      </c>
      <c r="K5179" s="281">
        <f>+Tabla4[[#This Row],[Precio Unitario Neto]]*Tabla4[[#Headers],[20.85%]]</f>
        <v>4015.3186037999994</v>
      </c>
      <c r="L5179" s="282">
        <f>++Tabla4[[#This Row],[Precio Unitario Neto]]-Tabla4[[#This Row],[20.85%]]</f>
        <v>15242.804196199999</v>
      </c>
      <c r="M5179" s="282" t="e">
        <f>(INDEX(Tabla6[#All],MATCH(Tabla4[[#This Row],[Producto]],Tabla6[[#All],[PRODUCTO]],0),MATCH(Tabla4[[#This Row],[Mes]],Tabla6[#Headers],0)))*(1+Catalogos!$L$2)</f>
        <v>#N/A</v>
      </c>
      <c r="N5179" s="283" t="e">
        <f>+(Tabla4[[#This Row],[Precio Descontado]]-Tabla4[[#This Row],[Precio Base]])*Tabla4[[#This Row],[Cantidad]]</f>
        <v>#N/A</v>
      </c>
      <c r="O5179" s="284" t="e">
        <f>++Tabla4[[#This Row],[Utilidad Total]]/Tabla4[[#This Row],[Total]]</f>
        <v>#N/A</v>
      </c>
      <c r="P5179" s="282">
        <f>++Tabla4[[#This Row],[Precio Descontado]]*Tabla4[[#This Row],[Cantidad]]</f>
        <v>91456.825177199993</v>
      </c>
      <c r="Q5179" s="282" t="e">
        <f>(INDEX(Tabla6[#All],MATCH(Tabla4[[#This Row],[Producto]],Tabla6[[#All],[PRODUCTO]],0),MATCH(Tabla4[[#This Row],[Mes]],Tabla6[#Headers],0)))</f>
        <v>#N/A</v>
      </c>
      <c r="R5179" s="282" t="e">
        <f>++Tabla4[[#This Row],[Precio Unitario Neto]]-Tabla4[[#This Row],[20.85%]]-Tabla4[[#This Row],[Costo]]</f>
        <v>#N/A</v>
      </c>
      <c r="S5179" s="282" t="e">
        <f>++Tabla4[[#This Row],[U. Bruta Uni]]*Tabla4[[#This Row],[Cantidad]]</f>
        <v>#N/A</v>
      </c>
      <c r="T5179" s="369" t="str">
        <f>VLOOKUP(Tabla4[[#This Row],[Producto]],Tabla6[#All],14,FALSE)</f>
        <v>Termico Solar</v>
      </c>
      <c r="U5179" s="284" t="e">
        <f>(IF(Tabla4[[#This Row],[Familia]]="termico solar",Tabla4[[#This Row],[Utilidad Total]]*6%,Tabla4[[#This Row],[Utilidad Total]]*11.5%))/Tabla4[[#This Row],[Total]]</f>
        <v>#N/A</v>
      </c>
      <c r="V5179" s="282" t="e">
        <f>+Tabla4[[#This Row],[Comisión Calculada]]*Tabla4[[#This Row],[Total]]</f>
        <v>#N/A</v>
      </c>
    </row>
    <row r="5180" spans="1:22" hidden="1" x14ac:dyDescent="0.25">
      <c r="A5180" s="100">
        <v>45884</v>
      </c>
      <c r="B5180" t="str">
        <f t="shared" si="251"/>
        <v>August</v>
      </c>
      <c r="C5180" s="46" t="s">
        <v>280</v>
      </c>
      <c r="F5180" s="366" t="s">
        <v>2702</v>
      </c>
      <c r="G5180" s="46" t="s">
        <v>16</v>
      </c>
      <c r="H5180" s="46">
        <v>4</v>
      </c>
      <c r="I5180" s="51">
        <v>4103.8500000000004</v>
      </c>
      <c r="J5180" s="281">
        <f>++Tabla4[[#This Row],[Precio Bruto]]*1.16</f>
        <v>4760.4660000000003</v>
      </c>
      <c r="K5180" s="281">
        <f>+Tabla4[[#This Row],[Precio Unitario Neto]]*Tabla4[[#Headers],[20.85%]]</f>
        <v>992.55716100000006</v>
      </c>
      <c r="L5180" s="282">
        <f>++Tabla4[[#This Row],[Precio Unitario Neto]]-Tabla4[[#This Row],[20.85%]]</f>
        <v>3767.9088390000002</v>
      </c>
      <c r="M5180" s="282" t="e">
        <f>(INDEX(Tabla6[#All],MATCH(Tabla4[[#This Row],[Producto]],Tabla6[[#All],[PRODUCTO]],0),MATCH(Tabla4[[#This Row],[Mes]],Tabla6[#Headers],0)))*(1+Catalogos!$L$2)</f>
        <v>#N/A</v>
      </c>
      <c r="N5180" s="283" t="e">
        <f>+(Tabla4[[#This Row],[Precio Descontado]]-Tabla4[[#This Row],[Precio Base]])*Tabla4[[#This Row],[Cantidad]]</f>
        <v>#N/A</v>
      </c>
      <c r="O5180" s="284" t="e">
        <f>++Tabla4[[#This Row],[Utilidad Total]]/Tabla4[[#This Row],[Total]]</f>
        <v>#N/A</v>
      </c>
      <c r="P5180" s="282">
        <f>++Tabla4[[#This Row],[Precio Descontado]]*Tabla4[[#This Row],[Cantidad]]</f>
        <v>15071.635356000001</v>
      </c>
      <c r="Q5180" s="282" t="e">
        <f>(INDEX(Tabla6[#All],MATCH(Tabla4[[#This Row],[Producto]],Tabla6[[#All],[PRODUCTO]],0),MATCH(Tabla4[[#This Row],[Mes]],Tabla6[#Headers],0)))</f>
        <v>#N/A</v>
      </c>
      <c r="R5180" s="282" t="e">
        <f>++Tabla4[[#This Row],[Precio Unitario Neto]]-Tabla4[[#This Row],[20.85%]]-Tabla4[[#This Row],[Costo]]</f>
        <v>#N/A</v>
      </c>
      <c r="S5180" s="282" t="e">
        <f>++Tabla4[[#This Row],[U. Bruta Uni]]*Tabla4[[#This Row],[Cantidad]]</f>
        <v>#N/A</v>
      </c>
      <c r="T5180" s="369" t="str">
        <f>VLOOKUP(Tabla4[[#This Row],[Producto]],Tabla6[#All],14,FALSE)</f>
        <v>Termico Solar</v>
      </c>
      <c r="U5180" s="284" t="e">
        <f>(IF(Tabla4[[#This Row],[Familia]]="termico solar",Tabla4[[#This Row],[Utilidad Total]]*6%,Tabla4[[#This Row],[Utilidad Total]]*11.5%))/Tabla4[[#This Row],[Total]]</f>
        <v>#N/A</v>
      </c>
      <c r="V5180" s="282" t="e">
        <f>+Tabla4[[#This Row],[Comisión Calculada]]*Tabla4[[#This Row],[Total]]</f>
        <v>#N/A</v>
      </c>
    </row>
    <row r="5181" spans="1:22" hidden="1" x14ac:dyDescent="0.25">
      <c r="A5181" s="100">
        <v>45884</v>
      </c>
      <c r="B5181" t="str">
        <f t="shared" ref="B5181:B5198" si="252">TEXT(A5181, "mmmm")</f>
        <v>August</v>
      </c>
      <c r="C5181" s="46" t="s">
        <v>280</v>
      </c>
      <c r="F5181" s="366" t="s">
        <v>2703</v>
      </c>
      <c r="G5181" s="46" t="s">
        <v>83</v>
      </c>
      <c r="H5181" s="46">
        <v>1</v>
      </c>
      <c r="I5181" s="51">
        <v>8858.76</v>
      </c>
      <c r="J5181" s="281">
        <f>++Tabla4[[#This Row],[Precio Bruto]]*1.16</f>
        <v>10276.161599999999</v>
      </c>
      <c r="K5181" s="281">
        <f>+Tabla4[[#This Row],[Precio Unitario Neto]]*Tabla4[[#Headers],[20.85%]]</f>
        <v>2142.5796935999997</v>
      </c>
      <c r="L5181" s="282">
        <f>++Tabla4[[#This Row],[Precio Unitario Neto]]-Tabla4[[#This Row],[20.85%]]</f>
        <v>8133.5819063999998</v>
      </c>
      <c r="M5181" s="282" t="e">
        <f>(INDEX(Tabla6[#All],MATCH(Tabla4[[#This Row],[Producto]],Tabla6[[#All],[PRODUCTO]],0),MATCH(Tabla4[[#This Row],[Mes]],Tabla6[#Headers],0)))*(1+Catalogos!$L$2)</f>
        <v>#N/A</v>
      </c>
      <c r="N5181" s="283" t="e">
        <f>+(Tabla4[[#This Row],[Precio Descontado]]-Tabla4[[#This Row],[Precio Base]])*Tabla4[[#This Row],[Cantidad]]</f>
        <v>#N/A</v>
      </c>
      <c r="O5181" s="284" t="e">
        <f>++Tabla4[[#This Row],[Utilidad Total]]/Tabla4[[#This Row],[Total]]</f>
        <v>#N/A</v>
      </c>
      <c r="P5181" s="282">
        <f>++Tabla4[[#This Row],[Precio Descontado]]*Tabla4[[#This Row],[Cantidad]]</f>
        <v>8133.5819063999998</v>
      </c>
      <c r="Q5181" s="282" t="e">
        <f>(INDEX(Tabla6[#All],MATCH(Tabla4[[#This Row],[Producto]],Tabla6[[#All],[PRODUCTO]],0),MATCH(Tabla4[[#This Row],[Mes]],Tabla6[#Headers],0)))</f>
        <v>#N/A</v>
      </c>
      <c r="R5181" s="282" t="e">
        <f>++Tabla4[[#This Row],[Precio Unitario Neto]]-Tabla4[[#This Row],[20.85%]]-Tabla4[[#This Row],[Costo]]</f>
        <v>#N/A</v>
      </c>
      <c r="S5181" s="282" t="e">
        <f>++Tabla4[[#This Row],[U. Bruta Uni]]*Tabla4[[#This Row],[Cantidad]]</f>
        <v>#N/A</v>
      </c>
      <c r="T5181" s="369" t="str">
        <f>VLOOKUP(Tabla4[[#This Row],[Producto]],Tabla6[#All],14,FALSE)</f>
        <v>Termico Solar</v>
      </c>
      <c r="U5181" s="284" t="e">
        <f>(IF(Tabla4[[#This Row],[Familia]]="termico solar",Tabla4[[#This Row],[Utilidad Total]]*6%,Tabla4[[#This Row],[Utilidad Total]]*11.5%))/Tabla4[[#This Row],[Total]]</f>
        <v>#N/A</v>
      </c>
      <c r="V5181" s="282" t="e">
        <f>+Tabla4[[#This Row],[Comisión Calculada]]*Tabla4[[#This Row],[Total]]</f>
        <v>#N/A</v>
      </c>
    </row>
    <row r="5182" spans="1:22" hidden="1" x14ac:dyDescent="0.25">
      <c r="A5182" s="100">
        <v>45884</v>
      </c>
      <c r="B5182" t="str">
        <f t="shared" si="252"/>
        <v>August</v>
      </c>
      <c r="C5182" s="46" t="s">
        <v>280</v>
      </c>
      <c r="F5182" s="366" t="s">
        <v>2703</v>
      </c>
      <c r="G5182" s="46" t="s">
        <v>17</v>
      </c>
      <c r="H5182" s="46">
        <v>3</v>
      </c>
      <c r="I5182" s="51">
        <v>4622.28</v>
      </c>
      <c r="J5182" s="281">
        <f>++Tabla4[[#This Row],[Precio Bruto]]*1.16</f>
        <v>5361.8447999999989</v>
      </c>
      <c r="K5182" s="281">
        <f>+Tabla4[[#This Row],[Precio Unitario Neto]]*Tabla4[[#Headers],[20.85%]]</f>
        <v>1117.9446407999997</v>
      </c>
      <c r="L5182" s="282">
        <f>++Tabla4[[#This Row],[Precio Unitario Neto]]-Tabla4[[#This Row],[20.85%]]</f>
        <v>4243.9001591999995</v>
      </c>
      <c r="M5182" s="282" t="e">
        <f>(INDEX(Tabla6[#All],MATCH(Tabla4[[#This Row],[Producto]],Tabla6[[#All],[PRODUCTO]],0),MATCH(Tabla4[[#This Row],[Mes]],Tabla6[#Headers],0)))*(1+Catalogos!$L$2)</f>
        <v>#N/A</v>
      </c>
      <c r="N5182" s="283" t="e">
        <f>+(Tabla4[[#This Row],[Precio Descontado]]-Tabla4[[#This Row],[Precio Base]])*Tabla4[[#This Row],[Cantidad]]</f>
        <v>#N/A</v>
      </c>
      <c r="O5182" s="284" t="e">
        <f>++Tabla4[[#This Row],[Utilidad Total]]/Tabla4[[#This Row],[Total]]</f>
        <v>#N/A</v>
      </c>
      <c r="P5182" s="282">
        <f>++Tabla4[[#This Row],[Precio Descontado]]*Tabla4[[#This Row],[Cantidad]]</f>
        <v>12731.700477599999</v>
      </c>
      <c r="Q5182" s="282" t="e">
        <f>(INDEX(Tabla6[#All],MATCH(Tabla4[[#This Row],[Producto]],Tabla6[[#All],[PRODUCTO]],0),MATCH(Tabla4[[#This Row],[Mes]],Tabla6[#Headers],0)))</f>
        <v>#N/A</v>
      </c>
      <c r="R5182" s="282" t="e">
        <f>++Tabla4[[#This Row],[Precio Unitario Neto]]-Tabla4[[#This Row],[20.85%]]-Tabla4[[#This Row],[Costo]]</f>
        <v>#N/A</v>
      </c>
      <c r="S5182" s="282" t="e">
        <f>++Tabla4[[#This Row],[U. Bruta Uni]]*Tabla4[[#This Row],[Cantidad]]</f>
        <v>#N/A</v>
      </c>
      <c r="T5182" s="369" t="str">
        <f>VLOOKUP(Tabla4[[#This Row],[Producto]],Tabla6[#All],14,FALSE)</f>
        <v>Termico Solar</v>
      </c>
      <c r="U5182" s="284" t="e">
        <f>(IF(Tabla4[[#This Row],[Familia]]="termico solar",Tabla4[[#This Row],[Utilidad Total]]*6%,Tabla4[[#This Row],[Utilidad Total]]*11.5%))/Tabla4[[#This Row],[Total]]</f>
        <v>#N/A</v>
      </c>
      <c r="V5182" s="282" t="e">
        <f>+Tabla4[[#This Row],[Comisión Calculada]]*Tabla4[[#This Row],[Total]]</f>
        <v>#N/A</v>
      </c>
    </row>
    <row r="5183" spans="1:22" hidden="1" x14ac:dyDescent="0.25">
      <c r="A5183" s="100">
        <v>45884</v>
      </c>
      <c r="B5183" t="str">
        <f t="shared" si="252"/>
        <v>August</v>
      </c>
      <c r="C5183" s="46" t="s">
        <v>280</v>
      </c>
      <c r="F5183" s="366" t="s">
        <v>2703</v>
      </c>
      <c r="G5183" s="46" t="s">
        <v>16</v>
      </c>
      <c r="H5183" s="46">
        <v>1</v>
      </c>
      <c r="I5183" s="51">
        <v>4103.8500000000004</v>
      </c>
      <c r="J5183" s="281">
        <f>++Tabla4[[#This Row],[Precio Bruto]]*1.16</f>
        <v>4760.4660000000003</v>
      </c>
      <c r="K5183" s="281">
        <f>+Tabla4[[#This Row],[Precio Unitario Neto]]*Tabla4[[#Headers],[20.85%]]</f>
        <v>992.55716100000006</v>
      </c>
      <c r="L5183" s="282">
        <f>++Tabla4[[#This Row],[Precio Unitario Neto]]-Tabla4[[#This Row],[20.85%]]</f>
        <v>3767.9088390000002</v>
      </c>
      <c r="M5183" s="282" t="e">
        <f>(INDEX(Tabla6[#All],MATCH(Tabla4[[#This Row],[Producto]],Tabla6[[#All],[PRODUCTO]],0),MATCH(Tabla4[[#This Row],[Mes]],Tabla6[#Headers],0)))*(1+Catalogos!$L$2)</f>
        <v>#N/A</v>
      </c>
      <c r="N5183" s="283" t="e">
        <f>+(Tabla4[[#This Row],[Precio Descontado]]-Tabla4[[#This Row],[Precio Base]])*Tabla4[[#This Row],[Cantidad]]</f>
        <v>#N/A</v>
      </c>
      <c r="O5183" s="284" t="e">
        <f>++Tabla4[[#This Row],[Utilidad Total]]/Tabla4[[#This Row],[Total]]</f>
        <v>#N/A</v>
      </c>
      <c r="P5183" s="282">
        <f>++Tabla4[[#This Row],[Precio Descontado]]*Tabla4[[#This Row],[Cantidad]]</f>
        <v>3767.9088390000002</v>
      </c>
      <c r="Q5183" s="282" t="e">
        <f>(INDEX(Tabla6[#All],MATCH(Tabla4[[#This Row],[Producto]],Tabla6[[#All],[PRODUCTO]],0),MATCH(Tabla4[[#This Row],[Mes]],Tabla6[#Headers],0)))</f>
        <v>#N/A</v>
      </c>
      <c r="R5183" s="282" t="e">
        <f>++Tabla4[[#This Row],[Precio Unitario Neto]]-Tabla4[[#This Row],[20.85%]]-Tabla4[[#This Row],[Costo]]</f>
        <v>#N/A</v>
      </c>
      <c r="S5183" s="282" t="e">
        <f>++Tabla4[[#This Row],[U. Bruta Uni]]*Tabla4[[#This Row],[Cantidad]]</f>
        <v>#N/A</v>
      </c>
      <c r="T5183" s="369" t="str">
        <f>VLOOKUP(Tabla4[[#This Row],[Producto]],Tabla6[#All],14,FALSE)</f>
        <v>Termico Solar</v>
      </c>
      <c r="U5183" s="284" t="e">
        <f>(IF(Tabla4[[#This Row],[Familia]]="termico solar",Tabla4[[#This Row],[Utilidad Total]]*6%,Tabla4[[#This Row],[Utilidad Total]]*11.5%))/Tabla4[[#This Row],[Total]]</f>
        <v>#N/A</v>
      </c>
      <c r="V5183" s="282" t="e">
        <f>+Tabla4[[#This Row],[Comisión Calculada]]*Tabla4[[#This Row],[Total]]</f>
        <v>#N/A</v>
      </c>
    </row>
    <row r="5184" spans="1:22" hidden="1" x14ac:dyDescent="0.25">
      <c r="A5184" s="100">
        <v>45884</v>
      </c>
      <c r="B5184" t="str">
        <f t="shared" si="252"/>
        <v>August</v>
      </c>
      <c r="C5184" s="46" t="s">
        <v>280</v>
      </c>
      <c r="F5184" s="366" t="s">
        <v>2704</v>
      </c>
      <c r="G5184" s="46" t="s">
        <v>17</v>
      </c>
      <c r="H5184" s="46">
        <v>1</v>
      </c>
      <c r="I5184" s="51">
        <v>4622.28</v>
      </c>
      <c r="J5184" s="281">
        <f>++Tabla4[[#This Row],[Precio Bruto]]*1.16</f>
        <v>5361.8447999999989</v>
      </c>
      <c r="K5184" s="281">
        <f>+Tabla4[[#This Row],[Precio Unitario Neto]]*Tabla4[[#Headers],[20.85%]]</f>
        <v>1117.9446407999997</v>
      </c>
      <c r="L5184" s="282">
        <f>++Tabla4[[#This Row],[Precio Unitario Neto]]-Tabla4[[#This Row],[20.85%]]</f>
        <v>4243.9001591999995</v>
      </c>
      <c r="M5184" s="282" t="e">
        <f>(INDEX(Tabla6[#All],MATCH(Tabla4[[#This Row],[Producto]],Tabla6[[#All],[PRODUCTO]],0),MATCH(Tabla4[[#This Row],[Mes]],Tabla6[#Headers],0)))*(1+Catalogos!$L$2)</f>
        <v>#N/A</v>
      </c>
      <c r="N5184" s="283" t="e">
        <f>+(Tabla4[[#This Row],[Precio Descontado]]-Tabla4[[#This Row],[Precio Base]])*Tabla4[[#This Row],[Cantidad]]</f>
        <v>#N/A</v>
      </c>
      <c r="O5184" s="284" t="e">
        <f>++Tabla4[[#This Row],[Utilidad Total]]/Tabla4[[#This Row],[Total]]</f>
        <v>#N/A</v>
      </c>
      <c r="P5184" s="282">
        <f>++Tabla4[[#This Row],[Precio Descontado]]*Tabla4[[#This Row],[Cantidad]]</f>
        <v>4243.9001591999995</v>
      </c>
      <c r="Q5184" s="282" t="e">
        <f>(INDEX(Tabla6[#All],MATCH(Tabla4[[#This Row],[Producto]],Tabla6[[#All],[PRODUCTO]],0),MATCH(Tabla4[[#This Row],[Mes]],Tabla6[#Headers],0)))</f>
        <v>#N/A</v>
      </c>
      <c r="R5184" s="282" t="e">
        <f>++Tabla4[[#This Row],[Precio Unitario Neto]]-Tabla4[[#This Row],[20.85%]]-Tabla4[[#This Row],[Costo]]</f>
        <v>#N/A</v>
      </c>
      <c r="S5184" s="282" t="e">
        <f>++Tabla4[[#This Row],[U. Bruta Uni]]*Tabla4[[#This Row],[Cantidad]]</f>
        <v>#N/A</v>
      </c>
      <c r="T5184" s="369" t="str">
        <f>VLOOKUP(Tabla4[[#This Row],[Producto]],Tabla6[#All],14,FALSE)</f>
        <v>Termico Solar</v>
      </c>
      <c r="U5184" s="284" t="e">
        <f>(IF(Tabla4[[#This Row],[Familia]]="termico solar",Tabla4[[#This Row],[Utilidad Total]]*6%,Tabla4[[#This Row],[Utilidad Total]]*11.5%))/Tabla4[[#This Row],[Total]]</f>
        <v>#N/A</v>
      </c>
      <c r="V5184" s="282" t="e">
        <f>+Tabla4[[#This Row],[Comisión Calculada]]*Tabla4[[#This Row],[Total]]</f>
        <v>#N/A</v>
      </c>
    </row>
    <row r="5185" spans="1:22" hidden="1" x14ac:dyDescent="0.25">
      <c r="A5185" s="100">
        <v>45884</v>
      </c>
      <c r="B5185" t="str">
        <f t="shared" si="252"/>
        <v>August</v>
      </c>
      <c r="C5185" s="46" t="s">
        <v>280</v>
      </c>
      <c r="F5185" s="366" t="s">
        <v>2705</v>
      </c>
      <c r="G5185" s="46" t="s">
        <v>83</v>
      </c>
      <c r="H5185" s="46">
        <v>1</v>
      </c>
      <c r="I5185" s="51">
        <v>8858.76</v>
      </c>
      <c r="J5185" s="281">
        <f>++Tabla4[[#This Row],[Precio Bruto]]*1.16</f>
        <v>10276.161599999999</v>
      </c>
      <c r="K5185" s="281">
        <f>+Tabla4[[#This Row],[Precio Unitario Neto]]*Tabla4[[#Headers],[20.85%]]</f>
        <v>2142.5796935999997</v>
      </c>
      <c r="L5185" s="282">
        <f>++Tabla4[[#This Row],[Precio Unitario Neto]]-Tabla4[[#This Row],[20.85%]]</f>
        <v>8133.5819063999998</v>
      </c>
      <c r="M5185" s="282" t="e">
        <f>(INDEX(Tabla6[#All],MATCH(Tabla4[[#This Row],[Producto]],Tabla6[[#All],[PRODUCTO]],0),MATCH(Tabla4[[#This Row],[Mes]],Tabla6[#Headers],0)))*(1+Catalogos!$L$2)</f>
        <v>#N/A</v>
      </c>
      <c r="N5185" s="283" t="e">
        <f>+(Tabla4[[#This Row],[Precio Descontado]]-Tabla4[[#This Row],[Precio Base]])*Tabla4[[#This Row],[Cantidad]]</f>
        <v>#N/A</v>
      </c>
      <c r="O5185" s="284" t="e">
        <f>++Tabla4[[#This Row],[Utilidad Total]]/Tabla4[[#This Row],[Total]]</f>
        <v>#N/A</v>
      </c>
      <c r="P5185" s="282">
        <f>++Tabla4[[#This Row],[Precio Descontado]]*Tabla4[[#This Row],[Cantidad]]</f>
        <v>8133.5819063999998</v>
      </c>
      <c r="Q5185" s="282" t="e">
        <f>(INDEX(Tabla6[#All],MATCH(Tabla4[[#This Row],[Producto]],Tabla6[[#All],[PRODUCTO]],0),MATCH(Tabla4[[#This Row],[Mes]],Tabla6[#Headers],0)))</f>
        <v>#N/A</v>
      </c>
      <c r="R5185" s="282" t="e">
        <f>++Tabla4[[#This Row],[Precio Unitario Neto]]-Tabla4[[#This Row],[20.85%]]-Tabla4[[#This Row],[Costo]]</f>
        <v>#N/A</v>
      </c>
      <c r="S5185" s="282" t="e">
        <f>++Tabla4[[#This Row],[U. Bruta Uni]]*Tabla4[[#This Row],[Cantidad]]</f>
        <v>#N/A</v>
      </c>
      <c r="T5185" s="369" t="str">
        <f>VLOOKUP(Tabla4[[#This Row],[Producto]],Tabla6[#All],14,FALSE)</f>
        <v>Termico Solar</v>
      </c>
      <c r="U5185" s="284" t="e">
        <f>(IF(Tabla4[[#This Row],[Familia]]="termico solar",Tabla4[[#This Row],[Utilidad Total]]*6%,Tabla4[[#This Row],[Utilidad Total]]*11.5%))/Tabla4[[#This Row],[Total]]</f>
        <v>#N/A</v>
      </c>
      <c r="V5185" s="282" t="e">
        <f>+Tabla4[[#This Row],[Comisión Calculada]]*Tabla4[[#This Row],[Total]]</f>
        <v>#N/A</v>
      </c>
    </row>
    <row r="5186" spans="1:22" hidden="1" x14ac:dyDescent="0.25">
      <c r="A5186" s="100">
        <v>45884</v>
      </c>
      <c r="B5186" t="str">
        <f t="shared" si="252"/>
        <v>August</v>
      </c>
      <c r="C5186" s="46" t="s">
        <v>280</v>
      </c>
      <c r="F5186" s="366" t="s">
        <v>2705</v>
      </c>
      <c r="G5186" s="46" t="s">
        <v>17</v>
      </c>
      <c r="H5186" s="46">
        <v>1</v>
      </c>
      <c r="I5186" s="51">
        <v>4622.28</v>
      </c>
      <c r="J5186" s="281">
        <f>++Tabla4[[#This Row],[Precio Bruto]]*1.16</f>
        <v>5361.8447999999989</v>
      </c>
      <c r="K5186" s="281">
        <f>+Tabla4[[#This Row],[Precio Unitario Neto]]*Tabla4[[#Headers],[20.85%]]</f>
        <v>1117.9446407999997</v>
      </c>
      <c r="L5186" s="282">
        <f>++Tabla4[[#This Row],[Precio Unitario Neto]]-Tabla4[[#This Row],[20.85%]]</f>
        <v>4243.9001591999995</v>
      </c>
      <c r="M5186" s="282" t="e">
        <f>(INDEX(Tabla6[#All],MATCH(Tabla4[[#This Row],[Producto]],Tabla6[[#All],[PRODUCTO]],0),MATCH(Tabla4[[#This Row],[Mes]],Tabla6[#Headers],0)))*(1+Catalogos!$L$2)</f>
        <v>#N/A</v>
      </c>
      <c r="N5186" s="283" t="e">
        <f>+(Tabla4[[#This Row],[Precio Descontado]]-Tabla4[[#This Row],[Precio Base]])*Tabla4[[#This Row],[Cantidad]]</f>
        <v>#N/A</v>
      </c>
      <c r="O5186" s="284" t="e">
        <f>++Tabla4[[#This Row],[Utilidad Total]]/Tabla4[[#This Row],[Total]]</f>
        <v>#N/A</v>
      </c>
      <c r="P5186" s="282">
        <f>++Tabla4[[#This Row],[Precio Descontado]]*Tabla4[[#This Row],[Cantidad]]</f>
        <v>4243.9001591999995</v>
      </c>
      <c r="Q5186" s="282" t="e">
        <f>(INDEX(Tabla6[#All],MATCH(Tabla4[[#This Row],[Producto]],Tabla6[[#All],[PRODUCTO]],0),MATCH(Tabla4[[#This Row],[Mes]],Tabla6[#Headers],0)))</f>
        <v>#N/A</v>
      </c>
      <c r="R5186" s="282" t="e">
        <f>++Tabla4[[#This Row],[Precio Unitario Neto]]-Tabla4[[#This Row],[20.85%]]-Tabla4[[#This Row],[Costo]]</f>
        <v>#N/A</v>
      </c>
      <c r="S5186" s="282" t="e">
        <f>++Tabla4[[#This Row],[U. Bruta Uni]]*Tabla4[[#This Row],[Cantidad]]</f>
        <v>#N/A</v>
      </c>
      <c r="T5186" s="369" t="str">
        <f>VLOOKUP(Tabla4[[#This Row],[Producto]],Tabla6[#All],14,FALSE)</f>
        <v>Termico Solar</v>
      </c>
      <c r="U5186" s="284" t="e">
        <f>(IF(Tabla4[[#This Row],[Familia]]="termico solar",Tabla4[[#This Row],[Utilidad Total]]*6%,Tabla4[[#This Row],[Utilidad Total]]*11.5%))/Tabla4[[#This Row],[Total]]</f>
        <v>#N/A</v>
      </c>
      <c r="V5186" s="282" t="e">
        <f>+Tabla4[[#This Row],[Comisión Calculada]]*Tabla4[[#This Row],[Total]]</f>
        <v>#N/A</v>
      </c>
    </row>
    <row r="5187" spans="1:22" hidden="1" x14ac:dyDescent="0.25">
      <c r="A5187" s="100">
        <v>45884</v>
      </c>
      <c r="B5187" t="str">
        <f t="shared" si="252"/>
        <v>August</v>
      </c>
      <c r="C5187" s="46" t="s">
        <v>280</v>
      </c>
      <c r="F5187" s="366" t="s">
        <v>2706</v>
      </c>
      <c r="G5187" s="46" t="s">
        <v>17</v>
      </c>
      <c r="H5187" s="46">
        <v>1</v>
      </c>
      <c r="I5187" s="51">
        <v>4622.28</v>
      </c>
      <c r="J5187" s="281">
        <f>++Tabla4[[#This Row],[Precio Bruto]]*1.16</f>
        <v>5361.8447999999989</v>
      </c>
      <c r="K5187" s="281">
        <f>+Tabla4[[#This Row],[Precio Unitario Neto]]*Tabla4[[#Headers],[20.85%]]</f>
        <v>1117.9446407999997</v>
      </c>
      <c r="L5187" s="282">
        <f>++Tabla4[[#This Row],[Precio Unitario Neto]]-Tabla4[[#This Row],[20.85%]]</f>
        <v>4243.9001591999995</v>
      </c>
      <c r="M5187" s="282" t="e">
        <f>(INDEX(Tabla6[#All],MATCH(Tabla4[[#This Row],[Producto]],Tabla6[[#All],[PRODUCTO]],0),MATCH(Tabla4[[#This Row],[Mes]],Tabla6[#Headers],0)))*(1+Catalogos!$L$2)</f>
        <v>#N/A</v>
      </c>
      <c r="N5187" s="283" t="e">
        <f>+(Tabla4[[#This Row],[Precio Descontado]]-Tabla4[[#This Row],[Precio Base]])*Tabla4[[#This Row],[Cantidad]]</f>
        <v>#N/A</v>
      </c>
      <c r="O5187" s="284" t="e">
        <f>++Tabla4[[#This Row],[Utilidad Total]]/Tabla4[[#This Row],[Total]]</f>
        <v>#N/A</v>
      </c>
      <c r="P5187" s="282">
        <f>++Tabla4[[#This Row],[Precio Descontado]]*Tabla4[[#This Row],[Cantidad]]</f>
        <v>4243.9001591999995</v>
      </c>
      <c r="Q5187" s="282" t="e">
        <f>(INDEX(Tabla6[#All],MATCH(Tabla4[[#This Row],[Producto]],Tabla6[[#All],[PRODUCTO]],0),MATCH(Tabla4[[#This Row],[Mes]],Tabla6[#Headers],0)))</f>
        <v>#N/A</v>
      </c>
      <c r="R5187" s="282" t="e">
        <f>++Tabla4[[#This Row],[Precio Unitario Neto]]-Tabla4[[#This Row],[20.85%]]-Tabla4[[#This Row],[Costo]]</f>
        <v>#N/A</v>
      </c>
      <c r="S5187" s="282" t="e">
        <f>++Tabla4[[#This Row],[U. Bruta Uni]]*Tabla4[[#This Row],[Cantidad]]</f>
        <v>#N/A</v>
      </c>
      <c r="T5187" s="369" t="str">
        <f>VLOOKUP(Tabla4[[#This Row],[Producto]],Tabla6[#All],14,FALSE)</f>
        <v>Termico Solar</v>
      </c>
      <c r="U5187" s="284" t="e">
        <f>(IF(Tabla4[[#This Row],[Familia]]="termico solar",Tabla4[[#This Row],[Utilidad Total]]*6%,Tabla4[[#This Row],[Utilidad Total]]*11.5%))/Tabla4[[#This Row],[Total]]</f>
        <v>#N/A</v>
      </c>
      <c r="V5187" s="282" t="e">
        <f>+Tabla4[[#This Row],[Comisión Calculada]]*Tabla4[[#This Row],[Total]]</f>
        <v>#N/A</v>
      </c>
    </row>
    <row r="5188" spans="1:22" hidden="1" x14ac:dyDescent="0.25">
      <c r="A5188" s="100">
        <v>45884</v>
      </c>
      <c r="B5188" t="str">
        <f t="shared" si="252"/>
        <v>August</v>
      </c>
      <c r="C5188" s="46" t="s">
        <v>280</v>
      </c>
      <c r="F5188" s="366" t="s">
        <v>2706</v>
      </c>
      <c r="G5188" s="46" t="s">
        <v>18</v>
      </c>
      <c r="H5188" s="46">
        <v>3</v>
      </c>
      <c r="I5188" s="51">
        <v>5367.6500000000005</v>
      </c>
      <c r="J5188" s="281">
        <f>++Tabla4[[#This Row],[Precio Bruto]]*1.16</f>
        <v>6226.4740000000002</v>
      </c>
      <c r="K5188" s="281">
        <f>+Tabla4[[#This Row],[Precio Unitario Neto]]*Tabla4[[#Headers],[20.85%]]</f>
        <v>1298.2198289999999</v>
      </c>
      <c r="L5188" s="282">
        <f>++Tabla4[[#This Row],[Precio Unitario Neto]]-Tabla4[[#This Row],[20.85%]]</f>
        <v>4928.2541710000005</v>
      </c>
      <c r="M5188" s="282" t="e">
        <f>(INDEX(Tabla6[#All],MATCH(Tabla4[[#This Row],[Producto]],Tabla6[[#All],[PRODUCTO]],0),MATCH(Tabla4[[#This Row],[Mes]],Tabla6[#Headers],0)))*(1+Catalogos!$L$2)</f>
        <v>#N/A</v>
      </c>
      <c r="N5188" s="283" t="e">
        <f>+(Tabla4[[#This Row],[Precio Descontado]]-Tabla4[[#This Row],[Precio Base]])*Tabla4[[#This Row],[Cantidad]]</f>
        <v>#N/A</v>
      </c>
      <c r="O5188" s="284" t="e">
        <f>++Tabla4[[#This Row],[Utilidad Total]]/Tabla4[[#This Row],[Total]]</f>
        <v>#N/A</v>
      </c>
      <c r="P5188" s="282">
        <f>++Tabla4[[#This Row],[Precio Descontado]]*Tabla4[[#This Row],[Cantidad]]</f>
        <v>14784.762513000001</v>
      </c>
      <c r="Q5188" s="282" t="e">
        <f>(INDEX(Tabla6[#All],MATCH(Tabla4[[#This Row],[Producto]],Tabla6[[#All],[PRODUCTO]],0),MATCH(Tabla4[[#This Row],[Mes]],Tabla6[#Headers],0)))</f>
        <v>#N/A</v>
      </c>
      <c r="R5188" s="282" t="e">
        <f>++Tabla4[[#This Row],[Precio Unitario Neto]]-Tabla4[[#This Row],[20.85%]]-Tabla4[[#This Row],[Costo]]</f>
        <v>#N/A</v>
      </c>
      <c r="S5188" s="282" t="e">
        <f>++Tabla4[[#This Row],[U. Bruta Uni]]*Tabla4[[#This Row],[Cantidad]]</f>
        <v>#N/A</v>
      </c>
      <c r="T5188" s="369" t="str">
        <f>VLOOKUP(Tabla4[[#This Row],[Producto]],Tabla6[#All],14,FALSE)</f>
        <v>Termico Solar</v>
      </c>
      <c r="U5188" s="284" t="e">
        <f>(IF(Tabla4[[#This Row],[Familia]]="termico solar",Tabla4[[#This Row],[Utilidad Total]]*6%,Tabla4[[#This Row],[Utilidad Total]]*11.5%))/Tabla4[[#This Row],[Total]]</f>
        <v>#N/A</v>
      </c>
      <c r="V5188" s="282" t="e">
        <f>+Tabla4[[#This Row],[Comisión Calculada]]*Tabla4[[#This Row],[Total]]</f>
        <v>#N/A</v>
      </c>
    </row>
    <row r="5189" spans="1:22" hidden="1" x14ac:dyDescent="0.25">
      <c r="A5189" s="100">
        <v>45884</v>
      </c>
      <c r="B5189" t="str">
        <f t="shared" si="252"/>
        <v>August</v>
      </c>
      <c r="C5189" s="46" t="s">
        <v>280</v>
      </c>
      <c r="F5189" s="366" t="s">
        <v>2707</v>
      </c>
      <c r="G5189" s="46" t="s">
        <v>17</v>
      </c>
      <c r="H5189" s="46">
        <v>3</v>
      </c>
      <c r="I5189" s="51">
        <v>4622.28</v>
      </c>
      <c r="J5189" s="281">
        <f>++Tabla4[[#This Row],[Precio Bruto]]*1.16</f>
        <v>5361.8447999999989</v>
      </c>
      <c r="K5189" s="281">
        <f>+Tabla4[[#This Row],[Precio Unitario Neto]]*Tabla4[[#Headers],[20.85%]]</f>
        <v>1117.9446407999997</v>
      </c>
      <c r="L5189" s="282">
        <f>++Tabla4[[#This Row],[Precio Unitario Neto]]-Tabla4[[#This Row],[20.85%]]</f>
        <v>4243.9001591999995</v>
      </c>
      <c r="M5189" s="282" t="e">
        <f>(INDEX(Tabla6[#All],MATCH(Tabla4[[#This Row],[Producto]],Tabla6[[#All],[PRODUCTO]],0),MATCH(Tabla4[[#This Row],[Mes]],Tabla6[#Headers],0)))*(1+Catalogos!$L$2)</f>
        <v>#N/A</v>
      </c>
      <c r="N5189" s="283" t="e">
        <f>+(Tabla4[[#This Row],[Precio Descontado]]-Tabla4[[#This Row],[Precio Base]])*Tabla4[[#This Row],[Cantidad]]</f>
        <v>#N/A</v>
      </c>
      <c r="O5189" s="284" t="e">
        <f>++Tabla4[[#This Row],[Utilidad Total]]/Tabla4[[#This Row],[Total]]</f>
        <v>#N/A</v>
      </c>
      <c r="P5189" s="282">
        <f>++Tabla4[[#This Row],[Precio Descontado]]*Tabla4[[#This Row],[Cantidad]]</f>
        <v>12731.700477599999</v>
      </c>
      <c r="Q5189" s="282" t="e">
        <f>(INDEX(Tabla6[#All],MATCH(Tabla4[[#This Row],[Producto]],Tabla6[[#All],[PRODUCTO]],0),MATCH(Tabla4[[#This Row],[Mes]],Tabla6[#Headers],0)))</f>
        <v>#N/A</v>
      </c>
      <c r="R5189" s="282" t="e">
        <f>++Tabla4[[#This Row],[Precio Unitario Neto]]-Tabla4[[#This Row],[20.85%]]-Tabla4[[#This Row],[Costo]]</f>
        <v>#N/A</v>
      </c>
      <c r="S5189" s="282" t="e">
        <f>++Tabla4[[#This Row],[U. Bruta Uni]]*Tabla4[[#This Row],[Cantidad]]</f>
        <v>#N/A</v>
      </c>
      <c r="T5189" s="369" t="str">
        <f>VLOOKUP(Tabla4[[#This Row],[Producto]],Tabla6[#All],14,FALSE)</f>
        <v>Termico Solar</v>
      </c>
      <c r="U5189" s="284" t="e">
        <f>(IF(Tabla4[[#This Row],[Familia]]="termico solar",Tabla4[[#This Row],[Utilidad Total]]*6%,Tabla4[[#This Row],[Utilidad Total]]*11.5%))/Tabla4[[#This Row],[Total]]</f>
        <v>#N/A</v>
      </c>
      <c r="V5189" s="282" t="e">
        <f>+Tabla4[[#This Row],[Comisión Calculada]]*Tabla4[[#This Row],[Total]]</f>
        <v>#N/A</v>
      </c>
    </row>
    <row r="5190" spans="1:22" hidden="1" x14ac:dyDescent="0.25">
      <c r="A5190" s="100">
        <v>45884</v>
      </c>
      <c r="B5190" t="str">
        <f t="shared" si="252"/>
        <v>August</v>
      </c>
      <c r="C5190" s="46" t="s">
        <v>280</v>
      </c>
      <c r="F5190" s="366" t="s">
        <v>2707</v>
      </c>
      <c r="G5190" s="46" t="s">
        <v>16</v>
      </c>
      <c r="H5190" s="46">
        <v>1</v>
      </c>
      <c r="I5190" s="51">
        <v>4103.8500000000004</v>
      </c>
      <c r="J5190" s="281">
        <f>++Tabla4[[#This Row],[Precio Bruto]]*1.16</f>
        <v>4760.4660000000003</v>
      </c>
      <c r="K5190" s="281">
        <f>+Tabla4[[#This Row],[Precio Unitario Neto]]*Tabla4[[#Headers],[20.85%]]</f>
        <v>992.55716100000006</v>
      </c>
      <c r="L5190" s="282">
        <f>++Tabla4[[#This Row],[Precio Unitario Neto]]-Tabla4[[#This Row],[20.85%]]</f>
        <v>3767.9088390000002</v>
      </c>
      <c r="M5190" s="282" t="e">
        <f>(INDEX(Tabla6[#All],MATCH(Tabla4[[#This Row],[Producto]],Tabla6[[#All],[PRODUCTO]],0),MATCH(Tabla4[[#This Row],[Mes]],Tabla6[#Headers],0)))*(1+Catalogos!$L$2)</f>
        <v>#N/A</v>
      </c>
      <c r="N5190" s="283" t="e">
        <f>+(Tabla4[[#This Row],[Precio Descontado]]-Tabla4[[#This Row],[Precio Base]])*Tabla4[[#This Row],[Cantidad]]</f>
        <v>#N/A</v>
      </c>
      <c r="O5190" s="284" t="e">
        <f>++Tabla4[[#This Row],[Utilidad Total]]/Tabla4[[#This Row],[Total]]</f>
        <v>#N/A</v>
      </c>
      <c r="P5190" s="282">
        <f>++Tabla4[[#This Row],[Precio Descontado]]*Tabla4[[#This Row],[Cantidad]]</f>
        <v>3767.9088390000002</v>
      </c>
      <c r="Q5190" s="282" t="e">
        <f>(INDEX(Tabla6[#All],MATCH(Tabla4[[#This Row],[Producto]],Tabla6[[#All],[PRODUCTO]],0),MATCH(Tabla4[[#This Row],[Mes]],Tabla6[#Headers],0)))</f>
        <v>#N/A</v>
      </c>
      <c r="R5190" s="282" t="e">
        <f>++Tabla4[[#This Row],[Precio Unitario Neto]]-Tabla4[[#This Row],[20.85%]]-Tabla4[[#This Row],[Costo]]</f>
        <v>#N/A</v>
      </c>
      <c r="S5190" s="282" t="e">
        <f>++Tabla4[[#This Row],[U. Bruta Uni]]*Tabla4[[#This Row],[Cantidad]]</f>
        <v>#N/A</v>
      </c>
      <c r="T5190" s="369" t="str">
        <f>VLOOKUP(Tabla4[[#This Row],[Producto]],Tabla6[#All],14,FALSE)</f>
        <v>Termico Solar</v>
      </c>
      <c r="U5190" s="284" t="e">
        <f>(IF(Tabla4[[#This Row],[Familia]]="termico solar",Tabla4[[#This Row],[Utilidad Total]]*6%,Tabla4[[#This Row],[Utilidad Total]]*11.5%))/Tabla4[[#This Row],[Total]]</f>
        <v>#N/A</v>
      </c>
      <c r="V5190" s="282" t="e">
        <f>+Tabla4[[#This Row],[Comisión Calculada]]*Tabla4[[#This Row],[Total]]</f>
        <v>#N/A</v>
      </c>
    </row>
    <row r="5191" spans="1:22" hidden="1" x14ac:dyDescent="0.25">
      <c r="A5191" s="100">
        <v>45884</v>
      </c>
      <c r="B5191" t="str">
        <f t="shared" si="252"/>
        <v>August</v>
      </c>
      <c r="C5191" s="46" t="s">
        <v>280</v>
      </c>
      <c r="F5191" s="366" t="s">
        <v>2707</v>
      </c>
      <c r="G5191" s="46" t="s">
        <v>208</v>
      </c>
      <c r="H5191" s="46">
        <v>1</v>
      </c>
      <c r="I5191" s="51">
        <v>189.75</v>
      </c>
      <c r="J5191" s="281">
        <f>++Tabla4[[#This Row],[Precio Bruto]]*1.16</f>
        <v>220.10999999999999</v>
      </c>
      <c r="K5191" s="281">
        <f>+Tabla4[[#This Row],[Precio Unitario Neto]]*Tabla4[[#Headers],[20.85%]]</f>
        <v>45.892934999999994</v>
      </c>
      <c r="L5191" s="282">
        <f>++Tabla4[[#This Row],[Precio Unitario Neto]]-Tabla4[[#This Row],[20.85%]]</f>
        <v>174.21706499999999</v>
      </c>
      <c r="M5191" s="282" t="e">
        <f>(INDEX(Tabla6[#All],MATCH(Tabla4[[#This Row],[Producto]],Tabla6[[#All],[PRODUCTO]],0),MATCH(Tabla4[[#This Row],[Mes]],Tabla6[#Headers],0)))*(1+Catalogos!$L$2)</f>
        <v>#N/A</v>
      </c>
      <c r="N5191" s="283" t="e">
        <f>+(Tabla4[[#This Row],[Precio Descontado]]-Tabla4[[#This Row],[Precio Base]])*Tabla4[[#This Row],[Cantidad]]</f>
        <v>#N/A</v>
      </c>
      <c r="O5191" s="284" t="e">
        <f>++Tabla4[[#This Row],[Utilidad Total]]/Tabla4[[#This Row],[Total]]</f>
        <v>#N/A</v>
      </c>
      <c r="P5191" s="282">
        <f>++Tabla4[[#This Row],[Precio Descontado]]*Tabla4[[#This Row],[Cantidad]]</f>
        <v>174.21706499999999</v>
      </c>
      <c r="Q5191" s="282" t="e">
        <f>(INDEX(Tabla6[#All],MATCH(Tabla4[[#This Row],[Producto]],Tabla6[[#All],[PRODUCTO]],0),MATCH(Tabla4[[#This Row],[Mes]],Tabla6[#Headers],0)))</f>
        <v>#N/A</v>
      </c>
      <c r="R5191" s="282" t="e">
        <f>++Tabla4[[#This Row],[Precio Unitario Neto]]-Tabla4[[#This Row],[20.85%]]-Tabla4[[#This Row],[Costo]]</f>
        <v>#N/A</v>
      </c>
      <c r="S5191" s="282" t="e">
        <f>++Tabla4[[#This Row],[U. Bruta Uni]]*Tabla4[[#This Row],[Cantidad]]</f>
        <v>#N/A</v>
      </c>
      <c r="T5191" s="369" t="str">
        <f>VLOOKUP(Tabla4[[#This Row],[Producto]],Tabla6[#All],14,FALSE)</f>
        <v>Termico Solar</v>
      </c>
      <c r="U5191" s="284" t="e">
        <f>(IF(Tabla4[[#This Row],[Familia]]="termico solar",Tabla4[[#This Row],[Utilidad Total]]*6%,Tabla4[[#This Row],[Utilidad Total]]*11.5%))/Tabla4[[#This Row],[Total]]</f>
        <v>#N/A</v>
      </c>
      <c r="V5191" s="282" t="e">
        <f>+Tabla4[[#This Row],[Comisión Calculada]]*Tabla4[[#This Row],[Total]]</f>
        <v>#N/A</v>
      </c>
    </row>
    <row r="5192" spans="1:22" hidden="1" x14ac:dyDescent="0.25">
      <c r="A5192" s="100">
        <v>45884</v>
      </c>
      <c r="B5192" t="str">
        <f t="shared" si="252"/>
        <v>August</v>
      </c>
      <c r="C5192" s="46" t="s">
        <v>280</v>
      </c>
      <c r="F5192" s="366" t="s">
        <v>2708</v>
      </c>
      <c r="G5192" s="46" t="s">
        <v>17</v>
      </c>
      <c r="H5192" s="46">
        <v>3</v>
      </c>
      <c r="I5192" s="51">
        <v>4622.28</v>
      </c>
      <c r="J5192" s="281">
        <f>++Tabla4[[#This Row],[Precio Bruto]]*1.16</f>
        <v>5361.8447999999989</v>
      </c>
      <c r="K5192" s="281">
        <f>+Tabla4[[#This Row],[Precio Unitario Neto]]*Tabla4[[#Headers],[20.85%]]</f>
        <v>1117.9446407999997</v>
      </c>
      <c r="L5192" s="282">
        <f>++Tabla4[[#This Row],[Precio Unitario Neto]]-Tabla4[[#This Row],[20.85%]]</f>
        <v>4243.9001591999995</v>
      </c>
      <c r="M5192" s="282" t="e">
        <f>(INDEX(Tabla6[#All],MATCH(Tabla4[[#This Row],[Producto]],Tabla6[[#All],[PRODUCTO]],0),MATCH(Tabla4[[#This Row],[Mes]],Tabla6[#Headers],0)))*(1+Catalogos!$L$2)</f>
        <v>#N/A</v>
      </c>
      <c r="N5192" s="283" t="e">
        <f>+(Tabla4[[#This Row],[Precio Descontado]]-Tabla4[[#This Row],[Precio Base]])*Tabla4[[#This Row],[Cantidad]]</f>
        <v>#N/A</v>
      </c>
      <c r="O5192" s="284" t="e">
        <f>++Tabla4[[#This Row],[Utilidad Total]]/Tabla4[[#This Row],[Total]]</f>
        <v>#N/A</v>
      </c>
      <c r="P5192" s="282">
        <f>++Tabla4[[#This Row],[Precio Descontado]]*Tabla4[[#This Row],[Cantidad]]</f>
        <v>12731.700477599999</v>
      </c>
      <c r="Q5192" s="282" t="e">
        <f>(INDEX(Tabla6[#All],MATCH(Tabla4[[#This Row],[Producto]],Tabla6[[#All],[PRODUCTO]],0),MATCH(Tabla4[[#This Row],[Mes]],Tabla6[#Headers],0)))</f>
        <v>#N/A</v>
      </c>
      <c r="R5192" s="282" t="e">
        <f>++Tabla4[[#This Row],[Precio Unitario Neto]]-Tabla4[[#This Row],[20.85%]]-Tabla4[[#This Row],[Costo]]</f>
        <v>#N/A</v>
      </c>
      <c r="S5192" s="282" t="e">
        <f>++Tabla4[[#This Row],[U. Bruta Uni]]*Tabla4[[#This Row],[Cantidad]]</f>
        <v>#N/A</v>
      </c>
      <c r="T5192" s="369" t="str">
        <f>VLOOKUP(Tabla4[[#This Row],[Producto]],Tabla6[#All],14,FALSE)</f>
        <v>Termico Solar</v>
      </c>
      <c r="U5192" s="284" t="e">
        <f>(IF(Tabla4[[#This Row],[Familia]]="termico solar",Tabla4[[#This Row],[Utilidad Total]]*6%,Tabla4[[#This Row],[Utilidad Total]]*11.5%))/Tabla4[[#This Row],[Total]]</f>
        <v>#N/A</v>
      </c>
      <c r="V5192" s="282" t="e">
        <f>+Tabla4[[#This Row],[Comisión Calculada]]*Tabla4[[#This Row],[Total]]</f>
        <v>#N/A</v>
      </c>
    </row>
    <row r="5193" spans="1:22" hidden="1" x14ac:dyDescent="0.25">
      <c r="A5193" s="100">
        <v>45884</v>
      </c>
      <c r="B5193" t="str">
        <f t="shared" si="252"/>
        <v>August</v>
      </c>
      <c r="C5193" s="46" t="s">
        <v>280</v>
      </c>
      <c r="F5193" s="366" t="s">
        <v>2708</v>
      </c>
      <c r="G5193" s="46" t="s">
        <v>16</v>
      </c>
      <c r="H5193" s="46">
        <v>1</v>
      </c>
      <c r="I5193" s="51">
        <v>4103.8500000000004</v>
      </c>
      <c r="J5193" s="281">
        <f>++Tabla4[[#This Row],[Precio Bruto]]*1.16</f>
        <v>4760.4660000000003</v>
      </c>
      <c r="K5193" s="281">
        <f>+Tabla4[[#This Row],[Precio Unitario Neto]]*Tabla4[[#Headers],[20.85%]]</f>
        <v>992.55716100000006</v>
      </c>
      <c r="L5193" s="282">
        <f>++Tabla4[[#This Row],[Precio Unitario Neto]]-Tabla4[[#This Row],[20.85%]]</f>
        <v>3767.9088390000002</v>
      </c>
      <c r="M5193" s="282" t="e">
        <f>(INDEX(Tabla6[#All],MATCH(Tabla4[[#This Row],[Producto]],Tabla6[[#All],[PRODUCTO]],0),MATCH(Tabla4[[#This Row],[Mes]],Tabla6[#Headers],0)))*(1+Catalogos!$L$2)</f>
        <v>#N/A</v>
      </c>
      <c r="N5193" s="283" t="e">
        <f>+(Tabla4[[#This Row],[Precio Descontado]]-Tabla4[[#This Row],[Precio Base]])*Tabla4[[#This Row],[Cantidad]]</f>
        <v>#N/A</v>
      </c>
      <c r="O5193" s="284" t="e">
        <f>++Tabla4[[#This Row],[Utilidad Total]]/Tabla4[[#This Row],[Total]]</f>
        <v>#N/A</v>
      </c>
      <c r="P5193" s="282">
        <f>++Tabla4[[#This Row],[Precio Descontado]]*Tabla4[[#This Row],[Cantidad]]</f>
        <v>3767.9088390000002</v>
      </c>
      <c r="Q5193" s="282" t="e">
        <f>(INDEX(Tabla6[#All],MATCH(Tabla4[[#This Row],[Producto]],Tabla6[[#All],[PRODUCTO]],0),MATCH(Tabla4[[#This Row],[Mes]],Tabla6[#Headers],0)))</f>
        <v>#N/A</v>
      </c>
      <c r="R5193" s="282" t="e">
        <f>++Tabla4[[#This Row],[Precio Unitario Neto]]-Tabla4[[#This Row],[20.85%]]-Tabla4[[#This Row],[Costo]]</f>
        <v>#N/A</v>
      </c>
      <c r="S5193" s="282" t="e">
        <f>++Tabla4[[#This Row],[U. Bruta Uni]]*Tabla4[[#This Row],[Cantidad]]</f>
        <v>#N/A</v>
      </c>
      <c r="T5193" s="369" t="str">
        <f>VLOOKUP(Tabla4[[#This Row],[Producto]],Tabla6[#All],14,FALSE)</f>
        <v>Termico Solar</v>
      </c>
      <c r="U5193" s="284" t="e">
        <f>(IF(Tabla4[[#This Row],[Familia]]="termico solar",Tabla4[[#This Row],[Utilidad Total]]*6%,Tabla4[[#This Row],[Utilidad Total]]*11.5%))/Tabla4[[#This Row],[Total]]</f>
        <v>#N/A</v>
      </c>
      <c r="V5193" s="282" t="e">
        <f>+Tabla4[[#This Row],[Comisión Calculada]]*Tabla4[[#This Row],[Total]]</f>
        <v>#N/A</v>
      </c>
    </row>
    <row r="5194" spans="1:22" hidden="1" x14ac:dyDescent="0.25">
      <c r="A5194" s="100">
        <v>45884</v>
      </c>
      <c r="B5194" t="str">
        <f t="shared" si="252"/>
        <v>August</v>
      </c>
      <c r="C5194" s="46" t="s">
        <v>280</v>
      </c>
      <c r="F5194" s="366" t="s">
        <v>2708</v>
      </c>
      <c r="G5194" s="46" t="s">
        <v>208</v>
      </c>
      <c r="H5194" s="46">
        <v>2</v>
      </c>
      <c r="I5194" s="51">
        <v>189.75</v>
      </c>
      <c r="J5194" s="281">
        <f>++Tabla4[[#This Row],[Precio Bruto]]*1.16</f>
        <v>220.10999999999999</v>
      </c>
      <c r="K5194" s="281">
        <f>+Tabla4[[#This Row],[Precio Unitario Neto]]*Tabla4[[#Headers],[20.85%]]</f>
        <v>45.892934999999994</v>
      </c>
      <c r="L5194" s="282">
        <f>++Tabla4[[#This Row],[Precio Unitario Neto]]-Tabla4[[#This Row],[20.85%]]</f>
        <v>174.21706499999999</v>
      </c>
      <c r="M5194" s="282" t="e">
        <f>(INDEX(Tabla6[#All],MATCH(Tabla4[[#This Row],[Producto]],Tabla6[[#All],[PRODUCTO]],0),MATCH(Tabla4[[#This Row],[Mes]],Tabla6[#Headers],0)))*(1+Catalogos!$L$2)</f>
        <v>#N/A</v>
      </c>
      <c r="N5194" s="283" t="e">
        <f>+(Tabla4[[#This Row],[Precio Descontado]]-Tabla4[[#This Row],[Precio Base]])*Tabla4[[#This Row],[Cantidad]]</f>
        <v>#N/A</v>
      </c>
      <c r="O5194" s="284" t="e">
        <f>++Tabla4[[#This Row],[Utilidad Total]]/Tabla4[[#This Row],[Total]]</f>
        <v>#N/A</v>
      </c>
      <c r="P5194" s="282">
        <f>++Tabla4[[#This Row],[Precio Descontado]]*Tabla4[[#This Row],[Cantidad]]</f>
        <v>348.43412999999998</v>
      </c>
      <c r="Q5194" s="282" t="e">
        <f>(INDEX(Tabla6[#All],MATCH(Tabla4[[#This Row],[Producto]],Tabla6[[#All],[PRODUCTO]],0),MATCH(Tabla4[[#This Row],[Mes]],Tabla6[#Headers],0)))</f>
        <v>#N/A</v>
      </c>
      <c r="R5194" s="282" t="e">
        <f>++Tabla4[[#This Row],[Precio Unitario Neto]]-Tabla4[[#This Row],[20.85%]]-Tabla4[[#This Row],[Costo]]</f>
        <v>#N/A</v>
      </c>
      <c r="S5194" s="282" t="e">
        <f>++Tabla4[[#This Row],[U. Bruta Uni]]*Tabla4[[#This Row],[Cantidad]]</f>
        <v>#N/A</v>
      </c>
      <c r="T5194" s="369" t="str">
        <f>VLOOKUP(Tabla4[[#This Row],[Producto]],Tabla6[#All],14,FALSE)</f>
        <v>Termico Solar</v>
      </c>
      <c r="U5194" s="284" t="e">
        <f>(IF(Tabla4[[#This Row],[Familia]]="termico solar",Tabla4[[#This Row],[Utilidad Total]]*6%,Tabla4[[#This Row],[Utilidad Total]]*11.5%))/Tabla4[[#This Row],[Total]]</f>
        <v>#N/A</v>
      </c>
      <c r="V5194" s="282" t="e">
        <f>+Tabla4[[#This Row],[Comisión Calculada]]*Tabla4[[#This Row],[Total]]</f>
        <v>#N/A</v>
      </c>
    </row>
    <row r="5195" spans="1:22" hidden="1" x14ac:dyDescent="0.25">
      <c r="A5195" s="100">
        <v>45884</v>
      </c>
      <c r="B5195" t="str">
        <f t="shared" si="252"/>
        <v>August</v>
      </c>
      <c r="C5195" s="46" t="s">
        <v>280</v>
      </c>
      <c r="F5195" s="366" t="s">
        <v>2709</v>
      </c>
      <c r="G5195" s="46" t="s">
        <v>19</v>
      </c>
      <c r="H5195" s="46">
        <v>2</v>
      </c>
      <c r="I5195" s="51">
        <v>6412.03</v>
      </c>
      <c r="J5195" s="281">
        <f>++Tabla4[[#This Row],[Precio Bruto]]*1.16</f>
        <v>7437.9547999999995</v>
      </c>
      <c r="K5195" s="281">
        <f>+Tabla4[[#This Row],[Precio Unitario Neto]]*Tabla4[[#Headers],[20.85%]]</f>
        <v>1550.8135757999999</v>
      </c>
      <c r="L5195" s="282">
        <f>++Tabla4[[#This Row],[Precio Unitario Neto]]-Tabla4[[#This Row],[20.85%]]</f>
        <v>5887.1412241999997</v>
      </c>
      <c r="M5195" s="282" t="e">
        <f>(INDEX(Tabla6[#All],MATCH(Tabla4[[#This Row],[Producto]],Tabla6[[#All],[PRODUCTO]],0),MATCH(Tabla4[[#This Row],[Mes]],Tabla6[#Headers],0)))*(1+Catalogos!$L$2)</f>
        <v>#N/A</v>
      </c>
      <c r="N5195" s="283" t="e">
        <f>+(Tabla4[[#This Row],[Precio Descontado]]-Tabla4[[#This Row],[Precio Base]])*Tabla4[[#This Row],[Cantidad]]</f>
        <v>#N/A</v>
      </c>
      <c r="O5195" s="284" t="e">
        <f>++Tabla4[[#This Row],[Utilidad Total]]/Tabla4[[#This Row],[Total]]</f>
        <v>#N/A</v>
      </c>
      <c r="P5195" s="282">
        <f>++Tabla4[[#This Row],[Precio Descontado]]*Tabla4[[#This Row],[Cantidad]]</f>
        <v>11774.282448399999</v>
      </c>
      <c r="Q5195" s="282" t="e">
        <f>(INDEX(Tabla6[#All],MATCH(Tabla4[[#This Row],[Producto]],Tabla6[[#All],[PRODUCTO]],0),MATCH(Tabla4[[#This Row],[Mes]],Tabla6[#Headers],0)))</f>
        <v>#N/A</v>
      </c>
      <c r="R5195" s="282" t="e">
        <f>++Tabla4[[#This Row],[Precio Unitario Neto]]-Tabla4[[#This Row],[20.85%]]-Tabla4[[#This Row],[Costo]]</f>
        <v>#N/A</v>
      </c>
      <c r="S5195" s="282" t="e">
        <f>++Tabla4[[#This Row],[U. Bruta Uni]]*Tabla4[[#This Row],[Cantidad]]</f>
        <v>#N/A</v>
      </c>
      <c r="T5195" s="369" t="str">
        <f>VLOOKUP(Tabla4[[#This Row],[Producto]],Tabla6[#All],14,FALSE)</f>
        <v>Termico Solar</v>
      </c>
      <c r="U5195" s="284" t="e">
        <f>(IF(Tabla4[[#This Row],[Familia]]="termico solar",Tabla4[[#This Row],[Utilidad Total]]*6%,Tabla4[[#This Row],[Utilidad Total]]*11.5%))/Tabla4[[#This Row],[Total]]</f>
        <v>#N/A</v>
      </c>
      <c r="V5195" s="282" t="e">
        <f>+Tabla4[[#This Row],[Comisión Calculada]]*Tabla4[[#This Row],[Total]]</f>
        <v>#N/A</v>
      </c>
    </row>
    <row r="5196" spans="1:22" hidden="1" x14ac:dyDescent="0.25">
      <c r="A5196" s="100">
        <v>45884</v>
      </c>
      <c r="B5196" t="str">
        <f t="shared" si="252"/>
        <v>August</v>
      </c>
      <c r="C5196" s="46" t="s">
        <v>280</v>
      </c>
      <c r="F5196" s="366" t="s">
        <v>2709</v>
      </c>
      <c r="G5196" s="46" t="s">
        <v>208</v>
      </c>
      <c r="H5196" s="46">
        <v>4</v>
      </c>
      <c r="I5196" s="51">
        <v>189.75</v>
      </c>
      <c r="J5196" s="281">
        <f>++Tabla4[[#This Row],[Precio Bruto]]*1.16</f>
        <v>220.10999999999999</v>
      </c>
      <c r="K5196" s="281">
        <f>+Tabla4[[#This Row],[Precio Unitario Neto]]*Tabla4[[#Headers],[20.85%]]</f>
        <v>45.892934999999994</v>
      </c>
      <c r="L5196" s="282">
        <f>++Tabla4[[#This Row],[Precio Unitario Neto]]-Tabla4[[#This Row],[20.85%]]</f>
        <v>174.21706499999999</v>
      </c>
      <c r="M5196" s="282" t="e">
        <f>(INDEX(Tabla6[#All],MATCH(Tabla4[[#This Row],[Producto]],Tabla6[[#All],[PRODUCTO]],0),MATCH(Tabla4[[#This Row],[Mes]],Tabla6[#Headers],0)))*(1+Catalogos!$L$2)</f>
        <v>#N/A</v>
      </c>
      <c r="N5196" s="283" t="e">
        <f>+(Tabla4[[#This Row],[Precio Descontado]]-Tabla4[[#This Row],[Precio Base]])*Tabla4[[#This Row],[Cantidad]]</f>
        <v>#N/A</v>
      </c>
      <c r="O5196" s="284" t="e">
        <f>++Tabla4[[#This Row],[Utilidad Total]]/Tabla4[[#This Row],[Total]]</f>
        <v>#N/A</v>
      </c>
      <c r="P5196" s="282">
        <f>++Tabla4[[#This Row],[Precio Descontado]]*Tabla4[[#This Row],[Cantidad]]</f>
        <v>696.86825999999996</v>
      </c>
      <c r="Q5196" s="282" t="e">
        <f>(INDEX(Tabla6[#All],MATCH(Tabla4[[#This Row],[Producto]],Tabla6[[#All],[PRODUCTO]],0),MATCH(Tabla4[[#This Row],[Mes]],Tabla6[#Headers],0)))</f>
        <v>#N/A</v>
      </c>
      <c r="R5196" s="282" t="e">
        <f>++Tabla4[[#This Row],[Precio Unitario Neto]]-Tabla4[[#This Row],[20.85%]]-Tabla4[[#This Row],[Costo]]</f>
        <v>#N/A</v>
      </c>
      <c r="S5196" s="282" t="e">
        <f>++Tabla4[[#This Row],[U. Bruta Uni]]*Tabla4[[#This Row],[Cantidad]]</f>
        <v>#N/A</v>
      </c>
      <c r="T5196" s="369" t="str">
        <f>VLOOKUP(Tabla4[[#This Row],[Producto]],Tabla6[#All],14,FALSE)</f>
        <v>Termico Solar</v>
      </c>
      <c r="U5196" s="284" t="e">
        <f>(IF(Tabla4[[#This Row],[Familia]]="termico solar",Tabla4[[#This Row],[Utilidad Total]]*6%,Tabla4[[#This Row],[Utilidad Total]]*11.5%))/Tabla4[[#This Row],[Total]]</f>
        <v>#N/A</v>
      </c>
      <c r="V5196" s="282" t="e">
        <f>+Tabla4[[#This Row],[Comisión Calculada]]*Tabla4[[#This Row],[Total]]</f>
        <v>#N/A</v>
      </c>
    </row>
    <row r="5197" spans="1:22" hidden="1" x14ac:dyDescent="0.25">
      <c r="A5197" s="100">
        <v>45884</v>
      </c>
      <c r="B5197" t="str">
        <f t="shared" si="252"/>
        <v>August</v>
      </c>
      <c r="C5197" s="46" t="s">
        <v>280</v>
      </c>
      <c r="F5197" s="366" t="s">
        <v>2710</v>
      </c>
      <c r="G5197" s="46" t="s">
        <v>566</v>
      </c>
      <c r="H5197" s="46">
        <v>1</v>
      </c>
      <c r="I5197" s="51">
        <v>2109.4499999999998</v>
      </c>
      <c r="J5197" s="281">
        <f>++Tabla4[[#This Row],[Precio Bruto]]*1.16</f>
        <v>2446.9619999999995</v>
      </c>
      <c r="K5197" s="281">
        <f>+Tabla4[[#This Row],[Precio Unitario Neto]]*Tabla4[[#Headers],[20.85%]]</f>
        <v>510.19157699999988</v>
      </c>
      <c r="L5197" s="282">
        <f>++Tabla4[[#This Row],[Precio Unitario Neto]]-Tabla4[[#This Row],[20.85%]]</f>
        <v>1936.7704229999997</v>
      </c>
      <c r="M5197" s="282" t="e">
        <f>(INDEX(Tabla6[#All],MATCH(Tabla4[[#This Row],[Producto]],Tabla6[[#All],[PRODUCTO]],0),MATCH(Tabla4[[#This Row],[Mes]],Tabla6[#Headers],0)))*(1+Catalogos!$L$2)</f>
        <v>#N/A</v>
      </c>
      <c r="N5197" s="283" t="e">
        <f>+(Tabla4[[#This Row],[Precio Descontado]]-Tabla4[[#This Row],[Precio Base]])*Tabla4[[#This Row],[Cantidad]]</f>
        <v>#N/A</v>
      </c>
      <c r="O5197" s="284" t="e">
        <f>++Tabla4[[#This Row],[Utilidad Total]]/Tabla4[[#This Row],[Total]]</f>
        <v>#N/A</v>
      </c>
      <c r="P5197" s="282">
        <f>++Tabla4[[#This Row],[Precio Descontado]]*Tabla4[[#This Row],[Cantidad]]</f>
        <v>1936.7704229999997</v>
      </c>
      <c r="Q5197" s="282" t="e">
        <f>(INDEX(Tabla6[#All],MATCH(Tabla4[[#This Row],[Producto]],Tabla6[[#All],[PRODUCTO]],0),MATCH(Tabla4[[#This Row],[Mes]],Tabla6[#Headers],0)))</f>
        <v>#N/A</v>
      </c>
      <c r="R5197" s="282" t="e">
        <f>++Tabla4[[#This Row],[Precio Unitario Neto]]-Tabla4[[#This Row],[20.85%]]-Tabla4[[#This Row],[Costo]]</f>
        <v>#N/A</v>
      </c>
      <c r="S5197" s="282" t="e">
        <f>++Tabla4[[#This Row],[U. Bruta Uni]]*Tabla4[[#This Row],[Cantidad]]</f>
        <v>#N/A</v>
      </c>
      <c r="T5197" s="369" t="str">
        <f>VLOOKUP(Tabla4[[#This Row],[Producto]],Tabla6[#All],14,FALSE)</f>
        <v>Termico Solar</v>
      </c>
      <c r="U5197" s="284" t="e">
        <f>(IF(Tabla4[[#This Row],[Familia]]="termico solar",Tabla4[[#This Row],[Utilidad Total]]*6%,Tabla4[[#This Row],[Utilidad Total]]*11.5%))/Tabla4[[#This Row],[Total]]</f>
        <v>#N/A</v>
      </c>
      <c r="V5197" s="282" t="e">
        <f>+Tabla4[[#This Row],[Comisión Calculada]]*Tabla4[[#This Row],[Total]]</f>
        <v>#N/A</v>
      </c>
    </row>
    <row r="5198" spans="1:22" hidden="1" x14ac:dyDescent="0.25">
      <c r="A5198" s="100">
        <v>45884</v>
      </c>
      <c r="B5198" t="str">
        <f t="shared" si="252"/>
        <v>August</v>
      </c>
      <c r="C5198" s="46" t="s">
        <v>280</v>
      </c>
      <c r="F5198" s="366" t="s">
        <v>2710</v>
      </c>
      <c r="G5198" s="46" t="s">
        <v>208</v>
      </c>
      <c r="H5198" s="46">
        <v>1</v>
      </c>
      <c r="I5198" s="51">
        <v>189.75</v>
      </c>
      <c r="J5198" s="281">
        <f>++Tabla4[[#This Row],[Precio Bruto]]*1.16</f>
        <v>220.10999999999999</v>
      </c>
      <c r="K5198" s="281">
        <f>+Tabla4[[#This Row],[Precio Unitario Neto]]*Tabla4[[#Headers],[20.85%]]</f>
        <v>45.892934999999994</v>
      </c>
      <c r="L5198" s="282">
        <f>++Tabla4[[#This Row],[Precio Unitario Neto]]-Tabla4[[#This Row],[20.85%]]</f>
        <v>174.21706499999999</v>
      </c>
      <c r="M5198" s="282" t="e">
        <f>(INDEX(Tabla6[#All],MATCH(Tabla4[[#This Row],[Producto]],Tabla6[[#All],[PRODUCTO]],0),MATCH(Tabla4[[#This Row],[Mes]],Tabla6[#Headers],0)))*(1+Catalogos!$L$2)</f>
        <v>#N/A</v>
      </c>
      <c r="N5198" s="283" t="e">
        <f>+(Tabla4[[#This Row],[Precio Descontado]]-Tabla4[[#This Row],[Precio Base]])*Tabla4[[#This Row],[Cantidad]]</f>
        <v>#N/A</v>
      </c>
      <c r="O5198" s="284" t="e">
        <f>++Tabla4[[#This Row],[Utilidad Total]]/Tabla4[[#This Row],[Total]]</f>
        <v>#N/A</v>
      </c>
      <c r="P5198" s="282">
        <f>++Tabla4[[#This Row],[Precio Descontado]]*Tabla4[[#This Row],[Cantidad]]</f>
        <v>174.21706499999999</v>
      </c>
      <c r="Q5198" s="282" t="e">
        <f>(INDEX(Tabla6[#All],MATCH(Tabla4[[#This Row],[Producto]],Tabla6[[#All],[PRODUCTO]],0),MATCH(Tabla4[[#This Row],[Mes]],Tabla6[#Headers],0)))</f>
        <v>#N/A</v>
      </c>
      <c r="R5198" s="282" t="e">
        <f>++Tabla4[[#This Row],[Precio Unitario Neto]]-Tabla4[[#This Row],[20.85%]]-Tabla4[[#This Row],[Costo]]</f>
        <v>#N/A</v>
      </c>
      <c r="S5198" s="282" t="e">
        <f>++Tabla4[[#This Row],[U. Bruta Uni]]*Tabla4[[#This Row],[Cantidad]]</f>
        <v>#N/A</v>
      </c>
      <c r="T5198" s="369" t="str">
        <f>VLOOKUP(Tabla4[[#This Row],[Producto]],Tabla6[#All],14,FALSE)</f>
        <v>Termico Solar</v>
      </c>
      <c r="U5198" s="284" t="e">
        <f>(IF(Tabla4[[#This Row],[Familia]]="termico solar",Tabla4[[#This Row],[Utilidad Total]]*6%,Tabla4[[#This Row],[Utilidad Total]]*11.5%))/Tabla4[[#This Row],[Total]]</f>
        <v>#N/A</v>
      </c>
      <c r="V5198" s="282" t="e">
        <f>+Tabla4[[#This Row],[Comisión Calculada]]*Tabla4[[#This Row],[Total]]</f>
        <v>#N/A</v>
      </c>
    </row>
    <row r="5199" spans="1:22" hidden="1" x14ac:dyDescent="0.25">
      <c r="A5199" s="100">
        <v>45884</v>
      </c>
      <c r="B5199" t="str">
        <f t="shared" ref="B5199:B5204" si="253">TEXT(A5199, "mmmm")</f>
        <v>August</v>
      </c>
      <c r="C5199" s="46" t="s">
        <v>280</v>
      </c>
      <c r="F5199" s="366" t="s">
        <v>2711</v>
      </c>
      <c r="G5199" s="46" t="s">
        <v>16</v>
      </c>
      <c r="H5199" s="46">
        <v>1</v>
      </c>
      <c r="I5199" s="51">
        <v>4103.8500000000004</v>
      </c>
      <c r="J5199" s="281">
        <f>++Tabla4[[#This Row],[Precio Bruto]]*1.16</f>
        <v>4760.4660000000003</v>
      </c>
      <c r="K5199" s="281">
        <f>+Tabla4[[#This Row],[Precio Unitario Neto]]*Tabla4[[#Headers],[20.85%]]</f>
        <v>992.55716100000006</v>
      </c>
      <c r="L5199" s="282">
        <f>++Tabla4[[#This Row],[Precio Unitario Neto]]-Tabla4[[#This Row],[20.85%]]</f>
        <v>3767.9088390000002</v>
      </c>
      <c r="M5199" s="282" t="e">
        <f>(INDEX(Tabla6[#All],MATCH(Tabla4[[#This Row],[Producto]],Tabla6[[#All],[PRODUCTO]],0),MATCH(Tabla4[[#This Row],[Mes]],Tabla6[#Headers],0)))*(1+Catalogos!$L$2)</f>
        <v>#N/A</v>
      </c>
      <c r="N5199" s="283" t="e">
        <f>+(Tabla4[[#This Row],[Precio Descontado]]-Tabla4[[#This Row],[Precio Base]])*Tabla4[[#This Row],[Cantidad]]</f>
        <v>#N/A</v>
      </c>
      <c r="O5199" s="284" t="e">
        <f>++Tabla4[[#This Row],[Utilidad Total]]/Tabla4[[#This Row],[Total]]</f>
        <v>#N/A</v>
      </c>
      <c r="P5199" s="282">
        <f>++Tabla4[[#This Row],[Precio Descontado]]*Tabla4[[#This Row],[Cantidad]]</f>
        <v>3767.9088390000002</v>
      </c>
      <c r="Q5199" s="282" t="e">
        <f>(INDEX(Tabla6[#All],MATCH(Tabla4[[#This Row],[Producto]],Tabla6[[#All],[PRODUCTO]],0),MATCH(Tabla4[[#This Row],[Mes]],Tabla6[#Headers],0)))</f>
        <v>#N/A</v>
      </c>
      <c r="R5199" s="282" t="e">
        <f>++Tabla4[[#This Row],[Precio Unitario Neto]]-Tabla4[[#This Row],[20.85%]]-Tabla4[[#This Row],[Costo]]</f>
        <v>#N/A</v>
      </c>
      <c r="S5199" s="282" t="e">
        <f>++Tabla4[[#This Row],[U. Bruta Uni]]*Tabla4[[#This Row],[Cantidad]]</f>
        <v>#N/A</v>
      </c>
      <c r="T5199" s="369" t="str">
        <f>VLOOKUP(Tabla4[[#This Row],[Producto]],Tabla6[#All],14,FALSE)</f>
        <v>Termico Solar</v>
      </c>
      <c r="U5199" s="284" t="e">
        <f>(IF(Tabla4[[#This Row],[Familia]]="termico solar",Tabla4[[#This Row],[Utilidad Total]]*6%,Tabla4[[#This Row],[Utilidad Total]]*11.5%))/Tabla4[[#This Row],[Total]]</f>
        <v>#N/A</v>
      </c>
      <c r="V5199" s="282" t="e">
        <f>+Tabla4[[#This Row],[Comisión Calculada]]*Tabla4[[#This Row],[Total]]</f>
        <v>#N/A</v>
      </c>
    </row>
    <row r="5200" spans="1:22" hidden="1" x14ac:dyDescent="0.25">
      <c r="A5200" s="100">
        <v>45884</v>
      </c>
      <c r="B5200" t="str">
        <f t="shared" si="253"/>
        <v>August</v>
      </c>
      <c r="C5200" s="46" t="s">
        <v>280</v>
      </c>
      <c r="F5200" s="366" t="s">
        <v>2712</v>
      </c>
      <c r="G5200" s="46" t="s">
        <v>208</v>
      </c>
      <c r="H5200" s="46">
        <v>1</v>
      </c>
      <c r="I5200" s="51">
        <v>189.75</v>
      </c>
      <c r="J5200" s="281">
        <f>++Tabla4[[#This Row],[Precio Bruto]]*1.16</f>
        <v>220.10999999999999</v>
      </c>
      <c r="K5200" s="281">
        <f>+Tabla4[[#This Row],[Precio Unitario Neto]]*Tabla4[[#Headers],[20.85%]]</f>
        <v>45.892934999999994</v>
      </c>
      <c r="L5200" s="282">
        <f>++Tabla4[[#This Row],[Precio Unitario Neto]]-Tabla4[[#This Row],[20.85%]]</f>
        <v>174.21706499999999</v>
      </c>
      <c r="M5200" s="282" t="e">
        <f>(INDEX(Tabla6[#All],MATCH(Tabla4[[#This Row],[Producto]],Tabla6[[#All],[PRODUCTO]],0),MATCH(Tabla4[[#This Row],[Mes]],Tabla6[#Headers],0)))*(1+Catalogos!$L$2)</f>
        <v>#N/A</v>
      </c>
      <c r="N5200" s="283" t="e">
        <f>+(Tabla4[[#This Row],[Precio Descontado]]-Tabla4[[#This Row],[Precio Base]])*Tabla4[[#This Row],[Cantidad]]</f>
        <v>#N/A</v>
      </c>
      <c r="O5200" s="284" t="e">
        <f>++Tabla4[[#This Row],[Utilidad Total]]/Tabla4[[#This Row],[Total]]</f>
        <v>#N/A</v>
      </c>
      <c r="P5200" s="282">
        <f>++Tabla4[[#This Row],[Precio Descontado]]*Tabla4[[#This Row],[Cantidad]]</f>
        <v>174.21706499999999</v>
      </c>
      <c r="Q5200" s="282" t="e">
        <f>(INDEX(Tabla6[#All],MATCH(Tabla4[[#This Row],[Producto]],Tabla6[[#All],[PRODUCTO]],0),MATCH(Tabla4[[#This Row],[Mes]],Tabla6[#Headers],0)))</f>
        <v>#N/A</v>
      </c>
      <c r="R5200" s="282" t="e">
        <f>++Tabla4[[#This Row],[Precio Unitario Neto]]-Tabla4[[#This Row],[20.85%]]-Tabla4[[#This Row],[Costo]]</f>
        <v>#N/A</v>
      </c>
      <c r="S5200" s="282" t="e">
        <f>++Tabla4[[#This Row],[U. Bruta Uni]]*Tabla4[[#This Row],[Cantidad]]</f>
        <v>#N/A</v>
      </c>
      <c r="T5200" s="369" t="str">
        <f>VLOOKUP(Tabla4[[#This Row],[Producto]],Tabla6[#All],14,FALSE)</f>
        <v>Termico Solar</v>
      </c>
      <c r="U5200" s="284" t="e">
        <f>(IF(Tabla4[[#This Row],[Familia]]="termico solar",Tabla4[[#This Row],[Utilidad Total]]*6%,Tabla4[[#This Row],[Utilidad Total]]*11.5%))/Tabla4[[#This Row],[Total]]</f>
        <v>#N/A</v>
      </c>
      <c r="V5200" s="282" t="e">
        <f>+Tabla4[[#This Row],[Comisión Calculada]]*Tabla4[[#This Row],[Total]]</f>
        <v>#N/A</v>
      </c>
    </row>
    <row r="5201" spans="1:22" hidden="1" x14ac:dyDescent="0.25">
      <c r="A5201" s="100">
        <v>45884</v>
      </c>
      <c r="B5201" t="str">
        <f t="shared" si="253"/>
        <v>August</v>
      </c>
      <c r="C5201" s="46" t="s">
        <v>280</v>
      </c>
      <c r="F5201" s="366" t="s">
        <v>2713</v>
      </c>
      <c r="G5201" s="46" t="s">
        <v>208</v>
      </c>
      <c r="H5201" s="46">
        <v>1</v>
      </c>
      <c r="I5201" s="51">
        <v>189.75</v>
      </c>
      <c r="J5201" s="281">
        <f>++Tabla4[[#This Row],[Precio Bruto]]*1.16</f>
        <v>220.10999999999999</v>
      </c>
      <c r="K5201" s="281">
        <f>+Tabla4[[#This Row],[Precio Unitario Neto]]*Tabla4[[#Headers],[20.85%]]</f>
        <v>45.892934999999994</v>
      </c>
      <c r="L5201" s="282">
        <f>++Tabla4[[#This Row],[Precio Unitario Neto]]-Tabla4[[#This Row],[20.85%]]</f>
        <v>174.21706499999999</v>
      </c>
      <c r="M5201" s="282" t="e">
        <f>(INDEX(Tabla6[#All],MATCH(Tabla4[[#This Row],[Producto]],Tabla6[[#All],[PRODUCTO]],0),MATCH(Tabla4[[#This Row],[Mes]],Tabla6[#Headers],0)))*(1+Catalogos!$L$2)</f>
        <v>#N/A</v>
      </c>
      <c r="N5201" s="283" t="e">
        <f>+(Tabla4[[#This Row],[Precio Descontado]]-Tabla4[[#This Row],[Precio Base]])*Tabla4[[#This Row],[Cantidad]]</f>
        <v>#N/A</v>
      </c>
      <c r="O5201" s="284" t="e">
        <f>++Tabla4[[#This Row],[Utilidad Total]]/Tabla4[[#This Row],[Total]]</f>
        <v>#N/A</v>
      </c>
      <c r="P5201" s="282">
        <f>++Tabla4[[#This Row],[Precio Descontado]]*Tabla4[[#This Row],[Cantidad]]</f>
        <v>174.21706499999999</v>
      </c>
      <c r="Q5201" s="282" t="e">
        <f>(INDEX(Tabla6[#All],MATCH(Tabla4[[#This Row],[Producto]],Tabla6[[#All],[PRODUCTO]],0),MATCH(Tabla4[[#This Row],[Mes]],Tabla6[#Headers],0)))</f>
        <v>#N/A</v>
      </c>
      <c r="R5201" s="282" t="e">
        <f>++Tabla4[[#This Row],[Precio Unitario Neto]]-Tabla4[[#This Row],[20.85%]]-Tabla4[[#This Row],[Costo]]</f>
        <v>#N/A</v>
      </c>
      <c r="S5201" s="282" t="e">
        <f>++Tabla4[[#This Row],[U. Bruta Uni]]*Tabla4[[#This Row],[Cantidad]]</f>
        <v>#N/A</v>
      </c>
      <c r="T5201" s="369" t="str">
        <f>VLOOKUP(Tabla4[[#This Row],[Producto]],Tabla6[#All],14,FALSE)</f>
        <v>Termico Solar</v>
      </c>
      <c r="U5201" s="284" t="e">
        <f>(IF(Tabla4[[#This Row],[Familia]]="termico solar",Tabla4[[#This Row],[Utilidad Total]]*6%,Tabla4[[#This Row],[Utilidad Total]]*11.5%))/Tabla4[[#This Row],[Total]]</f>
        <v>#N/A</v>
      </c>
      <c r="V5201" s="282" t="e">
        <f>+Tabla4[[#This Row],[Comisión Calculada]]*Tabla4[[#This Row],[Total]]</f>
        <v>#N/A</v>
      </c>
    </row>
    <row r="5202" spans="1:22" hidden="1" x14ac:dyDescent="0.25">
      <c r="A5202" s="100">
        <v>45884</v>
      </c>
      <c r="B5202" t="str">
        <f t="shared" si="253"/>
        <v>August</v>
      </c>
      <c r="C5202" s="46" t="s">
        <v>280</v>
      </c>
      <c r="F5202" s="366" t="s">
        <v>2714</v>
      </c>
      <c r="G5202" s="46" t="s">
        <v>17</v>
      </c>
      <c r="H5202" s="46">
        <v>2</v>
      </c>
      <c r="I5202" s="51">
        <v>4622.28</v>
      </c>
      <c r="J5202" s="281">
        <f>++Tabla4[[#This Row],[Precio Bruto]]*1.16</f>
        <v>5361.8447999999989</v>
      </c>
      <c r="K5202" s="281">
        <f>+Tabla4[[#This Row],[Precio Unitario Neto]]*Tabla4[[#Headers],[20.85%]]</f>
        <v>1117.9446407999997</v>
      </c>
      <c r="L5202" s="282">
        <f>++Tabla4[[#This Row],[Precio Unitario Neto]]-Tabla4[[#This Row],[20.85%]]</f>
        <v>4243.9001591999995</v>
      </c>
      <c r="M5202" s="282" t="e">
        <f>(INDEX(Tabla6[#All],MATCH(Tabla4[[#This Row],[Producto]],Tabla6[[#All],[PRODUCTO]],0),MATCH(Tabla4[[#This Row],[Mes]],Tabla6[#Headers],0)))*(1+Catalogos!$L$2)</f>
        <v>#N/A</v>
      </c>
      <c r="N5202" s="283" t="e">
        <f>+(Tabla4[[#This Row],[Precio Descontado]]-Tabla4[[#This Row],[Precio Base]])*Tabla4[[#This Row],[Cantidad]]</f>
        <v>#N/A</v>
      </c>
      <c r="O5202" s="284" t="e">
        <f>++Tabla4[[#This Row],[Utilidad Total]]/Tabla4[[#This Row],[Total]]</f>
        <v>#N/A</v>
      </c>
      <c r="P5202" s="282">
        <f>++Tabla4[[#This Row],[Precio Descontado]]*Tabla4[[#This Row],[Cantidad]]</f>
        <v>8487.800318399999</v>
      </c>
      <c r="Q5202" s="282" t="e">
        <f>(INDEX(Tabla6[#All],MATCH(Tabla4[[#This Row],[Producto]],Tabla6[[#All],[PRODUCTO]],0),MATCH(Tabla4[[#This Row],[Mes]],Tabla6[#Headers],0)))</f>
        <v>#N/A</v>
      </c>
      <c r="R5202" s="282" t="e">
        <f>++Tabla4[[#This Row],[Precio Unitario Neto]]-Tabla4[[#This Row],[20.85%]]-Tabla4[[#This Row],[Costo]]</f>
        <v>#N/A</v>
      </c>
      <c r="S5202" s="282" t="e">
        <f>++Tabla4[[#This Row],[U. Bruta Uni]]*Tabla4[[#This Row],[Cantidad]]</f>
        <v>#N/A</v>
      </c>
      <c r="T5202" s="369" t="str">
        <f>VLOOKUP(Tabla4[[#This Row],[Producto]],Tabla6[#All],14,FALSE)</f>
        <v>Termico Solar</v>
      </c>
      <c r="U5202" s="284" t="e">
        <f>(IF(Tabla4[[#This Row],[Familia]]="termico solar",Tabla4[[#This Row],[Utilidad Total]]*6%,Tabla4[[#This Row],[Utilidad Total]]*11.5%))/Tabla4[[#This Row],[Total]]</f>
        <v>#N/A</v>
      </c>
      <c r="V5202" s="282" t="e">
        <f>+Tabla4[[#This Row],[Comisión Calculada]]*Tabla4[[#This Row],[Total]]</f>
        <v>#N/A</v>
      </c>
    </row>
    <row r="5203" spans="1:22" hidden="1" x14ac:dyDescent="0.25">
      <c r="A5203" s="100">
        <v>45884</v>
      </c>
      <c r="B5203" t="str">
        <f t="shared" si="253"/>
        <v>August</v>
      </c>
      <c r="C5203" s="46" t="s">
        <v>280</v>
      </c>
      <c r="F5203" s="366" t="s">
        <v>2715</v>
      </c>
      <c r="G5203" s="46" t="s">
        <v>16</v>
      </c>
      <c r="H5203" s="46">
        <v>1</v>
      </c>
      <c r="I5203" s="51">
        <v>4103.8500000000004</v>
      </c>
      <c r="J5203" s="281">
        <f>++Tabla4[[#This Row],[Precio Bruto]]*1.16</f>
        <v>4760.4660000000003</v>
      </c>
      <c r="K5203" s="281">
        <f>+Tabla4[[#This Row],[Precio Unitario Neto]]*Tabla4[[#Headers],[20.85%]]</f>
        <v>992.55716100000006</v>
      </c>
      <c r="L5203" s="282">
        <f>++Tabla4[[#This Row],[Precio Unitario Neto]]-Tabla4[[#This Row],[20.85%]]</f>
        <v>3767.9088390000002</v>
      </c>
      <c r="M5203" s="282" t="e">
        <f>(INDEX(Tabla6[#All],MATCH(Tabla4[[#This Row],[Producto]],Tabla6[[#All],[PRODUCTO]],0),MATCH(Tabla4[[#This Row],[Mes]],Tabla6[#Headers],0)))*(1+Catalogos!$L$2)</f>
        <v>#N/A</v>
      </c>
      <c r="N5203" s="283" t="e">
        <f>+(Tabla4[[#This Row],[Precio Descontado]]-Tabla4[[#This Row],[Precio Base]])*Tabla4[[#This Row],[Cantidad]]</f>
        <v>#N/A</v>
      </c>
      <c r="O5203" s="284" t="e">
        <f>++Tabla4[[#This Row],[Utilidad Total]]/Tabla4[[#This Row],[Total]]</f>
        <v>#N/A</v>
      </c>
      <c r="P5203" s="282">
        <f>++Tabla4[[#This Row],[Precio Descontado]]*Tabla4[[#This Row],[Cantidad]]</f>
        <v>3767.9088390000002</v>
      </c>
      <c r="Q5203" s="282" t="e">
        <f>(INDEX(Tabla6[#All],MATCH(Tabla4[[#This Row],[Producto]],Tabla6[[#All],[PRODUCTO]],0),MATCH(Tabla4[[#This Row],[Mes]],Tabla6[#Headers],0)))</f>
        <v>#N/A</v>
      </c>
      <c r="R5203" s="282" t="e">
        <f>++Tabla4[[#This Row],[Precio Unitario Neto]]-Tabla4[[#This Row],[20.85%]]-Tabla4[[#This Row],[Costo]]</f>
        <v>#N/A</v>
      </c>
      <c r="S5203" s="282" t="e">
        <f>++Tabla4[[#This Row],[U. Bruta Uni]]*Tabla4[[#This Row],[Cantidad]]</f>
        <v>#N/A</v>
      </c>
      <c r="T5203" s="369" t="str">
        <f>VLOOKUP(Tabla4[[#This Row],[Producto]],Tabla6[#All],14,FALSE)</f>
        <v>Termico Solar</v>
      </c>
      <c r="U5203" s="284" t="e">
        <f>(IF(Tabla4[[#This Row],[Familia]]="termico solar",Tabla4[[#This Row],[Utilidad Total]]*6%,Tabla4[[#This Row],[Utilidad Total]]*11.5%))/Tabla4[[#This Row],[Total]]</f>
        <v>#N/A</v>
      </c>
      <c r="V5203" s="282" t="e">
        <f>+Tabla4[[#This Row],[Comisión Calculada]]*Tabla4[[#This Row],[Total]]</f>
        <v>#N/A</v>
      </c>
    </row>
    <row r="5204" spans="1:22" hidden="1" x14ac:dyDescent="0.25">
      <c r="A5204" s="100">
        <v>45884</v>
      </c>
      <c r="B5204" t="str">
        <f t="shared" si="253"/>
        <v>August</v>
      </c>
      <c r="C5204" s="46" t="s">
        <v>280</v>
      </c>
      <c r="F5204" s="366" t="s">
        <v>2716</v>
      </c>
      <c r="G5204" s="46" t="s">
        <v>566</v>
      </c>
      <c r="H5204" s="46">
        <v>1</v>
      </c>
      <c r="I5204" s="51">
        <v>2109.4499999999998</v>
      </c>
      <c r="J5204" s="281">
        <f>++Tabla4[[#This Row],[Precio Bruto]]*1.16</f>
        <v>2446.9619999999995</v>
      </c>
      <c r="K5204" s="281">
        <f>+Tabla4[[#This Row],[Precio Unitario Neto]]*Tabla4[[#Headers],[20.85%]]</f>
        <v>510.19157699999988</v>
      </c>
      <c r="L5204" s="282">
        <f>++Tabla4[[#This Row],[Precio Unitario Neto]]-Tabla4[[#This Row],[20.85%]]</f>
        <v>1936.7704229999997</v>
      </c>
      <c r="M5204" s="282" t="e">
        <f>(INDEX(Tabla6[#All],MATCH(Tabla4[[#This Row],[Producto]],Tabla6[[#All],[PRODUCTO]],0),MATCH(Tabla4[[#This Row],[Mes]],Tabla6[#Headers],0)))*(1+Catalogos!$L$2)</f>
        <v>#N/A</v>
      </c>
      <c r="N5204" s="283" t="e">
        <f>+(Tabla4[[#This Row],[Precio Descontado]]-Tabla4[[#This Row],[Precio Base]])*Tabla4[[#This Row],[Cantidad]]</f>
        <v>#N/A</v>
      </c>
      <c r="O5204" s="284" t="e">
        <f>++Tabla4[[#This Row],[Utilidad Total]]/Tabla4[[#This Row],[Total]]</f>
        <v>#N/A</v>
      </c>
      <c r="P5204" s="282">
        <f>++Tabla4[[#This Row],[Precio Descontado]]*Tabla4[[#This Row],[Cantidad]]</f>
        <v>1936.7704229999997</v>
      </c>
      <c r="Q5204" s="282" t="e">
        <f>(INDEX(Tabla6[#All],MATCH(Tabla4[[#This Row],[Producto]],Tabla6[[#All],[PRODUCTO]],0),MATCH(Tabla4[[#This Row],[Mes]],Tabla6[#Headers],0)))</f>
        <v>#N/A</v>
      </c>
      <c r="R5204" s="282" t="e">
        <f>++Tabla4[[#This Row],[Precio Unitario Neto]]-Tabla4[[#This Row],[20.85%]]-Tabla4[[#This Row],[Costo]]</f>
        <v>#N/A</v>
      </c>
      <c r="S5204" s="282" t="e">
        <f>++Tabla4[[#This Row],[U. Bruta Uni]]*Tabla4[[#This Row],[Cantidad]]</f>
        <v>#N/A</v>
      </c>
      <c r="T5204" s="369" t="str">
        <f>VLOOKUP(Tabla4[[#This Row],[Producto]],Tabla6[#All],14,FALSE)</f>
        <v>Termico Solar</v>
      </c>
      <c r="U5204" s="284" t="e">
        <f>(IF(Tabla4[[#This Row],[Familia]]="termico solar",Tabla4[[#This Row],[Utilidad Total]]*6%,Tabla4[[#This Row],[Utilidad Total]]*11.5%))/Tabla4[[#This Row],[Total]]</f>
        <v>#N/A</v>
      </c>
      <c r="V5204" s="282" t="e">
        <f>+Tabla4[[#This Row],[Comisión Calculada]]*Tabla4[[#This Row],[Total]]</f>
        <v>#N/A</v>
      </c>
    </row>
    <row r="5205" spans="1:22" hidden="1" x14ac:dyDescent="0.25">
      <c r="A5205" s="100">
        <v>45884</v>
      </c>
      <c r="B5205" t="str">
        <f t="shared" ref="B5205:B5238" si="254">TEXT(A5205, "mmmm")</f>
        <v>August</v>
      </c>
      <c r="C5205" s="46" t="s">
        <v>280</v>
      </c>
      <c r="F5205" s="366" t="s">
        <v>2717</v>
      </c>
      <c r="G5205" s="46" t="s">
        <v>83</v>
      </c>
      <c r="H5205" s="46">
        <v>2</v>
      </c>
      <c r="I5205" s="51">
        <v>8858.76</v>
      </c>
      <c r="J5205" s="281">
        <f>++Tabla4[[#This Row],[Precio Bruto]]*1.16</f>
        <v>10276.161599999999</v>
      </c>
      <c r="K5205" s="281">
        <f>+Tabla4[[#This Row],[Precio Unitario Neto]]*Tabla4[[#Headers],[20.85%]]</f>
        <v>2142.5796935999997</v>
      </c>
      <c r="L5205" s="282">
        <f>++Tabla4[[#This Row],[Precio Unitario Neto]]-Tabla4[[#This Row],[20.85%]]</f>
        <v>8133.5819063999998</v>
      </c>
      <c r="M5205" s="282" t="e">
        <f>(INDEX(Tabla6[#All],MATCH(Tabla4[[#This Row],[Producto]],Tabla6[[#All],[PRODUCTO]],0),MATCH(Tabla4[[#This Row],[Mes]],Tabla6[#Headers],0)))*(1+Catalogos!$L$2)</f>
        <v>#N/A</v>
      </c>
      <c r="N5205" s="283" t="e">
        <f>+(Tabla4[[#This Row],[Precio Descontado]]-Tabla4[[#This Row],[Precio Base]])*Tabla4[[#This Row],[Cantidad]]</f>
        <v>#N/A</v>
      </c>
      <c r="O5205" s="284" t="e">
        <f>++Tabla4[[#This Row],[Utilidad Total]]/Tabla4[[#This Row],[Total]]</f>
        <v>#N/A</v>
      </c>
      <c r="P5205" s="282">
        <f>++Tabla4[[#This Row],[Precio Descontado]]*Tabla4[[#This Row],[Cantidad]]</f>
        <v>16267.1638128</v>
      </c>
      <c r="Q5205" s="282" t="e">
        <f>(INDEX(Tabla6[#All],MATCH(Tabla4[[#This Row],[Producto]],Tabla6[[#All],[PRODUCTO]],0),MATCH(Tabla4[[#This Row],[Mes]],Tabla6[#Headers],0)))</f>
        <v>#N/A</v>
      </c>
      <c r="R5205" s="282" t="e">
        <f>++Tabla4[[#This Row],[Precio Unitario Neto]]-Tabla4[[#This Row],[20.85%]]-Tabla4[[#This Row],[Costo]]</f>
        <v>#N/A</v>
      </c>
      <c r="S5205" s="282" t="e">
        <f>++Tabla4[[#This Row],[U. Bruta Uni]]*Tabla4[[#This Row],[Cantidad]]</f>
        <v>#N/A</v>
      </c>
      <c r="T5205" s="369" t="str">
        <f>VLOOKUP(Tabla4[[#This Row],[Producto]],Tabla6[#All],14,FALSE)</f>
        <v>Termico Solar</v>
      </c>
      <c r="U5205" s="284" t="e">
        <f>(IF(Tabla4[[#This Row],[Familia]]="termico solar",Tabla4[[#This Row],[Utilidad Total]]*6%,Tabla4[[#This Row],[Utilidad Total]]*11.5%))/Tabla4[[#This Row],[Total]]</f>
        <v>#N/A</v>
      </c>
      <c r="V5205" s="282" t="e">
        <f>+Tabla4[[#This Row],[Comisión Calculada]]*Tabla4[[#This Row],[Total]]</f>
        <v>#N/A</v>
      </c>
    </row>
    <row r="5206" spans="1:22" hidden="1" x14ac:dyDescent="0.25">
      <c r="A5206" s="100">
        <v>45884</v>
      </c>
      <c r="B5206" t="str">
        <f t="shared" si="254"/>
        <v>August</v>
      </c>
      <c r="C5206" s="46" t="s">
        <v>280</v>
      </c>
      <c r="F5206" s="366" t="s">
        <v>2717</v>
      </c>
      <c r="G5206" s="46" t="s">
        <v>18</v>
      </c>
      <c r="H5206" s="46">
        <v>2</v>
      </c>
      <c r="I5206" s="51">
        <v>5367.65</v>
      </c>
      <c r="J5206" s="281">
        <f>++Tabla4[[#This Row],[Precio Bruto]]*1.16</f>
        <v>6226.4739999999993</v>
      </c>
      <c r="K5206" s="281">
        <f>+Tabla4[[#This Row],[Precio Unitario Neto]]*Tabla4[[#Headers],[20.85%]]</f>
        <v>1298.2198289999999</v>
      </c>
      <c r="L5206" s="282">
        <f>++Tabla4[[#This Row],[Precio Unitario Neto]]-Tabla4[[#This Row],[20.85%]]</f>
        <v>4928.2541709999996</v>
      </c>
      <c r="M5206" s="282" t="e">
        <f>(INDEX(Tabla6[#All],MATCH(Tabla4[[#This Row],[Producto]],Tabla6[[#All],[PRODUCTO]],0),MATCH(Tabla4[[#This Row],[Mes]],Tabla6[#Headers],0)))*(1+Catalogos!$L$2)</f>
        <v>#N/A</v>
      </c>
      <c r="N5206" s="283" t="e">
        <f>+(Tabla4[[#This Row],[Precio Descontado]]-Tabla4[[#This Row],[Precio Base]])*Tabla4[[#This Row],[Cantidad]]</f>
        <v>#N/A</v>
      </c>
      <c r="O5206" s="284" t="e">
        <f>++Tabla4[[#This Row],[Utilidad Total]]/Tabla4[[#This Row],[Total]]</f>
        <v>#N/A</v>
      </c>
      <c r="P5206" s="282">
        <f>++Tabla4[[#This Row],[Precio Descontado]]*Tabla4[[#This Row],[Cantidad]]</f>
        <v>9856.5083419999992</v>
      </c>
      <c r="Q5206" s="282" t="e">
        <f>(INDEX(Tabla6[#All],MATCH(Tabla4[[#This Row],[Producto]],Tabla6[[#All],[PRODUCTO]],0),MATCH(Tabla4[[#This Row],[Mes]],Tabla6[#Headers],0)))</f>
        <v>#N/A</v>
      </c>
      <c r="R5206" s="282" t="e">
        <f>++Tabla4[[#This Row],[Precio Unitario Neto]]-Tabla4[[#This Row],[20.85%]]-Tabla4[[#This Row],[Costo]]</f>
        <v>#N/A</v>
      </c>
      <c r="S5206" s="282" t="e">
        <f>++Tabla4[[#This Row],[U. Bruta Uni]]*Tabla4[[#This Row],[Cantidad]]</f>
        <v>#N/A</v>
      </c>
      <c r="T5206" s="369" t="str">
        <f>VLOOKUP(Tabla4[[#This Row],[Producto]],Tabla6[#All],14,FALSE)</f>
        <v>Termico Solar</v>
      </c>
      <c r="U5206" s="284" t="e">
        <f>(IF(Tabla4[[#This Row],[Familia]]="termico solar",Tabla4[[#This Row],[Utilidad Total]]*6%,Tabla4[[#This Row],[Utilidad Total]]*11.5%))/Tabla4[[#This Row],[Total]]</f>
        <v>#N/A</v>
      </c>
      <c r="V5206" s="282" t="e">
        <f>+Tabla4[[#This Row],[Comisión Calculada]]*Tabla4[[#This Row],[Total]]</f>
        <v>#N/A</v>
      </c>
    </row>
    <row r="5207" spans="1:22" hidden="1" x14ac:dyDescent="0.25">
      <c r="A5207" s="100">
        <v>45884</v>
      </c>
      <c r="B5207" t="str">
        <f t="shared" si="254"/>
        <v>August</v>
      </c>
      <c r="C5207" s="46" t="s">
        <v>280</v>
      </c>
      <c r="F5207" s="366" t="s">
        <v>2717</v>
      </c>
      <c r="G5207" s="46" t="s">
        <v>208</v>
      </c>
      <c r="H5207" s="46">
        <v>1</v>
      </c>
      <c r="I5207" s="51">
        <v>189.75</v>
      </c>
      <c r="J5207" s="281">
        <f>++Tabla4[[#This Row],[Precio Bruto]]*1.16</f>
        <v>220.10999999999999</v>
      </c>
      <c r="K5207" s="281">
        <f>+Tabla4[[#This Row],[Precio Unitario Neto]]*Tabla4[[#Headers],[20.85%]]</f>
        <v>45.892934999999994</v>
      </c>
      <c r="L5207" s="282">
        <f>++Tabla4[[#This Row],[Precio Unitario Neto]]-Tabla4[[#This Row],[20.85%]]</f>
        <v>174.21706499999999</v>
      </c>
      <c r="M5207" s="282" t="e">
        <f>(INDEX(Tabla6[#All],MATCH(Tabla4[[#This Row],[Producto]],Tabla6[[#All],[PRODUCTO]],0),MATCH(Tabla4[[#This Row],[Mes]],Tabla6[#Headers],0)))*(1+Catalogos!$L$2)</f>
        <v>#N/A</v>
      </c>
      <c r="N5207" s="283" t="e">
        <f>+(Tabla4[[#This Row],[Precio Descontado]]-Tabla4[[#This Row],[Precio Base]])*Tabla4[[#This Row],[Cantidad]]</f>
        <v>#N/A</v>
      </c>
      <c r="O5207" s="284" t="e">
        <f>++Tabla4[[#This Row],[Utilidad Total]]/Tabla4[[#This Row],[Total]]</f>
        <v>#N/A</v>
      </c>
      <c r="P5207" s="282">
        <f>++Tabla4[[#This Row],[Precio Descontado]]*Tabla4[[#This Row],[Cantidad]]</f>
        <v>174.21706499999999</v>
      </c>
      <c r="Q5207" s="282" t="e">
        <f>(INDEX(Tabla6[#All],MATCH(Tabla4[[#This Row],[Producto]],Tabla6[[#All],[PRODUCTO]],0),MATCH(Tabla4[[#This Row],[Mes]],Tabla6[#Headers],0)))</f>
        <v>#N/A</v>
      </c>
      <c r="R5207" s="282" t="e">
        <f>++Tabla4[[#This Row],[Precio Unitario Neto]]-Tabla4[[#This Row],[20.85%]]-Tabla4[[#This Row],[Costo]]</f>
        <v>#N/A</v>
      </c>
      <c r="S5207" s="282" t="e">
        <f>++Tabla4[[#This Row],[U. Bruta Uni]]*Tabla4[[#This Row],[Cantidad]]</f>
        <v>#N/A</v>
      </c>
      <c r="T5207" s="369" t="str">
        <f>VLOOKUP(Tabla4[[#This Row],[Producto]],Tabla6[#All],14,FALSE)</f>
        <v>Termico Solar</v>
      </c>
      <c r="U5207" s="284" t="e">
        <f>(IF(Tabla4[[#This Row],[Familia]]="termico solar",Tabla4[[#This Row],[Utilidad Total]]*6%,Tabla4[[#This Row],[Utilidad Total]]*11.5%))/Tabla4[[#This Row],[Total]]</f>
        <v>#N/A</v>
      </c>
      <c r="V5207" s="282" t="e">
        <f>+Tabla4[[#This Row],[Comisión Calculada]]*Tabla4[[#This Row],[Total]]</f>
        <v>#N/A</v>
      </c>
    </row>
    <row r="5208" spans="1:22" hidden="1" x14ac:dyDescent="0.25">
      <c r="A5208" s="100">
        <v>45884</v>
      </c>
      <c r="B5208" t="str">
        <f t="shared" si="254"/>
        <v>August</v>
      </c>
      <c r="C5208" s="46" t="s">
        <v>280</v>
      </c>
      <c r="F5208" s="366" t="s">
        <v>2718</v>
      </c>
      <c r="G5208" s="46" t="s">
        <v>83</v>
      </c>
      <c r="H5208" s="46">
        <v>2</v>
      </c>
      <c r="I5208" s="51">
        <v>8858.76</v>
      </c>
      <c r="J5208" s="281">
        <f>++Tabla4[[#This Row],[Precio Bruto]]*1.16</f>
        <v>10276.161599999999</v>
      </c>
      <c r="K5208" s="281">
        <f>+Tabla4[[#This Row],[Precio Unitario Neto]]*Tabla4[[#Headers],[20.85%]]</f>
        <v>2142.5796935999997</v>
      </c>
      <c r="L5208" s="282">
        <f>++Tabla4[[#This Row],[Precio Unitario Neto]]-Tabla4[[#This Row],[20.85%]]</f>
        <v>8133.5819063999998</v>
      </c>
      <c r="M5208" s="282" t="e">
        <f>(INDEX(Tabla6[#All],MATCH(Tabla4[[#This Row],[Producto]],Tabla6[[#All],[PRODUCTO]],0),MATCH(Tabla4[[#This Row],[Mes]],Tabla6[#Headers],0)))*(1+Catalogos!$L$2)</f>
        <v>#N/A</v>
      </c>
      <c r="N5208" s="283" t="e">
        <f>+(Tabla4[[#This Row],[Precio Descontado]]-Tabla4[[#This Row],[Precio Base]])*Tabla4[[#This Row],[Cantidad]]</f>
        <v>#N/A</v>
      </c>
      <c r="O5208" s="284" t="e">
        <f>++Tabla4[[#This Row],[Utilidad Total]]/Tabla4[[#This Row],[Total]]</f>
        <v>#N/A</v>
      </c>
      <c r="P5208" s="282">
        <f>++Tabla4[[#This Row],[Precio Descontado]]*Tabla4[[#This Row],[Cantidad]]</f>
        <v>16267.1638128</v>
      </c>
      <c r="Q5208" s="282" t="e">
        <f>(INDEX(Tabla6[#All],MATCH(Tabla4[[#This Row],[Producto]],Tabla6[[#All],[PRODUCTO]],0),MATCH(Tabla4[[#This Row],[Mes]],Tabla6[#Headers],0)))</f>
        <v>#N/A</v>
      </c>
      <c r="R5208" s="282" t="e">
        <f>++Tabla4[[#This Row],[Precio Unitario Neto]]-Tabla4[[#This Row],[20.85%]]-Tabla4[[#This Row],[Costo]]</f>
        <v>#N/A</v>
      </c>
      <c r="S5208" s="282" t="e">
        <f>++Tabla4[[#This Row],[U. Bruta Uni]]*Tabla4[[#This Row],[Cantidad]]</f>
        <v>#N/A</v>
      </c>
      <c r="T5208" s="369" t="str">
        <f>VLOOKUP(Tabla4[[#This Row],[Producto]],Tabla6[#All],14,FALSE)</f>
        <v>Termico Solar</v>
      </c>
      <c r="U5208" s="284" t="e">
        <f>(IF(Tabla4[[#This Row],[Familia]]="termico solar",Tabla4[[#This Row],[Utilidad Total]]*6%,Tabla4[[#This Row],[Utilidad Total]]*11.5%))/Tabla4[[#This Row],[Total]]</f>
        <v>#N/A</v>
      </c>
      <c r="V5208" s="282" t="e">
        <f>+Tabla4[[#This Row],[Comisión Calculada]]*Tabla4[[#This Row],[Total]]</f>
        <v>#N/A</v>
      </c>
    </row>
    <row r="5209" spans="1:22" hidden="1" x14ac:dyDescent="0.25">
      <c r="A5209" s="100">
        <v>45884</v>
      </c>
      <c r="B5209" t="str">
        <f t="shared" si="254"/>
        <v>August</v>
      </c>
      <c r="C5209" s="46" t="s">
        <v>280</v>
      </c>
      <c r="F5209" s="366" t="s">
        <v>2718</v>
      </c>
      <c r="G5209" s="46" t="s">
        <v>17</v>
      </c>
      <c r="H5209" s="46">
        <v>1</v>
      </c>
      <c r="I5209" s="51">
        <v>4622.28</v>
      </c>
      <c r="J5209" s="281">
        <f>++Tabla4[[#This Row],[Precio Bruto]]*1.16</f>
        <v>5361.8447999999989</v>
      </c>
      <c r="K5209" s="281">
        <f>+Tabla4[[#This Row],[Precio Unitario Neto]]*Tabla4[[#Headers],[20.85%]]</f>
        <v>1117.9446407999997</v>
      </c>
      <c r="L5209" s="282">
        <f>++Tabla4[[#This Row],[Precio Unitario Neto]]-Tabla4[[#This Row],[20.85%]]</f>
        <v>4243.9001591999995</v>
      </c>
      <c r="M5209" s="282" t="e">
        <f>(INDEX(Tabla6[#All],MATCH(Tabla4[[#This Row],[Producto]],Tabla6[[#All],[PRODUCTO]],0),MATCH(Tabla4[[#This Row],[Mes]],Tabla6[#Headers],0)))*(1+Catalogos!$L$2)</f>
        <v>#N/A</v>
      </c>
      <c r="N5209" s="283" t="e">
        <f>+(Tabla4[[#This Row],[Precio Descontado]]-Tabla4[[#This Row],[Precio Base]])*Tabla4[[#This Row],[Cantidad]]</f>
        <v>#N/A</v>
      </c>
      <c r="O5209" s="284" t="e">
        <f>++Tabla4[[#This Row],[Utilidad Total]]/Tabla4[[#This Row],[Total]]</f>
        <v>#N/A</v>
      </c>
      <c r="P5209" s="282">
        <f>++Tabla4[[#This Row],[Precio Descontado]]*Tabla4[[#This Row],[Cantidad]]</f>
        <v>4243.9001591999995</v>
      </c>
      <c r="Q5209" s="282" t="e">
        <f>(INDEX(Tabla6[#All],MATCH(Tabla4[[#This Row],[Producto]],Tabla6[[#All],[PRODUCTO]],0),MATCH(Tabla4[[#This Row],[Mes]],Tabla6[#Headers],0)))</f>
        <v>#N/A</v>
      </c>
      <c r="R5209" s="282" t="e">
        <f>++Tabla4[[#This Row],[Precio Unitario Neto]]-Tabla4[[#This Row],[20.85%]]-Tabla4[[#This Row],[Costo]]</f>
        <v>#N/A</v>
      </c>
      <c r="S5209" s="282" t="e">
        <f>++Tabla4[[#This Row],[U. Bruta Uni]]*Tabla4[[#This Row],[Cantidad]]</f>
        <v>#N/A</v>
      </c>
      <c r="T5209" s="369" t="str">
        <f>VLOOKUP(Tabla4[[#This Row],[Producto]],Tabla6[#All],14,FALSE)</f>
        <v>Termico Solar</v>
      </c>
      <c r="U5209" s="284" t="e">
        <f>(IF(Tabla4[[#This Row],[Familia]]="termico solar",Tabla4[[#This Row],[Utilidad Total]]*6%,Tabla4[[#This Row],[Utilidad Total]]*11.5%))/Tabla4[[#This Row],[Total]]</f>
        <v>#N/A</v>
      </c>
      <c r="V5209" s="282" t="e">
        <f>+Tabla4[[#This Row],[Comisión Calculada]]*Tabla4[[#This Row],[Total]]</f>
        <v>#N/A</v>
      </c>
    </row>
    <row r="5210" spans="1:22" hidden="1" x14ac:dyDescent="0.25">
      <c r="A5210" s="100">
        <v>45884</v>
      </c>
      <c r="B5210" t="str">
        <f t="shared" si="254"/>
        <v>August</v>
      </c>
      <c r="C5210" s="46" t="s">
        <v>280</v>
      </c>
      <c r="F5210" s="366" t="s">
        <v>2718</v>
      </c>
      <c r="G5210" s="46" t="s">
        <v>16</v>
      </c>
      <c r="H5210" s="46">
        <v>4</v>
      </c>
      <c r="I5210" s="51">
        <v>4103.8500000000004</v>
      </c>
      <c r="J5210" s="281">
        <f>++Tabla4[[#This Row],[Precio Bruto]]*1.16</f>
        <v>4760.4660000000003</v>
      </c>
      <c r="K5210" s="281">
        <f>+Tabla4[[#This Row],[Precio Unitario Neto]]*Tabla4[[#Headers],[20.85%]]</f>
        <v>992.55716100000006</v>
      </c>
      <c r="L5210" s="282">
        <f>++Tabla4[[#This Row],[Precio Unitario Neto]]-Tabla4[[#This Row],[20.85%]]</f>
        <v>3767.9088390000002</v>
      </c>
      <c r="M5210" s="282" t="e">
        <f>(INDEX(Tabla6[#All],MATCH(Tabla4[[#This Row],[Producto]],Tabla6[[#All],[PRODUCTO]],0),MATCH(Tabla4[[#This Row],[Mes]],Tabla6[#Headers],0)))*(1+Catalogos!$L$2)</f>
        <v>#N/A</v>
      </c>
      <c r="N5210" s="283" t="e">
        <f>+(Tabla4[[#This Row],[Precio Descontado]]-Tabla4[[#This Row],[Precio Base]])*Tabla4[[#This Row],[Cantidad]]</f>
        <v>#N/A</v>
      </c>
      <c r="O5210" s="284" t="e">
        <f>++Tabla4[[#This Row],[Utilidad Total]]/Tabla4[[#This Row],[Total]]</f>
        <v>#N/A</v>
      </c>
      <c r="P5210" s="282">
        <f>++Tabla4[[#This Row],[Precio Descontado]]*Tabla4[[#This Row],[Cantidad]]</f>
        <v>15071.635356000001</v>
      </c>
      <c r="Q5210" s="282" t="e">
        <f>(INDEX(Tabla6[#All],MATCH(Tabla4[[#This Row],[Producto]],Tabla6[[#All],[PRODUCTO]],0),MATCH(Tabla4[[#This Row],[Mes]],Tabla6[#Headers],0)))</f>
        <v>#N/A</v>
      </c>
      <c r="R5210" s="282" t="e">
        <f>++Tabla4[[#This Row],[Precio Unitario Neto]]-Tabla4[[#This Row],[20.85%]]-Tabla4[[#This Row],[Costo]]</f>
        <v>#N/A</v>
      </c>
      <c r="S5210" s="282" t="e">
        <f>++Tabla4[[#This Row],[U. Bruta Uni]]*Tabla4[[#This Row],[Cantidad]]</f>
        <v>#N/A</v>
      </c>
      <c r="T5210" s="369" t="str">
        <f>VLOOKUP(Tabla4[[#This Row],[Producto]],Tabla6[#All],14,FALSE)</f>
        <v>Termico Solar</v>
      </c>
      <c r="U5210" s="284" t="e">
        <f>(IF(Tabla4[[#This Row],[Familia]]="termico solar",Tabla4[[#This Row],[Utilidad Total]]*6%,Tabla4[[#This Row],[Utilidad Total]]*11.5%))/Tabla4[[#This Row],[Total]]</f>
        <v>#N/A</v>
      </c>
      <c r="V5210" s="282" t="e">
        <f>+Tabla4[[#This Row],[Comisión Calculada]]*Tabla4[[#This Row],[Total]]</f>
        <v>#N/A</v>
      </c>
    </row>
    <row r="5211" spans="1:22" hidden="1" x14ac:dyDescent="0.25">
      <c r="A5211" s="100">
        <v>45884</v>
      </c>
      <c r="B5211" t="str">
        <f t="shared" si="254"/>
        <v>August</v>
      </c>
      <c r="C5211" s="46" t="s">
        <v>280</v>
      </c>
      <c r="F5211" s="366" t="s">
        <v>2719</v>
      </c>
      <c r="G5211" s="46" t="s">
        <v>17</v>
      </c>
      <c r="H5211" s="46">
        <v>1</v>
      </c>
      <c r="I5211" s="51">
        <v>4622.28</v>
      </c>
      <c r="J5211" s="281">
        <f>++Tabla4[[#This Row],[Precio Bruto]]*1.16</f>
        <v>5361.8447999999989</v>
      </c>
      <c r="K5211" s="281">
        <f>+Tabla4[[#This Row],[Precio Unitario Neto]]*Tabla4[[#Headers],[20.85%]]</f>
        <v>1117.9446407999997</v>
      </c>
      <c r="L5211" s="282">
        <f>++Tabla4[[#This Row],[Precio Unitario Neto]]-Tabla4[[#This Row],[20.85%]]</f>
        <v>4243.9001591999995</v>
      </c>
      <c r="M5211" s="282" t="e">
        <f>(INDEX(Tabla6[#All],MATCH(Tabla4[[#This Row],[Producto]],Tabla6[[#All],[PRODUCTO]],0),MATCH(Tabla4[[#This Row],[Mes]],Tabla6[#Headers],0)))*(1+Catalogos!$L$2)</f>
        <v>#N/A</v>
      </c>
      <c r="N5211" s="283" t="e">
        <f>+(Tabla4[[#This Row],[Precio Descontado]]-Tabla4[[#This Row],[Precio Base]])*Tabla4[[#This Row],[Cantidad]]</f>
        <v>#N/A</v>
      </c>
      <c r="O5211" s="284" t="e">
        <f>++Tabla4[[#This Row],[Utilidad Total]]/Tabla4[[#This Row],[Total]]</f>
        <v>#N/A</v>
      </c>
      <c r="P5211" s="282">
        <f>++Tabla4[[#This Row],[Precio Descontado]]*Tabla4[[#This Row],[Cantidad]]</f>
        <v>4243.9001591999995</v>
      </c>
      <c r="Q5211" s="282" t="e">
        <f>(INDEX(Tabla6[#All],MATCH(Tabla4[[#This Row],[Producto]],Tabla6[[#All],[PRODUCTO]],0),MATCH(Tabla4[[#This Row],[Mes]],Tabla6[#Headers],0)))</f>
        <v>#N/A</v>
      </c>
      <c r="R5211" s="282" t="e">
        <f>++Tabla4[[#This Row],[Precio Unitario Neto]]-Tabla4[[#This Row],[20.85%]]-Tabla4[[#This Row],[Costo]]</f>
        <v>#N/A</v>
      </c>
      <c r="S5211" s="282" t="e">
        <f>++Tabla4[[#This Row],[U. Bruta Uni]]*Tabla4[[#This Row],[Cantidad]]</f>
        <v>#N/A</v>
      </c>
      <c r="T5211" s="369" t="str">
        <f>VLOOKUP(Tabla4[[#This Row],[Producto]],Tabla6[#All],14,FALSE)</f>
        <v>Termico Solar</v>
      </c>
      <c r="U5211" s="284" t="e">
        <f>(IF(Tabla4[[#This Row],[Familia]]="termico solar",Tabla4[[#This Row],[Utilidad Total]]*6%,Tabla4[[#This Row],[Utilidad Total]]*11.5%))/Tabla4[[#This Row],[Total]]</f>
        <v>#N/A</v>
      </c>
      <c r="V5211" s="282" t="e">
        <f>+Tabla4[[#This Row],[Comisión Calculada]]*Tabla4[[#This Row],[Total]]</f>
        <v>#N/A</v>
      </c>
    </row>
    <row r="5212" spans="1:22" hidden="1" x14ac:dyDescent="0.25">
      <c r="A5212" s="100">
        <v>45884</v>
      </c>
      <c r="B5212" t="str">
        <f t="shared" si="254"/>
        <v>August</v>
      </c>
      <c r="C5212" s="46" t="s">
        <v>280</v>
      </c>
      <c r="F5212" s="366" t="s">
        <v>2719</v>
      </c>
      <c r="G5212" s="46" t="s">
        <v>16</v>
      </c>
      <c r="H5212" s="46">
        <v>1</v>
      </c>
      <c r="I5212" s="51">
        <v>4103.8500000000004</v>
      </c>
      <c r="J5212" s="281">
        <f>++Tabla4[[#This Row],[Precio Bruto]]*1.16</f>
        <v>4760.4660000000003</v>
      </c>
      <c r="K5212" s="281">
        <f>+Tabla4[[#This Row],[Precio Unitario Neto]]*Tabla4[[#Headers],[20.85%]]</f>
        <v>992.55716100000006</v>
      </c>
      <c r="L5212" s="282">
        <f>++Tabla4[[#This Row],[Precio Unitario Neto]]-Tabla4[[#This Row],[20.85%]]</f>
        <v>3767.9088390000002</v>
      </c>
      <c r="M5212" s="282" t="e">
        <f>(INDEX(Tabla6[#All],MATCH(Tabla4[[#This Row],[Producto]],Tabla6[[#All],[PRODUCTO]],0),MATCH(Tabla4[[#This Row],[Mes]],Tabla6[#Headers],0)))*(1+Catalogos!$L$2)</f>
        <v>#N/A</v>
      </c>
      <c r="N5212" s="283" t="e">
        <f>+(Tabla4[[#This Row],[Precio Descontado]]-Tabla4[[#This Row],[Precio Base]])*Tabla4[[#This Row],[Cantidad]]</f>
        <v>#N/A</v>
      </c>
      <c r="O5212" s="284" t="e">
        <f>++Tabla4[[#This Row],[Utilidad Total]]/Tabla4[[#This Row],[Total]]</f>
        <v>#N/A</v>
      </c>
      <c r="P5212" s="282">
        <f>++Tabla4[[#This Row],[Precio Descontado]]*Tabla4[[#This Row],[Cantidad]]</f>
        <v>3767.9088390000002</v>
      </c>
      <c r="Q5212" s="282" t="e">
        <f>(INDEX(Tabla6[#All],MATCH(Tabla4[[#This Row],[Producto]],Tabla6[[#All],[PRODUCTO]],0),MATCH(Tabla4[[#This Row],[Mes]],Tabla6[#Headers],0)))</f>
        <v>#N/A</v>
      </c>
      <c r="R5212" s="282" t="e">
        <f>++Tabla4[[#This Row],[Precio Unitario Neto]]-Tabla4[[#This Row],[20.85%]]-Tabla4[[#This Row],[Costo]]</f>
        <v>#N/A</v>
      </c>
      <c r="S5212" s="282" t="e">
        <f>++Tabla4[[#This Row],[U. Bruta Uni]]*Tabla4[[#This Row],[Cantidad]]</f>
        <v>#N/A</v>
      </c>
      <c r="T5212" s="369" t="str">
        <f>VLOOKUP(Tabla4[[#This Row],[Producto]],Tabla6[#All],14,FALSE)</f>
        <v>Termico Solar</v>
      </c>
      <c r="U5212" s="284" t="e">
        <f>(IF(Tabla4[[#This Row],[Familia]]="termico solar",Tabla4[[#This Row],[Utilidad Total]]*6%,Tabla4[[#This Row],[Utilidad Total]]*11.5%))/Tabla4[[#This Row],[Total]]</f>
        <v>#N/A</v>
      </c>
      <c r="V5212" s="282" t="e">
        <f>+Tabla4[[#This Row],[Comisión Calculada]]*Tabla4[[#This Row],[Total]]</f>
        <v>#N/A</v>
      </c>
    </row>
    <row r="5213" spans="1:22" hidden="1" x14ac:dyDescent="0.25">
      <c r="A5213" s="100">
        <v>45884</v>
      </c>
      <c r="B5213" t="str">
        <f t="shared" si="254"/>
        <v>August</v>
      </c>
      <c r="C5213" s="46" t="s">
        <v>280</v>
      </c>
      <c r="F5213" s="366" t="s">
        <v>2720</v>
      </c>
      <c r="G5213" s="46" t="s">
        <v>83</v>
      </c>
      <c r="H5213" s="46">
        <v>4</v>
      </c>
      <c r="I5213" s="51">
        <v>8858.76</v>
      </c>
      <c r="J5213" s="281">
        <f>++Tabla4[[#This Row],[Precio Bruto]]*1.16</f>
        <v>10276.161599999999</v>
      </c>
      <c r="K5213" s="281">
        <f>+Tabla4[[#This Row],[Precio Unitario Neto]]*Tabla4[[#Headers],[20.85%]]</f>
        <v>2142.5796935999997</v>
      </c>
      <c r="L5213" s="282">
        <f>++Tabla4[[#This Row],[Precio Unitario Neto]]-Tabla4[[#This Row],[20.85%]]</f>
        <v>8133.5819063999998</v>
      </c>
      <c r="M5213" s="282" t="e">
        <f>(INDEX(Tabla6[#All],MATCH(Tabla4[[#This Row],[Producto]],Tabla6[[#All],[PRODUCTO]],0),MATCH(Tabla4[[#This Row],[Mes]],Tabla6[#Headers],0)))*(1+Catalogos!$L$2)</f>
        <v>#N/A</v>
      </c>
      <c r="N5213" s="283" t="e">
        <f>+(Tabla4[[#This Row],[Precio Descontado]]-Tabla4[[#This Row],[Precio Base]])*Tabla4[[#This Row],[Cantidad]]</f>
        <v>#N/A</v>
      </c>
      <c r="O5213" s="284" t="e">
        <f>++Tabla4[[#This Row],[Utilidad Total]]/Tabla4[[#This Row],[Total]]</f>
        <v>#N/A</v>
      </c>
      <c r="P5213" s="282">
        <f>++Tabla4[[#This Row],[Precio Descontado]]*Tabla4[[#This Row],[Cantidad]]</f>
        <v>32534.327625599999</v>
      </c>
      <c r="Q5213" s="282" t="e">
        <f>(INDEX(Tabla6[#All],MATCH(Tabla4[[#This Row],[Producto]],Tabla6[[#All],[PRODUCTO]],0),MATCH(Tabla4[[#This Row],[Mes]],Tabla6[#Headers],0)))</f>
        <v>#N/A</v>
      </c>
      <c r="R5213" s="282" t="e">
        <f>++Tabla4[[#This Row],[Precio Unitario Neto]]-Tabla4[[#This Row],[20.85%]]-Tabla4[[#This Row],[Costo]]</f>
        <v>#N/A</v>
      </c>
      <c r="S5213" s="282" t="e">
        <f>++Tabla4[[#This Row],[U. Bruta Uni]]*Tabla4[[#This Row],[Cantidad]]</f>
        <v>#N/A</v>
      </c>
      <c r="T5213" s="369" t="str">
        <f>VLOOKUP(Tabla4[[#This Row],[Producto]],Tabla6[#All],14,FALSE)</f>
        <v>Termico Solar</v>
      </c>
      <c r="U5213" s="284" t="e">
        <f>(IF(Tabla4[[#This Row],[Familia]]="termico solar",Tabla4[[#This Row],[Utilidad Total]]*6%,Tabla4[[#This Row],[Utilidad Total]]*11.5%))/Tabla4[[#This Row],[Total]]</f>
        <v>#N/A</v>
      </c>
      <c r="V5213" s="282" t="e">
        <f>+Tabla4[[#This Row],[Comisión Calculada]]*Tabla4[[#This Row],[Total]]</f>
        <v>#N/A</v>
      </c>
    </row>
    <row r="5214" spans="1:22" hidden="1" x14ac:dyDescent="0.25">
      <c r="A5214" s="100">
        <v>45884</v>
      </c>
      <c r="B5214" t="str">
        <f t="shared" si="254"/>
        <v>August</v>
      </c>
      <c r="C5214" s="46" t="s">
        <v>280</v>
      </c>
      <c r="F5214" s="366" t="s">
        <v>2720</v>
      </c>
      <c r="G5214" s="46" t="s">
        <v>17</v>
      </c>
      <c r="H5214" s="46">
        <v>3</v>
      </c>
      <c r="I5214" s="51">
        <v>4622.28</v>
      </c>
      <c r="J5214" s="281">
        <f>++Tabla4[[#This Row],[Precio Bruto]]*1.16</f>
        <v>5361.8447999999989</v>
      </c>
      <c r="K5214" s="281">
        <f>+Tabla4[[#This Row],[Precio Unitario Neto]]*Tabla4[[#Headers],[20.85%]]</f>
        <v>1117.9446407999997</v>
      </c>
      <c r="L5214" s="282">
        <f>++Tabla4[[#This Row],[Precio Unitario Neto]]-Tabla4[[#This Row],[20.85%]]</f>
        <v>4243.9001591999995</v>
      </c>
      <c r="M5214" s="282" t="e">
        <f>(INDEX(Tabla6[#All],MATCH(Tabla4[[#This Row],[Producto]],Tabla6[[#All],[PRODUCTO]],0),MATCH(Tabla4[[#This Row],[Mes]],Tabla6[#Headers],0)))*(1+Catalogos!$L$2)</f>
        <v>#N/A</v>
      </c>
      <c r="N5214" s="283" t="e">
        <f>+(Tabla4[[#This Row],[Precio Descontado]]-Tabla4[[#This Row],[Precio Base]])*Tabla4[[#This Row],[Cantidad]]</f>
        <v>#N/A</v>
      </c>
      <c r="O5214" s="284" t="e">
        <f>++Tabla4[[#This Row],[Utilidad Total]]/Tabla4[[#This Row],[Total]]</f>
        <v>#N/A</v>
      </c>
      <c r="P5214" s="282">
        <f>++Tabla4[[#This Row],[Precio Descontado]]*Tabla4[[#This Row],[Cantidad]]</f>
        <v>12731.700477599999</v>
      </c>
      <c r="Q5214" s="282" t="e">
        <f>(INDEX(Tabla6[#All],MATCH(Tabla4[[#This Row],[Producto]],Tabla6[[#All],[PRODUCTO]],0),MATCH(Tabla4[[#This Row],[Mes]],Tabla6[#Headers],0)))</f>
        <v>#N/A</v>
      </c>
      <c r="R5214" s="282" t="e">
        <f>++Tabla4[[#This Row],[Precio Unitario Neto]]-Tabla4[[#This Row],[20.85%]]-Tabla4[[#This Row],[Costo]]</f>
        <v>#N/A</v>
      </c>
      <c r="S5214" s="282" t="e">
        <f>++Tabla4[[#This Row],[U. Bruta Uni]]*Tabla4[[#This Row],[Cantidad]]</f>
        <v>#N/A</v>
      </c>
      <c r="T5214" s="369" t="str">
        <f>VLOOKUP(Tabla4[[#This Row],[Producto]],Tabla6[#All],14,FALSE)</f>
        <v>Termico Solar</v>
      </c>
      <c r="U5214" s="284" t="e">
        <f>(IF(Tabla4[[#This Row],[Familia]]="termico solar",Tabla4[[#This Row],[Utilidad Total]]*6%,Tabla4[[#This Row],[Utilidad Total]]*11.5%))/Tabla4[[#This Row],[Total]]</f>
        <v>#N/A</v>
      </c>
      <c r="V5214" s="282" t="e">
        <f>+Tabla4[[#This Row],[Comisión Calculada]]*Tabla4[[#This Row],[Total]]</f>
        <v>#N/A</v>
      </c>
    </row>
    <row r="5215" spans="1:22" hidden="1" x14ac:dyDescent="0.25">
      <c r="A5215" s="100">
        <v>45884</v>
      </c>
      <c r="B5215" t="str">
        <f t="shared" si="254"/>
        <v>August</v>
      </c>
      <c r="C5215" s="46" t="s">
        <v>280</v>
      </c>
      <c r="F5215" s="366" t="s">
        <v>2720</v>
      </c>
      <c r="G5215" s="46" t="s">
        <v>566</v>
      </c>
      <c r="H5215" s="46">
        <v>1</v>
      </c>
      <c r="I5215" s="51">
        <v>2109.4499999999998</v>
      </c>
      <c r="J5215" s="281">
        <f>++Tabla4[[#This Row],[Precio Bruto]]*1.16</f>
        <v>2446.9619999999995</v>
      </c>
      <c r="K5215" s="281">
        <f>+Tabla4[[#This Row],[Precio Unitario Neto]]*Tabla4[[#Headers],[20.85%]]</f>
        <v>510.19157699999988</v>
      </c>
      <c r="L5215" s="282">
        <f>++Tabla4[[#This Row],[Precio Unitario Neto]]-Tabla4[[#This Row],[20.85%]]</f>
        <v>1936.7704229999997</v>
      </c>
      <c r="M5215" s="282" t="e">
        <f>(INDEX(Tabla6[#All],MATCH(Tabla4[[#This Row],[Producto]],Tabla6[[#All],[PRODUCTO]],0),MATCH(Tabla4[[#This Row],[Mes]],Tabla6[#Headers],0)))*(1+Catalogos!$L$2)</f>
        <v>#N/A</v>
      </c>
      <c r="N5215" s="283" t="e">
        <f>+(Tabla4[[#This Row],[Precio Descontado]]-Tabla4[[#This Row],[Precio Base]])*Tabla4[[#This Row],[Cantidad]]</f>
        <v>#N/A</v>
      </c>
      <c r="O5215" s="284" t="e">
        <f>++Tabla4[[#This Row],[Utilidad Total]]/Tabla4[[#This Row],[Total]]</f>
        <v>#N/A</v>
      </c>
      <c r="P5215" s="282">
        <f>++Tabla4[[#This Row],[Precio Descontado]]*Tabla4[[#This Row],[Cantidad]]</f>
        <v>1936.7704229999997</v>
      </c>
      <c r="Q5215" s="282" t="e">
        <f>(INDEX(Tabla6[#All],MATCH(Tabla4[[#This Row],[Producto]],Tabla6[[#All],[PRODUCTO]],0),MATCH(Tabla4[[#This Row],[Mes]],Tabla6[#Headers],0)))</f>
        <v>#N/A</v>
      </c>
      <c r="R5215" s="282" t="e">
        <f>++Tabla4[[#This Row],[Precio Unitario Neto]]-Tabla4[[#This Row],[20.85%]]-Tabla4[[#This Row],[Costo]]</f>
        <v>#N/A</v>
      </c>
      <c r="S5215" s="282" t="e">
        <f>++Tabla4[[#This Row],[U. Bruta Uni]]*Tabla4[[#This Row],[Cantidad]]</f>
        <v>#N/A</v>
      </c>
      <c r="T5215" s="369" t="str">
        <f>VLOOKUP(Tabla4[[#This Row],[Producto]],Tabla6[#All],14,FALSE)</f>
        <v>Termico Solar</v>
      </c>
      <c r="U5215" s="284" t="e">
        <f>(IF(Tabla4[[#This Row],[Familia]]="termico solar",Tabla4[[#This Row],[Utilidad Total]]*6%,Tabla4[[#This Row],[Utilidad Total]]*11.5%))/Tabla4[[#This Row],[Total]]</f>
        <v>#N/A</v>
      </c>
      <c r="V5215" s="282" t="e">
        <f>+Tabla4[[#This Row],[Comisión Calculada]]*Tabla4[[#This Row],[Total]]</f>
        <v>#N/A</v>
      </c>
    </row>
    <row r="5216" spans="1:22" hidden="1" x14ac:dyDescent="0.25">
      <c r="A5216" s="100">
        <v>45884</v>
      </c>
      <c r="B5216" t="str">
        <f t="shared" si="254"/>
        <v>August</v>
      </c>
      <c r="C5216" s="46" t="s">
        <v>280</v>
      </c>
      <c r="F5216" s="366" t="s">
        <v>2720</v>
      </c>
      <c r="G5216" s="46" t="s">
        <v>16</v>
      </c>
      <c r="H5216" s="46">
        <v>1</v>
      </c>
      <c r="I5216" s="51">
        <v>4103.8500000000004</v>
      </c>
      <c r="J5216" s="281">
        <f>++Tabla4[[#This Row],[Precio Bruto]]*1.16</f>
        <v>4760.4660000000003</v>
      </c>
      <c r="K5216" s="281">
        <f>+Tabla4[[#This Row],[Precio Unitario Neto]]*Tabla4[[#Headers],[20.85%]]</f>
        <v>992.55716100000006</v>
      </c>
      <c r="L5216" s="282">
        <f>++Tabla4[[#This Row],[Precio Unitario Neto]]-Tabla4[[#This Row],[20.85%]]</f>
        <v>3767.9088390000002</v>
      </c>
      <c r="M5216" s="282" t="e">
        <f>(INDEX(Tabla6[#All],MATCH(Tabla4[[#This Row],[Producto]],Tabla6[[#All],[PRODUCTO]],0),MATCH(Tabla4[[#This Row],[Mes]],Tabla6[#Headers],0)))*(1+Catalogos!$L$2)</f>
        <v>#N/A</v>
      </c>
      <c r="N5216" s="283" t="e">
        <f>+(Tabla4[[#This Row],[Precio Descontado]]-Tabla4[[#This Row],[Precio Base]])*Tabla4[[#This Row],[Cantidad]]</f>
        <v>#N/A</v>
      </c>
      <c r="O5216" s="284" t="e">
        <f>++Tabla4[[#This Row],[Utilidad Total]]/Tabla4[[#This Row],[Total]]</f>
        <v>#N/A</v>
      </c>
      <c r="P5216" s="282">
        <f>++Tabla4[[#This Row],[Precio Descontado]]*Tabla4[[#This Row],[Cantidad]]</f>
        <v>3767.9088390000002</v>
      </c>
      <c r="Q5216" s="282" t="e">
        <f>(INDEX(Tabla6[#All],MATCH(Tabla4[[#This Row],[Producto]],Tabla6[[#All],[PRODUCTO]],0),MATCH(Tabla4[[#This Row],[Mes]],Tabla6[#Headers],0)))</f>
        <v>#N/A</v>
      </c>
      <c r="R5216" s="282" t="e">
        <f>++Tabla4[[#This Row],[Precio Unitario Neto]]-Tabla4[[#This Row],[20.85%]]-Tabla4[[#This Row],[Costo]]</f>
        <v>#N/A</v>
      </c>
      <c r="S5216" s="282" t="e">
        <f>++Tabla4[[#This Row],[U. Bruta Uni]]*Tabla4[[#This Row],[Cantidad]]</f>
        <v>#N/A</v>
      </c>
      <c r="T5216" s="369" t="str">
        <f>VLOOKUP(Tabla4[[#This Row],[Producto]],Tabla6[#All],14,FALSE)</f>
        <v>Termico Solar</v>
      </c>
      <c r="U5216" s="284" t="e">
        <f>(IF(Tabla4[[#This Row],[Familia]]="termico solar",Tabla4[[#This Row],[Utilidad Total]]*6%,Tabla4[[#This Row],[Utilidad Total]]*11.5%))/Tabla4[[#This Row],[Total]]</f>
        <v>#N/A</v>
      </c>
      <c r="V5216" s="282" t="e">
        <f>+Tabla4[[#This Row],[Comisión Calculada]]*Tabla4[[#This Row],[Total]]</f>
        <v>#N/A</v>
      </c>
    </row>
    <row r="5217" spans="1:22" hidden="1" x14ac:dyDescent="0.25">
      <c r="A5217" s="100">
        <v>45884</v>
      </c>
      <c r="B5217" t="str">
        <f t="shared" si="254"/>
        <v>August</v>
      </c>
      <c r="C5217" s="46" t="s">
        <v>280</v>
      </c>
      <c r="F5217" s="366" t="s">
        <v>2721</v>
      </c>
      <c r="G5217" s="46" t="s">
        <v>18</v>
      </c>
      <c r="H5217" s="46">
        <v>1</v>
      </c>
      <c r="I5217" s="51">
        <v>5367.65</v>
      </c>
      <c r="J5217" s="281">
        <f>++Tabla4[[#This Row],[Precio Bruto]]*1.16</f>
        <v>6226.4739999999993</v>
      </c>
      <c r="K5217" s="281">
        <f>+Tabla4[[#This Row],[Precio Unitario Neto]]*Tabla4[[#Headers],[20.85%]]</f>
        <v>1298.2198289999999</v>
      </c>
      <c r="L5217" s="282">
        <f>++Tabla4[[#This Row],[Precio Unitario Neto]]-Tabla4[[#This Row],[20.85%]]</f>
        <v>4928.2541709999996</v>
      </c>
      <c r="M5217" s="282" t="e">
        <f>(INDEX(Tabla6[#All],MATCH(Tabla4[[#This Row],[Producto]],Tabla6[[#All],[PRODUCTO]],0),MATCH(Tabla4[[#This Row],[Mes]],Tabla6[#Headers],0)))*(1+Catalogos!$L$2)</f>
        <v>#N/A</v>
      </c>
      <c r="N5217" s="283" t="e">
        <f>+(Tabla4[[#This Row],[Precio Descontado]]-Tabla4[[#This Row],[Precio Base]])*Tabla4[[#This Row],[Cantidad]]</f>
        <v>#N/A</v>
      </c>
      <c r="O5217" s="284" t="e">
        <f>++Tabla4[[#This Row],[Utilidad Total]]/Tabla4[[#This Row],[Total]]</f>
        <v>#N/A</v>
      </c>
      <c r="P5217" s="282">
        <f>++Tabla4[[#This Row],[Precio Descontado]]*Tabla4[[#This Row],[Cantidad]]</f>
        <v>4928.2541709999996</v>
      </c>
      <c r="Q5217" s="282" t="e">
        <f>(INDEX(Tabla6[#All],MATCH(Tabla4[[#This Row],[Producto]],Tabla6[[#All],[PRODUCTO]],0),MATCH(Tabla4[[#This Row],[Mes]],Tabla6[#Headers],0)))</f>
        <v>#N/A</v>
      </c>
      <c r="R5217" s="282" t="e">
        <f>++Tabla4[[#This Row],[Precio Unitario Neto]]-Tabla4[[#This Row],[20.85%]]-Tabla4[[#This Row],[Costo]]</f>
        <v>#N/A</v>
      </c>
      <c r="S5217" s="282" t="e">
        <f>++Tabla4[[#This Row],[U. Bruta Uni]]*Tabla4[[#This Row],[Cantidad]]</f>
        <v>#N/A</v>
      </c>
      <c r="T5217" s="369" t="str">
        <f>VLOOKUP(Tabla4[[#This Row],[Producto]],Tabla6[#All],14,FALSE)</f>
        <v>Termico Solar</v>
      </c>
      <c r="U5217" s="284" t="e">
        <f>(IF(Tabla4[[#This Row],[Familia]]="termico solar",Tabla4[[#This Row],[Utilidad Total]]*6%,Tabla4[[#This Row],[Utilidad Total]]*11.5%))/Tabla4[[#This Row],[Total]]</f>
        <v>#N/A</v>
      </c>
      <c r="V5217" s="282" t="e">
        <f>+Tabla4[[#This Row],[Comisión Calculada]]*Tabla4[[#This Row],[Total]]</f>
        <v>#N/A</v>
      </c>
    </row>
    <row r="5218" spans="1:22" hidden="1" x14ac:dyDescent="0.25">
      <c r="A5218" s="100">
        <v>45884</v>
      </c>
      <c r="B5218" t="str">
        <f t="shared" si="254"/>
        <v>August</v>
      </c>
      <c r="C5218" s="46" t="s">
        <v>280</v>
      </c>
      <c r="F5218" s="366" t="s">
        <v>2722</v>
      </c>
      <c r="G5218" s="46" t="s">
        <v>18</v>
      </c>
      <c r="H5218" s="46">
        <v>1</v>
      </c>
      <c r="I5218" s="51">
        <v>5367.65</v>
      </c>
      <c r="J5218" s="281">
        <f>++Tabla4[[#This Row],[Precio Bruto]]*1.16</f>
        <v>6226.4739999999993</v>
      </c>
      <c r="K5218" s="281">
        <f>+Tabla4[[#This Row],[Precio Unitario Neto]]*Tabla4[[#Headers],[20.85%]]</f>
        <v>1298.2198289999999</v>
      </c>
      <c r="L5218" s="282">
        <f>++Tabla4[[#This Row],[Precio Unitario Neto]]-Tabla4[[#This Row],[20.85%]]</f>
        <v>4928.2541709999996</v>
      </c>
      <c r="M5218" s="282" t="e">
        <f>(INDEX(Tabla6[#All],MATCH(Tabla4[[#This Row],[Producto]],Tabla6[[#All],[PRODUCTO]],0),MATCH(Tabla4[[#This Row],[Mes]],Tabla6[#Headers],0)))*(1+Catalogos!$L$2)</f>
        <v>#N/A</v>
      </c>
      <c r="N5218" s="283" t="e">
        <f>+(Tabla4[[#This Row],[Precio Descontado]]-Tabla4[[#This Row],[Precio Base]])*Tabla4[[#This Row],[Cantidad]]</f>
        <v>#N/A</v>
      </c>
      <c r="O5218" s="284" t="e">
        <f>++Tabla4[[#This Row],[Utilidad Total]]/Tabla4[[#This Row],[Total]]</f>
        <v>#N/A</v>
      </c>
      <c r="P5218" s="282">
        <f>++Tabla4[[#This Row],[Precio Descontado]]*Tabla4[[#This Row],[Cantidad]]</f>
        <v>4928.2541709999996</v>
      </c>
      <c r="Q5218" s="282" t="e">
        <f>(INDEX(Tabla6[#All],MATCH(Tabla4[[#This Row],[Producto]],Tabla6[[#All],[PRODUCTO]],0),MATCH(Tabla4[[#This Row],[Mes]],Tabla6[#Headers],0)))</f>
        <v>#N/A</v>
      </c>
      <c r="R5218" s="282" t="e">
        <f>++Tabla4[[#This Row],[Precio Unitario Neto]]-Tabla4[[#This Row],[20.85%]]-Tabla4[[#This Row],[Costo]]</f>
        <v>#N/A</v>
      </c>
      <c r="S5218" s="282" t="e">
        <f>++Tabla4[[#This Row],[U. Bruta Uni]]*Tabla4[[#This Row],[Cantidad]]</f>
        <v>#N/A</v>
      </c>
      <c r="T5218" s="369" t="str">
        <f>VLOOKUP(Tabla4[[#This Row],[Producto]],Tabla6[#All],14,FALSE)</f>
        <v>Termico Solar</v>
      </c>
      <c r="U5218" s="284" t="e">
        <f>(IF(Tabla4[[#This Row],[Familia]]="termico solar",Tabla4[[#This Row],[Utilidad Total]]*6%,Tabla4[[#This Row],[Utilidad Total]]*11.5%))/Tabla4[[#This Row],[Total]]</f>
        <v>#N/A</v>
      </c>
      <c r="V5218" s="282" t="e">
        <f>+Tabla4[[#This Row],[Comisión Calculada]]*Tabla4[[#This Row],[Total]]</f>
        <v>#N/A</v>
      </c>
    </row>
    <row r="5219" spans="1:22" hidden="1" x14ac:dyDescent="0.25">
      <c r="A5219" s="100">
        <v>45884</v>
      </c>
      <c r="B5219" t="str">
        <f t="shared" si="254"/>
        <v>August</v>
      </c>
      <c r="C5219" s="46" t="s">
        <v>280</v>
      </c>
      <c r="F5219" s="366" t="s">
        <v>2722</v>
      </c>
      <c r="G5219" s="46" t="s">
        <v>208</v>
      </c>
      <c r="H5219" s="46">
        <v>5</v>
      </c>
      <c r="I5219" s="51">
        <v>189.75</v>
      </c>
      <c r="J5219" s="281">
        <f>++Tabla4[[#This Row],[Precio Bruto]]*1.16</f>
        <v>220.10999999999999</v>
      </c>
      <c r="K5219" s="281">
        <f>+Tabla4[[#This Row],[Precio Unitario Neto]]*Tabla4[[#Headers],[20.85%]]</f>
        <v>45.892934999999994</v>
      </c>
      <c r="L5219" s="282">
        <f>++Tabla4[[#This Row],[Precio Unitario Neto]]-Tabla4[[#This Row],[20.85%]]</f>
        <v>174.21706499999999</v>
      </c>
      <c r="M5219" s="282" t="e">
        <f>(INDEX(Tabla6[#All],MATCH(Tabla4[[#This Row],[Producto]],Tabla6[[#All],[PRODUCTO]],0),MATCH(Tabla4[[#This Row],[Mes]],Tabla6[#Headers],0)))*(1+Catalogos!$L$2)</f>
        <v>#N/A</v>
      </c>
      <c r="N5219" s="283" t="e">
        <f>+(Tabla4[[#This Row],[Precio Descontado]]-Tabla4[[#This Row],[Precio Base]])*Tabla4[[#This Row],[Cantidad]]</f>
        <v>#N/A</v>
      </c>
      <c r="O5219" s="284" t="e">
        <f>++Tabla4[[#This Row],[Utilidad Total]]/Tabla4[[#This Row],[Total]]</f>
        <v>#N/A</v>
      </c>
      <c r="P5219" s="282">
        <f>++Tabla4[[#This Row],[Precio Descontado]]*Tabla4[[#This Row],[Cantidad]]</f>
        <v>871.08532500000001</v>
      </c>
      <c r="Q5219" s="282" t="e">
        <f>(INDEX(Tabla6[#All],MATCH(Tabla4[[#This Row],[Producto]],Tabla6[[#All],[PRODUCTO]],0),MATCH(Tabla4[[#This Row],[Mes]],Tabla6[#Headers],0)))</f>
        <v>#N/A</v>
      </c>
      <c r="R5219" s="282" t="e">
        <f>++Tabla4[[#This Row],[Precio Unitario Neto]]-Tabla4[[#This Row],[20.85%]]-Tabla4[[#This Row],[Costo]]</f>
        <v>#N/A</v>
      </c>
      <c r="S5219" s="282" t="e">
        <f>++Tabla4[[#This Row],[U. Bruta Uni]]*Tabla4[[#This Row],[Cantidad]]</f>
        <v>#N/A</v>
      </c>
      <c r="T5219" s="369" t="str">
        <f>VLOOKUP(Tabla4[[#This Row],[Producto]],Tabla6[#All],14,FALSE)</f>
        <v>Termico Solar</v>
      </c>
      <c r="U5219" s="284" t="e">
        <f>(IF(Tabla4[[#This Row],[Familia]]="termico solar",Tabla4[[#This Row],[Utilidad Total]]*6%,Tabla4[[#This Row],[Utilidad Total]]*11.5%))/Tabla4[[#This Row],[Total]]</f>
        <v>#N/A</v>
      </c>
      <c r="V5219" s="282" t="e">
        <f>+Tabla4[[#This Row],[Comisión Calculada]]*Tabla4[[#This Row],[Total]]</f>
        <v>#N/A</v>
      </c>
    </row>
    <row r="5220" spans="1:22" hidden="1" x14ac:dyDescent="0.25">
      <c r="A5220" s="100">
        <v>45884</v>
      </c>
      <c r="B5220" t="str">
        <f t="shared" si="254"/>
        <v>August</v>
      </c>
      <c r="C5220" s="46" t="s">
        <v>280</v>
      </c>
      <c r="F5220" s="366" t="s">
        <v>2723</v>
      </c>
      <c r="G5220" s="46" t="s">
        <v>19</v>
      </c>
      <c r="H5220" s="46">
        <v>1</v>
      </c>
      <c r="I5220" s="51">
        <v>6412.03</v>
      </c>
      <c r="J5220" s="281">
        <f>++Tabla4[[#This Row],[Precio Bruto]]*1.16</f>
        <v>7437.9547999999995</v>
      </c>
      <c r="K5220" s="281">
        <f>+Tabla4[[#This Row],[Precio Unitario Neto]]*Tabla4[[#Headers],[20.85%]]</f>
        <v>1550.8135757999999</v>
      </c>
      <c r="L5220" s="282">
        <f>++Tabla4[[#This Row],[Precio Unitario Neto]]-Tabla4[[#This Row],[20.85%]]</f>
        <v>5887.1412241999997</v>
      </c>
      <c r="M5220" s="282" t="e">
        <f>(INDEX(Tabla6[#All],MATCH(Tabla4[[#This Row],[Producto]],Tabla6[[#All],[PRODUCTO]],0),MATCH(Tabla4[[#This Row],[Mes]],Tabla6[#Headers],0)))*(1+Catalogos!$L$2)</f>
        <v>#N/A</v>
      </c>
      <c r="N5220" s="283" t="e">
        <f>+(Tabla4[[#This Row],[Precio Descontado]]-Tabla4[[#This Row],[Precio Base]])*Tabla4[[#This Row],[Cantidad]]</f>
        <v>#N/A</v>
      </c>
      <c r="O5220" s="284" t="e">
        <f>++Tabla4[[#This Row],[Utilidad Total]]/Tabla4[[#This Row],[Total]]</f>
        <v>#N/A</v>
      </c>
      <c r="P5220" s="282">
        <f>++Tabla4[[#This Row],[Precio Descontado]]*Tabla4[[#This Row],[Cantidad]]</f>
        <v>5887.1412241999997</v>
      </c>
      <c r="Q5220" s="282" t="e">
        <f>(INDEX(Tabla6[#All],MATCH(Tabla4[[#This Row],[Producto]],Tabla6[[#All],[PRODUCTO]],0),MATCH(Tabla4[[#This Row],[Mes]],Tabla6[#Headers],0)))</f>
        <v>#N/A</v>
      </c>
      <c r="R5220" s="282" t="e">
        <f>++Tabla4[[#This Row],[Precio Unitario Neto]]-Tabla4[[#This Row],[20.85%]]-Tabla4[[#This Row],[Costo]]</f>
        <v>#N/A</v>
      </c>
      <c r="S5220" s="282" t="e">
        <f>++Tabla4[[#This Row],[U. Bruta Uni]]*Tabla4[[#This Row],[Cantidad]]</f>
        <v>#N/A</v>
      </c>
      <c r="T5220" s="369" t="str">
        <f>VLOOKUP(Tabla4[[#This Row],[Producto]],Tabla6[#All],14,FALSE)</f>
        <v>Termico Solar</v>
      </c>
      <c r="U5220" s="284" t="e">
        <f>(IF(Tabla4[[#This Row],[Familia]]="termico solar",Tabla4[[#This Row],[Utilidad Total]]*6%,Tabla4[[#This Row],[Utilidad Total]]*11.5%))/Tabla4[[#This Row],[Total]]</f>
        <v>#N/A</v>
      </c>
      <c r="V5220" s="282" t="e">
        <f>+Tabla4[[#This Row],[Comisión Calculada]]*Tabla4[[#This Row],[Total]]</f>
        <v>#N/A</v>
      </c>
    </row>
    <row r="5221" spans="1:22" hidden="1" x14ac:dyDescent="0.25">
      <c r="A5221" s="100">
        <v>45884</v>
      </c>
      <c r="B5221" t="str">
        <f t="shared" si="254"/>
        <v>August</v>
      </c>
      <c r="C5221" s="46" t="s">
        <v>280</v>
      </c>
      <c r="F5221" s="366" t="s">
        <v>2723</v>
      </c>
      <c r="G5221" s="46" t="s">
        <v>566</v>
      </c>
      <c r="H5221" s="46">
        <v>1</v>
      </c>
      <c r="I5221" s="51">
        <v>2109.4499999999998</v>
      </c>
      <c r="J5221" s="281">
        <f>++Tabla4[[#This Row],[Precio Bruto]]*1.16</f>
        <v>2446.9619999999995</v>
      </c>
      <c r="K5221" s="281">
        <f>+Tabla4[[#This Row],[Precio Unitario Neto]]*Tabla4[[#Headers],[20.85%]]</f>
        <v>510.19157699999988</v>
      </c>
      <c r="L5221" s="282">
        <f>++Tabla4[[#This Row],[Precio Unitario Neto]]-Tabla4[[#This Row],[20.85%]]</f>
        <v>1936.7704229999997</v>
      </c>
      <c r="M5221" s="282" t="e">
        <f>(INDEX(Tabla6[#All],MATCH(Tabla4[[#This Row],[Producto]],Tabla6[[#All],[PRODUCTO]],0),MATCH(Tabla4[[#This Row],[Mes]],Tabla6[#Headers],0)))*(1+Catalogos!$L$2)</f>
        <v>#N/A</v>
      </c>
      <c r="N5221" s="283" t="e">
        <f>+(Tabla4[[#This Row],[Precio Descontado]]-Tabla4[[#This Row],[Precio Base]])*Tabla4[[#This Row],[Cantidad]]</f>
        <v>#N/A</v>
      </c>
      <c r="O5221" s="284" t="e">
        <f>++Tabla4[[#This Row],[Utilidad Total]]/Tabla4[[#This Row],[Total]]</f>
        <v>#N/A</v>
      </c>
      <c r="P5221" s="282">
        <f>++Tabla4[[#This Row],[Precio Descontado]]*Tabla4[[#This Row],[Cantidad]]</f>
        <v>1936.7704229999997</v>
      </c>
      <c r="Q5221" s="282" t="e">
        <f>(INDEX(Tabla6[#All],MATCH(Tabla4[[#This Row],[Producto]],Tabla6[[#All],[PRODUCTO]],0),MATCH(Tabla4[[#This Row],[Mes]],Tabla6[#Headers],0)))</f>
        <v>#N/A</v>
      </c>
      <c r="R5221" s="282" t="e">
        <f>++Tabla4[[#This Row],[Precio Unitario Neto]]-Tabla4[[#This Row],[20.85%]]-Tabla4[[#This Row],[Costo]]</f>
        <v>#N/A</v>
      </c>
      <c r="S5221" s="282" t="e">
        <f>++Tabla4[[#This Row],[U. Bruta Uni]]*Tabla4[[#This Row],[Cantidad]]</f>
        <v>#N/A</v>
      </c>
      <c r="T5221" s="369" t="str">
        <f>VLOOKUP(Tabla4[[#This Row],[Producto]],Tabla6[#All],14,FALSE)</f>
        <v>Termico Solar</v>
      </c>
      <c r="U5221" s="284" t="e">
        <f>(IF(Tabla4[[#This Row],[Familia]]="termico solar",Tabla4[[#This Row],[Utilidad Total]]*6%,Tabla4[[#This Row],[Utilidad Total]]*11.5%))/Tabla4[[#This Row],[Total]]</f>
        <v>#N/A</v>
      </c>
      <c r="V5221" s="282" t="e">
        <f>+Tabla4[[#This Row],[Comisión Calculada]]*Tabla4[[#This Row],[Total]]</f>
        <v>#N/A</v>
      </c>
    </row>
    <row r="5222" spans="1:22" hidden="1" x14ac:dyDescent="0.25">
      <c r="A5222" s="100">
        <v>45884</v>
      </c>
      <c r="B5222" t="str">
        <f t="shared" si="254"/>
        <v>August</v>
      </c>
      <c r="C5222" s="46" t="s">
        <v>280</v>
      </c>
      <c r="F5222" s="366" t="s">
        <v>2723</v>
      </c>
      <c r="G5222" s="46" t="s">
        <v>208</v>
      </c>
      <c r="H5222" s="46">
        <v>1</v>
      </c>
      <c r="I5222" s="51">
        <v>189.75</v>
      </c>
      <c r="J5222" s="281">
        <f>++Tabla4[[#This Row],[Precio Bruto]]*1.16</f>
        <v>220.10999999999999</v>
      </c>
      <c r="K5222" s="281">
        <f>+Tabla4[[#This Row],[Precio Unitario Neto]]*Tabla4[[#Headers],[20.85%]]</f>
        <v>45.892934999999994</v>
      </c>
      <c r="L5222" s="282">
        <f>++Tabla4[[#This Row],[Precio Unitario Neto]]-Tabla4[[#This Row],[20.85%]]</f>
        <v>174.21706499999999</v>
      </c>
      <c r="M5222" s="282" t="e">
        <f>(INDEX(Tabla6[#All],MATCH(Tabla4[[#This Row],[Producto]],Tabla6[[#All],[PRODUCTO]],0),MATCH(Tabla4[[#This Row],[Mes]],Tabla6[#Headers],0)))*(1+Catalogos!$L$2)</f>
        <v>#N/A</v>
      </c>
      <c r="N5222" s="283" t="e">
        <f>+(Tabla4[[#This Row],[Precio Descontado]]-Tabla4[[#This Row],[Precio Base]])*Tabla4[[#This Row],[Cantidad]]</f>
        <v>#N/A</v>
      </c>
      <c r="O5222" s="284" t="e">
        <f>++Tabla4[[#This Row],[Utilidad Total]]/Tabla4[[#This Row],[Total]]</f>
        <v>#N/A</v>
      </c>
      <c r="P5222" s="282">
        <f>++Tabla4[[#This Row],[Precio Descontado]]*Tabla4[[#This Row],[Cantidad]]</f>
        <v>174.21706499999999</v>
      </c>
      <c r="Q5222" s="282" t="e">
        <f>(INDEX(Tabla6[#All],MATCH(Tabla4[[#This Row],[Producto]],Tabla6[[#All],[PRODUCTO]],0),MATCH(Tabla4[[#This Row],[Mes]],Tabla6[#Headers],0)))</f>
        <v>#N/A</v>
      </c>
      <c r="R5222" s="282" t="e">
        <f>++Tabla4[[#This Row],[Precio Unitario Neto]]-Tabla4[[#This Row],[20.85%]]-Tabla4[[#This Row],[Costo]]</f>
        <v>#N/A</v>
      </c>
      <c r="S5222" s="282" t="e">
        <f>++Tabla4[[#This Row],[U. Bruta Uni]]*Tabla4[[#This Row],[Cantidad]]</f>
        <v>#N/A</v>
      </c>
      <c r="T5222" s="369" t="str">
        <f>VLOOKUP(Tabla4[[#This Row],[Producto]],Tabla6[#All],14,FALSE)</f>
        <v>Termico Solar</v>
      </c>
      <c r="U5222" s="284" t="e">
        <f>(IF(Tabla4[[#This Row],[Familia]]="termico solar",Tabla4[[#This Row],[Utilidad Total]]*6%,Tabla4[[#This Row],[Utilidad Total]]*11.5%))/Tabla4[[#This Row],[Total]]</f>
        <v>#N/A</v>
      </c>
      <c r="V5222" s="282" t="e">
        <f>+Tabla4[[#This Row],[Comisión Calculada]]*Tabla4[[#This Row],[Total]]</f>
        <v>#N/A</v>
      </c>
    </row>
    <row r="5223" spans="1:22" hidden="1" x14ac:dyDescent="0.25">
      <c r="A5223" s="100">
        <v>45884</v>
      </c>
      <c r="B5223" t="str">
        <f t="shared" si="254"/>
        <v>August</v>
      </c>
      <c r="C5223" s="46" t="s">
        <v>280</v>
      </c>
      <c r="F5223" s="366" t="s">
        <v>2724</v>
      </c>
      <c r="G5223" s="46" t="s">
        <v>16</v>
      </c>
      <c r="H5223" s="46">
        <v>3</v>
      </c>
      <c r="I5223" s="51">
        <v>4103.8499999999995</v>
      </c>
      <c r="J5223" s="281">
        <f>++Tabla4[[#This Row],[Precio Bruto]]*1.16</f>
        <v>4760.4659999999994</v>
      </c>
      <c r="K5223" s="281">
        <f>+Tabla4[[#This Row],[Precio Unitario Neto]]*Tabla4[[#Headers],[20.85%]]</f>
        <v>992.55716099999984</v>
      </c>
      <c r="L5223" s="282">
        <f>++Tabla4[[#This Row],[Precio Unitario Neto]]-Tabla4[[#This Row],[20.85%]]</f>
        <v>3767.9088389999997</v>
      </c>
      <c r="M5223" s="282" t="e">
        <f>(INDEX(Tabla6[#All],MATCH(Tabla4[[#This Row],[Producto]],Tabla6[[#All],[PRODUCTO]],0),MATCH(Tabla4[[#This Row],[Mes]],Tabla6[#Headers],0)))*(1+Catalogos!$L$2)</f>
        <v>#N/A</v>
      </c>
      <c r="N5223" s="283" t="e">
        <f>+(Tabla4[[#This Row],[Precio Descontado]]-Tabla4[[#This Row],[Precio Base]])*Tabla4[[#This Row],[Cantidad]]</f>
        <v>#N/A</v>
      </c>
      <c r="O5223" s="284" t="e">
        <f>++Tabla4[[#This Row],[Utilidad Total]]/Tabla4[[#This Row],[Total]]</f>
        <v>#N/A</v>
      </c>
      <c r="P5223" s="282">
        <f>++Tabla4[[#This Row],[Precio Descontado]]*Tabla4[[#This Row],[Cantidad]]</f>
        <v>11303.726516999999</v>
      </c>
      <c r="Q5223" s="282" t="e">
        <f>(INDEX(Tabla6[#All],MATCH(Tabla4[[#This Row],[Producto]],Tabla6[[#All],[PRODUCTO]],0),MATCH(Tabla4[[#This Row],[Mes]],Tabla6[#Headers],0)))</f>
        <v>#N/A</v>
      </c>
      <c r="R5223" s="282" t="e">
        <f>++Tabla4[[#This Row],[Precio Unitario Neto]]-Tabla4[[#This Row],[20.85%]]-Tabla4[[#This Row],[Costo]]</f>
        <v>#N/A</v>
      </c>
      <c r="S5223" s="282" t="e">
        <f>++Tabla4[[#This Row],[U. Bruta Uni]]*Tabla4[[#This Row],[Cantidad]]</f>
        <v>#N/A</v>
      </c>
      <c r="T5223" s="369" t="str">
        <f>VLOOKUP(Tabla4[[#This Row],[Producto]],Tabla6[#All],14,FALSE)</f>
        <v>Termico Solar</v>
      </c>
      <c r="U5223" s="284" t="e">
        <f>(IF(Tabla4[[#This Row],[Familia]]="termico solar",Tabla4[[#This Row],[Utilidad Total]]*6%,Tabla4[[#This Row],[Utilidad Total]]*11.5%))/Tabla4[[#This Row],[Total]]</f>
        <v>#N/A</v>
      </c>
      <c r="V5223" s="282" t="e">
        <f>+Tabla4[[#This Row],[Comisión Calculada]]*Tabla4[[#This Row],[Total]]</f>
        <v>#N/A</v>
      </c>
    </row>
    <row r="5224" spans="1:22" hidden="1" x14ac:dyDescent="0.25">
      <c r="A5224" s="100">
        <v>45884</v>
      </c>
      <c r="B5224" t="str">
        <f t="shared" si="254"/>
        <v>August</v>
      </c>
      <c r="C5224" s="46" t="s">
        <v>280</v>
      </c>
      <c r="F5224" s="366" t="s">
        <v>2724</v>
      </c>
      <c r="G5224" s="46" t="s">
        <v>555</v>
      </c>
      <c r="H5224" s="46">
        <v>8</v>
      </c>
      <c r="I5224" s="51">
        <v>389.47</v>
      </c>
      <c r="J5224" s="281">
        <f>++Tabla4[[#This Row],[Precio Bruto]]*1.16</f>
        <v>451.78519999999997</v>
      </c>
      <c r="K5224" s="281">
        <f>+Tabla4[[#This Row],[Precio Unitario Neto]]*Tabla4[[#Headers],[20.85%]]</f>
        <v>94.197214199999991</v>
      </c>
      <c r="L5224" s="282">
        <f>++Tabla4[[#This Row],[Precio Unitario Neto]]-Tabla4[[#This Row],[20.85%]]</f>
        <v>357.58798579999996</v>
      </c>
      <c r="M5224" s="282" t="e">
        <f>(INDEX(Tabla6[#All],MATCH(Tabla4[[#This Row],[Producto]],Tabla6[[#All],[PRODUCTO]],0),MATCH(Tabla4[[#This Row],[Mes]],Tabla6[#Headers],0)))*(1+Catalogos!$L$2)</f>
        <v>#N/A</v>
      </c>
      <c r="N5224" s="283" t="e">
        <f>+(Tabla4[[#This Row],[Precio Descontado]]-Tabla4[[#This Row],[Precio Base]])*Tabla4[[#This Row],[Cantidad]]</f>
        <v>#N/A</v>
      </c>
      <c r="O5224" s="284" t="e">
        <f>++Tabla4[[#This Row],[Utilidad Total]]/Tabla4[[#This Row],[Total]]</f>
        <v>#N/A</v>
      </c>
      <c r="P5224" s="282">
        <f>++Tabla4[[#This Row],[Precio Descontado]]*Tabla4[[#This Row],[Cantidad]]</f>
        <v>2860.7038863999996</v>
      </c>
      <c r="Q5224" s="282" t="e">
        <f>(INDEX(Tabla6[#All],MATCH(Tabla4[[#This Row],[Producto]],Tabla6[[#All],[PRODUCTO]],0),MATCH(Tabla4[[#This Row],[Mes]],Tabla6[#Headers],0)))</f>
        <v>#N/A</v>
      </c>
      <c r="R5224" s="282" t="e">
        <f>++Tabla4[[#This Row],[Precio Unitario Neto]]-Tabla4[[#This Row],[20.85%]]-Tabla4[[#This Row],[Costo]]</f>
        <v>#N/A</v>
      </c>
      <c r="S5224" s="282" t="e">
        <f>++Tabla4[[#This Row],[U. Bruta Uni]]*Tabla4[[#This Row],[Cantidad]]</f>
        <v>#N/A</v>
      </c>
      <c r="T5224" s="369" t="str">
        <f>VLOOKUP(Tabla4[[#This Row],[Producto]],Tabla6[#All],14,FALSE)</f>
        <v>Termico Solar</v>
      </c>
      <c r="U5224" s="284" t="e">
        <f>(IF(Tabla4[[#This Row],[Familia]]="termico solar",Tabla4[[#This Row],[Utilidad Total]]*6%,Tabla4[[#This Row],[Utilidad Total]]*11.5%))/Tabla4[[#This Row],[Total]]</f>
        <v>#N/A</v>
      </c>
      <c r="V5224" s="282" t="e">
        <f>+Tabla4[[#This Row],[Comisión Calculada]]*Tabla4[[#This Row],[Total]]</f>
        <v>#N/A</v>
      </c>
    </row>
    <row r="5225" spans="1:22" hidden="1" x14ac:dyDescent="0.25">
      <c r="A5225" s="100">
        <v>45884</v>
      </c>
      <c r="B5225" t="str">
        <f t="shared" si="254"/>
        <v>August</v>
      </c>
      <c r="C5225" s="46" t="s">
        <v>280</v>
      </c>
      <c r="F5225" s="366" t="s">
        <v>2725</v>
      </c>
      <c r="G5225" s="46" t="s">
        <v>18</v>
      </c>
      <c r="H5225" s="46">
        <v>1</v>
      </c>
      <c r="I5225" s="51">
        <v>5367.65</v>
      </c>
      <c r="J5225" s="281">
        <f>++Tabla4[[#This Row],[Precio Bruto]]*1.16</f>
        <v>6226.4739999999993</v>
      </c>
      <c r="K5225" s="281">
        <f>+Tabla4[[#This Row],[Precio Unitario Neto]]*Tabla4[[#Headers],[20.85%]]</f>
        <v>1298.2198289999999</v>
      </c>
      <c r="L5225" s="282">
        <f>++Tabla4[[#This Row],[Precio Unitario Neto]]-Tabla4[[#This Row],[20.85%]]</f>
        <v>4928.2541709999996</v>
      </c>
      <c r="M5225" s="282" t="e">
        <f>(INDEX(Tabla6[#All],MATCH(Tabla4[[#This Row],[Producto]],Tabla6[[#All],[PRODUCTO]],0),MATCH(Tabla4[[#This Row],[Mes]],Tabla6[#Headers],0)))*(1+Catalogos!$L$2)</f>
        <v>#N/A</v>
      </c>
      <c r="N5225" s="283" t="e">
        <f>+(Tabla4[[#This Row],[Precio Descontado]]-Tabla4[[#This Row],[Precio Base]])*Tabla4[[#This Row],[Cantidad]]</f>
        <v>#N/A</v>
      </c>
      <c r="O5225" s="284" t="e">
        <f>++Tabla4[[#This Row],[Utilidad Total]]/Tabla4[[#This Row],[Total]]</f>
        <v>#N/A</v>
      </c>
      <c r="P5225" s="282">
        <f>++Tabla4[[#This Row],[Precio Descontado]]*Tabla4[[#This Row],[Cantidad]]</f>
        <v>4928.2541709999996</v>
      </c>
      <c r="Q5225" s="282" t="e">
        <f>(INDEX(Tabla6[#All],MATCH(Tabla4[[#This Row],[Producto]],Tabla6[[#All],[PRODUCTO]],0),MATCH(Tabla4[[#This Row],[Mes]],Tabla6[#Headers],0)))</f>
        <v>#N/A</v>
      </c>
      <c r="R5225" s="282" t="e">
        <f>++Tabla4[[#This Row],[Precio Unitario Neto]]-Tabla4[[#This Row],[20.85%]]-Tabla4[[#This Row],[Costo]]</f>
        <v>#N/A</v>
      </c>
      <c r="S5225" s="282" t="e">
        <f>++Tabla4[[#This Row],[U. Bruta Uni]]*Tabla4[[#This Row],[Cantidad]]</f>
        <v>#N/A</v>
      </c>
      <c r="T5225" s="369" t="str">
        <f>VLOOKUP(Tabla4[[#This Row],[Producto]],Tabla6[#All],14,FALSE)</f>
        <v>Termico Solar</v>
      </c>
      <c r="U5225" s="284" t="e">
        <f>(IF(Tabla4[[#This Row],[Familia]]="termico solar",Tabla4[[#This Row],[Utilidad Total]]*6%,Tabla4[[#This Row],[Utilidad Total]]*11.5%))/Tabla4[[#This Row],[Total]]</f>
        <v>#N/A</v>
      </c>
      <c r="V5225" s="282" t="e">
        <f>+Tabla4[[#This Row],[Comisión Calculada]]*Tabla4[[#This Row],[Total]]</f>
        <v>#N/A</v>
      </c>
    </row>
    <row r="5226" spans="1:22" hidden="1" x14ac:dyDescent="0.25">
      <c r="A5226" s="100">
        <v>45884</v>
      </c>
      <c r="B5226" t="str">
        <f t="shared" si="254"/>
        <v>August</v>
      </c>
      <c r="C5226" s="46" t="s">
        <v>280</v>
      </c>
      <c r="F5226" s="366" t="s">
        <v>2726</v>
      </c>
      <c r="G5226" s="46" t="s">
        <v>22</v>
      </c>
      <c r="H5226" s="46">
        <v>1</v>
      </c>
      <c r="I5226" s="51">
        <v>13355.75</v>
      </c>
      <c r="J5226" s="281">
        <f>++Tabla4[[#This Row],[Precio Bruto]]*1.16</f>
        <v>15492.669999999998</v>
      </c>
      <c r="K5226" s="281">
        <f>+Tabla4[[#This Row],[Precio Unitario Neto]]*Tabla4[[#Headers],[20.85%]]</f>
        <v>3230.2216949999993</v>
      </c>
      <c r="L5226" s="282">
        <f>++Tabla4[[#This Row],[Precio Unitario Neto]]-Tabla4[[#This Row],[20.85%]]</f>
        <v>12262.448304999998</v>
      </c>
      <c r="M5226" s="282" t="e">
        <f>(INDEX(Tabla6[#All],MATCH(Tabla4[[#This Row],[Producto]],Tabla6[[#All],[PRODUCTO]],0),MATCH(Tabla4[[#This Row],[Mes]],Tabla6[#Headers],0)))*(1+Catalogos!$L$2)</f>
        <v>#N/A</v>
      </c>
      <c r="N5226" s="283" t="e">
        <f>+(Tabla4[[#This Row],[Precio Descontado]]-Tabla4[[#This Row],[Precio Base]])*Tabla4[[#This Row],[Cantidad]]</f>
        <v>#N/A</v>
      </c>
      <c r="O5226" s="284" t="e">
        <f>++Tabla4[[#This Row],[Utilidad Total]]/Tabla4[[#This Row],[Total]]</f>
        <v>#N/A</v>
      </c>
      <c r="P5226" s="282">
        <f>++Tabla4[[#This Row],[Precio Descontado]]*Tabla4[[#This Row],[Cantidad]]</f>
        <v>12262.448304999998</v>
      </c>
      <c r="Q5226" s="282" t="e">
        <f>(INDEX(Tabla6[#All],MATCH(Tabla4[[#This Row],[Producto]],Tabla6[[#All],[PRODUCTO]],0),MATCH(Tabla4[[#This Row],[Mes]],Tabla6[#Headers],0)))</f>
        <v>#N/A</v>
      </c>
      <c r="R5226" s="282" t="e">
        <f>++Tabla4[[#This Row],[Precio Unitario Neto]]-Tabla4[[#This Row],[20.85%]]-Tabla4[[#This Row],[Costo]]</f>
        <v>#N/A</v>
      </c>
      <c r="S5226" s="282" t="e">
        <f>++Tabla4[[#This Row],[U. Bruta Uni]]*Tabla4[[#This Row],[Cantidad]]</f>
        <v>#N/A</v>
      </c>
      <c r="T5226" s="369" t="str">
        <f>VLOOKUP(Tabla4[[#This Row],[Producto]],Tabla6[#All],14,FALSE)</f>
        <v>Termico Solar</v>
      </c>
      <c r="U5226" s="284" t="e">
        <f>(IF(Tabla4[[#This Row],[Familia]]="termico solar",Tabla4[[#This Row],[Utilidad Total]]*6%,Tabla4[[#This Row],[Utilidad Total]]*11.5%))/Tabla4[[#This Row],[Total]]</f>
        <v>#N/A</v>
      </c>
      <c r="V5226" s="282" t="e">
        <f>+Tabla4[[#This Row],[Comisión Calculada]]*Tabla4[[#This Row],[Total]]</f>
        <v>#N/A</v>
      </c>
    </row>
    <row r="5227" spans="1:22" hidden="1" x14ac:dyDescent="0.25">
      <c r="A5227" s="100">
        <v>45884</v>
      </c>
      <c r="B5227" t="str">
        <f t="shared" si="254"/>
        <v>August</v>
      </c>
      <c r="C5227" s="46" t="s">
        <v>280</v>
      </c>
      <c r="F5227" s="366" t="s">
        <v>2727</v>
      </c>
      <c r="G5227" s="46" t="s">
        <v>18</v>
      </c>
      <c r="H5227" s="46">
        <v>1</v>
      </c>
      <c r="I5227" s="51">
        <v>5367.65</v>
      </c>
      <c r="J5227" s="281">
        <f>++Tabla4[[#This Row],[Precio Bruto]]*1.16</f>
        <v>6226.4739999999993</v>
      </c>
      <c r="K5227" s="281">
        <f>+Tabla4[[#This Row],[Precio Unitario Neto]]*Tabla4[[#Headers],[20.85%]]</f>
        <v>1298.2198289999999</v>
      </c>
      <c r="L5227" s="282">
        <f>++Tabla4[[#This Row],[Precio Unitario Neto]]-Tabla4[[#This Row],[20.85%]]</f>
        <v>4928.2541709999996</v>
      </c>
      <c r="M5227" s="282" t="e">
        <f>(INDEX(Tabla6[#All],MATCH(Tabla4[[#This Row],[Producto]],Tabla6[[#All],[PRODUCTO]],0),MATCH(Tabla4[[#This Row],[Mes]],Tabla6[#Headers],0)))*(1+Catalogos!$L$2)</f>
        <v>#N/A</v>
      </c>
      <c r="N5227" s="283" t="e">
        <f>+(Tabla4[[#This Row],[Precio Descontado]]-Tabla4[[#This Row],[Precio Base]])*Tabla4[[#This Row],[Cantidad]]</f>
        <v>#N/A</v>
      </c>
      <c r="O5227" s="284" t="e">
        <f>++Tabla4[[#This Row],[Utilidad Total]]/Tabla4[[#This Row],[Total]]</f>
        <v>#N/A</v>
      </c>
      <c r="P5227" s="282">
        <f>++Tabla4[[#This Row],[Precio Descontado]]*Tabla4[[#This Row],[Cantidad]]</f>
        <v>4928.2541709999996</v>
      </c>
      <c r="Q5227" s="282" t="e">
        <f>(INDEX(Tabla6[#All],MATCH(Tabla4[[#This Row],[Producto]],Tabla6[[#All],[PRODUCTO]],0),MATCH(Tabla4[[#This Row],[Mes]],Tabla6[#Headers],0)))</f>
        <v>#N/A</v>
      </c>
      <c r="R5227" s="282" t="e">
        <f>++Tabla4[[#This Row],[Precio Unitario Neto]]-Tabla4[[#This Row],[20.85%]]-Tabla4[[#This Row],[Costo]]</f>
        <v>#N/A</v>
      </c>
      <c r="S5227" s="282" t="e">
        <f>++Tabla4[[#This Row],[U. Bruta Uni]]*Tabla4[[#This Row],[Cantidad]]</f>
        <v>#N/A</v>
      </c>
      <c r="T5227" s="369" t="str">
        <f>VLOOKUP(Tabla4[[#This Row],[Producto]],Tabla6[#All],14,FALSE)</f>
        <v>Termico Solar</v>
      </c>
      <c r="U5227" s="284" t="e">
        <f>(IF(Tabla4[[#This Row],[Familia]]="termico solar",Tabla4[[#This Row],[Utilidad Total]]*6%,Tabla4[[#This Row],[Utilidad Total]]*11.5%))/Tabla4[[#This Row],[Total]]</f>
        <v>#N/A</v>
      </c>
      <c r="V5227" s="282" t="e">
        <f>+Tabla4[[#This Row],[Comisión Calculada]]*Tabla4[[#This Row],[Total]]</f>
        <v>#N/A</v>
      </c>
    </row>
    <row r="5228" spans="1:22" hidden="1" x14ac:dyDescent="0.25">
      <c r="A5228" s="100">
        <v>45884</v>
      </c>
      <c r="B5228" t="str">
        <f t="shared" si="254"/>
        <v>August</v>
      </c>
      <c r="C5228" s="46" t="s">
        <v>280</v>
      </c>
      <c r="F5228" s="366" t="s">
        <v>2727</v>
      </c>
      <c r="G5228" s="46" t="s">
        <v>16</v>
      </c>
      <c r="H5228" s="46">
        <v>1</v>
      </c>
      <c r="I5228" s="51">
        <v>4103.8500000000004</v>
      </c>
      <c r="J5228" s="281">
        <f>++Tabla4[[#This Row],[Precio Bruto]]*1.16</f>
        <v>4760.4660000000003</v>
      </c>
      <c r="K5228" s="281">
        <f>+Tabla4[[#This Row],[Precio Unitario Neto]]*Tabla4[[#Headers],[20.85%]]</f>
        <v>992.55716100000006</v>
      </c>
      <c r="L5228" s="282">
        <f>++Tabla4[[#This Row],[Precio Unitario Neto]]-Tabla4[[#This Row],[20.85%]]</f>
        <v>3767.9088390000002</v>
      </c>
      <c r="M5228" s="282" t="e">
        <f>(INDEX(Tabla6[#All],MATCH(Tabla4[[#This Row],[Producto]],Tabla6[[#All],[PRODUCTO]],0),MATCH(Tabla4[[#This Row],[Mes]],Tabla6[#Headers],0)))*(1+Catalogos!$L$2)</f>
        <v>#N/A</v>
      </c>
      <c r="N5228" s="283" t="e">
        <f>+(Tabla4[[#This Row],[Precio Descontado]]-Tabla4[[#This Row],[Precio Base]])*Tabla4[[#This Row],[Cantidad]]</f>
        <v>#N/A</v>
      </c>
      <c r="O5228" s="284" t="e">
        <f>++Tabla4[[#This Row],[Utilidad Total]]/Tabla4[[#This Row],[Total]]</f>
        <v>#N/A</v>
      </c>
      <c r="P5228" s="282">
        <f>++Tabla4[[#This Row],[Precio Descontado]]*Tabla4[[#This Row],[Cantidad]]</f>
        <v>3767.9088390000002</v>
      </c>
      <c r="Q5228" s="282" t="e">
        <f>(INDEX(Tabla6[#All],MATCH(Tabla4[[#This Row],[Producto]],Tabla6[[#All],[PRODUCTO]],0),MATCH(Tabla4[[#This Row],[Mes]],Tabla6[#Headers],0)))</f>
        <v>#N/A</v>
      </c>
      <c r="R5228" s="282" t="e">
        <f>++Tabla4[[#This Row],[Precio Unitario Neto]]-Tabla4[[#This Row],[20.85%]]-Tabla4[[#This Row],[Costo]]</f>
        <v>#N/A</v>
      </c>
      <c r="S5228" s="282" t="e">
        <f>++Tabla4[[#This Row],[U. Bruta Uni]]*Tabla4[[#This Row],[Cantidad]]</f>
        <v>#N/A</v>
      </c>
      <c r="T5228" s="369" t="str">
        <f>VLOOKUP(Tabla4[[#This Row],[Producto]],Tabla6[#All],14,FALSE)</f>
        <v>Termico Solar</v>
      </c>
      <c r="U5228" s="284" t="e">
        <f>(IF(Tabla4[[#This Row],[Familia]]="termico solar",Tabla4[[#This Row],[Utilidad Total]]*6%,Tabla4[[#This Row],[Utilidad Total]]*11.5%))/Tabla4[[#This Row],[Total]]</f>
        <v>#N/A</v>
      </c>
      <c r="V5228" s="282" t="e">
        <f>+Tabla4[[#This Row],[Comisión Calculada]]*Tabla4[[#This Row],[Total]]</f>
        <v>#N/A</v>
      </c>
    </row>
    <row r="5229" spans="1:22" hidden="1" x14ac:dyDescent="0.25">
      <c r="A5229" s="100">
        <v>45884</v>
      </c>
      <c r="B5229" t="str">
        <f t="shared" si="254"/>
        <v>August</v>
      </c>
      <c r="C5229" s="46" t="s">
        <v>280</v>
      </c>
      <c r="F5229" s="366" t="s">
        <v>2728</v>
      </c>
      <c r="G5229" s="46" t="s">
        <v>566</v>
      </c>
      <c r="H5229" s="46">
        <v>1</v>
      </c>
      <c r="I5229" s="51">
        <v>2109.4499999999998</v>
      </c>
      <c r="J5229" s="281">
        <f>++Tabla4[[#This Row],[Precio Bruto]]*1.16</f>
        <v>2446.9619999999995</v>
      </c>
      <c r="K5229" s="281">
        <f>+Tabla4[[#This Row],[Precio Unitario Neto]]*Tabla4[[#Headers],[20.85%]]</f>
        <v>510.19157699999988</v>
      </c>
      <c r="L5229" s="282">
        <f>++Tabla4[[#This Row],[Precio Unitario Neto]]-Tabla4[[#This Row],[20.85%]]</f>
        <v>1936.7704229999997</v>
      </c>
      <c r="M5229" s="282" t="e">
        <f>(INDEX(Tabla6[#All],MATCH(Tabla4[[#This Row],[Producto]],Tabla6[[#All],[PRODUCTO]],0),MATCH(Tabla4[[#This Row],[Mes]],Tabla6[#Headers],0)))*(1+Catalogos!$L$2)</f>
        <v>#N/A</v>
      </c>
      <c r="N5229" s="283" t="e">
        <f>+(Tabla4[[#This Row],[Precio Descontado]]-Tabla4[[#This Row],[Precio Base]])*Tabla4[[#This Row],[Cantidad]]</f>
        <v>#N/A</v>
      </c>
      <c r="O5229" s="284" t="e">
        <f>++Tabla4[[#This Row],[Utilidad Total]]/Tabla4[[#This Row],[Total]]</f>
        <v>#N/A</v>
      </c>
      <c r="P5229" s="282">
        <f>++Tabla4[[#This Row],[Precio Descontado]]*Tabla4[[#This Row],[Cantidad]]</f>
        <v>1936.7704229999997</v>
      </c>
      <c r="Q5229" s="282" t="e">
        <f>(INDEX(Tabla6[#All],MATCH(Tabla4[[#This Row],[Producto]],Tabla6[[#All],[PRODUCTO]],0),MATCH(Tabla4[[#This Row],[Mes]],Tabla6[#Headers],0)))</f>
        <v>#N/A</v>
      </c>
      <c r="R5229" s="282" t="e">
        <f>++Tabla4[[#This Row],[Precio Unitario Neto]]-Tabla4[[#This Row],[20.85%]]-Tabla4[[#This Row],[Costo]]</f>
        <v>#N/A</v>
      </c>
      <c r="S5229" s="282" t="e">
        <f>++Tabla4[[#This Row],[U. Bruta Uni]]*Tabla4[[#This Row],[Cantidad]]</f>
        <v>#N/A</v>
      </c>
      <c r="T5229" s="369" t="str">
        <f>VLOOKUP(Tabla4[[#This Row],[Producto]],Tabla6[#All],14,FALSE)</f>
        <v>Termico Solar</v>
      </c>
      <c r="U5229" s="284" t="e">
        <f>(IF(Tabla4[[#This Row],[Familia]]="termico solar",Tabla4[[#This Row],[Utilidad Total]]*6%,Tabla4[[#This Row],[Utilidad Total]]*11.5%))/Tabla4[[#This Row],[Total]]</f>
        <v>#N/A</v>
      </c>
      <c r="V5229" s="282" t="e">
        <f>+Tabla4[[#This Row],[Comisión Calculada]]*Tabla4[[#This Row],[Total]]</f>
        <v>#N/A</v>
      </c>
    </row>
    <row r="5230" spans="1:22" hidden="1" x14ac:dyDescent="0.25">
      <c r="A5230" s="100">
        <v>45884</v>
      </c>
      <c r="B5230" t="str">
        <f t="shared" si="254"/>
        <v>August</v>
      </c>
      <c r="C5230" s="46" t="s">
        <v>280</v>
      </c>
      <c r="F5230" s="366" t="s">
        <v>2728</v>
      </c>
      <c r="G5230" s="46" t="s">
        <v>16</v>
      </c>
      <c r="H5230" s="46">
        <v>1</v>
      </c>
      <c r="I5230" s="51">
        <v>4103.8500000000004</v>
      </c>
      <c r="J5230" s="281">
        <f>++Tabla4[[#This Row],[Precio Bruto]]*1.16</f>
        <v>4760.4660000000003</v>
      </c>
      <c r="K5230" s="281">
        <f>+Tabla4[[#This Row],[Precio Unitario Neto]]*Tabla4[[#Headers],[20.85%]]</f>
        <v>992.55716100000006</v>
      </c>
      <c r="L5230" s="282">
        <f>++Tabla4[[#This Row],[Precio Unitario Neto]]-Tabla4[[#This Row],[20.85%]]</f>
        <v>3767.9088390000002</v>
      </c>
      <c r="M5230" s="282" t="e">
        <f>(INDEX(Tabla6[#All],MATCH(Tabla4[[#This Row],[Producto]],Tabla6[[#All],[PRODUCTO]],0),MATCH(Tabla4[[#This Row],[Mes]],Tabla6[#Headers],0)))*(1+Catalogos!$L$2)</f>
        <v>#N/A</v>
      </c>
      <c r="N5230" s="283" t="e">
        <f>+(Tabla4[[#This Row],[Precio Descontado]]-Tabla4[[#This Row],[Precio Base]])*Tabla4[[#This Row],[Cantidad]]</f>
        <v>#N/A</v>
      </c>
      <c r="O5230" s="284" t="e">
        <f>++Tabla4[[#This Row],[Utilidad Total]]/Tabla4[[#This Row],[Total]]</f>
        <v>#N/A</v>
      </c>
      <c r="P5230" s="282">
        <f>++Tabla4[[#This Row],[Precio Descontado]]*Tabla4[[#This Row],[Cantidad]]</f>
        <v>3767.9088390000002</v>
      </c>
      <c r="Q5230" s="282" t="e">
        <f>(INDEX(Tabla6[#All],MATCH(Tabla4[[#This Row],[Producto]],Tabla6[[#All],[PRODUCTO]],0),MATCH(Tabla4[[#This Row],[Mes]],Tabla6[#Headers],0)))</f>
        <v>#N/A</v>
      </c>
      <c r="R5230" s="282" t="e">
        <f>++Tabla4[[#This Row],[Precio Unitario Neto]]-Tabla4[[#This Row],[20.85%]]-Tabla4[[#This Row],[Costo]]</f>
        <v>#N/A</v>
      </c>
      <c r="S5230" s="282" t="e">
        <f>++Tabla4[[#This Row],[U. Bruta Uni]]*Tabla4[[#This Row],[Cantidad]]</f>
        <v>#N/A</v>
      </c>
      <c r="T5230" s="369" t="str">
        <f>VLOOKUP(Tabla4[[#This Row],[Producto]],Tabla6[#All],14,FALSE)</f>
        <v>Termico Solar</v>
      </c>
      <c r="U5230" s="284" t="e">
        <f>(IF(Tabla4[[#This Row],[Familia]]="termico solar",Tabla4[[#This Row],[Utilidad Total]]*6%,Tabla4[[#This Row],[Utilidad Total]]*11.5%))/Tabla4[[#This Row],[Total]]</f>
        <v>#N/A</v>
      </c>
      <c r="V5230" s="282" t="e">
        <f>+Tabla4[[#This Row],[Comisión Calculada]]*Tabla4[[#This Row],[Total]]</f>
        <v>#N/A</v>
      </c>
    </row>
    <row r="5231" spans="1:22" hidden="1" x14ac:dyDescent="0.25">
      <c r="A5231" s="100">
        <v>45884</v>
      </c>
      <c r="B5231" t="str">
        <f t="shared" si="254"/>
        <v>August</v>
      </c>
      <c r="C5231" s="46" t="s">
        <v>280</v>
      </c>
      <c r="F5231" s="366" t="s">
        <v>2728</v>
      </c>
      <c r="G5231" s="46" t="s">
        <v>208</v>
      </c>
      <c r="H5231" s="46">
        <v>1</v>
      </c>
      <c r="I5231" s="51">
        <v>189.75</v>
      </c>
      <c r="J5231" s="281">
        <f>++Tabla4[[#This Row],[Precio Bruto]]*1.16</f>
        <v>220.10999999999999</v>
      </c>
      <c r="K5231" s="281">
        <f>+Tabla4[[#This Row],[Precio Unitario Neto]]*Tabla4[[#Headers],[20.85%]]</f>
        <v>45.892934999999994</v>
      </c>
      <c r="L5231" s="282">
        <f>++Tabla4[[#This Row],[Precio Unitario Neto]]-Tabla4[[#This Row],[20.85%]]</f>
        <v>174.21706499999999</v>
      </c>
      <c r="M5231" s="282" t="e">
        <f>(INDEX(Tabla6[#All],MATCH(Tabla4[[#This Row],[Producto]],Tabla6[[#All],[PRODUCTO]],0),MATCH(Tabla4[[#This Row],[Mes]],Tabla6[#Headers],0)))*(1+Catalogos!$L$2)</f>
        <v>#N/A</v>
      </c>
      <c r="N5231" s="283" t="e">
        <f>+(Tabla4[[#This Row],[Precio Descontado]]-Tabla4[[#This Row],[Precio Base]])*Tabla4[[#This Row],[Cantidad]]</f>
        <v>#N/A</v>
      </c>
      <c r="O5231" s="284" t="e">
        <f>++Tabla4[[#This Row],[Utilidad Total]]/Tabla4[[#This Row],[Total]]</f>
        <v>#N/A</v>
      </c>
      <c r="P5231" s="282">
        <f>++Tabla4[[#This Row],[Precio Descontado]]*Tabla4[[#This Row],[Cantidad]]</f>
        <v>174.21706499999999</v>
      </c>
      <c r="Q5231" s="282" t="e">
        <f>(INDEX(Tabla6[#All],MATCH(Tabla4[[#This Row],[Producto]],Tabla6[[#All],[PRODUCTO]],0),MATCH(Tabla4[[#This Row],[Mes]],Tabla6[#Headers],0)))</f>
        <v>#N/A</v>
      </c>
      <c r="R5231" s="282" t="e">
        <f>++Tabla4[[#This Row],[Precio Unitario Neto]]-Tabla4[[#This Row],[20.85%]]-Tabla4[[#This Row],[Costo]]</f>
        <v>#N/A</v>
      </c>
      <c r="S5231" s="282" t="e">
        <f>++Tabla4[[#This Row],[U. Bruta Uni]]*Tabla4[[#This Row],[Cantidad]]</f>
        <v>#N/A</v>
      </c>
      <c r="T5231" s="369" t="str">
        <f>VLOOKUP(Tabla4[[#This Row],[Producto]],Tabla6[#All],14,FALSE)</f>
        <v>Termico Solar</v>
      </c>
      <c r="U5231" s="284" t="e">
        <f>(IF(Tabla4[[#This Row],[Familia]]="termico solar",Tabla4[[#This Row],[Utilidad Total]]*6%,Tabla4[[#This Row],[Utilidad Total]]*11.5%))/Tabla4[[#This Row],[Total]]</f>
        <v>#N/A</v>
      </c>
      <c r="V5231" s="282" t="e">
        <f>+Tabla4[[#This Row],[Comisión Calculada]]*Tabla4[[#This Row],[Total]]</f>
        <v>#N/A</v>
      </c>
    </row>
    <row r="5232" spans="1:22" hidden="1" x14ac:dyDescent="0.25">
      <c r="A5232" s="100">
        <v>45884</v>
      </c>
      <c r="B5232" t="str">
        <f t="shared" si="254"/>
        <v>August</v>
      </c>
      <c r="C5232" s="46" t="s">
        <v>280</v>
      </c>
      <c r="F5232" s="366" t="s">
        <v>2729</v>
      </c>
      <c r="G5232" s="46" t="s">
        <v>18</v>
      </c>
      <c r="H5232" s="46">
        <v>2</v>
      </c>
      <c r="I5232" s="51">
        <v>5367.65</v>
      </c>
      <c r="J5232" s="281">
        <f>++Tabla4[[#This Row],[Precio Bruto]]*1.16</f>
        <v>6226.4739999999993</v>
      </c>
      <c r="K5232" s="281">
        <f>+Tabla4[[#This Row],[Precio Unitario Neto]]*Tabla4[[#Headers],[20.85%]]</f>
        <v>1298.2198289999999</v>
      </c>
      <c r="L5232" s="282">
        <f>++Tabla4[[#This Row],[Precio Unitario Neto]]-Tabla4[[#This Row],[20.85%]]</f>
        <v>4928.2541709999996</v>
      </c>
      <c r="M5232" s="282" t="e">
        <f>(INDEX(Tabla6[#All],MATCH(Tabla4[[#This Row],[Producto]],Tabla6[[#All],[PRODUCTO]],0),MATCH(Tabla4[[#This Row],[Mes]],Tabla6[#Headers],0)))*(1+Catalogos!$L$2)</f>
        <v>#N/A</v>
      </c>
      <c r="N5232" s="283" t="e">
        <f>+(Tabla4[[#This Row],[Precio Descontado]]-Tabla4[[#This Row],[Precio Base]])*Tabla4[[#This Row],[Cantidad]]</f>
        <v>#N/A</v>
      </c>
      <c r="O5232" s="284" t="e">
        <f>++Tabla4[[#This Row],[Utilidad Total]]/Tabla4[[#This Row],[Total]]</f>
        <v>#N/A</v>
      </c>
      <c r="P5232" s="282">
        <f>++Tabla4[[#This Row],[Precio Descontado]]*Tabla4[[#This Row],[Cantidad]]</f>
        <v>9856.5083419999992</v>
      </c>
      <c r="Q5232" s="282" t="e">
        <f>(INDEX(Tabla6[#All],MATCH(Tabla4[[#This Row],[Producto]],Tabla6[[#All],[PRODUCTO]],0),MATCH(Tabla4[[#This Row],[Mes]],Tabla6[#Headers],0)))</f>
        <v>#N/A</v>
      </c>
      <c r="R5232" s="282" t="e">
        <f>++Tabla4[[#This Row],[Precio Unitario Neto]]-Tabla4[[#This Row],[20.85%]]-Tabla4[[#This Row],[Costo]]</f>
        <v>#N/A</v>
      </c>
      <c r="S5232" s="282" t="e">
        <f>++Tabla4[[#This Row],[U. Bruta Uni]]*Tabla4[[#This Row],[Cantidad]]</f>
        <v>#N/A</v>
      </c>
      <c r="T5232" s="369" t="str">
        <f>VLOOKUP(Tabla4[[#This Row],[Producto]],Tabla6[#All],14,FALSE)</f>
        <v>Termico Solar</v>
      </c>
      <c r="U5232" s="284" t="e">
        <f>(IF(Tabla4[[#This Row],[Familia]]="termico solar",Tabla4[[#This Row],[Utilidad Total]]*6%,Tabla4[[#This Row],[Utilidad Total]]*11.5%))/Tabla4[[#This Row],[Total]]</f>
        <v>#N/A</v>
      </c>
      <c r="V5232" s="282" t="e">
        <f>+Tabla4[[#This Row],[Comisión Calculada]]*Tabla4[[#This Row],[Total]]</f>
        <v>#N/A</v>
      </c>
    </row>
    <row r="5233" spans="1:22" hidden="1" x14ac:dyDescent="0.25">
      <c r="A5233" s="100">
        <v>45884</v>
      </c>
      <c r="B5233" t="str">
        <f t="shared" si="254"/>
        <v>August</v>
      </c>
      <c r="C5233" s="46" t="s">
        <v>280</v>
      </c>
      <c r="F5233" s="366" t="s">
        <v>2730</v>
      </c>
      <c r="G5233" s="46" t="s">
        <v>18</v>
      </c>
      <c r="H5233" s="46">
        <v>2</v>
      </c>
      <c r="I5233" s="51">
        <v>5367.65</v>
      </c>
      <c r="J5233" s="281">
        <f>++Tabla4[[#This Row],[Precio Bruto]]*1.16</f>
        <v>6226.4739999999993</v>
      </c>
      <c r="K5233" s="281">
        <f>+Tabla4[[#This Row],[Precio Unitario Neto]]*Tabla4[[#Headers],[20.85%]]</f>
        <v>1298.2198289999999</v>
      </c>
      <c r="L5233" s="282">
        <f>++Tabla4[[#This Row],[Precio Unitario Neto]]-Tabla4[[#This Row],[20.85%]]</f>
        <v>4928.2541709999996</v>
      </c>
      <c r="M5233" s="282" t="e">
        <f>(INDEX(Tabla6[#All],MATCH(Tabla4[[#This Row],[Producto]],Tabla6[[#All],[PRODUCTO]],0),MATCH(Tabla4[[#This Row],[Mes]],Tabla6[#Headers],0)))*(1+Catalogos!$L$2)</f>
        <v>#N/A</v>
      </c>
      <c r="N5233" s="283" t="e">
        <f>+(Tabla4[[#This Row],[Precio Descontado]]-Tabla4[[#This Row],[Precio Base]])*Tabla4[[#This Row],[Cantidad]]</f>
        <v>#N/A</v>
      </c>
      <c r="O5233" s="284" t="e">
        <f>++Tabla4[[#This Row],[Utilidad Total]]/Tabla4[[#This Row],[Total]]</f>
        <v>#N/A</v>
      </c>
      <c r="P5233" s="282">
        <f>++Tabla4[[#This Row],[Precio Descontado]]*Tabla4[[#This Row],[Cantidad]]</f>
        <v>9856.5083419999992</v>
      </c>
      <c r="Q5233" s="282" t="e">
        <f>(INDEX(Tabla6[#All],MATCH(Tabla4[[#This Row],[Producto]],Tabla6[[#All],[PRODUCTO]],0),MATCH(Tabla4[[#This Row],[Mes]],Tabla6[#Headers],0)))</f>
        <v>#N/A</v>
      </c>
      <c r="R5233" s="282" t="e">
        <f>++Tabla4[[#This Row],[Precio Unitario Neto]]-Tabla4[[#This Row],[20.85%]]-Tabla4[[#This Row],[Costo]]</f>
        <v>#N/A</v>
      </c>
      <c r="S5233" s="282" t="e">
        <f>++Tabla4[[#This Row],[U. Bruta Uni]]*Tabla4[[#This Row],[Cantidad]]</f>
        <v>#N/A</v>
      </c>
      <c r="T5233" s="369" t="str">
        <f>VLOOKUP(Tabla4[[#This Row],[Producto]],Tabla6[#All],14,FALSE)</f>
        <v>Termico Solar</v>
      </c>
      <c r="U5233" s="284" t="e">
        <f>(IF(Tabla4[[#This Row],[Familia]]="termico solar",Tabla4[[#This Row],[Utilidad Total]]*6%,Tabla4[[#This Row],[Utilidad Total]]*11.5%))/Tabla4[[#This Row],[Total]]</f>
        <v>#N/A</v>
      </c>
      <c r="V5233" s="282" t="e">
        <f>+Tabla4[[#This Row],[Comisión Calculada]]*Tabla4[[#This Row],[Total]]</f>
        <v>#N/A</v>
      </c>
    </row>
    <row r="5234" spans="1:22" hidden="1" x14ac:dyDescent="0.25">
      <c r="A5234" s="100">
        <v>45884</v>
      </c>
      <c r="B5234" t="str">
        <f t="shared" si="254"/>
        <v>August</v>
      </c>
      <c r="C5234" s="46" t="s">
        <v>280</v>
      </c>
      <c r="F5234" s="366" t="s">
        <v>2731</v>
      </c>
      <c r="G5234" s="46" t="s">
        <v>18</v>
      </c>
      <c r="H5234" s="46">
        <v>3</v>
      </c>
      <c r="I5234" s="51">
        <v>5367.6500000000005</v>
      </c>
      <c r="J5234" s="281">
        <f>++Tabla4[[#This Row],[Precio Bruto]]*1.16</f>
        <v>6226.4740000000002</v>
      </c>
      <c r="K5234" s="281">
        <f>+Tabla4[[#This Row],[Precio Unitario Neto]]*Tabla4[[#Headers],[20.85%]]</f>
        <v>1298.2198289999999</v>
      </c>
      <c r="L5234" s="282">
        <f>++Tabla4[[#This Row],[Precio Unitario Neto]]-Tabla4[[#This Row],[20.85%]]</f>
        <v>4928.2541710000005</v>
      </c>
      <c r="M5234" s="282" t="e">
        <f>(INDEX(Tabla6[#All],MATCH(Tabla4[[#This Row],[Producto]],Tabla6[[#All],[PRODUCTO]],0),MATCH(Tabla4[[#This Row],[Mes]],Tabla6[#Headers],0)))*(1+Catalogos!$L$2)</f>
        <v>#N/A</v>
      </c>
      <c r="N5234" s="283" t="e">
        <f>+(Tabla4[[#This Row],[Precio Descontado]]-Tabla4[[#This Row],[Precio Base]])*Tabla4[[#This Row],[Cantidad]]</f>
        <v>#N/A</v>
      </c>
      <c r="O5234" s="284" t="e">
        <f>++Tabla4[[#This Row],[Utilidad Total]]/Tabla4[[#This Row],[Total]]</f>
        <v>#N/A</v>
      </c>
      <c r="P5234" s="282">
        <f>++Tabla4[[#This Row],[Precio Descontado]]*Tabla4[[#This Row],[Cantidad]]</f>
        <v>14784.762513000001</v>
      </c>
      <c r="Q5234" s="282" t="e">
        <f>(INDEX(Tabla6[#All],MATCH(Tabla4[[#This Row],[Producto]],Tabla6[[#All],[PRODUCTO]],0),MATCH(Tabla4[[#This Row],[Mes]],Tabla6[#Headers],0)))</f>
        <v>#N/A</v>
      </c>
      <c r="R5234" s="282" t="e">
        <f>++Tabla4[[#This Row],[Precio Unitario Neto]]-Tabla4[[#This Row],[20.85%]]-Tabla4[[#This Row],[Costo]]</f>
        <v>#N/A</v>
      </c>
      <c r="S5234" s="282" t="e">
        <f>++Tabla4[[#This Row],[U. Bruta Uni]]*Tabla4[[#This Row],[Cantidad]]</f>
        <v>#N/A</v>
      </c>
      <c r="T5234" s="369" t="str">
        <f>VLOOKUP(Tabla4[[#This Row],[Producto]],Tabla6[#All],14,FALSE)</f>
        <v>Termico Solar</v>
      </c>
      <c r="U5234" s="284" t="e">
        <f>(IF(Tabla4[[#This Row],[Familia]]="termico solar",Tabla4[[#This Row],[Utilidad Total]]*6%,Tabla4[[#This Row],[Utilidad Total]]*11.5%))/Tabla4[[#This Row],[Total]]</f>
        <v>#N/A</v>
      </c>
      <c r="V5234" s="282" t="e">
        <f>+Tabla4[[#This Row],[Comisión Calculada]]*Tabla4[[#This Row],[Total]]</f>
        <v>#N/A</v>
      </c>
    </row>
    <row r="5235" spans="1:22" hidden="1" x14ac:dyDescent="0.25">
      <c r="A5235" s="100">
        <v>45884</v>
      </c>
      <c r="B5235" t="str">
        <f t="shared" si="254"/>
        <v>August</v>
      </c>
      <c r="C5235" s="46" t="s">
        <v>280</v>
      </c>
      <c r="F5235" s="366" t="s">
        <v>2732</v>
      </c>
      <c r="G5235" s="46" t="s">
        <v>17</v>
      </c>
      <c r="H5235" s="46">
        <v>4</v>
      </c>
      <c r="I5235" s="51">
        <v>4622.28</v>
      </c>
      <c r="J5235" s="281">
        <f>++Tabla4[[#This Row],[Precio Bruto]]*1.16</f>
        <v>5361.8447999999989</v>
      </c>
      <c r="K5235" s="281">
        <f>+Tabla4[[#This Row],[Precio Unitario Neto]]*Tabla4[[#Headers],[20.85%]]</f>
        <v>1117.9446407999997</v>
      </c>
      <c r="L5235" s="282">
        <f>++Tabla4[[#This Row],[Precio Unitario Neto]]-Tabla4[[#This Row],[20.85%]]</f>
        <v>4243.9001591999995</v>
      </c>
      <c r="M5235" s="282" t="e">
        <f>(INDEX(Tabla6[#All],MATCH(Tabla4[[#This Row],[Producto]],Tabla6[[#All],[PRODUCTO]],0),MATCH(Tabla4[[#This Row],[Mes]],Tabla6[#Headers],0)))*(1+Catalogos!$L$2)</f>
        <v>#N/A</v>
      </c>
      <c r="N5235" s="283" t="e">
        <f>+(Tabla4[[#This Row],[Precio Descontado]]-Tabla4[[#This Row],[Precio Base]])*Tabla4[[#This Row],[Cantidad]]</f>
        <v>#N/A</v>
      </c>
      <c r="O5235" s="284" t="e">
        <f>++Tabla4[[#This Row],[Utilidad Total]]/Tabla4[[#This Row],[Total]]</f>
        <v>#N/A</v>
      </c>
      <c r="P5235" s="282">
        <f>++Tabla4[[#This Row],[Precio Descontado]]*Tabla4[[#This Row],[Cantidad]]</f>
        <v>16975.600636799998</v>
      </c>
      <c r="Q5235" s="282" t="e">
        <f>(INDEX(Tabla6[#All],MATCH(Tabla4[[#This Row],[Producto]],Tabla6[[#All],[PRODUCTO]],0),MATCH(Tabla4[[#This Row],[Mes]],Tabla6[#Headers],0)))</f>
        <v>#N/A</v>
      </c>
      <c r="R5235" s="282" t="e">
        <f>++Tabla4[[#This Row],[Precio Unitario Neto]]-Tabla4[[#This Row],[20.85%]]-Tabla4[[#This Row],[Costo]]</f>
        <v>#N/A</v>
      </c>
      <c r="S5235" s="282" t="e">
        <f>++Tabla4[[#This Row],[U. Bruta Uni]]*Tabla4[[#This Row],[Cantidad]]</f>
        <v>#N/A</v>
      </c>
      <c r="T5235" s="369" t="str">
        <f>VLOOKUP(Tabla4[[#This Row],[Producto]],Tabla6[#All],14,FALSE)</f>
        <v>Termico Solar</v>
      </c>
      <c r="U5235" s="284" t="e">
        <f>(IF(Tabla4[[#This Row],[Familia]]="termico solar",Tabla4[[#This Row],[Utilidad Total]]*6%,Tabla4[[#This Row],[Utilidad Total]]*11.5%))/Tabla4[[#This Row],[Total]]</f>
        <v>#N/A</v>
      </c>
      <c r="V5235" s="282" t="e">
        <f>+Tabla4[[#This Row],[Comisión Calculada]]*Tabla4[[#This Row],[Total]]</f>
        <v>#N/A</v>
      </c>
    </row>
    <row r="5236" spans="1:22" hidden="1" x14ac:dyDescent="0.25">
      <c r="A5236" s="100">
        <v>45884</v>
      </c>
      <c r="B5236" t="str">
        <f t="shared" si="254"/>
        <v>August</v>
      </c>
      <c r="C5236" s="46" t="s">
        <v>280</v>
      </c>
      <c r="F5236" s="366" t="s">
        <v>2732</v>
      </c>
      <c r="G5236" s="46" t="s">
        <v>18</v>
      </c>
      <c r="H5236" s="46">
        <v>2</v>
      </c>
      <c r="I5236" s="51">
        <v>5367.65</v>
      </c>
      <c r="J5236" s="281">
        <f>++Tabla4[[#This Row],[Precio Bruto]]*1.16</f>
        <v>6226.4739999999993</v>
      </c>
      <c r="K5236" s="281">
        <f>+Tabla4[[#This Row],[Precio Unitario Neto]]*Tabla4[[#Headers],[20.85%]]</f>
        <v>1298.2198289999999</v>
      </c>
      <c r="L5236" s="282">
        <f>++Tabla4[[#This Row],[Precio Unitario Neto]]-Tabla4[[#This Row],[20.85%]]</f>
        <v>4928.2541709999996</v>
      </c>
      <c r="M5236" s="282" t="e">
        <f>(INDEX(Tabla6[#All],MATCH(Tabla4[[#This Row],[Producto]],Tabla6[[#All],[PRODUCTO]],0),MATCH(Tabla4[[#This Row],[Mes]],Tabla6[#Headers],0)))*(1+Catalogos!$L$2)</f>
        <v>#N/A</v>
      </c>
      <c r="N5236" s="283" t="e">
        <f>+(Tabla4[[#This Row],[Precio Descontado]]-Tabla4[[#This Row],[Precio Base]])*Tabla4[[#This Row],[Cantidad]]</f>
        <v>#N/A</v>
      </c>
      <c r="O5236" s="284" t="e">
        <f>++Tabla4[[#This Row],[Utilidad Total]]/Tabla4[[#This Row],[Total]]</f>
        <v>#N/A</v>
      </c>
      <c r="P5236" s="282">
        <f>++Tabla4[[#This Row],[Precio Descontado]]*Tabla4[[#This Row],[Cantidad]]</f>
        <v>9856.5083419999992</v>
      </c>
      <c r="Q5236" s="282" t="e">
        <f>(INDEX(Tabla6[#All],MATCH(Tabla4[[#This Row],[Producto]],Tabla6[[#All],[PRODUCTO]],0),MATCH(Tabla4[[#This Row],[Mes]],Tabla6[#Headers],0)))</f>
        <v>#N/A</v>
      </c>
      <c r="R5236" s="282" t="e">
        <f>++Tabla4[[#This Row],[Precio Unitario Neto]]-Tabla4[[#This Row],[20.85%]]-Tabla4[[#This Row],[Costo]]</f>
        <v>#N/A</v>
      </c>
      <c r="S5236" s="282" t="e">
        <f>++Tabla4[[#This Row],[U. Bruta Uni]]*Tabla4[[#This Row],[Cantidad]]</f>
        <v>#N/A</v>
      </c>
      <c r="T5236" s="369" t="str">
        <f>VLOOKUP(Tabla4[[#This Row],[Producto]],Tabla6[#All],14,FALSE)</f>
        <v>Termico Solar</v>
      </c>
      <c r="U5236" s="284" t="e">
        <f>(IF(Tabla4[[#This Row],[Familia]]="termico solar",Tabla4[[#This Row],[Utilidad Total]]*6%,Tabla4[[#This Row],[Utilidad Total]]*11.5%))/Tabla4[[#This Row],[Total]]</f>
        <v>#N/A</v>
      </c>
      <c r="V5236" s="282" t="e">
        <f>+Tabla4[[#This Row],[Comisión Calculada]]*Tabla4[[#This Row],[Total]]</f>
        <v>#N/A</v>
      </c>
    </row>
    <row r="5237" spans="1:22" hidden="1" x14ac:dyDescent="0.25">
      <c r="A5237" s="100">
        <v>45884</v>
      </c>
      <c r="B5237" t="str">
        <f t="shared" si="254"/>
        <v>August</v>
      </c>
      <c r="C5237" s="46" t="s">
        <v>280</v>
      </c>
      <c r="F5237" s="366" t="s">
        <v>2733</v>
      </c>
      <c r="G5237" s="46" t="s">
        <v>566</v>
      </c>
      <c r="H5237" s="46">
        <v>2</v>
      </c>
      <c r="I5237" s="51">
        <v>2109.4499999999998</v>
      </c>
      <c r="J5237" s="281">
        <f>++Tabla4[[#This Row],[Precio Bruto]]*1.16</f>
        <v>2446.9619999999995</v>
      </c>
      <c r="K5237" s="281">
        <f>+Tabla4[[#This Row],[Precio Unitario Neto]]*Tabla4[[#Headers],[20.85%]]</f>
        <v>510.19157699999988</v>
      </c>
      <c r="L5237" s="282">
        <f>++Tabla4[[#This Row],[Precio Unitario Neto]]-Tabla4[[#This Row],[20.85%]]</f>
        <v>1936.7704229999997</v>
      </c>
      <c r="M5237" s="282" t="e">
        <f>(INDEX(Tabla6[#All],MATCH(Tabla4[[#This Row],[Producto]],Tabla6[[#All],[PRODUCTO]],0),MATCH(Tabla4[[#This Row],[Mes]],Tabla6[#Headers],0)))*(1+Catalogos!$L$2)</f>
        <v>#N/A</v>
      </c>
      <c r="N5237" s="283" t="e">
        <f>+(Tabla4[[#This Row],[Precio Descontado]]-Tabla4[[#This Row],[Precio Base]])*Tabla4[[#This Row],[Cantidad]]</f>
        <v>#N/A</v>
      </c>
      <c r="O5237" s="284" t="e">
        <f>++Tabla4[[#This Row],[Utilidad Total]]/Tabla4[[#This Row],[Total]]</f>
        <v>#N/A</v>
      </c>
      <c r="P5237" s="282">
        <f>++Tabla4[[#This Row],[Precio Descontado]]*Tabla4[[#This Row],[Cantidad]]</f>
        <v>3873.5408459999994</v>
      </c>
      <c r="Q5237" s="282" t="e">
        <f>(INDEX(Tabla6[#All],MATCH(Tabla4[[#This Row],[Producto]],Tabla6[[#All],[PRODUCTO]],0),MATCH(Tabla4[[#This Row],[Mes]],Tabla6[#Headers],0)))</f>
        <v>#N/A</v>
      </c>
      <c r="R5237" s="282" t="e">
        <f>++Tabla4[[#This Row],[Precio Unitario Neto]]-Tabla4[[#This Row],[20.85%]]-Tabla4[[#This Row],[Costo]]</f>
        <v>#N/A</v>
      </c>
      <c r="S5237" s="282" t="e">
        <f>++Tabla4[[#This Row],[U. Bruta Uni]]*Tabla4[[#This Row],[Cantidad]]</f>
        <v>#N/A</v>
      </c>
      <c r="T5237" s="369" t="str">
        <f>VLOOKUP(Tabla4[[#This Row],[Producto]],Tabla6[#All],14,FALSE)</f>
        <v>Termico Solar</v>
      </c>
      <c r="U5237" s="284" t="e">
        <f>(IF(Tabla4[[#This Row],[Familia]]="termico solar",Tabla4[[#This Row],[Utilidad Total]]*6%,Tabla4[[#This Row],[Utilidad Total]]*11.5%))/Tabla4[[#This Row],[Total]]</f>
        <v>#N/A</v>
      </c>
      <c r="V5237" s="282" t="e">
        <f>+Tabla4[[#This Row],[Comisión Calculada]]*Tabla4[[#This Row],[Total]]</f>
        <v>#N/A</v>
      </c>
    </row>
    <row r="5238" spans="1:22" hidden="1" x14ac:dyDescent="0.25">
      <c r="A5238" s="100">
        <v>45884</v>
      </c>
      <c r="B5238" t="str">
        <f t="shared" si="254"/>
        <v>August</v>
      </c>
      <c r="C5238" s="46" t="s">
        <v>280</v>
      </c>
      <c r="F5238" s="366" t="s">
        <v>2733</v>
      </c>
      <c r="G5238" s="46" t="s">
        <v>555</v>
      </c>
      <c r="H5238" s="46">
        <v>8</v>
      </c>
      <c r="I5238" s="51">
        <v>389.47</v>
      </c>
      <c r="J5238" s="281">
        <f>++Tabla4[[#This Row],[Precio Bruto]]*1.16</f>
        <v>451.78519999999997</v>
      </c>
      <c r="K5238" s="281">
        <f>+Tabla4[[#This Row],[Precio Unitario Neto]]*Tabla4[[#Headers],[20.85%]]</f>
        <v>94.197214199999991</v>
      </c>
      <c r="L5238" s="282">
        <f>++Tabla4[[#This Row],[Precio Unitario Neto]]-Tabla4[[#This Row],[20.85%]]</f>
        <v>357.58798579999996</v>
      </c>
      <c r="M5238" s="282" t="e">
        <f>(INDEX(Tabla6[#All],MATCH(Tabla4[[#This Row],[Producto]],Tabla6[[#All],[PRODUCTO]],0),MATCH(Tabla4[[#This Row],[Mes]],Tabla6[#Headers],0)))*(1+Catalogos!$L$2)</f>
        <v>#N/A</v>
      </c>
      <c r="N5238" s="283" t="e">
        <f>+(Tabla4[[#This Row],[Precio Descontado]]-Tabla4[[#This Row],[Precio Base]])*Tabla4[[#This Row],[Cantidad]]</f>
        <v>#N/A</v>
      </c>
      <c r="O5238" s="284" t="e">
        <f>++Tabla4[[#This Row],[Utilidad Total]]/Tabla4[[#This Row],[Total]]</f>
        <v>#N/A</v>
      </c>
      <c r="P5238" s="282">
        <f>++Tabla4[[#This Row],[Precio Descontado]]*Tabla4[[#This Row],[Cantidad]]</f>
        <v>2860.7038863999996</v>
      </c>
      <c r="Q5238" s="282" t="e">
        <f>(INDEX(Tabla6[#All],MATCH(Tabla4[[#This Row],[Producto]],Tabla6[[#All],[PRODUCTO]],0),MATCH(Tabla4[[#This Row],[Mes]],Tabla6[#Headers],0)))</f>
        <v>#N/A</v>
      </c>
      <c r="R5238" s="282" t="e">
        <f>++Tabla4[[#This Row],[Precio Unitario Neto]]-Tabla4[[#This Row],[20.85%]]-Tabla4[[#This Row],[Costo]]</f>
        <v>#N/A</v>
      </c>
      <c r="S5238" s="282" t="e">
        <f>++Tabla4[[#This Row],[U. Bruta Uni]]*Tabla4[[#This Row],[Cantidad]]</f>
        <v>#N/A</v>
      </c>
      <c r="T5238" s="369" t="str">
        <f>VLOOKUP(Tabla4[[#This Row],[Producto]],Tabla6[#All],14,FALSE)</f>
        <v>Termico Solar</v>
      </c>
      <c r="U5238" s="284" t="e">
        <f>(IF(Tabla4[[#This Row],[Familia]]="termico solar",Tabla4[[#This Row],[Utilidad Total]]*6%,Tabla4[[#This Row],[Utilidad Total]]*11.5%))/Tabla4[[#This Row],[Total]]</f>
        <v>#N/A</v>
      </c>
      <c r="V5238" s="282" t="e">
        <f>+Tabla4[[#This Row],[Comisión Calculada]]*Tabla4[[#This Row],[Total]]</f>
        <v>#N/A</v>
      </c>
    </row>
    <row r="5239" spans="1:22" hidden="1" x14ac:dyDescent="0.25">
      <c r="A5239" s="100">
        <v>45884</v>
      </c>
      <c r="B5239" t="str">
        <f t="shared" ref="B5239:B5248" si="255">TEXT(A5239, "mmmm")</f>
        <v>August</v>
      </c>
      <c r="C5239" s="46" t="s">
        <v>280</v>
      </c>
      <c r="F5239" s="366" t="s">
        <v>2734</v>
      </c>
      <c r="G5239" s="46" t="s">
        <v>83</v>
      </c>
      <c r="H5239" s="46">
        <v>5</v>
      </c>
      <c r="I5239" s="51">
        <v>8858.76</v>
      </c>
      <c r="J5239" s="281">
        <f>++Tabla4[[#This Row],[Precio Bruto]]*1.16</f>
        <v>10276.161599999999</v>
      </c>
      <c r="K5239" s="281">
        <f>+Tabla4[[#This Row],[Precio Unitario Neto]]*Tabla4[[#Headers],[20.85%]]</f>
        <v>2142.5796935999997</v>
      </c>
      <c r="L5239" s="282">
        <f>++Tabla4[[#This Row],[Precio Unitario Neto]]-Tabla4[[#This Row],[20.85%]]</f>
        <v>8133.5819063999998</v>
      </c>
      <c r="M5239" s="282" t="e">
        <f>(INDEX(Tabla6[#All],MATCH(Tabla4[[#This Row],[Producto]],Tabla6[[#All],[PRODUCTO]],0),MATCH(Tabla4[[#This Row],[Mes]],Tabla6[#Headers],0)))*(1+Catalogos!$L$2)</f>
        <v>#N/A</v>
      </c>
      <c r="N5239" s="283" t="e">
        <f>+(Tabla4[[#This Row],[Precio Descontado]]-Tabla4[[#This Row],[Precio Base]])*Tabla4[[#This Row],[Cantidad]]</f>
        <v>#N/A</v>
      </c>
      <c r="O5239" s="284" t="e">
        <f>++Tabla4[[#This Row],[Utilidad Total]]/Tabla4[[#This Row],[Total]]</f>
        <v>#N/A</v>
      </c>
      <c r="P5239" s="282">
        <f>++Tabla4[[#This Row],[Precio Descontado]]*Tabla4[[#This Row],[Cantidad]]</f>
        <v>40667.909531999998</v>
      </c>
      <c r="Q5239" s="282" t="e">
        <f>(INDEX(Tabla6[#All],MATCH(Tabla4[[#This Row],[Producto]],Tabla6[[#All],[PRODUCTO]],0),MATCH(Tabla4[[#This Row],[Mes]],Tabla6[#Headers],0)))</f>
        <v>#N/A</v>
      </c>
      <c r="R5239" s="282" t="e">
        <f>++Tabla4[[#This Row],[Precio Unitario Neto]]-Tabla4[[#This Row],[20.85%]]-Tabla4[[#This Row],[Costo]]</f>
        <v>#N/A</v>
      </c>
      <c r="S5239" s="282" t="e">
        <f>++Tabla4[[#This Row],[U. Bruta Uni]]*Tabla4[[#This Row],[Cantidad]]</f>
        <v>#N/A</v>
      </c>
      <c r="T5239" s="369" t="str">
        <f>VLOOKUP(Tabla4[[#This Row],[Producto]],Tabla6[#All],14,FALSE)</f>
        <v>Termico Solar</v>
      </c>
      <c r="U5239" s="284" t="e">
        <f>(IF(Tabla4[[#This Row],[Familia]]="termico solar",Tabla4[[#This Row],[Utilidad Total]]*6%,Tabla4[[#This Row],[Utilidad Total]]*11.5%))/Tabla4[[#This Row],[Total]]</f>
        <v>#N/A</v>
      </c>
      <c r="V5239" s="282" t="e">
        <f>+Tabla4[[#This Row],[Comisión Calculada]]*Tabla4[[#This Row],[Total]]</f>
        <v>#N/A</v>
      </c>
    </row>
    <row r="5240" spans="1:22" hidden="1" x14ac:dyDescent="0.25">
      <c r="A5240" s="100">
        <v>45884</v>
      </c>
      <c r="B5240" t="str">
        <f t="shared" si="255"/>
        <v>August</v>
      </c>
      <c r="C5240" s="46" t="s">
        <v>280</v>
      </c>
      <c r="F5240" s="366" t="s">
        <v>2734</v>
      </c>
      <c r="G5240" s="46" t="s">
        <v>17</v>
      </c>
      <c r="H5240" s="46">
        <v>8</v>
      </c>
      <c r="I5240" s="51">
        <v>4622.28</v>
      </c>
      <c r="J5240" s="281">
        <f>++Tabla4[[#This Row],[Precio Bruto]]*1.16</f>
        <v>5361.8447999999989</v>
      </c>
      <c r="K5240" s="281">
        <f>+Tabla4[[#This Row],[Precio Unitario Neto]]*Tabla4[[#Headers],[20.85%]]</f>
        <v>1117.9446407999997</v>
      </c>
      <c r="L5240" s="282">
        <f>++Tabla4[[#This Row],[Precio Unitario Neto]]-Tabla4[[#This Row],[20.85%]]</f>
        <v>4243.9001591999995</v>
      </c>
      <c r="M5240" s="282" t="e">
        <f>(INDEX(Tabla6[#All],MATCH(Tabla4[[#This Row],[Producto]],Tabla6[[#All],[PRODUCTO]],0),MATCH(Tabla4[[#This Row],[Mes]],Tabla6[#Headers],0)))*(1+Catalogos!$L$2)</f>
        <v>#N/A</v>
      </c>
      <c r="N5240" s="283" t="e">
        <f>+(Tabla4[[#This Row],[Precio Descontado]]-Tabla4[[#This Row],[Precio Base]])*Tabla4[[#This Row],[Cantidad]]</f>
        <v>#N/A</v>
      </c>
      <c r="O5240" s="284" t="e">
        <f>++Tabla4[[#This Row],[Utilidad Total]]/Tabla4[[#This Row],[Total]]</f>
        <v>#N/A</v>
      </c>
      <c r="P5240" s="282">
        <f>++Tabla4[[#This Row],[Precio Descontado]]*Tabla4[[#This Row],[Cantidad]]</f>
        <v>33951.201273599996</v>
      </c>
      <c r="Q5240" s="282" t="e">
        <f>(INDEX(Tabla6[#All],MATCH(Tabla4[[#This Row],[Producto]],Tabla6[[#All],[PRODUCTO]],0),MATCH(Tabla4[[#This Row],[Mes]],Tabla6[#Headers],0)))</f>
        <v>#N/A</v>
      </c>
      <c r="R5240" s="282" t="e">
        <f>++Tabla4[[#This Row],[Precio Unitario Neto]]-Tabla4[[#This Row],[20.85%]]-Tabla4[[#This Row],[Costo]]</f>
        <v>#N/A</v>
      </c>
      <c r="S5240" s="282" t="e">
        <f>++Tabla4[[#This Row],[U. Bruta Uni]]*Tabla4[[#This Row],[Cantidad]]</f>
        <v>#N/A</v>
      </c>
      <c r="T5240" s="369" t="str">
        <f>VLOOKUP(Tabla4[[#This Row],[Producto]],Tabla6[#All],14,FALSE)</f>
        <v>Termico Solar</v>
      </c>
      <c r="U5240" s="284" t="e">
        <f>(IF(Tabla4[[#This Row],[Familia]]="termico solar",Tabla4[[#This Row],[Utilidad Total]]*6%,Tabla4[[#This Row],[Utilidad Total]]*11.5%))/Tabla4[[#This Row],[Total]]</f>
        <v>#N/A</v>
      </c>
      <c r="V5240" s="282" t="e">
        <f>+Tabla4[[#This Row],[Comisión Calculada]]*Tabla4[[#This Row],[Total]]</f>
        <v>#N/A</v>
      </c>
    </row>
    <row r="5241" spans="1:22" hidden="1" x14ac:dyDescent="0.25">
      <c r="A5241" s="100">
        <v>45884</v>
      </c>
      <c r="B5241" t="str">
        <f t="shared" si="255"/>
        <v>August</v>
      </c>
      <c r="C5241" s="46" t="s">
        <v>280</v>
      </c>
      <c r="F5241" s="366" t="s">
        <v>2734</v>
      </c>
      <c r="G5241" s="46" t="s">
        <v>18</v>
      </c>
      <c r="H5241" s="46">
        <v>5</v>
      </c>
      <c r="I5241" s="51">
        <v>5367.65</v>
      </c>
      <c r="J5241" s="281">
        <f>++Tabla4[[#This Row],[Precio Bruto]]*1.16</f>
        <v>6226.4739999999993</v>
      </c>
      <c r="K5241" s="281">
        <f>+Tabla4[[#This Row],[Precio Unitario Neto]]*Tabla4[[#Headers],[20.85%]]</f>
        <v>1298.2198289999999</v>
      </c>
      <c r="L5241" s="282">
        <f>++Tabla4[[#This Row],[Precio Unitario Neto]]-Tabla4[[#This Row],[20.85%]]</f>
        <v>4928.2541709999996</v>
      </c>
      <c r="M5241" s="282" t="e">
        <f>(INDEX(Tabla6[#All],MATCH(Tabla4[[#This Row],[Producto]],Tabla6[[#All],[PRODUCTO]],0),MATCH(Tabla4[[#This Row],[Mes]],Tabla6[#Headers],0)))*(1+Catalogos!$L$2)</f>
        <v>#N/A</v>
      </c>
      <c r="N5241" s="283" t="e">
        <f>+(Tabla4[[#This Row],[Precio Descontado]]-Tabla4[[#This Row],[Precio Base]])*Tabla4[[#This Row],[Cantidad]]</f>
        <v>#N/A</v>
      </c>
      <c r="O5241" s="284" t="e">
        <f>++Tabla4[[#This Row],[Utilidad Total]]/Tabla4[[#This Row],[Total]]</f>
        <v>#N/A</v>
      </c>
      <c r="P5241" s="282">
        <f>++Tabla4[[#This Row],[Precio Descontado]]*Tabla4[[#This Row],[Cantidad]]</f>
        <v>24641.270854999999</v>
      </c>
      <c r="Q5241" s="282" t="e">
        <f>(INDEX(Tabla6[#All],MATCH(Tabla4[[#This Row],[Producto]],Tabla6[[#All],[PRODUCTO]],0),MATCH(Tabla4[[#This Row],[Mes]],Tabla6[#Headers],0)))</f>
        <v>#N/A</v>
      </c>
      <c r="R5241" s="282" t="e">
        <f>++Tabla4[[#This Row],[Precio Unitario Neto]]-Tabla4[[#This Row],[20.85%]]-Tabla4[[#This Row],[Costo]]</f>
        <v>#N/A</v>
      </c>
      <c r="S5241" s="282" t="e">
        <f>++Tabla4[[#This Row],[U. Bruta Uni]]*Tabla4[[#This Row],[Cantidad]]</f>
        <v>#N/A</v>
      </c>
      <c r="T5241" s="369" t="str">
        <f>VLOOKUP(Tabla4[[#This Row],[Producto]],Tabla6[#All],14,FALSE)</f>
        <v>Termico Solar</v>
      </c>
      <c r="U5241" s="284" t="e">
        <f>(IF(Tabla4[[#This Row],[Familia]]="termico solar",Tabla4[[#This Row],[Utilidad Total]]*6%,Tabla4[[#This Row],[Utilidad Total]]*11.5%))/Tabla4[[#This Row],[Total]]</f>
        <v>#N/A</v>
      </c>
      <c r="V5241" s="282" t="e">
        <f>+Tabla4[[#This Row],[Comisión Calculada]]*Tabla4[[#This Row],[Total]]</f>
        <v>#N/A</v>
      </c>
    </row>
    <row r="5242" spans="1:22" hidden="1" x14ac:dyDescent="0.25">
      <c r="A5242" s="100">
        <v>45884</v>
      </c>
      <c r="B5242" t="str">
        <f t="shared" si="255"/>
        <v>August</v>
      </c>
      <c r="C5242" s="46" t="s">
        <v>280</v>
      </c>
      <c r="F5242" s="366" t="s">
        <v>2734</v>
      </c>
      <c r="G5242" s="46" t="s">
        <v>19</v>
      </c>
      <c r="H5242" s="46">
        <v>5</v>
      </c>
      <c r="I5242" s="51">
        <v>6412.0300000000007</v>
      </c>
      <c r="J5242" s="281">
        <f>++Tabla4[[#This Row],[Precio Bruto]]*1.16</f>
        <v>7437.9548000000004</v>
      </c>
      <c r="K5242" s="281">
        <f>+Tabla4[[#This Row],[Precio Unitario Neto]]*Tabla4[[#Headers],[20.85%]]</f>
        <v>1550.8135758000001</v>
      </c>
      <c r="L5242" s="282">
        <f>++Tabla4[[#This Row],[Precio Unitario Neto]]-Tabla4[[#This Row],[20.85%]]</f>
        <v>5887.1412242000006</v>
      </c>
      <c r="M5242" s="282" t="e">
        <f>(INDEX(Tabla6[#All],MATCH(Tabla4[[#This Row],[Producto]],Tabla6[[#All],[PRODUCTO]],0),MATCH(Tabla4[[#This Row],[Mes]],Tabla6[#Headers],0)))*(1+Catalogos!$L$2)</f>
        <v>#N/A</v>
      </c>
      <c r="N5242" s="283" t="e">
        <f>+(Tabla4[[#This Row],[Precio Descontado]]-Tabla4[[#This Row],[Precio Base]])*Tabla4[[#This Row],[Cantidad]]</f>
        <v>#N/A</v>
      </c>
      <c r="O5242" s="284" t="e">
        <f>++Tabla4[[#This Row],[Utilidad Total]]/Tabla4[[#This Row],[Total]]</f>
        <v>#N/A</v>
      </c>
      <c r="P5242" s="282">
        <f>++Tabla4[[#This Row],[Precio Descontado]]*Tabla4[[#This Row],[Cantidad]]</f>
        <v>29435.706121000003</v>
      </c>
      <c r="Q5242" s="282" t="e">
        <f>(INDEX(Tabla6[#All],MATCH(Tabla4[[#This Row],[Producto]],Tabla6[[#All],[PRODUCTO]],0),MATCH(Tabla4[[#This Row],[Mes]],Tabla6[#Headers],0)))</f>
        <v>#N/A</v>
      </c>
      <c r="R5242" s="282" t="e">
        <f>++Tabla4[[#This Row],[Precio Unitario Neto]]-Tabla4[[#This Row],[20.85%]]-Tabla4[[#This Row],[Costo]]</f>
        <v>#N/A</v>
      </c>
      <c r="S5242" s="282" t="e">
        <f>++Tabla4[[#This Row],[U. Bruta Uni]]*Tabla4[[#This Row],[Cantidad]]</f>
        <v>#N/A</v>
      </c>
      <c r="T5242" s="369" t="str">
        <f>VLOOKUP(Tabla4[[#This Row],[Producto]],Tabla6[#All],14,FALSE)</f>
        <v>Termico Solar</v>
      </c>
      <c r="U5242" s="284" t="e">
        <f>(IF(Tabla4[[#This Row],[Familia]]="termico solar",Tabla4[[#This Row],[Utilidad Total]]*6%,Tabla4[[#This Row],[Utilidad Total]]*11.5%))/Tabla4[[#This Row],[Total]]</f>
        <v>#N/A</v>
      </c>
      <c r="V5242" s="282" t="e">
        <f>+Tabla4[[#This Row],[Comisión Calculada]]*Tabla4[[#This Row],[Total]]</f>
        <v>#N/A</v>
      </c>
    </row>
    <row r="5243" spans="1:22" hidden="1" x14ac:dyDescent="0.25">
      <c r="A5243" s="100">
        <v>45884</v>
      </c>
      <c r="B5243" t="str">
        <f t="shared" si="255"/>
        <v>August</v>
      </c>
      <c r="C5243" s="46" t="s">
        <v>280</v>
      </c>
      <c r="F5243" s="366" t="s">
        <v>2734</v>
      </c>
      <c r="G5243" s="46" t="s">
        <v>21</v>
      </c>
      <c r="H5243" s="46">
        <v>6</v>
      </c>
      <c r="I5243" s="51">
        <v>9282.19</v>
      </c>
      <c r="J5243" s="281">
        <f>++Tabla4[[#This Row],[Precio Bruto]]*1.16</f>
        <v>10767.340399999999</v>
      </c>
      <c r="K5243" s="281">
        <f>+Tabla4[[#This Row],[Precio Unitario Neto]]*Tabla4[[#Headers],[20.85%]]</f>
        <v>2244.9904733999997</v>
      </c>
      <c r="L5243" s="282">
        <f>++Tabla4[[#This Row],[Precio Unitario Neto]]-Tabla4[[#This Row],[20.85%]]</f>
        <v>8522.3499265999999</v>
      </c>
      <c r="M5243" s="282" t="e">
        <f>(INDEX(Tabla6[#All],MATCH(Tabla4[[#This Row],[Producto]],Tabla6[[#All],[PRODUCTO]],0),MATCH(Tabla4[[#This Row],[Mes]],Tabla6[#Headers],0)))*(1+Catalogos!$L$2)</f>
        <v>#N/A</v>
      </c>
      <c r="N5243" s="283" t="e">
        <f>+(Tabla4[[#This Row],[Precio Descontado]]-Tabla4[[#This Row],[Precio Base]])*Tabla4[[#This Row],[Cantidad]]</f>
        <v>#N/A</v>
      </c>
      <c r="O5243" s="284" t="e">
        <f>++Tabla4[[#This Row],[Utilidad Total]]/Tabla4[[#This Row],[Total]]</f>
        <v>#N/A</v>
      </c>
      <c r="P5243" s="282">
        <f>++Tabla4[[#This Row],[Precio Descontado]]*Tabla4[[#This Row],[Cantidad]]</f>
        <v>51134.099559599999</v>
      </c>
      <c r="Q5243" s="282" t="e">
        <f>(INDEX(Tabla6[#All],MATCH(Tabla4[[#This Row],[Producto]],Tabla6[[#All],[PRODUCTO]],0),MATCH(Tabla4[[#This Row],[Mes]],Tabla6[#Headers],0)))</f>
        <v>#N/A</v>
      </c>
      <c r="R5243" s="282" t="e">
        <f>++Tabla4[[#This Row],[Precio Unitario Neto]]-Tabla4[[#This Row],[20.85%]]-Tabla4[[#This Row],[Costo]]</f>
        <v>#N/A</v>
      </c>
      <c r="S5243" s="282" t="e">
        <f>++Tabla4[[#This Row],[U. Bruta Uni]]*Tabla4[[#This Row],[Cantidad]]</f>
        <v>#N/A</v>
      </c>
      <c r="T5243" s="369" t="str">
        <f>VLOOKUP(Tabla4[[#This Row],[Producto]],Tabla6[#All],14,FALSE)</f>
        <v>Termico Solar</v>
      </c>
      <c r="U5243" s="284" t="e">
        <f>(IF(Tabla4[[#This Row],[Familia]]="termico solar",Tabla4[[#This Row],[Utilidad Total]]*6%,Tabla4[[#This Row],[Utilidad Total]]*11.5%))/Tabla4[[#This Row],[Total]]</f>
        <v>#N/A</v>
      </c>
      <c r="V5243" s="282" t="e">
        <f>+Tabla4[[#This Row],[Comisión Calculada]]*Tabla4[[#This Row],[Total]]</f>
        <v>#N/A</v>
      </c>
    </row>
    <row r="5244" spans="1:22" hidden="1" x14ac:dyDescent="0.25">
      <c r="A5244" s="100">
        <v>45884</v>
      </c>
      <c r="B5244" t="str">
        <f t="shared" si="255"/>
        <v>August</v>
      </c>
      <c r="C5244" s="46" t="s">
        <v>280</v>
      </c>
      <c r="F5244" s="366" t="s">
        <v>2734</v>
      </c>
      <c r="G5244" s="46" t="s">
        <v>22</v>
      </c>
      <c r="H5244" s="46">
        <v>6</v>
      </c>
      <c r="I5244" s="51">
        <v>13355.75</v>
      </c>
      <c r="J5244" s="281">
        <f>++Tabla4[[#This Row],[Precio Bruto]]*1.16</f>
        <v>15492.669999999998</v>
      </c>
      <c r="K5244" s="281">
        <f>+Tabla4[[#This Row],[Precio Unitario Neto]]*Tabla4[[#Headers],[20.85%]]</f>
        <v>3230.2216949999993</v>
      </c>
      <c r="L5244" s="282">
        <f>++Tabla4[[#This Row],[Precio Unitario Neto]]-Tabla4[[#This Row],[20.85%]]</f>
        <v>12262.448304999998</v>
      </c>
      <c r="M5244" s="282" t="e">
        <f>(INDEX(Tabla6[#All],MATCH(Tabla4[[#This Row],[Producto]],Tabla6[[#All],[PRODUCTO]],0),MATCH(Tabla4[[#This Row],[Mes]],Tabla6[#Headers],0)))*(1+Catalogos!$L$2)</f>
        <v>#N/A</v>
      </c>
      <c r="N5244" s="283" t="e">
        <f>+(Tabla4[[#This Row],[Precio Descontado]]-Tabla4[[#This Row],[Precio Base]])*Tabla4[[#This Row],[Cantidad]]</f>
        <v>#N/A</v>
      </c>
      <c r="O5244" s="284" t="e">
        <f>++Tabla4[[#This Row],[Utilidad Total]]/Tabla4[[#This Row],[Total]]</f>
        <v>#N/A</v>
      </c>
      <c r="P5244" s="282">
        <f>++Tabla4[[#This Row],[Precio Descontado]]*Tabla4[[#This Row],[Cantidad]]</f>
        <v>73574.689829999988</v>
      </c>
      <c r="Q5244" s="282" t="e">
        <f>(INDEX(Tabla6[#All],MATCH(Tabla4[[#This Row],[Producto]],Tabla6[[#All],[PRODUCTO]],0),MATCH(Tabla4[[#This Row],[Mes]],Tabla6[#Headers],0)))</f>
        <v>#N/A</v>
      </c>
      <c r="R5244" s="282" t="e">
        <f>++Tabla4[[#This Row],[Precio Unitario Neto]]-Tabla4[[#This Row],[20.85%]]-Tabla4[[#This Row],[Costo]]</f>
        <v>#N/A</v>
      </c>
      <c r="S5244" s="282" t="e">
        <f>++Tabla4[[#This Row],[U. Bruta Uni]]*Tabla4[[#This Row],[Cantidad]]</f>
        <v>#N/A</v>
      </c>
      <c r="T5244" s="369" t="str">
        <f>VLOOKUP(Tabla4[[#This Row],[Producto]],Tabla6[#All],14,FALSE)</f>
        <v>Termico Solar</v>
      </c>
      <c r="U5244" s="284" t="e">
        <f>(IF(Tabla4[[#This Row],[Familia]]="termico solar",Tabla4[[#This Row],[Utilidad Total]]*6%,Tabla4[[#This Row],[Utilidad Total]]*11.5%))/Tabla4[[#This Row],[Total]]</f>
        <v>#N/A</v>
      </c>
      <c r="V5244" s="282" t="e">
        <f>+Tabla4[[#This Row],[Comisión Calculada]]*Tabla4[[#This Row],[Total]]</f>
        <v>#N/A</v>
      </c>
    </row>
    <row r="5245" spans="1:22" hidden="1" x14ac:dyDescent="0.25">
      <c r="A5245" s="100">
        <v>45884</v>
      </c>
      <c r="B5245" t="str">
        <f t="shared" si="255"/>
        <v>August</v>
      </c>
      <c r="C5245" s="46" t="s">
        <v>280</v>
      </c>
      <c r="F5245" s="366" t="s">
        <v>2734</v>
      </c>
      <c r="G5245" s="46" t="s">
        <v>84</v>
      </c>
      <c r="H5245" s="46">
        <v>8</v>
      </c>
      <c r="I5245" s="51">
        <v>16601.830000000002</v>
      </c>
      <c r="J5245" s="281">
        <f>++Tabla4[[#This Row],[Precio Bruto]]*1.16</f>
        <v>19258.122800000001</v>
      </c>
      <c r="K5245" s="281">
        <f>+Tabla4[[#This Row],[Precio Unitario Neto]]*Tabla4[[#Headers],[20.85%]]</f>
        <v>4015.3186037999999</v>
      </c>
      <c r="L5245" s="282">
        <f>++Tabla4[[#This Row],[Precio Unitario Neto]]-Tabla4[[#This Row],[20.85%]]</f>
        <v>15242.804196200001</v>
      </c>
      <c r="M5245" s="282" t="e">
        <f>(INDEX(Tabla6[#All],MATCH(Tabla4[[#This Row],[Producto]],Tabla6[[#All],[PRODUCTO]],0),MATCH(Tabla4[[#This Row],[Mes]],Tabla6[#Headers],0)))*(1+Catalogos!$L$2)</f>
        <v>#N/A</v>
      </c>
      <c r="N5245" s="283" t="e">
        <f>+(Tabla4[[#This Row],[Precio Descontado]]-Tabla4[[#This Row],[Precio Base]])*Tabla4[[#This Row],[Cantidad]]</f>
        <v>#N/A</v>
      </c>
      <c r="O5245" s="284" t="e">
        <f>++Tabla4[[#This Row],[Utilidad Total]]/Tabla4[[#This Row],[Total]]</f>
        <v>#N/A</v>
      </c>
      <c r="P5245" s="282">
        <f>++Tabla4[[#This Row],[Precio Descontado]]*Tabla4[[#This Row],[Cantidad]]</f>
        <v>121942.43356960001</v>
      </c>
      <c r="Q5245" s="282" t="e">
        <f>(INDEX(Tabla6[#All],MATCH(Tabla4[[#This Row],[Producto]],Tabla6[[#All],[PRODUCTO]],0),MATCH(Tabla4[[#This Row],[Mes]],Tabla6[#Headers],0)))</f>
        <v>#N/A</v>
      </c>
      <c r="R5245" s="282" t="e">
        <f>++Tabla4[[#This Row],[Precio Unitario Neto]]-Tabla4[[#This Row],[20.85%]]-Tabla4[[#This Row],[Costo]]</f>
        <v>#N/A</v>
      </c>
      <c r="S5245" s="282" t="e">
        <f>++Tabla4[[#This Row],[U. Bruta Uni]]*Tabla4[[#This Row],[Cantidad]]</f>
        <v>#N/A</v>
      </c>
      <c r="T5245" s="369" t="str">
        <f>VLOOKUP(Tabla4[[#This Row],[Producto]],Tabla6[#All],14,FALSE)</f>
        <v>Termico Solar</v>
      </c>
      <c r="U5245" s="284" t="e">
        <f>(IF(Tabla4[[#This Row],[Familia]]="termico solar",Tabla4[[#This Row],[Utilidad Total]]*6%,Tabla4[[#This Row],[Utilidad Total]]*11.5%))/Tabla4[[#This Row],[Total]]</f>
        <v>#N/A</v>
      </c>
      <c r="V5245" s="282" t="e">
        <f>+Tabla4[[#This Row],[Comisión Calculada]]*Tabla4[[#This Row],[Total]]</f>
        <v>#N/A</v>
      </c>
    </row>
    <row r="5246" spans="1:22" hidden="1" x14ac:dyDescent="0.25">
      <c r="A5246" s="100">
        <v>45884</v>
      </c>
      <c r="B5246" t="str">
        <f t="shared" si="255"/>
        <v>August</v>
      </c>
      <c r="C5246" s="46" t="s">
        <v>280</v>
      </c>
      <c r="F5246" s="366" t="s">
        <v>2734</v>
      </c>
      <c r="G5246" s="46" t="s">
        <v>566</v>
      </c>
      <c r="H5246" s="46">
        <v>3</v>
      </c>
      <c r="I5246" s="51">
        <v>2109.4500000000003</v>
      </c>
      <c r="J5246" s="281">
        <f>++Tabla4[[#This Row],[Precio Bruto]]*1.16</f>
        <v>2446.962</v>
      </c>
      <c r="K5246" s="281">
        <f>+Tabla4[[#This Row],[Precio Unitario Neto]]*Tabla4[[#Headers],[20.85%]]</f>
        <v>510.191577</v>
      </c>
      <c r="L5246" s="282">
        <f>++Tabla4[[#This Row],[Precio Unitario Neto]]-Tabla4[[#This Row],[20.85%]]</f>
        <v>1936.7704229999999</v>
      </c>
      <c r="M5246" s="282" t="e">
        <f>(INDEX(Tabla6[#All],MATCH(Tabla4[[#This Row],[Producto]],Tabla6[[#All],[PRODUCTO]],0),MATCH(Tabla4[[#This Row],[Mes]],Tabla6[#Headers],0)))*(1+Catalogos!$L$2)</f>
        <v>#N/A</v>
      </c>
      <c r="N5246" s="283" t="e">
        <f>+(Tabla4[[#This Row],[Precio Descontado]]-Tabla4[[#This Row],[Precio Base]])*Tabla4[[#This Row],[Cantidad]]</f>
        <v>#N/A</v>
      </c>
      <c r="O5246" s="284" t="e">
        <f>++Tabla4[[#This Row],[Utilidad Total]]/Tabla4[[#This Row],[Total]]</f>
        <v>#N/A</v>
      </c>
      <c r="P5246" s="282">
        <f>++Tabla4[[#This Row],[Precio Descontado]]*Tabla4[[#This Row],[Cantidad]]</f>
        <v>5810.3112689999998</v>
      </c>
      <c r="Q5246" s="282" t="e">
        <f>(INDEX(Tabla6[#All],MATCH(Tabla4[[#This Row],[Producto]],Tabla6[[#All],[PRODUCTO]],0),MATCH(Tabla4[[#This Row],[Mes]],Tabla6[#Headers],0)))</f>
        <v>#N/A</v>
      </c>
      <c r="R5246" s="282" t="e">
        <f>++Tabla4[[#This Row],[Precio Unitario Neto]]-Tabla4[[#This Row],[20.85%]]-Tabla4[[#This Row],[Costo]]</f>
        <v>#N/A</v>
      </c>
      <c r="S5246" s="282" t="e">
        <f>++Tabla4[[#This Row],[U. Bruta Uni]]*Tabla4[[#This Row],[Cantidad]]</f>
        <v>#N/A</v>
      </c>
      <c r="T5246" s="369" t="str">
        <f>VLOOKUP(Tabla4[[#This Row],[Producto]],Tabla6[#All],14,FALSE)</f>
        <v>Termico Solar</v>
      </c>
      <c r="U5246" s="284" t="e">
        <f>(IF(Tabla4[[#This Row],[Familia]]="termico solar",Tabla4[[#This Row],[Utilidad Total]]*6%,Tabla4[[#This Row],[Utilidad Total]]*11.5%))/Tabla4[[#This Row],[Total]]</f>
        <v>#N/A</v>
      </c>
      <c r="V5246" s="282" t="e">
        <f>+Tabla4[[#This Row],[Comisión Calculada]]*Tabla4[[#This Row],[Total]]</f>
        <v>#N/A</v>
      </c>
    </row>
    <row r="5247" spans="1:22" hidden="1" x14ac:dyDescent="0.25">
      <c r="A5247" s="100">
        <v>45884</v>
      </c>
      <c r="B5247" t="str">
        <f t="shared" si="255"/>
        <v>August</v>
      </c>
      <c r="C5247" s="46" t="s">
        <v>280</v>
      </c>
      <c r="F5247" s="366" t="s">
        <v>2734</v>
      </c>
      <c r="G5247" s="46" t="s">
        <v>394</v>
      </c>
      <c r="H5247" s="46">
        <v>9</v>
      </c>
      <c r="I5247" s="51">
        <v>108.1</v>
      </c>
      <c r="J5247" s="281">
        <f>++Tabla4[[#This Row],[Precio Bruto]]*1.16</f>
        <v>125.39599999999999</v>
      </c>
      <c r="K5247" s="281">
        <f>+Tabla4[[#This Row],[Precio Unitario Neto]]*Tabla4[[#Headers],[20.85%]]</f>
        <v>26.145065999999996</v>
      </c>
      <c r="L5247" s="282">
        <f>++Tabla4[[#This Row],[Precio Unitario Neto]]-Tabla4[[#This Row],[20.85%]]</f>
        <v>99.250933999999987</v>
      </c>
      <c r="M5247" s="282" t="e">
        <f>(INDEX(Tabla6[#All],MATCH(Tabla4[[#This Row],[Producto]],Tabla6[[#All],[PRODUCTO]],0),MATCH(Tabla4[[#This Row],[Mes]],Tabla6[#Headers],0)))*(1+Catalogos!$L$2)</f>
        <v>#N/A</v>
      </c>
      <c r="N5247" s="283" t="e">
        <f>+(Tabla4[[#This Row],[Precio Descontado]]-Tabla4[[#This Row],[Precio Base]])*Tabla4[[#This Row],[Cantidad]]</f>
        <v>#N/A</v>
      </c>
      <c r="O5247" s="284" t="e">
        <f>++Tabla4[[#This Row],[Utilidad Total]]/Tabla4[[#This Row],[Total]]</f>
        <v>#N/A</v>
      </c>
      <c r="P5247" s="282">
        <f>++Tabla4[[#This Row],[Precio Descontado]]*Tabla4[[#This Row],[Cantidad]]</f>
        <v>893.25840599999992</v>
      </c>
      <c r="Q5247" s="282" t="e">
        <f>(INDEX(Tabla6[#All],MATCH(Tabla4[[#This Row],[Producto]],Tabla6[[#All],[PRODUCTO]],0),MATCH(Tabla4[[#This Row],[Mes]],Tabla6[#Headers],0)))</f>
        <v>#N/A</v>
      </c>
      <c r="R5247" s="282" t="e">
        <f>++Tabla4[[#This Row],[Precio Unitario Neto]]-Tabla4[[#This Row],[20.85%]]-Tabla4[[#This Row],[Costo]]</f>
        <v>#N/A</v>
      </c>
      <c r="S5247" s="282" t="e">
        <f>++Tabla4[[#This Row],[U. Bruta Uni]]*Tabla4[[#This Row],[Cantidad]]</f>
        <v>#N/A</v>
      </c>
      <c r="T5247" s="369" t="str">
        <f>VLOOKUP(Tabla4[[#This Row],[Producto]],Tabla6[#All],14,FALSE)</f>
        <v>Termico Solar</v>
      </c>
      <c r="U5247" s="284" t="e">
        <f>(IF(Tabla4[[#This Row],[Familia]]="termico solar",Tabla4[[#This Row],[Utilidad Total]]*6%,Tabla4[[#This Row],[Utilidad Total]]*11.5%))/Tabla4[[#This Row],[Total]]</f>
        <v>#N/A</v>
      </c>
      <c r="V5247" s="282" t="e">
        <f>+Tabla4[[#This Row],[Comisión Calculada]]*Tabla4[[#This Row],[Total]]</f>
        <v>#N/A</v>
      </c>
    </row>
    <row r="5248" spans="1:22" hidden="1" x14ac:dyDescent="0.25">
      <c r="A5248" s="100">
        <v>45884</v>
      </c>
      <c r="B5248" t="str">
        <f t="shared" si="255"/>
        <v>August</v>
      </c>
      <c r="C5248" s="46" t="s">
        <v>280</v>
      </c>
      <c r="F5248" s="366" t="s">
        <v>2734</v>
      </c>
      <c r="G5248" s="46" t="s">
        <v>16</v>
      </c>
      <c r="H5248" s="46">
        <v>4</v>
      </c>
      <c r="I5248" s="51">
        <v>4103.8500000000004</v>
      </c>
      <c r="J5248" s="281">
        <f>++Tabla4[[#This Row],[Precio Bruto]]*1.16</f>
        <v>4760.4660000000003</v>
      </c>
      <c r="K5248" s="281">
        <f>+Tabla4[[#This Row],[Precio Unitario Neto]]*Tabla4[[#Headers],[20.85%]]</f>
        <v>992.55716100000006</v>
      </c>
      <c r="L5248" s="282">
        <f>++Tabla4[[#This Row],[Precio Unitario Neto]]-Tabla4[[#This Row],[20.85%]]</f>
        <v>3767.9088390000002</v>
      </c>
      <c r="M5248" s="282" t="e">
        <f>(INDEX(Tabla6[#All],MATCH(Tabla4[[#This Row],[Producto]],Tabla6[[#All],[PRODUCTO]],0),MATCH(Tabla4[[#This Row],[Mes]],Tabla6[#Headers],0)))*(1+Catalogos!$L$2)</f>
        <v>#N/A</v>
      </c>
      <c r="N5248" s="283" t="e">
        <f>+(Tabla4[[#This Row],[Precio Descontado]]-Tabla4[[#This Row],[Precio Base]])*Tabla4[[#This Row],[Cantidad]]</f>
        <v>#N/A</v>
      </c>
      <c r="O5248" s="284" t="e">
        <f>++Tabla4[[#This Row],[Utilidad Total]]/Tabla4[[#This Row],[Total]]</f>
        <v>#N/A</v>
      </c>
      <c r="P5248" s="282">
        <f>++Tabla4[[#This Row],[Precio Descontado]]*Tabla4[[#This Row],[Cantidad]]</f>
        <v>15071.635356000001</v>
      </c>
      <c r="Q5248" s="282" t="e">
        <f>(INDEX(Tabla6[#All],MATCH(Tabla4[[#This Row],[Producto]],Tabla6[[#All],[PRODUCTO]],0),MATCH(Tabla4[[#This Row],[Mes]],Tabla6[#Headers],0)))</f>
        <v>#N/A</v>
      </c>
      <c r="R5248" s="282" t="e">
        <f>++Tabla4[[#This Row],[Precio Unitario Neto]]-Tabla4[[#This Row],[20.85%]]-Tabla4[[#This Row],[Costo]]</f>
        <v>#N/A</v>
      </c>
      <c r="S5248" s="282" t="e">
        <f>++Tabla4[[#This Row],[U. Bruta Uni]]*Tabla4[[#This Row],[Cantidad]]</f>
        <v>#N/A</v>
      </c>
      <c r="T5248" s="369" t="str">
        <f>VLOOKUP(Tabla4[[#This Row],[Producto]],Tabla6[#All],14,FALSE)</f>
        <v>Termico Solar</v>
      </c>
      <c r="U5248" s="284" t="e">
        <f>(IF(Tabla4[[#This Row],[Familia]]="termico solar",Tabla4[[#This Row],[Utilidad Total]]*6%,Tabla4[[#This Row],[Utilidad Total]]*11.5%))/Tabla4[[#This Row],[Total]]</f>
        <v>#N/A</v>
      </c>
      <c r="V5248" s="282" t="e">
        <f>+Tabla4[[#This Row],[Comisión Calculada]]*Tabla4[[#This Row],[Total]]</f>
        <v>#N/A</v>
      </c>
    </row>
    <row r="5249" spans="1:22" hidden="1" x14ac:dyDescent="0.25">
      <c r="A5249" s="100">
        <v>45884</v>
      </c>
      <c r="B5249" t="str">
        <f t="shared" ref="B5249:B5280" si="256">TEXT(A5249, "mmmm")</f>
        <v>August</v>
      </c>
      <c r="C5249" s="46" t="s">
        <v>280</v>
      </c>
      <c r="F5249" s="366" t="s">
        <v>2735</v>
      </c>
      <c r="G5249" s="46" t="s">
        <v>83</v>
      </c>
      <c r="H5249" s="46">
        <v>3</v>
      </c>
      <c r="I5249" s="51">
        <v>8858.76</v>
      </c>
      <c r="J5249" s="281">
        <f>++Tabla4[[#This Row],[Precio Bruto]]*1.16</f>
        <v>10276.161599999999</v>
      </c>
      <c r="K5249" s="281">
        <f>+Tabla4[[#This Row],[Precio Unitario Neto]]*Tabla4[[#Headers],[20.85%]]</f>
        <v>2142.5796935999997</v>
      </c>
      <c r="L5249" s="282">
        <f>++Tabla4[[#This Row],[Precio Unitario Neto]]-Tabla4[[#This Row],[20.85%]]</f>
        <v>8133.5819063999998</v>
      </c>
      <c r="M5249" s="282" t="e">
        <f>(INDEX(Tabla6[#All],MATCH(Tabla4[[#This Row],[Producto]],Tabla6[[#All],[PRODUCTO]],0),MATCH(Tabla4[[#This Row],[Mes]],Tabla6[#Headers],0)))*(1+Catalogos!$L$2)</f>
        <v>#N/A</v>
      </c>
      <c r="N5249" s="283" t="e">
        <f>+(Tabla4[[#This Row],[Precio Descontado]]-Tabla4[[#This Row],[Precio Base]])*Tabla4[[#This Row],[Cantidad]]</f>
        <v>#N/A</v>
      </c>
      <c r="O5249" s="284" t="e">
        <f>++Tabla4[[#This Row],[Utilidad Total]]/Tabla4[[#This Row],[Total]]</f>
        <v>#N/A</v>
      </c>
      <c r="P5249" s="282">
        <f>++Tabla4[[#This Row],[Precio Descontado]]*Tabla4[[#This Row],[Cantidad]]</f>
        <v>24400.7457192</v>
      </c>
      <c r="Q5249" s="282" t="e">
        <f>(INDEX(Tabla6[#All],MATCH(Tabla4[[#This Row],[Producto]],Tabla6[[#All],[PRODUCTO]],0),MATCH(Tabla4[[#This Row],[Mes]],Tabla6[#Headers],0)))</f>
        <v>#N/A</v>
      </c>
      <c r="R5249" s="282" t="e">
        <f>++Tabla4[[#This Row],[Precio Unitario Neto]]-Tabla4[[#This Row],[20.85%]]-Tabla4[[#This Row],[Costo]]</f>
        <v>#N/A</v>
      </c>
      <c r="S5249" s="282" t="e">
        <f>++Tabla4[[#This Row],[U. Bruta Uni]]*Tabla4[[#This Row],[Cantidad]]</f>
        <v>#N/A</v>
      </c>
      <c r="T5249" s="369" t="str">
        <f>VLOOKUP(Tabla4[[#This Row],[Producto]],Tabla6[#All],14,FALSE)</f>
        <v>Termico Solar</v>
      </c>
      <c r="U5249" s="284" t="e">
        <f>(IF(Tabla4[[#This Row],[Familia]]="termico solar",Tabla4[[#This Row],[Utilidad Total]]*6%,Tabla4[[#This Row],[Utilidad Total]]*11.5%))/Tabla4[[#This Row],[Total]]</f>
        <v>#N/A</v>
      </c>
      <c r="V5249" s="282" t="e">
        <f>+Tabla4[[#This Row],[Comisión Calculada]]*Tabla4[[#This Row],[Total]]</f>
        <v>#N/A</v>
      </c>
    </row>
    <row r="5250" spans="1:22" hidden="1" x14ac:dyDescent="0.25">
      <c r="A5250" s="100">
        <v>45884</v>
      </c>
      <c r="B5250" t="str">
        <f t="shared" si="256"/>
        <v>August</v>
      </c>
      <c r="C5250" s="46" t="s">
        <v>280</v>
      </c>
      <c r="F5250" s="366" t="s">
        <v>2735</v>
      </c>
      <c r="G5250" s="46" t="s">
        <v>17</v>
      </c>
      <c r="H5250" s="46">
        <v>3</v>
      </c>
      <c r="I5250" s="51">
        <v>4622.28</v>
      </c>
      <c r="J5250" s="281">
        <f>++Tabla4[[#This Row],[Precio Bruto]]*1.16</f>
        <v>5361.8447999999989</v>
      </c>
      <c r="K5250" s="281">
        <f>+Tabla4[[#This Row],[Precio Unitario Neto]]*Tabla4[[#Headers],[20.85%]]</f>
        <v>1117.9446407999997</v>
      </c>
      <c r="L5250" s="282">
        <f>++Tabla4[[#This Row],[Precio Unitario Neto]]-Tabla4[[#This Row],[20.85%]]</f>
        <v>4243.9001591999995</v>
      </c>
      <c r="M5250" s="282" t="e">
        <f>(INDEX(Tabla6[#All],MATCH(Tabla4[[#This Row],[Producto]],Tabla6[[#All],[PRODUCTO]],0),MATCH(Tabla4[[#This Row],[Mes]],Tabla6[#Headers],0)))*(1+Catalogos!$L$2)</f>
        <v>#N/A</v>
      </c>
      <c r="N5250" s="283" t="e">
        <f>+(Tabla4[[#This Row],[Precio Descontado]]-Tabla4[[#This Row],[Precio Base]])*Tabla4[[#This Row],[Cantidad]]</f>
        <v>#N/A</v>
      </c>
      <c r="O5250" s="284" t="e">
        <f>++Tabla4[[#This Row],[Utilidad Total]]/Tabla4[[#This Row],[Total]]</f>
        <v>#N/A</v>
      </c>
      <c r="P5250" s="282">
        <f>++Tabla4[[#This Row],[Precio Descontado]]*Tabla4[[#This Row],[Cantidad]]</f>
        <v>12731.700477599999</v>
      </c>
      <c r="Q5250" s="282" t="e">
        <f>(INDEX(Tabla6[#All],MATCH(Tabla4[[#This Row],[Producto]],Tabla6[[#All],[PRODUCTO]],0),MATCH(Tabla4[[#This Row],[Mes]],Tabla6[#Headers],0)))</f>
        <v>#N/A</v>
      </c>
      <c r="R5250" s="282" t="e">
        <f>++Tabla4[[#This Row],[Precio Unitario Neto]]-Tabla4[[#This Row],[20.85%]]-Tabla4[[#This Row],[Costo]]</f>
        <v>#N/A</v>
      </c>
      <c r="S5250" s="282" t="e">
        <f>++Tabla4[[#This Row],[U. Bruta Uni]]*Tabla4[[#This Row],[Cantidad]]</f>
        <v>#N/A</v>
      </c>
      <c r="T5250" s="369" t="str">
        <f>VLOOKUP(Tabla4[[#This Row],[Producto]],Tabla6[#All],14,FALSE)</f>
        <v>Termico Solar</v>
      </c>
      <c r="U5250" s="284" t="e">
        <f>(IF(Tabla4[[#This Row],[Familia]]="termico solar",Tabla4[[#This Row],[Utilidad Total]]*6%,Tabla4[[#This Row],[Utilidad Total]]*11.5%))/Tabla4[[#This Row],[Total]]</f>
        <v>#N/A</v>
      </c>
      <c r="V5250" s="282" t="e">
        <f>+Tabla4[[#This Row],[Comisión Calculada]]*Tabla4[[#This Row],[Total]]</f>
        <v>#N/A</v>
      </c>
    </row>
    <row r="5251" spans="1:22" hidden="1" x14ac:dyDescent="0.25">
      <c r="A5251" s="100">
        <v>45884</v>
      </c>
      <c r="B5251" t="str">
        <f t="shared" si="256"/>
        <v>August</v>
      </c>
      <c r="C5251" s="46" t="s">
        <v>280</v>
      </c>
      <c r="F5251" s="366" t="s">
        <v>2735</v>
      </c>
      <c r="G5251" s="46" t="s">
        <v>18</v>
      </c>
      <c r="H5251" s="46">
        <v>2</v>
      </c>
      <c r="I5251" s="51">
        <v>5367.65</v>
      </c>
      <c r="J5251" s="281">
        <f>++Tabla4[[#This Row],[Precio Bruto]]*1.16</f>
        <v>6226.4739999999993</v>
      </c>
      <c r="K5251" s="281">
        <f>+Tabla4[[#This Row],[Precio Unitario Neto]]*Tabla4[[#Headers],[20.85%]]</f>
        <v>1298.2198289999999</v>
      </c>
      <c r="L5251" s="282">
        <f>++Tabla4[[#This Row],[Precio Unitario Neto]]-Tabla4[[#This Row],[20.85%]]</f>
        <v>4928.2541709999996</v>
      </c>
      <c r="M5251" s="282" t="e">
        <f>(INDEX(Tabla6[#All],MATCH(Tabla4[[#This Row],[Producto]],Tabla6[[#All],[PRODUCTO]],0),MATCH(Tabla4[[#This Row],[Mes]],Tabla6[#Headers],0)))*(1+Catalogos!$L$2)</f>
        <v>#N/A</v>
      </c>
      <c r="N5251" s="283" t="e">
        <f>+(Tabla4[[#This Row],[Precio Descontado]]-Tabla4[[#This Row],[Precio Base]])*Tabla4[[#This Row],[Cantidad]]</f>
        <v>#N/A</v>
      </c>
      <c r="O5251" s="284" t="e">
        <f>++Tabla4[[#This Row],[Utilidad Total]]/Tabla4[[#This Row],[Total]]</f>
        <v>#N/A</v>
      </c>
      <c r="P5251" s="282">
        <f>++Tabla4[[#This Row],[Precio Descontado]]*Tabla4[[#This Row],[Cantidad]]</f>
        <v>9856.5083419999992</v>
      </c>
      <c r="Q5251" s="282" t="e">
        <f>(INDEX(Tabla6[#All],MATCH(Tabla4[[#This Row],[Producto]],Tabla6[[#All],[PRODUCTO]],0),MATCH(Tabla4[[#This Row],[Mes]],Tabla6[#Headers],0)))</f>
        <v>#N/A</v>
      </c>
      <c r="R5251" s="282" t="e">
        <f>++Tabla4[[#This Row],[Precio Unitario Neto]]-Tabla4[[#This Row],[20.85%]]-Tabla4[[#This Row],[Costo]]</f>
        <v>#N/A</v>
      </c>
      <c r="S5251" s="282" t="e">
        <f>++Tabla4[[#This Row],[U. Bruta Uni]]*Tabla4[[#This Row],[Cantidad]]</f>
        <v>#N/A</v>
      </c>
      <c r="T5251" s="369" t="str">
        <f>VLOOKUP(Tabla4[[#This Row],[Producto]],Tabla6[#All],14,FALSE)</f>
        <v>Termico Solar</v>
      </c>
      <c r="U5251" s="284" t="e">
        <f>(IF(Tabla4[[#This Row],[Familia]]="termico solar",Tabla4[[#This Row],[Utilidad Total]]*6%,Tabla4[[#This Row],[Utilidad Total]]*11.5%))/Tabla4[[#This Row],[Total]]</f>
        <v>#N/A</v>
      </c>
      <c r="V5251" s="282" t="e">
        <f>+Tabla4[[#This Row],[Comisión Calculada]]*Tabla4[[#This Row],[Total]]</f>
        <v>#N/A</v>
      </c>
    </row>
    <row r="5252" spans="1:22" hidden="1" x14ac:dyDescent="0.25">
      <c r="A5252" s="100">
        <v>45884</v>
      </c>
      <c r="B5252" t="str">
        <f t="shared" si="256"/>
        <v>August</v>
      </c>
      <c r="C5252" s="46" t="s">
        <v>280</v>
      </c>
      <c r="F5252" s="366" t="s">
        <v>2736</v>
      </c>
      <c r="G5252" s="46" t="s">
        <v>18</v>
      </c>
      <c r="H5252" s="46">
        <v>2</v>
      </c>
      <c r="I5252" s="51">
        <v>5367.65</v>
      </c>
      <c r="J5252" s="281">
        <f>++Tabla4[[#This Row],[Precio Bruto]]*1.16</f>
        <v>6226.4739999999993</v>
      </c>
      <c r="K5252" s="281">
        <f>+Tabla4[[#This Row],[Precio Unitario Neto]]*Tabla4[[#Headers],[20.85%]]</f>
        <v>1298.2198289999999</v>
      </c>
      <c r="L5252" s="282">
        <f>++Tabla4[[#This Row],[Precio Unitario Neto]]-Tabla4[[#This Row],[20.85%]]</f>
        <v>4928.2541709999996</v>
      </c>
      <c r="M5252" s="282" t="e">
        <f>(INDEX(Tabla6[#All],MATCH(Tabla4[[#This Row],[Producto]],Tabla6[[#All],[PRODUCTO]],0),MATCH(Tabla4[[#This Row],[Mes]],Tabla6[#Headers],0)))*(1+Catalogos!$L$2)</f>
        <v>#N/A</v>
      </c>
      <c r="N5252" s="283" t="e">
        <f>+(Tabla4[[#This Row],[Precio Descontado]]-Tabla4[[#This Row],[Precio Base]])*Tabla4[[#This Row],[Cantidad]]</f>
        <v>#N/A</v>
      </c>
      <c r="O5252" s="284" t="e">
        <f>++Tabla4[[#This Row],[Utilidad Total]]/Tabla4[[#This Row],[Total]]</f>
        <v>#N/A</v>
      </c>
      <c r="P5252" s="282">
        <f>++Tabla4[[#This Row],[Precio Descontado]]*Tabla4[[#This Row],[Cantidad]]</f>
        <v>9856.5083419999992</v>
      </c>
      <c r="Q5252" s="282" t="e">
        <f>(INDEX(Tabla6[#All],MATCH(Tabla4[[#This Row],[Producto]],Tabla6[[#All],[PRODUCTO]],0),MATCH(Tabla4[[#This Row],[Mes]],Tabla6[#Headers],0)))</f>
        <v>#N/A</v>
      </c>
      <c r="R5252" s="282" t="e">
        <f>++Tabla4[[#This Row],[Precio Unitario Neto]]-Tabla4[[#This Row],[20.85%]]-Tabla4[[#This Row],[Costo]]</f>
        <v>#N/A</v>
      </c>
      <c r="S5252" s="282" t="e">
        <f>++Tabla4[[#This Row],[U. Bruta Uni]]*Tabla4[[#This Row],[Cantidad]]</f>
        <v>#N/A</v>
      </c>
      <c r="T5252" s="369" t="str">
        <f>VLOOKUP(Tabla4[[#This Row],[Producto]],Tabla6[#All],14,FALSE)</f>
        <v>Termico Solar</v>
      </c>
      <c r="U5252" s="284" t="e">
        <f>(IF(Tabla4[[#This Row],[Familia]]="termico solar",Tabla4[[#This Row],[Utilidad Total]]*6%,Tabla4[[#This Row],[Utilidad Total]]*11.5%))/Tabla4[[#This Row],[Total]]</f>
        <v>#N/A</v>
      </c>
      <c r="V5252" s="282" t="e">
        <f>+Tabla4[[#This Row],[Comisión Calculada]]*Tabla4[[#This Row],[Total]]</f>
        <v>#N/A</v>
      </c>
    </row>
    <row r="5253" spans="1:22" hidden="1" x14ac:dyDescent="0.25">
      <c r="A5253" s="100">
        <v>45884</v>
      </c>
      <c r="B5253" t="str">
        <f t="shared" si="256"/>
        <v>August</v>
      </c>
      <c r="C5253" s="46" t="s">
        <v>280</v>
      </c>
      <c r="F5253" s="366" t="s">
        <v>2736</v>
      </c>
      <c r="G5253" s="46" t="s">
        <v>16</v>
      </c>
      <c r="H5253" s="46">
        <v>3</v>
      </c>
      <c r="I5253" s="51">
        <v>4103.8499999999995</v>
      </c>
      <c r="J5253" s="281">
        <f>++Tabla4[[#This Row],[Precio Bruto]]*1.16</f>
        <v>4760.4659999999994</v>
      </c>
      <c r="K5253" s="281">
        <f>+Tabla4[[#This Row],[Precio Unitario Neto]]*Tabla4[[#Headers],[20.85%]]</f>
        <v>992.55716099999984</v>
      </c>
      <c r="L5253" s="282">
        <f>++Tabla4[[#This Row],[Precio Unitario Neto]]-Tabla4[[#This Row],[20.85%]]</f>
        <v>3767.9088389999997</v>
      </c>
      <c r="M5253" s="282" t="e">
        <f>(INDEX(Tabla6[#All],MATCH(Tabla4[[#This Row],[Producto]],Tabla6[[#All],[PRODUCTO]],0),MATCH(Tabla4[[#This Row],[Mes]],Tabla6[#Headers],0)))*(1+Catalogos!$L$2)</f>
        <v>#N/A</v>
      </c>
      <c r="N5253" s="283" t="e">
        <f>+(Tabla4[[#This Row],[Precio Descontado]]-Tabla4[[#This Row],[Precio Base]])*Tabla4[[#This Row],[Cantidad]]</f>
        <v>#N/A</v>
      </c>
      <c r="O5253" s="284" t="e">
        <f>++Tabla4[[#This Row],[Utilidad Total]]/Tabla4[[#This Row],[Total]]</f>
        <v>#N/A</v>
      </c>
      <c r="P5253" s="282">
        <f>++Tabla4[[#This Row],[Precio Descontado]]*Tabla4[[#This Row],[Cantidad]]</f>
        <v>11303.726516999999</v>
      </c>
      <c r="Q5253" s="282" t="e">
        <f>(INDEX(Tabla6[#All],MATCH(Tabla4[[#This Row],[Producto]],Tabla6[[#All],[PRODUCTO]],0),MATCH(Tabla4[[#This Row],[Mes]],Tabla6[#Headers],0)))</f>
        <v>#N/A</v>
      </c>
      <c r="R5253" s="282" t="e">
        <f>++Tabla4[[#This Row],[Precio Unitario Neto]]-Tabla4[[#This Row],[20.85%]]-Tabla4[[#This Row],[Costo]]</f>
        <v>#N/A</v>
      </c>
      <c r="S5253" s="282" t="e">
        <f>++Tabla4[[#This Row],[U. Bruta Uni]]*Tabla4[[#This Row],[Cantidad]]</f>
        <v>#N/A</v>
      </c>
      <c r="T5253" s="369" t="str">
        <f>VLOOKUP(Tabla4[[#This Row],[Producto]],Tabla6[#All],14,FALSE)</f>
        <v>Termico Solar</v>
      </c>
      <c r="U5253" s="284" t="e">
        <f>(IF(Tabla4[[#This Row],[Familia]]="termico solar",Tabla4[[#This Row],[Utilidad Total]]*6%,Tabla4[[#This Row],[Utilidad Total]]*11.5%))/Tabla4[[#This Row],[Total]]</f>
        <v>#N/A</v>
      </c>
      <c r="V5253" s="282" t="e">
        <f>+Tabla4[[#This Row],[Comisión Calculada]]*Tabla4[[#This Row],[Total]]</f>
        <v>#N/A</v>
      </c>
    </row>
    <row r="5254" spans="1:22" hidden="1" x14ac:dyDescent="0.25">
      <c r="A5254" s="100">
        <v>45884</v>
      </c>
      <c r="B5254" t="str">
        <f t="shared" si="256"/>
        <v>August</v>
      </c>
      <c r="C5254" s="46" t="s">
        <v>280</v>
      </c>
      <c r="F5254" s="366" t="s">
        <v>2737</v>
      </c>
      <c r="G5254" s="46" t="s">
        <v>17</v>
      </c>
      <c r="H5254" s="46">
        <v>2</v>
      </c>
      <c r="I5254" s="51">
        <v>4622.28</v>
      </c>
      <c r="J5254" s="281">
        <f>++Tabla4[[#This Row],[Precio Bruto]]*1.16</f>
        <v>5361.8447999999989</v>
      </c>
      <c r="K5254" s="281">
        <f>+Tabla4[[#This Row],[Precio Unitario Neto]]*Tabla4[[#Headers],[20.85%]]</f>
        <v>1117.9446407999997</v>
      </c>
      <c r="L5254" s="282">
        <f>++Tabla4[[#This Row],[Precio Unitario Neto]]-Tabla4[[#This Row],[20.85%]]</f>
        <v>4243.9001591999995</v>
      </c>
      <c r="M5254" s="282" t="e">
        <f>(INDEX(Tabla6[#All],MATCH(Tabla4[[#This Row],[Producto]],Tabla6[[#All],[PRODUCTO]],0),MATCH(Tabla4[[#This Row],[Mes]],Tabla6[#Headers],0)))*(1+Catalogos!$L$2)</f>
        <v>#N/A</v>
      </c>
      <c r="N5254" s="283" t="e">
        <f>+(Tabla4[[#This Row],[Precio Descontado]]-Tabla4[[#This Row],[Precio Base]])*Tabla4[[#This Row],[Cantidad]]</f>
        <v>#N/A</v>
      </c>
      <c r="O5254" s="284" t="e">
        <f>++Tabla4[[#This Row],[Utilidad Total]]/Tabla4[[#This Row],[Total]]</f>
        <v>#N/A</v>
      </c>
      <c r="P5254" s="282">
        <f>++Tabla4[[#This Row],[Precio Descontado]]*Tabla4[[#This Row],[Cantidad]]</f>
        <v>8487.800318399999</v>
      </c>
      <c r="Q5254" s="282" t="e">
        <f>(INDEX(Tabla6[#All],MATCH(Tabla4[[#This Row],[Producto]],Tabla6[[#All],[PRODUCTO]],0),MATCH(Tabla4[[#This Row],[Mes]],Tabla6[#Headers],0)))</f>
        <v>#N/A</v>
      </c>
      <c r="R5254" s="282" t="e">
        <f>++Tabla4[[#This Row],[Precio Unitario Neto]]-Tabla4[[#This Row],[20.85%]]-Tabla4[[#This Row],[Costo]]</f>
        <v>#N/A</v>
      </c>
      <c r="S5254" s="282" t="e">
        <f>++Tabla4[[#This Row],[U. Bruta Uni]]*Tabla4[[#This Row],[Cantidad]]</f>
        <v>#N/A</v>
      </c>
      <c r="T5254" s="369" t="str">
        <f>VLOOKUP(Tabla4[[#This Row],[Producto]],Tabla6[#All],14,FALSE)</f>
        <v>Termico Solar</v>
      </c>
      <c r="U5254" s="284" t="e">
        <f>(IF(Tabla4[[#This Row],[Familia]]="termico solar",Tabla4[[#This Row],[Utilidad Total]]*6%,Tabla4[[#This Row],[Utilidad Total]]*11.5%))/Tabla4[[#This Row],[Total]]</f>
        <v>#N/A</v>
      </c>
      <c r="V5254" s="282" t="e">
        <f>+Tabla4[[#This Row],[Comisión Calculada]]*Tabla4[[#This Row],[Total]]</f>
        <v>#N/A</v>
      </c>
    </row>
    <row r="5255" spans="1:22" hidden="1" x14ac:dyDescent="0.25">
      <c r="A5255" s="100">
        <v>45884</v>
      </c>
      <c r="B5255" t="str">
        <f t="shared" si="256"/>
        <v>August</v>
      </c>
      <c r="C5255" s="46" t="s">
        <v>280</v>
      </c>
      <c r="F5255" s="366" t="s">
        <v>2737</v>
      </c>
      <c r="G5255" s="46" t="s">
        <v>18</v>
      </c>
      <c r="H5255" s="46">
        <v>3</v>
      </c>
      <c r="I5255" s="51">
        <v>5367.6500000000005</v>
      </c>
      <c r="J5255" s="281">
        <f>++Tabla4[[#This Row],[Precio Bruto]]*1.16</f>
        <v>6226.4740000000002</v>
      </c>
      <c r="K5255" s="281">
        <f>+Tabla4[[#This Row],[Precio Unitario Neto]]*Tabla4[[#Headers],[20.85%]]</f>
        <v>1298.2198289999999</v>
      </c>
      <c r="L5255" s="282">
        <f>++Tabla4[[#This Row],[Precio Unitario Neto]]-Tabla4[[#This Row],[20.85%]]</f>
        <v>4928.2541710000005</v>
      </c>
      <c r="M5255" s="282" t="e">
        <f>(INDEX(Tabla6[#All],MATCH(Tabla4[[#This Row],[Producto]],Tabla6[[#All],[PRODUCTO]],0),MATCH(Tabla4[[#This Row],[Mes]],Tabla6[#Headers],0)))*(1+Catalogos!$L$2)</f>
        <v>#N/A</v>
      </c>
      <c r="N5255" s="283" t="e">
        <f>+(Tabla4[[#This Row],[Precio Descontado]]-Tabla4[[#This Row],[Precio Base]])*Tabla4[[#This Row],[Cantidad]]</f>
        <v>#N/A</v>
      </c>
      <c r="O5255" s="284" t="e">
        <f>++Tabla4[[#This Row],[Utilidad Total]]/Tabla4[[#This Row],[Total]]</f>
        <v>#N/A</v>
      </c>
      <c r="P5255" s="282">
        <f>++Tabla4[[#This Row],[Precio Descontado]]*Tabla4[[#This Row],[Cantidad]]</f>
        <v>14784.762513000001</v>
      </c>
      <c r="Q5255" s="282" t="e">
        <f>(INDEX(Tabla6[#All],MATCH(Tabla4[[#This Row],[Producto]],Tabla6[[#All],[PRODUCTO]],0),MATCH(Tabla4[[#This Row],[Mes]],Tabla6[#Headers],0)))</f>
        <v>#N/A</v>
      </c>
      <c r="R5255" s="282" t="e">
        <f>++Tabla4[[#This Row],[Precio Unitario Neto]]-Tabla4[[#This Row],[20.85%]]-Tabla4[[#This Row],[Costo]]</f>
        <v>#N/A</v>
      </c>
      <c r="S5255" s="282" t="e">
        <f>++Tabla4[[#This Row],[U. Bruta Uni]]*Tabla4[[#This Row],[Cantidad]]</f>
        <v>#N/A</v>
      </c>
      <c r="T5255" s="369" t="str">
        <f>VLOOKUP(Tabla4[[#This Row],[Producto]],Tabla6[#All],14,FALSE)</f>
        <v>Termico Solar</v>
      </c>
      <c r="U5255" s="284" t="e">
        <f>(IF(Tabla4[[#This Row],[Familia]]="termico solar",Tabla4[[#This Row],[Utilidad Total]]*6%,Tabla4[[#This Row],[Utilidad Total]]*11.5%))/Tabla4[[#This Row],[Total]]</f>
        <v>#N/A</v>
      </c>
      <c r="V5255" s="282" t="e">
        <f>+Tabla4[[#This Row],[Comisión Calculada]]*Tabla4[[#This Row],[Total]]</f>
        <v>#N/A</v>
      </c>
    </row>
    <row r="5256" spans="1:22" hidden="1" x14ac:dyDescent="0.25">
      <c r="A5256" s="100">
        <v>45884</v>
      </c>
      <c r="B5256" t="str">
        <f t="shared" si="256"/>
        <v>August</v>
      </c>
      <c r="C5256" s="46" t="s">
        <v>280</v>
      </c>
      <c r="F5256" s="366" t="s">
        <v>2738</v>
      </c>
      <c r="G5256" s="46" t="s">
        <v>83</v>
      </c>
      <c r="H5256" s="46">
        <v>7</v>
      </c>
      <c r="I5256" s="51">
        <v>8858.76</v>
      </c>
      <c r="J5256" s="281">
        <f>++Tabla4[[#This Row],[Precio Bruto]]*1.16</f>
        <v>10276.161599999999</v>
      </c>
      <c r="K5256" s="281">
        <f>+Tabla4[[#This Row],[Precio Unitario Neto]]*Tabla4[[#Headers],[20.85%]]</f>
        <v>2142.5796935999997</v>
      </c>
      <c r="L5256" s="282">
        <f>++Tabla4[[#This Row],[Precio Unitario Neto]]-Tabla4[[#This Row],[20.85%]]</f>
        <v>8133.5819063999998</v>
      </c>
      <c r="M5256" s="282" t="e">
        <f>(INDEX(Tabla6[#All],MATCH(Tabla4[[#This Row],[Producto]],Tabla6[[#All],[PRODUCTO]],0),MATCH(Tabla4[[#This Row],[Mes]],Tabla6[#Headers],0)))*(1+Catalogos!$L$2)</f>
        <v>#N/A</v>
      </c>
      <c r="N5256" s="283" t="e">
        <f>+(Tabla4[[#This Row],[Precio Descontado]]-Tabla4[[#This Row],[Precio Base]])*Tabla4[[#This Row],[Cantidad]]</f>
        <v>#N/A</v>
      </c>
      <c r="O5256" s="284" t="e">
        <f>++Tabla4[[#This Row],[Utilidad Total]]/Tabla4[[#This Row],[Total]]</f>
        <v>#N/A</v>
      </c>
      <c r="P5256" s="282">
        <f>++Tabla4[[#This Row],[Precio Descontado]]*Tabla4[[#This Row],[Cantidad]]</f>
        <v>56935.073344799996</v>
      </c>
      <c r="Q5256" s="282" t="e">
        <f>(INDEX(Tabla6[#All],MATCH(Tabla4[[#This Row],[Producto]],Tabla6[[#All],[PRODUCTO]],0),MATCH(Tabla4[[#This Row],[Mes]],Tabla6[#Headers],0)))</f>
        <v>#N/A</v>
      </c>
      <c r="R5256" s="282" t="e">
        <f>++Tabla4[[#This Row],[Precio Unitario Neto]]-Tabla4[[#This Row],[20.85%]]-Tabla4[[#This Row],[Costo]]</f>
        <v>#N/A</v>
      </c>
      <c r="S5256" s="282" t="e">
        <f>++Tabla4[[#This Row],[U. Bruta Uni]]*Tabla4[[#This Row],[Cantidad]]</f>
        <v>#N/A</v>
      </c>
      <c r="T5256" s="369" t="str">
        <f>VLOOKUP(Tabla4[[#This Row],[Producto]],Tabla6[#All],14,FALSE)</f>
        <v>Termico Solar</v>
      </c>
      <c r="U5256" s="284" t="e">
        <f>(IF(Tabla4[[#This Row],[Familia]]="termico solar",Tabla4[[#This Row],[Utilidad Total]]*6%,Tabla4[[#This Row],[Utilidad Total]]*11.5%))/Tabla4[[#This Row],[Total]]</f>
        <v>#N/A</v>
      </c>
      <c r="V5256" s="282" t="e">
        <f>+Tabla4[[#This Row],[Comisión Calculada]]*Tabla4[[#This Row],[Total]]</f>
        <v>#N/A</v>
      </c>
    </row>
    <row r="5257" spans="1:22" hidden="1" x14ac:dyDescent="0.25">
      <c r="A5257" s="100">
        <v>45884</v>
      </c>
      <c r="B5257" t="str">
        <f t="shared" si="256"/>
        <v>August</v>
      </c>
      <c r="C5257" s="46" t="s">
        <v>280</v>
      </c>
      <c r="F5257" s="366" t="s">
        <v>2738</v>
      </c>
      <c r="G5257" s="46" t="s">
        <v>18</v>
      </c>
      <c r="H5257" s="46">
        <v>1</v>
      </c>
      <c r="I5257" s="51">
        <v>5367.65</v>
      </c>
      <c r="J5257" s="281">
        <f>++Tabla4[[#This Row],[Precio Bruto]]*1.16</f>
        <v>6226.4739999999993</v>
      </c>
      <c r="K5257" s="281">
        <f>+Tabla4[[#This Row],[Precio Unitario Neto]]*Tabla4[[#Headers],[20.85%]]</f>
        <v>1298.2198289999999</v>
      </c>
      <c r="L5257" s="282">
        <f>++Tabla4[[#This Row],[Precio Unitario Neto]]-Tabla4[[#This Row],[20.85%]]</f>
        <v>4928.2541709999996</v>
      </c>
      <c r="M5257" s="282" t="e">
        <f>(INDEX(Tabla6[#All],MATCH(Tabla4[[#This Row],[Producto]],Tabla6[[#All],[PRODUCTO]],0),MATCH(Tabla4[[#This Row],[Mes]],Tabla6[#Headers],0)))*(1+Catalogos!$L$2)</f>
        <v>#N/A</v>
      </c>
      <c r="N5257" s="283" t="e">
        <f>+(Tabla4[[#This Row],[Precio Descontado]]-Tabla4[[#This Row],[Precio Base]])*Tabla4[[#This Row],[Cantidad]]</f>
        <v>#N/A</v>
      </c>
      <c r="O5257" s="284" t="e">
        <f>++Tabla4[[#This Row],[Utilidad Total]]/Tabla4[[#This Row],[Total]]</f>
        <v>#N/A</v>
      </c>
      <c r="P5257" s="282">
        <f>++Tabla4[[#This Row],[Precio Descontado]]*Tabla4[[#This Row],[Cantidad]]</f>
        <v>4928.2541709999996</v>
      </c>
      <c r="Q5257" s="282" t="e">
        <f>(INDEX(Tabla6[#All],MATCH(Tabla4[[#This Row],[Producto]],Tabla6[[#All],[PRODUCTO]],0),MATCH(Tabla4[[#This Row],[Mes]],Tabla6[#Headers],0)))</f>
        <v>#N/A</v>
      </c>
      <c r="R5257" s="282" t="e">
        <f>++Tabla4[[#This Row],[Precio Unitario Neto]]-Tabla4[[#This Row],[20.85%]]-Tabla4[[#This Row],[Costo]]</f>
        <v>#N/A</v>
      </c>
      <c r="S5257" s="282" t="e">
        <f>++Tabla4[[#This Row],[U. Bruta Uni]]*Tabla4[[#This Row],[Cantidad]]</f>
        <v>#N/A</v>
      </c>
      <c r="T5257" s="369" t="str">
        <f>VLOOKUP(Tabla4[[#This Row],[Producto]],Tabla6[#All],14,FALSE)</f>
        <v>Termico Solar</v>
      </c>
      <c r="U5257" s="284" t="e">
        <f>(IF(Tabla4[[#This Row],[Familia]]="termico solar",Tabla4[[#This Row],[Utilidad Total]]*6%,Tabla4[[#This Row],[Utilidad Total]]*11.5%))/Tabla4[[#This Row],[Total]]</f>
        <v>#N/A</v>
      </c>
      <c r="V5257" s="282" t="e">
        <f>+Tabla4[[#This Row],[Comisión Calculada]]*Tabla4[[#This Row],[Total]]</f>
        <v>#N/A</v>
      </c>
    </row>
    <row r="5258" spans="1:22" hidden="1" x14ac:dyDescent="0.25">
      <c r="A5258" s="100">
        <v>45884</v>
      </c>
      <c r="B5258" t="str">
        <f t="shared" si="256"/>
        <v>August</v>
      </c>
      <c r="C5258" s="46" t="s">
        <v>280</v>
      </c>
      <c r="F5258" s="366" t="s">
        <v>2738</v>
      </c>
      <c r="G5258" s="46" t="s">
        <v>16</v>
      </c>
      <c r="H5258" s="46">
        <v>1</v>
      </c>
      <c r="I5258" s="51">
        <v>4103.8500000000004</v>
      </c>
      <c r="J5258" s="281">
        <f>++Tabla4[[#This Row],[Precio Bruto]]*1.16</f>
        <v>4760.4660000000003</v>
      </c>
      <c r="K5258" s="281">
        <f>+Tabla4[[#This Row],[Precio Unitario Neto]]*Tabla4[[#Headers],[20.85%]]</f>
        <v>992.55716100000006</v>
      </c>
      <c r="L5258" s="282">
        <f>++Tabla4[[#This Row],[Precio Unitario Neto]]-Tabla4[[#This Row],[20.85%]]</f>
        <v>3767.9088390000002</v>
      </c>
      <c r="M5258" s="282" t="e">
        <f>(INDEX(Tabla6[#All],MATCH(Tabla4[[#This Row],[Producto]],Tabla6[[#All],[PRODUCTO]],0),MATCH(Tabla4[[#This Row],[Mes]],Tabla6[#Headers],0)))*(1+Catalogos!$L$2)</f>
        <v>#N/A</v>
      </c>
      <c r="N5258" s="283" t="e">
        <f>+(Tabla4[[#This Row],[Precio Descontado]]-Tabla4[[#This Row],[Precio Base]])*Tabla4[[#This Row],[Cantidad]]</f>
        <v>#N/A</v>
      </c>
      <c r="O5258" s="284" t="e">
        <f>++Tabla4[[#This Row],[Utilidad Total]]/Tabla4[[#This Row],[Total]]</f>
        <v>#N/A</v>
      </c>
      <c r="P5258" s="282">
        <f>++Tabla4[[#This Row],[Precio Descontado]]*Tabla4[[#This Row],[Cantidad]]</f>
        <v>3767.9088390000002</v>
      </c>
      <c r="Q5258" s="282" t="e">
        <f>(INDEX(Tabla6[#All],MATCH(Tabla4[[#This Row],[Producto]],Tabla6[[#All],[PRODUCTO]],0),MATCH(Tabla4[[#This Row],[Mes]],Tabla6[#Headers],0)))</f>
        <v>#N/A</v>
      </c>
      <c r="R5258" s="282" t="e">
        <f>++Tabla4[[#This Row],[Precio Unitario Neto]]-Tabla4[[#This Row],[20.85%]]-Tabla4[[#This Row],[Costo]]</f>
        <v>#N/A</v>
      </c>
      <c r="S5258" s="282" t="e">
        <f>++Tabla4[[#This Row],[U. Bruta Uni]]*Tabla4[[#This Row],[Cantidad]]</f>
        <v>#N/A</v>
      </c>
      <c r="T5258" s="369" t="str">
        <f>VLOOKUP(Tabla4[[#This Row],[Producto]],Tabla6[#All],14,FALSE)</f>
        <v>Termico Solar</v>
      </c>
      <c r="U5258" s="284" t="e">
        <f>(IF(Tabla4[[#This Row],[Familia]]="termico solar",Tabla4[[#This Row],[Utilidad Total]]*6%,Tabla4[[#This Row],[Utilidad Total]]*11.5%))/Tabla4[[#This Row],[Total]]</f>
        <v>#N/A</v>
      </c>
      <c r="V5258" s="282" t="e">
        <f>+Tabla4[[#This Row],[Comisión Calculada]]*Tabla4[[#This Row],[Total]]</f>
        <v>#N/A</v>
      </c>
    </row>
    <row r="5259" spans="1:22" hidden="1" x14ac:dyDescent="0.25">
      <c r="A5259" s="100">
        <v>45884</v>
      </c>
      <c r="B5259" t="str">
        <f t="shared" si="256"/>
        <v>August</v>
      </c>
      <c r="C5259" s="46" t="s">
        <v>280</v>
      </c>
      <c r="F5259" s="366" t="s">
        <v>2739</v>
      </c>
      <c r="G5259" s="46" t="s">
        <v>83</v>
      </c>
      <c r="H5259" s="46">
        <v>5</v>
      </c>
      <c r="I5259" s="51">
        <v>8858.76</v>
      </c>
      <c r="J5259" s="281">
        <f>++Tabla4[[#This Row],[Precio Bruto]]*1.16</f>
        <v>10276.161599999999</v>
      </c>
      <c r="K5259" s="281">
        <f>+Tabla4[[#This Row],[Precio Unitario Neto]]*Tabla4[[#Headers],[20.85%]]</f>
        <v>2142.5796935999997</v>
      </c>
      <c r="L5259" s="282">
        <f>++Tabla4[[#This Row],[Precio Unitario Neto]]-Tabla4[[#This Row],[20.85%]]</f>
        <v>8133.5819063999998</v>
      </c>
      <c r="M5259" s="282" t="e">
        <f>(INDEX(Tabla6[#All],MATCH(Tabla4[[#This Row],[Producto]],Tabla6[[#All],[PRODUCTO]],0),MATCH(Tabla4[[#This Row],[Mes]],Tabla6[#Headers],0)))*(1+Catalogos!$L$2)</f>
        <v>#N/A</v>
      </c>
      <c r="N5259" s="283" t="e">
        <f>+(Tabla4[[#This Row],[Precio Descontado]]-Tabla4[[#This Row],[Precio Base]])*Tabla4[[#This Row],[Cantidad]]</f>
        <v>#N/A</v>
      </c>
      <c r="O5259" s="284" t="e">
        <f>++Tabla4[[#This Row],[Utilidad Total]]/Tabla4[[#This Row],[Total]]</f>
        <v>#N/A</v>
      </c>
      <c r="P5259" s="282">
        <f>++Tabla4[[#This Row],[Precio Descontado]]*Tabla4[[#This Row],[Cantidad]]</f>
        <v>40667.909531999998</v>
      </c>
      <c r="Q5259" s="282" t="e">
        <f>(INDEX(Tabla6[#All],MATCH(Tabla4[[#This Row],[Producto]],Tabla6[[#All],[PRODUCTO]],0),MATCH(Tabla4[[#This Row],[Mes]],Tabla6[#Headers],0)))</f>
        <v>#N/A</v>
      </c>
      <c r="R5259" s="282" t="e">
        <f>++Tabla4[[#This Row],[Precio Unitario Neto]]-Tabla4[[#This Row],[20.85%]]-Tabla4[[#This Row],[Costo]]</f>
        <v>#N/A</v>
      </c>
      <c r="S5259" s="282" t="e">
        <f>++Tabla4[[#This Row],[U. Bruta Uni]]*Tabla4[[#This Row],[Cantidad]]</f>
        <v>#N/A</v>
      </c>
      <c r="T5259" s="369" t="str">
        <f>VLOOKUP(Tabla4[[#This Row],[Producto]],Tabla6[#All],14,FALSE)</f>
        <v>Termico Solar</v>
      </c>
      <c r="U5259" s="284" t="e">
        <f>(IF(Tabla4[[#This Row],[Familia]]="termico solar",Tabla4[[#This Row],[Utilidad Total]]*6%,Tabla4[[#This Row],[Utilidad Total]]*11.5%))/Tabla4[[#This Row],[Total]]</f>
        <v>#N/A</v>
      </c>
      <c r="V5259" s="282" t="e">
        <f>+Tabla4[[#This Row],[Comisión Calculada]]*Tabla4[[#This Row],[Total]]</f>
        <v>#N/A</v>
      </c>
    </row>
    <row r="5260" spans="1:22" hidden="1" x14ac:dyDescent="0.25">
      <c r="A5260" s="100">
        <v>45884</v>
      </c>
      <c r="B5260" t="str">
        <f t="shared" si="256"/>
        <v>August</v>
      </c>
      <c r="C5260" s="46" t="s">
        <v>280</v>
      </c>
      <c r="F5260" s="366" t="s">
        <v>2739</v>
      </c>
      <c r="G5260" s="46" t="s">
        <v>17</v>
      </c>
      <c r="H5260" s="46">
        <v>4</v>
      </c>
      <c r="I5260" s="51">
        <v>4622.28</v>
      </c>
      <c r="J5260" s="281">
        <f>++Tabla4[[#This Row],[Precio Bruto]]*1.16</f>
        <v>5361.8447999999989</v>
      </c>
      <c r="K5260" s="281">
        <f>+Tabla4[[#This Row],[Precio Unitario Neto]]*Tabla4[[#Headers],[20.85%]]</f>
        <v>1117.9446407999997</v>
      </c>
      <c r="L5260" s="282">
        <f>++Tabla4[[#This Row],[Precio Unitario Neto]]-Tabla4[[#This Row],[20.85%]]</f>
        <v>4243.9001591999995</v>
      </c>
      <c r="M5260" s="282" t="e">
        <f>(INDEX(Tabla6[#All],MATCH(Tabla4[[#This Row],[Producto]],Tabla6[[#All],[PRODUCTO]],0),MATCH(Tabla4[[#This Row],[Mes]],Tabla6[#Headers],0)))*(1+Catalogos!$L$2)</f>
        <v>#N/A</v>
      </c>
      <c r="N5260" s="283" t="e">
        <f>+(Tabla4[[#This Row],[Precio Descontado]]-Tabla4[[#This Row],[Precio Base]])*Tabla4[[#This Row],[Cantidad]]</f>
        <v>#N/A</v>
      </c>
      <c r="O5260" s="284" t="e">
        <f>++Tabla4[[#This Row],[Utilidad Total]]/Tabla4[[#This Row],[Total]]</f>
        <v>#N/A</v>
      </c>
      <c r="P5260" s="282">
        <f>++Tabla4[[#This Row],[Precio Descontado]]*Tabla4[[#This Row],[Cantidad]]</f>
        <v>16975.600636799998</v>
      </c>
      <c r="Q5260" s="282" t="e">
        <f>(INDEX(Tabla6[#All],MATCH(Tabla4[[#This Row],[Producto]],Tabla6[[#All],[PRODUCTO]],0),MATCH(Tabla4[[#This Row],[Mes]],Tabla6[#Headers],0)))</f>
        <v>#N/A</v>
      </c>
      <c r="R5260" s="282" t="e">
        <f>++Tabla4[[#This Row],[Precio Unitario Neto]]-Tabla4[[#This Row],[20.85%]]-Tabla4[[#This Row],[Costo]]</f>
        <v>#N/A</v>
      </c>
      <c r="S5260" s="282" t="e">
        <f>++Tabla4[[#This Row],[U. Bruta Uni]]*Tabla4[[#This Row],[Cantidad]]</f>
        <v>#N/A</v>
      </c>
      <c r="T5260" s="369" t="str">
        <f>VLOOKUP(Tabla4[[#This Row],[Producto]],Tabla6[#All],14,FALSE)</f>
        <v>Termico Solar</v>
      </c>
      <c r="U5260" s="284" t="e">
        <f>(IF(Tabla4[[#This Row],[Familia]]="termico solar",Tabla4[[#This Row],[Utilidad Total]]*6%,Tabla4[[#This Row],[Utilidad Total]]*11.5%))/Tabla4[[#This Row],[Total]]</f>
        <v>#N/A</v>
      </c>
      <c r="V5260" s="282" t="e">
        <f>+Tabla4[[#This Row],[Comisión Calculada]]*Tabla4[[#This Row],[Total]]</f>
        <v>#N/A</v>
      </c>
    </row>
    <row r="5261" spans="1:22" hidden="1" x14ac:dyDescent="0.25">
      <c r="A5261" s="100">
        <v>45884</v>
      </c>
      <c r="B5261" t="str">
        <f t="shared" si="256"/>
        <v>August</v>
      </c>
      <c r="C5261" s="46" t="s">
        <v>280</v>
      </c>
      <c r="F5261" s="366" t="s">
        <v>2739</v>
      </c>
      <c r="G5261" s="46" t="s">
        <v>18</v>
      </c>
      <c r="H5261" s="46">
        <v>2</v>
      </c>
      <c r="I5261" s="51">
        <v>5367.65</v>
      </c>
      <c r="J5261" s="281">
        <f>++Tabla4[[#This Row],[Precio Bruto]]*1.16</f>
        <v>6226.4739999999993</v>
      </c>
      <c r="K5261" s="281">
        <f>+Tabla4[[#This Row],[Precio Unitario Neto]]*Tabla4[[#Headers],[20.85%]]</f>
        <v>1298.2198289999999</v>
      </c>
      <c r="L5261" s="282">
        <f>++Tabla4[[#This Row],[Precio Unitario Neto]]-Tabla4[[#This Row],[20.85%]]</f>
        <v>4928.2541709999996</v>
      </c>
      <c r="M5261" s="282" t="e">
        <f>(INDEX(Tabla6[#All],MATCH(Tabla4[[#This Row],[Producto]],Tabla6[[#All],[PRODUCTO]],0),MATCH(Tabla4[[#This Row],[Mes]],Tabla6[#Headers],0)))*(1+Catalogos!$L$2)</f>
        <v>#N/A</v>
      </c>
      <c r="N5261" s="283" t="e">
        <f>+(Tabla4[[#This Row],[Precio Descontado]]-Tabla4[[#This Row],[Precio Base]])*Tabla4[[#This Row],[Cantidad]]</f>
        <v>#N/A</v>
      </c>
      <c r="O5261" s="284" t="e">
        <f>++Tabla4[[#This Row],[Utilidad Total]]/Tabla4[[#This Row],[Total]]</f>
        <v>#N/A</v>
      </c>
      <c r="P5261" s="282">
        <f>++Tabla4[[#This Row],[Precio Descontado]]*Tabla4[[#This Row],[Cantidad]]</f>
        <v>9856.5083419999992</v>
      </c>
      <c r="Q5261" s="282" t="e">
        <f>(INDEX(Tabla6[#All],MATCH(Tabla4[[#This Row],[Producto]],Tabla6[[#All],[PRODUCTO]],0),MATCH(Tabla4[[#This Row],[Mes]],Tabla6[#Headers],0)))</f>
        <v>#N/A</v>
      </c>
      <c r="R5261" s="282" t="e">
        <f>++Tabla4[[#This Row],[Precio Unitario Neto]]-Tabla4[[#This Row],[20.85%]]-Tabla4[[#This Row],[Costo]]</f>
        <v>#N/A</v>
      </c>
      <c r="S5261" s="282" t="e">
        <f>++Tabla4[[#This Row],[U. Bruta Uni]]*Tabla4[[#This Row],[Cantidad]]</f>
        <v>#N/A</v>
      </c>
      <c r="T5261" s="369" t="str">
        <f>VLOOKUP(Tabla4[[#This Row],[Producto]],Tabla6[#All],14,FALSE)</f>
        <v>Termico Solar</v>
      </c>
      <c r="U5261" s="284" t="e">
        <f>(IF(Tabla4[[#This Row],[Familia]]="termico solar",Tabla4[[#This Row],[Utilidad Total]]*6%,Tabla4[[#This Row],[Utilidad Total]]*11.5%))/Tabla4[[#This Row],[Total]]</f>
        <v>#N/A</v>
      </c>
      <c r="V5261" s="282" t="e">
        <f>+Tabla4[[#This Row],[Comisión Calculada]]*Tabla4[[#This Row],[Total]]</f>
        <v>#N/A</v>
      </c>
    </row>
    <row r="5262" spans="1:22" hidden="1" x14ac:dyDescent="0.25">
      <c r="A5262" s="100">
        <v>45884</v>
      </c>
      <c r="B5262" t="str">
        <f t="shared" si="256"/>
        <v>August</v>
      </c>
      <c r="C5262" s="46" t="s">
        <v>280</v>
      </c>
      <c r="F5262" s="366" t="s">
        <v>2739</v>
      </c>
      <c r="G5262" s="46" t="s">
        <v>16</v>
      </c>
      <c r="H5262" s="46">
        <v>1</v>
      </c>
      <c r="I5262" s="51">
        <v>4103.8500000000004</v>
      </c>
      <c r="J5262" s="281">
        <f>++Tabla4[[#This Row],[Precio Bruto]]*1.16</f>
        <v>4760.4660000000003</v>
      </c>
      <c r="K5262" s="281">
        <f>+Tabla4[[#This Row],[Precio Unitario Neto]]*Tabla4[[#Headers],[20.85%]]</f>
        <v>992.55716100000006</v>
      </c>
      <c r="L5262" s="282">
        <f>++Tabla4[[#This Row],[Precio Unitario Neto]]-Tabla4[[#This Row],[20.85%]]</f>
        <v>3767.9088390000002</v>
      </c>
      <c r="M5262" s="282" t="e">
        <f>(INDEX(Tabla6[#All],MATCH(Tabla4[[#This Row],[Producto]],Tabla6[[#All],[PRODUCTO]],0),MATCH(Tabla4[[#This Row],[Mes]],Tabla6[#Headers],0)))*(1+Catalogos!$L$2)</f>
        <v>#N/A</v>
      </c>
      <c r="N5262" s="283" t="e">
        <f>+(Tabla4[[#This Row],[Precio Descontado]]-Tabla4[[#This Row],[Precio Base]])*Tabla4[[#This Row],[Cantidad]]</f>
        <v>#N/A</v>
      </c>
      <c r="O5262" s="284" t="e">
        <f>++Tabla4[[#This Row],[Utilidad Total]]/Tabla4[[#This Row],[Total]]</f>
        <v>#N/A</v>
      </c>
      <c r="P5262" s="282">
        <f>++Tabla4[[#This Row],[Precio Descontado]]*Tabla4[[#This Row],[Cantidad]]</f>
        <v>3767.9088390000002</v>
      </c>
      <c r="Q5262" s="282" t="e">
        <f>(INDEX(Tabla6[#All],MATCH(Tabla4[[#This Row],[Producto]],Tabla6[[#All],[PRODUCTO]],0),MATCH(Tabla4[[#This Row],[Mes]],Tabla6[#Headers],0)))</f>
        <v>#N/A</v>
      </c>
      <c r="R5262" s="282" t="e">
        <f>++Tabla4[[#This Row],[Precio Unitario Neto]]-Tabla4[[#This Row],[20.85%]]-Tabla4[[#This Row],[Costo]]</f>
        <v>#N/A</v>
      </c>
      <c r="S5262" s="282" t="e">
        <f>++Tabla4[[#This Row],[U. Bruta Uni]]*Tabla4[[#This Row],[Cantidad]]</f>
        <v>#N/A</v>
      </c>
      <c r="T5262" s="369" t="str">
        <f>VLOOKUP(Tabla4[[#This Row],[Producto]],Tabla6[#All],14,FALSE)</f>
        <v>Termico Solar</v>
      </c>
      <c r="U5262" s="284" t="e">
        <f>(IF(Tabla4[[#This Row],[Familia]]="termico solar",Tabla4[[#This Row],[Utilidad Total]]*6%,Tabla4[[#This Row],[Utilidad Total]]*11.5%))/Tabla4[[#This Row],[Total]]</f>
        <v>#N/A</v>
      </c>
      <c r="V5262" s="282" t="e">
        <f>+Tabla4[[#This Row],[Comisión Calculada]]*Tabla4[[#This Row],[Total]]</f>
        <v>#N/A</v>
      </c>
    </row>
    <row r="5263" spans="1:22" hidden="1" x14ac:dyDescent="0.25">
      <c r="A5263" s="100">
        <v>45884</v>
      </c>
      <c r="B5263" t="str">
        <f t="shared" si="256"/>
        <v>August</v>
      </c>
      <c r="C5263" s="46" t="s">
        <v>280</v>
      </c>
      <c r="F5263" s="366" t="s">
        <v>2740</v>
      </c>
      <c r="G5263" s="46" t="s">
        <v>83</v>
      </c>
      <c r="H5263" s="46">
        <v>2</v>
      </c>
      <c r="I5263" s="51">
        <v>8858.76</v>
      </c>
      <c r="J5263" s="281">
        <f>++Tabla4[[#This Row],[Precio Bruto]]*1.16</f>
        <v>10276.161599999999</v>
      </c>
      <c r="K5263" s="281">
        <f>+Tabla4[[#This Row],[Precio Unitario Neto]]*Tabla4[[#Headers],[20.85%]]</f>
        <v>2142.5796935999997</v>
      </c>
      <c r="L5263" s="282">
        <f>++Tabla4[[#This Row],[Precio Unitario Neto]]-Tabla4[[#This Row],[20.85%]]</f>
        <v>8133.5819063999998</v>
      </c>
      <c r="M5263" s="282" t="e">
        <f>(INDEX(Tabla6[#All],MATCH(Tabla4[[#This Row],[Producto]],Tabla6[[#All],[PRODUCTO]],0),MATCH(Tabla4[[#This Row],[Mes]],Tabla6[#Headers],0)))*(1+Catalogos!$L$2)</f>
        <v>#N/A</v>
      </c>
      <c r="N5263" s="283" t="e">
        <f>+(Tabla4[[#This Row],[Precio Descontado]]-Tabla4[[#This Row],[Precio Base]])*Tabla4[[#This Row],[Cantidad]]</f>
        <v>#N/A</v>
      </c>
      <c r="O5263" s="284" t="e">
        <f>++Tabla4[[#This Row],[Utilidad Total]]/Tabla4[[#This Row],[Total]]</f>
        <v>#N/A</v>
      </c>
      <c r="P5263" s="282">
        <f>++Tabla4[[#This Row],[Precio Descontado]]*Tabla4[[#This Row],[Cantidad]]</f>
        <v>16267.1638128</v>
      </c>
      <c r="Q5263" s="282" t="e">
        <f>(INDEX(Tabla6[#All],MATCH(Tabla4[[#This Row],[Producto]],Tabla6[[#All],[PRODUCTO]],0),MATCH(Tabla4[[#This Row],[Mes]],Tabla6[#Headers],0)))</f>
        <v>#N/A</v>
      </c>
      <c r="R5263" s="282" t="e">
        <f>++Tabla4[[#This Row],[Precio Unitario Neto]]-Tabla4[[#This Row],[20.85%]]-Tabla4[[#This Row],[Costo]]</f>
        <v>#N/A</v>
      </c>
      <c r="S5263" s="282" t="e">
        <f>++Tabla4[[#This Row],[U. Bruta Uni]]*Tabla4[[#This Row],[Cantidad]]</f>
        <v>#N/A</v>
      </c>
      <c r="T5263" s="369" t="str">
        <f>VLOOKUP(Tabla4[[#This Row],[Producto]],Tabla6[#All],14,FALSE)</f>
        <v>Termico Solar</v>
      </c>
      <c r="U5263" s="284" t="e">
        <f>(IF(Tabla4[[#This Row],[Familia]]="termico solar",Tabla4[[#This Row],[Utilidad Total]]*6%,Tabla4[[#This Row],[Utilidad Total]]*11.5%))/Tabla4[[#This Row],[Total]]</f>
        <v>#N/A</v>
      </c>
      <c r="V5263" s="282" t="e">
        <f>+Tabla4[[#This Row],[Comisión Calculada]]*Tabla4[[#This Row],[Total]]</f>
        <v>#N/A</v>
      </c>
    </row>
    <row r="5264" spans="1:22" hidden="1" x14ac:dyDescent="0.25">
      <c r="A5264" s="100">
        <v>45884</v>
      </c>
      <c r="B5264" t="str">
        <f t="shared" si="256"/>
        <v>August</v>
      </c>
      <c r="C5264" s="46" t="s">
        <v>280</v>
      </c>
      <c r="F5264" s="366" t="s">
        <v>2740</v>
      </c>
      <c r="G5264" s="46" t="s">
        <v>17</v>
      </c>
      <c r="H5264" s="46">
        <v>1</v>
      </c>
      <c r="I5264" s="51">
        <v>4622.28</v>
      </c>
      <c r="J5264" s="281">
        <f>++Tabla4[[#This Row],[Precio Bruto]]*1.16</f>
        <v>5361.8447999999989</v>
      </c>
      <c r="K5264" s="281">
        <f>+Tabla4[[#This Row],[Precio Unitario Neto]]*Tabla4[[#Headers],[20.85%]]</f>
        <v>1117.9446407999997</v>
      </c>
      <c r="L5264" s="282">
        <f>++Tabla4[[#This Row],[Precio Unitario Neto]]-Tabla4[[#This Row],[20.85%]]</f>
        <v>4243.9001591999995</v>
      </c>
      <c r="M5264" s="282" t="e">
        <f>(INDEX(Tabla6[#All],MATCH(Tabla4[[#This Row],[Producto]],Tabla6[[#All],[PRODUCTO]],0),MATCH(Tabla4[[#This Row],[Mes]],Tabla6[#Headers],0)))*(1+Catalogos!$L$2)</f>
        <v>#N/A</v>
      </c>
      <c r="N5264" s="283" t="e">
        <f>+(Tabla4[[#This Row],[Precio Descontado]]-Tabla4[[#This Row],[Precio Base]])*Tabla4[[#This Row],[Cantidad]]</f>
        <v>#N/A</v>
      </c>
      <c r="O5264" s="284" t="e">
        <f>++Tabla4[[#This Row],[Utilidad Total]]/Tabla4[[#This Row],[Total]]</f>
        <v>#N/A</v>
      </c>
      <c r="P5264" s="282">
        <f>++Tabla4[[#This Row],[Precio Descontado]]*Tabla4[[#This Row],[Cantidad]]</f>
        <v>4243.9001591999995</v>
      </c>
      <c r="Q5264" s="282" t="e">
        <f>(INDEX(Tabla6[#All],MATCH(Tabla4[[#This Row],[Producto]],Tabla6[[#All],[PRODUCTO]],0),MATCH(Tabla4[[#This Row],[Mes]],Tabla6[#Headers],0)))</f>
        <v>#N/A</v>
      </c>
      <c r="R5264" s="282" t="e">
        <f>++Tabla4[[#This Row],[Precio Unitario Neto]]-Tabla4[[#This Row],[20.85%]]-Tabla4[[#This Row],[Costo]]</f>
        <v>#N/A</v>
      </c>
      <c r="S5264" s="282" t="e">
        <f>++Tabla4[[#This Row],[U. Bruta Uni]]*Tabla4[[#This Row],[Cantidad]]</f>
        <v>#N/A</v>
      </c>
      <c r="T5264" s="369" t="str">
        <f>VLOOKUP(Tabla4[[#This Row],[Producto]],Tabla6[#All],14,FALSE)</f>
        <v>Termico Solar</v>
      </c>
      <c r="U5264" s="284" t="e">
        <f>(IF(Tabla4[[#This Row],[Familia]]="termico solar",Tabla4[[#This Row],[Utilidad Total]]*6%,Tabla4[[#This Row],[Utilidad Total]]*11.5%))/Tabla4[[#This Row],[Total]]</f>
        <v>#N/A</v>
      </c>
      <c r="V5264" s="282" t="e">
        <f>+Tabla4[[#This Row],[Comisión Calculada]]*Tabla4[[#This Row],[Total]]</f>
        <v>#N/A</v>
      </c>
    </row>
    <row r="5265" spans="1:22" hidden="1" x14ac:dyDescent="0.25">
      <c r="A5265" s="100">
        <v>45884</v>
      </c>
      <c r="B5265" t="str">
        <f t="shared" si="256"/>
        <v>August</v>
      </c>
      <c r="C5265" s="46" t="s">
        <v>280</v>
      </c>
      <c r="F5265" s="366" t="s">
        <v>2740</v>
      </c>
      <c r="G5265" s="46" t="s">
        <v>18</v>
      </c>
      <c r="H5265" s="46">
        <v>1</v>
      </c>
      <c r="I5265" s="51">
        <v>5367.65</v>
      </c>
      <c r="J5265" s="281">
        <f>++Tabla4[[#This Row],[Precio Bruto]]*1.16</f>
        <v>6226.4739999999993</v>
      </c>
      <c r="K5265" s="281">
        <f>+Tabla4[[#This Row],[Precio Unitario Neto]]*Tabla4[[#Headers],[20.85%]]</f>
        <v>1298.2198289999999</v>
      </c>
      <c r="L5265" s="282">
        <f>++Tabla4[[#This Row],[Precio Unitario Neto]]-Tabla4[[#This Row],[20.85%]]</f>
        <v>4928.2541709999996</v>
      </c>
      <c r="M5265" s="282" t="e">
        <f>(INDEX(Tabla6[#All],MATCH(Tabla4[[#This Row],[Producto]],Tabla6[[#All],[PRODUCTO]],0),MATCH(Tabla4[[#This Row],[Mes]],Tabla6[#Headers],0)))*(1+Catalogos!$L$2)</f>
        <v>#N/A</v>
      </c>
      <c r="N5265" s="283" t="e">
        <f>+(Tabla4[[#This Row],[Precio Descontado]]-Tabla4[[#This Row],[Precio Base]])*Tabla4[[#This Row],[Cantidad]]</f>
        <v>#N/A</v>
      </c>
      <c r="O5265" s="284" t="e">
        <f>++Tabla4[[#This Row],[Utilidad Total]]/Tabla4[[#This Row],[Total]]</f>
        <v>#N/A</v>
      </c>
      <c r="P5265" s="282">
        <f>++Tabla4[[#This Row],[Precio Descontado]]*Tabla4[[#This Row],[Cantidad]]</f>
        <v>4928.2541709999996</v>
      </c>
      <c r="Q5265" s="282" t="e">
        <f>(INDEX(Tabla6[#All],MATCH(Tabla4[[#This Row],[Producto]],Tabla6[[#All],[PRODUCTO]],0),MATCH(Tabla4[[#This Row],[Mes]],Tabla6[#Headers],0)))</f>
        <v>#N/A</v>
      </c>
      <c r="R5265" s="282" t="e">
        <f>++Tabla4[[#This Row],[Precio Unitario Neto]]-Tabla4[[#This Row],[20.85%]]-Tabla4[[#This Row],[Costo]]</f>
        <v>#N/A</v>
      </c>
      <c r="S5265" s="282" t="e">
        <f>++Tabla4[[#This Row],[U. Bruta Uni]]*Tabla4[[#This Row],[Cantidad]]</f>
        <v>#N/A</v>
      </c>
      <c r="T5265" s="369" t="str">
        <f>VLOOKUP(Tabla4[[#This Row],[Producto]],Tabla6[#All],14,FALSE)</f>
        <v>Termico Solar</v>
      </c>
      <c r="U5265" s="284" t="e">
        <f>(IF(Tabla4[[#This Row],[Familia]]="termico solar",Tabla4[[#This Row],[Utilidad Total]]*6%,Tabla4[[#This Row],[Utilidad Total]]*11.5%))/Tabla4[[#This Row],[Total]]</f>
        <v>#N/A</v>
      </c>
      <c r="V5265" s="282" t="e">
        <f>+Tabla4[[#This Row],[Comisión Calculada]]*Tabla4[[#This Row],[Total]]</f>
        <v>#N/A</v>
      </c>
    </row>
    <row r="5266" spans="1:22" hidden="1" x14ac:dyDescent="0.25">
      <c r="A5266" s="100">
        <v>45884</v>
      </c>
      <c r="B5266" t="str">
        <f t="shared" si="256"/>
        <v>August</v>
      </c>
      <c r="C5266" s="46" t="s">
        <v>280</v>
      </c>
      <c r="F5266" s="366" t="s">
        <v>2740</v>
      </c>
      <c r="G5266" s="46" t="s">
        <v>19</v>
      </c>
      <c r="H5266" s="46">
        <v>1</v>
      </c>
      <c r="I5266" s="51">
        <v>6412.03</v>
      </c>
      <c r="J5266" s="281">
        <f>++Tabla4[[#This Row],[Precio Bruto]]*1.16</f>
        <v>7437.9547999999995</v>
      </c>
      <c r="K5266" s="281">
        <f>+Tabla4[[#This Row],[Precio Unitario Neto]]*Tabla4[[#Headers],[20.85%]]</f>
        <v>1550.8135757999999</v>
      </c>
      <c r="L5266" s="282">
        <f>++Tabla4[[#This Row],[Precio Unitario Neto]]-Tabla4[[#This Row],[20.85%]]</f>
        <v>5887.1412241999997</v>
      </c>
      <c r="M5266" s="282" t="e">
        <f>(INDEX(Tabla6[#All],MATCH(Tabla4[[#This Row],[Producto]],Tabla6[[#All],[PRODUCTO]],0),MATCH(Tabla4[[#This Row],[Mes]],Tabla6[#Headers],0)))*(1+Catalogos!$L$2)</f>
        <v>#N/A</v>
      </c>
      <c r="N5266" s="283" t="e">
        <f>+(Tabla4[[#This Row],[Precio Descontado]]-Tabla4[[#This Row],[Precio Base]])*Tabla4[[#This Row],[Cantidad]]</f>
        <v>#N/A</v>
      </c>
      <c r="O5266" s="284" t="e">
        <f>++Tabla4[[#This Row],[Utilidad Total]]/Tabla4[[#This Row],[Total]]</f>
        <v>#N/A</v>
      </c>
      <c r="P5266" s="282">
        <f>++Tabla4[[#This Row],[Precio Descontado]]*Tabla4[[#This Row],[Cantidad]]</f>
        <v>5887.1412241999997</v>
      </c>
      <c r="Q5266" s="282" t="e">
        <f>(INDEX(Tabla6[#All],MATCH(Tabla4[[#This Row],[Producto]],Tabla6[[#All],[PRODUCTO]],0),MATCH(Tabla4[[#This Row],[Mes]],Tabla6[#Headers],0)))</f>
        <v>#N/A</v>
      </c>
      <c r="R5266" s="282" t="e">
        <f>++Tabla4[[#This Row],[Precio Unitario Neto]]-Tabla4[[#This Row],[20.85%]]-Tabla4[[#This Row],[Costo]]</f>
        <v>#N/A</v>
      </c>
      <c r="S5266" s="282" t="e">
        <f>++Tabla4[[#This Row],[U. Bruta Uni]]*Tabla4[[#This Row],[Cantidad]]</f>
        <v>#N/A</v>
      </c>
      <c r="T5266" s="369" t="str">
        <f>VLOOKUP(Tabla4[[#This Row],[Producto]],Tabla6[#All],14,FALSE)</f>
        <v>Termico Solar</v>
      </c>
      <c r="U5266" s="284" t="e">
        <f>(IF(Tabla4[[#This Row],[Familia]]="termico solar",Tabla4[[#This Row],[Utilidad Total]]*6%,Tabla4[[#This Row],[Utilidad Total]]*11.5%))/Tabla4[[#This Row],[Total]]</f>
        <v>#N/A</v>
      </c>
      <c r="V5266" s="282" t="e">
        <f>+Tabla4[[#This Row],[Comisión Calculada]]*Tabla4[[#This Row],[Total]]</f>
        <v>#N/A</v>
      </c>
    </row>
    <row r="5267" spans="1:22" hidden="1" x14ac:dyDescent="0.25">
      <c r="A5267" s="100">
        <v>45884</v>
      </c>
      <c r="B5267" t="str">
        <f t="shared" si="256"/>
        <v>August</v>
      </c>
      <c r="C5267" s="46" t="s">
        <v>280</v>
      </c>
      <c r="F5267" s="366" t="s">
        <v>2740</v>
      </c>
      <c r="G5267" s="46" t="s">
        <v>16</v>
      </c>
      <c r="H5267" s="46">
        <v>1</v>
      </c>
      <c r="I5267" s="51">
        <v>4103.8500000000004</v>
      </c>
      <c r="J5267" s="281">
        <f>++Tabla4[[#This Row],[Precio Bruto]]*1.16</f>
        <v>4760.4660000000003</v>
      </c>
      <c r="K5267" s="281">
        <f>+Tabla4[[#This Row],[Precio Unitario Neto]]*Tabla4[[#Headers],[20.85%]]</f>
        <v>992.55716100000006</v>
      </c>
      <c r="L5267" s="282">
        <f>++Tabla4[[#This Row],[Precio Unitario Neto]]-Tabla4[[#This Row],[20.85%]]</f>
        <v>3767.9088390000002</v>
      </c>
      <c r="M5267" s="282" t="e">
        <f>(INDEX(Tabla6[#All],MATCH(Tabla4[[#This Row],[Producto]],Tabla6[[#All],[PRODUCTO]],0),MATCH(Tabla4[[#This Row],[Mes]],Tabla6[#Headers],0)))*(1+Catalogos!$L$2)</f>
        <v>#N/A</v>
      </c>
      <c r="N5267" s="283" t="e">
        <f>+(Tabla4[[#This Row],[Precio Descontado]]-Tabla4[[#This Row],[Precio Base]])*Tabla4[[#This Row],[Cantidad]]</f>
        <v>#N/A</v>
      </c>
      <c r="O5267" s="284" t="e">
        <f>++Tabla4[[#This Row],[Utilidad Total]]/Tabla4[[#This Row],[Total]]</f>
        <v>#N/A</v>
      </c>
      <c r="P5267" s="282">
        <f>++Tabla4[[#This Row],[Precio Descontado]]*Tabla4[[#This Row],[Cantidad]]</f>
        <v>3767.9088390000002</v>
      </c>
      <c r="Q5267" s="282" t="e">
        <f>(INDEX(Tabla6[#All],MATCH(Tabla4[[#This Row],[Producto]],Tabla6[[#All],[PRODUCTO]],0),MATCH(Tabla4[[#This Row],[Mes]],Tabla6[#Headers],0)))</f>
        <v>#N/A</v>
      </c>
      <c r="R5267" s="282" t="e">
        <f>++Tabla4[[#This Row],[Precio Unitario Neto]]-Tabla4[[#This Row],[20.85%]]-Tabla4[[#This Row],[Costo]]</f>
        <v>#N/A</v>
      </c>
      <c r="S5267" s="282" t="e">
        <f>++Tabla4[[#This Row],[U. Bruta Uni]]*Tabla4[[#This Row],[Cantidad]]</f>
        <v>#N/A</v>
      </c>
      <c r="T5267" s="369" t="str">
        <f>VLOOKUP(Tabla4[[#This Row],[Producto]],Tabla6[#All],14,FALSE)</f>
        <v>Termico Solar</v>
      </c>
      <c r="U5267" s="284" t="e">
        <f>(IF(Tabla4[[#This Row],[Familia]]="termico solar",Tabla4[[#This Row],[Utilidad Total]]*6%,Tabla4[[#This Row],[Utilidad Total]]*11.5%))/Tabla4[[#This Row],[Total]]</f>
        <v>#N/A</v>
      </c>
      <c r="V5267" s="282" t="e">
        <f>+Tabla4[[#This Row],[Comisión Calculada]]*Tabla4[[#This Row],[Total]]</f>
        <v>#N/A</v>
      </c>
    </row>
    <row r="5268" spans="1:22" hidden="1" x14ac:dyDescent="0.25">
      <c r="A5268" s="100">
        <v>45884</v>
      </c>
      <c r="B5268" t="str">
        <f t="shared" si="256"/>
        <v>August</v>
      </c>
      <c r="C5268" s="46" t="s">
        <v>280</v>
      </c>
      <c r="F5268" s="366" t="s">
        <v>2741</v>
      </c>
      <c r="G5268" s="46" t="s">
        <v>83</v>
      </c>
      <c r="H5268" s="46">
        <v>2</v>
      </c>
      <c r="I5268" s="51">
        <v>8858.76</v>
      </c>
      <c r="J5268" s="281">
        <f>++Tabla4[[#This Row],[Precio Bruto]]*1.16</f>
        <v>10276.161599999999</v>
      </c>
      <c r="K5268" s="281">
        <f>+Tabla4[[#This Row],[Precio Unitario Neto]]*Tabla4[[#Headers],[20.85%]]</f>
        <v>2142.5796935999997</v>
      </c>
      <c r="L5268" s="282">
        <f>++Tabla4[[#This Row],[Precio Unitario Neto]]-Tabla4[[#This Row],[20.85%]]</f>
        <v>8133.5819063999998</v>
      </c>
      <c r="M5268" s="282" t="e">
        <f>(INDEX(Tabla6[#All],MATCH(Tabla4[[#This Row],[Producto]],Tabla6[[#All],[PRODUCTO]],0),MATCH(Tabla4[[#This Row],[Mes]],Tabla6[#Headers],0)))*(1+Catalogos!$L$2)</f>
        <v>#N/A</v>
      </c>
      <c r="N5268" s="283" t="e">
        <f>+(Tabla4[[#This Row],[Precio Descontado]]-Tabla4[[#This Row],[Precio Base]])*Tabla4[[#This Row],[Cantidad]]</f>
        <v>#N/A</v>
      </c>
      <c r="O5268" s="284" t="e">
        <f>++Tabla4[[#This Row],[Utilidad Total]]/Tabla4[[#This Row],[Total]]</f>
        <v>#N/A</v>
      </c>
      <c r="P5268" s="282">
        <f>++Tabla4[[#This Row],[Precio Descontado]]*Tabla4[[#This Row],[Cantidad]]</f>
        <v>16267.1638128</v>
      </c>
      <c r="Q5268" s="282" t="e">
        <f>(INDEX(Tabla6[#All],MATCH(Tabla4[[#This Row],[Producto]],Tabla6[[#All],[PRODUCTO]],0),MATCH(Tabla4[[#This Row],[Mes]],Tabla6[#Headers],0)))</f>
        <v>#N/A</v>
      </c>
      <c r="R5268" s="282" t="e">
        <f>++Tabla4[[#This Row],[Precio Unitario Neto]]-Tabla4[[#This Row],[20.85%]]-Tabla4[[#This Row],[Costo]]</f>
        <v>#N/A</v>
      </c>
      <c r="S5268" s="282" t="e">
        <f>++Tabla4[[#This Row],[U. Bruta Uni]]*Tabla4[[#This Row],[Cantidad]]</f>
        <v>#N/A</v>
      </c>
      <c r="T5268" s="369" t="str">
        <f>VLOOKUP(Tabla4[[#This Row],[Producto]],Tabla6[#All],14,FALSE)</f>
        <v>Termico Solar</v>
      </c>
      <c r="U5268" s="284" t="e">
        <f>(IF(Tabla4[[#This Row],[Familia]]="termico solar",Tabla4[[#This Row],[Utilidad Total]]*6%,Tabla4[[#This Row],[Utilidad Total]]*11.5%))/Tabla4[[#This Row],[Total]]</f>
        <v>#N/A</v>
      </c>
      <c r="V5268" s="282" t="e">
        <f>+Tabla4[[#This Row],[Comisión Calculada]]*Tabla4[[#This Row],[Total]]</f>
        <v>#N/A</v>
      </c>
    </row>
    <row r="5269" spans="1:22" hidden="1" x14ac:dyDescent="0.25">
      <c r="A5269" s="100">
        <v>45884</v>
      </c>
      <c r="B5269" t="str">
        <f t="shared" si="256"/>
        <v>August</v>
      </c>
      <c r="C5269" s="46" t="s">
        <v>280</v>
      </c>
      <c r="F5269" s="366" t="s">
        <v>2742</v>
      </c>
      <c r="G5269" s="46" t="s">
        <v>83</v>
      </c>
      <c r="H5269" s="46">
        <v>1</v>
      </c>
      <c r="I5269" s="51">
        <v>8858.76</v>
      </c>
      <c r="J5269" s="281">
        <f>++Tabla4[[#This Row],[Precio Bruto]]*1.16</f>
        <v>10276.161599999999</v>
      </c>
      <c r="K5269" s="281">
        <f>+Tabla4[[#This Row],[Precio Unitario Neto]]*Tabla4[[#Headers],[20.85%]]</f>
        <v>2142.5796935999997</v>
      </c>
      <c r="L5269" s="282">
        <f>++Tabla4[[#This Row],[Precio Unitario Neto]]-Tabla4[[#This Row],[20.85%]]</f>
        <v>8133.5819063999998</v>
      </c>
      <c r="M5269" s="282" t="e">
        <f>(INDEX(Tabla6[#All],MATCH(Tabla4[[#This Row],[Producto]],Tabla6[[#All],[PRODUCTO]],0),MATCH(Tabla4[[#This Row],[Mes]],Tabla6[#Headers],0)))*(1+Catalogos!$L$2)</f>
        <v>#N/A</v>
      </c>
      <c r="N5269" s="283" t="e">
        <f>+(Tabla4[[#This Row],[Precio Descontado]]-Tabla4[[#This Row],[Precio Base]])*Tabla4[[#This Row],[Cantidad]]</f>
        <v>#N/A</v>
      </c>
      <c r="O5269" s="284" t="e">
        <f>++Tabla4[[#This Row],[Utilidad Total]]/Tabla4[[#This Row],[Total]]</f>
        <v>#N/A</v>
      </c>
      <c r="P5269" s="282">
        <f>++Tabla4[[#This Row],[Precio Descontado]]*Tabla4[[#This Row],[Cantidad]]</f>
        <v>8133.5819063999998</v>
      </c>
      <c r="Q5269" s="282" t="e">
        <f>(INDEX(Tabla6[#All],MATCH(Tabla4[[#This Row],[Producto]],Tabla6[[#All],[PRODUCTO]],0),MATCH(Tabla4[[#This Row],[Mes]],Tabla6[#Headers],0)))</f>
        <v>#N/A</v>
      </c>
      <c r="R5269" s="282" t="e">
        <f>++Tabla4[[#This Row],[Precio Unitario Neto]]-Tabla4[[#This Row],[20.85%]]-Tabla4[[#This Row],[Costo]]</f>
        <v>#N/A</v>
      </c>
      <c r="S5269" s="282" t="e">
        <f>++Tabla4[[#This Row],[U. Bruta Uni]]*Tabla4[[#This Row],[Cantidad]]</f>
        <v>#N/A</v>
      </c>
      <c r="T5269" s="369" t="str">
        <f>VLOOKUP(Tabla4[[#This Row],[Producto]],Tabla6[#All],14,FALSE)</f>
        <v>Termico Solar</v>
      </c>
      <c r="U5269" s="284" t="e">
        <f>(IF(Tabla4[[#This Row],[Familia]]="termico solar",Tabla4[[#This Row],[Utilidad Total]]*6%,Tabla4[[#This Row],[Utilidad Total]]*11.5%))/Tabla4[[#This Row],[Total]]</f>
        <v>#N/A</v>
      </c>
      <c r="V5269" s="282" t="e">
        <f>+Tabla4[[#This Row],[Comisión Calculada]]*Tabla4[[#This Row],[Total]]</f>
        <v>#N/A</v>
      </c>
    </row>
    <row r="5270" spans="1:22" hidden="1" x14ac:dyDescent="0.25">
      <c r="A5270" s="100">
        <v>45884</v>
      </c>
      <c r="B5270" t="str">
        <f t="shared" si="256"/>
        <v>August</v>
      </c>
      <c r="C5270" s="46" t="s">
        <v>280</v>
      </c>
      <c r="F5270" s="366" t="s">
        <v>2742</v>
      </c>
      <c r="G5270" s="46" t="s">
        <v>18</v>
      </c>
      <c r="H5270" s="46">
        <v>1</v>
      </c>
      <c r="I5270" s="51">
        <v>5367.65</v>
      </c>
      <c r="J5270" s="281">
        <f>++Tabla4[[#This Row],[Precio Bruto]]*1.16</f>
        <v>6226.4739999999993</v>
      </c>
      <c r="K5270" s="281">
        <f>+Tabla4[[#This Row],[Precio Unitario Neto]]*Tabla4[[#Headers],[20.85%]]</f>
        <v>1298.2198289999999</v>
      </c>
      <c r="L5270" s="282">
        <f>++Tabla4[[#This Row],[Precio Unitario Neto]]-Tabla4[[#This Row],[20.85%]]</f>
        <v>4928.2541709999996</v>
      </c>
      <c r="M5270" s="282" t="e">
        <f>(INDEX(Tabla6[#All],MATCH(Tabla4[[#This Row],[Producto]],Tabla6[[#All],[PRODUCTO]],0),MATCH(Tabla4[[#This Row],[Mes]],Tabla6[#Headers],0)))*(1+Catalogos!$L$2)</f>
        <v>#N/A</v>
      </c>
      <c r="N5270" s="283" t="e">
        <f>+(Tabla4[[#This Row],[Precio Descontado]]-Tabla4[[#This Row],[Precio Base]])*Tabla4[[#This Row],[Cantidad]]</f>
        <v>#N/A</v>
      </c>
      <c r="O5270" s="284" t="e">
        <f>++Tabla4[[#This Row],[Utilidad Total]]/Tabla4[[#This Row],[Total]]</f>
        <v>#N/A</v>
      </c>
      <c r="P5270" s="282">
        <f>++Tabla4[[#This Row],[Precio Descontado]]*Tabla4[[#This Row],[Cantidad]]</f>
        <v>4928.2541709999996</v>
      </c>
      <c r="Q5270" s="282" t="e">
        <f>(INDEX(Tabla6[#All],MATCH(Tabla4[[#This Row],[Producto]],Tabla6[[#All],[PRODUCTO]],0),MATCH(Tabla4[[#This Row],[Mes]],Tabla6[#Headers],0)))</f>
        <v>#N/A</v>
      </c>
      <c r="R5270" s="282" t="e">
        <f>++Tabla4[[#This Row],[Precio Unitario Neto]]-Tabla4[[#This Row],[20.85%]]-Tabla4[[#This Row],[Costo]]</f>
        <v>#N/A</v>
      </c>
      <c r="S5270" s="282" t="e">
        <f>++Tabla4[[#This Row],[U. Bruta Uni]]*Tabla4[[#This Row],[Cantidad]]</f>
        <v>#N/A</v>
      </c>
      <c r="T5270" s="369" t="str">
        <f>VLOOKUP(Tabla4[[#This Row],[Producto]],Tabla6[#All],14,FALSE)</f>
        <v>Termico Solar</v>
      </c>
      <c r="U5270" s="284" t="e">
        <f>(IF(Tabla4[[#This Row],[Familia]]="termico solar",Tabla4[[#This Row],[Utilidad Total]]*6%,Tabla4[[#This Row],[Utilidad Total]]*11.5%))/Tabla4[[#This Row],[Total]]</f>
        <v>#N/A</v>
      </c>
      <c r="V5270" s="282" t="e">
        <f>+Tabla4[[#This Row],[Comisión Calculada]]*Tabla4[[#This Row],[Total]]</f>
        <v>#N/A</v>
      </c>
    </row>
    <row r="5271" spans="1:22" hidden="1" x14ac:dyDescent="0.25">
      <c r="A5271" s="100">
        <v>45884</v>
      </c>
      <c r="B5271" t="str">
        <f t="shared" si="256"/>
        <v>August</v>
      </c>
      <c r="C5271" s="46" t="s">
        <v>280</v>
      </c>
      <c r="F5271" s="366" t="s">
        <v>2742</v>
      </c>
      <c r="G5271" s="46" t="s">
        <v>16</v>
      </c>
      <c r="H5271" s="46">
        <v>5</v>
      </c>
      <c r="I5271" s="51">
        <v>4103.8500000000004</v>
      </c>
      <c r="J5271" s="281">
        <f>++Tabla4[[#This Row],[Precio Bruto]]*1.16</f>
        <v>4760.4660000000003</v>
      </c>
      <c r="K5271" s="281">
        <f>+Tabla4[[#This Row],[Precio Unitario Neto]]*Tabla4[[#Headers],[20.85%]]</f>
        <v>992.55716100000006</v>
      </c>
      <c r="L5271" s="282">
        <f>++Tabla4[[#This Row],[Precio Unitario Neto]]-Tabla4[[#This Row],[20.85%]]</f>
        <v>3767.9088390000002</v>
      </c>
      <c r="M5271" s="282" t="e">
        <f>(INDEX(Tabla6[#All],MATCH(Tabla4[[#This Row],[Producto]],Tabla6[[#All],[PRODUCTO]],0),MATCH(Tabla4[[#This Row],[Mes]],Tabla6[#Headers],0)))*(1+Catalogos!$L$2)</f>
        <v>#N/A</v>
      </c>
      <c r="N5271" s="283" t="e">
        <f>+(Tabla4[[#This Row],[Precio Descontado]]-Tabla4[[#This Row],[Precio Base]])*Tabla4[[#This Row],[Cantidad]]</f>
        <v>#N/A</v>
      </c>
      <c r="O5271" s="284" t="e">
        <f>++Tabla4[[#This Row],[Utilidad Total]]/Tabla4[[#This Row],[Total]]</f>
        <v>#N/A</v>
      </c>
      <c r="P5271" s="282">
        <f>++Tabla4[[#This Row],[Precio Descontado]]*Tabla4[[#This Row],[Cantidad]]</f>
        <v>18839.544195000002</v>
      </c>
      <c r="Q5271" s="282" t="e">
        <f>(INDEX(Tabla6[#All],MATCH(Tabla4[[#This Row],[Producto]],Tabla6[[#All],[PRODUCTO]],0),MATCH(Tabla4[[#This Row],[Mes]],Tabla6[#Headers],0)))</f>
        <v>#N/A</v>
      </c>
      <c r="R5271" s="282" t="e">
        <f>++Tabla4[[#This Row],[Precio Unitario Neto]]-Tabla4[[#This Row],[20.85%]]-Tabla4[[#This Row],[Costo]]</f>
        <v>#N/A</v>
      </c>
      <c r="S5271" s="282" t="e">
        <f>++Tabla4[[#This Row],[U. Bruta Uni]]*Tabla4[[#This Row],[Cantidad]]</f>
        <v>#N/A</v>
      </c>
      <c r="T5271" s="369" t="str">
        <f>VLOOKUP(Tabla4[[#This Row],[Producto]],Tabla6[#All],14,FALSE)</f>
        <v>Termico Solar</v>
      </c>
      <c r="U5271" s="284" t="e">
        <f>(IF(Tabla4[[#This Row],[Familia]]="termico solar",Tabla4[[#This Row],[Utilidad Total]]*6%,Tabla4[[#This Row],[Utilidad Total]]*11.5%))/Tabla4[[#This Row],[Total]]</f>
        <v>#N/A</v>
      </c>
      <c r="V5271" s="282" t="e">
        <f>+Tabla4[[#This Row],[Comisión Calculada]]*Tabla4[[#This Row],[Total]]</f>
        <v>#N/A</v>
      </c>
    </row>
    <row r="5272" spans="1:22" hidden="1" x14ac:dyDescent="0.25">
      <c r="A5272" s="100">
        <v>45884</v>
      </c>
      <c r="B5272" t="str">
        <f t="shared" si="256"/>
        <v>August</v>
      </c>
      <c r="C5272" s="46" t="s">
        <v>280</v>
      </c>
      <c r="F5272" s="366" t="s">
        <v>2743</v>
      </c>
      <c r="G5272" s="46" t="s">
        <v>83</v>
      </c>
      <c r="H5272" s="46">
        <v>1</v>
      </c>
      <c r="I5272" s="51">
        <v>8858.76</v>
      </c>
      <c r="J5272" s="281">
        <f>++Tabla4[[#This Row],[Precio Bruto]]*1.16</f>
        <v>10276.161599999999</v>
      </c>
      <c r="K5272" s="281">
        <f>+Tabla4[[#This Row],[Precio Unitario Neto]]*Tabla4[[#Headers],[20.85%]]</f>
        <v>2142.5796935999997</v>
      </c>
      <c r="L5272" s="282">
        <f>++Tabla4[[#This Row],[Precio Unitario Neto]]-Tabla4[[#This Row],[20.85%]]</f>
        <v>8133.5819063999998</v>
      </c>
      <c r="M5272" s="282" t="e">
        <f>(INDEX(Tabla6[#All],MATCH(Tabla4[[#This Row],[Producto]],Tabla6[[#All],[PRODUCTO]],0),MATCH(Tabla4[[#This Row],[Mes]],Tabla6[#Headers],0)))*(1+Catalogos!$L$2)</f>
        <v>#N/A</v>
      </c>
      <c r="N5272" s="283" t="e">
        <f>+(Tabla4[[#This Row],[Precio Descontado]]-Tabla4[[#This Row],[Precio Base]])*Tabla4[[#This Row],[Cantidad]]</f>
        <v>#N/A</v>
      </c>
      <c r="O5272" s="284" t="e">
        <f>++Tabla4[[#This Row],[Utilidad Total]]/Tabla4[[#This Row],[Total]]</f>
        <v>#N/A</v>
      </c>
      <c r="P5272" s="282">
        <f>++Tabla4[[#This Row],[Precio Descontado]]*Tabla4[[#This Row],[Cantidad]]</f>
        <v>8133.5819063999998</v>
      </c>
      <c r="Q5272" s="282" t="e">
        <f>(INDEX(Tabla6[#All],MATCH(Tabla4[[#This Row],[Producto]],Tabla6[[#All],[PRODUCTO]],0),MATCH(Tabla4[[#This Row],[Mes]],Tabla6[#Headers],0)))</f>
        <v>#N/A</v>
      </c>
      <c r="R5272" s="282" t="e">
        <f>++Tabla4[[#This Row],[Precio Unitario Neto]]-Tabla4[[#This Row],[20.85%]]-Tabla4[[#This Row],[Costo]]</f>
        <v>#N/A</v>
      </c>
      <c r="S5272" s="282" t="e">
        <f>++Tabla4[[#This Row],[U. Bruta Uni]]*Tabla4[[#This Row],[Cantidad]]</f>
        <v>#N/A</v>
      </c>
      <c r="T5272" s="369" t="str">
        <f>VLOOKUP(Tabla4[[#This Row],[Producto]],Tabla6[#All],14,FALSE)</f>
        <v>Termico Solar</v>
      </c>
      <c r="U5272" s="284" t="e">
        <f>(IF(Tabla4[[#This Row],[Familia]]="termico solar",Tabla4[[#This Row],[Utilidad Total]]*6%,Tabla4[[#This Row],[Utilidad Total]]*11.5%))/Tabla4[[#This Row],[Total]]</f>
        <v>#N/A</v>
      </c>
      <c r="V5272" s="282" t="e">
        <f>+Tabla4[[#This Row],[Comisión Calculada]]*Tabla4[[#This Row],[Total]]</f>
        <v>#N/A</v>
      </c>
    </row>
    <row r="5273" spans="1:22" hidden="1" x14ac:dyDescent="0.25">
      <c r="A5273" s="100">
        <v>45884</v>
      </c>
      <c r="B5273" t="str">
        <f t="shared" si="256"/>
        <v>August</v>
      </c>
      <c r="C5273" s="46" t="s">
        <v>280</v>
      </c>
      <c r="F5273" s="366" t="s">
        <v>2743</v>
      </c>
      <c r="G5273" s="46" t="s">
        <v>17</v>
      </c>
      <c r="H5273" s="46">
        <v>4</v>
      </c>
      <c r="I5273" s="51">
        <v>4622.28</v>
      </c>
      <c r="J5273" s="281">
        <f>++Tabla4[[#This Row],[Precio Bruto]]*1.16</f>
        <v>5361.8447999999989</v>
      </c>
      <c r="K5273" s="281">
        <f>+Tabla4[[#This Row],[Precio Unitario Neto]]*Tabla4[[#Headers],[20.85%]]</f>
        <v>1117.9446407999997</v>
      </c>
      <c r="L5273" s="282">
        <f>++Tabla4[[#This Row],[Precio Unitario Neto]]-Tabla4[[#This Row],[20.85%]]</f>
        <v>4243.9001591999995</v>
      </c>
      <c r="M5273" s="282" t="e">
        <f>(INDEX(Tabla6[#All],MATCH(Tabla4[[#This Row],[Producto]],Tabla6[[#All],[PRODUCTO]],0),MATCH(Tabla4[[#This Row],[Mes]],Tabla6[#Headers],0)))*(1+Catalogos!$L$2)</f>
        <v>#N/A</v>
      </c>
      <c r="N5273" s="283" t="e">
        <f>+(Tabla4[[#This Row],[Precio Descontado]]-Tabla4[[#This Row],[Precio Base]])*Tabla4[[#This Row],[Cantidad]]</f>
        <v>#N/A</v>
      </c>
      <c r="O5273" s="284" t="e">
        <f>++Tabla4[[#This Row],[Utilidad Total]]/Tabla4[[#This Row],[Total]]</f>
        <v>#N/A</v>
      </c>
      <c r="P5273" s="282">
        <f>++Tabla4[[#This Row],[Precio Descontado]]*Tabla4[[#This Row],[Cantidad]]</f>
        <v>16975.600636799998</v>
      </c>
      <c r="Q5273" s="282" t="e">
        <f>(INDEX(Tabla6[#All],MATCH(Tabla4[[#This Row],[Producto]],Tabla6[[#All],[PRODUCTO]],0),MATCH(Tabla4[[#This Row],[Mes]],Tabla6[#Headers],0)))</f>
        <v>#N/A</v>
      </c>
      <c r="R5273" s="282" t="e">
        <f>++Tabla4[[#This Row],[Precio Unitario Neto]]-Tabla4[[#This Row],[20.85%]]-Tabla4[[#This Row],[Costo]]</f>
        <v>#N/A</v>
      </c>
      <c r="S5273" s="282" t="e">
        <f>++Tabla4[[#This Row],[U. Bruta Uni]]*Tabla4[[#This Row],[Cantidad]]</f>
        <v>#N/A</v>
      </c>
      <c r="T5273" s="369" t="str">
        <f>VLOOKUP(Tabla4[[#This Row],[Producto]],Tabla6[#All],14,FALSE)</f>
        <v>Termico Solar</v>
      </c>
      <c r="U5273" s="284" t="e">
        <f>(IF(Tabla4[[#This Row],[Familia]]="termico solar",Tabla4[[#This Row],[Utilidad Total]]*6%,Tabla4[[#This Row],[Utilidad Total]]*11.5%))/Tabla4[[#This Row],[Total]]</f>
        <v>#N/A</v>
      </c>
      <c r="V5273" s="282" t="e">
        <f>+Tabla4[[#This Row],[Comisión Calculada]]*Tabla4[[#This Row],[Total]]</f>
        <v>#N/A</v>
      </c>
    </row>
    <row r="5274" spans="1:22" hidden="1" x14ac:dyDescent="0.25">
      <c r="A5274" s="100">
        <v>45884</v>
      </c>
      <c r="B5274" t="str">
        <f t="shared" si="256"/>
        <v>August</v>
      </c>
      <c r="C5274" s="46" t="s">
        <v>280</v>
      </c>
      <c r="F5274" s="366" t="s">
        <v>2743</v>
      </c>
      <c r="G5274" s="46" t="s">
        <v>18</v>
      </c>
      <c r="H5274" s="46">
        <v>1</v>
      </c>
      <c r="I5274" s="51">
        <v>5367.65</v>
      </c>
      <c r="J5274" s="281">
        <f>++Tabla4[[#This Row],[Precio Bruto]]*1.16</f>
        <v>6226.4739999999993</v>
      </c>
      <c r="K5274" s="281">
        <f>+Tabla4[[#This Row],[Precio Unitario Neto]]*Tabla4[[#Headers],[20.85%]]</f>
        <v>1298.2198289999999</v>
      </c>
      <c r="L5274" s="282">
        <f>++Tabla4[[#This Row],[Precio Unitario Neto]]-Tabla4[[#This Row],[20.85%]]</f>
        <v>4928.2541709999996</v>
      </c>
      <c r="M5274" s="282" t="e">
        <f>(INDEX(Tabla6[#All],MATCH(Tabla4[[#This Row],[Producto]],Tabla6[[#All],[PRODUCTO]],0),MATCH(Tabla4[[#This Row],[Mes]],Tabla6[#Headers],0)))*(1+Catalogos!$L$2)</f>
        <v>#N/A</v>
      </c>
      <c r="N5274" s="283" t="e">
        <f>+(Tabla4[[#This Row],[Precio Descontado]]-Tabla4[[#This Row],[Precio Base]])*Tabla4[[#This Row],[Cantidad]]</f>
        <v>#N/A</v>
      </c>
      <c r="O5274" s="284" t="e">
        <f>++Tabla4[[#This Row],[Utilidad Total]]/Tabla4[[#This Row],[Total]]</f>
        <v>#N/A</v>
      </c>
      <c r="P5274" s="282">
        <f>++Tabla4[[#This Row],[Precio Descontado]]*Tabla4[[#This Row],[Cantidad]]</f>
        <v>4928.2541709999996</v>
      </c>
      <c r="Q5274" s="282" t="e">
        <f>(INDEX(Tabla6[#All],MATCH(Tabla4[[#This Row],[Producto]],Tabla6[[#All],[PRODUCTO]],0),MATCH(Tabla4[[#This Row],[Mes]],Tabla6[#Headers],0)))</f>
        <v>#N/A</v>
      </c>
      <c r="R5274" s="282" t="e">
        <f>++Tabla4[[#This Row],[Precio Unitario Neto]]-Tabla4[[#This Row],[20.85%]]-Tabla4[[#This Row],[Costo]]</f>
        <v>#N/A</v>
      </c>
      <c r="S5274" s="282" t="e">
        <f>++Tabla4[[#This Row],[U. Bruta Uni]]*Tabla4[[#This Row],[Cantidad]]</f>
        <v>#N/A</v>
      </c>
      <c r="T5274" s="369" t="str">
        <f>VLOOKUP(Tabla4[[#This Row],[Producto]],Tabla6[#All],14,FALSE)</f>
        <v>Termico Solar</v>
      </c>
      <c r="U5274" s="284" t="e">
        <f>(IF(Tabla4[[#This Row],[Familia]]="termico solar",Tabla4[[#This Row],[Utilidad Total]]*6%,Tabla4[[#This Row],[Utilidad Total]]*11.5%))/Tabla4[[#This Row],[Total]]</f>
        <v>#N/A</v>
      </c>
      <c r="V5274" s="282" t="e">
        <f>+Tabla4[[#This Row],[Comisión Calculada]]*Tabla4[[#This Row],[Total]]</f>
        <v>#N/A</v>
      </c>
    </row>
    <row r="5275" spans="1:22" hidden="1" x14ac:dyDescent="0.25">
      <c r="A5275" s="100">
        <v>45884</v>
      </c>
      <c r="B5275" t="str">
        <f t="shared" si="256"/>
        <v>August</v>
      </c>
      <c r="C5275" s="46" t="s">
        <v>280</v>
      </c>
      <c r="F5275" s="366" t="s">
        <v>2744</v>
      </c>
      <c r="G5275" s="46" t="s">
        <v>208</v>
      </c>
      <c r="H5275" s="46">
        <v>2</v>
      </c>
      <c r="I5275" s="51">
        <v>189.75</v>
      </c>
      <c r="J5275" s="281">
        <f>++Tabla4[[#This Row],[Precio Bruto]]*1.16</f>
        <v>220.10999999999999</v>
      </c>
      <c r="K5275" s="281">
        <f>+Tabla4[[#This Row],[Precio Unitario Neto]]*Tabla4[[#Headers],[20.85%]]</f>
        <v>45.892934999999994</v>
      </c>
      <c r="L5275" s="282">
        <f>++Tabla4[[#This Row],[Precio Unitario Neto]]-Tabla4[[#This Row],[20.85%]]</f>
        <v>174.21706499999999</v>
      </c>
      <c r="M5275" s="282" t="e">
        <f>(INDEX(Tabla6[#All],MATCH(Tabla4[[#This Row],[Producto]],Tabla6[[#All],[PRODUCTO]],0),MATCH(Tabla4[[#This Row],[Mes]],Tabla6[#Headers],0)))*(1+Catalogos!$L$2)</f>
        <v>#N/A</v>
      </c>
      <c r="N5275" s="283" t="e">
        <f>+(Tabla4[[#This Row],[Precio Descontado]]-Tabla4[[#This Row],[Precio Base]])*Tabla4[[#This Row],[Cantidad]]</f>
        <v>#N/A</v>
      </c>
      <c r="O5275" s="284" t="e">
        <f>++Tabla4[[#This Row],[Utilidad Total]]/Tabla4[[#This Row],[Total]]</f>
        <v>#N/A</v>
      </c>
      <c r="P5275" s="282">
        <f>++Tabla4[[#This Row],[Precio Descontado]]*Tabla4[[#This Row],[Cantidad]]</f>
        <v>348.43412999999998</v>
      </c>
      <c r="Q5275" s="282" t="e">
        <f>(INDEX(Tabla6[#All],MATCH(Tabla4[[#This Row],[Producto]],Tabla6[[#All],[PRODUCTO]],0),MATCH(Tabla4[[#This Row],[Mes]],Tabla6[#Headers],0)))</f>
        <v>#N/A</v>
      </c>
      <c r="R5275" s="282" t="e">
        <f>++Tabla4[[#This Row],[Precio Unitario Neto]]-Tabla4[[#This Row],[20.85%]]-Tabla4[[#This Row],[Costo]]</f>
        <v>#N/A</v>
      </c>
      <c r="S5275" s="282" t="e">
        <f>++Tabla4[[#This Row],[U. Bruta Uni]]*Tabla4[[#This Row],[Cantidad]]</f>
        <v>#N/A</v>
      </c>
      <c r="T5275" s="369" t="str">
        <f>VLOOKUP(Tabla4[[#This Row],[Producto]],Tabla6[#All],14,FALSE)</f>
        <v>Termico Solar</v>
      </c>
      <c r="U5275" s="284" t="e">
        <f>(IF(Tabla4[[#This Row],[Familia]]="termico solar",Tabla4[[#This Row],[Utilidad Total]]*6%,Tabla4[[#This Row],[Utilidad Total]]*11.5%))/Tabla4[[#This Row],[Total]]</f>
        <v>#N/A</v>
      </c>
      <c r="V5275" s="282" t="e">
        <f>+Tabla4[[#This Row],[Comisión Calculada]]*Tabla4[[#This Row],[Total]]</f>
        <v>#N/A</v>
      </c>
    </row>
    <row r="5276" spans="1:22" hidden="1" x14ac:dyDescent="0.25">
      <c r="A5276" s="100">
        <v>45884</v>
      </c>
      <c r="B5276" t="str">
        <f t="shared" si="256"/>
        <v>August</v>
      </c>
      <c r="C5276" s="46" t="s">
        <v>280</v>
      </c>
      <c r="F5276" s="366" t="s">
        <v>2745</v>
      </c>
      <c r="G5276" s="46" t="s">
        <v>16</v>
      </c>
      <c r="H5276" s="46">
        <v>2</v>
      </c>
      <c r="I5276" s="51">
        <v>4103.8500000000004</v>
      </c>
      <c r="J5276" s="281">
        <f>++Tabla4[[#This Row],[Precio Bruto]]*1.16</f>
        <v>4760.4660000000003</v>
      </c>
      <c r="K5276" s="281">
        <f>+Tabla4[[#This Row],[Precio Unitario Neto]]*Tabla4[[#Headers],[20.85%]]</f>
        <v>992.55716100000006</v>
      </c>
      <c r="L5276" s="282">
        <f>++Tabla4[[#This Row],[Precio Unitario Neto]]-Tabla4[[#This Row],[20.85%]]</f>
        <v>3767.9088390000002</v>
      </c>
      <c r="M5276" s="282" t="e">
        <f>(INDEX(Tabla6[#All],MATCH(Tabla4[[#This Row],[Producto]],Tabla6[[#All],[PRODUCTO]],0),MATCH(Tabla4[[#This Row],[Mes]],Tabla6[#Headers],0)))*(1+Catalogos!$L$2)</f>
        <v>#N/A</v>
      </c>
      <c r="N5276" s="283" t="e">
        <f>+(Tabla4[[#This Row],[Precio Descontado]]-Tabla4[[#This Row],[Precio Base]])*Tabla4[[#This Row],[Cantidad]]</f>
        <v>#N/A</v>
      </c>
      <c r="O5276" s="284" t="e">
        <f>++Tabla4[[#This Row],[Utilidad Total]]/Tabla4[[#This Row],[Total]]</f>
        <v>#N/A</v>
      </c>
      <c r="P5276" s="282">
        <f>++Tabla4[[#This Row],[Precio Descontado]]*Tabla4[[#This Row],[Cantidad]]</f>
        <v>7535.8176780000003</v>
      </c>
      <c r="Q5276" s="282" t="e">
        <f>(INDEX(Tabla6[#All],MATCH(Tabla4[[#This Row],[Producto]],Tabla6[[#All],[PRODUCTO]],0),MATCH(Tabla4[[#This Row],[Mes]],Tabla6[#Headers],0)))</f>
        <v>#N/A</v>
      </c>
      <c r="R5276" s="282" t="e">
        <f>++Tabla4[[#This Row],[Precio Unitario Neto]]-Tabla4[[#This Row],[20.85%]]-Tabla4[[#This Row],[Costo]]</f>
        <v>#N/A</v>
      </c>
      <c r="S5276" s="282" t="e">
        <f>++Tabla4[[#This Row],[U. Bruta Uni]]*Tabla4[[#This Row],[Cantidad]]</f>
        <v>#N/A</v>
      </c>
      <c r="T5276" s="369" t="str">
        <f>VLOOKUP(Tabla4[[#This Row],[Producto]],Tabla6[#All],14,FALSE)</f>
        <v>Termico Solar</v>
      </c>
      <c r="U5276" s="284" t="e">
        <f>(IF(Tabla4[[#This Row],[Familia]]="termico solar",Tabla4[[#This Row],[Utilidad Total]]*6%,Tabla4[[#This Row],[Utilidad Total]]*11.5%))/Tabla4[[#This Row],[Total]]</f>
        <v>#N/A</v>
      </c>
      <c r="V5276" s="282" t="e">
        <f>+Tabla4[[#This Row],[Comisión Calculada]]*Tabla4[[#This Row],[Total]]</f>
        <v>#N/A</v>
      </c>
    </row>
    <row r="5277" spans="1:22" hidden="1" x14ac:dyDescent="0.25">
      <c r="A5277" s="100">
        <v>45884</v>
      </c>
      <c r="B5277" t="str">
        <f t="shared" si="256"/>
        <v>August</v>
      </c>
      <c r="C5277" s="46" t="s">
        <v>280</v>
      </c>
      <c r="F5277" s="366" t="s">
        <v>2746</v>
      </c>
      <c r="G5277" s="46" t="s">
        <v>17</v>
      </c>
      <c r="H5277" s="46">
        <v>14</v>
      </c>
      <c r="I5277" s="51">
        <v>4622.28</v>
      </c>
      <c r="J5277" s="281">
        <f>++Tabla4[[#This Row],[Precio Bruto]]*1.16</f>
        <v>5361.8447999999989</v>
      </c>
      <c r="K5277" s="281">
        <f>+Tabla4[[#This Row],[Precio Unitario Neto]]*Tabla4[[#Headers],[20.85%]]</f>
        <v>1117.9446407999997</v>
      </c>
      <c r="L5277" s="282">
        <f>++Tabla4[[#This Row],[Precio Unitario Neto]]-Tabla4[[#This Row],[20.85%]]</f>
        <v>4243.9001591999995</v>
      </c>
      <c r="M5277" s="282" t="e">
        <f>(INDEX(Tabla6[#All],MATCH(Tabla4[[#This Row],[Producto]],Tabla6[[#All],[PRODUCTO]],0),MATCH(Tabla4[[#This Row],[Mes]],Tabla6[#Headers],0)))*(1+Catalogos!$L$2)</f>
        <v>#N/A</v>
      </c>
      <c r="N5277" s="283" t="e">
        <f>+(Tabla4[[#This Row],[Precio Descontado]]-Tabla4[[#This Row],[Precio Base]])*Tabla4[[#This Row],[Cantidad]]</f>
        <v>#N/A</v>
      </c>
      <c r="O5277" s="284" t="e">
        <f>++Tabla4[[#This Row],[Utilidad Total]]/Tabla4[[#This Row],[Total]]</f>
        <v>#N/A</v>
      </c>
      <c r="P5277" s="282">
        <f>++Tabla4[[#This Row],[Precio Descontado]]*Tabla4[[#This Row],[Cantidad]]</f>
        <v>59414.602228799995</v>
      </c>
      <c r="Q5277" s="282" t="e">
        <f>(INDEX(Tabla6[#All],MATCH(Tabla4[[#This Row],[Producto]],Tabla6[[#All],[PRODUCTO]],0),MATCH(Tabla4[[#This Row],[Mes]],Tabla6[#Headers],0)))</f>
        <v>#N/A</v>
      </c>
      <c r="R5277" s="282" t="e">
        <f>++Tabla4[[#This Row],[Precio Unitario Neto]]-Tabla4[[#This Row],[20.85%]]-Tabla4[[#This Row],[Costo]]</f>
        <v>#N/A</v>
      </c>
      <c r="S5277" s="282" t="e">
        <f>++Tabla4[[#This Row],[U. Bruta Uni]]*Tabla4[[#This Row],[Cantidad]]</f>
        <v>#N/A</v>
      </c>
      <c r="T5277" s="369" t="str">
        <f>VLOOKUP(Tabla4[[#This Row],[Producto]],Tabla6[#All],14,FALSE)</f>
        <v>Termico Solar</v>
      </c>
      <c r="U5277" s="284" t="e">
        <f>(IF(Tabla4[[#This Row],[Familia]]="termico solar",Tabla4[[#This Row],[Utilidad Total]]*6%,Tabla4[[#This Row],[Utilidad Total]]*11.5%))/Tabla4[[#This Row],[Total]]</f>
        <v>#N/A</v>
      </c>
      <c r="V5277" s="282" t="e">
        <f>+Tabla4[[#This Row],[Comisión Calculada]]*Tabla4[[#This Row],[Total]]</f>
        <v>#N/A</v>
      </c>
    </row>
    <row r="5278" spans="1:22" hidden="1" x14ac:dyDescent="0.25">
      <c r="A5278" s="100">
        <v>45884</v>
      </c>
      <c r="B5278" t="str">
        <f t="shared" si="256"/>
        <v>August</v>
      </c>
      <c r="C5278" s="46" t="s">
        <v>280</v>
      </c>
      <c r="F5278" s="366" t="s">
        <v>2746</v>
      </c>
      <c r="G5278" s="46" t="s">
        <v>18</v>
      </c>
      <c r="H5278" s="46">
        <v>8</v>
      </c>
      <c r="I5278" s="51">
        <v>5367.65</v>
      </c>
      <c r="J5278" s="281">
        <f>++Tabla4[[#This Row],[Precio Bruto]]*1.16</f>
        <v>6226.4739999999993</v>
      </c>
      <c r="K5278" s="281">
        <f>+Tabla4[[#This Row],[Precio Unitario Neto]]*Tabla4[[#Headers],[20.85%]]</f>
        <v>1298.2198289999999</v>
      </c>
      <c r="L5278" s="282">
        <f>++Tabla4[[#This Row],[Precio Unitario Neto]]-Tabla4[[#This Row],[20.85%]]</f>
        <v>4928.2541709999996</v>
      </c>
      <c r="M5278" s="282" t="e">
        <f>(INDEX(Tabla6[#All],MATCH(Tabla4[[#This Row],[Producto]],Tabla6[[#All],[PRODUCTO]],0),MATCH(Tabla4[[#This Row],[Mes]],Tabla6[#Headers],0)))*(1+Catalogos!$L$2)</f>
        <v>#N/A</v>
      </c>
      <c r="N5278" s="283" t="e">
        <f>+(Tabla4[[#This Row],[Precio Descontado]]-Tabla4[[#This Row],[Precio Base]])*Tabla4[[#This Row],[Cantidad]]</f>
        <v>#N/A</v>
      </c>
      <c r="O5278" s="284" t="e">
        <f>++Tabla4[[#This Row],[Utilidad Total]]/Tabla4[[#This Row],[Total]]</f>
        <v>#N/A</v>
      </c>
      <c r="P5278" s="282">
        <f>++Tabla4[[#This Row],[Precio Descontado]]*Tabla4[[#This Row],[Cantidad]]</f>
        <v>39426.033367999997</v>
      </c>
      <c r="Q5278" s="282" t="e">
        <f>(INDEX(Tabla6[#All],MATCH(Tabla4[[#This Row],[Producto]],Tabla6[[#All],[PRODUCTO]],0),MATCH(Tabla4[[#This Row],[Mes]],Tabla6[#Headers],0)))</f>
        <v>#N/A</v>
      </c>
      <c r="R5278" s="282" t="e">
        <f>++Tabla4[[#This Row],[Precio Unitario Neto]]-Tabla4[[#This Row],[20.85%]]-Tabla4[[#This Row],[Costo]]</f>
        <v>#N/A</v>
      </c>
      <c r="S5278" s="282" t="e">
        <f>++Tabla4[[#This Row],[U. Bruta Uni]]*Tabla4[[#This Row],[Cantidad]]</f>
        <v>#N/A</v>
      </c>
      <c r="T5278" s="369" t="str">
        <f>VLOOKUP(Tabla4[[#This Row],[Producto]],Tabla6[#All],14,FALSE)</f>
        <v>Termico Solar</v>
      </c>
      <c r="U5278" s="284" t="e">
        <f>(IF(Tabla4[[#This Row],[Familia]]="termico solar",Tabla4[[#This Row],[Utilidad Total]]*6%,Tabla4[[#This Row],[Utilidad Total]]*11.5%))/Tabla4[[#This Row],[Total]]</f>
        <v>#N/A</v>
      </c>
      <c r="V5278" s="282" t="e">
        <f>+Tabla4[[#This Row],[Comisión Calculada]]*Tabla4[[#This Row],[Total]]</f>
        <v>#N/A</v>
      </c>
    </row>
    <row r="5279" spans="1:22" hidden="1" x14ac:dyDescent="0.25">
      <c r="A5279" s="100">
        <v>45884</v>
      </c>
      <c r="B5279" t="str">
        <f t="shared" si="256"/>
        <v>August</v>
      </c>
      <c r="C5279" s="46" t="s">
        <v>280</v>
      </c>
      <c r="F5279" s="366" t="s">
        <v>2747</v>
      </c>
      <c r="G5279" s="46" t="s">
        <v>208</v>
      </c>
      <c r="H5279" s="46">
        <v>4</v>
      </c>
      <c r="I5279" s="51">
        <v>189.75</v>
      </c>
      <c r="J5279" s="281">
        <f>++Tabla4[[#This Row],[Precio Bruto]]*1.16</f>
        <v>220.10999999999999</v>
      </c>
      <c r="K5279" s="281">
        <f>+Tabla4[[#This Row],[Precio Unitario Neto]]*Tabla4[[#Headers],[20.85%]]</f>
        <v>45.892934999999994</v>
      </c>
      <c r="L5279" s="282">
        <f>++Tabla4[[#This Row],[Precio Unitario Neto]]-Tabla4[[#This Row],[20.85%]]</f>
        <v>174.21706499999999</v>
      </c>
      <c r="M5279" s="282" t="e">
        <f>(INDEX(Tabla6[#All],MATCH(Tabla4[[#This Row],[Producto]],Tabla6[[#All],[PRODUCTO]],0),MATCH(Tabla4[[#This Row],[Mes]],Tabla6[#Headers],0)))*(1+Catalogos!$L$2)</f>
        <v>#N/A</v>
      </c>
      <c r="N5279" s="283" t="e">
        <f>+(Tabla4[[#This Row],[Precio Descontado]]-Tabla4[[#This Row],[Precio Base]])*Tabla4[[#This Row],[Cantidad]]</f>
        <v>#N/A</v>
      </c>
      <c r="O5279" s="284" t="e">
        <f>++Tabla4[[#This Row],[Utilidad Total]]/Tabla4[[#This Row],[Total]]</f>
        <v>#N/A</v>
      </c>
      <c r="P5279" s="282">
        <f>++Tabla4[[#This Row],[Precio Descontado]]*Tabla4[[#This Row],[Cantidad]]</f>
        <v>696.86825999999996</v>
      </c>
      <c r="Q5279" s="282" t="e">
        <f>(INDEX(Tabla6[#All],MATCH(Tabla4[[#This Row],[Producto]],Tabla6[[#All],[PRODUCTO]],0),MATCH(Tabla4[[#This Row],[Mes]],Tabla6[#Headers],0)))</f>
        <v>#N/A</v>
      </c>
      <c r="R5279" s="282" t="e">
        <f>++Tabla4[[#This Row],[Precio Unitario Neto]]-Tabla4[[#This Row],[20.85%]]-Tabla4[[#This Row],[Costo]]</f>
        <v>#N/A</v>
      </c>
      <c r="S5279" s="282" t="e">
        <f>++Tabla4[[#This Row],[U. Bruta Uni]]*Tabla4[[#This Row],[Cantidad]]</f>
        <v>#N/A</v>
      </c>
      <c r="T5279" s="369" t="str">
        <f>VLOOKUP(Tabla4[[#This Row],[Producto]],Tabla6[#All],14,FALSE)</f>
        <v>Termico Solar</v>
      </c>
      <c r="U5279" s="284" t="e">
        <f>(IF(Tabla4[[#This Row],[Familia]]="termico solar",Tabla4[[#This Row],[Utilidad Total]]*6%,Tabla4[[#This Row],[Utilidad Total]]*11.5%))/Tabla4[[#This Row],[Total]]</f>
        <v>#N/A</v>
      </c>
      <c r="V5279" s="282" t="e">
        <f>+Tabla4[[#This Row],[Comisión Calculada]]*Tabla4[[#This Row],[Total]]</f>
        <v>#N/A</v>
      </c>
    </row>
    <row r="5280" spans="1:22" hidden="1" x14ac:dyDescent="0.25">
      <c r="A5280" s="100">
        <v>45884</v>
      </c>
      <c r="B5280" t="str">
        <f t="shared" si="256"/>
        <v>August</v>
      </c>
      <c r="C5280" s="46" t="s">
        <v>280</v>
      </c>
      <c r="F5280" s="366" t="s">
        <v>2748</v>
      </c>
      <c r="G5280" s="46" t="s">
        <v>17</v>
      </c>
      <c r="H5280" s="46">
        <v>1</v>
      </c>
      <c r="I5280" s="51">
        <v>4622.28</v>
      </c>
      <c r="J5280" s="281">
        <f>++Tabla4[[#This Row],[Precio Bruto]]*1.16</f>
        <v>5361.8447999999989</v>
      </c>
      <c r="K5280" s="281">
        <f>+Tabla4[[#This Row],[Precio Unitario Neto]]*Tabla4[[#Headers],[20.85%]]</f>
        <v>1117.9446407999997</v>
      </c>
      <c r="L5280" s="282">
        <f>++Tabla4[[#This Row],[Precio Unitario Neto]]-Tabla4[[#This Row],[20.85%]]</f>
        <v>4243.9001591999995</v>
      </c>
      <c r="M5280" s="282" t="e">
        <f>(INDEX(Tabla6[#All],MATCH(Tabla4[[#This Row],[Producto]],Tabla6[[#All],[PRODUCTO]],0),MATCH(Tabla4[[#This Row],[Mes]],Tabla6[#Headers],0)))*(1+Catalogos!$L$2)</f>
        <v>#N/A</v>
      </c>
      <c r="N5280" s="283" t="e">
        <f>+(Tabla4[[#This Row],[Precio Descontado]]-Tabla4[[#This Row],[Precio Base]])*Tabla4[[#This Row],[Cantidad]]</f>
        <v>#N/A</v>
      </c>
      <c r="O5280" s="284" t="e">
        <f>++Tabla4[[#This Row],[Utilidad Total]]/Tabla4[[#This Row],[Total]]</f>
        <v>#N/A</v>
      </c>
      <c r="P5280" s="282">
        <f>++Tabla4[[#This Row],[Precio Descontado]]*Tabla4[[#This Row],[Cantidad]]</f>
        <v>4243.9001591999995</v>
      </c>
      <c r="Q5280" s="282" t="e">
        <f>(INDEX(Tabla6[#All],MATCH(Tabla4[[#This Row],[Producto]],Tabla6[[#All],[PRODUCTO]],0),MATCH(Tabla4[[#This Row],[Mes]],Tabla6[#Headers],0)))</f>
        <v>#N/A</v>
      </c>
      <c r="R5280" s="282" t="e">
        <f>++Tabla4[[#This Row],[Precio Unitario Neto]]-Tabla4[[#This Row],[20.85%]]-Tabla4[[#This Row],[Costo]]</f>
        <v>#N/A</v>
      </c>
      <c r="S5280" s="282" t="e">
        <f>++Tabla4[[#This Row],[U. Bruta Uni]]*Tabla4[[#This Row],[Cantidad]]</f>
        <v>#N/A</v>
      </c>
      <c r="T5280" s="369" t="str">
        <f>VLOOKUP(Tabla4[[#This Row],[Producto]],Tabla6[#All],14,FALSE)</f>
        <v>Termico Solar</v>
      </c>
      <c r="U5280" s="284" t="e">
        <f>(IF(Tabla4[[#This Row],[Familia]]="termico solar",Tabla4[[#This Row],[Utilidad Total]]*6%,Tabla4[[#This Row],[Utilidad Total]]*11.5%))/Tabla4[[#This Row],[Total]]</f>
        <v>#N/A</v>
      </c>
      <c r="V5280" s="282" t="e">
        <f>+Tabla4[[#This Row],[Comisión Calculada]]*Tabla4[[#This Row],[Total]]</f>
        <v>#N/A</v>
      </c>
    </row>
    <row r="5281" spans="1:22" hidden="1" x14ac:dyDescent="0.25">
      <c r="A5281" s="100">
        <v>45884</v>
      </c>
      <c r="B5281" t="str">
        <f t="shared" ref="B5281:B5312" si="257">TEXT(A5281, "mmmm")</f>
        <v>August</v>
      </c>
      <c r="C5281" s="46" t="s">
        <v>280</v>
      </c>
      <c r="F5281" s="366" t="s">
        <v>2749</v>
      </c>
      <c r="G5281" s="46" t="s">
        <v>17</v>
      </c>
      <c r="H5281" s="46">
        <v>1</v>
      </c>
      <c r="I5281" s="51">
        <v>4622.28</v>
      </c>
      <c r="J5281" s="281">
        <f>++Tabla4[[#This Row],[Precio Bruto]]*1.16</f>
        <v>5361.8447999999989</v>
      </c>
      <c r="K5281" s="281">
        <f>+Tabla4[[#This Row],[Precio Unitario Neto]]*Tabla4[[#Headers],[20.85%]]</f>
        <v>1117.9446407999997</v>
      </c>
      <c r="L5281" s="282">
        <f>++Tabla4[[#This Row],[Precio Unitario Neto]]-Tabla4[[#This Row],[20.85%]]</f>
        <v>4243.9001591999995</v>
      </c>
      <c r="M5281" s="282" t="e">
        <f>(INDEX(Tabla6[#All],MATCH(Tabla4[[#This Row],[Producto]],Tabla6[[#All],[PRODUCTO]],0),MATCH(Tabla4[[#This Row],[Mes]],Tabla6[#Headers],0)))*(1+Catalogos!$L$2)</f>
        <v>#N/A</v>
      </c>
      <c r="N5281" s="283" t="e">
        <f>+(Tabla4[[#This Row],[Precio Descontado]]-Tabla4[[#This Row],[Precio Base]])*Tabla4[[#This Row],[Cantidad]]</f>
        <v>#N/A</v>
      </c>
      <c r="O5281" s="284" t="e">
        <f>++Tabla4[[#This Row],[Utilidad Total]]/Tabla4[[#This Row],[Total]]</f>
        <v>#N/A</v>
      </c>
      <c r="P5281" s="282">
        <f>++Tabla4[[#This Row],[Precio Descontado]]*Tabla4[[#This Row],[Cantidad]]</f>
        <v>4243.9001591999995</v>
      </c>
      <c r="Q5281" s="282" t="e">
        <f>(INDEX(Tabla6[#All],MATCH(Tabla4[[#This Row],[Producto]],Tabla6[[#All],[PRODUCTO]],0),MATCH(Tabla4[[#This Row],[Mes]],Tabla6[#Headers],0)))</f>
        <v>#N/A</v>
      </c>
      <c r="R5281" s="282" t="e">
        <f>++Tabla4[[#This Row],[Precio Unitario Neto]]-Tabla4[[#This Row],[20.85%]]-Tabla4[[#This Row],[Costo]]</f>
        <v>#N/A</v>
      </c>
      <c r="S5281" s="282" t="e">
        <f>++Tabla4[[#This Row],[U. Bruta Uni]]*Tabla4[[#This Row],[Cantidad]]</f>
        <v>#N/A</v>
      </c>
      <c r="T5281" s="369" t="str">
        <f>VLOOKUP(Tabla4[[#This Row],[Producto]],Tabla6[#All],14,FALSE)</f>
        <v>Termico Solar</v>
      </c>
      <c r="U5281" s="284" t="e">
        <f>(IF(Tabla4[[#This Row],[Familia]]="termico solar",Tabla4[[#This Row],[Utilidad Total]]*6%,Tabla4[[#This Row],[Utilidad Total]]*11.5%))/Tabla4[[#This Row],[Total]]</f>
        <v>#N/A</v>
      </c>
      <c r="V5281" s="282" t="e">
        <f>+Tabla4[[#This Row],[Comisión Calculada]]*Tabla4[[#This Row],[Total]]</f>
        <v>#N/A</v>
      </c>
    </row>
    <row r="5282" spans="1:22" hidden="1" x14ac:dyDescent="0.25">
      <c r="A5282" s="100">
        <v>45884</v>
      </c>
      <c r="B5282" t="str">
        <f t="shared" si="257"/>
        <v>August</v>
      </c>
      <c r="C5282" s="46" t="s">
        <v>280</v>
      </c>
      <c r="F5282" s="366" t="s">
        <v>2749</v>
      </c>
      <c r="G5282" s="46" t="s">
        <v>16</v>
      </c>
      <c r="H5282" s="46">
        <v>1</v>
      </c>
      <c r="I5282" s="51">
        <v>4103.8500000000004</v>
      </c>
      <c r="J5282" s="281">
        <f>++Tabla4[[#This Row],[Precio Bruto]]*1.16</f>
        <v>4760.4660000000003</v>
      </c>
      <c r="K5282" s="281">
        <f>+Tabla4[[#This Row],[Precio Unitario Neto]]*Tabla4[[#Headers],[20.85%]]</f>
        <v>992.55716100000006</v>
      </c>
      <c r="L5282" s="282">
        <f>++Tabla4[[#This Row],[Precio Unitario Neto]]-Tabla4[[#This Row],[20.85%]]</f>
        <v>3767.9088390000002</v>
      </c>
      <c r="M5282" s="282" t="e">
        <f>(INDEX(Tabla6[#All],MATCH(Tabla4[[#This Row],[Producto]],Tabla6[[#All],[PRODUCTO]],0),MATCH(Tabla4[[#This Row],[Mes]],Tabla6[#Headers],0)))*(1+Catalogos!$L$2)</f>
        <v>#N/A</v>
      </c>
      <c r="N5282" s="283" t="e">
        <f>+(Tabla4[[#This Row],[Precio Descontado]]-Tabla4[[#This Row],[Precio Base]])*Tabla4[[#This Row],[Cantidad]]</f>
        <v>#N/A</v>
      </c>
      <c r="O5282" s="284" t="e">
        <f>++Tabla4[[#This Row],[Utilidad Total]]/Tabla4[[#This Row],[Total]]</f>
        <v>#N/A</v>
      </c>
      <c r="P5282" s="282">
        <f>++Tabla4[[#This Row],[Precio Descontado]]*Tabla4[[#This Row],[Cantidad]]</f>
        <v>3767.9088390000002</v>
      </c>
      <c r="Q5282" s="282" t="e">
        <f>(INDEX(Tabla6[#All],MATCH(Tabla4[[#This Row],[Producto]],Tabla6[[#All],[PRODUCTO]],0),MATCH(Tabla4[[#This Row],[Mes]],Tabla6[#Headers],0)))</f>
        <v>#N/A</v>
      </c>
      <c r="R5282" s="282" t="e">
        <f>++Tabla4[[#This Row],[Precio Unitario Neto]]-Tabla4[[#This Row],[20.85%]]-Tabla4[[#This Row],[Costo]]</f>
        <v>#N/A</v>
      </c>
      <c r="S5282" s="282" t="e">
        <f>++Tabla4[[#This Row],[U. Bruta Uni]]*Tabla4[[#This Row],[Cantidad]]</f>
        <v>#N/A</v>
      </c>
      <c r="T5282" s="369" t="str">
        <f>VLOOKUP(Tabla4[[#This Row],[Producto]],Tabla6[#All],14,FALSE)</f>
        <v>Termico Solar</v>
      </c>
      <c r="U5282" s="284" t="e">
        <f>(IF(Tabla4[[#This Row],[Familia]]="termico solar",Tabla4[[#This Row],[Utilidad Total]]*6%,Tabla4[[#This Row],[Utilidad Total]]*11.5%))/Tabla4[[#This Row],[Total]]</f>
        <v>#N/A</v>
      </c>
      <c r="V5282" s="282" t="e">
        <f>+Tabla4[[#This Row],[Comisión Calculada]]*Tabla4[[#This Row],[Total]]</f>
        <v>#N/A</v>
      </c>
    </row>
    <row r="5283" spans="1:22" hidden="1" x14ac:dyDescent="0.25">
      <c r="A5283" s="100">
        <v>45884</v>
      </c>
      <c r="B5283" t="str">
        <f t="shared" si="257"/>
        <v>August</v>
      </c>
      <c r="C5283" s="46" t="s">
        <v>280</v>
      </c>
      <c r="F5283" s="366" t="s">
        <v>2749</v>
      </c>
      <c r="G5283" s="46" t="s">
        <v>208</v>
      </c>
      <c r="H5283" s="46">
        <v>2</v>
      </c>
      <c r="I5283" s="51">
        <v>189.75</v>
      </c>
      <c r="J5283" s="281">
        <f>++Tabla4[[#This Row],[Precio Bruto]]*1.16</f>
        <v>220.10999999999999</v>
      </c>
      <c r="K5283" s="281">
        <f>+Tabla4[[#This Row],[Precio Unitario Neto]]*Tabla4[[#Headers],[20.85%]]</f>
        <v>45.892934999999994</v>
      </c>
      <c r="L5283" s="282">
        <f>++Tabla4[[#This Row],[Precio Unitario Neto]]-Tabla4[[#This Row],[20.85%]]</f>
        <v>174.21706499999999</v>
      </c>
      <c r="M5283" s="282" t="e">
        <f>(INDEX(Tabla6[#All],MATCH(Tabla4[[#This Row],[Producto]],Tabla6[[#All],[PRODUCTO]],0),MATCH(Tabla4[[#This Row],[Mes]],Tabla6[#Headers],0)))*(1+Catalogos!$L$2)</f>
        <v>#N/A</v>
      </c>
      <c r="N5283" s="283" t="e">
        <f>+(Tabla4[[#This Row],[Precio Descontado]]-Tabla4[[#This Row],[Precio Base]])*Tabla4[[#This Row],[Cantidad]]</f>
        <v>#N/A</v>
      </c>
      <c r="O5283" s="284" t="e">
        <f>++Tabla4[[#This Row],[Utilidad Total]]/Tabla4[[#This Row],[Total]]</f>
        <v>#N/A</v>
      </c>
      <c r="P5283" s="282">
        <f>++Tabla4[[#This Row],[Precio Descontado]]*Tabla4[[#This Row],[Cantidad]]</f>
        <v>348.43412999999998</v>
      </c>
      <c r="Q5283" s="282" t="e">
        <f>(INDEX(Tabla6[#All],MATCH(Tabla4[[#This Row],[Producto]],Tabla6[[#All],[PRODUCTO]],0),MATCH(Tabla4[[#This Row],[Mes]],Tabla6[#Headers],0)))</f>
        <v>#N/A</v>
      </c>
      <c r="R5283" s="282" t="e">
        <f>++Tabla4[[#This Row],[Precio Unitario Neto]]-Tabla4[[#This Row],[20.85%]]-Tabla4[[#This Row],[Costo]]</f>
        <v>#N/A</v>
      </c>
      <c r="S5283" s="282" t="e">
        <f>++Tabla4[[#This Row],[U. Bruta Uni]]*Tabla4[[#This Row],[Cantidad]]</f>
        <v>#N/A</v>
      </c>
      <c r="T5283" s="369" t="str">
        <f>VLOOKUP(Tabla4[[#This Row],[Producto]],Tabla6[#All],14,FALSE)</f>
        <v>Termico Solar</v>
      </c>
      <c r="U5283" s="284" t="e">
        <f>(IF(Tabla4[[#This Row],[Familia]]="termico solar",Tabla4[[#This Row],[Utilidad Total]]*6%,Tabla4[[#This Row],[Utilidad Total]]*11.5%))/Tabla4[[#This Row],[Total]]</f>
        <v>#N/A</v>
      </c>
      <c r="V5283" s="282" t="e">
        <f>+Tabla4[[#This Row],[Comisión Calculada]]*Tabla4[[#This Row],[Total]]</f>
        <v>#N/A</v>
      </c>
    </row>
    <row r="5284" spans="1:22" hidden="1" x14ac:dyDescent="0.25">
      <c r="A5284" s="100">
        <v>45884</v>
      </c>
      <c r="B5284" t="str">
        <f t="shared" si="257"/>
        <v>August</v>
      </c>
      <c r="C5284" s="46" t="s">
        <v>280</v>
      </c>
      <c r="F5284" s="366" t="s">
        <v>2750</v>
      </c>
      <c r="G5284" s="46" t="s">
        <v>566</v>
      </c>
      <c r="H5284" s="46">
        <v>1</v>
      </c>
      <c r="I5284" s="51">
        <v>2109.4499999999998</v>
      </c>
      <c r="J5284" s="281">
        <f>++Tabla4[[#This Row],[Precio Bruto]]*1.16</f>
        <v>2446.9619999999995</v>
      </c>
      <c r="K5284" s="281">
        <f>+Tabla4[[#This Row],[Precio Unitario Neto]]*Tabla4[[#Headers],[20.85%]]</f>
        <v>510.19157699999988</v>
      </c>
      <c r="L5284" s="282">
        <f>++Tabla4[[#This Row],[Precio Unitario Neto]]-Tabla4[[#This Row],[20.85%]]</f>
        <v>1936.7704229999997</v>
      </c>
      <c r="M5284" s="282" t="e">
        <f>(INDEX(Tabla6[#All],MATCH(Tabla4[[#This Row],[Producto]],Tabla6[[#All],[PRODUCTO]],0),MATCH(Tabla4[[#This Row],[Mes]],Tabla6[#Headers],0)))*(1+Catalogos!$L$2)</f>
        <v>#N/A</v>
      </c>
      <c r="N5284" s="283" t="e">
        <f>+(Tabla4[[#This Row],[Precio Descontado]]-Tabla4[[#This Row],[Precio Base]])*Tabla4[[#This Row],[Cantidad]]</f>
        <v>#N/A</v>
      </c>
      <c r="O5284" s="284" t="e">
        <f>++Tabla4[[#This Row],[Utilidad Total]]/Tabla4[[#This Row],[Total]]</f>
        <v>#N/A</v>
      </c>
      <c r="P5284" s="282">
        <f>++Tabla4[[#This Row],[Precio Descontado]]*Tabla4[[#This Row],[Cantidad]]</f>
        <v>1936.7704229999997</v>
      </c>
      <c r="Q5284" s="282" t="e">
        <f>(INDEX(Tabla6[#All],MATCH(Tabla4[[#This Row],[Producto]],Tabla6[[#All],[PRODUCTO]],0),MATCH(Tabla4[[#This Row],[Mes]],Tabla6[#Headers],0)))</f>
        <v>#N/A</v>
      </c>
      <c r="R5284" s="282" t="e">
        <f>++Tabla4[[#This Row],[Precio Unitario Neto]]-Tabla4[[#This Row],[20.85%]]-Tabla4[[#This Row],[Costo]]</f>
        <v>#N/A</v>
      </c>
      <c r="S5284" s="282" t="e">
        <f>++Tabla4[[#This Row],[U. Bruta Uni]]*Tabla4[[#This Row],[Cantidad]]</f>
        <v>#N/A</v>
      </c>
      <c r="T5284" s="369" t="str">
        <f>VLOOKUP(Tabla4[[#This Row],[Producto]],Tabla6[#All],14,FALSE)</f>
        <v>Termico Solar</v>
      </c>
      <c r="U5284" s="284" t="e">
        <f>(IF(Tabla4[[#This Row],[Familia]]="termico solar",Tabla4[[#This Row],[Utilidad Total]]*6%,Tabla4[[#This Row],[Utilidad Total]]*11.5%))/Tabla4[[#This Row],[Total]]</f>
        <v>#N/A</v>
      </c>
      <c r="V5284" s="282" t="e">
        <f>+Tabla4[[#This Row],[Comisión Calculada]]*Tabla4[[#This Row],[Total]]</f>
        <v>#N/A</v>
      </c>
    </row>
    <row r="5285" spans="1:22" hidden="1" x14ac:dyDescent="0.25">
      <c r="A5285" s="100">
        <v>45884</v>
      </c>
      <c r="B5285" t="str">
        <f t="shared" si="257"/>
        <v>August</v>
      </c>
      <c r="C5285" s="46" t="s">
        <v>280</v>
      </c>
      <c r="F5285" s="366" t="s">
        <v>2751</v>
      </c>
      <c r="G5285" s="46" t="s">
        <v>208</v>
      </c>
      <c r="H5285" s="46">
        <v>2</v>
      </c>
      <c r="I5285" s="51">
        <v>189.75</v>
      </c>
      <c r="J5285" s="281">
        <f>++Tabla4[[#This Row],[Precio Bruto]]*1.16</f>
        <v>220.10999999999999</v>
      </c>
      <c r="K5285" s="281">
        <f>+Tabla4[[#This Row],[Precio Unitario Neto]]*Tabla4[[#Headers],[20.85%]]</f>
        <v>45.892934999999994</v>
      </c>
      <c r="L5285" s="282">
        <f>++Tabla4[[#This Row],[Precio Unitario Neto]]-Tabla4[[#This Row],[20.85%]]</f>
        <v>174.21706499999999</v>
      </c>
      <c r="M5285" s="282" t="e">
        <f>(INDEX(Tabla6[#All],MATCH(Tabla4[[#This Row],[Producto]],Tabla6[[#All],[PRODUCTO]],0),MATCH(Tabla4[[#This Row],[Mes]],Tabla6[#Headers],0)))*(1+Catalogos!$L$2)</f>
        <v>#N/A</v>
      </c>
      <c r="N5285" s="283" t="e">
        <f>+(Tabla4[[#This Row],[Precio Descontado]]-Tabla4[[#This Row],[Precio Base]])*Tabla4[[#This Row],[Cantidad]]</f>
        <v>#N/A</v>
      </c>
      <c r="O5285" s="284" t="e">
        <f>++Tabla4[[#This Row],[Utilidad Total]]/Tabla4[[#This Row],[Total]]</f>
        <v>#N/A</v>
      </c>
      <c r="P5285" s="282">
        <f>++Tabla4[[#This Row],[Precio Descontado]]*Tabla4[[#This Row],[Cantidad]]</f>
        <v>348.43412999999998</v>
      </c>
      <c r="Q5285" s="282" t="e">
        <f>(INDEX(Tabla6[#All],MATCH(Tabla4[[#This Row],[Producto]],Tabla6[[#All],[PRODUCTO]],0),MATCH(Tabla4[[#This Row],[Mes]],Tabla6[#Headers],0)))</f>
        <v>#N/A</v>
      </c>
      <c r="R5285" s="282" t="e">
        <f>++Tabla4[[#This Row],[Precio Unitario Neto]]-Tabla4[[#This Row],[20.85%]]-Tabla4[[#This Row],[Costo]]</f>
        <v>#N/A</v>
      </c>
      <c r="S5285" s="282" t="e">
        <f>++Tabla4[[#This Row],[U. Bruta Uni]]*Tabla4[[#This Row],[Cantidad]]</f>
        <v>#N/A</v>
      </c>
      <c r="T5285" s="369" t="str">
        <f>VLOOKUP(Tabla4[[#This Row],[Producto]],Tabla6[#All],14,FALSE)</f>
        <v>Termico Solar</v>
      </c>
      <c r="U5285" s="284" t="e">
        <f>(IF(Tabla4[[#This Row],[Familia]]="termico solar",Tabla4[[#This Row],[Utilidad Total]]*6%,Tabla4[[#This Row],[Utilidad Total]]*11.5%))/Tabla4[[#This Row],[Total]]</f>
        <v>#N/A</v>
      </c>
      <c r="V5285" s="282" t="e">
        <f>+Tabla4[[#This Row],[Comisión Calculada]]*Tabla4[[#This Row],[Total]]</f>
        <v>#N/A</v>
      </c>
    </row>
    <row r="5286" spans="1:22" hidden="1" x14ac:dyDescent="0.25">
      <c r="A5286" s="100">
        <v>45884</v>
      </c>
      <c r="B5286" t="str">
        <f t="shared" si="257"/>
        <v>August</v>
      </c>
      <c r="C5286" s="46" t="s">
        <v>280</v>
      </c>
      <c r="F5286" s="366" t="s">
        <v>2752</v>
      </c>
      <c r="G5286" s="46" t="s">
        <v>17</v>
      </c>
      <c r="H5286" s="46">
        <v>2</v>
      </c>
      <c r="I5286" s="51">
        <v>4622.28</v>
      </c>
      <c r="J5286" s="281">
        <f>++Tabla4[[#This Row],[Precio Bruto]]*1.16</f>
        <v>5361.8447999999989</v>
      </c>
      <c r="K5286" s="281">
        <f>+Tabla4[[#This Row],[Precio Unitario Neto]]*Tabla4[[#Headers],[20.85%]]</f>
        <v>1117.9446407999997</v>
      </c>
      <c r="L5286" s="282">
        <f>++Tabla4[[#This Row],[Precio Unitario Neto]]-Tabla4[[#This Row],[20.85%]]</f>
        <v>4243.9001591999995</v>
      </c>
      <c r="M5286" s="282" t="e">
        <f>(INDEX(Tabla6[#All],MATCH(Tabla4[[#This Row],[Producto]],Tabla6[[#All],[PRODUCTO]],0),MATCH(Tabla4[[#This Row],[Mes]],Tabla6[#Headers],0)))*(1+Catalogos!$L$2)</f>
        <v>#N/A</v>
      </c>
      <c r="N5286" s="283" t="e">
        <f>+(Tabla4[[#This Row],[Precio Descontado]]-Tabla4[[#This Row],[Precio Base]])*Tabla4[[#This Row],[Cantidad]]</f>
        <v>#N/A</v>
      </c>
      <c r="O5286" s="284" t="e">
        <f>++Tabla4[[#This Row],[Utilidad Total]]/Tabla4[[#This Row],[Total]]</f>
        <v>#N/A</v>
      </c>
      <c r="P5286" s="282">
        <f>++Tabla4[[#This Row],[Precio Descontado]]*Tabla4[[#This Row],[Cantidad]]</f>
        <v>8487.800318399999</v>
      </c>
      <c r="Q5286" s="282" t="e">
        <f>(INDEX(Tabla6[#All],MATCH(Tabla4[[#This Row],[Producto]],Tabla6[[#All],[PRODUCTO]],0),MATCH(Tabla4[[#This Row],[Mes]],Tabla6[#Headers],0)))</f>
        <v>#N/A</v>
      </c>
      <c r="R5286" s="282" t="e">
        <f>++Tabla4[[#This Row],[Precio Unitario Neto]]-Tabla4[[#This Row],[20.85%]]-Tabla4[[#This Row],[Costo]]</f>
        <v>#N/A</v>
      </c>
      <c r="S5286" s="282" t="e">
        <f>++Tabla4[[#This Row],[U. Bruta Uni]]*Tabla4[[#This Row],[Cantidad]]</f>
        <v>#N/A</v>
      </c>
      <c r="T5286" s="369" t="str">
        <f>VLOOKUP(Tabla4[[#This Row],[Producto]],Tabla6[#All],14,FALSE)</f>
        <v>Termico Solar</v>
      </c>
      <c r="U5286" s="284" t="e">
        <f>(IF(Tabla4[[#This Row],[Familia]]="termico solar",Tabla4[[#This Row],[Utilidad Total]]*6%,Tabla4[[#This Row],[Utilidad Total]]*11.5%))/Tabla4[[#This Row],[Total]]</f>
        <v>#N/A</v>
      </c>
      <c r="V5286" s="282" t="e">
        <f>+Tabla4[[#This Row],[Comisión Calculada]]*Tabla4[[#This Row],[Total]]</f>
        <v>#N/A</v>
      </c>
    </row>
    <row r="5287" spans="1:22" hidden="1" x14ac:dyDescent="0.25">
      <c r="A5287" s="100">
        <v>45884</v>
      </c>
      <c r="B5287" t="str">
        <f t="shared" si="257"/>
        <v>August</v>
      </c>
      <c r="C5287" s="46" t="s">
        <v>280</v>
      </c>
      <c r="F5287" s="366" t="s">
        <v>2752</v>
      </c>
      <c r="G5287" s="46" t="s">
        <v>18</v>
      </c>
      <c r="H5287" s="46">
        <v>1</v>
      </c>
      <c r="I5287" s="51">
        <v>5367.65</v>
      </c>
      <c r="J5287" s="281">
        <f>++Tabla4[[#This Row],[Precio Bruto]]*1.16</f>
        <v>6226.4739999999993</v>
      </c>
      <c r="K5287" s="281">
        <f>+Tabla4[[#This Row],[Precio Unitario Neto]]*Tabla4[[#Headers],[20.85%]]</f>
        <v>1298.2198289999999</v>
      </c>
      <c r="L5287" s="282">
        <f>++Tabla4[[#This Row],[Precio Unitario Neto]]-Tabla4[[#This Row],[20.85%]]</f>
        <v>4928.2541709999996</v>
      </c>
      <c r="M5287" s="282" t="e">
        <f>(INDEX(Tabla6[#All],MATCH(Tabla4[[#This Row],[Producto]],Tabla6[[#All],[PRODUCTO]],0),MATCH(Tabla4[[#This Row],[Mes]],Tabla6[#Headers],0)))*(1+Catalogos!$L$2)</f>
        <v>#N/A</v>
      </c>
      <c r="N5287" s="283" t="e">
        <f>+(Tabla4[[#This Row],[Precio Descontado]]-Tabla4[[#This Row],[Precio Base]])*Tabla4[[#This Row],[Cantidad]]</f>
        <v>#N/A</v>
      </c>
      <c r="O5287" s="284" t="e">
        <f>++Tabla4[[#This Row],[Utilidad Total]]/Tabla4[[#This Row],[Total]]</f>
        <v>#N/A</v>
      </c>
      <c r="P5287" s="282">
        <f>++Tabla4[[#This Row],[Precio Descontado]]*Tabla4[[#This Row],[Cantidad]]</f>
        <v>4928.2541709999996</v>
      </c>
      <c r="Q5287" s="282" t="e">
        <f>(INDEX(Tabla6[#All],MATCH(Tabla4[[#This Row],[Producto]],Tabla6[[#All],[PRODUCTO]],0),MATCH(Tabla4[[#This Row],[Mes]],Tabla6[#Headers],0)))</f>
        <v>#N/A</v>
      </c>
      <c r="R5287" s="282" t="e">
        <f>++Tabla4[[#This Row],[Precio Unitario Neto]]-Tabla4[[#This Row],[20.85%]]-Tabla4[[#This Row],[Costo]]</f>
        <v>#N/A</v>
      </c>
      <c r="S5287" s="282" t="e">
        <f>++Tabla4[[#This Row],[U. Bruta Uni]]*Tabla4[[#This Row],[Cantidad]]</f>
        <v>#N/A</v>
      </c>
      <c r="T5287" s="369" t="str">
        <f>VLOOKUP(Tabla4[[#This Row],[Producto]],Tabla6[#All],14,FALSE)</f>
        <v>Termico Solar</v>
      </c>
      <c r="U5287" s="284" t="e">
        <f>(IF(Tabla4[[#This Row],[Familia]]="termico solar",Tabla4[[#This Row],[Utilidad Total]]*6%,Tabla4[[#This Row],[Utilidad Total]]*11.5%))/Tabla4[[#This Row],[Total]]</f>
        <v>#N/A</v>
      </c>
      <c r="V5287" s="282" t="e">
        <f>+Tabla4[[#This Row],[Comisión Calculada]]*Tabla4[[#This Row],[Total]]</f>
        <v>#N/A</v>
      </c>
    </row>
    <row r="5288" spans="1:22" hidden="1" x14ac:dyDescent="0.25">
      <c r="A5288" s="100">
        <v>45884</v>
      </c>
      <c r="B5288" t="str">
        <f t="shared" si="257"/>
        <v>August</v>
      </c>
      <c r="C5288" s="46" t="s">
        <v>280</v>
      </c>
      <c r="F5288" s="366" t="s">
        <v>2753</v>
      </c>
      <c r="G5288" s="46" t="s">
        <v>208</v>
      </c>
      <c r="H5288" s="46">
        <v>2</v>
      </c>
      <c r="I5288" s="51">
        <v>189.75</v>
      </c>
      <c r="J5288" s="281">
        <f>++Tabla4[[#This Row],[Precio Bruto]]*1.16</f>
        <v>220.10999999999999</v>
      </c>
      <c r="K5288" s="281">
        <f>+Tabla4[[#This Row],[Precio Unitario Neto]]*Tabla4[[#Headers],[20.85%]]</f>
        <v>45.892934999999994</v>
      </c>
      <c r="L5288" s="282">
        <f>++Tabla4[[#This Row],[Precio Unitario Neto]]-Tabla4[[#This Row],[20.85%]]</f>
        <v>174.21706499999999</v>
      </c>
      <c r="M5288" s="282" t="e">
        <f>(INDEX(Tabla6[#All],MATCH(Tabla4[[#This Row],[Producto]],Tabla6[[#All],[PRODUCTO]],0),MATCH(Tabla4[[#This Row],[Mes]],Tabla6[#Headers],0)))*(1+Catalogos!$L$2)</f>
        <v>#N/A</v>
      </c>
      <c r="N5288" s="283" t="e">
        <f>+(Tabla4[[#This Row],[Precio Descontado]]-Tabla4[[#This Row],[Precio Base]])*Tabla4[[#This Row],[Cantidad]]</f>
        <v>#N/A</v>
      </c>
      <c r="O5288" s="284" t="e">
        <f>++Tabla4[[#This Row],[Utilidad Total]]/Tabla4[[#This Row],[Total]]</f>
        <v>#N/A</v>
      </c>
      <c r="P5288" s="282">
        <f>++Tabla4[[#This Row],[Precio Descontado]]*Tabla4[[#This Row],[Cantidad]]</f>
        <v>348.43412999999998</v>
      </c>
      <c r="Q5288" s="282" t="e">
        <f>(INDEX(Tabla6[#All],MATCH(Tabla4[[#This Row],[Producto]],Tabla6[[#All],[PRODUCTO]],0),MATCH(Tabla4[[#This Row],[Mes]],Tabla6[#Headers],0)))</f>
        <v>#N/A</v>
      </c>
      <c r="R5288" s="282" t="e">
        <f>++Tabla4[[#This Row],[Precio Unitario Neto]]-Tabla4[[#This Row],[20.85%]]-Tabla4[[#This Row],[Costo]]</f>
        <v>#N/A</v>
      </c>
      <c r="S5288" s="282" t="e">
        <f>++Tabla4[[#This Row],[U. Bruta Uni]]*Tabla4[[#This Row],[Cantidad]]</f>
        <v>#N/A</v>
      </c>
      <c r="T5288" s="369" t="str">
        <f>VLOOKUP(Tabla4[[#This Row],[Producto]],Tabla6[#All],14,FALSE)</f>
        <v>Termico Solar</v>
      </c>
      <c r="U5288" s="284" t="e">
        <f>(IF(Tabla4[[#This Row],[Familia]]="termico solar",Tabla4[[#This Row],[Utilidad Total]]*6%,Tabla4[[#This Row],[Utilidad Total]]*11.5%))/Tabla4[[#This Row],[Total]]</f>
        <v>#N/A</v>
      </c>
      <c r="V5288" s="282" t="e">
        <f>+Tabla4[[#This Row],[Comisión Calculada]]*Tabla4[[#This Row],[Total]]</f>
        <v>#N/A</v>
      </c>
    </row>
    <row r="5289" spans="1:22" hidden="1" x14ac:dyDescent="0.25">
      <c r="A5289" s="100">
        <v>45884</v>
      </c>
      <c r="B5289" t="str">
        <f t="shared" si="257"/>
        <v>August</v>
      </c>
      <c r="C5289" s="46" t="s">
        <v>280</v>
      </c>
      <c r="F5289" s="366" t="s">
        <v>2754</v>
      </c>
      <c r="G5289" s="46" t="s">
        <v>566</v>
      </c>
      <c r="H5289" s="46">
        <v>1</v>
      </c>
      <c r="I5289" s="51">
        <v>2109.4499999999998</v>
      </c>
      <c r="J5289" s="281">
        <f>++Tabla4[[#This Row],[Precio Bruto]]*1.16</f>
        <v>2446.9619999999995</v>
      </c>
      <c r="K5289" s="281">
        <f>+Tabla4[[#This Row],[Precio Unitario Neto]]*Tabla4[[#Headers],[20.85%]]</f>
        <v>510.19157699999988</v>
      </c>
      <c r="L5289" s="282">
        <f>++Tabla4[[#This Row],[Precio Unitario Neto]]-Tabla4[[#This Row],[20.85%]]</f>
        <v>1936.7704229999997</v>
      </c>
      <c r="M5289" s="282" t="e">
        <f>(INDEX(Tabla6[#All],MATCH(Tabla4[[#This Row],[Producto]],Tabla6[[#All],[PRODUCTO]],0),MATCH(Tabla4[[#This Row],[Mes]],Tabla6[#Headers],0)))*(1+Catalogos!$L$2)</f>
        <v>#N/A</v>
      </c>
      <c r="N5289" s="283" t="e">
        <f>+(Tabla4[[#This Row],[Precio Descontado]]-Tabla4[[#This Row],[Precio Base]])*Tabla4[[#This Row],[Cantidad]]</f>
        <v>#N/A</v>
      </c>
      <c r="O5289" s="284" t="e">
        <f>++Tabla4[[#This Row],[Utilidad Total]]/Tabla4[[#This Row],[Total]]</f>
        <v>#N/A</v>
      </c>
      <c r="P5289" s="282">
        <f>++Tabla4[[#This Row],[Precio Descontado]]*Tabla4[[#This Row],[Cantidad]]</f>
        <v>1936.7704229999997</v>
      </c>
      <c r="Q5289" s="282" t="e">
        <f>(INDEX(Tabla6[#All],MATCH(Tabla4[[#This Row],[Producto]],Tabla6[[#All],[PRODUCTO]],0),MATCH(Tabla4[[#This Row],[Mes]],Tabla6[#Headers],0)))</f>
        <v>#N/A</v>
      </c>
      <c r="R5289" s="282" t="e">
        <f>++Tabla4[[#This Row],[Precio Unitario Neto]]-Tabla4[[#This Row],[20.85%]]-Tabla4[[#This Row],[Costo]]</f>
        <v>#N/A</v>
      </c>
      <c r="S5289" s="282" t="e">
        <f>++Tabla4[[#This Row],[U. Bruta Uni]]*Tabla4[[#This Row],[Cantidad]]</f>
        <v>#N/A</v>
      </c>
      <c r="T5289" s="369" t="str">
        <f>VLOOKUP(Tabla4[[#This Row],[Producto]],Tabla6[#All],14,FALSE)</f>
        <v>Termico Solar</v>
      </c>
      <c r="U5289" s="284" t="e">
        <f>(IF(Tabla4[[#This Row],[Familia]]="termico solar",Tabla4[[#This Row],[Utilidad Total]]*6%,Tabla4[[#This Row],[Utilidad Total]]*11.5%))/Tabla4[[#This Row],[Total]]</f>
        <v>#N/A</v>
      </c>
      <c r="V5289" s="282" t="e">
        <f>+Tabla4[[#This Row],[Comisión Calculada]]*Tabla4[[#This Row],[Total]]</f>
        <v>#N/A</v>
      </c>
    </row>
    <row r="5290" spans="1:22" hidden="1" x14ac:dyDescent="0.25">
      <c r="A5290" s="100">
        <v>45884</v>
      </c>
      <c r="B5290" t="str">
        <f t="shared" si="257"/>
        <v>August</v>
      </c>
      <c r="C5290" s="46" t="s">
        <v>280</v>
      </c>
      <c r="F5290" s="366" t="s">
        <v>2754</v>
      </c>
      <c r="G5290" s="46" t="s">
        <v>394</v>
      </c>
      <c r="H5290" s="46">
        <v>16</v>
      </c>
      <c r="I5290" s="51">
        <v>224.29</v>
      </c>
      <c r="J5290" s="281">
        <f>++Tabla4[[#This Row],[Precio Bruto]]*1.16</f>
        <v>260.1764</v>
      </c>
      <c r="K5290" s="281">
        <f>+Tabla4[[#This Row],[Precio Unitario Neto]]*Tabla4[[#Headers],[20.85%]]</f>
        <v>54.246779400000001</v>
      </c>
      <c r="L5290" s="282">
        <f>++Tabla4[[#This Row],[Precio Unitario Neto]]-Tabla4[[#This Row],[20.85%]]</f>
        <v>205.92962059999999</v>
      </c>
      <c r="M5290" s="282" t="e">
        <f>(INDEX(Tabla6[#All],MATCH(Tabla4[[#This Row],[Producto]],Tabla6[[#All],[PRODUCTO]],0),MATCH(Tabla4[[#This Row],[Mes]],Tabla6[#Headers],0)))*(1+Catalogos!$L$2)</f>
        <v>#N/A</v>
      </c>
      <c r="N5290" s="283" t="e">
        <f>+(Tabla4[[#This Row],[Precio Descontado]]-Tabla4[[#This Row],[Precio Base]])*Tabla4[[#This Row],[Cantidad]]</f>
        <v>#N/A</v>
      </c>
      <c r="O5290" s="284" t="e">
        <f>++Tabla4[[#This Row],[Utilidad Total]]/Tabla4[[#This Row],[Total]]</f>
        <v>#N/A</v>
      </c>
      <c r="P5290" s="282">
        <f>++Tabla4[[#This Row],[Precio Descontado]]*Tabla4[[#This Row],[Cantidad]]</f>
        <v>3294.8739295999999</v>
      </c>
      <c r="Q5290" s="282" t="e">
        <f>(INDEX(Tabla6[#All],MATCH(Tabla4[[#This Row],[Producto]],Tabla6[[#All],[PRODUCTO]],0),MATCH(Tabla4[[#This Row],[Mes]],Tabla6[#Headers],0)))</f>
        <v>#N/A</v>
      </c>
      <c r="R5290" s="282" t="e">
        <f>++Tabla4[[#This Row],[Precio Unitario Neto]]-Tabla4[[#This Row],[20.85%]]-Tabla4[[#This Row],[Costo]]</f>
        <v>#N/A</v>
      </c>
      <c r="S5290" s="282" t="e">
        <f>++Tabla4[[#This Row],[U. Bruta Uni]]*Tabla4[[#This Row],[Cantidad]]</f>
        <v>#N/A</v>
      </c>
      <c r="T5290" s="369" t="str">
        <f>VLOOKUP(Tabla4[[#This Row],[Producto]],Tabla6[#All],14,FALSE)</f>
        <v>Termico Solar</v>
      </c>
      <c r="U5290" s="284" t="e">
        <f>(IF(Tabla4[[#This Row],[Familia]]="termico solar",Tabla4[[#This Row],[Utilidad Total]]*6%,Tabla4[[#This Row],[Utilidad Total]]*11.5%))/Tabla4[[#This Row],[Total]]</f>
        <v>#N/A</v>
      </c>
      <c r="V5290" s="282" t="e">
        <f>+Tabla4[[#This Row],[Comisión Calculada]]*Tabla4[[#This Row],[Total]]</f>
        <v>#N/A</v>
      </c>
    </row>
    <row r="5291" spans="1:22" hidden="1" x14ac:dyDescent="0.25">
      <c r="A5291" s="100">
        <v>45884</v>
      </c>
      <c r="B5291" t="str">
        <f t="shared" si="257"/>
        <v>August</v>
      </c>
      <c r="C5291" s="46" t="s">
        <v>280</v>
      </c>
      <c r="F5291" s="366" t="s">
        <v>2755</v>
      </c>
      <c r="G5291" s="46" t="s">
        <v>83</v>
      </c>
      <c r="H5291" s="46">
        <v>2</v>
      </c>
      <c r="I5291" s="51">
        <v>8858.76</v>
      </c>
      <c r="J5291" s="281">
        <f>++Tabla4[[#This Row],[Precio Bruto]]*1.16</f>
        <v>10276.161599999999</v>
      </c>
      <c r="K5291" s="281">
        <f>+Tabla4[[#This Row],[Precio Unitario Neto]]*Tabla4[[#Headers],[20.85%]]</f>
        <v>2142.5796935999997</v>
      </c>
      <c r="L5291" s="282">
        <f>++Tabla4[[#This Row],[Precio Unitario Neto]]-Tabla4[[#This Row],[20.85%]]</f>
        <v>8133.5819063999998</v>
      </c>
      <c r="M5291" s="282" t="e">
        <f>(INDEX(Tabla6[#All],MATCH(Tabla4[[#This Row],[Producto]],Tabla6[[#All],[PRODUCTO]],0),MATCH(Tabla4[[#This Row],[Mes]],Tabla6[#Headers],0)))*(1+Catalogos!$L$2)</f>
        <v>#N/A</v>
      </c>
      <c r="N5291" s="283" t="e">
        <f>+(Tabla4[[#This Row],[Precio Descontado]]-Tabla4[[#This Row],[Precio Base]])*Tabla4[[#This Row],[Cantidad]]</f>
        <v>#N/A</v>
      </c>
      <c r="O5291" s="284" t="e">
        <f>++Tabla4[[#This Row],[Utilidad Total]]/Tabla4[[#This Row],[Total]]</f>
        <v>#N/A</v>
      </c>
      <c r="P5291" s="282">
        <f>++Tabla4[[#This Row],[Precio Descontado]]*Tabla4[[#This Row],[Cantidad]]</f>
        <v>16267.1638128</v>
      </c>
      <c r="Q5291" s="282" t="e">
        <f>(INDEX(Tabla6[#All],MATCH(Tabla4[[#This Row],[Producto]],Tabla6[[#All],[PRODUCTO]],0),MATCH(Tabla4[[#This Row],[Mes]],Tabla6[#Headers],0)))</f>
        <v>#N/A</v>
      </c>
      <c r="R5291" s="282" t="e">
        <f>++Tabla4[[#This Row],[Precio Unitario Neto]]-Tabla4[[#This Row],[20.85%]]-Tabla4[[#This Row],[Costo]]</f>
        <v>#N/A</v>
      </c>
      <c r="S5291" s="282" t="e">
        <f>++Tabla4[[#This Row],[U. Bruta Uni]]*Tabla4[[#This Row],[Cantidad]]</f>
        <v>#N/A</v>
      </c>
      <c r="T5291" s="369" t="str">
        <f>VLOOKUP(Tabla4[[#This Row],[Producto]],Tabla6[#All],14,FALSE)</f>
        <v>Termico Solar</v>
      </c>
      <c r="U5291" s="284" t="e">
        <f>(IF(Tabla4[[#This Row],[Familia]]="termico solar",Tabla4[[#This Row],[Utilidad Total]]*6%,Tabla4[[#This Row],[Utilidad Total]]*11.5%))/Tabla4[[#This Row],[Total]]</f>
        <v>#N/A</v>
      </c>
      <c r="V5291" s="282" t="e">
        <f>+Tabla4[[#This Row],[Comisión Calculada]]*Tabla4[[#This Row],[Total]]</f>
        <v>#N/A</v>
      </c>
    </row>
    <row r="5292" spans="1:22" hidden="1" x14ac:dyDescent="0.25">
      <c r="A5292" s="100">
        <v>45884</v>
      </c>
      <c r="B5292" t="str">
        <f t="shared" si="257"/>
        <v>August</v>
      </c>
      <c r="C5292" s="46" t="s">
        <v>280</v>
      </c>
      <c r="F5292" s="366" t="s">
        <v>2755</v>
      </c>
      <c r="G5292" s="46" t="s">
        <v>18</v>
      </c>
      <c r="H5292" s="46">
        <v>2</v>
      </c>
      <c r="I5292" s="51">
        <v>5367.65</v>
      </c>
      <c r="J5292" s="281">
        <f>++Tabla4[[#This Row],[Precio Bruto]]*1.16</f>
        <v>6226.4739999999993</v>
      </c>
      <c r="K5292" s="281">
        <f>+Tabla4[[#This Row],[Precio Unitario Neto]]*Tabla4[[#Headers],[20.85%]]</f>
        <v>1298.2198289999999</v>
      </c>
      <c r="L5292" s="282">
        <f>++Tabla4[[#This Row],[Precio Unitario Neto]]-Tabla4[[#This Row],[20.85%]]</f>
        <v>4928.2541709999996</v>
      </c>
      <c r="M5292" s="282" t="e">
        <f>(INDEX(Tabla6[#All],MATCH(Tabla4[[#This Row],[Producto]],Tabla6[[#All],[PRODUCTO]],0),MATCH(Tabla4[[#This Row],[Mes]],Tabla6[#Headers],0)))*(1+Catalogos!$L$2)</f>
        <v>#N/A</v>
      </c>
      <c r="N5292" s="283" t="e">
        <f>+(Tabla4[[#This Row],[Precio Descontado]]-Tabla4[[#This Row],[Precio Base]])*Tabla4[[#This Row],[Cantidad]]</f>
        <v>#N/A</v>
      </c>
      <c r="O5292" s="284" t="e">
        <f>++Tabla4[[#This Row],[Utilidad Total]]/Tabla4[[#This Row],[Total]]</f>
        <v>#N/A</v>
      </c>
      <c r="P5292" s="282">
        <f>++Tabla4[[#This Row],[Precio Descontado]]*Tabla4[[#This Row],[Cantidad]]</f>
        <v>9856.5083419999992</v>
      </c>
      <c r="Q5292" s="282" t="e">
        <f>(INDEX(Tabla6[#All],MATCH(Tabla4[[#This Row],[Producto]],Tabla6[[#All],[PRODUCTO]],0),MATCH(Tabla4[[#This Row],[Mes]],Tabla6[#Headers],0)))</f>
        <v>#N/A</v>
      </c>
      <c r="R5292" s="282" t="e">
        <f>++Tabla4[[#This Row],[Precio Unitario Neto]]-Tabla4[[#This Row],[20.85%]]-Tabla4[[#This Row],[Costo]]</f>
        <v>#N/A</v>
      </c>
      <c r="S5292" s="282" t="e">
        <f>++Tabla4[[#This Row],[U. Bruta Uni]]*Tabla4[[#This Row],[Cantidad]]</f>
        <v>#N/A</v>
      </c>
      <c r="T5292" s="369" t="str">
        <f>VLOOKUP(Tabla4[[#This Row],[Producto]],Tabla6[#All],14,FALSE)</f>
        <v>Termico Solar</v>
      </c>
      <c r="U5292" s="284" t="e">
        <f>(IF(Tabla4[[#This Row],[Familia]]="termico solar",Tabla4[[#This Row],[Utilidad Total]]*6%,Tabla4[[#This Row],[Utilidad Total]]*11.5%))/Tabla4[[#This Row],[Total]]</f>
        <v>#N/A</v>
      </c>
      <c r="V5292" s="282" t="e">
        <f>+Tabla4[[#This Row],[Comisión Calculada]]*Tabla4[[#This Row],[Total]]</f>
        <v>#N/A</v>
      </c>
    </row>
    <row r="5293" spans="1:22" hidden="1" x14ac:dyDescent="0.25">
      <c r="A5293" s="100">
        <v>45884</v>
      </c>
      <c r="B5293" t="str">
        <f t="shared" si="257"/>
        <v>August</v>
      </c>
      <c r="C5293" s="46" t="s">
        <v>280</v>
      </c>
      <c r="F5293" s="366" t="s">
        <v>2756</v>
      </c>
      <c r="G5293" s="46" t="s">
        <v>17</v>
      </c>
      <c r="H5293" s="46">
        <v>2</v>
      </c>
      <c r="I5293" s="51">
        <v>4622.28</v>
      </c>
      <c r="J5293" s="281">
        <f>++Tabla4[[#This Row],[Precio Bruto]]*1.16</f>
        <v>5361.8447999999989</v>
      </c>
      <c r="K5293" s="281">
        <f>+Tabla4[[#This Row],[Precio Unitario Neto]]*Tabla4[[#Headers],[20.85%]]</f>
        <v>1117.9446407999997</v>
      </c>
      <c r="L5293" s="282">
        <f>++Tabla4[[#This Row],[Precio Unitario Neto]]-Tabla4[[#This Row],[20.85%]]</f>
        <v>4243.9001591999995</v>
      </c>
      <c r="M5293" s="282" t="e">
        <f>(INDEX(Tabla6[#All],MATCH(Tabla4[[#This Row],[Producto]],Tabla6[[#All],[PRODUCTO]],0),MATCH(Tabla4[[#This Row],[Mes]],Tabla6[#Headers],0)))*(1+Catalogos!$L$2)</f>
        <v>#N/A</v>
      </c>
      <c r="N5293" s="283" t="e">
        <f>+(Tabla4[[#This Row],[Precio Descontado]]-Tabla4[[#This Row],[Precio Base]])*Tabla4[[#This Row],[Cantidad]]</f>
        <v>#N/A</v>
      </c>
      <c r="O5293" s="284" t="e">
        <f>++Tabla4[[#This Row],[Utilidad Total]]/Tabla4[[#This Row],[Total]]</f>
        <v>#N/A</v>
      </c>
      <c r="P5293" s="282">
        <f>++Tabla4[[#This Row],[Precio Descontado]]*Tabla4[[#This Row],[Cantidad]]</f>
        <v>8487.800318399999</v>
      </c>
      <c r="Q5293" s="282" t="e">
        <f>(INDEX(Tabla6[#All],MATCH(Tabla4[[#This Row],[Producto]],Tabla6[[#All],[PRODUCTO]],0),MATCH(Tabla4[[#This Row],[Mes]],Tabla6[#Headers],0)))</f>
        <v>#N/A</v>
      </c>
      <c r="R5293" s="282" t="e">
        <f>++Tabla4[[#This Row],[Precio Unitario Neto]]-Tabla4[[#This Row],[20.85%]]-Tabla4[[#This Row],[Costo]]</f>
        <v>#N/A</v>
      </c>
      <c r="S5293" s="282" t="e">
        <f>++Tabla4[[#This Row],[U. Bruta Uni]]*Tabla4[[#This Row],[Cantidad]]</f>
        <v>#N/A</v>
      </c>
      <c r="T5293" s="369" t="str">
        <f>VLOOKUP(Tabla4[[#This Row],[Producto]],Tabla6[#All],14,FALSE)</f>
        <v>Termico Solar</v>
      </c>
      <c r="U5293" s="284" t="e">
        <f>(IF(Tabla4[[#This Row],[Familia]]="termico solar",Tabla4[[#This Row],[Utilidad Total]]*6%,Tabla4[[#This Row],[Utilidad Total]]*11.5%))/Tabla4[[#This Row],[Total]]</f>
        <v>#N/A</v>
      </c>
      <c r="V5293" s="282" t="e">
        <f>+Tabla4[[#This Row],[Comisión Calculada]]*Tabla4[[#This Row],[Total]]</f>
        <v>#N/A</v>
      </c>
    </row>
    <row r="5294" spans="1:22" hidden="1" x14ac:dyDescent="0.25">
      <c r="A5294" s="100">
        <v>45884</v>
      </c>
      <c r="B5294" t="str">
        <f t="shared" si="257"/>
        <v>August</v>
      </c>
      <c r="C5294" s="46" t="s">
        <v>280</v>
      </c>
      <c r="F5294" s="366" t="s">
        <v>2756</v>
      </c>
      <c r="G5294" s="46" t="s">
        <v>208</v>
      </c>
      <c r="H5294" s="46">
        <v>6</v>
      </c>
      <c r="I5294" s="51">
        <v>189.75</v>
      </c>
      <c r="J5294" s="281">
        <f>++Tabla4[[#This Row],[Precio Bruto]]*1.16</f>
        <v>220.10999999999999</v>
      </c>
      <c r="K5294" s="281">
        <f>+Tabla4[[#This Row],[Precio Unitario Neto]]*Tabla4[[#Headers],[20.85%]]</f>
        <v>45.892934999999994</v>
      </c>
      <c r="L5294" s="282">
        <f>++Tabla4[[#This Row],[Precio Unitario Neto]]-Tabla4[[#This Row],[20.85%]]</f>
        <v>174.21706499999999</v>
      </c>
      <c r="M5294" s="282" t="e">
        <f>(INDEX(Tabla6[#All],MATCH(Tabla4[[#This Row],[Producto]],Tabla6[[#All],[PRODUCTO]],0),MATCH(Tabla4[[#This Row],[Mes]],Tabla6[#Headers],0)))*(1+Catalogos!$L$2)</f>
        <v>#N/A</v>
      </c>
      <c r="N5294" s="283" t="e">
        <f>+(Tabla4[[#This Row],[Precio Descontado]]-Tabla4[[#This Row],[Precio Base]])*Tabla4[[#This Row],[Cantidad]]</f>
        <v>#N/A</v>
      </c>
      <c r="O5294" s="284" t="e">
        <f>++Tabla4[[#This Row],[Utilidad Total]]/Tabla4[[#This Row],[Total]]</f>
        <v>#N/A</v>
      </c>
      <c r="P5294" s="282">
        <f>++Tabla4[[#This Row],[Precio Descontado]]*Tabla4[[#This Row],[Cantidad]]</f>
        <v>1045.3023899999998</v>
      </c>
      <c r="Q5294" s="282" t="e">
        <f>(INDEX(Tabla6[#All],MATCH(Tabla4[[#This Row],[Producto]],Tabla6[[#All],[PRODUCTO]],0),MATCH(Tabla4[[#This Row],[Mes]],Tabla6[#Headers],0)))</f>
        <v>#N/A</v>
      </c>
      <c r="R5294" s="282" t="e">
        <f>++Tabla4[[#This Row],[Precio Unitario Neto]]-Tabla4[[#This Row],[20.85%]]-Tabla4[[#This Row],[Costo]]</f>
        <v>#N/A</v>
      </c>
      <c r="S5294" s="282" t="e">
        <f>++Tabla4[[#This Row],[U. Bruta Uni]]*Tabla4[[#This Row],[Cantidad]]</f>
        <v>#N/A</v>
      </c>
      <c r="T5294" s="369" t="str">
        <f>VLOOKUP(Tabla4[[#This Row],[Producto]],Tabla6[#All],14,FALSE)</f>
        <v>Termico Solar</v>
      </c>
      <c r="U5294" s="284" t="e">
        <f>(IF(Tabla4[[#This Row],[Familia]]="termico solar",Tabla4[[#This Row],[Utilidad Total]]*6%,Tabla4[[#This Row],[Utilidad Total]]*11.5%))/Tabla4[[#This Row],[Total]]</f>
        <v>#N/A</v>
      </c>
      <c r="V5294" s="282" t="e">
        <f>+Tabla4[[#This Row],[Comisión Calculada]]*Tabla4[[#This Row],[Total]]</f>
        <v>#N/A</v>
      </c>
    </row>
    <row r="5295" spans="1:22" hidden="1" x14ac:dyDescent="0.25">
      <c r="A5295" s="100">
        <v>45884</v>
      </c>
      <c r="B5295" t="str">
        <f t="shared" si="257"/>
        <v>August</v>
      </c>
      <c r="C5295" s="46" t="s">
        <v>280</v>
      </c>
      <c r="F5295" s="366" t="s">
        <v>2757</v>
      </c>
      <c r="G5295" s="46" t="s">
        <v>17</v>
      </c>
      <c r="H5295" s="46">
        <v>4</v>
      </c>
      <c r="I5295" s="51">
        <v>4622.28</v>
      </c>
      <c r="J5295" s="281">
        <f>++Tabla4[[#This Row],[Precio Bruto]]*1.16</f>
        <v>5361.8447999999989</v>
      </c>
      <c r="K5295" s="281">
        <f>+Tabla4[[#This Row],[Precio Unitario Neto]]*Tabla4[[#Headers],[20.85%]]</f>
        <v>1117.9446407999997</v>
      </c>
      <c r="L5295" s="282">
        <f>++Tabla4[[#This Row],[Precio Unitario Neto]]-Tabla4[[#This Row],[20.85%]]</f>
        <v>4243.9001591999995</v>
      </c>
      <c r="M5295" s="282" t="e">
        <f>(INDEX(Tabla6[#All],MATCH(Tabla4[[#This Row],[Producto]],Tabla6[[#All],[PRODUCTO]],0),MATCH(Tabla4[[#This Row],[Mes]],Tabla6[#Headers],0)))*(1+Catalogos!$L$2)</f>
        <v>#N/A</v>
      </c>
      <c r="N5295" s="283" t="e">
        <f>+(Tabla4[[#This Row],[Precio Descontado]]-Tabla4[[#This Row],[Precio Base]])*Tabla4[[#This Row],[Cantidad]]</f>
        <v>#N/A</v>
      </c>
      <c r="O5295" s="284" t="e">
        <f>++Tabla4[[#This Row],[Utilidad Total]]/Tabla4[[#This Row],[Total]]</f>
        <v>#N/A</v>
      </c>
      <c r="P5295" s="282">
        <f>++Tabla4[[#This Row],[Precio Descontado]]*Tabla4[[#This Row],[Cantidad]]</f>
        <v>16975.600636799998</v>
      </c>
      <c r="Q5295" s="282" t="e">
        <f>(INDEX(Tabla6[#All],MATCH(Tabla4[[#This Row],[Producto]],Tabla6[[#All],[PRODUCTO]],0),MATCH(Tabla4[[#This Row],[Mes]],Tabla6[#Headers],0)))</f>
        <v>#N/A</v>
      </c>
      <c r="R5295" s="282" t="e">
        <f>++Tabla4[[#This Row],[Precio Unitario Neto]]-Tabla4[[#This Row],[20.85%]]-Tabla4[[#This Row],[Costo]]</f>
        <v>#N/A</v>
      </c>
      <c r="S5295" s="282" t="e">
        <f>++Tabla4[[#This Row],[U. Bruta Uni]]*Tabla4[[#This Row],[Cantidad]]</f>
        <v>#N/A</v>
      </c>
      <c r="T5295" s="369" t="str">
        <f>VLOOKUP(Tabla4[[#This Row],[Producto]],Tabla6[#All],14,FALSE)</f>
        <v>Termico Solar</v>
      </c>
      <c r="U5295" s="284" t="e">
        <f>(IF(Tabla4[[#This Row],[Familia]]="termico solar",Tabla4[[#This Row],[Utilidad Total]]*6%,Tabla4[[#This Row],[Utilidad Total]]*11.5%))/Tabla4[[#This Row],[Total]]</f>
        <v>#N/A</v>
      </c>
      <c r="V5295" s="282" t="e">
        <f>+Tabla4[[#This Row],[Comisión Calculada]]*Tabla4[[#This Row],[Total]]</f>
        <v>#N/A</v>
      </c>
    </row>
    <row r="5296" spans="1:22" hidden="1" x14ac:dyDescent="0.25">
      <c r="A5296" s="100">
        <v>45884</v>
      </c>
      <c r="B5296" t="str">
        <f t="shared" si="257"/>
        <v>August</v>
      </c>
      <c r="C5296" s="46" t="s">
        <v>280</v>
      </c>
      <c r="F5296" s="366" t="s">
        <v>2757</v>
      </c>
      <c r="G5296" s="46" t="s">
        <v>18</v>
      </c>
      <c r="H5296" s="46">
        <v>1</v>
      </c>
      <c r="I5296" s="51">
        <v>5367.65</v>
      </c>
      <c r="J5296" s="281">
        <f>++Tabla4[[#This Row],[Precio Bruto]]*1.16</f>
        <v>6226.4739999999993</v>
      </c>
      <c r="K5296" s="281">
        <f>+Tabla4[[#This Row],[Precio Unitario Neto]]*Tabla4[[#Headers],[20.85%]]</f>
        <v>1298.2198289999999</v>
      </c>
      <c r="L5296" s="282">
        <f>++Tabla4[[#This Row],[Precio Unitario Neto]]-Tabla4[[#This Row],[20.85%]]</f>
        <v>4928.2541709999996</v>
      </c>
      <c r="M5296" s="282" t="e">
        <f>(INDEX(Tabla6[#All],MATCH(Tabla4[[#This Row],[Producto]],Tabla6[[#All],[PRODUCTO]],0),MATCH(Tabla4[[#This Row],[Mes]],Tabla6[#Headers],0)))*(1+Catalogos!$L$2)</f>
        <v>#N/A</v>
      </c>
      <c r="N5296" s="283" t="e">
        <f>+(Tabla4[[#This Row],[Precio Descontado]]-Tabla4[[#This Row],[Precio Base]])*Tabla4[[#This Row],[Cantidad]]</f>
        <v>#N/A</v>
      </c>
      <c r="O5296" s="284" t="e">
        <f>++Tabla4[[#This Row],[Utilidad Total]]/Tabla4[[#This Row],[Total]]</f>
        <v>#N/A</v>
      </c>
      <c r="P5296" s="282">
        <f>++Tabla4[[#This Row],[Precio Descontado]]*Tabla4[[#This Row],[Cantidad]]</f>
        <v>4928.2541709999996</v>
      </c>
      <c r="Q5296" s="282" t="e">
        <f>(INDEX(Tabla6[#All],MATCH(Tabla4[[#This Row],[Producto]],Tabla6[[#All],[PRODUCTO]],0),MATCH(Tabla4[[#This Row],[Mes]],Tabla6[#Headers],0)))</f>
        <v>#N/A</v>
      </c>
      <c r="R5296" s="282" t="e">
        <f>++Tabla4[[#This Row],[Precio Unitario Neto]]-Tabla4[[#This Row],[20.85%]]-Tabla4[[#This Row],[Costo]]</f>
        <v>#N/A</v>
      </c>
      <c r="S5296" s="282" t="e">
        <f>++Tabla4[[#This Row],[U. Bruta Uni]]*Tabla4[[#This Row],[Cantidad]]</f>
        <v>#N/A</v>
      </c>
      <c r="T5296" s="369" t="str">
        <f>VLOOKUP(Tabla4[[#This Row],[Producto]],Tabla6[#All],14,FALSE)</f>
        <v>Termico Solar</v>
      </c>
      <c r="U5296" s="284" t="e">
        <f>(IF(Tabla4[[#This Row],[Familia]]="termico solar",Tabla4[[#This Row],[Utilidad Total]]*6%,Tabla4[[#This Row],[Utilidad Total]]*11.5%))/Tabla4[[#This Row],[Total]]</f>
        <v>#N/A</v>
      </c>
      <c r="V5296" s="282" t="e">
        <f>+Tabla4[[#This Row],[Comisión Calculada]]*Tabla4[[#This Row],[Total]]</f>
        <v>#N/A</v>
      </c>
    </row>
    <row r="5297" spans="1:22" hidden="1" x14ac:dyDescent="0.25">
      <c r="A5297" s="100">
        <v>45884</v>
      </c>
      <c r="B5297" t="str">
        <f t="shared" si="257"/>
        <v>August</v>
      </c>
      <c r="C5297" s="46" t="s">
        <v>280</v>
      </c>
      <c r="F5297" s="366" t="s">
        <v>2758</v>
      </c>
      <c r="G5297" s="46" t="s">
        <v>17</v>
      </c>
      <c r="H5297" s="46">
        <v>4</v>
      </c>
      <c r="I5297" s="51">
        <v>4622.28</v>
      </c>
      <c r="J5297" s="281">
        <f>++Tabla4[[#This Row],[Precio Bruto]]*1.16</f>
        <v>5361.8447999999989</v>
      </c>
      <c r="K5297" s="281">
        <f>+Tabla4[[#This Row],[Precio Unitario Neto]]*Tabla4[[#Headers],[20.85%]]</f>
        <v>1117.9446407999997</v>
      </c>
      <c r="L5297" s="282">
        <f>++Tabla4[[#This Row],[Precio Unitario Neto]]-Tabla4[[#This Row],[20.85%]]</f>
        <v>4243.9001591999995</v>
      </c>
      <c r="M5297" s="282" t="e">
        <f>(INDEX(Tabla6[#All],MATCH(Tabla4[[#This Row],[Producto]],Tabla6[[#All],[PRODUCTO]],0),MATCH(Tabla4[[#This Row],[Mes]],Tabla6[#Headers],0)))*(1+Catalogos!$L$2)</f>
        <v>#N/A</v>
      </c>
      <c r="N5297" s="283" t="e">
        <f>+(Tabla4[[#This Row],[Precio Descontado]]-Tabla4[[#This Row],[Precio Base]])*Tabla4[[#This Row],[Cantidad]]</f>
        <v>#N/A</v>
      </c>
      <c r="O5297" s="284" t="e">
        <f>++Tabla4[[#This Row],[Utilidad Total]]/Tabla4[[#This Row],[Total]]</f>
        <v>#N/A</v>
      </c>
      <c r="P5297" s="282">
        <f>++Tabla4[[#This Row],[Precio Descontado]]*Tabla4[[#This Row],[Cantidad]]</f>
        <v>16975.600636799998</v>
      </c>
      <c r="Q5297" s="282" t="e">
        <f>(INDEX(Tabla6[#All],MATCH(Tabla4[[#This Row],[Producto]],Tabla6[[#All],[PRODUCTO]],0),MATCH(Tabla4[[#This Row],[Mes]],Tabla6[#Headers],0)))</f>
        <v>#N/A</v>
      </c>
      <c r="R5297" s="282" t="e">
        <f>++Tabla4[[#This Row],[Precio Unitario Neto]]-Tabla4[[#This Row],[20.85%]]-Tabla4[[#This Row],[Costo]]</f>
        <v>#N/A</v>
      </c>
      <c r="S5297" s="282" t="e">
        <f>++Tabla4[[#This Row],[U. Bruta Uni]]*Tabla4[[#This Row],[Cantidad]]</f>
        <v>#N/A</v>
      </c>
      <c r="T5297" s="369" t="str">
        <f>VLOOKUP(Tabla4[[#This Row],[Producto]],Tabla6[#All],14,FALSE)</f>
        <v>Termico Solar</v>
      </c>
      <c r="U5297" s="284" t="e">
        <f>(IF(Tabla4[[#This Row],[Familia]]="termico solar",Tabla4[[#This Row],[Utilidad Total]]*6%,Tabla4[[#This Row],[Utilidad Total]]*11.5%))/Tabla4[[#This Row],[Total]]</f>
        <v>#N/A</v>
      </c>
      <c r="V5297" s="282" t="e">
        <f>+Tabla4[[#This Row],[Comisión Calculada]]*Tabla4[[#This Row],[Total]]</f>
        <v>#N/A</v>
      </c>
    </row>
    <row r="5298" spans="1:22" hidden="1" x14ac:dyDescent="0.25">
      <c r="A5298" s="100">
        <v>45884</v>
      </c>
      <c r="B5298" t="str">
        <f t="shared" si="257"/>
        <v>August</v>
      </c>
      <c r="C5298" s="46" t="s">
        <v>280</v>
      </c>
      <c r="F5298" s="366" t="s">
        <v>2759</v>
      </c>
      <c r="G5298" s="46" t="s">
        <v>83</v>
      </c>
      <c r="H5298" s="46">
        <v>3</v>
      </c>
      <c r="I5298" s="51">
        <v>8858.76</v>
      </c>
      <c r="J5298" s="281">
        <f>++Tabla4[[#This Row],[Precio Bruto]]*1.16</f>
        <v>10276.161599999999</v>
      </c>
      <c r="K5298" s="281">
        <f>+Tabla4[[#This Row],[Precio Unitario Neto]]*Tabla4[[#Headers],[20.85%]]</f>
        <v>2142.5796935999997</v>
      </c>
      <c r="L5298" s="282">
        <f>++Tabla4[[#This Row],[Precio Unitario Neto]]-Tabla4[[#This Row],[20.85%]]</f>
        <v>8133.5819063999998</v>
      </c>
      <c r="M5298" s="282" t="e">
        <f>(INDEX(Tabla6[#All],MATCH(Tabla4[[#This Row],[Producto]],Tabla6[[#All],[PRODUCTO]],0),MATCH(Tabla4[[#This Row],[Mes]],Tabla6[#Headers],0)))*(1+Catalogos!$L$2)</f>
        <v>#N/A</v>
      </c>
      <c r="N5298" s="283" t="e">
        <f>+(Tabla4[[#This Row],[Precio Descontado]]-Tabla4[[#This Row],[Precio Base]])*Tabla4[[#This Row],[Cantidad]]</f>
        <v>#N/A</v>
      </c>
      <c r="O5298" s="284" t="e">
        <f>++Tabla4[[#This Row],[Utilidad Total]]/Tabla4[[#This Row],[Total]]</f>
        <v>#N/A</v>
      </c>
      <c r="P5298" s="282">
        <f>++Tabla4[[#This Row],[Precio Descontado]]*Tabla4[[#This Row],[Cantidad]]</f>
        <v>24400.7457192</v>
      </c>
      <c r="Q5298" s="282" t="e">
        <f>(INDEX(Tabla6[#All],MATCH(Tabla4[[#This Row],[Producto]],Tabla6[[#All],[PRODUCTO]],0),MATCH(Tabla4[[#This Row],[Mes]],Tabla6[#Headers],0)))</f>
        <v>#N/A</v>
      </c>
      <c r="R5298" s="282" t="e">
        <f>++Tabla4[[#This Row],[Precio Unitario Neto]]-Tabla4[[#This Row],[20.85%]]-Tabla4[[#This Row],[Costo]]</f>
        <v>#N/A</v>
      </c>
      <c r="S5298" s="282" t="e">
        <f>++Tabla4[[#This Row],[U. Bruta Uni]]*Tabla4[[#This Row],[Cantidad]]</f>
        <v>#N/A</v>
      </c>
      <c r="T5298" s="369" t="str">
        <f>VLOOKUP(Tabla4[[#This Row],[Producto]],Tabla6[#All],14,FALSE)</f>
        <v>Termico Solar</v>
      </c>
      <c r="U5298" s="284" t="e">
        <f>(IF(Tabla4[[#This Row],[Familia]]="termico solar",Tabla4[[#This Row],[Utilidad Total]]*6%,Tabla4[[#This Row],[Utilidad Total]]*11.5%))/Tabla4[[#This Row],[Total]]</f>
        <v>#N/A</v>
      </c>
      <c r="V5298" s="282" t="e">
        <f>+Tabla4[[#This Row],[Comisión Calculada]]*Tabla4[[#This Row],[Total]]</f>
        <v>#N/A</v>
      </c>
    </row>
    <row r="5299" spans="1:22" hidden="1" x14ac:dyDescent="0.25">
      <c r="A5299" s="100">
        <v>45884</v>
      </c>
      <c r="B5299" t="str">
        <f t="shared" si="257"/>
        <v>August</v>
      </c>
      <c r="C5299" s="46" t="s">
        <v>280</v>
      </c>
      <c r="F5299" s="366" t="s">
        <v>2759</v>
      </c>
      <c r="G5299" s="46" t="s">
        <v>18</v>
      </c>
      <c r="H5299" s="46">
        <v>3</v>
      </c>
      <c r="I5299" s="51">
        <v>5367.6500000000005</v>
      </c>
      <c r="J5299" s="281">
        <f>++Tabla4[[#This Row],[Precio Bruto]]*1.16</f>
        <v>6226.4740000000002</v>
      </c>
      <c r="K5299" s="281">
        <f>+Tabla4[[#This Row],[Precio Unitario Neto]]*Tabla4[[#Headers],[20.85%]]</f>
        <v>1298.2198289999999</v>
      </c>
      <c r="L5299" s="282">
        <f>++Tabla4[[#This Row],[Precio Unitario Neto]]-Tabla4[[#This Row],[20.85%]]</f>
        <v>4928.2541710000005</v>
      </c>
      <c r="M5299" s="282" t="e">
        <f>(INDEX(Tabla6[#All],MATCH(Tabla4[[#This Row],[Producto]],Tabla6[[#All],[PRODUCTO]],0),MATCH(Tabla4[[#This Row],[Mes]],Tabla6[#Headers],0)))*(1+Catalogos!$L$2)</f>
        <v>#N/A</v>
      </c>
      <c r="N5299" s="283" t="e">
        <f>+(Tabla4[[#This Row],[Precio Descontado]]-Tabla4[[#This Row],[Precio Base]])*Tabla4[[#This Row],[Cantidad]]</f>
        <v>#N/A</v>
      </c>
      <c r="O5299" s="284" t="e">
        <f>++Tabla4[[#This Row],[Utilidad Total]]/Tabla4[[#This Row],[Total]]</f>
        <v>#N/A</v>
      </c>
      <c r="P5299" s="282">
        <f>++Tabla4[[#This Row],[Precio Descontado]]*Tabla4[[#This Row],[Cantidad]]</f>
        <v>14784.762513000001</v>
      </c>
      <c r="Q5299" s="282" t="e">
        <f>(INDEX(Tabla6[#All],MATCH(Tabla4[[#This Row],[Producto]],Tabla6[[#All],[PRODUCTO]],0),MATCH(Tabla4[[#This Row],[Mes]],Tabla6[#Headers],0)))</f>
        <v>#N/A</v>
      </c>
      <c r="R5299" s="282" t="e">
        <f>++Tabla4[[#This Row],[Precio Unitario Neto]]-Tabla4[[#This Row],[20.85%]]-Tabla4[[#This Row],[Costo]]</f>
        <v>#N/A</v>
      </c>
      <c r="S5299" s="282" t="e">
        <f>++Tabla4[[#This Row],[U. Bruta Uni]]*Tabla4[[#This Row],[Cantidad]]</f>
        <v>#N/A</v>
      </c>
      <c r="T5299" s="369" t="str">
        <f>VLOOKUP(Tabla4[[#This Row],[Producto]],Tabla6[#All],14,FALSE)</f>
        <v>Termico Solar</v>
      </c>
      <c r="U5299" s="284" t="e">
        <f>(IF(Tabla4[[#This Row],[Familia]]="termico solar",Tabla4[[#This Row],[Utilidad Total]]*6%,Tabla4[[#This Row],[Utilidad Total]]*11.5%))/Tabla4[[#This Row],[Total]]</f>
        <v>#N/A</v>
      </c>
      <c r="V5299" s="282" t="e">
        <f>+Tabla4[[#This Row],[Comisión Calculada]]*Tabla4[[#This Row],[Total]]</f>
        <v>#N/A</v>
      </c>
    </row>
    <row r="5300" spans="1:22" hidden="1" x14ac:dyDescent="0.25">
      <c r="A5300" s="100">
        <v>45884</v>
      </c>
      <c r="B5300" t="str">
        <f t="shared" si="257"/>
        <v>August</v>
      </c>
      <c r="C5300" s="46" t="s">
        <v>280</v>
      </c>
      <c r="F5300" s="366" t="s">
        <v>2760</v>
      </c>
      <c r="G5300" s="46" t="s">
        <v>17</v>
      </c>
      <c r="H5300" s="46">
        <v>1</v>
      </c>
      <c r="I5300" s="51">
        <v>4622.28</v>
      </c>
      <c r="J5300" s="281">
        <f>++Tabla4[[#This Row],[Precio Bruto]]*1.16</f>
        <v>5361.8447999999989</v>
      </c>
      <c r="K5300" s="281">
        <f>+Tabla4[[#This Row],[Precio Unitario Neto]]*Tabla4[[#Headers],[20.85%]]</f>
        <v>1117.9446407999997</v>
      </c>
      <c r="L5300" s="282">
        <f>++Tabla4[[#This Row],[Precio Unitario Neto]]-Tabla4[[#This Row],[20.85%]]</f>
        <v>4243.9001591999995</v>
      </c>
      <c r="M5300" s="282" t="e">
        <f>(INDEX(Tabla6[#All],MATCH(Tabla4[[#This Row],[Producto]],Tabla6[[#All],[PRODUCTO]],0),MATCH(Tabla4[[#This Row],[Mes]],Tabla6[#Headers],0)))*(1+Catalogos!$L$2)</f>
        <v>#N/A</v>
      </c>
      <c r="N5300" s="283" t="e">
        <f>+(Tabla4[[#This Row],[Precio Descontado]]-Tabla4[[#This Row],[Precio Base]])*Tabla4[[#This Row],[Cantidad]]</f>
        <v>#N/A</v>
      </c>
      <c r="O5300" s="284" t="e">
        <f>++Tabla4[[#This Row],[Utilidad Total]]/Tabla4[[#This Row],[Total]]</f>
        <v>#N/A</v>
      </c>
      <c r="P5300" s="282">
        <f>++Tabla4[[#This Row],[Precio Descontado]]*Tabla4[[#This Row],[Cantidad]]</f>
        <v>4243.9001591999995</v>
      </c>
      <c r="Q5300" s="282" t="e">
        <f>(INDEX(Tabla6[#All],MATCH(Tabla4[[#This Row],[Producto]],Tabla6[[#All],[PRODUCTO]],0),MATCH(Tabla4[[#This Row],[Mes]],Tabla6[#Headers],0)))</f>
        <v>#N/A</v>
      </c>
      <c r="R5300" s="282" t="e">
        <f>++Tabla4[[#This Row],[Precio Unitario Neto]]-Tabla4[[#This Row],[20.85%]]-Tabla4[[#This Row],[Costo]]</f>
        <v>#N/A</v>
      </c>
      <c r="S5300" s="282" t="e">
        <f>++Tabla4[[#This Row],[U. Bruta Uni]]*Tabla4[[#This Row],[Cantidad]]</f>
        <v>#N/A</v>
      </c>
      <c r="T5300" s="369" t="str">
        <f>VLOOKUP(Tabla4[[#This Row],[Producto]],Tabla6[#All],14,FALSE)</f>
        <v>Termico Solar</v>
      </c>
      <c r="U5300" s="284" t="e">
        <f>(IF(Tabla4[[#This Row],[Familia]]="termico solar",Tabla4[[#This Row],[Utilidad Total]]*6%,Tabla4[[#This Row],[Utilidad Total]]*11.5%))/Tabla4[[#This Row],[Total]]</f>
        <v>#N/A</v>
      </c>
      <c r="V5300" s="282" t="e">
        <f>+Tabla4[[#This Row],[Comisión Calculada]]*Tabla4[[#This Row],[Total]]</f>
        <v>#N/A</v>
      </c>
    </row>
    <row r="5301" spans="1:22" hidden="1" x14ac:dyDescent="0.25">
      <c r="A5301" s="100">
        <v>45884</v>
      </c>
      <c r="B5301" t="str">
        <f t="shared" si="257"/>
        <v>August</v>
      </c>
      <c r="C5301" s="46" t="s">
        <v>280</v>
      </c>
      <c r="F5301" s="366" t="s">
        <v>2760</v>
      </c>
      <c r="G5301" s="46" t="s">
        <v>394</v>
      </c>
      <c r="H5301" s="46">
        <v>9</v>
      </c>
      <c r="I5301" s="51">
        <v>108.1</v>
      </c>
      <c r="J5301" s="281">
        <f>++Tabla4[[#This Row],[Precio Bruto]]*1.16</f>
        <v>125.39599999999999</v>
      </c>
      <c r="K5301" s="281">
        <f>+Tabla4[[#This Row],[Precio Unitario Neto]]*Tabla4[[#Headers],[20.85%]]</f>
        <v>26.145065999999996</v>
      </c>
      <c r="L5301" s="282">
        <f>++Tabla4[[#This Row],[Precio Unitario Neto]]-Tabla4[[#This Row],[20.85%]]</f>
        <v>99.250933999999987</v>
      </c>
      <c r="M5301" s="282" t="e">
        <f>(INDEX(Tabla6[#All],MATCH(Tabla4[[#This Row],[Producto]],Tabla6[[#All],[PRODUCTO]],0),MATCH(Tabla4[[#This Row],[Mes]],Tabla6[#Headers],0)))*(1+Catalogos!$L$2)</f>
        <v>#N/A</v>
      </c>
      <c r="N5301" s="283" t="e">
        <f>+(Tabla4[[#This Row],[Precio Descontado]]-Tabla4[[#This Row],[Precio Base]])*Tabla4[[#This Row],[Cantidad]]</f>
        <v>#N/A</v>
      </c>
      <c r="O5301" s="284" t="e">
        <f>++Tabla4[[#This Row],[Utilidad Total]]/Tabla4[[#This Row],[Total]]</f>
        <v>#N/A</v>
      </c>
      <c r="P5301" s="282">
        <f>++Tabla4[[#This Row],[Precio Descontado]]*Tabla4[[#This Row],[Cantidad]]</f>
        <v>893.25840599999992</v>
      </c>
      <c r="Q5301" s="282" t="e">
        <f>(INDEX(Tabla6[#All],MATCH(Tabla4[[#This Row],[Producto]],Tabla6[[#All],[PRODUCTO]],0),MATCH(Tabla4[[#This Row],[Mes]],Tabla6[#Headers],0)))</f>
        <v>#N/A</v>
      </c>
      <c r="R5301" s="282" t="e">
        <f>++Tabla4[[#This Row],[Precio Unitario Neto]]-Tabla4[[#This Row],[20.85%]]-Tabla4[[#This Row],[Costo]]</f>
        <v>#N/A</v>
      </c>
      <c r="S5301" s="282" t="e">
        <f>++Tabla4[[#This Row],[U. Bruta Uni]]*Tabla4[[#This Row],[Cantidad]]</f>
        <v>#N/A</v>
      </c>
      <c r="T5301" s="369" t="str">
        <f>VLOOKUP(Tabla4[[#This Row],[Producto]],Tabla6[#All],14,FALSE)</f>
        <v>Termico Solar</v>
      </c>
      <c r="U5301" s="284" t="e">
        <f>(IF(Tabla4[[#This Row],[Familia]]="termico solar",Tabla4[[#This Row],[Utilidad Total]]*6%,Tabla4[[#This Row],[Utilidad Total]]*11.5%))/Tabla4[[#This Row],[Total]]</f>
        <v>#N/A</v>
      </c>
      <c r="V5301" s="282" t="e">
        <f>+Tabla4[[#This Row],[Comisión Calculada]]*Tabla4[[#This Row],[Total]]</f>
        <v>#N/A</v>
      </c>
    </row>
    <row r="5302" spans="1:22" hidden="1" x14ac:dyDescent="0.25">
      <c r="A5302" s="100">
        <v>45884</v>
      </c>
      <c r="B5302" t="str">
        <f t="shared" si="257"/>
        <v>August</v>
      </c>
      <c r="C5302" s="46" t="s">
        <v>280</v>
      </c>
      <c r="F5302" s="366" t="s">
        <v>2761</v>
      </c>
      <c r="G5302" s="46" t="s">
        <v>208</v>
      </c>
      <c r="H5302" s="46">
        <v>5</v>
      </c>
      <c r="I5302" s="51">
        <v>189.75</v>
      </c>
      <c r="J5302" s="281">
        <f>++Tabla4[[#This Row],[Precio Bruto]]*1.16</f>
        <v>220.10999999999999</v>
      </c>
      <c r="K5302" s="281">
        <f>+Tabla4[[#This Row],[Precio Unitario Neto]]*Tabla4[[#Headers],[20.85%]]</f>
        <v>45.892934999999994</v>
      </c>
      <c r="L5302" s="282">
        <f>++Tabla4[[#This Row],[Precio Unitario Neto]]-Tabla4[[#This Row],[20.85%]]</f>
        <v>174.21706499999999</v>
      </c>
      <c r="M5302" s="282" t="e">
        <f>(INDEX(Tabla6[#All],MATCH(Tabla4[[#This Row],[Producto]],Tabla6[[#All],[PRODUCTO]],0),MATCH(Tabla4[[#This Row],[Mes]],Tabla6[#Headers],0)))*(1+Catalogos!$L$2)</f>
        <v>#N/A</v>
      </c>
      <c r="N5302" s="283" t="e">
        <f>+(Tabla4[[#This Row],[Precio Descontado]]-Tabla4[[#This Row],[Precio Base]])*Tabla4[[#This Row],[Cantidad]]</f>
        <v>#N/A</v>
      </c>
      <c r="O5302" s="284" t="e">
        <f>++Tabla4[[#This Row],[Utilidad Total]]/Tabla4[[#This Row],[Total]]</f>
        <v>#N/A</v>
      </c>
      <c r="P5302" s="282">
        <f>++Tabla4[[#This Row],[Precio Descontado]]*Tabla4[[#This Row],[Cantidad]]</f>
        <v>871.08532500000001</v>
      </c>
      <c r="Q5302" s="282" t="e">
        <f>(INDEX(Tabla6[#All],MATCH(Tabla4[[#This Row],[Producto]],Tabla6[[#All],[PRODUCTO]],0),MATCH(Tabla4[[#This Row],[Mes]],Tabla6[#Headers],0)))</f>
        <v>#N/A</v>
      </c>
      <c r="R5302" s="282" t="e">
        <f>++Tabla4[[#This Row],[Precio Unitario Neto]]-Tabla4[[#This Row],[20.85%]]-Tabla4[[#This Row],[Costo]]</f>
        <v>#N/A</v>
      </c>
      <c r="S5302" s="282" t="e">
        <f>++Tabla4[[#This Row],[U. Bruta Uni]]*Tabla4[[#This Row],[Cantidad]]</f>
        <v>#N/A</v>
      </c>
      <c r="T5302" s="369" t="str">
        <f>VLOOKUP(Tabla4[[#This Row],[Producto]],Tabla6[#All],14,FALSE)</f>
        <v>Termico Solar</v>
      </c>
      <c r="U5302" s="284" t="e">
        <f>(IF(Tabla4[[#This Row],[Familia]]="termico solar",Tabla4[[#This Row],[Utilidad Total]]*6%,Tabla4[[#This Row],[Utilidad Total]]*11.5%))/Tabla4[[#This Row],[Total]]</f>
        <v>#N/A</v>
      </c>
      <c r="V5302" s="282" t="e">
        <f>+Tabla4[[#This Row],[Comisión Calculada]]*Tabla4[[#This Row],[Total]]</f>
        <v>#N/A</v>
      </c>
    </row>
    <row r="5303" spans="1:22" hidden="1" x14ac:dyDescent="0.25">
      <c r="A5303" s="100">
        <v>45884</v>
      </c>
      <c r="B5303" t="str">
        <f t="shared" si="257"/>
        <v>August</v>
      </c>
      <c r="C5303" s="46" t="s">
        <v>280</v>
      </c>
      <c r="F5303" s="366" t="s">
        <v>2762</v>
      </c>
      <c r="G5303" s="46" t="s">
        <v>17</v>
      </c>
      <c r="H5303" s="46">
        <v>2</v>
      </c>
      <c r="I5303" s="51">
        <v>4622.28</v>
      </c>
      <c r="J5303" s="281">
        <f>++Tabla4[[#This Row],[Precio Bruto]]*1.16</f>
        <v>5361.8447999999989</v>
      </c>
      <c r="K5303" s="281">
        <f>+Tabla4[[#This Row],[Precio Unitario Neto]]*Tabla4[[#Headers],[20.85%]]</f>
        <v>1117.9446407999997</v>
      </c>
      <c r="L5303" s="282">
        <f>++Tabla4[[#This Row],[Precio Unitario Neto]]-Tabla4[[#This Row],[20.85%]]</f>
        <v>4243.9001591999995</v>
      </c>
      <c r="M5303" s="282" t="e">
        <f>(INDEX(Tabla6[#All],MATCH(Tabla4[[#This Row],[Producto]],Tabla6[[#All],[PRODUCTO]],0),MATCH(Tabla4[[#This Row],[Mes]],Tabla6[#Headers],0)))*(1+Catalogos!$L$2)</f>
        <v>#N/A</v>
      </c>
      <c r="N5303" s="283" t="e">
        <f>+(Tabla4[[#This Row],[Precio Descontado]]-Tabla4[[#This Row],[Precio Base]])*Tabla4[[#This Row],[Cantidad]]</f>
        <v>#N/A</v>
      </c>
      <c r="O5303" s="284" t="e">
        <f>++Tabla4[[#This Row],[Utilidad Total]]/Tabla4[[#This Row],[Total]]</f>
        <v>#N/A</v>
      </c>
      <c r="P5303" s="282">
        <f>++Tabla4[[#This Row],[Precio Descontado]]*Tabla4[[#This Row],[Cantidad]]</f>
        <v>8487.800318399999</v>
      </c>
      <c r="Q5303" s="282" t="e">
        <f>(INDEX(Tabla6[#All],MATCH(Tabla4[[#This Row],[Producto]],Tabla6[[#All],[PRODUCTO]],0),MATCH(Tabla4[[#This Row],[Mes]],Tabla6[#Headers],0)))</f>
        <v>#N/A</v>
      </c>
      <c r="R5303" s="282" t="e">
        <f>++Tabla4[[#This Row],[Precio Unitario Neto]]-Tabla4[[#This Row],[20.85%]]-Tabla4[[#This Row],[Costo]]</f>
        <v>#N/A</v>
      </c>
      <c r="S5303" s="282" t="e">
        <f>++Tabla4[[#This Row],[U. Bruta Uni]]*Tabla4[[#This Row],[Cantidad]]</f>
        <v>#N/A</v>
      </c>
      <c r="T5303" s="369" t="str">
        <f>VLOOKUP(Tabla4[[#This Row],[Producto]],Tabla6[#All],14,FALSE)</f>
        <v>Termico Solar</v>
      </c>
      <c r="U5303" s="284" t="e">
        <f>(IF(Tabla4[[#This Row],[Familia]]="termico solar",Tabla4[[#This Row],[Utilidad Total]]*6%,Tabla4[[#This Row],[Utilidad Total]]*11.5%))/Tabla4[[#This Row],[Total]]</f>
        <v>#N/A</v>
      </c>
      <c r="V5303" s="282" t="e">
        <f>+Tabla4[[#This Row],[Comisión Calculada]]*Tabla4[[#This Row],[Total]]</f>
        <v>#N/A</v>
      </c>
    </row>
    <row r="5304" spans="1:22" hidden="1" x14ac:dyDescent="0.25">
      <c r="A5304" s="100">
        <v>45884</v>
      </c>
      <c r="B5304" t="str">
        <f t="shared" si="257"/>
        <v>August</v>
      </c>
      <c r="C5304" s="46" t="s">
        <v>280</v>
      </c>
      <c r="F5304" s="366" t="s">
        <v>2762</v>
      </c>
      <c r="G5304" s="46" t="s">
        <v>18</v>
      </c>
      <c r="H5304" s="46">
        <v>7</v>
      </c>
      <c r="I5304" s="51">
        <v>5367.6500000000005</v>
      </c>
      <c r="J5304" s="281">
        <f>++Tabla4[[#This Row],[Precio Bruto]]*1.16</f>
        <v>6226.4740000000002</v>
      </c>
      <c r="K5304" s="281">
        <f>+Tabla4[[#This Row],[Precio Unitario Neto]]*Tabla4[[#Headers],[20.85%]]</f>
        <v>1298.2198289999999</v>
      </c>
      <c r="L5304" s="282">
        <f>++Tabla4[[#This Row],[Precio Unitario Neto]]-Tabla4[[#This Row],[20.85%]]</f>
        <v>4928.2541710000005</v>
      </c>
      <c r="M5304" s="282" t="e">
        <f>(INDEX(Tabla6[#All],MATCH(Tabla4[[#This Row],[Producto]],Tabla6[[#All],[PRODUCTO]],0),MATCH(Tabla4[[#This Row],[Mes]],Tabla6[#Headers],0)))*(1+Catalogos!$L$2)</f>
        <v>#N/A</v>
      </c>
      <c r="N5304" s="283" t="e">
        <f>+(Tabla4[[#This Row],[Precio Descontado]]-Tabla4[[#This Row],[Precio Base]])*Tabla4[[#This Row],[Cantidad]]</f>
        <v>#N/A</v>
      </c>
      <c r="O5304" s="284" t="e">
        <f>++Tabla4[[#This Row],[Utilidad Total]]/Tabla4[[#This Row],[Total]]</f>
        <v>#N/A</v>
      </c>
      <c r="P5304" s="282">
        <f>++Tabla4[[#This Row],[Precio Descontado]]*Tabla4[[#This Row],[Cantidad]]</f>
        <v>34497.779197000003</v>
      </c>
      <c r="Q5304" s="282" t="e">
        <f>(INDEX(Tabla6[#All],MATCH(Tabla4[[#This Row],[Producto]],Tabla6[[#All],[PRODUCTO]],0),MATCH(Tabla4[[#This Row],[Mes]],Tabla6[#Headers],0)))</f>
        <v>#N/A</v>
      </c>
      <c r="R5304" s="282" t="e">
        <f>++Tabla4[[#This Row],[Precio Unitario Neto]]-Tabla4[[#This Row],[20.85%]]-Tabla4[[#This Row],[Costo]]</f>
        <v>#N/A</v>
      </c>
      <c r="S5304" s="282" t="e">
        <f>++Tabla4[[#This Row],[U. Bruta Uni]]*Tabla4[[#This Row],[Cantidad]]</f>
        <v>#N/A</v>
      </c>
      <c r="T5304" s="369" t="str">
        <f>VLOOKUP(Tabla4[[#This Row],[Producto]],Tabla6[#All],14,FALSE)</f>
        <v>Termico Solar</v>
      </c>
      <c r="U5304" s="284" t="e">
        <f>(IF(Tabla4[[#This Row],[Familia]]="termico solar",Tabla4[[#This Row],[Utilidad Total]]*6%,Tabla4[[#This Row],[Utilidad Total]]*11.5%))/Tabla4[[#This Row],[Total]]</f>
        <v>#N/A</v>
      </c>
      <c r="V5304" s="282" t="e">
        <f>+Tabla4[[#This Row],[Comisión Calculada]]*Tabla4[[#This Row],[Total]]</f>
        <v>#N/A</v>
      </c>
    </row>
    <row r="5305" spans="1:22" hidden="1" x14ac:dyDescent="0.25">
      <c r="A5305" s="100">
        <v>45884</v>
      </c>
      <c r="B5305" t="str">
        <f t="shared" si="257"/>
        <v>August</v>
      </c>
      <c r="C5305" s="46" t="s">
        <v>280</v>
      </c>
      <c r="F5305" s="366" t="s">
        <v>2763</v>
      </c>
      <c r="G5305" s="46" t="s">
        <v>83</v>
      </c>
      <c r="H5305" s="46">
        <v>3</v>
      </c>
      <c r="I5305" s="51">
        <v>8858.76</v>
      </c>
      <c r="J5305" s="281">
        <f>++Tabla4[[#This Row],[Precio Bruto]]*1.16</f>
        <v>10276.161599999999</v>
      </c>
      <c r="K5305" s="281">
        <f>+Tabla4[[#This Row],[Precio Unitario Neto]]*Tabla4[[#Headers],[20.85%]]</f>
        <v>2142.5796935999997</v>
      </c>
      <c r="L5305" s="282">
        <f>++Tabla4[[#This Row],[Precio Unitario Neto]]-Tabla4[[#This Row],[20.85%]]</f>
        <v>8133.5819063999998</v>
      </c>
      <c r="M5305" s="282" t="e">
        <f>(INDEX(Tabla6[#All],MATCH(Tabla4[[#This Row],[Producto]],Tabla6[[#All],[PRODUCTO]],0),MATCH(Tabla4[[#This Row],[Mes]],Tabla6[#Headers],0)))*(1+Catalogos!$L$2)</f>
        <v>#N/A</v>
      </c>
      <c r="N5305" s="283" t="e">
        <f>+(Tabla4[[#This Row],[Precio Descontado]]-Tabla4[[#This Row],[Precio Base]])*Tabla4[[#This Row],[Cantidad]]</f>
        <v>#N/A</v>
      </c>
      <c r="O5305" s="284" t="e">
        <f>++Tabla4[[#This Row],[Utilidad Total]]/Tabla4[[#This Row],[Total]]</f>
        <v>#N/A</v>
      </c>
      <c r="P5305" s="282">
        <f>++Tabla4[[#This Row],[Precio Descontado]]*Tabla4[[#This Row],[Cantidad]]</f>
        <v>24400.7457192</v>
      </c>
      <c r="Q5305" s="282" t="e">
        <f>(INDEX(Tabla6[#All],MATCH(Tabla4[[#This Row],[Producto]],Tabla6[[#All],[PRODUCTO]],0),MATCH(Tabla4[[#This Row],[Mes]],Tabla6[#Headers],0)))</f>
        <v>#N/A</v>
      </c>
      <c r="R5305" s="282" t="e">
        <f>++Tabla4[[#This Row],[Precio Unitario Neto]]-Tabla4[[#This Row],[20.85%]]-Tabla4[[#This Row],[Costo]]</f>
        <v>#N/A</v>
      </c>
      <c r="S5305" s="282" t="e">
        <f>++Tabla4[[#This Row],[U. Bruta Uni]]*Tabla4[[#This Row],[Cantidad]]</f>
        <v>#N/A</v>
      </c>
      <c r="T5305" s="369" t="str">
        <f>VLOOKUP(Tabla4[[#This Row],[Producto]],Tabla6[#All],14,FALSE)</f>
        <v>Termico Solar</v>
      </c>
      <c r="U5305" s="284" t="e">
        <f>(IF(Tabla4[[#This Row],[Familia]]="termico solar",Tabla4[[#This Row],[Utilidad Total]]*6%,Tabla4[[#This Row],[Utilidad Total]]*11.5%))/Tabla4[[#This Row],[Total]]</f>
        <v>#N/A</v>
      </c>
      <c r="V5305" s="282" t="e">
        <f>+Tabla4[[#This Row],[Comisión Calculada]]*Tabla4[[#This Row],[Total]]</f>
        <v>#N/A</v>
      </c>
    </row>
    <row r="5306" spans="1:22" hidden="1" x14ac:dyDescent="0.25">
      <c r="A5306" s="100">
        <v>45884</v>
      </c>
      <c r="B5306" t="str">
        <f t="shared" si="257"/>
        <v>August</v>
      </c>
      <c r="C5306" s="46" t="s">
        <v>280</v>
      </c>
      <c r="F5306" s="366" t="s">
        <v>2763</v>
      </c>
      <c r="G5306" s="46" t="s">
        <v>17</v>
      </c>
      <c r="H5306" s="46">
        <v>2</v>
      </c>
      <c r="I5306" s="51">
        <v>4622.28</v>
      </c>
      <c r="J5306" s="281">
        <f>++Tabla4[[#This Row],[Precio Bruto]]*1.16</f>
        <v>5361.8447999999989</v>
      </c>
      <c r="K5306" s="281">
        <f>+Tabla4[[#This Row],[Precio Unitario Neto]]*Tabla4[[#Headers],[20.85%]]</f>
        <v>1117.9446407999997</v>
      </c>
      <c r="L5306" s="282">
        <f>++Tabla4[[#This Row],[Precio Unitario Neto]]-Tabla4[[#This Row],[20.85%]]</f>
        <v>4243.9001591999995</v>
      </c>
      <c r="M5306" s="282" t="e">
        <f>(INDEX(Tabla6[#All],MATCH(Tabla4[[#This Row],[Producto]],Tabla6[[#All],[PRODUCTO]],0),MATCH(Tabla4[[#This Row],[Mes]],Tabla6[#Headers],0)))*(1+Catalogos!$L$2)</f>
        <v>#N/A</v>
      </c>
      <c r="N5306" s="283" t="e">
        <f>+(Tabla4[[#This Row],[Precio Descontado]]-Tabla4[[#This Row],[Precio Base]])*Tabla4[[#This Row],[Cantidad]]</f>
        <v>#N/A</v>
      </c>
      <c r="O5306" s="284" t="e">
        <f>++Tabla4[[#This Row],[Utilidad Total]]/Tabla4[[#This Row],[Total]]</f>
        <v>#N/A</v>
      </c>
      <c r="P5306" s="282">
        <f>++Tabla4[[#This Row],[Precio Descontado]]*Tabla4[[#This Row],[Cantidad]]</f>
        <v>8487.800318399999</v>
      </c>
      <c r="Q5306" s="282" t="e">
        <f>(INDEX(Tabla6[#All],MATCH(Tabla4[[#This Row],[Producto]],Tabla6[[#All],[PRODUCTO]],0),MATCH(Tabla4[[#This Row],[Mes]],Tabla6[#Headers],0)))</f>
        <v>#N/A</v>
      </c>
      <c r="R5306" s="282" t="e">
        <f>++Tabla4[[#This Row],[Precio Unitario Neto]]-Tabla4[[#This Row],[20.85%]]-Tabla4[[#This Row],[Costo]]</f>
        <v>#N/A</v>
      </c>
      <c r="S5306" s="282" t="e">
        <f>++Tabla4[[#This Row],[U. Bruta Uni]]*Tabla4[[#This Row],[Cantidad]]</f>
        <v>#N/A</v>
      </c>
      <c r="T5306" s="369" t="str">
        <f>VLOOKUP(Tabla4[[#This Row],[Producto]],Tabla6[#All],14,FALSE)</f>
        <v>Termico Solar</v>
      </c>
      <c r="U5306" s="284" t="e">
        <f>(IF(Tabla4[[#This Row],[Familia]]="termico solar",Tabla4[[#This Row],[Utilidad Total]]*6%,Tabla4[[#This Row],[Utilidad Total]]*11.5%))/Tabla4[[#This Row],[Total]]</f>
        <v>#N/A</v>
      </c>
      <c r="V5306" s="282" t="e">
        <f>+Tabla4[[#This Row],[Comisión Calculada]]*Tabla4[[#This Row],[Total]]</f>
        <v>#N/A</v>
      </c>
    </row>
    <row r="5307" spans="1:22" hidden="1" x14ac:dyDescent="0.25">
      <c r="A5307" s="100">
        <v>45884</v>
      </c>
      <c r="B5307" t="str">
        <f t="shared" si="257"/>
        <v>August</v>
      </c>
      <c r="C5307" s="46" t="s">
        <v>280</v>
      </c>
      <c r="F5307" s="366" t="s">
        <v>2763</v>
      </c>
      <c r="G5307" s="46" t="s">
        <v>566</v>
      </c>
      <c r="H5307" s="46">
        <v>1</v>
      </c>
      <c r="I5307" s="51">
        <v>2109.4499999999998</v>
      </c>
      <c r="J5307" s="281">
        <f>++Tabla4[[#This Row],[Precio Bruto]]*1.16</f>
        <v>2446.9619999999995</v>
      </c>
      <c r="K5307" s="281">
        <f>+Tabla4[[#This Row],[Precio Unitario Neto]]*Tabla4[[#Headers],[20.85%]]</f>
        <v>510.19157699999988</v>
      </c>
      <c r="L5307" s="282">
        <f>++Tabla4[[#This Row],[Precio Unitario Neto]]-Tabla4[[#This Row],[20.85%]]</f>
        <v>1936.7704229999997</v>
      </c>
      <c r="M5307" s="282" t="e">
        <f>(INDEX(Tabla6[#All],MATCH(Tabla4[[#This Row],[Producto]],Tabla6[[#All],[PRODUCTO]],0),MATCH(Tabla4[[#This Row],[Mes]],Tabla6[#Headers],0)))*(1+Catalogos!$L$2)</f>
        <v>#N/A</v>
      </c>
      <c r="N5307" s="283" t="e">
        <f>+(Tabla4[[#This Row],[Precio Descontado]]-Tabla4[[#This Row],[Precio Base]])*Tabla4[[#This Row],[Cantidad]]</f>
        <v>#N/A</v>
      </c>
      <c r="O5307" s="284" t="e">
        <f>++Tabla4[[#This Row],[Utilidad Total]]/Tabla4[[#This Row],[Total]]</f>
        <v>#N/A</v>
      </c>
      <c r="P5307" s="282">
        <f>++Tabla4[[#This Row],[Precio Descontado]]*Tabla4[[#This Row],[Cantidad]]</f>
        <v>1936.7704229999997</v>
      </c>
      <c r="Q5307" s="282" t="e">
        <f>(INDEX(Tabla6[#All],MATCH(Tabla4[[#This Row],[Producto]],Tabla6[[#All],[PRODUCTO]],0),MATCH(Tabla4[[#This Row],[Mes]],Tabla6[#Headers],0)))</f>
        <v>#N/A</v>
      </c>
      <c r="R5307" s="282" t="e">
        <f>++Tabla4[[#This Row],[Precio Unitario Neto]]-Tabla4[[#This Row],[20.85%]]-Tabla4[[#This Row],[Costo]]</f>
        <v>#N/A</v>
      </c>
      <c r="S5307" s="282" t="e">
        <f>++Tabla4[[#This Row],[U. Bruta Uni]]*Tabla4[[#This Row],[Cantidad]]</f>
        <v>#N/A</v>
      </c>
      <c r="T5307" s="369" t="str">
        <f>VLOOKUP(Tabla4[[#This Row],[Producto]],Tabla6[#All],14,FALSE)</f>
        <v>Termico Solar</v>
      </c>
      <c r="U5307" s="284" t="e">
        <f>(IF(Tabla4[[#This Row],[Familia]]="termico solar",Tabla4[[#This Row],[Utilidad Total]]*6%,Tabla4[[#This Row],[Utilidad Total]]*11.5%))/Tabla4[[#This Row],[Total]]</f>
        <v>#N/A</v>
      </c>
      <c r="V5307" s="282" t="e">
        <f>+Tabla4[[#This Row],[Comisión Calculada]]*Tabla4[[#This Row],[Total]]</f>
        <v>#N/A</v>
      </c>
    </row>
    <row r="5308" spans="1:22" hidden="1" x14ac:dyDescent="0.25">
      <c r="A5308" s="100">
        <v>45884</v>
      </c>
      <c r="B5308" t="str">
        <f t="shared" si="257"/>
        <v>August</v>
      </c>
      <c r="C5308" s="46" t="s">
        <v>280</v>
      </c>
      <c r="F5308" s="366" t="s">
        <v>2764</v>
      </c>
      <c r="G5308" s="46" t="s">
        <v>83</v>
      </c>
      <c r="H5308" s="46">
        <v>4</v>
      </c>
      <c r="I5308" s="51">
        <v>8858.76</v>
      </c>
      <c r="J5308" s="281">
        <f>++Tabla4[[#This Row],[Precio Bruto]]*1.16</f>
        <v>10276.161599999999</v>
      </c>
      <c r="K5308" s="281">
        <f>+Tabla4[[#This Row],[Precio Unitario Neto]]*Tabla4[[#Headers],[20.85%]]</f>
        <v>2142.5796935999997</v>
      </c>
      <c r="L5308" s="282">
        <f>++Tabla4[[#This Row],[Precio Unitario Neto]]-Tabla4[[#This Row],[20.85%]]</f>
        <v>8133.5819063999998</v>
      </c>
      <c r="M5308" s="282" t="e">
        <f>(INDEX(Tabla6[#All],MATCH(Tabla4[[#This Row],[Producto]],Tabla6[[#All],[PRODUCTO]],0),MATCH(Tabla4[[#This Row],[Mes]],Tabla6[#Headers],0)))*(1+Catalogos!$L$2)</f>
        <v>#N/A</v>
      </c>
      <c r="N5308" s="283" t="e">
        <f>+(Tabla4[[#This Row],[Precio Descontado]]-Tabla4[[#This Row],[Precio Base]])*Tabla4[[#This Row],[Cantidad]]</f>
        <v>#N/A</v>
      </c>
      <c r="O5308" s="284" t="e">
        <f>++Tabla4[[#This Row],[Utilidad Total]]/Tabla4[[#This Row],[Total]]</f>
        <v>#N/A</v>
      </c>
      <c r="P5308" s="282">
        <f>++Tabla4[[#This Row],[Precio Descontado]]*Tabla4[[#This Row],[Cantidad]]</f>
        <v>32534.327625599999</v>
      </c>
      <c r="Q5308" s="282" t="e">
        <f>(INDEX(Tabla6[#All],MATCH(Tabla4[[#This Row],[Producto]],Tabla6[[#All],[PRODUCTO]],0),MATCH(Tabla4[[#This Row],[Mes]],Tabla6[#Headers],0)))</f>
        <v>#N/A</v>
      </c>
      <c r="R5308" s="282" t="e">
        <f>++Tabla4[[#This Row],[Precio Unitario Neto]]-Tabla4[[#This Row],[20.85%]]-Tabla4[[#This Row],[Costo]]</f>
        <v>#N/A</v>
      </c>
      <c r="S5308" s="282" t="e">
        <f>++Tabla4[[#This Row],[U. Bruta Uni]]*Tabla4[[#This Row],[Cantidad]]</f>
        <v>#N/A</v>
      </c>
      <c r="T5308" s="369" t="str">
        <f>VLOOKUP(Tabla4[[#This Row],[Producto]],Tabla6[#All],14,FALSE)</f>
        <v>Termico Solar</v>
      </c>
      <c r="U5308" s="284" t="e">
        <f>(IF(Tabla4[[#This Row],[Familia]]="termico solar",Tabla4[[#This Row],[Utilidad Total]]*6%,Tabla4[[#This Row],[Utilidad Total]]*11.5%))/Tabla4[[#This Row],[Total]]</f>
        <v>#N/A</v>
      </c>
      <c r="V5308" s="282" t="e">
        <f>+Tabla4[[#This Row],[Comisión Calculada]]*Tabla4[[#This Row],[Total]]</f>
        <v>#N/A</v>
      </c>
    </row>
    <row r="5309" spans="1:22" hidden="1" x14ac:dyDescent="0.25">
      <c r="A5309" s="100">
        <v>45884</v>
      </c>
      <c r="B5309" t="str">
        <f t="shared" si="257"/>
        <v>August</v>
      </c>
      <c r="C5309" s="46" t="s">
        <v>280</v>
      </c>
      <c r="F5309" s="366" t="s">
        <v>2764</v>
      </c>
      <c r="G5309" s="46" t="s">
        <v>17</v>
      </c>
      <c r="H5309" s="46">
        <v>11</v>
      </c>
      <c r="I5309" s="51">
        <v>4622.28</v>
      </c>
      <c r="J5309" s="281">
        <f>++Tabla4[[#This Row],[Precio Bruto]]*1.16</f>
        <v>5361.8447999999989</v>
      </c>
      <c r="K5309" s="281">
        <f>+Tabla4[[#This Row],[Precio Unitario Neto]]*Tabla4[[#Headers],[20.85%]]</f>
        <v>1117.9446407999997</v>
      </c>
      <c r="L5309" s="282">
        <f>++Tabla4[[#This Row],[Precio Unitario Neto]]-Tabla4[[#This Row],[20.85%]]</f>
        <v>4243.9001591999995</v>
      </c>
      <c r="M5309" s="282" t="e">
        <f>(INDEX(Tabla6[#All],MATCH(Tabla4[[#This Row],[Producto]],Tabla6[[#All],[PRODUCTO]],0),MATCH(Tabla4[[#This Row],[Mes]],Tabla6[#Headers],0)))*(1+Catalogos!$L$2)</f>
        <v>#N/A</v>
      </c>
      <c r="N5309" s="283" t="e">
        <f>+(Tabla4[[#This Row],[Precio Descontado]]-Tabla4[[#This Row],[Precio Base]])*Tabla4[[#This Row],[Cantidad]]</f>
        <v>#N/A</v>
      </c>
      <c r="O5309" s="284" t="e">
        <f>++Tabla4[[#This Row],[Utilidad Total]]/Tabla4[[#This Row],[Total]]</f>
        <v>#N/A</v>
      </c>
      <c r="P5309" s="282">
        <f>++Tabla4[[#This Row],[Precio Descontado]]*Tabla4[[#This Row],[Cantidad]]</f>
        <v>46682.901751199992</v>
      </c>
      <c r="Q5309" s="282" t="e">
        <f>(INDEX(Tabla6[#All],MATCH(Tabla4[[#This Row],[Producto]],Tabla6[[#All],[PRODUCTO]],0),MATCH(Tabla4[[#This Row],[Mes]],Tabla6[#Headers],0)))</f>
        <v>#N/A</v>
      </c>
      <c r="R5309" s="282" t="e">
        <f>++Tabla4[[#This Row],[Precio Unitario Neto]]-Tabla4[[#This Row],[20.85%]]-Tabla4[[#This Row],[Costo]]</f>
        <v>#N/A</v>
      </c>
      <c r="S5309" s="282" t="e">
        <f>++Tabla4[[#This Row],[U. Bruta Uni]]*Tabla4[[#This Row],[Cantidad]]</f>
        <v>#N/A</v>
      </c>
      <c r="T5309" s="369" t="str">
        <f>VLOOKUP(Tabla4[[#This Row],[Producto]],Tabla6[#All],14,FALSE)</f>
        <v>Termico Solar</v>
      </c>
      <c r="U5309" s="284" t="e">
        <f>(IF(Tabla4[[#This Row],[Familia]]="termico solar",Tabla4[[#This Row],[Utilidad Total]]*6%,Tabla4[[#This Row],[Utilidad Total]]*11.5%))/Tabla4[[#This Row],[Total]]</f>
        <v>#N/A</v>
      </c>
      <c r="V5309" s="282" t="e">
        <f>+Tabla4[[#This Row],[Comisión Calculada]]*Tabla4[[#This Row],[Total]]</f>
        <v>#N/A</v>
      </c>
    </row>
    <row r="5310" spans="1:22" hidden="1" x14ac:dyDescent="0.25">
      <c r="A5310" s="100">
        <v>45884</v>
      </c>
      <c r="B5310" t="str">
        <f t="shared" si="257"/>
        <v>August</v>
      </c>
      <c r="C5310" s="46" t="s">
        <v>280</v>
      </c>
      <c r="F5310" s="366" t="s">
        <v>2764</v>
      </c>
      <c r="G5310" s="46" t="s">
        <v>18</v>
      </c>
      <c r="H5310" s="46">
        <v>11</v>
      </c>
      <c r="I5310" s="51">
        <v>5367.6500000000005</v>
      </c>
      <c r="J5310" s="281">
        <f>++Tabla4[[#This Row],[Precio Bruto]]*1.16</f>
        <v>6226.4740000000002</v>
      </c>
      <c r="K5310" s="281">
        <f>+Tabla4[[#This Row],[Precio Unitario Neto]]*Tabla4[[#Headers],[20.85%]]</f>
        <v>1298.2198289999999</v>
      </c>
      <c r="L5310" s="282">
        <f>++Tabla4[[#This Row],[Precio Unitario Neto]]-Tabla4[[#This Row],[20.85%]]</f>
        <v>4928.2541710000005</v>
      </c>
      <c r="M5310" s="282" t="e">
        <f>(INDEX(Tabla6[#All],MATCH(Tabla4[[#This Row],[Producto]],Tabla6[[#All],[PRODUCTO]],0),MATCH(Tabla4[[#This Row],[Mes]],Tabla6[#Headers],0)))*(1+Catalogos!$L$2)</f>
        <v>#N/A</v>
      </c>
      <c r="N5310" s="283" t="e">
        <f>+(Tabla4[[#This Row],[Precio Descontado]]-Tabla4[[#This Row],[Precio Base]])*Tabla4[[#This Row],[Cantidad]]</f>
        <v>#N/A</v>
      </c>
      <c r="O5310" s="284" t="e">
        <f>++Tabla4[[#This Row],[Utilidad Total]]/Tabla4[[#This Row],[Total]]</f>
        <v>#N/A</v>
      </c>
      <c r="P5310" s="282">
        <f>++Tabla4[[#This Row],[Precio Descontado]]*Tabla4[[#This Row],[Cantidad]]</f>
        <v>54210.795881000005</v>
      </c>
      <c r="Q5310" s="282" t="e">
        <f>(INDEX(Tabla6[#All],MATCH(Tabla4[[#This Row],[Producto]],Tabla6[[#All],[PRODUCTO]],0),MATCH(Tabla4[[#This Row],[Mes]],Tabla6[#Headers],0)))</f>
        <v>#N/A</v>
      </c>
      <c r="R5310" s="282" t="e">
        <f>++Tabla4[[#This Row],[Precio Unitario Neto]]-Tabla4[[#This Row],[20.85%]]-Tabla4[[#This Row],[Costo]]</f>
        <v>#N/A</v>
      </c>
      <c r="S5310" s="282" t="e">
        <f>++Tabla4[[#This Row],[U. Bruta Uni]]*Tabla4[[#This Row],[Cantidad]]</f>
        <v>#N/A</v>
      </c>
      <c r="T5310" s="369" t="str">
        <f>VLOOKUP(Tabla4[[#This Row],[Producto]],Tabla6[#All],14,FALSE)</f>
        <v>Termico Solar</v>
      </c>
      <c r="U5310" s="284" t="e">
        <f>(IF(Tabla4[[#This Row],[Familia]]="termico solar",Tabla4[[#This Row],[Utilidad Total]]*6%,Tabla4[[#This Row],[Utilidad Total]]*11.5%))/Tabla4[[#This Row],[Total]]</f>
        <v>#N/A</v>
      </c>
      <c r="V5310" s="282" t="e">
        <f>+Tabla4[[#This Row],[Comisión Calculada]]*Tabla4[[#This Row],[Total]]</f>
        <v>#N/A</v>
      </c>
    </row>
    <row r="5311" spans="1:22" hidden="1" x14ac:dyDescent="0.25">
      <c r="A5311" s="100">
        <v>45884</v>
      </c>
      <c r="B5311" t="str">
        <f t="shared" si="257"/>
        <v>August</v>
      </c>
      <c r="C5311" s="46" t="s">
        <v>280</v>
      </c>
      <c r="F5311" s="366" t="s">
        <v>2764</v>
      </c>
      <c r="G5311" s="46" t="s">
        <v>16</v>
      </c>
      <c r="H5311" s="46">
        <v>10</v>
      </c>
      <c r="I5311" s="51">
        <v>4103.8500000000004</v>
      </c>
      <c r="J5311" s="281">
        <f>++Tabla4[[#This Row],[Precio Bruto]]*1.16</f>
        <v>4760.4660000000003</v>
      </c>
      <c r="K5311" s="281">
        <f>+Tabla4[[#This Row],[Precio Unitario Neto]]*Tabla4[[#Headers],[20.85%]]</f>
        <v>992.55716100000006</v>
      </c>
      <c r="L5311" s="282">
        <f>++Tabla4[[#This Row],[Precio Unitario Neto]]-Tabla4[[#This Row],[20.85%]]</f>
        <v>3767.9088390000002</v>
      </c>
      <c r="M5311" s="282" t="e">
        <f>(INDEX(Tabla6[#All],MATCH(Tabla4[[#This Row],[Producto]],Tabla6[[#All],[PRODUCTO]],0),MATCH(Tabla4[[#This Row],[Mes]],Tabla6[#Headers],0)))*(1+Catalogos!$L$2)</f>
        <v>#N/A</v>
      </c>
      <c r="N5311" s="283" t="e">
        <f>+(Tabla4[[#This Row],[Precio Descontado]]-Tabla4[[#This Row],[Precio Base]])*Tabla4[[#This Row],[Cantidad]]</f>
        <v>#N/A</v>
      </c>
      <c r="O5311" s="284" t="e">
        <f>++Tabla4[[#This Row],[Utilidad Total]]/Tabla4[[#This Row],[Total]]</f>
        <v>#N/A</v>
      </c>
      <c r="P5311" s="282">
        <f>++Tabla4[[#This Row],[Precio Descontado]]*Tabla4[[#This Row],[Cantidad]]</f>
        <v>37679.088390000004</v>
      </c>
      <c r="Q5311" s="282" t="e">
        <f>(INDEX(Tabla6[#All],MATCH(Tabla4[[#This Row],[Producto]],Tabla6[[#All],[PRODUCTO]],0),MATCH(Tabla4[[#This Row],[Mes]],Tabla6[#Headers],0)))</f>
        <v>#N/A</v>
      </c>
      <c r="R5311" s="282" t="e">
        <f>++Tabla4[[#This Row],[Precio Unitario Neto]]-Tabla4[[#This Row],[20.85%]]-Tabla4[[#This Row],[Costo]]</f>
        <v>#N/A</v>
      </c>
      <c r="S5311" s="282" t="e">
        <f>++Tabla4[[#This Row],[U. Bruta Uni]]*Tabla4[[#This Row],[Cantidad]]</f>
        <v>#N/A</v>
      </c>
      <c r="T5311" s="369" t="str">
        <f>VLOOKUP(Tabla4[[#This Row],[Producto]],Tabla6[#All],14,FALSE)</f>
        <v>Termico Solar</v>
      </c>
      <c r="U5311" s="284" t="e">
        <f>(IF(Tabla4[[#This Row],[Familia]]="termico solar",Tabla4[[#This Row],[Utilidad Total]]*6%,Tabla4[[#This Row],[Utilidad Total]]*11.5%))/Tabla4[[#This Row],[Total]]</f>
        <v>#N/A</v>
      </c>
      <c r="V5311" s="282" t="e">
        <f>+Tabla4[[#This Row],[Comisión Calculada]]*Tabla4[[#This Row],[Total]]</f>
        <v>#N/A</v>
      </c>
    </row>
    <row r="5312" spans="1:22" hidden="1" x14ac:dyDescent="0.25">
      <c r="A5312" s="100">
        <v>45884</v>
      </c>
      <c r="B5312" t="str">
        <f t="shared" si="257"/>
        <v>August</v>
      </c>
      <c r="C5312" s="46" t="s">
        <v>280</v>
      </c>
      <c r="F5312" s="366" t="s">
        <v>2765</v>
      </c>
      <c r="G5312" s="46" t="s">
        <v>18</v>
      </c>
      <c r="H5312" s="46">
        <v>2</v>
      </c>
      <c r="I5312" s="51">
        <v>5367.65</v>
      </c>
      <c r="J5312" s="281">
        <f>++Tabla4[[#This Row],[Precio Bruto]]*1.16</f>
        <v>6226.4739999999993</v>
      </c>
      <c r="K5312" s="281">
        <f>+Tabla4[[#This Row],[Precio Unitario Neto]]*Tabla4[[#Headers],[20.85%]]</f>
        <v>1298.2198289999999</v>
      </c>
      <c r="L5312" s="282">
        <f>++Tabla4[[#This Row],[Precio Unitario Neto]]-Tabla4[[#This Row],[20.85%]]</f>
        <v>4928.2541709999996</v>
      </c>
      <c r="M5312" s="282" t="e">
        <f>(INDEX(Tabla6[#All],MATCH(Tabla4[[#This Row],[Producto]],Tabla6[[#All],[PRODUCTO]],0),MATCH(Tabla4[[#This Row],[Mes]],Tabla6[#Headers],0)))*(1+Catalogos!$L$2)</f>
        <v>#N/A</v>
      </c>
      <c r="N5312" s="283" t="e">
        <f>+(Tabla4[[#This Row],[Precio Descontado]]-Tabla4[[#This Row],[Precio Base]])*Tabla4[[#This Row],[Cantidad]]</f>
        <v>#N/A</v>
      </c>
      <c r="O5312" s="284" t="e">
        <f>++Tabla4[[#This Row],[Utilidad Total]]/Tabla4[[#This Row],[Total]]</f>
        <v>#N/A</v>
      </c>
      <c r="P5312" s="282">
        <f>++Tabla4[[#This Row],[Precio Descontado]]*Tabla4[[#This Row],[Cantidad]]</f>
        <v>9856.5083419999992</v>
      </c>
      <c r="Q5312" s="282" t="e">
        <f>(INDEX(Tabla6[#All],MATCH(Tabla4[[#This Row],[Producto]],Tabla6[[#All],[PRODUCTO]],0),MATCH(Tabla4[[#This Row],[Mes]],Tabla6[#Headers],0)))</f>
        <v>#N/A</v>
      </c>
      <c r="R5312" s="282" t="e">
        <f>++Tabla4[[#This Row],[Precio Unitario Neto]]-Tabla4[[#This Row],[20.85%]]-Tabla4[[#This Row],[Costo]]</f>
        <v>#N/A</v>
      </c>
      <c r="S5312" s="282" t="e">
        <f>++Tabla4[[#This Row],[U. Bruta Uni]]*Tabla4[[#This Row],[Cantidad]]</f>
        <v>#N/A</v>
      </c>
      <c r="T5312" s="369" t="str">
        <f>VLOOKUP(Tabla4[[#This Row],[Producto]],Tabla6[#All],14,FALSE)</f>
        <v>Termico Solar</v>
      </c>
      <c r="U5312" s="284" t="e">
        <f>(IF(Tabla4[[#This Row],[Familia]]="termico solar",Tabla4[[#This Row],[Utilidad Total]]*6%,Tabla4[[#This Row],[Utilidad Total]]*11.5%))/Tabla4[[#This Row],[Total]]</f>
        <v>#N/A</v>
      </c>
      <c r="V5312" s="282" t="e">
        <f>+Tabla4[[#This Row],[Comisión Calculada]]*Tabla4[[#This Row],[Total]]</f>
        <v>#N/A</v>
      </c>
    </row>
    <row r="5313" spans="1:22" hidden="1" x14ac:dyDescent="0.25">
      <c r="A5313" s="100">
        <v>45884</v>
      </c>
      <c r="B5313" t="str">
        <f t="shared" ref="B5313:B5321" si="258">TEXT(A5313, "mmmm")</f>
        <v>August</v>
      </c>
      <c r="C5313" s="46" t="s">
        <v>280</v>
      </c>
      <c r="F5313" s="366" t="s">
        <v>2765</v>
      </c>
      <c r="G5313" s="46" t="s">
        <v>566</v>
      </c>
      <c r="H5313" s="46">
        <v>1</v>
      </c>
      <c r="I5313" s="51">
        <v>2109.4499999999998</v>
      </c>
      <c r="J5313" s="281">
        <f>++Tabla4[[#This Row],[Precio Bruto]]*1.16</f>
        <v>2446.9619999999995</v>
      </c>
      <c r="K5313" s="281">
        <f>+Tabla4[[#This Row],[Precio Unitario Neto]]*Tabla4[[#Headers],[20.85%]]</f>
        <v>510.19157699999988</v>
      </c>
      <c r="L5313" s="282">
        <f>++Tabla4[[#This Row],[Precio Unitario Neto]]-Tabla4[[#This Row],[20.85%]]</f>
        <v>1936.7704229999997</v>
      </c>
      <c r="M5313" s="282" t="e">
        <f>(INDEX(Tabla6[#All],MATCH(Tabla4[[#This Row],[Producto]],Tabla6[[#All],[PRODUCTO]],0),MATCH(Tabla4[[#This Row],[Mes]],Tabla6[#Headers],0)))*(1+Catalogos!$L$2)</f>
        <v>#N/A</v>
      </c>
      <c r="N5313" s="283" t="e">
        <f>+(Tabla4[[#This Row],[Precio Descontado]]-Tabla4[[#This Row],[Precio Base]])*Tabla4[[#This Row],[Cantidad]]</f>
        <v>#N/A</v>
      </c>
      <c r="O5313" s="284" t="e">
        <f>++Tabla4[[#This Row],[Utilidad Total]]/Tabla4[[#This Row],[Total]]</f>
        <v>#N/A</v>
      </c>
      <c r="P5313" s="282">
        <f>++Tabla4[[#This Row],[Precio Descontado]]*Tabla4[[#This Row],[Cantidad]]</f>
        <v>1936.7704229999997</v>
      </c>
      <c r="Q5313" s="282" t="e">
        <f>(INDEX(Tabla6[#All],MATCH(Tabla4[[#This Row],[Producto]],Tabla6[[#All],[PRODUCTO]],0),MATCH(Tabla4[[#This Row],[Mes]],Tabla6[#Headers],0)))</f>
        <v>#N/A</v>
      </c>
      <c r="R5313" s="282" t="e">
        <f>++Tabla4[[#This Row],[Precio Unitario Neto]]-Tabla4[[#This Row],[20.85%]]-Tabla4[[#This Row],[Costo]]</f>
        <v>#N/A</v>
      </c>
      <c r="S5313" s="282" t="e">
        <f>++Tabla4[[#This Row],[U. Bruta Uni]]*Tabla4[[#This Row],[Cantidad]]</f>
        <v>#N/A</v>
      </c>
      <c r="T5313" s="369" t="str">
        <f>VLOOKUP(Tabla4[[#This Row],[Producto]],Tabla6[#All],14,FALSE)</f>
        <v>Termico Solar</v>
      </c>
      <c r="U5313" s="284" t="e">
        <f>(IF(Tabla4[[#This Row],[Familia]]="termico solar",Tabla4[[#This Row],[Utilidad Total]]*6%,Tabla4[[#This Row],[Utilidad Total]]*11.5%))/Tabla4[[#This Row],[Total]]</f>
        <v>#N/A</v>
      </c>
      <c r="V5313" s="282" t="e">
        <f>+Tabla4[[#This Row],[Comisión Calculada]]*Tabla4[[#This Row],[Total]]</f>
        <v>#N/A</v>
      </c>
    </row>
    <row r="5314" spans="1:22" hidden="1" x14ac:dyDescent="0.25">
      <c r="A5314" s="100">
        <v>45884</v>
      </c>
      <c r="B5314" t="str">
        <f t="shared" si="258"/>
        <v>August</v>
      </c>
      <c r="C5314" s="46" t="s">
        <v>280</v>
      </c>
      <c r="F5314" s="366" t="s">
        <v>2765</v>
      </c>
      <c r="G5314" s="46" t="s">
        <v>208</v>
      </c>
      <c r="H5314" s="46">
        <v>2</v>
      </c>
      <c r="I5314" s="51">
        <v>189.75</v>
      </c>
      <c r="J5314" s="281">
        <f>++Tabla4[[#This Row],[Precio Bruto]]*1.16</f>
        <v>220.10999999999999</v>
      </c>
      <c r="K5314" s="281">
        <f>+Tabla4[[#This Row],[Precio Unitario Neto]]*Tabla4[[#Headers],[20.85%]]</f>
        <v>45.892934999999994</v>
      </c>
      <c r="L5314" s="282">
        <f>++Tabla4[[#This Row],[Precio Unitario Neto]]-Tabla4[[#This Row],[20.85%]]</f>
        <v>174.21706499999999</v>
      </c>
      <c r="M5314" s="282" t="e">
        <f>(INDEX(Tabla6[#All],MATCH(Tabla4[[#This Row],[Producto]],Tabla6[[#All],[PRODUCTO]],0),MATCH(Tabla4[[#This Row],[Mes]],Tabla6[#Headers],0)))*(1+Catalogos!$L$2)</f>
        <v>#N/A</v>
      </c>
      <c r="N5314" s="283" t="e">
        <f>+(Tabla4[[#This Row],[Precio Descontado]]-Tabla4[[#This Row],[Precio Base]])*Tabla4[[#This Row],[Cantidad]]</f>
        <v>#N/A</v>
      </c>
      <c r="O5314" s="284" t="e">
        <f>++Tabla4[[#This Row],[Utilidad Total]]/Tabla4[[#This Row],[Total]]</f>
        <v>#N/A</v>
      </c>
      <c r="P5314" s="282">
        <f>++Tabla4[[#This Row],[Precio Descontado]]*Tabla4[[#This Row],[Cantidad]]</f>
        <v>348.43412999999998</v>
      </c>
      <c r="Q5314" s="282" t="e">
        <f>(INDEX(Tabla6[#All],MATCH(Tabla4[[#This Row],[Producto]],Tabla6[[#All],[PRODUCTO]],0),MATCH(Tabla4[[#This Row],[Mes]],Tabla6[#Headers],0)))</f>
        <v>#N/A</v>
      </c>
      <c r="R5314" s="282" t="e">
        <f>++Tabla4[[#This Row],[Precio Unitario Neto]]-Tabla4[[#This Row],[20.85%]]-Tabla4[[#This Row],[Costo]]</f>
        <v>#N/A</v>
      </c>
      <c r="S5314" s="282" t="e">
        <f>++Tabla4[[#This Row],[U. Bruta Uni]]*Tabla4[[#This Row],[Cantidad]]</f>
        <v>#N/A</v>
      </c>
      <c r="T5314" s="369" t="str">
        <f>VLOOKUP(Tabla4[[#This Row],[Producto]],Tabla6[#All],14,FALSE)</f>
        <v>Termico Solar</v>
      </c>
      <c r="U5314" s="284" t="e">
        <f>(IF(Tabla4[[#This Row],[Familia]]="termico solar",Tabla4[[#This Row],[Utilidad Total]]*6%,Tabla4[[#This Row],[Utilidad Total]]*11.5%))/Tabla4[[#This Row],[Total]]</f>
        <v>#N/A</v>
      </c>
      <c r="V5314" s="282" t="e">
        <f>+Tabla4[[#This Row],[Comisión Calculada]]*Tabla4[[#This Row],[Total]]</f>
        <v>#N/A</v>
      </c>
    </row>
    <row r="5315" spans="1:22" hidden="1" x14ac:dyDescent="0.25">
      <c r="A5315" s="100">
        <v>45884</v>
      </c>
      <c r="B5315" t="str">
        <f t="shared" si="258"/>
        <v>August</v>
      </c>
      <c r="C5315" s="46" t="s">
        <v>280</v>
      </c>
      <c r="F5315" s="366" t="s">
        <v>2766</v>
      </c>
      <c r="G5315" s="46" t="s">
        <v>18</v>
      </c>
      <c r="H5315" s="46">
        <v>1</v>
      </c>
      <c r="I5315" s="51">
        <v>5367.65</v>
      </c>
      <c r="J5315" s="281">
        <f>++Tabla4[[#This Row],[Precio Bruto]]*1.16</f>
        <v>6226.4739999999993</v>
      </c>
      <c r="K5315" s="281">
        <f>+Tabla4[[#This Row],[Precio Unitario Neto]]*Tabla4[[#Headers],[20.85%]]</f>
        <v>1298.2198289999999</v>
      </c>
      <c r="L5315" s="282">
        <f>++Tabla4[[#This Row],[Precio Unitario Neto]]-Tabla4[[#This Row],[20.85%]]</f>
        <v>4928.2541709999996</v>
      </c>
      <c r="M5315" s="282" t="e">
        <f>(INDEX(Tabla6[#All],MATCH(Tabla4[[#This Row],[Producto]],Tabla6[[#All],[PRODUCTO]],0),MATCH(Tabla4[[#This Row],[Mes]],Tabla6[#Headers],0)))*(1+Catalogos!$L$2)</f>
        <v>#N/A</v>
      </c>
      <c r="N5315" s="283" t="e">
        <f>+(Tabla4[[#This Row],[Precio Descontado]]-Tabla4[[#This Row],[Precio Base]])*Tabla4[[#This Row],[Cantidad]]</f>
        <v>#N/A</v>
      </c>
      <c r="O5315" s="284" t="e">
        <f>++Tabla4[[#This Row],[Utilidad Total]]/Tabla4[[#This Row],[Total]]</f>
        <v>#N/A</v>
      </c>
      <c r="P5315" s="282">
        <f>++Tabla4[[#This Row],[Precio Descontado]]*Tabla4[[#This Row],[Cantidad]]</f>
        <v>4928.2541709999996</v>
      </c>
      <c r="Q5315" s="282" t="e">
        <f>(INDEX(Tabla6[#All],MATCH(Tabla4[[#This Row],[Producto]],Tabla6[[#All],[PRODUCTO]],0),MATCH(Tabla4[[#This Row],[Mes]],Tabla6[#Headers],0)))</f>
        <v>#N/A</v>
      </c>
      <c r="R5315" s="282" t="e">
        <f>++Tabla4[[#This Row],[Precio Unitario Neto]]-Tabla4[[#This Row],[20.85%]]-Tabla4[[#This Row],[Costo]]</f>
        <v>#N/A</v>
      </c>
      <c r="S5315" s="282" t="e">
        <f>++Tabla4[[#This Row],[U. Bruta Uni]]*Tabla4[[#This Row],[Cantidad]]</f>
        <v>#N/A</v>
      </c>
      <c r="T5315" s="369" t="str">
        <f>VLOOKUP(Tabla4[[#This Row],[Producto]],Tabla6[#All],14,FALSE)</f>
        <v>Termico Solar</v>
      </c>
      <c r="U5315" s="284" t="e">
        <f>(IF(Tabla4[[#This Row],[Familia]]="termico solar",Tabla4[[#This Row],[Utilidad Total]]*6%,Tabla4[[#This Row],[Utilidad Total]]*11.5%))/Tabla4[[#This Row],[Total]]</f>
        <v>#N/A</v>
      </c>
      <c r="V5315" s="282" t="e">
        <f>+Tabla4[[#This Row],[Comisión Calculada]]*Tabla4[[#This Row],[Total]]</f>
        <v>#N/A</v>
      </c>
    </row>
    <row r="5316" spans="1:22" hidden="1" x14ac:dyDescent="0.25">
      <c r="A5316" s="100">
        <v>45884</v>
      </c>
      <c r="B5316" t="str">
        <f t="shared" si="258"/>
        <v>August</v>
      </c>
      <c r="C5316" s="46" t="s">
        <v>280</v>
      </c>
      <c r="F5316" s="366" t="s">
        <v>2767</v>
      </c>
      <c r="G5316" s="46" t="s">
        <v>566</v>
      </c>
      <c r="H5316" s="46">
        <v>1</v>
      </c>
      <c r="I5316" s="51">
        <v>2109.4499999999998</v>
      </c>
      <c r="J5316" s="281">
        <f>++Tabla4[[#This Row],[Precio Bruto]]*1.16</f>
        <v>2446.9619999999995</v>
      </c>
      <c r="K5316" s="281">
        <f>+Tabla4[[#This Row],[Precio Unitario Neto]]*Tabla4[[#Headers],[20.85%]]</f>
        <v>510.19157699999988</v>
      </c>
      <c r="L5316" s="282">
        <f>++Tabla4[[#This Row],[Precio Unitario Neto]]-Tabla4[[#This Row],[20.85%]]</f>
        <v>1936.7704229999997</v>
      </c>
      <c r="M5316" s="282" t="e">
        <f>(INDEX(Tabla6[#All],MATCH(Tabla4[[#This Row],[Producto]],Tabla6[[#All],[PRODUCTO]],0),MATCH(Tabla4[[#This Row],[Mes]],Tabla6[#Headers],0)))*(1+Catalogos!$L$2)</f>
        <v>#N/A</v>
      </c>
      <c r="N5316" s="283" t="e">
        <f>+(Tabla4[[#This Row],[Precio Descontado]]-Tabla4[[#This Row],[Precio Base]])*Tabla4[[#This Row],[Cantidad]]</f>
        <v>#N/A</v>
      </c>
      <c r="O5316" s="284" t="e">
        <f>++Tabla4[[#This Row],[Utilidad Total]]/Tabla4[[#This Row],[Total]]</f>
        <v>#N/A</v>
      </c>
      <c r="P5316" s="282">
        <f>++Tabla4[[#This Row],[Precio Descontado]]*Tabla4[[#This Row],[Cantidad]]</f>
        <v>1936.7704229999997</v>
      </c>
      <c r="Q5316" s="282" t="e">
        <f>(INDEX(Tabla6[#All],MATCH(Tabla4[[#This Row],[Producto]],Tabla6[[#All],[PRODUCTO]],0),MATCH(Tabla4[[#This Row],[Mes]],Tabla6[#Headers],0)))</f>
        <v>#N/A</v>
      </c>
      <c r="R5316" s="282" t="e">
        <f>++Tabla4[[#This Row],[Precio Unitario Neto]]-Tabla4[[#This Row],[20.85%]]-Tabla4[[#This Row],[Costo]]</f>
        <v>#N/A</v>
      </c>
      <c r="S5316" s="282" t="e">
        <f>++Tabla4[[#This Row],[U. Bruta Uni]]*Tabla4[[#This Row],[Cantidad]]</f>
        <v>#N/A</v>
      </c>
      <c r="T5316" s="369" t="str">
        <f>VLOOKUP(Tabla4[[#This Row],[Producto]],Tabla6[#All],14,FALSE)</f>
        <v>Termico Solar</v>
      </c>
      <c r="U5316" s="284" t="e">
        <f>(IF(Tabla4[[#This Row],[Familia]]="termico solar",Tabla4[[#This Row],[Utilidad Total]]*6%,Tabla4[[#This Row],[Utilidad Total]]*11.5%))/Tabla4[[#This Row],[Total]]</f>
        <v>#N/A</v>
      </c>
      <c r="V5316" s="282" t="e">
        <f>+Tabla4[[#This Row],[Comisión Calculada]]*Tabla4[[#This Row],[Total]]</f>
        <v>#N/A</v>
      </c>
    </row>
    <row r="5317" spans="1:22" hidden="1" x14ac:dyDescent="0.25">
      <c r="A5317" s="100">
        <v>45884</v>
      </c>
      <c r="B5317" t="str">
        <f t="shared" si="258"/>
        <v>August</v>
      </c>
      <c r="C5317" s="46" t="s">
        <v>280</v>
      </c>
      <c r="F5317" s="366" t="s">
        <v>2768</v>
      </c>
      <c r="G5317" s="46" t="s">
        <v>83</v>
      </c>
      <c r="H5317" s="46">
        <v>1</v>
      </c>
      <c r="I5317" s="51">
        <v>8858.76</v>
      </c>
      <c r="J5317" s="281">
        <f>++Tabla4[[#This Row],[Precio Bruto]]*1.16</f>
        <v>10276.161599999999</v>
      </c>
      <c r="K5317" s="281">
        <f>+Tabla4[[#This Row],[Precio Unitario Neto]]*Tabla4[[#Headers],[20.85%]]</f>
        <v>2142.5796935999997</v>
      </c>
      <c r="L5317" s="282">
        <f>++Tabla4[[#This Row],[Precio Unitario Neto]]-Tabla4[[#This Row],[20.85%]]</f>
        <v>8133.5819063999998</v>
      </c>
      <c r="M5317" s="282" t="e">
        <f>(INDEX(Tabla6[#All],MATCH(Tabla4[[#This Row],[Producto]],Tabla6[[#All],[PRODUCTO]],0),MATCH(Tabla4[[#This Row],[Mes]],Tabla6[#Headers],0)))*(1+Catalogos!$L$2)</f>
        <v>#N/A</v>
      </c>
      <c r="N5317" s="283" t="e">
        <f>+(Tabla4[[#This Row],[Precio Descontado]]-Tabla4[[#This Row],[Precio Base]])*Tabla4[[#This Row],[Cantidad]]</f>
        <v>#N/A</v>
      </c>
      <c r="O5317" s="284" t="e">
        <f>++Tabla4[[#This Row],[Utilidad Total]]/Tabla4[[#This Row],[Total]]</f>
        <v>#N/A</v>
      </c>
      <c r="P5317" s="282">
        <f>++Tabla4[[#This Row],[Precio Descontado]]*Tabla4[[#This Row],[Cantidad]]</f>
        <v>8133.5819063999998</v>
      </c>
      <c r="Q5317" s="282" t="e">
        <f>(INDEX(Tabla6[#All],MATCH(Tabla4[[#This Row],[Producto]],Tabla6[[#All],[PRODUCTO]],0),MATCH(Tabla4[[#This Row],[Mes]],Tabla6[#Headers],0)))</f>
        <v>#N/A</v>
      </c>
      <c r="R5317" s="282" t="e">
        <f>++Tabla4[[#This Row],[Precio Unitario Neto]]-Tabla4[[#This Row],[20.85%]]-Tabla4[[#This Row],[Costo]]</f>
        <v>#N/A</v>
      </c>
      <c r="S5317" s="282" t="e">
        <f>++Tabla4[[#This Row],[U. Bruta Uni]]*Tabla4[[#This Row],[Cantidad]]</f>
        <v>#N/A</v>
      </c>
      <c r="T5317" s="369" t="str">
        <f>VLOOKUP(Tabla4[[#This Row],[Producto]],Tabla6[#All],14,FALSE)</f>
        <v>Termico Solar</v>
      </c>
      <c r="U5317" s="284" t="e">
        <f>(IF(Tabla4[[#This Row],[Familia]]="termico solar",Tabla4[[#This Row],[Utilidad Total]]*6%,Tabla4[[#This Row],[Utilidad Total]]*11.5%))/Tabla4[[#This Row],[Total]]</f>
        <v>#N/A</v>
      </c>
      <c r="V5317" s="282" t="e">
        <f>+Tabla4[[#This Row],[Comisión Calculada]]*Tabla4[[#This Row],[Total]]</f>
        <v>#N/A</v>
      </c>
    </row>
    <row r="5318" spans="1:22" hidden="1" x14ac:dyDescent="0.25">
      <c r="A5318" s="100">
        <v>45884</v>
      </c>
      <c r="B5318" t="str">
        <f t="shared" si="258"/>
        <v>August</v>
      </c>
      <c r="C5318" s="46" t="s">
        <v>280</v>
      </c>
      <c r="F5318" s="366" t="s">
        <v>2768</v>
      </c>
      <c r="G5318" s="46" t="s">
        <v>17</v>
      </c>
      <c r="H5318" s="46">
        <v>2</v>
      </c>
      <c r="I5318" s="51">
        <v>4622.28</v>
      </c>
      <c r="J5318" s="281">
        <f>++Tabla4[[#This Row],[Precio Bruto]]*1.16</f>
        <v>5361.8447999999989</v>
      </c>
      <c r="K5318" s="281">
        <f>+Tabla4[[#This Row],[Precio Unitario Neto]]*Tabla4[[#Headers],[20.85%]]</f>
        <v>1117.9446407999997</v>
      </c>
      <c r="L5318" s="282">
        <f>++Tabla4[[#This Row],[Precio Unitario Neto]]-Tabla4[[#This Row],[20.85%]]</f>
        <v>4243.9001591999995</v>
      </c>
      <c r="M5318" s="282" t="e">
        <f>(INDEX(Tabla6[#All],MATCH(Tabla4[[#This Row],[Producto]],Tabla6[[#All],[PRODUCTO]],0),MATCH(Tabla4[[#This Row],[Mes]],Tabla6[#Headers],0)))*(1+Catalogos!$L$2)</f>
        <v>#N/A</v>
      </c>
      <c r="N5318" s="283" t="e">
        <f>+(Tabla4[[#This Row],[Precio Descontado]]-Tabla4[[#This Row],[Precio Base]])*Tabla4[[#This Row],[Cantidad]]</f>
        <v>#N/A</v>
      </c>
      <c r="O5318" s="284" t="e">
        <f>++Tabla4[[#This Row],[Utilidad Total]]/Tabla4[[#This Row],[Total]]</f>
        <v>#N/A</v>
      </c>
      <c r="P5318" s="282">
        <f>++Tabla4[[#This Row],[Precio Descontado]]*Tabla4[[#This Row],[Cantidad]]</f>
        <v>8487.800318399999</v>
      </c>
      <c r="Q5318" s="282" t="e">
        <f>(INDEX(Tabla6[#All],MATCH(Tabla4[[#This Row],[Producto]],Tabla6[[#All],[PRODUCTO]],0),MATCH(Tabla4[[#This Row],[Mes]],Tabla6[#Headers],0)))</f>
        <v>#N/A</v>
      </c>
      <c r="R5318" s="282" t="e">
        <f>++Tabla4[[#This Row],[Precio Unitario Neto]]-Tabla4[[#This Row],[20.85%]]-Tabla4[[#This Row],[Costo]]</f>
        <v>#N/A</v>
      </c>
      <c r="S5318" s="282" t="e">
        <f>++Tabla4[[#This Row],[U. Bruta Uni]]*Tabla4[[#This Row],[Cantidad]]</f>
        <v>#N/A</v>
      </c>
      <c r="T5318" s="369" t="str">
        <f>VLOOKUP(Tabla4[[#This Row],[Producto]],Tabla6[#All],14,FALSE)</f>
        <v>Termico Solar</v>
      </c>
      <c r="U5318" s="284" t="e">
        <f>(IF(Tabla4[[#This Row],[Familia]]="termico solar",Tabla4[[#This Row],[Utilidad Total]]*6%,Tabla4[[#This Row],[Utilidad Total]]*11.5%))/Tabla4[[#This Row],[Total]]</f>
        <v>#N/A</v>
      </c>
      <c r="V5318" s="282" t="e">
        <f>+Tabla4[[#This Row],[Comisión Calculada]]*Tabla4[[#This Row],[Total]]</f>
        <v>#N/A</v>
      </c>
    </row>
    <row r="5319" spans="1:22" hidden="1" x14ac:dyDescent="0.25">
      <c r="A5319" s="100">
        <v>45884</v>
      </c>
      <c r="B5319" t="str">
        <f t="shared" si="258"/>
        <v>August</v>
      </c>
      <c r="C5319" s="46" t="s">
        <v>280</v>
      </c>
      <c r="F5319" s="366" t="s">
        <v>2768</v>
      </c>
      <c r="G5319" s="46" t="s">
        <v>16</v>
      </c>
      <c r="H5319" s="46">
        <v>1</v>
      </c>
      <c r="I5319" s="51">
        <v>4103.8500000000004</v>
      </c>
      <c r="J5319" s="281">
        <f>++Tabla4[[#This Row],[Precio Bruto]]*1.16</f>
        <v>4760.4660000000003</v>
      </c>
      <c r="K5319" s="281">
        <f>+Tabla4[[#This Row],[Precio Unitario Neto]]*Tabla4[[#Headers],[20.85%]]</f>
        <v>992.55716100000006</v>
      </c>
      <c r="L5319" s="282">
        <f>++Tabla4[[#This Row],[Precio Unitario Neto]]-Tabla4[[#This Row],[20.85%]]</f>
        <v>3767.9088390000002</v>
      </c>
      <c r="M5319" s="282" t="e">
        <f>(INDEX(Tabla6[#All],MATCH(Tabla4[[#This Row],[Producto]],Tabla6[[#All],[PRODUCTO]],0),MATCH(Tabla4[[#This Row],[Mes]],Tabla6[#Headers],0)))*(1+Catalogos!$L$2)</f>
        <v>#N/A</v>
      </c>
      <c r="N5319" s="283" t="e">
        <f>+(Tabla4[[#This Row],[Precio Descontado]]-Tabla4[[#This Row],[Precio Base]])*Tabla4[[#This Row],[Cantidad]]</f>
        <v>#N/A</v>
      </c>
      <c r="O5319" s="284" t="e">
        <f>++Tabla4[[#This Row],[Utilidad Total]]/Tabla4[[#This Row],[Total]]</f>
        <v>#N/A</v>
      </c>
      <c r="P5319" s="282">
        <f>++Tabla4[[#This Row],[Precio Descontado]]*Tabla4[[#This Row],[Cantidad]]</f>
        <v>3767.9088390000002</v>
      </c>
      <c r="Q5319" s="282" t="e">
        <f>(INDEX(Tabla6[#All],MATCH(Tabla4[[#This Row],[Producto]],Tabla6[[#All],[PRODUCTO]],0),MATCH(Tabla4[[#This Row],[Mes]],Tabla6[#Headers],0)))</f>
        <v>#N/A</v>
      </c>
      <c r="R5319" s="282" t="e">
        <f>++Tabla4[[#This Row],[Precio Unitario Neto]]-Tabla4[[#This Row],[20.85%]]-Tabla4[[#This Row],[Costo]]</f>
        <v>#N/A</v>
      </c>
      <c r="S5319" s="282" t="e">
        <f>++Tabla4[[#This Row],[U. Bruta Uni]]*Tabla4[[#This Row],[Cantidad]]</f>
        <v>#N/A</v>
      </c>
      <c r="T5319" s="369" t="str">
        <f>VLOOKUP(Tabla4[[#This Row],[Producto]],Tabla6[#All],14,FALSE)</f>
        <v>Termico Solar</v>
      </c>
      <c r="U5319" s="284" t="e">
        <f>(IF(Tabla4[[#This Row],[Familia]]="termico solar",Tabla4[[#This Row],[Utilidad Total]]*6%,Tabla4[[#This Row],[Utilidad Total]]*11.5%))/Tabla4[[#This Row],[Total]]</f>
        <v>#N/A</v>
      </c>
      <c r="V5319" s="282" t="e">
        <f>+Tabla4[[#This Row],[Comisión Calculada]]*Tabla4[[#This Row],[Total]]</f>
        <v>#N/A</v>
      </c>
    </row>
    <row r="5320" spans="1:22" hidden="1" x14ac:dyDescent="0.25">
      <c r="A5320" s="100">
        <v>45884</v>
      </c>
      <c r="B5320" t="str">
        <f t="shared" si="258"/>
        <v>August</v>
      </c>
      <c r="C5320" s="46" t="s">
        <v>280</v>
      </c>
      <c r="F5320" s="366" t="s">
        <v>2768</v>
      </c>
      <c r="G5320" s="46" t="s">
        <v>208</v>
      </c>
      <c r="H5320" s="46">
        <v>1</v>
      </c>
      <c r="I5320" s="51">
        <v>189.75</v>
      </c>
      <c r="J5320" s="281">
        <f>++Tabla4[[#This Row],[Precio Bruto]]*1.16</f>
        <v>220.10999999999999</v>
      </c>
      <c r="K5320" s="281">
        <f>+Tabla4[[#This Row],[Precio Unitario Neto]]*Tabla4[[#Headers],[20.85%]]</f>
        <v>45.892934999999994</v>
      </c>
      <c r="L5320" s="282">
        <f>++Tabla4[[#This Row],[Precio Unitario Neto]]-Tabla4[[#This Row],[20.85%]]</f>
        <v>174.21706499999999</v>
      </c>
      <c r="M5320" s="282" t="e">
        <f>(INDEX(Tabla6[#All],MATCH(Tabla4[[#This Row],[Producto]],Tabla6[[#All],[PRODUCTO]],0),MATCH(Tabla4[[#This Row],[Mes]],Tabla6[#Headers],0)))*(1+Catalogos!$L$2)</f>
        <v>#N/A</v>
      </c>
      <c r="N5320" s="283" t="e">
        <f>+(Tabla4[[#This Row],[Precio Descontado]]-Tabla4[[#This Row],[Precio Base]])*Tabla4[[#This Row],[Cantidad]]</f>
        <v>#N/A</v>
      </c>
      <c r="O5320" s="284" t="e">
        <f>++Tabla4[[#This Row],[Utilidad Total]]/Tabla4[[#This Row],[Total]]</f>
        <v>#N/A</v>
      </c>
      <c r="P5320" s="282">
        <f>++Tabla4[[#This Row],[Precio Descontado]]*Tabla4[[#This Row],[Cantidad]]</f>
        <v>174.21706499999999</v>
      </c>
      <c r="Q5320" s="282" t="e">
        <f>(INDEX(Tabla6[#All],MATCH(Tabla4[[#This Row],[Producto]],Tabla6[[#All],[PRODUCTO]],0),MATCH(Tabla4[[#This Row],[Mes]],Tabla6[#Headers],0)))</f>
        <v>#N/A</v>
      </c>
      <c r="R5320" s="282" t="e">
        <f>++Tabla4[[#This Row],[Precio Unitario Neto]]-Tabla4[[#This Row],[20.85%]]-Tabla4[[#This Row],[Costo]]</f>
        <v>#N/A</v>
      </c>
      <c r="S5320" s="282" t="e">
        <f>++Tabla4[[#This Row],[U. Bruta Uni]]*Tabla4[[#This Row],[Cantidad]]</f>
        <v>#N/A</v>
      </c>
      <c r="T5320" s="369" t="str">
        <f>VLOOKUP(Tabla4[[#This Row],[Producto]],Tabla6[#All],14,FALSE)</f>
        <v>Termico Solar</v>
      </c>
      <c r="U5320" s="284" t="e">
        <f>(IF(Tabla4[[#This Row],[Familia]]="termico solar",Tabla4[[#This Row],[Utilidad Total]]*6%,Tabla4[[#This Row],[Utilidad Total]]*11.5%))/Tabla4[[#This Row],[Total]]</f>
        <v>#N/A</v>
      </c>
      <c r="V5320" s="282" t="e">
        <f>+Tabla4[[#This Row],[Comisión Calculada]]*Tabla4[[#This Row],[Total]]</f>
        <v>#N/A</v>
      </c>
    </row>
    <row r="5321" spans="1:22" hidden="1" x14ac:dyDescent="0.25">
      <c r="A5321" s="100">
        <v>45884</v>
      </c>
      <c r="B5321" t="str">
        <f t="shared" si="258"/>
        <v>August</v>
      </c>
      <c r="C5321" s="46" t="s">
        <v>280</v>
      </c>
      <c r="F5321" s="366" t="s">
        <v>2769</v>
      </c>
      <c r="G5321" s="46" t="s">
        <v>83</v>
      </c>
      <c r="H5321" s="46">
        <v>1</v>
      </c>
      <c r="I5321" s="51">
        <v>8858.76</v>
      </c>
      <c r="J5321" s="281">
        <f>++Tabla4[[#This Row],[Precio Bruto]]*1.16</f>
        <v>10276.161599999999</v>
      </c>
      <c r="K5321" s="281">
        <f>+Tabla4[[#This Row],[Precio Unitario Neto]]*Tabla4[[#Headers],[20.85%]]</f>
        <v>2142.5796935999997</v>
      </c>
      <c r="L5321" s="282">
        <f>++Tabla4[[#This Row],[Precio Unitario Neto]]-Tabla4[[#This Row],[20.85%]]</f>
        <v>8133.5819063999998</v>
      </c>
      <c r="M5321" s="282" t="e">
        <f>(INDEX(Tabla6[#All],MATCH(Tabla4[[#This Row],[Producto]],Tabla6[[#All],[PRODUCTO]],0),MATCH(Tabla4[[#This Row],[Mes]],Tabla6[#Headers],0)))*(1+Catalogos!$L$2)</f>
        <v>#N/A</v>
      </c>
      <c r="N5321" s="283" t="e">
        <f>+(Tabla4[[#This Row],[Precio Descontado]]-Tabla4[[#This Row],[Precio Base]])*Tabla4[[#This Row],[Cantidad]]</f>
        <v>#N/A</v>
      </c>
      <c r="O5321" s="284" t="e">
        <f>++Tabla4[[#This Row],[Utilidad Total]]/Tabla4[[#This Row],[Total]]</f>
        <v>#N/A</v>
      </c>
      <c r="P5321" s="282">
        <f>++Tabla4[[#This Row],[Precio Descontado]]*Tabla4[[#This Row],[Cantidad]]</f>
        <v>8133.5819063999998</v>
      </c>
      <c r="Q5321" s="282" t="e">
        <f>(INDEX(Tabla6[#All],MATCH(Tabla4[[#This Row],[Producto]],Tabla6[[#All],[PRODUCTO]],0),MATCH(Tabla4[[#This Row],[Mes]],Tabla6[#Headers],0)))</f>
        <v>#N/A</v>
      </c>
      <c r="R5321" s="282" t="e">
        <f>++Tabla4[[#This Row],[Precio Unitario Neto]]-Tabla4[[#This Row],[20.85%]]-Tabla4[[#This Row],[Costo]]</f>
        <v>#N/A</v>
      </c>
      <c r="S5321" s="282" t="e">
        <f>++Tabla4[[#This Row],[U. Bruta Uni]]*Tabla4[[#This Row],[Cantidad]]</f>
        <v>#N/A</v>
      </c>
      <c r="T5321" s="369" t="str">
        <f>VLOOKUP(Tabla4[[#This Row],[Producto]],Tabla6[#All],14,FALSE)</f>
        <v>Termico Solar</v>
      </c>
      <c r="U5321" s="284" t="e">
        <f>(IF(Tabla4[[#This Row],[Familia]]="termico solar",Tabla4[[#This Row],[Utilidad Total]]*6%,Tabla4[[#This Row],[Utilidad Total]]*11.5%))/Tabla4[[#This Row],[Total]]</f>
        <v>#N/A</v>
      </c>
      <c r="V5321" s="282" t="e">
        <f>+Tabla4[[#This Row],[Comisión Calculada]]*Tabla4[[#This Row],[Total]]</f>
        <v>#N/A</v>
      </c>
    </row>
    <row r="5322" spans="1:22" hidden="1" x14ac:dyDescent="0.25">
      <c r="A5322" s="100">
        <v>45884</v>
      </c>
      <c r="B5322" t="str">
        <f t="shared" ref="B5322:B5327" si="259">TEXT(A5322, "mmmm")</f>
        <v>August</v>
      </c>
      <c r="C5322" s="46" t="s">
        <v>280</v>
      </c>
      <c r="F5322" s="366" t="s">
        <v>2770</v>
      </c>
      <c r="G5322" s="46" t="s">
        <v>83</v>
      </c>
      <c r="H5322" s="46">
        <v>2</v>
      </c>
      <c r="I5322" s="51">
        <v>8858.76</v>
      </c>
      <c r="J5322" s="281">
        <f>++Tabla4[[#This Row],[Precio Bruto]]*1.16</f>
        <v>10276.161599999999</v>
      </c>
      <c r="K5322" s="281">
        <f>+Tabla4[[#This Row],[Precio Unitario Neto]]*Tabla4[[#Headers],[20.85%]]</f>
        <v>2142.5796935999997</v>
      </c>
      <c r="L5322" s="282">
        <f>++Tabla4[[#This Row],[Precio Unitario Neto]]-Tabla4[[#This Row],[20.85%]]</f>
        <v>8133.5819063999998</v>
      </c>
      <c r="M5322" s="282" t="e">
        <f>(INDEX(Tabla6[#All],MATCH(Tabla4[[#This Row],[Producto]],Tabla6[[#All],[PRODUCTO]],0),MATCH(Tabla4[[#This Row],[Mes]],Tabla6[#Headers],0)))*(1+Catalogos!$L$2)</f>
        <v>#N/A</v>
      </c>
      <c r="N5322" s="283" t="e">
        <f>+(Tabla4[[#This Row],[Precio Descontado]]-Tabla4[[#This Row],[Precio Base]])*Tabla4[[#This Row],[Cantidad]]</f>
        <v>#N/A</v>
      </c>
      <c r="O5322" s="284" t="e">
        <f>++Tabla4[[#This Row],[Utilidad Total]]/Tabla4[[#This Row],[Total]]</f>
        <v>#N/A</v>
      </c>
      <c r="P5322" s="282">
        <f>++Tabla4[[#This Row],[Precio Descontado]]*Tabla4[[#This Row],[Cantidad]]</f>
        <v>16267.1638128</v>
      </c>
      <c r="Q5322" s="282" t="e">
        <f>(INDEX(Tabla6[#All],MATCH(Tabla4[[#This Row],[Producto]],Tabla6[[#All],[PRODUCTO]],0),MATCH(Tabla4[[#This Row],[Mes]],Tabla6[#Headers],0)))</f>
        <v>#N/A</v>
      </c>
      <c r="R5322" s="282" t="e">
        <f>++Tabla4[[#This Row],[Precio Unitario Neto]]-Tabla4[[#This Row],[20.85%]]-Tabla4[[#This Row],[Costo]]</f>
        <v>#N/A</v>
      </c>
      <c r="S5322" s="282" t="e">
        <f>++Tabla4[[#This Row],[U. Bruta Uni]]*Tabla4[[#This Row],[Cantidad]]</f>
        <v>#N/A</v>
      </c>
      <c r="T5322" s="369" t="str">
        <f>VLOOKUP(Tabla4[[#This Row],[Producto]],Tabla6[#All],14,FALSE)</f>
        <v>Termico Solar</v>
      </c>
      <c r="U5322" s="284" t="e">
        <f>(IF(Tabla4[[#This Row],[Familia]]="termico solar",Tabla4[[#This Row],[Utilidad Total]]*6%,Tabla4[[#This Row],[Utilidad Total]]*11.5%))/Tabla4[[#This Row],[Total]]</f>
        <v>#N/A</v>
      </c>
      <c r="V5322" s="282" t="e">
        <f>+Tabla4[[#This Row],[Comisión Calculada]]*Tabla4[[#This Row],[Total]]</f>
        <v>#N/A</v>
      </c>
    </row>
    <row r="5323" spans="1:22" hidden="1" x14ac:dyDescent="0.25">
      <c r="A5323" s="100">
        <v>45884</v>
      </c>
      <c r="B5323" t="str">
        <f t="shared" si="259"/>
        <v>August</v>
      </c>
      <c r="C5323" s="46" t="s">
        <v>280</v>
      </c>
      <c r="F5323" s="366" t="s">
        <v>2770</v>
      </c>
      <c r="G5323" s="46" t="s">
        <v>17</v>
      </c>
      <c r="H5323" s="46">
        <v>1</v>
      </c>
      <c r="I5323" s="51">
        <v>4622.28</v>
      </c>
      <c r="J5323" s="281">
        <f>++Tabla4[[#This Row],[Precio Bruto]]*1.16</f>
        <v>5361.8447999999989</v>
      </c>
      <c r="K5323" s="281">
        <f>+Tabla4[[#This Row],[Precio Unitario Neto]]*Tabla4[[#Headers],[20.85%]]</f>
        <v>1117.9446407999997</v>
      </c>
      <c r="L5323" s="282">
        <f>++Tabla4[[#This Row],[Precio Unitario Neto]]-Tabla4[[#This Row],[20.85%]]</f>
        <v>4243.9001591999995</v>
      </c>
      <c r="M5323" s="282" t="e">
        <f>(INDEX(Tabla6[#All],MATCH(Tabla4[[#This Row],[Producto]],Tabla6[[#All],[PRODUCTO]],0),MATCH(Tabla4[[#This Row],[Mes]],Tabla6[#Headers],0)))*(1+Catalogos!$L$2)</f>
        <v>#N/A</v>
      </c>
      <c r="N5323" s="283" t="e">
        <f>+(Tabla4[[#This Row],[Precio Descontado]]-Tabla4[[#This Row],[Precio Base]])*Tabla4[[#This Row],[Cantidad]]</f>
        <v>#N/A</v>
      </c>
      <c r="O5323" s="284" t="e">
        <f>++Tabla4[[#This Row],[Utilidad Total]]/Tabla4[[#This Row],[Total]]</f>
        <v>#N/A</v>
      </c>
      <c r="P5323" s="282">
        <f>++Tabla4[[#This Row],[Precio Descontado]]*Tabla4[[#This Row],[Cantidad]]</f>
        <v>4243.9001591999995</v>
      </c>
      <c r="Q5323" s="282" t="e">
        <f>(INDEX(Tabla6[#All],MATCH(Tabla4[[#This Row],[Producto]],Tabla6[[#All],[PRODUCTO]],0),MATCH(Tabla4[[#This Row],[Mes]],Tabla6[#Headers],0)))</f>
        <v>#N/A</v>
      </c>
      <c r="R5323" s="282" t="e">
        <f>++Tabla4[[#This Row],[Precio Unitario Neto]]-Tabla4[[#This Row],[20.85%]]-Tabla4[[#This Row],[Costo]]</f>
        <v>#N/A</v>
      </c>
      <c r="S5323" s="282" t="e">
        <f>++Tabla4[[#This Row],[U. Bruta Uni]]*Tabla4[[#This Row],[Cantidad]]</f>
        <v>#N/A</v>
      </c>
      <c r="T5323" s="369" t="str">
        <f>VLOOKUP(Tabla4[[#This Row],[Producto]],Tabla6[#All],14,FALSE)</f>
        <v>Termico Solar</v>
      </c>
      <c r="U5323" s="284" t="e">
        <f>(IF(Tabla4[[#This Row],[Familia]]="termico solar",Tabla4[[#This Row],[Utilidad Total]]*6%,Tabla4[[#This Row],[Utilidad Total]]*11.5%))/Tabla4[[#This Row],[Total]]</f>
        <v>#N/A</v>
      </c>
      <c r="V5323" s="282" t="e">
        <f>+Tabla4[[#This Row],[Comisión Calculada]]*Tabla4[[#This Row],[Total]]</f>
        <v>#N/A</v>
      </c>
    </row>
    <row r="5324" spans="1:22" hidden="1" x14ac:dyDescent="0.25">
      <c r="A5324" s="100">
        <v>45884</v>
      </c>
      <c r="B5324" t="str">
        <f t="shared" si="259"/>
        <v>August</v>
      </c>
      <c r="C5324" s="46" t="s">
        <v>280</v>
      </c>
      <c r="F5324" s="366" t="s">
        <v>2770</v>
      </c>
      <c r="G5324" s="46" t="s">
        <v>18</v>
      </c>
      <c r="H5324" s="46">
        <v>1</v>
      </c>
      <c r="I5324" s="51">
        <v>5367.65</v>
      </c>
      <c r="J5324" s="281">
        <f>++Tabla4[[#This Row],[Precio Bruto]]*1.16</f>
        <v>6226.4739999999993</v>
      </c>
      <c r="K5324" s="281">
        <f>+Tabla4[[#This Row],[Precio Unitario Neto]]*Tabla4[[#Headers],[20.85%]]</f>
        <v>1298.2198289999999</v>
      </c>
      <c r="L5324" s="282">
        <f>++Tabla4[[#This Row],[Precio Unitario Neto]]-Tabla4[[#This Row],[20.85%]]</f>
        <v>4928.2541709999996</v>
      </c>
      <c r="M5324" s="282" t="e">
        <f>(INDEX(Tabla6[#All],MATCH(Tabla4[[#This Row],[Producto]],Tabla6[[#All],[PRODUCTO]],0),MATCH(Tabla4[[#This Row],[Mes]],Tabla6[#Headers],0)))*(1+Catalogos!$L$2)</f>
        <v>#N/A</v>
      </c>
      <c r="N5324" s="283" t="e">
        <f>+(Tabla4[[#This Row],[Precio Descontado]]-Tabla4[[#This Row],[Precio Base]])*Tabla4[[#This Row],[Cantidad]]</f>
        <v>#N/A</v>
      </c>
      <c r="O5324" s="284" t="e">
        <f>++Tabla4[[#This Row],[Utilidad Total]]/Tabla4[[#This Row],[Total]]</f>
        <v>#N/A</v>
      </c>
      <c r="P5324" s="282">
        <f>++Tabla4[[#This Row],[Precio Descontado]]*Tabla4[[#This Row],[Cantidad]]</f>
        <v>4928.2541709999996</v>
      </c>
      <c r="Q5324" s="282" t="e">
        <f>(INDEX(Tabla6[#All],MATCH(Tabla4[[#This Row],[Producto]],Tabla6[[#All],[PRODUCTO]],0),MATCH(Tabla4[[#This Row],[Mes]],Tabla6[#Headers],0)))</f>
        <v>#N/A</v>
      </c>
      <c r="R5324" s="282" t="e">
        <f>++Tabla4[[#This Row],[Precio Unitario Neto]]-Tabla4[[#This Row],[20.85%]]-Tabla4[[#This Row],[Costo]]</f>
        <v>#N/A</v>
      </c>
      <c r="S5324" s="282" t="e">
        <f>++Tabla4[[#This Row],[U. Bruta Uni]]*Tabla4[[#This Row],[Cantidad]]</f>
        <v>#N/A</v>
      </c>
      <c r="T5324" s="369" t="str">
        <f>VLOOKUP(Tabla4[[#This Row],[Producto]],Tabla6[#All],14,FALSE)</f>
        <v>Termico Solar</v>
      </c>
      <c r="U5324" s="284" t="e">
        <f>(IF(Tabla4[[#This Row],[Familia]]="termico solar",Tabla4[[#This Row],[Utilidad Total]]*6%,Tabla4[[#This Row],[Utilidad Total]]*11.5%))/Tabla4[[#This Row],[Total]]</f>
        <v>#N/A</v>
      </c>
      <c r="V5324" s="282" t="e">
        <f>+Tabla4[[#This Row],[Comisión Calculada]]*Tabla4[[#This Row],[Total]]</f>
        <v>#N/A</v>
      </c>
    </row>
    <row r="5325" spans="1:22" hidden="1" x14ac:dyDescent="0.25">
      <c r="A5325" s="100">
        <v>45884</v>
      </c>
      <c r="B5325" t="str">
        <f t="shared" si="259"/>
        <v>August</v>
      </c>
      <c r="C5325" s="46" t="s">
        <v>280</v>
      </c>
      <c r="F5325" s="366" t="s">
        <v>2770</v>
      </c>
      <c r="G5325" s="46" t="s">
        <v>412</v>
      </c>
      <c r="H5325" s="46">
        <v>1</v>
      </c>
      <c r="I5325" s="51">
        <v>3240.84</v>
      </c>
      <c r="J5325" s="281">
        <f>++Tabla4[[#This Row],[Precio Bruto]]*1.16</f>
        <v>3759.3743999999997</v>
      </c>
      <c r="K5325" s="281">
        <f>+Tabla4[[#This Row],[Precio Unitario Neto]]*Tabla4[[#Headers],[20.85%]]</f>
        <v>783.82956239999987</v>
      </c>
      <c r="L5325" s="282">
        <f>++Tabla4[[#This Row],[Precio Unitario Neto]]-Tabla4[[#This Row],[20.85%]]</f>
        <v>2975.5448375999999</v>
      </c>
      <c r="M5325" s="282" t="e">
        <f>(INDEX(Tabla6[#All],MATCH(Tabla4[[#This Row],[Producto]],Tabla6[[#All],[PRODUCTO]],0),MATCH(Tabla4[[#This Row],[Mes]],Tabla6[#Headers],0)))*(1+Catalogos!$L$2)</f>
        <v>#N/A</v>
      </c>
      <c r="N5325" s="283" t="e">
        <f>+(Tabla4[[#This Row],[Precio Descontado]]-Tabla4[[#This Row],[Precio Base]])*Tabla4[[#This Row],[Cantidad]]</f>
        <v>#N/A</v>
      </c>
      <c r="O5325" s="284" t="e">
        <f>++Tabla4[[#This Row],[Utilidad Total]]/Tabla4[[#This Row],[Total]]</f>
        <v>#N/A</v>
      </c>
      <c r="P5325" s="282">
        <f>++Tabla4[[#This Row],[Precio Descontado]]*Tabla4[[#This Row],[Cantidad]]</f>
        <v>2975.5448375999999</v>
      </c>
      <c r="Q5325" s="282" t="e">
        <f>(INDEX(Tabla6[#All],MATCH(Tabla4[[#This Row],[Producto]],Tabla6[[#All],[PRODUCTO]],0),MATCH(Tabla4[[#This Row],[Mes]],Tabla6[#Headers],0)))</f>
        <v>#N/A</v>
      </c>
      <c r="R5325" s="282" t="e">
        <f>++Tabla4[[#This Row],[Precio Unitario Neto]]-Tabla4[[#This Row],[20.85%]]-Tabla4[[#This Row],[Costo]]</f>
        <v>#N/A</v>
      </c>
      <c r="S5325" s="282" t="e">
        <f>++Tabla4[[#This Row],[U. Bruta Uni]]*Tabla4[[#This Row],[Cantidad]]</f>
        <v>#N/A</v>
      </c>
      <c r="T5325" s="369" t="str">
        <f>VLOOKUP(Tabla4[[#This Row],[Producto]],Tabla6[#All],14,FALSE)</f>
        <v>Termico Solar</v>
      </c>
      <c r="U5325" s="284" t="e">
        <f>(IF(Tabla4[[#This Row],[Familia]]="termico solar",Tabla4[[#This Row],[Utilidad Total]]*6%,Tabla4[[#This Row],[Utilidad Total]]*11.5%))/Tabla4[[#This Row],[Total]]</f>
        <v>#N/A</v>
      </c>
      <c r="V5325" s="282" t="e">
        <f>+Tabla4[[#This Row],[Comisión Calculada]]*Tabla4[[#This Row],[Total]]</f>
        <v>#N/A</v>
      </c>
    </row>
    <row r="5326" spans="1:22" hidden="1" x14ac:dyDescent="0.25">
      <c r="A5326" s="100">
        <v>45884</v>
      </c>
      <c r="B5326" t="str">
        <f t="shared" si="259"/>
        <v>August</v>
      </c>
      <c r="C5326" s="46" t="s">
        <v>280</v>
      </c>
      <c r="F5326" s="366" t="s">
        <v>2770</v>
      </c>
      <c r="G5326" s="46" t="s">
        <v>394</v>
      </c>
      <c r="H5326" s="46">
        <v>9</v>
      </c>
      <c r="I5326" s="51">
        <v>108.1</v>
      </c>
      <c r="J5326" s="281">
        <f>++Tabla4[[#This Row],[Precio Bruto]]*1.16</f>
        <v>125.39599999999999</v>
      </c>
      <c r="K5326" s="281">
        <f>+Tabla4[[#This Row],[Precio Unitario Neto]]*Tabla4[[#Headers],[20.85%]]</f>
        <v>26.145065999999996</v>
      </c>
      <c r="L5326" s="282">
        <f>++Tabla4[[#This Row],[Precio Unitario Neto]]-Tabla4[[#This Row],[20.85%]]</f>
        <v>99.250933999999987</v>
      </c>
      <c r="M5326" s="282" t="e">
        <f>(INDEX(Tabla6[#All],MATCH(Tabla4[[#This Row],[Producto]],Tabla6[[#All],[PRODUCTO]],0),MATCH(Tabla4[[#This Row],[Mes]],Tabla6[#Headers],0)))*(1+Catalogos!$L$2)</f>
        <v>#N/A</v>
      </c>
      <c r="N5326" s="283" t="e">
        <f>+(Tabla4[[#This Row],[Precio Descontado]]-Tabla4[[#This Row],[Precio Base]])*Tabla4[[#This Row],[Cantidad]]</f>
        <v>#N/A</v>
      </c>
      <c r="O5326" s="284" t="e">
        <f>++Tabla4[[#This Row],[Utilidad Total]]/Tabla4[[#This Row],[Total]]</f>
        <v>#N/A</v>
      </c>
      <c r="P5326" s="282">
        <f>++Tabla4[[#This Row],[Precio Descontado]]*Tabla4[[#This Row],[Cantidad]]</f>
        <v>893.25840599999992</v>
      </c>
      <c r="Q5326" s="282" t="e">
        <f>(INDEX(Tabla6[#All],MATCH(Tabla4[[#This Row],[Producto]],Tabla6[[#All],[PRODUCTO]],0),MATCH(Tabla4[[#This Row],[Mes]],Tabla6[#Headers],0)))</f>
        <v>#N/A</v>
      </c>
      <c r="R5326" s="282" t="e">
        <f>++Tabla4[[#This Row],[Precio Unitario Neto]]-Tabla4[[#This Row],[20.85%]]-Tabla4[[#This Row],[Costo]]</f>
        <v>#N/A</v>
      </c>
      <c r="S5326" s="282" t="e">
        <f>++Tabla4[[#This Row],[U. Bruta Uni]]*Tabla4[[#This Row],[Cantidad]]</f>
        <v>#N/A</v>
      </c>
      <c r="T5326" s="369" t="str">
        <f>VLOOKUP(Tabla4[[#This Row],[Producto]],Tabla6[#All],14,FALSE)</f>
        <v>Termico Solar</v>
      </c>
      <c r="U5326" s="284" t="e">
        <f>(IF(Tabla4[[#This Row],[Familia]]="termico solar",Tabla4[[#This Row],[Utilidad Total]]*6%,Tabla4[[#This Row],[Utilidad Total]]*11.5%))/Tabla4[[#This Row],[Total]]</f>
        <v>#N/A</v>
      </c>
      <c r="V5326" s="282" t="e">
        <f>+Tabla4[[#This Row],[Comisión Calculada]]*Tabla4[[#This Row],[Total]]</f>
        <v>#N/A</v>
      </c>
    </row>
    <row r="5327" spans="1:22" hidden="1" x14ac:dyDescent="0.25">
      <c r="A5327" s="100">
        <v>45884</v>
      </c>
      <c r="B5327" t="str">
        <f t="shared" si="259"/>
        <v>August</v>
      </c>
      <c r="C5327" s="46" t="s">
        <v>280</v>
      </c>
      <c r="F5327" s="366" t="s">
        <v>2770</v>
      </c>
      <c r="G5327" s="46" t="s">
        <v>208</v>
      </c>
      <c r="H5327" s="46">
        <v>1</v>
      </c>
      <c r="I5327" s="51">
        <v>189.75</v>
      </c>
      <c r="J5327" s="281">
        <f>++Tabla4[[#This Row],[Precio Bruto]]*1.16</f>
        <v>220.10999999999999</v>
      </c>
      <c r="K5327" s="281">
        <f>+Tabla4[[#This Row],[Precio Unitario Neto]]*Tabla4[[#Headers],[20.85%]]</f>
        <v>45.892934999999994</v>
      </c>
      <c r="L5327" s="282">
        <f>++Tabla4[[#This Row],[Precio Unitario Neto]]-Tabla4[[#This Row],[20.85%]]</f>
        <v>174.21706499999999</v>
      </c>
      <c r="M5327" s="282" t="e">
        <f>(INDEX(Tabla6[#All],MATCH(Tabla4[[#This Row],[Producto]],Tabla6[[#All],[PRODUCTO]],0),MATCH(Tabla4[[#This Row],[Mes]],Tabla6[#Headers],0)))*(1+Catalogos!$L$2)</f>
        <v>#N/A</v>
      </c>
      <c r="N5327" s="283" t="e">
        <f>+(Tabla4[[#This Row],[Precio Descontado]]-Tabla4[[#This Row],[Precio Base]])*Tabla4[[#This Row],[Cantidad]]</f>
        <v>#N/A</v>
      </c>
      <c r="O5327" s="284" t="e">
        <f>++Tabla4[[#This Row],[Utilidad Total]]/Tabla4[[#This Row],[Total]]</f>
        <v>#N/A</v>
      </c>
      <c r="P5327" s="282">
        <f>++Tabla4[[#This Row],[Precio Descontado]]*Tabla4[[#This Row],[Cantidad]]</f>
        <v>174.21706499999999</v>
      </c>
      <c r="Q5327" s="282" t="e">
        <f>(INDEX(Tabla6[#All],MATCH(Tabla4[[#This Row],[Producto]],Tabla6[[#All],[PRODUCTO]],0),MATCH(Tabla4[[#This Row],[Mes]],Tabla6[#Headers],0)))</f>
        <v>#N/A</v>
      </c>
      <c r="R5327" s="282" t="e">
        <f>++Tabla4[[#This Row],[Precio Unitario Neto]]-Tabla4[[#This Row],[20.85%]]-Tabla4[[#This Row],[Costo]]</f>
        <v>#N/A</v>
      </c>
      <c r="S5327" s="282" t="e">
        <f>++Tabla4[[#This Row],[U. Bruta Uni]]*Tabla4[[#This Row],[Cantidad]]</f>
        <v>#N/A</v>
      </c>
      <c r="T5327" s="369" t="str">
        <f>VLOOKUP(Tabla4[[#This Row],[Producto]],Tabla6[#All],14,FALSE)</f>
        <v>Termico Solar</v>
      </c>
      <c r="U5327" s="284" t="e">
        <f>(IF(Tabla4[[#This Row],[Familia]]="termico solar",Tabla4[[#This Row],[Utilidad Total]]*6%,Tabla4[[#This Row],[Utilidad Total]]*11.5%))/Tabla4[[#This Row],[Total]]</f>
        <v>#N/A</v>
      </c>
      <c r="V5327" s="282" t="e">
        <f>+Tabla4[[#This Row],[Comisión Calculada]]*Tabla4[[#This Row],[Total]]</f>
        <v>#N/A</v>
      </c>
    </row>
    <row r="5328" spans="1:22" hidden="1" x14ac:dyDescent="0.25">
      <c r="A5328" s="100">
        <v>45884</v>
      </c>
      <c r="B5328" t="str">
        <f t="shared" ref="B5328:B5359" si="260">TEXT(A5328, "mmmm")</f>
        <v>August</v>
      </c>
      <c r="C5328" s="46" t="s">
        <v>280</v>
      </c>
      <c r="F5328" s="366" t="s">
        <v>2771</v>
      </c>
      <c r="G5328" s="46" t="s">
        <v>83</v>
      </c>
      <c r="H5328" s="46">
        <v>1</v>
      </c>
      <c r="I5328" s="51">
        <v>8858.76</v>
      </c>
      <c r="J5328" s="281">
        <f>++Tabla4[[#This Row],[Precio Bruto]]*1.16</f>
        <v>10276.161599999999</v>
      </c>
      <c r="K5328" s="281">
        <f>+Tabla4[[#This Row],[Precio Unitario Neto]]*Tabla4[[#Headers],[20.85%]]</f>
        <v>2142.5796935999997</v>
      </c>
      <c r="L5328" s="282">
        <f>++Tabla4[[#This Row],[Precio Unitario Neto]]-Tabla4[[#This Row],[20.85%]]</f>
        <v>8133.5819063999998</v>
      </c>
      <c r="M5328" s="282" t="e">
        <f>(INDEX(Tabla6[#All],MATCH(Tabla4[[#This Row],[Producto]],Tabla6[[#All],[PRODUCTO]],0),MATCH(Tabla4[[#This Row],[Mes]],Tabla6[#Headers],0)))*(1+Catalogos!$L$2)</f>
        <v>#N/A</v>
      </c>
      <c r="N5328" s="283" t="e">
        <f>+(Tabla4[[#This Row],[Precio Descontado]]-Tabla4[[#This Row],[Precio Base]])*Tabla4[[#This Row],[Cantidad]]</f>
        <v>#N/A</v>
      </c>
      <c r="O5328" s="284" t="e">
        <f>++Tabla4[[#This Row],[Utilidad Total]]/Tabla4[[#This Row],[Total]]</f>
        <v>#N/A</v>
      </c>
      <c r="P5328" s="282">
        <f>++Tabla4[[#This Row],[Precio Descontado]]*Tabla4[[#This Row],[Cantidad]]</f>
        <v>8133.5819063999998</v>
      </c>
      <c r="Q5328" s="282" t="e">
        <f>(INDEX(Tabla6[#All],MATCH(Tabla4[[#This Row],[Producto]],Tabla6[[#All],[PRODUCTO]],0),MATCH(Tabla4[[#This Row],[Mes]],Tabla6[#Headers],0)))</f>
        <v>#N/A</v>
      </c>
      <c r="R5328" s="282" t="e">
        <f>++Tabla4[[#This Row],[Precio Unitario Neto]]-Tabla4[[#This Row],[20.85%]]-Tabla4[[#This Row],[Costo]]</f>
        <v>#N/A</v>
      </c>
      <c r="S5328" s="282" t="e">
        <f>++Tabla4[[#This Row],[U. Bruta Uni]]*Tabla4[[#This Row],[Cantidad]]</f>
        <v>#N/A</v>
      </c>
      <c r="T5328" s="369" t="str">
        <f>VLOOKUP(Tabla4[[#This Row],[Producto]],Tabla6[#All],14,FALSE)</f>
        <v>Termico Solar</v>
      </c>
      <c r="U5328" s="284" t="e">
        <f>(IF(Tabla4[[#This Row],[Familia]]="termico solar",Tabla4[[#This Row],[Utilidad Total]]*6%,Tabla4[[#This Row],[Utilidad Total]]*11.5%))/Tabla4[[#This Row],[Total]]</f>
        <v>#N/A</v>
      </c>
      <c r="V5328" s="282" t="e">
        <f>+Tabla4[[#This Row],[Comisión Calculada]]*Tabla4[[#This Row],[Total]]</f>
        <v>#N/A</v>
      </c>
    </row>
    <row r="5329" spans="1:22" hidden="1" x14ac:dyDescent="0.25">
      <c r="A5329" s="100">
        <v>45884</v>
      </c>
      <c r="B5329" t="str">
        <f t="shared" si="260"/>
        <v>August</v>
      </c>
      <c r="C5329" s="46" t="s">
        <v>280</v>
      </c>
      <c r="F5329" s="366" t="s">
        <v>2772</v>
      </c>
      <c r="G5329" s="46" t="s">
        <v>83</v>
      </c>
      <c r="H5329" s="46">
        <v>1</v>
      </c>
      <c r="I5329" s="51">
        <v>8858.76</v>
      </c>
      <c r="J5329" s="281">
        <f>++Tabla4[[#This Row],[Precio Bruto]]*1.16</f>
        <v>10276.161599999999</v>
      </c>
      <c r="K5329" s="281">
        <f>+Tabla4[[#This Row],[Precio Unitario Neto]]*Tabla4[[#Headers],[20.85%]]</f>
        <v>2142.5796935999997</v>
      </c>
      <c r="L5329" s="282">
        <f>++Tabla4[[#This Row],[Precio Unitario Neto]]-Tabla4[[#This Row],[20.85%]]</f>
        <v>8133.5819063999998</v>
      </c>
      <c r="M5329" s="282" t="e">
        <f>(INDEX(Tabla6[#All],MATCH(Tabla4[[#This Row],[Producto]],Tabla6[[#All],[PRODUCTO]],0),MATCH(Tabla4[[#This Row],[Mes]],Tabla6[#Headers],0)))*(1+Catalogos!$L$2)</f>
        <v>#N/A</v>
      </c>
      <c r="N5329" s="283" t="e">
        <f>+(Tabla4[[#This Row],[Precio Descontado]]-Tabla4[[#This Row],[Precio Base]])*Tabla4[[#This Row],[Cantidad]]</f>
        <v>#N/A</v>
      </c>
      <c r="O5329" s="284" t="e">
        <f>++Tabla4[[#This Row],[Utilidad Total]]/Tabla4[[#This Row],[Total]]</f>
        <v>#N/A</v>
      </c>
      <c r="P5329" s="282">
        <f>++Tabla4[[#This Row],[Precio Descontado]]*Tabla4[[#This Row],[Cantidad]]</f>
        <v>8133.5819063999998</v>
      </c>
      <c r="Q5329" s="282" t="e">
        <f>(INDEX(Tabla6[#All],MATCH(Tabla4[[#This Row],[Producto]],Tabla6[[#All],[PRODUCTO]],0),MATCH(Tabla4[[#This Row],[Mes]],Tabla6[#Headers],0)))</f>
        <v>#N/A</v>
      </c>
      <c r="R5329" s="282" t="e">
        <f>++Tabla4[[#This Row],[Precio Unitario Neto]]-Tabla4[[#This Row],[20.85%]]-Tabla4[[#This Row],[Costo]]</f>
        <v>#N/A</v>
      </c>
      <c r="S5329" s="282" t="e">
        <f>++Tabla4[[#This Row],[U. Bruta Uni]]*Tabla4[[#This Row],[Cantidad]]</f>
        <v>#N/A</v>
      </c>
      <c r="T5329" s="369" t="str">
        <f>VLOOKUP(Tabla4[[#This Row],[Producto]],Tabla6[#All],14,FALSE)</f>
        <v>Termico Solar</v>
      </c>
      <c r="U5329" s="284" t="e">
        <f>(IF(Tabla4[[#This Row],[Familia]]="termico solar",Tabla4[[#This Row],[Utilidad Total]]*6%,Tabla4[[#This Row],[Utilidad Total]]*11.5%))/Tabla4[[#This Row],[Total]]</f>
        <v>#N/A</v>
      </c>
      <c r="V5329" s="282" t="e">
        <f>+Tabla4[[#This Row],[Comisión Calculada]]*Tabla4[[#This Row],[Total]]</f>
        <v>#N/A</v>
      </c>
    </row>
    <row r="5330" spans="1:22" hidden="1" x14ac:dyDescent="0.25">
      <c r="A5330" s="100">
        <v>45884</v>
      </c>
      <c r="B5330" t="str">
        <f t="shared" si="260"/>
        <v>August</v>
      </c>
      <c r="C5330" s="46" t="s">
        <v>280</v>
      </c>
      <c r="F5330" s="366" t="s">
        <v>2772</v>
      </c>
      <c r="G5330" s="46" t="s">
        <v>17</v>
      </c>
      <c r="H5330" s="46">
        <v>1</v>
      </c>
      <c r="I5330" s="51">
        <v>4622.28</v>
      </c>
      <c r="J5330" s="281">
        <f>++Tabla4[[#This Row],[Precio Bruto]]*1.16</f>
        <v>5361.8447999999989</v>
      </c>
      <c r="K5330" s="281">
        <f>+Tabla4[[#This Row],[Precio Unitario Neto]]*Tabla4[[#Headers],[20.85%]]</f>
        <v>1117.9446407999997</v>
      </c>
      <c r="L5330" s="282">
        <f>++Tabla4[[#This Row],[Precio Unitario Neto]]-Tabla4[[#This Row],[20.85%]]</f>
        <v>4243.9001591999995</v>
      </c>
      <c r="M5330" s="282" t="e">
        <f>(INDEX(Tabla6[#All],MATCH(Tabla4[[#This Row],[Producto]],Tabla6[[#All],[PRODUCTO]],0),MATCH(Tabla4[[#This Row],[Mes]],Tabla6[#Headers],0)))*(1+Catalogos!$L$2)</f>
        <v>#N/A</v>
      </c>
      <c r="N5330" s="283" t="e">
        <f>+(Tabla4[[#This Row],[Precio Descontado]]-Tabla4[[#This Row],[Precio Base]])*Tabla4[[#This Row],[Cantidad]]</f>
        <v>#N/A</v>
      </c>
      <c r="O5330" s="284" t="e">
        <f>++Tabla4[[#This Row],[Utilidad Total]]/Tabla4[[#This Row],[Total]]</f>
        <v>#N/A</v>
      </c>
      <c r="P5330" s="282">
        <f>++Tabla4[[#This Row],[Precio Descontado]]*Tabla4[[#This Row],[Cantidad]]</f>
        <v>4243.9001591999995</v>
      </c>
      <c r="Q5330" s="282" t="e">
        <f>(INDEX(Tabla6[#All],MATCH(Tabla4[[#This Row],[Producto]],Tabla6[[#All],[PRODUCTO]],0),MATCH(Tabla4[[#This Row],[Mes]],Tabla6[#Headers],0)))</f>
        <v>#N/A</v>
      </c>
      <c r="R5330" s="282" t="e">
        <f>++Tabla4[[#This Row],[Precio Unitario Neto]]-Tabla4[[#This Row],[20.85%]]-Tabla4[[#This Row],[Costo]]</f>
        <v>#N/A</v>
      </c>
      <c r="S5330" s="282" t="e">
        <f>++Tabla4[[#This Row],[U. Bruta Uni]]*Tabla4[[#This Row],[Cantidad]]</f>
        <v>#N/A</v>
      </c>
      <c r="T5330" s="369" t="str">
        <f>VLOOKUP(Tabla4[[#This Row],[Producto]],Tabla6[#All],14,FALSE)</f>
        <v>Termico Solar</v>
      </c>
      <c r="U5330" s="284" t="e">
        <f>(IF(Tabla4[[#This Row],[Familia]]="termico solar",Tabla4[[#This Row],[Utilidad Total]]*6%,Tabla4[[#This Row],[Utilidad Total]]*11.5%))/Tabla4[[#This Row],[Total]]</f>
        <v>#N/A</v>
      </c>
      <c r="V5330" s="282" t="e">
        <f>+Tabla4[[#This Row],[Comisión Calculada]]*Tabla4[[#This Row],[Total]]</f>
        <v>#N/A</v>
      </c>
    </row>
    <row r="5331" spans="1:22" hidden="1" x14ac:dyDescent="0.25">
      <c r="A5331" s="100">
        <v>45884</v>
      </c>
      <c r="B5331" t="str">
        <f t="shared" si="260"/>
        <v>August</v>
      </c>
      <c r="C5331" s="46" t="s">
        <v>280</v>
      </c>
      <c r="F5331" s="366" t="s">
        <v>2773</v>
      </c>
      <c r="G5331" s="46" t="s">
        <v>83</v>
      </c>
      <c r="H5331" s="46">
        <v>2</v>
      </c>
      <c r="I5331" s="51">
        <v>8858.76</v>
      </c>
      <c r="J5331" s="281">
        <f>++Tabla4[[#This Row],[Precio Bruto]]*1.16</f>
        <v>10276.161599999999</v>
      </c>
      <c r="K5331" s="281">
        <f>+Tabla4[[#This Row],[Precio Unitario Neto]]*Tabla4[[#Headers],[20.85%]]</f>
        <v>2142.5796935999997</v>
      </c>
      <c r="L5331" s="282">
        <f>++Tabla4[[#This Row],[Precio Unitario Neto]]-Tabla4[[#This Row],[20.85%]]</f>
        <v>8133.5819063999998</v>
      </c>
      <c r="M5331" s="282" t="e">
        <f>(INDEX(Tabla6[#All],MATCH(Tabla4[[#This Row],[Producto]],Tabla6[[#All],[PRODUCTO]],0),MATCH(Tabla4[[#This Row],[Mes]],Tabla6[#Headers],0)))*(1+Catalogos!$L$2)</f>
        <v>#N/A</v>
      </c>
      <c r="N5331" s="283" t="e">
        <f>+(Tabla4[[#This Row],[Precio Descontado]]-Tabla4[[#This Row],[Precio Base]])*Tabla4[[#This Row],[Cantidad]]</f>
        <v>#N/A</v>
      </c>
      <c r="O5331" s="284" t="e">
        <f>++Tabla4[[#This Row],[Utilidad Total]]/Tabla4[[#This Row],[Total]]</f>
        <v>#N/A</v>
      </c>
      <c r="P5331" s="282">
        <f>++Tabla4[[#This Row],[Precio Descontado]]*Tabla4[[#This Row],[Cantidad]]</f>
        <v>16267.1638128</v>
      </c>
      <c r="Q5331" s="282" t="e">
        <f>(INDEX(Tabla6[#All],MATCH(Tabla4[[#This Row],[Producto]],Tabla6[[#All],[PRODUCTO]],0),MATCH(Tabla4[[#This Row],[Mes]],Tabla6[#Headers],0)))</f>
        <v>#N/A</v>
      </c>
      <c r="R5331" s="282" t="e">
        <f>++Tabla4[[#This Row],[Precio Unitario Neto]]-Tabla4[[#This Row],[20.85%]]-Tabla4[[#This Row],[Costo]]</f>
        <v>#N/A</v>
      </c>
      <c r="S5331" s="282" t="e">
        <f>++Tabla4[[#This Row],[U. Bruta Uni]]*Tabla4[[#This Row],[Cantidad]]</f>
        <v>#N/A</v>
      </c>
      <c r="T5331" s="369" t="str">
        <f>VLOOKUP(Tabla4[[#This Row],[Producto]],Tabla6[#All],14,FALSE)</f>
        <v>Termico Solar</v>
      </c>
      <c r="U5331" s="284" t="e">
        <f>(IF(Tabla4[[#This Row],[Familia]]="termico solar",Tabla4[[#This Row],[Utilidad Total]]*6%,Tabla4[[#This Row],[Utilidad Total]]*11.5%))/Tabla4[[#This Row],[Total]]</f>
        <v>#N/A</v>
      </c>
      <c r="V5331" s="282" t="e">
        <f>+Tabla4[[#This Row],[Comisión Calculada]]*Tabla4[[#This Row],[Total]]</f>
        <v>#N/A</v>
      </c>
    </row>
    <row r="5332" spans="1:22" hidden="1" x14ac:dyDescent="0.25">
      <c r="A5332" s="100">
        <v>45884</v>
      </c>
      <c r="B5332" t="str">
        <f t="shared" si="260"/>
        <v>August</v>
      </c>
      <c r="C5332" s="46" t="s">
        <v>280</v>
      </c>
      <c r="F5332" s="366" t="s">
        <v>2773</v>
      </c>
      <c r="G5332" s="46" t="s">
        <v>17</v>
      </c>
      <c r="H5332" s="46">
        <v>2</v>
      </c>
      <c r="I5332" s="51">
        <v>4622.28</v>
      </c>
      <c r="J5332" s="281">
        <f>++Tabla4[[#This Row],[Precio Bruto]]*1.16</f>
        <v>5361.8447999999989</v>
      </c>
      <c r="K5332" s="281">
        <f>+Tabla4[[#This Row],[Precio Unitario Neto]]*Tabla4[[#Headers],[20.85%]]</f>
        <v>1117.9446407999997</v>
      </c>
      <c r="L5332" s="282">
        <f>++Tabla4[[#This Row],[Precio Unitario Neto]]-Tabla4[[#This Row],[20.85%]]</f>
        <v>4243.9001591999995</v>
      </c>
      <c r="M5332" s="282" t="e">
        <f>(INDEX(Tabla6[#All],MATCH(Tabla4[[#This Row],[Producto]],Tabla6[[#All],[PRODUCTO]],0),MATCH(Tabla4[[#This Row],[Mes]],Tabla6[#Headers],0)))*(1+Catalogos!$L$2)</f>
        <v>#N/A</v>
      </c>
      <c r="N5332" s="283" t="e">
        <f>+(Tabla4[[#This Row],[Precio Descontado]]-Tabla4[[#This Row],[Precio Base]])*Tabla4[[#This Row],[Cantidad]]</f>
        <v>#N/A</v>
      </c>
      <c r="O5332" s="284" t="e">
        <f>++Tabla4[[#This Row],[Utilidad Total]]/Tabla4[[#This Row],[Total]]</f>
        <v>#N/A</v>
      </c>
      <c r="P5332" s="282">
        <f>++Tabla4[[#This Row],[Precio Descontado]]*Tabla4[[#This Row],[Cantidad]]</f>
        <v>8487.800318399999</v>
      </c>
      <c r="Q5332" s="282" t="e">
        <f>(INDEX(Tabla6[#All],MATCH(Tabla4[[#This Row],[Producto]],Tabla6[[#All],[PRODUCTO]],0),MATCH(Tabla4[[#This Row],[Mes]],Tabla6[#Headers],0)))</f>
        <v>#N/A</v>
      </c>
      <c r="R5332" s="282" t="e">
        <f>++Tabla4[[#This Row],[Precio Unitario Neto]]-Tabla4[[#This Row],[20.85%]]-Tabla4[[#This Row],[Costo]]</f>
        <v>#N/A</v>
      </c>
      <c r="S5332" s="282" t="e">
        <f>++Tabla4[[#This Row],[U. Bruta Uni]]*Tabla4[[#This Row],[Cantidad]]</f>
        <v>#N/A</v>
      </c>
      <c r="T5332" s="369" t="str">
        <f>VLOOKUP(Tabla4[[#This Row],[Producto]],Tabla6[#All],14,FALSE)</f>
        <v>Termico Solar</v>
      </c>
      <c r="U5332" s="284" t="e">
        <f>(IF(Tabla4[[#This Row],[Familia]]="termico solar",Tabla4[[#This Row],[Utilidad Total]]*6%,Tabla4[[#This Row],[Utilidad Total]]*11.5%))/Tabla4[[#This Row],[Total]]</f>
        <v>#N/A</v>
      </c>
      <c r="V5332" s="282" t="e">
        <f>+Tabla4[[#This Row],[Comisión Calculada]]*Tabla4[[#This Row],[Total]]</f>
        <v>#N/A</v>
      </c>
    </row>
    <row r="5333" spans="1:22" hidden="1" x14ac:dyDescent="0.25">
      <c r="A5333" s="100">
        <v>45884</v>
      </c>
      <c r="B5333" t="str">
        <f t="shared" si="260"/>
        <v>August</v>
      </c>
      <c r="C5333" s="46" t="s">
        <v>280</v>
      </c>
      <c r="F5333" s="366" t="s">
        <v>2773</v>
      </c>
      <c r="G5333" s="46" t="s">
        <v>208</v>
      </c>
      <c r="H5333" s="46">
        <v>3</v>
      </c>
      <c r="I5333" s="51">
        <v>189.75</v>
      </c>
      <c r="J5333" s="281">
        <f>++Tabla4[[#This Row],[Precio Bruto]]*1.16</f>
        <v>220.10999999999999</v>
      </c>
      <c r="K5333" s="281">
        <f>+Tabla4[[#This Row],[Precio Unitario Neto]]*Tabla4[[#Headers],[20.85%]]</f>
        <v>45.892934999999994</v>
      </c>
      <c r="L5333" s="282">
        <f>++Tabla4[[#This Row],[Precio Unitario Neto]]-Tabla4[[#This Row],[20.85%]]</f>
        <v>174.21706499999999</v>
      </c>
      <c r="M5333" s="282" t="e">
        <f>(INDEX(Tabla6[#All],MATCH(Tabla4[[#This Row],[Producto]],Tabla6[[#All],[PRODUCTO]],0),MATCH(Tabla4[[#This Row],[Mes]],Tabla6[#Headers],0)))*(1+Catalogos!$L$2)</f>
        <v>#N/A</v>
      </c>
      <c r="N5333" s="283" t="e">
        <f>+(Tabla4[[#This Row],[Precio Descontado]]-Tabla4[[#This Row],[Precio Base]])*Tabla4[[#This Row],[Cantidad]]</f>
        <v>#N/A</v>
      </c>
      <c r="O5333" s="284" t="e">
        <f>++Tabla4[[#This Row],[Utilidad Total]]/Tabla4[[#This Row],[Total]]</f>
        <v>#N/A</v>
      </c>
      <c r="P5333" s="282">
        <f>++Tabla4[[#This Row],[Precio Descontado]]*Tabla4[[#This Row],[Cantidad]]</f>
        <v>522.65119499999992</v>
      </c>
      <c r="Q5333" s="282" t="e">
        <f>(INDEX(Tabla6[#All],MATCH(Tabla4[[#This Row],[Producto]],Tabla6[[#All],[PRODUCTO]],0),MATCH(Tabla4[[#This Row],[Mes]],Tabla6[#Headers],0)))</f>
        <v>#N/A</v>
      </c>
      <c r="R5333" s="282" t="e">
        <f>++Tabla4[[#This Row],[Precio Unitario Neto]]-Tabla4[[#This Row],[20.85%]]-Tabla4[[#This Row],[Costo]]</f>
        <v>#N/A</v>
      </c>
      <c r="S5333" s="282" t="e">
        <f>++Tabla4[[#This Row],[U. Bruta Uni]]*Tabla4[[#This Row],[Cantidad]]</f>
        <v>#N/A</v>
      </c>
      <c r="T5333" s="369" t="str">
        <f>VLOOKUP(Tabla4[[#This Row],[Producto]],Tabla6[#All],14,FALSE)</f>
        <v>Termico Solar</v>
      </c>
      <c r="U5333" s="284" t="e">
        <f>(IF(Tabla4[[#This Row],[Familia]]="termico solar",Tabla4[[#This Row],[Utilidad Total]]*6%,Tabla4[[#This Row],[Utilidad Total]]*11.5%))/Tabla4[[#This Row],[Total]]</f>
        <v>#N/A</v>
      </c>
      <c r="V5333" s="282" t="e">
        <f>+Tabla4[[#This Row],[Comisión Calculada]]*Tabla4[[#This Row],[Total]]</f>
        <v>#N/A</v>
      </c>
    </row>
    <row r="5334" spans="1:22" hidden="1" x14ac:dyDescent="0.25">
      <c r="A5334" s="100">
        <v>45884</v>
      </c>
      <c r="B5334" t="str">
        <f t="shared" si="260"/>
        <v>August</v>
      </c>
      <c r="C5334" s="46" t="s">
        <v>280</v>
      </c>
      <c r="F5334" s="366" t="s">
        <v>2774</v>
      </c>
      <c r="G5334" s="46" t="s">
        <v>17</v>
      </c>
      <c r="H5334" s="46">
        <v>1</v>
      </c>
      <c r="I5334" s="51">
        <v>4622.28</v>
      </c>
      <c r="J5334" s="281">
        <f>++Tabla4[[#This Row],[Precio Bruto]]*1.16</f>
        <v>5361.8447999999989</v>
      </c>
      <c r="K5334" s="281">
        <f>+Tabla4[[#This Row],[Precio Unitario Neto]]*Tabla4[[#Headers],[20.85%]]</f>
        <v>1117.9446407999997</v>
      </c>
      <c r="L5334" s="282">
        <f>++Tabla4[[#This Row],[Precio Unitario Neto]]-Tabla4[[#This Row],[20.85%]]</f>
        <v>4243.9001591999995</v>
      </c>
      <c r="M5334" s="282" t="e">
        <f>(INDEX(Tabla6[#All],MATCH(Tabla4[[#This Row],[Producto]],Tabla6[[#All],[PRODUCTO]],0),MATCH(Tabla4[[#This Row],[Mes]],Tabla6[#Headers],0)))*(1+Catalogos!$L$2)</f>
        <v>#N/A</v>
      </c>
      <c r="N5334" s="283" t="e">
        <f>+(Tabla4[[#This Row],[Precio Descontado]]-Tabla4[[#This Row],[Precio Base]])*Tabla4[[#This Row],[Cantidad]]</f>
        <v>#N/A</v>
      </c>
      <c r="O5334" s="284" t="e">
        <f>++Tabla4[[#This Row],[Utilidad Total]]/Tabla4[[#This Row],[Total]]</f>
        <v>#N/A</v>
      </c>
      <c r="P5334" s="282">
        <f>++Tabla4[[#This Row],[Precio Descontado]]*Tabla4[[#This Row],[Cantidad]]</f>
        <v>4243.9001591999995</v>
      </c>
      <c r="Q5334" s="282" t="e">
        <f>(INDEX(Tabla6[#All],MATCH(Tabla4[[#This Row],[Producto]],Tabla6[[#All],[PRODUCTO]],0),MATCH(Tabla4[[#This Row],[Mes]],Tabla6[#Headers],0)))</f>
        <v>#N/A</v>
      </c>
      <c r="R5334" s="282" t="e">
        <f>++Tabla4[[#This Row],[Precio Unitario Neto]]-Tabla4[[#This Row],[20.85%]]-Tabla4[[#This Row],[Costo]]</f>
        <v>#N/A</v>
      </c>
      <c r="S5334" s="282" t="e">
        <f>++Tabla4[[#This Row],[U. Bruta Uni]]*Tabla4[[#This Row],[Cantidad]]</f>
        <v>#N/A</v>
      </c>
      <c r="T5334" s="369" t="str">
        <f>VLOOKUP(Tabla4[[#This Row],[Producto]],Tabla6[#All],14,FALSE)</f>
        <v>Termico Solar</v>
      </c>
      <c r="U5334" s="284" t="e">
        <f>(IF(Tabla4[[#This Row],[Familia]]="termico solar",Tabla4[[#This Row],[Utilidad Total]]*6%,Tabla4[[#This Row],[Utilidad Total]]*11.5%))/Tabla4[[#This Row],[Total]]</f>
        <v>#N/A</v>
      </c>
      <c r="V5334" s="282" t="e">
        <f>+Tabla4[[#This Row],[Comisión Calculada]]*Tabla4[[#This Row],[Total]]</f>
        <v>#N/A</v>
      </c>
    </row>
    <row r="5335" spans="1:22" hidden="1" x14ac:dyDescent="0.25">
      <c r="A5335" s="100">
        <v>45884</v>
      </c>
      <c r="B5335" t="str">
        <f t="shared" si="260"/>
        <v>August</v>
      </c>
      <c r="C5335" s="46" t="s">
        <v>280</v>
      </c>
      <c r="F5335" s="366" t="s">
        <v>2775</v>
      </c>
      <c r="G5335" s="46" t="s">
        <v>18</v>
      </c>
      <c r="H5335" s="46">
        <v>2</v>
      </c>
      <c r="I5335" s="51">
        <v>5367.65</v>
      </c>
      <c r="J5335" s="281">
        <f>++Tabla4[[#This Row],[Precio Bruto]]*1.16</f>
        <v>6226.4739999999993</v>
      </c>
      <c r="K5335" s="281">
        <f>+Tabla4[[#This Row],[Precio Unitario Neto]]*Tabla4[[#Headers],[20.85%]]</f>
        <v>1298.2198289999999</v>
      </c>
      <c r="L5335" s="282">
        <f>++Tabla4[[#This Row],[Precio Unitario Neto]]-Tabla4[[#This Row],[20.85%]]</f>
        <v>4928.2541709999996</v>
      </c>
      <c r="M5335" s="282" t="e">
        <f>(INDEX(Tabla6[#All],MATCH(Tabla4[[#This Row],[Producto]],Tabla6[[#All],[PRODUCTO]],0),MATCH(Tabla4[[#This Row],[Mes]],Tabla6[#Headers],0)))*(1+Catalogos!$L$2)</f>
        <v>#N/A</v>
      </c>
      <c r="N5335" s="283" t="e">
        <f>+(Tabla4[[#This Row],[Precio Descontado]]-Tabla4[[#This Row],[Precio Base]])*Tabla4[[#This Row],[Cantidad]]</f>
        <v>#N/A</v>
      </c>
      <c r="O5335" s="284" t="e">
        <f>++Tabla4[[#This Row],[Utilidad Total]]/Tabla4[[#This Row],[Total]]</f>
        <v>#N/A</v>
      </c>
      <c r="P5335" s="282">
        <f>++Tabla4[[#This Row],[Precio Descontado]]*Tabla4[[#This Row],[Cantidad]]</f>
        <v>9856.5083419999992</v>
      </c>
      <c r="Q5335" s="282" t="e">
        <f>(INDEX(Tabla6[#All],MATCH(Tabla4[[#This Row],[Producto]],Tabla6[[#All],[PRODUCTO]],0),MATCH(Tabla4[[#This Row],[Mes]],Tabla6[#Headers],0)))</f>
        <v>#N/A</v>
      </c>
      <c r="R5335" s="282" t="e">
        <f>++Tabla4[[#This Row],[Precio Unitario Neto]]-Tabla4[[#This Row],[20.85%]]-Tabla4[[#This Row],[Costo]]</f>
        <v>#N/A</v>
      </c>
      <c r="S5335" s="282" t="e">
        <f>++Tabla4[[#This Row],[U. Bruta Uni]]*Tabla4[[#This Row],[Cantidad]]</f>
        <v>#N/A</v>
      </c>
      <c r="T5335" s="369" t="str">
        <f>VLOOKUP(Tabla4[[#This Row],[Producto]],Tabla6[#All],14,FALSE)</f>
        <v>Termico Solar</v>
      </c>
      <c r="U5335" s="284" t="e">
        <f>(IF(Tabla4[[#This Row],[Familia]]="termico solar",Tabla4[[#This Row],[Utilidad Total]]*6%,Tabla4[[#This Row],[Utilidad Total]]*11.5%))/Tabla4[[#This Row],[Total]]</f>
        <v>#N/A</v>
      </c>
      <c r="V5335" s="282" t="e">
        <f>+Tabla4[[#This Row],[Comisión Calculada]]*Tabla4[[#This Row],[Total]]</f>
        <v>#N/A</v>
      </c>
    </row>
    <row r="5336" spans="1:22" hidden="1" x14ac:dyDescent="0.25">
      <c r="A5336" s="100">
        <v>45884</v>
      </c>
      <c r="B5336" t="str">
        <f t="shared" si="260"/>
        <v>August</v>
      </c>
      <c r="C5336" s="46" t="s">
        <v>280</v>
      </c>
      <c r="F5336" s="366" t="s">
        <v>2776</v>
      </c>
      <c r="G5336" s="46" t="s">
        <v>83</v>
      </c>
      <c r="H5336" s="46">
        <v>3</v>
      </c>
      <c r="I5336" s="51">
        <v>8858.76</v>
      </c>
      <c r="J5336" s="281">
        <f>++Tabla4[[#This Row],[Precio Bruto]]*1.16</f>
        <v>10276.161599999999</v>
      </c>
      <c r="K5336" s="281">
        <f>+Tabla4[[#This Row],[Precio Unitario Neto]]*Tabla4[[#Headers],[20.85%]]</f>
        <v>2142.5796935999997</v>
      </c>
      <c r="L5336" s="282">
        <f>++Tabla4[[#This Row],[Precio Unitario Neto]]-Tabla4[[#This Row],[20.85%]]</f>
        <v>8133.5819063999998</v>
      </c>
      <c r="M5336" s="282" t="e">
        <f>(INDEX(Tabla6[#All],MATCH(Tabla4[[#This Row],[Producto]],Tabla6[[#All],[PRODUCTO]],0),MATCH(Tabla4[[#This Row],[Mes]],Tabla6[#Headers],0)))*(1+Catalogos!$L$2)</f>
        <v>#N/A</v>
      </c>
      <c r="N5336" s="283" t="e">
        <f>+(Tabla4[[#This Row],[Precio Descontado]]-Tabla4[[#This Row],[Precio Base]])*Tabla4[[#This Row],[Cantidad]]</f>
        <v>#N/A</v>
      </c>
      <c r="O5336" s="284" t="e">
        <f>++Tabla4[[#This Row],[Utilidad Total]]/Tabla4[[#This Row],[Total]]</f>
        <v>#N/A</v>
      </c>
      <c r="P5336" s="282">
        <f>++Tabla4[[#This Row],[Precio Descontado]]*Tabla4[[#This Row],[Cantidad]]</f>
        <v>24400.7457192</v>
      </c>
      <c r="Q5336" s="282" t="e">
        <f>(INDEX(Tabla6[#All],MATCH(Tabla4[[#This Row],[Producto]],Tabla6[[#All],[PRODUCTO]],0),MATCH(Tabla4[[#This Row],[Mes]],Tabla6[#Headers],0)))</f>
        <v>#N/A</v>
      </c>
      <c r="R5336" s="282" t="e">
        <f>++Tabla4[[#This Row],[Precio Unitario Neto]]-Tabla4[[#This Row],[20.85%]]-Tabla4[[#This Row],[Costo]]</f>
        <v>#N/A</v>
      </c>
      <c r="S5336" s="282" t="e">
        <f>++Tabla4[[#This Row],[U. Bruta Uni]]*Tabla4[[#This Row],[Cantidad]]</f>
        <v>#N/A</v>
      </c>
      <c r="T5336" s="369" t="str">
        <f>VLOOKUP(Tabla4[[#This Row],[Producto]],Tabla6[#All],14,FALSE)</f>
        <v>Termico Solar</v>
      </c>
      <c r="U5336" s="284" t="e">
        <f>(IF(Tabla4[[#This Row],[Familia]]="termico solar",Tabla4[[#This Row],[Utilidad Total]]*6%,Tabla4[[#This Row],[Utilidad Total]]*11.5%))/Tabla4[[#This Row],[Total]]</f>
        <v>#N/A</v>
      </c>
      <c r="V5336" s="282" t="e">
        <f>+Tabla4[[#This Row],[Comisión Calculada]]*Tabla4[[#This Row],[Total]]</f>
        <v>#N/A</v>
      </c>
    </row>
    <row r="5337" spans="1:22" hidden="1" x14ac:dyDescent="0.25">
      <c r="A5337" s="100">
        <v>45884</v>
      </c>
      <c r="B5337" t="str">
        <f t="shared" si="260"/>
        <v>August</v>
      </c>
      <c r="C5337" s="46" t="s">
        <v>280</v>
      </c>
      <c r="F5337" s="366" t="s">
        <v>2776</v>
      </c>
      <c r="G5337" s="46" t="s">
        <v>208</v>
      </c>
      <c r="H5337" s="46">
        <v>1</v>
      </c>
      <c r="I5337" s="51">
        <v>189.75</v>
      </c>
      <c r="J5337" s="281">
        <f>++Tabla4[[#This Row],[Precio Bruto]]*1.16</f>
        <v>220.10999999999999</v>
      </c>
      <c r="K5337" s="281">
        <f>+Tabla4[[#This Row],[Precio Unitario Neto]]*Tabla4[[#Headers],[20.85%]]</f>
        <v>45.892934999999994</v>
      </c>
      <c r="L5337" s="282">
        <f>++Tabla4[[#This Row],[Precio Unitario Neto]]-Tabla4[[#This Row],[20.85%]]</f>
        <v>174.21706499999999</v>
      </c>
      <c r="M5337" s="282" t="e">
        <f>(INDEX(Tabla6[#All],MATCH(Tabla4[[#This Row],[Producto]],Tabla6[[#All],[PRODUCTO]],0),MATCH(Tabla4[[#This Row],[Mes]],Tabla6[#Headers],0)))*(1+Catalogos!$L$2)</f>
        <v>#N/A</v>
      </c>
      <c r="N5337" s="283" t="e">
        <f>+(Tabla4[[#This Row],[Precio Descontado]]-Tabla4[[#This Row],[Precio Base]])*Tabla4[[#This Row],[Cantidad]]</f>
        <v>#N/A</v>
      </c>
      <c r="O5337" s="284" t="e">
        <f>++Tabla4[[#This Row],[Utilidad Total]]/Tabla4[[#This Row],[Total]]</f>
        <v>#N/A</v>
      </c>
      <c r="P5337" s="282">
        <f>++Tabla4[[#This Row],[Precio Descontado]]*Tabla4[[#This Row],[Cantidad]]</f>
        <v>174.21706499999999</v>
      </c>
      <c r="Q5337" s="282" t="e">
        <f>(INDEX(Tabla6[#All],MATCH(Tabla4[[#This Row],[Producto]],Tabla6[[#All],[PRODUCTO]],0),MATCH(Tabla4[[#This Row],[Mes]],Tabla6[#Headers],0)))</f>
        <v>#N/A</v>
      </c>
      <c r="R5337" s="282" t="e">
        <f>++Tabla4[[#This Row],[Precio Unitario Neto]]-Tabla4[[#This Row],[20.85%]]-Tabla4[[#This Row],[Costo]]</f>
        <v>#N/A</v>
      </c>
      <c r="S5337" s="282" t="e">
        <f>++Tabla4[[#This Row],[U. Bruta Uni]]*Tabla4[[#This Row],[Cantidad]]</f>
        <v>#N/A</v>
      </c>
      <c r="T5337" s="369" t="str">
        <f>VLOOKUP(Tabla4[[#This Row],[Producto]],Tabla6[#All],14,FALSE)</f>
        <v>Termico Solar</v>
      </c>
      <c r="U5337" s="284" t="e">
        <f>(IF(Tabla4[[#This Row],[Familia]]="termico solar",Tabla4[[#This Row],[Utilidad Total]]*6%,Tabla4[[#This Row],[Utilidad Total]]*11.5%))/Tabla4[[#This Row],[Total]]</f>
        <v>#N/A</v>
      </c>
      <c r="V5337" s="282" t="e">
        <f>+Tabla4[[#This Row],[Comisión Calculada]]*Tabla4[[#This Row],[Total]]</f>
        <v>#N/A</v>
      </c>
    </row>
    <row r="5338" spans="1:22" hidden="1" x14ac:dyDescent="0.25">
      <c r="A5338" s="100">
        <v>45884</v>
      </c>
      <c r="B5338" t="str">
        <f t="shared" si="260"/>
        <v>August</v>
      </c>
      <c r="C5338" s="46" t="s">
        <v>280</v>
      </c>
      <c r="F5338" s="366" t="s">
        <v>2777</v>
      </c>
      <c r="G5338" s="46" t="s">
        <v>17</v>
      </c>
      <c r="H5338" s="46">
        <v>4</v>
      </c>
      <c r="I5338" s="51">
        <v>4622.28</v>
      </c>
      <c r="J5338" s="281">
        <f>++Tabla4[[#This Row],[Precio Bruto]]*1.16</f>
        <v>5361.8447999999989</v>
      </c>
      <c r="K5338" s="281">
        <f>+Tabla4[[#This Row],[Precio Unitario Neto]]*Tabla4[[#Headers],[20.85%]]</f>
        <v>1117.9446407999997</v>
      </c>
      <c r="L5338" s="282">
        <f>++Tabla4[[#This Row],[Precio Unitario Neto]]-Tabla4[[#This Row],[20.85%]]</f>
        <v>4243.9001591999995</v>
      </c>
      <c r="M5338" s="282" t="e">
        <f>(INDEX(Tabla6[#All],MATCH(Tabla4[[#This Row],[Producto]],Tabla6[[#All],[PRODUCTO]],0),MATCH(Tabla4[[#This Row],[Mes]],Tabla6[#Headers],0)))*(1+Catalogos!$L$2)</f>
        <v>#N/A</v>
      </c>
      <c r="N5338" s="283" t="e">
        <f>+(Tabla4[[#This Row],[Precio Descontado]]-Tabla4[[#This Row],[Precio Base]])*Tabla4[[#This Row],[Cantidad]]</f>
        <v>#N/A</v>
      </c>
      <c r="O5338" s="284" t="e">
        <f>++Tabla4[[#This Row],[Utilidad Total]]/Tabla4[[#This Row],[Total]]</f>
        <v>#N/A</v>
      </c>
      <c r="P5338" s="282">
        <f>++Tabla4[[#This Row],[Precio Descontado]]*Tabla4[[#This Row],[Cantidad]]</f>
        <v>16975.600636799998</v>
      </c>
      <c r="Q5338" s="282" t="e">
        <f>(INDEX(Tabla6[#All],MATCH(Tabla4[[#This Row],[Producto]],Tabla6[[#All],[PRODUCTO]],0),MATCH(Tabla4[[#This Row],[Mes]],Tabla6[#Headers],0)))</f>
        <v>#N/A</v>
      </c>
      <c r="R5338" s="282" t="e">
        <f>++Tabla4[[#This Row],[Precio Unitario Neto]]-Tabla4[[#This Row],[20.85%]]-Tabla4[[#This Row],[Costo]]</f>
        <v>#N/A</v>
      </c>
      <c r="S5338" s="282" t="e">
        <f>++Tabla4[[#This Row],[U. Bruta Uni]]*Tabla4[[#This Row],[Cantidad]]</f>
        <v>#N/A</v>
      </c>
      <c r="T5338" s="369" t="str">
        <f>VLOOKUP(Tabla4[[#This Row],[Producto]],Tabla6[#All],14,FALSE)</f>
        <v>Termico Solar</v>
      </c>
      <c r="U5338" s="284" t="e">
        <f>(IF(Tabla4[[#This Row],[Familia]]="termico solar",Tabla4[[#This Row],[Utilidad Total]]*6%,Tabla4[[#This Row],[Utilidad Total]]*11.5%))/Tabla4[[#This Row],[Total]]</f>
        <v>#N/A</v>
      </c>
      <c r="V5338" s="282" t="e">
        <f>+Tabla4[[#This Row],[Comisión Calculada]]*Tabla4[[#This Row],[Total]]</f>
        <v>#N/A</v>
      </c>
    </row>
    <row r="5339" spans="1:22" hidden="1" x14ac:dyDescent="0.25">
      <c r="A5339" s="100">
        <v>45884</v>
      </c>
      <c r="B5339" t="str">
        <f t="shared" si="260"/>
        <v>August</v>
      </c>
      <c r="C5339" s="46" t="s">
        <v>280</v>
      </c>
      <c r="F5339" s="366" t="s">
        <v>2777</v>
      </c>
      <c r="G5339" s="46" t="s">
        <v>18</v>
      </c>
      <c r="H5339" s="46">
        <v>1</v>
      </c>
      <c r="I5339" s="51">
        <v>5367.65</v>
      </c>
      <c r="J5339" s="281">
        <f>++Tabla4[[#This Row],[Precio Bruto]]*1.16</f>
        <v>6226.4739999999993</v>
      </c>
      <c r="K5339" s="281">
        <f>+Tabla4[[#This Row],[Precio Unitario Neto]]*Tabla4[[#Headers],[20.85%]]</f>
        <v>1298.2198289999999</v>
      </c>
      <c r="L5339" s="282">
        <f>++Tabla4[[#This Row],[Precio Unitario Neto]]-Tabla4[[#This Row],[20.85%]]</f>
        <v>4928.2541709999996</v>
      </c>
      <c r="M5339" s="282" t="e">
        <f>(INDEX(Tabla6[#All],MATCH(Tabla4[[#This Row],[Producto]],Tabla6[[#All],[PRODUCTO]],0),MATCH(Tabla4[[#This Row],[Mes]],Tabla6[#Headers],0)))*(1+Catalogos!$L$2)</f>
        <v>#N/A</v>
      </c>
      <c r="N5339" s="283" t="e">
        <f>+(Tabla4[[#This Row],[Precio Descontado]]-Tabla4[[#This Row],[Precio Base]])*Tabla4[[#This Row],[Cantidad]]</f>
        <v>#N/A</v>
      </c>
      <c r="O5339" s="284" t="e">
        <f>++Tabla4[[#This Row],[Utilidad Total]]/Tabla4[[#This Row],[Total]]</f>
        <v>#N/A</v>
      </c>
      <c r="P5339" s="282">
        <f>++Tabla4[[#This Row],[Precio Descontado]]*Tabla4[[#This Row],[Cantidad]]</f>
        <v>4928.2541709999996</v>
      </c>
      <c r="Q5339" s="282" t="e">
        <f>(INDEX(Tabla6[#All],MATCH(Tabla4[[#This Row],[Producto]],Tabla6[[#All],[PRODUCTO]],0),MATCH(Tabla4[[#This Row],[Mes]],Tabla6[#Headers],0)))</f>
        <v>#N/A</v>
      </c>
      <c r="R5339" s="282" t="e">
        <f>++Tabla4[[#This Row],[Precio Unitario Neto]]-Tabla4[[#This Row],[20.85%]]-Tabla4[[#This Row],[Costo]]</f>
        <v>#N/A</v>
      </c>
      <c r="S5339" s="282" t="e">
        <f>++Tabla4[[#This Row],[U. Bruta Uni]]*Tabla4[[#This Row],[Cantidad]]</f>
        <v>#N/A</v>
      </c>
      <c r="T5339" s="369" t="str">
        <f>VLOOKUP(Tabla4[[#This Row],[Producto]],Tabla6[#All],14,FALSE)</f>
        <v>Termico Solar</v>
      </c>
      <c r="U5339" s="284" t="e">
        <f>(IF(Tabla4[[#This Row],[Familia]]="termico solar",Tabla4[[#This Row],[Utilidad Total]]*6%,Tabla4[[#This Row],[Utilidad Total]]*11.5%))/Tabla4[[#This Row],[Total]]</f>
        <v>#N/A</v>
      </c>
      <c r="V5339" s="282" t="e">
        <f>+Tabla4[[#This Row],[Comisión Calculada]]*Tabla4[[#This Row],[Total]]</f>
        <v>#N/A</v>
      </c>
    </row>
    <row r="5340" spans="1:22" hidden="1" x14ac:dyDescent="0.25">
      <c r="A5340" s="100">
        <v>45884</v>
      </c>
      <c r="B5340" t="str">
        <f t="shared" si="260"/>
        <v>August</v>
      </c>
      <c r="C5340" s="46" t="s">
        <v>280</v>
      </c>
      <c r="F5340" s="366" t="s">
        <v>2778</v>
      </c>
      <c r="G5340" s="46" t="s">
        <v>83</v>
      </c>
      <c r="H5340" s="46">
        <v>7</v>
      </c>
      <c r="I5340" s="51">
        <v>8858.76</v>
      </c>
      <c r="J5340" s="281">
        <f>++Tabla4[[#This Row],[Precio Bruto]]*1.16</f>
        <v>10276.161599999999</v>
      </c>
      <c r="K5340" s="281">
        <f>+Tabla4[[#This Row],[Precio Unitario Neto]]*Tabla4[[#Headers],[20.85%]]</f>
        <v>2142.5796935999997</v>
      </c>
      <c r="L5340" s="282">
        <f>++Tabla4[[#This Row],[Precio Unitario Neto]]-Tabla4[[#This Row],[20.85%]]</f>
        <v>8133.5819063999998</v>
      </c>
      <c r="M5340" s="282" t="e">
        <f>(INDEX(Tabla6[#All],MATCH(Tabla4[[#This Row],[Producto]],Tabla6[[#All],[PRODUCTO]],0),MATCH(Tabla4[[#This Row],[Mes]],Tabla6[#Headers],0)))*(1+Catalogos!$L$2)</f>
        <v>#N/A</v>
      </c>
      <c r="N5340" s="283" t="e">
        <f>+(Tabla4[[#This Row],[Precio Descontado]]-Tabla4[[#This Row],[Precio Base]])*Tabla4[[#This Row],[Cantidad]]</f>
        <v>#N/A</v>
      </c>
      <c r="O5340" s="284" t="e">
        <f>++Tabla4[[#This Row],[Utilidad Total]]/Tabla4[[#This Row],[Total]]</f>
        <v>#N/A</v>
      </c>
      <c r="P5340" s="282">
        <f>++Tabla4[[#This Row],[Precio Descontado]]*Tabla4[[#This Row],[Cantidad]]</f>
        <v>56935.073344799996</v>
      </c>
      <c r="Q5340" s="282" t="e">
        <f>(INDEX(Tabla6[#All],MATCH(Tabla4[[#This Row],[Producto]],Tabla6[[#All],[PRODUCTO]],0),MATCH(Tabla4[[#This Row],[Mes]],Tabla6[#Headers],0)))</f>
        <v>#N/A</v>
      </c>
      <c r="R5340" s="282" t="e">
        <f>++Tabla4[[#This Row],[Precio Unitario Neto]]-Tabla4[[#This Row],[20.85%]]-Tabla4[[#This Row],[Costo]]</f>
        <v>#N/A</v>
      </c>
      <c r="S5340" s="282" t="e">
        <f>++Tabla4[[#This Row],[U. Bruta Uni]]*Tabla4[[#This Row],[Cantidad]]</f>
        <v>#N/A</v>
      </c>
      <c r="T5340" s="369" t="str">
        <f>VLOOKUP(Tabla4[[#This Row],[Producto]],Tabla6[#All],14,FALSE)</f>
        <v>Termico Solar</v>
      </c>
      <c r="U5340" s="284" t="e">
        <f>(IF(Tabla4[[#This Row],[Familia]]="termico solar",Tabla4[[#This Row],[Utilidad Total]]*6%,Tabla4[[#This Row],[Utilidad Total]]*11.5%))/Tabla4[[#This Row],[Total]]</f>
        <v>#N/A</v>
      </c>
      <c r="V5340" s="282" t="e">
        <f>+Tabla4[[#This Row],[Comisión Calculada]]*Tabla4[[#This Row],[Total]]</f>
        <v>#N/A</v>
      </c>
    </row>
    <row r="5341" spans="1:22" hidden="1" x14ac:dyDescent="0.25">
      <c r="A5341" s="100">
        <v>45884</v>
      </c>
      <c r="B5341" t="str">
        <f t="shared" si="260"/>
        <v>August</v>
      </c>
      <c r="C5341" s="46" t="s">
        <v>280</v>
      </c>
      <c r="F5341" s="366" t="s">
        <v>2778</v>
      </c>
      <c r="G5341" s="46" t="s">
        <v>18</v>
      </c>
      <c r="H5341" s="46">
        <v>1</v>
      </c>
      <c r="I5341" s="51">
        <v>5367.65</v>
      </c>
      <c r="J5341" s="281">
        <f>++Tabla4[[#This Row],[Precio Bruto]]*1.16</f>
        <v>6226.4739999999993</v>
      </c>
      <c r="K5341" s="281">
        <f>+Tabla4[[#This Row],[Precio Unitario Neto]]*Tabla4[[#Headers],[20.85%]]</f>
        <v>1298.2198289999999</v>
      </c>
      <c r="L5341" s="282">
        <f>++Tabla4[[#This Row],[Precio Unitario Neto]]-Tabla4[[#This Row],[20.85%]]</f>
        <v>4928.2541709999996</v>
      </c>
      <c r="M5341" s="282" t="e">
        <f>(INDEX(Tabla6[#All],MATCH(Tabla4[[#This Row],[Producto]],Tabla6[[#All],[PRODUCTO]],0),MATCH(Tabla4[[#This Row],[Mes]],Tabla6[#Headers],0)))*(1+Catalogos!$L$2)</f>
        <v>#N/A</v>
      </c>
      <c r="N5341" s="283" t="e">
        <f>+(Tabla4[[#This Row],[Precio Descontado]]-Tabla4[[#This Row],[Precio Base]])*Tabla4[[#This Row],[Cantidad]]</f>
        <v>#N/A</v>
      </c>
      <c r="O5341" s="284" t="e">
        <f>++Tabla4[[#This Row],[Utilidad Total]]/Tabla4[[#This Row],[Total]]</f>
        <v>#N/A</v>
      </c>
      <c r="P5341" s="282">
        <f>++Tabla4[[#This Row],[Precio Descontado]]*Tabla4[[#This Row],[Cantidad]]</f>
        <v>4928.2541709999996</v>
      </c>
      <c r="Q5341" s="282" t="e">
        <f>(INDEX(Tabla6[#All],MATCH(Tabla4[[#This Row],[Producto]],Tabla6[[#All],[PRODUCTO]],0),MATCH(Tabla4[[#This Row],[Mes]],Tabla6[#Headers],0)))</f>
        <v>#N/A</v>
      </c>
      <c r="R5341" s="282" t="e">
        <f>++Tabla4[[#This Row],[Precio Unitario Neto]]-Tabla4[[#This Row],[20.85%]]-Tabla4[[#This Row],[Costo]]</f>
        <v>#N/A</v>
      </c>
      <c r="S5341" s="282" t="e">
        <f>++Tabla4[[#This Row],[U. Bruta Uni]]*Tabla4[[#This Row],[Cantidad]]</f>
        <v>#N/A</v>
      </c>
      <c r="T5341" s="369" t="str">
        <f>VLOOKUP(Tabla4[[#This Row],[Producto]],Tabla6[#All],14,FALSE)</f>
        <v>Termico Solar</v>
      </c>
      <c r="U5341" s="284" t="e">
        <f>(IF(Tabla4[[#This Row],[Familia]]="termico solar",Tabla4[[#This Row],[Utilidad Total]]*6%,Tabla4[[#This Row],[Utilidad Total]]*11.5%))/Tabla4[[#This Row],[Total]]</f>
        <v>#N/A</v>
      </c>
      <c r="V5341" s="282" t="e">
        <f>+Tabla4[[#This Row],[Comisión Calculada]]*Tabla4[[#This Row],[Total]]</f>
        <v>#N/A</v>
      </c>
    </row>
    <row r="5342" spans="1:22" hidden="1" x14ac:dyDescent="0.25">
      <c r="A5342" s="100">
        <v>45884</v>
      </c>
      <c r="B5342" t="str">
        <f t="shared" si="260"/>
        <v>August</v>
      </c>
      <c r="C5342" s="46" t="s">
        <v>280</v>
      </c>
      <c r="F5342" s="366" t="s">
        <v>2778</v>
      </c>
      <c r="G5342" s="46" t="s">
        <v>16</v>
      </c>
      <c r="H5342" s="46">
        <v>1</v>
      </c>
      <c r="I5342" s="51">
        <v>4103.8500000000004</v>
      </c>
      <c r="J5342" s="281">
        <f>++Tabla4[[#This Row],[Precio Bruto]]*1.16</f>
        <v>4760.4660000000003</v>
      </c>
      <c r="K5342" s="281">
        <f>+Tabla4[[#This Row],[Precio Unitario Neto]]*Tabla4[[#Headers],[20.85%]]</f>
        <v>992.55716100000006</v>
      </c>
      <c r="L5342" s="282">
        <f>++Tabla4[[#This Row],[Precio Unitario Neto]]-Tabla4[[#This Row],[20.85%]]</f>
        <v>3767.9088390000002</v>
      </c>
      <c r="M5342" s="282" t="e">
        <f>(INDEX(Tabla6[#All],MATCH(Tabla4[[#This Row],[Producto]],Tabla6[[#All],[PRODUCTO]],0),MATCH(Tabla4[[#This Row],[Mes]],Tabla6[#Headers],0)))*(1+Catalogos!$L$2)</f>
        <v>#N/A</v>
      </c>
      <c r="N5342" s="283" t="e">
        <f>+(Tabla4[[#This Row],[Precio Descontado]]-Tabla4[[#This Row],[Precio Base]])*Tabla4[[#This Row],[Cantidad]]</f>
        <v>#N/A</v>
      </c>
      <c r="O5342" s="284" t="e">
        <f>++Tabla4[[#This Row],[Utilidad Total]]/Tabla4[[#This Row],[Total]]</f>
        <v>#N/A</v>
      </c>
      <c r="P5342" s="282">
        <f>++Tabla4[[#This Row],[Precio Descontado]]*Tabla4[[#This Row],[Cantidad]]</f>
        <v>3767.9088390000002</v>
      </c>
      <c r="Q5342" s="282" t="e">
        <f>(INDEX(Tabla6[#All],MATCH(Tabla4[[#This Row],[Producto]],Tabla6[[#All],[PRODUCTO]],0),MATCH(Tabla4[[#This Row],[Mes]],Tabla6[#Headers],0)))</f>
        <v>#N/A</v>
      </c>
      <c r="R5342" s="282" t="e">
        <f>++Tabla4[[#This Row],[Precio Unitario Neto]]-Tabla4[[#This Row],[20.85%]]-Tabla4[[#This Row],[Costo]]</f>
        <v>#N/A</v>
      </c>
      <c r="S5342" s="282" t="e">
        <f>++Tabla4[[#This Row],[U. Bruta Uni]]*Tabla4[[#This Row],[Cantidad]]</f>
        <v>#N/A</v>
      </c>
      <c r="T5342" s="369" t="str">
        <f>VLOOKUP(Tabla4[[#This Row],[Producto]],Tabla6[#All],14,FALSE)</f>
        <v>Termico Solar</v>
      </c>
      <c r="U5342" s="284" t="e">
        <f>(IF(Tabla4[[#This Row],[Familia]]="termico solar",Tabla4[[#This Row],[Utilidad Total]]*6%,Tabla4[[#This Row],[Utilidad Total]]*11.5%))/Tabla4[[#This Row],[Total]]</f>
        <v>#N/A</v>
      </c>
      <c r="V5342" s="282" t="e">
        <f>+Tabla4[[#This Row],[Comisión Calculada]]*Tabla4[[#This Row],[Total]]</f>
        <v>#N/A</v>
      </c>
    </row>
    <row r="5343" spans="1:22" hidden="1" x14ac:dyDescent="0.25">
      <c r="A5343" s="100">
        <v>45884</v>
      </c>
      <c r="B5343" t="str">
        <f t="shared" si="260"/>
        <v>August</v>
      </c>
      <c r="C5343" s="46" t="s">
        <v>280</v>
      </c>
      <c r="F5343" s="366" t="s">
        <v>2778</v>
      </c>
      <c r="G5343" s="46" t="s">
        <v>208</v>
      </c>
      <c r="H5343" s="46">
        <v>2</v>
      </c>
      <c r="I5343" s="51">
        <v>189.75</v>
      </c>
      <c r="J5343" s="281">
        <f>++Tabla4[[#This Row],[Precio Bruto]]*1.16</f>
        <v>220.10999999999999</v>
      </c>
      <c r="K5343" s="281">
        <f>+Tabla4[[#This Row],[Precio Unitario Neto]]*Tabla4[[#Headers],[20.85%]]</f>
        <v>45.892934999999994</v>
      </c>
      <c r="L5343" s="282">
        <f>++Tabla4[[#This Row],[Precio Unitario Neto]]-Tabla4[[#This Row],[20.85%]]</f>
        <v>174.21706499999999</v>
      </c>
      <c r="M5343" s="282" t="e">
        <f>(INDEX(Tabla6[#All],MATCH(Tabla4[[#This Row],[Producto]],Tabla6[[#All],[PRODUCTO]],0),MATCH(Tabla4[[#This Row],[Mes]],Tabla6[#Headers],0)))*(1+Catalogos!$L$2)</f>
        <v>#N/A</v>
      </c>
      <c r="N5343" s="283" t="e">
        <f>+(Tabla4[[#This Row],[Precio Descontado]]-Tabla4[[#This Row],[Precio Base]])*Tabla4[[#This Row],[Cantidad]]</f>
        <v>#N/A</v>
      </c>
      <c r="O5343" s="284" t="e">
        <f>++Tabla4[[#This Row],[Utilidad Total]]/Tabla4[[#This Row],[Total]]</f>
        <v>#N/A</v>
      </c>
      <c r="P5343" s="282">
        <f>++Tabla4[[#This Row],[Precio Descontado]]*Tabla4[[#This Row],[Cantidad]]</f>
        <v>348.43412999999998</v>
      </c>
      <c r="Q5343" s="282" t="e">
        <f>(INDEX(Tabla6[#All],MATCH(Tabla4[[#This Row],[Producto]],Tabla6[[#All],[PRODUCTO]],0),MATCH(Tabla4[[#This Row],[Mes]],Tabla6[#Headers],0)))</f>
        <v>#N/A</v>
      </c>
      <c r="R5343" s="282" t="e">
        <f>++Tabla4[[#This Row],[Precio Unitario Neto]]-Tabla4[[#This Row],[20.85%]]-Tabla4[[#This Row],[Costo]]</f>
        <v>#N/A</v>
      </c>
      <c r="S5343" s="282" t="e">
        <f>++Tabla4[[#This Row],[U. Bruta Uni]]*Tabla4[[#This Row],[Cantidad]]</f>
        <v>#N/A</v>
      </c>
      <c r="T5343" s="369" t="str">
        <f>VLOOKUP(Tabla4[[#This Row],[Producto]],Tabla6[#All],14,FALSE)</f>
        <v>Termico Solar</v>
      </c>
      <c r="U5343" s="284" t="e">
        <f>(IF(Tabla4[[#This Row],[Familia]]="termico solar",Tabla4[[#This Row],[Utilidad Total]]*6%,Tabla4[[#This Row],[Utilidad Total]]*11.5%))/Tabla4[[#This Row],[Total]]</f>
        <v>#N/A</v>
      </c>
      <c r="V5343" s="282" t="e">
        <f>+Tabla4[[#This Row],[Comisión Calculada]]*Tabla4[[#This Row],[Total]]</f>
        <v>#N/A</v>
      </c>
    </row>
    <row r="5344" spans="1:22" hidden="1" x14ac:dyDescent="0.25">
      <c r="A5344" s="100">
        <v>45884</v>
      </c>
      <c r="B5344" t="str">
        <f t="shared" si="260"/>
        <v>August</v>
      </c>
      <c r="C5344" s="46" t="s">
        <v>280</v>
      </c>
      <c r="F5344" s="366" t="s">
        <v>2779</v>
      </c>
      <c r="G5344" s="46" t="s">
        <v>83</v>
      </c>
      <c r="H5344" s="46">
        <v>2</v>
      </c>
      <c r="I5344" s="51">
        <v>8858.76</v>
      </c>
      <c r="J5344" s="281">
        <f>++Tabla4[[#This Row],[Precio Bruto]]*1.16</f>
        <v>10276.161599999999</v>
      </c>
      <c r="K5344" s="281">
        <f>+Tabla4[[#This Row],[Precio Unitario Neto]]*Tabla4[[#Headers],[20.85%]]</f>
        <v>2142.5796935999997</v>
      </c>
      <c r="L5344" s="282">
        <f>++Tabla4[[#This Row],[Precio Unitario Neto]]-Tabla4[[#This Row],[20.85%]]</f>
        <v>8133.5819063999998</v>
      </c>
      <c r="M5344" s="282" t="e">
        <f>(INDEX(Tabla6[#All],MATCH(Tabla4[[#This Row],[Producto]],Tabla6[[#All],[PRODUCTO]],0),MATCH(Tabla4[[#This Row],[Mes]],Tabla6[#Headers],0)))*(1+Catalogos!$L$2)</f>
        <v>#N/A</v>
      </c>
      <c r="N5344" s="283" t="e">
        <f>+(Tabla4[[#This Row],[Precio Descontado]]-Tabla4[[#This Row],[Precio Base]])*Tabla4[[#This Row],[Cantidad]]</f>
        <v>#N/A</v>
      </c>
      <c r="O5344" s="284" t="e">
        <f>++Tabla4[[#This Row],[Utilidad Total]]/Tabla4[[#This Row],[Total]]</f>
        <v>#N/A</v>
      </c>
      <c r="P5344" s="282">
        <f>++Tabla4[[#This Row],[Precio Descontado]]*Tabla4[[#This Row],[Cantidad]]</f>
        <v>16267.1638128</v>
      </c>
      <c r="Q5344" s="282" t="e">
        <f>(INDEX(Tabla6[#All],MATCH(Tabla4[[#This Row],[Producto]],Tabla6[[#All],[PRODUCTO]],0),MATCH(Tabla4[[#This Row],[Mes]],Tabla6[#Headers],0)))</f>
        <v>#N/A</v>
      </c>
      <c r="R5344" s="282" t="e">
        <f>++Tabla4[[#This Row],[Precio Unitario Neto]]-Tabla4[[#This Row],[20.85%]]-Tabla4[[#This Row],[Costo]]</f>
        <v>#N/A</v>
      </c>
      <c r="S5344" s="282" t="e">
        <f>++Tabla4[[#This Row],[U. Bruta Uni]]*Tabla4[[#This Row],[Cantidad]]</f>
        <v>#N/A</v>
      </c>
      <c r="T5344" s="369" t="str">
        <f>VLOOKUP(Tabla4[[#This Row],[Producto]],Tabla6[#All],14,FALSE)</f>
        <v>Termico Solar</v>
      </c>
      <c r="U5344" s="284" t="e">
        <f>(IF(Tabla4[[#This Row],[Familia]]="termico solar",Tabla4[[#This Row],[Utilidad Total]]*6%,Tabla4[[#This Row],[Utilidad Total]]*11.5%))/Tabla4[[#This Row],[Total]]</f>
        <v>#N/A</v>
      </c>
      <c r="V5344" s="282" t="e">
        <f>+Tabla4[[#This Row],[Comisión Calculada]]*Tabla4[[#This Row],[Total]]</f>
        <v>#N/A</v>
      </c>
    </row>
    <row r="5345" spans="1:22" hidden="1" x14ac:dyDescent="0.25">
      <c r="A5345" s="100">
        <v>45884</v>
      </c>
      <c r="B5345" t="str">
        <f t="shared" si="260"/>
        <v>August</v>
      </c>
      <c r="C5345" s="46" t="s">
        <v>280</v>
      </c>
      <c r="F5345" s="366" t="s">
        <v>2779</v>
      </c>
      <c r="G5345" s="46" t="s">
        <v>17</v>
      </c>
      <c r="H5345" s="46">
        <v>1</v>
      </c>
      <c r="I5345" s="51">
        <v>4622.28</v>
      </c>
      <c r="J5345" s="281">
        <f>++Tabla4[[#This Row],[Precio Bruto]]*1.16</f>
        <v>5361.8447999999989</v>
      </c>
      <c r="K5345" s="281">
        <f>+Tabla4[[#This Row],[Precio Unitario Neto]]*Tabla4[[#Headers],[20.85%]]</f>
        <v>1117.9446407999997</v>
      </c>
      <c r="L5345" s="282">
        <f>++Tabla4[[#This Row],[Precio Unitario Neto]]-Tabla4[[#This Row],[20.85%]]</f>
        <v>4243.9001591999995</v>
      </c>
      <c r="M5345" s="282" t="e">
        <f>(INDEX(Tabla6[#All],MATCH(Tabla4[[#This Row],[Producto]],Tabla6[[#All],[PRODUCTO]],0),MATCH(Tabla4[[#This Row],[Mes]],Tabla6[#Headers],0)))*(1+Catalogos!$L$2)</f>
        <v>#N/A</v>
      </c>
      <c r="N5345" s="283" t="e">
        <f>+(Tabla4[[#This Row],[Precio Descontado]]-Tabla4[[#This Row],[Precio Base]])*Tabla4[[#This Row],[Cantidad]]</f>
        <v>#N/A</v>
      </c>
      <c r="O5345" s="284" t="e">
        <f>++Tabla4[[#This Row],[Utilidad Total]]/Tabla4[[#This Row],[Total]]</f>
        <v>#N/A</v>
      </c>
      <c r="P5345" s="282">
        <f>++Tabla4[[#This Row],[Precio Descontado]]*Tabla4[[#This Row],[Cantidad]]</f>
        <v>4243.9001591999995</v>
      </c>
      <c r="Q5345" s="282" t="e">
        <f>(INDEX(Tabla6[#All],MATCH(Tabla4[[#This Row],[Producto]],Tabla6[[#All],[PRODUCTO]],0),MATCH(Tabla4[[#This Row],[Mes]],Tabla6[#Headers],0)))</f>
        <v>#N/A</v>
      </c>
      <c r="R5345" s="282" t="e">
        <f>++Tabla4[[#This Row],[Precio Unitario Neto]]-Tabla4[[#This Row],[20.85%]]-Tabla4[[#This Row],[Costo]]</f>
        <v>#N/A</v>
      </c>
      <c r="S5345" s="282" t="e">
        <f>++Tabla4[[#This Row],[U. Bruta Uni]]*Tabla4[[#This Row],[Cantidad]]</f>
        <v>#N/A</v>
      </c>
      <c r="T5345" s="369" t="str">
        <f>VLOOKUP(Tabla4[[#This Row],[Producto]],Tabla6[#All],14,FALSE)</f>
        <v>Termico Solar</v>
      </c>
      <c r="U5345" s="284" t="e">
        <f>(IF(Tabla4[[#This Row],[Familia]]="termico solar",Tabla4[[#This Row],[Utilidad Total]]*6%,Tabla4[[#This Row],[Utilidad Total]]*11.5%))/Tabla4[[#This Row],[Total]]</f>
        <v>#N/A</v>
      </c>
      <c r="V5345" s="282" t="e">
        <f>+Tabla4[[#This Row],[Comisión Calculada]]*Tabla4[[#This Row],[Total]]</f>
        <v>#N/A</v>
      </c>
    </row>
    <row r="5346" spans="1:22" hidden="1" x14ac:dyDescent="0.25">
      <c r="A5346" s="100">
        <v>45884</v>
      </c>
      <c r="B5346" t="str">
        <f t="shared" si="260"/>
        <v>August</v>
      </c>
      <c r="C5346" s="46" t="s">
        <v>280</v>
      </c>
      <c r="F5346" s="366" t="s">
        <v>2780</v>
      </c>
      <c r="G5346" s="46" t="s">
        <v>208</v>
      </c>
      <c r="H5346" s="46">
        <v>1</v>
      </c>
      <c r="I5346" s="51">
        <v>189.75</v>
      </c>
      <c r="J5346" s="281">
        <f>++Tabla4[[#This Row],[Precio Bruto]]*1.16</f>
        <v>220.10999999999999</v>
      </c>
      <c r="K5346" s="281">
        <f>+Tabla4[[#This Row],[Precio Unitario Neto]]*Tabla4[[#Headers],[20.85%]]</f>
        <v>45.892934999999994</v>
      </c>
      <c r="L5346" s="282">
        <f>++Tabla4[[#This Row],[Precio Unitario Neto]]-Tabla4[[#This Row],[20.85%]]</f>
        <v>174.21706499999999</v>
      </c>
      <c r="M5346" s="282" t="e">
        <f>(INDEX(Tabla6[#All],MATCH(Tabla4[[#This Row],[Producto]],Tabla6[[#All],[PRODUCTO]],0),MATCH(Tabla4[[#This Row],[Mes]],Tabla6[#Headers],0)))*(1+Catalogos!$L$2)</f>
        <v>#N/A</v>
      </c>
      <c r="N5346" s="283" t="e">
        <f>+(Tabla4[[#This Row],[Precio Descontado]]-Tabla4[[#This Row],[Precio Base]])*Tabla4[[#This Row],[Cantidad]]</f>
        <v>#N/A</v>
      </c>
      <c r="O5346" s="284" t="e">
        <f>++Tabla4[[#This Row],[Utilidad Total]]/Tabla4[[#This Row],[Total]]</f>
        <v>#N/A</v>
      </c>
      <c r="P5346" s="282">
        <f>++Tabla4[[#This Row],[Precio Descontado]]*Tabla4[[#This Row],[Cantidad]]</f>
        <v>174.21706499999999</v>
      </c>
      <c r="Q5346" s="282" t="e">
        <f>(INDEX(Tabla6[#All],MATCH(Tabla4[[#This Row],[Producto]],Tabla6[[#All],[PRODUCTO]],0),MATCH(Tabla4[[#This Row],[Mes]],Tabla6[#Headers],0)))</f>
        <v>#N/A</v>
      </c>
      <c r="R5346" s="282" t="e">
        <f>++Tabla4[[#This Row],[Precio Unitario Neto]]-Tabla4[[#This Row],[20.85%]]-Tabla4[[#This Row],[Costo]]</f>
        <v>#N/A</v>
      </c>
      <c r="S5346" s="282" t="e">
        <f>++Tabla4[[#This Row],[U. Bruta Uni]]*Tabla4[[#This Row],[Cantidad]]</f>
        <v>#N/A</v>
      </c>
      <c r="T5346" s="369" t="str">
        <f>VLOOKUP(Tabla4[[#This Row],[Producto]],Tabla6[#All],14,FALSE)</f>
        <v>Termico Solar</v>
      </c>
      <c r="U5346" s="284" t="e">
        <f>(IF(Tabla4[[#This Row],[Familia]]="termico solar",Tabla4[[#This Row],[Utilidad Total]]*6%,Tabla4[[#This Row],[Utilidad Total]]*11.5%))/Tabla4[[#This Row],[Total]]</f>
        <v>#N/A</v>
      </c>
      <c r="V5346" s="282" t="e">
        <f>+Tabla4[[#This Row],[Comisión Calculada]]*Tabla4[[#This Row],[Total]]</f>
        <v>#N/A</v>
      </c>
    </row>
    <row r="5347" spans="1:22" hidden="1" x14ac:dyDescent="0.25">
      <c r="A5347" s="100">
        <v>45884</v>
      </c>
      <c r="B5347" t="str">
        <f t="shared" si="260"/>
        <v>August</v>
      </c>
      <c r="C5347" s="46" t="s">
        <v>280</v>
      </c>
      <c r="F5347" s="366" t="s">
        <v>2781</v>
      </c>
      <c r="G5347" s="46" t="s">
        <v>17</v>
      </c>
      <c r="H5347" s="46">
        <v>1</v>
      </c>
      <c r="I5347" s="51">
        <v>4622.28</v>
      </c>
      <c r="J5347" s="281">
        <f>++Tabla4[[#This Row],[Precio Bruto]]*1.16</f>
        <v>5361.8447999999989</v>
      </c>
      <c r="K5347" s="281">
        <f>+Tabla4[[#This Row],[Precio Unitario Neto]]*Tabla4[[#Headers],[20.85%]]</f>
        <v>1117.9446407999997</v>
      </c>
      <c r="L5347" s="282">
        <f>++Tabla4[[#This Row],[Precio Unitario Neto]]-Tabla4[[#This Row],[20.85%]]</f>
        <v>4243.9001591999995</v>
      </c>
      <c r="M5347" s="282" t="e">
        <f>(INDEX(Tabla6[#All],MATCH(Tabla4[[#This Row],[Producto]],Tabla6[[#All],[PRODUCTO]],0),MATCH(Tabla4[[#This Row],[Mes]],Tabla6[#Headers],0)))*(1+Catalogos!$L$2)</f>
        <v>#N/A</v>
      </c>
      <c r="N5347" s="283" t="e">
        <f>+(Tabla4[[#This Row],[Precio Descontado]]-Tabla4[[#This Row],[Precio Base]])*Tabla4[[#This Row],[Cantidad]]</f>
        <v>#N/A</v>
      </c>
      <c r="O5347" s="284" t="e">
        <f>++Tabla4[[#This Row],[Utilidad Total]]/Tabla4[[#This Row],[Total]]</f>
        <v>#N/A</v>
      </c>
      <c r="P5347" s="282">
        <f>++Tabla4[[#This Row],[Precio Descontado]]*Tabla4[[#This Row],[Cantidad]]</f>
        <v>4243.9001591999995</v>
      </c>
      <c r="Q5347" s="282" t="e">
        <f>(INDEX(Tabla6[#All],MATCH(Tabla4[[#This Row],[Producto]],Tabla6[[#All],[PRODUCTO]],0),MATCH(Tabla4[[#This Row],[Mes]],Tabla6[#Headers],0)))</f>
        <v>#N/A</v>
      </c>
      <c r="R5347" s="282" t="e">
        <f>++Tabla4[[#This Row],[Precio Unitario Neto]]-Tabla4[[#This Row],[20.85%]]-Tabla4[[#This Row],[Costo]]</f>
        <v>#N/A</v>
      </c>
      <c r="S5347" s="282" t="e">
        <f>++Tabla4[[#This Row],[U. Bruta Uni]]*Tabla4[[#This Row],[Cantidad]]</f>
        <v>#N/A</v>
      </c>
      <c r="T5347" s="369" t="str">
        <f>VLOOKUP(Tabla4[[#This Row],[Producto]],Tabla6[#All],14,FALSE)</f>
        <v>Termico Solar</v>
      </c>
      <c r="U5347" s="284" t="e">
        <f>(IF(Tabla4[[#This Row],[Familia]]="termico solar",Tabla4[[#This Row],[Utilidad Total]]*6%,Tabla4[[#This Row],[Utilidad Total]]*11.5%))/Tabla4[[#This Row],[Total]]</f>
        <v>#N/A</v>
      </c>
      <c r="V5347" s="282" t="e">
        <f>+Tabla4[[#This Row],[Comisión Calculada]]*Tabla4[[#This Row],[Total]]</f>
        <v>#N/A</v>
      </c>
    </row>
    <row r="5348" spans="1:22" hidden="1" x14ac:dyDescent="0.25">
      <c r="A5348" s="100">
        <v>45884</v>
      </c>
      <c r="B5348" t="str">
        <f t="shared" si="260"/>
        <v>August</v>
      </c>
      <c r="C5348" s="46" t="s">
        <v>280</v>
      </c>
      <c r="F5348" s="366" t="s">
        <v>2781</v>
      </c>
      <c r="G5348" s="46" t="s">
        <v>18</v>
      </c>
      <c r="H5348" s="46">
        <v>6</v>
      </c>
      <c r="I5348" s="51">
        <v>5367.6500000000005</v>
      </c>
      <c r="J5348" s="281">
        <f>++Tabla4[[#This Row],[Precio Bruto]]*1.16</f>
        <v>6226.4740000000002</v>
      </c>
      <c r="K5348" s="281">
        <f>+Tabla4[[#This Row],[Precio Unitario Neto]]*Tabla4[[#Headers],[20.85%]]</f>
        <v>1298.2198289999999</v>
      </c>
      <c r="L5348" s="282">
        <f>++Tabla4[[#This Row],[Precio Unitario Neto]]-Tabla4[[#This Row],[20.85%]]</f>
        <v>4928.2541710000005</v>
      </c>
      <c r="M5348" s="282" t="e">
        <f>(INDEX(Tabla6[#All],MATCH(Tabla4[[#This Row],[Producto]],Tabla6[[#All],[PRODUCTO]],0),MATCH(Tabla4[[#This Row],[Mes]],Tabla6[#Headers],0)))*(1+Catalogos!$L$2)</f>
        <v>#N/A</v>
      </c>
      <c r="N5348" s="283" t="e">
        <f>+(Tabla4[[#This Row],[Precio Descontado]]-Tabla4[[#This Row],[Precio Base]])*Tabla4[[#This Row],[Cantidad]]</f>
        <v>#N/A</v>
      </c>
      <c r="O5348" s="284" t="e">
        <f>++Tabla4[[#This Row],[Utilidad Total]]/Tabla4[[#This Row],[Total]]</f>
        <v>#N/A</v>
      </c>
      <c r="P5348" s="282">
        <f>++Tabla4[[#This Row],[Precio Descontado]]*Tabla4[[#This Row],[Cantidad]]</f>
        <v>29569.525026000003</v>
      </c>
      <c r="Q5348" s="282" t="e">
        <f>(INDEX(Tabla6[#All],MATCH(Tabla4[[#This Row],[Producto]],Tabla6[[#All],[PRODUCTO]],0),MATCH(Tabla4[[#This Row],[Mes]],Tabla6[#Headers],0)))</f>
        <v>#N/A</v>
      </c>
      <c r="R5348" s="282" t="e">
        <f>++Tabla4[[#This Row],[Precio Unitario Neto]]-Tabla4[[#This Row],[20.85%]]-Tabla4[[#This Row],[Costo]]</f>
        <v>#N/A</v>
      </c>
      <c r="S5348" s="282" t="e">
        <f>++Tabla4[[#This Row],[U. Bruta Uni]]*Tabla4[[#This Row],[Cantidad]]</f>
        <v>#N/A</v>
      </c>
      <c r="T5348" s="369" t="str">
        <f>VLOOKUP(Tabla4[[#This Row],[Producto]],Tabla6[#All],14,FALSE)</f>
        <v>Termico Solar</v>
      </c>
      <c r="U5348" s="284" t="e">
        <f>(IF(Tabla4[[#This Row],[Familia]]="termico solar",Tabla4[[#This Row],[Utilidad Total]]*6%,Tabla4[[#This Row],[Utilidad Total]]*11.5%))/Tabla4[[#This Row],[Total]]</f>
        <v>#N/A</v>
      </c>
      <c r="V5348" s="282" t="e">
        <f>+Tabla4[[#This Row],[Comisión Calculada]]*Tabla4[[#This Row],[Total]]</f>
        <v>#N/A</v>
      </c>
    </row>
    <row r="5349" spans="1:22" hidden="1" x14ac:dyDescent="0.25">
      <c r="A5349" s="100">
        <v>45884</v>
      </c>
      <c r="B5349" t="str">
        <f t="shared" si="260"/>
        <v>August</v>
      </c>
      <c r="C5349" s="46" t="s">
        <v>280</v>
      </c>
      <c r="F5349" s="366" t="s">
        <v>2781</v>
      </c>
      <c r="G5349" s="46" t="s">
        <v>566</v>
      </c>
      <c r="H5349" s="46">
        <v>4</v>
      </c>
      <c r="I5349" s="51">
        <v>2109.4499999999998</v>
      </c>
      <c r="J5349" s="281">
        <f>++Tabla4[[#This Row],[Precio Bruto]]*1.16</f>
        <v>2446.9619999999995</v>
      </c>
      <c r="K5349" s="281">
        <f>+Tabla4[[#This Row],[Precio Unitario Neto]]*Tabla4[[#Headers],[20.85%]]</f>
        <v>510.19157699999988</v>
      </c>
      <c r="L5349" s="282">
        <f>++Tabla4[[#This Row],[Precio Unitario Neto]]-Tabla4[[#This Row],[20.85%]]</f>
        <v>1936.7704229999997</v>
      </c>
      <c r="M5349" s="282" t="e">
        <f>(INDEX(Tabla6[#All],MATCH(Tabla4[[#This Row],[Producto]],Tabla6[[#All],[PRODUCTO]],0),MATCH(Tabla4[[#This Row],[Mes]],Tabla6[#Headers],0)))*(1+Catalogos!$L$2)</f>
        <v>#N/A</v>
      </c>
      <c r="N5349" s="283" t="e">
        <f>+(Tabla4[[#This Row],[Precio Descontado]]-Tabla4[[#This Row],[Precio Base]])*Tabla4[[#This Row],[Cantidad]]</f>
        <v>#N/A</v>
      </c>
      <c r="O5349" s="284" t="e">
        <f>++Tabla4[[#This Row],[Utilidad Total]]/Tabla4[[#This Row],[Total]]</f>
        <v>#N/A</v>
      </c>
      <c r="P5349" s="282">
        <f>++Tabla4[[#This Row],[Precio Descontado]]*Tabla4[[#This Row],[Cantidad]]</f>
        <v>7747.0816919999988</v>
      </c>
      <c r="Q5349" s="282" t="e">
        <f>(INDEX(Tabla6[#All],MATCH(Tabla4[[#This Row],[Producto]],Tabla6[[#All],[PRODUCTO]],0),MATCH(Tabla4[[#This Row],[Mes]],Tabla6[#Headers],0)))</f>
        <v>#N/A</v>
      </c>
      <c r="R5349" s="282" t="e">
        <f>++Tabla4[[#This Row],[Precio Unitario Neto]]-Tabla4[[#This Row],[20.85%]]-Tabla4[[#This Row],[Costo]]</f>
        <v>#N/A</v>
      </c>
      <c r="S5349" s="282" t="e">
        <f>++Tabla4[[#This Row],[U. Bruta Uni]]*Tabla4[[#This Row],[Cantidad]]</f>
        <v>#N/A</v>
      </c>
      <c r="T5349" s="369" t="str">
        <f>VLOOKUP(Tabla4[[#This Row],[Producto]],Tabla6[#All],14,FALSE)</f>
        <v>Termico Solar</v>
      </c>
      <c r="U5349" s="284" t="e">
        <f>(IF(Tabla4[[#This Row],[Familia]]="termico solar",Tabla4[[#This Row],[Utilidad Total]]*6%,Tabla4[[#This Row],[Utilidad Total]]*11.5%))/Tabla4[[#This Row],[Total]]</f>
        <v>#N/A</v>
      </c>
      <c r="V5349" s="282" t="e">
        <f>+Tabla4[[#This Row],[Comisión Calculada]]*Tabla4[[#This Row],[Total]]</f>
        <v>#N/A</v>
      </c>
    </row>
    <row r="5350" spans="1:22" hidden="1" x14ac:dyDescent="0.25">
      <c r="A5350" s="100">
        <v>45884</v>
      </c>
      <c r="B5350" t="str">
        <f t="shared" si="260"/>
        <v>August</v>
      </c>
      <c r="C5350" s="46" t="s">
        <v>280</v>
      </c>
      <c r="F5350" s="366" t="s">
        <v>2782</v>
      </c>
      <c r="G5350" s="46" t="s">
        <v>83</v>
      </c>
      <c r="H5350" s="46">
        <v>7</v>
      </c>
      <c r="I5350" s="51">
        <v>8858.76</v>
      </c>
      <c r="J5350" s="281">
        <f>++Tabla4[[#This Row],[Precio Bruto]]*1.16</f>
        <v>10276.161599999999</v>
      </c>
      <c r="K5350" s="281">
        <f>+Tabla4[[#This Row],[Precio Unitario Neto]]*Tabla4[[#Headers],[20.85%]]</f>
        <v>2142.5796935999997</v>
      </c>
      <c r="L5350" s="282">
        <f>++Tabla4[[#This Row],[Precio Unitario Neto]]-Tabla4[[#This Row],[20.85%]]</f>
        <v>8133.5819063999998</v>
      </c>
      <c r="M5350" s="282" t="e">
        <f>(INDEX(Tabla6[#All],MATCH(Tabla4[[#This Row],[Producto]],Tabla6[[#All],[PRODUCTO]],0),MATCH(Tabla4[[#This Row],[Mes]],Tabla6[#Headers],0)))*(1+Catalogos!$L$2)</f>
        <v>#N/A</v>
      </c>
      <c r="N5350" s="283" t="e">
        <f>+(Tabla4[[#This Row],[Precio Descontado]]-Tabla4[[#This Row],[Precio Base]])*Tabla4[[#This Row],[Cantidad]]</f>
        <v>#N/A</v>
      </c>
      <c r="O5350" s="284" t="e">
        <f>++Tabla4[[#This Row],[Utilidad Total]]/Tabla4[[#This Row],[Total]]</f>
        <v>#N/A</v>
      </c>
      <c r="P5350" s="282">
        <f>++Tabla4[[#This Row],[Precio Descontado]]*Tabla4[[#This Row],[Cantidad]]</f>
        <v>56935.073344799996</v>
      </c>
      <c r="Q5350" s="282" t="e">
        <f>(INDEX(Tabla6[#All],MATCH(Tabla4[[#This Row],[Producto]],Tabla6[[#All],[PRODUCTO]],0),MATCH(Tabla4[[#This Row],[Mes]],Tabla6[#Headers],0)))</f>
        <v>#N/A</v>
      </c>
      <c r="R5350" s="282" t="e">
        <f>++Tabla4[[#This Row],[Precio Unitario Neto]]-Tabla4[[#This Row],[20.85%]]-Tabla4[[#This Row],[Costo]]</f>
        <v>#N/A</v>
      </c>
      <c r="S5350" s="282" t="e">
        <f>++Tabla4[[#This Row],[U. Bruta Uni]]*Tabla4[[#This Row],[Cantidad]]</f>
        <v>#N/A</v>
      </c>
      <c r="T5350" s="369" t="str">
        <f>VLOOKUP(Tabla4[[#This Row],[Producto]],Tabla6[#All],14,FALSE)</f>
        <v>Termico Solar</v>
      </c>
      <c r="U5350" s="284" t="e">
        <f>(IF(Tabla4[[#This Row],[Familia]]="termico solar",Tabla4[[#This Row],[Utilidad Total]]*6%,Tabla4[[#This Row],[Utilidad Total]]*11.5%))/Tabla4[[#This Row],[Total]]</f>
        <v>#N/A</v>
      </c>
      <c r="V5350" s="282" t="e">
        <f>+Tabla4[[#This Row],[Comisión Calculada]]*Tabla4[[#This Row],[Total]]</f>
        <v>#N/A</v>
      </c>
    </row>
    <row r="5351" spans="1:22" hidden="1" x14ac:dyDescent="0.25">
      <c r="A5351" s="100">
        <v>45884</v>
      </c>
      <c r="B5351" t="str">
        <f t="shared" si="260"/>
        <v>August</v>
      </c>
      <c r="C5351" s="46" t="s">
        <v>280</v>
      </c>
      <c r="F5351" s="366" t="s">
        <v>2783</v>
      </c>
      <c r="G5351" s="46" t="s">
        <v>18</v>
      </c>
      <c r="H5351" s="46">
        <v>3</v>
      </c>
      <c r="I5351" s="51">
        <v>5367.6500000000005</v>
      </c>
      <c r="J5351" s="281">
        <f>++Tabla4[[#This Row],[Precio Bruto]]*1.16</f>
        <v>6226.4740000000002</v>
      </c>
      <c r="K5351" s="281">
        <f>+Tabla4[[#This Row],[Precio Unitario Neto]]*Tabla4[[#Headers],[20.85%]]</f>
        <v>1298.2198289999999</v>
      </c>
      <c r="L5351" s="282">
        <f>++Tabla4[[#This Row],[Precio Unitario Neto]]-Tabla4[[#This Row],[20.85%]]</f>
        <v>4928.2541710000005</v>
      </c>
      <c r="M5351" s="282" t="e">
        <f>(INDEX(Tabla6[#All],MATCH(Tabla4[[#This Row],[Producto]],Tabla6[[#All],[PRODUCTO]],0),MATCH(Tabla4[[#This Row],[Mes]],Tabla6[#Headers],0)))*(1+Catalogos!$L$2)</f>
        <v>#N/A</v>
      </c>
      <c r="N5351" s="283" t="e">
        <f>+(Tabla4[[#This Row],[Precio Descontado]]-Tabla4[[#This Row],[Precio Base]])*Tabla4[[#This Row],[Cantidad]]</f>
        <v>#N/A</v>
      </c>
      <c r="O5351" s="284" t="e">
        <f>++Tabla4[[#This Row],[Utilidad Total]]/Tabla4[[#This Row],[Total]]</f>
        <v>#N/A</v>
      </c>
      <c r="P5351" s="282">
        <f>++Tabla4[[#This Row],[Precio Descontado]]*Tabla4[[#This Row],[Cantidad]]</f>
        <v>14784.762513000001</v>
      </c>
      <c r="Q5351" s="282" t="e">
        <f>(INDEX(Tabla6[#All],MATCH(Tabla4[[#This Row],[Producto]],Tabla6[[#All],[PRODUCTO]],0),MATCH(Tabla4[[#This Row],[Mes]],Tabla6[#Headers],0)))</f>
        <v>#N/A</v>
      </c>
      <c r="R5351" s="282" t="e">
        <f>++Tabla4[[#This Row],[Precio Unitario Neto]]-Tabla4[[#This Row],[20.85%]]-Tabla4[[#This Row],[Costo]]</f>
        <v>#N/A</v>
      </c>
      <c r="S5351" s="282" t="e">
        <f>++Tabla4[[#This Row],[U. Bruta Uni]]*Tabla4[[#This Row],[Cantidad]]</f>
        <v>#N/A</v>
      </c>
      <c r="T5351" s="369" t="str">
        <f>VLOOKUP(Tabla4[[#This Row],[Producto]],Tabla6[#All],14,FALSE)</f>
        <v>Termico Solar</v>
      </c>
      <c r="U5351" s="284" t="e">
        <f>(IF(Tabla4[[#This Row],[Familia]]="termico solar",Tabla4[[#This Row],[Utilidad Total]]*6%,Tabla4[[#This Row],[Utilidad Total]]*11.5%))/Tabla4[[#This Row],[Total]]</f>
        <v>#N/A</v>
      </c>
      <c r="V5351" s="282" t="e">
        <f>+Tabla4[[#This Row],[Comisión Calculada]]*Tabla4[[#This Row],[Total]]</f>
        <v>#N/A</v>
      </c>
    </row>
    <row r="5352" spans="1:22" hidden="1" x14ac:dyDescent="0.25">
      <c r="A5352" s="100">
        <v>45884</v>
      </c>
      <c r="B5352" t="str">
        <f t="shared" si="260"/>
        <v>August</v>
      </c>
      <c r="C5352" s="46" t="s">
        <v>280</v>
      </c>
      <c r="F5352" s="366" t="s">
        <v>2784</v>
      </c>
      <c r="G5352" s="46" t="s">
        <v>17</v>
      </c>
      <c r="H5352" s="46">
        <v>5</v>
      </c>
      <c r="I5352" s="51">
        <v>4622.2800000000007</v>
      </c>
      <c r="J5352" s="281">
        <f>++Tabla4[[#This Row],[Precio Bruto]]*1.16</f>
        <v>5361.8448000000008</v>
      </c>
      <c r="K5352" s="281">
        <f>+Tabla4[[#This Row],[Precio Unitario Neto]]*Tabla4[[#Headers],[20.85%]]</f>
        <v>1117.9446408000001</v>
      </c>
      <c r="L5352" s="282">
        <f>++Tabla4[[#This Row],[Precio Unitario Neto]]-Tabla4[[#This Row],[20.85%]]</f>
        <v>4243.9001592000004</v>
      </c>
      <c r="M5352" s="282" t="e">
        <f>(INDEX(Tabla6[#All],MATCH(Tabla4[[#This Row],[Producto]],Tabla6[[#All],[PRODUCTO]],0),MATCH(Tabla4[[#This Row],[Mes]],Tabla6[#Headers],0)))*(1+Catalogos!$L$2)</f>
        <v>#N/A</v>
      </c>
      <c r="N5352" s="283" t="e">
        <f>+(Tabla4[[#This Row],[Precio Descontado]]-Tabla4[[#This Row],[Precio Base]])*Tabla4[[#This Row],[Cantidad]]</f>
        <v>#N/A</v>
      </c>
      <c r="O5352" s="284" t="e">
        <f>++Tabla4[[#This Row],[Utilidad Total]]/Tabla4[[#This Row],[Total]]</f>
        <v>#N/A</v>
      </c>
      <c r="P5352" s="282">
        <f>++Tabla4[[#This Row],[Precio Descontado]]*Tabla4[[#This Row],[Cantidad]]</f>
        <v>21219.500796</v>
      </c>
      <c r="Q5352" s="282" t="e">
        <f>(INDEX(Tabla6[#All],MATCH(Tabla4[[#This Row],[Producto]],Tabla6[[#All],[PRODUCTO]],0),MATCH(Tabla4[[#This Row],[Mes]],Tabla6[#Headers],0)))</f>
        <v>#N/A</v>
      </c>
      <c r="R5352" s="282" t="e">
        <f>++Tabla4[[#This Row],[Precio Unitario Neto]]-Tabla4[[#This Row],[20.85%]]-Tabla4[[#This Row],[Costo]]</f>
        <v>#N/A</v>
      </c>
      <c r="S5352" s="282" t="e">
        <f>++Tabla4[[#This Row],[U. Bruta Uni]]*Tabla4[[#This Row],[Cantidad]]</f>
        <v>#N/A</v>
      </c>
      <c r="T5352" s="369" t="str">
        <f>VLOOKUP(Tabla4[[#This Row],[Producto]],Tabla6[#All],14,FALSE)</f>
        <v>Termico Solar</v>
      </c>
      <c r="U5352" s="284" t="e">
        <f>(IF(Tabla4[[#This Row],[Familia]]="termico solar",Tabla4[[#This Row],[Utilidad Total]]*6%,Tabla4[[#This Row],[Utilidad Total]]*11.5%))/Tabla4[[#This Row],[Total]]</f>
        <v>#N/A</v>
      </c>
      <c r="V5352" s="282" t="e">
        <f>+Tabla4[[#This Row],[Comisión Calculada]]*Tabla4[[#This Row],[Total]]</f>
        <v>#N/A</v>
      </c>
    </row>
    <row r="5353" spans="1:22" hidden="1" x14ac:dyDescent="0.25">
      <c r="A5353" s="100">
        <v>45884</v>
      </c>
      <c r="B5353" t="str">
        <f t="shared" si="260"/>
        <v>August</v>
      </c>
      <c r="C5353" s="46" t="s">
        <v>280</v>
      </c>
      <c r="F5353" s="366" t="s">
        <v>2784</v>
      </c>
      <c r="G5353" s="46" t="s">
        <v>566</v>
      </c>
      <c r="H5353" s="46">
        <v>1</v>
      </c>
      <c r="I5353" s="51">
        <v>2109.4499999999998</v>
      </c>
      <c r="J5353" s="281">
        <f>++Tabla4[[#This Row],[Precio Bruto]]*1.16</f>
        <v>2446.9619999999995</v>
      </c>
      <c r="K5353" s="281">
        <f>+Tabla4[[#This Row],[Precio Unitario Neto]]*Tabla4[[#Headers],[20.85%]]</f>
        <v>510.19157699999988</v>
      </c>
      <c r="L5353" s="282">
        <f>++Tabla4[[#This Row],[Precio Unitario Neto]]-Tabla4[[#This Row],[20.85%]]</f>
        <v>1936.7704229999997</v>
      </c>
      <c r="M5353" s="282" t="e">
        <f>(INDEX(Tabla6[#All],MATCH(Tabla4[[#This Row],[Producto]],Tabla6[[#All],[PRODUCTO]],0),MATCH(Tabla4[[#This Row],[Mes]],Tabla6[#Headers],0)))*(1+Catalogos!$L$2)</f>
        <v>#N/A</v>
      </c>
      <c r="N5353" s="283" t="e">
        <f>+(Tabla4[[#This Row],[Precio Descontado]]-Tabla4[[#This Row],[Precio Base]])*Tabla4[[#This Row],[Cantidad]]</f>
        <v>#N/A</v>
      </c>
      <c r="O5353" s="284" t="e">
        <f>++Tabla4[[#This Row],[Utilidad Total]]/Tabla4[[#This Row],[Total]]</f>
        <v>#N/A</v>
      </c>
      <c r="P5353" s="282">
        <f>++Tabla4[[#This Row],[Precio Descontado]]*Tabla4[[#This Row],[Cantidad]]</f>
        <v>1936.7704229999997</v>
      </c>
      <c r="Q5353" s="282" t="e">
        <f>(INDEX(Tabla6[#All],MATCH(Tabla4[[#This Row],[Producto]],Tabla6[[#All],[PRODUCTO]],0),MATCH(Tabla4[[#This Row],[Mes]],Tabla6[#Headers],0)))</f>
        <v>#N/A</v>
      </c>
      <c r="R5353" s="282" t="e">
        <f>++Tabla4[[#This Row],[Precio Unitario Neto]]-Tabla4[[#This Row],[20.85%]]-Tabla4[[#This Row],[Costo]]</f>
        <v>#N/A</v>
      </c>
      <c r="S5353" s="282" t="e">
        <f>++Tabla4[[#This Row],[U. Bruta Uni]]*Tabla4[[#This Row],[Cantidad]]</f>
        <v>#N/A</v>
      </c>
      <c r="T5353" s="369" t="str">
        <f>VLOOKUP(Tabla4[[#This Row],[Producto]],Tabla6[#All],14,FALSE)</f>
        <v>Termico Solar</v>
      </c>
      <c r="U5353" s="284" t="e">
        <f>(IF(Tabla4[[#This Row],[Familia]]="termico solar",Tabla4[[#This Row],[Utilidad Total]]*6%,Tabla4[[#This Row],[Utilidad Total]]*11.5%))/Tabla4[[#This Row],[Total]]</f>
        <v>#N/A</v>
      </c>
      <c r="V5353" s="282" t="e">
        <f>+Tabla4[[#This Row],[Comisión Calculada]]*Tabla4[[#This Row],[Total]]</f>
        <v>#N/A</v>
      </c>
    </row>
    <row r="5354" spans="1:22" hidden="1" x14ac:dyDescent="0.25">
      <c r="A5354" s="100">
        <v>45884</v>
      </c>
      <c r="B5354" t="str">
        <f t="shared" si="260"/>
        <v>August</v>
      </c>
      <c r="C5354" s="46" t="s">
        <v>280</v>
      </c>
      <c r="F5354" s="366" t="s">
        <v>2785</v>
      </c>
      <c r="G5354" s="46" t="s">
        <v>83</v>
      </c>
      <c r="H5354" s="46">
        <v>4</v>
      </c>
      <c r="I5354" s="51">
        <v>8858.76</v>
      </c>
      <c r="J5354" s="281">
        <f>++Tabla4[[#This Row],[Precio Bruto]]*1.16</f>
        <v>10276.161599999999</v>
      </c>
      <c r="K5354" s="281">
        <f>+Tabla4[[#This Row],[Precio Unitario Neto]]*Tabla4[[#Headers],[20.85%]]</f>
        <v>2142.5796935999997</v>
      </c>
      <c r="L5354" s="282">
        <f>++Tabla4[[#This Row],[Precio Unitario Neto]]-Tabla4[[#This Row],[20.85%]]</f>
        <v>8133.5819063999998</v>
      </c>
      <c r="M5354" s="282" t="e">
        <f>(INDEX(Tabla6[#All],MATCH(Tabla4[[#This Row],[Producto]],Tabla6[[#All],[PRODUCTO]],0),MATCH(Tabla4[[#This Row],[Mes]],Tabla6[#Headers],0)))*(1+Catalogos!$L$2)</f>
        <v>#N/A</v>
      </c>
      <c r="N5354" s="283" t="e">
        <f>+(Tabla4[[#This Row],[Precio Descontado]]-Tabla4[[#This Row],[Precio Base]])*Tabla4[[#This Row],[Cantidad]]</f>
        <v>#N/A</v>
      </c>
      <c r="O5354" s="284" t="e">
        <f>++Tabla4[[#This Row],[Utilidad Total]]/Tabla4[[#This Row],[Total]]</f>
        <v>#N/A</v>
      </c>
      <c r="P5354" s="282">
        <f>++Tabla4[[#This Row],[Precio Descontado]]*Tabla4[[#This Row],[Cantidad]]</f>
        <v>32534.327625599999</v>
      </c>
      <c r="Q5354" s="282" t="e">
        <f>(INDEX(Tabla6[#All],MATCH(Tabla4[[#This Row],[Producto]],Tabla6[[#All],[PRODUCTO]],0),MATCH(Tabla4[[#This Row],[Mes]],Tabla6[#Headers],0)))</f>
        <v>#N/A</v>
      </c>
      <c r="R5354" s="282" t="e">
        <f>++Tabla4[[#This Row],[Precio Unitario Neto]]-Tabla4[[#This Row],[20.85%]]-Tabla4[[#This Row],[Costo]]</f>
        <v>#N/A</v>
      </c>
      <c r="S5354" s="282" t="e">
        <f>++Tabla4[[#This Row],[U. Bruta Uni]]*Tabla4[[#This Row],[Cantidad]]</f>
        <v>#N/A</v>
      </c>
      <c r="T5354" s="369" t="str">
        <f>VLOOKUP(Tabla4[[#This Row],[Producto]],Tabla6[#All],14,FALSE)</f>
        <v>Termico Solar</v>
      </c>
      <c r="U5354" s="284" t="e">
        <f>(IF(Tabla4[[#This Row],[Familia]]="termico solar",Tabla4[[#This Row],[Utilidad Total]]*6%,Tabla4[[#This Row],[Utilidad Total]]*11.5%))/Tabla4[[#This Row],[Total]]</f>
        <v>#N/A</v>
      </c>
      <c r="V5354" s="282" t="e">
        <f>+Tabla4[[#This Row],[Comisión Calculada]]*Tabla4[[#This Row],[Total]]</f>
        <v>#N/A</v>
      </c>
    </row>
    <row r="5355" spans="1:22" hidden="1" x14ac:dyDescent="0.25">
      <c r="A5355" s="100">
        <v>45884</v>
      </c>
      <c r="B5355" t="str">
        <f t="shared" si="260"/>
        <v>August</v>
      </c>
      <c r="C5355" s="46" t="s">
        <v>280</v>
      </c>
      <c r="F5355" s="366" t="s">
        <v>2785</v>
      </c>
      <c r="G5355" s="46" t="s">
        <v>17</v>
      </c>
      <c r="H5355" s="46">
        <v>1</v>
      </c>
      <c r="I5355" s="51">
        <v>4622.28</v>
      </c>
      <c r="J5355" s="281">
        <f>++Tabla4[[#This Row],[Precio Bruto]]*1.16</f>
        <v>5361.8447999999989</v>
      </c>
      <c r="K5355" s="281">
        <f>+Tabla4[[#This Row],[Precio Unitario Neto]]*Tabla4[[#Headers],[20.85%]]</f>
        <v>1117.9446407999997</v>
      </c>
      <c r="L5355" s="282">
        <f>++Tabla4[[#This Row],[Precio Unitario Neto]]-Tabla4[[#This Row],[20.85%]]</f>
        <v>4243.9001591999995</v>
      </c>
      <c r="M5355" s="282" t="e">
        <f>(INDEX(Tabla6[#All],MATCH(Tabla4[[#This Row],[Producto]],Tabla6[[#All],[PRODUCTO]],0),MATCH(Tabla4[[#This Row],[Mes]],Tabla6[#Headers],0)))*(1+Catalogos!$L$2)</f>
        <v>#N/A</v>
      </c>
      <c r="N5355" s="283" t="e">
        <f>+(Tabla4[[#This Row],[Precio Descontado]]-Tabla4[[#This Row],[Precio Base]])*Tabla4[[#This Row],[Cantidad]]</f>
        <v>#N/A</v>
      </c>
      <c r="O5355" s="284" t="e">
        <f>++Tabla4[[#This Row],[Utilidad Total]]/Tabla4[[#This Row],[Total]]</f>
        <v>#N/A</v>
      </c>
      <c r="P5355" s="282">
        <f>++Tabla4[[#This Row],[Precio Descontado]]*Tabla4[[#This Row],[Cantidad]]</f>
        <v>4243.9001591999995</v>
      </c>
      <c r="Q5355" s="282" t="e">
        <f>(INDEX(Tabla6[#All],MATCH(Tabla4[[#This Row],[Producto]],Tabla6[[#All],[PRODUCTO]],0),MATCH(Tabla4[[#This Row],[Mes]],Tabla6[#Headers],0)))</f>
        <v>#N/A</v>
      </c>
      <c r="R5355" s="282" t="e">
        <f>++Tabla4[[#This Row],[Precio Unitario Neto]]-Tabla4[[#This Row],[20.85%]]-Tabla4[[#This Row],[Costo]]</f>
        <v>#N/A</v>
      </c>
      <c r="S5355" s="282" t="e">
        <f>++Tabla4[[#This Row],[U. Bruta Uni]]*Tabla4[[#This Row],[Cantidad]]</f>
        <v>#N/A</v>
      </c>
      <c r="T5355" s="369" t="str">
        <f>VLOOKUP(Tabla4[[#This Row],[Producto]],Tabla6[#All],14,FALSE)</f>
        <v>Termico Solar</v>
      </c>
      <c r="U5355" s="284" t="e">
        <f>(IF(Tabla4[[#This Row],[Familia]]="termico solar",Tabla4[[#This Row],[Utilidad Total]]*6%,Tabla4[[#This Row],[Utilidad Total]]*11.5%))/Tabla4[[#This Row],[Total]]</f>
        <v>#N/A</v>
      </c>
      <c r="V5355" s="282" t="e">
        <f>+Tabla4[[#This Row],[Comisión Calculada]]*Tabla4[[#This Row],[Total]]</f>
        <v>#N/A</v>
      </c>
    </row>
    <row r="5356" spans="1:22" hidden="1" x14ac:dyDescent="0.25">
      <c r="A5356" s="100">
        <v>45884</v>
      </c>
      <c r="B5356" t="str">
        <f t="shared" si="260"/>
        <v>August</v>
      </c>
      <c r="C5356" s="46" t="s">
        <v>280</v>
      </c>
      <c r="F5356" s="366" t="s">
        <v>2785</v>
      </c>
      <c r="G5356" s="46" t="s">
        <v>412</v>
      </c>
      <c r="H5356" s="46">
        <v>1</v>
      </c>
      <c r="I5356" s="51">
        <v>3240.84</v>
      </c>
      <c r="J5356" s="281">
        <f>++Tabla4[[#This Row],[Precio Bruto]]*1.16</f>
        <v>3759.3743999999997</v>
      </c>
      <c r="K5356" s="281">
        <f>+Tabla4[[#This Row],[Precio Unitario Neto]]*Tabla4[[#Headers],[20.85%]]</f>
        <v>783.82956239999987</v>
      </c>
      <c r="L5356" s="282">
        <f>++Tabla4[[#This Row],[Precio Unitario Neto]]-Tabla4[[#This Row],[20.85%]]</f>
        <v>2975.5448375999999</v>
      </c>
      <c r="M5356" s="282" t="e">
        <f>(INDEX(Tabla6[#All],MATCH(Tabla4[[#This Row],[Producto]],Tabla6[[#All],[PRODUCTO]],0),MATCH(Tabla4[[#This Row],[Mes]],Tabla6[#Headers],0)))*(1+Catalogos!$L$2)</f>
        <v>#N/A</v>
      </c>
      <c r="N5356" s="283" t="e">
        <f>+(Tabla4[[#This Row],[Precio Descontado]]-Tabla4[[#This Row],[Precio Base]])*Tabla4[[#This Row],[Cantidad]]</f>
        <v>#N/A</v>
      </c>
      <c r="O5356" s="284" t="e">
        <f>++Tabla4[[#This Row],[Utilidad Total]]/Tabla4[[#This Row],[Total]]</f>
        <v>#N/A</v>
      </c>
      <c r="P5356" s="282">
        <f>++Tabla4[[#This Row],[Precio Descontado]]*Tabla4[[#This Row],[Cantidad]]</f>
        <v>2975.5448375999999</v>
      </c>
      <c r="Q5356" s="282" t="e">
        <f>(INDEX(Tabla6[#All],MATCH(Tabla4[[#This Row],[Producto]],Tabla6[[#All],[PRODUCTO]],0),MATCH(Tabla4[[#This Row],[Mes]],Tabla6[#Headers],0)))</f>
        <v>#N/A</v>
      </c>
      <c r="R5356" s="282" t="e">
        <f>++Tabla4[[#This Row],[Precio Unitario Neto]]-Tabla4[[#This Row],[20.85%]]-Tabla4[[#This Row],[Costo]]</f>
        <v>#N/A</v>
      </c>
      <c r="S5356" s="282" t="e">
        <f>++Tabla4[[#This Row],[U. Bruta Uni]]*Tabla4[[#This Row],[Cantidad]]</f>
        <v>#N/A</v>
      </c>
      <c r="T5356" s="369" t="str">
        <f>VLOOKUP(Tabla4[[#This Row],[Producto]],Tabla6[#All],14,FALSE)</f>
        <v>Termico Solar</v>
      </c>
      <c r="U5356" s="284" t="e">
        <f>(IF(Tabla4[[#This Row],[Familia]]="termico solar",Tabla4[[#This Row],[Utilidad Total]]*6%,Tabla4[[#This Row],[Utilidad Total]]*11.5%))/Tabla4[[#This Row],[Total]]</f>
        <v>#N/A</v>
      </c>
      <c r="V5356" s="282" t="e">
        <f>+Tabla4[[#This Row],[Comisión Calculada]]*Tabla4[[#This Row],[Total]]</f>
        <v>#N/A</v>
      </c>
    </row>
    <row r="5357" spans="1:22" hidden="1" x14ac:dyDescent="0.25">
      <c r="A5357" s="100">
        <v>45884</v>
      </c>
      <c r="B5357" t="str">
        <f t="shared" si="260"/>
        <v>August</v>
      </c>
      <c r="C5357" s="46" t="s">
        <v>280</v>
      </c>
      <c r="F5357" s="366" t="s">
        <v>2785</v>
      </c>
      <c r="G5357" s="46" t="s">
        <v>16</v>
      </c>
      <c r="H5357" s="46">
        <v>1</v>
      </c>
      <c r="I5357" s="51">
        <v>4103.8500000000004</v>
      </c>
      <c r="J5357" s="281">
        <f>++Tabla4[[#This Row],[Precio Bruto]]*1.16</f>
        <v>4760.4660000000003</v>
      </c>
      <c r="K5357" s="281">
        <f>+Tabla4[[#This Row],[Precio Unitario Neto]]*Tabla4[[#Headers],[20.85%]]</f>
        <v>992.55716100000006</v>
      </c>
      <c r="L5357" s="282">
        <f>++Tabla4[[#This Row],[Precio Unitario Neto]]-Tabla4[[#This Row],[20.85%]]</f>
        <v>3767.9088390000002</v>
      </c>
      <c r="M5357" s="282" t="e">
        <f>(INDEX(Tabla6[#All],MATCH(Tabla4[[#This Row],[Producto]],Tabla6[[#All],[PRODUCTO]],0),MATCH(Tabla4[[#This Row],[Mes]],Tabla6[#Headers],0)))*(1+Catalogos!$L$2)</f>
        <v>#N/A</v>
      </c>
      <c r="N5357" s="283" t="e">
        <f>+(Tabla4[[#This Row],[Precio Descontado]]-Tabla4[[#This Row],[Precio Base]])*Tabla4[[#This Row],[Cantidad]]</f>
        <v>#N/A</v>
      </c>
      <c r="O5357" s="284" t="e">
        <f>++Tabla4[[#This Row],[Utilidad Total]]/Tabla4[[#This Row],[Total]]</f>
        <v>#N/A</v>
      </c>
      <c r="P5357" s="282">
        <f>++Tabla4[[#This Row],[Precio Descontado]]*Tabla4[[#This Row],[Cantidad]]</f>
        <v>3767.9088390000002</v>
      </c>
      <c r="Q5357" s="282" t="e">
        <f>(INDEX(Tabla6[#All],MATCH(Tabla4[[#This Row],[Producto]],Tabla6[[#All],[PRODUCTO]],0),MATCH(Tabla4[[#This Row],[Mes]],Tabla6[#Headers],0)))</f>
        <v>#N/A</v>
      </c>
      <c r="R5357" s="282" t="e">
        <f>++Tabla4[[#This Row],[Precio Unitario Neto]]-Tabla4[[#This Row],[20.85%]]-Tabla4[[#This Row],[Costo]]</f>
        <v>#N/A</v>
      </c>
      <c r="S5357" s="282" t="e">
        <f>++Tabla4[[#This Row],[U. Bruta Uni]]*Tabla4[[#This Row],[Cantidad]]</f>
        <v>#N/A</v>
      </c>
      <c r="T5357" s="369" t="str">
        <f>VLOOKUP(Tabla4[[#This Row],[Producto]],Tabla6[#All],14,FALSE)</f>
        <v>Termico Solar</v>
      </c>
      <c r="U5357" s="284" t="e">
        <f>(IF(Tabla4[[#This Row],[Familia]]="termico solar",Tabla4[[#This Row],[Utilidad Total]]*6%,Tabla4[[#This Row],[Utilidad Total]]*11.5%))/Tabla4[[#This Row],[Total]]</f>
        <v>#N/A</v>
      </c>
      <c r="V5357" s="282" t="e">
        <f>+Tabla4[[#This Row],[Comisión Calculada]]*Tabla4[[#This Row],[Total]]</f>
        <v>#N/A</v>
      </c>
    </row>
    <row r="5358" spans="1:22" hidden="1" x14ac:dyDescent="0.25">
      <c r="A5358" s="100">
        <v>45884</v>
      </c>
      <c r="B5358" t="str">
        <f t="shared" si="260"/>
        <v>August</v>
      </c>
      <c r="C5358" s="46" t="s">
        <v>280</v>
      </c>
      <c r="F5358" s="366" t="s">
        <v>2785</v>
      </c>
      <c r="G5358" s="46" t="s">
        <v>208</v>
      </c>
      <c r="H5358" s="46">
        <v>1</v>
      </c>
      <c r="I5358" s="51">
        <v>189.75</v>
      </c>
      <c r="J5358" s="281">
        <f>++Tabla4[[#This Row],[Precio Bruto]]*1.16</f>
        <v>220.10999999999999</v>
      </c>
      <c r="K5358" s="281">
        <f>+Tabla4[[#This Row],[Precio Unitario Neto]]*Tabla4[[#Headers],[20.85%]]</f>
        <v>45.892934999999994</v>
      </c>
      <c r="L5358" s="282">
        <f>++Tabla4[[#This Row],[Precio Unitario Neto]]-Tabla4[[#This Row],[20.85%]]</f>
        <v>174.21706499999999</v>
      </c>
      <c r="M5358" s="282" t="e">
        <f>(INDEX(Tabla6[#All],MATCH(Tabla4[[#This Row],[Producto]],Tabla6[[#All],[PRODUCTO]],0),MATCH(Tabla4[[#This Row],[Mes]],Tabla6[#Headers],0)))*(1+Catalogos!$L$2)</f>
        <v>#N/A</v>
      </c>
      <c r="N5358" s="283" t="e">
        <f>+(Tabla4[[#This Row],[Precio Descontado]]-Tabla4[[#This Row],[Precio Base]])*Tabla4[[#This Row],[Cantidad]]</f>
        <v>#N/A</v>
      </c>
      <c r="O5358" s="284" t="e">
        <f>++Tabla4[[#This Row],[Utilidad Total]]/Tabla4[[#This Row],[Total]]</f>
        <v>#N/A</v>
      </c>
      <c r="P5358" s="282">
        <f>++Tabla4[[#This Row],[Precio Descontado]]*Tabla4[[#This Row],[Cantidad]]</f>
        <v>174.21706499999999</v>
      </c>
      <c r="Q5358" s="282" t="e">
        <f>(INDEX(Tabla6[#All],MATCH(Tabla4[[#This Row],[Producto]],Tabla6[[#All],[PRODUCTO]],0),MATCH(Tabla4[[#This Row],[Mes]],Tabla6[#Headers],0)))</f>
        <v>#N/A</v>
      </c>
      <c r="R5358" s="282" t="e">
        <f>++Tabla4[[#This Row],[Precio Unitario Neto]]-Tabla4[[#This Row],[20.85%]]-Tabla4[[#This Row],[Costo]]</f>
        <v>#N/A</v>
      </c>
      <c r="S5358" s="282" t="e">
        <f>++Tabla4[[#This Row],[U. Bruta Uni]]*Tabla4[[#This Row],[Cantidad]]</f>
        <v>#N/A</v>
      </c>
      <c r="T5358" s="369" t="str">
        <f>VLOOKUP(Tabla4[[#This Row],[Producto]],Tabla6[#All],14,FALSE)</f>
        <v>Termico Solar</v>
      </c>
      <c r="U5358" s="284" t="e">
        <f>(IF(Tabla4[[#This Row],[Familia]]="termico solar",Tabla4[[#This Row],[Utilidad Total]]*6%,Tabla4[[#This Row],[Utilidad Total]]*11.5%))/Tabla4[[#This Row],[Total]]</f>
        <v>#N/A</v>
      </c>
      <c r="V5358" s="282" t="e">
        <f>+Tabla4[[#This Row],[Comisión Calculada]]*Tabla4[[#This Row],[Total]]</f>
        <v>#N/A</v>
      </c>
    </row>
    <row r="5359" spans="1:22" hidden="1" x14ac:dyDescent="0.25">
      <c r="A5359" s="100">
        <v>45884</v>
      </c>
      <c r="B5359" t="str">
        <f t="shared" si="260"/>
        <v>August</v>
      </c>
      <c r="C5359" s="46" t="s">
        <v>280</v>
      </c>
      <c r="F5359" s="366" t="s">
        <v>2786</v>
      </c>
      <c r="G5359" s="46" t="s">
        <v>83</v>
      </c>
      <c r="H5359" s="46">
        <v>2</v>
      </c>
      <c r="I5359" s="51">
        <v>8858.76</v>
      </c>
      <c r="J5359" s="281">
        <f>++Tabla4[[#This Row],[Precio Bruto]]*1.16</f>
        <v>10276.161599999999</v>
      </c>
      <c r="K5359" s="281">
        <f>+Tabla4[[#This Row],[Precio Unitario Neto]]*Tabla4[[#Headers],[20.85%]]</f>
        <v>2142.5796935999997</v>
      </c>
      <c r="L5359" s="282">
        <f>++Tabla4[[#This Row],[Precio Unitario Neto]]-Tabla4[[#This Row],[20.85%]]</f>
        <v>8133.5819063999998</v>
      </c>
      <c r="M5359" s="282" t="e">
        <f>(INDEX(Tabla6[#All],MATCH(Tabla4[[#This Row],[Producto]],Tabla6[[#All],[PRODUCTO]],0),MATCH(Tabla4[[#This Row],[Mes]],Tabla6[#Headers],0)))*(1+Catalogos!$L$2)</f>
        <v>#N/A</v>
      </c>
      <c r="N5359" s="283" t="e">
        <f>+(Tabla4[[#This Row],[Precio Descontado]]-Tabla4[[#This Row],[Precio Base]])*Tabla4[[#This Row],[Cantidad]]</f>
        <v>#N/A</v>
      </c>
      <c r="O5359" s="284" t="e">
        <f>++Tabla4[[#This Row],[Utilidad Total]]/Tabla4[[#This Row],[Total]]</f>
        <v>#N/A</v>
      </c>
      <c r="P5359" s="282">
        <f>++Tabla4[[#This Row],[Precio Descontado]]*Tabla4[[#This Row],[Cantidad]]</f>
        <v>16267.1638128</v>
      </c>
      <c r="Q5359" s="282" t="e">
        <f>(INDEX(Tabla6[#All],MATCH(Tabla4[[#This Row],[Producto]],Tabla6[[#All],[PRODUCTO]],0),MATCH(Tabla4[[#This Row],[Mes]],Tabla6[#Headers],0)))</f>
        <v>#N/A</v>
      </c>
      <c r="R5359" s="282" t="e">
        <f>++Tabla4[[#This Row],[Precio Unitario Neto]]-Tabla4[[#This Row],[20.85%]]-Tabla4[[#This Row],[Costo]]</f>
        <v>#N/A</v>
      </c>
      <c r="S5359" s="282" t="e">
        <f>++Tabla4[[#This Row],[U. Bruta Uni]]*Tabla4[[#This Row],[Cantidad]]</f>
        <v>#N/A</v>
      </c>
      <c r="T5359" s="369" t="str">
        <f>VLOOKUP(Tabla4[[#This Row],[Producto]],Tabla6[#All],14,FALSE)</f>
        <v>Termico Solar</v>
      </c>
      <c r="U5359" s="284" t="e">
        <f>(IF(Tabla4[[#This Row],[Familia]]="termico solar",Tabla4[[#This Row],[Utilidad Total]]*6%,Tabla4[[#This Row],[Utilidad Total]]*11.5%))/Tabla4[[#This Row],[Total]]</f>
        <v>#N/A</v>
      </c>
      <c r="V5359" s="282" t="e">
        <f>+Tabla4[[#This Row],[Comisión Calculada]]*Tabla4[[#This Row],[Total]]</f>
        <v>#N/A</v>
      </c>
    </row>
    <row r="5360" spans="1:22" hidden="1" x14ac:dyDescent="0.25">
      <c r="A5360" s="100">
        <v>45884</v>
      </c>
      <c r="B5360" t="str">
        <f t="shared" ref="B5360:B5391" si="261">TEXT(A5360, "mmmm")</f>
        <v>August</v>
      </c>
      <c r="C5360" s="46" t="s">
        <v>280</v>
      </c>
      <c r="F5360" s="366" t="s">
        <v>2786</v>
      </c>
      <c r="G5360" s="46" t="s">
        <v>208</v>
      </c>
      <c r="H5360" s="46">
        <v>9</v>
      </c>
      <c r="I5360" s="51">
        <v>189.75</v>
      </c>
      <c r="J5360" s="281">
        <f>++Tabla4[[#This Row],[Precio Bruto]]*1.16</f>
        <v>220.10999999999999</v>
      </c>
      <c r="K5360" s="281">
        <f>+Tabla4[[#This Row],[Precio Unitario Neto]]*Tabla4[[#Headers],[20.85%]]</f>
        <v>45.892934999999994</v>
      </c>
      <c r="L5360" s="282">
        <f>++Tabla4[[#This Row],[Precio Unitario Neto]]-Tabla4[[#This Row],[20.85%]]</f>
        <v>174.21706499999999</v>
      </c>
      <c r="M5360" s="282" t="e">
        <f>(INDEX(Tabla6[#All],MATCH(Tabla4[[#This Row],[Producto]],Tabla6[[#All],[PRODUCTO]],0),MATCH(Tabla4[[#This Row],[Mes]],Tabla6[#Headers],0)))*(1+Catalogos!$L$2)</f>
        <v>#N/A</v>
      </c>
      <c r="N5360" s="283" t="e">
        <f>+(Tabla4[[#This Row],[Precio Descontado]]-Tabla4[[#This Row],[Precio Base]])*Tabla4[[#This Row],[Cantidad]]</f>
        <v>#N/A</v>
      </c>
      <c r="O5360" s="284" t="e">
        <f>++Tabla4[[#This Row],[Utilidad Total]]/Tabla4[[#This Row],[Total]]</f>
        <v>#N/A</v>
      </c>
      <c r="P5360" s="282">
        <f>++Tabla4[[#This Row],[Precio Descontado]]*Tabla4[[#This Row],[Cantidad]]</f>
        <v>1567.953585</v>
      </c>
      <c r="Q5360" s="282" t="e">
        <f>(INDEX(Tabla6[#All],MATCH(Tabla4[[#This Row],[Producto]],Tabla6[[#All],[PRODUCTO]],0),MATCH(Tabla4[[#This Row],[Mes]],Tabla6[#Headers],0)))</f>
        <v>#N/A</v>
      </c>
      <c r="R5360" s="282" t="e">
        <f>++Tabla4[[#This Row],[Precio Unitario Neto]]-Tabla4[[#This Row],[20.85%]]-Tabla4[[#This Row],[Costo]]</f>
        <v>#N/A</v>
      </c>
      <c r="S5360" s="282" t="e">
        <f>++Tabla4[[#This Row],[U. Bruta Uni]]*Tabla4[[#This Row],[Cantidad]]</f>
        <v>#N/A</v>
      </c>
      <c r="T5360" s="369" t="str">
        <f>VLOOKUP(Tabla4[[#This Row],[Producto]],Tabla6[#All],14,FALSE)</f>
        <v>Termico Solar</v>
      </c>
      <c r="U5360" s="284" t="e">
        <f>(IF(Tabla4[[#This Row],[Familia]]="termico solar",Tabla4[[#This Row],[Utilidad Total]]*6%,Tabla4[[#This Row],[Utilidad Total]]*11.5%))/Tabla4[[#This Row],[Total]]</f>
        <v>#N/A</v>
      </c>
      <c r="V5360" s="282" t="e">
        <f>+Tabla4[[#This Row],[Comisión Calculada]]*Tabla4[[#This Row],[Total]]</f>
        <v>#N/A</v>
      </c>
    </row>
    <row r="5361" spans="1:22" hidden="1" x14ac:dyDescent="0.25">
      <c r="A5361" s="100">
        <v>45884</v>
      </c>
      <c r="B5361" t="str">
        <f t="shared" si="261"/>
        <v>August</v>
      </c>
      <c r="C5361" s="46" t="s">
        <v>280</v>
      </c>
      <c r="F5361" s="366" t="s">
        <v>2787</v>
      </c>
      <c r="G5361" s="46" t="s">
        <v>17</v>
      </c>
      <c r="H5361" s="46">
        <v>6</v>
      </c>
      <c r="I5361" s="51">
        <v>4622.28</v>
      </c>
      <c r="J5361" s="281">
        <f>++Tabla4[[#This Row],[Precio Bruto]]*1.16</f>
        <v>5361.8447999999989</v>
      </c>
      <c r="K5361" s="281">
        <f>+Tabla4[[#This Row],[Precio Unitario Neto]]*Tabla4[[#Headers],[20.85%]]</f>
        <v>1117.9446407999997</v>
      </c>
      <c r="L5361" s="282">
        <f>++Tabla4[[#This Row],[Precio Unitario Neto]]-Tabla4[[#This Row],[20.85%]]</f>
        <v>4243.9001591999995</v>
      </c>
      <c r="M5361" s="282" t="e">
        <f>(INDEX(Tabla6[#All],MATCH(Tabla4[[#This Row],[Producto]],Tabla6[[#All],[PRODUCTO]],0),MATCH(Tabla4[[#This Row],[Mes]],Tabla6[#Headers],0)))*(1+Catalogos!$L$2)</f>
        <v>#N/A</v>
      </c>
      <c r="N5361" s="283" t="e">
        <f>+(Tabla4[[#This Row],[Precio Descontado]]-Tabla4[[#This Row],[Precio Base]])*Tabla4[[#This Row],[Cantidad]]</f>
        <v>#N/A</v>
      </c>
      <c r="O5361" s="284" t="e">
        <f>++Tabla4[[#This Row],[Utilidad Total]]/Tabla4[[#This Row],[Total]]</f>
        <v>#N/A</v>
      </c>
      <c r="P5361" s="282">
        <f>++Tabla4[[#This Row],[Precio Descontado]]*Tabla4[[#This Row],[Cantidad]]</f>
        <v>25463.400955199999</v>
      </c>
      <c r="Q5361" s="282" t="e">
        <f>(INDEX(Tabla6[#All],MATCH(Tabla4[[#This Row],[Producto]],Tabla6[[#All],[PRODUCTO]],0),MATCH(Tabla4[[#This Row],[Mes]],Tabla6[#Headers],0)))</f>
        <v>#N/A</v>
      </c>
      <c r="R5361" s="282" t="e">
        <f>++Tabla4[[#This Row],[Precio Unitario Neto]]-Tabla4[[#This Row],[20.85%]]-Tabla4[[#This Row],[Costo]]</f>
        <v>#N/A</v>
      </c>
      <c r="S5361" s="282" t="e">
        <f>++Tabla4[[#This Row],[U. Bruta Uni]]*Tabla4[[#This Row],[Cantidad]]</f>
        <v>#N/A</v>
      </c>
      <c r="T5361" s="369" t="str">
        <f>VLOOKUP(Tabla4[[#This Row],[Producto]],Tabla6[#All],14,FALSE)</f>
        <v>Termico Solar</v>
      </c>
      <c r="U5361" s="284" t="e">
        <f>(IF(Tabla4[[#This Row],[Familia]]="termico solar",Tabla4[[#This Row],[Utilidad Total]]*6%,Tabla4[[#This Row],[Utilidad Total]]*11.5%))/Tabla4[[#This Row],[Total]]</f>
        <v>#N/A</v>
      </c>
      <c r="V5361" s="282" t="e">
        <f>+Tabla4[[#This Row],[Comisión Calculada]]*Tabla4[[#This Row],[Total]]</f>
        <v>#N/A</v>
      </c>
    </row>
    <row r="5362" spans="1:22" hidden="1" x14ac:dyDescent="0.25">
      <c r="A5362" s="100">
        <v>45884</v>
      </c>
      <c r="B5362" t="str">
        <f t="shared" si="261"/>
        <v>August</v>
      </c>
      <c r="C5362" s="46" t="s">
        <v>280</v>
      </c>
      <c r="F5362" s="366" t="s">
        <v>2787</v>
      </c>
      <c r="G5362" s="46" t="s">
        <v>16</v>
      </c>
      <c r="H5362" s="46">
        <v>1</v>
      </c>
      <c r="I5362" s="51">
        <v>4103.8500000000004</v>
      </c>
      <c r="J5362" s="281">
        <f>++Tabla4[[#This Row],[Precio Bruto]]*1.16</f>
        <v>4760.4660000000003</v>
      </c>
      <c r="K5362" s="281">
        <f>+Tabla4[[#This Row],[Precio Unitario Neto]]*Tabla4[[#Headers],[20.85%]]</f>
        <v>992.55716100000006</v>
      </c>
      <c r="L5362" s="282">
        <f>++Tabla4[[#This Row],[Precio Unitario Neto]]-Tabla4[[#This Row],[20.85%]]</f>
        <v>3767.9088390000002</v>
      </c>
      <c r="M5362" s="282" t="e">
        <f>(INDEX(Tabla6[#All],MATCH(Tabla4[[#This Row],[Producto]],Tabla6[[#All],[PRODUCTO]],0),MATCH(Tabla4[[#This Row],[Mes]],Tabla6[#Headers],0)))*(1+Catalogos!$L$2)</f>
        <v>#N/A</v>
      </c>
      <c r="N5362" s="283" t="e">
        <f>+(Tabla4[[#This Row],[Precio Descontado]]-Tabla4[[#This Row],[Precio Base]])*Tabla4[[#This Row],[Cantidad]]</f>
        <v>#N/A</v>
      </c>
      <c r="O5362" s="284" t="e">
        <f>++Tabla4[[#This Row],[Utilidad Total]]/Tabla4[[#This Row],[Total]]</f>
        <v>#N/A</v>
      </c>
      <c r="P5362" s="282">
        <f>++Tabla4[[#This Row],[Precio Descontado]]*Tabla4[[#This Row],[Cantidad]]</f>
        <v>3767.9088390000002</v>
      </c>
      <c r="Q5362" s="282" t="e">
        <f>(INDEX(Tabla6[#All],MATCH(Tabla4[[#This Row],[Producto]],Tabla6[[#All],[PRODUCTO]],0),MATCH(Tabla4[[#This Row],[Mes]],Tabla6[#Headers],0)))</f>
        <v>#N/A</v>
      </c>
      <c r="R5362" s="282" t="e">
        <f>++Tabla4[[#This Row],[Precio Unitario Neto]]-Tabla4[[#This Row],[20.85%]]-Tabla4[[#This Row],[Costo]]</f>
        <v>#N/A</v>
      </c>
      <c r="S5362" s="282" t="e">
        <f>++Tabla4[[#This Row],[U. Bruta Uni]]*Tabla4[[#This Row],[Cantidad]]</f>
        <v>#N/A</v>
      </c>
      <c r="T5362" s="369" t="str">
        <f>VLOOKUP(Tabla4[[#This Row],[Producto]],Tabla6[#All],14,FALSE)</f>
        <v>Termico Solar</v>
      </c>
      <c r="U5362" s="284" t="e">
        <f>(IF(Tabla4[[#This Row],[Familia]]="termico solar",Tabla4[[#This Row],[Utilidad Total]]*6%,Tabla4[[#This Row],[Utilidad Total]]*11.5%))/Tabla4[[#This Row],[Total]]</f>
        <v>#N/A</v>
      </c>
      <c r="V5362" s="282" t="e">
        <f>+Tabla4[[#This Row],[Comisión Calculada]]*Tabla4[[#This Row],[Total]]</f>
        <v>#N/A</v>
      </c>
    </row>
    <row r="5363" spans="1:22" hidden="1" x14ac:dyDescent="0.25">
      <c r="A5363" s="100">
        <v>45884</v>
      </c>
      <c r="B5363" t="str">
        <f t="shared" si="261"/>
        <v>August</v>
      </c>
      <c r="C5363" s="46" t="s">
        <v>280</v>
      </c>
      <c r="F5363" s="366" t="s">
        <v>2788</v>
      </c>
      <c r="G5363" s="46" t="s">
        <v>17</v>
      </c>
      <c r="H5363" s="46">
        <v>2</v>
      </c>
      <c r="I5363" s="51">
        <v>4622.28</v>
      </c>
      <c r="J5363" s="281">
        <f>++Tabla4[[#This Row],[Precio Bruto]]*1.16</f>
        <v>5361.8447999999989</v>
      </c>
      <c r="K5363" s="281">
        <f>+Tabla4[[#This Row],[Precio Unitario Neto]]*Tabla4[[#Headers],[20.85%]]</f>
        <v>1117.9446407999997</v>
      </c>
      <c r="L5363" s="282">
        <f>++Tabla4[[#This Row],[Precio Unitario Neto]]-Tabla4[[#This Row],[20.85%]]</f>
        <v>4243.9001591999995</v>
      </c>
      <c r="M5363" s="282" t="e">
        <f>(INDEX(Tabla6[#All],MATCH(Tabla4[[#This Row],[Producto]],Tabla6[[#All],[PRODUCTO]],0),MATCH(Tabla4[[#This Row],[Mes]],Tabla6[#Headers],0)))*(1+Catalogos!$L$2)</f>
        <v>#N/A</v>
      </c>
      <c r="N5363" s="283" t="e">
        <f>+(Tabla4[[#This Row],[Precio Descontado]]-Tabla4[[#This Row],[Precio Base]])*Tabla4[[#This Row],[Cantidad]]</f>
        <v>#N/A</v>
      </c>
      <c r="O5363" s="284" t="e">
        <f>++Tabla4[[#This Row],[Utilidad Total]]/Tabla4[[#This Row],[Total]]</f>
        <v>#N/A</v>
      </c>
      <c r="P5363" s="282">
        <f>++Tabla4[[#This Row],[Precio Descontado]]*Tabla4[[#This Row],[Cantidad]]</f>
        <v>8487.800318399999</v>
      </c>
      <c r="Q5363" s="282" t="e">
        <f>(INDEX(Tabla6[#All],MATCH(Tabla4[[#This Row],[Producto]],Tabla6[[#All],[PRODUCTO]],0),MATCH(Tabla4[[#This Row],[Mes]],Tabla6[#Headers],0)))</f>
        <v>#N/A</v>
      </c>
      <c r="R5363" s="282" t="e">
        <f>++Tabla4[[#This Row],[Precio Unitario Neto]]-Tabla4[[#This Row],[20.85%]]-Tabla4[[#This Row],[Costo]]</f>
        <v>#N/A</v>
      </c>
      <c r="S5363" s="282" t="e">
        <f>++Tabla4[[#This Row],[U. Bruta Uni]]*Tabla4[[#This Row],[Cantidad]]</f>
        <v>#N/A</v>
      </c>
      <c r="T5363" s="369" t="str">
        <f>VLOOKUP(Tabla4[[#This Row],[Producto]],Tabla6[#All],14,FALSE)</f>
        <v>Termico Solar</v>
      </c>
      <c r="U5363" s="284" t="e">
        <f>(IF(Tabla4[[#This Row],[Familia]]="termico solar",Tabla4[[#This Row],[Utilidad Total]]*6%,Tabla4[[#This Row],[Utilidad Total]]*11.5%))/Tabla4[[#This Row],[Total]]</f>
        <v>#N/A</v>
      </c>
      <c r="V5363" s="282" t="e">
        <f>+Tabla4[[#This Row],[Comisión Calculada]]*Tabla4[[#This Row],[Total]]</f>
        <v>#N/A</v>
      </c>
    </row>
    <row r="5364" spans="1:22" hidden="1" x14ac:dyDescent="0.25">
      <c r="A5364" s="100">
        <v>45884</v>
      </c>
      <c r="B5364" t="str">
        <f t="shared" si="261"/>
        <v>August</v>
      </c>
      <c r="C5364" s="46" t="s">
        <v>280</v>
      </c>
      <c r="F5364" s="366" t="s">
        <v>2788</v>
      </c>
      <c r="G5364" s="46" t="s">
        <v>16</v>
      </c>
      <c r="H5364" s="46">
        <v>2</v>
      </c>
      <c r="I5364" s="51">
        <v>4103.8500000000004</v>
      </c>
      <c r="J5364" s="281">
        <f>++Tabla4[[#This Row],[Precio Bruto]]*1.16</f>
        <v>4760.4660000000003</v>
      </c>
      <c r="K5364" s="281">
        <f>+Tabla4[[#This Row],[Precio Unitario Neto]]*Tabla4[[#Headers],[20.85%]]</f>
        <v>992.55716100000006</v>
      </c>
      <c r="L5364" s="282">
        <f>++Tabla4[[#This Row],[Precio Unitario Neto]]-Tabla4[[#This Row],[20.85%]]</f>
        <v>3767.9088390000002</v>
      </c>
      <c r="M5364" s="282" t="e">
        <f>(INDEX(Tabla6[#All],MATCH(Tabla4[[#This Row],[Producto]],Tabla6[[#All],[PRODUCTO]],0),MATCH(Tabla4[[#This Row],[Mes]],Tabla6[#Headers],0)))*(1+Catalogos!$L$2)</f>
        <v>#N/A</v>
      </c>
      <c r="N5364" s="283" t="e">
        <f>+(Tabla4[[#This Row],[Precio Descontado]]-Tabla4[[#This Row],[Precio Base]])*Tabla4[[#This Row],[Cantidad]]</f>
        <v>#N/A</v>
      </c>
      <c r="O5364" s="284" t="e">
        <f>++Tabla4[[#This Row],[Utilidad Total]]/Tabla4[[#This Row],[Total]]</f>
        <v>#N/A</v>
      </c>
      <c r="P5364" s="282">
        <f>++Tabla4[[#This Row],[Precio Descontado]]*Tabla4[[#This Row],[Cantidad]]</f>
        <v>7535.8176780000003</v>
      </c>
      <c r="Q5364" s="282" t="e">
        <f>(INDEX(Tabla6[#All],MATCH(Tabla4[[#This Row],[Producto]],Tabla6[[#All],[PRODUCTO]],0),MATCH(Tabla4[[#This Row],[Mes]],Tabla6[#Headers],0)))</f>
        <v>#N/A</v>
      </c>
      <c r="R5364" s="282" t="e">
        <f>++Tabla4[[#This Row],[Precio Unitario Neto]]-Tabla4[[#This Row],[20.85%]]-Tabla4[[#This Row],[Costo]]</f>
        <v>#N/A</v>
      </c>
      <c r="S5364" s="282" t="e">
        <f>++Tabla4[[#This Row],[U. Bruta Uni]]*Tabla4[[#This Row],[Cantidad]]</f>
        <v>#N/A</v>
      </c>
      <c r="T5364" s="369" t="str">
        <f>VLOOKUP(Tabla4[[#This Row],[Producto]],Tabla6[#All],14,FALSE)</f>
        <v>Termico Solar</v>
      </c>
      <c r="U5364" s="284" t="e">
        <f>(IF(Tabla4[[#This Row],[Familia]]="termico solar",Tabla4[[#This Row],[Utilidad Total]]*6%,Tabla4[[#This Row],[Utilidad Total]]*11.5%))/Tabla4[[#This Row],[Total]]</f>
        <v>#N/A</v>
      </c>
      <c r="V5364" s="282" t="e">
        <f>+Tabla4[[#This Row],[Comisión Calculada]]*Tabla4[[#This Row],[Total]]</f>
        <v>#N/A</v>
      </c>
    </row>
    <row r="5365" spans="1:22" hidden="1" x14ac:dyDescent="0.25">
      <c r="A5365" s="100">
        <v>45900</v>
      </c>
      <c r="B5365" t="str">
        <f t="shared" si="261"/>
        <v>August</v>
      </c>
      <c r="C5365" s="46" t="s">
        <v>280</v>
      </c>
      <c r="F5365" s="366" t="s">
        <v>2790</v>
      </c>
      <c r="G5365" s="46" t="s">
        <v>83</v>
      </c>
      <c r="H5365" s="46">
        <v>1</v>
      </c>
      <c r="I5365" s="51">
        <v>8858.76</v>
      </c>
      <c r="J5365" s="281">
        <f>++Tabla4[[#This Row],[Precio Bruto]]*1.16</f>
        <v>10276.161599999999</v>
      </c>
      <c r="K5365" s="281">
        <f>+Tabla4[[#This Row],[Precio Unitario Neto]]*Tabla4[[#Headers],[20.85%]]</f>
        <v>2142.5796935999997</v>
      </c>
      <c r="L5365" s="282">
        <f>++Tabla4[[#This Row],[Precio Unitario Neto]]-Tabla4[[#This Row],[20.85%]]</f>
        <v>8133.5819063999998</v>
      </c>
      <c r="M5365" s="282" t="e">
        <f>(INDEX(Tabla6[#All],MATCH(Tabla4[[#This Row],[Producto]],Tabla6[[#All],[PRODUCTO]],0),MATCH(Tabla4[[#This Row],[Mes]],Tabla6[#Headers],0)))*(1+Catalogos!$L$2)</f>
        <v>#N/A</v>
      </c>
      <c r="N5365" s="283" t="e">
        <f>+(Tabla4[[#This Row],[Precio Descontado]]-Tabla4[[#This Row],[Precio Base]])*Tabla4[[#This Row],[Cantidad]]</f>
        <v>#N/A</v>
      </c>
      <c r="O5365" s="284" t="e">
        <f>++Tabla4[[#This Row],[Utilidad Total]]/Tabla4[[#This Row],[Total]]</f>
        <v>#N/A</v>
      </c>
      <c r="P5365" s="282">
        <f>++Tabla4[[#This Row],[Precio Descontado]]*Tabla4[[#This Row],[Cantidad]]</f>
        <v>8133.5819063999998</v>
      </c>
      <c r="Q5365" s="282" t="e">
        <f>(INDEX(Tabla6[#All],MATCH(Tabla4[[#This Row],[Producto]],Tabla6[[#All],[PRODUCTO]],0),MATCH(Tabla4[[#This Row],[Mes]],Tabla6[#Headers],0)))</f>
        <v>#N/A</v>
      </c>
      <c r="R5365" s="282" t="e">
        <f>++Tabla4[[#This Row],[Precio Unitario Neto]]-Tabla4[[#This Row],[20.85%]]-Tabla4[[#This Row],[Costo]]</f>
        <v>#N/A</v>
      </c>
      <c r="S5365" s="282" t="e">
        <f>++Tabla4[[#This Row],[U. Bruta Uni]]*Tabla4[[#This Row],[Cantidad]]</f>
        <v>#N/A</v>
      </c>
      <c r="T5365" s="369" t="str">
        <f>VLOOKUP(Tabla4[[#This Row],[Producto]],Tabla6[#All],14,FALSE)</f>
        <v>Termico Solar</v>
      </c>
      <c r="U5365" s="284" t="e">
        <f>(IF(Tabla4[[#This Row],[Familia]]="termico solar",Tabla4[[#This Row],[Utilidad Total]]*6%,Tabla4[[#This Row],[Utilidad Total]]*11.5%))/Tabla4[[#This Row],[Total]]</f>
        <v>#N/A</v>
      </c>
      <c r="V5365" s="282" t="e">
        <f>+Tabla4[[#This Row],[Comisión Calculada]]*Tabla4[[#This Row],[Total]]</f>
        <v>#N/A</v>
      </c>
    </row>
    <row r="5366" spans="1:22" hidden="1" x14ac:dyDescent="0.25">
      <c r="A5366" s="100">
        <v>45900</v>
      </c>
      <c r="B5366" t="str">
        <f t="shared" si="261"/>
        <v>August</v>
      </c>
      <c r="C5366" s="46" t="s">
        <v>280</v>
      </c>
      <c r="F5366" s="366" t="s">
        <v>2790</v>
      </c>
      <c r="G5366" s="46" t="s">
        <v>18</v>
      </c>
      <c r="H5366" s="46">
        <v>1</v>
      </c>
      <c r="I5366" s="51">
        <v>5367.65</v>
      </c>
      <c r="J5366" s="281">
        <f>++Tabla4[[#This Row],[Precio Bruto]]*1.16</f>
        <v>6226.4739999999993</v>
      </c>
      <c r="K5366" s="281">
        <f>+Tabla4[[#This Row],[Precio Unitario Neto]]*Tabla4[[#Headers],[20.85%]]</f>
        <v>1298.2198289999999</v>
      </c>
      <c r="L5366" s="282">
        <f>++Tabla4[[#This Row],[Precio Unitario Neto]]-Tabla4[[#This Row],[20.85%]]</f>
        <v>4928.2541709999996</v>
      </c>
      <c r="M5366" s="282" t="e">
        <f>(INDEX(Tabla6[#All],MATCH(Tabla4[[#This Row],[Producto]],Tabla6[[#All],[PRODUCTO]],0),MATCH(Tabla4[[#This Row],[Mes]],Tabla6[#Headers],0)))*(1+Catalogos!$L$2)</f>
        <v>#N/A</v>
      </c>
      <c r="N5366" s="283" t="e">
        <f>+(Tabla4[[#This Row],[Precio Descontado]]-Tabla4[[#This Row],[Precio Base]])*Tabla4[[#This Row],[Cantidad]]</f>
        <v>#N/A</v>
      </c>
      <c r="O5366" s="284" t="e">
        <f>++Tabla4[[#This Row],[Utilidad Total]]/Tabla4[[#This Row],[Total]]</f>
        <v>#N/A</v>
      </c>
      <c r="P5366" s="282">
        <f>++Tabla4[[#This Row],[Precio Descontado]]*Tabla4[[#This Row],[Cantidad]]</f>
        <v>4928.2541709999996</v>
      </c>
      <c r="Q5366" s="282" t="e">
        <f>(INDEX(Tabla6[#All],MATCH(Tabla4[[#This Row],[Producto]],Tabla6[[#All],[PRODUCTO]],0),MATCH(Tabla4[[#This Row],[Mes]],Tabla6[#Headers],0)))</f>
        <v>#N/A</v>
      </c>
      <c r="R5366" s="282" t="e">
        <f>++Tabla4[[#This Row],[Precio Unitario Neto]]-Tabla4[[#This Row],[20.85%]]-Tabla4[[#This Row],[Costo]]</f>
        <v>#N/A</v>
      </c>
      <c r="S5366" s="282" t="e">
        <f>++Tabla4[[#This Row],[U. Bruta Uni]]*Tabla4[[#This Row],[Cantidad]]</f>
        <v>#N/A</v>
      </c>
      <c r="T5366" s="369" t="str">
        <f>VLOOKUP(Tabla4[[#This Row],[Producto]],Tabla6[#All],14,FALSE)</f>
        <v>Termico Solar</v>
      </c>
      <c r="U5366" s="284" t="e">
        <f>(IF(Tabla4[[#This Row],[Familia]]="termico solar",Tabla4[[#This Row],[Utilidad Total]]*6%,Tabla4[[#This Row],[Utilidad Total]]*11.5%))/Tabla4[[#This Row],[Total]]</f>
        <v>#N/A</v>
      </c>
      <c r="V5366" s="282" t="e">
        <f>+Tabla4[[#This Row],[Comisión Calculada]]*Tabla4[[#This Row],[Total]]</f>
        <v>#N/A</v>
      </c>
    </row>
    <row r="5367" spans="1:22" hidden="1" x14ac:dyDescent="0.25">
      <c r="A5367" s="100">
        <v>45900</v>
      </c>
      <c r="B5367" t="str">
        <f t="shared" si="261"/>
        <v>August</v>
      </c>
      <c r="C5367" s="46" t="s">
        <v>280</v>
      </c>
      <c r="F5367" s="366" t="s">
        <v>2790</v>
      </c>
      <c r="G5367" s="46" t="s">
        <v>16</v>
      </c>
      <c r="H5367" s="46">
        <v>1</v>
      </c>
      <c r="I5367" s="51">
        <v>4103.8500000000004</v>
      </c>
      <c r="J5367" s="281">
        <f>++Tabla4[[#This Row],[Precio Bruto]]*1.16</f>
        <v>4760.4660000000003</v>
      </c>
      <c r="K5367" s="281">
        <f>+Tabla4[[#This Row],[Precio Unitario Neto]]*Tabla4[[#Headers],[20.85%]]</f>
        <v>992.55716100000006</v>
      </c>
      <c r="L5367" s="282">
        <f>++Tabla4[[#This Row],[Precio Unitario Neto]]-Tabla4[[#This Row],[20.85%]]</f>
        <v>3767.9088390000002</v>
      </c>
      <c r="M5367" s="282" t="e">
        <f>(INDEX(Tabla6[#All],MATCH(Tabla4[[#This Row],[Producto]],Tabla6[[#All],[PRODUCTO]],0),MATCH(Tabla4[[#This Row],[Mes]],Tabla6[#Headers],0)))*(1+Catalogos!$L$2)</f>
        <v>#N/A</v>
      </c>
      <c r="N5367" s="283" t="e">
        <f>+(Tabla4[[#This Row],[Precio Descontado]]-Tabla4[[#This Row],[Precio Base]])*Tabla4[[#This Row],[Cantidad]]</f>
        <v>#N/A</v>
      </c>
      <c r="O5367" s="284" t="e">
        <f>++Tabla4[[#This Row],[Utilidad Total]]/Tabla4[[#This Row],[Total]]</f>
        <v>#N/A</v>
      </c>
      <c r="P5367" s="282">
        <f>++Tabla4[[#This Row],[Precio Descontado]]*Tabla4[[#This Row],[Cantidad]]</f>
        <v>3767.9088390000002</v>
      </c>
      <c r="Q5367" s="282" t="e">
        <f>(INDEX(Tabla6[#All],MATCH(Tabla4[[#This Row],[Producto]],Tabla6[[#All],[PRODUCTO]],0),MATCH(Tabla4[[#This Row],[Mes]],Tabla6[#Headers],0)))</f>
        <v>#N/A</v>
      </c>
      <c r="R5367" s="282" t="e">
        <f>++Tabla4[[#This Row],[Precio Unitario Neto]]-Tabla4[[#This Row],[20.85%]]-Tabla4[[#This Row],[Costo]]</f>
        <v>#N/A</v>
      </c>
      <c r="S5367" s="282" t="e">
        <f>++Tabla4[[#This Row],[U. Bruta Uni]]*Tabla4[[#This Row],[Cantidad]]</f>
        <v>#N/A</v>
      </c>
      <c r="T5367" s="369" t="str">
        <f>VLOOKUP(Tabla4[[#This Row],[Producto]],Tabla6[#All],14,FALSE)</f>
        <v>Termico Solar</v>
      </c>
      <c r="U5367" s="284" t="e">
        <f>(IF(Tabla4[[#This Row],[Familia]]="termico solar",Tabla4[[#This Row],[Utilidad Total]]*6%,Tabla4[[#This Row],[Utilidad Total]]*11.5%))/Tabla4[[#This Row],[Total]]</f>
        <v>#N/A</v>
      </c>
      <c r="V5367" s="282" t="e">
        <f>+Tabla4[[#This Row],[Comisión Calculada]]*Tabla4[[#This Row],[Total]]</f>
        <v>#N/A</v>
      </c>
    </row>
    <row r="5368" spans="1:22" hidden="1" x14ac:dyDescent="0.25">
      <c r="A5368" s="100">
        <v>45900</v>
      </c>
      <c r="B5368" t="str">
        <f t="shared" si="261"/>
        <v>August</v>
      </c>
      <c r="C5368" s="46" t="s">
        <v>280</v>
      </c>
      <c r="F5368" s="366" t="s">
        <v>2791</v>
      </c>
      <c r="G5368" s="46" t="s">
        <v>83</v>
      </c>
      <c r="H5368" s="46">
        <v>1</v>
      </c>
      <c r="I5368" s="51">
        <v>8858.76</v>
      </c>
      <c r="J5368" s="281">
        <f>++Tabla4[[#This Row],[Precio Bruto]]*1.16</f>
        <v>10276.161599999999</v>
      </c>
      <c r="K5368" s="281">
        <f>+Tabla4[[#This Row],[Precio Unitario Neto]]*Tabla4[[#Headers],[20.85%]]</f>
        <v>2142.5796935999997</v>
      </c>
      <c r="L5368" s="282">
        <f>++Tabla4[[#This Row],[Precio Unitario Neto]]-Tabla4[[#This Row],[20.85%]]</f>
        <v>8133.5819063999998</v>
      </c>
      <c r="M5368" s="282" t="e">
        <f>(INDEX(Tabla6[#All],MATCH(Tabla4[[#This Row],[Producto]],Tabla6[[#All],[PRODUCTO]],0),MATCH(Tabla4[[#This Row],[Mes]],Tabla6[#Headers],0)))*(1+Catalogos!$L$2)</f>
        <v>#N/A</v>
      </c>
      <c r="N5368" s="283" t="e">
        <f>+(Tabla4[[#This Row],[Precio Descontado]]-Tabla4[[#This Row],[Precio Base]])*Tabla4[[#This Row],[Cantidad]]</f>
        <v>#N/A</v>
      </c>
      <c r="O5368" s="284" t="e">
        <f>++Tabla4[[#This Row],[Utilidad Total]]/Tabla4[[#This Row],[Total]]</f>
        <v>#N/A</v>
      </c>
      <c r="P5368" s="282">
        <f>++Tabla4[[#This Row],[Precio Descontado]]*Tabla4[[#This Row],[Cantidad]]</f>
        <v>8133.5819063999998</v>
      </c>
      <c r="Q5368" s="282" t="e">
        <f>(INDEX(Tabla6[#All],MATCH(Tabla4[[#This Row],[Producto]],Tabla6[[#All],[PRODUCTO]],0),MATCH(Tabla4[[#This Row],[Mes]],Tabla6[#Headers],0)))</f>
        <v>#N/A</v>
      </c>
      <c r="R5368" s="282" t="e">
        <f>++Tabla4[[#This Row],[Precio Unitario Neto]]-Tabla4[[#This Row],[20.85%]]-Tabla4[[#This Row],[Costo]]</f>
        <v>#N/A</v>
      </c>
      <c r="S5368" s="282" t="e">
        <f>++Tabla4[[#This Row],[U. Bruta Uni]]*Tabla4[[#This Row],[Cantidad]]</f>
        <v>#N/A</v>
      </c>
      <c r="T5368" s="369" t="str">
        <f>VLOOKUP(Tabla4[[#This Row],[Producto]],Tabla6[#All],14,FALSE)</f>
        <v>Termico Solar</v>
      </c>
      <c r="U5368" s="284" t="e">
        <f>(IF(Tabla4[[#This Row],[Familia]]="termico solar",Tabla4[[#This Row],[Utilidad Total]]*6%,Tabla4[[#This Row],[Utilidad Total]]*11.5%))/Tabla4[[#This Row],[Total]]</f>
        <v>#N/A</v>
      </c>
      <c r="V5368" s="282" t="e">
        <f>+Tabla4[[#This Row],[Comisión Calculada]]*Tabla4[[#This Row],[Total]]</f>
        <v>#N/A</v>
      </c>
    </row>
    <row r="5369" spans="1:22" hidden="1" x14ac:dyDescent="0.25">
      <c r="A5369" s="100">
        <v>45900</v>
      </c>
      <c r="B5369" t="str">
        <f t="shared" si="261"/>
        <v>August</v>
      </c>
      <c r="C5369" s="46" t="s">
        <v>280</v>
      </c>
      <c r="F5369" s="366" t="s">
        <v>2791</v>
      </c>
      <c r="G5369" s="46" t="s">
        <v>17</v>
      </c>
      <c r="H5369" s="46">
        <v>4</v>
      </c>
      <c r="I5369" s="51">
        <v>4622.28</v>
      </c>
      <c r="J5369" s="281">
        <f>++Tabla4[[#This Row],[Precio Bruto]]*1.16</f>
        <v>5361.8447999999989</v>
      </c>
      <c r="K5369" s="281">
        <f>+Tabla4[[#This Row],[Precio Unitario Neto]]*Tabla4[[#Headers],[20.85%]]</f>
        <v>1117.9446407999997</v>
      </c>
      <c r="L5369" s="282">
        <f>++Tabla4[[#This Row],[Precio Unitario Neto]]-Tabla4[[#This Row],[20.85%]]</f>
        <v>4243.9001591999995</v>
      </c>
      <c r="M5369" s="282" t="e">
        <f>(INDEX(Tabla6[#All],MATCH(Tabla4[[#This Row],[Producto]],Tabla6[[#All],[PRODUCTO]],0),MATCH(Tabla4[[#This Row],[Mes]],Tabla6[#Headers],0)))*(1+Catalogos!$L$2)</f>
        <v>#N/A</v>
      </c>
      <c r="N5369" s="283" t="e">
        <f>+(Tabla4[[#This Row],[Precio Descontado]]-Tabla4[[#This Row],[Precio Base]])*Tabla4[[#This Row],[Cantidad]]</f>
        <v>#N/A</v>
      </c>
      <c r="O5369" s="284" t="e">
        <f>++Tabla4[[#This Row],[Utilidad Total]]/Tabla4[[#This Row],[Total]]</f>
        <v>#N/A</v>
      </c>
      <c r="P5369" s="282">
        <f>++Tabla4[[#This Row],[Precio Descontado]]*Tabla4[[#This Row],[Cantidad]]</f>
        <v>16975.600636799998</v>
      </c>
      <c r="Q5369" s="282" t="e">
        <f>(INDEX(Tabla6[#All],MATCH(Tabla4[[#This Row],[Producto]],Tabla6[[#All],[PRODUCTO]],0),MATCH(Tabla4[[#This Row],[Mes]],Tabla6[#Headers],0)))</f>
        <v>#N/A</v>
      </c>
      <c r="R5369" s="282" t="e">
        <f>++Tabla4[[#This Row],[Precio Unitario Neto]]-Tabla4[[#This Row],[20.85%]]-Tabla4[[#This Row],[Costo]]</f>
        <v>#N/A</v>
      </c>
      <c r="S5369" s="282" t="e">
        <f>++Tabla4[[#This Row],[U. Bruta Uni]]*Tabla4[[#This Row],[Cantidad]]</f>
        <v>#N/A</v>
      </c>
      <c r="T5369" s="369" t="str">
        <f>VLOOKUP(Tabla4[[#This Row],[Producto]],Tabla6[#All],14,FALSE)</f>
        <v>Termico Solar</v>
      </c>
      <c r="U5369" s="284" t="e">
        <f>(IF(Tabla4[[#This Row],[Familia]]="termico solar",Tabla4[[#This Row],[Utilidad Total]]*6%,Tabla4[[#This Row],[Utilidad Total]]*11.5%))/Tabla4[[#This Row],[Total]]</f>
        <v>#N/A</v>
      </c>
      <c r="V5369" s="282" t="e">
        <f>+Tabla4[[#This Row],[Comisión Calculada]]*Tabla4[[#This Row],[Total]]</f>
        <v>#N/A</v>
      </c>
    </row>
    <row r="5370" spans="1:22" hidden="1" x14ac:dyDescent="0.25">
      <c r="A5370" s="100">
        <v>45900</v>
      </c>
      <c r="B5370" t="str">
        <f t="shared" si="261"/>
        <v>August</v>
      </c>
      <c r="C5370" s="46" t="s">
        <v>280</v>
      </c>
      <c r="F5370" s="366" t="s">
        <v>2791</v>
      </c>
      <c r="G5370" s="46" t="s">
        <v>19</v>
      </c>
      <c r="H5370" s="46">
        <v>1</v>
      </c>
      <c r="I5370" s="51">
        <v>6412.03</v>
      </c>
      <c r="J5370" s="281">
        <f>++Tabla4[[#This Row],[Precio Bruto]]*1.16</f>
        <v>7437.9547999999995</v>
      </c>
      <c r="K5370" s="281">
        <f>+Tabla4[[#This Row],[Precio Unitario Neto]]*Tabla4[[#Headers],[20.85%]]</f>
        <v>1550.8135757999999</v>
      </c>
      <c r="L5370" s="282">
        <f>++Tabla4[[#This Row],[Precio Unitario Neto]]-Tabla4[[#This Row],[20.85%]]</f>
        <v>5887.1412241999997</v>
      </c>
      <c r="M5370" s="282" t="e">
        <f>(INDEX(Tabla6[#All],MATCH(Tabla4[[#This Row],[Producto]],Tabla6[[#All],[PRODUCTO]],0),MATCH(Tabla4[[#This Row],[Mes]],Tabla6[#Headers],0)))*(1+Catalogos!$L$2)</f>
        <v>#N/A</v>
      </c>
      <c r="N5370" s="283" t="e">
        <f>+(Tabla4[[#This Row],[Precio Descontado]]-Tabla4[[#This Row],[Precio Base]])*Tabla4[[#This Row],[Cantidad]]</f>
        <v>#N/A</v>
      </c>
      <c r="O5370" s="284" t="e">
        <f>++Tabla4[[#This Row],[Utilidad Total]]/Tabla4[[#This Row],[Total]]</f>
        <v>#N/A</v>
      </c>
      <c r="P5370" s="282">
        <f>++Tabla4[[#This Row],[Precio Descontado]]*Tabla4[[#This Row],[Cantidad]]</f>
        <v>5887.1412241999997</v>
      </c>
      <c r="Q5370" s="282" t="e">
        <f>(INDEX(Tabla6[#All],MATCH(Tabla4[[#This Row],[Producto]],Tabla6[[#All],[PRODUCTO]],0),MATCH(Tabla4[[#This Row],[Mes]],Tabla6[#Headers],0)))</f>
        <v>#N/A</v>
      </c>
      <c r="R5370" s="282" t="e">
        <f>++Tabla4[[#This Row],[Precio Unitario Neto]]-Tabla4[[#This Row],[20.85%]]-Tabla4[[#This Row],[Costo]]</f>
        <v>#N/A</v>
      </c>
      <c r="S5370" s="282" t="e">
        <f>++Tabla4[[#This Row],[U. Bruta Uni]]*Tabla4[[#This Row],[Cantidad]]</f>
        <v>#N/A</v>
      </c>
      <c r="T5370" s="369" t="str">
        <f>VLOOKUP(Tabla4[[#This Row],[Producto]],Tabla6[#All],14,FALSE)</f>
        <v>Termico Solar</v>
      </c>
      <c r="U5370" s="284" t="e">
        <f>(IF(Tabla4[[#This Row],[Familia]]="termico solar",Tabla4[[#This Row],[Utilidad Total]]*6%,Tabla4[[#This Row],[Utilidad Total]]*11.5%))/Tabla4[[#This Row],[Total]]</f>
        <v>#N/A</v>
      </c>
      <c r="V5370" s="282" t="e">
        <f>+Tabla4[[#This Row],[Comisión Calculada]]*Tabla4[[#This Row],[Total]]</f>
        <v>#N/A</v>
      </c>
    </row>
    <row r="5371" spans="1:22" hidden="1" x14ac:dyDescent="0.25">
      <c r="A5371" s="100">
        <v>45900</v>
      </c>
      <c r="B5371" t="str">
        <f t="shared" si="261"/>
        <v>August</v>
      </c>
      <c r="C5371" s="46" t="s">
        <v>280</v>
      </c>
      <c r="F5371" s="366" t="s">
        <v>2791</v>
      </c>
      <c r="G5371" s="46" t="s">
        <v>16</v>
      </c>
      <c r="H5371" s="46">
        <v>5</v>
      </c>
      <c r="I5371" s="51">
        <v>4103.8500000000004</v>
      </c>
      <c r="J5371" s="281">
        <f>++Tabla4[[#This Row],[Precio Bruto]]*1.16</f>
        <v>4760.4660000000003</v>
      </c>
      <c r="K5371" s="281">
        <f>+Tabla4[[#This Row],[Precio Unitario Neto]]*Tabla4[[#Headers],[20.85%]]</f>
        <v>992.55716100000006</v>
      </c>
      <c r="L5371" s="282">
        <f>++Tabla4[[#This Row],[Precio Unitario Neto]]-Tabla4[[#This Row],[20.85%]]</f>
        <v>3767.9088390000002</v>
      </c>
      <c r="M5371" s="282" t="e">
        <f>(INDEX(Tabla6[#All],MATCH(Tabla4[[#This Row],[Producto]],Tabla6[[#All],[PRODUCTO]],0),MATCH(Tabla4[[#This Row],[Mes]],Tabla6[#Headers],0)))*(1+Catalogos!$L$2)</f>
        <v>#N/A</v>
      </c>
      <c r="N5371" s="283" t="e">
        <f>+(Tabla4[[#This Row],[Precio Descontado]]-Tabla4[[#This Row],[Precio Base]])*Tabla4[[#This Row],[Cantidad]]</f>
        <v>#N/A</v>
      </c>
      <c r="O5371" s="284" t="e">
        <f>++Tabla4[[#This Row],[Utilidad Total]]/Tabla4[[#This Row],[Total]]</f>
        <v>#N/A</v>
      </c>
      <c r="P5371" s="282">
        <f>++Tabla4[[#This Row],[Precio Descontado]]*Tabla4[[#This Row],[Cantidad]]</f>
        <v>18839.544195000002</v>
      </c>
      <c r="Q5371" s="282" t="e">
        <f>(INDEX(Tabla6[#All],MATCH(Tabla4[[#This Row],[Producto]],Tabla6[[#All],[PRODUCTO]],0),MATCH(Tabla4[[#This Row],[Mes]],Tabla6[#Headers],0)))</f>
        <v>#N/A</v>
      </c>
      <c r="R5371" s="282" t="e">
        <f>++Tabla4[[#This Row],[Precio Unitario Neto]]-Tabla4[[#This Row],[20.85%]]-Tabla4[[#This Row],[Costo]]</f>
        <v>#N/A</v>
      </c>
      <c r="S5371" s="282" t="e">
        <f>++Tabla4[[#This Row],[U. Bruta Uni]]*Tabla4[[#This Row],[Cantidad]]</f>
        <v>#N/A</v>
      </c>
      <c r="T5371" s="369" t="str">
        <f>VLOOKUP(Tabla4[[#This Row],[Producto]],Tabla6[#All],14,FALSE)</f>
        <v>Termico Solar</v>
      </c>
      <c r="U5371" s="284" t="e">
        <f>(IF(Tabla4[[#This Row],[Familia]]="termico solar",Tabla4[[#This Row],[Utilidad Total]]*6%,Tabla4[[#This Row],[Utilidad Total]]*11.5%))/Tabla4[[#This Row],[Total]]</f>
        <v>#N/A</v>
      </c>
      <c r="V5371" s="282" t="e">
        <f>+Tabla4[[#This Row],[Comisión Calculada]]*Tabla4[[#This Row],[Total]]</f>
        <v>#N/A</v>
      </c>
    </row>
    <row r="5372" spans="1:22" hidden="1" x14ac:dyDescent="0.25">
      <c r="A5372" s="100">
        <v>45900</v>
      </c>
      <c r="B5372" t="str">
        <f t="shared" si="261"/>
        <v>August</v>
      </c>
      <c r="C5372" s="46" t="s">
        <v>280</v>
      </c>
      <c r="F5372" s="366" t="s">
        <v>2791</v>
      </c>
      <c r="G5372" s="46" t="s">
        <v>208</v>
      </c>
      <c r="H5372" s="46">
        <v>1</v>
      </c>
      <c r="I5372" s="51">
        <v>189.75</v>
      </c>
      <c r="J5372" s="281">
        <f>++Tabla4[[#This Row],[Precio Bruto]]*1.16</f>
        <v>220.10999999999999</v>
      </c>
      <c r="K5372" s="281">
        <f>+Tabla4[[#This Row],[Precio Unitario Neto]]*Tabla4[[#Headers],[20.85%]]</f>
        <v>45.892934999999994</v>
      </c>
      <c r="L5372" s="282">
        <f>++Tabla4[[#This Row],[Precio Unitario Neto]]-Tabla4[[#This Row],[20.85%]]</f>
        <v>174.21706499999999</v>
      </c>
      <c r="M5372" s="282" t="e">
        <f>(INDEX(Tabla6[#All],MATCH(Tabla4[[#This Row],[Producto]],Tabla6[[#All],[PRODUCTO]],0),MATCH(Tabla4[[#This Row],[Mes]],Tabla6[#Headers],0)))*(1+Catalogos!$L$2)</f>
        <v>#N/A</v>
      </c>
      <c r="N5372" s="283" t="e">
        <f>+(Tabla4[[#This Row],[Precio Descontado]]-Tabla4[[#This Row],[Precio Base]])*Tabla4[[#This Row],[Cantidad]]</f>
        <v>#N/A</v>
      </c>
      <c r="O5372" s="284" t="e">
        <f>++Tabla4[[#This Row],[Utilidad Total]]/Tabla4[[#This Row],[Total]]</f>
        <v>#N/A</v>
      </c>
      <c r="P5372" s="282">
        <f>++Tabla4[[#This Row],[Precio Descontado]]*Tabla4[[#This Row],[Cantidad]]</f>
        <v>174.21706499999999</v>
      </c>
      <c r="Q5372" s="282" t="e">
        <f>(INDEX(Tabla6[#All],MATCH(Tabla4[[#This Row],[Producto]],Tabla6[[#All],[PRODUCTO]],0),MATCH(Tabla4[[#This Row],[Mes]],Tabla6[#Headers],0)))</f>
        <v>#N/A</v>
      </c>
      <c r="R5372" s="282" t="e">
        <f>++Tabla4[[#This Row],[Precio Unitario Neto]]-Tabla4[[#This Row],[20.85%]]-Tabla4[[#This Row],[Costo]]</f>
        <v>#N/A</v>
      </c>
      <c r="S5372" s="282" t="e">
        <f>++Tabla4[[#This Row],[U. Bruta Uni]]*Tabla4[[#This Row],[Cantidad]]</f>
        <v>#N/A</v>
      </c>
      <c r="T5372" s="369" t="str">
        <f>VLOOKUP(Tabla4[[#This Row],[Producto]],Tabla6[#All],14,FALSE)</f>
        <v>Termico Solar</v>
      </c>
      <c r="U5372" s="284" t="e">
        <f>(IF(Tabla4[[#This Row],[Familia]]="termico solar",Tabla4[[#This Row],[Utilidad Total]]*6%,Tabla4[[#This Row],[Utilidad Total]]*11.5%))/Tabla4[[#This Row],[Total]]</f>
        <v>#N/A</v>
      </c>
      <c r="V5372" s="282" t="e">
        <f>+Tabla4[[#This Row],[Comisión Calculada]]*Tabla4[[#This Row],[Total]]</f>
        <v>#N/A</v>
      </c>
    </row>
    <row r="5373" spans="1:22" hidden="1" x14ac:dyDescent="0.25">
      <c r="A5373" s="100">
        <v>45900</v>
      </c>
      <c r="B5373" t="str">
        <f t="shared" si="261"/>
        <v>August</v>
      </c>
      <c r="C5373" s="46" t="s">
        <v>280</v>
      </c>
      <c r="F5373" s="366" t="s">
        <v>2792</v>
      </c>
      <c r="G5373" s="46" t="s">
        <v>83</v>
      </c>
      <c r="H5373" s="46">
        <v>2</v>
      </c>
      <c r="I5373" s="51">
        <v>8858.76</v>
      </c>
      <c r="J5373" s="281">
        <f>++Tabla4[[#This Row],[Precio Bruto]]*1.16</f>
        <v>10276.161599999999</v>
      </c>
      <c r="K5373" s="281">
        <f>+Tabla4[[#This Row],[Precio Unitario Neto]]*Tabla4[[#Headers],[20.85%]]</f>
        <v>2142.5796935999997</v>
      </c>
      <c r="L5373" s="282">
        <f>++Tabla4[[#This Row],[Precio Unitario Neto]]-Tabla4[[#This Row],[20.85%]]</f>
        <v>8133.5819063999998</v>
      </c>
      <c r="M5373" s="282" t="e">
        <f>(INDEX(Tabla6[#All],MATCH(Tabla4[[#This Row],[Producto]],Tabla6[[#All],[PRODUCTO]],0),MATCH(Tabla4[[#This Row],[Mes]],Tabla6[#Headers],0)))*(1+Catalogos!$L$2)</f>
        <v>#N/A</v>
      </c>
      <c r="N5373" s="283" t="e">
        <f>+(Tabla4[[#This Row],[Precio Descontado]]-Tabla4[[#This Row],[Precio Base]])*Tabla4[[#This Row],[Cantidad]]</f>
        <v>#N/A</v>
      </c>
      <c r="O5373" s="284" t="e">
        <f>++Tabla4[[#This Row],[Utilidad Total]]/Tabla4[[#This Row],[Total]]</f>
        <v>#N/A</v>
      </c>
      <c r="P5373" s="282">
        <f>++Tabla4[[#This Row],[Precio Descontado]]*Tabla4[[#This Row],[Cantidad]]</f>
        <v>16267.1638128</v>
      </c>
      <c r="Q5373" s="282" t="e">
        <f>(INDEX(Tabla6[#All],MATCH(Tabla4[[#This Row],[Producto]],Tabla6[[#All],[PRODUCTO]],0),MATCH(Tabla4[[#This Row],[Mes]],Tabla6[#Headers],0)))</f>
        <v>#N/A</v>
      </c>
      <c r="R5373" s="282" t="e">
        <f>++Tabla4[[#This Row],[Precio Unitario Neto]]-Tabla4[[#This Row],[20.85%]]-Tabla4[[#This Row],[Costo]]</f>
        <v>#N/A</v>
      </c>
      <c r="S5373" s="282" t="e">
        <f>++Tabla4[[#This Row],[U. Bruta Uni]]*Tabla4[[#This Row],[Cantidad]]</f>
        <v>#N/A</v>
      </c>
      <c r="T5373" s="369" t="str">
        <f>VLOOKUP(Tabla4[[#This Row],[Producto]],Tabla6[#All],14,FALSE)</f>
        <v>Termico Solar</v>
      </c>
      <c r="U5373" s="284" t="e">
        <f>(IF(Tabla4[[#This Row],[Familia]]="termico solar",Tabla4[[#This Row],[Utilidad Total]]*6%,Tabla4[[#This Row],[Utilidad Total]]*11.5%))/Tabla4[[#This Row],[Total]]</f>
        <v>#N/A</v>
      </c>
      <c r="V5373" s="282" t="e">
        <f>+Tabla4[[#This Row],[Comisión Calculada]]*Tabla4[[#This Row],[Total]]</f>
        <v>#N/A</v>
      </c>
    </row>
    <row r="5374" spans="1:22" hidden="1" x14ac:dyDescent="0.25">
      <c r="A5374" s="100">
        <v>45900</v>
      </c>
      <c r="B5374" t="str">
        <f t="shared" si="261"/>
        <v>August</v>
      </c>
      <c r="C5374" s="46" t="s">
        <v>280</v>
      </c>
      <c r="F5374" s="366" t="s">
        <v>2792</v>
      </c>
      <c r="G5374" s="46" t="s">
        <v>18</v>
      </c>
      <c r="H5374" s="46">
        <v>1</v>
      </c>
      <c r="I5374" s="51">
        <v>5367.65</v>
      </c>
      <c r="J5374" s="281">
        <f>++Tabla4[[#This Row],[Precio Bruto]]*1.16</f>
        <v>6226.4739999999993</v>
      </c>
      <c r="K5374" s="281">
        <f>+Tabla4[[#This Row],[Precio Unitario Neto]]*Tabla4[[#Headers],[20.85%]]</f>
        <v>1298.2198289999999</v>
      </c>
      <c r="L5374" s="282">
        <f>++Tabla4[[#This Row],[Precio Unitario Neto]]-Tabla4[[#This Row],[20.85%]]</f>
        <v>4928.2541709999996</v>
      </c>
      <c r="M5374" s="282" t="e">
        <f>(INDEX(Tabla6[#All],MATCH(Tabla4[[#This Row],[Producto]],Tabla6[[#All],[PRODUCTO]],0),MATCH(Tabla4[[#This Row],[Mes]],Tabla6[#Headers],0)))*(1+Catalogos!$L$2)</f>
        <v>#N/A</v>
      </c>
      <c r="N5374" s="283" t="e">
        <f>+(Tabla4[[#This Row],[Precio Descontado]]-Tabla4[[#This Row],[Precio Base]])*Tabla4[[#This Row],[Cantidad]]</f>
        <v>#N/A</v>
      </c>
      <c r="O5374" s="284" t="e">
        <f>++Tabla4[[#This Row],[Utilidad Total]]/Tabla4[[#This Row],[Total]]</f>
        <v>#N/A</v>
      </c>
      <c r="P5374" s="282">
        <f>++Tabla4[[#This Row],[Precio Descontado]]*Tabla4[[#This Row],[Cantidad]]</f>
        <v>4928.2541709999996</v>
      </c>
      <c r="Q5374" s="282" t="e">
        <f>(INDEX(Tabla6[#All],MATCH(Tabla4[[#This Row],[Producto]],Tabla6[[#All],[PRODUCTO]],0),MATCH(Tabla4[[#This Row],[Mes]],Tabla6[#Headers],0)))</f>
        <v>#N/A</v>
      </c>
      <c r="R5374" s="282" t="e">
        <f>++Tabla4[[#This Row],[Precio Unitario Neto]]-Tabla4[[#This Row],[20.85%]]-Tabla4[[#This Row],[Costo]]</f>
        <v>#N/A</v>
      </c>
      <c r="S5374" s="282" t="e">
        <f>++Tabla4[[#This Row],[U. Bruta Uni]]*Tabla4[[#This Row],[Cantidad]]</f>
        <v>#N/A</v>
      </c>
      <c r="T5374" s="369" t="str">
        <f>VLOOKUP(Tabla4[[#This Row],[Producto]],Tabla6[#All],14,FALSE)</f>
        <v>Termico Solar</v>
      </c>
      <c r="U5374" s="284" t="e">
        <f>(IF(Tabla4[[#This Row],[Familia]]="termico solar",Tabla4[[#This Row],[Utilidad Total]]*6%,Tabla4[[#This Row],[Utilidad Total]]*11.5%))/Tabla4[[#This Row],[Total]]</f>
        <v>#N/A</v>
      </c>
      <c r="V5374" s="282" t="e">
        <f>+Tabla4[[#This Row],[Comisión Calculada]]*Tabla4[[#This Row],[Total]]</f>
        <v>#N/A</v>
      </c>
    </row>
    <row r="5375" spans="1:22" hidden="1" x14ac:dyDescent="0.25">
      <c r="A5375" s="100">
        <v>45900</v>
      </c>
      <c r="B5375" t="str">
        <f t="shared" si="261"/>
        <v>August</v>
      </c>
      <c r="C5375" s="46" t="s">
        <v>280</v>
      </c>
      <c r="F5375" s="366" t="s">
        <v>2792</v>
      </c>
      <c r="G5375" s="46" t="s">
        <v>566</v>
      </c>
      <c r="H5375" s="46">
        <v>1</v>
      </c>
      <c r="I5375" s="51">
        <v>2109.4499999999998</v>
      </c>
      <c r="J5375" s="281">
        <f>++Tabla4[[#This Row],[Precio Bruto]]*1.16</f>
        <v>2446.9619999999995</v>
      </c>
      <c r="K5375" s="281">
        <f>+Tabla4[[#This Row],[Precio Unitario Neto]]*Tabla4[[#Headers],[20.85%]]</f>
        <v>510.19157699999988</v>
      </c>
      <c r="L5375" s="282">
        <f>++Tabla4[[#This Row],[Precio Unitario Neto]]-Tabla4[[#This Row],[20.85%]]</f>
        <v>1936.7704229999997</v>
      </c>
      <c r="M5375" s="282" t="e">
        <f>(INDEX(Tabla6[#All],MATCH(Tabla4[[#This Row],[Producto]],Tabla6[[#All],[PRODUCTO]],0),MATCH(Tabla4[[#This Row],[Mes]],Tabla6[#Headers],0)))*(1+Catalogos!$L$2)</f>
        <v>#N/A</v>
      </c>
      <c r="N5375" s="283" t="e">
        <f>+(Tabla4[[#This Row],[Precio Descontado]]-Tabla4[[#This Row],[Precio Base]])*Tabla4[[#This Row],[Cantidad]]</f>
        <v>#N/A</v>
      </c>
      <c r="O5375" s="284" t="e">
        <f>++Tabla4[[#This Row],[Utilidad Total]]/Tabla4[[#This Row],[Total]]</f>
        <v>#N/A</v>
      </c>
      <c r="P5375" s="282">
        <f>++Tabla4[[#This Row],[Precio Descontado]]*Tabla4[[#This Row],[Cantidad]]</f>
        <v>1936.7704229999997</v>
      </c>
      <c r="Q5375" s="282" t="e">
        <f>(INDEX(Tabla6[#All],MATCH(Tabla4[[#This Row],[Producto]],Tabla6[[#All],[PRODUCTO]],0),MATCH(Tabla4[[#This Row],[Mes]],Tabla6[#Headers],0)))</f>
        <v>#N/A</v>
      </c>
      <c r="R5375" s="282" t="e">
        <f>++Tabla4[[#This Row],[Precio Unitario Neto]]-Tabla4[[#This Row],[20.85%]]-Tabla4[[#This Row],[Costo]]</f>
        <v>#N/A</v>
      </c>
      <c r="S5375" s="282" t="e">
        <f>++Tabla4[[#This Row],[U. Bruta Uni]]*Tabla4[[#This Row],[Cantidad]]</f>
        <v>#N/A</v>
      </c>
      <c r="T5375" s="369" t="str">
        <f>VLOOKUP(Tabla4[[#This Row],[Producto]],Tabla6[#All],14,FALSE)</f>
        <v>Termico Solar</v>
      </c>
      <c r="U5375" s="284" t="e">
        <f>(IF(Tabla4[[#This Row],[Familia]]="termico solar",Tabla4[[#This Row],[Utilidad Total]]*6%,Tabla4[[#This Row],[Utilidad Total]]*11.5%))/Tabla4[[#This Row],[Total]]</f>
        <v>#N/A</v>
      </c>
      <c r="V5375" s="282" t="e">
        <f>+Tabla4[[#This Row],[Comisión Calculada]]*Tabla4[[#This Row],[Total]]</f>
        <v>#N/A</v>
      </c>
    </row>
    <row r="5376" spans="1:22" hidden="1" x14ac:dyDescent="0.25">
      <c r="A5376" s="100">
        <v>45900</v>
      </c>
      <c r="B5376" t="str">
        <f t="shared" si="261"/>
        <v>August</v>
      </c>
      <c r="C5376" s="46" t="s">
        <v>280</v>
      </c>
      <c r="F5376" s="366" t="s">
        <v>2793</v>
      </c>
      <c r="G5376" s="46" t="s">
        <v>18</v>
      </c>
      <c r="H5376" s="46">
        <v>3</v>
      </c>
      <c r="I5376" s="51">
        <v>5367.6500000000005</v>
      </c>
      <c r="J5376" s="281">
        <f>++Tabla4[[#This Row],[Precio Bruto]]*1.16</f>
        <v>6226.4740000000002</v>
      </c>
      <c r="K5376" s="281">
        <f>+Tabla4[[#This Row],[Precio Unitario Neto]]*Tabla4[[#Headers],[20.85%]]</f>
        <v>1298.2198289999999</v>
      </c>
      <c r="L5376" s="282">
        <f>++Tabla4[[#This Row],[Precio Unitario Neto]]-Tabla4[[#This Row],[20.85%]]</f>
        <v>4928.2541710000005</v>
      </c>
      <c r="M5376" s="282" t="e">
        <f>(INDEX(Tabla6[#All],MATCH(Tabla4[[#This Row],[Producto]],Tabla6[[#All],[PRODUCTO]],0),MATCH(Tabla4[[#This Row],[Mes]],Tabla6[#Headers],0)))*(1+Catalogos!$L$2)</f>
        <v>#N/A</v>
      </c>
      <c r="N5376" s="283" t="e">
        <f>+(Tabla4[[#This Row],[Precio Descontado]]-Tabla4[[#This Row],[Precio Base]])*Tabla4[[#This Row],[Cantidad]]</f>
        <v>#N/A</v>
      </c>
      <c r="O5376" s="284" t="e">
        <f>++Tabla4[[#This Row],[Utilidad Total]]/Tabla4[[#This Row],[Total]]</f>
        <v>#N/A</v>
      </c>
      <c r="P5376" s="282">
        <f>++Tabla4[[#This Row],[Precio Descontado]]*Tabla4[[#This Row],[Cantidad]]</f>
        <v>14784.762513000001</v>
      </c>
      <c r="Q5376" s="282" t="e">
        <f>(INDEX(Tabla6[#All],MATCH(Tabla4[[#This Row],[Producto]],Tabla6[[#All],[PRODUCTO]],0),MATCH(Tabla4[[#This Row],[Mes]],Tabla6[#Headers],0)))</f>
        <v>#N/A</v>
      </c>
      <c r="R5376" s="282" t="e">
        <f>++Tabla4[[#This Row],[Precio Unitario Neto]]-Tabla4[[#This Row],[20.85%]]-Tabla4[[#This Row],[Costo]]</f>
        <v>#N/A</v>
      </c>
      <c r="S5376" s="282" t="e">
        <f>++Tabla4[[#This Row],[U. Bruta Uni]]*Tabla4[[#This Row],[Cantidad]]</f>
        <v>#N/A</v>
      </c>
      <c r="T5376" s="369" t="str">
        <f>VLOOKUP(Tabla4[[#This Row],[Producto]],Tabla6[#All],14,FALSE)</f>
        <v>Termico Solar</v>
      </c>
      <c r="U5376" s="284" t="e">
        <f>(IF(Tabla4[[#This Row],[Familia]]="termico solar",Tabla4[[#This Row],[Utilidad Total]]*6%,Tabla4[[#This Row],[Utilidad Total]]*11.5%))/Tabla4[[#This Row],[Total]]</f>
        <v>#N/A</v>
      </c>
      <c r="V5376" s="282" t="e">
        <f>+Tabla4[[#This Row],[Comisión Calculada]]*Tabla4[[#This Row],[Total]]</f>
        <v>#N/A</v>
      </c>
    </row>
    <row r="5377" spans="1:22" hidden="1" x14ac:dyDescent="0.25">
      <c r="A5377" s="100">
        <v>45900</v>
      </c>
      <c r="B5377" t="str">
        <f t="shared" si="261"/>
        <v>August</v>
      </c>
      <c r="C5377" s="46" t="s">
        <v>280</v>
      </c>
      <c r="F5377" s="366" t="s">
        <v>2794</v>
      </c>
      <c r="G5377" s="46" t="s">
        <v>83</v>
      </c>
      <c r="H5377" s="46">
        <v>1</v>
      </c>
      <c r="I5377" s="51">
        <v>8858.76</v>
      </c>
      <c r="J5377" s="281">
        <f>++Tabla4[[#This Row],[Precio Bruto]]*1.16</f>
        <v>10276.161599999999</v>
      </c>
      <c r="K5377" s="281">
        <f>+Tabla4[[#This Row],[Precio Unitario Neto]]*Tabla4[[#Headers],[20.85%]]</f>
        <v>2142.5796935999997</v>
      </c>
      <c r="L5377" s="282">
        <f>++Tabla4[[#This Row],[Precio Unitario Neto]]-Tabla4[[#This Row],[20.85%]]</f>
        <v>8133.5819063999998</v>
      </c>
      <c r="M5377" s="282" t="e">
        <f>(INDEX(Tabla6[#All],MATCH(Tabla4[[#This Row],[Producto]],Tabla6[[#All],[PRODUCTO]],0),MATCH(Tabla4[[#This Row],[Mes]],Tabla6[#Headers],0)))*(1+Catalogos!$L$2)</f>
        <v>#N/A</v>
      </c>
      <c r="N5377" s="283" t="e">
        <f>+(Tabla4[[#This Row],[Precio Descontado]]-Tabla4[[#This Row],[Precio Base]])*Tabla4[[#This Row],[Cantidad]]</f>
        <v>#N/A</v>
      </c>
      <c r="O5377" s="284" t="e">
        <f>++Tabla4[[#This Row],[Utilidad Total]]/Tabla4[[#This Row],[Total]]</f>
        <v>#N/A</v>
      </c>
      <c r="P5377" s="282">
        <f>++Tabla4[[#This Row],[Precio Descontado]]*Tabla4[[#This Row],[Cantidad]]</f>
        <v>8133.5819063999998</v>
      </c>
      <c r="Q5377" s="282" t="e">
        <f>(INDEX(Tabla6[#All],MATCH(Tabla4[[#This Row],[Producto]],Tabla6[[#All],[PRODUCTO]],0),MATCH(Tabla4[[#This Row],[Mes]],Tabla6[#Headers],0)))</f>
        <v>#N/A</v>
      </c>
      <c r="R5377" s="282" t="e">
        <f>++Tabla4[[#This Row],[Precio Unitario Neto]]-Tabla4[[#This Row],[20.85%]]-Tabla4[[#This Row],[Costo]]</f>
        <v>#N/A</v>
      </c>
      <c r="S5377" s="282" t="e">
        <f>++Tabla4[[#This Row],[U. Bruta Uni]]*Tabla4[[#This Row],[Cantidad]]</f>
        <v>#N/A</v>
      </c>
      <c r="T5377" s="369" t="str">
        <f>VLOOKUP(Tabla4[[#This Row],[Producto]],Tabla6[#All],14,FALSE)</f>
        <v>Termico Solar</v>
      </c>
      <c r="U5377" s="284" t="e">
        <f>(IF(Tabla4[[#This Row],[Familia]]="termico solar",Tabla4[[#This Row],[Utilidad Total]]*6%,Tabla4[[#This Row],[Utilidad Total]]*11.5%))/Tabla4[[#This Row],[Total]]</f>
        <v>#N/A</v>
      </c>
      <c r="V5377" s="282" t="e">
        <f>+Tabla4[[#This Row],[Comisión Calculada]]*Tabla4[[#This Row],[Total]]</f>
        <v>#N/A</v>
      </c>
    </row>
    <row r="5378" spans="1:22" hidden="1" x14ac:dyDescent="0.25">
      <c r="A5378" s="100">
        <v>45900</v>
      </c>
      <c r="B5378" t="str">
        <f t="shared" si="261"/>
        <v>August</v>
      </c>
      <c r="C5378" s="46" t="s">
        <v>280</v>
      </c>
      <c r="F5378" s="366" t="s">
        <v>2794</v>
      </c>
      <c r="G5378" s="46" t="s">
        <v>17</v>
      </c>
      <c r="H5378" s="46">
        <v>1</v>
      </c>
      <c r="I5378" s="51">
        <v>4622.28</v>
      </c>
      <c r="J5378" s="281">
        <f>++Tabla4[[#This Row],[Precio Bruto]]*1.16</f>
        <v>5361.8447999999989</v>
      </c>
      <c r="K5378" s="281">
        <f>+Tabla4[[#This Row],[Precio Unitario Neto]]*Tabla4[[#Headers],[20.85%]]</f>
        <v>1117.9446407999997</v>
      </c>
      <c r="L5378" s="282">
        <f>++Tabla4[[#This Row],[Precio Unitario Neto]]-Tabla4[[#This Row],[20.85%]]</f>
        <v>4243.9001591999995</v>
      </c>
      <c r="M5378" s="282" t="e">
        <f>(INDEX(Tabla6[#All],MATCH(Tabla4[[#This Row],[Producto]],Tabla6[[#All],[PRODUCTO]],0),MATCH(Tabla4[[#This Row],[Mes]],Tabla6[#Headers],0)))*(1+Catalogos!$L$2)</f>
        <v>#N/A</v>
      </c>
      <c r="N5378" s="283" t="e">
        <f>+(Tabla4[[#This Row],[Precio Descontado]]-Tabla4[[#This Row],[Precio Base]])*Tabla4[[#This Row],[Cantidad]]</f>
        <v>#N/A</v>
      </c>
      <c r="O5378" s="284" t="e">
        <f>++Tabla4[[#This Row],[Utilidad Total]]/Tabla4[[#This Row],[Total]]</f>
        <v>#N/A</v>
      </c>
      <c r="P5378" s="282">
        <f>++Tabla4[[#This Row],[Precio Descontado]]*Tabla4[[#This Row],[Cantidad]]</f>
        <v>4243.9001591999995</v>
      </c>
      <c r="Q5378" s="282" t="e">
        <f>(INDEX(Tabla6[#All],MATCH(Tabla4[[#This Row],[Producto]],Tabla6[[#All],[PRODUCTO]],0),MATCH(Tabla4[[#This Row],[Mes]],Tabla6[#Headers],0)))</f>
        <v>#N/A</v>
      </c>
      <c r="R5378" s="282" t="e">
        <f>++Tabla4[[#This Row],[Precio Unitario Neto]]-Tabla4[[#This Row],[20.85%]]-Tabla4[[#This Row],[Costo]]</f>
        <v>#N/A</v>
      </c>
      <c r="S5378" s="282" t="e">
        <f>++Tabla4[[#This Row],[U. Bruta Uni]]*Tabla4[[#This Row],[Cantidad]]</f>
        <v>#N/A</v>
      </c>
      <c r="T5378" s="369" t="str">
        <f>VLOOKUP(Tabla4[[#This Row],[Producto]],Tabla6[#All],14,FALSE)</f>
        <v>Termico Solar</v>
      </c>
      <c r="U5378" s="284" t="e">
        <f>(IF(Tabla4[[#This Row],[Familia]]="termico solar",Tabla4[[#This Row],[Utilidad Total]]*6%,Tabla4[[#This Row],[Utilidad Total]]*11.5%))/Tabla4[[#This Row],[Total]]</f>
        <v>#N/A</v>
      </c>
      <c r="V5378" s="282" t="e">
        <f>+Tabla4[[#This Row],[Comisión Calculada]]*Tabla4[[#This Row],[Total]]</f>
        <v>#N/A</v>
      </c>
    </row>
    <row r="5379" spans="1:22" hidden="1" x14ac:dyDescent="0.25">
      <c r="A5379" s="100">
        <v>45900</v>
      </c>
      <c r="B5379" t="str">
        <f t="shared" si="261"/>
        <v>August</v>
      </c>
      <c r="C5379" s="46" t="s">
        <v>280</v>
      </c>
      <c r="F5379" s="366" t="s">
        <v>2794</v>
      </c>
      <c r="G5379" s="46" t="s">
        <v>18</v>
      </c>
      <c r="H5379" s="46">
        <v>2</v>
      </c>
      <c r="I5379" s="51">
        <v>5367.65</v>
      </c>
      <c r="J5379" s="281">
        <f>++Tabla4[[#This Row],[Precio Bruto]]*1.16</f>
        <v>6226.4739999999993</v>
      </c>
      <c r="K5379" s="281">
        <f>+Tabla4[[#This Row],[Precio Unitario Neto]]*Tabla4[[#Headers],[20.85%]]</f>
        <v>1298.2198289999999</v>
      </c>
      <c r="L5379" s="282">
        <f>++Tabla4[[#This Row],[Precio Unitario Neto]]-Tabla4[[#This Row],[20.85%]]</f>
        <v>4928.2541709999996</v>
      </c>
      <c r="M5379" s="282" t="e">
        <f>(INDEX(Tabla6[#All],MATCH(Tabla4[[#This Row],[Producto]],Tabla6[[#All],[PRODUCTO]],0),MATCH(Tabla4[[#This Row],[Mes]],Tabla6[#Headers],0)))*(1+Catalogos!$L$2)</f>
        <v>#N/A</v>
      </c>
      <c r="N5379" s="283" t="e">
        <f>+(Tabla4[[#This Row],[Precio Descontado]]-Tabla4[[#This Row],[Precio Base]])*Tabla4[[#This Row],[Cantidad]]</f>
        <v>#N/A</v>
      </c>
      <c r="O5379" s="284" t="e">
        <f>++Tabla4[[#This Row],[Utilidad Total]]/Tabla4[[#This Row],[Total]]</f>
        <v>#N/A</v>
      </c>
      <c r="P5379" s="282">
        <f>++Tabla4[[#This Row],[Precio Descontado]]*Tabla4[[#This Row],[Cantidad]]</f>
        <v>9856.5083419999992</v>
      </c>
      <c r="Q5379" s="282" t="e">
        <f>(INDEX(Tabla6[#All],MATCH(Tabla4[[#This Row],[Producto]],Tabla6[[#All],[PRODUCTO]],0),MATCH(Tabla4[[#This Row],[Mes]],Tabla6[#Headers],0)))</f>
        <v>#N/A</v>
      </c>
      <c r="R5379" s="282" t="e">
        <f>++Tabla4[[#This Row],[Precio Unitario Neto]]-Tabla4[[#This Row],[20.85%]]-Tabla4[[#This Row],[Costo]]</f>
        <v>#N/A</v>
      </c>
      <c r="S5379" s="282" t="e">
        <f>++Tabla4[[#This Row],[U. Bruta Uni]]*Tabla4[[#This Row],[Cantidad]]</f>
        <v>#N/A</v>
      </c>
      <c r="T5379" s="369" t="str">
        <f>VLOOKUP(Tabla4[[#This Row],[Producto]],Tabla6[#All],14,FALSE)</f>
        <v>Termico Solar</v>
      </c>
      <c r="U5379" s="284" t="e">
        <f>(IF(Tabla4[[#This Row],[Familia]]="termico solar",Tabla4[[#This Row],[Utilidad Total]]*6%,Tabla4[[#This Row],[Utilidad Total]]*11.5%))/Tabla4[[#This Row],[Total]]</f>
        <v>#N/A</v>
      </c>
      <c r="V5379" s="282" t="e">
        <f>+Tabla4[[#This Row],[Comisión Calculada]]*Tabla4[[#This Row],[Total]]</f>
        <v>#N/A</v>
      </c>
    </row>
    <row r="5380" spans="1:22" hidden="1" x14ac:dyDescent="0.25">
      <c r="A5380" s="100">
        <v>45900</v>
      </c>
      <c r="B5380" t="str">
        <f t="shared" si="261"/>
        <v>August</v>
      </c>
      <c r="C5380" s="46" t="s">
        <v>280</v>
      </c>
      <c r="F5380" s="366" t="s">
        <v>2795</v>
      </c>
      <c r="G5380" s="46" t="s">
        <v>83</v>
      </c>
      <c r="H5380" s="46">
        <v>3</v>
      </c>
      <c r="I5380" s="51">
        <v>8858.76</v>
      </c>
      <c r="J5380" s="281">
        <f>++Tabla4[[#This Row],[Precio Bruto]]*1.16</f>
        <v>10276.161599999999</v>
      </c>
      <c r="K5380" s="281">
        <f>+Tabla4[[#This Row],[Precio Unitario Neto]]*Tabla4[[#Headers],[20.85%]]</f>
        <v>2142.5796935999997</v>
      </c>
      <c r="L5380" s="282">
        <f>++Tabla4[[#This Row],[Precio Unitario Neto]]-Tabla4[[#This Row],[20.85%]]</f>
        <v>8133.5819063999998</v>
      </c>
      <c r="M5380" s="282" t="e">
        <f>(INDEX(Tabla6[#All],MATCH(Tabla4[[#This Row],[Producto]],Tabla6[[#All],[PRODUCTO]],0),MATCH(Tabla4[[#This Row],[Mes]],Tabla6[#Headers],0)))*(1+Catalogos!$L$2)</f>
        <v>#N/A</v>
      </c>
      <c r="N5380" s="283" t="e">
        <f>+(Tabla4[[#This Row],[Precio Descontado]]-Tabla4[[#This Row],[Precio Base]])*Tabla4[[#This Row],[Cantidad]]</f>
        <v>#N/A</v>
      </c>
      <c r="O5380" s="284" t="e">
        <f>++Tabla4[[#This Row],[Utilidad Total]]/Tabla4[[#This Row],[Total]]</f>
        <v>#N/A</v>
      </c>
      <c r="P5380" s="282">
        <f>++Tabla4[[#This Row],[Precio Descontado]]*Tabla4[[#This Row],[Cantidad]]</f>
        <v>24400.7457192</v>
      </c>
      <c r="Q5380" s="282" t="e">
        <f>(INDEX(Tabla6[#All],MATCH(Tabla4[[#This Row],[Producto]],Tabla6[[#All],[PRODUCTO]],0),MATCH(Tabla4[[#This Row],[Mes]],Tabla6[#Headers],0)))</f>
        <v>#N/A</v>
      </c>
      <c r="R5380" s="282" t="e">
        <f>++Tabla4[[#This Row],[Precio Unitario Neto]]-Tabla4[[#This Row],[20.85%]]-Tabla4[[#This Row],[Costo]]</f>
        <v>#N/A</v>
      </c>
      <c r="S5380" s="282" t="e">
        <f>++Tabla4[[#This Row],[U. Bruta Uni]]*Tabla4[[#This Row],[Cantidad]]</f>
        <v>#N/A</v>
      </c>
      <c r="T5380" s="369" t="str">
        <f>VLOOKUP(Tabla4[[#This Row],[Producto]],Tabla6[#All],14,FALSE)</f>
        <v>Termico Solar</v>
      </c>
      <c r="U5380" s="284" t="e">
        <f>(IF(Tabla4[[#This Row],[Familia]]="termico solar",Tabla4[[#This Row],[Utilidad Total]]*6%,Tabla4[[#This Row],[Utilidad Total]]*11.5%))/Tabla4[[#This Row],[Total]]</f>
        <v>#N/A</v>
      </c>
      <c r="V5380" s="282" t="e">
        <f>+Tabla4[[#This Row],[Comisión Calculada]]*Tabla4[[#This Row],[Total]]</f>
        <v>#N/A</v>
      </c>
    </row>
    <row r="5381" spans="1:22" hidden="1" x14ac:dyDescent="0.25">
      <c r="A5381" s="100">
        <v>45900</v>
      </c>
      <c r="B5381" t="str">
        <f t="shared" si="261"/>
        <v>August</v>
      </c>
      <c r="C5381" s="46" t="s">
        <v>280</v>
      </c>
      <c r="F5381" s="366" t="s">
        <v>2795</v>
      </c>
      <c r="G5381" s="46" t="s">
        <v>16</v>
      </c>
      <c r="H5381" s="46">
        <v>3</v>
      </c>
      <c r="I5381" s="51">
        <v>4103.8499999999995</v>
      </c>
      <c r="J5381" s="281">
        <f>++Tabla4[[#This Row],[Precio Bruto]]*1.16</f>
        <v>4760.4659999999994</v>
      </c>
      <c r="K5381" s="281">
        <f>+Tabla4[[#This Row],[Precio Unitario Neto]]*Tabla4[[#Headers],[20.85%]]</f>
        <v>992.55716099999984</v>
      </c>
      <c r="L5381" s="282">
        <f>++Tabla4[[#This Row],[Precio Unitario Neto]]-Tabla4[[#This Row],[20.85%]]</f>
        <v>3767.9088389999997</v>
      </c>
      <c r="M5381" s="282" t="e">
        <f>(INDEX(Tabla6[#All],MATCH(Tabla4[[#This Row],[Producto]],Tabla6[[#All],[PRODUCTO]],0),MATCH(Tabla4[[#This Row],[Mes]],Tabla6[#Headers],0)))*(1+Catalogos!$L$2)</f>
        <v>#N/A</v>
      </c>
      <c r="N5381" s="283" t="e">
        <f>+(Tabla4[[#This Row],[Precio Descontado]]-Tabla4[[#This Row],[Precio Base]])*Tabla4[[#This Row],[Cantidad]]</f>
        <v>#N/A</v>
      </c>
      <c r="O5381" s="284" t="e">
        <f>++Tabla4[[#This Row],[Utilidad Total]]/Tabla4[[#This Row],[Total]]</f>
        <v>#N/A</v>
      </c>
      <c r="P5381" s="282">
        <f>++Tabla4[[#This Row],[Precio Descontado]]*Tabla4[[#This Row],[Cantidad]]</f>
        <v>11303.726516999999</v>
      </c>
      <c r="Q5381" s="282" t="e">
        <f>(INDEX(Tabla6[#All],MATCH(Tabla4[[#This Row],[Producto]],Tabla6[[#All],[PRODUCTO]],0),MATCH(Tabla4[[#This Row],[Mes]],Tabla6[#Headers],0)))</f>
        <v>#N/A</v>
      </c>
      <c r="R5381" s="282" t="e">
        <f>++Tabla4[[#This Row],[Precio Unitario Neto]]-Tabla4[[#This Row],[20.85%]]-Tabla4[[#This Row],[Costo]]</f>
        <v>#N/A</v>
      </c>
      <c r="S5381" s="282" t="e">
        <f>++Tabla4[[#This Row],[U. Bruta Uni]]*Tabla4[[#This Row],[Cantidad]]</f>
        <v>#N/A</v>
      </c>
      <c r="T5381" s="369" t="str">
        <f>VLOOKUP(Tabla4[[#This Row],[Producto]],Tabla6[#All],14,FALSE)</f>
        <v>Termico Solar</v>
      </c>
      <c r="U5381" s="284" t="e">
        <f>(IF(Tabla4[[#This Row],[Familia]]="termico solar",Tabla4[[#This Row],[Utilidad Total]]*6%,Tabla4[[#This Row],[Utilidad Total]]*11.5%))/Tabla4[[#This Row],[Total]]</f>
        <v>#N/A</v>
      </c>
      <c r="V5381" s="282" t="e">
        <f>+Tabla4[[#This Row],[Comisión Calculada]]*Tabla4[[#This Row],[Total]]</f>
        <v>#N/A</v>
      </c>
    </row>
    <row r="5382" spans="1:22" hidden="1" x14ac:dyDescent="0.25">
      <c r="A5382" s="100">
        <v>45900</v>
      </c>
      <c r="B5382" t="str">
        <f t="shared" si="261"/>
        <v>August</v>
      </c>
      <c r="C5382" s="46" t="s">
        <v>280</v>
      </c>
      <c r="F5382" s="366" t="s">
        <v>2795</v>
      </c>
      <c r="G5382" s="46" t="s">
        <v>208</v>
      </c>
      <c r="H5382" s="46">
        <v>1</v>
      </c>
      <c r="I5382" s="51">
        <v>189.75</v>
      </c>
      <c r="J5382" s="281">
        <f>++Tabla4[[#This Row],[Precio Bruto]]*1.16</f>
        <v>220.10999999999999</v>
      </c>
      <c r="K5382" s="281">
        <f>+Tabla4[[#This Row],[Precio Unitario Neto]]*Tabla4[[#Headers],[20.85%]]</f>
        <v>45.892934999999994</v>
      </c>
      <c r="L5382" s="282">
        <f>++Tabla4[[#This Row],[Precio Unitario Neto]]-Tabla4[[#This Row],[20.85%]]</f>
        <v>174.21706499999999</v>
      </c>
      <c r="M5382" s="282" t="e">
        <f>(INDEX(Tabla6[#All],MATCH(Tabla4[[#This Row],[Producto]],Tabla6[[#All],[PRODUCTO]],0),MATCH(Tabla4[[#This Row],[Mes]],Tabla6[#Headers],0)))*(1+Catalogos!$L$2)</f>
        <v>#N/A</v>
      </c>
      <c r="N5382" s="283" t="e">
        <f>+(Tabla4[[#This Row],[Precio Descontado]]-Tabla4[[#This Row],[Precio Base]])*Tabla4[[#This Row],[Cantidad]]</f>
        <v>#N/A</v>
      </c>
      <c r="O5382" s="284" t="e">
        <f>++Tabla4[[#This Row],[Utilidad Total]]/Tabla4[[#This Row],[Total]]</f>
        <v>#N/A</v>
      </c>
      <c r="P5382" s="282">
        <f>++Tabla4[[#This Row],[Precio Descontado]]*Tabla4[[#This Row],[Cantidad]]</f>
        <v>174.21706499999999</v>
      </c>
      <c r="Q5382" s="282" t="e">
        <f>(INDEX(Tabla6[#All],MATCH(Tabla4[[#This Row],[Producto]],Tabla6[[#All],[PRODUCTO]],0),MATCH(Tabla4[[#This Row],[Mes]],Tabla6[#Headers],0)))</f>
        <v>#N/A</v>
      </c>
      <c r="R5382" s="282" t="e">
        <f>++Tabla4[[#This Row],[Precio Unitario Neto]]-Tabla4[[#This Row],[20.85%]]-Tabla4[[#This Row],[Costo]]</f>
        <v>#N/A</v>
      </c>
      <c r="S5382" s="282" t="e">
        <f>++Tabla4[[#This Row],[U. Bruta Uni]]*Tabla4[[#This Row],[Cantidad]]</f>
        <v>#N/A</v>
      </c>
      <c r="T5382" s="369" t="str">
        <f>VLOOKUP(Tabla4[[#This Row],[Producto]],Tabla6[#All],14,FALSE)</f>
        <v>Termico Solar</v>
      </c>
      <c r="U5382" s="284" t="e">
        <f>(IF(Tabla4[[#This Row],[Familia]]="termico solar",Tabla4[[#This Row],[Utilidad Total]]*6%,Tabla4[[#This Row],[Utilidad Total]]*11.5%))/Tabla4[[#This Row],[Total]]</f>
        <v>#N/A</v>
      </c>
      <c r="V5382" s="282" t="e">
        <f>+Tabla4[[#This Row],[Comisión Calculada]]*Tabla4[[#This Row],[Total]]</f>
        <v>#N/A</v>
      </c>
    </row>
    <row r="5383" spans="1:22" hidden="1" x14ac:dyDescent="0.25">
      <c r="A5383" s="100">
        <v>45900</v>
      </c>
      <c r="B5383" t="str">
        <f t="shared" si="261"/>
        <v>August</v>
      </c>
      <c r="C5383" s="46" t="s">
        <v>280</v>
      </c>
      <c r="F5383" s="366" t="s">
        <v>2796</v>
      </c>
      <c r="G5383" s="46" t="s">
        <v>83</v>
      </c>
      <c r="H5383" s="46">
        <v>1</v>
      </c>
      <c r="I5383" s="51">
        <v>8858.76</v>
      </c>
      <c r="J5383" s="281">
        <f>++Tabla4[[#This Row],[Precio Bruto]]*1.16</f>
        <v>10276.161599999999</v>
      </c>
      <c r="K5383" s="281">
        <f>+Tabla4[[#This Row],[Precio Unitario Neto]]*Tabla4[[#Headers],[20.85%]]</f>
        <v>2142.5796935999997</v>
      </c>
      <c r="L5383" s="282">
        <f>++Tabla4[[#This Row],[Precio Unitario Neto]]-Tabla4[[#This Row],[20.85%]]</f>
        <v>8133.5819063999998</v>
      </c>
      <c r="M5383" s="282" t="e">
        <f>(INDEX(Tabla6[#All],MATCH(Tabla4[[#This Row],[Producto]],Tabla6[[#All],[PRODUCTO]],0),MATCH(Tabla4[[#This Row],[Mes]],Tabla6[#Headers],0)))*(1+Catalogos!$L$2)</f>
        <v>#N/A</v>
      </c>
      <c r="N5383" s="283" t="e">
        <f>+(Tabla4[[#This Row],[Precio Descontado]]-Tabla4[[#This Row],[Precio Base]])*Tabla4[[#This Row],[Cantidad]]</f>
        <v>#N/A</v>
      </c>
      <c r="O5383" s="284" t="e">
        <f>++Tabla4[[#This Row],[Utilidad Total]]/Tabla4[[#This Row],[Total]]</f>
        <v>#N/A</v>
      </c>
      <c r="P5383" s="282">
        <f>++Tabla4[[#This Row],[Precio Descontado]]*Tabla4[[#This Row],[Cantidad]]</f>
        <v>8133.5819063999998</v>
      </c>
      <c r="Q5383" s="282" t="e">
        <f>(INDEX(Tabla6[#All],MATCH(Tabla4[[#This Row],[Producto]],Tabla6[[#All],[PRODUCTO]],0),MATCH(Tabla4[[#This Row],[Mes]],Tabla6[#Headers],0)))</f>
        <v>#N/A</v>
      </c>
      <c r="R5383" s="282" t="e">
        <f>++Tabla4[[#This Row],[Precio Unitario Neto]]-Tabla4[[#This Row],[20.85%]]-Tabla4[[#This Row],[Costo]]</f>
        <v>#N/A</v>
      </c>
      <c r="S5383" s="282" t="e">
        <f>++Tabla4[[#This Row],[U. Bruta Uni]]*Tabla4[[#This Row],[Cantidad]]</f>
        <v>#N/A</v>
      </c>
      <c r="T5383" s="369" t="str">
        <f>VLOOKUP(Tabla4[[#This Row],[Producto]],Tabla6[#All],14,FALSE)</f>
        <v>Termico Solar</v>
      </c>
      <c r="U5383" s="284" t="e">
        <f>(IF(Tabla4[[#This Row],[Familia]]="termico solar",Tabla4[[#This Row],[Utilidad Total]]*6%,Tabla4[[#This Row],[Utilidad Total]]*11.5%))/Tabla4[[#This Row],[Total]]</f>
        <v>#N/A</v>
      </c>
      <c r="V5383" s="282" t="e">
        <f>+Tabla4[[#This Row],[Comisión Calculada]]*Tabla4[[#This Row],[Total]]</f>
        <v>#N/A</v>
      </c>
    </row>
    <row r="5384" spans="1:22" hidden="1" x14ac:dyDescent="0.25">
      <c r="A5384" s="100">
        <v>45900</v>
      </c>
      <c r="B5384" t="str">
        <f t="shared" si="261"/>
        <v>August</v>
      </c>
      <c r="C5384" s="46" t="s">
        <v>280</v>
      </c>
      <c r="F5384" s="366" t="s">
        <v>2796</v>
      </c>
      <c r="G5384" s="46" t="s">
        <v>16</v>
      </c>
      <c r="H5384" s="46">
        <v>1</v>
      </c>
      <c r="I5384" s="51">
        <v>4103.8500000000004</v>
      </c>
      <c r="J5384" s="281">
        <f>++Tabla4[[#This Row],[Precio Bruto]]*1.16</f>
        <v>4760.4660000000003</v>
      </c>
      <c r="K5384" s="281">
        <f>+Tabla4[[#This Row],[Precio Unitario Neto]]*Tabla4[[#Headers],[20.85%]]</f>
        <v>992.55716100000006</v>
      </c>
      <c r="L5384" s="282">
        <f>++Tabla4[[#This Row],[Precio Unitario Neto]]-Tabla4[[#This Row],[20.85%]]</f>
        <v>3767.9088390000002</v>
      </c>
      <c r="M5384" s="282" t="e">
        <f>(INDEX(Tabla6[#All],MATCH(Tabla4[[#This Row],[Producto]],Tabla6[[#All],[PRODUCTO]],0),MATCH(Tabla4[[#This Row],[Mes]],Tabla6[#Headers],0)))*(1+Catalogos!$L$2)</f>
        <v>#N/A</v>
      </c>
      <c r="N5384" s="283" t="e">
        <f>+(Tabla4[[#This Row],[Precio Descontado]]-Tabla4[[#This Row],[Precio Base]])*Tabla4[[#This Row],[Cantidad]]</f>
        <v>#N/A</v>
      </c>
      <c r="O5384" s="284" t="e">
        <f>++Tabla4[[#This Row],[Utilidad Total]]/Tabla4[[#This Row],[Total]]</f>
        <v>#N/A</v>
      </c>
      <c r="P5384" s="282">
        <f>++Tabla4[[#This Row],[Precio Descontado]]*Tabla4[[#This Row],[Cantidad]]</f>
        <v>3767.9088390000002</v>
      </c>
      <c r="Q5384" s="282" t="e">
        <f>(INDEX(Tabla6[#All],MATCH(Tabla4[[#This Row],[Producto]],Tabla6[[#All],[PRODUCTO]],0),MATCH(Tabla4[[#This Row],[Mes]],Tabla6[#Headers],0)))</f>
        <v>#N/A</v>
      </c>
      <c r="R5384" s="282" t="e">
        <f>++Tabla4[[#This Row],[Precio Unitario Neto]]-Tabla4[[#This Row],[20.85%]]-Tabla4[[#This Row],[Costo]]</f>
        <v>#N/A</v>
      </c>
      <c r="S5384" s="282" t="e">
        <f>++Tabla4[[#This Row],[U. Bruta Uni]]*Tabla4[[#This Row],[Cantidad]]</f>
        <v>#N/A</v>
      </c>
      <c r="T5384" s="369" t="str">
        <f>VLOOKUP(Tabla4[[#This Row],[Producto]],Tabla6[#All],14,FALSE)</f>
        <v>Termico Solar</v>
      </c>
      <c r="U5384" s="284" t="e">
        <f>(IF(Tabla4[[#This Row],[Familia]]="termico solar",Tabla4[[#This Row],[Utilidad Total]]*6%,Tabla4[[#This Row],[Utilidad Total]]*11.5%))/Tabla4[[#This Row],[Total]]</f>
        <v>#N/A</v>
      </c>
      <c r="V5384" s="282" t="e">
        <f>+Tabla4[[#This Row],[Comisión Calculada]]*Tabla4[[#This Row],[Total]]</f>
        <v>#N/A</v>
      </c>
    </row>
    <row r="5385" spans="1:22" hidden="1" x14ac:dyDescent="0.25">
      <c r="A5385" s="100">
        <v>45900</v>
      </c>
      <c r="B5385" t="str">
        <f t="shared" si="261"/>
        <v>August</v>
      </c>
      <c r="C5385" s="46" t="s">
        <v>280</v>
      </c>
      <c r="F5385" s="366" t="s">
        <v>2796</v>
      </c>
      <c r="G5385" s="46" t="s">
        <v>555</v>
      </c>
      <c r="H5385" s="46">
        <v>8</v>
      </c>
      <c r="I5385" s="51">
        <v>389.47</v>
      </c>
      <c r="J5385" s="281">
        <f>++Tabla4[[#This Row],[Precio Bruto]]*1.16</f>
        <v>451.78519999999997</v>
      </c>
      <c r="K5385" s="281">
        <f>+Tabla4[[#This Row],[Precio Unitario Neto]]*Tabla4[[#Headers],[20.85%]]</f>
        <v>94.197214199999991</v>
      </c>
      <c r="L5385" s="282">
        <f>++Tabla4[[#This Row],[Precio Unitario Neto]]-Tabla4[[#This Row],[20.85%]]</f>
        <v>357.58798579999996</v>
      </c>
      <c r="M5385" s="282" t="e">
        <f>(INDEX(Tabla6[#All],MATCH(Tabla4[[#This Row],[Producto]],Tabla6[[#All],[PRODUCTO]],0),MATCH(Tabla4[[#This Row],[Mes]],Tabla6[#Headers],0)))*(1+Catalogos!$L$2)</f>
        <v>#N/A</v>
      </c>
      <c r="N5385" s="283" t="e">
        <f>+(Tabla4[[#This Row],[Precio Descontado]]-Tabla4[[#This Row],[Precio Base]])*Tabla4[[#This Row],[Cantidad]]</f>
        <v>#N/A</v>
      </c>
      <c r="O5385" s="284" t="e">
        <f>++Tabla4[[#This Row],[Utilidad Total]]/Tabla4[[#This Row],[Total]]</f>
        <v>#N/A</v>
      </c>
      <c r="P5385" s="282">
        <f>++Tabla4[[#This Row],[Precio Descontado]]*Tabla4[[#This Row],[Cantidad]]</f>
        <v>2860.7038863999996</v>
      </c>
      <c r="Q5385" s="282" t="e">
        <f>(INDEX(Tabla6[#All],MATCH(Tabla4[[#This Row],[Producto]],Tabla6[[#All],[PRODUCTO]],0),MATCH(Tabla4[[#This Row],[Mes]],Tabla6[#Headers],0)))</f>
        <v>#N/A</v>
      </c>
      <c r="R5385" s="282" t="e">
        <f>++Tabla4[[#This Row],[Precio Unitario Neto]]-Tabla4[[#This Row],[20.85%]]-Tabla4[[#This Row],[Costo]]</f>
        <v>#N/A</v>
      </c>
      <c r="S5385" s="282" t="e">
        <f>++Tabla4[[#This Row],[U. Bruta Uni]]*Tabla4[[#This Row],[Cantidad]]</f>
        <v>#N/A</v>
      </c>
      <c r="T5385" s="369" t="str">
        <f>VLOOKUP(Tabla4[[#This Row],[Producto]],Tabla6[#All],14,FALSE)</f>
        <v>Termico Solar</v>
      </c>
      <c r="U5385" s="284" t="e">
        <f>(IF(Tabla4[[#This Row],[Familia]]="termico solar",Tabla4[[#This Row],[Utilidad Total]]*6%,Tabla4[[#This Row],[Utilidad Total]]*11.5%))/Tabla4[[#This Row],[Total]]</f>
        <v>#N/A</v>
      </c>
      <c r="V5385" s="282" t="e">
        <f>+Tabla4[[#This Row],[Comisión Calculada]]*Tabla4[[#This Row],[Total]]</f>
        <v>#N/A</v>
      </c>
    </row>
    <row r="5386" spans="1:22" hidden="1" x14ac:dyDescent="0.25">
      <c r="A5386" s="100">
        <v>45900</v>
      </c>
      <c r="B5386" t="str">
        <f t="shared" si="261"/>
        <v>August</v>
      </c>
      <c r="C5386" s="46" t="s">
        <v>280</v>
      </c>
      <c r="F5386" s="366" t="s">
        <v>2797</v>
      </c>
      <c r="G5386" s="46" t="s">
        <v>17</v>
      </c>
      <c r="H5386" s="46">
        <v>1</v>
      </c>
      <c r="I5386" s="51">
        <v>4622.28</v>
      </c>
      <c r="J5386" s="281">
        <f>++Tabla4[[#This Row],[Precio Bruto]]*1.16</f>
        <v>5361.8447999999989</v>
      </c>
      <c r="K5386" s="281">
        <f>+Tabla4[[#This Row],[Precio Unitario Neto]]*Tabla4[[#Headers],[20.85%]]</f>
        <v>1117.9446407999997</v>
      </c>
      <c r="L5386" s="282">
        <f>++Tabla4[[#This Row],[Precio Unitario Neto]]-Tabla4[[#This Row],[20.85%]]</f>
        <v>4243.9001591999995</v>
      </c>
      <c r="M5386" s="282" t="e">
        <f>(INDEX(Tabla6[#All],MATCH(Tabla4[[#This Row],[Producto]],Tabla6[[#All],[PRODUCTO]],0),MATCH(Tabla4[[#This Row],[Mes]],Tabla6[#Headers],0)))*(1+Catalogos!$L$2)</f>
        <v>#N/A</v>
      </c>
      <c r="N5386" s="283" t="e">
        <f>+(Tabla4[[#This Row],[Precio Descontado]]-Tabla4[[#This Row],[Precio Base]])*Tabla4[[#This Row],[Cantidad]]</f>
        <v>#N/A</v>
      </c>
      <c r="O5386" s="284" t="e">
        <f>++Tabla4[[#This Row],[Utilidad Total]]/Tabla4[[#This Row],[Total]]</f>
        <v>#N/A</v>
      </c>
      <c r="P5386" s="282">
        <f>++Tabla4[[#This Row],[Precio Descontado]]*Tabla4[[#This Row],[Cantidad]]</f>
        <v>4243.9001591999995</v>
      </c>
      <c r="Q5386" s="282" t="e">
        <f>(INDEX(Tabla6[#All],MATCH(Tabla4[[#This Row],[Producto]],Tabla6[[#All],[PRODUCTO]],0),MATCH(Tabla4[[#This Row],[Mes]],Tabla6[#Headers],0)))</f>
        <v>#N/A</v>
      </c>
      <c r="R5386" s="282" t="e">
        <f>++Tabla4[[#This Row],[Precio Unitario Neto]]-Tabla4[[#This Row],[20.85%]]-Tabla4[[#This Row],[Costo]]</f>
        <v>#N/A</v>
      </c>
      <c r="S5386" s="282" t="e">
        <f>++Tabla4[[#This Row],[U. Bruta Uni]]*Tabla4[[#This Row],[Cantidad]]</f>
        <v>#N/A</v>
      </c>
      <c r="T5386" s="369" t="str">
        <f>VLOOKUP(Tabla4[[#This Row],[Producto]],Tabla6[#All],14,FALSE)</f>
        <v>Termico Solar</v>
      </c>
      <c r="U5386" s="284" t="e">
        <f>(IF(Tabla4[[#This Row],[Familia]]="termico solar",Tabla4[[#This Row],[Utilidad Total]]*6%,Tabla4[[#This Row],[Utilidad Total]]*11.5%))/Tabla4[[#This Row],[Total]]</f>
        <v>#N/A</v>
      </c>
      <c r="V5386" s="282" t="e">
        <f>+Tabla4[[#This Row],[Comisión Calculada]]*Tabla4[[#This Row],[Total]]</f>
        <v>#N/A</v>
      </c>
    </row>
    <row r="5387" spans="1:22" hidden="1" x14ac:dyDescent="0.25">
      <c r="A5387" s="100">
        <v>45900</v>
      </c>
      <c r="B5387" t="str">
        <f t="shared" si="261"/>
        <v>August</v>
      </c>
      <c r="C5387" s="46" t="s">
        <v>280</v>
      </c>
      <c r="F5387" s="366" t="s">
        <v>2797</v>
      </c>
      <c r="G5387" s="46" t="s">
        <v>18</v>
      </c>
      <c r="H5387" s="46">
        <v>1</v>
      </c>
      <c r="I5387" s="51">
        <v>5367.65</v>
      </c>
      <c r="J5387" s="281">
        <f>++Tabla4[[#This Row],[Precio Bruto]]*1.16</f>
        <v>6226.4739999999993</v>
      </c>
      <c r="K5387" s="281">
        <f>+Tabla4[[#This Row],[Precio Unitario Neto]]*Tabla4[[#Headers],[20.85%]]</f>
        <v>1298.2198289999999</v>
      </c>
      <c r="L5387" s="282">
        <f>++Tabla4[[#This Row],[Precio Unitario Neto]]-Tabla4[[#This Row],[20.85%]]</f>
        <v>4928.2541709999996</v>
      </c>
      <c r="M5387" s="282" t="e">
        <f>(INDEX(Tabla6[#All],MATCH(Tabla4[[#This Row],[Producto]],Tabla6[[#All],[PRODUCTO]],0),MATCH(Tabla4[[#This Row],[Mes]],Tabla6[#Headers],0)))*(1+Catalogos!$L$2)</f>
        <v>#N/A</v>
      </c>
      <c r="N5387" s="283" t="e">
        <f>+(Tabla4[[#This Row],[Precio Descontado]]-Tabla4[[#This Row],[Precio Base]])*Tabla4[[#This Row],[Cantidad]]</f>
        <v>#N/A</v>
      </c>
      <c r="O5387" s="284" t="e">
        <f>++Tabla4[[#This Row],[Utilidad Total]]/Tabla4[[#This Row],[Total]]</f>
        <v>#N/A</v>
      </c>
      <c r="P5387" s="282">
        <f>++Tabla4[[#This Row],[Precio Descontado]]*Tabla4[[#This Row],[Cantidad]]</f>
        <v>4928.2541709999996</v>
      </c>
      <c r="Q5387" s="282" t="e">
        <f>(INDEX(Tabla6[#All],MATCH(Tabla4[[#This Row],[Producto]],Tabla6[[#All],[PRODUCTO]],0),MATCH(Tabla4[[#This Row],[Mes]],Tabla6[#Headers],0)))</f>
        <v>#N/A</v>
      </c>
      <c r="R5387" s="282" t="e">
        <f>++Tabla4[[#This Row],[Precio Unitario Neto]]-Tabla4[[#This Row],[20.85%]]-Tabla4[[#This Row],[Costo]]</f>
        <v>#N/A</v>
      </c>
      <c r="S5387" s="282" t="e">
        <f>++Tabla4[[#This Row],[U. Bruta Uni]]*Tabla4[[#This Row],[Cantidad]]</f>
        <v>#N/A</v>
      </c>
      <c r="T5387" s="369" t="str">
        <f>VLOOKUP(Tabla4[[#This Row],[Producto]],Tabla6[#All],14,FALSE)</f>
        <v>Termico Solar</v>
      </c>
      <c r="U5387" s="284" t="e">
        <f>(IF(Tabla4[[#This Row],[Familia]]="termico solar",Tabla4[[#This Row],[Utilidad Total]]*6%,Tabla4[[#This Row],[Utilidad Total]]*11.5%))/Tabla4[[#This Row],[Total]]</f>
        <v>#N/A</v>
      </c>
      <c r="V5387" s="282" t="e">
        <f>+Tabla4[[#This Row],[Comisión Calculada]]*Tabla4[[#This Row],[Total]]</f>
        <v>#N/A</v>
      </c>
    </row>
    <row r="5388" spans="1:22" hidden="1" x14ac:dyDescent="0.25">
      <c r="A5388" s="100">
        <v>45900</v>
      </c>
      <c r="B5388" t="str">
        <f t="shared" si="261"/>
        <v>August</v>
      </c>
      <c r="C5388" s="46" t="s">
        <v>280</v>
      </c>
      <c r="F5388" s="366" t="s">
        <v>2798</v>
      </c>
      <c r="G5388" s="46" t="s">
        <v>83</v>
      </c>
      <c r="H5388" s="46">
        <v>2</v>
      </c>
      <c r="I5388" s="51">
        <v>8858.76</v>
      </c>
      <c r="J5388" s="281">
        <f>++Tabla4[[#This Row],[Precio Bruto]]*1.16</f>
        <v>10276.161599999999</v>
      </c>
      <c r="K5388" s="281">
        <f>+Tabla4[[#This Row],[Precio Unitario Neto]]*Tabla4[[#Headers],[20.85%]]</f>
        <v>2142.5796935999997</v>
      </c>
      <c r="L5388" s="282">
        <f>++Tabla4[[#This Row],[Precio Unitario Neto]]-Tabla4[[#This Row],[20.85%]]</f>
        <v>8133.5819063999998</v>
      </c>
      <c r="M5388" s="282" t="e">
        <f>(INDEX(Tabla6[#All],MATCH(Tabla4[[#This Row],[Producto]],Tabla6[[#All],[PRODUCTO]],0),MATCH(Tabla4[[#This Row],[Mes]],Tabla6[#Headers],0)))*(1+Catalogos!$L$2)</f>
        <v>#N/A</v>
      </c>
      <c r="N5388" s="283" t="e">
        <f>+(Tabla4[[#This Row],[Precio Descontado]]-Tabla4[[#This Row],[Precio Base]])*Tabla4[[#This Row],[Cantidad]]</f>
        <v>#N/A</v>
      </c>
      <c r="O5388" s="284" t="e">
        <f>++Tabla4[[#This Row],[Utilidad Total]]/Tabla4[[#This Row],[Total]]</f>
        <v>#N/A</v>
      </c>
      <c r="P5388" s="282">
        <f>++Tabla4[[#This Row],[Precio Descontado]]*Tabla4[[#This Row],[Cantidad]]</f>
        <v>16267.1638128</v>
      </c>
      <c r="Q5388" s="282" t="e">
        <f>(INDEX(Tabla6[#All],MATCH(Tabla4[[#This Row],[Producto]],Tabla6[[#All],[PRODUCTO]],0),MATCH(Tabla4[[#This Row],[Mes]],Tabla6[#Headers],0)))</f>
        <v>#N/A</v>
      </c>
      <c r="R5388" s="282" t="e">
        <f>++Tabla4[[#This Row],[Precio Unitario Neto]]-Tabla4[[#This Row],[20.85%]]-Tabla4[[#This Row],[Costo]]</f>
        <v>#N/A</v>
      </c>
      <c r="S5388" s="282" t="e">
        <f>++Tabla4[[#This Row],[U. Bruta Uni]]*Tabla4[[#This Row],[Cantidad]]</f>
        <v>#N/A</v>
      </c>
      <c r="T5388" s="369" t="str">
        <f>VLOOKUP(Tabla4[[#This Row],[Producto]],Tabla6[#All],14,FALSE)</f>
        <v>Termico Solar</v>
      </c>
      <c r="U5388" s="284" t="e">
        <f>(IF(Tabla4[[#This Row],[Familia]]="termico solar",Tabla4[[#This Row],[Utilidad Total]]*6%,Tabla4[[#This Row],[Utilidad Total]]*11.5%))/Tabla4[[#This Row],[Total]]</f>
        <v>#N/A</v>
      </c>
      <c r="V5388" s="282" t="e">
        <f>+Tabla4[[#This Row],[Comisión Calculada]]*Tabla4[[#This Row],[Total]]</f>
        <v>#N/A</v>
      </c>
    </row>
    <row r="5389" spans="1:22" hidden="1" x14ac:dyDescent="0.25">
      <c r="A5389" s="100">
        <v>45900</v>
      </c>
      <c r="B5389" t="str">
        <f t="shared" si="261"/>
        <v>August</v>
      </c>
      <c r="C5389" s="46" t="s">
        <v>280</v>
      </c>
      <c r="F5389" s="366" t="s">
        <v>2798</v>
      </c>
      <c r="G5389" s="46" t="s">
        <v>17</v>
      </c>
      <c r="H5389" s="46">
        <v>2</v>
      </c>
      <c r="I5389" s="51">
        <v>4622.28</v>
      </c>
      <c r="J5389" s="281">
        <f>++Tabla4[[#This Row],[Precio Bruto]]*1.16</f>
        <v>5361.8447999999989</v>
      </c>
      <c r="K5389" s="281">
        <f>+Tabla4[[#This Row],[Precio Unitario Neto]]*Tabla4[[#Headers],[20.85%]]</f>
        <v>1117.9446407999997</v>
      </c>
      <c r="L5389" s="282">
        <f>++Tabla4[[#This Row],[Precio Unitario Neto]]-Tabla4[[#This Row],[20.85%]]</f>
        <v>4243.9001591999995</v>
      </c>
      <c r="M5389" s="282" t="e">
        <f>(INDEX(Tabla6[#All],MATCH(Tabla4[[#This Row],[Producto]],Tabla6[[#All],[PRODUCTO]],0),MATCH(Tabla4[[#This Row],[Mes]],Tabla6[#Headers],0)))*(1+Catalogos!$L$2)</f>
        <v>#N/A</v>
      </c>
      <c r="N5389" s="283" t="e">
        <f>+(Tabla4[[#This Row],[Precio Descontado]]-Tabla4[[#This Row],[Precio Base]])*Tabla4[[#This Row],[Cantidad]]</f>
        <v>#N/A</v>
      </c>
      <c r="O5389" s="284" t="e">
        <f>++Tabla4[[#This Row],[Utilidad Total]]/Tabla4[[#This Row],[Total]]</f>
        <v>#N/A</v>
      </c>
      <c r="P5389" s="282">
        <f>++Tabla4[[#This Row],[Precio Descontado]]*Tabla4[[#This Row],[Cantidad]]</f>
        <v>8487.800318399999</v>
      </c>
      <c r="Q5389" s="282" t="e">
        <f>(INDEX(Tabla6[#All],MATCH(Tabla4[[#This Row],[Producto]],Tabla6[[#All],[PRODUCTO]],0),MATCH(Tabla4[[#This Row],[Mes]],Tabla6[#Headers],0)))</f>
        <v>#N/A</v>
      </c>
      <c r="R5389" s="282" t="e">
        <f>++Tabla4[[#This Row],[Precio Unitario Neto]]-Tabla4[[#This Row],[20.85%]]-Tabla4[[#This Row],[Costo]]</f>
        <v>#N/A</v>
      </c>
      <c r="S5389" s="282" t="e">
        <f>++Tabla4[[#This Row],[U. Bruta Uni]]*Tabla4[[#This Row],[Cantidad]]</f>
        <v>#N/A</v>
      </c>
      <c r="T5389" s="369" t="str">
        <f>VLOOKUP(Tabla4[[#This Row],[Producto]],Tabla6[#All],14,FALSE)</f>
        <v>Termico Solar</v>
      </c>
      <c r="U5389" s="284" t="e">
        <f>(IF(Tabla4[[#This Row],[Familia]]="termico solar",Tabla4[[#This Row],[Utilidad Total]]*6%,Tabla4[[#This Row],[Utilidad Total]]*11.5%))/Tabla4[[#This Row],[Total]]</f>
        <v>#N/A</v>
      </c>
      <c r="V5389" s="282" t="e">
        <f>+Tabla4[[#This Row],[Comisión Calculada]]*Tabla4[[#This Row],[Total]]</f>
        <v>#N/A</v>
      </c>
    </row>
    <row r="5390" spans="1:22" hidden="1" x14ac:dyDescent="0.25">
      <c r="A5390" s="100">
        <v>45900</v>
      </c>
      <c r="B5390" t="str">
        <f t="shared" si="261"/>
        <v>August</v>
      </c>
      <c r="C5390" s="46" t="s">
        <v>280</v>
      </c>
      <c r="F5390" s="366" t="s">
        <v>2798</v>
      </c>
      <c r="G5390" s="46" t="s">
        <v>18</v>
      </c>
      <c r="H5390" s="46">
        <v>4</v>
      </c>
      <c r="I5390" s="51">
        <v>5367.65</v>
      </c>
      <c r="J5390" s="281">
        <f>++Tabla4[[#This Row],[Precio Bruto]]*1.16</f>
        <v>6226.4739999999993</v>
      </c>
      <c r="K5390" s="281">
        <f>+Tabla4[[#This Row],[Precio Unitario Neto]]*Tabla4[[#Headers],[20.85%]]</f>
        <v>1298.2198289999999</v>
      </c>
      <c r="L5390" s="282">
        <f>++Tabla4[[#This Row],[Precio Unitario Neto]]-Tabla4[[#This Row],[20.85%]]</f>
        <v>4928.2541709999996</v>
      </c>
      <c r="M5390" s="282" t="e">
        <f>(INDEX(Tabla6[#All],MATCH(Tabla4[[#This Row],[Producto]],Tabla6[[#All],[PRODUCTO]],0),MATCH(Tabla4[[#This Row],[Mes]],Tabla6[#Headers],0)))*(1+Catalogos!$L$2)</f>
        <v>#N/A</v>
      </c>
      <c r="N5390" s="283" t="e">
        <f>+(Tabla4[[#This Row],[Precio Descontado]]-Tabla4[[#This Row],[Precio Base]])*Tabla4[[#This Row],[Cantidad]]</f>
        <v>#N/A</v>
      </c>
      <c r="O5390" s="284" t="e">
        <f>++Tabla4[[#This Row],[Utilidad Total]]/Tabla4[[#This Row],[Total]]</f>
        <v>#N/A</v>
      </c>
      <c r="P5390" s="282">
        <f>++Tabla4[[#This Row],[Precio Descontado]]*Tabla4[[#This Row],[Cantidad]]</f>
        <v>19713.016683999998</v>
      </c>
      <c r="Q5390" s="282" t="e">
        <f>(INDEX(Tabla6[#All],MATCH(Tabla4[[#This Row],[Producto]],Tabla6[[#All],[PRODUCTO]],0),MATCH(Tabla4[[#This Row],[Mes]],Tabla6[#Headers],0)))</f>
        <v>#N/A</v>
      </c>
      <c r="R5390" s="282" t="e">
        <f>++Tabla4[[#This Row],[Precio Unitario Neto]]-Tabla4[[#This Row],[20.85%]]-Tabla4[[#This Row],[Costo]]</f>
        <v>#N/A</v>
      </c>
      <c r="S5390" s="282" t="e">
        <f>++Tabla4[[#This Row],[U. Bruta Uni]]*Tabla4[[#This Row],[Cantidad]]</f>
        <v>#N/A</v>
      </c>
      <c r="T5390" s="369" t="str">
        <f>VLOOKUP(Tabla4[[#This Row],[Producto]],Tabla6[#All],14,FALSE)</f>
        <v>Termico Solar</v>
      </c>
      <c r="U5390" s="284" t="e">
        <f>(IF(Tabla4[[#This Row],[Familia]]="termico solar",Tabla4[[#This Row],[Utilidad Total]]*6%,Tabla4[[#This Row],[Utilidad Total]]*11.5%))/Tabla4[[#This Row],[Total]]</f>
        <v>#N/A</v>
      </c>
      <c r="V5390" s="282" t="e">
        <f>+Tabla4[[#This Row],[Comisión Calculada]]*Tabla4[[#This Row],[Total]]</f>
        <v>#N/A</v>
      </c>
    </row>
    <row r="5391" spans="1:22" hidden="1" x14ac:dyDescent="0.25">
      <c r="A5391" s="100">
        <v>45900</v>
      </c>
      <c r="B5391" t="str">
        <f t="shared" si="261"/>
        <v>August</v>
      </c>
      <c r="C5391" s="46" t="s">
        <v>280</v>
      </c>
      <c r="F5391" s="366" t="s">
        <v>2798</v>
      </c>
      <c r="G5391" s="46" t="s">
        <v>19</v>
      </c>
      <c r="H5391" s="46">
        <v>2</v>
      </c>
      <c r="I5391" s="51">
        <v>6412.03</v>
      </c>
      <c r="J5391" s="281">
        <f>++Tabla4[[#This Row],[Precio Bruto]]*1.16</f>
        <v>7437.9547999999995</v>
      </c>
      <c r="K5391" s="281">
        <f>+Tabla4[[#This Row],[Precio Unitario Neto]]*Tabla4[[#Headers],[20.85%]]</f>
        <v>1550.8135757999999</v>
      </c>
      <c r="L5391" s="282">
        <f>++Tabla4[[#This Row],[Precio Unitario Neto]]-Tabla4[[#This Row],[20.85%]]</f>
        <v>5887.1412241999997</v>
      </c>
      <c r="M5391" s="282" t="e">
        <f>(INDEX(Tabla6[#All],MATCH(Tabla4[[#This Row],[Producto]],Tabla6[[#All],[PRODUCTO]],0),MATCH(Tabla4[[#This Row],[Mes]],Tabla6[#Headers],0)))*(1+Catalogos!$L$2)</f>
        <v>#N/A</v>
      </c>
      <c r="N5391" s="283" t="e">
        <f>+(Tabla4[[#This Row],[Precio Descontado]]-Tabla4[[#This Row],[Precio Base]])*Tabla4[[#This Row],[Cantidad]]</f>
        <v>#N/A</v>
      </c>
      <c r="O5391" s="284" t="e">
        <f>++Tabla4[[#This Row],[Utilidad Total]]/Tabla4[[#This Row],[Total]]</f>
        <v>#N/A</v>
      </c>
      <c r="P5391" s="282">
        <f>++Tabla4[[#This Row],[Precio Descontado]]*Tabla4[[#This Row],[Cantidad]]</f>
        <v>11774.282448399999</v>
      </c>
      <c r="Q5391" s="282" t="e">
        <f>(INDEX(Tabla6[#All],MATCH(Tabla4[[#This Row],[Producto]],Tabla6[[#All],[PRODUCTO]],0),MATCH(Tabla4[[#This Row],[Mes]],Tabla6[#Headers],0)))</f>
        <v>#N/A</v>
      </c>
      <c r="R5391" s="282" t="e">
        <f>++Tabla4[[#This Row],[Precio Unitario Neto]]-Tabla4[[#This Row],[20.85%]]-Tabla4[[#This Row],[Costo]]</f>
        <v>#N/A</v>
      </c>
      <c r="S5391" s="282" t="e">
        <f>++Tabla4[[#This Row],[U. Bruta Uni]]*Tabla4[[#This Row],[Cantidad]]</f>
        <v>#N/A</v>
      </c>
      <c r="T5391" s="369" t="str">
        <f>VLOOKUP(Tabla4[[#This Row],[Producto]],Tabla6[#All],14,FALSE)</f>
        <v>Termico Solar</v>
      </c>
      <c r="U5391" s="284" t="e">
        <f>(IF(Tabla4[[#This Row],[Familia]]="termico solar",Tabla4[[#This Row],[Utilidad Total]]*6%,Tabla4[[#This Row],[Utilidad Total]]*11.5%))/Tabla4[[#This Row],[Total]]</f>
        <v>#N/A</v>
      </c>
      <c r="V5391" s="282" t="e">
        <f>+Tabla4[[#This Row],[Comisión Calculada]]*Tabla4[[#This Row],[Total]]</f>
        <v>#N/A</v>
      </c>
    </row>
    <row r="5392" spans="1:22" hidden="1" x14ac:dyDescent="0.25">
      <c r="A5392" s="100">
        <v>45900</v>
      </c>
      <c r="B5392" t="str">
        <f t="shared" ref="B5392:B5423" si="262">TEXT(A5392, "mmmm")</f>
        <v>August</v>
      </c>
      <c r="C5392" s="46" t="s">
        <v>280</v>
      </c>
      <c r="F5392" s="366" t="s">
        <v>2798</v>
      </c>
      <c r="G5392" s="46" t="s">
        <v>566</v>
      </c>
      <c r="H5392" s="46">
        <v>2</v>
      </c>
      <c r="I5392" s="51">
        <v>2109.4499999999998</v>
      </c>
      <c r="J5392" s="281">
        <f>++Tabla4[[#This Row],[Precio Bruto]]*1.16</f>
        <v>2446.9619999999995</v>
      </c>
      <c r="K5392" s="281">
        <f>+Tabla4[[#This Row],[Precio Unitario Neto]]*Tabla4[[#Headers],[20.85%]]</f>
        <v>510.19157699999988</v>
      </c>
      <c r="L5392" s="282">
        <f>++Tabla4[[#This Row],[Precio Unitario Neto]]-Tabla4[[#This Row],[20.85%]]</f>
        <v>1936.7704229999997</v>
      </c>
      <c r="M5392" s="282" t="e">
        <f>(INDEX(Tabla6[#All],MATCH(Tabla4[[#This Row],[Producto]],Tabla6[[#All],[PRODUCTO]],0),MATCH(Tabla4[[#This Row],[Mes]],Tabla6[#Headers],0)))*(1+Catalogos!$L$2)</f>
        <v>#N/A</v>
      </c>
      <c r="N5392" s="283" t="e">
        <f>+(Tabla4[[#This Row],[Precio Descontado]]-Tabla4[[#This Row],[Precio Base]])*Tabla4[[#This Row],[Cantidad]]</f>
        <v>#N/A</v>
      </c>
      <c r="O5392" s="284" t="e">
        <f>++Tabla4[[#This Row],[Utilidad Total]]/Tabla4[[#This Row],[Total]]</f>
        <v>#N/A</v>
      </c>
      <c r="P5392" s="282">
        <f>++Tabla4[[#This Row],[Precio Descontado]]*Tabla4[[#This Row],[Cantidad]]</f>
        <v>3873.5408459999994</v>
      </c>
      <c r="Q5392" s="282" t="e">
        <f>(INDEX(Tabla6[#All],MATCH(Tabla4[[#This Row],[Producto]],Tabla6[[#All],[PRODUCTO]],0),MATCH(Tabla4[[#This Row],[Mes]],Tabla6[#Headers],0)))</f>
        <v>#N/A</v>
      </c>
      <c r="R5392" s="282" t="e">
        <f>++Tabla4[[#This Row],[Precio Unitario Neto]]-Tabla4[[#This Row],[20.85%]]-Tabla4[[#This Row],[Costo]]</f>
        <v>#N/A</v>
      </c>
      <c r="S5392" s="282" t="e">
        <f>++Tabla4[[#This Row],[U. Bruta Uni]]*Tabla4[[#This Row],[Cantidad]]</f>
        <v>#N/A</v>
      </c>
      <c r="T5392" s="369" t="str">
        <f>VLOOKUP(Tabla4[[#This Row],[Producto]],Tabla6[#All],14,FALSE)</f>
        <v>Termico Solar</v>
      </c>
      <c r="U5392" s="284" t="e">
        <f>(IF(Tabla4[[#This Row],[Familia]]="termico solar",Tabla4[[#This Row],[Utilidad Total]]*6%,Tabla4[[#This Row],[Utilidad Total]]*11.5%))/Tabla4[[#This Row],[Total]]</f>
        <v>#N/A</v>
      </c>
      <c r="V5392" s="282" t="e">
        <f>+Tabla4[[#This Row],[Comisión Calculada]]*Tabla4[[#This Row],[Total]]</f>
        <v>#N/A</v>
      </c>
    </row>
    <row r="5393" spans="1:22" hidden="1" x14ac:dyDescent="0.25">
      <c r="A5393" s="100">
        <v>45900</v>
      </c>
      <c r="B5393" t="str">
        <f t="shared" si="262"/>
        <v>August</v>
      </c>
      <c r="C5393" s="46" t="s">
        <v>280</v>
      </c>
      <c r="F5393" s="366" t="s">
        <v>2799</v>
      </c>
      <c r="G5393" s="46" t="s">
        <v>83</v>
      </c>
      <c r="H5393" s="46">
        <v>1</v>
      </c>
      <c r="I5393" s="51">
        <v>8858.76</v>
      </c>
      <c r="J5393" s="281">
        <f>++Tabla4[[#This Row],[Precio Bruto]]*1.16</f>
        <v>10276.161599999999</v>
      </c>
      <c r="K5393" s="281">
        <f>+Tabla4[[#This Row],[Precio Unitario Neto]]*Tabla4[[#Headers],[20.85%]]</f>
        <v>2142.5796935999997</v>
      </c>
      <c r="L5393" s="282">
        <f>++Tabla4[[#This Row],[Precio Unitario Neto]]-Tabla4[[#This Row],[20.85%]]</f>
        <v>8133.5819063999998</v>
      </c>
      <c r="M5393" s="282" t="e">
        <f>(INDEX(Tabla6[#All],MATCH(Tabla4[[#This Row],[Producto]],Tabla6[[#All],[PRODUCTO]],0),MATCH(Tabla4[[#This Row],[Mes]],Tabla6[#Headers],0)))*(1+Catalogos!$L$2)</f>
        <v>#N/A</v>
      </c>
      <c r="N5393" s="283" t="e">
        <f>+(Tabla4[[#This Row],[Precio Descontado]]-Tabla4[[#This Row],[Precio Base]])*Tabla4[[#This Row],[Cantidad]]</f>
        <v>#N/A</v>
      </c>
      <c r="O5393" s="284" t="e">
        <f>++Tabla4[[#This Row],[Utilidad Total]]/Tabla4[[#This Row],[Total]]</f>
        <v>#N/A</v>
      </c>
      <c r="P5393" s="282">
        <f>++Tabla4[[#This Row],[Precio Descontado]]*Tabla4[[#This Row],[Cantidad]]</f>
        <v>8133.5819063999998</v>
      </c>
      <c r="Q5393" s="282" t="e">
        <f>(INDEX(Tabla6[#All],MATCH(Tabla4[[#This Row],[Producto]],Tabla6[[#All],[PRODUCTO]],0),MATCH(Tabla4[[#This Row],[Mes]],Tabla6[#Headers],0)))</f>
        <v>#N/A</v>
      </c>
      <c r="R5393" s="282" t="e">
        <f>++Tabla4[[#This Row],[Precio Unitario Neto]]-Tabla4[[#This Row],[20.85%]]-Tabla4[[#This Row],[Costo]]</f>
        <v>#N/A</v>
      </c>
      <c r="S5393" s="282" t="e">
        <f>++Tabla4[[#This Row],[U. Bruta Uni]]*Tabla4[[#This Row],[Cantidad]]</f>
        <v>#N/A</v>
      </c>
      <c r="T5393" s="369" t="str">
        <f>VLOOKUP(Tabla4[[#This Row],[Producto]],Tabla6[#All],14,FALSE)</f>
        <v>Termico Solar</v>
      </c>
      <c r="U5393" s="284" t="e">
        <f>(IF(Tabla4[[#This Row],[Familia]]="termico solar",Tabla4[[#This Row],[Utilidad Total]]*6%,Tabla4[[#This Row],[Utilidad Total]]*11.5%))/Tabla4[[#This Row],[Total]]</f>
        <v>#N/A</v>
      </c>
      <c r="V5393" s="282" t="e">
        <f>+Tabla4[[#This Row],[Comisión Calculada]]*Tabla4[[#This Row],[Total]]</f>
        <v>#N/A</v>
      </c>
    </row>
    <row r="5394" spans="1:22" hidden="1" x14ac:dyDescent="0.25">
      <c r="A5394" s="100">
        <v>45900</v>
      </c>
      <c r="B5394" t="str">
        <f t="shared" si="262"/>
        <v>August</v>
      </c>
      <c r="C5394" s="46" t="s">
        <v>280</v>
      </c>
      <c r="F5394" s="366" t="s">
        <v>2799</v>
      </c>
      <c r="G5394" s="46" t="s">
        <v>17</v>
      </c>
      <c r="H5394" s="46">
        <v>2</v>
      </c>
      <c r="I5394" s="51">
        <v>4622.28</v>
      </c>
      <c r="J5394" s="281">
        <f>++Tabla4[[#This Row],[Precio Bruto]]*1.16</f>
        <v>5361.8447999999989</v>
      </c>
      <c r="K5394" s="281">
        <f>+Tabla4[[#This Row],[Precio Unitario Neto]]*Tabla4[[#Headers],[20.85%]]</f>
        <v>1117.9446407999997</v>
      </c>
      <c r="L5394" s="282">
        <f>++Tabla4[[#This Row],[Precio Unitario Neto]]-Tabla4[[#This Row],[20.85%]]</f>
        <v>4243.9001591999995</v>
      </c>
      <c r="M5394" s="282" t="e">
        <f>(INDEX(Tabla6[#All],MATCH(Tabla4[[#This Row],[Producto]],Tabla6[[#All],[PRODUCTO]],0),MATCH(Tabla4[[#This Row],[Mes]],Tabla6[#Headers],0)))*(1+Catalogos!$L$2)</f>
        <v>#N/A</v>
      </c>
      <c r="N5394" s="283" t="e">
        <f>+(Tabla4[[#This Row],[Precio Descontado]]-Tabla4[[#This Row],[Precio Base]])*Tabla4[[#This Row],[Cantidad]]</f>
        <v>#N/A</v>
      </c>
      <c r="O5394" s="284" t="e">
        <f>++Tabla4[[#This Row],[Utilidad Total]]/Tabla4[[#This Row],[Total]]</f>
        <v>#N/A</v>
      </c>
      <c r="P5394" s="282">
        <f>++Tabla4[[#This Row],[Precio Descontado]]*Tabla4[[#This Row],[Cantidad]]</f>
        <v>8487.800318399999</v>
      </c>
      <c r="Q5394" s="282" t="e">
        <f>(INDEX(Tabla6[#All],MATCH(Tabla4[[#This Row],[Producto]],Tabla6[[#All],[PRODUCTO]],0),MATCH(Tabla4[[#This Row],[Mes]],Tabla6[#Headers],0)))</f>
        <v>#N/A</v>
      </c>
      <c r="R5394" s="282" t="e">
        <f>++Tabla4[[#This Row],[Precio Unitario Neto]]-Tabla4[[#This Row],[20.85%]]-Tabla4[[#This Row],[Costo]]</f>
        <v>#N/A</v>
      </c>
      <c r="S5394" s="282" t="e">
        <f>++Tabla4[[#This Row],[U. Bruta Uni]]*Tabla4[[#This Row],[Cantidad]]</f>
        <v>#N/A</v>
      </c>
      <c r="T5394" s="369" t="str">
        <f>VLOOKUP(Tabla4[[#This Row],[Producto]],Tabla6[#All],14,FALSE)</f>
        <v>Termico Solar</v>
      </c>
      <c r="U5394" s="284" t="e">
        <f>(IF(Tabla4[[#This Row],[Familia]]="termico solar",Tabla4[[#This Row],[Utilidad Total]]*6%,Tabla4[[#This Row],[Utilidad Total]]*11.5%))/Tabla4[[#This Row],[Total]]</f>
        <v>#N/A</v>
      </c>
      <c r="V5394" s="282" t="e">
        <f>+Tabla4[[#This Row],[Comisión Calculada]]*Tabla4[[#This Row],[Total]]</f>
        <v>#N/A</v>
      </c>
    </row>
    <row r="5395" spans="1:22" hidden="1" x14ac:dyDescent="0.25">
      <c r="A5395" s="100">
        <v>45900</v>
      </c>
      <c r="B5395" t="str">
        <f t="shared" si="262"/>
        <v>August</v>
      </c>
      <c r="C5395" s="46" t="s">
        <v>280</v>
      </c>
      <c r="F5395" s="366" t="s">
        <v>2799</v>
      </c>
      <c r="G5395" s="46" t="s">
        <v>208</v>
      </c>
      <c r="H5395" s="46">
        <v>2</v>
      </c>
      <c r="I5395" s="51">
        <v>189.75</v>
      </c>
      <c r="J5395" s="281">
        <f>++Tabla4[[#This Row],[Precio Bruto]]*1.16</f>
        <v>220.10999999999999</v>
      </c>
      <c r="K5395" s="281">
        <f>+Tabla4[[#This Row],[Precio Unitario Neto]]*Tabla4[[#Headers],[20.85%]]</f>
        <v>45.892934999999994</v>
      </c>
      <c r="L5395" s="282">
        <f>++Tabla4[[#This Row],[Precio Unitario Neto]]-Tabla4[[#This Row],[20.85%]]</f>
        <v>174.21706499999999</v>
      </c>
      <c r="M5395" s="282" t="e">
        <f>(INDEX(Tabla6[#All],MATCH(Tabla4[[#This Row],[Producto]],Tabla6[[#All],[PRODUCTO]],0),MATCH(Tabla4[[#This Row],[Mes]],Tabla6[#Headers],0)))*(1+Catalogos!$L$2)</f>
        <v>#N/A</v>
      </c>
      <c r="N5395" s="283" t="e">
        <f>+(Tabla4[[#This Row],[Precio Descontado]]-Tabla4[[#This Row],[Precio Base]])*Tabla4[[#This Row],[Cantidad]]</f>
        <v>#N/A</v>
      </c>
      <c r="O5395" s="284" t="e">
        <f>++Tabla4[[#This Row],[Utilidad Total]]/Tabla4[[#This Row],[Total]]</f>
        <v>#N/A</v>
      </c>
      <c r="P5395" s="282">
        <f>++Tabla4[[#This Row],[Precio Descontado]]*Tabla4[[#This Row],[Cantidad]]</f>
        <v>348.43412999999998</v>
      </c>
      <c r="Q5395" s="282" t="e">
        <f>(INDEX(Tabla6[#All],MATCH(Tabla4[[#This Row],[Producto]],Tabla6[[#All],[PRODUCTO]],0),MATCH(Tabla4[[#This Row],[Mes]],Tabla6[#Headers],0)))</f>
        <v>#N/A</v>
      </c>
      <c r="R5395" s="282" t="e">
        <f>++Tabla4[[#This Row],[Precio Unitario Neto]]-Tabla4[[#This Row],[20.85%]]-Tabla4[[#This Row],[Costo]]</f>
        <v>#N/A</v>
      </c>
      <c r="S5395" s="282" t="e">
        <f>++Tabla4[[#This Row],[U. Bruta Uni]]*Tabla4[[#This Row],[Cantidad]]</f>
        <v>#N/A</v>
      </c>
      <c r="T5395" s="369" t="str">
        <f>VLOOKUP(Tabla4[[#This Row],[Producto]],Tabla6[#All],14,FALSE)</f>
        <v>Termico Solar</v>
      </c>
      <c r="U5395" s="284" t="e">
        <f>(IF(Tabla4[[#This Row],[Familia]]="termico solar",Tabla4[[#This Row],[Utilidad Total]]*6%,Tabla4[[#This Row],[Utilidad Total]]*11.5%))/Tabla4[[#This Row],[Total]]</f>
        <v>#N/A</v>
      </c>
      <c r="V5395" s="282" t="e">
        <f>+Tabla4[[#This Row],[Comisión Calculada]]*Tabla4[[#This Row],[Total]]</f>
        <v>#N/A</v>
      </c>
    </row>
    <row r="5396" spans="1:22" hidden="1" x14ac:dyDescent="0.25">
      <c r="A5396" s="100">
        <v>45900</v>
      </c>
      <c r="B5396" t="str">
        <f t="shared" si="262"/>
        <v>August</v>
      </c>
      <c r="C5396" s="46" t="s">
        <v>280</v>
      </c>
      <c r="F5396" s="366" t="s">
        <v>2800</v>
      </c>
      <c r="G5396" s="46" t="s">
        <v>17</v>
      </c>
      <c r="H5396" s="46">
        <v>1</v>
      </c>
      <c r="I5396" s="51">
        <v>4622.28</v>
      </c>
      <c r="J5396" s="281">
        <f>++Tabla4[[#This Row],[Precio Bruto]]*1.16</f>
        <v>5361.8447999999989</v>
      </c>
      <c r="K5396" s="281">
        <f>+Tabla4[[#This Row],[Precio Unitario Neto]]*Tabla4[[#Headers],[20.85%]]</f>
        <v>1117.9446407999997</v>
      </c>
      <c r="L5396" s="282">
        <f>++Tabla4[[#This Row],[Precio Unitario Neto]]-Tabla4[[#This Row],[20.85%]]</f>
        <v>4243.9001591999995</v>
      </c>
      <c r="M5396" s="282" t="e">
        <f>(INDEX(Tabla6[#All],MATCH(Tabla4[[#This Row],[Producto]],Tabla6[[#All],[PRODUCTO]],0),MATCH(Tabla4[[#This Row],[Mes]],Tabla6[#Headers],0)))*(1+Catalogos!$L$2)</f>
        <v>#N/A</v>
      </c>
      <c r="N5396" s="283" t="e">
        <f>+(Tabla4[[#This Row],[Precio Descontado]]-Tabla4[[#This Row],[Precio Base]])*Tabla4[[#This Row],[Cantidad]]</f>
        <v>#N/A</v>
      </c>
      <c r="O5396" s="284" t="e">
        <f>++Tabla4[[#This Row],[Utilidad Total]]/Tabla4[[#This Row],[Total]]</f>
        <v>#N/A</v>
      </c>
      <c r="P5396" s="282">
        <f>++Tabla4[[#This Row],[Precio Descontado]]*Tabla4[[#This Row],[Cantidad]]</f>
        <v>4243.9001591999995</v>
      </c>
      <c r="Q5396" s="282" t="e">
        <f>(INDEX(Tabla6[#All],MATCH(Tabla4[[#This Row],[Producto]],Tabla6[[#All],[PRODUCTO]],0),MATCH(Tabla4[[#This Row],[Mes]],Tabla6[#Headers],0)))</f>
        <v>#N/A</v>
      </c>
      <c r="R5396" s="282" t="e">
        <f>++Tabla4[[#This Row],[Precio Unitario Neto]]-Tabla4[[#This Row],[20.85%]]-Tabla4[[#This Row],[Costo]]</f>
        <v>#N/A</v>
      </c>
      <c r="S5396" s="282" t="e">
        <f>++Tabla4[[#This Row],[U. Bruta Uni]]*Tabla4[[#This Row],[Cantidad]]</f>
        <v>#N/A</v>
      </c>
      <c r="T5396" s="369" t="str">
        <f>VLOOKUP(Tabla4[[#This Row],[Producto]],Tabla6[#All],14,FALSE)</f>
        <v>Termico Solar</v>
      </c>
      <c r="U5396" s="284" t="e">
        <f>(IF(Tabla4[[#This Row],[Familia]]="termico solar",Tabla4[[#This Row],[Utilidad Total]]*6%,Tabla4[[#This Row],[Utilidad Total]]*11.5%))/Tabla4[[#This Row],[Total]]</f>
        <v>#N/A</v>
      </c>
      <c r="V5396" s="282" t="e">
        <f>+Tabla4[[#This Row],[Comisión Calculada]]*Tabla4[[#This Row],[Total]]</f>
        <v>#N/A</v>
      </c>
    </row>
    <row r="5397" spans="1:22" hidden="1" x14ac:dyDescent="0.25">
      <c r="A5397" s="100">
        <v>45900</v>
      </c>
      <c r="B5397" t="str">
        <f t="shared" si="262"/>
        <v>August</v>
      </c>
      <c r="C5397" s="46" t="s">
        <v>280</v>
      </c>
      <c r="F5397" s="366" t="s">
        <v>2800</v>
      </c>
      <c r="G5397" s="46" t="s">
        <v>208</v>
      </c>
      <c r="H5397" s="46">
        <v>1</v>
      </c>
      <c r="I5397" s="51">
        <v>189.75</v>
      </c>
      <c r="J5397" s="281">
        <f>++Tabla4[[#This Row],[Precio Bruto]]*1.16</f>
        <v>220.10999999999999</v>
      </c>
      <c r="K5397" s="281">
        <f>+Tabla4[[#This Row],[Precio Unitario Neto]]*Tabla4[[#Headers],[20.85%]]</f>
        <v>45.892934999999994</v>
      </c>
      <c r="L5397" s="282">
        <f>++Tabla4[[#This Row],[Precio Unitario Neto]]-Tabla4[[#This Row],[20.85%]]</f>
        <v>174.21706499999999</v>
      </c>
      <c r="M5397" s="282" t="e">
        <f>(INDEX(Tabla6[#All],MATCH(Tabla4[[#This Row],[Producto]],Tabla6[[#All],[PRODUCTO]],0),MATCH(Tabla4[[#This Row],[Mes]],Tabla6[#Headers],0)))*(1+Catalogos!$L$2)</f>
        <v>#N/A</v>
      </c>
      <c r="N5397" s="283" t="e">
        <f>+(Tabla4[[#This Row],[Precio Descontado]]-Tabla4[[#This Row],[Precio Base]])*Tabla4[[#This Row],[Cantidad]]</f>
        <v>#N/A</v>
      </c>
      <c r="O5397" s="284" t="e">
        <f>++Tabla4[[#This Row],[Utilidad Total]]/Tabla4[[#This Row],[Total]]</f>
        <v>#N/A</v>
      </c>
      <c r="P5397" s="282">
        <f>++Tabla4[[#This Row],[Precio Descontado]]*Tabla4[[#This Row],[Cantidad]]</f>
        <v>174.21706499999999</v>
      </c>
      <c r="Q5397" s="282" t="e">
        <f>(INDEX(Tabla6[#All],MATCH(Tabla4[[#This Row],[Producto]],Tabla6[[#All],[PRODUCTO]],0),MATCH(Tabla4[[#This Row],[Mes]],Tabla6[#Headers],0)))</f>
        <v>#N/A</v>
      </c>
      <c r="R5397" s="282" t="e">
        <f>++Tabla4[[#This Row],[Precio Unitario Neto]]-Tabla4[[#This Row],[20.85%]]-Tabla4[[#This Row],[Costo]]</f>
        <v>#N/A</v>
      </c>
      <c r="S5397" s="282" t="e">
        <f>++Tabla4[[#This Row],[U. Bruta Uni]]*Tabla4[[#This Row],[Cantidad]]</f>
        <v>#N/A</v>
      </c>
      <c r="T5397" s="369" t="str">
        <f>VLOOKUP(Tabla4[[#This Row],[Producto]],Tabla6[#All],14,FALSE)</f>
        <v>Termico Solar</v>
      </c>
      <c r="U5397" s="284" t="e">
        <f>(IF(Tabla4[[#This Row],[Familia]]="termico solar",Tabla4[[#This Row],[Utilidad Total]]*6%,Tabla4[[#This Row],[Utilidad Total]]*11.5%))/Tabla4[[#This Row],[Total]]</f>
        <v>#N/A</v>
      </c>
      <c r="V5397" s="282" t="e">
        <f>+Tabla4[[#This Row],[Comisión Calculada]]*Tabla4[[#This Row],[Total]]</f>
        <v>#N/A</v>
      </c>
    </row>
    <row r="5398" spans="1:22" hidden="1" x14ac:dyDescent="0.25">
      <c r="A5398" s="100">
        <v>45900</v>
      </c>
      <c r="B5398" t="str">
        <f t="shared" si="262"/>
        <v>August</v>
      </c>
      <c r="C5398" s="46" t="s">
        <v>280</v>
      </c>
      <c r="F5398" s="366" t="s">
        <v>2801</v>
      </c>
      <c r="G5398" s="46" t="s">
        <v>17</v>
      </c>
      <c r="H5398" s="46">
        <v>1</v>
      </c>
      <c r="I5398" s="51">
        <v>4622.28</v>
      </c>
      <c r="J5398" s="281">
        <f>++Tabla4[[#This Row],[Precio Bruto]]*1.16</f>
        <v>5361.8447999999989</v>
      </c>
      <c r="K5398" s="281">
        <f>+Tabla4[[#This Row],[Precio Unitario Neto]]*Tabla4[[#Headers],[20.85%]]</f>
        <v>1117.9446407999997</v>
      </c>
      <c r="L5398" s="282">
        <f>++Tabla4[[#This Row],[Precio Unitario Neto]]-Tabla4[[#This Row],[20.85%]]</f>
        <v>4243.9001591999995</v>
      </c>
      <c r="M5398" s="282" t="e">
        <f>(INDEX(Tabla6[#All],MATCH(Tabla4[[#This Row],[Producto]],Tabla6[[#All],[PRODUCTO]],0),MATCH(Tabla4[[#This Row],[Mes]],Tabla6[#Headers],0)))*(1+Catalogos!$L$2)</f>
        <v>#N/A</v>
      </c>
      <c r="N5398" s="283" t="e">
        <f>+(Tabla4[[#This Row],[Precio Descontado]]-Tabla4[[#This Row],[Precio Base]])*Tabla4[[#This Row],[Cantidad]]</f>
        <v>#N/A</v>
      </c>
      <c r="O5398" s="284" t="e">
        <f>++Tabla4[[#This Row],[Utilidad Total]]/Tabla4[[#This Row],[Total]]</f>
        <v>#N/A</v>
      </c>
      <c r="P5398" s="282">
        <f>++Tabla4[[#This Row],[Precio Descontado]]*Tabla4[[#This Row],[Cantidad]]</f>
        <v>4243.9001591999995</v>
      </c>
      <c r="Q5398" s="282" t="e">
        <f>(INDEX(Tabla6[#All],MATCH(Tabla4[[#This Row],[Producto]],Tabla6[[#All],[PRODUCTO]],0),MATCH(Tabla4[[#This Row],[Mes]],Tabla6[#Headers],0)))</f>
        <v>#N/A</v>
      </c>
      <c r="R5398" s="282" t="e">
        <f>++Tabla4[[#This Row],[Precio Unitario Neto]]-Tabla4[[#This Row],[20.85%]]-Tabla4[[#This Row],[Costo]]</f>
        <v>#N/A</v>
      </c>
      <c r="S5398" s="282" t="e">
        <f>++Tabla4[[#This Row],[U. Bruta Uni]]*Tabla4[[#This Row],[Cantidad]]</f>
        <v>#N/A</v>
      </c>
      <c r="T5398" s="369" t="str">
        <f>VLOOKUP(Tabla4[[#This Row],[Producto]],Tabla6[#All],14,FALSE)</f>
        <v>Termico Solar</v>
      </c>
      <c r="U5398" s="284" t="e">
        <f>(IF(Tabla4[[#This Row],[Familia]]="termico solar",Tabla4[[#This Row],[Utilidad Total]]*6%,Tabla4[[#This Row],[Utilidad Total]]*11.5%))/Tabla4[[#This Row],[Total]]</f>
        <v>#N/A</v>
      </c>
      <c r="V5398" s="282" t="e">
        <f>+Tabla4[[#This Row],[Comisión Calculada]]*Tabla4[[#This Row],[Total]]</f>
        <v>#N/A</v>
      </c>
    </row>
    <row r="5399" spans="1:22" hidden="1" x14ac:dyDescent="0.25">
      <c r="A5399" s="100">
        <v>45900</v>
      </c>
      <c r="B5399" t="str">
        <f t="shared" si="262"/>
        <v>August</v>
      </c>
      <c r="C5399" s="46" t="s">
        <v>280</v>
      </c>
      <c r="F5399" s="366" t="s">
        <v>2801</v>
      </c>
      <c r="G5399" s="46" t="s">
        <v>16</v>
      </c>
      <c r="H5399" s="46">
        <v>1</v>
      </c>
      <c r="I5399" s="51">
        <v>4103.8500000000004</v>
      </c>
      <c r="J5399" s="281">
        <f>++Tabla4[[#This Row],[Precio Bruto]]*1.16</f>
        <v>4760.4660000000003</v>
      </c>
      <c r="K5399" s="281">
        <f>+Tabla4[[#This Row],[Precio Unitario Neto]]*Tabla4[[#Headers],[20.85%]]</f>
        <v>992.55716100000006</v>
      </c>
      <c r="L5399" s="282">
        <f>++Tabla4[[#This Row],[Precio Unitario Neto]]-Tabla4[[#This Row],[20.85%]]</f>
        <v>3767.9088390000002</v>
      </c>
      <c r="M5399" s="282" t="e">
        <f>(INDEX(Tabla6[#All],MATCH(Tabla4[[#This Row],[Producto]],Tabla6[[#All],[PRODUCTO]],0),MATCH(Tabla4[[#This Row],[Mes]],Tabla6[#Headers],0)))*(1+Catalogos!$L$2)</f>
        <v>#N/A</v>
      </c>
      <c r="N5399" s="283" t="e">
        <f>+(Tabla4[[#This Row],[Precio Descontado]]-Tabla4[[#This Row],[Precio Base]])*Tabla4[[#This Row],[Cantidad]]</f>
        <v>#N/A</v>
      </c>
      <c r="O5399" s="284" t="e">
        <f>++Tabla4[[#This Row],[Utilidad Total]]/Tabla4[[#This Row],[Total]]</f>
        <v>#N/A</v>
      </c>
      <c r="P5399" s="282">
        <f>++Tabla4[[#This Row],[Precio Descontado]]*Tabla4[[#This Row],[Cantidad]]</f>
        <v>3767.9088390000002</v>
      </c>
      <c r="Q5399" s="282" t="e">
        <f>(INDEX(Tabla6[#All],MATCH(Tabla4[[#This Row],[Producto]],Tabla6[[#All],[PRODUCTO]],0),MATCH(Tabla4[[#This Row],[Mes]],Tabla6[#Headers],0)))</f>
        <v>#N/A</v>
      </c>
      <c r="R5399" s="282" t="e">
        <f>++Tabla4[[#This Row],[Precio Unitario Neto]]-Tabla4[[#This Row],[20.85%]]-Tabla4[[#This Row],[Costo]]</f>
        <v>#N/A</v>
      </c>
      <c r="S5399" s="282" t="e">
        <f>++Tabla4[[#This Row],[U. Bruta Uni]]*Tabla4[[#This Row],[Cantidad]]</f>
        <v>#N/A</v>
      </c>
      <c r="T5399" s="369" t="str">
        <f>VLOOKUP(Tabla4[[#This Row],[Producto]],Tabla6[#All],14,FALSE)</f>
        <v>Termico Solar</v>
      </c>
      <c r="U5399" s="284" t="e">
        <f>(IF(Tabla4[[#This Row],[Familia]]="termico solar",Tabla4[[#This Row],[Utilidad Total]]*6%,Tabla4[[#This Row],[Utilidad Total]]*11.5%))/Tabla4[[#This Row],[Total]]</f>
        <v>#N/A</v>
      </c>
      <c r="V5399" s="282" t="e">
        <f>+Tabla4[[#This Row],[Comisión Calculada]]*Tabla4[[#This Row],[Total]]</f>
        <v>#N/A</v>
      </c>
    </row>
    <row r="5400" spans="1:22" hidden="1" x14ac:dyDescent="0.25">
      <c r="A5400" s="100">
        <v>45900</v>
      </c>
      <c r="B5400" t="str">
        <f t="shared" si="262"/>
        <v>August</v>
      </c>
      <c r="C5400" s="46" t="s">
        <v>280</v>
      </c>
      <c r="F5400" s="366" t="s">
        <v>2802</v>
      </c>
      <c r="G5400" s="46" t="s">
        <v>83</v>
      </c>
      <c r="H5400" s="46">
        <v>1</v>
      </c>
      <c r="I5400" s="51">
        <v>8858.76</v>
      </c>
      <c r="J5400" s="281">
        <f>++Tabla4[[#This Row],[Precio Bruto]]*1.16</f>
        <v>10276.161599999999</v>
      </c>
      <c r="K5400" s="281">
        <f>+Tabla4[[#This Row],[Precio Unitario Neto]]*Tabla4[[#Headers],[20.85%]]</f>
        <v>2142.5796935999997</v>
      </c>
      <c r="L5400" s="282">
        <f>++Tabla4[[#This Row],[Precio Unitario Neto]]-Tabla4[[#This Row],[20.85%]]</f>
        <v>8133.5819063999998</v>
      </c>
      <c r="M5400" s="282" t="e">
        <f>(INDEX(Tabla6[#All],MATCH(Tabla4[[#This Row],[Producto]],Tabla6[[#All],[PRODUCTO]],0),MATCH(Tabla4[[#This Row],[Mes]],Tabla6[#Headers],0)))*(1+Catalogos!$L$2)</f>
        <v>#N/A</v>
      </c>
      <c r="N5400" s="283" t="e">
        <f>+(Tabla4[[#This Row],[Precio Descontado]]-Tabla4[[#This Row],[Precio Base]])*Tabla4[[#This Row],[Cantidad]]</f>
        <v>#N/A</v>
      </c>
      <c r="O5400" s="284" t="e">
        <f>++Tabla4[[#This Row],[Utilidad Total]]/Tabla4[[#This Row],[Total]]</f>
        <v>#N/A</v>
      </c>
      <c r="P5400" s="282">
        <f>++Tabla4[[#This Row],[Precio Descontado]]*Tabla4[[#This Row],[Cantidad]]</f>
        <v>8133.5819063999998</v>
      </c>
      <c r="Q5400" s="282" t="e">
        <f>(INDEX(Tabla6[#All],MATCH(Tabla4[[#This Row],[Producto]],Tabla6[[#All],[PRODUCTO]],0),MATCH(Tabla4[[#This Row],[Mes]],Tabla6[#Headers],0)))</f>
        <v>#N/A</v>
      </c>
      <c r="R5400" s="282" t="e">
        <f>++Tabla4[[#This Row],[Precio Unitario Neto]]-Tabla4[[#This Row],[20.85%]]-Tabla4[[#This Row],[Costo]]</f>
        <v>#N/A</v>
      </c>
      <c r="S5400" s="282" t="e">
        <f>++Tabla4[[#This Row],[U. Bruta Uni]]*Tabla4[[#This Row],[Cantidad]]</f>
        <v>#N/A</v>
      </c>
      <c r="T5400" s="369" t="str">
        <f>VLOOKUP(Tabla4[[#This Row],[Producto]],Tabla6[#All],14,FALSE)</f>
        <v>Termico Solar</v>
      </c>
      <c r="U5400" s="284" t="e">
        <f>(IF(Tabla4[[#This Row],[Familia]]="termico solar",Tabla4[[#This Row],[Utilidad Total]]*6%,Tabla4[[#This Row],[Utilidad Total]]*11.5%))/Tabla4[[#This Row],[Total]]</f>
        <v>#N/A</v>
      </c>
      <c r="V5400" s="282" t="e">
        <f>+Tabla4[[#This Row],[Comisión Calculada]]*Tabla4[[#This Row],[Total]]</f>
        <v>#N/A</v>
      </c>
    </row>
    <row r="5401" spans="1:22" hidden="1" x14ac:dyDescent="0.25">
      <c r="A5401" s="100">
        <v>45900</v>
      </c>
      <c r="B5401" t="str">
        <f t="shared" si="262"/>
        <v>August</v>
      </c>
      <c r="C5401" s="46" t="s">
        <v>280</v>
      </c>
      <c r="F5401" s="366" t="s">
        <v>2802</v>
      </c>
      <c r="G5401" s="46" t="s">
        <v>17</v>
      </c>
      <c r="H5401" s="46">
        <v>1</v>
      </c>
      <c r="I5401" s="51">
        <v>4622.28</v>
      </c>
      <c r="J5401" s="281">
        <f>++Tabla4[[#This Row],[Precio Bruto]]*1.16</f>
        <v>5361.8447999999989</v>
      </c>
      <c r="K5401" s="281">
        <f>+Tabla4[[#This Row],[Precio Unitario Neto]]*Tabla4[[#Headers],[20.85%]]</f>
        <v>1117.9446407999997</v>
      </c>
      <c r="L5401" s="282">
        <f>++Tabla4[[#This Row],[Precio Unitario Neto]]-Tabla4[[#This Row],[20.85%]]</f>
        <v>4243.9001591999995</v>
      </c>
      <c r="M5401" s="282" t="e">
        <f>(INDEX(Tabla6[#All],MATCH(Tabla4[[#This Row],[Producto]],Tabla6[[#All],[PRODUCTO]],0),MATCH(Tabla4[[#This Row],[Mes]],Tabla6[#Headers],0)))*(1+Catalogos!$L$2)</f>
        <v>#N/A</v>
      </c>
      <c r="N5401" s="283" t="e">
        <f>+(Tabla4[[#This Row],[Precio Descontado]]-Tabla4[[#This Row],[Precio Base]])*Tabla4[[#This Row],[Cantidad]]</f>
        <v>#N/A</v>
      </c>
      <c r="O5401" s="284" t="e">
        <f>++Tabla4[[#This Row],[Utilidad Total]]/Tabla4[[#This Row],[Total]]</f>
        <v>#N/A</v>
      </c>
      <c r="P5401" s="282">
        <f>++Tabla4[[#This Row],[Precio Descontado]]*Tabla4[[#This Row],[Cantidad]]</f>
        <v>4243.9001591999995</v>
      </c>
      <c r="Q5401" s="282" t="e">
        <f>(INDEX(Tabla6[#All],MATCH(Tabla4[[#This Row],[Producto]],Tabla6[[#All],[PRODUCTO]],0),MATCH(Tabla4[[#This Row],[Mes]],Tabla6[#Headers],0)))</f>
        <v>#N/A</v>
      </c>
      <c r="R5401" s="282" t="e">
        <f>++Tabla4[[#This Row],[Precio Unitario Neto]]-Tabla4[[#This Row],[20.85%]]-Tabla4[[#This Row],[Costo]]</f>
        <v>#N/A</v>
      </c>
      <c r="S5401" s="282" t="e">
        <f>++Tabla4[[#This Row],[U. Bruta Uni]]*Tabla4[[#This Row],[Cantidad]]</f>
        <v>#N/A</v>
      </c>
      <c r="T5401" s="369" t="str">
        <f>VLOOKUP(Tabla4[[#This Row],[Producto]],Tabla6[#All],14,FALSE)</f>
        <v>Termico Solar</v>
      </c>
      <c r="U5401" s="284" t="e">
        <f>(IF(Tabla4[[#This Row],[Familia]]="termico solar",Tabla4[[#This Row],[Utilidad Total]]*6%,Tabla4[[#This Row],[Utilidad Total]]*11.5%))/Tabla4[[#This Row],[Total]]</f>
        <v>#N/A</v>
      </c>
      <c r="V5401" s="282" t="e">
        <f>+Tabla4[[#This Row],[Comisión Calculada]]*Tabla4[[#This Row],[Total]]</f>
        <v>#N/A</v>
      </c>
    </row>
    <row r="5402" spans="1:22" hidden="1" x14ac:dyDescent="0.25">
      <c r="A5402" s="100">
        <v>45900</v>
      </c>
      <c r="B5402" t="str">
        <f t="shared" si="262"/>
        <v>August</v>
      </c>
      <c r="C5402" s="46" t="s">
        <v>280</v>
      </c>
      <c r="F5402" s="366" t="s">
        <v>2802</v>
      </c>
      <c r="G5402" s="46" t="s">
        <v>16</v>
      </c>
      <c r="H5402" s="46">
        <v>1</v>
      </c>
      <c r="I5402" s="51">
        <v>4103.8500000000004</v>
      </c>
      <c r="J5402" s="281">
        <f>++Tabla4[[#This Row],[Precio Bruto]]*1.16</f>
        <v>4760.4660000000003</v>
      </c>
      <c r="K5402" s="281">
        <f>+Tabla4[[#This Row],[Precio Unitario Neto]]*Tabla4[[#Headers],[20.85%]]</f>
        <v>992.55716100000006</v>
      </c>
      <c r="L5402" s="282">
        <f>++Tabla4[[#This Row],[Precio Unitario Neto]]-Tabla4[[#This Row],[20.85%]]</f>
        <v>3767.9088390000002</v>
      </c>
      <c r="M5402" s="282" t="e">
        <f>(INDEX(Tabla6[#All],MATCH(Tabla4[[#This Row],[Producto]],Tabla6[[#All],[PRODUCTO]],0),MATCH(Tabla4[[#This Row],[Mes]],Tabla6[#Headers],0)))*(1+Catalogos!$L$2)</f>
        <v>#N/A</v>
      </c>
      <c r="N5402" s="283" t="e">
        <f>+(Tabla4[[#This Row],[Precio Descontado]]-Tabla4[[#This Row],[Precio Base]])*Tabla4[[#This Row],[Cantidad]]</f>
        <v>#N/A</v>
      </c>
      <c r="O5402" s="284" t="e">
        <f>++Tabla4[[#This Row],[Utilidad Total]]/Tabla4[[#This Row],[Total]]</f>
        <v>#N/A</v>
      </c>
      <c r="P5402" s="282">
        <f>++Tabla4[[#This Row],[Precio Descontado]]*Tabla4[[#This Row],[Cantidad]]</f>
        <v>3767.9088390000002</v>
      </c>
      <c r="Q5402" s="282" t="e">
        <f>(INDEX(Tabla6[#All],MATCH(Tabla4[[#This Row],[Producto]],Tabla6[[#All],[PRODUCTO]],0),MATCH(Tabla4[[#This Row],[Mes]],Tabla6[#Headers],0)))</f>
        <v>#N/A</v>
      </c>
      <c r="R5402" s="282" t="e">
        <f>++Tabla4[[#This Row],[Precio Unitario Neto]]-Tabla4[[#This Row],[20.85%]]-Tabla4[[#This Row],[Costo]]</f>
        <v>#N/A</v>
      </c>
      <c r="S5402" s="282" t="e">
        <f>++Tabla4[[#This Row],[U. Bruta Uni]]*Tabla4[[#This Row],[Cantidad]]</f>
        <v>#N/A</v>
      </c>
      <c r="T5402" s="369" t="str">
        <f>VLOOKUP(Tabla4[[#This Row],[Producto]],Tabla6[#All],14,FALSE)</f>
        <v>Termico Solar</v>
      </c>
      <c r="U5402" s="284" t="e">
        <f>(IF(Tabla4[[#This Row],[Familia]]="termico solar",Tabla4[[#This Row],[Utilidad Total]]*6%,Tabla4[[#This Row],[Utilidad Total]]*11.5%))/Tabla4[[#This Row],[Total]]</f>
        <v>#N/A</v>
      </c>
      <c r="V5402" s="282" t="e">
        <f>+Tabla4[[#This Row],[Comisión Calculada]]*Tabla4[[#This Row],[Total]]</f>
        <v>#N/A</v>
      </c>
    </row>
    <row r="5403" spans="1:22" hidden="1" x14ac:dyDescent="0.25">
      <c r="A5403" s="100">
        <v>45900</v>
      </c>
      <c r="B5403" t="str">
        <f t="shared" si="262"/>
        <v>August</v>
      </c>
      <c r="C5403" s="46" t="s">
        <v>280</v>
      </c>
      <c r="F5403" s="366" t="s">
        <v>2803</v>
      </c>
      <c r="G5403" s="46" t="s">
        <v>83</v>
      </c>
      <c r="H5403" s="46">
        <v>1</v>
      </c>
      <c r="I5403" s="51">
        <v>8858.76</v>
      </c>
      <c r="J5403" s="281">
        <f>++Tabla4[[#This Row],[Precio Bruto]]*1.16</f>
        <v>10276.161599999999</v>
      </c>
      <c r="K5403" s="281">
        <f>+Tabla4[[#This Row],[Precio Unitario Neto]]*Tabla4[[#Headers],[20.85%]]</f>
        <v>2142.5796935999997</v>
      </c>
      <c r="L5403" s="282">
        <f>++Tabla4[[#This Row],[Precio Unitario Neto]]-Tabla4[[#This Row],[20.85%]]</f>
        <v>8133.5819063999998</v>
      </c>
      <c r="M5403" s="282" t="e">
        <f>(INDEX(Tabla6[#All],MATCH(Tabla4[[#This Row],[Producto]],Tabla6[[#All],[PRODUCTO]],0),MATCH(Tabla4[[#This Row],[Mes]],Tabla6[#Headers],0)))*(1+Catalogos!$L$2)</f>
        <v>#N/A</v>
      </c>
      <c r="N5403" s="283" t="e">
        <f>+(Tabla4[[#This Row],[Precio Descontado]]-Tabla4[[#This Row],[Precio Base]])*Tabla4[[#This Row],[Cantidad]]</f>
        <v>#N/A</v>
      </c>
      <c r="O5403" s="284" t="e">
        <f>++Tabla4[[#This Row],[Utilidad Total]]/Tabla4[[#This Row],[Total]]</f>
        <v>#N/A</v>
      </c>
      <c r="P5403" s="282">
        <f>++Tabla4[[#This Row],[Precio Descontado]]*Tabla4[[#This Row],[Cantidad]]</f>
        <v>8133.5819063999998</v>
      </c>
      <c r="Q5403" s="282" t="e">
        <f>(INDEX(Tabla6[#All],MATCH(Tabla4[[#This Row],[Producto]],Tabla6[[#All],[PRODUCTO]],0),MATCH(Tabla4[[#This Row],[Mes]],Tabla6[#Headers],0)))</f>
        <v>#N/A</v>
      </c>
      <c r="R5403" s="282" t="e">
        <f>++Tabla4[[#This Row],[Precio Unitario Neto]]-Tabla4[[#This Row],[20.85%]]-Tabla4[[#This Row],[Costo]]</f>
        <v>#N/A</v>
      </c>
      <c r="S5403" s="282" t="e">
        <f>++Tabla4[[#This Row],[U. Bruta Uni]]*Tabla4[[#This Row],[Cantidad]]</f>
        <v>#N/A</v>
      </c>
      <c r="T5403" s="369" t="str">
        <f>VLOOKUP(Tabla4[[#This Row],[Producto]],Tabla6[#All],14,FALSE)</f>
        <v>Termico Solar</v>
      </c>
      <c r="U5403" s="284" t="e">
        <f>(IF(Tabla4[[#This Row],[Familia]]="termico solar",Tabla4[[#This Row],[Utilidad Total]]*6%,Tabla4[[#This Row],[Utilidad Total]]*11.5%))/Tabla4[[#This Row],[Total]]</f>
        <v>#N/A</v>
      </c>
      <c r="V5403" s="282" t="e">
        <f>+Tabla4[[#This Row],[Comisión Calculada]]*Tabla4[[#This Row],[Total]]</f>
        <v>#N/A</v>
      </c>
    </row>
    <row r="5404" spans="1:22" hidden="1" x14ac:dyDescent="0.25">
      <c r="A5404" s="100">
        <v>45900</v>
      </c>
      <c r="B5404" t="str">
        <f t="shared" si="262"/>
        <v>August</v>
      </c>
      <c r="C5404" s="46" t="s">
        <v>280</v>
      </c>
      <c r="F5404" s="366" t="s">
        <v>2803</v>
      </c>
      <c r="G5404" s="46" t="s">
        <v>17</v>
      </c>
      <c r="H5404" s="46">
        <v>1</v>
      </c>
      <c r="I5404" s="51">
        <v>4622.28</v>
      </c>
      <c r="J5404" s="281">
        <f>++Tabla4[[#This Row],[Precio Bruto]]*1.16</f>
        <v>5361.8447999999989</v>
      </c>
      <c r="K5404" s="281">
        <f>+Tabla4[[#This Row],[Precio Unitario Neto]]*Tabla4[[#Headers],[20.85%]]</f>
        <v>1117.9446407999997</v>
      </c>
      <c r="L5404" s="282">
        <f>++Tabla4[[#This Row],[Precio Unitario Neto]]-Tabla4[[#This Row],[20.85%]]</f>
        <v>4243.9001591999995</v>
      </c>
      <c r="M5404" s="282" t="e">
        <f>(INDEX(Tabla6[#All],MATCH(Tabla4[[#This Row],[Producto]],Tabla6[[#All],[PRODUCTO]],0),MATCH(Tabla4[[#This Row],[Mes]],Tabla6[#Headers],0)))*(1+Catalogos!$L$2)</f>
        <v>#N/A</v>
      </c>
      <c r="N5404" s="283" t="e">
        <f>+(Tabla4[[#This Row],[Precio Descontado]]-Tabla4[[#This Row],[Precio Base]])*Tabla4[[#This Row],[Cantidad]]</f>
        <v>#N/A</v>
      </c>
      <c r="O5404" s="284" t="e">
        <f>++Tabla4[[#This Row],[Utilidad Total]]/Tabla4[[#This Row],[Total]]</f>
        <v>#N/A</v>
      </c>
      <c r="P5404" s="282">
        <f>++Tabla4[[#This Row],[Precio Descontado]]*Tabla4[[#This Row],[Cantidad]]</f>
        <v>4243.9001591999995</v>
      </c>
      <c r="Q5404" s="282" t="e">
        <f>(INDEX(Tabla6[#All],MATCH(Tabla4[[#This Row],[Producto]],Tabla6[[#All],[PRODUCTO]],0),MATCH(Tabla4[[#This Row],[Mes]],Tabla6[#Headers],0)))</f>
        <v>#N/A</v>
      </c>
      <c r="R5404" s="282" t="e">
        <f>++Tabla4[[#This Row],[Precio Unitario Neto]]-Tabla4[[#This Row],[20.85%]]-Tabla4[[#This Row],[Costo]]</f>
        <v>#N/A</v>
      </c>
      <c r="S5404" s="282" t="e">
        <f>++Tabla4[[#This Row],[U. Bruta Uni]]*Tabla4[[#This Row],[Cantidad]]</f>
        <v>#N/A</v>
      </c>
      <c r="T5404" s="369" t="str">
        <f>VLOOKUP(Tabla4[[#This Row],[Producto]],Tabla6[#All],14,FALSE)</f>
        <v>Termico Solar</v>
      </c>
      <c r="U5404" s="284" t="e">
        <f>(IF(Tabla4[[#This Row],[Familia]]="termico solar",Tabla4[[#This Row],[Utilidad Total]]*6%,Tabla4[[#This Row],[Utilidad Total]]*11.5%))/Tabla4[[#This Row],[Total]]</f>
        <v>#N/A</v>
      </c>
      <c r="V5404" s="282" t="e">
        <f>+Tabla4[[#This Row],[Comisión Calculada]]*Tabla4[[#This Row],[Total]]</f>
        <v>#N/A</v>
      </c>
    </row>
    <row r="5405" spans="1:22" hidden="1" x14ac:dyDescent="0.25">
      <c r="A5405" s="100">
        <v>45900</v>
      </c>
      <c r="B5405" t="str">
        <f t="shared" si="262"/>
        <v>August</v>
      </c>
      <c r="C5405" s="46" t="s">
        <v>280</v>
      </c>
      <c r="F5405" s="366" t="s">
        <v>2803</v>
      </c>
      <c r="G5405" s="46" t="s">
        <v>18</v>
      </c>
      <c r="H5405" s="46">
        <v>2</v>
      </c>
      <c r="I5405" s="51">
        <v>5367.65</v>
      </c>
      <c r="J5405" s="281">
        <f>++Tabla4[[#This Row],[Precio Bruto]]*1.16</f>
        <v>6226.4739999999993</v>
      </c>
      <c r="K5405" s="281">
        <f>+Tabla4[[#This Row],[Precio Unitario Neto]]*Tabla4[[#Headers],[20.85%]]</f>
        <v>1298.2198289999999</v>
      </c>
      <c r="L5405" s="282">
        <f>++Tabla4[[#This Row],[Precio Unitario Neto]]-Tabla4[[#This Row],[20.85%]]</f>
        <v>4928.2541709999996</v>
      </c>
      <c r="M5405" s="282" t="e">
        <f>(INDEX(Tabla6[#All],MATCH(Tabla4[[#This Row],[Producto]],Tabla6[[#All],[PRODUCTO]],0),MATCH(Tabla4[[#This Row],[Mes]],Tabla6[#Headers],0)))*(1+Catalogos!$L$2)</f>
        <v>#N/A</v>
      </c>
      <c r="N5405" s="283" t="e">
        <f>+(Tabla4[[#This Row],[Precio Descontado]]-Tabla4[[#This Row],[Precio Base]])*Tabla4[[#This Row],[Cantidad]]</f>
        <v>#N/A</v>
      </c>
      <c r="O5405" s="284" t="e">
        <f>++Tabla4[[#This Row],[Utilidad Total]]/Tabla4[[#This Row],[Total]]</f>
        <v>#N/A</v>
      </c>
      <c r="P5405" s="282">
        <f>++Tabla4[[#This Row],[Precio Descontado]]*Tabla4[[#This Row],[Cantidad]]</f>
        <v>9856.5083419999992</v>
      </c>
      <c r="Q5405" s="282" t="e">
        <f>(INDEX(Tabla6[#All],MATCH(Tabla4[[#This Row],[Producto]],Tabla6[[#All],[PRODUCTO]],0),MATCH(Tabla4[[#This Row],[Mes]],Tabla6[#Headers],0)))</f>
        <v>#N/A</v>
      </c>
      <c r="R5405" s="282" t="e">
        <f>++Tabla4[[#This Row],[Precio Unitario Neto]]-Tabla4[[#This Row],[20.85%]]-Tabla4[[#This Row],[Costo]]</f>
        <v>#N/A</v>
      </c>
      <c r="S5405" s="282" t="e">
        <f>++Tabla4[[#This Row],[U. Bruta Uni]]*Tabla4[[#This Row],[Cantidad]]</f>
        <v>#N/A</v>
      </c>
      <c r="T5405" s="369" t="str">
        <f>VLOOKUP(Tabla4[[#This Row],[Producto]],Tabla6[#All],14,FALSE)</f>
        <v>Termico Solar</v>
      </c>
      <c r="U5405" s="284" t="e">
        <f>(IF(Tabla4[[#This Row],[Familia]]="termico solar",Tabla4[[#This Row],[Utilidad Total]]*6%,Tabla4[[#This Row],[Utilidad Total]]*11.5%))/Tabla4[[#This Row],[Total]]</f>
        <v>#N/A</v>
      </c>
      <c r="V5405" s="282" t="e">
        <f>+Tabla4[[#This Row],[Comisión Calculada]]*Tabla4[[#This Row],[Total]]</f>
        <v>#N/A</v>
      </c>
    </row>
    <row r="5406" spans="1:22" hidden="1" x14ac:dyDescent="0.25">
      <c r="A5406" s="100">
        <v>45900</v>
      </c>
      <c r="B5406" t="str">
        <f t="shared" si="262"/>
        <v>August</v>
      </c>
      <c r="C5406" s="46" t="s">
        <v>280</v>
      </c>
      <c r="F5406" s="366" t="s">
        <v>2803</v>
      </c>
      <c r="G5406" s="46" t="s">
        <v>394</v>
      </c>
      <c r="H5406" s="46">
        <v>16</v>
      </c>
      <c r="I5406" s="51">
        <v>224.29</v>
      </c>
      <c r="J5406" s="281">
        <f>++Tabla4[[#This Row],[Precio Bruto]]*1.16</f>
        <v>260.1764</v>
      </c>
      <c r="K5406" s="281">
        <f>+Tabla4[[#This Row],[Precio Unitario Neto]]*Tabla4[[#Headers],[20.85%]]</f>
        <v>54.246779400000001</v>
      </c>
      <c r="L5406" s="282">
        <f>++Tabla4[[#This Row],[Precio Unitario Neto]]-Tabla4[[#This Row],[20.85%]]</f>
        <v>205.92962059999999</v>
      </c>
      <c r="M5406" s="282" t="e">
        <f>(INDEX(Tabla6[#All],MATCH(Tabla4[[#This Row],[Producto]],Tabla6[[#All],[PRODUCTO]],0),MATCH(Tabla4[[#This Row],[Mes]],Tabla6[#Headers],0)))*(1+Catalogos!$L$2)</f>
        <v>#N/A</v>
      </c>
      <c r="N5406" s="283" t="e">
        <f>+(Tabla4[[#This Row],[Precio Descontado]]-Tabla4[[#This Row],[Precio Base]])*Tabla4[[#This Row],[Cantidad]]</f>
        <v>#N/A</v>
      </c>
      <c r="O5406" s="284" t="e">
        <f>++Tabla4[[#This Row],[Utilidad Total]]/Tabla4[[#This Row],[Total]]</f>
        <v>#N/A</v>
      </c>
      <c r="P5406" s="282">
        <f>++Tabla4[[#This Row],[Precio Descontado]]*Tabla4[[#This Row],[Cantidad]]</f>
        <v>3294.8739295999999</v>
      </c>
      <c r="Q5406" s="282" t="e">
        <f>(INDEX(Tabla6[#All],MATCH(Tabla4[[#This Row],[Producto]],Tabla6[[#All],[PRODUCTO]],0),MATCH(Tabla4[[#This Row],[Mes]],Tabla6[#Headers],0)))</f>
        <v>#N/A</v>
      </c>
      <c r="R5406" s="282" t="e">
        <f>++Tabla4[[#This Row],[Precio Unitario Neto]]-Tabla4[[#This Row],[20.85%]]-Tabla4[[#This Row],[Costo]]</f>
        <v>#N/A</v>
      </c>
      <c r="S5406" s="282" t="e">
        <f>++Tabla4[[#This Row],[U. Bruta Uni]]*Tabla4[[#This Row],[Cantidad]]</f>
        <v>#N/A</v>
      </c>
      <c r="T5406" s="369" t="str">
        <f>VLOOKUP(Tabla4[[#This Row],[Producto]],Tabla6[#All],14,FALSE)</f>
        <v>Termico Solar</v>
      </c>
      <c r="U5406" s="284" t="e">
        <f>(IF(Tabla4[[#This Row],[Familia]]="termico solar",Tabla4[[#This Row],[Utilidad Total]]*6%,Tabla4[[#This Row],[Utilidad Total]]*11.5%))/Tabla4[[#This Row],[Total]]</f>
        <v>#N/A</v>
      </c>
      <c r="V5406" s="282" t="e">
        <f>+Tabla4[[#This Row],[Comisión Calculada]]*Tabla4[[#This Row],[Total]]</f>
        <v>#N/A</v>
      </c>
    </row>
    <row r="5407" spans="1:22" hidden="1" x14ac:dyDescent="0.25">
      <c r="A5407" s="100">
        <v>45900</v>
      </c>
      <c r="B5407" t="str">
        <f t="shared" si="262"/>
        <v>August</v>
      </c>
      <c r="C5407" s="46" t="s">
        <v>280</v>
      </c>
      <c r="F5407" s="366" t="s">
        <v>2804</v>
      </c>
      <c r="G5407" s="46" t="s">
        <v>17</v>
      </c>
      <c r="H5407" s="46">
        <v>1</v>
      </c>
      <c r="I5407" s="51">
        <v>4622.28</v>
      </c>
      <c r="J5407" s="281">
        <f>++Tabla4[[#This Row],[Precio Bruto]]*1.16</f>
        <v>5361.8447999999989</v>
      </c>
      <c r="K5407" s="281">
        <f>+Tabla4[[#This Row],[Precio Unitario Neto]]*Tabla4[[#Headers],[20.85%]]</f>
        <v>1117.9446407999997</v>
      </c>
      <c r="L5407" s="282">
        <f>++Tabla4[[#This Row],[Precio Unitario Neto]]-Tabla4[[#This Row],[20.85%]]</f>
        <v>4243.9001591999995</v>
      </c>
      <c r="M5407" s="282" t="e">
        <f>(INDEX(Tabla6[#All],MATCH(Tabla4[[#This Row],[Producto]],Tabla6[[#All],[PRODUCTO]],0),MATCH(Tabla4[[#This Row],[Mes]],Tabla6[#Headers],0)))*(1+Catalogos!$L$2)</f>
        <v>#N/A</v>
      </c>
      <c r="N5407" s="283" t="e">
        <f>+(Tabla4[[#This Row],[Precio Descontado]]-Tabla4[[#This Row],[Precio Base]])*Tabla4[[#This Row],[Cantidad]]</f>
        <v>#N/A</v>
      </c>
      <c r="O5407" s="284" t="e">
        <f>++Tabla4[[#This Row],[Utilidad Total]]/Tabla4[[#This Row],[Total]]</f>
        <v>#N/A</v>
      </c>
      <c r="P5407" s="282">
        <f>++Tabla4[[#This Row],[Precio Descontado]]*Tabla4[[#This Row],[Cantidad]]</f>
        <v>4243.9001591999995</v>
      </c>
      <c r="Q5407" s="282" t="e">
        <f>(INDEX(Tabla6[#All],MATCH(Tabla4[[#This Row],[Producto]],Tabla6[[#All],[PRODUCTO]],0),MATCH(Tabla4[[#This Row],[Mes]],Tabla6[#Headers],0)))</f>
        <v>#N/A</v>
      </c>
      <c r="R5407" s="282" t="e">
        <f>++Tabla4[[#This Row],[Precio Unitario Neto]]-Tabla4[[#This Row],[20.85%]]-Tabla4[[#This Row],[Costo]]</f>
        <v>#N/A</v>
      </c>
      <c r="S5407" s="282" t="e">
        <f>++Tabla4[[#This Row],[U. Bruta Uni]]*Tabla4[[#This Row],[Cantidad]]</f>
        <v>#N/A</v>
      </c>
      <c r="T5407" s="369" t="str">
        <f>VLOOKUP(Tabla4[[#This Row],[Producto]],Tabla6[#All],14,FALSE)</f>
        <v>Termico Solar</v>
      </c>
      <c r="U5407" s="284" t="e">
        <f>(IF(Tabla4[[#This Row],[Familia]]="termico solar",Tabla4[[#This Row],[Utilidad Total]]*6%,Tabla4[[#This Row],[Utilidad Total]]*11.5%))/Tabla4[[#This Row],[Total]]</f>
        <v>#N/A</v>
      </c>
      <c r="V5407" s="282" t="e">
        <f>+Tabla4[[#This Row],[Comisión Calculada]]*Tabla4[[#This Row],[Total]]</f>
        <v>#N/A</v>
      </c>
    </row>
    <row r="5408" spans="1:22" hidden="1" x14ac:dyDescent="0.25">
      <c r="A5408" s="100">
        <v>45900</v>
      </c>
      <c r="B5408" t="str">
        <f t="shared" si="262"/>
        <v>August</v>
      </c>
      <c r="C5408" s="46" t="s">
        <v>280</v>
      </c>
      <c r="F5408" s="366" t="s">
        <v>2805</v>
      </c>
      <c r="G5408" s="46" t="s">
        <v>83</v>
      </c>
      <c r="H5408" s="46">
        <v>1</v>
      </c>
      <c r="I5408" s="51">
        <v>8858.76</v>
      </c>
      <c r="J5408" s="281">
        <f>++Tabla4[[#This Row],[Precio Bruto]]*1.16</f>
        <v>10276.161599999999</v>
      </c>
      <c r="K5408" s="281">
        <f>+Tabla4[[#This Row],[Precio Unitario Neto]]*Tabla4[[#Headers],[20.85%]]</f>
        <v>2142.5796935999997</v>
      </c>
      <c r="L5408" s="282">
        <f>++Tabla4[[#This Row],[Precio Unitario Neto]]-Tabla4[[#This Row],[20.85%]]</f>
        <v>8133.5819063999998</v>
      </c>
      <c r="M5408" s="282" t="e">
        <f>(INDEX(Tabla6[#All],MATCH(Tabla4[[#This Row],[Producto]],Tabla6[[#All],[PRODUCTO]],0),MATCH(Tabla4[[#This Row],[Mes]],Tabla6[#Headers],0)))*(1+Catalogos!$L$2)</f>
        <v>#N/A</v>
      </c>
      <c r="N5408" s="283" t="e">
        <f>+(Tabla4[[#This Row],[Precio Descontado]]-Tabla4[[#This Row],[Precio Base]])*Tabla4[[#This Row],[Cantidad]]</f>
        <v>#N/A</v>
      </c>
      <c r="O5408" s="284" t="e">
        <f>++Tabla4[[#This Row],[Utilidad Total]]/Tabla4[[#This Row],[Total]]</f>
        <v>#N/A</v>
      </c>
      <c r="P5408" s="282">
        <f>++Tabla4[[#This Row],[Precio Descontado]]*Tabla4[[#This Row],[Cantidad]]</f>
        <v>8133.5819063999998</v>
      </c>
      <c r="Q5408" s="282" t="e">
        <f>(INDEX(Tabla6[#All],MATCH(Tabla4[[#This Row],[Producto]],Tabla6[[#All],[PRODUCTO]],0),MATCH(Tabla4[[#This Row],[Mes]],Tabla6[#Headers],0)))</f>
        <v>#N/A</v>
      </c>
      <c r="R5408" s="282" t="e">
        <f>++Tabla4[[#This Row],[Precio Unitario Neto]]-Tabla4[[#This Row],[20.85%]]-Tabla4[[#This Row],[Costo]]</f>
        <v>#N/A</v>
      </c>
      <c r="S5408" s="282" t="e">
        <f>++Tabla4[[#This Row],[U. Bruta Uni]]*Tabla4[[#This Row],[Cantidad]]</f>
        <v>#N/A</v>
      </c>
      <c r="T5408" s="369" t="str">
        <f>VLOOKUP(Tabla4[[#This Row],[Producto]],Tabla6[#All],14,FALSE)</f>
        <v>Termico Solar</v>
      </c>
      <c r="U5408" s="284" t="e">
        <f>(IF(Tabla4[[#This Row],[Familia]]="termico solar",Tabla4[[#This Row],[Utilidad Total]]*6%,Tabla4[[#This Row],[Utilidad Total]]*11.5%))/Tabla4[[#This Row],[Total]]</f>
        <v>#N/A</v>
      </c>
      <c r="V5408" s="282" t="e">
        <f>+Tabla4[[#This Row],[Comisión Calculada]]*Tabla4[[#This Row],[Total]]</f>
        <v>#N/A</v>
      </c>
    </row>
    <row r="5409" spans="1:22" hidden="1" x14ac:dyDescent="0.25">
      <c r="A5409" s="100">
        <v>45900</v>
      </c>
      <c r="B5409" t="str">
        <f t="shared" si="262"/>
        <v>August</v>
      </c>
      <c r="C5409" s="46" t="s">
        <v>280</v>
      </c>
      <c r="F5409" s="366" t="s">
        <v>2805</v>
      </c>
      <c r="G5409" s="46" t="s">
        <v>17</v>
      </c>
      <c r="H5409" s="46">
        <v>1</v>
      </c>
      <c r="I5409" s="51">
        <v>4622.28</v>
      </c>
      <c r="J5409" s="281">
        <f>++Tabla4[[#This Row],[Precio Bruto]]*1.16</f>
        <v>5361.8447999999989</v>
      </c>
      <c r="K5409" s="281">
        <f>+Tabla4[[#This Row],[Precio Unitario Neto]]*Tabla4[[#Headers],[20.85%]]</f>
        <v>1117.9446407999997</v>
      </c>
      <c r="L5409" s="282">
        <f>++Tabla4[[#This Row],[Precio Unitario Neto]]-Tabla4[[#This Row],[20.85%]]</f>
        <v>4243.9001591999995</v>
      </c>
      <c r="M5409" s="282" t="e">
        <f>(INDEX(Tabla6[#All],MATCH(Tabla4[[#This Row],[Producto]],Tabla6[[#All],[PRODUCTO]],0),MATCH(Tabla4[[#This Row],[Mes]],Tabla6[#Headers],0)))*(1+Catalogos!$L$2)</f>
        <v>#N/A</v>
      </c>
      <c r="N5409" s="283" t="e">
        <f>+(Tabla4[[#This Row],[Precio Descontado]]-Tabla4[[#This Row],[Precio Base]])*Tabla4[[#This Row],[Cantidad]]</f>
        <v>#N/A</v>
      </c>
      <c r="O5409" s="284" t="e">
        <f>++Tabla4[[#This Row],[Utilidad Total]]/Tabla4[[#This Row],[Total]]</f>
        <v>#N/A</v>
      </c>
      <c r="P5409" s="282">
        <f>++Tabla4[[#This Row],[Precio Descontado]]*Tabla4[[#This Row],[Cantidad]]</f>
        <v>4243.9001591999995</v>
      </c>
      <c r="Q5409" s="282" t="e">
        <f>(INDEX(Tabla6[#All],MATCH(Tabla4[[#This Row],[Producto]],Tabla6[[#All],[PRODUCTO]],0),MATCH(Tabla4[[#This Row],[Mes]],Tabla6[#Headers],0)))</f>
        <v>#N/A</v>
      </c>
      <c r="R5409" s="282" t="e">
        <f>++Tabla4[[#This Row],[Precio Unitario Neto]]-Tabla4[[#This Row],[20.85%]]-Tabla4[[#This Row],[Costo]]</f>
        <v>#N/A</v>
      </c>
      <c r="S5409" s="282" t="e">
        <f>++Tabla4[[#This Row],[U. Bruta Uni]]*Tabla4[[#This Row],[Cantidad]]</f>
        <v>#N/A</v>
      </c>
      <c r="T5409" s="369" t="str">
        <f>VLOOKUP(Tabla4[[#This Row],[Producto]],Tabla6[#All],14,FALSE)</f>
        <v>Termico Solar</v>
      </c>
      <c r="U5409" s="284" t="e">
        <f>(IF(Tabla4[[#This Row],[Familia]]="termico solar",Tabla4[[#This Row],[Utilidad Total]]*6%,Tabla4[[#This Row],[Utilidad Total]]*11.5%))/Tabla4[[#This Row],[Total]]</f>
        <v>#N/A</v>
      </c>
      <c r="V5409" s="282" t="e">
        <f>+Tabla4[[#This Row],[Comisión Calculada]]*Tabla4[[#This Row],[Total]]</f>
        <v>#N/A</v>
      </c>
    </row>
    <row r="5410" spans="1:22" hidden="1" x14ac:dyDescent="0.25">
      <c r="A5410" s="100">
        <v>45900</v>
      </c>
      <c r="B5410" t="str">
        <f t="shared" si="262"/>
        <v>August</v>
      </c>
      <c r="C5410" s="46" t="s">
        <v>280</v>
      </c>
      <c r="F5410" s="366" t="s">
        <v>2805</v>
      </c>
      <c r="G5410" s="46" t="s">
        <v>16</v>
      </c>
      <c r="H5410" s="46">
        <v>1</v>
      </c>
      <c r="I5410" s="51">
        <v>4103.8500000000004</v>
      </c>
      <c r="J5410" s="281">
        <f>++Tabla4[[#This Row],[Precio Bruto]]*1.16</f>
        <v>4760.4660000000003</v>
      </c>
      <c r="K5410" s="281">
        <f>+Tabla4[[#This Row],[Precio Unitario Neto]]*Tabla4[[#Headers],[20.85%]]</f>
        <v>992.55716100000006</v>
      </c>
      <c r="L5410" s="282">
        <f>++Tabla4[[#This Row],[Precio Unitario Neto]]-Tabla4[[#This Row],[20.85%]]</f>
        <v>3767.9088390000002</v>
      </c>
      <c r="M5410" s="282" t="e">
        <f>(INDEX(Tabla6[#All],MATCH(Tabla4[[#This Row],[Producto]],Tabla6[[#All],[PRODUCTO]],0),MATCH(Tabla4[[#This Row],[Mes]],Tabla6[#Headers],0)))*(1+Catalogos!$L$2)</f>
        <v>#N/A</v>
      </c>
      <c r="N5410" s="283" t="e">
        <f>+(Tabla4[[#This Row],[Precio Descontado]]-Tabla4[[#This Row],[Precio Base]])*Tabla4[[#This Row],[Cantidad]]</f>
        <v>#N/A</v>
      </c>
      <c r="O5410" s="284" t="e">
        <f>++Tabla4[[#This Row],[Utilidad Total]]/Tabla4[[#This Row],[Total]]</f>
        <v>#N/A</v>
      </c>
      <c r="P5410" s="282">
        <f>++Tabla4[[#This Row],[Precio Descontado]]*Tabla4[[#This Row],[Cantidad]]</f>
        <v>3767.9088390000002</v>
      </c>
      <c r="Q5410" s="282" t="e">
        <f>(INDEX(Tabla6[#All],MATCH(Tabla4[[#This Row],[Producto]],Tabla6[[#All],[PRODUCTO]],0),MATCH(Tabla4[[#This Row],[Mes]],Tabla6[#Headers],0)))</f>
        <v>#N/A</v>
      </c>
      <c r="R5410" s="282" t="e">
        <f>++Tabla4[[#This Row],[Precio Unitario Neto]]-Tabla4[[#This Row],[20.85%]]-Tabla4[[#This Row],[Costo]]</f>
        <v>#N/A</v>
      </c>
      <c r="S5410" s="282" t="e">
        <f>++Tabla4[[#This Row],[U. Bruta Uni]]*Tabla4[[#This Row],[Cantidad]]</f>
        <v>#N/A</v>
      </c>
      <c r="T5410" s="369" t="str">
        <f>VLOOKUP(Tabla4[[#This Row],[Producto]],Tabla6[#All],14,FALSE)</f>
        <v>Termico Solar</v>
      </c>
      <c r="U5410" s="284" t="e">
        <f>(IF(Tabla4[[#This Row],[Familia]]="termico solar",Tabla4[[#This Row],[Utilidad Total]]*6%,Tabla4[[#This Row],[Utilidad Total]]*11.5%))/Tabla4[[#This Row],[Total]]</f>
        <v>#N/A</v>
      </c>
      <c r="V5410" s="282" t="e">
        <f>+Tabla4[[#This Row],[Comisión Calculada]]*Tabla4[[#This Row],[Total]]</f>
        <v>#N/A</v>
      </c>
    </row>
    <row r="5411" spans="1:22" hidden="1" x14ac:dyDescent="0.25">
      <c r="A5411" s="100">
        <v>45900</v>
      </c>
      <c r="B5411" t="str">
        <f t="shared" si="262"/>
        <v>August</v>
      </c>
      <c r="C5411" s="46" t="s">
        <v>280</v>
      </c>
      <c r="F5411" s="366" t="s">
        <v>2806</v>
      </c>
      <c r="G5411" s="46" t="s">
        <v>17</v>
      </c>
      <c r="H5411" s="46">
        <v>4</v>
      </c>
      <c r="I5411" s="51">
        <v>4622.28</v>
      </c>
      <c r="J5411" s="281">
        <f>++Tabla4[[#This Row],[Precio Bruto]]*1.16</f>
        <v>5361.8447999999989</v>
      </c>
      <c r="K5411" s="281">
        <f>+Tabla4[[#This Row],[Precio Unitario Neto]]*Tabla4[[#Headers],[20.85%]]</f>
        <v>1117.9446407999997</v>
      </c>
      <c r="L5411" s="282">
        <f>++Tabla4[[#This Row],[Precio Unitario Neto]]-Tabla4[[#This Row],[20.85%]]</f>
        <v>4243.9001591999995</v>
      </c>
      <c r="M5411" s="282" t="e">
        <f>(INDEX(Tabla6[#All],MATCH(Tabla4[[#This Row],[Producto]],Tabla6[[#All],[PRODUCTO]],0),MATCH(Tabla4[[#This Row],[Mes]],Tabla6[#Headers],0)))*(1+Catalogos!$L$2)</f>
        <v>#N/A</v>
      </c>
      <c r="N5411" s="283" t="e">
        <f>+(Tabla4[[#This Row],[Precio Descontado]]-Tabla4[[#This Row],[Precio Base]])*Tabla4[[#This Row],[Cantidad]]</f>
        <v>#N/A</v>
      </c>
      <c r="O5411" s="284" t="e">
        <f>++Tabla4[[#This Row],[Utilidad Total]]/Tabla4[[#This Row],[Total]]</f>
        <v>#N/A</v>
      </c>
      <c r="P5411" s="282">
        <f>++Tabla4[[#This Row],[Precio Descontado]]*Tabla4[[#This Row],[Cantidad]]</f>
        <v>16975.600636799998</v>
      </c>
      <c r="Q5411" s="282" t="e">
        <f>(INDEX(Tabla6[#All],MATCH(Tabla4[[#This Row],[Producto]],Tabla6[[#All],[PRODUCTO]],0),MATCH(Tabla4[[#This Row],[Mes]],Tabla6[#Headers],0)))</f>
        <v>#N/A</v>
      </c>
      <c r="R5411" s="282" t="e">
        <f>++Tabla4[[#This Row],[Precio Unitario Neto]]-Tabla4[[#This Row],[20.85%]]-Tabla4[[#This Row],[Costo]]</f>
        <v>#N/A</v>
      </c>
      <c r="S5411" s="282" t="e">
        <f>++Tabla4[[#This Row],[U. Bruta Uni]]*Tabla4[[#This Row],[Cantidad]]</f>
        <v>#N/A</v>
      </c>
      <c r="T5411" s="369" t="str">
        <f>VLOOKUP(Tabla4[[#This Row],[Producto]],Tabla6[#All],14,FALSE)</f>
        <v>Termico Solar</v>
      </c>
      <c r="U5411" s="284" t="e">
        <f>(IF(Tabla4[[#This Row],[Familia]]="termico solar",Tabla4[[#This Row],[Utilidad Total]]*6%,Tabla4[[#This Row],[Utilidad Total]]*11.5%))/Tabla4[[#This Row],[Total]]</f>
        <v>#N/A</v>
      </c>
      <c r="V5411" s="282" t="e">
        <f>+Tabla4[[#This Row],[Comisión Calculada]]*Tabla4[[#This Row],[Total]]</f>
        <v>#N/A</v>
      </c>
    </row>
    <row r="5412" spans="1:22" hidden="1" x14ac:dyDescent="0.25">
      <c r="A5412" s="100">
        <v>45900</v>
      </c>
      <c r="B5412" t="str">
        <f t="shared" si="262"/>
        <v>August</v>
      </c>
      <c r="C5412" s="46" t="s">
        <v>280</v>
      </c>
      <c r="F5412" s="366" t="s">
        <v>2806</v>
      </c>
      <c r="G5412" s="46" t="s">
        <v>16</v>
      </c>
      <c r="H5412" s="46">
        <v>1</v>
      </c>
      <c r="I5412" s="51">
        <v>4103.8500000000004</v>
      </c>
      <c r="J5412" s="281">
        <f>++Tabla4[[#This Row],[Precio Bruto]]*1.16</f>
        <v>4760.4660000000003</v>
      </c>
      <c r="K5412" s="281">
        <f>+Tabla4[[#This Row],[Precio Unitario Neto]]*Tabla4[[#Headers],[20.85%]]</f>
        <v>992.55716100000006</v>
      </c>
      <c r="L5412" s="282">
        <f>++Tabla4[[#This Row],[Precio Unitario Neto]]-Tabla4[[#This Row],[20.85%]]</f>
        <v>3767.9088390000002</v>
      </c>
      <c r="M5412" s="282" t="e">
        <f>(INDEX(Tabla6[#All],MATCH(Tabla4[[#This Row],[Producto]],Tabla6[[#All],[PRODUCTO]],0),MATCH(Tabla4[[#This Row],[Mes]],Tabla6[#Headers],0)))*(1+Catalogos!$L$2)</f>
        <v>#N/A</v>
      </c>
      <c r="N5412" s="283" t="e">
        <f>+(Tabla4[[#This Row],[Precio Descontado]]-Tabla4[[#This Row],[Precio Base]])*Tabla4[[#This Row],[Cantidad]]</f>
        <v>#N/A</v>
      </c>
      <c r="O5412" s="284" t="e">
        <f>++Tabla4[[#This Row],[Utilidad Total]]/Tabla4[[#This Row],[Total]]</f>
        <v>#N/A</v>
      </c>
      <c r="P5412" s="282">
        <f>++Tabla4[[#This Row],[Precio Descontado]]*Tabla4[[#This Row],[Cantidad]]</f>
        <v>3767.9088390000002</v>
      </c>
      <c r="Q5412" s="282" t="e">
        <f>(INDEX(Tabla6[#All],MATCH(Tabla4[[#This Row],[Producto]],Tabla6[[#All],[PRODUCTO]],0),MATCH(Tabla4[[#This Row],[Mes]],Tabla6[#Headers],0)))</f>
        <v>#N/A</v>
      </c>
      <c r="R5412" s="282" t="e">
        <f>++Tabla4[[#This Row],[Precio Unitario Neto]]-Tabla4[[#This Row],[20.85%]]-Tabla4[[#This Row],[Costo]]</f>
        <v>#N/A</v>
      </c>
      <c r="S5412" s="282" t="e">
        <f>++Tabla4[[#This Row],[U. Bruta Uni]]*Tabla4[[#This Row],[Cantidad]]</f>
        <v>#N/A</v>
      </c>
      <c r="T5412" s="369" t="str">
        <f>VLOOKUP(Tabla4[[#This Row],[Producto]],Tabla6[#All],14,FALSE)</f>
        <v>Termico Solar</v>
      </c>
      <c r="U5412" s="284" t="e">
        <f>(IF(Tabla4[[#This Row],[Familia]]="termico solar",Tabla4[[#This Row],[Utilidad Total]]*6%,Tabla4[[#This Row],[Utilidad Total]]*11.5%))/Tabla4[[#This Row],[Total]]</f>
        <v>#N/A</v>
      </c>
      <c r="V5412" s="282" t="e">
        <f>+Tabla4[[#This Row],[Comisión Calculada]]*Tabla4[[#This Row],[Total]]</f>
        <v>#N/A</v>
      </c>
    </row>
    <row r="5413" spans="1:22" hidden="1" x14ac:dyDescent="0.25">
      <c r="A5413" s="100">
        <v>45900</v>
      </c>
      <c r="B5413" t="str">
        <f t="shared" si="262"/>
        <v>August</v>
      </c>
      <c r="C5413" s="46" t="s">
        <v>280</v>
      </c>
      <c r="F5413" s="366" t="s">
        <v>2806</v>
      </c>
      <c r="G5413" s="46" t="s">
        <v>555</v>
      </c>
      <c r="H5413" s="46">
        <v>8</v>
      </c>
      <c r="I5413" s="51">
        <v>389.47</v>
      </c>
      <c r="J5413" s="281">
        <f>++Tabla4[[#This Row],[Precio Bruto]]*1.16</f>
        <v>451.78519999999997</v>
      </c>
      <c r="K5413" s="281">
        <f>+Tabla4[[#This Row],[Precio Unitario Neto]]*Tabla4[[#Headers],[20.85%]]</f>
        <v>94.197214199999991</v>
      </c>
      <c r="L5413" s="282">
        <f>++Tabla4[[#This Row],[Precio Unitario Neto]]-Tabla4[[#This Row],[20.85%]]</f>
        <v>357.58798579999996</v>
      </c>
      <c r="M5413" s="282" t="e">
        <f>(INDEX(Tabla6[#All],MATCH(Tabla4[[#This Row],[Producto]],Tabla6[[#All],[PRODUCTO]],0),MATCH(Tabla4[[#This Row],[Mes]],Tabla6[#Headers],0)))*(1+Catalogos!$L$2)</f>
        <v>#N/A</v>
      </c>
      <c r="N5413" s="283" t="e">
        <f>+(Tabla4[[#This Row],[Precio Descontado]]-Tabla4[[#This Row],[Precio Base]])*Tabla4[[#This Row],[Cantidad]]</f>
        <v>#N/A</v>
      </c>
      <c r="O5413" s="284" t="e">
        <f>++Tabla4[[#This Row],[Utilidad Total]]/Tabla4[[#This Row],[Total]]</f>
        <v>#N/A</v>
      </c>
      <c r="P5413" s="282">
        <f>++Tabla4[[#This Row],[Precio Descontado]]*Tabla4[[#This Row],[Cantidad]]</f>
        <v>2860.7038863999996</v>
      </c>
      <c r="Q5413" s="282" t="e">
        <f>(INDEX(Tabla6[#All],MATCH(Tabla4[[#This Row],[Producto]],Tabla6[[#All],[PRODUCTO]],0),MATCH(Tabla4[[#This Row],[Mes]],Tabla6[#Headers],0)))</f>
        <v>#N/A</v>
      </c>
      <c r="R5413" s="282" t="e">
        <f>++Tabla4[[#This Row],[Precio Unitario Neto]]-Tabla4[[#This Row],[20.85%]]-Tabla4[[#This Row],[Costo]]</f>
        <v>#N/A</v>
      </c>
      <c r="S5413" s="282" t="e">
        <f>++Tabla4[[#This Row],[U. Bruta Uni]]*Tabla4[[#This Row],[Cantidad]]</f>
        <v>#N/A</v>
      </c>
      <c r="T5413" s="369" t="str">
        <f>VLOOKUP(Tabla4[[#This Row],[Producto]],Tabla6[#All],14,FALSE)</f>
        <v>Termico Solar</v>
      </c>
      <c r="U5413" s="284" t="e">
        <f>(IF(Tabla4[[#This Row],[Familia]]="termico solar",Tabla4[[#This Row],[Utilidad Total]]*6%,Tabla4[[#This Row],[Utilidad Total]]*11.5%))/Tabla4[[#This Row],[Total]]</f>
        <v>#N/A</v>
      </c>
      <c r="V5413" s="282" t="e">
        <f>+Tabla4[[#This Row],[Comisión Calculada]]*Tabla4[[#This Row],[Total]]</f>
        <v>#N/A</v>
      </c>
    </row>
    <row r="5414" spans="1:22" hidden="1" x14ac:dyDescent="0.25">
      <c r="A5414" s="100">
        <v>45900</v>
      </c>
      <c r="B5414" t="str">
        <f t="shared" si="262"/>
        <v>August</v>
      </c>
      <c r="C5414" s="46" t="s">
        <v>280</v>
      </c>
      <c r="F5414" s="366" t="s">
        <v>2807</v>
      </c>
      <c r="G5414" s="46" t="s">
        <v>17</v>
      </c>
      <c r="H5414" s="46">
        <v>2</v>
      </c>
      <c r="I5414" s="51">
        <v>4622.28</v>
      </c>
      <c r="J5414" s="281">
        <f>++Tabla4[[#This Row],[Precio Bruto]]*1.16</f>
        <v>5361.8447999999989</v>
      </c>
      <c r="K5414" s="281">
        <f>+Tabla4[[#This Row],[Precio Unitario Neto]]*Tabla4[[#Headers],[20.85%]]</f>
        <v>1117.9446407999997</v>
      </c>
      <c r="L5414" s="282">
        <f>++Tabla4[[#This Row],[Precio Unitario Neto]]-Tabla4[[#This Row],[20.85%]]</f>
        <v>4243.9001591999995</v>
      </c>
      <c r="M5414" s="282" t="e">
        <f>(INDEX(Tabla6[#All],MATCH(Tabla4[[#This Row],[Producto]],Tabla6[[#All],[PRODUCTO]],0),MATCH(Tabla4[[#This Row],[Mes]],Tabla6[#Headers],0)))*(1+Catalogos!$L$2)</f>
        <v>#N/A</v>
      </c>
      <c r="N5414" s="283" t="e">
        <f>+(Tabla4[[#This Row],[Precio Descontado]]-Tabla4[[#This Row],[Precio Base]])*Tabla4[[#This Row],[Cantidad]]</f>
        <v>#N/A</v>
      </c>
      <c r="O5414" s="284" t="e">
        <f>++Tabla4[[#This Row],[Utilidad Total]]/Tabla4[[#This Row],[Total]]</f>
        <v>#N/A</v>
      </c>
      <c r="P5414" s="282">
        <f>++Tabla4[[#This Row],[Precio Descontado]]*Tabla4[[#This Row],[Cantidad]]</f>
        <v>8487.800318399999</v>
      </c>
      <c r="Q5414" s="282" t="e">
        <f>(INDEX(Tabla6[#All],MATCH(Tabla4[[#This Row],[Producto]],Tabla6[[#All],[PRODUCTO]],0),MATCH(Tabla4[[#This Row],[Mes]],Tabla6[#Headers],0)))</f>
        <v>#N/A</v>
      </c>
      <c r="R5414" s="282" t="e">
        <f>++Tabla4[[#This Row],[Precio Unitario Neto]]-Tabla4[[#This Row],[20.85%]]-Tabla4[[#This Row],[Costo]]</f>
        <v>#N/A</v>
      </c>
      <c r="S5414" s="282" t="e">
        <f>++Tabla4[[#This Row],[U. Bruta Uni]]*Tabla4[[#This Row],[Cantidad]]</f>
        <v>#N/A</v>
      </c>
      <c r="T5414" s="369" t="str">
        <f>VLOOKUP(Tabla4[[#This Row],[Producto]],Tabla6[#All],14,FALSE)</f>
        <v>Termico Solar</v>
      </c>
      <c r="U5414" s="284" t="e">
        <f>(IF(Tabla4[[#This Row],[Familia]]="termico solar",Tabla4[[#This Row],[Utilidad Total]]*6%,Tabla4[[#This Row],[Utilidad Total]]*11.5%))/Tabla4[[#This Row],[Total]]</f>
        <v>#N/A</v>
      </c>
      <c r="V5414" s="282" t="e">
        <f>+Tabla4[[#This Row],[Comisión Calculada]]*Tabla4[[#This Row],[Total]]</f>
        <v>#N/A</v>
      </c>
    </row>
    <row r="5415" spans="1:22" hidden="1" x14ac:dyDescent="0.25">
      <c r="A5415" s="100">
        <v>45900</v>
      </c>
      <c r="B5415" t="str">
        <f t="shared" si="262"/>
        <v>August</v>
      </c>
      <c r="C5415" s="46" t="s">
        <v>280</v>
      </c>
      <c r="F5415" s="366" t="s">
        <v>2807</v>
      </c>
      <c r="G5415" s="46" t="s">
        <v>18</v>
      </c>
      <c r="H5415" s="46">
        <v>3</v>
      </c>
      <c r="I5415" s="51">
        <v>5367.6500000000005</v>
      </c>
      <c r="J5415" s="281">
        <f>++Tabla4[[#This Row],[Precio Bruto]]*1.16</f>
        <v>6226.4740000000002</v>
      </c>
      <c r="K5415" s="281">
        <f>+Tabla4[[#This Row],[Precio Unitario Neto]]*Tabla4[[#Headers],[20.85%]]</f>
        <v>1298.2198289999999</v>
      </c>
      <c r="L5415" s="282">
        <f>++Tabla4[[#This Row],[Precio Unitario Neto]]-Tabla4[[#This Row],[20.85%]]</f>
        <v>4928.2541710000005</v>
      </c>
      <c r="M5415" s="282" t="e">
        <f>(INDEX(Tabla6[#All],MATCH(Tabla4[[#This Row],[Producto]],Tabla6[[#All],[PRODUCTO]],0),MATCH(Tabla4[[#This Row],[Mes]],Tabla6[#Headers],0)))*(1+Catalogos!$L$2)</f>
        <v>#N/A</v>
      </c>
      <c r="N5415" s="283" t="e">
        <f>+(Tabla4[[#This Row],[Precio Descontado]]-Tabla4[[#This Row],[Precio Base]])*Tabla4[[#This Row],[Cantidad]]</f>
        <v>#N/A</v>
      </c>
      <c r="O5415" s="284" t="e">
        <f>++Tabla4[[#This Row],[Utilidad Total]]/Tabla4[[#This Row],[Total]]</f>
        <v>#N/A</v>
      </c>
      <c r="P5415" s="282">
        <f>++Tabla4[[#This Row],[Precio Descontado]]*Tabla4[[#This Row],[Cantidad]]</f>
        <v>14784.762513000001</v>
      </c>
      <c r="Q5415" s="282" t="e">
        <f>(INDEX(Tabla6[#All],MATCH(Tabla4[[#This Row],[Producto]],Tabla6[[#All],[PRODUCTO]],0),MATCH(Tabla4[[#This Row],[Mes]],Tabla6[#Headers],0)))</f>
        <v>#N/A</v>
      </c>
      <c r="R5415" s="282" t="e">
        <f>++Tabla4[[#This Row],[Precio Unitario Neto]]-Tabla4[[#This Row],[20.85%]]-Tabla4[[#This Row],[Costo]]</f>
        <v>#N/A</v>
      </c>
      <c r="S5415" s="282" t="e">
        <f>++Tabla4[[#This Row],[U. Bruta Uni]]*Tabla4[[#This Row],[Cantidad]]</f>
        <v>#N/A</v>
      </c>
      <c r="T5415" s="369" t="str">
        <f>VLOOKUP(Tabla4[[#This Row],[Producto]],Tabla6[#All],14,FALSE)</f>
        <v>Termico Solar</v>
      </c>
      <c r="U5415" s="284" t="e">
        <f>(IF(Tabla4[[#This Row],[Familia]]="termico solar",Tabla4[[#This Row],[Utilidad Total]]*6%,Tabla4[[#This Row],[Utilidad Total]]*11.5%))/Tabla4[[#This Row],[Total]]</f>
        <v>#N/A</v>
      </c>
      <c r="V5415" s="282" t="e">
        <f>+Tabla4[[#This Row],[Comisión Calculada]]*Tabla4[[#This Row],[Total]]</f>
        <v>#N/A</v>
      </c>
    </row>
    <row r="5416" spans="1:22" hidden="1" x14ac:dyDescent="0.25">
      <c r="A5416" s="100">
        <v>45900</v>
      </c>
      <c r="B5416" t="str">
        <f t="shared" si="262"/>
        <v>August</v>
      </c>
      <c r="C5416" s="46" t="s">
        <v>280</v>
      </c>
      <c r="F5416" s="366" t="s">
        <v>2807</v>
      </c>
      <c r="G5416" s="46" t="s">
        <v>19</v>
      </c>
      <c r="H5416" s="46">
        <v>1</v>
      </c>
      <c r="I5416" s="51">
        <v>6412.03</v>
      </c>
      <c r="J5416" s="281">
        <f>++Tabla4[[#This Row],[Precio Bruto]]*1.16</f>
        <v>7437.9547999999995</v>
      </c>
      <c r="K5416" s="281">
        <f>+Tabla4[[#This Row],[Precio Unitario Neto]]*Tabla4[[#Headers],[20.85%]]</f>
        <v>1550.8135757999999</v>
      </c>
      <c r="L5416" s="282">
        <f>++Tabla4[[#This Row],[Precio Unitario Neto]]-Tabla4[[#This Row],[20.85%]]</f>
        <v>5887.1412241999997</v>
      </c>
      <c r="M5416" s="282" t="e">
        <f>(INDEX(Tabla6[#All],MATCH(Tabla4[[#This Row],[Producto]],Tabla6[[#All],[PRODUCTO]],0),MATCH(Tabla4[[#This Row],[Mes]],Tabla6[#Headers],0)))*(1+Catalogos!$L$2)</f>
        <v>#N/A</v>
      </c>
      <c r="N5416" s="283" t="e">
        <f>+(Tabla4[[#This Row],[Precio Descontado]]-Tabla4[[#This Row],[Precio Base]])*Tabla4[[#This Row],[Cantidad]]</f>
        <v>#N/A</v>
      </c>
      <c r="O5416" s="284" t="e">
        <f>++Tabla4[[#This Row],[Utilidad Total]]/Tabla4[[#This Row],[Total]]</f>
        <v>#N/A</v>
      </c>
      <c r="P5416" s="282">
        <f>++Tabla4[[#This Row],[Precio Descontado]]*Tabla4[[#This Row],[Cantidad]]</f>
        <v>5887.1412241999997</v>
      </c>
      <c r="Q5416" s="282" t="e">
        <f>(INDEX(Tabla6[#All],MATCH(Tabla4[[#This Row],[Producto]],Tabla6[[#All],[PRODUCTO]],0),MATCH(Tabla4[[#This Row],[Mes]],Tabla6[#Headers],0)))</f>
        <v>#N/A</v>
      </c>
      <c r="R5416" s="282" t="e">
        <f>++Tabla4[[#This Row],[Precio Unitario Neto]]-Tabla4[[#This Row],[20.85%]]-Tabla4[[#This Row],[Costo]]</f>
        <v>#N/A</v>
      </c>
      <c r="S5416" s="282" t="e">
        <f>++Tabla4[[#This Row],[U. Bruta Uni]]*Tabla4[[#This Row],[Cantidad]]</f>
        <v>#N/A</v>
      </c>
      <c r="T5416" s="369" t="str">
        <f>VLOOKUP(Tabla4[[#This Row],[Producto]],Tabla6[#All],14,FALSE)</f>
        <v>Termico Solar</v>
      </c>
      <c r="U5416" s="284" t="e">
        <f>(IF(Tabla4[[#This Row],[Familia]]="termico solar",Tabla4[[#This Row],[Utilidad Total]]*6%,Tabla4[[#This Row],[Utilidad Total]]*11.5%))/Tabla4[[#This Row],[Total]]</f>
        <v>#N/A</v>
      </c>
      <c r="V5416" s="282" t="e">
        <f>+Tabla4[[#This Row],[Comisión Calculada]]*Tabla4[[#This Row],[Total]]</f>
        <v>#N/A</v>
      </c>
    </row>
    <row r="5417" spans="1:22" hidden="1" x14ac:dyDescent="0.25">
      <c r="A5417" s="100">
        <v>45900</v>
      </c>
      <c r="B5417" t="str">
        <f t="shared" si="262"/>
        <v>August</v>
      </c>
      <c r="C5417" s="46" t="s">
        <v>280</v>
      </c>
      <c r="F5417" s="366" t="s">
        <v>2807</v>
      </c>
      <c r="G5417" s="46" t="s">
        <v>566</v>
      </c>
      <c r="H5417" s="46">
        <v>1</v>
      </c>
      <c r="I5417" s="51">
        <v>2109.4499999999998</v>
      </c>
      <c r="J5417" s="281">
        <f>++Tabla4[[#This Row],[Precio Bruto]]*1.16</f>
        <v>2446.9619999999995</v>
      </c>
      <c r="K5417" s="281">
        <f>+Tabla4[[#This Row],[Precio Unitario Neto]]*Tabla4[[#Headers],[20.85%]]</f>
        <v>510.19157699999988</v>
      </c>
      <c r="L5417" s="282">
        <f>++Tabla4[[#This Row],[Precio Unitario Neto]]-Tabla4[[#This Row],[20.85%]]</f>
        <v>1936.7704229999997</v>
      </c>
      <c r="M5417" s="282" t="e">
        <f>(INDEX(Tabla6[#All],MATCH(Tabla4[[#This Row],[Producto]],Tabla6[[#All],[PRODUCTO]],0),MATCH(Tabla4[[#This Row],[Mes]],Tabla6[#Headers],0)))*(1+Catalogos!$L$2)</f>
        <v>#N/A</v>
      </c>
      <c r="N5417" s="283" t="e">
        <f>+(Tabla4[[#This Row],[Precio Descontado]]-Tabla4[[#This Row],[Precio Base]])*Tabla4[[#This Row],[Cantidad]]</f>
        <v>#N/A</v>
      </c>
      <c r="O5417" s="284" t="e">
        <f>++Tabla4[[#This Row],[Utilidad Total]]/Tabla4[[#This Row],[Total]]</f>
        <v>#N/A</v>
      </c>
      <c r="P5417" s="282">
        <f>++Tabla4[[#This Row],[Precio Descontado]]*Tabla4[[#This Row],[Cantidad]]</f>
        <v>1936.7704229999997</v>
      </c>
      <c r="Q5417" s="282" t="e">
        <f>(INDEX(Tabla6[#All],MATCH(Tabla4[[#This Row],[Producto]],Tabla6[[#All],[PRODUCTO]],0),MATCH(Tabla4[[#This Row],[Mes]],Tabla6[#Headers],0)))</f>
        <v>#N/A</v>
      </c>
      <c r="R5417" s="282" t="e">
        <f>++Tabla4[[#This Row],[Precio Unitario Neto]]-Tabla4[[#This Row],[20.85%]]-Tabla4[[#This Row],[Costo]]</f>
        <v>#N/A</v>
      </c>
      <c r="S5417" s="282" t="e">
        <f>++Tabla4[[#This Row],[U. Bruta Uni]]*Tabla4[[#This Row],[Cantidad]]</f>
        <v>#N/A</v>
      </c>
      <c r="T5417" s="369" t="str">
        <f>VLOOKUP(Tabla4[[#This Row],[Producto]],Tabla6[#All],14,FALSE)</f>
        <v>Termico Solar</v>
      </c>
      <c r="U5417" s="284" t="e">
        <f>(IF(Tabla4[[#This Row],[Familia]]="termico solar",Tabla4[[#This Row],[Utilidad Total]]*6%,Tabla4[[#This Row],[Utilidad Total]]*11.5%))/Tabla4[[#This Row],[Total]]</f>
        <v>#N/A</v>
      </c>
      <c r="V5417" s="282" t="e">
        <f>+Tabla4[[#This Row],[Comisión Calculada]]*Tabla4[[#This Row],[Total]]</f>
        <v>#N/A</v>
      </c>
    </row>
    <row r="5418" spans="1:22" hidden="1" x14ac:dyDescent="0.25">
      <c r="A5418" s="100">
        <v>45900</v>
      </c>
      <c r="B5418" t="str">
        <f t="shared" si="262"/>
        <v>August</v>
      </c>
      <c r="C5418" s="46" t="s">
        <v>280</v>
      </c>
      <c r="F5418" s="366" t="s">
        <v>2807</v>
      </c>
      <c r="G5418" s="46" t="s">
        <v>555</v>
      </c>
      <c r="H5418" s="46">
        <v>8</v>
      </c>
      <c r="I5418" s="51">
        <v>389.47</v>
      </c>
      <c r="J5418" s="281">
        <f>++Tabla4[[#This Row],[Precio Bruto]]*1.16</f>
        <v>451.78519999999997</v>
      </c>
      <c r="K5418" s="281">
        <f>+Tabla4[[#This Row],[Precio Unitario Neto]]*Tabla4[[#Headers],[20.85%]]</f>
        <v>94.197214199999991</v>
      </c>
      <c r="L5418" s="282">
        <f>++Tabla4[[#This Row],[Precio Unitario Neto]]-Tabla4[[#This Row],[20.85%]]</f>
        <v>357.58798579999996</v>
      </c>
      <c r="M5418" s="282" t="e">
        <f>(INDEX(Tabla6[#All],MATCH(Tabla4[[#This Row],[Producto]],Tabla6[[#All],[PRODUCTO]],0),MATCH(Tabla4[[#This Row],[Mes]],Tabla6[#Headers],0)))*(1+Catalogos!$L$2)</f>
        <v>#N/A</v>
      </c>
      <c r="N5418" s="283" t="e">
        <f>+(Tabla4[[#This Row],[Precio Descontado]]-Tabla4[[#This Row],[Precio Base]])*Tabla4[[#This Row],[Cantidad]]</f>
        <v>#N/A</v>
      </c>
      <c r="O5418" s="284" t="e">
        <f>++Tabla4[[#This Row],[Utilidad Total]]/Tabla4[[#This Row],[Total]]</f>
        <v>#N/A</v>
      </c>
      <c r="P5418" s="282">
        <f>++Tabla4[[#This Row],[Precio Descontado]]*Tabla4[[#This Row],[Cantidad]]</f>
        <v>2860.7038863999996</v>
      </c>
      <c r="Q5418" s="282" t="e">
        <f>(INDEX(Tabla6[#All],MATCH(Tabla4[[#This Row],[Producto]],Tabla6[[#All],[PRODUCTO]],0),MATCH(Tabla4[[#This Row],[Mes]],Tabla6[#Headers],0)))</f>
        <v>#N/A</v>
      </c>
      <c r="R5418" s="282" t="e">
        <f>++Tabla4[[#This Row],[Precio Unitario Neto]]-Tabla4[[#This Row],[20.85%]]-Tabla4[[#This Row],[Costo]]</f>
        <v>#N/A</v>
      </c>
      <c r="S5418" s="282" t="e">
        <f>++Tabla4[[#This Row],[U. Bruta Uni]]*Tabla4[[#This Row],[Cantidad]]</f>
        <v>#N/A</v>
      </c>
      <c r="T5418" s="369" t="str">
        <f>VLOOKUP(Tabla4[[#This Row],[Producto]],Tabla6[#All],14,FALSE)</f>
        <v>Termico Solar</v>
      </c>
      <c r="U5418" s="284" t="e">
        <f>(IF(Tabla4[[#This Row],[Familia]]="termico solar",Tabla4[[#This Row],[Utilidad Total]]*6%,Tabla4[[#This Row],[Utilidad Total]]*11.5%))/Tabla4[[#This Row],[Total]]</f>
        <v>#N/A</v>
      </c>
      <c r="V5418" s="282" t="e">
        <f>+Tabla4[[#This Row],[Comisión Calculada]]*Tabla4[[#This Row],[Total]]</f>
        <v>#N/A</v>
      </c>
    </row>
    <row r="5419" spans="1:22" hidden="1" x14ac:dyDescent="0.25">
      <c r="A5419" s="100">
        <v>45900</v>
      </c>
      <c r="B5419" t="str">
        <f t="shared" si="262"/>
        <v>August</v>
      </c>
      <c r="C5419" s="46" t="s">
        <v>280</v>
      </c>
      <c r="F5419" s="366" t="s">
        <v>2808</v>
      </c>
      <c r="G5419" s="46" t="s">
        <v>17</v>
      </c>
      <c r="H5419" s="46">
        <v>2</v>
      </c>
      <c r="I5419" s="51">
        <v>4622.28</v>
      </c>
      <c r="J5419" s="281">
        <f>++Tabla4[[#This Row],[Precio Bruto]]*1.16</f>
        <v>5361.8447999999989</v>
      </c>
      <c r="K5419" s="281">
        <f>+Tabla4[[#This Row],[Precio Unitario Neto]]*Tabla4[[#Headers],[20.85%]]</f>
        <v>1117.9446407999997</v>
      </c>
      <c r="L5419" s="282">
        <f>++Tabla4[[#This Row],[Precio Unitario Neto]]-Tabla4[[#This Row],[20.85%]]</f>
        <v>4243.9001591999995</v>
      </c>
      <c r="M5419" s="282" t="e">
        <f>(INDEX(Tabla6[#All],MATCH(Tabla4[[#This Row],[Producto]],Tabla6[[#All],[PRODUCTO]],0),MATCH(Tabla4[[#This Row],[Mes]],Tabla6[#Headers],0)))*(1+Catalogos!$L$2)</f>
        <v>#N/A</v>
      </c>
      <c r="N5419" s="283" t="e">
        <f>+(Tabla4[[#This Row],[Precio Descontado]]-Tabla4[[#This Row],[Precio Base]])*Tabla4[[#This Row],[Cantidad]]</f>
        <v>#N/A</v>
      </c>
      <c r="O5419" s="284" t="e">
        <f>++Tabla4[[#This Row],[Utilidad Total]]/Tabla4[[#This Row],[Total]]</f>
        <v>#N/A</v>
      </c>
      <c r="P5419" s="282">
        <f>++Tabla4[[#This Row],[Precio Descontado]]*Tabla4[[#This Row],[Cantidad]]</f>
        <v>8487.800318399999</v>
      </c>
      <c r="Q5419" s="282" t="e">
        <f>(INDEX(Tabla6[#All],MATCH(Tabla4[[#This Row],[Producto]],Tabla6[[#All],[PRODUCTO]],0),MATCH(Tabla4[[#This Row],[Mes]],Tabla6[#Headers],0)))</f>
        <v>#N/A</v>
      </c>
      <c r="R5419" s="282" t="e">
        <f>++Tabla4[[#This Row],[Precio Unitario Neto]]-Tabla4[[#This Row],[20.85%]]-Tabla4[[#This Row],[Costo]]</f>
        <v>#N/A</v>
      </c>
      <c r="S5419" s="282" t="e">
        <f>++Tabla4[[#This Row],[U. Bruta Uni]]*Tabla4[[#This Row],[Cantidad]]</f>
        <v>#N/A</v>
      </c>
      <c r="T5419" s="369" t="str">
        <f>VLOOKUP(Tabla4[[#This Row],[Producto]],Tabla6[#All],14,FALSE)</f>
        <v>Termico Solar</v>
      </c>
      <c r="U5419" s="284" t="e">
        <f>(IF(Tabla4[[#This Row],[Familia]]="termico solar",Tabla4[[#This Row],[Utilidad Total]]*6%,Tabla4[[#This Row],[Utilidad Total]]*11.5%))/Tabla4[[#This Row],[Total]]</f>
        <v>#N/A</v>
      </c>
      <c r="V5419" s="282" t="e">
        <f>+Tabla4[[#This Row],[Comisión Calculada]]*Tabla4[[#This Row],[Total]]</f>
        <v>#N/A</v>
      </c>
    </row>
    <row r="5420" spans="1:22" hidden="1" x14ac:dyDescent="0.25">
      <c r="A5420" s="100">
        <v>45900</v>
      </c>
      <c r="B5420" t="str">
        <f t="shared" si="262"/>
        <v>August</v>
      </c>
      <c r="C5420" s="46" t="s">
        <v>280</v>
      </c>
      <c r="F5420" s="366" t="s">
        <v>2808</v>
      </c>
      <c r="G5420" s="46" t="s">
        <v>412</v>
      </c>
      <c r="H5420" s="46">
        <v>1</v>
      </c>
      <c r="I5420" s="51">
        <v>3240.84</v>
      </c>
      <c r="J5420" s="281">
        <f>++Tabla4[[#This Row],[Precio Bruto]]*1.16</f>
        <v>3759.3743999999997</v>
      </c>
      <c r="K5420" s="281">
        <f>+Tabla4[[#This Row],[Precio Unitario Neto]]*Tabla4[[#Headers],[20.85%]]</f>
        <v>783.82956239999987</v>
      </c>
      <c r="L5420" s="282">
        <f>++Tabla4[[#This Row],[Precio Unitario Neto]]-Tabla4[[#This Row],[20.85%]]</f>
        <v>2975.5448375999999</v>
      </c>
      <c r="M5420" s="282" t="e">
        <f>(INDEX(Tabla6[#All],MATCH(Tabla4[[#This Row],[Producto]],Tabla6[[#All],[PRODUCTO]],0),MATCH(Tabla4[[#This Row],[Mes]],Tabla6[#Headers],0)))*(1+Catalogos!$L$2)</f>
        <v>#N/A</v>
      </c>
      <c r="N5420" s="283" t="e">
        <f>+(Tabla4[[#This Row],[Precio Descontado]]-Tabla4[[#This Row],[Precio Base]])*Tabla4[[#This Row],[Cantidad]]</f>
        <v>#N/A</v>
      </c>
      <c r="O5420" s="284" t="e">
        <f>++Tabla4[[#This Row],[Utilidad Total]]/Tabla4[[#This Row],[Total]]</f>
        <v>#N/A</v>
      </c>
      <c r="P5420" s="282">
        <f>++Tabla4[[#This Row],[Precio Descontado]]*Tabla4[[#This Row],[Cantidad]]</f>
        <v>2975.5448375999999</v>
      </c>
      <c r="Q5420" s="282" t="e">
        <f>(INDEX(Tabla6[#All],MATCH(Tabla4[[#This Row],[Producto]],Tabla6[[#All],[PRODUCTO]],0),MATCH(Tabla4[[#This Row],[Mes]],Tabla6[#Headers],0)))</f>
        <v>#N/A</v>
      </c>
      <c r="R5420" s="282" t="e">
        <f>++Tabla4[[#This Row],[Precio Unitario Neto]]-Tabla4[[#This Row],[20.85%]]-Tabla4[[#This Row],[Costo]]</f>
        <v>#N/A</v>
      </c>
      <c r="S5420" s="282" t="e">
        <f>++Tabla4[[#This Row],[U. Bruta Uni]]*Tabla4[[#This Row],[Cantidad]]</f>
        <v>#N/A</v>
      </c>
      <c r="T5420" s="369" t="str">
        <f>VLOOKUP(Tabla4[[#This Row],[Producto]],Tabla6[#All],14,FALSE)</f>
        <v>Termico Solar</v>
      </c>
      <c r="U5420" s="284" t="e">
        <f>(IF(Tabla4[[#This Row],[Familia]]="termico solar",Tabla4[[#This Row],[Utilidad Total]]*6%,Tabla4[[#This Row],[Utilidad Total]]*11.5%))/Tabla4[[#This Row],[Total]]</f>
        <v>#N/A</v>
      </c>
      <c r="V5420" s="282" t="e">
        <f>+Tabla4[[#This Row],[Comisión Calculada]]*Tabla4[[#This Row],[Total]]</f>
        <v>#N/A</v>
      </c>
    </row>
    <row r="5421" spans="1:22" hidden="1" x14ac:dyDescent="0.25">
      <c r="A5421" s="100">
        <v>45900</v>
      </c>
      <c r="B5421" t="str">
        <f t="shared" si="262"/>
        <v>August</v>
      </c>
      <c r="C5421" s="46" t="s">
        <v>280</v>
      </c>
      <c r="F5421" s="366" t="s">
        <v>2808</v>
      </c>
      <c r="G5421" s="46" t="s">
        <v>16</v>
      </c>
      <c r="H5421" s="46">
        <v>1</v>
      </c>
      <c r="I5421" s="51">
        <v>4103.8500000000004</v>
      </c>
      <c r="J5421" s="281">
        <f>++Tabla4[[#This Row],[Precio Bruto]]*1.16</f>
        <v>4760.4660000000003</v>
      </c>
      <c r="K5421" s="281">
        <f>+Tabla4[[#This Row],[Precio Unitario Neto]]*Tabla4[[#Headers],[20.85%]]</f>
        <v>992.55716100000006</v>
      </c>
      <c r="L5421" s="282">
        <f>++Tabla4[[#This Row],[Precio Unitario Neto]]-Tabla4[[#This Row],[20.85%]]</f>
        <v>3767.9088390000002</v>
      </c>
      <c r="M5421" s="282" t="e">
        <f>(INDEX(Tabla6[#All],MATCH(Tabla4[[#This Row],[Producto]],Tabla6[[#All],[PRODUCTO]],0),MATCH(Tabla4[[#This Row],[Mes]],Tabla6[#Headers],0)))*(1+Catalogos!$L$2)</f>
        <v>#N/A</v>
      </c>
      <c r="N5421" s="283" t="e">
        <f>+(Tabla4[[#This Row],[Precio Descontado]]-Tabla4[[#This Row],[Precio Base]])*Tabla4[[#This Row],[Cantidad]]</f>
        <v>#N/A</v>
      </c>
      <c r="O5421" s="284" t="e">
        <f>++Tabla4[[#This Row],[Utilidad Total]]/Tabla4[[#This Row],[Total]]</f>
        <v>#N/A</v>
      </c>
      <c r="P5421" s="282">
        <f>++Tabla4[[#This Row],[Precio Descontado]]*Tabla4[[#This Row],[Cantidad]]</f>
        <v>3767.9088390000002</v>
      </c>
      <c r="Q5421" s="282" t="e">
        <f>(INDEX(Tabla6[#All],MATCH(Tabla4[[#This Row],[Producto]],Tabla6[[#All],[PRODUCTO]],0),MATCH(Tabla4[[#This Row],[Mes]],Tabla6[#Headers],0)))</f>
        <v>#N/A</v>
      </c>
      <c r="R5421" s="282" t="e">
        <f>++Tabla4[[#This Row],[Precio Unitario Neto]]-Tabla4[[#This Row],[20.85%]]-Tabla4[[#This Row],[Costo]]</f>
        <v>#N/A</v>
      </c>
      <c r="S5421" s="282" t="e">
        <f>++Tabla4[[#This Row],[U. Bruta Uni]]*Tabla4[[#This Row],[Cantidad]]</f>
        <v>#N/A</v>
      </c>
      <c r="T5421" s="369" t="str">
        <f>VLOOKUP(Tabla4[[#This Row],[Producto]],Tabla6[#All],14,FALSE)</f>
        <v>Termico Solar</v>
      </c>
      <c r="U5421" s="284" t="e">
        <f>(IF(Tabla4[[#This Row],[Familia]]="termico solar",Tabla4[[#This Row],[Utilidad Total]]*6%,Tabla4[[#This Row],[Utilidad Total]]*11.5%))/Tabla4[[#This Row],[Total]]</f>
        <v>#N/A</v>
      </c>
      <c r="V5421" s="282" t="e">
        <f>+Tabla4[[#This Row],[Comisión Calculada]]*Tabla4[[#This Row],[Total]]</f>
        <v>#N/A</v>
      </c>
    </row>
    <row r="5422" spans="1:22" hidden="1" x14ac:dyDescent="0.25">
      <c r="A5422" s="100">
        <v>45900</v>
      </c>
      <c r="B5422" t="str">
        <f t="shared" si="262"/>
        <v>August</v>
      </c>
      <c r="C5422" s="46" t="s">
        <v>280</v>
      </c>
      <c r="F5422" s="366" t="s">
        <v>2809</v>
      </c>
      <c r="G5422" s="46" t="s">
        <v>83</v>
      </c>
      <c r="H5422" s="46">
        <v>2</v>
      </c>
      <c r="I5422" s="51">
        <v>8858.76</v>
      </c>
      <c r="J5422" s="281">
        <f>++Tabla4[[#This Row],[Precio Bruto]]*1.16</f>
        <v>10276.161599999999</v>
      </c>
      <c r="K5422" s="281">
        <f>+Tabla4[[#This Row],[Precio Unitario Neto]]*Tabla4[[#Headers],[20.85%]]</f>
        <v>2142.5796935999997</v>
      </c>
      <c r="L5422" s="282">
        <f>++Tabla4[[#This Row],[Precio Unitario Neto]]-Tabla4[[#This Row],[20.85%]]</f>
        <v>8133.5819063999998</v>
      </c>
      <c r="M5422" s="282" t="e">
        <f>(INDEX(Tabla6[#All],MATCH(Tabla4[[#This Row],[Producto]],Tabla6[[#All],[PRODUCTO]],0),MATCH(Tabla4[[#This Row],[Mes]],Tabla6[#Headers],0)))*(1+Catalogos!$L$2)</f>
        <v>#N/A</v>
      </c>
      <c r="N5422" s="283" t="e">
        <f>+(Tabla4[[#This Row],[Precio Descontado]]-Tabla4[[#This Row],[Precio Base]])*Tabla4[[#This Row],[Cantidad]]</f>
        <v>#N/A</v>
      </c>
      <c r="O5422" s="284" t="e">
        <f>++Tabla4[[#This Row],[Utilidad Total]]/Tabla4[[#This Row],[Total]]</f>
        <v>#N/A</v>
      </c>
      <c r="P5422" s="282">
        <f>++Tabla4[[#This Row],[Precio Descontado]]*Tabla4[[#This Row],[Cantidad]]</f>
        <v>16267.1638128</v>
      </c>
      <c r="Q5422" s="282" t="e">
        <f>(INDEX(Tabla6[#All],MATCH(Tabla4[[#This Row],[Producto]],Tabla6[[#All],[PRODUCTO]],0),MATCH(Tabla4[[#This Row],[Mes]],Tabla6[#Headers],0)))</f>
        <v>#N/A</v>
      </c>
      <c r="R5422" s="282" t="e">
        <f>++Tabla4[[#This Row],[Precio Unitario Neto]]-Tabla4[[#This Row],[20.85%]]-Tabla4[[#This Row],[Costo]]</f>
        <v>#N/A</v>
      </c>
      <c r="S5422" s="282" t="e">
        <f>++Tabla4[[#This Row],[U. Bruta Uni]]*Tabla4[[#This Row],[Cantidad]]</f>
        <v>#N/A</v>
      </c>
      <c r="T5422" s="369" t="str">
        <f>VLOOKUP(Tabla4[[#This Row],[Producto]],Tabla6[#All],14,FALSE)</f>
        <v>Termico Solar</v>
      </c>
      <c r="U5422" s="284" t="e">
        <f>(IF(Tabla4[[#This Row],[Familia]]="termico solar",Tabla4[[#This Row],[Utilidad Total]]*6%,Tabla4[[#This Row],[Utilidad Total]]*11.5%))/Tabla4[[#This Row],[Total]]</f>
        <v>#N/A</v>
      </c>
      <c r="V5422" s="282" t="e">
        <f>+Tabla4[[#This Row],[Comisión Calculada]]*Tabla4[[#This Row],[Total]]</f>
        <v>#N/A</v>
      </c>
    </row>
    <row r="5423" spans="1:22" hidden="1" x14ac:dyDescent="0.25">
      <c r="A5423" s="100">
        <v>45900</v>
      </c>
      <c r="B5423" t="str">
        <f t="shared" si="262"/>
        <v>August</v>
      </c>
      <c r="C5423" s="46" t="s">
        <v>280</v>
      </c>
      <c r="F5423" s="366" t="s">
        <v>2810</v>
      </c>
      <c r="G5423" s="46" t="s">
        <v>18</v>
      </c>
      <c r="H5423" s="46">
        <v>1</v>
      </c>
      <c r="I5423" s="51">
        <v>5367.65</v>
      </c>
      <c r="J5423" s="281">
        <f>++Tabla4[[#This Row],[Precio Bruto]]*1.16</f>
        <v>6226.4739999999993</v>
      </c>
      <c r="K5423" s="281">
        <f>+Tabla4[[#This Row],[Precio Unitario Neto]]*Tabla4[[#Headers],[20.85%]]</f>
        <v>1298.2198289999999</v>
      </c>
      <c r="L5423" s="282">
        <f>++Tabla4[[#This Row],[Precio Unitario Neto]]-Tabla4[[#This Row],[20.85%]]</f>
        <v>4928.2541709999996</v>
      </c>
      <c r="M5423" s="282" t="e">
        <f>(INDEX(Tabla6[#All],MATCH(Tabla4[[#This Row],[Producto]],Tabla6[[#All],[PRODUCTO]],0),MATCH(Tabla4[[#This Row],[Mes]],Tabla6[#Headers],0)))*(1+Catalogos!$L$2)</f>
        <v>#N/A</v>
      </c>
      <c r="N5423" s="283" t="e">
        <f>+(Tabla4[[#This Row],[Precio Descontado]]-Tabla4[[#This Row],[Precio Base]])*Tabla4[[#This Row],[Cantidad]]</f>
        <v>#N/A</v>
      </c>
      <c r="O5423" s="284" t="e">
        <f>++Tabla4[[#This Row],[Utilidad Total]]/Tabla4[[#This Row],[Total]]</f>
        <v>#N/A</v>
      </c>
      <c r="P5423" s="282">
        <f>++Tabla4[[#This Row],[Precio Descontado]]*Tabla4[[#This Row],[Cantidad]]</f>
        <v>4928.2541709999996</v>
      </c>
      <c r="Q5423" s="282" t="e">
        <f>(INDEX(Tabla6[#All],MATCH(Tabla4[[#This Row],[Producto]],Tabla6[[#All],[PRODUCTO]],0),MATCH(Tabla4[[#This Row],[Mes]],Tabla6[#Headers],0)))</f>
        <v>#N/A</v>
      </c>
      <c r="R5423" s="282" t="e">
        <f>++Tabla4[[#This Row],[Precio Unitario Neto]]-Tabla4[[#This Row],[20.85%]]-Tabla4[[#This Row],[Costo]]</f>
        <v>#N/A</v>
      </c>
      <c r="S5423" s="282" t="e">
        <f>++Tabla4[[#This Row],[U. Bruta Uni]]*Tabla4[[#This Row],[Cantidad]]</f>
        <v>#N/A</v>
      </c>
      <c r="T5423" s="369" t="str">
        <f>VLOOKUP(Tabla4[[#This Row],[Producto]],Tabla6[#All],14,FALSE)</f>
        <v>Termico Solar</v>
      </c>
      <c r="U5423" s="284" t="e">
        <f>(IF(Tabla4[[#This Row],[Familia]]="termico solar",Tabla4[[#This Row],[Utilidad Total]]*6%,Tabla4[[#This Row],[Utilidad Total]]*11.5%))/Tabla4[[#This Row],[Total]]</f>
        <v>#N/A</v>
      </c>
      <c r="V5423" s="282" t="e">
        <f>+Tabla4[[#This Row],[Comisión Calculada]]*Tabla4[[#This Row],[Total]]</f>
        <v>#N/A</v>
      </c>
    </row>
    <row r="5424" spans="1:22" hidden="1" x14ac:dyDescent="0.25">
      <c r="A5424" s="100">
        <v>45900</v>
      </c>
      <c r="B5424" t="str">
        <f t="shared" ref="B5424:B5455" si="263">TEXT(A5424, "mmmm")</f>
        <v>August</v>
      </c>
      <c r="C5424" s="46" t="s">
        <v>280</v>
      </c>
      <c r="F5424" s="366" t="s">
        <v>2811</v>
      </c>
      <c r="G5424" s="46" t="s">
        <v>208</v>
      </c>
      <c r="H5424" s="46">
        <v>2</v>
      </c>
      <c r="I5424" s="51">
        <v>189.75</v>
      </c>
      <c r="J5424" s="281">
        <f>++Tabla4[[#This Row],[Precio Bruto]]*1.16</f>
        <v>220.10999999999999</v>
      </c>
      <c r="K5424" s="281">
        <f>+Tabla4[[#This Row],[Precio Unitario Neto]]*Tabla4[[#Headers],[20.85%]]</f>
        <v>45.892934999999994</v>
      </c>
      <c r="L5424" s="282">
        <f>++Tabla4[[#This Row],[Precio Unitario Neto]]-Tabla4[[#This Row],[20.85%]]</f>
        <v>174.21706499999999</v>
      </c>
      <c r="M5424" s="282" t="e">
        <f>(INDEX(Tabla6[#All],MATCH(Tabla4[[#This Row],[Producto]],Tabla6[[#All],[PRODUCTO]],0),MATCH(Tabla4[[#This Row],[Mes]],Tabla6[#Headers],0)))*(1+Catalogos!$L$2)</f>
        <v>#N/A</v>
      </c>
      <c r="N5424" s="283" t="e">
        <f>+(Tabla4[[#This Row],[Precio Descontado]]-Tabla4[[#This Row],[Precio Base]])*Tabla4[[#This Row],[Cantidad]]</f>
        <v>#N/A</v>
      </c>
      <c r="O5424" s="284" t="e">
        <f>++Tabla4[[#This Row],[Utilidad Total]]/Tabla4[[#This Row],[Total]]</f>
        <v>#N/A</v>
      </c>
      <c r="P5424" s="282">
        <f>++Tabla4[[#This Row],[Precio Descontado]]*Tabla4[[#This Row],[Cantidad]]</f>
        <v>348.43412999999998</v>
      </c>
      <c r="Q5424" s="282" t="e">
        <f>(INDEX(Tabla6[#All],MATCH(Tabla4[[#This Row],[Producto]],Tabla6[[#All],[PRODUCTO]],0),MATCH(Tabla4[[#This Row],[Mes]],Tabla6[#Headers],0)))</f>
        <v>#N/A</v>
      </c>
      <c r="R5424" s="282" t="e">
        <f>++Tabla4[[#This Row],[Precio Unitario Neto]]-Tabla4[[#This Row],[20.85%]]-Tabla4[[#This Row],[Costo]]</f>
        <v>#N/A</v>
      </c>
      <c r="S5424" s="282" t="e">
        <f>++Tabla4[[#This Row],[U. Bruta Uni]]*Tabla4[[#This Row],[Cantidad]]</f>
        <v>#N/A</v>
      </c>
      <c r="T5424" s="369" t="str">
        <f>VLOOKUP(Tabla4[[#This Row],[Producto]],Tabla6[#All],14,FALSE)</f>
        <v>Termico Solar</v>
      </c>
      <c r="U5424" s="284" t="e">
        <f>(IF(Tabla4[[#This Row],[Familia]]="termico solar",Tabla4[[#This Row],[Utilidad Total]]*6%,Tabla4[[#This Row],[Utilidad Total]]*11.5%))/Tabla4[[#This Row],[Total]]</f>
        <v>#N/A</v>
      </c>
      <c r="V5424" s="282" t="e">
        <f>+Tabla4[[#This Row],[Comisión Calculada]]*Tabla4[[#This Row],[Total]]</f>
        <v>#N/A</v>
      </c>
    </row>
    <row r="5425" spans="1:22" hidden="1" x14ac:dyDescent="0.25">
      <c r="A5425" s="100">
        <v>45900</v>
      </c>
      <c r="B5425" t="str">
        <f t="shared" si="263"/>
        <v>August</v>
      </c>
      <c r="C5425" s="46" t="s">
        <v>280</v>
      </c>
      <c r="F5425" s="366" t="s">
        <v>2812</v>
      </c>
      <c r="G5425" s="46" t="s">
        <v>18</v>
      </c>
      <c r="H5425" s="46">
        <v>1</v>
      </c>
      <c r="I5425" s="51">
        <v>5367.65</v>
      </c>
      <c r="J5425" s="281">
        <f>++Tabla4[[#This Row],[Precio Bruto]]*1.16</f>
        <v>6226.4739999999993</v>
      </c>
      <c r="K5425" s="281">
        <f>+Tabla4[[#This Row],[Precio Unitario Neto]]*Tabla4[[#Headers],[20.85%]]</f>
        <v>1298.2198289999999</v>
      </c>
      <c r="L5425" s="282">
        <f>++Tabla4[[#This Row],[Precio Unitario Neto]]-Tabla4[[#This Row],[20.85%]]</f>
        <v>4928.2541709999996</v>
      </c>
      <c r="M5425" s="282" t="e">
        <f>(INDEX(Tabla6[#All],MATCH(Tabla4[[#This Row],[Producto]],Tabla6[[#All],[PRODUCTO]],0),MATCH(Tabla4[[#This Row],[Mes]],Tabla6[#Headers],0)))*(1+Catalogos!$L$2)</f>
        <v>#N/A</v>
      </c>
      <c r="N5425" s="283" t="e">
        <f>+(Tabla4[[#This Row],[Precio Descontado]]-Tabla4[[#This Row],[Precio Base]])*Tabla4[[#This Row],[Cantidad]]</f>
        <v>#N/A</v>
      </c>
      <c r="O5425" s="284" t="e">
        <f>++Tabla4[[#This Row],[Utilidad Total]]/Tabla4[[#This Row],[Total]]</f>
        <v>#N/A</v>
      </c>
      <c r="P5425" s="282">
        <f>++Tabla4[[#This Row],[Precio Descontado]]*Tabla4[[#This Row],[Cantidad]]</f>
        <v>4928.2541709999996</v>
      </c>
      <c r="Q5425" s="282" t="e">
        <f>(INDEX(Tabla6[#All],MATCH(Tabla4[[#This Row],[Producto]],Tabla6[[#All],[PRODUCTO]],0),MATCH(Tabla4[[#This Row],[Mes]],Tabla6[#Headers],0)))</f>
        <v>#N/A</v>
      </c>
      <c r="R5425" s="282" t="e">
        <f>++Tabla4[[#This Row],[Precio Unitario Neto]]-Tabla4[[#This Row],[20.85%]]-Tabla4[[#This Row],[Costo]]</f>
        <v>#N/A</v>
      </c>
      <c r="S5425" s="282" t="e">
        <f>++Tabla4[[#This Row],[U. Bruta Uni]]*Tabla4[[#This Row],[Cantidad]]</f>
        <v>#N/A</v>
      </c>
      <c r="T5425" s="369" t="str">
        <f>VLOOKUP(Tabla4[[#This Row],[Producto]],Tabla6[#All],14,FALSE)</f>
        <v>Termico Solar</v>
      </c>
      <c r="U5425" s="284" t="e">
        <f>(IF(Tabla4[[#This Row],[Familia]]="termico solar",Tabla4[[#This Row],[Utilidad Total]]*6%,Tabla4[[#This Row],[Utilidad Total]]*11.5%))/Tabla4[[#This Row],[Total]]</f>
        <v>#N/A</v>
      </c>
      <c r="V5425" s="282" t="e">
        <f>+Tabla4[[#This Row],[Comisión Calculada]]*Tabla4[[#This Row],[Total]]</f>
        <v>#N/A</v>
      </c>
    </row>
    <row r="5426" spans="1:22" hidden="1" x14ac:dyDescent="0.25">
      <c r="A5426" s="100">
        <v>45900</v>
      </c>
      <c r="B5426" t="str">
        <f t="shared" si="263"/>
        <v>August</v>
      </c>
      <c r="C5426" s="46" t="s">
        <v>280</v>
      </c>
      <c r="F5426" s="366" t="s">
        <v>2813</v>
      </c>
      <c r="G5426" s="46" t="s">
        <v>17</v>
      </c>
      <c r="H5426" s="46">
        <v>2</v>
      </c>
      <c r="I5426" s="51">
        <v>4622.28</v>
      </c>
      <c r="J5426" s="281">
        <f>++Tabla4[[#This Row],[Precio Bruto]]*1.16</f>
        <v>5361.8447999999989</v>
      </c>
      <c r="K5426" s="281">
        <f>+Tabla4[[#This Row],[Precio Unitario Neto]]*Tabla4[[#Headers],[20.85%]]</f>
        <v>1117.9446407999997</v>
      </c>
      <c r="L5426" s="282">
        <f>++Tabla4[[#This Row],[Precio Unitario Neto]]-Tabla4[[#This Row],[20.85%]]</f>
        <v>4243.9001591999995</v>
      </c>
      <c r="M5426" s="282" t="e">
        <f>(INDEX(Tabla6[#All],MATCH(Tabla4[[#This Row],[Producto]],Tabla6[[#All],[PRODUCTO]],0),MATCH(Tabla4[[#This Row],[Mes]],Tabla6[#Headers],0)))*(1+Catalogos!$L$2)</f>
        <v>#N/A</v>
      </c>
      <c r="N5426" s="283" t="e">
        <f>+(Tabla4[[#This Row],[Precio Descontado]]-Tabla4[[#This Row],[Precio Base]])*Tabla4[[#This Row],[Cantidad]]</f>
        <v>#N/A</v>
      </c>
      <c r="O5426" s="284" t="e">
        <f>++Tabla4[[#This Row],[Utilidad Total]]/Tabla4[[#This Row],[Total]]</f>
        <v>#N/A</v>
      </c>
      <c r="P5426" s="282">
        <f>++Tabla4[[#This Row],[Precio Descontado]]*Tabla4[[#This Row],[Cantidad]]</f>
        <v>8487.800318399999</v>
      </c>
      <c r="Q5426" s="282" t="e">
        <f>(INDEX(Tabla6[#All],MATCH(Tabla4[[#This Row],[Producto]],Tabla6[[#All],[PRODUCTO]],0),MATCH(Tabla4[[#This Row],[Mes]],Tabla6[#Headers],0)))</f>
        <v>#N/A</v>
      </c>
      <c r="R5426" s="282" t="e">
        <f>++Tabla4[[#This Row],[Precio Unitario Neto]]-Tabla4[[#This Row],[20.85%]]-Tabla4[[#This Row],[Costo]]</f>
        <v>#N/A</v>
      </c>
      <c r="S5426" s="282" t="e">
        <f>++Tabla4[[#This Row],[U. Bruta Uni]]*Tabla4[[#This Row],[Cantidad]]</f>
        <v>#N/A</v>
      </c>
      <c r="T5426" s="369" t="str">
        <f>VLOOKUP(Tabla4[[#This Row],[Producto]],Tabla6[#All],14,FALSE)</f>
        <v>Termico Solar</v>
      </c>
      <c r="U5426" s="284" t="e">
        <f>(IF(Tabla4[[#This Row],[Familia]]="termico solar",Tabla4[[#This Row],[Utilidad Total]]*6%,Tabla4[[#This Row],[Utilidad Total]]*11.5%))/Tabla4[[#This Row],[Total]]</f>
        <v>#N/A</v>
      </c>
      <c r="V5426" s="282" t="e">
        <f>+Tabla4[[#This Row],[Comisión Calculada]]*Tabla4[[#This Row],[Total]]</f>
        <v>#N/A</v>
      </c>
    </row>
    <row r="5427" spans="1:22" hidden="1" x14ac:dyDescent="0.25">
      <c r="A5427" s="100">
        <v>45900</v>
      </c>
      <c r="B5427" t="str">
        <f t="shared" si="263"/>
        <v>August</v>
      </c>
      <c r="C5427" s="46" t="s">
        <v>280</v>
      </c>
      <c r="F5427" s="366" t="s">
        <v>2813</v>
      </c>
      <c r="G5427" s="46" t="s">
        <v>18</v>
      </c>
      <c r="H5427" s="46">
        <v>1</v>
      </c>
      <c r="I5427" s="51">
        <v>5367.65</v>
      </c>
      <c r="J5427" s="281">
        <f>++Tabla4[[#This Row],[Precio Bruto]]*1.16</f>
        <v>6226.4739999999993</v>
      </c>
      <c r="K5427" s="281">
        <f>+Tabla4[[#This Row],[Precio Unitario Neto]]*Tabla4[[#Headers],[20.85%]]</f>
        <v>1298.2198289999999</v>
      </c>
      <c r="L5427" s="282">
        <f>++Tabla4[[#This Row],[Precio Unitario Neto]]-Tabla4[[#This Row],[20.85%]]</f>
        <v>4928.2541709999996</v>
      </c>
      <c r="M5427" s="282" t="e">
        <f>(INDEX(Tabla6[#All],MATCH(Tabla4[[#This Row],[Producto]],Tabla6[[#All],[PRODUCTO]],0),MATCH(Tabla4[[#This Row],[Mes]],Tabla6[#Headers],0)))*(1+Catalogos!$L$2)</f>
        <v>#N/A</v>
      </c>
      <c r="N5427" s="283" t="e">
        <f>+(Tabla4[[#This Row],[Precio Descontado]]-Tabla4[[#This Row],[Precio Base]])*Tabla4[[#This Row],[Cantidad]]</f>
        <v>#N/A</v>
      </c>
      <c r="O5427" s="284" t="e">
        <f>++Tabla4[[#This Row],[Utilidad Total]]/Tabla4[[#This Row],[Total]]</f>
        <v>#N/A</v>
      </c>
      <c r="P5427" s="282">
        <f>++Tabla4[[#This Row],[Precio Descontado]]*Tabla4[[#This Row],[Cantidad]]</f>
        <v>4928.2541709999996</v>
      </c>
      <c r="Q5427" s="282" t="e">
        <f>(INDEX(Tabla6[#All],MATCH(Tabla4[[#This Row],[Producto]],Tabla6[[#All],[PRODUCTO]],0),MATCH(Tabla4[[#This Row],[Mes]],Tabla6[#Headers],0)))</f>
        <v>#N/A</v>
      </c>
      <c r="R5427" s="282" t="e">
        <f>++Tabla4[[#This Row],[Precio Unitario Neto]]-Tabla4[[#This Row],[20.85%]]-Tabla4[[#This Row],[Costo]]</f>
        <v>#N/A</v>
      </c>
      <c r="S5427" s="282" t="e">
        <f>++Tabla4[[#This Row],[U. Bruta Uni]]*Tabla4[[#This Row],[Cantidad]]</f>
        <v>#N/A</v>
      </c>
      <c r="T5427" s="369" t="str">
        <f>VLOOKUP(Tabla4[[#This Row],[Producto]],Tabla6[#All],14,FALSE)</f>
        <v>Termico Solar</v>
      </c>
      <c r="U5427" s="284" t="e">
        <f>(IF(Tabla4[[#This Row],[Familia]]="termico solar",Tabla4[[#This Row],[Utilidad Total]]*6%,Tabla4[[#This Row],[Utilidad Total]]*11.5%))/Tabla4[[#This Row],[Total]]</f>
        <v>#N/A</v>
      </c>
      <c r="V5427" s="282" t="e">
        <f>+Tabla4[[#This Row],[Comisión Calculada]]*Tabla4[[#This Row],[Total]]</f>
        <v>#N/A</v>
      </c>
    </row>
    <row r="5428" spans="1:22" hidden="1" x14ac:dyDescent="0.25">
      <c r="A5428" s="100">
        <v>45900</v>
      </c>
      <c r="B5428" t="str">
        <f t="shared" si="263"/>
        <v>August</v>
      </c>
      <c r="C5428" s="46" t="s">
        <v>280</v>
      </c>
      <c r="F5428" s="366" t="s">
        <v>2813</v>
      </c>
      <c r="G5428" s="46" t="s">
        <v>16</v>
      </c>
      <c r="H5428" s="46">
        <v>1</v>
      </c>
      <c r="I5428" s="51">
        <v>4103.8500000000004</v>
      </c>
      <c r="J5428" s="281">
        <f>++Tabla4[[#This Row],[Precio Bruto]]*1.16</f>
        <v>4760.4660000000003</v>
      </c>
      <c r="K5428" s="281">
        <f>+Tabla4[[#This Row],[Precio Unitario Neto]]*Tabla4[[#Headers],[20.85%]]</f>
        <v>992.55716100000006</v>
      </c>
      <c r="L5428" s="282">
        <f>++Tabla4[[#This Row],[Precio Unitario Neto]]-Tabla4[[#This Row],[20.85%]]</f>
        <v>3767.9088390000002</v>
      </c>
      <c r="M5428" s="282" t="e">
        <f>(INDEX(Tabla6[#All],MATCH(Tabla4[[#This Row],[Producto]],Tabla6[[#All],[PRODUCTO]],0),MATCH(Tabla4[[#This Row],[Mes]],Tabla6[#Headers],0)))*(1+Catalogos!$L$2)</f>
        <v>#N/A</v>
      </c>
      <c r="N5428" s="283" t="e">
        <f>+(Tabla4[[#This Row],[Precio Descontado]]-Tabla4[[#This Row],[Precio Base]])*Tabla4[[#This Row],[Cantidad]]</f>
        <v>#N/A</v>
      </c>
      <c r="O5428" s="284" t="e">
        <f>++Tabla4[[#This Row],[Utilidad Total]]/Tabla4[[#This Row],[Total]]</f>
        <v>#N/A</v>
      </c>
      <c r="P5428" s="282">
        <f>++Tabla4[[#This Row],[Precio Descontado]]*Tabla4[[#This Row],[Cantidad]]</f>
        <v>3767.9088390000002</v>
      </c>
      <c r="Q5428" s="282" t="e">
        <f>(INDEX(Tabla6[#All],MATCH(Tabla4[[#This Row],[Producto]],Tabla6[[#All],[PRODUCTO]],0),MATCH(Tabla4[[#This Row],[Mes]],Tabla6[#Headers],0)))</f>
        <v>#N/A</v>
      </c>
      <c r="R5428" s="282" t="e">
        <f>++Tabla4[[#This Row],[Precio Unitario Neto]]-Tabla4[[#This Row],[20.85%]]-Tabla4[[#This Row],[Costo]]</f>
        <v>#N/A</v>
      </c>
      <c r="S5428" s="282" t="e">
        <f>++Tabla4[[#This Row],[U. Bruta Uni]]*Tabla4[[#This Row],[Cantidad]]</f>
        <v>#N/A</v>
      </c>
      <c r="T5428" s="369" t="str">
        <f>VLOOKUP(Tabla4[[#This Row],[Producto]],Tabla6[#All],14,FALSE)</f>
        <v>Termico Solar</v>
      </c>
      <c r="U5428" s="284" t="e">
        <f>(IF(Tabla4[[#This Row],[Familia]]="termico solar",Tabla4[[#This Row],[Utilidad Total]]*6%,Tabla4[[#This Row],[Utilidad Total]]*11.5%))/Tabla4[[#This Row],[Total]]</f>
        <v>#N/A</v>
      </c>
      <c r="V5428" s="282" t="e">
        <f>+Tabla4[[#This Row],[Comisión Calculada]]*Tabla4[[#This Row],[Total]]</f>
        <v>#N/A</v>
      </c>
    </row>
    <row r="5429" spans="1:22" hidden="1" x14ac:dyDescent="0.25">
      <c r="A5429" s="100">
        <v>45900</v>
      </c>
      <c r="B5429" t="str">
        <f t="shared" si="263"/>
        <v>August</v>
      </c>
      <c r="C5429" s="46" t="s">
        <v>280</v>
      </c>
      <c r="F5429" s="366" t="s">
        <v>2813</v>
      </c>
      <c r="G5429" s="46" t="s">
        <v>208</v>
      </c>
      <c r="H5429" s="46">
        <v>4</v>
      </c>
      <c r="I5429" s="51">
        <v>189.75</v>
      </c>
      <c r="J5429" s="281">
        <f>++Tabla4[[#This Row],[Precio Bruto]]*1.16</f>
        <v>220.10999999999999</v>
      </c>
      <c r="K5429" s="281">
        <f>+Tabla4[[#This Row],[Precio Unitario Neto]]*Tabla4[[#Headers],[20.85%]]</f>
        <v>45.892934999999994</v>
      </c>
      <c r="L5429" s="282">
        <f>++Tabla4[[#This Row],[Precio Unitario Neto]]-Tabla4[[#This Row],[20.85%]]</f>
        <v>174.21706499999999</v>
      </c>
      <c r="M5429" s="282" t="e">
        <f>(INDEX(Tabla6[#All],MATCH(Tabla4[[#This Row],[Producto]],Tabla6[[#All],[PRODUCTO]],0),MATCH(Tabla4[[#This Row],[Mes]],Tabla6[#Headers],0)))*(1+Catalogos!$L$2)</f>
        <v>#N/A</v>
      </c>
      <c r="N5429" s="283" t="e">
        <f>+(Tabla4[[#This Row],[Precio Descontado]]-Tabla4[[#This Row],[Precio Base]])*Tabla4[[#This Row],[Cantidad]]</f>
        <v>#N/A</v>
      </c>
      <c r="O5429" s="284" t="e">
        <f>++Tabla4[[#This Row],[Utilidad Total]]/Tabla4[[#This Row],[Total]]</f>
        <v>#N/A</v>
      </c>
      <c r="P5429" s="282">
        <f>++Tabla4[[#This Row],[Precio Descontado]]*Tabla4[[#This Row],[Cantidad]]</f>
        <v>696.86825999999996</v>
      </c>
      <c r="Q5429" s="282" t="e">
        <f>(INDEX(Tabla6[#All],MATCH(Tabla4[[#This Row],[Producto]],Tabla6[[#All],[PRODUCTO]],0),MATCH(Tabla4[[#This Row],[Mes]],Tabla6[#Headers],0)))</f>
        <v>#N/A</v>
      </c>
      <c r="R5429" s="282" t="e">
        <f>++Tabla4[[#This Row],[Precio Unitario Neto]]-Tabla4[[#This Row],[20.85%]]-Tabla4[[#This Row],[Costo]]</f>
        <v>#N/A</v>
      </c>
      <c r="S5429" s="282" t="e">
        <f>++Tabla4[[#This Row],[U. Bruta Uni]]*Tabla4[[#This Row],[Cantidad]]</f>
        <v>#N/A</v>
      </c>
      <c r="T5429" s="369" t="str">
        <f>VLOOKUP(Tabla4[[#This Row],[Producto]],Tabla6[#All],14,FALSE)</f>
        <v>Termico Solar</v>
      </c>
      <c r="U5429" s="284" t="e">
        <f>(IF(Tabla4[[#This Row],[Familia]]="termico solar",Tabla4[[#This Row],[Utilidad Total]]*6%,Tabla4[[#This Row],[Utilidad Total]]*11.5%))/Tabla4[[#This Row],[Total]]</f>
        <v>#N/A</v>
      </c>
      <c r="V5429" s="282" t="e">
        <f>+Tabla4[[#This Row],[Comisión Calculada]]*Tabla4[[#This Row],[Total]]</f>
        <v>#N/A</v>
      </c>
    </row>
    <row r="5430" spans="1:22" hidden="1" x14ac:dyDescent="0.25">
      <c r="A5430" s="100">
        <v>45900</v>
      </c>
      <c r="B5430" t="str">
        <f t="shared" si="263"/>
        <v>August</v>
      </c>
      <c r="C5430" s="46" t="s">
        <v>280</v>
      </c>
      <c r="F5430" s="366" t="s">
        <v>2814</v>
      </c>
      <c r="G5430" s="46" t="s">
        <v>17</v>
      </c>
      <c r="H5430" s="46">
        <v>1</v>
      </c>
      <c r="I5430" s="51">
        <v>4622.28</v>
      </c>
      <c r="J5430" s="281">
        <f>++Tabla4[[#This Row],[Precio Bruto]]*1.16</f>
        <v>5361.8447999999989</v>
      </c>
      <c r="K5430" s="281">
        <f>+Tabla4[[#This Row],[Precio Unitario Neto]]*Tabla4[[#Headers],[20.85%]]</f>
        <v>1117.9446407999997</v>
      </c>
      <c r="L5430" s="282">
        <f>++Tabla4[[#This Row],[Precio Unitario Neto]]-Tabla4[[#This Row],[20.85%]]</f>
        <v>4243.9001591999995</v>
      </c>
      <c r="M5430" s="282" t="e">
        <f>(INDEX(Tabla6[#All],MATCH(Tabla4[[#This Row],[Producto]],Tabla6[[#All],[PRODUCTO]],0),MATCH(Tabla4[[#This Row],[Mes]],Tabla6[#Headers],0)))*(1+Catalogos!$L$2)</f>
        <v>#N/A</v>
      </c>
      <c r="N5430" s="283" t="e">
        <f>+(Tabla4[[#This Row],[Precio Descontado]]-Tabla4[[#This Row],[Precio Base]])*Tabla4[[#This Row],[Cantidad]]</f>
        <v>#N/A</v>
      </c>
      <c r="O5430" s="284" t="e">
        <f>++Tabla4[[#This Row],[Utilidad Total]]/Tabla4[[#This Row],[Total]]</f>
        <v>#N/A</v>
      </c>
      <c r="P5430" s="282">
        <f>++Tabla4[[#This Row],[Precio Descontado]]*Tabla4[[#This Row],[Cantidad]]</f>
        <v>4243.9001591999995</v>
      </c>
      <c r="Q5430" s="282" t="e">
        <f>(INDEX(Tabla6[#All],MATCH(Tabla4[[#This Row],[Producto]],Tabla6[[#All],[PRODUCTO]],0),MATCH(Tabla4[[#This Row],[Mes]],Tabla6[#Headers],0)))</f>
        <v>#N/A</v>
      </c>
      <c r="R5430" s="282" t="e">
        <f>++Tabla4[[#This Row],[Precio Unitario Neto]]-Tabla4[[#This Row],[20.85%]]-Tabla4[[#This Row],[Costo]]</f>
        <v>#N/A</v>
      </c>
      <c r="S5430" s="282" t="e">
        <f>++Tabla4[[#This Row],[U. Bruta Uni]]*Tabla4[[#This Row],[Cantidad]]</f>
        <v>#N/A</v>
      </c>
      <c r="T5430" s="369" t="str">
        <f>VLOOKUP(Tabla4[[#This Row],[Producto]],Tabla6[#All],14,FALSE)</f>
        <v>Termico Solar</v>
      </c>
      <c r="U5430" s="284" t="e">
        <f>(IF(Tabla4[[#This Row],[Familia]]="termico solar",Tabla4[[#This Row],[Utilidad Total]]*6%,Tabla4[[#This Row],[Utilidad Total]]*11.5%))/Tabla4[[#This Row],[Total]]</f>
        <v>#N/A</v>
      </c>
      <c r="V5430" s="282" t="e">
        <f>+Tabla4[[#This Row],[Comisión Calculada]]*Tabla4[[#This Row],[Total]]</f>
        <v>#N/A</v>
      </c>
    </row>
    <row r="5431" spans="1:22" hidden="1" x14ac:dyDescent="0.25">
      <c r="A5431" s="100">
        <v>45900</v>
      </c>
      <c r="B5431" t="str">
        <f t="shared" si="263"/>
        <v>August</v>
      </c>
      <c r="C5431" s="46" t="s">
        <v>280</v>
      </c>
      <c r="F5431" s="366" t="s">
        <v>2814</v>
      </c>
      <c r="G5431" s="46" t="s">
        <v>208</v>
      </c>
      <c r="H5431" s="46">
        <v>1</v>
      </c>
      <c r="I5431" s="51">
        <v>189.75</v>
      </c>
      <c r="J5431" s="281">
        <f>++Tabla4[[#This Row],[Precio Bruto]]*1.16</f>
        <v>220.10999999999999</v>
      </c>
      <c r="K5431" s="281">
        <f>+Tabla4[[#This Row],[Precio Unitario Neto]]*Tabla4[[#Headers],[20.85%]]</f>
        <v>45.892934999999994</v>
      </c>
      <c r="L5431" s="282">
        <f>++Tabla4[[#This Row],[Precio Unitario Neto]]-Tabla4[[#This Row],[20.85%]]</f>
        <v>174.21706499999999</v>
      </c>
      <c r="M5431" s="282" t="e">
        <f>(INDEX(Tabla6[#All],MATCH(Tabla4[[#This Row],[Producto]],Tabla6[[#All],[PRODUCTO]],0),MATCH(Tabla4[[#This Row],[Mes]],Tabla6[#Headers],0)))*(1+Catalogos!$L$2)</f>
        <v>#N/A</v>
      </c>
      <c r="N5431" s="283" t="e">
        <f>+(Tabla4[[#This Row],[Precio Descontado]]-Tabla4[[#This Row],[Precio Base]])*Tabla4[[#This Row],[Cantidad]]</f>
        <v>#N/A</v>
      </c>
      <c r="O5431" s="284" t="e">
        <f>++Tabla4[[#This Row],[Utilidad Total]]/Tabla4[[#This Row],[Total]]</f>
        <v>#N/A</v>
      </c>
      <c r="P5431" s="282">
        <f>++Tabla4[[#This Row],[Precio Descontado]]*Tabla4[[#This Row],[Cantidad]]</f>
        <v>174.21706499999999</v>
      </c>
      <c r="Q5431" s="282" t="e">
        <f>(INDEX(Tabla6[#All],MATCH(Tabla4[[#This Row],[Producto]],Tabla6[[#All],[PRODUCTO]],0),MATCH(Tabla4[[#This Row],[Mes]],Tabla6[#Headers],0)))</f>
        <v>#N/A</v>
      </c>
      <c r="R5431" s="282" t="e">
        <f>++Tabla4[[#This Row],[Precio Unitario Neto]]-Tabla4[[#This Row],[20.85%]]-Tabla4[[#This Row],[Costo]]</f>
        <v>#N/A</v>
      </c>
      <c r="S5431" s="282" t="e">
        <f>++Tabla4[[#This Row],[U. Bruta Uni]]*Tabla4[[#This Row],[Cantidad]]</f>
        <v>#N/A</v>
      </c>
      <c r="T5431" s="369" t="str">
        <f>VLOOKUP(Tabla4[[#This Row],[Producto]],Tabla6[#All],14,FALSE)</f>
        <v>Termico Solar</v>
      </c>
      <c r="U5431" s="284" t="e">
        <f>(IF(Tabla4[[#This Row],[Familia]]="termico solar",Tabla4[[#This Row],[Utilidad Total]]*6%,Tabla4[[#This Row],[Utilidad Total]]*11.5%))/Tabla4[[#This Row],[Total]]</f>
        <v>#N/A</v>
      </c>
      <c r="V5431" s="282" t="e">
        <f>+Tabla4[[#This Row],[Comisión Calculada]]*Tabla4[[#This Row],[Total]]</f>
        <v>#N/A</v>
      </c>
    </row>
    <row r="5432" spans="1:22" hidden="1" x14ac:dyDescent="0.25">
      <c r="A5432" s="100">
        <v>45900</v>
      </c>
      <c r="B5432" t="str">
        <f t="shared" si="263"/>
        <v>August</v>
      </c>
      <c r="C5432" s="46" t="s">
        <v>280</v>
      </c>
      <c r="F5432" s="366" t="s">
        <v>2815</v>
      </c>
      <c r="G5432" s="46" t="s">
        <v>83</v>
      </c>
      <c r="H5432" s="46">
        <v>2</v>
      </c>
      <c r="I5432" s="51">
        <v>8858.76</v>
      </c>
      <c r="J5432" s="281">
        <f>++Tabla4[[#This Row],[Precio Bruto]]*1.16</f>
        <v>10276.161599999999</v>
      </c>
      <c r="K5432" s="281">
        <f>+Tabla4[[#This Row],[Precio Unitario Neto]]*Tabla4[[#Headers],[20.85%]]</f>
        <v>2142.5796935999997</v>
      </c>
      <c r="L5432" s="282">
        <f>++Tabla4[[#This Row],[Precio Unitario Neto]]-Tabla4[[#This Row],[20.85%]]</f>
        <v>8133.5819063999998</v>
      </c>
      <c r="M5432" s="282" t="e">
        <f>(INDEX(Tabla6[#All],MATCH(Tabla4[[#This Row],[Producto]],Tabla6[[#All],[PRODUCTO]],0),MATCH(Tabla4[[#This Row],[Mes]],Tabla6[#Headers],0)))*(1+Catalogos!$L$2)</f>
        <v>#N/A</v>
      </c>
      <c r="N5432" s="283" t="e">
        <f>+(Tabla4[[#This Row],[Precio Descontado]]-Tabla4[[#This Row],[Precio Base]])*Tabla4[[#This Row],[Cantidad]]</f>
        <v>#N/A</v>
      </c>
      <c r="O5432" s="284" t="e">
        <f>++Tabla4[[#This Row],[Utilidad Total]]/Tabla4[[#This Row],[Total]]</f>
        <v>#N/A</v>
      </c>
      <c r="P5432" s="282">
        <f>++Tabla4[[#This Row],[Precio Descontado]]*Tabla4[[#This Row],[Cantidad]]</f>
        <v>16267.1638128</v>
      </c>
      <c r="Q5432" s="282" t="e">
        <f>(INDEX(Tabla6[#All],MATCH(Tabla4[[#This Row],[Producto]],Tabla6[[#All],[PRODUCTO]],0),MATCH(Tabla4[[#This Row],[Mes]],Tabla6[#Headers],0)))</f>
        <v>#N/A</v>
      </c>
      <c r="R5432" s="282" t="e">
        <f>++Tabla4[[#This Row],[Precio Unitario Neto]]-Tabla4[[#This Row],[20.85%]]-Tabla4[[#This Row],[Costo]]</f>
        <v>#N/A</v>
      </c>
      <c r="S5432" s="282" t="e">
        <f>++Tabla4[[#This Row],[U. Bruta Uni]]*Tabla4[[#This Row],[Cantidad]]</f>
        <v>#N/A</v>
      </c>
      <c r="T5432" s="369" t="str">
        <f>VLOOKUP(Tabla4[[#This Row],[Producto]],Tabla6[#All],14,FALSE)</f>
        <v>Termico Solar</v>
      </c>
      <c r="U5432" s="284" t="e">
        <f>(IF(Tabla4[[#This Row],[Familia]]="termico solar",Tabla4[[#This Row],[Utilidad Total]]*6%,Tabla4[[#This Row],[Utilidad Total]]*11.5%))/Tabla4[[#This Row],[Total]]</f>
        <v>#N/A</v>
      </c>
      <c r="V5432" s="282" t="e">
        <f>+Tabla4[[#This Row],[Comisión Calculada]]*Tabla4[[#This Row],[Total]]</f>
        <v>#N/A</v>
      </c>
    </row>
    <row r="5433" spans="1:22" hidden="1" x14ac:dyDescent="0.25">
      <c r="A5433" s="100">
        <v>45900</v>
      </c>
      <c r="B5433" t="str">
        <f t="shared" si="263"/>
        <v>August</v>
      </c>
      <c r="C5433" s="46" t="s">
        <v>280</v>
      </c>
      <c r="F5433" s="366" t="s">
        <v>2815</v>
      </c>
      <c r="G5433" s="46" t="s">
        <v>17</v>
      </c>
      <c r="H5433" s="46">
        <v>1</v>
      </c>
      <c r="I5433" s="51">
        <v>4622.28</v>
      </c>
      <c r="J5433" s="281">
        <f>++Tabla4[[#This Row],[Precio Bruto]]*1.16</f>
        <v>5361.8447999999989</v>
      </c>
      <c r="K5433" s="281">
        <f>+Tabla4[[#This Row],[Precio Unitario Neto]]*Tabla4[[#Headers],[20.85%]]</f>
        <v>1117.9446407999997</v>
      </c>
      <c r="L5433" s="282">
        <f>++Tabla4[[#This Row],[Precio Unitario Neto]]-Tabla4[[#This Row],[20.85%]]</f>
        <v>4243.9001591999995</v>
      </c>
      <c r="M5433" s="282" t="e">
        <f>(INDEX(Tabla6[#All],MATCH(Tabla4[[#This Row],[Producto]],Tabla6[[#All],[PRODUCTO]],0),MATCH(Tabla4[[#This Row],[Mes]],Tabla6[#Headers],0)))*(1+Catalogos!$L$2)</f>
        <v>#N/A</v>
      </c>
      <c r="N5433" s="283" t="e">
        <f>+(Tabla4[[#This Row],[Precio Descontado]]-Tabla4[[#This Row],[Precio Base]])*Tabla4[[#This Row],[Cantidad]]</f>
        <v>#N/A</v>
      </c>
      <c r="O5433" s="284" t="e">
        <f>++Tabla4[[#This Row],[Utilidad Total]]/Tabla4[[#This Row],[Total]]</f>
        <v>#N/A</v>
      </c>
      <c r="P5433" s="282">
        <f>++Tabla4[[#This Row],[Precio Descontado]]*Tabla4[[#This Row],[Cantidad]]</f>
        <v>4243.9001591999995</v>
      </c>
      <c r="Q5433" s="282" t="e">
        <f>(INDEX(Tabla6[#All],MATCH(Tabla4[[#This Row],[Producto]],Tabla6[[#All],[PRODUCTO]],0),MATCH(Tabla4[[#This Row],[Mes]],Tabla6[#Headers],0)))</f>
        <v>#N/A</v>
      </c>
      <c r="R5433" s="282" t="e">
        <f>++Tabla4[[#This Row],[Precio Unitario Neto]]-Tabla4[[#This Row],[20.85%]]-Tabla4[[#This Row],[Costo]]</f>
        <v>#N/A</v>
      </c>
      <c r="S5433" s="282" t="e">
        <f>++Tabla4[[#This Row],[U. Bruta Uni]]*Tabla4[[#This Row],[Cantidad]]</f>
        <v>#N/A</v>
      </c>
      <c r="T5433" s="369" t="str">
        <f>VLOOKUP(Tabla4[[#This Row],[Producto]],Tabla6[#All],14,FALSE)</f>
        <v>Termico Solar</v>
      </c>
      <c r="U5433" s="284" t="e">
        <f>(IF(Tabla4[[#This Row],[Familia]]="termico solar",Tabla4[[#This Row],[Utilidad Total]]*6%,Tabla4[[#This Row],[Utilidad Total]]*11.5%))/Tabla4[[#This Row],[Total]]</f>
        <v>#N/A</v>
      </c>
      <c r="V5433" s="282" t="e">
        <f>+Tabla4[[#This Row],[Comisión Calculada]]*Tabla4[[#This Row],[Total]]</f>
        <v>#N/A</v>
      </c>
    </row>
    <row r="5434" spans="1:22" hidden="1" x14ac:dyDescent="0.25">
      <c r="A5434" s="100">
        <v>45900</v>
      </c>
      <c r="B5434" t="str">
        <f t="shared" si="263"/>
        <v>August</v>
      </c>
      <c r="C5434" s="46" t="s">
        <v>280</v>
      </c>
      <c r="F5434" s="366" t="s">
        <v>2816</v>
      </c>
      <c r="G5434" s="46" t="s">
        <v>83</v>
      </c>
      <c r="H5434" s="46">
        <v>3</v>
      </c>
      <c r="I5434" s="51">
        <v>8858.76</v>
      </c>
      <c r="J5434" s="281">
        <f>++Tabla4[[#This Row],[Precio Bruto]]*1.16</f>
        <v>10276.161599999999</v>
      </c>
      <c r="K5434" s="281">
        <f>+Tabla4[[#This Row],[Precio Unitario Neto]]*Tabla4[[#Headers],[20.85%]]</f>
        <v>2142.5796935999997</v>
      </c>
      <c r="L5434" s="282">
        <f>++Tabla4[[#This Row],[Precio Unitario Neto]]-Tabla4[[#This Row],[20.85%]]</f>
        <v>8133.5819063999998</v>
      </c>
      <c r="M5434" s="282" t="e">
        <f>(INDEX(Tabla6[#All],MATCH(Tabla4[[#This Row],[Producto]],Tabla6[[#All],[PRODUCTO]],0),MATCH(Tabla4[[#This Row],[Mes]],Tabla6[#Headers],0)))*(1+Catalogos!$L$2)</f>
        <v>#N/A</v>
      </c>
      <c r="N5434" s="283" t="e">
        <f>+(Tabla4[[#This Row],[Precio Descontado]]-Tabla4[[#This Row],[Precio Base]])*Tabla4[[#This Row],[Cantidad]]</f>
        <v>#N/A</v>
      </c>
      <c r="O5434" s="284" t="e">
        <f>++Tabla4[[#This Row],[Utilidad Total]]/Tabla4[[#This Row],[Total]]</f>
        <v>#N/A</v>
      </c>
      <c r="P5434" s="282">
        <f>++Tabla4[[#This Row],[Precio Descontado]]*Tabla4[[#This Row],[Cantidad]]</f>
        <v>24400.7457192</v>
      </c>
      <c r="Q5434" s="282" t="e">
        <f>(INDEX(Tabla6[#All],MATCH(Tabla4[[#This Row],[Producto]],Tabla6[[#All],[PRODUCTO]],0),MATCH(Tabla4[[#This Row],[Mes]],Tabla6[#Headers],0)))</f>
        <v>#N/A</v>
      </c>
      <c r="R5434" s="282" t="e">
        <f>++Tabla4[[#This Row],[Precio Unitario Neto]]-Tabla4[[#This Row],[20.85%]]-Tabla4[[#This Row],[Costo]]</f>
        <v>#N/A</v>
      </c>
      <c r="S5434" s="282" t="e">
        <f>++Tabla4[[#This Row],[U. Bruta Uni]]*Tabla4[[#This Row],[Cantidad]]</f>
        <v>#N/A</v>
      </c>
      <c r="T5434" s="369" t="str">
        <f>VLOOKUP(Tabla4[[#This Row],[Producto]],Tabla6[#All],14,FALSE)</f>
        <v>Termico Solar</v>
      </c>
      <c r="U5434" s="284" t="e">
        <f>(IF(Tabla4[[#This Row],[Familia]]="termico solar",Tabla4[[#This Row],[Utilidad Total]]*6%,Tabla4[[#This Row],[Utilidad Total]]*11.5%))/Tabla4[[#This Row],[Total]]</f>
        <v>#N/A</v>
      </c>
      <c r="V5434" s="282" t="e">
        <f>+Tabla4[[#This Row],[Comisión Calculada]]*Tabla4[[#This Row],[Total]]</f>
        <v>#N/A</v>
      </c>
    </row>
    <row r="5435" spans="1:22" hidden="1" x14ac:dyDescent="0.25">
      <c r="A5435" s="100">
        <v>45900</v>
      </c>
      <c r="B5435" t="str">
        <f t="shared" si="263"/>
        <v>August</v>
      </c>
      <c r="C5435" s="46" t="s">
        <v>280</v>
      </c>
      <c r="F5435" s="366" t="s">
        <v>2816</v>
      </c>
      <c r="G5435" s="46" t="s">
        <v>18</v>
      </c>
      <c r="H5435" s="46">
        <v>1</v>
      </c>
      <c r="I5435" s="51">
        <v>5367.65</v>
      </c>
      <c r="J5435" s="281">
        <f>++Tabla4[[#This Row],[Precio Bruto]]*1.16</f>
        <v>6226.4739999999993</v>
      </c>
      <c r="K5435" s="281">
        <f>+Tabla4[[#This Row],[Precio Unitario Neto]]*Tabla4[[#Headers],[20.85%]]</f>
        <v>1298.2198289999999</v>
      </c>
      <c r="L5435" s="282">
        <f>++Tabla4[[#This Row],[Precio Unitario Neto]]-Tabla4[[#This Row],[20.85%]]</f>
        <v>4928.2541709999996</v>
      </c>
      <c r="M5435" s="282" t="e">
        <f>(INDEX(Tabla6[#All],MATCH(Tabla4[[#This Row],[Producto]],Tabla6[[#All],[PRODUCTO]],0),MATCH(Tabla4[[#This Row],[Mes]],Tabla6[#Headers],0)))*(1+Catalogos!$L$2)</f>
        <v>#N/A</v>
      </c>
      <c r="N5435" s="283" t="e">
        <f>+(Tabla4[[#This Row],[Precio Descontado]]-Tabla4[[#This Row],[Precio Base]])*Tabla4[[#This Row],[Cantidad]]</f>
        <v>#N/A</v>
      </c>
      <c r="O5435" s="284" t="e">
        <f>++Tabla4[[#This Row],[Utilidad Total]]/Tabla4[[#This Row],[Total]]</f>
        <v>#N/A</v>
      </c>
      <c r="P5435" s="282">
        <f>++Tabla4[[#This Row],[Precio Descontado]]*Tabla4[[#This Row],[Cantidad]]</f>
        <v>4928.2541709999996</v>
      </c>
      <c r="Q5435" s="282" t="e">
        <f>(INDEX(Tabla6[#All],MATCH(Tabla4[[#This Row],[Producto]],Tabla6[[#All],[PRODUCTO]],0),MATCH(Tabla4[[#This Row],[Mes]],Tabla6[#Headers],0)))</f>
        <v>#N/A</v>
      </c>
      <c r="R5435" s="282" t="e">
        <f>++Tabla4[[#This Row],[Precio Unitario Neto]]-Tabla4[[#This Row],[20.85%]]-Tabla4[[#This Row],[Costo]]</f>
        <v>#N/A</v>
      </c>
      <c r="S5435" s="282" t="e">
        <f>++Tabla4[[#This Row],[U. Bruta Uni]]*Tabla4[[#This Row],[Cantidad]]</f>
        <v>#N/A</v>
      </c>
      <c r="T5435" s="369" t="str">
        <f>VLOOKUP(Tabla4[[#This Row],[Producto]],Tabla6[#All],14,FALSE)</f>
        <v>Termico Solar</v>
      </c>
      <c r="U5435" s="284" t="e">
        <f>(IF(Tabla4[[#This Row],[Familia]]="termico solar",Tabla4[[#This Row],[Utilidad Total]]*6%,Tabla4[[#This Row],[Utilidad Total]]*11.5%))/Tabla4[[#This Row],[Total]]</f>
        <v>#N/A</v>
      </c>
      <c r="V5435" s="282" t="e">
        <f>+Tabla4[[#This Row],[Comisión Calculada]]*Tabla4[[#This Row],[Total]]</f>
        <v>#N/A</v>
      </c>
    </row>
    <row r="5436" spans="1:22" hidden="1" x14ac:dyDescent="0.25">
      <c r="A5436" s="100">
        <v>45900</v>
      </c>
      <c r="B5436" t="str">
        <f t="shared" si="263"/>
        <v>August</v>
      </c>
      <c r="C5436" s="46" t="s">
        <v>280</v>
      </c>
      <c r="F5436" s="366" t="s">
        <v>2817</v>
      </c>
      <c r="G5436" s="46" t="s">
        <v>17</v>
      </c>
      <c r="H5436" s="46">
        <v>2</v>
      </c>
      <c r="I5436" s="51">
        <v>4622.28</v>
      </c>
      <c r="J5436" s="281">
        <f>++Tabla4[[#This Row],[Precio Bruto]]*1.16</f>
        <v>5361.8447999999989</v>
      </c>
      <c r="K5436" s="281">
        <f>+Tabla4[[#This Row],[Precio Unitario Neto]]*Tabla4[[#Headers],[20.85%]]</f>
        <v>1117.9446407999997</v>
      </c>
      <c r="L5436" s="282">
        <f>++Tabla4[[#This Row],[Precio Unitario Neto]]-Tabla4[[#This Row],[20.85%]]</f>
        <v>4243.9001591999995</v>
      </c>
      <c r="M5436" s="282" t="e">
        <f>(INDEX(Tabla6[#All],MATCH(Tabla4[[#This Row],[Producto]],Tabla6[[#All],[PRODUCTO]],0),MATCH(Tabla4[[#This Row],[Mes]],Tabla6[#Headers],0)))*(1+Catalogos!$L$2)</f>
        <v>#N/A</v>
      </c>
      <c r="N5436" s="283" t="e">
        <f>+(Tabla4[[#This Row],[Precio Descontado]]-Tabla4[[#This Row],[Precio Base]])*Tabla4[[#This Row],[Cantidad]]</f>
        <v>#N/A</v>
      </c>
      <c r="O5436" s="284" t="e">
        <f>++Tabla4[[#This Row],[Utilidad Total]]/Tabla4[[#This Row],[Total]]</f>
        <v>#N/A</v>
      </c>
      <c r="P5436" s="282">
        <f>++Tabla4[[#This Row],[Precio Descontado]]*Tabla4[[#This Row],[Cantidad]]</f>
        <v>8487.800318399999</v>
      </c>
      <c r="Q5436" s="282" t="e">
        <f>(INDEX(Tabla6[#All],MATCH(Tabla4[[#This Row],[Producto]],Tabla6[[#All],[PRODUCTO]],0),MATCH(Tabla4[[#This Row],[Mes]],Tabla6[#Headers],0)))</f>
        <v>#N/A</v>
      </c>
      <c r="R5436" s="282" t="e">
        <f>++Tabla4[[#This Row],[Precio Unitario Neto]]-Tabla4[[#This Row],[20.85%]]-Tabla4[[#This Row],[Costo]]</f>
        <v>#N/A</v>
      </c>
      <c r="S5436" s="282" t="e">
        <f>++Tabla4[[#This Row],[U. Bruta Uni]]*Tabla4[[#This Row],[Cantidad]]</f>
        <v>#N/A</v>
      </c>
      <c r="T5436" s="369" t="str">
        <f>VLOOKUP(Tabla4[[#This Row],[Producto]],Tabla6[#All],14,FALSE)</f>
        <v>Termico Solar</v>
      </c>
      <c r="U5436" s="284" t="e">
        <f>(IF(Tabla4[[#This Row],[Familia]]="termico solar",Tabla4[[#This Row],[Utilidad Total]]*6%,Tabla4[[#This Row],[Utilidad Total]]*11.5%))/Tabla4[[#This Row],[Total]]</f>
        <v>#N/A</v>
      </c>
      <c r="V5436" s="282" t="e">
        <f>+Tabla4[[#This Row],[Comisión Calculada]]*Tabla4[[#This Row],[Total]]</f>
        <v>#N/A</v>
      </c>
    </row>
    <row r="5437" spans="1:22" hidden="1" x14ac:dyDescent="0.25">
      <c r="A5437" s="100">
        <v>45900</v>
      </c>
      <c r="B5437" t="str">
        <f t="shared" si="263"/>
        <v>August</v>
      </c>
      <c r="C5437" s="46" t="s">
        <v>280</v>
      </c>
      <c r="F5437" s="366" t="s">
        <v>2818</v>
      </c>
      <c r="G5437" s="46" t="s">
        <v>83</v>
      </c>
      <c r="H5437" s="46">
        <v>1</v>
      </c>
      <c r="I5437" s="51">
        <v>8858.76</v>
      </c>
      <c r="J5437" s="281">
        <f>++Tabla4[[#This Row],[Precio Bruto]]*1.16</f>
        <v>10276.161599999999</v>
      </c>
      <c r="K5437" s="281">
        <f>+Tabla4[[#This Row],[Precio Unitario Neto]]*Tabla4[[#Headers],[20.85%]]</f>
        <v>2142.5796935999997</v>
      </c>
      <c r="L5437" s="282">
        <f>++Tabla4[[#This Row],[Precio Unitario Neto]]-Tabla4[[#This Row],[20.85%]]</f>
        <v>8133.5819063999998</v>
      </c>
      <c r="M5437" s="282" t="e">
        <f>(INDEX(Tabla6[#All],MATCH(Tabla4[[#This Row],[Producto]],Tabla6[[#All],[PRODUCTO]],0),MATCH(Tabla4[[#This Row],[Mes]],Tabla6[#Headers],0)))*(1+Catalogos!$L$2)</f>
        <v>#N/A</v>
      </c>
      <c r="N5437" s="283" t="e">
        <f>+(Tabla4[[#This Row],[Precio Descontado]]-Tabla4[[#This Row],[Precio Base]])*Tabla4[[#This Row],[Cantidad]]</f>
        <v>#N/A</v>
      </c>
      <c r="O5437" s="284" t="e">
        <f>++Tabla4[[#This Row],[Utilidad Total]]/Tabla4[[#This Row],[Total]]</f>
        <v>#N/A</v>
      </c>
      <c r="P5437" s="282">
        <f>++Tabla4[[#This Row],[Precio Descontado]]*Tabla4[[#This Row],[Cantidad]]</f>
        <v>8133.5819063999998</v>
      </c>
      <c r="Q5437" s="282" t="e">
        <f>(INDEX(Tabla6[#All],MATCH(Tabla4[[#This Row],[Producto]],Tabla6[[#All],[PRODUCTO]],0),MATCH(Tabla4[[#This Row],[Mes]],Tabla6[#Headers],0)))</f>
        <v>#N/A</v>
      </c>
      <c r="R5437" s="282" t="e">
        <f>++Tabla4[[#This Row],[Precio Unitario Neto]]-Tabla4[[#This Row],[20.85%]]-Tabla4[[#This Row],[Costo]]</f>
        <v>#N/A</v>
      </c>
      <c r="S5437" s="282" t="e">
        <f>++Tabla4[[#This Row],[U. Bruta Uni]]*Tabla4[[#This Row],[Cantidad]]</f>
        <v>#N/A</v>
      </c>
      <c r="T5437" s="369" t="str">
        <f>VLOOKUP(Tabla4[[#This Row],[Producto]],Tabla6[#All],14,FALSE)</f>
        <v>Termico Solar</v>
      </c>
      <c r="U5437" s="284" t="e">
        <f>(IF(Tabla4[[#This Row],[Familia]]="termico solar",Tabla4[[#This Row],[Utilidad Total]]*6%,Tabla4[[#This Row],[Utilidad Total]]*11.5%))/Tabla4[[#This Row],[Total]]</f>
        <v>#N/A</v>
      </c>
      <c r="V5437" s="282" t="e">
        <f>+Tabla4[[#This Row],[Comisión Calculada]]*Tabla4[[#This Row],[Total]]</f>
        <v>#N/A</v>
      </c>
    </row>
    <row r="5438" spans="1:22" hidden="1" x14ac:dyDescent="0.25">
      <c r="A5438" s="100">
        <v>45900</v>
      </c>
      <c r="B5438" t="str">
        <f t="shared" si="263"/>
        <v>August</v>
      </c>
      <c r="C5438" s="46" t="s">
        <v>280</v>
      </c>
      <c r="F5438" s="366" t="s">
        <v>2819</v>
      </c>
      <c r="G5438" s="46" t="s">
        <v>18</v>
      </c>
      <c r="H5438" s="46">
        <v>1</v>
      </c>
      <c r="I5438" s="51">
        <v>5367.65</v>
      </c>
      <c r="J5438" s="281">
        <f>++Tabla4[[#This Row],[Precio Bruto]]*1.16</f>
        <v>6226.4739999999993</v>
      </c>
      <c r="K5438" s="281">
        <f>+Tabla4[[#This Row],[Precio Unitario Neto]]*Tabla4[[#Headers],[20.85%]]</f>
        <v>1298.2198289999999</v>
      </c>
      <c r="L5438" s="282">
        <f>++Tabla4[[#This Row],[Precio Unitario Neto]]-Tabla4[[#This Row],[20.85%]]</f>
        <v>4928.2541709999996</v>
      </c>
      <c r="M5438" s="282" t="e">
        <f>(INDEX(Tabla6[#All],MATCH(Tabla4[[#This Row],[Producto]],Tabla6[[#All],[PRODUCTO]],0),MATCH(Tabla4[[#This Row],[Mes]],Tabla6[#Headers],0)))*(1+Catalogos!$L$2)</f>
        <v>#N/A</v>
      </c>
      <c r="N5438" s="283" t="e">
        <f>+(Tabla4[[#This Row],[Precio Descontado]]-Tabla4[[#This Row],[Precio Base]])*Tabla4[[#This Row],[Cantidad]]</f>
        <v>#N/A</v>
      </c>
      <c r="O5438" s="284" t="e">
        <f>++Tabla4[[#This Row],[Utilidad Total]]/Tabla4[[#This Row],[Total]]</f>
        <v>#N/A</v>
      </c>
      <c r="P5438" s="282">
        <f>++Tabla4[[#This Row],[Precio Descontado]]*Tabla4[[#This Row],[Cantidad]]</f>
        <v>4928.2541709999996</v>
      </c>
      <c r="Q5438" s="282" t="e">
        <f>(INDEX(Tabla6[#All],MATCH(Tabla4[[#This Row],[Producto]],Tabla6[[#All],[PRODUCTO]],0),MATCH(Tabla4[[#This Row],[Mes]],Tabla6[#Headers],0)))</f>
        <v>#N/A</v>
      </c>
      <c r="R5438" s="282" t="e">
        <f>++Tabla4[[#This Row],[Precio Unitario Neto]]-Tabla4[[#This Row],[20.85%]]-Tabla4[[#This Row],[Costo]]</f>
        <v>#N/A</v>
      </c>
      <c r="S5438" s="282" t="e">
        <f>++Tabla4[[#This Row],[U. Bruta Uni]]*Tabla4[[#This Row],[Cantidad]]</f>
        <v>#N/A</v>
      </c>
      <c r="T5438" s="369" t="str">
        <f>VLOOKUP(Tabla4[[#This Row],[Producto]],Tabla6[#All],14,FALSE)</f>
        <v>Termico Solar</v>
      </c>
      <c r="U5438" s="284" t="e">
        <f>(IF(Tabla4[[#This Row],[Familia]]="termico solar",Tabla4[[#This Row],[Utilidad Total]]*6%,Tabla4[[#This Row],[Utilidad Total]]*11.5%))/Tabla4[[#This Row],[Total]]</f>
        <v>#N/A</v>
      </c>
      <c r="V5438" s="282" t="e">
        <f>+Tabla4[[#This Row],[Comisión Calculada]]*Tabla4[[#This Row],[Total]]</f>
        <v>#N/A</v>
      </c>
    </row>
    <row r="5439" spans="1:22" hidden="1" x14ac:dyDescent="0.25">
      <c r="A5439" s="100">
        <v>45900</v>
      </c>
      <c r="B5439" t="str">
        <f t="shared" si="263"/>
        <v>August</v>
      </c>
      <c r="C5439" s="46" t="s">
        <v>280</v>
      </c>
      <c r="F5439" s="366" t="s">
        <v>2820</v>
      </c>
      <c r="G5439" s="46" t="s">
        <v>18</v>
      </c>
      <c r="H5439" s="46">
        <v>1</v>
      </c>
      <c r="I5439" s="51">
        <v>5367.65</v>
      </c>
      <c r="J5439" s="281">
        <f>++Tabla4[[#This Row],[Precio Bruto]]*1.16</f>
        <v>6226.4739999999993</v>
      </c>
      <c r="K5439" s="281">
        <f>+Tabla4[[#This Row],[Precio Unitario Neto]]*Tabla4[[#Headers],[20.85%]]</f>
        <v>1298.2198289999999</v>
      </c>
      <c r="L5439" s="282">
        <f>++Tabla4[[#This Row],[Precio Unitario Neto]]-Tabla4[[#This Row],[20.85%]]</f>
        <v>4928.2541709999996</v>
      </c>
      <c r="M5439" s="282" t="e">
        <f>(INDEX(Tabla6[#All],MATCH(Tabla4[[#This Row],[Producto]],Tabla6[[#All],[PRODUCTO]],0),MATCH(Tabla4[[#This Row],[Mes]],Tabla6[#Headers],0)))*(1+Catalogos!$L$2)</f>
        <v>#N/A</v>
      </c>
      <c r="N5439" s="283" t="e">
        <f>+(Tabla4[[#This Row],[Precio Descontado]]-Tabla4[[#This Row],[Precio Base]])*Tabla4[[#This Row],[Cantidad]]</f>
        <v>#N/A</v>
      </c>
      <c r="O5439" s="284" t="e">
        <f>++Tabla4[[#This Row],[Utilidad Total]]/Tabla4[[#This Row],[Total]]</f>
        <v>#N/A</v>
      </c>
      <c r="P5439" s="282">
        <f>++Tabla4[[#This Row],[Precio Descontado]]*Tabla4[[#This Row],[Cantidad]]</f>
        <v>4928.2541709999996</v>
      </c>
      <c r="Q5439" s="282" t="e">
        <f>(INDEX(Tabla6[#All],MATCH(Tabla4[[#This Row],[Producto]],Tabla6[[#All],[PRODUCTO]],0),MATCH(Tabla4[[#This Row],[Mes]],Tabla6[#Headers],0)))</f>
        <v>#N/A</v>
      </c>
      <c r="R5439" s="282" t="e">
        <f>++Tabla4[[#This Row],[Precio Unitario Neto]]-Tabla4[[#This Row],[20.85%]]-Tabla4[[#This Row],[Costo]]</f>
        <v>#N/A</v>
      </c>
      <c r="S5439" s="282" t="e">
        <f>++Tabla4[[#This Row],[U. Bruta Uni]]*Tabla4[[#This Row],[Cantidad]]</f>
        <v>#N/A</v>
      </c>
      <c r="T5439" s="369" t="str">
        <f>VLOOKUP(Tabla4[[#This Row],[Producto]],Tabla6[#All],14,FALSE)</f>
        <v>Termico Solar</v>
      </c>
      <c r="U5439" s="284" t="e">
        <f>(IF(Tabla4[[#This Row],[Familia]]="termico solar",Tabla4[[#This Row],[Utilidad Total]]*6%,Tabla4[[#This Row],[Utilidad Total]]*11.5%))/Tabla4[[#This Row],[Total]]</f>
        <v>#N/A</v>
      </c>
      <c r="V5439" s="282" t="e">
        <f>+Tabla4[[#This Row],[Comisión Calculada]]*Tabla4[[#This Row],[Total]]</f>
        <v>#N/A</v>
      </c>
    </row>
    <row r="5440" spans="1:22" hidden="1" x14ac:dyDescent="0.25">
      <c r="A5440" s="100">
        <v>45900</v>
      </c>
      <c r="B5440" t="str">
        <f t="shared" si="263"/>
        <v>August</v>
      </c>
      <c r="C5440" s="46" t="s">
        <v>280</v>
      </c>
      <c r="F5440" s="366" t="s">
        <v>2821</v>
      </c>
      <c r="G5440" s="46" t="s">
        <v>394</v>
      </c>
      <c r="H5440" s="46">
        <v>9</v>
      </c>
      <c r="I5440" s="51">
        <v>108.1</v>
      </c>
      <c r="J5440" s="281">
        <f>++Tabla4[[#This Row],[Precio Bruto]]*1.16</f>
        <v>125.39599999999999</v>
      </c>
      <c r="K5440" s="281">
        <f>+Tabla4[[#This Row],[Precio Unitario Neto]]*Tabla4[[#Headers],[20.85%]]</f>
        <v>26.145065999999996</v>
      </c>
      <c r="L5440" s="282">
        <f>++Tabla4[[#This Row],[Precio Unitario Neto]]-Tabla4[[#This Row],[20.85%]]</f>
        <v>99.250933999999987</v>
      </c>
      <c r="M5440" s="282" t="e">
        <f>(INDEX(Tabla6[#All],MATCH(Tabla4[[#This Row],[Producto]],Tabla6[[#All],[PRODUCTO]],0),MATCH(Tabla4[[#This Row],[Mes]],Tabla6[#Headers],0)))*(1+Catalogos!$L$2)</f>
        <v>#N/A</v>
      </c>
      <c r="N5440" s="283" t="e">
        <f>+(Tabla4[[#This Row],[Precio Descontado]]-Tabla4[[#This Row],[Precio Base]])*Tabla4[[#This Row],[Cantidad]]</f>
        <v>#N/A</v>
      </c>
      <c r="O5440" s="284" t="e">
        <f>++Tabla4[[#This Row],[Utilidad Total]]/Tabla4[[#This Row],[Total]]</f>
        <v>#N/A</v>
      </c>
      <c r="P5440" s="282">
        <f>++Tabla4[[#This Row],[Precio Descontado]]*Tabla4[[#This Row],[Cantidad]]</f>
        <v>893.25840599999992</v>
      </c>
      <c r="Q5440" s="282" t="e">
        <f>(INDEX(Tabla6[#All],MATCH(Tabla4[[#This Row],[Producto]],Tabla6[[#All],[PRODUCTO]],0),MATCH(Tabla4[[#This Row],[Mes]],Tabla6[#Headers],0)))</f>
        <v>#N/A</v>
      </c>
      <c r="R5440" s="282" t="e">
        <f>++Tabla4[[#This Row],[Precio Unitario Neto]]-Tabla4[[#This Row],[20.85%]]-Tabla4[[#This Row],[Costo]]</f>
        <v>#N/A</v>
      </c>
      <c r="S5440" s="282" t="e">
        <f>++Tabla4[[#This Row],[U. Bruta Uni]]*Tabla4[[#This Row],[Cantidad]]</f>
        <v>#N/A</v>
      </c>
      <c r="T5440" s="369" t="str">
        <f>VLOOKUP(Tabla4[[#This Row],[Producto]],Tabla6[#All],14,FALSE)</f>
        <v>Termico Solar</v>
      </c>
      <c r="U5440" s="284" t="e">
        <f>(IF(Tabla4[[#This Row],[Familia]]="termico solar",Tabla4[[#This Row],[Utilidad Total]]*6%,Tabla4[[#This Row],[Utilidad Total]]*11.5%))/Tabla4[[#This Row],[Total]]</f>
        <v>#N/A</v>
      </c>
      <c r="V5440" s="282" t="e">
        <f>+Tabla4[[#This Row],[Comisión Calculada]]*Tabla4[[#This Row],[Total]]</f>
        <v>#N/A</v>
      </c>
    </row>
    <row r="5441" spans="1:22" hidden="1" x14ac:dyDescent="0.25">
      <c r="A5441" s="100">
        <v>45900</v>
      </c>
      <c r="B5441" t="str">
        <f t="shared" si="263"/>
        <v>August</v>
      </c>
      <c r="C5441" s="46" t="s">
        <v>280</v>
      </c>
      <c r="F5441" s="366" t="s">
        <v>2821</v>
      </c>
      <c r="G5441" s="46" t="s">
        <v>208</v>
      </c>
      <c r="H5441" s="46">
        <v>2</v>
      </c>
      <c r="I5441" s="51">
        <v>189.75</v>
      </c>
      <c r="J5441" s="281">
        <f>++Tabla4[[#This Row],[Precio Bruto]]*1.16</f>
        <v>220.10999999999999</v>
      </c>
      <c r="K5441" s="281">
        <f>+Tabla4[[#This Row],[Precio Unitario Neto]]*Tabla4[[#Headers],[20.85%]]</f>
        <v>45.892934999999994</v>
      </c>
      <c r="L5441" s="282">
        <f>++Tabla4[[#This Row],[Precio Unitario Neto]]-Tabla4[[#This Row],[20.85%]]</f>
        <v>174.21706499999999</v>
      </c>
      <c r="M5441" s="282" t="e">
        <f>(INDEX(Tabla6[#All],MATCH(Tabla4[[#This Row],[Producto]],Tabla6[[#All],[PRODUCTO]],0),MATCH(Tabla4[[#This Row],[Mes]],Tabla6[#Headers],0)))*(1+Catalogos!$L$2)</f>
        <v>#N/A</v>
      </c>
      <c r="N5441" s="283" t="e">
        <f>+(Tabla4[[#This Row],[Precio Descontado]]-Tabla4[[#This Row],[Precio Base]])*Tabla4[[#This Row],[Cantidad]]</f>
        <v>#N/A</v>
      </c>
      <c r="O5441" s="284" t="e">
        <f>++Tabla4[[#This Row],[Utilidad Total]]/Tabla4[[#This Row],[Total]]</f>
        <v>#N/A</v>
      </c>
      <c r="P5441" s="282">
        <f>++Tabla4[[#This Row],[Precio Descontado]]*Tabla4[[#This Row],[Cantidad]]</f>
        <v>348.43412999999998</v>
      </c>
      <c r="Q5441" s="282" t="e">
        <f>(INDEX(Tabla6[#All],MATCH(Tabla4[[#This Row],[Producto]],Tabla6[[#All],[PRODUCTO]],0),MATCH(Tabla4[[#This Row],[Mes]],Tabla6[#Headers],0)))</f>
        <v>#N/A</v>
      </c>
      <c r="R5441" s="282" t="e">
        <f>++Tabla4[[#This Row],[Precio Unitario Neto]]-Tabla4[[#This Row],[20.85%]]-Tabla4[[#This Row],[Costo]]</f>
        <v>#N/A</v>
      </c>
      <c r="S5441" s="282" t="e">
        <f>++Tabla4[[#This Row],[U. Bruta Uni]]*Tabla4[[#This Row],[Cantidad]]</f>
        <v>#N/A</v>
      </c>
      <c r="T5441" s="369" t="str">
        <f>VLOOKUP(Tabla4[[#This Row],[Producto]],Tabla6[#All],14,FALSE)</f>
        <v>Termico Solar</v>
      </c>
      <c r="U5441" s="284" t="e">
        <f>(IF(Tabla4[[#This Row],[Familia]]="termico solar",Tabla4[[#This Row],[Utilidad Total]]*6%,Tabla4[[#This Row],[Utilidad Total]]*11.5%))/Tabla4[[#This Row],[Total]]</f>
        <v>#N/A</v>
      </c>
      <c r="V5441" s="282" t="e">
        <f>+Tabla4[[#This Row],[Comisión Calculada]]*Tabla4[[#This Row],[Total]]</f>
        <v>#N/A</v>
      </c>
    </row>
    <row r="5442" spans="1:22" hidden="1" x14ac:dyDescent="0.25">
      <c r="A5442" s="100">
        <v>45900</v>
      </c>
      <c r="B5442" t="str">
        <f t="shared" si="263"/>
        <v>August</v>
      </c>
      <c r="C5442" s="46" t="s">
        <v>280</v>
      </c>
      <c r="F5442" s="366" t="s">
        <v>2822</v>
      </c>
      <c r="G5442" s="46" t="s">
        <v>17</v>
      </c>
      <c r="H5442" s="46">
        <v>1</v>
      </c>
      <c r="I5442" s="51">
        <v>4622.28</v>
      </c>
      <c r="J5442" s="281">
        <f>++Tabla4[[#This Row],[Precio Bruto]]*1.16</f>
        <v>5361.8447999999989</v>
      </c>
      <c r="K5442" s="281">
        <f>+Tabla4[[#This Row],[Precio Unitario Neto]]*Tabla4[[#Headers],[20.85%]]</f>
        <v>1117.9446407999997</v>
      </c>
      <c r="L5442" s="282">
        <f>++Tabla4[[#This Row],[Precio Unitario Neto]]-Tabla4[[#This Row],[20.85%]]</f>
        <v>4243.9001591999995</v>
      </c>
      <c r="M5442" s="282" t="e">
        <f>(INDEX(Tabla6[#All],MATCH(Tabla4[[#This Row],[Producto]],Tabla6[[#All],[PRODUCTO]],0),MATCH(Tabla4[[#This Row],[Mes]],Tabla6[#Headers],0)))*(1+Catalogos!$L$2)</f>
        <v>#N/A</v>
      </c>
      <c r="N5442" s="283" t="e">
        <f>+(Tabla4[[#This Row],[Precio Descontado]]-Tabla4[[#This Row],[Precio Base]])*Tabla4[[#This Row],[Cantidad]]</f>
        <v>#N/A</v>
      </c>
      <c r="O5442" s="284" t="e">
        <f>++Tabla4[[#This Row],[Utilidad Total]]/Tabla4[[#This Row],[Total]]</f>
        <v>#N/A</v>
      </c>
      <c r="P5442" s="282">
        <f>++Tabla4[[#This Row],[Precio Descontado]]*Tabla4[[#This Row],[Cantidad]]</f>
        <v>4243.9001591999995</v>
      </c>
      <c r="Q5442" s="282" t="e">
        <f>(INDEX(Tabla6[#All],MATCH(Tabla4[[#This Row],[Producto]],Tabla6[[#All],[PRODUCTO]],0),MATCH(Tabla4[[#This Row],[Mes]],Tabla6[#Headers],0)))</f>
        <v>#N/A</v>
      </c>
      <c r="R5442" s="282" t="e">
        <f>++Tabla4[[#This Row],[Precio Unitario Neto]]-Tabla4[[#This Row],[20.85%]]-Tabla4[[#This Row],[Costo]]</f>
        <v>#N/A</v>
      </c>
      <c r="S5442" s="282" t="e">
        <f>++Tabla4[[#This Row],[U. Bruta Uni]]*Tabla4[[#This Row],[Cantidad]]</f>
        <v>#N/A</v>
      </c>
      <c r="T5442" s="369" t="str">
        <f>VLOOKUP(Tabla4[[#This Row],[Producto]],Tabla6[#All],14,FALSE)</f>
        <v>Termico Solar</v>
      </c>
      <c r="U5442" s="284" t="e">
        <f>(IF(Tabla4[[#This Row],[Familia]]="termico solar",Tabla4[[#This Row],[Utilidad Total]]*6%,Tabla4[[#This Row],[Utilidad Total]]*11.5%))/Tabla4[[#This Row],[Total]]</f>
        <v>#N/A</v>
      </c>
      <c r="V5442" s="282" t="e">
        <f>+Tabla4[[#This Row],[Comisión Calculada]]*Tabla4[[#This Row],[Total]]</f>
        <v>#N/A</v>
      </c>
    </row>
    <row r="5443" spans="1:22" hidden="1" x14ac:dyDescent="0.25">
      <c r="A5443" s="100">
        <v>45900</v>
      </c>
      <c r="B5443" t="str">
        <f t="shared" si="263"/>
        <v>August</v>
      </c>
      <c r="C5443" s="46" t="s">
        <v>280</v>
      </c>
      <c r="F5443" s="366" t="s">
        <v>2822</v>
      </c>
      <c r="G5443" s="46" t="s">
        <v>18</v>
      </c>
      <c r="H5443" s="46">
        <v>1</v>
      </c>
      <c r="I5443" s="51">
        <v>5367.65</v>
      </c>
      <c r="J5443" s="281">
        <f>++Tabla4[[#This Row],[Precio Bruto]]*1.16</f>
        <v>6226.4739999999993</v>
      </c>
      <c r="K5443" s="281">
        <f>+Tabla4[[#This Row],[Precio Unitario Neto]]*Tabla4[[#Headers],[20.85%]]</f>
        <v>1298.2198289999999</v>
      </c>
      <c r="L5443" s="282">
        <f>++Tabla4[[#This Row],[Precio Unitario Neto]]-Tabla4[[#This Row],[20.85%]]</f>
        <v>4928.2541709999996</v>
      </c>
      <c r="M5443" s="282" t="e">
        <f>(INDEX(Tabla6[#All],MATCH(Tabla4[[#This Row],[Producto]],Tabla6[[#All],[PRODUCTO]],0),MATCH(Tabla4[[#This Row],[Mes]],Tabla6[#Headers],0)))*(1+Catalogos!$L$2)</f>
        <v>#N/A</v>
      </c>
      <c r="N5443" s="283" t="e">
        <f>+(Tabla4[[#This Row],[Precio Descontado]]-Tabla4[[#This Row],[Precio Base]])*Tabla4[[#This Row],[Cantidad]]</f>
        <v>#N/A</v>
      </c>
      <c r="O5443" s="284" t="e">
        <f>++Tabla4[[#This Row],[Utilidad Total]]/Tabla4[[#This Row],[Total]]</f>
        <v>#N/A</v>
      </c>
      <c r="P5443" s="282">
        <f>++Tabla4[[#This Row],[Precio Descontado]]*Tabla4[[#This Row],[Cantidad]]</f>
        <v>4928.2541709999996</v>
      </c>
      <c r="Q5443" s="282" t="e">
        <f>(INDEX(Tabla6[#All],MATCH(Tabla4[[#This Row],[Producto]],Tabla6[[#All],[PRODUCTO]],0),MATCH(Tabla4[[#This Row],[Mes]],Tabla6[#Headers],0)))</f>
        <v>#N/A</v>
      </c>
      <c r="R5443" s="282" t="e">
        <f>++Tabla4[[#This Row],[Precio Unitario Neto]]-Tabla4[[#This Row],[20.85%]]-Tabla4[[#This Row],[Costo]]</f>
        <v>#N/A</v>
      </c>
      <c r="S5443" s="282" t="e">
        <f>++Tabla4[[#This Row],[U. Bruta Uni]]*Tabla4[[#This Row],[Cantidad]]</f>
        <v>#N/A</v>
      </c>
      <c r="T5443" s="369" t="str">
        <f>VLOOKUP(Tabla4[[#This Row],[Producto]],Tabla6[#All],14,FALSE)</f>
        <v>Termico Solar</v>
      </c>
      <c r="U5443" s="284" t="e">
        <f>(IF(Tabla4[[#This Row],[Familia]]="termico solar",Tabla4[[#This Row],[Utilidad Total]]*6%,Tabla4[[#This Row],[Utilidad Total]]*11.5%))/Tabla4[[#This Row],[Total]]</f>
        <v>#N/A</v>
      </c>
      <c r="V5443" s="282" t="e">
        <f>+Tabla4[[#This Row],[Comisión Calculada]]*Tabla4[[#This Row],[Total]]</f>
        <v>#N/A</v>
      </c>
    </row>
    <row r="5444" spans="1:22" hidden="1" x14ac:dyDescent="0.25">
      <c r="A5444" s="100">
        <v>45900</v>
      </c>
      <c r="B5444" t="str">
        <f t="shared" si="263"/>
        <v>August</v>
      </c>
      <c r="C5444" s="46" t="s">
        <v>280</v>
      </c>
      <c r="F5444" s="366" t="s">
        <v>2822</v>
      </c>
      <c r="G5444" s="46" t="s">
        <v>16</v>
      </c>
      <c r="H5444" s="46">
        <v>1</v>
      </c>
      <c r="I5444" s="51">
        <v>4103.8500000000004</v>
      </c>
      <c r="J5444" s="281">
        <f>++Tabla4[[#This Row],[Precio Bruto]]*1.16</f>
        <v>4760.4660000000003</v>
      </c>
      <c r="K5444" s="281">
        <f>+Tabla4[[#This Row],[Precio Unitario Neto]]*Tabla4[[#Headers],[20.85%]]</f>
        <v>992.55716100000006</v>
      </c>
      <c r="L5444" s="282">
        <f>++Tabla4[[#This Row],[Precio Unitario Neto]]-Tabla4[[#This Row],[20.85%]]</f>
        <v>3767.9088390000002</v>
      </c>
      <c r="M5444" s="282" t="e">
        <f>(INDEX(Tabla6[#All],MATCH(Tabla4[[#This Row],[Producto]],Tabla6[[#All],[PRODUCTO]],0),MATCH(Tabla4[[#This Row],[Mes]],Tabla6[#Headers],0)))*(1+Catalogos!$L$2)</f>
        <v>#N/A</v>
      </c>
      <c r="N5444" s="283" t="e">
        <f>+(Tabla4[[#This Row],[Precio Descontado]]-Tabla4[[#This Row],[Precio Base]])*Tabla4[[#This Row],[Cantidad]]</f>
        <v>#N/A</v>
      </c>
      <c r="O5444" s="284" t="e">
        <f>++Tabla4[[#This Row],[Utilidad Total]]/Tabla4[[#This Row],[Total]]</f>
        <v>#N/A</v>
      </c>
      <c r="P5444" s="282">
        <f>++Tabla4[[#This Row],[Precio Descontado]]*Tabla4[[#This Row],[Cantidad]]</f>
        <v>3767.9088390000002</v>
      </c>
      <c r="Q5444" s="282" t="e">
        <f>(INDEX(Tabla6[#All],MATCH(Tabla4[[#This Row],[Producto]],Tabla6[[#All],[PRODUCTO]],0),MATCH(Tabla4[[#This Row],[Mes]],Tabla6[#Headers],0)))</f>
        <v>#N/A</v>
      </c>
      <c r="R5444" s="282" t="e">
        <f>++Tabla4[[#This Row],[Precio Unitario Neto]]-Tabla4[[#This Row],[20.85%]]-Tabla4[[#This Row],[Costo]]</f>
        <v>#N/A</v>
      </c>
      <c r="S5444" s="282" t="e">
        <f>++Tabla4[[#This Row],[U. Bruta Uni]]*Tabla4[[#This Row],[Cantidad]]</f>
        <v>#N/A</v>
      </c>
      <c r="T5444" s="369" t="str">
        <f>VLOOKUP(Tabla4[[#This Row],[Producto]],Tabla6[#All],14,FALSE)</f>
        <v>Termico Solar</v>
      </c>
      <c r="U5444" s="284" t="e">
        <f>(IF(Tabla4[[#This Row],[Familia]]="termico solar",Tabla4[[#This Row],[Utilidad Total]]*6%,Tabla4[[#This Row],[Utilidad Total]]*11.5%))/Tabla4[[#This Row],[Total]]</f>
        <v>#N/A</v>
      </c>
      <c r="V5444" s="282" t="e">
        <f>+Tabla4[[#This Row],[Comisión Calculada]]*Tabla4[[#This Row],[Total]]</f>
        <v>#N/A</v>
      </c>
    </row>
    <row r="5445" spans="1:22" hidden="1" x14ac:dyDescent="0.25">
      <c r="A5445" s="100">
        <v>45900</v>
      </c>
      <c r="B5445" t="str">
        <f t="shared" si="263"/>
        <v>August</v>
      </c>
      <c r="C5445" s="46" t="s">
        <v>280</v>
      </c>
      <c r="F5445" s="366" t="s">
        <v>2822</v>
      </c>
      <c r="G5445" s="46" t="s">
        <v>208</v>
      </c>
      <c r="H5445" s="46">
        <v>2</v>
      </c>
      <c r="I5445" s="51">
        <v>189.75</v>
      </c>
      <c r="J5445" s="281">
        <f>++Tabla4[[#This Row],[Precio Bruto]]*1.16</f>
        <v>220.10999999999999</v>
      </c>
      <c r="K5445" s="281">
        <f>+Tabla4[[#This Row],[Precio Unitario Neto]]*Tabla4[[#Headers],[20.85%]]</f>
        <v>45.892934999999994</v>
      </c>
      <c r="L5445" s="282">
        <f>++Tabla4[[#This Row],[Precio Unitario Neto]]-Tabla4[[#This Row],[20.85%]]</f>
        <v>174.21706499999999</v>
      </c>
      <c r="M5445" s="282" t="e">
        <f>(INDEX(Tabla6[#All],MATCH(Tabla4[[#This Row],[Producto]],Tabla6[[#All],[PRODUCTO]],0),MATCH(Tabla4[[#This Row],[Mes]],Tabla6[#Headers],0)))*(1+Catalogos!$L$2)</f>
        <v>#N/A</v>
      </c>
      <c r="N5445" s="283" t="e">
        <f>+(Tabla4[[#This Row],[Precio Descontado]]-Tabla4[[#This Row],[Precio Base]])*Tabla4[[#This Row],[Cantidad]]</f>
        <v>#N/A</v>
      </c>
      <c r="O5445" s="284" t="e">
        <f>++Tabla4[[#This Row],[Utilidad Total]]/Tabla4[[#This Row],[Total]]</f>
        <v>#N/A</v>
      </c>
      <c r="P5445" s="282">
        <f>++Tabla4[[#This Row],[Precio Descontado]]*Tabla4[[#This Row],[Cantidad]]</f>
        <v>348.43412999999998</v>
      </c>
      <c r="Q5445" s="282" t="e">
        <f>(INDEX(Tabla6[#All],MATCH(Tabla4[[#This Row],[Producto]],Tabla6[[#All],[PRODUCTO]],0),MATCH(Tabla4[[#This Row],[Mes]],Tabla6[#Headers],0)))</f>
        <v>#N/A</v>
      </c>
      <c r="R5445" s="282" t="e">
        <f>++Tabla4[[#This Row],[Precio Unitario Neto]]-Tabla4[[#This Row],[20.85%]]-Tabla4[[#This Row],[Costo]]</f>
        <v>#N/A</v>
      </c>
      <c r="S5445" s="282" t="e">
        <f>++Tabla4[[#This Row],[U. Bruta Uni]]*Tabla4[[#This Row],[Cantidad]]</f>
        <v>#N/A</v>
      </c>
      <c r="T5445" s="369" t="str">
        <f>VLOOKUP(Tabla4[[#This Row],[Producto]],Tabla6[#All],14,FALSE)</f>
        <v>Termico Solar</v>
      </c>
      <c r="U5445" s="284" t="e">
        <f>(IF(Tabla4[[#This Row],[Familia]]="termico solar",Tabla4[[#This Row],[Utilidad Total]]*6%,Tabla4[[#This Row],[Utilidad Total]]*11.5%))/Tabla4[[#This Row],[Total]]</f>
        <v>#N/A</v>
      </c>
      <c r="V5445" s="282" t="e">
        <f>+Tabla4[[#This Row],[Comisión Calculada]]*Tabla4[[#This Row],[Total]]</f>
        <v>#N/A</v>
      </c>
    </row>
    <row r="5446" spans="1:22" hidden="1" x14ac:dyDescent="0.25">
      <c r="A5446" s="100">
        <v>45900</v>
      </c>
      <c r="B5446" t="str">
        <f t="shared" si="263"/>
        <v>August</v>
      </c>
      <c r="C5446" s="46" t="s">
        <v>280</v>
      </c>
      <c r="F5446" s="366" t="s">
        <v>2823</v>
      </c>
      <c r="G5446" s="46" t="s">
        <v>18</v>
      </c>
      <c r="H5446" s="46">
        <v>1</v>
      </c>
      <c r="I5446" s="51">
        <v>5367.65</v>
      </c>
      <c r="J5446" s="281">
        <f>++Tabla4[[#This Row],[Precio Bruto]]*1.16</f>
        <v>6226.4739999999993</v>
      </c>
      <c r="K5446" s="281">
        <f>+Tabla4[[#This Row],[Precio Unitario Neto]]*Tabla4[[#Headers],[20.85%]]</f>
        <v>1298.2198289999999</v>
      </c>
      <c r="L5446" s="282">
        <f>++Tabla4[[#This Row],[Precio Unitario Neto]]-Tabla4[[#This Row],[20.85%]]</f>
        <v>4928.2541709999996</v>
      </c>
      <c r="M5446" s="282" t="e">
        <f>(INDEX(Tabla6[#All],MATCH(Tabla4[[#This Row],[Producto]],Tabla6[[#All],[PRODUCTO]],0),MATCH(Tabla4[[#This Row],[Mes]],Tabla6[#Headers],0)))*(1+Catalogos!$L$2)</f>
        <v>#N/A</v>
      </c>
      <c r="N5446" s="283" t="e">
        <f>+(Tabla4[[#This Row],[Precio Descontado]]-Tabla4[[#This Row],[Precio Base]])*Tabla4[[#This Row],[Cantidad]]</f>
        <v>#N/A</v>
      </c>
      <c r="O5446" s="284" t="e">
        <f>++Tabla4[[#This Row],[Utilidad Total]]/Tabla4[[#This Row],[Total]]</f>
        <v>#N/A</v>
      </c>
      <c r="P5446" s="282">
        <f>++Tabla4[[#This Row],[Precio Descontado]]*Tabla4[[#This Row],[Cantidad]]</f>
        <v>4928.2541709999996</v>
      </c>
      <c r="Q5446" s="282" t="e">
        <f>(INDEX(Tabla6[#All],MATCH(Tabla4[[#This Row],[Producto]],Tabla6[[#All],[PRODUCTO]],0),MATCH(Tabla4[[#This Row],[Mes]],Tabla6[#Headers],0)))</f>
        <v>#N/A</v>
      </c>
      <c r="R5446" s="282" t="e">
        <f>++Tabla4[[#This Row],[Precio Unitario Neto]]-Tabla4[[#This Row],[20.85%]]-Tabla4[[#This Row],[Costo]]</f>
        <v>#N/A</v>
      </c>
      <c r="S5446" s="282" t="e">
        <f>++Tabla4[[#This Row],[U. Bruta Uni]]*Tabla4[[#This Row],[Cantidad]]</f>
        <v>#N/A</v>
      </c>
      <c r="T5446" s="369" t="str">
        <f>VLOOKUP(Tabla4[[#This Row],[Producto]],Tabla6[#All],14,FALSE)</f>
        <v>Termico Solar</v>
      </c>
      <c r="U5446" s="284" t="e">
        <f>(IF(Tabla4[[#This Row],[Familia]]="termico solar",Tabla4[[#This Row],[Utilidad Total]]*6%,Tabla4[[#This Row],[Utilidad Total]]*11.5%))/Tabla4[[#This Row],[Total]]</f>
        <v>#N/A</v>
      </c>
      <c r="V5446" s="282" t="e">
        <f>+Tabla4[[#This Row],[Comisión Calculada]]*Tabla4[[#This Row],[Total]]</f>
        <v>#N/A</v>
      </c>
    </row>
    <row r="5447" spans="1:22" hidden="1" x14ac:dyDescent="0.25">
      <c r="A5447" s="100">
        <v>45900</v>
      </c>
      <c r="B5447" t="str">
        <f t="shared" si="263"/>
        <v>August</v>
      </c>
      <c r="C5447" s="46" t="s">
        <v>280</v>
      </c>
      <c r="F5447" s="366" t="s">
        <v>2823</v>
      </c>
      <c r="G5447" s="46" t="s">
        <v>16</v>
      </c>
      <c r="H5447" s="46">
        <v>2</v>
      </c>
      <c r="I5447" s="51">
        <v>4103.8500000000004</v>
      </c>
      <c r="J5447" s="281">
        <f>++Tabla4[[#This Row],[Precio Bruto]]*1.16</f>
        <v>4760.4660000000003</v>
      </c>
      <c r="K5447" s="281">
        <f>+Tabla4[[#This Row],[Precio Unitario Neto]]*Tabla4[[#Headers],[20.85%]]</f>
        <v>992.55716100000006</v>
      </c>
      <c r="L5447" s="282">
        <f>++Tabla4[[#This Row],[Precio Unitario Neto]]-Tabla4[[#This Row],[20.85%]]</f>
        <v>3767.9088390000002</v>
      </c>
      <c r="M5447" s="282" t="e">
        <f>(INDEX(Tabla6[#All],MATCH(Tabla4[[#This Row],[Producto]],Tabla6[[#All],[PRODUCTO]],0),MATCH(Tabla4[[#This Row],[Mes]],Tabla6[#Headers],0)))*(1+Catalogos!$L$2)</f>
        <v>#N/A</v>
      </c>
      <c r="N5447" s="283" t="e">
        <f>+(Tabla4[[#This Row],[Precio Descontado]]-Tabla4[[#This Row],[Precio Base]])*Tabla4[[#This Row],[Cantidad]]</f>
        <v>#N/A</v>
      </c>
      <c r="O5447" s="284" t="e">
        <f>++Tabla4[[#This Row],[Utilidad Total]]/Tabla4[[#This Row],[Total]]</f>
        <v>#N/A</v>
      </c>
      <c r="P5447" s="282">
        <f>++Tabla4[[#This Row],[Precio Descontado]]*Tabla4[[#This Row],[Cantidad]]</f>
        <v>7535.8176780000003</v>
      </c>
      <c r="Q5447" s="282" t="e">
        <f>(INDEX(Tabla6[#All],MATCH(Tabla4[[#This Row],[Producto]],Tabla6[[#All],[PRODUCTO]],0),MATCH(Tabla4[[#This Row],[Mes]],Tabla6[#Headers],0)))</f>
        <v>#N/A</v>
      </c>
      <c r="R5447" s="282" t="e">
        <f>++Tabla4[[#This Row],[Precio Unitario Neto]]-Tabla4[[#This Row],[20.85%]]-Tabla4[[#This Row],[Costo]]</f>
        <v>#N/A</v>
      </c>
      <c r="S5447" s="282" t="e">
        <f>++Tabla4[[#This Row],[U. Bruta Uni]]*Tabla4[[#This Row],[Cantidad]]</f>
        <v>#N/A</v>
      </c>
      <c r="T5447" s="369" t="str">
        <f>VLOOKUP(Tabla4[[#This Row],[Producto]],Tabla6[#All],14,FALSE)</f>
        <v>Termico Solar</v>
      </c>
      <c r="U5447" s="284" t="e">
        <f>(IF(Tabla4[[#This Row],[Familia]]="termico solar",Tabla4[[#This Row],[Utilidad Total]]*6%,Tabla4[[#This Row],[Utilidad Total]]*11.5%))/Tabla4[[#This Row],[Total]]</f>
        <v>#N/A</v>
      </c>
      <c r="V5447" s="282" t="e">
        <f>+Tabla4[[#This Row],[Comisión Calculada]]*Tabla4[[#This Row],[Total]]</f>
        <v>#N/A</v>
      </c>
    </row>
    <row r="5448" spans="1:22" hidden="1" x14ac:dyDescent="0.25">
      <c r="A5448" s="100">
        <v>45900</v>
      </c>
      <c r="B5448" t="str">
        <f t="shared" si="263"/>
        <v>August</v>
      </c>
      <c r="C5448" s="46" t="s">
        <v>280</v>
      </c>
      <c r="F5448" s="366" t="s">
        <v>2824</v>
      </c>
      <c r="G5448" s="46" t="s">
        <v>18</v>
      </c>
      <c r="H5448" s="46">
        <v>1</v>
      </c>
      <c r="I5448" s="51">
        <v>5367.65</v>
      </c>
      <c r="J5448" s="281">
        <f>++Tabla4[[#This Row],[Precio Bruto]]*1.16</f>
        <v>6226.4739999999993</v>
      </c>
      <c r="K5448" s="281">
        <f>+Tabla4[[#This Row],[Precio Unitario Neto]]*Tabla4[[#Headers],[20.85%]]</f>
        <v>1298.2198289999999</v>
      </c>
      <c r="L5448" s="282">
        <f>++Tabla4[[#This Row],[Precio Unitario Neto]]-Tabla4[[#This Row],[20.85%]]</f>
        <v>4928.2541709999996</v>
      </c>
      <c r="M5448" s="282" t="e">
        <f>(INDEX(Tabla6[#All],MATCH(Tabla4[[#This Row],[Producto]],Tabla6[[#All],[PRODUCTO]],0),MATCH(Tabla4[[#This Row],[Mes]],Tabla6[#Headers],0)))*(1+Catalogos!$L$2)</f>
        <v>#N/A</v>
      </c>
      <c r="N5448" s="283" t="e">
        <f>+(Tabla4[[#This Row],[Precio Descontado]]-Tabla4[[#This Row],[Precio Base]])*Tabla4[[#This Row],[Cantidad]]</f>
        <v>#N/A</v>
      </c>
      <c r="O5448" s="284" t="e">
        <f>++Tabla4[[#This Row],[Utilidad Total]]/Tabla4[[#This Row],[Total]]</f>
        <v>#N/A</v>
      </c>
      <c r="P5448" s="282">
        <f>++Tabla4[[#This Row],[Precio Descontado]]*Tabla4[[#This Row],[Cantidad]]</f>
        <v>4928.2541709999996</v>
      </c>
      <c r="Q5448" s="282" t="e">
        <f>(INDEX(Tabla6[#All],MATCH(Tabla4[[#This Row],[Producto]],Tabla6[[#All],[PRODUCTO]],0),MATCH(Tabla4[[#This Row],[Mes]],Tabla6[#Headers],0)))</f>
        <v>#N/A</v>
      </c>
      <c r="R5448" s="282" t="e">
        <f>++Tabla4[[#This Row],[Precio Unitario Neto]]-Tabla4[[#This Row],[20.85%]]-Tabla4[[#This Row],[Costo]]</f>
        <v>#N/A</v>
      </c>
      <c r="S5448" s="282" t="e">
        <f>++Tabla4[[#This Row],[U. Bruta Uni]]*Tabla4[[#This Row],[Cantidad]]</f>
        <v>#N/A</v>
      </c>
      <c r="T5448" s="369" t="str">
        <f>VLOOKUP(Tabla4[[#This Row],[Producto]],Tabla6[#All],14,FALSE)</f>
        <v>Termico Solar</v>
      </c>
      <c r="U5448" s="284" t="e">
        <f>(IF(Tabla4[[#This Row],[Familia]]="termico solar",Tabla4[[#This Row],[Utilidad Total]]*6%,Tabla4[[#This Row],[Utilidad Total]]*11.5%))/Tabla4[[#This Row],[Total]]</f>
        <v>#N/A</v>
      </c>
      <c r="V5448" s="282" t="e">
        <f>+Tabla4[[#This Row],[Comisión Calculada]]*Tabla4[[#This Row],[Total]]</f>
        <v>#N/A</v>
      </c>
    </row>
    <row r="5449" spans="1:22" hidden="1" x14ac:dyDescent="0.25">
      <c r="A5449" s="100">
        <v>45900</v>
      </c>
      <c r="B5449" t="str">
        <f t="shared" si="263"/>
        <v>August</v>
      </c>
      <c r="C5449" s="46" t="s">
        <v>280</v>
      </c>
      <c r="F5449" s="366" t="s">
        <v>2824</v>
      </c>
      <c r="G5449" s="46" t="s">
        <v>16</v>
      </c>
      <c r="H5449" s="46">
        <v>1</v>
      </c>
      <c r="I5449" s="51">
        <v>4103.8500000000004</v>
      </c>
      <c r="J5449" s="281">
        <f>++Tabla4[[#This Row],[Precio Bruto]]*1.16</f>
        <v>4760.4660000000003</v>
      </c>
      <c r="K5449" s="281">
        <f>+Tabla4[[#This Row],[Precio Unitario Neto]]*Tabla4[[#Headers],[20.85%]]</f>
        <v>992.55716100000006</v>
      </c>
      <c r="L5449" s="282">
        <f>++Tabla4[[#This Row],[Precio Unitario Neto]]-Tabla4[[#This Row],[20.85%]]</f>
        <v>3767.9088390000002</v>
      </c>
      <c r="M5449" s="282" t="e">
        <f>(INDEX(Tabla6[#All],MATCH(Tabla4[[#This Row],[Producto]],Tabla6[[#All],[PRODUCTO]],0),MATCH(Tabla4[[#This Row],[Mes]],Tabla6[#Headers],0)))*(1+Catalogos!$L$2)</f>
        <v>#N/A</v>
      </c>
      <c r="N5449" s="283" t="e">
        <f>+(Tabla4[[#This Row],[Precio Descontado]]-Tabla4[[#This Row],[Precio Base]])*Tabla4[[#This Row],[Cantidad]]</f>
        <v>#N/A</v>
      </c>
      <c r="O5449" s="284" t="e">
        <f>++Tabla4[[#This Row],[Utilidad Total]]/Tabla4[[#This Row],[Total]]</f>
        <v>#N/A</v>
      </c>
      <c r="P5449" s="282">
        <f>++Tabla4[[#This Row],[Precio Descontado]]*Tabla4[[#This Row],[Cantidad]]</f>
        <v>3767.9088390000002</v>
      </c>
      <c r="Q5449" s="282" t="e">
        <f>(INDEX(Tabla6[#All],MATCH(Tabla4[[#This Row],[Producto]],Tabla6[[#All],[PRODUCTO]],0),MATCH(Tabla4[[#This Row],[Mes]],Tabla6[#Headers],0)))</f>
        <v>#N/A</v>
      </c>
      <c r="R5449" s="282" t="e">
        <f>++Tabla4[[#This Row],[Precio Unitario Neto]]-Tabla4[[#This Row],[20.85%]]-Tabla4[[#This Row],[Costo]]</f>
        <v>#N/A</v>
      </c>
      <c r="S5449" s="282" t="e">
        <f>++Tabla4[[#This Row],[U. Bruta Uni]]*Tabla4[[#This Row],[Cantidad]]</f>
        <v>#N/A</v>
      </c>
      <c r="T5449" s="369" t="str">
        <f>VLOOKUP(Tabla4[[#This Row],[Producto]],Tabla6[#All],14,FALSE)</f>
        <v>Termico Solar</v>
      </c>
      <c r="U5449" s="284" t="e">
        <f>(IF(Tabla4[[#This Row],[Familia]]="termico solar",Tabla4[[#This Row],[Utilidad Total]]*6%,Tabla4[[#This Row],[Utilidad Total]]*11.5%))/Tabla4[[#This Row],[Total]]</f>
        <v>#N/A</v>
      </c>
      <c r="V5449" s="282" t="e">
        <f>+Tabla4[[#This Row],[Comisión Calculada]]*Tabla4[[#This Row],[Total]]</f>
        <v>#N/A</v>
      </c>
    </row>
    <row r="5450" spans="1:22" hidden="1" x14ac:dyDescent="0.25">
      <c r="A5450" s="100">
        <v>45900</v>
      </c>
      <c r="B5450" t="str">
        <f t="shared" si="263"/>
        <v>August</v>
      </c>
      <c r="C5450" s="46" t="s">
        <v>280</v>
      </c>
      <c r="F5450" s="366" t="s">
        <v>2825</v>
      </c>
      <c r="G5450" s="46" t="s">
        <v>83</v>
      </c>
      <c r="H5450" s="46">
        <v>2</v>
      </c>
      <c r="I5450" s="51">
        <v>8858.76</v>
      </c>
      <c r="J5450" s="281">
        <f>++Tabla4[[#This Row],[Precio Bruto]]*1.16</f>
        <v>10276.161599999999</v>
      </c>
      <c r="K5450" s="281">
        <f>+Tabla4[[#This Row],[Precio Unitario Neto]]*Tabla4[[#Headers],[20.85%]]</f>
        <v>2142.5796935999997</v>
      </c>
      <c r="L5450" s="282">
        <f>++Tabla4[[#This Row],[Precio Unitario Neto]]-Tabla4[[#This Row],[20.85%]]</f>
        <v>8133.5819063999998</v>
      </c>
      <c r="M5450" s="282" t="e">
        <f>(INDEX(Tabla6[#All],MATCH(Tabla4[[#This Row],[Producto]],Tabla6[[#All],[PRODUCTO]],0),MATCH(Tabla4[[#This Row],[Mes]],Tabla6[#Headers],0)))*(1+Catalogos!$L$2)</f>
        <v>#N/A</v>
      </c>
      <c r="N5450" s="283" t="e">
        <f>+(Tabla4[[#This Row],[Precio Descontado]]-Tabla4[[#This Row],[Precio Base]])*Tabla4[[#This Row],[Cantidad]]</f>
        <v>#N/A</v>
      </c>
      <c r="O5450" s="284" t="e">
        <f>++Tabla4[[#This Row],[Utilidad Total]]/Tabla4[[#This Row],[Total]]</f>
        <v>#N/A</v>
      </c>
      <c r="P5450" s="282">
        <f>++Tabla4[[#This Row],[Precio Descontado]]*Tabla4[[#This Row],[Cantidad]]</f>
        <v>16267.1638128</v>
      </c>
      <c r="Q5450" s="282" t="e">
        <f>(INDEX(Tabla6[#All],MATCH(Tabla4[[#This Row],[Producto]],Tabla6[[#All],[PRODUCTO]],0),MATCH(Tabla4[[#This Row],[Mes]],Tabla6[#Headers],0)))</f>
        <v>#N/A</v>
      </c>
      <c r="R5450" s="282" t="e">
        <f>++Tabla4[[#This Row],[Precio Unitario Neto]]-Tabla4[[#This Row],[20.85%]]-Tabla4[[#This Row],[Costo]]</f>
        <v>#N/A</v>
      </c>
      <c r="S5450" s="282" t="e">
        <f>++Tabla4[[#This Row],[U. Bruta Uni]]*Tabla4[[#This Row],[Cantidad]]</f>
        <v>#N/A</v>
      </c>
      <c r="T5450" s="369" t="str">
        <f>VLOOKUP(Tabla4[[#This Row],[Producto]],Tabla6[#All],14,FALSE)</f>
        <v>Termico Solar</v>
      </c>
      <c r="U5450" s="284" t="e">
        <f>(IF(Tabla4[[#This Row],[Familia]]="termico solar",Tabla4[[#This Row],[Utilidad Total]]*6%,Tabla4[[#This Row],[Utilidad Total]]*11.5%))/Tabla4[[#This Row],[Total]]</f>
        <v>#N/A</v>
      </c>
      <c r="V5450" s="282" t="e">
        <f>+Tabla4[[#This Row],[Comisión Calculada]]*Tabla4[[#This Row],[Total]]</f>
        <v>#N/A</v>
      </c>
    </row>
    <row r="5451" spans="1:22" hidden="1" x14ac:dyDescent="0.25">
      <c r="A5451" s="100">
        <v>45900</v>
      </c>
      <c r="B5451" t="str">
        <f t="shared" si="263"/>
        <v>August</v>
      </c>
      <c r="C5451" s="46" t="s">
        <v>280</v>
      </c>
      <c r="F5451" s="366" t="s">
        <v>2825</v>
      </c>
      <c r="G5451" s="46" t="s">
        <v>18</v>
      </c>
      <c r="H5451" s="46">
        <v>2</v>
      </c>
      <c r="I5451" s="51">
        <v>5367.65</v>
      </c>
      <c r="J5451" s="281">
        <f>++Tabla4[[#This Row],[Precio Bruto]]*1.16</f>
        <v>6226.4739999999993</v>
      </c>
      <c r="K5451" s="281">
        <f>+Tabla4[[#This Row],[Precio Unitario Neto]]*Tabla4[[#Headers],[20.85%]]</f>
        <v>1298.2198289999999</v>
      </c>
      <c r="L5451" s="282">
        <f>++Tabla4[[#This Row],[Precio Unitario Neto]]-Tabla4[[#This Row],[20.85%]]</f>
        <v>4928.2541709999996</v>
      </c>
      <c r="M5451" s="282" t="e">
        <f>(INDEX(Tabla6[#All],MATCH(Tabla4[[#This Row],[Producto]],Tabla6[[#All],[PRODUCTO]],0),MATCH(Tabla4[[#This Row],[Mes]],Tabla6[#Headers],0)))*(1+Catalogos!$L$2)</f>
        <v>#N/A</v>
      </c>
      <c r="N5451" s="283" t="e">
        <f>+(Tabla4[[#This Row],[Precio Descontado]]-Tabla4[[#This Row],[Precio Base]])*Tabla4[[#This Row],[Cantidad]]</f>
        <v>#N/A</v>
      </c>
      <c r="O5451" s="284" t="e">
        <f>++Tabla4[[#This Row],[Utilidad Total]]/Tabla4[[#This Row],[Total]]</f>
        <v>#N/A</v>
      </c>
      <c r="P5451" s="282">
        <f>++Tabla4[[#This Row],[Precio Descontado]]*Tabla4[[#This Row],[Cantidad]]</f>
        <v>9856.5083419999992</v>
      </c>
      <c r="Q5451" s="282" t="e">
        <f>(INDEX(Tabla6[#All],MATCH(Tabla4[[#This Row],[Producto]],Tabla6[[#All],[PRODUCTO]],0),MATCH(Tabla4[[#This Row],[Mes]],Tabla6[#Headers],0)))</f>
        <v>#N/A</v>
      </c>
      <c r="R5451" s="282" t="e">
        <f>++Tabla4[[#This Row],[Precio Unitario Neto]]-Tabla4[[#This Row],[20.85%]]-Tabla4[[#This Row],[Costo]]</f>
        <v>#N/A</v>
      </c>
      <c r="S5451" s="282" t="e">
        <f>++Tabla4[[#This Row],[U. Bruta Uni]]*Tabla4[[#This Row],[Cantidad]]</f>
        <v>#N/A</v>
      </c>
      <c r="T5451" s="369" t="str">
        <f>VLOOKUP(Tabla4[[#This Row],[Producto]],Tabla6[#All],14,FALSE)</f>
        <v>Termico Solar</v>
      </c>
      <c r="U5451" s="284" t="e">
        <f>(IF(Tabla4[[#This Row],[Familia]]="termico solar",Tabla4[[#This Row],[Utilidad Total]]*6%,Tabla4[[#This Row],[Utilidad Total]]*11.5%))/Tabla4[[#This Row],[Total]]</f>
        <v>#N/A</v>
      </c>
      <c r="V5451" s="282" t="e">
        <f>+Tabla4[[#This Row],[Comisión Calculada]]*Tabla4[[#This Row],[Total]]</f>
        <v>#N/A</v>
      </c>
    </row>
    <row r="5452" spans="1:22" hidden="1" x14ac:dyDescent="0.25">
      <c r="A5452" s="100">
        <v>45900</v>
      </c>
      <c r="B5452" t="str">
        <f t="shared" si="263"/>
        <v>August</v>
      </c>
      <c r="C5452" s="46" t="s">
        <v>280</v>
      </c>
      <c r="F5452" s="366" t="s">
        <v>2826</v>
      </c>
      <c r="G5452" s="46" t="s">
        <v>83</v>
      </c>
      <c r="H5452" s="46">
        <v>1</v>
      </c>
      <c r="I5452" s="51">
        <v>8858.76</v>
      </c>
      <c r="J5452" s="281">
        <f>++Tabla4[[#This Row],[Precio Bruto]]*1.16</f>
        <v>10276.161599999999</v>
      </c>
      <c r="K5452" s="281">
        <f>+Tabla4[[#This Row],[Precio Unitario Neto]]*Tabla4[[#Headers],[20.85%]]</f>
        <v>2142.5796935999997</v>
      </c>
      <c r="L5452" s="282">
        <f>++Tabla4[[#This Row],[Precio Unitario Neto]]-Tabla4[[#This Row],[20.85%]]</f>
        <v>8133.5819063999998</v>
      </c>
      <c r="M5452" s="282" t="e">
        <f>(INDEX(Tabla6[#All],MATCH(Tabla4[[#This Row],[Producto]],Tabla6[[#All],[PRODUCTO]],0),MATCH(Tabla4[[#This Row],[Mes]],Tabla6[#Headers],0)))*(1+Catalogos!$L$2)</f>
        <v>#N/A</v>
      </c>
      <c r="N5452" s="283" t="e">
        <f>+(Tabla4[[#This Row],[Precio Descontado]]-Tabla4[[#This Row],[Precio Base]])*Tabla4[[#This Row],[Cantidad]]</f>
        <v>#N/A</v>
      </c>
      <c r="O5452" s="284" t="e">
        <f>++Tabla4[[#This Row],[Utilidad Total]]/Tabla4[[#This Row],[Total]]</f>
        <v>#N/A</v>
      </c>
      <c r="P5452" s="282">
        <f>++Tabla4[[#This Row],[Precio Descontado]]*Tabla4[[#This Row],[Cantidad]]</f>
        <v>8133.5819063999998</v>
      </c>
      <c r="Q5452" s="282" t="e">
        <f>(INDEX(Tabla6[#All],MATCH(Tabla4[[#This Row],[Producto]],Tabla6[[#All],[PRODUCTO]],0),MATCH(Tabla4[[#This Row],[Mes]],Tabla6[#Headers],0)))</f>
        <v>#N/A</v>
      </c>
      <c r="R5452" s="282" t="e">
        <f>++Tabla4[[#This Row],[Precio Unitario Neto]]-Tabla4[[#This Row],[20.85%]]-Tabla4[[#This Row],[Costo]]</f>
        <v>#N/A</v>
      </c>
      <c r="S5452" s="282" t="e">
        <f>++Tabla4[[#This Row],[U. Bruta Uni]]*Tabla4[[#This Row],[Cantidad]]</f>
        <v>#N/A</v>
      </c>
      <c r="T5452" s="369" t="str">
        <f>VLOOKUP(Tabla4[[#This Row],[Producto]],Tabla6[#All],14,FALSE)</f>
        <v>Termico Solar</v>
      </c>
      <c r="U5452" s="284" t="e">
        <f>(IF(Tabla4[[#This Row],[Familia]]="termico solar",Tabla4[[#This Row],[Utilidad Total]]*6%,Tabla4[[#This Row],[Utilidad Total]]*11.5%))/Tabla4[[#This Row],[Total]]</f>
        <v>#N/A</v>
      </c>
      <c r="V5452" s="282" t="e">
        <f>+Tabla4[[#This Row],[Comisión Calculada]]*Tabla4[[#This Row],[Total]]</f>
        <v>#N/A</v>
      </c>
    </row>
    <row r="5453" spans="1:22" hidden="1" x14ac:dyDescent="0.25">
      <c r="A5453" s="100">
        <v>45900</v>
      </c>
      <c r="B5453" t="str">
        <f t="shared" si="263"/>
        <v>August</v>
      </c>
      <c r="C5453" s="46" t="s">
        <v>280</v>
      </c>
      <c r="F5453" s="366" t="s">
        <v>2826</v>
      </c>
      <c r="G5453" s="46" t="s">
        <v>17</v>
      </c>
      <c r="H5453" s="46">
        <v>1</v>
      </c>
      <c r="I5453" s="51">
        <v>4622.28</v>
      </c>
      <c r="J5453" s="281">
        <f>++Tabla4[[#This Row],[Precio Bruto]]*1.16</f>
        <v>5361.8447999999989</v>
      </c>
      <c r="K5453" s="281">
        <f>+Tabla4[[#This Row],[Precio Unitario Neto]]*Tabla4[[#Headers],[20.85%]]</f>
        <v>1117.9446407999997</v>
      </c>
      <c r="L5453" s="282">
        <f>++Tabla4[[#This Row],[Precio Unitario Neto]]-Tabla4[[#This Row],[20.85%]]</f>
        <v>4243.9001591999995</v>
      </c>
      <c r="M5453" s="282" t="e">
        <f>(INDEX(Tabla6[#All],MATCH(Tabla4[[#This Row],[Producto]],Tabla6[[#All],[PRODUCTO]],0),MATCH(Tabla4[[#This Row],[Mes]],Tabla6[#Headers],0)))*(1+Catalogos!$L$2)</f>
        <v>#N/A</v>
      </c>
      <c r="N5453" s="283" t="e">
        <f>+(Tabla4[[#This Row],[Precio Descontado]]-Tabla4[[#This Row],[Precio Base]])*Tabla4[[#This Row],[Cantidad]]</f>
        <v>#N/A</v>
      </c>
      <c r="O5453" s="284" t="e">
        <f>++Tabla4[[#This Row],[Utilidad Total]]/Tabla4[[#This Row],[Total]]</f>
        <v>#N/A</v>
      </c>
      <c r="P5453" s="282">
        <f>++Tabla4[[#This Row],[Precio Descontado]]*Tabla4[[#This Row],[Cantidad]]</f>
        <v>4243.9001591999995</v>
      </c>
      <c r="Q5453" s="282" t="e">
        <f>(INDEX(Tabla6[#All],MATCH(Tabla4[[#This Row],[Producto]],Tabla6[[#All],[PRODUCTO]],0),MATCH(Tabla4[[#This Row],[Mes]],Tabla6[#Headers],0)))</f>
        <v>#N/A</v>
      </c>
      <c r="R5453" s="282" t="e">
        <f>++Tabla4[[#This Row],[Precio Unitario Neto]]-Tabla4[[#This Row],[20.85%]]-Tabla4[[#This Row],[Costo]]</f>
        <v>#N/A</v>
      </c>
      <c r="S5453" s="282" t="e">
        <f>++Tabla4[[#This Row],[U. Bruta Uni]]*Tabla4[[#This Row],[Cantidad]]</f>
        <v>#N/A</v>
      </c>
      <c r="T5453" s="369" t="str">
        <f>VLOOKUP(Tabla4[[#This Row],[Producto]],Tabla6[#All],14,FALSE)</f>
        <v>Termico Solar</v>
      </c>
      <c r="U5453" s="284" t="e">
        <f>(IF(Tabla4[[#This Row],[Familia]]="termico solar",Tabla4[[#This Row],[Utilidad Total]]*6%,Tabla4[[#This Row],[Utilidad Total]]*11.5%))/Tabla4[[#This Row],[Total]]</f>
        <v>#N/A</v>
      </c>
      <c r="V5453" s="282" t="e">
        <f>+Tabla4[[#This Row],[Comisión Calculada]]*Tabla4[[#This Row],[Total]]</f>
        <v>#N/A</v>
      </c>
    </row>
    <row r="5454" spans="1:22" hidden="1" x14ac:dyDescent="0.25">
      <c r="A5454" s="100">
        <v>45900</v>
      </c>
      <c r="B5454" t="str">
        <f t="shared" si="263"/>
        <v>August</v>
      </c>
      <c r="C5454" s="46" t="s">
        <v>280</v>
      </c>
      <c r="F5454" s="366" t="s">
        <v>2826</v>
      </c>
      <c r="G5454" s="46" t="s">
        <v>208</v>
      </c>
      <c r="H5454" s="46">
        <v>2</v>
      </c>
      <c r="I5454" s="51">
        <v>189.75</v>
      </c>
      <c r="J5454" s="281">
        <f>++Tabla4[[#This Row],[Precio Bruto]]*1.16</f>
        <v>220.10999999999999</v>
      </c>
      <c r="K5454" s="281">
        <f>+Tabla4[[#This Row],[Precio Unitario Neto]]*Tabla4[[#Headers],[20.85%]]</f>
        <v>45.892934999999994</v>
      </c>
      <c r="L5454" s="282">
        <f>++Tabla4[[#This Row],[Precio Unitario Neto]]-Tabla4[[#This Row],[20.85%]]</f>
        <v>174.21706499999999</v>
      </c>
      <c r="M5454" s="282" t="e">
        <f>(INDEX(Tabla6[#All],MATCH(Tabla4[[#This Row],[Producto]],Tabla6[[#All],[PRODUCTO]],0),MATCH(Tabla4[[#This Row],[Mes]],Tabla6[#Headers],0)))*(1+Catalogos!$L$2)</f>
        <v>#N/A</v>
      </c>
      <c r="N5454" s="283" t="e">
        <f>+(Tabla4[[#This Row],[Precio Descontado]]-Tabla4[[#This Row],[Precio Base]])*Tabla4[[#This Row],[Cantidad]]</f>
        <v>#N/A</v>
      </c>
      <c r="O5454" s="284" t="e">
        <f>++Tabla4[[#This Row],[Utilidad Total]]/Tabla4[[#This Row],[Total]]</f>
        <v>#N/A</v>
      </c>
      <c r="P5454" s="282">
        <f>++Tabla4[[#This Row],[Precio Descontado]]*Tabla4[[#This Row],[Cantidad]]</f>
        <v>348.43412999999998</v>
      </c>
      <c r="Q5454" s="282" t="e">
        <f>(INDEX(Tabla6[#All],MATCH(Tabla4[[#This Row],[Producto]],Tabla6[[#All],[PRODUCTO]],0),MATCH(Tabla4[[#This Row],[Mes]],Tabla6[#Headers],0)))</f>
        <v>#N/A</v>
      </c>
      <c r="R5454" s="282" t="e">
        <f>++Tabla4[[#This Row],[Precio Unitario Neto]]-Tabla4[[#This Row],[20.85%]]-Tabla4[[#This Row],[Costo]]</f>
        <v>#N/A</v>
      </c>
      <c r="S5454" s="282" t="e">
        <f>++Tabla4[[#This Row],[U. Bruta Uni]]*Tabla4[[#This Row],[Cantidad]]</f>
        <v>#N/A</v>
      </c>
      <c r="T5454" s="369" t="str">
        <f>VLOOKUP(Tabla4[[#This Row],[Producto]],Tabla6[#All],14,FALSE)</f>
        <v>Termico Solar</v>
      </c>
      <c r="U5454" s="284" t="e">
        <f>(IF(Tabla4[[#This Row],[Familia]]="termico solar",Tabla4[[#This Row],[Utilidad Total]]*6%,Tabla4[[#This Row],[Utilidad Total]]*11.5%))/Tabla4[[#This Row],[Total]]</f>
        <v>#N/A</v>
      </c>
      <c r="V5454" s="282" t="e">
        <f>+Tabla4[[#This Row],[Comisión Calculada]]*Tabla4[[#This Row],[Total]]</f>
        <v>#N/A</v>
      </c>
    </row>
    <row r="5455" spans="1:22" hidden="1" x14ac:dyDescent="0.25">
      <c r="A5455" s="100">
        <v>45900</v>
      </c>
      <c r="B5455" t="str">
        <f t="shared" si="263"/>
        <v>August</v>
      </c>
      <c r="C5455" s="46" t="s">
        <v>280</v>
      </c>
      <c r="F5455" s="366" t="s">
        <v>2827</v>
      </c>
      <c r="G5455" s="46" t="s">
        <v>83</v>
      </c>
      <c r="H5455" s="46">
        <v>2</v>
      </c>
      <c r="I5455" s="51">
        <v>8858.76</v>
      </c>
      <c r="J5455" s="281">
        <f>++Tabla4[[#This Row],[Precio Bruto]]*1.16</f>
        <v>10276.161599999999</v>
      </c>
      <c r="K5455" s="281">
        <f>+Tabla4[[#This Row],[Precio Unitario Neto]]*Tabla4[[#Headers],[20.85%]]</f>
        <v>2142.5796935999997</v>
      </c>
      <c r="L5455" s="282">
        <f>++Tabla4[[#This Row],[Precio Unitario Neto]]-Tabla4[[#This Row],[20.85%]]</f>
        <v>8133.5819063999998</v>
      </c>
      <c r="M5455" s="282" t="e">
        <f>(INDEX(Tabla6[#All],MATCH(Tabla4[[#This Row],[Producto]],Tabla6[[#All],[PRODUCTO]],0),MATCH(Tabla4[[#This Row],[Mes]],Tabla6[#Headers],0)))*(1+Catalogos!$L$2)</f>
        <v>#N/A</v>
      </c>
      <c r="N5455" s="283" t="e">
        <f>+(Tabla4[[#This Row],[Precio Descontado]]-Tabla4[[#This Row],[Precio Base]])*Tabla4[[#This Row],[Cantidad]]</f>
        <v>#N/A</v>
      </c>
      <c r="O5455" s="284" t="e">
        <f>++Tabla4[[#This Row],[Utilidad Total]]/Tabla4[[#This Row],[Total]]</f>
        <v>#N/A</v>
      </c>
      <c r="P5455" s="282">
        <f>++Tabla4[[#This Row],[Precio Descontado]]*Tabla4[[#This Row],[Cantidad]]</f>
        <v>16267.1638128</v>
      </c>
      <c r="Q5455" s="282" t="e">
        <f>(INDEX(Tabla6[#All],MATCH(Tabla4[[#This Row],[Producto]],Tabla6[[#All],[PRODUCTO]],0),MATCH(Tabla4[[#This Row],[Mes]],Tabla6[#Headers],0)))</f>
        <v>#N/A</v>
      </c>
      <c r="R5455" s="282" t="e">
        <f>++Tabla4[[#This Row],[Precio Unitario Neto]]-Tabla4[[#This Row],[20.85%]]-Tabla4[[#This Row],[Costo]]</f>
        <v>#N/A</v>
      </c>
      <c r="S5455" s="282" t="e">
        <f>++Tabla4[[#This Row],[U. Bruta Uni]]*Tabla4[[#This Row],[Cantidad]]</f>
        <v>#N/A</v>
      </c>
      <c r="T5455" s="369" t="str">
        <f>VLOOKUP(Tabla4[[#This Row],[Producto]],Tabla6[#All],14,FALSE)</f>
        <v>Termico Solar</v>
      </c>
      <c r="U5455" s="284" t="e">
        <f>(IF(Tabla4[[#This Row],[Familia]]="termico solar",Tabla4[[#This Row],[Utilidad Total]]*6%,Tabla4[[#This Row],[Utilidad Total]]*11.5%))/Tabla4[[#This Row],[Total]]</f>
        <v>#N/A</v>
      </c>
      <c r="V5455" s="282" t="e">
        <f>+Tabla4[[#This Row],[Comisión Calculada]]*Tabla4[[#This Row],[Total]]</f>
        <v>#N/A</v>
      </c>
    </row>
    <row r="5456" spans="1:22" hidden="1" x14ac:dyDescent="0.25">
      <c r="A5456" s="100">
        <v>45900</v>
      </c>
      <c r="B5456" t="str">
        <f t="shared" ref="B5456:B5468" si="264">TEXT(A5456, "mmmm")</f>
        <v>August</v>
      </c>
      <c r="C5456" s="46" t="s">
        <v>280</v>
      </c>
      <c r="F5456" s="366" t="s">
        <v>2827</v>
      </c>
      <c r="G5456" s="46" t="s">
        <v>17</v>
      </c>
      <c r="H5456" s="46">
        <v>1</v>
      </c>
      <c r="I5456" s="51">
        <v>4622.28</v>
      </c>
      <c r="J5456" s="281">
        <f>++Tabla4[[#This Row],[Precio Bruto]]*1.16</f>
        <v>5361.8447999999989</v>
      </c>
      <c r="K5456" s="281">
        <f>+Tabla4[[#This Row],[Precio Unitario Neto]]*Tabla4[[#Headers],[20.85%]]</f>
        <v>1117.9446407999997</v>
      </c>
      <c r="L5456" s="282">
        <f>++Tabla4[[#This Row],[Precio Unitario Neto]]-Tabla4[[#This Row],[20.85%]]</f>
        <v>4243.9001591999995</v>
      </c>
      <c r="M5456" s="282" t="e">
        <f>(INDEX(Tabla6[#All],MATCH(Tabla4[[#This Row],[Producto]],Tabla6[[#All],[PRODUCTO]],0),MATCH(Tabla4[[#This Row],[Mes]],Tabla6[#Headers],0)))*(1+Catalogos!$L$2)</f>
        <v>#N/A</v>
      </c>
      <c r="N5456" s="283" t="e">
        <f>+(Tabla4[[#This Row],[Precio Descontado]]-Tabla4[[#This Row],[Precio Base]])*Tabla4[[#This Row],[Cantidad]]</f>
        <v>#N/A</v>
      </c>
      <c r="O5456" s="284" t="e">
        <f>++Tabla4[[#This Row],[Utilidad Total]]/Tabla4[[#This Row],[Total]]</f>
        <v>#N/A</v>
      </c>
      <c r="P5456" s="282">
        <f>++Tabla4[[#This Row],[Precio Descontado]]*Tabla4[[#This Row],[Cantidad]]</f>
        <v>4243.9001591999995</v>
      </c>
      <c r="Q5456" s="282" t="e">
        <f>(INDEX(Tabla6[#All],MATCH(Tabla4[[#This Row],[Producto]],Tabla6[[#All],[PRODUCTO]],0),MATCH(Tabla4[[#This Row],[Mes]],Tabla6[#Headers],0)))</f>
        <v>#N/A</v>
      </c>
      <c r="R5456" s="282" t="e">
        <f>++Tabla4[[#This Row],[Precio Unitario Neto]]-Tabla4[[#This Row],[20.85%]]-Tabla4[[#This Row],[Costo]]</f>
        <v>#N/A</v>
      </c>
      <c r="S5456" s="282" t="e">
        <f>++Tabla4[[#This Row],[U. Bruta Uni]]*Tabla4[[#This Row],[Cantidad]]</f>
        <v>#N/A</v>
      </c>
      <c r="T5456" s="369" t="str">
        <f>VLOOKUP(Tabla4[[#This Row],[Producto]],Tabla6[#All],14,FALSE)</f>
        <v>Termico Solar</v>
      </c>
      <c r="U5456" s="284" t="e">
        <f>(IF(Tabla4[[#This Row],[Familia]]="termico solar",Tabla4[[#This Row],[Utilidad Total]]*6%,Tabla4[[#This Row],[Utilidad Total]]*11.5%))/Tabla4[[#This Row],[Total]]</f>
        <v>#N/A</v>
      </c>
      <c r="V5456" s="282" t="e">
        <f>+Tabla4[[#This Row],[Comisión Calculada]]*Tabla4[[#This Row],[Total]]</f>
        <v>#N/A</v>
      </c>
    </row>
    <row r="5457" spans="1:22" hidden="1" x14ac:dyDescent="0.25">
      <c r="A5457" s="100">
        <v>45900</v>
      </c>
      <c r="B5457" t="str">
        <f t="shared" si="264"/>
        <v>August</v>
      </c>
      <c r="C5457" s="46" t="s">
        <v>280</v>
      </c>
      <c r="F5457" s="366" t="s">
        <v>2827</v>
      </c>
      <c r="G5457" s="46" t="s">
        <v>18</v>
      </c>
      <c r="H5457" s="46">
        <v>1</v>
      </c>
      <c r="I5457" s="51">
        <v>5367.65</v>
      </c>
      <c r="J5457" s="281">
        <f>++Tabla4[[#This Row],[Precio Bruto]]*1.16</f>
        <v>6226.4739999999993</v>
      </c>
      <c r="K5457" s="281">
        <f>+Tabla4[[#This Row],[Precio Unitario Neto]]*Tabla4[[#Headers],[20.85%]]</f>
        <v>1298.2198289999999</v>
      </c>
      <c r="L5457" s="282">
        <f>++Tabla4[[#This Row],[Precio Unitario Neto]]-Tabla4[[#This Row],[20.85%]]</f>
        <v>4928.2541709999996</v>
      </c>
      <c r="M5457" s="282" t="e">
        <f>(INDEX(Tabla6[#All],MATCH(Tabla4[[#This Row],[Producto]],Tabla6[[#All],[PRODUCTO]],0),MATCH(Tabla4[[#This Row],[Mes]],Tabla6[#Headers],0)))*(1+Catalogos!$L$2)</f>
        <v>#N/A</v>
      </c>
      <c r="N5457" s="283" t="e">
        <f>+(Tabla4[[#This Row],[Precio Descontado]]-Tabla4[[#This Row],[Precio Base]])*Tabla4[[#This Row],[Cantidad]]</f>
        <v>#N/A</v>
      </c>
      <c r="O5457" s="284" t="e">
        <f>++Tabla4[[#This Row],[Utilidad Total]]/Tabla4[[#This Row],[Total]]</f>
        <v>#N/A</v>
      </c>
      <c r="P5457" s="282">
        <f>++Tabla4[[#This Row],[Precio Descontado]]*Tabla4[[#This Row],[Cantidad]]</f>
        <v>4928.2541709999996</v>
      </c>
      <c r="Q5457" s="282" t="e">
        <f>(INDEX(Tabla6[#All],MATCH(Tabla4[[#This Row],[Producto]],Tabla6[[#All],[PRODUCTO]],0),MATCH(Tabla4[[#This Row],[Mes]],Tabla6[#Headers],0)))</f>
        <v>#N/A</v>
      </c>
      <c r="R5457" s="282" t="e">
        <f>++Tabla4[[#This Row],[Precio Unitario Neto]]-Tabla4[[#This Row],[20.85%]]-Tabla4[[#This Row],[Costo]]</f>
        <v>#N/A</v>
      </c>
      <c r="S5457" s="282" t="e">
        <f>++Tabla4[[#This Row],[U. Bruta Uni]]*Tabla4[[#This Row],[Cantidad]]</f>
        <v>#N/A</v>
      </c>
      <c r="T5457" s="369" t="str">
        <f>VLOOKUP(Tabla4[[#This Row],[Producto]],Tabla6[#All],14,FALSE)</f>
        <v>Termico Solar</v>
      </c>
      <c r="U5457" s="284" t="e">
        <f>(IF(Tabla4[[#This Row],[Familia]]="termico solar",Tabla4[[#This Row],[Utilidad Total]]*6%,Tabla4[[#This Row],[Utilidad Total]]*11.5%))/Tabla4[[#This Row],[Total]]</f>
        <v>#N/A</v>
      </c>
      <c r="V5457" s="282" t="e">
        <f>+Tabla4[[#This Row],[Comisión Calculada]]*Tabla4[[#This Row],[Total]]</f>
        <v>#N/A</v>
      </c>
    </row>
    <row r="5458" spans="1:22" hidden="1" x14ac:dyDescent="0.25">
      <c r="A5458" s="100">
        <v>45900</v>
      </c>
      <c r="B5458" t="str">
        <f t="shared" si="264"/>
        <v>August</v>
      </c>
      <c r="C5458" s="46" t="s">
        <v>280</v>
      </c>
      <c r="F5458" s="366" t="s">
        <v>2828</v>
      </c>
      <c r="G5458" s="46" t="s">
        <v>83</v>
      </c>
      <c r="H5458" s="46">
        <v>1</v>
      </c>
      <c r="I5458" s="51">
        <v>8858.76</v>
      </c>
      <c r="J5458" s="281">
        <f>++Tabla4[[#This Row],[Precio Bruto]]*1.16</f>
        <v>10276.161599999999</v>
      </c>
      <c r="K5458" s="281">
        <f>+Tabla4[[#This Row],[Precio Unitario Neto]]*Tabla4[[#Headers],[20.85%]]</f>
        <v>2142.5796935999997</v>
      </c>
      <c r="L5458" s="282">
        <f>++Tabla4[[#This Row],[Precio Unitario Neto]]-Tabla4[[#This Row],[20.85%]]</f>
        <v>8133.5819063999998</v>
      </c>
      <c r="M5458" s="282" t="e">
        <f>(INDEX(Tabla6[#All],MATCH(Tabla4[[#This Row],[Producto]],Tabla6[[#All],[PRODUCTO]],0),MATCH(Tabla4[[#This Row],[Mes]],Tabla6[#Headers],0)))*(1+Catalogos!$L$2)</f>
        <v>#N/A</v>
      </c>
      <c r="N5458" s="283" t="e">
        <f>+(Tabla4[[#This Row],[Precio Descontado]]-Tabla4[[#This Row],[Precio Base]])*Tabla4[[#This Row],[Cantidad]]</f>
        <v>#N/A</v>
      </c>
      <c r="O5458" s="284" t="e">
        <f>++Tabla4[[#This Row],[Utilidad Total]]/Tabla4[[#This Row],[Total]]</f>
        <v>#N/A</v>
      </c>
      <c r="P5458" s="282">
        <f>++Tabla4[[#This Row],[Precio Descontado]]*Tabla4[[#This Row],[Cantidad]]</f>
        <v>8133.5819063999998</v>
      </c>
      <c r="Q5458" s="282" t="e">
        <f>(INDEX(Tabla6[#All],MATCH(Tabla4[[#This Row],[Producto]],Tabla6[[#All],[PRODUCTO]],0),MATCH(Tabla4[[#This Row],[Mes]],Tabla6[#Headers],0)))</f>
        <v>#N/A</v>
      </c>
      <c r="R5458" s="282" t="e">
        <f>++Tabla4[[#This Row],[Precio Unitario Neto]]-Tabla4[[#This Row],[20.85%]]-Tabla4[[#This Row],[Costo]]</f>
        <v>#N/A</v>
      </c>
      <c r="S5458" s="282" t="e">
        <f>++Tabla4[[#This Row],[U. Bruta Uni]]*Tabla4[[#This Row],[Cantidad]]</f>
        <v>#N/A</v>
      </c>
      <c r="T5458" s="369" t="str">
        <f>VLOOKUP(Tabla4[[#This Row],[Producto]],Tabla6[#All],14,FALSE)</f>
        <v>Termico Solar</v>
      </c>
      <c r="U5458" s="284" t="e">
        <f>(IF(Tabla4[[#This Row],[Familia]]="termico solar",Tabla4[[#This Row],[Utilidad Total]]*6%,Tabla4[[#This Row],[Utilidad Total]]*11.5%))/Tabla4[[#This Row],[Total]]</f>
        <v>#N/A</v>
      </c>
      <c r="V5458" s="282" t="e">
        <f>+Tabla4[[#This Row],[Comisión Calculada]]*Tabla4[[#This Row],[Total]]</f>
        <v>#N/A</v>
      </c>
    </row>
    <row r="5459" spans="1:22" hidden="1" x14ac:dyDescent="0.25">
      <c r="A5459" s="100">
        <v>45900</v>
      </c>
      <c r="B5459" t="str">
        <f t="shared" si="264"/>
        <v>August</v>
      </c>
      <c r="C5459" s="46" t="s">
        <v>280</v>
      </c>
      <c r="F5459" s="366" t="s">
        <v>2828</v>
      </c>
      <c r="G5459" s="46" t="s">
        <v>17</v>
      </c>
      <c r="H5459" s="46">
        <v>1</v>
      </c>
      <c r="I5459" s="51">
        <v>4622.28</v>
      </c>
      <c r="J5459" s="281">
        <f>++Tabla4[[#This Row],[Precio Bruto]]*1.16</f>
        <v>5361.8447999999989</v>
      </c>
      <c r="K5459" s="281">
        <f>+Tabla4[[#This Row],[Precio Unitario Neto]]*Tabla4[[#Headers],[20.85%]]</f>
        <v>1117.9446407999997</v>
      </c>
      <c r="L5459" s="282">
        <f>++Tabla4[[#This Row],[Precio Unitario Neto]]-Tabla4[[#This Row],[20.85%]]</f>
        <v>4243.9001591999995</v>
      </c>
      <c r="M5459" s="282" t="e">
        <f>(INDEX(Tabla6[#All],MATCH(Tabla4[[#This Row],[Producto]],Tabla6[[#All],[PRODUCTO]],0),MATCH(Tabla4[[#This Row],[Mes]],Tabla6[#Headers],0)))*(1+Catalogos!$L$2)</f>
        <v>#N/A</v>
      </c>
      <c r="N5459" s="283" t="e">
        <f>+(Tabla4[[#This Row],[Precio Descontado]]-Tabla4[[#This Row],[Precio Base]])*Tabla4[[#This Row],[Cantidad]]</f>
        <v>#N/A</v>
      </c>
      <c r="O5459" s="284" t="e">
        <f>++Tabla4[[#This Row],[Utilidad Total]]/Tabla4[[#This Row],[Total]]</f>
        <v>#N/A</v>
      </c>
      <c r="P5459" s="282">
        <f>++Tabla4[[#This Row],[Precio Descontado]]*Tabla4[[#This Row],[Cantidad]]</f>
        <v>4243.9001591999995</v>
      </c>
      <c r="Q5459" s="282" t="e">
        <f>(INDEX(Tabla6[#All],MATCH(Tabla4[[#This Row],[Producto]],Tabla6[[#All],[PRODUCTO]],0),MATCH(Tabla4[[#This Row],[Mes]],Tabla6[#Headers],0)))</f>
        <v>#N/A</v>
      </c>
      <c r="R5459" s="282" t="e">
        <f>++Tabla4[[#This Row],[Precio Unitario Neto]]-Tabla4[[#This Row],[20.85%]]-Tabla4[[#This Row],[Costo]]</f>
        <v>#N/A</v>
      </c>
      <c r="S5459" s="282" t="e">
        <f>++Tabla4[[#This Row],[U. Bruta Uni]]*Tabla4[[#This Row],[Cantidad]]</f>
        <v>#N/A</v>
      </c>
      <c r="T5459" s="369" t="str">
        <f>VLOOKUP(Tabla4[[#This Row],[Producto]],Tabla6[#All],14,FALSE)</f>
        <v>Termico Solar</v>
      </c>
      <c r="U5459" s="284" t="e">
        <f>(IF(Tabla4[[#This Row],[Familia]]="termico solar",Tabla4[[#This Row],[Utilidad Total]]*6%,Tabla4[[#This Row],[Utilidad Total]]*11.5%))/Tabla4[[#This Row],[Total]]</f>
        <v>#N/A</v>
      </c>
      <c r="V5459" s="282" t="e">
        <f>+Tabla4[[#This Row],[Comisión Calculada]]*Tabla4[[#This Row],[Total]]</f>
        <v>#N/A</v>
      </c>
    </row>
    <row r="5460" spans="1:22" hidden="1" x14ac:dyDescent="0.25">
      <c r="A5460" s="100">
        <v>45900</v>
      </c>
      <c r="B5460" t="str">
        <f t="shared" si="264"/>
        <v>August</v>
      </c>
      <c r="C5460" s="46" t="s">
        <v>280</v>
      </c>
      <c r="F5460" s="366" t="s">
        <v>2828</v>
      </c>
      <c r="G5460" s="46" t="s">
        <v>208</v>
      </c>
      <c r="H5460" s="46">
        <v>1</v>
      </c>
      <c r="I5460" s="51">
        <v>189.75</v>
      </c>
      <c r="J5460" s="281">
        <f>++Tabla4[[#This Row],[Precio Bruto]]*1.16</f>
        <v>220.10999999999999</v>
      </c>
      <c r="K5460" s="281">
        <f>+Tabla4[[#This Row],[Precio Unitario Neto]]*Tabla4[[#Headers],[20.85%]]</f>
        <v>45.892934999999994</v>
      </c>
      <c r="L5460" s="282">
        <f>++Tabla4[[#This Row],[Precio Unitario Neto]]-Tabla4[[#This Row],[20.85%]]</f>
        <v>174.21706499999999</v>
      </c>
      <c r="M5460" s="282" t="e">
        <f>(INDEX(Tabla6[#All],MATCH(Tabla4[[#This Row],[Producto]],Tabla6[[#All],[PRODUCTO]],0),MATCH(Tabla4[[#This Row],[Mes]],Tabla6[#Headers],0)))*(1+Catalogos!$L$2)</f>
        <v>#N/A</v>
      </c>
      <c r="N5460" s="283" t="e">
        <f>+(Tabla4[[#This Row],[Precio Descontado]]-Tabla4[[#This Row],[Precio Base]])*Tabla4[[#This Row],[Cantidad]]</f>
        <v>#N/A</v>
      </c>
      <c r="O5460" s="284" t="e">
        <f>++Tabla4[[#This Row],[Utilidad Total]]/Tabla4[[#This Row],[Total]]</f>
        <v>#N/A</v>
      </c>
      <c r="P5460" s="282">
        <f>++Tabla4[[#This Row],[Precio Descontado]]*Tabla4[[#This Row],[Cantidad]]</f>
        <v>174.21706499999999</v>
      </c>
      <c r="Q5460" s="282" t="e">
        <f>(INDEX(Tabla6[#All],MATCH(Tabla4[[#This Row],[Producto]],Tabla6[[#All],[PRODUCTO]],0),MATCH(Tabla4[[#This Row],[Mes]],Tabla6[#Headers],0)))</f>
        <v>#N/A</v>
      </c>
      <c r="R5460" s="282" t="e">
        <f>++Tabla4[[#This Row],[Precio Unitario Neto]]-Tabla4[[#This Row],[20.85%]]-Tabla4[[#This Row],[Costo]]</f>
        <v>#N/A</v>
      </c>
      <c r="S5460" s="282" t="e">
        <f>++Tabla4[[#This Row],[U. Bruta Uni]]*Tabla4[[#This Row],[Cantidad]]</f>
        <v>#N/A</v>
      </c>
      <c r="T5460" s="369" t="str">
        <f>VLOOKUP(Tabla4[[#This Row],[Producto]],Tabla6[#All],14,FALSE)</f>
        <v>Termico Solar</v>
      </c>
      <c r="U5460" s="284" t="e">
        <f>(IF(Tabla4[[#This Row],[Familia]]="termico solar",Tabla4[[#This Row],[Utilidad Total]]*6%,Tabla4[[#This Row],[Utilidad Total]]*11.5%))/Tabla4[[#This Row],[Total]]</f>
        <v>#N/A</v>
      </c>
      <c r="V5460" s="282" t="e">
        <f>+Tabla4[[#This Row],[Comisión Calculada]]*Tabla4[[#This Row],[Total]]</f>
        <v>#N/A</v>
      </c>
    </row>
    <row r="5461" spans="1:22" hidden="1" x14ac:dyDescent="0.25">
      <c r="A5461" s="100">
        <v>45900</v>
      </c>
      <c r="B5461" t="str">
        <f t="shared" si="264"/>
        <v>August</v>
      </c>
      <c r="C5461" s="46" t="s">
        <v>280</v>
      </c>
      <c r="F5461" s="366" t="s">
        <v>2829</v>
      </c>
      <c r="G5461" s="46" t="s">
        <v>16</v>
      </c>
      <c r="H5461" s="46">
        <v>1</v>
      </c>
      <c r="I5461" s="51">
        <v>4103.8500000000004</v>
      </c>
      <c r="J5461" s="281">
        <f>++Tabla4[[#This Row],[Precio Bruto]]*1.16</f>
        <v>4760.4660000000003</v>
      </c>
      <c r="K5461" s="281">
        <f>+Tabla4[[#This Row],[Precio Unitario Neto]]*Tabla4[[#Headers],[20.85%]]</f>
        <v>992.55716100000006</v>
      </c>
      <c r="L5461" s="282">
        <f>++Tabla4[[#This Row],[Precio Unitario Neto]]-Tabla4[[#This Row],[20.85%]]</f>
        <v>3767.9088390000002</v>
      </c>
      <c r="M5461" s="282" t="e">
        <f>(INDEX(Tabla6[#All],MATCH(Tabla4[[#This Row],[Producto]],Tabla6[[#All],[PRODUCTO]],0),MATCH(Tabla4[[#This Row],[Mes]],Tabla6[#Headers],0)))*(1+Catalogos!$L$2)</f>
        <v>#N/A</v>
      </c>
      <c r="N5461" s="283" t="e">
        <f>+(Tabla4[[#This Row],[Precio Descontado]]-Tabla4[[#This Row],[Precio Base]])*Tabla4[[#This Row],[Cantidad]]</f>
        <v>#N/A</v>
      </c>
      <c r="O5461" s="284" t="e">
        <f>++Tabla4[[#This Row],[Utilidad Total]]/Tabla4[[#This Row],[Total]]</f>
        <v>#N/A</v>
      </c>
      <c r="P5461" s="282">
        <f>++Tabla4[[#This Row],[Precio Descontado]]*Tabla4[[#This Row],[Cantidad]]</f>
        <v>3767.9088390000002</v>
      </c>
      <c r="Q5461" s="282" t="e">
        <f>(INDEX(Tabla6[#All],MATCH(Tabla4[[#This Row],[Producto]],Tabla6[[#All],[PRODUCTO]],0),MATCH(Tabla4[[#This Row],[Mes]],Tabla6[#Headers],0)))</f>
        <v>#N/A</v>
      </c>
      <c r="R5461" s="282" t="e">
        <f>++Tabla4[[#This Row],[Precio Unitario Neto]]-Tabla4[[#This Row],[20.85%]]-Tabla4[[#This Row],[Costo]]</f>
        <v>#N/A</v>
      </c>
      <c r="S5461" s="282" t="e">
        <f>++Tabla4[[#This Row],[U. Bruta Uni]]*Tabla4[[#This Row],[Cantidad]]</f>
        <v>#N/A</v>
      </c>
      <c r="T5461" s="369" t="str">
        <f>VLOOKUP(Tabla4[[#This Row],[Producto]],Tabla6[#All],14,FALSE)</f>
        <v>Termico Solar</v>
      </c>
      <c r="U5461" s="284" t="e">
        <f>(IF(Tabla4[[#This Row],[Familia]]="termico solar",Tabla4[[#This Row],[Utilidad Total]]*6%,Tabla4[[#This Row],[Utilidad Total]]*11.5%))/Tabla4[[#This Row],[Total]]</f>
        <v>#N/A</v>
      </c>
      <c r="V5461" s="282" t="e">
        <f>+Tabla4[[#This Row],[Comisión Calculada]]*Tabla4[[#This Row],[Total]]</f>
        <v>#N/A</v>
      </c>
    </row>
    <row r="5462" spans="1:22" hidden="1" x14ac:dyDescent="0.25">
      <c r="A5462" s="100">
        <v>45900</v>
      </c>
      <c r="B5462" t="str">
        <f t="shared" si="264"/>
        <v>August</v>
      </c>
      <c r="C5462" s="46" t="s">
        <v>280</v>
      </c>
      <c r="F5462" s="366" t="s">
        <v>2830</v>
      </c>
      <c r="G5462" s="46" t="s">
        <v>18</v>
      </c>
      <c r="H5462" s="46">
        <v>1</v>
      </c>
      <c r="I5462" s="51">
        <v>5367.65</v>
      </c>
      <c r="J5462" s="281">
        <f>++Tabla4[[#This Row],[Precio Bruto]]*1.16</f>
        <v>6226.4739999999993</v>
      </c>
      <c r="K5462" s="281">
        <f>+Tabla4[[#This Row],[Precio Unitario Neto]]*Tabla4[[#Headers],[20.85%]]</f>
        <v>1298.2198289999999</v>
      </c>
      <c r="L5462" s="282">
        <f>++Tabla4[[#This Row],[Precio Unitario Neto]]-Tabla4[[#This Row],[20.85%]]</f>
        <v>4928.2541709999996</v>
      </c>
      <c r="M5462" s="282" t="e">
        <f>(INDEX(Tabla6[#All],MATCH(Tabla4[[#This Row],[Producto]],Tabla6[[#All],[PRODUCTO]],0),MATCH(Tabla4[[#This Row],[Mes]],Tabla6[#Headers],0)))*(1+Catalogos!$L$2)</f>
        <v>#N/A</v>
      </c>
      <c r="N5462" s="283" t="e">
        <f>+(Tabla4[[#This Row],[Precio Descontado]]-Tabla4[[#This Row],[Precio Base]])*Tabla4[[#This Row],[Cantidad]]</f>
        <v>#N/A</v>
      </c>
      <c r="O5462" s="284" t="e">
        <f>++Tabla4[[#This Row],[Utilidad Total]]/Tabla4[[#This Row],[Total]]</f>
        <v>#N/A</v>
      </c>
      <c r="P5462" s="282">
        <f>++Tabla4[[#This Row],[Precio Descontado]]*Tabla4[[#This Row],[Cantidad]]</f>
        <v>4928.2541709999996</v>
      </c>
      <c r="Q5462" s="282" t="e">
        <f>(INDEX(Tabla6[#All],MATCH(Tabla4[[#This Row],[Producto]],Tabla6[[#All],[PRODUCTO]],0),MATCH(Tabla4[[#This Row],[Mes]],Tabla6[#Headers],0)))</f>
        <v>#N/A</v>
      </c>
      <c r="R5462" s="282" t="e">
        <f>++Tabla4[[#This Row],[Precio Unitario Neto]]-Tabla4[[#This Row],[20.85%]]-Tabla4[[#This Row],[Costo]]</f>
        <v>#N/A</v>
      </c>
      <c r="S5462" s="282" t="e">
        <f>++Tabla4[[#This Row],[U. Bruta Uni]]*Tabla4[[#This Row],[Cantidad]]</f>
        <v>#N/A</v>
      </c>
      <c r="T5462" s="369" t="str">
        <f>VLOOKUP(Tabla4[[#This Row],[Producto]],Tabla6[#All],14,FALSE)</f>
        <v>Termico Solar</v>
      </c>
      <c r="U5462" s="284" t="e">
        <f>(IF(Tabla4[[#This Row],[Familia]]="termico solar",Tabla4[[#This Row],[Utilidad Total]]*6%,Tabla4[[#This Row],[Utilidad Total]]*11.5%))/Tabla4[[#This Row],[Total]]</f>
        <v>#N/A</v>
      </c>
      <c r="V5462" s="282" t="e">
        <f>+Tabla4[[#This Row],[Comisión Calculada]]*Tabla4[[#This Row],[Total]]</f>
        <v>#N/A</v>
      </c>
    </row>
    <row r="5463" spans="1:22" hidden="1" x14ac:dyDescent="0.25">
      <c r="A5463" s="100">
        <v>45900</v>
      </c>
      <c r="B5463" t="str">
        <f t="shared" si="264"/>
        <v>August</v>
      </c>
      <c r="C5463" s="46" t="s">
        <v>280</v>
      </c>
      <c r="F5463" s="366" t="s">
        <v>2831</v>
      </c>
      <c r="G5463" s="46" t="s">
        <v>83</v>
      </c>
      <c r="H5463" s="46">
        <v>2</v>
      </c>
      <c r="I5463" s="51">
        <v>8858.76</v>
      </c>
      <c r="J5463" s="281">
        <f>++Tabla4[[#This Row],[Precio Bruto]]*1.16</f>
        <v>10276.161599999999</v>
      </c>
      <c r="K5463" s="281">
        <f>+Tabla4[[#This Row],[Precio Unitario Neto]]*Tabla4[[#Headers],[20.85%]]</f>
        <v>2142.5796935999997</v>
      </c>
      <c r="L5463" s="282">
        <f>++Tabla4[[#This Row],[Precio Unitario Neto]]-Tabla4[[#This Row],[20.85%]]</f>
        <v>8133.5819063999998</v>
      </c>
      <c r="M5463" s="282" t="e">
        <f>(INDEX(Tabla6[#All],MATCH(Tabla4[[#This Row],[Producto]],Tabla6[[#All],[PRODUCTO]],0),MATCH(Tabla4[[#This Row],[Mes]],Tabla6[#Headers],0)))*(1+Catalogos!$L$2)</f>
        <v>#N/A</v>
      </c>
      <c r="N5463" s="283" t="e">
        <f>+(Tabla4[[#This Row],[Precio Descontado]]-Tabla4[[#This Row],[Precio Base]])*Tabla4[[#This Row],[Cantidad]]</f>
        <v>#N/A</v>
      </c>
      <c r="O5463" s="284" t="e">
        <f>++Tabla4[[#This Row],[Utilidad Total]]/Tabla4[[#This Row],[Total]]</f>
        <v>#N/A</v>
      </c>
      <c r="P5463" s="282">
        <f>++Tabla4[[#This Row],[Precio Descontado]]*Tabla4[[#This Row],[Cantidad]]</f>
        <v>16267.1638128</v>
      </c>
      <c r="Q5463" s="282" t="e">
        <f>(INDEX(Tabla6[#All],MATCH(Tabla4[[#This Row],[Producto]],Tabla6[[#All],[PRODUCTO]],0),MATCH(Tabla4[[#This Row],[Mes]],Tabla6[#Headers],0)))</f>
        <v>#N/A</v>
      </c>
      <c r="R5463" s="282" t="e">
        <f>++Tabla4[[#This Row],[Precio Unitario Neto]]-Tabla4[[#This Row],[20.85%]]-Tabla4[[#This Row],[Costo]]</f>
        <v>#N/A</v>
      </c>
      <c r="S5463" s="282" t="e">
        <f>++Tabla4[[#This Row],[U. Bruta Uni]]*Tabla4[[#This Row],[Cantidad]]</f>
        <v>#N/A</v>
      </c>
      <c r="T5463" s="369" t="str">
        <f>VLOOKUP(Tabla4[[#This Row],[Producto]],Tabla6[#All],14,FALSE)</f>
        <v>Termico Solar</v>
      </c>
      <c r="U5463" s="284" t="e">
        <f>(IF(Tabla4[[#This Row],[Familia]]="termico solar",Tabla4[[#This Row],[Utilidad Total]]*6%,Tabla4[[#This Row],[Utilidad Total]]*11.5%))/Tabla4[[#This Row],[Total]]</f>
        <v>#N/A</v>
      </c>
      <c r="V5463" s="282" t="e">
        <f>+Tabla4[[#This Row],[Comisión Calculada]]*Tabla4[[#This Row],[Total]]</f>
        <v>#N/A</v>
      </c>
    </row>
    <row r="5464" spans="1:22" hidden="1" x14ac:dyDescent="0.25">
      <c r="A5464" s="100">
        <v>45900</v>
      </c>
      <c r="B5464" t="str">
        <f t="shared" si="264"/>
        <v>August</v>
      </c>
      <c r="C5464" s="46" t="s">
        <v>280</v>
      </c>
      <c r="F5464" s="366" t="s">
        <v>2831</v>
      </c>
      <c r="G5464" s="46" t="s">
        <v>17</v>
      </c>
      <c r="H5464" s="46">
        <v>1</v>
      </c>
      <c r="I5464" s="51">
        <v>4622.28</v>
      </c>
      <c r="J5464" s="281">
        <f>++Tabla4[[#This Row],[Precio Bruto]]*1.16</f>
        <v>5361.8447999999989</v>
      </c>
      <c r="K5464" s="281">
        <f>+Tabla4[[#This Row],[Precio Unitario Neto]]*Tabla4[[#Headers],[20.85%]]</f>
        <v>1117.9446407999997</v>
      </c>
      <c r="L5464" s="282">
        <f>++Tabla4[[#This Row],[Precio Unitario Neto]]-Tabla4[[#This Row],[20.85%]]</f>
        <v>4243.9001591999995</v>
      </c>
      <c r="M5464" s="282" t="e">
        <f>(INDEX(Tabla6[#All],MATCH(Tabla4[[#This Row],[Producto]],Tabla6[[#All],[PRODUCTO]],0),MATCH(Tabla4[[#This Row],[Mes]],Tabla6[#Headers],0)))*(1+Catalogos!$L$2)</f>
        <v>#N/A</v>
      </c>
      <c r="N5464" s="283" t="e">
        <f>+(Tabla4[[#This Row],[Precio Descontado]]-Tabla4[[#This Row],[Precio Base]])*Tabla4[[#This Row],[Cantidad]]</f>
        <v>#N/A</v>
      </c>
      <c r="O5464" s="284" t="e">
        <f>++Tabla4[[#This Row],[Utilidad Total]]/Tabla4[[#This Row],[Total]]</f>
        <v>#N/A</v>
      </c>
      <c r="P5464" s="282">
        <f>++Tabla4[[#This Row],[Precio Descontado]]*Tabla4[[#This Row],[Cantidad]]</f>
        <v>4243.9001591999995</v>
      </c>
      <c r="Q5464" s="282" t="e">
        <f>(INDEX(Tabla6[#All],MATCH(Tabla4[[#This Row],[Producto]],Tabla6[[#All],[PRODUCTO]],0),MATCH(Tabla4[[#This Row],[Mes]],Tabla6[#Headers],0)))</f>
        <v>#N/A</v>
      </c>
      <c r="R5464" s="282" t="e">
        <f>++Tabla4[[#This Row],[Precio Unitario Neto]]-Tabla4[[#This Row],[20.85%]]-Tabla4[[#This Row],[Costo]]</f>
        <v>#N/A</v>
      </c>
      <c r="S5464" s="282" t="e">
        <f>++Tabla4[[#This Row],[U. Bruta Uni]]*Tabla4[[#This Row],[Cantidad]]</f>
        <v>#N/A</v>
      </c>
      <c r="T5464" s="369" t="str">
        <f>VLOOKUP(Tabla4[[#This Row],[Producto]],Tabla6[#All],14,FALSE)</f>
        <v>Termico Solar</v>
      </c>
      <c r="U5464" s="284" t="e">
        <f>(IF(Tabla4[[#This Row],[Familia]]="termico solar",Tabla4[[#This Row],[Utilidad Total]]*6%,Tabla4[[#This Row],[Utilidad Total]]*11.5%))/Tabla4[[#This Row],[Total]]</f>
        <v>#N/A</v>
      </c>
      <c r="V5464" s="282" t="e">
        <f>+Tabla4[[#This Row],[Comisión Calculada]]*Tabla4[[#This Row],[Total]]</f>
        <v>#N/A</v>
      </c>
    </row>
    <row r="5465" spans="1:22" hidden="1" x14ac:dyDescent="0.25">
      <c r="A5465" s="100">
        <v>45900</v>
      </c>
      <c r="B5465" t="str">
        <f t="shared" si="264"/>
        <v>August</v>
      </c>
      <c r="C5465" s="46" t="s">
        <v>280</v>
      </c>
      <c r="F5465" s="366" t="s">
        <v>2831</v>
      </c>
      <c r="G5465" s="46" t="s">
        <v>208</v>
      </c>
      <c r="H5465" s="46">
        <v>2</v>
      </c>
      <c r="I5465" s="51">
        <v>189.75</v>
      </c>
      <c r="J5465" s="281">
        <f>++Tabla4[[#This Row],[Precio Bruto]]*1.16</f>
        <v>220.10999999999999</v>
      </c>
      <c r="K5465" s="281">
        <f>+Tabla4[[#This Row],[Precio Unitario Neto]]*Tabla4[[#Headers],[20.85%]]</f>
        <v>45.892934999999994</v>
      </c>
      <c r="L5465" s="282">
        <f>++Tabla4[[#This Row],[Precio Unitario Neto]]-Tabla4[[#This Row],[20.85%]]</f>
        <v>174.21706499999999</v>
      </c>
      <c r="M5465" s="282" t="e">
        <f>(INDEX(Tabla6[#All],MATCH(Tabla4[[#This Row],[Producto]],Tabla6[[#All],[PRODUCTO]],0),MATCH(Tabla4[[#This Row],[Mes]],Tabla6[#Headers],0)))*(1+Catalogos!$L$2)</f>
        <v>#N/A</v>
      </c>
      <c r="N5465" s="283" t="e">
        <f>+(Tabla4[[#This Row],[Precio Descontado]]-Tabla4[[#This Row],[Precio Base]])*Tabla4[[#This Row],[Cantidad]]</f>
        <v>#N/A</v>
      </c>
      <c r="O5465" s="284" t="e">
        <f>++Tabla4[[#This Row],[Utilidad Total]]/Tabla4[[#This Row],[Total]]</f>
        <v>#N/A</v>
      </c>
      <c r="P5465" s="282">
        <f>++Tabla4[[#This Row],[Precio Descontado]]*Tabla4[[#This Row],[Cantidad]]</f>
        <v>348.43412999999998</v>
      </c>
      <c r="Q5465" s="282" t="e">
        <f>(INDEX(Tabla6[#All],MATCH(Tabla4[[#This Row],[Producto]],Tabla6[[#All],[PRODUCTO]],0),MATCH(Tabla4[[#This Row],[Mes]],Tabla6[#Headers],0)))</f>
        <v>#N/A</v>
      </c>
      <c r="R5465" s="282" t="e">
        <f>++Tabla4[[#This Row],[Precio Unitario Neto]]-Tabla4[[#This Row],[20.85%]]-Tabla4[[#This Row],[Costo]]</f>
        <v>#N/A</v>
      </c>
      <c r="S5465" s="282" t="e">
        <f>++Tabla4[[#This Row],[U. Bruta Uni]]*Tabla4[[#This Row],[Cantidad]]</f>
        <v>#N/A</v>
      </c>
      <c r="T5465" s="369" t="str">
        <f>VLOOKUP(Tabla4[[#This Row],[Producto]],Tabla6[#All],14,FALSE)</f>
        <v>Termico Solar</v>
      </c>
      <c r="U5465" s="284" t="e">
        <f>(IF(Tabla4[[#This Row],[Familia]]="termico solar",Tabla4[[#This Row],[Utilidad Total]]*6%,Tabla4[[#This Row],[Utilidad Total]]*11.5%))/Tabla4[[#This Row],[Total]]</f>
        <v>#N/A</v>
      </c>
      <c r="V5465" s="282" t="e">
        <f>+Tabla4[[#This Row],[Comisión Calculada]]*Tabla4[[#This Row],[Total]]</f>
        <v>#N/A</v>
      </c>
    </row>
    <row r="5466" spans="1:22" hidden="1" x14ac:dyDescent="0.25">
      <c r="A5466" s="100">
        <v>45900</v>
      </c>
      <c r="B5466" t="str">
        <f t="shared" si="264"/>
        <v>August</v>
      </c>
      <c r="C5466" s="46" t="s">
        <v>280</v>
      </c>
      <c r="F5466" s="366" t="s">
        <v>2832</v>
      </c>
      <c r="G5466" s="46" t="s">
        <v>18</v>
      </c>
      <c r="H5466" s="46">
        <v>1</v>
      </c>
      <c r="I5466" s="51">
        <v>5367.65</v>
      </c>
      <c r="J5466" s="281">
        <f>++Tabla4[[#This Row],[Precio Bruto]]*1.16</f>
        <v>6226.4739999999993</v>
      </c>
      <c r="K5466" s="281">
        <f>+Tabla4[[#This Row],[Precio Unitario Neto]]*Tabla4[[#Headers],[20.85%]]</f>
        <v>1298.2198289999999</v>
      </c>
      <c r="L5466" s="282">
        <f>++Tabla4[[#This Row],[Precio Unitario Neto]]-Tabla4[[#This Row],[20.85%]]</f>
        <v>4928.2541709999996</v>
      </c>
      <c r="M5466" s="282" t="e">
        <f>(INDEX(Tabla6[#All],MATCH(Tabla4[[#This Row],[Producto]],Tabla6[[#All],[PRODUCTO]],0),MATCH(Tabla4[[#This Row],[Mes]],Tabla6[#Headers],0)))*(1+Catalogos!$L$2)</f>
        <v>#N/A</v>
      </c>
      <c r="N5466" s="283" t="e">
        <f>+(Tabla4[[#This Row],[Precio Descontado]]-Tabla4[[#This Row],[Precio Base]])*Tabla4[[#This Row],[Cantidad]]</f>
        <v>#N/A</v>
      </c>
      <c r="O5466" s="284" t="e">
        <f>++Tabla4[[#This Row],[Utilidad Total]]/Tabla4[[#This Row],[Total]]</f>
        <v>#N/A</v>
      </c>
      <c r="P5466" s="282">
        <f>++Tabla4[[#This Row],[Precio Descontado]]*Tabla4[[#This Row],[Cantidad]]</f>
        <v>4928.2541709999996</v>
      </c>
      <c r="Q5466" s="282" t="e">
        <f>(INDEX(Tabla6[#All],MATCH(Tabla4[[#This Row],[Producto]],Tabla6[[#All],[PRODUCTO]],0),MATCH(Tabla4[[#This Row],[Mes]],Tabla6[#Headers],0)))</f>
        <v>#N/A</v>
      </c>
      <c r="R5466" s="282" t="e">
        <f>++Tabla4[[#This Row],[Precio Unitario Neto]]-Tabla4[[#This Row],[20.85%]]-Tabla4[[#This Row],[Costo]]</f>
        <v>#N/A</v>
      </c>
      <c r="S5466" s="282" t="e">
        <f>++Tabla4[[#This Row],[U. Bruta Uni]]*Tabla4[[#This Row],[Cantidad]]</f>
        <v>#N/A</v>
      </c>
      <c r="T5466" s="369" t="str">
        <f>VLOOKUP(Tabla4[[#This Row],[Producto]],Tabla6[#All],14,FALSE)</f>
        <v>Termico Solar</v>
      </c>
      <c r="U5466" s="284" t="e">
        <f>(IF(Tabla4[[#This Row],[Familia]]="termico solar",Tabla4[[#This Row],[Utilidad Total]]*6%,Tabla4[[#This Row],[Utilidad Total]]*11.5%))/Tabla4[[#This Row],[Total]]</f>
        <v>#N/A</v>
      </c>
      <c r="V5466" s="282" t="e">
        <f>+Tabla4[[#This Row],[Comisión Calculada]]*Tabla4[[#This Row],[Total]]</f>
        <v>#N/A</v>
      </c>
    </row>
    <row r="5467" spans="1:22" hidden="1" x14ac:dyDescent="0.25">
      <c r="A5467" s="100">
        <v>45900</v>
      </c>
      <c r="B5467" t="str">
        <f t="shared" si="264"/>
        <v>August</v>
      </c>
      <c r="C5467" s="46" t="s">
        <v>280</v>
      </c>
      <c r="F5467" s="366" t="s">
        <v>2833</v>
      </c>
      <c r="G5467" s="46" t="s">
        <v>83</v>
      </c>
      <c r="H5467" s="46">
        <v>1</v>
      </c>
      <c r="I5467" s="51">
        <v>8858.76</v>
      </c>
      <c r="J5467" s="281">
        <f>++Tabla4[[#This Row],[Precio Bruto]]*1.16</f>
        <v>10276.161599999999</v>
      </c>
      <c r="K5467" s="281">
        <f>+Tabla4[[#This Row],[Precio Unitario Neto]]*Tabla4[[#Headers],[20.85%]]</f>
        <v>2142.5796935999997</v>
      </c>
      <c r="L5467" s="282">
        <f>++Tabla4[[#This Row],[Precio Unitario Neto]]-Tabla4[[#This Row],[20.85%]]</f>
        <v>8133.5819063999998</v>
      </c>
      <c r="M5467" s="282" t="e">
        <f>(INDEX(Tabla6[#All],MATCH(Tabla4[[#This Row],[Producto]],Tabla6[[#All],[PRODUCTO]],0),MATCH(Tabla4[[#This Row],[Mes]],Tabla6[#Headers],0)))*(1+Catalogos!$L$2)</f>
        <v>#N/A</v>
      </c>
      <c r="N5467" s="283" t="e">
        <f>+(Tabla4[[#This Row],[Precio Descontado]]-Tabla4[[#This Row],[Precio Base]])*Tabla4[[#This Row],[Cantidad]]</f>
        <v>#N/A</v>
      </c>
      <c r="O5467" s="284" t="e">
        <f>++Tabla4[[#This Row],[Utilidad Total]]/Tabla4[[#This Row],[Total]]</f>
        <v>#N/A</v>
      </c>
      <c r="P5467" s="282">
        <f>++Tabla4[[#This Row],[Precio Descontado]]*Tabla4[[#This Row],[Cantidad]]</f>
        <v>8133.5819063999998</v>
      </c>
      <c r="Q5467" s="282" t="e">
        <f>(INDEX(Tabla6[#All],MATCH(Tabla4[[#This Row],[Producto]],Tabla6[[#All],[PRODUCTO]],0),MATCH(Tabla4[[#This Row],[Mes]],Tabla6[#Headers],0)))</f>
        <v>#N/A</v>
      </c>
      <c r="R5467" s="282" t="e">
        <f>++Tabla4[[#This Row],[Precio Unitario Neto]]-Tabla4[[#This Row],[20.85%]]-Tabla4[[#This Row],[Costo]]</f>
        <v>#N/A</v>
      </c>
      <c r="S5467" s="282" t="e">
        <f>++Tabla4[[#This Row],[U. Bruta Uni]]*Tabla4[[#This Row],[Cantidad]]</f>
        <v>#N/A</v>
      </c>
      <c r="T5467" s="369" t="str">
        <f>VLOOKUP(Tabla4[[#This Row],[Producto]],Tabla6[#All],14,FALSE)</f>
        <v>Termico Solar</v>
      </c>
      <c r="U5467" s="284" t="e">
        <f>(IF(Tabla4[[#This Row],[Familia]]="termico solar",Tabla4[[#This Row],[Utilidad Total]]*6%,Tabla4[[#This Row],[Utilidad Total]]*11.5%))/Tabla4[[#This Row],[Total]]</f>
        <v>#N/A</v>
      </c>
      <c r="V5467" s="282" t="e">
        <f>+Tabla4[[#This Row],[Comisión Calculada]]*Tabla4[[#This Row],[Total]]</f>
        <v>#N/A</v>
      </c>
    </row>
    <row r="5468" spans="1:22" hidden="1" x14ac:dyDescent="0.25">
      <c r="A5468" s="100">
        <v>45900</v>
      </c>
      <c r="B5468" t="str">
        <f t="shared" si="264"/>
        <v>August</v>
      </c>
      <c r="C5468" s="46" t="s">
        <v>280</v>
      </c>
      <c r="F5468" s="366" t="s">
        <v>2833</v>
      </c>
      <c r="G5468" s="46" t="s">
        <v>18</v>
      </c>
      <c r="H5468" s="46">
        <v>1</v>
      </c>
      <c r="I5468" s="51">
        <v>5367.65</v>
      </c>
      <c r="J5468" s="281">
        <f>++Tabla4[[#This Row],[Precio Bruto]]*1.16</f>
        <v>6226.4739999999993</v>
      </c>
      <c r="K5468" s="281">
        <f>+Tabla4[[#This Row],[Precio Unitario Neto]]*Tabla4[[#Headers],[20.85%]]</f>
        <v>1298.2198289999999</v>
      </c>
      <c r="L5468" s="282">
        <f>++Tabla4[[#This Row],[Precio Unitario Neto]]-Tabla4[[#This Row],[20.85%]]</f>
        <v>4928.2541709999996</v>
      </c>
      <c r="M5468" s="282" t="e">
        <f>(INDEX(Tabla6[#All],MATCH(Tabla4[[#This Row],[Producto]],Tabla6[[#All],[PRODUCTO]],0),MATCH(Tabla4[[#This Row],[Mes]],Tabla6[#Headers],0)))*(1+Catalogos!$L$2)</f>
        <v>#N/A</v>
      </c>
      <c r="N5468" s="283" t="e">
        <f>+(Tabla4[[#This Row],[Precio Descontado]]-Tabla4[[#This Row],[Precio Base]])*Tabla4[[#This Row],[Cantidad]]</f>
        <v>#N/A</v>
      </c>
      <c r="O5468" s="284" t="e">
        <f>++Tabla4[[#This Row],[Utilidad Total]]/Tabla4[[#This Row],[Total]]</f>
        <v>#N/A</v>
      </c>
      <c r="P5468" s="282">
        <f>++Tabla4[[#This Row],[Precio Descontado]]*Tabla4[[#This Row],[Cantidad]]</f>
        <v>4928.2541709999996</v>
      </c>
      <c r="Q5468" s="282" t="e">
        <f>(INDEX(Tabla6[#All],MATCH(Tabla4[[#This Row],[Producto]],Tabla6[[#All],[PRODUCTO]],0),MATCH(Tabla4[[#This Row],[Mes]],Tabla6[#Headers],0)))</f>
        <v>#N/A</v>
      </c>
      <c r="R5468" s="282" t="e">
        <f>++Tabla4[[#This Row],[Precio Unitario Neto]]-Tabla4[[#This Row],[20.85%]]-Tabla4[[#This Row],[Costo]]</f>
        <v>#N/A</v>
      </c>
      <c r="S5468" s="282" t="e">
        <f>++Tabla4[[#This Row],[U. Bruta Uni]]*Tabla4[[#This Row],[Cantidad]]</f>
        <v>#N/A</v>
      </c>
      <c r="T5468" s="369" t="str">
        <f>VLOOKUP(Tabla4[[#This Row],[Producto]],Tabla6[#All],14,FALSE)</f>
        <v>Termico Solar</v>
      </c>
      <c r="U5468" s="284" t="e">
        <f>(IF(Tabla4[[#This Row],[Familia]]="termico solar",Tabla4[[#This Row],[Utilidad Total]]*6%,Tabla4[[#This Row],[Utilidad Total]]*11.5%))/Tabla4[[#This Row],[Total]]</f>
        <v>#N/A</v>
      </c>
      <c r="V5468" s="282" t="e">
        <f>+Tabla4[[#This Row],[Comisión Calculada]]*Tabla4[[#This Row],[Total]]</f>
        <v>#N/A</v>
      </c>
    </row>
    <row r="5469" spans="1:22" hidden="1" x14ac:dyDescent="0.25">
      <c r="A5469" s="100">
        <v>45900</v>
      </c>
      <c r="B5469" t="str">
        <f t="shared" ref="B5469:B5474" si="265">TEXT(A5469, "mmmm")</f>
        <v>August</v>
      </c>
      <c r="C5469" s="46" t="s">
        <v>280</v>
      </c>
      <c r="F5469" s="366" t="s">
        <v>2834</v>
      </c>
      <c r="G5469" s="46" t="s">
        <v>83</v>
      </c>
      <c r="H5469" s="46">
        <v>1</v>
      </c>
      <c r="I5469" s="51">
        <v>8858.76</v>
      </c>
      <c r="J5469" s="281">
        <f>++Tabla4[[#This Row],[Precio Bruto]]*1.16</f>
        <v>10276.161599999999</v>
      </c>
      <c r="K5469" s="281">
        <f>+Tabla4[[#This Row],[Precio Unitario Neto]]*Tabla4[[#Headers],[20.85%]]</f>
        <v>2142.5796935999997</v>
      </c>
      <c r="L5469" s="282">
        <f>++Tabla4[[#This Row],[Precio Unitario Neto]]-Tabla4[[#This Row],[20.85%]]</f>
        <v>8133.5819063999998</v>
      </c>
      <c r="M5469" s="282" t="e">
        <f>(INDEX(Tabla6[#All],MATCH(Tabla4[[#This Row],[Producto]],Tabla6[[#All],[PRODUCTO]],0),MATCH(Tabla4[[#This Row],[Mes]],Tabla6[#Headers],0)))*(1+Catalogos!$L$2)</f>
        <v>#N/A</v>
      </c>
      <c r="N5469" s="283" t="e">
        <f>+(Tabla4[[#This Row],[Precio Descontado]]-Tabla4[[#This Row],[Precio Base]])*Tabla4[[#This Row],[Cantidad]]</f>
        <v>#N/A</v>
      </c>
      <c r="O5469" s="284" t="e">
        <f>++Tabla4[[#This Row],[Utilidad Total]]/Tabla4[[#This Row],[Total]]</f>
        <v>#N/A</v>
      </c>
      <c r="P5469" s="282">
        <f>++Tabla4[[#This Row],[Precio Descontado]]*Tabla4[[#This Row],[Cantidad]]</f>
        <v>8133.5819063999998</v>
      </c>
      <c r="Q5469" s="282" t="e">
        <f>(INDEX(Tabla6[#All],MATCH(Tabla4[[#This Row],[Producto]],Tabla6[[#All],[PRODUCTO]],0),MATCH(Tabla4[[#This Row],[Mes]],Tabla6[#Headers],0)))</f>
        <v>#N/A</v>
      </c>
      <c r="R5469" s="282" t="e">
        <f>++Tabla4[[#This Row],[Precio Unitario Neto]]-Tabla4[[#This Row],[20.85%]]-Tabla4[[#This Row],[Costo]]</f>
        <v>#N/A</v>
      </c>
      <c r="S5469" s="282" t="e">
        <f>++Tabla4[[#This Row],[U. Bruta Uni]]*Tabla4[[#This Row],[Cantidad]]</f>
        <v>#N/A</v>
      </c>
      <c r="T5469" s="369" t="str">
        <f>VLOOKUP(Tabla4[[#This Row],[Producto]],Tabla6[#All],14,FALSE)</f>
        <v>Termico Solar</v>
      </c>
      <c r="U5469" s="284" t="e">
        <f>(IF(Tabla4[[#This Row],[Familia]]="termico solar",Tabla4[[#This Row],[Utilidad Total]]*6%,Tabla4[[#This Row],[Utilidad Total]]*11.5%))/Tabla4[[#This Row],[Total]]</f>
        <v>#N/A</v>
      </c>
      <c r="V5469" s="282" t="e">
        <f>+Tabla4[[#This Row],[Comisión Calculada]]*Tabla4[[#This Row],[Total]]</f>
        <v>#N/A</v>
      </c>
    </row>
    <row r="5470" spans="1:22" hidden="1" x14ac:dyDescent="0.25">
      <c r="A5470" s="100">
        <v>45900</v>
      </c>
      <c r="B5470" t="str">
        <f t="shared" si="265"/>
        <v>August</v>
      </c>
      <c r="C5470" s="46" t="s">
        <v>280</v>
      </c>
      <c r="F5470" s="366" t="s">
        <v>2834</v>
      </c>
      <c r="G5470" s="46" t="s">
        <v>17</v>
      </c>
      <c r="H5470" s="46">
        <v>2</v>
      </c>
      <c r="I5470" s="51">
        <v>4622.28</v>
      </c>
      <c r="J5470" s="281">
        <f>++Tabla4[[#This Row],[Precio Bruto]]*1.16</f>
        <v>5361.8447999999989</v>
      </c>
      <c r="K5470" s="281">
        <f>+Tabla4[[#This Row],[Precio Unitario Neto]]*Tabla4[[#Headers],[20.85%]]</f>
        <v>1117.9446407999997</v>
      </c>
      <c r="L5470" s="282">
        <f>++Tabla4[[#This Row],[Precio Unitario Neto]]-Tabla4[[#This Row],[20.85%]]</f>
        <v>4243.9001591999995</v>
      </c>
      <c r="M5470" s="282" t="e">
        <f>(INDEX(Tabla6[#All],MATCH(Tabla4[[#This Row],[Producto]],Tabla6[[#All],[PRODUCTO]],0),MATCH(Tabla4[[#This Row],[Mes]],Tabla6[#Headers],0)))*(1+Catalogos!$L$2)</f>
        <v>#N/A</v>
      </c>
      <c r="N5470" s="283" t="e">
        <f>+(Tabla4[[#This Row],[Precio Descontado]]-Tabla4[[#This Row],[Precio Base]])*Tabla4[[#This Row],[Cantidad]]</f>
        <v>#N/A</v>
      </c>
      <c r="O5470" s="284" t="e">
        <f>++Tabla4[[#This Row],[Utilidad Total]]/Tabla4[[#This Row],[Total]]</f>
        <v>#N/A</v>
      </c>
      <c r="P5470" s="282">
        <f>++Tabla4[[#This Row],[Precio Descontado]]*Tabla4[[#This Row],[Cantidad]]</f>
        <v>8487.800318399999</v>
      </c>
      <c r="Q5470" s="282" t="e">
        <f>(INDEX(Tabla6[#All],MATCH(Tabla4[[#This Row],[Producto]],Tabla6[[#All],[PRODUCTO]],0),MATCH(Tabla4[[#This Row],[Mes]],Tabla6[#Headers],0)))</f>
        <v>#N/A</v>
      </c>
      <c r="R5470" s="282" t="e">
        <f>++Tabla4[[#This Row],[Precio Unitario Neto]]-Tabla4[[#This Row],[20.85%]]-Tabla4[[#This Row],[Costo]]</f>
        <v>#N/A</v>
      </c>
      <c r="S5470" s="282" t="e">
        <f>++Tabla4[[#This Row],[U. Bruta Uni]]*Tabla4[[#This Row],[Cantidad]]</f>
        <v>#N/A</v>
      </c>
      <c r="T5470" s="369" t="str">
        <f>VLOOKUP(Tabla4[[#This Row],[Producto]],Tabla6[#All],14,FALSE)</f>
        <v>Termico Solar</v>
      </c>
      <c r="U5470" s="284" t="e">
        <f>(IF(Tabla4[[#This Row],[Familia]]="termico solar",Tabla4[[#This Row],[Utilidad Total]]*6%,Tabla4[[#This Row],[Utilidad Total]]*11.5%))/Tabla4[[#This Row],[Total]]</f>
        <v>#N/A</v>
      </c>
      <c r="V5470" s="282" t="e">
        <f>+Tabla4[[#This Row],[Comisión Calculada]]*Tabla4[[#This Row],[Total]]</f>
        <v>#N/A</v>
      </c>
    </row>
    <row r="5471" spans="1:22" hidden="1" x14ac:dyDescent="0.25">
      <c r="A5471" s="100">
        <v>45900</v>
      </c>
      <c r="B5471" t="str">
        <f t="shared" si="265"/>
        <v>August</v>
      </c>
      <c r="C5471" s="46" t="s">
        <v>280</v>
      </c>
      <c r="F5471" s="366" t="s">
        <v>2834</v>
      </c>
      <c r="G5471" s="46" t="s">
        <v>18</v>
      </c>
      <c r="H5471" s="46">
        <v>1</v>
      </c>
      <c r="I5471" s="51">
        <v>5367.65</v>
      </c>
      <c r="J5471" s="281">
        <f>++Tabla4[[#This Row],[Precio Bruto]]*1.16</f>
        <v>6226.4739999999993</v>
      </c>
      <c r="K5471" s="281">
        <f>+Tabla4[[#This Row],[Precio Unitario Neto]]*Tabla4[[#Headers],[20.85%]]</f>
        <v>1298.2198289999999</v>
      </c>
      <c r="L5471" s="282">
        <f>++Tabla4[[#This Row],[Precio Unitario Neto]]-Tabla4[[#This Row],[20.85%]]</f>
        <v>4928.2541709999996</v>
      </c>
      <c r="M5471" s="282" t="e">
        <f>(INDEX(Tabla6[#All],MATCH(Tabla4[[#This Row],[Producto]],Tabla6[[#All],[PRODUCTO]],0),MATCH(Tabla4[[#This Row],[Mes]],Tabla6[#Headers],0)))*(1+Catalogos!$L$2)</f>
        <v>#N/A</v>
      </c>
      <c r="N5471" s="283" t="e">
        <f>+(Tabla4[[#This Row],[Precio Descontado]]-Tabla4[[#This Row],[Precio Base]])*Tabla4[[#This Row],[Cantidad]]</f>
        <v>#N/A</v>
      </c>
      <c r="O5471" s="284" t="e">
        <f>++Tabla4[[#This Row],[Utilidad Total]]/Tabla4[[#This Row],[Total]]</f>
        <v>#N/A</v>
      </c>
      <c r="P5471" s="282">
        <f>++Tabla4[[#This Row],[Precio Descontado]]*Tabla4[[#This Row],[Cantidad]]</f>
        <v>4928.2541709999996</v>
      </c>
      <c r="Q5471" s="282" t="e">
        <f>(INDEX(Tabla6[#All],MATCH(Tabla4[[#This Row],[Producto]],Tabla6[[#All],[PRODUCTO]],0),MATCH(Tabla4[[#This Row],[Mes]],Tabla6[#Headers],0)))</f>
        <v>#N/A</v>
      </c>
      <c r="R5471" s="282" t="e">
        <f>++Tabla4[[#This Row],[Precio Unitario Neto]]-Tabla4[[#This Row],[20.85%]]-Tabla4[[#This Row],[Costo]]</f>
        <v>#N/A</v>
      </c>
      <c r="S5471" s="282" t="e">
        <f>++Tabla4[[#This Row],[U. Bruta Uni]]*Tabla4[[#This Row],[Cantidad]]</f>
        <v>#N/A</v>
      </c>
      <c r="T5471" s="369" t="str">
        <f>VLOOKUP(Tabla4[[#This Row],[Producto]],Tabla6[#All],14,FALSE)</f>
        <v>Termico Solar</v>
      </c>
      <c r="U5471" s="284" t="e">
        <f>(IF(Tabla4[[#This Row],[Familia]]="termico solar",Tabla4[[#This Row],[Utilidad Total]]*6%,Tabla4[[#This Row],[Utilidad Total]]*11.5%))/Tabla4[[#This Row],[Total]]</f>
        <v>#N/A</v>
      </c>
      <c r="V5471" s="282" t="e">
        <f>+Tabla4[[#This Row],[Comisión Calculada]]*Tabla4[[#This Row],[Total]]</f>
        <v>#N/A</v>
      </c>
    </row>
    <row r="5472" spans="1:22" hidden="1" x14ac:dyDescent="0.25">
      <c r="A5472" s="100">
        <v>45900</v>
      </c>
      <c r="B5472" t="str">
        <f t="shared" si="265"/>
        <v>August</v>
      </c>
      <c r="C5472" s="46" t="s">
        <v>280</v>
      </c>
      <c r="F5472" s="366" t="s">
        <v>2834</v>
      </c>
      <c r="G5472" s="46" t="s">
        <v>16</v>
      </c>
      <c r="H5472" s="46">
        <v>2</v>
      </c>
      <c r="I5472" s="51">
        <v>4103.8500000000004</v>
      </c>
      <c r="J5472" s="281">
        <f>++Tabla4[[#This Row],[Precio Bruto]]*1.16</f>
        <v>4760.4660000000003</v>
      </c>
      <c r="K5472" s="281">
        <f>+Tabla4[[#This Row],[Precio Unitario Neto]]*Tabla4[[#Headers],[20.85%]]</f>
        <v>992.55716100000006</v>
      </c>
      <c r="L5472" s="282">
        <f>++Tabla4[[#This Row],[Precio Unitario Neto]]-Tabla4[[#This Row],[20.85%]]</f>
        <v>3767.9088390000002</v>
      </c>
      <c r="M5472" s="282" t="e">
        <f>(INDEX(Tabla6[#All],MATCH(Tabla4[[#This Row],[Producto]],Tabla6[[#All],[PRODUCTO]],0),MATCH(Tabla4[[#This Row],[Mes]],Tabla6[#Headers],0)))*(1+Catalogos!$L$2)</f>
        <v>#N/A</v>
      </c>
      <c r="N5472" s="283" t="e">
        <f>+(Tabla4[[#This Row],[Precio Descontado]]-Tabla4[[#This Row],[Precio Base]])*Tabla4[[#This Row],[Cantidad]]</f>
        <v>#N/A</v>
      </c>
      <c r="O5472" s="284" t="e">
        <f>++Tabla4[[#This Row],[Utilidad Total]]/Tabla4[[#This Row],[Total]]</f>
        <v>#N/A</v>
      </c>
      <c r="P5472" s="282">
        <f>++Tabla4[[#This Row],[Precio Descontado]]*Tabla4[[#This Row],[Cantidad]]</f>
        <v>7535.8176780000003</v>
      </c>
      <c r="Q5472" s="282" t="e">
        <f>(INDEX(Tabla6[#All],MATCH(Tabla4[[#This Row],[Producto]],Tabla6[[#All],[PRODUCTO]],0),MATCH(Tabla4[[#This Row],[Mes]],Tabla6[#Headers],0)))</f>
        <v>#N/A</v>
      </c>
      <c r="R5472" s="282" t="e">
        <f>++Tabla4[[#This Row],[Precio Unitario Neto]]-Tabla4[[#This Row],[20.85%]]-Tabla4[[#This Row],[Costo]]</f>
        <v>#N/A</v>
      </c>
      <c r="S5472" s="282" t="e">
        <f>++Tabla4[[#This Row],[U. Bruta Uni]]*Tabla4[[#This Row],[Cantidad]]</f>
        <v>#N/A</v>
      </c>
      <c r="T5472" s="369" t="str">
        <f>VLOOKUP(Tabla4[[#This Row],[Producto]],Tabla6[#All],14,FALSE)</f>
        <v>Termico Solar</v>
      </c>
      <c r="U5472" s="284" t="e">
        <f>(IF(Tabla4[[#This Row],[Familia]]="termico solar",Tabla4[[#This Row],[Utilidad Total]]*6%,Tabla4[[#This Row],[Utilidad Total]]*11.5%))/Tabla4[[#This Row],[Total]]</f>
        <v>#N/A</v>
      </c>
      <c r="V5472" s="282" t="e">
        <f>+Tabla4[[#This Row],[Comisión Calculada]]*Tabla4[[#This Row],[Total]]</f>
        <v>#N/A</v>
      </c>
    </row>
    <row r="5473" spans="1:22" hidden="1" x14ac:dyDescent="0.25">
      <c r="A5473" s="100">
        <v>45900</v>
      </c>
      <c r="B5473" t="str">
        <f t="shared" si="265"/>
        <v>August</v>
      </c>
      <c r="C5473" s="46" t="s">
        <v>280</v>
      </c>
      <c r="F5473" s="366" t="s">
        <v>2834</v>
      </c>
      <c r="G5473" s="46" t="s">
        <v>555</v>
      </c>
      <c r="H5473" s="46">
        <v>8</v>
      </c>
      <c r="I5473" s="51">
        <v>389.47</v>
      </c>
      <c r="J5473" s="281">
        <f>++Tabla4[[#This Row],[Precio Bruto]]*1.16</f>
        <v>451.78519999999997</v>
      </c>
      <c r="K5473" s="281">
        <f>+Tabla4[[#This Row],[Precio Unitario Neto]]*Tabla4[[#Headers],[20.85%]]</f>
        <v>94.197214199999991</v>
      </c>
      <c r="L5473" s="282">
        <f>++Tabla4[[#This Row],[Precio Unitario Neto]]-Tabla4[[#This Row],[20.85%]]</f>
        <v>357.58798579999996</v>
      </c>
      <c r="M5473" s="282" t="e">
        <f>(INDEX(Tabla6[#All],MATCH(Tabla4[[#This Row],[Producto]],Tabla6[[#All],[PRODUCTO]],0),MATCH(Tabla4[[#This Row],[Mes]],Tabla6[#Headers],0)))*(1+Catalogos!$L$2)</f>
        <v>#N/A</v>
      </c>
      <c r="N5473" s="283" t="e">
        <f>+(Tabla4[[#This Row],[Precio Descontado]]-Tabla4[[#This Row],[Precio Base]])*Tabla4[[#This Row],[Cantidad]]</f>
        <v>#N/A</v>
      </c>
      <c r="O5473" s="284" t="e">
        <f>++Tabla4[[#This Row],[Utilidad Total]]/Tabla4[[#This Row],[Total]]</f>
        <v>#N/A</v>
      </c>
      <c r="P5473" s="282">
        <f>++Tabla4[[#This Row],[Precio Descontado]]*Tabla4[[#This Row],[Cantidad]]</f>
        <v>2860.7038863999996</v>
      </c>
      <c r="Q5473" s="282" t="e">
        <f>(INDEX(Tabla6[#All],MATCH(Tabla4[[#This Row],[Producto]],Tabla6[[#All],[PRODUCTO]],0),MATCH(Tabla4[[#This Row],[Mes]],Tabla6[#Headers],0)))</f>
        <v>#N/A</v>
      </c>
      <c r="R5473" s="282" t="e">
        <f>++Tabla4[[#This Row],[Precio Unitario Neto]]-Tabla4[[#This Row],[20.85%]]-Tabla4[[#This Row],[Costo]]</f>
        <v>#N/A</v>
      </c>
      <c r="S5473" s="282" t="e">
        <f>++Tabla4[[#This Row],[U. Bruta Uni]]*Tabla4[[#This Row],[Cantidad]]</f>
        <v>#N/A</v>
      </c>
      <c r="T5473" s="369" t="str">
        <f>VLOOKUP(Tabla4[[#This Row],[Producto]],Tabla6[#All],14,FALSE)</f>
        <v>Termico Solar</v>
      </c>
      <c r="U5473" s="284" t="e">
        <f>(IF(Tabla4[[#This Row],[Familia]]="termico solar",Tabla4[[#This Row],[Utilidad Total]]*6%,Tabla4[[#This Row],[Utilidad Total]]*11.5%))/Tabla4[[#This Row],[Total]]</f>
        <v>#N/A</v>
      </c>
      <c r="V5473" s="282" t="e">
        <f>+Tabla4[[#This Row],[Comisión Calculada]]*Tabla4[[#This Row],[Total]]</f>
        <v>#N/A</v>
      </c>
    </row>
    <row r="5474" spans="1:22" hidden="1" x14ac:dyDescent="0.25">
      <c r="A5474" s="100">
        <v>45900</v>
      </c>
      <c r="B5474" t="str">
        <f t="shared" si="265"/>
        <v>August</v>
      </c>
      <c r="C5474" s="46" t="s">
        <v>280</v>
      </c>
      <c r="F5474" s="366" t="s">
        <v>2834</v>
      </c>
      <c r="G5474" s="46" t="s">
        <v>208</v>
      </c>
      <c r="H5474" s="46">
        <v>1</v>
      </c>
      <c r="I5474" s="51">
        <v>189.75</v>
      </c>
      <c r="J5474" s="281">
        <f>++Tabla4[[#This Row],[Precio Bruto]]*1.16</f>
        <v>220.10999999999999</v>
      </c>
      <c r="K5474" s="281">
        <f>+Tabla4[[#This Row],[Precio Unitario Neto]]*Tabla4[[#Headers],[20.85%]]</f>
        <v>45.892934999999994</v>
      </c>
      <c r="L5474" s="282">
        <f>++Tabla4[[#This Row],[Precio Unitario Neto]]-Tabla4[[#This Row],[20.85%]]</f>
        <v>174.21706499999999</v>
      </c>
      <c r="M5474" s="282" t="e">
        <f>(INDEX(Tabla6[#All],MATCH(Tabla4[[#This Row],[Producto]],Tabla6[[#All],[PRODUCTO]],0),MATCH(Tabla4[[#This Row],[Mes]],Tabla6[#Headers],0)))*(1+Catalogos!$L$2)</f>
        <v>#N/A</v>
      </c>
      <c r="N5474" s="283" t="e">
        <f>+(Tabla4[[#This Row],[Precio Descontado]]-Tabla4[[#This Row],[Precio Base]])*Tabla4[[#This Row],[Cantidad]]</f>
        <v>#N/A</v>
      </c>
      <c r="O5474" s="284" t="e">
        <f>++Tabla4[[#This Row],[Utilidad Total]]/Tabla4[[#This Row],[Total]]</f>
        <v>#N/A</v>
      </c>
      <c r="P5474" s="282">
        <f>++Tabla4[[#This Row],[Precio Descontado]]*Tabla4[[#This Row],[Cantidad]]</f>
        <v>174.21706499999999</v>
      </c>
      <c r="Q5474" s="282" t="e">
        <f>(INDEX(Tabla6[#All],MATCH(Tabla4[[#This Row],[Producto]],Tabla6[[#All],[PRODUCTO]],0),MATCH(Tabla4[[#This Row],[Mes]],Tabla6[#Headers],0)))</f>
        <v>#N/A</v>
      </c>
      <c r="R5474" s="282" t="e">
        <f>++Tabla4[[#This Row],[Precio Unitario Neto]]-Tabla4[[#This Row],[20.85%]]-Tabla4[[#This Row],[Costo]]</f>
        <v>#N/A</v>
      </c>
      <c r="S5474" s="282" t="e">
        <f>++Tabla4[[#This Row],[U. Bruta Uni]]*Tabla4[[#This Row],[Cantidad]]</f>
        <v>#N/A</v>
      </c>
      <c r="T5474" s="369" t="str">
        <f>VLOOKUP(Tabla4[[#This Row],[Producto]],Tabla6[#All],14,FALSE)</f>
        <v>Termico Solar</v>
      </c>
      <c r="U5474" s="284" t="e">
        <f>(IF(Tabla4[[#This Row],[Familia]]="termico solar",Tabla4[[#This Row],[Utilidad Total]]*6%,Tabla4[[#This Row],[Utilidad Total]]*11.5%))/Tabla4[[#This Row],[Total]]</f>
        <v>#N/A</v>
      </c>
      <c r="V5474" s="282" t="e">
        <f>+Tabla4[[#This Row],[Comisión Calculada]]*Tabla4[[#This Row],[Total]]</f>
        <v>#N/A</v>
      </c>
    </row>
    <row r="5475" spans="1:22" hidden="1" x14ac:dyDescent="0.25">
      <c r="A5475" s="100">
        <v>45900</v>
      </c>
      <c r="B5475" t="str">
        <f t="shared" ref="B5475:B5506" si="266">TEXT(A5475, "mmmm")</f>
        <v>August</v>
      </c>
      <c r="C5475" s="46" t="s">
        <v>280</v>
      </c>
      <c r="F5475" s="366" t="s">
        <v>2835</v>
      </c>
      <c r="G5475" s="46" t="s">
        <v>83</v>
      </c>
      <c r="H5475" s="46">
        <v>5</v>
      </c>
      <c r="I5475" s="51">
        <v>8858.76</v>
      </c>
      <c r="J5475" s="281">
        <f>++Tabla4[[#This Row],[Precio Bruto]]*1.16</f>
        <v>10276.161599999999</v>
      </c>
      <c r="K5475" s="281">
        <f>+Tabla4[[#This Row],[Precio Unitario Neto]]*Tabla4[[#Headers],[20.85%]]</f>
        <v>2142.5796935999997</v>
      </c>
      <c r="L5475" s="282">
        <f>++Tabla4[[#This Row],[Precio Unitario Neto]]-Tabla4[[#This Row],[20.85%]]</f>
        <v>8133.5819063999998</v>
      </c>
      <c r="M5475" s="282" t="e">
        <f>(INDEX(Tabla6[#All],MATCH(Tabla4[[#This Row],[Producto]],Tabla6[[#All],[PRODUCTO]],0),MATCH(Tabla4[[#This Row],[Mes]],Tabla6[#Headers],0)))*(1+Catalogos!$L$2)</f>
        <v>#N/A</v>
      </c>
      <c r="N5475" s="283" t="e">
        <f>+(Tabla4[[#This Row],[Precio Descontado]]-Tabla4[[#This Row],[Precio Base]])*Tabla4[[#This Row],[Cantidad]]</f>
        <v>#N/A</v>
      </c>
      <c r="O5475" s="284" t="e">
        <f>++Tabla4[[#This Row],[Utilidad Total]]/Tabla4[[#This Row],[Total]]</f>
        <v>#N/A</v>
      </c>
      <c r="P5475" s="282">
        <f>++Tabla4[[#This Row],[Precio Descontado]]*Tabla4[[#This Row],[Cantidad]]</f>
        <v>40667.909531999998</v>
      </c>
      <c r="Q5475" s="282" t="e">
        <f>(INDEX(Tabla6[#All],MATCH(Tabla4[[#This Row],[Producto]],Tabla6[[#All],[PRODUCTO]],0),MATCH(Tabla4[[#This Row],[Mes]],Tabla6[#Headers],0)))</f>
        <v>#N/A</v>
      </c>
      <c r="R5475" s="282" t="e">
        <f>++Tabla4[[#This Row],[Precio Unitario Neto]]-Tabla4[[#This Row],[20.85%]]-Tabla4[[#This Row],[Costo]]</f>
        <v>#N/A</v>
      </c>
      <c r="S5475" s="282" t="e">
        <f>++Tabla4[[#This Row],[U. Bruta Uni]]*Tabla4[[#This Row],[Cantidad]]</f>
        <v>#N/A</v>
      </c>
      <c r="T5475" s="369" t="str">
        <f>VLOOKUP(Tabla4[[#This Row],[Producto]],Tabla6[#All],14,FALSE)</f>
        <v>Termico Solar</v>
      </c>
      <c r="U5475" s="284" t="e">
        <f>(IF(Tabla4[[#This Row],[Familia]]="termico solar",Tabla4[[#This Row],[Utilidad Total]]*6%,Tabla4[[#This Row],[Utilidad Total]]*11.5%))/Tabla4[[#This Row],[Total]]</f>
        <v>#N/A</v>
      </c>
      <c r="V5475" s="282" t="e">
        <f>+Tabla4[[#This Row],[Comisión Calculada]]*Tabla4[[#This Row],[Total]]</f>
        <v>#N/A</v>
      </c>
    </row>
    <row r="5476" spans="1:22" hidden="1" x14ac:dyDescent="0.25">
      <c r="A5476" s="100">
        <v>45900</v>
      </c>
      <c r="B5476" t="str">
        <f t="shared" si="266"/>
        <v>August</v>
      </c>
      <c r="C5476" s="46" t="s">
        <v>280</v>
      </c>
      <c r="F5476" s="366" t="s">
        <v>2835</v>
      </c>
      <c r="G5476" s="46" t="s">
        <v>17</v>
      </c>
      <c r="H5476" s="46">
        <v>1</v>
      </c>
      <c r="I5476" s="51">
        <v>4622.28</v>
      </c>
      <c r="J5476" s="281">
        <f>++Tabla4[[#This Row],[Precio Bruto]]*1.16</f>
        <v>5361.8447999999989</v>
      </c>
      <c r="K5476" s="281">
        <f>+Tabla4[[#This Row],[Precio Unitario Neto]]*Tabla4[[#Headers],[20.85%]]</f>
        <v>1117.9446407999997</v>
      </c>
      <c r="L5476" s="282">
        <f>++Tabla4[[#This Row],[Precio Unitario Neto]]-Tabla4[[#This Row],[20.85%]]</f>
        <v>4243.9001591999995</v>
      </c>
      <c r="M5476" s="282" t="e">
        <f>(INDEX(Tabla6[#All],MATCH(Tabla4[[#This Row],[Producto]],Tabla6[[#All],[PRODUCTO]],0),MATCH(Tabla4[[#This Row],[Mes]],Tabla6[#Headers],0)))*(1+Catalogos!$L$2)</f>
        <v>#N/A</v>
      </c>
      <c r="N5476" s="283" t="e">
        <f>+(Tabla4[[#This Row],[Precio Descontado]]-Tabla4[[#This Row],[Precio Base]])*Tabla4[[#This Row],[Cantidad]]</f>
        <v>#N/A</v>
      </c>
      <c r="O5476" s="284" t="e">
        <f>++Tabla4[[#This Row],[Utilidad Total]]/Tabla4[[#This Row],[Total]]</f>
        <v>#N/A</v>
      </c>
      <c r="P5476" s="282">
        <f>++Tabla4[[#This Row],[Precio Descontado]]*Tabla4[[#This Row],[Cantidad]]</f>
        <v>4243.9001591999995</v>
      </c>
      <c r="Q5476" s="282" t="e">
        <f>(INDEX(Tabla6[#All],MATCH(Tabla4[[#This Row],[Producto]],Tabla6[[#All],[PRODUCTO]],0),MATCH(Tabla4[[#This Row],[Mes]],Tabla6[#Headers],0)))</f>
        <v>#N/A</v>
      </c>
      <c r="R5476" s="282" t="e">
        <f>++Tabla4[[#This Row],[Precio Unitario Neto]]-Tabla4[[#This Row],[20.85%]]-Tabla4[[#This Row],[Costo]]</f>
        <v>#N/A</v>
      </c>
      <c r="S5476" s="282" t="e">
        <f>++Tabla4[[#This Row],[U. Bruta Uni]]*Tabla4[[#This Row],[Cantidad]]</f>
        <v>#N/A</v>
      </c>
      <c r="T5476" s="369" t="str">
        <f>VLOOKUP(Tabla4[[#This Row],[Producto]],Tabla6[#All],14,FALSE)</f>
        <v>Termico Solar</v>
      </c>
      <c r="U5476" s="284" t="e">
        <f>(IF(Tabla4[[#This Row],[Familia]]="termico solar",Tabla4[[#This Row],[Utilidad Total]]*6%,Tabla4[[#This Row],[Utilidad Total]]*11.5%))/Tabla4[[#This Row],[Total]]</f>
        <v>#N/A</v>
      </c>
      <c r="V5476" s="282" t="e">
        <f>+Tabla4[[#This Row],[Comisión Calculada]]*Tabla4[[#This Row],[Total]]</f>
        <v>#N/A</v>
      </c>
    </row>
    <row r="5477" spans="1:22" hidden="1" x14ac:dyDescent="0.25">
      <c r="A5477" s="100">
        <v>45900</v>
      </c>
      <c r="B5477" t="str">
        <f t="shared" si="266"/>
        <v>August</v>
      </c>
      <c r="C5477" s="46" t="s">
        <v>280</v>
      </c>
      <c r="F5477" s="366" t="s">
        <v>2835</v>
      </c>
      <c r="G5477" s="46" t="s">
        <v>18</v>
      </c>
      <c r="H5477" s="46">
        <v>2</v>
      </c>
      <c r="I5477" s="51">
        <v>5367.65</v>
      </c>
      <c r="J5477" s="281">
        <f>++Tabla4[[#This Row],[Precio Bruto]]*1.16</f>
        <v>6226.4739999999993</v>
      </c>
      <c r="K5477" s="281">
        <f>+Tabla4[[#This Row],[Precio Unitario Neto]]*Tabla4[[#Headers],[20.85%]]</f>
        <v>1298.2198289999999</v>
      </c>
      <c r="L5477" s="282">
        <f>++Tabla4[[#This Row],[Precio Unitario Neto]]-Tabla4[[#This Row],[20.85%]]</f>
        <v>4928.2541709999996</v>
      </c>
      <c r="M5477" s="282" t="e">
        <f>(INDEX(Tabla6[#All],MATCH(Tabla4[[#This Row],[Producto]],Tabla6[[#All],[PRODUCTO]],0),MATCH(Tabla4[[#This Row],[Mes]],Tabla6[#Headers],0)))*(1+Catalogos!$L$2)</f>
        <v>#N/A</v>
      </c>
      <c r="N5477" s="283" t="e">
        <f>+(Tabla4[[#This Row],[Precio Descontado]]-Tabla4[[#This Row],[Precio Base]])*Tabla4[[#This Row],[Cantidad]]</f>
        <v>#N/A</v>
      </c>
      <c r="O5477" s="284" t="e">
        <f>++Tabla4[[#This Row],[Utilidad Total]]/Tabla4[[#This Row],[Total]]</f>
        <v>#N/A</v>
      </c>
      <c r="P5477" s="282">
        <f>++Tabla4[[#This Row],[Precio Descontado]]*Tabla4[[#This Row],[Cantidad]]</f>
        <v>9856.5083419999992</v>
      </c>
      <c r="Q5477" s="282" t="e">
        <f>(INDEX(Tabla6[#All],MATCH(Tabla4[[#This Row],[Producto]],Tabla6[[#All],[PRODUCTO]],0),MATCH(Tabla4[[#This Row],[Mes]],Tabla6[#Headers],0)))</f>
        <v>#N/A</v>
      </c>
      <c r="R5477" s="282" t="e">
        <f>++Tabla4[[#This Row],[Precio Unitario Neto]]-Tabla4[[#This Row],[20.85%]]-Tabla4[[#This Row],[Costo]]</f>
        <v>#N/A</v>
      </c>
      <c r="S5477" s="282" t="e">
        <f>++Tabla4[[#This Row],[U. Bruta Uni]]*Tabla4[[#This Row],[Cantidad]]</f>
        <v>#N/A</v>
      </c>
      <c r="T5477" s="369" t="str">
        <f>VLOOKUP(Tabla4[[#This Row],[Producto]],Tabla6[#All],14,FALSE)</f>
        <v>Termico Solar</v>
      </c>
      <c r="U5477" s="284" t="e">
        <f>(IF(Tabla4[[#This Row],[Familia]]="termico solar",Tabla4[[#This Row],[Utilidad Total]]*6%,Tabla4[[#This Row],[Utilidad Total]]*11.5%))/Tabla4[[#This Row],[Total]]</f>
        <v>#N/A</v>
      </c>
      <c r="V5477" s="282" t="e">
        <f>+Tabla4[[#This Row],[Comisión Calculada]]*Tabla4[[#This Row],[Total]]</f>
        <v>#N/A</v>
      </c>
    </row>
    <row r="5478" spans="1:22" hidden="1" x14ac:dyDescent="0.25">
      <c r="A5478" s="100">
        <v>45900</v>
      </c>
      <c r="B5478" t="str">
        <f t="shared" si="266"/>
        <v>August</v>
      </c>
      <c r="C5478" s="46" t="s">
        <v>280</v>
      </c>
      <c r="F5478" s="366" t="s">
        <v>2836</v>
      </c>
      <c r="G5478" s="46" t="s">
        <v>17</v>
      </c>
      <c r="H5478" s="46">
        <v>2</v>
      </c>
      <c r="I5478" s="51">
        <v>4622.28</v>
      </c>
      <c r="J5478" s="281">
        <f>++Tabla4[[#This Row],[Precio Bruto]]*1.16</f>
        <v>5361.8447999999989</v>
      </c>
      <c r="K5478" s="281">
        <f>+Tabla4[[#This Row],[Precio Unitario Neto]]*Tabla4[[#Headers],[20.85%]]</f>
        <v>1117.9446407999997</v>
      </c>
      <c r="L5478" s="282">
        <f>++Tabla4[[#This Row],[Precio Unitario Neto]]-Tabla4[[#This Row],[20.85%]]</f>
        <v>4243.9001591999995</v>
      </c>
      <c r="M5478" s="282" t="e">
        <f>(INDEX(Tabla6[#All],MATCH(Tabla4[[#This Row],[Producto]],Tabla6[[#All],[PRODUCTO]],0),MATCH(Tabla4[[#This Row],[Mes]],Tabla6[#Headers],0)))*(1+Catalogos!$L$2)</f>
        <v>#N/A</v>
      </c>
      <c r="N5478" s="283" t="e">
        <f>+(Tabla4[[#This Row],[Precio Descontado]]-Tabla4[[#This Row],[Precio Base]])*Tabla4[[#This Row],[Cantidad]]</f>
        <v>#N/A</v>
      </c>
      <c r="O5478" s="284" t="e">
        <f>++Tabla4[[#This Row],[Utilidad Total]]/Tabla4[[#This Row],[Total]]</f>
        <v>#N/A</v>
      </c>
      <c r="P5478" s="282">
        <f>++Tabla4[[#This Row],[Precio Descontado]]*Tabla4[[#This Row],[Cantidad]]</f>
        <v>8487.800318399999</v>
      </c>
      <c r="Q5478" s="282" t="e">
        <f>(INDEX(Tabla6[#All],MATCH(Tabla4[[#This Row],[Producto]],Tabla6[[#All],[PRODUCTO]],0),MATCH(Tabla4[[#This Row],[Mes]],Tabla6[#Headers],0)))</f>
        <v>#N/A</v>
      </c>
      <c r="R5478" s="282" t="e">
        <f>++Tabla4[[#This Row],[Precio Unitario Neto]]-Tabla4[[#This Row],[20.85%]]-Tabla4[[#This Row],[Costo]]</f>
        <v>#N/A</v>
      </c>
      <c r="S5478" s="282" t="e">
        <f>++Tabla4[[#This Row],[U. Bruta Uni]]*Tabla4[[#This Row],[Cantidad]]</f>
        <v>#N/A</v>
      </c>
      <c r="T5478" s="369" t="str">
        <f>VLOOKUP(Tabla4[[#This Row],[Producto]],Tabla6[#All],14,FALSE)</f>
        <v>Termico Solar</v>
      </c>
      <c r="U5478" s="284" t="e">
        <f>(IF(Tabla4[[#This Row],[Familia]]="termico solar",Tabla4[[#This Row],[Utilidad Total]]*6%,Tabla4[[#This Row],[Utilidad Total]]*11.5%))/Tabla4[[#This Row],[Total]]</f>
        <v>#N/A</v>
      </c>
      <c r="V5478" s="282" t="e">
        <f>+Tabla4[[#This Row],[Comisión Calculada]]*Tabla4[[#This Row],[Total]]</f>
        <v>#N/A</v>
      </c>
    </row>
    <row r="5479" spans="1:22" hidden="1" x14ac:dyDescent="0.25">
      <c r="A5479" s="100">
        <v>45900</v>
      </c>
      <c r="B5479" t="str">
        <f t="shared" si="266"/>
        <v>August</v>
      </c>
      <c r="C5479" s="46" t="s">
        <v>280</v>
      </c>
      <c r="F5479" s="366" t="s">
        <v>2836</v>
      </c>
      <c r="G5479" s="46" t="s">
        <v>16</v>
      </c>
      <c r="H5479" s="46">
        <v>2</v>
      </c>
      <c r="I5479" s="51">
        <v>4103.8500000000004</v>
      </c>
      <c r="J5479" s="281">
        <f>++Tabla4[[#This Row],[Precio Bruto]]*1.16</f>
        <v>4760.4660000000003</v>
      </c>
      <c r="K5479" s="281">
        <f>+Tabla4[[#This Row],[Precio Unitario Neto]]*Tabla4[[#Headers],[20.85%]]</f>
        <v>992.55716100000006</v>
      </c>
      <c r="L5479" s="282">
        <f>++Tabla4[[#This Row],[Precio Unitario Neto]]-Tabla4[[#This Row],[20.85%]]</f>
        <v>3767.9088390000002</v>
      </c>
      <c r="M5479" s="282" t="e">
        <f>(INDEX(Tabla6[#All],MATCH(Tabla4[[#This Row],[Producto]],Tabla6[[#All],[PRODUCTO]],0),MATCH(Tabla4[[#This Row],[Mes]],Tabla6[#Headers],0)))*(1+Catalogos!$L$2)</f>
        <v>#N/A</v>
      </c>
      <c r="N5479" s="283" t="e">
        <f>+(Tabla4[[#This Row],[Precio Descontado]]-Tabla4[[#This Row],[Precio Base]])*Tabla4[[#This Row],[Cantidad]]</f>
        <v>#N/A</v>
      </c>
      <c r="O5479" s="284" t="e">
        <f>++Tabla4[[#This Row],[Utilidad Total]]/Tabla4[[#This Row],[Total]]</f>
        <v>#N/A</v>
      </c>
      <c r="P5479" s="282">
        <f>++Tabla4[[#This Row],[Precio Descontado]]*Tabla4[[#This Row],[Cantidad]]</f>
        <v>7535.8176780000003</v>
      </c>
      <c r="Q5479" s="282" t="e">
        <f>(INDEX(Tabla6[#All],MATCH(Tabla4[[#This Row],[Producto]],Tabla6[[#All],[PRODUCTO]],0),MATCH(Tabla4[[#This Row],[Mes]],Tabla6[#Headers],0)))</f>
        <v>#N/A</v>
      </c>
      <c r="R5479" s="282" t="e">
        <f>++Tabla4[[#This Row],[Precio Unitario Neto]]-Tabla4[[#This Row],[20.85%]]-Tabla4[[#This Row],[Costo]]</f>
        <v>#N/A</v>
      </c>
      <c r="S5479" s="282" t="e">
        <f>++Tabla4[[#This Row],[U. Bruta Uni]]*Tabla4[[#This Row],[Cantidad]]</f>
        <v>#N/A</v>
      </c>
      <c r="T5479" s="369" t="str">
        <f>VLOOKUP(Tabla4[[#This Row],[Producto]],Tabla6[#All],14,FALSE)</f>
        <v>Termico Solar</v>
      </c>
      <c r="U5479" s="284" t="e">
        <f>(IF(Tabla4[[#This Row],[Familia]]="termico solar",Tabla4[[#This Row],[Utilidad Total]]*6%,Tabla4[[#This Row],[Utilidad Total]]*11.5%))/Tabla4[[#This Row],[Total]]</f>
        <v>#N/A</v>
      </c>
      <c r="V5479" s="282" t="e">
        <f>+Tabla4[[#This Row],[Comisión Calculada]]*Tabla4[[#This Row],[Total]]</f>
        <v>#N/A</v>
      </c>
    </row>
    <row r="5480" spans="1:22" hidden="1" x14ac:dyDescent="0.25">
      <c r="A5480" s="100">
        <v>45900</v>
      </c>
      <c r="B5480" t="str">
        <f t="shared" si="266"/>
        <v>August</v>
      </c>
      <c r="C5480" s="46" t="s">
        <v>280</v>
      </c>
      <c r="F5480" s="366" t="s">
        <v>2837</v>
      </c>
      <c r="G5480" s="46" t="s">
        <v>17</v>
      </c>
      <c r="H5480" s="46">
        <v>1</v>
      </c>
      <c r="I5480" s="51">
        <v>4622.28</v>
      </c>
      <c r="J5480" s="281">
        <f>++Tabla4[[#This Row],[Precio Bruto]]*1.16</f>
        <v>5361.8447999999989</v>
      </c>
      <c r="K5480" s="281">
        <f>+Tabla4[[#This Row],[Precio Unitario Neto]]*Tabla4[[#Headers],[20.85%]]</f>
        <v>1117.9446407999997</v>
      </c>
      <c r="L5480" s="282">
        <f>++Tabla4[[#This Row],[Precio Unitario Neto]]-Tabla4[[#This Row],[20.85%]]</f>
        <v>4243.9001591999995</v>
      </c>
      <c r="M5480" s="282" t="e">
        <f>(INDEX(Tabla6[#All],MATCH(Tabla4[[#This Row],[Producto]],Tabla6[[#All],[PRODUCTO]],0),MATCH(Tabla4[[#This Row],[Mes]],Tabla6[#Headers],0)))*(1+Catalogos!$L$2)</f>
        <v>#N/A</v>
      </c>
      <c r="N5480" s="283" t="e">
        <f>+(Tabla4[[#This Row],[Precio Descontado]]-Tabla4[[#This Row],[Precio Base]])*Tabla4[[#This Row],[Cantidad]]</f>
        <v>#N/A</v>
      </c>
      <c r="O5480" s="284" t="e">
        <f>++Tabla4[[#This Row],[Utilidad Total]]/Tabla4[[#This Row],[Total]]</f>
        <v>#N/A</v>
      </c>
      <c r="P5480" s="282">
        <f>++Tabla4[[#This Row],[Precio Descontado]]*Tabla4[[#This Row],[Cantidad]]</f>
        <v>4243.9001591999995</v>
      </c>
      <c r="Q5480" s="282" t="e">
        <f>(INDEX(Tabla6[#All],MATCH(Tabla4[[#This Row],[Producto]],Tabla6[[#All],[PRODUCTO]],0),MATCH(Tabla4[[#This Row],[Mes]],Tabla6[#Headers],0)))</f>
        <v>#N/A</v>
      </c>
      <c r="R5480" s="282" t="e">
        <f>++Tabla4[[#This Row],[Precio Unitario Neto]]-Tabla4[[#This Row],[20.85%]]-Tabla4[[#This Row],[Costo]]</f>
        <v>#N/A</v>
      </c>
      <c r="S5480" s="282" t="e">
        <f>++Tabla4[[#This Row],[U. Bruta Uni]]*Tabla4[[#This Row],[Cantidad]]</f>
        <v>#N/A</v>
      </c>
      <c r="T5480" s="369" t="str">
        <f>VLOOKUP(Tabla4[[#This Row],[Producto]],Tabla6[#All],14,FALSE)</f>
        <v>Termico Solar</v>
      </c>
      <c r="U5480" s="284" t="e">
        <f>(IF(Tabla4[[#This Row],[Familia]]="termico solar",Tabla4[[#This Row],[Utilidad Total]]*6%,Tabla4[[#This Row],[Utilidad Total]]*11.5%))/Tabla4[[#This Row],[Total]]</f>
        <v>#N/A</v>
      </c>
      <c r="V5480" s="282" t="e">
        <f>+Tabla4[[#This Row],[Comisión Calculada]]*Tabla4[[#This Row],[Total]]</f>
        <v>#N/A</v>
      </c>
    </row>
    <row r="5481" spans="1:22" hidden="1" x14ac:dyDescent="0.25">
      <c r="A5481" s="100">
        <v>45900</v>
      </c>
      <c r="B5481" t="str">
        <f t="shared" si="266"/>
        <v>August</v>
      </c>
      <c r="C5481" s="46" t="s">
        <v>280</v>
      </c>
      <c r="F5481" s="366" t="s">
        <v>2838</v>
      </c>
      <c r="G5481" s="46" t="s">
        <v>17</v>
      </c>
      <c r="H5481" s="46">
        <v>2</v>
      </c>
      <c r="I5481" s="51">
        <v>4622.28</v>
      </c>
      <c r="J5481" s="281">
        <f>++Tabla4[[#This Row],[Precio Bruto]]*1.16</f>
        <v>5361.8447999999989</v>
      </c>
      <c r="K5481" s="281">
        <f>+Tabla4[[#This Row],[Precio Unitario Neto]]*Tabla4[[#Headers],[20.85%]]</f>
        <v>1117.9446407999997</v>
      </c>
      <c r="L5481" s="282">
        <f>++Tabla4[[#This Row],[Precio Unitario Neto]]-Tabla4[[#This Row],[20.85%]]</f>
        <v>4243.9001591999995</v>
      </c>
      <c r="M5481" s="282" t="e">
        <f>(INDEX(Tabla6[#All],MATCH(Tabla4[[#This Row],[Producto]],Tabla6[[#All],[PRODUCTO]],0),MATCH(Tabla4[[#This Row],[Mes]],Tabla6[#Headers],0)))*(1+Catalogos!$L$2)</f>
        <v>#N/A</v>
      </c>
      <c r="N5481" s="283" t="e">
        <f>+(Tabla4[[#This Row],[Precio Descontado]]-Tabla4[[#This Row],[Precio Base]])*Tabla4[[#This Row],[Cantidad]]</f>
        <v>#N/A</v>
      </c>
      <c r="O5481" s="284" t="e">
        <f>++Tabla4[[#This Row],[Utilidad Total]]/Tabla4[[#This Row],[Total]]</f>
        <v>#N/A</v>
      </c>
      <c r="P5481" s="282">
        <f>++Tabla4[[#This Row],[Precio Descontado]]*Tabla4[[#This Row],[Cantidad]]</f>
        <v>8487.800318399999</v>
      </c>
      <c r="Q5481" s="282" t="e">
        <f>(INDEX(Tabla6[#All],MATCH(Tabla4[[#This Row],[Producto]],Tabla6[[#All],[PRODUCTO]],0),MATCH(Tabla4[[#This Row],[Mes]],Tabla6[#Headers],0)))</f>
        <v>#N/A</v>
      </c>
      <c r="R5481" s="282" t="e">
        <f>++Tabla4[[#This Row],[Precio Unitario Neto]]-Tabla4[[#This Row],[20.85%]]-Tabla4[[#This Row],[Costo]]</f>
        <v>#N/A</v>
      </c>
      <c r="S5481" s="282" t="e">
        <f>++Tabla4[[#This Row],[U. Bruta Uni]]*Tabla4[[#This Row],[Cantidad]]</f>
        <v>#N/A</v>
      </c>
      <c r="T5481" s="369" t="str">
        <f>VLOOKUP(Tabla4[[#This Row],[Producto]],Tabla6[#All],14,FALSE)</f>
        <v>Termico Solar</v>
      </c>
      <c r="U5481" s="284" t="e">
        <f>(IF(Tabla4[[#This Row],[Familia]]="termico solar",Tabla4[[#This Row],[Utilidad Total]]*6%,Tabla4[[#This Row],[Utilidad Total]]*11.5%))/Tabla4[[#This Row],[Total]]</f>
        <v>#N/A</v>
      </c>
      <c r="V5481" s="282" t="e">
        <f>+Tabla4[[#This Row],[Comisión Calculada]]*Tabla4[[#This Row],[Total]]</f>
        <v>#N/A</v>
      </c>
    </row>
    <row r="5482" spans="1:22" hidden="1" x14ac:dyDescent="0.25">
      <c r="A5482" s="100">
        <v>45900</v>
      </c>
      <c r="B5482" t="str">
        <f t="shared" si="266"/>
        <v>August</v>
      </c>
      <c r="C5482" s="46" t="s">
        <v>280</v>
      </c>
      <c r="F5482" s="366" t="s">
        <v>2838</v>
      </c>
      <c r="G5482" s="46" t="s">
        <v>18</v>
      </c>
      <c r="H5482" s="46">
        <v>1</v>
      </c>
      <c r="I5482" s="51">
        <v>5367.65</v>
      </c>
      <c r="J5482" s="281">
        <f>++Tabla4[[#This Row],[Precio Bruto]]*1.16</f>
        <v>6226.4739999999993</v>
      </c>
      <c r="K5482" s="281">
        <f>+Tabla4[[#This Row],[Precio Unitario Neto]]*Tabla4[[#Headers],[20.85%]]</f>
        <v>1298.2198289999999</v>
      </c>
      <c r="L5482" s="282">
        <f>++Tabla4[[#This Row],[Precio Unitario Neto]]-Tabla4[[#This Row],[20.85%]]</f>
        <v>4928.2541709999996</v>
      </c>
      <c r="M5482" s="282" t="e">
        <f>(INDEX(Tabla6[#All],MATCH(Tabla4[[#This Row],[Producto]],Tabla6[[#All],[PRODUCTO]],0),MATCH(Tabla4[[#This Row],[Mes]],Tabla6[#Headers],0)))*(1+Catalogos!$L$2)</f>
        <v>#N/A</v>
      </c>
      <c r="N5482" s="283" t="e">
        <f>+(Tabla4[[#This Row],[Precio Descontado]]-Tabla4[[#This Row],[Precio Base]])*Tabla4[[#This Row],[Cantidad]]</f>
        <v>#N/A</v>
      </c>
      <c r="O5482" s="284" t="e">
        <f>++Tabla4[[#This Row],[Utilidad Total]]/Tabla4[[#This Row],[Total]]</f>
        <v>#N/A</v>
      </c>
      <c r="P5482" s="282">
        <f>++Tabla4[[#This Row],[Precio Descontado]]*Tabla4[[#This Row],[Cantidad]]</f>
        <v>4928.2541709999996</v>
      </c>
      <c r="Q5482" s="282" t="e">
        <f>(INDEX(Tabla6[#All],MATCH(Tabla4[[#This Row],[Producto]],Tabla6[[#All],[PRODUCTO]],0),MATCH(Tabla4[[#This Row],[Mes]],Tabla6[#Headers],0)))</f>
        <v>#N/A</v>
      </c>
      <c r="R5482" s="282" t="e">
        <f>++Tabla4[[#This Row],[Precio Unitario Neto]]-Tabla4[[#This Row],[20.85%]]-Tabla4[[#This Row],[Costo]]</f>
        <v>#N/A</v>
      </c>
      <c r="S5482" s="282" t="e">
        <f>++Tabla4[[#This Row],[U. Bruta Uni]]*Tabla4[[#This Row],[Cantidad]]</f>
        <v>#N/A</v>
      </c>
      <c r="T5482" s="369" t="str">
        <f>VLOOKUP(Tabla4[[#This Row],[Producto]],Tabla6[#All],14,FALSE)</f>
        <v>Termico Solar</v>
      </c>
      <c r="U5482" s="284" t="e">
        <f>(IF(Tabla4[[#This Row],[Familia]]="termico solar",Tabla4[[#This Row],[Utilidad Total]]*6%,Tabla4[[#This Row],[Utilidad Total]]*11.5%))/Tabla4[[#This Row],[Total]]</f>
        <v>#N/A</v>
      </c>
      <c r="V5482" s="282" t="e">
        <f>+Tabla4[[#This Row],[Comisión Calculada]]*Tabla4[[#This Row],[Total]]</f>
        <v>#N/A</v>
      </c>
    </row>
    <row r="5483" spans="1:22" hidden="1" x14ac:dyDescent="0.25">
      <c r="A5483" s="100">
        <v>45900</v>
      </c>
      <c r="B5483" t="str">
        <f t="shared" si="266"/>
        <v>August</v>
      </c>
      <c r="C5483" s="46" t="s">
        <v>280</v>
      </c>
      <c r="F5483" s="366" t="s">
        <v>2838</v>
      </c>
      <c r="G5483" s="46" t="s">
        <v>16</v>
      </c>
      <c r="H5483" s="46">
        <v>2</v>
      </c>
      <c r="I5483" s="51">
        <v>4103.8500000000004</v>
      </c>
      <c r="J5483" s="281">
        <f>++Tabla4[[#This Row],[Precio Bruto]]*1.16</f>
        <v>4760.4660000000003</v>
      </c>
      <c r="K5483" s="281">
        <f>+Tabla4[[#This Row],[Precio Unitario Neto]]*Tabla4[[#Headers],[20.85%]]</f>
        <v>992.55716100000006</v>
      </c>
      <c r="L5483" s="282">
        <f>++Tabla4[[#This Row],[Precio Unitario Neto]]-Tabla4[[#This Row],[20.85%]]</f>
        <v>3767.9088390000002</v>
      </c>
      <c r="M5483" s="282" t="e">
        <f>(INDEX(Tabla6[#All],MATCH(Tabla4[[#This Row],[Producto]],Tabla6[[#All],[PRODUCTO]],0),MATCH(Tabla4[[#This Row],[Mes]],Tabla6[#Headers],0)))*(1+Catalogos!$L$2)</f>
        <v>#N/A</v>
      </c>
      <c r="N5483" s="283" t="e">
        <f>+(Tabla4[[#This Row],[Precio Descontado]]-Tabla4[[#This Row],[Precio Base]])*Tabla4[[#This Row],[Cantidad]]</f>
        <v>#N/A</v>
      </c>
      <c r="O5483" s="284" t="e">
        <f>++Tabla4[[#This Row],[Utilidad Total]]/Tabla4[[#This Row],[Total]]</f>
        <v>#N/A</v>
      </c>
      <c r="P5483" s="282">
        <f>++Tabla4[[#This Row],[Precio Descontado]]*Tabla4[[#This Row],[Cantidad]]</f>
        <v>7535.8176780000003</v>
      </c>
      <c r="Q5483" s="282" t="e">
        <f>(INDEX(Tabla6[#All],MATCH(Tabla4[[#This Row],[Producto]],Tabla6[[#All],[PRODUCTO]],0),MATCH(Tabla4[[#This Row],[Mes]],Tabla6[#Headers],0)))</f>
        <v>#N/A</v>
      </c>
      <c r="R5483" s="282" t="e">
        <f>++Tabla4[[#This Row],[Precio Unitario Neto]]-Tabla4[[#This Row],[20.85%]]-Tabla4[[#This Row],[Costo]]</f>
        <v>#N/A</v>
      </c>
      <c r="S5483" s="282" t="e">
        <f>++Tabla4[[#This Row],[U. Bruta Uni]]*Tabla4[[#This Row],[Cantidad]]</f>
        <v>#N/A</v>
      </c>
      <c r="T5483" s="369" t="str">
        <f>VLOOKUP(Tabla4[[#This Row],[Producto]],Tabla6[#All],14,FALSE)</f>
        <v>Termico Solar</v>
      </c>
      <c r="U5483" s="284" t="e">
        <f>(IF(Tabla4[[#This Row],[Familia]]="termico solar",Tabla4[[#This Row],[Utilidad Total]]*6%,Tabla4[[#This Row],[Utilidad Total]]*11.5%))/Tabla4[[#This Row],[Total]]</f>
        <v>#N/A</v>
      </c>
      <c r="V5483" s="282" t="e">
        <f>+Tabla4[[#This Row],[Comisión Calculada]]*Tabla4[[#This Row],[Total]]</f>
        <v>#N/A</v>
      </c>
    </row>
    <row r="5484" spans="1:22" hidden="1" x14ac:dyDescent="0.25">
      <c r="A5484" s="100">
        <v>45900</v>
      </c>
      <c r="B5484" t="str">
        <f t="shared" si="266"/>
        <v>August</v>
      </c>
      <c r="C5484" s="46" t="s">
        <v>280</v>
      </c>
      <c r="F5484" s="366" t="s">
        <v>2838</v>
      </c>
      <c r="G5484" s="46" t="s">
        <v>208</v>
      </c>
      <c r="H5484" s="46">
        <v>1</v>
      </c>
      <c r="I5484" s="51">
        <v>189.75</v>
      </c>
      <c r="J5484" s="281">
        <f>++Tabla4[[#This Row],[Precio Bruto]]*1.16</f>
        <v>220.10999999999999</v>
      </c>
      <c r="K5484" s="281">
        <f>+Tabla4[[#This Row],[Precio Unitario Neto]]*Tabla4[[#Headers],[20.85%]]</f>
        <v>45.892934999999994</v>
      </c>
      <c r="L5484" s="282">
        <f>++Tabla4[[#This Row],[Precio Unitario Neto]]-Tabla4[[#This Row],[20.85%]]</f>
        <v>174.21706499999999</v>
      </c>
      <c r="M5484" s="282" t="e">
        <f>(INDEX(Tabla6[#All],MATCH(Tabla4[[#This Row],[Producto]],Tabla6[[#All],[PRODUCTO]],0),MATCH(Tabla4[[#This Row],[Mes]],Tabla6[#Headers],0)))*(1+Catalogos!$L$2)</f>
        <v>#N/A</v>
      </c>
      <c r="N5484" s="283" t="e">
        <f>+(Tabla4[[#This Row],[Precio Descontado]]-Tabla4[[#This Row],[Precio Base]])*Tabla4[[#This Row],[Cantidad]]</f>
        <v>#N/A</v>
      </c>
      <c r="O5484" s="284" t="e">
        <f>++Tabla4[[#This Row],[Utilidad Total]]/Tabla4[[#This Row],[Total]]</f>
        <v>#N/A</v>
      </c>
      <c r="P5484" s="282">
        <f>++Tabla4[[#This Row],[Precio Descontado]]*Tabla4[[#This Row],[Cantidad]]</f>
        <v>174.21706499999999</v>
      </c>
      <c r="Q5484" s="282" t="e">
        <f>(INDEX(Tabla6[#All],MATCH(Tabla4[[#This Row],[Producto]],Tabla6[[#All],[PRODUCTO]],0),MATCH(Tabla4[[#This Row],[Mes]],Tabla6[#Headers],0)))</f>
        <v>#N/A</v>
      </c>
      <c r="R5484" s="282" t="e">
        <f>++Tabla4[[#This Row],[Precio Unitario Neto]]-Tabla4[[#This Row],[20.85%]]-Tabla4[[#This Row],[Costo]]</f>
        <v>#N/A</v>
      </c>
      <c r="S5484" s="282" t="e">
        <f>++Tabla4[[#This Row],[U. Bruta Uni]]*Tabla4[[#This Row],[Cantidad]]</f>
        <v>#N/A</v>
      </c>
      <c r="T5484" s="369" t="str">
        <f>VLOOKUP(Tabla4[[#This Row],[Producto]],Tabla6[#All],14,FALSE)</f>
        <v>Termico Solar</v>
      </c>
      <c r="U5484" s="284" t="e">
        <f>(IF(Tabla4[[#This Row],[Familia]]="termico solar",Tabla4[[#This Row],[Utilidad Total]]*6%,Tabla4[[#This Row],[Utilidad Total]]*11.5%))/Tabla4[[#This Row],[Total]]</f>
        <v>#N/A</v>
      </c>
      <c r="V5484" s="282" t="e">
        <f>+Tabla4[[#This Row],[Comisión Calculada]]*Tabla4[[#This Row],[Total]]</f>
        <v>#N/A</v>
      </c>
    </row>
    <row r="5485" spans="1:22" hidden="1" x14ac:dyDescent="0.25">
      <c r="A5485" s="100">
        <v>45900</v>
      </c>
      <c r="B5485" t="str">
        <f t="shared" si="266"/>
        <v>August</v>
      </c>
      <c r="C5485" s="46" t="s">
        <v>280</v>
      </c>
      <c r="F5485" s="366" t="s">
        <v>2839</v>
      </c>
      <c r="G5485" s="46" t="s">
        <v>17</v>
      </c>
      <c r="H5485" s="46">
        <v>1</v>
      </c>
      <c r="I5485" s="51">
        <v>4622.28</v>
      </c>
      <c r="J5485" s="281">
        <f>++Tabla4[[#This Row],[Precio Bruto]]*1.16</f>
        <v>5361.8447999999989</v>
      </c>
      <c r="K5485" s="281">
        <f>+Tabla4[[#This Row],[Precio Unitario Neto]]*Tabla4[[#Headers],[20.85%]]</f>
        <v>1117.9446407999997</v>
      </c>
      <c r="L5485" s="282">
        <f>++Tabla4[[#This Row],[Precio Unitario Neto]]-Tabla4[[#This Row],[20.85%]]</f>
        <v>4243.9001591999995</v>
      </c>
      <c r="M5485" s="282" t="e">
        <f>(INDEX(Tabla6[#All],MATCH(Tabla4[[#This Row],[Producto]],Tabla6[[#All],[PRODUCTO]],0),MATCH(Tabla4[[#This Row],[Mes]],Tabla6[#Headers],0)))*(1+Catalogos!$L$2)</f>
        <v>#N/A</v>
      </c>
      <c r="N5485" s="283" t="e">
        <f>+(Tabla4[[#This Row],[Precio Descontado]]-Tabla4[[#This Row],[Precio Base]])*Tabla4[[#This Row],[Cantidad]]</f>
        <v>#N/A</v>
      </c>
      <c r="O5485" s="284" t="e">
        <f>++Tabla4[[#This Row],[Utilidad Total]]/Tabla4[[#This Row],[Total]]</f>
        <v>#N/A</v>
      </c>
      <c r="P5485" s="282">
        <f>++Tabla4[[#This Row],[Precio Descontado]]*Tabla4[[#This Row],[Cantidad]]</f>
        <v>4243.9001591999995</v>
      </c>
      <c r="Q5485" s="282" t="e">
        <f>(INDEX(Tabla6[#All],MATCH(Tabla4[[#This Row],[Producto]],Tabla6[[#All],[PRODUCTO]],0),MATCH(Tabla4[[#This Row],[Mes]],Tabla6[#Headers],0)))</f>
        <v>#N/A</v>
      </c>
      <c r="R5485" s="282" t="e">
        <f>++Tabla4[[#This Row],[Precio Unitario Neto]]-Tabla4[[#This Row],[20.85%]]-Tabla4[[#This Row],[Costo]]</f>
        <v>#N/A</v>
      </c>
      <c r="S5485" s="282" t="e">
        <f>++Tabla4[[#This Row],[U. Bruta Uni]]*Tabla4[[#This Row],[Cantidad]]</f>
        <v>#N/A</v>
      </c>
      <c r="T5485" s="369" t="str">
        <f>VLOOKUP(Tabla4[[#This Row],[Producto]],Tabla6[#All],14,FALSE)</f>
        <v>Termico Solar</v>
      </c>
      <c r="U5485" s="284" t="e">
        <f>(IF(Tabla4[[#This Row],[Familia]]="termico solar",Tabla4[[#This Row],[Utilidad Total]]*6%,Tabla4[[#This Row],[Utilidad Total]]*11.5%))/Tabla4[[#This Row],[Total]]</f>
        <v>#N/A</v>
      </c>
      <c r="V5485" s="282" t="e">
        <f>+Tabla4[[#This Row],[Comisión Calculada]]*Tabla4[[#This Row],[Total]]</f>
        <v>#N/A</v>
      </c>
    </row>
    <row r="5486" spans="1:22" hidden="1" x14ac:dyDescent="0.25">
      <c r="A5486" s="100">
        <v>45900</v>
      </c>
      <c r="B5486" t="str">
        <f t="shared" si="266"/>
        <v>August</v>
      </c>
      <c r="C5486" s="46" t="s">
        <v>280</v>
      </c>
      <c r="F5486" s="366" t="s">
        <v>2839</v>
      </c>
      <c r="G5486" s="46" t="s">
        <v>208</v>
      </c>
      <c r="H5486" s="46">
        <v>1</v>
      </c>
      <c r="I5486" s="51">
        <v>189.75</v>
      </c>
      <c r="J5486" s="281">
        <f>++Tabla4[[#This Row],[Precio Bruto]]*1.16</f>
        <v>220.10999999999999</v>
      </c>
      <c r="K5486" s="281">
        <f>+Tabla4[[#This Row],[Precio Unitario Neto]]*Tabla4[[#Headers],[20.85%]]</f>
        <v>45.892934999999994</v>
      </c>
      <c r="L5486" s="282">
        <f>++Tabla4[[#This Row],[Precio Unitario Neto]]-Tabla4[[#This Row],[20.85%]]</f>
        <v>174.21706499999999</v>
      </c>
      <c r="M5486" s="282" t="e">
        <f>(INDEX(Tabla6[#All],MATCH(Tabla4[[#This Row],[Producto]],Tabla6[[#All],[PRODUCTO]],0),MATCH(Tabla4[[#This Row],[Mes]],Tabla6[#Headers],0)))*(1+Catalogos!$L$2)</f>
        <v>#N/A</v>
      </c>
      <c r="N5486" s="283" t="e">
        <f>+(Tabla4[[#This Row],[Precio Descontado]]-Tabla4[[#This Row],[Precio Base]])*Tabla4[[#This Row],[Cantidad]]</f>
        <v>#N/A</v>
      </c>
      <c r="O5486" s="284" t="e">
        <f>++Tabla4[[#This Row],[Utilidad Total]]/Tabla4[[#This Row],[Total]]</f>
        <v>#N/A</v>
      </c>
      <c r="P5486" s="282">
        <f>++Tabla4[[#This Row],[Precio Descontado]]*Tabla4[[#This Row],[Cantidad]]</f>
        <v>174.21706499999999</v>
      </c>
      <c r="Q5486" s="282" t="e">
        <f>(INDEX(Tabla6[#All],MATCH(Tabla4[[#This Row],[Producto]],Tabla6[[#All],[PRODUCTO]],0),MATCH(Tabla4[[#This Row],[Mes]],Tabla6[#Headers],0)))</f>
        <v>#N/A</v>
      </c>
      <c r="R5486" s="282" t="e">
        <f>++Tabla4[[#This Row],[Precio Unitario Neto]]-Tabla4[[#This Row],[20.85%]]-Tabla4[[#This Row],[Costo]]</f>
        <v>#N/A</v>
      </c>
      <c r="S5486" s="282" t="e">
        <f>++Tabla4[[#This Row],[U. Bruta Uni]]*Tabla4[[#This Row],[Cantidad]]</f>
        <v>#N/A</v>
      </c>
      <c r="T5486" s="369" t="str">
        <f>VLOOKUP(Tabla4[[#This Row],[Producto]],Tabla6[#All],14,FALSE)</f>
        <v>Termico Solar</v>
      </c>
      <c r="U5486" s="284" t="e">
        <f>(IF(Tabla4[[#This Row],[Familia]]="termico solar",Tabla4[[#This Row],[Utilidad Total]]*6%,Tabla4[[#This Row],[Utilidad Total]]*11.5%))/Tabla4[[#This Row],[Total]]</f>
        <v>#N/A</v>
      </c>
      <c r="V5486" s="282" t="e">
        <f>+Tabla4[[#This Row],[Comisión Calculada]]*Tabla4[[#This Row],[Total]]</f>
        <v>#N/A</v>
      </c>
    </row>
    <row r="5487" spans="1:22" hidden="1" x14ac:dyDescent="0.25">
      <c r="A5487" s="100">
        <v>45900</v>
      </c>
      <c r="B5487" t="str">
        <f t="shared" si="266"/>
        <v>August</v>
      </c>
      <c r="C5487" s="46" t="s">
        <v>280</v>
      </c>
      <c r="F5487" s="366" t="s">
        <v>2840</v>
      </c>
      <c r="G5487" s="46" t="s">
        <v>83</v>
      </c>
      <c r="H5487" s="46">
        <v>1</v>
      </c>
      <c r="I5487" s="51">
        <v>8858.76</v>
      </c>
      <c r="J5487" s="281">
        <f>++Tabla4[[#This Row],[Precio Bruto]]*1.16</f>
        <v>10276.161599999999</v>
      </c>
      <c r="K5487" s="281">
        <f>+Tabla4[[#This Row],[Precio Unitario Neto]]*Tabla4[[#Headers],[20.85%]]</f>
        <v>2142.5796935999997</v>
      </c>
      <c r="L5487" s="282">
        <f>++Tabla4[[#This Row],[Precio Unitario Neto]]-Tabla4[[#This Row],[20.85%]]</f>
        <v>8133.5819063999998</v>
      </c>
      <c r="M5487" s="282" t="e">
        <f>(INDEX(Tabla6[#All],MATCH(Tabla4[[#This Row],[Producto]],Tabla6[[#All],[PRODUCTO]],0),MATCH(Tabla4[[#This Row],[Mes]],Tabla6[#Headers],0)))*(1+Catalogos!$L$2)</f>
        <v>#N/A</v>
      </c>
      <c r="N5487" s="283" t="e">
        <f>+(Tabla4[[#This Row],[Precio Descontado]]-Tabla4[[#This Row],[Precio Base]])*Tabla4[[#This Row],[Cantidad]]</f>
        <v>#N/A</v>
      </c>
      <c r="O5487" s="284" t="e">
        <f>++Tabla4[[#This Row],[Utilidad Total]]/Tabla4[[#This Row],[Total]]</f>
        <v>#N/A</v>
      </c>
      <c r="P5487" s="282">
        <f>++Tabla4[[#This Row],[Precio Descontado]]*Tabla4[[#This Row],[Cantidad]]</f>
        <v>8133.5819063999998</v>
      </c>
      <c r="Q5487" s="282" t="e">
        <f>(INDEX(Tabla6[#All],MATCH(Tabla4[[#This Row],[Producto]],Tabla6[[#All],[PRODUCTO]],0),MATCH(Tabla4[[#This Row],[Mes]],Tabla6[#Headers],0)))</f>
        <v>#N/A</v>
      </c>
      <c r="R5487" s="282" t="e">
        <f>++Tabla4[[#This Row],[Precio Unitario Neto]]-Tabla4[[#This Row],[20.85%]]-Tabla4[[#This Row],[Costo]]</f>
        <v>#N/A</v>
      </c>
      <c r="S5487" s="282" t="e">
        <f>++Tabla4[[#This Row],[U. Bruta Uni]]*Tabla4[[#This Row],[Cantidad]]</f>
        <v>#N/A</v>
      </c>
      <c r="T5487" s="369" t="str">
        <f>VLOOKUP(Tabla4[[#This Row],[Producto]],Tabla6[#All],14,FALSE)</f>
        <v>Termico Solar</v>
      </c>
      <c r="U5487" s="284" t="e">
        <f>(IF(Tabla4[[#This Row],[Familia]]="termico solar",Tabla4[[#This Row],[Utilidad Total]]*6%,Tabla4[[#This Row],[Utilidad Total]]*11.5%))/Tabla4[[#This Row],[Total]]</f>
        <v>#N/A</v>
      </c>
      <c r="V5487" s="282" t="e">
        <f>+Tabla4[[#This Row],[Comisión Calculada]]*Tabla4[[#This Row],[Total]]</f>
        <v>#N/A</v>
      </c>
    </row>
    <row r="5488" spans="1:22" hidden="1" x14ac:dyDescent="0.25">
      <c r="A5488" s="100">
        <v>45900</v>
      </c>
      <c r="B5488" t="str">
        <f t="shared" si="266"/>
        <v>August</v>
      </c>
      <c r="C5488" s="46" t="s">
        <v>280</v>
      </c>
      <c r="F5488" s="366" t="s">
        <v>2840</v>
      </c>
      <c r="G5488" s="46" t="s">
        <v>17</v>
      </c>
      <c r="H5488" s="46">
        <v>1</v>
      </c>
      <c r="I5488" s="51">
        <v>4622.28</v>
      </c>
      <c r="J5488" s="281">
        <f>++Tabla4[[#This Row],[Precio Bruto]]*1.16</f>
        <v>5361.8447999999989</v>
      </c>
      <c r="K5488" s="281">
        <f>+Tabla4[[#This Row],[Precio Unitario Neto]]*Tabla4[[#Headers],[20.85%]]</f>
        <v>1117.9446407999997</v>
      </c>
      <c r="L5488" s="282">
        <f>++Tabla4[[#This Row],[Precio Unitario Neto]]-Tabla4[[#This Row],[20.85%]]</f>
        <v>4243.9001591999995</v>
      </c>
      <c r="M5488" s="282" t="e">
        <f>(INDEX(Tabla6[#All],MATCH(Tabla4[[#This Row],[Producto]],Tabla6[[#All],[PRODUCTO]],0),MATCH(Tabla4[[#This Row],[Mes]],Tabla6[#Headers],0)))*(1+Catalogos!$L$2)</f>
        <v>#N/A</v>
      </c>
      <c r="N5488" s="283" t="e">
        <f>+(Tabla4[[#This Row],[Precio Descontado]]-Tabla4[[#This Row],[Precio Base]])*Tabla4[[#This Row],[Cantidad]]</f>
        <v>#N/A</v>
      </c>
      <c r="O5488" s="284" t="e">
        <f>++Tabla4[[#This Row],[Utilidad Total]]/Tabla4[[#This Row],[Total]]</f>
        <v>#N/A</v>
      </c>
      <c r="P5488" s="282">
        <f>++Tabla4[[#This Row],[Precio Descontado]]*Tabla4[[#This Row],[Cantidad]]</f>
        <v>4243.9001591999995</v>
      </c>
      <c r="Q5488" s="282" t="e">
        <f>(INDEX(Tabla6[#All],MATCH(Tabla4[[#This Row],[Producto]],Tabla6[[#All],[PRODUCTO]],0),MATCH(Tabla4[[#This Row],[Mes]],Tabla6[#Headers],0)))</f>
        <v>#N/A</v>
      </c>
      <c r="R5488" s="282" t="e">
        <f>++Tabla4[[#This Row],[Precio Unitario Neto]]-Tabla4[[#This Row],[20.85%]]-Tabla4[[#This Row],[Costo]]</f>
        <v>#N/A</v>
      </c>
      <c r="S5488" s="282" t="e">
        <f>++Tabla4[[#This Row],[U. Bruta Uni]]*Tabla4[[#This Row],[Cantidad]]</f>
        <v>#N/A</v>
      </c>
      <c r="T5488" s="369" t="str">
        <f>VLOOKUP(Tabla4[[#This Row],[Producto]],Tabla6[#All],14,FALSE)</f>
        <v>Termico Solar</v>
      </c>
      <c r="U5488" s="284" t="e">
        <f>(IF(Tabla4[[#This Row],[Familia]]="termico solar",Tabla4[[#This Row],[Utilidad Total]]*6%,Tabla4[[#This Row],[Utilidad Total]]*11.5%))/Tabla4[[#This Row],[Total]]</f>
        <v>#N/A</v>
      </c>
      <c r="V5488" s="282" t="e">
        <f>+Tabla4[[#This Row],[Comisión Calculada]]*Tabla4[[#This Row],[Total]]</f>
        <v>#N/A</v>
      </c>
    </row>
    <row r="5489" spans="1:22" hidden="1" x14ac:dyDescent="0.25">
      <c r="A5489" s="100">
        <v>45900</v>
      </c>
      <c r="B5489" t="str">
        <f t="shared" si="266"/>
        <v>August</v>
      </c>
      <c r="C5489" s="46" t="s">
        <v>280</v>
      </c>
      <c r="F5489" s="366" t="s">
        <v>2840</v>
      </c>
      <c r="G5489" s="46" t="s">
        <v>18</v>
      </c>
      <c r="H5489" s="46">
        <v>2</v>
      </c>
      <c r="I5489" s="51">
        <v>5367.65</v>
      </c>
      <c r="J5489" s="281">
        <f>++Tabla4[[#This Row],[Precio Bruto]]*1.16</f>
        <v>6226.4739999999993</v>
      </c>
      <c r="K5489" s="281">
        <f>+Tabla4[[#This Row],[Precio Unitario Neto]]*Tabla4[[#Headers],[20.85%]]</f>
        <v>1298.2198289999999</v>
      </c>
      <c r="L5489" s="282">
        <f>++Tabla4[[#This Row],[Precio Unitario Neto]]-Tabla4[[#This Row],[20.85%]]</f>
        <v>4928.2541709999996</v>
      </c>
      <c r="M5489" s="282" t="e">
        <f>(INDEX(Tabla6[#All],MATCH(Tabla4[[#This Row],[Producto]],Tabla6[[#All],[PRODUCTO]],0),MATCH(Tabla4[[#This Row],[Mes]],Tabla6[#Headers],0)))*(1+Catalogos!$L$2)</f>
        <v>#N/A</v>
      </c>
      <c r="N5489" s="283" t="e">
        <f>+(Tabla4[[#This Row],[Precio Descontado]]-Tabla4[[#This Row],[Precio Base]])*Tabla4[[#This Row],[Cantidad]]</f>
        <v>#N/A</v>
      </c>
      <c r="O5489" s="284" t="e">
        <f>++Tabla4[[#This Row],[Utilidad Total]]/Tabla4[[#This Row],[Total]]</f>
        <v>#N/A</v>
      </c>
      <c r="P5489" s="282">
        <f>++Tabla4[[#This Row],[Precio Descontado]]*Tabla4[[#This Row],[Cantidad]]</f>
        <v>9856.5083419999992</v>
      </c>
      <c r="Q5489" s="282" t="e">
        <f>(INDEX(Tabla6[#All],MATCH(Tabla4[[#This Row],[Producto]],Tabla6[[#All],[PRODUCTO]],0),MATCH(Tabla4[[#This Row],[Mes]],Tabla6[#Headers],0)))</f>
        <v>#N/A</v>
      </c>
      <c r="R5489" s="282" t="e">
        <f>++Tabla4[[#This Row],[Precio Unitario Neto]]-Tabla4[[#This Row],[20.85%]]-Tabla4[[#This Row],[Costo]]</f>
        <v>#N/A</v>
      </c>
      <c r="S5489" s="282" t="e">
        <f>++Tabla4[[#This Row],[U. Bruta Uni]]*Tabla4[[#This Row],[Cantidad]]</f>
        <v>#N/A</v>
      </c>
      <c r="T5489" s="369" t="str">
        <f>VLOOKUP(Tabla4[[#This Row],[Producto]],Tabla6[#All],14,FALSE)</f>
        <v>Termico Solar</v>
      </c>
      <c r="U5489" s="284" t="e">
        <f>(IF(Tabla4[[#This Row],[Familia]]="termico solar",Tabla4[[#This Row],[Utilidad Total]]*6%,Tabla4[[#This Row],[Utilidad Total]]*11.5%))/Tabla4[[#This Row],[Total]]</f>
        <v>#N/A</v>
      </c>
      <c r="V5489" s="282" t="e">
        <f>+Tabla4[[#This Row],[Comisión Calculada]]*Tabla4[[#This Row],[Total]]</f>
        <v>#N/A</v>
      </c>
    </row>
    <row r="5490" spans="1:22" hidden="1" x14ac:dyDescent="0.25">
      <c r="A5490" s="100">
        <v>45900</v>
      </c>
      <c r="B5490" t="str">
        <f t="shared" si="266"/>
        <v>August</v>
      </c>
      <c r="C5490" s="46" t="s">
        <v>280</v>
      </c>
      <c r="F5490" s="366" t="s">
        <v>2840</v>
      </c>
      <c r="G5490" s="46" t="s">
        <v>208</v>
      </c>
      <c r="H5490" s="46">
        <v>2</v>
      </c>
      <c r="I5490" s="51">
        <v>189.75</v>
      </c>
      <c r="J5490" s="281">
        <f>++Tabla4[[#This Row],[Precio Bruto]]*1.16</f>
        <v>220.10999999999999</v>
      </c>
      <c r="K5490" s="281">
        <f>+Tabla4[[#This Row],[Precio Unitario Neto]]*Tabla4[[#Headers],[20.85%]]</f>
        <v>45.892934999999994</v>
      </c>
      <c r="L5490" s="282">
        <f>++Tabla4[[#This Row],[Precio Unitario Neto]]-Tabla4[[#This Row],[20.85%]]</f>
        <v>174.21706499999999</v>
      </c>
      <c r="M5490" s="282" t="e">
        <f>(INDEX(Tabla6[#All],MATCH(Tabla4[[#This Row],[Producto]],Tabla6[[#All],[PRODUCTO]],0),MATCH(Tabla4[[#This Row],[Mes]],Tabla6[#Headers],0)))*(1+Catalogos!$L$2)</f>
        <v>#N/A</v>
      </c>
      <c r="N5490" s="283" t="e">
        <f>+(Tabla4[[#This Row],[Precio Descontado]]-Tabla4[[#This Row],[Precio Base]])*Tabla4[[#This Row],[Cantidad]]</f>
        <v>#N/A</v>
      </c>
      <c r="O5490" s="284" t="e">
        <f>++Tabla4[[#This Row],[Utilidad Total]]/Tabla4[[#This Row],[Total]]</f>
        <v>#N/A</v>
      </c>
      <c r="P5490" s="282">
        <f>++Tabla4[[#This Row],[Precio Descontado]]*Tabla4[[#This Row],[Cantidad]]</f>
        <v>348.43412999999998</v>
      </c>
      <c r="Q5490" s="282" t="e">
        <f>(INDEX(Tabla6[#All],MATCH(Tabla4[[#This Row],[Producto]],Tabla6[[#All],[PRODUCTO]],0),MATCH(Tabla4[[#This Row],[Mes]],Tabla6[#Headers],0)))</f>
        <v>#N/A</v>
      </c>
      <c r="R5490" s="282" t="e">
        <f>++Tabla4[[#This Row],[Precio Unitario Neto]]-Tabla4[[#This Row],[20.85%]]-Tabla4[[#This Row],[Costo]]</f>
        <v>#N/A</v>
      </c>
      <c r="S5490" s="282" t="e">
        <f>++Tabla4[[#This Row],[U. Bruta Uni]]*Tabla4[[#This Row],[Cantidad]]</f>
        <v>#N/A</v>
      </c>
      <c r="T5490" s="369" t="str">
        <f>VLOOKUP(Tabla4[[#This Row],[Producto]],Tabla6[#All],14,FALSE)</f>
        <v>Termico Solar</v>
      </c>
      <c r="U5490" s="284" t="e">
        <f>(IF(Tabla4[[#This Row],[Familia]]="termico solar",Tabla4[[#This Row],[Utilidad Total]]*6%,Tabla4[[#This Row],[Utilidad Total]]*11.5%))/Tabla4[[#This Row],[Total]]</f>
        <v>#N/A</v>
      </c>
      <c r="V5490" s="282" t="e">
        <f>+Tabla4[[#This Row],[Comisión Calculada]]*Tabla4[[#This Row],[Total]]</f>
        <v>#N/A</v>
      </c>
    </row>
    <row r="5491" spans="1:22" hidden="1" x14ac:dyDescent="0.25">
      <c r="A5491" s="100">
        <v>45900</v>
      </c>
      <c r="B5491" t="str">
        <f t="shared" si="266"/>
        <v>August</v>
      </c>
      <c r="C5491" s="46" t="s">
        <v>280</v>
      </c>
      <c r="F5491" s="366" t="s">
        <v>2841</v>
      </c>
      <c r="G5491" s="46" t="s">
        <v>208</v>
      </c>
      <c r="H5491" s="46">
        <v>3</v>
      </c>
      <c r="I5491" s="51">
        <v>189.75</v>
      </c>
      <c r="J5491" s="281">
        <f>++Tabla4[[#This Row],[Precio Bruto]]*1.16</f>
        <v>220.10999999999999</v>
      </c>
      <c r="K5491" s="281">
        <f>+Tabla4[[#This Row],[Precio Unitario Neto]]*Tabla4[[#Headers],[20.85%]]</f>
        <v>45.892934999999994</v>
      </c>
      <c r="L5491" s="282">
        <f>++Tabla4[[#This Row],[Precio Unitario Neto]]-Tabla4[[#This Row],[20.85%]]</f>
        <v>174.21706499999999</v>
      </c>
      <c r="M5491" s="282" t="e">
        <f>(INDEX(Tabla6[#All],MATCH(Tabla4[[#This Row],[Producto]],Tabla6[[#All],[PRODUCTO]],0),MATCH(Tabla4[[#This Row],[Mes]],Tabla6[#Headers],0)))*(1+Catalogos!$L$2)</f>
        <v>#N/A</v>
      </c>
      <c r="N5491" s="283" t="e">
        <f>+(Tabla4[[#This Row],[Precio Descontado]]-Tabla4[[#This Row],[Precio Base]])*Tabla4[[#This Row],[Cantidad]]</f>
        <v>#N/A</v>
      </c>
      <c r="O5491" s="284" t="e">
        <f>++Tabla4[[#This Row],[Utilidad Total]]/Tabla4[[#This Row],[Total]]</f>
        <v>#N/A</v>
      </c>
      <c r="P5491" s="282">
        <f>++Tabla4[[#This Row],[Precio Descontado]]*Tabla4[[#This Row],[Cantidad]]</f>
        <v>522.65119499999992</v>
      </c>
      <c r="Q5491" s="282" t="e">
        <f>(INDEX(Tabla6[#All],MATCH(Tabla4[[#This Row],[Producto]],Tabla6[[#All],[PRODUCTO]],0),MATCH(Tabla4[[#This Row],[Mes]],Tabla6[#Headers],0)))</f>
        <v>#N/A</v>
      </c>
      <c r="R5491" s="282" t="e">
        <f>++Tabla4[[#This Row],[Precio Unitario Neto]]-Tabla4[[#This Row],[20.85%]]-Tabla4[[#This Row],[Costo]]</f>
        <v>#N/A</v>
      </c>
      <c r="S5491" s="282" t="e">
        <f>++Tabla4[[#This Row],[U. Bruta Uni]]*Tabla4[[#This Row],[Cantidad]]</f>
        <v>#N/A</v>
      </c>
      <c r="T5491" s="369" t="str">
        <f>VLOOKUP(Tabla4[[#This Row],[Producto]],Tabla6[#All],14,FALSE)</f>
        <v>Termico Solar</v>
      </c>
      <c r="U5491" s="284" t="e">
        <f>(IF(Tabla4[[#This Row],[Familia]]="termico solar",Tabla4[[#This Row],[Utilidad Total]]*6%,Tabla4[[#This Row],[Utilidad Total]]*11.5%))/Tabla4[[#This Row],[Total]]</f>
        <v>#N/A</v>
      </c>
      <c r="V5491" s="282" t="e">
        <f>+Tabla4[[#This Row],[Comisión Calculada]]*Tabla4[[#This Row],[Total]]</f>
        <v>#N/A</v>
      </c>
    </row>
    <row r="5492" spans="1:22" hidden="1" x14ac:dyDescent="0.25">
      <c r="A5492" s="100">
        <v>45900</v>
      </c>
      <c r="B5492" t="str">
        <f t="shared" si="266"/>
        <v>August</v>
      </c>
      <c r="C5492" s="46" t="s">
        <v>280</v>
      </c>
      <c r="F5492" s="366" t="s">
        <v>2842</v>
      </c>
      <c r="G5492" s="46" t="s">
        <v>17</v>
      </c>
      <c r="H5492" s="46">
        <v>1</v>
      </c>
      <c r="I5492" s="51">
        <v>4622.28</v>
      </c>
      <c r="J5492" s="281">
        <f>++Tabla4[[#This Row],[Precio Bruto]]*1.16</f>
        <v>5361.8447999999989</v>
      </c>
      <c r="K5492" s="281">
        <f>+Tabla4[[#This Row],[Precio Unitario Neto]]*Tabla4[[#Headers],[20.85%]]</f>
        <v>1117.9446407999997</v>
      </c>
      <c r="L5492" s="282">
        <f>++Tabla4[[#This Row],[Precio Unitario Neto]]-Tabla4[[#This Row],[20.85%]]</f>
        <v>4243.9001591999995</v>
      </c>
      <c r="M5492" s="282" t="e">
        <f>(INDEX(Tabla6[#All],MATCH(Tabla4[[#This Row],[Producto]],Tabla6[[#All],[PRODUCTO]],0),MATCH(Tabla4[[#This Row],[Mes]],Tabla6[#Headers],0)))*(1+Catalogos!$L$2)</f>
        <v>#N/A</v>
      </c>
      <c r="N5492" s="283" t="e">
        <f>+(Tabla4[[#This Row],[Precio Descontado]]-Tabla4[[#This Row],[Precio Base]])*Tabla4[[#This Row],[Cantidad]]</f>
        <v>#N/A</v>
      </c>
      <c r="O5492" s="284" t="e">
        <f>++Tabla4[[#This Row],[Utilidad Total]]/Tabla4[[#This Row],[Total]]</f>
        <v>#N/A</v>
      </c>
      <c r="P5492" s="282">
        <f>++Tabla4[[#This Row],[Precio Descontado]]*Tabla4[[#This Row],[Cantidad]]</f>
        <v>4243.9001591999995</v>
      </c>
      <c r="Q5492" s="282" t="e">
        <f>(INDEX(Tabla6[#All],MATCH(Tabla4[[#This Row],[Producto]],Tabla6[[#All],[PRODUCTO]],0),MATCH(Tabla4[[#This Row],[Mes]],Tabla6[#Headers],0)))</f>
        <v>#N/A</v>
      </c>
      <c r="R5492" s="282" t="e">
        <f>++Tabla4[[#This Row],[Precio Unitario Neto]]-Tabla4[[#This Row],[20.85%]]-Tabla4[[#This Row],[Costo]]</f>
        <v>#N/A</v>
      </c>
      <c r="S5492" s="282" t="e">
        <f>++Tabla4[[#This Row],[U. Bruta Uni]]*Tabla4[[#This Row],[Cantidad]]</f>
        <v>#N/A</v>
      </c>
      <c r="T5492" s="369" t="str">
        <f>VLOOKUP(Tabla4[[#This Row],[Producto]],Tabla6[#All],14,FALSE)</f>
        <v>Termico Solar</v>
      </c>
      <c r="U5492" s="284" t="e">
        <f>(IF(Tabla4[[#This Row],[Familia]]="termico solar",Tabla4[[#This Row],[Utilidad Total]]*6%,Tabla4[[#This Row],[Utilidad Total]]*11.5%))/Tabla4[[#This Row],[Total]]</f>
        <v>#N/A</v>
      </c>
      <c r="V5492" s="282" t="e">
        <f>+Tabla4[[#This Row],[Comisión Calculada]]*Tabla4[[#This Row],[Total]]</f>
        <v>#N/A</v>
      </c>
    </row>
    <row r="5493" spans="1:22" hidden="1" x14ac:dyDescent="0.25">
      <c r="A5493" s="100">
        <v>45900</v>
      </c>
      <c r="B5493" t="str">
        <f t="shared" si="266"/>
        <v>August</v>
      </c>
      <c r="C5493" s="46" t="s">
        <v>280</v>
      </c>
      <c r="F5493" s="366" t="s">
        <v>2842</v>
      </c>
      <c r="G5493" s="46" t="s">
        <v>18</v>
      </c>
      <c r="H5493" s="46">
        <v>1</v>
      </c>
      <c r="I5493" s="51">
        <v>5367.65</v>
      </c>
      <c r="J5493" s="281">
        <f>++Tabla4[[#This Row],[Precio Bruto]]*1.16</f>
        <v>6226.4739999999993</v>
      </c>
      <c r="K5493" s="281">
        <f>+Tabla4[[#This Row],[Precio Unitario Neto]]*Tabla4[[#Headers],[20.85%]]</f>
        <v>1298.2198289999999</v>
      </c>
      <c r="L5493" s="282">
        <f>++Tabla4[[#This Row],[Precio Unitario Neto]]-Tabla4[[#This Row],[20.85%]]</f>
        <v>4928.2541709999996</v>
      </c>
      <c r="M5493" s="282" t="e">
        <f>(INDEX(Tabla6[#All],MATCH(Tabla4[[#This Row],[Producto]],Tabla6[[#All],[PRODUCTO]],0),MATCH(Tabla4[[#This Row],[Mes]],Tabla6[#Headers],0)))*(1+Catalogos!$L$2)</f>
        <v>#N/A</v>
      </c>
      <c r="N5493" s="283" t="e">
        <f>+(Tabla4[[#This Row],[Precio Descontado]]-Tabla4[[#This Row],[Precio Base]])*Tabla4[[#This Row],[Cantidad]]</f>
        <v>#N/A</v>
      </c>
      <c r="O5493" s="284" t="e">
        <f>++Tabla4[[#This Row],[Utilidad Total]]/Tabla4[[#This Row],[Total]]</f>
        <v>#N/A</v>
      </c>
      <c r="P5493" s="282">
        <f>++Tabla4[[#This Row],[Precio Descontado]]*Tabla4[[#This Row],[Cantidad]]</f>
        <v>4928.2541709999996</v>
      </c>
      <c r="Q5493" s="282" t="e">
        <f>(INDEX(Tabla6[#All],MATCH(Tabla4[[#This Row],[Producto]],Tabla6[[#All],[PRODUCTO]],0),MATCH(Tabla4[[#This Row],[Mes]],Tabla6[#Headers],0)))</f>
        <v>#N/A</v>
      </c>
      <c r="R5493" s="282" t="e">
        <f>++Tabla4[[#This Row],[Precio Unitario Neto]]-Tabla4[[#This Row],[20.85%]]-Tabla4[[#This Row],[Costo]]</f>
        <v>#N/A</v>
      </c>
      <c r="S5493" s="282" t="e">
        <f>++Tabla4[[#This Row],[U. Bruta Uni]]*Tabla4[[#This Row],[Cantidad]]</f>
        <v>#N/A</v>
      </c>
      <c r="T5493" s="369" t="str">
        <f>VLOOKUP(Tabla4[[#This Row],[Producto]],Tabla6[#All],14,FALSE)</f>
        <v>Termico Solar</v>
      </c>
      <c r="U5493" s="284" t="e">
        <f>(IF(Tabla4[[#This Row],[Familia]]="termico solar",Tabla4[[#This Row],[Utilidad Total]]*6%,Tabla4[[#This Row],[Utilidad Total]]*11.5%))/Tabla4[[#This Row],[Total]]</f>
        <v>#N/A</v>
      </c>
      <c r="V5493" s="282" t="e">
        <f>+Tabla4[[#This Row],[Comisión Calculada]]*Tabla4[[#This Row],[Total]]</f>
        <v>#N/A</v>
      </c>
    </row>
    <row r="5494" spans="1:22" hidden="1" x14ac:dyDescent="0.25">
      <c r="A5494" s="100">
        <v>45900</v>
      </c>
      <c r="B5494" t="str">
        <f t="shared" si="266"/>
        <v>August</v>
      </c>
      <c r="C5494" s="46" t="s">
        <v>280</v>
      </c>
      <c r="F5494" s="366" t="s">
        <v>2842</v>
      </c>
      <c r="G5494" s="46" t="s">
        <v>16</v>
      </c>
      <c r="H5494" s="46">
        <v>1</v>
      </c>
      <c r="I5494" s="51">
        <v>4103.8500000000004</v>
      </c>
      <c r="J5494" s="281">
        <f>++Tabla4[[#This Row],[Precio Bruto]]*1.16</f>
        <v>4760.4660000000003</v>
      </c>
      <c r="K5494" s="281">
        <f>+Tabla4[[#This Row],[Precio Unitario Neto]]*Tabla4[[#Headers],[20.85%]]</f>
        <v>992.55716100000006</v>
      </c>
      <c r="L5494" s="282">
        <f>++Tabla4[[#This Row],[Precio Unitario Neto]]-Tabla4[[#This Row],[20.85%]]</f>
        <v>3767.9088390000002</v>
      </c>
      <c r="M5494" s="282" t="e">
        <f>(INDEX(Tabla6[#All],MATCH(Tabla4[[#This Row],[Producto]],Tabla6[[#All],[PRODUCTO]],0),MATCH(Tabla4[[#This Row],[Mes]],Tabla6[#Headers],0)))*(1+Catalogos!$L$2)</f>
        <v>#N/A</v>
      </c>
      <c r="N5494" s="283" t="e">
        <f>+(Tabla4[[#This Row],[Precio Descontado]]-Tabla4[[#This Row],[Precio Base]])*Tabla4[[#This Row],[Cantidad]]</f>
        <v>#N/A</v>
      </c>
      <c r="O5494" s="284" t="e">
        <f>++Tabla4[[#This Row],[Utilidad Total]]/Tabla4[[#This Row],[Total]]</f>
        <v>#N/A</v>
      </c>
      <c r="P5494" s="282">
        <f>++Tabla4[[#This Row],[Precio Descontado]]*Tabla4[[#This Row],[Cantidad]]</f>
        <v>3767.9088390000002</v>
      </c>
      <c r="Q5494" s="282" t="e">
        <f>(INDEX(Tabla6[#All],MATCH(Tabla4[[#This Row],[Producto]],Tabla6[[#All],[PRODUCTO]],0),MATCH(Tabla4[[#This Row],[Mes]],Tabla6[#Headers],0)))</f>
        <v>#N/A</v>
      </c>
      <c r="R5494" s="282" t="e">
        <f>++Tabla4[[#This Row],[Precio Unitario Neto]]-Tabla4[[#This Row],[20.85%]]-Tabla4[[#This Row],[Costo]]</f>
        <v>#N/A</v>
      </c>
      <c r="S5494" s="282" t="e">
        <f>++Tabla4[[#This Row],[U. Bruta Uni]]*Tabla4[[#This Row],[Cantidad]]</f>
        <v>#N/A</v>
      </c>
      <c r="T5494" s="369" t="str">
        <f>VLOOKUP(Tabla4[[#This Row],[Producto]],Tabla6[#All],14,FALSE)</f>
        <v>Termico Solar</v>
      </c>
      <c r="U5494" s="284" t="e">
        <f>(IF(Tabla4[[#This Row],[Familia]]="termico solar",Tabla4[[#This Row],[Utilidad Total]]*6%,Tabla4[[#This Row],[Utilidad Total]]*11.5%))/Tabla4[[#This Row],[Total]]</f>
        <v>#N/A</v>
      </c>
      <c r="V5494" s="282" t="e">
        <f>+Tabla4[[#This Row],[Comisión Calculada]]*Tabla4[[#This Row],[Total]]</f>
        <v>#N/A</v>
      </c>
    </row>
    <row r="5495" spans="1:22" hidden="1" x14ac:dyDescent="0.25">
      <c r="A5495" s="100">
        <v>45900</v>
      </c>
      <c r="B5495" t="str">
        <f t="shared" si="266"/>
        <v>August</v>
      </c>
      <c r="C5495" s="46" t="s">
        <v>280</v>
      </c>
      <c r="F5495" s="366" t="s">
        <v>2843</v>
      </c>
      <c r="G5495" s="46" t="s">
        <v>18</v>
      </c>
      <c r="H5495" s="46">
        <v>4</v>
      </c>
      <c r="I5495" s="51">
        <v>5367.65</v>
      </c>
      <c r="J5495" s="281">
        <f>++Tabla4[[#This Row],[Precio Bruto]]*1.16</f>
        <v>6226.4739999999993</v>
      </c>
      <c r="K5495" s="281">
        <f>+Tabla4[[#This Row],[Precio Unitario Neto]]*Tabla4[[#Headers],[20.85%]]</f>
        <v>1298.2198289999999</v>
      </c>
      <c r="L5495" s="282">
        <f>++Tabla4[[#This Row],[Precio Unitario Neto]]-Tabla4[[#This Row],[20.85%]]</f>
        <v>4928.2541709999996</v>
      </c>
      <c r="M5495" s="282" t="e">
        <f>(INDEX(Tabla6[#All],MATCH(Tabla4[[#This Row],[Producto]],Tabla6[[#All],[PRODUCTO]],0),MATCH(Tabla4[[#This Row],[Mes]],Tabla6[#Headers],0)))*(1+Catalogos!$L$2)</f>
        <v>#N/A</v>
      </c>
      <c r="N5495" s="283" t="e">
        <f>+(Tabla4[[#This Row],[Precio Descontado]]-Tabla4[[#This Row],[Precio Base]])*Tabla4[[#This Row],[Cantidad]]</f>
        <v>#N/A</v>
      </c>
      <c r="O5495" s="284" t="e">
        <f>++Tabla4[[#This Row],[Utilidad Total]]/Tabla4[[#This Row],[Total]]</f>
        <v>#N/A</v>
      </c>
      <c r="P5495" s="282">
        <f>++Tabla4[[#This Row],[Precio Descontado]]*Tabla4[[#This Row],[Cantidad]]</f>
        <v>19713.016683999998</v>
      </c>
      <c r="Q5495" s="282" t="e">
        <f>(INDEX(Tabla6[#All],MATCH(Tabla4[[#This Row],[Producto]],Tabla6[[#All],[PRODUCTO]],0),MATCH(Tabla4[[#This Row],[Mes]],Tabla6[#Headers],0)))</f>
        <v>#N/A</v>
      </c>
      <c r="R5495" s="282" t="e">
        <f>++Tabla4[[#This Row],[Precio Unitario Neto]]-Tabla4[[#This Row],[20.85%]]-Tabla4[[#This Row],[Costo]]</f>
        <v>#N/A</v>
      </c>
      <c r="S5495" s="282" t="e">
        <f>++Tabla4[[#This Row],[U. Bruta Uni]]*Tabla4[[#This Row],[Cantidad]]</f>
        <v>#N/A</v>
      </c>
      <c r="T5495" s="369" t="str">
        <f>VLOOKUP(Tabla4[[#This Row],[Producto]],Tabla6[#All],14,FALSE)</f>
        <v>Termico Solar</v>
      </c>
      <c r="U5495" s="284" t="e">
        <f>(IF(Tabla4[[#This Row],[Familia]]="termico solar",Tabla4[[#This Row],[Utilidad Total]]*6%,Tabla4[[#This Row],[Utilidad Total]]*11.5%))/Tabla4[[#This Row],[Total]]</f>
        <v>#N/A</v>
      </c>
      <c r="V5495" s="282" t="e">
        <f>+Tabla4[[#This Row],[Comisión Calculada]]*Tabla4[[#This Row],[Total]]</f>
        <v>#N/A</v>
      </c>
    </row>
    <row r="5496" spans="1:22" hidden="1" x14ac:dyDescent="0.25">
      <c r="A5496" s="100">
        <v>45900</v>
      </c>
      <c r="B5496" t="str">
        <f t="shared" si="266"/>
        <v>August</v>
      </c>
      <c r="C5496" s="46" t="s">
        <v>280</v>
      </c>
      <c r="F5496" s="366" t="s">
        <v>2843</v>
      </c>
      <c r="G5496" s="46" t="s">
        <v>566</v>
      </c>
      <c r="H5496" s="46">
        <v>1</v>
      </c>
      <c r="I5496" s="51">
        <v>2109.4499999999998</v>
      </c>
      <c r="J5496" s="281">
        <f>++Tabla4[[#This Row],[Precio Bruto]]*1.16</f>
        <v>2446.9619999999995</v>
      </c>
      <c r="K5496" s="281">
        <f>+Tabla4[[#This Row],[Precio Unitario Neto]]*Tabla4[[#Headers],[20.85%]]</f>
        <v>510.19157699999988</v>
      </c>
      <c r="L5496" s="282">
        <f>++Tabla4[[#This Row],[Precio Unitario Neto]]-Tabla4[[#This Row],[20.85%]]</f>
        <v>1936.7704229999997</v>
      </c>
      <c r="M5496" s="282" t="e">
        <f>(INDEX(Tabla6[#All],MATCH(Tabla4[[#This Row],[Producto]],Tabla6[[#All],[PRODUCTO]],0),MATCH(Tabla4[[#This Row],[Mes]],Tabla6[#Headers],0)))*(1+Catalogos!$L$2)</f>
        <v>#N/A</v>
      </c>
      <c r="N5496" s="283" t="e">
        <f>+(Tabla4[[#This Row],[Precio Descontado]]-Tabla4[[#This Row],[Precio Base]])*Tabla4[[#This Row],[Cantidad]]</f>
        <v>#N/A</v>
      </c>
      <c r="O5496" s="284" t="e">
        <f>++Tabla4[[#This Row],[Utilidad Total]]/Tabla4[[#This Row],[Total]]</f>
        <v>#N/A</v>
      </c>
      <c r="P5496" s="282">
        <f>++Tabla4[[#This Row],[Precio Descontado]]*Tabla4[[#This Row],[Cantidad]]</f>
        <v>1936.7704229999997</v>
      </c>
      <c r="Q5496" s="282" t="e">
        <f>(INDEX(Tabla6[#All],MATCH(Tabla4[[#This Row],[Producto]],Tabla6[[#All],[PRODUCTO]],0),MATCH(Tabla4[[#This Row],[Mes]],Tabla6[#Headers],0)))</f>
        <v>#N/A</v>
      </c>
      <c r="R5496" s="282" t="e">
        <f>++Tabla4[[#This Row],[Precio Unitario Neto]]-Tabla4[[#This Row],[20.85%]]-Tabla4[[#This Row],[Costo]]</f>
        <v>#N/A</v>
      </c>
      <c r="S5496" s="282" t="e">
        <f>++Tabla4[[#This Row],[U. Bruta Uni]]*Tabla4[[#This Row],[Cantidad]]</f>
        <v>#N/A</v>
      </c>
      <c r="T5496" s="369" t="str">
        <f>VLOOKUP(Tabla4[[#This Row],[Producto]],Tabla6[#All],14,FALSE)</f>
        <v>Termico Solar</v>
      </c>
      <c r="U5496" s="284" t="e">
        <f>(IF(Tabla4[[#This Row],[Familia]]="termico solar",Tabla4[[#This Row],[Utilidad Total]]*6%,Tabla4[[#This Row],[Utilidad Total]]*11.5%))/Tabla4[[#This Row],[Total]]</f>
        <v>#N/A</v>
      </c>
      <c r="V5496" s="282" t="e">
        <f>+Tabla4[[#This Row],[Comisión Calculada]]*Tabla4[[#This Row],[Total]]</f>
        <v>#N/A</v>
      </c>
    </row>
    <row r="5497" spans="1:22" hidden="1" x14ac:dyDescent="0.25">
      <c r="A5497" s="100">
        <v>45900</v>
      </c>
      <c r="B5497" t="str">
        <f t="shared" si="266"/>
        <v>August</v>
      </c>
      <c r="C5497" s="46" t="s">
        <v>280</v>
      </c>
      <c r="F5497" s="366" t="s">
        <v>2844</v>
      </c>
      <c r="G5497" s="46" t="s">
        <v>17</v>
      </c>
      <c r="H5497" s="46">
        <v>1</v>
      </c>
      <c r="I5497" s="51">
        <v>4622.28</v>
      </c>
      <c r="J5497" s="281">
        <f>++Tabla4[[#This Row],[Precio Bruto]]*1.16</f>
        <v>5361.8447999999989</v>
      </c>
      <c r="K5497" s="281">
        <f>+Tabla4[[#This Row],[Precio Unitario Neto]]*Tabla4[[#Headers],[20.85%]]</f>
        <v>1117.9446407999997</v>
      </c>
      <c r="L5497" s="282">
        <f>++Tabla4[[#This Row],[Precio Unitario Neto]]-Tabla4[[#This Row],[20.85%]]</f>
        <v>4243.9001591999995</v>
      </c>
      <c r="M5497" s="282" t="e">
        <f>(INDEX(Tabla6[#All],MATCH(Tabla4[[#This Row],[Producto]],Tabla6[[#All],[PRODUCTO]],0),MATCH(Tabla4[[#This Row],[Mes]],Tabla6[#Headers],0)))*(1+Catalogos!$L$2)</f>
        <v>#N/A</v>
      </c>
      <c r="N5497" s="283" t="e">
        <f>+(Tabla4[[#This Row],[Precio Descontado]]-Tabla4[[#This Row],[Precio Base]])*Tabla4[[#This Row],[Cantidad]]</f>
        <v>#N/A</v>
      </c>
      <c r="O5497" s="284" t="e">
        <f>++Tabla4[[#This Row],[Utilidad Total]]/Tabla4[[#This Row],[Total]]</f>
        <v>#N/A</v>
      </c>
      <c r="P5497" s="282">
        <f>++Tabla4[[#This Row],[Precio Descontado]]*Tabla4[[#This Row],[Cantidad]]</f>
        <v>4243.9001591999995</v>
      </c>
      <c r="Q5497" s="282" t="e">
        <f>(INDEX(Tabla6[#All],MATCH(Tabla4[[#This Row],[Producto]],Tabla6[[#All],[PRODUCTO]],0),MATCH(Tabla4[[#This Row],[Mes]],Tabla6[#Headers],0)))</f>
        <v>#N/A</v>
      </c>
      <c r="R5497" s="282" t="e">
        <f>++Tabla4[[#This Row],[Precio Unitario Neto]]-Tabla4[[#This Row],[20.85%]]-Tabla4[[#This Row],[Costo]]</f>
        <v>#N/A</v>
      </c>
      <c r="S5497" s="282" t="e">
        <f>++Tabla4[[#This Row],[U. Bruta Uni]]*Tabla4[[#This Row],[Cantidad]]</f>
        <v>#N/A</v>
      </c>
      <c r="T5497" s="369" t="str">
        <f>VLOOKUP(Tabla4[[#This Row],[Producto]],Tabla6[#All],14,FALSE)</f>
        <v>Termico Solar</v>
      </c>
      <c r="U5497" s="284" t="e">
        <f>(IF(Tabla4[[#This Row],[Familia]]="termico solar",Tabla4[[#This Row],[Utilidad Total]]*6%,Tabla4[[#This Row],[Utilidad Total]]*11.5%))/Tabla4[[#This Row],[Total]]</f>
        <v>#N/A</v>
      </c>
      <c r="V5497" s="282" t="e">
        <f>+Tabla4[[#This Row],[Comisión Calculada]]*Tabla4[[#This Row],[Total]]</f>
        <v>#N/A</v>
      </c>
    </row>
    <row r="5498" spans="1:22" hidden="1" x14ac:dyDescent="0.25">
      <c r="A5498" s="100">
        <v>45900</v>
      </c>
      <c r="B5498" t="str">
        <f t="shared" si="266"/>
        <v>August</v>
      </c>
      <c r="C5498" s="46" t="s">
        <v>280</v>
      </c>
      <c r="F5498" s="366" t="s">
        <v>2844</v>
      </c>
      <c r="G5498" s="46" t="s">
        <v>19</v>
      </c>
      <c r="H5498" s="46">
        <v>1</v>
      </c>
      <c r="I5498" s="51">
        <v>6412.03</v>
      </c>
      <c r="J5498" s="281">
        <f>++Tabla4[[#This Row],[Precio Bruto]]*1.16</f>
        <v>7437.9547999999995</v>
      </c>
      <c r="K5498" s="281">
        <f>+Tabla4[[#This Row],[Precio Unitario Neto]]*Tabla4[[#Headers],[20.85%]]</f>
        <v>1550.8135757999999</v>
      </c>
      <c r="L5498" s="282">
        <f>++Tabla4[[#This Row],[Precio Unitario Neto]]-Tabla4[[#This Row],[20.85%]]</f>
        <v>5887.1412241999997</v>
      </c>
      <c r="M5498" s="282" t="e">
        <f>(INDEX(Tabla6[#All],MATCH(Tabla4[[#This Row],[Producto]],Tabla6[[#All],[PRODUCTO]],0),MATCH(Tabla4[[#This Row],[Mes]],Tabla6[#Headers],0)))*(1+Catalogos!$L$2)</f>
        <v>#N/A</v>
      </c>
      <c r="N5498" s="283" t="e">
        <f>+(Tabla4[[#This Row],[Precio Descontado]]-Tabla4[[#This Row],[Precio Base]])*Tabla4[[#This Row],[Cantidad]]</f>
        <v>#N/A</v>
      </c>
      <c r="O5498" s="284" t="e">
        <f>++Tabla4[[#This Row],[Utilidad Total]]/Tabla4[[#This Row],[Total]]</f>
        <v>#N/A</v>
      </c>
      <c r="P5498" s="282">
        <f>++Tabla4[[#This Row],[Precio Descontado]]*Tabla4[[#This Row],[Cantidad]]</f>
        <v>5887.1412241999997</v>
      </c>
      <c r="Q5498" s="282" t="e">
        <f>(INDEX(Tabla6[#All],MATCH(Tabla4[[#This Row],[Producto]],Tabla6[[#All],[PRODUCTO]],0),MATCH(Tabla4[[#This Row],[Mes]],Tabla6[#Headers],0)))</f>
        <v>#N/A</v>
      </c>
      <c r="R5498" s="282" t="e">
        <f>++Tabla4[[#This Row],[Precio Unitario Neto]]-Tabla4[[#This Row],[20.85%]]-Tabla4[[#This Row],[Costo]]</f>
        <v>#N/A</v>
      </c>
      <c r="S5498" s="282" t="e">
        <f>++Tabla4[[#This Row],[U. Bruta Uni]]*Tabla4[[#This Row],[Cantidad]]</f>
        <v>#N/A</v>
      </c>
      <c r="T5498" s="369" t="str">
        <f>VLOOKUP(Tabla4[[#This Row],[Producto]],Tabla6[#All],14,FALSE)</f>
        <v>Termico Solar</v>
      </c>
      <c r="U5498" s="284" t="e">
        <f>(IF(Tabla4[[#This Row],[Familia]]="termico solar",Tabla4[[#This Row],[Utilidad Total]]*6%,Tabla4[[#This Row],[Utilidad Total]]*11.5%))/Tabla4[[#This Row],[Total]]</f>
        <v>#N/A</v>
      </c>
      <c r="V5498" s="282" t="e">
        <f>+Tabla4[[#This Row],[Comisión Calculada]]*Tabla4[[#This Row],[Total]]</f>
        <v>#N/A</v>
      </c>
    </row>
    <row r="5499" spans="1:22" hidden="1" x14ac:dyDescent="0.25">
      <c r="A5499" s="100">
        <v>45900</v>
      </c>
      <c r="B5499" t="str">
        <f t="shared" si="266"/>
        <v>August</v>
      </c>
      <c r="C5499" s="46" t="s">
        <v>280</v>
      </c>
      <c r="F5499" s="366" t="s">
        <v>2844</v>
      </c>
      <c r="G5499" s="46" t="s">
        <v>16</v>
      </c>
      <c r="H5499" s="46">
        <v>2</v>
      </c>
      <c r="I5499" s="51">
        <v>4103.8500000000004</v>
      </c>
      <c r="J5499" s="281">
        <f>++Tabla4[[#This Row],[Precio Bruto]]*1.16</f>
        <v>4760.4660000000003</v>
      </c>
      <c r="K5499" s="281">
        <f>+Tabla4[[#This Row],[Precio Unitario Neto]]*Tabla4[[#Headers],[20.85%]]</f>
        <v>992.55716100000006</v>
      </c>
      <c r="L5499" s="282">
        <f>++Tabla4[[#This Row],[Precio Unitario Neto]]-Tabla4[[#This Row],[20.85%]]</f>
        <v>3767.9088390000002</v>
      </c>
      <c r="M5499" s="282" t="e">
        <f>(INDEX(Tabla6[#All],MATCH(Tabla4[[#This Row],[Producto]],Tabla6[[#All],[PRODUCTO]],0),MATCH(Tabla4[[#This Row],[Mes]],Tabla6[#Headers],0)))*(1+Catalogos!$L$2)</f>
        <v>#N/A</v>
      </c>
      <c r="N5499" s="283" t="e">
        <f>+(Tabla4[[#This Row],[Precio Descontado]]-Tabla4[[#This Row],[Precio Base]])*Tabla4[[#This Row],[Cantidad]]</f>
        <v>#N/A</v>
      </c>
      <c r="O5499" s="284" t="e">
        <f>++Tabla4[[#This Row],[Utilidad Total]]/Tabla4[[#This Row],[Total]]</f>
        <v>#N/A</v>
      </c>
      <c r="P5499" s="282">
        <f>++Tabla4[[#This Row],[Precio Descontado]]*Tabla4[[#This Row],[Cantidad]]</f>
        <v>7535.8176780000003</v>
      </c>
      <c r="Q5499" s="282" t="e">
        <f>(INDEX(Tabla6[#All],MATCH(Tabla4[[#This Row],[Producto]],Tabla6[[#All],[PRODUCTO]],0),MATCH(Tabla4[[#This Row],[Mes]],Tabla6[#Headers],0)))</f>
        <v>#N/A</v>
      </c>
      <c r="R5499" s="282" t="e">
        <f>++Tabla4[[#This Row],[Precio Unitario Neto]]-Tabla4[[#This Row],[20.85%]]-Tabla4[[#This Row],[Costo]]</f>
        <v>#N/A</v>
      </c>
      <c r="S5499" s="282" t="e">
        <f>++Tabla4[[#This Row],[U. Bruta Uni]]*Tabla4[[#This Row],[Cantidad]]</f>
        <v>#N/A</v>
      </c>
      <c r="T5499" s="369" t="str">
        <f>VLOOKUP(Tabla4[[#This Row],[Producto]],Tabla6[#All],14,FALSE)</f>
        <v>Termico Solar</v>
      </c>
      <c r="U5499" s="284" t="e">
        <f>(IF(Tabla4[[#This Row],[Familia]]="termico solar",Tabla4[[#This Row],[Utilidad Total]]*6%,Tabla4[[#This Row],[Utilidad Total]]*11.5%))/Tabla4[[#This Row],[Total]]</f>
        <v>#N/A</v>
      </c>
      <c r="V5499" s="282" t="e">
        <f>+Tabla4[[#This Row],[Comisión Calculada]]*Tabla4[[#This Row],[Total]]</f>
        <v>#N/A</v>
      </c>
    </row>
    <row r="5500" spans="1:22" hidden="1" x14ac:dyDescent="0.25">
      <c r="A5500" s="100">
        <v>45900</v>
      </c>
      <c r="B5500" t="str">
        <f t="shared" si="266"/>
        <v>August</v>
      </c>
      <c r="C5500" s="46" t="s">
        <v>280</v>
      </c>
      <c r="F5500" s="366" t="s">
        <v>2845</v>
      </c>
      <c r="G5500" s="46" t="s">
        <v>18</v>
      </c>
      <c r="H5500" s="46">
        <v>2</v>
      </c>
      <c r="I5500" s="51">
        <v>5367.65</v>
      </c>
      <c r="J5500" s="281">
        <f>++Tabla4[[#This Row],[Precio Bruto]]*1.16</f>
        <v>6226.4739999999993</v>
      </c>
      <c r="K5500" s="281">
        <f>+Tabla4[[#This Row],[Precio Unitario Neto]]*Tabla4[[#Headers],[20.85%]]</f>
        <v>1298.2198289999999</v>
      </c>
      <c r="L5500" s="282">
        <f>++Tabla4[[#This Row],[Precio Unitario Neto]]-Tabla4[[#This Row],[20.85%]]</f>
        <v>4928.2541709999996</v>
      </c>
      <c r="M5500" s="282" t="e">
        <f>(INDEX(Tabla6[#All],MATCH(Tabla4[[#This Row],[Producto]],Tabla6[[#All],[PRODUCTO]],0),MATCH(Tabla4[[#This Row],[Mes]],Tabla6[#Headers],0)))*(1+Catalogos!$L$2)</f>
        <v>#N/A</v>
      </c>
      <c r="N5500" s="283" t="e">
        <f>+(Tabla4[[#This Row],[Precio Descontado]]-Tabla4[[#This Row],[Precio Base]])*Tabla4[[#This Row],[Cantidad]]</f>
        <v>#N/A</v>
      </c>
      <c r="O5500" s="284" t="e">
        <f>++Tabla4[[#This Row],[Utilidad Total]]/Tabla4[[#This Row],[Total]]</f>
        <v>#N/A</v>
      </c>
      <c r="P5500" s="282">
        <f>++Tabla4[[#This Row],[Precio Descontado]]*Tabla4[[#This Row],[Cantidad]]</f>
        <v>9856.5083419999992</v>
      </c>
      <c r="Q5500" s="282" t="e">
        <f>(INDEX(Tabla6[#All],MATCH(Tabla4[[#This Row],[Producto]],Tabla6[[#All],[PRODUCTO]],0),MATCH(Tabla4[[#This Row],[Mes]],Tabla6[#Headers],0)))</f>
        <v>#N/A</v>
      </c>
      <c r="R5500" s="282" t="e">
        <f>++Tabla4[[#This Row],[Precio Unitario Neto]]-Tabla4[[#This Row],[20.85%]]-Tabla4[[#This Row],[Costo]]</f>
        <v>#N/A</v>
      </c>
      <c r="S5500" s="282" t="e">
        <f>++Tabla4[[#This Row],[U. Bruta Uni]]*Tabla4[[#This Row],[Cantidad]]</f>
        <v>#N/A</v>
      </c>
      <c r="T5500" s="369" t="str">
        <f>VLOOKUP(Tabla4[[#This Row],[Producto]],Tabla6[#All],14,FALSE)</f>
        <v>Termico Solar</v>
      </c>
      <c r="U5500" s="284" t="e">
        <f>(IF(Tabla4[[#This Row],[Familia]]="termico solar",Tabla4[[#This Row],[Utilidad Total]]*6%,Tabla4[[#This Row],[Utilidad Total]]*11.5%))/Tabla4[[#This Row],[Total]]</f>
        <v>#N/A</v>
      </c>
      <c r="V5500" s="282" t="e">
        <f>+Tabla4[[#This Row],[Comisión Calculada]]*Tabla4[[#This Row],[Total]]</f>
        <v>#N/A</v>
      </c>
    </row>
    <row r="5501" spans="1:22" hidden="1" x14ac:dyDescent="0.25">
      <c r="A5501" s="100">
        <v>45900</v>
      </c>
      <c r="B5501" t="str">
        <f t="shared" si="266"/>
        <v>August</v>
      </c>
      <c r="C5501" s="46" t="s">
        <v>280</v>
      </c>
      <c r="F5501" s="366" t="s">
        <v>2845</v>
      </c>
      <c r="G5501" s="46" t="s">
        <v>566</v>
      </c>
      <c r="H5501" s="46">
        <v>1</v>
      </c>
      <c r="I5501" s="51">
        <v>2109.4499999999998</v>
      </c>
      <c r="J5501" s="281">
        <f>++Tabla4[[#This Row],[Precio Bruto]]*1.16</f>
        <v>2446.9619999999995</v>
      </c>
      <c r="K5501" s="281">
        <f>+Tabla4[[#This Row],[Precio Unitario Neto]]*Tabla4[[#Headers],[20.85%]]</f>
        <v>510.19157699999988</v>
      </c>
      <c r="L5501" s="282">
        <f>++Tabla4[[#This Row],[Precio Unitario Neto]]-Tabla4[[#This Row],[20.85%]]</f>
        <v>1936.7704229999997</v>
      </c>
      <c r="M5501" s="282" t="e">
        <f>(INDEX(Tabla6[#All],MATCH(Tabla4[[#This Row],[Producto]],Tabla6[[#All],[PRODUCTO]],0),MATCH(Tabla4[[#This Row],[Mes]],Tabla6[#Headers],0)))*(1+Catalogos!$L$2)</f>
        <v>#N/A</v>
      </c>
      <c r="N5501" s="283" t="e">
        <f>+(Tabla4[[#This Row],[Precio Descontado]]-Tabla4[[#This Row],[Precio Base]])*Tabla4[[#This Row],[Cantidad]]</f>
        <v>#N/A</v>
      </c>
      <c r="O5501" s="284" t="e">
        <f>++Tabla4[[#This Row],[Utilidad Total]]/Tabla4[[#This Row],[Total]]</f>
        <v>#N/A</v>
      </c>
      <c r="P5501" s="282">
        <f>++Tabla4[[#This Row],[Precio Descontado]]*Tabla4[[#This Row],[Cantidad]]</f>
        <v>1936.7704229999997</v>
      </c>
      <c r="Q5501" s="282" t="e">
        <f>(INDEX(Tabla6[#All],MATCH(Tabla4[[#This Row],[Producto]],Tabla6[[#All],[PRODUCTO]],0),MATCH(Tabla4[[#This Row],[Mes]],Tabla6[#Headers],0)))</f>
        <v>#N/A</v>
      </c>
      <c r="R5501" s="282" t="e">
        <f>++Tabla4[[#This Row],[Precio Unitario Neto]]-Tabla4[[#This Row],[20.85%]]-Tabla4[[#This Row],[Costo]]</f>
        <v>#N/A</v>
      </c>
      <c r="S5501" s="282" t="e">
        <f>++Tabla4[[#This Row],[U. Bruta Uni]]*Tabla4[[#This Row],[Cantidad]]</f>
        <v>#N/A</v>
      </c>
      <c r="T5501" s="369" t="str">
        <f>VLOOKUP(Tabla4[[#This Row],[Producto]],Tabla6[#All],14,FALSE)</f>
        <v>Termico Solar</v>
      </c>
      <c r="U5501" s="284" t="e">
        <f>(IF(Tabla4[[#This Row],[Familia]]="termico solar",Tabla4[[#This Row],[Utilidad Total]]*6%,Tabla4[[#This Row],[Utilidad Total]]*11.5%))/Tabla4[[#This Row],[Total]]</f>
        <v>#N/A</v>
      </c>
      <c r="V5501" s="282" t="e">
        <f>+Tabla4[[#This Row],[Comisión Calculada]]*Tabla4[[#This Row],[Total]]</f>
        <v>#N/A</v>
      </c>
    </row>
    <row r="5502" spans="1:22" hidden="1" x14ac:dyDescent="0.25">
      <c r="A5502" s="100">
        <v>45900</v>
      </c>
      <c r="B5502" t="str">
        <f t="shared" si="266"/>
        <v>August</v>
      </c>
      <c r="C5502" s="46" t="s">
        <v>280</v>
      </c>
      <c r="F5502" s="366" t="s">
        <v>2846</v>
      </c>
      <c r="G5502" s="46" t="s">
        <v>18</v>
      </c>
      <c r="H5502" s="46">
        <v>2</v>
      </c>
      <c r="I5502" s="51">
        <v>5367.65</v>
      </c>
      <c r="J5502" s="281">
        <f>++Tabla4[[#This Row],[Precio Bruto]]*1.16</f>
        <v>6226.4739999999993</v>
      </c>
      <c r="K5502" s="281">
        <f>+Tabla4[[#This Row],[Precio Unitario Neto]]*Tabla4[[#Headers],[20.85%]]</f>
        <v>1298.2198289999999</v>
      </c>
      <c r="L5502" s="282">
        <f>++Tabla4[[#This Row],[Precio Unitario Neto]]-Tabla4[[#This Row],[20.85%]]</f>
        <v>4928.2541709999996</v>
      </c>
      <c r="M5502" s="282" t="e">
        <f>(INDEX(Tabla6[#All],MATCH(Tabla4[[#This Row],[Producto]],Tabla6[[#All],[PRODUCTO]],0),MATCH(Tabla4[[#This Row],[Mes]],Tabla6[#Headers],0)))*(1+Catalogos!$L$2)</f>
        <v>#N/A</v>
      </c>
      <c r="N5502" s="283" t="e">
        <f>+(Tabla4[[#This Row],[Precio Descontado]]-Tabla4[[#This Row],[Precio Base]])*Tabla4[[#This Row],[Cantidad]]</f>
        <v>#N/A</v>
      </c>
      <c r="O5502" s="284" t="e">
        <f>++Tabla4[[#This Row],[Utilidad Total]]/Tabla4[[#This Row],[Total]]</f>
        <v>#N/A</v>
      </c>
      <c r="P5502" s="282">
        <f>++Tabla4[[#This Row],[Precio Descontado]]*Tabla4[[#This Row],[Cantidad]]</f>
        <v>9856.5083419999992</v>
      </c>
      <c r="Q5502" s="282" t="e">
        <f>(INDEX(Tabla6[#All],MATCH(Tabla4[[#This Row],[Producto]],Tabla6[[#All],[PRODUCTO]],0),MATCH(Tabla4[[#This Row],[Mes]],Tabla6[#Headers],0)))</f>
        <v>#N/A</v>
      </c>
      <c r="R5502" s="282" t="e">
        <f>++Tabla4[[#This Row],[Precio Unitario Neto]]-Tabla4[[#This Row],[20.85%]]-Tabla4[[#This Row],[Costo]]</f>
        <v>#N/A</v>
      </c>
      <c r="S5502" s="282" t="e">
        <f>++Tabla4[[#This Row],[U. Bruta Uni]]*Tabla4[[#This Row],[Cantidad]]</f>
        <v>#N/A</v>
      </c>
      <c r="T5502" s="369" t="str">
        <f>VLOOKUP(Tabla4[[#This Row],[Producto]],Tabla6[#All],14,FALSE)</f>
        <v>Termico Solar</v>
      </c>
      <c r="U5502" s="284" t="e">
        <f>(IF(Tabla4[[#This Row],[Familia]]="termico solar",Tabla4[[#This Row],[Utilidad Total]]*6%,Tabla4[[#This Row],[Utilidad Total]]*11.5%))/Tabla4[[#This Row],[Total]]</f>
        <v>#N/A</v>
      </c>
      <c r="V5502" s="282" t="e">
        <f>+Tabla4[[#This Row],[Comisión Calculada]]*Tabla4[[#This Row],[Total]]</f>
        <v>#N/A</v>
      </c>
    </row>
    <row r="5503" spans="1:22" hidden="1" x14ac:dyDescent="0.25">
      <c r="A5503" s="100">
        <v>45900</v>
      </c>
      <c r="B5503" t="str">
        <f t="shared" si="266"/>
        <v>August</v>
      </c>
      <c r="C5503" s="46" t="s">
        <v>280</v>
      </c>
      <c r="F5503" s="366" t="s">
        <v>2847</v>
      </c>
      <c r="G5503" s="46" t="s">
        <v>19</v>
      </c>
      <c r="H5503" s="46">
        <v>1</v>
      </c>
      <c r="I5503" s="51">
        <v>6412.03</v>
      </c>
      <c r="J5503" s="281">
        <f>++Tabla4[[#This Row],[Precio Bruto]]*1.16</f>
        <v>7437.9547999999995</v>
      </c>
      <c r="K5503" s="281">
        <f>+Tabla4[[#This Row],[Precio Unitario Neto]]*Tabla4[[#Headers],[20.85%]]</f>
        <v>1550.8135757999999</v>
      </c>
      <c r="L5503" s="282">
        <f>++Tabla4[[#This Row],[Precio Unitario Neto]]-Tabla4[[#This Row],[20.85%]]</f>
        <v>5887.1412241999997</v>
      </c>
      <c r="M5503" s="282" t="e">
        <f>(INDEX(Tabla6[#All],MATCH(Tabla4[[#This Row],[Producto]],Tabla6[[#All],[PRODUCTO]],0),MATCH(Tabla4[[#This Row],[Mes]],Tabla6[#Headers],0)))*(1+Catalogos!$L$2)</f>
        <v>#N/A</v>
      </c>
      <c r="N5503" s="283" t="e">
        <f>+(Tabla4[[#This Row],[Precio Descontado]]-Tabla4[[#This Row],[Precio Base]])*Tabla4[[#This Row],[Cantidad]]</f>
        <v>#N/A</v>
      </c>
      <c r="O5503" s="284" t="e">
        <f>++Tabla4[[#This Row],[Utilidad Total]]/Tabla4[[#This Row],[Total]]</f>
        <v>#N/A</v>
      </c>
      <c r="P5503" s="282">
        <f>++Tabla4[[#This Row],[Precio Descontado]]*Tabla4[[#This Row],[Cantidad]]</f>
        <v>5887.1412241999997</v>
      </c>
      <c r="Q5503" s="282" t="e">
        <f>(INDEX(Tabla6[#All],MATCH(Tabla4[[#This Row],[Producto]],Tabla6[[#All],[PRODUCTO]],0),MATCH(Tabla4[[#This Row],[Mes]],Tabla6[#Headers],0)))</f>
        <v>#N/A</v>
      </c>
      <c r="R5503" s="282" t="e">
        <f>++Tabla4[[#This Row],[Precio Unitario Neto]]-Tabla4[[#This Row],[20.85%]]-Tabla4[[#This Row],[Costo]]</f>
        <v>#N/A</v>
      </c>
      <c r="S5503" s="282" t="e">
        <f>++Tabla4[[#This Row],[U. Bruta Uni]]*Tabla4[[#This Row],[Cantidad]]</f>
        <v>#N/A</v>
      </c>
      <c r="T5503" s="369" t="str">
        <f>VLOOKUP(Tabla4[[#This Row],[Producto]],Tabla6[#All],14,FALSE)</f>
        <v>Termico Solar</v>
      </c>
      <c r="U5503" s="284" t="e">
        <f>(IF(Tabla4[[#This Row],[Familia]]="termico solar",Tabla4[[#This Row],[Utilidad Total]]*6%,Tabla4[[#This Row],[Utilidad Total]]*11.5%))/Tabla4[[#This Row],[Total]]</f>
        <v>#N/A</v>
      </c>
      <c r="V5503" s="282" t="e">
        <f>+Tabla4[[#This Row],[Comisión Calculada]]*Tabla4[[#This Row],[Total]]</f>
        <v>#N/A</v>
      </c>
    </row>
    <row r="5504" spans="1:22" hidden="1" x14ac:dyDescent="0.25">
      <c r="A5504" s="100">
        <v>45900</v>
      </c>
      <c r="B5504" t="str">
        <f t="shared" si="266"/>
        <v>August</v>
      </c>
      <c r="C5504" s="46" t="s">
        <v>280</v>
      </c>
      <c r="F5504" s="366" t="s">
        <v>2847</v>
      </c>
      <c r="G5504" s="46" t="s">
        <v>16</v>
      </c>
      <c r="H5504" s="46">
        <v>1</v>
      </c>
      <c r="I5504" s="51">
        <v>4103.8500000000004</v>
      </c>
      <c r="J5504" s="281">
        <f>++Tabla4[[#This Row],[Precio Bruto]]*1.16</f>
        <v>4760.4660000000003</v>
      </c>
      <c r="K5504" s="281">
        <f>+Tabla4[[#This Row],[Precio Unitario Neto]]*Tabla4[[#Headers],[20.85%]]</f>
        <v>992.55716100000006</v>
      </c>
      <c r="L5504" s="282">
        <f>++Tabla4[[#This Row],[Precio Unitario Neto]]-Tabla4[[#This Row],[20.85%]]</f>
        <v>3767.9088390000002</v>
      </c>
      <c r="M5504" s="282" t="e">
        <f>(INDEX(Tabla6[#All],MATCH(Tabla4[[#This Row],[Producto]],Tabla6[[#All],[PRODUCTO]],0),MATCH(Tabla4[[#This Row],[Mes]],Tabla6[#Headers],0)))*(1+Catalogos!$L$2)</f>
        <v>#N/A</v>
      </c>
      <c r="N5504" s="283" t="e">
        <f>+(Tabla4[[#This Row],[Precio Descontado]]-Tabla4[[#This Row],[Precio Base]])*Tabla4[[#This Row],[Cantidad]]</f>
        <v>#N/A</v>
      </c>
      <c r="O5504" s="284" t="e">
        <f>++Tabla4[[#This Row],[Utilidad Total]]/Tabla4[[#This Row],[Total]]</f>
        <v>#N/A</v>
      </c>
      <c r="P5504" s="282">
        <f>++Tabla4[[#This Row],[Precio Descontado]]*Tabla4[[#This Row],[Cantidad]]</f>
        <v>3767.9088390000002</v>
      </c>
      <c r="Q5504" s="282" t="e">
        <f>(INDEX(Tabla6[#All],MATCH(Tabla4[[#This Row],[Producto]],Tabla6[[#All],[PRODUCTO]],0),MATCH(Tabla4[[#This Row],[Mes]],Tabla6[#Headers],0)))</f>
        <v>#N/A</v>
      </c>
      <c r="R5504" s="282" t="e">
        <f>++Tabla4[[#This Row],[Precio Unitario Neto]]-Tabla4[[#This Row],[20.85%]]-Tabla4[[#This Row],[Costo]]</f>
        <v>#N/A</v>
      </c>
      <c r="S5504" s="282" t="e">
        <f>++Tabla4[[#This Row],[U. Bruta Uni]]*Tabla4[[#This Row],[Cantidad]]</f>
        <v>#N/A</v>
      </c>
      <c r="T5504" s="369" t="str">
        <f>VLOOKUP(Tabla4[[#This Row],[Producto]],Tabla6[#All],14,FALSE)</f>
        <v>Termico Solar</v>
      </c>
      <c r="U5504" s="284" t="e">
        <f>(IF(Tabla4[[#This Row],[Familia]]="termico solar",Tabla4[[#This Row],[Utilidad Total]]*6%,Tabla4[[#This Row],[Utilidad Total]]*11.5%))/Tabla4[[#This Row],[Total]]</f>
        <v>#N/A</v>
      </c>
      <c r="V5504" s="282" t="e">
        <f>+Tabla4[[#This Row],[Comisión Calculada]]*Tabla4[[#This Row],[Total]]</f>
        <v>#N/A</v>
      </c>
    </row>
    <row r="5505" spans="1:22" hidden="1" x14ac:dyDescent="0.25">
      <c r="A5505" s="100">
        <v>45900</v>
      </c>
      <c r="B5505" t="str">
        <f t="shared" si="266"/>
        <v>August</v>
      </c>
      <c r="C5505" s="46" t="s">
        <v>280</v>
      </c>
      <c r="F5505" s="366" t="s">
        <v>2848</v>
      </c>
      <c r="G5505" s="46" t="s">
        <v>18</v>
      </c>
      <c r="H5505" s="46">
        <v>1</v>
      </c>
      <c r="I5505" s="51">
        <v>5367.65</v>
      </c>
      <c r="J5505" s="281">
        <f>++Tabla4[[#This Row],[Precio Bruto]]*1.16</f>
        <v>6226.4739999999993</v>
      </c>
      <c r="K5505" s="281">
        <f>+Tabla4[[#This Row],[Precio Unitario Neto]]*Tabla4[[#Headers],[20.85%]]</f>
        <v>1298.2198289999999</v>
      </c>
      <c r="L5505" s="282">
        <f>++Tabla4[[#This Row],[Precio Unitario Neto]]-Tabla4[[#This Row],[20.85%]]</f>
        <v>4928.2541709999996</v>
      </c>
      <c r="M5505" s="282" t="e">
        <f>(INDEX(Tabla6[#All],MATCH(Tabla4[[#This Row],[Producto]],Tabla6[[#All],[PRODUCTO]],0),MATCH(Tabla4[[#This Row],[Mes]],Tabla6[#Headers],0)))*(1+Catalogos!$L$2)</f>
        <v>#N/A</v>
      </c>
      <c r="N5505" s="283" t="e">
        <f>+(Tabla4[[#This Row],[Precio Descontado]]-Tabla4[[#This Row],[Precio Base]])*Tabla4[[#This Row],[Cantidad]]</f>
        <v>#N/A</v>
      </c>
      <c r="O5505" s="284" t="e">
        <f>++Tabla4[[#This Row],[Utilidad Total]]/Tabla4[[#This Row],[Total]]</f>
        <v>#N/A</v>
      </c>
      <c r="P5505" s="282">
        <f>++Tabla4[[#This Row],[Precio Descontado]]*Tabla4[[#This Row],[Cantidad]]</f>
        <v>4928.2541709999996</v>
      </c>
      <c r="Q5505" s="282" t="e">
        <f>(INDEX(Tabla6[#All],MATCH(Tabla4[[#This Row],[Producto]],Tabla6[[#All],[PRODUCTO]],0),MATCH(Tabla4[[#This Row],[Mes]],Tabla6[#Headers],0)))</f>
        <v>#N/A</v>
      </c>
      <c r="R5505" s="282" t="e">
        <f>++Tabla4[[#This Row],[Precio Unitario Neto]]-Tabla4[[#This Row],[20.85%]]-Tabla4[[#This Row],[Costo]]</f>
        <v>#N/A</v>
      </c>
      <c r="S5505" s="282" t="e">
        <f>++Tabla4[[#This Row],[U. Bruta Uni]]*Tabla4[[#This Row],[Cantidad]]</f>
        <v>#N/A</v>
      </c>
      <c r="T5505" s="369" t="str">
        <f>VLOOKUP(Tabla4[[#This Row],[Producto]],Tabla6[#All],14,FALSE)</f>
        <v>Termico Solar</v>
      </c>
      <c r="U5505" s="284" t="e">
        <f>(IF(Tabla4[[#This Row],[Familia]]="termico solar",Tabla4[[#This Row],[Utilidad Total]]*6%,Tabla4[[#This Row],[Utilidad Total]]*11.5%))/Tabla4[[#This Row],[Total]]</f>
        <v>#N/A</v>
      </c>
      <c r="V5505" s="282" t="e">
        <f>+Tabla4[[#This Row],[Comisión Calculada]]*Tabla4[[#This Row],[Total]]</f>
        <v>#N/A</v>
      </c>
    </row>
    <row r="5506" spans="1:22" hidden="1" x14ac:dyDescent="0.25">
      <c r="A5506" s="100">
        <v>45900</v>
      </c>
      <c r="B5506" t="str">
        <f t="shared" si="266"/>
        <v>August</v>
      </c>
      <c r="C5506" s="46" t="s">
        <v>280</v>
      </c>
      <c r="F5506" s="366" t="s">
        <v>2848</v>
      </c>
      <c r="G5506" s="46" t="s">
        <v>412</v>
      </c>
      <c r="H5506" s="46">
        <v>1</v>
      </c>
      <c r="I5506" s="51">
        <v>3240.84</v>
      </c>
      <c r="J5506" s="281">
        <f>++Tabla4[[#This Row],[Precio Bruto]]*1.16</f>
        <v>3759.3743999999997</v>
      </c>
      <c r="K5506" s="281">
        <f>+Tabla4[[#This Row],[Precio Unitario Neto]]*Tabla4[[#Headers],[20.85%]]</f>
        <v>783.82956239999987</v>
      </c>
      <c r="L5506" s="282">
        <f>++Tabla4[[#This Row],[Precio Unitario Neto]]-Tabla4[[#This Row],[20.85%]]</f>
        <v>2975.5448375999999</v>
      </c>
      <c r="M5506" s="282" t="e">
        <f>(INDEX(Tabla6[#All],MATCH(Tabla4[[#This Row],[Producto]],Tabla6[[#All],[PRODUCTO]],0),MATCH(Tabla4[[#This Row],[Mes]],Tabla6[#Headers],0)))*(1+Catalogos!$L$2)</f>
        <v>#N/A</v>
      </c>
      <c r="N5506" s="283" t="e">
        <f>+(Tabla4[[#This Row],[Precio Descontado]]-Tabla4[[#This Row],[Precio Base]])*Tabla4[[#This Row],[Cantidad]]</f>
        <v>#N/A</v>
      </c>
      <c r="O5506" s="284" t="e">
        <f>++Tabla4[[#This Row],[Utilidad Total]]/Tabla4[[#This Row],[Total]]</f>
        <v>#N/A</v>
      </c>
      <c r="P5506" s="282">
        <f>++Tabla4[[#This Row],[Precio Descontado]]*Tabla4[[#This Row],[Cantidad]]</f>
        <v>2975.5448375999999</v>
      </c>
      <c r="Q5506" s="282" t="e">
        <f>(INDEX(Tabla6[#All],MATCH(Tabla4[[#This Row],[Producto]],Tabla6[[#All],[PRODUCTO]],0),MATCH(Tabla4[[#This Row],[Mes]],Tabla6[#Headers],0)))</f>
        <v>#N/A</v>
      </c>
      <c r="R5506" s="282" t="e">
        <f>++Tabla4[[#This Row],[Precio Unitario Neto]]-Tabla4[[#This Row],[20.85%]]-Tabla4[[#This Row],[Costo]]</f>
        <v>#N/A</v>
      </c>
      <c r="S5506" s="282" t="e">
        <f>++Tabla4[[#This Row],[U. Bruta Uni]]*Tabla4[[#This Row],[Cantidad]]</f>
        <v>#N/A</v>
      </c>
      <c r="T5506" s="369" t="str">
        <f>VLOOKUP(Tabla4[[#This Row],[Producto]],Tabla6[#All],14,FALSE)</f>
        <v>Termico Solar</v>
      </c>
      <c r="U5506" s="284" t="e">
        <f>(IF(Tabla4[[#This Row],[Familia]]="termico solar",Tabla4[[#This Row],[Utilidad Total]]*6%,Tabla4[[#This Row],[Utilidad Total]]*11.5%))/Tabla4[[#This Row],[Total]]</f>
        <v>#N/A</v>
      </c>
      <c r="V5506" s="282" t="e">
        <f>+Tabla4[[#This Row],[Comisión Calculada]]*Tabla4[[#This Row],[Total]]</f>
        <v>#N/A</v>
      </c>
    </row>
    <row r="5507" spans="1:22" hidden="1" x14ac:dyDescent="0.25">
      <c r="A5507" s="100">
        <v>45900</v>
      </c>
      <c r="B5507" t="str">
        <f t="shared" ref="B5507:B5538" si="267">TEXT(A5507, "mmmm")</f>
        <v>August</v>
      </c>
      <c r="C5507" s="46" t="s">
        <v>280</v>
      </c>
      <c r="F5507" s="366" t="s">
        <v>2848</v>
      </c>
      <c r="G5507" s="46" t="s">
        <v>394</v>
      </c>
      <c r="H5507" s="46">
        <v>16</v>
      </c>
      <c r="I5507" s="51">
        <v>224.29</v>
      </c>
      <c r="J5507" s="281">
        <f>++Tabla4[[#This Row],[Precio Bruto]]*1.16</f>
        <v>260.1764</v>
      </c>
      <c r="K5507" s="281">
        <f>+Tabla4[[#This Row],[Precio Unitario Neto]]*Tabla4[[#Headers],[20.85%]]</f>
        <v>54.246779400000001</v>
      </c>
      <c r="L5507" s="282">
        <f>++Tabla4[[#This Row],[Precio Unitario Neto]]-Tabla4[[#This Row],[20.85%]]</f>
        <v>205.92962059999999</v>
      </c>
      <c r="M5507" s="282" t="e">
        <f>(INDEX(Tabla6[#All],MATCH(Tabla4[[#This Row],[Producto]],Tabla6[[#All],[PRODUCTO]],0),MATCH(Tabla4[[#This Row],[Mes]],Tabla6[#Headers],0)))*(1+Catalogos!$L$2)</f>
        <v>#N/A</v>
      </c>
      <c r="N5507" s="283" t="e">
        <f>+(Tabla4[[#This Row],[Precio Descontado]]-Tabla4[[#This Row],[Precio Base]])*Tabla4[[#This Row],[Cantidad]]</f>
        <v>#N/A</v>
      </c>
      <c r="O5507" s="284" t="e">
        <f>++Tabla4[[#This Row],[Utilidad Total]]/Tabla4[[#This Row],[Total]]</f>
        <v>#N/A</v>
      </c>
      <c r="P5507" s="282">
        <f>++Tabla4[[#This Row],[Precio Descontado]]*Tabla4[[#This Row],[Cantidad]]</f>
        <v>3294.8739295999999</v>
      </c>
      <c r="Q5507" s="282" t="e">
        <f>(INDEX(Tabla6[#All],MATCH(Tabla4[[#This Row],[Producto]],Tabla6[[#All],[PRODUCTO]],0),MATCH(Tabla4[[#This Row],[Mes]],Tabla6[#Headers],0)))</f>
        <v>#N/A</v>
      </c>
      <c r="R5507" s="282" t="e">
        <f>++Tabla4[[#This Row],[Precio Unitario Neto]]-Tabla4[[#This Row],[20.85%]]-Tabla4[[#This Row],[Costo]]</f>
        <v>#N/A</v>
      </c>
      <c r="S5507" s="282" t="e">
        <f>++Tabla4[[#This Row],[U. Bruta Uni]]*Tabla4[[#This Row],[Cantidad]]</f>
        <v>#N/A</v>
      </c>
      <c r="T5507" s="369" t="str">
        <f>VLOOKUP(Tabla4[[#This Row],[Producto]],Tabla6[#All],14,FALSE)</f>
        <v>Termico Solar</v>
      </c>
      <c r="U5507" s="284" t="e">
        <f>(IF(Tabla4[[#This Row],[Familia]]="termico solar",Tabla4[[#This Row],[Utilidad Total]]*6%,Tabla4[[#This Row],[Utilidad Total]]*11.5%))/Tabla4[[#This Row],[Total]]</f>
        <v>#N/A</v>
      </c>
      <c r="V5507" s="282" t="e">
        <f>+Tabla4[[#This Row],[Comisión Calculada]]*Tabla4[[#This Row],[Total]]</f>
        <v>#N/A</v>
      </c>
    </row>
    <row r="5508" spans="1:22" hidden="1" x14ac:dyDescent="0.25">
      <c r="A5508" s="100">
        <v>45900</v>
      </c>
      <c r="B5508" t="str">
        <f t="shared" si="267"/>
        <v>August</v>
      </c>
      <c r="C5508" s="46" t="s">
        <v>280</v>
      </c>
      <c r="F5508" s="366" t="s">
        <v>2848</v>
      </c>
      <c r="G5508" s="46" t="s">
        <v>208</v>
      </c>
      <c r="H5508" s="46">
        <v>2</v>
      </c>
      <c r="I5508" s="51">
        <v>189.75</v>
      </c>
      <c r="J5508" s="281">
        <f>++Tabla4[[#This Row],[Precio Bruto]]*1.16</f>
        <v>220.10999999999999</v>
      </c>
      <c r="K5508" s="281">
        <f>+Tabla4[[#This Row],[Precio Unitario Neto]]*Tabla4[[#Headers],[20.85%]]</f>
        <v>45.892934999999994</v>
      </c>
      <c r="L5508" s="282">
        <f>++Tabla4[[#This Row],[Precio Unitario Neto]]-Tabla4[[#This Row],[20.85%]]</f>
        <v>174.21706499999999</v>
      </c>
      <c r="M5508" s="282" t="e">
        <f>(INDEX(Tabla6[#All],MATCH(Tabla4[[#This Row],[Producto]],Tabla6[[#All],[PRODUCTO]],0),MATCH(Tabla4[[#This Row],[Mes]],Tabla6[#Headers],0)))*(1+Catalogos!$L$2)</f>
        <v>#N/A</v>
      </c>
      <c r="N5508" s="283" t="e">
        <f>+(Tabla4[[#This Row],[Precio Descontado]]-Tabla4[[#This Row],[Precio Base]])*Tabla4[[#This Row],[Cantidad]]</f>
        <v>#N/A</v>
      </c>
      <c r="O5508" s="284" t="e">
        <f>++Tabla4[[#This Row],[Utilidad Total]]/Tabla4[[#This Row],[Total]]</f>
        <v>#N/A</v>
      </c>
      <c r="P5508" s="282">
        <f>++Tabla4[[#This Row],[Precio Descontado]]*Tabla4[[#This Row],[Cantidad]]</f>
        <v>348.43412999999998</v>
      </c>
      <c r="Q5508" s="282" t="e">
        <f>(INDEX(Tabla6[#All],MATCH(Tabla4[[#This Row],[Producto]],Tabla6[[#All],[PRODUCTO]],0),MATCH(Tabla4[[#This Row],[Mes]],Tabla6[#Headers],0)))</f>
        <v>#N/A</v>
      </c>
      <c r="R5508" s="282" t="e">
        <f>++Tabla4[[#This Row],[Precio Unitario Neto]]-Tabla4[[#This Row],[20.85%]]-Tabla4[[#This Row],[Costo]]</f>
        <v>#N/A</v>
      </c>
      <c r="S5508" s="282" t="e">
        <f>++Tabla4[[#This Row],[U. Bruta Uni]]*Tabla4[[#This Row],[Cantidad]]</f>
        <v>#N/A</v>
      </c>
      <c r="T5508" s="369" t="str">
        <f>VLOOKUP(Tabla4[[#This Row],[Producto]],Tabla6[#All],14,FALSE)</f>
        <v>Termico Solar</v>
      </c>
      <c r="U5508" s="284" t="e">
        <f>(IF(Tabla4[[#This Row],[Familia]]="termico solar",Tabla4[[#This Row],[Utilidad Total]]*6%,Tabla4[[#This Row],[Utilidad Total]]*11.5%))/Tabla4[[#This Row],[Total]]</f>
        <v>#N/A</v>
      </c>
      <c r="V5508" s="282" t="e">
        <f>+Tabla4[[#This Row],[Comisión Calculada]]*Tabla4[[#This Row],[Total]]</f>
        <v>#N/A</v>
      </c>
    </row>
    <row r="5509" spans="1:22" hidden="1" x14ac:dyDescent="0.25">
      <c r="A5509" s="100">
        <v>45900</v>
      </c>
      <c r="B5509" t="str">
        <f t="shared" si="267"/>
        <v>August</v>
      </c>
      <c r="C5509" s="46" t="s">
        <v>280</v>
      </c>
      <c r="F5509" s="366" t="s">
        <v>2849</v>
      </c>
      <c r="G5509" s="46" t="s">
        <v>19</v>
      </c>
      <c r="H5509" s="46">
        <v>2</v>
      </c>
      <c r="I5509" s="51">
        <v>6412.03</v>
      </c>
      <c r="J5509" s="281">
        <f>++Tabla4[[#This Row],[Precio Bruto]]*1.16</f>
        <v>7437.9547999999995</v>
      </c>
      <c r="K5509" s="281">
        <f>+Tabla4[[#This Row],[Precio Unitario Neto]]*Tabla4[[#Headers],[20.85%]]</f>
        <v>1550.8135757999999</v>
      </c>
      <c r="L5509" s="282">
        <f>++Tabla4[[#This Row],[Precio Unitario Neto]]-Tabla4[[#This Row],[20.85%]]</f>
        <v>5887.1412241999997</v>
      </c>
      <c r="M5509" s="282" t="e">
        <f>(INDEX(Tabla6[#All],MATCH(Tabla4[[#This Row],[Producto]],Tabla6[[#All],[PRODUCTO]],0),MATCH(Tabla4[[#This Row],[Mes]],Tabla6[#Headers],0)))*(1+Catalogos!$L$2)</f>
        <v>#N/A</v>
      </c>
      <c r="N5509" s="283" t="e">
        <f>+(Tabla4[[#This Row],[Precio Descontado]]-Tabla4[[#This Row],[Precio Base]])*Tabla4[[#This Row],[Cantidad]]</f>
        <v>#N/A</v>
      </c>
      <c r="O5509" s="284" t="e">
        <f>++Tabla4[[#This Row],[Utilidad Total]]/Tabla4[[#This Row],[Total]]</f>
        <v>#N/A</v>
      </c>
      <c r="P5509" s="282">
        <f>++Tabla4[[#This Row],[Precio Descontado]]*Tabla4[[#This Row],[Cantidad]]</f>
        <v>11774.282448399999</v>
      </c>
      <c r="Q5509" s="282" t="e">
        <f>(INDEX(Tabla6[#All],MATCH(Tabla4[[#This Row],[Producto]],Tabla6[[#All],[PRODUCTO]],0),MATCH(Tabla4[[#This Row],[Mes]],Tabla6[#Headers],0)))</f>
        <v>#N/A</v>
      </c>
      <c r="R5509" s="282" t="e">
        <f>++Tabla4[[#This Row],[Precio Unitario Neto]]-Tabla4[[#This Row],[20.85%]]-Tabla4[[#This Row],[Costo]]</f>
        <v>#N/A</v>
      </c>
      <c r="S5509" s="282" t="e">
        <f>++Tabla4[[#This Row],[U. Bruta Uni]]*Tabla4[[#This Row],[Cantidad]]</f>
        <v>#N/A</v>
      </c>
      <c r="T5509" s="369" t="str">
        <f>VLOOKUP(Tabla4[[#This Row],[Producto]],Tabla6[#All],14,FALSE)</f>
        <v>Termico Solar</v>
      </c>
      <c r="U5509" s="284" t="e">
        <f>(IF(Tabla4[[#This Row],[Familia]]="termico solar",Tabla4[[#This Row],[Utilidad Total]]*6%,Tabla4[[#This Row],[Utilidad Total]]*11.5%))/Tabla4[[#This Row],[Total]]</f>
        <v>#N/A</v>
      </c>
      <c r="V5509" s="282" t="e">
        <f>+Tabla4[[#This Row],[Comisión Calculada]]*Tabla4[[#This Row],[Total]]</f>
        <v>#N/A</v>
      </c>
    </row>
    <row r="5510" spans="1:22" hidden="1" x14ac:dyDescent="0.25">
      <c r="A5510" s="100">
        <v>45900</v>
      </c>
      <c r="B5510" t="str">
        <f t="shared" si="267"/>
        <v>August</v>
      </c>
      <c r="C5510" s="46" t="s">
        <v>280</v>
      </c>
      <c r="F5510" s="366" t="s">
        <v>2850</v>
      </c>
      <c r="G5510" s="46" t="s">
        <v>18</v>
      </c>
      <c r="H5510" s="46">
        <v>2</v>
      </c>
      <c r="I5510" s="51">
        <v>5367.65</v>
      </c>
      <c r="J5510" s="281">
        <f>++Tabla4[[#This Row],[Precio Bruto]]*1.16</f>
        <v>6226.4739999999993</v>
      </c>
      <c r="K5510" s="281">
        <f>+Tabla4[[#This Row],[Precio Unitario Neto]]*Tabla4[[#Headers],[20.85%]]</f>
        <v>1298.2198289999999</v>
      </c>
      <c r="L5510" s="282">
        <f>++Tabla4[[#This Row],[Precio Unitario Neto]]-Tabla4[[#This Row],[20.85%]]</f>
        <v>4928.2541709999996</v>
      </c>
      <c r="M5510" s="282" t="e">
        <f>(INDEX(Tabla6[#All],MATCH(Tabla4[[#This Row],[Producto]],Tabla6[[#All],[PRODUCTO]],0),MATCH(Tabla4[[#This Row],[Mes]],Tabla6[#Headers],0)))*(1+Catalogos!$L$2)</f>
        <v>#N/A</v>
      </c>
      <c r="N5510" s="283" t="e">
        <f>+(Tabla4[[#This Row],[Precio Descontado]]-Tabla4[[#This Row],[Precio Base]])*Tabla4[[#This Row],[Cantidad]]</f>
        <v>#N/A</v>
      </c>
      <c r="O5510" s="284" t="e">
        <f>++Tabla4[[#This Row],[Utilidad Total]]/Tabla4[[#This Row],[Total]]</f>
        <v>#N/A</v>
      </c>
      <c r="P5510" s="282">
        <f>++Tabla4[[#This Row],[Precio Descontado]]*Tabla4[[#This Row],[Cantidad]]</f>
        <v>9856.5083419999992</v>
      </c>
      <c r="Q5510" s="282" t="e">
        <f>(INDEX(Tabla6[#All],MATCH(Tabla4[[#This Row],[Producto]],Tabla6[[#All],[PRODUCTO]],0),MATCH(Tabla4[[#This Row],[Mes]],Tabla6[#Headers],0)))</f>
        <v>#N/A</v>
      </c>
      <c r="R5510" s="282" t="e">
        <f>++Tabla4[[#This Row],[Precio Unitario Neto]]-Tabla4[[#This Row],[20.85%]]-Tabla4[[#This Row],[Costo]]</f>
        <v>#N/A</v>
      </c>
      <c r="S5510" s="282" t="e">
        <f>++Tabla4[[#This Row],[U. Bruta Uni]]*Tabla4[[#This Row],[Cantidad]]</f>
        <v>#N/A</v>
      </c>
      <c r="T5510" s="369" t="str">
        <f>VLOOKUP(Tabla4[[#This Row],[Producto]],Tabla6[#All],14,FALSE)</f>
        <v>Termico Solar</v>
      </c>
      <c r="U5510" s="284" t="e">
        <f>(IF(Tabla4[[#This Row],[Familia]]="termico solar",Tabla4[[#This Row],[Utilidad Total]]*6%,Tabla4[[#This Row],[Utilidad Total]]*11.5%))/Tabla4[[#This Row],[Total]]</f>
        <v>#N/A</v>
      </c>
      <c r="V5510" s="282" t="e">
        <f>+Tabla4[[#This Row],[Comisión Calculada]]*Tabla4[[#This Row],[Total]]</f>
        <v>#N/A</v>
      </c>
    </row>
    <row r="5511" spans="1:22" hidden="1" x14ac:dyDescent="0.25">
      <c r="A5511" s="100">
        <v>45900</v>
      </c>
      <c r="B5511" t="str">
        <f t="shared" si="267"/>
        <v>August</v>
      </c>
      <c r="C5511" s="46" t="s">
        <v>280</v>
      </c>
      <c r="F5511" s="366" t="s">
        <v>2850</v>
      </c>
      <c r="G5511" s="46" t="s">
        <v>412</v>
      </c>
      <c r="H5511" s="46">
        <v>1</v>
      </c>
      <c r="I5511" s="51">
        <v>3240.84</v>
      </c>
      <c r="J5511" s="281">
        <f>++Tabla4[[#This Row],[Precio Bruto]]*1.16</f>
        <v>3759.3743999999997</v>
      </c>
      <c r="K5511" s="281">
        <f>+Tabla4[[#This Row],[Precio Unitario Neto]]*Tabla4[[#Headers],[20.85%]]</f>
        <v>783.82956239999987</v>
      </c>
      <c r="L5511" s="282">
        <f>++Tabla4[[#This Row],[Precio Unitario Neto]]-Tabla4[[#This Row],[20.85%]]</f>
        <v>2975.5448375999999</v>
      </c>
      <c r="M5511" s="282" t="e">
        <f>(INDEX(Tabla6[#All],MATCH(Tabla4[[#This Row],[Producto]],Tabla6[[#All],[PRODUCTO]],0),MATCH(Tabla4[[#This Row],[Mes]],Tabla6[#Headers],0)))*(1+Catalogos!$L$2)</f>
        <v>#N/A</v>
      </c>
      <c r="N5511" s="283" t="e">
        <f>+(Tabla4[[#This Row],[Precio Descontado]]-Tabla4[[#This Row],[Precio Base]])*Tabla4[[#This Row],[Cantidad]]</f>
        <v>#N/A</v>
      </c>
      <c r="O5511" s="284" t="e">
        <f>++Tabla4[[#This Row],[Utilidad Total]]/Tabla4[[#This Row],[Total]]</f>
        <v>#N/A</v>
      </c>
      <c r="P5511" s="282">
        <f>++Tabla4[[#This Row],[Precio Descontado]]*Tabla4[[#This Row],[Cantidad]]</f>
        <v>2975.5448375999999</v>
      </c>
      <c r="Q5511" s="282" t="e">
        <f>(INDEX(Tabla6[#All],MATCH(Tabla4[[#This Row],[Producto]],Tabla6[[#All],[PRODUCTO]],0),MATCH(Tabla4[[#This Row],[Mes]],Tabla6[#Headers],0)))</f>
        <v>#N/A</v>
      </c>
      <c r="R5511" s="282" t="e">
        <f>++Tabla4[[#This Row],[Precio Unitario Neto]]-Tabla4[[#This Row],[20.85%]]-Tabla4[[#This Row],[Costo]]</f>
        <v>#N/A</v>
      </c>
      <c r="S5511" s="282" t="e">
        <f>++Tabla4[[#This Row],[U. Bruta Uni]]*Tabla4[[#This Row],[Cantidad]]</f>
        <v>#N/A</v>
      </c>
      <c r="T5511" s="369" t="str">
        <f>VLOOKUP(Tabla4[[#This Row],[Producto]],Tabla6[#All],14,FALSE)</f>
        <v>Termico Solar</v>
      </c>
      <c r="U5511" s="284" t="e">
        <f>(IF(Tabla4[[#This Row],[Familia]]="termico solar",Tabla4[[#This Row],[Utilidad Total]]*6%,Tabla4[[#This Row],[Utilidad Total]]*11.5%))/Tabla4[[#This Row],[Total]]</f>
        <v>#N/A</v>
      </c>
      <c r="V5511" s="282" t="e">
        <f>+Tabla4[[#This Row],[Comisión Calculada]]*Tabla4[[#This Row],[Total]]</f>
        <v>#N/A</v>
      </c>
    </row>
    <row r="5512" spans="1:22" hidden="1" x14ac:dyDescent="0.25">
      <c r="A5512" s="100">
        <v>45900</v>
      </c>
      <c r="B5512" t="str">
        <f t="shared" si="267"/>
        <v>August</v>
      </c>
      <c r="C5512" s="46" t="s">
        <v>280</v>
      </c>
      <c r="F5512" s="366" t="s">
        <v>2851</v>
      </c>
      <c r="G5512" s="46" t="s">
        <v>16</v>
      </c>
      <c r="H5512" s="46">
        <v>1</v>
      </c>
      <c r="I5512" s="51">
        <v>4103.8500000000004</v>
      </c>
      <c r="J5512" s="281">
        <f>++Tabla4[[#This Row],[Precio Bruto]]*1.16</f>
        <v>4760.4660000000003</v>
      </c>
      <c r="K5512" s="281">
        <f>+Tabla4[[#This Row],[Precio Unitario Neto]]*Tabla4[[#Headers],[20.85%]]</f>
        <v>992.55716100000006</v>
      </c>
      <c r="L5512" s="282">
        <f>++Tabla4[[#This Row],[Precio Unitario Neto]]-Tabla4[[#This Row],[20.85%]]</f>
        <v>3767.9088390000002</v>
      </c>
      <c r="M5512" s="282" t="e">
        <f>(INDEX(Tabla6[#All],MATCH(Tabla4[[#This Row],[Producto]],Tabla6[[#All],[PRODUCTO]],0),MATCH(Tabla4[[#This Row],[Mes]],Tabla6[#Headers],0)))*(1+Catalogos!$L$2)</f>
        <v>#N/A</v>
      </c>
      <c r="N5512" s="283" t="e">
        <f>+(Tabla4[[#This Row],[Precio Descontado]]-Tabla4[[#This Row],[Precio Base]])*Tabla4[[#This Row],[Cantidad]]</f>
        <v>#N/A</v>
      </c>
      <c r="O5512" s="284" t="e">
        <f>++Tabla4[[#This Row],[Utilidad Total]]/Tabla4[[#This Row],[Total]]</f>
        <v>#N/A</v>
      </c>
      <c r="P5512" s="282">
        <f>++Tabla4[[#This Row],[Precio Descontado]]*Tabla4[[#This Row],[Cantidad]]</f>
        <v>3767.9088390000002</v>
      </c>
      <c r="Q5512" s="282" t="e">
        <f>(INDEX(Tabla6[#All],MATCH(Tabla4[[#This Row],[Producto]],Tabla6[[#All],[PRODUCTO]],0),MATCH(Tabla4[[#This Row],[Mes]],Tabla6[#Headers],0)))</f>
        <v>#N/A</v>
      </c>
      <c r="R5512" s="282" t="e">
        <f>++Tabla4[[#This Row],[Precio Unitario Neto]]-Tabla4[[#This Row],[20.85%]]-Tabla4[[#This Row],[Costo]]</f>
        <v>#N/A</v>
      </c>
      <c r="S5512" s="282" t="e">
        <f>++Tabla4[[#This Row],[U. Bruta Uni]]*Tabla4[[#This Row],[Cantidad]]</f>
        <v>#N/A</v>
      </c>
      <c r="T5512" s="369" t="str">
        <f>VLOOKUP(Tabla4[[#This Row],[Producto]],Tabla6[#All],14,FALSE)</f>
        <v>Termico Solar</v>
      </c>
      <c r="U5512" s="284" t="e">
        <f>(IF(Tabla4[[#This Row],[Familia]]="termico solar",Tabla4[[#This Row],[Utilidad Total]]*6%,Tabla4[[#This Row],[Utilidad Total]]*11.5%))/Tabla4[[#This Row],[Total]]</f>
        <v>#N/A</v>
      </c>
      <c r="V5512" s="282" t="e">
        <f>+Tabla4[[#This Row],[Comisión Calculada]]*Tabla4[[#This Row],[Total]]</f>
        <v>#N/A</v>
      </c>
    </row>
    <row r="5513" spans="1:22" hidden="1" x14ac:dyDescent="0.25">
      <c r="A5513" s="100">
        <v>45900</v>
      </c>
      <c r="B5513" t="str">
        <f t="shared" si="267"/>
        <v>August</v>
      </c>
      <c r="C5513" s="46" t="s">
        <v>280</v>
      </c>
      <c r="F5513" s="366" t="s">
        <v>2851</v>
      </c>
      <c r="G5513" s="46" t="s">
        <v>208</v>
      </c>
      <c r="H5513" s="46">
        <v>1</v>
      </c>
      <c r="I5513" s="51">
        <v>189.75</v>
      </c>
      <c r="J5513" s="281">
        <f>++Tabla4[[#This Row],[Precio Bruto]]*1.16</f>
        <v>220.10999999999999</v>
      </c>
      <c r="K5513" s="281">
        <f>+Tabla4[[#This Row],[Precio Unitario Neto]]*Tabla4[[#Headers],[20.85%]]</f>
        <v>45.892934999999994</v>
      </c>
      <c r="L5513" s="282">
        <f>++Tabla4[[#This Row],[Precio Unitario Neto]]-Tabla4[[#This Row],[20.85%]]</f>
        <v>174.21706499999999</v>
      </c>
      <c r="M5513" s="282" t="e">
        <f>(INDEX(Tabla6[#All],MATCH(Tabla4[[#This Row],[Producto]],Tabla6[[#All],[PRODUCTO]],0),MATCH(Tabla4[[#This Row],[Mes]],Tabla6[#Headers],0)))*(1+Catalogos!$L$2)</f>
        <v>#N/A</v>
      </c>
      <c r="N5513" s="283" t="e">
        <f>+(Tabla4[[#This Row],[Precio Descontado]]-Tabla4[[#This Row],[Precio Base]])*Tabla4[[#This Row],[Cantidad]]</f>
        <v>#N/A</v>
      </c>
      <c r="O5513" s="284" t="e">
        <f>++Tabla4[[#This Row],[Utilidad Total]]/Tabla4[[#This Row],[Total]]</f>
        <v>#N/A</v>
      </c>
      <c r="P5513" s="282">
        <f>++Tabla4[[#This Row],[Precio Descontado]]*Tabla4[[#This Row],[Cantidad]]</f>
        <v>174.21706499999999</v>
      </c>
      <c r="Q5513" s="282" t="e">
        <f>(INDEX(Tabla6[#All],MATCH(Tabla4[[#This Row],[Producto]],Tabla6[[#All],[PRODUCTO]],0),MATCH(Tabla4[[#This Row],[Mes]],Tabla6[#Headers],0)))</f>
        <v>#N/A</v>
      </c>
      <c r="R5513" s="282" t="e">
        <f>++Tabla4[[#This Row],[Precio Unitario Neto]]-Tabla4[[#This Row],[20.85%]]-Tabla4[[#This Row],[Costo]]</f>
        <v>#N/A</v>
      </c>
      <c r="S5513" s="282" t="e">
        <f>++Tabla4[[#This Row],[U. Bruta Uni]]*Tabla4[[#This Row],[Cantidad]]</f>
        <v>#N/A</v>
      </c>
      <c r="T5513" s="369" t="str">
        <f>VLOOKUP(Tabla4[[#This Row],[Producto]],Tabla6[#All],14,FALSE)</f>
        <v>Termico Solar</v>
      </c>
      <c r="U5513" s="284" t="e">
        <f>(IF(Tabla4[[#This Row],[Familia]]="termico solar",Tabla4[[#This Row],[Utilidad Total]]*6%,Tabla4[[#This Row],[Utilidad Total]]*11.5%))/Tabla4[[#This Row],[Total]]</f>
        <v>#N/A</v>
      </c>
      <c r="V5513" s="282" t="e">
        <f>+Tabla4[[#This Row],[Comisión Calculada]]*Tabla4[[#This Row],[Total]]</f>
        <v>#N/A</v>
      </c>
    </row>
    <row r="5514" spans="1:22" hidden="1" x14ac:dyDescent="0.25">
      <c r="A5514" s="100">
        <v>45900</v>
      </c>
      <c r="B5514" t="str">
        <f t="shared" si="267"/>
        <v>August</v>
      </c>
      <c r="C5514" s="46" t="s">
        <v>280</v>
      </c>
      <c r="F5514" s="366" t="s">
        <v>2852</v>
      </c>
      <c r="G5514" s="46" t="s">
        <v>566</v>
      </c>
      <c r="H5514" s="46">
        <v>1</v>
      </c>
      <c r="I5514" s="51">
        <v>2109.4499999999998</v>
      </c>
      <c r="J5514" s="281">
        <f>++Tabla4[[#This Row],[Precio Bruto]]*1.16</f>
        <v>2446.9619999999995</v>
      </c>
      <c r="K5514" s="281">
        <f>+Tabla4[[#This Row],[Precio Unitario Neto]]*Tabla4[[#Headers],[20.85%]]</f>
        <v>510.19157699999988</v>
      </c>
      <c r="L5514" s="282">
        <f>++Tabla4[[#This Row],[Precio Unitario Neto]]-Tabla4[[#This Row],[20.85%]]</f>
        <v>1936.7704229999997</v>
      </c>
      <c r="M5514" s="282" t="e">
        <f>(INDEX(Tabla6[#All],MATCH(Tabla4[[#This Row],[Producto]],Tabla6[[#All],[PRODUCTO]],0),MATCH(Tabla4[[#This Row],[Mes]],Tabla6[#Headers],0)))*(1+Catalogos!$L$2)</f>
        <v>#N/A</v>
      </c>
      <c r="N5514" s="283" t="e">
        <f>+(Tabla4[[#This Row],[Precio Descontado]]-Tabla4[[#This Row],[Precio Base]])*Tabla4[[#This Row],[Cantidad]]</f>
        <v>#N/A</v>
      </c>
      <c r="O5514" s="284" t="e">
        <f>++Tabla4[[#This Row],[Utilidad Total]]/Tabla4[[#This Row],[Total]]</f>
        <v>#N/A</v>
      </c>
      <c r="P5514" s="282">
        <f>++Tabla4[[#This Row],[Precio Descontado]]*Tabla4[[#This Row],[Cantidad]]</f>
        <v>1936.7704229999997</v>
      </c>
      <c r="Q5514" s="282" t="e">
        <f>(INDEX(Tabla6[#All],MATCH(Tabla4[[#This Row],[Producto]],Tabla6[[#All],[PRODUCTO]],0),MATCH(Tabla4[[#This Row],[Mes]],Tabla6[#Headers],0)))</f>
        <v>#N/A</v>
      </c>
      <c r="R5514" s="282" t="e">
        <f>++Tabla4[[#This Row],[Precio Unitario Neto]]-Tabla4[[#This Row],[20.85%]]-Tabla4[[#This Row],[Costo]]</f>
        <v>#N/A</v>
      </c>
      <c r="S5514" s="282" t="e">
        <f>++Tabla4[[#This Row],[U. Bruta Uni]]*Tabla4[[#This Row],[Cantidad]]</f>
        <v>#N/A</v>
      </c>
      <c r="T5514" s="369" t="str">
        <f>VLOOKUP(Tabla4[[#This Row],[Producto]],Tabla6[#All],14,FALSE)</f>
        <v>Termico Solar</v>
      </c>
      <c r="U5514" s="284" t="e">
        <f>(IF(Tabla4[[#This Row],[Familia]]="termico solar",Tabla4[[#This Row],[Utilidad Total]]*6%,Tabla4[[#This Row],[Utilidad Total]]*11.5%))/Tabla4[[#This Row],[Total]]</f>
        <v>#N/A</v>
      </c>
      <c r="V5514" s="282" t="e">
        <f>+Tabla4[[#This Row],[Comisión Calculada]]*Tabla4[[#This Row],[Total]]</f>
        <v>#N/A</v>
      </c>
    </row>
    <row r="5515" spans="1:22" hidden="1" x14ac:dyDescent="0.25">
      <c r="A5515" s="100">
        <v>45900</v>
      </c>
      <c r="B5515" t="str">
        <f t="shared" si="267"/>
        <v>August</v>
      </c>
      <c r="C5515" s="46" t="s">
        <v>280</v>
      </c>
      <c r="F5515" s="366" t="s">
        <v>2852</v>
      </c>
      <c r="G5515" s="46" t="s">
        <v>208</v>
      </c>
      <c r="H5515" s="46">
        <v>3</v>
      </c>
      <c r="I5515" s="51">
        <v>189.75</v>
      </c>
      <c r="J5515" s="281">
        <f>++Tabla4[[#This Row],[Precio Bruto]]*1.16</f>
        <v>220.10999999999999</v>
      </c>
      <c r="K5515" s="281">
        <f>+Tabla4[[#This Row],[Precio Unitario Neto]]*Tabla4[[#Headers],[20.85%]]</f>
        <v>45.892934999999994</v>
      </c>
      <c r="L5515" s="282">
        <f>++Tabla4[[#This Row],[Precio Unitario Neto]]-Tabla4[[#This Row],[20.85%]]</f>
        <v>174.21706499999999</v>
      </c>
      <c r="M5515" s="282" t="e">
        <f>(INDEX(Tabla6[#All],MATCH(Tabla4[[#This Row],[Producto]],Tabla6[[#All],[PRODUCTO]],0),MATCH(Tabla4[[#This Row],[Mes]],Tabla6[#Headers],0)))*(1+Catalogos!$L$2)</f>
        <v>#N/A</v>
      </c>
      <c r="N5515" s="283" t="e">
        <f>+(Tabla4[[#This Row],[Precio Descontado]]-Tabla4[[#This Row],[Precio Base]])*Tabla4[[#This Row],[Cantidad]]</f>
        <v>#N/A</v>
      </c>
      <c r="O5515" s="284" t="e">
        <f>++Tabla4[[#This Row],[Utilidad Total]]/Tabla4[[#This Row],[Total]]</f>
        <v>#N/A</v>
      </c>
      <c r="P5515" s="282">
        <f>++Tabla4[[#This Row],[Precio Descontado]]*Tabla4[[#This Row],[Cantidad]]</f>
        <v>522.65119499999992</v>
      </c>
      <c r="Q5515" s="282" t="e">
        <f>(INDEX(Tabla6[#All],MATCH(Tabla4[[#This Row],[Producto]],Tabla6[[#All],[PRODUCTO]],0),MATCH(Tabla4[[#This Row],[Mes]],Tabla6[#Headers],0)))</f>
        <v>#N/A</v>
      </c>
      <c r="R5515" s="282" t="e">
        <f>++Tabla4[[#This Row],[Precio Unitario Neto]]-Tabla4[[#This Row],[20.85%]]-Tabla4[[#This Row],[Costo]]</f>
        <v>#N/A</v>
      </c>
      <c r="S5515" s="282" t="e">
        <f>++Tabla4[[#This Row],[U. Bruta Uni]]*Tabla4[[#This Row],[Cantidad]]</f>
        <v>#N/A</v>
      </c>
      <c r="T5515" s="369" t="str">
        <f>VLOOKUP(Tabla4[[#This Row],[Producto]],Tabla6[#All],14,FALSE)</f>
        <v>Termico Solar</v>
      </c>
      <c r="U5515" s="284" t="e">
        <f>(IF(Tabla4[[#This Row],[Familia]]="termico solar",Tabla4[[#This Row],[Utilidad Total]]*6%,Tabla4[[#This Row],[Utilidad Total]]*11.5%))/Tabla4[[#This Row],[Total]]</f>
        <v>#N/A</v>
      </c>
      <c r="V5515" s="282" t="e">
        <f>+Tabla4[[#This Row],[Comisión Calculada]]*Tabla4[[#This Row],[Total]]</f>
        <v>#N/A</v>
      </c>
    </row>
    <row r="5516" spans="1:22" hidden="1" x14ac:dyDescent="0.25">
      <c r="A5516" s="100">
        <v>45900</v>
      </c>
      <c r="B5516" t="str">
        <f t="shared" si="267"/>
        <v>August</v>
      </c>
      <c r="C5516" s="46" t="s">
        <v>280</v>
      </c>
      <c r="F5516" s="366" t="s">
        <v>2853</v>
      </c>
      <c r="G5516" s="46" t="s">
        <v>17</v>
      </c>
      <c r="H5516" s="46">
        <v>1</v>
      </c>
      <c r="I5516" s="51">
        <v>4622.28</v>
      </c>
      <c r="J5516" s="281">
        <f>++Tabla4[[#This Row],[Precio Bruto]]*1.16</f>
        <v>5361.8447999999989</v>
      </c>
      <c r="K5516" s="281">
        <f>+Tabla4[[#This Row],[Precio Unitario Neto]]*Tabla4[[#Headers],[20.85%]]</f>
        <v>1117.9446407999997</v>
      </c>
      <c r="L5516" s="282">
        <f>++Tabla4[[#This Row],[Precio Unitario Neto]]-Tabla4[[#This Row],[20.85%]]</f>
        <v>4243.9001591999995</v>
      </c>
      <c r="M5516" s="282" t="e">
        <f>(INDEX(Tabla6[#All],MATCH(Tabla4[[#This Row],[Producto]],Tabla6[[#All],[PRODUCTO]],0),MATCH(Tabla4[[#This Row],[Mes]],Tabla6[#Headers],0)))*(1+Catalogos!$L$2)</f>
        <v>#N/A</v>
      </c>
      <c r="N5516" s="283" t="e">
        <f>+(Tabla4[[#This Row],[Precio Descontado]]-Tabla4[[#This Row],[Precio Base]])*Tabla4[[#This Row],[Cantidad]]</f>
        <v>#N/A</v>
      </c>
      <c r="O5516" s="284" t="e">
        <f>++Tabla4[[#This Row],[Utilidad Total]]/Tabla4[[#This Row],[Total]]</f>
        <v>#N/A</v>
      </c>
      <c r="P5516" s="282">
        <f>++Tabla4[[#This Row],[Precio Descontado]]*Tabla4[[#This Row],[Cantidad]]</f>
        <v>4243.9001591999995</v>
      </c>
      <c r="Q5516" s="282" t="e">
        <f>(INDEX(Tabla6[#All],MATCH(Tabla4[[#This Row],[Producto]],Tabla6[[#All],[PRODUCTO]],0),MATCH(Tabla4[[#This Row],[Mes]],Tabla6[#Headers],0)))</f>
        <v>#N/A</v>
      </c>
      <c r="R5516" s="282" t="e">
        <f>++Tabla4[[#This Row],[Precio Unitario Neto]]-Tabla4[[#This Row],[20.85%]]-Tabla4[[#This Row],[Costo]]</f>
        <v>#N/A</v>
      </c>
      <c r="S5516" s="282" t="e">
        <f>++Tabla4[[#This Row],[U. Bruta Uni]]*Tabla4[[#This Row],[Cantidad]]</f>
        <v>#N/A</v>
      </c>
      <c r="T5516" s="369" t="str">
        <f>VLOOKUP(Tabla4[[#This Row],[Producto]],Tabla6[#All],14,FALSE)</f>
        <v>Termico Solar</v>
      </c>
      <c r="U5516" s="284" t="e">
        <f>(IF(Tabla4[[#This Row],[Familia]]="termico solar",Tabla4[[#This Row],[Utilidad Total]]*6%,Tabla4[[#This Row],[Utilidad Total]]*11.5%))/Tabla4[[#This Row],[Total]]</f>
        <v>#N/A</v>
      </c>
      <c r="V5516" s="282" t="e">
        <f>+Tabla4[[#This Row],[Comisión Calculada]]*Tabla4[[#This Row],[Total]]</f>
        <v>#N/A</v>
      </c>
    </row>
    <row r="5517" spans="1:22" hidden="1" x14ac:dyDescent="0.25">
      <c r="A5517" s="100">
        <v>45900</v>
      </c>
      <c r="B5517" t="str">
        <f t="shared" si="267"/>
        <v>August</v>
      </c>
      <c r="C5517" s="46" t="s">
        <v>280</v>
      </c>
      <c r="F5517" s="366" t="s">
        <v>2853</v>
      </c>
      <c r="G5517" s="46" t="s">
        <v>566</v>
      </c>
      <c r="H5517" s="46">
        <v>1</v>
      </c>
      <c r="I5517" s="51">
        <v>2109.4499999999998</v>
      </c>
      <c r="J5517" s="281">
        <f>++Tabla4[[#This Row],[Precio Bruto]]*1.16</f>
        <v>2446.9619999999995</v>
      </c>
      <c r="K5517" s="281">
        <f>+Tabla4[[#This Row],[Precio Unitario Neto]]*Tabla4[[#Headers],[20.85%]]</f>
        <v>510.19157699999988</v>
      </c>
      <c r="L5517" s="282">
        <f>++Tabla4[[#This Row],[Precio Unitario Neto]]-Tabla4[[#This Row],[20.85%]]</f>
        <v>1936.7704229999997</v>
      </c>
      <c r="M5517" s="282" t="e">
        <f>(INDEX(Tabla6[#All],MATCH(Tabla4[[#This Row],[Producto]],Tabla6[[#All],[PRODUCTO]],0),MATCH(Tabla4[[#This Row],[Mes]],Tabla6[#Headers],0)))*(1+Catalogos!$L$2)</f>
        <v>#N/A</v>
      </c>
      <c r="N5517" s="283" t="e">
        <f>+(Tabla4[[#This Row],[Precio Descontado]]-Tabla4[[#This Row],[Precio Base]])*Tabla4[[#This Row],[Cantidad]]</f>
        <v>#N/A</v>
      </c>
      <c r="O5517" s="284" t="e">
        <f>++Tabla4[[#This Row],[Utilidad Total]]/Tabla4[[#This Row],[Total]]</f>
        <v>#N/A</v>
      </c>
      <c r="P5517" s="282">
        <f>++Tabla4[[#This Row],[Precio Descontado]]*Tabla4[[#This Row],[Cantidad]]</f>
        <v>1936.7704229999997</v>
      </c>
      <c r="Q5517" s="282" t="e">
        <f>(INDEX(Tabla6[#All],MATCH(Tabla4[[#This Row],[Producto]],Tabla6[[#All],[PRODUCTO]],0),MATCH(Tabla4[[#This Row],[Mes]],Tabla6[#Headers],0)))</f>
        <v>#N/A</v>
      </c>
      <c r="R5517" s="282" t="e">
        <f>++Tabla4[[#This Row],[Precio Unitario Neto]]-Tabla4[[#This Row],[20.85%]]-Tabla4[[#This Row],[Costo]]</f>
        <v>#N/A</v>
      </c>
      <c r="S5517" s="282" t="e">
        <f>++Tabla4[[#This Row],[U. Bruta Uni]]*Tabla4[[#This Row],[Cantidad]]</f>
        <v>#N/A</v>
      </c>
      <c r="T5517" s="369" t="str">
        <f>VLOOKUP(Tabla4[[#This Row],[Producto]],Tabla6[#All],14,FALSE)</f>
        <v>Termico Solar</v>
      </c>
      <c r="U5517" s="284" t="e">
        <f>(IF(Tabla4[[#This Row],[Familia]]="termico solar",Tabla4[[#This Row],[Utilidad Total]]*6%,Tabla4[[#This Row],[Utilidad Total]]*11.5%))/Tabla4[[#This Row],[Total]]</f>
        <v>#N/A</v>
      </c>
      <c r="V5517" s="282" t="e">
        <f>+Tabla4[[#This Row],[Comisión Calculada]]*Tabla4[[#This Row],[Total]]</f>
        <v>#N/A</v>
      </c>
    </row>
    <row r="5518" spans="1:22" hidden="1" x14ac:dyDescent="0.25">
      <c r="A5518" s="100">
        <v>45900</v>
      </c>
      <c r="B5518" t="str">
        <f t="shared" si="267"/>
        <v>August</v>
      </c>
      <c r="C5518" s="46" t="s">
        <v>280</v>
      </c>
      <c r="F5518" s="366" t="s">
        <v>2854</v>
      </c>
      <c r="G5518" s="46" t="s">
        <v>17</v>
      </c>
      <c r="H5518" s="46">
        <v>1</v>
      </c>
      <c r="I5518" s="51">
        <v>4622.28</v>
      </c>
      <c r="J5518" s="281">
        <f>++Tabla4[[#This Row],[Precio Bruto]]*1.16</f>
        <v>5361.8447999999989</v>
      </c>
      <c r="K5518" s="281">
        <f>+Tabla4[[#This Row],[Precio Unitario Neto]]*Tabla4[[#Headers],[20.85%]]</f>
        <v>1117.9446407999997</v>
      </c>
      <c r="L5518" s="282">
        <f>++Tabla4[[#This Row],[Precio Unitario Neto]]-Tabla4[[#This Row],[20.85%]]</f>
        <v>4243.9001591999995</v>
      </c>
      <c r="M5518" s="282" t="e">
        <f>(INDEX(Tabla6[#All],MATCH(Tabla4[[#This Row],[Producto]],Tabla6[[#All],[PRODUCTO]],0),MATCH(Tabla4[[#This Row],[Mes]],Tabla6[#Headers],0)))*(1+Catalogos!$L$2)</f>
        <v>#N/A</v>
      </c>
      <c r="N5518" s="283" t="e">
        <f>+(Tabla4[[#This Row],[Precio Descontado]]-Tabla4[[#This Row],[Precio Base]])*Tabla4[[#This Row],[Cantidad]]</f>
        <v>#N/A</v>
      </c>
      <c r="O5518" s="284" t="e">
        <f>++Tabla4[[#This Row],[Utilidad Total]]/Tabla4[[#This Row],[Total]]</f>
        <v>#N/A</v>
      </c>
      <c r="P5518" s="282">
        <f>++Tabla4[[#This Row],[Precio Descontado]]*Tabla4[[#This Row],[Cantidad]]</f>
        <v>4243.9001591999995</v>
      </c>
      <c r="Q5518" s="282" t="e">
        <f>(INDEX(Tabla6[#All],MATCH(Tabla4[[#This Row],[Producto]],Tabla6[[#All],[PRODUCTO]],0),MATCH(Tabla4[[#This Row],[Mes]],Tabla6[#Headers],0)))</f>
        <v>#N/A</v>
      </c>
      <c r="R5518" s="282" t="e">
        <f>++Tabla4[[#This Row],[Precio Unitario Neto]]-Tabla4[[#This Row],[20.85%]]-Tabla4[[#This Row],[Costo]]</f>
        <v>#N/A</v>
      </c>
      <c r="S5518" s="282" t="e">
        <f>++Tabla4[[#This Row],[U. Bruta Uni]]*Tabla4[[#This Row],[Cantidad]]</f>
        <v>#N/A</v>
      </c>
      <c r="T5518" s="369" t="str">
        <f>VLOOKUP(Tabla4[[#This Row],[Producto]],Tabla6[#All],14,FALSE)</f>
        <v>Termico Solar</v>
      </c>
      <c r="U5518" s="284" t="e">
        <f>(IF(Tabla4[[#This Row],[Familia]]="termico solar",Tabla4[[#This Row],[Utilidad Total]]*6%,Tabla4[[#This Row],[Utilidad Total]]*11.5%))/Tabla4[[#This Row],[Total]]</f>
        <v>#N/A</v>
      </c>
      <c r="V5518" s="282" t="e">
        <f>+Tabla4[[#This Row],[Comisión Calculada]]*Tabla4[[#This Row],[Total]]</f>
        <v>#N/A</v>
      </c>
    </row>
    <row r="5519" spans="1:22" hidden="1" x14ac:dyDescent="0.25">
      <c r="A5519" s="100">
        <v>45900</v>
      </c>
      <c r="B5519" t="str">
        <f t="shared" si="267"/>
        <v>August</v>
      </c>
      <c r="C5519" s="46" t="s">
        <v>280</v>
      </c>
      <c r="F5519" s="366" t="s">
        <v>2854</v>
      </c>
      <c r="G5519" s="46" t="s">
        <v>19</v>
      </c>
      <c r="H5519" s="46">
        <v>1</v>
      </c>
      <c r="I5519" s="51">
        <v>6412.03</v>
      </c>
      <c r="J5519" s="281">
        <f>++Tabla4[[#This Row],[Precio Bruto]]*1.16</f>
        <v>7437.9547999999995</v>
      </c>
      <c r="K5519" s="281">
        <f>+Tabla4[[#This Row],[Precio Unitario Neto]]*Tabla4[[#Headers],[20.85%]]</f>
        <v>1550.8135757999999</v>
      </c>
      <c r="L5519" s="282">
        <f>++Tabla4[[#This Row],[Precio Unitario Neto]]-Tabla4[[#This Row],[20.85%]]</f>
        <v>5887.1412241999997</v>
      </c>
      <c r="M5519" s="282" t="e">
        <f>(INDEX(Tabla6[#All],MATCH(Tabla4[[#This Row],[Producto]],Tabla6[[#All],[PRODUCTO]],0),MATCH(Tabla4[[#This Row],[Mes]],Tabla6[#Headers],0)))*(1+Catalogos!$L$2)</f>
        <v>#N/A</v>
      </c>
      <c r="N5519" s="283" t="e">
        <f>+(Tabla4[[#This Row],[Precio Descontado]]-Tabla4[[#This Row],[Precio Base]])*Tabla4[[#This Row],[Cantidad]]</f>
        <v>#N/A</v>
      </c>
      <c r="O5519" s="284" t="e">
        <f>++Tabla4[[#This Row],[Utilidad Total]]/Tabla4[[#This Row],[Total]]</f>
        <v>#N/A</v>
      </c>
      <c r="P5519" s="282">
        <f>++Tabla4[[#This Row],[Precio Descontado]]*Tabla4[[#This Row],[Cantidad]]</f>
        <v>5887.1412241999997</v>
      </c>
      <c r="Q5519" s="282" t="e">
        <f>(INDEX(Tabla6[#All],MATCH(Tabla4[[#This Row],[Producto]],Tabla6[[#All],[PRODUCTO]],0),MATCH(Tabla4[[#This Row],[Mes]],Tabla6[#Headers],0)))</f>
        <v>#N/A</v>
      </c>
      <c r="R5519" s="282" t="e">
        <f>++Tabla4[[#This Row],[Precio Unitario Neto]]-Tabla4[[#This Row],[20.85%]]-Tabla4[[#This Row],[Costo]]</f>
        <v>#N/A</v>
      </c>
      <c r="S5519" s="282" t="e">
        <f>++Tabla4[[#This Row],[U. Bruta Uni]]*Tabla4[[#This Row],[Cantidad]]</f>
        <v>#N/A</v>
      </c>
      <c r="T5519" s="369" t="str">
        <f>VLOOKUP(Tabla4[[#This Row],[Producto]],Tabla6[#All],14,FALSE)</f>
        <v>Termico Solar</v>
      </c>
      <c r="U5519" s="284" t="e">
        <f>(IF(Tabla4[[#This Row],[Familia]]="termico solar",Tabla4[[#This Row],[Utilidad Total]]*6%,Tabla4[[#This Row],[Utilidad Total]]*11.5%))/Tabla4[[#This Row],[Total]]</f>
        <v>#N/A</v>
      </c>
      <c r="V5519" s="282" t="e">
        <f>+Tabla4[[#This Row],[Comisión Calculada]]*Tabla4[[#This Row],[Total]]</f>
        <v>#N/A</v>
      </c>
    </row>
    <row r="5520" spans="1:22" hidden="1" x14ac:dyDescent="0.25">
      <c r="A5520" s="100">
        <v>45900</v>
      </c>
      <c r="B5520" t="str">
        <f t="shared" si="267"/>
        <v>August</v>
      </c>
      <c r="C5520" s="46" t="s">
        <v>280</v>
      </c>
      <c r="F5520" s="366" t="s">
        <v>2855</v>
      </c>
      <c r="G5520" s="46" t="s">
        <v>83</v>
      </c>
      <c r="H5520" s="46">
        <v>2</v>
      </c>
      <c r="I5520" s="51">
        <v>8858.76</v>
      </c>
      <c r="J5520" s="281">
        <f>++Tabla4[[#This Row],[Precio Bruto]]*1.16</f>
        <v>10276.161599999999</v>
      </c>
      <c r="K5520" s="281">
        <f>+Tabla4[[#This Row],[Precio Unitario Neto]]*Tabla4[[#Headers],[20.85%]]</f>
        <v>2142.5796935999997</v>
      </c>
      <c r="L5520" s="282">
        <f>++Tabla4[[#This Row],[Precio Unitario Neto]]-Tabla4[[#This Row],[20.85%]]</f>
        <v>8133.5819063999998</v>
      </c>
      <c r="M5520" s="282" t="e">
        <f>(INDEX(Tabla6[#All],MATCH(Tabla4[[#This Row],[Producto]],Tabla6[[#All],[PRODUCTO]],0),MATCH(Tabla4[[#This Row],[Mes]],Tabla6[#Headers],0)))*(1+Catalogos!$L$2)</f>
        <v>#N/A</v>
      </c>
      <c r="N5520" s="283" t="e">
        <f>+(Tabla4[[#This Row],[Precio Descontado]]-Tabla4[[#This Row],[Precio Base]])*Tabla4[[#This Row],[Cantidad]]</f>
        <v>#N/A</v>
      </c>
      <c r="O5520" s="284" t="e">
        <f>++Tabla4[[#This Row],[Utilidad Total]]/Tabla4[[#This Row],[Total]]</f>
        <v>#N/A</v>
      </c>
      <c r="P5520" s="282">
        <f>++Tabla4[[#This Row],[Precio Descontado]]*Tabla4[[#This Row],[Cantidad]]</f>
        <v>16267.1638128</v>
      </c>
      <c r="Q5520" s="282" t="e">
        <f>(INDEX(Tabla6[#All],MATCH(Tabla4[[#This Row],[Producto]],Tabla6[[#All],[PRODUCTO]],0),MATCH(Tabla4[[#This Row],[Mes]],Tabla6[#Headers],0)))</f>
        <v>#N/A</v>
      </c>
      <c r="R5520" s="282" t="e">
        <f>++Tabla4[[#This Row],[Precio Unitario Neto]]-Tabla4[[#This Row],[20.85%]]-Tabla4[[#This Row],[Costo]]</f>
        <v>#N/A</v>
      </c>
      <c r="S5520" s="282" t="e">
        <f>++Tabla4[[#This Row],[U. Bruta Uni]]*Tabla4[[#This Row],[Cantidad]]</f>
        <v>#N/A</v>
      </c>
      <c r="T5520" s="369" t="str">
        <f>VLOOKUP(Tabla4[[#This Row],[Producto]],Tabla6[#All],14,FALSE)</f>
        <v>Termico Solar</v>
      </c>
      <c r="U5520" s="284" t="e">
        <f>(IF(Tabla4[[#This Row],[Familia]]="termico solar",Tabla4[[#This Row],[Utilidad Total]]*6%,Tabla4[[#This Row],[Utilidad Total]]*11.5%))/Tabla4[[#This Row],[Total]]</f>
        <v>#N/A</v>
      </c>
      <c r="V5520" s="282" t="e">
        <f>+Tabla4[[#This Row],[Comisión Calculada]]*Tabla4[[#This Row],[Total]]</f>
        <v>#N/A</v>
      </c>
    </row>
    <row r="5521" spans="1:22" hidden="1" x14ac:dyDescent="0.25">
      <c r="A5521" s="100">
        <v>45900</v>
      </c>
      <c r="B5521" t="str">
        <f t="shared" si="267"/>
        <v>August</v>
      </c>
      <c r="C5521" s="46" t="s">
        <v>280</v>
      </c>
      <c r="F5521" s="366" t="s">
        <v>2855</v>
      </c>
      <c r="G5521" s="46" t="s">
        <v>18</v>
      </c>
      <c r="H5521" s="46">
        <v>3</v>
      </c>
      <c r="I5521" s="51">
        <v>5367.6500000000005</v>
      </c>
      <c r="J5521" s="281">
        <f>++Tabla4[[#This Row],[Precio Bruto]]*1.16</f>
        <v>6226.4740000000002</v>
      </c>
      <c r="K5521" s="281">
        <f>+Tabla4[[#This Row],[Precio Unitario Neto]]*Tabla4[[#Headers],[20.85%]]</f>
        <v>1298.2198289999999</v>
      </c>
      <c r="L5521" s="282">
        <f>++Tabla4[[#This Row],[Precio Unitario Neto]]-Tabla4[[#This Row],[20.85%]]</f>
        <v>4928.2541710000005</v>
      </c>
      <c r="M5521" s="282" t="e">
        <f>(INDEX(Tabla6[#All],MATCH(Tabla4[[#This Row],[Producto]],Tabla6[[#All],[PRODUCTO]],0),MATCH(Tabla4[[#This Row],[Mes]],Tabla6[#Headers],0)))*(1+Catalogos!$L$2)</f>
        <v>#N/A</v>
      </c>
      <c r="N5521" s="283" t="e">
        <f>+(Tabla4[[#This Row],[Precio Descontado]]-Tabla4[[#This Row],[Precio Base]])*Tabla4[[#This Row],[Cantidad]]</f>
        <v>#N/A</v>
      </c>
      <c r="O5521" s="284" t="e">
        <f>++Tabla4[[#This Row],[Utilidad Total]]/Tabla4[[#This Row],[Total]]</f>
        <v>#N/A</v>
      </c>
      <c r="P5521" s="282">
        <f>++Tabla4[[#This Row],[Precio Descontado]]*Tabla4[[#This Row],[Cantidad]]</f>
        <v>14784.762513000001</v>
      </c>
      <c r="Q5521" s="282" t="e">
        <f>(INDEX(Tabla6[#All],MATCH(Tabla4[[#This Row],[Producto]],Tabla6[[#All],[PRODUCTO]],0),MATCH(Tabla4[[#This Row],[Mes]],Tabla6[#Headers],0)))</f>
        <v>#N/A</v>
      </c>
      <c r="R5521" s="282" t="e">
        <f>++Tabla4[[#This Row],[Precio Unitario Neto]]-Tabla4[[#This Row],[20.85%]]-Tabla4[[#This Row],[Costo]]</f>
        <v>#N/A</v>
      </c>
      <c r="S5521" s="282" t="e">
        <f>++Tabla4[[#This Row],[U. Bruta Uni]]*Tabla4[[#This Row],[Cantidad]]</f>
        <v>#N/A</v>
      </c>
      <c r="T5521" s="369" t="str">
        <f>VLOOKUP(Tabla4[[#This Row],[Producto]],Tabla6[#All],14,FALSE)</f>
        <v>Termico Solar</v>
      </c>
      <c r="U5521" s="284" t="e">
        <f>(IF(Tabla4[[#This Row],[Familia]]="termico solar",Tabla4[[#This Row],[Utilidad Total]]*6%,Tabla4[[#This Row],[Utilidad Total]]*11.5%))/Tabla4[[#This Row],[Total]]</f>
        <v>#N/A</v>
      </c>
      <c r="V5521" s="282" t="e">
        <f>+Tabla4[[#This Row],[Comisión Calculada]]*Tabla4[[#This Row],[Total]]</f>
        <v>#N/A</v>
      </c>
    </row>
    <row r="5522" spans="1:22" hidden="1" x14ac:dyDescent="0.25">
      <c r="A5522" s="100">
        <v>45900</v>
      </c>
      <c r="B5522" t="str">
        <f t="shared" si="267"/>
        <v>August</v>
      </c>
      <c r="C5522" s="46" t="s">
        <v>280</v>
      </c>
      <c r="F5522" s="366" t="s">
        <v>2855</v>
      </c>
      <c r="G5522" s="46" t="s">
        <v>16</v>
      </c>
      <c r="H5522" s="46">
        <v>1</v>
      </c>
      <c r="I5522" s="51">
        <v>4103.8500000000004</v>
      </c>
      <c r="J5522" s="281">
        <f>++Tabla4[[#This Row],[Precio Bruto]]*1.16</f>
        <v>4760.4660000000003</v>
      </c>
      <c r="K5522" s="281">
        <f>+Tabla4[[#This Row],[Precio Unitario Neto]]*Tabla4[[#Headers],[20.85%]]</f>
        <v>992.55716100000006</v>
      </c>
      <c r="L5522" s="282">
        <f>++Tabla4[[#This Row],[Precio Unitario Neto]]-Tabla4[[#This Row],[20.85%]]</f>
        <v>3767.9088390000002</v>
      </c>
      <c r="M5522" s="282" t="e">
        <f>(INDEX(Tabla6[#All],MATCH(Tabla4[[#This Row],[Producto]],Tabla6[[#All],[PRODUCTO]],0),MATCH(Tabla4[[#This Row],[Mes]],Tabla6[#Headers],0)))*(1+Catalogos!$L$2)</f>
        <v>#N/A</v>
      </c>
      <c r="N5522" s="283" t="e">
        <f>+(Tabla4[[#This Row],[Precio Descontado]]-Tabla4[[#This Row],[Precio Base]])*Tabla4[[#This Row],[Cantidad]]</f>
        <v>#N/A</v>
      </c>
      <c r="O5522" s="284" t="e">
        <f>++Tabla4[[#This Row],[Utilidad Total]]/Tabla4[[#This Row],[Total]]</f>
        <v>#N/A</v>
      </c>
      <c r="P5522" s="282">
        <f>++Tabla4[[#This Row],[Precio Descontado]]*Tabla4[[#This Row],[Cantidad]]</f>
        <v>3767.9088390000002</v>
      </c>
      <c r="Q5522" s="282" t="e">
        <f>(INDEX(Tabla6[#All],MATCH(Tabla4[[#This Row],[Producto]],Tabla6[[#All],[PRODUCTO]],0),MATCH(Tabla4[[#This Row],[Mes]],Tabla6[#Headers],0)))</f>
        <v>#N/A</v>
      </c>
      <c r="R5522" s="282" t="e">
        <f>++Tabla4[[#This Row],[Precio Unitario Neto]]-Tabla4[[#This Row],[20.85%]]-Tabla4[[#This Row],[Costo]]</f>
        <v>#N/A</v>
      </c>
      <c r="S5522" s="282" t="e">
        <f>++Tabla4[[#This Row],[U. Bruta Uni]]*Tabla4[[#This Row],[Cantidad]]</f>
        <v>#N/A</v>
      </c>
      <c r="T5522" s="369" t="str">
        <f>VLOOKUP(Tabla4[[#This Row],[Producto]],Tabla6[#All],14,FALSE)</f>
        <v>Termico Solar</v>
      </c>
      <c r="U5522" s="284" t="e">
        <f>(IF(Tabla4[[#This Row],[Familia]]="termico solar",Tabla4[[#This Row],[Utilidad Total]]*6%,Tabla4[[#This Row],[Utilidad Total]]*11.5%))/Tabla4[[#This Row],[Total]]</f>
        <v>#N/A</v>
      </c>
      <c r="V5522" s="282" t="e">
        <f>+Tabla4[[#This Row],[Comisión Calculada]]*Tabla4[[#This Row],[Total]]</f>
        <v>#N/A</v>
      </c>
    </row>
    <row r="5523" spans="1:22" hidden="1" x14ac:dyDescent="0.25">
      <c r="A5523" s="100">
        <v>45900</v>
      </c>
      <c r="B5523" t="str">
        <f t="shared" si="267"/>
        <v>August</v>
      </c>
      <c r="C5523" s="46" t="s">
        <v>280</v>
      </c>
      <c r="F5523" s="366" t="s">
        <v>2856</v>
      </c>
      <c r="G5523" s="46" t="s">
        <v>17</v>
      </c>
      <c r="H5523" s="46">
        <v>5</v>
      </c>
      <c r="I5523" s="51">
        <v>4622.2800000000007</v>
      </c>
      <c r="J5523" s="281">
        <f>++Tabla4[[#This Row],[Precio Bruto]]*1.16</f>
        <v>5361.8448000000008</v>
      </c>
      <c r="K5523" s="281">
        <f>+Tabla4[[#This Row],[Precio Unitario Neto]]*Tabla4[[#Headers],[20.85%]]</f>
        <v>1117.9446408000001</v>
      </c>
      <c r="L5523" s="282">
        <f>++Tabla4[[#This Row],[Precio Unitario Neto]]-Tabla4[[#This Row],[20.85%]]</f>
        <v>4243.9001592000004</v>
      </c>
      <c r="M5523" s="282" t="e">
        <f>(INDEX(Tabla6[#All],MATCH(Tabla4[[#This Row],[Producto]],Tabla6[[#All],[PRODUCTO]],0),MATCH(Tabla4[[#This Row],[Mes]],Tabla6[#Headers],0)))*(1+Catalogos!$L$2)</f>
        <v>#N/A</v>
      </c>
      <c r="N5523" s="283" t="e">
        <f>+(Tabla4[[#This Row],[Precio Descontado]]-Tabla4[[#This Row],[Precio Base]])*Tabla4[[#This Row],[Cantidad]]</f>
        <v>#N/A</v>
      </c>
      <c r="O5523" s="284" t="e">
        <f>++Tabla4[[#This Row],[Utilidad Total]]/Tabla4[[#This Row],[Total]]</f>
        <v>#N/A</v>
      </c>
      <c r="P5523" s="282">
        <f>++Tabla4[[#This Row],[Precio Descontado]]*Tabla4[[#This Row],[Cantidad]]</f>
        <v>21219.500796</v>
      </c>
      <c r="Q5523" s="282" t="e">
        <f>(INDEX(Tabla6[#All],MATCH(Tabla4[[#This Row],[Producto]],Tabla6[[#All],[PRODUCTO]],0),MATCH(Tabla4[[#This Row],[Mes]],Tabla6[#Headers],0)))</f>
        <v>#N/A</v>
      </c>
      <c r="R5523" s="282" t="e">
        <f>++Tabla4[[#This Row],[Precio Unitario Neto]]-Tabla4[[#This Row],[20.85%]]-Tabla4[[#This Row],[Costo]]</f>
        <v>#N/A</v>
      </c>
      <c r="S5523" s="282" t="e">
        <f>++Tabla4[[#This Row],[U. Bruta Uni]]*Tabla4[[#This Row],[Cantidad]]</f>
        <v>#N/A</v>
      </c>
      <c r="T5523" s="369" t="str">
        <f>VLOOKUP(Tabla4[[#This Row],[Producto]],Tabla6[#All],14,FALSE)</f>
        <v>Termico Solar</v>
      </c>
      <c r="U5523" s="284" t="e">
        <f>(IF(Tabla4[[#This Row],[Familia]]="termico solar",Tabla4[[#This Row],[Utilidad Total]]*6%,Tabla4[[#This Row],[Utilidad Total]]*11.5%))/Tabla4[[#This Row],[Total]]</f>
        <v>#N/A</v>
      </c>
      <c r="V5523" s="282" t="e">
        <f>+Tabla4[[#This Row],[Comisión Calculada]]*Tabla4[[#This Row],[Total]]</f>
        <v>#N/A</v>
      </c>
    </row>
    <row r="5524" spans="1:22" hidden="1" x14ac:dyDescent="0.25">
      <c r="A5524" s="100">
        <v>45900</v>
      </c>
      <c r="B5524" t="str">
        <f t="shared" si="267"/>
        <v>August</v>
      </c>
      <c r="C5524" s="46" t="s">
        <v>280</v>
      </c>
      <c r="F5524" s="366" t="s">
        <v>2856</v>
      </c>
      <c r="G5524" s="46" t="s">
        <v>18</v>
      </c>
      <c r="H5524" s="46">
        <v>1</v>
      </c>
      <c r="I5524" s="51">
        <v>5367.65</v>
      </c>
      <c r="J5524" s="281">
        <f>++Tabla4[[#This Row],[Precio Bruto]]*1.16</f>
        <v>6226.4739999999993</v>
      </c>
      <c r="K5524" s="281">
        <f>+Tabla4[[#This Row],[Precio Unitario Neto]]*Tabla4[[#Headers],[20.85%]]</f>
        <v>1298.2198289999999</v>
      </c>
      <c r="L5524" s="282">
        <f>++Tabla4[[#This Row],[Precio Unitario Neto]]-Tabla4[[#This Row],[20.85%]]</f>
        <v>4928.2541709999996</v>
      </c>
      <c r="M5524" s="282" t="e">
        <f>(INDEX(Tabla6[#All],MATCH(Tabla4[[#This Row],[Producto]],Tabla6[[#All],[PRODUCTO]],0),MATCH(Tabla4[[#This Row],[Mes]],Tabla6[#Headers],0)))*(1+Catalogos!$L$2)</f>
        <v>#N/A</v>
      </c>
      <c r="N5524" s="283" t="e">
        <f>+(Tabla4[[#This Row],[Precio Descontado]]-Tabla4[[#This Row],[Precio Base]])*Tabla4[[#This Row],[Cantidad]]</f>
        <v>#N/A</v>
      </c>
      <c r="O5524" s="284" t="e">
        <f>++Tabla4[[#This Row],[Utilidad Total]]/Tabla4[[#This Row],[Total]]</f>
        <v>#N/A</v>
      </c>
      <c r="P5524" s="282">
        <f>++Tabla4[[#This Row],[Precio Descontado]]*Tabla4[[#This Row],[Cantidad]]</f>
        <v>4928.2541709999996</v>
      </c>
      <c r="Q5524" s="282" t="e">
        <f>(INDEX(Tabla6[#All],MATCH(Tabla4[[#This Row],[Producto]],Tabla6[[#All],[PRODUCTO]],0),MATCH(Tabla4[[#This Row],[Mes]],Tabla6[#Headers],0)))</f>
        <v>#N/A</v>
      </c>
      <c r="R5524" s="282" t="e">
        <f>++Tabla4[[#This Row],[Precio Unitario Neto]]-Tabla4[[#This Row],[20.85%]]-Tabla4[[#This Row],[Costo]]</f>
        <v>#N/A</v>
      </c>
      <c r="S5524" s="282" t="e">
        <f>++Tabla4[[#This Row],[U. Bruta Uni]]*Tabla4[[#This Row],[Cantidad]]</f>
        <v>#N/A</v>
      </c>
      <c r="T5524" s="369" t="str">
        <f>VLOOKUP(Tabla4[[#This Row],[Producto]],Tabla6[#All],14,FALSE)</f>
        <v>Termico Solar</v>
      </c>
      <c r="U5524" s="284" t="e">
        <f>(IF(Tabla4[[#This Row],[Familia]]="termico solar",Tabla4[[#This Row],[Utilidad Total]]*6%,Tabla4[[#This Row],[Utilidad Total]]*11.5%))/Tabla4[[#This Row],[Total]]</f>
        <v>#N/A</v>
      </c>
      <c r="V5524" s="282" t="e">
        <f>+Tabla4[[#This Row],[Comisión Calculada]]*Tabla4[[#This Row],[Total]]</f>
        <v>#N/A</v>
      </c>
    </row>
    <row r="5525" spans="1:22" hidden="1" x14ac:dyDescent="0.25">
      <c r="A5525" s="100">
        <v>45900</v>
      </c>
      <c r="B5525" t="str">
        <f t="shared" si="267"/>
        <v>August</v>
      </c>
      <c r="C5525" s="46" t="s">
        <v>280</v>
      </c>
      <c r="F5525" s="366" t="s">
        <v>2856</v>
      </c>
      <c r="G5525" s="46" t="s">
        <v>19</v>
      </c>
      <c r="H5525" s="46">
        <v>1</v>
      </c>
      <c r="I5525" s="51">
        <v>6412.03</v>
      </c>
      <c r="J5525" s="281">
        <f>++Tabla4[[#This Row],[Precio Bruto]]*1.16</f>
        <v>7437.9547999999995</v>
      </c>
      <c r="K5525" s="281">
        <f>+Tabla4[[#This Row],[Precio Unitario Neto]]*Tabla4[[#Headers],[20.85%]]</f>
        <v>1550.8135757999999</v>
      </c>
      <c r="L5525" s="282">
        <f>++Tabla4[[#This Row],[Precio Unitario Neto]]-Tabla4[[#This Row],[20.85%]]</f>
        <v>5887.1412241999997</v>
      </c>
      <c r="M5525" s="282" t="e">
        <f>(INDEX(Tabla6[#All],MATCH(Tabla4[[#This Row],[Producto]],Tabla6[[#All],[PRODUCTO]],0),MATCH(Tabla4[[#This Row],[Mes]],Tabla6[#Headers],0)))*(1+Catalogos!$L$2)</f>
        <v>#N/A</v>
      </c>
      <c r="N5525" s="283" t="e">
        <f>+(Tabla4[[#This Row],[Precio Descontado]]-Tabla4[[#This Row],[Precio Base]])*Tabla4[[#This Row],[Cantidad]]</f>
        <v>#N/A</v>
      </c>
      <c r="O5525" s="284" t="e">
        <f>++Tabla4[[#This Row],[Utilidad Total]]/Tabla4[[#This Row],[Total]]</f>
        <v>#N/A</v>
      </c>
      <c r="P5525" s="282">
        <f>++Tabla4[[#This Row],[Precio Descontado]]*Tabla4[[#This Row],[Cantidad]]</f>
        <v>5887.1412241999997</v>
      </c>
      <c r="Q5525" s="282" t="e">
        <f>(INDEX(Tabla6[#All],MATCH(Tabla4[[#This Row],[Producto]],Tabla6[[#All],[PRODUCTO]],0),MATCH(Tabla4[[#This Row],[Mes]],Tabla6[#Headers],0)))</f>
        <v>#N/A</v>
      </c>
      <c r="R5525" s="282" t="e">
        <f>++Tabla4[[#This Row],[Precio Unitario Neto]]-Tabla4[[#This Row],[20.85%]]-Tabla4[[#This Row],[Costo]]</f>
        <v>#N/A</v>
      </c>
      <c r="S5525" s="282" t="e">
        <f>++Tabla4[[#This Row],[U. Bruta Uni]]*Tabla4[[#This Row],[Cantidad]]</f>
        <v>#N/A</v>
      </c>
      <c r="T5525" s="369" t="str">
        <f>VLOOKUP(Tabla4[[#This Row],[Producto]],Tabla6[#All],14,FALSE)</f>
        <v>Termico Solar</v>
      </c>
      <c r="U5525" s="284" t="e">
        <f>(IF(Tabla4[[#This Row],[Familia]]="termico solar",Tabla4[[#This Row],[Utilidad Total]]*6%,Tabla4[[#This Row],[Utilidad Total]]*11.5%))/Tabla4[[#This Row],[Total]]</f>
        <v>#N/A</v>
      </c>
      <c r="V5525" s="282" t="e">
        <f>+Tabla4[[#This Row],[Comisión Calculada]]*Tabla4[[#This Row],[Total]]</f>
        <v>#N/A</v>
      </c>
    </row>
    <row r="5526" spans="1:22" hidden="1" x14ac:dyDescent="0.25">
      <c r="A5526" s="100">
        <v>45900</v>
      </c>
      <c r="B5526" t="str">
        <f t="shared" si="267"/>
        <v>August</v>
      </c>
      <c r="C5526" s="46" t="s">
        <v>280</v>
      </c>
      <c r="F5526" s="366" t="s">
        <v>2856</v>
      </c>
      <c r="G5526" s="46" t="s">
        <v>16</v>
      </c>
      <c r="H5526" s="46">
        <v>1</v>
      </c>
      <c r="I5526" s="51">
        <v>4103.8500000000004</v>
      </c>
      <c r="J5526" s="281">
        <f>++Tabla4[[#This Row],[Precio Bruto]]*1.16</f>
        <v>4760.4660000000003</v>
      </c>
      <c r="K5526" s="281">
        <f>+Tabla4[[#This Row],[Precio Unitario Neto]]*Tabla4[[#Headers],[20.85%]]</f>
        <v>992.55716100000006</v>
      </c>
      <c r="L5526" s="282">
        <f>++Tabla4[[#This Row],[Precio Unitario Neto]]-Tabla4[[#This Row],[20.85%]]</f>
        <v>3767.9088390000002</v>
      </c>
      <c r="M5526" s="282" t="e">
        <f>(INDEX(Tabla6[#All],MATCH(Tabla4[[#This Row],[Producto]],Tabla6[[#All],[PRODUCTO]],0),MATCH(Tabla4[[#This Row],[Mes]],Tabla6[#Headers],0)))*(1+Catalogos!$L$2)</f>
        <v>#N/A</v>
      </c>
      <c r="N5526" s="283" t="e">
        <f>+(Tabla4[[#This Row],[Precio Descontado]]-Tabla4[[#This Row],[Precio Base]])*Tabla4[[#This Row],[Cantidad]]</f>
        <v>#N/A</v>
      </c>
      <c r="O5526" s="284" t="e">
        <f>++Tabla4[[#This Row],[Utilidad Total]]/Tabla4[[#This Row],[Total]]</f>
        <v>#N/A</v>
      </c>
      <c r="P5526" s="282">
        <f>++Tabla4[[#This Row],[Precio Descontado]]*Tabla4[[#This Row],[Cantidad]]</f>
        <v>3767.9088390000002</v>
      </c>
      <c r="Q5526" s="282" t="e">
        <f>(INDEX(Tabla6[#All],MATCH(Tabla4[[#This Row],[Producto]],Tabla6[[#All],[PRODUCTO]],0),MATCH(Tabla4[[#This Row],[Mes]],Tabla6[#Headers],0)))</f>
        <v>#N/A</v>
      </c>
      <c r="R5526" s="282" t="e">
        <f>++Tabla4[[#This Row],[Precio Unitario Neto]]-Tabla4[[#This Row],[20.85%]]-Tabla4[[#This Row],[Costo]]</f>
        <v>#N/A</v>
      </c>
      <c r="S5526" s="282" t="e">
        <f>++Tabla4[[#This Row],[U. Bruta Uni]]*Tabla4[[#This Row],[Cantidad]]</f>
        <v>#N/A</v>
      </c>
      <c r="T5526" s="369" t="str">
        <f>VLOOKUP(Tabla4[[#This Row],[Producto]],Tabla6[#All],14,FALSE)</f>
        <v>Termico Solar</v>
      </c>
      <c r="U5526" s="284" t="e">
        <f>(IF(Tabla4[[#This Row],[Familia]]="termico solar",Tabla4[[#This Row],[Utilidad Total]]*6%,Tabla4[[#This Row],[Utilidad Total]]*11.5%))/Tabla4[[#This Row],[Total]]</f>
        <v>#N/A</v>
      </c>
      <c r="V5526" s="282" t="e">
        <f>+Tabla4[[#This Row],[Comisión Calculada]]*Tabla4[[#This Row],[Total]]</f>
        <v>#N/A</v>
      </c>
    </row>
    <row r="5527" spans="1:22" hidden="1" x14ac:dyDescent="0.25">
      <c r="A5527" s="100">
        <v>45900</v>
      </c>
      <c r="B5527" t="str">
        <f t="shared" si="267"/>
        <v>August</v>
      </c>
      <c r="C5527" s="46" t="s">
        <v>280</v>
      </c>
      <c r="F5527" s="366" t="s">
        <v>2856</v>
      </c>
      <c r="G5527" s="46" t="s">
        <v>208</v>
      </c>
      <c r="H5527" s="46">
        <v>1</v>
      </c>
      <c r="I5527" s="51">
        <v>189.75</v>
      </c>
      <c r="J5527" s="281">
        <f>++Tabla4[[#This Row],[Precio Bruto]]*1.16</f>
        <v>220.10999999999999</v>
      </c>
      <c r="K5527" s="281">
        <f>+Tabla4[[#This Row],[Precio Unitario Neto]]*Tabla4[[#Headers],[20.85%]]</f>
        <v>45.892934999999994</v>
      </c>
      <c r="L5527" s="282">
        <f>++Tabla4[[#This Row],[Precio Unitario Neto]]-Tabla4[[#This Row],[20.85%]]</f>
        <v>174.21706499999999</v>
      </c>
      <c r="M5527" s="282" t="e">
        <f>(INDEX(Tabla6[#All],MATCH(Tabla4[[#This Row],[Producto]],Tabla6[[#All],[PRODUCTO]],0),MATCH(Tabla4[[#This Row],[Mes]],Tabla6[#Headers],0)))*(1+Catalogos!$L$2)</f>
        <v>#N/A</v>
      </c>
      <c r="N5527" s="283" t="e">
        <f>+(Tabla4[[#This Row],[Precio Descontado]]-Tabla4[[#This Row],[Precio Base]])*Tabla4[[#This Row],[Cantidad]]</f>
        <v>#N/A</v>
      </c>
      <c r="O5527" s="284" t="e">
        <f>++Tabla4[[#This Row],[Utilidad Total]]/Tabla4[[#This Row],[Total]]</f>
        <v>#N/A</v>
      </c>
      <c r="P5527" s="282">
        <f>++Tabla4[[#This Row],[Precio Descontado]]*Tabla4[[#This Row],[Cantidad]]</f>
        <v>174.21706499999999</v>
      </c>
      <c r="Q5527" s="282" t="e">
        <f>(INDEX(Tabla6[#All],MATCH(Tabla4[[#This Row],[Producto]],Tabla6[[#All],[PRODUCTO]],0),MATCH(Tabla4[[#This Row],[Mes]],Tabla6[#Headers],0)))</f>
        <v>#N/A</v>
      </c>
      <c r="R5527" s="282" t="e">
        <f>++Tabla4[[#This Row],[Precio Unitario Neto]]-Tabla4[[#This Row],[20.85%]]-Tabla4[[#This Row],[Costo]]</f>
        <v>#N/A</v>
      </c>
      <c r="S5527" s="282" t="e">
        <f>++Tabla4[[#This Row],[U. Bruta Uni]]*Tabla4[[#This Row],[Cantidad]]</f>
        <v>#N/A</v>
      </c>
      <c r="T5527" s="369" t="str">
        <f>VLOOKUP(Tabla4[[#This Row],[Producto]],Tabla6[#All],14,FALSE)</f>
        <v>Termico Solar</v>
      </c>
      <c r="U5527" s="284" t="e">
        <f>(IF(Tabla4[[#This Row],[Familia]]="termico solar",Tabla4[[#This Row],[Utilidad Total]]*6%,Tabla4[[#This Row],[Utilidad Total]]*11.5%))/Tabla4[[#This Row],[Total]]</f>
        <v>#N/A</v>
      </c>
      <c r="V5527" s="282" t="e">
        <f>+Tabla4[[#This Row],[Comisión Calculada]]*Tabla4[[#This Row],[Total]]</f>
        <v>#N/A</v>
      </c>
    </row>
    <row r="5528" spans="1:22" hidden="1" x14ac:dyDescent="0.25">
      <c r="A5528" s="100">
        <v>45900</v>
      </c>
      <c r="B5528" t="str">
        <f t="shared" si="267"/>
        <v>August</v>
      </c>
      <c r="C5528" s="46" t="s">
        <v>280</v>
      </c>
      <c r="F5528" s="366" t="s">
        <v>2857</v>
      </c>
      <c r="G5528" s="46" t="s">
        <v>83</v>
      </c>
      <c r="H5528" s="46">
        <v>1</v>
      </c>
      <c r="I5528" s="51">
        <v>8858.76</v>
      </c>
      <c r="J5528" s="281">
        <f>++Tabla4[[#This Row],[Precio Bruto]]*1.16</f>
        <v>10276.161599999999</v>
      </c>
      <c r="K5528" s="281">
        <f>+Tabla4[[#This Row],[Precio Unitario Neto]]*Tabla4[[#Headers],[20.85%]]</f>
        <v>2142.5796935999997</v>
      </c>
      <c r="L5528" s="282">
        <f>++Tabla4[[#This Row],[Precio Unitario Neto]]-Tabla4[[#This Row],[20.85%]]</f>
        <v>8133.5819063999998</v>
      </c>
      <c r="M5528" s="282" t="e">
        <f>(INDEX(Tabla6[#All],MATCH(Tabla4[[#This Row],[Producto]],Tabla6[[#All],[PRODUCTO]],0),MATCH(Tabla4[[#This Row],[Mes]],Tabla6[#Headers],0)))*(1+Catalogos!$L$2)</f>
        <v>#N/A</v>
      </c>
      <c r="N5528" s="283" t="e">
        <f>+(Tabla4[[#This Row],[Precio Descontado]]-Tabla4[[#This Row],[Precio Base]])*Tabla4[[#This Row],[Cantidad]]</f>
        <v>#N/A</v>
      </c>
      <c r="O5528" s="284" t="e">
        <f>++Tabla4[[#This Row],[Utilidad Total]]/Tabla4[[#This Row],[Total]]</f>
        <v>#N/A</v>
      </c>
      <c r="P5528" s="282">
        <f>++Tabla4[[#This Row],[Precio Descontado]]*Tabla4[[#This Row],[Cantidad]]</f>
        <v>8133.5819063999998</v>
      </c>
      <c r="Q5528" s="282" t="e">
        <f>(INDEX(Tabla6[#All],MATCH(Tabla4[[#This Row],[Producto]],Tabla6[[#All],[PRODUCTO]],0),MATCH(Tabla4[[#This Row],[Mes]],Tabla6[#Headers],0)))</f>
        <v>#N/A</v>
      </c>
      <c r="R5528" s="282" t="e">
        <f>++Tabla4[[#This Row],[Precio Unitario Neto]]-Tabla4[[#This Row],[20.85%]]-Tabla4[[#This Row],[Costo]]</f>
        <v>#N/A</v>
      </c>
      <c r="S5528" s="282" t="e">
        <f>++Tabla4[[#This Row],[U. Bruta Uni]]*Tabla4[[#This Row],[Cantidad]]</f>
        <v>#N/A</v>
      </c>
      <c r="T5528" s="369" t="str">
        <f>VLOOKUP(Tabla4[[#This Row],[Producto]],Tabla6[#All],14,FALSE)</f>
        <v>Termico Solar</v>
      </c>
      <c r="U5528" s="284" t="e">
        <f>(IF(Tabla4[[#This Row],[Familia]]="termico solar",Tabla4[[#This Row],[Utilidad Total]]*6%,Tabla4[[#This Row],[Utilidad Total]]*11.5%))/Tabla4[[#This Row],[Total]]</f>
        <v>#N/A</v>
      </c>
      <c r="V5528" s="282" t="e">
        <f>+Tabla4[[#This Row],[Comisión Calculada]]*Tabla4[[#This Row],[Total]]</f>
        <v>#N/A</v>
      </c>
    </row>
    <row r="5529" spans="1:22" hidden="1" x14ac:dyDescent="0.25">
      <c r="A5529" s="100">
        <v>45900</v>
      </c>
      <c r="B5529" t="str">
        <f t="shared" si="267"/>
        <v>August</v>
      </c>
      <c r="C5529" s="46" t="s">
        <v>280</v>
      </c>
      <c r="F5529" s="366" t="s">
        <v>2857</v>
      </c>
      <c r="G5529" s="46" t="s">
        <v>208</v>
      </c>
      <c r="H5529" s="46">
        <v>2</v>
      </c>
      <c r="I5529" s="51">
        <v>189.75</v>
      </c>
      <c r="J5529" s="281">
        <f>++Tabla4[[#This Row],[Precio Bruto]]*1.16</f>
        <v>220.10999999999999</v>
      </c>
      <c r="K5529" s="281">
        <f>+Tabla4[[#This Row],[Precio Unitario Neto]]*Tabla4[[#Headers],[20.85%]]</f>
        <v>45.892934999999994</v>
      </c>
      <c r="L5529" s="282">
        <f>++Tabla4[[#This Row],[Precio Unitario Neto]]-Tabla4[[#This Row],[20.85%]]</f>
        <v>174.21706499999999</v>
      </c>
      <c r="M5529" s="282" t="e">
        <f>(INDEX(Tabla6[#All],MATCH(Tabla4[[#This Row],[Producto]],Tabla6[[#All],[PRODUCTO]],0),MATCH(Tabla4[[#This Row],[Mes]],Tabla6[#Headers],0)))*(1+Catalogos!$L$2)</f>
        <v>#N/A</v>
      </c>
      <c r="N5529" s="283" t="e">
        <f>+(Tabla4[[#This Row],[Precio Descontado]]-Tabla4[[#This Row],[Precio Base]])*Tabla4[[#This Row],[Cantidad]]</f>
        <v>#N/A</v>
      </c>
      <c r="O5529" s="284" t="e">
        <f>++Tabla4[[#This Row],[Utilidad Total]]/Tabla4[[#This Row],[Total]]</f>
        <v>#N/A</v>
      </c>
      <c r="P5529" s="282">
        <f>++Tabla4[[#This Row],[Precio Descontado]]*Tabla4[[#This Row],[Cantidad]]</f>
        <v>348.43412999999998</v>
      </c>
      <c r="Q5529" s="282" t="e">
        <f>(INDEX(Tabla6[#All],MATCH(Tabla4[[#This Row],[Producto]],Tabla6[[#All],[PRODUCTO]],0),MATCH(Tabla4[[#This Row],[Mes]],Tabla6[#Headers],0)))</f>
        <v>#N/A</v>
      </c>
      <c r="R5529" s="282" t="e">
        <f>++Tabla4[[#This Row],[Precio Unitario Neto]]-Tabla4[[#This Row],[20.85%]]-Tabla4[[#This Row],[Costo]]</f>
        <v>#N/A</v>
      </c>
      <c r="S5529" s="282" t="e">
        <f>++Tabla4[[#This Row],[U. Bruta Uni]]*Tabla4[[#This Row],[Cantidad]]</f>
        <v>#N/A</v>
      </c>
      <c r="T5529" s="369" t="str">
        <f>VLOOKUP(Tabla4[[#This Row],[Producto]],Tabla6[#All],14,FALSE)</f>
        <v>Termico Solar</v>
      </c>
      <c r="U5529" s="284" t="e">
        <f>(IF(Tabla4[[#This Row],[Familia]]="termico solar",Tabla4[[#This Row],[Utilidad Total]]*6%,Tabla4[[#This Row],[Utilidad Total]]*11.5%))/Tabla4[[#This Row],[Total]]</f>
        <v>#N/A</v>
      </c>
      <c r="V5529" s="282" t="e">
        <f>+Tabla4[[#This Row],[Comisión Calculada]]*Tabla4[[#This Row],[Total]]</f>
        <v>#N/A</v>
      </c>
    </row>
    <row r="5530" spans="1:22" hidden="1" x14ac:dyDescent="0.25">
      <c r="A5530" s="100">
        <v>45900</v>
      </c>
      <c r="B5530" t="str">
        <f t="shared" si="267"/>
        <v>August</v>
      </c>
      <c r="C5530" s="46" t="s">
        <v>280</v>
      </c>
      <c r="F5530" s="366" t="s">
        <v>2858</v>
      </c>
      <c r="G5530" s="46" t="s">
        <v>17</v>
      </c>
      <c r="H5530" s="46">
        <v>1</v>
      </c>
      <c r="I5530" s="51">
        <v>4622.28</v>
      </c>
      <c r="J5530" s="281">
        <f>++Tabla4[[#This Row],[Precio Bruto]]*1.16</f>
        <v>5361.8447999999989</v>
      </c>
      <c r="K5530" s="281">
        <f>+Tabla4[[#This Row],[Precio Unitario Neto]]*Tabla4[[#Headers],[20.85%]]</f>
        <v>1117.9446407999997</v>
      </c>
      <c r="L5530" s="282">
        <f>++Tabla4[[#This Row],[Precio Unitario Neto]]-Tabla4[[#This Row],[20.85%]]</f>
        <v>4243.9001591999995</v>
      </c>
      <c r="M5530" s="282" t="e">
        <f>(INDEX(Tabla6[#All],MATCH(Tabla4[[#This Row],[Producto]],Tabla6[[#All],[PRODUCTO]],0),MATCH(Tabla4[[#This Row],[Mes]],Tabla6[#Headers],0)))*(1+Catalogos!$L$2)</f>
        <v>#N/A</v>
      </c>
      <c r="N5530" s="283" t="e">
        <f>+(Tabla4[[#This Row],[Precio Descontado]]-Tabla4[[#This Row],[Precio Base]])*Tabla4[[#This Row],[Cantidad]]</f>
        <v>#N/A</v>
      </c>
      <c r="O5530" s="284" t="e">
        <f>++Tabla4[[#This Row],[Utilidad Total]]/Tabla4[[#This Row],[Total]]</f>
        <v>#N/A</v>
      </c>
      <c r="P5530" s="282">
        <f>++Tabla4[[#This Row],[Precio Descontado]]*Tabla4[[#This Row],[Cantidad]]</f>
        <v>4243.9001591999995</v>
      </c>
      <c r="Q5530" s="282" t="e">
        <f>(INDEX(Tabla6[#All],MATCH(Tabla4[[#This Row],[Producto]],Tabla6[[#All],[PRODUCTO]],0),MATCH(Tabla4[[#This Row],[Mes]],Tabla6[#Headers],0)))</f>
        <v>#N/A</v>
      </c>
      <c r="R5530" s="282" t="e">
        <f>++Tabla4[[#This Row],[Precio Unitario Neto]]-Tabla4[[#This Row],[20.85%]]-Tabla4[[#This Row],[Costo]]</f>
        <v>#N/A</v>
      </c>
      <c r="S5530" s="282" t="e">
        <f>++Tabla4[[#This Row],[U. Bruta Uni]]*Tabla4[[#This Row],[Cantidad]]</f>
        <v>#N/A</v>
      </c>
      <c r="T5530" s="369" t="str">
        <f>VLOOKUP(Tabla4[[#This Row],[Producto]],Tabla6[#All],14,FALSE)</f>
        <v>Termico Solar</v>
      </c>
      <c r="U5530" s="284" t="e">
        <f>(IF(Tabla4[[#This Row],[Familia]]="termico solar",Tabla4[[#This Row],[Utilidad Total]]*6%,Tabla4[[#This Row],[Utilidad Total]]*11.5%))/Tabla4[[#This Row],[Total]]</f>
        <v>#N/A</v>
      </c>
      <c r="V5530" s="282" t="e">
        <f>+Tabla4[[#This Row],[Comisión Calculada]]*Tabla4[[#This Row],[Total]]</f>
        <v>#N/A</v>
      </c>
    </row>
    <row r="5531" spans="1:22" hidden="1" x14ac:dyDescent="0.25">
      <c r="A5531" s="100">
        <v>45900</v>
      </c>
      <c r="B5531" t="str">
        <f t="shared" si="267"/>
        <v>August</v>
      </c>
      <c r="C5531" s="46" t="s">
        <v>280</v>
      </c>
      <c r="F5531" s="366" t="s">
        <v>2858</v>
      </c>
      <c r="G5531" s="46" t="s">
        <v>412</v>
      </c>
      <c r="H5531" s="46">
        <v>1</v>
      </c>
      <c r="I5531" s="51">
        <v>3240.84</v>
      </c>
      <c r="J5531" s="281">
        <f>++Tabla4[[#This Row],[Precio Bruto]]*1.16</f>
        <v>3759.3743999999997</v>
      </c>
      <c r="K5531" s="281">
        <f>+Tabla4[[#This Row],[Precio Unitario Neto]]*Tabla4[[#Headers],[20.85%]]</f>
        <v>783.82956239999987</v>
      </c>
      <c r="L5531" s="282">
        <f>++Tabla4[[#This Row],[Precio Unitario Neto]]-Tabla4[[#This Row],[20.85%]]</f>
        <v>2975.5448375999999</v>
      </c>
      <c r="M5531" s="282" t="e">
        <f>(INDEX(Tabla6[#All],MATCH(Tabla4[[#This Row],[Producto]],Tabla6[[#All],[PRODUCTO]],0),MATCH(Tabla4[[#This Row],[Mes]],Tabla6[#Headers],0)))*(1+Catalogos!$L$2)</f>
        <v>#N/A</v>
      </c>
      <c r="N5531" s="283" t="e">
        <f>+(Tabla4[[#This Row],[Precio Descontado]]-Tabla4[[#This Row],[Precio Base]])*Tabla4[[#This Row],[Cantidad]]</f>
        <v>#N/A</v>
      </c>
      <c r="O5531" s="284" t="e">
        <f>++Tabla4[[#This Row],[Utilidad Total]]/Tabla4[[#This Row],[Total]]</f>
        <v>#N/A</v>
      </c>
      <c r="P5531" s="282">
        <f>++Tabla4[[#This Row],[Precio Descontado]]*Tabla4[[#This Row],[Cantidad]]</f>
        <v>2975.5448375999999</v>
      </c>
      <c r="Q5531" s="282" t="e">
        <f>(INDEX(Tabla6[#All],MATCH(Tabla4[[#This Row],[Producto]],Tabla6[[#All],[PRODUCTO]],0),MATCH(Tabla4[[#This Row],[Mes]],Tabla6[#Headers],0)))</f>
        <v>#N/A</v>
      </c>
      <c r="R5531" s="282" t="e">
        <f>++Tabla4[[#This Row],[Precio Unitario Neto]]-Tabla4[[#This Row],[20.85%]]-Tabla4[[#This Row],[Costo]]</f>
        <v>#N/A</v>
      </c>
      <c r="S5531" s="282" t="e">
        <f>++Tabla4[[#This Row],[U. Bruta Uni]]*Tabla4[[#This Row],[Cantidad]]</f>
        <v>#N/A</v>
      </c>
      <c r="T5531" s="369" t="str">
        <f>VLOOKUP(Tabla4[[#This Row],[Producto]],Tabla6[#All],14,FALSE)</f>
        <v>Termico Solar</v>
      </c>
      <c r="U5531" s="284" t="e">
        <f>(IF(Tabla4[[#This Row],[Familia]]="termico solar",Tabla4[[#This Row],[Utilidad Total]]*6%,Tabla4[[#This Row],[Utilidad Total]]*11.5%))/Tabla4[[#This Row],[Total]]</f>
        <v>#N/A</v>
      </c>
      <c r="V5531" s="282" t="e">
        <f>+Tabla4[[#This Row],[Comisión Calculada]]*Tabla4[[#This Row],[Total]]</f>
        <v>#N/A</v>
      </c>
    </row>
    <row r="5532" spans="1:22" hidden="1" x14ac:dyDescent="0.25">
      <c r="A5532" s="100">
        <v>45900</v>
      </c>
      <c r="B5532" t="str">
        <f t="shared" si="267"/>
        <v>August</v>
      </c>
      <c r="C5532" s="46" t="s">
        <v>280</v>
      </c>
      <c r="F5532" s="366" t="s">
        <v>2858</v>
      </c>
      <c r="G5532" s="46" t="s">
        <v>208</v>
      </c>
      <c r="H5532" s="46">
        <v>1</v>
      </c>
      <c r="I5532" s="51">
        <v>189.75</v>
      </c>
      <c r="J5532" s="281">
        <f>++Tabla4[[#This Row],[Precio Bruto]]*1.16</f>
        <v>220.10999999999999</v>
      </c>
      <c r="K5532" s="281">
        <f>+Tabla4[[#This Row],[Precio Unitario Neto]]*Tabla4[[#Headers],[20.85%]]</f>
        <v>45.892934999999994</v>
      </c>
      <c r="L5532" s="282">
        <f>++Tabla4[[#This Row],[Precio Unitario Neto]]-Tabla4[[#This Row],[20.85%]]</f>
        <v>174.21706499999999</v>
      </c>
      <c r="M5532" s="282" t="e">
        <f>(INDEX(Tabla6[#All],MATCH(Tabla4[[#This Row],[Producto]],Tabla6[[#All],[PRODUCTO]],0),MATCH(Tabla4[[#This Row],[Mes]],Tabla6[#Headers],0)))*(1+Catalogos!$L$2)</f>
        <v>#N/A</v>
      </c>
      <c r="N5532" s="283" t="e">
        <f>+(Tabla4[[#This Row],[Precio Descontado]]-Tabla4[[#This Row],[Precio Base]])*Tabla4[[#This Row],[Cantidad]]</f>
        <v>#N/A</v>
      </c>
      <c r="O5532" s="284" t="e">
        <f>++Tabla4[[#This Row],[Utilidad Total]]/Tabla4[[#This Row],[Total]]</f>
        <v>#N/A</v>
      </c>
      <c r="P5532" s="282">
        <f>++Tabla4[[#This Row],[Precio Descontado]]*Tabla4[[#This Row],[Cantidad]]</f>
        <v>174.21706499999999</v>
      </c>
      <c r="Q5532" s="282" t="e">
        <f>(INDEX(Tabla6[#All],MATCH(Tabla4[[#This Row],[Producto]],Tabla6[[#All],[PRODUCTO]],0),MATCH(Tabla4[[#This Row],[Mes]],Tabla6[#Headers],0)))</f>
        <v>#N/A</v>
      </c>
      <c r="R5532" s="282" t="e">
        <f>++Tabla4[[#This Row],[Precio Unitario Neto]]-Tabla4[[#This Row],[20.85%]]-Tabla4[[#This Row],[Costo]]</f>
        <v>#N/A</v>
      </c>
      <c r="S5532" s="282" t="e">
        <f>++Tabla4[[#This Row],[U. Bruta Uni]]*Tabla4[[#This Row],[Cantidad]]</f>
        <v>#N/A</v>
      </c>
      <c r="T5532" s="369" t="str">
        <f>VLOOKUP(Tabla4[[#This Row],[Producto]],Tabla6[#All],14,FALSE)</f>
        <v>Termico Solar</v>
      </c>
      <c r="U5532" s="284" t="e">
        <f>(IF(Tabla4[[#This Row],[Familia]]="termico solar",Tabla4[[#This Row],[Utilidad Total]]*6%,Tabla4[[#This Row],[Utilidad Total]]*11.5%))/Tabla4[[#This Row],[Total]]</f>
        <v>#N/A</v>
      </c>
      <c r="V5532" s="282" t="e">
        <f>+Tabla4[[#This Row],[Comisión Calculada]]*Tabla4[[#This Row],[Total]]</f>
        <v>#N/A</v>
      </c>
    </row>
    <row r="5533" spans="1:22" hidden="1" x14ac:dyDescent="0.25">
      <c r="A5533" s="100">
        <v>45900</v>
      </c>
      <c r="B5533" t="str">
        <f t="shared" si="267"/>
        <v>August</v>
      </c>
      <c r="C5533" s="46" t="s">
        <v>280</v>
      </c>
      <c r="F5533" s="366" t="s">
        <v>2859</v>
      </c>
      <c r="G5533" s="46" t="s">
        <v>83</v>
      </c>
      <c r="H5533" s="46">
        <v>2</v>
      </c>
      <c r="I5533" s="51">
        <v>8858.76</v>
      </c>
      <c r="J5533" s="281">
        <f>++Tabla4[[#This Row],[Precio Bruto]]*1.16</f>
        <v>10276.161599999999</v>
      </c>
      <c r="K5533" s="281">
        <f>+Tabla4[[#This Row],[Precio Unitario Neto]]*Tabla4[[#Headers],[20.85%]]</f>
        <v>2142.5796935999997</v>
      </c>
      <c r="L5533" s="282">
        <f>++Tabla4[[#This Row],[Precio Unitario Neto]]-Tabla4[[#This Row],[20.85%]]</f>
        <v>8133.5819063999998</v>
      </c>
      <c r="M5533" s="282" t="e">
        <f>(INDEX(Tabla6[#All],MATCH(Tabla4[[#This Row],[Producto]],Tabla6[[#All],[PRODUCTO]],0),MATCH(Tabla4[[#This Row],[Mes]],Tabla6[#Headers],0)))*(1+Catalogos!$L$2)</f>
        <v>#N/A</v>
      </c>
      <c r="N5533" s="283" t="e">
        <f>+(Tabla4[[#This Row],[Precio Descontado]]-Tabla4[[#This Row],[Precio Base]])*Tabla4[[#This Row],[Cantidad]]</f>
        <v>#N/A</v>
      </c>
      <c r="O5533" s="284" t="e">
        <f>++Tabla4[[#This Row],[Utilidad Total]]/Tabla4[[#This Row],[Total]]</f>
        <v>#N/A</v>
      </c>
      <c r="P5533" s="282">
        <f>++Tabla4[[#This Row],[Precio Descontado]]*Tabla4[[#This Row],[Cantidad]]</f>
        <v>16267.1638128</v>
      </c>
      <c r="Q5533" s="282" t="e">
        <f>(INDEX(Tabla6[#All],MATCH(Tabla4[[#This Row],[Producto]],Tabla6[[#All],[PRODUCTO]],0),MATCH(Tabla4[[#This Row],[Mes]],Tabla6[#Headers],0)))</f>
        <v>#N/A</v>
      </c>
      <c r="R5533" s="282" t="e">
        <f>++Tabla4[[#This Row],[Precio Unitario Neto]]-Tabla4[[#This Row],[20.85%]]-Tabla4[[#This Row],[Costo]]</f>
        <v>#N/A</v>
      </c>
      <c r="S5533" s="282" t="e">
        <f>++Tabla4[[#This Row],[U. Bruta Uni]]*Tabla4[[#This Row],[Cantidad]]</f>
        <v>#N/A</v>
      </c>
      <c r="T5533" s="369" t="str">
        <f>VLOOKUP(Tabla4[[#This Row],[Producto]],Tabla6[#All],14,FALSE)</f>
        <v>Termico Solar</v>
      </c>
      <c r="U5533" s="284" t="e">
        <f>(IF(Tabla4[[#This Row],[Familia]]="termico solar",Tabla4[[#This Row],[Utilidad Total]]*6%,Tabla4[[#This Row],[Utilidad Total]]*11.5%))/Tabla4[[#This Row],[Total]]</f>
        <v>#N/A</v>
      </c>
      <c r="V5533" s="282" t="e">
        <f>+Tabla4[[#This Row],[Comisión Calculada]]*Tabla4[[#This Row],[Total]]</f>
        <v>#N/A</v>
      </c>
    </row>
    <row r="5534" spans="1:22" hidden="1" x14ac:dyDescent="0.25">
      <c r="A5534" s="100">
        <v>45900</v>
      </c>
      <c r="B5534" t="str">
        <f t="shared" si="267"/>
        <v>August</v>
      </c>
      <c r="C5534" s="46" t="s">
        <v>280</v>
      </c>
      <c r="F5534" s="366" t="s">
        <v>2859</v>
      </c>
      <c r="G5534" s="46" t="s">
        <v>17</v>
      </c>
      <c r="H5534" s="46">
        <v>14</v>
      </c>
      <c r="I5534" s="51">
        <v>4622.28</v>
      </c>
      <c r="J5534" s="281">
        <f>++Tabla4[[#This Row],[Precio Bruto]]*1.16</f>
        <v>5361.8447999999989</v>
      </c>
      <c r="K5534" s="281">
        <f>+Tabla4[[#This Row],[Precio Unitario Neto]]*Tabla4[[#Headers],[20.85%]]</f>
        <v>1117.9446407999997</v>
      </c>
      <c r="L5534" s="282">
        <f>++Tabla4[[#This Row],[Precio Unitario Neto]]-Tabla4[[#This Row],[20.85%]]</f>
        <v>4243.9001591999995</v>
      </c>
      <c r="M5534" s="282" t="e">
        <f>(INDEX(Tabla6[#All],MATCH(Tabla4[[#This Row],[Producto]],Tabla6[[#All],[PRODUCTO]],0),MATCH(Tabla4[[#This Row],[Mes]],Tabla6[#Headers],0)))*(1+Catalogos!$L$2)</f>
        <v>#N/A</v>
      </c>
      <c r="N5534" s="283" t="e">
        <f>+(Tabla4[[#This Row],[Precio Descontado]]-Tabla4[[#This Row],[Precio Base]])*Tabla4[[#This Row],[Cantidad]]</f>
        <v>#N/A</v>
      </c>
      <c r="O5534" s="284" t="e">
        <f>++Tabla4[[#This Row],[Utilidad Total]]/Tabla4[[#This Row],[Total]]</f>
        <v>#N/A</v>
      </c>
      <c r="P5534" s="282">
        <f>++Tabla4[[#This Row],[Precio Descontado]]*Tabla4[[#This Row],[Cantidad]]</f>
        <v>59414.602228799995</v>
      </c>
      <c r="Q5534" s="282" t="e">
        <f>(INDEX(Tabla6[#All],MATCH(Tabla4[[#This Row],[Producto]],Tabla6[[#All],[PRODUCTO]],0),MATCH(Tabla4[[#This Row],[Mes]],Tabla6[#Headers],0)))</f>
        <v>#N/A</v>
      </c>
      <c r="R5534" s="282" t="e">
        <f>++Tabla4[[#This Row],[Precio Unitario Neto]]-Tabla4[[#This Row],[20.85%]]-Tabla4[[#This Row],[Costo]]</f>
        <v>#N/A</v>
      </c>
      <c r="S5534" s="282" t="e">
        <f>++Tabla4[[#This Row],[U. Bruta Uni]]*Tabla4[[#This Row],[Cantidad]]</f>
        <v>#N/A</v>
      </c>
      <c r="T5534" s="369" t="str">
        <f>VLOOKUP(Tabla4[[#This Row],[Producto]],Tabla6[#All],14,FALSE)</f>
        <v>Termico Solar</v>
      </c>
      <c r="U5534" s="284" t="e">
        <f>(IF(Tabla4[[#This Row],[Familia]]="termico solar",Tabla4[[#This Row],[Utilidad Total]]*6%,Tabla4[[#This Row],[Utilidad Total]]*11.5%))/Tabla4[[#This Row],[Total]]</f>
        <v>#N/A</v>
      </c>
      <c r="V5534" s="282" t="e">
        <f>+Tabla4[[#This Row],[Comisión Calculada]]*Tabla4[[#This Row],[Total]]</f>
        <v>#N/A</v>
      </c>
    </row>
    <row r="5535" spans="1:22" hidden="1" x14ac:dyDescent="0.25">
      <c r="A5535" s="100">
        <v>45900</v>
      </c>
      <c r="B5535" t="str">
        <f t="shared" si="267"/>
        <v>August</v>
      </c>
      <c r="C5535" s="46" t="s">
        <v>280</v>
      </c>
      <c r="F5535" s="366" t="s">
        <v>2859</v>
      </c>
      <c r="G5535" s="46" t="s">
        <v>18</v>
      </c>
      <c r="H5535" s="46">
        <v>20</v>
      </c>
      <c r="I5535" s="51">
        <v>5367.65</v>
      </c>
      <c r="J5535" s="281">
        <f>++Tabla4[[#This Row],[Precio Bruto]]*1.16</f>
        <v>6226.4739999999993</v>
      </c>
      <c r="K5535" s="281">
        <f>+Tabla4[[#This Row],[Precio Unitario Neto]]*Tabla4[[#Headers],[20.85%]]</f>
        <v>1298.2198289999999</v>
      </c>
      <c r="L5535" s="282">
        <f>++Tabla4[[#This Row],[Precio Unitario Neto]]-Tabla4[[#This Row],[20.85%]]</f>
        <v>4928.2541709999996</v>
      </c>
      <c r="M5535" s="282" t="e">
        <f>(INDEX(Tabla6[#All],MATCH(Tabla4[[#This Row],[Producto]],Tabla6[[#All],[PRODUCTO]],0),MATCH(Tabla4[[#This Row],[Mes]],Tabla6[#Headers],0)))*(1+Catalogos!$L$2)</f>
        <v>#N/A</v>
      </c>
      <c r="N5535" s="283" t="e">
        <f>+(Tabla4[[#This Row],[Precio Descontado]]-Tabla4[[#This Row],[Precio Base]])*Tabla4[[#This Row],[Cantidad]]</f>
        <v>#N/A</v>
      </c>
      <c r="O5535" s="284" t="e">
        <f>++Tabla4[[#This Row],[Utilidad Total]]/Tabla4[[#This Row],[Total]]</f>
        <v>#N/A</v>
      </c>
      <c r="P5535" s="282">
        <f>++Tabla4[[#This Row],[Precio Descontado]]*Tabla4[[#This Row],[Cantidad]]</f>
        <v>98565.083419999995</v>
      </c>
      <c r="Q5535" s="282" t="e">
        <f>(INDEX(Tabla6[#All],MATCH(Tabla4[[#This Row],[Producto]],Tabla6[[#All],[PRODUCTO]],0),MATCH(Tabla4[[#This Row],[Mes]],Tabla6[#Headers],0)))</f>
        <v>#N/A</v>
      </c>
      <c r="R5535" s="282" t="e">
        <f>++Tabla4[[#This Row],[Precio Unitario Neto]]-Tabla4[[#This Row],[20.85%]]-Tabla4[[#This Row],[Costo]]</f>
        <v>#N/A</v>
      </c>
      <c r="S5535" s="282" t="e">
        <f>++Tabla4[[#This Row],[U. Bruta Uni]]*Tabla4[[#This Row],[Cantidad]]</f>
        <v>#N/A</v>
      </c>
      <c r="T5535" s="369" t="str">
        <f>VLOOKUP(Tabla4[[#This Row],[Producto]],Tabla6[#All],14,FALSE)</f>
        <v>Termico Solar</v>
      </c>
      <c r="U5535" s="284" t="e">
        <f>(IF(Tabla4[[#This Row],[Familia]]="termico solar",Tabla4[[#This Row],[Utilidad Total]]*6%,Tabla4[[#This Row],[Utilidad Total]]*11.5%))/Tabla4[[#This Row],[Total]]</f>
        <v>#N/A</v>
      </c>
      <c r="V5535" s="282" t="e">
        <f>+Tabla4[[#This Row],[Comisión Calculada]]*Tabla4[[#This Row],[Total]]</f>
        <v>#N/A</v>
      </c>
    </row>
    <row r="5536" spans="1:22" hidden="1" x14ac:dyDescent="0.25">
      <c r="A5536" s="100">
        <v>45900</v>
      </c>
      <c r="B5536" t="str">
        <f t="shared" si="267"/>
        <v>August</v>
      </c>
      <c r="C5536" s="46" t="s">
        <v>280</v>
      </c>
      <c r="F5536" s="366" t="s">
        <v>2859</v>
      </c>
      <c r="G5536" s="46" t="s">
        <v>16</v>
      </c>
      <c r="H5536" s="46">
        <v>11</v>
      </c>
      <c r="I5536" s="51">
        <v>4103.8499999999995</v>
      </c>
      <c r="J5536" s="281">
        <f>++Tabla4[[#This Row],[Precio Bruto]]*1.16</f>
        <v>4760.4659999999994</v>
      </c>
      <c r="K5536" s="281">
        <f>+Tabla4[[#This Row],[Precio Unitario Neto]]*Tabla4[[#Headers],[20.85%]]</f>
        <v>992.55716099999984</v>
      </c>
      <c r="L5536" s="282">
        <f>++Tabla4[[#This Row],[Precio Unitario Neto]]-Tabla4[[#This Row],[20.85%]]</f>
        <v>3767.9088389999997</v>
      </c>
      <c r="M5536" s="282" t="e">
        <f>(INDEX(Tabla6[#All],MATCH(Tabla4[[#This Row],[Producto]],Tabla6[[#All],[PRODUCTO]],0),MATCH(Tabla4[[#This Row],[Mes]],Tabla6[#Headers],0)))*(1+Catalogos!$L$2)</f>
        <v>#N/A</v>
      </c>
      <c r="N5536" s="283" t="e">
        <f>+(Tabla4[[#This Row],[Precio Descontado]]-Tabla4[[#This Row],[Precio Base]])*Tabla4[[#This Row],[Cantidad]]</f>
        <v>#N/A</v>
      </c>
      <c r="O5536" s="284" t="e">
        <f>++Tabla4[[#This Row],[Utilidad Total]]/Tabla4[[#This Row],[Total]]</f>
        <v>#N/A</v>
      </c>
      <c r="P5536" s="282">
        <f>++Tabla4[[#This Row],[Precio Descontado]]*Tabla4[[#This Row],[Cantidad]]</f>
        <v>41446.997229000001</v>
      </c>
      <c r="Q5536" s="282" t="e">
        <f>(INDEX(Tabla6[#All],MATCH(Tabla4[[#This Row],[Producto]],Tabla6[[#All],[PRODUCTO]],0),MATCH(Tabla4[[#This Row],[Mes]],Tabla6[#Headers],0)))</f>
        <v>#N/A</v>
      </c>
      <c r="R5536" s="282" t="e">
        <f>++Tabla4[[#This Row],[Precio Unitario Neto]]-Tabla4[[#This Row],[20.85%]]-Tabla4[[#This Row],[Costo]]</f>
        <v>#N/A</v>
      </c>
      <c r="S5536" s="282" t="e">
        <f>++Tabla4[[#This Row],[U. Bruta Uni]]*Tabla4[[#This Row],[Cantidad]]</f>
        <v>#N/A</v>
      </c>
      <c r="T5536" s="369" t="str">
        <f>VLOOKUP(Tabla4[[#This Row],[Producto]],Tabla6[#All],14,FALSE)</f>
        <v>Termico Solar</v>
      </c>
      <c r="U5536" s="284" t="e">
        <f>(IF(Tabla4[[#This Row],[Familia]]="termico solar",Tabla4[[#This Row],[Utilidad Total]]*6%,Tabla4[[#This Row],[Utilidad Total]]*11.5%))/Tabla4[[#This Row],[Total]]</f>
        <v>#N/A</v>
      </c>
      <c r="V5536" s="282" t="e">
        <f>+Tabla4[[#This Row],[Comisión Calculada]]*Tabla4[[#This Row],[Total]]</f>
        <v>#N/A</v>
      </c>
    </row>
    <row r="5537" spans="1:22" hidden="1" x14ac:dyDescent="0.25">
      <c r="A5537" s="100">
        <v>45900</v>
      </c>
      <c r="B5537" t="str">
        <f t="shared" si="267"/>
        <v>August</v>
      </c>
      <c r="C5537" s="46" t="s">
        <v>280</v>
      </c>
      <c r="F5537" s="366" t="s">
        <v>2860</v>
      </c>
      <c r="G5537" s="46" t="s">
        <v>208</v>
      </c>
      <c r="H5537" s="46">
        <v>4</v>
      </c>
      <c r="I5537" s="51">
        <v>189.75</v>
      </c>
      <c r="J5537" s="281">
        <f>++Tabla4[[#This Row],[Precio Bruto]]*1.16</f>
        <v>220.10999999999999</v>
      </c>
      <c r="K5537" s="281">
        <f>+Tabla4[[#This Row],[Precio Unitario Neto]]*Tabla4[[#Headers],[20.85%]]</f>
        <v>45.892934999999994</v>
      </c>
      <c r="L5537" s="282">
        <f>++Tabla4[[#This Row],[Precio Unitario Neto]]-Tabla4[[#This Row],[20.85%]]</f>
        <v>174.21706499999999</v>
      </c>
      <c r="M5537" s="282" t="e">
        <f>(INDEX(Tabla6[#All],MATCH(Tabla4[[#This Row],[Producto]],Tabla6[[#All],[PRODUCTO]],0),MATCH(Tabla4[[#This Row],[Mes]],Tabla6[#Headers],0)))*(1+Catalogos!$L$2)</f>
        <v>#N/A</v>
      </c>
      <c r="N5537" s="283" t="e">
        <f>+(Tabla4[[#This Row],[Precio Descontado]]-Tabla4[[#This Row],[Precio Base]])*Tabla4[[#This Row],[Cantidad]]</f>
        <v>#N/A</v>
      </c>
      <c r="O5537" s="284" t="e">
        <f>++Tabla4[[#This Row],[Utilidad Total]]/Tabla4[[#This Row],[Total]]</f>
        <v>#N/A</v>
      </c>
      <c r="P5537" s="282">
        <f>++Tabla4[[#This Row],[Precio Descontado]]*Tabla4[[#This Row],[Cantidad]]</f>
        <v>696.86825999999996</v>
      </c>
      <c r="Q5537" s="282" t="e">
        <f>(INDEX(Tabla6[#All],MATCH(Tabla4[[#This Row],[Producto]],Tabla6[[#All],[PRODUCTO]],0),MATCH(Tabla4[[#This Row],[Mes]],Tabla6[#Headers],0)))</f>
        <v>#N/A</v>
      </c>
      <c r="R5537" s="282" t="e">
        <f>++Tabla4[[#This Row],[Precio Unitario Neto]]-Tabla4[[#This Row],[20.85%]]-Tabla4[[#This Row],[Costo]]</f>
        <v>#N/A</v>
      </c>
      <c r="S5537" s="282" t="e">
        <f>++Tabla4[[#This Row],[U. Bruta Uni]]*Tabla4[[#This Row],[Cantidad]]</f>
        <v>#N/A</v>
      </c>
      <c r="T5537" s="369" t="str">
        <f>VLOOKUP(Tabla4[[#This Row],[Producto]],Tabla6[#All],14,FALSE)</f>
        <v>Termico Solar</v>
      </c>
      <c r="U5537" s="284" t="e">
        <f>(IF(Tabla4[[#This Row],[Familia]]="termico solar",Tabla4[[#This Row],[Utilidad Total]]*6%,Tabla4[[#This Row],[Utilidad Total]]*11.5%))/Tabla4[[#This Row],[Total]]</f>
        <v>#N/A</v>
      </c>
      <c r="V5537" s="282" t="e">
        <f>+Tabla4[[#This Row],[Comisión Calculada]]*Tabla4[[#This Row],[Total]]</f>
        <v>#N/A</v>
      </c>
    </row>
    <row r="5538" spans="1:22" hidden="1" x14ac:dyDescent="0.25">
      <c r="A5538" s="100">
        <v>45900</v>
      </c>
      <c r="B5538" t="str">
        <f t="shared" si="267"/>
        <v>August</v>
      </c>
      <c r="C5538" s="46" t="s">
        <v>280</v>
      </c>
      <c r="F5538" s="366" t="s">
        <v>2861</v>
      </c>
      <c r="G5538" s="46" t="s">
        <v>566</v>
      </c>
      <c r="H5538" s="46">
        <v>1</v>
      </c>
      <c r="I5538" s="51">
        <v>2109.4499999999998</v>
      </c>
      <c r="J5538" s="281">
        <f>++Tabla4[[#This Row],[Precio Bruto]]*1.16</f>
        <v>2446.9619999999995</v>
      </c>
      <c r="K5538" s="281">
        <f>+Tabla4[[#This Row],[Precio Unitario Neto]]*Tabla4[[#Headers],[20.85%]]</f>
        <v>510.19157699999988</v>
      </c>
      <c r="L5538" s="282">
        <f>++Tabla4[[#This Row],[Precio Unitario Neto]]-Tabla4[[#This Row],[20.85%]]</f>
        <v>1936.7704229999997</v>
      </c>
      <c r="M5538" s="282" t="e">
        <f>(INDEX(Tabla6[#All],MATCH(Tabla4[[#This Row],[Producto]],Tabla6[[#All],[PRODUCTO]],0),MATCH(Tabla4[[#This Row],[Mes]],Tabla6[#Headers],0)))*(1+Catalogos!$L$2)</f>
        <v>#N/A</v>
      </c>
      <c r="N5538" s="283" t="e">
        <f>+(Tabla4[[#This Row],[Precio Descontado]]-Tabla4[[#This Row],[Precio Base]])*Tabla4[[#This Row],[Cantidad]]</f>
        <v>#N/A</v>
      </c>
      <c r="O5538" s="284" t="e">
        <f>++Tabla4[[#This Row],[Utilidad Total]]/Tabla4[[#This Row],[Total]]</f>
        <v>#N/A</v>
      </c>
      <c r="P5538" s="282">
        <f>++Tabla4[[#This Row],[Precio Descontado]]*Tabla4[[#This Row],[Cantidad]]</f>
        <v>1936.7704229999997</v>
      </c>
      <c r="Q5538" s="282" t="e">
        <f>(INDEX(Tabla6[#All],MATCH(Tabla4[[#This Row],[Producto]],Tabla6[[#All],[PRODUCTO]],0),MATCH(Tabla4[[#This Row],[Mes]],Tabla6[#Headers],0)))</f>
        <v>#N/A</v>
      </c>
      <c r="R5538" s="282" t="e">
        <f>++Tabla4[[#This Row],[Precio Unitario Neto]]-Tabla4[[#This Row],[20.85%]]-Tabla4[[#This Row],[Costo]]</f>
        <v>#N/A</v>
      </c>
      <c r="S5538" s="282" t="e">
        <f>++Tabla4[[#This Row],[U. Bruta Uni]]*Tabla4[[#This Row],[Cantidad]]</f>
        <v>#N/A</v>
      </c>
      <c r="T5538" s="369" t="str">
        <f>VLOOKUP(Tabla4[[#This Row],[Producto]],Tabla6[#All],14,FALSE)</f>
        <v>Termico Solar</v>
      </c>
      <c r="U5538" s="284" t="e">
        <f>(IF(Tabla4[[#This Row],[Familia]]="termico solar",Tabla4[[#This Row],[Utilidad Total]]*6%,Tabla4[[#This Row],[Utilidad Total]]*11.5%))/Tabla4[[#This Row],[Total]]</f>
        <v>#N/A</v>
      </c>
      <c r="V5538" s="282" t="e">
        <f>+Tabla4[[#This Row],[Comisión Calculada]]*Tabla4[[#This Row],[Total]]</f>
        <v>#N/A</v>
      </c>
    </row>
    <row r="5539" spans="1:22" hidden="1" x14ac:dyDescent="0.25">
      <c r="A5539" s="100">
        <v>45900</v>
      </c>
      <c r="B5539" t="str">
        <f t="shared" ref="B5539:B5570" si="268">TEXT(A5539, "mmmm")</f>
        <v>August</v>
      </c>
      <c r="C5539" s="46" t="s">
        <v>280</v>
      </c>
      <c r="F5539" s="366" t="s">
        <v>2861</v>
      </c>
      <c r="G5539" s="46" t="s">
        <v>412</v>
      </c>
      <c r="H5539" s="46">
        <v>1</v>
      </c>
      <c r="I5539" s="51">
        <v>3240.84</v>
      </c>
      <c r="J5539" s="281">
        <f>++Tabla4[[#This Row],[Precio Bruto]]*1.16</f>
        <v>3759.3743999999997</v>
      </c>
      <c r="K5539" s="281">
        <f>+Tabla4[[#This Row],[Precio Unitario Neto]]*Tabla4[[#Headers],[20.85%]]</f>
        <v>783.82956239999987</v>
      </c>
      <c r="L5539" s="282">
        <f>++Tabla4[[#This Row],[Precio Unitario Neto]]-Tabla4[[#This Row],[20.85%]]</f>
        <v>2975.5448375999999</v>
      </c>
      <c r="M5539" s="282" t="e">
        <f>(INDEX(Tabla6[#All],MATCH(Tabla4[[#This Row],[Producto]],Tabla6[[#All],[PRODUCTO]],0),MATCH(Tabla4[[#This Row],[Mes]],Tabla6[#Headers],0)))*(1+Catalogos!$L$2)</f>
        <v>#N/A</v>
      </c>
      <c r="N5539" s="283" t="e">
        <f>+(Tabla4[[#This Row],[Precio Descontado]]-Tabla4[[#This Row],[Precio Base]])*Tabla4[[#This Row],[Cantidad]]</f>
        <v>#N/A</v>
      </c>
      <c r="O5539" s="284" t="e">
        <f>++Tabla4[[#This Row],[Utilidad Total]]/Tabla4[[#This Row],[Total]]</f>
        <v>#N/A</v>
      </c>
      <c r="P5539" s="282">
        <f>++Tabla4[[#This Row],[Precio Descontado]]*Tabla4[[#This Row],[Cantidad]]</f>
        <v>2975.5448375999999</v>
      </c>
      <c r="Q5539" s="282" t="e">
        <f>(INDEX(Tabla6[#All],MATCH(Tabla4[[#This Row],[Producto]],Tabla6[[#All],[PRODUCTO]],0),MATCH(Tabla4[[#This Row],[Mes]],Tabla6[#Headers],0)))</f>
        <v>#N/A</v>
      </c>
      <c r="R5539" s="282" t="e">
        <f>++Tabla4[[#This Row],[Precio Unitario Neto]]-Tabla4[[#This Row],[20.85%]]-Tabla4[[#This Row],[Costo]]</f>
        <v>#N/A</v>
      </c>
      <c r="S5539" s="282" t="e">
        <f>++Tabla4[[#This Row],[U. Bruta Uni]]*Tabla4[[#This Row],[Cantidad]]</f>
        <v>#N/A</v>
      </c>
      <c r="T5539" s="369" t="str">
        <f>VLOOKUP(Tabla4[[#This Row],[Producto]],Tabla6[#All],14,FALSE)</f>
        <v>Termico Solar</v>
      </c>
      <c r="U5539" s="284" t="e">
        <f>(IF(Tabla4[[#This Row],[Familia]]="termico solar",Tabla4[[#This Row],[Utilidad Total]]*6%,Tabla4[[#This Row],[Utilidad Total]]*11.5%))/Tabla4[[#This Row],[Total]]</f>
        <v>#N/A</v>
      </c>
      <c r="V5539" s="282" t="e">
        <f>+Tabla4[[#This Row],[Comisión Calculada]]*Tabla4[[#This Row],[Total]]</f>
        <v>#N/A</v>
      </c>
    </row>
    <row r="5540" spans="1:22" hidden="1" x14ac:dyDescent="0.25">
      <c r="A5540" s="100">
        <v>45900</v>
      </c>
      <c r="B5540" t="str">
        <f t="shared" si="268"/>
        <v>August</v>
      </c>
      <c r="C5540" s="46" t="s">
        <v>280</v>
      </c>
      <c r="F5540" s="366" t="s">
        <v>2861</v>
      </c>
      <c r="G5540" s="46" t="s">
        <v>394</v>
      </c>
      <c r="H5540" s="46">
        <v>9</v>
      </c>
      <c r="I5540" s="51">
        <v>108.1</v>
      </c>
      <c r="J5540" s="281">
        <f>++Tabla4[[#This Row],[Precio Bruto]]*1.16</f>
        <v>125.39599999999999</v>
      </c>
      <c r="K5540" s="281">
        <f>+Tabla4[[#This Row],[Precio Unitario Neto]]*Tabla4[[#Headers],[20.85%]]</f>
        <v>26.145065999999996</v>
      </c>
      <c r="L5540" s="282">
        <f>++Tabla4[[#This Row],[Precio Unitario Neto]]-Tabla4[[#This Row],[20.85%]]</f>
        <v>99.250933999999987</v>
      </c>
      <c r="M5540" s="282" t="e">
        <f>(INDEX(Tabla6[#All],MATCH(Tabla4[[#This Row],[Producto]],Tabla6[[#All],[PRODUCTO]],0),MATCH(Tabla4[[#This Row],[Mes]],Tabla6[#Headers],0)))*(1+Catalogos!$L$2)</f>
        <v>#N/A</v>
      </c>
      <c r="N5540" s="283" t="e">
        <f>+(Tabla4[[#This Row],[Precio Descontado]]-Tabla4[[#This Row],[Precio Base]])*Tabla4[[#This Row],[Cantidad]]</f>
        <v>#N/A</v>
      </c>
      <c r="O5540" s="284" t="e">
        <f>++Tabla4[[#This Row],[Utilidad Total]]/Tabla4[[#This Row],[Total]]</f>
        <v>#N/A</v>
      </c>
      <c r="P5540" s="282">
        <f>++Tabla4[[#This Row],[Precio Descontado]]*Tabla4[[#This Row],[Cantidad]]</f>
        <v>893.25840599999992</v>
      </c>
      <c r="Q5540" s="282" t="e">
        <f>(INDEX(Tabla6[#All],MATCH(Tabla4[[#This Row],[Producto]],Tabla6[[#All],[PRODUCTO]],0),MATCH(Tabla4[[#This Row],[Mes]],Tabla6[#Headers],0)))</f>
        <v>#N/A</v>
      </c>
      <c r="R5540" s="282" t="e">
        <f>++Tabla4[[#This Row],[Precio Unitario Neto]]-Tabla4[[#This Row],[20.85%]]-Tabla4[[#This Row],[Costo]]</f>
        <v>#N/A</v>
      </c>
      <c r="S5540" s="282" t="e">
        <f>++Tabla4[[#This Row],[U. Bruta Uni]]*Tabla4[[#This Row],[Cantidad]]</f>
        <v>#N/A</v>
      </c>
      <c r="T5540" s="369" t="str">
        <f>VLOOKUP(Tabla4[[#This Row],[Producto]],Tabla6[#All],14,FALSE)</f>
        <v>Termico Solar</v>
      </c>
      <c r="U5540" s="284" t="e">
        <f>(IF(Tabla4[[#This Row],[Familia]]="termico solar",Tabla4[[#This Row],[Utilidad Total]]*6%,Tabla4[[#This Row],[Utilidad Total]]*11.5%))/Tabla4[[#This Row],[Total]]</f>
        <v>#N/A</v>
      </c>
      <c r="V5540" s="282" t="e">
        <f>+Tabla4[[#This Row],[Comisión Calculada]]*Tabla4[[#This Row],[Total]]</f>
        <v>#N/A</v>
      </c>
    </row>
    <row r="5541" spans="1:22" hidden="1" x14ac:dyDescent="0.25">
      <c r="A5541" s="100">
        <v>45900</v>
      </c>
      <c r="B5541" t="str">
        <f t="shared" si="268"/>
        <v>August</v>
      </c>
      <c r="C5541" s="46" t="s">
        <v>280</v>
      </c>
      <c r="F5541" s="366" t="s">
        <v>2861</v>
      </c>
      <c r="G5541" s="46" t="s">
        <v>208</v>
      </c>
      <c r="H5541" s="46">
        <v>1</v>
      </c>
      <c r="I5541" s="51">
        <v>189.75</v>
      </c>
      <c r="J5541" s="281">
        <f>++Tabla4[[#This Row],[Precio Bruto]]*1.16</f>
        <v>220.10999999999999</v>
      </c>
      <c r="K5541" s="281">
        <f>+Tabla4[[#This Row],[Precio Unitario Neto]]*Tabla4[[#Headers],[20.85%]]</f>
        <v>45.892934999999994</v>
      </c>
      <c r="L5541" s="282">
        <f>++Tabla4[[#This Row],[Precio Unitario Neto]]-Tabla4[[#This Row],[20.85%]]</f>
        <v>174.21706499999999</v>
      </c>
      <c r="M5541" s="282" t="e">
        <f>(INDEX(Tabla6[#All],MATCH(Tabla4[[#This Row],[Producto]],Tabla6[[#All],[PRODUCTO]],0),MATCH(Tabla4[[#This Row],[Mes]],Tabla6[#Headers],0)))*(1+Catalogos!$L$2)</f>
        <v>#N/A</v>
      </c>
      <c r="N5541" s="283" t="e">
        <f>+(Tabla4[[#This Row],[Precio Descontado]]-Tabla4[[#This Row],[Precio Base]])*Tabla4[[#This Row],[Cantidad]]</f>
        <v>#N/A</v>
      </c>
      <c r="O5541" s="284" t="e">
        <f>++Tabla4[[#This Row],[Utilidad Total]]/Tabla4[[#This Row],[Total]]</f>
        <v>#N/A</v>
      </c>
      <c r="P5541" s="282">
        <f>++Tabla4[[#This Row],[Precio Descontado]]*Tabla4[[#This Row],[Cantidad]]</f>
        <v>174.21706499999999</v>
      </c>
      <c r="Q5541" s="282" t="e">
        <f>(INDEX(Tabla6[#All],MATCH(Tabla4[[#This Row],[Producto]],Tabla6[[#All],[PRODUCTO]],0),MATCH(Tabla4[[#This Row],[Mes]],Tabla6[#Headers],0)))</f>
        <v>#N/A</v>
      </c>
      <c r="R5541" s="282" t="e">
        <f>++Tabla4[[#This Row],[Precio Unitario Neto]]-Tabla4[[#This Row],[20.85%]]-Tabla4[[#This Row],[Costo]]</f>
        <v>#N/A</v>
      </c>
      <c r="S5541" s="282" t="e">
        <f>++Tabla4[[#This Row],[U. Bruta Uni]]*Tabla4[[#This Row],[Cantidad]]</f>
        <v>#N/A</v>
      </c>
      <c r="T5541" s="369" t="str">
        <f>VLOOKUP(Tabla4[[#This Row],[Producto]],Tabla6[#All],14,FALSE)</f>
        <v>Termico Solar</v>
      </c>
      <c r="U5541" s="284" t="e">
        <f>(IF(Tabla4[[#This Row],[Familia]]="termico solar",Tabla4[[#This Row],[Utilidad Total]]*6%,Tabla4[[#This Row],[Utilidad Total]]*11.5%))/Tabla4[[#This Row],[Total]]</f>
        <v>#N/A</v>
      </c>
      <c r="V5541" s="282" t="e">
        <f>+Tabla4[[#This Row],[Comisión Calculada]]*Tabla4[[#This Row],[Total]]</f>
        <v>#N/A</v>
      </c>
    </row>
    <row r="5542" spans="1:22" hidden="1" x14ac:dyDescent="0.25">
      <c r="A5542" s="100">
        <v>45900</v>
      </c>
      <c r="B5542" t="str">
        <f t="shared" si="268"/>
        <v>August</v>
      </c>
      <c r="C5542" s="46" t="s">
        <v>280</v>
      </c>
      <c r="F5542" s="366" t="s">
        <v>2862</v>
      </c>
      <c r="G5542" s="46" t="s">
        <v>18</v>
      </c>
      <c r="H5542" s="46">
        <v>2</v>
      </c>
      <c r="I5542" s="51">
        <v>5367.65</v>
      </c>
      <c r="J5542" s="281">
        <f>++Tabla4[[#This Row],[Precio Bruto]]*1.16</f>
        <v>6226.4739999999993</v>
      </c>
      <c r="K5542" s="281">
        <f>+Tabla4[[#This Row],[Precio Unitario Neto]]*Tabla4[[#Headers],[20.85%]]</f>
        <v>1298.2198289999999</v>
      </c>
      <c r="L5542" s="282">
        <f>++Tabla4[[#This Row],[Precio Unitario Neto]]-Tabla4[[#This Row],[20.85%]]</f>
        <v>4928.2541709999996</v>
      </c>
      <c r="M5542" s="282" t="e">
        <f>(INDEX(Tabla6[#All],MATCH(Tabla4[[#This Row],[Producto]],Tabla6[[#All],[PRODUCTO]],0),MATCH(Tabla4[[#This Row],[Mes]],Tabla6[#Headers],0)))*(1+Catalogos!$L$2)</f>
        <v>#N/A</v>
      </c>
      <c r="N5542" s="283" t="e">
        <f>+(Tabla4[[#This Row],[Precio Descontado]]-Tabla4[[#This Row],[Precio Base]])*Tabla4[[#This Row],[Cantidad]]</f>
        <v>#N/A</v>
      </c>
      <c r="O5542" s="284" t="e">
        <f>++Tabla4[[#This Row],[Utilidad Total]]/Tabla4[[#This Row],[Total]]</f>
        <v>#N/A</v>
      </c>
      <c r="P5542" s="282">
        <f>++Tabla4[[#This Row],[Precio Descontado]]*Tabla4[[#This Row],[Cantidad]]</f>
        <v>9856.5083419999992</v>
      </c>
      <c r="Q5542" s="282" t="e">
        <f>(INDEX(Tabla6[#All],MATCH(Tabla4[[#This Row],[Producto]],Tabla6[[#All],[PRODUCTO]],0),MATCH(Tabla4[[#This Row],[Mes]],Tabla6[#Headers],0)))</f>
        <v>#N/A</v>
      </c>
      <c r="R5542" s="282" t="e">
        <f>++Tabla4[[#This Row],[Precio Unitario Neto]]-Tabla4[[#This Row],[20.85%]]-Tabla4[[#This Row],[Costo]]</f>
        <v>#N/A</v>
      </c>
      <c r="S5542" s="282" t="e">
        <f>++Tabla4[[#This Row],[U. Bruta Uni]]*Tabla4[[#This Row],[Cantidad]]</f>
        <v>#N/A</v>
      </c>
      <c r="T5542" s="369" t="str">
        <f>VLOOKUP(Tabla4[[#This Row],[Producto]],Tabla6[#All],14,FALSE)</f>
        <v>Termico Solar</v>
      </c>
      <c r="U5542" s="284" t="e">
        <f>(IF(Tabla4[[#This Row],[Familia]]="termico solar",Tabla4[[#This Row],[Utilidad Total]]*6%,Tabla4[[#This Row],[Utilidad Total]]*11.5%))/Tabla4[[#This Row],[Total]]</f>
        <v>#N/A</v>
      </c>
      <c r="V5542" s="282" t="e">
        <f>+Tabla4[[#This Row],[Comisión Calculada]]*Tabla4[[#This Row],[Total]]</f>
        <v>#N/A</v>
      </c>
    </row>
    <row r="5543" spans="1:22" hidden="1" x14ac:dyDescent="0.25">
      <c r="A5543" s="100">
        <v>45900</v>
      </c>
      <c r="B5543" t="str">
        <f t="shared" si="268"/>
        <v>August</v>
      </c>
      <c r="C5543" s="46" t="s">
        <v>280</v>
      </c>
      <c r="F5543" s="366" t="s">
        <v>2862</v>
      </c>
      <c r="G5543" s="46" t="s">
        <v>566</v>
      </c>
      <c r="H5543" s="46">
        <v>1</v>
      </c>
      <c r="I5543" s="51">
        <v>2109.4499999999998</v>
      </c>
      <c r="J5543" s="281">
        <f>++Tabla4[[#This Row],[Precio Bruto]]*1.16</f>
        <v>2446.9619999999995</v>
      </c>
      <c r="K5543" s="281">
        <f>+Tabla4[[#This Row],[Precio Unitario Neto]]*Tabla4[[#Headers],[20.85%]]</f>
        <v>510.19157699999988</v>
      </c>
      <c r="L5543" s="282">
        <f>++Tabla4[[#This Row],[Precio Unitario Neto]]-Tabla4[[#This Row],[20.85%]]</f>
        <v>1936.7704229999997</v>
      </c>
      <c r="M5543" s="282" t="e">
        <f>(INDEX(Tabla6[#All],MATCH(Tabla4[[#This Row],[Producto]],Tabla6[[#All],[PRODUCTO]],0),MATCH(Tabla4[[#This Row],[Mes]],Tabla6[#Headers],0)))*(1+Catalogos!$L$2)</f>
        <v>#N/A</v>
      </c>
      <c r="N5543" s="283" t="e">
        <f>+(Tabla4[[#This Row],[Precio Descontado]]-Tabla4[[#This Row],[Precio Base]])*Tabla4[[#This Row],[Cantidad]]</f>
        <v>#N/A</v>
      </c>
      <c r="O5543" s="284" t="e">
        <f>++Tabla4[[#This Row],[Utilidad Total]]/Tabla4[[#This Row],[Total]]</f>
        <v>#N/A</v>
      </c>
      <c r="P5543" s="282">
        <f>++Tabla4[[#This Row],[Precio Descontado]]*Tabla4[[#This Row],[Cantidad]]</f>
        <v>1936.7704229999997</v>
      </c>
      <c r="Q5543" s="282" t="e">
        <f>(INDEX(Tabla6[#All],MATCH(Tabla4[[#This Row],[Producto]],Tabla6[[#All],[PRODUCTO]],0),MATCH(Tabla4[[#This Row],[Mes]],Tabla6[#Headers],0)))</f>
        <v>#N/A</v>
      </c>
      <c r="R5543" s="282" t="e">
        <f>++Tabla4[[#This Row],[Precio Unitario Neto]]-Tabla4[[#This Row],[20.85%]]-Tabla4[[#This Row],[Costo]]</f>
        <v>#N/A</v>
      </c>
      <c r="S5543" s="282" t="e">
        <f>++Tabla4[[#This Row],[U. Bruta Uni]]*Tabla4[[#This Row],[Cantidad]]</f>
        <v>#N/A</v>
      </c>
      <c r="T5543" s="369" t="str">
        <f>VLOOKUP(Tabla4[[#This Row],[Producto]],Tabla6[#All],14,FALSE)</f>
        <v>Termico Solar</v>
      </c>
      <c r="U5543" s="284" t="e">
        <f>(IF(Tabla4[[#This Row],[Familia]]="termico solar",Tabla4[[#This Row],[Utilidad Total]]*6%,Tabla4[[#This Row],[Utilidad Total]]*11.5%))/Tabla4[[#This Row],[Total]]</f>
        <v>#N/A</v>
      </c>
      <c r="V5543" s="282" t="e">
        <f>+Tabla4[[#This Row],[Comisión Calculada]]*Tabla4[[#This Row],[Total]]</f>
        <v>#N/A</v>
      </c>
    </row>
    <row r="5544" spans="1:22" hidden="1" x14ac:dyDescent="0.25">
      <c r="A5544" s="100">
        <v>45900</v>
      </c>
      <c r="B5544" t="str">
        <f t="shared" si="268"/>
        <v>August</v>
      </c>
      <c r="C5544" s="46" t="s">
        <v>280</v>
      </c>
      <c r="F5544" s="366" t="s">
        <v>2863</v>
      </c>
      <c r="G5544" s="46" t="s">
        <v>17</v>
      </c>
      <c r="H5544" s="46">
        <v>1</v>
      </c>
      <c r="I5544" s="51">
        <v>4622.28</v>
      </c>
      <c r="J5544" s="281">
        <f>++Tabla4[[#This Row],[Precio Bruto]]*1.16</f>
        <v>5361.8447999999989</v>
      </c>
      <c r="K5544" s="281">
        <f>+Tabla4[[#This Row],[Precio Unitario Neto]]*Tabla4[[#Headers],[20.85%]]</f>
        <v>1117.9446407999997</v>
      </c>
      <c r="L5544" s="282">
        <f>++Tabla4[[#This Row],[Precio Unitario Neto]]-Tabla4[[#This Row],[20.85%]]</f>
        <v>4243.9001591999995</v>
      </c>
      <c r="M5544" s="282" t="e">
        <f>(INDEX(Tabla6[#All],MATCH(Tabla4[[#This Row],[Producto]],Tabla6[[#All],[PRODUCTO]],0),MATCH(Tabla4[[#This Row],[Mes]],Tabla6[#Headers],0)))*(1+Catalogos!$L$2)</f>
        <v>#N/A</v>
      </c>
      <c r="N5544" s="283" t="e">
        <f>+(Tabla4[[#This Row],[Precio Descontado]]-Tabla4[[#This Row],[Precio Base]])*Tabla4[[#This Row],[Cantidad]]</f>
        <v>#N/A</v>
      </c>
      <c r="O5544" s="284" t="e">
        <f>++Tabla4[[#This Row],[Utilidad Total]]/Tabla4[[#This Row],[Total]]</f>
        <v>#N/A</v>
      </c>
      <c r="P5544" s="282">
        <f>++Tabla4[[#This Row],[Precio Descontado]]*Tabla4[[#This Row],[Cantidad]]</f>
        <v>4243.9001591999995</v>
      </c>
      <c r="Q5544" s="282" t="e">
        <f>(INDEX(Tabla6[#All],MATCH(Tabla4[[#This Row],[Producto]],Tabla6[[#All],[PRODUCTO]],0),MATCH(Tabla4[[#This Row],[Mes]],Tabla6[#Headers],0)))</f>
        <v>#N/A</v>
      </c>
      <c r="R5544" s="282" t="e">
        <f>++Tabla4[[#This Row],[Precio Unitario Neto]]-Tabla4[[#This Row],[20.85%]]-Tabla4[[#This Row],[Costo]]</f>
        <v>#N/A</v>
      </c>
      <c r="S5544" s="282" t="e">
        <f>++Tabla4[[#This Row],[U. Bruta Uni]]*Tabla4[[#This Row],[Cantidad]]</f>
        <v>#N/A</v>
      </c>
      <c r="T5544" s="369" t="str">
        <f>VLOOKUP(Tabla4[[#This Row],[Producto]],Tabla6[#All],14,FALSE)</f>
        <v>Termico Solar</v>
      </c>
      <c r="U5544" s="284" t="e">
        <f>(IF(Tabla4[[#This Row],[Familia]]="termico solar",Tabla4[[#This Row],[Utilidad Total]]*6%,Tabla4[[#This Row],[Utilidad Total]]*11.5%))/Tabla4[[#This Row],[Total]]</f>
        <v>#N/A</v>
      </c>
      <c r="V5544" s="282" t="e">
        <f>+Tabla4[[#This Row],[Comisión Calculada]]*Tabla4[[#This Row],[Total]]</f>
        <v>#N/A</v>
      </c>
    </row>
    <row r="5545" spans="1:22" hidden="1" x14ac:dyDescent="0.25">
      <c r="A5545" s="100">
        <v>45900</v>
      </c>
      <c r="B5545" t="str">
        <f t="shared" si="268"/>
        <v>August</v>
      </c>
      <c r="C5545" s="46" t="s">
        <v>280</v>
      </c>
      <c r="F5545" s="366" t="s">
        <v>2863</v>
      </c>
      <c r="G5545" s="46" t="s">
        <v>18</v>
      </c>
      <c r="H5545" s="46">
        <v>1</v>
      </c>
      <c r="I5545" s="51">
        <v>5367.65</v>
      </c>
      <c r="J5545" s="281">
        <f>++Tabla4[[#This Row],[Precio Bruto]]*1.16</f>
        <v>6226.4739999999993</v>
      </c>
      <c r="K5545" s="281">
        <f>+Tabla4[[#This Row],[Precio Unitario Neto]]*Tabla4[[#Headers],[20.85%]]</f>
        <v>1298.2198289999999</v>
      </c>
      <c r="L5545" s="282">
        <f>++Tabla4[[#This Row],[Precio Unitario Neto]]-Tabla4[[#This Row],[20.85%]]</f>
        <v>4928.2541709999996</v>
      </c>
      <c r="M5545" s="282" t="e">
        <f>(INDEX(Tabla6[#All],MATCH(Tabla4[[#This Row],[Producto]],Tabla6[[#All],[PRODUCTO]],0),MATCH(Tabla4[[#This Row],[Mes]],Tabla6[#Headers],0)))*(1+Catalogos!$L$2)</f>
        <v>#N/A</v>
      </c>
      <c r="N5545" s="283" t="e">
        <f>+(Tabla4[[#This Row],[Precio Descontado]]-Tabla4[[#This Row],[Precio Base]])*Tabla4[[#This Row],[Cantidad]]</f>
        <v>#N/A</v>
      </c>
      <c r="O5545" s="284" t="e">
        <f>++Tabla4[[#This Row],[Utilidad Total]]/Tabla4[[#This Row],[Total]]</f>
        <v>#N/A</v>
      </c>
      <c r="P5545" s="282">
        <f>++Tabla4[[#This Row],[Precio Descontado]]*Tabla4[[#This Row],[Cantidad]]</f>
        <v>4928.2541709999996</v>
      </c>
      <c r="Q5545" s="282" t="e">
        <f>(INDEX(Tabla6[#All],MATCH(Tabla4[[#This Row],[Producto]],Tabla6[[#All],[PRODUCTO]],0),MATCH(Tabla4[[#This Row],[Mes]],Tabla6[#Headers],0)))</f>
        <v>#N/A</v>
      </c>
      <c r="R5545" s="282" t="e">
        <f>++Tabla4[[#This Row],[Precio Unitario Neto]]-Tabla4[[#This Row],[20.85%]]-Tabla4[[#This Row],[Costo]]</f>
        <v>#N/A</v>
      </c>
      <c r="S5545" s="282" t="e">
        <f>++Tabla4[[#This Row],[U. Bruta Uni]]*Tabla4[[#This Row],[Cantidad]]</f>
        <v>#N/A</v>
      </c>
      <c r="T5545" s="369" t="str">
        <f>VLOOKUP(Tabla4[[#This Row],[Producto]],Tabla6[#All],14,FALSE)</f>
        <v>Termico Solar</v>
      </c>
      <c r="U5545" s="284" t="e">
        <f>(IF(Tabla4[[#This Row],[Familia]]="termico solar",Tabla4[[#This Row],[Utilidad Total]]*6%,Tabla4[[#This Row],[Utilidad Total]]*11.5%))/Tabla4[[#This Row],[Total]]</f>
        <v>#N/A</v>
      </c>
      <c r="V5545" s="282" t="e">
        <f>+Tabla4[[#This Row],[Comisión Calculada]]*Tabla4[[#This Row],[Total]]</f>
        <v>#N/A</v>
      </c>
    </row>
    <row r="5546" spans="1:22" hidden="1" x14ac:dyDescent="0.25">
      <c r="A5546" s="100">
        <v>45900</v>
      </c>
      <c r="B5546" t="str">
        <f t="shared" si="268"/>
        <v>August</v>
      </c>
      <c r="C5546" s="46" t="s">
        <v>280</v>
      </c>
      <c r="F5546" s="366" t="s">
        <v>2864</v>
      </c>
      <c r="G5546" s="46" t="s">
        <v>17</v>
      </c>
      <c r="H5546" s="46">
        <v>1</v>
      </c>
      <c r="I5546" s="51">
        <v>4622.28</v>
      </c>
      <c r="J5546" s="281">
        <f>++Tabla4[[#This Row],[Precio Bruto]]*1.16</f>
        <v>5361.8447999999989</v>
      </c>
      <c r="K5546" s="281">
        <f>+Tabla4[[#This Row],[Precio Unitario Neto]]*Tabla4[[#Headers],[20.85%]]</f>
        <v>1117.9446407999997</v>
      </c>
      <c r="L5546" s="282">
        <f>++Tabla4[[#This Row],[Precio Unitario Neto]]-Tabla4[[#This Row],[20.85%]]</f>
        <v>4243.9001591999995</v>
      </c>
      <c r="M5546" s="282" t="e">
        <f>(INDEX(Tabla6[#All],MATCH(Tabla4[[#This Row],[Producto]],Tabla6[[#All],[PRODUCTO]],0),MATCH(Tabla4[[#This Row],[Mes]],Tabla6[#Headers],0)))*(1+Catalogos!$L$2)</f>
        <v>#N/A</v>
      </c>
      <c r="N5546" s="283" t="e">
        <f>+(Tabla4[[#This Row],[Precio Descontado]]-Tabla4[[#This Row],[Precio Base]])*Tabla4[[#This Row],[Cantidad]]</f>
        <v>#N/A</v>
      </c>
      <c r="O5546" s="284" t="e">
        <f>++Tabla4[[#This Row],[Utilidad Total]]/Tabla4[[#This Row],[Total]]</f>
        <v>#N/A</v>
      </c>
      <c r="P5546" s="282">
        <f>++Tabla4[[#This Row],[Precio Descontado]]*Tabla4[[#This Row],[Cantidad]]</f>
        <v>4243.9001591999995</v>
      </c>
      <c r="Q5546" s="282" t="e">
        <f>(INDEX(Tabla6[#All],MATCH(Tabla4[[#This Row],[Producto]],Tabla6[[#All],[PRODUCTO]],0),MATCH(Tabla4[[#This Row],[Mes]],Tabla6[#Headers],0)))</f>
        <v>#N/A</v>
      </c>
      <c r="R5546" s="282" t="e">
        <f>++Tabla4[[#This Row],[Precio Unitario Neto]]-Tabla4[[#This Row],[20.85%]]-Tabla4[[#This Row],[Costo]]</f>
        <v>#N/A</v>
      </c>
      <c r="S5546" s="282" t="e">
        <f>++Tabla4[[#This Row],[U. Bruta Uni]]*Tabla4[[#This Row],[Cantidad]]</f>
        <v>#N/A</v>
      </c>
      <c r="T5546" s="369" t="str">
        <f>VLOOKUP(Tabla4[[#This Row],[Producto]],Tabla6[#All],14,FALSE)</f>
        <v>Termico Solar</v>
      </c>
      <c r="U5546" s="284" t="e">
        <f>(IF(Tabla4[[#This Row],[Familia]]="termico solar",Tabla4[[#This Row],[Utilidad Total]]*6%,Tabla4[[#This Row],[Utilidad Total]]*11.5%))/Tabla4[[#This Row],[Total]]</f>
        <v>#N/A</v>
      </c>
      <c r="V5546" s="282" t="e">
        <f>+Tabla4[[#This Row],[Comisión Calculada]]*Tabla4[[#This Row],[Total]]</f>
        <v>#N/A</v>
      </c>
    </row>
    <row r="5547" spans="1:22" hidden="1" x14ac:dyDescent="0.25">
      <c r="A5547" s="100">
        <v>45900</v>
      </c>
      <c r="B5547" t="str">
        <f t="shared" si="268"/>
        <v>August</v>
      </c>
      <c r="C5547" s="46" t="s">
        <v>280</v>
      </c>
      <c r="F5547" s="366" t="s">
        <v>2864</v>
      </c>
      <c r="G5547" s="46" t="s">
        <v>18</v>
      </c>
      <c r="H5547" s="46">
        <v>1</v>
      </c>
      <c r="I5547" s="51">
        <v>5367.65</v>
      </c>
      <c r="J5547" s="281">
        <f>++Tabla4[[#This Row],[Precio Bruto]]*1.16</f>
        <v>6226.4739999999993</v>
      </c>
      <c r="K5547" s="281">
        <f>+Tabla4[[#This Row],[Precio Unitario Neto]]*Tabla4[[#Headers],[20.85%]]</f>
        <v>1298.2198289999999</v>
      </c>
      <c r="L5547" s="282">
        <f>++Tabla4[[#This Row],[Precio Unitario Neto]]-Tabla4[[#This Row],[20.85%]]</f>
        <v>4928.2541709999996</v>
      </c>
      <c r="M5547" s="282" t="e">
        <f>(INDEX(Tabla6[#All],MATCH(Tabla4[[#This Row],[Producto]],Tabla6[[#All],[PRODUCTO]],0),MATCH(Tabla4[[#This Row],[Mes]],Tabla6[#Headers],0)))*(1+Catalogos!$L$2)</f>
        <v>#N/A</v>
      </c>
      <c r="N5547" s="283" t="e">
        <f>+(Tabla4[[#This Row],[Precio Descontado]]-Tabla4[[#This Row],[Precio Base]])*Tabla4[[#This Row],[Cantidad]]</f>
        <v>#N/A</v>
      </c>
      <c r="O5547" s="284" t="e">
        <f>++Tabla4[[#This Row],[Utilidad Total]]/Tabla4[[#This Row],[Total]]</f>
        <v>#N/A</v>
      </c>
      <c r="P5547" s="282">
        <f>++Tabla4[[#This Row],[Precio Descontado]]*Tabla4[[#This Row],[Cantidad]]</f>
        <v>4928.2541709999996</v>
      </c>
      <c r="Q5547" s="282" t="e">
        <f>(INDEX(Tabla6[#All],MATCH(Tabla4[[#This Row],[Producto]],Tabla6[[#All],[PRODUCTO]],0),MATCH(Tabla4[[#This Row],[Mes]],Tabla6[#Headers],0)))</f>
        <v>#N/A</v>
      </c>
      <c r="R5547" s="282" t="e">
        <f>++Tabla4[[#This Row],[Precio Unitario Neto]]-Tabla4[[#This Row],[20.85%]]-Tabla4[[#This Row],[Costo]]</f>
        <v>#N/A</v>
      </c>
      <c r="S5547" s="282" t="e">
        <f>++Tabla4[[#This Row],[U. Bruta Uni]]*Tabla4[[#This Row],[Cantidad]]</f>
        <v>#N/A</v>
      </c>
      <c r="T5547" s="369" t="str">
        <f>VLOOKUP(Tabla4[[#This Row],[Producto]],Tabla6[#All],14,FALSE)</f>
        <v>Termico Solar</v>
      </c>
      <c r="U5547" s="284" t="e">
        <f>(IF(Tabla4[[#This Row],[Familia]]="termico solar",Tabla4[[#This Row],[Utilidad Total]]*6%,Tabla4[[#This Row],[Utilidad Total]]*11.5%))/Tabla4[[#This Row],[Total]]</f>
        <v>#N/A</v>
      </c>
      <c r="V5547" s="282" t="e">
        <f>+Tabla4[[#This Row],[Comisión Calculada]]*Tabla4[[#This Row],[Total]]</f>
        <v>#N/A</v>
      </c>
    </row>
    <row r="5548" spans="1:22" hidden="1" x14ac:dyDescent="0.25">
      <c r="A5548" s="100">
        <v>45900</v>
      </c>
      <c r="B5548" t="str">
        <f t="shared" si="268"/>
        <v>August</v>
      </c>
      <c r="C5548" s="46" t="s">
        <v>280</v>
      </c>
      <c r="F5548" s="366" t="s">
        <v>2865</v>
      </c>
      <c r="G5548" s="46" t="s">
        <v>17</v>
      </c>
      <c r="H5548" s="46">
        <v>3</v>
      </c>
      <c r="I5548" s="51">
        <v>4622.28</v>
      </c>
      <c r="J5548" s="281">
        <f>++Tabla4[[#This Row],[Precio Bruto]]*1.16</f>
        <v>5361.8447999999989</v>
      </c>
      <c r="K5548" s="281">
        <f>+Tabla4[[#This Row],[Precio Unitario Neto]]*Tabla4[[#Headers],[20.85%]]</f>
        <v>1117.9446407999997</v>
      </c>
      <c r="L5548" s="282">
        <f>++Tabla4[[#This Row],[Precio Unitario Neto]]-Tabla4[[#This Row],[20.85%]]</f>
        <v>4243.9001591999995</v>
      </c>
      <c r="M5548" s="282" t="e">
        <f>(INDEX(Tabla6[#All],MATCH(Tabla4[[#This Row],[Producto]],Tabla6[[#All],[PRODUCTO]],0),MATCH(Tabla4[[#This Row],[Mes]],Tabla6[#Headers],0)))*(1+Catalogos!$L$2)</f>
        <v>#N/A</v>
      </c>
      <c r="N5548" s="283" t="e">
        <f>+(Tabla4[[#This Row],[Precio Descontado]]-Tabla4[[#This Row],[Precio Base]])*Tabla4[[#This Row],[Cantidad]]</f>
        <v>#N/A</v>
      </c>
      <c r="O5548" s="284" t="e">
        <f>++Tabla4[[#This Row],[Utilidad Total]]/Tabla4[[#This Row],[Total]]</f>
        <v>#N/A</v>
      </c>
      <c r="P5548" s="282">
        <f>++Tabla4[[#This Row],[Precio Descontado]]*Tabla4[[#This Row],[Cantidad]]</f>
        <v>12731.700477599999</v>
      </c>
      <c r="Q5548" s="282" t="e">
        <f>(INDEX(Tabla6[#All],MATCH(Tabla4[[#This Row],[Producto]],Tabla6[[#All],[PRODUCTO]],0),MATCH(Tabla4[[#This Row],[Mes]],Tabla6[#Headers],0)))</f>
        <v>#N/A</v>
      </c>
      <c r="R5548" s="282" t="e">
        <f>++Tabla4[[#This Row],[Precio Unitario Neto]]-Tabla4[[#This Row],[20.85%]]-Tabla4[[#This Row],[Costo]]</f>
        <v>#N/A</v>
      </c>
      <c r="S5548" s="282" t="e">
        <f>++Tabla4[[#This Row],[U. Bruta Uni]]*Tabla4[[#This Row],[Cantidad]]</f>
        <v>#N/A</v>
      </c>
      <c r="T5548" s="369" t="str">
        <f>VLOOKUP(Tabla4[[#This Row],[Producto]],Tabla6[#All],14,FALSE)</f>
        <v>Termico Solar</v>
      </c>
      <c r="U5548" s="284" t="e">
        <f>(IF(Tabla4[[#This Row],[Familia]]="termico solar",Tabla4[[#This Row],[Utilidad Total]]*6%,Tabla4[[#This Row],[Utilidad Total]]*11.5%))/Tabla4[[#This Row],[Total]]</f>
        <v>#N/A</v>
      </c>
      <c r="V5548" s="282" t="e">
        <f>+Tabla4[[#This Row],[Comisión Calculada]]*Tabla4[[#This Row],[Total]]</f>
        <v>#N/A</v>
      </c>
    </row>
    <row r="5549" spans="1:22" hidden="1" x14ac:dyDescent="0.25">
      <c r="A5549" s="100">
        <v>45900</v>
      </c>
      <c r="B5549" t="str">
        <f t="shared" si="268"/>
        <v>August</v>
      </c>
      <c r="C5549" s="46" t="s">
        <v>280</v>
      </c>
      <c r="F5549" s="366" t="s">
        <v>2866</v>
      </c>
      <c r="G5549" s="46" t="s">
        <v>566</v>
      </c>
      <c r="H5549" s="46">
        <v>1</v>
      </c>
      <c r="I5549" s="51">
        <v>2109.4499999999998</v>
      </c>
      <c r="J5549" s="281">
        <f>++Tabla4[[#This Row],[Precio Bruto]]*1.16</f>
        <v>2446.9619999999995</v>
      </c>
      <c r="K5549" s="281">
        <f>+Tabla4[[#This Row],[Precio Unitario Neto]]*Tabla4[[#Headers],[20.85%]]</f>
        <v>510.19157699999988</v>
      </c>
      <c r="L5549" s="282">
        <f>++Tabla4[[#This Row],[Precio Unitario Neto]]-Tabla4[[#This Row],[20.85%]]</f>
        <v>1936.7704229999997</v>
      </c>
      <c r="M5549" s="282" t="e">
        <f>(INDEX(Tabla6[#All],MATCH(Tabla4[[#This Row],[Producto]],Tabla6[[#All],[PRODUCTO]],0),MATCH(Tabla4[[#This Row],[Mes]],Tabla6[#Headers],0)))*(1+Catalogos!$L$2)</f>
        <v>#N/A</v>
      </c>
      <c r="N5549" s="283" t="e">
        <f>+(Tabla4[[#This Row],[Precio Descontado]]-Tabla4[[#This Row],[Precio Base]])*Tabla4[[#This Row],[Cantidad]]</f>
        <v>#N/A</v>
      </c>
      <c r="O5549" s="284" t="e">
        <f>++Tabla4[[#This Row],[Utilidad Total]]/Tabla4[[#This Row],[Total]]</f>
        <v>#N/A</v>
      </c>
      <c r="P5549" s="282">
        <f>++Tabla4[[#This Row],[Precio Descontado]]*Tabla4[[#This Row],[Cantidad]]</f>
        <v>1936.7704229999997</v>
      </c>
      <c r="Q5549" s="282" t="e">
        <f>(INDEX(Tabla6[#All],MATCH(Tabla4[[#This Row],[Producto]],Tabla6[[#All],[PRODUCTO]],0),MATCH(Tabla4[[#This Row],[Mes]],Tabla6[#Headers],0)))</f>
        <v>#N/A</v>
      </c>
      <c r="R5549" s="282" t="e">
        <f>++Tabla4[[#This Row],[Precio Unitario Neto]]-Tabla4[[#This Row],[20.85%]]-Tabla4[[#This Row],[Costo]]</f>
        <v>#N/A</v>
      </c>
      <c r="S5549" s="282" t="e">
        <f>++Tabla4[[#This Row],[U. Bruta Uni]]*Tabla4[[#This Row],[Cantidad]]</f>
        <v>#N/A</v>
      </c>
      <c r="T5549" s="369" t="str">
        <f>VLOOKUP(Tabla4[[#This Row],[Producto]],Tabla6[#All],14,FALSE)</f>
        <v>Termico Solar</v>
      </c>
      <c r="U5549" s="284" t="e">
        <f>(IF(Tabla4[[#This Row],[Familia]]="termico solar",Tabla4[[#This Row],[Utilidad Total]]*6%,Tabla4[[#This Row],[Utilidad Total]]*11.5%))/Tabla4[[#This Row],[Total]]</f>
        <v>#N/A</v>
      </c>
      <c r="V5549" s="282" t="e">
        <f>+Tabla4[[#This Row],[Comisión Calculada]]*Tabla4[[#This Row],[Total]]</f>
        <v>#N/A</v>
      </c>
    </row>
    <row r="5550" spans="1:22" hidden="1" x14ac:dyDescent="0.25">
      <c r="A5550" s="100">
        <v>45900</v>
      </c>
      <c r="B5550" t="str">
        <f t="shared" si="268"/>
        <v>August</v>
      </c>
      <c r="C5550" s="46" t="s">
        <v>280</v>
      </c>
      <c r="F5550" s="366" t="s">
        <v>2866</v>
      </c>
      <c r="G5550" s="46" t="s">
        <v>16</v>
      </c>
      <c r="H5550" s="46">
        <v>1</v>
      </c>
      <c r="I5550" s="51">
        <v>4103.8500000000004</v>
      </c>
      <c r="J5550" s="281">
        <f>++Tabla4[[#This Row],[Precio Bruto]]*1.16</f>
        <v>4760.4660000000003</v>
      </c>
      <c r="K5550" s="281">
        <f>+Tabla4[[#This Row],[Precio Unitario Neto]]*Tabla4[[#Headers],[20.85%]]</f>
        <v>992.55716100000006</v>
      </c>
      <c r="L5550" s="282">
        <f>++Tabla4[[#This Row],[Precio Unitario Neto]]-Tabla4[[#This Row],[20.85%]]</f>
        <v>3767.9088390000002</v>
      </c>
      <c r="M5550" s="282" t="e">
        <f>(INDEX(Tabla6[#All],MATCH(Tabla4[[#This Row],[Producto]],Tabla6[[#All],[PRODUCTO]],0),MATCH(Tabla4[[#This Row],[Mes]],Tabla6[#Headers],0)))*(1+Catalogos!$L$2)</f>
        <v>#N/A</v>
      </c>
      <c r="N5550" s="283" t="e">
        <f>+(Tabla4[[#This Row],[Precio Descontado]]-Tabla4[[#This Row],[Precio Base]])*Tabla4[[#This Row],[Cantidad]]</f>
        <v>#N/A</v>
      </c>
      <c r="O5550" s="284" t="e">
        <f>++Tabla4[[#This Row],[Utilidad Total]]/Tabla4[[#This Row],[Total]]</f>
        <v>#N/A</v>
      </c>
      <c r="P5550" s="282">
        <f>++Tabla4[[#This Row],[Precio Descontado]]*Tabla4[[#This Row],[Cantidad]]</f>
        <v>3767.9088390000002</v>
      </c>
      <c r="Q5550" s="282" t="e">
        <f>(INDEX(Tabla6[#All],MATCH(Tabla4[[#This Row],[Producto]],Tabla6[[#All],[PRODUCTO]],0),MATCH(Tabla4[[#This Row],[Mes]],Tabla6[#Headers],0)))</f>
        <v>#N/A</v>
      </c>
      <c r="R5550" s="282" t="e">
        <f>++Tabla4[[#This Row],[Precio Unitario Neto]]-Tabla4[[#This Row],[20.85%]]-Tabla4[[#This Row],[Costo]]</f>
        <v>#N/A</v>
      </c>
      <c r="S5550" s="282" t="e">
        <f>++Tabla4[[#This Row],[U. Bruta Uni]]*Tabla4[[#This Row],[Cantidad]]</f>
        <v>#N/A</v>
      </c>
      <c r="T5550" s="369" t="str">
        <f>VLOOKUP(Tabla4[[#This Row],[Producto]],Tabla6[#All],14,FALSE)</f>
        <v>Termico Solar</v>
      </c>
      <c r="U5550" s="284" t="e">
        <f>(IF(Tabla4[[#This Row],[Familia]]="termico solar",Tabla4[[#This Row],[Utilidad Total]]*6%,Tabla4[[#This Row],[Utilidad Total]]*11.5%))/Tabla4[[#This Row],[Total]]</f>
        <v>#N/A</v>
      </c>
      <c r="V5550" s="282" t="e">
        <f>+Tabla4[[#This Row],[Comisión Calculada]]*Tabla4[[#This Row],[Total]]</f>
        <v>#N/A</v>
      </c>
    </row>
    <row r="5551" spans="1:22" hidden="1" x14ac:dyDescent="0.25">
      <c r="A5551" s="100">
        <v>45900</v>
      </c>
      <c r="B5551" t="str">
        <f t="shared" si="268"/>
        <v>August</v>
      </c>
      <c r="C5551" s="46" t="s">
        <v>280</v>
      </c>
      <c r="F5551" s="366" t="s">
        <v>2866</v>
      </c>
      <c r="G5551" s="46" t="s">
        <v>208</v>
      </c>
      <c r="H5551" s="46">
        <v>3</v>
      </c>
      <c r="I5551" s="51">
        <v>189.75</v>
      </c>
      <c r="J5551" s="281">
        <f>++Tabla4[[#This Row],[Precio Bruto]]*1.16</f>
        <v>220.10999999999999</v>
      </c>
      <c r="K5551" s="281">
        <f>+Tabla4[[#This Row],[Precio Unitario Neto]]*Tabla4[[#Headers],[20.85%]]</f>
        <v>45.892934999999994</v>
      </c>
      <c r="L5551" s="282">
        <f>++Tabla4[[#This Row],[Precio Unitario Neto]]-Tabla4[[#This Row],[20.85%]]</f>
        <v>174.21706499999999</v>
      </c>
      <c r="M5551" s="282" t="e">
        <f>(INDEX(Tabla6[#All],MATCH(Tabla4[[#This Row],[Producto]],Tabla6[[#All],[PRODUCTO]],0),MATCH(Tabla4[[#This Row],[Mes]],Tabla6[#Headers],0)))*(1+Catalogos!$L$2)</f>
        <v>#N/A</v>
      </c>
      <c r="N5551" s="283" t="e">
        <f>+(Tabla4[[#This Row],[Precio Descontado]]-Tabla4[[#This Row],[Precio Base]])*Tabla4[[#This Row],[Cantidad]]</f>
        <v>#N/A</v>
      </c>
      <c r="O5551" s="284" t="e">
        <f>++Tabla4[[#This Row],[Utilidad Total]]/Tabla4[[#This Row],[Total]]</f>
        <v>#N/A</v>
      </c>
      <c r="P5551" s="282">
        <f>++Tabla4[[#This Row],[Precio Descontado]]*Tabla4[[#This Row],[Cantidad]]</f>
        <v>522.65119499999992</v>
      </c>
      <c r="Q5551" s="282" t="e">
        <f>(INDEX(Tabla6[#All],MATCH(Tabla4[[#This Row],[Producto]],Tabla6[[#All],[PRODUCTO]],0),MATCH(Tabla4[[#This Row],[Mes]],Tabla6[#Headers],0)))</f>
        <v>#N/A</v>
      </c>
      <c r="R5551" s="282" t="e">
        <f>++Tabla4[[#This Row],[Precio Unitario Neto]]-Tabla4[[#This Row],[20.85%]]-Tabla4[[#This Row],[Costo]]</f>
        <v>#N/A</v>
      </c>
      <c r="S5551" s="282" t="e">
        <f>++Tabla4[[#This Row],[U. Bruta Uni]]*Tabla4[[#This Row],[Cantidad]]</f>
        <v>#N/A</v>
      </c>
      <c r="T5551" s="369" t="str">
        <f>VLOOKUP(Tabla4[[#This Row],[Producto]],Tabla6[#All],14,FALSE)</f>
        <v>Termico Solar</v>
      </c>
      <c r="U5551" s="284" t="e">
        <f>(IF(Tabla4[[#This Row],[Familia]]="termico solar",Tabla4[[#This Row],[Utilidad Total]]*6%,Tabla4[[#This Row],[Utilidad Total]]*11.5%))/Tabla4[[#This Row],[Total]]</f>
        <v>#N/A</v>
      </c>
      <c r="V5551" s="282" t="e">
        <f>+Tabla4[[#This Row],[Comisión Calculada]]*Tabla4[[#This Row],[Total]]</f>
        <v>#N/A</v>
      </c>
    </row>
    <row r="5552" spans="1:22" hidden="1" x14ac:dyDescent="0.25">
      <c r="A5552" s="100">
        <v>45900</v>
      </c>
      <c r="B5552" t="str">
        <f t="shared" si="268"/>
        <v>August</v>
      </c>
      <c r="C5552" s="46" t="s">
        <v>280</v>
      </c>
      <c r="F5552" s="366" t="s">
        <v>2867</v>
      </c>
      <c r="G5552" s="46" t="s">
        <v>18</v>
      </c>
      <c r="H5552" s="46">
        <v>2</v>
      </c>
      <c r="I5552" s="51">
        <v>5367.65</v>
      </c>
      <c r="J5552" s="281">
        <f>++Tabla4[[#This Row],[Precio Bruto]]*1.16</f>
        <v>6226.4739999999993</v>
      </c>
      <c r="K5552" s="281">
        <f>+Tabla4[[#This Row],[Precio Unitario Neto]]*Tabla4[[#Headers],[20.85%]]</f>
        <v>1298.2198289999999</v>
      </c>
      <c r="L5552" s="282">
        <f>++Tabla4[[#This Row],[Precio Unitario Neto]]-Tabla4[[#This Row],[20.85%]]</f>
        <v>4928.2541709999996</v>
      </c>
      <c r="M5552" s="282" t="e">
        <f>(INDEX(Tabla6[#All],MATCH(Tabla4[[#This Row],[Producto]],Tabla6[[#All],[PRODUCTO]],0),MATCH(Tabla4[[#This Row],[Mes]],Tabla6[#Headers],0)))*(1+Catalogos!$L$2)</f>
        <v>#N/A</v>
      </c>
      <c r="N5552" s="283" t="e">
        <f>+(Tabla4[[#This Row],[Precio Descontado]]-Tabla4[[#This Row],[Precio Base]])*Tabla4[[#This Row],[Cantidad]]</f>
        <v>#N/A</v>
      </c>
      <c r="O5552" s="284" t="e">
        <f>++Tabla4[[#This Row],[Utilidad Total]]/Tabla4[[#This Row],[Total]]</f>
        <v>#N/A</v>
      </c>
      <c r="P5552" s="282">
        <f>++Tabla4[[#This Row],[Precio Descontado]]*Tabla4[[#This Row],[Cantidad]]</f>
        <v>9856.5083419999992</v>
      </c>
      <c r="Q5552" s="282" t="e">
        <f>(INDEX(Tabla6[#All],MATCH(Tabla4[[#This Row],[Producto]],Tabla6[[#All],[PRODUCTO]],0),MATCH(Tabla4[[#This Row],[Mes]],Tabla6[#Headers],0)))</f>
        <v>#N/A</v>
      </c>
      <c r="R5552" s="282" t="e">
        <f>++Tabla4[[#This Row],[Precio Unitario Neto]]-Tabla4[[#This Row],[20.85%]]-Tabla4[[#This Row],[Costo]]</f>
        <v>#N/A</v>
      </c>
      <c r="S5552" s="282" t="e">
        <f>++Tabla4[[#This Row],[U. Bruta Uni]]*Tabla4[[#This Row],[Cantidad]]</f>
        <v>#N/A</v>
      </c>
      <c r="T5552" s="369" t="str">
        <f>VLOOKUP(Tabla4[[#This Row],[Producto]],Tabla6[#All],14,FALSE)</f>
        <v>Termico Solar</v>
      </c>
      <c r="U5552" s="284" t="e">
        <f>(IF(Tabla4[[#This Row],[Familia]]="termico solar",Tabla4[[#This Row],[Utilidad Total]]*6%,Tabla4[[#This Row],[Utilidad Total]]*11.5%))/Tabla4[[#This Row],[Total]]</f>
        <v>#N/A</v>
      </c>
      <c r="V5552" s="282" t="e">
        <f>+Tabla4[[#This Row],[Comisión Calculada]]*Tabla4[[#This Row],[Total]]</f>
        <v>#N/A</v>
      </c>
    </row>
    <row r="5553" spans="1:22" hidden="1" x14ac:dyDescent="0.25">
      <c r="A5553" s="100">
        <v>45900</v>
      </c>
      <c r="B5553" t="str">
        <f t="shared" si="268"/>
        <v>August</v>
      </c>
      <c r="C5553" s="46" t="s">
        <v>280</v>
      </c>
      <c r="F5553" s="366" t="s">
        <v>2867</v>
      </c>
      <c r="G5553" s="46" t="s">
        <v>566</v>
      </c>
      <c r="H5553" s="46">
        <v>1</v>
      </c>
      <c r="I5553" s="51">
        <v>2109.4499999999998</v>
      </c>
      <c r="J5553" s="281">
        <f>++Tabla4[[#This Row],[Precio Bruto]]*1.16</f>
        <v>2446.9619999999995</v>
      </c>
      <c r="K5553" s="281">
        <f>+Tabla4[[#This Row],[Precio Unitario Neto]]*Tabla4[[#Headers],[20.85%]]</f>
        <v>510.19157699999988</v>
      </c>
      <c r="L5553" s="282">
        <f>++Tabla4[[#This Row],[Precio Unitario Neto]]-Tabla4[[#This Row],[20.85%]]</f>
        <v>1936.7704229999997</v>
      </c>
      <c r="M5553" s="282" t="e">
        <f>(INDEX(Tabla6[#All],MATCH(Tabla4[[#This Row],[Producto]],Tabla6[[#All],[PRODUCTO]],0),MATCH(Tabla4[[#This Row],[Mes]],Tabla6[#Headers],0)))*(1+Catalogos!$L$2)</f>
        <v>#N/A</v>
      </c>
      <c r="N5553" s="283" t="e">
        <f>+(Tabla4[[#This Row],[Precio Descontado]]-Tabla4[[#This Row],[Precio Base]])*Tabla4[[#This Row],[Cantidad]]</f>
        <v>#N/A</v>
      </c>
      <c r="O5553" s="284" t="e">
        <f>++Tabla4[[#This Row],[Utilidad Total]]/Tabla4[[#This Row],[Total]]</f>
        <v>#N/A</v>
      </c>
      <c r="P5553" s="282">
        <f>++Tabla4[[#This Row],[Precio Descontado]]*Tabla4[[#This Row],[Cantidad]]</f>
        <v>1936.7704229999997</v>
      </c>
      <c r="Q5553" s="282" t="e">
        <f>(INDEX(Tabla6[#All],MATCH(Tabla4[[#This Row],[Producto]],Tabla6[[#All],[PRODUCTO]],0),MATCH(Tabla4[[#This Row],[Mes]],Tabla6[#Headers],0)))</f>
        <v>#N/A</v>
      </c>
      <c r="R5553" s="282" t="e">
        <f>++Tabla4[[#This Row],[Precio Unitario Neto]]-Tabla4[[#This Row],[20.85%]]-Tabla4[[#This Row],[Costo]]</f>
        <v>#N/A</v>
      </c>
      <c r="S5553" s="282" t="e">
        <f>++Tabla4[[#This Row],[U. Bruta Uni]]*Tabla4[[#This Row],[Cantidad]]</f>
        <v>#N/A</v>
      </c>
      <c r="T5553" s="369" t="str">
        <f>VLOOKUP(Tabla4[[#This Row],[Producto]],Tabla6[#All],14,FALSE)</f>
        <v>Termico Solar</v>
      </c>
      <c r="U5553" s="284" t="e">
        <f>(IF(Tabla4[[#This Row],[Familia]]="termico solar",Tabla4[[#This Row],[Utilidad Total]]*6%,Tabla4[[#This Row],[Utilidad Total]]*11.5%))/Tabla4[[#This Row],[Total]]</f>
        <v>#N/A</v>
      </c>
      <c r="V5553" s="282" t="e">
        <f>+Tabla4[[#This Row],[Comisión Calculada]]*Tabla4[[#This Row],[Total]]</f>
        <v>#N/A</v>
      </c>
    </row>
    <row r="5554" spans="1:22" hidden="1" x14ac:dyDescent="0.25">
      <c r="A5554" s="100">
        <v>45900</v>
      </c>
      <c r="B5554" t="str">
        <f t="shared" si="268"/>
        <v>August</v>
      </c>
      <c r="C5554" s="46" t="s">
        <v>280</v>
      </c>
      <c r="F5554" s="366" t="s">
        <v>2868</v>
      </c>
      <c r="G5554" s="46" t="s">
        <v>412</v>
      </c>
      <c r="H5554" s="46">
        <v>1</v>
      </c>
      <c r="I5554" s="51">
        <v>3240.84</v>
      </c>
      <c r="J5554" s="281">
        <f>++Tabla4[[#This Row],[Precio Bruto]]*1.16</f>
        <v>3759.3743999999997</v>
      </c>
      <c r="K5554" s="281">
        <f>+Tabla4[[#This Row],[Precio Unitario Neto]]*Tabla4[[#Headers],[20.85%]]</f>
        <v>783.82956239999987</v>
      </c>
      <c r="L5554" s="282">
        <f>++Tabla4[[#This Row],[Precio Unitario Neto]]-Tabla4[[#This Row],[20.85%]]</f>
        <v>2975.5448375999999</v>
      </c>
      <c r="M5554" s="282" t="e">
        <f>(INDEX(Tabla6[#All],MATCH(Tabla4[[#This Row],[Producto]],Tabla6[[#All],[PRODUCTO]],0),MATCH(Tabla4[[#This Row],[Mes]],Tabla6[#Headers],0)))*(1+Catalogos!$L$2)</f>
        <v>#N/A</v>
      </c>
      <c r="N5554" s="283" t="e">
        <f>+(Tabla4[[#This Row],[Precio Descontado]]-Tabla4[[#This Row],[Precio Base]])*Tabla4[[#This Row],[Cantidad]]</f>
        <v>#N/A</v>
      </c>
      <c r="O5554" s="284" t="e">
        <f>++Tabla4[[#This Row],[Utilidad Total]]/Tabla4[[#This Row],[Total]]</f>
        <v>#N/A</v>
      </c>
      <c r="P5554" s="282">
        <f>++Tabla4[[#This Row],[Precio Descontado]]*Tabla4[[#This Row],[Cantidad]]</f>
        <v>2975.5448375999999</v>
      </c>
      <c r="Q5554" s="282" t="e">
        <f>(INDEX(Tabla6[#All],MATCH(Tabla4[[#This Row],[Producto]],Tabla6[[#All],[PRODUCTO]],0),MATCH(Tabla4[[#This Row],[Mes]],Tabla6[#Headers],0)))</f>
        <v>#N/A</v>
      </c>
      <c r="R5554" s="282" t="e">
        <f>++Tabla4[[#This Row],[Precio Unitario Neto]]-Tabla4[[#This Row],[20.85%]]-Tabla4[[#This Row],[Costo]]</f>
        <v>#N/A</v>
      </c>
      <c r="S5554" s="282" t="e">
        <f>++Tabla4[[#This Row],[U. Bruta Uni]]*Tabla4[[#This Row],[Cantidad]]</f>
        <v>#N/A</v>
      </c>
      <c r="T5554" s="369" t="str">
        <f>VLOOKUP(Tabla4[[#This Row],[Producto]],Tabla6[#All],14,FALSE)</f>
        <v>Termico Solar</v>
      </c>
      <c r="U5554" s="284" t="e">
        <f>(IF(Tabla4[[#This Row],[Familia]]="termico solar",Tabla4[[#This Row],[Utilidad Total]]*6%,Tabla4[[#This Row],[Utilidad Total]]*11.5%))/Tabla4[[#This Row],[Total]]</f>
        <v>#N/A</v>
      </c>
      <c r="V5554" s="282" t="e">
        <f>+Tabla4[[#This Row],[Comisión Calculada]]*Tabla4[[#This Row],[Total]]</f>
        <v>#N/A</v>
      </c>
    </row>
    <row r="5555" spans="1:22" hidden="1" x14ac:dyDescent="0.25">
      <c r="A5555" s="100">
        <v>45900</v>
      </c>
      <c r="B5555" t="str">
        <f t="shared" si="268"/>
        <v>August</v>
      </c>
      <c r="C5555" s="46" t="s">
        <v>280</v>
      </c>
      <c r="F5555" s="366" t="s">
        <v>2869</v>
      </c>
      <c r="G5555" s="46" t="s">
        <v>19</v>
      </c>
      <c r="H5555" s="46">
        <v>1</v>
      </c>
      <c r="I5555" s="51">
        <v>6412.03</v>
      </c>
      <c r="J5555" s="281">
        <f>++Tabla4[[#This Row],[Precio Bruto]]*1.16</f>
        <v>7437.9547999999995</v>
      </c>
      <c r="K5555" s="281">
        <f>+Tabla4[[#This Row],[Precio Unitario Neto]]*Tabla4[[#Headers],[20.85%]]</f>
        <v>1550.8135757999999</v>
      </c>
      <c r="L5555" s="282">
        <f>++Tabla4[[#This Row],[Precio Unitario Neto]]-Tabla4[[#This Row],[20.85%]]</f>
        <v>5887.1412241999997</v>
      </c>
      <c r="M5555" s="282" t="e">
        <f>(INDEX(Tabla6[#All],MATCH(Tabla4[[#This Row],[Producto]],Tabla6[[#All],[PRODUCTO]],0),MATCH(Tabla4[[#This Row],[Mes]],Tabla6[#Headers],0)))*(1+Catalogos!$L$2)</f>
        <v>#N/A</v>
      </c>
      <c r="N5555" s="283" t="e">
        <f>+(Tabla4[[#This Row],[Precio Descontado]]-Tabla4[[#This Row],[Precio Base]])*Tabla4[[#This Row],[Cantidad]]</f>
        <v>#N/A</v>
      </c>
      <c r="O5555" s="284" t="e">
        <f>++Tabla4[[#This Row],[Utilidad Total]]/Tabla4[[#This Row],[Total]]</f>
        <v>#N/A</v>
      </c>
      <c r="P5555" s="282">
        <f>++Tabla4[[#This Row],[Precio Descontado]]*Tabla4[[#This Row],[Cantidad]]</f>
        <v>5887.1412241999997</v>
      </c>
      <c r="Q5555" s="282" t="e">
        <f>(INDEX(Tabla6[#All],MATCH(Tabla4[[#This Row],[Producto]],Tabla6[[#All],[PRODUCTO]],0),MATCH(Tabla4[[#This Row],[Mes]],Tabla6[#Headers],0)))</f>
        <v>#N/A</v>
      </c>
      <c r="R5555" s="282" t="e">
        <f>++Tabla4[[#This Row],[Precio Unitario Neto]]-Tabla4[[#This Row],[20.85%]]-Tabla4[[#This Row],[Costo]]</f>
        <v>#N/A</v>
      </c>
      <c r="S5555" s="282" t="e">
        <f>++Tabla4[[#This Row],[U. Bruta Uni]]*Tabla4[[#This Row],[Cantidad]]</f>
        <v>#N/A</v>
      </c>
      <c r="T5555" s="369" t="str">
        <f>VLOOKUP(Tabla4[[#This Row],[Producto]],Tabla6[#All],14,FALSE)</f>
        <v>Termico Solar</v>
      </c>
      <c r="U5555" s="284" t="e">
        <f>(IF(Tabla4[[#This Row],[Familia]]="termico solar",Tabla4[[#This Row],[Utilidad Total]]*6%,Tabla4[[#This Row],[Utilidad Total]]*11.5%))/Tabla4[[#This Row],[Total]]</f>
        <v>#N/A</v>
      </c>
      <c r="V5555" s="282" t="e">
        <f>+Tabla4[[#This Row],[Comisión Calculada]]*Tabla4[[#This Row],[Total]]</f>
        <v>#N/A</v>
      </c>
    </row>
    <row r="5556" spans="1:22" hidden="1" x14ac:dyDescent="0.25">
      <c r="A5556" s="100">
        <v>45900</v>
      </c>
      <c r="B5556" t="str">
        <f t="shared" si="268"/>
        <v>August</v>
      </c>
      <c r="C5556" s="46" t="s">
        <v>280</v>
      </c>
      <c r="F5556" s="366" t="s">
        <v>2869</v>
      </c>
      <c r="G5556" s="46" t="s">
        <v>208</v>
      </c>
      <c r="H5556" s="46">
        <v>1</v>
      </c>
      <c r="I5556" s="51">
        <v>189.75</v>
      </c>
      <c r="J5556" s="281">
        <f>++Tabla4[[#This Row],[Precio Bruto]]*1.16</f>
        <v>220.10999999999999</v>
      </c>
      <c r="K5556" s="281">
        <f>+Tabla4[[#This Row],[Precio Unitario Neto]]*Tabla4[[#Headers],[20.85%]]</f>
        <v>45.892934999999994</v>
      </c>
      <c r="L5556" s="282">
        <f>++Tabla4[[#This Row],[Precio Unitario Neto]]-Tabla4[[#This Row],[20.85%]]</f>
        <v>174.21706499999999</v>
      </c>
      <c r="M5556" s="282" t="e">
        <f>(INDEX(Tabla6[#All],MATCH(Tabla4[[#This Row],[Producto]],Tabla6[[#All],[PRODUCTO]],0),MATCH(Tabla4[[#This Row],[Mes]],Tabla6[#Headers],0)))*(1+Catalogos!$L$2)</f>
        <v>#N/A</v>
      </c>
      <c r="N5556" s="283" t="e">
        <f>+(Tabla4[[#This Row],[Precio Descontado]]-Tabla4[[#This Row],[Precio Base]])*Tabla4[[#This Row],[Cantidad]]</f>
        <v>#N/A</v>
      </c>
      <c r="O5556" s="284" t="e">
        <f>++Tabla4[[#This Row],[Utilidad Total]]/Tabla4[[#This Row],[Total]]</f>
        <v>#N/A</v>
      </c>
      <c r="P5556" s="282">
        <f>++Tabla4[[#This Row],[Precio Descontado]]*Tabla4[[#This Row],[Cantidad]]</f>
        <v>174.21706499999999</v>
      </c>
      <c r="Q5556" s="282" t="e">
        <f>(INDEX(Tabla6[#All],MATCH(Tabla4[[#This Row],[Producto]],Tabla6[[#All],[PRODUCTO]],0),MATCH(Tabla4[[#This Row],[Mes]],Tabla6[#Headers],0)))</f>
        <v>#N/A</v>
      </c>
      <c r="R5556" s="282" t="e">
        <f>++Tabla4[[#This Row],[Precio Unitario Neto]]-Tabla4[[#This Row],[20.85%]]-Tabla4[[#This Row],[Costo]]</f>
        <v>#N/A</v>
      </c>
      <c r="S5556" s="282" t="e">
        <f>++Tabla4[[#This Row],[U. Bruta Uni]]*Tabla4[[#This Row],[Cantidad]]</f>
        <v>#N/A</v>
      </c>
      <c r="T5556" s="369" t="str">
        <f>VLOOKUP(Tabla4[[#This Row],[Producto]],Tabla6[#All],14,FALSE)</f>
        <v>Termico Solar</v>
      </c>
      <c r="U5556" s="284" t="e">
        <f>(IF(Tabla4[[#This Row],[Familia]]="termico solar",Tabla4[[#This Row],[Utilidad Total]]*6%,Tabla4[[#This Row],[Utilidad Total]]*11.5%))/Tabla4[[#This Row],[Total]]</f>
        <v>#N/A</v>
      </c>
      <c r="V5556" s="282" t="e">
        <f>+Tabla4[[#This Row],[Comisión Calculada]]*Tabla4[[#This Row],[Total]]</f>
        <v>#N/A</v>
      </c>
    </row>
    <row r="5557" spans="1:22" hidden="1" x14ac:dyDescent="0.25">
      <c r="A5557" s="100">
        <v>45900</v>
      </c>
      <c r="B5557" t="str">
        <f t="shared" si="268"/>
        <v>August</v>
      </c>
      <c r="C5557" s="46" t="s">
        <v>280</v>
      </c>
      <c r="F5557" s="366" t="s">
        <v>2870</v>
      </c>
      <c r="G5557" s="46" t="s">
        <v>19</v>
      </c>
      <c r="H5557" s="46">
        <v>2</v>
      </c>
      <c r="I5557" s="51">
        <v>6412.03</v>
      </c>
      <c r="J5557" s="281">
        <f>++Tabla4[[#This Row],[Precio Bruto]]*1.16</f>
        <v>7437.9547999999995</v>
      </c>
      <c r="K5557" s="281">
        <f>+Tabla4[[#This Row],[Precio Unitario Neto]]*Tabla4[[#Headers],[20.85%]]</f>
        <v>1550.8135757999999</v>
      </c>
      <c r="L5557" s="282">
        <f>++Tabla4[[#This Row],[Precio Unitario Neto]]-Tabla4[[#This Row],[20.85%]]</f>
        <v>5887.1412241999997</v>
      </c>
      <c r="M5557" s="282" t="e">
        <f>(INDEX(Tabla6[#All],MATCH(Tabla4[[#This Row],[Producto]],Tabla6[[#All],[PRODUCTO]],0),MATCH(Tabla4[[#This Row],[Mes]],Tabla6[#Headers],0)))*(1+Catalogos!$L$2)</f>
        <v>#N/A</v>
      </c>
      <c r="N5557" s="283" t="e">
        <f>+(Tabla4[[#This Row],[Precio Descontado]]-Tabla4[[#This Row],[Precio Base]])*Tabla4[[#This Row],[Cantidad]]</f>
        <v>#N/A</v>
      </c>
      <c r="O5557" s="284" t="e">
        <f>++Tabla4[[#This Row],[Utilidad Total]]/Tabla4[[#This Row],[Total]]</f>
        <v>#N/A</v>
      </c>
      <c r="P5557" s="282">
        <f>++Tabla4[[#This Row],[Precio Descontado]]*Tabla4[[#This Row],[Cantidad]]</f>
        <v>11774.282448399999</v>
      </c>
      <c r="Q5557" s="282" t="e">
        <f>(INDEX(Tabla6[#All],MATCH(Tabla4[[#This Row],[Producto]],Tabla6[[#All],[PRODUCTO]],0),MATCH(Tabla4[[#This Row],[Mes]],Tabla6[#Headers],0)))</f>
        <v>#N/A</v>
      </c>
      <c r="R5557" s="282" t="e">
        <f>++Tabla4[[#This Row],[Precio Unitario Neto]]-Tabla4[[#This Row],[20.85%]]-Tabla4[[#This Row],[Costo]]</f>
        <v>#N/A</v>
      </c>
      <c r="S5557" s="282" t="e">
        <f>++Tabla4[[#This Row],[U. Bruta Uni]]*Tabla4[[#This Row],[Cantidad]]</f>
        <v>#N/A</v>
      </c>
      <c r="T5557" s="369" t="str">
        <f>VLOOKUP(Tabla4[[#This Row],[Producto]],Tabla6[#All],14,FALSE)</f>
        <v>Termico Solar</v>
      </c>
      <c r="U5557" s="284" t="e">
        <f>(IF(Tabla4[[#This Row],[Familia]]="termico solar",Tabla4[[#This Row],[Utilidad Total]]*6%,Tabla4[[#This Row],[Utilidad Total]]*11.5%))/Tabla4[[#This Row],[Total]]</f>
        <v>#N/A</v>
      </c>
      <c r="V5557" s="282" t="e">
        <f>+Tabla4[[#This Row],[Comisión Calculada]]*Tabla4[[#This Row],[Total]]</f>
        <v>#N/A</v>
      </c>
    </row>
    <row r="5558" spans="1:22" hidden="1" x14ac:dyDescent="0.25">
      <c r="A5558" s="100">
        <v>45900</v>
      </c>
      <c r="B5558" t="str">
        <f t="shared" si="268"/>
        <v>August</v>
      </c>
      <c r="C5558" s="46" t="s">
        <v>280</v>
      </c>
      <c r="F5558" s="366" t="s">
        <v>2871</v>
      </c>
      <c r="G5558" s="46" t="s">
        <v>83</v>
      </c>
      <c r="H5558" s="46">
        <v>2</v>
      </c>
      <c r="I5558" s="51">
        <v>8858.76</v>
      </c>
      <c r="J5558" s="281">
        <f>++Tabla4[[#This Row],[Precio Bruto]]*1.16</f>
        <v>10276.161599999999</v>
      </c>
      <c r="K5558" s="281">
        <f>+Tabla4[[#This Row],[Precio Unitario Neto]]*Tabla4[[#Headers],[20.85%]]</f>
        <v>2142.5796935999997</v>
      </c>
      <c r="L5558" s="282">
        <f>++Tabla4[[#This Row],[Precio Unitario Neto]]-Tabla4[[#This Row],[20.85%]]</f>
        <v>8133.5819063999998</v>
      </c>
      <c r="M5558" s="282" t="e">
        <f>(INDEX(Tabla6[#All],MATCH(Tabla4[[#This Row],[Producto]],Tabla6[[#All],[PRODUCTO]],0),MATCH(Tabla4[[#This Row],[Mes]],Tabla6[#Headers],0)))*(1+Catalogos!$L$2)</f>
        <v>#N/A</v>
      </c>
      <c r="N5558" s="283" t="e">
        <f>+(Tabla4[[#This Row],[Precio Descontado]]-Tabla4[[#This Row],[Precio Base]])*Tabla4[[#This Row],[Cantidad]]</f>
        <v>#N/A</v>
      </c>
      <c r="O5558" s="284" t="e">
        <f>++Tabla4[[#This Row],[Utilidad Total]]/Tabla4[[#This Row],[Total]]</f>
        <v>#N/A</v>
      </c>
      <c r="P5558" s="282">
        <f>++Tabla4[[#This Row],[Precio Descontado]]*Tabla4[[#This Row],[Cantidad]]</f>
        <v>16267.1638128</v>
      </c>
      <c r="Q5558" s="282" t="e">
        <f>(INDEX(Tabla6[#All],MATCH(Tabla4[[#This Row],[Producto]],Tabla6[[#All],[PRODUCTO]],0),MATCH(Tabla4[[#This Row],[Mes]],Tabla6[#Headers],0)))</f>
        <v>#N/A</v>
      </c>
      <c r="R5558" s="282" t="e">
        <f>++Tabla4[[#This Row],[Precio Unitario Neto]]-Tabla4[[#This Row],[20.85%]]-Tabla4[[#This Row],[Costo]]</f>
        <v>#N/A</v>
      </c>
      <c r="S5558" s="282" t="e">
        <f>++Tabla4[[#This Row],[U. Bruta Uni]]*Tabla4[[#This Row],[Cantidad]]</f>
        <v>#N/A</v>
      </c>
      <c r="T5558" s="369" t="str">
        <f>VLOOKUP(Tabla4[[#This Row],[Producto]],Tabla6[#All],14,FALSE)</f>
        <v>Termico Solar</v>
      </c>
      <c r="U5558" s="284" t="e">
        <f>(IF(Tabla4[[#This Row],[Familia]]="termico solar",Tabla4[[#This Row],[Utilidad Total]]*6%,Tabla4[[#This Row],[Utilidad Total]]*11.5%))/Tabla4[[#This Row],[Total]]</f>
        <v>#N/A</v>
      </c>
      <c r="V5558" s="282" t="e">
        <f>+Tabla4[[#This Row],[Comisión Calculada]]*Tabla4[[#This Row],[Total]]</f>
        <v>#N/A</v>
      </c>
    </row>
    <row r="5559" spans="1:22" hidden="1" x14ac:dyDescent="0.25">
      <c r="A5559" s="100">
        <v>45900</v>
      </c>
      <c r="B5559" t="str">
        <f t="shared" si="268"/>
        <v>August</v>
      </c>
      <c r="C5559" s="46" t="s">
        <v>280</v>
      </c>
      <c r="F5559" s="366" t="s">
        <v>2871</v>
      </c>
      <c r="G5559" s="46" t="s">
        <v>17</v>
      </c>
      <c r="H5559" s="46">
        <v>2</v>
      </c>
      <c r="I5559" s="51">
        <v>4622.28</v>
      </c>
      <c r="J5559" s="281">
        <f>++Tabla4[[#This Row],[Precio Bruto]]*1.16</f>
        <v>5361.8447999999989</v>
      </c>
      <c r="K5559" s="281">
        <f>+Tabla4[[#This Row],[Precio Unitario Neto]]*Tabla4[[#Headers],[20.85%]]</f>
        <v>1117.9446407999997</v>
      </c>
      <c r="L5559" s="282">
        <f>++Tabla4[[#This Row],[Precio Unitario Neto]]-Tabla4[[#This Row],[20.85%]]</f>
        <v>4243.9001591999995</v>
      </c>
      <c r="M5559" s="282" t="e">
        <f>(INDEX(Tabla6[#All],MATCH(Tabla4[[#This Row],[Producto]],Tabla6[[#All],[PRODUCTO]],0),MATCH(Tabla4[[#This Row],[Mes]],Tabla6[#Headers],0)))*(1+Catalogos!$L$2)</f>
        <v>#N/A</v>
      </c>
      <c r="N5559" s="283" t="e">
        <f>+(Tabla4[[#This Row],[Precio Descontado]]-Tabla4[[#This Row],[Precio Base]])*Tabla4[[#This Row],[Cantidad]]</f>
        <v>#N/A</v>
      </c>
      <c r="O5559" s="284" t="e">
        <f>++Tabla4[[#This Row],[Utilidad Total]]/Tabla4[[#This Row],[Total]]</f>
        <v>#N/A</v>
      </c>
      <c r="P5559" s="282">
        <f>++Tabla4[[#This Row],[Precio Descontado]]*Tabla4[[#This Row],[Cantidad]]</f>
        <v>8487.800318399999</v>
      </c>
      <c r="Q5559" s="282" t="e">
        <f>(INDEX(Tabla6[#All],MATCH(Tabla4[[#This Row],[Producto]],Tabla6[[#All],[PRODUCTO]],0),MATCH(Tabla4[[#This Row],[Mes]],Tabla6[#Headers],0)))</f>
        <v>#N/A</v>
      </c>
      <c r="R5559" s="282" t="e">
        <f>++Tabla4[[#This Row],[Precio Unitario Neto]]-Tabla4[[#This Row],[20.85%]]-Tabla4[[#This Row],[Costo]]</f>
        <v>#N/A</v>
      </c>
      <c r="S5559" s="282" t="e">
        <f>++Tabla4[[#This Row],[U. Bruta Uni]]*Tabla4[[#This Row],[Cantidad]]</f>
        <v>#N/A</v>
      </c>
      <c r="T5559" s="369" t="str">
        <f>VLOOKUP(Tabla4[[#This Row],[Producto]],Tabla6[#All],14,FALSE)</f>
        <v>Termico Solar</v>
      </c>
      <c r="U5559" s="284" t="e">
        <f>(IF(Tabla4[[#This Row],[Familia]]="termico solar",Tabla4[[#This Row],[Utilidad Total]]*6%,Tabla4[[#This Row],[Utilidad Total]]*11.5%))/Tabla4[[#This Row],[Total]]</f>
        <v>#N/A</v>
      </c>
      <c r="V5559" s="282" t="e">
        <f>+Tabla4[[#This Row],[Comisión Calculada]]*Tabla4[[#This Row],[Total]]</f>
        <v>#N/A</v>
      </c>
    </row>
    <row r="5560" spans="1:22" hidden="1" x14ac:dyDescent="0.25">
      <c r="A5560" s="100">
        <v>45900</v>
      </c>
      <c r="B5560" t="str">
        <f t="shared" si="268"/>
        <v>August</v>
      </c>
      <c r="C5560" s="46" t="s">
        <v>280</v>
      </c>
      <c r="F5560" s="366" t="s">
        <v>2871</v>
      </c>
      <c r="G5560" s="46" t="s">
        <v>16</v>
      </c>
      <c r="H5560" s="46">
        <v>4</v>
      </c>
      <c r="I5560" s="51">
        <v>4103.8500000000004</v>
      </c>
      <c r="J5560" s="281">
        <f>++Tabla4[[#This Row],[Precio Bruto]]*1.16</f>
        <v>4760.4660000000003</v>
      </c>
      <c r="K5560" s="281">
        <f>+Tabla4[[#This Row],[Precio Unitario Neto]]*Tabla4[[#Headers],[20.85%]]</f>
        <v>992.55716100000006</v>
      </c>
      <c r="L5560" s="282">
        <f>++Tabla4[[#This Row],[Precio Unitario Neto]]-Tabla4[[#This Row],[20.85%]]</f>
        <v>3767.9088390000002</v>
      </c>
      <c r="M5560" s="282" t="e">
        <f>(INDEX(Tabla6[#All],MATCH(Tabla4[[#This Row],[Producto]],Tabla6[[#All],[PRODUCTO]],0),MATCH(Tabla4[[#This Row],[Mes]],Tabla6[#Headers],0)))*(1+Catalogos!$L$2)</f>
        <v>#N/A</v>
      </c>
      <c r="N5560" s="283" t="e">
        <f>+(Tabla4[[#This Row],[Precio Descontado]]-Tabla4[[#This Row],[Precio Base]])*Tabla4[[#This Row],[Cantidad]]</f>
        <v>#N/A</v>
      </c>
      <c r="O5560" s="284" t="e">
        <f>++Tabla4[[#This Row],[Utilidad Total]]/Tabla4[[#This Row],[Total]]</f>
        <v>#N/A</v>
      </c>
      <c r="P5560" s="282">
        <f>++Tabla4[[#This Row],[Precio Descontado]]*Tabla4[[#This Row],[Cantidad]]</f>
        <v>15071.635356000001</v>
      </c>
      <c r="Q5560" s="282" t="e">
        <f>(INDEX(Tabla6[#All],MATCH(Tabla4[[#This Row],[Producto]],Tabla6[[#All],[PRODUCTO]],0),MATCH(Tabla4[[#This Row],[Mes]],Tabla6[#Headers],0)))</f>
        <v>#N/A</v>
      </c>
      <c r="R5560" s="282" t="e">
        <f>++Tabla4[[#This Row],[Precio Unitario Neto]]-Tabla4[[#This Row],[20.85%]]-Tabla4[[#This Row],[Costo]]</f>
        <v>#N/A</v>
      </c>
      <c r="S5560" s="282" t="e">
        <f>++Tabla4[[#This Row],[U. Bruta Uni]]*Tabla4[[#This Row],[Cantidad]]</f>
        <v>#N/A</v>
      </c>
      <c r="T5560" s="369" t="str">
        <f>VLOOKUP(Tabla4[[#This Row],[Producto]],Tabla6[#All],14,FALSE)</f>
        <v>Termico Solar</v>
      </c>
      <c r="U5560" s="284" t="e">
        <f>(IF(Tabla4[[#This Row],[Familia]]="termico solar",Tabla4[[#This Row],[Utilidad Total]]*6%,Tabla4[[#This Row],[Utilidad Total]]*11.5%))/Tabla4[[#This Row],[Total]]</f>
        <v>#N/A</v>
      </c>
      <c r="V5560" s="282" t="e">
        <f>+Tabla4[[#This Row],[Comisión Calculada]]*Tabla4[[#This Row],[Total]]</f>
        <v>#N/A</v>
      </c>
    </row>
    <row r="5561" spans="1:22" hidden="1" x14ac:dyDescent="0.25">
      <c r="A5561" s="100">
        <v>45900</v>
      </c>
      <c r="B5561" t="str">
        <f t="shared" si="268"/>
        <v>August</v>
      </c>
      <c r="C5561" s="46" t="s">
        <v>280</v>
      </c>
      <c r="F5561" s="366" t="s">
        <v>2871</v>
      </c>
      <c r="G5561" s="46" t="s">
        <v>208</v>
      </c>
      <c r="H5561" s="46">
        <v>2</v>
      </c>
      <c r="I5561" s="51">
        <v>189.75</v>
      </c>
      <c r="J5561" s="281">
        <f>++Tabla4[[#This Row],[Precio Bruto]]*1.16</f>
        <v>220.10999999999999</v>
      </c>
      <c r="K5561" s="281">
        <f>+Tabla4[[#This Row],[Precio Unitario Neto]]*Tabla4[[#Headers],[20.85%]]</f>
        <v>45.892934999999994</v>
      </c>
      <c r="L5561" s="282">
        <f>++Tabla4[[#This Row],[Precio Unitario Neto]]-Tabla4[[#This Row],[20.85%]]</f>
        <v>174.21706499999999</v>
      </c>
      <c r="M5561" s="282" t="e">
        <f>(INDEX(Tabla6[#All],MATCH(Tabla4[[#This Row],[Producto]],Tabla6[[#All],[PRODUCTO]],0),MATCH(Tabla4[[#This Row],[Mes]],Tabla6[#Headers],0)))*(1+Catalogos!$L$2)</f>
        <v>#N/A</v>
      </c>
      <c r="N5561" s="283" t="e">
        <f>+(Tabla4[[#This Row],[Precio Descontado]]-Tabla4[[#This Row],[Precio Base]])*Tabla4[[#This Row],[Cantidad]]</f>
        <v>#N/A</v>
      </c>
      <c r="O5561" s="284" t="e">
        <f>++Tabla4[[#This Row],[Utilidad Total]]/Tabla4[[#This Row],[Total]]</f>
        <v>#N/A</v>
      </c>
      <c r="P5561" s="282">
        <f>++Tabla4[[#This Row],[Precio Descontado]]*Tabla4[[#This Row],[Cantidad]]</f>
        <v>348.43412999999998</v>
      </c>
      <c r="Q5561" s="282" t="e">
        <f>(INDEX(Tabla6[#All],MATCH(Tabla4[[#This Row],[Producto]],Tabla6[[#All],[PRODUCTO]],0),MATCH(Tabla4[[#This Row],[Mes]],Tabla6[#Headers],0)))</f>
        <v>#N/A</v>
      </c>
      <c r="R5561" s="282" t="e">
        <f>++Tabla4[[#This Row],[Precio Unitario Neto]]-Tabla4[[#This Row],[20.85%]]-Tabla4[[#This Row],[Costo]]</f>
        <v>#N/A</v>
      </c>
      <c r="S5561" s="282" t="e">
        <f>++Tabla4[[#This Row],[U. Bruta Uni]]*Tabla4[[#This Row],[Cantidad]]</f>
        <v>#N/A</v>
      </c>
      <c r="T5561" s="369" t="str">
        <f>VLOOKUP(Tabla4[[#This Row],[Producto]],Tabla6[#All],14,FALSE)</f>
        <v>Termico Solar</v>
      </c>
      <c r="U5561" s="284" t="e">
        <f>(IF(Tabla4[[#This Row],[Familia]]="termico solar",Tabla4[[#This Row],[Utilidad Total]]*6%,Tabla4[[#This Row],[Utilidad Total]]*11.5%))/Tabla4[[#This Row],[Total]]</f>
        <v>#N/A</v>
      </c>
      <c r="V5561" s="282" t="e">
        <f>+Tabla4[[#This Row],[Comisión Calculada]]*Tabla4[[#This Row],[Total]]</f>
        <v>#N/A</v>
      </c>
    </row>
    <row r="5562" spans="1:22" hidden="1" x14ac:dyDescent="0.25">
      <c r="A5562" s="100">
        <v>45900</v>
      </c>
      <c r="B5562" t="str">
        <f t="shared" si="268"/>
        <v>August</v>
      </c>
      <c r="C5562" s="46" t="s">
        <v>280</v>
      </c>
      <c r="F5562" s="366" t="s">
        <v>2872</v>
      </c>
      <c r="G5562" s="46" t="s">
        <v>208</v>
      </c>
      <c r="H5562" s="46">
        <v>2</v>
      </c>
      <c r="I5562" s="51">
        <v>189.75</v>
      </c>
      <c r="J5562" s="281">
        <f>++Tabla4[[#This Row],[Precio Bruto]]*1.16</f>
        <v>220.10999999999999</v>
      </c>
      <c r="K5562" s="281">
        <f>+Tabla4[[#This Row],[Precio Unitario Neto]]*Tabla4[[#Headers],[20.85%]]</f>
        <v>45.892934999999994</v>
      </c>
      <c r="L5562" s="282">
        <f>++Tabla4[[#This Row],[Precio Unitario Neto]]-Tabla4[[#This Row],[20.85%]]</f>
        <v>174.21706499999999</v>
      </c>
      <c r="M5562" s="282" t="e">
        <f>(INDEX(Tabla6[#All],MATCH(Tabla4[[#This Row],[Producto]],Tabla6[[#All],[PRODUCTO]],0),MATCH(Tabla4[[#This Row],[Mes]],Tabla6[#Headers],0)))*(1+Catalogos!$L$2)</f>
        <v>#N/A</v>
      </c>
      <c r="N5562" s="283" t="e">
        <f>+(Tabla4[[#This Row],[Precio Descontado]]-Tabla4[[#This Row],[Precio Base]])*Tabla4[[#This Row],[Cantidad]]</f>
        <v>#N/A</v>
      </c>
      <c r="O5562" s="284" t="e">
        <f>++Tabla4[[#This Row],[Utilidad Total]]/Tabla4[[#This Row],[Total]]</f>
        <v>#N/A</v>
      </c>
      <c r="P5562" s="282">
        <f>++Tabla4[[#This Row],[Precio Descontado]]*Tabla4[[#This Row],[Cantidad]]</f>
        <v>348.43412999999998</v>
      </c>
      <c r="Q5562" s="282" t="e">
        <f>(INDEX(Tabla6[#All],MATCH(Tabla4[[#This Row],[Producto]],Tabla6[[#All],[PRODUCTO]],0),MATCH(Tabla4[[#This Row],[Mes]],Tabla6[#Headers],0)))</f>
        <v>#N/A</v>
      </c>
      <c r="R5562" s="282" t="e">
        <f>++Tabla4[[#This Row],[Precio Unitario Neto]]-Tabla4[[#This Row],[20.85%]]-Tabla4[[#This Row],[Costo]]</f>
        <v>#N/A</v>
      </c>
      <c r="S5562" s="282" t="e">
        <f>++Tabla4[[#This Row],[U. Bruta Uni]]*Tabla4[[#This Row],[Cantidad]]</f>
        <v>#N/A</v>
      </c>
      <c r="T5562" s="369" t="str">
        <f>VLOOKUP(Tabla4[[#This Row],[Producto]],Tabla6[#All],14,FALSE)</f>
        <v>Termico Solar</v>
      </c>
      <c r="U5562" s="284" t="e">
        <f>(IF(Tabla4[[#This Row],[Familia]]="termico solar",Tabla4[[#This Row],[Utilidad Total]]*6%,Tabla4[[#This Row],[Utilidad Total]]*11.5%))/Tabla4[[#This Row],[Total]]</f>
        <v>#N/A</v>
      </c>
      <c r="V5562" s="282" t="e">
        <f>+Tabla4[[#This Row],[Comisión Calculada]]*Tabla4[[#This Row],[Total]]</f>
        <v>#N/A</v>
      </c>
    </row>
    <row r="5563" spans="1:22" hidden="1" x14ac:dyDescent="0.25">
      <c r="A5563" s="100">
        <v>45900</v>
      </c>
      <c r="B5563" t="str">
        <f t="shared" si="268"/>
        <v>August</v>
      </c>
      <c r="C5563" s="46" t="s">
        <v>280</v>
      </c>
      <c r="F5563" s="366" t="s">
        <v>2873</v>
      </c>
      <c r="G5563" s="46" t="s">
        <v>82</v>
      </c>
      <c r="H5563" s="46">
        <v>1</v>
      </c>
      <c r="I5563" s="51">
        <v>7690</v>
      </c>
      <c r="J5563" s="281">
        <f>++Tabla4[[#This Row],[Precio Bruto]]*1.16</f>
        <v>8920.4</v>
      </c>
      <c r="K5563" s="281">
        <f>+Tabla4[[#This Row],[Precio Unitario Neto]]*Tabla4[[#Headers],[20.85%]]</f>
        <v>1859.9033999999999</v>
      </c>
      <c r="L5563" s="282">
        <f>++Tabla4[[#This Row],[Precio Unitario Neto]]-Tabla4[[#This Row],[20.85%]]</f>
        <v>7060.4965999999995</v>
      </c>
      <c r="M5563" s="282" t="e">
        <f>(INDEX(Tabla6[#All],MATCH(Tabla4[[#This Row],[Producto]],Tabla6[[#All],[PRODUCTO]],0),MATCH(Tabla4[[#This Row],[Mes]],Tabla6[#Headers],0)))*(1+Catalogos!$L$2)</f>
        <v>#N/A</v>
      </c>
      <c r="N5563" s="283" t="e">
        <f>+(Tabla4[[#This Row],[Precio Descontado]]-Tabla4[[#This Row],[Precio Base]])*Tabla4[[#This Row],[Cantidad]]</f>
        <v>#N/A</v>
      </c>
      <c r="O5563" s="284" t="e">
        <f>++Tabla4[[#This Row],[Utilidad Total]]/Tabla4[[#This Row],[Total]]</f>
        <v>#N/A</v>
      </c>
      <c r="P5563" s="282">
        <f>++Tabla4[[#This Row],[Precio Descontado]]*Tabla4[[#This Row],[Cantidad]]</f>
        <v>7060.4965999999995</v>
      </c>
      <c r="Q5563" s="282" t="e">
        <f>(INDEX(Tabla6[#All],MATCH(Tabla4[[#This Row],[Producto]],Tabla6[[#All],[PRODUCTO]],0),MATCH(Tabla4[[#This Row],[Mes]],Tabla6[#Headers],0)))</f>
        <v>#N/A</v>
      </c>
      <c r="R5563" s="282" t="e">
        <f>++Tabla4[[#This Row],[Precio Unitario Neto]]-Tabla4[[#This Row],[20.85%]]-Tabla4[[#This Row],[Costo]]</f>
        <v>#N/A</v>
      </c>
      <c r="S5563" s="282" t="e">
        <f>++Tabla4[[#This Row],[U. Bruta Uni]]*Tabla4[[#This Row],[Cantidad]]</f>
        <v>#N/A</v>
      </c>
      <c r="T5563" s="369" t="str">
        <f>VLOOKUP(Tabla4[[#This Row],[Producto]],Tabla6[#All],14,FALSE)</f>
        <v>Termico Solar</v>
      </c>
      <c r="U5563" s="284" t="e">
        <f>(IF(Tabla4[[#This Row],[Familia]]="termico solar",Tabla4[[#This Row],[Utilidad Total]]*6%,Tabla4[[#This Row],[Utilidad Total]]*11.5%))/Tabla4[[#This Row],[Total]]</f>
        <v>#N/A</v>
      </c>
      <c r="V5563" s="282" t="e">
        <f>+Tabla4[[#This Row],[Comisión Calculada]]*Tabla4[[#This Row],[Total]]</f>
        <v>#N/A</v>
      </c>
    </row>
    <row r="5564" spans="1:22" hidden="1" x14ac:dyDescent="0.25">
      <c r="A5564" s="100">
        <v>45900</v>
      </c>
      <c r="B5564" t="str">
        <f t="shared" si="268"/>
        <v>August</v>
      </c>
      <c r="C5564" s="46" t="s">
        <v>280</v>
      </c>
      <c r="F5564" s="366" t="s">
        <v>2874</v>
      </c>
      <c r="G5564" s="46" t="s">
        <v>82</v>
      </c>
      <c r="H5564" s="46">
        <v>1</v>
      </c>
      <c r="I5564" s="51">
        <v>7690</v>
      </c>
      <c r="J5564" s="281">
        <f>++Tabla4[[#This Row],[Precio Bruto]]*1.16</f>
        <v>8920.4</v>
      </c>
      <c r="K5564" s="281">
        <f>+Tabla4[[#This Row],[Precio Unitario Neto]]*Tabla4[[#Headers],[20.85%]]</f>
        <v>1859.9033999999999</v>
      </c>
      <c r="L5564" s="282">
        <f>++Tabla4[[#This Row],[Precio Unitario Neto]]-Tabla4[[#This Row],[20.85%]]</f>
        <v>7060.4965999999995</v>
      </c>
      <c r="M5564" s="282" t="e">
        <f>(INDEX(Tabla6[#All],MATCH(Tabla4[[#This Row],[Producto]],Tabla6[[#All],[PRODUCTO]],0),MATCH(Tabla4[[#This Row],[Mes]],Tabla6[#Headers],0)))*(1+Catalogos!$L$2)</f>
        <v>#N/A</v>
      </c>
      <c r="N5564" s="283" t="e">
        <f>+(Tabla4[[#This Row],[Precio Descontado]]-Tabla4[[#This Row],[Precio Base]])*Tabla4[[#This Row],[Cantidad]]</f>
        <v>#N/A</v>
      </c>
      <c r="O5564" s="284" t="e">
        <f>++Tabla4[[#This Row],[Utilidad Total]]/Tabla4[[#This Row],[Total]]</f>
        <v>#N/A</v>
      </c>
      <c r="P5564" s="282">
        <f>++Tabla4[[#This Row],[Precio Descontado]]*Tabla4[[#This Row],[Cantidad]]</f>
        <v>7060.4965999999995</v>
      </c>
      <c r="Q5564" s="282" t="e">
        <f>(INDEX(Tabla6[#All],MATCH(Tabla4[[#This Row],[Producto]],Tabla6[[#All],[PRODUCTO]],0),MATCH(Tabla4[[#This Row],[Mes]],Tabla6[#Headers],0)))</f>
        <v>#N/A</v>
      </c>
      <c r="R5564" s="282" t="e">
        <f>++Tabla4[[#This Row],[Precio Unitario Neto]]-Tabla4[[#This Row],[20.85%]]-Tabla4[[#This Row],[Costo]]</f>
        <v>#N/A</v>
      </c>
      <c r="S5564" s="282" t="e">
        <f>++Tabla4[[#This Row],[U. Bruta Uni]]*Tabla4[[#This Row],[Cantidad]]</f>
        <v>#N/A</v>
      </c>
      <c r="T5564" s="369" t="str">
        <f>VLOOKUP(Tabla4[[#This Row],[Producto]],Tabla6[#All],14,FALSE)</f>
        <v>Termico Solar</v>
      </c>
      <c r="U5564" s="284" t="e">
        <f>(IF(Tabla4[[#This Row],[Familia]]="termico solar",Tabla4[[#This Row],[Utilidad Total]]*6%,Tabla4[[#This Row],[Utilidad Total]]*11.5%))/Tabla4[[#This Row],[Total]]</f>
        <v>#N/A</v>
      </c>
      <c r="V5564" s="282" t="e">
        <f>+Tabla4[[#This Row],[Comisión Calculada]]*Tabla4[[#This Row],[Total]]</f>
        <v>#N/A</v>
      </c>
    </row>
    <row r="5565" spans="1:22" hidden="1" x14ac:dyDescent="0.25">
      <c r="A5565" s="100">
        <v>45900</v>
      </c>
      <c r="B5565" t="str">
        <f t="shared" si="268"/>
        <v>August</v>
      </c>
      <c r="C5565" s="46" t="s">
        <v>280</v>
      </c>
      <c r="F5565" s="366" t="s">
        <v>2875</v>
      </c>
      <c r="G5565" s="46" t="s">
        <v>16</v>
      </c>
      <c r="H5565" s="46">
        <v>1</v>
      </c>
      <c r="I5565" s="51">
        <v>4103.8500000000004</v>
      </c>
      <c r="J5565" s="281">
        <f>++Tabla4[[#This Row],[Precio Bruto]]*1.16</f>
        <v>4760.4660000000003</v>
      </c>
      <c r="K5565" s="281">
        <f>+Tabla4[[#This Row],[Precio Unitario Neto]]*Tabla4[[#Headers],[20.85%]]</f>
        <v>992.55716100000006</v>
      </c>
      <c r="L5565" s="282">
        <f>++Tabla4[[#This Row],[Precio Unitario Neto]]-Tabla4[[#This Row],[20.85%]]</f>
        <v>3767.9088390000002</v>
      </c>
      <c r="M5565" s="282" t="e">
        <f>(INDEX(Tabla6[#All],MATCH(Tabla4[[#This Row],[Producto]],Tabla6[[#All],[PRODUCTO]],0),MATCH(Tabla4[[#This Row],[Mes]],Tabla6[#Headers],0)))*(1+Catalogos!$L$2)</f>
        <v>#N/A</v>
      </c>
      <c r="N5565" s="283" t="e">
        <f>+(Tabla4[[#This Row],[Precio Descontado]]-Tabla4[[#This Row],[Precio Base]])*Tabla4[[#This Row],[Cantidad]]</f>
        <v>#N/A</v>
      </c>
      <c r="O5565" s="284" t="e">
        <f>++Tabla4[[#This Row],[Utilidad Total]]/Tabla4[[#This Row],[Total]]</f>
        <v>#N/A</v>
      </c>
      <c r="P5565" s="282">
        <f>++Tabla4[[#This Row],[Precio Descontado]]*Tabla4[[#This Row],[Cantidad]]</f>
        <v>3767.9088390000002</v>
      </c>
      <c r="Q5565" s="282" t="e">
        <f>(INDEX(Tabla6[#All],MATCH(Tabla4[[#This Row],[Producto]],Tabla6[[#All],[PRODUCTO]],0),MATCH(Tabla4[[#This Row],[Mes]],Tabla6[#Headers],0)))</f>
        <v>#N/A</v>
      </c>
      <c r="R5565" s="282" t="e">
        <f>++Tabla4[[#This Row],[Precio Unitario Neto]]-Tabla4[[#This Row],[20.85%]]-Tabla4[[#This Row],[Costo]]</f>
        <v>#N/A</v>
      </c>
      <c r="S5565" s="282" t="e">
        <f>++Tabla4[[#This Row],[U. Bruta Uni]]*Tabla4[[#This Row],[Cantidad]]</f>
        <v>#N/A</v>
      </c>
      <c r="T5565" s="369" t="str">
        <f>VLOOKUP(Tabla4[[#This Row],[Producto]],Tabla6[#All],14,FALSE)</f>
        <v>Termico Solar</v>
      </c>
      <c r="U5565" s="284" t="e">
        <f>(IF(Tabla4[[#This Row],[Familia]]="termico solar",Tabla4[[#This Row],[Utilidad Total]]*6%,Tabla4[[#This Row],[Utilidad Total]]*11.5%))/Tabla4[[#This Row],[Total]]</f>
        <v>#N/A</v>
      </c>
      <c r="V5565" s="282" t="e">
        <f>+Tabla4[[#This Row],[Comisión Calculada]]*Tabla4[[#This Row],[Total]]</f>
        <v>#N/A</v>
      </c>
    </row>
    <row r="5566" spans="1:22" hidden="1" x14ac:dyDescent="0.25">
      <c r="A5566" s="100">
        <v>45900</v>
      </c>
      <c r="B5566" t="str">
        <f t="shared" si="268"/>
        <v>August</v>
      </c>
      <c r="C5566" s="46" t="s">
        <v>280</v>
      </c>
      <c r="F5566" s="366" t="s">
        <v>2876</v>
      </c>
      <c r="G5566" s="46" t="s">
        <v>83</v>
      </c>
      <c r="H5566" s="46">
        <v>1</v>
      </c>
      <c r="I5566" s="51">
        <v>8858.76</v>
      </c>
      <c r="J5566" s="281">
        <f>++Tabla4[[#This Row],[Precio Bruto]]*1.16</f>
        <v>10276.161599999999</v>
      </c>
      <c r="K5566" s="281">
        <f>+Tabla4[[#This Row],[Precio Unitario Neto]]*Tabla4[[#Headers],[20.85%]]</f>
        <v>2142.5796935999997</v>
      </c>
      <c r="L5566" s="282">
        <f>++Tabla4[[#This Row],[Precio Unitario Neto]]-Tabla4[[#This Row],[20.85%]]</f>
        <v>8133.5819063999998</v>
      </c>
      <c r="M5566" s="282" t="e">
        <f>(INDEX(Tabla6[#All],MATCH(Tabla4[[#This Row],[Producto]],Tabla6[[#All],[PRODUCTO]],0),MATCH(Tabla4[[#This Row],[Mes]],Tabla6[#Headers],0)))*(1+Catalogos!$L$2)</f>
        <v>#N/A</v>
      </c>
      <c r="N5566" s="283" t="e">
        <f>+(Tabla4[[#This Row],[Precio Descontado]]-Tabla4[[#This Row],[Precio Base]])*Tabla4[[#This Row],[Cantidad]]</f>
        <v>#N/A</v>
      </c>
      <c r="O5566" s="284" t="e">
        <f>++Tabla4[[#This Row],[Utilidad Total]]/Tabla4[[#This Row],[Total]]</f>
        <v>#N/A</v>
      </c>
      <c r="P5566" s="282">
        <f>++Tabla4[[#This Row],[Precio Descontado]]*Tabla4[[#This Row],[Cantidad]]</f>
        <v>8133.5819063999998</v>
      </c>
      <c r="Q5566" s="282" t="e">
        <f>(INDEX(Tabla6[#All],MATCH(Tabla4[[#This Row],[Producto]],Tabla6[[#All],[PRODUCTO]],0),MATCH(Tabla4[[#This Row],[Mes]],Tabla6[#Headers],0)))</f>
        <v>#N/A</v>
      </c>
      <c r="R5566" s="282" t="e">
        <f>++Tabla4[[#This Row],[Precio Unitario Neto]]-Tabla4[[#This Row],[20.85%]]-Tabla4[[#This Row],[Costo]]</f>
        <v>#N/A</v>
      </c>
      <c r="S5566" s="282" t="e">
        <f>++Tabla4[[#This Row],[U. Bruta Uni]]*Tabla4[[#This Row],[Cantidad]]</f>
        <v>#N/A</v>
      </c>
      <c r="T5566" s="369" t="str">
        <f>VLOOKUP(Tabla4[[#This Row],[Producto]],Tabla6[#All],14,FALSE)</f>
        <v>Termico Solar</v>
      </c>
      <c r="U5566" s="284" t="e">
        <f>(IF(Tabla4[[#This Row],[Familia]]="termico solar",Tabla4[[#This Row],[Utilidad Total]]*6%,Tabla4[[#This Row],[Utilidad Total]]*11.5%))/Tabla4[[#This Row],[Total]]</f>
        <v>#N/A</v>
      </c>
      <c r="V5566" s="282" t="e">
        <f>+Tabla4[[#This Row],[Comisión Calculada]]*Tabla4[[#This Row],[Total]]</f>
        <v>#N/A</v>
      </c>
    </row>
    <row r="5567" spans="1:22" hidden="1" x14ac:dyDescent="0.25">
      <c r="A5567" s="100">
        <v>45900</v>
      </c>
      <c r="B5567" t="str">
        <f t="shared" si="268"/>
        <v>August</v>
      </c>
      <c r="C5567" s="46" t="s">
        <v>280</v>
      </c>
      <c r="F5567" s="366" t="s">
        <v>2877</v>
      </c>
      <c r="G5567" s="46" t="s">
        <v>18</v>
      </c>
      <c r="H5567" s="46">
        <v>1</v>
      </c>
      <c r="I5567" s="51">
        <v>5367.65</v>
      </c>
      <c r="J5567" s="281">
        <f>++Tabla4[[#This Row],[Precio Bruto]]*1.16</f>
        <v>6226.4739999999993</v>
      </c>
      <c r="K5567" s="281">
        <f>+Tabla4[[#This Row],[Precio Unitario Neto]]*Tabla4[[#Headers],[20.85%]]</f>
        <v>1298.2198289999999</v>
      </c>
      <c r="L5567" s="282">
        <f>++Tabla4[[#This Row],[Precio Unitario Neto]]-Tabla4[[#This Row],[20.85%]]</f>
        <v>4928.2541709999996</v>
      </c>
      <c r="M5567" s="282" t="e">
        <f>(INDEX(Tabla6[#All],MATCH(Tabla4[[#This Row],[Producto]],Tabla6[[#All],[PRODUCTO]],0),MATCH(Tabla4[[#This Row],[Mes]],Tabla6[#Headers],0)))*(1+Catalogos!$L$2)</f>
        <v>#N/A</v>
      </c>
      <c r="N5567" s="283" t="e">
        <f>+(Tabla4[[#This Row],[Precio Descontado]]-Tabla4[[#This Row],[Precio Base]])*Tabla4[[#This Row],[Cantidad]]</f>
        <v>#N/A</v>
      </c>
      <c r="O5567" s="284" t="e">
        <f>++Tabla4[[#This Row],[Utilidad Total]]/Tabla4[[#This Row],[Total]]</f>
        <v>#N/A</v>
      </c>
      <c r="P5567" s="282">
        <f>++Tabla4[[#This Row],[Precio Descontado]]*Tabla4[[#This Row],[Cantidad]]</f>
        <v>4928.2541709999996</v>
      </c>
      <c r="Q5567" s="282" t="e">
        <f>(INDEX(Tabla6[#All],MATCH(Tabla4[[#This Row],[Producto]],Tabla6[[#All],[PRODUCTO]],0),MATCH(Tabla4[[#This Row],[Mes]],Tabla6[#Headers],0)))</f>
        <v>#N/A</v>
      </c>
      <c r="R5567" s="282" t="e">
        <f>++Tabla4[[#This Row],[Precio Unitario Neto]]-Tabla4[[#This Row],[20.85%]]-Tabla4[[#This Row],[Costo]]</f>
        <v>#N/A</v>
      </c>
      <c r="S5567" s="282" t="e">
        <f>++Tabla4[[#This Row],[U. Bruta Uni]]*Tabla4[[#This Row],[Cantidad]]</f>
        <v>#N/A</v>
      </c>
      <c r="T5567" s="369" t="str">
        <f>VLOOKUP(Tabla4[[#This Row],[Producto]],Tabla6[#All],14,FALSE)</f>
        <v>Termico Solar</v>
      </c>
      <c r="U5567" s="284" t="e">
        <f>(IF(Tabla4[[#This Row],[Familia]]="termico solar",Tabla4[[#This Row],[Utilidad Total]]*6%,Tabla4[[#This Row],[Utilidad Total]]*11.5%))/Tabla4[[#This Row],[Total]]</f>
        <v>#N/A</v>
      </c>
      <c r="V5567" s="282" t="e">
        <f>+Tabla4[[#This Row],[Comisión Calculada]]*Tabla4[[#This Row],[Total]]</f>
        <v>#N/A</v>
      </c>
    </row>
    <row r="5568" spans="1:22" hidden="1" x14ac:dyDescent="0.25">
      <c r="A5568" s="100">
        <v>45900</v>
      </c>
      <c r="B5568" t="str">
        <f t="shared" si="268"/>
        <v>August</v>
      </c>
      <c r="C5568" s="46" t="s">
        <v>280</v>
      </c>
      <c r="F5568" s="366" t="s">
        <v>2877</v>
      </c>
      <c r="G5568" s="46" t="s">
        <v>566</v>
      </c>
      <c r="H5568" s="46">
        <v>1</v>
      </c>
      <c r="I5568" s="51">
        <v>2109.4499999999998</v>
      </c>
      <c r="J5568" s="281">
        <f>++Tabla4[[#This Row],[Precio Bruto]]*1.16</f>
        <v>2446.9619999999995</v>
      </c>
      <c r="K5568" s="281">
        <f>+Tabla4[[#This Row],[Precio Unitario Neto]]*Tabla4[[#Headers],[20.85%]]</f>
        <v>510.19157699999988</v>
      </c>
      <c r="L5568" s="282">
        <f>++Tabla4[[#This Row],[Precio Unitario Neto]]-Tabla4[[#This Row],[20.85%]]</f>
        <v>1936.7704229999997</v>
      </c>
      <c r="M5568" s="282" t="e">
        <f>(INDEX(Tabla6[#All],MATCH(Tabla4[[#This Row],[Producto]],Tabla6[[#All],[PRODUCTO]],0),MATCH(Tabla4[[#This Row],[Mes]],Tabla6[#Headers],0)))*(1+Catalogos!$L$2)</f>
        <v>#N/A</v>
      </c>
      <c r="N5568" s="283" t="e">
        <f>+(Tabla4[[#This Row],[Precio Descontado]]-Tabla4[[#This Row],[Precio Base]])*Tabla4[[#This Row],[Cantidad]]</f>
        <v>#N/A</v>
      </c>
      <c r="O5568" s="284" t="e">
        <f>++Tabla4[[#This Row],[Utilidad Total]]/Tabla4[[#This Row],[Total]]</f>
        <v>#N/A</v>
      </c>
      <c r="P5568" s="282">
        <f>++Tabla4[[#This Row],[Precio Descontado]]*Tabla4[[#This Row],[Cantidad]]</f>
        <v>1936.7704229999997</v>
      </c>
      <c r="Q5568" s="282" t="e">
        <f>(INDEX(Tabla6[#All],MATCH(Tabla4[[#This Row],[Producto]],Tabla6[[#All],[PRODUCTO]],0),MATCH(Tabla4[[#This Row],[Mes]],Tabla6[#Headers],0)))</f>
        <v>#N/A</v>
      </c>
      <c r="R5568" s="282" t="e">
        <f>++Tabla4[[#This Row],[Precio Unitario Neto]]-Tabla4[[#This Row],[20.85%]]-Tabla4[[#This Row],[Costo]]</f>
        <v>#N/A</v>
      </c>
      <c r="S5568" s="282" t="e">
        <f>++Tabla4[[#This Row],[U. Bruta Uni]]*Tabla4[[#This Row],[Cantidad]]</f>
        <v>#N/A</v>
      </c>
      <c r="T5568" s="369" t="str">
        <f>VLOOKUP(Tabla4[[#This Row],[Producto]],Tabla6[#All],14,FALSE)</f>
        <v>Termico Solar</v>
      </c>
      <c r="U5568" s="284" t="e">
        <f>(IF(Tabla4[[#This Row],[Familia]]="termico solar",Tabla4[[#This Row],[Utilidad Total]]*6%,Tabla4[[#This Row],[Utilidad Total]]*11.5%))/Tabla4[[#This Row],[Total]]</f>
        <v>#N/A</v>
      </c>
      <c r="V5568" s="282" t="e">
        <f>+Tabla4[[#This Row],[Comisión Calculada]]*Tabla4[[#This Row],[Total]]</f>
        <v>#N/A</v>
      </c>
    </row>
    <row r="5569" spans="1:22" hidden="1" x14ac:dyDescent="0.25">
      <c r="A5569" s="100">
        <v>45900</v>
      </c>
      <c r="B5569" t="str">
        <f t="shared" si="268"/>
        <v>August</v>
      </c>
      <c r="C5569" s="46" t="s">
        <v>280</v>
      </c>
      <c r="F5569" s="366" t="s">
        <v>2878</v>
      </c>
      <c r="G5569" s="46" t="s">
        <v>16</v>
      </c>
      <c r="H5569" s="46">
        <v>1</v>
      </c>
      <c r="I5569" s="51">
        <v>4103.8500000000004</v>
      </c>
      <c r="J5569" s="281">
        <f>++Tabla4[[#This Row],[Precio Bruto]]*1.16</f>
        <v>4760.4660000000003</v>
      </c>
      <c r="K5569" s="281">
        <f>+Tabla4[[#This Row],[Precio Unitario Neto]]*Tabla4[[#Headers],[20.85%]]</f>
        <v>992.55716100000006</v>
      </c>
      <c r="L5569" s="282">
        <f>++Tabla4[[#This Row],[Precio Unitario Neto]]-Tabla4[[#This Row],[20.85%]]</f>
        <v>3767.9088390000002</v>
      </c>
      <c r="M5569" s="282" t="e">
        <f>(INDEX(Tabla6[#All],MATCH(Tabla4[[#This Row],[Producto]],Tabla6[[#All],[PRODUCTO]],0),MATCH(Tabla4[[#This Row],[Mes]],Tabla6[#Headers],0)))*(1+Catalogos!$L$2)</f>
        <v>#N/A</v>
      </c>
      <c r="N5569" s="283" t="e">
        <f>+(Tabla4[[#This Row],[Precio Descontado]]-Tabla4[[#This Row],[Precio Base]])*Tabla4[[#This Row],[Cantidad]]</f>
        <v>#N/A</v>
      </c>
      <c r="O5569" s="284" t="e">
        <f>++Tabla4[[#This Row],[Utilidad Total]]/Tabla4[[#This Row],[Total]]</f>
        <v>#N/A</v>
      </c>
      <c r="P5569" s="282">
        <f>++Tabla4[[#This Row],[Precio Descontado]]*Tabla4[[#This Row],[Cantidad]]</f>
        <v>3767.9088390000002</v>
      </c>
      <c r="Q5569" s="282" t="e">
        <f>(INDEX(Tabla6[#All],MATCH(Tabla4[[#This Row],[Producto]],Tabla6[[#All],[PRODUCTO]],0),MATCH(Tabla4[[#This Row],[Mes]],Tabla6[#Headers],0)))</f>
        <v>#N/A</v>
      </c>
      <c r="R5569" s="282" t="e">
        <f>++Tabla4[[#This Row],[Precio Unitario Neto]]-Tabla4[[#This Row],[20.85%]]-Tabla4[[#This Row],[Costo]]</f>
        <v>#N/A</v>
      </c>
      <c r="S5569" s="282" t="e">
        <f>++Tabla4[[#This Row],[U. Bruta Uni]]*Tabla4[[#This Row],[Cantidad]]</f>
        <v>#N/A</v>
      </c>
      <c r="T5569" s="369" t="str">
        <f>VLOOKUP(Tabla4[[#This Row],[Producto]],Tabla6[#All],14,FALSE)</f>
        <v>Termico Solar</v>
      </c>
      <c r="U5569" s="284" t="e">
        <f>(IF(Tabla4[[#This Row],[Familia]]="termico solar",Tabla4[[#This Row],[Utilidad Total]]*6%,Tabla4[[#This Row],[Utilidad Total]]*11.5%))/Tabla4[[#This Row],[Total]]</f>
        <v>#N/A</v>
      </c>
      <c r="V5569" s="282" t="e">
        <f>+Tabla4[[#This Row],[Comisión Calculada]]*Tabla4[[#This Row],[Total]]</f>
        <v>#N/A</v>
      </c>
    </row>
    <row r="5570" spans="1:22" hidden="1" x14ac:dyDescent="0.25">
      <c r="A5570" s="100">
        <v>45900</v>
      </c>
      <c r="B5570" t="str">
        <f t="shared" si="268"/>
        <v>August</v>
      </c>
      <c r="C5570" s="46" t="s">
        <v>280</v>
      </c>
      <c r="F5570" s="366" t="s">
        <v>2879</v>
      </c>
      <c r="G5570" s="46" t="s">
        <v>17</v>
      </c>
      <c r="H5570" s="46">
        <v>2</v>
      </c>
      <c r="I5570" s="51">
        <v>4622.28</v>
      </c>
      <c r="J5570" s="281">
        <f>++Tabla4[[#This Row],[Precio Bruto]]*1.16</f>
        <v>5361.8447999999989</v>
      </c>
      <c r="K5570" s="281">
        <f>+Tabla4[[#This Row],[Precio Unitario Neto]]*Tabla4[[#Headers],[20.85%]]</f>
        <v>1117.9446407999997</v>
      </c>
      <c r="L5570" s="282">
        <f>++Tabla4[[#This Row],[Precio Unitario Neto]]-Tabla4[[#This Row],[20.85%]]</f>
        <v>4243.9001591999995</v>
      </c>
      <c r="M5570" s="282" t="e">
        <f>(INDEX(Tabla6[#All],MATCH(Tabla4[[#This Row],[Producto]],Tabla6[[#All],[PRODUCTO]],0),MATCH(Tabla4[[#This Row],[Mes]],Tabla6[#Headers],0)))*(1+Catalogos!$L$2)</f>
        <v>#N/A</v>
      </c>
      <c r="N5570" s="283" t="e">
        <f>+(Tabla4[[#This Row],[Precio Descontado]]-Tabla4[[#This Row],[Precio Base]])*Tabla4[[#This Row],[Cantidad]]</f>
        <v>#N/A</v>
      </c>
      <c r="O5570" s="284" t="e">
        <f>++Tabla4[[#This Row],[Utilidad Total]]/Tabla4[[#This Row],[Total]]</f>
        <v>#N/A</v>
      </c>
      <c r="P5570" s="282">
        <f>++Tabla4[[#This Row],[Precio Descontado]]*Tabla4[[#This Row],[Cantidad]]</f>
        <v>8487.800318399999</v>
      </c>
      <c r="Q5570" s="282" t="e">
        <f>(INDEX(Tabla6[#All],MATCH(Tabla4[[#This Row],[Producto]],Tabla6[[#All],[PRODUCTO]],0),MATCH(Tabla4[[#This Row],[Mes]],Tabla6[#Headers],0)))</f>
        <v>#N/A</v>
      </c>
      <c r="R5570" s="282" t="e">
        <f>++Tabla4[[#This Row],[Precio Unitario Neto]]-Tabla4[[#This Row],[20.85%]]-Tabla4[[#This Row],[Costo]]</f>
        <v>#N/A</v>
      </c>
      <c r="S5570" s="282" t="e">
        <f>++Tabla4[[#This Row],[U. Bruta Uni]]*Tabla4[[#This Row],[Cantidad]]</f>
        <v>#N/A</v>
      </c>
      <c r="T5570" s="369" t="str">
        <f>VLOOKUP(Tabla4[[#This Row],[Producto]],Tabla6[#All],14,FALSE)</f>
        <v>Termico Solar</v>
      </c>
      <c r="U5570" s="284" t="e">
        <f>(IF(Tabla4[[#This Row],[Familia]]="termico solar",Tabla4[[#This Row],[Utilidad Total]]*6%,Tabla4[[#This Row],[Utilidad Total]]*11.5%))/Tabla4[[#This Row],[Total]]</f>
        <v>#N/A</v>
      </c>
      <c r="V5570" s="282" t="e">
        <f>+Tabla4[[#This Row],[Comisión Calculada]]*Tabla4[[#This Row],[Total]]</f>
        <v>#N/A</v>
      </c>
    </row>
    <row r="5571" spans="1:22" hidden="1" x14ac:dyDescent="0.25">
      <c r="A5571" s="100">
        <v>45900</v>
      </c>
      <c r="B5571" t="str">
        <f t="shared" ref="B5571:B5594" si="269">TEXT(A5571, "mmmm")</f>
        <v>August</v>
      </c>
      <c r="C5571" s="46" t="s">
        <v>280</v>
      </c>
      <c r="F5571" s="366" t="s">
        <v>2879</v>
      </c>
      <c r="G5571" s="46" t="s">
        <v>18</v>
      </c>
      <c r="H5571" s="46">
        <v>1</v>
      </c>
      <c r="I5571" s="51">
        <v>5367.65</v>
      </c>
      <c r="J5571" s="281">
        <f>++Tabla4[[#This Row],[Precio Bruto]]*1.16</f>
        <v>6226.4739999999993</v>
      </c>
      <c r="K5571" s="281">
        <f>+Tabla4[[#This Row],[Precio Unitario Neto]]*Tabla4[[#Headers],[20.85%]]</f>
        <v>1298.2198289999999</v>
      </c>
      <c r="L5571" s="282">
        <f>++Tabla4[[#This Row],[Precio Unitario Neto]]-Tabla4[[#This Row],[20.85%]]</f>
        <v>4928.2541709999996</v>
      </c>
      <c r="M5571" s="282" t="e">
        <f>(INDEX(Tabla6[#All],MATCH(Tabla4[[#This Row],[Producto]],Tabla6[[#All],[PRODUCTO]],0),MATCH(Tabla4[[#This Row],[Mes]],Tabla6[#Headers],0)))*(1+Catalogos!$L$2)</f>
        <v>#N/A</v>
      </c>
      <c r="N5571" s="283" t="e">
        <f>+(Tabla4[[#This Row],[Precio Descontado]]-Tabla4[[#This Row],[Precio Base]])*Tabla4[[#This Row],[Cantidad]]</f>
        <v>#N/A</v>
      </c>
      <c r="O5571" s="284" t="e">
        <f>++Tabla4[[#This Row],[Utilidad Total]]/Tabla4[[#This Row],[Total]]</f>
        <v>#N/A</v>
      </c>
      <c r="P5571" s="282">
        <f>++Tabla4[[#This Row],[Precio Descontado]]*Tabla4[[#This Row],[Cantidad]]</f>
        <v>4928.2541709999996</v>
      </c>
      <c r="Q5571" s="282" t="e">
        <f>(INDEX(Tabla6[#All],MATCH(Tabla4[[#This Row],[Producto]],Tabla6[[#All],[PRODUCTO]],0),MATCH(Tabla4[[#This Row],[Mes]],Tabla6[#Headers],0)))</f>
        <v>#N/A</v>
      </c>
      <c r="R5571" s="282" t="e">
        <f>++Tabla4[[#This Row],[Precio Unitario Neto]]-Tabla4[[#This Row],[20.85%]]-Tabla4[[#This Row],[Costo]]</f>
        <v>#N/A</v>
      </c>
      <c r="S5571" s="282" t="e">
        <f>++Tabla4[[#This Row],[U. Bruta Uni]]*Tabla4[[#This Row],[Cantidad]]</f>
        <v>#N/A</v>
      </c>
      <c r="T5571" s="369" t="str">
        <f>VLOOKUP(Tabla4[[#This Row],[Producto]],Tabla6[#All],14,FALSE)</f>
        <v>Termico Solar</v>
      </c>
      <c r="U5571" s="284" t="e">
        <f>(IF(Tabla4[[#This Row],[Familia]]="termico solar",Tabla4[[#This Row],[Utilidad Total]]*6%,Tabla4[[#This Row],[Utilidad Total]]*11.5%))/Tabla4[[#This Row],[Total]]</f>
        <v>#N/A</v>
      </c>
      <c r="V5571" s="282" t="e">
        <f>+Tabla4[[#This Row],[Comisión Calculada]]*Tabla4[[#This Row],[Total]]</f>
        <v>#N/A</v>
      </c>
    </row>
    <row r="5572" spans="1:22" hidden="1" x14ac:dyDescent="0.25">
      <c r="A5572" s="100">
        <v>45900</v>
      </c>
      <c r="B5572" t="str">
        <f t="shared" si="269"/>
        <v>August</v>
      </c>
      <c r="C5572" s="46" t="s">
        <v>280</v>
      </c>
      <c r="F5572" s="366" t="s">
        <v>2879</v>
      </c>
      <c r="G5572" s="46" t="s">
        <v>208</v>
      </c>
      <c r="H5572" s="46">
        <v>1</v>
      </c>
      <c r="I5572" s="51">
        <v>189.75</v>
      </c>
      <c r="J5572" s="281">
        <f>++Tabla4[[#This Row],[Precio Bruto]]*1.16</f>
        <v>220.10999999999999</v>
      </c>
      <c r="K5572" s="281">
        <f>+Tabla4[[#This Row],[Precio Unitario Neto]]*Tabla4[[#Headers],[20.85%]]</f>
        <v>45.892934999999994</v>
      </c>
      <c r="L5572" s="282">
        <f>++Tabla4[[#This Row],[Precio Unitario Neto]]-Tabla4[[#This Row],[20.85%]]</f>
        <v>174.21706499999999</v>
      </c>
      <c r="M5572" s="282" t="e">
        <f>(INDEX(Tabla6[#All],MATCH(Tabla4[[#This Row],[Producto]],Tabla6[[#All],[PRODUCTO]],0),MATCH(Tabla4[[#This Row],[Mes]],Tabla6[#Headers],0)))*(1+Catalogos!$L$2)</f>
        <v>#N/A</v>
      </c>
      <c r="N5572" s="283" t="e">
        <f>+(Tabla4[[#This Row],[Precio Descontado]]-Tabla4[[#This Row],[Precio Base]])*Tabla4[[#This Row],[Cantidad]]</f>
        <v>#N/A</v>
      </c>
      <c r="O5572" s="284" t="e">
        <f>++Tabla4[[#This Row],[Utilidad Total]]/Tabla4[[#This Row],[Total]]</f>
        <v>#N/A</v>
      </c>
      <c r="P5572" s="282">
        <f>++Tabla4[[#This Row],[Precio Descontado]]*Tabla4[[#This Row],[Cantidad]]</f>
        <v>174.21706499999999</v>
      </c>
      <c r="Q5572" s="282" t="e">
        <f>(INDEX(Tabla6[#All],MATCH(Tabla4[[#This Row],[Producto]],Tabla6[[#All],[PRODUCTO]],0),MATCH(Tabla4[[#This Row],[Mes]],Tabla6[#Headers],0)))</f>
        <v>#N/A</v>
      </c>
      <c r="R5572" s="282" t="e">
        <f>++Tabla4[[#This Row],[Precio Unitario Neto]]-Tabla4[[#This Row],[20.85%]]-Tabla4[[#This Row],[Costo]]</f>
        <v>#N/A</v>
      </c>
      <c r="S5572" s="282" t="e">
        <f>++Tabla4[[#This Row],[U. Bruta Uni]]*Tabla4[[#This Row],[Cantidad]]</f>
        <v>#N/A</v>
      </c>
      <c r="T5572" s="369" t="str">
        <f>VLOOKUP(Tabla4[[#This Row],[Producto]],Tabla6[#All],14,FALSE)</f>
        <v>Termico Solar</v>
      </c>
      <c r="U5572" s="284" t="e">
        <f>(IF(Tabla4[[#This Row],[Familia]]="termico solar",Tabla4[[#This Row],[Utilidad Total]]*6%,Tabla4[[#This Row],[Utilidad Total]]*11.5%))/Tabla4[[#This Row],[Total]]</f>
        <v>#N/A</v>
      </c>
      <c r="V5572" s="282" t="e">
        <f>+Tabla4[[#This Row],[Comisión Calculada]]*Tabla4[[#This Row],[Total]]</f>
        <v>#N/A</v>
      </c>
    </row>
    <row r="5573" spans="1:22" hidden="1" x14ac:dyDescent="0.25">
      <c r="A5573" s="100">
        <v>45900</v>
      </c>
      <c r="B5573" t="str">
        <f t="shared" si="269"/>
        <v>August</v>
      </c>
      <c r="C5573" s="46" t="s">
        <v>280</v>
      </c>
      <c r="F5573" s="366" t="s">
        <v>2880</v>
      </c>
      <c r="G5573" s="46" t="s">
        <v>17</v>
      </c>
      <c r="H5573" s="46">
        <v>2</v>
      </c>
      <c r="I5573" s="51">
        <v>4622.28</v>
      </c>
      <c r="J5573" s="281">
        <f>++Tabla4[[#This Row],[Precio Bruto]]*1.16</f>
        <v>5361.8447999999989</v>
      </c>
      <c r="K5573" s="281">
        <f>+Tabla4[[#This Row],[Precio Unitario Neto]]*Tabla4[[#Headers],[20.85%]]</f>
        <v>1117.9446407999997</v>
      </c>
      <c r="L5573" s="282">
        <f>++Tabla4[[#This Row],[Precio Unitario Neto]]-Tabla4[[#This Row],[20.85%]]</f>
        <v>4243.9001591999995</v>
      </c>
      <c r="M5573" s="282" t="e">
        <f>(INDEX(Tabla6[#All],MATCH(Tabla4[[#This Row],[Producto]],Tabla6[[#All],[PRODUCTO]],0),MATCH(Tabla4[[#This Row],[Mes]],Tabla6[#Headers],0)))*(1+Catalogos!$L$2)</f>
        <v>#N/A</v>
      </c>
      <c r="N5573" s="283" t="e">
        <f>+(Tabla4[[#This Row],[Precio Descontado]]-Tabla4[[#This Row],[Precio Base]])*Tabla4[[#This Row],[Cantidad]]</f>
        <v>#N/A</v>
      </c>
      <c r="O5573" s="284" t="e">
        <f>++Tabla4[[#This Row],[Utilidad Total]]/Tabla4[[#This Row],[Total]]</f>
        <v>#N/A</v>
      </c>
      <c r="P5573" s="282">
        <f>++Tabla4[[#This Row],[Precio Descontado]]*Tabla4[[#This Row],[Cantidad]]</f>
        <v>8487.800318399999</v>
      </c>
      <c r="Q5573" s="282" t="e">
        <f>(INDEX(Tabla6[#All],MATCH(Tabla4[[#This Row],[Producto]],Tabla6[[#All],[PRODUCTO]],0),MATCH(Tabla4[[#This Row],[Mes]],Tabla6[#Headers],0)))</f>
        <v>#N/A</v>
      </c>
      <c r="R5573" s="282" t="e">
        <f>++Tabla4[[#This Row],[Precio Unitario Neto]]-Tabla4[[#This Row],[20.85%]]-Tabla4[[#This Row],[Costo]]</f>
        <v>#N/A</v>
      </c>
      <c r="S5573" s="282" t="e">
        <f>++Tabla4[[#This Row],[U. Bruta Uni]]*Tabla4[[#This Row],[Cantidad]]</f>
        <v>#N/A</v>
      </c>
      <c r="T5573" s="369" t="str">
        <f>VLOOKUP(Tabla4[[#This Row],[Producto]],Tabla6[#All],14,FALSE)</f>
        <v>Termico Solar</v>
      </c>
      <c r="U5573" s="284" t="e">
        <f>(IF(Tabla4[[#This Row],[Familia]]="termico solar",Tabla4[[#This Row],[Utilidad Total]]*6%,Tabla4[[#This Row],[Utilidad Total]]*11.5%))/Tabla4[[#This Row],[Total]]</f>
        <v>#N/A</v>
      </c>
      <c r="V5573" s="282" t="e">
        <f>+Tabla4[[#This Row],[Comisión Calculada]]*Tabla4[[#This Row],[Total]]</f>
        <v>#N/A</v>
      </c>
    </row>
    <row r="5574" spans="1:22" hidden="1" x14ac:dyDescent="0.25">
      <c r="A5574" s="100">
        <v>45900</v>
      </c>
      <c r="B5574" t="str">
        <f t="shared" si="269"/>
        <v>August</v>
      </c>
      <c r="C5574" s="46" t="s">
        <v>280</v>
      </c>
      <c r="F5574" s="366" t="s">
        <v>2880</v>
      </c>
      <c r="G5574" s="46" t="s">
        <v>566</v>
      </c>
      <c r="H5574" s="46">
        <v>2</v>
      </c>
      <c r="I5574" s="51">
        <v>2109.4499999999998</v>
      </c>
      <c r="J5574" s="281">
        <f>++Tabla4[[#This Row],[Precio Bruto]]*1.16</f>
        <v>2446.9619999999995</v>
      </c>
      <c r="K5574" s="281">
        <f>+Tabla4[[#This Row],[Precio Unitario Neto]]*Tabla4[[#Headers],[20.85%]]</f>
        <v>510.19157699999988</v>
      </c>
      <c r="L5574" s="282">
        <f>++Tabla4[[#This Row],[Precio Unitario Neto]]-Tabla4[[#This Row],[20.85%]]</f>
        <v>1936.7704229999997</v>
      </c>
      <c r="M5574" s="282" t="e">
        <f>(INDEX(Tabla6[#All],MATCH(Tabla4[[#This Row],[Producto]],Tabla6[[#All],[PRODUCTO]],0),MATCH(Tabla4[[#This Row],[Mes]],Tabla6[#Headers],0)))*(1+Catalogos!$L$2)</f>
        <v>#N/A</v>
      </c>
      <c r="N5574" s="283" t="e">
        <f>+(Tabla4[[#This Row],[Precio Descontado]]-Tabla4[[#This Row],[Precio Base]])*Tabla4[[#This Row],[Cantidad]]</f>
        <v>#N/A</v>
      </c>
      <c r="O5574" s="284" t="e">
        <f>++Tabla4[[#This Row],[Utilidad Total]]/Tabla4[[#This Row],[Total]]</f>
        <v>#N/A</v>
      </c>
      <c r="P5574" s="282">
        <f>++Tabla4[[#This Row],[Precio Descontado]]*Tabla4[[#This Row],[Cantidad]]</f>
        <v>3873.5408459999994</v>
      </c>
      <c r="Q5574" s="282" t="e">
        <f>(INDEX(Tabla6[#All],MATCH(Tabla4[[#This Row],[Producto]],Tabla6[[#All],[PRODUCTO]],0),MATCH(Tabla4[[#This Row],[Mes]],Tabla6[#Headers],0)))</f>
        <v>#N/A</v>
      </c>
      <c r="R5574" s="282" t="e">
        <f>++Tabla4[[#This Row],[Precio Unitario Neto]]-Tabla4[[#This Row],[20.85%]]-Tabla4[[#This Row],[Costo]]</f>
        <v>#N/A</v>
      </c>
      <c r="S5574" s="282" t="e">
        <f>++Tabla4[[#This Row],[U. Bruta Uni]]*Tabla4[[#This Row],[Cantidad]]</f>
        <v>#N/A</v>
      </c>
      <c r="T5574" s="369" t="str">
        <f>VLOOKUP(Tabla4[[#This Row],[Producto]],Tabla6[#All],14,FALSE)</f>
        <v>Termico Solar</v>
      </c>
      <c r="U5574" s="284" t="e">
        <f>(IF(Tabla4[[#This Row],[Familia]]="termico solar",Tabla4[[#This Row],[Utilidad Total]]*6%,Tabla4[[#This Row],[Utilidad Total]]*11.5%))/Tabla4[[#This Row],[Total]]</f>
        <v>#N/A</v>
      </c>
      <c r="V5574" s="282" t="e">
        <f>+Tabla4[[#This Row],[Comisión Calculada]]*Tabla4[[#This Row],[Total]]</f>
        <v>#N/A</v>
      </c>
    </row>
    <row r="5575" spans="1:22" hidden="1" x14ac:dyDescent="0.25">
      <c r="A5575" s="100">
        <v>45900</v>
      </c>
      <c r="B5575" t="str">
        <f t="shared" si="269"/>
        <v>August</v>
      </c>
      <c r="C5575" s="46" t="s">
        <v>280</v>
      </c>
      <c r="F5575" s="366" t="s">
        <v>2881</v>
      </c>
      <c r="G5575" s="46" t="s">
        <v>16</v>
      </c>
      <c r="H5575" s="46">
        <v>1</v>
      </c>
      <c r="I5575" s="51">
        <v>4103.8500000000004</v>
      </c>
      <c r="J5575" s="281">
        <f>++Tabla4[[#This Row],[Precio Bruto]]*1.16</f>
        <v>4760.4660000000003</v>
      </c>
      <c r="K5575" s="281">
        <f>+Tabla4[[#This Row],[Precio Unitario Neto]]*Tabla4[[#Headers],[20.85%]]</f>
        <v>992.55716100000006</v>
      </c>
      <c r="L5575" s="282">
        <f>++Tabla4[[#This Row],[Precio Unitario Neto]]-Tabla4[[#This Row],[20.85%]]</f>
        <v>3767.9088390000002</v>
      </c>
      <c r="M5575" s="282" t="e">
        <f>(INDEX(Tabla6[#All],MATCH(Tabla4[[#This Row],[Producto]],Tabla6[[#All],[PRODUCTO]],0),MATCH(Tabla4[[#This Row],[Mes]],Tabla6[#Headers],0)))*(1+Catalogos!$L$2)</f>
        <v>#N/A</v>
      </c>
      <c r="N5575" s="283" t="e">
        <f>+(Tabla4[[#This Row],[Precio Descontado]]-Tabla4[[#This Row],[Precio Base]])*Tabla4[[#This Row],[Cantidad]]</f>
        <v>#N/A</v>
      </c>
      <c r="O5575" s="284" t="e">
        <f>++Tabla4[[#This Row],[Utilidad Total]]/Tabla4[[#This Row],[Total]]</f>
        <v>#N/A</v>
      </c>
      <c r="P5575" s="282">
        <f>++Tabla4[[#This Row],[Precio Descontado]]*Tabla4[[#This Row],[Cantidad]]</f>
        <v>3767.9088390000002</v>
      </c>
      <c r="Q5575" s="282" t="e">
        <f>(INDEX(Tabla6[#All],MATCH(Tabla4[[#This Row],[Producto]],Tabla6[[#All],[PRODUCTO]],0),MATCH(Tabla4[[#This Row],[Mes]],Tabla6[#Headers],0)))</f>
        <v>#N/A</v>
      </c>
      <c r="R5575" s="282" t="e">
        <f>++Tabla4[[#This Row],[Precio Unitario Neto]]-Tabla4[[#This Row],[20.85%]]-Tabla4[[#This Row],[Costo]]</f>
        <v>#N/A</v>
      </c>
      <c r="S5575" s="282" t="e">
        <f>++Tabla4[[#This Row],[U. Bruta Uni]]*Tabla4[[#This Row],[Cantidad]]</f>
        <v>#N/A</v>
      </c>
      <c r="T5575" s="369" t="str">
        <f>VLOOKUP(Tabla4[[#This Row],[Producto]],Tabla6[#All],14,FALSE)</f>
        <v>Termico Solar</v>
      </c>
      <c r="U5575" s="284" t="e">
        <f>(IF(Tabla4[[#This Row],[Familia]]="termico solar",Tabla4[[#This Row],[Utilidad Total]]*6%,Tabla4[[#This Row],[Utilidad Total]]*11.5%))/Tabla4[[#This Row],[Total]]</f>
        <v>#N/A</v>
      </c>
      <c r="V5575" s="282" t="e">
        <f>+Tabla4[[#This Row],[Comisión Calculada]]*Tabla4[[#This Row],[Total]]</f>
        <v>#N/A</v>
      </c>
    </row>
    <row r="5576" spans="1:22" hidden="1" x14ac:dyDescent="0.25">
      <c r="A5576" s="100">
        <v>45900</v>
      </c>
      <c r="B5576" t="str">
        <f t="shared" si="269"/>
        <v>August</v>
      </c>
      <c r="C5576" s="46" t="s">
        <v>280</v>
      </c>
      <c r="F5576" s="366" t="s">
        <v>2881</v>
      </c>
      <c r="G5576" s="46" t="s">
        <v>555</v>
      </c>
      <c r="H5576" s="46">
        <v>8</v>
      </c>
      <c r="I5576" s="51">
        <v>389.47</v>
      </c>
      <c r="J5576" s="281">
        <f>++Tabla4[[#This Row],[Precio Bruto]]*1.16</f>
        <v>451.78519999999997</v>
      </c>
      <c r="K5576" s="281">
        <f>+Tabla4[[#This Row],[Precio Unitario Neto]]*Tabla4[[#Headers],[20.85%]]</f>
        <v>94.197214199999991</v>
      </c>
      <c r="L5576" s="282">
        <f>++Tabla4[[#This Row],[Precio Unitario Neto]]-Tabla4[[#This Row],[20.85%]]</f>
        <v>357.58798579999996</v>
      </c>
      <c r="M5576" s="282" t="e">
        <f>(INDEX(Tabla6[#All],MATCH(Tabla4[[#This Row],[Producto]],Tabla6[[#All],[PRODUCTO]],0),MATCH(Tabla4[[#This Row],[Mes]],Tabla6[#Headers],0)))*(1+Catalogos!$L$2)</f>
        <v>#N/A</v>
      </c>
      <c r="N5576" s="283" t="e">
        <f>+(Tabla4[[#This Row],[Precio Descontado]]-Tabla4[[#This Row],[Precio Base]])*Tabla4[[#This Row],[Cantidad]]</f>
        <v>#N/A</v>
      </c>
      <c r="O5576" s="284" t="e">
        <f>++Tabla4[[#This Row],[Utilidad Total]]/Tabla4[[#This Row],[Total]]</f>
        <v>#N/A</v>
      </c>
      <c r="P5576" s="282">
        <f>++Tabla4[[#This Row],[Precio Descontado]]*Tabla4[[#This Row],[Cantidad]]</f>
        <v>2860.7038863999996</v>
      </c>
      <c r="Q5576" s="282" t="e">
        <f>(INDEX(Tabla6[#All],MATCH(Tabla4[[#This Row],[Producto]],Tabla6[[#All],[PRODUCTO]],0),MATCH(Tabla4[[#This Row],[Mes]],Tabla6[#Headers],0)))</f>
        <v>#N/A</v>
      </c>
      <c r="R5576" s="282" t="e">
        <f>++Tabla4[[#This Row],[Precio Unitario Neto]]-Tabla4[[#This Row],[20.85%]]-Tabla4[[#This Row],[Costo]]</f>
        <v>#N/A</v>
      </c>
      <c r="S5576" s="282" t="e">
        <f>++Tabla4[[#This Row],[U. Bruta Uni]]*Tabla4[[#This Row],[Cantidad]]</f>
        <v>#N/A</v>
      </c>
      <c r="T5576" s="369" t="str">
        <f>VLOOKUP(Tabla4[[#This Row],[Producto]],Tabla6[#All],14,FALSE)</f>
        <v>Termico Solar</v>
      </c>
      <c r="U5576" s="284" t="e">
        <f>(IF(Tabla4[[#This Row],[Familia]]="termico solar",Tabla4[[#This Row],[Utilidad Total]]*6%,Tabla4[[#This Row],[Utilidad Total]]*11.5%))/Tabla4[[#This Row],[Total]]</f>
        <v>#N/A</v>
      </c>
      <c r="V5576" s="282" t="e">
        <f>+Tabla4[[#This Row],[Comisión Calculada]]*Tabla4[[#This Row],[Total]]</f>
        <v>#N/A</v>
      </c>
    </row>
    <row r="5577" spans="1:22" hidden="1" x14ac:dyDescent="0.25">
      <c r="A5577" s="100">
        <v>45900</v>
      </c>
      <c r="B5577" t="str">
        <f t="shared" si="269"/>
        <v>August</v>
      </c>
      <c r="C5577" s="46" t="s">
        <v>280</v>
      </c>
      <c r="F5577" s="366" t="s">
        <v>2882</v>
      </c>
      <c r="G5577" s="46" t="s">
        <v>17</v>
      </c>
      <c r="H5577" s="46">
        <v>2</v>
      </c>
      <c r="I5577" s="51">
        <v>4622.28</v>
      </c>
      <c r="J5577" s="281">
        <f>++Tabla4[[#This Row],[Precio Bruto]]*1.16</f>
        <v>5361.8447999999989</v>
      </c>
      <c r="K5577" s="281">
        <f>+Tabla4[[#This Row],[Precio Unitario Neto]]*Tabla4[[#Headers],[20.85%]]</f>
        <v>1117.9446407999997</v>
      </c>
      <c r="L5577" s="282">
        <f>++Tabla4[[#This Row],[Precio Unitario Neto]]-Tabla4[[#This Row],[20.85%]]</f>
        <v>4243.9001591999995</v>
      </c>
      <c r="M5577" s="282" t="e">
        <f>(INDEX(Tabla6[#All],MATCH(Tabla4[[#This Row],[Producto]],Tabla6[[#All],[PRODUCTO]],0),MATCH(Tabla4[[#This Row],[Mes]],Tabla6[#Headers],0)))*(1+Catalogos!$L$2)</f>
        <v>#N/A</v>
      </c>
      <c r="N5577" s="283" t="e">
        <f>+(Tabla4[[#This Row],[Precio Descontado]]-Tabla4[[#This Row],[Precio Base]])*Tabla4[[#This Row],[Cantidad]]</f>
        <v>#N/A</v>
      </c>
      <c r="O5577" s="284" t="e">
        <f>++Tabla4[[#This Row],[Utilidad Total]]/Tabla4[[#This Row],[Total]]</f>
        <v>#N/A</v>
      </c>
      <c r="P5577" s="282">
        <f>++Tabla4[[#This Row],[Precio Descontado]]*Tabla4[[#This Row],[Cantidad]]</f>
        <v>8487.800318399999</v>
      </c>
      <c r="Q5577" s="282" t="e">
        <f>(INDEX(Tabla6[#All],MATCH(Tabla4[[#This Row],[Producto]],Tabla6[[#All],[PRODUCTO]],0),MATCH(Tabla4[[#This Row],[Mes]],Tabla6[#Headers],0)))</f>
        <v>#N/A</v>
      </c>
      <c r="R5577" s="282" t="e">
        <f>++Tabla4[[#This Row],[Precio Unitario Neto]]-Tabla4[[#This Row],[20.85%]]-Tabla4[[#This Row],[Costo]]</f>
        <v>#N/A</v>
      </c>
      <c r="S5577" s="282" t="e">
        <f>++Tabla4[[#This Row],[U. Bruta Uni]]*Tabla4[[#This Row],[Cantidad]]</f>
        <v>#N/A</v>
      </c>
      <c r="T5577" s="369" t="str">
        <f>VLOOKUP(Tabla4[[#This Row],[Producto]],Tabla6[#All],14,FALSE)</f>
        <v>Termico Solar</v>
      </c>
      <c r="U5577" s="284" t="e">
        <f>(IF(Tabla4[[#This Row],[Familia]]="termico solar",Tabla4[[#This Row],[Utilidad Total]]*6%,Tabla4[[#This Row],[Utilidad Total]]*11.5%))/Tabla4[[#This Row],[Total]]</f>
        <v>#N/A</v>
      </c>
      <c r="V5577" s="282" t="e">
        <f>+Tabla4[[#This Row],[Comisión Calculada]]*Tabla4[[#This Row],[Total]]</f>
        <v>#N/A</v>
      </c>
    </row>
    <row r="5578" spans="1:22" hidden="1" x14ac:dyDescent="0.25">
      <c r="A5578" s="100">
        <v>45900</v>
      </c>
      <c r="B5578" t="str">
        <f t="shared" si="269"/>
        <v>August</v>
      </c>
      <c r="C5578" s="46" t="s">
        <v>280</v>
      </c>
      <c r="F5578" s="366" t="s">
        <v>2882</v>
      </c>
      <c r="G5578" s="46" t="s">
        <v>566</v>
      </c>
      <c r="H5578" s="46">
        <v>1</v>
      </c>
      <c r="I5578" s="51">
        <v>2109.4499999999998</v>
      </c>
      <c r="J5578" s="281">
        <f>++Tabla4[[#This Row],[Precio Bruto]]*1.16</f>
        <v>2446.9619999999995</v>
      </c>
      <c r="K5578" s="281">
        <f>+Tabla4[[#This Row],[Precio Unitario Neto]]*Tabla4[[#Headers],[20.85%]]</f>
        <v>510.19157699999988</v>
      </c>
      <c r="L5578" s="282">
        <f>++Tabla4[[#This Row],[Precio Unitario Neto]]-Tabla4[[#This Row],[20.85%]]</f>
        <v>1936.7704229999997</v>
      </c>
      <c r="M5578" s="282" t="e">
        <f>(INDEX(Tabla6[#All],MATCH(Tabla4[[#This Row],[Producto]],Tabla6[[#All],[PRODUCTO]],0),MATCH(Tabla4[[#This Row],[Mes]],Tabla6[#Headers],0)))*(1+Catalogos!$L$2)</f>
        <v>#N/A</v>
      </c>
      <c r="N5578" s="283" t="e">
        <f>+(Tabla4[[#This Row],[Precio Descontado]]-Tabla4[[#This Row],[Precio Base]])*Tabla4[[#This Row],[Cantidad]]</f>
        <v>#N/A</v>
      </c>
      <c r="O5578" s="284" t="e">
        <f>++Tabla4[[#This Row],[Utilidad Total]]/Tabla4[[#This Row],[Total]]</f>
        <v>#N/A</v>
      </c>
      <c r="P5578" s="282">
        <f>++Tabla4[[#This Row],[Precio Descontado]]*Tabla4[[#This Row],[Cantidad]]</f>
        <v>1936.7704229999997</v>
      </c>
      <c r="Q5578" s="282" t="e">
        <f>(INDEX(Tabla6[#All],MATCH(Tabla4[[#This Row],[Producto]],Tabla6[[#All],[PRODUCTO]],0),MATCH(Tabla4[[#This Row],[Mes]],Tabla6[#Headers],0)))</f>
        <v>#N/A</v>
      </c>
      <c r="R5578" s="282" t="e">
        <f>++Tabla4[[#This Row],[Precio Unitario Neto]]-Tabla4[[#This Row],[20.85%]]-Tabla4[[#This Row],[Costo]]</f>
        <v>#N/A</v>
      </c>
      <c r="S5578" s="282" t="e">
        <f>++Tabla4[[#This Row],[U. Bruta Uni]]*Tabla4[[#This Row],[Cantidad]]</f>
        <v>#N/A</v>
      </c>
      <c r="T5578" s="369" t="str">
        <f>VLOOKUP(Tabla4[[#This Row],[Producto]],Tabla6[#All],14,FALSE)</f>
        <v>Termico Solar</v>
      </c>
      <c r="U5578" s="284" t="e">
        <f>(IF(Tabla4[[#This Row],[Familia]]="termico solar",Tabla4[[#This Row],[Utilidad Total]]*6%,Tabla4[[#This Row],[Utilidad Total]]*11.5%))/Tabla4[[#This Row],[Total]]</f>
        <v>#N/A</v>
      </c>
      <c r="V5578" s="282" t="e">
        <f>+Tabla4[[#This Row],[Comisión Calculada]]*Tabla4[[#This Row],[Total]]</f>
        <v>#N/A</v>
      </c>
    </row>
    <row r="5579" spans="1:22" hidden="1" x14ac:dyDescent="0.25">
      <c r="A5579" s="100">
        <v>45900</v>
      </c>
      <c r="B5579" t="str">
        <f t="shared" si="269"/>
        <v>August</v>
      </c>
      <c r="C5579" s="46" t="s">
        <v>280</v>
      </c>
      <c r="F5579" s="366" t="s">
        <v>2882</v>
      </c>
      <c r="G5579" s="46" t="s">
        <v>16</v>
      </c>
      <c r="H5579" s="46">
        <v>2</v>
      </c>
      <c r="I5579" s="51">
        <v>4103.8500000000004</v>
      </c>
      <c r="J5579" s="281">
        <f>++Tabla4[[#This Row],[Precio Bruto]]*1.16</f>
        <v>4760.4660000000003</v>
      </c>
      <c r="K5579" s="281">
        <f>+Tabla4[[#This Row],[Precio Unitario Neto]]*Tabla4[[#Headers],[20.85%]]</f>
        <v>992.55716100000006</v>
      </c>
      <c r="L5579" s="282">
        <f>++Tabla4[[#This Row],[Precio Unitario Neto]]-Tabla4[[#This Row],[20.85%]]</f>
        <v>3767.9088390000002</v>
      </c>
      <c r="M5579" s="282" t="e">
        <f>(INDEX(Tabla6[#All],MATCH(Tabla4[[#This Row],[Producto]],Tabla6[[#All],[PRODUCTO]],0),MATCH(Tabla4[[#This Row],[Mes]],Tabla6[#Headers],0)))*(1+Catalogos!$L$2)</f>
        <v>#N/A</v>
      </c>
      <c r="N5579" s="283" t="e">
        <f>+(Tabla4[[#This Row],[Precio Descontado]]-Tabla4[[#This Row],[Precio Base]])*Tabla4[[#This Row],[Cantidad]]</f>
        <v>#N/A</v>
      </c>
      <c r="O5579" s="284" t="e">
        <f>++Tabla4[[#This Row],[Utilidad Total]]/Tabla4[[#This Row],[Total]]</f>
        <v>#N/A</v>
      </c>
      <c r="P5579" s="282">
        <f>++Tabla4[[#This Row],[Precio Descontado]]*Tabla4[[#This Row],[Cantidad]]</f>
        <v>7535.8176780000003</v>
      </c>
      <c r="Q5579" s="282" t="e">
        <f>(INDEX(Tabla6[#All],MATCH(Tabla4[[#This Row],[Producto]],Tabla6[[#All],[PRODUCTO]],0),MATCH(Tabla4[[#This Row],[Mes]],Tabla6[#Headers],0)))</f>
        <v>#N/A</v>
      </c>
      <c r="R5579" s="282" t="e">
        <f>++Tabla4[[#This Row],[Precio Unitario Neto]]-Tabla4[[#This Row],[20.85%]]-Tabla4[[#This Row],[Costo]]</f>
        <v>#N/A</v>
      </c>
      <c r="S5579" s="282" t="e">
        <f>++Tabla4[[#This Row],[U. Bruta Uni]]*Tabla4[[#This Row],[Cantidad]]</f>
        <v>#N/A</v>
      </c>
      <c r="T5579" s="369" t="str">
        <f>VLOOKUP(Tabla4[[#This Row],[Producto]],Tabla6[#All],14,FALSE)</f>
        <v>Termico Solar</v>
      </c>
      <c r="U5579" s="284" t="e">
        <f>(IF(Tabla4[[#This Row],[Familia]]="termico solar",Tabla4[[#This Row],[Utilidad Total]]*6%,Tabla4[[#This Row],[Utilidad Total]]*11.5%))/Tabla4[[#This Row],[Total]]</f>
        <v>#N/A</v>
      </c>
      <c r="V5579" s="282" t="e">
        <f>+Tabla4[[#This Row],[Comisión Calculada]]*Tabla4[[#This Row],[Total]]</f>
        <v>#N/A</v>
      </c>
    </row>
    <row r="5580" spans="1:22" hidden="1" x14ac:dyDescent="0.25">
      <c r="A5580" s="100">
        <v>45900</v>
      </c>
      <c r="B5580" t="str">
        <f t="shared" si="269"/>
        <v>August</v>
      </c>
      <c r="C5580" s="46" t="s">
        <v>280</v>
      </c>
      <c r="F5580" s="366" t="s">
        <v>2882</v>
      </c>
      <c r="G5580" s="46" t="s">
        <v>208</v>
      </c>
      <c r="H5580" s="46">
        <v>6</v>
      </c>
      <c r="I5580" s="51">
        <v>189.75</v>
      </c>
      <c r="J5580" s="281">
        <f>++Tabla4[[#This Row],[Precio Bruto]]*1.16</f>
        <v>220.10999999999999</v>
      </c>
      <c r="K5580" s="281">
        <f>+Tabla4[[#This Row],[Precio Unitario Neto]]*Tabla4[[#Headers],[20.85%]]</f>
        <v>45.892934999999994</v>
      </c>
      <c r="L5580" s="282">
        <f>++Tabla4[[#This Row],[Precio Unitario Neto]]-Tabla4[[#This Row],[20.85%]]</f>
        <v>174.21706499999999</v>
      </c>
      <c r="M5580" s="282" t="e">
        <f>(INDEX(Tabla6[#All],MATCH(Tabla4[[#This Row],[Producto]],Tabla6[[#All],[PRODUCTO]],0),MATCH(Tabla4[[#This Row],[Mes]],Tabla6[#Headers],0)))*(1+Catalogos!$L$2)</f>
        <v>#N/A</v>
      </c>
      <c r="N5580" s="283" t="e">
        <f>+(Tabla4[[#This Row],[Precio Descontado]]-Tabla4[[#This Row],[Precio Base]])*Tabla4[[#This Row],[Cantidad]]</f>
        <v>#N/A</v>
      </c>
      <c r="O5580" s="284" t="e">
        <f>++Tabla4[[#This Row],[Utilidad Total]]/Tabla4[[#This Row],[Total]]</f>
        <v>#N/A</v>
      </c>
      <c r="P5580" s="282">
        <f>++Tabla4[[#This Row],[Precio Descontado]]*Tabla4[[#This Row],[Cantidad]]</f>
        <v>1045.3023899999998</v>
      </c>
      <c r="Q5580" s="282" t="e">
        <f>(INDEX(Tabla6[#All],MATCH(Tabla4[[#This Row],[Producto]],Tabla6[[#All],[PRODUCTO]],0),MATCH(Tabla4[[#This Row],[Mes]],Tabla6[#Headers],0)))</f>
        <v>#N/A</v>
      </c>
      <c r="R5580" s="282" t="e">
        <f>++Tabla4[[#This Row],[Precio Unitario Neto]]-Tabla4[[#This Row],[20.85%]]-Tabla4[[#This Row],[Costo]]</f>
        <v>#N/A</v>
      </c>
      <c r="S5580" s="282" t="e">
        <f>++Tabla4[[#This Row],[U. Bruta Uni]]*Tabla4[[#This Row],[Cantidad]]</f>
        <v>#N/A</v>
      </c>
      <c r="T5580" s="369" t="str">
        <f>VLOOKUP(Tabla4[[#This Row],[Producto]],Tabla6[#All],14,FALSE)</f>
        <v>Termico Solar</v>
      </c>
      <c r="U5580" s="284" t="e">
        <f>(IF(Tabla4[[#This Row],[Familia]]="termico solar",Tabla4[[#This Row],[Utilidad Total]]*6%,Tabla4[[#This Row],[Utilidad Total]]*11.5%))/Tabla4[[#This Row],[Total]]</f>
        <v>#N/A</v>
      </c>
      <c r="V5580" s="282" t="e">
        <f>+Tabla4[[#This Row],[Comisión Calculada]]*Tabla4[[#This Row],[Total]]</f>
        <v>#N/A</v>
      </c>
    </row>
    <row r="5581" spans="1:22" hidden="1" x14ac:dyDescent="0.25">
      <c r="A5581" s="100">
        <v>45900</v>
      </c>
      <c r="B5581" t="str">
        <f t="shared" si="269"/>
        <v>August</v>
      </c>
      <c r="C5581" s="46" t="s">
        <v>280</v>
      </c>
      <c r="F5581" s="366" t="s">
        <v>2883</v>
      </c>
      <c r="G5581" s="46" t="s">
        <v>17</v>
      </c>
      <c r="H5581" s="46">
        <v>3</v>
      </c>
      <c r="I5581" s="51">
        <v>4622.28</v>
      </c>
      <c r="J5581" s="281">
        <f>++Tabla4[[#This Row],[Precio Bruto]]*1.16</f>
        <v>5361.8447999999989</v>
      </c>
      <c r="K5581" s="281">
        <f>+Tabla4[[#This Row],[Precio Unitario Neto]]*Tabla4[[#Headers],[20.85%]]</f>
        <v>1117.9446407999997</v>
      </c>
      <c r="L5581" s="282">
        <f>++Tabla4[[#This Row],[Precio Unitario Neto]]-Tabla4[[#This Row],[20.85%]]</f>
        <v>4243.9001591999995</v>
      </c>
      <c r="M5581" s="282" t="e">
        <f>(INDEX(Tabla6[#All],MATCH(Tabla4[[#This Row],[Producto]],Tabla6[[#All],[PRODUCTO]],0),MATCH(Tabla4[[#This Row],[Mes]],Tabla6[#Headers],0)))*(1+Catalogos!$L$2)</f>
        <v>#N/A</v>
      </c>
      <c r="N5581" s="283" t="e">
        <f>+(Tabla4[[#This Row],[Precio Descontado]]-Tabla4[[#This Row],[Precio Base]])*Tabla4[[#This Row],[Cantidad]]</f>
        <v>#N/A</v>
      </c>
      <c r="O5581" s="284" t="e">
        <f>++Tabla4[[#This Row],[Utilidad Total]]/Tabla4[[#This Row],[Total]]</f>
        <v>#N/A</v>
      </c>
      <c r="P5581" s="282">
        <f>++Tabla4[[#This Row],[Precio Descontado]]*Tabla4[[#This Row],[Cantidad]]</f>
        <v>12731.700477599999</v>
      </c>
      <c r="Q5581" s="282" t="e">
        <f>(INDEX(Tabla6[#All],MATCH(Tabla4[[#This Row],[Producto]],Tabla6[[#All],[PRODUCTO]],0),MATCH(Tabla4[[#This Row],[Mes]],Tabla6[#Headers],0)))</f>
        <v>#N/A</v>
      </c>
      <c r="R5581" s="282" t="e">
        <f>++Tabla4[[#This Row],[Precio Unitario Neto]]-Tabla4[[#This Row],[20.85%]]-Tabla4[[#This Row],[Costo]]</f>
        <v>#N/A</v>
      </c>
      <c r="S5581" s="282" t="e">
        <f>++Tabla4[[#This Row],[U. Bruta Uni]]*Tabla4[[#This Row],[Cantidad]]</f>
        <v>#N/A</v>
      </c>
      <c r="T5581" s="369" t="str">
        <f>VLOOKUP(Tabla4[[#This Row],[Producto]],Tabla6[#All],14,FALSE)</f>
        <v>Termico Solar</v>
      </c>
      <c r="U5581" s="284" t="e">
        <f>(IF(Tabla4[[#This Row],[Familia]]="termico solar",Tabla4[[#This Row],[Utilidad Total]]*6%,Tabla4[[#This Row],[Utilidad Total]]*11.5%))/Tabla4[[#This Row],[Total]]</f>
        <v>#N/A</v>
      </c>
      <c r="V5581" s="282" t="e">
        <f>+Tabla4[[#This Row],[Comisión Calculada]]*Tabla4[[#This Row],[Total]]</f>
        <v>#N/A</v>
      </c>
    </row>
    <row r="5582" spans="1:22" hidden="1" x14ac:dyDescent="0.25">
      <c r="A5582" s="100">
        <v>45900</v>
      </c>
      <c r="B5582" t="str">
        <f t="shared" si="269"/>
        <v>August</v>
      </c>
      <c r="C5582" s="46" t="s">
        <v>280</v>
      </c>
      <c r="F5582" s="366" t="s">
        <v>2884</v>
      </c>
      <c r="G5582" s="46" t="s">
        <v>394</v>
      </c>
      <c r="H5582" s="46">
        <v>9</v>
      </c>
      <c r="I5582" s="51">
        <v>108.1</v>
      </c>
      <c r="J5582" s="281">
        <f>++Tabla4[[#This Row],[Precio Bruto]]*1.16</f>
        <v>125.39599999999999</v>
      </c>
      <c r="K5582" s="281">
        <f>+Tabla4[[#This Row],[Precio Unitario Neto]]*Tabla4[[#Headers],[20.85%]]</f>
        <v>26.145065999999996</v>
      </c>
      <c r="L5582" s="282">
        <f>++Tabla4[[#This Row],[Precio Unitario Neto]]-Tabla4[[#This Row],[20.85%]]</f>
        <v>99.250933999999987</v>
      </c>
      <c r="M5582" s="282" t="e">
        <f>(INDEX(Tabla6[#All],MATCH(Tabla4[[#This Row],[Producto]],Tabla6[[#All],[PRODUCTO]],0),MATCH(Tabla4[[#This Row],[Mes]],Tabla6[#Headers],0)))*(1+Catalogos!$L$2)</f>
        <v>#N/A</v>
      </c>
      <c r="N5582" s="283" t="e">
        <f>+(Tabla4[[#This Row],[Precio Descontado]]-Tabla4[[#This Row],[Precio Base]])*Tabla4[[#This Row],[Cantidad]]</f>
        <v>#N/A</v>
      </c>
      <c r="O5582" s="284" t="e">
        <f>++Tabla4[[#This Row],[Utilidad Total]]/Tabla4[[#This Row],[Total]]</f>
        <v>#N/A</v>
      </c>
      <c r="P5582" s="282">
        <f>++Tabla4[[#This Row],[Precio Descontado]]*Tabla4[[#This Row],[Cantidad]]</f>
        <v>893.25840599999992</v>
      </c>
      <c r="Q5582" s="282" t="e">
        <f>(INDEX(Tabla6[#All],MATCH(Tabla4[[#This Row],[Producto]],Tabla6[[#All],[PRODUCTO]],0),MATCH(Tabla4[[#This Row],[Mes]],Tabla6[#Headers],0)))</f>
        <v>#N/A</v>
      </c>
      <c r="R5582" s="282" t="e">
        <f>++Tabla4[[#This Row],[Precio Unitario Neto]]-Tabla4[[#This Row],[20.85%]]-Tabla4[[#This Row],[Costo]]</f>
        <v>#N/A</v>
      </c>
      <c r="S5582" s="282" t="e">
        <f>++Tabla4[[#This Row],[U. Bruta Uni]]*Tabla4[[#This Row],[Cantidad]]</f>
        <v>#N/A</v>
      </c>
      <c r="T5582" s="369" t="str">
        <f>VLOOKUP(Tabla4[[#This Row],[Producto]],Tabla6[#All],14,FALSE)</f>
        <v>Termico Solar</v>
      </c>
      <c r="U5582" s="284" t="e">
        <f>(IF(Tabla4[[#This Row],[Familia]]="termico solar",Tabla4[[#This Row],[Utilidad Total]]*6%,Tabla4[[#This Row],[Utilidad Total]]*11.5%))/Tabla4[[#This Row],[Total]]</f>
        <v>#N/A</v>
      </c>
      <c r="V5582" s="282" t="e">
        <f>+Tabla4[[#This Row],[Comisión Calculada]]*Tabla4[[#This Row],[Total]]</f>
        <v>#N/A</v>
      </c>
    </row>
    <row r="5583" spans="1:22" hidden="1" x14ac:dyDescent="0.25">
      <c r="A5583" s="100">
        <v>45900</v>
      </c>
      <c r="B5583" t="str">
        <f t="shared" si="269"/>
        <v>August</v>
      </c>
      <c r="C5583" s="46" t="s">
        <v>280</v>
      </c>
      <c r="F5583" s="366" t="s">
        <v>2884</v>
      </c>
      <c r="G5583" s="46" t="s">
        <v>208</v>
      </c>
      <c r="H5583" s="46">
        <v>1</v>
      </c>
      <c r="I5583" s="51">
        <v>189.75</v>
      </c>
      <c r="J5583" s="281">
        <f>++Tabla4[[#This Row],[Precio Bruto]]*1.16</f>
        <v>220.10999999999999</v>
      </c>
      <c r="K5583" s="281">
        <f>+Tabla4[[#This Row],[Precio Unitario Neto]]*Tabla4[[#Headers],[20.85%]]</f>
        <v>45.892934999999994</v>
      </c>
      <c r="L5583" s="282">
        <f>++Tabla4[[#This Row],[Precio Unitario Neto]]-Tabla4[[#This Row],[20.85%]]</f>
        <v>174.21706499999999</v>
      </c>
      <c r="M5583" s="282" t="e">
        <f>(INDEX(Tabla6[#All],MATCH(Tabla4[[#This Row],[Producto]],Tabla6[[#All],[PRODUCTO]],0),MATCH(Tabla4[[#This Row],[Mes]],Tabla6[#Headers],0)))*(1+Catalogos!$L$2)</f>
        <v>#N/A</v>
      </c>
      <c r="N5583" s="283" t="e">
        <f>+(Tabla4[[#This Row],[Precio Descontado]]-Tabla4[[#This Row],[Precio Base]])*Tabla4[[#This Row],[Cantidad]]</f>
        <v>#N/A</v>
      </c>
      <c r="O5583" s="284" t="e">
        <f>++Tabla4[[#This Row],[Utilidad Total]]/Tabla4[[#This Row],[Total]]</f>
        <v>#N/A</v>
      </c>
      <c r="P5583" s="282">
        <f>++Tabla4[[#This Row],[Precio Descontado]]*Tabla4[[#This Row],[Cantidad]]</f>
        <v>174.21706499999999</v>
      </c>
      <c r="Q5583" s="282" t="e">
        <f>(INDEX(Tabla6[#All],MATCH(Tabla4[[#This Row],[Producto]],Tabla6[[#All],[PRODUCTO]],0),MATCH(Tabla4[[#This Row],[Mes]],Tabla6[#Headers],0)))</f>
        <v>#N/A</v>
      </c>
      <c r="R5583" s="282" t="e">
        <f>++Tabla4[[#This Row],[Precio Unitario Neto]]-Tabla4[[#This Row],[20.85%]]-Tabla4[[#This Row],[Costo]]</f>
        <v>#N/A</v>
      </c>
      <c r="S5583" s="282" t="e">
        <f>++Tabla4[[#This Row],[U. Bruta Uni]]*Tabla4[[#This Row],[Cantidad]]</f>
        <v>#N/A</v>
      </c>
      <c r="T5583" s="369" t="str">
        <f>VLOOKUP(Tabla4[[#This Row],[Producto]],Tabla6[#All],14,FALSE)</f>
        <v>Termico Solar</v>
      </c>
      <c r="U5583" s="284" t="e">
        <f>(IF(Tabla4[[#This Row],[Familia]]="termico solar",Tabla4[[#This Row],[Utilidad Total]]*6%,Tabla4[[#This Row],[Utilidad Total]]*11.5%))/Tabla4[[#This Row],[Total]]</f>
        <v>#N/A</v>
      </c>
      <c r="V5583" s="282" t="e">
        <f>+Tabla4[[#This Row],[Comisión Calculada]]*Tabla4[[#This Row],[Total]]</f>
        <v>#N/A</v>
      </c>
    </row>
    <row r="5584" spans="1:22" hidden="1" x14ac:dyDescent="0.25">
      <c r="A5584" s="100">
        <v>45900</v>
      </c>
      <c r="B5584" t="str">
        <f t="shared" si="269"/>
        <v>August</v>
      </c>
      <c r="C5584" s="46" t="s">
        <v>280</v>
      </c>
      <c r="F5584" s="366" t="s">
        <v>2885</v>
      </c>
      <c r="G5584" s="46" t="s">
        <v>412</v>
      </c>
      <c r="H5584" s="46">
        <v>1</v>
      </c>
      <c r="I5584" s="51">
        <v>3240.84</v>
      </c>
      <c r="J5584" s="281">
        <f>++Tabla4[[#This Row],[Precio Bruto]]*1.16</f>
        <v>3759.3743999999997</v>
      </c>
      <c r="K5584" s="281">
        <f>+Tabla4[[#This Row],[Precio Unitario Neto]]*Tabla4[[#Headers],[20.85%]]</f>
        <v>783.82956239999987</v>
      </c>
      <c r="L5584" s="282">
        <f>++Tabla4[[#This Row],[Precio Unitario Neto]]-Tabla4[[#This Row],[20.85%]]</f>
        <v>2975.5448375999999</v>
      </c>
      <c r="M5584" s="282" t="e">
        <f>(INDEX(Tabla6[#All],MATCH(Tabla4[[#This Row],[Producto]],Tabla6[[#All],[PRODUCTO]],0),MATCH(Tabla4[[#This Row],[Mes]],Tabla6[#Headers],0)))*(1+Catalogos!$L$2)</f>
        <v>#N/A</v>
      </c>
      <c r="N5584" s="283" t="e">
        <f>+(Tabla4[[#This Row],[Precio Descontado]]-Tabla4[[#This Row],[Precio Base]])*Tabla4[[#This Row],[Cantidad]]</f>
        <v>#N/A</v>
      </c>
      <c r="O5584" s="284" t="e">
        <f>++Tabla4[[#This Row],[Utilidad Total]]/Tabla4[[#This Row],[Total]]</f>
        <v>#N/A</v>
      </c>
      <c r="P5584" s="282">
        <f>++Tabla4[[#This Row],[Precio Descontado]]*Tabla4[[#This Row],[Cantidad]]</f>
        <v>2975.5448375999999</v>
      </c>
      <c r="Q5584" s="282" t="e">
        <f>(INDEX(Tabla6[#All],MATCH(Tabla4[[#This Row],[Producto]],Tabla6[[#All],[PRODUCTO]],0),MATCH(Tabla4[[#This Row],[Mes]],Tabla6[#Headers],0)))</f>
        <v>#N/A</v>
      </c>
      <c r="R5584" s="282" t="e">
        <f>++Tabla4[[#This Row],[Precio Unitario Neto]]-Tabla4[[#This Row],[20.85%]]-Tabla4[[#This Row],[Costo]]</f>
        <v>#N/A</v>
      </c>
      <c r="S5584" s="282" t="e">
        <f>++Tabla4[[#This Row],[U. Bruta Uni]]*Tabla4[[#This Row],[Cantidad]]</f>
        <v>#N/A</v>
      </c>
      <c r="T5584" s="369" t="str">
        <f>VLOOKUP(Tabla4[[#This Row],[Producto]],Tabla6[#All],14,FALSE)</f>
        <v>Termico Solar</v>
      </c>
      <c r="U5584" s="284" t="e">
        <f>(IF(Tabla4[[#This Row],[Familia]]="termico solar",Tabla4[[#This Row],[Utilidad Total]]*6%,Tabla4[[#This Row],[Utilidad Total]]*11.5%))/Tabla4[[#This Row],[Total]]</f>
        <v>#N/A</v>
      </c>
      <c r="V5584" s="282" t="e">
        <f>+Tabla4[[#This Row],[Comisión Calculada]]*Tabla4[[#This Row],[Total]]</f>
        <v>#N/A</v>
      </c>
    </row>
    <row r="5585" spans="1:22" hidden="1" x14ac:dyDescent="0.25">
      <c r="A5585" s="100">
        <v>45900</v>
      </c>
      <c r="B5585" t="str">
        <f t="shared" si="269"/>
        <v>August</v>
      </c>
      <c r="C5585" s="46" t="s">
        <v>280</v>
      </c>
      <c r="F5585" s="366" t="s">
        <v>2885</v>
      </c>
      <c r="G5585" s="46" t="s">
        <v>16</v>
      </c>
      <c r="H5585" s="46">
        <v>2</v>
      </c>
      <c r="I5585" s="51">
        <v>4103.8500000000004</v>
      </c>
      <c r="J5585" s="281">
        <f>++Tabla4[[#This Row],[Precio Bruto]]*1.16</f>
        <v>4760.4660000000003</v>
      </c>
      <c r="K5585" s="281">
        <f>+Tabla4[[#This Row],[Precio Unitario Neto]]*Tabla4[[#Headers],[20.85%]]</f>
        <v>992.55716100000006</v>
      </c>
      <c r="L5585" s="282">
        <f>++Tabla4[[#This Row],[Precio Unitario Neto]]-Tabla4[[#This Row],[20.85%]]</f>
        <v>3767.9088390000002</v>
      </c>
      <c r="M5585" s="282" t="e">
        <f>(INDEX(Tabla6[#All],MATCH(Tabla4[[#This Row],[Producto]],Tabla6[[#All],[PRODUCTO]],0),MATCH(Tabla4[[#This Row],[Mes]],Tabla6[#Headers],0)))*(1+Catalogos!$L$2)</f>
        <v>#N/A</v>
      </c>
      <c r="N5585" s="283" t="e">
        <f>+(Tabla4[[#This Row],[Precio Descontado]]-Tabla4[[#This Row],[Precio Base]])*Tabla4[[#This Row],[Cantidad]]</f>
        <v>#N/A</v>
      </c>
      <c r="O5585" s="284" t="e">
        <f>++Tabla4[[#This Row],[Utilidad Total]]/Tabla4[[#This Row],[Total]]</f>
        <v>#N/A</v>
      </c>
      <c r="P5585" s="282">
        <f>++Tabla4[[#This Row],[Precio Descontado]]*Tabla4[[#This Row],[Cantidad]]</f>
        <v>7535.8176780000003</v>
      </c>
      <c r="Q5585" s="282" t="e">
        <f>(INDEX(Tabla6[#All],MATCH(Tabla4[[#This Row],[Producto]],Tabla6[[#All],[PRODUCTO]],0),MATCH(Tabla4[[#This Row],[Mes]],Tabla6[#Headers],0)))</f>
        <v>#N/A</v>
      </c>
      <c r="R5585" s="282" t="e">
        <f>++Tabla4[[#This Row],[Precio Unitario Neto]]-Tabla4[[#This Row],[20.85%]]-Tabla4[[#This Row],[Costo]]</f>
        <v>#N/A</v>
      </c>
      <c r="S5585" s="282" t="e">
        <f>++Tabla4[[#This Row],[U. Bruta Uni]]*Tabla4[[#This Row],[Cantidad]]</f>
        <v>#N/A</v>
      </c>
      <c r="T5585" s="369" t="str">
        <f>VLOOKUP(Tabla4[[#This Row],[Producto]],Tabla6[#All],14,FALSE)</f>
        <v>Termico Solar</v>
      </c>
      <c r="U5585" s="284" t="e">
        <f>(IF(Tabla4[[#This Row],[Familia]]="termico solar",Tabla4[[#This Row],[Utilidad Total]]*6%,Tabla4[[#This Row],[Utilidad Total]]*11.5%))/Tabla4[[#This Row],[Total]]</f>
        <v>#N/A</v>
      </c>
      <c r="V5585" s="282" t="e">
        <f>+Tabla4[[#This Row],[Comisión Calculada]]*Tabla4[[#This Row],[Total]]</f>
        <v>#N/A</v>
      </c>
    </row>
    <row r="5586" spans="1:22" hidden="1" x14ac:dyDescent="0.25">
      <c r="A5586" s="100">
        <v>45900</v>
      </c>
      <c r="B5586" t="str">
        <f t="shared" si="269"/>
        <v>August</v>
      </c>
      <c r="C5586" s="46" t="s">
        <v>280</v>
      </c>
      <c r="F5586" s="366" t="s">
        <v>2886</v>
      </c>
      <c r="G5586" s="46" t="s">
        <v>17</v>
      </c>
      <c r="H5586" s="46">
        <v>3</v>
      </c>
      <c r="I5586" s="51">
        <v>4622.28</v>
      </c>
      <c r="J5586" s="281">
        <f>++Tabla4[[#This Row],[Precio Bruto]]*1.16</f>
        <v>5361.8447999999989</v>
      </c>
      <c r="K5586" s="281">
        <f>+Tabla4[[#This Row],[Precio Unitario Neto]]*Tabla4[[#Headers],[20.85%]]</f>
        <v>1117.9446407999997</v>
      </c>
      <c r="L5586" s="282">
        <f>++Tabla4[[#This Row],[Precio Unitario Neto]]-Tabla4[[#This Row],[20.85%]]</f>
        <v>4243.9001591999995</v>
      </c>
      <c r="M5586" s="282" t="e">
        <f>(INDEX(Tabla6[#All],MATCH(Tabla4[[#This Row],[Producto]],Tabla6[[#All],[PRODUCTO]],0),MATCH(Tabla4[[#This Row],[Mes]],Tabla6[#Headers],0)))*(1+Catalogos!$L$2)</f>
        <v>#N/A</v>
      </c>
      <c r="N5586" s="283" t="e">
        <f>+(Tabla4[[#This Row],[Precio Descontado]]-Tabla4[[#This Row],[Precio Base]])*Tabla4[[#This Row],[Cantidad]]</f>
        <v>#N/A</v>
      </c>
      <c r="O5586" s="284" t="e">
        <f>++Tabla4[[#This Row],[Utilidad Total]]/Tabla4[[#This Row],[Total]]</f>
        <v>#N/A</v>
      </c>
      <c r="P5586" s="282">
        <f>++Tabla4[[#This Row],[Precio Descontado]]*Tabla4[[#This Row],[Cantidad]]</f>
        <v>12731.700477599999</v>
      </c>
      <c r="Q5586" s="282" t="e">
        <f>(INDEX(Tabla6[#All],MATCH(Tabla4[[#This Row],[Producto]],Tabla6[[#All],[PRODUCTO]],0),MATCH(Tabla4[[#This Row],[Mes]],Tabla6[#Headers],0)))</f>
        <v>#N/A</v>
      </c>
      <c r="R5586" s="282" t="e">
        <f>++Tabla4[[#This Row],[Precio Unitario Neto]]-Tabla4[[#This Row],[20.85%]]-Tabla4[[#This Row],[Costo]]</f>
        <v>#N/A</v>
      </c>
      <c r="S5586" s="282" t="e">
        <f>++Tabla4[[#This Row],[U. Bruta Uni]]*Tabla4[[#This Row],[Cantidad]]</f>
        <v>#N/A</v>
      </c>
      <c r="T5586" s="369" t="str">
        <f>VLOOKUP(Tabla4[[#This Row],[Producto]],Tabla6[#All],14,FALSE)</f>
        <v>Termico Solar</v>
      </c>
      <c r="U5586" s="284" t="e">
        <f>(IF(Tabla4[[#This Row],[Familia]]="termico solar",Tabla4[[#This Row],[Utilidad Total]]*6%,Tabla4[[#This Row],[Utilidad Total]]*11.5%))/Tabla4[[#This Row],[Total]]</f>
        <v>#N/A</v>
      </c>
      <c r="V5586" s="282" t="e">
        <f>+Tabla4[[#This Row],[Comisión Calculada]]*Tabla4[[#This Row],[Total]]</f>
        <v>#N/A</v>
      </c>
    </row>
    <row r="5587" spans="1:22" hidden="1" x14ac:dyDescent="0.25">
      <c r="A5587" s="100">
        <v>45900</v>
      </c>
      <c r="B5587" t="str">
        <f t="shared" si="269"/>
        <v>August</v>
      </c>
      <c r="C5587" s="46" t="s">
        <v>280</v>
      </c>
      <c r="F5587" s="366" t="s">
        <v>2886</v>
      </c>
      <c r="G5587" s="46" t="s">
        <v>208</v>
      </c>
      <c r="H5587" s="46">
        <v>1</v>
      </c>
      <c r="I5587" s="51">
        <v>189.75</v>
      </c>
      <c r="J5587" s="281">
        <f>++Tabla4[[#This Row],[Precio Bruto]]*1.16</f>
        <v>220.10999999999999</v>
      </c>
      <c r="K5587" s="281">
        <f>+Tabla4[[#This Row],[Precio Unitario Neto]]*Tabla4[[#Headers],[20.85%]]</f>
        <v>45.892934999999994</v>
      </c>
      <c r="L5587" s="282">
        <f>++Tabla4[[#This Row],[Precio Unitario Neto]]-Tabla4[[#This Row],[20.85%]]</f>
        <v>174.21706499999999</v>
      </c>
      <c r="M5587" s="282" t="e">
        <f>(INDEX(Tabla6[#All],MATCH(Tabla4[[#This Row],[Producto]],Tabla6[[#All],[PRODUCTO]],0),MATCH(Tabla4[[#This Row],[Mes]],Tabla6[#Headers],0)))*(1+Catalogos!$L$2)</f>
        <v>#N/A</v>
      </c>
      <c r="N5587" s="283" t="e">
        <f>+(Tabla4[[#This Row],[Precio Descontado]]-Tabla4[[#This Row],[Precio Base]])*Tabla4[[#This Row],[Cantidad]]</f>
        <v>#N/A</v>
      </c>
      <c r="O5587" s="284" t="e">
        <f>++Tabla4[[#This Row],[Utilidad Total]]/Tabla4[[#This Row],[Total]]</f>
        <v>#N/A</v>
      </c>
      <c r="P5587" s="282">
        <f>++Tabla4[[#This Row],[Precio Descontado]]*Tabla4[[#This Row],[Cantidad]]</f>
        <v>174.21706499999999</v>
      </c>
      <c r="Q5587" s="282" t="e">
        <f>(INDEX(Tabla6[#All],MATCH(Tabla4[[#This Row],[Producto]],Tabla6[[#All],[PRODUCTO]],0),MATCH(Tabla4[[#This Row],[Mes]],Tabla6[#Headers],0)))</f>
        <v>#N/A</v>
      </c>
      <c r="R5587" s="282" t="e">
        <f>++Tabla4[[#This Row],[Precio Unitario Neto]]-Tabla4[[#This Row],[20.85%]]-Tabla4[[#This Row],[Costo]]</f>
        <v>#N/A</v>
      </c>
      <c r="S5587" s="282" t="e">
        <f>++Tabla4[[#This Row],[U. Bruta Uni]]*Tabla4[[#This Row],[Cantidad]]</f>
        <v>#N/A</v>
      </c>
      <c r="T5587" s="369" t="str">
        <f>VLOOKUP(Tabla4[[#This Row],[Producto]],Tabla6[#All],14,FALSE)</f>
        <v>Termico Solar</v>
      </c>
      <c r="U5587" s="284" t="e">
        <f>(IF(Tabla4[[#This Row],[Familia]]="termico solar",Tabla4[[#This Row],[Utilidad Total]]*6%,Tabla4[[#This Row],[Utilidad Total]]*11.5%))/Tabla4[[#This Row],[Total]]</f>
        <v>#N/A</v>
      </c>
      <c r="V5587" s="282" t="e">
        <f>+Tabla4[[#This Row],[Comisión Calculada]]*Tabla4[[#This Row],[Total]]</f>
        <v>#N/A</v>
      </c>
    </row>
    <row r="5588" spans="1:22" hidden="1" x14ac:dyDescent="0.25">
      <c r="A5588" s="100">
        <v>45900</v>
      </c>
      <c r="B5588" t="str">
        <f t="shared" si="269"/>
        <v>August</v>
      </c>
      <c r="C5588" s="46" t="s">
        <v>280</v>
      </c>
      <c r="F5588" s="366" t="s">
        <v>2887</v>
      </c>
      <c r="G5588" s="46" t="s">
        <v>83</v>
      </c>
      <c r="H5588" s="46">
        <v>1</v>
      </c>
      <c r="I5588" s="51">
        <v>8858.76</v>
      </c>
      <c r="J5588" s="281">
        <f>++Tabla4[[#This Row],[Precio Bruto]]*1.16</f>
        <v>10276.161599999999</v>
      </c>
      <c r="K5588" s="281">
        <f>+Tabla4[[#This Row],[Precio Unitario Neto]]*Tabla4[[#Headers],[20.85%]]</f>
        <v>2142.5796935999997</v>
      </c>
      <c r="L5588" s="282">
        <f>++Tabla4[[#This Row],[Precio Unitario Neto]]-Tabla4[[#This Row],[20.85%]]</f>
        <v>8133.5819063999998</v>
      </c>
      <c r="M5588" s="282" t="e">
        <f>(INDEX(Tabla6[#All],MATCH(Tabla4[[#This Row],[Producto]],Tabla6[[#All],[PRODUCTO]],0),MATCH(Tabla4[[#This Row],[Mes]],Tabla6[#Headers],0)))*(1+Catalogos!$L$2)</f>
        <v>#N/A</v>
      </c>
      <c r="N5588" s="283" t="e">
        <f>+(Tabla4[[#This Row],[Precio Descontado]]-Tabla4[[#This Row],[Precio Base]])*Tabla4[[#This Row],[Cantidad]]</f>
        <v>#N/A</v>
      </c>
      <c r="O5588" s="284" t="e">
        <f>++Tabla4[[#This Row],[Utilidad Total]]/Tabla4[[#This Row],[Total]]</f>
        <v>#N/A</v>
      </c>
      <c r="P5588" s="282">
        <f>++Tabla4[[#This Row],[Precio Descontado]]*Tabla4[[#This Row],[Cantidad]]</f>
        <v>8133.5819063999998</v>
      </c>
      <c r="Q5588" s="282" t="e">
        <f>(INDEX(Tabla6[#All],MATCH(Tabla4[[#This Row],[Producto]],Tabla6[[#All],[PRODUCTO]],0),MATCH(Tabla4[[#This Row],[Mes]],Tabla6[#Headers],0)))</f>
        <v>#N/A</v>
      </c>
      <c r="R5588" s="282" t="e">
        <f>++Tabla4[[#This Row],[Precio Unitario Neto]]-Tabla4[[#This Row],[20.85%]]-Tabla4[[#This Row],[Costo]]</f>
        <v>#N/A</v>
      </c>
      <c r="S5588" s="282" t="e">
        <f>++Tabla4[[#This Row],[U. Bruta Uni]]*Tabla4[[#This Row],[Cantidad]]</f>
        <v>#N/A</v>
      </c>
      <c r="T5588" s="369" t="str">
        <f>VLOOKUP(Tabla4[[#This Row],[Producto]],Tabla6[#All],14,FALSE)</f>
        <v>Termico Solar</v>
      </c>
      <c r="U5588" s="284" t="e">
        <f>(IF(Tabla4[[#This Row],[Familia]]="termico solar",Tabla4[[#This Row],[Utilidad Total]]*6%,Tabla4[[#This Row],[Utilidad Total]]*11.5%))/Tabla4[[#This Row],[Total]]</f>
        <v>#N/A</v>
      </c>
      <c r="V5588" s="282" t="e">
        <f>+Tabla4[[#This Row],[Comisión Calculada]]*Tabla4[[#This Row],[Total]]</f>
        <v>#N/A</v>
      </c>
    </row>
    <row r="5589" spans="1:22" hidden="1" x14ac:dyDescent="0.25">
      <c r="A5589" s="100">
        <v>45900</v>
      </c>
      <c r="B5589" t="str">
        <f t="shared" si="269"/>
        <v>August</v>
      </c>
      <c r="C5589" s="46" t="s">
        <v>280</v>
      </c>
      <c r="F5589" s="366" t="s">
        <v>2887</v>
      </c>
      <c r="G5589" s="46" t="s">
        <v>566</v>
      </c>
      <c r="H5589" s="46">
        <v>1</v>
      </c>
      <c r="I5589" s="51">
        <v>2109.4499999999998</v>
      </c>
      <c r="J5589" s="281">
        <f>++Tabla4[[#This Row],[Precio Bruto]]*1.16</f>
        <v>2446.9619999999995</v>
      </c>
      <c r="K5589" s="281">
        <f>+Tabla4[[#This Row],[Precio Unitario Neto]]*Tabla4[[#Headers],[20.85%]]</f>
        <v>510.19157699999988</v>
      </c>
      <c r="L5589" s="282">
        <f>++Tabla4[[#This Row],[Precio Unitario Neto]]-Tabla4[[#This Row],[20.85%]]</f>
        <v>1936.7704229999997</v>
      </c>
      <c r="M5589" s="282" t="e">
        <f>(INDEX(Tabla6[#All],MATCH(Tabla4[[#This Row],[Producto]],Tabla6[[#All],[PRODUCTO]],0),MATCH(Tabla4[[#This Row],[Mes]],Tabla6[#Headers],0)))*(1+Catalogos!$L$2)</f>
        <v>#N/A</v>
      </c>
      <c r="N5589" s="283" t="e">
        <f>+(Tabla4[[#This Row],[Precio Descontado]]-Tabla4[[#This Row],[Precio Base]])*Tabla4[[#This Row],[Cantidad]]</f>
        <v>#N/A</v>
      </c>
      <c r="O5589" s="284" t="e">
        <f>++Tabla4[[#This Row],[Utilidad Total]]/Tabla4[[#This Row],[Total]]</f>
        <v>#N/A</v>
      </c>
      <c r="P5589" s="282">
        <f>++Tabla4[[#This Row],[Precio Descontado]]*Tabla4[[#This Row],[Cantidad]]</f>
        <v>1936.7704229999997</v>
      </c>
      <c r="Q5589" s="282" t="e">
        <f>(INDEX(Tabla6[#All],MATCH(Tabla4[[#This Row],[Producto]],Tabla6[[#All],[PRODUCTO]],0),MATCH(Tabla4[[#This Row],[Mes]],Tabla6[#Headers],0)))</f>
        <v>#N/A</v>
      </c>
      <c r="R5589" s="282" t="e">
        <f>++Tabla4[[#This Row],[Precio Unitario Neto]]-Tabla4[[#This Row],[20.85%]]-Tabla4[[#This Row],[Costo]]</f>
        <v>#N/A</v>
      </c>
      <c r="S5589" s="282" t="e">
        <f>++Tabla4[[#This Row],[U. Bruta Uni]]*Tabla4[[#This Row],[Cantidad]]</f>
        <v>#N/A</v>
      </c>
      <c r="T5589" s="369" t="str">
        <f>VLOOKUP(Tabla4[[#This Row],[Producto]],Tabla6[#All],14,FALSE)</f>
        <v>Termico Solar</v>
      </c>
      <c r="U5589" s="284" t="e">
        <f>(IF(Tabla4[[#This Row],[Familia]]="termico solar",Tabla4[[#This Row],[Utilidad Total]]*6%,Tabla4[[#This Row],[Utilidad Total]]*11.5%))/Tabla4[[#This Row],[Total]]</f>
        <v>#N/A</v>
      </c>
      <c r="V5589" s="282" t="e">
        <f>+Tabla4[[#This Row],[Comisión Calculada]]*Tabla4[[#This Row],[Total]]</f>
        <v>#N/A</v>
      </c>
    </row>
    <row r="5590" spans="1:22" hidden="1" x14ac:dyDescent="0.25">
      <c r="A5590" s="100">
        <v>45900</v>
      </c>
      <c r="B5590" t="str">
        <f t="shared" si="269"/>
        <v>August</v>
      </c>
      <c r="C5590" s="46" t="s">
        <v>280</v>
      </c>
      <c r="F5590" s="366" t="s">
        <v>2887</v>
      </c>
      <c r="G5590" s="46" t="s">
        <v>16</v>
      </c>
      <c r="H5590" s="46">
        <v>1</v>
      </c>
      <c r="I5590" s="51">
        <v>4103.8500000000004</v>
      </c>
      <c r="J5590" s="281">
        <f>++Tabla4[[#This Row],[Precio Bruto]]*1.16</f>
        <v>4760.4660000000003</v>
      </c>
      <c r="K5590" s="281">
        <f>+Tabla4[[#This Row],[Precio Unitario Neto]]*Tabla4[[#Headers],[20.85%]]</f>
        <v>992.55716100000006</v>
      </c>
      <c r="L5590" s="282">
        <f>++Tabla4[[#This Row],[Precio Unitario Neto]]-Tabla4[[#This Row],[20.85%]]</f>
        <v>3767.9088390000002</v>
      </c>
      <c r="M5590" s="282" t="e">
        <f>(INDEX(Tabla6[#All],MATCH(Tabla4[[#This Row],[Producto]],Tabla6[[#All],[PRODUCTO]],0),MATCH(Tabla4[[#This Row],[Mes]],Tabla6[#Headers],0)))*(1+Catalogos!$L$2)</f>
        <v>#N/A</v>
      </c>
      <c r="N5590" s="283" t="e">
        <f>+(Tabla4[[#This Row],[Precio Descontado]]-Tabla4[[#This Row],[Precio Base]])*Tabla4[[#This Row],[Cantidad]]</f>
        <v>#N/A</v>
      </c>
      <c r="O5590" s="284" t="e">
        <f>++Tabla4[[#This Row],[Utilidad Total]]/Tabla4[[#This Row],[Total]]</f>
        <v>#N/A</v>
      </c>
      <c r="P5590" s="282">
        <f>++Tabla4[[#This Row],[Precio Descontado]]*Tabla4[[#This Row],[Cantidad]]</f>
        <v>3767.9088390000002</v>
      </c>
      <c r="Q5590" s="282" t="e">
        <f>(INDEX(Tabla6[#All],MATCH(Tabla4[[#This Row],[Producto]],Tabla6[[#All],[PRODUCTO]],0),MATCH(Tabla4[[#This Row],[Mes]],Tabla6[#Headers],0)))</f>
        <v>#N/A</v>
      </c>
      <c r="R5590" s="282" t="e">
        <f>++Tabla4[[#This Row],[Precio Unitario Neto]]-Tabla4[[#This Row],[20.85%]]-Tabla4[[#This Row],[Costo]]</f>
        <v>#N/A</v>
      </c>
      <c r="S5590" s="282" t="e">
        <f>++Tabla4[[#This Row],[U. Bruta Uni]]*Tabla4[[#This Row],[Cantidad]]</f>
        <v>#N/A</v>
      </c>
      <c r="T5590" s="369" t="str">
        <f>VLOOKUP(Tabla4[[#This Row],[Producto]],Tabla6[#All],14,FALSE)</f>
        <v>Termico Solar</v>
      </c>
      <c r="U5590" s="284" t="e">
        <f>(IF(Tabla4[[#This Row],[Familia]]="termico solar",Tabla4[[#This Row],[Utilidad Total]]*6%,Tabla4[[#This Row],[Utilidad Total]]*11.5%))/Tabla4[[#This Row],[Total]]</f>
        <v>#N/A</v>
      </c>
      <c r="V5590" s="282" t="e">
        <f>+Tabla4[[#This Row],[Comisión Calculada]]*Tabla4[[#This Row],[Total]]</f>
        <v>#N/A</v>
      </c>
    </row>
    <row r="5591" spans="1:22" hidden="1" x14ac:dyDescent="0.25">
      <c r="A5591" s="100">
        <v>45900</v>
      </c>
      <c r="B5591" t="str">
        <f t="shared" si="269"/>
        <v>August</v>
      </c>
      <c r="C5591" s="46" t="s">
        <v>280</v>
      </c>
      <c r="F5591" s="366" t="s">
        <v>2888</v>
      </c>
      <c r="G5591" s="46" t="s">
        <v>18</v>
      </c>
      <c r="H5591" s="46">
        <v>1</v>
      </c>
      <c r="I5591" s="51">
        <v>5367.65</v>
      </c>
      <c r="J5591" s="281">
        <f>++Tabla4[[#This Row],[Precio Bruto]]*1.16</f>
        <v>6226.4739999999993</v>
      </c>
      <c r="K5591" s="281">
        <f>+Tabla4[[#This Row],[Precio Unitario Neto]]*Tabla4[[#Headers],[20.85%]]</f>
        <v>1298.2198289999999</v>
      </c>
      <c r="L5591" s="282">
        <f>++Tabla4[[#This Row],[Precio Unitario Neto]]-Tabla4[[#This Row],[20.85%]]</f>
        <v>4928.2541709999996</v>
      </c>
      <c r="M5591" s="282" t="e">
        <f>(INDEX(Tabla6[#All],MATCH(Tabla4[[#This Row],[Producto]],Tabla6[[#All],[PRODUCTO]],0),MATCH(Tabla4[[#This Row],[Mes]],Tabla6[#Headers],0)))*(1+Catalogos!$L$2)</f>
        <v>#N/A</v>
      </c>
      <c r="N5591" s="283" t="e">
        <f>+(Tabla4[[#This Row],[Precio Descontado]]-Tabla4[[#This Row],[Precio Base]])*Tabla4[[#This Row],[Cantidad]]</f>
        <v>#N/A</v>
      </c>
      <c r="O5591" s="284" t="e">
        <f>++Tabla4[[#This Row],[Utilidad Total]]/Tabla4[[#This Row],[Total]]</f>
        <v>#N/A</v>
      </c>
      <c r="P5591" s="282">
        <f>++Tabla4[[#This Row],[Precio Descontado]]*Tabla4[[#This Row],[Cantidad]]</f>
        <v>4928.2541709999996</v>
      </c>
      <c r="Q5591" s="282" t="e">
        <f>(INDEX(Tabla6[#All],MATCH(Tabla4[[#This Row],[Producto]],Tabla6[[#All],[PRODUCTO]],0),MATCH(Tabla4[[#This Row],[Mes]],Tabla6[#Headers],0)))</f>
        <v>#N/A</v>
      </c>
      <c r="R5591" s="282" t="e">
        <f>++Tabla4[[#This Row],[Precio Unitario Neto]]-Tabla4[[#This Row],[20.85%]]-Tabla4[[#This Row],[Costo]]</f>
        <v>#N/A</v>
      </c>
      <c r="S5591" s="282" t="e">
        <f>++Tabla4[[#This Row],[U. Bruta Uni]]*Tabla4[[#This Row],[Cantidad]]</f>
        <v>#N/A</v>
      </c>
      <c r="T5591" s="369" t="str">
        <f>VLOOKUP(Tabla4[[#This Row],[Producto]],Tabla6[#All],14,FALSE)</f>
        <v>Termico Solar</v>
      </c>
      <c r="U5591" s="284" t="e">
        <f>(IF(Tabla4[[#This Row],[Familia]]="termico solar",Tabla4[[#This Row],[Utilidad Total]]*6%,Tabla4[[#This Row],[Utilidad Total]]*11.5%))/Tabla4[[#This Row],[Total]]</f>
        <v>#N/A</v>
      </c>
      <c r="V5591" s="282" t="e">
        <f>+Tabla4[[#This Row],[Comisión Calculada]]*Tabla4[[#This Row],[Total]]</f>
        <v>#N/A</v>
      </c>
    </row>
    <row r="5592" spans="1:22" hidden="1" x14ac:dyDescent="0.25">
      <c r="A5592" s="100">
        <v>45915</v>
      </c>
      <c r="B5592" t="str">
        <f t="shared" si="269"/>
        <v>September</v>
      </c>
      <c r="C5592" s="46" t="s">
        <v>280</v>
      </c>
      <c r="F5592" s="366" t="s">
        <v>2891</v>
      </c>
      <c r="G5592" s="46" t="s">
        <v>83</v>
      </c>
      <c r="H5592" s="46">
        <v>1</v>
      </c>
      <c r="I5592" s="51">
        <v>8858.76</v>
      </c>
      <c r="J5592" s="281">
        <f>++Tabla4[[#This Row],[Precio Bruto]]*1.16</f>
        <v>10276.161599999999</v>
      </c>
      <c r="K5592" s="281">
        <f>+Tabla4[[#This Row],[Precio Unitario Neto]]*Tabla4[[#Headers],[20.85%]]</f>
        <v>2142.5796935999997</v>
      </c>
      <c r="L5592" s="282">
        <f>++Tabla4[[#This Row],[Precio Unitario Neto]]-Tabla4[[#This Row],[20.85%]]</f>
        <v>8133.5819063999998</v>
      </c>
      <c r="M5592" s="282" t="e">
        <f>(INDEX(Tabla6[#All],MATCH(Tabla4[[#This Row],[Producto]],Tabla6[[#All],[PRODUCTO]],0),MATCH(Tabla4[[#This Row],[Mes]],Tabla6[#Headers],0)))*(1+Catalogos!$L$2)</f>
        <v>#N/A</v>
      </c>
      <c r="N5592" s="283" t="e">
        <f>+(Tabla4[[#This Row],[Precio Descontado]]-Tabla4[[#This Row],[Precio Base]])*Tabla4[[#This Row],[Cantidad]]</f>
        <v>#N/A</v>
      </c>
      <c r="O5592" s="284" t="e">
        <f>++Tabla4[[#This Row],[Utilidad Total]]/Tabla4[[#This Row],[Total]]</f>
        <v>#N/A</v>
      </c>
      <c r="P5592" s="282">
        <f>++Tabla4[[#This Row],[Precio Descontado]]*Tabla4[[#This Row],[Cantidad]]</f>
        <v>8133.5819063999998</v>
      </c>
      <c r="Q5592" s="282" t="e">
        <f>(INDEX(Tabla6[#All],MATCH(Tabla4[[#This Row],[Producto]],Tabla6[[#All],[PRODUCTO]],0),MATCH(Tabla4[[#This Row],[Mes]],Tabla6[#Headers],0)))</f>
        <v>#N/A</v>
      </c>
      <c r="R5592" s="282" t="e">
        <f>++Tabla4[[#This Row],[Precio Unitario Neto]]-Tabla4[[#This Row],[20.85%]]-Tabla4[[#This Row],[Costo]]</f>
        <v>#N/A</v>
      </c>
      <c r="S5592" s="282" t="e">
        <f>++Tabla4[[#This Row],[U. Bruta Uni]]*Tabla4[[#This Row],[Cantidad]]</f>
        <v>#N/A</v>
      </c>
      <c r="T5592" s="369" t="str">
        <f>VLOOKUP(Tabla4[[#This Row],[Producto]],Tabla6[#All],14,FALSE)</f>
        <v>Termico Solar</v>
      </c>
      <c r="U5592" s="284" t="e">
        <f>(IF(Tabla4[[#This Row],[Familia]]="termico solar",Tabla4[[#This Row],[Utilidad Total]]*6%,Tabla4[[#This Row],[Utilidad Total]]*11.5%))/Tabla4[[#This Row],[Total]]</f>
        <v>#N/A</v>
      </c>
      <c r="V5592" s="282" t="e">
        <f>+Tabla4[[#This Row],[Comisión Calculada]]*Tabla4[[#This Row],[Total]]</f>
        <v>#N/A</v>
      </c>
    </row>
    <row r="5593" spans="1:22" hidden="1" x14ac:dyDescent="0.25">
      <c r="A5593" s="100">
        <v>45915</v>
      </c>
      <c r="B5593" t="str">
        <f t="shared" si="269"/>
        <v>September</v>
      </c>
      <c r="C5593" s="46" t="s">
        <v>280</v>
      </c>
      <c r="F5593" s="366" t="s">
        <v>2891</v>
      </c>
      <c r="G5593" s="46" t="s">
        <v>18</v>
      </c>
      <c r="H5593" s="46">
        <v>1</v>
      </c>
      <c r="I5593" s="51">
        <v>5367.65</v>
      </c>
      <c r="J5593" s="281">
        <f>++Tabla4[[#This Row],[Precio Bruto]]*1.16</f>
        <v>6226.4739999999993</v>
      </c>
      <c r="K5593" s="281">
        <f>+Tabla4[[#This Row],[Precio Unitario Neto]]*Tabla4[[#Headers],[20.85%]]</f>
        <v>1298.2198289999999</v>
      </c>
      <c r="L5593" s="282">
        <f>++Tabla4[[#This Row],[Precio Unitario Neto]]-Tabla4[[#This Row],[20.85%]]</f>
        <v>4928.2541709999996</v>
      </c>
      <c r="M5593" s="282" t="e">
        <f>(INDEX(Tabla6[#All],MATCH(Tabla4[[#This Row],[Producto]],Tabla6[[#All],[PRODUCTO]],0),MATCH(Tabla4[[#This Row],[Mes]],Tabla6[#Headers],0)))*(1+Catalogos!$L$2)</f>
        <v>#N/A</v>
      </c>
      <c r="N5593" s="283" t="e">
        <f>+(Tabla4[[#This Row],[Precio Descontado]]-Tabla4[[#This Row],[Precio Base]])*Tabla4[[#This Row],[Cantidad]]</f>
        <v>#N/A</v>
      </c>
      <c r="O5593" s="284" t="e">
        <f>++Tabla4[[#This Row],[Utilidad Total]]/Tabla4[[#This Row],[Total]]</f>
        <v>#N/A</v>
      </c>
      <c r="P5593" s="282">
        <f>++Tabla4[[#This Row],[Precio Descontado]]*Tabla4[[#This Row],[Cantidad]]</f>
        <v>4928.2541709999996</v>
      </c>
      <c r="Q5593" s="282" t="e">
        <f>(INDEX(Tabla6[#All],MATCH(Tabla4[[#This Row],[Producto]],Tabla6[[#All],[PRODUCTO]],0),MATCH(Tabla4[[#This Row],[Mes]],Tabla6[#Headers],0)))</f>
        <v>#N/A</v>
      </c>
      <c r="R5593" s="282" t="e">
        <f>++Tabla4[[#This Row],[Precio Unitario Neto]]-Tabla4[[#This Row],[20.85%]]-Tabla4[[#This Row],[Costo]]</f>
        <v>#N/A</v>
      </c>
      <c r="S5593" s="282" t="e">
        <f>++Tabla4[[#This Row],[U. Bruta Uni]]*Tabla4[[#This Row],[Cantidad]]</f>
        <v>#N/A</v>
      </c>
      <c r="T5593" s="369" t="str">
        <f>VLOOKUP(Tabla4[[#This Row],[Producto]],Tabla6[#All],14,FALSE)</f>
        <v>Termico Solar</v>
      </c>
      <c r="U5593" s="284" t="e">
        <f>(IF(Tabla4[[#This Row],[Familia]]="termico solar",Tabla4[[#This Row],[Utilidad Total]]*6%,Tabla4[[#This Row],[Utilidad Total]]*11.5%))/Tabla4[[#This Row],[Total]]</f>
        <v>#N/A</v>
      </c>
      <c r="V5593" s="282" t="e">
        <f>+Tabla4[[#This Row],[Comisión Calculada]]*Tabla4[[#This Row],[Total]]</f>
        <v>#N/A</v>
      </c>
    </row>
    <row r="5594" spans="1:22" hidden="1" x14ac:dyDescent="0.25">
      <c r="A5594" s="100">
        <v>45915</v>
      </c>
      <c r="B5594" t="str">
        <f t="shared" si="269"/>
        <v>September</v>
      </c>
      <c r="C5594" s="46" t="s">
        <v>280</v>
      </c>
      <c r="F5594" s="366" t="s">
        <v>2891</v>
      </c>
      <c r="G5594" s="46" t="s">
        <v>16</v>
      </c>
      <c r="H5594" s="46">
        <v>2</v>
      </c>
      <c r="I5594" s="51">
        <v>4103.8500000000004</v>
      </c>
      <c r="J5594" s="281">
        <f>++Tabla4[[#This Row],[Precio Bruto]]*1.16</f>
        <v>4760.4660000000003</v>
      </c>
      <c r="K5594" s="281">
        <f>+Tabla4[[#This Row],[Precio Unitario Neto]]*Tabla4[[#Headers],[20.85%]]</f>
        <v>992.55716100000006</v>
      </c>
      <c r="L5594" s="282">
        <f>++Tabla4[[#This Row],[Precio Unitario Neto]]-Tabla4[[#This Row],[20.85%]]</f>
        <v>3767.9088390000002</v>
      </c>
      <c r="M5594" s="282" t="e">
        <f>(INDEX(Tabla6[#All],MATCH(Tabla4[[#This Row],[Producto]],Tabla6[[#All],[PRODUCTO]],0),MATCH(Tabla4[[#This Row],[Mes]],Tabla6[#Headers],0)))*(1+Catalogos!$L$2)</f>
        <v>#N/A</v>
      </c>
      <c r="N5594" s="283" t="e">
        <f>+(Tabla4[[#This Row],[Precio Descontado]]-Tabla4[[#This Row],[Precio Base]])*Tabla4[[#This Row],[Cantidad]]</f>
        <v>#N/A</v>
      </c>
      <c r="O5594" s="284" t="e">
        <f>++Tabla4[[#This Row],[Utilidad Total]]/Tabla4[[#This Row],[Total]]</f>
        <v>#N/A</v>
      </c>
      <c r="P5594" s="282">
        <f>++Tabla4[[#This Row],[Precio Descontado]]*Tabla4[[#This Row],[Cantidad]]</f>
        <v>7535.8176780000003</v>
      </c>
      <c r="Q5594" s="282" t="e">
        <f>(INDEX(Tabla6[#All],MATCH(Tabla4[[#This Row],[Producto]],Tabla6[[#All],[PRODUCTO]],0),MATCH(Tabla4[[#This Row],[Mes]],Tabla6[#Headers],0)))</f>
        <v>#N/A</v>
      </c>
      <c r="R5594" s="282" t="e">
        <f>++Tabla4[[#This Row],[Precio Unitario Neto]]-Tabla4[[#This Row],[20.85%]]-Tabla4[[#This Row],[Costo]]</f>
        <v>#N/A</v>
      </c>
      <c r="S5594" s="282" t="e">
        <f>++Tabla4[[#This Row],[U. Bruta Uni]]*Tabla4[[#This Row],[Cantidad]]</f>
        <v>#N/A</v>
      </c>
      <c r="T5594" s="369" t="str">
        <f>VLOOKUP(Tabla4[[#This Row],[Producto]],Tabla6[#All],14,FALSE)</f>
        <v>Termico Solar</v>
      </c>
      <c r="U5594" s="284" t="e">
        <f>(IF(Tabla4[[#This Row],[Familia]]="termico solar",Tabla4[[#This Row],[Utilidad Total]]*6%,Tabla4[[#This Row],[Utilidad Total]]*11.5%))/Tabla4[[#This Row],[Total]]</f>
        <v>#N/A</v>
      </c>
      <c r="V5594" s="282" t="e">
        <f>+Tabla4[[#This Row],[Comisión Calculada]]*Tabla4[[#This Row],[Total]]</f>
        <v>#N/A</v>
      </c>
    </row>
    <row r="5595" spans="1:22" hidden="1" x14ac:dyDescent="0.25">
      <c r="A5595" s="100">
        <v>45915</v>
      </c>
      <c r="B5595" t="str">
        <f t="shared" ref="B5595:B5604" si="270">TEXT(A5595, "mmmm")</f>
        <v>September</v>
      </c>
      <c r="C5595" s="46" t="s">
        <v>280</v>
      </c>
      <c r="F5595" s="366" t="s">
        <v>2892</v>
      </c>
      <c r="G5595" s="46" t="s">
        <v>83</v>
      </c>
      <c r="H5595" s="46">
        <v>8</v>
      </c>
      <c r="I5595" s="51">
        <v>8858.76</v>
      </c>
      <c r="J5595" s="281">
        <f>++Tabla4[[#This Row],[Precio Bruto]]*1.16</f>
        <v>10276.161599999999</v>
      </c>
      <c r="K5595" s="281">
        <f>+Tabla4[[#This Row],[Precio Unitario Neto]]*Tabla4[[#Headers],[20.85%]]</f>
        <v>2142.5796935999997</v>
      </c>
      <c r="L5595" s="282">
        <f>++Tabla4[[#This Row],[Precio Unitario Neto]]-Tabla4[[#This Row],[20.85%]]</f>
        <v>8133.5819063999998</v>
      </c>
      <c r="M5595" s="282" t="e">
        <f>(INDEX(Tabla6[#All],MATCH(Tabla4[[#This Row],[Producto]],Tabla6[[#All],[PRODUCTO]],0),MATCH(Tabla4[[#This Row],[Mes]],Tabla6[#Headers],0)))*(1+Catalogos!$L$2)</f>
        <v>#N/A</v>
      </c>
      <c r="N5595" s="283" t="e">
        <f>+(Tabla4[[#This Row],[Precio Descontado]]-Tabla4[[#This Row],[Precio Base]])*Tabla4[[#This Row],[Cantidad]]</f>
        <v>#N/A</v>
      </c>
      <c r="O5595" s="284" t="e">
        <f>++Tabla4[[#This Row],[Utilidad Total]]/Tabla4[[#This Row],[Total]]</f>
        <v>#N/A</v>
      </c>
      <c r="P5595" s="282">
        <f>++Tabla4[[#This Row],[Precio Descontado]]*Tabla4[[#This Row],[Cantidad]]</f>
        <v>65068.655251199998</v>
      </c>
      <c r="Q5595" s="282" t="e">
        <f>(INDEX(Tabla6[#All],MATCH(Tabla4[[#This Row],[Producto]],Tabla6[[#All],[PRODUCTO]],0),MATCH(Tabla4[[#This Row],[Mes]],Tabla6[#Headers],0)))</f>
        <v>#N/A</v>
      </c>
      <c r="R5595" s="282" t="e">
        <f>++Tabla4[[#This Row],[Precio Unitario Neto]]-Tabla4[[#This Row],[20.85%]]-Tabla4[[#This Row],[Costo]]</f>
        <v>#N/A</v>
      </c>
      <c r="S5595" s="282" t="e">
        <f>++Tabla4[[#This Row],[U. Bruta Uni]]*Tabla4[[#This Row],[Cantidad]]</f>
        <v>#N/A</v>
      </c>
      <c r="T5595" s="369" t="str">
        <f>VLOOKUP(Tabla4[[#This Row],[Producto]],Tabla6[#All],14,FALSE)</f>
        <v>Termico Solar</v>
      </c>
      <c r="U5595" s="284" t="e">
        <f>(IF(Tabla4[[#This Row],[Familia]]="termico solar",Tabla4[[#This Row],[Utilidad Total]]*6%,Tabla4[[#This Row],[Utilidad Total]]*11.5%))/Tabla4[[#This Row],[Total]]</f>
        <v>#N/A</v>
      </c>
      <c r="V5595" s="282" t="e">
        <f>+Tabla4[[#This Row],[Comisión Calculada]]*Tabla4[[#This Row],[Total]]</f>
        <v>#N/A</v>
      </c>
    </row>
    <row r="5596" spans="1:22" hidden="1" x14ac:dyDescent="0.25">
      <c r="A5596" s="100">
        <v>45915</v>
      </c>
      <c r="B5596" t="str">
        <f t="shared" si="270"/>
        <v>September</v>
      </c>
      <c r="C5596" s="46" t="s">
        <v>280</v>
      </c>
      <c r="F5596" s="366" t="s">
        <v>2892</v>
      </c>
      <c r="G5596" s="46" t="s">
        <v>17</v>
      </c>
      <c r="H5596" s="46">
        <v>1</v>
      </c>
      <c r="I5596" s="51">
        <v>4622.28</v>
      </c>
      <c r="J5596" s="281">
        <f>++Tabla4[[#This Row],[Precio Bruto]]*1.16</f>
        <v>5361.8447999999989</v>
      </c>
      <c r="K5596" s="281">
        <f>+Tabla4[[#This Row],[Precio Unitario Neto]]*Tabla4[[#Headers],[20.85%]]</f>
        <v>1117.9446407999997</v>
      </c>
      <c r="L5596" s="282">
        <f>++Tabla4[[#This Row],[Precio Unitario Neto]]-Tabla4[[#This Row],[20.85%]]</f>
        <v>4243.9001591999995</v>
      </c>
      <c r="M5596" s="282" t="e">
        <f>(INDEX(Tabla6[#All],MATCH(Tabla4[[#This Row],[Producto]],Tabla6[[#All],[PRODUCTO]],0),MATCH(Tabla4[[#This Row],[Mes]],Tabla6[#Headers],0)))*(1+Catalogos!$L$2)</f>
        <v>#N/A</v>
      </c>
      <c r="N5596" s="283" t="e">
        <f>+(Tabla4[[#This Row],[Precio Descontado]]-Tabla4[[#This Row],[Precio Base]])*Tabla4[[#This Row],[Cantidad]]</f>
        <v>#N/A</v>
      </c>
      <c r="O5596" s="284" t="e">
        <f>++Tabla4[[#This Row],[Utilidad Total]]/Tabla4[[#This Row],[Total]]</f>
        <v>#N/A</v>
      </c>
      <c r="P5596" s="282">
        <f>++Tabla4[[#This Row],[Precio Descontado]]*Tabla4[[#This Row],[Cantidad]]</f>
        <v>4243.9001591999995</v>
      </c>
      <c r="Q5596" s="282" t="e">
        <f>(INDEX(Tabla6[#All],MATCH(Tabla4[[#This Row],[Producto]],Tabla6[[#All],[PRODUCTO]],0),MATCH(Tabla4[[#This Row],[Mes]],Tabla6[#Headers],0)))</f>
        <v>#N/A</v>
      </c>
      <c r="R5596" s="282" t="e">
        <f>++Tabla4[[#This Row],[Precio Unitario Neto]]-Tabla4[[#This Row],[20.85%]]-Tabla4[[#This Row],[Costo]]</f>
        <v>#N/A</v>
      </c>
      <c r="S5596" s="282" t="e">
        <f>++Tabla4[[#This Row],[U. Bruta Uni]]*Tabla4[[#This Row],[Cantidad]]</f>
        <v>#N/A</v>
      </c>
      <c r="T5596" s="369" t="str">
        <f>VLOOKUP(Tabla4[[#This Row],[Producto]],Tabla6[#All],14,FALSE)</f>
        <v>Termico Solar</v>
      </c>
      <c r="U5596" s="284" t="e">
        <f>(IF(Tabla4[[#This Row],[Familia]]="termico solar",Tabla4[[#This Row],[Utilidad Total]]*6%,Tabla4[[#This Row],[Utilidad Total]]*11.5%))/Tabla4[[#This Row],[Total]]</f>
        <v>#N/A</v>
      </c>
      <c r="V5596" s="282" t="e">
        <f>+Tabla4[[#This Row],[Comisión Calculada]]*Tabla4[[#This Row],[Total]]</f>
        <v>#N/A</v>
      </c>
    </row>
    <row r="5597" spans="1:22" hidden="1" x14ac:dyDescent="0.25">
      <c r="A5597" s="100">
        <v>45915</v>
      </c>
      <c r="B5597" t="str">
        <f t="shared" si="270"/>
        <v>September</v>
      </c>
      <c r="C5597" s="46" t="s">
        <v>280</v>
      </c>
      <c r="F5597" s="366" t="s">
        <v>2892</v>
      </c>
      <c r="G5597" s="46" t="s">
        <v>18</v>
      </c>
      <c r="H5597" s="46">
        <v>4</v>
      </c>
      <c r="I5597" s="51">
        <v>5367.65</v>
      </c>
      <c r="J5597" s="281">
        <f>++Tabla4[[#This Row],[Precio Bruto]]*1.16</f>
        <v>6226.4739999999993</v>
      </c>
      <c r="K5597" s="281">
        <f>+Tabla4[[#This Row],[Precio Unitario Neto]]*Tabla4[[#Headers],[20.85%]]</f>
        <v>1298.2198289999999</v>
      </c>
      <c r="L5597" s="282">
        <f>++Tabla4[[#This Row],[Precio Unitario Neto]]-Tabla4[[#This Row],[20.85%]]</f>
        <v>4928.2541709999996</v>
      </c>
      <c r="M5597" s="282" t="e">
        <f>(INDEX(Tabla6[#All],MATCH(Tabla4[[#This Row],[Producto]],Tabla6[[#All],[PRODUCTO]],0),MATCH(Tabla4[[#This Row],[Mes]],Tabla6[#Headers],0)))*(1+Catalogos!$L$2)</f>
        <v>#N/A</v>
      </c>
      <c r="N5597" s="283" t="e">
        <f>+(Tabla4[[#This Row],[Precio Descontado]]-Tabla4[[#This Row],[Precio Base]])*Tabla4[[#This Row],[Cantidad]]</f>
        <v>#N/A</v>
      </c>
      <c r="O5597" s="284" t="e">
        <f>++Tabla4[[#This Row],[Utilidad Total]]/Tabla4[[#This Row],[Total]]</f>
        <v>#N/A</v>
      </c>
      <c r="P5597" s="282">
        <f>++Tabla4[[#This Row],[Precio Descontado]]*Tabla4[[#This Row],[Cantidad]]</f>
        <v>19713.016683999998</v>
      </c>
      <c r="Q5597" s="282" t="e">
        <f>(INDEX(Tabla6[#All],MATCH(Tabla4[[#This Row],[Producto]],Tabla6[[#All],[PRODUCTO]],0),MATCH(Tabla4[[#This Row],[Mes]],Tabla6[#Headers],0)))</f>
        <v>#N/A</v>
      </c>
      <c r="R5597" s="282" t="e">
        <f>++Tabla4[[#This Row],[Precio Unitario Neto]]-Tabla4[[#This Row],[20.85%]]-Tabla4[[#This Row],[Costo]]</f>
        <v>#N/A</v>
      </c>
      <c r="S5597" s="282" t="e">
        <f>++Tabla4[[#This Row],[U. Bruta Uni]]*Tabla4[[#This Row],[Cantidad]]</f>
        <v>#N/A</v>
      </c>
      <c r="T5597" s="369" t="str">
        <f>VLOOKUP(Tabla4[[#This Row],[Producto]],Tabla6[#All],14,FALSE)</f>
        <v>Termico Solar</v>
      </c>
      <c r="U5597" s="284" t="e">
        <f>(IF(Tabla4[[#This Row],[Familia]]="termico solar",Tabla4[[#This Row],[Utilidad Total]]*6%,Tabla4[[#This Row],[Utilidad Total]]*11.5%))/Tabla4[[#This Row],[Total]]</f>
        <v>#N/A</v>
      </c>
      <c r="V5597" s="282" t="e">
        <f>+Tabla4[[#This Row],[Comisión Calculada]]*Tabla4[[#This Row],[Total]]</f>
        <v>#N/A</v>
      </c>
    </row>
    <row r="5598" spans="1:22" hidden="1" x14ac:dyDescent="0.25">
      <c r="A5598" s="100">
        <v>45915</v>
      </c>
      <c r="B5598" t="str">
        <f t="shared" si="270"/>
        <v>September</v>
      </c>
      <c r="C5598" s="46" t="s">
        <v>280</v>
      </c>
      <c r="F5598" s="366" t="s">
        <v>2892</v>
      </c>
      <c r="G5598" s="46" t="s">
        <v>20</v>
      </c>
      <c r="H5598" s="46">
        <v>3</v>
      </c>
      <c r="I5598" s="51">
        <v>7751.98</v>
      </c>
      <c r="J5598" s="281">
        <f>++Tabla4[[#This Row],[Precio Bruto]]*1.16</f>
        <v>8992.2967999999983</v>
      </c>
      <c r="K5598" s="281">
        <f>+Tabla4[[#This Row],[Precio Unitario Neto]]*Tabla4[[#Headers],[20.85%]]</f>
        <v>1874.8938827999996</v>
      </c>
      <c r="L5598" s="282">
        <f>++Tabla4[[#This Row],[Precio Unitario Neto]]-Tabla4[[#This Row],[20.85%]]</f>
        <v>7117.4029171999991</v>
      </c>
      <c r="M5598" s="282" t="e">
        <f>(INDEX(Tabla6[#All],MATCH(Tabla4[[#This Row],[Producto]],Tabla6[[#All],[PRODUCTO]],0),MATCH(Tabla4[[#This Row],[Mes]],Tabla6[#Headers],0)))*(1+Catalogos!$L$2)</f>
        <v>#N/A</v>
      </c>
      <c r="N5598" s="283" t="e">
        <f>+(Tabla4[[#This Row],[Precio Descontado]]-Tabla4[[#This Row],[Precio Base]])*Tabla4[[#This Row],[Cantidad]]</f>
        <v>#N/A</v>
      </c>
      <c r="O5598" s="284" t="e">
        <f>++Tabla4[[#This Row],[Utilidad Total]]/Tabla4[[#This Row],[Total]]</f>
        <v>#N/A</v>
      </c>
      <c r="P5598" s="282">
        <f>++Tabla4[[#This Row],[Precio Descontado]]*Tabla4[[#This Row],[Cantidad]]</f>
        <v>21352.208751599996</v>
      </c>
      <c r="Q5598" s="282" t="e">
        <f>(INDEX(Tabla6[#All],MATCH(Tabla4[[#This Row],[Producto]],Tabla6[[#All],[PRODUCTO]],0),MATCH(Tabla4[[#This Row],[Mes]],Tabla6[#Headers],0)))</f>
        <v>#N/A</v>
      </c>
      <c r="R5598" s="282" t="e">
        <f>++Tabla4[[#This Row],[Precio Unitario Neto]]-Tabla4[[#This Row],[20.85%]]-Tabla4[[#This Row],[Costo]]</f>
        <v>#N/A</v>
      </c>
      <c r="S5598" s="282" t="e">
        <f>++Tabla4[[#This Row],[U. Bruta Uni]]*Tabla4[[#This Row],[Cantidad]]</f>
        <v>#N/A</v>
      </c>
      <c r="T5598" s="369" t="str">
        <f>VLOOKUP(Tabla4[[#This Row],[Producto]],Tabla6[#All],14,FALSE)</f>
        <v>Termico Solar</v>
      </c>
      <c r="U5598" s="284" t="e">
        <f>(IF(Tabla4[[#This Row],[Familia]]="termico solar",Tabla4[[#This Row],[Utilidad Total]]*6%,Tabla4[[#This Row],[Utilidad Total]]*11.5%))/Tabla4[[#This Row],[Total]]</f>
        <v>#N/A</v>
      </c>
      <c r="V5598" s="282" t="e">
        <f>+Tabla4[[#This Row],[Comisión Calculada]]*Tabla4[[#This Row],[Total]]</f>
        <v>#N/A</v>
      </c>
    </row>
    <row r="5599" spans="1:22" hidden="1" x14ac:dyDescent="0.25">
      <c r="A5599" s="100">
        <v>45915</v>
      </c>
      <c r="B5599" t="str">
        <f t="shared" si="270"/>
        <v>September</v>
      </c>
      <c r="C5599" s="46" t="s">
        <v>280</v>
      </c>
      <c r="F5599" s="366" t="s">
        <v>2892</v>
      </c>
      <c r="G5599" s="46" t="s">
        <v>21</v>
      </c>
      <c r="H5599" s="46">
        <v>4</v>
      </c>
      <c r="I5599" s="51">
        <v>9282.19</v>
      </c>
      <c r="J5599" s="281">
        <f>++Tabla4[[#This Row],[Precio Bruto]]*1.16</f>
        <v>10767.340399999999</v>
      </c>
      <c r="K5599" s="281">
        <f>+Tabla4[[#This Row],[Precio Unitario Neto]]*Tabla4[[#Headers],[20.85%]]</f>
        <v>2244.9904733999997</v>
      </c>
      <c r="L5599" s="282">
        <f>++Tabla4[[#This Row],[Precio Unitario Neto]]-Tabla4[[#This Row],[20.85%]]</f>
        <v>8522.3499265999999</v>
      </c>
      <c r="M5599" s="282" t="e">
        <f>(INDEX(Tabla6[#All],MATCH(Tabla4[[#This Row],[Producto]],Tabla6[[#All],[PRODUCTO]],0),MATCH(Tabla4[[#This Row],[Mes]],Tabla6[#Headers],0)))*(1+Catalogos!$L$2)</f>
        <v>#N/A</v>
      </c>
      <c r="N5599" s="283" t="e">
        <f>+(Tabla4[[#This Row],[Precio Descontado]]-Tabla4[[#This Row],[Precio Base]])*Tabla4[[#This Row],[Cantidad]]</f>
        <v>#N/A</v>
      </c>
      <c r="O5599" s="284" t="e">
        <f>++Tabla4[[#This Row],[Utilidad Total]]/Tabla4[[#This Row],[Total]]</f>
        <v>#N/A</v>
      </c>
      <c r="P5599" s="282">
        <f>++Tabla4[[#This Row],[Precio Descontado]]*Tabla4[[#This Row],[Cantidad]]</f>
        <v>34089.3997064</v>
      </c>
      <c r="Q5599" s="282" t="e">
        <f>(INDEX(Tabla6[#All],MATCH(Tabla4[[#This Row],[Producto]],Tabla6[[#All],[PRODUCTO]],0),MATCH(Tabla4[[#This Row],[Mes]],Tabla6[#Headers],0)))</f>
        <v>#N/A</v>
      </c>
      <c r="R5599" s="282" t="e">
        <f>++Tabla4[[#This Row],[Precio Unitario Neto]]-Tabla4[[#This Row],[20.85%]]-Tabla4[[#This Row],[Costo]]</f>
        <v>#N/A</v>
      </c>
      <c r="S5599" s="282" t="e">
        <f>++Tabla4[[#This Row],[U. Bruta Uni]]*Tabla4[[#This Row],[Cantidad]]</f>
        <v>#N/A</v>
      </c>
      <c r="T5599" s="369" t="str">
        <f>VLOOKUP(Tabla4[[#This Row],[Producto]],Tabla6[#All],14,FALSE)</f>
        <v>Termico Solar</v>
      </c>
      <c r="U5599" s="284" t="e">
        <f>(IF(Tabla4[[#This Row],[Familia]]="termico solar",Tabla4[[#This Row],[Utilidad Total]]*6%,Tabla4[[#This Row],[Utilidad Total]]*11.5%))/Tabla4[[#This Row],[Total]]</f>
        <v>#N/A</v>
      </c>
      <c r="V5599" s="282" t="e">
        <f>+Tabla4[[#This Row],[Comisión Calculada]]*Tabla4[[#This Row],[Total]]</f>
        <v>#N/A</v>
      </c>
    </row>
    <row r="5600" spans="1:22" hidden="1" x14ac:dyDescent="0.25">
      <c r="A5600" s="100">
        <v>45915</v>
      </c>
      <c r="B5600" t="str">
        <f t="shared" si="270"/>
        <v>September</v>
      </c>
      <c r="C5600" s="46" t="s">
        <v>280</v>
      </c>
      <c r="F5600" s="366" t="s">
        <v>2892</v>
      </c>
      <c r="G5600" s="46" t="s">
        <v>22</v>
      </c>
      <c r="H5600" s="46">
        <v>4</v>
      </c>
      <c r="I5600" s="51">
        <v>13355.75</v>
      </c>
      <c r="J5600" s="281">
        <f>++Tabla4[[#This Row],[Precio Bruto]]*1.16</f>
        <v>15492.669999999998</v>
      </c>
      <c r="K5600" s="281">
        <f>+Tabla4[[#This Row],[Precio Unitario Neto]]*Tabla4[[#Headers],[20.85%]]</f>
        <v>3230.2216949999993</v>
      </c>
      <c r="L5600" s="282">
        <f>++Tabla4[[#This Row],[Precio Unitario Neto]]-Tabla4[[#This Row],[20.85%]]</f>
        <v>12262.448304999998</v>
      </c>
      <c r="M5600" s="282" t="e">
        <f>(INDEX(Tabla6[#All],MATCH(Tabla4[[#This Row],[Producto]],Tabla6[[#All],[PRODUCTO]],0),MATCH(Tabla4[[#This Row],[Mes]],Tabla6[#Headers],0)))*(1+Catalogos!$L$2)</f>
        <v>#N/A</v>
      </c>
      <c r="N5600" s="283" t="e">
        <f>+(Tabla4[[#This Row],[Precio Descontado]]-Tabla4[[#This Row],[Precio Base]])*Tabla4[[#This Row],[Cantidad]]</f>
        <v>#N/A</v>
      </c>
      <c r="O5600" s="284" t="e">
        <f>++Tabla4[[#This Row],[Utilidad Total]]/Tabla4[[#This Row],[Total]]</f>
        <v>#N/A</v>
      </c>
      <c r="P5600" s="282">
        <f>++Tabla4[[#This Row],[Precio Descontado]]*Tabla4[[#This Row],[Cantidad]]</f>
        <v>49049.793219999992</v>
      </c>
      <c r="Q5600" s="282" t="e">
        <f>(INDEX(Tabla6[#All],MATCH(Tabla4[[#This Row],[Producto]],Tabla6[[#All],[PRODUCTO]],0),MATCH(Tabla4[[#This Row],[Mes]],Tabla6[#Headers],0)))</f>
        <v>#N/A</v>
      </c>
      <c r="R5600" s="282" t="e">
        <f>++Tabla4[[#This Row],[Precio Unitario Neto]]-Tabla4[[#This Row],[20.85%]]-Tabla4[[#This Row],[Costo]]</f>
        <v>#N/A</v>
      </c>
      <c r="S5600" s="282" t="e">
        <f>++Tabla4[[#This Row],[U. Bruta Uni]]*Tabla4[[#This Row],[Cantidad]]</f>
        <v>#N/A</v>
      </c>
      <c r="T5600" s="369" t="str">
        <f>VLOOKUP(Tabla4[[#This Row],[Producto]],Tabla6[#All],14,FALSE)</f>
        <v>Termico Solar</v>
      </c>
      <c r="U5600" s="284" t="e">
        <f>(IF(Tabla4[[#This Row],[Familia]]="termico solar",Tabla4[[#This Row],[Utilidad Total]]*6%,Tabla4[[#This Row],[Utilidad Total]]*11.5%))/Tabla4[[#This Row],[Total]]</f>
        <v>#N/A</v>
      </c>
      <c r="V5600" s="282" t="e">
        <f>+Tabla4[[#This Row],[Comisión Calculada]]*Tabla4[[#This Row],[Total]]</f>
        <v>#N/A</v>
      </c>
    </row>
    <row r="5601" spans="1:22" hidden="1" x14ac:dyDescent="0.25">
      <c r="A5601" s="100">
        <v>45915</v>
      </c>
      <c r="B5601" t="str">
        <f t="shared" si="270"/>
        <v>September</v>
      </c>
      <c r="C5601" s="46" t="s">
        <v>280</v>
      </c>
      <c r="F5601" s="366" t="s">
        <v>2892</v>
      </c>
      <c r="G5601" s="46" t="s">
        <v>566</v>
      </c>
      <c r="H5601" s="46">
        <v>3</v>
      </c>
      <c r="I5601" s="51">
        <v>2109.4500000000003</v>
      </c>
      <c r="J5601" s="281">
        <f>++Tabla4[[#This Row],[Precio Bruto]]*1.16</f>
        <v>2446.962</v>
      </c>
      <c r="K5601" s="281">
        <f>+Tabla4[[#This Row],[Precio Unitario Neto]]*Tabla4[[#Headers],[20.85%]]</f>
        <v>510.191577</v>
      </c>
      <c r="L5601" s="282">
        <f>++Tabla4[[#This Row],[Precio Unitario Neto]]-Tabla4[[#This Row],[20.85%]]</f>
        <v>1936.7704229999999</v>
      </c>
      <c r="M5601" s="282" t="e">
        <f>(INDEX(Tabla6[#All],MATCH(Tabla4[[#This Row],[Producto]],Tabla6[[#All],[PRODUCTO]],0),MATCH(Tabla4[[#This Row],[Mes]],Tabla6[#Headers],0)))*(1+Catalogos!$L$2)</f>
        <v>#N/A</v>
      </c>
      <c r="N5601" s="283" t="e">
        <f>+(Tabla4[[#This Row],[Precio Descontado]]-Tabla4[[#This Row],[Precio Base]])*Tabla4[[#This Row],[Cantidad]]</f>
        <v>#N/A</v>
      </c>
      <c r="O5601" s="284" t="e">
        <f>++Tabla4[[#This Row],[Utilidad Total]]/Tabla4[[#This Row],[Total]]</f>
        <v>#N/A</v>
      </c>
      <c r="P5601" s="282">
        <f>++Tabla4[[#This Row],[Precio Descontado]]*Tabla4[[#This Row],[Cantidad]]</f>
        <v>5810.3112689999998</v>
      </c>
      <c r="Q5601" s="282" t="e">
        <f>(INDEX(Tabla6[#All],MATCH(Tabla4[[#This Row],[Producto]],Tabla6[[#All],[PRODUCTO]],0),MATCH(Tabla4[[#This Row],[Mes]],Tabla6[#Headers],0)))</f>
        <v>#N/A</v>
      </c>
      <c r="R5601" s="282" t="e">
        <f>++Tabla4[[#This Row],[Precio Unitario Neto]]-Tabla4[[#This Row],[20.85%]]-Tabla4[[#This Row],[Costo]]</f>
        <v>#N/A</v>
      </c>
      <c r="S5601" s="282" t="e">
        <f>++Tabla4[[#This Row],[U. Bruta Uni]]*Tabla4[[#This Row],[Cantidad]]</f>
        <v>#N/A</v>
      </c>
      <c r="T5601" s="369" t="str">
        <f>VLOOKUP(Tabla4[[#This Row],[Producto]],Tabla6[#All],14,FALSE)</f>
        <v>Termico Solar</v>
      </c>
      <c r="U5601" s="284" t="e">
        <f>(IF(Tabla4[[#This Row],[Familia]]="termico solar",Tabla4[[#This Row],[Utilidad Total]]*6%,Tabla4[[#This Row],[Utilidad Total]]*11.5%))/Tabla4[[#This Row],[Total]]</f>
        <v>#N/A</v>
      </c>
      <c r="V5601" s="282" t="e">
        <f>+Tabla4[[#This Row],[Comisión Calculada]]*Tabla4[[#This Row],[Total]]</f>
        <v>#N/A</v>
      </c>
    </row>
    <row r="5602" spans="1:22" hidden="1" x14ac:dyDescent="0.25">
      <c r="A5602" s="100">
        <v>45915</v>
      </c>
      <c r="B5602" t="str">
        <f t="shared" si="270"/>
        <v>September</v>
      </c>
      <c r="C5602" s="46" t="s">
        <v>280</v>
      </c>
      <c r="F5602" s="366" t="s">
        <v>2892</v>
      </c>
      <c r="G5602" s="46" t="s">
        <v>412</v>
      </c>
      <c r="H5602" s="46">
        <v>2</v>
      </c>
      <c r="I5602" s="51">
        <v>3240.84</v>
      </c>
      <c r="J5602" s="281">
        <f>++Tabla4[[#This Row],[Precio Bruto]]*1.16</f>
        <v>3759.3743999999997</v>
      </c>
      <c r="K5602" s="281">
        <f>+Tabla4[[#This Row],[Precio Unitario Neto]]*Tabla4[[#Headers],[20.85%]]</f>
        <v>783.82956239999987</v>
      </c>
      <c r="L5602" s="282">
        <f>++Tabla4[[#This Row],[Precio Unitario Neto]]-Tabla4[[#This Row],[20.85%]]</f>
        <v>2975.5448375999999</v>
      </c>
      <c r="M5602" s="282" t="e">
        <f>(INDEX(Tabla6[#All],MATCH(Tabla4[[#This Row],[Producto]],Tabla6[[#All],[PRODUCTO]],0),MATCH(Tabla4[[#This Row],[Mes]],Tabla6[#Headers],0)))*(1+Catalogos!$L$2)</f>
        <v>#N/A</v>
      </c>
      <c r="N5602" s="283" t="e">
        <f>+(Tabla4[[#This Row],[Precio Descontado]]-Tabla4[[#This Row],[Precio Base]])*Tabla4[[#This Row],[Cantidad]]</f>
        <v>#N/A</v>
      </c>
      <c r="O5602" s="284" t="e">
        <f>++Tabla4[[#This Row],[Utilidad Total]]/Tabla4[[#This Row],[Total]]</f>
        <v>#N/A</v>
      </c>
      <c r="P5602" s="282">
        <f>++Tabla4[[#This Row],[Precio Descontado]]*Tabla4[[#This Row],[Cantidad]]</f>
        <v>5951.0896751999999</v>
      </c>
      <c r="Q5602" s="282" t="e">
        <f>(INDEX(Tabla6[#All],MATCH(Tabla4[[#This Row],[Producto]],Tabla6[[#All],[PRODUCTO]],0),MATCH(Tabla4[[#This Row],[Mes]],Tabla6[#Headers],0)))</f>
        <v>#N/A</v>
      </c>
      <c r="R5602" s="282" t="e">
        <f>++Tabla4[[#This Row],[Precio Unitario Neto]]-Tabla4[[#This Row],[20.85%]]-Tabla4[[#This Row],[Costo]]</f>
        <v>#N/A</v>
      </c>
      <c r="S5602" s="282" t="e">
        <f>++Tabla4[[#This Row],[U. Bruta Uni]]*Tabla4[[#This Row],[Cantidad]]</f>
        <v>#N/A</v>
      </c>
      <c r="T5602" s="369" t="str">
        <f>VLOOKUP(Tabla4[[#This Row],[Producto]],Tabla6[#All],14,FALSE)</f>
        <v>Termico Solar</v>
      </c>
      <c r="U5602" s="284" t="e">
        <f>(IF(Tabla4[[#This Row],[Familia]]="termico solar",Tabla4[[#This Row],[Utilidad Total]]*6%,Tabla4[[#This Row],[Utilidad Total]]*11.5%))/Tabla4[[#This Row],[Total]]</f>
        <v>#N/A</v>
      </c>
      <c r="V5602" s="282" t="e">
        <f>+Tabla4[[#This Row],[Comisión Calculada]]*Tabla4[[#This Row],[Total]]</f>
        <v>#N/A</v>
      </c>
    </row>
    <row r="5603" spans="1:22" hidden="1" x14ac:dyDescent="0.25">
      <c r="A5603" s="100">
        <v>45915</v>
      </c>
      <c r="B5603" t="str">
        <f t="shared" si="270"/>
        <v>September</v>
      </c>
      <c r="C5603" s="46" t="s">
        <v>280</v>
      </c>
      <c r="F5603" s="366" t="s">
        <v>2892</v>
      </c>
      <c r="G5603" s="46" t="s">
        <v>394</v>
      </c>
      <c r="H5603" s="46">
        <v>9</v>
      </c>
      <c r="I5603" s="51">
        <v>108.1</v>
      </c>
      <c r="J5603" s="281">
        <f>++Tabla4[[#This Row],[Precio Bruto]]*1.16</f>
        <v>125.39599999999999</v>
      </c>
      <c r="K5603" s="281">
        <f>+Tabla4[[#This Row],[Precio Unitario Neto]]*Tabla4[[#Headers],[20.85%]]</f>
        <v>26.145065999999996</v>
      </c>
      <c r="L5603" s="282">
        <f>++Tabla4[[#This Row],[Precio Unitario Neto]]-Tabla4[[#This Row],[20.85%]]</f>
        <v>99.250933999999987</v>
      </c>
      <c r="M5603" s="282" t="e">
        <f>(INDEX(Tabla6[#All],MATCH(Tabla4[[#This Row],[Producto]],Tabla6[[#All],[PRODUCTO]],0),MATCH(Tabla4[[#This Row],[Mes]],Tabla6[#Headers],0)))*(1+Catalogos!$L$2)</f>
        <v>#N/A</v>
      </c>
      <c r="N5603" s="283" t="e">
        <f>+(Tabla4[[#This Row],[Precio Descontado]]-Tabla4[[#This Row],[Precio Base]])*Tabla4[[#This Row],[Cantidad]]</f>
        <v>#N/A</v>
      </c>
      <c r="O5603" s="284" t="e">
        <f>++Tabla4[[#This Row],[Utilidad Total]]/Tabla4[[#This Row],[Total]]</f>
        <v>#N/A</v>
      </c>
      <c r="P5603" s="282">
        <f>++Tabla4[[#This Row],[Precio Descontado]]*Tabla4[[#This Row],[Cantidad]]</f>
        <v>893.25840599999992</v>
      </c>
      <c r="Q5603" s="282" t="e">
        <f>(INDEX(Tabla6[#All],MATCH(Tabla4[[#This Row],[Producto]],Tabla6[[#All],[PRODUCTO]],0),MATCH(Tabla4[[#This Row],[Mes]],Tabla6[#Headers],0)))</f>
        <v>#N/A</v>
      </c>
      <c r="R5603" s="282" t="e">
        <f>++Tabla4[[#This Row],[Precio Unitario Neto]]-Tabla4[[#This Row],[20.85%]]-Tabla4[[#This Row],[Costo]]</f>
        <v>#N/A</v>
      </c>
      <c r="S5603" s="282" t="e">
        <f>++Tabla4[[#This Row],[U. Bruta Uni]]*Tabla4[[#This Row],[Cantidad]]</f>
        <v>#N/A</v>
      </c>
      <c r="T5603" s="369" t="str">
        <f>VLOOKUP(Tabla4[[#This Row],[Producto]],Tabla6[#All],14,FALSE)</f>
        <v>Termico Solar</v>
      </c>
      <c r="U5603" s="284" t="e">
        <f>(IF(Tabla4[[#This Row],[Familia]]="termico solar",Tabla4[[#This Row],[Utilidad Total]]*6%,Tabla4[[#This Row],[Utilidad Total]]*11.5%))/Tabla4[[#This Row],[Total]]</f>
        <v>#N/A</v>
      </c>
      <c r="V5603" s="282" t="e">
        <f>+Tabla4[[#This Row],[Comisión Calculada]]*Tabla4[[#This Row],[Total]]</f>
        <v>#N/A</v>
      </c>
    </row>
    <row r="5604" spans="1:22" hidden="1" x14ac:dyDescent="0.25">
      <c r="A5604" s="100">
        <v>45915</v>
      </c>
      <c r="B5604" t="str">
        <f t="shared" si="270"/>
        <v>September</v>
      </c>
      <c r="C5604" s="46" t="s">
        <v>280</v>
      </c>
      <c r="F5604" s="366" t="s">
        <v>2892</v>
      </c>
      <c r="G5604" s="46" t="s">
        <v>16</v>
      </c>
      <c r="H5604" s="46">
        <v>4</v>
      </c>
      <c r="I5604" s="51">
        <v>4103.8500000000004</v>
      </c>
      <c r="J5604" s="281">
        <f>++Tabla4[[#This Row],[Precio Bruto]]*1.16</f>
        <v>4760.4660000000003</v>
      </c>
      <c r="K5604" s="281">
        <f>+Tabla4[[#This Row],[Precio Unitario Neto]]*Tabla4[[#Headers],[20.85%]]</f>
        <v>992.55716100000006</v>
      </c>
      <c r="L5604" s="282">
        <f>++Tabla4[[#This Row],[Precio Unitario Neto]]-Tabla4[[#This Row],[20.85%]]</f>
        <v>3767.9088390000002</v>
      </c>
      <c r="M5604" s="282" t="e">
        <f>(INDEX(Tabla6[#All],MATCH(Tabla4[[#This Row],[Producto]],Tabla6[[#All],[PRODUCTO]],0),MATCH(Tabla4[[#This Row],[Mes]],Tabla6[#Headers],0)))*(1+Catalogos!$L$2)</f>
        <v>#N/A</v>
      </c>
      <c r="N5604" s="283" t="e">
        <f>+(Tabla4[[#This Row],[Precio Descontado]]-Tabla4[[#This Row],[Precio Base]])*Tabla4[[#This Row],[Cantidad]]</f>
        <v>#N/A</v>
      </c>
      <c r="O5604" s="284" t="e">
        <f>++Tabla4[[#This Row],[Utilidad Total]]/Tabla4[[#This Row],[Total]]</f>
        <v>#N/A</v>
      </c>
      <c r="P5604" s="282">
        <f>++Tabla4[[#This Row],[Precio Descontado]]*Tabla4[[#This Row],[Cantidad]]</f>
        <v>15071.635356000001</v>
      </c>
      <c r="Q5604" s="282" t="e">
        <f>(INDEX(Tabla6[#All],MATCH(Tabla4[[#This Row],[Producto]],Tabla6[[#All],[PRODUCTO]],0),MATCH(Tabla4[[#This Row],[Mes]],Tabla6[#Headers],0)))</f>
        <v>#N/A</v>
      </c>
      <c r="R5604" s="282" t="e">
        <f>++Tabla4[[#This Row],[Precio Unitario Neto]]-Tabla4[[#This Row],[20.85%]]-Tabla4[[#This Row],[Costo]]</f>
        <v>#N/A</v>
      </c>
      <c r="S5604" s="282" t="e">
        <f>++Tabla4[[#This Row],[U. Bruta Uni]]*Tabla4[[#This Row],[Cantidad]]</f>
        <v>#N/A</v>
      </c>
      <c r="T5604" s="369" t="str">
        <f>VLOOKUP(Tabla4[[#This Row],[Producto]],Tabla6[#All],14,FALSE)</f>
        <v>Termico Solar</v>
      </c>
      <c r="U5604" s="284" t="e">
        <f>(IF(Tabla4[[#This Row],[Familia]]="termico solar",Tabla4[[#This Row],[Utilidad Total]]*6%,Tabla4[[#This Row],[Utilidad Total]]*11.5%))/Tabla4[[#This Row],[Total]]</f>
        <v>#N/A</v>
      </c>
      <c r="V5604" s="282" t="e">
        <f>+Tabla4[[#This Row],[Comisión Calculada]]*Tabla4[[#This Row],[Total]]</f>
        <v>#N/A</v>
      </c>
    </row>
    <row r="5605" spans="1:22" hidden="1" x14ac:dyDescent="0.25">
      <c r="A5605" s="100">
        <v>45915</v>
      </c>
      <c r="B5605" t="str">
        <f>TEXT(A5605, "mmmm")</f>
        <v>September</v>
      </c>
      <c r="C5605" s="46" t="s">
        <v>280</v>
      </c>
      <c r="F5605" s="366" t="s">
        <v>2893</v>
      </c>
      <c r="G5605" s="46" t="s">
        <v>412</v>
      </c>
      <c r="H5605" s="46">
        <v>11</v>
      </c>
      <c r="I5605" s="51">
        <v>3240.8399999999997</v>
      </c>
      <c r="J5605" s="281">
        <f>++Tabla4[[#This Row],[Precio Bruto]]*1.16</f>
        <v>3759.3743999999992</v>
      </c>
      <c r="K5605" s="281">
        <f>+Tabla4[[#This Row],[Precio Unitario Neto]]*Tabla4[[#Headers],[20.85%]]</f>
        <v>783.82956239999976</v>
      </c>
      <c r="L5605" s="282">
        <f>++Tabla4[[#This Row],[Precio Unitario Neto]]-Tabla4[[#This Row],[20.85%]]</f>
        <v>2975.5448375999995</v>
      </c>
      <c r="M5605" s="282" t="e">
        <f>(INDEX(Tabla6[#All],MATCH(Tabla4[[#This Row],[Producto]],Tabla6[[#All],[PRODUCTO]],0),MATCH(Tabla4[[#This Row],[Mes]],Tabla6[#Headers],0)))*(1+Catalogos!$L$2)</f>
        <v>#N/A</v>
      </c>
      <c r="N5605" s="283" t="e">
        <f>+(Tabla4[[#This Row],[Precio Descontado]]-Tabla4[[#This Row],[Precio Base]])*Tabla4[[#This Row],[Cantidad]]</f>
        <v>#N/A</v>
      </c>
      <c r="O5605" s="284" t="e">
        <f>++Tabla4[[#This Row],[Utilidad Total]]/Tabla4[[#This Row],[Total]]</f>
        <v>#N/A</v>
      </c>
      <c r="P5605" s="282">
        <f>++Tabla4[[#This Row],[Precio Descontado]]*Tabla4[[#This Row],[Cantidad]]</f>
        <v>32730.993213599995</v>
      </c>
      <c r="Q5605" s="282" t="e">
        <f>(INDEX(Tabla6[#All],MATCH(Tabla4[[#This Row],[Producto]],Tabla6[[#All],[PRODUCTO]],0),MATCH(Tabla4[[#This Row],[Mes]],Tabla6[#Headers],0)))</f>
        <v>#N/A</v>
      </c>
      <c r="R5605" s="282" t="e">
        <f>++Tabla4[[#This Row],[Precio Unitario Neto]]-Tabla4[[#This Row],[20.85%]]-Tabla4[[#This Row],[Costo]]</f>
        <v>#N/A</v>
      </c>
      <c r="S5605" s="282" t="e">
        <f>++Tabla4[[#This Row],[U. Bruta Uni]]*Tabla4[[#This Row],[Cantidad]]</f>
        <v>#N/A</v>
      </c>
      <c r="T5605" s="369" t="str">
        <f>VLOOKUP(Tabla4[[#This Row],[Producto]],Tabla6[#All],14,FALSE)</f>
        <v>Termico Solar</v>
      </c>
      <c r="U5605" s="284" t="e">
        <f>(IF(Tabla4[[#This Row],[Familia]]="termico solar",Tabla4[[#This Row],[Utilidad Total]]*6%,Tabla4[[#This Row],[Utilidad Total]]*11.5%))/Tabla4[[#This Row],[Total]]</f>
        <v>#N/A</v>
      </c>
      <c r="V5605" s="282" t="e">
        <f>+Tabla4[[#This Row],[Comisión Calculada]]*Tabla4[[#This Row],[Total]]</f>
        <v>#N/A</v>
      </c>
    </row>
    <row r="5606" spans="1:22" hidden="1" x14ac:dyDescent="0.25">
      <c r="A5606" s="100">
        <v>45915</v>
      </c>
      <c r="B5606" t="str">
        <f>TEXT(A5606, "mmmm")</f>
        <v>September</v>
      </c>
      <c r="C5606" s="46" t="s">
        <v>280</v>
      </c>
      <c r="F5606" s="366" t="s">
        <v>2893</v>
      </c>
      <c r="G5606" s="46" t="s">
        <v>45</v>
      </c>
      <c r="H5606" s="46">
        <v>9</v>
      </c>
      <c r="I5606" s="51">
        <v>811.24</v>
      </c>
      <c r="J5606" s="281">
        <f>++Tabla4[[#This Row],[Precio Bruto]]*1.16</f>
        <v>941.03839999999991</v>
      </c>
      <c r="K5606" s="281">
        <f>+Tabla4[[#This Row],[Precio Unitario Neto]]*Tabla4[[#Headers],[20.85%]]</f>
        <v>196.20650639999997</v>
      </c>
      <c r="L5606" s="282">
        <f>++Tabla4[[#This Row],[Precio Unitario Neto]]-Tabla4[[#This Row],[20.85%]]</f>
        <v>744.83189359999994</v>
      </c>
      <c r="M5606" s="282" t="e">
        <f>(INDEX(Tabla6[#All],MATCH(Tabla4[[#This Row],[Producto]],Tabla6[[#All],[PRODUCTO]],0),MATCH(Tabla4[[#This Row],[Mes]],Tabla6[#Headers],0)))*(1+Catalogos!$L$2)</f>
        <v>#N/A</v>
      </c>
      <c r="N5606" s="283" t="e">
        <f>+(Tabla4[[#This Row],[Precio Descontado]]-Tabla4[[#This Row],[Precio Base]])*Tabla4[[#This Row],[Cantidad]]</f>
        <v>#N/A</v>
      </c>
      <c r="O5606" s="284" t="e">
        <f>++Tabla4[[#This Row],[Utilidad Total]]/Tabla4[[#This Row],[Total]]</f>
        <v>#N/A</v>
      </c>
      <c r="P5606" s="282">
        <f>++Tabla4[[#This Row],[Precio Descontado]]*Tabla4[[#This Row],[Cantidad]]</f>
        <v>6703.4870423999992</v>
      </c>
      <c r="Q5606" s="282" t="e">
        <f>(INDEX(Tabla6[#All],MATCH(Tabla4[[#This Row],[Producto]],Tabla6[[#All],[PRODUCTO]],0),MATCH(Tabla4[[#This Row],[Mes]],Tabla6[#Headers],0)))</f>
        <v>#N/A</v>
      </c>
      <c r="R5606" s="282" t="e">
        <f>++Tabla4[[#This Row],[Precio Unitario Neto]]-Tabla4[[#This Row],[20.85%]]-Tabla4[[#This Row],[Costo]]</f>
        <v>#N/A</v>
      </c>
      <c r="S5606" s="282" t="e">
        <f>++Tabla4[[#This Row],[U. Bruta Uni]]*Tabla4[[#This Row],[Cantidad]]</f>
        <v>#N/A</v>
      </c>
      <c r="T5606" s="369" t="str">
        <f>VLOOKUP(Tabla4[[#This Row],[Producto]],Tabla6[#All],14,FALSE)</f>
        <v>Termico Solar</v>
      </c>
      <c r="U5606" s="284" t="e">
        <f>(IF(Tabla4[[#This Row],[Familia]]="termico solar",Tabla4[[#This Row],[Utilidad Total]]*6%,Tabla4[[#This Row],[Utilidad Total]]*11.5%))/Tabla4[[#This Row],[Total]]</f>
        <v>#N/A</v>
      </c>
      <c r="V5606" s="282" t="e">
        <f>+Tabla4[[#This Row],[Comisión Calculada]]*Tabla4[[#This Row],[Total]]</f>
        <v>#N/A</v>
      </c>
    </row>
    <row r="5607" spans="1:22" hidden="1" x14ac:dyDescent="0.25">
      <c r="A5607" s="100">
        <v>45915</v>
      </c>
      <c r="B5607" t="str">
        <f>TEXT(A5607, "mmmm")</f>
        <v>September</v>
      </c>
      <c r="C5607" s="46" t="s">
        <v>280</v>
      </c>
      <c r="F5607" s="366" t="s">
        <v>2894</v>
      </c>
      <c r="G5607" s="46" t="s">
        <v>20</v>
      </c>
      <c r="H5607" s="46">
        <v>3</v>
      </c>
      <c r="I5607" s="51">
        <v>7751.98</v>
      </c>
      <c r="J5607" s="281">
        <f>++Tabla4[[#This Row],[Precio Bruto]]*1.16</f>
        <v>8992.2967999999983</v>
      </c>
      <c r="K5607" s="281">
        <f>+Tabla4[[#This Row],[Precio Unitario Neto]]*Tabla4[[#Headers],[20.85%]]</f>
        <v>1874.8938827999996</v>
      </c>
      <c r="L5607" s="282">
        <f>++Tabla4[[#This Row],[Precio Unitario Neto]]-Tabla4[[#This Row],[20.85%]]</f>
        <v>7117.4029171999991</v>
      </c>
      <c r="M5607" s="282" t="e">
        <f>(INDEX(Tabla6[#All],MATCH(Tabla4[[#This Row],[Producto]],Tabla6[[#All],[PRODUCTO]],0),MATCH(Tabla4[[#This Row],[Mes]],Tabla6[#Headers],0)))*(1+Catalogos!$L$2)</f>
        <v>#N/A</v>
      </c>
      <c r="N5607" s="283" t="e">
        <f>+(Tabla4[[#This Row],[Precio Descontado]]-Tabla4[[#This Row],[Precio Base]])*Tabla4[[#This Row],[Cantidad]]</f>
        <v>#N/A</v>
      </c>
      <c r="O5607" s="284" t="e">
        <f>++Tabla4[[#This Row],[Utilidad Total]]/Tabla4[[#This Row],[Total]]</f>
        <v>#N/A</v>
      </c>
      <c r="P5607" s="282">
        <f>++Tabla4[[#This Row],[Precio Descontado]]*Tabla4[[#This Row],[Cantidad]]</f>
        <v>21352.208751599996</v>
      </c>
      <c r="Q5607" s="282" t="e">
        <f>(INDEX(Tabla6[#All],MATCH(Tabla4[[#This Row],[Producto]],Tabla6[[#All],[PRODUCTO]],0),MATCH(Tabla4[[#This Row],[Mes]],Tabla6[#Headers],0)))</f>
        <v>#N/A</v>
      </c>
      <c r="R5607" s="282" t="e">
        <f>++Tabla4[[#This Row],[Precio Unitario Neto]]-Tabla4[[#This Row],[20.85%]]-Tabla4[[#This Row],[Costo]]</f>
        <v>#N/A</v>
      </c>
      <c r="S5607" s="282" t="e">
        <f>++Tabla4[[#This Row],[U. Bruta Uni]]*Tabla4[[#This Row],[Cantidad]]</f>
        <v>#N/A</v>
      </c>
      <c r="T5607" s="369" t="str">
        <f>VLOOKUP(Tabla4[[#This Row],[Producto]],Tabla6[#All],14,FALSE)</f>
        <v>Termico Solar</v>
      </c>
      <c r="U5607" s="284" t="e">
        <f>(IF(Tabla4[[#This Row],[Familia]]="termico solar",Tabla4[[#This Row],[Utilidad Total]]*6%,Tabla4[[#This Row],[Utilidad Total]]*11.5%))/Tabla4[[#This Row],[Total]]</f>
        <v>#N/A</v>
      </c>
      <c r="V5607" s="282" t="e">
        <f>+Tabla4[[#This Row],[Comisión Calculada]]*Tabla4[[#This Row],[Total]]</f>
        <v>#N/A</v>
      </c>
    </row>
    <row r="5608" spans="1:22" hidden="1" x14ac:dyDescent="0.25">
      <c r="A5608" s="100">
        <v>45915</v>
      </c>
      <c r="B5608" t="str">
        <f t="shared" ref="B5608:B5617" si="271">TEXT(A5608, "mmmm")</f>
        <v>September</v>
      </c>
      <c r="C5608" s="46" t="s">
        <v>280</v>
      </c>
      <c r="F5608" s="366" t="s">
        <v>2895</v>
      </c>
      <c r="G5608" s="46" t="s">
        <v>83</v>
      </c>
      <c r="H5608" s="46">
        <v>1</v>
      </c>
      <c r="I5608" s="51">
        <v>8858.76</v>
      </c>
      <c r="J5608" s="281">
        <f>++Tabla4[[#This Row],[Precio Bruto]]*1.16</f>
        <v>10276.161599999999</v>
      </c>
      <c r="K5608" s="281">
        <f>+Tabla4[[#This Row],[Precio Unitario Neto]]*Tabla4[[#Headers],[20.85%]]</f>
        <v>2142.5796935999997</v>
      </c>
      <c r="L5608" s="282">
        <f>++Tabla4[[#This Row],[Precio Unitario Neto]]-Tabla4[[#This Row],[20.85%]]</f>
        <v>8133.5819063999998</v>
      </c>
      <c r="M5608" s="282" t="e">
        <f>(INDEX(Tabla6[#All],MATCH(Tabla4[[#This Row],[Producto]],Tabla6[[#All],[PRODUCTO]],0),MATCH(Tabla4[[#This Row],[Mes]],Tabla6[#Headers],0)))*(1+Catalogos!$L$2)</f>
        <v>#N/A</v>
      </c>
      <c r="N5608" s="283" t="e">
        <f>+(Tabla4[[#This Row],[Precio Descontado]]-Tabla4[[#This Row],[Precio Base]])*Tabla4[[#This Row],[Cantidad]]</f>
        <v>#N/A</v>
      </c>
      <c r="O5608" s="284" t="e">
        <f>++Tabla4[[#This Row],[Utilidad Total]]/Tabla4[[#This Row],[Total]]</f>
        <v>#N/A</v>
      </c>
      <c r="P5608" s="282">
        <f>++Tabla4[[#This Row],[Precio Descontado]]*Tabla4[[#This Row],[Cantidad]]</f>
        <v>8133.5819063999998</v>
      </c>
      <c r="Q5608" s="282" t="e">
        <f>(INDEX(Tabla6[#All],MATCH(Tabla4[[#This Row],[Producto]],Tabla6[[#All],[PRODUCTO]],0),MATCH(Tabla4[[#This Row],[Mes]],Tabla6[#Headers],0)))</f>
        <v>#N/A</v>
      </c>
      <c r="R5608" s="282" t="e">
        <f>++Tabla4[[#This Row],[Precio Unitario Neto]]-Tabla4[[#This Row],[20.85%]]-Tabla4[[#This Row],[Costo]]</f>
        <v>#N/A</v>
      </c>
      <c r="S5608" s="282" t="e">
        <f>++Tabla4[[#This Row],[U. Bruta Uni]]*Tabla4[[#This Row],[Cantidad]]</f>
        <v>#N/A</v>
      </c>
      <c r="T5608" s="369" t="str">
        <f>VLOOKUP(Tabla4[[#This Row],[Producto]],Tabla6[#All],14,FALSE)</f>
        <v>Termico Solar</v>
      </c>
      <c r="U5608" s="284" t="e">
        <f>(IF(Tabla4[[#This Row],[Familia]]="termico solar",Tabla4[[#This Row],[Utilidad Total]]*6%,Tabla4[[#This Row],[Utilidad Total]]*11.5%))/Tabla4[[#This Row],[Total]]</f>
        <v>#N/A</v>
      </c>
      <c r="V5608" s="282" t="e">
        <f>+Tabla4[[#This Row],[Comisión Calculada]]*Tabla4[[#This Row],[Total]]</f>
        <v>#N/A</v>
      </c>
    </row>
    <row r="5609" spans="1:22" hidden="1" x14ac:dyDescent="0.25">
      <c r="A5609" s="100">
        <v>45915</v>
      </c>
      <c r="B5609" t="str">
        <f t="shared" si="271"/>
        <v>September</v>
      </c>
      <c r="C5609" s="46" t="s">
        <v>280</v>
      </c>
      <c r="F5609" s="366" t="s">
        <v>2895</v>
      </c>
      <c r="G5609" s="46" t="s">
        <v>17</v>
      </c>
      <c r="H5609" s="46">
        <v>7</v>
      </c>
      <c r="I5609" s="51">
        <v>4622.28</v>
      </c>
      <c r="J5609" s="281">
        <f>++Tabla4[[#This Row],[Precio Bruto]]*1.16</f>
        <v>5361.8447999999989</v>
      </c>
      <c r="K5609" s="281">
        <f>+Tabla4[[#This Row],[Precio Unitario Neto]]*Tabla4[[#Headers],[20.85%]]</f>
        <v>1117.9446407999997</v>
      </c>
      <c r="L5609" s="282">
        <f>++Tabla4[[#This Row],[Precio Unitario Neto]]-Tabla4[[#This Row],[20.85%]]</f>
        <v>4243.9001591999995</v>
      </c>
      <c r="M5609" s="282" t="e">
        <f>(INDEX(Tabla6[#All],MATCH(Tabla4[[#This Row],[Producto]],Tabla6[[#All],[PRODUCTO]],0),MATCH(Tabla4[[#This Row],[Mes]],Tabla6[#Headers],0)))*(1+Catalogos!$L$2)</f>
        <v>#N/A</v>
      </c>
      <c r="N5609" s="283" t="e">
        <f>+(Tabla4[[#This Row],[Precio Descontado]]-Tabla4[[#This Row],[Precio Base]])*Tabla4[[#This Row],[Cantidad]]</f>
        <v>#N/A</v>
      </c>
      <c r="O5609" s="284" t="e">
        <f>++Tabla4[[#This Row],[Utilidad Total]]/Tabla4[[#This Row],[Total]]</f>
        <v>#N/A</v>
      </c>
      <c r="P5609" s="282">
        <f>++Tabla4[[#This Row],[Precio Descontado]]*Tabla4[[#This Row],[Cantidad]]</f>
        <v>29707.301114399997</v>
      </c>
      <c r="Q5609" s="282" t="e">
        <f>(INDEX(Tabla6[#All],MATCH(Tabla4[[#This Row],[Producto]],Tabla6[[#All],[PRODUCTO]],0),MATCH(Tabla4[[#This Row],[Mes]],Tabla6[#Headers],0)))</f>
        <v>#N/A</v>
      </c>
      <c r="R5609" s="282" t="e">
        <f>++Tabla4[[#This Row],[Precio Unitario Neto]]-Tabla4[[#This Row],[20.85%]]-Tabla4[[#This Row],[Costo]]</f>
        <v>#N/A</v>
      </c>
      <c r="S5609" s="282" t="e">
        <f>++Tabla4[[#This Row],[U. Bruta Uni]]*Tabla4[[#This Row],[Cantidad]]</f>
        <v>#N/A</v>
      </c>
      <c r="T5609" s="369" t="str">
        <f>VLOOKUP(Tabla4[[#This Row],[Producto]],Tabla6[#All],14,FALSE)</f>
        <v>Termico Solar</v>
      </c>
      <c r="U5609" s="284" t="e">
        <f>(IF(Tabla4[[#This Row],[Familia]]="termico solar",Tabla4[[#This Row],[Utilidad Total]]*6%,Tabla4[[#This Row],[Utilidad Total]]*11.5%))/Tabla4[[#This Row],[Total]]</f>
        <v>#N/A</v>
      </c>
      <c r="V5609" s="282" t="e">
        <f>+Tabla4[[#This Row],[Comisión Calculada]]*Tabla4[[#This Row],[Total]]</f>
        <v>#N/A</v>
      </c>
    </row>
    <row r="5610" spans="1:22" hidden="1" x14ac:dyDescent="0.25">
      <c r="A5610" s="100">
        <v>45915</v>
      </c>
      <c r="B5610" t="str">
        <f t="shared" si="271"/>
        <v>September</v>
      </c>
      <c r="C5610" s="46" t="s">
        <v>280</v>
      </c>
      <c r="F5610" s="366" t="s">
        <v>2895</v>
      </c>
      <c r="G5610" s="46" t="s">
        <v>19</v>
      </c>
      <c r="H5610" s="46">
        <v>2</v>
      </c>
      <c r="I5610" s="51">
        <v>6412.03</v>
      </c>
      <c r="J5610" s="281">
        <f>++Tabla4[[#This Row],[Precio Bruto]]*1.16</f>
        <v>7437.9547999999995</v>
      </c>
      <c r="K5610" s="281">
        <f>+Tabla4[[#This Row],[Precio Unitario Neto]]*Tabla4[[#Headers],[20.85%]]</f>
        <v>1550.8135757999999</v>
      </c>
      <c r="L5610" s="282">
        <f>++Tabla4[[#This Row],[Precio Unitario Neto]]-Tabla4[[#This Row],[20.85%]]</f>
        <v>5887.1412241999997</v>
      </c>
      <c r="M5610" s="282" t="e">
        <f>(INDEX(Tabla6[#All],MATCH(Tabla4[[#This Row],[Producto]],Tabla6[[#All],[PRODUCTO]],0),MATCH(Tabla4[[#This Row],[Mes]],Tabla6[#Headers],0)))*(1+Catalogos!$L$2)</f>
        <v>#N/A</v>
      </c>
      <c r="N5610" s="283" t="e">
        <f>+(Tabla4[[#This Row],[Precio Descontado]]-Tabla4[[#This Row],[Precio Base]])*Tabla4[[#This Row],[Cantidad]]</f>
        <v>#N/A</v>
      </c>
      <c r="O5610" s="284" t="e">
        <f>++Tabla4[[#This Row],[Utilidad Total]]/Tabla4[[#This Row],[Total]]</f>
        <v>#N/A</v>
      </c>
      <c r="P5610" s="282">
        <f>++Tabla4[[#This Row],[Precio Descontado]]*Tabla4[[#This Row],[Cantidad]]</f>
        <v>11774.282448399999</v>
      </c>
      <c r="Q5610" s="282" t="e">
        <f>(INDEX(Tabla6[#All],MATCH(Tabla4[[#This Row],[Producto]],Tabla6[[#All],[PRODUCTO]],0),MATCH(Tabla4[[#This Row],[Mes]],Tabla6[#Headers],0)))</f>
        <v>#N/A</v>
      </c>
      <c r="R5610" s="282" t="e">
        <f>++Tabla4[[#This Row],[Precio Unitario Neto]]-Tabla4[[#This Row],[20.85%]]-Tabla4[[#This Row],[Costo]]</f>
        <v>#N/A</v>
      </c>
      <c r="S5610" s="282" t="e">
        <f>++Tabla4[[#This Row],[U. Bruta Uni]]*Tabla4[[#This Row],[Cantidad]]</f>
        <v>#N/A</v>
      </c>
      <c r="T5610" s="369" t="str">
        <f>VLOOKUP(Tabla4[[#This Row],[Producto]],Tabla6[#All],14,FALSE)</f>
        <v>Termico Solar</v>
      </c>
      <c r="U5610" s="284" t="e">
        <f>(IF(Tabla4[[#This Row],[Familia]]="termico solar",Tabla4[[#This Row],[Utilidad Total]]*6%,Tabla4[[#This Row],[Utilidad Total]]*11.5%))/Tabla4[[#This Row],[Total]]</f>
        <v>#N/A</v>
      </c>
      <c r="V5610" s="282" t="e">
        <f>+Tabla4[[#This Row],[Comisión Calculada]]*Tabla4[[#This Row],[Total]]</f>
        <v>#N/A</v>
      </c>
    </row>
    <row r="5611" spans="1:22" hidden="1" x14ac:dyDescent="0.25">
      <c r="A5611" s="100">
        <v>45915</v>
      </c>
      <c r="B5611" t="str">
        <f t="shared" si="271"/>
        <v>September</v>
      </c>
      <c r="C5611" s="46" t="s">
        <v>280</v>
      </c>
      <c r="F5611" s="366" t="s">
        <v>2895</v>
      </c>
      <c r="G5611" s="46" t="s">
        <v>20</v>
      </c>
      <c r="H5611" s="46">
        <v>1</v>
      </c>
      <c r="I5611" s="51">
        <v>7751.98</v>
      </c>
      <c r="J5611" s="281">
        <f>++Tabla4[[#This Row],[Precio Bruto]]*1.16</f>
        <v>8992.2967999999983</v>
      </c>
      <c r="K5611" s="281">
        <f>+Tabla4[[#This Row],[Precio Unitario Neto]]*Tabla4[[#Headers],[20.85%]]</f>
        <v>1874.8938827999996</v>
      </c>
      <c r="L5611" s="282">
        <f>++Tabla4[[#This Row],[Precio Unitario Neto]]-Tabla4[[#This Row],[20.85%]]</f>
        <v>7117.4029171999991</v>
      </c>
      <c r="M5611" s="282" t="e">
        <f>(INDEX(Tabla6[#All],MATCH(Tabla4[[#This Row],[Producto]],Tabla6[[#All],[PRODUCTO]],0),MATCH(Tabla4[[#This Row],[Mes]],Tabla6[#Headers],0)))*(1+Catalogos!$L$2)</f>
        <v>#N/A</v>
      </c>
      <c r="N5611" s="283" t="e">
        <f>+(Tabla4[[#This Row],[Precio Descontado]]-Tabla4[[#This Row],[Precio Base]])*Tabla4[[#This Row],[Cantidad]]</f>
        <v>#N/A</v>
      </c>
      <c r="O5611" s="284" t="e">
        <f>++Tabla4[[#This Row],[Utilidad Total]]/Tabla4[[#This Row],[Total]]</f>
        <v>#N/A</v>
      </c>
      <c r="P5611" s="282">
        <f>++Tabla4[[#This Row],[Precio Descontado]]*Tabla4[[#This Row],[Cantidad]]</f>
        <v>7117.4029171999991</v>
      </c>
      <c r="Q5611" s="282" t="e">
        <f>(INDEX(Tabla6[#All],MATCH(Tabla4[[#This Row],[Producto]],Tabla6[[#All],[PRODUCTO]],0),MATCH(Tabla4[[#This Row],[Mes]],Tabla6[#Headers],0)))</f>
        <v>#N/A</v>
      </c>
      <c r="R5611" s="282" t="e">
        <f>++Tabla4[[#This Row],[Precio Unitario Neto]]-Tabla4[[#This Row],[20.85%]]-Tabla4[[#This Row],[Costo]]</f>
        <v>#N/A</v>
      </c>
      <c r="S5611" s="282" t="e">
        <f>++Tabla4[[#This Row],[U. Bruta Uni]]*Tabla4[[#This Row],[Cantidad]]</f>
        <v>#N/A</v>
      </c>
      <c r="T5611" s="369" t="str">
        <f>VLOOKUP(Tabla4[[#This Row],[Producto]],Tabla6[#All],14,FALSE)</f>
        <v>Termico Solar</v>
      </c>
      <c r="U5611" s="284" t="e">
        <f>(IF(Tabla4[[#This Row],[Familia]]="termico solar",Tabla4[[#This Row],[Utilidad Total]]*6%,Tabla4[[#This Row],[Utilidad Total]]*11.5%))/Tabla4[[#This Row],[Total]]</f>
        <v>#N/A</v>
      </c>
      <c r="V5611" s="282" t="e">
        <f>+Tabla4[[#This Row],[Comisión Calculada]]*Tabla4[[#This Row],[Total]]</f>
        <v>#N/A</v>
      </c>
    </row>
    <row r="5612" spans="1:22" hidden="1" x14ac:dyDescent="0.25">
      <c r="A5612" s="100">
        <v>45915</v>
      </c>
      <c r="B5612" t="str">
        <f t="shared" si="271"/>
        <v>September</v>
      </c>
      <c r="C5612" s="46" t="s">
        <v>280</v>
      </c>
      <c r="F5612" s="366" t="s">
        <v>2895</v>
      </c>
      <c r="G5612" s="46" t="s">
        <v>21</v>
      </c>
      <c r="H5612" s="46">
        <v>4</v>
      </c>
      <c r="I5612" s="51">
        <v>9282.19</v>
      </c>
      <c r="J5612" s="281">
        <f>++Tabla4[[#This Row],[Precio Bruto]]*1.16</f>
        <v>10767.340399999999</v>
      </c>
      <c r="K5612" s="281">
        <f>+Tabla4[[#This Row],[Precio Unitario Neto]]*Tabla4[[#Headers],[20.85%]]</f>
        <v>2244.9904733999997</v>
      </c>
      <c r="L5612" s="282">
        <f>++Tabla4[[#This Row],[Precio Unitario Neto]]-Tabla4[[#This Row],[20.85%]]</f>
        <v>8522.3499265999999</v>
      </c>
      <c r="M5612" s="282" t="e">
        <f>(INDEX(Tabla6[#All],MATCH(Tabla4[[#This Row],[Producto]],Tabla6[[#All],[PRODUCTO]],0),MATCH(Tabla4[[#This Row],[Mes]],Tabla6[#Headers],0)))*(1+Catalogos!$L$2)</f>
        <v>#N/A</v>
      </c>
      <c r="N5612" s="283" t="e">
        <f>+(Tabla4[[#This Row],[Precio Descontado]]-Tabla4[[#This Row],[Precio Base]])*Tabla4[[#This Row],[Cantidad]]</f>
        <v>#N/A</v>
      </c>
      <c r="O5612" s="284" t="e">
        <f>++Tabla4[[#This Row],[Utilidad Total]]/Tabla4[[#This Row],[Total]]</f>
        <v>#N/A</v>
      </c>
      <c r="P5612" s="282">
        <f>++Tabla4[[#This Row],[Precio Descontado]]*Tabla4[[#This Row],[Cantidad]]</f>
        <v>34089.3997064</v>
      </c>
      <c r="Q5612" s="282" t="e">
        <f>(INDEX(Tabla6[#All],MATCH(Tabla4[[#This Row],[Producto]],Tabla6[[#All],[PRODUCTO]],0),MATCH(Tabla4[[#This Row],[Mes]],Tabla6[#Headers],0)))</f>
        <v>#N/A</v>
      </c>
      <c r="R5612" s="282" t="e">
        <f>++Tabla4[[#This Row],[Precio Unitario Neto]]-Tabla4[[#This Row],[20.85%]]-Tabla4[[#This Row],[Costo]]</f>
        <v>#N/A</v>
      </c>
      <c r="S5612" s="282" t="e">
        <f>++Tabla4[[#This Row],[U. Bruta Uni]]*Tabla4[[#This Row],[Cantidad]]</f>
        <v>#N/A</v>
      </c>
      <c r="T5612" s="369" t="str">
        <f>VLOOKUP(Tabla4[[#This Row],[Producto]],Tabla6[#All],14,FALSE)</f>
        <v>Termico Solar</v>
      </c>
      <c r="U5612" s="284" t="e">
        <f>(IF(Tabla4[[#This Row],[Familia]]="termico solar",Tabla4[[#This Row],[Utilidad Total]]*6%,Tabla4[[#This Row],[Utilidad Total]]*11.5%))/Tabla4[[#This Row],[Total]]</f>
        <v>#N/A</v>
      </c>
      <c r="V5612" s="282" t="e">
        <f>+Tabla4[[#This Row],[Comisión Calculada]]*Tabla4[[#This Row],[Total]]</f>
        <v>#N/A</v>
      </c>
    </row>
    <row r="5613" spans="1:22" hidden="1" x14ac:dyDescent="0.25">
      <c r="A5613" s="100">
        <v>45915</v>
      </c>
      <c r="B5613" t="str">
        <f t="shared" si="271"/>
        <v>September</v>
      </c>
      <c r="C5613" s="46" t="s">
        <v>280</v>
      </c>
      <c r="F5613" s="366" t="s">
        <v>2895</v>
      </c>
      <c r="G5613" s="46" t="s">
        <v>22</v>
      </c>
      <c r="H5613" s="46">
        <v>2</v>
      </c>
      <c r="I5613" s="51">
        <v>13355.75</v>
      </c>
      <c r="J5613" s="281">
        <f>++Tabla4[[#This Row],[Precio Bruto]]*1.16</f>
        <v>15492.669999999998</v>
      </c>
      <c r="K5613" s="281">
        <f>+Tabla4[[#This Row],[Precio Unitario Neto]]*Tabla4[[#Headers],[20.85%]]</f>
        <v>3230.2216949999993</v>
      </c>
      <c r="L5613" s="282">
        <f>++Tabla4[[#This Row],[Precio Unitario Neto]]-Tabla4[[#This Row],[20.85%]]</f>
        <v>12262.448304999998</v>
      </c>
      <c r="M5613" s="282" t="e">
        <f>(INDEX(Tabla6[#All],MATCH(Tabla4[[#This Row],[Producto]],Tabla6[[#All],[PRODUCTO]],0),MATCH(Tabla4[[#This Row],[Mes]],Tabla6[#Headers],0)))*(1+Catalogos!$L$2)</f>
        <v>#N/A</v>
      </c>
      <c r="N5613" s="283" t="e">
        <f>+(Tabla4[[#This Row],[Precio Descontado]]-Tabla4[[#This Row],[Precio Base]])*Tabla4[[#This Row],[Cantidad]]</f>
        <v>#N/A</v>
      </c>
      <c r="O5613" s="284" t="e">
        <f>++Tabla4[[#This Row],[Utilidad Total]]/Tabla4[[#This Row],[Total]]</f>
        <v>#N/A</v>
      </c>
      <c r="P5613" s="282">
        <f>++Tabla4[[#This Row],[Precio Descontado]]*Tabla4[[#This Row],[Cantidad]]</f>
        <v>24524.896609999996</v>
      </c>
      <c r="Q5613" s="282" t="e">
        <f>(INDEX(Tabla6[#All],MATCH(Tabla4[[#This Row],[Producto]],Tabla6[[#All],[PRODUCTO]],0),MATCH(Tabla4[[#This Row],[Mes]],Tabla6[#Headers],0)))</f>
        <v>#N/A</v>
      </c>
      <c r="R5613" s="282" t="e">
        <f>++Tabla4[[#This Row],[Precio Unitario Neto]]-Tabla4[[#This Row],[20.85%]]-Tabla4[[#This Row],[Costo]]</f>
        <v>#N/A</v>
      </c>
      <c r="S5613" s="282" t="e">
        <f>++Tabla4[[#This Row],[U. Bruta Uni]]*Tabla4[[#This Row],[Cantidad]]</f>
        <v>#N/A</v>
      </c>
      <c r="T5613" s="369" t="str">
        <f>VLOOKUP(Tabla4[[#This Row],[Producto]],Tabla6[#All],14,FALSE)</f>
        <v>Termico Solar</v>
      </c>
      <c r="U5613" s="284" t="e">
        <f>(IF(Tabla4[[#This Row],[Familia]]="termico solar",Tabla4[[#This Row],[Utilidad Total]]*6%,Tabla4[[#This Row],[Utilidad Total]]*11.5%))/Tabla4[[#This Row],[Total]]</f>
        <v>#N/A</v>
      </c>
      <c r="V5613" s="282" t="e">
        <f>+Tabla4[[#This Row],[Comisión Calculada]]*Tabla4[[#This Row],[Total]]</f>
        <v>#N/A</v>
      </c>
    </row>
    <row r="5614" spans="1:22" hidden="1" x14ac:dyDescent="0.25">
      <c r="A5614" s="100">
        <v>45915</v>
      </c>
      <c r="B5614" t="str">
        <f t="shared" si="271"/>
        <v>September</v>
      </c>
      <c r="C5614" s="46" t="s">
        <v>280</v>
      </c>
      <c r="F5614" s="366" t="s">
        <v>2895</v>
      </c>
      <c r="G5614" s="46" t="s">
        <v>566</v>
      </c>
      <c r="H5614" s="46">
        <v>1</v>
      </c>
      <c r="I5614" s="51">
        <v>2109.4499999999998</v>
      </c>
      <c r="J5614" s="281">
        <f>++Tabla4[[#This Row],[Precio Bruto]]*1.16</f>
        <v>2446.9619999999995</v>
      </c>
      <c r="K5614" s="281">
        <f>+Tabla4[[#This Row],[Precio Unitario Neto]]*Tabla4[[#Headers],[20.85%]]</f>
        <v>510.19157699999988</v>
      </c>
      <c r="L5614" s="282">
        <f>++Tabla4[[#This Row],[Precio Unitario Neto]]-Tabla4[[#This Row],[20.85%]]</f>
        <v>1936.7704229999997</v>
      </c>
      <c r="M5614" s="282" t="e">
        <f>(INDEX(Tabla6[#All],MATCH(Tabla4[[#This Row],[Producto]],Tabla6[[#All],[PRODUCTO]],0),MATCH(Tabla4[[#This Row],[Mes]],Tabla6[#Headers],0)))*(1+Catalogos!$L$2)</f>
        <v>#N/A</v>
      </c>
      <c r="N5614" s="283" t="e">
        <f>+(Tabla4[[#This Row],[Precio Descontado]]-Tabla4[[#This Row],[Precio Base]])*Tabla4[[#This Row],[Cantidad]]</f>
        <v>#N/A</v>
      </c>
      <c r="O5614" s="284" t="e">
        <f>++Tabla4[[#This Row],[Utilidad Total]]/Tabla4[[#This Row],[Total]]</f>
        <v>#N/A</v>
      </c>
      <c r="P5614" s="282">
        <f>++Tabla4[[#This Row],[Precio Descontado]]*Tabla4[[#This Row],[Cantidad]]</f>
        <v>1936.7704229999997</v>
      </c>
      <c r="Q5614" s="282" t="e">
        <f>(INDEX(Tabla6[#All],MATCH(Tabla4[[#This Row],[Producto]],Tabla6[[#All],[PRODUCTO]],0),MATCH(Tabla4[[#This Row],[Mes]],Tabla6[#Headers],0)))</f>
        <v>#N/A</v>
      </c>
      <c r="R5614" s="282" t="e">
        <f>++Tabla4[[#This Row],[Precio Unitario Neto]]-Tabla4[[#This Row],[20.85%]]-Tabla4[[#This Row],[Costo]]</f>
        <v>#N/A</v>
      </c>
      <c r="S5614" s="282" t="e">
        <f>++Tabla4[[#This Row],[U. Bruta Uni]]*Tabla4[[#This Row],[Cantidad]]</f>
        <v>#N/A</v>
      </c>
      <c r="T5614" s="369" t="str">
        <f>VLOOKUP(Tabla4[[#This Row],[Producto]],Tabla6[#All],14,FALSE)</f>
        <v>Termico Solar</v>
      </c>
      <c r="U5614" s="284" t="e">
        <f>(IF(Tabla4[[#This Row],[Familia]]="termico solar",Tabla4[[#This Row],[Utilidad Total]]*6%,Tabla4[[#This Row],[Utilidad Total]]*11.5%))/Tabla4[[#This Row],[Total]]</f>
        <v>#N/A</v>
      </c>
      <c r="V5614" s="282" t="e">
        <f>+Tabla4[[#This Row],[Comisión Calculada]]*Tabla4[[#This Row],[Total]]</f>
        <v>#N/A</v>
      </c>
    </row>
    <row r="5615" spans="1:22" hidden="1" x14ac:dyDescent="0.25">
      <c r="A5615" s="100">
        <v>45915</v>
      </c>
      <c r="B5615" t="str">
        <f t="shared" si="271"/>
        <v>September</v>
      </c>
      <c r="C5615" s="46" t="s">
        <v>280</v>
      </c>
      <c r="F5615" s="366" t="s">
        <v>2895</v>
      </c>
      <c r="G5615" s="46" t="s">
        <v>412</v>
      </c>
      <c r="H5615" s="46">
        <v>1</v>
      </c>
      <c r="I5615" s="51">
        <v>3240.84</v>
      </c>
      <c r="J5615" s="281">
        <f>++Tabla4[[#This Row],[Precio Bruto]]*1.16</f>
        <v>3759.3743999999997</v>
      </c>
      <c r="K5615" s="281">
        <f>+Tabla4[[#This Row],[Precio Unitario Neto]]*Tabla4[[#Headers],[20.85%]]</f>
        <v>783.82956239999987</v>
      </c>
      <c r="L5615" s="282">
        <f>++Tabla4[[#This Row],[Precio Unitario Neto]]-Tabla4[[#This Row],[20.85%]]</f>
        <v>2975.5448375999999</v>
      </c>
      <c r="M5615" s="282" t="e">
        <f>(INDEX(Tabla6[#All],MATCH(Tabla4[[#This Row],[Producto]],Tabla6[[#All],[PRODUCTO]],0),MATCH(Tabla4[[#This Row],[Mes]],Tabla6[#Headers],0)))*(1+Catalogos!$L$2)</f>
        <v>#N/A</v>
      </c>
      <c r="N5615" s="283" t="e">
        <f>+(Tabla4[[#This Row],[Precio Descontado]]-Tabla4[[#This Row],[Precio Base]])*Tabla4[[#This Row],[Cantidad]]</f>
        <v>#N/A</v>
      </c>
      <c r="O5615" s="284" t="e">
        <f>++Tabla4[[#This Row],[Utilidad Total]]/Tabla4[[#This Row],[Total]]</f>
        <v>#N/A</v>
      </c>
      <c r="P5615" s="282">
        <f>++Tabla4[[#This Row],[Precio Descontado]]*Tabla4[[#This Row],[Cantidad]]</f>
        <v>2975.5448375999999</v>
      </c>
      <c r="Q5615" s="282" t="e">
        <f>(INDEX(Tabla6[#All],MATCH(Tabla4[[#This Row],[Producto]],Tabla6[[#All],[PRODUCTO]],0),MATCH(Tabla4[[#This Row],[Mes]],Tabla6[#Headers],0)))</f>
        <v>#N/A</v>
      </c>
      <c r="R5615" s="282" t="e">
        <f>++Tabla4[[#This Row],[Precio Unitario Neto]]-Tabla4[[#This Row],[20.85%]]-Tabla4[[#This Row],[Costo]]</f>
        <v>#N/A</v>
      </c>
      <c r="S5615" s="282" t="e">
        <f>++Tabla4[[#This Row],[U. Bruta Uni]]*Tabla4[[#This Row],[Cantidad]]</f>
        <v>#N/A</v>
      </c>
      <c r="T5615" s="369" t="str">
        <f>VLOOKUP(Tabla4[[#This Row],[Producto]],Tabla6[#All],14,FALSE)</f>
        <v>Termico Solar</v>
      </c>
      <c r="U5615" s="284" t="e">
        <f>(IF(Tabla4[[#This Row],[Familia]]="termico solar",Tabla4[[#This Row],[Utilidad Total]]*6%,Tabla4[[#This Row],[Utilidad Total]]*11.5%))/Tabla4[[#This Row],[Total]]</f>
        <v>#N/A</v>
      </c>
      <c r="V5615" s="282" t="e">
        <f>+Tabla4[[#This Row],[Comisión Calculada]]*Tabla4[[#This Row],[Total]]</f>
        <v>#N/A</v>
      </c>
    </row>
    <row r="5616" spans="1:22" hidden="1" x14ac:dyDescent="0.25">
      <c r="A5616" s="100">
        <v>45915</v>
      </c>
      <c r="B5616" t="str">
        <f t="shared" si="271"/>
        <v>September</v>
      </c>
      <c r="C5616" s="46" t="s">
        <v>280</v>
      </c>
      <c r="F5616" s="366" t="s">
        <v>2895</v>
      </c>
      <c r="G5616" s="46" t="s">
        <v>394</v>
      </c>
      <c r="H5616" s="46">
        <v>9</v>
      </c>
      <c r="I5616" s="51">
        <v>108.1</v>
      </c>
      <c r="J5616" s="281">
        <f>++Tabla4[[#This Row],[Precio Bruto]]*1.16</f>
        <v>125.39599999999999</v>
      </c>
      <c r="K5616" s="281">
        <f>+Tabla4[[#This Row],[Precio Unitario Neto]]*Tabla4[[#Headers],[20.85%]]</f>
        <v>26.145065999999996</v>
      </c>
      <c r="L5616" s="282">
        <f>++Tabla4[[#This Row],[Precio Unitario Neto]]-Tabla4[[#This Row],[20.85%]]</f>
        <v>99.250933999999987</v>
      </c>
      <c r="M5616" s="282" t="e">
        <f>(INDEX(Tabla6[#All],MATCH(Tabla4[[#This Row],[Producto]],Tabla6[[#All],[PRODUCTO]],0),MATCH(Tabla4[[#This Row],[Mes]],Tabla6[#Headers],0)))*(1+Catalogos!$L$2)</f>
        <v>#N/A</v>
      </c>
      <c r="N5616" s="283" t="e">
        <f>+(Tabla4[[#This Row],[Precio Descontado]]-Tabla4[[#This Row],[Precio Base]])*Tabla4[[#This Row],[Cantidad]]</f>
        <v>#N/A</v>
      </c>
      <c r="O5616" s="284" t="e">
        <f>++Tabla4[[#This Row],[Utilidad Total]]/Tabla4[[#This Row],[Total]]</f>
        <v>#N/A</v>
      </c>
      <c r="P5616" s="282">
        <f>++Tabla4[[#This Row],[Precio Descontado]]*Tabla4[[#This Row],[Cantidad]]</f>
        <v>893.25840599999992</v>
      </c>
      <c r="Q5616" s="282" t="e">
        <f>(INDEX(Tabla6[#All],MATCH(Tabla4[[#This Row],[Producto]],Tabla6[[#All],[PRODUCTO]],0),MATCH(Tabla4[[#This Row],[Mes]],Tabla6[#Headers],0)))</f>
        <v>#N/A</v>
      </c>
      <c r="R5616" s="282" t="e">
        <f>++Tabla4[[#This Row],[Precio Unitario Neto]]-Tabla4[[#This Row],[20.85%]]-Tabla4[[#This Row],[Costo]]</f>
        <v>#N/A</v>
      </c>
      <c r="S5616" s="282" t="e">
        <f>++Tabla4[[#This Row],[U. Bruta Uni]]*Tabla4[[#This Row],[Cantidad]]</f>
        <v>#N/A</v>
      </c>
      <c r="T5616" s="369" t="str">
        <f>VLOOKUP(Tabla4[[#This Row],[Producto]],Tabla6[#All],14,FALSE)</f>
        <v>Termico Solar</v>
      </c>
      <c r="U5616" s="284" t="e">
        <f>(IF(Tabla4[[#This Row],[Familia]]="termico solar",Tabla4[[#This Row],[Utilidad Total]]*6%,Tabla4[[#This Row],[Utilidad Total]]*11.5%))/Tabla4[[#This Row],[Total]]</f>
        <v>#N/A</v>
      </c>
      <c r="V5616" s="282" t="e">
        <f>+Tabla4[[#This Row],[Comisión Calculada]]*Tabla4[[#This Row],[Total]]</f>
        <v>#N/A</v>
      </c>
    </row>
    <row r="5617" spans="1:22" hidden="1" x14ac:dyDescent="0.25">
      <c r="A5617" s="100">
        <v>45915</v>
      </c>
      <c r="B5617" t="str">
        <f t="shared" si="271"/>
        <v>September</v>
      </c>
      <c r="C5617" s="46" t="s">
        <v>280</v>
      </c>
      <c r="F5617" s="366" t="s">
        <v>2895</v>
      </c>
      <c r="G5617" s="46" t="s">
        <v>16</v>
      </c>
      <c r="H5617" s="46">
        <v>4</v>
      </c>
      <c r="I5617" s="51">
        <v>4103.8500000000004</v>
      </c>
      <c r="J5617" s="281">
        <f>++Tabla4[[#This Row],[Precio Bruto]]*1.16</f>
        <v>4760.4660000000003</v>
      </c>
      <c r="K5617" s="281">
        <f>+Tabla4[[#This Row],[Precio Unitario Neto]]*Tabla4[[#Headers],[20.85%]]</f>
        <v>992.55716100000006</v>
      </c>
      <c r="L5617" s="282">
        <f>++Tabla4[[#This Row],[Precio Unitario Neto]]-Tabla4[[#This Row],[20.85%]]</f>
        <v>3767.9088390000002</v>
      </c>
      <c r="M5617" s="282" t="e">
        <f>(INDEX(Tabla6[#All],MATCH(Tabla4[[#This Row],[Producto]],Tabla6[[#All],[PRODUCTO]],0),MATCH(Tabla4[[#This Row],[Mes]],Tabla6[#Headers],0)))*(1+Catalogos!$L$2)</f>
        <v>#N/A</v>
      </c>
      <c r="N5617" s="283" t="e">
        <f>+(Tabla4[[#This Row],[Precio Descontado]]-Tabla4[[#This Row],[Precio Base]])*Tabla4[[#This Row],[Cantidad]]</f>
        <v>#N/A</v>
      </c>
      <c r="O5617" s="284" t="e">
        <f>++Tabla4[[#This Row],[Utilidad Total]]/Tabla4[[#This Row],[Total]]</f>
        <v>#N/A</v>
      </c>
      <c r="P5617" s="282">
        <f>++Tabla4[[#This Row],[Precio Descontado]]*Tabla4[[#This Row],[Cantidad]]</f>
        <v>15071.635356000001</v>
      </c>
      <c r="Q5617" s="282" t="e">
        <f>(INDEX(Tabla6[#All],MATCH(Tabla4[[#This Row],[Producto]],Tabla6[[#All],[PRODUCTO]],0),MATCH(Tabla4[[#This Row],[Mes]],Tabla6[#Headers],0)))</f>
        <v>#N/A</v>
      </c>
      <c r="R5617" s="282" t="e">
        <f>++Tabla4[[#This Row],[Precio Unitario Neto]]-Tabla4[[#This Row],[20.85%]]-Tabla4[[#This Row],[Costo]]</f>
        <v>#N/A</v>
      </c>
      <c r="S5617" s="282" t="e">
        <f>++Tabla4[[#This Row],[U. Bruta Uni]]*Tabla4[[#This Row],[Cantidad]]</f>
        <v>#N/A</v>
      </c>
      <c r="T5617" s="369" t="str">
        <f>VLOOKUP(Tabla4[[#This Row],[Producto]],Tabla6[#All],14,FALSE)</f>
        <v>Termico Solar</v>
      </c>
      <c r="U5617" s="284" t="e">
        <f>(IF(Tabla4[[#This Row],[Familia]]="termico solar",Tabla4[[#This Row],[Utilidad Total]]*6%,Tabla4[[#This Row],[Utilidad Total]]*11.5%))/Tabla4[[#This Row],[Total]]</f>
        <v>#N/A</v>
      </c>
      <c r="V5617" s="282" t="e">
        <f>+Tabla4[[#This Row],[Comisión Calculada]]*Tabla4[[#This Row],[Total]]</f>
        <v>#N/A</v>
      </c>
    </row>
    <row r="5618" spans="1:22" hidden="1" x14ac:dyDescent="0.25">
      <c r="A5618" s="100">
        <v>45915</v>
      </c>
      <c r="B5618" t="str">
        <f t="shared" ref="B5618:B5649" si="272">TEXT(A5618, "mmmm")</f>
        <v>September</v>
      </c>
      <c r="C5618" s="46" t="s">
        <v>280</v>
      </c>
      <c r="F5618" s="366" t="s">
        <v>2896</v>
      </c>
      <c r="G5618" s="46" t="s">
        <v>83</v>
      </c>
      <c r="H5618" s="46">
        <v>4</v>
      </c>
      <c r="I5618" s="51">
        <v>8858.76</v>
      </c>
      <c r="J5618" s="281">
        <f>++Tabla4[[#This Row],[Precio Bruto]]*1.16</f>
        <v>10276.161599999999</v>
      </c>
      <c r="K5618" s="281">
        <f>+Tabla4[[#This Row],[Precio Unitario Neto]]*Tabla4[[#Headers],[20.85%]]</f>
        <v>2142.5796935999997</v>
      </c>
      <c r="L5618" s="282">
        <f>++Tabla4[[#This Row],[Precio Unitario Neto]]-Tabla4[[#This Row],[20.85%]]</f>
        <v>8133.5819063999998</v>
      </c>
      <c r="M5618" s="282" t="e">
        <f>(INDEX(Tabla6[#All],MATCH(Tabla4[[#This Row],[Producto]],Tabla6[[#All],[PRODUCTO]],0),MATCH(Tabla4[[#This Row],[Mes]],Tabla6[#Headers],0)))*(1+Catalogos!$L$2)</f>
        <v>#N/A</v>
      </c>
      <c r="N5618" s="283" t="e">
        <f>+(Tabla4[[#This Row],[Precio Descontado]]-Tabla4[[#This Row],[Precio Base]])*Tabla4[[#This Row],[Cantidad]]</f>
        <v>#N/A</v>
      </c>
      <c r="O5618" s="284" t="e">
        <f>++Tabla4[[#This Row],[Utilidad Total]]/Tabla4[[#This Row],[Total]]</f>
        <v>#N/A</v>
      </c>
      <c r="P5618" s="282">
        <f>++Tabla4[[#This Row],[Precio Descontado]]*Tabla4[[#This Row],[Cantidad]]</f>
        <v>32534.327625599999</v>
      </c>
      <c r="Q5618" s="282" t="e">
        <f>(INDEX(Tabla6[#All],MATCH(Tabla4[[#This Row],[Producto]],Tabla6[[#All],[PRODUCTO]],0),MATCH(Tabla4[[#This Row],[Mes]],Tabla6[#Headers],0)))</f>
        <v>#N/A</v>
      </c>
      <c r="R5618" s="282" t="e">
        <f>++Tabla4[[#This Row],[Precio Unitario Neto]]-Tabla4[[#This Row],[20.85%]]-Tabla4[[#This Row],[Costo]]</f>
        <v>#N/A</v>
      </c>
      <c r="S5618" s="282" t="e">
        <f>++Tabla4[[#This Row],[U. Bruta Uni]]*Tabla4[[#This Row],[Cantidad]]</f>
        <v>#N/A</v>
      </c>
      <c r="T5618" s="369" t="str">
        <f>VLOOKUP(Tabla4[[#This Row],[Producto]],Tabla6[#All],14,FALSE)</f>
        <v>Termico Solar</v>
      </c>
      <c r="U5618" s="284" t="e">
        <f>(IF(Tabla4[[#This Row],[Familia]]="termico solar",Tabla4[[#This Row],[Utilidad Total]]*6%,Tabla4[[#This Row],[Utilidad Total]]*11.5%))/Tabla4[[#This Row],[Total]]</f>
        <v>#N/A</v>
      </c>
      <c r="V5618" s="282" t="e">
        <f>+Tabla4[[#This Row],[Comisión Calculada]]*Tabla4[[#This Row],[Total]]</f>
        <v>#N/A</v>
      </c>
    </row>
    <row r="5619" spans="1:22" hidden="1" x14ac:dyDescent="0.25">
      <c r="A5619" s="100">
        <v>45915</v>
      </c>
      <c r="B5619" t="str">
        <f t="shared" si="272"/>
        <v>September</v>
      </c>
      <c r="C5619" s="46" t="s">
        <v>280</v>
      </c>
      <c r="F5619" s="366" t="s">
        <v>2896</v>
      </c>
      <c r="G5619" s="46" t="s">
        <v>18</v>
      </c>
      <c r="H5619" s="46">
        <v>1</v>
      </c>
      <c r="I5619" s="51">
        <v>5367.65</v>
      </c>
      <c r="J5619" s="281">
        <f>++Tabla4[[#This Row],[Precio Bruto]]*1.16</f>
        <v>6226.4739999999993</v>
      </c>
      <c r="K5619" s="281">
        <f>+Tabla4[[#This Row],[Precio Unitario Neto]]*Tabla4[[#Headers],[20.85%]]</f>
        <v>1298.2198289999999</v>
      </c>
      <c r="L5619" s="282">
        <f>++Tabla4[[#This Row],[Precio Unitario Neto]]-Tabla4[[#This Row],[20.85%]]</f>
        <v>4928.2541709999996</v>
      </c>
      <c r="M5619" s="282" t="e">
        <f>(INDEX(Tabla6[#All],MATCH(Tabla4[[#This Row],[Producto]],Tabla6[[#All],[PRODUCTO]],0),MATCH(Tabla4[[#This Row],[Mes]],Tabla6[#Headers],0)))*(1+Catalogos!$L$2)</f>
        <v>#N/A</v>
      </c>
      <c r="N5619" s="283" t="e">
        <f>+(Tabla4[[#This Row],[Precio Descontado]]-Tabla4[[#This Row],[Precio Base]])*Tabla4[[#This Row],[Cantidad]]</f>
        <v>#N/A</v>
      </c>
      <c r="O5619" s="284" t="e">
        <f>++Tabla4[[#This Row],[Utilidad Total]]/Tabla4[[#This Row],[Total]]</f>
        <v>#N/A</v>
      </c>
      <c r="P5619" s="282">
        <f>++Tabla4[[#This Row],[Precio Descontado]]*Tabla4[[#This Row],[Cantidad]]</f>
        <v>4928.2541709999996</v>
      </c>
      <c r="Q5619" s="282" t="e">
        <f>(INDEX(Tabla6[#All],MATCH(Tabla4[[#This Row],[Producto]],Tabla6[[#All],[PRODUCTO]],0),MATCH(Tabla4[[#This Row],[Mes]],Tabla6[#Headers],0)))</f>
        <v>#N/A</v>
      </c>
      <c r="R5619" s="282" t="e">
        <f>++Tabla4[[#This Row],[Precio Unitario Neto]]-Tabla4[[#This Row],[20.85%]]-Tabla4[[#This Row],[Costo]]</f>
        <v>#N/A</v>
      </c>
      <c r="S5619" s="282" t="e">
        <f>++Tabla4[[#This Row],[U. Bruta Uni]]*Tabla4[[#This Row],[Cantidad]]</f>
        <v>#N/A</v>
      </c>
      <c r="T5619" s="369" t="str">
        <f>VLOOKUP(Tabla4[[#This Row],[Producto]],Tabla6[#All],14,FALSE)</f>
        <v>Termico Solar</v>
      </c>
      <c r="U5619" s="284" t="e">
        <f>(IF(Tabla4[[#This Row],[Familia]]="termico solar",Tabla4[[#This Row],[Utilidad Total]]*6%,Tabla4[[#This Row],[Utilidad Total]]*11.5%))/Tabla4[[#This Row],[Total]]</f>
        <v>#N/A</v>
      </c>
      <c r="V5619" s="282" t="e">
        <f>+Tabla4[[#This Row],[Comisión Calculada]]*Tabla4[[#This Row],[Total]]</f>
        <v>#N/A</v>
      </c>
    </row>
    <row r="5620" spans="1:22" hidden="1" x14ac:dyDescent="0.25">
      <c r="A5620" s="100">
        <v>45915</v>
      </c>
      <c r="B5620" t="str">
        <f t="shared" si="272"/>
        <v>September</v>
      </c>
      <c r="C5620" s="46" t="s">
        <v>280</v>
      </c>
      <c r="F5620" s="366" t="s">
        <v>2897</v>
      </c>
      <c r="G5620" s="46" t="s">
        <v>83</v>
      </c>
      <c r="H5620" s="46">
        <v>5</v>
      </c>
      <c r="I5620" s="51">
        <v>8858.76</v>
      </c>
      <c r="J5620" s="281">
        <f>++Tabla4[[#This Row],[Precio Bruto]]*1.16</f>
        <v>10276.161599999999</v>
      </c>
      <c r="K5620" s="281">
        <f>+Tabla4[[#This Row],[Precio Unitario Neto]]*Tabla4[[#Headers],[20.85%]]</f>
        <v>2142.5796935999997</v>
      </c>
      <c r="L5620" s="282">
        <f>++Tabla4[[#This Row],[Precio Unitario Neto]]-Tabla4[[#This Row],[20.85%]]</f>
        <v>8133.5819063999998</v>
      </c>
      <c r="M5620" s="282" t="e">
        <f>(INDEX(Tabla6[#All],MATCH(Tabla4[[#This Row],[Producto]],Tabla6[[#All],[PRODUCTO]],0),MATCH(Tabla4[[#This Row],[Mes]],Tabla6[#Headers],0)))*(1+Catalogos!$L$2)</f>
        <v>#N/A</v>
      </c>
      <c r="N5620" s="283" t="e">
        <f>+(Tabla4[[#This Row],[Precio Descontado]]-Tabla4[[#This Row],[Precio Base]])*Tabla4[[#This Row],[Cantidad]]</f>
        <v>#N/A</v>
      </c>
      <c r="O5620" s="284" t="e">
        <f>++Tabla4[[#This Row],[Utilidad Total]]/Tabla4[[#This Row],[Total]]</f>
        <v>#N/A</v>
      </c>
      <c r="P5620" s="282">
        <f>++Tabla4[[#This Row],[Precio Descontado]]*Tabla4[[#This Row],[Cantidad]]</f>
        <v>40667.909531999998</v>
      </c>
      <c r="Q5620" s="282" t="e">
        <f>(INDEX(Tabla6[#All],MATCH(Tabla4[[#This Row],[Producto]],Tabla6[[#All],[PRODUCTO]],0),MATCH(Tabla4[[#This Row],[Mes]],Tabla6[#Headers],0)))</f>
        <v>#N/A</v>
      </c>
      <c r="R5620" s="282" t="e">
        <f>++Tabla4[[#This Row],[Precio Unitario Neto]]-Tabla4[[#This Row],[20.85%]]-Tabla4[[#This Row],[Costo]]</f>
        <v>#N/A</v>
      </c>
      <c r="S5620" s="282" t="e">
        <f>++Tabla4[[#This Row],[U. Bruta Uni]]*Tabla4[[#This Row],[Cantidad]]</f>
        <v>#N/A</v>
      </c>
      <c r="T5620" s="369" t="str">
        <f>VLOOKUP(Tabla4[[#This Row],[Producto]],Tabla6[#All],14,FALSE)</f>
        <v>Termico Solar</v>
      </c>
      <c r="U5620" s="284" t="e">
        <f>(IF(Tabla4[[#This Row],[Familia]]="termico solar",Tabla4[[#This Row],[Utilidad Total]]*6%,Tabla4[[#This Row],[Utilidad Total]]*11.5%))/Tabla4[[#This Row],[Total]]</f>
        <v>#N/A</v>
      </c>
      <c r="V5620" s="282" t="e">
        <f>+Tabla4[[#This Row],[Comisión Calculada]]*Tabla4[[#This Row],[Total]]</f>
        <v>#N/A</v>
      </c>
    </row>
    <row r="5621" spans="1:22" hidden="1" x14ac:dyDescent="0.25">
      <c r="A5621" s="100">
        <v>45915</v>
      </c>
      <c r="B5621" t="str">
        <f t="shared" si="272"/>
        <v>September</v>
      </c>
      <c r="C5621" s="46" t="s">
        <v>280</v>
      </c>
      <c r="F5621" s="366" t="s">
        <v>2897</v>
      </c>
      <c r="G5621" s="46" t="s">
        <v>18</v>
      </c>
      <c r="H5621" s="46">
        <v>2</v>
      </c>
      <c r="I5621" s="51">
        <v>5367.65</v>
      </c>
      <c r="J5621" s="281">
        <f>++Tabla4[[#This Row],[Precio Bruto]]*1.16</f>
        <v>6226.4739999999993</v>
      </c>
      <c r="K5621" s="281">
        <f>+Tabla4[[#This Row],[Precio Unitario Neto]]*Tabla4[[#Headers],[20.85%]]</f>
        <v>1298.2198289999999</v>
      </c>
      <c r="L5621" s="282">
        <f>++Tabla4[[#This Row],[Precio Unitario Neto]]-Tabla4[[#This Row],[20.85%]]</f>
        <v>4928.2541709999996</v>
      </c>
      <c r="M5621" s="282" t="e">
        <f>(INDEX(Tabla6[#All],MATCH(Tabla4[[#This Row],[Producto]],Tabla6[[#All],[PRODUCTO]],0),MATCH(Tabla4[[#This Row],[Mes]],Tabla6[#Headers],0)))*(1+Catalogos!$L$2)</f>
        <v>#N/A</v>
      </c>
      <c r="N5621" s="283" t="e">
        <f>+(Tabla4[[#This Row],[Precio Descontado]]-Tabla4[[#This Row],[Precio Base]])*Tabla4[[#This Row],[Cantidad]]</f>
        <v>#N/A</v>
      </c>
      <c r="O5621" s="284" t="e">
        <f>++Tabla4[[#This Row],[Utilidad Total]]/Tabla4[[#This Row],[Total]]</f>
        <v>#N/A</v>
      </c>
      <c r="P5621" s="282">
        <f>++Tabla4[[#This Row],[Precio Descontado]]*Tabla4[[#This Row],[Cantidad]]</f>
        <v>9856.5083419999992</v>
      </c>
      <c r="Q5621" s="282" t="e">
        <f>(INDEX(Tabla6[#All],MATCH(Tabla4[[#This Row],[Producto]],Tabla6[[#All],[PRODUCTO]],0),MATCH(Tabla4[[#This Row],[Mes]],Tabla6[#Headers],0)))</f>
        <v>#N/A</v>
      </c>
      <c r="R5621" s="282" t="e">
        <f>++Tabla4[[#This Row],[Precio Unitario Neto]]-Tabla4[[#This Row],[20.85%]]-Tabla4[[#This Row],[Costo]]</f>
        <v>#N/A</v>
      </c>
      <c r="S5621" s="282" t="e">
        <f>++Tabla4[[#This Row],[U. Bruta Uni]]*Tabla4[[#This Row],[Cantidad]]</f>
        <v>#N/A</v>
      </c>
      <c r="T5621" s="369" t="str">
        <f>VLOOKUP(Tabla4[[#This Row],[Producto]],Tabla6[#All],14,FALSE)</f>
        <v>Termico Solar</v>
      </c>
      <c r="U5621" s="284" t="e">
        <f>(IF(Tabla4[[#This Row],[Familia]]="termico solar",Tabla4[[#This Row],[Utilidad Total]]*6%,Tabla4[[#This Row],[Utilidad Total]]*11.5%))/Tabla4[[#This Row],[Total]]</f>
        <v>#N/A</v>
      </c>
      <c r="V5621" s="282" t="e">
        <f>+Tabla4[[#This Row],[Comisión Calculada]]*Tabla4[[#This Row],[Total]]</f>
        <v>#N/A</v>
      </c>
    </row>
    <row r="5622" spans="1:22" hidden="1" x14ac:dyDescent="0.25">
      <c r="A5622" s="100">
        <v>45915</v>
      </c>
      <c r="B5622" t="str">
        <f t="shared" si="272"/>
        <v>September</v>
      </c>
      <c r="C5622" s="46" t="s">
        <v>280</v>
      </c>
      <c r="F5622" s="366" t="s">
        <v>2898</v>
      </c>
      <c r="G5622" s="46" t="s">
        <v>83</v>
      </c>
      <c r="H5622" s="46">
        <v>1</v>
      </c>
      <c r="I5622" s="51">
        <v>8858.76</v>
      </c>
      <c r="J5622" s="281">
        <f>++Tabla4[[#This Row],[Precio Bruto]]*1.16</f>
        <v>10276.161599999999</v>
      </c>
      <c r="K5622" s="281">
        <f>+Tabla4[[#This Row],[Precio Unitario Neto]]*Tabla4[[#Headers],[20.85%]]</f>
        <v>2142.5796935999997</v>
      </c>
      <c r="L5622" s="282">
        <f>++Tabla4[[#This Row],[Precio Unitario Neto]]-Tabla4[[#This Row],[20.85%]]</f>
        <v>8133.5819063999998</v>
      </c>
      <c r="M5622" s="282" t="e">
        <f>(INDEX(Tabla6[#All],MATCH(Tabla4[[#This Row],[Producto]],Tabla6[[#All],[PRODUCTO]],0),MATCH(Tabla4[[#This Row],[Mes]],Tabla6[#Headers],0)))*(1+Catalogos!$L$2)</f>
        <v>#N/A</v>
      </c>
      <c r="N5622" s="283" t="e">
        <f>+(Tabla4[[#This Row],[Precio Descontado]]-Tabla4[[#This Row],[Precio Base]])*Tabla4[[#This Row],[Cantidad]]</f>
        <v>#N/A</v>
      </c>
      <c r="O5622" s="284" t="e">
        <f>++Tabla4[[#This Row],[Utilidad Total]]/Tabla4[[#This Row],[Total]]</f>
        <v>#N/A</v>
      </c>
      <c r="P5622" s="282">
        <f>++Tabla4[[#This Row],[Precio Descontado]]*Tabla4[[#This Row],[Cantidad]]</f>
        <v>8133.5819063999998</v>
      </c>
      <c r="Q5622" s="282" t="e">
        <f>(INDEX(Tabla6[#All],MATCH(Tabla4[[#This Row],[Producto]],Tabla6[[#All],[PRODUCTO]],0),MATCH(Tabla4[[#This Row],[Mes]],Tabla6[#Headers],0)))</f>
        <v>#N/A</v>
      </c>
      <c r="R5622" s="282" t="e">
        <f>++Tabla4[[#This Row],[Precio Unitario Neto]]-Tabla4[[#This Row],[20.85%]]-Tabla4[[#This Row],[Costo]]</f>
        <v>#N/A</v>
      </c>
      <c r="S5622" s="282" t="e">
        <f>++Tabla4[[#This Row],[U. Bruta Uni]]*Tabla4[[#This Row],[Cantidad]]</f>
        <v>#N/A</v>
      </c>
      <c r="T5622" s="369" t="str">
        <f>VLOOKUP(Tabla4[[#This Row],[Producto]],Tabla6[#All],14,FALSE)</f>
        <v>Termico Solar</v>
      </c>
      <c r="U5622" s="284" t="e">
        <f>(IF(Tabla4[[#This Row],[Familia]]="termico solar",Tabla4[[#This Row],[Utilidad Total]]*6%,Tabla4[[#This Row],[Utilidad Total]]*11.5%))/Tabla4[[#This Row],[Total]]</f>
        <v>#N/A</v>
      </c>
      <c r="V5622" s="282" t="e">
        <f>+Tabla4[[#This Row],[Comisión Calculada]]*Tabla4[[#This Row],[Total]]</f>
        <v>#N/A</v>
      </c>
    </row>
    <row r="5623" spans="1:22" hidden="1" x14ac:dyDescent="0.25">
      <c r="A5623" s="100">
        <v>45915</v>
      </c>
      <c r="B5623" t="str">
        <f t="shared" si="272"/>
        <v>September</v>
      </c>
      <c r="C5623" s="46" t="s">
        <v>280</v>
      </c>
      <c r="F5623" s="366" t="s">
        <v>2898</v>
      </c>
      <c r="G5623" s="46" t="s">
        <v>17</v>
      </c>
      <c r="H5623" s="46">
        <v>1</v>
      </c>
      <c r="I5623" s="51">
        <v>4622.28</v>
      </c>
      <c r="J5623" s="281">
        <f>++Tabla4[[#This Row],[Precio Bruto]]*1.16</f>
        <v>5361.8447999999989</v>
      </c>
      <c r="K5623" s="281">
        <f>+Tabla4[[#This Row],[Precio Unitario Neto]]*Tabla4[[#Headers],[20.85%]]</f>
        <v>1117.9446407999997</v>
      </c>
      <c r="L5623" s="282">
        <f>++Tabla4[[#This Row],[Precio Unitario Neto]]-Tabla4[[#This Row],[20.85%]]</f>
        <v>4243.9001591999995</v>
      </c>
      <c r="M5623" s="282" t="e">
        <f>(INDEX(Tabla6[#All],MATCH(Tabla4[[#This Row],[Producto]],Tabla6[[#All],[PRODUCTO]],0),MATCH(Tabla4[[#This Row],[Mes]],Tabla6[#Headers],0)))*(1+Catalogos!$L$2)</f>
        <v>#N/A</v>
      </c>
      <c r="N5623" s="283" t="e">
        <f>+(Tabla4[[#This Row],[Precio Descontado]]-Tabla4[[#This Row],[Precio Base]])*Tabla4[[#This Row],[Cantidad]]</f>
        <v>#N/A</v>
      </c>
      <c r="O5623" s="284" t="e">
        <f>++Tabla4[[#This Row],[Utilidad Total]]/Tabla4[[#This Row],[Total]]</f>
        <v>#N/A</v>
      </c>
      <c r="P5623" s="282">
        <f>++Tabla4[[#This Row],[Precio Descontado]]*Tabla4[[#This Row],[Cantidad]]</f>
        <v>4243.9001591999995</v>
      </c>
      <c r="Q5623" s="282" t="e">
        <f>(INDEX(Tabla6[#All],MATCH(Tabla4[[#This Row],[Producto]],Tabla6[[#All],[PRODUCTO]],0),MATCH(Tabla4[[#This Row],[Mes]],Tabla6[#Headers],0)))</f>
        <v>#N/A</v>
      </c>
      <c r="R5623" s="282" t="e">
        <f>++Tabla4[[#This Row],[Precio Unitario Neto]]-Tabla4[[#This Row],[20.85%]]-Tabla4[[#This Row],[Costo]]</f>
        <v>#N/A</v>
      </c>
      <c r="S5623" s="282" t="e">
        <f>++Tabla4[[#This Row],[U. Bruta Uni]]*Tabla4[[#This Row],[Cantidad]]</f>
        <v>#N/A</v>
      </c>
      <c r="T5623" s="369" t="str">
        <f>VLOOKUP(Tabla4[[#This Row],[Producto]],Tabla6[#All],14,FALSE)</f>
        <v>Termico Solar</v>
      </c>
      <c r="U5623" s="284" t="e">
        <f>(IF(Tabla4[[#This Row],[Familia]]="termico solar",Tabla4[[#This Row],[Utilidad Total]]*6%,Tabla4[[#This Row],[Utilidad Total]]*11.5%))/Tabla4[[#This Row],[Total]]</f>
        <v>#N/A</v>
      </c>
      <c r="V5623" s="282" t="e">
        <f>+Tabla4[[#This Row],[Comisión Calculada]]*Tabla4[[#This Row],[Total]]</f>
        <v>#N/A</v>
      </c>
    </row>
    <row r="5624" spans="1:22" hidden="1" x14ac:dyDescent="0.25">
      <c r="A5624" s="100">
        <v>45915</v>
      </c>
      <c r="B5624" t="str">
        <f t="shared" si="272"/>
        <v>September</v>
      </c>
      <c r="C5624" s="46" t="s">
        <v>280</v>
      </c>
      <c r="F5624" s="366" t="s">
        <v>2899</v>
      </c>
      <c r="G5624" s="46" t="s">
        <v>17</v>
      </c>
      <c r="H5624" s="46">
        <v>1</v>
      </c>
      <c r="I5624" s="51">
        <v>4622.28</v>
      </c>
      <c r="J5624" s="281">
        <f>++Tabla4[[#This Row],[Precio Bruto]]*1.16</f>
        <v>5361.8447999999989</v>
      </c>
      <c r="K5624" s="281">
        <f>+Tabla4[[#This Row],[Precio Unitario Neto]]*Tabla4[[#Headers],[20.85%]]</f>
        <v>1117.9446407999997</v>
      </c>
      <c r="L5624" s="282">
        <f>++Tabla4[[#This Row],[Precio Unitario Neto]]-Tabla4[[#This Row],[20.85%]]</f>
        <v>4243.9001591999995</v>
      </c>
      <c r="M5624" s="282" t="e">
        <f>(INDEX(Tabla6[#All],MATCH(Tabla4[[#This Row],[Producto]],Tabla6[[#All],[PRODUCTO]],0),MATCH(Tabla4[[#This Row],[Mes]],Tabla6[#Headers],0)))*(1+Catalogos!$L$2)</f>
        <v>#N/A</v>
      </c>
      <c r="N5624" s="283" t="e">
        <f>+(Tabla4[[#This Row],[Precio Descontado]]-Tabla4[[#This Row],[Precio Base]])*Tabla4[[#This Row],[Cantidad]]</f>
        <v>#N/A</v>
      </c>
      <c r="O5624" s="284" t="e">
        <f>++Tabla4[[#This Row],[Utilidad Total]]/Tabla4[[#This Row],[Total]]</f>
        <v>#N/A</v>
      </c>
      <c r="P5624" s="282">
        <f>++Tabla4[[#This Row],[Precio Descontado]]*Tabla4[[#This Row],[Cantidad]]</f>
        <v>4243.9001591999995</v>
      </c>
      <c r="Q5624" s="282" t="e">
        <f>(INDEX(Tabla6[#All],MATCH(Tabla4[[#This Row],[Producto]],Tabla6[[#All],[PRODUCTO]],0),MATCH(Tabla4[[#This Row],[Mes]],Tabla6[#Headers],0)))</f>
        <v>#N/A</v>
      </c>
      <c r="R5624" s="282" t="e">
        <f>++Tabla4[[#This Row],[Precio Unitario Neto]]-Tabla4[[#This Row],[20.85%]]-Tabla4[[#This Row],[Costo]]</f>
        <v>#N/A</v>
      </c>
      <c r="S5624" s="282" t="e">
        <f>++Tabla4[[#This Row],[U. Bruta Uni]]*Tabla4[[#This Row],[Cantidad]]</f>
        <v>#N/A</v>
      </c>
      <c r="T5624" s="369" t="str">
        <f>VLOOKUP(Tabla4[[#This Row],[Producto]],Tabla6[#All],14,FALSE)</f>
        <v>Termico Solar</v>
      </c>
      <c r="U5624" s="284" t="e">
        <f>(IF(Tabla4[[#This Row],[Familia]]="termico solar",Tabla4[[#This Row],[Utilidad Total]]*6%,Tabla4[[#This Row],[Utilidad Total]]*11.5%))/Tabla4[[#This Row],[Total]]</f>
        <v>#N/A</v>
      </c>
      <c r="V5624" s="282" t="e">
        <f>+Tabla4[[#This Row],[Comisión Calculada]]*Tabla4[[#This Row],[Total]]</f>
        <v>#N/A</v>
      </c>
    </row>
    <row r="5625" spans="1:22" hidden="1" x14ac:dyDescent="0.25">
      <c r="A5625" s="100">
        <v>45915</v>
      </c>
      <c r="B5625" t="str">
        <f t="shared" si="272"/>
        <v>September</v>
      </c>
      <c r="C5625" s="46" t="s">
        <v>280</v>
      </c>
      <c r="F5625" s="366" t="s">
        <v>2899</v>
      </c>
      <c r="G5625" s="46" t="s">
        <v>566</v>
      </c>
      <c r="H5625" s="46">
        <v>1</v>
      </c>
      <c r="I5625" s="51">
        <v>2109.4499999999998</v>
      </c>
      <c r="J5625" s="281">
        <f>++Tabla4[[#This Row],[Precio Bruto]]*1.16</f>
        <v>2446.9619999999995</v>
      </c>
      <c r="K5625" s="281">
        <f>+Tabla4[[#This Row],[Precio Unitario Neto]]*Tabla4[[#Headers],[20.85%]]</f>
        <v>510.19157699999988</v>
      </c>
      <c r="L5625" s="282">
        <f>++Tabla4[[#This Row],[Precio Unitario Neto]]-Tabla4[[#This Row],[20.85%]]</f>
        <v>1936.7704229999997</v>
      </c>
      <c r="M5625" s="282" t="e">
        <f>(INDEX(Tabla6[#All],MATCH(Tabla4[[#This Row],[Producto]],Tabla6[[#All],[PRODUCTO]],0),MATCH(Tabla4[[#This Row],[Mes]],Tabla6[#Headers],0)))*(1+Catalogos!$L$2)</f>
        <v>#N/A</v>
      </c>
      <c r="N5625" s="283" t="e">
        <f>+(Tabla4[[#This Row],[Precio Descontado]]-Tabla4[[#This Row],[Precio Base]])*Tabla4[[#This Row],[Cantidad]]</f>
        <v>#N/A</v>
      </c>
      <c r="O5625" s="284" t="e">
        <f>++Tabla4[[#This Row],[Utilidad Total]]/Tabla4[[#This Row],[Total]]</f>
        <v>#N/A</v>
      </c>
      <c r="P5625" s="282">
        <f>++Tabla4[[#This Row],[Precio Descontado]]*Tabla4[[#This Row],[Cantidad]]</f>
        <v>1936.7704229999997</v>
      </c>
      <c r="Q5625" s="282" t="e">
        <f>(INDEX(Tabla6[#All],MATCH(Tabla4[[#This Row],[Producto]],Tabla6[[#All],[PRODUCTO]],0),MATCH(Tabla4[[#This Row],[Mes]],Tabla6[#Headers],0)))</f>
        <v>#N/A</v>
      </c>
      <c r="R5625" s="282" t="e">
        <f>++Tabla4[[#This Row],[Precio Unitario Neto]]-Tabla4[[#This Row],[20.85%]]-Tabla4[[#This Row],[Costo]]</f>
        <v>#N/A</v>
      </c>
      <c r="S5625" s="282" t="e">
        <f>++Tabla4[[#This Row],[U. Bruta Uni]]*Tabla4[[#This Row],[Cantidad]]</f>
        <v>#N/A</v>
      </c>
      <c r="T5625" s="369" t="str">
        <f>VLOOKUP(Tabla4[[#This Row],[Producto]],Tabla6[#All],14,FALSE)</f>
        <v>Termico Solar</v>
      </c>
      <c r="U5625" s="284" t="e">
        <f>(IF(Tabla4[[#This Row],[Familia]]="termico solar",Tabla4[[#This Row],[Utilidad Total]]*6%,Tabla4[[#This Row],[Utilidad Total]]*11.5%))/Tabla4[[#This Row],[Total]]</f>
        <v>#N/A</v>
      </c>
      <c r="V5625" s="282" t="e">
        <f>+Tabla4[[#This Row],[Comisión Calculada]]*Tabla4[[#This Row],[Total]]</f>
        <v>#N/A</v>
      </c>
    </row>
    <row r="5626" spans="1:22" hidden="1" x14ac:dyDescent="0.25">
      <c r="A5626" s="100">
        <v>45915</v>
      </c>
      <c r="B5626" t="str">
        <f t="shared" si="272"/>
        <v>September</v>
      </c>
      <c r="C5626" s="46" t="s">
        <v>280</v>
      </c>
      <c r="F5626" s="366" t="s">
        <v>2900</v>
      </c>
      <c r="G5626" s="46" t="s">
        <v>19</v>
      </c>
      <c r="H5626" s="46">
        <v>2</v>
      </c>
      <c r="I5626" s="51">
        <v>6412.03</v>
      </c>
      <c r="J5626" s="281">
        <f>++Tabla4[[#This Row],[Precio Bruto]]*1.16</f>
        <v>7437.9547999999995</v>
      </c>
      <c r="K5626" s="281">
        <f>+Tabla4[[#This Row],[Precio Unitario Neto]]*Tabla4[[#Headers],[20.85%]]</f>
        <v>1550.8135757999999</v>
      </c>
      <c r="L5626" s="282">
        <f>++Tabla4[[#This Row],[Precio Unitario Neto]]-Tabla4[[#This Row],[20.85%]]</f>
        <v>5887.1412241999997</v>
      </c>
      <c r="M5626" s="282" t="e">
        <f>(INDEX(Tabla6[#All],MATCH(Tabla4[[#This Row],[Producto]],Tabla6[[#All],[PRODUCTO]],0),MATCH(Tabla4[[#This Row],[Mes]],Tabla6[#Headers],0)))*(1+Catalogos!$L$2)</f>
        <v>#N/A</v>
      </c>
      <c r="N5626" s="283" t="e">
        <f>+(Tabla4[[#This Row],[Precio Descontado]]-Tabla4[[#This Row],[Precio Base]])*Tabla4[[#This Row],[Cantidad]]</f>
        <v>#N/A</v>
      </c>
      <c r="O5626" s="284" t="e">
        <f>++Tabla4[[#This Row],[Utilidad Total]]/Tabla4[[#This Row],[Total]]</f>
        <v>#N/A</v>
      </c>
      <c r="P5626" s="282">
        <f>++Tabla4[[#This Row],[Precio Descontado]]*Tabla4[[#This Row],[Cantidad]]</f>
        <v>11774.282448399999</v>
      </c>
      <c r="Q5626" s="282" t="e">
        <f>(INDEX(Tabla6[#All],MATCH(Tabla4[[#This Row],[Producto]],Tabla6[[#All],[PRODUCTO]],0),MATCH(Tabla4[[#This Row],[Mes]],Tabla6[#Headers],0)))</f>
        <v>#N/A</v>
      </c>
      <c r="R5626" s="282" t="e">
        <f>++Tabla4[[#This Row],[Precio Unitario Neto]]-Tabla4[[#This Row],[20.85%]]-Tabla4[[#This Row],[Costo]]</f>
        <v>#N/A</v>
      </c>
      <c r="S5626" s="282" t="e">
        <f>++Tabla4[[#This Row],[U. Bruta Uni]]*Tabla4[[#This Row],[Cantidad]]</f>
        <v>#N/A</v>
      </c>
      <c r="T5626" s="369" t="str">
        <f>VLOOKUP(Tabla4[[#This Row],[Producto]],Tabla6[#All],14,FALSE)</f>
        <v>Termico Solar</v>
      </c>
      <c r="U5626" s="284" t="e">
        <f>(IF(Tabla4[[#This Row],[Familia]]="termico solar",Tabla4[[#This Row],[Utilidad Total]]*6%,Tabla4[[#This Row],[Utilidad Total]]*11.5%))/Tabla4[[#This Row],[Total]]</f>
        <v>#N/A</v>
      </c>
      <c r="V5626" s="282" t="e">
        <f>+Tabla4[[#This Row],[Comisión Calculada]]*Tabla4[[#This Row],[Total]]</f>
        <v>#N/A</v>
      </c>
    </row>
    <row r="5627" spans="1:22" hidden="1" x14ac:dyDescent="0.25">
      <c r="A5627" s="100">
        <v>45915</v>
      </c>
      <c r="B5627" t="str">
        <f t="shared" si="272"/>
        <v>September</v>
      </c>
      <c r="C5627" s="46" t="s">
        <v>280</v>
      </c>
      <c r="F5627" s="366" t="s">
        <v>2900</v>
      </c>
      <c r="G5627" s="46" t="s">
        <v>16</v>
      </c>
      <c r="H5627" s="46">
        <v>1</v>
      </c>
      <c r="I5627" s="51">
        <v>4103.8500000000004</v>
      </c>
      <c r="J5627" s="281">
        <f>++Tabla4[[#This Row],[Precio Bruto]]*1.16</f>
        <v>4760.4660000000003</v>
      </c>
      <c r="K5627" s="281">
        <f>+Tabla4[[#This Row],[Precio Unitario Neto]]*Tabla4[[#Headers],[20.85%]]</f>
        <v>992.55716100000006</v>
      </c>
      <c r="L5627" s="282">
        <f>++Tabla4[[#This Row],[Precio Unitario Neto]]-Tabla4[[#This Row],[20.85%]]</f>
        <v>3767.9088390000002</v>
      </c>
      <c r="M5627" s="282" t="e">
        <f>(INDEX(Tabla6[#All],MATCH(Tabla4[[#This Row],[Producto]],Tabla6[[#All],[PRODUCTO]],0),MATCH(Tabla4[[#This Row],[Mes]],Tabla6[#Headers],0)))*(1+Catalogos!$L$2)</f>
        <v>#N/A</v>
      </c>
      <c r="N5627" s="283" t="e">
        <f>+(Tabla4[[#This Row],[Precio Descontado]]-Tabla4[[#This Row],[Precio Base]])*Tabla4[[#This Row],[Cantidad]]</f>
        <v>#N/A</v>
      </c>
      <c r="O5627" s="284" t="e">
        <f>++Tabla4[[#This Row],[Utilidad Total]]/Tabla4[[#This Row],[Total]]</f>
        <v>#N/A</v>
      </c>
      <c r="P5627" s="282">
        <f>++Tabla4[[#This Row],[Precio Descontado]]*Tabla4[[#This Row],[Cantidad]]</f>
        <v>3767.9088390000002</v>
      </c>
      <c r="Q5627" s="282" t="e">
        <f>(INDEX(Tabla6[#All],MATCH(Tabla4[[#This Row],[Producto]],Tabla6[[#All],[PRODUCTO]],0),MATCH(Tabla4[[#This Row],[Mes]],Tabla6[#Headers],0)))</f>
        <v>#N/A</v>
      </c>
      <c r="R5627" s="282" t="e">
        <f>++Tabla4[[#This Row],[Precio Unitario Neto]]-Tabla4[[#This Row],[20.85%]]-Tabla4[[#This Row],[Costo]]</f>
        <v>#N/A</v>
      </c>
      <c r="S5627" s="282" t="e">
        <f>++Tabla4[[#This Row],[U. Bruta Uni]]*Tabla4[[#This Row],[Cantidad]]</f>
        <v>#N/A</v>
      </c>
      <c r="T5627" s="369" t="str">
        <f>VLOOKUP(Tabla4[[#This Row],[Producto]],Tabla6[#All],14,FALSE)</f>
        <v>Termico Solar</v>
      </c>
      <c r="U5627" s="284" t="e">
        <f>(IF(Tabla4[[#This Row],[Familia]]="termico solar",Tabla4[[#This Row],[Utilidad Total]]*6%,Tabla4[[#This Row],[Utilidad Total]]*11.5%))/Tabla4[[#This Row],[Total]]</f>
        <v>#N/A</v>
      </c>
      <c r="V5627" s="282" t="e">
        <f>+Tabla4[[#This Row],[Comisión Calculada]]*Tabla4[[#This Row],[Total]]</f>
        <v>#N/A</v>
      </c>
    </row>
    <row r="5628" spans="1:22" hidden="1" x14ac:dyDescent="0.25">
      <c r="A5628" s="100">
        <v>45915</v>
      </c>
      <c r="B5628" t="str">
        <f t="shared" si="272"/>
        <v>September</v>
      </c>
      <c r="C5628" s="46" t="s">
        <v>280</v>
      </c>
      <c r="F5628" s="366" t="s">
        <v>2901</v>
      </c>
      <c r="G5628" s="46" t="s">
        <v>83</v>
      </c>
      <c r="H5628" s="46">
        <v>2</v>
      </c>
      <c r="I5628" s="51">
        <v>8858.76</v>
      </c>
      <c r="J5628" s="281">
        <f>++Tabla4[[#This Row],[Precio Bruto]]*1.16</f>
        <v>10276.161599999999</v>
      </c>
      <c r="K5628" s="281">
        <f>+Tabla4[[#This Row],[Precio Unitario Neto]]*Tabla4[[#Headers],[20.85%]]</f>
        <v>2142.5796935999997</v>
      </c>
      <c r="L5628" s="282">
        <f>++Tabla4[[#This Row],[Precio Unitario Neto]]-Tabla4[[#This Row],[20.85%]]</f>
        <v>8133.5819063999998</v>
      </c>
      <c r="M5628" s="282" t="e">
        <f>(INDEX(Tabla6[#All],MATCH(Tabla4[[#This Row],[Producto]],Tabla6[[#All],[PRODUCTO]],0),MATCH(Tabla4[[#This Row],[Mes]],Tabla6[#Headers],0)))*(1+Catalogos!$L$2)</f>
        <v>#N/A</v>
      </c>
      <c r="N5628" s="283" t="e">
        <f>+(Tabla4[[#This Row],[Precio Descontado]]-Tabla4[[#This Row],[Precio Base]])*Tabla4[[#This Row],[Cantidad]]</f>
        <v>#N/A</v>
      </c>
      <c r="O5628" s="284" t="e">
        <f>++Tabla4[[#This Row],[Utilidad Total]]/Tabla4[[#This Row],[Total]]</f>
        <v>#N/A</v>
      </c>
      <c r="P5628" s="282">
        <f>++Tabla4[[#This Row],[Precio Descontado]]*Tabla4[[#This Row],[Cantidad]]</f>
        <v>16267.1638128</v>
      </c>
      <c r="Q5628" s="282" t="e">
        <f>(INDEX(Tabla6[#All],MATCH(Tabla4[[#This Row],[Producto]],Tabla6[[#All],[PRODUCTO]],0),MATCH(Tabla4[[#This Row],[Mes]],Tabla6[#Headers],0)))</f>
        <v>#N/A</v>
      </c>
      <c r="R5628" s="282" t="e">
        <f>++Tabla4[[#This Row],[Precio Unitario Neto]]-Tabla4[[#This Row],[20.85%]]-Tabla4[[#This Row],[Costo]]</f>
        <v>#N/A</v>
      </c>
      <c r="S5628" s="282" t="e">
        <f>++Tabla4[[#This Row],[U. Bruta Uni]]*Tabla4[[#This Row],[Cantidad]]</f>
        <v>#N/A</v>
      </c>
      <c r="T5628" s="369" t="str">
        <f>VLOOKUP(Tabla4[[#This Row],[Producto]],Tabla6[#All],14,FALSE)</f>
        <v>Termico Solar</v>
      </c>
      <c r="U5628" s="284" t="e">
        <f>(IF(Tabla4[[#This Row],[Familia]]="termico solar",Tabla4[[#This Row],[Utilidad Total]]*6%,Tabla4[[#This Row],[Utilidad Total]]*11.5%))/Tabla4[[#This Row],[Total]]</f>
        <v>#N/A</v>
      </c>
      <c r="V5628" s="282" t="e">
        <f>+Tabla4[[#This Row],[Comisión Calculada]]*Tabla4[[#This Row],[Total]]</f>
        <v>#N/A</v>
      </c>
    </row>
    <row r="5629" spans="1:22" hidden="1" x14ac:dyDescent="0.25">
      <c r="A5629" s="100">
        <v>45915</v>
      </c>
      <c r="B5629" t="str">
        <f t="shared" si="272"/>
        <v>September</v>
      </c>
      <c r="C5629" s="46" t="s">
        <v>280</v>
      </c>
      <c r="F5629" s="366" t="s">
        <v>2901</v>
      </c>
      <c r="G5629" s="46" t="s">
        <v>17</v>
      </c>
      <c r="H5629" s="46">
        <v>2</v>
      </c>
      <c r="I5629" s="51">
        <v>4622.28</v>
      </c>
      <c r="J5629" s="281">
        <f>++Tabla4[[#This Row],[Precio Bruto]]*1.16</f>
        <v>5361.8447999999989</v>
      </c>
      <c r="K5629" s="281">
        <f>+Tabla4[[#This Row],[Precio Unitario Neto]]*Tabla4[[#Headers],[20.85%]]</f>
        <v>1117.9446407999997</v>
      </c>
      <c r="L5629" s="282">
        <f>++Tabla4[[#This Row],[Precio Unitario Neto]]-Tabla4[[#This Row],[20.85%]]</f>
        <v>4243.9001591999995</v>
      </c>
      <c r="M5629" s="282" t="e">
        <f>(INDEX(Tabla6[#All],MATCH(Tabla4[[#This Row],[Producto]],Tabla6[[#All],[PRODUCTO]],0),MATCH(Tabla4[[#This Row],[Mes]],Tabla6[#Headers],0)))*(1+Catalogos!$L$2)</f>
        <v>#N/A</v>
      </c>
      <c r="N5629" s="283" t="e">
        <f>+(Tabla4[[#This Row],[Precio Descontado]]-Tabla4[[#This Row],[Precio Base]])*Tabla4[[#This Row],[Cantidad]]</f>
        <v>#N/A</v>
      </c>
      <c r="O5629" s="284" t="e">
        <f>++Tabla4[[#This Row],[Utilidad Total]]/Tabla4[[#This Row],[Total]]</f>
        <v>#N/A</v>
      </c>
      <c r="P5629" s="282">
        <f>++Tabla4[[#This Row],[Precio Descontado]]*Tabla4[[#This Row],[Cantidad]]</f>
        <v>8487.800318399999</v>
      </c>
      <c r="Q5629" s="282" t="e">
        <f>(INDEX(Tabla6[#All],MATCH(Tabla4[[#This Row],[Producto]],Tabla6[[#All],[PRODUCTO]],0),MATCH(Tabla4[[#This Row],[Mes]],Tabla6[#Headers],0)))</f>
        <v>#N/A</v>
      </c>
      <c r="R5629" s="282" t="e">
        <f>++Tabla4[[#This Row],[Precio Unitario Neto]]-Tabla4[[#This Row],[20.85%]]-Tabla4[[#This Row],[Costo]]</f>
        <v>#N/A</v>
      </c>
      <c r="S5629" s="282" t="e">
        <f>++Tabla4[[#This Row],[U. Bruta Uni]]*Tabla4[[#This Row],[Cantidad]]</f>
        <v>#N/A</v>
      </c>
      <c r="T5629" s="369" t="str">
        <f>VLOOKUP(Tabla4[[#This Row],[Producto]],Tabla6[#All],14,FALSE)</f>
        <v>Termico Solar</v>
      </c>
      <c r="U5629" s="284" t="e">
        <f>(IF(Tabla4[[#This Row],[Familia]]="termico solar",Tabla4[[#This Row],[Utilidad Total]]*6%,Tabla4[[#This Row],[Utilidad Total]]*11.5%))/Tabla4[[#This Row],[Total]]</f>
        <v>#N/A</v>
      </c>
      <c r="V5629" s="282" t="e">
        <f>+Tabla4[[#This Row],[Comisión Calculada]]*Tabla4[[#This Row],[Total]]</f>
        <v>#N/A</v>
      </c>
    </row>
    <row r="5630" spans="1:22" hidden="1" x14ac:dyDescent="0.25">
      <c r="A5630" s="100">
        <v>45915</v>
      </c>
      <c r="B5630" t="str">
        <f t="shared" si="272"/>
        <v>September</v>
      </c>
      <c r="C5630" s="46" t="s">
        <v>280</v>
      </c>
      <c r="F5630" s="366" t="s">
        <v>2901</v>
      </c>
      <c r="G5630" s="46" t="s">
        <v>18</v>
      </c>
      <c r="H5630" s="46">
        <v>4</v>
      </c>
      <c r="I5630" s="51">
        <v>5367.65</v>
      </c>
      <c r="J5630" s="281">
        <f>++Tabla4[[#This Row],[Precio Bruto]]*1.16</f>
        <v>6226.4739999999993</v>
      </c>
      <c r="K5630" s="281">
        <f>+Tabla4[[#This Row],[Precio Unitario Neto]]*Tabla4[[#Headers],[20.85%]]</f>
        <v>1298.2198289999999</v>
      </c>
      <c r="L5630" s="282">
        <f>++Tabla4[[#This Row],[Precio Unitario Neto]]-Tabla4[[#This Row],[20.85%]]</f>
        <v>4928.2541709999996</v>
      </c>
      <c r="M5630" s="282" t="e">
        <f>(INDEX(Tabla6[#All],MATCH(Tabla4[[#This Row],[Producto]],Tabla6[[#All],[PRODUCTO]],0),MATCH(Tabla4[[#This Row],[Mes]],Tabla6[#Headers],0)))*(1+Catalogos!$L$2)</f>
        <v>#N/A</v>
      </c>
      <c r="N5630" s="283" t="e">
        <f>+(Tabla4[[#This Row],[Precio Descontado]]-Tabla4[[#This Row],[Precio Base]])*Tabla4[[#This Row],[Cantidad]]</f>
        <v>#N/A</v>
      </c>
      <c r="O5630" s="284" t="e">
        <f>++Tabla4[[#This Row],[Utilidad Total]]/Tabla4[[#This Row],[Total]]</f>
        <v>#N/A</v>
      </c>
      <c r="P5630" s="282">
        <f>++Tabla4[[#This Row],[Precio Descontado]]*Tabla4[[#This Row],[Cantidad]]</f>
        <v>19713.016683999998</v>
      </c>
      <c r="Q5630" s="282" t="e">
        <f>(INDEX(Tabla6[#All],MATCH(Tabla4[[#This Row],[Producto]],Tabla6[[#All],[PRODUCTO]],0),MATCH(Tabla4[[#This Row],[Mes]],Tabla6[#Headers],0)))</f>
        <v>#N/A</v>
      </c>
      <c r="R5630" s="282" t="e">
        <f>++Tabla4[[#This Row],[Precio Unitario Neto]]-Tabla4[[#This Row],[20.85%]]-Tabla4[[#This Row],[Costo]]</f>
        <v>#N/A</v>
      </c>
      <c r="S5630" s="282" t="e">
        <f>++Tabla4[[#This Row],[U. Bruta Uni]]*Tabla4[[#This Row],[Cantidad]]</f>
        <v>#N/A</v>
      </c>
      <c r="T5630" s="369" t="str">
        <f>VLOOKUP(Tabla4[[#This Row],[Producto]],Tabla6[#All],14,FALSE)</f>
        <v>Termico Solar</v>
      </c>
      <c r="U5630" s="284" t="e">
        <f>(IF(Tabla4[[#This Row],[Familia]]="termico solar",Tabla4[[#This Row],[Utilidad Total]]*6%,Tabla4[[#This Row],[Utilidad Total]]*11.5%))/Tabla4[[#This Row],[Total]]</f>
        <v>#N/A</v>
      </c>
      <c r="V5630" s="282" t="e">
        <f>+Tabla4[[#This Row],[Comisión Calculada]]*Tabla4[[#This Row],[Total]]</f>
        <v>#N/A</v>
      </c>
    </row>
    <row r="5631" spans="1:22" hidden="1" x14ac:dyDescent="0.25">
      <c r="A5631" s="100">
        <v>45915</v>
      </c>
      <c r="B5631" t="str">
        <f t="shared" si="272"/>
        <v>September</v>
      </c>
      <c r="C5631" s="46" t="s">
        <v>280</v>
      </c>
      <c r="F5631" s="366" t="s">
        <v>2902</v>
      </c>
      <c r="G5631" s="46" t="s">
        <v>83</v>
      </c>
      <c r="H5631" s="46">
        <v>2</v>
      </c>
      <c r="I5631" s="51">
        <v>8858.76</v>
      </c>
      <c r="J5631" s="281">
        <f>++Tabla4[[#This Row],[Precio Bruto]]*1.16</f>
        <v>10276.161599999999</v>
      </c>
      <c r="K5631" s="281">
        <f>+Tabla4[[#This Row],[Precio Unitario Neto]]*Tabla4[[#Headers],[20.85%]]</f>
        <v>2142.5796935999997</v>
      </c>
      <c r="L5631" s="282">
        <f>++Tabla4[[#This Row],[Precio Unitario Neto]]-Tabla4[[#This Row],[20.85%]]</f>
        <v>8133.5819063999998</v>
      </c>
      <c r="M5631" s="282" t="e">
        <f>(INDEX(Tabla6[#All],MATCH(Tabla4[[#This Row],[Producto]],Tabla6[[#All],[PRODUCTO]],0),MATCH(Tabla4[[#This Row],[Mes]],Tabla6[#Headers],0)))*(1+Catalogos!$L$2)</f>
        <v>#N/A</v>
      </c>
      <c r="N5631" s="283" t="e">
        <f>+(Tabla4[[#This Row],[Precio Descontado]]-Tabla4[[#This Row],[Precio Base]])*Tabla4[[#This Row],[Cantidad]]</f>
        <v>#N/A</v>
      </c>
      <c r="O5631" s="284" t="e">
        <f>++Tabla4[[#This Row],[Utilidad Total]]/Tabla4[[#This Row],[Total]]</f>
        <v>#N/A</v>
      </c>
      <c r="P5631" s="282">
        <f>++Tabla4[[#This Row],[Precio Descontado]]*Tabla4[[#This Row],[Cantidad]]</f>
        <v>16267.1638128</v>
      </c>
      <c r="Q5631" s="282" t="e">
        <f>(INDEX(Tabla6[#All],MATCH(Tabla4[[#This Row],[Producto]],Tabla6[[#All],[PRODUCTO]],0),MATCH(Tabla4[[#This Row],[Mes]],Tabla6[#Headers],0)))</f>
        <v>#N/A</v>
      </c>
      <c r="R5631" s="282" t="e">
        <f>++Tabla4[[#This Row],[Precio Unitario Neto]]-Tabla4[[#This Row],[20.85%]]-Tabla4[[#This Row],[Costo]]</f>
        <v>#N/A</v>
      </c>
      <c r="S5631" s="282" t="e">
        <f>++Tabla4[[#This Row],[U. Bruta Uni]]*Tabla4[[#This Row],[Cantidad]]</f>
        <v>#N/A</v>
      </c>
      <c r="T5631" s="369" t="str">
        <f>VLOOKUP(Tabla4[[#This Row],[Producto]],Tabla6[#All],14,FALSE)</f>
        <v>Termico Solar</v>
      </c>
      <c r="U5631" s="284" t="e">
        <f>(IF(Tabla4[[#This Row],[Familia]]="termico solar",Tabla4[[#This Row],[Utilidad Total]]*6%,Tabla4[[#This Row],[Utilidad Total]]*11.5%))/Tabla4[[#This Row],[Total]]</f>
        <v>#N/A</v>
      </c>
      <c r="V5631" s="282" t="e">
        <f>+Tabla4[[#This Row],[Comisión Calculada]]*Tabla4[[#This Row],[Total]]</f>
        <v>#N/A</v>
      </c>
    </row>
    <row r="5632" spans="1:22" hidden="1" x14ac:dyDescent="0.25">
      <c r="A5632" s="100">
        <v>45915</v>
      </c>
      <c r="B5632" t="str">
        <f t="shared" si="272"/>
        <v>September</v>
      </c>
      <c r="C5632" s="46" t="s">
        <v>280</v>
      </c>
      <c r="F5632" s="366" t="s">
        <v>2902</v>
      </c>
      <c r="G5632" s="46" t="s">
        <v>17</v>
      </c>
      <c r="H5632" s="46">
        <v>2</v>
      </c>
      <c r="I5632" s="51">
        <v>4622.28</v>
      </c>
      <c r="J5632" s="281">
        <f>++Tabla4[[#This Row],[Precio Bruto]]*1.16</f>
        <v>5361.8447999999989</v>
      </c>
      <c r="K5632" s="281">
        <f>+Tabla4[[#This Row],[Precio Unitario Neto]]*Tabla4[[#Headers],[20.85%]]</f>
        <v>1117.9446407999997</v>
      </c>
      <c r="L5632" s="282">
        <f>++Tabla4[[#This Row],[Precio Unitario Neto]]-Tabla4[[#This Row],[20.85%]]</f>
        <v>4243.9001591999995</v>
      </c>
      <c r="M5632" s="282" t="e">
        <f>(INDEX(Tabla6[#All],MATCH(Tabla4[[#This Row],[Producto]],Tabla6[[#All],[PRODUCTO]],0),MATCH(Tabla4[[#This Row],[Mes]],Tabla6[#Headers],0)))*(1+Catalogos!$L$2)</f>
        <v>#N/A</v>
      </c>
      <c r="N5632" s="283" t="e">
        <f>+(Tabla4[[#This Row],[Precio Descontado]]-Tabla4[[#This Row],[Precio Base]])*Tabla4[[#This Row],[Cantidad]]</f>
        <v>#N/A</v>
      </c>
      <c r="O5632" s="284" t="e">
        <f>++Tabla4[[#This Row],[Utilidad Total]]/Tabla4[[#This Row],[Total]]</f>
        <v>#N/A</v>
      </c>
      <c r="P5632" s="282">
        <f>++Tabla4[[#This Row],[Precio Descontado]]*Tabla4[[#This Row],[Cantidad]]</f>
        <v>8487.800318399999</v>
      </c>
      <c r="Q5632" s="282" t="e">
        <f>(INDEX(Tabla6[#All],MATCH(Tabla4[[#This Row],[Producto]],Tabla6[[#All],[PRODUCTO]],0),MATCH(Tabla4[[#This Row],[Mes]],Tabla6[#Headers],0)))</f>
        <v>#N/A</v>
      </c>
      <c r="R5632" s="282" t="e">
        <f>++Tabla4[[#This Row],[Precio Unitario Neto]]-Tabla4[[#This Row],[20.85%]]-Tabla4[[#This Row],[Costo]]</f>
        <v>#N/A</v>
      </c>
      <c r="S5632" s="282" t="e">
        <f>++Tabla4[[#This Row],[U. Bruta Uni]]*Tabla4[[#This Row],[Cantidad]]</f>
        <v>#N/A</v>
      </c>
      <c r="T5632" s="369" t="str">
        <f>VLOOKUP(Tabla4[[#This Row],[Producto]],Tabla6[#All],14,FALSE)</f>
        <v>Termico Solar</v>
      </c>
      <c r="U5632" s="284" t="e">
        <f>(IF(Tabla4[[#This Row],[Familia]]="termico solar",Tabla4[[#This Row],[Utilidad Total]]*6%,Tabla4[[#This Row],[Utilidad Total]]*11.5%))/Tabla4[[#This Row],[Total]]</f>
        <v>#N/A</v>
      </c>
      <c r="V5632" s="282" t="e">
        <f>+Tabla4[[#This Row],[Comisión Calculada]]*Tabla4[[#This Row],[Total]]</f>
        <v>#N/A</v>
      </c>
    </row>
    <row r="5633" spans="1:22" hidden="1" x14ac:dyDescent="0.25">
      <c r="A5633" s="100">
        <v>45915</v>
      </c>
      <c r="B5633" t="str">
        <f t="shared" si="272"/>
        <v>September</v>
      </c>
      <c r="C5633" s="46" t="s">
        <v>280</v>
      </c>
      <c r="F5633" s="366" t="s">
        <v>2902</v>
      </c>
      <c r="G5633" s="46" t="s">
        <v>18</v>
      </c>
      <c r="H5633" s="46">
        <v>1</v>
      </c>
      <c r="I5633" s="51">
        <v>5367.65</v>
      </c>
      <c r="J5633" s="281">
        <f>++Tabla4[[#This Row],[Precio Bruto]]*1.16</f>
        <v>6226.4739999999993</v>
      </c>
      <c r="K5633" s="281">
        <f>+Tabla4[[#This Row],[Precio Unitario Neto]]*Tabla4[[#Headers],[20.85%]]</f>
        <v>1298.2198289999999</v>
      </c>
      <c r="L5633" s="282">
        <f>++Tabla4[[#This Row],[Precio Unitario Neto]]-Tabla4[[#This Row],[20.85%]]</f>
        <v>4928.2541709999996</v>
      </c>
      <c r="M5633" s="282" t="e">
        <f>(INDEX(Tabla6[#All],MATCH(Tabla4[[#This Row],[Producto]],Tabla6[[#All],[PRODUCTO]],0),MATCH(Tabla4[[#This Row],[Mes]],Tabla6[#Headers],0)))*(1+Catalogos!$L$2)</f>
        <v>#N/A</v>
      </c>
      <c r="N5633" s="283" t="e">
        <f>+(Tabla4[[#This Row],[Precio Descontado]]-Tabla4[[#This Row],[Precio Base]])*Tabla4[[#This Row],[Cantidad]]</f>
        <v>#N/A</v>
      </c>
      <c r="O5633" s="284" t="e">
        <f>++Tabla4[[#This Row],[Utilidad Total]]/Tabla4[[#This Row],[Total]]</f>
        <v>#N/A</v>
      </c>
      <c r="P5633" s="282">
        <f>++Tabla4[[#This Row],[Precio Descontado]]*Tabla4[[#This Row],[Cantidad]]</f>
        <v>4928.2541709999996</v>
      </c>
      <c r="Q5633" s="282" t="e">
        <f>(INDEX(Tabla6[#All],MATCH(Tabla4[[#This Row],[Producto]],Tabla6[[#All],[PRODUCTO]],0),MATCH(Tabla4[[#This Row],[Mes]],Tabla6[#Headers],0)))</f>
        <v>#N/A</v>
      </c>
      <c r="R5633" s="282" t="e">
        <f>++Tabla4[[#This Row],[Precio Unitario Neto]]-Tabla4[[#This Row],[20.85%]]-Tabla4[[#This Row],[Costo]]</f>
        <v>#N/A</v>
      </c>
      <c r="S5633" s="282" t="e">
        <f>++Tabla4[[#This Row],[U. Bruta Uni]]*Tabla4[[#This Row],[Cantidad]]</f>
        <v>#N/A</v>
      </c>
      <c r="T5633" s="369" t="str">
        <f>VLOOKUP(Tabla4[[#This Row],[Producto]],Tabla6[#All],14,FALSE)</f>
        <v>Termico Solar</v>
      </c>
      <c r="U5633" s="284" t="e">
        <f>(IF(Tabla4[[#This Row],[Familia]]="termico solar",Tabla4[[#This Row],[Utilidad Total]]*6%,Tabla4[[#This Row],[Utilidad Total]]*11.5%))/Tabla4[[#This Row],[Total]]</f>
        <v>#N/A</v>
      </c>
      <c r="V5633" s="282" t="e">
        <f>+Tabla4[[#This Row],[Comisión Calculada]]*Tabla4[[#This Row],[Total]]</f>
        <v>#N/A</v>
      </c>
    </row>
    <row r="5634" spans="1:22" hidden="1" x14ac:dyDescent="0.25">
      <c r="A5634" s="100">
        <v>45915</v>
      </c>
      <c r="B5634" t="str">
        <f t="shared" si="272"/>
        <v>September</v>
      </c>
      <c r="C5634" s="46" t="s">
        <v>280</v>
      </c>
      <c r="F5634" s="366" t="s">
        <v>2903</v>
      </c>
      <c r="G5634" s="46" t="s">
        <v>17</v>
      </c>
      <c r="H5634" s="46">
        <v>1</v>
      </c>
      <c r="I5634" s="51">
        <v>4622.28</v>
      </c>
      <c r="J5634" s="281">
        <f>++Tabla4[[#This Row],[Precio Bruto]]*1.16</f>
        <v>5361.8447999999989</v>
      </c>
      <c r="K5634" s="281">
        <f>+Tabla4[[#This Row],[Precio Unitario Neto]]*Tabla4[[#Headers],[20.85%]]</f>
        <v>1117.9446407999997</v>
      </c>
      <c r="L5634" s="282">
        <f>++Tabla4[[#This Row],[Precio Unitario Neto]]-Tabla4[[#This Row],[20.85%]]</f>
        <v>4243.9001591999995</v>
      </c>
      <c r="M5634" s="282" t="e">
        <f>(INDEX(Tabla6[#All],MATCH(Tabla4[[#This Row],[Producto]],Tabla6[[#All],[PRODUCTO]],0),MATCH(Tabla4[[#This Row],[Mes]],Tabla6[#Headers],0)))*(1+Catalogos!$L$2)</f>
        <v>#N/A</v>
      </c>
      <c r="N5634" s="283" t="e">
        <f>+(Tabla4[[#This Row],[Precio Descontado]]-Tabla4[[#This Row],[Precio Base]])*Tabla4[[#This Row],[Cantidad]]</f>
        <v>#N/A</v>
      </c>
      <c r="O5634" s="284" t="e">
        <f>++Tabla4[[#This Row],[Utilidad Total]]/Tabla4[[#This Row],[Total]]</f>
        <v>#N/A</v>
      </c>
      <c r="P5634" s="282">
        <f>++Tabla4[[#This Row],[Precio Descontado]]*Tabla4[[#This Row],[Cantidad]]</f>
        <v>4243.9001591999995</v>
      </c>
      <c r="Q5634" s="282" t="e">
        <f>(INDEX(Tabla6[#All],MATCH(Tabla4[[#This Row],[Producto]],Tabla6[[#All],[PRODUCTO]],0),MATCH(Tabla4[[#This Row],[Mes]],Tabla6[#Headers],0)))</f>
        <v>#N/A</v>
      </c>
      <c r="R5634" s="282" t="e">
        <f>++Tabla4[[#This Row],[Precio Unitario Neto]]-Tabla4[[#This Row],[20.85%]]-Tabla4[[#This Row],[Costo]]</f>
        <v>#N/A</v>
      </c>
      <c r="S5634" s="282" t="e">
        <f>++Tabla4[[#This Row],[U. Bruta Uni]]*Tabla4[[#This Row],[Cantidad]]</f>
        <v>#N/A</v>
      </c>
      <c r="T5634" s="369" t="str">
        <f>VLOOKUP(Tabla4[[#This Row],[Producto]],Tabla6[#All],14,FALSE)</f>
        <v>Termico Solar</v>
      </c>
      <c r="U5634" s="284" t="e">
        <f>(IF(Tabla4[[#This Row],[Familia]]="termico solar",Tabla4[[#This Row],[Utilidad Total]]*6%,Tabla4[[#This Row],[Utilidad Total]]*11.5%))/Tabla4[[#This Row],[Total]]</f>
        <v>#N/A</v>
      </c>
      <c r="V5634" s="282" t="e">
        <f>+Tabla4[[#This Row],[Comisión Calculada]]*Tabla4[[#This Row],[Total]]</f>
        <v>#N/A</v>
      </c>
    </row>
    <row r="5635" spans="1:22" hidden="1" x14ac:dyDescent="0.25">
      <c r="A5635" s="100">
        <v>45915</v>
      </c>
      <c r="B5635" t="str">
        <f t="shared" si="272"/>
        <v>September</v>
      </c>
      <c r="C5635" s="46" t="s">
        <v>280</v>
      </c>
      <c r="F5635" s="366" t="s">
        <v>2903</v>
      </c>
      <c r="G5635" s="46" t="s">
        <v>19</v>
      </c>
      <c r="H5635" s="46">
        <v>1</v>
      </c>
      <c r="I5635" s="51">
        <v>6412.03</v>
      </c>
      <c r="J5635" s="281">
        <f>++Tabla4[[#This Row],[Precio Bruto]]*1.16</f>
        <v>7437.9547999999995</v>
      </c>
      <c r="K5635" s="281">
        <f>+Tabla4[[#This Row],[Precio Unitario Neto]]*Tabla4[[#Headers],[20.85%]]</f>
        <v>1550.8135757999999</v>
      </c>
      <c r="L5635" s="282">
        <f>++Tabla4[[#This Row],[Precio Unitario Neto]]-Tabla4[[#This Row],[20.85%]]</f>
        <v>5887.1412241999997</v>
      </c>
      <c r="M5635" s="282" t="e">
        <f>(INDEX(Tabla6[#All],MATCH(Tabla4[[#This Row],[Producto]],Tabla6[[#All],[PRODUCTO]],0),MATCH(Tabla4[[#This Row],[Mes]],Tabla6[#Headers],0)))*(1+Catalogos!$L$2)</f>
        <v>#N/A</v>
      </c>
      <c r="N5635" s="283" t="e">
        <f>+(Tabla4[[#This Row],[Precio Descontado]]-Tabla4[[#This Row],[Precio Base]])*Tabla4[[#This Row],[Cantidad]]</f>
        <v>#N/A</v>
      </c>
      <c r="O5635" s="284" t="e">
        <f>++Tabla4[[#This Row],[Utilidad Total]]/Tabla4[[#This Row],[Total]]</f>
        <v>#N/A</v>
      </c>
      <c r="P5635" s="282">
        <f>++Tabla4[[#This Row],[Precio Descontado]]*Tabla4[[#This Row],[Cantidad]]</f>
        <v>5887.1412241999997</v>
      </c>
      <c r="Q5635" s="282" t="e">
        <f>(INDEX(Tabla6[#All],MATCH(Tabla4[[#This Row],[Producto]],Tabla6[[#All],[PRODUCTO]],0),MATCH(Tabla4[[#This Row],[Mes]],Tabla6[#Headers],0)))</f>
        <v>#N/A</v>
      </c>
      <c r="R5635" s="282" t="e">
        <f>++Tabla4[[#This Row],[Precio Unitario Neto]]-Tabla4[[#This Row],[20.85%]]-Tabla4[[#This Row],[Costo]]</f>
        <v>#N/A</v>
      </c>
      <c r="S5635" s="282" t="e">
        <f>++Tabla4[[#This Row],[U. Bruta Uni]]*Tabla4[[#This Row],[Cantidad]]</f>
        <v>#N/A</v>
      </c>
      <c r="T5635" s="369" t="str">
        <f>VLOOKUP(Tabla4[[#This Row],[Producto]],Tabla6[#All],14,FALSE)</f>
        <v>Termico Solar</v>
      </c>
      <c r="U5635" s="284" t="e">
        <f>(IF(Tabla4[[#This Row],[Familia]]="termico solar",Tabla4[[#This Row],[Utilidad Total]]*6%,Tabla4[[#This Row],[Utilidad Total]]*11.5%))/Tabla4[[#This Row],[Total]]</f>
        <v>#N/A</v>
      </c>
      <c r="V5635" s="282" t="e">
        <f>+Tabla4[[#This Row],[Comisión Calculada]]*Tabla4[[#This Row],[Total]]</f>
        <v>#N/A</v>
      </c>
    </row>
    <row r="5636" spans="1:22" hidden="1" x14ac:dyDescent="0.25">
      <c r="A5636" s="100">
        <v>45915</v>
      </c>
      <c r="B5636" t="str">
        <f t="shared" si="272"/>
        <v>September</v>
      </c>
      <c r="C5636" s="46" t="s">
        <v>280</v>
      </c>
      <c r="F5636" s="366" t="s">
        <v>2904</v>
      </c>
      <c r="G5636" s="46" t="s">
        <v>19</v>
      </c>
      <c r="H5636" s="46">
        <v>2</v>
      </c>
      <c r="I5636" s="51">
        <v>6412.03</v>
      </c>
      <c r="J5636" s="281">
        <f>++Tabla4[[#This Row],[Precio Bruto]]*1.16</f>
        <v>7437.9547999999995</v>
      </c>
      <c r="K5636" s="281">
        <f>+Tabla4[[#This Row],[Precio Unitario Neto]]*Tabla4[[#Headers],[20.85%]]</f>
        <v>1550.8135757999999</v>
      </c>
      <c r="L5636" s="282">
        <f>++Tabla4[[#This Row],[Precio Unitario Neto]]-Tabla4[[#This Row],[20.85%]]</f>
        <v>5887.1412241999997</v>
      </c>
      <c r="M5636" s="282" t="e">
        <f>(INDEX(Tabla6[#All],MATCH(Tabla4[[#This Row],[Producto]],Tabla6[[#All],[PRODUCTO]],0),MATCH(Tabla4[[#This Row],[Mes]],Tabla6[#Headers],0)))*(1+Catalogos!$L$2)</f>
        <v>#N/A</v>
      </c>
      <c r="N5636" s="283" t="e">
        <f>+(Tabla4[[#This Row],[Precio Descontado]]-Tabla4[[#This Row],[Precio Base]])*Tabla4[[#This Row],[Cantidad]]</f>
        <v>#N/A</v>
      </c>
      <c r="O5636" s="284" t="e">
        <f>++Tabla4[[#This Row],[Utilidad Total]]/Tabla4[[#This Row],[Total]]</f>
        <v>#N/A</v>
      </c>
      <c r="P5636" s="282">
        <f>++Tabla4[[#This Row],[Precio Descontado]]*Tabla4[[#This Row],[Cantidad]]</f>
        <v>11774.282448399999</v>
      </c>
      <c r="Q5636" s="282" t="e">
        <f>(INDEX(Tabla6[#All],MATCH(Tabla4[[#This Row],[Producto]],Tabla6[[#All],[PRODUCTO]],0),MATCH(Tabla4[[#This Row],[Mes]],Tabla6[#Headers],0)))</f>
        <v>#N/A</v>
      </c>
      <c r="R5636" s="282" t="e">
        <f>++Tabla4[[#This Row],[Precio Unitario Neto]]-Tabla4[[#This Row],[20.85%]]-Tabla4[[#This Row],[Costo]]</f>
        <v>#N/A</v>
      </c>
      <c r="S5636" s="282" t="e">
        <f>++Tabla4[[#This Row],[U. Bruta Uni]]*Tabla4[[#This Row],[Cantidad]]</f>
        <v>#N/A</v>
      </c>
      <c r="T5636" s="369" t="str">
        <f>VLOOKUP(Tabla4[[#This Row],[Producto]],Tabla6[#All],14,FALSE)</f>
        <v>Termico Solar</v>
      </c>
      <c r="U5636" s="284" t="e">
        <f>(IF(Tabla4[[#This Row],[Familia]]="termico solar",Tabla4[[#This Row],[Utilidad Total]]*6%,Tabla4[[#This Row],[Utilidad Total]]*11.5%))/Tabla4[[#This Row],[Total]]</f>
        <v>#N/A</v>
      </c>
      <c r="V5636" s="282" t="e">
        <f>+Tabla4[[#This Row],[Comisión Calculada]]*Tabla4[[#This Row],[Total]]</f>
        <v>#N/A</v>
      </c>
    </row>
    <row r="5637" spans="1:22" hidden="1" x14ac:dyDescent="0.25">
      <c r="A5637" s="100">
        <v>45915</v>
      </c>
      <c r="B5637" t="str">
        <f t="shared" si="272"/>
        <v>September</v>
      </c>
      <c r="C5637" s="46" t="s">
        <v>280</v>
      </c>
      <c r="F5637" s="366" t="s">
        <v>2904</v>
      </c>
      <c r="G5637" s="46" t="s">
        <v>16</v>
      </c>
      <c r="H5637" s="46">
        <v>1</v>
      </c>
      <c r="I5637" s="51">
        <v>4103.8500000000004</v>
      </c>
      <c r="J5637" s="281">
        <f>++Tabla4[[#This Row],[Precio Bruto]]*1.16</f>
        <v>4760.4660000000003</v>
      </c>
      <c r="K5637" s="281">
        <f>+Tabla4[[#This Row],[Precio Unitario Neto]]*Tabla4[[#Headers],[20.85%]]</f>
        <v>992.55716100000006</v>
      </c>
      <c r="L5637" s="282">
        <f>++Tabla4[[#This Row],[Precio Unitario Neto]]-Tabla4[[#This Row],[20.85%]]</f>
        <v>3767.9088390000002</v>
      </c>
      <c r="M5637" s="282" t="e">
        <f>(INDEX(Tabla6[#All],MATCH(Tabla4[[#This Row],[Producto]],Tabla6[[#All],[PRODUCTO]],0),MATCH(Tabla4[[#This Row],[Mes]],Tabla6[#Headers],0)))*(1+Catalogos!$L$2)</f>
        <v>#N/A</v>
      </c>
      <c r="N5637" s="283" t="e">
        <f>+(Tabla4[[#This Row],[Precio Descontado]]-Tabla4[[#This Row],[Precio Base]])*Tabla4[[#This Row],[Cantidad]]</f>
        <v>#N/A</v>
      </c>
      <c r="O5637" s="284" t="e">
        <f>++Tabla4[[#This Row],[Utilidad Total]]/Tabla4[[#This Row],[Total]]</f>
        <v>#N/A</v>
      </c>
      <c r="P5637" s="282">
        <f>++Tabla4[[#This Row],[Precio Descontado]]*Tabla4[[#This Row],[Cantidad]]</f>
        <v>3767.9088390000002</v>
      </c>
      <c r="Q5637" s="282" t="e">
        <f>(INDEX(Tabla6[#All],MATCH(Tabla4[[#This Row],[Producto]],Tabla6[[#All],[PRODUCTO]],0),MATCH(Tabla4[[#This Row],[Mes]],Tabla6[#Headers],0)))</f>
        <v>#N/A</v>
      </c>
      <c r="R5637" s="282" t="e">
        <f>++Tabla4[[#This Row],[Precio Unitario Neto]]-Tabla4[[#This Row],[20.85%]]-Tabla4[[#This Row],[Costo]]</f>
        <v>#N/A</v>
      </c>
      <c r="S5637" s="282" t="e">
        <f>++Tabla4[[#This Row],[U. Bruta Uni]]*Tabla4[[#This Row],[Cantidad]]</f>
        <v>#N/A</v>
      </c>
      <c r="T5637" s="369" t="str">
        <f>VLOOKUP(Tabla4[[#This Row],[Producto]],Tabla6[#All],14,FALSE)</f>
        <v>Termico Solar</v>
      </c>
      <c r="U5637" s="284" t="e">
        <f>(IF(Tabla4[[#This Row],[Familia]]="termico solar",Tabla4[[#This Row],[Utilidad Total]]*6%,Tabla4[[#This Row],[Utilidad Total]]*11.5%))/Tabla4[[#This Row],[Total]]</f>
        <v>#N/A</v>
      </c>
      <c r="V5637" s="282" t="e">
        <f>+Tabla4[[#This Row],[Comisión Calculada]]*Tabla4[[#This Row],[Total]]</f>
        <v>#N/A</v>
      </c>
    </row>
    <row r="5638" spans="1:22" hidden="1" x14ac:dyDescent="0.25">
      <c r="A5638" s="100">
        <v>45915</v>
      </c>
      <c r="B5638" t="str">
        <f t="shared" si="272"/>
        <v>September</v>
      </c>
      <c r="C5638" s="46" t="s">
        <v>280</v>
      </c>
      <c r="F5638" s="366" t="s">
        <v>2905</v>
      </c>
      <c r="G5638" s="46" t="s">
        <v>18</v>
      </c>
      <c r="H5638" s="46">
        <v>2</v>
      </c>
      <c r="I5638" s="51">
        <v>5367.65</v>
      </c>
      <c r="J5638" s="281">
        <f>++Tabla4[[#This Row],[Precio Bruto]]*1.16</f>
        <v>6226.4739999999993</v>
      </c>
      <c r="K5638" s="281">
        <f>+Tabla4[[#This Row],[Precio Unitario Neto]]*Tabla4[[#Headers],[20.85%]]</f>
        <v>1298.2198289999999</v>
      </c>
      <c r="L5638" s="282">
        <f>++Tabla4[[#This Row],[Precio Unitario Neto]]-Tabla4[[#This Row],[20.85%]]</f>
        <v>4928.2541709999996</v>
      </c>
      <c r="M5638" s="282" t="e">
        <f>(INDEX(Tabla6[#All],MATCH(Tabla4[[#This Row],[Producto]],Tabla6[[#All],[PRODUCTO]],0),MATCH(Tabla4[[#This Row],[Mes]],Tabla6[#Headers],0)))*(1+Catalogos!$L$2)</f>
        <v>#N/A</v>
      </c>
      <c r="N5638" s="283" t="e">
        <f>+(Tabla4[[#This Row],[Precio Descontado]]-Tabla4[[#This Row],[Precio Base]])*Tabla4[[#This Row],[Cantidad]]</f>
        <v>#N/A</v>
      </c>
      <c r="O5638" s="284" t="e">
        <f>++Tabla4[[#This Row],[Utilidad Total]]/Tabla4[[#This Row],[Total]]</f>
        <v>#N/A</v>
      </c>
      <c r="P5638" s="282">
        <f>++Tabla4[[#This Row],[Precio Descontado]]*Tabla4[[#This Row],[Cantidad]]</f>
        <v>9856.5083419999992</v>
      </c>
      <c r="Q5638" s="282" t="e">
        <f>(INDEX(Tabla6[#All],MATCH(Tabla4[[#This Row],[Producto]],Tabla6[[#All],[PRODUCTO]],0),MATCH(Tabla4[[#This Row],[Mes]],Tabla6[#Headers],0)))</f>
        <v>#N/A</v>
      </c>
      <c r="R5638" s="282" t="e">
        <f>++Tabla4[[#This Row],[Precio Unitario Neto]]-Tabla4[[#This Row],[20.85%]]-Tabla4[[#This Row],[Costo]]</f>
        <v>#N/A</v>
      </c>
      <c r="S5638" s="282" t="e">
        <f>++Tabla4[[#This Row],[U. Bruta Uni]]*Tabla4[[#This Row],[Cantidad]]</f>
        <v>#N/A</v>
      </c>
      <c r="T5638" s="369" t="str">
        <f>VLOOKUP(Tabla4[[#This Row],[Producto]],Tabla6[#All],14,FALSE)</f>
        <v>Termico Solar</v>
      </c>
      <c r="U5638" s="284" t="e">
        <f>(IF(Tabla4[[#This Row],[Familia]]="termico solar",Tabla4[[#This Row],[Utilidad Total]]*6%,Tabla4[[#This Row],[Utilidad Total]]*11.5%))/Tabla4[[#This Row],[Total]]</f>
        <v>#N/A</v>
      </c>
      <c r="V5638" s="282" t="e">
        <f>+Tabla4[[#This Row],[Comisión Calculada]]*Tabla4[[#This Row],[Total]]</f>
        <v>#N/A</v>
      </c>
    </row>
    <row r="5639" spans="1:22" hidden="1" x14ac:dyDescent="0.25">
      <c r="A5639" s="100">
        <v>45915</v>
      </c>
      <c r="B5639" t="str">
        <f t="shared" si="272"/>
        <v>September</v>
      </c>
      <c r="C5639" s="46" t="s">
        <v>280</v>
      </c>
      <c r="F5639" s="366" t="s">
        <v>2905</v>
      </c>
      <c r="G5639" s="46" t="s">
        <v>16</v>
      </c>
      <c r="H5639" s="46">
        <v>1</v>
      </c>
      <c r="I5639" s="51">
        <v>4103.8500000000004</v>
      </c>
      <c r="J5639" s="281">
        <f>++Tabla4[[#This Row],[Precio Bruto]]*1.16</f>
        <v>4760.4660000000003</v>
      </c>
      <c r="K5639" s="281">
        <f>+Tabla4[[#This Row],[Precio Unitario Neto]]*Tabla4[[#Headers],[20.85%]]</f>
        <v>992.55716100000006</v>
      </c>
      <c r="L5639" s="282">
        <f>++Tabla4[[#This Row],[Precio Unitario Neto]]-Tabla4[[#This Row],[20.85%]]</f>
        <v>3767.9088390000002</v>
      </c>
      <c r="M5639" s="282" t="e">
        <f>(INDEX(Tabla6[#All],MATCH(Tabla4[[#This Row],[Producto]],Tabla6[[#All],[PRODUCTO]],0),MATCH(Tabla4[[#This Row],[Mes]],Tabla6[#Headers],0)))*(1+Catalogos!$L$2)</f>
        <v>#N/A</v>
      </c>
      <c r="N5639" s="283" t="e">
        <f>+(Tabla4[[#This Row],[Precio Descontado]]-Tabla4[[#This Row],[Precio Base]])*Tabla4[[#This Row],[Cantidad]]</f>
        <v>#N/A</v>
      </c>
      <c r="O5639" s="284" t="e">
        <f>++Tabla4[[#This Row],[Utilidad Total]]/Tabla4[[#This Row],[Total]]</f>
        <v>#N/A</v>
      </c>
      <c r="P5639" s="282">
        <f>++Tabla4[[#This Row],[Precio Descontado]]*Tabla4[[#This Row],[Cantidad]]</f>
        <v>3767.9088390000002</v>
      </c>
      <c r="Q5639" s="282" t="e">
        <f>(INDEX(Tabla6[#All],MATCH(Tabla4[[#This Row],[Producto]],Tabla6[[#All],[PRODUCTO]],0),MATCH(Tabla4[[#This Row],[Mes]],Tabla6[#Headers],0)))</f>
        <v>#N/A</v>
      </c>
      <c r="R5639" s="282" t="e">
        <f>++Tabla4[[#This Row],[Precio Unitario Neto]]-Tabla4[[#This Row],[20.85%]]-Tabla4[[#This Row],[Costo]]</f>
        <v>#N/A</v>
      </c>
      <c r="S5639" s="282" t="e">
        <f>++Tabla4[[#This Row],[U. Bruta Uni]]*Tabla4[[#This Row],[Cantidad]]</f>
        <v>#N/A</v>
      </c>
      <c r="T5639" s="369" t="str">
        <f>VLOOKUP(Tabla4[[#This Row],[Producto]],Tabla6[#All],14,FALSE)</f>
        <v>Termico Solar</v>
      </c>
      <c r="U5639" s="284" t="e">
        <f>(IF(Tabla4[[#This Row],[Familia]]="termico solar",Tabla4[[#This Row],[Utilidad Total]]*6%,Tabla4[[#This Row],[Utilidad Total]]*11.5%))/Tabla4[[#This Row],[Total]]</f>
        <v>#N/A</v>
      </c>
      <c r="V5639" s="282" t="e">
        <f>+Tabla4[[#This Row],[Comisión Calculada]]*Tabla4[[#This Row],[Total]]</f>
        <v>#N/A</v>
      </c>
    </row>
    <row r="5640" spans="1:22" hidden="1" x14ac:dyDescent="0.25">
      <c r="A5640" s="100">
        <v>45915</v>
      </c>
      <c r="B5640" t="str">
        <f t="shared" si="272"/>
        <v>September</v>
      </c>
      <c r="C5640" s="46" t="s">
        <v>280</v>
      </c>
      <c r="F5640" s="366" t="s">
        <v>2906</v>
      </c>
      <c r="G5640" s="46" t="s">
        <v>83</v>
      </c>
      <c r="H5640" s="46">
        <v>1</v>
      </c>
      <c r="I5640" s="51">
        <v>8858.76</v>
      </c>
      <c r="J5640" s="281">
        <f>++Tabla4[[#This Row],[Precio Bruto]]*1.16</f>
        <v>10276.161599999999</v>
      </c>
      <c r="K5640" s="281">
        <f>+Tabla4[[#This Row],[Precio Unitario Neto]]*Tabla4[[#Headers],[20.85%]]</f>
        <v>2142.5796935999997</v>
      </c>
      <c r="L5640" s="282">
        <f>++Tabla4[[#This Row],[Precio Unitario Neto]]-Tabla4[[#This Row],[20.85%]]</f>
        <v>8133.5819063999998</v>
      </c>
      <c r="M5640" s="282" t="e">
        <f>(INDEX(Tabla6[#All],MATCH(Tabla4[[#This Row],[Producto]],Tabla6[[#All],[PRODUCTO]],0),MATCH(Tabla4[[#This Row],[Mes]],Tabla6[#Headers],0)))*(1+Catalogos!$L$2)</f>
        <v>#N/A</v>
      </c>
      <c r="N5640" s="283" t="e">
        <f>+(Tabla4[[#This Row],[Precio Descontado]]-Tabla4[[#This Row],[Precio Base]])*Tabla4[[#This Row],[Cantidad]]</f>
        <v>#N/A</v>
      </c>
      <c r="O5640" s="284" t="e">
        <f>++Tabla4[[#This Row],[Utilidad Total]]/Tabla4[[#This Row],[Total]]</f>
        <v>#N/A</v>
      </c>
      <c r="P5640" s="282">
        <f>++Tabla4[[#This Row],[Precio Descontado]]*Tabla4[[#This Row],[Cantidad]]</f>
        <v>8133.5819063999998</v>
      </c>
      <c r="Q5640" s="282" t="e">
        <f>(INDEX(Tabla6[#All],MATCH(Tabla4[[#This Row],[Producto]],Tabla6[[#All],[PRODUCTO]],0),MATCH(Tabla4[[#This Row],[Mes]],Tabla6[#Headers],0)))</f>
        <v>#N/A</v>
      </c>
      <c r="R5640" s="282" t="e">
        <f>++Tabla4[[#This Row],[Precio Unitario Neto]]-Tabla4[[#This Row],[20.85%]]-Tabla4[[#This Row],[Costo]]</f>
        <v>#N/A</v>
      </c>
      <c r="S5640" s="282" t="e">
        <f>++Tabla4[[#This Row],[U. Bruta Uni]]*Tabla4[[#This Row],[Cantidad]]</f>
        <v>#N/A</v>
      </c>
      <c r="T5640" s="369" t="str">
        <f>VLOOKUP(Tabla4[[#This Row],[Producto]],Tabla6[#All],14,FALSE)</f>
        <v>Termico Solar</v>
      </c>
      <c r="U5640" s="284" t="e">
        <f>(IF(Tabla4[[#This Row],[Familia]]="termico solar",Tabla4[[#This Row],[Utilidad Total]]*6%,Tabla4[[#This Row],[Utilidad Total]]*11.5%))/Tabla4[[#This Row],[Total]]</f>
        <v>#N/A</v>
      </c>
      <c r="V5640" s="282" t="e">
        <f>+Tabla4[[#This Row],[Comisión Calculada]]*Tabla4[[#This Row],[Total]]</f>
        <v>#N/A</v>
      </c>
    </row>
    <row r="5641" spans="1:22" hidden="1" x14ac:dyDescent="0.25">
      <c r="A5641" s="100">
        <v>45915</v>
      </c>
      <c r="B5641" t="str">
        <f t="shared" si="272"/>
        <v>September</v>
      </c>
      <c r="C5641" s="46" t="s">
        <v>280</v>
      </c>
      <c r="F5641" s="366" t="s">
        <v>2906</v>
      </c>
      <c r="G5641" s="46" t="s">
        <v>566</v>
      </c>
      <c r="H5641" s="46">
        <v>2</v>
      </c>
      <c r="I5641" s="51">
        <v>2109.4499999999998</v>
      </c>
      <c r="J5641" s="281">
        <f>++Tabla4[[#This Row],[Precio Bruto]]*1.16</f>
        <v>2446.9619999999995</v>
      </c>
      <c r="K5641" s="281">
        <f>+Tabla4[[#This Row],[Precio Unitario Neto]]*Tabla4[[#Headers],[20.85%]]</f>
        <v>510.19157699999988</v>
      </c>
      <c r="L5641" s="282">
        <f>++Tabla4[[#This Row],[Precio Unitario Neto]]-Tabla4[[#This Row],[20.85%]]</f>
        <v>1936.7704229999997</v>
      </c>
      <c r="M5641" s="282" t="e">
        <f>(INDEX(Tabla6[#All],MATCH(Tabla4[[#This Row],[Producto]],Tabla6[[#All],[PRODUCTO]],0),MATCH(Tabla4[[#This Row],[Mes]],Tabla6[#Headers],0)))*(1+Catalogos!$L$2)</f>
        <v>#N/A</v>
      </c>
      <c r="N5641" s="283" t="e">
        <f>+(Tabla4[[#This Row],[Precio Descontado]]-Tabla4[[#This Row],[Precio Base]])*Tabla4[[#This Row],[Cantidad]]</f>
        <v>#N/A</v>
      </c>
      <c r="O5641" s="284" t="e">
        <f>++Tabla4[[#This Row],[Utilidad Total]]/Tabla4[[#This Row],[Total]]</f>
        <v>#N/A</v>
      </c>
      <c r="P5641" s="282">
        <f>++Tabla4[[#This Row],[Precio Descontado]]*Tabla4[[#This Row],[Cantidad]]</f>
        <v>3873.5408459999994</v>
      </c>
      <c r="Q5641" s="282" t="e">
        <f>(INDEX(Tabla6[#All],MATCH(Tabla4[[#This Row],[Producto]],Tabla6[[#All],[PRODUCTO]],0),MATCH(Tabla4[[#This Row],[Mes]],Tabla6[#Headers],0)))</f>
        <v>#N/A</v>
      </c>
      <c r="R5641" s="282" t="e">
        <f>++Tabla4[[#This Row],[Precio Unitario Neto]]-Tabla4[[#This Row],[20.85%]]-Tabla4[[#This Row],[Costo]]</f>
        <v>#N/A</v>
      </c>
      <c r="S5641" s="282" t="e">
        <f>++Tabla4[[#This Row],[U. Bruta Uni]]*Tabla4[[#This Row],[Cantidad]]</f>
        <v>#N/A</v>
      </c>
      <c r="T5641" s="369" t="str">
        <f>VLOOKUP(Tabla4[[#This Row],[Producto]],Tabla6[#All],14,FALSE)</f>
        <v>Termico Solar</v>
      </c>
      <c r="U5641" s="284" t="e">
        <f>(IF(Tabla4[[#This Row],[Familia]]="termico solar",Tabla4[[#This Row],[Utilidad Total]]*6%,Tabla4[[#This Row],[Utilidad Total]]*11.5%))/Tabla4[[#This Row],[Total]]</f>
        <v>#N/A</v>
      </c>
      <c r="V5641" s="282" t="e">
        <f>+Tabla4[[#This Row],[Comisión Calculada]]*Tabla4[[#This Row],[Total]]</f>
        <v>#N/A</v>
      </c>
    </row>
    <row r="5642" spans="1:22" hidden="1" x14ac:dyDescent="0.25">
      <c r="A5642" s="100">
        <v>45915</v>
      </c>
      <c r="B5642" t="str">
        <f t="shared" si="272"/>
        <v>September</v>
      </c>
      <c r="C5642" s="46" t="s">
        <v>280</v>
      </c>
      <c r="F5642" s="366" t="s">
        <v>2907</v>
      </c>
      <c r="G5642" s="46" t="s">
        <v>566</v>
      </c>
      <c r="H5642" s="46">
        <v>2</v>
      </c>
      <c r="I5642" s="51">
        <v>2109.4499999999998</v>
      </c>
      <c r="J5642" s="281">
        <f>++Tabla4[[#This Row],[Precio Bruto]]*1.16</f>
        <v>2446.9619999999995</v>
      </c>
      <c r="K5642" s="281">
        <f>+Tabla4[[#This Row],[Precio Unitario Neto]]*Tabla4[[#Headers],[20.85%]]</f>
        <v>510.19157699999988</v>
      </c>
      <c r="L5642" s="282">
        <f>++Tabla4[[#This Row],[Precio Unitario Neto]]-Tabla4[[#This Row],[20.85%]]</f>
        <v>1936.7704229999997</v>
      </c>
      <c r="M5642" s="282" t="e">
        <f>(INDEX(Tabla6[#All],MATCH(Tabla4[[#This Row],[Producto]],Tabla6[[#All],[PRODUCTO]],0),MATCH(Tabla4[[#This Row],[Mes]],Tabla6[#Headers],0)))*(1+Catalogos!$L$2)</f>
        <v>#N/A</v>
      </c>
      <c r="N5642" s="283" t="e">
        <f>+(Tabla4[[#This Row],[Precio Descontado]]-Tabla4[[#This Row],[Precio Base]])*Tabla4[[#This Row],[Cantidad]]</f>
        <v>#N/A</v>
      </c>
      <c r="O5642" s="284" t="e">
        <f>++Tabla4[[#This Row],[Utilidad Total]]/Tabla4[[#This Row],[Total]]</f>
        <v>#N/A</v>
      </c>
      <c r="P5642" s="282">
        <f>++Tabla4[[#This Row],[Precio Descontado]]*Tabla4[[#This Row],[Cantidad]]</f>
        <v>3873.5408459999994</v>
      </c>
      <c r="Q5642" s="282" t="e">
        <f>(INDEX(Tabla6[#All],MATCH(Tabla4[[#This Row],[Producto]],Tabla6[[#All],[PRODUCTO]],0),MATCH(Tabla4[[#This Row],[Mes]],Tabla6[#Headers],0)))</f>
        <v>#N/A</v>
      </c>
      <c r="R5642" s="282" t="e">
        <f>++Tabla4[[#This Row],[Precio Unitario Neto]]-Tabla4[[#This Row],[20.85%]]-Tabla4[[#This Row],[Costo]]</f>
        <v>#N/A</v>
      </c>
      <c r="S5642" s="282" t="e">
        <f>++Tabla4[[#This Row],[U. Bruta Uni]]*Tabla4[[#This Row],[Cantidad]]</f>
        <v>#N/A</v>
      </c>
      <c r="T5642" s="369" t="str">
        <f>VLOOKUP(Tabla4[[#This Row],[Producto]],Tabla6[#All],14,FALSE)</f>
        <v>Termico Solar</v>
      </c>
      <c r="U5642" s="284" t="e">
        <f>(IF(Tabla4[[#This Row],[Familia]]="termico solar",Tabla4[[#This Row],[Utilidad Total]]*6%,Tabla4[[#This Row],[Utilidad Total]]*11.5%))/Tabla4[[#This Row],[Total]]</f>
        <v>#N/A</v>
      </c>
      <c r="V5642" s="282" t="e">
        <f>+Tabla4[[#This Row],[Comisión Calculada]]*Tabla4[[#This Row],[Total]]</f>
        <v>#N/A</v>
      </c>
    </row>
    <row r="5643" spans="1:22" hidden="1" x14ac:dyDescent="0.25">
      <c r="A5643" s="100">
        <v>45915</v>
      </c>
      <c r="B5643" t="str">
        <f t="shared" si="272"/>
        <v>September</v>
      </c>
      <c r="C5643" s="46" t="s">
        <v>280</v>
      </c>
      <c r="F5643" s="366" t="s">
        <v>2908</v>
      </c>
      <c r="G5643" s="46" t="s">
        <v>18</v>
      </c>
      <c r="H5643" s="46">
        <v>1</v>
      </c>
      <c r="I5643" s="51">
        <v>5367.65</v>
      </c>
      <c r="J5643" s="281">
        <f>++Tabla4[[#This Row],[Precio Bruto]]*1.16</f>
        <v>6226.4739999999993</v>
      </c>
      <c r="K5643" s="281">
        <f>+Tabla4[[#This Row],[Precio Unitario Neto]]*Tabla4[[#Headers],[20.85%]]</f>
        <v>1298.2198289999999</v>
      </c>
      <c r="L5643" s="282">
        <f>++Tabla4[[#This Row],[Precio Unitario Neto]]-Tabla4[[#This Row],[20.85%]]</f>
        <v>4928.2541709999996</v>
      </c>
      <c r="M5643" s="282" t="e">
        <f>(INDEX(Tabla6[#All],MATCH(Tabla4[[#This Row],[Producto]],Tabla6[[#All],[PRODUCTO]],0),MATCH(Tabla4[[#This Row],[Mes]],Tabla6[#Headers],0)))*(1+Catalogos!$L$2)</f>
        <v>#N/A</v>
      </c>
      <c r="N5643" s="283" t="e">
        <f>+(Tabla4[[#This Row],[Precio Descontado]]-Tabla4[[#This Row],[Precio Base]])*Tabla4[[#This Row],[Cantidad]]</f>
        <v>#N/A</v>
      </c>
      <c r="O5643" s="284" t="e">
        <f>++Tabla4[[#This Row],[Utilidad Total]]/Tabla4[[#This Row],[Total]]</f>
        <v>#N/A</v>
      </c>
      <c r="P5643" s="282">
        <f>++Tabla4[[#This Row],[Precio Descontado]]*Tabla4[[#This Row],[Cantidad]]</f>
        <v>4928.2541709999996</v>
      </c>
      <c r="Q5643" s="282" t="e">
        <f>(INDEX(Tabla6[#All],MATCH(Tabla4[[#This Row],[Producto]],Tabla6[[#All],[PRODUCTO]],0),MATCH(Tabla4[[#This Row],[Mes]],Tabla6[#Headers],0)))</f>
        <v>#N/A</v>
      </c>
      <c r="R5643" s="282" t="e">
        <f>++Tabla4[[#This Row],[Precio Unitario Neto]]-Tabla4[[#This Row],[20.85%]]-Tabla4[[#This Row],[Costo]]</f>
        <v>#N/A</v>
      </c>
      <c r="S5643" s="282" t="e">
        <f>++Tabla4[[#This Row],[U. Bruta Uni]]*Tabla4[[#This Row],[Cantidad]]</f>
        <v>#N/A</v>
      </c>
      <c r="T5643" s="369" t="str">
        <f>VLOOKUP(Tabla4[[#This Row],[Producto]],Tabla6[#All],14,FALSE)</f>
        <v>Termico Solar</v>
      </c>
      <c r="U5643" s="284" t="e">
        <f>(IF(Tabla4[[#This Row],[Familia]]="termico solar",Tabla4[[#This Row],[Utilidad Total]]*6%,Tabla4[[#This Row],[Utilidad Total]]*11.5%))/Tabla4[[#This Row],[Total]]</f>
        <v>#N/A</v>
      </c>
      <c r="V5643" s="282" t="e">
        <f>+Tabla4[[#This Row],[Comisión Calculada]]*Tabla4[[#This Row],[Total]]</f>
        <v>#N/A</v>
      </c>
    </row>
    <row r="5644" spans="1:22" hidden="1" x14ac:dyDescent="0.25">
      <c r="A5644" s="100">
        <v>45915</v>
      </c>
      <c r="B5644" t="str">
        <f t="shared" si="272"/>
        <v>September</v>
      </c>
      <c r="C5644" s="46" t="s">
        <v>280</v>
      </c>
      <c r="F5644" s="366" t="s">
        <v>2908</v>
      </c>
      <c r="G5644" s="46" t="s">
        <v>19</v>
      </c>
      <c r="H5644" s="46">
        <v>3</v>
      </c>
      <c r="I5644" s="51">
        <v>6412.03</v>
      </c>
      <c r="J5644" s="281">
        <f>++Tabla4[[#This Row],[Precio Bruto]]*1.16</f>
        <v>7437.9547999999995</v>
      </c>
      <c r="K5644" s="281">
        <f>+Tabla4[[#This Row],[Precio Unitario Neto]]*Tabla4[[#Headers],[20.85%]]</f>
        <v>1550.8135757999999</v>
      </c>
      <c r="L5644" s="282">
        <f>++Tabla4[[#This Row],[Precio Unitario Neto]]-Tabla4[[#This Row],[20.85%]]</f>
        <v>5887.1412241999997</v>
      </c>
      <c r="M5644" s="282" t="e">
        <f>(INDEX(Tabla6[#All],MATCH(Tabla4[[#This Row],[Producto]],Tabla6[[#All],[PRODUCTO]],0),MATCH(Tabla4[[#This Row],[Mes]],Tabla6[#Headers],0)))*(1+Catalogos!$L$2)</f>
        <v>#N/A</v>
      </c>
      <c r="N5644" s="283" t="e">
        <f>+(Tabla4[[#This Row],[Precio Descontado]]-Tabla4[[#This Row],[Precio Base]])*Tabla4[[#This Row],[Cantidad]]</f>
        <v>#N/A</v>
      </c>
      <c r="O5644" s="284" t="e">
        <f>++Tabla4[[#This Row],[Utilidad Total]]/Tabla4[[#This Row],[Total]]</f>
        <v>#N/A</v>
      </c>
      <c r="P5644" s="282">
        <f>++Tabla4[[#This Row],[Precio Descontado]]*Tabla4[[#This Row],[Cantidad]]</f>
        <v>17661.423672599998</v>
      </c>
      <c r="Q5644" s="282" t="e">
        <f>(INDEX(Tabla6[#All],MATCH(Tabla4[[#This Row],[Producto]],Tabla6[[#All],[PRODUCTO]],0),MATCH(Tabla4[[#This Row],[Mes]],Tabla6[#Headers],0)))</f>
        <v>#N/A</v>
      </c>
      <c r="R5644" s="282" t="e">
        <f>++Tabla4[[#This Row],[Precio Unitario Neto]]-Tabla4[[#This Row],[20.85%]]-Tabla4[[#This Row],[Costo]]</f>
        <v>#N/A</v>
      </c>
      <c r="S5644" s="282" t="e">
        <f>++Tabla4[[#This Row],[U. Bruta Uni]]*Tabla4[[#This Row],[Cantidad]]</f>
        <v>#N/A</v>
      </c>
      <c r="T5644" s="369" t="str">
        <f>VLOOKUP(Tabla4[[#This Row],[Producto]],Tabla6[#All],14,FALSE)</f>
        <v>Termico Solar</v>
      </c>
      <c r="U5644" s="284" t="e">
        <f>(IF(Tabla4[[#This Row],[Familia]]="termico solar",Tabla4[[#This Row],[Utilidad Total]]*6%,Tabla4[[#This Row],[Utilidad Total]]*11.5%))/Tabla4[[#This Row],[Total]]</f>
        <v>#N/A</v>
      </c>
      <c r="V5644" s="282" t="e">
        <f>+Tabla4[[#This Row],[Comisión Calculada]]*Tabla4[[#This Row],[Total]]</f>
        <v>#N/A</v>
      </c>
    </row>
    <row r="5645" spans="1:22" hidden="1" x14ac:dyDescent="0.25">
      <c r="A5645" s="100">
        <v>45915</v>
      </c>
      <c r="B5645" t="str">
        <f t="shared" si="272"/>
        <v>September</v>
      </c>
      <c r="C5645" s="46" t="s">
        <v>280</v>
      </c>
      <c r="F5645" s="366" t="s">
        <v>2908</v>
      </c>
      <c r="G5645" s="46" t="s">
        <v>16</v>
      </c>
      <c r="H5645" s="46">
        <v>2</v>
      </c>
      <c r="I5645" s="51">
        <v>4103.8500000000004</v>
      </c>
      <c r="J5645" s="281">
        <f>++Tabla4[[#This Row],[Precio Bruto]]*1.16</f>
        <v>4760.4660000000003</v>
      </c>
      <c r="K5645" s="281">
        <f>+Tabla4[[#This Row],[Precio Unitario Neto]]*Tabla4[[#Headers],[20.85%]]</f>
        <v>992.55716100000006</v>
      </c>
      <c r="L5645" s="282">
        <f>++Tabla4[[#This Row],[Precio Unitario Neto]]-Tabla4[[#This Row],[20.85%]]</f>
        <v>3767.9088390000002</v>
      </c>
      <c r="M5645" s="282" t="e">
        <f>(INDEX(Tabla6[#All],MATCH(Tabla4[[#This Row],[Producto]],Tabla6[[#All],[PRODUCTO]],0),MATCH(Tabla4[[#This Row],[Mes]],Tabla6[#Headers],0)))*(1+Catalogos!$L$2)</f>
        <v>#N/A</v>
      </c>
      <c r="N5645" s="283" t="e">
        <f>+(Tabla4[[#This Row],[Precio Descontado]]-Tabla4[[#This Row],[Precio Base]])*Tabla4[[#This Row],[Cantidad]]</f>
        <v>#N/A</v>
      </c>
      <c r="O5645" s="284" t="e">
        <f>++Tabla4[[#This Row],[Utilidad Total]]/Tabla4[[#This Row],[Total]]</f>
        <v>#N/A</v>
      </c>
      <c r="P5645" s="282">
        <f>++Tabla4[[#This Row],[Precio Descontado]]*Tabla4[[#This Row],[Cantidad]]</f>
        <v>7535.8176780000003</v>
      </c>
      <c r="Q5645" s="282" t="e">
        <f>(INDEX(Tabla6[#All],MATCH(Tabla4[[#This Row],[Producto]],Tabla6[[#All],[PRODUCTO]],0),MATCH(Tabla4[[#This Row],[Mes]],Tabla6[#Headers],0)))</f>
        <v>#N/A</v>
      </c>
      <c r="R5645" s="282" t="e">
        <f>++Tabla4[[#This Row],[Precio Unitario Neto]]-Tabla4[[#This Row],[20.85%]]-Tabla4[[#This Row],[Costo]]</f>
        <v>#N/A</v>
      </c>
      <c r="S5645" s="282" t="e">
        <f>++Tabla4[[#This Row],[U. Bruta Uni]]*Tabla4[[#This Row],[Cantidad]]</f>
        <v>#N/A</v>
      </c>
      <c r="T5645" s="369" t="str">
        <f>VLOOKUP(Tabla4[[#This Row],[Producto]],Tabla6[#All],14,FALSE)</f>
        <v>Termico Solar</v>
      </c>
      <c r="U5645" s="284" t="e">
        <f>(IF(Tabla4[[#This Row],[Familia]]="termico solar",Tabla4[[#This Row],[Utilidad Total]]*6%,Tabla4[[#This Row],[Utilidad Total]]*11.5%))/Tabla4[[#This Row],[Total]]</f>
        <v>#N/A</v>
      </c>
      <c r="V5645" s="282" t="e">
        <f>+Tabla4[[#This Row],[Comisión Calculada]]*Tabla4[[#This Row],[Total]]</f>
        <v>#N/A</v>
      </c>
    </row>
    <row r="5646" spans="1:22" hidden="1" x14ac:dyDescent="0.25">
      <c r="A5646" s="100">
        <v>45915</v>
      </c>
      <c r="B5646" t="str">
        <f t="shared" si="272"/>
        <v>September</v>
      </c>
      <c r="C5646" s="46" t="s">
        <v>280</v>
      </c>
      <c r="F5646" s="366" t="s">
        <v>2908</v>
      </c>
      <c r="G5646" s="46" t="s">
        <v>208</v>
      </c>
      <c r="H5646" s="46">
        <v>5</v>
      </c>
      <c r="I5646" s="51">
        <v>189.75</v>
      </c>
      <c r="J5646" s="281">
        <f>++Tabla4[[#This Row],[Precio Bruto]]*1.16</f>
        <v>220.10999999999999</v>
      </c>
      <c r="K5646" s="281">
        <f>+Tabla4[[#This Row],[Precio Unitario Neto]]*Tabla4[[#Headers],[20.85%]]</f>
        <v>45.892934999999994</v>
      </c>
      <c r="L5646" s="282">
        <f>++Tabla4[[#This Row],[Precio Unitario Neto]]-Tabla4[[#This Row],[20.85%]]</f>
        <v>174.21706499999999</v>
      </c>
      <c r="M5646" s="282" t="e">
        <f>(INDEX(Tabla6[#All],MATCH(Tabla4[[#This Row],[Producto]],Tabla6[[#All],[PRODUCTO]],0),MATCH(Tabla4[[#This Row],[Mes]],Tabla6[#Headers],0)))*(1+Catalogos!$L$2)</f>
        <v>#N/A</v>
      </c>
      <c r="N5646" s="283" t="e">
        <f>+(Tabla4[[#This Row],[Precio Descontado]]-Tabla4[[#This Row],[Precio Base]])*Tabla4[[#This Row],[Cantidad]]</f>
        <v>#N/A</v>
      </c>
      <c r="O5646" s="284" t="e">
        <f>++Tabla4[[#This Row],[Utilidad Total]]/Tabla4[[#This Row],[Total]]</f>
        <v>#N/A</v>
      </c>
      <c r="P5646" s="282">
        <f>++Tabla4[[#This Row],[Precio Descontado]]*Tabla4[[#This Row],[Cantidad]]</f>
        <v>871.08532500000001</v>
      </c>
      <c r="Q5646" s="282" t="e">
        <f>(INDEX(Tabla6[#All],MATCH(Tabla4[[#This Row],[Producto]],Tabla6[[#All],[PRODUCTO]],0),MATCH(Tabla4[[#This Row],[Mes]],Tabla6[#Headers],0)))</f>
        <v>#N/A</v>
      </c>
      <c r="R5646" s="282" t="e">
        <f>++Tabla4[[#This Row],[Precio Unitario Neto]]-Tabla4[[#This Row],[20.85%]]-Tabla4[[#This Row],[Costo]]</f>
        <v>#N/A</v>
      </c>
      <c r="S5646" s="282" t="e">
        <f>++Tabla4[[#This Row],[U. Bruta Uni]]*Tabla4[[#This Row],[Cantidad]]</f>
        <v>#N/A</v>
      </c>
      <c r="T5646" s="369" t="str">
        <f>VLOOKUP(Tabla4[[#This Row],[Producto]],Tabla6[#All],14,FALSE)</f>
        <v>Termico Solar</v>
      </c>
      <c r="U5646" s="284" t="e">
        <f>(IF(Tabla4[[#This Row],[Familia]]="termico solar",Tabla4[[#This Row],[Utilidad Total]]*6%,Tabla4[[#This Row],[Utilidad Total]]*11.5%))/Tabla4[[#This Row],[Total]]</f>
        <v>#N/A</v>
      </c>
      <c r="V5646" s="282" t="e">
        <f>+Tabla4[[#This Row],[Comisión Calculada]]*Tabla4[[#This Row],[Total]]</f>
        <v>#N/A</v>
      </c>
    </row>
    <row r="5647" spans="1:22" hidden="1" x14ac:dyDescent="0.25">
      <c r="A5647" s="100">
        <v>45915</v>
      </c>
      <c r="B5647" t="str">
        <f t="shared" si="272"/>
        <v>September</v>
      </c>
      <c r="C5647" s="46" t="s">
        <v>280</v>
      </c>
      <c r="F5647" s="366" t="s">
        <v>2909</v>
      </c>
      <c r="G5647" s="46" t="s">
        <v>566</v>
      </c>
      <c r="H5647" s="46">
        <v>2</v>
      </c>
      <c r="I5647" s="51">
        <v>2109.4499999999998</v>
      </c>
      <c r="J5647" s="281">
        <f>++Tabla4[[#This Row],[Precio Bruto]]*1.16</f>
        <v>2446.9619999999995</v>
      </c>
      <c r="K5647" s="281">
        <f>+Tabla4[[#This Row],[Precio Unitario Neto]]*Tabla4[[#Headers],[20.85%]]</f>
        <v>510.19157699999988</v>
      </c>
      <c r="L5647" s="282">
        <f>++Tabla4[[#This Row],[Precio Unitario Neto]]-Tabla4[[#This Row],[20.85%]]</f>
        <v>1936.7704229999997</v>
      </c>
      <c r="M5647" s="282" t="e">
        <f>(INDEX(Tabla6[#All],MATCH(Tabla4[[#This Row],[Producto]],Tabla6[[#All],[PRODUCTO]],0),MATCH(Tabla4[[#This Row],[Mes]],Tabla6[#Headers],0)))*(1+Catalogos!$L$2)</f>
        <v>#N/A</v>
      </c>
      <c r="N5647" s="283" t="e">
        <f>+(Tabla4[[#This Row],[Precio Descontado]]-Tabla4[[#This Row],[Precio Base]])*Tabla4[[#This Row],[Cantidad]]</f>
        <v>#N/A</v>
      </c>
      <c r="O5647" s="284" t="e">
        <f>++Tabla4[[#This Row],[Utilidad Total]]/Tabla4[[#This Row],[Total]]</f>
        <v>#N/A</v>
      </c>
      <c r="P5647" s="282">
        <f>++Tabla4[[#This Row],[Precio Descontado]]*Tabla4[[#This Row],[Cantidad]]</f>
        <v>3873.5408459999994</v>
      </c>
      <c r="Q5647" s="282" t="e">
        <f>(INDEX(Tabla6[#All],MATCH(Tabla4[[#This Row],[Producto]],Tabla6[[#All],[PRODUCTO]],0),MATCH(Tabla4[[#This Row],[Mes]],Tabla6[#Headers],0)))</f>
        <v>#N/A</v>
      </c>
      <c r="R5647" s="282" t="e">
        <f>++Tabla4[[#This Row],[Precio Unitario Neto]]-Tabla4[[#This Row],[20.85%]]-Tabla4[[#This Row],[Costo]]</f>
        <v>#N/A</v>
      </c>
      <c r="S5647" s="282" t="e">
        <f>++Tabla4[[#This Row],[U. Bruta Uni]]*Tabla4[[#This Row],[Cantidad]]</f>
        <v>#N/A</v>
      </c>
      <c r="T5647" s="369" t="str">
        <f>VLOOKUP(Tabla4[[#This Row],[Producto]],Tabla6[#All],14,FALSE)</f>
        <v>Termico Solar</v>
      </c>
      <c r="U5647" s="284" t="e">
        <f>(IF(Tabla4[[#This Row],[Familia]]="termico solar",Tabla4[[#This Row],[Utilidad Total]]*6%,Tabla4[[#This Row],[Utilidad Total]]*11.5%))/Tabla4[[#This Row],[Total]]</f>
        <v>#N/A</v>
      </c>
      <c r="V5647" s="282" t="e">
        <f>+Tabla4[[#This Row],[Comisión Calculada]]*Tabla4[[#This Row],[Total]]</f>
        <v>#N/A</v>
      </c>
    </row>
    <row r="5648" spans="1:22" hidden="1" x14ac:dyDescent="0.25">
      <c r="A5648" s="100">
        <v>45915</v>
      </c>
      <c r="B5648" t="str">
        <f t="shared" si="272"/>
        <v>September</v>
      </c>
      <c r="C5648" s="46" t="s">
        <v>280</v>
      </c>
      <c r="F5648" s="366" t="s">
        <v>2909</v>
      </c>
      <c r="G5648" s="46" t="s">
        <v>412</v>
      </c>
      <c r="H5648" s="46">
        <v>1</v>
      </c>
      <c r="I5648" s="51">
        <v>3240.84</v>
      </c>
      <c r="J5648" s="281">
        <f>++Tabla4[[#This Row],[Precio Bruto]]*1.16</f>
        <v>3759.3743999999997</v>
      </c>
      <c r="K5648" s="281">
        <f>+Tabla4[[#This Row],[Precio Unitario Neto]]*Tabla4[[#Headers],[20.85%]]</f>
        <v>783.82956239999987</v>
      </c>
      <c r="L5648" s="282">
        <f>++Tabla4[[#This Row],[Precio Unitario Neto]]-Tabla4[[#This Row],[20.85%]]</f>
        <v>2975.5448375999999</v>
      </c>
      <c r="M5648" s="282" t="e">
        <f>(INDEX(Tabla6[#All],MATCH(Tabla4[[#This Row],[Producto]],Tabla6[[#All],[PRODUCTO]],0),MATCH(Tabla4[[#This Row],[Mes]],Tabla6[#Headers],0)))*(1+Catalogos!$L$2)</f>
        <v>#N/A</v>
      </c>
      <c r="N5648" s="283" t="e">
        <f>+(Tabla4[[#This Row],[Precio Descontado]]-Tabla4[[#This Row],[Precio Base]])*Tabla4[[#This Row],[Cantidad]]</f>
        <v>#N/A</v>
      </c>
      <c r="O5648" s="284" t="e">
        <f>++Tabla4[[#This Row],[Utilidad Total]]/Tabla4[[#This Row],[Total]]</f>
        <v>#N/A</v>
      </c>
      <c r="P5648" s="282">
        <f>++Tabla4[[#This Row],[Precio Descontado]]*Tabla4[[#This Row],[Cantidad]]</f>
        <v>2975.5448375999999</v>
      </c>
      <c r="Q5648" s="282" t="e">
        <f>(INDEX(Tabla6[#All],MATCH(Tabla4[[#This Row],[Producto]],Tabla6[[#All],[PRODUCTO]],0),MATCH(Tabla4[[#This Row],[Mes]],Tabla6[#Headers],0)))</f>
        <v>#N/A</v>
      </c>
      <c r="R5648" s="282" t="e">
        <f>++Tabla4[[#This Row],[Precio Unitario Neto]]-Tabla4[[#This Row],[20.85%]]-Tabla4[[#This Row],[Costo]]</f>
        <v>#N/A</v>
      </c>
      <c r="S5648" s="282" t="e">
        <f>++Tabla4[[#This Row],[U. Bruta Uni]]*Tabla4[[#This Row],[Cantidad]]</f>
        <v>#N/A</v>
      </c>
      <c r="T5648" s="369" t="str">
        <f>VLOOKUP(Tabla4[[#This Row],[Producto]],Tabla6[#All],14,FALSE)</f>
        <v>Termico Solar</v>
      </c>
      <c r="U5648" s="284" t="e">
        <f>(IF(Tabla4[[#This Row],[Familia]]="termico solar",Tabla4[[#This Row],[Utilidad Total]]*6%,Tabla4[[#This Row],[Utilidad Total]]*11.5%))/Tabla4[[#This Row],[Total]]</f>
        <v>#N/A</v>
      </c>
      <c r="V5648" s="282" t="e">
        <f>+Tabla4[[#This Row],[Comisión Calculada]]*Tabla4[[#This Row],[Total]]</f>
        <v>#N/A</v>
      </c>
    </row>
    <row r="5649" spans="1:22" hidden="1" x14ac:dyDescent="0.25">
      <c r="A5649" s="100">
        <v>45915</v>
      </c>
      <c r="B5649" t="str">
        <f t="shared" si="272"/>
        <v>September</v>
      </c>
      <c r="C5649" s="46" t="s">
        <v>280</v>
      </c>
      <c r="F5649" s="366" t="s">
        <v>2909</v>
      </c>
      <c r="G5649" s="46" t="s">
        <v>208</v>
      </c>
      <c r="H5649" s="46">
        <v>1</v>
      </c>
      <c r="I5649" s="51">
        <v>189.75</v>
      </c>
      <c r="J5649" s="281">
        <f>++Tabla4[[#This Row],[Precio Bruto]]*1.16</f>
        <v>220.10999999999999</v>
      </c>
      <c r="K5649" s="281">
        <f>+Tabla4[[#This Row],[Precio Unitario Neto]]*Tabla4[[#Headers],[20.85%]]</f>
        <v>45.892934999999994</v>
      </c>
      <c r="L5649" s="282">
        <f>++Tabla4[[#This Row],[Precio Unitario Neto]]-Tabla4[[#This Row],[20.85%]]</f>
        <v>174.21706499999999</v>
      </c>
      <c r="M5649" s="282" t="e">
        <f>(INDEX(Tabla6[#All],MATCH(Tabla4[[#This Row],[Producto]],Tabla6[[#All],[PRODUCTO]],0),MATCH(Tabla4[[#This Row],[Mes]],Tabla6[#Headers],0)))*(1+Catalogos!$L$2)</f>
        <v>#N/A</v>
      </c>
      <c r="N5649" s="283" t="e">
        <f>+(Tabla4[[#This Row],[Precio Descontado]]-Tabla4[[#This Row],[Precio Base]])*Tabla4[[#This Row],[Cantidad]]</f>
        <v>#N/A</v>
      </c>
      <c r="O5649" s="284" t="e">
        <f>++Tabla4[[#This Row],[Utilidad Total]]/Tabla4[[#This Row],[Total]]</f>
        <v>#N/A</v>
      </c>
      <c r="P5649" s="282">
        <f>++Tabla4[[#This Row],[Precio Descontado]]*Tabla4[[#This Row],[Cantidad]]</f>
        <v>174.21706499999999</v>
      </c>
      <c r="Q5649" s="282" t="e">
        <f>(INDEX(Tabla6[#All],MATCH(Tabla4[[#This Row],[Producto]],Tabla6[[#All],[PRODUCTO]],0),MATCH(Tabla4[[#This Row],[Mes]],Tabla6[#Headers],0)))</f>
        <v>#N/A</v>
      </c>
      <c r="R5649" s="282" t="e">
        <f>++Tabla4[[#This Row],[Precio Unitario Neto]]-Tabla4[[#This Row],[20.85%]]-Tabla4[[#This Row],[Costo]]</f>
        <v>#N/A</v>
      </c>
      <c r="S5649" s="282" t="e">
        <f>++Tabla4[[#This Row],[U. Bruta Uni]]*Tabla4[[#This Row],[Cantidad]]</f>
        <v>#N/A</v>
      </c>
      <c r="T5649" s="369" t="str">
        <f>VLOOKUP(Tabla4[[#This Row],[Producto]],Tabla6[#All],14,FALSE)</f>
        <v>Termico Solar</v>
      </c>
      <c r="U5649" s="284" t="e">
        <f>(IF(Tabla4[[#This Row],[Familia]]="termico solar",Tabla4[[#This Row],[Utilidad Total]]*6%,Tabla4[[#This Row],[Utilidad Total]]*11.5%))/Tabla4[[#This Row],[Total]]</f>
        <v>#N/A</v>
      </c>
      <c r="V5649" s="282" t="e">
        <f>+Tabla4[[#This Row],[Comisión Calculada]]*Tabla4[[#This Row],[Total]]</f>
        <v>#N/A</v>
      </c>
    </row>
    <row r="5650" spans="1:22" hidden="1" x14ac:dyDescent="0.25">
      <c r="A5650" s="100">
        <v>45915</v>
      </c>
      <c r="B5650" t="str">
        <f t="shared" ref="B5650:B5681" si="273">TEXT(A5650, "mmmm")</f>
        <v>September</v>
      </c>
      <c r="C5650" s="46" t="s">
        <v>280</v>
      </c>
      <c r="F5650" s="366" t="s">
        <v>2910</v>
      </c>
      <c r="G5650" s="46" t="s">
        <v>16</v>
      </c>
      <c r="H5650" s="46">
        <v>1</v>
      </c>
      <c r="I5650" s="51">
        <v>4103.8500000000004</v>
      </c>
      <c r="J5650" s="281">
        <f>++Tabla4[[#This Row],[Precio Bruto]]*1.16</f>
        <v>4760.4660000000003</v>
      </c>
      <c r="K5650" s="281">
        <f>+Tabla4[[#This Row],[Precio Unitario Neto]]*Tabla4[[#Headers],[20.85%]]</f>
        <v>992.55716100000006</v>
      </c>
      <c r="L5650" s="282">
        <f>++Tabla4[[#This Row],[Precio Unitario Neto]]-Tabla4[[#This Row],[20.85%]]</f>
        <v>3767.9088390000002</v>
      </c>
      <c r="M5650" s="282" t="e">
        <f>(INDEX(Tabla6[#All],MATCH(Tabla4[[#This Row],[Producto]],Tabla6[[#All],[PRODUCTO]],0),MATCH(Tabla4[[#This Row],[Mes]],Tabla6[#Headers],0)))*(1+Catalogos!$L$2)</f>
        <v>#N/A</v>
      </c>
      <c r="N5650" s="283" t="e">
        <f>+(Tabla4[[#This Row],[Precio Descontado]]-Tabla4[[#This Row],[Precio Base]])*Tabla4[[#This Row],[Cantidad]]</f>
        <v>#N/A</v>
      </c>
      <c r="O5650" s="284" t="e">
        <f>++Tabla4[[#This Row],[Utilidad Total]]/Tabla4[[#This Row],[Total]]</f>
        <v>#N/A</v>
      </c>
      <c r="P5650" s="282">
        <f>++Tabla4[[#This Row],[Precio Descontado]]*Tabla4[[#This Row],[Cantidad]]</f>
        <v>3767.9088390000002</v>
      </c>
      <c r="Q5650" s="282" t="e">
        <f>(INDEX(Tabla6[#All],MATCH(Tabla4[[#This Row],[Producto]],Tabla6[[#All],[PRODUCTO]],0),MATCH(Tabla4[[#This Row],[Mes]],Tabla6[#Headers],0)))</f>
        <v>#N/A</v>
      </c>
      <c r="R5650" s="282" t="e">
        <f>++Tabla4[[#This Row],[Precio Unitario Neto]]-Tabla4[[#This Row],[20.85%]]-Tabla4[[#This Row],[Costo]]</f>
        <v>#N/A</v>
      </c>
      <c r="S5650" s="282" t="e">
        <f>++Tabla4[[#This Row],[U. Bruta Uni]]*Tabla4[[#This Row],[Cantidad]]</f>
        <v>#N/A</v>
      </c>
      <c r="T5650" s="369" t="str">
        <f>VLOOKUP(Tabla4[[#This Row],[Producto]],Tabla6[#All],14,FALSE)</f>
        <v>Termico Solar</v>
      </c>
      <c r="U5650" s="284" t="e">
        <f>(IF(Tabla4[[#This Row],[Familia]]="termico solar",Tabla4[[#This Row],[Utilidad Total]]*6%,Tabla4[[#This Row],[Utilidad Total]]*11.5%))/Tabla4[[#This Row],[Total]]</f>
        <v>#N/A</v>
      </c>
      <c r="V5650" s="282" t="e">
        <f>+Tabla4[[#This Row],[Comisión Calculada]]*Tabla4[[#This Row],[Total]]</f>
        <v>#N/A</v>
      </c>
    </row>
    <row r="5651" spans="1:22" hidden="1" x14ac:dyDescent="0.25">
      <c r="A5651" s="100">
        <v>45915</v>
      </c>
      <c r="B5651" t="str">
        <f t="shared" si="273"/>
        <v>September</v>
      </c>
      <c r="C5651" s="46" t="s">
        <v>280</v>
      </c>
      <c r="F5651" s="366" t="s">
        <v>2910</v>
      </c>
      <c r="G5651" s="46" t="s">
        <v>208</v>
      </c>
      <c r="H5651" s="46">
        <v>1</v>
      </c>
      <c r="I5651" s="51">
        <v>189.75</v>
      </c>
      <c r="J5651" s="281">
        <f>++Tabla4[[#This Row],[Precio Bruto]]*1.16</f>
        <v>220.10999999999999</v>
      </c>
      <c r="K5651" s="281">
        <f>+Tabla4[[#This Row],[Precio Unitario Neto]]*Tabla4[[#Headers],[20.85%]]</f>
        <v>45.892934999999994</v>
      </c>
      <c r="L5651" s="282">
        <f>++Tabla4[[#This Row],[Precio Unitario Neto]]-Tabla4[[#This Row],[20.85%]]</f>
        <v>174.21706499999999</v>
      </c>
      <c r="M5651" s="282" t="e">
        <f>(INDEX(Tabla6[#All],MATCH(Tabla4[[#This Row],[Producto]],Tabla6[[#All],[PRODUCTO]],0),MATCH(Tabla4[[#This Row],[Mes]],Tabla6[#Headers],0)))*(1+Catalogos!$L$2)</f>
        <v>#N/A</v>
      </c>
      <c r="N5651" s="283" t="e">
        <f>+(Tabla4[[#This Row],[Precio Descontado]]-Tabla4[[#This Row],[Precio Base]])*Tabla4[[#This Row],[Cantidad]]</f>
        <v>#N/A</v>
      </c>
      <c r="O5651" s="284" t="e">
        <f>++Tabla4[[#This Row],[Utilidad Total]]/Tabla4[[#This Row],[Total]]</f>
        <v>#N/A</v>
      </c>
      <c r="P5651" s="282">
        <f>++Tabla4[[#This Row],[Precio Descontado]]*Tabla4[[#This Row],[Cantidad]]</f>
        <v>174.21706499999999</v>
      </c>
      <c r="Q5651" s="282" t="e">
        <f>(INDEX(Tabla6[#All],MATCH(Tabla4[[#This Row],[Producto]],Tabla6[[#All],[PRODUCTO]],0),MATCH(Tabla4[[#This Row],[Mes]],Tabla6[#Headers],0)))</f>
        <v>#N/A</v>
      </c>
      <c r="R5651" s="282" t="e">
        <f>++Tabla4[[#This Row],[Precio Unitario Neto]]-Tabla4[[#This Row],[20.85%]]-Tabla4[[#This Row],[Costo]]</f>
        <v>#N/A</v>
      </c>
      <c r="S5651" s="282" t="e">
        <f>++Tabla4[[#This Row],[U. Bruta Uni]]*Tabla4[[#This Row],[Cantidad]]</f>
        <v>#N/A</v>
      </c>
      <c r="T5651" s="369" t="str">
        <f>VLOOKUP(Tabla4[[#This Row],[Producto]],Tabla6[#All],14,FALSE)</f>
        <v>Termico Solar</v>
      </c>
      <c r="U5651" s="284" t="e">
        <f>(IF(Tabla4[[#This Row],[Familia]]="termico solar",Tabla4[[#This Row],[Utilidad Total]]*6%,Tabla4[[#This Row],[Utilidad Total]]*11.5%))/Tabla4[[#This Row],[Total]]</f>
        <v>#N/A</v>
      </c>
      <c r="V5651" s="282" t="e">
        <f>+Tabla4[[#This Row],[Comisión Calculada]]*Tabla4[[#This Row],[Total]]</f>
        <v>#N/A</v>
      </c>
    </row>
    <row r="5652" spans="1:22" hidden="1" x14ac:dyDescent="0.25">
      <c r="A5652" s="100">
        <v>45915</v>
      </c>
      <c r="B5652" t="str">
        <f t="shared" si="273"/>
        <v>September</v>
      </c>
      <c r="C5652" s="46" t="s">
        <v>280</v>
      </c>
      <c r="F5652" s="366" t="s">
        <v>2911</v>
      </c>
      <c r="G5652" s="46" t="s">
        <v>17</v>
      </c>
      <c r="H5652" s="46">
        <v>2</v>
      </c>
      <c r="I5652" s="51">
        <v>4622.28</v>
      </c>
      <c r="J5652" s="281">
        <f>++Tabla4[[#This Row],[Precio Bruto]]*1.16</f>
        <v>5361.8447999999989</v>
      </c>
      <c r="K5652" s="281">
        <f>+Tabla4[[#This Row],[Precio Unitario Neto]]*Tabla4[[#Headers],[20.85%]]</f>
        <v>1117.9446407999997</v>
      </c>
      <c r="L5652" s="282">
        <f>++Tabla4[[#This Row],[Precio Unitario Neto]]-Tabla4[[#This Row],[20.85%]]</f>
        <v>4243.9001591999995</v>
      </c>
      <c r="M5652" s="282" t="e">
        <f>(INDEX(Tabla6[#All],MATCH(Tabla4[[#This Row],[Producto]],Tabla6[[#All],[PRODUCTO]],0),MATCH(Tabla4[[#This Row],[Mes]],Tabla6[#Headers],0)))*(1+Catalogos!$L$2)</f>
        <v>#N/A</v>
      </c>
      <c r="N5652" s="283" t="e">
        <f>+(Tabla4[[#This Row],[Precio Descontado]]-Tabla4[[#This Row],[Precio Base]])*Tabla4[[#This Row],[Cantidad]]</f>
        <v>#N/A</v>
      </c>
      <c r="O5652" s="284" t="e">
        <f>++Tabla4[[#This Row],[Utilidad Total]]/Tabla4[[#This Row],[Total]]</f>
        <v>#N/A</v>
      </c>
      <c r="P5652" s="282">
        <f>++Tabla4[[#This Row],[Precio Descontado]]*Tabla4[[#This Row],[Cantidad]]</f>
        <v>8487.800318399999</v>
      </c>
      <c r="Q5652" s="282" t="e">
        <f>(INDEX(Tabla6[#All],MATCH(Tabla4[[#This Row],[Producto]],Tabla6[[#All],[PRODUCTO]],0),MATCH(Tabla4[[#This Row],[Mes]],Tabla6[#Headers],0)))</f>
        <v>#N/A</v>
      </c>
      <c r="R5652" s="282" t="e">
        <f>++Tabla4[[#This Row],[Precio Unitario Neto]]-Tabla4[[#This Row],[20.85%]]-Tabla4[[#This Row],[Costo]]</f>
        <v>#N/A</v>
      </c>
      <c r="S5652" s="282" t="e">
        <f>++Tabla4[[#This Row],[U. Bruta Uni]]*Tabla4[[#This Row],[Cantidad]]</f>
        <v>#N/A</v>
      </c>
      <c r="T5652" s="369" t="str">
        <f>VLOOKUP(Tabla4[[#This Row],[Producto]],Tabla6[#All],14,FALSE)</f>
        <v>Termico Solar</v>
      </c>
      <c r="U5652" s="284" t="e">
        <f>(IF(Tabla4[[#This Row],[Familia]]="termico solar",Tabla4[[#This Row],[Utilidad Total]]*6%,Tabla4[[#This Row],[Utilidad Total]]*11.5%))/Tabla4[[#This Row],[Total]]</f>
        <v>#N/A</v>
      </c>
      <c r="V5652" s="282" t="e">
        <f>+Tabla4[[#This Row],[Comisión Calculada]]*Tabla4[[#This Row],[Total]]</f>
        <v>#N/A</v>
      </c>
    </row>
    <row r="5653" spans="1:22" hidden="1" x14ac:dyDescent="0.25">
      <c r="A5653" s="100">
        <v>45915</v>
      </c>
      <c r="B5653" t="str">
        <f t="shared" si="273"/>
        <v>September</v>
      </c>
      <c r="C5653" s="46" t="s">
        <v>280</v>
      </c>
      <c r="F5653" s="366" t="s">
        <v>2911</v>
      </c>
      <c r="G5653" s="46" t="s">
        <v>18</v>
      </c>
      <c r="H5653" s="46">
        <v>1</v>
      </c>
      <c r="I5653" s="51">
        <v>5367.65</v>
      </c>
      <c r="J5653" s="281">
        <f>++Tabla4[[#This Row],[Precio Bruto]]*1.16</f>
        <v>6226.4739999999993</v>
      </c>
      <c r="K5653" s="281">
        <f>+Tabla4[[#This Row],[Precio Unitario Neto]]*Tabla4[[#Headers],[20.85%]]</f>
        <v>1298.2198289999999</v>
      </c>
      <c r="L5653" s="282">
        <f>++Tabla4[[#This Row],[Precio Unitario Neto]]-Tabla4[[#This Row],[20.85%]]</f>
        <v>4928.2541709999996</v>
      </c>
      <c r="M5653" s="282" t="e">
        <f>(INDEX(Tabla6[#All],MATCH(Tabla4[[#This Row],[Producto]],Tabla6[[#All],[PRODUCTO]],0),MATCH(Tabla4[[#This Row],[Mes]],Tabla6[#Headers],0)))*(1+Catalogos!$L$2)</f>
        <v>#N/A</v>
      </c>
      <c r="N5653" s="283" t="e">
        <f>+(Tabla4[[#This Row],[Precio Descontado]]-Tabla4[[#This Row],[Precio Base]])*Tabla4[[#This Row],[Cantidad]]</f>
        <v>#N/A</v>
      </c>
      <c r="O5653" s="284" t="e">
        <f>++Tabla4[[#This Row],[Utilidad Total]]/Tabla4[[#This Row],[Total]]</f>
        <v>#N/A</v>
      </c>
      <c r="P5653" s="282">
        <f>++Tabla4[[#This Row],[Precio Descontado]]*Tabla4[[#This Row],[Cantidad]]</f>
        <v>4928.2541709999996</v>
      </c>
      <c r="Q5653" s="282" t="e">
        <f>(INDEX(Tabla6[#All],MATCH(Tabla4[[#This Row],[Producto]],Tabla6[[#All],[PRODUCTO]],0),MATCH(Tabla4[[#This Row],[Mes]],Tabla6[#Headers],0)))</f>
        <v>#N/A</v>
      </c>
      <c r="R5653" s="282" t="e">
        <f>++Tabla4[[#This Row],[Precio Unitario Neto]]-Tabla4[[#This Row],[20.85%]]-Tabla4[[#This Row],[Costo]]</f>
        <v>#N/A</v>
      </c>
      <c r="S5653" s="282" t="e">
        <f>++Tabla4[[#This Row],[U. Bruta Uni]]*Tabla4[[#This Row],[Cantidad]]</f>
        <v>#N/A</v>
      </c>
      <c r="T5653" s="369" t="str">
        <f>VLOOKUP(Tabla4[[#This Row],[Producto]],Tabla6[#All],14,FALSE)</f>
        <v>Termico Solar</v>
      </c>
      <c r="U5653" s="284" t="e">
        <f>(IF(Tabla4[[#This Row],[Familia]]="termico solar",Tabla4[[#This Row],[Utilidad Total]]*6%,Tabla4[[#This Row],[Utilidad Total]]*11.5%))/Tabla4[[#This Row],[Total]]</f>
        <v>#N/A</v>
      </c>
      <c r="V5653" s="282" t="e">
        <f>+Tabla4[[#This Row],[Comisión Calculada]]*Tabla4[[#This Row],[Total]]</f>
        <v>#N/A</v>
      </c>
    </row>
    <row r="5654" spans="1:22" hidden="1" x14ac:dyDescent="0.25">
      <c r="A5654" s="100">
        <v>45915</v>
      </c>
      <c r="B5654" t="str">
        <f t="shared" si="273"/>
        <v>September</v>
      </c>
      <c r="C5654" s="46" t="s">
        <v>280</v>
      </c>
      <c r="F5654" s="366" t="s">
        <v>2911</v>
      </c>
      <c r="G5654" s="46" t="s">
        <v>19</v>
      </c>
      <c r="H5654" s="46">
        <v>1</v>
      </c>
      <c r="I5654" s="51">
        <v>6412.03</v>
      </c>
      <c r="J5654" s="281">
        <f>++Tabla4[[#This Row],[Precio Bruto]]*1.16</f>
        <v>7437.9547999999995</v>
      </c>
      <c r="K5654" s="281">
        <f>+Tabla4[[#This Row],[Precio Unitario Neto]]*Tabla4[[#Headers],[20.85%]]</f>
        <v>1550.8135757999999</v>
      </c>
      <c r="L5654" s="282">
        <f>++Tabla4[[#This Row],[Precio Unitario Neto]]-Tabla4[[#This Row],[20.85%]]</f>
        <v>5887.1412241999997</v>
      </c>
      <c r="M5654" s="282" t="e">
        <f>(INDEX(Tabla6[#All],MATCH(Tabla4[[#This Row],[Producto]],Tabla6[[#All],[PRODUCTO]],0),MATCH(Tabla4[[#This Row],[Mes]],Tabla6[#Headers],0)))*(1+Catalogos!$L$2)</f>
        <v>#N/A</v>
      </c>
      <c r="N5654" s="283" t="e">
        <f>+(Tabla4[[#This Row],[Precio Descontado]]-Tabla4[[#This Row],[Precio Base]])*Tabla4[[#This Row],[Cantidad]]</f>
        <v>#N/A</v>
      </c>
      <c r="O5654" s="284" t="e">
        <f>++Tabla4[[#This Row],[Utilidad Total]]/Tabla4[[#This Row],[Total]]</f>
        <v>#N/A</v>
      </c>
      <c r="P5654" s="282">
        <f>++Tabla4[[#This Row],[Precio Descontado]]*Tabla4[[#This Row],[Cantidad]]</f>
        <v>5887.1412241999997</v>
      </c>
      <c r="Q5654" s="282" t="e">
        <f>(INDEX(Tabla6[#All],MATCH(Tabla4[[#This Row],[Producto]],Tabla6[[#All],[PRODUCTO]],0),MATCH(Tabla4[[#This Row],[Mes]],Tabla6[#Headers],0)))</f>
        <v>#N/A</v>
      </c>
      <c r="R5654" s="282" t="e">
        <f>++Tabla4[[#This Row],[Precio Unitario Neto]]-Tabla4[[#This Row],[20.85%]]-Tabla4[[#This Row],[Costo]]</f>
        <v>#N/A</v>
      </c>
      <c r="S5654" s="282" t="e">
        <f>++Tabla4[[#This Row],[U. Bruta Uni]]*Tabla4[[#This Row],[Cantidad]]</f>
        <v>#N/A</v>
      </c>
      <c r="T5654" s="369" t="str">
        <f>VLOOKUP(Tabla4[[#This Row],[Producto]],Tabla6[#All],14,FALSE)</f>
        <v>Termico Solar</v>
      </c>
      <c r="U5654" s="284" t="e">
        <f>(IF(Tabla4[[#This Row],[Familia]]="termico solar",Tabla4[[#This Row],[Utilidad Total]]*6%,Tabla4[[#This Row],[Utilidad Total]]*11.5%))/Tabla4[[#This Row],[Total]]</f>
        <v>#N/A</v>
      </c>
      <c r="V5654" s="282" t="e">
        <f>+Tabla4[[#This Row],[Comisión Calculada]]*Tabla4[[#This Row],[Total]]</f>
        <v>#N/A</v>
      </c>
    </row>
    <row r="5655" spans="1:22" hidden="1" x14ac:dyDescent="0.25">
      <c r="A5655" s="100">
        <v>45915</v>
      </c>
      <c r="B5655" t="str">
        <f t="shared" si="273"/>
        <v>September</v>
      </c>
      <c r="C5655" s="46" t="s">
        <v>280</v>
      </c>
      <c r="F5655" s="366" t="s">
        <v>2911</v>
      </c>
      <c r="G5655" s="46" t="s">
        <v>16</v>
      </c>
      <c r="H5655" s="46">
        <v>1</v>
      </c>
      <c r="I5655" s="51">
        <v>4103.8500000000004</v>
      </c>
      <c r="J5655" s="281">
        <f>++Tabla4[[#This Row],[Precio Bruto]]*1.16</f>
        <v>4760.4660000000003</v>
      </c>
      <c r="K5655" s="281">
        <f>+Tabla4[[#This Row],[Precio Unitario Neto]]*Tabla4[[#Headers],[20.85%]]</f>
        <v>992.55716100000006</v>
      </c>
      <c r="L5655" s="282">
        <f>++Tabla4[[#This Row],[Precio Unitario Neto]]-Tabla4[[#This Row],[20.85%]]</f>
        <v>3767.9088390000002</v>
      </c>
      <c r="M5655" s="282" t="e">
        <f>(INDEX(Tabla6[#All],MATCH(Tabla4[[#This Row],[Producto]],Tabla6[[#All],[PRODUCTO]],0),MATCH(Tabla4[[#This Row],[Mes]],Tabla6[#Headers],0)))*(1+Catalogos!$L$2)</f>
        <v>#N/A</v>
      </c>
      <c r="N5655" s="283" t="e">
        <f>+(Tabla4[[#This Row],[Precio Descontado]]-Tabla4[[#This Row],[Precio Base]])*Tabla4[[#This Row],[Cantidad]]</f>
        <v>#N/A</v>
      </c>
      <c r="O5655" s="284" t="e">
        <f>++Tabla4[[#This Row],[Utilidad Total]]/Tabla4[[#This Row],[Total]]</f>
        <v>#N/A</v>
      </c>
      <c r="P5655" s="282">
        <f>++Tabla4[[#This Row],[Precio Descontado]]*Tabla4[[#This Row],[Cantidad]]</f>
        <v>3767.9088390000002</v>
      </c>
      <c r="Q5655" s="282" t="e">
        <f>(INDEX(Tabla6[#All],MATCH(Tabla4[[#This Row],[Producto]],Tabla6[[#All],[PRODUCTO]],0),MATCH(Tabla4[[#This Row],[Mes]],Tabla6[#Headers],0)))</f>
        <v>#N/A</v>
      </c>
      <c r="R5655" s="282" t="e">
        <f>++Tabla4[[#This Row],[Precio Unitario Neto]]-Tabla4[[#This Row],[20.85%]]-Tabla4[[#This Row],[Costo]]</f>
        <v>#N/A</v>
      </c>
      <c r="S5655" s="282" t="e">
        <f>++Tabla4[[#This Row],[U. Bruta Uni]]*Tabla4[[#This Row],[Cantidad]]</f>
        <v>#N/A</v>
      </c>
      <c r="T5655" s="369" t="str">
        <f>VLOOKUP(Tabla4[[#This Row],[Producto]],Tabla6[#All],14,FALSE)</f>
        <v>Termico Solar</v>
      </c>
      <c r="U5655" s="284" t="e">
        <f>(IF(Tabla4[[#This Row],[Familia]]="termico solar",Tabla4[[#This Row],[Utilidad Total]]*6%,Tabla4[[#This Row],[Utilidad Total]]*11.5%))/Tabla4[[#This Row],[Total]]</f>
        <v>#N/A</v>
      </c>
      <c r="V5655" s="282" t="e">
        <f>+Tabla4[[#This Row],[Comisión Calculada]]*Tabla4[[#This Row],[Total]]</f>
        <v>#N/A</v>
      </c>
    </row>
    <row r="5656" spans="1:22" hidden="1" x14ac:dyDescent="0.25">
      <c r="A5656" s="100">
        <v>45915</v>
      </c>
      <c r="B5656" t="str">
        <f t="shared" si="273"/>
        <v>September</v>
      </c>
      <c r="C5656" s="46" t="s">
        <v>280</v>
      </c>
      <c r="F5656" s="366" t="s">
        <v>2911</v>
      </c>
      <c r="G5656" s="46" t="s">
        <v>208</v>
      </c>
      <c r="H5656" s="46">
        <v>1</v>
      </c>
      <c r="I5656" s="51">
        <v>189.75</v>
      </c>
      <c r="J5656" s="281">
        <f>++Tabla4[[#This Row],[Precio Bruto]]*1.16</f>
        <v>220.10999999999999</v>
      </c>
      <c r="K5656" s="281">
        <f>+Tabla4[[#This Row],[Precio Unitario Neto]]*Tabla4[[#Headers],[20.85%]]</f>
        <v>45.892934999999994</v>
      </c>
      <c r="L5656" s="282">
        <f>++Tabla4[[#This Row],[Precio Unitario Neto]]-Tabla4[[#This Row],[20.85%]]</f>
        <v>174.21706499999999</v>
      </c>
      <c r="M5656" s="282" t="e">
        <f>(INDEX(Tabla6[#All],MATCH(Tabla4[[#This Row],[Producto]],Tabla6[[#All],[PRODUCTO]],0),MATCH(Tabla4[[#This Row],[Mes]],Tabla6[#Headers],0)))*(1+Catalogos!$L$2)</f>
        <v>#N/A</v>
      </c>
      <c r="N5656" s="283" t="e">
        <f>+(Tabla4[[#This Row],[Precio Descontado]]-Tabla4[[#This Row],[Precio Base]])*Tabla4[[#This Row],[Cantidad]]</f>
        <v>#N/A</v>
      </c>
      <c r="O5656" s="284" t="e">
        <f>++Tabla4[[#This Row],[Utilidad Total]]/Tabla4[[#This Row],[Total]]</f>
        <v>#N/A</v>
      </c>
      <c r="P5656" s="282">
        <f>++Tabla4[[#This Row],[Precio Descontado]]*Tabla4[[#This Row],[Cantidad]]</f>
        <v>174.21706499999999</v>
      </c>
      <c r="Q5656" s="282" t="e">
        <f>(INDEX(Tabla6[#All],MATCH(Tabla4[[#This Row],[Producto]],Tabla6[[#All],[PRODUCTO]],0),MATCH(Tabla4[[#This Row],[Mes]],Tabla6[#Headers],0)))</f>
        <v>#N/A</v>
      </c>
      <c r="R5656" s="282" t="e">
        <f>++Tabla4[[#This Row],[Precio Unitario Neto]]-Tabla4[[#This Row],[20.85%]]-Tabla4[[#This Row],[Costo]]</f>
        <v>#N/A</v>
      </c>
      <c r="S5656" s="282" t="e">
        <f>++Tabla4[[#This Row],[U. Bruta Uni]]*Tabla4[[#This Row],[Cantidad]]</f>
        <v>#N/A</v>
      </c>
      <c r="T5656" s="369" t="str">
        <f>VLOOKUP(Tabla4[[#This Row],[Producto]],Tabla6[#All],14,FALSE)</f>
        <v>Termico Solar</v>
      </c>
      <c r="U5656" s="284" t="e">
        <f>(IF(Tabla4[[#This Row],[Familia]]="termico solar",Tabla4[[#This Row],[Utilidad Total]]*6%,Tabla4[[#This Row],[Utilidad Total]]*11.5%))/Tabla4[[#This Row],[Total]]</f>
        <v>#N/A</v>
      </c>
      <c r="V5656" s="282" t="e">
        <f>+Tabla4[[#This Row],[Comisión Calculada]]*Tabla4[[#This Row],[Total]]</f>
        <v>#N/A</v>
      </c>
    </row>
    <row r="5657" spans="1:22" hidden="1" x14ac:dyDescent="0.25">
      <c r="A5657" s="100">
        <v>45915</v>
      </c>
      <c r="B5657" t="str">
        <f t="shared" si="273"/>
        <v>September</v>
      </c>
      <c r="C5657" s="46" t="s">
        <v>280</v>
      </c>
      <c r="F5657" s="366" t="s">
        <v>2912</v>
      </c>
      <c r="G5657" s="46" t="s">
        <v>17</v>
      </c>
      <c r="H5657" s="46">
        <v>1</v>
      </c>
      <c r="I5657" s="51">
        <v>4622.28</v>
      </c>
      <c r="J5657" s="281">
        <f>++Tabla4[[#This Row],[Precio Bruto]]*1.16</f>
        <v>5361.8447999999989</v>
      </c>
      <c r="K5657" s="281">
        <f>+Tabla4[[#This Row],[Precio Unitario Neto]]*Tabla4[[#Headers],[20.85%]]</f>
        <v>1117.9446407999997</v>
      </c>
      <c r="L5657" s="282">
        <f>++Tabla4[[#This Row],[Precio Unitario Neto]]-Tabla4[[#This Row],[20.85%]]</f>
        <v>4243.9001591999995</v>
      </c>
      <c r="M5657" s="282" t="e">
        <f>(INDEX(Tabla6[#All],MATCH(Tabla4[[#This Row],[Producto]],Tabla6[[#All],[PRODUCTO]],0),MATCH(Tabla4[[#This Row],[Mes]],Tabla6[#Headers],0)))*(1+Catalogos!$L$2)</f>
        <v>#N/A</v>
      </c>
      <c r="N5657" s="283" t="e">
        <f>+(Tabla4[[#This Row],[Precio Descontado]]-Tabla4[[#This Row],[Precio Base]])*Tabla4[[#This Row],[Cantidad]]</f>
        <v>#N/A</v>
      </c>
      <c r="O5657" s="284" t="e">
        <f>++Tabla4[[#This Row],[Utilidad Total]]/Tabla4[[#This Row],[Total]]</f>
        <v>#N/A</v>
      </c>
      <c r="P5657" s="282">
        <f>++Tabla4[[#This Row],[Precio Descontado]]*Tabla4[[#This Row],[Cantidad]]</f>
        <v>4243.9001591999995</v>
      </c>
      <c r="Q5657" s="282" t="e">
        <f>(INDEX(Tabla6[#All],MATCH(Tabla4[[#This Row],[Producto]],Tabla6[[#All],[PRODUCTO]],0),MATCH(Tabla4[[#This Row],[Mes]],Tabla6[#Headers],0)))</f>
        <v>#N/A</v>
      </c>
      <c r="R5657" s="282" t="e">
        <f>++Tabla4[[#This Row],[Precio Unitario Neto]]-Tabla4[[#This Row],[20.85%]]-Tabla4[[#This Row],[Costo]]</f>
        <v>#N/A</v>
      </c>
      <c r="S5657" s="282" t="e">
        <f>++Tabla4[[#This Row],[U. Bruta Uni]]*Tabla4[[#This Row],[Cantidad]]</f>
        <v>#N/A</v>
      </c>
      <c r="T5657" s="369" t="str">
        <f>VLOOKUP(Tabla4[[#This Row],[Producto]],Tabla6[#All],14,FALSE)</f>
        <v>Termico Solar</v>
      </c>
      <c r="U5657" s="284" t="e">
        <f>(IF(Tabla4[[#This Row],[Familia]]="termico solar",Tabla4[[#This Row],[Utilidad Total]]*6%,Tabla4[[#This Row],[Utilidad Total]]*11.5%))/Tabla4[[#This Row],[Total]]</f>
        <v>#N/A</v>
      </c>
      <c r="V5657" s="282" t="e">
        <f>+Tabla4[[#This Row],[Comisión Calculada]]*Tabla4[[#This Row],[Total]]</f>
        <v>#N/A</v>
      </c>
    </row>
    <row r="5658" spans="1:22" hidden="1" x14ac:dyDescent="0.25">
      <c r="A5658" s="100">
        <v>45915</v>
      </c>
      <c r="B5658" t="str">
        <f t="shared" si="273"/>
        <v>September</v>
      </c>
      <c r="C5658" s="46" t="s">
        <v>280</v>
      </c>
      <c r="F5658" s="366" t="s">
        <v>2912</v>
      </c>
      <c r="G5658" s="46" t="s">
        <v>18</v>
      </c>
      <c r="H5658" s="46">
        <v>1</v>
      </c>
      <c r="I5658" s="51">
        <v>5367.65</v>
      </c>
      <c r="J5658" s="281">
        <f>++Tabla4[[#This Row],[Precio Bruto]]*1.16</f>
        <v>6226.4739999999993</v>
      </c>
      <c r="K5658" s="281">
        <f>+Tabla4[[#This Row],[Precio Unitario Neto]]*Tabla4[[#Headers],[20.85%]]</f>
        <v>1298.2198289999999</v>
      </c>
      <c r="L5658" s="282">
        <f>++Tabla4[[#This Row],[Precio Unitario Neto]]-Tabla4[[#This Row],[20.85%]]</f>
        <v>4928.2541709999996</v>
      </c>
      <c r="M5658" s="282" t="e">
        <f>(INDEX(Tabla6[#All],MATCH(Tabla4[[#This Row],[Producto]],Tabla6[[#All],[PRODUCTO]],0),MATCH(Tabla4[[#This Row],[Mes]],Tabla6[#Headers],0)))*(1+Catalogos!$L$2)</f>
        <v>#N/A</v>
      </c>
      <c r="N5658" s="283" t="e">
        <f>+(Tabla4[[#This Row],[Precio Descontado]]-Tabla4[[#This Row],[Precio Base]])*Tabla4[[#This Row],[Cantidad]]</f>
        <v>#N/A</v>
      </c>
      <c r="O5658" s="284" t="e">
        <f>++Tabla4[[#This Row],[Utilidad Total]]/Tabla4[[#This Row],[Total]]</f>
        <v>#N/A</v>
      </c>
      <c r="P5658" s="282">
        <f>++Tabla4[[#This Row],[Precio Descontado]]*Tabla4[[#This Row],[Cantidad]]</f>
        <v>4928.2541709999996</v>
      </c>
      <c r="Q5658" s="282" t="e">
        <f>(INDEX(Tabla6[#All],MATCH(Tabla4[[#This Row],[Producto]],Tabla6[[#All],[PRODUCTO]],0),MATCH(Tabla4[[#This Row],[Mes]],Tabla6[#Headers],0)))</f>
        <v>#N/A</v>
      </c>
      <c r="R5658" s="282" t="e">
        <f>++Tabla4[[#This Row],[Precio Unitario Neto]]-Tabla4[[#This Row],[20.85%]]-Tabla4[[#This Row],[Costo]]</f>
        <v>#N/A</v>
      </c>
      <c r="S5658" s="282" t="e">
        <f>++Tabla4[[#This Row],[U. Bruta Uni]]*Tabla4[[#This Row],[Cantidad]]</f>
        <v>#N/A</v>
      </c>
      <c r="T5658" s="369" t="str">
        <f>VLOOKUP(Tabla4[[#This Row],[Producto]],Tabla6[#All],14,FALSE)</f>
        <v>Termico Solar</v>
      </c>
      <c r="U5658" s="284" t="e">
        <f>(IF(Tabla4[[#This Row],[Familia]]="termico solar",Tabla4[[#This Row],[Utilidad Total]]*6%,Tabla4[[#This Row],[Utilidad Total]]*11.5%))/Tabla4[[#This Row],[Total]]</f>
        <v>#N/A</v>
      </c>
      <c r="V5658" s="282" t="e">
        <f>+Tabla4[[#This Row],[Comisión Calculada]]*Tabla4[[#This Row],[Total]]</f>
        <v>#N/A</v>
      </c>
    </row>
    <row r="5659" spans="1:22" hidden="1" x14ac:dyDescent="0.25">
      <c r="A5659" s="100">
        <v>45915</v>
      </c>
      <c r="B5659" t="str">
        <f t="shared" si="273"/>
        <v>September</v>
      </c>
      <c r="C5659" s="46" t="s">
        <v>280</v>
      </c>
      <c r="F5659" s="366" t="s">
        <v>2912</v>
      </c>
      <c r="G5659" s="46" t="s">
        <v>16</v>
      </c>
      <c r="H5659" s="46">
        <v>1</v>
      </c>
      <c r="I5659" s="51">
        <v>4103.8500000000004</v>
      </c>
      <c r="J5659" s="281">
        <f>++Tabla4[[#This Row],[Precio Bruto]]*1.16</f>
        <v>4760.4660000000003</v>
      </c>
      <c r="K5659" s="281">
        <f>+Tabla4[[#This Row],[Precio Unitario Neto]]*Tabla4[[#Headers],[20.85%]]</f>
        <v>992.55716100000006</v>
      </c>
      <c r="L5659" s="282">
        <f>++Tabla4[[#This Row],[Precio Unitario Neto]]-Tabla4[[#This Row],[20.85%]]</f>
        <v>3767.9088390000002</v>
      </c>
      <c r="M5659" s="282" t="e">
        <f>(INDEX(Tabla6[#All],MATCH(Tabla4[[#This Row],[Producto]],Tabla6[[#All],[PRODUCTO]],0),MATCH(Tabla4[[#This Row],[Mes]],Tabla6[#Headers],0)))*(1+Catalogos!$L$2)</f>
        <v>#N/A</v>
      </c>
      <c r="N5659" s="283" t="e">
        <f>+(Tabla4[[#This Row],[Precio Descontado]]-Tabla4[[#This Row],[Precio Base]])*Tabla4[[#This Row],[Cantidad]]</f>
        <v>#N/A</v>
      </c>
      <c r="O5659" s="284" t="e">
        <f>++Tabla4[[#This Row],[Utilidad Total]]/Tabla4[[#This Row],[Total]]</f>
        <v>#N/A</v>
      </c>
      <c r="P5659" s="282">
        <f>++Tabla4[[#This Row],[Precio Descontado]]*Tabla4[[#This Row],[Cantidad]]</f>
        <v>3767.9088390000002</v>
      </c>
      <c r="Q5659" s="282" t="e">
        <f>(INDEX(Tabla6[#All],MATCH(Tabla4[[#This Row],[Producto]],Tabla6[[#All],[PRODUCTO]],0),MATCH(Tabla4[[#This Row],[Mes]],Tabla6[#Headers],0)))</f>
        <v>#N/A</v>
      </c>
      <c r="R5659" s="282" t="e">
        <f>++Tabla4[[#This Row],[Precio Unitario Neto]]-Tabla4[[#This Row],[20.85%]]-Tabla4[[#This Row],[Costo]]</f>
        <v>#N/A</v>
      </c>
      <c r="S5659" s="282" t="e">
        <f>++Tabla4[[#This Row],[U. Bruta Uni]]*Tabla4[[#This Row],[Cantidad]]</f>
        <v>#N/A</v>
      </c>
      <c r="T5659" s="369" t="str">
        <f>VLOOKUP(Tabla4[[#This Row],[Producto]],Tabla6[#All],14,FALSE)</f>
        <v>Termico Solar</v>
      </c>
      <c r="U5659" s="284" t="e">
        <f>(IF(Tabla4[[#This Row],[Familia]]="termico solar",Tabla4[[#This Row],[Utilidad Total]]*6%,Tabla4[[#This Row],[Utilidad Total]]*11.5%))/Tabla4[[#This Row],[Total]]</f>
        <v>#N/A</v>
      </c>
      <c r="V5659" s="282" t="e">
        <f>+Tabla4[[#This Row],[Comisión Calculada]]*Tabla4[[#This Row],[Total]]</f>
        <v>#N/A</v>
      </c>
    </row>
    <row r="5660" spans="1:22" hidden="1" x14ac:dyDescent="0.25">
      <c r="A5660" s="100">
        <v>45915</v>
      </c>
      <c r="B5660" t="str">
        <f t="shared" si="273"/>
        <v>September</v>
      </c>
      <c r="C5660" s="46" t="s">
        <v>280</v>
      </c>
      <c r="F5660" s="366" t="s">
        <v>2913</v>
      </c>
      <c r="G5660" s="46" t="s">
        <v>83</v>
      </c>
      <c r="H5660" s="46">
        <v>3</v>
      </c>
      <c r="I5660" s="51">
        <v>8858.76</v>
      </c>
      <c r="J5660" s="281">
        <f>++Tabla4[[#This Row],[Precio Bruto]]*1.16</f>
        <v>10276.161599999999</v>
      </c>
      <c r="K5660" s="281">
        <f>+Tabla4[[#This Row],[Precio Unitario Neto]]*Tabla4[[#Headers],[20.85%]]</f>
        <v>2142.5796935999997</v>
      </c>
      <c r="L5660" s="282">
        <f>++Tabla4[[#This Row],[Precio Unitario Neto]]-Tabla4[[#This Row],[20.85%]]</f>
        <v>8133.5819063999998</v>
      </c>
      <c r="M5660" s="282" t="e">
        <f>(INDEX(Tabla6[#All],MATCH(Tabla4[[#This Row],[Producto]],Tabla6[[#All],[PRODUCTO]],0),MATCH(Tabla4[[#This Row],[Mes]],Tabla6[#Headers],0)))*(1+Catalogos!$L$2)</f>
        <v>#N/A</v>
      </c>
      <c r="N5660" s="283" t="e">
        <f>+(Tabla4[[#This Row],[Precio Descontado]]-Tabla4[[#This Row],[Precio Base]])*Tabla4[[#This Row],[Cantidad]]</f>
        <v>#N/A</v>
      </c>
      <c r="O5660" s="284" t="e">
        <f>++Tabla4[[#This Row],[Utilidad Total]]/Tabla4[[#This Row],[Total]]</f>
        <v>#N/A</v>
      </c>
      <c r="P5660" s="282">
        <f>++Tabla4[[#This Row],[Precio Descontado]]*Tabla4[[#This Row],[Cantidad]]</f>
        <v>24400.7457192</v>
      </c>
      <c r="Q5660" s="282" t="e">
        <f>(INDEX(Tabla6[#All],MATCH(Tabla4[[#This Row],[Producto]],Tabla6[[#All],[PRODUCTO]],0),MATCH(Tabla4[[#This Row],[Mes]],Tabla6[#Headers],0)))</f>
        <v>#N/A</v>
      </c>
      <c r="R5660" s="282" t="e">
        <f>++Tabla4[[#This Row],[Precio Unitario Neto]]-Tabla4[[#This Row],[20.85%]]-Tabla4[[#This Row],[Costo]]</f>
        <v>#N/A</v>
      </c>
      <c r="S5660" s="282" t="e">
        <f>++Tabla4[[#This Row],[U. Bruta Uni]]*Tabla4[[#This Row],[Cantidad]]</f>
        <v>#N/A</v>
      </c>
      <c r="T5660" s="369" t="str">
        <f>VLOOKUP(Tabla4[[#This Row],[Producto]],Tabla6[#All],14,FALSE)</f>
        <v>Termico Solar</v>
      </c>
      <c r="U5660" s="284" t="e">
        <f>(IF(Tabla4[[#This Row],[Familia]]="termico solar",Tabla4[[#This Row],[Utilidad Total]]*6%,Tabla4[[#This Row],[Utilidad Total]]*11.5%))/Tabla4[[#This Row],[Total]]</f>
        <v>#N/A</v>
      </c>
      <c r="V5660" s="282" t="e">
        <f>+Tabla4[[#This Row],[Comisión Calculada]]*Tabla4[[#This Row],[Total]]</f>
        <v>#N/A</v>
      </c>
    </row>
    <row r="5661" spans="1:22" hidden="1" x14ac:dyDescent="0.25">
      <c r="A5661" s="100">
        <v>45915</v>
      </c>
      <c r="B5661" t="str">
        <f t="shared" si="273"/>
        <v>September</v>
      </c>
      <c r="C5661" s="46" t="s">
        <v>280</v>
      </c>
      <c r="F5661" s="366" t="s">
        <v>2913</v>
      </c>
      <c r="G5661" s="46" t="s">
        <v>17</v>
      </c>
      <c r="H5661" s="46">
        <v>2</v>
      </c>
      <c r="I5661" s="51">
        <v>4622.28</v>
      </c>
      <c r="J5661" s="281">
        <f>++Tabla4[[#This Row],[Precio Bruto]]*1.16</f>
        <v>5361.8447999999989</v>
      </c>
      <c r="K5661" s="281">
        <f>+Tabla4[[#This Row],[Precio Unitario Neto]]*Tabla4[[#Headers],[20.85%]]</f>
        <v>1117.9446407999997</v>
      </c>
      <c r="L5661" s="282">
        <f>++Tabla4[[#This Row],[Precio Unitario Neto]]-Tabla4[[#This Row],[20.85%]]</f>
        <v>4243.9001591999995</v>
      </c>
      <c r="M5661" s="282" t="e">
        <f>(INDEX(Tabla6[#All],MATCH(Tabla4[[#This Row],[Producto]],Tabla6[[#All],[PRODUCTO]],0),MATCH(Tabla4[[#This Row],[Mes]],Tabla6[#Headers],0)))*(1+Catalogos!$L$2)</f>
        <v>#N/A</v>
      </c>
      <c r="N5661" s="283" t="e">
        <f>+(Tabla4[[#This Row],[Precio Descontado]]-Tabla4[[#This Row],[Precio Base]])*Tabla4[[#This Row],[Cantidad]]</f>
        <v>#N/A</v>
      </c>
      <c r="O5661" s="284" t="e">
        <f>++Tabla4[[#This Row],[Utilidad Total]]/Tabla4[[#This Row],[Total]]</f>
        <v>#N/A</v>
      </c>
      <c r="P5661" s="282">
        <f>++Tabla4[[#This Row],[Precio Descontado]]*Tabla4[[#This Row],[Cantidad]]</f>
        <v>8487.800318399999</v>
      </c>
      <c r="Q5661" s="282" t="e">
        <f>(INDEX(Tabla6[#All],MATCH(Tabla4[[#This Row],[Producto]],Tabla6[[#All],[PRODUCTO]],0),MATCH(Tabla4[[#This Row],[Mes]],Tabla6[#Headers],0)))</f>
        <v>#N/A</v>
      </c>
      <c r="R5661" s="282" t="e">
        <f>++Tabla4[[#This Row],[Precio Unitario Neto]]-Tabla4[[#This Row],[20.85%]]-Tabla4[[#This Row],[Costo]]</f>
        <v>#N/A</v>
      </c>
      <c r="S5661" s="282" t="e">
        <f>++Tabla4[[#This Row],[U. Bruta Uni]]*Tabla4[[#This Row],[Cantidad]]</f>
        <v>#N/A</v>
      </c>
      <c r="T5661" s="369" t="str">
        <f>VLOOKUP(Tabla4[[#This Row],[Producto]],Tabla6[#All],14,FALSE)</f>
        <v>Termico Solar</v>
      </c>
      <c r="U5661" s="284" t="e">
        <f>(IF(Tabla4[[#This Row],[Familia]]="termico solar",Tabla4[[#This Row],[Utilidad Total]]*6%,Tabla4[[#This Row],[Utilidad Total]]*11.5%))/Tabla4[[#This Row],[Total]]</f>
        <v>#N/A</v>
      </c>
      <c r="V5661" s="282" t="e">
        <f>+Tabla4[[#This Row],[Comisión Calculada]]*Tabla4[[#This Row],[Total]]</f>
        <v>#N/A</v>
      </c>
    </row>
    <row r="5662" spans="1:22" hidden="1" x14ac:dyDescent="0.25">
      <c r="A5662" s="100">
        <v>45915</v>
      </c>
      <c r="B5662" t="str">
        <f t="shared" si="273"/>
        <v>September</v>
      </c>
      <c r="C5662" s="46" t="s">
        <v>280</v>
      </c>
      <c r="F5662" s="366" t="s">
        <v>2913</v>
      </c>
      <c r="G5662" s="46" t="s">
        <v>16</v>
      </c>
      <c r="H5662" s="46">
        <v>1</v>
      </c>
      <c r="I5662" s="51">
        <v>4103.8500000000004</v>
      </c>
      <c r="J5662" s="281">
        <f>++Tabla4[[#This Row],[Precio Bruto]]*1.16</f>
        <v>4760.4660000000003</v>
      </c>
      <c r="K5662" s="281">
        <f>+Tabla4[[#This Row],[Precio Unitario Neto]]*Tabla4[[#Headers],[20.85%]]</f>
        <v>992.55716100000006</v>
      </c>
      <c r="L5662" s="282">
        <f>++Tabla4[[#This Row],[Precio Unitario Neto]]-Tabla4[[#This Row],[20.85%]]</f>
        <v>3767.9088390000002</v>
      </c>
      <c r="M5662" s="282" t="e">
        <f>(INDEX(Tabla6[#All],MATCH(Tabla4[[#This Row],[Producto]],Tabla6[[#All],[PRODUCTO]],0),MATCH(Tabla4[[#This Row],[Mes]],Tabla6[#Headers],0)))*(1+Catalogos!$L$2)</f>
        <v>#N/A</v>
      </c>
      <c r="N5662" s="283" t="e">
        <f>+(Tabla4[[#This Row],[Precio Descontado]]-Tabla4[[#This Row],[Precio Base]])*Tabla4[[#This Row],[Cantidad]]</f>
        <v>#N/A</v>
      </c>
      <c r="O5662" s="284" t="e">
        <f>++Tabla4[[#This Row],[Utilidad Total]]/Tabla4[[#This Row],[Total]]</f>
        <v>#N/A</v>
      </c>
      <c r="P5662" s="282">
        <f>++Tabla4[[#This Row],[Precio Descontado]]*Tabla4[[#This Row],[Cantidad]]</f>
        <v>3767.9088390000002</v>
      </c>
      <c r="Q5662" s="282" t="e">
        <f>(INDEX(Tabla6[#All],MATCH(Tabla4[[#This Row],[Producto]],Tabla6[[#All],[PRODUCTO]],0),MATCH(Tabla4[[#This Row],[Mes]],Tabla6[#Headers],0)))</f>
        <v>#N/A</v>
      </c>
      <c r="R5662" s="282" t="e">
        <f>++Tabla4[[#This Row],[Precio Unitario Neto]]-Tabla4[[#This Row],[20.85%]]-Tabla4[[#This Row],[Costo]]</f>
        <v>#N/A</v>
      </c>
      <c r="S5662" s="282" t="e">
        <f>++Tabla4[[#This Row],[U. Bruta Uni]]*Tabla4[[#This Row],[Cantidad]]</f>
        <v>#N/A</v>
      </c>
      <c r="T5662" s="369" t="str">
        <f>VLOOKUP(Tabla4[[#This Row],[Producto]],Tabla6[#All],14,FALSE)</f>
        <v>Termico Solar</v>
      </c>
      <c r="U5662" s="284" t="e">
        <f>(IF(Tabla4[[#This Row],[Familia]]="termico solar",Tabla4[[#This Row],[Utilidad Total]]*6%,Tabla4[[#This Row],[Utilidad Total]]*11.5%))/Tabla4[[#This Row],[Total]]</f>
        <v>#N/A</v>
      </c>
      <c r="V5662" s="282" t="e">
        <f>+Tabla4[[#This Row],[Comisión Calculada]]*Tabla4[[#This Row],[Total]]</f>
        <v>#N/A</v>
      </c>
    </row>
    <row r="5663" spans="1:22" hidden="1" x14ac:dyDescent="0.25">
      <c r="A5663" s="100">
        <v>45915</v>
      </c>
      <c r="B5663" t="str">
        <f t="shared" si="273"/>
        <v>September</v>
      </c>
      <c r="C5663" s="46" t="s">
        <v>280</v>
      </c>
      <c r="F5663" s="366" t="s">
        <v>2914</v>
      </c>
      <c r="G5663" s="46" t="s">
        <v>17</v>
      </c>
      <c r="H5663" s="46">
        <v>1</v>
      </c>
      <c r="I5663" s="51">
        <v>4622.28</v>
      </c>
      <c r="J5663" s="281">
        <f>++Tabla4[[#This Row],[Precio Bruto]]*1.16</f>
        <v>5361.8447999999989</v>
      </c>
      <c r="K5663" s="281">
        <f>+Tabla4[[#This Row],[Precio Unitario Neto]]*Tabla4[[#Headers],[20.85%]]</f>
        <v>1117.9446407999997</v>
      </c>
      <c r="L5663" s="282">
        <f>++Tabla4[[#This Row],[Precio Unitario Neto]]-Tabla4[[#This Row],[20.85%]]</f>
        <v>4243.9001591999995</v>
      </c>
      <c r="M5663" s="282" t="e">
        <f>(INDEX(Tabla6[#All],MATCH(Tabla4[[#This Row],[Producto]],Tabla6[[#All],[PRODUCTO]],0),MATCH(Tabla4[[#This Row],[Mes]],Tabla6[#Headers],0)))*(1+Catalogos!$L$2)</f>
        <v>#N/A</v>
      </c>
      <c r="N5663" s="283" t="e">
        <f>+(Tabla4[[#This Row],[Precio Descontado]]-Tabla4[[#This Row],[Precio Base]])*Tabla4[[#This Row],[Cantidad]]</f>
        <v>#N/A</v>
      </c>
      <c r="O5663" s="284" t="e">
        <f>++Tabla4[[#This Row],[Utilidad Total]]/Tabla4[[#This Row],[Total]]</f>
        <v>#N/A</v>
      </c>
      <c r="P5663" s="282">
        <f>++Tabla4[[#This Row],[Precio Descontado]]*Tabla4[[#This Row],[Cantidad]]</f>
        <v>4243.9001591999995</v>
      </c>
      <c r="Q5663" s="282" t="e">
        <f>(INDEX(Tabla6[#All],MATCH(Tabla4[[#This Row],[Producto]],Tabla6[[#All],[PRODUCTO]],0),MATCH(Tabla4[[#This Row],[Mes]],Tabla6[#Headers],0)))</f>
        <v>#N/A</v>
      </c>
      <c r="R5663" s="282" t="e">
        <f>++Tabla4[[#This Row],[Precio Unitario Neto]]-Tabla4[[#This Row],[20.85%]]-Tabla4[[#This Row],[Costo]]</f>
        <v>#N/A</v>
      </c>
      <c r="S5663" s="282" t="e">
        <f>++Tabla4[[#This Row],[U. Bruta Uni]]*Tabla4[[#This Row],[Cantidad]]</f>
        <v>#N/A</v>
      </c>
      <c r="T5663" s="369" t="str">
        <f>VLOOKUP(Tabla4[[#This Row],[Producto]],Tabla6[#All],14,FALSE)</f>
        <v>Termico Solar</v>
      </c>
      <c r="U5663" s="284" t="e">
        <f>(IF(Tabla4[[#This Row],[Familia]]="termico solar",Tabla4[[#This Row],[Utilidad Total]]*6%,Tabla4[[#This Row],[Utilidad Total]]*11.5%))/Tabla4[[#This Row],[Total]]</f>
        <v>#N/A</v>
      </c>
      <c r="V5663" s="282" t="e">
        <f>+Tabla4[[#This Row],[Comisión Calculada]]*Tabla4[[#This Row],[Total]]</f>
        <v>#N/A</v>
      </c>
    </row>
    <row r="5664" spans="1:22" hidden="1" x14ac:dyDescent="0.25">
      <c r="A5664" s="100">
        <v>45915</v>
      </c>
      <c r="B5664" t="str">
        <f t="shared" si="273"/>
        <v>September</v>
      </c>
      <c r="C5664" s="46" t="s">
        <v>280</v>
      </c>
      <c r="F5664" s="366" t="s">
        <v>2914</v>
      </c>
      <c r="G5664" s="46" t="s">
        <v>18</v>
      </c>
      <c r="H5664" s="46">
        <v>1</v>
      </c>
      <c r="I5664" s="51">
        <v>5367.65</v>
      </c>
      <c r="J5664" s="281">
        <f>++Tabla4[[#This Row],[Precio Bruto]]*1.16</f>
        <v>6226.4739999999993</v>
      </c>
      <c r="K5664" s="281">
        <f>+Tabla4[[#This Row],[Precio Unitario Neto]]*Tabla4[[#Headers],[20.85%]]</f>
        <v>1298.2198289999999</v>
      </c>
      <c r="L5664" s="282">
        <f>++Tabla4[[#This Row],[Precio Unitario Neto]]-Tabla4[[#This Row],[20.85%]]</f>
        <v>4928.2541709999996</v>
      </c>
      <c r="M5664" s="282" t="e">
        <f>(INDEX(Tabla6[#All],MATCH(Tabla4[[#This Row],[Producto]],Tabla6[[#All],[PRODUCTO]],0),MATCH(Tabla4[[#This Row],[Mes]],Tabla6[#Headers],0)))*(1+Catalogos!$L$2)</f>
        <v>#N/A</v>
      </c>
      <c r="N5664" s="283" t="e">
        <f>+(Tabla4[[#This Row],[Precio Descontado]]-Tabla4[[#This Row],[Precio Base]])*Tabla4[[#This Row],[Cantidad]]</f>
        <v>#N/A</v>
      </c>
      <c r="O5664" s="284" t="e">
        <f>++Tabla4[[#This Row],[Utilidad Total]]/Tabla4[[#This Row],[Total]]</f>
        <v>#N/A</v>
      </c>
      <c r="P5664" s="282">
        <f>++Tabla4[[#This Row],[Precio Descontado]]*Tabla4[[#This Row],[Cantidad]]</f>
        <v>4928.2541709999996</v>
      </c>
      <c r="Q5664" s="282" t="e">
        <f>(INDEX(Tabla6[#All],MATCH(Tabla4[[#This Row],[Producto]],Tabla6[[#All],[PRODUCTO]],0),MATCH(Tabla4[[#This Row],[Mes]],Tabla6[#Headers],0)))</f>
        <v>#N/A</v>
      </c>
      <c r="R5664" s="282" t="e">
        <f>++Tabla4[[#This Row],[Precio Unitario Neto]]-Tabla4[[#This Row],[20.85%]]-Tabla4[[#This Row],[Costo]]</f>
        <v>#N/A</v>
      </c>
      <c r="S5664" s="282" t="e">
        <f>++Tabla4[[#This Row],[U. Bruta Uni]]*Tabla4[[#This Row],[Cantidad]]</f>
        <v>#N/A</v>
      </c>
      <c r="T5664" s="369" t="str">
        <f>VLOOKUP(Tabla4[[#This Row],[Producto]],Tabla6[#All],14,FALSE)</f>
        <v>Termico Solar</v>
      </c>
      <c r="U5664" s="284" t="e">
        <f>(IF(Tabla4[[#This Row],[Familia]]="termico solar",Tabla4[[#This Row],[Utilidad Total]]*6%,Tabla4[[#This Row],[Utilidad Total]]*11.5%))/Tabla4[[#This Row],[Total]]</f>
        <v>#N/A</v>
      </c>
      <c r="V5664" s="282" t="e">
        <f>+Tabla4[[#This Row],[Comisión Calculada]]*Tabla4[[#This Row],[Total]]</f>
        <v>#N/A</v>
      </c>
    </row>
    <row r="5665" spans="1:22" hidden="1" x14ac:dyDescent="0.25">
      <c r="A5665" s="100">
        <v>45915</v>
      </c>
      <c r="B5665" t="str">
        <f t="shared" si="273"/>
        <v>September</v>
      </c>
      <c r="C5665" s="46" t="s">
        <v>280</v>
      </c>
      <c r="F5665" s="366" t="s">
        <v>2914</v>
      </c>
      <c r="G5665" s="46" t="s">
        <v>16</v>
      </c>
      <c r="H5665" s="46">
        <v>1</v>
      </c>
      <c r="I5665" s="51">
        <v>4103.8500000000004</v>
      </c>
      <c r="J5665" s="281">
        <f>++Tabla4[[#This Row],[Precio Bruto]]*1.16</f>
        <v>4760.4660000000003</v>
      </c>
      <c r="K5665" s="281">
        <f>+Tabla4[[#This Row],[Precio Unitario Neto]]*Tabla4[[#Headers],[20.85%]]</f>
        <v>992.55716100000006</v>
      </c>
      <c r="L5665" s="282">
        <f>++Tabla4[[#This Row],[Precio Unitario Neto]]-Tabla4[[#This Row],[20.85%]]</f>
        <v>3767.9088390000002</v>
      </c>
      <c r="M5665" s="282" t="e">
        <f>(INDEX(Tabla6[#All],MATCH(Tabla4[[#This Row],[Producto]],Tabla6[[#All],[PRODUCTO]],0),MATCH(Tabla4[[#This Row],[Mes]],Tabla6[#Headers],0)))*(1+Catalogos!$L$2)</f>
        <v>#N/A</v>
      </c>
      <c r="N5665" s="283" t="e">
        <f>+(Tabla4[[#This Row],[Precio Descontado]]-Tabla4[[#This Row],[Precio Base]])*Tabla4[[#This Row],[Cantidad]]</f>
        <v>#N/A</v>
      </c>
      <c r="O5665" s="284" t="e">
        <f>++Tabla4[[#This Row],[Utilidad Total]]/Tabla4[[#This Row],[Total]]</f>
        <v>#N/A</v>
      </c>
      <c r="P5665" s="282">
        <f>++Tabla4[[#This Row],[Precio Descontado]]*Tabla4[[#This Row],[Cantidad]]</f>
        <v>3767.9088390000002</v>
      </c>
      <c r="Q5665" s="282" t="e">
        <f>(INDEX(Tabla6[#All],MATCH(Tabla4[[#This Row],[Producto]],Tabla6[[#All],[PRODUCTO]],0),MATCH(Tabla4[[#This Row],[Mes]],Tabla6[#Headers],0)))</f>
        <v>#N/A</v>
      </c>
      <c r="R5665" s="282" t="e">
        <f>++Tabla4[[#This Row],[Precio Unitario Neto]]-Tabla4[[#This Row],[20.85%]]-Tabla4[[#This Row],[Costo]]</f>
        <v>#N/A</v>
      </c>
      <c r="S5665" s="282" t="e">
        <f>++Tabla4[[#This Row],[U. Bruta Uni]]*Tabla4[[#This Row],[Cantidad]]</f>
        <v>#N/A</v>
      </c>
      <c r="T5665" s="369" t="str">
        <f>VLOOKUP(Tabla4[[#This Row],[Producto]],Tabla6[#All],14,FALSE)</f>
        <v>Termico Solar</v>
      </c>
      <c r="U5665" s="284" t="e">
        <f>(IF(Tabla4[[#This Row],[Familia]]="termico solar",Tabla4[[#This Row],[Utilidad Total]]*6%,Tabla4[[#This Row],[Utilidad Total]]*11.5%))/Tabla4[[#This Row],[Total]]</f>
        <v>#N/A</v>
      </c>
      <c r="V5665" s="282" t="e">
        <f>+Tabla4[[#This Row],[Comisión Calculada]]*Tabla4[[#This Row],[Total]]</f>
        <v>#N/A</v>
      </c>
    </row>
    <row r="5666" spans="1:22" hidden="1" x14ac:dyDescent="0.25">
      <c r="A5666" s="100">
        <v>45915</v>
      </c>
      <c r="B5666" t="str">
        <f t="shared" si="273"/>
        <v>September</v>
      </c>
      <c r="C5666" s="46" t="s">
        <v>280</v>
      </c>
      <c r="F5666" s="366" t="s">
        <v>2915</v>
      </c>
      <c r="G5666" s="46" t="s">
        <v>83</v>
      </c>
      <c r="H5666" s="46">
        <v>2</v>
      </c>
      <c r="I5666" s="51">
        <v>8858.76</v>
      </c>
      <c r="J5666" s="281">
        <f>++Tabla4[[#This Row],[Precio Bruto]]*1.16</f>
        <v>10276.161599999999</v>
      </c>
      <c r="K5666" s="281">
        <f>+Tabla4[[#This Row],[Precio Unitario Neto]]*Tabla4[[#Headers],[20.85%]]</f>
        <v>2142.5796935999997</v>
      </c>
      <c r="L5666" s="282">
        <f>++Tabla4[[#This Row],[Precio Unitario Neto]]-Tabla4[[#This Row],[20.85%]]</f>
        <v>8133.5819063999998</v>
      </c>
      <c r="M5666" s="282" t="e">
        <f>(INDEX(Tabla6[#All],MATCH(Tabla4[[#This Row],[Producto]],Tabla6[[#All],[PRODUCTO]],0),MATCH(Tabla4[[#This Row],[Mes]],Tabla6[#Headers],0)))*(1+Catalogos!$L$2)</f>
        <v>#N/A</v>
      </c>
      <c r="N5666" s="283" t="e">
        <f>+(Tabla4[[#This Row],[Precio Descontado]]-Tabla4[[#This Row],[Precio Base]])*Tabla4[[#This Row],[Cantidad]]</f>
        <v>#N/A</v>
      </c>
      <c r="O5666" s="284" t="e">
        <f>++Tabla4[[#This Row],[Utilidad Total]]/Tabla4[[#This Row],[Total]]</f>
        <v>#N/A</v>
      </c>
      <c r="P5666" s="282">
        <f>++Tabla4[[#This Row],[Precio Descontado]]*Tabla4[[#This Row],[Cantidad]]</f>
        <v>16267.1638128</v>
      </c>
      <c r="Q5666" s="282" t="e">
        <f>(INDEX(Tabla6[#All],MATCH(Tabla4[[#This Row],[Producto]],Tabla6[[#All],[PRODUCTO]],0),MATCH(Tabla4[[#This Row],[Mes]],Tabla6[#Headers],0)))</f>
        <v>#N/A</v>
      </c>
      <c r="R5666" s="282" t="e">
        <f>++Tabla4[[#This Row],[Precio Unitario Neto]]-Tabla4[[#This Row],[20.85%]]-Tabla4[[#This Row],[Costo]]</f>
        <v>#N/A</v>
      </c>
      <c r="S5666" s="282" t="e">
        <f>++Tabla4[[#This Row],[U. Bruta Uni]]*Tabla4[[#This Row],[Cantidad]]</f>
        <v>#N/A</v>
      </c>
      <c r="T5666" s="369" t="str">
        <f>VLOOKUP(Tabla4[[#This Row],[Producto]],Tabla6[#All],14,FALSE)</f>
        <v>Termico Solar</v>
      </c>
      <c r="U5666" s="284" t="e">
        <f>(IF(Tabla4[[#This Row],[Familia]]="termico solar",Tabla4[[#This Row],[Utilidad Total]]*6%,Tabla4[[#This Row],[Utilidad Total]]*11.5%))/Tabla4[[#This Row],[Total]]</f>
        <v>#N/A</v>
      </c>
      <c r="V5666" s="282" t="e">
        <f>+Tabla4[[#This Row],[Comisión Calculada]]*Tabla4[[#This Row],[Total]]</f>
        <v>#N/A</v>
      </c>
    </row>
    <row r="5667" spans="1:22" hidden="1" x14ac:dyDescent="0.25">
      <c r="A5667" s="100">
        <v>45915</v>
      </c>
      <c r="B5667" t="str">
        <f t="shared" si="273"/>
        <v>September</v>
      </c>
      <c r="C5667" s="46" t="s">
        <v>280</v>
      </c>
      <c r="F5667" s="366" t="s">
        <v>2915</v>
      </c>
      <c r="G5667" s="46" t="s">
        <v>18</v>
      </c>
      <c r="H5667" s="46">
        <v>2</v>
      </c>
      <c r="I5667" s="51">
        <v>5367.65</v>
      </c>
      <c r="J5667" s="281">
        <f>++Tabla4[[#This Row],[Precio Bruto]]*1.16</f>
        <v>6226.4739999999993</v>
      </c>
      <c r="K5667" s="281">
        <f>+Tabla4[[#This Row],[Precio Unitario Neto]]*Tabla4[[#Headers],[20.85%]]</f>
        <v>1298.2198289999999</v>
      </c>
      <c r="L5667" s="282">
        <f>++Tabla4[[#This Row],[Precio Unitario Neto]]-Tabla4[[#This Row],[20.85%]]</f>
        <v>4928.2541709999996</v>
      </c>
      <c r="M5667" s="282" t="e">
        <f>(INDEX(Tabla6[#All],MATCH(Tabla4[[#This Row],[Producto]],Tabla6[[#All],[PRODUCTO]],0),MATCH(Tabla4[[#This Row],[Mes]],Tabla6[#Headers],0)))*(1+Catalogos!$L$2)</f>
        <v>#N/A</v>
      </c>
      <c r="N5667" s="283" t="e">
        <f>+(Tabla4[[#This Row],[Precio Descontado]]-Tabla4[[#This Row],[Precio Base]])*Tabla4[[#This Row],[Cantidad]]</f>
        <v>#N/A</v>
      </c>
      <c r="O5667" s="284" t="e">
        <f>++Tabla4[[#This Row],[Utilidad Total]]/Tabla4[[#This Row],[Total]]</f>
        <v>#N/A</v>
      </c>
      <c r="P5667" s="282">
        <f>++Tabla4[[#This Row],[Precio Descontado]]*Tabla4[[#This Row],[Cantidad]]</f>
        <v>9856.5083419999992</v>
      </c>
      <c r="Q5667" s="282" t="e">
        <f>(INDEX(Tabla6[#All],MATCH(Tabla4[[#This Row],[Producto]],Tabla6[[#All],[PRODUCTO]],0),MATCH(Tabla4[[#This Row],[Mes]],Tabla6[#Headers],0)))</f>
        <v>#N/A</v>
      </c>
      <c r="R5667" s="282" t="e">
        <f>++Tabla4[[#This Row],[Precio Unitario Neto]]-Tabla4[[#This Row],[20.85%]]-Tabla4[[#This Row],[Costo]]</f>
        <v>#N/A</v>
      </c>
      <c r="S5667" s="282" t="e">
        <f>++Tabla4[[#This Row],[U. Bruta Uni]]*Tabla4[[#This Row],[Cantidad]]</f>
        <v>#N/A</v>
      </c>
      <c r="T5667" s="369" t="str">
        <f>VLOOKUP(Tabla4[[#This Row],[Producto]],Tabla6[#All],14,FALSE)</f>
        <v>Termico Solar</v>
      </c>
      <c r="U5667" s="284" t="e">
        <f>(IF(Tabla4[[#This Row],[Familia]]="termico solar",Tabla4[[#This Row],[Utilidad Total]]*6%,Tabla4[[#This Row],[Utilidad Total]]*11.5%))/Tabla4[[#This Row],[Total]]</f>
        <v>#N/A</v>
      </c>
      <c r="V5667" s="282" t="e">
        <f>+Tabla4[[#This Row],[Comisión Calculada]]*Tabla4[[#This Row],[Total]]</f>
        <v>#N/A</v>
      </c>
    </row>
    <row r="5668" spans="1:22" hidden="1" x14ac:dyDescent="0.25">
      <c r="A5668" s="100">
        <v>45915</v>
      </c>
      <c r="B5668" t="str">
        <f t="shared" si="273"/>
        <v>September</v>
      </c>
      <c r="C5668" s="46" t="s">
        <v>280</v>
      </c>
      <c r="F5668" s="366" t="s">
        <v>2916</v>
      </c>
      <c r="G5668" s="46" t="s">
        <v>83</v>
      </c>
      <c r="H5668" s="46">
        <v>1</v>
      </c>
      <c r="I5668" s="51">
        <v>8858.76</v>
      </c>
      <c r="J5668" s="281">
        <f>++Tabla4[[#This Row],[Precio Bruto]]*1.16</f>
        <v>10276.161599999999</v>
      </c>
      <c r="K5668" s="281">
        <f>+Tabla4[[#This Row],[Precio Unitario Neto]]*Tabla4[[#Headers],[20.85%]]</f>
        <v>2142.5796935999997</v>
      </c>
      <c r="L5668" s="282">
        <f>++Tabla4[[#This Row],[Precio Unitario Neto]]-Tabla4[[#This Row],[20.85%]]</f>
        <v>8133.5819063999998</v>
      </c>
      <c r="M5668" s="282" t="e">
        <f>(INDEX(Tabla6[#All],MATCH(Tabla4[[#This Row],[Producto]],Tabla6[[#All],[PRODUCTO]],0),MATCH(Tabla4[[#This Row],[Mes]],Tabla6[#Headers],0)))*(1+Catalogos!$L$2)</f>
        <v>#N/A</v>
      </c>
      <c r="N5668" s="283" t="e">
        <f>+(Tabla4[[#This Row],[Precio Descontado]]-Tabla4[[#This Row],[Precio Base]])*Tabla4[[#This Row],[Cantidad]]</f>
        <v>#N/A</v>
      </c>
      <c r="O5668" s="284" t="e">
        <f>++Tabla4[[#This Row],[Utilidad Total]]/Tabla4[[#This Row],[Total]]</f>
        <v>#N/A</v>
      </c>
      <c r="P5668" s="282">
        <f>++Tabla4[[#This Row],[Precio Descontado]]*Tabla4[[#This Row],[Cantidad]]</f>
        <v>8133.5819063999998</v>
      </c>
      <c r="Q5668" s="282" t="e">
        <f>(INDEX(Tabla6[#All],MATCH(Tabla4[[#This Row],[Producto]],Tabla6[[#All],[PRODUCTO]],0),MATCH(Tabla4[[#This Row],[Mes]],Tabla6[#Headers],0)))</f>
        <v>#N/A</v>
      </c>
      <c r="R5668" s="282" t="e">
        <f>++Tabla4[[#This Row],[Precio Unitario Neto]]-Tabla4[[#This Row],[20.85%]]-Tabla4[[#This Row],[Costo]]</f>
        <v>#N/A</v>
      </c>
      <c r="S5668" s="282" t="e">
        <f>++Tabla4[[#This Row],[U. Bruta Uni]]*Tabla4[[#This Row],[Cantidad]]</f>
        <v>#N/A</v>
      </c>
      <c r="T5668" s="369" t="str">
        <f>VLOOKUP(Tabla4[[#This Row],[Producto]],Tabla6[#All],14,FALSE)</f>
        <v>Termico Solar</v>
      </c>
      <c r="U5668" s="284" t="e">
        <f>(IF(Tabla4[[#This Row],[Familia]]="termico solar",Tabla4[[#This Row],[Utilidad Total]]*6%,Tabla4[[#This Row],[Utilidad Total]]*11.5%))/Tabla4[[#This Row],[Total]]</f>
        <v>#N/A</v>
      </c>
      <c r="V5668" s="282" t="e">
        <f>+Tabla4[[#This Row],[Comisión Calculada]]*Tabla4[[#This Row],[Total]]</f>
        <v>#N/A</v>
      </c>
    </row>
    <row r="5669" spans="1:22" hidden="1" x14ac:dyDescent="0.25">
      <c r="A5669" s="100">
        <v>45915</v>
      </c>
      <c r="B5669" t="str">
        <f t="shared" si="273"/>
        <v>September</v>
      </c>
      <c r="C5669" s="46" t="s">
        <v>280</v>
      </c>
      <c r="F5669" s="366" t="s">
        <v>2916</v>
      </c>
      <c r="G5669" s="46" t="s">
        <v>17</v>
      </c>
      <c r="H5669" s="46">
        <v>2</v>
      </c>
      <c r="I5669" s="51">
        <v>4622.28</v>
      </c>
      <c r="J5669" s="281">
        <f>++Tabla4[[#This Row],[Precio Bruto]]*1.16</f>
        <v>5361.8447999999989</v>
      </c>
      <c r="K5669" s="281">
        <f>+Tabla4[[#This Row],[Precio Unitario Neto]]*Tabla4[[#Headers],[20.85%]]</f>
        <v>1117.9446407999997</v>
      </c>
      <c r="L5669" s="282">
        <f>++Tabla4[[#This Row],[Precio Unitario Neto]]-Tabla4[[#This Row],[20.85%]]</f>
        <v>4243.9001591999995</v>
      </c>
      <c r="M5669" s="282" t="e">
        <f>(INDEX(Tabla6[#All],MATCH(Tabla4[[#This Row],[Producto]],Tabla6[[#All],[PRODUCTO]],0),MATCH(Tabla4[[#This Row],[Mes]],Tabla6[#Headers],0)))*(1+Catalogos!$L$2)</f>
        <v>#N/A</v>
      </c>
      <c r="N5669" s="283" t="e">
        <f>+(Tabla4[[#This Row],[Precio Descontado]]-Tabla4[[#This Row],[Precio Base]])*Tabla4[[#This Row],[Cantidad]]</f>
        <v>#N/A</v>
      </c>
      <c r="O5669" s="284" t="e">
        <f>++Tabla4[[#This Row],[Utilidad Total]]/Tabla4[[#This Row],[Total]]</f>
        <v>#N/A</v>
      </c>
      <c r="P5669" s="282">
        <f>++Tabla4[[#This Row],[Precio Descontado]]*Tabla4[[#This Row],[Cantidad]]</f>
        <v>8487.800318399999</v>
      </c>
      <c r="Q5669" s="282" t="e">
        <f>(INDEX(Tabla6[#All],MATCH(Tabla4[[#This Row],[Producto]],Tabla6[[#All],[PRODUCTO]],0),MATCH(Tabla4[[#This Row],[Mes]],Tabla6[#Headers],0)))</f>
        <v>#N/A</v>
      </c>
      <c r="R5669" s="282" t="e">
        <f>++Tabla4[[#This Row],[Precio Unitario Neto]]-Tabla4[[#This Row],[20.85%]]-Tabla4[[#This Row],[Costo]]</f>
        <v>#N/A</v>
      </c>
      <c r="S5669" s="282" t="e">
        <f>++Tabla4[[#This Row],[U. Bruta Uni]]*Tabla4[[#This Row],[Cantidad]]</f>
        <v>#N/A</v>
      </c>
      <c r="T5669" s="369" t="str">
        <f>VLOOKUP(Tabla4[[#This Row],[Producto]],Tabla6[#All],14,FALSE)</f>
        <v>Termico Solar</v>
      </c>
      <c r="U5669" s="284" t="e">
        <f>(IF(Tabla4[[#This Row],[Familia]]="termico solar",Tabla4[[#This Row],[Utilidad Total]]*6%,Tabla4[[#This Row],[Utilidad Total]]*11.5%))/Tabla4[[#This Row],[Total]]</f>
        <v>#N/A</v>
      </c>
      <c r="V5669" s="282" t="e">
        <f>+Tabla4[[#This Row],[Comisión Calculada]]*Tabla4[[#This Row],[Total]]</f>
        <v>#N/A</v>
      </c>
    </row>
    <row r="5670" spans="1:22" hidden="1" x14ac:dyDescent="0.25">
      <c r="A5670" s="100">
        <v>45915</v>
      </c>
      <c r="B5670" t="str">
        <f t="shared" si="273"/>
        <v>September</v>
      </c>
      <c r="C5670" s="46" t="s">
        <v>280</v>
      </c>
      <c r="F5670" s="366" t="s">
        <v>2916</v>
      </c>
      <c r="G5670" s="46" t="s">
        <v>18</v>
      </c>
      <c r="H5670" s="46">
        <v>2</v>
      </c>
      <c r="I5670" s="51">
        <v>5367.65</v>
      </c>
      <c r="J5670" s="281">
        <f>++Tabla4[[#This Row],[Precio Bruto]]*1.16</f>
        <v>6226.4739999999993</v>
      </c>
      <c r="K5670" s="281">
        <f>+Tabla4[[#This Row],[Precio Unitario Neto]]*Tabla4[[#Headers],[20.85%]]</f>
        <v>1298.2198289999999</v>
      </c>
      <c r="L5670" s="282">
        <f>++Tabla4[[#This Row],[Precio Unitario Neto]]-Tabla4[[#This Row],[20.85%]]</f>
        <v>4928.2541709999996</v>
      </c>
      <c r="M5670" s="282" t="e">
        <f>(INDEX(Tabla6[#All],MATCH(Tabla4[[#This Row],[Producto]],Tabla6[[#All],[PRODUCTO]],0),MATCH(Tabla4[[#This Row],[Mes]],Tabla6[#Headers],0)))*(1+Catalogos!$L$2)</f>
        <v>#N/A</v>
      </c>
      <c r="N5670" s="283" t="e">
        <f>+(Tabla4[[#This Row],[Precio Descontado]]-Tabla4[[#This Row],[Precio Base]])*Tabla4[[#This Row],[Cantidad]]</f>
        <v>#N/A</v>
      </c>
      <c r="O5670" s="284" t="e">
        <f>++Tabla4[[#This Row],[Utilidad Total]]/Tabla4[[#This Row],[Total]]</f>
        <v>#N/A</v>
      </c>
      <c r="P5670" s="282">
        <f>++Tabla4[[#This Row],[Precio Descontado]]*Tabla4[[#This Row],[Cantidad]]</f>
        <v>9856.5083419999992</v>
      </c>
      <c r="Q5670" s="282" t="e">
        <f>(INDEX(Tabla6[#All],MATCH(Tabla4[[#This Row],[Producto]],Tabla6[[#All],[PRODUCTO]],0),MATCH(Tabla4[[#This Row],[Mes]],Tabla6[#Headers],0)))</f>
        <v>#N/A</v>
      </c>
      <c r="R5670" s="282" t="e">
        <f>++Tabla4[[#This Row],[Precio Unitario Neto]]-Tabla4[[#This Row],[20.85%]]-Tabla4[[#This Row],[Costo]]</f>
        <v>#N/A</v>
      </c>
      <c r="S5670" s="282" t="e">
        <f>++Tabla4[[#This Row],[U. Bruta Uni]]*Tabla4[[#This Row],[Cantidad]]</f>
        <v>#N/A</v>
      </c>
      <c r="T5670" s="369" t="str">
        <f>VLOOKUP(Tabla4[[#This Row],[Producto]],Tabla6[#All],14,FALSE)</f>
        <v>Termico Solar</v>
      </c>
      <c r="U5670" s="284" t="e">
        <f>(IF(Tabla4[[#This Row],[Familia]]="termico solar",Tabla4[[#This Row],[Utilidad Total]]*6%,Tabla4[[#This Row],[Utilidad Total]]*11.5%))/Tabla4[[#This Row],[Total]]</f>
        <v>#N/A</v>
      </c>
      <c r="V5670" s="282" t="e">
        <f>+Tabla4[[#This Row],[Comisión Calculada]]*Tabla4[[#This Row],[Total]]</f>
        <v>#N/A</v>
      </c>
    </row>
    <row r="5671" spans="1:22" hidden="1" x14ac:dyDescent="0.25">
      <c r="A5671" s="100">
        <v>45915</v>
      </c>
      <c r="B5671" t="str">
        <f t="shared" si="273"/>
        <v>September</v>
      </c>
      <c r="C5671" s="46" t="s">
        <v>280</v>
      </c>
      <c r="F5671" s="366" t="s">
        <v>2916</v>
      </c>
      <c r="G5671" s="46" t="s">
        <v>566</v>
      </c>
      <c r="H5671" s="46">
        <v>2</v>
      </c>
      <c r="I5671" s="51">
        <v>2109.4499999999998</v>
      </c>
      <c r="J5671" s="281">
        <f>++Tabla4[[#This Row],[Precio Bruto]]*1.16</f>
        <v>2446.9619999999995</v>
      </c>
      <c r="K5671" s="281">
        <f>+Tabla4[[#This Row],[Precio Unitario Neto]]*Tabla4[[#Headers],[20.85%]]</f>
        <v>510.19157699999988</v>
      </c>
      <c r="L5671" s="282">
        <f>++Tabla4[[#This Row],[Precio Unitario Neto]]-Tabla4[[#This Row],[20.85%]]</f>
        <v>1936.7704229999997</v>
      </c>
      <c r="M5671" s="282" t="e">
        <f>(INDEX(Tabla6[#All],MATCH(Tabla4[[#This Row],[Producto]],Tabla6[[#All],[PRODUCTO]],0),MATCH(Tabla4[[#This Row],[Mes]],Tabla6[#Headers],0)))*(1+Catalogos!$L$2)</f>
        <v>#N/A</v>
      </c>
      <c r="N5671" s="283" t="e">
        <f>+(Tabla4[[#This Row],[Precio Descontado]]-Tabla4[[#This Row],[Precio Base]])*Tabla4[[#This Row],[Cantidad]]</f>
        <v>#N/A</v>
      </c>
      <c r="O5671" s="284" t="e">
        <f>++Tabla4[[#This Row],[Utilidad Total]]/Tabla4[[#This Row],[Total]]</f>
        <v>#N/A</v>
      </c>
      <c r="P5671" s="282">
        <f>++Tabla4[[#This Row],[Precio Descontado]]*Tabla4[[#This Row],[Cantidad]]</f>
        <v>3873.5408459999994</v>
      </c>
      <c r="Q5671" s="282" t="e">
        <f>(INDEX(Tabla6[#All],MATCH(Tabla4[[#This Row],[Producto]],Tabla6[[#All],[PRODUCTO]],0),MATCH(Tabla4[[#This Row],[Mes]],Tabla6[#Headers],0)))</f>
        <v>#N/A</v>
      </c>
      <c r="R5671" s="282" t="e">
        <f>++Tabla4[[#This Row],[Precio Unitario Neto]]-Tabla4[[#This Row],[20.85%]]-Tabla4[[#This Row],[Costo]]</f>
        <v>#N/A</v>
      </c>
      <c r="S5671" s="282" t="e">
        <f>++Tabla4[[#This Row],[U. Bruta Uni]]*Tabla4[[#This Row],[Cantidad]]</f>
        <v>#N/A</v>
      </c>
      <c r="T5671" s="369" t="str">
        <f>VLOOKUP(Tabla4[[#This Row],[Producto]],Tabla6[#All],14,FALSE)</f>
        <v>Termico Solar</v>
      </c>
      <c r="U5671" s="284" t="e">
        <f>(IF(Tabla4[[#This Row],[Familia]]="termico solar",Tabla4[[#This Row],[Utilidad Total]]*6%,Tabla4[[#This Row],[Utilidad Total]]*11.5%))/Tabla4[[#This Row],[Total]]</f>
        <v>#N/A</v>
      </c>
      <c r="V5671" s="282" t="e">
        <f>+Tabla4[[#This Row],[Comisión Calculada]]*Tabla4[[#This Row],[Total]]</f>
        <v>#N/A</v>
      </c>
    </row>
    <row r="5672" spans="1:22" hidden="1" x14ac:dyDescent="0.25">
      <c r="A5672" s="100">
        <v>45915</v>
      </c>
      <c r="B5672" t="str">
        <f t="shared" si="273"/>
        <v>September</v>
      </c>
      <c r="C5672" s="46" t="s">
        <v>280</v>
      </c>
      <c r="F5672" s="366" t="s">
        <v>2916</v>
      </c>
      <c r="G5672" s="46" t="s">
        <v>208</v>
      </c>
      <c r="H5672" s="46">
        <v>2</v>
      </c>
      <c r="I5672" s="51">
        <v>189.75</v>
      </c>
      <c r="J5672" s="281">
        <f>++Tabla4[[#This Row],[Precio Bruto]]*1.16</f>
        <v>220.10999999999999</v>
      </c>
      <c r="K5672" s="281">
        <f>+Tabla4[[#This Row],[Precio Unitario Neto]]*Tabla4[[#Headers],[20.85%]]</f>
        <v>45.892934999999994</v>
      </c>
      <c r="L5672" s="282">
        <f>++Tabla4[[#This Row],[Precio Unitario Neto]]-Tabla4[[#This Row],[20.85%]]</f>
        <v>174.21706499999999</v>
      </c>
      <c r="M5672" s="282" t="e">
        <f>(INDEX(Tabla6[#All],MATCH(Tabla4[[#This Row],[Producto]],Tabla6[[#All],[PRODUCTO]],0),MATCH(Tabla4[[#This Row],[Mes]],Tabla6[#Headers],0)))*(1+Catalogos!$L$2)</f>
        <v>#N/A</v>
      </c>
      <c r="N5672" s="283" t="e">
        <f>+(Tabla4[[#This Row],[Precio Descontado]]-Tabla4[[#This Row],[Precio Base]])*Tabla4[[#This Row],[Cantidad]]</f>
        <v>#N/A</v>
      </c>
      <c r="O5672" s="284" t="e">
        <f>++Tabla4[[#This Row],[Utilidad Total]]/Tabla4[[#This Row],[Total]]</f>
        <v>#N/A</v>
      </c>
      <c r="P5672" s="282">
        <f>++Tabla4[[#This Row],[Precio Descontado]]*Tabla4[[#This Row],[Cantidad]]</f>
        <v>348.43412999999998</v>
      </c>
      <c r="Q5672" s="282" t="e">
        <f>(INDEX(Tabla6[#All],MATCH(Tabla4[[#This Row],[Producto]],Tabla6[[#All],[PRODUCTO]],0),MATCH(Tabla4[[#This Row],[Mes]],Tabla6[#Headers],0)))</f>
        <v>#N/A</v>
      </c>
      <c r="R5672" s="282" t="e">
        <f>++Tabla4[[#This Row],[Precio Unitario Neto]]-Tabla4[[#This Row],[20.85%]]-Tabla4[[#This Row],[Costo]]</f>
        <v>#N/A</v>
      </c>
      <c r="S5672" s="282" t="e">
        <f>++Tabla4[[#This Row],[U. Bruta Uni]]*Tabla4[[#This Row],[Cantidad]]</f>
        <v>#N/A</v>
      </c>
      <c r="T5672" s="369" t="str">
        <f>VLOOKUP(Tabla4[[#This Row],[Producto]],Tabla6[#All],14,FALSE)</f>
        <v>Termico Solar</v>
      </c>
      <c r="U5672" s="284" t="e">
        <f>(IF(Tabla4[[#This Row],[Familia]]="termico solar",Tabla4[[#This Row],[Utilidad Total]]*6%,Tabla4[[#This Row],[Utilidad Total]]*11.5%))/Tabla4[[#This Row],[Total]]</f>
        <v>#N/A</v>
      </c>
      <c r="V5672" s="282" t="e">
        <f>+Tabla4[[#This Row],[Comisión Calculada]]*Tabla4[[#This Row],[Total]]</f>
        <v>#N/A</v>
      </c>
    </row>
    <row r="5673" spans="1:22" hidden="1" x14ac:dyDescent="0.25">
      <c r="A5673" s="100">
        <v>45915</v>
      </c>
      <c r="B5673" t="str">
        <f t="shared" si="273"/>
        <v>September</v>
      </c>
      <c r="C5673" s="46" t="s">
        <v>280</v>
      </c>
      <c r="F5673" s="366" t="s">
        <v>2917</v>
      </c>
      <c r="G5673" s="46" t="s">
        <v>17</v>
      </c>
      <c r="H5673" s="46">
        <v>4</v>
      </c>
      <c r="I5673" s="51">
        <v>4622.28</v>
      </c>
      <c r="J5673" s="281">
        <f>++Tabla4[[#This Row],[Precio Bruto]]*1.16</f>
        <v>5361.8447999999989</v>
      </c>
      <c r="K5673" s="281">
        <f>+Tabla4[[#This Row],[Precio Unitario Neto]]*Tabla4[[#Headers],[20.85%]]</f>
        <v>1117.9446407999997</v>
      </c>
      <c r="L5673" s="282">
        <f>++Tabla4[[#This Row],[Precio Unitario Neto]]-Tabla4[[#This Row],[20.85%]]</f>
        <v>4243.9001591999995</v>
      </c>
      <c r="M5673" s="282" t="e">
        <f>(INDEX(Tabla6[#All],MATCH(Tabla4[[#This Row],[Producto]],Tabla6[[#All],[PRODUCTO]],0),MATCH(Tabla4[[#This Row],[Mes]],Tabla6[#Headers],0)))*(1+Catalogos!$L$2)</f>
        <v>#N/A</v>
      </c>
      <c r="N5673" s="283" t="e">
        <f>+(Tabla4[[#This Row],[Precio Descontado]]-Tabla4[[#This Row],[Precio Base]])*Tabla4[[#This Row],[Cantidad]]</f>
        <v>#N/A</v>
      </c>
      <c r="O5673" s="284" t="e">
        <f>++Tabla4[[#This Row],[Utilidad Total]]/Tabla4[[#This Row],[Total]]</f>
        <v>#N/A</v>
      </c>
      <c r="P5673" s="282">
        <f>++Tabla4[[#This Row],[Precio Descontado]]*Tabla4[[#This Row],[Cantidad]]</f>
        <v>16975.600636799998</v>
      </c>
      <c r="Q5673" s="282" t="e">
        <f>(INDEX(Tabla6[#All],MATCH(Tabla4[[#This Row],[Producto]],Tabla6[[#All],[PRODUCTO]],0),MATCH(Tabla4[[#This Row],[Mes]],Tabla6[#Headers],0)))</f>
        <v>#N/A</v>
      </c>
      <c r="R5673" s="282" t="e">
        <f>++Tabla4[[#This Row],[Precio Unitario Neto]]-Tabla4[[#This Row],[20.85%]]-Tabla4[[#This Row],[Costo]]</f>
        <v>#N/A</v>
      </c>
      <c r="S5673" s="282" t="e">
        <f>++Tabla4[[#This Row],[U. Bruta Uni]]*Tabla4[[#This Row],[Cantidad]]</f>
        <v>#N/A</v>
      </c>
      <c r="T5673" s="369" t="str">
        <f>VLOOKUP(Tabla4[[#This Row],[Producto]],Tabla6[#All],14,FALSE)</f>
        <v>Termico Solar</v>
      </c>
      <c r="U5673" s="284" t="e">
        <f>(IF(Tabla4[[#This Row],[Familia]]="termico solar",Tabla4[[#This Row],[Utilidad Total]]*6%,Tabla4[[#This Row],[Utilidad Total]]*11.5%))/Tabla4[[#This Row],[Total]]</f>
        <v>#N/A</v>
      </c>
      <c r="V5673" s="282" t="e">
        <f>+Tabla4[[#This Row],[Comisión Calculada]]*Tabla4[[#This Row],[Total]]</f>
        <v>#N/A</v>
      </c>
    </row>
    <row r="5674" spans="1:22" hidden="1" x14ac:dyDescent="0.25">
      <c r="A5674" s="100">
        <v>45915</v>
      </c>
      <c r="B5674" t="str">
        <f t="shared" si="273"/>
        <v>September</v>
      </c>
      <c r="C5674" s="46" t="s">
        <v>280</v>
      </c>
      <c r="F5674" s="366" t="s">
        <v>2917</v>
      </c>
      <c r="G5674" s="46" t="s">
        <v>18</v>
      </c>
      <c r="H5674" s="46">
        <v>3</v>
      </c>
      <c r="I5674" s="51">
        <v>5367.6500000000005</v>
      </c>
      <c r="J5674" s="281">
        <f>++Tabla4[[#This Row],[Precio Bruto]]*1.16</f>
        <v>6226.4740000000002</v>
      </c>
      <c r="K5674" s="281">
        <f>+Tabla4[[#This Row],[Precio Unitario Neto]]*Tabla4[[#Headers],[20.85%]]</f>
        <v>1298.2198289999999</v>
      </c>
      <c r="L5674" s="282">
        <f>++Tabla4[[#This Row],[Precio Unitario Neto]]-Tabla4[[#This Row],[20.85%]]</f>
        <v>4928.2541710000005</v>
      </c>
      <c r="M5674" s="282" t="e">
        <f>(INDEX(Tabla6[#All],MATCH(Tabla4[[#This Row],[Producto]],Tabla6[[#All],[PRODUCTO]],0),MATCH(Tabla4[[#This Row],[Mes]],Tabla6[#Headers],0)))*(1+Catalogos!$L$2)</f>
        <v>#N/A</v>
      </c>
      <c r="N5674" s="283" t="e">
        <f>+(Tabla4[[#This Row],[Precio Descontado]]-Tabla4[[#This Row],[Precio Base]])*Tabla4[[#This Row],[Cantidad]]</f>
        <v>#N/A</v>
      </c>
      <c r="O5674" s="284" t="e">
        <f>++Tabla4[[#This Row],[Utilidad Total]]/Tabla4[[#This Row],[Total]]</f>
        <v>#N/A</v>
      </c>
      <c r="P5674" s="282">
        <f>++Tabla4[[#This Row],[Precio Descontado]]*Tabla4[[#This Row],[Cantidad]]</f>
        <v>14784.762513000001</v>
      </c>
      <c r="Q5674" s="282" t="e">
        <f>(INDEX(Tabla6[#All],MATCH(Tabla4[[#This Row],[Producto]],Tabla6[[#All],[PRODUCTO]],0),MATCH(Tabla4[[#This Row],[Mes]],Tabla6[#Headers],0)))</f>
        <v>#N/A</v>
      </c>
      <c r="R5674" s="282" t="e">
        <f>++Tabla4[[#This Row],[Precio Unitario Neto]]-Tabla4[[#This Row],[20.85%]]-Tabla4[[#This Row],[Costo]]</f>
        <v>#N/A</v>
      </c>
      <c r="S5674" s="282" t="e">
        <f>++Tabla4[[#This Row],[U. Bruta Uni]]*Tabla4[[#This Row],[Cantidad]]</f>
        <v>#N/A</v>
      </c>
      <c r="T5674" s="369" t="str">
        <f>VLOOKUP(Tabla4[[#This Row],[Producto]],Tabla6[#All],14,FALSE)</f>
        <v>Termico Solar</v>
      </c>
      <c r="U5674" s="284" t="e">
        <f>(IF(Tabla4[[#This Row],[Familia]]="termico solar",Tabla4[[#This Row],[Utilidad Total]]*6%,Tabla4[[#This Row],[Utilidad Total]]*11.5%))/Tabla4[[#This Row],[Total]]</f>
        <v>#N/A</v>
      </c>
      <c r="V5674" s="282" t="e">
        <f>+Tabla4[[#This Row],[Comisión Calculada]]*Tabla4[[#This Row],[Total]]</f>
        <v>#N/A</v>
      </c>
    </row>
    <row r="5675" spans="1:22" hidden="1" x14ac:dyDescent="0.25">
      <c r="A5675" s="100">
        <v>45915</v>
      </c>
      <c r="B5675" t="str">
        <f t="shared" si="273"/>
        <v>September</v>
      </c>
      <c r="C5675" s="46" t="s">
        <v>280</v>
      </c>
      <c r="F5675" s="366" t="s">
        <v>2917</v>
      </c>
      <c r="G5675" s="46" t="s">
        <v>16</v>
      </c>
      <c r="H5675" s="46">
        <v>1</v>
      </c>
      <c r="I5675" s="51">
        <v>4103.8500000000004</v>
      </c>
      <c r="J5675" s="281">
        <f>++Tabla4[[#This Row],[Precio Bruto]]*1.16</f>
        <v>4760.4660000000003</v>
      </c>
      <c r="K5675" s="281">
        <f>+Tabla4[[#This Row],[Precio Unitario Neto]]*Tabla4[[#Headers],[20.85%]]</f>
        <v>992.55716100000006</v>
      </c>
      <c r="L5675" s="282">
        <f>++Tabla4[[#This Row],[Precio Unitario Neto]]-Tabla4[[#This Row],[20.85%]]</f>
        <v>3767.9088390000002</v>
      </c>
      <c r="M5675" s="282" t="e">
        <f>(INDEX(Tabla6[#All],MATCH(Tabla4[[#This Row],[Producto]],Tabla6[[#All],[PRODUCTO]],0),MATCH(Tabla4[[#This Row],[Mes]],Tabla6[#Headers],0)))*(1+Catalogos!$L$2)</f>
        <v>#N/A</v>
      </c>
      <c r="N5675" s="283" t="e">
        <f>+(Tabla4[[#This Row],[Precio Descontado]]-Tabla4[[#This Row],[Precio Base]])*Tabla4[[#This Row],[Cantidad]]</f>
        <v>#N/A</v>
      </c>
      <c r="O5675" s="284" t="e">
        <f>++Tabla4[[#This Row],[Utilidad Total]]/Tabla4[[#This Row],[Total]]</f>
        <v>#N/A</v>
      </c>
      <c r="P5675" s="282">
        <f>++Tabla4[[#This Row],[Precio Descontado]]*Tabla4[[#This Row],[Cantidad]]</f>
        <v>3767.9088390000002</v>
      </c>
      <c r="Q5675" s="282" t="e">
        <f>(INDEX(Tabla6[#All],MATCH(Tabla4[[#This Row],[Producto]],Tabla6[[#All],[PRODUCTO]],0),MATCH(Tabla4[[#This Row],[Mes]],Tabla6[#Headers],0)))</f>
        <v>#N/A</v>
      </c>
      <c r="R5675" s="282" t="e">
        <f>++Tabla4[[#This Row],[Precio Unitario Neto]]-Tabla4[[#This Row],[20.85%]]-Tabla4[[#This Row],[Costo]]</f>
        <v>#N/A</v>
      </c>
      <c r="S5675" s="282" t="e">
        <f>++Tabla4[[#This Row],[U. Bruta Uni]]*Tabla4[[#This Row],[Cantidad]]</f>
        <v>#N/A</v>
      </c>
      <c r="T5675" s="369" t="str">
        <f>VLOOKUP(Tabla4[[#This Row],[Producto]],Tabla6[#All],14,FALSE)</f>
        <v>Termico Solar</v>
      </c>
      <c r="U5675" s="284" t="e">
        <f>(IF(Tabla4[[#This Row],[Familia]]="termico solar",Tabla4[[#This Row],[Utilidad Total]]*6%,Tabla4[[#This Row],[Utilidad Total]]*11.5%))/Tabla4[[#This Row],[Total]]</f>
        <v>#N/A</v>
      </c>
      <c r="V5675" s="282" t="e">
        <f>+Tabla4[[#This Row],[Comisión Calculada]]*Tabla4[[#This Row],[Total]]</f>
        <v>#N/A</v>
      </c>
    </row>
    <row r="5676" spans="1:22" hidden="1" x14ac:dyDescent="0.25">
      <c r="A5676" s="100">
        <v>45915</v>
      </c>
      <c r="B5676" t="str">
        <f t="shared" si="273"/>
        <v>September</v>
      </c>
      <c r="C5676" s="46" t="s">
        <v>280</v>
      </c>
      <c r="F5676" s="366" t="s">
        <v>2918</v>
      </c>
      <c r="G5676" s="46" t="s">
        <v>566</v>
      </c>
      <c r="H5676" s="46">
        <v>1</v>
      </c>
      <c r="I5676" s="51">
        <v>2109.4499999999998</v>
      </c>
      <c r="J5676" s="281">
        <f>++Tabla4[[#This Row],[Precio Bruto]]*1.16</f>
        <v>2446.9619999999995</v>
      </c>
      <c r="K5676" s="281">
        <f>+Tabla4[[#This Row],[Precio Unitario Neto]]*Tabla4[[#Headers],[20.85%]]</f>
        <v>510.19157699999988</v>
      </c>
      <c r="L5676" s="282">
        <f>++Tabla4[[#This Row],[Precio Unitario Neto]]-Tabla4[[#This Row],[20.85%]]</f>
        <v>1936.7704229999997</v>
      </c>
      <c r="M5676" s="282" t="e">
        <f>(INDEX(Tabla6[#All],MATCH(Tabla4[[#This Row],[Producto]],Tabla6[[#All],[PRODUCTO]],0),MATCH(Tabla4[[#This Row],[Mes]],Tabla6[#Headers],0)))*(1+Catalogos!$L$2)</f>
        <v>#N/A</v>
      </c>
      <c r="N5676" s="283" t="e">
        <f>+(Tabla4[[#This Row],[Precio Descontado]]-Tabla4[[#This Row],[Precio Base]])*Tabla4[[#This Row],[Cantidad]]</f>
        <v>#N/A</v>
      </c>
      <c r="O5676" s="284" t="e">
        <f>++Tabla4[[#This Row],[Utilidad Total]]/Tabla4[[#This Row],[Total]]</f>
        <v>#N/A</v>
      </c>
      <c r="P5676" s="282">
        <f>++Tabla4[[#This Row],[Precio Descontado]]*Tabla4[[#This Row],[Cantidad]]</f>
        <v>1936.7704229999997</v>
      </c>
      <c r="Q5676" s="282" t="e">
        <f>(INDEX(Tabla6[#All],MATCH(Tabla4[[#This Row],[Producto]],Tabla6[[#All],[PRODUCTO]],0),MATCH(Tabla4[[#This Row],[Mes]],Tabla6[#Headers],0)))</f>
        <v>#N/A</v>
      </c>
      <c r="R5676" s="282" t="e">
        <f>++Tabla4[[#This Row],[Precio Unitario Neto]]-Tabla4[[#This Row],[20.85%]]-Tabla4[[#This Row],[Costo]]</f>
        <v>#N/A</v>
      </c>
      <c r="S5676" s="282" t="e">
        <f>++Tabla4[[#This Row],[U. Bruta Uni]]*Tabla4[[#This Row],[Cantidad]]</f>
        <v>#N/A</v>
      </c>
      <c r="T5676" s="369" t="str">
        <f>VLOOKUP(Tabla4[[#This Row],[Producto]],Tabla6[#All],14,FALSE)</f>
        <v>Termico Solar</v>
      </c>
      <c r="U5676" s="284" t="e">
        <f>(IF(Tabla4[[#This Row],[Familia]]="termico solar",Tabla4[[#This Row],[Utilidad Total]]*6%,Tabla4[[#This Row],[Utilidad Total]]*11.5%))/Tabla4[[#This Row],[Total]]</f>
        <v>#N/A</v>
      </c>
      <c r="V5676" s="282" t="e">
        <f>+Tabla4[[#This Row],[Comisión Calculada]]*Tabla4[[#This Row],[Total]]</f>
        <v>#N/A</v>
      </c>
    </row>
    <row r="5677" spans="1:22" hidden="1" x14ac:dyDescent="0.25">
      <c r="A5677" s="100">
        <v>45915</v>
      </c>
      <c r="B5677" t="str">
        <f t="shared" si="273"/>
        <v>September</v>
      </c>
      <c r="C5677" s="46" t="s">
        <v>280</v>
      </c>
      <c r="F5677" s="366" t="s">
        <v>2918</v>
      </c>
      <c r="G5677" s="46" t="s">
        <v>412</v>
      </c>
      <c r="H5677" s="46">
        <v>1</v>
      </c>
      <c r="I5677" s="51">
        <v>3240.84</v>
      </c>
      <c r="J5677" s="281">
        <f>++Tabla4[[#This Row],[Precio Bruto]]*1.16</f>
        <v>3759.3743999999997</v>
      </c>
      <c r="K5677" s="281">
        <f>+Tabla4[[#This Row],[Precio Unitario Neto]]*Tabla4[[#Headers],[20.85%]]</f>
        <v>783.82956239999987</v>
      </c>
      <c r="L5677" s="282">
        <f>++Tabla4[[#This Row],[Precio Unitario Neto]]-Tabla4[[#This Row],[20.85%]]</f>
        <v>2975.5448375999999</v>
      </c>
      <c r="M5677" s="282" t="e">
        <f>(INDEX(Tabla6[#All],MATCH(Tabla4[[#This Row],[Producto]],Tabla6[[#All],[PRODUCTO]],0),MATCH(Tabla4[[#This Row],[Mes]],Tabla6[#Headers],0)))*(1+Catalogos!$L$2)</f>
        <v>#N/A</v>
      </c>
      <c r="N5677" s="283" t="e">
        <f>+(Tabla4[[#This Row],[Precio Descontado]]-Tabla4[[#This Row],[Precio Base]])*Tabla4[[#This Row],[Cantidad]]</f>
        <v>#N/A</v>
      </c>
      <c r="O5677" s="284" t="e">
        <f>++Tabla4[[#This Row],[Utilidad Total]]/Tabla4[[#This Row],[Total]]</f>
        <v>#N/A</v>
      </c>
      <c r="P5677" s="282">
        <f>++Tabla4[[#This Row],[Precio Descontado]]*Tabla4[[#This Row],[Cantidad]]</f>
        <v>2975.5448375999999</v>
      </c>
      <c r="Q5677" s="282" t="e">
        <f>(INDEX(Tabla6[#All],MATCH(Tabla4[[#This Row],[Producto]],Tabla6[[#All],[PRODUCTO]],0),MATCH(Tabla4[[#This Row],[Mes]],Tabla6[#Headers],0)))</f>
        <v>#N/A</v>
      </c>
      <c r="R5677" s="282" t="e">
        <f>++Tabla4[[#This Row],[Precio Unitario Neto]]-Tabla4[[#This Row],[20.85%]]-Tabla4[[#This Row],[Costo]]</f>
        <v>#N/A</v>
      </c>
      <c r="S5677" s="282" t="e">
        <f>++Tabla4[[#This Row],[U. Bruta Uni]]*Tabla4[[#This Row],[Cantidad]]</f>
        <v>#N/A</v>
      </c>
      <c r="T5677" s="369" t="str">
        <f>VLOOKUP(Tabla4[[#This Row],[Producto]],Tabla6[#All],14,FALSE)</f>
        <v>Termico Solar</v>
      </c>
      <c r="U5677" s="284" t="e">
        <f>(IF(Tabla4[[#This Row],[Familia]]="termico solar",Tabla4[[#This Row],[Utilidad Total]]*6%,Tabla4[[#This Row],[Utilidad Total]]*11.5%))/Tabla4[[#This Row],[Total]]</f>
        <v>#N/A</v>
      </c>
      <c r="V5677" s="282" t="e">
        <f>+Tabla4[[#This Row],[Comisión Calculada]]*Tabla4[[#This Row],[Total]]</f>
        <v>#N/A</v>
      </c>
    </row>
    <row r="5678" spans="1:22" hidden="1" x14ac:dyDescent="0.25">
      <c r="A5678" s="100">
        <v>45915</v>
      </c>
      <c r="B5678" t="str">
        <f t="shared" si="273"/>
        <v>September</v>
      </c>
      <c r="C5678" s="46" t="s">
        <v>280</v>
      </c>
      <c r="F5678" s="366" t="s">
        <v>2918</v>
      </c>
      <c r="G5678" s="46" t="s">
        <v>16</v>
      </c>
      <c r="H5678" s="46">
        <v>1</v>
      </c>
      <c r="I5678" s="51">
        <v>4103.8500000000004</v>
      </c>
      <c r="J5678" s="281">
        <f>++Tabla4[[#This Row],[Precio Bruto]]*1.16</f>
        <v>4760.4660000000003</v>
      </c>
      <c r="K5678" s="281">
        <f>+Tabla4[[#This Row],[Precio Unitario Neto]]*Tabla4[[#Headers],[20.85%]]</f>
        <v>992.55716100000006</v>
      </c>
      <c r="L5678" s="282">
        <f>++Tabla4[[#This Row],[Precio Unitario Neto]]-Tabla4[[#This Row],[20.85%]]</f>
        <v>3767.9088390000002</v>
      </c>
      <c r="M5678" s="282" t="e">
        <f>(INDEX(Tabla6[#All],MATCH(Tabla4[[#This Row],[Producto]],Tabla6[[#All],[PRODUCTO]],0),MATCH(Tabla4[[#This Row],[Mes]],Tabla6[#Headers],0)))*(1+Catalogos!$L$2)</f>
        <v>#N/A</v>
      </c>
      <c r="N5678" s="283" t="e">
        <f>+(Tabla4[[#This Row],[Precio Descontado]]-Tabla4[[#This Row],[Precio Base]])*Tabla4[[#This Row],[Cantidad]]</f>
        <v>#N/A</v>
      </c>
      <c r="O5678" s="284" t="e">
        <f>++Tabla4[[#This Row],[Utilidad Total]]/Tabla4[[#This Row],[Total]]</f>
        <v>#N/A</v>
      </c>
      <c r="P5678" s="282">
        <f>++Tabla4[[#This Row],[Precio Descontado]]*Tabla4[[#This Row],[Cantidad]]</f>
        <v>3767.9088390000002</v>
      </c>
      <c r="Q5678" s="282" t="e">
        <f>(INDEX(Tabla6[#All],MATCH(Tabla4[[#This Row],[Producto]],Tabla6[[#All],[PRODUCTO]],0),MATCH(Tabla4[[#This Row],[Mes]],Tabla6[#Headers],0)))</f>
        <v>#N/A</v>
      </c>
      <c r="R5678" s="282" t="e">
        <f>++Tabla4[[#This Row],[Precio Unitario Neto]]-Tabla4[[#This Row],[20.85%]]-Tabla4[[#This Row],[Costo]]</f>
        <v>#N/A</v>
      </c>
      <c r="S5678" s="282" t="e">
        <f>++Tabla4[[#This Row],[U. Bruta Uni]]*Tabla4[[#This Row],[Cantidad]]</f>
        <v>#N/A</v>
      </c>
      <c r="T5678" s="369" t="str">
        <f>VLOOKUP(Tabla4[[#This Row],[Producto]],Tabla6[#All],14,FALSE)</f>
        <v>Termico Solar</v>
      </c>
      <c r="U5678" s="284" t="e">
        <f>(IF(Tabla4[[#This Row],[Familia]]="termico solar",Tabla4[[#This Row],[Utilidad Total]]*6%,Tabla4[[#This Row],[Utilidad Total]]*11.5%))/Tabla4[[#This Row],[Total]]</f>
        <v>#N/A</v>
      </c>
      <c r="V5678" s="282" t="e">
        <f>+Tabla4[[#This Row],[Comisión Calculada]]*Tabla4[[#This Row],[Total]]</f>
        <v>#N/A</v>
      </c>
    </row>
    <row r="5679" spans="1:22" hidden="1" x14ac:dyDescent="0.25">
      <c r="A5679" s="100">
        <v>45915</v>
      </c>
      <c r="B5679" t="str">
        <f t="shared" si="273"/>
        <v>September</v>
      </c>
      <c r="C5679" s="46" t="s">
        <v>280</v>
      </c>
      <c r="F5679" s="366" t="s">
        <v>2919</v>
      </c>
      <c r="G5679" s="46" t="s">
        <v>83</v>
      </c>
      <c r="H5679" s="46">
        <v>1</v>
      </c>
      <c r="I5679" s="51">
        <v>8858.76</v>
      </c>
      <c r="J5679" s="281">
        <f>++Tabla4[[#This Row],[Precio Bruto]]*1.16</f>
        <v>10276.161599999999</v>
      </c>
      <c r="K5679" s="281">
        <f>+Tabla4[[#This Row],[Precio Unitario Neto]]*Tabla4[[#Headers],[20.85%]]</f>
        <v>2142.5796935999997</v>
      </c>
      <c r="L5679" s="282">
        <f>++Tabla4[[#This Row],[Precio Unitario Neto]]-Tabla4[[#This Row],[20.85%]]</f>
        <v>8133.5819063999998</v>
      </c>
      <c r="M5679" s="282" t="e">
        <f>(INDEX(Tabla6[#All],MATCH(Tabla4[[#This Row],[Producto]],Tabla6[[#All],[PRODUCTO]],0),MATCH(Tabla4[[#This Row],[Mes]],Tabla6[#Headers],0)))*(1+Catalogos!$L$2)</f>
        <v>#N/A</v>
      </c>
      <c r="N5679" s="283" t="e">
        <f>+(Tabla4[[#This Row],[Precio Descontado]]-Tabla4[[#This Row],[Precio Base]])*Tabla4[[#This Row],[Cantidad]]</f>
        <v>#N/A</v>
      </c>
      <c r="O5679" s="284" t="e">
        <f>++Tabla4[[#This Row],[Utilidad Total]]/Tabla4[[#This Row],[Total]]</f>
        <v>#N/A</v>
      </c>
      <c r="P5679" s="282">
        <f>++Tabla4[[#This Row],[Precio Descontado]]*Tabla4[[#This Row],[Cantidad]]</f>
        <v>8133.5819063999998</v>
      </c>
      <c r="Q5679" s="282" t="e">
        <f>(INDEX(Tabla6[#All],MATCH(Tabla4[[#This Row],[Producto]],Tabla6[[#All],[PRODUCTO]],0),MATCH(Tabla4[[#This Row],[Mes]],Tabla6[#Headers],0)))</f>
        <v>#N/A</v>
      </c>
      <c r="R5679" s="282" t="e">
        <f>++Tabla4[[#This Row],[Precio Unitario Neto]]-Tabla4[[#This Row],[20.85%]]-Tabla4[[#This Row],[Costo]]</f>
        <v>#N/A</v>
      </c>
      <c r="S5679" s="282" t="e">
        <f>++Tabla4[[#This Row],[U. Bruta Uni]]*Tabla4[[#This Row],[Cantidad]]</f>
        <v>#N/A</v>
      </c>
      <c r="T5679" s="369" t="str">
        <f>VLOOKUP(Tabla4[[#This Row],[Producto]],Tabla6[#All],14,FALSE)</f>
        <v>Termico Solar</v>
      </c>
      <c r="U5679" s="284" t="e">
        <f>(IF(Tabla4[[#This Row],[Familia]]="termico solar",Tabla4[[#This Row],[Utilidad Total]]*6%,Tabla4[[#This Row],[Utilidad Total]]*11.5%))/Tabla4[[#This Row],[Total]]</f>
        <v>#N/A</v>
      </c>
      <c r="V5679" s="282" t="e">
        <f>+Tabla4[[#This Row],[Comisión Calculada]]*Tabla4[[#This Row],[Total]]</f>
        <v>#N/A</v>
      </c>
    </row>
    <row r="5680" spans="1:22" hidden="1" x14ac:dyDescent="0.25">
      <c r="A5680" s="100">
        <v>45915</v>
      </c>
      <c r="B5680" t="str">
        <f t="shared" si="273"/>
        <v>September</v>
      </c>
      <c r="C5680" s="46" t="s">
        <v>280</v>
      </c>
      <c r="F5680" s="366" t="s">
        <v>2919</v>
      </c>
      <c r="G5680" s="46" t="s">
        <v>17</v>
      </c>
      <c r="H5680" s="46">
        <v>1</v>
      </c>
      <c r="I5680" s="51">
        <v>4622.28</v>
      </c>
      <c r="J5680" s="281">
        <f>++Tabla4[[#This Row],[Precio Bruto]]*1.16</f>
        <v>5361.8447999999989</v>
      </c>
      <c r="K5680" s="281">
        <f>+Tabla4[[#This Row],[Precio Unitario Neto]]*Tabla4[[#Headers],[20.85%]]</f>
        <v>1117.9446407999997</v>
      </c>
      <c r="L5680" s="282">
        <f>++Tabla4[[#This Row],[Precio Unitario Neto]]-Tabla4[[#This Row],[20.85%]]</f>
        <v>4243.9001591999995</v>
      </c>
      <c r="M5680" s="282" t="e">
        <f>(INDEX(Tabla6[#All],MATCH(Tabla4[[#This Row],[Producto]],Tabla6[[#All],[PRODUCTO]],0),MATCH(Tabla4[[#This Row],[Mes]],Tabla6[#Headers],0)))*(1+Catalogos!$L$2)</f>
        <v>#N/A</v>
      </c>
      <c r="N5680" s="283" t="e">
        <f>+(Tabla4[[#This Row],[Precio Descontado]]-Tabla4[[#This Row],[Precio Base]])*Tabla4[[#This Row],[Cantidad]]</f>
        <v>#N/A</v>
      </c>
      <c r="O5680" s="284" t="e">
        <f>++Tabla4[[#This Row],[Utilidad Total]]/Tabla4[[#This Row],[Total]]</f>
        <v>#N/A</v>
      </c>
      <c r="P5680" s="282">
        <f>++Tabla4[[#This Row],[Precio Descontado]]*Tabla4[[#This Row],[Cantidad]]</f>
        <v>4243.9001591999995</v>
      </c>
      <c r="Q5680" s="282" t="e">
        <f>(INDEX(Tabla6[#All],MATCH(Tabla4[[#This Row],[Producto]],Tabla6[[#All],[PRODUCTO]],0),MATCH(Tabla4[[#This Row],[Mes]],Tabla6[#Headers],0)))</f>
        <v>#N/A</v>
      </c>
      <c r="R5680" s="282" t="e">
        <f>++Tabla4[[#This Row],[Precio Unitario Neto]]-Tabla4[[#This Row],[20.85%]]-Tabla4[[#This Row],[Costo]]</f>
        <v>#N/A</v>
      </c>
      <c r="S5680" s="282" t="e">
        <f>++Tabla4[[#This Row],[U. Bruta Uni]]*Tabla4[[#This Row],[Cantidad]]</f>
        <v>#N/A</v>
      </c>
      <c r="T5680" s="369" t="str">
        <f>VLOOKUP(Tabla4[[#This Row],[Producto]],Tabla6[#All],14,FALSE)</f>
        <v>Termico Solar</v>
      </c>
      <c r="U5680" s="284" t="e">
        <f>(IF(Tabla4[[#This Row],[Familia]]="termico solar",Tabla4[[#This Row],[Utilidad Total]]*6%,Tabla4[[#This Row],[Utilidad Total]]*11.5%))/Tabla4[[#This Row],[Total]]</f>
        <v>#N/A</v>
      </c>
      <c r="V5680" s="282" t="e">
        <f>+Tabla4[[#This Row],[Comisión Calculada]]*Tabla4[[#This Row],[Total]]</f>
        <v>#N/A</v>
      </c>
    </row>
    <row r="5681" spans="1:22" hidden="1" x14ac:dyDescent="0.25">
      <c r="A5681" s="100">
        <v>45915</v>
      </c>
      <c r="B5681" t="str">
        <f t="shared" si="273"/>
        <v>September</v>
      </c>
      <c r="C5681" s="46" t="s">
        <v>280</v>
      </c>
      <c r="F5681" s="366" t="s">
        <v>2919</v>
      </c>
      <c r="G5681" s="46" t="s">
        <v>566</v>
      </c>
      <c r="H5681" s="46">
        <v>1</v>
      </c>
      <c r="I5681" s="51">
        <v>2109.4499999999998</v>
      </c>
      <c r="J5681" s="281">
        <f>++Tabla4[[#This Row],[Precio Bruto]]*1.16</f>
        <v>2446.9619999999995</v>
      </c>
      <c r="K5681" s="281">
        <f>+Tabla4[[#This Row],[Precio Unitario Neto]]*Tabla4[[#Headers],[20.85%]]</f>
        <v>510.19157699999988</v>
      </c>
      <c r="L5681" s="282">
        <f>++Tabla4[[#This Row],[Precio Unitario Neto]]-Tabla4[[#This Row],[20.85%]]</f>
        <v>1936.7704229999997</v>
      </c>
      <c r="M5681" s="282" t="e">
        <f>(INDEX(Tabla6[#All],MATCH(Tabla4[[#This Row],[Producto]],Tabla6[[#All],[PRODUCTO]],0),MATCH(Tabla4[[#This Row],[Mes]],Tabla6[#Headers],0)))*(1+Catalogos!$L$2)</f>
        <v>#N/A</v>
      </c>
      <c r="N5681" s="283" t="e">
        <f>+(Tabla4[[#This Row],[Precio Descontado]]-Tabla4[[#This Row],[Precio Base]])*Tabla4[[#This Row],[Cantidad]]</f>
        <v>#N/A</v>
      </c>
      <c r="O5681" s="284" t="e">
        <f>++Tabla4[[#This Row],[Utilidad Total]]/Tabla4[[#This Row],[Total]]</f>
        <v>#N/A</v>
      </c>
      <c r="P5681" s="282">
        <f>++Tabla4[[#This Row],[Precio Descontado]]*Tabla4[[#This Row],[Cantidad]]</f>
        <v>1936.7704229999997</v>
      </c>
      <c r="Q5681" s="282" t="e">
        <f>(INDEX(Tabla6[#All],MATCH(Tabla4[[#This Row],[Producto]],Tabla6[[#All],[PRODUCTO]],0),MATCH(Tabla4[[#This Row],[Mes]],Tabla6[#Headers],0)))</f>
        <v>#N/A</v>
      </c>
      <c r="R5681" s="282" t="e">
        <f>++Tabla4[[#This Row],[Precio Unitario Neto]]-Tabla4[[#This Row],[20.85%]]-Tabla4[[#This Row],[Costo]]</f>
        <v>#N/A</v>
      </c>
      <c r="S5681" s="282" t="e">
        <f>++Tabla4[[#This Row],[U. Bruta Uni]]*Tabla4[[#This Row],[Cantidad]]</f>
        <v>#N/A</v>
      </c>
      <c r="T5681" s="369" t="str">
        <f>VLOOKUP(Tabla4[[#This Row],[Producto]],Tabla6[#All],14,FALSE)</f>
        <v>Termico Solar</v>
      </c>
      <c r="U5681" s="284" t="e">
        <f>(IF(Tabla4[[#This Row],[Familia]]="termico solar",Tabla4[[#This Row],[Utilidad Total]]*6%,Tabla4[[#This Row],[Utilidad Total]]*11.5%))/Tabla4[[#This Row],[Total]]</f>
        <v>#N/A</v>
      </c>
      <c r="V5681" s="282" t="e">
        <f>+Tabla4[[#This Row],[Comisión Calculada]]*Tabla4[[#This Row],[Total]]</f>
        <v>#N/A</v>
      </c>
    </row>
    <row r="5682" spans="1:22" hidden="1" x14ac:dyDescent="0.25">
      <c r="A5682" s="100">
        <v>45915</v>
      </c>
      <c r="B5682" t="str">
        <f t="shared" ref="B5682:B5713" si="274">TEXT(A5682, "mmmm")</f>
        <v>September</v>
      </c>
      <c r="C5682" s="46" t="s">
        <v>280</v>
      </c>
      <c r="F5682" s="366" t="s">
        <v>2920</v>
      </c>
      <c r="G5682" s="46" t="s">
        <v>17</v>
      </c>
      <c r="H5682" s="46">
        <v>1</v>
      </c>
      <c r="I5682" s="51">
        <v>4622.28</v>
      </c>
      <c r="J5682" s="281">
        <f>++Tabla4[[#This Row],[Precio Bruto]]*1.16</f>
        <v>5361.8447999999989</v>
      </c>
      <c r="K5682" s="281">
        <f>+Tabla4[[#This Row],[Precio Unitario Neto]]*Tabla4[[#Headers],[20.85%]]</f>
        <v>1117.9446407999997</v>
      </c>
      <c r="L5682" s="282">
        <f>++Tabla4[[#This Row],[Precio Unitario Neto]]-Tabla4[[#This Row],[20.85%]]</f>
        <v>4243.9001591999995</v>
      </c>
      <c r="M5682" s="282" t="e">
        <f>(INDEX(Tabla6[#All],MATCH(Tabla4[[#This Row],[Producto]],Tabla6[[#All],[PRODUCTO]],0),MATCH(Tabla4[[#This Row],[Mes]],Tabla6[#Headers],0)))*(1+Catalogos!$L$2)</f>
        <v>#N/A</v>
      </c>
      <c r="N5682" s="283" t="e">
        <f>+(Tabla4[[#This Row],[Precio Descontado]]-Tabla4[[#This Row],[Precio Base]])*Tabla4[[#This Row],[Cantidad]]</f>
        <v>#N/A</v>
      </c>
      <c r="O5682" s="284" t="e">
        <f>++Tabla4[[#This Row],[Utilidad Total]]/Tabla4[[#This Row],[Total]]</f>
        <v>#N/A</v>
      </c>
      <c r="P5682" s="282">
        <f>++Tabla4[[#This Row],[Precio Descontado]]*Tabla4[[#This Row],[Cantidad]]</f>
        <v>4243.9001591999995</v>
      </c>
      <c r="Q5682" s="282" t="e">
        <f>(INDEX(Tabla6[#All],MATCH(Tabla4[[#This Row],[Producto]],Tabla6[[#All],[PRODUCTO]],0),MATCH(Tabla4[[#This Row],[Mes]],Tabla6[#Headers],0)))</f>
        <v>#N/A</v>
      </c>
      <c r="R5682" s="282" t="e">
        <f>++Tabla4[[#This Row],[Precio Unitario Neto]]-Tabla4[[#This Row],[20.85%]]-Tabla4[[#This Row],[Costo]]</f>
        <v>#N/A</v>
      </c>
      <c r="S5682" s="282" t="e">
        <f>++Tabla4[[#This Row],[U. Bruta Uni]]*Tabla4[[#This Row],[Cantidad]]</f>
        <v>#N/A</v>
      </c>
      <c r="T5682" s="369" t="str">
        <f>VLOOKUP(Tabla4[[#This Row],[Producto]],Tabla6[#All],14,FALSE)</f>
        <v>Termico Solar</v>
      </c>
      <c r="U5682" s="284" t="e">
        <f>(IF(Tabla4[[#This Row],[Familia]]="termico solar",Tabla4[[#This Row],[Utilidad Total]]*6%,Tabla4[[#This Row],[Utilidad Total]]*11.5%))/Tabla4[[#This Row],[Total]]</f>
        <v>#N/A</v>
      </c>
      <c r="V5682" s="282" t="e">
        <f>+Tabla4[[#This Row],[Comisión Calculada]]*Tabla4[[#This Row],[Total]]</f>
        <v>#N/A</v>
      </c>
    </row>
    <row r="5683" spans="1:22" hidden="1" x14ac:dyDescent="0.25">
      <c r="A5683" s="100">
        <v>45915</v>
      </c>
      <c r="B5683" t="str">
        <f t="shared" si="274"/>
        <v>September</v>
      </c>
      <c r="C5683" s="46" t="s">
        <v>280</v>
      </c>
      <c r="F5683" s="366" t="s">
        <v>2920</v>
      </c>
      <c r="G5683" s="46" t="s">
        <v>18</v>
      </c>
      <c r="H5683" s="46">
        <v>4</v>
      </c>
      <c r="I5683" s="51">
        <v>5367.65</v>
      </c>
      <c r="J5683" s="281">
        <f>++Tabla4[[#This Row],[Precio Bruto]]*1.16</f>
        <v>6226.4739999999993</v>
      </c>
      <c r="K5683" s="281">
        <f>+Tabla4[[#This Row],[Precio Unitario Neto]]*Tabla4[[#Headers],[20.85%]]</f>
        <v>1298.2198289999999</v>
      </c>
      <c r="L5683" s="282">
        <f>++Tabla4[[#This Row],[Precio Unitario Neto]]-Tabla4[[#This Row],[20.85%]]</f>
        <v>4928.2541709999996</v>
      </c>
      <c r="M5683" s="282" t="e">
        <f>(INDEX(Tabla6[#All],MATCH(Tabla4[[#This Row],[Producto]],Tabla6[[#All],[PRODUCTO]],0),MATCH(Tabla4[[#This Row],[Mes]],Tabla6[#Headers],0)))*(1+Catalogos!$L$2)</f>
        <v>#N/A</v>
      </c>
      <c r="N5683" s="283" t="e">
        <f>+(Tabla4[[#This Row],[Precio Descontado]]-Tabla4[[#This Row],[Precio Base]])*Tabla4[[#This Row],[Cantidad]]</f>
        <v>#N/A</v>
      </c>
      <c r="O5683" s="284" t="e">
        <f>++Tabla4[[#This Row],[Utilidad Total]]/Tabla4[[#This Row],[Total]]</f>
        <v>#N/A</v>
      </c>
      <c r="P5683" s="282">
        <f>++Tabla4[[#This Row],[Precio Descontado]]*Tabla4[[#This Row],[Cantidad]]</f>
        <v>19713.016683999998</v>
      </c>
      <c r="Q5683" s="282" t="e">
        <f>(INDEX(Tabla6[#All],MATCH(Tabla4[[#This Row],[Producto]],Tabla6[[#All],[PRODUCTO]],0),MATCH(Tabla4[[#This Row],[Mes]],Tabla6[#Headers],0)))</f>
        <v>#N/A</v>
      </c>
      <c r="R5683" s="282" t="e">
        <f>++Tabla4[[#This Row],[Precio Unitario Neto]]-Tabla4[[#This Row],[20.85%]]-Tabla4[[#This Row],[Costo]]</f>
        <v>#N/A</v>
      </c>
      <c r="S5683" s="282" t="e">
        <f>++Tabla4[[#This Row],[U. Bruta Uni]]*Tabla4[[#This Row],[Cantidad]]</f>
        <v>#N/A</v>
      </c>
      <c r="T5683" s="369" t="str">
        <f>VLOOKUP(Tabla4[[#This Row],[Producto]],Tabla6[#All],14,FALSE)</f>
        <v>Termico Solar</v>
      </c>
      <c r="U5683" s="284" t="e">
        <f>(IF(Tabla4[[#This Row],[Familia]]="termico solar",Tabla4[[#This Row],[Utilidad Total]]*6%,Tabla4[[#This Row],[Utilidad Total]]*11.5%))/Tabla4[[#This Row],[Total]]</f>
        <v>#N/A</v>
      </c>
      <c r="V5683" s="282" t="e">
        <f>+Tabla4[[#This Row],[Comisión Calculada]]*Tabla4[[#This Row],[Total]]</f>
        <v>#N/A</v>
      </c>
    </row>
    <row r="5684" spans="1:22" hidden="1" x14ac:dyDescent="0.25">
      <c r="A5684" s="100">
        <v>45915</v>
      </c>
      <c r="B5684" t="str">
        <f t="shared" si="274"/>
        <v>September</v>
      </c>
      <c r="C5684" s="46" t="s">
        <v>280</v>
      </c>
      <c r="F5684" s="366" t="s">
        <v>2921</v>
      </c>
      <c r="G5684" s="46" t="s">
        <v>17</v>
      </c>
      <c r="H5684" s="46">
        <v>2</v>
      </c>
      <c r="I5684" s="51">
        <v>4622.28</v>
      </c>
      <c r="J5684" s="281">
        <f>++Tabla4[[#This Row],[Precio Bruto]]*1.16</f>
        <v>5361.8447999999989</v>
      </c>
      <c r="K5684" s="281">
        <f>+Tabla4[[#This Row],[Precio Unitario Neto]]*Tabla4[[#Headers],[20.85%]]</f>
        <v>1117.9446407999997</v>
      </c>
      <c r="L5684" s="282">
        <f>++Tabla4[[#This Row],[Precio Unitario Neto]]-Tabla4[[#This Row],[20.85%]]</f>
        <v>4243.9001591999995</v>
      </c>
      <c r="M5684" s="282" t="e">
        <f>(INDEX(Tabla6[#All],MATCH(Tabla4[[#This Row],[Producto]],Tabla6[[#All],[PRODUCTO]],0),MATCH(Tabla4[[#This Row],[Mes]],Tabla6[#Headers],0)))*(1+Catalogos!$L$2)</f>
        <v>#N/A</v>
      </c>
      <c r="N5684" s="283" t="e">
        <f>+(Tabla4[[#This Row],[Precio Descontado]]-Tabla4[[#This Row],[Precio Base]])*Tabla4[[#This Row],[Cantidad]]</f>
        <v>#N/A</v>
      </c>
      <c r="O5684" s="284" t="e">
        <f>++Tabla4[[#This Row],[Utilidad Total]]/Tabla4[[#This Row],[Total]]</f>
        <v>#N/A</v>
      </c>
      <c r="P5684" s="282">
        <f>++Tabla4[[#This Row],[Precio Descontado]]*Tabla4[[#This Row],[Cantidad]]</f>
        <v>8487.800318399999</v>
      </c>
      <c r="Q5684" s="282" t="e">
        <f>(INDEX(Tabla6[#All],MATCH(Tabla4[[#This Row],[Producto]],Tabla6[[#All],[PRODUCTO]],0),MATCH(Tabla4[[#This Row],[Mes]],Tabla6[#Headers],0)))</f>
        <v>#N/A</v>
      </c>
      <c r="R5684" s="282" t="e">
        <f>++Tabla4[[#This Row],[Precio Unitario Neto]]-Tabla4[[#This Row],[20.85%]]-Tabla4[[#This Row],[Costo]]</f>
        <v>#N/A</v>
      </c>
      <c r="S5684" s="282" t="e">
        <f>++Tabla4[[#This Row],[U. Bruta Uni]]*Tabla4[[#This Row],[Cantidad]]</f>
        <v>#N/A</v>
      </c>
      <c r="T5684" s="369" t="str">
        <f>VLOOKUP(Tabla4[[#This Row],[Producto]],Tabla6[#All],14,FALSE)</f>
        <v>Termico Solar</v>
      </c>
      <c r="U5684" s="284" t="e">
        <f>(IF(Tabla4[[#This Row],[Familia]]="termico solar",Tabla4[[#This Row],[Utilidad Total]]*6%,Tabla4[[#This Row],[Utilidad Total]]*11.5%))/Tabla4[[#This Row],[Total]]</f>
        <v>#N/A</v>
      </c>
      <c r="V5684" s="282" t="e">
        <f>+Tabla4[[#This Row],[Comisión Calculada]]*Tabla4[[#This Row],[Total]]</f>
        <v>#N/A</v>
      </c>
    </row>
    <row r="5685" spans="1:22" hidden="1" x14ac:dyDescent="0.25">
      <c r="A5685" s="100">
        <v>45915</v>
      </c>
      <c r="B5685" t="str">
        <f t="shared" si="274"/>
        <v>September</v>
      </c>
      <c r="C5685" s="46" t="s">
        <v>280</v>
      </c>
      <c r="F5685" s="366" t="s">
        <v>2921</v>
      </c>
      <c r="G5685" s="46" t="s">
        <v>18</v>
      </c>
      <c r="H5685" s="46">
        <v>3</v>
      </c>
      <c r="I5685" s="51">
        <v>5367.6500000000005</v>
      </c>
      <c r="J5685" s="281">
        <f>++Tabla4[[#This Row],[Precio Bruto]]*1.16</f>
        <v>6226.4740000000002</v>
      </c>
      <c r="K5685" s="281">
        <f>+Tabla4[[#This Row],[Precio Unitario Neto]]*Tabla4[[#Headers],[20.85%]]</f>
        <v>1298.2198289999999</v>
      </c>
      <c r="L5685" s="282">
        <f>++Tabla4[[#This Row],[Precio Unitario Neto]]-Tabla4[[#This Row],[20.85%]]</f>
        <v>4928.2541710000005</v>
      </c>
      <c r="M5685" s="282" t="e">
        <f>(INDEX(Tabla6[#All],MATCH(Tabla4[[#This Row],[Producto]],Tabla6[[#All],[PRODUCTO]],0),MATCH(Tabla4[[#This Row],[Mes]],Tabla6[#Headers],0)))*(1+Catalogos!$L$2)</f>
        <v>#N/A</v>
      </c>
      <c r="N5685" s="283" t="e">
        <f>+(Tabla4[[#This Row],[Precio Descontado]]-Tabla4[[#This Row],[Precio Base]])*Tabla4[[#This Row],[Cantidad]]</f>
        <v>#N/A</v>
      </c>
      <c r="O5685" s="284" t="e">
        <f>++Tabla4[[#This Row],[Utilidad Total]]/Tabla4[[#This Row],[Total]]</f>
        <v>#N/A</v>
      </c>
      <c r="P5685" s="282">
        <f>++Tabla4[[#This Row],[Precio Descontado]]*Tabla4[[#This Row],[Cantidad]]</f>
        <v>14784.762513000001</v>
      </c>
      <c r="Q5685" s="282" t="e">
        <f>(INDEX(Tabla6[#All],MATCH(Tabla4[[#This Row],[Producto]],Tabla6[[#All],[PRODUCTO]],0),MATCH(Tabla4[[#This Row],[Mes]],Tabla6[#Headers],0)))</f>
        <v>#N/A</v>
      </c>
      <c r="R5685" s="282" t="e">
        <f>++Tabla4[[#This Row],[Precio Unitario Neto]]-Tabla4[[#This Row],[20.85%]]-Tabla4[[#This Row],[Costo]]</f>
        <v>#N/A</v>
      </c>
      <c r="S5685" s="282" t="e">
        <f>++Tabla4[[#This Row],[U. Bruta Uni]]*Tabla4[[#This Row],[Cantidad]]</f>
        <v>#N/A</v>
      </c>
      <c r="T5685" s="369" t="str">
        <f>VLOOKUP(Tabla4[[#This Row],[Producto]],Tabla6[#All],14,FALSE)</f>
        <v>Termico Solar</v>
      </c>
      <c r="U5685" s="284" t="e">
        <f>(IF(Tabla4[[#This Row],[Familia]]="termico solar",Tabla4[[#This Row],[Utilidad Total]]*6%,Tabla4[[#This Row],[Utilidad Total]]*11.5%))/Tabla4[[#This Row],[Total]]</f>
        <v>#N/A</v>
      </c>
      <c r="V5685" s="282" t="e">
        <f>+Tabla4[[#This Row],[Comisión Calculada]]*Tabla4[[#This Row],[Total]]</f>
        <v>#N/A</v>
      </c>
    </row>
    <row r="5686" spans="1:22" hidden="1" x14ac:dyDescent="0.25">
      <c r="A5686" s="100">
        <v>45915</v>
      </c>
      <c r="B5686" t="str">
        <f t="shared" si="274"/>
        <v>September</v>
      </c>
      <c r="C5686" s="46" t="s">
        <v>280</v>
      </c>
      <c r="F5686" s="366" t="s">
        <v>2921</v>
      </c>
      <c r="G5686" s="46" t="s">
        <v>394</v>
      </c>
      <c r="H5686" s="46">
        <v>9</v>
      </c>
      <c r="I5686" s="51">
        <v>108.1</v>
      </c>
      <c r="J5686" s="281">
        <f>++Tabla4[[#This Row],[Precio Bruto]]*1.16</f>
        <v>125.39599999999999</v>
      </c>
      <c r="K5686" s="281">
        <f>+Tabla4[[#This Row],[Precio Unitario Neto]]*Tabla4[[#Headers],[20.85%]]</f>
        <v>26.145065999999996</v>
      </c>
      <c r="L5686" s="282">
        <f>++Tabla4[[#This Row],[Precio Unitario Neto]]-Tabla4[[#This Row],[20.85%]]</f>
        <v>99.250933999999987</v>
      </c>
      <c r="M5686" s="282" t="e">
        <f>(INDEX(Tabla6[#All],MATCH(Tabla4[[#This Row],[Producto]],Tabla6[[#All],[PRODUCTO]],0),MATCH(Tabla4[[#This Row],[Mes]],Tabla6[#Headers],0)))*(1+Catalogos!$L$2)</f>
        <v>#N/A</v>
      </c>
      <c r="N5686" s="283" t="e">
        <f>+(Tabla4[[#This Row],[Precio Descontado]]-Tabla4[[#This Row],[Precio Base]])*Tabla4[[#This Row],[Cantidad]]</f>
        <v>#N/A</v>
      </c>
      <c r="O5686" s="284" t="e">
        <f>++Tabla4[[#This Row],[Utilidad Total]]/Tabla4[[#This Row],[Total]]</f>
        <v>#N/A</v>
      </c>
      <c r="P5686" s="282">
        <f>++Tabla4[[#This Row],[Precio Descontado]]*Tabla4[[#This Row],[Cantidad]]</f>
        <v>893.25840599999992</v>
      </c>
      <c r="Q5686" s="282" t="e">
        <f>(INDEX(Tabla6[#All],MATCH(Tabla4[[#This Row],[Producto]],Tabla6[[#All],[PRODUCTO]],0),MATCH(Tabla4[[#This Row],[Mes]],Tabla6[#Headers],0)))</f>
        <v>#N/A</v>
      </c>
      <c r="R5686" s="282" t="e">
        <f>++Tabla4[[#This Row],[Precio Unitario Neto]]-Tabla4[[#This Row],[20.85%]]-Tabla4[[#This Row],[Costo]]</f>
        <v>#N/A</v>
      </c>
      <c r="S5686" s="282" t="e">
        <f>++Tabla4[[#This Row],[U. Bruta Uni]]*Tabla4[[#This Row],[Cantidad]]</f>
        <v>#N/A</v>
      </c>
      <c r="T5686" s="369" t="str">
        <f>VLOOKUP(Tabla4[[#This Row],[Producto]],Tabla6[#All],14,FALSE)</f>
        <v>Termico Solar</v>
      </c>
      <c r="U5686" s="284" t="e">
        <f>(IF(Tabla4[[#This Row],[Familia]]="termico solar",Tabla4[[#This Row],[Utilidad Total]]*6%,Tabla4[[#This Row],[Utilidad Total]]*11.5%))/Tabla4[[#This Row],[Total]]</f>
        <v>#N/A</v>
      </c>
      <c r="V5686" s="282" t="e">
        <f>+Tabla4[[#This Row],[Comisión Calculada]]*Tabla4[[#This Row],[Total]]</f>
        <v>#N/A</v>
      </c>
    </row>
    <row r="5687" spans="1:22" hidden="1" x14ac:dyDescent="0.25">
      <c r="A5687" s="100">
        <v>45915</v>
      </c>
      <c r="B5687" t="str">
        <f t="shared" si="274"/>
        <v>September</v>
      </c>
      <c r="C5687" s="46" t="s">
        <v>280</v>
      </c>
      <c r="F5687" s="366" t="s">
        <v>2921</v>
      </c>
      <c r="G5687" s="46" t="s">
        <v>16</v>
      </c>
      <c r="H5687" s="46">
        <v>1</v>
      </c>
      <c r="I5687" s="51">
        <v>4103.8500000000004</v>
      </c>
      <c r="J5687" s="281">
        <f>++Tabla4[[#This Row],[Precio Bruto]]*1.16</f>
        <v>4760.4660000000003</v>
      </c>
      <c r="K5687" s="281">
        <f>+Tabla4[[#This Row],[Precio Unitario Neto]]*Tabla4[[#Headers],[20.85%]]</f>
        <v>992.55716100000006</v>
      </c>
      <c r="L5687" s="282">
        <f>++Tabla4[[#This Row],[Precio Unitario Neto]]-Tabla4[[#This Row],[20.85%]]</f>
        <v>3767.9088390000002</v>
      </c>
      <c r="M5687" s="282" t="e">
        <f>(INDEX(Tabla6[#All],MATCH(Tabla4[[#This Row],[Producto]],Tabla6[[#All],[PRODUCTO]],0),MATCH(Tabla4[[#This Row],[Mes]],Tabla6[#Headers],0)))*(1+Catalogos!$L$2)</f>
        <v>#N/A</v>
      </c>
      <c r="N5687" s="283" t="e">
        <f>+(Tabla4[[#This Row],[Precio Descontado]]-Tabla4[[#This Row],[Precio Base]])*Tabla4[[#This Row],[Cantidad]]</f>
        <v>#N/A</v>
      </c>
      <c r="O5687" s="284" t="e">
        <f>++Tabla4[[#This Row],[Utilidad Total]]/Tabla4[[#This Row],[Total]]</f>
        <v>#N/A</v>
      </c>
      <c r="P5687" s="282">
        <f>++Tabla4[[#This Row],[Precio Descontado]]*Tabla4[[#This Row],[Cantidad]]</f>
        <v>3767.9088390000002</v>
      </c>
      <c r="Q5687" s="282" t="e">
        <f>(INDEX(Tabla6[#All],MATCH(Tabla4[[#This Row],[Producto]],Tabla6[[#All],[PRODUCTO]],0),MATCH(Tabla4[[#This Row],[Mes]],Tabla6[#Headers],0)))</f>
        <v>#N/A</v>
      </c>
      <c r="R5687" s="282" t="e">
        <f>++Tabla4[[#This Row],[Precio Unitario Neto]]-Tabla4[[#This Row],[20.85%]]-Tabla4[[#This Row],[Costo]]</f>
        <v>#N/A</v>
      </c>
      <c r="S5687" s="282" t="e">
        <f>++Tabla4[[#This Row],[U. Bruta Uni]]*Tabla4[[#This Row],[Cantidad]]</f>
        <v>#N/A</v>
      </c>
      <c r="T5687" s="369" t="str">
        <f>VLOOKUP(Tabla4[[#This Row],[Producto]],Tabla6[#All],14,FALSE)</f>
        <v>Termico Solar</v>
      </c>
      <c r="U5687" s="284" t="e">
        <f>(IF(Tabla4[[#This Row],[Familia]]="termico solar",Tabla4[[#This Row],[Utilidad Total]]*6%,Tabla4[[#This Row],[Utilidad Total]]*11.5%))/Tabla4[[#This Row],[Total]]</f>
        <v>#N/A</v>
      </c>
      <c r="V5687" s="282" t="e">
        <f>+Tabla4[[#This Row],[Comisión Calculada]]*Tabla4[[#This Row],[Total]]</f>
        <v>#N/A</v>
      </c>
    </row>
    <row r="5688" spans="1:22" hidden="1" x14ac:dyDescent="0.25">
      <c r="A5688" s="100">
        <v>45915</v>
      </c>
      <c r="B5688" t="str">
        <f t="shared" si="274"/>
        <v>September</v>
      </c>
      <c r="C5688" s="46" t="s">
        <v>280</v>
      </c>
      <c r="F5688" s="366" t="s">
        <v>2921</v>
      </c>
      <c r="G5688" s="46" t="s">
        <v>208</v>
      </c>
      <c r="H5688" s="46">
        <v>2</v>
      </c>
      <c r="I5688" s="51">
        <v>189.75</v>
      </c>
      <c r="J5688" s="281">
        <f>++Tabla4[[#This Row],[Precio Bruto]]*1.16</f>
        <v>220.10999999999999</v>
      </c>
      <c r="K5688" s="281">
        <f>+Tabla4[[#This Row],[Precio Unitario Neto]]*Tabla4[[#Headers],[20.85%]]</f>
        <v>45.892934999999994</v>
      </c>
      <c r="L5688" s="282">
        <f>++Tabla4[[#This Row],[Precio Unitario Neto]]-Tabla4[[#This Row],[20.85%]]</f>
        <v>174.21706499999999</v>
      </c>
      <c r="M5688" s="282" t="e">
        <f>(INDEX(Tabla6[#All],MATCH(Tabla4[[#This Row],[Producto]],Tabla6[[#All],[PRODUCTO]],0),MATCH(Tabla4[[#This Row],[Mes]],Tabla6[#Headers],0)))*(1+Catalogos!$L$2)</f>
        <v>#N/A</v>
      </c>
      <c r="N5688" s="283" t="e">
        <f>+(Tabla4[[#This Row],[Precio Descontado]]-Tabla4[[#This Row],[Precio Base]])*Tabla4[[#This Row],[Cantidad]]</f>
        <v>#N/A</v>
      </c>
      <c r="O5688" s="284" t="e">
        <f>++Tabla4[[#This Row],[Utilidad Total]]/Tabla4[[#This Row],[Total]]</f>
        <v>#N/A</v>
      </c>
      <c r="P5688" s="282">
        <f>++Tabla4[[#This Row],[Precio Descontado]]*Tabla4[[#This Row],[Cantidad]]</f>
        <v>348.43412999999998</v>
      </c>
      <c r="Q5688" s="282" t="e">
        <f>(INDEX(Tabla6[#All],MATCH(Tabla4[[#This Row],[Producto]],Tabla6[[#All],[PRODUCTO]],0),MATCH(Tabla4[[#This Row],[Mes]],Tabla6[#Headers],0)))</f>
        <v>#N/A</v>
      </c>
      <c r="R5688" s="282" t="e">
        <f>++Tabla4[[#This Row],[Precio Unitario Neto]]-Tabla4[[#This Row],[20.85%]]-Tabla4[[#This Row],[Costo]]</f>
        <v>#N/A</v>
      </c>
      <c r="S5688" s="282" t="e">
        <f>++Tabla4[[#This Row],[U. Bruta Uni]]*Tabla4[[#This Row],[Cantidad]]</f>
        <v>#N/A</v>
      </c>
      <c r="T5688" s="369" t="str">
        <f>VLOOKUP(Tabla4[[#This Row],[Producto]],Tabla6[#All],14,FALSE)</f>
        <v>Termico Solar</v>
      </c>
      <c r="U5688" s="284" t="e">
        <f>(IF(Tabla4[[#This Row],[Familia]]="termico solar",Tabla4[[#This Row],[Utilidad Total]]*6%,Tabla4[[#This Row],[Utilidad Total]]*11.5%))/Tabla4[[#This Row],[Total]]</f>
        <v>#N/A</v>
      </c>
      <c r="V5688" s="282" t="e">
        <f>+Tabla4[[#This Row],[Comisión Calculada]]*Tabla4[[#This Row],[Total]]</f>
        <v>#N/A</v>
      </c>
    </row>
    <row r="5689" spans="1:22" hidden="1" x14ac:dyDescent="0.25">
      <c r="A5689" s="100">
        <v>45915</v>
      </c>
      <c r="B5689" t="str">
        <f t="shared" si="274"/>
        <v>September</v>
      </c>
      <c r="C5689" s="46" t="s">
        <v>280</v>
      </c>
      <c r="F5689" s="366" t="s">
        <v>2922</v>
      </c>
      <c r="G5689" s="46" t="s">
        <v>17</v>
      </c>
      <c r="H5689" s="46">
        <v>6</v>
      </c>
      <c r="I5689" s="51">
        <v>4622.28</v>
      </c>
      <c r="J5689" s="281">
        <f>++Tabla4[[#This Row],[Precio Bruto]]*1.16</f>
        <v>5361.8447999999989</v>
      </c>
      <c r="K5689" s="281">
        <f>+Tabla4[[#This Row],[Precio Unitario Neto]]*Tabla4[[#Headers],[20.85%]]</f>
        <v>1117.9446407999997</v>
      </c>
      <c r="L5689" s="282">
        <f>++Tabla4[[#This Row],[Precio Unitario Neto]]-Tabla4[[#This Row],[20.85%]]</f>
        <v>4243.9001591999995</v>
      </c>
      <c r="M5689" s="282" t="e">
        <f>(INDEX(Tabla6[#All],MATCH(Tabla4[[#This Row],[Producto]],Tabla6[[#All],[PRODUCTO]],0),MATCH(Tabla4[[#This Row],[Mes]],Tabla6[#Headers],0)))*(1+Catalogos!$L$2)</f>
        <v>#N/A</v>
      </c>
      <c r="N5689" s="283" t="e">
        <f>+(Tabla4[[#This Row],[Precio Descontado]]-Tabla4[[#This Row],[Precio Base]])*Tabla4[[#This Row],[Cantidad]]</f>
        <v>#N/A</v>
      </c>
      <c r="O5689" s="284" t="e">
        <f>++Tabla4[[#This Row],[Utilidad Total]]/Tabla4[[#This Row],[Total]]</f>
        <v>#N/A</v>
      </c>
      <c r="P5689" s="282">
        <f>++Tabla4[[#This Row],[Precio Descontado]]*Tabla4[[#This Row],[Cantidad]]</f>
        <v>25463.400955199999</v>
      </c>
      <c r="Q5689" s="282" t="e">
        <f>(INDEX(Tabla6[#All],MATCH(Tabla4[[#This Row],[Producto]],Tabla6[[#All],[PRODUCTO]],0),MATCH(Tabla4[[#This Row],[Mes]],Tabla6[#Headers],0)))</f>
        <v>#N/A</v>
      </c>
      <c r="R5689" s="282" t="e">
        <f>++Tabla4[[#This Row],[Precio Unitario Neto]]-Tabla4[[#This Row],[20.85%]]-Tabla4[[#This Row],[Costo]]</f>
        <v>#N/A</v>
      </c>
      <c r="S5689" s="282" t="e">
        <f>++Tabla4[[#This Row],[U. Bruta Uni]]*Tabla4[[#This Row],[Cantidad]]</f>
        <v>#N/A</v>
      </c>
      <c r="T5689" s="369" t="str">
        <f>VLOOKUP(Tabla4[[#This Row],[Producto]],Tabla6[#All],14,FALSE)</f>
        <v>Termico Solar</v>
      </c>
      <c r="U5689" s="284" t="e">
        <f>(IF(Tabla4[[#This Row],[Familia]]="termico solar",Tabla4[[#This Row],[Utilidad Total]]*6%,Tabla4[[#This Row],[Utilidad Total]]*11.5%))/Tabla4[[#This Row],[Total]]</f>
        <v>#N/A</v>
      </c>
      <c r="V5689" s="282" t="e">
        <f>+Tabla4[[#This Row],[Comisión Calculada]]*Tabla4[[#This Row],[Total]]</f>
        <v>#N/A</v>
      </c>
    </row>
    <row r="5690" spans="1:22" hidden="1" x14ac:dyDescent="0.25">
      <c r="A5690" s="100">
        <v>45915</v>
      </c>
      <c r="B5690" t="str">
        <f t="shared" si="274"/>
        <v>September</v>
      </c>
      <c r="C5690" s="46" t="s">
        <v>280</v>
      </c>
      <c r="F5690" s="366" t="s">
        <v>2922</v>
      </c>
      <c r="G5690" s="46" t="s">
        <v>18</v>
      </c>
      <c r="H5690" s="46">
        <v>1</v>
      </c>
      <c r="I5690" s="51">
        <v>5367.65</v>
      </c>
      <c r="J5690" s="281">
        <f>++Tabla4[[#This Row],[Precio Bruto]]*1.16</f>
        <v>6226.4739999999993</v>
      </c>
      <c r="K5690" s="281">
        <f>+Tabla4[[#This Row],[Precio Unitario Neto]]*Tabla4[[#Headers],[20.85%]]</f>
        <v>1298.2198289999999</v>
      </c>
      <c r="L5690" s="282">
        <f>++Tabla4[[#This Row],[Precio Unitario Neto]]-Tabla4[[#This Row],[20.85%]]</f>
        <v>4928.2541709999996</v>
      </c>
      <c r="M5690" s="282" t="e">
        <f>(INDEX(Tabla6[#All],MATCH(Tabla4[[#This Row],[Producto]],Tabla6[[#All],[PRODUCTO]],0),MATCH(Tabla4[[#This Row],[Mes]],Tabla6[#Headers],0)))*(1+Catalogos!$L$2)</f>
        <v>#N/A</v>
      </c>
      <c r="N5690" s="283" t="e">
        <f>+(Tabla4[[#This Row],[Precio Descontado]]-Tabla4[[#This Row],[Precio Base]])*Tabla4[[#This Row],[Cantidad]]</f>
        <v>#N/A</v>
      </c>
      <c r="O5690" s="284" t="e">
        <f>++Tabla4[[#This Row],[Utilidad Total]]/Tabla4[[#This Row],[Total]]</f>
        <v>#N/A</v>
      </c>
      <c r="P5690" s="282">
        <f>++Tabla4[[#This Row],[Precio Descontado]]*Tabla4[[#This Row],[Cantidad]]</f>
        <v>4928.2541709999996</v>
      </c>
      <c r="Q5690" s="282" t="e">
        <f>(INDEX(Tabla6[#All],MATCH(Tabla4[[#This Row],[Producto]],Tabla6[[#All],[PRODUCTO]],0),MATCH(Tabla4[[#This Row],[Mes]],Tabla6[#Headers],0)))</f>
        <v>#N/A</v>
      </c>
      <c r="R5690" s="282" t="e">
        <f>++Tabla4[[#This Row],[Precio Unitario Neto]]-Tabla4[[#This Row],[20.85%]]-Tabla4[[#This Row],[Costo]]</f>
        <v>#N/A</v>
      </c>
      <c r="S5690" s="282" t="e">
        <f>++Tabla4[[#This Row],[U. Bruta Uni]]*Tabla4[[#This Row],[Cantidad]]</f>
        <v>#N/A</v>
      </c>
      <c r="T5690" s="369" t="str">
        <f>VLOOKUP(Tabla4[[#This Row],[Producto]],Tabla6[#All],14,FALSE)</f>
        <v>Termico Solar</v>
      </c>
      <c r="U5690" s="284" t="e">
        <f>(IF(Tabla4[[#This Row],[Familia]]="termico solar",Tabla4[[#This Row],[Utilidad Total]]*6%,Tabla4[[#This Row],[Utilidad Total]]*11.5%))/Tabla4[[#This Row],[Total]]</f>
        <v>#N/A</v>
      </c>
      <c r="V5690" s="282" t="e">
        <f>+Tabla4[[#This Row],[Comisión Calculada]]*Tabla4[[#This Row],[Total]]</f>
        <v>#N/A</v>
      </c>
    </row>
    <row r="5691" spans="1:22" hidden="1" x14ac:dyDescent="0.25">
      <c r="A5691" s="100">
        <v>45915</v>
      </c>
      <c r="B5691" t="str">
        <f t="shared" si="274"/>
        <v>September</v>
      </c>
      <c r="C5691" s="46" t="s">
        <v>280</v>
      </c>
      <c r="F5691" s="366" t="s">
        <v>2922</v>
      </c>
      <c r="G5691" s="46" t="s">
        <v>16</v>
      </c>
      <c r="H5691" s="46">
        <v>2</v>
      </c>
      <c r="I5691" s="51">
        <v>4103.8500000000004</v>
      </c>
      <c r="J5691" s="281">
        <f>++Tabla4[[#This Row],[Precio Bruto]]*1.16</f>
        <v>4760.4660000000003</v>
      </c>
      <c r="K5691" s="281">
        <f>+Tabla4[[#This Row],[Precio Unitario Neto]]*Tabla4[[#Headers],[20.85%]]</f>
        <v>992.55716100000006</v>
      </c>
      <c r="L5691" s="282">
        <f>++Tabla4[[#This Row],[Precio Unitario Neto]]-Tabla4[[#This Row],[20.85%]]</f>
        <v>3767.9088390000002</v>
      </c>
      <c r="M5691" s="282" t="e">
        <f>(INDEX(Tabla6[#All],MATCH(Tabla4[[#This Row],[Producto]],Tabla6[[#All],[PRODUCTO]],0),MATCH(Tabla4[[#This Row],[Mes]],Tabla6[#Headers],0)))*(1+Catalogos!$L$2)</f>
        <v>#N/A</v>
      </c>
      <c r="N5691" s="283" t="e">
        <f>+(Tabla4[[#This Row],[Precio Descontado]]-Tabla4[[#This Row],[Precio Base]])*Tabla4[[#This Row],[Cantidad]]</f>
        <v>#N/A</v>
      </c>
      <c r="O5691" s="284" t="e">
        <f>++Tabla4[[#This Row],[Utilidad Total]]/Tabla4[[#This Row],[Total]]</f>
        <v>#N/A</v>
      </c>
      <c r="P5691" s="282">
        <f>++Tabla4[[#This Row],[Precio Descontado]]*Tabla4[[#This Row],[Cantidad]]</f>
        <v>7535.8176780000003</v>
      </c>
      <c r="Q5691" s="282" t="e">
        <f>(INDEX(Tabla6[#All],MATCH(Tabla4[[#This Row],[Producto]],Tabla6[[#All],[PRODUCTO]],0),MATCH(Tabla4[[#This Row],[Mes]],Tabla6[#Headers],0)))</f>
        <v>#N/A</v>
      </c>
      <c r="R5691" s="282" t="e">
        <f>++Tabla4[[#This Row],[Precio Unitario Neto]]-Tabla4[[#This Row],[20.85%]]-Tabla4[[#This Row],[Costo]]</f>
        <v>#N/A</v>
      </c>
      <c r="S5691" s="282" t="e">
        <f>++Tabla4[[#This Row],[U. Bruta Uni]]*Tabla4[[#This Row],[Cantidad]]</f>
        <v>#N/A</v>
      </c>
      <c r="T5691" s="369" t="str">
        <f>VLOOKUP(Tabla4[[#This Row],[Producto]],Tabla6[#All],14,FALSE)</f>
        <v>Termico Solar</v>
      </c>
      <c r="U5691" s="284" t="e">
        <f>(IF(Tabla4[[#This Row],[Familia]]="termico solar",Tabla4[[#This Row],[Utilidad Total]]*6%,Tabla4[[#This Row],[Utilidad Total]]*11.5%))/Tabla4[[#This Row],[Total]]</f>
        <v>#N/A</v>
      </c>
      <c r="V5691" s="282" t="e">
        <f>+Tabla4[[#This Row],[Comisión Calculada]]*Tabla4[[#This Row],[Total]]</f>
        <v>#N/A</v>
      </c>
    </row>
    <row r="5692" spans="1:22" hidden="1" x14ac:dyDescent="0.25">
      <c r="A5692" s="100">
        <v>45915</v>
      </c>
      <c r="B5692" t="str">
        <f t="shared" si="274"/>
        <v>September</v>
      </c>
      <c r="C5692" s="46" t="s">
        <v>280</v>
      </c>
      <c r="F5692" s="366" t="s">
        <v>2923</v>
      </c>
      <c r="G5692" s="46" t="s">
        <v>17</v>
      </c>
      <c r="H5692" s="46">
        <v>2</v>
      </c>
      <c r="I5692" s="51">
        <v>4622.28</v>
      </c>
      <c r="J5692" s="281">
        <f>++Tabla4[[#This Row],[Precio Bruto]]*1.16</f>
        <v>5361.8447999999989</v>
      </c>
      <c r="K5692" s="281">
        <f>+Tabla4[[#This Row],[Precio Unitario Neto]]*Tabla4[[#Headers],[20.85%]]</f>
        <v>1117.9446407999997</v>
      </c>
      <c r="L5692" s="282">
        <f>++Tabla4[[#This Row],[Precio Unitario Neto]]-Tabla4[[#This Row],[20.85%]]</f>
        <v>4243.9001591999995</v>
      </c>
      <c r="M5692" s="282" t="e">
        <f>(INDEX(Tabla6[#All],MATCH(Tabla4[[#This Row],[Producto]],Tabla6[[#All],[PRODUCTO]],0),MATCH(Tabla4[[#This Row],[Mes]],Tabla6[#Headers],0)))*(1+Catalogos!$L$2)</f>
        <v>#N/A</v>
      </c>
      <c r="N5692" s="283" t="e">
        <f>+(Tabla4[[#This Row],[Precio Descontado]]-Tabla4[[#This Row],[Precio Base]])*Tabla4[[#This Row],[Cantidad]]</f>
        <v>#N/A</v>
      </c>
      <c r="O5692" s="284" t="e">
        <f>++Tabla4[[#This Row],[Utilidad Total]]/Tabla4[[#This Row],[Total]]</f>
        <v>#N/A</v>
      </c>
      <c r="P5692" s="282">
        <f>++Tabla4[[#This Row],[Precio Descontado]]*Tabla4[[#This Row],[Cantidad]]</f>
        <v>8487.800318399999</v>
      </c>
      <c r="Q5692" s="282" t="e">
        <f>(INDEX(Tabla6[#All],MATCH(Tabla4[[#This Row],[Producto]],Tabla6[[#All],[PRODUCTO]],0),MATCH(Tabla4[[#This Row],[Mes]],Tabla6[#Headers],0)))</f>
        <v>#N/A</v>
      </c>
      <c r="R5692" s="282" t="e">
        <f>++Tabla4[[#This Row],[Precio Unitario Neto]]-Tabla4[[#This Row],[20.85%]]-Tabla4[[#This Row],[Costo]]</f>
        <v>#N/A</v>
      </c>
      <c r="S5692" s="282" t="e">
        <f>++Tabla4[[#This Row],[U. Bruta Uni]]*Tabla4[[#This Row],[Cantidad]]</f>
        <v>#N/A</v>
      </c>
      <c r="T5692" s="369" t="str">
        <f>VLOOKUP(Tabla4[[#This Row],[Producto]],Tabla6[#All],14,FALSE)</f>
        <v>Termico Solar</v>
      </c>
      <c r="U5692" s="284" t="e">
        <f>(IF(Tabla4[[#This Row],[Familia]]="termico solar",Tabla4[[#This Row],[Utilidad Total]]*6%,Tabla4[[#This Row],[Utilidad Total]]*11.5%))/Tabla4[[#This Row],[Total]]</f>
        <v>#N/A</v>
      </c>
      <c r="V5692" s="282" t="e">
        <f>+Tabla4[[#This Row],[Comisión Calculada]]*Tabla4[[#This Row],[Total]]</f>
        <v>#N/A</v>
      </c>
    </row>
    <row r="5693" spans="1:22" hidden="1" x14ac:dyDescent="0.25">
      <c r="A5693" s="100">
        <v>45915</v>
      </c>
      <c r="B5693" t="str">
        <f t="shared" si="274"/>
        <v>September</v>
      </c>
      <c r="C5693" s="46" t="s">
        <v>280</v>
      </c>
      <c r="F5693" s="366" t="s">
        <v>2923</v>
      </c>
      <c r="G5693" s="46" t="s">
        <v>16</v>
      </c>
      <c r="H5693" s="46">
        <v>2</v>
      </c>
      <c r="I5693" s="51">
        <v>4103.8500000000004</v>
      </c>
      <c r="J5693" s="281">
        <f>++Tabla4[[#This Row],[Precio Bruto]]*1.16</f>
        <v>4760.4660000000003</v>
      </c>
      <c r="K5693" s="281">
        <f>+Tabla4[[#This Row],[Precio Unitario Neto]]*Tabla4[[#Headers],[20.85%]]</f>
        <v>992.55716100000006</v>
      </c>
      <c r="L5693" s="282">
        <f>++Tabla4[[#This Row],[Precio Unitario Neto]]-Tabla4[[#This Row],[20.85%]]</f>
        <v>3767.9088390000002</v>
      </c>
      <c r="M5693" s="282" t="e">
        <f>(INDEX(Tabla6[#All],MATCH(Tabla4[[#This Row],[Producto]],Tabla6[[#All],[PRODUCTO]],0),MATCH(Tabla4[[#This Row],[Mes]],Tabla6[#Headers],0)))*(1+Catalogos!$L$2)</f>
        <v>#N/A</v>
      </c>
      <c r="N5693" s="283" t="e">
        <f>+(Tabla4[[#This Row],[Precio Descontado]]-Tabla4[[#This Row],[Precio Base]])*Tabla4[[#This Row],[Cantidad]]</f>
        <v>#N/A</v>
      </c>
      <c r="O5693" s="284" t="e">
        <f>++Tabla4[[#This Row],[Utilidad Total]]/Tabla4[[#This Row],[Total]]</f>
        <v>#N/A</v>
      </c>
      <c r="P5693" s="282">
        <f>++Tabla4[[#This Row],[Precio Descontado]]*Tabla4[[#This Row],[Cantidad]]</f>
        <v>7535.8176780000003</v>
      </c>
      <c r="Q5693" s="282" t="e">
        <f>(INDEX(Tabla6[#All],MATCH(Tabla4[[#This Row],[Producto]],Tabla6[[#All],[PRODUCTO]],0),MATCH(Tabla4[[#This Row],[Mes]],Tabla6[#Headers],0)))</f>
        <v>#N/A</v>
      </c>
      <c r="R5693" s="282" t="e">
        <f>++Tabla4[[#This Row],[Precio Unitario Neto]]-Tabla4[[#This Row],[20.85%]]-Tabla4[[#This Row],[Costo]]</f>
        <v>#N/A</v>
      </c>
      <c r="S5693" s="282" t="e">
        <f>++Tabla4[[#This Row],[U. Bruta Uni]]*Tabla4[[#This Row],[Cantidad]]</f>
        <v>#N/A</v>
      </c>
      <c r="T5693" s="369" t="str">
        <f>VLOOKUP(Tabla4[[#This Row],[Producto]],Tabla6[#All],14,FALSE)</f>
        <v>Termico Solar</v>
      </c>
      <c r="U5693" s="284" t="e">
        <f>(IF(Tabla4[[#This Row],[Familia]]="termico solar",Tabla4[[#This Row],[Utilidad Total]]*6%,Tabla4[[#This Row],[Utilidad Total]]*11.5%))/Tabla4[[#This Row],[Total]]</f>
        <v>#N/A</v>
      </c>
      <c r="V5693" s="282" t="e">
        <f>+Tabla4[[#This Row],[Comisión Calculada]]*Tabla4[[#This Row],[Total]]</f>
        <v>#N/A</v>
      </c>
    </row>
    <row r="5694" spans="1:22" hidden="1" x14ac:dyDescent="0.25">
      <c r="A5694" s="100">
        <v>45915</v>
      </c>
      <c r="B5694" t="str">
        <f t="shared" si="274"/>
        <v>September</v>
      </c>
      <c r="C5694" s="46" t="s">
        <v>280</v>
      </c>
      <c r="F5694" s="366" t="s">
        <v>2923</v>
      </c>
      <c r="G5694" s="46" t="s">
        <v>555</v>
      </c>
      <c r="H5694" s="46">
        <v>8</v>
      </c>
      <c r="I5694" s="51">
        <v>389.47</v>
      </c>
      <c r="J5694" s="281">
        <f>++Tabla4[[#This Row],[Precio Bruto]]*1.16</f>
        <v>451.78519999999997</v>
      </c>
      <c r="K5694" s="281">
        <f>+Tabla4[[#This Row],[Precio Unitario Neto]]*Tabla4[[#Headers],[20.85%]]</f>
        <v>94.197214199999991</v>
      </c>
      <c r="L5694" s="282">
        <f>++Tabla4[[#This Row],[Precio Unitario Neto]]-Tabla4[[#This Row],[20.85%]]</f>
        <v>357.58798579999996</v>
      </c>
      <c r="M5694" s="282" t="e">
        <f>(INDEX(Tabla6[#All],MATCH(Tabla4[[#This Row],[Producto]],Tabla6[[#All],[PRODUCTO]],0),MATCH(Tabla4[[#This Row],[Mes]],Tabla6[#Headers],0)))*(1+Catalogos!$L$2)</f>
        <v>#N/A</v>
      </c>
      <c r="N5694" s="283" t="e">
        <f>+(Tabla4[[#This Row],[Precio Descontado]]-Tabla4[[#This Row],[Precio Base]])*Tabla4[[#This Row],[Cantidad]]</f>
        <v>#N/A</v>
      </c>
      <c r="O5694" s="284" t="e">
        <f>++Tabla4[[#This Row],[Utilidad Total]]/Tabla4[[#This Row],[Total]]</f>
        <v>#N/A</v>
      </c>
      <c r="P5694" s="282">
        <f>++Tabla4[[#This Row],[Precio Descontado]]*Tabla4[[#This Row],[Cantidad]]</f>
        <v>2860.7038863999996</v>
      </c>
      <c r="Q5694" s="282" t="e">
        <f>(INDEX(Tabla6[#All],MATCH(Tabla4[[#This Row],[Producto]],Tabla6[[#All],[PRODUCTO]],0),MATCH(Tabla4[[#This Row],[Mes]],Tabla6[#Headers],0)))</f>
        <v>#N/A</v>
      </c>
      <c r="R5694" s="282" t="e">
        <f>++Tabla4[[#This Row],[Precio Unitario Neto]]-Tabla4[[#This Row],[20.85%]]-Tabla4[[#This Row],[Costo]]</f>
        <v>#N/A</v>
      </c>
      <c r="S5694" s="282" t="e">
        <f>++Tabla4[[#This Row],[U. Bruta Uni]]*Tabla4[[#This Row],[Cantidad]]</f>
        <v>#N/A</v>
      </c>
      <c r="T5694" s="369" t="str">
        <f>VLOOKUP(Tabla4[[#This Row],[Producto]],Tabla6[#All],14,FALSE)</f>
        <v>Termico Solar</v>
      </c>
      <c r="U5694" s="284" t="e">
        <f>(IF(Tabla4[[#This Row],[Familia]]="termico solar",Tabla4[[#This Row],[Utilidad Total]]*6%,Tabla4[[#This Row],[Utilidad Total]]*11.5%))/Tabla4[[#This Row],[Total]]</f>
        <v>#N/A</v>
      </c>
      <c r="V5694" s="282" t="e">
        <f>+Tabla4[[#This Row],[Comisión Calculada]]*Tabla4[[#This Row],[Total]]</f>
        <v>#N/A</v>
      </c>
    </row>
    <row r="5695" spans="1:22" hidden="1" x14ac:dyDescent="0.25">
      <c r="A5695" s="100">
        <v>45915</v>
      </c>
      <c r="B5695" t="str">
        <f t="shared" si="274"/>
        <v>September</v>
      </c>
      <c r="C5695" s="46" t="s">
        <v>280</v>
      </c>
      <c r="F5695" s="366" t="s">
        <v>2924</v>
      </c>
      <c r="G5695" s="46" t="s">
        <v>83</v>
      </c>
      <c r="H5695" s="46">
        <v>2</v>
      </c>
      <c r="I5695" s="51">
        <v>8858.76</v>
      </c>
      <c r="J5695" s="281">
        <f>++Tabla4[[#This Row],[Precio Bruto]]*1.16</f>
        <v>10276.161599999999</v>
      </c>
      <c r="K5695" s="281">
        <f>+Tabla4[[#This Row],[Precio Unitario Neto]]*Tabla4[[#Headers],[20.85%]]</f>
        <v>2142.5796935999997</v>
      </c>
      <c r="L5695" s="282">
        <f>++Tabla4[[#This Row],[Precio Unitario Neto]]-Tabla4[[#This Row],[20.85%]]</f>
        <v>8133.5819063999998</v>
      </c>
      <c r="M5695" s="282" t="e">
        <f>(INDEX(Tabla6[#All],MATCH(Tabla4[[#This Row],[Producto]],Tabla6[[#All],[PRODUCTO]],0),MATCH(Tabla4[[#This Row],[Mes]],Tabla6[#Headers],0)))*(1+Catalogos!$L$2)</f>
        <v>#N/A</v>
      </c>
      <c r="N5695" s="283" t="e">
        <f>+(Tabla4[[#This Row],[Precio Descontado]]-Tabla4[[#This Row],[Precio Base]])*Tabla4[[#This Row],[Cantidad]]</f>
        <v>#N/A</v>
      </c>
      <c r="O5695" s="284" t="e">
        <f>++Tabla4[[#This Row],[Utilidad Total]]/Tabla4[[#This Row],[Total]]</f>
        <v>#N/A</v>
      </c>
      <c r="P5695" s="282">
        <f>++Tabla4[[#This Row],[Precio Descontado]]*Tabla4[[#This Row],[Cantidad]]</f>
        <v>16267.1638128</v>
      </c>
      <c r="Q5695" s="282" t="e">
        <f>(INDEX(Tabla6[#All],MATCH(Tabla4[[#This Row],[Producto]],Tabla6[[#All],[PRODUCTO]],0),MATCH(Tabla4[[#This Row],[Mes]],Tabla6[#Headers],0)))</f>
        <v>#N/A</v>
      </c>
      <c r="R5695" s="282" t="e">
        <f>++Tabla4[[#This Row],[Precio Unitario Neto]]-Tabla4[[#This Row],[20.85%]]-Tabla4[[#This Row],[Costo]]</f>
        <v>#N/A</v>
      </c>
      <c r="S5695" s="282" t="e">
        <f>++Tabla4[[#This Row],[U. Bruta Uni]]*Tabla4[[#This Row],[Cantidad]]</f>
        <v>#N/A</v>
      </c>
      <c r="T5695" s="369" t="str">
        <f>VLOOKUP(Tabla4[[#This Row],[Producto]],Tabla6[#All],14,FALSE)</f>
        <v>Termico Solar</v>
      </c>
      <c r="U5695" s="284" t="e">
        <f>(IF(Tabla4[[#This Row],[Familia]]="termico solar",Tabla4[[#This Row],[Utilidad Total]]*6%,Tabla4[[#This Row],[Utilidad Total]]*11.5%))/Tabla4[[#This Row],[Total]]</f>
        <v>#N/A</v>
      </c>
      <c r="V5695" s="282" t="e">
        <f>+Tabla4[[#This Row],[Comisión Calculada]]*Tabla4[[#This Row],[Total]]</f>
        <v>#N/A</v>
      </c>
    </row>
    <row r="5696" spans="1:22" hidden="1" x14ac:dyDescent="0.25">
      <c r="A5696" s="100">
        <v>45915</v>
      </c>
      <c r="B5696" t="str">
        <f t="shared" si="274"/>
        <v>September</v>
      </c>
      <c r="C5696" s="46" t="s">
        <v>280</v>
      </c>
      <c r="F5696" s="366" t="s">
        <v>2924</v>
      </c>
      <c r="G5696" s="46" t="s">
        <v>17</v>
      </c>
      <c r="H5696" s="46">
        <v>1</v>
      </c>
      <c r="I5696" s="51">
        <v>4622.28</v>
      </c>
      <c r="J5696" s="281">
        <f>++Tabla4[[#This Row],[Precio Bruto]]*1.16</f>
        <v>5361.8447999999989</v>
      </c>
      <c r="K5696" s="281">
        <f>+Tabla4[[#This Row],[Precio Unitario Neto]]*Tabla4[[#Headers],[20.85%]]</f>
        <v>1117.9446407999997</v>
      </c>
      <c r="L5696" s="282">
        <f>++Tabla4[[#This Row],[Precio Unitario Neto]]-Tabla4[[#This Row],[20.85%]]</f>
        <v>4243.9001591999995</v>
      </c>
      <c r="M5696" s="282" t="e">
        <f>(INDEX(Tabla6[#All],MATCH(Tabla4[[#This Row],[Producto]],Tabla6[[#All],[PRODUCTO]],0),MATCH(Tabla4[[#This Row],[Mes]],Tabla6[#Headers],0)))*(1+Catalogos!$L$2)</f>
        <v>#N/A</v>
      </c>
      <c r="N5696" s="283" t="e">
        <f>+(Tabla4[[#This Row],[Precio Descontado]]-Tabla4[[#This Row],[Precio Base]])*Tabla4[[#This Row],[Cantidad]]</f>
        <v>#N/A</v>
      </c>
      <c r="O5696" s="284" t="e">
        <f>++Tabla4[[#This Row],[Utilidad Total]]/Tabla4[[#This Row],[Total]]</f>
        <v>#N/A</v>
      </c>
      <c r="P5696" s="282">
        <f>++Tabla4[[#This Row],[Precio Descontado]]*Tabla4[[#This Row],[Cantidad]]</f>
        <v>4243.9001591999995</v>
      </c>
      <c r="Q5696" s="282" t="e">
        <f>(INDEX(Tabla6[#All],MATCH(Tabla4[[#This Row],[Producto]],Tabla6[[#All],[PRODUCTO]],0),MATCH(Tabla4[[#This Row],[Mes]],Tabla6[#Headers],0)))</f>
        <v>#N/A</v>
      </c>
      <c r="R5696" s="282" t="e">
        <f>++Tabla4[[#This Row],[Precio Unitario Neto]]-Tabla4[[#This Row],[20.85%]]-Tabla4[[#This Row],[Costo]]</f>
        <v>#N/A</v>
      </c>
      <c r="S5696" s="282" t="e">
        <f>++Tabla4[[#This Row],[U. Bruta Uni]]*Tabla4[[#This Row],[Cantidad]]</f>
        <v>#N/A</v>
      </c>
      <c r="T5696" s="369" t="str">
        <f>VLOOKUP(Tabla4[[#This Row],[Producto]],Tabla6[#All],14,FALSE)</f>
        <v>Termico Solar</v>
      </c>
      <c r="U5696" s="284" t="e">
        <f>(IF(Tabla4[[#This Row],[Familia]]="termico solar",Tabla4[[#This Row],[Utilidad Total]]*6%,Tabla4[[#This Row],[Utilidad Total]]*11.5%))/Tabla4[[#This Row],[Total]]</f>
        <v>#N/A</v>
      </c>
      <c r="V5696" s="282" t="e">
        <f>+Tabla4[[#This Row],[Comisión Calculada]]*Tabla4[[#This Row],[Total]]</f>
        <v>#N/A</v>
      </c>
    </row>
    <row r="5697" spans="1:22" hidden="1" x14ac:dyDescent="0.25">
      <c r="A5697" s="100">
        <v>45915</v>
      </c>
      <c r="B5697" t="str">
        <f t="shared" si="274"/>
        <v>September</v>
      </c>
      <c r="C5697" s="46" t="s">
        <v>280</v>
      </c>
      <c r="F5697" s="366" t="s">
        <v>2925</v>
      </c>
      <c r="G5697" s="46" t="s">
        <v>18</v>
      </c>
      <c r="H5697" s="46">
        <v>6</v>
      </c>
      <c r="I5697" s="51">
        <v>5367.6500000000005</v>
      </c>
      <c r="J5697" s="281">
        <f>++Tabla4[[#This Row],[Precio Bruto]]*1.16</f>
        <v>6226.4740000000002</v>
      </c>
      <c r="K5697" s="281">
        <f>+Tabla4[[#This Row],[Precio Unitario Neto]]*Tabla4[[#Headers],[20.85%]]</f>
        <v>1298.2198289999999</v>
      </c>
      <c r="L5697" s="282">
        <f>++Tabla4[[#This Row],[Precio Unitario Neto]]-Tabla4[[#This Row],[20.85%]]</f>
        <v>4928.2541710000005</v>
      </c>
      <c r="M5697" s="282" t="e">
        <f>(INDEX(Tabla6[#All],MATCH(Tabla4[[#This Row],[Producto]],Tabla6[[#All],[PRODUCTO]],0),MATCH(Tabla4[[#This Row],[Mes]],Tabla6[#Headers],0)))*(1+Catalogos!$L$2)</f>
        <v>#N/A</v>
      </c>
      <c r="N5697" s="283" t="e">
        <f>+(Tabla4[[#This Row],[Precio Descontado]]-Tabla4[[#This Row],[Precio Base]])*Tabla4[[#This Row],[Cantidad]]</f>
        <v>#N/A</v>
      </c>
      <c r="O5697" s="284" t="e">
        <f>++Tabla4[[#This Row],[Utilidad Total]]/Tabla4[[#This Row],[Total]]</f>
        <v>#N/A</v>
      </c>
      <c r="P5697" s="282">
        <f>++Tabla4[[#This Row],[Precio Descontado]]*Tabla4[[#This Row],[Cantidad]]</f>
        <v>29569.525026000003</v>
      </c>
      <c r="Q5697" s="282" t="e">
        <f>(INDEX(Tabla6[#All],MATCH(Tabla4[[#This Row],[Producto]],Tabla6[[#All],[PRODUCTO]],0),MATCH(Tabla4[[#This Row],[Mes]],Tabla6[#Headers],0)))</f>
        <v>#N/A</v>
      </c>
      <c r="R5697" s="282" t="e">
        <f>++Tabla4[[#This Row],[Precio Unitario Neto]]-Tabla4[[#This Row],[20.85%]]-Tabla4[[#This Row],[Costo]]</f>
        <v>#N/A</v>
      </c>
      <c r="S5697" s="282" t="e">
        <f>++Tabla4[[#This Row],[U. Bruta Uni]]*Tabla4[[#This Row],[Cantidad]]</f>
        <v>#N/A</v>
      </c>
      <c r="T5697" s="369" t="str">
        <f>VLOOKUP(Tabla4[[#This Row],[Producto]],Tabla6[#All],14,FALSE)</f>
        <v>Termico Solar</v>
      </c>
      <c r="U5697" s="284" t="e">
        <f>(IF(Tabla4[[#This Row],[Familia]]="termico solar",Tabla4[[#This Row],[Utilidad Total]]*6%,Tabla4[[#This Row],[Utilidad Total]]*11.5%))/Tabla4[[#This Row],[Total]]</f>
        <v>#N/A</v>
      </c>
      <c r="V5697" s="282" t="e">
        <f>+Tabla4[[#This Row],[Comisión Calculada]]*Tabla4[[#This Row],[Total]]</f>
        <v>#N/A</v>
      </c>
    </row>
    <row r="5698" spans="1:22" hidden="1" x14ac:dyDescent="0.25">
      <c r="A5698" s="100">
        <v>45915</v>
      </c>
      <c r="B5698" t="str">
        <f t="shared" si="274"/>
        <v>September</v>
      </c>
      <c r="C5698" s="46" t="s">
        <v>280</v>
      </c>
      <c r="F5698" s="366" t="s">
        <v>2926</v>
      </c>
      <c r="G5698" s="46" t="s">
        <v>18</v>
      </c>
      <c r="H5698" s="46">
        <v>1</v>
      </c>
      <c r="I5698" s="51">
        <v>5367.65</v>
      </c>
      <c r="J5698" s="281">
        <f>++Tabla4[[#This Row],[Precio Bruto]]*1.16</f>
        <v>6226.4739999999993</v>
      </c>
      <c r="K5698" s="281">
        <f>+Tabla4[[#This Row],[Precio Unitario Neto]]*Tabla4[[#Headers],[20.85%]]</f>
        <v>1298.2198289999999</v>
      </c>
      <c r="L5698" s="282">
        <f>++Tabla4[[#This Row],[Precio Unitario Neto]]-Tabla4[[#This Row],[20.85%]]</f>
        <v>4928.2541709999996</v>
      </c>
      <c r="M5698" s="282" t="e">
        <f>(INDEX(Tabla6[#All],MATCH(Tabla4[[#This Row],[Producto]],Tabla6[[#All],[PRODUCTO]],0),MATCH(Tabla4[[#This Row],[Mes]],Tabla6[#Headers],0)))*(1+Catalogos!$L$2)</f>
        <v>#N/A</v>
      </c>
      <c r="N5698" s="283" t="e">
        <f>+(Tabla4[[#This Row],[Precio Descontado]]-Tabla4[[#This Row],[Precio Base]])*Tabla4[[#This Row],[Cantidad]]</f>
        <v>#N/A</v>
      </c>
      <c r="O5698" s="284" t="e">
        <f>++Tabla4[[#This Row],[Utilidad Total]]/Tabla4[[#This Row],[Total]]</f>
        <v>#N/A</v>
      </c>
      <c r="P5698" s="282">
        <f>++Tabla4[[#This Row],[Precio Descontado]]*Tabla4[[#This Row],[Cantidad]]</f>
        <v>4928.2541709999996</v>
      </c>
      <c r="Q5698" s="282" t="e">
        <f>(INDEX(Tabla6[#All],MATCH(Tabla4[[#This Row],[Producto]],Tabla6[[#All],[PRODUCTO]],0),MATCH(Tabla4[[#This Row],[Mes]],Tabla6[#Headers],0)))</f>
        <v>#N/A</v>
      </c>
      <c r="R5698" s="282" t="e">
        <f>++Tabla4[[#This Row],[Precio Unitario Neto]]-Tabla4[[#This Row],[20.85%]]-Tabla4[[#This Row],[Costo]]</f>
        <v>#N/A</v>
      </c>
      <c r="S5698" s="282" t="e">
        <f>++Tabla4[[#This Row],[U. Bruta Uni]]*Tabla4[[#This Row],[Cantidad]]</f>
        <v>#N/A</v>
      </c>
      <c r="T5698" s="369" t="str">
        <f>VLOOKUP(Tabla4[[#This Row],[Producto]],Tabla6[#All],14,FALSE)</f>
        <v>Termico Solar</v>
      </c>
      <c r="U5698" s="284" t="e">
        <f>(IF(Tabla4[[#This Row],[Familia]]="termico solar",Tabla4[[#This Row],[Utilidad Total]]*6%,Tabla4[[#This Row],[Utilidad Total]]*11.5%))/Tabla4[[#This Row],[Total]]</f>
        <v>#N/A</v>
      </c>
      <c r="V5698" s="282" t="e">
        <f>+Tabla4[[#This Row],[Comisión Calculada]]*Tabla4[[#This Row],[Total]]</f>
        <v>#N/A</v>
      </c>
    </row>
    <row r="5699" spans="1:22" hidden="1" x14ac:dyDescent="0.25">
      <c r="A5699" s="100">
        <v>45915</v>
      </c>
      <c r="B5699" t="str">
        <f t="shared" si="274"/>
        <v>September</v>
      </c>
      <c r="C5699" s="46" t="s">
        <v>280</v>
      </c>
      <c r="F5699" s="366" t="s">
        <v>2927</v>
      </c>
      <c r="G5699" s="46" t="s">
        <v>17</v>
      </c>
      <c r="H5699" s="46">
        <v>1</v>
      </c>
      <c r="I5699" s="51">
        <v>4622.28</v>
      </c>
      <c r="J5699" s="281">
        <f>++Tabla4[[#This Row],[Precio Bruto]]*1.16</f>
        <v>5361.8447999999989</v>
      </c>
      <c r="K5699" s="281">
        <f>+Tabla4[[#This Row],[Precio Unitario Neto]]*Tabla4[[#Headers],[20.85%]]</f>
        <v>1117.9446407999997</v>
      </c>
      <c r="L5699" s="282">
        <f>++Tabla4[[#This Row],[Precio Unitario Neto]]-Tabla4[[#This Row],[20.85%]]</f>
        <v>4243.9001591999995</v>
      </c>
      <c r="M5699" s="282" t="e">
        <f>(INDEX(Tabla6[#All],MATCH(Tabla4[[#This Row],[Producto]],Tabla6[[#All],[PRODUCTO]],0),MATCH(Tabla4[[#This Row],[Mes]],Tabla6[#Headers],0)))*(1+Catalogos!$L$2)</f>
        <v>#N/A</v>
      </c>
      <c r="N5699" s="283" t="e">
        <f>+(Tabla4[[#This Row],[Precio Descontado]]-Tabla4[[#This Row],[Precio Base]])*Tabla4[[#This Row],[Cantidad]]</f>
        <v>#N/A</v>
      </c>
      <c r="O5699" s="284" t="e">
        <f>++Tabla4[[#This Row],[Utilidad Total]]/Tabla4[[#This Row],[Total]]</f>
        <v>#N/A</v>
      </c>
      <c r="P5699" s="282">
        <f>++Tabla4[[#This Row],[Precio Descontado]]*Tabla4[[#This Row],[Cantidad]]</f>
        <v>4243.9001591999995</v>
      </c>
      <c r="Q5699" s="282" t="e">
        <f>(INDEX(Tabla6[#All],MATCH(Tabla4[[#This Row],[Producto]],Tabla6[[#All],[PRODUCTO]],0),MATCH(Tabla4[[#This Row],[Mes]],Tabla6[#Headers],0)))</f>
        <v>#N/A</v>
      </c>
      <c r="R5699" s="282" t="e">
        <f>++Tabla4[[#This Row],[Precio Unitario Neto]]-Tabla4[[#This Row],[20.85%]]-Tabla4[[#This Row],[Costo]]</f>
        <v>#N/A</v>
      </c>
      <c r="S5699" s="282" t="e">
        <f>++Tabla4[[#This Row],[U. Bruta Uni]]*Tabla4[[#This Row],[Cantidad]]</f>
        <v>#N/A</v>
      </c>
      <c r="T5699" s="369" t="str">
        <f>VLOOKUP(Tabla4[[#This Row],[Producto]],Tabla6[#All],14,FALSE)</f>
        <v>Termico Solar</v>
      </c>
      <c r="U5699" s="284" t="e">
        <f>(IF(Tabla4[[#This Row],[Familia]]="termico solar",Tabla4[[#This Row],[Utilidad Total]]*6%,Tabla4[[#This Row],[Utilidad Total]]*11.5%))/Tabla4[[#This Row],[Total]]</f>
        <v>#N/A</v>
      </c>
      <c r="V5699" s="282" t="e">
        <f>+Tabla4[[#This Row],[Comisión Calculada]]*Tabla4[[#This Row],[Total]]</f>
        <v>#N/A</v>
      </c>
    </row>
    <row r="5700" spans="1:22" hidden="1" x14ac:dyDescent="0.25">
      <c r="A5700" s="100">
        <v>45915</v>
      </c>
      <c r="B5700" t="str">
        <f t="shared" si="274"/>
        <v>September</v>
      </c>
      <c r="C5700" s="46" t="s">
        <v>280</v>
      </c>
      <c r="F5700" s="366" t="s">
        <v>2927</v>
      </c>
      <c r="G5700" s="46" t="s">
        <v>208</v>
      </c>
      <c r="H5700" s="46">
        <v>1</v>
      </c>
      <c r="I5700" s="51">
        <v>189.75</v>
      </c>
      <c r="J5700" s="281">
        <f>++Tabla4[[#This Row],[Precio Bruto]]*1.16</f>
        <v>220.10999999999999</v>
      </c>
      <c r="K5700" s="281">
        <f>+Tabla4[[#This Row],[Precio Unitario Neto]]*Tabla4[[#Headers],[20.85%]]</f>
        <v>45.892934999999994</v>
      </c>
      <c r="L5700" s="282">
        <f>++Tabla4[[#This Row],[Precio Unitario Neto]]-Tabla4[[#This Row],[20.85%]]</f>
        <v>174.21706499999999</v>
      </c>
      <c r="M5700" s="282" t="e">
        <f>(INDEX(Tabla6[#All],MATCH(Tabla4[[#This Row],[Producto]],Tabla6[[#All],[PRODUCTO]],0),MATCH(Tabla4[[#This Row],[Mes]],Tabla6[#Headers],0)))*(1+Catalogos!$L$2)</f>
        <v>#N/A</v>
      </c>
      <c r="N5700" s="283" t="e">
        <f>+(Tabla4[[#This Row],[Precio Descontado]]-Tabla4[[#This Row],[Precio Base]])*Tabla4[[#This Row],[Cantidad]]</f>
        <v>#N/A</v>
      </c>
      <c r="O5700" s="284" t="e">
        <f>++Tabla4[[#This Row],[Utilidad Total]]/Tabla4[[#This Row],[Total]]</f>
        <v>#N/A</v>
      </c>
      <c r="P5700" s="282">
        <f>++Tabla4[[#This Row],[Precio Descontado]]*Tabla4[[#This Row],[Cantidad]]</f>
        <v>174.21706499999999</v>
      </c>
      <c r="Q5700" s="282" t="e">
        <f>(INDEX(Tabla6[#All],MATCH(Tabla4[[#This Row],[Producto]],Tabla6[[#All],[PRODUCTO]],0),MATCH(Tabla4[[#This Row],[Mes]],Tabla6[#Headers],0)))</f>
        <v>#N/A</v>
      </c>
      <c r="R5700" s="282" t="e">
        <f>++Tabla4[[#This Row],[Precio Unitario Neto]]-Tabla4[[#This Row],[20.85%]]-Tabla4[[#This Row],[Costo]]</f>
        <v>#N/A</v>
      </c>
      <c r="S5700" s="282" t="e">
        <f>++Tabla4[[#This Row],[U. Bruta Uni]]*Tabla4[[#This Row],[Cantidad]]</f>
        <v>#N/A</v>
      </c>
      <c r="T5700" s="369" t="str">
        <f>VLOOKUP(Tabla4[[#This Row],[Producto]],Tabla6[#All],14,FALSE)</f>
        <v>Termico Solar</v>
      </c>
      <c r="U5700" s="284" t="e">
        <f>(IF(Tabla4[[#This Row],[Familia]]="termico solar",Tabla4[[#This Row],[Utilidad Total]]*6%,Tabla4[[#This Row],[Utilidad Total]]*11.5%))/Tabla4[[#This Row],[Total]]</f>
        <v>#N/A</v>
      </c>
      <c r="V5700" s="282" t="e">
        <f>+Tabla4[[#This Row],[Comisión Calculada]]*Tabla4[[#This Row],[Total]]</f>
        <v>#N/A</v>
      </c>
    </row>
    <row r="5701" spans="1:22" hidden="1" x14ac:dyDescent="0.25">
      <c r="A5701" s="100">
        <v>45915</v>
      </c>
      <c r="B5701" t="str">
        <f t="shared" si="274"/>
        <v>September</v>
      </c>
      <c r="C5701" s="46" t="s">
        <v>280</v>
      </c>
      <c r="F5701" s="366" t="s">
        <v>2928</v>
      </c>
      <c r="G5701" s="46" t="s">
        <v>566</v>
      </c>
      <c r="H5701" s="46">
        <v>1</v>
      </c>
      <c r="I5701" s="51">
        <v>2109.4499999999998</v>
      </c>
      <c r="J5701" s="281">
        <f>++Tabla4[[#This Row],[Precio Bruto]]*1.16</f>
        <v>2446.9619999999995</v>
      </c>
      <c r="K5701" s="281">
        <f>+Tabla4[[#This Row],[Precio Unitario Neto]]*Tabla4[[#Headers],[20.85%]]</f>
        <v>510.19157699999988</v>
      </c>
      <c r="L5701" s="282">
        <f>++Tabla4[[#This Row],[Precio Unitario Neto]]-Tabla4[[#This Row],[20.85%]]</f>
        <v>1936.7704229999997</v>
      </c>
      <c r="M5701" s="282" t="e">
        <f>(INDEX(Tabla6[#All],MATCH(Tabla4[[#This Row],[Producto]],Tabla6[[#All],[PRODUCTO]],0),MATCH(Tabla4[[#This Row],[Mes]],Tabla6[#Headers],0)))*(1+Catalogos!$L$2)</f>
        <v>#N/A</v>
      </c>
      <c r="N5701" s="283" t="e">
        <f>+(Tabla4[[#This Row],[Precio Descontado]]-Tabla4[[#This Row],[Precio Base]])*Tabla4[[#This Row],[Cantidad]]</f>
        <v>#N/A</v>
      </c>
      <c r="O5701" s="284" t="e">
        <f>++Tabla4[[#This Row],[Utilidad Total]]/Tabla4[[#This Row],[Total]]</f>
        <v>#N/A</v>
      </c>
      <c r="P5701" s="282">
        <f>++Tabla4[[#This Row],[Precio Descontado]]*Tabla4[[#This Row],[Cantidad]]</f>
        <v>1936.7704229999997</v>
      </c>
      <c r="Q5701" s="282" t="e">
        <f>(INDEX(Tabla6[#All],MATCH(Tabla4[[#This Row],[Producto]],Tabla6[[#All],[PRODUCTO]],0),MATCH(Tabla4[[#This Row],[Mes]],Tabla6[#Headers],0)))</f>
        <v>#N/A</v>
      </c>
      <c r="R5701" s="282" t="e">
        <f>++Tabla4[[#This Row],[Precio Unitario Neto]]-Tabla4[[#This Row],[20.85%]]-Tabla4[[#This Row],[Costo]]</f>
        <v>#N/A</v>
      </c>
      <c r="S5701" s="282" t="e">
        <f>++Tabla4[[#This Row],[U. Bruta Uni]]*Tabla4[[#This Row],[Cantidad]]</f>
        <v>#N/A</v>
      </c>
      <c r="T5701" s="369" t="str">
        <f>VLOOKUP(Tabla4[[#This Row],[Producto]],Tabla6[#All],14,FALSE)</f>
        <v>Termico Solar</v>
      </c>
      <c r="U5701" s="284" t="e">
        <f>(IF(Tabla4[[#This Row],[Familia]]="termico solar",Tabla4[[#This Row],[Utilidad Total]]*6%,Tabla4[[#This Row],[Utilidad Total]]*11.5%))/Tabla4[[#This Row],[Total]]</f>
        <v>#N/A</v>
      </c>
      <c r="V5701" s="282" t="e">
        <f>+Tabla4[[#This Row],[Comisión Calculada]]*Tabla4[[#This Row],[Total]]</f>
        <v>#N/A</v>
      </c>
    </row>
    <row r="5702" spans="1:22" hidden="1" x14ac:dyDescent="0.25">
      <c r="A5702" s="100">
        <v>45915</v>
      </c>
      <c r="B5702" t="str">
        <f t="shared" si="274"/>
        <v>September</v>
      </c>
      <c r="C5702" s="46" t="s">
        <v>280</v>
      </c>
      <c r="F5702" s="366" t="s">
        <v>2928</v>
      </c>
      <c r="G5702" s="46" t="s">
        <v>412</v>
      </c>
      <c r="H5702" s="46">
        <v>1</v>
      </c>
      <c r="I5702" s="51">
        <v>3240.84</v>
      </c>
      <c r="J5702" s="281">
        <f>++Tabla4[[#This Row],[Precio Bruto]]*1.16</f>
        <v>3759.3743999999997</v>
      </c>
      <c r="K5702" s="281">
        <f>+Tabla4[[#This Row],[Precio Unitario Neto]]*Tabla4[[#Headers],[20.85%]]</f>
        <v>783.82956239999987</v>
      </c>
      <c r="L5702" s="282">
        <f>++Tabla4[[#This Row],[Precio Unitario Neto]]-Tabla4[[#This Row],[20.85%]]</f>
        <v>2975.5448375999999</v>
      </c>
      <c r="M5702" s="282" t="e">
        <f>(INDEX(Tabla6[#All],MATCH(Tabla4[[#This Row],[Producto]],Tabla6[[#All],[PRODUCTO]],0),MATCH(Tabla4[[#This Row],[Mes]],Tabla6[#Headers],0)))*(1+Catalogos!$L$2)</f>
        <v>#N/A</v>
      </c>
      <c r="N5702" s="283" t="e">
        <f>+(Tabla4[[#This Row],[Precio Descontado]]-Tabla4[[#This Row],[Precio Base]])*Tabla4[[#This Row],[Cantidad]]</f>
        <v>#N/A</v>
      </c>
      <c r="O5702" s="284" t="e">
        <f>++Tabla4[[#This Row],[Utilidad Total]]/Tabla4[[#This Row],[Total]]</f>
        <v>#N/A</v>
      </c>
      <c r="P5702" s="282">
        <f>++Tabla4[[#This Row],[Precio Descontado]]*Tabla4[[#This Row],[Cantidad]]</f>
        <v>2975.5448375999999</v>
      </c>
      <c r="Q5702" s="282" t="e">
        <f>(INDEX(Tabla6[#All],MATCH(Tabla4[[#This Row],[Producto]],Tabla6[[#All],[PRODUCTO]],0),MATCH(Tabla4[[#This Row],[Mes]],Tabla6[#Headers],0)))</f>
        <v>#N/A</v>
      </c>
      <c r="R5702" s="282" t="e">
        <f>++Tabla4[[#This Row],[Precio Unitario Neto]]-Tabla4[[#This Row],[20.85%]]-Tabla4[[#This Row],[Costo]]</f>
        <v>#N/A</v>
      </c>
      <c r="S5702" s="282" t="e">
        <f>++Tabla4[[#This Row],[U. Bruta Uni]]*Tabla4[[#This Row],[Cantidad]]</f>
        <v>#N/A</v>
      </c>
      <c r="T5702" s="369" t="str">
        <f>VLOOKUP(Tabla4[[#This Row],[Producto]],Tabla6[#All],14,FALSE)</f>
        <v>Termico Solar</v>
      </c>
      <c r="U5702" s="284" t="e">
        <f>(IF(Tabla4[[#This Row],[Familia]]="termico solar",Tabla4[[#This Row],[Utilidad Total]]*6%,Tabla4[[#This Row],[Utilidad Total]]*11.5%))/Tabla4[[#This Row],[Total]]</f>
        <v>#N/A</v>
      </c>
      <c r="V5702" s="282" t="e">
        <f>+Tabla4[[#This Row],[Comisión Calculada]]*Tabla4[[#This Row],[Total]]</f>
        <v>#N/A</v>
      </c>
    </row>
    <row r="5703" spans="1:22" hidden="1" x14ac:dyDescent="0.25">
      <c r="A5703" s="100">
        <v>45915</v>
      </c>
      <c r="B5703" t="str">
        <f t="shared" si="274"/>
        <v>September</v>
      </c>
      <c r="C5703" s="46" t="s">
        <v>280</v>
      </c>
      <c r="F5703" s="366" t="s">
        <v>2929</v>
      </c>
      <c r="G5703" s="46" t="s">
        <v>566</v>
      </c>
      <c r="H5703" s="46">
        <v>1</v>
      </c>
      <c r="I5703" s="51">
        <v>2109.4499999999998</v>
      </c>
      <c r="J5703" s="281">
        <f>++Tabla4[[#This Row],[Precio Bruto]]*1.16</f>
        <v>2446.9619999999995</v>
      </c>
      <c r="K5703" s="281">
        <f>+Tabla4[[#This Row],[Precio Unitario Neto]]*Tabla4[[#Headers],[20.85%]]</f>
        <v>510.19157699999988</v>
      </c>
      <c r="L5703" s="282">
        <f>++Tabla4[[#This Row],[Precio Unitario Neto]]-Tabla4[[#This Row],[20.85%]]</f>
        <v>1936.7704229999997</v>
      </c>
      <c r="M5703" s="282" t="e">
        <f>(INDEX(Tabla6[#All],MATCH(Tabla4[[#This Row],[Producto]],Tabla6[[#All],[PRODUCTO]],0),MATCH(Tabla4[[#This Row],[Mes]],Tabla6[#Headers],0)))*(1+Catalogos!$L$2)</f>
        <v>#N/A</v>
      </c>
      <c r="N5703" s="283" t="e">
        <f>+(Tabla4[[#This Row],[Precio Descontado]]-Tabla4[[#This Row],[Precio Base]])*Tabla4[[#This Row],[Cantidad]]</f>
        <v>#N/A</v>
      </c>
      <c r="O5703" s="284" t="e">
        <f>++Tabla4[[#This Row],[Utilidad Total]]/Tabla4[[#This Row],[Total]]</f>
        <v>#N/A</v>
      </c>
      <c r="P5703" s="282">
        <f>++Tabla4[[#This Row],[Precio Descontado]]*Tabla4[[#This Row],[Cantidad]]</f>
        <v>1936.7704229999997</v>
      </c>
      <c r="Q5703" s="282" t="e">
        <f>(INDEX(Tabla6[#All],MATCH(Tabla4[[#This Row],[Producto]],Tabla6[[#All],[PRODUCTO]],0),MATCH(Tabla4[[#This Row],[Mes]],Tabla6[#Headers],0)))</f>
        <v>#N/A</v>
      </c>
      <c r="R5703" s="282" t="e">
        <f>++Tabla4[[#This Row],[Precio Unitario Neto]]-Tabla4[[#This Row],[20.85%]]-Tabla4[[#This Row],[Costo]]</f>
        <v>#N/A</v>
      </c>
      <c r="S5703" s="282" t="e">
        <f>++Tabla4[[#This Row],[U. Bruta Uni]]*Tabla4[[#This Row],[Cantidad]]</f>
        <v>#N/A</v>
      </c>
      <c r="T5703" s="369" t="str">
        <f>VLOOKUP(Tabla4[[#This Row],[Producto]],Tabla6[#All],14,FALSE)</f>
        <v>Termico Solar</v>
      </c>
      <c r="U5703" s="284" t="e">
        <f>(IF(Tabla4[[#This Row],[Familia]]="termico solar",Tabla4[[#This Row],[Utilidad Total]]*6%,Tabla4[[#This Row],[Utilidad Total]]*11.5%))/Tabla4[[#This Row],[Total]]</f>
        <v>#N/A</v>
      </c>
      <c r="V5703" s="282" t="e">
        <f>+Tabla4[[#This Row],[Comisión Calculada]]*Tabla4[[#This Row],[Total]]</f>
        <v>#N/A</v>
      </c>
    </row>
    <row r="5704" spans="1:22" hidden="1" x14ac:dyDescent="0.25">
      <c r="A5704" s="100">
        <v>45915</v>
      </c>
      <c r="B5704" t="str">
        <f t="shared" si="274"/>
        <v>September</v>
      </c>
      <c r="C5704" s="46" t="s">
        <v>280</v>
      </c>
      <c r="F5704" s="366" t="s">
        <v>2929</v>
      </c>
      <c r="G5704" s="46" t="s">
        <v>412</v>
      </c>
      <c r="H5704" s="46">
        <v>1</v>
      </c>
      <c r="I5704" s="51">
        <v>3240.84</v>
      </c>
      <c r="J5704" s="281">
        <f>++Tabla4[[#This Row],[Precio Bruto]]*1.16</f>
        <v>3759.3743999999997</v>
      </c>
      <c r="K5704" s="281">
        <f>+Tabla4[[#This Row],[Precio Unitario Neto]]*Tabla4[[#Headers],[20.85%]]</f>
        <v>783.82956239999987</v>
      </c>
      <c r="L5704" s="282">
        <f>++Tabla4[[#This Row],[Precio Unitario Neto]]-Tabla4[[#This Row],[20.85%]]</f>
        <v>2975.5448375999999</v>
      </c>
      <c r="M5704" s="282" t="e">
        <f>(INDEX(Tabla6[#All],MATCH(Tabla4[[#This Row],[Producto]],Tabla6[[#All],[PRODUCTO]],0),MATCH(Tabla4[[#This Row],[Mes]],Tabla6[#Headers],0)))*(1+Catalogos!$L$2)</f>
        <v>#N/A</v>
      </c>
      <c r="N5704" s="283" t="e">
        <f>+(Tabla4[[#This Row],[Precio Descontado]]-Tabla4[[#This Row],[Precio Base]])*Tabla4[[#This Row],[Cantidad]]</f>
        <v>#N/A</v>
      </c>
      <c r="O5704" s="284" t="e">
        <f>++Tabla4[[#This Row],[Utilidad Total]]/Tabla4[[#This Row],[Total]]</f>
        <v>#N/A</v>
      </c>
      <c r="P5704" s="282">
        <f>++Tabla4[[#This Row],[Precio Descontado]]*Tabla4[[#This Row],[Cantidad]]</f>
        <v>2975.5448375999999</v>
      </c>
      <c r="Q5704" s="282" t="e">
        <f>(INDEX(Tabla6[#All],MATCH(Tabla4[[#This Row],[Producto]],Tabla6[[#All],[PRODUCTO]],0),MATCH(Tabla4[[#This Row],[Mes]],Tabla6[#Headers],0)))</f>
        <v>#N/A</v>
      </c>
      <c r="R5704" s="282" t="e">
        <f>++Tabla4[[#This Row],[Precio Unitario Neto]]-Tabla4[[#This Row],[20.85%]]-Tabla4[[#This Row],[Costo]]</f>
        <v>#N/A</v>
      </c>
      <c r="S5704" s="282" t="e">
        <f>++Tabla4[[#This Row],[U. Bruta Uni]]*Tabla4[[#This Row],[Cantidad]]</f>
        <v>#N/A</v>
      </c>
      <c r="T5704" s="369" t="str">
        <f>VLOOKUP(Tabla4[[#This Row],[Producto]],Tabla6[#All],14,FALSE)</f>
        <v>Termico Solar</v>
      </c>
      <c r="U5704" s="284" t="e">
        <f>(IF(Tabla4[[#This Row],[Familia]]="termico solar",Tabla4[[#This Row],[Utilidad Total]]*6%,Tabla4[[#This Row],[Utilidad Total]]*11.5%))/Tabla4[[#This Row],[Total]]</f>
        <v>#N/A</v>
      </c>
      <c r="V5704" s="282" t="e">
        <f>+Tabla4[[#This Row],[Comisión Calculada]]*Tabla4[[#This Row],[Total]]</f>
        <v>#N/A</v>
      </c>
    </row>
    <row r="5705" spans="1:22" hidden="1" x14ac:dyDescent="0.25">
      <c r="A5705" s="100">
        <v>45915</v>
      </c>
      <c r="B5705" t="str">
        <f t="shared" si="274"/>
        <v>September</v>
      </c>
      <c r="C5705" s="46" t="s">
        <v>280</v>
      </c>
      <c r="F5705" s="366" t="s">
        <v>2929</v>
      </c>
      <c r="G5705" s="46" t="s">
        <v>394</v>
      </c>
      <c r="H5705" s="46">
        <v>9</v>
      </c>
      <c r="I5705" s="51">
        <v>108.1</v>
      </c>
      <c r="J5705" s="281">
        <f>++Tabla4[[#This Row],[Precio Bruto]]*1.16</f>
        <v>125.39599999999999</v>
      </c>
      <c r="K5705" s="281">
        <f>+Tabla4[[#This Row],[Precio Unitario Neto]]*Tabla4[[#Headers],[20.85%]]</f>
        <v>26.145065999999996</v>
      </c>
      <c r="L5705" s="282">
        <f>++Tabla4[[#This Row],[Precio Unitario Neto]]-Tabla4[[#This Row],[20.85%]]</f>
        <v>99.250933999999987</v>
      </c>
      <c r="M5705" s="282" t="e">
        <f>(INDEX(Tabla6[#All],MATCH(Tabla4[[#This Row],[Producto]],Tabla6[[#All],[PRODUCTO]],0),MATCH(Tabla4[[#This Row],[Mes]],Tabla6[#Headers],0)))*(1+Catalogos!$L$2)</f>
        <v>#N/A</v>
      </c>
      <c r="N5705" s="283" t="e">
        <f>+(Tabla4[[#This Row],[Precio Descontado]]-Tabla4[[#This Row],[Precio Base]])*Tabla4[[#This Row],[Cantidad]]</f>
        <v>#N/A</v>
      </c>
      <c r="O5705" s="284" t="e">
        <f>++Tabla4[[#This Row],[Utilidad Total]]/Tabla4[[#This Row],[Total]]</f>
        <v>#N/A</v>
      </c>
      <c r="P5705" s="282">
        <f>++Tabla4[[#This Row],[Precio Descontado]]*Tabla4[[#This Row],[Cantidad]]</f>
        <v>893.25840599999992</v>
      </c>
      <c r="Q5705" s="282" t="e">
        <f>(INDEX(Tabla6[#All],MATCH(Tabla4[[#This Row],[Producto]],Tabla6[[#All],[PRODUCTO]],0),MATCH(Tabla4[[#This Row],[Mes]],Tabla6[#Headers],0)))</f>
        <v>#N/A</v>
      </c>
      <c r="R5705" s="282" t="e">
        <f>++Tabla4[[#This Row],[Precio Unitario Neto]]-Tabla4[[#This Row],[20.85%]]-Tabla4[[#This Row],[Costo]]</f>
        <v>#N/A</v>
      </c>
      <c r="S5705" s="282" t="e">
        <f>++Tabla4[[#This Row],[U. Bruta Uni]]*Tabla4[[#This Row],[Cantidad]]</f>
        <v>#N/A</v>
      </c>
      <c r="T5705" s="369" t="str">
        <f>VLOOKUP(Tabla4[[#This Row],[Producto]],Tabla6[#All],14,FALSE)</f>
        <v>Termico Solar</v>
      </c>
      <c r="U5705" s="284" t="e">
        <f>(IF(Tabla4[[#This Row],[Familia]]="termico solar",Tabla4[[#This Row],[Utilidad Total]]*6%,Tabla4[[#This Row],[Utilidad Total]]*11.5%))/Tabla4[[#This Row],[Total]]</f>
        <v>#N/A</v>
      </c>
      <c r="V5705" s="282" t="e">
        <f>+Tabla4[[#This Row],[Comisión Calculada]]*Tabla4[[#This Row],[Total]]</f>
        <v>#N/A</v>
      </c>
    </row>
    <row r="5706" spans="1:22" hidden="1" x14ac:dyDescent="0.25">
      <c r="A5706" s="100">
        <v>45915</v>
      </c>
      <c r="B5706" t="str">
        <f t="shared" si="274"/>
        <v>September</v>
      </c>
      <c r="C5706" s="46" t="s">
        <v>280</v>
      </c>
      <c r="F5706" s="366" t="s">
        <v>2930</v>
      </c>
      <c r="G5706" s="46" t="s">
        <v>83</v>
      </c>
      <c r="H5706" s="46">
        <v>1</v>
      </c>
      <c r="I5706" s="51">
        <v>8858.76</v>
      </c>
      <c r="J5706" s="281">
        <f>++Tabla4[[#This Row],[Precio Bruto]]*1.16</f>
        <v>10276.161599999999</v>
      </c>
      <c r="K5706" s="281">
        <f>+Tabla4[[#This Row],[Precio Unitario Neto]]*Tabla4[[#Headers],[20.85%]]</f>
        <v>2142.5796935999997</v>
      </c>
      <c r="L5706" s="282">
        <f>++Tabla4[[#This Row],[Precio Unitario Neto]]-Tabla4[[#This Row],[20.85%]]</f>
        <v>8133.5819063999998</v>
      </c>
      <c r="M5706" s="282" t="e">
        <f>(INDEX(Tabla6[#All],MATCH(Tabla4[[#This Row],[Producto]],Tabla6[[#All],[PRODUCTO]],0),MATCH(Tabla4[[#This Row],[Mes]],Tabla6[#Headers],0)))*(1+Catalogos!$L$2)</f>
        <v>#N/A</v>
      </c>
      <c r="N5706" s="283" t="e">
        <f>+(Tabla4[[#This Row],[Precio Descontado]]-Tabla4[[#This Row],[Precio Base]])*Tabla4[[#This Row],[Cantidad]]</f>
        <v>#N/A</v>
      </c>
      <c r="O5706" s="284" t="e">
        <f>++Tabla4[[#This Row],[Utilidad Total]]/Tabla4[[#This Row],[Total]]</f>
        <v>#N/A</v>
      </c>
      <c r="P5706" s="282">
        <f>++Tabla4[[#This Row],[Precio Descontado]]*Tabla4[[#This Row],[Cantidad]]</f>
        <v>8133.5819063999998</v>
      </c>
      <c r="Q5706" s="282" t="e">
        <f>(INDEX(Tabla6[#All],MATCH(Tabla4[[#This Row],[Producto]],Tabla6[[#All],[PRODUCTO]],0),MATCH(Tabla4[[#This Row],[Mes]],Tabla6[#Headers],0)))</f>
        <v>#N/A</v>
      </c>
      <c r="R5706" s="282" t="e">
        <f>++Tabla4[[#This Row],[Precio Unitario Neto]]-Tabla4[[#This Row],[20.85%]]-Tabla4[[#This Row],[Costo]]</f>
        <v>#N/A</v>
      </c>
      <c r="S5706" s="282" t="e">
        <f>++Tabla4[[#This Row],[U. Bruta Uni]]*Tabla4[[#This Row],[Cantidad]]</f>
        <v>#N/A</v>
      </c>
      <c r="T5706" s="369" t="str">
        <f>VLOOKUP(Tabla4[[#This Row],[Producto]],Tabla6[#All],14,FALSE)</f>
        <v>Termico Solar</v>
      </c>
      <c r="U5706" s="284" t="e">
        <f>(IF(Tabla4[[#This Row],[Familia]]="termico solar",Tabla4[[#This Row],[Utilidad Total]]*6%,Tabla4[[#This Row],[Utilidad Total]]*11.5%))/Tabla4[[#This Row],[Total]]</f>
        <v>#N/A</v>
      </c>
      <c r="V5706" s="282" t="e">
        <f>+Tabla4[[#This Row],[Comisión Calculada]]*Tabla4[[#This Row],[Total]]</f>
        <v>#N/A</v>
      </c>
    </row>
    <row r="5707" spans="1:22" hidden="1" x14ac:dyDescent="0.25">
      <c r="A5707" s="100">
        <v>45915</v>
      </c>
      <c r="B5707" t="str">
        <f t="shared" si="274"/>
        <v>September</v>
      </c>
      <c r="C5707" s="46" t="s">
        <v>280</v>
      </c>
      <c r="F5707" s="366" t="s">
        <v>2930</v>
      </c>
      <c r="G5707" s="46" t="s">
        <v>17</v>
      </c>
      <c r="H5707" s="46">
        <v>4</v>
      </c>
      <c r="I5707" s="51">
        <v>4622.28</v>
      </c>
      <c r="J5707" s="281">
        <f>++Tabla4[[#This Row],[Precio Bruto]]*1.16</f>
        <v>5361.8447999999989</v>
      </c>
      <c r="K5707" s="281">
        <f>+Tabla4[[#This Row],[Precio Unitario Neto]]*Tabla4[[#Headers],[20.85%]]</f>
        <v>1117.9446407999997</v>
      </c>
      <c r="L5707" s="282">
        <f>++Tabla4[[#This Row],[Precio Unitario Neto]]-Tabla4[[#This Row],[20.85%]]</f>
        <v>4243.9001591999995</v>
      </c>
      <c r="M5707" s="282" t="e">
        <f>(INDEX(Tabla6[#All],MATCH(Tabla4[[#This Row],[Producto]],Tabla6[[#All],[PRODUCTO]],0),MATCH(Tabla4[[#This Row],[Mes]],Tabla6[#Headers],0)))*(1+Catalogos!$L$2)</f>
        <v>#N/A</v>
      </c>
      <c r="N5707" s="283" t="e">
        <f>+(Tabla4[[#This Row],[Precio Descontado]]-Tabla4[[#This Row],[Precio Base]])*Tabla4[[#This Row],[Cantidad]]</f>
        <v>#N/A</v>
      </c>
      <c r="O5707" s="284" t="e">
        <f>++Tabla4[[#This Row],[Utilidad Total]]/Tabla4[[#This Row],[Total]]</f>
        <v>#N/A</v>
      </c>
      <c r="P5707" s="282">
        <f>++Tabla4[[#This Row],[Precio Descontado]]*Tabla4[[#This Row],[Cantidad]]</f>
        <v>16975.600636799998</v>
      </c>
      <c r="Q5707" s="282" t="e">
        <f>(INDEX(Tabla6[#All],MATCH(Tabla4[[#This Row],[Producto]],Tabla6[[#All],[PRODUCTO]],0),MATCH(Tabla4[[#This Row],[Mes]],Tabla6[#Headers],0)))</f>
        <v>#N/A</v>
      </c>
      <c r="R5707" s="282" t="e">
        <f>++Tabla4[[#This Row],[Precio Unitario Neto]]-Tabla4[[#This Row],[20.85%]]-Tabla4[[#This Row],[Costo]]</f>
        <v>#N/A</v>
      </c>
      <c r="S5707" s="282" t="e">
        <f>++Tabla4[[#This Row],[U. Bruta Uni]]*Tabla4[[#This Row],[Cantidad]]</f>
        <v>#N/A</v>
      </c>
      <c r="T5707" s="369" t="str">
        <f>VLOOKUP(Tabla4[[#This Row],[Producto]],Tabla6[#All],14,FALSE)</f>
        <v>Termico Solar</v>
      </c>
      <c r="U5707" s="284" t="e">
        <f>(IF(Tabla4[[#This Row],[Familia]]="termico solar",Tabla4[[#This Row],[Utilidad Total]]*6%,Tabla4[[#This Row],[Utilidad Total]]*11.5%))/Tabla4[[#This Row],[Total]]</f>
        <v>#N/A</v>
      </c>
      <c r="V5707" s="282" t="e">
        <f>+Tabla4[[#This Row],[Comisión Calculada]]*Tabla4[[#This Row],[Total]]</f>
        <v>#N/A</v>
      </c>
    </row>
    <row r="5708" spans="1:22" hidden="1" x14ac:dyDescent="0.25">
      <c r="A5708" s="100">
        <v>45915</v>
      </c>
      <c r="B5708" t="str">
        <f t="shared" si="274"/>
        <v>September</v>
      </c>
      <c r="C5708" s="46" t="s">
        <v>280</v>
      </c>
      <c r="F5708" s="366" t="s">
        <v>2930</v>
      </c>
      <c r="G5708" s="46" t="s">
        <v>566</v>
      </c>
      <c r="H5708" s="46">
        <v>1</v>
      </c>
      <c r="I5708" s="51">
        <v>2109.4499999999998</v>
      </c>
      <c r="J5708" s="281">
        <f>++Tabla4[[#This Row],[Precio Bruto]]*1.16</f>
        <v>2446.9619999999995</v>
      </c>
      <c r="K5708" s="281">
        <f>+Tabla4[[#This Row],[Precio Unitario Neto]]*Tabla4[[#Headers],[20.85%]]</f>
        <v>510.19157699999988</v>
      </c>
      <c r="L5708" s="282">
        <f>++Tabla4[[#This Row],[Precio Unitario Neto]]-Tabla4[[#This Row],[20.85%]]</f>
        <v>1936.7704229999997</v>
      </c>
      <c r="M5708" s="282" t="e">
        <f>(INDEX(Tabla6[#All],MATCH(Tabla4[[#This Row],[Producto]],Tabla6[[#All],[PRODUCTO]],0),MATCH(Tabla4[[#This Row],[Mes]],Tabla6[#Headers],0)))*(1+Catalogos!$L$2)</f>
        <v>#N/A</v>
      </c>
      <c r="N5708" s="283" t="e">
        <f>+(Tabla4[[#This Row],[Precio Descontado]]-Tabla4[[#This Row],[Precio Base]])*Tabla4[[#This Row],[Cantidad]]</f>
        <v>#N/A</v>
      </c>
      <c r="O5708" s="284" t="e">
        <f>++Tabla4[[#This Row],[Utilidad Total]]/Tabla4[[#This Row],[Total]]</f>
        <v>#N/A</v>
      </c>
      <c r="P5708" s="282">
        <f>++Tabla4[[#This Row],[Precio Descontado]]*Tabla4[[#This Row],[Cantidad]]</f>
        <v>1936.7704229999997</v>
      </c>
      <c r="Q5708" s="282" t="e">
        <f>(INDEX(Tabla6[#All],MATCH(Tabla4[[#This Row],[Producto]],Tabla6[[#All],[PRODUCTO]],0),MATCH(Tabla4[[#This Row],[Mes]],Tabla6[#Headers],0)))</f>
        <v>#N/A</v>
      </c>
      <c r="R5708" s="282" t="e">
        <f>++Tabla4[[#This Row],[Precio Unitario Neto]]-Tabla4[[#This Row],[20.85%]]-Tabla4[[#This Row],[Costo]]</f>
        <v>#N/A</v>
      </c>
      <c r="S5708" s="282" t="e">
        <f>++Tabla4[[#This Row],[U. Bruta Uni]]*Tabla4[[#This Row],[Cantidad]]</f>
        <v>#N/A</v>
      </c>
      <c r="T5708" s="369" t="str">
        <f>VLOOKUP(Tabla4[[#This Row],[Producto]],Tabla6[#All],14,FALSE)</f>
        <v>Termico Solar</v>
      </c>
      <c r="U5708" s="284" t="e">
        <f>(IF(Tabla4[[#This Row],[Familia]]="termico solar",Tabla4[[#This Row],[Utilidad Total]]*6%,Tabla4[[#This Row],[Utilidad Total]]*11.5%))/Tabla4[[#This Row],[Total]]</f>
        <v>#N/A</v>
      </c>
      <c r="V5708" s="282" t="e">
        <f>+Tabla4[[#This Row],[Comisión Calculada]]*Tabla4[[#This Row],[Total]]</f>
        <v>#N/A</v>
      </c>
    </row>
    <row r="5709" spans="1:22" hidden="1" x14ac:dyDescent="0.25">
      <c r="A5709" s="100">
        <v>45915</v>
      </c>
      <c r="B5709" t="str">
        <f t="shared" si="274"/>
        <v>September</v>
      </c>
      <c r="C5709" s="46" t="s">
        <v>280</v>
      </c>
      <c r="F5709" s="366" t="s">
        <v>2930</v>
      </c>
      <c r="G5709" s="46" t="s">
        <v>394</v>
      </c>
      <c r="H5709" s="46">
        <v>9</v>
      </c>
      <c r="I5709" s="51">
        <v>108.1</v>
      </c>
      <c r="J5709" s="281">
        <f>++Tabla4[[#This Row],[Precio Bruto]]*1.16</f>
        <v>125.39599999999999</v>
      </c>
      <c r="K5709" s="281">
        <f>+Tabla4[[#This Row],[Precio Unitario Neto]]*Tabla4[[#Headers],[20.85%]]</f>
        <v>26.145065999999996</v>
      </c>
      <c r="L5709" s="282">
        <f>++Tabla4[[#This Row],[Precio Unitario Neto]]-Tabla4[[#This Row],[20.85%]]</f>
        <v>99.250933999999987</v>
      </c>
      <c r="M5709" s="282" t="e">
        <f>(INDEX(Tabla6[#All],MATCH(Tabla4[[#This Row],[Producto]],Tabla6[[#All],[PRODUCTO]],0),MATCH(Tabla4[[#This Row],[Mes]],Tabla6[#Headers],0)))*(1+Catalogos!$L$2)</f>
        <v>#N/A</v>
      </c>
      <c r="N5709" s="283" t="e">
        <f>+(Tabla4[[#This Row],[Precio Descontado]]-Tabla4[[#This Row],[Precio Base]])*Tabla4[[#This Row],[Cantidad]]</f>
        <v>#N/A</v>
      </c>
      <c r="O5709" s="284" t="e">
        <f>++Tabla4[[#This Row],[Utilidad Total]]/Tabla4[[#This Row],[Total]]</f>
        <v>#N/A</v>
      </c>
      <c r="P5709" s="282">
        <f>++Tabla4[[#This Row],[Precio Descontado]]*Tabla4[[#This Row],[Cantidad]]</f>
        <v>893.25840599999992</v>
      </c>
      <c r="Q5709" s="282" t="e">
        <f>(INDEX(Tabla6[#All],MATCH(Tabla4[[#This Row],[Producto]],Tabla6[[#All],[PRODUCTO]],0),MATCH(Tabla4[[#This Row],[Mes]],Tabla6[#Headers],0)))</f>
        <v>#N/A</v>
      </c>
      <c r="R5709" s="282" t="e">
        <f>++Tabla4[[#This Row],[Precio Unitario Neto]]-Tabla4[[#This Row],[20.85%]]-Tabla4[[#This Row],[Costo]]</f>
        <v>#N/A</v>
      </c>
      <c r="S5709" s="282" t="e">
        <f>++Tabla4[[#This Row],[U. Bruta Uni]]*Tabla4[[#This Row],[Cantidad]]</f>
        <v>#N/A</v>
      </c>
      <c r="T5709" s="369" t="str">
        <f>VLOOKUP(Tabla4[[#This Row],[Producto]],Tabla6[#All],14,FALSE)</f>
        <v>Termico Solar</v>
      </c>
      <c r="U5709" s="284" t="e">
        <f>(IF(Tabla4[[#This Row],[Familia]]="termico solar",Tabla4[[#This Row],[Utilidad Total]]*6%,Tabla4[[#This Row],[Utilidad Total]]*11.5%))/Tabla4[[#This Row],[Total]]</f>
        <v>#N/A</v>
      </c>
      <c r="V5709" s="282" t="e">
        <f>+Tabla4[[#This Row],[Comisión Calculada]]*Tabla4[[#This Row],[Total]]</f>
        <v>#N/A</v>
      </c>
    </row>
    <row r="5710" spans="1:22" hidden="1" x14ac:dyDescent="0.25">
      <c r="A5710" s="100">
        <v>45915</v>
      </c>
      <c r="B5710" t="str">
        <f t="shared" si="274"/>
        <v>September</v>
      </c>
      <c r="C5710" s="46" t="s">
        <v>280</v>
      </c>
      <c r="F5710" s="366" t="s">
        <v>2930</v>
      </c>
      <c r="G5710" s="46" t="s">
        <v>16</v>
      </c>
      <c r="H5710" s="46">
        <v>3</v>
      </c>
      <c r="I5710" s="51">
        <v>4103.8499999999995</v>
      </c>
      <c r="J5710" s="281">
        <f>++Tabla4[[#This Row],[Precio Bruto]]*1.16</f>
        <v>4760.4659999999994</v>
      </c>
      <c r="K5710" s="281">
        <f>+Tabla4[[#This Row],[Precio Unitario Neto]]*Tabla4[[#Headers],[20.85%]]</f>
        <v>992.55716099999984</v>
      </c>
      <c r="L5710" s="282">
        <f>++Tabla4[[#This Row],[Precio Unitario Neto]]-Tabla4[[#This Row],[20.85%]]</f>
        <v>3767.9088389999997</v>
      </c>
      <c r="M5710" s="282" t="e">
        <f>(INDEX(Tabla6[#All],MATCH(Tabla4[[#This Row],[Producto]],Tabla6[[#All],[PRODUCTO]],0),MATCH(Tabla4[[#This Row],[Mes]],Tabla6[#Headers],0)))*(1+Catalogos!$L$2)</f>
        <v>#N/A</v>
      </c>
      <c r="N5710" s="283" t="e">
        <f>+(Tabla4[[#This Row],[Precio Descontado]]-Tabla4[[#This Row],[Precio Base]])*Tabla4[[#This Row],[Cantidad]]</f>
        <v>#N/A</v>
      </c>
      <c r="O5710" s="284" t="e">
        <f>++Tabla4[[#This Row],[Utilidad Total]]/Tabla4[[#This Row],[Total]]</f>
        <v>#N/A</v>
      </c>
      <c r="P5710" s="282">
        <f>++Tabla4[[#This Row],[Precio Descontado]]*Tabla4[[#This Row],[Cantidad]]</f>
        <v>11303.726516999999</v>
      </c>
      <c r="Q5710" s="282" t="e">
        <f>(INDEX(Tabla6[#All],MATCH(Tabla4[[#This Row],[Producto]],Tabla6[[#All],[PRODUCTO]],0),MATCH(Tabla4[[#This Row],[Mes]],Tabla6[#Headers],0)))</f>
        <v>#N/A</v>
      </c>
      <c r="R5710" s="282" t="e">
        <f>++Tabla4[[#This Row],[Precio Unitario Neto]]-Tabla4[[#This Row],[20.85%]]-Tabla4[[#This Row],[Costo]]</f>
        <v>#N/A</v>
      </c>
      <c r="S5710" s="282" t="e">
        <f>++Tabla4[[#This Row],[U. Bruta Uni]]*Tabla4[[#This Row],[Cantidad]]</f>
        <v>#N/A</v>
      </c>
      <c r="T5710" s="369" t="str">
        <f>VLOOKUP(Tabla4[[#This Row],[Producto]],Tabla6[#All],14,FALSE)</f>
        <v>Termico Solar</v>
      </c>
      <c r="U5710" s="284" t="e">
        <f>(IF(Tabla4[[#This Row],[Familia]]="termico solar",Tabla4[[#This Row],[Utilidad Total]]*6%,Tabla4[[#This Row],[Utilidad Total]]*11.5%))/Tabla4[[#This Row],[Total]]</f>
        <v>#N/A</v>
      </c>
      <c r="V5710" s="282" t="e">
        <f>+Tabla4[[#This Row],[Comisión Calculada]]*Tabla4[[#This Row],[Total]]</f>
        <v>#N/A</v>
      </c>
    </row>
    <row r="5711" spans="1:22" hidden="1" x14ac:dyDescent="0.25">
      <c r="A5711" s="100">
        <v>45915</v>
      </c>
      <c r="B5711" t="str">
        <f t="shared" si="274"/>
        <v>September</v>
      </c>
      <c r="C5711" s="46" t="s">
        <v>280</v>
      </c>
      <c r="F5711" s="366" t="s">
        <v>2931</v>
      </c>
      <c r="G5711" s="46" t="s">
        <v>16</v>
      </c>
      <c r="H5711" s="46">
        <v>1</v>
      </c>
      <c r="I5711" s="51">
        <v>4103.8500000000004</v>
      </c>
      <c r="J5711" s="281">
        <f>++Tabla4[[#This Row],[Precio Bruto]]*1.16</f>
        <v>4760.4660000000003</v>
      </c>
      <c r="K5711" s="281">
        <f>+Tabla4[[#This Row],[Precio Unitario Neto]]*Tabla4[[#Headers],[20.85%]]</f>
        <v>992.55716100000006</v>
      </c>
      <c r="L5711" s="282">
        <f>++Tabla4[[#This Row],[Precio Unitario Neto]]-Tabla4[[#This Row],[20.85%]]</f>
        <v>3767.9088390000002</v>
      </c>
      <c r="M5711" s="282" t="e">
        <f>(INDEX(Tabla6[#All],MATCH(Tabla4[[#This Row],[Producto]],Tabla6[[#All],[PRODUCTO]],0),MATCH(Tabla4[[#This Row],[Mes]],Tabla6[#Headers],0)))*(1+Catalogos!$L$2)</f>
        <v>#N/A</v>
      </c>
      <c r="N5711" s="283" t="e">
        <f>+(Tabla4[[#This Row],[Precio Descontado]]-Tabla4[[#This Row],[Precio Base]])*Tabla4[[#This Row],[Cantidad]]</f>
        <v>#N/A</v>
      </c>
      <c r="O5711" s="284" t="e">
        <f>++Tabla4[[#This Row],[Utilidad Total]]/Tabla4[[#This Row],[Total]]</f>
        <v>#N/A</v>
      </c>
      <c r="P5711" s="282">
        <f>++Tabla4[[#This Row],[Precio Descontado]]*Tabla4[[#This Row],[Cantidad]]</f>
        <v>3767.9088390000002</v>
      </c>
      <c r="Q5711" s="282" t="e">
        <f>(INDEX(Tabla6[#All],MATCH(Tabla4[[#This Row],[Producto]],Tabla6[[#All],[PRODUCTO]],0),MATCH(Tabla4[[#This Row],[Mes]],Tabla6[#Headers],0)))</f>
        <v>#N/A</v>
      </c>
      <c r="R5711" s="282" t="e">
        <f>++Tabla4[[#This Row],[Precio Unitario Neto]]-Tabla4[[#This Row],[20.85%]]-Tabla4[[#This Row],[Costo]]</f>
        <v>#N/A</v>
      </c>
      <c r="S5711" s="282" t="e">
        <f>++Tabla4[[#This Row],[U. Bruta Uni]]*Tabla4[[#This Row],[Cantidad]]</f>
        <v>#N/A</v>
      </c>
      <c r="T5711" s="369" t="str">
        <f>VLOOKUP(Tabla4[[#This Row],[Producto]],Tabla6[#All],14,FALSE)</f>
        <v>Termico Solar</v>
      </c>
      <c r="U5711" s="284" t="e">
        <f>(IF(Tabla4[[#This Row],[Familia]]="termico solar",Tabla4[[#This Row],[Utilidad Total]]*6%,Tabla4[[#This Row],[Utilidad Total]]*11.5%))/Tabla4[[#This Row],[Total]]</f>
        <v>#N/A</v>
      </c>
      <c r="V5711" s="282" t="e">
        <f>+Tabla4[[#This Row],[Comisión Calculada]]*Tabla4[[#This Row],[Total]]</f>
        <v>#N/A</v>
      </c>
    </row>
    <row r="5712" spans="1:22" hidden="1" x14ac:dyDescent="0.25">
      <c r="A5712" s="100">
        <v>45915</v>
      </c>
      <c r="B5712" t="str">
        <f t="shared" si="274"/>
        <v>September</v>
      </c>
      <c r="C5712" s="46" t="s">
        <v>280</v>
      </c>
      <c r="F5712" s="366" t="s">
        <v>2932</v>
      </c>
      <c r="G5712" s="46" t="s">
        <v>18</v>
      </c>
      <c r="H5712" s="46">
        <v>1</v>
      </c>
      <c r="I5712" s="51">
        <v>5367.65</v>
      </c>
      <c r="J5712" s="281">
        <f>++Tabla4[[#This Row],[Precio Bruto]]*1.16</f>
        <v>6226.4739999999993</v>
      </c>
      <c r="K5712" s="281">
        <f>+Tabla4[[#This Row],[Precio Unitario Neto]]*Tabla4[[#Headers],[20.85%]]</f>
        <v>1298.2198289999999</v>
      </c>
      <c r="L5712" s="282">
        <f>++Tabla4[[#This Row],[Precio Unitario Neto]]-Tabla4[[#This Row],[20.85%]]</f>
        <v>4928.2541709999996</v>
      </c>
      <c r="M5712" s="282" t="e">
        <f>(INDEX(Tabla6[#All],MATCH(Tabla4[[#This Row],[Producto]],Tabla6[[#All],[PRODUCTO]],0),MATCH(Tabla4[[#This Row],[Mes]],Tabla6[#Headers],0)))*(1+Catalogos!$L$2)</f>
        <v>#N/A</v>
      </c>
      <c r="N5712" s="283" t="e">
        <f>+(Tabla4[[#This Row],[Precio Descontado]]-Tabla4[[#This Row],[Precio Base]])*Tabla4[[#This Row],[Cantidad]]</f>
        <v>#N/A</v>
      </c>
      <c r="O5712" s="284" t="e">
        <f>++Tabla4[[#This Row],[Utilidad Total]]/Tabla4[[#This Row],[Total]]</f>
        <v>#N/A</v>
      </c>
      <c r="P5712" s="282">
        <f>++Tabla4[[#This Row],[Precio Descontado]]*Tabla4[[#This Row],[Cantidad]]</f>
        <v>4928.2541709999996</v>
      </c>
      <c r="Q5712" s="282" t="e">
        <f>(INDEX(Tabla6[#All],MATCH(Tabla4[[#This Row],[Producto]],Tabla6[[#All],[PRODUCTO]],0),MATCH(Tabla4[[#This Row],[Mes]],Tabla6[#Headers],0)))</f>
        <v>#N/A</v>
      </c>
      <c r="R5712" s="282" t="e">
        <f>++Tabla4[[#This Row],[Precio Unitario Neto]]-Tabla4[[#This Row],[20.85%]]-Tabla4[[#This Row],[Costo]]</f>
        <v>#N/A</v>
      </c>
      <c r="S5712" s="282" t="e">
        <f>++Tabla4[[#This Row],[U. Bruta Uni]]*Tabla4[[#This Row],[Cantidad]]</f>
        <v>#N/A</v>
      </c>
      <c r="T5712" s="369" t="str">
        <f>VLOOKUP(Tabla4[[#This Row],[Producto]],Tabla6[#All],14,FALSE)</f>
        <v>Termico Solar</v>
      </c>
      <c r="U5712" s="284" t="e">
        <f>(IF(Tabla4[[#This Row],[Familia]]="termico solar",Tabla4[[#This Row],[Utilidad Total]]*6%,Tabla4[[#This Row],[Utilidad Total]]*11.5%))/Tabla4[[#This Row],[Total]]</f>
        <v>#N/A</v>
      </c>
      <c r="V5712" s="282" t="e">
        <f>+Tabla4[[#This Row],[Comisión Calculada]]*Tabla4[[#This Row],[Total]]</f>
        <v>#N/A</v>
      </c>
    </row>
    <row r="5713" spans="1:22" hidden="1" x14ac:dyDescent="0.25">
      <c r="A5713" s="100">
        <v>45915</v>
      </c>
      <c r="B5713" t="str">
        <f t="shared" si="274"/>
        <v>September</v>
      </c>
      <c r="C5713" s="46" t="s">
        <v>280</v>
      </c>
      <c r="F5713" s="366" t="s">
        <v>2932</v>
      </c>
      <c r="G5713" s="46" t="s">
        <v>16</v>
      </c>
      <c r="H5713" s="46">
        <v>1</v>
      </c>
      <c r="I5713" s="51">
        <v>4103.8500000000004</v>
      </c>
      <c r="J5713" s="281">
        <f>++Tabla4[[#This Row],[Precio Bruto]]*1.16</f>
        <v>4760.4660000000003</v>
      </c>
      <c r="K5713" s="281">
        <f>+Tabla4[[#This Row],[Precio Unitario Neto]]*Tabla4[[#Headers],[20.85%]]</f>
        <v>992.55716100000006</v>
      </c>
      <c r="L5713" s="282">
        <f>++Tabla4[[#This Row],[Precio Unitario Neto]]-Tabla4[[#This Row],[20.85%]]</f>
        <v>3767.9088390000002</v>
      </c>
      <c r="M5713" s="282" t="e">
        <f>(INDEX(Tabla6[#All],MATCH(Tabla4[[#This Row],[Producto]],Tabla6[[#All],[PRODUCTO]],0),MATCH(Tabla4[[#This Row],[Mes]],Tabla6[#Headers],0)))*(1+Catalogos!$L$2)</f>
        <v>#N/A</v>
      </c>
      <c r="N5713" s="283" t="e">
        <f>+(Tabla4[[#This Row],[Precio Descontado]]-Tabla4[[#This Row],[Precio Base]])*Tabla4[[#This Row],[Cantidad]]</f>
        <v>#N/A</v>
      </c>
      <c r="O5713" s="284" t="e">
        <f>++Tabla4[[#This Row],[Utilidad Total]]/Tabla4[[#This Row],[Total]]</f>
        <v>#N/A</v>
      </c>
      <c r="P5713" s="282">
        <f>++Tabla4[[#This Row],[Precio Descontado]]*Tabla4[[#This Row],[Cantidad]]</f>
        <v>3767.9088390000002</v>
      </c>
      <c r="Q5713" s="282" t="e">
        <f>(INDEX(Tabla6[#All],MATCH(Tabla4[[#This Row],[Producto]],Tabla6[[#All],[PRODUCTO]],0),MATCH(Tabla4[[#This Row],[Mes]],Tabla6[#Headers],0)))</f>
        <v>#N/A</v>
      </c>
      <c r="R5713" s="282" t="e">
        <f>++Tabla4[[#This Row],[Precio Unitario Neto]]-Tabla4[[#This Row],[20.85%]]-Tabla4[[#This Row],[Costo]]</f>
        <v>#N/A</v>
      </c>
      <c r="S5713" s="282" t="e">
        <f>++Tabla4[[#This Row],[U. Bruta Uni]]*Tabla4[[#This Row],[Cantidad]]</f>
        <v>#N/A</v>
      </c>
      <c r="T5713" s="369" t="str">
        <f>VLOOKUP(Tabla4[[#This Row],[Producto]],Tabla6[#All],14,FALSE)</f>
        <v>Termico Solar</v>
      </c>
      <c r="U5713" s="284" t="e">
        <f>(IF(Tabla4[[#This Row],[Familia]]="termico solar",Tabla4[[#This Row],[Utilidad Total]]*6%,Tabla4[[#This Row],[Utilidad Total]]*11.5%))/Tabla4[[#This Row],[Total]]</f>
        <v>#N/A</v>
      </c>
      <c r="V5713" s="282" t="e">
        <f>+Tabla4[[#This Row],[Comisión Calculada]]*Tabla4[[#This Row],[Total]]</f>
        <v>#N/A</v>
      </c>
    </row>
    <row r="5714" spans="1:22" hidden="1" x14ac:dyDescent="0.25">
      <c r="A5714" s="100">
        <v>45915</v>
      </c>
      <c r="B5714" t="str">
        <f t="shared" ref="B5714:B5745" si="275">TEXT(A5714, "mmmm")</f>
        <v>September</v>
      </c>
      <c r="C5714" s="46" t="s">
        <v>280</v>
      </c>
      <c r="F5714" s="366" t="s">
        <v>2932</v>
      </c>
      <c r="G5714" s="46" t="s">
        <v>555</v>
      </c>
      <c r="H5714" s="46">
        <v>8</v>
      </c>
      <c r="I5714" s="51">
        <v>389.47</v>
      </c>
      <c r="J5714" s="281">
        <f>++Tabla4[[#This Row],[Precio Bruto]]*1.16</f>
        <v>451.78519999999997</v>
      </c>
      <c r="K5714" s="281">
        <f>+Tabla4[[#This Row],[Precio Unitario Neto]]*Tabla4[[#Headers],[20.85%]]</f>
        <v>94.197214199999991</v>
      </c>
      <c r="L5714" s="282">
        <f>++Tabla4[[#This Row],[Precio Unitario Neto]]-Tabla4[[#This Row],[20.85%]]</f>
        <v>357.58798579999996</v>
      </c>
      <c r="M5714" s="282" t="e">
        <f>(INDEX(Tabla6[#All],MATCH(Tabla4[[#This Row],[Producto]],Tabla6[[#All],[PRODUCTO]],0),MATCH(Tabla4[[#This Row],[Mes]],Tabla6[#Headers],0)))*(1+Catalogos!$L$2)</f>
        <v>#N/A</v>
      </c>
      <c r="N5714" s="283" t="e">
        <f>+(Tabla4[[#This Row],[Precio Descontado]]-Tabla4[[#This Row],[Precio Base]])*Tabla4[[#This Row],[Cantidad]]</f>
        <v>#N/A</v>
      </c>
      <c r="O5714" s="284" t="e">
        <f>++Tabla4[[#This Row],[Utilidad Total]]/Tabla4[[#This Row],[Total]]</f>
        <v>#N/A</v>
      </c>
      <c r="P5714" s="282">
        <f>++Tabla4[[#This Row],[Precio Descontado]]*Tabla4[[#This Row],[Cantidad]]</f>
        <v>2860.7038863999996</v>
      </c>
      <c r="Q5714" s="282" t="e">
        <f>(INDEX(Tabla6[#All],MATCH(Tabla4[[#This Row],[Producto]],Tabla6[[#All],[PRODUCTO]],0),MATCH(Tabla4[[#This Row],[Mes]],Tabla6[#Headers],0)))</f>
        <v>#N/A</v>
      </c>
      <c r="R5714" s="282" t="e">
        <f>++Tabla4[[#This Row],[Precio Unitario Neto]]-Tabla4[[#This Row],[20.85%]]-Tabla4[[#This Row],[Costo]]</f>
        <v>#N/A</v>
      </c>
      <c r="S5714" s="282" t="e">
        <f>++Tabla4[[#This Row],[U. Bruta Uni]]*Tabla4[[#This Row],[Cantidad]]</f>
        <v>#N/A</v>
      </c>
      <c r="T5714" s="369" t="str">
        <f>VLOOKUP(Tabla4[[#This Row],[Producto]],Tabla6[#All],14,FALSE)</f>
        <v>Termico Solar</v>
      </c>
      <c r="U5714" s="284" t="e">
        <f>(IF(Tabla4[[#This Row],[Familia]]="termico solar",Tabla4[[#This Row],[Utilidad Total]]*6%,Tabla4[[#This Row],[Utilidad Total]]*11.5%))/Tabla4[[#This Row],[Total]]</f>
        <v>#N/A</v>
      </c>
      <c r="V5714" s="282" t="e">
        <f>+Tabla4[[#This Row],[Comisión Calculada]]*Tabla4[[#This Row],[Total]]</f>
        <v>#N/A</v>
      </c>
    </row>
    <row r="5715" spans="1:22" hidden="1" x14ac:dyDescent="0.25">
      <c r="A5715" s="100">
        <v>45915</v>
      </c>
      <c r="B5715" t="str">
        <f t="shared" si="275"/>
        <v>September</v>
      </c>
      <c r="C5715" s="46" t="s">
        <v>280</v>
      </c>
      <c r="F5715" s="366" t="s">
        <v>2933</v>
      </c>
      <c r="G5715" s="46" t="s">
        <v>566</v>
      </c>
      <c r="H5715" s="46">
        <v>1</v>
      </c>
      <c r="I5715" s="51">
        <v>2109.4499999999998</v>
      </c>
      <c r="J5715" s="281">
        <f>++Tabla4[[#This Row],[Precio Bruto]]*1.16</f>
        <v>2446.9619999999995</v>
      </c>
      <c r="K5715" s="281">
        <f>+Tabla4[[#This Row],[Precio Unitario Neto]]*Tabla4[[#Headers],[20.85%]]</f>
        <v>510.19157699999988</v>
      </c>
      <c r="L5715" s="282">
        <f>++Tabla4[[#This Row],[Precio Unitario Neto]]-Tabla4[[#This Row],[20.85%]]</f>
        <v>1936.7704229999997</v>
      </c>
      <c r="M5715" s="282" t="e">
        <f>(INDEX(Tabla6[#All],MATCH(Tabla4[[#This Row],[Producto]],Tabla6[[#All],[PRODUCTO]],0),MATCH(Tabla4[[#This Row],[Mes]],Tabla6[#Headers],0)))*(1+Catalogos!$L$2)</f>
        <v>#N/A</v>
      </c>
      <c r="N5715" s="283" t="e">
        <f>+(Tabla4[[#This Row],[Precio Descontado]]-Tabla4[[#This Row],[Precio Base]])*Tabla4[[#This Row],[Cantidad]]</f>
        <v>#N/A</v>
      </c>
      <c r="O5715" s="284" t="e">
        <f>++Tabla4[[#This Row],[Utilidad Total]]/Tabla4[[#This Row],[Total]]</f>
        <v>#N/A</v>
      </c>
      <c r="P5715" s="282">
        <f>++Tabla4[[#This Row],[Precio Descontado]]*Tabla4[[#This Row],[Cantidad]]</f>
        <v>1936.7704229999997</v>
      </c>
      <c r="Q5715" s="282" t="e">
        <f>(INDEX(Tabla6[#All],MATCH(Tabla4[[#This Row],[Producto]],Tabla6[[#All],[PRODUCTO]],0),MATCH(Tabla4[[#This Row],[Mes]],Tabla6[#Headers],0)))</f>
        <v>#N/A</v>
      </c>
      <c r="R5715" s="282" t="e">
        <f>++Tabla4[[#This Row],[Precio Unitario Neto]]-Tabla4[[#This Row],[20.85%]]-Tabla4[[#This Row],[Costo]]</f>
        <v>#N/A</v>
      </c>
      <c r="S5715" s="282" t="e">
        <f>++Tabla4[[#This Row],[U. Bruta Uni]]*Tabla4[[#This Row],[Cantidad]]</f>
        <v>#N/A</v>
      </c>
      <c r="T5715" s="369" t="str">
        <f>VLOOKUP(Tabla4[[#This Row],[Producto]],Tabla6[#All],14,FALSE)</f>
        <v>Termico Solar</v>
      </c>
      <c r="U5715" s="284" t="e">
        <f>(IF(Tabla4[[#This Row],[Familia]]="termico solar",Tabla4[[#This Row],[Utilidad Total]]*6%,Tabla4[[#This Row],[Utilidad Total]]*11.5%))/Tabla4[[#This Row],[Total]]</f>
        <v>#N/A</v>
      </c>
      <c r="V5715" s="282" t="e">
        <f>+Tabla4[[#This Row],[Comisión Calculada]]*Tabla4[[#This Row],[Total]]</f>
        <v>#N/A</v>
      </c>
    </row>
    <row r="5716" spans="1:22" hidden="1" x14ac:dyDescent="0.25">
      <c r="A5716" s="100">
        <v>45915</v>
      </c>
      <c r="B5716" t="str">
        <f t="shared" si="275"/>
        <v>September</v>
      </c>
      <c r="C5716" s="46" t="s">
        <v>280</v>
      </c>
      <c r="F5716" s="366" t="s">
        <v>2933</v>
      </c>
      <c r="G5716" s="46" t="s">
        <v>208</v>
      </c>
      <c r="H5716" s="46">
        <v>1</v>
      </c>
      <c r="I5716" s="51">
        <v>189.75</v>
      </c>
      <c r="J5716" s="281">
        <f>++Tabla4[[#This Row],[Precio Bruto]]*1.16</f>
        <v>220.10999999999999</v>
      </c>
      <c r="K5716" s="281">
        <f>+Tabla4[[#This Row],[Precio Unitario Neto]]*Tabla4[[#Headers],[20.85%]]</f>
        <v>45.892934999999994</v>
      </c>
      <c r="L5716" s="282">
        <f>++Tabla4[[#This Row],[Precio Unitario Neto]]-Tabla4[[#This Row],[20.85%]]</f>
        <v>174.21706499999999</v>
      </c>
      <c r="M5716" s="282" t="e">
        <f>(INDEX(Tabla6[#All],MATCH(Tabla4[[#This Row],[Producto]],Tabla6[[#All],[PRODUCTO]],0),MATCH(Tabla4[[#This Row],[Mes]],Tabla6[#Headers],0)))*(1+Catalogos!$L$2)</f>
        <v>#N/A</v>
      </c>
      <c r="N5716" s="283" t="e">
        <f>+(Tabla4[[#This Row],[Precio Descontado]]-Tabla4[[#This Row],[Precio Base]])*Tabla4[[#This Row],[Cantidad]]</f>
        <v>#N/A</v>
      </c>
      <c r="O5716" s="284" t="e">
        <f>++Tabla4[[#This Row],[Utilidad Total]]/Tabla4[[#This Row],[Total]]</f>
        <v>#N/A</v>
      </c>
      <c r="P5716" s="282">
        <f>++Tabla4[[#This Row],[Precio Descontado]]*Tabla4[[#This Row],[Cantidad]]</f>
        <v>174.21706499999999</v>
      </c>
      <c r="Q5716" s="282" t="e">
        <f>(INDEX(Tabla6[#All],MATCH(Tabla4[[#This Row],[Producto]],Tabla6[[#All],[PRODUCTO]],0),MATCH(Tabla4[[#This Row],[Mes]],Tabla6[#Headers],0)))</f>
        <v>#N/A</v>
      </c>
      <c r="R5716" s="282" t="e">
        <f>++Tabla4[[#This Row],[Precio Unitario Neto]]-Tabla4[[#This Row],[20.85%]]-Tabla4[[#This Row],[Costo]]</f>
        <v>#N/A</v>
      </c>
      <c r="S5716" s="282" t="e">
        <f>++Tabla4[[#This Row],[U. Bruta Uni]]*Tabla4[[#This Row],[Cantidad]]</f>
        <v>#N/A</v>
      </c>
      <c r="T5716" s="369" t="str">
        <f>VLOOKUP(Tabla4[[#This Row],[Producto]],Tabla6[#All],14,FALSE)</f>
        <v>Termico Solar</v>
      </c>
      <c r="U5716" s="284" t="e">
        <f>(IF(Tabla4[[#This Row],[Familia]]="termico solar",Tabla4[[#This Row],[Utilidad Total]]*6%,Tabla4[[#This Row],[Utilidad Total]]*11.5%))/Tabla4[[#This Row],[Total]]</f>
        <v>#N/A</v>
      </c>
      <c r="V5716" s="282" t="e">
        <f>+Tabla4[[#This Row],[Comisión Calculada]]*Tabla4[[#This Row],[Total]]</f>
        <v>#N/A</v>
      </c>
    </row>
    <row r="5717" spans="1:22" hidden="1" x14ac:dyDescent="0.25">
      <c r="A5717" s="100">
        <v>45915</v>
      </c>
      <c r="B5717" t="str">
        <f t="shared" si="275"/>
        <v>September</v>
      </c>
      <c r="C5717" s="46" t="s">
        <v>280</v>
      </c>
      <c r="F5717" s="366" t="s">
        <v>2934</v>
      </c>
      <c r="G5717" s="46" t="s">
        <v>17</v>
      </c>
      <c r="H5717" s="46">
        <v>2</v>
      </c>
      <c r="I5717" s="51">
        <v>4622.28</v>
      </c>
      <c r="J5717" s="281">
        <f>++Tabla4[[#This Row],[Precio Bruto]]*1.16</f>
        <v>5361.8447999999989</v>
      </c>
      <c r="K5717" s="281">
        <f>+Tabla4[[#This Row],[Precio Unitario Neto]]*Tabla4[[#Headers],[20.85%]]</f>
        <v>1117.9446407999997</v>
      </c>
      <c r="L5717" s="282">
        <f>++Tabla4[[#This Row],[Precio Unitario Neto]]-Tabla4[[#This Row],[20.85%]]</f>
        <v>4243.9001591999995</v>
      </c>
      <c r="M5717" s="282" t="e">
        <f>(INDEX(Tabla6[#All],MATCH(Tabla4[[#This Row],[Producto]],Tabla6[[#All],[PRODUCTO]],0),MATCH(Tabla4[[#This Row],[Mes]],Tabla6[#Headers],0)))*(1+Catalogos!$L$2)</f>
        <v>#N/A</v>
      </c>
      <c r="N5717" s="283" t="e">
        <f>+(Tabla4[[#This Row],[Precio Descontado]]-Tabla4[[#This Row],[Precio Base]])*Tabla4[[#This Row],[Cantidad]]</f>
        <v>#N/A</v>
      </c>
      <c r="O5717" s="284" t="e">
        <f>++Tabla4[[#This Row],[Utilidad Total]]/Tabla4[[#This Row],[Total]]</f>
        <v>#N/A</v>
      </c>
      <c r="P5717" s="282">
        <f>++Tabla4[[#This Row],[Precio Descontado]]*Tabla4[[#This Row],[Cantidad]]</f>
        <v>8487.800318399999</v>
      </c>
      <c r="Q5717" s="282" t="e">
        <f>(INDEX(Tabla6[#All],MATCH(Tabla4[[#This Row],[Producto]],Tabla6[[#All],[PRODUCTO]],0),MATCH(Tabla4[[#This Row],[Mes]],Tabla6[#Headers],0)))</f>
        <v>#N/A</v>
      </c>
      <c r="R5717" s="282" t="e">
        <f>++Tabla4[[#This Row],[Precio Unitario Neto]]-Tabla4[[#This Row],[20.85%]]-Tabla4[[#This Row],[Costo]]</f>
        <v>#N/A</v>
      </c>
      <c r="S5717" s="282" t="e">
        <f>++Tabla4[[#This Row],[U. Bruta Uni]]*Tabla4[[#This Row],[Cantidad]]</f>
        <v>#N/A</v>
      </c>
      <c r="T5717" s="369" t="str">
        <f>VLOOKUP(Tabla4[[#This Row],[Producto]],Tabla6[#All],14,FALSE)</f>
        <v>Termico Solar</v>
      </c>
      <c r="U5717" s="284" t="e">
        <f>(IF(Tabla4[[#This Row],[Familia]]="termico solar",Tabla4[[#This Row],[Utilidad Total]]*6%,Tabla4[[#This Row],[Utilidad Total]]*11.5%))/Tabla4[[#This Row],[Total]]</f>
        <v>#N/A</v>
      </c>
      <c r="V5717" s="282" t="e">
        <f>+Tabla4[[#This Row],[Comisión Calculada]]*Tabla4[[#This Row],[Total]]</f>
        <v>#N/A</v>
      </c>
    </row>
    <row r="5718" spans="1:22" hidden="1" x14ac:dyDescent="0.25">
      <c r="A5718" s="100">
        <v>45915</v>
      </c>
      <c r="B5718" t="str">
        <f t="shared" si="275"/>
        <v>September</v>
      </c>
      <c r="C5718" s="46" t="s">
        <v>280</v>
      </c>
      <c r="F5718" s="366" t="s">
        <v>2934</v>
      </c>
      <c r="G5718" s="46" t="s">
        <v>18</v>
      </c>
      <c r="H5718" s="46">
        <v>1</v>
      </c>
      <c r="I5718" s="51">
        <v>5367.65</v>
      </c>
      <c r="J5718" s="281">
        <f>++Tabla4[[#This Row],[Precio Bruto]]*1.16</f>
        <v>6226.4739999999993</v>
      </c>
      <c r="K5718" s="281">
        <f>+Tabla4[[#This Row],[Precio Unitario Neto]]*Tabla4[[#Headers],[20.85%]]</f>
        <v>1298.2198289999999</v>
      </c>
      <c r="L5718" s="282">
        <f>++Tabla4[[#This Row],[Precio Unitario Neto]]-Tabla4[[#This Row],[20.85%]]</f>
        <v>4928.2541709999996</v>
      </c>
      <c r="M5718" s="282" t="e">
        <f>(INDEX(Tabla6[#All],MATCH(Tabla4[[#This Row],[Producto]],Tabla6[[#All],[PRODUCTO]],0),MATCH(Tabla4[[#This Row],[Mes]],Tabla6[#Headers],0)))*(1+Catalogos!$L$2)</f>
        <v>#N/A</v>
      </c>
      <c r="N5718" s="283" t="e">
        <f>+(Tabla4[[#This Row],[Precio Descontado]]-Tabla4[[#This Row],[Precio Base]])*Tabla4[[#This Row],[Cantidad]]</f>
        <v>#N/A</v>
      </c>
      <c r="O5718" s="284" t="e">
        <f>++Tabla4[[#This Row],[Utilidad Total]]/Tabla4[[#This Row],[Total]]</f>
        <v>#N/A</v>
      </c>
      <c r="P5718" s="282">
        <f>++Tabla4[[#This Row],[Precio Descontado]]*Tabla4[[#This Row],[Cantidad]]</f>
        <v>4928.2541709999996</v>
      </c>
      <c r="Q5718" s="282" t="e">
        <f>(INDEX(Tabla6[#All],MATCH(Tabla4[[#This Row],[Producto]],Tabla6[[#All],[PRODUCTO]],0),MATCH(Tabla4[[#This Row],[Mes]],Tabla6[#Headers],0)))</f>
        <v>#N/A</v>
      </c>
      <c r="R5718" s="282" t="e">
        <f>++Tabla4[[#This Row],[Precio Unitario Neto]]-Tabla4[[#This Row],[20.85%]]-Tabla4[[#This Row],[Costo]]</f>
        <v>#N/A</v>
      </c>
      <c r="S5718" s="282" t="e">
        <f>++Tabla4[[#This Row],[U. Bruta Uni]]*Tabla4[[#This Row],[Cantidad]]</f>
        <v>#N/A</v>
      </c>
      <c r="T5718" s="369" t="str">
        <f>VLOOKUP(Tabla4[[#This Row],[Producto]],Tabla6[#All],14,FALSE)</f>
        <v>Termico Solar</v>
      </c>
      <c r="U5718" s="284" t="e">
        <f>(IF(Tabla4[[#This Row],[Familia]]="termico solar",Tabla4[[#This Row],[Utilidad Total]]*6%,Tabla4[[#This Row],[Utilidad Total]]*11.5%))/Tabla4[[#This Row],[Total]]</f>
        <v>#N/A</v>
      </c>
      <c r="V5718" s="282" t="e">
        <f>+Tabla4[[#This Row],[Comisión Calculada]]*Tabla4[[#This Row],[Total]]</f>
        <v>#N/A</v>
      </c>
    </row>
    <row r="5719" spans="1:22" hidden="1" x14ac:dyDescent="0.25">
      <c r="A5719" s="100">
        <v>45915</v>
      </c>
      <c r="B5719" t="str">
        <f t="shared" si="275"/>
        <v>September</v>
      </c>
      <c r="C5719" s="46" t="s">
        <v>280</v>
      </c>
      <c r="F5719" s="366" t="s">
        <v>2934</v>
      </c>
      <c r="G5719" s="46" t="s">
        <v>566</v>
      </c>
      <c r="H5719" s="46">
        <v>1</v>
      </c>
      <c r="I5719" s="51">
        <v>2109.4499999999998</v>
      </c>
      <c r="J5719" s="281">
        <f>++Tabla4[[#This Row],[Precio Bruto]]*1.16</f>
        <v>2446.9619999999995</v>
      </c>
      <c r="K5719" s="281">
        <f>+Tabla4[[#This Row],[Precio Unitario Neto]]*Tabla4[[#Headers],[20.85%]]</f>
        <v>510.19157699999988</v>
      </c>
      <c r="L5719" s="282">
        <f>++Tabla4[[#This Row],[Precio Unitario Neto]]-Tabla4[[#This Row],[20.85%]]</f>
        <v>1936.7704229999997</v>
      </c>
      <c r="M5719" s="282" t="e">
        <f>(INDEX(Tabla6[#All],MATCH(Tabla4[[#This Row],[Producto]],Tabla6[[#All],[PRODUCTO]],0),MATCH(Tabla4[[#This Row],[Mes]],Tabla6[#Headers],0)))*(1+Catalogos!$L$2)</f>
        <v>#N/A</v>
      </c>
      <c r="N5719" s="283" t="e">
        <f>+(Tabla4[[#This Row],[Precio Descontado]]-Tabla4[[#This Row],[Precio Base]])*Tabla4[[#This Row],[Cantidad]]</f>
        <v>#N/A</v>
      </c>
      <c r="O5719" s="284" t="e">
        <f>++Tabla4[[#This Row],[Utilidad Total]]/Tabla4[[#This Row],[Total]]</f>
        <v>#N/A</v>
      </c>
      <c r="P5719" s="282">
        <f>++Tabla4[[#This Row],[Precio Descontado]]*Tabla4[[#This Row],[Cantidad]]</f>
        <v>1936.7704229999997</v>
      </c>
      <c r="Q5719" s="282" t="e">
        <f>(INDEX(Tabla6[#All],MATCH(Tabla4[[#This Row],[Producto]],Tabla6[[#All],[PRODUCTO]],0),MATCH(Tabla4[[#This Row],[Mes]],Tabla6[#Headers],0)))</f>
        <v>#N/A</v>
      </c>
      <c r="R5719" s="282" t="e">
        <f>++Tabla4[[#This Row],[Precio Unitario Neto]]-Tabla4[[#This Row],[20.85%]]-Tabla4[[#This Row],[Costo]]</f>
        <v>#N/A</v>
      </c>
      <c r="S5719" s="282" t="e">
        <f>++Tabla4[[#This Row],[U. Bruta Uni]]*Tabla4[[#This Row],[Cantidad]]</f>
        <v>#N/A</v>
      </c>
      <c r="T5719" s="369" t="str">
        <f>VLOOKUP(Tabla4[[#This Row],[Producto]],Tabla6[#All],14,FALSE)</f>
        <v>Termico Solar</v>
      </c>
      <c r="U5719" s="284" t="e">
        <f>(IF(Tabla4[[#This Row],[Familia]]="termico solar",Tabla4[[#This Row],[Utilidad Total]]*6%,Tabla4[[#This Row],[Utilidad Total]]*11.5%))/Tabla4[[#This Row],[Total]]</f>
        <v>#N/A</v>
      </c>
      <c r="V5719" s="282" t="e">
        <f>+Tabla4[[#This Row],[Comisión Calculada]]*Tabla4[[#This Row],[Total]]</f>
        <v>#N/A</v>
      </c>
    </row>
    <row r="5720" spans="1:22" hidden="1" x14ac:dyDescent="0.25">
      <c r="A5720" s="100">
        <v>45915</v>
      </c>
      <c r="B5720" t="str">
        <f t="shared" si="275"/>
        <v>September</v>
      </c>
      <c r="C5720" s="46" t="s">
        <v>280</v>
      </c>
      <c r="F5720" s="366" t="s">
        <v>2934</v>
      </c>
      <c r="G5720" s="46" t="s">
        <v>16</v>
      </c>
      <c r="H5720" s="46">
        <v>2</v>
      </c>
      <c r="I5720" s="51">
        <v>4103.8500000000004</v>
      </c>
      <c r="J5720" s="281">
        <f>++Tabla4[[#This Row],[Precio Bruto]]*1.16</f>
        <v>4760.4660000000003</v>
      </c>
      <c r="K5720" s="281">
        <f>+Tabla4[[#This Row],[Precio Unitario Neto]]*Tabla4[[#Headers],[20.85%]]</f>
        <v>992.55716100000006</v>
      </c>
      <c r="L5720" s="282">
        <f>++Tabla4[[#This Row],[Precio Unitario Neto]]-Tabla4[[#This Row],[20.85%]]</f>
        <v>3767.9088390000002</v>
      </c>
      <c r="M5720" s="282" t="e">
        <f>(INDEX(Tabla6[#All],MATCH(Tabla4[[#This Row],[Producto]],Tabla6[[#All],[PRODUCTO]],0),MATCH(Tabla4[[#This Row],[Mes]],Tabla6[#Headers],0)))*(1+Catalogos!$L$2)</f>
        <v>#N/A</v>
      </c>
      <c r="N5720" s="283" t="e">
        <f>+(Tabla4[[#This Row],[Precio Descontado]]-Tabla4[[#This Row],[Precio Base]])*Tabla4[[#This Row],[Cantidad]]</f>
        <v>#N/A</v>
      </c>
      <c r="O5720" s="284" t="e">
        <f>++Tabla4[[#This Row],[Utilidad Total]]/Tabla4[[#This Row],[Total]]</f>
        <v>#N/A</v>
      </c>
      <c r="P5720" s="282">
        <f>++Tabla4[[#This Row],[Precio Descontado]]*Tabla4[[#This Row],[Cantidad]]</f>
        <v>7535.8176780000003</v>
      </c>
      <c r="Q5720" s="282" t="e">
        <f>(INDEX(Tabla6[#All],MATCH(Tabla4[[#This Row],[Producto]],Tabla6[[#All],[PRODUCTO]],0),MATCH(Tabla4[[#This Row],[Mes]],Tabla6[#Headers],0)))</f>
        <v>#N/A</v>
      </c>
      <c r="R5720" s="282" t="e">
        <f>++Tabla4[[#This Row],[Precio Unitario Neto]]-Tabla4[[#This Row],[20.85%]]-Tabla4[[#This Row],[Costo]]</f>
        <v>#N/A</v>
      </c>
      <c r="S5720" s="282" t="e">
        <f>++Tabla4[[#This Row],[U. Bruta Uni]]*Tabla4[[#This Row],[Cantidad]]</f>
        <v>#N/A</v>
      </c>
      <c r="T5720" s="369" t="str">
        <f>VLOOKUP(Tabla4[[#This Row],[Producto]],Tabla6[#All],14,FALSE)</f>
        <v>Termico Solar</v>
      </c>
      <c r="U5720" s="284" t="e">
        <f>(IF(Tabla4[[#This Row],[Familia]]="termico solar",Tabla4[[#This Row],[Utilidad Total]]*6%,Tabla4[[#This Row],[Utilidad Total]]*11.5%))/Tabla4[[#This Row],[Total]]</f>
        <v>#N/A</v>
      </c>
      <c r="V5720" s="282" t="e">
        <f>+Tabla4[[#This Row],[Comisión Calculada]]*Tabla4[[#This Row],[Total]]</f>
        <v>#N/A</v>
      </c>
    </row>
    <row r="5721" spans="1:22" hidden="1" x14ac:dyDescent="0.25">
      <c r="A5721" s="100">
        <v>45915</v>
      </c>
      <c r="B5721" t="str">
        <f t="shared" si="275"/>
        <v>September</v>
      </c>
      <c r="C5721" s="46" t="s">
        <v>280</v>
      </c>
      <c r="F5721" s="366" t="s">
        <v>2935</v>
      </c>
      <c r="G5721" s="46" t="s">
        <v>83</v>
      </c>
      <c r="H5721" s="46">
        <v>1</v>
      </c>
      <c r="I5721" s="51">
        <v>8858.76</v>
      </c>
      <c r="J5721" s="281">
        <f>++Tabla4[[#This Row],[Precio Bruto]]*1.16</f>
        <v>10276.161599999999</v>
      </c>
      <c r="K5721" s="281">
        <f>+Tabla4[[#This Row],[Precio Unitario Neto]]*Tabla4[[#Headers],[20.85%]]</f>
        <v>2142.5796935999997</v>
      </c>
      <c r="L5721" s="282">
        <f>++Tabla4[[#This Row],[Precio Unitario Neto]]-Tabla4[[#This Row],[20.85%]]</f>
        <v>8133.5819063999998</v>
      </c>
      <c r="M5721" s="282" t="e">
        <f>(INDEX(Tabla6[#All],MATCH(Tabla4[[#This Row],[Producto]],Tabla6[[#All],[PRODUCTO]],0),MATCH(Tabla4[[#This Row],[Mes]],Tabla6[#Headers],0)))*(1+Catalogos!$L$2)</f>
        <v>#N/A</v>
      </c>
      <c r="N5721" s="283" t="e">
        <f>+(Tabla4[[#This Row],[Precio Descontado]]-Tabla4[[#This Row],[Precio Base]])*Tabla4[[#This Row],[Cantidad]]</f>
        <v>#N/A</v>
      </c>
      <c r="O5721" s="284" t="e">
        <f>++Tabla4[[#This Row],[Utilidad Total]]/Tabla4[[#This Row],[Total]]</f>
        <v>#N/A</v>
      </c>
      <c r="P5721" s="282">
        <f>++Tabla4[[#This Row],[Precio Descontado]]*Tabla4[[#This Row],[Cantidad]]</f>
        <v>8133.5819063999998</v>
      </c>
      <c r="Q5721" s="282" t="e">
        <f>(INDEX(Tabla6[#All],MATCH(Tabla4[[#This Row],[Producto]],Tabla6[[#All],[PRODUCTO]],0),MATCH(Tabla4[[#This Row],[Mes]],Tabla6[#Headers],0)))</f>
        <v>#N/A</v>
      </c>
      <c r="R5721" s="282" t="e">
        <f>++Tabla4[[#This Row],[Precio Unitario Neto]]-Tabla4[[#This Row],[20.85%]]-Tabla4[[#This Row],[Costo]]</f>
        <v>#N/A</v>
      </c>
      <c r="S5721" s="282" t="e">
        <f>++Tabla4[[#This Row],[U. Bruta Uni]]*Tabla4[[#This Row],[Cantidad]]</f>
        <v>#N/A</v>
      </c>
      <c r="T5721" s="369" t="str">
        <f>VLOOKUP(Tabla4[[#This Row],[Producto]],Tabla6[#All],14,FALSE)</f>
        <v>Termico Solar</v>
      </c>
      <c r="U5721" s="284" t="e">
        <f>(IF(Tabla4[[#This Row],[Familia]]="termico solar",Tabla4[[#This Row],[Utilidad Total]]*6%,Tabla4[[#This Row],[Utilidad Total]]*11.5%))/Tabla4[[#This Row],[Total]]</f>
        <v>#N/A</v>
      </c>
      <c r="V5721" s="282" t="e">
        <f>+Tabla4[[#This Row],[Comisión Calculada]]*Tabla4[[#This Row],[Total]]</f>
        <v>#N/A</v>
      </c>
    </row>
    <row r="5722" spans="1:22" hidden="1" x14ac:dyDescent="0.25">
      <c r="A5722" s="100">
        <v>45915</v>
      </c>
      <c r="B5722" t="str">
        <f t="shared" si="275"/>
        <v>September</v>
      </c>
      <c r="C5722" s="46" t="s">
        <v>280</v>
      </c>
      <c r="F5722" s="366" t="s">
        <v>2935</v>
      </c>
      <c r="G5722" s="46" t="s">
        <v>17</v>
      </c>
      <c r="H5722" s="46">
        <v>3</v>
      </c>
      <c r="I5722" s="51">
        <v>4622.28</v>
      </c>
      <c r="J5722" s="281">
        <f>++Tabla4[[#This Row],[Precio Bruto]]*1.16</f>
        <v>5361.8447999999989</v>
      </c>
      <c r="K5722" s="281">
        <f>+Tabla4[[#This Row],[Precio Unitario Neto]]*Tabla4[[#Headers],[20.85%]]</f>
        <v>1117.9446407999997</v>
      </c>
      <c r="L5722" s="282">
        <f>++Tabla4[[#This Row],[Precio Unitario Neto]]-Tabla4[[#This Row],[20.85%]]</f>
        <v>4243.9001591999995</v>
      </c>
      <c r="M5722" s="282" t="e">
        <f>(INDEX(Tabla6[#All],MATCH(Tabla4[[#This Row],[Producto]],Tabla6[[#All],[PRODUCTO]],0),MATCH(Tabla4[[#This Row],[Mes]],Tabla6[#Headers],0)))*(1+Catalogos!$L$2)</f>
        <v>#N/A</v>
      </c>
      <c r="N5722" s="283" t="e">
        <f>+(Tabla4[[#This Row],[Precio Descontado]]-Tabla4[[#This Row],[Precio Base]])*Tabla4[[#This Row],[Cantidad]]</f>
        <v>#N/A</v>
      </c>
      <c r="O5722" s="284" t="e">
        <f>++Tabla4[[#This Row],[Utilidad Total]]/Tabla4[[#This Row],[Total]]</f>
        <v>#N/A</v>
      </c>
      <c r="P5722" s="282">
        <f>++Tabla4[[#This Row],[Precio Descontado]]*Tabla4[[#This Row],[Cantidad]]</f>
        <v>12731.700477599999</v>
      </c>
      <c r="Q5722" s="282" t="e">
        <f>(INDEX(Tabla6[#All],MATCH(Tabla4[[#This Row],[Producto]],Tabla6[[#All],[PRODUCTO]],0),MATCH(Tabla4[[#This Row],[Mes]],Tabla6[#Headers],0)))</f>
        <v>#N/A</v>
      </c>
      <c r="R5722" s="282" t="e">
        <f>++Tabla4[[#This Row],[Precio Unitario Neto]]-Tabla4[[#This Row],[20.85%]]-Tabla4[[#This Row],[Costo]]</f>
        <v>#N/A</v>
      </c>
      <c r="S5722" s="282" t="e">
        <f>++Tabla4[[#This Row],[U. Bruta Uni]]*Tabla4[[#This Row],[Cantidad]]</f>
        <v>#N/A</v>
      </c>
      <c r="T5722" s="369" t="str">
        <f>VLOOKUP(Tabla4[[#This Row],[Producto]],Tabla6[#All],14,FALSE)</f>
        <v>Termico Solar</v>
      </c>
      <c r="U5722" s="284" t="e">
        <f>(IF(Tabla4[[#This Row],[Familia]]="termico solar",Tabla4[[#This Row],[Utilidad Total]]*6%,Tabla4[[#This Row],[Utilidad Total]]*11.5%))/Tabla4[[#This Row],[Total]]</f>
        <v>#N/A</v>
      </c>
      <c r="V5722" s="282" t="e">
        <f>+Tabla4[[#This Row],[Comisión Calculada]]*Tabla4[[#This Row],[Total]]</f>
        <v>#N/A</v>
      </c>
    </row>
    <row r="5723" spans="1:22" hidden="1" x14ac:dyDescent="0.25">
      <c r="A5723" s="100">
        <v>45915</v>
      </c>
      <c r="B5723" t="str">
        <f t="shared" si="275"/>
        <v>September</v>
      </c>
      <c r="C5723" s="46" t="s">
        <v>280</v>
      </c>
      <c r="F5723" s="366" t="s">
        <v>2935</v>
      </c>
      <c r="G5723" s="46" t="s">
        <v>19</v>
      </c>
      <c r="H5723" s="46">
        <v>1</v>
      </c>
      <c r="I5723" s="51">
        <v>6412.03</v>
      </c>
      <c r="J5723" s="281">
        <f>++Tabla4[[#This Row],[Precio Bruto]]*1.16</f>
        <v>7437.9547999999995</v>
      </c>
      <c r="K5723" s="281">
        <f>+Tabla4[[#This Row],[Precio Unitario Neto]]*Tabla4[[#Headers],[20.85%]]</f>
        <v>1550.8135757999999</v>
      </c>
      <c r="L5723" s="282">
        <f>++Tabla4[[#This Row],[Precio Unitario Neto]]-Tabla4[[#This Row],[20.85%]]</f>
        <v>5887.1412241999997</v>
      </c>
      <c r="M5723" s="282" t="e">
        <f>(INDEX(Tabla6[#All],MATCH(Tabla4[[#This Row],[Producto]],Tabla6[[#All],[PRODUCTO]],0),MATCH(Tabla4[[#This Row],[Mes]],Tabla6[#Headers],0)))*(1+Catalogos!$L$2)</f>
        <v>#N/A</v>
      </c>
      <c r="N5723" s="283" t="e">
        <f>+(Tabla4[[#This Row],[Precio Descontado]]-Tabla4[[#This Row],[Precio Base]])*Tabla4[[#This Row],[Cantidad]]</f>
        <v>#N/A</v>
      </c>
      <c r="O5723" s="284" t="e">
        <f>++Tabla4[[#This Row],[Utilidad Total]]/Tabla4[[#This Row],[Total]]</f>
        <v>#N/A</v>
      </c>
      <c r="P5723" s="282">
        <f>++Tabla4[[#This Row],[Precio Descontado]]*Tabla4[[#This Row],[Cantidad]]</f>
        <v>5887.1412241999997</v>
      </c>
      <c r="Q5723" s="282" t="e">
        <f>(INDEX(Tabla6[#All],MATCH(Tabla4[[#This Row],[Producto]],Tabla6[[#All],[PRODUCTO]],0),MATCH(Tabla4[[#This Row],[Mes]],Tabla6[#Headers],0)))</f>
        <v>#N/A</v>
      </c>
      <c r="R5723" s="282" t="e">
        <f>++Tabla4[[#This Row],[Precio Unitario Neto]]-Tabla4[[#This Row],[20.85%]]-Tabla4[[#This Row],[Costo]]</f>
        <v>#N/A</v>
      </c>
      <c r="S5723" s="282" t="e">
        <f>++Tabla4[[#This Row],[U. Bruta Uni]]*Tabla4[[#This Row],[Cantidad]]</f>
        <v>#N/A</v>
      </c>
      <c r="T5723" s="369" t="str">
        <f>VLOOKUP(Tabla4[[#This Row],[Producto]],Tabla6[#All],14,FALSE)</f>
        <v>Termico Solar</v>
      </c>
      <c r="U5723" s="284" t="e">
        <f>(IF(Tabla4[[#This Row],[Familia]]="termico solar",Tabla4[[#This Row],[Utilidad Total]]*6%,Tabla4[[#This Row],[Utilidad Total]]*11.5%))/Tabla4[[#This Row],[Total]]</f>
        <v>#N/A</v>
      </c>
      <c r="V5723" s="282" t="e">
        <f>+Tabla4[[#This Row],[Comisión Calculada]]*Tabla4[[#This Row],[Total]]</f>
        <v>#N/A</v>
      </c>
    </row>
    <row r="5724" spans="1:22" hidden="1" x14ac:dyDescent="0.25">
      <c r="A5724" s="100">
        <v>45915</v>
      </c>
      <c r="B5724" t="str">
        <f t="shared" si="275"/>
        <v>September</v>
      </c>
      <c r="C5724" s="46" t="s">
        <v>280</v>
      </c>
      <c r="F5724" s="366" t="s">
        <v>2935</v>
      </c>
      <c r="G5724" s="46" t="s">
        <v>566</v>
      </c>
      <c r="H5724" s="46">
        <v>1</v>
      </c>
      <c r="I5724" s="51">
        <v>2109.4499999999998</v>
      </c>
      <c r="J5724" s="281">
        <f>++Tabla4[[#This Row],[Precio Bruto]]*1.16</f>
        <v>2446.9619999999995</v>
      </c>
      <c r="K5724" s="281">
        <f>+Tabla4[[#This Row],[Precio Unitario Neto]]*Tabla4[[#Headers],[20.85%]]</f>
        <v>510.19157699999988</v>
      </c>
      <c r="L5724" s="282">
        <f>++Tabla4[[#This Row],[Precio Unitario Neto]]-Tabla4[[#This Row],[20.85%]]</f>
        <v>1936.7704229999997</v>
      </c>
      <c r="M5724" s="282" t="e">
        <f>(INDEX(Tabla6[#All],MATCH(Tabla4[[#This Row],[Producto]],Tabla6[[#All],[PRODUCTO]],0),MATCH(Tabla4[[#This Row],[Mes]],Tabla6[#Headers],0)))*(1+Catalogos!$L$2)</f>
        <v>#N/A</v>
      </c>
      <c r="N5724" s="283" t="e">
        <f>+(Tabla4[[#This Row],[Precio Descontado]]-Tabla4[[#This Row],[Precio Base]])*Tabla4[[#This Row],[Cantidad]]</f>
        <v>#N/A</v>
      </c>
      <c r="O5724" s="284" t="e">
        <f>++Tabla4[[#This Row],[Utilidad Total]]/Tabla4[[#This Row],[Total]]</f>
        <v>#N/A</v>
      </c>
      <c r="P5724" s="282">
        <f>++Tabla4[[#This Row],[Precio Descontado]]*Tabla4[[#This Row],[Cantidad]]</f>
        <v>1936.7704229999997</v>
      </c>
      <c r="Q5724" s="282" t="e">
        <f>(INDEX(Tabla6[#All],MATCH(Tabla4[[#This Row],[Producto]],Tabla6[[#All],[PRODUCTO]],0),MATCH(Tabla4[[#This Row],[Mes]],Tabla6[#Headers],0)))</f>
        <v>#N/A</v>
      </c>
      <c r="R5724" s="282" t="e">
        <f>++Tabla4[[#This Row],[Precio Unitario Neto]]-Tabla4[[#This Row],[20.85%]]-Tabla4[[#This Row],[Costo]]</f>
        <v>#N/A</v>
      </c>
      <c r="S5724" s="282" t="e">
        <f>++Tabla4[[#This Row],[U. Bruta Uni]]*Tabla4[[#This Row],[Cantidad]]</f>
        <v>#N/A</v>
      </c>
      <c r="T5724" s="369" t="str">
        <f>VLOOKUP(Tabla4[[#This Row],[Producto]],Tabla6[#All],14,FALSE)</f>
        <v>Termico Solar</v>
      </c>
      <c r="U5724" s="284" t="e">
        <f>(IF(Tabla4[[#This Row],[Familia]]="termico solar",Tabla4[[#This Row],[Utilidad Total]]*6%,Tabla4[[#This Row],[Utilidad Total]]*11.5%))/Tabla4[[#This Row],[Total]]</f>
        <v>#N/A</v>
      </c>
      <c r="V5724" s="282" t="e">
        <f>+Tabla4[[#This Row],[Comisión Calculada]]*Tabla4[[#This Row],[Total]]</f>
        <v>#N/A</v>
      </c>
    </row>
    <row r="5725" spans="1:22" hidden="1" x14ac:dyDescent="0.25">
      <c r="A5725" s="100">
        <v>45915</v>
      </c>
      <c r="B5725" t="str">
        <f t="shared" si="275"/>
        <v>September</v>
      </c>
      <c r="C5725" s="46" t="s">
        <v>280</v>
      </c>
      <c r="F5725" s="366" t="s">
        <v>2935</v>
      </c>
      <c r="G5725" s="46" t="s">
        <v>16</v>
      </c>
      <c r="H5725" s="46">
        <v>1</v>
      </c>
      <c r="I5725" s="51">
        <v>4103.8500000000004</v>
      </c>
      <c r="J5725" s="281">
        <f>++Tabla4[[#This Row],[Precio Bruto]]*1.16</f>
        <v>4760.4660000000003</v>
      </c>
      <c r="K5725" s="281">
        <f>+Tabla4[[#This Row],[Precio Unitario Neto]]*Tabla4[[#Headers],[20.85%]]</f>
        <v>992.55716100000006</v>
      </c>
      <c r="L5725" s="282">
        <f>++Tabla4[[#This Row],[Precio Unitario Neto]]-Tabla4[[#This Row],[20.85%]]</f>
        <v>3767.9088390000002</v>
      </c>
      <c r="M5725" s="282" t="e">
        <f>(INDEX(Tabla6[#All],MATCH(Tabla4[[#This Row],[Producto]],Tabla6[[#All],[PRODUCTO]],0),MATCH(Tabla4[[#This Row],[Mes]],Tabla6[#Headers],0)))*(1+Catalogos!$L$2)</f>
        <v>#N/A</v>
      </c>
      <c r="N5725" s="283" t="e">
        <f>+(Tabla4[[#This Row],[Precio Descontado]]-Tabla4[[#This Row],[Precio Base]])*Tabla4[[#This Row],[Cantidad]]</f>
        <v>#N/A</v>
      </c>
      <c r="O5725" s="284" t="e">
        <f>++Tabla4[[#This Row],[Utilidad Total]]/Tabla4[[#This Row],[Total]]</f>
        <v>#N/A</v>
      </c>
      <c r="P5725" s="282">
        <f>++Tabla4[[#This Row],[Precio Descontado]]*Tabla4[[#This Row],[Cantidad]]</f>
        <v>3767.9088390000002</v>
      </c>
      <c r="Q5725" s="282" t="e">
        <f>(INDEX(Tabla6[#All],MATCH(Tabla4[[#This Row],[Producto]],Tabla6[[#All],[PRODUCTO]],0),MATCH(Tabla4[[#This Row],[Mes]],Tabla6[#Headers],0)))</f>
        <v>#N/A</v>
      </c>
      <c r="R5725" s="282" t="e">
        <f>++Tabla4[[#This Row],[Precio Unitario Neto]]-Tabla4[[#This Row],[20.85%]]-Tabla4[[#This Row],[Costo]]</f>
        <v>#N/A</v>
      </c>
      <c r="S5725" s="282" t="e">
        <f>++Tabla4[[#This Row],[U. Bruta Uni]]*Tabla4[[#This Row],[Cantidad]]</f>
        <v>#N/A</v>
      </c>
      <c r="T5725" s="369" t="str">
        <f>VLOOKUP(Tabla4[[#This Row],[Producto]],Tabla6[#All],14,FALSE)</f>
        <v>Termico Solar</v>
      </c>
      <c r="U5725" s="284" t="e">
        <f>(IF(Tabla4[[#This Row],[Familia]]="termico solar",Tabla4[[#This Row],[Utilidad Total]]*6%,Tabla4[[#This Row],[Utilidad Total]]*11.5%))/Tabla4[[#This Row],[Total]]</f>
        <v>#N/A</v>
      </c>
      <c r="V5725" s="282" t="e">
        <f>+Tabla4[[#This Row],[Comisión Calculada]]*Tabla4[[#This Row],[Total]]</f>
        <v>#N/A</v>
      </c>
    </row>
    <row r="5726" spans="1:22" hidden="1" x14ac:dyDescent="0.25">
      <c r="A5726" s="100">
        <v>45915</v>
      </c>
      <c r="B5726" t="str">
        <f t="shared" si="275"/>
        <v>September</v>
      </c>
      <c r="C5726" s="46" t="s">
        <v>280</v>
      </c>
      <c r="F5726" s="366" t="s">
        <v>2936</v>
      </c>
      <c r="G5726" s="46" t="s">
        <v>17</v>
      </c>
      <c r="H5726" s="46">
        <v>5</v>
      </c>
      <c r="I5726" s="51">
        <v>4622.2800000000007</v>
      </c>
      <c r="J5726" s="281">
        <f>++Tabla4[[#This Row],[Precio Bruto]]*1.16</f>
        <v>5361.8448000000008</v>
      </c>
      <c r="K5726" s="281">
        <f>+Tabla4[[#This Row],[Precio Unitario Neto]]*Tabla4[[#Headers],[20.85%]]</f>
        <v>1117.9446408000001</v>
      </c>
      <c r="L5726" s="282">
        <f>++Tabla4[[#This Row],[Precio Unitario Neto]]-Tabla4[[#This Row],[20.85%]]</f>
        <v>4243.9001592000004</v>
      </c>
      <c r="M5726" s="282" t="e">
        <f>(INDEX(Tabla6[#All],MATCH(Tabla4[[#This Row],[Producto]],Tabla6[[#All],[PRODUCTO]],0),MATCH(Tabla4[[#This Row],[Mes]],Tabla6[#Headers],0)))*(1+Catalogos!$L$2)</f>
        <v>#N/A</v>
      </c>
      <c r="N5726" s="283" t="e">
        <f>+(Tabla4[[#This Row],[Precio Descontado]]-Tabla4[[#This Row],[Precio Base]])*Tabla4[[#This Row],[Cantidad]]</f>
        <v>#N/A</v>
      </c>
      <c r="O5726" s="284" t="e">
        <f>++Tabla4[[#This Row],[Utilidad Total]]/Tabla4[[#This Row],[Total]]</f>
        <v>#N/A</v>
      </c>
      <c r="P5726" s="282">
        <f>++Tabla4[[#This Row],[Precio Descontado]]*Tabla4[[#This Row],[Cantidad]]</f>
        <v>21219.500796</v>
      </c>
      <c r="Q5726" s="282" t="e">
        <f>(INDEX(Tabla6[#All],MATCH(Tabla4[[#This Row],[Producto]],Tabla6[[#All],[PRODUCTO]],0),MATCH(Tabla4[[#This Row],[Mes]],Tabla6[#Headers],0)))</f>
        <v>#N/A</v>
      </c>
      <c r="R5726" s="282" t="e">
        <f>++Tabla4[[#This Row],[Precio Unitario Neto]]-Tabla4[[#This Row],[20.85%]]-Tabla4[[#This Row],[Costo]]</f>
        <v>#N/A</v>
      </c>
      <c r="S5726" s="282" t="e">
        <f>++Tabla4[[#This Row],[U. Bruta Uni]]*Tabla4[[#This Row],[Cantidad]]</f>
        <v>#N/A</v>
      </c>
      <c r="T5726" s="369" t="str">
        <f>VLOOKUP(Tabla4[[#This Row],[Producto]],Tabla6[#All],14,FALSE)</f>
        <v>Termico Solar</v>
      </c>
      <c r="U5726" s="284" t="e">
        <f>(IF(Tabla4[[#This Row],[Familia]]="termico solar",Tabla4[[#This Row],[Utilidad Total]]*6%,Tabla4[[#This Row],[Utilidad Total]]*11.5%))/Tabla4[[#This Row],[Total]]</f>
        <v>#N/A</v>
      </c>
      <c r="V5726" s="282" t="e">
        <f>+Tabla4[[#This Row],[Comisión Calculada]]*Tabla4[[#This Row],[Total]]</f>
        <v>#N/A</v>
      </c>
    </row>
    <row r="5727" spans="1:22" hidden="1" x14ac:dyDescent="0.25">
      <c r="A5727" s="100">
        <v>45915</v>
      </c>
      <c r="B5727" t="str">
        <f t="shared" si="275"/>
        <v>September</v>
      </c>
      <c r="C5727" s="46" t="s">
        <v>280</v>
      </c>
      <c r="F5727" s="366" t="s">
        <v>2936</v>
      </c>
      <c r="G5727" s="46" t="s">
        <v>16</v>
      </c>
      <c r="H5727" s="46">
        <v>1</v>
      </c>
      <c r="I5727" s="51">
        <v>4103.8500000000004</v>
      </c>
      <c r="J5727" s="281">
        <f>++Tabla4[[#This Row],[Precio Bruto]]*1.16</f>
        <v>4760.4660000000003</v>
      </c>
      <c r="K5727" s="281">
        <f>+Tabla4[[#This Row],[Precio Unitario Neto]]*Tabla4[[#Headers],[20.85%]]</f>
        <v>992.55716100000006</v>
      </c>
      <c r="L5727" s="282">
        <f>++Tabla4[[#This Row],[Precio Unitario Neto]]-Tabla4[[#This Row],[20.85%]]</f>
        <v>3767.9088390000002</v>
      </c>
      <c r="M5727" s="282" t="e">
        <f>(INDEX(Tabla6[#All],MATCH(Tabla4[[#This Row],[Producto]],Tabla6[[#All],[PRODUCTO]],0),MATCH(Tabla4[[#This Row],[Mes]],Tabla6[#Headers],0)))*(1+Catalogos!$L$2)</f>
        <v>#N/A</v>
      </c>
      <c r="N5727" s="283" t="e">
        <f>+(Tabla4[[#This Row],[Precio Descontado]]-Tabla4[[#This Row],[Precio Base]])*Tabla4[[#This Row],[Cantidad]]</f>
        <v>#N/A</v>
      </c>
      <c r="O5727" s="284" t="e">
        <f>++Tabla4[[#This Row],[Utilidad Total]]/Tabla4[[#This Row],[Total]]</f>
        <v>#N/A</v>
      </c>
      <c r="P5727" s="282">
        <f>++Tabla4[[#This Row],[Precio Descontado]]*Tabla4[[#This Row],[Cantidad]]</f>
        <v>3767.9088390000002</v>
      </c>
      <c r="Q5727" s="282" t="e">
        <f>(INDEX(Tabla6[#All],MATCH(Tabla4[[#This Row],[Producto]],Tabla6[[#All],[PRODUCTO]],0),MATCH(Tabla4[[#This Row],[Mes]],Tabla6[#Headers],0)))</f>
        <v>#N/A</v>
      </c>
      <c r="R5727" s="282" t="e">
        <f>++Tabla4[[#This Row],[Precio Unitario Neto]]-Tabla4[[#This Row],[20.85%]]-Tabla4[[#This Row],[Costo]]</f>
        <v>#N/A</v>
      </c>
      <c r="S5727" s="282" t="e">
        <f>++Tabla4[[#This Row],[U. Bruta Uni]]*Tabla4[[#This Row],[Cantidad]]</f>
        <v>#N/A</v>
      </c>
      <c r="T5727" s="369" t="str">
        <f>VLOOKUP(Tabla4[[#This Row],[Producto]],Tabla6[#All],14,FALSE)</f>
        <v>Termico Solar</v>
      </c>
      <c r="U5727" s="284" t="e">
        <f>(IF(Tabla4[[#This Row],[Familia]]="termico solar",Tabla4[[#This Row],[Utilidad Total]]*6%,Tabla4[[#This Row],[Utilidad Total]]*11.5%))/Tabla4[[#This Row],[Total]]</f>
        <v>#N/A</v>
      </c>
      <c r="V5727" s="282" t="e">
        <f>+Tabla4[[#This Row],[Comisión Calculada]]*Tabla4[[#This Row],[Total]]</f>
        <v>#N/A</v>
      </c>
    </row>
    <row r="5728" spans="1:22" hidden="1" x14ac:dyDescent="0.25">
      <c r="A5728" s="100">
        <v>45915</v>
      </c>
      <c r="B5728" t="str">
        <f t="shared" si="275"/>
        <v>September</v>
      </c>
      <c r="C5728" s="46" t="s">
        <v>280</v>
      </c>
      <c r="F5728" s="366" t="s">
        <v>2937</v>
      </c>
      <c r="G5728" s="46" t="s">
        <v>17</v>
      </c>
      <c r="H5728" s="46">
        <v>3</v>
      </c>
      <c r="I5728" s="51">
        <v>4622.28</v>
      </c>
      <c r="J5728" s="281">
        <f>++Tabla4[[#This Row],[Precio Bruto]]*1.16</f>
        <v>5361.8447999999989</v>
      </c>
      <c r="K5728" s="281">
        <f>+Tabla4[[#This Row],[Precio Unitario Neto]]*Tabla4[[#Headers],[20.85%]]</f>
        <v>1117.9446407999997</v>
      </c>
      <c r="L5728" s="282">
        <f>++Tabla4[[#This Row],[Precio Unitario Neto]]-Tabla4[[#This Row],[20.85%]]</f>
        <v>4243.9001591999995</v>
      </c>
      <c r="M5728" s="282" t="e">
        <f>(INDEX(Tabla6[#All],MATCH(Tabla4[[#This Row],[Producto]],Tabla6[[#All],[PRODUCTO]],0),MATCH(Tabla4[[#This Row],[Mes]],Tabla6[#Headers],0)))*(1+Catalogos!$L$2)</f>
        <v>#N/A</v>
      </c>
      <c r="N5728" s="283" t="e">
        <f>+(Tabla4[[#This Row],[Precio Descontado]]-Tabla4[[#This Row],[Precio Base]])*Tabla4[[#This Row],[Cantidad]]</f>
        <v>#N/A</v>
      </c>
      <c r="O5728" s="284" t="e">
        <f>++Tabla4[[#This Row],[Utilidad Total]]/Tabla4[[#This Row],[Total]]</f>
        <v>#N/A</v>
      </c>
      <c r="P5728" s="282">
        <f>++Tabla4[[#This Row],[Precio Descontado]]*Tabla4[[#This Row],[Cantidad]]</f>
        <v>12731.700477599999</v>
      </c>
      <c r="Q5728" s="282" t="e">
        <f>(INDEX(Tabla6[#All],MATCH(Tabla4[[#This Row],[Producto]],Tabla6[[#All],[PRODUCTO]],0),MATCH(Tabla4[[#This Row],[Mes]],Tabla6[#Headers],0)))</f>
        <v>#N/A</v>
      </c>
      <c r="R5728" s="282" t="e">
        <f>++Tabla4[[#This Row],[Precio Unitario Neto]]-Tabla4[[#This Row],[20.85%]]-Tabla4[[#This Row],[Costo]]</f>
        <v>#N/A</v>
      </c>
      <c r="S5728" s="282" t="e">
        <f>++Tabla4[[#This Row],[U. Bruta Uni]]*Tabla4[[#This Row],[Cantidad]]</f>
        <v>#N/A</v>
      </c>
      <c r="T5728" s="369" t="str">
        <f>VLOOKUP(Tabla4[[#This Row],[Producto]],Tabla6[#All],14,FALSE)</f>
        <v>Termico Solar</v>
      </c>
      <c r="U5728" s="284" t="e">
        <f>(IF(Tabla4[[#This Row],[Familia]]="termico solar",Tabla4[[#This Row],[Utilidad Total]]*6%,Tabla4[[#This Row],[Utilidad Total]]*11.5%))/Tabla4[[#This Row],[Total]]</f>
        <v>#N/A</v>
      </c>
      <c r="V5728" s="282" t="e">
        <f>+Tabla4[[#This Row],[Comisión Calculada]]*Tabla4[[#This Row],[Total]]</f>
        <v>#N/A</v>
      </c>
    </row>
    <row r="5729" spans="1:22" hidden="1" x14ac:dyDescent="0.25">
      <c r="A5729" s="100">
        <v>45915</v>
      </c>
      <c r="B5729" t="str">
        <f t="shared" si="275"/>
        <v>September</v>
      </c>
      <c r="C5729" s="46" t="s">
        <v>280</v>
      </c>
      <c r="F5729" s="366" t="s">
        <v>2938</v>
      </c>
      <c r="G5729" s="46" t="s">
        <v>83</v>
      </c>
      <c r="H5729" s="46">
        <v>1</v>
      </c>
      <c r="I5729" s="51">
        <v>8858.76</v>
      </c>
      <c r="J5729" s="281">
        <f>++Tabla4[[#This Row],[Precio Bruto]]*1.16</f>
        <v>10276.161599999999</v>
      </c>
      <c r="K5729" s="281">
        <f>+Tabla4[[#This Row],[Precio Unitario Neto]]*Tabla4[[#Headers],[20.85%]]</f>
        <v>2142.5796935999997</v>
      </c>
      <c r="L5729" s="282">
        <f>++Tabla4[[#This Row],[Precio Unitario Neto]]-Tabla4[[#This Row],[20.85%]]</f>
        <v>8133.5819063999998</v>
      </c>
      <c r="M5729" s="282" t="e">
        <f>(INDEX(Tabla6[#All],MATCH(Tabla4[[#This Row],[Producto]],Tabla6[[#All],[PRODUCTO]],0),MATCH(Tabla4[[#This Row],[Mes]],Tabla6[#Headers],0)))*(1+Catalogos!$L$2)</f>
        <v>#N/A</v>
      </c>
      <c r="N5729" s="283" t="e">
        <f>+(Tabla4[[#This Row],[Precio Descontado]]-Tabla4[[#This Row],[Precio Base]])*Tabla4[[#This Row],[Cantidad]]</f>
        <v>#N/A</v>
      </c>
      <c r="O5729" s="284" t="e">
        <f>++Tabla4[[#This Row],[Utilidad Total]]/Tabla4[[#This Row],[Total]]</f>
        <v>#N/A</v>
      </c>
      <c r="P5729" s="282">
        <f>++Tabla4[[#This Row],[Precio Descontado]]*Tabla4[[#This Row],[Cantidad]]</f>
        <v>8133.5819063999998</v>
      </c>
      <c r="Q5729" s="282" t="e">
        <f>(INDEX(Tabla6[#All],MATCH(Tabla4[[#This Row],[Producto]],Tabla6[[#All],[PRODUCTO]],0),MATCH(Tabla4[[#This Row],[Mes]],Tabla6[#Headers],0)))</f>
        <v>#N/A</v>
      </c>
      <c r="R5729" s="282" t="e">
        <f>++Tabla4[[#This Row],[Precio Unitario Neto]]-Tabla4[[#This Row],[20.85%]]-Tabla4[[#This Row],[Costo]]</f>
        <v>#N/A</v>
      </c>
      <c r="S5729" s="282" t="e">
        <f>++Tabla4[[#This Row],[U. Bruta Uni]]*Tabla4[[#This Row],[Cantidad]]</f>
        <v>#N/A</v>
      </c>
      <c r="T5729" s="369" t="str">
        <f>VLOOKUP(Tabla4[[#This Row],[Producto]],Tabla6[#All],14,FALSE)</f>
        <v>Termico Solar</v>
      </c>
      <c r="U5729" s="284" t="e">
        <f>(IF(Tabla4[[#This Row],[Familia]]="termico solar",Tabla4[[#This Row],[Utilidad Total]]*6%,Tabla4[[#This Row],[Utilidad Total]]*11.5%))/Tabla4[[#This Row],[Total]]</f>
        <v>#N/A</v>
      </c>
      <c r="V5729" s="282" t="e">
        <f>+Tabla4[[#This Row],[Comisión Calculada]]*Tabla4[[#This Row],[Total]]</f>
        <v>#N/A</v>
      </c>
    </row>
    <row r="5730" spans="1:22" hidden="1" x14ac:dyDescent="0.25">
      <c r="A5730" s="100">
        <v>45915</v>
      </c>
      <c r="B5730" t="str">
        <f t="shared" si="275"/>
        <v>September</v>
      </c>
      <c r="C5730" s="46" t="s">
        <v>280</v>
      </c>
      <c r="F5730" s="366" t="s">
        <v>2938</v>
      </c>
      <c r="G5730" s="46" t="s">
        <v>18</v>
      </c>
      <c r="H5730" s="46">
        <v>1</v>
      </c>
      <c r="I5730" s="51">
        <v>5367.65</v>
      </c>
      <c r="J5730" s="281">
        <f>++Tabla4[[#This Row],[Precio Bruto]]*1.16</f>
        <v>6226.4739999999993</v>
      </c>
      <c r="K5730" s="281">
        <f>+Tabla4[[#This Row],[Precio Unitario Neto]]*Tabla4[[#Headers],[20.85%]]</f>
        <v>1298.2198289999999</v>
      </c>
      <c r="L5730" s="282">
        <f>++Tabla4[[#This Row],[Precio Unitario Neto]]-Tabla4[[#This Row],[20.85%]]</f>
        <v>4928.2541709999996</v>
      </c>
      <c r="M5730" s="282" t="e">
        <f>(INDEX(Tabla6[#All],MATCH(Tabla4[[#This Row],[Producto]],Tabla6[[#All],[PRODUCTO]],0),MATCH(Tabla4[[#This Row],[Mes]],Tabla6[#Headers],0)))*(1+Catalogos!$L$2)</f>
        <v>#N/A</v>
      </c>
      <c r="N5730" s="283" t="e">
        <f>+(Tabla4[[#This Row],[Precio Descontado]]-Tabla4[[#This Row],[Precio Base]])*Tabla4[[#This Row],[Cantidad]]</f>
        <v>#N/A</v>
      </c>
      <c r="O5730" s="284" t="e">
        <f>++Tabla4[[#This Row],[Utilidad Total]]/Tabla4[[#This Row],[Total]]</f>
        <v>#N/A</v>
      </c>
      <c r="P5730" s="282">
        <f>++Tabla4[[#This Row],[Precio Descontado]]*Tabla4[[#This Row],[Cantidad]]</f>
        <v>4928.2541709999996</v>
      </c>
      <c r="Q5730" s="282" t="e">
        <f>(INDEX(Tabla6[#All],MATCH(Tabla4[[#This Row],[Producto]],Tabla6[[#All],[PRODUCTO]],0),MATCH(Tabla4[[#This Row],[Mes]],Tabla6[#Headers],0)))</f>
        <v>#N/A</v>
      </c>
      <c r="R5730" s="282" t="e">
        <f>++Tabla4[[#This Row],[Precio Unitario Neto]]-Tabla4[[#This Row],[20.85%]]-Tabla4[[#This Row],[Costo]]</f>
        <v>#N/A</v>
      </c>
      <c r="S5730" s="282" t="e">
        <f>++Tabla4[[#This Row],[U. Bruta Uni]]*Tabla4[[#This Row],[Cantidad]]</f>
        <v>#N/A</v>
      </c>
      <c r="T5730" s="369" t="str">
        <f>VLOOKUP(Tabla4[[#This Row],[Producto]],Tabla6[#All],14,FALSE)</f>
        <v>Termico Solar</v>
      </c>
      <c r="U5730" s="284" t="e">
        <f>(IF(Tabla4[[#This Row],[Familia]]="termico solar",Tabla4[[#This Row],[Utilidad Total]]*6%,Tabla4[[#This Row],[Utilidad Total]]*11.5%))/Tabla4[[#This Row],[Total]]</f>
        <v>#N/A</v>
      </c>
      <c r="V5730" s="282" t="e">
        <f>+Tabla4[[#This Row],[Comisión Calculada]]*Tabla4[[#This Row],[Total]]</f>
        <v>#N/A</v>
      </c>
    </row>
    <row r="5731" spans="1:22" hidden="1" x14ac:dyDescent="0.25">
      <c r="A5731" s="100">
        <v>45915</v>
      </c>
      <c r="B5731" t="str">
        <f t="shared" si="275"/>
        <v>September</v>
      </c>
      <c r="C5731" s="46" t="s">
        <v>280</v>
      </c>
      <c r="F5731" s="366" t="s">
        <v>2938</v>
      </c>
      <c r="G5731" s="46" t="s">
        <v>208</v>
      </c>
      <c r="H5731" s="46">
        <v>2</v>
      </c>
      <c r="I5731" s="51">
        <v>189.75</v>
      </c>
      <c r="J5731" s="281">
        <f>++Tabla4[[#This Row],[Precio Bruto]]*1.16</f>
        <v>220.10999999999999</v>
      </c>
      <c r="K5731" s="281">
        <f>+Tabla4[[#This Row],[Precio Unitario Neto]]*Tabla4[[#Headers],[20.85%]]</f>
        <v>45.892934999999994</v>
      </c>
      <c r="L5731" s="282">
        <f>++Tabla4[[#This Row],[Precio Unitario Neto]]-Tabla4[[#This Row],[20.85%]]</f>
        <v>174.21706499999999</v>
      </c>
      <c r="M5731" s="282" t="e">
        <f>(INDEX(Tabla6[#All],MATCH(Tabla4[[#This Row],[Producto]],Tabla6[[#All],[PRODUCTO]],0),MATCH(Tabla4[[#This Row],[Mes]],Tabla6[#Headers],0)))*(1+Catalogos!$L$2)</f>
        <v>#N/A</v>
      </c>
      <c r="N5731" s="283" t="e">
        <f>+(Tabla4[[#This Row],[Precio Descontado]]-Tabla4[[#This Row],[Precio Base]])*Tabla4[[#This Row],[Cantidad]]</f>
        <v>#N/A</v>
      </c>
      <c r="O5731" s="284" t="e">
        <f>++Tabla4[[#This Row],[Utilidad Total]]/Tabla4[[#This Row],[Total]]</f>
        <v>#N/A</v>
      </c>
      <c r="P5731" s="282">
        <f>++Tabla4[[#This Row],[Precio Descontado]]*Tabla4[[#This Row],[Cantidad]]</f>
        <v>348.43412999999998</v>
      </c>
      <c r="Q5731" s="282" t="e">
        <f>(INDEX(Tabla6[#All],MATCH(Tabla4[[#This Row],[Producto]],Tabla6[[#All],[PRODUCTO]],0),MATCH(Tabla4[[#This Row],[Mes]],Tabla6[#Headers],0)))</f>
        <v>#N/A</v>
      </c>
      <c r="R5731" s="282" t="e">
        <f>++Tabla4[[#This Row],[Precio Unitario Neto]]-Tabla4[[#This Row],[20.85%]]-Tabla4[[#This Row],[Costo]]</f>
        <v>#N/A</v>
      </c>
      <c r="S5731" s="282" t="e">
        <f>++Tabla4[[#This Row],[U. Bruta Uni]]*Tabla4[[#This Row],[Cantidad]]</f>
        <v>#N/A</v>
      </c>
      <c r="T5731" s="369" t="str">
        <f>VLOOKUP(Tabla4[[#This Row],[Producto]],Tabla6[#All],14,FALSE)</f>
        <v>Termico Solar</v>
      </c>
      <c r="U5731" s="284" t="e">
        <f>(IF(Tabla4[[#This Row],[Familia]]="termico solar",Tabla4[[#This Row],[Utilidad Total]]*6%,Tabla4[[#This Row],[Utilidad Total]]*11.5%))/Tabla4[[#This Row],[Total]]</f>
        <v>#N/A</v>
      </c>
      <c r="V5731" s="282" t="e">
        <f>+Tabla4[[#This Row],[Comisión Calculada]]*Tabla4[[#This Row],[Total]]</f>
        <v>#N/A</v>
      </c>
    </row>
    <row r="5732" spans="1:22" hidden="1" x14ac:dyDescent="0.25">
      <c r="A5732" s="100">
        <v>45915</v>
      </c>
      <c r="B5732" t="str">
        <f t="shared" si="275"/>
        <v>September</v>
      </c>
      <c r="C5732" s="46" t="s">
        <v>280</v>
      </c>
      <c r="F5732" s="366" t="s">
        <v>2939</v>
      </c>
      <c r="G5732" s="46" t="s">
        <v>18</v>
      </c>
      <c r="H5732" s="46">
        <v>1</v>
      </c>
      <c r="I5732" s="51">
        <v>5367.65</v>
      </c>
      <c r="J5732" s="281">
        <f>++Tabla4[[#This Row],[Precio Bruto]]*1.16</f>
        <v>6226.4739999999993</v>
      </c>
      <c r="K5732" s="281">
        <f>+Tabla4[[#This Row],[Precio Unitario Neto]]*Tabla4[[#Headers],[20.85%]]</f>
        <v>1298.2198289999999</v>
      </c>
      <c r="L5732" s="282">
        <f>++Tabla4[[#This Row],[Precio Unitario Neto]]-Tabla4[[#This Row],[20.85%]]</f>
        <v>4928.2541709999996</v>
      </c>
      <c r="M5732" s="282" t="e">
        <f>(INDEX(Tabla6[#All],MATCH(Tabla4[[#This Row],[Producto]],Tabla6[[#All],[PRODUCTO]],0),MATCH(Tabla4[[#This Row],[Mes]],Tabla6[#Headers],0)))*(1+Catalogos!$L$2)</f>
        <v>#N/A</v>
      </c>
      <c r="N5732" s="283" t="e">
        <f>+(Tabla4[[#This Row],[Precio Descontado]]-Tabla4[[#This Row],[Precio Base]])*Tabla4[[#This Row],[Cantidad]]</f>
        <v>#N/A</v>
      </c>
      <c r="O5732" s="284" t="e">
        <f>++Tabla4[[#This Row],[Utilidad Total]]/Tabla4[[#This Row],[Total]]</f>
        <v>#N/A</v>
      </c>
      <c r="P5732" s="282">
        <f>++Tabla4[[#This Row],[Precio Descontado]]*Tabla4[[#This Row],[Cantidad]]</f>
        <v>4928.2541709999996</v>
      </c>
      <c r="Q5732" s="282" t="e">
        <f>(INDEX(Tabla6[#All],MATCH(Tabla4[[#This Row],[Producto]],Tabla6[[#All],[PRODUCTO]],0),MATCH(Tabla4[[#This Row],[Mes]],Tabla6[#Headers],0)))</f>
        <v>#N/A</v>
      </c>
      <c r="R5732" s="282" t="e">
        <f>++Tabla4[[#This Row],[Precio Unitario Neto]]-Tabla4[[#This Row],[20.85%]]-Tabla4[[#This Row],[Costo]]</f>
        <v>#N/A</v>
      </c>
      <c r="S5732" s="282" t="e">
        <f>++Tabla4[[#This Row],[U. Bruta Uni]]*Tabla4[[#This Row],[Cantidad]]</f>
        <v>#N/A</v>
      </c>
      <c r="T5732" s="369" t="str">
        <f>VLOOKUP(Tabla4[[#This Row],[Producto]],Tabla6[#All],14,FALSE)</f>
        <v>Termico Solar</v>
      </c>
      <c r="U5732" s="284" t="e">
        <f>(IF(Tabla4[[#This Row],[Familia]]="termico solar",Tabla4[[#This Row],[Utilidad Total]]*6%,Tabla4[[#This Row],[Utilidad Total]]*11.5%))/Tabla4[[#This Row],[Total]]</f>
        <v>#N/A</v>
      </c>
      <c r="V5732" s="282" t="e">
        <f>+Tabla4[[#This Row],[Comisión Calculada]]*Tabla4[[#This Row],[Total]]</f>
        <v>#N/A</v>
      </c>
    </row>
    <row r="5733" spans="1:22" hidden="1" x14ac:dyDescent="0.25">
      <c r="A5733" s="100">
        <v>45915</v>
      </c>
      <c r="B5733" t="str">
        <f t="shared" si="275"/>
        <v>September</v>
      </c>
      <c r="C5733" s="46" t="s">
        <v>280</v>
      </c>
      <c r="F5733" s="366" t="s">
        <v>2940</v>
      </c>
      <c r="G5733" s="46" t="s">
        <v>17</v>
      </c>
      <c r="H5733" s="46">
        <v>1</v>
      </c>
      <c r="I5733" s="51">
        <v>4622.28</v>
      </c>
      <c r="J5733" s="281">
        <f>++Tabla4[[#This Row],[Precio Bruto]]*1.16</f>
        <v>5361.8447999999989</v>
      </c>
      <c r="K5733" s="281">
        <f>+Tabla4[[#This Row],[Precio Unitario Neto]]*Tabla4[[#Headers],[20.85%]]</f>
        <v>1117.9446407999997</v>
      </c>
      <c r="L5733" s="282">
        <f>++Tabla4[[#This Row],[Precio Unitario Neto]]-Tabla4[[#This Row],[20.85%]]</f>
        <v>4243.9001591999995</v>
      </c>
      <c r="M5733" s="282" t="e">
        <f>(INDEX(Tabla6[#All],MATCH(Tabla4[[#This Row],[Producto]],Tabla6[[#All],[PRODUCTO]],0),MATCH(Tabla4[[#This Row],[Mes]],Tabla6[#Headers],0)))*(1+Catalogos!$L$2)</f>
        <v>#N/A</v>
      </c>
      <c r="N5733" s="283" t="e">
        <f>+(Tabla4[[#This Row],[Precio Descontado]]-Tabla4[[#This Row],[Precio Base]])*Tabla4[[#This Row],[Cantidad]]</f>
        <v>#N/A</v>
      </c>
      <c r="O5733" s="284" t="e">
        <f>++Tabla4[[#This Row],[Utilidad Total]]/Tabla4[[#This Row],[Total]]</f>
        <v>#N/A</v>
      </c>
      <c r="P5733" s="282">
        <f>++Tabla4[[#This Row],[Precio Descontado]]*Tabla4[[#This Row],[Cantidad]]</f>
        <v>4243.9001591999995</v>
      </c>
      <c r="Q5733" s="282" t="e">
        <f>(INDEX(Tabla6[#All],MATCH(Tabla4[[#This Row],[Producto]],Tabla6[[#All],[PRODUCTO]],0),MATCH(Tabla4[[#This Row],[Mes]],Tabla6[#Headers],0)))</f>
        <v>#N/A</v>
      </c>
      <c r="R5733" s="282" t="e">
        <f>++Tabla4[[#This Row],[Precio Unitario Neto]]-Tabla4[[#This Row],[20.85%]]-Tabla4[[#This Row],[Costo]]</f>
        <v>#N/A</v>
      </c>
      <c r="S5733" s="282" t="e">
        <f>++Tabla4[[#This Row],[U. Bruta Uni]]*Tabla4[[#This Row],[Cantidad]]</f>
        <v>#N/A</v>
      </c>
      <c r="T5733" s="369" t="str">
        <f>VLOOKUP(Tabla4[[#This Row],[Producto]],Tabla6[#All],14,FALSE)</f>
        <v>Termico Solar</v>
      </c>
      <c r="U5733" s="284" t="e">
        <f>(IF(Tabla4[[#This Row],[Familia]]="termico solar",Tabla4[[#This Row],[Utilidad Total]]*6%,Tabla4[[#This Row],[Utilidad Total]]*11.5%))/Tabla4[[#This Row],[Total]]</f>
        <v>#N/A</v>
      </c>
      <c r="V5733" s="282" t="e">
        <f>+Tabla4[[#This Row],[Comisión Calculada]]*Tabla4[[#This Row],[Total]]</f>
        <v>#N/A</v>
      </c>
    </row>
    <row r="5734" spans="1:22" hidden="1" x14ac:dyDescent="0.25">
      <c r="A5734" s="100">
        <v>45915</v>
      </c>
      <c r="B5734" t="str">
        <f t="shared" si="275"/>
        <v>September</v>
      </c>
      <c r="C5734" s="46" t="s">
        <v>280</v>
      </c>
      <c r="F5734" s="366" t="s">
        <v>2940</v>
      </c>
      <c r="G5734" s="46" t="s">
        <v>16</v>
      </c>
      <c r="H5734" s="46">
        <v>1</v>
      </c>
      <c r="I5734" s="51">
        <v>4103.8500000000004</v>
      </c>
      <c r="J5734" s="281">
        <f>++Tabla4[[#This Row],[Precio Bruto]]*1.16</f>
        <v>4760.4660000000003</v>
      </c>
      <c r="K5734" s="281">
        <f>+Tabla4[[#This Row],[Precio Unitario Neto]]*Tabla4[[#Headers],[20.85%]]</f>
        <v>992.55716100000006</v>
      </c>
      <c r="L5734" s="282">
        <f>++Tabla4[[#This Row],[Precio Unitario Neto]]-Tabla4[[#This Row],[20.85%]]</f>
        <v>3767.9088390000002</v>
      </c>
      <c r="M5734" s="282" t="e">
        <f>(INDEX(Tabla6[#All],MATCH(Tabla4[[#This Row],[Producto]],Tabla6[[#All],[PRODUCTO]],0),MATCH(Tabla4[[#This Row],[Mes]],Tabla6[#Headers],0)))*(1+Catalogos!$L$2)</f>
        <v>#N/A</v>
      </c>
      <c r="N5734" s="283" t="e">
        <f>+(Tabla4[[#This Row],[Precio Descontado]]-Tabla4[[#This Row],[Precio Base]])*Tabla4[[#This Row],[Cantidad]]</f>
        <v>#N/A</v>
      </c>
      <c r="O5734" s="284" t="e">
        <f>++Tabla4[[#This Row],[Utilidad Total]]/Tabla4[[#This Row],[Total]]</f>
        <v>#N/A</v>
      </c>
      <c r="P5734" s="282">
        <f>++Tabla4[[#This Row],[Precio Descontado]]*Tabla4[[#This Row],[Cantidad]]</f>
        <v>3767.9088390000002</v>
      </c>
      <c r="Q5734" s="282" t="e">
        <f>(INDEX(Tabla6[#All],MATCH(Tabla4[[#This Row],[Producto]],Tabla6[[#All],[PRODUCTO]],0),MATCH(Tabla4[[#This Row],[Mes]],Tabla6[#Headers],0)))</f>
        <v>#N/A</v>
      </c>
      <c r="R5734" s="282" t="e">
        <f>++Tabla4[[#This Row],[Precio Unitario Neto]]-Tabla4[[#This Row],[20.85%]]-Tabla4[[#This Row],[Costo]]</f>
        <v>#N/A</v>
      </c>
      <c r="S5734" s="282" t="e">
        <f>++Tabla4[[#This Row],[U. Bruta Uni]]*Tabla4[[#This Row],[Cantidad]]</f>
        <v>#N/A</v>
      </c>
      <c r="T5734" s="369" t="str">
        <f>VLOOKUP(Tabla4[[#This Row],[Producto]],Tabla6[#All],14,FALSE)</f>
        <v>Termico Solar</v>
      </c>
      <c r="U5734" s="284" t="e">
        <f>(IF(Tabla4[[#This Row],[Familia]]="termico solar",Tabla4[[#This Row],[Utilidad Total]]*6%,Tabla4[[#This Row],[Utilidad Total]]*11.5%))/Tabla4[[#This Row],[Total]]</f>
        <v>#N/A</v>
      </c>
      <c r="V5734" s="282" t="e">
        <f>+Tabla4[[#This Row],[Comisión Calculada]]*Tabla4[[#This Row],[Total]]</f>
        <v>#N/A</v>
      </c>
    </row>
    <row r="5735" spans="1:22" hidden="1" x14ac:dyDescent="0.25">
      <c r="A5735" s="100">
        <v>45915</v>
      </c>
      <c r="B5735" t="str">
        <f t="shared" si="275"/>
        <v>September</v>
      </c>
      <c r="C5735" s="46" t="s">
        <v>280</v>
      </c>
      <c r="F5735" s="366" t="s">
        <v>2941</v>
      </c>
      <c r="G5735" s="46" t="s">
        <v>83</v>
      </c>
      <c r="H5735" s="46">
        <v>2</v>
      </c>
      <c r="I5735" s="51">
        <v>8858.76</v>
      </c>
      <c r="J5735" s="281">
        <f>++Tabla4[[#This Row],[Precio Bruto]]*1.16</f>
        <v>10276.161599999999</v>
      </c>
      <c r="K5735" s="281">
        <f>+Tabla4[[#This Row],[Precio Unitario Neto]]*Tabla4[[#Headers],[20.85%]]</f>
        <v>2142.5796935999997</v>
      </c>
      <c r="L5735" s="282">
        <f>++Tabla4[[#This Row],[Precio Unitario Neto]]-Tabla4[[#This Row],[20.85%]]</f>
        <v>8133.5819063999998</v>
      </c>
      <c r="M5735" s="282" t="e">
        <f>(INDEX(Tabla6[#All],MATCH(Tabla4[[#This Row],[Producto]],Tabla6[[#All],[PRODUCTO]],0),MATCH(Tabla4[[#This Row],[Mes]],Tabla6[#Headers],0)))*(1+Catalogos!$L$2)</f>
        <v>#N/A</v>
      </c>
      <c r="N5735" s="283" t="e">
        <f>+(Tabla4[[#This Row],[Precio Descontado]]-Tabla4[[#This Row],[Precio Base]])*Tabla4[[#This Row],[Cantidad]]</f>
        <v>#N/A</v>
      </c>
      <c r="O5735" s="284" t="e">
        <f>++Tabla4[[#This Row],[Utilidad Total]]/Tabla4[[#This Row],[Total]]</f>
        <v>#N/A</v>
      </c>
      <c r="P5735" s="282">
        <f>++Tabla4[[#This Row],[Precio Descontado]]*Tabla4[[#This Row],[Cantidad]]</f>
        <v>16267.1638128</v>
      </c>
      <c r="Q5735" s="282" t="e">
        <f>(INDEX(Tabla6[#All],MATCH(Tabla4[[#This Row],[Producto]],Tabla6[[#All],[PRODUCTO]],0),MATCH(Tabla4[[#This Row],[Mes]],Tabla6[#Headers],0)))</f>
        <v>#N/A</v>
      </c>
      <c r="R5735" s="282" t="e">
        <f>++Tabla4[[#This Row],[Precio Unitario Neto]]-Tabla4[[#This Row],[20.85%]]-Tabla4[[#This Row],[Costo]]</f>
        <v>#N/A</v>
      </c>
      <c r="S5735" s="282" t="e">
        <f>++Tabla4[[#This Row],[U. Bruta Uni]]*Tabla4[[#This Row],[Cantidad]]</f>
        <v>#N/A</v>
      </c>
      <c r="T5735" s="369" t="str">
        <f>VLOOKUP(Tabla4[[#This Row],[Producto]],Tabla6[#All],14,FALSE)</f>
        <v>Termico Solar</v>
      </c>
      <c r="U5735" s="284" t="e">
        <f>(IF(Tabla4[[#This Row],[Familia]]="termico solar",Tabla4[[#This Row],[Utilidad Total]]*6%,Tabla4[[#This Row],[Utilidad Total]]*11.5%))/Tabla4[[#This Row],[Total]]</f>
        <v>#N/A</v>
      </c>
      <c r="V5735" s="282" t="e">
        <f>+Tabla4[[#This Row],[Comisión Calculada]]*Tabla4[[#This Row],[Total]]</f>
        <v>#N/A</v>
      </c>
    </row>
    <row r="5736" spans="1:22" hidden="1" x14ac:dyDescent="0.25">
      <c r="A5736" s="100">
        <v>45915</v>
      </c>
      <c r="B5736" t="str">
        <f t="shared" si="275"/>
        <v>September</v>
      </c>
      <c r="C5736" s="46" t="s">
        <v>280</v>
      </c>
      <c r="F5736" s="366" t="s">
        <v>2941</v>
      </c>
      <c r="G5736" s="46" t="s">
        <v>566</v>
      </c>
      <c r="H5736" s="46">
        <v>2</v>
      </c>
      <c r="I5736" s="51">
        <v>2109.4499999999998</v>
      </c>
      <c r="J5736" s="281">
        <f>++Tabla4[[#This Row],[Precio Bruto]]*1.16</f>
        <v>2446.9619999999995</v>
      </c>
      <c r="K5736" s="281">
        <f>+Tabla4[[#This Row],[Precio Unitario Neto]]*Tabla4[[#Headers],[20.85%]]</f>
        <v>510.19157699999988</v>
      </c>
      <c r="L5736" s="282">
        <f>++Tabla4[[#This Row],[Precio Unitario Neto]]-Tabla4[[#This Row],[20.85%]]</f>
        <v>1936.7704229999997</v>
      </c>
      <c r="M5736" s="282" t="e">
        <f>(INDEX(Tabla6[#All],MATCH(Tabla4[[#This Row],[Producto]],Tabla6[[#All],[PRODUCTO]],0),MATCH(Tabla4[[#This Row],[Mes]],Tabla6[#Headers],0)))*(1+Catalogos!$L$2)</f>
        <v>#N/A</v>
      </c>
      <c r="N5736" s="283" t="e">
        <f>+(Tabla4[[#This Row],[Precio Descontado]]-Tabla4[[#This Row],[Precio Base]])*Tabla4[[#This Row],[Cantidad]]</f>
        <v>#N/A</v>
      </c>
      <c r="O5736" s="284" t="e">
        <f>++Tabla4[[#This Row],[Utilidad Total]]/Tabla4[[#This Row],[Total]]</f>
        <v>#N/A</v>
      </c>
      <c r="P5736" s="282">
        <f>++Tabla4[[#This Row],[Precio Descontado]]*Tabla4[[#This Row],[Cantidad]]</f>
        <v>3873.5408459999994</v>
      </c>
      <c r="Q5736" s="282" t="e">
        <f>(INDEX(Tabla6[#All],MATCH(Tabla4[[#This Row],[Producto]],Tabla6[[#All],[PRODUCTO]],0),MATCH(Tabla4[[#This Row],[Mes]],Tabla6[#Headers],0)))</f>
        <v>#N/A</v>
      </c>
      <c r="R5736" s="282" t="e">
        <f>++Tabla4[[#This Row],[Precio Unitario Neto]]-Tabla4[[#This Row],[20.85%]]-Tabla4[[#This Row],[Costo]]</f>
        <v>#N/A</v>
      </c>
      <c r="S5736" s="282" t="e">
        <f>++Tabla4[[#This Row],[U. Bruta Uni]]*Tabla4[[#This Row],[Cantidad]]</f>
        <v>#N/A</v>
      </c>
      <c r="T5736" s="369" t="str">
        <f>VLOOKUP(Tabla4[[#This Row],[Producto]],Tabla6[#All],14,FALSE)</f>
        <v>Termico Solar</v>
      </c>
      <c r="U5736" s="284" t="e">
        <f>(IF(Tabla4[[#This Row],[Familia]]="termico solar",Tabla4[[#This Row],[Utilidad Total]]*6%,Tabla4[[#This Row],[Utilidad Total]]*11.5%))/Tabla4[[#This Row],[Total]]</f>
        <v>#N/A</v>
      </c>
      <c r="V5736" s="282" t="e">
        <f>+Tabla4[[#This Row],[Comisión Calculada]]*Tabla4[[#This Row],[Total]]</f>
        <v>#N/A</v>
      </c>
    </row>
    <row r="5737" spans="1:22" hidden="1" x14ac:dyDescent="0.25">
      <c r="A5737" s="100">
        <v>45915</v>
      </c>
      <c r="B5737" t="str">
        <f t="shared" si="275"/>
        <v>September</v>
      </c>
      <c r="C5737" s="46" t="s">
        <v>280</v>
      </c>
      <c r="F5737" s="366" t="s">
        <v>2942</v>
      </c>
      <c r="G5737" s="46" t="s">
        <v>83</v>
      </c>
      <c r="H5737" s="46">
        <v>1</v>
      </c>
      <c r="I5737" s="51">
        <v>8858.76</v>
      </c>
      <c r="J5737" s="281">
        <f>++Tabla4[[#This Row],[Precio Bruto]]*1.16</f>
        <v>10276.161599999999</v>
      </c>
      <c r="K5737" s="281">
        <f>+Tabla4[[#This Row],[Precio Unitario Neto]]*Tabla4[[#Headers],[20.85%]]</f>
        <v>2142.5796935999997</v>
      </c>
      <c r="L5737" s="282">
        <f>++Tabla4[[#This Row],[Precio Unitario Neto]]-Tabla4[[#This Row],[20.85%]]</f>
        <v>8133.5819063999998</v>
      </c>
      <c r="M5737" s="282" t="e">
        <f>(INDEX(Tabla6[#All],MATCH(Tabla4[[#This Row],[Producto]],Tabla6[[#All],[PRODUCTO]],0),MATCH(Tabla4[[#This Row],[Mes]],Tabla6[#Headers],0)))*(1+Catalogos!$L$2)</f>
        <v>#N/A</v>
      </c>
      <c r="N5737" s="283" t="e">
        <f>+(Tabla4[[#This Row],[Precio Descontado]]-Tabla4[[#This Row],[Precio Base]])*Tabla4[[#This Row],[Cantidad]]</f>
        <v>#N/A</v>
      </c>
      <c r="O5737" s="284" t="e">
        <f>++Tabla4[[#This Row],[Utilidad Total]]/Tabla4[[#This Row],[Total]]</f>
        <v>#N/A</v>
      </c>
      <c r="P5737" s="282">
        <f>++Tabla4[[#This Row],[Precio Descontado]]*Tabla4[[#This Row],[Cantidad]]</f>
        <v>8133.5819063999998</v>
      </c>
      <c r="Q5737" s="282" t="e">
        <f>(INDEX(Tabla6[#All],MATCH(Tabla4[[#This Row],[Producto]],Tabla6[[#All],[PRODUCTO]],0),MATCH(Tabla4[[#This Row],[Mes]],Tabla6[#Headers],0)))</f>
        <v>#N/A</v>
      </c>
      <c r="R5737" s="282" t="e">
        <f>++Tabla4[[#This Row],[Precio Unitario Neto]]-Tabla4[[#This Row],[20.85%]]-Tabla4[[#This Row],[Costo]]</f>
        <v>#N/A</v>
      </c>
      <c r="S5737" s="282" t="e">
        <f>++Tabla4[[#This Row],[U. Bruta Uni]]*Tabla4[[#This Row],[Cantidad]]</f>
        <v>#N/A</v>
      </c>
      <c r="T5737" s="369" t="str">
        <f>VLOOKUP(Tabla4[[#This Row],[Producto]],Tabla6[#All],14,FALSE)</f>
        <v>Termico Solar</v>
      </c>
      <c r="U5737" s="284" t="e">
        <f>(IF(Tabla4[[#This Row],[Familia]]="termico solar",Tabla4[[#This Row],[Utilidad Total]]*6%,Tabla4[[#This Row],[Utilidad Total]]*11.5%))/Tabla4[[#This Row],[Total]]</f>
        <v>#N/A</v>
      </c>
      <c r="V5737" s="282" t="e">
        <f>+Tabla4[[#This Row],[Comisión Calculada]]*Tabla4[[#This Row],[Total]]</f>
        <v>#N/A</v>
      </c>
    </row>
    <row r="5738" spans="1:22" hidden="1" x14ac:dyDescent="0.25">
      <c r="A5738" s="100">
        <v>45915</v>
      </c>
      <c r="B5738" t="str">
        <f t="shared" si="275"/>
        <v>September</v>
      </c>
      <c r="C5738" s="46" t="s">
        <v>280</v>
      </c>
      <c r="F5738" s="366" t="s">
        <v>2942</v>
      </c>
      <c r="G5738" s="46" t="s">
        <v>17</v>
      </c>
      <c r="H5738" s="46">
        <v>2</v>
      </c>
      <c r="I5738" s="51">
        <v>4622.28</v>
      </c>
      <c r="J5738" s="281">
        <f>++Tabla4[[#This Row],[Precio Bruto]]*1.16</f>
        <v>5361.8447999999989</v>
      </c>
      <c r="K5738" s="281">
        <f>+Tabla4[[#This Row],[Precio Unitario Neto]]*Tabla4[[#Headers],[20.85%]]</f>
        <v>1117.9446407999997</v>
      </c>
      <c r="L5738" s="282">
        <f>++Tabla4[[#This Row],[Precio Unitario Neto]]-Tabla4[[#This Row],[20.85%]]</f>
        <v>4243.9001591999995</v>
      </c>
      <c r="M5738" s="282" t="e">
        <f>(INDEX(Tabla6[#All],MATCH(Tabla4[[#This Row],[Producto]],Tabla6[[#All],[PRODUCTO]],0),MATCH(Tabla4[[#This Row],[Mes]],Tabla6[#Headers],0)))*(1+Catalogos!$L$2)</f>
        <v>#N/A</v>
      </c>
      <c r="N5738" s="283" t="e">
        <f>+(Tabla4[[#This Row],[Precio Descontado]]-Tabla4[[#This Row],[Precio Base]])*Tabla4[[#This Row],[Cantidad]]</f>
        <v>#N/A</v>
      </c>
      <c r="O5738" s="284" t="e">
        <f>++Tabla4[[#This Row],[Utilidad Total]]/Tabla4[[#This Row],[Total]]</f>
        <v>#N/A</v>
      </c>
      <c r="P5738" s="282">
        <f>++Tabla4[[#This Row],[Precio Descontado]]*Tabla4[[#This Row],[Cantidad]]</f>
        <v>8487.800318399999</v>
      </c>
      <c r="Q5738" s="282" t="e">
        <f>(INDEX(Tabla6[#All],MATCH(Tabla4[[#This Row],[Producto]],Tabla6[[#All],[PRODUCTO]],0),MATCH(Tabla4[[#This Row],[Mes]],Tabla6[#Headers],0)))</f>
        <v>#N/A</v>
      </c>
      <c r="R5738" s="282" t="e">
        <f>++Tabla4[[#This Row],[Precio Unitario Neto]]-Tabla4[[#This Row],[20.85%]]-Tabla4[[#This Row],[Costo]]</f>
        <v>#N/A</v>
      </c>
      <c r="S5738" s="282" t="e">
        <f>++Tabla4[[#This Row],[U. Bruta Uni]]*Tabla4[[#This Row],[Cantidad]]</f>
        <v>#N/A</v>
      </c>
      <c r="T5738" s="369" t="str">
        <f>VLOOKUP(Tabla4[[#This Row],[Producto]],Tabla6[#All],14,FALSE)</f>
        <v>Termico Solar</v>
      </c>
      <c r="U5738" s="284" t="e">
        <f>(IF(Tabla4[[#This Row],[Familia]]="termico solar",Tabla4[[#This Row],[Utilidad Total]]*6%,Tabla4[[#This Row],[Utilidad Total]]*11.5%))/Tabla4[[#This Row],[Total]]</f>
        <v>#N/A</v>
      </c>
      <c r="V5738" s="282" t="e">
        <f>+Tabla4[[#This Row],[Comisión Calculada]]*Tabla4[[#This Row],[Total]]</f>
        <v>#N/A</v>
      </c>
    </row>
    <row r="5739" spans="1:22" hidden="1" x14ac:dyDescent="0.25">
      <c r="A5739" s="100">
        <v>45915</v>
      </c>
      <c r="B5739" t="str">
        <f t="shared" si="275"/>
        <v>September</v>
      </c>
      <c r="C5739" s="46" t="s">
        <v>280</v>
      </c>
      <c r="F5739" s="366" t="s">
        <v>2942</v>
      </c>
      <c r="G5739" s="46" t="s">
        <v>18</v>
      </c>
      <c r="H5739" s="46">
        <v>1</v>
      </c>
      <c r="I5739" s="51">
        <v>5367.65</v>
      </c>
      <c r="J5739" s="281">
        <f>++Tabla4[[#This Row],[Precio Bruto]]*1.16</f>
        <v>6226.4739999999993</v>
      </c>
      <c r="K5739" s="281">
        <f>+Tabla4[[#This Row],[Precio Unitario Neto]]*Tabla4[[#Headers],[20.85%]]</f>
        <v>1298.2198289999999</v>
      </c>
      <c r="L5739" s="282">
        <f>++Tabla4[[#This Row],[Precio Unitario Neto]]-Tabla4[[#This Row],[20.85%]]</f>
        <v>4928.2541709999996</v>
      </c>
      <c r="M5739" s="282" t="e">
        <f>(INDEX(Tabla6[#All],MATCH(Tabla4[[#This Row],[Producto]],Tabla6[[#All],[PRODUCTO]],0),MATCH(Tabla4[[#This Row],[Mes]],Tabla6[#Headers],0)))*(1+Catalogos!$L$2)</f>
        <v>#N/A</v>
      </c>
      <c r="N5739" s="283" t="e">
        <f>+(Tabla4[[#This Row],[Precio Descontado]]-Tabla4[[#This Row],[Precio Base]])*Tabla4[[#This Row],[Cantidad]]</f>
        <v>#N/A</v>
      </c>
      <c r="O5739" s="284" t="e">
        <f>++Tabla4[[#This Row],[Utilidad Total]]/Tabla4[[#This Row],[Total]]</f>
        <v>#N/A</v>
      </c>
      <c r="P5739" s="282">
        <f>++Tabla4[[#This Row],[Precio Descontado]]*Tabla4[[#This Row],[Cantidad]]</f>
        <v>4928.2541709999996</v>
      </c>
      <c r="Q5739" s="282" t="e">
        <f>(INDEX(Tabla6[#All],MATCH(Tabla4[[#This Row],[Producto]],Tabla6[[#All],[PRODUCTO]],0),MATCH(Tabla4[[#This Row],[Mes]],Tabla6[#Headers],0)))</f>
        <v>#N/A</v>
      </c>
      <c r="R5739" s="282" t="e">
        <f>++Tabla4[[#This Row],[Precio Unitario Neto]]-Tabla4[[#This Row],[20.85%]]-Tabla4[[#This Row],[Costo]]</f>
        <v>#N/A</v>
      </c>
      <c r="S5739" s="282" t="e">
        <f>++Tabla4[[#This Row],[U. Bruta Uni]]*Tabla4[[#This Row],[Cantidad]]</f>
        <v>#N/A</v>
      </c>
      <c r="T5739" s="369" t="str">
        <f>VLOOKUP(Tabla4[[#This Row],[Producto]],Tabla6[#All],14,FALSE)</f>
        <v>Termico Solar</v>
      </c>
      <c r="U5739" s="284" t="e">
        <f>(IF(Tabla4[[#This Row],[Familia]]="termico solar",Tabla4[[#This Row],[Utilidad Total]]*6%,Tabla4[[#This Row],[Utilidad Total]]*11.5%))/Tabla4[[#This Row],[Total]]</f>
        <v>#N/A</v>
      </c>
      <c r="V5739" s="282" t="e">
        <f>+Tabla4[[#This Row],[Comisión Calculada]]*Tabla4[[#This Row],[Total]]</f>
        <v>#N/A</v>
      </c>
    </row>
    <row r="5740" spans="1:22" hidden="1" x14ac:dyDescent="0.25">
      <c r="A5740" s="100">
        <v>45915</v>
      </c>
      <c r="B5740" t="str">
        <f t="shared" si="275"/>
        <v>September</v>
      </c>
      <c r="C5740" s="46" t="s">
        <v>280</v>
      </c>
      <c r="F5740" s="366" t="s">
        <v>2943</v>
      </c>
      <c r="G5740" s="46" t="s">
        <v>17</v>
      </c>
      <c r="H5740" s="46">
        <v>3</v>
      </c>
      <c r="I5740" s="51">
        <v>4622.28</v>
      </c>
      <c r="J5740" s="281">
        <f>++Tabla4[[#This Row],[Precio Bruto]]*1.16</f>
        <v>5361.8447999999989</v>
      </c>
      <c r="K5740" s="281">
        <f>+Tabla4[[#This Row],[Precio Unitario Neto]]*Tabla4[[#Headers],[20.85%]]</f>
        <v>1117.9446407999997</v>
      </c>
      <c r="L5740" s="282">
        <f>++Tabla4[[#This Row],[Precio Unitario Neto]]-Tabla4[[#This Row],[20.85%]]</f>
        <v>4243.9001591999995</v>
      </c>
      <c r="M5740" s="282" t="e">
        <f>(INDEX(Tabla6[#All],MATCH(Tabla4[[#This Row],[Producto]],Tabla6[[#All],[PRODUCTO]],0),MATCH(Tabla4[[#This Row],[Mes]],Tabla6[#Headers],0)))*(1+Catalogos!$L$2)</f>
        <v>#N/A</v>
      </c>
      <c r="N5740" s="283" t="e">
        <f>+(Tabla4[[#This Row],[Precio Descontado]]-Tabla4[[#This Row],[Precio Base]])*Tabla4[[#This Row],[Cantidad]]</f>
        <v>#N/A</v>
      </c>
      <c r="O5740" s="284" t="e">
        <f>++Tabla4[[#This Row],[Utilidad Total]]/Tabla4[[#This Row],[Total]]</f>
        <v>#N/A</v>
      </c>
      <c r="P5740" s="282">
        <f>++Tabla4[[#This Row],[Precio Descontado]]*Tabla4[[#This Row],[Cantidad]]</f>
        <v>12731.700477599999</v>
      </c>
      <c r="Q5740" s="282" t="e">
        <f>(INDEX(Tabla6[#All],MATCH(Tabla4[[#This Row],[Producto]],Tabla6[[#All],[PRODUCTO]],0),MATCH(Tabla4[[#This Row],[Mes]],Tabla6[#Headers],0)))</f>
        <v>#N/A</v>
      </c>
      <c r="R5740" s="282" t="e">
        <f>++Tabla4[[#This Row],[Precio Unitario Neto]]-Tabla4[[#This Row],[20.85%]]-Tabla4[[#This Row],[Costo]]</f>
        <v>#N/A</v>
      </c>
      <c r="S5740" s="282" t="e">
        <f>++Tabla4[[#This Row],[U. Bruta Uni]]*Tabla4[[#This Row],[Cantidad]]</f>
        <v>#N/A</v>
      </c>
      <c r="T5740" s="369" t="str">
        <f>VLOOKUP(Tabla4[[#This Row],[Producto]],Tabla6[#All],14,FALSE)</f>
        <v>Termico Solar</v>
      </c>
      <c r="U5740" s="284" t="e">
        <f>(IF(Tabla4[[#This Row],[Familia]]="termico solar",Tabla4[[#This Row],[Utilidad Total]]*6%,Tabla4[[#This Row],[Utilidad Total]]*11.5%))/Tabla4[[#This Row],[Total]]</f>
        <v>#N/A</v>
      </c>
      <c r="V5740" s="282" t="e">
        <f>+Tabla4[[#This Row],[Comisión Calculada]]*Tabla4[[#This Row],[Total]]</f>
        <v>#N/A</v>
      </c>
    </row>
    <row r="5741" spans="1:22" hidden="1" x14ac:dyDescent="0.25">
      <c r="A5741" s="100">
        <v>45915</v>
      </c>
      <c r="B5741" t="str">
        <f t="shared" si="275"/>
        <v>September</v>
      </c>
      <c r="C5741" s="46" t="s">
        <v>280</v>
      </c>
      <c r="F5741" s="366" t="s">
        <v>2943</v>
      </c>
      <c r="G5741" s="46" t="s">
        <v>16</v>
      </c>
      <c r="H5741" s="46">
        <v>1</v>
      </c>
      <c r="I5741" s="51">
        <v>4103.8500000000004</v>
      </c>
      <c r="J5741" s="281">
        <f>++Tabla4[[#This Row],[Precio Bruto]]*1.16</f>
        <v>4760.4660000000003</v>
      </c>
      <c r="K5741" s="281">
        <f>+Tabla4[[#This Row],[Precio Unitario Neto]]*Tabla4[[#Headers],[20.85%]]</f>
        <v>992.55716100000006</v>
      </c>
      <c r="L5741" s="282">
        <f>++Tabla4[[#This Row],[Precio Unitario Neto]]-Tabla4[[#This Row],[20.85%]]</f>
        <v>3767.9088390000002</v>
      </c>
      <c r="M5741" s="282" t="e">
        <f>(INDEX(Tabla6[#All],MATCH(Tabla4[[#This Row],[Producto]],Tabla6[[#All],[PRODUCTO]],0),MATCH(Tabla4[[#This Row],[Mes]],Tabla6[#Headers],0)))*(1+Catalogos!$L$2)</f>
        <v>#N/A</v>
      </c>
      <c r="N5741" s="283" t="e">
        <f>+(Tabla4[[#This Row],[Precio Descontado]]-Tabla4[[#This Row],[Precio Base]])*Tabla4[[#This Row],[Cantidad]]</f>
        <v>#N/A</v>
      </c>
      <c r="O5741" s="284" t="e">
        <f>++Tabla4[[#This Row],[Utilidad Total]]/Tabla4[[#This Row],[Total]]</f>
        <v>#N/A</v>
      </c>
      <c r="P5741" s="282">
        <f>++Tabla4[[#This Row],[Precio Descontado]]*Tabla4[[#This Row],[Cantidad]]</f>
        <v>3767.9088390000002</v>
      </c>
      <c r="Q5741" s="282" t="e">
        <f>(INDEX(Tabla6[#All],MATCH(Tabla4[[#This Row],[Producto]],Tabla6[[#All],[PRODUCTO]],0),MATCH(Tabla4[[#This Row],[Mes]],Tabla6[#Headers],0)))</f>
        <v>#N/A</v>
      </c>
      <c r="R5741" s="282" t="e">
        <f>++Tabla4[[#This Row],[Precio Unitario Neto]]-Tabla4[[#This Row],[20.85%]]-Tabla4[[#This Row],[Costo]]</f>
        <v>#N/A</v>
      </c>
      <c r="S5741" s="282" t="e">
        <f>++Tabla4[[#This Row],[U. Bruta Uni]]*Tabla4[[#This Row],[Cantidad]]</f>
        <v>#N/A</v>
      </c>
      <c r="T5741" s="369" t="str">
        <f>VLOOKUP(Tabla4[[#This Row],[Producto]],Tabla6[#All],14,FALSE)</f>
        <v>Termico Solar</v>
      </c>
      <c r="U5741" s="284" t="e">
        <f>(IF(Tabla4[[#This Row],[Familia]]="termico solar",Tabla4[[#This Row],[Utilidad Total]]*6%,Tabla4[[#This Row],[Utilidad Total]]*11.5%))/Tabla4[[#This Row],[Total]]</f>
        <v>#N/A</v>
      </c>
      <c r="V5741" s="282" t="e">
        <f>+Tabla4[[#This Row],[Comisión Calculada]]*Tabla4[[#This Row],[Total]]</f>
        <v>#N/A</v>
      </c>
    </row>
    <row r="5742" spans="1:22" hidden="1" x14ac:dyDescent="0.25">
      <c r="A5742" s="100">
        <v>45915</v>
      </c>
      <c r="B5742" t="str">
        <f t="shared" si="275"/>
        <v>September</v>
      </c>
      <c r="C5742" s="46" t="s">
        <v>280</v>
      </c>
      <c r="F5742" s="366" t="s">
        <v>2944</v>
      </c>
      <c r="G5742" s="46" t="s">
        <v>17</v>
      </c>
      <c r="H5742" s="46">
        <v>1</v>
      </c>
      <c r="I5742" s="51">
        <v>4622.28</v>
      </c>
      <c r="J5742" s="281">
        <f>++Tabla4[[#This Row],[Precio Bruto]]*1.16</f>
        <v>5361.8447999999989</v>
      </c>
      <c r="K5742" s="281">
        <f>+Tabla4[[#This Row],[Precio Unitario Neto]]*Tabla4[[#Headers],[20.85%]]</f>
        <v>1117.9446407999997</v>
      </c>
      <c r="L5742" s="282">
        <f>++Tabla4[[#This Row],[Precio Unitario Neto]]-Tabla4[[#This Row],[20.85%]]</f>
        <v>4243.9001591999995</v>
      </c>
      <c r="M5742" s="282" t="e">
        <f>(INDEX(Tabla6[#All],MATCH(Tabla4[[#This Row],[Producto]],Tabla6[[#All],[PRODUCTO]],0),MATCH(Tabla4[[#This Row],[Mes]],Tabla6[#Headers],0)))*(1+Catalogos!$L$2)</f>
        <v>#N/A</v>
      </c>
      <c r="N5742" s="283" t="e">
        <f>+(Tabla4[[#This Row],[Precio Descontado]]-Tabla4[[#This Row],[Precio Base]])*Tabla4[[#This Row],[Cantidad]]</f>
        <v>#N/A</v>
      </c>
      <c r="O5742" s="284" t="e">
        <f>++Tabla4[[#This Row],[Utilidad Total]]/Tabla4[[#This Row],[Total]]</f>
        <v>#N/A</v>
      </c>
      <c r="P5742" s="282">
        <f>++Tabla4[[#This Row],[Precio Descontado]]*Tabla4[[#This Row],[Cantidad]]</f>
        <v>4243.9001591999995</v>
      </c>
      <c r="Q5742" s="282" t="e">
        <f>(INDEX(Tabla6[#All],MATCH(Tabla4[[#This Row],[Producto]],Tabla6[[#All],[PRODUCTO]],0),MATCH(Tabla4[[#This Row],[Mes]],Tabla6[#Headers],0)))</f>
        <v>#N/A</v>
      </c>
      <c r="R5742" s="282" t="e">
        <f>++Tabla4[[#This Row],[Precio Unitario Neto]]-Tabla4[[#This Row],[20.85%]]-Tabla4[[#This Row],[Costo]]</f>
        <v>#N/A</v>
      </c>
      <c r="S5742" s="282" t="e">
        <f>++Tabla4[[#This Row],[U. Bruta Uni]]*Tabla4[[#This Row],[Cantidad]]</f>
        <v>#N/A</v>
      </c>
      <c r="T5742" s="369" t="str">
        <f>VLOOKUP(Tabla4[[#This Row],[Producto]],Tabla6[#All],14,FALSE)</f>
        <v>Termico Solar</v>
      </c>
      <c r="U5742" s="284" t="e">
        <f>(IF(Tabla4[[#This Row],[Familia]]="termico solar",Tabla4[[#This Row],[Utilidad Total]]*6%,Tabla4[[#This Row],[Utilidad Total]]*11.5%))/Tabla4[[#This Row],[Total]]</f>
        <v>#N/A</v>
      </c>
      <c r="V5742" s="282" t="e">
        <f>+Tabla4[[#This Row],[Comisión Calculada]]*Tabla4[[#This Row],[Total]]</f>
        <v>#N/A</v>
      </c>
    </row>
    <row r="5743" spans="1:22" hidden="1" x14ac:dyDescent="0.25">
      <c r="A5743" s="100">
        <v>45930</v>
      </c>
      <c r="B5743" t="str">
        <f t="shared" si="275"/>
        <v>September</v>
      </c>
      <c r="C5743" s="46" t="s">
        <v>280</v>
      </c>
      <c r="F5743" s="366" t="s">
        <v>2945</v>
      </c>
      <c r="G5743" s="46" t="s">
        <v>83</v>
      </c>
      <c r="H5743" s="46">
        <v>1</v>
      </c>
      <c r="I5743" s="51">
        <v>8858.76</v>
      </c>
      <c r="J5743" s="281">
        <f>++Tabla4[[#This Row],[Precio Bruto]]*1.16</f>
        <v>10276.161599999999</v>
      </c>
      <c r="K5743" s="281">
        <f>+Tabla4[[#This Row],[Precio Unitario Neto]]*Tabla4[[#Headers],[20.85%]]</f>
        <v>2142.5796935999997</v>
      </c>
      <c r="L5743" s="282">
        <f>++Tabla4[[#This Row],[Precio Unitario Neto]]-Tabla4[[#This Row],[20.85%]]</f>
        <v>8133.5819063999998</v>
      </c>
      <c r="M5743" s="282" t="e">
        <f>(INDEX(Tabla6[#All],MATCH(Tabla4[[#This Row],[Producto]],Tabla6[[#All],[PRODUCTO]],0),MATCH(Tabla4[[#This Row],[Mes]],Tabla6[#Headers],0)))*(1+Catalogos!$L$2)</f>
        <v>#N/A</v>
      </c>
      <c r="N5743" s="283" t="e">
        <f>+(Tabla4[[#This Row],[Precio Descontado]]-Tabla4[[#This Row],[Precio Base]])*Tabla4[[#This Row],[Cantidad]]</f>
        <v>#N/A</v>
      </c>
      <c r="O5743" s="284" t="e">
        <f>++Tabla4[[#This Row],[Utilidad Total]]/Tabla4[[#This Row],[Total]]</f>
        <v>#N/A</v>
      </c>
      <c r="P5743" s="282">
        <f>++Tabla4[[#This Row],[Precio Descontado]]*Tabla4[[#This Row],[Cantidad]]</f>
        <v>8133.5819063999998</v>
      </c>
      <c r="Q5743" s="282" t="e">
        <f>(INDEX(Tabla6[#All],MATCH(Tabla4[[#This Row],[Producto]],Tabla6[[#All],[PRODUCTO]],0),MATCH(Tabla4[[#This Row],[Mes]],Tabla6[#Headers],0)))</f>
        <v>#N/A</v>
      </c>
      <c r="R5743" s="282" t="e">
        <f>++Tabla4[[#This Row],[Precio Unitario Neto]]-Tabla4[[#This Row],[20.85%]]-Tabla4[[#This Row],[Costo]]</f>
        <v>#N/A</v>
      </c>
      <c r="S5743" s="282" t="e">
        <f>++Tabla4[[#This Row],[U. Bruta Uni]]*Tabla4[[#This Row],[Cantidad]]</f>
        <v>#N/A</v>
      </c>
      <c r="T5743" s="369" t="str">
        <f>VLOOKUP(Tabla4[[#This Row],[Producto]],Tabla6[#All],14,FALSE)</f>
        <v>Termico Solar</v>
      </c>
      <c r="U5743" s="284" t="e">
        <f>(IF(Tabla4[[#This Row],[Familia]]="termico solar",Tabla4[[#This Row],[Utilidad Total]]*6%,Tabla4[[#This Row],[Utilidad Total]]*11.5%))/Tabla4[[#This Row],[Total]]</f>
        <v>#N/A</v>
      </c>
      <c r="V5743" s="282" t="e">
        <f>+Tabla4[[#This Row],[Comisión Calculada]]*Tabla4[[#This Row],[Total]]</f>
        <v>#N/A</v>
      </c>
    </row>
    <row r="5744" spans="1:22" hidden="1" x14ac:dyDescent="0.25">
      <c r="A5744" s="100">
        <v>45930</v>
      </c>
      <c r="B5744" t="str">
        <f t="shared" si="275"/>
        <v>September</v>
      </c>
      <c r="C5744" s="46" t="s">
        <v>280</v>
      </c>
      <c r="F5744" s="366" t="s">
        <v>2945</v>
      </c>
      <c r="G5744" s="46" t="s">
        <v>17</v>
      </c>
      <c r="H5744" s="46">
        <v>2</v>
      </c>
      <c r="I5744" s="51">
        <v>4622.28</v>
      </c>
      <c r="J5744" s="281">
        <f>++Tabla4[[#This Row],[Precio Bruto]]*1.16</f>
        <v>5361.8447999999989</v>
      </c>
      <c r="K5744" s="281">
        <f>+Tabla4[[#This Row],[Precio Unitario Neto]]*Tabla4[[#Headers],[20.85%]]</f>
        <v>1117.9446407999997</v>
      </c>
      <c r="L5744" s="282">
        <f>++Tabla4[[#This Row],[Precio Unitario Neto]]-Tabla4[[#This Row],[20.85%]]</f>
        <v>4243.9001591999995</v>
      </c>
      <c r="M5744" s="282" t="e">
        <f>(INDEX(Tabla6[#All],MATCH(Tabla4[[#This Row],[Producto]],Tabla6[[#All],[PRODUCTO]],0),MATCH(Tabla4[[#This Row],[Mes]],Tabla6[#Headers],0)))*(1+Catalogos!$L$2)</f>
        <v>#N/A</v>
      </c>
      <c r="N5744" s="283" t="e">
        <f>+(Tabla4[[#This Row],[Precio Descontado]]-Tabla4[[#This Row],[Precio Base]])*Tabla4[[#This Row],[Cantidad]]</f>
        <v>#N/A</v>
      </c>
      <c r="O5744" s="284" t="e">
        <f>++Tabla4[[#This Row],[Utilidad Total]]/Tabla4[[#This Row],[Total]]</f>
        <v>#N/A</v>
      </c>
      <c r="P5744" s="282">
        <f>++Tabla4[[#This Row],[Precio Descontado]]*Tabla4[[#This Row],[Cantidad]]</f>
        <v>8487.800318399999</v>
      </c>
      <c r="Q5744" s="282" t="e">
        <f>(INDEX(Tabla6[#All],MATCH(Tabla4[[#This Row],[Producto]],Tabla6[[#All],[PRODUCTO]],0),MATCH(Tabla4[[#This Row],[Mes]],Tabla6[#Headers],0)))</f>
        <v>#N/A</v>
      </c>
      <c r="R5744" s="282" t="e">
        <f>++Tabla4[[#This Row],[Precio Unitario Neto]]-Tabla4[[#This Row],[20.85%]]-Tabla4[[#This Row],[Costo]]</f>
        <v>#N/A</v>
      </c>
      <c r="S5744" s="282" t="e">
        <f>++Tabla4[[#This Row],[U. Bruta Uni]]*Tabla4[[#This Row],[Cantidad]]</f>
        <v>#N/A</v>
      </c>
      <c r="T5744" s="369" t="str">
        <f>VLOOKUP(Tabla4[[#This Row],[Producto]],Tabla6[#All],14,FALSE)</f>
        <v>Termico Solar</v>
      </c>
      <c r="U5744" s="284" t="e">
        <f>(IF(Tabla4[[#This Row],[Familia]]="termico solar",Tabla4[[#This Row],[Utilidad Total]]*6%,Tabla4[[#This Row],[Utilidad Total]]*11.5%))/Tabla4[[#This Row],[Total]]</f>
        <v>#N/A</v>
      </c>
      <c r="V5744" s="282" t="e">
        <f>+Tabla4[[#This Row],[Comisión Calculada]]*Tabla4[[#This Row],[Total]]</f>
        <v>#N/A</v>
      </c>
    </row>
    <row r="5745" spans="1:22" hidden="1" x14ac:dyDescent="0.25">
      <c r="A5745" s="100">
        <v>45930</v>
      </c>
      <c r="B5745" t="str">
        <f t="shared" si="275"/>
        <v>September</v>
      </c>
      <c r="C5745" s="46" t="s">
        <v>280</v>
      </c>
      <c r="F5745" s="366" t="s">
        <v>2945</v>
      </c>
      <c r="G5745" s="46" t="s">
        <v>566</v>
      </c>
      <c r="H5745" s="46">
        <v>1</v>
      </c>
      <c r="I5745" s="51">
        <v>2109.4499999999998</v>
      </c>
      <c r="J5745" s="281">
        <f>++Tabla4[[#This Row],[Precio Bruto]]*1.16</f>
        <v>2446.9619999999995</v>
      </c>
      <c r="K5745" s="281">
        <f>+Tabla4[[#This Row],[Precio Unitario Neto]]*Tabla4[[#Headers],[20.85%]]</f>
        <v>510.19157699999988</v>
      </c>
      <c r="L5745" s="282">
        <f>++Tabla4[[#This Row],[Precio Unitario Neto]]-Tabla4[[#This Row],[20.85%]]</f>
        <v>1936.7704229999997</v>
      </c>
      <c r="M5745" s="282" t="e">
        <f>(INDEX(Tabla6[#All],MATCH(Tabla4[[#This Row],[Producto]],Tabla6[[#All],[PRODUCTO]],0),MATCH(Tabla4[[#This Row],[Mes]],Tabla6[#Headers],0)))*(1+Catalogos!$L$2)</f>
        <v>#N/A</v>
      </c>
      <c r="N5745" s="283" t="e">
        <f>+(Tabla4[[#This Row],[Precio Descontado]]-Tabla4[[#This Row],[Precio Base]])*Tabla4[[#This Row],[Cantidad]]</f>
        <v>#N/A</v>
      </c>
      <c r="O5745" s="284" t="e">
        <f>++Tabla4[[#This Row],[Utilidad Total]]/Tabla4[[#This Row],[Total]]</f>
        <v>#N/A</v>
      </c>
      <c r="P5745" s="282">
        <f>++Tabla4[[#This Row],[Precio Descontado]]*Tabla4[[#This Row],[Cantidad]]</f>
        <v>1936.7704229999997</v>
      </c>
      <c r="Q5745" s="282" t="e">
        <f>(INDEX(Tabla6[#All],MATCH(Tabla4[[#This Row],[Producto]],Tabla6[[#All],[PRODUCTO]],0),MATCH(Tabla4[[#This Row],[Mes]],Tabla6[#Headers],0)))</f>
        <v>#N/A</v>
      </c>
      <c r="R5745" s="282" t="e">
        <f>++Tabla4[[#This Row],[Precio Unitario Neto]]-Tabla4[[#This Row],[20.85%]]-Tabla4[[#This Row],[Costo]]</f>
        <v>#N/A</v>
      </c>
      <c r="S5745" s="282" t="e">
        <f>++Tabla4[[#This Row],[U. Bruta Uni]]*Tabla4[[#This Row],[Cantidad]]</f>
        <v>#N/A</v>
      </c>
      <c r="T5745" s="369" t="str">
        <f>VLOOKUP(Tabla4[[#This Row],[Producto]],Tabla6[#All],14,FALSE)</f>
        <v>Termico Solar</v>
      </c>
      <c r="U5745" s="284" t="e">
        <f>(IF(Tabla4[[#This Row],[Familia]]="termico solar",Tabla4[[#This Row],[Utilidad Total]]*6%,Tabla4[[#This Row],[Utilidad Total]]*11.5%))/Tabla4[[#This Row],[Total]]</f>
        <v>#N/A</v>
      </c>
      <c r="V5745" s="282" t="e">
        <f>+Tabla4[[#This Row],[Comisión Calculada]]*Tabla4[[#This Row],[Total]]</f>
        <v>#N/A</v>
      </c>
    </row>
    <row r="5746" spans="1:22" hidden="1" x14ac:dyDescent="0.25">
      <c r="A5746" s="100">
        <v>45930</v>
      </c>
      <c r="B5746" t="str">
        <f t="shared" ref="B5746:B5749" si="276">TEXT(A5746, "mmmm")</f>
        <v>September</v>
      </c>
      <c r="C5746" s="46" t="s">
        <v>280</v>
      </c>
      <c r="F5746" s="366" t="s">
        <v>2945</v>
      </c>
      <c r="G5746" s="46" t="s">
        <v>208</v>
      </c>
      <c r="H5746" s="46">
        <v>4</v>
      </c>
      <c r="I5746" s="51">
        <v>189.75</v>
      </c>
      <c r="J5746" s="281">
        <f>++Tabla4[[#This Row],[Precio Bruto]]*1.16</f>
        <v>220.10999999999999</v>
      </c>
      <c r="K5746" s="281">
        <f>+Tabla4[[#This Row],[Precio Unitario Neto]]*Tabla4[[#Headers],[20.85%]]</f>
        <v>45.892934999999994</v>
      </c>
      <c r="L5746" s="282">
        <f>++Tabla4[[#This Row],[Precio Unitario Neto]]-Tabla4[[#This Row],[20.85%]]</f>
        <v>174.21706499999999</v>
      </c>
      <c r="M5746" s="282" t="e">
        <f>(INDEX(Tabla6[#All],MATCH(Tabla4[[#This Row],[Producto]],Tabla6[[#All],[PRODUCTO]],0),MATCH(Tabla4[[#This Row],[Mes]],Tabla6[#Headers],0)))*(1+Catalogos!$L$2)</f>
        <v>#N/A</v>
      </c>
      <c r="N5746" s="283" t="e">
        <f>+(Tabla4[[#This Row],[Precio Descontado]]-Tabla4[[#This Row],[Precio Base]])*Tabla4[[#This Row],[Cantidad]]</f>
        <v>#N/A</v>
      </c>
      <c r="O5746" s="284" t="e">
        <f>++Tabla4[[#This Row],[Utilidad Total]]/Tabla4[[#This Row],[Total]]</f>
        <v>#N/A</v>
      </c>
      <c r="P5746" s="282">
        <f>++Tabla4[[#This Row],[Precio Descontado]]*Tabla4[[#This Row],[Cantidad]]</f>
        <v>696.86825999999996</v>
      </c>
      <c r="Q5746" s="282" t="e">
        <f>(INDEX(Tabla6[#All],MATCH(Tabla4[[#This Row],[Producto]],Tabla6[[#All],[PRODUCTO]],0),MATCH(Tabla4[[#This Row],[Mes]],Tabla6[#Headers],0)))</f>
        <v>#N/A</v>
      </c>
      <c r="R5746" s="282" t="e">
        <f>++Tabla4[[#This Row],[Precio Unitario Neto]]-Tabla4[[#This Row],[20.85%]]-Tabla4[[#This Row],[Costo]]</f>
        <v>#N/A</v>
      </c>
      <c r="S5746" s="282" t="e">
        <f>++Tabla4[[#This Row],[U. Bruta Uni]]*Tabla4[[#This Row],[Cantidad]]</f>
        <v>#N/A</v>
      </c>
      <c r="T5746" s="369" t="str">
        <f>VLOOKUP(Tabla4[[#This Row],[Producto]],Tabla6[#All],14,FALSE)</f>
        <v>Termico Solar</v>
      </c>
      <c r="U5746" s="284" t="e">
        <f>(IF(Tabla4[[#This Row],[Familia]]="termico solar",Tabla4[[#This Row],[Utilidad Total]]*6%,Tabla4[[#This Row],[Utilidad Total]]*11.5%))/Tabla4[[#This Row],[Total]]</f>
        <v>#N/A</v>
      </c>
      <c r="V5746" s="282" t="e">
        <f>+Tabla4[[#This Row],[Comisión Calculada]]*Tabla4[[#This Row],[Total]]</f>
        <v>#N/A</v>
      </c>
    </row>
    <row r="5747" spans="1:22" hidden="1" x14ac:dyDescent="0.25">
      <c r="A5747" s="100">
        <v>45930</v>
      </c>
      <c r="B5747" t="str">
        <f t="shared" si="276"/>
        <v>September</v>
      </c>
      <c r="C5747" s="46" t="s">
        <v>280</v>
      </c>
      <c r="F5747" s="366" t="s">
        <v>2946</v>
      </c>
      <c r="G5747" s="46" t="s">
        <v>17</v>
      </c>
      <c r="H5747" s="46">
        <v>1</v>
      </c>
      <c r="I5747" s="51">
        <v>4622.28</v>
      </c>
      <c r="J5747" s="281">
        <f>++Tabla4[[#This Row],[Precio Bruto]]*1.16</f>
        <v>5361.8447999999989</v>
      </c>
      <c r="K5747" s="281">
        <f>+Tabla4[[#This Row],[Precio Unitario Neto]]*Tabla4[[#Headers],[20.85%]]</f>
        <v>1117.9446407999997</v>
      </c>
      <c r="L5747" s="282">
        <f>++Tabla4[[#This Row],[Precio Unitario Neto]]-Tabla4[[#This Row],[20.85%]]</f>
        <v>4243.9001591999995</v>
      </c>
      <c r="M5747" s="282" t="e">
        <f>(INDEX(Tabla6[#All],MATCH(Tabla4[[#This Row],[Producto]],Tabla6[[#All],[PRODUCTO]],0),MATCH(Tabla4[[#This Row],[Mes]],Tabla6[#Headers],0)))*(1+Catalogos!$L$2)</f>
        <v>#N/A</v>
      </c>
      <c r="N5747" s="283" t="e">
        <f>+(Tabla4[[#This Row],[Precio Descontado]]-Tabla4[[#This Row],[Precio Base]])*Tabla4[[#This Row],[Cantidad]]</f>
        <v>#N/A</v>
      </c>
      <c r="O5747" s="284" t="e">
        <f>++Tabla4[[#This Row],[Utilidad Total]]/Tabla4[[#This Row],[Total]]</f>
        <v>#N/A</v>
      </c>
      <c r="P5747" s="282">
        <f>++Tabla4[[#This Row],[Precio Descontado]]*Tabla4[[#This Row],[Cantidad]]</f>
        <v>4243.9001591999995</v>
      </c>
      <c r="Q5747" s="282" t="e">
        <f>(INDEX(Tabla6[#All],MATCH(Tabla4[[#This Row],[Producto]],Tabla6[[#All],[PRODUCTO]],0),MATCH(Tabla4[[#This Row],[Mes]],Tabla6[#Headers],0)))</f>
        <v>#N/A</v>
      </c>
      <c r="R5747" s="282" t="e">
        <f>++Tabla4[[#This Row],[Precio Unitario Neto]]-Tabla4[[#This Row],[20.85%]]-Tabla4[[#This Row],[Costo]]</f>
        <v>#N/A</v>
      </c>
      <c r="S5747" s="282" t="e">
        <f>++Tabla4[[#This Row],[U. Bruta Uni]]*Tabla4[[#This Row],[Cantidad]]</f>
        <v>#N/A</v>
      </c>
      <c r="T5747" s="369" t="str">
        <f>VLOOKUP(Tabla4[[#This Row],[Producto]],Tabla6[#All],14,FALSE)</f>
        <v>Termico Solar</v>
      </c>
      <c r="U5747" s="284" t="e">
        <f>(IF(Tabla4[[#This Row],[Familia]]="termico solar",Tabla4[[#This Row],[Utilidad Total]]*6%,Tabla4[[#This Row],[Utilidad Total]]*11.5%))/Tabla4[[#This Row],[Total]]</f>
        <v>#N/A</v>
      </c>
      <c r="V5747" s="282" t="e">
        <f>+Tabla4[[#This Row],[Comisión Calculada]]*Tabla4[[#This Row],[Total]]</f>
        <v>#N/A</v>
      </c>
    </row>
    <row r="5748" spans="1:22" hidden="1" x14ac:dyDescent="0.25">
      <c r="A5748" s="100">
        <v>45930</v>
      </c>
      <c r="B5748" t="str">
        <f t="shared" si="276"/>
        <v>September</v>
      </c>
      <c r="C5748" s="46" t="s">
        <v>280</v>
      </c>
      <c r="F5748" s="366" t="s">
        <v>2946</v>
      </c>
      <c r="G5748" s="46" t="s">
        <v>18</v>
      </c>
      <c r="H5748" s="46">
        <v>2</v>
      </c>
      <c r="I5748" s="51">
        <v>5367.65</v>
      </c>
      <c r="J5748" s="281">
        <f>++Tabla4[[#This Row],[Precio Bruto]]*1.16</f>
        <v>6226.4739999999993</v>
      </c>
      <c r="K5748" s="281">
        <f>+Tabla4[[#This Row],[Precio Unitario Neto]]*Tabla4[[#Headers],[20.85%]]</f>
        <v>1298.2198289999999</v>
      </c>
      <c r="L5748" s="282">
        <f>++Tabla4[[#This Row],[Precio Unitario Neto]]-Tabla4[[#This Row],[20.85%]]</f>
        <v>4928.2541709999996</v>
      </c>
      <c r="M5748" s="282" t="e">
        <f>(INDEX(Tabla6[#All],MATCH(Tabla4[[#This Row],[Producto]],Tabla6[[#All],[PRODUCTO]],0),MATCH(Tabla4[[#This Row],[Mes]],Tabla6[#Headers],0)))*(1+Catalogos!$L$2)</f>
        <v>#N/A</v>
      </c>
      <c r="N5748" s="283" t="e">
        <f>+(Tabla4[[#This Row],[Precio Descontado]]-Tabla4[[#This Row],[Precio Base]])*Tabla4[[#This Row],[Cantidad]]</f>
        <v>#N/A</v>
      </c>
      <c r="O5748" s="284" t="e">
        <f>++Tabla4[[#This Row],[Utilidad Total]]/Tabla4[[#This Row],[Total]]</f>
        <v>#N/A</v>
      </c>
      <c r="P5748" s="282">
        <f>++Tabla4[[#This Row],[Precio Descontado]]*Tabla4[[#This Row],[Cantidad]]</f>
        <v>9856.5083419999992</v>
      </c>
      <c r="Q5748" s="282" t="e">
        <f>(INDEX(Tabla6[#All],MATCH(Tabla4[[#This Row],[Producto]],Tabla6[[#All],[PRODUCTO]],0),MATCH(Tabla4[[#This Row],[Mes]],Tabla6[#Headers],0)))</f>
        <v>#N/A</v>
      </c>
      <c r="R5748" s="282" t="e">
        <f>++Tabla4[[#This Row],[Precio Unitario Neto]]-Tabla4[[#This Row],[20.85%]]-Tabla4[[#This Row],[Costo]]</f>
        <v>#N/A</v>
      </c>
      <c r="S5748" s="282" t="e">
        <f>++Tabla4[[#This Row],[U. Bruta Uni]]*Tabla4[[#This Row],[Cantidad]]</f>
        <v>#N/A</v>
      </c>
      <c r="T5748" s="369" t="str">
        <f>VLOOKUP(Tabla4[[#This Row],[Producto]],Tabla6[#All],14,FALSE)</f>
        <v>Termico Solar</v>
      </c>
      <c r="U5748" s="284" t="e">
        <f>(IF(Tabla4[[#This Row],[Familia]]="termico solar",Tabla4[[#This Row],[Utilidad Total]]*6%,Tabla4[[#This Row],[Utilidad Total]]*11.5%))/Tabla4[[#This Row],[Total]]</f>
        <v>#N/A</v>
      </c>
      <c r="V5748" s="282" t="e">
        <f>+Tabla4[[#This Row],[Comisión Calculada]]*Tabla4[[#This Row],[Total]]</f>
        <v>#N/A</v>
      </c>
    </row>
    <row r="5749" spans="1:22" hidden="1" x14ac:dyDescent="0.25">
      <c r="A5749" s="100">
        <v>45930</v>
      </c>
      <c r="B5749" t="str">
        <f t="shared" si="276"/>
        <v>September</v>
      </c>
      <c r="C5749" s="46" t="s">
        <v>280</v>
      </c>
      <c r="F5749" s="366" t="s">
        <v>2946</v>
      </c>
      <c r="G5749" s="46" t="s">
        <v>566</v>
      </c>
      <c r="H5749" s="46">
        <v>1</v>
      </c>
      <c r="I5749" s="51">
        <v>2109.4499999999998</v>
      </c>
      <c r="J5749" s="281">
        <f>++Tabla4[[#This Row],[Precio Bruto]]*1.16</f>
        <v>2446.9619999999995</v>
      </c>
      <c r="K5749" s="281">
        <f>+Tabla4[[#This Row],[Precio Unitario Neto]]*Tabla4[[#Headers],[20.85%]]</f>
        <v>510.19157699999988</v>
      </c>
      <c r="L5749" s="282">
        <f>++Tabla4[[#This Row],[Precio Unitario Neto]]-Tabla4[[#This Row],[20.85%]]</f>
        <v>1936.7704229999997</v>
      </c>
      <c r="M5749" s="282" t="e">
        <f>(INDEX(Tabla6[#All],MATCH(Tabla4[[#This Row],[Producto]],Tabla6[[#All],[PRODUCTO]],0),MATCH(Tabla4[[#This Row],[Mes]],Tabla6[#Headers],0)))*(1+Catalogos!$L$2)</f>
        <v>#N/A</v>
      </c>
      <c r="N5749" s="283" t="e">
        <f>+(Tabla4[[#This Row],[Precio Descontado]]-Tabla4[[#This Row],[Precio Base]])*Tabla4[[#This Row],[Cantidad]]</f>
        <v>#N/A</v>
      </c>
      <c r="O5749" s="284" t="e">
        <f>++Tabla4[[#This Row],[Utilidad Total]]/Tabla4[[#This Row],[Total]]</f>
        <v>#N/A</v>
      </c>
      <c r="P5749" s="282">
        <f>++Tabla4[[#This Row],[Precio Descontado]]*Tabla4[[#This Row],[Cantidad]]</f>
        <v>1936.7704229999997</v>
      </c>
      <c r="Q5749" s="282" t="e">
        <f>(INDEX(Tabla6[#All],MATCH(Tabla4[[#This Row],[Producto]],Tabla6[[#All],[PRODUCTO]],0),MATCH(Tabla4[[#This Row],[Mes]],Tabla6[#Headers],0)))</f>
        <v>#N/A</v>
      </c>
      <c r="R5749" s="282" t="e">
        <f>++Tabla4[[#This Row],[Precio Unitario Neto]]-Tabla4[[#This Row],[20.85%]]-Tabla4[[#This Row],[Costo]]</f>
        <v>#N/A</v>
      </c>
      <c r="S5749" s="282" t="e">
        <f>++Tabla4[[#This Row],[U. Bruta Uni]]*Tabla4[[#This Row],[Cantidad]]</f>
        <v>#N/A</v>
      </c>
      <c r="T5749" s="369" t="str">
        <f>VLOOKUP(Tabla4[[#This Row],[Producto]],Tabla6[#All],14,FALSE)</f>
        <v>Termico Solar</v>
      </c>
      <c r="U5749" s="284" t="e">
        <f>(IF(Tabla4[[#This Row],[Familia]]="termico solar",Tabla4[[#This Row],[Utilidad Total]]*6%,Tabla4[[#This Row],[Utilidad Total]]*11.5%))/Tabla4[[#This Row],[Total]]</f>
        <v>#N/A</v>
      </c>
      <c r="V5749" s="282" t="e">
        <f>+Tabla4[[#This Row],[Comisión Calculada]]*Tabla4[[#This Row],[Total]]</f>
        <v>#N/A</v>
      </c>
    </row>
    <row r="5750" spans="1:22" hidden="1" x14ac:dyDescent="0.25">
      <c r="A5750" s="100">
        <v>45930</v>
      </c>
      <c r="B5750" t="str">
        <f t="shared" ref="B5750:B5759" si="277">TEXT(A5750, "mmmm")</f>
        <v>September</v>
      </c>
      <c r="C5750" s="46" t="s">
        <v>280</v>
      </c>
      <c r="F5750" s="366" t="s">
        <v>2947</v>
      </c>
      <c r="G5750" s="46" t="s">
        <v>208</v>
      </c>
      <c r="H5750" s="46">
        <v>1</v>
      </c>
      <c r="I5750" s="51">
        <v>189.75</v>
      </c>
      <c r="J5750" s="281">
        <f>++Tabla4[[#This Row],[Precio Bruto]]*1.16</f>
        <v>220.10999999999999</v>
      </c>
      <c r="K5750" s="281">
        <f>+Tabla4[[#This Row],[Precio Unitario Neto]]*Tabla4[[#Headers],[20.85%]]</f>
        <v>45.892934999999994</v>
      </c>
      <c r="L5750" s="282">
        <f>++Tabla4[[#This Row],[Precio Unitario Neto]]-Tabla4[[#This Row],[20.85%]]</f>
        <v>174.21706499999999</v>
      </c>
      <c r="M5750" s="282" t="e">
        <f>(INDEX(Tabla6[#All],MATCH(Tabla4[[#This Row],[Producto]],Tabla6[[#All],[PRODUCTO]],0),MATCH(Tabla4[[#This Row],[Mes]],Tabla6[#Headers],0)))*(1+Catalogos!$L$2)</f>
        <v>#N/A</v>
      </c>
      <c r="N5750" s="283" t="e">
        <f>+(Tabla4[[#This Row],[Precio Descontado]]-Tabla4[[#This Row],[Precio Base]])*Tabla4[[#This Row],[Cantidad]]</f>
        <v>#N/A</v>
      </c>
      <c r="O5750" s="284" t="e">
        <f>++Tabla4[[#This Row],[Utilidad Total]]/Tabla4[[#This Row],[Total]]</f>
        <v>#N/A</v>
      </c>
      <c r="P5750" s="282">
        <f>++Tabla4[[#This Row],[Precio Descontado]]*Tabla4[[#This Row],[Cantidad]]</f>
        <v>174.21706499999999</v>
      </c>
      <c r="Q5750" s="282" t="e">
        <f>(INDEX(Tabla6[#All],MATCH(Tabla4[[#This Row],[Producto]],Tabla6[[#All],[PRODUCTO]],0),MATCH(Tabla4[[#This Row],[Mes]],Tabla6[#Headers],0)))</f>
        <v>#N/A</v>
      </c>
      <c r="R5750" s="282" t="e">
        <f>++Tabla4[[#This Row],[Precio Unitario Neto]]-Tabla4[[#This Row],[20.85%]]-Tabla4[[#This Row],[Costo]]</f>
        <v>#N/A</v>
      </c>
      <c r="S5750" s="282" t="e">
        <f>++Tabla4[[#This Row],[U. Bruta Uni]]*Tabla4[[#This Row],[Cantidad]]</f>
        <v>#N/A</v>
      </c>
      <c r="T5750" s="369" t="str">
        <f>VLOOKUP(Tabla4[[#This Row],[Producto]],Tabla6[#All],14,FALSE)</f>
        <v>Termico Solar</v>
      </c>
      <c r="U5750" s="284" t="e">
        <f>(IF(Tabla4[[#This Row],[Familia]]="termico solar",Tabla4[[#This Row],[Utilidad Total]]*6%,Tabla4[[#This Row],[Utilidad Total]]*11.5%))/Tabla4[[#This Row],[Total]]</f>
        <v>#N/A</v>
      </c>
      <c r="V5750" s="282" t="e">
        <f>+Tabla4[[#This Row],[Comisión Calculada]]*Tabla4[[#This Row],[Total]]</f>
        <v>#N/A</v>
      </c>
    </row>
    <row r="5751" spans="1:22" hidden="1" x14ac:dyDescent="0.25">
      <c r="A5751" s="100">
        <v>45930</v>
      </c>
      <c r="B5751" t="str">
        <f t="shared" si="277"/>
        <v>September</v>
      </c>
      <c r="C5751" s="46" t="s">
        <v>280</v>
      </c>
      <c r="F5751" s="366" t="s">
        <v>2948</v>
      </c>
      <c r="G5751" s="46" t="s">
        <v>208</v>
      </c>
      <c r="H5751" s="46">
        <v>1</v>
      </c>
      <c r="I5751" s="51">
        <v>189.75</v>
      </c>
      <c r="J5751" s="281">
        <f>++Tabla4[[#This Row],[Precio Bruto]]*1.16</f>
        <v>220.10999999999999</v>
      </c>
      <c r="K5751" s="281">
        <f>+Tabla4[[#This Row],[Precio Unitario Neto]]*Tabla4[[#Headers],[20.85%]]</f>
        <v>45.892934999999994</v>
      </c>
      <c r="L5751" s="282">
        <f>++Tabla4[[#This Row],[Precio Unitario Neto]]-Tabla4[[#This Row],[20.85%]]</f>
        <v>174.21706499999999</v>
      </c>
      <c r="M5751" s="282" t="e">
        <f>(INDEX(Tabla6[#All],MATCH(Tabla4[[#This Row],[Producto]],Tabla6[[#All],[PRODUCTO]],0),MATCH(Tabla4[[#This Row],[Mes]],Tabla6[#Headers],0)))*(1+Catalogos!$L$2)</f>
        <v>#N/A</v>
      </c>
      <c r="N5751" s="283" t="e">
        <f>+(Tabla4[[#This Row],[Precio Descontado]]-Tabla4[[#This Row],[Precio Base]])*Tabla4[[#This Row],[Cantidad]]</f>
        <v>#N/A</v>
      </c>
      <c r="O5751" s="284" t="e">
        <f>++Tabla4[[#This Row],[Utilidad Total]]/Tabla4[[#This Row],[Total]]</f>
        <v>#N/A</v>
      </c>
      <c r="P5751" s="282">
        <f>++Tabla4[[#This Row],[Precio Descontado]]*Tabla4[[#This Row],[Cantidad]]</f>
        <v>174.21706499999999</v>
      </c>
      <c r="Q5751" s="282" t="e">
        <f>(INDEX(Tabla6[#All],MATCH(Tabla4[[#This Row],[Producto]],Tabla6[[#All],[PRODUCTO]],0),MATCH(Tabla4[[#This Row],[Mes]],Tabla6[#Headers],0)))</f>
        <v>#N/A</v>
      </c>
      <c r="R5751" s="282" t="e">
        <f>++Tabla4[[#This Row],[Precio Unitario Neto]]-Tabla4[[#This Row],[20.85%]]-Tabla4[[#This Row],[Costo]]</f>
        <v>#N/A</v>
      </c>
      <c r="S5751" s="282" t="e">
        <f>++Tabla4[[#This Row],[U. Bruta Uni]]*Tabla4[[#This Row],[Cantidad]]</f>
        <v>#N/A</v>
      </c>
      <c r="T5751" s="369" t="str">
        <f>VLOOKUP(Tabla4[[#This Row],[Producto]],Tabla6[#All],14,FALSE)</f>
        <v>Termico Solar</v>
      </c>
      <c r="U5751" s="284" t="e">
        <f>(IF(Tabla4[[#This Row],[Familia]]="termico solar",Tabla4[[#This Row],[Utilidad Total]]*6%,Tabla4[[#This Row],[Utilidad Total]]*11.5%))/Tabla4[[#This Row],[Total]]</f>
        <v>#N/A</v>
      </c>
      <c r="V5751" s="282" t="e">
        <f>+Tabla4[[#This Row],[Comisión Calculada]]*Tabla4[[#This Row],[Total]]</f>
        <v>#N/A</v>
      </c>
    </row>
    <row r="5752" spans="1:22" hidden="1" x14ac:dyDescent="0.25">
      <c r="A5752" s="100">
        <v>45930</v>
      </c>
      <c r="B5752" t="str">
        <f t="shared" si="277"/>
        <v>September</v>
      </c>
      <c r="C5752" s="46" t="s">
        <v>280</v>
      </c>
      <c r="F5752" s="366" t="s">
        <v>2949</v>
      </c>
      <c r="G5752" s="46" t="s">
        <v>83</v>
      </c>
      <c r="H5752" s="46">
        <v>1</v>
      </c>
      <c r="I5752" s="51">
        <v>8858.76</v>
      </c>
      <c r="J5752" s="281">
        <f>++Tabla4[[#This Row],[Precio Bruto]]*1.16</f>
        <v>10276.161599999999</v>
      </c>
      <c r="K5752" s="281">
        <f>+Tabla4[[#This Row],[Precio Unitario Neto]]*Tabla4[[#Headers],[20.85%]]</f>
        <v>2142.5796935999997</v>
      </c>
      <c r="L5752" s="282">
        <f>++Tabla4[[#This Row],[Precio Unitario Neto]]-Tabla4[[#This Row],[20.85%]]</f>
        <v>8133.5819063999998</v>
      </c>
      <c r="M5752" s="282" t="e">
        <f>(INDEX(Tabla6[#All],MATCH(Tabla4[[#This Row],[Producto]],Tabla6[[#All],[PRODUCTO]],0),MATCH(Tabla4[[#This Row],[Mes]],Tabla6[#Headers],0)))*(1+Catalogos!$L$2)</f>
        <v>#N/A</v>
      </c>
      <c r="N5752" s="283" t="e">
        <f>+(Tabla4[[#This Row],[Precio Descontado]]-Tabla4[[#This Row],[Precio Base]])*Tabla4[[#This Row],[Cantidad]]</f>
        <v>#N/A</v>
      </c>
      <c r="O5752" s="284" t="e">
        <f>++Tabla4[[#This Row],[Utilidad Total]]/Tabla4[[#This Row],[Total]]</f>
        <v>#N/A</v>
      </c>
      <c r="P5752" s="282">
        <f>++Tabla4[[#This Row],[Precio Descontado]]*Tabla4[[#This Row],[Cantidad]]</f>
        <v>8133.5819063999998</v>
      </c>
      <c r="Q5752" s="282" t="e">
        <f>(INDEX(Tabla6[#All],MATCH(Tabla4[[#This Row],[Producto]],Tabla6[[#All],[PRODUCTO]],0),MATCH(Tabla4[[#This Row],[Mes]],Tabla6[#Headers],0)))</f>
        <v>#N/A</v>
      </c>
      <c r="R5752" s="282" t="e">
        <f>++Tabla4[[#This Row],[Precio Unitario Neto]]-Tabla4[[#This Row],[20.85%]]-Tabla4[[#This Row],[Costo]]</f>
        <v>#N/A</v>
      </c>
      <c r="S5752" s="282" t="e">
        <f>++Tabla4[[#This Row],[U. Bruta Uni]]*Tabla4[[#This Row],[Cantidad]]</f>
        <v>#N/A</v>
      </c>
      <c r="T5752" s="369" t="str">
        <f>VLOOKUP(Tabla4[[#This Row],[Producto]],Tabla6[#All],14,FALSE)</f>
        <v>Termico Solar</v>
      </c>
      <c r="U5752" s="284" t="e">
        <f>(IF(Tabla4[[#This Row],[Familia]]="termico solar",Tabla4[[#This Row],[Utilidad Total]]*6%,Tabla4[[#This Row],[Utilidad Total]]*11.5%))/Tabla4[[#This Row],[Total]]</f>
        <v>#N/A</v>
      </c>
      <c r="V5752" s="282" t="e">
        <f>+Tabla4[[#This Row],[Comisión Calculada]]*Tabla4[[#This Row],[Total]]</f>
        <v>#N/A</v>
      </c>
    </row>
    <row r="5753" spans="1:22" hidden="1" x14ac:dyDescent="0.25">
      <c r="A5753" s="100">
        <v>45930</v>
      </c>
      <c r="B5753" t="str">
        <f t="shared" si="277"/>
        <v>September</v>
      </c>
      <c r="C5753" s="46" t="s">
        <v>280</v>
      </c>
      <c r="F5753" s="366" t="s">
        <v>2950</v>
      </c>
      <c r="G5753" s="46" t="s">
        <v>83</v>
      </c>
      <c r="H5753" s="46">
        <v>2</v>
      </c>
      <c r="I5753" s="51">
        <v>8858.76</v>
      </c>
      <c r="J5753" s="281">
        <f>++Tabla4[[#This Row],[Precio Bruto]]*1.16</f>
        <v>10276.161599999999</v>
      </c>
      <c r="K5753" s="281">
        <f>+Tabla4[[#This Row],[Precio Unitario Neto]]*Tabla4[[#Headers],[20.85%]]</f>
        <v>2142.5796935999997</v>
      </c>
      <c r="L5753" s="282">
        <f>++Tabla4[[#This Row],[Precio Unitario Neto]]-Tabla4[[#This Row],[20.85%]]</f>
        <v>8133.5819063999998</v>
      </c>
      <c r="M5753" s="282" t="e">
        <f>(INDEX(Tabla6[#All],MATCH(Tabla4[[#This Row],[Producto]],Tabla6[[#All],[PRODUCTO]],0),MATCH(Tabla4[[#This Row],[Mes]],Tabla6[#Headers],0)))*(1+Catalogos!$L$2)</f>
        <v>#N/A</v>
      </c>
      <c r="N5753" s="283" t="e">
        <f>+(Tabla4[[#This Row],[Precio Descontado]]-Tabla4[[#This Row],[Precio Base]])*Tabla4[[#This Row],[Cantidad]]</f>
        <v>#N/A</v>
      </c>
      <c r="O5753" s="284" t="e">
        <f>++Tabla4[[#This Row],[Utilidad Total]]/Tabla4[[#This Row],[Total]]</f>
        <v>#N/A</v>
      </c>
      <c r="P5753" s="282">
        <f>++Tabla4[[#This Row],[Precio Descontado]]*Tabla4[[#This Row],[Cantidad]]</f>
        <v>16267.1638128</v>
      </c>
      <c r="Q5753" s="282" t="e">
        <f>(INDEX(Tabla6[#All],MATCH(Tabla4[[#This Row],[Producto]],Tabla6[[#All],[PRODUCTO]],0),MATCH(Tabla4[[#This Row],[Mes]],Tabla6[#Headers],0)))</f>
        <v>#N/A</v>
      </c>
      <c r="R5753" s="282" t="e">
        <f>++Tabla4[[#This Row],[Precio Unitario Neto]]-Tabla4[[#This Row],[20.85%]]-Tabla4[[#This Row],[Costo]]</f>
        <v>#N/A</v>
      </c>
      <c r="S5753" s="282" t="e">
        <f>++Tabla4[[#This Row],[U. Bruta Uni]]*Tabla4[[#This Row],[Cantidad]]</f>
        <v>#N/A</v>
      </c>
      <c r="T5753" s="369" t="str">
        <f>VLOOKUP(Tabla4[[#This Row],[Producto]],Tabla6[#All],14,FALSE)</f>
        <v>Termico Solar</v>
      </c>
      <c r="U5753" s="284" t="e">
        <f>(IF(Tabla4[[#This Row],[Familia]]="termico solar",Tabla4[[#This Row],[Utilidad Total]]*6%,Tabla4[[#This Row],[Utilidad Total]]*11.5%))/Tabla4[[#This Row],[Total]]</f>
        <v>#N/A</v>
      </c>
      <c r="V5753" s="282" t="e">
        <f>+Tabla4[[#This Row],[Comisión Calculada]]*Tabla4[[#This Row],[Total]]</f>
        <v>#N/A</v>
      </c>
    </row>
    <row r="5754" spans="1:22" hidden="1" x14ac:dyDescent="0.25">
      <c r="A5754" s="100">
        <v>45930</v>
      </c>
      <c r="B5754" t="str">
        <f t="shared" si="277"/>
        <v>September</v>
      </c>
      <c r="C5754" s="46" t="s">
        <v>280</v>
      </c>
      <c r="F5754" s="366" t="s">
        <v>2951</v>
      </c>
      <c r="G5754" s="46" t="s">
        <v>208</v>
      </c>
      <c r="H5754" s="46">
        <v>1</v>
      </c>
      <c r="I5754" s="51">
        <v>189.75</v>
      </c>
      <c r="J5754" s="281">
        <f>++Tabla4[[#This Row],[Precio Bruto]]*1.16</f>
        <v>220.10999999999999</v>
      </c>
      <c r="K5754" s="281">
        <f>+Tabla4[[#This Row],[Precio Unitario Neto]]*Tabla4[[#Headers],[20.85%]]</f>
        <v>45.892934999999994</v>
      </c>
      <c r="L5754" s="282">
        <f>++Tabla4[[#This Row],[Precio Unitario Neto]]-Tabla4[[#This Row],[20.85%]]</f>
        <v>174.21706499999999</v>
      </c>
      <c r="M5754" s="282" t="e">
        <f>(INDEX(Tabla6[#All],MATCH(Tabla4[[#This Row],[Producto]],Tabla6[[#All],[PRODUCTO]],0),MATCH(Tabla4[[#This Row],[Mes]],Tabla6[#Headers],0)))*(1+Catalogos!$L$2)</f>
        <v>#N/A</v>
      </c>
      <c r="N5754" s="283" t="e">
        <f>+(Tabla4[[#This Row],[Precio Descontado]]-Tabla4[[#This Row],[Precio Base]])*Tabla4[[#This Row],[Cantidad]]</f>
        <v>#N/A</v>
      </c>
      <c r="O5754" s="284" t="e">
        <f>++Tabla4[[#This Row],[Utilidad Total]]/Tabla4[[#This Row],[Total]]</f>
        <v>#N/A</v>
      </c>
      <c r="P5754" s="282">
        <f>++Tabla4[[#This Row],[Precio Descontado]]*Tabla4[[#This Row],[Cantidad]]</f>
        <v>174.21706499999999</v>
      </c>
      <c r="Q5754" s="282" t="e">
        <f>(INDEX(Tabla6[#All],MATCH(Tabla4[[#This Row],[Producto]],Tabla6[[#All],[PRODUCTO]],0),MATCH(Tabla4[[#This Row],[Mes]],Tabla6[#Headers],0)))</f>
        <v>#N/A</v>
      </c>
      <c r="R5754" s="282" t="e">
        <f>++Tabla4[[#This Row],[Precio Unitario Neto]]-Tabla4[[#This Row],[20.85%]]-Tabla4[[#This Row],[Costo]]</f>
        <v>#N/A</v>
      </c>
      <c r="S5754" s="282" t="e">
        <f>++Tabla4[[#This Row],[U. Bruta Uni]]*Tabla4[[#This Row],[Cantidad]]</f>
        <v>#N/A</v>
      </c>
      <c r="T5754" s="369" t="str">
        <f>VLOOKUP(Tabla4[[#This Row],[Producto]],Tabla6[#All],14,FALSE)</f>
        <v>Termico Solar</v>
      </c>
      <c r="U5754" s="284" t="e">
        <f>(IF(Tabla4[[#This Row],[Familia]]="termico solar",Tabla4[[#This Row],[Utilidad Total]]*6%,Tabla4[[#This Row],[Utilidad Total]]*11.5%))/Tabla4[[#This Row],[Total]]</f>
        <v>#N/A</v>
      </c>
      <c r="V5754" s="282" t="e">
        <f>+Tabla4[[#This Row],[Comisión Calculada]]*Tabla4[[#This Row],[Total]]</f>
        <v>#N/A</v>
      </c>
    </row>
    <row r="5755" spans="1:22" hidden="1" x14ac:dyDescent="0.25">
      <c r="A5755" s="100">
        <v>45930</v>
      </c>
      <c r="B5755" t="str">
        <f t="shared" si="277"/>
        <v>September</v>
      </c>
      <c r="C5755" s="46" t="s">
        <v>280</v>
      </c>
      <c r="F5755" s="366" t="s">
        <v>2952</v>
      </c>
      <c r="G5755" s="46" t="s">
        <v>208</v>
      </c>
      <c r="H5755" s="46">
        <v>1</v>
      </c>
      <c r="I5755" s="51">
        <v>189.75</v>
      </c>
      <c r="J5755" s="281">
        <f>++Tabla4[[#This Row],[Precio Bruto]]*1.16</f>
        <v>220.10999999999999</v>
      </c>
      <c r="K5755" s="281">
        <f>+Tabla4[[#This Row],[Precio Unitario Neto]]*Tabla4[[#Headers],[20.85%]]</f>
        <v>45.892934999999994</v>
      </c>
      <c r="L5755" s="282">
        <f>++Tabla4[[#This Row],[Precio Unitario Neto]]-Tabla4[[#This Row],[20.85%]]</f>
        <v>174.21706499999999</v>
      </c>
      <c r="M5755" s="282" t="e">
        <f>(INDEX(Tabla6[#All],MATCH(Tabla4[[#This Row],[Producto]],Tabla6[[#All],[PRODUCTO]],0),MATCH(Tabla4[[#This Row],[Mes]],Tabla6[#Headers],0)))*(1+Catalogos!$L$2)</f>
        <v>#N/A</v>
      </c>
      <c r="N5755" s="283" t="e">
        <f>+(Tabla4[[#This Row],[Precio Descontado]]-Tabla4[[#This Row],[Precio Base]])*Tabla4[[#This Row],[Cantidad]]</f>
        <v>#N/A</v>
      </c>
      <c r="O5755" s="284" t="e">
        <f>++Tabla4[[#This Row],[Utilidad Total]]/Tabla4[[#This Row],[Total]]</f>
        <v>#N/A</v>
      </c>
      <c r="P5755" s="282">
        <f>++Tabla4[[#This Row],[Precio Descontado]]*Tabla4[[#This Row],[Cantidad]]</f>
        <v>174.21706499999999</v>
      </c>
      <c r="Q5755" s="282" t="e">
        <f>(INDEX(Tabla6[#All],MATCH(Tabla4[[#This Row],[Producto]],Tabla6[[#All],[PRODUCTO]],0),MATCH(Tabla4[[#This Row],[Mes]],Tabla6[#Headers],0)))</f>
        <v>#N/A</v>
      </c>
      <c r="R5755" s="282" t="e">
        <f>++Tabla4[[#This Row],[Precio Unitario Neto]]-Tabla4[[#This Row],[20.85%]]-Tabla4[[#This Row],[Costo]]</f>
        <v>#N/A</v>
      </c>
      <c r="S5755" s="282" t="e">
        <f>++Tabla4[[#This Row],[U. Bruta Uni]]*Tabla4[[#This Row],[Cantidad]]</f>
        <v>#N/A</v>
      </c>
      <c r="T5755" s="369" t="str">
        <f>VLOOKUP(Tabla4[[#This Row],[Producto]],Tabla6[#All],14,FALSE)</f>
        <v>Termico Solar</v>
      </c>
      <c r="U5755" s="284" t="e">
        <f>(IF(Tabla4[[#This Row],[Familia]]="termico solar",Tabla4[[#This Row],[Utilidad Total]]*6%,Tabla4[[#This Row],[Utilidad Total]]*11.5%))/Tabla4[[#This Row],[Total]]</f>
        <v>#N/A</v>
      </c>
      <c r="V5755" s="282" t="e">
        <f>+Tabla4[[#This Row],[Comisión Calculada]]*Tabla4[[#This Row],[Total]]</f>
        <v>#N/A</v>
      </c>
    </row>
    <row r="5756" spans="1:22" hidden="1" x14ac:dyDescent="0.25">
      <c r="A5756" s="100">
        <v>45930</v>
      </c>
      <c r="B5756" t="str">
        <f t="shared" si="277"/>
        <v>September</v>
      </c>
      <c r="C5756" s="46" t="s">
        <v>280</v>
      </c>
      <c r="F5756" s="366" t="s">
        <v>2953</v>
      </c>
      <c r="G5756" s="46" t="s">
        <v>83</v>
      </c>
      <c r="H5756" s="46">
        <v>1</v>
      </c>
      <c r="I5756" s="51">
        <v>8858.76</v>
      </c>
      <c r="J5756" s="281">
        <f>++Tabla4[[#This Row],[Precio Bruto]]*1.16</f>
        <v>10276.161599999999</v>
      </c>
      <c r="K5756" s="281">
        <f>+Tabla4[[#This Row],[Precio Unitario Neto]]*Tabla4[[#Headers],[20.85%]]</f>
        <v>2142.5796935999997</v>
      </c>
      <c r="L5756" s="282">
        <f>++Tabla4[[#This Row],[Precio Unitario Neto]]-Tabla4[[#This Row],[20.85%]]</f>
        <v>8133.5819063999998</v>
      </c>
      <c r="M5756" s="282" t="e">
        <f>(INDEX(Tabla6[#All],MATCH(Tabla4[[#This Row],[Producto]],Tabla6[[#All],[PRODUCTO]],0),MATCH(Tabla4[[#This Row],[Mes]],Tabla6[#Headers],0)))*(1+Catalogos!$L$2)</f>
        <v>#N/A</v>
      </c>
      <c r="N5756" s="283" t="e">
        <f>+(Tabla4[[#This Row],[Precio Descontado]]-Tabla4[[#This Row],[Precio Base]])*Tabla4[[#This Row],[Cantidad]]</f>
        <v>#N/A</v>
      </c>
      <c r="O5756" s="284" t="e">
        <f>++Tabla4[[#This Row],[Utilidad Total]]/Tabla4[[#This Row],[Total]]</f>
        <v>#N/A</v>
      </c>
      <c r="P5756" s="282">
        <f>++Tabla4[[#This Row],[Precio Descontado]]*Tabla4[[#This Row],[Cantidad]]</f>
        <v>8133.5819063999998</v>
      </c>
      <c r="Q5756" s="282" t="e">
        <f>(INDEX(Tabla6[#All],MATCH(Tabla4[[#This Row],[Producto]],Tabla6[[#All],[PRODUCTO]],0),MATCH(Tabla4[[#This Row],[Mes]],Tabla6[#Headers],0)))</f>
        <v>#N/A</v>
      </c>
      <c r="R5756" s="282" t="e">
        <f>++Tabla4[[#This Row],[Precio Unitario Neto]]-Tabla4[[#This Row],[20.85%]]-Tabla4[[#This Row],[Costo]]</f>
        <v>#N/A</v>
      </c>
      <c r="S5756" s="282" t="e">
        <f>++Tabla4[[#This Row],[U. Bruta Uni]]*Tabla4[[#This Row],[Cantidad]]</f>
        <v>#N/A</v>
      </c>
      <c r="T5756" s="369" t="str">
        <f>VLOOKUP(Tabla4[[#This Row],[Producto]],Tabla6[#All],14,FALSE)</f>
        <v>Termico Solar</v>
      </c>
      <c r="U5756" s="284" t="e">
        <f>(IF(Tabla4[[#This Row],[Familia]]="termico solar",Tabla4[[#This Row],[Utilidad Total]]*6%,Tabla4[[#This Row],[Utilidad Total]]*11.5%))/Tabla4[[#This Row],[Total]]</f>
        <v>#N/A</v>
      </c>
      <c r="V5756" s="282" t="e">
        <f>+Tabla4[[#This Row],[Comisión Calculada]]*Tabla4[[#This Row],[Total]]</f>
        <v>#N/A</v>
      </c>
    </row>
    <row r="5757" spans="1:22" hidden="1" x14ac:dyDescent="0.25">
      <c r="A5757" s="100">
        <v>45930</v>
      </c>
      <c r="B5757" t="str">
        <f t="shared" si="277"/>
        <v>September</v>
      </c>
      <c r="C5757" s="46" t="s">
        <v>280</v>
      </c>
      <c r="F5757" s="366" t="s">
        <v>2954</v>
      </c>
      <c r="G5757" s="46" t="s">
        <v>566</v>
      </c>
      <c r="H5757" s="46">
        <v>1</v>
      </c>
      <c r="I5757" s="51">
        <v>2109.4499999999998</v>
      </c>
      <c r="J5757" s="281">
        <f>++Tabla4[[#This Row],[Precio Bruto]]*1.16</f>
        <v>2446.9619999999995</v>
      </c>
      <c r="K5757" s="281">
        <f>+Tabla4[[#This Row],[Precio Unitario Neto]]*Tabla4[[#Headers],[20.85%]]</f>
        <v>510.19157699999988</v>
      </c>
      <c r="L5757" s="282">
        <f>++Tabla4[[#This Row],[Precio Unitario Neto]]-Tabla4[[#This Row],[20.85%]]</f>
        <v>1936.7704229999997</v>
      </c>
      <c r="M5757" s="282" t="e">
        <f>(INDEX(Tabla6[#All],MATCH(Tabla4[[#This Row],[Producto]],Tabla6[[#All],[PRODUCTO]],0),MATCH(Tabla4[[#This Row],[Mes]],Tabla6[#Headers],0)))*(1+Catalogos!$L$2)</f>
        <v>#N/A</v>
      </c>
      <c r="N5757" s="283" t="e">
        <f>+(Tabla4[[#This Row],[Precio Descontado]]-Tabla4[[#This Row],[Precio Base]])*Tabla4[[#This Row],[Cantidad]]</f>
        <v>#N/A</v>
      </c>
      <c r="O5757" s="284" t="e">
        <f>++Tabla4[[#This Row],[Utilidad Total]]/Tabla4[[#This Row],[Total]]</f>
        <v>#N/A</v>
      </c>
      <c r="P5757" s="282">
        <f>++Tabla4[[#This Row],[Precio Descontado]]*Tabla4[[#This Row],[Cantidad]]</f>
        <v>1936.7704229999997</v>
      </c>
      <c r="Q5757" s="282" t="e">
        <f>(INDEX(Tabla6[#All],MATCH(Tabla4[[#This Row],[Producto]],Tabla6[[#All],[PRODUCTO]],0),MATCH(Tabla4[[#This Row],[Mes]],Tabla6[#Headers],0)))</f>
        <v>#N/A</v>
      </c>
      <c r="R5757" s="282" t="e">
        <f>++Tabla4[[#This Row],[Precio Unitario Neto]]-Tabla4[[#This Row],[20.85%]]-Tabla4[[#This Row],[Costo]]</f>
        <v>#N/A</v>
      </c>
      <c r="S5757" s="282" t="e">
        <f>++Tabla4[[#This Row],[U. Bruta Uni]]*Tabla4[[#This Row],[Cantidad]]</f>
        <v>#N/A</v>
      </c>
      <c r="T5757" s="369" t="str">
        <f>VLOOKUP(Tabla4[[#This Row],[Producto]],Tabla6[#All],14,FALSE)</f>
        <v>Termico Solar</v>
      </c>
      <c r="U5757" s="284" t="e">
        <f>(IF(Tabla4[[#This Row],[Familia]]="termico solar",Tabla4[[#This Row],[Utilidad Total]]*6%,Tabla4[[#This Row],[Utilidad Total]]*11.5%))/Tabla4[[#This Row],[Total]]</f>
        <v>#N/A</v>
      </c>
      <c r="V5757" s="282" t="e">
        <f>+Tabla4[[#This Row],[Comisión Calculada]]*Tabla4[[#This Row],[Total]]</f>
        <v>#N/A</v>
      </c>
    </row>
    <row r="5758" spans="1:22" hidden="1" x14ac:dyDescent="0.25">
      <c r="A5758" s="100">
        <v>45930</v>
      </c>
      <c r="B5758" t="str">
        <f t="shared" si="277"/>
        <v>September</v>
      </c>
      <c r="C5758" s="46" t="s">
        <v>280</v>
      </c>
      <c r="F5758" s="366" t="s">
        <v>2955</v>
      </c>
      <c r="G5758" s="46" t="s">
        <v>17</v>
      </c>
      <c r="H5758" s="46">
        <v>1</v>
      </c>
      <c r="I5758" s="51">
        <v>4622.28</v>
      </c>
      <c r="J5758" s="281">
        <f>++Tabla4[[#This Row],[Precio Bruto]]*1.16</f>
        <v>5361.8447999999989</v>
      </c>
      <c r="K5758" s="281">
        <f>+Tabla4[[#This Row],[Precio Unitario Neto]]*Tabla4[[#Headers],[20.85%]]</f>
        <v>1117.9446407999997</v>
      </c>
      <c r="L5758" s="282">
        <f>++Tabla4[[#This Row],[Precio Unitario Neto]]-Tabla4[[#This Row],[20.85%]]</f>
        <v>4243.9001591999995</v>
      </c>
      <c r="M5758" s="282" t="e">
        <f>(INDEX(Tabla6[#All],MATCH(Tabla4[[#This Row],[Producto]],Tabla6[[#All],[PRODUCTO]],0),MATCH(Tabla4[[#This Row],[Mes]],Tabla6[#Headers],0)))*(1+Catalogos!$L$2)</f>
        <v>#N/A</v>
      </c>
      <c r="N5758" s="283" t="e">
        <f>+(Tabla4[[#This Row],[Precio Descontado]]-Tabla4[[#This Row],[Precio Base]])*Tabla4[[#This Row],[Cantidad]]</f>
        <v>#N/A</v>
      </c>
      <c r="O5758" s="284" t="e">
        <f>++Tabla4[[#This Row],[Utilidad Total]]/Tabla4[[#This Row],[Total]]</f>
        <v>#N/A</v>
      </c>
      <c r="P5758" s="282">
        <f>++Tabla4[[#This Row],[Precio Descontado]]*Tabla4[[#This Row],[Cantidad]]</f>
        <v>4243.9001591999995</v>
      </c>
      <c r="Q5758" s="282" t="e">
        <f>(INDEX(Tabla6[#All],MATCH(Tabla4[[#This Row],[Producto]],Tabla6[[#All],[PRODUCTO]],0),MATCH(Tabla4[[#This Row],[Mes]],Tabla6[#Headers],0)))</f>
        <v>#N/A</v>
      </c>
      <c r="R5758" s="282" t="e">
        <f>++Tabla4[[#This Row],[Precio Unitario Neto]]-Tabla4[[#This Row],[20.85%]]-Tabla4[[#This Row],[Costo]]</f>
        <v>#N/A</v>
      </c>
      <c r="S5758" s="282" t="e">
        <f>++Tabla4[[#This Row],[U. Bruta Uni]]*Tabla4[[#This Row],[Cantidad]]</f>
        <v>#N/A</v>
      </c>
      <c r="T5758" s="369" t="str">
        <f>VLOOKUP(Tabla4[[#This Row],[Producto]],Tabla6[#All],14,FALSE)</f>
        <v>Termico Solar</v>
      </c>
      <c r="U5758" s="284" t="e">
        <f>(IF(Tabla4[[#This Row],[Familia]]="termico solar",Tabla4[[#This Row],[Utilidad Total]]*6%,Tabla4[[#This Row],[Utilidad Total]]*11.5%))/Tabla4[[#This Row],[Total]]</f>
        <v>#N/A</v>
      </c>
      <c r="V5758" s="282" t="e">
        <f>+Tabla4[[#This Row],[Comisión Calculada]]*Tabla4[[#This Row],[Total]]</f>
        <v>#N/A</v>
      </c>
    </row>
    <row r="5759" spans="1:22" hidden="1" x14ac:dyDescent="0.25">
      <c r="A5759" s="100">
        <v>45930</v>
      </c>
      <c r="B5759" t="str">
        <f t="shared" si="277"/>
        <v>September</v>
      </c>
      <c r="C5759" s="46" t="s">
        <v>280</v>
      </c>
      <c r="F5759" s="366" t="s">
        <v>2956</v>
      </c>
      <c r="G5759" s="46" t="s">
        <v>208</v>
      </c>
      <c r="H5759" s="46">
        <v>1</v>
      </c>
      <c r="I5759" s="51">
        <v>189.75</v>
      </c>
      <c r="J5759" s="281">
        <f>++Tabla4[[#This Row],[Precio Bruto]]*1.16</f>
        <v>220.10999999999999</v>
      </c>
      <c r="K5759" s="281">
        <f>+Tabla4[[#This Row],[Precio Unitario Neto]]*Tabla4[[#Headers],[20.85%]]</f>
        <v>45.892934999999994</v>
      </c>
      <c r="L5759" s="282">
        <f>++Tabla4[[#This Row],[Precio Unitario Neto]]-Tabla4[[#This Row],[20.85%]]</f>
        <v>174.21706499999999</v>
      </c>
      <c r="M5759" s="282" t="e">
        <f>(INDEX(Tabla6[#All],MATCH(Tabla4[[#This Row],[Producto]],Tabla6[[#All],[PRODUCTO]],0),MATCH(Tabla4[[#This Row],[Mes]],Tabla6[#Headers],0)))*(1+Catalogos!$L$2)</f>
        <v>#N/A</v>
      </c>
      <c r="N5759" s="283" t="e">
        <f>+(Tabla4[[#This Row],[Precio Descontado]]-Tabla4[[#This Row],[Precio Base]])*Tabla4[[#This Row],[Cantidad]]</f>
        <v>#N/A</v>
      </c>
      <c r="O5759" s="284" t="e">
        <f>++Tabla4[[#This Row],[Utilidad Total]]/Tabla4[[#This Row],[Total]]</f>
        <v>#N/A</v>
      </c>
      <c r="P5759" s="282">
        <f>++Tabla4[[#This Row],[Precio Descontado]]*Tabla4[[#This Row],[Cantidad]]</f>
        <v>174.21706499999999</v>
      </c>
      <c r="Q5759" s="282" t="e">
        <f>(INDEX(Tabla6[#All],MATCH(Tabla4[[#This Row],[Producto]],Tabla6[[#All],[PRODUCTO]],0),MATCH(Tabla4[[#This Row],[Mes]],Tabla6[#Headers],0)))</f>
        <v>#N/A</v>
      </c>
      <c r="R5759" s="282" t="e">
        <f>++Tabla4[[#This Row],[Precio Unitario Neto]]-Tabla4[[#This Row],[20.85%]]-Tabla4[[#This Row],[Costo]]</f>
        <v>#N/A</v>
      </c>
      <c r="S5759" s="282" t="e">
        <f>++Tabla4[[#This Row],[U. Bruta Uni]]*Tabla4[[#This Row],[Cantidad]]</f>
        <v>#N/A</v>
      </c>
      <c r="T5759" s="369" t="str">
        <f>VLOOKUP(Tabla4[[#This Row],[Producto]],Tabla6[#All],14,FALSE)</f>
        <v>Termico Solar</v>
      </c>
      <c r="U5759" s="284" t="e">
        <f>(IF(Tabla4[[#This Row],[Familia]]="termico solar",Tabla4[[#This Row],[Utilidad Total]]*6%,Tabla4[[#This Row],[Utilidad Total]]*11.5%))/Tabla4[[#This Row],[Total]]</f>
        <v>#N/A</v>
      </c>
      <c r="V5759" s="282" t="e">
        <f>+Tabla4[[#This Row],[Comisión Calculada]]*Tabla4[[#This Row],[Total]]</f>
        <v>#N/A</v>
      </c>
    </row>
    <row r="5760" spans="1:22" hidden="1" x14ac:dyDescent="0.25">
      <c r="A5760" s="100">
        <v>45930</v>
      </c>
      <c r="B5760" t="str">
        <f t="shared" ref="B5760:B5823" si="278">TEXT(A5760, "mmmm")</f>
        <v>September</v>
      </c>
      <c r="C5760" s="46" t="s">
        <v>280</v>
      </c>
      <c r="F5760" s="366" t="s">
        <v>2957</v>
      </c>
      <c r="G5760" s="46" t="s">
        <v>17</v>
      </c>
      <c r="H5760" s="46">
        <v>1</v>
      </c>
      <c r="I5760" s="51">
        <v>4622.28</v>
      </c>
      <c r="J5760" s="281">
        <f>++Tabla4[[#This Row],[Precio Bruto]]*1.16</f>
        <v>5361.8447999999989</v>
      </c>
      <c r="K5760" s="281">
        <f>+Tabla4[[#This Row],[Precio Unitario Neto]]*Tabla4[[#Headers],[20.85%]]</f>
        <v>1117.9446407999997</v>
      </c>
      <c r="L5760" s="282">
        <f>++Tabla4[[#This Row],[Precio Unitario Neto]]-Tabla4[[#This Row],[20.85%]]</f>
        <v>4243.9001591999995</v>
      </c>
      <c r="M5760" s="282" t="e">
        <f>(INDEX(Tabla6[#All],MATCH(Tabla4[[#This Row],[Producto]],Tabla6[[#All],[PRODUCTO]],0),MATCH(Tabla4[[#This Row],[Mes]],Tabla6[#Headers],0)))*(1+Catalogos!$L$2)</f>
        <v>#N/A</v>
      </c>
      <c r="N5760" s="283" t="e">
        <f>+(Tabla4[[#This Row],[Precio Descontado]]-Tabla4[[#This Row],[Precio Base]])*Tabla4[[#This Row],[Cantidad]]</f>
        <v>#N/A</v>
      </c>
      <c r="O5760" s="284" t="e">
        <f>++Tabla4[[#This Row],[Utilidad Total]]/Tabla4[[#This Row],[Total]]</f>
        <v>#N/A</v>
      </c>
      <c r="P5760" s="282">
        <f>++Tabla4[[#This Row],[Precio Descontado]]*Tabla4[[#This Row],[Cantidad]]</f>
        <v>4243.9001591999995</v>
      </c>
      <c r="Q5760" s="282" t="e">
        <f>(INDEX(Tabla6[#All],MATCH(Tabla4[[#This Row],[Producto]],Tabla6[[#All],[PRODUCTO]],0),MATCH(Tabla4[[#This Row],[Mes]],Tabla6[#Headers],0)))</f>
        <v>#N/A</v>
      </c>
      <c r="R5760" s="282" t="e">
        <f>++Tabla4[[#This Row],[Precio Unitario Neto]]-Tabla4[[#This Row],[20.85%]]-Tabla4[[#This Row],[Costo]]</f>
        <v>#N/A</v>
      </c>
      <c r="S5760" s="282" t="e">
        <f>++Tabla4[[#This Row],[U. Bruta Uni]]*Tabla4[[#This Row],[Cantidad]]</f>
        <v>#N/A</v>
      </c>
      <c r="T5760" s="369" t="str">
        <f>VLOOKUP(Tabla4[[#This Row],[Producto]],Tabla6[#All],14,FALSE)</f>
        <v>Termico Solar</v>
      </c>
      <c r="U5760" s="284" t="e">
        <f>(IF(Tabla4[[#This Row],[Familia]]="termico solar",Tabla4[[#This Row],[Utilidad Total]]*6%,Tabla4[[#This Row],[Utilidad Total]]*11.5%))/Tabla4[[#This Row],[Total]]</f>
        <v>#N/A</v>
      </c>
      <c r="V5760" s="282" t="e">
        <f>+Tabla4[[#This Row],[Comisión Calculada]]*Tabla4[[#This Row],[Total]]</f>
        <v>#N/A</v>
      </c>
    </row>
    <row r="5761" spans="1:22" hidden="1" x14ac:dyDescent="0.25">
      <c r="A5761" s="100">
        <v>45930</v>
      </c>
      <c r="B5761" t="str">
        <f t="shared" si="278"/>
        <v>September</v>
      </c>
      <c r="C5761" s="46" t="s">
        <v>280</v>
      </c>
      <c r="F5761" s="366" t="s">
        <v>2957</v>
      </c>
      <c r="G5761" s="46" t="s">
        <v>18</v>
      </c>
      <c r="H5761" s="46">
        <v>1</v>
      </c>
      <c r="I5761" s="51">
        <v>5367.65</v>
      </c>
      <c r="J5761" s="281">
        <f>++Tabla4[[#This Row],[Precio Bruto]]*1.16</f>
        <v>6226.4739999999993</v>
      </c>
      <c r="K5761" s="281">
        <f>+Tabla4[[#This Row],[Precio Unitario Neto]]*Tabla4[[#Headers],[20.85%]]</f>
        <v>1298.2198289999999</v>
      </c>
      <c r="L5761" s="282">
        <f>++Tabla4[[#This Row],[Precio Unitario Neto]]-Tabla4[[#This Row],[20.85%]]</f>
        <v>4928.2541709999996</v>
      </c>
      <c r="M5761" s="282" t="e">
        <f>(INDEX(Tabla6[#All],MATCH(Tabla4[[#This Row],[Producto]],Tabla6[[#All],[PRODUCTO]],0),MATCH(Tabla4[[#This Row],[Mes]],Tabla6[#Headers],0)))*(1+Catalogos!$L$2)</f>
        <v>#N/A</v>
      </c>
      <c r="N5761" s="283" t="e">
        <f>+(Tabla4[[#This Row],[Precio Descontado]]-Tabla4[[#This Row],[Precio Base]])*Tabla4[[#This Row],[Cantidad]]</f>
        <v>#N/A</v>
      </c>
      <c r="O5761" s="284" t="e">
        <f>++Tabla4[[#This Row],[Utilidad Total]]/Tabla4[[#This Row],[Total]]</f>
        <v>#N/A</v>
      </c>
      <c r="P5761" s="282">
        <f>++Tabla4[[#This Row],[Precio Descontado]]*Tabla4[[#This Row],[Cantidad]]</f>
        <v>4928.2541709999996</v>
      </c>
      <c r="Q5761" s="282" t="e">
        <f>(INDEX(Tabla6[#All],MATCH(Tabla4[[#This Row],[Producto]],Tabla6[[#All],[PRODUCTO]],0),MATCH(Tabla4[[#This Row],[Mes]],Tabla6[#Headers],0)))</f>
        <v>#N/A</v>
      </c>
      <c r="R5761" s="282" t="e">
        <f>++Tabla4[[#This Row],[Precio Unitario Neto]]-Tabla4[[#This Row],[20.85%]]-Tabla4[[#This Row],[Costo]]</f>
        <v>#N/A</v>
      </c>
      <c r="S5761" s="282" t="e">
        <f>++Tabla4[[#This Row],[U. Bruta Uni]]*Tabla4[[#This Row],[Cantidad]]</f>
        <v>#N/A</v>
      </c>
      <c r="T5761" s="369" t="str">
        <f>VLOOKUP(Tabla4[[#This Row],[Producto]],Tabla6[#All],14,FALSE)</f>
        <v>Termico Solar</v>
      </c>
      <c r="U5761" s="284" t="e">
        <f>(IF(Tabla4[[#This Row],[Familia]]="termico solar",Tabla4[[#This Row],[Utilidad Total]]*6%,Tabla4[[#This Row],[Utilidad Total]]*11.5%))/Tabla4[[#This Row],[Total]]</f>
        <v>#N/A</v>
      </c>
      <c r="V5761" s="282" t="e">
        <f>+Tabla4[[#This Row],[Comisión Calculada]]*Tabla4[[#This Row],[Total]]</f>
        <v>#N/A</v>
      </c>
    </row>
    <row r="5762" spans="1:22" hidden="1" x14ac:dyDescent="0.25">
      <c r="A5762" s="100">
        <v>45930</v>
      </c>
      <c r="B5762" t="str">
        <f t="shared" si="278"/>
        <v>September</v>
      </c>
      <c r="C5762" s="46" t="s">
        <v>280</v>
      </c>
      <c r="F5762" s="366" t="s">
        <v>2957</v>
      </c>
      <c r="G5762" s="46" t="s">
        <v>208</v>
      </c>
      <c r="H5762" s="46">
        <v>3</v>
      </c>
      <c r="I5762" s="51">
        <v>189.75</v>
      </c>
      <c r="J5762" s="281">
        <f>++Tabla4[[#This Row],[Precio Bruto]]*1.16</f>
        <v>220.10999999999999</v>
      </c>
      <c r="K5762" s="281">
        <f>+Tabla4[[#This Row],[Precio Unitario Neto]]*Tabla4[[#Headers],[20.85%]]</f>
        <v>45.892934999999994</v>
      </c>
      <c r="L5762" s="282">
        <f>++Tabla4[[#This Row],[Precio Unitario Neto]]-Tabla4[[#This Row],[20.85%]]</f>
        <v>174.21706499999999</v>
      </c>
      <c r="M5762" s="282" t="e">
        <f>(INDEX(Tabla6[#All],MATCH(Tabla4[[#This Row],[Producto]],Tabla6[[#All],[PRODUCTO]],0),MATCH(Tabla4[[#This Row],[Mes]],Tabla6[#Headers],0)))*(1+Catalogos!$L$2)</f>
        <v>#N/A</v>
      </c>
      <c r="N5762" s="283" t="e">
        <f>+(Tabla4[[#This Row],[Precio Descontado]]-Tabla4[[#This Row],[Precio Base]])*Tabla4[[#This Row],[Cantidad]]</f>
        <v>#N/A</v>
      </c>
      <c r="O5762" s="284" t="e">
        <f>++Tabla4[[#This Row],[Utilidad Total]]/Tabla4[[#This Row],[Total]]</f>
        <v>#N/A</v>
      </c>
      <c r="P5762" s="282">
        <f>++Tabla4[[#This Row],[Precio Descontado]]*Tabla4[[#This Row],[Cantidad]]</f>
        <v>522.65119499999992</v>
      </c>
      <c r="Q5762" s="282" t="e">
        <f>(INDEX(Tabla6[#All],MATCH(Tabla4[[#This Row],[Producto]],Tabla6[[#All],[PRODUCTO]],0),MATCH(Tabla4[[#This Row],[Mes]],Tabla6[#Headers],0)))</f>
        <v>#N/A</v>
      </c>
      <c r="R5762" s="282" t="e">
        <f>++Tabla4[[#This Row],[Precio Unitario Neto]]-Tabla4[[#This Row],[20.85%]]-Tabla4[[#This Row],[Costo]]</f>
        <v>#N/A</v>
      </c>
      <c r="S5762" s="282" t="e">
        <f>++Tabla4[[#This Row],[U. Bruta Uni]]*Tabla4[[#This Row],[Cantidad]]</f>
        <v>#N/A</v>
      </c>
      <c r="T5762" s="369" t="str">
        <f>VLOOKUP(Tabla4[[#This Row],[Producto]],Tabla6[#All],14,FALSE)</f>
        <v>Termico Solar</v>
      </c>
      <c r="U5762" s="284" t="e">
        <f>(IF(Tabla4[[#This Row],[Familia]]="termico solar",Tabla4[[#This Row],[Utilidad Total]]*6%,Tabla4[[#This Row],[Utilidad Total]]*11.5%))/Tabla4[[#This Row],[Total]]</f>
        <v>#N/A</v>
      </c>
      <c r="V5762" s="282" t="e">
        <f>+Tabla4[[#This Row],[Comisión Calculada]]*Tabla4[[#This Row],[Total]]</f>
        <v>#N/A</v>
      </c>
    </row>
    <row r="5763" spans="1:22" hidden="1" x14ac:dyDescent="0.25">
      <c r="A5763" s="100">
        <v>45930</v>
      </c>
      <c r="B5763" t="str">
        <f t="shared" si="278"/>
        <v>September</v>
      </c>
      <c r="C5763" s="46" t="s">
        <v>280</v>
      </c>
      <c r="F5763" s="366" t="s">
        <v>2958</v>
      </c>
      <c r="G5763" s="46" t="s">
        <v>83</v>
      </c>
      <c r="H5763" s="46">
        <v>1</v>
      </c>
      <c r="I5763" s="51">
        <v>8858.76</v>
      </c>
      <c r="J5763" s="281">
        <f>++Tabla4[[#This Row],[Precio Bruto]]*1.16</f>
        <v>10276.161599999999</v>
      </c>
      <c r="K5763" s="281">
        <f>+Tabla4[[#This Row],[Precio Unitario Neto]]*Tabla4[[#Headers],[20.85%]]</f>
        <v>2142.5796935999997</v>
      </c>
      <c r="L5763" s="282">
        <f>++Tabla4[[#This Row],[Precio Unitario Neto]]-Tabla4[[#This Row],[20.85%]]</f>
        <v>8133.5819063999998</v>
      </c>
      <c r="M5763" s="282" t="e">
        <f>(INDEX(Tabla6[#All],MATCH(Tabla4[[#This Row],[Producto]],Tabla6[[#All],[PRODUCTO]],0),MATCH(Tabla4[[#This Row],[Mes]],Tabla6[#Headers],0)))*(1+Catalogos!$L$2)</f>
        <v>#N/A</v>
      </c>
      <c r="N5763" s="283" t="e">
        <f>+(Tabla4[[#This Row],[Precio Descontado]]-Tabla4[[#This Row],[Precio Base]])*Tabla4[[#This Row],[Cantidad]]</f>
        <v>#N/A</v>
      </c>
      <c r="O5763" s="284" t="e">
        <f>++Tabla4[[#This Row],[Utilidad Total]]/Tabla4[[#This Row],[Total]]</f>
        <v>#N/A</v>
      </c>
      <c r="P5763" s="282">
        <f>++Tabla4[[#This Row],[Precio Descontado]]*Tabla4[[#This Row],[Cantidad]]</f>
        <v>8133.5819063999998</v>
      </c>
      <c r="Q5763" s="282" t="e">
        <f>(INDEX(Tabla6[#All],MATCH(Tabla4[[#This Row],[Producto]],Tabla6[[#All],[PRODUCTO]],0),MATCH(Tabla4[[#This Row],[Mes]],Tabla6[#Headers],0)))</f>
        <v>#N/A</v>
      </c>
      <c r="R5763" s="282" t="e">
        <f>++Tabla4[[#This Row],[Precio Unitario Neto]]-Tabla4[[#This Row],[20.85%]]-Tabla4[[#This Row],[Costo]]</f>
        <v>#N/A</v>
      </c>
      <c r="S5763" s="282" t="e">
        <f>++Tabla4[[#This Row],[U. Bruta Uni]]*Tabla4[[#This Row],[Cantidad]]</f>
        <v>#N/A</v>
      </c>
      <c r="T5763" s="369" t="str">
        <f>VLOOKUP(Tabla4[[#This Row],[Producto]],Tabla6[#All],14,FALSE)</f>
        <v>Termico Solar</v>
      </c>
      <c r="U5763" s="284" t="e">
        <f>(IF(Tabla4[[#This Row],[Familia]]="termico solar",Tabla4[[#This Row],[Utilidad Total]]*6%,Tabla4[[#This Row],[Utilidad Total]]*11.5%))/Tabla4[[#This Row],[Total]]</f>
        <v>#N/A</v>
      </c>
      <c r="V5763" s="282" t="e">
        <f>+Tabla4[[#This Row],[Comisión Calculada]]*Tabla4[[#This Row],[Total]]</f>
        <v>#N/A</v>
      </c>
    </row>
    <row r="5764" spans="1:22" hidden="1" x14ac:dyDescent="0.25">
      <c r="A5764" s="100">
        <v>45930</v>
      </c>
      <c r="B5764" t="str">
        <f t="shared" si="278"/>
        <v>September</v>
      </c>
      <c r="C5764" s="46" t="s">
        <v>280</v>
      </c>
      <c r="F5764" s="366" t="s">
        <v>2958</v>
      </c>
      <c r="G5764" s="46" t="s">
        <v>18</v>
      </c>
      <c r="H5764" s="46">
        <v>1</v>
      </c>
      <c r="I5764" s="51">
        <v>5367.65</v>
      </c>
      <c r="J5764" s="281">
        <f>++Tabla4[[#This Row],[Precio Bruto]]*1.16</f>
        <v>6226.4739999999993</v>
      </c>
      <c r="K5764" s="281">
        <f>+Tabla4[[#This Row],[Precio Unitario Neto]]*Tabla4[[#Headers],[20.85%]]</f>
        <v>1298.2198289999999</v>
      </c>
      <c r="L5764" s="282">
        <f>++Tabla4[[#This Row],[Precio Unitario Neto]]-Tabla4[[#This Row],[20.85%]]</f>
        <v>4928.2541709999996</v>
      </c>
      <c r="M5764" s="282" t="e">
        <f>(INDEX(Tabla6[#All],MATCH(Tabla4[[#This Row],[Producto]],Tabla6[[#All],[PRODUCTO]],0),MATCH(Tabla4[[#This Row],[Mes]],Tabla6[#Headers],0)))*(1+Catalogos!$L$2)</f>
        <v>#N/A</v>
      </c>
      <c r="N5764" s="283" t="e">
        <f>+(Tabla4[[#This Row],[Precio Descontado]]-Tabla4[[#This Row],[Precio Base]])*Tabla4[[#This Row],[Cantidad]]</f>
        <v>#N/A</v>
      </c>
      <c r="O5764" s="284" t="e">
        <f>++Tabla4[[#This Row],[Utilidad Total]]/Tabla4[[#This Row],[Total]]</f>
        <v>#N/A</v>
      </c>
      <c r="P5764" s="282">
        <f>++Tabla4[[#This Row],[Precio Descontado]]*Tabla4[[#This Row],[Cantidad]]</f>
        <v>4928.2541709999996</v>
      </c>
      <c r="Q5764" s="282" t="e">
        <f>(INDEX(Tabla6[#All],MATCH(Tabla4[[#This Row],[Producto]],Tabla6[[#All],[PRODUCTO]],0),MATCH(Tabla4[[#This Row],[Mes]],Tabla6[#Headers],0)))</f>
        <v>#N/A</v>
      </c>
      <c r="R5764" s="282" t="e">
        <f>++Tabla4[[#This Row],[Precio Unitario Neto]]-Tabla4[[#This Row],[20.85%]]-Tabla4[[#This Row],[Costo]]</f>
        <v>#N/A</v>
      </c>
      <c r="S5764" s="282" t="e">
        <f>++Tabla4[[#This Row],[U. Bruta Uni]]*Tabla4[[#This Row],[Cantidad]]</f>
        <v>#N/A</v>
      </c>
      <c r="T5764" s="369" t="str">
        <f>VLOOKUP(Tabla4[[#This Row],[Producto]],Tabla6[#All],14,FALSE)</f>
        <v>Termico Solar</v>
      </c>
      <c r="U5764" s="284" t="e">
        <f>(IF(Tabla4[[#This Row],[Familia]]="termico solar",Tabla4[[#This Row],[Utilidad Total]]*6%,Tabla4[[#This Row],[Utilidad Total]]*11.5%))/Tabla4[[#This Row],[Total]]</f>
        <v>#N/A</v>
      </c>
      <c r="V5764" s="282" t="e">
        <f>+Tabla4[[#This Row],[Comisión Calculada]]*Tabla4[[#This Row],[Total]]</f>
        <v>#N/A</v>
      </c>
    </row>
    <row r="5765" spans="1:22" hidden="1" x14ac:dyDescent="0.25">
      <c r="A5765" s="100">
        <v>45930</v>
      </c>
      <c r="B5765" t="str">
        <f t="shared" si="278"/>
        <v>September</v>
      </c>
      <c r="C5765" s="46" t="s">
        <v>280</v>
      </c>
      <c r="F5765" s="366" t="s">
        <v>2959</v>
      </c>
      <c r="G5765" s="46" t="s">
        <v>83</v>
      </c>
      <c r="H5765" s="46">
        <v>1</v>
      </c>
      <c r="I5765" s="51">
        <v>8858.76</v>
      </c>
      <c r="J5765" s="281">
        <f>++Tabla4[[#This Row],[Precio Bruto]]*1.16</f>
        <v>10276.161599999999</v>
      </c>
      <c r="K5765" s="281">
        <f>+Tabla4[[#This Row],[Precio Unitario Neto]]*Tabla4[[#Headers],[20.85%]]</f>
        <v>2142.5796935999997</v>
      </c>
      <c r="L5765" s="282">
        <f>++Tabla4[[#This Row],[Precio Unitario Neto]]-Tabla4[[#This Row],[20.85%]]</f>
        <v>8133.5819063999998</v>
      </c>
      <c r="M5765" s="282" t="e">
        <f>(INDEX(Tabla6[#All],MATCH(Tabla4[[#This Row],[Producto]],Tabla6[[#All],[PRODUCTO]],0),MATCH(Tabla4[[#This Row],[Mes]],Tabla6[#Headers],0)))*(1+Catalogos!$L$2)</f>
        <v>#N/A</v>
      </c>
      <c r="N5765" s="283" t="e">
        <f>+(Tabla4[[#This Row],[Precio Descontado]]-Tabla4[[#This Row],[Precio Base]])*Tabla4[[#This Row],[Cantidad]]</f>
        <v>#N/A</v>
      </c>
      <c r="O5765" s="284" t="e">
        <f>++Tabla4[[#This Row],[Utilidad Total]]/Tabla4[[#This Row],[Total]]</f>
        <v>#N/A</v>
      </c>
      <c r="P5765" s="282">
        <f>++Tabla4[[#This Row],[Precio Descontado]]*Tabla4[[#This Row],[Cantidad]]</f>
        <v>8133.5819063999998</v>
      </c>
      <c r="Q5765" s="282" t="e">
        <f>(INDEX(Tabla6[#All],MATCH(Tabla4[[#This Row],[Producto]],Tabla6[[#All],[PRODUCTO]],0),MATCH(Tabla4[[#This Row],[Mes]],Tabla6[#Headers],0)))</f>
        <v>#N/A</v>
      </c>
      <c r="R5765" s="282" t="e">
        <f>++Tabla4[[#This Row],[Precio Unitario Neto]]-Tabla4[[#This Row],[20.85%]]-Tabla4[[#This Row],[Costo]]</f>
        <v>#N/A</v>
      </c>
      <c r="S5765" s="282" t="e">
        <f>++Tabla4[[#This Row],[U. Bruta Uni]]*Tabla4[[#This Row],[Cantidad]]</f>
        <v>#N/A</v>
      </c>
      <c r="T5765" s="369" t="str">
        <f>VLOOKUP(Tabla4[[#This Row],[Producto]],Tabla6[#All],14,FALSE)</f>
        <v>Termico Solar</v>
      </c>
      <c r="U5765" s="284" t="e">
        <f>(IF(Tabla4[[#This Row],[Familia]]="termico solar",Tabla4[[#This Row],[Utilidad Total]]*6%,Tabla4[[#This Row],[Utilidad Total]]*11.5%))/Tabla4[[#This Row],[Total]]</f>
        <v>#N/A</v>
      </c>
      <c r="V5765" s="282" t="e">
        <f>+Tabla4[[#This Row],[Comisión Calculada]]*Tabla4[[#This Row],[Total]]</f>
        <v>#N/A</v>
      </c>
    </row>
    <row r="5766" spans="1:22" hidden="1" x14ac:dyDescent="0.25">
      <c r="A5766" s="100">
        <v>45930</v>
      </c>
      <c r="B5766" t="str">
        <f t="shared" si="278"/>
        <v>September</v>
      </c>
      <c r="C5766" s="46" t="s">
        <v>280</v>
      </c>
      <c r="F5766" s="366" t="s">
        <v>2959</v>
      </c>
      <c r="G5766" s="46" t="s">
        <v>18</v>
      </c>
      <c r="H5766" s="46">
        <v>1</v>
      </c>
      <c r="I5766" s="51">
        <v>5367.65</v>
      </c>
      <c r="J5766" s="281">
        <f>++Tabla4[[#This Row],[Precio Bruto]]*1.16</f>
        <v>6226.4739999999993</v>
      </c>
      <c r="K5766" s="281">
        <f>+Tabla4[[#This Row],[Precio Unitario Neto]]*Tabla4[[#Headers],[20.85%]]</f>
        <v>1298.2198289999999</v>
      </c>
      <c r="L5766" s="282">
        <f>++Tabla4[[#This Row],[Precio Unitario Neto]]-Tabla4[[#This Row],[20.85%]]</f>
        <v>4928.2541709999996</v>
      </c>
      <c r="M5766" s="282" t="e">
        <f>(INDEX(Tabla6[#All],MATCH(Tabla4[[#This Row],[Producto]],Tabla6[[#All],[PRODUCTO]],0),MATCH(Tabla4[[#This Row],[Mes]],Tabla6[#Headers],0)))*(1+Catalogos!$L$2)</f>
        <v>#N/A</v>
      </c>
      <c r="N5766" s="283" t="e">
        <f>+(Tabla4[[#This Row],[Precio Descontado]]-Tabla4[[#This Row],[Precio Base]])*Tabla4[[#This Row],[Cantidad]]</f>
        <v>#N/A</v>
      </c>
      <c r="O5766" s="284" t="e">
        <f>++Tabla4[[#This Row],[Utilidad Total]]/Tabla4[[#This Row],[Total]]</f>
        <v>#N/A</v>
      </c>
      <c r="P5766" s="282">
        <f>++Tabla4[[#This Row],[Precio Descontado]]*Tabla4[[#This Row],[Cantidad]]</f>
        <v>4928.2541709999996</v>
      </c>
      <c r="Q5766" s="282" t="e">
        <f>(INDEX(Tabla6[#All],MATCH(Tabla4[[#This Row],[Producto]],Tabla6[[#All],[PRODUCTO]],0),MATCH(Tabla4[[#This Row],[Mes]],Tabla6[#Headers],0)))</f>
        <v>#N/A</v>
      </c>
      <c r="R5766" s="282" t="e">
        <f>++Tabla4[[#This Row],[Precio Unitario Neto]]-Tabla4[[#This Row],[20.85%]]-Tabla4[[#This Row],[Costo]]</f>
        <v>#N/A</v>
      </c>
      <c r="S5766" s="282" t="e">
        <f>++Tabla4[[#This Row],[U. Bruta Uni]]*Tabla4[[#This Row],[Cantidad]]</f>
        <v>#N/A</v>
      </c>
      <c r="T5766" s="369" t="str">
        <f>VLOOKUP(Tabla4[[#This Row],[Producto]],Tabla6[#All],14,FALSE)</f>
        <v>Termico Solar</v>
      </c>
      <c r="U5766" s="284" t="e">
        <f>(IF(Tabla4[[#This Row],[Familia]]="termico solar",Tabla4[[#This Row],[Utilidad Total]]*6%,Tabla4[[#This Row],[Utilidad Total]]*11.5%))/Tabla4[[#This Row],[Total]]</f>
        <v>#N/A</v>
      </c>
      <c r="V5766" s="282" t="e">
        <f>+Tabla4[[#This Row],[Comisión Calculada]]*Tabla4[[#This Row],[Total]]</f>
        <v>#N/A</v>
      </c>
    </row>
    <row r="5767" spans="1:22" hidden="1" x14ac:dyDescent="0.25">
      <c r="A5767" s="100">
        <v>45930</v>
      </c>
      <c r="B5767" t="str">
        <f t="shared" si="278"/>
        <v>September</v>
      </c>
      <c r="C5767" s="46" t="s">
        <v>280</v>
      </c>
      <c r="F5767" s="366" t="s">
        <v>2959</v>
      </c>
      <c r="G5767" s="46" t="s">
        <v>208</v>
      </c>
      <c r="H5767" s="46">
        <v>1</v>
      </c>
      <c r="I5767" s="51">
        <v>189.75</v>
      </c>
      <c r="J5767" s="281">
        <f>++Tabla4[[#This Row],[Precio Bruto]]*1.16</f>
        <v>220.10999999999999</v>
      </c>
      <c r="K5767" s="281">
        <f>+Tabla4[[#This Row],[Precio Unitario Neto]]*Tabla4[[#Headers],[20.85%]]</f>
        <v>45.892934999999994</v>
      </c>
      <c r="L5767" s="282">
        <f>++Tabla4[[#This Row],[Precio Unitario Neto]]-Tabla4[[#This Row],[20.85%]]</f>
        <v>174.21706499999999</v>
      </c>
      <c r="M5767" s="282" t="e">
        <f>(INDEX(Tabla6[#All],MATCH(Tabla4[[#This Row],[Producto]],Tabla6[[#All],[PRODUCTO]],0),MATCH(Tabla4[[#This Row],[Mes]],Tabla6[#Headers],0)))*(1+Catalogos!$L$2)</f>
        <v>#N/A</v>
      </c>
      <c r="N5767" s="283" t="e">
        <f>+(Tabla4[[#This Row],[Precio Descontado]]-Tabla4[[#This Row],[Precio Base]])*Tabla4[[#This Row],[Cantidad]]</f>
        <v>#N/A</v>
      </c>
      <c r="O5767" s="284" t="e">
        <f>++Tabla4[[#This Row],[Utilidad Total]]/Tabla4[[#This Row],[Total]]</f>
        <v>#N/A</v>
      </c>
      <c r="P5767" s="282">
        <f>++Tabla4[[#This Row],[Precio Descontado]]*Tabla4[[#This Row],[Cantidad]]</f>
        <v>174.21706499999999</v>
      </c>
      <c r="Q5767" s="282" t="e">
        <f>(INDEX(Tabla6[#All],MATCH(Tabla4[[#This Row],[Producto]],Tabla6[[#All],[PRODUCTO]],0),MATCH(Tabla4[[#This Row],[Mes]],Tabla6[#Headers],0)))</f>
        <v>#N/A</v>
      </c>
      <c r="R5767" s="282" t="e">
        <f>++Tabla4[[#This Row],[Precio Unitario Neto]]-Tabla4[[#This Row],[20.85%]]-Tabla4[[#This Row],[Costo]]</f>
        <v>#N/A</v>
      </c>
      <c r="S5767" s="282" t="e">
        <f>++Tabla4[[#This Row],[U. Bruta Uni]]*Tabla4[[#This Row],[Cantidad]]</f>
        <v>#N/A</v>
      </c>
      <c r="T5767" s="369" t="str">
        <f>VLOOKUP(Tabla4[[#This Row],[Producto]],Tabla6[#All],14,FALSE)</f>
        <v>Termico Solar</v>
      </c>
      <c r="U5767" s="284" t="e">
        <f>(IF(Tabla4[[#This Row],[Familia]]="termico solar",Tabla4[[#This Row],[Utilidad Total]]*6%,Tabla4[[#This Row],[Utilidad Total]]*11.5%))/Tabla4[[#This Row],[Total]]</f>
        <v>#N/A</v>
      </c>
      <c r="V5767" s="282" t="e">
        <f>+Tabla4[[#This Row],[Comisión Calculada]]*Tabla4[[#This Row],[Total]]</f>
        <v>#N/A</v>
      </c>
    </row>
    <row r="5768" spans="1:22" hidden="1" x14ac:dyDescent="0.25">
      <c r="A5768" s="100">
        <v>45930</v>
      </c>
      <c r="B5768" t="str">
        <f t="shared" si="278"/>
        <v>September</v>
      </c>
      <c r="C5768" s="46" t="s">
        <v>280</v>
      </c>
      <c r="F5768" s="366" t="s">
        <v>2960</v>
      </c>
      <c r="G5768" s="46" t="s">
        <v>83</v>
      </c>
      <c r="H5768" s="46">
        <v>1</v>
      </c>
      <c r="I5768" s="51">
        <v>8858.76</v>
      </c>
      <c r="J5768" s="281">
        <f>++Tabla4[[#This Row],[Precio Bruto]]*1.16</f>
        <v>10276.161599999999</v>
      </c>
      <c r="K5768" s="281">
        <f>+Tabla4[[#This Row],[Precio Unitario Neto]]*Tabla4[[#Headers],[20.85%]]</f>
        <v>2142.5796935999997</v>
      </c>
      <c r="L5768" s="282">
        <f>++Tabla4[[#This Row],[Precio Unitario Neto]]-Tabla4[[#This Row],[20.85%]]</f>
        <v>8133.5819063999998</v>
      </c>
      <c r="M5768" s="282" t="e">
        <f>(INDEX(Tabla6[#All],MATCH(Tabla4[[#This Row],[Producto]],Tabla6[[#All],[PRODUCTO]],0),MATCH(Tabla4[[#This Row],[Mes]],Tabla6[#Headers],0)))*(1+Catalogos!$L$2)</f>
        <v>#N/A</v>
      </c>
      <c r="N5768" s="283" t="e">
        <f>+(Tabla4[[#This Row],[Precio Descontado]]-Tabla4[[#This Row],[Precio Base]])*Tabla4[[#This Row],[Cantidad]]</f>
        <v>#N/A</v>
      </c>
      <c r="O5768" s="284" t="e">
        <f>++Tabla4[[#This Row],[Utilidad Total]]/Tabla4[[#This Row],[Total]]</f>
        <v>#N/A</v>
      </c>
      <c r="P5768" s="282">
        <f>++Tabla4[[#This Row],[Precio Descontado]]*Tabla4[[#This Row],[Cantidad]]</f>
        <v>8133.5819063999998</v>
      </c>
      <c r="Q5768" s="282" t="e">
        <f>(INDEX(Tabla6[#All],MATCH(Tabla4[[#This Row],[Producto]],Tabla6[[#All],[PRODUCTO]],0),MATCH(Tabla4[[#This Row],[Mes]],Tabla6[#Headers],0)))</f>
        <v>#N/A</v>
      </c>
      <c r="R5768" s="282" t="e">
        <f>++Tabla4[[#This Row],[Precio Unitario Neto]]-Tabla4[[#This Row],[20.85%]]-Tabla4[[#This Row],[Costo]]</f>
        <v>#N/A</v>
      </c>
      <c r="S5768" s="282" t="e">
        <f>++Tabla4[[#This Row],[U. Bruta Uni]]*Tabla4[[#This Row],[Cantidad]]</f>
        <v>#N/A</v>
      </c>
      <c r="T5768" s="369" t="str">
        <f>VLOOKUP(Tabla4[[#This Row],[Producto]],Tabla6[#All],14,FALSE)</f>
        <v>Termico Solar</v>
      </c>
      <c r="U5768" s="284" t="e">
        <f>(IF(Tabla4[[#This Row],[Familia]]="termico solar",Tabla4[[#This Row],[Utilidad Total]]*6%,Tabla4[[#This Row],[Utilidad Total]]*11.5%))/Tabla4[[#This Row],[Total]]</f>
        <v>#N/A</v>
      </c>
      <c r="V5768" s="282" t="e">
        <f>+Tabla4[[#This Row],[Comisión Calculada]]*Tabla4[[#This Row],[Total]]</f>
        <v>#N/A</v>
      </c>
    </row>
    <row r="5769" spans="1:22" hidden="1" x14ac:dyDescent="0.25">
      <c r="A5769" s="100">
        <v>45930</v>
      </c>
      <c r="B5769" t="str">
        <f t="shared" si="278"/>
        <v>September</v>
      </c>
      <c r="C5769" s="46" t="s">
        <v>280</v>
      </c>
      <c r="F5769" s="366" t="s">
        <v>2960</v>
      </c>
      <c r="G5769" s="46" t="s">
        <v>412</v>
      </c>
      <c r="H5769" s="46">
        <v>1</v>
      </c>
      <c r="I5769" s="51">
        <v>3240.84</v>
      </c>
      <c r="J5769" s="281">
        <f>++Tabla4[[#This Row],[Precio Bruto]]*1.16</f>
        <v>3759.3743999999997</v>
      </c>
      <c r="K5769" s="281">
        <f>+Tabla4[[#This Row],[Precio Unitario Neto]]*Tabla4[[#Headers],[20.85%]]</f>
        <v>783.82956239999987</v>
      </c>
      <c r="L5769" s="282">
        <f>++Tabla4[[#This Row],[Precio Unitario Neto]]-Tabla4[[#This Row],[20.85%]]</f>
        <v>2975.5448375999999</v>
      </c>
      <c r="M5769" s="282" t="e">
        <f>(INDEX(Tabla6[#All],MATCH(Tabla4[[#This Row],[Producto]],Tabla6[[#All],[PRODUCTO]],0),MATCH(Tabla4[[#This Row],[Mes]],Tabla6[#Headers],0)))*(1+Catalogos!$L$2)</f>
        <v>#N/A</v>
      </c>
      <c r="N5769" s="283" t="e">
        <f>+(Tabla4[[#This Row],[Precio Descontado]]-Tabla4[[#This Row],[Precio Base]])*Tabla4[[#This Row],[Cantidad]]</f>
        <v>#N/A</v>
      </c>
      <c r="O5769" s="284" t="e">
        <f>++Tabla4[[#This Row],[Utilidad Total]]/Tabla4[[#This Row],[Total]]</f>
        <v>#N/A</v>
      </c>
      <c r="P5769" s="282">
        <f>++Tabla4[[#This Row],[Precio Descontado]]*Tabla4[[#This Row],[Cantidad]]</f>
        <v>2975.5448375999999</v>
      </c>
      <c r="Q5769" s="282" t="e">
        <f>(INDEX(Tabla6[#All],MATCH(Tabla4[[#This Row],[Producto]],Tabla6[[#All],[PRODUCTO]],0),MATCH(Tabla4[[#This Row],[Mes]],Tabla6[#Headers],0)))</f>
        <v>#N/A</v>
      </c>
      <c r="R5769" s="282" t="e">
        <f>++Tabla4[[#This Row],[Precio Unitario Neto]]-Tabla4[[#This Row],[20.85%]]-Tabla4[[#This Row],[Costo]]</f>
        <v>#N/A</v>
      </c>
      <c r="S5769" s="282" t="e">
        <f>++Tabla4[[#This Row],[U. Bruta Uni]]*Tabla4[[#This Row],[Cantidad]]</f>
        <v>#N/A</v>
      </c>
      <c r="T5769" s="369" t="str">
        <f>VLOOKUP(Tabla4[[#This Row],[Producto]],Tabla6[#All],14,FALSE)</f>
        <v>Termico Solar</v>
      </c>
      <c r="U5769" s="284" t="e">
        <f>(IF(Tabla4[[#This Row],[Familia]]="termico solar",Tabla4[[#This Row],[Utilidad Total]]*6%,Tabla4[[#This Row],[Utilidad Total]]*11.5%))/Tabla4[[#This Row],[Total]]</f>
        <v>#N/A</v>
      </c>
      <c r="V5769" s="282" t="e">
        <f>+Tabla4[[#This Row],[Comisión Calculada]]*Tabla4[[#This Row],[Total]]</f>
        <v>#N/A</v>
      </c>
    </row>
    <row r="5770" spans="1:22" hidden="1" x14ac:dyDescent="0.25">
      <c r="A5770" s="100">
        <v>45930</v>
      </c>
      <c r="B5770" t="str">
        <f t="shared" si="278"/>
        <v>September</v>
      </c>
      <c r="C5770" s="46" t="s">
        <v>280</v>
      </c>
      <c r="F5770" s="366" t="s">
        <v>2960</v>
      </c>
      <c r="G5770" s="46" t="s">
        <v>208</v>
      </c>
      <c r="H5770" s="46">
        <v>7</v>
      </c>
      <c r="I5770" s="51">
        <v>189.75</v>
      </c>
      <c r="J5770" s="281">
        <f>++Tabla4[[#This Row],[Precio Bruto]]*1.16</f>
        <v>220.10999999999999</v>
      </c>
      <c r="K5770" s="281">
        <f>+Tabla4[[#This Row],[Precio Unitario Neto]]*Tabla4[[#Headers],[20.85%]]</f>
        <v>45.892934999999994</v>
      </c>
      <c r="L5770" s="282">
        <f>++Tabla4[[#This Row],[Precio Unitario Neto]]-Tabla4[[#This Row],[20.85%]]</f>
        <v>174.21706499999999</v>
      </c>
      <c r="M5770" s="282" t="e">
        <f>(INDEX(Tabla6[#All],MATCH(Tabla4[[#This Row],[Producto]],Tabla6[[#All],[PRODUCTO]],0),MATCH(Tabla4[[#This Row],[Mes]],Tabla6[#Headers],0)))*(1+Catalogos!$L$2)</f>
        <v>#N/A</v>
      </c>
      <c r="N5770" s="283" t="e">
        <f>+(Tabla4[[#This Row],[Precio Descontado]]-Tabla4[[#This Row],[Precio Base]])*Tabla4[[#This Row],[Cantidad]]</f>
        <v>#N/A</v>
      </c>
      <c r="O5770" s="284" t="e">
        <f>++Tabla4[[#This Row],[Utilidad Total]]/Tabla4[[#This Row],[Total]]</f>
        <v>#N/A</v>
      </c>
      <c r="P5770" s="282">
        <f>++Tabla4[[#This Row],[Precio Descontado]]*Tabla4[[#This Row],[Cantidad]]</f>
        <v>1219.5194549999999</v>
      </c>
      <c r="Q5770" s="282" t="e">
        <f>(INDEX(Tabla6[#All],MATCH(Tabla4[[#This Row],[Producto]],Tabla6[[#All],[PRODUCTO]],0),MATCH(Tabla4[[#This Row],[Mes]],Tabla6[#Headers],0)))</f>
        <v>#N/A</v>
      </c>
      <c r="R5770" s="282" t="e">
        <f>++Tabla4[[#This Row],[Precio Unitario Neto]]-Tabla4[[#This Row],[20.85%]]-Tabla4[[#This Row],[Costo]]</f>
        <v>#N/A</v>
      </c>
      <c r="S5770" s="282" t="e">
        <f>++Tabla4[[#This Row],[U. Bruta Uni]]*Tabla4[[#This Row],[Cantidad]]</f>
        <v>#N/A</v>
      </c>
      <c r="T5770" s="369" t="str">
        <f>VLOOKUP(Tabla4[[#This Row],[Producto]],Tabla6[#All],14,FALSE)</f>
        <v>Termico Solar</v>
      </c>
      <c r="U5770" s="284" t="e">
        <f>(IF(Tabla4[[#This Row],[Familia]]="termico solar",Tabla4[[#This Row],[Utilidad Total]]*6%,Tabla4[[#This Row],[Utilidad Total]]*11.5%))/Tabla4[[#This Row],[Total]]</f>
        <v>#N/A</v>
      </c>
      <c r="V5770" s="282" t="e">
        <f>+Tabla4[[#This Row],[Comisión Calculada]]*Tabla4[[#This Row],[Total]]</f>
        <v>#N/A</v>
      </c>
    </row>
    <row r="5771" spans="1:22" hidden="1" x14ac:dyDescent="0.25">
      <c r="A5771" s="100">
        <v>45930</v>
      </c>
      <c r="B5771" t="str">
        <f t="shared" si="278"/>
        <v>September</v>
      </c>
      <c r="C5771" s="46" t="s">
        <v>280</v>
      </c>
      <c r="F5771" s="366" t="s">
        <v>2961</v>
      </c>
      <c r="G5771" s="46" t="s">
        <v>208</v>
      </c>
      <c r="H5771" s="46">
        <v>1</v>
      </c>
      <c r="I5771" s="51">
        <v>189.75</v>
      </c>
      <c r="J5771" s="281">
        <f>++Tabla4[[#This Row],[Precio Bruto]]*1.16</f>
        <v>220.10999999999999</v>
      </c>
      <c r="K5771" s="281">
        <f>+Tabla4[[#This Row],[Precio Unitario Neto]]*Tabla4[[#Headers],[20.85%]]</f>
        <v>45.892934999999994</v>
      </c>
      <c r="L5771" s="282">
        <f>++Tabla4[[#This Row],[Precio Unitario Neto]]-Tabla4[[#This Row],[20.85%]]</f>
        <v>174.21706499999999</v>
      </c>
      <c r="M5771" s="282" t="e">
        <f>(INDEX(Tabla6[#All],MATCH(Tabla4[[#This Row],[Producto]],Tabla6[[#All],[PRODUCTO]],0),MATCH(Tabla4[[#This Row],[Mes]],Tabla6[#Headers],0)))*(1+Catalogos!$L$2)</f>
        <v>#N/A</v>
      </c>
      <c r="N5771" s="283" t="e">
        <f>+(Tabla4[[#This Row],[Precio Descontado]]-Tabla4[[#This Row],[Precio Base]])*Tabla4[[#This Row],[Cantidad]]</f>
        <v>#N/A</v>
      </c>
      <c r="O5771" s="284" t="e">
        <f>++Tabla4[[#This Row],[Utilidad Total]]/Tabla4[[#This Row],[Total]]</f>
        <v>#N/A</v>
      </c>
      <c r="P5771" s="282">
        <f>++Tabla4[[#This Row],[Precio Descontado]]*Tabla4[[#This Row],[Cantidad]]</f>
        <v>174.21706499999999</v>
      </c>
      <c r="Q5771" s="282" t="e">
        <f>(INDEX(Tabla6[#All],MATCH(Tabla4[[#This Row],[Producto]],Tabla6[[#All],[PRODUCTO]],0),MATCH(Tabla4[[#This Row],[Mes]],Tabla6[#Headers],0)))</f>
        <v>#N/A</v>
      </c>
      <c r="R5771" s="282" t="e">
        <f>++Tabla4[[#This Row],[Precio Unitario Neto]]-Tabla4[[#This Row],[20.85%]]-Tabla4[[#This Row],[Costo]]</f>
        <v>#N/A</v>
      </c>
      <c r="S5771" s="282" t="e">
        <f>++Tabla4[[#This Row],[U. Bruta Uni]]*Tabla4[[#This Row],[Cantidad]]</f>
        <v>#N/A</v>
      </c>
      <c r="T5771" s="369" t="str">
        <f>VLOOKUP(Tabla4[[#This Row],[Producto]],Tabla6[#All],14,FALSE)</f>
        <v>Termico Solar</v>
      </c>
      <c r="U5771" s="284" t="e">
        <f>(IF(Tabla4[[#This Row],[Familia]]="termico solar",Tabla4[[#This Row],[Utilidad Total]]*6%,Tabla4[[#This Row],[Utilidad Total]]*11.5%))/Tabla4[[#This Row],[Total]]</f>
        <v>#N/A</v>
      </c>
      <c r="V5771" s="282" t="e">
        <f>+Tabla4[[#This Row],[Comisión Calculada]]*Tabla4[[#This Row],[Total]]</f>
        <v>#N/A</v>
      </c>
    </row>
    <row r="5772" spans="1:22" hidden="1" x14ac:dyDescent="0.25">
      <c r="A5772" s="100">
        <v>45930</v>
      </c>
      <c r="B5772" t="str">
        <f t="shared" si="278"/>
        <v>September</v>
      </c>
      <c r="C5772" s="46" t="s">
        <v>280</v>
      </c>
      <c r="F5772" s="366" t="s">
        <v>2962</v>
      </c>
      <c r="G5772" s="46" t="s">
        <v>208</v>
      </c>
      <c r="H5772" s="46">
        <v>1</v>
      </c>
      <c r="I5772" s="51">
        <v>189.75</v>
      </c>
      <c r="J5772" s="281">
        <f>++Tabla4[[#This Row],[Precio Bruto]]*1.16</f>
        <v>220.10999999999999</v>
      </c>
      <c r="K5772" s="281">
        <f>+Tabla4[[#This Row],[Precio Unitario Neto]]*Tabla4[[#Headers],[20.85%]]</f>
        <v>45.892934999999994</v>
      </c>
      <c r="L5772" s="282">
        <f>++Tabla4[[#This Row],[Precio Unitario Neto]]-Tabla4[[#This Row],[20.85%]]</f>
        <v>174.21706499999999</v>
      </c>
      <c r="M5772" s="282" t="e">
        <f>(INDEX(Tabla6[#All],MATCH(Tabla4[[#This Row],[Producto]],Tabla6[[#All],[PRODUCTO]],0),MATCH(Tabla4[[#This Row],[Mes]],Tabla6[#Headers],0)))*(1+Catalogos!$L$2)</f>
        <v>#N/A</v>
      </c>
      <c r="N5772" s="283" t="e">
        <f>+(Tabla4[[#This Row],[Precio Descontado]]-Tabla4[[#This Row],[Precio Base]])*Tabla4[[#This Row],[Cantidad]]</f>
        <v>#N/A</v>
      </c>
      <c r="O5772" s="284" t="e">
        <f>++Tabla4[[#This Row],[Utilidad Total]]/Tabla4[[#This Row],[Total]]</f>
        <v>#N/A</v>
      </c>
      <c r="P5772" s="282">
        <f>++Tabla4[[#This Row],[Precio Descontado]]*Tabla4[[#This Row],[Cantidad]]</f>
        <v>174.21706499999999</v>
      </c>
      <c r="Q5772" s="282" t="e">
        <f>(INDEX(Tabla6[#All],MATCH(Tabla4[[#This Row],[Producto]],Tabla6[[#All],[PRODUCTO]],0),MATCH(Tabla4[[#This Row],[Mes]],Tabla6[#Headers],0)))</f>
        <v>#N/A</v>
      </c>
      <c r="R5772" s="282" t="e">
        <f>++Tabla4[[#This Row],[Precio Unitario Neto]]-Tabla4[[#This Row],[20.85%]]-Tabla4[[#This Row],[Costo]]</f>
        <v>#N/A</v>
      </c>
      <c r="S5772" s="282" t="e">
        <f>++Tabla4[[#This Row],[U. Bruta Uni]]*Tabla4[[#This Row],[Cantidad]]</f>
        <v>#N/A</v>
      </c>
      <c r="T5772" s="369" t="str">
        <f>VLOOKUP(Tabla4[[#This Row],[Producto]],Tabla6[#All],14,FALSE)</f>
        <v>Termico Solar</v>
      </c>
      <c r="U5772" s="284" t="e">
        <f>(IF(Tabla4[[#This Row],[Familia]]="termico solar",Tabla4[[#This Row],[Utilidad Total]]*6%,Tabla4[[#This Row],[Utilidad Total]]*11.5%))/Tabla4[[#This Row],[Total]]</f>
        <v>#N/A</v>
      </c>
      <c r="V5772" s="282" t="e">
        <f>+Tabla4[[#This Row],[Comisión Calculada]]*Tabla4[[#This Row],[Total]]</f>
        <v>#N/A</v>
      </c>
    </row>
    <row r="5773" spans="1:22" hidden="1" x14ac:dyDescent="0.25">
      <c r="A5773" s="100">
        <v>45930</v>
      </c>
      <c r="B5773" t="str">
        <f t="shared" si="278"/>
        <v>September</v>
      </c>
      <c r="C5773" s="46" t="s">
        <v>280</v>
      </c>
      <c r="F5773" s="366" t="s">
        <v>2963</v>
      </c>
      <c r="G5773" s="46" t="s">
        <v>566</v>
      </c>
      <c r="H5773" s="46">
        <v>1</v>
      </c>
      <c r="I5773" s="51">
        <v>2109.4499999999998</v>
      </c>
      <c r="J5773" s="281">
        <f>++Tabla4[[#This Row],[Precio Bruto]]*1.16</f>
        <v>2446.9619999999995</v>
      </c>
      <c r="K5773" s="281">
        <f>+Tabla4[[#This Row],[Precio Unitario Neto]]*Tabla4[[#Headers],[20.85%]]</f>
        <v>510.19157699999988</v>
      </c>
      <c r="L5773" s="282">
        <f>++Tabla4[[#This Row],[Precio Unitario Neto]]-Tabla4[[#This Row],[20.85%]]</f>
        <v>1936.7704229999997</v>
      </c>
      <c r="M5773" s="282" t="e">
        <f>(INDEX(Tabla6[#All],MATCH(Tabla4[[#This Row],[Producto]],Tabla6[[#All],[PRODUCTO]],0),MATCH(Tabla4[[#This Row],[Mes]],Tabla6[#Headers],0)))*(1+Catalogos!$L$2)</f>
        <v>#N/A</v>
      </c>
      <c r="N5773" s="283" t="e">
        <f>+(Tabla4[[#This Row],[Precio Descontado]]-Tabla4[[#This Row],[Precio Base]])*Tabla4[[#This Row],[Cantidad]]</f>
        <v>#N/A</v>
      </c>
      <c r="O5773" s="284" t="e">
        <f>++Tabla4[[#This Row],[Utilidad Total]]/Tabla4[[#This Row],[Total]]</f>
        <v>#N/A</v>
      </c>
      <c r="P5773" s="282">
        <f>++Tabla4[[#This Row],[Precio Descontado]]*Tabla4[[#This Row],[Cantidad]]</f>
        <v>1936.7704229999997</v>
      </c>
      <c r="Q5773" s="282" t="e">
        <f>(INDEX(Tabla6[#All],MATCH(Tabla4[[#This Row],[Producto]],Tabla6[[#All],[PRODUCTO]],0),MATCH(Tabla4[[#This Row],[Mes]],Tabla6[#Headers],0)))</f>
        <v>#N/A</v>
      </c>
      <c r="R5773" s="282" t="e">
        <f>++Tabla4[[#This Row],[Precio Unitario Neto]]-Tabla4[[#This Row],[20.85%]]-Tabla4[[#This Row],[Costo]]</f>
        <v>#N/A</v>
      </c>
      <c r="S5773" s="282" t="e">
        <f>++Tabla4[[#This Row],[U. Bruta Uni]]*Tabla4[[#This Row],[Cantidad]]</f>
        <v>#N/A</v>
      </c>
      <c r="T5773" s="369" t="str">
        <f>VLOOKUP(Tabla4[[#This Row],[Producto]],Tabla6[#All],14,FALSE)</f>
        <v>Termico Solar</v>
      </c>
      <c r="U5773" s="284" t="e">
        <f>(IF(Tabla4[[#This Row],[Familia]]="termico solar",Tabla4[[#This Row],[Utilidad Total]]*6%,Tabla4[[#This Row],[Utilidad Total]]*11.5%))/Tabla4[[#This Row],[Total]]</f>
        <v>#N/A</v>
      </c>
      <c r="V5773" s="282" t="e">
        <f>+Tabla4[[#This Row],[Comisión Calculada]]*Tabla4[[#This Row],[Total]]</f>
        <v>#N/A</v>
      </c>
    </row>
    <row r="5774" spans="1:22" hidden="1" x14ac:dyDescent="0.25">
      <c r="A5774" s="100">
        <v>45930</v>
      </c>
      <c r="B5774" t="str">
        <f t="shared" si="278"/>
        <v>September</v>
      </c>
      <c r="C5774" s="46" t="s">
        <v>280</v>
      </c>
      <c r="F5774" s="366" t="s">
        <v>2963</v>
      </c>
      <c r="G5774" s="46" t="s">
        <v>412</v>
      </c>
      <c r="H5774" s="46">
        <v>1</v>
      </c>
      <c r="I5774" s="51">
        <v>3240.84</v>
      </c>
      <c r="J5774" s="281">
        <f>++Tabla4[[#This Row],[Precio Bruto]]*1.16</f>
        <v>3759.3743999999997</v>
      </c>
      <c r="K5774" s="281">
        <f>+Tabla4[[#This Row],[Precio Unitario Neto]]*Tabla4[[#Headers],[20.85%]]</f>
        <v>783.82956239999987</v>
      </c>
      <c r="L5774" s="282">
        <f>++Tabla4[[#This Row],[Precio Unitario Neto]]-Tabla4[[#This Row],[20.85%]]</f>
        <v>2975.5448375999999</v>
      </c>
      <c r="M5774" s="282" t="e">
        <f>(INDEX(Tabla6[#All],MATCH(Tabla4[[#This Row],[Producto]],Tabla6[[#All],[PRODUCTO]],0),MATCH(Tabla4[[#This Row],[Mes]],Tabla6[#Headers],0)))*(1+Catalogos!$L$2)</f>
        <v>#N/A</v>
      </c>
      <c r="N5774" s="283" t="e">
        <f>+(Tabla4[[#This Row],[Precio Descontado]]-Tabla4[[#This Row],[Precio Base]])*Tabla4[[#This Row],[Cantidad]]</f>
        <v>#N/A</v>
      </c>
      <c r="O5774" s="284" t="e">
        <f>++Tabla4[[#This Row],[Utilidad Total]]/Tabla4[[#This Row],[Total]]</f>
        <v>#N/A</v>
      </c>
      <c r="P5774" s="282">
        <f>++Tabla4[[#This Row],[Precio Descontado]]*Tabla4[[#This Row],[Cantidad]]</f>
        <v>2975.5448375999999</v>
      </c>
      <c r="Q5774" s="282" t="e">
        <f>(INDEX(Tabla6[#All],MATCH(Tabla4[[#This Row],[Producto]],Tabla6[[#All],[PRODUCTO]],0),MATCH(Tabla4[[#This Row],[Mes]],Tabla6[#Headers],0)))</f>
        <v>#N/A</v>
      </c>
      <c r="R5774" s="282" t="e">
        <f>++Tabla4[[#This Row],[Precio Unitario Neto]]-Tabla4[[#This Row],[20.85%]]-Tabla4[[#This Row],[Costo]]</f>
        <v>#N/A</v>
      </c>
      <c r="S5774" s="282" t="e">
        <f>++Tabla4[[#This Row],[U. Bruta Uni]]*Tabla4[[#This Row],[Cantidad]]</f>
        <v>#N/A</v>
      </c>
      <c r="T5774" s="369" t="str">
        <f>VLOOKUP(Tabla4[[#This Row],[Producto]],Tabla6[#All],14,FALSE)</f>
        <v>Termico Solar</v>
      </c>
      <c r="U5774" s="284" t="e">
        <f>(IF(Tabla4[[#This Row],[Familia]]="termico solar",Tabla4[[#This Row],[Utilidad Total]]*6%,Tabla4[[#This Row],[Utilidad Total]]*11.5%))/Tabla4[[#This Row],[Total]]</f>
        <v>#N/A</v>
      </c>
      <c r="V5774" s="282" t="e">
        <f>+Tabla4[[#This Row],[Comisión Calculada]]*Tabla4[[#This Row],[Total]]</f>
        <v>#N/A</v>
      </c>
    </row>
    <row r="5775" spans="1:22" hidden="1" x14ac:dyDescent="0.25">
      <c r="A5775" s="100">
        <v>45930</v>
      </c>
      <c r="B5775" t="str">
        <f t="shared" si="278"/>
        <v>September</v>
      </c>
      <c r="C5775" s="46" t="s">
        <v>280</v>
      </c>
      <c r="F5775" s="366" t="s">
        <v>2964</v>
      </c>
      <c r="G5775" s="46" t="s">
        <v>208</v>
      </c>
      <c r="H5775" s="46">
        <v>1</v>
      </c>
      <c r="I5775" s="51">
        <v>189.75</v>
      </c>
      <c r="J5775" s="281">
        <f>++Tabla4[[#This Row],[Precio Bruto]]*1.16</f>
        <v>220.10999999999999</v>
      </c>
      <c r="K5775" s="281">
        <f>+Tabla4[[#This Row],[Precio Unitario Neto]]*Tabla4[[#Headers],[20.85%]]</f>
        <v>45.892934999999994</v>
      </c>
      <c r="L5775" s="282">
        <f>++Tabla4[[#This Row],[Precio Unitario Neto]]-Tabla4[[#This Row],[20.85%]]</f>
        <v>174.21706499999999</v>
      </c>
      <c r="M5775" s="282" t="e">
        <f>(INDEX(Tabla6[#All],MATCH(Tabla4[[#This Row],[Producto]],Tabla6[[#All],[PRODUCTO]],0),MATCH(Tabla4[[#This Row],[Mes]],Tabla6[#Headers],0)))*(1+Catalogos!$L$2)</f>
        <v>#N/A</v>
      </c>
      <c r="N5775" s="283" t="e">
        <f>+(Tabla4[[#This Row],[Precio Descontado]]-Tabla4[[#This Row],[Precio Base]])*Tabla4[[#This Row],[Cantidad]]</f>
        <v>#N/A</v>
      </c>
      <c r="O5775" s="284" t="e">
        <f>++Tabla4[[#This Row],[Utilidad Total]]/Tabla4[[#This Row],[Total]]</f>
        <v>#N/A</v>
      </c>
      <c r="P5775" s="282">
        <f>++Tabla4[[#This Row],[Precio Descontado]]*Tabla4[[#This Row],[Cantidad]]</f>
        <v>174.21706499999999</v>
      </c>
      <c r="Q5775" s="282" t="e">
        <f>(INDEX(Tabla6[#All],MATCH(Tabla4[[#This Row],[Producto]],Tabla6[[#All],[PRODUCTO]],0),MATCH(Tabla4[[#This Row],[Mes]],Tabla6[#Headers],0)))</f>
        <v>#N/A</v>
      </c>
      <c r="R5775" s="282" t="e">
        <f>++Tabla4[[#This Row],[Precio Unitario Neto]]-Tabla4[[#This Row],[20.85%]]-Tabla4[[#This Row],[Costo]]</f>
        <v>#N/A</v>
      </c>
      <c r="S5775" s="282" t="e">
        <f>++Tabla4[[#This Row],[U. Bruta Uni]]*Tabla4[[#This Row],[Cantidad]]</f>
        <v>#N/A</v>
      </c>
      <c r="T5775" s="369" t="str">
        <f>VLOOKUP(Tabla4[[#This Row],[Producto]],Tabla6[#All],14,FALSE)</f>
        <v>Termico Solar</v>
      </c>
      <c r="U5775" s="284" t="e">
        <f>(IF(Tabla4[[#This Row],[Familia]]="termico solar",Tabla4[[#This Row],[Utilidad Total]]*6%,Tabla4[[#This Row],[Utilidad Total]]*11.5%))/Tabla4[[#This Row],[Total]]</f>
        <v>#N/A</v>
      </c>
      <c r="V5775" s="282" t="e">
        <f>+Tabla4[[#This Row],[Comisión Calculada]]*Tabla4[[#This Row],[Total]]</f>
        <v>#N/A</v>
      </c>
    </row>
    <row r="5776" spans="1:22" hidden="1" x14ac:dyDescent="0.25">
      <c r="A5776" s="100">
        <v>45930</v>
      </c>
      <c r="B5776" t="str">
        <f t="shared" si="278"/>
        <v>September</v>
      </c>
      <c r="C5776" s="46" t="s">
        <v>280</v>
      </c>
      <c r="F5776" s="366" t="s">
        <v>2965</v>
      </c>
      <c r="G5776" s="46" t="s">
        <v>16</v>
      </c>
      <c r="H5776" s="46">
        <v>1</v>
      </c>
      <c r="I5776" s="51">
        <v>4103.8500000000004</v>
      </c>
      <c r="J5776" s="281">
        <f>++Tabla4[[#This Row],[Precio Bruto]]*1.16</f>
        <v>4760.4660000000003</v>
      </c>
      <c r="K5776" s="281">
        <f>+Tabla4[[#This Row],[Precio Unitario Neto]]*Tabla4[[#Headers],[20.85%]]</f>
        <v>992.55716100000006</v>
      </c>
      <c r="L5776" s="282">
        <f>++Tabla4[[#This Row],[Precio Unitario Neto]]-Tabla4[[#This Row],[20.85%]]</f>
        <v>3767.9088390000002</v>
      </c>
      <c r="M5776" s="282" t="e">
        <f>(INDEX(Tabla6[#All],MATCH(Tabla4[[#This Row],[Producto]],Tabla6[[#All],[PRODUCTO]],0),MATCH(Tabla4[[#This Row],[Mes]],Tabla6[#Headers],0)))*(1+Catalogos!$L$2)</f>
        <v>#N/A</v>
      </c>
      <c r="N5776" s="283" t="e">
        <f>+(Tabla4[[#This Row],[Precio Descontado]]-Tabla4[[#This Row],[Precio Base]])*Tabla4[[#This Row],[Cantidad]]</f>
        <v>#N/A</v>
      </c>
      <c r="O5776" s="284" t="e">
        <f>++Tabla4[[#This Row],[Utilidad Total]]/Tabla4[[#This Row],[Total]]</f>
        <v>#N/A</v>
      </c>
      <c r="P5776" s="282">
        <f>++Tabla4[[#This Row],[Precio Descontado]]*Tabla4[[#This Row],[Cantidad]]</f>
        <v>3767.9088390000002</v>
      </c>
      <c r="Q5776" s="282" t="e">
        <f>(INDEX(Tabla6[#All],MATCH(Tabla4[[#This Row],[Producto]],Tabla6[[#All],[PRODUCTO]],0),MATCH(Tabla4[[#This Row],[Mes]],Tabla6[#Headers],0)))</f>
        <v>#N/A</v>
      </c>
      <c r="R5776" s="282" t="e">
        <f>++Tabla4[[#This Row],[Precio Unitario Neto]]-Tabla4[[#This Row],[20.85%]]-Tabla4[[#This Row],[Costo]]</f>
        <v>#N/A</v>
      </c>
      <c r="S5776" s="282" t="e">
        <f>++Tabla4[[#This Row],[U. Bruta Uni]]*Tabla4[[#This Row],[Cantidad]]</f>
        <v>#N/A</v>
      </c>
      <c r="T5776" s="369" t="str">
        <f>VLOOKUP(Tabla4[[#This Row],[Producto]],Tabla6[#All],14,FALSE)</f>
        <v>Termico Solar</v>
      </c>
      <c r="U5776" s="284" t="e">
        <f>(IF(Tabla4[[#This Row],[Familia]]="termico solar",Tabla4[[#This Row],[Utilidad Total]]*6%,Tabla4[[#This Row],[Utilidad Total]]*11.5%))/Tabla4[[#This Row],[Total]]</f>
        <v>#N/A</v>
      </c>
      <c r="V5776" s="282" t="e">
        <f>+Tabla4[[#This Row],[Comisión Calculada]]*Tabla4[[#This Row],[Total]]</f>
        <v>#N/A</v>
      </c>
    </row>
    <row r="5777" spans="1:22" hidden="1" x14ac:dyDescent="0.25">
      <c r="A5777" s="100">
        <v>45930</v>
      </c>
      <c r="B5777" t="str">
        <f t="shared" si="278"/>
        <v>September</v>
      </c>
      <c r="C5777" s="46" t="s">
        <v>280</v>
      </c>
      <c r="F5777" s="366" t="s">
        <v>2966</v>
      </c>
      <c r="G5777" s="46" t="s">
        <v>208</v>
      </c>
      <c r="H5777" s="46">
        <v>1</v>
      </c>
      <c r="I5777" s="51">
        <v>189.75</v>
      </c>
      <c r="J5777" s="281">
        <f>++Tabla4[[#This Row],[Precio Bruto]]*1.16</f>
        <v>220.10999999999999</v>
      </c>
      <c r="K5777" s="281">
        <f>+Tabla4[[#This Row],[Precio Unitario Neto]]*Tabla4[[#Headers],[20.85%]]</f>
        <v>45.892934999999994</v>
      </c>
      <c r="L5777" s="282">
        <f>++Tabla4[[#This Row],[Precio Unitario Neto]]-Tabla4[[#This Row],[20.85%]]</f>
        <v>174.21706499999999</v>
      </c>
      <c r="M5777" s="282" t="e">
        <f>(INDEX(Tabla6[#All],MATCH(Tabla4[[#This Row],[Producto]],Tabla6[[#All],[PRODUCTO]],0),MATCH(Tabla4[[#This Row],[Mes]],Tabla6[#Headers],0)))*(1+Catalogos!$L$2)</f>
        <v>#N/A</v>
      </c>
      <c r="N5777" s="283" t="e">
        <f>+(Tabla4[[#This Row],[Precio Descontado]]-Tabla4[[#This Row],[Precio Base]])*Tabla4[[#This Row],[Cantidad]]</f>
        <v>#N/A</v>
      </c>
      <c r="O5777" s="284" t="e">
        <f>++Tabla4[[#This Row],[Utilidad Total]]/Tabla4[[#This Row],[Total]]</f>
        <v>#N/A</v>
      </c>
      <c r="P5777" s="282">
        <f>++Tabla4[[#This Row],[Precio Descontado]]*Tabla4[[#This Row],[Cantidad]]</f>
        <v>174.21706499999999</v>
      </c>
      <c r="Q5777" s="282" t="e">
        <f>(INDEX(Tabla6[#All],MATCH(Tabla4[[#This Row],[Producto]],Tabla6[[#All],[PRODUCTO]],0),MATCH(Tabla4[[#This Row],[Mes]],Tabla6[#Headers],0)))</f>
        <v>#N/A</v>
      </c>
      <c r="R5777" s="282" t="e">
        <f>++Tabla4[[#This Row],[Precio Unitario Neto]]-Tabla4[[#This Row],[20.85%]]-Tabla4[[#This Row],[Costo]]</f>
        <v>#N/A</v>
      </c>
      <c r="S5777" s="282" t="e">
        <f>++Tabla4[[#This Row],[U. Bruta Uni]]*Tabla4[[#This Row],[Cantidad]]</f>
        <v>#N/A</v>
      </c>
      <c r="T5777" s="369" t="str">
        <f>VLOOKUP(Tabla4[[#This Row],[Producto]],Tabla6[#All],14,FALSE)</f>
        <v>Termico Solar</v>
      </c>
      <c r="U5777" s="284" t="e">
        <f>(IF(Tabla4[[#This Row],[Familia]]="termico solar",Tabla4[[#This Row],[Utilidad Total]]*6%,Tabla4[[#This Row],[Utilidad Total]]*11.5%))/Tabla4[[#This Row],[Total]]</f>
        <v>#N/A</v>
      </c>
      <c r="V5777" s="282" t="e">
        <f>+Tabla4[[#This Row],[Comisión Calculada]]*Tabla4[[#This Row],[Total]]</f>
        <v>#N/A</v>
      </c>
    </row>
    <row r="5778" spans="1:22" hidden="1" x14ac:dyDescent="0.25">
      <c r="A5778" s="100">
        <v>45930</v>
      </c>
      <c r="B5778" t="str">
        <f t="shared" si="278"/>
        <v>September</v>
      </c>
      <c r="C5778" s="46" t="s">
        <v>280</v>
      </c>
      <c r="F5778" s="366" t="s">
        <v>2967</v>
      </c>
      <c r="G5778" s="46" t="s">
        <v>566</v>
      </c>
      <c r="H5778" s="46">
        <v>1</v>
      </c>
      <c r="I5778" s="51">
        <v>2109.4499999999998</v>
      </c>
      <c r="J5778" s="281">
        <f>++Tabla4[[#This Row],[Precio Bruto]]*1.16</f>
        <v>2446.9619999999995</v>
      </c>
      <c r="K5778" s="281">
        <f>+Tabla4[[#This Row],[Precio Unitario Neto]]*Tabla4[[#Headers],[20.85%]]</f>
        <v>510.19157699999988</v>
      </c>
      <c r="L5778" s="282">
        <f>++Tabla4[[#This Row],[Precio Unitario Neto]]-Tabla4[[#This Row],[20.85%]]</f>
        <v>1936.7704229999997</v>
      </c>
      <c r="M5778" s="282" t="e">
        <f>(INDEX(Tabla6[#All],MATCH(Tabla4[[#This Row],[Producto]],Tabla6[[#All],[PRODUCTO]],0),MATCH(Tabla4[[#This Row],[Mes]],Tabla6[#Headers],0)))*(1+Catalogos!$L$2)</f>
        <v>#N/A</v>
      </c>
      <c r="N5778" s="283" t="e">
        <f>+(Tabla4[[#This Row],[Precio Descontado]]-Tabla4[[#This Row],[Precio Base]])*Tabla4[[#This Row],[Cantidad]]</f>
        <v>#N/A</v>
      </c>
      <c r="O5778" s="284" t="e">
        <f>++Tabla4[[#This Row],[Utilidad Total]]/Tabla4[[#This Row],[Total]]</f>
        <v>#N/A</v>
      </c>
      <c r="P5778" s="282">
        <f>++Tabla4[[#This Row],[Precio Descontado]]*Tabla4[[#This Row],[Cantidad]]</f>
        <v>1936.7704229999997</v>
      </c>
      <c r="Q5778" s="282" t="e">
        <f>(INDEX(Tabla6[#All],MATCH(Tabla4[[#This Row],[Producto]],Tabla6[[#All],[PRODUCTO]],0),MATCH(Tabla4[[#This Row],[Mes]],Tabla6[#Headers],0)))</f>
        <v>#N/A</v>
      </c>
      <c r="R5778" s="282" t="e">
        <f>++Tabla4[[#This Row],[Precio Unitario Neto]]-Tabla4[[#This Row],[20.85%]]-Tabla4[[#This Row],[Costo]]</f>
        <v>#N/A</v>
      </c>
      <c r="S5778" s="282" t="e">
        <f>++Tabla4[[#This Row],[U. Bruta Uni]]*Tabla4[[#This Row],[Cantidad]]</f>
        <v>#N/A</v>
      </c>
      <c r="T5778" s="369" t="str">
        <f>VLOOKUP(Tabla4[[#This Row],[Producto]],Tabla6[#All],14,FALSE)</f>
        <v>Termico Solar</v>
      </c>
      <c r="U5778" s="284" t="e">
        <f>(IF(Tabla4[[#This Row],[Familia]]="termico solar",Tabla4[[#This Row],[Utilidad Total]]*6%,Tabla4[[#This Row],[Utilidad Total]]*11.5%))/Tabla4[[#This Row],[Total]]</f>
        <v>#N/A</v>
      </c>
      <c r="V5778" s="282" t="e">
        <f>+Tabla4[[#This Row],[Comisión Calculada]]*Tabla4[[#This Row],[Total]]</f>
        <v>#N/A</v>
      </c>
    </row>
    <row r="5779" spans="1:22" hidden="1" x14ac:dyDescent="0.25">
      <c r="A5779" s="100">
        <v>45930</v>
      </c>
      <c r="B5779" t="str">
        <f t="shared" si="278"/>
        <v>September</v>
      </c>
      <c r="C5779" s="46" t="s">
        <v>280</v>
      </c>
      <c r="F5779" s="366" t="s">
        <v>2967</v>
      </c>
      <c r="G5779" s="46" t="s">
        <v>208</v>
      </c>
      <c r="H5779" s="46">
        <v>4</v>
      </c>
      <c r="I5779" s="51">
        <v>189.75</v>
      </c>
      <c r="J5779" s="281">
        <f>++Tabla4[[#This Row],[Precio Bruto]]*1.16</f>
        <v>220.10999999999999</v>
      </c>
      <c r="K5779" s="281">
        <f>+Tabla4[[#This Row],[Precio Unitario Neto]]*Tabla4[[#Headers],[20.85%]]</f>
        <v>45.892934999999994</v>
      </c>
      <c r="L5779" s="282">
        <f>++Tabla4[[#This Row],[Precio Unitario Neto]]-Tabla4[[#This Row],[20.85%]]</f>
        <v>174.21706499999999</v>
      </c>
      <c r="M5779" s="282" t="e">
        <f>(INDEX(Tabla6[#All],MATCH(Tabla4[[#This Row],[Producto]],Tabla6[[#All],[PRODUCTO]],0),MATCH(Tabla4[[#This Row],[Mes]],Tabla6[#Headers],0)))*(1+Catalogos!$L$2)</f>
        <v>#N/A</v>
      </c>
      <c r="N5779" s="283" t="e">
        <f>+(Tabla4[[#This Row],[Precio Descontado]]-Tabla4[[#This Row],[Precio Base]])*Tabla4[[#This Row],[Cantidad]]</f>
        <v>#N/A</v>
      </c>
      <c r="O5779" s="284" t="e">
        <f>++Tabla4[[#This Row],[Utilidad Total]]/Tabla4[[#This Row],[Total]]</f>
        <v>#N/A</v>
      </c>
      <c r="P5779" s="282">
        <f>++Tabla4[[#This Row],[Precio Descontado]]*Tabla4[[#This Row],[Cantidad]]</f>
        <v>696.86825999999996</v>
      </c>
      <c r="Q5779" s="282" t="e">
        <f>(INDEX(Tabla6[#All],MATCH(Tabla4[[#This Row],[Producto]],Tabla6[[#All],[PRODUCTO]],0),MATCH(Tabla4[[#This Row],[Mes]],Tabla6[#Headers],0)))</f>
        <v>#N/A</v>
      </c>
      <c r="R5779" s="282" t="e">
        <f>++Tabla4[[#This Row],[Precio Unitario Neto]]-Tabla4[[#This Row],[20.85%]]-Tabla4[[#This Row],[Costo]]</f>
        <v>#N/A</v>
      </c>
      <c r="S5779" s="282" t="e">
        <f>++Tabla4[[#This Row],[U. Bruta Uni]]*Tabla4[[#This Row],[Cantidad]]</f>
        <v>#N/A</v>
      </c>
      <c r="T5779" s="369" t="str">
        <f>VLOOKUP(Tabla4[[#This Row],[Producto]],Tabla6[#All],14,FALSE)</f>
        <v>Termico Solar</v>
      </c>
      <c r="U5779" s="284" t="e">
        <f>(IF(Tabla4[[#This Row],[Familia]]="termico solar",Tabla4[[#This Row],[Utilidad Total]]*6%,Tabla4[[#This Row],[Utilidad Total]]*11.5%))/Tabla4[[#This Row],[Total]]</f>
        <v>#N/A</v>
      </c>
      <c r="V5779" s="282" t="e">
        <f>+Tabla4[[#This Row],[Comisión Calculada]]*Tabla4[[#This Row],[Total]]</f>
        <v>#N/A</v>
      </c>
    </row>
    <row r="5780" spans="1:22" hidden="1" x14ac:dyDescent="0.25">
      <c r="A5780" s="100">
        <v>45930</v>
      </c>
      <c r="B5780" t="str">
        <f t="shared" si="278"/>
        <v>September</v>
      </c>
      <c r="C5780" s="46" t="s">
        <v>280</v>
      </c>
      <c r="F5780" s="366" t="s">
        <v>2968</v>
      </c>
      <c r="G5780" s="46" t="s">
        <v>17</v>
      </c>
      <c r="H5780" s="46">
        <v>1</v>
      </c>
      <c r="I5780" s="51">
        <v>4622.28</v>
      </c>
      <c r="J5780" s="281">
        <f>++Tabla4[[#This Row],[Precio Bruto]]*1.16</f>
        <v>5361.8447999999989</v>
      </c>
      <c r="K5780" s="281">
        <f>+Tabla4[[#This Row],[Precio Unitario Neto]]*Tabla4[[#Headers],[20.85%]]</f>
        <v>1117.9446407999997</v>
      </c>
      <c r="L5780" s="282">
        <f>++Tabla4[[#This Row],[Precio Unitario Neto]]-Tabla4[[#This Row],[20.85%]]</f>
        <v>4243.9001591999995</v>
      </c>
      <c r="M5780" s="282" t="e">
        <f>(INDEX(Tabla6[#All],MATCH(Tabla4[[#This Row],[Producto]],Tabla6[[#All],[PRODUCTO]],0),MATCH(Tabla4[[#This Row],[Mes]],Tabla6[#Headers],0)))*(1+Catalogos!$L$2)</f>
        <v>#N/A</v>
      </c>
      <c r="N5780" s="283" t="e">
        <f>+(Tabla4[[#This Row],[Precio Descontado]]-Tabla4[[#This Row],[Precio Base]])*Tabla4[[#This Row],[Cantidad]]</f>
        <v>#N/A</v>
      </c>
      <c r="O5780" s="284" t="e">
        <f>++Tabla4[[#This Row],[Utilidad Total]]/Tabla4[[#This Row],[Total]]</f>
        <v>#N/A</v>
      </c>
      <c r="P5780" s="282">
        <f>++Tabla4[[#This Row],[Precio Descontado]]*Tabla4[[#This Row],[Cantidad]]</f>
        <v>4243.9001591999995</v>
      </c>
      <c r="Q5780" s="282" t="e">
        <f>(INDEX(Tabla6[#All],MATCH(Tabla4[[#This Row],[Producto]],Tabla6[[#All],[PRODUCTO]],0),MATCH(Tabla4[[#This Row],[Mes]],Tabla6[#Headers],0)))</f>
        <v>#N/A</v>
      </c>
      <c r="R5780" s="282" t="e">
        <f>++Tabla4[[#This Row],[Precio Unitario Neto]]-Tabla4[[#This Row],[20.85%]]-Tabla4[[#This Row],[Costo]]</f>
        <v>#N/A</v>
      </c>
      <c r="S5780" s="282" t="e">
        <f>++Tabla4[[#This Row],[U. Bruta Uni]]*Tabla4[[#This Row],[Cantidad]]</f>
        <v>#N/A</v>
      </c>
      <c r="T5780" s="369" t="str">
        <f>VLOOKUP(Tabla4[[#This Row],[Producto]],Tabla6[#All],14,FALSE)</f>
        <v>Termico Solar</v>
      </c>
      <c r="U5780" s="284" t="e">
        <f>(IF(Tabla4[[#This Row],[Familia]]="termico solar",Tabla4[[#This Row],[Utilidad Total]]*6%,Tabla4[[#This Row],[Utilidad Total]]*11.5%))/Tabla4[[#This Row],[Total]]</f>
        <v>#N/A</v>
      </c>
      <c r="V5780" s="282" t="e">
        <f>+Tabla4[[#This Row],[Comisión Calculada]]*Tabla4[[#This Row],[Total]]</f>
        <v>#N/A</v>
      </c>
    </row>
    <row r="5781" spans="1:22" hidden="1" x14ac:dyDescent="0.25">
      <c r="A5781" s="100">
        <v>45930</v>
      </c>
      <c r="B5781" t="str">
        <f t="shared" si="278"/>
        <v>September</v>
      </c>
      <c r="C5781" s="46" t="s">
        <v>280</v>
      </c>
      <c r="F5781" s="366" t="s">
        <v>2968</v>
      </c>
      <c r="G5781" s="46" t="s">
        <v>208</v>
      </c>
      <c r="H5781" s="46">
        <v>1</v>
      </c>
      <c r="I5781" s="51">
        <v>189.75</v>
      </c>
      <c r="J5781" s="281">
        <f>++Tabla4[[#This Row],[Precio Bruto]]*1.16</f>
        <v>220.10999999999999</v>
      </c>
      <c r="K5781" s="281">
        <f>+Tabla4[[#This Row],[Precio Unitario Neto]]*Tabla4[[#Headers],[20.85%]]</f>
        <v>45.892934999999994</v>
      </c>
      <c r="L5781" s="282">
        <f>++Tabla4[[#This Row],[Precio Unitario Neto]]-Tabla4[[#This Row],[20.85%]]</f>
        <v>174.21706499999999</v>
      </c>
      <c r="M5781" s="282" t="e">
        <f>(INDEX(Tabla6[#All],MATCH(Tabla4[[#This Row],[Producto]],Tabla6[[#All],[PRODUCTO]],0),MATCH(Tabla4[[#This Row],[Mes]],Tabla6[#Headers],0)))*(1+Catalogos!$L$2)</f>
        <v>#N/A</v>
      </c>
      <c r="N5781" s="283" t="e">
        <f>+(Tabla4[[#This Row],[Precio Descontado]]-Tabla4[[#This Row],[Precio Base]])*Tabla4[[#This Row],[Cantidad]]</f>
        <v>#N/A</v>
      </c>
      <c r="O5781" s="284" t="e">
        <f>++Tabla4[[#This Row],[Utilidad Total]]/Tabla4[[#This Row],[Total]]</f>
        <v>#N/A</v>
      </c>
      <c r="P5781" s="282">
        <f>++Tabla4[[#This Row],[Precio Descontado]]*Tabla4[[#This Row],[Cantidad]]</f>
        <v>174.21706499999999</v>
      </c>
      <c r="Q5781" s="282" t="e">
        <f>(INDEX(Tabla6[#All],MATCH(Tabla4[[#This Row],[Producto]],Tabla6[[#All],[PRODUCTO]],0),MATCH(Tabla4[[#This Row],[Mes]],Tabla6[#Headers],0)))</f>
        <v>#N/A</v>
      </c>
      <c r="R5781" s="282" t="e">
        <f>++Tabla4[[#This Row],[Precio Unitario Neto]]-Tabla4[[#This Row],[20.85%]]-Tabla4[[#This Row],[Costo]]</f>
        <v>#N/A</v>
      </c>
      <c r="S5781" s="282" t="e">
        <f>++Tabla4[[#This Row],[U. Bruta Uni]]*Tabla4[[#This Row],[Cantidad]]</f>
        <v>#N/A</v>
      </c>
      <c r="T5781" s="369" t="str">
        <f>VLOOKUP(Tabla4[[#This Row],[Producto]],Tabla6[#All],14,FALSE)</f>
        <v>Termico Solar</v>
      </c>
      <c r="U5781" s="284" t="e">
        <f>(IF(Tabla4[[#This Row],[Familia]]="termico solar",Tabla4[[#This Row],[Utilidad Total]]*6%,Tabla4[[#This Row],[Utilidad Total]]*11.5%))/Tabla4[[#This Row],[Total]]</f>
        <v>#N/A</v>
      </c>
      <c r="V5781" s="282" t="e">
        <f>+Tabla4[[#This Row],[Comisión Calculada]]*Tabla4[[#This Row],[Total]]</f>
        <v>#N/A</v>
      </c>
    </row>
    <row r="5782" spans="1:22" hidden="1" x14ac:dyDescent="0.25">
      <c r="A5782" s="100">
        <v>45930</v>
      </c>
      <c r="B5782" t="str">
        <f t="shared" si="278"/>
        <v>September</v>
      </c>
      <c r="C5782" s="46" t="s">
        <v>280</v>
      </c>
      <c r="F5782" s="366" t="s">
        <v>2969</v>
      </c>
      <c r="G5782" s="46" t="s">
        <v>17</v>
      </c>
      <c r="H5782" s="46">
        <v>1</v>
      </c>
      <c r="I5782" s="51">
        <v>4622.28</v>
      </c>
      <c r="J5782" s="281">
        <f>++Tabla4[[#This Row],[Precio Bruto]]*1.16</f>
        <v>5361.8447999999989</v>
      </c>
      <c r="K5782" s="281">
        <f>+Tabla4[[#This Row],[Precio Unitario Neto]]*Tabla4[[#Headers],[20.85%]]</f>
        <v>1117.9446407999997</v>
      </c>
      <c r="L5782" s="282">
        <f>++Tabla4[[#This Row],[Precio Unitario Neto]]-Tabla4[[#This Row],[20.85%]]</f>
        <v>4243.9001591999995</v>
      </c>
      <c r="M5782" s="282" t="e">
        <f>(INDEX(Tabla6[#All],MATCH(Tabla4[[#This Row],[Producto]],Tabla6[[#All],[PRODUCTO]],0),MATCH(Tabla4[[#This Row],[Mes]],Tabla6[#Headers],0)))*(1+Catalogos!$L$2)</f>
        <v>#N/A</v>
      </c>
      <c r="N5782" s="283" t="e">
        <f>+(Tabla4[[#This Row],[Precio Descontado]]-Tabla4[[#This Row],[Precio Base]])*Tabla4[[#This Row],[Cantidad]]</f>
        <v>#N/A</v>
      </c>
      <c r="O5782" s="284" t="e">
        <f>++Tabla4[[#This Row],[Utilidad Total]]/Tabla4[[#This Row],[Total]]</f>
        <v>#N/A</v>
      </c>
      <c r="P5782" s="282">
        <f>++Tabla4[[#This Row],[Precio Descontado]]*Tabla4[[#This Row],[Cantidad]]</f>
        <v>4243.9001591999995</v>
      </c>
      <c r="Q5782" s="282" t="e">
        <f>(INDEX(Tabla6[#All],MATCH(Tabla4[[#This Row],[Producto]],Tabla6[[#All],[PRODUCTO]],0),MATCH(Tabla4[[#This Row],[Mes]],Tabla6[#Headers],0)))</f>
        <v>#N/A</v>
      </c>
      <c r="R5782" s="282" t="e">
        <f>++Tabla4[[#This Row],[Precio Unitario Neto]]-Tabla4[[#This Row],[20.85%]]-Tabla4[[#This Row],[Costo]]</f>
        <v>#N/A</v>
      </c>
      <c r="S5782" s="282" t="e">
        <f>++Tabla4[[#This Row],[U. Bruta Uni]]*Tabla4[[#This Row],[Cantidad]]</f>
        <v>#N/A</v>
      </c>
      <c r="T5782" s="369" t="str">
        <f>VLOOKUP(Tabla4[[#This Row],[Producto]],Tabla6[#All],14,FALSE)</f>
        <v>Termico Solar</v>
      </c>
      <c r="U5782" s="284" t="e">
        <f>(IF(Tabla4[[#This Row],[Familia]]="termico solar",Tabla4[[#This Row],[Utilidad Total]]*6%,Tabla4[[#This Row],[Utilidad Total]]*11.5%))/Tabla4[[#This Row],[Total]]</f>
        <v>#N/A</v>
      </c>
      <c r="V5782" s="282" t="e">
        <f>+Tabla4[[#This Row],[Comisión Calculada]]*Tabla4[[#This Row],[Total]]</f>
        <v>#N/A</v>
      </c>
    </row>
    <row r="5783" spans="1:22" hidden="1" x14ac:dyDescent="0.25">
      <c r="A5783" s="100">
        <v>45930</v>
      </c>
      <c r="B5783" t="str">
        <f t="shared" si="278"/>
        <v>September</v>
      </c>
      <c r="C5783" s="46" t="s">
        <v>280</v>
      </c>
      <c r="F5783" s="366" t="s">
        <v>2969</v>
      </c>
      <c r="G5783" s="46" t="s">
        <v>208</v>
      </c>
      <c r="H5783" s="46">
        <v>1</v>
      </c>
      <c r="I5783" s="51">
        <v>189.75</v>
      </c>
      <c r="J5783" s="281">
        <f>++Tabla4[[#This Row],[Precio Bruto]]*1.16</f>
        <v>220.10999999999999</v>
      </c>
      <c r="K5783" s="281">
        <f>+Tabla4[[#This Row],[Precio Unitario Neto]]*Tabla4[[#Headers],[20.85%]]</f>
        <v>45.892934999999994</v>
      </c>
      <c r="L5783" s="282">
        <f>++Tabla4[[#This Row],[Precio Unitario Neto]]-Tabla4[[#This Row],[20.85%]]</f>
        <v>174.21706499999999</v>
      </c>
      <c r="M5783" s="282" t="e">
        <f>(INDEX(Tabla6[#All],MATCH(Tabla4[[#This Row],[Producto]],Tabla6[[#All],[PRODUCTO]],0),MATCH(Tabla4[[#This Row],[Mes]],Tabla6[#Headers],0)))*(1+Catalogos!$L$2)</f>
        <v>#N/A</v>
      </c>
      <c r="N5783" s="283" t="e">
        <f>+(Tabla4[[#This Row],[Precio Descontado]]-Tabla4[[#This Row],[Precio Base]])*Tabla4[[#This Row],[Cantidad]]</f>
        <v>#N/A</v>
      </c>
      <c r="O5783" s="284" t="e">
        <f>++Tabla4[[#This Row],[Utilidad Total]]/Tabla4[[#This Row],[Total]]</f>
        <v>#N/A</v>
      </c>
      <c r="P5783" s="282">
        <f>++Tabla4[[#This Row],[Precio Descontado]]*Tabla4[[#This Row],[Cantidad]]</f>
        <v>174.21706499999999</v>
      </c>
      <c r="Q5783" s="282" t="e">
        <f>(INDEX(Tabla6[#All],MATCH(Tabla4[[#This Row],[Producto]],Tabla6[[#All],[PRODUCTO]],0),MATCH(Tabla4[[#This Row],[Mes]],Tabla6[#Headers],0)))</f>
        <v>#N/A</v>
      </c>
      <c r="R5783" s="282" t="e">
        <f>++Tabla4[[#This Row],[Precio Unitario Neto]]-Tabla4[[#This Row],[20.85%]]-Tabla4[[#This Row],[Costo]]</f>
        <v>#N/A</v>
      </c>
      <c r="S5783" s="282" t="e">
        <f>++Tabla4[[#This Row],[U. Bruta Uni]]*Tabla4[[#This Row],[Cantidad]]</f>
        <v>#N/A</v>
      </c>
      <c r="T5783" s="369" t="str">
        <f>VLOOKUP(Tabla4[[#This Row],[Producto]],Tabla6[#All],14,FALSE)</f>
        <v>Termico Solar</v>
      </c>
      <c r="U5783" s="284" t="e">
        <f>(IF(Tabla4[[#This Row],[Familia]]="termico solar",Tabla4[[#This Row],[Utilidad Total]]*6%,Tabla4[[#This Row],[Utilidad Total]]*11.5%))/Tabla4[[#This Row],[Total]]</f>
        <v>#N/A</v>
      </c>
      <c r="V5783" s="282" t="e">
        <f>+Tabla4[[#This Row],[Comisión Calculada]]*Tabla4[[#This Row],[Total]]</f>
        <v>#N/A</v>
      </c>
    </row>
    <row r="5784" spans="1:22" hidden="1" x14ac:dyDescent="0.25">
      <c r="A5784" s="100">
        <v>45930</v>
      </c>
      <c r="B5784" t="str">
        <f t="shared" si="278"/>
        <v>September</v>
      </c>
      <c r="C5784" s="46" t="s">
        <v>280</v>
      </c>
      <c r="F5784" s="366" t="s">
        <v>2970</v>
      </c>
      <c r="G5784" s="46" t="s">
        <v>18</v>
      </c>
      <c r="H5784" s="46">
        <v>1</v>
      </c>
      <c r="I5784" s="51">
        <v>5367.65</v>
      </c>
      <c r="J5784" s="281">
        <f>++Tabla4[[#This Row],[Precio Bruto]]*1.16</f>
        <v>6226.4739999999993</v>
      </c>
      <c r="K5784" s="281">
        <f>+Tabla4[[#This Row],[Precio Unitario Neto]]*Tabla4[[#Headers],[20.85%]]</f>
        <v>1298.2198289999999</v>
      </c>
      <c r="L5784" s="282">
        <f>++Tabla4[[#This Row],[Precio Unitario Neto]]-Tabla4[[#This Row],[20.85%]]</f>
        <v>4928.2541709999996</v>
      </c>
      <c r="M5784" s="282" t="e">
        <f>(INDEX(Tabla6[#All],MATCH(Tabla4[[#This Row],[Producto]],Tabla6[[#All],[PRODUCTO]],0),MATCH(Tabla4[[#This Row],[Mes]],Tabla6[#Headers],0)))*(1+Catalogos!$L$2)</f>
        <v>#N/A</v>
      </c>
      <c r="N5784" s="283" t="e">
        <f>+(Tabla4[[#This Row],[Precio Descontado]]-Tabla4[[#This Row],[Precio Base]])*Tabla4[[#This Row],[Cantidad]]</f>
        <v>#N/A</v>
      </c>
      <c r="O5784" s="284" t="e">
        <f>++Tabla4[[#This Row],[Utilidad Total]]/Tabla4[[#This Row],[Total]]</f>
        <v>#N/A</v>
      </c>
      <c r="P5784" s="282">
        <f>++Tabla4[[#This Row],[Precio Descontado]]*Tabla4[[#This Row],[Cantidad]]</f>
        <v>4928.2541709999996</v>
      </c>
      <c r="Q5784" s="282" t="e">
        <f>(INDEX(Tabla6[#All],MATCH(Tabla4[[#This Row],[Producto]],Tabla6[[#All],[PRODUCTO]],0),MATCH(Tabla4[[#This Row],[Mes]],Tabla6[#Headers],0)))</f>
        <v>#N/A</v>
      </c>
      <c r="R5784" s="282" t="e">
        <f>++Tabla4[[#This Row],[Precio Unitario Neto]]-Tabla4[[#This Row],[20.85%]]-Tabla4[[#This Row],[Costo]]</f>
        <v>#N/A</v>
      </c>
      <c r="S5784" s="282" t="e">
        <f>++Tabla4[[#This Row],[U. Bruta Uni]]*Tabla4[[#This Row],[Cantidad]]</f>
        <v>#N/A</v>
      </c>
      <c r="T5784" s="369" t="str">
        <f>VLOOKUP(Tabla4[[#This Row],[Producto]],Tabla6[#All],14,FALSE)</f>
        <v>Termico Solar</v>
      </c>
      <c r="U5784" s="284" t="e">
        <f>(IF(Tabla4[[#This Row],[Familia]]="termico solar",Tabla4[[#This Row],[Utilidad Total]]*6%,Tabla4[[#This Row],[Utilidad Total]]*11.5%))/Tabla4[[#This Row],[Total]]</f>
        <v>#N/A</v>
      </c>
      <c r="V5784" s="282" t="e">
        <f>+Tabla4[[#This Row],[Comisión Calculada]]*Tabla4[[#This Row],[Total]]</f>
        <v>#N/A</v>
      </c>
    </row>
    <row r="5785" spans="1:22" hidden="1" x14ac:dyDescent="0.25">
      <c r="A5785" s="100">
        <v>45930</v>
      </c>
      <c r="B5785" t="str">
        <f t="shared" si="278"/>
        <v>September</v>
      </c>
      <c r="C5785" s="46" t="s">
        <v>280</v>
      </c>
      <c r="F5785" s="366" t="s">
        <v>2971</v>
      </c>
      <c r="G5785" s="46" t="s">
        <v>17</v>
      </c>
      <c r="H5785" s="46">
        <v>1</v>
      </c>
      <c r="I5785" s="51">
        <v>4622.28</v>
      </c>
      <c r="J5785" s="281">
        <f>++Tabla4[[#This Row],[Precio Bruto]]*1.16</f>
        <v>5361.8447999999989</v>
      </c>
      <c r="K5785" s="281">
        <f>+Tabla4[[#This Row],[Precio Unitario Neto]]*Tabla4[[#Headers],[20.85%]]</f>
        <v>1117.9446407999997</v>
      </c>
      <c r="L5785" s="282">
        <f>++Tabla4[[#This Row],[Precio Unitario Neto]]-Tabla4[[#This Row],[20.85%]]</f>
        <v>4243.9001591999995</v>
      </c>
      <c r="M5785" s="282" t="e">
        <f>(INDEX(Tabla6[#All],MATCH(Tabla4[[#This Row],[Producto]],Tabla6[[#All],[PRODUCTO]],0),MATCH(Tabla4[[#This Row],[Mes]],Tabla6[#Headers],0)))*(1+Catalogos!$L$2)</f>
        <v>#N/A</v>
      </c>
      <c r="N5785" s="283" t="e">
        <f>+(Tabla4[[#This Row],[Precio Descontado]]-Tabla4[[#This Row],[Precio Base]])*Tabla4[[#This Row],[Cantidad]]</f>
        <v>#N/A</v>
      </c>
      <c r="O5785" s="284" t="e">
        <f>++Tabla4[[#This Row],[Utilidad Total]]/Tabla4[[#This Row],[Total]]</f>
        <v>#N/A</v>
      </c>
      <c r="P5785" s="282">
        <f>++Tabla4[[#This Row],[Precio Descontado]]*Tabla4[[#This Row],[Cantidad]]</f>
        <v>4243.9001591999995</v>
      </c>
      <c r="Q5785" s="282" t="e">
        <f>(INDEX(Tabla6[#All],MATCH(Tabla4[[#This Row],[Producto]],Tabla6[[#All],[PRODUCTO]],0),MATCH(Tabla4[[#This Row],[Mes]],Tabla6[#Headers],0)))</f>
        <v>#N/A</v>
      </c>
      <c r="R5785" s="282" t="e">
        <f>++Tabla4[[#This Row],[Precio Unitario Neto]]-Tabla4[[#This Row],[20.85%]]-Tabla4[[#This Row],[Costo]]</f>
        <v>#N/A</v>
      </c>
      <c r="S5785" s="282" t="e">
        <f>++Tabla4[[#This Row],[U. Bruta Uni]]*Tabla4[[#This Row],[Cantidad]]</f>
        <v>#N/A</v>
      </c>
      <c r="T5785" s="369" t="str">
        <f>VLOOKUP(Tabla4[[#This Row],[Producto]],Tabla6[#All],14,FALSE)</f>
        <v>Termico Solar</v>
      </c>
      <c r="U5785" s="284" t="e">
        <f>(IF(Tabla4[[#This Row],[Familia]]="termico solar",Tabla4[[#This Row],[Utilidad Total]]*6%,Tabla4[[#This Row],[Utilidad Total]]*11.5%))/Tabla4[[#This Row],[Total]]</f>
        <v>#N/A</v>
      </c>
      <c r="V5785" s="282" t="e">
        <f>+Tabla4[[#This Row],[Comisión Calculada]]*Tabla4[[#This Row],[Total]]</f>
        <v>#N/A</v>
      </c>
    </row>
    <row r="5786" spans="1:22" hidden="1" x14ac:dyDescent="0.25">
      <c r="A5786" s="100">
        <v>45930</v>
      </c>
      <c r="B5786" t="str">
        <f t="shared" si="278"/>
        <v>September</v>
      </c>
      <c r="C5786" s="46" t="s">
        <v>280</v>
      </c>
      <c r="F5786" s="366" t="s">
        <v>2972</v>
      </c>
      <c r="G5786" s="46" t="s">
        <v>208</v>
      </c>
      <c r="H5786" s="46">
        <v>1</v>
      </c>
      <c r="I5786" s="51">
        <v>189.75</v>
      </c>
      <c r="J5786" s="281">
        <f>++Tabla4[[#This Row],[Precio Bruto]]*1.16</f>
        <v>220.10999999999999</v>
      </c>
      <c r="K5786" s="281">
        <f>+Tabla4[[#This Row],[Precio Unitario Neto]]*Tabla4[[#Headers],[20.85%]]</f>
        <v>45.892934999999994</v>
      </c>
      <c r="L5786" s="282">
        <f>++Tabla4[[#This Row],[Precio Unitario Neto]]-Tabla4[[#This Row],[20.85%]]</f>
        <v>174.21706499999999</v>
      </c>
      <c r="M5786" s="282" t="e">
        <f>(INDEX(Tabla6[#All],MATCH(Tabla4[[#This Row],[Producto]],Tabla6[[#All],[PRODUCTO]],0),MATCH(Tabla4[[#This Row],[Mes]],Tabla6[#Headers],0)))*(1+Catalogos!$L$2)</f>
        <v>#N/A</v>
      </c>
      <c r="N5786" s="283" t="e">
        <f>+(Tabla4[[#This Row],[Precio Descontado]]-Tabla4[[#This Row],[Precio Base]])*Tabla4[[#This Row],[Cantidad]]</f>
        <v>#N/A</v>
      </c>
      <c r="O5786" s="284" t="e">
        <f>++Tabla4[[#This Row],[Utilidad Total]]/Tabla4[[#This Row],[Total]]</f>
        <v>#N/A</v>
      </c>
      <c r="P5786" s="282">
        <f>++Tabla4[[#This Row],[Precio Descontado]]*Tabla4[[#This Row],[Cantidad]]</f>
        <v>174.21706499999999</v>
      </c>
      <c r="Q5786" s="282" t="e">
        <f>(INDEX(Tabla6[#All],MATCH(Tabla4[[#This Row],[Producto]],Tabla6[[#All],[PRODUCTO]],0),MATCH(Tabla4[[#This Row],[Mes]],Tabla6[#Headers],0)))</f>
        <v>#N/A</v>
      </c>
      <c r="R5786" s="282" t="e">
        <f>++Tabla4[[#This Row],[Precio Unitario Neto]]-Tabla4[[#This Row],[20.85%]]-Tabla4[[#This Row],[Costo]]</f>
        <v>#N/A</v>
      </c>
      <c r="S5786" s="282" t="e">
        <f>++Tabla4[[#This Row],[U. Bruta Uni]]*Tabla4[[#This Row],[Cantidad]]</f>
        <v>#N/A</v>
      </c>
      <c r="T5786" s="369" t="str">
        <f>VLOOKUP(Tabla4[[#This Row],[Producto]],Tabla6[#All],14,FALSE)</f>
        <v>Termico Solar</v>
      </c>
      <c r="U5786" s="284" t="e">
        <f>(IF(Tabla4[[#This Row],[Familia]]="termico solar",Tabla4[[#This Row],[Utilidad Total]]*6%,Tabla4[[#This Row],[Utilidad Total]]*11.5%))/Tabla4[[#This Row],[Total]]</f>
        <v>#N/A</v>
      </c>
      <c r="V5786" s="282" t="e">
        <f>+Tabla4[[#This Row],[Comisión Calculada]]*Tabla4[[#This Row],[Total]]</f>
        <v>#N/A</v>
      </c>
    </row>
    <row r="5787" spans="1:22" hidden="1" x14ac:dyDescent="0.25">
      <c r="A5787" s="100">
        <v>45930</v>
      </c>
      <c r="B5787" t="str">
        <f t="shared" si="278"/>
        <v>September</v>
      </c>
      <c r="C5787" s="46" t="s">
        <v>280</v>
      </c>
      <c r="F5787" s="366" t="s">
        <v>2973</v>
      </c>
      <c r="G5787" s="46" t="s">
        <v>16</v>
      </c>
      <c r="H5787" s="46">
        <v>1</v>
      </c>
      <c r="I5787" s="51">
        <v>4103.8500000000004</v>
      </c>
      <c r="J5787" s="281">
        <f>++Tabla4[[#This Row],[Precio Bruto]]*1.16</f>
        <v>4760.4660000000003</v>
      </c>
      <c r="K5787" s="281">
        <f>+Tabla4[[#This Row],[Precio Unitario Neto]]*Tabla4[[#Headers],[20.85%]]</f>
        <v>992.55716100000006</v>
      </c>
      <c r="L5787" s="282">
        <f>++Tabla4[[#This Row],[Precio Unitario Neto]]-Tabla4[[#This Row],[20.85%]]</f>
        <v>3767.9088390000002</v>
      </c>
      <c r="M5787" s="282" t="e">
        <f>(INDEX(Tabla6[#All],MATCH(Tabla4[[#This Row],[Producto]],Tabla6[[#All],[PRODUCTO]],0),MATCH(Tabla4[[#This Row],[Mes]],Tabla6[#Headers],0)))*(1+Catalogos!$L$2)</f>
        <v>#N/A</v>
      </c>
      <c r="N5787" s="283" t="e">
        <f>+(Tabla4[[#This Row],[Precio Descontado]]-Tabla4[[#This Row],[Precio Base]])*Tabla4[[#This Row],[Cantidad]]</f>
        <v>#N/A</v>
      </c>
      <c r="O5787" s="284" t="e">
        <f>++Tabla4[[#This Row],[Utilidad Total]]/Tabla4[[#This Row],[Total]]</f>
        <v>#N/A</v>
      </c>
      <c r="P5787" s="282">
        <f>++Tabla4[[#This Row],[Precio Descontado]]*Tabla4[[#This Row],[Cantidad]]</f>
        <v>3767.9088390000002</v>
      </c>
      <c r="Q5787" s="282" t="e">
        <f>(INDEX(Tabla6[#All],MATCH(Tabla4[[#This Row],[Producto]],Tabla6[[#All],[PRODUCTO]],0),MATCH(Tabla4[[#This Row],[Mes]],Tabla6[#Headers],0)))</f>
        <v>#N/A</v>
      </c>
      <c r="R5787" s="282" t="e">
        <f>++Tabla4[[#This Row],[Precio Unitario Neto]]-Tabla4[[#This Row],[20.85%]]-Tabla4[[#This Row],[Costo]]</f>
        <v>#N/A</v>
      </c>
      <c r="S5787" s="282" t="e">
        <f>++Tabla4[[#This Row],[U. Bruta Uni]]*Tabla4[[#This Row],[Cantidad]]</f>
        <v>#N/A</v>
      </c>
      <c r="T5787" s="369" t="str">
        <f>VLOOKUP(Tabla4[[#This Row],[Producto]],Tabla6[#All],14,FALSE)</f>
        <v>Termico Solar</v>
      </c>
      <c r="U5787" s="284" t="e">
        <f>(IF(Tabla4[[#This Row],[Familia]]="termico solar",Tabla4[[#This Row],[Utilidad Total]]*6%,Tabla4[[#This Row],[Utilidad Total]]*11.5%))/Tabla4[[#This Row],[Total]]</f>
        <v>#N/A</v>
      </c>
      <c r="V5787" s="282" t="e">
        <f>+Tabla4[[#This Row],[Comisión Calculada]]*Tabla4[[#This Row],[Total]]</f>
        <v>#N/A</v>
      </c>
    </row>
    <row r="5788" spans="1:22" hidden="1" x14ac:dyDescent="0.25">
      <c r="A5788" s="100">
        <v>45930</v>
      </c>
      <c r="B5788" t="str">
        <f t="shared" si="278"/>
        <v>September</v>
      </c>
      <c r="C5788" s="46" t="s">
        <v>280</v>
      </c>
      <c r="F5788" s="366" t="s">
        <v>2974</v>
      </c>
      <c r="G5788" s="46" t="s">
        <v>16</v>
      </c>
      <c r="H5788" s="46">
        <v>2</v>
      </c>
      <c r="I5788" s="51">
        <v>4103.8500000000004</v>
      </c>
      <c r="J5788" s="281">
        <f>++Tabla4[[#This Row],[Precio Bruto]]*1.16</f>
        <v>4760.4660000000003</v>
      </c>
      <c r="K5788" s="281">
        <f>+Tabla4[[#This Row],[Precio Unitario Neto]]*Tabla4[[#Headers],[20.85%]]</f>
        <v>992.55716100000006</v>
      </c>
      <c r="L5788" s="282">
        <f>++Tabla4[[#This Row],[Precio Unitario Neto]]-Tabla4[[#This Row],[20.85%]]</f>
        <v>3767.9088390000002</v>
      </c>
      <c r="M5788" s="282" t="e">
        <f>(INDEX(Tabla6[#All],MATCH(Tabla4[[#This Row],[Producto]],Tabla6[[#All],[PRODUCTO]],0),MATCH(Tabla4[[#This Row],[Mes]],Tabla6[#Headers],0)))*(1+Catalogos!$L$2)</f>
        <v>#N/A</v>
      </c>
      <c r="N5788" s="283" t="e">
        <f>+(Tabla4[[#This Row],[Precio Descontado]]-Tabla4[[#This Row],[Precio Base]])*Tabla4[[#This Row],[Cantidad]]</f>
        <v>#N/A</v>
      </c>
      <c r="O5788" s="284" t="e">
        <f>++Tabla4[[#This Row],[Utilidad Total]]/Tabla4[[#This Row],[Total]]</f>
        <v>#N/A</v>
      </c>
      <c r="P5788" s="282">
        <f>++Tabla4[[#This Row],[Precio Descontado]]*Tabla4[[#This Row],[Cantidad]]</f>
        <v>7535.8176780000003</v>
      </c>
      <c r="Q5788" s="282" t="e">
        <f>(INDEX(Tabla6[#All],MATCH(Tabla4[[#This Row],[Producto]],Tabla6[[#All],[PRODUCTO]],0),MATCH(Tabla4[[#This Row],[Mes]],Tabla6[#Headers],0)))</f>
        <v>#N/A</v>
      </c>
      <c r="R5788" s="282" t="e">
        <f>++Tabla4[[#This Row],[Precio Unitario Neto]]-Tabla4[[#This Row],[20.85%]]-Tabla4[[#This Row],[Costo]]</f>
        <v>#N/A</v>
      </c>
      <c r="S5788" s="282" t="e">
        <f>++Tabla4[[#This Row],[U. Bruta Uni]]*Tabla4[[#This Row],[Cantidad]]</f>
        <v>#N/A</v>
      </c>
      <c r="T5788" s="369" t="str">
        <f>VLOOKUP(Tabla4[[#This Row],[Producto]],Tabla6[#All],14,FALSE)</f>
        <v>Termico Solar</v>
      </c>
      <c r="U5788" s="284" t="e">
        <f>(IF(Tabla4[[#This Row],[Familia]]="termico solar",Tabla4[[#This Row],[Utilidad Total]]*6%,Tabla4[[#This Row],[Utilidad Total]]*11.5%))/Tabla4[[#This Row],[Total]]</f>
        <v>#N/A</v>
      </c>
      <c r="V5788" s="282" t="e">
        <f>+Tabla4[[#This Row],[Comisión Calculada]]*Tabla4[[#This Row],[Total]]</f>
        <v>#N/A</v>
      </c>
    </row>
    <row r="5789" spans="1:22" hidden="1" x14ac:dyDescent="0.25">
      <c r="A5789" s="100">
        <v>45930</v>
      </c>
      <c r="B5789" t="str">
        <f t="shared" si="278"/>
        <v>September</v>
      </c>
      <c r="C5789" s="46" t="s">
        <v>280</v>
      </c>
      <c r="F5789" s="366" t="s">
        <v>2975</v>
      </c>
      <c r="G5789" s="46" t="s">
        <v>17</v>
      </c>
      <c r="H5789" s="46">
        <v>1</v>
      </c>
      <c r="I5789" s="51">
        <v>4622.28</v>
      </c>
      <c r="J5789" s="281">
        <f>++Tabla4[[#This Row],[Precio Bruto]]*1.16</f>
        <v>5361.8447999999989</v>
      </c>
      <c r="K5789" s="281">
        <f>+Tabla4[[#This Row],[Precio Unitario Neto]]*Tabla4[[#Headers],[20.85%]]</f>
        <v>1117.9446407999997</v>
      </c>
      <c r="L5789" s="282">
        <f>++Tabla4[[#This Row],[Precio Unitario Neto]]-Tabla4[[#This Row],[20.85%]]</f>
        <v>4243.9001591999995</v>
      </c>
      <c r="M5789" s="282" t="e">
        <f>(INDEX(Tabla6[#All],MATCH(Tabla4[[#This Row],[Producto]],Tabla6[[#All],[PRODUCTO]],0),MATCH(Tabla4[[#This Row],[Mes]],Tabla6[#Headers],0)))*(1+Catalogos!$L$2)</f>
        <v>#N/A</v>
      </c>
      <c r="N5789" s="283" t="e">
        <f>+(Tabla4[[#This Row],[Precio Descontado]]-Tabla4[[#This Row],[Precio Base]])*Tabla4[[#This Row],[Cantidad]]</f>
        <v>#N/A</v>
      </c>
      <c r="O5789" s="284" t="e">
        <f>++Tabla4[[#This Row],[Utilidad Total]]/Tabla4[[#This Row],[Total]]</f>
        <v>#N/A</v>
      </c>
      <c r="P5789" s="282">
        <f>++Tabla4[[#This Row],[Precio Descontado]]*Tabla4[[#This Row],[Cantidad]]</f>
        <v>4243.9001591999995</v>
      </c>
      <c r="Q5789" s="282" t="e">
        <f>(INDEX(Tabla6[#All],MATCH(Tabla4[[#This Row],[Producto]],Tabla6[[#All],[PRODUCTO]],0),MATCH(Tabla4[[#This Row],[Mes]],Tabla6[#Headers],0)))</f>
        <v>#N/A</v>
      </c>
      <c r="R5789" s="282" t="e">
        <f>++Tabla4[[#This Row],[Precio Unitario Neto]]-Tabla4[[#This Row],[20.85%]]-Tabla4[[#This Row],[Costo]]</f>
        <v>#N/A</v>
      </c>
      <c r="S5789" s="282" t="e">
        <f>++Tabla4[[#This Row],[U. Bruta Uni]]*Tabla4[[#This Row],[Cantidad]]</f>
        <v>#N/A</v>
      </c>
      <c r="T5789" s="369" t="str">
        <f>VLOOKUP(Tabla4[[#This Row],[Producto]],Tabla6[#All],14,FALSE)</f>
        <v>Termico Solar</v>
      </c>
      <c r="U5789" s="284" t="e">
        <f>(IF(Tabla4[[#This Row],[Familia]]="termico solar",Tabla4[[#This Row],[Utilidad Total]]*6%,Tabla4[[#This Row],[Utilidad Total]]*11.5%))/Tabla4[[#This Row],[Total]]</f>
        <v>#N/A</v>
      </c>
      <c r="V5789" s="282" t="e">
        <f>+Tabla4[[#This Row],[Comisión Calculada]]*Tabla4[[#This Row],[Total]]</f>
        <v>#N/A</v>
      </c>
    </row>
    <row r="5790" spans="1:22" hidden="1" x14ac:dyDescent="0.25">
      <c r="A5790" s="100">
        <v>45930</v>
      </c>
      <c r="B5790" t="str">
        <f t="shared" si="278"/>
        <v>September</v>
      </c>
      <c r="C5790" s="46" t="s">
        <v>280</v>
      </c>
      <c r="F5790" s="366" t="s">
        <v>2975</v>
      </c>
      <c r="G5790" s="46" t="s">
        <v>208</v>
      </c>
      <c r="H5790" s="46">
        <v>4</v>
      </c>
      <c r="I5790" s="51">
        <v>189.75</v>
      </c>
      <c r="J5790" s="281">
        <f>++Tabla4[[#This Row],[Precio Bruto]]*1.16</f>
        <v>220.10999999999999</v>
      </c>
      <c r="K5790" s="281">
        <f>+Tabla4[[#This Row],[Precio Unitario Neto]]*Tabla4[[#Headers],[20.85%]]</f>
        <v>45.892934999999994</v>
      </c>
      <c r="L5790" s="282">
        <f>++Tabla4[[#This Row],[Precio Unitario Neto]]-Tabla4[[#This Row],[20.85%]]</f>
        <v>174.21706499999999</v>
      </c>
      <c r="M5790" s="282" t="e">
        <f>(INDEX(Tabla6[#All],MATCH(Tabla4[[#This Row],[Producto]],Tabla6[[#All],[PRODUCTO]],0),MATCH(Tabla4[[#This Row],[Mes]],Tabla6[#Headers],0)))*(1+Catalogos!$L$2)</f>
        <v>#N/A</v>
      </c>
      <c r="N5790" s="283" t="e">
        <f>+(Tabla4[[#This Row],[Precio Descontado]]-Tabla4[[#This Row],[Precio Base]])*Tabla4[[#This Row],[Cantidad]]</f>
        <v>#N/A</v>
      </c>
      <c r="O5790" s="284" t="e">
        <f>++Tabla4[[#This Row],[Utilidad Total]]/Tabla4[[#This Row],[Total]]</f>
        <v>#N/A</v>
      </c>
      <c r="P5790" s="282">
        <f>++Tabla4[[#This Row],[Precio Descontado]]*Tabla4[[#This Row],[Cantidad]]</f>
        <v>696.86825999999996</v>
      </c>
      <c r="Q5790" s="282" t="e">
        <f>(INDEX(Tabla6[#All],MATCH(Tabla4[[#This Row],[Producto]],Tabla6[[#All],[PRODUCTO]],0),MATCH(Tabla4[[#This Row],[Mes]],Tabla6[#Headers],0)))</f>
        <v>#N/A</v>
      </c>
      <c r="R5790" s="282" t="e">
        <f>++Tabla4[[#This Row],[Precio Unitario Neto]]-Tabla4[[#This Row],[20.85%]]-Tabla4[[#This Row],[Costo]]</f>
        <v>#N/A</v>
      </c>
      <c r="S5790" s="282" t="e">
        <f>++Tabla4[[#This Row],[U. Bruta Uni]]*Tabla4[[#This Row],[Cantidad]]</f>
        <v>#N/A</v>
      </c>
      <c r="T5790" s="369" t="str">
        <f>VLOOKUP(Tabla4[[#This Row],[Producto]],Tabla6[#All],14,FALSE)</f>
        <v>Termico Solar</v>
      </c>
      <c r="U5790" s="284" t="e">
        <f>(IF(Tabla4[[#This Row],[Familia]]="termico solar",Tabla4[[#This Row],[Utilidad Total]]*6%,Tabla4[[#This Row],[Utilidad Total]]*11.5%))/Tabla4[[#This Row],[Total]]</f>
        <v>#N/A</v>
      </c>
      <c r="V5790" s="282" t="e">
        <f>+Tabla4[[#This Row],[Comisión Calculada]]*Tabla4[[#This Row],[Total]]</f>
        <v>#N/A</v>
      </c>
    </row>
    <row r="5791" spans="1:22" hidden="1" x14ac:dyDescent="0.25">
      <c r="A5791" s="100">
        <v>45930</v>
      </c>
      <c r="B5791" t="str">
        <f t="shared" si="278"/>
        <v>September</v>
      </c>
      <c r="C5791" s="46" t="s">
        <v>280</v>
      </c>
      <c r="F5791" s="366" t="s">
        <v>2976</v>
      </c>
      <c r="G5791" s="46" t="s">
        <v>208</v>
      </c>
      <c r="H5791" s="46">
        <v>1</v>
      </c>
      <c r="I5791" s="51">
        <v>189.75</v>
      </c>
      <c r="J5791" s="281">
        <f>++Tabla4[[#This Row],[Precio Bruto]]*1.16</f>
        <v>220.10999999999999</v>
      </c>
      <c r="K5791" s="281">
        <f>+Tabla4[[#This Row],[Precio Unitario Neto]]*Tabla4[[#Headers],[20.85%]]</f>
        <v>45.892934999999994</v>
      </c>
      <c r="L5791" s="282">
        <f>++Tabla4[[#This Row],[Precio Unitario Neto]]-Tabla4[[#This Row],[20.85%]]</f>
        <v>174.21706499999999</v>
      </c>
      <c r="M5791" s="282" t="e">
        <f>(INDEX(Tabla6[#All],MATCH(Tabla4[[#This Row],[Producto]],Tabla6[[#All],[PRODUCTO]],0),MATCH(Tabla4[[#This Row],[Mes]],Tabla6[#Headers],0)))*(1+Catalogos!$L$2)</f>
        <v>#N/A</v>
      </c>
      <c r="N5791" s="283" t="e">
        <f>+(Tabla4[[#This Row],[Precio Descontado]]-Tabla4[[#This Row],[Precio Base]])*Tabla4[[#This Row],[Cantidad]]</f>
        <v>#N/A</v>
      </c>
      <c r="O5791" s="284" t="e">
        <f>++Tabla4[[#This Row],[Utilidad Total]]/Tabla4[[#This Row],[Total]]</f>
        <v>#N/A</v>
      </c>
      <c r="P5791" s="282">
        <f>++Tabla4[[#This Row],[Precio Descontado]]*Tabla4[[#This Row],[Cantidad]]</f>
        <v>174.21706499999999</v>
      </c>
      <c r="Q5791" s="282" t="e">
        <f>(INDEX(Tabla6[#All],MATCH(Tabla4[[#This Row],[Producto]],Tabla6[[#All],[PRODUCTO]],0),MATCH(Tabla4[[#This Row],[Mes]],Tabla6[#Headers],0)))</f>
        <v>#N/A</v>
      </c>
      <c r="R5791" s="282" t="e">
        <f>++Tabla4[[#This Row],[Precio Unitario Neto]]-Tabla4[[#This Row],[20.85%]]-Tabla4[[#This Row],[Costo]]</f>
        <v>#N/A</v>
      </c>
      <c r="S5791" s="282" t="e">
        <f>++Tabla4[[#This Row],[U. Bruta Uni]]*Tabla4[[#This Row],[Cantidad]]</f>
        <v>#N/A</v>
      </c>
      <c r="T5791" s="369" t="str">
        <f>VLOOKUP(Tabla4[[#This Row],[Producto]],Tabla6[#All],14,FALSE)</f>
        <v>Termico Solar</v>
      </c>
      <c r="U5791" s="284" t="e">
        <f>(IF(Tabla4[[#This Row],[Familia]]="termico solar",Tabla4[[#This Row],[Utilidad Total]]*6%,Tabla4[[#This Row],[Utilidad Total]]*11.5%))/Tabla4[[#This Row],[Total]]</f>
        <v>#N/A</v>
      </c>
      <c r="V5791" s="282" t="e">
        <f>+Tabla4[[#This Row],[Comisión Calculada]]*Tabla4[[#This Row],[Total]]</f>
        <v>#N/A</v>
      </c>
    </row>
    <row r="5792" spans="1:22" hidden="1" x14ac:dyDescent="0.25">
      <c r="A5792" s="100">
        <v>45930</v>
      </c>
      <c r="B5792" t="str">
        <f t="shared" si="278"/>
        <v>September</v>
      </c>
      <c r="C5792" s="46" t="s">
        <v>280</v>
      </c>
      <c r="F5792" s="366" t="s">
        <v>2977</v>
      </c>
      <c r="G5792" s="46" t="s">
        <v>566</v>
      </c>
      <c r="H5792" s="46">
        <v>1</v>
      </c>
      <c r="I5792" s="51">
        <v>2109.4499999999998</v>
      </c>
      <c r="J5792" s="281">
        <f>++Tabla4[[#This Row],[Precio Bruto]]*1.16</f>
        <v>2446.9619999999995</v>
      </c>
      <c r="K5792" s="281">
        <f>+Tabla4[[#This Row],[Precio Unitario Neto]]*Tabla4[[#Headers],[20.85%]]</f>
        <v>510.19157699999988</v>
      </c>
      <c r="L5792" s="282">
        <f>++Tabla4[[#This Row],[Precio Unitario Neto]]-Tabla4[[#This Row],[20.85%]]</f>
        <v>1936.7704229999997</v>
      </c>
      <c r="M5792" s="282" t="e">
        <f>(INDEX(Tabla6[#All],MATCH(Tabla4[[#This Row],[Producto]],Tabla6[[#All],[PRODUCTO]],0),MATCH(Tabla4[[#This Row],[Mes]],Tabla6[#Headers],0)))*(1+Catalogos!$L$2)</f>
        <v>#N/A</v>
      </c>
      <c r="N5792" s="283" t="e">
        <f>+(Tabla4[[#This Row],[Precio Descontado]]-Tabla4[[#This Row],[Precio Base]])*Tabla4[[#This Row],[Cantidad]]</f>
        <v>#N/A</v>
      </c>
      <c r="O5792" s="284" t="e">
        <f>++Tabla4[[#This Row],[Utilidad Total]]/Tabla4[[#This Row],[Total]]</f>
        <v>#N/A</v>
      </c>
      <c r="P5792" s="282">
        <f>++Tabla4[[#This Row],[Precio Descontado]]*Tabla4[[#This Row],[Cantidad]]</f>
        <v>1936.7704229999997</v>
      </c>
      <c r="Q5792" s="282" t="e">
        <f>(INDEX(Tabla6[#All],MATCH(Tabla4[[#This Row],[Producto]],Tabla6[[#All],[PRODUCTO]],0),MATCH(Tabla4[[#This Row],[Mes]],Tabla6[#Headers],0)))</f>
        <v>#N/A</v>
      </c>
      <c r="R5792" s="282" t="e">
        <f>++Tabla4[[#This Row],[Precio Unitario Neto]]-Tabla4[[#This Row],[20.85%]]-Tabla4[[#This Row],[Costo]]</f>
        <v>#N/A</v>
      </c>
      <c r="S5792" s="282" t="e">
        <f>++Tabla4[[#This Row],[U. Bruta Uni]]*Tabla4[[#This Row],[Cantidad]]</f>
        <v>#N/A</v>
      </c>
      <c r="T5792" s="369" t="str">
        <f>VLOOKUP(Tabla4[[#This Row],[Producto]],Tabla6[#All],14,FALSE)</f>
        <v>Termico Solar</v>
      </c>
      <c r="U5792" s="284" t="e">
        <f>(IF(Tabla4[[#This Row],[Familia]]="termico solar",Tabla4[[#This Row],[Utilidad Total]]*6%,Tabla4[[#This Row],[Utilidad Total]]*11.5%))/Tabla4[[#This Row],[Total]]</f>
        <v>#N/A</v>
      </c>
      <c r="V5792" s="282" t="e">
        <f>+Tabla4[[#This Row],[Comisión Calculada]]*Tabla4[[#This Row],[Total]]</f>
        <v>#N/A</v>
      </c>
    </row>
    <row r="5793" spans="1:22" hidden="1" x14ac:dyDescent="0.25">
      <c r="A5793" s="100">
        <v>45930</v>
      </c>
      <c r="B5793" t="str">
        <f t="shared" si="278"/>
        <v>September</v>
      </c>
      <c r="C5793" s="46" t="s">
        <v>280</v>
      </c>
      <c r="F5793" s="366" t="s">
        <v>2978</v>
      </c>
      <c r="G5793" s="46" t="s">
        <v>16</v>
      </c>
      <c r="H5793" s="46">
        <v>1</v>
      </c>
      <c r="I5793" s="51">
        <v>4103.8500000000004</v>
      </c>
      <c r="J5793" s="281">
        <f>++Tabla4[[#This Row],[Precio Bruto]]*1.16</f>
        <v>4760.4660000000003</v>
      </c>
      <c r="K5793" s="281">
        <f>+Tabla4[[#This Row],[Precio Unitario Neto]]*Tabla4[[#Headers],[20.85%]]</f>
        <v>992.55716100000006</v>
      </c>
      <c r="L5793" s="282">
        <f>++Tabla4[[#This Row],[Precio Unitario Neto]]-Tabla4[[#This Row],[20.85%]]</f>
        <v>3767.9088390000002</v>
      </c>
      <c r="M5793" s="282" t="e">
        <f>(INDEX(Tabla6[#All],MATCH(Tabla4[[#This Row],[Producto]],Tabla6[[#All],[PRODUCTO]],0),MATCH(Tabla4[[#This Row],[Mes]],Tabla6[#Headers],0)))*(1+Catalogos!$L$2)</f>
        <v>#N/A</v>
      </c>
      <c r="N5793" s="283" t="e">
        <f>+(Tabla4[[#This Row],[Precio Descontado]]-Tabla4[[#This Row],[Precio Base]])*Tabla4[[#This Row],[Cantidad]]</f>
        <v>#N/A</v>
      </c>
      <c r="O5793" s="284" t="e">
        <f>++Tabla4[[#This Row],[Utilidad Total]]/Tabla4[[#This Row],[Total]]</f>
        <v>#N/A</v>
      </c>
      <c r="P5793" s="282">
        <f>++Tabla4[[#This Row],[Precio Descontado]]*Tabla4[[#This Row],[Cantidad]]</f>
        <v>3767.9088390000002</v>
      </c>
      <c r="Q5793" s="282" t="e">
        <f>(INDEX(Tabla6[#All],MATCH(Tabla4[[#This Row],[Producto]],Tabla6[[#All],[PRODUCTO]],0),MATCH(Tabla4[[#This Row],[Mes]],Tabla6[#Headers],0)))</f>
        <v>#N/A</v>
      </c>
      <c r="R5793" s="282" t="e">
        <f>++Tabla4[[#This Row],[Precio Unitario Neto]]-Tabla4[[#This Row],[20.85%]]-Tabla4[[#This Row],[Costo]]</f>
        <v>#N/A</v>
      </c>
      <c r="S5793" s="282" t="e">
        <f>++Tabla4[[#This Row],[U. Bruta Uni]]*Tabla4[[#This Row],[Cantidad]]</f>
        <v>#N/A</v>
      </c>
      <c r="T5793" s="369" t="str">
        <f>VLOOKUP(Tabla4[[#This Row],[Producto]],Tabla6[#All],14,FALSE)</f>
        <v>Termico Solar</v>
      </c>
      <c r="U5793" s="284" t="e">
        <f>(IF(Tabla4[[#This Row],[Familia]]="termico solar",Tabla4[[#This Row],[Utilidad Total]]*6%,Tabla4[[#This Row],[Utilidad Total]]*11.5%))/Tabla4[[#This Row],[Total]]</f>
        <v>#N/A</v>
      </c>
      <c r="V5793" s="282" t="e">
        <f>+Tabla4[[#This Row],[Comisión Calculada]]*Tabla4[[#This Row],[Total]]</f>
        <v>#N/A</v>
      </c>
    </row>
    <row r="5794" spans="1:22" hidden="1" x14ac:dyDescent="0.25">
      <c r="A5794" s="100">
        <v>45930</v>
      </c>
      <c r="B5794" t="str">
        <f t="shared" si="278"/>
        <v>September</v>
      </c>
      <c r="C5794" s="46" t="s">
        <v>280</v>
      </c>
      <c r="F5794" s="366" t="s">
        <v>2979</v>
      </c>
      <c r="G5794" s="46" t="s">
        <v>566</v>
      </c>
      <c r="H5794" s="46">
        <v>1</v>
      </c>
      <c r="I5794" s="51">
        <v>2109.4499999999998</v>
      </c>
      <c r="J5794" s="281">
        <f>++Tabla4[[#This Row],[Precio Bruto]]*1.16</f>
        <v>2446.9619999999995</v>
      </c>
      <c r="K5794" s="281">
        <f>+Tabla4[[#This Row],[Precio Unitario Neto]]*Tabla4[[#Headers],[20.85%]]</f>
        <v>510.19157699999988</v>
      </c>
      <c r="L5794" s="282">
        <f>++Tabla4[[#This Row],[Precio Unitario Neto]]-Tabla4[[#This Row],[20.85%]]</f>
        <v>1936.7704229999997</v>
      </c>
      <c r="M5794" s="282" t="e">
        <f>(INDEX(Tabla6[#All],MATCH(Tabla4[[#This Row],[Producto]],Tabla6[[#All],[PRODUCTO]],0),MATCH(Tabla4[[#This Row],[Mes]],Tabla6[#Headers],0)))*(1+Catalogos!$L$2)</f>
        <v>#N/A</v>
      </c>
      <c r="N5794" s="283" t="e">
        <f>+(Tabla4[[#This Row],[Precio Descontado]]-Tabla4[[#This Row],[Precio Base]])*Tabla4[[#This Row],[Cantidad]]</f>
        <v>#N/A</v>
      </c>
      <c r="O5794" s="284" t="e">
        <f>++Tabla4[[#This Row],[Utilidad Total]]/Tabla4[[#This Row],[Total]]</f>
        <v>#N/A</v>
      </c>
      <c r="P5794" s="282">
        <f>++Tabla4[[#This Row],[Precio Descontado]]*Tabla4[[#This Row],[Cantidad]]</f>
        <v>1936.7704229999997</v>
      </c>
      <c r="Q5794" s="282" t="e">
        <f>(INDEX(Tabla6[#All],MATCH(Tabla4[[#This Row],[Producto]],Tabla6[[#All],[PRODUCTO]],0),MATCH(Tabla4[[#This Row],[Mes]],Tabla6[#Headers],0)))</f>
        <v>#N/A</v>
      </c>
      <c r="R5794" s="282" t="e">
        <f>++Tabla4[[#This Row],[Precio Unitario Neto]]-Tabla4[[#This Row],[20.85%]]-Tabla4[[#This Row],[Costo]]</f>
        <v>#N/A</v>
      </c>
      <c r="S5794" s="282" t="e">
        <f>++Tabla4[[#This Row],[U. Bruta Uni]]*Tabla4[[#This Row],[Cantidad]]</f>
        <v>#N/A</v>
      </c>
      <c r="T5794" s="369" t="str">
        <f>VLOOKUP(Tabla4[[#This Row],[Producto]],Tabla6[#All],14,FALSE)</f>
        <v>Termico Solar</v>
      </c>
      <c r="U5794" s="284" t="e">
        <f>(IF(Tabla4[[#This Row],[Familia]]="termico solar",Tabla4[[#This Row],[Utilidad Total]]*6%,Tabla4[[#This Row],[Utilidad Total]]*11.5%))/Tabla4[[#This Row],[Total]]</f>
        <v>#N/A</v>
      </c>
      <c r="V5794" s="282" t="e">
        <f>+Tabla4[[#This Row],[Comisión Calculada]]*Tabla4[[#This Row],[Total]]</f>
        <v>#N/A</v>
      </c>
    </row>
    <row r="5795" spans="1:22" hidden="1" x14ac:dyDescent="0.25">
      <c r="A5795" s="100">
        <v>45930</v>
      </c>
      <c r="B5795" t="str">
        <f t="shared" si="278"/>
        <v>September</v>
      </c>
      <c r="C5795" s="46" t="s">
        <v>280</v>
      </c>
      <c r="F5795" s="366" t="s">
        <v>2980</v>
      </c>
      <c r="G5795" s="46" t="s">
        <v>17</v>
      </c>
      <c r="H5795" s="46">
        <v>1</v>
      </c>
      <c r="I5795" s="51">
        <v>4622.28</v>
      </c>
      <c r="J5795" s="281">
        <f>++Tabla4[[#This Row],[Precio Bruto]]*1.16</f>
        <v>5361.8447999999989</v>
      </c>
      <c r="K5795" s="281">
        <f>+Tabla4[[#This Row],[Precio Unitario Neto]]*Tabla4[[#Headers],[20.85%]]</f>
        <v>1117.9446407999997</v>
      </c>
      <c r="L5795" s="282">
        <f>++Tabla4[[#This Row],[Precio Unitario Neto]]-Tabla4[[#This Row],[20.85%]]</f>
        <v>4243.9001591999995</v>
      </c>
      <c r="M5795" s="282" t="e">
        <f>(INDEX(Tabla6[#All],MATCH(Tabla4[[#This Row],[Producto]],Tabla6[[#All],[PRODUCTO]],0),MATCH(Tabla4[[#This Row],[Mes]],Tabla6[#Headers],0)))*(1+Catalogos!$L$2)</f>
        <v>#N/A</v>
      </c>
      <c r="N5795" s="283" t="e">
        <f>+(Tabla4[[#This Row],[Precio Descontado]]-Tabla4[[#This Row],[Precio Base]])*Tabla4[[#This Row],[Cantidad]]</f>
        <v>#N/A</v>
      </c>
      <c r="O5795" s="284" t="e">
        <f>++Tabla4[[#This Row],[Utilidad Total]]/Tabla4[[#This Row],[Total]]</f>
        <v>#N/A</v>
      </c>
      <c r="P5795" s="282">
        <f>++Tabla4[[#This Row],[Precio Descontado]]*Tabla4[[#This Row],[Cantidad]]</f>
        <v>4243.9001591999995</v>
      </c>
      <c r="Q5795" s="282" t="e">
        <f>(INDEX(Tabla6[#All],MATCH(Tabla4[[#This Row],[Producto]],Tabla6[[#All],[PRODUCTO]],0),MATCH(Tabla4[[#This Row],[Mes]],Tabla6[#Headers],0)))</f>
        <v>#N/A</v>
      </c>
      <c r="R5795" s="282" t="e">
        <f>++Tabla4[[#This Row],[Precio Unitario Neto]]-Tabla4[[#This Row],[20.85%]]-Tabla4[[#This Row],[Costo]]</f>
        <v>#N/A</v>
      </c>
      <c r="S5795" s="282" t="e">
        <f>++Tabla4[[#This Row],[U. Bruta Uni]]*Tabla4[[#This Row],[Cantidad]]</f>
        <v>#N/A</v>
      </c>
      <c r="T5795" s="369" t="str">
        <f>VLOOKUP(Tabla4[[#This Row],[Producto]],Tabla6[#All],14,FALSE)</f>
        <v>Termico Solar</v>
      </c>
      <c r="U5795" s="284" t="e">
        <f>(IF(Tabla4[[#This Row],[Familia]]="termico solar",Tabla4[[#This Row],[Utilidad Total]]*6%,Tabla4[[#This Row],[Utilidad Total]]*11.5%))/Tabla4[[#This Row],[Total]]</f>
        <v>#N/A</v>
      </c>
      <c r="V5795" s="282" t="e">
        <f>+Tabla4[[#This Row],[Comisión Calculada]]*Tabla4[[#This Row],[Total]]</f>
        <v>#N/A</v>
      </c>
    </row>
    <row r="5796" spans="1:22" hidden="1" x14ac:dyDescent="0.25">
      <c r="A5796" s="100">
        <v>45930</v>
      </c>
      <c r="B5796" t="str">
        <f t="shared" si="278"/>
        <v>September</v>
      </c>
      <c r="C5796" s="46" t="s">
        <v>280</v>
      </c>
      <c r="F5796" s="366" t="s">
        <v>2981</v>
      </c>
      <c r="G5796" s="46" t="s">
        <v>83</v>
      </c>
      <c r="H5796" s="46">
        <v>2</v>
      </c>
      <c r="I5796" s="51">
        <v>8858.76</v>
      </c>
      <c r="J5796" s="281">
        <f>++Tabla4[[#This Row],[Precio Bruto]]*1.16</f>
        <v>10276.161599999999</v>
      </c>
      <c r="K5796" s="281">
        <f>+Tabla4[[#This Row],[Precio Unitario Neto]]*Tabla4[[#Headers],[20.85%]]</f>
        <v>2142.5796935999997</v>
      </c>
      <c r="L5796" s="282">
        <f>++Tabla4[[#This Row],[Precio Unitario Neto]]-Tabla4[[#This Row],[20.85%]]</f>
        <v>8133.5819063999998</v>
      </c>
      <c r="M5796" s="282" t="e">
        <f>(INDEX(Tabla6[#All],MATCH(Tabla4[[#This Row],[Producto]],Tabla6[[#All],[PRODUCTO]],0),MATCH(Tabla4[[#This Row],[Mes]],Tabla6[#Headers],0)))*(1+Catalogos!$L$2)</f>
        <v>#N/A</v>
      </c>
      <c r="N5796" s="283" t="e">
        <f>+(Tabla4[[#This Row],[Precio Descontado]]-Tabla4[[#This Row],[Precio Base]])*Tabla4[[#This Row],[Cantidad]]</f>
        <v>#N/A</v>
      </c>
      <c r="O5796" s="284" t="e">
        <f>++Tabla4[[#This Row],[Utilidad Total]]/Tabla4[[#This Row],[Total]]</f>
        <v>#N/A</v>
      </c>
      <c r="P5796" s="282">
        <f>++Tabla4[[#This Row],[Precio Descontado]]*Tabla4[[#This Row],[Cantidad]]</f>
        <v>16267.1638128</v>
      </c>
      <c r="Q5796" s="282" t="e">
        <f>(INDEX(Tabla6[#All],MATCH(Tabla4[[#This Row],[Producto]],Tabla6[[#All],[PRODUCTO]],0),MATCH(Tabla4[[#This Row],[Mes]],Tabla6[#Headers],0)))</f>
        <v>#N/A</v>
      </c>
      <c r="R5796" s="282" t="e">
        <f>++Tabla4[[#This Row],[Precio Unitario Neto]]-Tabla4[[#This Row],[20.85%]]-Tabla4[[#This Row],[Costo]]</f>
        <v>#N/A</v>
      </c>
      <c r="S5796" s="282" t="e">
        <f>++Tabla4[[#This Row],[U. Bruta Uni]]*Tabla4[[#This Row],[Cantidad]]</f>
        <v>#N/A</v>
      </c>
      <c r="T5796" s="369" t="str">
        <f>VLOOKUP(Tabla4[[#This Row],[Producto]],Tabla6[#All],14,FALSE)</f>
        <v>Termico Solar</v>
      </c>
      <c r="U5796" s="284" t="e">
        <f>(IF(Tabla4[[#This Row],[Familia]]="termico solar",Tabla4[[#This Row],[Utilidad Total]]*6%,Tabla4[[#This Row],[Utilidad Total]]*11.5%))/Tabla4[[#This Row],[Total]]</f>
        <v>#N/A</v>
      </c>
      <c r="V5796" s="282" t="e">
        <f>+Tabla4[[#This Row],[Comisión Calculada]]*Tabla4[[#This Row],[Total]]</f>
        <v>#N/A</v>
      </c>
    </row>
    <row r="5797" spans="1:22" hidden="1" x14ac:dyDescent="0.25">
      <c r="A5797" s="100">
        <v>45930</v>
      </c>
      <c r="B5797" t="str">
        <f t="shared" si="278"/>
        <v>September</v>
      </c>
      <c r="C5797" s="46" t="s">
        <v>280</v>
      </c>
      <c r="F5797" s="366" t="s">
        <v>2982</v>
      </c>
      <c r="G5797" s="46" t="s">
        <v>83</v>
      </c>
      <c r="H5797" s="46">
        <v>1</v>
      </c>
      <c r="I5797" s="51">
        <v>8858.76</v>
      </c>
      <c r="J5797" s="281">
        <f>++Tabla4[[#This Row],[Precio Bruto]]*1.16</f>
        <v>10276.161599999999</v>
      </c>
      <c r="K5797" s="281">
        <f>+Tabla4[[#This Row],[Precio Unitario Neto]]*Tabla4[[#Headers],[20.85%]]</f>
        <v>2142.5796935999997</v>
      </c>
      <c r="L5797" s="282">
        <f>++Tabla4[[#This Row],[Precio Unitario Neto]]-Tabla4[[#This Row],[20.85%]]</f>
        <v>8133.5819063999998</v>
      </c>
      <c r="M5797" s="282" t="e">
        <f>(INDEX(Tabla6[#All],MATCH(Tabla4[[#This Row],[Producto]],Tabla6[[#All],[PRODUCTO]],0),MATCH(Tabla4[[#This Row],[Mes]],Tabla6[#Headers],0)))*(1+Catalogos!$L$2)</f>
        <v>#N/A</v>
      </c>
      <c r="N5797" s="283" t="e">
        <f>+(Tabla4[[#This Row],[Precio Descontado]]-Tabla4[[#This Row],[Precio Base]])*Tabla4[[#This Row],[Cantidad]]</f>
        <v>#N/A</v>
      </c>
      <c r="O5797" s="284" t="e">
        <f>++Tabla4[[#This Row],[Utilidad Total]]/Tabla4[[#This Row],[Total]]</f>
        <v>#N/A</v>
      </c>
      <c r="P5797" s="282">
        <f>++Tabla4[[#This Row],[Precio Descontado]]*Tabla4[[#This Row],[Cantidad]]</f>
        <v>8133.5819063999998</v>
      </c>
      <c r="Q5797" s="282" t="e">
        <f>(INDEX(Tabla6[#All],MATCH(Tabla4[[#This Row],[Producto]],Tabla6[[#All],[PRODUCTO]],0),MATCH(Tabla4[[#This Row],[Mes]],Tabla6[#Headers],0)))</f>
        <v>#N/A</v>
      </c>
      <c r="R5797" s="282" t="e">
        <f>++Tabla4[[#This Row],[Precio Unitario Neto]]-Tabla4[[#This Row],[20.85%]]-Tabla4[[#This Row],[Costo]]</f>
        <v>#N/A</v>
      </c>
      <c r="S5797" s="282" t="e">
        <f>++Tabla4[[#This Row],[U. Bruta Uni]]*Tabla4[[#This Row],[Cantidad]]</f>
        <v>#N/A</v>
      </c>
      <c r="T5797" s="369" t="str">
        <f>VLOOKUP(Tabla4[[#This Row],[Producto]],Tabla6[#All],14,FALSE)</f>
        <v>Termico Solar</v>
      </c>
      <c r="U5797" s="284" t="e">
        <f>(IF(Tabla4[[#This Row],[Familia]]="termico solar",Tabla4[[#This Row],[Utilidad Total]]*6%,Tabla4[[#This Row],[Utilidad Total]]*11.5%))/Tabla4[[#This Row],[Total]]</f>
        <v>#N/A</v>
      </c>
      <c r="V5797" s="282" t="e">
        <f>+Tabla4[[#This Row],[Comisión Calculada]]*Tabla4[[#This Row],[Total]]</f>
        <v>#N/A</v>
      </c>
    </row>
    <row r="5798" spans="1:22" hidden="1" x14ac:dyDescent="0.25">
      <c r="A5798" s="100">
        <v>45930</v>
      </c>
      <c r="B5798" t="str">
        <f t="shared" si="278"/>
        <v>September</v>
      </c>
      <c r="C5798" s="46" t="s">
        <v>280</v>
      </c>
      <c r="F5798" s="366" t="s">
        <v>2982</v>
      </c>
      <c r="G5798" s="46" t="s">
        <v>18</v>
      </c>
      <c r="H5798" s="46">
        <v>1</v>
      </c>
      <c r="I5798" s="51">
        <v>5367.65</v>
      </c>
      <c r="J5798" s="281">
        <f>++Tabla4[[#This Row],[Precio Bruto]]*1.16</f>
        <v>6226.4739999999993</v>
      </c>
      <c r="K5798" s="281">
        <f>+Tabla4[[#This Row],[Precio Unitario Neto]]*Tabla4[[#Headers],[20.85%]]</f>
        <v>1298.2198289999999</v>
      </c>
      <c r="L5798" s="282">
        <f>++Tabla4[[#This Row],[Precio Unitario Neto]]-Tabla4[[#This Row],[20.85%]]</f>
        <v>4928.2541709999996</v>
      </c>
      <c r="M5798" s="282" t="e">
        <f>(INDEX(Tabla6[#All],MATCH(Tabla4[[#This Row],[Producto]],Tabla6[[#All],[PRODUCTO]],0),MATCH(Tabla4[[#This Row],[Mes]],Tabla6[#Headers],0)))*(1+Catalogos!$L$2)</f>
        <v>#N/A</v>
      </c>
      <c r="N5798" s="283" t="e">
        <f>+(Tabla4[[#This Row],[Precio Descontado]]-Tabla4[[#This Row],[Precio Base]])*Tabla4[[#This Row],[Cantidad]]</f>
        <v>#N/A</v>
      </c>
      <c r="O5798" s="284" t="e">
        <f>++Tabla4[[#This Row],[Utilidad Total]]/Tabla4[[#This Row],[Total]]</f>
        <v>#N/A</v>
      </c>
      <c r="P5798" s="282">
        <f>++Tabla4[[#This Row],[Precio Descontado]]*Tabla4[[#This Row],[Cantidad]]</f>
        <v>4928.2541709999996</v>
      </c>
      <c r="Q5798" s="282" t="e">
        <f>(INDEX(Tabla6[#All],MATCH(Tabla4[[#This Row],[Producto]],Tabla6[[#All],[PRODUCTO]],0),MATCH(Tabla4[[#This Row],[Mes]],Tabla6[#Headers],0)))</f>
        <v>#N/A</v>
      </c>
      <c r="R5798" s="282" t="e">
        <f>++Tabla4[[#This Row],[Precio Unitario Neto]]-Tabla4[[#This Row],[20.85%]]-Tabla4[[#This Row],[Costo]]</f>
        <v>#N/A</v>
      </c>
      <c r="S5798" s="282" t="e">
        <f>++Tabla4[[#This Row],[U. Bruta Uni]]*Tabla4[[#This Row],[Cantidad]]</f>
        <v>#N/A</v>
      </c>
      <c r="T5798" s="369" t="str">
        <f>VLOOKUP(Tabla4[[#This Row],[Producto]],Tabla6[#All],14,FALSE)</f>
        <v>Termico Solar</v>
      </c>
      <c r="U5798" s="284" t="e">
        <f>(IF(Tabla4[[#This Row],[Familia]]="termico solar",Tabla4[[#This Row],[Utilidad Total]]*6%,Tabla4[[#This Row],[Utilidad Total]]*11.5%))/Tabla4[[#This Row],[Total]]</f>
        <v>#N/A</v>
      </c>
      <c r="V5798" s="282" t="e">
        <f>+Tabla4[[#This Row],[Comisión Calculada]]*Tabla4[[#This Row],[Total]]</f>
        <v>#N/A</v>
      </c>
    </row>
    <row r="5799" spans="1:22" hidden="1" x14ac:dyDescent="0.25">
      <c r="A5799" s="100">
        <v>45930</v>
      </c>
      <c r="B5799" t="str">
        <f t="shared" si="278"/>
        <v>September</v>
      </c>
      <c r="C5799" s="46" t="s">
        <v>280</v>
      </c>
      <c r="F5799" s="366" t="s">
        <v>2983</v>
      </c>
      <c r="G5799" s="46" t="s">
        <v>19</v>
      </c>
      <c r="H5799" s="46">
        <v>1</v>
      </c>
      <c r="I5799" s="51">
        <v>6412.03</v>
      </c>
      <c r="J5799" s="281">
        <f>++Tabla4[[#This Row],[Precio Bruto]]*1.16</f>
        <v>7437.9547999999995</v>
      </c>
      <c r="K5799" s="281">
        <f>+Tabla4[[#This Row],[Precio Unitario Neto]]*Tabla4[[#Headers],[20.85%]]</f>
        <v>1550.8135757999999</v>
      </c>
      <c r="L5799" s="282">
        <f>++Tabla4[[#This Row],[Precio Unitario Neto]]-Tabla4[[#This Row],[20.85%]]</f>
        <v>5887.1412241999997</v>
      </c>
      <c r="M5799" s="282" t="e">
        <f>(INDEX(Tabla6[#All],MATCH(Tabla4[[#This Row],[Producto]],Tabla6[[#All],[PRODUCTO]],0),MATCH(Tabla4[[#This Row],[Mes]],Tabla6[#Headers],0)))*(1+Catalogos!$L$2)</f>
        <v>#N/A</v>
      </c>
      <c r="N5799" s="283" t="e">
        <f>+(Tabla4[[#This Row],[Precio Descontado]]-Tabla4[[#This Row],[Precio Base]])*Tabla4[[#This Row],[Cantidad]]</f>
        <v>#N/A</v>
      </c>
      <c r="O5799" s="284" t="e">
        <f>++Tabla4[[#This Row],[Utilidad Total]]/Tabla4[[#This Row],[Total]]</f>
        <v>#N/A</v>
      </c>
      <c r="P5799" s="282">
        <f>++Tabla4[[#This Row],[Precio Descontado]]*Tabla4[[#This Row],[Cantidad]]</f>
        <v>5887.1412241999997</v>
      </c>
      <c r="Q5799" s="282" t="e">
        <f>(INDEX(Tabla6[#All],MATCH(Tabla4[[#This Row],[Producto]],Tabla6[[#All],[PRODUCTO]],0),MATCH(Tabla4[[#This Row],[Mes]],Tabla6[#Headers],0)))</f>
        <v>#N/A</v>
      </c>
      <c r="R5799" s="282" t="e">
        <f>++Tabla4[[#This Row],[Precio Unitario Neto]]-Tabla4[[#This Row],[20.85%]]-Tabla4[[#This Row],[Costo]]</f>
        <v>#N/A</v>
      </c>
      <c r="S5799" s="282" t="e">
        <f>++Tabla4[[#This Row],[U. Bruta Uni]]*Tabla4[[#This Row],[Cantidad]]</f>
        <v>#N/A</v>
      </c>
      <c r="T5799" s="369" t="str">
        <f>VLOOKUP(Tabla4[[#This Row],[Producto]],Tabla6[#All],14,FALSE)</f>
        <v>Termico Solar</v>
      </c>
      <c r="U5799" s="284" t="e">
        <f>(IF(Tabla4[[#This Row],[Familia]]="termico solar",Tabla4[[#This Row],[Utilidad Total]]*6%,Tabla4[[#This Row],[Utilidad Total]]*11.5%))/Tabla4[[#This Row],[Total]]</f>
        <v>#N/A</v>
      </c>
      <c r="V5799" s="282" t="e">
        <f>+Tabla4[[#This Row],[Comisión Calculada]]*Tabla4[[#This Row],[Total]]</f>
        <v>#N/A</v>
      </c>
    </row>
    <row r="5800" spans="1:22" hidden="1" x14ac:dyDescent="0.25">
      <c r="A5800" s="100">
        <v>45930</v>
      </c>
      <c r="B5800" t="str">
        <f t="shared" si="278"/>
        <v>September</v>
      </c>
      <c r="C5800" s="46" t="s">
        <v>280</v>
      </c>
      <c r="F5800" s="366" t="s">
        <v>2983</v>
      </c>
      <c r="G5800" s="46" t="s">
        <v>412</v>
      </c>
      <c r="H5800" s="46">
        <v>1</v>
      </c>
      <c r="I5800" s="51">
        <v>3240.84</v>
      </c>
      <c r="J5800" s="281">
        <f>++Tabla4[[#This Row],[Precio Bruto]]*1.16</f>
        <v>3759.3743999999997</v>
      </c>
      <c r="K5800" s="281">
        <f>+Tabla4[[#This Row],[Precio Unitario Neto]]*Tabla4[[#Headers],[20.85%]]</f>
        <v>783.82956239999987</v>
      </c>
      <c r="L5800" s="282">
        <f>++Tabla4[[#This Row],[Precio Unitario Neto]]-Tabla4[[#This Row],[20.85%]]</f>
        <v>2975.5448375999999</v>
      </c>
      <c r="M5800" s="282" t="e">
        <f>(INDEX(Tabla6[#All],MATCH(Tabla4[[#This Row],[Producto]],Tabla6[[#All],[PRODUCTO]],0),MATCH(Tabla4[[#This Row],[Mes]],Tabla6[#Headers],0)))*(1+Catalogos!$L$2)</f>
        <v>#N/A</v>
      </c>
      <c r="N5800" s="283" t="e">
        <f>+(Tabla4[[#This Row],[Precio Descontado]]-Tabla4[[#This Row],[Precio Base]])*Tabla4[[#This Row],[Cantidad]]</f>
        <v>#N/A</v>
      </c>
      <c r="O5800" s="284" t="e">
        <f>++Tabla4[[#This Row],[Utilidad Total]]/Tabla4[[#This Row],[Total]]</f>
        <v>#N/A</v>
      </c>
      <c r="P5800" s="282">
        <f>++Tabla4[[#This Row],[Precio Descontado]]*Tabla4[[#This Row],[Cantidad]]</f>
        <v>2975.5448375999999</v>
      </c>
      <c r="Q5800" s="282" t="e">
        <f>(INDEX(Tabla6[#All],MATCH(Tabla4[[#This Row],[Producto]],Tabla6[[#All],[PRODUCTO]],0),MATCH(Tabla4[[#This Row],[Mes]],Tabla6[#Headers],0)))</f>
        <v>#N/A</v>
      </c>
      <c r="R5800" s="282" t="e">
        <f>++Tabla4[[#This Row],[Precio Unitario Neto]]-Tabla4[[#This Row],[20.85%]]-Tabla4[[#This Row],[Costo]]</f>
        <v>#N/A</v>
      </c>
      <c r="S5800" s="282" t="e">
        <f>++Tabla4[[#This Row],[U. Bruta Uni]]*Tabla4[[#This Row],[Cantidad]]</f>
        <v>#N/A</v>
      </c>
      <c r="T5800" s="369" t="str">
        <f>VLOOKUP(Tabla4[[#This Row],[Producto]],Tabla6[#All],14,FALSE)</f>
        <v>Termico Solar</v>
      </c>
      <c r="U5800" s="284" t="e">
        <f>(IF(Tabla4[[#This Row],[Familia]]="termico solar",Tabla4[[#This Row],[Utilidad Total]]*6%,Tabla4[[#This Row],[Utilidad Total]]*11.5%))/Tabla4[[#This Row],[Total]]</f>
        <v>#N/A</v>
      </c>
      <c r="V5800" s="282" t="e">
        <f>+Tabla4[[#This Row],[Comisión Calculada]]*Tabla4[[#This Row],[Total]]</f>
        <v>#N/A</v>
      </c>
    </row>
    <row r="5801" spans="1:22" hidden="1" x14ac:dyDescent="0.25">
      <c r="A5801" s="100">
        <v>45930</v>
      </c>
      <c r="B5801" t="str">
        <f t="shared" si="278"/>
        <v>September</v>
      </c>
      <c r="C5801" s="46" t="s">
        <v>280</v>
      </c>
      <c r="F5801" s="366" t="s">
        <v>2984</v>
      </c>
      <c r="G5801" s="46" t="s">
        <v>566</v>
      </c>
      <c r="H5801" s="46">
        <v>1</v>
      </c>
      <c r="I5801" s="51">
        <v>2109.4499999999998</v>
      </c>
      <c r="J5801" s="281">
        <f>++Tabla4[[#This Row],[Precio Bruto]]*1.16</f>
        <v>2446.9619999999995</v>
      </c>
      <c r="K5801" s="281">
        <f>+Tabla4[[#This Row],[Precio Unitario Neto]]*Tabla4[[#Headers],[20.85%]]</f>
        <v>510.19157699999988</v>
      </c>
      <c r="L5801" s="282">
        <f>++Tabla4[[#This Row],[Precio Unitario Neto]]-Tabla4[[#This Row],[20.85%]]</f>
        <v>1936.7704229999997</v>
      </c>
      <c r="M5801" s="282" t="e">
        <f>(INDEX(Tabla6[#All],MATCH(Tabla4[[#This Row],[Producto]],Tabla6[[#All],[PRODUCTO]],0),MATCH(Tabla4[[#This Row],[Mes]],Tabla6[#Headers],0)))*(1+Catalogos!$L$2)</f>
        <v>#N/A</v>
      </c>
      <c r="N5801" s="283" t="e">
        <f>+(Tabla4[[#This Row],[Precio Descontado]]-Tabla4[[#This Row],[Precio Base]])*Tabla4[[#This Row],[Cantidad]]</f>
        <v>#N/A</v>
      </c>
      <c r="O5801" s="284" t="e">
        <f>++Tabla4[[#This Row],[Utilidad Total]]/Tabla4[[#This Row],[Total]]</f>
        <v>#N/A</v>
      </c>
      <c r="P5801" s="282">
        <f>++Tabla4[[#This Row],[Precio Descontado]]*Tabla4[[#This Row],[Cantidad]]</f>
        <v>1936.7704229999997</v>
      </c>
      <c r="Q5801" s="282" t="e">
        <f>(INDEX(Tabla6[#All],MATCH(Tabla4[[#This Row],[Producto]],Tabla6[[#All],[PRODUCTO]],0),MATCH(Tabla4[[#This Row],[Mes]],Tabla6[#Headers],0)))</f>
        <v>#N/A</v>
      </c>
      <c r="R5801" s="282" t="e">
        <f>++Tabla4[[#This Row],[Precio Unitario Neto]]-Tabla4[[#This Row],[20.85%]]-Tabla4[[#This Row],[Costo]]</f>
        <v>#N/A</v>
      </c>
      <c r="S5801" s="282" t="e">
        <f>++Tabla4[[#This Row],[U. Bruta Uni]]*Tabla4[[#This Row],[Cantidad]]</f>
        <v>#N/A</v>
      </c>
      <c r="T5801" s="369" t="str">
        <f>VLOOKUP(Tabla4[[#This Row],[Producto]],Tabla6[#All],14,FALSE)</f>
        <v>Termico Solar</v>
      </c>
      <c r="U5801" s="284" t="e">
        <f>(IF(Tabla4[[#This Row],[Familia]]="termico solar",Tabla4[[#This Row],[Utilidad Total]]*6%,Tabla4[[#This Row],[Utilidad Total]]*11.5%))/Tabla4[[#This Row],[Total]]</f>
        <v>#N/A</v>
      </c>
      <c r="V5801" s="282" t="e">
        <f>+Tabla4[[#This Row],[Comisión Calculada]]*Tabla4[[#This Row],[Total]]</f>
        <v>#N/A</v>
      </c>
    </row>
    <row r="5802" spans="1:22" hidden="1" x14ac:dyDescent="0.25">
      <c r="A5802" s="100">
        <v>45930</v>
      </c>
      <c r="B5802" t="str">
        <f t="shared" si="278"/>
        <v>September</v>
      </c>
      <c r="C5802" s="46" t="s">
        <v>280</v>
      </c>
      <c r="F5802" s="366" t="s">
        <v>2985</v>
      </c>
      <c r="G5802" s="46" t="s">
        <v>17</v>
      </c>
      <c r="H5802" s="46">
        <v>1</v>
      </c>
      <c r="I5802" s="51">
        <v>4622.28</v>
      </c>
      <c r="J5802" s="281">
        <f>++Tabla4[[#This Row],[Precio Bruto]]*1.16</f>
        <v>5361.8447999999989</v>
      </c>
      <c r="K5802" s="281">
        <f>+Tabla4[[#This Row],[Precio Unitario Neto]]*Tabla4[[#Headers],[20.85%]]</f>
        <v>1117.9446407999997</v>
      </c>
      <c r="L5802" s="282">
        <f>++Tabla4[[#This Row],[Precio Unitario Neto]]-Tabla4[[#This Row],[20.85%]]</f>
        <v>4243.9001591999995</v>
      </c>
      <c r="M5802" s="282" t="e">
        <f>(INDEX(Tabla6[#All],MATCH(Tabla4[[#This Row],[Producto]],Tabla6[[#All],[PRODUCTO]],0),MATCH(Tabla4[[#This Row],[Mes]],Tabla6[#Headers],0)))*(1+Catalogos!$L$2)</f>
        <v>#N/A</v>
      </c>
      <c r="N5802" s="283" t="e">
        <f>+(Tabla4[[#This Row],[Precio Descontado]]-Tabla4[[#This Row],[Precio Base]])*Tabla4[[#This Row],[Cantidad]]</f>
        <v>#N/A</v>
      </c>
      <c r="O5802" s="284" t="e">
        <f>++Tabla4[[#This Row],[Utilidad Total]]/Tabla4[[#This Row],[Total]]</f>
        <v>#N/A</v>
      </c>
      <c r="P5802" s="282">
        <f>++Tabla4[[#This Row],[Precio Descontado]]*Tabla4[[#This Row],[Cantidad]]</f>
        <v>4243.9001591999995</v>
      </c>
      <c r="Q5802" s="282" t="e">
        <f>(INDEX(Tabla6[#All],MATCH(Tabla4[[#This Row],[Producto]],Tabla6[[#All],[PRODUCTO]],0),MATCH(Tabla4[[#This Row],[Mes]],Tabla6[#Headers],0)))</f>
        <v>#N/A</v>
      </c>
      <c r="R5802" s="282" t="e">
        <f>++Tabla4[[#This Row],[Precio Unitario Neto]]-Tabla4[[#This Row],[20.85%]]-Tabla4[[#This Row],[Costo]]</f>
        <v>#N/A</v>
      </c>
      <c r="S5802" s="282" t="e">
        <f>++Tabla4[[#This Row],[U. Bruta Uni]]*Tabla4[[#This Row],[Cantidad]]</f>
        <v>#N/A</v>
      </c>
      <c r="T5802" s="369" t="str">
        <f>VLOOKUP(Tabla4[[#This Row],[Producto]],Tabla6[#All],14,FALSE)</f>
        <v>Termico Solar</v>
      </c>
      <c r="U5802" s="284" t="e">
        <f>(IF(Tabla4[[#This Row],[Familia]]="termico solar",Tabla4[[#This Row],[Utilidad Total]]*6%,Tabla4[[#This Row],[Utilidad Total]]*11.5%))/Tabla4[[#This Row],[Total]]</f>
        <v>#N/A</v>
      </c>
      <c r="V5802" s="282" t="e">
        <f>+Tabla4[[#This Row],[Comisión Calculada]]*Tabla4[[#This Row],[Total]]</f>
        <v>#N/A</v>
      </c>
    </row>
    <row r="5803" spans="1:22" hidden="1" x14ac:dyDescent="0.25">
      <c r="A5803" s="100">
        <v>45930</v>
      </c>
      <c r="B5803" t="str">
        <f t="shared" si="278"/>
        <v>September</v>
      </c>
      <c r="C5803" s="46" t="s">
        <v>280</v>
      </c>
      <c r="F5803" s="366" t="s">
        <v>2986</v>
      </c>
      <c r="G5803" s="46" t="s">
        <v>18</v>
      </c>
      <c r="H5803" s="46">
        <v>1</v>
      </c>
      <c r="I5803" s="51">
        <v>5367.65</v>
      </c>
      <c r="J5803" s="281">
        <f>++Tabla4[[#This Row],[Precio Bruto]]*1.16</f>
        <v>6226.4739999999993</v>
      </c>
      <c r="K5803" s="281">
        <f>+Tabla4[[#This Row],[Precio Unitario Neto]]*Tabla4[[#Headers],[20.85%]]</f>
        <v>1298.2198289999999</v>
      </c>
      <c r="L5803" s="282">
        <f>++Tabla4[[#This Row],[Precio Unitario Neto]]-Tabla4[[#This Row],[20.85%]]</f>
        <v>4928.2541709999996</v>
      </c>
      <c r="M5803" s="282" t="e">
        <f>(INDEX(Tabla6[#All],MATCH(Tabla4[[#This Row],[Producto]],Tabla6[[#All],[PRODUCTO]],0),MATCH(Tabla4[[#This Row],[Mes]],Tabla6[#Headers],0)))*(1+Catalogos!$L$2)</f>
        <v>#N/A</v>
      </c>
      <c r="N5803" s="283" t="e">
        <f>+(Tabla4[[#This Row],[Precio Descontado]]-Tabla4[[#This Row],[Precio Base]])*Tabla4[[#This Row],[Cantidad]]</f>
        <v>#N/A</v>
      </c>
      <c r="O5803" s="284" t="e">
        <f>++Tabla4[[#This Row],[Utilidad Total]]/Tabla4[[#This Row],[Total]]</f>
        <v>#N/A</v>
      </c>
      <c r="P5803" s="282">
        <f>++Tabla4[[#This Row],[Precio Descontado]]*Tabla4[[#This Row],[Cantidad]]</f>
        <v>4928.2541709999996</v>
      </c>
      <c r="Q5803" s="282" t="e">
        <f>(INDEX(Tabla6[#All],MATCH(Tabla4[[#This Row],[Producto]],Tabla6[[#All],[PRODUCTO]],0),MATCH(Tabla4[[#This Row],[Mes]],Tabla6[#Headers],0)))</f>
        <v>#N/A</v>
      </c>
      <c r="R5803" s="282" t="e">
        <f>++Tabla4[[#This Row],[Precio Unitario Neto]]-Tabla4[[#This Row],[20.85%]]-Tabla4[[#This Row],[Costo]]</f>
        <v>#N/A</v>
      </c>
      <c r="S5803" s="282" t="e">
        <f>++Tabla4[[#This Row],[U. Bruta Uni]]*Tabla4[[#This Row],[Cantidad]]</f>
        <v>#N/A</v>
      </c>
      <c r="T5803" s="369" t="str">
        <f>VLOOKUP(Tabla4[[#This Row],[Producto]],Tabla6[#All],14,FALSE)</f>
        <v>Termico Solar</v>
      </c>
      <c r="U5803" s="284" t="e">
        <f>(IF(Tabla4[[#This Row],[Familia]]="termico solar",Tabla4[[#This Row],[Utilidad Total]]*6%,Tabla4[[#This Row],[Utilidad Total]]*11.5%))/Tabla4[[#This Row],[Total]]</f>
        <v>#N/A</v>
      </c>
      <c r="V5803" s="282" t="e">
        <f>+Tabla4[[#This Row],[Comisión Calculada]]*Tabla4[[#This Row],[Total]]</f>
        <v>#N/A</v>
      </c>
    </row>
    <row r="5804" spans="1:22" hidden="1" x14ac:dyDescent="0.25">
      <c r="A5804" s="100">
        <v>45930</v>
      </c>
      <c r="B5804" t="str">
        <f t="shared" si="278"/>
        <v>September</v>
      </c>
      <c r="C5804" s="46" t="s">
        <v>280</v>
      </c>
      <c r="F5804" s="366" t="s">
        <v>2987</v>
      </c>
      <c r="G5804" s="46" t="s">
        <v>566</v>
      </c>
      <c r="H5804" s="46">
        <v>1</v>
      </c>
      <c r="I5804" s="51">
        <v>2109.4499999999998</v>
      </c>
      <c r="J5804" s="281">
        <f>++Tabla4[[#This Row],[Precio Bruto]]*1.16</f>
        <v>2446.9619999999995</v>
      </c>
      <c r="K5804" s="281">
        <f>+Tabla4[[#This Row],[Precio Unitario Neto]]*Tabla4[[#Headers],[20.85%]]</f>
        <v>510.19157699999988</v>
      </c>
      <c r="L5804" s="282">
        <f>++Tabla4[[#This Row],[Precio Unitario Neto]]-Tabla4[[#This Row],[20.85%]]</f>
        <v>1936.7704229999997</v>
      </c>
      <c r="M5804" s="282" t="e">
        <f>(INDEX(Tabla6[#All],MATCH(Tabla4[[#This Row],[Producto]],Tabla6[[#All],[PRODUCTO]],0),MATCH(Tabla4[[#This Row],[Mes]],Tabla6[#Headers],0)))*(1+Catalogos!$L$2)</f>
        <v>#N/A</v>
      </c>
      <c r="N5804" s="283" t="e">
        <f>+(Tabla4[[#This Row],[Precio Descontado]]-Tabla4[[#This Row],[Precio Base]])*Tabla4[[#This Row],[Cantidad]]</f>
        <v>#N/A</v>
      </c>
      <c r="O5804" s="284" t="e">
        <f>++Tabla4[[#This Row],[Utilidad Total]]/Tabla4[[#This Row],[Total]]</f>
        <v>#N/A</v>
      </c>
      <c r="P5804" s="282">
        <f>++Tabla4[[#This Row],[Precio Descontado]]*Tabla4[[#This Row],[Cantidad]]</f>
        <v>1936.7704229999997</v>
      </c>
      <c r="Q5804" s="282" t="e">
        <f>(INDEX(Tabla6[#All],MATCH(Tabla4[[#This Row],[Producto]],Tabla6[[#All],[PRODUCTO]],0),MATCH(Tabla4[[#This Row],[Mes]],Tabla6[#Headers],0)))</f>
        <v>#N/A</v>
      </c>
      <c r="R5804" s="282" t="e">
        <f>++Tabla4[[#This Row],[Precio Unitario Neto]]-Tabla4[[#This Row],[20.85%]]-Tabla4[[#This Row],[Costo]]</f>
        <v>#N/A</v>
      </c>
      <c r="S5804" s="282" t="e">
        <f>++Tabla4[[#This Row],[U. Bruta Uni]]*Tabla4[[#This Row],[Cantidad]]</f>
        <v>#N/A</v>
      </c>
      <c r="T5804" s="369" t="str">
        <f>VLOOKUP(Tabla4[[#This Row],[Producto]],Tabla6[#All],14,FALSE)</f>
        <v>Termico Solar</v>
      </c>
      <c r="U5804" s="284" t="e">
        <f>(IF(Tabla4[[#This Row],[Familia]]="termico solar",Tabla4[[#This Row],[Utilidad Total]]*6%,Tabla4[[#This Row],[Utilidad Total]]*11.5%))/Tabla4[[#This Row],[Total]]</f>
        <v>#N/A</v>
      </c>
      <c r="V5804" s="282" t="e">
        <f>+Tabla4[[#This Row],[Comisión Calculada]]*Tabla4[[#This Row],[Total]]</f>
        <v>#N/A</v>
      </c>
    </row>
    <row r="5805" spans="1:22" hidden="1" x14ac:dyDescent="0.25">
      <c r="A5805" s="100">
        <v>45930</v>
      </c>
      <c r="B5805" t="str">
        <f t="shared" si="278"/>
        <v>September</v>
      </c>
      <c r="C5805" s="46" t="s">
        <v>280</v>
      </c>
      <c r="F5805" s="366" t="s">
        <v>2988</v>
      </c>
      <c r="G5805" s="46" t="s">
        <v>18</v>
      </c>
      <c r="H5805" s="46">
        <v>1</v>
      </c>
      <c r="I5805" s="51">
        <v>5367.65</v>
      </c>
      <c r="J5805" s="281">
        <f>++Tabla4[[#This Row],[Precio Bruto]]*1.16</f>
        <v>6226.4739999999993</v>
      </c>
      <c r="K5805" s="281">
        <f>+Tabla4[[#This Row],[Precio Unitario Neto]]*Tabla4[[#Headers],[20.85%]]</f>
        <v>1298.2198289999999</v>
      </c>
      <c r="L5805" s="282">
        <f>++Tabla4[[#This Row],[Precio Unitario Neto]]-Tabla4[[#This Row],[20.85%]]</f>
        <v>4928.2541709999996</v>
      </c>
      <c r="M5805" s="282" t="e">
        <f>(INDEX(Tabla6[#All],MATCH(Tabla4[[#This Row],[Producto]],Tabla6[[#All],[PRODUCTO]],0),MATCH(Tabla4[[#This Row],[Mes]],Tabla6[#Headers],0)))*(1+Catalogos!$L$2)</f>
        <v>#N/A</v>
      </c>
      <c r="N5805" s="283" t="e">
        <f>+(Tabla4[[#This Row],[Precio Descontado]]-Tabla4[[#This Row],[Precio Base]])*Tabla4[[#This Row],[Cantidad]]</f>
        <v>#N/A</v>
      </c>
      <c r="O5805" s="284" t="e">
        <f>++Tabla4[[#This Row],[Utilidad Total]]/Tabla4[[#This Row],[Total]]</f>
        <v>#N/A</v>
      </c>
      <c r="P5805" s="282">
        <f>++Tabla4[[#This Row],[Precio Descontado]]*Tabla4[[#This Row],[Cantidad]]</f>
        <v>4928.2541709999996</v>
      </c>
      <c r="Q5805" s="282" t="e">
        <f>(INDEX(Tabla6[#All],MATCH(Tabla4[[#This Row],[Producto]],Tabla6[[#All],[PRODUCTO]],0),MATCH(Tabla4[[#This Row],[Mes]],Tabla6[#Headers],0)))</f>
        <v>#N/A</v>
      </c>
      <c r="R5805" s="282" t="e">
        <f>++Tabla4[[#This Row],[Precio Unitario Neto]]-Tabla4[[#This Row],[20.85%]]-Tabla4[[#This Row],[Costo]]</f>
        <v>#N/A</v>
      </c>
      <c r="S5805" s="282" t="e">
        <f>++Tabla4[[#This Row],[U. Bruta Uni]]*Tabla4[[#This Row],[Cantidad]]</f>
        <v>#N/A</v>
      </c>
      <c r="T5805" s="369" t="str">
        <f>VLOOKUP(Tabla4[[#This Row],[Producto]],Tabla6[#All],14,FALSE)</f>
        <v>Termico Solar</v>
      </c>
      <c r="U5805" s="284" t="e">
        <f>(IF(Tabla4[[#This Row],[Familia]]="termico solar",Tabla4[[#This Row],[Utilidad Total]]*6%,Tabla4[[#This Row],[Utilidad Total]]*11.5%))/Tabla4[[#This Row],[Total]]</f>
        <v>#N/A</v>
      </c>
      <c r="V5805" s="282" t="e">
        <f>+Tabla4[[#This Row],[Comisión Calculada]]*Tabla4[[#This Row],[Total]]</f>
        <v>#N/A</v>
      </c>
    </row>
    <row r="5806" spans="1:22" hidden="1" x14ac:dyDescent="0.25">
      <c r="A5806" s="100">
        <v>45930</v>
      </c>
      <c r="B5806" t="str">
        <f t="shared" si="278"/>
        <v>September</v>
      </c>
      <c r="C5806" s="46" t="s">
        <v>280</v>
      </c>
      <c r="F5806" s="366" t="s">
        <v>2988</v>
      </c>
      <c r="G5806" s="46" t="s">
        <v>208</v>
      </c>
      <c r="H5806" s="46">
        <v>2</v>
      </c>
      <c r="I5806" s="51">
        <v>189.75</v>
      </c>
      <c r="J5806" s="281">
        <f>++Tabla4[[#This Row],[Precio Bruto]]*1.16</f>
        <v>220.10999999999999</v>
      </c>
      <c r="K5806" s="281">
        <f>+Tabla4[[#This Row],[Precio Unitario Neto]]*Tabla4[[#Headers],[20.85%]]</f>
        <v>45.892934999999994</v>
      </c>
      <c r="L5806" s="282">
        <f>++Tabla4[[#This Row],[Precio Unitario Neto]]-Tabla4[[#This Row],[20.85%]]</f>
        <v>174.21706499999999</v>
      </c>
      <c r="M5806" s="282" t="e">
        <f>(INDEX(Tabla6[#All],MATCH(Tabla4[[#This Row],[Producto]],Tabla6[[#All],[PRODUCTO]],0),MATCH(Tabla4[[#This Row],[Mes]],Tabla6[#Headers],0)))*(1+Catalogos!$L$2)</f>
        <v>#N/A</v>
      </c>
      <c r="N5806" s="283" t="e">
        <f>+(Tabla4[[#This Row],[Precio Descontado]]-Tabla4[[#This Row],[Precio Base]])*Tabla4[[#This Row],[Cantidad]]</f>
        <v>#N/A</v>
      </c>
      <c r="O5806" s="284" t="e">
        <f>++Tabla4[[#This Row],[Utilidad Total]]/Tabla4[[#This Row],[Total]]</f>
        <v>#N/A</v>
      </c>
      <c r="P5806" s="282">
        <f>++Tabla4[[#This Row],[Precio Descontado]]*Tabla4[[#This Row],[Cantidad]]</f>
        <v>348.43412999999998</v>
      </c>
      <c r="Q5806" s="282" t="e">
        <f>(INDEX(Tabla6[#All],MATCH(Tabla4[[#This Row],[Producto]],Tabla6[[#All],[PRODUCTO]],0),MATCH(Tabla4[[#This Row],[Mes]],Tabla6[#Headers],0)))</f>
        <v>#N/A</v>
      </c>
      <c r="R5806" s="282" t="e">
        <f>++Tabla4[[#This Row],[Precio Unitario Neto]]-Tabla4[[#This Row],[20.85%]]-Tabla4[[#This Row],[Costo]]</f>
        <v>#N/A</v>
      </c>
      <c r="S5806" s="282" t="e">
        <f>++Tabla4[[#This Row],[U. Bruta Uni]]*Tabla4[[#This Row],[Cantidad]]</f>
        <v>#N/A</v>
      </c>
      <c r="T5806" s="369" t="str">
        <f>VLOOKUP(Tabla4[[#This Row],[Producto]],Tabla6[#All],14,FALSE)</f>
        <v>Termico Solar</v>
      </c>
      <c r="U5806" s="284" t="e">
        <f>(IF(Tabla4[[#This Row],[Familia]]="termico solar",Tabla4[[#This Row],[Utilidad Total]]*6%,Tabla4[[#This Row],[Utilidad Total]]*11.5%))/Tabla4[[#This Row],[Total]]</f>
        <v>#N/A</v>
      </c>
      <c r="V5806" s="282" t="e">
        <f>+Tabla4[[#This Row],[Comisión Calculada]]*Tabla4[[#This Row],[Total]]</f>
        <v>#N/A</v>
      </c>
    </row>
    <row r="5807" spans="1:22" hidden="1" x14ac:dyDescent="0.25">
      <c r="A5807" s="100">
        <v>45930</v>
      </c>
      <c r="B5807" t="str">
        <f t="shared" si="278"/>
        <v>September</v>
      </c>
      <c r="C5807" s="46" t="s">
        <v>280</v>
      </c>
      <c r="F5807" s="366" t="s">
        <v>2989</v>
      </c>
      <c r="G5807" s="46" t="s">
        <v>566</v>
      </c>
      <c r="H5807" s="46">
        <v>1</v>
      </c>
      <c r="I5807" s="51">
        <v>2109.4499999999998</v>
      </c>
      <c r="J5807" s="281">
        <f>++Tabla4[[#This Row],[Precio Bruto]]*1.16</f>
        <v>2446.9619999999995</v>
      </c>
      <c r="K5807" s="281">
        <f>+Tabla4[[#This Row],[Precio Unitario Neto]]*Tabla4[[#Headers],[20.85%]]</f>
        <v>510.19157699999988</v>
      </c>
      <c r="L5807" s="282">
        <f>++Tabla4[[#This Row],[Precio Unitario Neto]]-Tabla4[[#This Row],[20.85%]]</f>
        <v>1936.7704229999997</v>
      </c>
      <c r="M5807" s="282" t="e">
        <f>(INDEX(Tabla6[#All],MATCH(Tabla4[[#This Row],[Producto]],Tabla6[[#All],[PRODUCTO]],0),MATCH(Tabla4[[#This Row],[Mes]],Tabla6[#Headers],0)))*(1+Catalogos!$L$2)</f>
        <v>#N/A</v>
      </c>
      <c r="N5807" s="283" t="e">
        <f>+(Tabla4[[#This Row],[Precio Descontado]]-Tabla4[[#This Row],[Precio Base]])*Tabla4[[#This Row],[Cantidad]]</f>
        <v>#N/A</v>
      </c>
      <c r="O5807" s="284" t="e">
        <f>++Tabla4[[#This Row],[Utilidad Total]]/Tabla4[[#This Row],[Total]]</f>
        <v>#N/A</v>
      </c>
      <c r="P5807" s="282">
        <f>++Tabla4[[#This Row],[Precio Descontado]]*Tabla4[[#This Row],[Cantidad]]</f>
        <v>1936.7704229999997</v>
      </c>
      <c r="Q5807" s="282" t="e">
        <f>(INDEX(Tabla6[#All],MATCH(Tabla4[[#This Row],[Producto]],Tabla6[[#All],[PRODUCTO]],0),MATCH(Tabla4[[#This Row],[Mes]],Tabla6[#Headers],0)))</f>
        <v>#N/A</v>
      </c>
      <c r="R5807" s="282" t="e">
        <f>++Tabla4[[#This Row],[Precio Unitario Neto]]-Tabla4[[#This Row],[20.85%]]-Tabla4[[#This Row],[Costo]]</f>
        <v>#N/A</v>
      </c>
      <c r="S5807" s="282" t="e">
        <f>++Tabla4[[#This Row],[U. Bruta Uni]]*Tabla4[[#This Row],[Cantidad]]</f>
        <v>#N/A</v>
      </c>
      <c r="T5807" s="369" t="str">
        <f>VLOOKUP(Tabla4[[#This Row],[Producto]],Tabla6[#All],14,FALSE)</f>
        <v>Termico Solar</v>
      </c>
      <c r="U5807" s="284" t="e">
        <f>(IF(Tabla4[[#This Row],[Familia]]="termico solar",Tabla4[[#This Row],[Utilidad Total]]*6%,Tabla4[[#This Row],[Utilidad Total]]*11.5%))/Tabla4[[#This Row],[Total]]</f>
        <v>#N/A</v>
      </c>
      <c r="V5807" s="282" t="e">
        <f>+Tabla4[[#This Row],[Comisión Calculada]]*Tabla4[[#This Row],[Total]]</f>
        <v>#N/A</v>
      </c>
    </row>
    <row r="5808" spans="1:22" hidden="1" x14ac:dyDescent="0.25">
      <c r="A5808" s="100">
        <v>45930</v>
      </c>
      <c r="B5808" t="str">
        <f t="shared" si="278"/>
        <v>September</v>
      </c>
      <c r="C5808" s="46" t="s">
        <v>280</v>
      </c>
      <c r="F5808" s="366" t="s">
        <v>2990</v>
      </c>
      <c r="G5808" s="46" t="s">
        <v>17</v>
      </c>
      <c r="H5808" s="46">
        <v>1</v>
      </c>
      <c r="I5808" s="51">
        <v>4622.28</v>
      </c>
      <c r="J5808" s="281">
        <f>++Tabla4[[#This Row],[Precio Bruto]]*1.16</f>
        <v>5361.8447999999989</v>
      </c>
      <c r="K5808" s="281">
        <f>+Tabla4[[#This Row],[Precio Unitario Neto]]*Tabla4[[#Headers],[20.85%]]</f>
        <v>1117.9446407999997</v>
      </c>
      <c r="L5808" s="282">
        <f>++Tabla4[[#This Row],[Precio Unitario Neto]]-Tabla4[[#This Row],[20.85%]]</f>
        <v>4243.9001591999995</v>
      </c>
      <c r="M5808" s="282" t="e">
        <f>(INDEX(Tabla6[#All],MATCH(Tabla4[[#This Row],[Producto]],Tabla6[[#All],[PRODUCTO]],0),MATCH(Tabla4[[#This Row],[Mes]],Tabla6[#Headers],0)))*(1+Catalogos!$L$2)</f>
        <v>#N/A</v>
      </c>
      <c r="N5808" s="283" t="e">
        <f>+(Tabla4[[#This Row],[Precio Descontado]]-Tabla4[[#This Row],[Precio Base]])*Tabla4[[#This Row],[Cantidad]]</f>
        <v>#N/A</v>
      </c>
      <c r="O5808" s="284" t="e">
        <f>++Tabla4[[#This Row],[Utilidad Total]]/Tabla4[[#This Row],[Total]]</f>
        <v>#N/A</v>
      </c>
      <c r="P5808" s="282">
        <f>++Tabla4[[#This Row],[Precio Descontado]]*Tabla4[[#This Row],[Cantidad]]</f>
        <v>4243.9001591999995</v>
      </c>
      <c r="Q5808" s="282" t="e">
        <f>(INDEX(Tabla6[#All],MATCH(Tabla4[[#This Row],[Producto]],Tabla6[[#All],[PRODUCTO]],0),MATCH(Tabla4[[#This Row],[Mes]],Tabla6[#Headers],0)))</f>
        <v>#N/A</v>
      </c>
      <c r="R5808" s="282" t="e">
        <f>++Tabla4[[#This Row],[Precio Unitario Neto]]-Tabla4[[#This Row],[20.85%]]-Tabla4[[#This Row],[Costo]]</f>
        <v>#N/A</v>
      </c>
      <c r="S5808" s="282" t="e">
        <f>++Tabla4[[#This Row],[U. Bruta Uni]]*Tabla4[[#This Row],[Cantidad]]</f>
        <v>#N/A</v>
      </c>
      <c r="T5808" s="369" t="str">
        <f>VLOOKUP(Tabla4[[#This Row],[Producto]],Tabla6[#All],14,FALSE)</f>
        <v>Termico Solar</v>
      </c>
      <c r="U5808" s="284" t="e">
        <f>(IF(Tabla4[[#This Row],[Familia]]="termico solar",Tabla4[[#This Row],[Utilidad Total]]*6%,Tabla4[[#This Row],[Utilidad Total]]*11.5%))/Tabla4[[#This Row],[Total]]</f>
        <v>#N/A</v>
      </c>
      <c r="V5808" s="282" t="e">
        <f>+Tabla4[[#This Row],[Comisión Calculada]]*Tabla4[[#This Row],[Total]]</f>
        <v>#N/A</v>
      </c>
    </row>
    <row r="5809" spans="1:22" hidden="1" x14ac:dyDescent="0.25">
      <c r="A5809" s="100">
        <v>45930</v>
      </c>
      <c r="B5809" t="str">
        <f t="shared" si="278"/>
        <v>September</v>
      </c>
      <c r="C5809" s="46" t="s">
        <v>280</v>
      </c>
      <c r="F5809" s="366" t="s">
        <v>2990</v>
      </c>
      <c r="G5809" s="46" t="s">
        <v>208</v>
      </c>
      <c r="H5809" s="46">
        <v>1</v>
      </c>
      <c r="I5809" s="51">
        <v>189.75</v>
      </c>
      <c r="J5809" s="281">
        <f>++Tabla4[[#This Row],[Precio Bruto]]*1.16</f>
        <v>220.10999999999999</v>
      </c>
      <c r="K5809" s="281">
        <f>+Tabla4[[#This Row],[Precio Unitario Neto]]*Tabla4[[#Headers],[20.85%]]</f>
        <v>45.892934999999994</v>
      </c>
      <c r="L5809" s="282">
        <f>++Tabla4[[#This Row],[Precio Unitario Neto]]-Tabla4[[#This Row],[20.85%]]</f>
        <v>174.21706499999999</v>
      </c>
      <c r="M5809" s="282" t="e">
        <f>(INDEX(Tabla6[#All],MATCH(Tabla4[[#This Row],[Producto]],Tabla6[[#All],[PRODUCTO]],0),MATCH(Tabla4[[#This Row],[Mes]],Tabla6[#Headers],0)))*(1+Catalogos!$L$2)</f>
        <v>#N/A</v>
      </c>
      <c r="N5809" s="283" t="e">
        <f>+(Tabla4[[#This Row],[Precio Descontado]]-Tabla4[[#This Row],[Precio Base]])*Tabla4[[#This Row],[Cantidad]]</f>
        <v>#N/A</v>
      </c>
      <c r="O5809" s="284" t="e">
        <f>++Tabla4[[#This Row],[Utilidad Total]]/Tabla4[[#This Row],[Total]]</f>
        <v>#N/A</v>
      </c>
      <c r="P5809" s="282">
        <f>++Tabla4[[#This Row],[Precio Descontado]]*Tabla4[[#This Row],[Cantidad]]</f>
        <v>174.21706499999999</v>
      </c>
      <c r="Q5809" s="282" t="e">
        <f>(INDEX(Tabla6[#All],MATCH(Tabla4[[#This Row],[Producto]],Tabla6[[#All],[PRODUCTO]],0),MATCH(Tabla4[[#This Row],[Mes]],Tabla6[#Headers],0)))</f>
        <v>#N/A</v>
      </c>
      <c r="R5809" s="282" t="e">
        <f>++Tabla4[[#This Row],[Precio Unitario Neto]]-Tabla4[[#This Row],[20.85%]]-Tabla4[[#This Row],[Costo]]</f>
        <v>#N/A</v>
      </c>
      <c r="S5809" s="282" t="e">
        <f>++Tabla4[[#This Row],[U. Bruta Uni]]*Tabla4[[#This Row],[Cantidad]]</f>
        <v>#N/A</v>
      </c>
      <c r="T5809" s="369" t="str">
        <f>VLOOKUP(Tabla4[[#This Row],[Producto]],Tabla6[#All],14,FALSE)</f>
        <v>Termico Solar</v>
      </c>
      <c r="U5809" s="284" t="e">
        <f>(IF(Tabla4[[#This Row],[Familia]]="termico solar",Tabla4[[#This Row],[Utilidad Total]]*6%,Tabla4[[#This Row],[Utilidad Total]]*11.5%))/Tabla4[[#This Row],[Total]]</f>
        <v>#N/A</v>
      </c>
      <c r="V5809" s="282" t="e">
        <f>+Tabla4[[#This Row],[Comisión Calculada]]*Tabla4[[#This Row],[Total]]</f>
        <v>#N/A</v>
      </c>
    </row>
    <row r="5810" spans="1:22" hidden="1" x14ac:dyDescent="0.25">
      <c r="A5810" s="100">
        <v>45930</v>
      </c>
      <c r="B5810" t="str">
        <f t="shared" si="278"/>
        <v>September</v>
      </c>
      <c r="C5810" s="46" t="s">
        <v>280</v>
      </c>
      <c r="F5810" s="366" t="s">
        <v>2991</v>
      </c>
      <c r="G5810" s="46" t="s">
        <v>17</v>
      </c>
      <c r="H5810" s="46">
        <v>1</v>
      </c>
      <c r="I5810" s="51">
        <v>4622.28</v>
      </c>
      <c r="J5810" s="281">
        <f>++Tabla4[[#This Row],[Precio Bruto]]*1.16</f>
        <v>5361.8447999999989</v>
      </c>
      <c r="K5810" s="281">
        <f>+Tabla4[[#This Row],[Precio Unitario Neto]]*Tabla4[[#Headers],[20.85%]]</f>
        <v>1117.9446407999997</v>
      </c>
      <c r="L5810" s="282">
        <f>++Tabla4[[#This Row],[Precio Unitario Neto]]-Tabla4[[#This Row],[20.85%]]</f>
        <v>4243.9001591999995</v>
      </c>
      <c r="M5810" s="282" t="e">
        <f>(INDEX(Tabla6[#All],MATCH(Tabla4[[#This Row],[Producto]],Tabla6[[#All],[PRODUCTO]],0),MATCH(Tabla4[[#This Row],[Mes]],Tabla6[#Headers],0)))*(1+Catalogos!$L$2)</f>
        <v>#N/A</v>
      </c>
      <c r="N5810" s="283" t="e">
        <f>+(Tabla4[[#This Row],[Precio Descontado]]-Tabla4[[#This Row],[Precio Base]])*Tabla4[[#This Row],[Cantidad]]</f>
        <v>#N/A</v>
      </c>
      <c r="O5810" s="284" t="e">
        <f>++Tabla4[[#This Row],[Utilidad Total]]/Tabla4[[#This Row],[Total]]</f>
        <v>#N/A</v>
      </c>
      <c r="P5810" s="282">
        <f>++Tabla4[[#This Row],[Precio Descontado]]*Tabla4[[#This Row],[Cantidad]]</f>
        <v>4243.9001591999995</v>
      </c>
      <c r="Q5810" s="282" t="e">
        <f>(INDEX(Tabla6[#All],MATCH(Tabla4[[#This Row],[Producto]],Tabla6[[#All],[PRODUCTO]],0),MATCH(Tabla4[[#This Row],[Mes]],Tabla6[#Headers],0)))</f>
        <v>#N/A</v>
      </c>
      <c r="R5810" s="282" t="e">
        <f>++Tabla4[[#This Row],[Precio Unitario Neto]]-Tabla4[[#This Row],[20.85%]]-Tabla4[[#This Row],[Costo]]</f>
        <v>#N/A</v>
      </c>
      <c r="S5810" s="282" t="e">
        <f>++Tabla4[[#This Row],[U. Bruta Uni]]*Tabla4[[#This Row],[Cantidad]]</f>
        <v>#N/A</v>
      </c>
      <c r="T5810" s="369" t="str">
        <f>VLOOKUP(Tabla4[[#This Row],[Producto]],Tabla6[#All],14,FALSE)</f>
        <v>Termico Solar</v>
      </c>
      <c r="U5810" s="284" t="e">
        <f>(IF(Tabla4[[#This Row],[Familia]]="termico solar",Tabla4[[#This Row],[Utilidad Total]]*6%,Tabla4[[#This Row],[Utilidad Total]]*11.5%))/Tabla4[[#This Row],[Total]]</f>
        <v>#N/A</v>
      </c>
      <c r="V5810" s="282" t="e">
        <f>+Tabla4[[#This Row],[Comisión Calculada]]*Tabla4[[#This Row],[Total]]</f>
        <v>#N/A</v>
      </c>
    </row>
    <row r="5811" spans="1:22" hidden="1" x14ac:dyDescent="0.25">
      <c r="A5811" s="100">
        <v>45930</v>
      </c>
      <c r="B5811" t="str">
        <f t="shared" si="278"/>
        <v>September</v>
      </c>
      <c r="C5811" s="46" t="s">
        <v>280</v>
      </c>
      <c r="F5811" s="366" t="s">
        <v>2991</v>
      </c>
      <c r="G5811" s="46" t="s">
        <v>208</v>
      </c>
      <c r="H5811" s="46">
        <v>1</v>
      </c>
      <c r="I5811" s="51">
        <v>189.75</v>
      </c>
      <c r="J5811" s="281">
        <f>++Tabla4[[#This Row],[Precio Bruto]]*1.16</f>
        <v>220.10999999999999</v>
      </c>
      <c r="K5811" s="281">
        <f>+Tabla4[[#This Row],[Precio Unitario Neto]]*Tabla4[[#Headers],[20.85%]]</f>
        <v>45.892934999999994</v>
      </c>
      <c r="L5811" s="282">
        <f>++Tabla4[[#This Row],[Precio Unitario Neto]]-Tabla4[[#This Row],[20.85%]]</f>
        <v>174.21706499999999</v>
      </c>
      <c r="M5811" s="282" t="e">
        <f>(INDEX(Tabla6[#All],MATCH(Tabla4[[#This Row],[Producto]],Tabla6[[#All],[PRODUCTO]],0),MATCH(Tabla4[[#This Row],[Mes]],Tabla6[#Headers],0)))*(1+Catalogos!$L$2)</f>
        <v>#N/A</v>
      </c>
      <c r="N5811" s="283" t="e">
        <f>+(Tabla4[[#This Row],[Precio Descontado]]-Tabla4[[#This Row],[Precio Base]])*Tabla4[[#This Row],[Cantidad]]</f>
        <v>#N/A</v>
      </c>
      <c r="O5811" s="284" t="e">
        <f>++Tabla4[[#This Row],[Utilidad Total]]/Tabla4[[#This Row],[Total]]</f>
        <v>#N/A</v>
      </c>
      <c r="P5811" s="282">
        <f>++Tabla4[[#This Row],[Precio Descontado]]*Tabla4[[#This Row],[Cantidad]]</f>
        <v>174.21706499999999</v>
      </c>
      <c r="Q5811" s="282" t="e">
        <f>(INDEX(Tabla6[#All],MATCH(Tabla4[[#This Row],[Producto]],Tabla6[[#All],[PRODUCTO]],0),MATCH(Tabla4[[#This Row],[Mes]],Tabla6[#Headers],0)))</f>
        <v>#N/A</v>
      </c>
      <c r="R5811" s="282" t="e">
        <f>++Tabla4[[#This Row],[Precio Unitario Neto]]-Tabla4[[#This Row],[20.85%]]-Tabla4[[#This Row],[Costo]]</f>
        <v>#N/A</v>
      </c>
      <c r="S5811" s="282" t="e">
        <f>++Tabla4[[#This Row],[U. Bruta Uni]]*Tabla4[[#This Row],[Cantidad]]</f>
        <v>#N/A</v>
      </c>
      <c r="T5811" s="369" t="str">
        <f>VLOOKUP(Tabla4[[#This Row],[Producto]],Tabla6[#All],14,FALSE)</f>
        <v>Termico Solar</v>
      </c>
      <c r="U5811" s="284" t="e">
        <f>(IF(Tabla4[[#This Row],[Familia]]="termico solar",Tabla4[[#This Row],[Utilidad Total]]*6%,Tabla4[[#This Row],[Utilidad Total]]*11.5%))/Tabla4[[#This Row],[Total]]</f>
        <v>#N/A</v>
      </c>
      <c r="V5811" s="282" t="e">
        <f>+Tabla4[[#This Row],[Comisión Calculada]]*Tabla4[[#This Row],[Total]]</f>
        <v>#N/A</v>
      </c>
    </row>
    <row r="5812" spans="1:22" hidden="1" x14ac:dyDescent="0.25">
      <c r="A5812" s="100">
        <v>45930</v>
      </c>
      <c r="B5812" t="str">
        <f t="shared" si="278"/>
        <v>September</v>
      </c>
      <c r="C5812" s="46" t="s">
        <v>280</v>
      </c>
      <c r="F5812" s="366" t="s">
        <v>2992</v>
      </c>
      <c r="G5812" s="46" t="s">
        <v>83</v>
      </c>
      <c r="H5812" s="46">
        <v>2</v>
      </c>
      <c r="I5812" s="51">
        <v>8858.76</v>
      </c>
      <c r="J5812" s="281">
        <f>++Tabla4[[#This Row],[Precio Bruto]]*1.16</f>
        <v>10276.161599999999</v>
      </c>
      <c r="K5812" s="281">
        <f>+Tabla4[[#This Row],[Precio Unitario Neto]]*Tabla4[[#Headers],[20.85%]]</f>
        <v>2142.5796935999997</v>
      </c>
      <c r="L5812" s="282">
        <f>++Tabla4[[#This Row],[Precio Unitario Neto]]-Tabla4[[#This Row],[20.85%]]</f>
        <v>8133.5819063999998</v>
      </c>
      <c r="M5812" s="282" t="e">
        <f>(INDEX(Tabla6[#All],MATCH(Tabla4[[#This Row],[Producto]],Tabla6[[#All],[PRODUCTO]],0),MATCH(Tabla4[[#This Row],[Mes]],Tabla6[#Headers],0)))*(1+Catalogos!$L$2)</f>
        <v>#N/A</v>
      </c>
      <c r="N5812" s="283" t="e">
        <f>+(Tabla4[[#This Row],[Precio Descontado]]-Tabla4[[#This Row],[Precio Base]])*Tabla4[[#This Row],[Cantidad]]</f>
        <v>#N/A</v>
      </c>
      <c r="O5812" s="284" t="e">
        <f>++Tabla4[[#This Row],[Utilidad Total]]/Tabla4[[#This Row],[Total]]</f>
        <v>#N/A</v>
      </c>
      <c r="P5812" s="282">
        <f>++Tabla4[[#This Row],[Precio Descontado]]*Tabla4[[#This Row],[Cantidad]]</f>
        <v>16267.1638128</v>
      </c>
      <c r="Q5812" s="282" t="e">
        <f>(INDEX(Tabla6[#All],MATCH(Tabla4[[#This Row],[Producto]],Tabla6[[#All],[PRODUCTO]],0),MATCH(Tabla4[[#This Row],[Mes]],Tabla6[#Headers],0)))</f>
        <v>#N/A</v>
      </c>
      <c r="R5812" s="282" t="e">
        <f>++Tabla4[[#This Row],[Precio Unitario Neto]]-Tabla4[[#This Row],[20.85%]]-Tabla4[[#This Row],[Costo]]</f>
        <v>#N/A</v>
      </c>
      <c r="S5812" s="282" t="e">
        <f>++Tabla4[[#This Row],[U. Bruta Uni]]*Tabla4[[#This Row],[Cantidad]]</f>
        <v>#N/A</v>
      </c>
      <c r="T5812" s="369" t="str">
        <f>VLOOKUP(Tabla4[[#This Row],[Producto]],Tabla6[#All],14,FALSE)</f>
        <v>Termico Solar</v>
      </c>
      <c r="U5812" s="284" t="e">
        <f>(IF(Tabla4[[#This Row],[Familia]]="termico solar",Tabla4[[#This Row],[Utilidad Total]]*6%,Tabla4[[#This Row],[Utilidad Total]]*11.5%))/Tabla4[[#This Row],[Total]]</f>
        <v>#N/A</v>
      </c>
      <c r="V5812" s="282" t="e">
        <f>+Tabla4[[#This Row],[Comisión Calculada]]*Tabla4[[#This Row],[Total]]</f>
        <v>#N/A</v>
      </c>
    </row>
    <row r="5813" spans="1:22" hidden="1" x14ac:dyDescent="0.25">
      <c r="A5813" s="100">
        <v>45930</v>
      </c>
      <c r="B5813" t="str">
        <f t="shared" si="278"/>
        <v>September</v>
      </c>
      <c r="C5813" s="46" t="s">
        <v>280</v>
      </c>
      <c r="F5813" s="366" t="s">
        <v>2992</v>
      </c>
      <c r="G5813" s="46" t="s">
        <v>18</v>
      </c>
      <c r="H5813" s="46">
        <v>2</v>
      </c>
      <c r="I5813" s="51">
        <v>5367.65</v>
      </c>
      <c r="J5813" s="281">
        <f>++Tabla4[[#This Row],[Precio Bruto]]*1.16</f>
        <v>6226.4739999999993</v>
      </c>
      <c r="K5813" s="281">
        <f>+Tabla4[[#This Row],[Precio Unitario Neto]]*Tabla4[[#Headers],[20.85%]]</f>
        <v>1298.2198289999999</v>
      </c>
      <c r="L5813" s="282">
        <f>++Tabla4[[#This Row],[Precio Unitario Neto]]-Tabla4[[#This Row],[20.85%]]</f>
        <v>4928.2541709999996</v>
      </c>
      <c r="M5813" s="282" t="e">
        <f>(INDEX(Tabla6[#All],MATCH(Tabla4[[#This Row],[Producto]],Tabla6[[#All],[PRODUCTO]],0),MATCH(Tabla4[[#This Row],[Mes]],Tabla6[#Headers],0)))*(1+Catalogos!$L$2)</f>
        <v>#N/A</v>
      </c>
      <c r="N5813" s="283" t="e">
        <f>+(Tabla4[[#This Row],[Precio Descontado]]-Tabla4[[#This Row],[Precio Base]])*Tabla4[[#This Row],[Cantidad]]</f>
        <v>#N/A</v>
      </c>
      <c r="O5813" s="284" t="e">
        <f>++Tabla4[[#This Row],[Utilidad Total]]/Tabla4[[#This Row],[Total]]</f>
        <v>#N/A</v>
      </c>
      <c r="P5813" s="282">
        <f>++Tabla4[[#This Row],[Precio Descontado]]*Tabla4[[#This Row],[Cantidad]]</f>
        <v>9856.5083419999992</v>
      </c>
      <c r="Q5813" s="282" t="e">
        <f>(INDEX(Tabla6[#All],MATCH(Tabla4[[#This Row],[Producto]],Tabla6[[#All],[PRODUCTO]],0),MATCH(Tabla4[[#This Row],[Mes]],Tabla6[#Headers],0)))</f>
        <v>#N/A</v>
      </c>
      <c r="R5813" s="282" t="e">
        <f>++Tabla4[[#This Row],[Precio Unitario Neto]]-Tabla4[[#This Row],[20.85%]]-Tabla4[[#This Row],[Costo]]</f>
        <v>#N/A</v>
      </c>
      <c r="S5813" s="282" t="e">
        <f>++Tabla4[[#This Row],[U. Bruta Uni]]*Tabla4[[#This Row],[Cantidad]]</f>
        <v>#N/A</v>
      </c>
      <c r="T5813" s="369" t="str">
        <f>VLOOKUP(Tabla4[[#This Row],[Producto]],Tabla6[#All],14,FALSE)</f>
        <v>Termico Solar</v>
      </c>
      <c r="U5813" s="284" t="e">
        <f>(IF(Tabla4[[#This Row],[Familia]]="termico solar",Tabla4[[#This Row],[Utilidad Total]]*6%,Tabla4[[#This Row],[Utilidad Total]]*11.5%))/Tabla4[[#This Row],[Total]]</f>
        <v>#N/A</v>
      </c>
      <c r="V5813" s="282" t="e">
        <f>+Tabla4[[#This Row],[Comisión Calculada]]*Tabla4[[#This Row],[Total]]</f>
        <v>#N/A</v>
      </c>
    </row>
    <row r="5814" spans="1:22" hidden="1" x14ac:dyDescent="0.25">
      <c r="A5814" s="100">
        <v>45930</v>
      </c>
      <c r="B5814" t="str">
        <f t="shared" si="278"/>
        <v>September</v>
      </c>
      <c r="C5814" s="46" t="s">
        <v>280</v>
      </c>
      <c r="F5814" s="366" t="s">
        <v>2992</v>
      </c>
      <c r="G5814" s="46" t="s">
        <v>566</v>
      </c>
      <c r="H5814" s="46">
        <v>1</v>
      </c>
      <c r="I5814" s="51">
        <v>2109.4499999999998</v>
      </c>
      <c r="J5814" s="281">
        <f>++Tabla4[[#This Row],[Precio Bruto]]*1.16</f>
        <v>2446.9619999999995</v>
      </c>
      <c r="K5814" s="281">
        <f>+Tabla4[[#This Row],[Precio Unitario Neto]]*Tabla4[[#Headers],[20.85%]]</f>
        <v>510.19157699999988</v>
      </c>
      <c r="L5814" s="282">
        <f>++Tabla4[[#This Row],[Precio Unitario Neto]]-Tabla4[[#This Row],[20.85%]]</f>
        <v>1936.7704229999997</v>
      </c>
      <c r="M5814" s="282" t="e">
        <f>(INDEX(Tabla6[#All],MATCH(Tabla4[[#This Row],[Producto]],Tabla6[[#All],[PRODUCTO]],0),MATCH(Tabla4[[#This Row],[Mes]],Tabla6[#Headers],0)))*(1+Catalogos!$L$2)</f>
        <v>#N/A</v>
      </c>
      <c r="N5814" s="283" t="e">
        <f>+(Tabla4[[#This Row],[Precio Descontado]]-Tabla4[[#This Row],[Precio Base]])*Tabla4[[#This Row],[Cantidad]]</f>
        <v>#N/A</v>
      </c>
      <c r="O5814" s="284" t="e">
        <f>++Tabla4[[#This Row],[Utilidad Total]]/Tabla4[[#This Row],[Total]]</f>
        <v>#N/A</v>
      </c>
      <c r="P5814" s="282">
        <f>++Tabla4[[#This Row],[Precio Descontado]]*Tabla4[[#This Row],[Cantidad]]</f>
        <v>1936.7704229999997</v>
      </c>
      <c r="Q5814" s="282" t="e">
        <f>(INDEX(Tabla6[#All],MATCH(Tabla4[[#This Row],[Producto]],Tabla6[[#All],[PRODUCTO]],0),MATCH(Tabla4[[#This Row],[Mes]],Tabla6[#Headers],0)))</f>
        <v>#N/A</v>
      </c>
      <c r="R5814" s="282" t="e">
        <f>++Tabla4[[#This Row],[Precio Unitario Neto]]-Tabla4[[#This Row],[20.85%]]-Tabla4[[#This Row],[Costo]]</f>
        <v>#N/A</v>
      </c>
      <c r="S5814" s="282" t="e">
        <f>++Tabla4[[#This Row],[U. Bruta Uni]]*Tabla4[[#This Row],[Cantidad]]</f>
        <v>#N/A</v>
      </c>
      <c r="T5814" s="369" t="str">
        <f>VLOOKUP(Tabla4[[#This Row],[Producto]],Tabla6[#All],14,FALSE)</f>
        <v>Termico Solar</v>
      </c>
      <c r="U5814" s="284" t="e">
        <f>(IF(Tabla4[[#This Row],[Familia]]="termico solar",Tabla4[[#This Row],[Utilidad Total]]*6%,Tabla4[[#This Row],[Utilidad Total]]*11.5%))/Tabla4[[#This Row],[Total]]</f>
        <v>#N/A</v>
      </c>
      <c r="V5814" s="282" t="e">
        <f>+Tabla4[[#This Row],[Comisión Calculada]]*Tabla4[[#This Row],[Total]]</f>
        <v>#N/A</v>
      </c>
    </row>
    <row r="5815" spans="1:22" hidden="1" x14ac:dyDescent="0.25">
      <c r="A5815" s="100">
        <v>45930</v>
      </c>
      <c r="B5815" t="str">
        <f t="shared" si="278"/>
        <v>September</v>
      </c>
      <c r="C5815" s="46" t="s">
        <v>280</v>
      </c>
      <c r="F5815" s="366" t="s">
        <v>2992</v>
      </c>
      <c r="G5815" s="46" t="s">
        <v>208</v>
      </c>
      <c r="H5815" s="46">
        <v>1</v>
      </c>
      <c r="I5815" s="51">
        <v>189.75</v>
      </c>
      <c r="J5815" s="281">
        <f>++Tabla4[[#This Row],[Precio Bruto]]*1.16</f>
        <v>220.10999999999999</v>
      </c>
      <c r="K5815" s="281">
        <f>+Tabla4[[#This Row],[Precio Unitario Neto]]*Tabla4[[#Headers],[20.85%]]</f>
        <v>45.892934999999994</v>
      </c>
      <c r="L5815" s="282">
        <f>++Tabla4[[#This Row],[Precio Unitario Neto]]-Tabla4[[#This Row],[20.85%]]</f>
        <v>174.21706499999999</v>
      </c>
      <c r="M5815" s="282" t="e">
        <f>(INDEX(Tabla6[#All],MATCH(Tabla4[[#This Row],[Producto]],Tabla6[[#All],[PRODUCTO]],0),MATCH(Tabla4[[#This Row],[Mes]],Tabla6[#Headers],0)))*(1+Catalogos!$L$2)</f>
        <v>#N/A</v>
      </c>
      <c r="N5815" s="283" t="e">
        <f>+(Tabla4[[#This Row],[Precio Descontado]]-Tabla4[[#This Row],[Precio Base]])*Tabla4[[#This Row],[Cantidad]]</f>
        <v>#N/A</v>
      </c>
      <c r="O5815" s="284" t="e">
        <f>++Tabla4[[#This Row],[Utilidad Total]]/Tabla4[[#This Row],[Total]]</f>
        <v>#N/A</v>
      </c>
      <c r="P5815" s="282">
        <f>++Tabla4[[#This Row],[Precio Descontado]]*Tabla4[[#This Row],[Cantidad]]</f>
        <v>174.21706499999999</v>
      </c>
      <c r="Q5815" s="282" t="e">
        <f>(INDEX(Tabla6[#All],MATCH(Tabla4[[#This Row],[Producto]],Tabla6[[#All],[PRODUCTO]],0),MATCH(Tabla4[[#This Row],[Mes]],Tabla6[#Headers],0)))</f>
        <v>#N/A</v>
      </c>
      <c r="R5815" s="282" t="e">
        <f>++Tabla4[[#This Row],[Precio Unitario Neto]]-Tabla4[[#This Row],[20.85%]]-Tabla4[[#This Row],[Costo]]</f>
        <v>#N/A</v>
      </c>
      <c r="S5815" s="282" t="e">
        <f>++Tabla4[[#This Row],[U. Bruta Uni]]*Tabla4[[#This Row],[Cantidad]]</f>
        <v>#N/A</v>
      </c>
      <c r="T5815" s="369" t="str">
        <f>VLOOKUP(Tabla4[[#This Row],[Producto]],Tabla6[#All],14,FALSE)</f>
        <v>Termico Solar</v>
      </c>
      <c r="U5815" s="284" t="e">
        <f>(IF(Tabla4[[#This Row],[Familia]]="termico solar",Tabla4[[#This Row],[Utilidad Total]]*6%,Tabla4[[#This Row],[Utilidad Total]]*11.5%))/Tabla4[[#This Row],[Total]]</f>
        <v>#N/A</v>
      </c>
      <c r="V5815" s="282" t="e">
        <f>+Tabla4[[#This Row],[Comisión Calculada]]*Tabla4[[#This Row],[Total]]</f>
        <v>#N/A</v>
      </c>
    </row>
    <row r="5816" spans="1:22" hidden="1" x14ac:dyDescent="0.25">
      <c r="A5816" s="100">
        <v>45930</v>
      </c>
      <c r="B5816" t="str">
        <f t="shared" si="278"/>
        <v>September</v>
      </c>
      <c r="C5816" s="46" t="s">
        <v>280</v>
      </c>
      <c r="F5816" s="366" t="s">
        <v>2993</v>
      </c>
      <c r="G5816" s="46" t="s">
        <v>83</v>
      </c>
      <c r="H5816" s="46">
        <v>1</v>
      </c>
      <c r="I5816" s="51">
        <v>8858.76</v>
      </c>
      <c r="J5816" s="281">
        <f>++Tabla4[[#This Row],[Precio Bruto]]*1.16</f>
        <v>10276.161599999999</v>
      </c>
      <c r="K5816" s="281">
        <f>+Tabla4[[#This Row],[Precio Unitario Neto]]*Tabla4[[#Headers],[20.85%]]</f>
        <v>2142.5796935999997</v>
      </c>
      <c r="L5816" s="282">
        <f>++Tabla4[[#This Row],[Precio Unitario Neto]]-Tabla4[[#This Row],[20.85%]]</f>
        <v>8133.5819063999998</v>
      </c>
      <c r="M5816" s="282" t="e">
        <f>(INDEX(Tabla6[#All],MATCH(Tabla4[[#This Row],[Producto]],Tabla6[[#All],[PRODUCTO]],0),MATCH(Tabla4[[#This Row],[Mes]],Tabla6[#Headers],0)))*(1+Catalogos!$L$2)</f>
        <v>#N/A</v>
      </c>
      <c r="N5816" s="283" t="e">
        <f>+(Tabla4[[#This Row],[Precio Descontado]]-Tabla4[[#This Row],[Precio Base]])*Tabla4[[#This Row],[Cantidad]]</f>
        <v>#N/A</v>
      </c>
      <c r="O5816" s="284" t="e">
        <f>++Tabla4[[#This Row],[Utilidad Total]]/Tabla4[[#This Row],[Total]]</f>
        <v>#N/A</v>
      </c>
      <c r="P5816" s="282">
        <f>++Tabla4[[#This Row],[Precio Descontado]]*Tabla4[[#This Row],[Cantidad]]</f>
        <v>8133.5819063999998</v>
      </c>
      <c r="Q5816" s="282" t="e">
        <f>(INDEX(Tabla6[#All],MATCH(Tabla4[[#This Row],[Producto]],Tabla6[[#All],[PRODUCTO]],0),MATCH(Tabla4[[#This Row],[Mes]],Tabla6[#Headers],0)))</f>
        <v>#N/A</v>
      </c>
      <c r="R5816" s="282" t="e">
        <f>++Tabla4[[#This Row],[Precio Unitario Neto]]-Tabla4[[#This Row],[20.85%]]-Tabla4[[#This Row],[Costo]]</f>
        <v>#N/A</v>
      </c>
      <c r="S5816" s="282" t="e">
        <f>++Tabla4[[#This Row],[U. Bruta Uni]]*Tabla4[[#This Row],[Cantidad]]</f>
        <v>#N/A</v>
      </c>
      <c r="T5816" s="369" t="str">
        <f>VLOOKUP(Tabla4[[#This Row],[Producto]],Tabla6[#All],14,FALSE)</f>
        <v>Termico Solar</v>
      </c>
      <c r="U5816" s="284" t="e">
        <f>(IF(Tabla4[[#This Row],[Familia]]="termico solar",Tabla4[[#This Row],[Utilidad Total]]*6%,Tabla4[[#This Row],[Utilidad Total]]*11.5%))/Tabla4[[#This Row],[Total]]</f>
        <v>#N/A</v>
      </c>
      <c r="V5816" s="282" t="e">
        <f>+Tabla4[[#This Row],[Comisión Calculada]]*Tabla4[[#This Row],[Total]]</f>
        <v>#N/A</v>
      </c>
    </row>
    <row r="5817" spans="1:22" hidden="1" x14ac:dyDescent="0.25">
      <c r="A5817" s="100">
        <v>45930</v>
      </c>
      <c r="B5817" t="str">
        <f t="shared" si="278"/>
        <v>September</v>
      </c>
      <c r="C5817" s="46" t="s">
        <v>280</v>
      </c>
      <c r="F5817" s="366" t="s">
        <v>2993</v>
      </c>
      <c r="G5817" s="46" t="s">
        <v>17</v>
      </c>
      <c r="H5817" s="46">
        <v>1</v>
      </c>
      <c r="I5817" s="51">
        <v>4622.28</v>
      </c>
      <c r="J5817" s="281">
        <f>++Tabla4[[#This Row],[Precio Bruto]]*1.16</f>
        <v>5361.8447999999989</v>
      </c>
      <c r="K5817" s="281">
        <f>+Tabla4[[#This Row],[Precio Unitario Neto]]*Tabla4[[#Headers],[20.85%]]</f>
        <v>1117.9446407999997</v>
      </c>
      <c r="L5817" s="282">
        <f>++Tabla4[[#This Row],[Precio Unitario Neto]]-Tabla4[[#This Row],[20.85%]]</f>
        <v>4243.9001591999995</v>
      </c>
      <c r="M5817" s="282" t="e">
        <f>(INDEX(Tabla6[#All],MATCH(Tabla4[[#This Row],[Producto]],Tabla6[[#All],[PRODUCTO]],0),MATCH(Tabla4[[#This Row],[Mes]],Tabla6[#Headers],0)))*(1+Catalogos!$L$2)</f>
        <v>#N/A</v>
      </c>
      <c r="N5817" s="283" t="e">
        <f>+(Tabla4[[#This Row],[Precio Descontado]]-Tabla4[[#This Row],[Precio Base]])*Tabla4[[#This Row],[Cantidad]]</f>
        <v>#N/A</v>
      </c>
      <c r="O5817" s="284" t="e">
        <f>++Tabla4[[#This Row],[Utilidad Total]]/Tabla4[[#This Row],[Total]]</f>
        <v>#N/A</v>
      </c>
      <c r="P5817" s="282">
        <f>++Tabla4[[#This Row],[Precio Descontado]]*Tabla4[[#This Row],[Cantidad]]</f>
        <v>4243.9001591999995</v>
      </c>
      <c r="Q5817" s="282" t="e">
        <f>(INDEX(Tabla6[#All],MATCH(Tabla4[[#This Row],[Producto]],Tabla6[[#All],[PRODUCTO]],0),MATCH(Tabla4[[#This Row],[Mes]],Tabla6[#Headers],0)))</f>
        <v>#N/A</v>
      </c>
      <c r="R5817" s="282" t="e">
        <f>++Tabla4[[#This Row],[Precio Unitario Neto]]-Tabla4[[#This Row],[20.85%]]-Tabla4[[#This Row],[Costo]]</f>
        <v>#N/A</v>
      </c>
      <c r="S5817" s="282" t="e">
        <f>++Tabla4[[#This Row],[U. Bruta Uni]]*Tabla4[[#This Row],[Cantidad]]</f>
        <v>#N/A</v>
      </c>
      <c r="T5817" s="369" t="str">
        <f>VLOOKUP(Tabla4[[#This Row],[Producto]],Tabla6[#All],14,FALSE)</f>
        <v>Termico Solar</v>
      </c>
      <c r="U5817" s="284" t="e">
        <f>(IF(Tabla4[[#This Row],[Familia]]="termico solar",Tabla4[[#This Row],[Utilidad Total]]*6%,Tabla4[[#This Row],[Utilidad Total]]*11.5%))/Tabla4[[#This Row],[Total]]</f>
        <v>#N/A</v>
      </c>
      <c r="V5817" s="282" t="e">
        <f>+Tabla4[[#This Row],[Comisión Calculada]]*Tabla4[[#This Row],[Total]]</f>
        <v>#N/A</v>
      </c>
    </row>
    <row r="5818" spans="1:22" hidden="1" x14ac:dyDescent="0.25">
      <c r="A5818" s="100">
        <v>45930</v>
      </c>
      <c r="B5818" t="str">
        <f t="shared" si="278"/>
        <v>September</v>
      </c>
      <c r="C5818" s="46" t="s">
        <v>280</v>
      </c>
      <c r="F5818" s="366" t="s">
        <v>2993</v>
      </c>
      <c r="G5818" s="46" t="s">
        <v>566</v>
      </c>
      <c r="H5818" s="46">
        <v>1</v>
      </c>
      <c r="I5818" s="51">
        <v>2109.4499999999998</v>
      </c>
      <c r="J5818" s="281">
        <f>++Tabla4[[#This Row],[Precio Bruto]]*1.16</f>
        <v>2446.9619999999995</v>
      </c>
      <c r="K5818" s="281">
        <f>+Tabla4[[#This Row],[Precio Unitario Neto]]*Tabla4[[#Headers],[20.85%]]</f>
        <v>510.19157699999988</v>
      </c>
      <c r="L5818" s="282">
        <f>++Tabla4[[#This Row],[Precio Unitario Neto]]-Tabla4[[#This Row],[20.85%]]</f>
        <v>1936.7704229999997</v>
      </c>
      <c r="M5818" s="282" t="e">
        <f>(INDEX(Tabla6[#All],MATCH(Tabla4[[#This Row],[Producto]],Tabla6[[#All],[PRODUCTO]],0),MATCH(Tabla4[[#This Row],[Mes]],Tabla6[#Headers],0)))*(1+Catalogos!$L$2)</f>
        <v>#N/A</v>
      </c>
      <c r="N5818" s="283" t="e">
        <f>+(Tabla4[[#This Row],[Precio Descontado]]-Tabla4[[#This Row],[Precio Base]])*Tabla4[[#This Row],[Cantidad]]</f>
        <v>#N/A</v>
      </c>
      <c r="O5818" s="284" t="e">
        <f>++Tabla4[[#This Row],[Utilidad Total]]/Tabla4[[#This Row],[Total]]</f>
        <v>#N/A</v>
      </c>
      <c r="P5818" s="282">
        <f>++Tabla4[[#This Row],[Precio Descontado]]*Tabla4[[#This Row],[Cantidad]]</f>
        <v>1936.7704229999997</v>
      </c>
      <c r="Q5818" s="282" t="e">
        <f>(INDEX(Tabla6[#All],MATCH(Tabla4[[#This Row],[Producto]],Tabla6[[#All],[PRODUCTO]],0),MATCH(Tabla4[[#This Row],[Mes]],Tabla6[#Headers],0)))</f>
        <v>#N/A</v>
      </c>
      <c r="R5818" s="282" t="e">
        <f>++Tabla4[[#This Row],[Precio Unitario Neto]]-Tabla4[[#This Row],[20.85%]]-Tabla4[[#This Row],[Costo]]</f>
        <v>#N/A</v>
      </c>
      <c r="S5818" s="282" t="e">
        <f>++Tabla4[[#This Row],[U. Bruta Uni]]*Tabla4[[#This Row],[Cantidad]]</f>
        <v>#N/A</v>
      </c>
      <c r="T5818" s="369" t="str">
        <f>VLOOKUP(Tabla4[[#This Row],[Producto]],Tabla6[#All],14,FALSE)</f>
        <v>Termico Solar</v>
      </c>
      <c r="U5818" s="284" t="e">
        <f>(IF(Tabla4[[#This Row],[Familia]]="termico solar",Tabla4[[#This Row],[Utilidad Total]]*6%,Tabla4[[#This Row],[Utilidad Total]]*11.5%))/Tabla4[[#This Row],[Total]]</f>
        <v>#N/A</v>
      </c>
      <c r="V5818" s="282" t="e">
        <f>+Tabla4[[#This Row],[Comisión Calculada]]*Tabla4[[#This Row],[Total]]</f>
        <v>#N/A</v>
      </c>
    </row>
    <row r="5819" spans="1:22" hidden="1" x14ac:dyDescent="0.25">
      <c r="A5819" s="100">
        <v>45930</v>
      </c>
      <c r="B5819" t="str">
        <f t="shared" si="278"/>
        <v>September</v>
      </c>
      <c r="C5819" s="46" t="s">
        <v>280</v>
      </c>
      <c r="F5819" s="366" t="s">
        <v>2993</v>
      </c>
      <c r="G5819" s="46" t="s">
        <v>16</v>
      </c>
      <c r="H5819" s="46">
        <v>5</v>
      </c>
      <c r="I5819" s="51">
        <v>4103.8500000000004</v>
      </c>
      <c r="J5819" s="281">
        <f>++Tabla4[[#This Row],[Precio Bruto]]*1.16</f>
        <v>4760.4660000000003</v>
      </c>
      <c r="K5819" s="281">
        <f>+Tabla4[[#This Row],[Precio Unitario Neto]]*Tabla4[[#Headers],[20.85%]]</f>
        <v>992.55716100000006</v>
      </c>
      <c r="L5819" s="282">
        <f>++Tabla4[[#This Row],[Precio Unitario Neto]]-Tabla4[[#This Row],[20.85%]]</f>
        <v>3767.9088390000002</v>
      </c>
      <c r="M5819" s="282" t="e">
        <f>(INDEX(Tabla6[#All],MATCH(Tabla4[[#This Row],[Producto]],Tabla6[[#All],[PRODUCTO]],0),MATCH(Tabla4[[#This Row],[Mes]],Tabla6[#Headers],0)))*(1+Catalogos!$L$2)</f>
        <v>#N/A</v>
      </c>
      <c r="N5819" s="283" t="e">
        <f>+(Tabla4[[#This Row],[Precio Descontado]]-Tabla4[[#This Row],[Precio Base]])*Tabla4[[#This Row],[Cantidad]]</f>
        <v>#N/A</v>
      </c>
      <c r="O5819" s="284" t="e">
        <f>++Tabla4[[#This Row],[Utilidad Total]]/Tabla4[[#This Row],[Total]]</f>
        <v>#N/A</v>
      </c>
      <c r="P5819" s="282">
        <f>++Tabla4[[#This Row],[Precio Descontado]]*Tabla4[[#This Row],[Cantidad]]</f>
        <v>18839.544195000002</v>
      </c>
      <c r="Q5819" s="282" t="e">
        <f>(INDEX(Tabla6[#All],MATCH(Tabla4[[#This Row],[Producto]],Tabla6[[#All],[PRODUCTO]],0),MATCH(Tabla4[[#This Row],[Mes]],Tabla6[#Headers],0)))</f>
        <v>#N/A</v>
      </c>
      <c r="R5819" s="282" t="e">
        <f>++Tabla4[[#This Row],[Precio Unitario Neto]]-Tabla4[[#This Row],[20.85%]]-Tabla4[[#This Row],[Costo]]</f>
        <v>#N/A</v>
      </c>
      <c r="S5819" s="282" t="e">
        <f>++Tabla4[[#This Row],[U. Bruta Uni]]*Tabla4[[#This Row],[Cantidad]]</f>
        <v>#N/A</v>
      </c>
      <c r="T5819" s="369" t="str">
        <f>VLOOKUP(Tabla4[[#This Row],[Producto]],Tabla6[#All],14,FALSE)</f>
        <v>Termico Solar</v>
      </c>
      <c r="U5819" s="284" t="e">
        <f>(IF(Tabla4[[#This Row],[Familia]]="termico solar",Tabla4[[#This Row],[Utilidad Total]]*6%,Tabla4[[#This Row],[Utilidad Total]]*11.5%))/Tabla4[[#This Row],[Total]]</f>
        <v>#N/A</v>
      </c>
      <c r="V5819" s="282" t="e">
        <f>+Tabla4[[#This Row],[Comisión Calculada]]*Tabla4[[#This Row],[Total]]</f>
        <v>#N/A</v>
      </c>
    </row>
    <row r="5820" spans="1:22" hidden="1" x14ac:dyDescent="0.25">
      <c r="A5820" s="100">
        <v>45930</v>
      </c>
      <c r="B5820" t="str">
        <f t="shared" si="278"/>
        <v>September</v>
      </c>
      <c r="C5820" s="46" t="s">
        <v>280</v>
      </c>
      <c r="F5820" s="366" t="s">
        <v>2993</v>
      </c>
      <c r="G5820" s="46" t="s">
        <v>208</v>
      </c>
      <c r="H5820" s="46">
        <v>2</v>
      </c>
      <c r="I5820" s="51">
        <v>189.75</v>
      </c>
      <c r="J5820" s="281">
        <f>++Tabla4[[#This Row],[Precio Bruto]]*1.16</f>
        <v>220.10999999999999</v>
      </c>
      <c r="K5820" s="281">
        <f>+Tabla4[[#This Row],[Precio Unitario Neto]]*Tabla4[[#Headers],[20.85%]]</f>
        <v>45.892934999999994</v>
      </c>
      <c r="L5820" s="282">
        <f>++Tabla4[[#This Row],[Precio Unitario Neto]]-Tabla4[[#This Row],[20.85%]]</f>
        <v>174.21706499999999</v>
      </c>
      <c r="M5820" s="282" t="e">
        <f>(INDEX(Tabla6[#All],MATCH(Tabla4[[#This Row],[Producto]],Tabla6[[#All],[PRODUCTO]],0),MATCH(Tabla4[[#This Row],[Mes]],Tabla6[#Headers],0)))*(1+Catalogos!$L$2)</f>
        <v>#N/A</v>
      </c>
      <c r="N5820" s="283" t="e">
        <f>+(Tabla4[[#This Row],[Precio Descontado]]-Tabla4[[#This Row],[Precio Base]])*Tabla4[[#This Row],[Cantidad]]</f>
        <v>#N/A</v>
      </c>
      <c r="O5820" s="284" t="e">
        <f>++Tabla4[[#This Row],[Utilidad Total]]/Tabla4[[#This Row],[Total]]</f>
        <v>#N/A</v>
      </c>
      <c r="P5820" s="282">
        <f>++Tabla4[[#This Row],[Precio Descontado]]*Tabla4[[#This Row],[Cantidad]]</f>
        <v>348.43412999999998</v>
      </c>
      <c r="Q5820" s="282" t="e">
        <f>(INDEX(Tabla6[#All],MATCH(Tabla4[[#This Row],[Producto]],Tabla6[[#All],[PRODUCTO]],0),MATCH(Tabla4[[#This Row],[Mes]],Tabla6[#Headers],0)))</f>
        <v>#N/A</v>
      </c>
      <c r="R5820" s="282" t="e">
        <f>++Tabla4[[#This Row],[Precio Unitario Neto]]-Tabla4[[#This Row],[20.85%]]-Tabla4[[#This Row],[Costo]]</f>
        <v>#N/A</v>
      </c>
      <c r="S5820" s="282" t="e">
        <f>++Tabla4[[#This Row],[U. Bruta Uni]]*Tabla4[[#This Row],[Cantidad]]</f>
        <v>#N/A</v>
      </c>
      <c r="T5820" s="369" t="str">
        <f>VLOOKUP(Tabla4[[#This Row],[Producto]],Tabla6[#All],14,FALSE)</f>
        <v>Termico Solar</v>
      </c>
      <c r="U5820" s="284" t="e">
        <f>(IF(Tabla4[[#This Row],[Familia]]="termico solar",Tabla4[[#This Row],[Utilidad Total]]*6%,Tabla4[[#This Row],[Utilidad Total]]*11.5%))/Tabla4[[#This Row],[Total]]</f>
        <v>#N/A</v>
      </c>
      <c r="V5820" s="282" t="e">
        <f>+Tabla4[[#This Row],[Comisión Calculada]]*Tabla4[[#This Row],[Total]]</f>
        <v>#N/A</v>
      </c>
    </row>
    <row r="5821" spans="1:22" hidden="1" x14ac:dyDescent="0.25">
      <c r="A5821" s="100">
        <v>45930</v>
      </c>
      <c r="B5821" t="str">
        <f t="shared" si="278"/>
        <v>September</v>
      </c>
      <c r="C5821" s="46" t="s">
        <v>280</v>
      </c>
      <c r="F5821" s="366" t="s">
        <v>2994</v>
      </c>
      <c r="G5821" s="46" t="s">
        <v>83</v>
      </c>
      <c r="H5821" s="46">
        <v>3</v>
      </c>
      <c r="I5821" s="51">
        <v>8858.76</v>
      </c>
      <c r="J5821" s="281">
        <f>++Tabla4[[#This Row],[Precio Bruto]]*1.16</f>
        <v>10276.161599999999</v>
      </c>
      <c r="K5821" s="281">
        <f>+Tabla4[[#This Row],[Precio Unitario Neto]]*Tabla4[[#Headers],[20.85%]]</f>
        <v>2142.5796935999997</v>
      </c>
      <c r="L5821" s="282">
        <f>++Tabla4[[#This Row],[Precio Unitario Neto]]-Tabla4[[#This Row],[20.85%]]</f>
        <v>8133.5819063999998</v>
      </c>
      <c r="M5821" s="282" t="e">
        <f>(INDEX(Tabla6[#All],MATCH(Tabla4[[#This Row],[Producto]],Tabla6[[#All],[PRODUCTO]],0),MATCH(Tabla4[[#This Row],[Mes]],Tabla6[#Headers],0)))*(1+Catalogos!$L$2)</f>
        <v>#N/A</v>
      </c>
      <c r="N5821" s="283" t="e">
        <f>+(Tabla4[[#This Row],[Precio Descontado]]-Tabla4[[#This Row],[Precio Base]])*Tabla4[[#This Row],[Cantidad]]</f>
        <v>#N/A</v>
      </c>
      <c r="O5821" s="284" t="e">
        <f>++Tabla4[[#This Row],[Utilidad Total]]/Tabla4[[#This Row],[Total]]</f>
        <v>#N/A</v>
      </c>
      <c r="P5821" s="282">
        <f>++Tabla4[[#This Row],[Precio Descontado]]*Tabla4[[#This Row],[Cantidad]]</f>
        <v>24400.7457192</v>
      </c>
      <c r="Q5821" s="282" t="e">
        <f>(INDEX(Tabla6[#All],MATCH(Tabla4[[#This Row],[Producto]],Tabla6[[#All],[PRODUCTO]],0),MATCH(Tabla4[[#This Row],[Mes]],Tabla6[#Headers],0)))</f>
        <v>#N/A</v>
      </c>
      <c r="R5821" s="282" t="e">
        <f>++Tabla4[[#This Row],[Precio Unitario Neto]]-Tabla4[[#This Row],[20.85%]]-Tabla4[[#This Row],[Costo]]</f>
        <v>#N/A</v>
      </c>
      <c r="S5821" s="282" t="e">
        <f>++Tabla4[[#This Row],[U. Bruta Uni]]*Tabla4[[#This Row],[Cantidad]]</f>
        <v>#N/A</v>
      </c>
      <c r="T5821" s="369" t="str">
        <f>VLOOKUP(Tabla4[[#This Row],[Producto]],Tabla6[#All],14,FALSE)</f>
        <v>Termico Solar</v>
      </c>
      <c r="U5821" s="284" t="e">
        <f>(IF(Tabla4[[#This Row],[Familia]]="termico solar",Tabla4[[#This Row],[Utilidad Total]]*6%,Tabla4[[#This Row],[Utilidad Total]]*11.5%))/Tabla4[[#This Row],[Total]]</f>
        <v>#N/A</v>
      </c>
      <c r="V5821" s="282" t="e">
        <f>+Tabla4[[#This Row],[Comisión Calculada]]*Tabla4[[#This Row],[Total]]</f>
        <v>#N/A</v>
      </c>
    </row>
    <row r="5822" spans="1:22" hidden="1" x14ac:dyDescent="0.25">
      <c r="A5822" s="100">
        <v>45930</v>
      </c>
      <c r="B5822" t="str">
        <f t="shared" si="278"/>
        <v>September</v>
      </c>
      <c r="C5822" s="46" t="s">
        <v>280</v>
      </c>
      <c r="F5822" s="366" t="s">
        <v>2994</v>
      </c>
      <c r="G5822" s="46" t="s">
        <v>394</v>
      </c>
      <c r="H5822" s="46">
        <v>9</v>
      </c>
      <c r="I5822" s="51">
        <v>108.1</v>
      </c>
      <c r="J5822" s="281">
        <f>++Tabla4[[#This Row],[Precio Bruto]]*1.16</f>
        <v>125.39599999999999</v>
      </c>
      <c r="K5822" s="281">
        <f>+Tabla4[[#This Row],[Precio Unitario Neto]]*Tabla4[[#Headers],[20.85%]]</f>
        <v>26.145065999999996</v>
      </c>
      <c r="L5822" s="282">
        <f>++Tabla4[[#This Row],[Precio Unitario Neto]]-Tabla4[[#This Row],[20.85%]]</f>
        <v>99.250933999999987</v>
      </c>
      <c r="M5822" s="282" t="e">
        <f>(INDEX(Tabla6[#All],MATCH(Tabla4[[#This Row],[Producto]],Tabla6[[#All],[PRODUCTO]],0),MATCH(Tabla4[[#This Row],[Mes]],Tabla6[#Headers],0)))*(1+Catalogos!$L$2)</f>
        <v>#N/A</v>
      </c>
      <c r="N5822" s="283" t="e">
        <f>+(Tabla4[[#This Row],[Precio Descontado]]-Tabla4[[#This Row],[Precio Base]])*Tabla4[[#This Row],[Cantidad]]</f>
        <v>#N/A</v>
      </c>
      <c r="O5822" s="284" t="e">
        <f>++Tabla4[[#This Row],[Utilidad Total]]/Tabla4[[#This Row],[Total]]</f>
        <v>#N/A</v>
      </c>
      <c r="P5822" s="282">
        <f>++Tabla4[[#This Row],[Precio Descontado]]*Tabla4[[#This Row],[Cantidad]]</f>
        <v>893.25840599999992</v>
      </c>
      <c r="Q5822" s="282" t="e">
        <f>(INDEX(Tabla6[#All],MATCH(Tabla4[[#This Row],[Producto]],Tabla6[[#All],[PRODUCTO]],0),MATCH(Tabla4[[#This Row],[Mes]],Tabla6[#Headers],0)))</f>
        <v>#N/A</v>
      </c>
      <c r="R5822" s="282" t="e">
        <f>++Tabla4[[#This Row],[Precio Unitario Neto]]-Tabla4[[#This Row],[20.85%]]-Tabla4[[#This Row],[Costo]]</f>
        <v>#N/A</v>
      </c>
      <c r="S5822" s="282" t="e">
        <f>++Tabla4[[#This Row],[U. Bruta Uni]]*Tabla4[[#This Row],[Cantidad]]</f>
        <v>#N/A</v>
      </c>
      <c r="T5822" s="369" t="str">
        <f>VLOOKUP(Tabla4[[#This Row],[Producto]],Tabla6[#All],14,FALSE)</f>
        <v>Termico Solar</v>
      </c>
      <c r="U5822" s="284" t="e">
        <f>(IF(Tabla4[[#This Row],[Familia]]="termico solar",Tabla4[[#This Row],[Utilidad Total]]*6%,Tabla4[[#This Row],[Utilidad Total]]*11.5%))/Tabla4[[#This Row],[Total]]</f>
        <v>#N/A</v>
      </c>
      <c r="V5822" s="282" t="e">
        <f>+Tabla4[[#This Row],[Comisión Calculada]]*Tabla4[[#This Row],[Total]]</f>
        <v>#N/A</v>
      </c>
    </row>
    <row r="5823" spans="1:22" hidden="1" x14ac:dyDescent="0.25">
      <c r="A5823" s="100">
        <v>45930</v>
      </c>
      <c r="B5823" t="str">
        <f t="shared" si="278"/>
        <v>September</v>
      </c>
      <c r="C5823" s="46" t="s">
        <v>280</v>
      </c>
      <c r="F5823" s="366" t="s">
        <v>2994</v>
      </c>
      <c r="G5823" s="46" t="s">
        <v>16</v>
      </c>
      <c r="H5823" s="46">
        <v>1</v>
      </c>
      <c r="I5823" s="51">
        <v>4103.8500000000004</v>
      </c>
      <c r="J5823" s="281">
        <f>++Tabla4[[#This Row],[Precio Bruto]]*1.16</f>
        <v>4760.4660000000003</v>
      </c>
      <c r="K5823" s="281">
        <f>+Tabla4[[#This Row],[Precio Unitario Neto]]*Tabla4[[#Headers],[20.85%]]</f>
        <v>992.55716100000006</v>
      </c>
      <c r="L5823" s="282">
        <f>++Tabla4[[#This Row],[Precio Unitario Neto]]-Tabla4[[#This Row],[20.85%]]</f>
        <v>3767.9088390000002</v>
      </c>
      <c r="M5823" s="282" t="e">
        <f>(INDEX(Tabla6[#All],MATCH(Tabla4[[#This Row],[Producto]],Tabla6[[#All],[PRODUCTO]],0),MATCH(Tabla4[[#This Row],[Mes]],Tabla6[#Headers],0)))*(1+Catalogos!$L$2)</f>
        <v>#N/A</v>
      </c>
      <c r="N5823" s="283" t="e">
        <f>+(Tabla4[[#This Row],[Precio Descontado]]-Tabla4[[#This Row],[Precio Base]])*Tabla4[[#This Row],[Cantidad]]</f>
        <v>#N/A</v>
      </c>
      <c r="O5823" s="284" t="e">
        <f>++Tabla4[[#This Row],[Utilidad Total]]/Tabla4[[#This Row],[Total]]</f>
        <v>#N/A</v>
      </c>
      <c r="P5823" s="282">
        <f>++Tabla4[[#This Row],[Precio Descontado]]*Tabla4[[#This Row],[Cantidad]]</f>
        <v>3767.9088390000002</v>
      </c>
      <c r="Q5823" s="282" t="e">
        <f>(INDEX(Tabla6[#All],MATCH(Tabla4[[#This Row],[Producto]],Tabla6[[#All],[PRODUCTO]],0),MATCH(Tabla4[[#This Row],[Mes]],Tabla6[#Headers],0)))</f>
        <v>#N/A</v>
      </c>
      <c r="R5823" s="282" t="e">
        <f>++Tabla4[[#This Row],[Precio Unitario Neto]]-Tabla4[[#This Row],[20.85%]]-Tabla4[[#This Row],[Costo]]</f>
        <v>#N/A</v>
      </c>
      <c r="S5823" s="282" t="e">
        <f>++Tabla4[[#This Row],[U. Bruta Uni]]*Tabla4[[#This Row],[Cantidad]]</f>
        <v>#N/A</v>
      </c>
      <c r="T5823" s="369" t="str">
        <f>VLOOKUP(Tabla4[[#This Row],[Producto]],Tabla6[#All],14,FALSE)</f>
        <v>Termico Solar</v>
      </c>
      <c r="U5823" s="284" t="e">
        <f>(IF(Tabla4[[#This Row],[Familia]]="termico solar",Tabla4[[#This Row],[Utilidad Total]]*6%,Tabla4[[#This Row],[Utilidad Total]]*11.5%))/Tabla4[[#This Row],[Total]]</f>
        <v>#N/A</v>
      </c>
      <c r="V5823" s="282" t="e">
        <f>+Tabla4[[#This Row],[Comisión Calculada]]*Tabla4[[#This Row],[Total]]</f>
        <v>#N/A</v>
      </c>
    </row>
    <row r="5824" spans="1:22" hidden="1" x14ac:dyDescent="0.25">
      <c r="A5824" s="100">
        <v>45930</v>
      </c>
      <c r="B5824" t="str">
        <f t="shared" ref="B5824:B5887" si="279">TEXT(A5824, "mmmm")</f>
        <v>September</v>
      </c>
      <c r="C5824" s="46" t="s">
        <v>280</v>
      </c>
      <c r="F5824" s="366" t="s">
        <v>2995</v>
      </c>
      <c r="G5824" s="46" t="s">
        <v>18</v>
      </c>
      <c r="H5824" s="46">
        <v>3</v>
      </c>
      <c r="I5824" s="51">
        <v>5367.6500000000005</v>
      </c>
      <c r="J5824" s="281">
        <f>++Tabla4[[#This Row],[Precio Bruto]]*1.16</f>
        <v>6226.4740000000002</v>
      </c>
      <c r="K5824" s="281">
        <f>+Tabla4[[#This Row],[Precio Unitario Neto]]*Tabla4[[#Headers],[20.85%]]</f>
        <v>1298.2198289999999</v>
      </c>
      <c r="L5824" s="282">
        <f>++Tabla4[[#This Row],[Precio Unitario Neto]]-Tabla4[[#This Row],[20.85%]]</f>
        <v>4928.2541710000005</v>
      </c>
      <c r="M5824" s="282" t="e">
        <f>(INDEX(Tabla6[#All],MATCH(Tabla4[[#This Row],[Producto]],Tabla6[[#All],[PRODUCTO]],0),MATCH(Tabla4[[#This Row],[Mes]],Tabla6[#Headers],0)))*(1+Catalogos!$L$2)</f>
        <v>#N/A</v>
      </c>
      <c r="N5824" s="283" t="e">
        <f>+(Tabla4[[#This Row],[Precio Descontado]]-Tabla4[[#This Row],[Precio Base]])*Tabla4[[#This Row],[Cantidad]]</f>
        <v>#N/A</v>
      </c>
      <c r="O5824" s="284" t="e">
        <f>++Tabla4[[#This Row],[Utilidad Total]]/Tabla4[[#This Row],[Total]]</f>
        <v>#N/A</v>
      </c>
      <c r="P5824" s="282">
        <f>++Tabla4[[#This Row],[Precio Descontado]]*Tabla4[[#This Row],[Cantidad]]</f>
        <v>14784.762513000001</v>
      </c>
      <c r="Q5824" s="282" t="e">
        <f>(INDEX(Tabla6[#All],MATCH(Tabla4[[#This Row],[Producto]],Tabla6[[#All],[PRODUCTO]],0),MATCH(Tabla4[[#This Row],[Mes]],Tabla6[#Headers],0)))</f>
        <v>#N/A</v>
      </c>
      <c r="R5824" s="282" t="e">
        <f>++Tabla4[[#This Row],[Precio Unitario Neto]]-Tabla4[[#This Row],[20.85%]]-Tabla4[[#This Row],[Costo]]</f>
        <v>#N/A</v>
      </c>
      <c r="S5824" s="282" t="e">
        <f>++Tabla4[[#This Row],[U. Bruta Uni]]*Tabla4[[#This Row],[Cantidad]]</f>
        <v>#N/A</v>
      </c>
      <c r="T5824" s="369" t="str">
        <f>VLOOKUP(Tabla4[[#This Row],[Producto]],Tabla6[#All],14,FALSE)</f>
        <v>Termico Solar</v>
      </c>
      <c r="U5824" s="284" t="e">
        <f>(IF(Tabla4[[#This Row],[Familia]]="termico solar",Tabla4[[#This Row],[Utilidad Total]]*6%,Tabla4[[#This Row],[Utilidad Total]]*11.5%))/Tabla4[[#This Row],[Total]]</f>
        <v>#N/A</v>
      </c>
      <c r="V5824" s="282" t="e">
        <f>+Tabla4[[#This Row],[Comisión Calculada]]*Tabla4[[#This Row],[Total]]</f>
        <v>#N/A</v>
      </c>
    </row>
    <row r="5825" spans="1:22" hidden="1" x14ac:dyDescent="0.25">
      <c r="A5825" s="100">
        <v>45930</v>
      </c>
      <c r="B5825" t="str">
        <f t="shared" si="279"/>
        <v>September</v>
      </c>
      <c r="C5825" s="46" t="s">
        <v>280</v>
      </c>
      <c r="F5825" s="366" t="s">
        <v>2995</v>
      </c>
      <c r="G5825" s="46" t="s">
        <v>19</v>
      </c>
      <c r="H5825" s="46">
        <v>1</v>
      </c>
      <c r="I5825" s="51">
        <v>6412.03</v>
      </c>
      <c r="J5825" s="281">
        <f>++Tabla4[[#This Row],[Precio Bruto]]*1.16</f>
        <v>7437.9547999999995</v>
      </c>
      <c r="K5825" s="281">
        <f>+Tabla4[[#This Row],[Precio Unitario Neto]]*Tabla4[[#Headers],[20.85%]]</f>
        <v>1550.8135757999999</v>
      </c>
      <c r="L5825" s="282">
        <f>++Tabla4[[#This Row],[Precio Unitario Neto]]-Tabla4[[#This Row],[20.85%]]</f>
        <v>5887.1412241999997</v>
      </c>
      <c r="M5825" s="282" t="e">
        <f>(INDEX(Tabla6[#All],MATCH(Tabla4[[#This Row],[Producto]],Tabla6[[#All],[PRODUCTO]],0),MATCH(Tabla4[[#This Row],[Mes]],Tabla6[#Headers],0)))*(1+Catalogos!$L$2)</f>
        <v>#N/A</v>
      </c>
      <c r="N5825" s="283" t="e">
        <f>+(Tabla4[[#This Row],[Precio Descontado]]-Tabla4[[#This Row],[Precio Base]])*Tabla4[[#This Row],[Cantidad]]</f>
        <v>#N/A</v>
      </c>
      <c r="O5825" s="284" t="e">
        <f>++Tabla4[[#This Row],[Utilidad Total]]/Tabla4[[#This Row],[Total]]</f>
        <v>#N/A</v>
      </c>
      <c r="P5825" s="282">
        <f>++Tabla4[[#This Row],[Precio Descontado]]*Tabla4[[#This Row],[Cantidad]]</f>
        <v>5887.1412241999997</v>
      </c>
      <c r="Q5825" s="282" t="e">
        <f>(INDEX(Tabla6[#All],MATCH(Tabla4[[#This Row],[Producto]],Tabla6[[#All],[PRODUCTO]],0),MATCH(Tabla4[[#This Row],[Mes]],Tabla6[#Headers],0)))</f>
        <v>#N/A</v>
      </c>
      <c r="R5825" s="282" t="e">
        <f>++Tabla4[[#This Row],[Precio Unitario Neto]]-Tabla4[[#This Row],[20.85%]]-Tabla4[[#This Row],[Costo]]</f>
        <v>#N/A</v>
      </c>
      <c r="S5825" s="282" t="e">
        <f>++Tabla4[[#This Row],[U. Bruta Uni]]*Tabla4[[#This Row],[Cantidad]]</f>
        <v>#N/A</v>
      </c>
      <c r="T5825" s="369" t="str">
        <f>VLOOKUP(Tabla4[[#This Row],[Producto]],Tabla6[#All],14,FALSE)</f>
        <v>Termico Solar</v>
      </c>
      <c r="U5825" s="284" t="e">
        <f>(IF(Tabla4[[#This Row],[Familia]]="termico solar",Tabla4[[#This Row],[Utilidad Total]]*6%,Tabla4[[#This Row],[Utilidad Total]]*11.5%))/Tabla4[[#This Row],[Total]]</f>
        <v>#N/A</v>
      </c>
      <c r="V5825" s="282" t="e">
        <f>+Tabla4[[#This Row],[Comisión Calculada]]*Tabla4[[#This Row],[Total]]</f>
        <v>#N/A</v>
      </c>
    </row>
    <row r="5826" spans="1:22" hidden="1" x14ac:dyDescent="0.25">
      <c r="A5826" s="100">
        <v>45930</v>
      </c>
      <c r="B5826" t="str">
        <f t="shared" si="279"/>
        <v>September</v>
      </c>
      <c r="C5826" s="46" t="s">
        <v>280</v>
      </c>
      <c r="F5826" s="366" t="s">
        <v>2996</v>
      </c>
      <c r="G5826" s="46" t="s">
        <v>83</v>
      </c>
      <c r="H5826" s="46">
        <v>3</v>
      </c>
      <c r="I5826" s="51">
        <v>8858.76</v>
      </c>
      <c r="J5826" s="281">
        <f>++Tabla4[[#This Row],[Precio Bruto]]*1.16</f>
        <v>10276.161599999999</v>
      </c>
      <c r="K5826" s="281">
        <f>+Tabla4[[#This Row],[Precio Unitario Neto]]*Tabla4[[#Headers],[20.85%]]</f>
        <v>2142.5796935999997</v>
      </c>
      <c r="L5826" s="282">
        <f>++Tabla4[[#This Row],[Precio Unitario Neto]]-Tabla4[[#This Row],[20.85%]]</f>
        <v>8133.5819063999998</v>
      </c>
      <c r="M5826" s="282" t="e">
        <f>(INDEX(Tabla6[#All],MATCH(Tabla4[[#This Row],[Producto]],Tabla6[[#All],[PRODUCTO]],0),MATCH(Tabla4[[#This Row],[Mes]],Tabla6[#Headers],0)))*(1+Catalogos!$L$2)</f>
        <v>#N/A</v>
      </c>
      <c r="N5826" s="283" t="e">
        <f>+(Tabla4[[#This Row],[Precio Descontado]]-Tabla4[[#This Row],[Precio Base]])*Tabla4[[#This Row],[Cantidad]]</f>
        <v>#N/A</v>
      </c>
      <c r="O5826" s="284" t="e">
        <f>++Tabla4[[#This Row],[Utilidad Total]]/Tabla4[[#This Row],[Total]]</f>
        <v>#N/A</v>
      </c>
      <c r="P5826" s="282">
        <f>++Tabla4[[#This Row],[Precio Descontado]]*Tabla4[[#This Row],[Cantidad]]</f>
        <v>24400.7457192</v>
      </c>
      <c r="Q5826" s="282" t="e">
        <f>(INDEX(Tabla6[#All],MATCH(Tabla4[[#This Row],[Producto]],Tabla6[[#All],[PRODUCTO]],0),MATCH(Tabla4[[#This Row],[Mes]],Tabla6[#Headers],0)))</f>
        <v>#N/A</v>
      </c>
      <c r="R5826" s="282" t="e">
        <f>++Tabla4[[#This Row],[Precio Unitario Neto]]-Tabla4[[#This Row],[20.85%]]-Tabla4[[#This Row],[Costo]]</f>
        <v>#N/A</v>
      </c>
      <c r="S5826" s="282" t="e">
        <f>++Tabla4[[#This Row],[U. Bruta Uni]]*Tabla4[[#This Row],[Cantidad]]</f>
        <v>#N/A</v>
      </c>
      <c r="T5826" s="369" t="str">
        <f>VLOOKUP(Tabla4[[#This Row],[Producto]],Tabla6[#All],14,FALSE)</f>
        <v>Termico Solar</v>
      </c>
      <c r="U5826" s="284" t="e">
        <f>(IF(Tabla4[[#This Row],[Familia]]="termico solar",Tabla4[[#This Row],[Utilidad Total]]*6%,Tabla4[[#This Row],[Utilidad Total]]*11.5%))/Tabla4[[#This Row],[Total]]</f>
        <v>#N/A</v>
      </c>
      <c r="V5826" s="282" t="e">
        <f>+Tabla4[[#This Row],[Comisión Calculada]]*Tabla4[[#This Row],[Total]]</f>
        <v>#N/A</v>
      </c>
    </row>
    <row r="5827" spans="1:22" hidden="1" x14ac:dyDescent="0.25">
      <c r="A5827" s="100">
        <v>45930</v>
      </c>
      <c r="B5827" t="str">
        <f t="shared" si="279"/>
        <v>September</v>
      </c>
      <c r="C5827" s="46" t="s">
        <v>280</v>
      </c>
      <c r="F5827" s="366" t="s">
        <v>2996</v>
      </c>
      <c r="G5827" s="46" t="s">
        <v>18</v>
      </c>
      <c r="H5827" s="46">
        <v>1</v>
      </c>
      <c r="I5827" s="51">
        <v>5367.65</v>
      </c>
      <c r="J5827" s="281">
        <f>++Tabla4[[#This Row],[Precio Bruto]]*1.16</f>
        <v>6226.4739999999993</v>
      </c>
      <c r="K5827" s="281">
        <f>+Tabla4[[#This Row],[Precio Unitario Neto]]*Tabla4[[#Headers],[20.85%]]</f>
        <v>1298.2198289999999</v>
      </c>
      <c r="L5827" s="282">
        <f>++Tabla4[[#This Row],[Precio Unitario Neto]]-Tabla4[[#This Row],[20.85%]]</f>
        <v>4928.2541709999996</v>
      </c>
      <c r="M5827" s="282" t="e">
        <f>(INDEX(Tabla6[#All],MATCH(Tabla4[[#This Row],[Producto]],Tabla6[[#All],[PRODUCTO]],0),MATCH(Tabla4[[#This Row],[Mes]],Tabla6[#Headers],0)))*(1+Catalogos!$L$2)</f>
        <v>#N/A</v>
      </c>
      <c r="N5827" s="283" t="e">
        <f>+(Tabla4[[#This Row],[Precio Descontado]]-Tabla4[[#This Row],[Precio Base]])*Tabla4[[#This Row],[Cantidad]]</f>
        <v>#N/A</v>
      </c>
      <c r="O5827" s="284" t="e">
        <f>++Tabla4[[#This Row],[Utilidad Total]]/Tabla4[[#This Row],[Total]]</f>
        <v>#N/A</v>
      </c>
      <c r="P5827" s="282">
        <f>++Tabla4[[#This Row],[Precio Descontado]]*Tabla4[[#This Row],[Cantidad]]</f>
        <v>4928.2541709999996</v>
      </c>
      <c r="Q5827" s="282" t="e">
        <f>(INDEX(Tabla6[#All],MATCH(Tabla4[[#This Row],[Producto]],Tabla6[[#All],[PRODUCTO]],0),MATCH(Tabla4[[#This Row],[Mes]],Tabla6[#Headers],0)))</f>
        <v>#N/A</v>
      </c>
      <c r="R5827" s="282" t="e">
        <f>++Tabla4[[#This Row],[Precio Unitario Neto]]-Tabla4[[#This Row],[20.85%]]-Tabla4[[#This Row],[Costo]]</f>
        <v>#N/A</v>
      </c>
      <c r="S5827" s="282" t="e">
        <f>++Tabla4[[#This Row],[U. Bruta Uni]]*Tabla4[[#This Row],[Cantidad]]</f>
        <v>#N/A</v>
      </c>
      <c r="T5827" s="369" t="str">
        <f>VLOOKUP(Tabla4[[#This Row],[Producto]],Tabla6[#All],14,FALSE)</f>
        <v>Termico Solar</v>
      </c>
      <c r="U5827" s="284" t="e">
        <f>(IF(Tabla4[[#This Row],[Familia]]="termico solar",Tabla4[[#This Row],[Utilidad Total]]*6%,Tabla4[[#This Row],[Utilidad Total]]*11.5%))/Tabla4[[#This Row],[Total]]</f>
        <v>#N/A</v>
      </c>
      <c r="V5827" s="282" t="e">
        <f>+Tabla4[[#This Row],[Comisión Calculada]]*Tabla4[[#This Row],[Total]]</f>
        <v>#N/A</v>
      </c>
    </row>
    <row r="5828" spans="1:22" hidden="1" x14ac:dyDescent="0.25">
      <c r="A5828" s="100">
        <v>45930</v>
      </c>
      <c r="B5828" t="str">
        <f t="shared" si="279"/>
        <v>September</v>
      </c>
      <c r="C5828" s="46" t="s">
        <v>280</v>
      </c>
      <c r="F5828" s="366" t="s">
        <v>2996</v>
      </c>
      <c r="G5828" s="46" t="s">
        <v>394</v>
      </c>
      <c r="H5828" s="46">
        <v>9</v>
      </c>
      <c r="I5828" s="51">
        <v>108.1</v>
      </c>
      <c r="J5828" s="281">
        <f>++Tabla4[[#This Row],[Precio Bruto]]*1.16</f>
        <v>125.39599999999999</v>
      </c>
      <c r="K5828" s="281">
        <f>+Tabla4[[#This Row],[Precio Unitario Neto]]*Tabla4[[#Headers],[20.85%]]</f>
        <v>26.145065999999996</v>
      </c>
      <c r="L5828" s="282">
        <f>++Tabla4[[#This Row],[Precio Unitario Neto]]-Tabla4[[#This Row],[20.85%]]</f>
        <v>99.250933999999987</v>
      </c>
      <c r="M5828" s="282" t="e">
        <f>(INDEX(Tabla6[#All],MATCH(Tabla4[[#This Row],[Producto]],Tabla6[[#All],[PRODUCTO]],0),MATCH(Tabla4[[#This Row],[Mes]],Tabla6[#Headers],0)))*(1+Catalogos!$L$2)</f>
        <v>#N/A</v>
      </c>
      <c r="N5828" s="283" t="e">
        <f>+(Tabla4[[#This Row],[Precio Descontado]]-Tabla4[[#This Row],[Precio Base]])*Tabla4[[#This Row],[Cantidad]]</f>
        <v>#N/A</v>
      </c>
      <c r="O5828" s="284" t="e">
        <f>++Tabla4[[#This Row],[Utilidad Total]]/Tabla4[[#This Row],[Total]]</f>
        <v>#N/A</v>
      </c>
      <c r="P5828" s="282">
        <f>++Tabla4[[#This Row],[Precio Descontado]]*Tabla4[[#This Row],[Cantidad]]</f>
        <v>893.25840599999992</v>
      </c>
      <c r="Q5828" s="282" t="e">
        <f>(INDEX(Tabla6[#All],MATCH(Tabla4[[#This Row],[Producto]],Tabla6[[#All],[PRODUCTO]],0),MATCH(Tabla4[[#This Row],[Mes]],Tabla6[#Headers],0)))</f>
        <v>#N/A</v>
      </c>
      <c r="R5828" s="282" t="e">
        <f>++Tabla4[[#This Row],[Precio Unitario Neto]]-Tabla4[[#This Row],[20.85%]]-Tabla4[[#This Row],[Costo]]</f>
        <v>#N/A</v>
      </c>
      <c r="S5828" s="282" t="e">
        <f>++Tabla4[[#This Row],[U. Bruta Uni]]*Tabla4[[#This Row],[Cantidad]]</f>
        <v>#N/A</v>
      </c>
      <c r="T5828" s="369" t="str">
        <f>VLOOKUP(Tabla4[[#This Row],[Producto]],Tabla6[#All],14,FALSE)</f>
        <v>Termico Solar</v>
      </c>
      <c r="U5828" s="284" t="e">
        <f>(IF(Tabla4[[#This Row],[Familia]]="termico solar",Tabla4[[#This Row],[Utilidad Total]]*6%,Tabla4[[#This Row],[Utilidad Total]]*11.5%))/Tabla4[[#This Row],[Total]]</f>
        <v>#N/A</v>
      </c>
      <c r="V5828" s="282" t="e">
        <f>+Tabla4[[#This Row],[Comisión Calculada]]*Tabla4[[#This Row],[Total]]</f>
        <v>#N/A</v>
      </c>
    </row>
    <row r="5829" spans="1:22" hidden="1" x14ac:dyDescent="0.25">
      <c r="A5829" s="100">
        <v>45930</v>
      </c>
      <c r="B5829" t="str">
        <f t="shared" si="279"/>
        <v>September</v>
      </c>
      <c r="C5829" s="46" t="s">
        <v>280</v>
      </c>
      <c r="F5829" s="366" t="s">
        <v>2996</v>
      </c>
      <c r="G5829" s="46" t="s">
        <v>16</v>
      </c>
      <c r="H5829" s="46">
        <v>1</v>
      </c>
      <c r="I5829" s="51">
        <v>4103.8500000000004</v>
      </c>
      <c r="J5829" s="281">
        <f>++Tabla4[[#This Row],[Precio Bruto]]*1.16</f>
        <v>4760.4660000000003</v>
      </c>
      <c r="K5829" s="281">
        <f>+Tabla4[[#This Row],[Precio Unitario Neto]]*Tabla4[[#Headers],[20.85%]]</f>
        <v>992.55716100000006</v>
      </c>
      <c r="L5829" s="282">
        <f>++Tabla4[[#This Row],[Precio Unitario Neto]]-Tabla4[[#This Row],[20.85%]]</f>
        <v>3767.9088390000002</v>
      </c>
      <c r="M5829" s="282" t="e">
        <f>(INDEX(Tabla6[#All],MATCH(Tabla4[[#This Row],[Producto]],Tabla6[[#All],[PRODUCTO]],0),MATCH(Tabla4[[#This Row],[Mes]],Tabla6[#Headers],0)))*(1+Catalogos!$L$2)</f>
        <v>#N/A</v>
      </c>
      <c r="N5829" s="283" t="e">
        <f>+(Tabla4[[#This Row],[Precio Descontado]]-Tabla4[[#This Row],[Precio Base]])*Tabla4[[#This Row],[Cantidad]]</f>
        <v>#N/A</v>
      </c>
      <c r="O5829" s="284" t="e">
        <f>++Tabla4[[#This Row],[Utilidad Total]]/Tabla4[[#This Row],[Total]]</f>
        <v>#N/A</v>
      </c>
      <c r="P5829" s="282">
        <f>++Tabla4[[#This Row],[Precio Descontado]]*Tabla4[[#This Row],[Cantidad]]</f>
        <v>3767.9088390000002</v>
      </c>
      <c r="Q5829" s="282" t="e">
        <f>(INDEX(Tabla6[#All],MATCH(Tabla4[[#This Row],[Producto]],Tabla6[[#All],[PRODUCTO]],0),MATCH(Tabla4[[#This Row],[Mes]],Tabla6[#Headers],0)))</f>
        <v>#N/A</v>
      </c>
      <c r="R5829" s="282" t="e">
        <f>++Tabla4[[#This Row],[Precio Unitario Neto]]-Tabla4[[#This Row],[20.85%]]-Tabla4[[#This Row],[Costo]]</f>
        <v>#N/A</v>
      </c>
      <c r="S5829" s="282" t="e">
        <f>++Tabla4[[#This Row],[U. Bruta Uni]]*Tabla4[[#This Row],[Cantidad]]</f>
        <v>#N/A</v>
      </c>
      <c r="T5829" s="369" t="str">
        <f>VLOOKUP(Tabla4[[#This Row],[Producto]],Tabla6[#All],14,FALSE)</f>
        <v>Termico Solar</v>
      </c>
      <c r="U5829" s="284" t="e">
        <f>(IF(Tabla4[[#This Row],[Familia]]="termico solar",Tabla4[[#This Row],[Utilidad Total]]*6%,Tabla4[[#This Row],[Utilidad Total]]*11.5%))/Tabla4[[#This Row],[Total]]</f>
        <v>#N/A</v>
      </c>
      <c r="V5829" s="282" t="e">
        <f>+Tabla4[[#This Row],[Comisión Calculada]]*Tabla4[[#This Row],[Total]]</f>
        <v>#N/A</v>
      </c>
    </row>
    <row r="5830" spans="1:22" hidden="1" x14ac:dyDescent="0.25">
      <c r="A5830" s="100">
        <v>45930</v>
      </c>
      <c r="B5830" t="str">
        <f t="shared" si="279"/>
        <v>September</v>
      </c>
      <c r="C5830" s="46" t="s">
        <v>280</v>
      </c>
      <c r="F5830" s="366" t="s">
        <v>2996</v>
      </c>
      <c r="G5830" s="46" t="s">
        <v>208</v>
      </c>
      <c r="H5830" s="46">
        <v>1</v>
      </c>
      <c r="I5830" s="51">
        <v>189.75</v>
      </c>
      <c r="J5830" s="281">
        <f>++Tabla4[[#This Row],[Precio Bruto]]*1.16</f>
        <v>220.10999999999999</v>
      </c>
      <c r="K5830" s="281">
        <f>+Tabla4[[#This Row],[Precio Unitario Neto]]*Tabla4[[#Headers],[20.85%]]</f>
        <v>45.892934999999994</v>
      </c>
      <c r="L5830" s="282">
        <f>++Tabla4[[#This Row],[Precio Unitario Neto]]-Tabla4[[#This Row],[20.85%]]</f>
        <v>174.21706499999999</v>
      </c>
      <c r="M5830" s="282" t="e">
        <f>(INDEX(Tabla6[#All],MATCH(Tabla4[[#This Row],[Producto]],Tabla6[[#All],[PRODUCTO]],0),MATCH(Tabla4[[#This Row],[Mes]],Tabla6[#Headers],0)))*(1+Catalogos!$L$2)</f>
        <v>#N/A</v>
      </c>
      <c r="N5830" s="283" t="e">
        <f>+(Tabla4[[#This Row],[Precio Descontado]]-Tabla4[[#This Row],[Precio Base]])*Tabla4[[#This Row],[Cantidad]]</f>
        <v>#N/A</v>
      </c>
      <c r="O5830" s="284" t="e">
        <f>++Tabla4[[#This Row],[Utilidad Total]]/Tabla4[[#This Row],[Total]]</f>
        <v>#N/A</v>
      </c>
      <c r="P5830" s="282">
        <f>++Tabla4[[#This Row],[Precio Descontado]]*Tabla4[[#This Row],[Cantidad]]</f>
        <v>174.21706499999999</v>
      </c>
      <c r="Q5830" s="282" t="e">
        <f>(INDEX(Tabla6[#All],MATCH(Tabla4[[#This Row],[Producto]],Tabla6[[#All],[PRODUCTO]],0),MATCH(Tabla4[[#This Row],[Mes]],Tabla6[#Headers],0)))</f>
        <v>#N/A</v>
      </c>
      <c r="R5830" s="282" t="e">
        <f>++Tabla4[[#This Row],[Precio Unitario Neto]]-Tabla4[[#This Row],[20.85%]]-Tabla4[[#This Row],[Costo]]</f>
        <v>#N/A</v>
      </c>
      <c r="S5830" s="282" t="e">
        <f>++Tabla4[[#This Row],[U. Bruta Uni]]*Tabla4[[#This Row],[Cantidad]]</f>
        <v>#N/A</v>
      </c>
      <c r="T5830" s="369" t="str">
        <f>VLOOKUP(Tabla4[[#This Row],[Producto]],Tabla6[#All],14,FALSE)</f>
        <v>Termico Solar</v>
      </c>
      <c r="U5830" s="284" t="e">
        <f>(IF(Tabla4[[#This Row],[Familia]]="termico solar",Tabla4[[#This Row],[Utilidad Total]]*6%,Tabla4[[#This Row],[Utilidad Total]]*11.5%))/Tabla4[[#This Row],[Total]]</f>
        <v>#N/A</v>
      </c>
      <c r="V5830" s="282" t="e">
        <f>+Tabla4[[#This Row],[Comisión Calculada]]*Tabla4[[#This Row],[Total]]</f>
        <v>#N/A</v>
      </c>
    </row>
    <row r="5831" spans="1:22" hidden="1" x14ac:dyDescent="0.25">
      <c r="A5831" s="100">
        <v>45930</v>
      </c>
      <c r="B5831" t="str">
        <f t="shared" si="279"/>
        <v>September</v>
      </c>
      <c r="C5831" s="46" t="s">
        <v>280</v>
      </c>
      <c r="F5831" s="366" t="s">
        <v>2997</v>
      </c>
      <c r="G5831" s="46" t="s">
        <v>208</v>
      </c>
      <c r="H5831" s="46">
        <v>1</v>
      </c>
      <c r="I5831" s="51">
        <v>189.75</v>
      </c>
      <c r="J5831" s="281">
        <f>++Tabla4[[#This Row],[Precio Bruto]]*1.16</f>
        <v>220.10999999999999</v>
      </c>
      <c r="K5831" s="281">
        <f>+Tabla4[[#This Row],[Precio Unitario Neto]]*Tabla4[[#Headers],[20.85%]]</f>
        <v>45.892934999999994</v>
      </c>
      <c r="L5831" s="282">
        <f>++Tabla4[[#This Row],[Precio Unitario Neto]]-Tabla4[[#This Row],[20.85%]]</f>
        <v>174.21706499999999</v>
      </c>
      <c r="M5831" s="282" t="e">
        <f>(INDEX(Tabla6[#All],MATCH(Tabla4[[#This Row],[Producto]],Tabla6[[#All],[PRODUCTO]],0),MATCH(Tabla4[[#This Row],[Mes]],Tabla6[#Headers],0)))*(1+Catalogos!$L$2)</f>
        <v>#N/A</v>
      </c>
      <c r="N5831" s="283" t="e">
        <f>+(Tabla4[[#This Row],[Precio Descontado]]-Tabla4[[#This Row],[Precio Base]])*Tabla4[[#This Row],[Cantidad]]</f>
        <v>#N/A</v>
      </c>
      <c r="O5831" s="284" t="e">
        <f>++Tabla4[[#This Row],[Utilidad Total]]/Tabla4[[#This Row],[Total]]</f>
        <v>#N/A</v>
      </c>
      <c r="P5831" s="282">
        <f>++Tabla4[[#This Row],[Precio Descontado]]*Tabla4[[#This Row],[Cantidad]]</f>
        <v>174.21706499999999</v>
      </c>
      <c r="Q5831" s="282" t="e">
        <f>(INDEX(Tabla6[#All],MATCH(Tabla4[[#This Row],[Producto]],Tabla6[[#All],[PRODUCTO]],0),MATCH(Tabla4[[#This Row],[Mes]],Tabla6[#Headers],0)))</f>
        <v>#N/A</v>
      </c>
      <c r="R5831" s="282" t="e">
        <f>++Tabla4[[#This Row],[Precio Unitario Neto]]-Tabla4[[#This Row],[20.85%]]-Tabla4[[#This Row],[Costo]]</f>
        <v>#N/A</v>
      </c>
      <c r="S5831" s="282" t="e">
        <f>++Tabla4[[#This Row],[U. Bruta Uni]]*Tabla4[[#This Row],[Cantidad]]</f>
        <v>#N/A</v>
      </c>
      <c r="T5831" s="369" t="str">
        <f>VLOOKUP(Tabla4[[#This Row],[Producto]],Tabla6[#All],14,FALSE)</f>
        <v>Termico Solar</v>
      </c>
      <c r="U5831" s="284" t="e">
        <f>(IF(Tabla4[[#This Row],[Familia]]="termico solar",Tabla4[[#This Row],[Utilidad Total]]*6%,Tabla4[[#This Row],[Utilidad Total]]*11.5%))/Tabla4[[#This Row],[Total]]</f>
        <v>#N/A</v>
      </c>
      <c r="V5831" s="282" t="e">
        <f>+Tabla4[[#This Row],[Comisión Calculada]]*Tabla4[[#This Row],[Total]]</f>
        <v>#N/A</v>
      </c>
    </row>
    <row r="5832" spans="1:22" hidden="1" x14ac:dyDescent="0.25">
      <c r="A5832" s="100">
        <v>45930</v>
      </c>
      <c r="B5832" t="str">
        <f t="shared" si="279"/>
        <v>September</v>
      </c>
      <c r="C5832" s="46" t="s">
        <v>280</v>
      </c>
      <c r="F5832" s="366" t="s">
        <v>2998</v>
      </c>
      <c r="G5832" s="46" t="s">
        <v>566</v>
      </c>
      <c r="H5832" s="46">
        <v>1</v>
      </c>
      <c r="I5832" s="51">
        <v>2109.4499999999998</v>
      </c>
      <c r="J5832" s="281">
        <f>++Tabla4[[#This Row],[Precio Bruto]]*1.16</f>
        <v>2446.9619999999995</v>
      </c>
      <c r="K5832" s="281">
        <f>+Tabla4[[#This Row],[Precio Unitario Neto]]*Tabla4[[#Headers],[20.85%]]</f>
        <v>510.19157699999988</v>
      </c>
      <c r="L5832" s="282">
        <f>++Tabla4[[#This Row],[Precio Unitario Neto]]-Tabla4[[#This Row],[20.85%]]</f>
        <v>1936.7704229999997</v>
      </c>
      <c r="M5832" s="282" t="e">
        <f>(INDEX(Tabla6[#All],MATCH(Tabla4[[#This Row],[Producto]],Tabla6[[#All],[PRODUCTO]],0),MATCH(Tabla4[[#This Row],[Mes]],Tabla6[#Headers],0)))*(1+Catalogos!$L$2)</f>
        <v>#N/A</v>
      </c>
      <c r="N5832" s="283" t="e">
        <f>+(Tabla4[[#This Row],[Precio Descontado]]-Tabla4[[#This Row],[Precio Base]])*Tabla4[[#This Row],[Cantidad]]</f>
        <v>#N/A</v>
      </c>
      <c r="O5832" s="284" t="e">
        <f>++Tabla4[[#This Row],[Utilidad Total]]/Tabla4[[#This Row],[Total]]</f>
        <v>#N/A</v>
      </c>
      <c r="P5832" s="282">
        <f>++Tabla4[[#This Row],[Precio Descontado]]*Tabla4[[#This Row],[Cantidad]]</f>
        <v>1936.7704229999997</v>
      </c>
      <c r="Q5832" s="282" t="e">
        <f>(INDEX(Tabla6[#All],MATCH(Tabla4[[#This Row],[Producto]],Tabla6[[#All],[PRODUCTO]],0),MATCH(Tabla4[[#This Row],[Mes]],Tabla6[#Headers],0)))</f>
        <v>#N/A</v>
      </c>
      <c r="R5832" s="282" t="e">
        <f>++Tabla4[[#This Row],[Precio Unitario Neto]]-Tabla4[[#This Row],[20.85%]]-Tabla4[[#This Row],[Costo]]</f>
        <v>#N/A</v>
      </c>
      <c r="S5832" s="282" t="e">
        <f>++Tabla4[[#This Row],[U. Bruta Uni]]*Tabla4[[#This Row],[Cantidad]]</f>
        <v>#N/A</v>
      </c>
      <c r="T5832" s="369" t="str">
        <f>VLOOKUP(Tabla4[[#This Row],[Producto]],Tabla6[#All],14,FALSE)</f>
        <v>Termico Solar</v>
      </c>
      <c r="U5832" s="284" t="e">
        <f>(IF(Tabla4[[#This Row],[Familia]]="termico solar",Tabla4[[#This Row],[Utilidad Total]]*6%,Tabla4[[#This Row],[Utilidad Total]]*11.5%))/Tabla4[[#This Row],[Total]]</f>
        <v>#N/A</v>
      </c>
      <c r="V5832" s="282" t="e">
        <f>+Tabla4[[#This Row],[Comisión Calculada]]*Tabla4[[#This Row],[Total]]</f>
        <v>#N/A</v>
      </c>
    </row>
    <row r="5833" spans="1:22" hidden="1" x14ac:dyDescent="0.25">
      <c r="A5833" s="100">
        <v>45930</v>
      </c>
      <c r="B5833" t="str">
        <f t="shared" si="279"/>
        <v>September</v>
      </c>
      <c r="C5833" s="46" t="s">
        <v>280</v>
      </c>
      <c r="F5833" s="366" t="s">
        <v>2998</v>
      </c>
      <c r="G5833" s="46" t="s">
        <v>412</v>
      </c>
      <c r="H5833" s="46">
        <v>1</v>
      </c>
      <c r="I5833" s="51">
        <v>3240.84</v>
      </c>
      <c r="J5833" s="281">
        <f>++Tabla4[[#This Row],[Precio Bruto]]*1.16</f>
        <v>3759.3743999999997</v>
      </c>
      <c r="K5833" s="281">
        <f>+Tabla4[[#This Row],[Precio Unitario Neto]]*Tabla4[[#Headers],[20.85%]]</f>
        <v>783.82956239999987</v>
      </c>
      <c r="L5833" s="282">
        <f>++Tabla4[[#This Row],[Precio Unitario Neto]]-Tabla4[[#This Row],[20.85%]]</f>
        <v>2975.5448375999999</v>
      </c>
      <c r="M5833" s="282" t="e">
        <f>(INDEX(Tabla6[#All],MATCH(Tabla4[[#This Row],[Producto]],Tabla6[[#All],[PRODUCTO]],0),MATCH(Tabla4[[#This Row],[Mes]],Tabla6[#Headers],0)))*(1+Catalogos!$L$2)</f>
        <v>#N/A</v>
      </c>
      <c r="N5833" s="283" t="e">
        <f>+(Tabla4[[#This Row],[Precio Descontado]]-Tabla4[[#This Row],[Precio Base]])*Tabla4[[#This Row],[Cantidad]]</f>
        <v>#N/A</v>
      </c>
      <c r="O5833" s="284" t="e">
        <f>++Tabla4[[#This Row],[Utilidad Total]]/Tabla4[[#This Row],[Total]]</f>
        <v>#N/A</v>
      </c>
      <c r="P5833" s="282">
        <f>++Tabla4[[#This Row],[Precio Descontado]]*Tabla4[[#This Row],[Cantidad]]</f>
        <v>2975.5448375999999</v>
      </c>
      <c r="Q5833" s="282" t="e">
        <f>(INDEX(Tabla6[#All],MATCH(Tabla4[[#This Row],[Producto]],Tabla6[[#All],[PRODUCTO]],0),MATCH(Tabla4[[#This Row],[Mes]],Tabla6[#Headers],0)))</f>
        <v>#N/A</v>
      </c>
      <c r="R5833" s="282" t="e">
        <f>++Tabla4[[#This Row],[Precio Unitario Neto]]-Tabla4[[#This Row],[20.85%]]-Tabla4[[#This Row],[Costo]]</f>
        <v>#N/A</v>
      </c>
      <c r="S5833" s="282" t="e">
        <f>++Tabla4[[#This Row],[U. Bruta Uni]]*Tabla4[[#This Row],[Cantidad]]</f>
        <v>#N/A</v>
      </c>
      <c r="T5833" s="369" t="str">
        <f>VLOOKUP(Tabla4[[#This Row],[Producto]],Tabla6[#All],14,FALSE)</f>
        <v>Termico Solar</v>
      </c>
      <c r="U5833" s="284" t="e">
        <f>(IF(Tabla4[[#This Row],[Familia]]="termico solar",Tabla4[[#This Row],[Utilidad Total]]*6%,Tabla4[[#This Row],[Utilidad Total]]*11.5%))/Tabla4[[#This Row],[Total]]</f>
        <v>#N/A</v>
      </c>
      <c r="V5833" s="282" t="e">
        <f>+Tabla4[[#This Row],[Comisión Calculada]]*Tabla4[[#This Row],[Total]]</f>
        <v>#N/A</v>
      </c>
    </row>
    <row r="5834" spans="1:22" hidden="1" x14ac:dyDescent="0.25">
      <c r="A5834" s="100">
        <v>45930</v>
      </c>
      <c r="B5834" t="str">
        <f t="shared" si="279"/>
        <v>September</v>
      </c>
      <c r="C5834" s="46" t="s">
        <v>280</v>
      </c>
      <c r="F5834" s="366" t="s">
        <v>2998</v>
      </c>
      <c r="G5834" s="46" t="s">
        <v>16</v>
      </c>
      <c r="H5834" s="46">
        <v>1</v>
      </c>
      <c r="I5834" s="51">
        <v>4103.8500000000004</v>
      </c>
      <c r="J5834" s="281">
        <f>++Tabla4[[#This Row],[Precio Bruto]]*1.16</f>
        <v>4760.4660000000003</v>
      </c>
      <c r="K5834" s="281">
        <f>+Tabla4[[#This Row],[Precio Unitario Neto]]*Tabla4[[#Headers],[20.85%]]</f>
        <v>992.55716100000006</v>
      </c>
      <c r="L5834" s="282">
        <f>++Tabla4[[#This Row],[Precio Unitario Neto]]-Tabla4[[#This Row],[20.85%]]</f>
        <v>3767.9088390000002</v>
      </c>
      <c r="M5834" s="282" t="e">
        <f>(INDEX(Tabla6[#All],MATCH(Tabla4[[#This Row],[Producto]],Tabla6[[#All],[PRODUCTO]],0),MATCH(Tabla4[[#This Row],[Mes]],Tabla6[#Headers],0)))*(1+Catalogos!$L$2)</f>
        <v>#N/A</v>
      </c>
      <c r="N5834" s="283" t="e">
        <f>+(Tabla4[[#This Row],[Precio Descontado]]-Tabla4[[#This Row],[Precio Base]])*Tabla4[[#This Row],[Cantidad]]</f>
        <v>#N/A</v>
      </c>
      <c r="O5834" s="284" t="e">
        <f>++Tabla4[[#This Row],[Utilidad Total]]/Tabla4[[#This Row],[Total]]</f>
        <v>#N/A</v>
      </c>
      <c r="P5834" s="282">
        <f>++Tabla4[[#This Row],[Precio Descontado]]*Tabla4[[#This Row],[Cantidad]]</f>
        <v>3767.9088390000002</v>
      </c>
      <c r="Q5834" s="282" t="e">
        <f>(INDEX(Tabla6[#All],MATCH(Tabla4[[#This Row],[Producto]],Tabla6[[#All],[PRODUCTO]],0),MATCH(Tabla4[[#This Row],[Mes]],Tabla6[#Headers],0)))</f>
        <v>#N/A</v>
      </c>
      <c r="R5834" s="282" t="e">
        <f>++Tabla4[[#This Row],[Precio Unitario Neto]]-Tabla4[[#This Row],[20.85%]]-Tabla4[[#This Row],[Costo]]</f>
        <v>#N/A</v>
      </c>
      <c r="S5834" s="282" t="e">
        <f>++Tabla4[[#This Row],[U. Bruta Uni]]*Tabla4[[#This Row],[Cantidad]]</f>
        <v>#N/A</v>
      </c>
      <c r="T5834" s="369" t="str">
        <f>VLOOKUP(Tabla4[[#This Row],[Producto]],Tabla6[#All],14,FALSE)</f>
        <v>Termico Solar</v>
      </c>
      <c r="U5834" s="284" t="e">
        <f>(IF(Tabla4[[#This Row],[Familia]]="termico solar",Tabla4[[#This Row],[Utilidad Total]]*6%,Tabla4[[#This Row],[Utilidad Total]]*11.5%))/Tabla4[[#This Row],[Total]]</f>
        <v>#N/A</v>
      </c>
      <c r="V5834" s="282" t="e">
        <f>+Tabla4[[#This Row],[Comisión Calculada]]*Tabla4[[#This Row],[Total]]</f>
        <v>#N/A</v>
      </c>
    </row>
    <row r="5835" spans="1:22" hidden="1" x14ac:dyDescent="0.25">
      <c r="A5835" s="100">
        <v>45930</v>
      </c>
      <c r="B5835" t="str">
        <f t="shared" si="279"/>
        <v>September</v>
      </c>
      <c r="C5835" s="46" t="s">
        <v>280</v>
      </c>
      <c r="F5835" s="366" t="s">
        <v>2999</v>
      </c>
      <c r="G5835" s="46" t="s">
        <v>16</v>
      </c>
      <c r="H5835" s="46">
        <v>1</v>
      </c>
      <c r="I5835" s="51">
        <v>4103.8500000000004</v>
      </c>
      <c r="J5835" s="281">
        <f>++Tabla4[[#This Row],[Precio Bruto]]*1.16</f>
        <v>4760.4660000000003</v>
      </c>
      <c r="K5835" s="281">
        <f>+Tabla4[[#This Row],[Precio Unitario Neto]]*Tabla4[[#Headers],[20.85%]]</f>
        <v>992.55716100000006</v>
      </c>
      <c r="L5835" s="282">
        <f>++Tabla4[[#This Row],[Precio Unitario Neto]]-Tabla4[[#This Row],[20.85%]]</f>
        <v>3767.9088390000002</v>
      </c>
      <c r="M5835" s="282" t="e">
        <f>(INDEX(Tabla6[#All],MATCH(Tabla4[[#This Row],[Producto]],Tabla6[[#All],[PRODUCTO]],0),MATCH(Tabla4[[#This Row],[Mes]],Tabla6[#Headers],0)))*(1+Catalogos!$L$2)</f>
        <v>#N/A</v>
      </c>
      <c r="N5835" s="283" t="e">
        <f>+(Tabla4[[#This Row],[Precio Descontado]]-Tabla4[[#This Row],[Precio Base]])*Tabla4[[#This Row],[Cantidad]]</f>
        <v>#N/A</v>
      </c>
      <c r="O5835" s="284" t="e">
        <f>++Tabla4[[#This Row],[Utilidad Total]]/Tabla4[[#This Row],[Total]]</f>
        <v>#N/A</v>
      </c>
      <c r="P5835" s="282">
        <f>++Tabla4[[#This Row],[Precio Descontado]]*Tabla4[[#This Row],[Cantidad]]</f>
        <v>3767.9088390000002</v>
      </c>
      <c r="Q5835" s="282" t="e">
        <f>(INDEX(Tabla6[#All],MATCH(Tabla4[[#This Row],[Producto]],Tabla6[[#All],[PRODUCTO]],0),MATCH(Tabla4[[#This Row],[Mes]],Tabla6[#Headers],0)))</f>
        <v>#N/A</v>
      </c>
      <c r="R5835" s="282" t="e">
        <f>++Tabla4[[#This Row],[Precio Unitario Neto]]-Tabla4[[#This Row],[20.85%]]-Tabla4[[#This Row],[Costo]]</f>
        <v>#N/A</v>
      </c>
      <c r="S5835" s="282" t="e">
        <f>++Tabla4[[#This Row],[U. Bruta Uni]]*Tabla4[[#This Row],[Cantidad]]</f>
        <v>#N/A</v>
      </c>
      <c r="T5835" s="369" t="str">
        <f>VLOOKUP(Tabla4[[#This Row],[Producto]],Tabla6[#All],14,FALSE)</f>
        <v>Termico Solar</v>
      </c>
      <c r="U5835" s="284" t="e">
        <f>(IF(Tabla4[[#This Row],[Familia]]="termico solar",Tabla4[[#This Row],[Utilidad Total]]*6%,Tabla4[[#This Row],[Utilidad Total]]*11.5%))/Tabla4[[#This Row],[Total]]</f>
        <v>#N/A</v>
      </c>
      <c r="V5835" s="282" t="e">
        <f>+Tabla4[[#This Row],[Comisión Calculada]]*Tabla4[[#This Row],[Total]]</f>
        <v>#N/A</v>
      </c>
    </row>
    <row r="5836" spans="1:22" hidden="1" x14ac:dyDescent="0.25">
      <c r="A5836" s="100">
        <v>45930</v>
      </c>
      <c r="B5836" t="str">
        <f t="shared" si="279"/>
        <v>September</v>
      </c>
      <c r="C5836" s="46" t="s">
        <v>280</v>
      </c>
      <c r="F5836" s="366" t="s">
        <v>2999</v>
      </c>
      <c r="G5836" s="46" t="s">
        <v>208</v>
      </c>
      <c r="H5836" s="46">
        <v>1</v>
      </c>
      <c r="I5836" s="51">
        <v>189.75</v>
      </c>
      <c r="J5836" s="281">
        <f>++Tabla4[[#This Row],[Precio Bruto]]*1.16</f>
        <v>220.10999999999999</v>
      </c>
      <c r="K5836" s="281">
        <f>+Tabla4[[#This Row],[Precio Unitario Neto]]*Tabla4[[#Headers],[20.85%]]</f>
        <v>45.892934999999994</v>
      </c>
      <c r="L5836" s="282">
        <f>++Tabla4[[#This Row],[Precio Unitario Neto]]-Tabla4[[#This Row],[20.85%]]</f>
        <v>174.21706499999999</v>
      </c>
      <c r="M5836" s="282" t="e">
        <f>(INDEX(Tabla6[#All],MATCH(Tabla4[[#This Row],[Producto]],Tabla6[[#All],[PRODUCTO]],0),MATCH(Tabla4[[#This Row],[Mes]],Tabla6[#Headers],0)))*(1+Catalogos!$L$2)</f>
        <v>#N/A</v>
      </c>
      <c r="N5836" s="283" t="e">
        <f>+(Tabla4[[#This Row],[Precio Descontado]]-Tabla4[[#This Row],[Precio Base]])*Tabla4[[#This Row],[Cantidad]]</f>
        <v>#N/A</v>
      </c>
      <c r="O5836" s="284" t="e">
        <f>++Tabla4[[#This Row],[Utilidad Total]]/Tabla4[[#This Row],[Total]]</f>
        <v>#N/A</v>
      </c>
      <c r="P5836" s="282">
        <f>++Tabla4[[#This Row],[Precio Descontado]]*Tabla4[[#This Row],[Cantidad]]</f>
        <v>174.21706499999999</v>
      </c>
      <c r="Q5836" s="282" t="e">
        <f>(INDEX(Tabla6[#All],MATCH(Tabla4[[#This Row],[Producto]],Tabla6[[#All],[PRODUCTO]],0),MATCH(Tabla4[[#This Row],[Mes]],Tabla6[#Headers],0)))</f>
        <v>#N/A</v>
      </c>
      <c r="R5836" s="282" t="e">
        <f>++Tabla4[[#This Row],[Precio Unitario Neto]]-Tabla4[[#This Row],[20.85%]]-Tabla4[[#This Row],[Costo]]</f>
        <v>#N/A</v>
      </c>
      <c r="S5836" s="282" t="e">
        <f>++Tabla4[[#This Row],[U. Bruta Uni]]*Tabla4[[#This Row],[Cantidad]]</f>
        <v>#N/A</v>
      </c>
      <c r="T5836" s="369" t="str">
        <f>VLOOKUP(Tabla4[[#This Row],[Producto]],Tabla6[#All],14,FALSE)</f>
        <v>Termico Solar</v>
      </c>
      <c r="U5836" s="284" t="e">
        <f>(IF(Tabla4[[#This Row],[Familia]]="termico solar",Tabla4[[#This Row],[Utilidad Total]]*6%,Tabla4[[#This Row],[Utilidad Total]]*11.5%))/Tabla4[[#This Row],[Total]]</f>
        <v>#N/A</v>
      </c>
      <c r="V5836" s="282" t="e">
        <f>+Tabla4[[#This Row],[Comisión Calculada]]*Tabla4[[#This Row],[Total]]</f>
        <v>#N/A</v>
      </c>
    </row>
    <row r="5837" spans="1:22" hidden="1" x14ac:dyDescent="0.25">
      <c r="A5837" s="100">
        <v>45930</v>
      </c>
      <c r="B5837" t="str">
        <f t="shared" si="279"/>
        <v>September</v>
      </c>
      <c r="C5837" s="46" t="s">
        <v>280</v>
      </c>
      <c r="F5837" s="366" t="s">
        <v>3000</v>
      </c>
      <c r="G5837" s="46" t="s">
        <v>17</v>
      </c>
      <c r="H5837" s="46">
        <v>2</v>
      </c>
      <c r="I5837" s="51">
        <v>4622.28</v>
      </c>
      <c r="J5837" s="281">
        <f>++Tabla4[[#This Row],[Precio Bruto]]*1.16</f>
        <v>5361.8447999999989</v>
      </c>
      <c r="K5837" s="281">
        <f>+Tabla4[[#This Row],[Precio Unitario Neto]]*Tabla4[[#Headers],[20.85%]]</f>
        <v>1117.9446407999997</v>
      </c>
      <c r="L5837" s="282">
        <f>++Tabla4[[#This Row],[Precio Unitario Neto]]-Tabla4[[#This Row],[20.85%]]</f>
        <v>4243.9001591999995</v>
      </c>
      <c r="M5837" s="282" t="e">
        <f>(INDEX(Tabla6[#All],MATCH(Tabla4[[#This Row],[Producto]],Tabla6[[#All],[PRODUCTO]],0),MATCH(Tabla4[[#This Row],[Mes]],Tabla6[#Headers],0)))*(1+Catalogos!$L$2)</f>
        <v>#N/A</v>
      </c>
      <c r="N5837" s="283" t="e">
        <f>+(Tabla4[[#This Row],[Precio Descontado]]-Tabla4[[#This Row],[Precio Base]])*Tabla4[[#This Row],[Cantidad]]</f>
        <v>#N/A</v>
      </c>
      <c r="O5837" s="284" t="e">
        <f>++Tabla4[[#This Row],[Utilidad Total]]/Tabla4[[#This Row],[Total]]</f>
        <v>#N/A</v>
      </c>
      <c r="P5837" s="282">
        <f>++Tabla4[[#This Row],[Precio Descontado]]*Tabla4[[#This Row],[Cantidad]]</f>
        <v>8487.800318399999</v>
      </c>
      <c r="Q5837" s="282" t="e">
        <f>(INDEX(Tabla6[#All],MATCH(Tabla4[[#This Row],[Producto]],Tabla6[[#All],[PRODUCTO]],0),MATCH(Tabla4[[#This Row],[Mes]],Tabla6[#Headers],0)))</f>
        <v>#N/A</v>
      </c>
      <c r="R5837" s="282" t="e">
        <f>++Tabla4[[#This Row],[Precio Unitario Neto]]-Tabla4[[#This Row],[20.85%]]-Tabla4[[#This Row],[Costo]]</f>
        <v>#N/A</v>
      </c>
      <c r="S5837" s="282" t="e">
        <f>++Tabla4[[#This Row],[U. Bruta Uni]]*Tabla4[[#This Row],[Cantidad]]</f>
        <v>#N/A</v>
      </c>
      <c r="T5837" s="369" t="str">
        <f>VLOOKUP(Tabla4[[#This Row],[Producto]],Tabla6[#All],14,FALSE)</f>
        <v>Termico Solar</v>
      </c>
      <c r="U5837" s="284" t="e">
        <f>(IF(Tabla4[[#This Row],[Familia]]="termico solar",Tabla4[[#This Row],[Utilidad Total]]*6%,Tabla4[[#This Row],[Utilidad Total]]*11.5%))/Tabla4[[#This Row],[Total]]</f>
        <v>#N/A</v>
      </c>
      <c r="V5837" s="282" t="e">
        <f>+Tabla4[[#This Row],[Comisión Calculada]]*Tabla4[[#This Row],[Total]]</f>
        <v>#N/A</v>
      </c>
    </row>
    <row r="5838" spans="1:22" hidden="1" x14ac:dyDescent="0.25">
      <c r="A5838" s="100">
        <v>45930</v>
      </c>
      <c r="B5838" t="str">
        <f t="shared" si="279"/>
        <v>September</v>
      </c>
      <c r="C5838" s="46" t="s">
        <v>280</v>
      </c>
      <c r="F5838" s="366" t="s">
        <v>3000</v>
      </c>
      <c r="G5838" s="46" t="s">
        <v>18</v>
      </c>
      <c r="H5838" s="46">
        <v>1</v>
      </c>
      <c r="I5838" s="51">
        <v>5367.65</v>
      </c>
      <c r="J5838" s="281">
        <f>++Tabla4[[#This Row],[Precio Bruto]]*1.16</f>
        <v>6226.4739999999993</v>
      </c>
      <c r="K5838" s="281">
        <f>+Tabla4[[#This Row],[Precio Unitario Neto]]*Tabla4[[#Headers],[20.85%]]</f>
        <v>1298.2198289999999</v>
      </c>
      <c r="L5838" s="282">
        <f>++Tabla4[[#This Row],[Precio Unitario Neto]]-Tabla4[[#This Row],[20.85%]]</f>
        <v>4928.2541709999996</v>
      </c>
      <c r="M5838" s="282" t="e">
        <f>(INDEX(Tabla6[#All],MATCH(Tabla4[[#This Row],[Producto]],Tabla6[[#All],[PRODUCTO]],0),MATCH(Tabla4[[#This Row],[Mes]],Tabla6[#Headers],0)))*(1+Catalogos!$L$2)</f>
        <v>#N/A</v>
      </c>
      <c r="N5838" s="283" t="e">
        <f>+(Tabla4[[#This Row],[Precio Descontado]]-Tabla4[[#This Row],[Precio Base]])*Tabla4[[#This Row],[Cantidad]]</f>
        <v>#N/A</v>
      </c>
      <c r="O5838" s="284" t="e">
        <f>++Tabla4[[#This Row],[Utilidad Total]]/Tabla4[[#This Row],[Total]]</f>
        <v>#N/A</v>
      </c>
      <c r="P5838" s="282">
        <f>++Tabla4[[#This Row],[Precio Descontado]]*Tabla4[[#This Row],[Cantidad]]</f>
        <v>4928.2541709999996</v>
      </c>
      <c r="Q5838" s="282" t="e">
        <f>(INDEX(Tabla6[#All],MATCH(Tabla4[[#This Row],[Producto]],Tabla6[[#All],[PRODUCTO]],0),MATCH(Tabla4[[#This Row],[Mes]],Tabla6[#Headers],0)))</f>
        <v>#N/A</v>
      </c>
      <c r="R5838" s="282" t="e">
        <f>++Tabla4[[#This Row],[Precio Unitario Neto]]-Tabla4[[#This Row],[20.85%]]-Tabla4[[#This Row],[Costo]]</f>
        <v>#N/A</v>
      </c>
      <c r="S5838" s="282" t="e">
        <f>++Tabla4[[#This Row],[U. Bruta Uni]]*Tabla4[[#This Row],[Cantidad]]</f>
        <v>#N/A</v>
      </c>
      <c r="T5838" s="369" t="str">
        <f>VLOOKUP(Tabla4[[#This Row],[Producto]],Tabla6[#All],14,FALSE)</f>
        <v>Termico Solar</v>
      </c>
      <c r="U5838" s="284" t="e">
        <f>(IF(Tabla4[[#This Row],[Familia]]="termico solar",Tabla4[[#This Row],[Utilidad Total]]*6%,Tabla4[[#This Row],[Utilidad Total]]*11.5%))/Tabla4[[#This Row],[Total]]</f>
        <v>#N/A</v>
      </c>
      <c r="V5838" s="282" t="e">
        <f>+Tabla4[[#This Row],[Comisión Calculada]]*Tabla4[[#This Row],[Total]]</f>
        <v>#N/A</v>
      </c>
    </row>
    <row r="5839" spans="1:22" hidden="1" x14ac:dyDescent="0.25">
      <c r="A5839" s="100">
        <v>45930</v>
      </c>
      <c r="B5839" t="str">
        <f t="shared" si="279"/>
        <v>September</v>
      </c>
      <c r="C5839" s="46" t="s">
        <v>280</v>
      </c>
      <c r="F5839" s="366" t="s">
        <v>3000</v>
      </c>
      <c r="G5839" s="46" t="s">
        <v>16</v>
      </c>
      <c r="H5839" s="46">
        <v>1</v>
      </c>
      <c r="I5839" s="51">
        <v>4103.8500000000004</v>
      </c>
      <c r="J5839" s="281">
        <f>++Tabla4[[#This Row],[Precio Bruto]]*1.16</f>
        <v>4760.4660000000003</v>
      </c>
      <c r="K5839" s="281">
        <f>+Tabla4[[#This Row],[Precio Unitario Neto]]*Tabla4[[#Headers],[20.85%]]</f>
        <v>992.55716100000006</v>
      </c>
      <c r="L5839" s="282">
        <f>++Tabla4[[#This Row],[Precio Unitario Neto]]-Tabla4[[#This Row],[20.85%]]</f>
        <v>3767.9088390000002</v>
      </c>
      <c r="M5839" s="282" t="e">
        <f>(INDEX(Tabla6[#All],MATCH(Tabla4[[#This Row],[Producto]],Tabla6[[#All],[PRODUCTO]],0),MATCH(Tabla4[[#This Row],[Mes]],Tabla6[#Headers],0)))*(1+Catalogos!$L$2)</f>
        <v>#N/A</v>
      </c>
      <c r="N5839" s="283" t="e">
        <f>+(Tabla4[[#This Row],[Precio Descontado]]-Tabla4[[#This Row],[Precio Base]])*Tabla4[[#This Row],[Cantidad]]</f>
        <v>#N/A</v>
      </c>
      <c r="O5839" s="284" t="e">
        <f>++Tabla4[[#This Row],[Utilidad Total]]/Tabla4[[#This Row],[Total]]</f>
        <v>#N/A</v>
      </c>
      <c r="P5839" s="282">
        <f>++Tabla4[[#This Row],[Precio Descontado]]*Tabla4[[#This Row],[Cantidad]]</f>
        <v>3767.9088390000002</v>
      </c>
      <c r="Q5839" s="282" t="e">
        <f>(INDEX(Tabla6[#All],MATCH(Tabla4[[#This Row],[Producto]],Tabla6[[#All],[PRODUCTO]],0),MATCH(Tabla4[[#This Row],[Mes]],Tabla6[#Headers],0)))</f>
        <v>#N/A</v>
      </c>
      <c r="R5839" s="282" t="e">
        <f>++Tabla4[[#This Row],[Precio Unitario Neto]]-Tabla4[[#This Row],[20.85%]]-Tabla4[[#This Row],[Costo]]</f>
        <v>#N/A</v>
      </c>
      <c r="S5839" s="282" t="e">
        <f>++Tabla4[[#This Row],[U. Bruta Uni]]*Tabla4[[#This Row],[Cantidad]]</f>
        <v>#N/A</v>
      </c>
      <c r="T5839" s="369" t="str">
        <f>VLOOKUP(Tabla4[[#This Row],[Producto]],Tabla6[#All],14,FALSE)</f>
        <v>Termico Solar</v>
      </c>
      <c r="U5839" s="284" t="e">
        <f>(IF(Tabla4[[#This Row],[Familia]]="termico solar",Tabla4[[#This Row],[Utilidad Total]]*6%,Tabla4[[#This Row],[Utilidad Total]]*11.5%))/Tabla4[[#This Row],[Total]]</f>
        <v>#N/A</v>
      </c>
      <c r="V5839" s="282" t="e">
        <f>+Tabla4[[#This Row],[Comisión Calculada]]*Tabla4[[#This Row],[Total]]</f>
        <v>#N/A</v>
      </c>
    </row>
    <row r="5840" spans="1:22" hidden="1" x14ac:dyDescent="0.25">
      <c r="A5840" s="100">
        <v>45930</v>
      </c>
      <c r="B5840" t="str">
        <f t="shared" si="279"/>
        <v>September</v>
      </c>
      <c r="C5840" s="46" t="s">
        <v>280</v>
      </c>
      <c r="F5840" s="366" t="s">
        <v>3000</v>
      </c>
      <c r="G5840" s="46" t="s">
        <v>208</v>
      </c>
      <c r="H5840" s="46">
        <v>6</v>
      </c>
      <c r="I5840" s="51">
        <v>189.75</v>
      </c>
      <c r="J5840" s="281">
        <f>++Tabla4[[#This Row],[Precio Bruto]]*1.16</f>
        <v>220.10999999999999</v>
      </c>
      <c r="K5840" s="281">
        <f>+Tabla4[[#This Row],[Precio Unitario Neto]]*Tabla4[[#Headers],[20.85%]]</f>
        <v>45.892934999999994</v>
      </c>
      <c r="L5840" s="282">
        <f>++Tabla4[[#This Row],[Precio Unitario Neto]]-Tabla4[[#This Row],[20.85%]]</f>
        <v>174.21706499999999</v>
      </c>
      <c r="M5840" s="282" t="e">
        <f>(INDEX(Tabla6[#All],MATCH(Tabla4[[#This Row],[Producto]],Tabla6[[#All],[PRODUCTO]],0),MATCH(Tabla4[[#This Row],[Mes]],Tabla6[#Headers],0)))*(1+Catalogos!$L$2)</f>
        <v>#N/A</v>
      </c>
      <c r="N5840" s="283" t="e">
        <f>+(Tabla4[[#This Row],[Precio Descontado]]-Tabla4[[#This Row],[Precio Base]])*Tabla4[[#This Row],[Cantidad]]</f>
        <v>#N/A</v>
      </c>
      <c r="O5840" s="284" t="e">
        <f>++Tabla4[[#This Row],[Utilidad Total]]/Tabla4[[#This Row],[Total]]</f>
        <v>#N/A</v>
      </c>
      <c r="P5840" s="282">
        <f>++Tabla4[[#This Row],[Precio Descontado]]*Tabla4[[#This Row],[Cantidad]]</f>
        <v>1045.3023899999998</v>
      </c>
      <c r="Q5840" s="282" t="e">
        <f>(INDEX(Tabla6[#All],MATCH(Tabla4[[#This Row],[Producto]],Tabla6[[#All],[PRODUCTO]],0),MATCH(Tabla4[[#This Row],[Mes]],Tabla6[#Headers],0)))</f>
        <v>#N/A</v>
      </c>
      <c r="R5840" s="282" t="e">
        <f>++Tabla4[[#This Row],[Precio Unitario Neto]]-Tabla4[[#This Row],[20.85%]]-Tabla4[[#This Row],[Costo]]</f>
        <v>#N/A</v>
      </c>
      <c r="S5840" s="282" t="e">
        <f>++Tabla4[[#This Row],[U. Bruta Uni]]*Tabla4[[#This Row],[Cantidad]]</f>
        <v>#N/A</v>
      </c>
      <c r="T5840" s="369" t="str">
        <f>VLOOKUP(Tabla4[[#This Row],[Producto]],Tabla6[#All],14,FALSE)</f>
        <v>Termico Solar</v>
      </c>
      <c r="U5840" s="284" t="e">
        <f>(IF(Tabla4[[#This Row],[Familia]]="termico solar",Tabla4[[#This Row],[Utilidad Total]]*6%,Tabla4[[#This Row],[Utilidad Total]]*11.5%))/Tabla4[[#This Row],[Total]]</f>
        <v>#N/A</v>
      </c>
      <c r="V5840" s="282" t="e">
        <f>+Tabla4[[#This Row],[Comisión Calculada]]*Tabla4[[#This Row],[Total]]</f>
        <v>#N/A</v>
      </c>
    </row>
    <row r="5841" spans="1:22" hidden="1" x14ac:dyDescent="0.25">
      <c r="A5841" s="100">
        <v>45930</v>
      </c>
      <c r="B5841" t="str">
        <f t="shared" si="279"/>
        <v>September</v>
      </c>
      <c r="C5841" s="46" t="s">
        <v>280</v>
      </c>
      <c r="F5841" s="366" t="s">
        <v>3001</v>
      </c>
      <c r="G5841" s="46" t="s">
        <v>16</v>
      </c>
      <c r="H5841" s="46">
        <v>1</v>
      </c>
      <c r="I5841" s="51">
        <v>4103.8500000000004</v>
      </c>
      <c r="J5841" s="281">
        <f>++Tabla4[[#This Row],[Precio Bruto]]*1.16</f>
        <v>4760.4660000000003</v>
      </c>
      <c r="K5841" s="281">
        <f>+Tabla4[[#This Row],[Precio Unitario Neto]]*Tabla4[[#Headers],[20.85%]]</f>
        <v>992.55716100000006</v>
      </c>
      <c r="L5841" s="282">
        <f>++Tabla4[[#This Row],[Precio Unitario Neto]]-Tabla4[[#This Row],[20.85%]]</f>
        <v>3767.9088390000002</v>
      </c>
      <c r="M5841" s="282" t="e">
        <f>(INDEX(Tabla6[#All],MATCH(Tabla4[[#This Row],[Producto]],Tabla6[[#All],[PRODUCTO]],0),MATCH(Tabla4[[#This Row],[Mes]],Tabla6[#Headers],0)))*(1+Catalogos!$L$2)</f>
        <v>#N/A</v>
      </c>
      <c r="N5841" s="283" t="e">
        <f>+(Tabla4[[#This Row],[Precio Descontado]]-Tabla4[[#This Row],[Precio Base]])*Tabla4[[#This Row],[Cantidad]]</f>
        <v>#N/A</v>
      </c>
      <c r="O5841" s="284" t="e">
        <f>++Tabla4[[#This Row],[Utilidad Total]]/Tabla4[[#This Row],[Total]]</f>
        <v>#N/A</v>
      </c>
      <c r="P5841" s="282">
        <f>++Tabla4[[#This Row],[Precio Descontado]]*Tabla4[[#This Row],[Cantidad]]</f>
        <v>3767.9088390000002</v>
      </c>
      <c r="Q5841" s="282" t="e">
        <f>(INDEX(Tabla6[#All],MATCH(Tabla4[[#This Row],[Producto]],Tabla6[[#All],[PRODUCTO]],0),MATCH(Tabla4[[#This Row],[Mes]],Tabla6[#Headers],0)))</f>
        <v>#N/A</v>
      </c>
      <c r="R5841" s="282" t="e">
        <f>++Tabla4[[#This Row],[Precio Unitario Neto]]-Tabla4[[#This Row],[20.85%]]-Tabla4[[#This Row],[Costo]]</f>
        <v>#N/A</v>
      </c>
      <c r="S5841" s="282" t="e">
        <f>++Tabla4[[#This Row],[U. Bruta Uni]]*Tabla4[[#This Row],[Cantidad]]</f>
        <v>#N/A</v>
      </c>
      <c r="T5841" s="369" t="str">
        <f>VLOOKUP(Tabla4[[#This Row],[Producto]],Tabla6[#All],14,FALSE)</f>
        <v>Termico Solar</v>
      </c>
      <c r="U5841" s="284" t="e">
        <f>(IF(Tabla4[[#This Row],[Familia]]="termico solar",Tabla4[[#This Row],[Utilidad Total]]*6%,Tabla4[[#This Row],[Utilidad Total]]*11.5%))/Tabla4[[#This Row],[Total]]</f>
        <v>#N/A</v>
      </c>
      <c r="V5841" s="282" t="e">
        <f>+Tabla4[[#This Row],[Comisión Calculada]]*Tabla4[[#This Row],[Total]]</f>
        <v>#N/A</v>
      </c>
    </row>
    <row r="5842" spans="1:22" hidden="1" x14ac:dyDescent="0.25">
      <c r="A5842" s="100">
        <v>45930</v>
      </c>
      <c r="B5842" t="str">
        <f t="shared" si="279"/>
        <v>September</v>
      </c>
      <c r="C5842" s="46" t="s">
        <v>280</v>
      </c>
      <c r="F5842" s="366" t="s">
        <v>3001</v>
      </c>
      <c r="G5842" s="46" t="s">
        <v>394</v>
      </c>
      <c r="H5842" s="46">
        <v>16</v>
      </c>
      <c r="I5842" s="51">
        <v>224.29</v>
      </c>
      <c r="J5842" s="281">
        <f>++Tabla4[[#This Row],[Precio Bruto]]*1.16</f>
        <v>260.1764</v>
      </c>
      <c r="K5842" s="281">
        <f>+Tabla4[[#This Row],[Precio Unitario Neto]]*Tabla4[[#Headers],[20.85%]]</f>
        <v>54.246779400000001</v>
      </c>
      <c r="L5842" s="282">
        <f>++Tabla4[[#This Row],[Precio Unitario Neto]]-Tabla4[[#This Row],[20.85%]]</f>
        <v>205.92962059999999</v>
      </c>
      <c r="M5842" s="282" t="e">
        <f>(INDEX(Tabla6[#All],MATCH(Tabla4[[#This Row],[Producto]],Tabla6[[#All],[PRODUCTO]],0),MATCH(Tabla4[[#This Row],[Mes]],Tabla6[#Headers],0)))*(1+Catalogos!$L$2)</f>
        <v>#N/A</v>
      </c>
      <c r="N5842" s="283" t="e">
        <f>+(Tabla4[[#This Row],[Precio Descontado]]-Tabla4[[#This Row],[Precio Base]])*Tabla4[[#This Row],[Cantidad]]</f>
        <v>#N/A</v>
      </c>
      <c r="O5842" s="284" t="e">
        <f>++Tabla4[[#This Row],[Utilidad Total]]/Tabla4[[#This Row],[Total]]</f>
        <v>#N/A</v>
      </c>
      <c r="P5842" s="282">
        <f>++Tabla4[[#This Row],[Precio Descontado]]*Tabla4[[#This Row],[Cantidad]]</f>
        <v>3294.8739295999999</v>
      </c>
      <c r="Q5842" s="282" t="e">
        <f>(INDEX(Tabla6[#All],MATCH(Tabla4[[#This Row],[Producto]],Tabla6[[#All],[PRODUCTO]],0),MATCH(Tabla4[[#This Row],[Mes]],Tabla6[#Headers],0)))</f>
        <v>#N/A</v>
      </c>
      <c r="R5842" s="282" t="e">
        <f>++Tabla4[[#This Row],[Precio Unitario Neto]]-Tabla4[[#This Row],[20.85%]]-Tabla4[[#This Row],[Costo]]</f>
        <v>#N/A</v>
      </c>
      <c r="S5842" s="282" t="e">
        <f>++Tabla4[[#This Row],[U. Bruta Uni]]*Tabla4[[#This Row],[Cantidad]]</f>
        <v>#N/A</v>
      </c>
      <c r="T5842" s="369" t="str">
        <f>VLOOKUP(Tabla4[[#This Row],[Producto]],Tabla6[#All],14,FALSE)</f>
        <v>Termico Solar</v>
      </c>
      <c r="U5842" s="284" t="e">
        <f>(IF(Tabla4[[#This Row],[Familia]]="termico solar",Tabla4[[#This Row],[Utilidad Total]]*6%,Tabla4[[#This Row],[Utilidad Total]]*11.5%))/Tabla4[[#This Row],[Total]]</f>
        <v>#N/A</v>
      </c>
      <c r="V5842" s="282" t="e">
        <f>+Tabla4[[#This Row],[Comisión Calculada]]*Tabla4[[#This Row],[Total]]</f>
        <v>#N/A</v>
      </c>
    </row>
    <row r="5843" spans="1:22" hidden="1" x14ac:dyDescent="0.25">
      <c r="A5843" s="100">
        <v>45930</v>
      </c>
      <c r="B5843" t="str">
        <f t="shared" si="279"/>
        <v>September</v>
      </c>
      <c r="C5843" s="46" t="s">
        <v>280</v>
      </c>
      <c r="F5843" s="366" t="s">
        <v>3001</v>
      </c>
      <c r="G5843" s="46" t="s">
        <v>208</v>
      </c>
      <c r="H5843" s="46">
        <v>5</v>
      </c>
      <c r="I5843" s="51">
        <v>189.75</v>
      </c>
      <c r="J5843" s="281">
        <f>++Tabla4[[#This Row],[Precio Bruto]]*1.16</f>
        <v>220.10999999999999</v>
      </c>
      <c r="K5843" s="281">
        <f>+Tabla4[[#This Row],[Precio Unitario Neto]]*Tabla4[[#Headers],[20.85%]]</f>
        <v>45.892934999999994</v>
      </c>
      <c r="L5843" s="282">
        <f>++Tabla4[[#This Row],[Precio Unitario Neto]]-Tabla4[[#This Row],[20.85%]]</f>
        <v>174.21706499999999</v>
      </c>
      <c r="M5843" s="282" t="e">
        <f>(INDEX(Tabla6[#All],MATCH(Tabla4[[#This Row],[Producto]],Tabla6[[#All],[PRODUCTO]],0),MATCH(Tabla4[[#This Row],[Mes]],Tabla6[#Headers],0)))*(1+Catalogos!$L$2)</f>
        <v>#N/A</v>
      </c>
      <c r="N5843" s="283" t="e">
        <f>+(Tabla4[[#This Row],[Precio Descontado]]-Tabla4[[#This Row],[Precio Base]])*Tabla4[[#This Row],[Cantidad]]</f>
        <v>#N/A</v>
      </c>
      <c r="O5843" s="284" t="e">
        <f>++Tabla4[[#This Row],[Utilidad Total]]/Tabla4[[#This Row],[Total]]</f>
        <v>#N/A</v>
      </c>
      <c r="P5843" s="282">
        <f>++Tabla4[[#This Row],[Precio Descontado]]*Tabla4[[#This Row],[Cantidad]]</f>
        <v>871.08532500000001</v>
      </c>
      <c r="Q5843" s="282" t="e">
        <f>(INDEX(Tabla6[#All],MATCH(Tabla4[[#This Row],[Producto]],Tabla6[[#All],[PRODUCTO]],0),MATCH(Tabla4[[#This Row],[Mes]],Tabla6[#Headers],0)))</f>
        <v>#N/A</v>
      </c>
      <c r="R5843" s="282" t="e">
        <f>++Tabla4[[#This Row],[Precio Unitario Neto]]-Tabla4[[#This Row],[20.85%]]-Tabla4[[#This Row],[Costo]]</f>
        <v>#N/A</v>
      </c>
      <c r="S5843" s="282" t="e">
        <f>++Tabla4[[#This Row],[U. Bruta Uni]]*Tabla4[[#This Row],[Cantidad]]</f>
        <v>#N/A</v>
      </c>
      <c r="T5843" s="369" t="str">
        <f>VLOOKUP(Tabla4[[#This Row],[Producto]],Tabla6[#All],14,FALSE)</f>
        <v>Termico Solar</v>
      </c>
      <c r="U5843" s="284" t="e">
        <f>(IF(Tabla4[[#This Row],[Familia]]="termico solar",Tabla4[[#This Row],[Utilidad Total]]*6%,Tabla4[[#This Row],[Utilidad Total]]*11.5%))/Tabla4[[#This Row],[Total]]</f>
        <v>#N/A</v>
      </c>
      <c r="V5843" s="282" t="e">
        <f>+Tabla4[[#This Row],[Comisión Calculada]]*Tabla4[[#This Row],[Total]]</f>
        <v>#N/A</v>
      </c>
    </row>
    <row r="5844" spans="1:22" hidden="1" x14ac:dyDescent="0.25">
      <c r="A5844" s="100">
        <v>45930</v>
      </c>
      <c r="B5844" t="str">
        <f t="shared" si="279"/>
        <v>September</v>
      </c>
      <c r="C5844" s="46" t="s">
        <v>280</v>
      </c>
      <c r="F5844" s="366" t="s">
        <v>3002</v>
      </c>
      <c r="G5844" s="46" t="s">
        <v>17</v>
      </c>
      <c r="H5844" s="46">
        <v>1</v>
      </c>
      <c r="I5844" s="51">
        <v>4622.28</v>
      </c>
      <c r="J5844" s="281">
        <f>++Tabla4[[#This Row],[Precio Bruto]]*1.16</f>
        <v>5361.8447999999989</v>
      </c>
      <c r="K5844" s="281">
        <f>+Tabla4[[#This Row],[Precio Unitario Neto]]*Tabla4[[#Headers],[20.85%]]</f>
        <v>1117.9446407999997</v>
      </c>
      <c r="L5844" s="282">
        <f>++Tabla4[[#This Row],[Precio Unitario Neto]]-Tabla4[[#This Row],[20.85%]]</f>
        <v>4243.9001591999995</v>
      </c>
      <c r="M5844" s="282" t="e">
        <f>(INDEX(Tabla6[#All],MATCH(Tabla4[[#This Row],[Producto]],Tabla6[[#All],[PRODUCTO]],0),MATCH(Tabla4[[#This Row],[Mes]],Tabla6[#Headers],0)))*(1+Catalogos!$L$2)</f>
        <v>#N/A</v>
      </c>
      <c r="N5844" s="283" t="e">
        <f>+(Tabla4[[#This Row],[Precio Descontado]]-Tabla4[[#This Row],[Precio Base]])*Tabla4[[#This Row],[Cantidad]]</f>
        <v>#N/A</v>
      </c>
      <c r="O5844" s="284" t="e">
        <f>++Tabla4[[#This Row],[Utilidad Total]]/Tabla4[[#This Row],[Total]]</f>
        <v>#N/A</v>
      </c>
      <c r="P5844" s="282">
        <f>++Tabla4[[#This Row],[Precio Descontado]]*Tabla4[[#This Row],[Cantidad]]</f>
        <v>4243.9001591999995</v>
      </c>
      <c r="Q5844" s="282" t="e">
        <f>(INDEX(Tabla6[#All],MATCH(Tabla4[[#This Row],[Producto]],Tabla6[[#All],[PRODUCTO]],0),MATCH(Tabla4[[#This Row],[Mes]],Tabla6[#Headers],0)))</f>
        <v>#N/A</v>
      </c>
      <c r="R5844" s="282" t="e">
        <f>++Tabla4[[#This Row],[Precio Unitario Neto]]-Tabla4[[#This Row],[20.85%]]-Tabla4[[#This Row],[Costo]]</f>
        <v>#N/A</v>
      </c>
      <c r="S5844" s="282" t="e">
        <f>++Tabla4[[#This Row],[U. Bruta Uni]]*Tabla4[[#This Row],[Cantidad]]</f>
        <v>#N/A</v>
      </c>
      <c r="T5844" s="369" t="str">
        <f>VLOOKUP(Tabla4[[#This Row],[Producto]],Tabla6[#All],14,FALSE)</f>
        <v>Termico Solar</v>
      </c>
      <c r="U5844" s="284" t="e">
        <f>(IF(Tabla4[[#This Row],[Familia]]="termico solar",Tabla4[[#This Row],[Utilidad Total]]*6%,Tabla4[[#This Row],[Utilidad Total]]*11.5%))/Tabla4[[#This Row],[Total]]</f>
        <v>#N/A</v>
      </c>
      <c r="V5844" s="282" t="e">
        <f>+Tabla4[[#This Row],[Comisión Calculada]]*Tabla4[[#This Row],[Total]]</f>
        <v>#N/A</v>
      </c>
    </row>
    <row r="5845" spans="1:22" hidden="1" x14ac:dyDescent="0.25">
      <c r="A5845" s="100">
        <v>45930</v>
      </c>
      <c r="B5845" t="str">
        <f t="shared" si="279"/>
        <v>September</v>
      </c>
      <c r="C5845" s="46" t="s">
        <v>280</v>
      </c>
      <c r="F5845" s="366" t="s">
        <v>3003</v>
      </c>
      <c r="G5845" s="46" t="s">
        <v>17</v>
      </c>
      <c r="H5845" s="46">
        <v>1</v>
      </c>
      <c r="I5845" s="51">
        <v>4622.28</v>
      </c>
      <c r="J5845" s="281">
        <f>++Tabla4[[#This Row],[Precio Bruto]]*1.16</f>
        <v>5361.8447999999989</v>
      </c>
      <c r="K5845" s="281">
        <f>+Tabla4[[#This Row],[Precio Unitario Neto]]*Tabla4[[#Headers],[20.85%]]</f>
        <v>1117.9446407999997</v>
      </c>
      <c r="L5845" s="282">
        <f>++Tabla4[[#This Row],[Precio Unitario Neto]]-Tabla4[[#This Row],[20.85%]]</f>
        <v>4243.9001591999995</v>
      </c>
      <c r="M5845" s="282" t="e">
        <f>(INDEX(Tabla6[#All],MATCH(Tabla4[[#This Row],[Producto]],Tabla6[[#All],[PRODUCTO]],0),MATCH(Tabla4[[#This Row],[Mes]],Tabla6[#Headers],0)))*(1+Catalogos!$L$2)</f>
        <v>#N/A</v>
      </c>
      <c r="N5845" s="283" t="e">
        <f>+(Tabla4[[#This Row],[Precio Descontado]]-Tabla4[[#This Row],[Precio Base]])*Tabla4[[#This Row],[Cantidad]]</f>
        <v>#N/A</v>
      </c>
      <c r="O5845" s="284" t="e">
        <f>++Tabla4[[#This Row],[Utilidad Total]]/Tabla4[[#This Row],[Total]]</f>
        <v>#N/A</v>
      </c>
      <c r="P5845" s="282">
        <f>++Tabla4[[#This Row],[Precio Descontado]]*Tabla4[[#This Row],[Cantidad]]</f>
        <v>4243.9001591999995</v>
      </c>
      <c r="Q5845" s="282" t="e">
        <f>(INDEX(Tabla6[#All],MATCH(Tabla4[[#This Row],[Producto]],Tabla6[[#All],[PRODUCTO]],0),MATCH(Tabla4[[#This Row],[Mes]],Tabla6[#Headers],0)))</f>
        <v>#N/A</v>
      </c>
      <c r="R5845" s="282" t="e">
        <f>++Tabla4[[#This Row],[Precio Unitario Neto]]-Tabla4[[#This Row],[20.85%]]-Tabla4[[#This Row],[Costo]]</f>
        <v>#N/A</v>
      </c>
      <c r="S5845" s="282" t="e">
        <f>++Tabla4[[#This Row],[U. Bruta Uni]]*Tabla4[[#This Row],[Cantidad]]</f>
        <v>#N/A</v>
      </c>
      <c r="T5845" s="369" t="str">
        <f>VLOOKUP(Tabla4[[#This Row],[Producto]],Tabla6[#All],14,FALSE)</f>
        <v>Termico Solar</v>
      </c>
      <c r="U5845" s="284" t="e">
        <f>(IF(Tabla4[[#This Row],[Familia]]="termico solar",Tabla4[[#This Row],[Utilidad Total]]*6%,Tabla4[[#This Row],[Utilidad Total]]*11.5%))/Tabla4[[#This Row],[Total]]</f>
        <v>#N/A</v>
      </c>
      <c r="V5845" s="282" t="e">
        <f>+Tabla4[[#This Row],[Comisión Calculada]]*Tabla4[[#This Row],[Total]]</f>
        <v>#N/A</v>
      </c>
    </row>
    <row r="5846" spans="1:22" hidden="1" x14ac:dyDescent="0.25">
      <c r="A5846" s="100">
        <v>45930</v>
      </c>
      <c r="B5846" t="str">
        <f t="shared" si="279"/>
        <v>September</v>
      </c>
      <c r="C5846" s="46" t="s">
        <v>280</v>
      </c>
      <c r="F5846" s="366" t="s">
        <v>3003</v>
      </c>
      <c r="G5846" s="46" t="s">
        <v>208</v>
      </c>
      <c r="H5846" s="46">
        <v>2</v>
      </c>
      <c r="I5846" s="51">
        <v>189.75</v>
      </c>
      <c r="J5846" s="281">
        <f>++Tabla4[[#This Row],[Precio Bruto]]*1.16</f>
        <v>220.10999999999999</v>
      </c>
      <c r="K5846" s="281">
        <f>+Tabla4[[#This Row],[Precio Unitario Neto]]*Tabla4[[#Headers],[20.85%]]</f>
        <v>45.892934999999994</v>
      </c>
      <c r="L5846" s="282">
        <f>++Tabla4[[#This Row],[Precio Unitario Neto]]-Tabla4[[#This Row],[20.85%]]</f>
        <v>174.21706499999999</v>
      </c>
      <c r="M5846" s="282" t="e">
        <f>(INDEX(Tabla6[#All],MATCH(Tabla4[[#This Row],[Producto]],Tabla6[[#All],[PRODUCTO]],0),MATCH(Tabla4[[#This Row],[Mes]],Tabla6[#Headers],0)))*(1+Catalogos!$L$2)</f>
        <v>#N/A</v>
      </c>
      <c r="N5846" s="283" t="e">
        <f>+(Tabla4[[#This Row],[Precio Descontado]]-Tabla4[[#This Row],[Precio Base]])*Tabla4[[#This Row],[Cantidad]]</f>
        <v>#N/A</v>
      </c>
      <c r="O5846" s="284" t="e">
        <f>++Tabla4[[#This Row],[Utilidad Total]]/Tabla4[[#This Row],[Total]]</f>
        <v>#N/A</v>
      </c>
      <c r="P5846" s="282">
        <f>++Tabla4[[#This Row],[Precio Descontado]]*Tabla4[[#This Row],[Cantidad]]</f>
        <v>348.43412999999998</v>
      </c>
      <c r="Q5846" s="282" t="e">
        <f>(INDEX(Tabla6[#All],MATCH(Tabla4[[#This Row],[Producto]],Tabla6[[#All],[PRODUCTO]],0),MATCH(Tabla4[[#This Row],[Mes]],Tabla6[#Headers],0)))</f>
        <v>#N/A</v>
      </c>
      <c r="R5846" s="282" t="e">
        <f>++Tabla4[[#This Row],[Precio Unitario Neto]]-Tabla4[[#This Row],[20.85%]]-Tabla4[[#This Row],[Costo]]</f>
        <v>#N/A</v>
      </c>
      <c r="S5846" s="282" t="e">
        <f>++Tabla4[[#This Row],[U. Bruta Uni]]*Tabla4[[#This Row],[Cantidad]]</f>
        <v>#N/A</v>
      </c>
      <c r="T5846" s="369" t="str">
        <f>VLOOKUP(Tabla4[[#This Row],[Producto]],Tabla6[#All],14,FALSE)</f>
        <v>Termico Solar</v>
      </c>
      <c r="U5846" s="284" t="e">
        <f>(IF(Tabla4[[#This Row],[Familia]]="termico solar",Tabla4[[#This Row],[Utilidad Total]]*6%,Tabla4[[#This Row],[Utilidad Total]]*11.5%))/Tabla4[[#This Row],[Total]]</f>
        <v>#N/A</v>
      </c>
      <c r="V5846" s="282" t="e">
        <f>+Tabla4[[#This Row],[Comisión Calculada]]*Tabla4[[#This Row],[Total]]</f>
        <v>#N/A</v>
      </c>
    </row>
    <row r="5847" spans="1:22" hidden="1" x14ac:dyDescent="0.25">
      <c r="A5847" s="100">
        <v>45930</v>
      </c>
      <c r="B5847" t="str">
        <f t="shared" si="279"/>
        <v>September</v>
      </c>
      <c r="C5847" s="46" t="s">
        <v>280</v>
      </c>
      <c r="F5847" s="366" t="s">
        <v>3004</v>
      </c>
      <c r="G5847" s="46" t="s">
        <v>566</v>
      </c>
      <c r="H5847" s="46">
        <v>1</v>
      </c>
      <c r="I5847" s="51">
        <v>2109.4499999999998</v>
      </c>
      <c r="J5847" s="281">
        <f>++Tabla4[[#This Row],[Precio Bruto]]*1.16</f>
        <v>2446.9619999999995</v>
      </c>
      <c r="K5847" s="281">
        <f>+Tabla4[[#This Row],[Precio Unitario Neto]]*Tabla4[[#Headers],[20.85%]]</f>
        <v>510.19157699999988</v>
      </c>
      <c r="L5847" s="282">
        <f>++Tabla4[[#This Row],[Precio Unitario Neto]]-Tabla4[[#This Row],[20.85%]]</f>
        <v>1936.7704229999997</v>
      </c>
      <c r="M5847" s="282" t="e">
        <f>(INDEX(Tabla6[#All],MATCH(Tabla4[[#This Row],[Producto]],Tabla6[[#All],[PRODUCTO]],0),MATCH(Tabla4[[#This Row],[Mes]],Tabla6[#Headers],0)))*(1+Catalogos!$L$2)</f>
        <v>#N/A</v>
      </c>
      <c r="N5847" s="283" t="e">
        <f>+(Tabla4[[#This Row],[Precio Descontado]]-Tabla4[[#This Row],[Precio Base]])*Tabla4[[#This Row],[Cantidad]]</f>
        <v>#N/A</v>
      </c>
      <c r="O5847" s="284" t="e">
        <f>++Tabla4[[#This Row],[Utilidad Total]]/Tabla4[[#This Row],[Total]]</f>
        <v>#N/A</v>
      </c>
      <c r="P5847" s="282">
        <f>++Tabla4[[#This Row],[Precio Descontado]]*Tabla4[[#This Row],[Cantidad]]</f>
        <v>1936.7704229999997</v>
      </c>
      <c r="Q5847" s="282" t="e">
        <f>(INDEX(Tabla6[#All],MATCH(Tabla4[[#This Row],[Producto]],Tabla6[[#All],[PRODUCTO]],0),MATCH(Tabla4[[#This Row],[Mes]],Tabla6[#Headers],0)))</f>
        <v>#N/A</v>
      </c>
      <c r="R5847" s="282" t="e">
        <f>++Tabla4[[#This Row],[Precio Unitario Neto]]-Tabla4[[#This Row],[20.85%]]-Tabla4[[#This Row],[Costo]]</f>
        <v>#N/A</v>
      </c>
      <c r="S5847" s="282" t="e">
        <f>++Tabla4[[#This Row],[U. Bruta Uni]]*Tabla4[[#This Row],[Cantidad]]</f>
        <v>#N/A</v>
      </c>
      <c r="T5847" s="369" t="str">
        <f>VLOOKUP(Tabla4[[#This Row],[Producto]],Tabla6[#All],14,FALSE)</f>
        <v>Termico Solar</v>
      </c>
      <c r="U5847" s="284" t="e">
        <f>(IF(Tabla4[[#This Row],[Familia]]="termico solar",Tabla4[[#This Row],[Utilidad Total]]*6%,Tabla4[[#This Row],[Utilidad Total]]*11.5%))/Tabla4[[#This Row],[Total]]</f>
        <v>#N/A</v>
      </c>
      <c r="V5847" s="282" t="e">
        <f>+Tabla4[[#This Row],[Comisión Calculada]]*Tabla4[[#This Row],[Total]]</f>
        <v>#N/A</v>
      </c>
    </row>
    <row r="5848" spans="1:22" hidden="1" x14ac:dyDescent="0.25">
      <c r="A5848" s="100">
        <v>45930</v>
      </c>
      <c r="B5848" t="str">
        <f t="shared" si="279"/>
        <v>September</v>
      </c>
      <c r="C5848" s="46" t="s">
        <v>280</v>
      </c>
      <c r="F5848" s="366" t="s">
        <v>3004</v>
      </c>
      <c r="G5848" s="46" t="s">
        <v>412</v>
      </c>
      <c r="H5848" s="46">
        <v>1</v>
      </c>
      <c r="I5848" s="51">
        <v>3240.84</v>
      </c>
      <c r="J5848" s="281">
        <f>++Tabla4[[#This Row],[Precio Bruto]]*1.16</f>
        <v>3759.3743999999997</v>
      </c>
      <c r="K5848" s="281">
        <f>+Tabla4[[#This Row],[Precio Unitario Neto]]*Tabla4[[#Headers],[20.85%]]</f>
        <v>783.82956239999987</v>
      </c>
      <c r="L5848" s="282">
        <f>++Tabla4[[#This Row],[Precio Unitario Neto]]-Tabla4[[#This Row],[20.85%]]</f>
        <v>2975.5448375999999</v>
      </c>
      <c r="M5848" s="282" t="e">
        <f>(INDEX(Tabla6[#All],MATCH(Tabla4[[#This Row],[Producto]],Tabla6[[#All],[PRODUCTO]],0),MATCH(Tabla4[[#This Row],[Mes]],Tabla6[#Headers],0)))*(1+Catalogos!$L$2)</f>
        <v>#N/A</v>
      </c>
      <c r="N5848" s="283" t="e">
        <f>+(Tabla4[[#This Row],[Precio Descontado]]-Tabla4[[#This Row],[Precio Base]])*Tabla4[[#This Row],[Cantidad]]</f>
        <v>#N/A</v>
      </c>
      <c r="O5848" s="284" t="e">
        <f>++Tabla4[[#This Row],[Utilidad Total]]/Tabla4[[#This Row],[Total]]</f>
        <v>#N/A</v>
      </c>
      <c r="P5848" s="282">
        <f>++Tabla4[[#This Row],[Precio Descontado]]*Tabla4[[#This Row],[Cantidad]]</f>
        <v>2975.5448375999999</v>
      </c>
      <c r="Q5848" s="282" t="e">
        <f>(INDEX(Tabla6[#All],MATCH(Tabla4[[#This Row],[Producto]],Tabla6[[#All],[PRODUCTO]],0),MATCH(Tabla4[[#This Row],[Mes]],Tabla6[#Headers],0)))</f>
        <v>#N/A</v>
      </c>
      <c r="R5848" s="282" t="e">
        <f>++Tabla4[[#This Row],[Precio Unitario Neto]]-Tabla4[[#This Row],[20.85%]]-Tabla4[[#This Row],[Costo]]</f>
        <v>#N/A</v>
      </c>
      <c r="S5848" s="282" t="e">
        <f>++Tabla4[[#This Row],[U. Bruta Uni]]*Tabla4[[#This Row],[Cantidad]]</f>
        <v>#N/A</v>
      </c>
      <c r="T5848" s="369" t="str">
        <f>VLOOKUP(Tabla4[[#This Row],[Producto]],Tabla6[#All],14,FALSE)</f>
        <v>Termico Solar</v>
      </c>
      <c r="U5848" s="284" t="e">
        <f>(IF(Tabla4[[#This Row],[Familia]]="termico solar",Tabla4[[#This Row],[Utilidad Total]]*6%,Tabla4[[#This Row],[Utilidad Total]]*11.5%))/Tabla4[[#This Row],[Total]]</f>
        <v>#N/A</v>
      </c>
      <c r="V5848" s="282" t="e">
        <f>+Tabla4[[#This Row],[Comisión Calculada]]*Tabla4[[#This Row],[Total]]</f>
        <v>#N/A</v>
      </c>
    </row>
    <row r="5849" spans="1:22" hidden="1" x14ac:dyDescent="0.25">
      <c r="A5849" s="100">
        <v>45930</v>
      </c>
      <c r="B5849" t="str">
        <f t="shared" si="279"/>
        <v>September</v>
      </c>
      <c r="C5849" s="46" t="s">
        <v>280</v>
      </c>
      <c r="F5849" s="366" t="s">
        <v>3004</v>
      </c>
      <c r="G5849" s="46" t="s">
        <v>16</v>
      </c>
      <c r="H5849" s="46">
        <v>1</v>
      </c>
      <c r="I5849" s="51">
        <v>4103.8500000000004</v>
      </c>
      <c r="J5849" s="281">
        <f>++Tabla4[[#This Row],[Precio Bruto]]*1.16</f>
        <v>4760.4660000000003</v>
      </c>
      <c r="K5849" s="281">
        <f>+Tabla4[[#This Row],[Precio Unitario Neto]]*Tabla4[[#Headers],[20.85%]]</f>
        <v>992.55716100000006</v>
      </c>
      <c r="L5849" s="282">
        <f>++Tabla4[[#This Row],[Precio Unitario Neto]]-Tabla4[[#This Row],[20.85%]]</f>
        <v>3767.9088390000002</v>
      </c>
      <c r="M5849" s="282" t="e">
        <f>(INDEX(Tabla6[#All],MATCH(Tabla4[[#This Row],[Producto]],Tabla6[[#All],[PRODUCTO]],0),MATCH(Tabla4[[#This Row],[Mes]],Tabla6[#Headers],0)))*(1+Catalogos!$L$2)</f>
        <v>#N/A</v>
      </c>
      <c r="N5849" s="283" t="e">
        <f>+(Tabla4[[#This Row],[Precio Descontado]]-Tabla4[[#This Row],[Precio Base]])*Tabla4[[#This Row],[Cantidad]]</f>
        <v>#N/A</v>
      </c>
      <c r="O5849" s="284" t="e">
        <f>++Tabla4[[#This Row],[Utilidad Total]]/Tabla4[[#This Row],[Total]]</f>
        <v>#N/A</v>
      </c>
      <c r="P5849" s="282">
        <f>++Tabla4[[#This Row],[Precio Descontado]]*Tabla4[[#This Row],[Cantidad]]</f>
        <v>3767.9088390000002</v>
      </c>
      <c r="Q5849" s="282" t="e">
        <f>(INDEX(Tabla6[#All],MATCH(Tabla4[[#This Row],[Producto]],Tabla6[[#All],[PRODUCTO]],0),MATCH(Tabla4[[#This Row],[Mes]],Tabla6[#Headers],0)))</f>
        <v>#N/A</v>
      </c>
      <c r="R5849" s="282" t="e">
        <f>++Tabla4[[#This Row],[Precio Unitario Neto]]-Tabla4[[#This Row],[20.85%]]-Tabla4[[#This Row],[Costo]]</f>
        <v>#N/A</v>
      </c>
      <c r="S5849" s="282" t="e">
        <f>++Tabla4[[#This Row],[U. Bruta Uni]]*Tabla4[[#This Row],[Cantidad]]</f>
        <v>#N/A</v>
      </c>
      <c r="T5849" s="369" t="str">
        <f>VLOOKUP(Tabla4[[#This Row],[Producto]],Tabla6[#All],14,FALSE)</f>
        <v>Termico Solar</v>
      </c>
      <c r="U5849" s="284" t="e">
        <f>(IF(Tabla4[[#This Row],[Familia]]="termico solar",Tabla4[[#This Row],[Utilidad Total]]*6%,Tabla4[[#This Row],[Utilidad Total]]*11.5%))/Tabla4[[#This Row],[Total]]</f>
        <v>#N/A</v>
      </c>
      <c r="V5849" s="282" t="e">
        <f>+Tabla4[[#This Row],[Comisión Calculada]]*Tabla4[[#This Row],[Total]]</f>
        <v>#N/A</v>
      </c>
    </row>
    <row r="5850" spans="1:22" hidden="1" x14ac:dyDescent="0.25">
      <c r="A5850" s="100">
        <v>45930</v>
      </c>
      <c r="B5850" t="str">
        <f t="shared" si="279"/>
        <v>September</v>
      </c>
      <c r="C5850" s="46" t="s">
        <v>280</v>
      </c>
      <c r="F5850" s="366" t="s">
        <v>3005</v>
      </c>
      <c r="G5850" s="46" t="s">
        <v>83</v>
      </c>
      <c r="H5850" s="46">
        <v>1</v>
      </c>
      <c r="I5850" s="51">
        <v>8858.76</v>
      </c>
      <c r="J5850" s="281">
        <f>++Tabla4[[#This Row],[Precio Bruto]]*1.16</f>
        <v>10276.161599999999</v>
      </c>
      <c r="K5850" s="281">
        <f>+Tabla4[[#This Row],[Precio Unitario Neto]]*Tabla4[[#Headers],[20.85%]]</f>
        <v>2142.5796935999997</v>
      </c>
      <c r="L5850" s="282">
        <f>++Tabla4[[#This Row],[Precio Unitario Neto]]-Tabla4[[#This Row],[20.85%]]</f>
        <v>8133.5819063999998</v>
      </c>
      <c r="M5850" s="282" t="e">
        <f>(INDEX(Tabla6[#All],MATCH(Tabla4[[#This Row],[Producto]],Tabla6[[#All],[PRODUCTO]],0),MATCH(Tabla4[[#This Row],[Mes]],Tabla6[#Headers],0)))*(1+Catalogos!$L$2)</f>
        <v>#N/A</v>
      </c>
      <c r="N5850" s="283" t="e">
        <f>+(Tabla4[[#This Row],[Precio Descontado]]-Tabla4[[#This Row],[Precio Base]])*Tabla4[[#This Row],[Cantidad]]</f>
        <v>#N/A</v>
      </c>
      <c r="O5850" s="284" t="e">
        <f>++Tabla4[[#This Row],[Utilidad Total]]/Tabla4[[#This Row],[Total]]</f>
        <v>#N/A</v>
      </c>
      <c r="P5850" s="282">
        <f>++Tabla4[[#This Row],[Precio Descontado]]*Tabla4[[#This Row],[Cantidad]]</f>
        <v>8133.5819063999998</v>
      </c>
      <c r="Q5850" s="282" t="e">
        <f>(INDEX(Tabla6[#All],MATCH(Tabla4[[#This Row],[Producto]],Tabla6[[#All],[PRODUCTO]],0),MATCH(Tabla4[[#This Row],[Mes]],Tabla6[#Headers],0)))</f>
        <v>#N/A</v>
      </c>
      <c r="R5850" s="282" t="e">
        <f>++Tabla4[[#This Row],[Precio Unitario Neto]]-Tabla4[[#This Row],[20.85%]]-Tabla4[[#This Row],[Costo]]</f>
        <v>#N/A</v>
      </c>
      <c r="S5850" s="282" t="e">
        <f>++Tabla4[[#This Row],[U. Bruta Uni]]*Tabla4[[#This Row],[Cantidad]]</f>
        <v>#N/A</v>
      </c>
      <c r="T5850" s="369" t="str">
        <f>VLOOKUP(Tabla4[[#This Row],[Producto]],Tabla6[#All],14,FALSE)</f>
        <v>Termico Solar</v>
      </c>
      <c r="U5850" s="284" t="e">
        <f>(IF(Tabla4[[#This Row],[Familia]]="termico solar",Tabla4[[#This Row],[Utilidad Total]]*6%,Tabla4[[#This Row],[Utilidad Total]]*11.5%))/Tabla4[[#This Row],[Total]]</f>
        <v>#N/A</v>
      </c>
      <c r="V5850" s="282" t="e">
        <f>+Tabla4[[#This Row],[Comisión Calculada]]*Tabla4[[#This Row],[Total]]</f>
        <v>#N/A</v>
      </c>
    </row>
    <row r="5851" spans="1:22" hidden="1" x14ac:dyDescent="0.25">
      <c r="A5851" s="100">
        <v>45930</v>
      </c>
      <c r="B5851" t="str">
        <f t="shared" si="279"/>
        <v>September</v>
      </c>
      <c r="C5851" s="46" t="s">
        <v>280</v>
      </c>
      <c r="F5851" s="366" t="s">
        <v>3005</v>
      </c>
      <c r="G5851" s="46" t="s">
        <v>18</v>
      </c>
      <c r="H5851" s="46">
        <v>2</v>
      </c>
      <c r="I5851" s="51">
        <v>5367.65</v>
      </c>
      <c r="J5851" s="281">
        <f>++Tabla4[[#This Row],[Precio Bruto]]*1.16</f>
        <v>6226.4739999999993</v>
      </c>
      <c r="K5851" s="281">
        <f>+Tabla4[[#This Row],[Precio Unitario Neto]]*Tabla4[[#Headers],[20.85%]]</f>
        <v>1298.2198289999999</v>
      </c>
      <c r="L5851" s="282">
        <f>++Tabla4[[#This Row],[Precio Unitario Neto]]-Tabla4[[#This Row],[20.85%]]</f>
        <v>4928.2541709999996</v>
      </c>
      <c r="M5851" s="282" t="e">
        <f>(INDEX(Tabla6[#All],MATCH(Tabla4[[#This Row],[Producto]],Tabla6[[#All],[PRODUCTO]],0),MATCH(Tabla4[[#This Row],[Mes]],Tabla6[#Headers],0)))*(1+Catalogos!$L$2)</f>
        <v>#N/A</v>
      </c>
      <c r="N5851" s="283" t="e">
        <f>+(Tabla4[[#This Row],[Precio Descontado]]-Tabla4[[#This Row],[Precio Base]])*Tabla4[[#This Row],[Cantidad]]</f>
        <v>#N/A</v>
      </c>
      <c r="O5851" s="284" t="e">
        <f>++Tabla4[[#This Row],[Utilidad Total]]/Tabla4[[#This Row],[Total]]</f>
        <v>#N/A</v>
      </c>
      <c r="P5851" s="282">
        <f>++Tabla4[[#This Row],[Precio Descontado]]*Tabla4[[#This Row],[Cantidad]]</f>
        <v>9856.5083419999992</v>
      </c>
      <c r="Q5851" s="282" t="e">
        <f>(INDEX(Tabla6[#All],MATCH(Tabla4[[#This Row],[Producto]],Tabla6[[#All],[PRODUCTO]],0),MATCH(Tabla4[[#This Row],[Mes]],Tabla6[#Headers],0)))</f>
        <v>#N/A</v>
      </c>
      <c r="R5851" s="282" t="e">
        <f>++Tabla4[[#This Row],[Precio Unitario Neto]]-Tabla4[[#This Row],[20.85%]]-Tabla4[[#This Row],[Costo]]</f>
        <v>#N/A</v>
      </c>
      <c r="S5851" s="282" t="e">
        <f>++Tabla4[[#This Row],[U. Bruta Uni]]*Tabla4[[#This Row],[Cantidad]]</f>
        <v>#N/A</v>
      </c>
      <c r="T5851" s="369" t="str">
        <f>VLOOKUP(Tabla4[[#This Row],[Producto]],Tabla6[#All],14,FALSE)</f>
        <v>Termico Solar</v>
      </c>
      <c r="U5851" s="284" t="e">
        <f>(IF(Tabla4[[#This Row],[Familia]]="termico solar",Tabla4[[#This Row],[Utilidad Total]]*6%,Tabla4[[#This Row],[Utilidad Total]]*11.5%))/Tabla4[[#This Row],[Total]]</f>
        <v>#N/A</v>
      </c>
      <c r="V5851" s="282" t="e">
        <f>+Tabla4[[#This Row],[Comisión Calculada]]*Tabla4[[#This Row],[Total]]</f>
        <v>#N/A</v>
      </c>
    </row>
    <row r="5852" spans="1:22" hidden="1" x14ac:dyDescent="0.25">
      <c r="A5852" s="100">
        <v>45930</v>
      </c>
      <c r="B5852" t="str">
        <f t="shared" si="279"/>
        <v>September</v>
      </c>
      <c r="C5852" s="46" t="s">
        <v>280</v>
      </c>
      <c r="F5852" s="366" t="s">
        <v>3006</v>
      </c>
      <c r="G5852" s="46" t="s">
        <v>17</v>
      </c>
      <c r="H5852" s="46">
        <v>1</v>
      </c>
      <c r="I5852" s="51">
        <v>4622.28</v>
      </c>
      <c r="J5852" s="281">
        <f>++Tabla4[[#This Row],[Precio Bruto]]*1.16</f>
        <v>5361.8447999999989</v>
      </c>
      <c r="K5852" s="281">
        <f>+Tabla4[[#This Row],[Precio Unitario Neto]]*Tabla4[[#Headers],[20.85%]]</f>
        <v>1117.9446407999997</v>
      </c>
      <c r="L5852" s="282">
        <f>++Tabla4[[#This Row],[Precio Unitario Neto]]-Tabla4[[#This Row],[20.85%]]</f>
        <v>4243.9001591999995</v>
      </c>
      <c r="M5852" s="282" t="e">
        <f>(INDEX(Tabla6[#All],MATCH(Tabla4[[#This Row],[Producto]],Tabla6[[#All],[PRODUCTO]],0),MATCH(Tabla4[[#This Row],[Mes]],Tabla6[#Headers],0)))*(1+Catalogos!$L$2)</f>
        <v>#N/A</v>
      </c>
      <c r="N5852" s="283" t="e">
        <f>+(Tabla4[[#This Row],[Precio Descontado]]-Tabla4[[#This Row],[Precio Base]])*Tabla4[[#This Row],[Cantidad]]</f>
        <v>#N/A</v>
      </c>
      <c r="O5852" s="284" t="e">
        <f>++Tabla4[[#This Row],[Utilidad Total]]/Tabla4[[#This Row],[Total]]</f>
        <v>#N/A</v>
      </c>
      <c r="P5852" s="282">
        <f>++Tabla4[[#This Row],[Precio Descontado]]*Tabla4[[#This Row],[Cantidad]]</f>
        <v>4243.9001591999995</v>
      </c>
      <c r="Q5852" s="282" t="e">
        <f>(INDEX(Tabla6[#All],MATCH(Tabla4[[#This Row],[Producto]],Tabla6[[#All],[PRODUCTO]],0),MATCH(Tabla4[[#This Row],[Mes]],Tabla6[#Headers],0)))</f>
        <v>#N/A</v>
      </c>
      <c r="R5852" s="282" t="e">
        <f>++Tabla4[[#This Row],[Precio Unitario Neto]]-Tabla4[[#This Row],[20.85%]]-Tabla4[[#This Row],[Costo]]</f>
        <v>#N/A</v>
      </c>
      <c r="S5852" s="282" t="e">
        <f>++Tabla4[[#This Row],[U. Bruta Uni]]*Tabla4[[#This Row],[Cantidad]]</f>
        <v>#N/A</v>
      </c>
      <c r="T5852" s="369" t="str">
        <f>VLOOKUP(Tabla4[[#This Row],[Producto]],Tabla6[#All],14,FALSE)</f>
        <v>Termico Solar</v>
      </c>
      <c r="U5852" s="284" t="e">
        <f>(IF(Tabla4[[#This Row],[Familia]]="termico solar",Tabla4[[#This Row],[Utilidad Total]]*6%,Tabla4[[#This Row],[Utilidad Total]]*11.5%))/Tabla4[[#This Row],[Total]]</f>
        <v>#N/A</v>
      </c>
      <c r="V5852" s="282" t="e">
        <f>+Tabla4[[#This Row],[Comisión Calculada]]*Tabla4[[#This Row],[Total]]</f>
        <v>#N/A</v>
      </c>
    </row>
    <row r="5853" spans="1:22" hidden="1" x14ac:dyDescent="0.25">
      <c r="A5853" s="100">
        <v>45930</v>
      </c>
      <c r="B5853" t="str">
        <f t="shared" si="279"/>
        <v>September</v>
      </c>
      <c r="C5853" s="46" t="s">
        <v>280</v>
      </c>
      <c r="F5853" s="366" t="s">
        <v>3006</v>
      </c>
      <c r="G5853" s="46" t="s">
        <v>566</v>
      </c>
      <c r="H5853" s="46">
        <v>2</v>
      </c>
      <c r="I5853" s="51">
        <v>2109.4499999999998</v>
      </c>
      <c r="J5853" s="281">
        <f>++Tabla4[[#This Row],[Precio Bruto]]*1.16</f>
        <v>2446.9619999999995</v>
      </c>
      <c r="K5853" s="281">
        <f>+Tabla4[[#This Row],[Precio Unitario Neto]]*Tabla4[[#Headers],[20.85%]]</f>
        <v>510.19157699999988</v>
      </c>
      <c r="L5853" s="282">
        <f>++Tabla4[[#This Row],[Precio Unitario Neto]]-Tabla4[[#This Row],[20.85%]]</f>
        <v>1936.7704229999997</v>
      </c>
      <c r="M5853" s="282" t="e">
        <f>(INDEX(Tabla6[#All],MATCH(Tabla4[[#This Row],[Producto]],Tabla6[[#All],[PRODUCTO]],0),MATCH(Tabla4[[#This Row],[Mes]],Tabla6[#Headers],0)))*(1+Catalogos!$L$2)</f>
        <v>#N/A</v>
      </c>
      <c r="N5853" s="283" t="e">
        <f>+(Tabla4[[#This Row],[Precio Descontado]]-Tabla4[[#This Row],[Precio Base]])*Tabla4[[#This Row],[Cantidad]]</f>
        <v>#N/A</v>
      </c>
      <c r="O5853" s="284" t="e">
        <f>++Tabla4[[#This Row],[Utilidad Total]]/Tabla4[[#This Row],[Total]]</f>
        <v>#N/A</v>
      </c>
      <c r="P5853" s="282">
        <f>++Tabla4[[#This Row],[Precio Descontado]]*Tabla4[[#This Row],[Cantidad]]</f>
        <v>3873.5408459999994</v>
      </c>
      <c r="Q5853" s="282" t="e">
        <f>(INDEX(Tabla6[#All],MATCH(Tabla4[[#This Row],[Producto]],Tabla6[[#All],[PRODUCTO]],0),MATCH(Tabla4[[#This Row],[Mes]],Tabla6[#Headers],0)))</f>
        <v>#N/A</v>
      </c>
      <c r="R5853" s="282" t="e">
        <f>++Tabla4[[#This Row],[Precio Unitario Neto]]-Tabla4[[#This Row],[20.85%]]-Tabla4[[#This Row],[Costo]]</f>
        <v>#N/A</v>
      </c>
      <c r="S5853" s="282" t="e">
        <f>++Tabla4[[#This Row],[U. Bruta Uni]]*Tabla4[[#This Row],[Cantidad]]</f>
        <v>#N/A</v>
      </c>
      <c r="T5853" s="369" t="str">
        <f>VLOOKUP(Tabla4[[#This Row],[Producto]],Tabla6[#All],14,FALSE)</f>
        <v>Termico Solar</v>
      </c>
      <c r="U5853" s="284" t="e">
        <f>(IF(Tabla4[[#This Row],[Familia]]="termico solar",Tabla4[[#This Row],[Utilidad Total]]*6%,Tabla4[[#This Row],[Utilidad Total]]*11.5%))/Tabla4[[#This Row],[Total]]</f>
        <v>#N/A</v>
      </c>
      <c r="V5853" s="282" t="e">
        <f>+Tabla4[[#This Row],[Comisión Calculada]]*Tabla4[[#This Row],[Total]]</f>
        <v>#N/A</v>
      </c>
    </row>
    <row r="5854" spans="1:22" hidden="1" x14ac:dyDescent="0.25">
      <c r="A5854" s="100">
        <v>45930</v>
      </c>
      <c r="B5854" t="str">
        <f t="shared" si="279"/>
        <v>September</v>
      </c>
      <c r="C5854" s="46" t="s">
        <v>280</v>
      </c>
      <c r="F5854" s="366" t="s">
        <v>3007</v>
      </c>
      <c r="G5854" s="46" t="s">
        <v>208</v>
      </c>
      <c r="H5854" s="46">
        <v>4</v>
      </c>
      <c r="I5854" s="51">
        <v>189.75</v>
      </c>
      <c r="J5854" s="281">
        <f>++Tabla4[[#This Row],[Precio Bruto]]*1.16</f>
        <v>220.10999999999999</v>
      </c>
      <c r="K5854" s="281">
        <f>+Tabla4[[#This Row],[Precio Unitario Neto]]*Tabla4[[#Headers],[20.85%]]</f>
        <v>45.892934999999994</v>
      </c>
      <c r="L5854" s="282">
        <f>++Tabla4[[#This Row],[Precio Unitario Neto]]-Tabla4[[#This Row],[20.85%]]</f>
        <v>174.21706499999999</v>
      </c>
      <c r="M5854" s="282" t="e">
        <f>(INDEX(Tabla6[#All],MATCH(Tabla4[[#This Row],[Producto]],Tabla6[[#All],[PRODUCTO]],0),MATCH(Tabla4[[#This Row],[Mes]],Tabla6[#Headers],0)))*(1+Catalogos!$L$2)</f>
        <v>#N/A</v>
      </c>
      <c r="N5854" s="283" t="e">
        <f>+(Tabla4[[#This Row],[Precio Descontado]]-Tabla4[[#This Row],[Precio Base]])*Tabla4[[#This Row],[Cantidad]]</f>
        <v>#N/A</v>
      </c>
      <c r="O5854" s="284" t="e">
        <f>++Tabla4[[#This Row],[Utilidad Total]]/Tabla4[[#This Row],[Total]]</f>
        <v>#N/A</v>
      </c>
      <c r="P5854" s="282">
        <f>++Tabla4[[#This Row],[Precio Descontado]]*Tabla4[[#This Row],[Cantidad]]</f>
        <v>696.86825999999996</v>
      </c>
      <c r="Q5854" s="282" t="e">
        <f>(INDEX(Tabla6[#All],MATCH(Tabla4[[#This Row],[Producto]],Tabla6[[#All],[PRODUCTO]],0),MATCH(Tabla4[[#This Row],[Mes]],Tabla6[#Headers],0)))</f>
        <v>#N/A</v>
      </c>
      <c r="R5854" s="282" t="e">
        <f>++Tabla4[[#This Row],[Precio Unitario Neto]]-Tabla4[[#This Row],[20.85%]]-Tabla4[[#This Row],[Costo]]</f>
        <v>#N/A</v>
      </c>
      <c r="S5854" s="282" t="e">
        <f>++Tabla4[[#This Row],[U. Bruta Uni]]*Tabla4[[#This Row],[Cantidad]]</f>
        <v>#N/A</v>
      </c>
      <c r="T5854" s="369" t="str">
        <f>VLOOKUP(Tabla4[[#This Row],[Producto]],Tabla6[#All],14,FALSE)</f>
        <v>Termico Solar</v>
      </c>
      <c r="U5854" s="284" t="e">
        <f>(IF(Tabla4[[#This Row],[Familia]]="termico solar",Tabla4[[#This Row],[Utilidad Total]]*6%,Tabla4[[#This Row],[Utilidad Total]]*11.5%))/Tabla4[[#This Row],[Total]]</f>
        <v>#N/A</v>
      </c>
      <c r="V5854" s="282" t="e">
        <f>+Tabla4[[#This Row],[Comisión Calculada]]*Tabla4[[#This Row],[Total]]</f>
        <v>#N/A</v>
      </c>
    </row>
    <row r="5855" spans="1:22" hidden="1" x14ac:dyDescent="0.25">
      <c r="A5855" s="100">
        <v>45930</v>
      </c>
      <c r="B5855" t="str">
        <f t="shared" si="279"/>
        <v>September</v>
      </c>
      <c r="C5855" s="46" t="s">
        <v>280</v>
      </c>
      <c r="F5855" s="366" t="s">
        <v>3008</v>
      </c>
      <c r="G5855" s="46" t="s">
        <v>566</v>
      </c>
      <c r="H5855" s="46">
        <v>2</v>
      </c>
      <c r="I5855" s="51">
        <v>2109.4499999999998</v>
      </c>
      <c r="J5855" s="281">
        <f>++Tabla4[[#This Row],[Precio Bruto]]*1.16</f>
        <v>2446.9619999999995</v>
      </c>
      <c r="K5855" s="281">
        <f>+Tabla4[[#This Row],[Precio Unitario Neto]]*Tabla4[[#Headers],[20.85%]]</f>
        <v>510.19157699999988</v>
      </c>
      <c r="L5855" s="282">
        <f>++Tabla4[[#This Row],[Precio Unitario Neto]]-Tabla4[[#This Row],[20.85%]]</f>
        <v>1936.7704229999997</v>
      </c>
      <c r="M5855" s="282" t="e">
        <f>(INDEX(Tabla6[#All],MATCH(Tabla4[[#This Row],[Producto]],Tabla6[[#All],[PRODUCTO]],0),MATCH(Tabla4[[#This Row],[Mes]],Tabla6[#Headers],0)))*(1+Catalogos!$L$2)</f>
        <v>#N/A</v>
      </c>
      <c r="N5855" s="283" t="e">
        <f>+(Tabla4[[#This Row],[Precio Descontado]]-Tabla4[[#This Row],[Precio Base]])*Tabla4[[#This Row],[Cantidad]]</f>
        <v>#N/A</v>
      </c>
      <c r="O5855" s="284" t="e">
        <f>++Tabla4[[#This Row],[Utilidad Total]]/Tabla4[[#This Row],[Total]]</f>
        <v>#N/A</v>
      </c>
      <c r="P5855" s="282">
        <f>++Tabla4[[#This Row],[Precio Descontado]]*Tabla4[[#This Row],[Cantidad]]</f>
        <v>3873.5408459999994</v>
      </c>
      <c r="Q5855" s="282" t="e">
        <f>(INDEX(Tabla6[#All],MATCH(Tabla4[[#This Row],[Producto]],Tabla6[[#All],[PRODUCTO]],0),MATCH(Tabla4[[#This Row],[Mes]],Tabla6[#Headers],0)))</f>
        <v>#N/A</v>
      </c>
      <c r="R5855" s="282" t="e">
        <f>++Tabla4[[#This Row],[Precio Unitario Neto]]-Tabla4[[#This Row],[20.85%]]-Tabla4[[#This Row],[Costo]]</f>
        <v>#N/A</v>
      </c>
      <c r="S5855" s="282" t="e">
        <f>++Tabla4[[#This Row],[U. Bruta Uni]]*Tabla4[[#This Row],[Cantidad]]</f>
        <v>#N/A</v>
      </c>
      <c r="T5855" s="369" t="str">
        <f>VLOOKUP(Tabla4[[#This Row],[Producto]],Tabla6[#All],14,FALSE)</f>
        <v>Termico Solar</v>
      </c>
      <c r="U5855" s="284" t="e">
        <f>(IF(Tabla4[[#This Row],[Familia]]="termico solar",Tabla4[[#This Row],[Utilidad Total]]*6%,Tabla4[[#This Row],[Utilidad Total]]*11.5%))/Tabla4[[#This Row],[Total]]</f>
        <v>#N/A</v>
      </c>
      <c r="V5855" s="282" t="e">
        <f>+Tabla4[[#This Row],[Comisión Calculada]]*Tabla4[[#This Row],[Total]]</f>
        <v>#N/A</v>
      </c>
    </row>
    <row r="5856" spans="1:22" hidden="1" x14ac:dyDescent="0.25">
      <c r="A5856" s="100">
        <v>45930</v>
      </c>
      <c r="B5856" t="str">
        <f t="shared" si="279"/>
        <v>September</v>
      </c>
      <c r="C5856" s="46" t="s">
        <v>280</v>
      </c>
      <c r="F5856" s="366" t="s">
        <v>3008</v>
      </c>
      <c r="G5856" s="46" t="s">
        <v>208</v>
      </c>
      <c r="H5856" s="46">
        <v>8</v>
      </c>
      <c r="I5856" s="51">
        <v>189.75</v>
      </c>
      <c r="J5856" s="281">
        <f>++Tabla4[[#This Row],[Precio Bruto]]*1.16</f>
        <v>220.10999999999999</v>
      </c>
      <c r="K5856" s="281">
        <f>+Tabla4[[#This Row],[Precio Unitario Neto]]*Tabla4[[#Headers],[20.85%]]</f>
        <v>45.892934999999994</v>
      </c>
      <c r="L5856" s="282">
        <f>++Tabla4[[#This Row],[Precio Unitario Neto]]-Tabla4[[#This Row],[20.85%]]</f>
        <v>174.21706499999999</v>
      </c>
      <c r="M5856" s="282" t="e">
        <f>(INDEX(Tabla6[#All],MATCH(Tabla4[[#This Row],[Producto]],Tabla6[[#All],[PRODUCTO]],0),MATCH(Tabla4[[#This Row],[Mes]],Tabla6[#Headers],0)))*(1+Catalogos!$L$2)</f>
        <v>#N/A</v>
      </c>
      <c r="N5856" s="283" t="e">
        <f>+(Tabla4[[#This Row],[Precio Descontado]]-Tabla4[[#This Row],[Precio Base]])*Tabla4[[#This Row],[Cantidad]]</f>
        <v>#N/A</v>
      </c>
      <c r="O5856" s="284" t="e">
        <f>++Tabla4[[#This Row],[Utilidad Total]]/Tabla4[[#This Row],[Total]]</f>
        <v>#N/A</v>
      </c>
      <c r="P5856" s="282">
        <f>++Tabla4[[#This Row],[Precio Descontado]]*Tabla4[[#This Row],[Cantidad]]</f>
        <v>1393.7365199999999</v>
      </c>
      <c r="Q5856" s="282" t="e">
        <f>(INDEX(Tabla6[#All],MATCH(Tabla4[[#This Row],[Producto]],Tabla6[[#All],[PRODUCTO]],0),MATCH(Tabla4[[#This Row],[Mes]],Tabla6[#Headers],0)))</f>
        <v>#N/A</v>
      </c>
      <c r="R5856" s="282" t="e">
        <f>++Tabla4[[#This Row],[Precio Unitario Neto]]-Tabla4[[#This Row],[20.85%]]-Tabla4[[#This Row],[Costo]]</f>
        <v>#N/A</v>
      </c>
      <c r="S5856" s="282" t="e">
        <f>++Tabla4[[#This Row],[U. Bruta Uni]]*Tabla4[[#This Row],[Cantidad]]</f>
        <v>#N/A</v>
      </c>
      <c r="T5856" s="369" t="str">
        <f>VLOOKUP(Tabla4[[#This Row],[Producto]],Tabla6[#All],14,FALSE)</f>
        <v>Termico Solar</v>
      </c>
      <c r="U5856" s="284" t="e">
        <f>(IF(Tabla4[[#This Row],[Familia]]="termico solar",Tabla4[[#This Row],[Utilidad Total]]*6%,Tabla4[[#This Row],[Utilidad Total]]*11.5%))/Tabla4[[#This Row],[Total]]</f>
        <v>#N/A</v>
      </c>
      <c r="V5856" s="282" t="e">
        <f>+Tabla4[[#This Row],[Comisión Calculada]]*Tabla4[[#This Row],[Total]]</f>
        <v>#N/A</v>
      </c>
    </row>
    <row r="5857" spans="1:22" hidden="1" x14ac:dyDescent="0.25">
      <c r="A5857" s="100">
        <v>45930</v>
      </c>
      <c r="B5857" t="str">
        <f t="shared" si="279"/>
        <v>September</v>
      </c>
      <c r="C5857" s="46" t="s">
        <v>280</v>
      </c>
      <c r="F5857" s="366" t="s">
        <v>3009</v>
      </c>
      <c r="G5857" s="46" t="s">
        <v>566</v>
      </c>
      <c r="H5857" s="46">
        <v>1</v>
      </c>
      <c r="I5857" s="51">
        <v>2109.4499999999998</v>
      </c>
      <c r="J5857" s="281">
        <f>++Tabla4[[#This Row],[Precio Bruto]]*1.16</f>
        <v>2446.9619999999995</v>
      </c>
      <c r="K5857" s="281">
        <f>+Tabla4[[#This Row],[Precio Unitario Neto]]*Tabla4[[#Headers],[20.85%]]</f>
        <v>510.19157699999988</v>
      </c>
      <c r="L5857" s="282">
        <f>++Tabla4[[#This Row],[Precio Unitario Neto]]-Tabla4[[#This Row],[20.85%]]</f>
        <v>1936.7704229999997</v>
      </c>
      <c r="M5857" s="282" t="e">
        <f>(INDEX(Tabla6[#All],MATCH(Tabla4[[#This Row],[Producto]],Tabla6[[#All],[PRODUCTO]],0),MATCH(Tabla4[[#This Row],[Mes]],Tabla6[#Headers],0)))*(1+Catalogos!$L$2)</f>
        <v>#N/A</v>
      </c>
      <c r="N5857" s="283" t="e">
        <f>+(Tabla4[[#This Row],[Precio Descontado]]-Tabla4[[#This Row],[Precio Base]])*Tabla4[[#This Row],[Cantidad]]</f>
        <v>#N/A</v>
      </c>
      <c r="O5857" s="284" t="e">
        <f>++Tabla4[[#This Row],[Utilidad Total]]/Tabla4[[#This Row],[Total]]</f>
        <v>#N/A</v>
      </c>
      <c r="P5857" s="282">
        <f>++Tabla4[[#This Row],[Precio Descontado]]*Tabla4[[#This Row],[Cantidad]]</f>
        <v>1936.7704229999997</v>
      </c>
      <c r="Q5857" s="282" t="e">
        <f>(INDEX(Tabla6[#All],MATCH(Tabla4[[#This Row],[Producto]],Tabla6[[#All],[PRODUCTO]],0),MATCH(Tabla4[[#This Row],[Mes]],Tabla6[#Headers],0)))</f>
        <v>#N/A</v>
      </c>
      <c r="R5857" s="282" t="e">
        <f>++Tabla4[[#This Row],[Precio Unitario Neto]]-Tabla4[[#This Row],[20.85%]]-Tabla4[[#This Row],[Costo]]</f>
        <v>#N/A</v>
      </c>
      <c r="S5857" s="282" t="e">
        <f>++Tabla4[[#This Row],[U. Bruta Uni]]*Tabla4[[#This Row],[Cantidad]]</f>
        <v>#N/A</v>
      </c>
      <c r="T5857" s="369" t="str">
        <f>VLOOKUP(Tabla4[[#This Row],[Producto]],Tabla6[#All],14,FALSE)</f>
        <v>Termico Solar</v>
      </c>
      <c r="U5857" s="284" t="e">
        <f>(IF(Tabla4[[#This Row],[Familia]]="termico solar",Tabla4[[#This Row],[Utilidad Total]]*6%,Tabla4[[#This Row],[Utilidad Total]]*11.5%))/Tabla4[[#This Row],[Total]]</f>
        <v>#N/A</v>
      </c>
      <c r="V5857" s="282" t="e">
        <f>+Tabla4[[#This Row],[Comisión Calculada]]*Tabla4[[#This Row],[Total]]</f>
        <v>#N/A</v>
      </c>
    </row>
    <row r="5858" spans="1:22" hidden="1" x14ac:dyDescent="0.25">
      <c r="A5858" s="100">
        <v>45930</v>
      </c>
      <c r="B5858" t="str">
        <f t="shared" si="279"/>
        <v>September</v>
      </c>
      <c r="C5858" s="46" t="s">
        <v>280</v>
      </c>
      <c r="F5858" s="366" t="s">
        <v>3009</v>
      </c>
      <c r="G5858" s="46" t="s">
        <v>394</v>
      </c>
      <c r="H5858" s="46">
        <v>9</v>
      </c>
      <c r="I5858" s="51">
        <v>108.1</v>
      </c>
      <c r="J5858" s="281">
        <f>++Tabla4[[#This Row],[Precio Bruto]]*1.16</f>
        <v>125.39599999999999</v>
      </c>
      <c r="K5858" s="281">
        <f>+Tabla4[[#This Row],[Precio Unitario Neto]]*Tabla4[[#Headers],[20.85%]]</f>
        <v>26.145065999999996</v>
      </c>
      <c r="L5858" s="282">
        <f>++Tabla4[[#This Row],[Precio Unitario Neto]]-Tabla4[[#This Row],[20.85%]]</f>
        <v>99.250933999999987</v>
      </c>
      <c r="M5858" s="282" t="e">
        <f>(INDEX(Tabla6[#All],MATCH(Tabla4[[#This Row],[Producto]],Tabla6[[#All],[PRODUCTO]],0),MATCH(Tabla4[[#This Row],[Mes]],Tabla6[#Headers],0)))*(1+Catalogos!$L$2)</f>
        <v>#N/A</v>
      </c>
      <c r="N5858" s="283" t="e">
        <f>+(Tabla4[[#This Row],[Precio Descontado]]-Tabla4[[#This Row],[Precio Base]])*Tabla4[[#This Row],[Cantidad]]</f>
        <v>#N/A</v>
      </c>
      <c r="O5858" s="284" t="e">
        <f>++Tabla4[[#This Row],[Utilidad Total]]/Tabla4[[#This Row],[Total]]</f>
        <v>#N/A</v>
      </c>
      <c r="P5858" s="282">
        <f>++Tabla4[[#This Row],[Precio Descontado]]*Tabla4[[#This Row],[Cantidad]]</f>
        <v>893.25840599999992</v>
      </c>
      <c r="Q5858" s="282" t="e">
        <f>(INDEX(Tabla6[#All],MATCH(Tabla4[[#This Row],[Producto]],Tabla6[[#All],[PRODUCTO]],0),MATCH(Tabla4[[#This Row],[Mes]],Tabla6[#Headers],0)))</f>
        <v>#N/A</v>
      </c>
      <c r="R5858" s="282" t="e">
        <f>++Tabla4[[#This Row],[Precio Unitario Neto]]-Tabla4[[#This Row],[20.85%]]-Tabla4[[#This Row],[Costo]]</f>
        <v>#N/A</v>
      </c>
      <c r="S5858" s="282" t="e">
        <f>++Tabla4[[#This Row],[U. Bruta Uni]]*Tabla4[[#This Row],[Cantidad]]</f>
        <v>#N/A</v>
      </c>
      <c r="T5858" s="369" t="str">
        <f>VLOOKUP(Tabla4[[#This Row],[Producto]],Tabla6[#All],14,FALSE)</f>
        <v>Termico Solar</v>
      </c>
      <c r="U5858" s="284" t="e">
        <f>(IF(Tabla4[[#This Row],[Familia]]="termico solar",Tabla4[[#This Row],[Utilidad Total]]*6%,Tabla4[[#This Row],[Utilidad Total]]*11.5%))/Tabla4[[#This Row],[Total]]</f>
        <v>#N/A</v>
      </c>
      <c r="V5858" s="282" t="e">
        <f>+Tabla4[[#This Row],[Comisión Calculada]]*Tabla4[[#This Row],[Total]]</f>
        <v>#N/A</v>
      </c>
    </row>
    <row r="5859" spans="1:22" hidden="1" x14ac:dyDescent="0.25">
      <c r="A5859" s="100">
        <v>45930</v>
      </c>
      <c r="B5859" t="str">
        <f t="shared" si="279"/>
        <v>September</v>
      </c>
      <c r="C5859" s="46" t="s">
        <v>280</v>
      </c>
      <c r="F5859" s="366" t="s">
        <v>3010</v>
      </c>
      <c r="G5859" s="46" t="s">
        <v>18</v>
      </c>
      <c r="H5859" s="46">
        <v>1</v>
      </c>
      <c r="I5859" s="51">
        <v>5367.65</v>
      </c>
      <c r="J5859" s="281">
        <f>++Tabla4[[#This Row],[Precio Bruto]]*1.16</f>
        <v>6226.4739999999993</v>
      </c>
      <c r="K5859" s="281">
        <f>+Tabla4[[#This Row],[Precio Unitario Neto]]*Tabla4[[#Headers],[20.85%]]</f>
        <v>1298.2198289999999</v>
      </c>
      <c r="L5859" s="282">
        <f>++Tabla4[[#This Row],[Precio Unitario Neto]]-Tabla4[[#This Row],[20.85%]]</f>
        <v>4928.2541709999996</v>
      </c>
      <c r="M5859" s="282" t="e">
        <f>(INDEX(Tabla6[#All],MATCH(Tabla4[[#This Row],[Producto]],Tabla6[[#All],[PRODUCTO]],0),MATCH(Tabla4[[#This Row],[Mes]],Tabla6[#Headers],0)))*(1+Catalogos!$L$2)</f>
        <v>#N/A</v>
      </c>
      <c r="N5859" s="283" t="e">
        <f>+(Tabla4[[#This Row],[Precio Descontado]]-Tabla4[[#This Row],[Precio Base]])*Tabla4[[#This Row],[Cantidad]]</f>
        <v>#N/A</v>
      </c>
      <c r="O5859" s="284" t="e">
        <f>++Tabla4[[#This Row],[Utilidad Total]]/Tabla4[[#This Row],[Total]]</f>
        <v>#N/A</v>
      </c>
      <c r="P5859" s="282">
        <f>++Tabla4[[#This Row],[Precio Descontado]]*Tabla4[[#This Row],[Cantidad]]</f>
        <v>4928.2541709999996</v>
      </c>
      <c r="Q5859" s="282" t="e">
        <f>(INDEX(Tabla6[#All],MATCH(Tabla4[[#This Row],[Producto]],Tabla6[[#All],[PRODUCTO]],0),MATCH(Tabla4[[#This Row],[Mes]],Tabla6[#Headers],0)))</f>
        <v>#N/A</v>
      </c>
      <c r="R5859" s="282" t="e">
        <f>++Tabla4[[#This Row],[Precio Unitario Neto]]-Tabla4[[#This Row],[20.85%]]-Tabla4[[#This Row],[Costo]]</f>
        <v>#N/A</v>
      </c>
      <c r="S5859" s="282" t="e">
        <f>++Tabla4[[#This Row],[U. Bruta Uni]]*Tabla4[[#This Row],[Cantidad]]</f>
        <v>#N/A</v>
      </c>
      <c r="T5859" s="369" t="str">
        <f>VLOOKUP(Tabla4[[#This Row],[Producto]],Tabla6[#All],14,FALSE)</f>
        <v>Termico Solar</v>
      </c>
      <c r="U5859" s="284" t="e">
        <f>(IF(Tabla4[[#This Row],[Familia]]="termico solar",Tabla4[[#This Row],[Utilidad Total]]*6%,Tabla4[[#This Row],[Utilidad Total]]*11.5%))/Tabla4[[#This Row],[Total]]</f>
        <v>#N/A</v>
      </c>
      <c r="V5859" s="282" t="e">
        <f>+Tabla4[[#This Row],[Comisión Calculada]]*Tabla4[[#This Row],[Total]]</f>
        <v>#N/A</v>
      </c>
    </row>
    <row r="5860" spans="1:22" hidden="1" x14ac:dyDescent="0.25">
      <c r="A5860" s="100">
        <v>45930</v>
      </c>
      <c r="B5860" t="str">
        <f t="shared" si="279"/>
        <v>September</v>
      </c>
      <c r="C5860" s="46" t="s">
        <v>280</v>
      </c>
      <c r="F5860" s="366" t="s">
        <v>3011</v>
      </c>
      <c r="G5860" s="46" t="s">
        <v>18</v>
      </c>
      <c r="H5860" s="46">
        <v>2</v>
      </c>
      <c r="I5860" s="51">
        <v>5367.65</v>
      </c>
      <c r="J5860" s="281">
        <f>++Tabla4[[#This Row],[Precio Bruto]]*1.16</f>
        <v>6226.4739999999993</v>
      </c>
      <c r="K5860" s="281">
        <f>+Tabla4[[#This Row],[Precio Unitario Neto]]*Tabla4[[#Headers],[20.85%]]</f>
        <v>1298.2198289999999</v>
      </c>
      <c r="L5860" s="282">
        <f>++Tabla4[[#This Row],[Precio Unitario Neto]]-Tabla4[[#This Row],[20.85%]]</f>
        <v>4928.2541709999996</v>
      </c>
      <c r="M5860" s="282" t="e">
        <f>(INDEX(Tabla6[#All],MATCH(Tabla4[[#This Row],[Producto]],Tabla6[[#All],[PRODUCTO]],0),MATCH(Tabla4[[#This Row],[Mes]],Tabla6[#Headers],0)))*(1+Catalogos!$L$2)</f>
        <v>#N/A</v>
      </c>
      <c r="N5860" s="283" t="e">
        <f>+(Tabla4[[#This Row],[Precio Descontado]]-Tabla4[[#This Row],[Precio Base]])*Tabla4[[#This Row],[Cantidad]]</f>
        <v>#N/A</v>
      </c>
      <c r="O5860" s="284" t="e">
        <f>++Tabla4[[#This Row],[Utilidad Total]]/Tabla4[[#This Row],[Total]]</f>
        <v>#N/A</v>
      </c>
      <c r="P5860" s="282">
        <f>++Tabla4[[#This Row],[Precio Descontado]]*Tabla4[[#This Row],[Cantidad]]</f>
        <v>9856.5083419999992</v>
      </c>
      <c r="Q5860" s="282" t="e">
        <f>(INDEX(Tabla6[#All],MATCH(Tabla4[[#This Row],[Producto]],Tabla6[[#All],[PRODUCTO]],0),MATCH(Tabla4[[#This Row],[Mes]],Tabla6[#Headers],0)))</f>
        <v>#N/A</v>
      </c>
      <c r="R5860" s="282" t="e">
        <f>++Tabla4[[#This Row],[Precio Unitario Neto]]-Tabla4[[#This Row],[20.85%]]-Tabla4[[#This Row],[Costo]]</f>
        <v>#N/A</v>
      </c>
      <c r="S5860" s="282" t="e">
        <f>++Tabla4[[#This Row],[U. Bruta Uni]]*Tabla4[[#This Row],[Cantidad]]</f>
        <v>#N/A</v>
      </c>
      <c r="T5860" s="369" t="str">
        <f>VLOOKUP(Tabla4[[#This Row],[Producto]],Tabla6[#All],14,FALSE)</f>
        <v>Termico Solar</v>
      </c>
      <c r="U5860" s="284" t="e">
        <f>(IF(Tabla4[[#This Row],[Familia]]="termico solar",Tabla4[[#This Row],[Utilidad Total]]*6%,Tabla4[[#This Row],[Utilidad Total]]*11.5%))/Tabla4[[#This Row],[Total]]</f>
        <v>#N/A</v>
      </c>
      <c r="V5860" s="282" t="e">
        <f>+Tabla4[[#This Row],[Comisión Calculada]]*Tabla4[[#This Row],[Total]]</f>
        <v>#N/A</v>
      </c>
    </row>
    <row r="5861" spans="1:22" hidden="1" x14ac:dyDescent="0.25">
      <c r="A5861" s="100">
        <v>45930</v>
      </c>
      <c r="B5861" t="str">
        <f t="shared" si="279"/>
        <v>September</v>
      </c>
      <c r="C5861" s="46" t="s">
        <v>280</v>
      </c>
      <c r="F5861" s="366" t="s">
        <v>3011</v>
      </c>
      <c r="G5861" s="46" t="s">
        <v>412</v>
      </c>
      <c r="H5861" s="46">
        <v>1</v>
      </c>
      <c r="I5861" s="51">
        <v>3240.84</v>
      </c>
      <c r="J5861" s="281">
        <f>++Tabla4[[#This Row],[Precio Bruto]]*1.16</f>
        <v>3759.3743999999997</v>
      </c>
      <c r="K5861" s="281">
        <f>+Tabla4[[#This Row],[Precio Unitario Neto]]*Tabla4[[#Headers],[20.85%]]</f>
        <v>783.82956239999987</v>
      </c>
      <c r="L5861" s="282">
        <f>++Tabla4[[#This Row],[Precio Unitario Neto]]-Tabla4[[#This Row],[20.85%]]</f>
        <v>2975.5448375999999</v>
      </c>
      <c r="M5861" s="282" t="e">
        <f>(INDEX(Tabla6[#All],MATCH(Tabla4[[#This Row],[Producto]],Tabla6[[#All],[PRODUCTO]],0),MATCH(Tabla4[[#This Row],[Mes]],Tabla6[#Headers],0)))*(1+Catalogos!$L$2)</f>
        <v>#N/A</v>
      </c>
      <c r="N5861" s="283" t="e">
        <f>+(Tabla4[[#This Row],[Precio Descontado]]-Tabla4[[#This Row],[Precio Base]])*Tabla4[[#This Row],[Cantidad]]</f>
        <v>#N/A</v>
      </c>
      <c r="O5861" s="284" t="e">
        <f>++Tabla4[[#This Row],[Utilidad Total]]/Tabla4[[#This Row],[Total]]</f>
        <v>#N/A</v>
      </c>
      <c r="P5861" s="282">
        <f>++Tabla4[[#This Row],[Precio Descontado]]*Tabla4[[#This Row],[Cantidad]]</f>
        <v>2975.5448375999999</v>
      </c>
      <c r="Q5861" s="282" t="e">
        <f>(INDEX(Tabla6[#All],MATCH(Tabla4[[#This Row],[Producto]],Tabla6[[#All],[PRODUCTO]],0),MATCH(Tabla4[[#This Row],[Mes]],Tabla6[#Headers],0)))</f>
        <v>#N/A</v>
      </c>
      <c r="R5861" s="282" t="e">
        <f>++Tabla4[[#This Row],[Precio Unitario Neto]]-Tabla4[[#This Row],[20.85%]]-Tabla4[[#This Row],[Costo]]</f>
        <v>#N/A</v>
      </c>
      <c r="S5861" s="282" t="e">
        <f>++Tabla4[[#This Row],[U. Bruta Uni]]*Tabla4[[#This Row],[Cantidad]]</f>
        <v>#N/A</v>
      </c>
      <c r="T5861" s="369" t="str">
        <f>VLOOKUP(Tabla4[[#This Row],[Producto]],Tabla6[#All],14,FALSE)</f>
        <v>Termico Solar</v>
      </c>
      <c r="U5861" s="284" t="e">
        <f>(IF(Tabla4[[#This Row],[Familia]]="termico solar",Tabla4[[#This Row],[Utilidad Total]]*6%,Tabla4[[#This Row],[Utilidad Total]]*11.5%))/Tabla4[[#This Row],[Total]]</f>
        <v>#N/A</v>
      </c>
      <c r="V5861" s="282" t="e">
        <f>+Tabla4[[#This Row],[Comisión Calculada]]*Tabla4[[#This Row],[Total]]</f>
        <v>#N/A</v>
      </c>
    </row>
    <row r="5862" spans="1:22" hidden="1" x14ac:dyDescent="0.25">
      <c r="A5862" s="100">
        <v>45930</v>
      </c>
      <c r="B5862" t="str">
        <f t="shared" si="279"/>
        <v>September</v>
      </c>
      <c r="C5862" s="46" t="s">
        <v>280</v>
      </c>
      <c r="F5862" s="366" t="s">
        <v>3012</v>
      </c>
      <c r="G5862" s="46" t="s">
        <v>17</v>
      </c>
      <c r="H5862" s="46">
        <v>1</v>
      </c>
      <c r="I5862" s="51">
        <v>4622.28</v>
      </c>
      <c r="J5862" s="281">
        <f>++Tabla4[[#This Row],[Precio Bruto]]*1.16</f>
        <v>5361.8447999999989</v>
      </c>
      <c r="K5862" s="281">
        <f>+Tabla4[[#This Row],[Precio Unitario Neto]]*Tabla4[[#Headers],[20.85%]]</f>
        <v>1117.9446407999997</v>
      </c>
      <c r="L5862" s="282">
        <f>++Tabla4[[#This Row],[Precio Unitario Neto]]-Tabla4[[#This Row],[20.85%]]</f>
        <v>4243.9001591999995</v>
      </c>
      <c r="M5862" s="282" t="e">
        <f>(INDEX(Tabla6[#All],MATCH(Tabla4[[#This Row],[Producto]],Tabla6[[#All],[PRODUCTO]],0),MATCH(Tabla4[[#This Row],[Mes]],Tabla6[#Headers],0)))*(1+Catalogos!$L$2)</f>
        <v>#N/A</v>
      </c>
      <c r="N5862" s="283" t="e">
        <f>+(Tabla4[[#This Row],[Precio Descontado]]-Tabla4[[#This Row],[Precio Base]])*Tabla4[[#This Row],[Cantidad]]</f>
        <v>#N/A</v>
      </c>
      <c r="O5862" s="284" t="e">
        <f>++Tabla4[[#This Row],[Utilidad Total]]/Tabla4[[#This Row],[Total]]</f>
        <v>#N/A</v>
      </c>
      <c r="P5862" s="282">
        <f>++Tabla4[[#This Row],[Precio Descontado]]*Tabla4[[#This Row],[Cantidad]]</f>
        <v>4243.9001591999995</v>
      </c>
      <c r="Q5862" s="282" t="e">
        <f>(INDEX(Tabla6[#All],MATCH(Tabla4[[#This Row],[Producto]],Tabla6[[#All],[PRODUCTO]],0),MATCH(Tabla4[[#This Row],[Mes]],Tabla6[#Headers],0)))</f>
        <v>#N/A</v>
      </c>
      <c r="R5862" s="282" t="e">
        <f>++Tabla4[[#This Row],[Precio Unitario Neto]]-Tabla4[[#This Row],[20.85%]]-Tabla4[[#This Row],[Costo]]</f>
        <v>#N/A</v>
      </c>
      <c r="S5862" s="282" t="e">
        <f>++Tabla4[[#This Row],[U. Bruta Uni]]*Tabla4[[#This Row],[Cantidad]]</f>
        <v>#N/A</v>
      </c>
      <c r="T5862" s="369" t="str">
        <f>VLOOKUP(Tabla4[[#This Row],[Producto]],Tabla6[#All],14,FALSE)</f>
        <v>Termico Solar</v>
      </c>
      <c r="U5862" s="284" t="e">
        <f>(IF(Tabla4[[#This Row],[Familia]]="termico solar",Tabla4[[#This Row],[Utilidad Total]]*6%,Tabla4[[#This Row],[Utilidad Total]]*11.5%))/Tabla4[[#This Row],[Total]]</f>
        <v>#N/A</v>
      </c>
      <c r="V5862" s="282" t="e">
        <f>+Tabla4[[#This Row],[Comisión Calculada]]*Tabla4[[#This Row],[Total]]</f>
        <v>#N/A</v>
      </c>
    </row>
    <row r="5863" spans="1:22" hidden="1" x14ac:dyDescent="0.25">
      <c r="A5863" s="100">
        <v>45930</v>
      </c>
      <c r="B5863" t="str">
        <f t="shared" si="279"/>
        <v>September</v>
      </c>
      <c r="C5863" s="46" t="s">
        <v>280</v>
      </c>
      <c r="F5863" s="366" t="s">
        <v>3012</v>
      </c>
      <c r="G5863" s="46" t="s">
        <v>566</v>
      </c>
      <c r="H5863" s="46">
        <v>2</v>
      </c>
      <c r="I5863" s="51">
        <v>2109.4499999999998</v>
      </c>
      <c r="J5863" s="281">
        <f>++Tabla4[[#This Row],[Precio Bruto]]*1.16</f>
        <v>2446.9619999999995</v>
      </c>
      <c r="K5863" s="281">
        <f>+Tabla4[[#This Row],[Precio Unitario Neto]]*Tabla4[[#Headers],[20.85%]]</f>
        <v>510.19157699999988</v>
      </c>
      <c r="L5863" s="282">
        <f>++Tabla4[[#This Row],[Precio Unitario Neto]]-Tabla4[[#This Row],[20.85%]]</f>
        <v>1936.7704229999997</v>
      </c>
      <c r="M5863" s="282" t="e">
        <f>(INDEX(Tabla6[#All],MATCH(Tabla4[[#This Row],[Producto]],Tabla6[[#All],[PRODUCTO]],0),MATCH(Tabla4[[#This Row],[Mes]],Tabla6[#Headers],0)))*(1+Catalogos!$L$2)</f>
        <v>#N/A</v>
      </c>
      <c r="N5863" s="283" t="e">
        <f>+(Tabla4[[#This Row],[Precio Descontado]]-Tabla4[[#This Row],[Precio Base]])*Tabla4[[#This Row],[Cantidad]]</f>
        <v>#N/A</v>
      </c>
      <c r="O5863" s="284" t="e">
        <f>++Tabla4[[#This Row],[Utilidad Total]]/Tabla4[[#This Row],[Total]]</f>
        <v>#N/A</v>
      </c>
      <c r="P5863" s="282">
        <f>++Tabla4[[#This Row],[Precio Descontado]]*Tabla4[[#This Row],[Cantidad]]</f>
        <v>3873.5408459999994</v>
      </c>
      <c r="Q5863" s="282" t="e">
        <f>(INDEX(Tabla6[#All],MATCH(Tabla4[[#This Row],[Producto]],Tabla6[[#All],[PRODUCTO]],0),MATCH(Tabla4[[#This Row],[Mes]],Tabla6[#Headers],0)))</f>
        <v>#N/A</v>
      </c>
      <c r="R5863" s="282" t="e">
        <f>++Tabla4[[#This Row],[Precio Unitario Neto]]-Tabla4[[#This Row],[20.85%]]-Tabla4[[#This Row],[Costo]]</f>
        <v>#N/A</v>
      </c>
      <c r="S5863" s="282" t="e">
        <f>++Tabla4[[#This Row],[U. Bruta Uni]]*Tabla4[[#This Row],[Cantidad]]</f>
        <v>#N/A</v>
      </c>
      <c r="T5863" s="369" t="str">
        <f>VLOOKUP(Tabla4[[#This Row],[Producto]],Tabla6[#All],14,FALSE)</f>
        <v>Termico Solar</v>
      </c>
      <c r="U5863" s="284" t="e">
        <f>(IF(Tabla4[[#This Row],[Familia]]="termico solar",Tabla4[[#This Row],[Utilidad Total]]*6%,Tabla4[[#This Row],[Utilidad Total]]*11.5%))/Tabla4[[#This Row],[Total]]</f>
        <v>#N/A</v>
      </c>
      <c r="V5863" s="282" t="e">
        <f>+Tabla4[[#This Row],[Comisión Calculada]]*Tabla4[[#This Row],[Total]]</f>
        <v>#N/A</v>
      </c>
    </row>
    <row r="5864" spans="1:22" hidden="1" x14ac:dyDescent="0.25">
      <c r="A5864" s="100">
        <v>45930</v>
      </c>
      <c r="B5864" t="str">
        <f t="shared" si="279"/>
        <v>September</v>
      </c>
      <c r="C5864" s="46" t="s">
        <v>280</v>
      </c>
      <c r="F5864" s="366" t="s">
        <v>3012</v>
      </c>
      <c r="G5864" s="46" t="s">
        <v>208</v>
      </c>
      <c r="H5864" s="46">
        <v>2</v>
      </c>
      <c r="I5864" s="51">
        <v>189.75</v>
      </c>
      <c r="J5864" s="281">
        <f>++Tabla4[[#This Row],[Precio Bruto]]*1.16</f>
        <v>220.10999999999999</v>
      </c>
      <c r="K5864" s="281">
        <f>+Tabla4[[#This Row],[Precio Unitario Neto]]*Tabla4[[#Headers],[20.85%]]</f>
        <v>45.892934999999994</v>
      </c>
      <c r="L5864" s="282">
        <f>++Tabla4[[#This Row],[Precio Unitario Neto]]-Tabla4[[#This Row],[20.85%]]</f>
        <v>174.21706499999999</v>
      </c>
      <c r="M5864" s="282" t="e">
        <f>(INDEX(Tabla6[#All],MATCH(Tabla4[[#This Row],[Producto]],Tabla6[[#All],[PRODUCTO]],0),MATCH(Tabla4[[#This Row],[Mes]],Tabla6[#Headers],0)))*(1+Catalogos!$L$2)</f>
        <v>#N/A</v>
      </c>
      <c r="N5864" s="283" t="e">
        <f>+(Tabla4[[#This Row],[Precio Descontado]]-Tabla4[[#This Row],[Precio Base]])*Tabla4[[#This Row],[Cantidad]]</f>
        <v>#N/A</v>
      </c>
      <c r="O5864" s="284" t="e">
        <f>++Tabla4[[#This Row],[Utilidad Total]]/Tabla4[[#This Row],[Total]]</f>
        <v>#N/A</v>
      </c>
      <c r="P5864" s="282">
        <f>++Tabla4[[#This Row],[Precio Descontado]]*Tabla4[[#This Row],[Cantidad]]</f>
        <v>348.43412999999998</v>
      </c>
      <c r="Q5864" s="282" t="e">
        <f>(INDEX(Tabla6[#All],MATCH(Tabla4[[#This Row],[Producto]],Tabla6[[#All],[PRODUCTO]],0),MATCH(Tabla4[[#This Row],[Mes]],Tabla6[#Headers],0)))</f>
        <v>#N/A</v>
      </c>
      <c r="R5864" s="282" t="e">
        <f>++Tabla4[[#This Row],[Precio Unitario Neto]]-Tabla4[[#This Row],[20.85%]]-Tabla4[[#This Row],[Costo]]</f>
        <v>#N/A</v>
      </c>
      <c r="S5864" s="282" t="e">
        <f>++Tabla4[[#This Row],[U. Bruta Uni]]*Tabla4[[#This Row],[Cantidad]]</f>
        <v>#N/A</v>
      </c>
      <c r="T5864" s="369" t="str">
        <f>VLOOKUP(Tabla4[[#This Row],[Producto]],Tabla6[#All],14,FALSE)</f>
        <v>Termico Solar</v>
      </c>
      <c r="U5864" s="284" t="e">
        <f>(IF(Tabla4[[#This Row],[Familia]]="termico solar",Tabla4[[#This Row],[Utilidad Total]]*6%,Tabla4[[#This Row],[Utilidad Total]]*11.5%))/Tabla4[[#This Row],[Total]]</f>
        <v>#N/A</v>
      </c>
      <c r="V5864" s="282" t="e">
        <f>+Tabla4[[#This Row],[Comisión Calculada]]*Tabla4[[#This Row],[Total]]</f>
        <v>#N/A</v>
      </c>
    </row>
    <row r="5865" spans="1:22" hidden="1" x14ac:dyDescent="0.25">
      <c r="A5865" s="100">
        <v>45930</v>
      </c>
      <c r="B5865" t="str">
        <f t="shared" si="279"/>
        <v>September</v>
      </c>
      <c r="C5865" s="46" t="s">
        <v>280</v>
      </c>
      <c r="F5865" s="366" t="s">
        <v>3013</v>
      </c>
      <c r="G5865" s="46" t="s">
        <v>566</v>
      </c>
      <c r="H5865" s="46">
        <v>1</v>
      </c>
      <c r="I5865" s="51">
        <v>2109.4499999999998</v>
      </c>
      <c r="J5865" s="281">
        <f>++Tabla4[[#This Row],[Precio Bruto]]*1.16</f>
        <v>2446.9619999999995</v>
      </c>
      <c r="K5865" s="281">
        <f>+Tabla4[[#This Row],[Precio Unitario Neto]]*Tabla4[[#Headers],[20.85%]]</f>
        <v>510.19157699999988</v>
      </c>
      <c r="L5865" s="282">
        <f>++Tabla4[[#This Row],[Precio Unitario Neto]]-Tabla4[[#This Row],[20.85%]]</f>
        <v>1936.7704229999997</v>
      </c>
      <c r="M5865" s="282" t="e">
        <f>(INDEX(Tabla6[#All],MATCH(Tabla4[[#This Row],[Producto]],Tabla6[[#All],[PRODUCTO]],0),MATCH(Tabla4[[#This Row],[Mes]],Tabla6[#Headers],0)))*(1+Catalogos!$L$2)</f>
        <v>#N/A</v>
      </c>
      <c r="N5865" s="283" t="e">
        <f>+(Tabla4[[#This Row],[Precio Descontado]]-Tabla4[[#This Row],[Precio Base]])*Tabla4[[#This Row],[Cantidad]]</f>
        <v>#N/A</v>
      </c>
      <c r="O5865" s="284" t="e">
        <f>++Tabla4[[#This Row],[Utilidad Total]]/Tabla4[[#This Row],[Total]]</f>
        <v>#N/A</v>
      </c>
      <c r="P5865" s="282">
        <f>++Tabla4[[#This Row],[Precio Descontado]]*Tabla4[[#This Row],[Cantidad]]</f>
        <v>1936.7704229999997</v>
      </c>
      <c r="Q5865" s="282" t="e">
        <f>(INDEX(Tabla6[#All],MATCH(Tabla4[[#This Row],[Producto]],Tabla6[[#All],[PRODUCTO]],0),MATCH(Tabla4[[#This Row],[Mes]],Tabla6[#Headers],0)))</f>
        <v>#N/A</v>
      </c>
      <c r="R5865" s="282" t="e">
        <f>++Tabla4[[#This Row],[Precio Unitario Neto]]-Tabla4[[#This Row],[20.85%]]-Tabla4[[#This Row],[Costo]]</f>
        <v>#N/A</v>
      </c>
      <c r="S5865" s="282" t="e">
        <f>++Tabla4[[#This Row],[U. Bruta Uni]]*Tabla4[[#This Row],[Cantidad]]</f>
        <v>#N/A</v>
      </c>
      <c r="T5865" s="369" t="str">
        <f>VLOOKUP(Tabla4[[#This Row],[Producto]],Tabla6[#All],14,FALSE)</f>
        <v>Termico Solar</v>
      </c>
      <c r="U5865" s="284" t="e">
        <f>(IF(Tabla4[[#This Row],[Familia]]="termico solar",Tabla4[[#This Row],[Utilidad Total]]*6%,Tabla4[[#This Row],[Utilidad Total]]*11.5%))/Tabla4[[#This Row],[Total]]</f>
        <v>#N/A</v>
      </c>
      <c r="V5865" s="282" t="e">
        <f>+Tabla4[[#This Row],[Comisión Calculada]]*Tabla4[[#This Row],[Total]]</f>
        <v>#N/A</v>
      </c>
    </row>
    <row r="5866" spans="1:22" hidden="1" x14ac:dyDescent="0.25">
      <c r="A5866" s="100">
        <v>45930</v>
      </c>
      <c r="B5866" t="str">
        <f t="shared" si="279"/>
        <v>September</v>
      </c>
      <c r="C5866" s="46" t="s">
        <v>280</v>
      </c>
      <c r="F5866" s="366" t="s">
        <v>3014</v>
      </c>
      <c r="G5866" s="46" t="s">
        <v>17</v>
      </c>
      <c r="H5866" s="46">
        <v>1</v>
      </c>
      <c r="I5866" s="51">
        <v>4622.28</v>
      </c>
      <c r="J5866" s="281">
        <f>++Tabla4[[#This Row],[Precio Bruto]]*1.16</f>
        <v>5361.8447999999989</v>
      </c>
      <c r="K5866" s="281">
        <f>+Tabla4[[#This Row],[Precio Unitario Neto]]*Tabla4[[#Headers],[20.85%]]</f>
        <v>1117.9446407999997</v>
      </c>
      <c r="L5866" s="282">
        <f>++Tabla4[[#This Row],[Precio Unitario Neto]]-Tabla4[[#This Row],[20.85%]]</f>
        <v>4243.9001591999995</v>
      </c>
      <c r="M5866" s="282" t="e">
        <f>(INDEX(Tabla6[#All],MATCH(Tabla4[[#This Row],[Producto]],Tabla6[[#All],[PRODUCTO]],0),MATCH(Tabla4[[#This Row],[Mes]],Tabla6[#Headers],0)))*(1+Catalogos!$L$2)</f>
        <v>#N/A</v>
      </c>
      <c r="N5866" s="283" t="e">
        <f>+(Tabla4[[#This Row],[Precio Descontado]]-Tabla4[[#This Row],[Precio Base]])*Tabla4[[#This Row],[Cantidad]]</f>
        <v>#N/A</v>
      </c>
      <c r="O5866" s="284" t="e">
        <f>++Tabla4[[#This Row],[Utilidad Total]]/Tabla4[[#This Row],[Total]]</f>
        <v>#N/A</v>
      </c>
      <c r="P5866" s="282">
        <f>++Tabla4[[#This Row],[Precio Descontado]]*Tabla4[[#This Row],[Cantidad]]</f>
        <v>4243.9001591999995</v>
      </c>
      <c r="Q5866" s="282" t="e">
        <f>(INDEX(Tabla6[#All],MATCH(Tabla4[[#This Row],[Producto]],Tabla6[[#All],[PRODUCTO]],0),MATCH(Tabla4[[#This Row],[Mes]],Tabla6[#Headers],0)))</f>
        <v>#N/A</v>
      </c>
      <c r="R5866" s="282" t="e">
        <f>++Tabla4[[#This Row],[Precio Unitario Neto]]-Tabla4[[#This Row],[20.85%]]-Tabla4[[#This Row],[Costo]]</f>
        <v>#N/A</v>
      </c>
      <c r="S5866" s="282" t="e">
        <f>++Tabla4[[#This Row],[U. Bruta Uni]]*Tabla4[[#This Row],[Cantidad]]</f>
        <v>#N/A</v>
      </c>
      <c r="T5866" s="369" t="str">
        <f>VLOOKUP(Tabla4[[#This Row],[Producto]],Tabla6[#All],14,FALSE)</f>
        <v>Termico Solar</v>
      </c>
      <c r="U5866" s="284" t="e">
        <f>(IF(Tabla4[[#This Row],[Familia]]="termico solar",Tabla4[[#This Row],[Utilidad Total]]*6%,Tabla4[[#This Row],[Utilidad Total]]*11.5%))/Tabla4[[#This Row],[Total]]</f>
        <v>#N/A</v>
      </c>
      <c r="V5866" s="282" t="e">
        <f>+Tabla4[[#This Row],[Comisión Calculada]]*Tabla4[[#This Row],[Total]]</f>
        <v>#N/A</v>
      </c>
    </row>
    <row r="5867" spans="1:22" hidden="1" x14ac:dyDescent="0.25">
      <c r="A5867" s="100">
        <v>45930</v>
      </c>
      <c r="B5867" t="str">
        <f t="shared" si="279"/>
        <v>September</v>
      </c>
      <c r="C5867" s="46" t="s">
        <v>280</v>
      </c>
      <c r="F5867" s="366" t="s">
        <v>3015</v>
      </c>
      <c r="G5867" s="46" t="s">
        <v>17</v>
      </c>
      <c r="H5867" s="46">
        <v>1</v>
      </c>
      <c r="I5867" s="51">
        <v>4622.28</v>
      </c>
      <c r="J5867" s="281">
        <f>++Tabla4[[#This Row],[Precio Bruto]]*1.16</f>
        <v>5361.8447999999989</v>
      </c>
      <c r="K5867" s="281">
        <f>+Tabla4[[#This Row],[Precio Unitario Neto]]*Tabla4[[#Headers],[20.85%]]</f>
        <v>1117.9446407999997</v>
      </c>
      <c r="L5867" s="282">
        <f>++Tabla4[[#This Row],[Precio Unitario Neto]]-Tabla4[[#This Row],[20.85%]]</f>
        <v>4243.9001591999995</v>
      </c>
      <c r="M5867" s="282" t="e">
        <f>(INDEX(Tabla6[#All],MATCH(Tabla4[[#This Row],[Producto]],Tabla6[[#All],[PRODUCTO]],0),MATCH(Tabla4[[#This Row],[Mes]],Tabla6[#Headers],0)))*(1+Catalogos!$L$2)</f>
        <v>#N/A</v>
      </c>
      <c r="N5867" s="283" t="e">
        <f>+(Tabla4[[#This Row],[Precio Descontado]]-Tabla4[[#This Row],[Precio Base]])*Tabla4[[#This Row],[Cantidad]]</f>
        <v>#N/A</v>
      </c>
      <c r="O5867" s="284" t="e">
        <f>++Tabla4[[#This Row],[Utilidad Total]]/Tabla4[[#This Row],[Total]]</f>
        <v>#N/A</v>
      </c>
      <c r="P5867" s="282">
        <f>++Tabla4[[#This Row],[Precio Descontado]]*Tabla4[[#This Row],[Cantidad]]</f>
        <v>4243.9001591999995</v>
      </c>
      <c r="Q5867" s="282" t="e">
        <f>(INDEX(Tabla6[#All],MATCH(Tabla4[[#This Row],[Producto]],Tabla6[[#All],[PRODUCTO]],0),MATCH(Tabla4[[#This Row],[Mes]],Tabla6[#Headers],0)))</f>
        <v>#N/A</v>
      </c>
      <c r="R5867" s="282" t="e">
        <f>++Tabla4[[#This Row],[Precio Unitario Neto]]-Tabla4[[#This Row],[20.85%]]-Tabla4[[#This Row],[Costo]]</f>
        <v>#N/A</v>
      </c>
      <c r="S5867" s="282" t="e">
        <f>++Tabla4[[#This Row],[U. Bruta Uni]]*Tabla4[[#This Row],[Cantidad]]</f>
        <v>#N/A</v>
      </c>
      <c r="T5867" s="369" t="str">
        <f>VLOOKUP(Tabla4[[#This Row],[Producto]],Tabla6[#All],14,FALSE)</f>
        <v>Termico Solar</v>
      </c>
      <c r="U5867" s="284" t="e">
        <f>(IF(Tabla4[[#This Row],[Familia]]="termico solar",Tabla4[[#This Row],[Utilidad Total]]*6%,Tabla4[[#This Row],[Utilidad Total]]*11.5%))/Tabla4[[#This Row],[Total]]</f>
        <v>#N/A</v>
      </c>
      <c r="V5867" s="282" t="e">
        <f>+Tabla4[[#This Row],[Comisión Calculada]]*Tabla4[[#This Row],[Total]]</f>
        <v>#N/A</v>
      </c>
    </row>
    <row r="5868" spans="1:22" hidden="1" x14ac:dyDescent="0.25">
      <c r="A5868" s="100">
        <v>45930</v>
      </c>
      <c r="B5868" t="str">
        <f t="shared" si="279"/>
        <v>September</v>
      </c>
      <c r="C5868" s="46" t="s">
        <v>280</v>
      </c>
      <c r="F5868" s="366" t="s">
        <v>3015</v>
      </c>
      <c r="G5868" s="46" t="s">
        <v>566</v>
      </c>
      <c r="H5868" s="46">
        <v>1</v>
      </c>
      <c r="I5868" s="51">
        <v>2109.4499999999998</v>
      </c>
      <c r="J5868" s="281">
        <f>++Tabla4[[#This Row],[Precio Bruto]]*1.16</f>
        <v>2446.9619999999995</v>
      </c>
      <c r="K5868" s="281">
        <f>+Tabla4[[#This Row],[Precio Unitario Neto]]*Tabla4[[#Headers],[20.85%]]</f>
        <v>510.19157699999988</v>
      </c>
      <c r="L5868" s="282">
        <f>++Tabla4[[#This Row],[Precio Unitario Neto]]-Tabla4[[#This Row],[20.85%]]</f>
        <v>1936.7704229999997</v>
      </c>
      <c r="M5868" s="282" t="e">
        <f>(INDEX(Tabla6[#All],MATCH(Tabla4[[#This Row],[Producto]],Tabla6[[#All],[PRODUCTO]],0),MATCH(Tabla4[[#This Row],[Mes]],Tabla6[#Headers],0)))*(1+Catalogos!$L$2)</f>
        <v>#N/A</v>
      </c>
      <c r="N5868" s="283" t="e">
        <f>+(Tabla4[[#This Row],[Precio Descontado]]-Tabla4[[#This Row],[Precio Base]])*Tabla4[[#This Row],[Cantidad]]</f>
        <v>#N/A</v>
      </c>
      <c r="O5868" s="284" t="e">
        <f>++Tabla4[[#This Row],[Utilidad Total]]/Tabla4[[#This Row],[Total]]</f>
        <v>#N/A</v>
      </c>
      <c r="P5868" s="282">
        <f>++Tabla4[[#This Row],[Precio Descontado]]*Tabla4[[#This Row],[Cantidad]]</f>
        <v>1936.7704229999997</v>
      </c>
      <c r="Q5868" s="282" t="e">
        <f>(INDEX(Tabla6[#All],MATCH(Tabla4[[#This Row],[Producto]],Tabla6[[#All],[PRODUCTO]],0),MATCH(Tabla4[[#This Row],[Mes]],Tabla6[#Headers],0)))</f>
        <v>#N/A</v>
      </c>
      <c r="R5868" s="282" t="e">
        <f>++Tabla4[[#This Row],[Precio Unitario Neto]]-Tabla4[[#This Row],[20.85%]]-Tabla4[[#This Row],[Costo]]</f>
        <v>#N/A</v>
      </c>
      <c r="S5868" s="282" t="e">
        <f>++Tabla4[[#This Row],[U. Bruta Uni]]*Tabla4[[#This Row],[Cantidad]]</f>
        <v>#N/A</v>
      </c>
      <c r="T5868" s="369" t="str">
        <f>VLOOKUP(Tabla4[[#This Row],[Producto]],Tabla6[#All],14,FALSE)</f>
        <v>Termico Solar</v>
      </c>
      <c r="U5868" s="284" t="e">
        <f>(IF(Tabla4[[#This Row],[Familia]]="termico solar",Tabla4[[#This Row],[Utilidad Total]]*6%,Tabla4[[#This Row],[Utilidad Total]]*11.5%))/Tabla4[[#This Row],[Total]]</f>
        <v>#N/A</v>
      </c>
      <c r="V5868" s="282" t="e">
        <f>+Tabla4[[#This Row],[Comisión Calculada]]*Tabla4[[#This Row],[Total]]</f>
        <v>#N/A</v>
      </c>
    </row>
    <row r="5869" spans="1:22" hidden="1" x14ac:dyDescent="0.25">
      <c r="A5869" s="100">
        <v>45930</v>
      </c>
      <c r="B5869" t="str">
        <f t="shared" si="279"/>
        <v>September</v>
      </c>
      <c r="C5869" s="46" t="s">
        <v>280</v>
      </c>
      <c r="F5869" s="366" t="s">
        <v>3015</v>
      </c>
      <c r="G5869" s="46" t="s">
        <v>208</v>
      </c>
      <c r="H5869" s="46">
        <v>2</v>
      </c>
      <c r="I5869" s="51">
        <v>189.75</v>
      </c>
      <c r="J5869" s="281">
        <f>++Tabla4[[#This Row],[Precio Bruto]]*1.16</f>
        <v>220.10999999999999</v>
      </c>
      <c r="K5869" s="281">
        <f>+Tabla4[[#This Row],[Precio Unitario Neto]]*Tabla4[[#Headers],[20.85%]]</f>
        <v>45.892934999999994</v>
      </c>
      <c r="L5869" s="282">
        <f>++Tabla4[[#This Row],[Precio Unitario Neto]]-Tabla4[[#This Row],[20.85%]]</f>
        <v>174.21706499999999</v>
      </c>
      <c r="M5869" s="282" t="e">
        <f>(INDEX(Tabla6[#All],MATCH(Tabla4[[#This Row],[Producto]],Tabla6[[#All],[PRODUCTO]],0),MATCH(Tabla4[[#This Row],[Mes]],Tabla6[#Headers],0)))*(1+Catalogos!$L$2)</f>
        <v>#N/A</v>
      </c>
      <c r="N5869" s="283" t="e">
        <f>+(Tabla4[[#This Row],[Precio Descontado]]-Tabla4[[#This Row],[Precio Base]])*Tabla4[[#This Row],[Cantidad]]</f>
        <v>#N/A</v>
      </c>
      <c r="O5869" s="284" t="e">
        <f>++Tabla4[[#This Row],[Utilidad Total]]/Tabla4[[#This Row],[Total]]</f>
        <v>#N/A</v>
      </c>
      <c r="P5869" s="282">
        <f>++Tabla4[[#This Row],[Precio Descontado]]*Tabla4[[#This Row],[Cantidad]]</f>
        <v>348.43412999999998</v>
      </c>
      <c r="Q5869" s="282" t="e">
        <f>(INDEX(Tabla6[#All],MATCH(Tabla4[[#This Row],[Producto]],Tabla6[[#All],[PRODUCTO]],0),MATCH(Tabla4[[#This Row],[Mes]],Tabla6[#Headers],0)))</f>
        <v>#N/A</v>
      </c>
      <c r="R5869" s="282" t="e">
        <f>++Tabla4[[#This Row],[Precio Unitario Neto]]-Tabla4[[#This Row],[20.85%]]-Tabla4[[#This Row],[Costo]]</f>
        <v>#N/A</v>
      </c>
      <c r="S5869" s="282" t="e">
        <f>++Tabla4[[#This Row],[U. Bruta Uni]]*Tabla4[[#This Row],[Cantidad]]</f>
        <v>#N/A</v>
      </c>
      <c r="T5869" s="369" t="str">
        <f>VLOOKUP(Tabla4[[#This Row],[Producto]],Tabla6[#All],14,FALSE)</f>
        <v>Termico Solar</v>
      </c>
      <c r="U5869" s="284" t="e">
        <f>(IF(Tabla4[[#This Row],[Familia]]="termico solar",Tabla4[[#This Row],[Utilidad Total]]*6%,Tabla4[[#This Row],[Utilidad Total]]*11.5%))/Tabla4[[#This Row],[Total]]</f>
        <v>#N/A</v>
      </c>
      <c r="V5869" s="282" t="e">
        <f>+Tabla4[[#This Row],[Comisión Calculada]]*Tabla4[[#This Row],[Total]]</f>
        <v>#N/A</v>
      </c>
    </row>
    <row r="5870" spans="1:22" hidden="1" x14ac:dyDescent="0.25">
      <c r="A5870" s="100">
        <v>45930</v>
      </c>
      <c r="B5870" t="str">
        <f t="shared" si="279"/>
        <v>September</v>
      </c>
      <c r="C5870" s="46" t="s">
        <v>280</v>
      </c>
      <c r="F5870" s="366" t="s">
        <v>3016</v>
      </c>
      <c r="G5870" s="46" t="s">
        <v>16</v>
      </c>
      <c r="H5870" s="46">
        <v>1</v>
      </c>
      <c r="I5870" s="51">
        <v>4103.8500000000004</v>
      </c>
      <c r="J5870" s="281">
        <f>++Tabla4[[#This Row],[Precio Bruto]]*1.16</f>
        <v>4760.4660000000003</v>
      </c>
      <c r="K5870" s="281">
        <f>+Tabla4[[#This Row],[Precio Unitario Neto]]*Tabla4[[#Headers],[20.85%]]</f>
        <v>992.55716100000006</v>
      </c>
      <c r="L5870" s="282">
        <f>++Tabla4[[#This Row],[Precio Unitario Neto]]-Tabla4[[#This Row],[20.85%]]</f>
        <v>3767.9088390000002</v>
      </c>
      <c r="M5870" s="282" t="e">
        <f>(INDEX(Tabla6[#All],MATCH(Tabla4[[#This Row],[Producto]],Tabla6[[#All],[PRODUCTO]],0),MATCH(Tabla4[[#This Row],[Mes]],Tabla6[#Headers],0)))*(1+Catalogos!$L$2)</f>
        <v>#N/A</v>
      </c>
      <c r="N5870" s="283" t="e">
        <f>+(Tabla4[[#This Row],[Precio Descontado]]-Tabla4[[#This Row],[Precio Base]])*Tabla4[[#This Row],[Cantidad]]</f>
        <v>#N/A</v>
      </c>
      <c r="O5870" s="284" t="e">
        <f>++Tabla4[[#This Row],[Utilidad Total]]/Tabla4[[#This Row],[Total]]</f>
        <v>#N/A</v>
      </c>
      <c r="P5870" s="282">
        <f>++Tabla4[[#This Row],[Precio Descontado]]*Tabla4[[#This Row],[Cantidad]]</f>
        <v>3767.9088390000002</v>
      </c>
      <c r="Q5870" s="282" t="e">
        <f>(INDEX(Tabla6[#All],MATCH(Tabla4[[#This Row],[Producto]],Tabla6[[#All],[PRODUCTO]],0),MATCH(Tabla4[[#This Row],[Mes]],Tabla6[#Headers],0)))</f>
        <v>#N/A</v>
      </c>
      <c r="R5870" s="282" t="e">
        <f>++Tabla4[[#This Row],[Precio Unitario Neto]]-Tabla4[[#This Row],[20.85%]]-Tabla4[[#This Row],[Costo]]</f>
        <v>#N/A</v>
      </c>
      <c r="S5870" s="282" t="e">
        <f>++Tabla4[[#This Row],[U. Bruta Uni]]*Tabla4[[#This Row],[Cantidad]]</f>
        <v>#N/A</v>
      </c>
      <c r="T5870" s="369" t="str">
        <f>VLOOKUP(Tabla4[[#This Row],[Producto]],Tabla6[#All],14,FALSE)</f>
        <v>Termico Solar</v>
      </c>
      <c r="U5870" s="284" t="e">
        <f>(IF(Tabla4[[#This Row],[Familia]]="termico solar",Tabla4[[#This Row],[Utilidad Total]]*6%,Tabla4[[#This Row],[Utilidad Total]]*11.5%))/Tabla4[[#This Row],[Total]]</f>
        <v>#N/A</v>
      </c>
      <c r="V5870" s="282" t="e">
        <f>+Tabla4[[#This Row],[Comisión Calculada]]*Tabla4[[#This Row],[Total]]</f>
        <v>#N/A</v>
      </c>
    </row>
    <row r="5871" spans="1:22" hidden="1" x14ac:dyDescent="0.25">
      <c r="A5871" s="100">
        <v>45930</v>
      </c>
      <c r="B5871" t="str">
        <f t="shared" si="279"/>
        <v>September</v>
      </c>
      <c r="C5871" s="46" t="s">
        <v>280</v>
      </c>
      <c r="F5871" s="366" t="s">
        <v>3017</v>
      </c>
      <c r="G5871" s="46" t="s">
        <v>17</v>
      </c>
      <c r="H5871" s="46">
        <v>1</v>
      </c>
      <c r="I5871" s="51">
        <v>4622.28</v>
      </c>
      <c r="J5871" s="281">
        <f>++Tabla4[[#This Row],[Precio Bruto]]*1.16</f>
        <v>5361.8447999999989</v>
      </c>
      <c r="K5871" s="281">
        <f>+Tabla4[[#This Row],[Precio Unitario Neto]]*Tabla4[[#Headers],[20.85%]]</f>
        <v>1117.9446407999997</v>
      </c>
      <c r="L5871" s="282">
        <f>++Tabla4[[#This Row],[Precio Unitario Neto]]-Tabla4[[#This Row],[20.85%]]</f>
        <v>4243.9001591999995</v>
      </c>
      <c r="M5871" s="282" t="e">
        <f>(INDEX(Tabla6[#All],MATCH(Tabla4[[#This Row],[Producto]],Tabla6[[#All],[PRODUCTO]],0),MATCH(Tabla4[[#This Row],[Mes]],Tabla6[#Headers],0)))*(1+Catalogos!$L$2)</f>
        <v>#N/A</v>
      </c>
      <c r="N5871" s="283" t="e">
        <f>+(Tabla4[[#This Row],[Precio Descontado]]-Tabla4[[#This Row],[Precio Base]])*Tabla4[[#This Row],[Cantidad]]</f>
        <v>#N/A</v>
      </c>
      <c r="O5871" s="284" t="e">
        <f>++Tabla4[[#This Row],[Utilidad Total]]/Tabla4[[#This Row],[Total]]</f>
        <v>#N/A</v>
      </c>
      <c r="P5871" s="282">
        <f>++Tabla4[[#This Row],[Precio Descontado]]*Tabla4[[#This Row],[Cantidad]]</f>
        <v>4243.9001591999995</v>
      </c>
      <c r="Q5871" s="282" t="e">
        <f>(INDEX(Tabla6[#All],MATCH(Tabla4[[#This Row],[Producto]],Tabla6[[#All],[PRODUCTO]],0),MATCH(Tabla4[[#This Row],[Mes]],Tabla6[#Headers],0)))</f>
        <v>#N/A</v>
      </c>
      <c r="R5871" s="282" t="e">
        <f>++Tabla4[[#This Row],[Precio Unitario Neto]]-Tabla4[[#This Row],[20.85%]]-Tabla4[[#This Row],[Costo]]</f>
        <v>#N/A</v>
      </c>
      <c r="S5871" s="282" t="e">
        <f>++Tabla4[[#This Row],[U. Bruta Uni]]*Tabla4[[#This Row],[Cantidad]]</f>
        <v>#N/A</v>
      </c>
      <c r="T5871" s="369" t="str">
        <f>VLOOKUP(Tabla4[[#This Row],[Producto]],Tabla6[#All],14,FALSE)</f>
        <v>Termico Solar</v>
      </c>
      <c r="U5871" s="284" t="e">
        <f>(IF(Tabla4[[#This Row],[Familia]]="termico solar",Tabla4[[#This Row],[Utilidad Total]]*6%,Tabla4[[#This Row],[Utilidad Total]]*11.5%))/Tabla4[[#This Row],[Total]]</f>
        <v>#N/A</v>
      </c>
      <c r="V5871" s="282" t="e">
        <f>+Tabla4[[#This Row],[Comisión Calculada]]*Tabla4[[#This Row],[Total]]</f>
        <v>#N/A</v>
      </c>
    </row>
    <row r="5872" spans="1:22" hidden="1" x14ac:dyDescent="0.25">
      <c r="A5872" s="100">
        <v>45930</v>
      </c>
      <c r="B5872" t="str">
        <f t="shared" si="279"/>
        <v>September</v>
      </c>
      <c r="C5872" s="46" t="s">
        <v>280</v>
      </c>
      <c r="F5872" s="366" t="s">
        <v>3017</v>
      </c>
      <c r="G5872" s="46" t="s">
        <v>566</v>
      </c>
      <c r="H5872" s="46">
        <v>1</v>
      </c>
      <c r="I5872" s="51">
        <v>2109.4499999999998</v>
      </c>
      <c r="J5872" s="281">
        <f>++Tabla4[[#This Row],[Precio Bruto]]*1.16</f>
        <v>2446.9619999999995</v>
      </c>
      <c r="K5872" s="281">
        <f>+Tabla4[[#This Row],[Precio Unitario Neto]]*Tabla4[[#Headers],[20.85%]]</f>
        <v>510.19157699999988</v>
      </c>
      <c r="L5872" s="282">
        <f>++Tabla4[[#This Row],[Precio Unitario Neto]]-Tabla4[[#This Row],[20.85%]]</f>
        <v>1936.7704229999997</v>
      </c>
      <c r="M5872" s="282" t="e">
        <f>(INDEX(Tabla6[#All],MATCH(Tabla4[[#This Row],[Producto]],Tabla6[[#All],[PRODUCTO]],0),MATCH(Tabla4[[#This Row],[Mes]],Tabla6[#Headers],0)))*(1+Catalogos!$L$2)</f>
        <v>#N/A</v>
      </c>
      <c r="N5872" s="283" t="e">
        <f>+(Tabla4[[#This Row],[Precio Descontado]]-Tabla4[[#This Row],[Precio Base]])*Tabla4[[#This Row],[Cantidad]]</f>
        <v>#N/A</v>
      </c>
      <c r="O5872" s="284" t="e">
        <f>++Tabla4[[#This Row],[Utilidad Total]]/Tabla4[[#This Row],[Total]]</f>
        <v>#N/A</v>
      </c>
      <c r="P5872" s="282">
        <f>++Tabla4[[#This Row],[Precio Descontado]]*Tabla4[[#This Row],[Cantidad]]</f>
        <v>1936.7704229999997</v>
      </c>
      <c r="Q5872" s="282" t="e">
        <f>(INDEX(Tabla6[#All],MATCH(Tabla4[[#This Row],[Producto]],Tabla6[[#All],[PRODUCTO]],0),MATCH(Tabla4[[#This Row],[Mes]],Tabla6[#Headers],0)))</f>
        <v>#N/A</v>
      </c>
      <c r="R5872" s="282" t="e">
        <f>++Tabla4[[#This Row],[Precio Unitario Neto]]-Tabla4[[#This Row],[20.85%]]-Tabla4[[#This Row],[Costo]]</f>
        <v>#N/A</v>
      </c>
      <c r="S5872" s="282" t="e">
        <f>++Tabla4[[#This Row],[U. Bruta Uni]]*Tabla4[[#This Row],[Cantidad]]</f>
        <v>#N/A</v>
      </c>
      <c r="T5872" s="369" t="str">
        <f>VLOOKUP(Tabla4[[#This Row],[Producto]],Tabla6[#All],14,FALSE)</f>
        <v>Termico Solar</v>
      </c>
      <c r="U5872" s="284" t="e">
        <f>(IF(Tabla4[[#This Row],[Familia]]="termico solar",Tabla4[[#This Row],[Utilidad Total]]*6%,Tabla4[[#This Row],[Utilidad Total]]*11.5%))/Tabla4[[#This Row],[Total]]</f>
        <v>#N/A</v>
      </c>
      <c r="V5872" s="282" t="e">
        <f>+Tabla4[[#This Row],[Comisión Calculada]]*Tabla4[[#This Row],[Total]]</f>
        <v>#N/A</v>
      </c>
    </row>
    <row r="5873" spans="1:22" hidden="1" x14ac:dyDescent="0.25">
      <c r="A5873" s="100">
        <v>45930</v>
      </c>
      <c r="B5873" t="str">
        <f t="shared" si="279"/>
        <v>September</v>
      </c>
      <c r="C5873" s="46" t="s">
        <v>280</v>
      </c>
      <c r="F5873" s="366" t="s">
        <v>3018</v>
      </c>
      <c r="G5873" s="46" t="s">
        <v>566</v>
      </c>
      <c r="H5873" s="46">
        <v>1</v>
      </c>
      <c r="I5873" s="51">
        <v>2109.4499999999998</v>
      </c>
      <c r="J5873" s="281">
        <f>++Tabla4[[#This Row],[Precio Bruto]]*1.16</f>
        <v>2446.9619999999995</v>
      </c>
      <c r="K5873" s="281">
        <f>+Tabla4[[#This Row],[Precio Unitario Neto]]*Tabla4[[#Headers],[20.85%]]</f>
        <v>510.19157699999988</v>
      </c>
      <c r="L5873" s="282">
        <f>++Tabla4[[#This Row],[Precio Unitario Neto]]-Tabla4[[#This Row],[20.85%]]</f>
        <v>1936.7704229999997</v>
      </c>
      <c r="M5873" s="282" t="e">
        <f>(INDEX(Tabla6[#All],MATCH(Tabla4[[#This Row],[Producto]],Tabla6[[#All],[PRODUCTO]],0),MATCH(Tabla4[[#This Row],[Mes]],Tabla6[#Headers],0)))*(1+Catalogos!$L$2)</f>
        <v>#N/A</v>
      </c>
      <c r="N5873" s="283" t="e">
        <f>+(Tabla4[[#This Row],[Precio Descontado]]-Tabla4[[#This Row],[Precio Base]])*Tabla4[[#This Row],[Cantidad]]</f>
        <v>#N/A</v>
      </c>
      <c r="O5873" s="284" t="e">
        <f>++Tabla4[[#This Row],[Utilidad Total]]/Tabla4[[#This Row],[Total]]</f>
        <v>#N/A</v>
      </c>
      <c r="P5873" s="282">
        <f>++Tabla4[[#This Row],[Precio Descontado]]*Tabla4[[#This Row],[Cantidad]]</f>
        <v>1936.7704229999997</v>
      </c>
      <c r="Q5873" s="282" t="e">
        <f>(INDEX(Tabla6[#All],MATCH(Tabla4[[#This Row],[Producto]],Tabla6[[#All],[PRODUCTO]],0),MATCH(Tabla4[[#This Row],[Mes]],Tabla6[#Headers],0)))</f>
        <v>#N/A</v>
      </c>
      <c r="R5873" s="282" t="e">
        <f>++Tabla4[[#This Row],[Precio Unitario Neto]]-Tabla4[[#This Row],[20.85%]]-Tabla4[[#This Row],[Costo]]</f>
        <v>#N/A</v>
      </c>
      <c r="S5873" s="282" t="e">
        <f>++Tabla4[[#This Row],[U. Bruta Uni]]*Tabla4[[#This Row],[Cantidad]]</f>
        <v>#N/A</v>
      </c>
      <c r="T5873" s="369" t="str">
        <f>VLOOKUP(Tabla4[[#This Row],[Producto]],Tabla6[#All],14,FALSE)</f>
        <v>Termico Solar</v>
      </c>
      <c r="U5873" s="284" t="e">
        <f>(IF(Tabla4[[#This Row],[Familia]]="termico solar",Tabla4[[#This Row],[Utilidad Total]]*6%,Tabla4[[#This Row],[Utilidad Total]]*11.5%))/Tabla4[[#This Row],[Total]]</f>
        <v>#N/A</v>
      </c>
      <c r="V5873" s="282" t="e">
        <f>+Tabla4[[#This Row],[Comisión Calculada]]*Tabla4[[#This Row],[Total]]</f>
        <v>#N/A</v>
      </c>
    </row>
    <row r="5874" spans="1:22" hidden="1" x14ac:dyDescent="0.25">
      <c r="A5874" s="100">
        <v>45930</v>
      </c>
      <c r="B5874" t="str">
        <f t="shared" si="279"/>
        <v>September</v>
      </c>
      <c r="C5874" s="46" t="s">
        <v>280</v>
      </c>
      <c r="F5874" s="366" t="s">
        <v>3018</v>
      </c>
      <c r="G5874" s="46" t="s">
        <v>208</v>
      </c>
      <c r="H5874" s="46">
        <v>4</v>
      </c>
      <c r="I5874" s="51">
        <v>189.75</v>
      </c>
      <c r="J5874" s="281">
        <f>++Tabla4[[#This Row],[Precio Bruto]]*1.16</f>
        <v>220.10999999999999</v>
      </c>
      <c r="K5874" s="281">
        <f>+Tabla4[[#This Row],[Precio Unitario Neto]]*Tabla4[[#Headers],[20.85%]]</f>
        <v>45.892934999999994</v>
      </c>
      <c r="L5874" s="282">
        <f>++Tabla4[[#This Row],[Precio Unitario Neto]]-Tabla4[[#This Row],[20.85%]]</f>
        <v>174.21706499999999</v>
      </c>
      <c r="M5874" s="282" t="e">
        <f>(INDEX(Tabla6[#All],MATCH(Tabla4[[#This Row],[Producto]],Tabla6[[#All],[PRODUCTO]],0),MATCH(Tabla4[[#This Row],[Mes]],Tabla6[#Headers],0)))*(1+Catalogos!$L$2)</f>
        <v>#N/A</v>
      </c>
      <c r="N5874" s="283" t="e">
        <f>+(Tabla4[[#This Row],[Precio Descontado]]-Tabla4[[#This Row],[Precio Base]])*Tabla4[[#This Row],[Cantidad]]</f>
        <v>#N/A</v>
      </c>
      <c r="O5874" s="284" t="e">
        <f>++Tabla4[[#This Row],[Utilidad Total]]/Tabla4[[#This Row],[Total]]</f>
        <v>#N/A</v>
      </c>
      <c r="P5874" s="282">
        <f>++Tabla4[[#This Row],[Precio Descontado]]*Tabla4[[#This Row],[Cantidad]]</f>
        <v>696.86825999999996</v>
      </c>
      <c r="Q5874" s="282" t="e">
        <f>(INDEX(Tabla6[#All],MATCH(Tabla4[[#This Row],[Producto]],Tabla6[[#All],[PRODUCTO]],0),MATCH(Tabla4[[#This Row],[Mes]],Tabla6[#Headers],0)))</f>
        <v>#N/A</v>
      </c>
      <c r="R5874" s="282" t="e">
        <f>++Tabla4[[#This Row],[Precio Unitario Neto]]-Tabla4[[#This Row],[20.85%]]-Tabla4[[#This Row],[Costo]]</f>
        <v>#N/A</v>
      </c>
      <c r="S5874" s="282" t="e">
        <f>++Tabla4[[#This Row],[U. Bruta Uni]]*Tabla4[[#This Row],[Cantidad]]</f>
        <v>#N/A</v>
      </c>
      <c r="T5874" s="369" t="str">
        <f>VLOOKUP(Tabla4[[#This Row],[Producto]],Tabla6[#All],14,FALSE)</f>
        <v>Termico Solar</v>
      </c>
      <c r="U5874" s="284" t="e">
        <f>(IF(Tabla4[[#This Row],[Familia]]="termico solar",Tabla4[[#This Row],[Utilidad Total]]*6%,Tabla4[[#This Row],[Utilidad Total]]*11.5%))/Tabla4[[#This Row],[Total]]</f>
        <v>#N/A</v>
      </c>
      <c r="V5874" s="282" t="e">
        <f>+Tabla4[[#This Row],[Comisión Calculada]]*Tabla4[[#This Row],[Total]]</f>
        <v>#N/A</v>
      </c>
    </row>
    <row r="5875" spans="1:22" hidden="1" x14ac:dyDescent="0.25">
      <c r="A5875" s="100">
        <v>45930</v>
      </c>
      <c r="B5875" t="str">
        <f t="shared" si="279"/>
        <v>September</v>
      </c>
      <c r="C5875" s="46" t="s">
        <v>280</v>
      </c>
      <c r="F5875" s="366" t="s">
        <v>3019</v>
      </c>
      <c r="G5875" s="46" t="s">
        <v>18</v>
      </c>
      <c r="H5875" s="46">
        <v>1</v>
      </c>
      <c r="I5875" s="51">
        <v>5367.65</v>
      </c>
      <c r="J5875" s="281">
        <f>++Tabla4[[#This Row],[Precio Bruto]]*1.16</f>
        <v>6226.4739999999993</v>
      </c>
      <c r="K5875" s="281">
        <f>+Tabla4[[#This Row],[Precio Unitario Neto]]*Tabla4[[#Headers],[20.85%]]</f>
        <v>1298.2198289999999</v>
      </c>
      <c r="L5875" s="282">
        <f>++Tabla4[[#This Row],[Precio Unitario Neto]]-Tabla4[[#This Row],[20.85%]]</f>
        <v>4928.2541709999996</v>
      </c>
      <c r="M5875" s="282" t="e">
        <f>(INDEX(Tabla6[#All],MATCH(Tabla4[[#This Row],[Producto]],Tabla6[[#All],[PRODUCTO]],0),MATCH(Tabla4[[#This Row],[Mes]],Tabla6[#Headers],0)))*(1+Catalogos!$L$2)</f>
        <v>#N/A</v>
      </c>
      <c r="N5875" s="283" t="e">
        <f>+(Tabla4[[#This Row],[Precio Descontado]]-Tabla4[[#This Row],[Precio Base]])*Tabla4[[#This Row],[Cantidad]]</f>
        <v>#N/A</v>
      </c>
      <c r="O5875" s="284" t="e">
        <f>++Tabla4[[#This Row],[Utilidad Total]]/Tabla4[[#This Row],[Total]]</f>
        <v>#N/A</v>
      </c>
      <c r="P5875" s="282">
        <f>++Tabla4[[#This Row],[Precio Descontado]]*Tabla4[[#This Row],[Cantidad]]</f>
        <v>4928.2541709999996</v>
      </c>
      <c r="Q5875" s="282" t="e">
        <f>(INDEX(Tabla6[#All],MATCH(Tabla4[[#This Row],[Producto]],Tabla6[[#All],[PRODUCTO]],0),MATCH(Tabla4[[#This Row],[Mes]],Tabla6[#Headers],0)))</f>
        <v>#N/A</v>
      </c>
      <c r="R5875" s="282" t="e">
        <f>++Tabla4[[#This Row],[Precio Unitario Neto]]-Tabla4[[#This Row],[20.85%]]-Tabla4[[#This Row],[Costo]]</f>
        <v>#N/A</v>
      </c>
      <c r="S5875" s="282" t="e">
        <f>++Tabla4[[#This Row],[U. Bruta Uni]]*Tabla4[[#This Row],[Cantidad]]</f>
        <v>#N/A</v>
      </c>
      <c r="T5875" s="369" t="str">
        <f>VLOOKUP(Tabla4[[#This Row],[Producto]],Tabla6[#All],14,FALSE)</f>
        <v>Termico Solar</v>
      </c>
      <c r="U5875" s="284" t="e">
        <f>(IF(Tabla4[[#This Row],[Familia]]="termico solar",Tabla4[[#This Row],[Utilidad Total]]*6%,Tabla4[[#This Row],[Utilidad Total]]*11.5%))/Tabla4[[#This Row],[Total]]</f>
        <v>#N/A</v>
      </c>
      <c r="V5875" s="282" t="e">
        <f>+Tabla4[[#This Row],[Comisión Calculada]]*Tabla4[[#This Row],[Total]]</f>
        <v>#N/A</v>
      </c>
    </row>
    <row r="5876" spans="1:22" hidden="1" x14ac:dyDescent="0.25">
      <c r="A5876" s="100">
        <v>45930</v>
      </c>
      <c r="B5876" t="str">
        <f t="shared" si="279"/>
        <v>September</v>
      </c>
      <c r="C5876" s="46" t="s">
        <v>280</v>
      </c>
      <c r="F5876" s="366" t="s">
        <v>3020</v>
      </c>
      <c r="G5876" s="46" t="s">
        <v>19</v>
      </c>
      <c r="H5876" s="46">
        <v>1</v>
      </c>
      <c r="I5876" s="51">
        <v>6412.03</v>
      </c>
      <c r="J5876" s="281">
        <f>++Tabla4[[#This Row],[Precio Bruto]]*1.16</f>
        <v>7437.9547999999995</v>
      </c>
      <c r="K5876" s="281">
        <f>+Tabla4[[#This Row],[Precio Unitario Neto]]*Tabla4[[#Headers],[20.85%]]</f>
        <v>1550.8135757999999</v>
      </c>
      <c r="L5876" s="282">
        <f>++Tabla4[[#This Row],[Precio Unitario Neto]]-Tabla4[[#This Row],[20.85%]]</f>
        <v>5887.1412241999997</v>
      </c>
      <c r="M5876" s="282" t="e">
        <f>(INDEX(Tabla6[#All],MATCH(Tabla4[[#This Row],[Producto]],Tabla6[[#All],[PRODUCTO]],0),MATCH(Tabla4[[#This Row],[Mes]],Tabla6[#Headers],0)))*(1+Catalogos!$L$2)</f>
        <v>#N/A</v>
      </c>
      <c r="N5876" s="283" t="e">
        <f>+(Tabla4[[#This Row],[Precio Descontado]]-Tabla4[[#This Row],[Precio Base]])*Tabla4[[#This Row],[Cantidad]]</f>
        <v>#N/A</v>
      </c>
      <c r="O5876" s="284" t="e">
        <f>++Tabla4[[#This Row],[Utilidad Total]]/Tabla4[[#This Row],[Total]]</f>
        <v>#N/A</v>
      </c>
      <c r="P5876" s="282">
        <f>++Tabla4[[#This Row],[Precio Descontado]]*Tabla4[[#This Row],[Cantidad]]</f>
        <v>5887.1412241999997</v>
      </c>
      <c r="Q5876" s="282" t="e">
        <f>(INDEX(Tabla6[#All],MATCH(Tabla4[[#This Row],[Producto]],Tabla6[[#All],[PRODUCTO]],0),MATCH(Tabla4[[#This Row],[Mes]],Tabla6[#Headers],0)))</f>
        <v>#N/A</v>
      </c>
      <c r="R5876" s="282" t="e">
        <f>++Tabla4[[#This Row],[Precio Unitario Neto]]-Tabla4[[#This Row],[20.85%]]-Tabla4[[#This Row],[Costo]]</f>
        <v>#N/A</v>
      </c>
      <c r="S5876" s="282" t="e">
        <f>++Tabla4[[#This Row],[U. Bruta Uni]]*Tabla4[[#This Row],[Cantidad]]</f>
        <v>#N/A</v>
      </c>
      <c r="T5876" s="369" t="str">
        <f>VLOOKUP(Tabla4[[#This Row],[Producto]],Tabla6[#All],14,FALSE)</f>
        <v>Termico Solar</v>
      </c>
      <c r="U5876" s="284" t="e">
        <f>(IF(Tabla4[[#This Row],[Familia]]="termico solar",Tabla4[[#This Row],[Utilidad Total]]*6%,Tabla4[[#This Row],[Utilidad Total]]*11.5%))/Tabla4[[#This Row],[Total]]</f>
        <v>#N/A</v>
      </c>
      <c r="V5876" s="282" t="e">
        <f>+Tabla4[[#This Row],[Comisión Calculada]]*Tabla4[[#This Row],[Total]]</f>
        <v>#N/A</v>
      </c>
    </row>
    <row r="5877" spans="1:22" hidden="1" x14ac:dyDescent="0.25">
      <c r="A5877" s="100">
        <v>45930</v>
      </c>
      <c r="B5877" t="str">
        <f t="shared" si="279"/>
        <v>September</v>
      </c>
      <c r="C5877" s="46" t="s">
        <v>280</v>
      </c>
      <c r="F5877" s="366" t="s">
        <v>3020</v>
      </c>
      <c r="G5877" s="46" t="s">
        <v>208</v>
      </c>
      <c r="H5877" s="46">
        <v>1</v>
      </c>
      <c r="I5877" s="51">
        <v>189.75</v>
      </c>
      <c r="J5877" s="281">
        <f>++Tabla4[[#This Row],[Precio Bruto]]*1.16</f>
        <v>220.10999999999999</v>
      </c>
      <c r="K5877" s="281">
        <f>+Tabla4[[#This Row],[Precio Unitario Neto]]*Tabla4[[#Headers],[20.85%]]</f>
        <v>45.892934999999994</v>
      </c>
      <c r="L5877" s="282">
        <f>++Tabla4[[#This Row],[Precio Unitario Neto]]-Tabla4[[#This Row],[20.85%]]</f>
        <v>174.21706499999999</v>
      </c>
      <c r="M5877" s="282" t="e">
        <f>(INDEX(Tabla6[#All],MATCH(Tabla4[[#This Row],[Producto]],Tabla6[[#All],[PRODUCTO]],0),MATCH(Tabla4[[#This Row],[Mes]],Tabla6[#Headers],0)))*(1+Catalogos!$L$2)</f>
        <v>#N/A</v>
      </c>
      <c r="N5877" s="283" t="e">
        <f>+(Tabla4[[#This Row],[Precio Descontado]]-Tabla4[[#This Row],[Precio Base]])*Tabla4[[#This Row],[Cantidad]]</f>
        <v>#N/A</v>
      </c>
      <c r="O5877" s="284" t="e">
        <f>++Tabla4[[#This Row],[Utilidad Total]]/Tabla4[[#This Row],[Total]]</f>
        <v>#N/A</v>
      </c>
      <c r="P5877" s="282">
        <f>++Tabla4[[#This Row],[Precio Descontado]]*Tabla4[[#This Row],[Cantidad]]</f>
        <v>174.21706499999999</v>
      </c>
      <c r="Q5877" s="282" t="e">
        <f>(INDEX(Tabla6[#All],MATCH(Tabla4[[#This Row],[Producto]],Tabla6[[#All],[PRODUCTO]],0),MATCH(Tabla4[[#This Row],[Mes]],Tabla6[#Headers],0)))</f>
        <v>#N/A</v>
      </c>
      <c r="R5877" s="282" t="e">
        <f>++Tabla4[[#This Row],[Precio Unitario Neto]]-Tabla4[[#This Row],[20.85%]]-Tabla4[[#This Row],[Costo]]</f>
        <v>#N/A</v>
      </c>
      <c r="S5877" s="282" t="e">
        <f>++Tabla4[[#This Row],[U. Bruta Uni]]*Tabla4[[#This Row],[Cantidad]]</f>
        <v>#N/A</v>
      </c>
      <c r="T5877" s="369" t="str">
        <f>VLOOKUP(Tabla4[[#This Row],[Producto]],Tabla6[#All],14,FALSE)</f>
        <v>Termico Solar</v>
      </c>
      <c r="U5877" s="284" t="e">
        <f>(IF(Tabla4[[#This Row],[Familia]]="termico solar",Tabla4[[#This Row],[Utilidad Total]]*6%,Tabla4[[#This Row],[Utilidad Total]]*11.5%))/Tabla4[[#This Row],[Total]]</f>
        <v>#N/A</v>
      </c>
      <c r="V5877" s="282" t="e">
        <f>+Tabla4[[#This Row],[Comisión Calculada]]*Tabla4[[#This Row],[Total]]</f>
        <v>#N/A</v>
      </c>
    </row>
    <row r="5878" spans="1:22" hidden="1" x14ac:dyDescent="0.25">
      <c r="A5878" s="100">
        <v>45930</v>
      </c>
      <c r="B5878" t="str">
        <f t="shared" si="279"/>
        <v>September</v>
      </c>
      <c r="C5878" s="46" t="s">
        <v>280</v>
      </c>
      <c r="F5878" s="366" t="s">
        <v>3021</v>
      </c>
      <c r="G5878" s="46" t="s">
        <v>19</v>
      </c>
      <c r="H5878" s="46">
        <v>1</v>
      </c>
      <c r="I5878" s="51">
        <v>6412.03</v>
      </c>
      <c r="J5878" s="281">
        <f>++Tabla4[[#This Row],[Precio Bruto]]*1.16</f>
        <v>7437.9547999999995</v>
      </c>
      <c r="K5878" s="281">
        <f>+Tabla4[[#This Row],[Precio Unitario Neto]]*Tabla4[[#Headers],[20.85%]]</f>
        <v>1550.8135757999999</v>
      </c>
      <c r="L5878" s="282">
        <f>++Tabla4[[#This Row],[Precio Unitario Neto]]-Tabla4[[#This Row],[20.85%]]</f>
        <v>5887.1412241999997</v>
      </c>
      <c r="M5878" s="282" t="e">
        <f>(INDEX(Tabla6[#All],MATCH(Tabla4[[#This Row],[Producto]],Tabla6[[#All],[PRODUCTO]],0),MATCH(Tabla4[[#This Row],[Mes]],Tabla6[#Headers],0)))*(1+Catalogos!$L$2)</f>
        <v>#N/A</v>
      </c>
      <c r="N5878" s="283" t="e">
        <f>+(Tabla4[[#This Row],[Precio Descontado]]-Tabla4[[#This Row],[Precio Base]])*Tabla4[[#This Row],[Cantidad]]</f>
        <v>#N/A</v>
      </c>
      <c r="O5878" s="284" t="e">
        <f>++Tabla4[[#This Row],[Utilidad Total]]/Tabla4[[#This Row],[Total]]</f>
        <v>#N/A</v>
      </c>
      <c r="P5878" s="282">
        <f>++Tabla4[[#This Row],[Precio Descontado]]*Tabla4[[#This Row],[Cantidad]]</f>
        <v>5887.1412241999997</v>
      </c>
      <c r="Q5878" s="282" t="e">
        <f>(INDEX(Tabla6[#All],MATCH(Tabla4[[#This Row],[Producto]],Tabla6[[#All],[PRODUCTO]],0),MATCH(Tabla4[[#This Row],[Mes]],Tabla6[#Headers],0)))</f>
        <v>#N/A</v>
      </c>
      <c r="R5878" s="282" t="e">
        <f>++Tabla4[[#This Row],[Precio Unitario Neto]]-Tabla4[[#This Row],[20.85%]]-Tabla4[[#This Row],[Costo]]</f>
        <v>#N/A</v>
      </c>
      <c r="S5878" s="282" t="e">
        <f>++Tabla4[[#This Row],[U. Bruta Uni]]*Tabla4[[#This Row],[Cantidad]]</f>
        <v>#N/A</v>
      </c>
      <c r="T5878" s="369" t="str">
        <f>VLOOKUP(Tabla4[[#This Row],[Producto]],Tabla6[#All],14,FALSE)</f>
        <v>Termico Solar</v>
      </c>
      <c r="U5878" s="284" t="e">
        <f>(IF(Tabla4[[#This Row],[Familia]]="termico solar",Tabla4[[#This Row],[Utilidad Total]]*6%,Tabla4[[#This Row],[Utilidad Total]]*11.5%))/Tabla4[[#This Row],[Total]]</f>
        <v>#N/A</v>
      </c>
      <c r="V5878" s="282" t="e">
        <f>+Tabla4[[#This Row],[Comisión Calculada]]*Tabla4[[#This Row],[Total]]</f>
        <v>#N/A</v>
      </c>
    </row>
    <row r="5879" spans="1:22" hidden="1" x14ac:dyDescent="0.25">
      <c r="A5879" s="100">
        <v>45930</v>
      </c>
      <c r="B5879" t="str">
        <f t="shared" si="279"/>
        <v>September</v>
      </c>
      <c r="C5879" s="46" t="s">
        <v>280</v>
      </c>
      <c r="F5879" s="366" t="s">
        <v>3021</v>
      </c>
      <c r="G5879" s="46" t="s">
        <v>208</v>
      </c>
      <c r="H5879" s="46">
        <v>1</v>
      </c>
      <c r="I5879" s="51">
        <v>189.75</v>
      </c>
      <c r="J5879" s="281">
        <f>++Tabla4[[#This Row],[Precio Bruto]]*1.16</f>
        <v>220.10999999999999</v>
      </c>
      <c r="K5879" s="281">
        <f>+Tabla4[[#This Row],[Precio Unitario Neto]]*Tabla4[[#Headers],[20.85%]]</f>
        <v>45.892934999999994</v>
      </c>
      <c r="L5879" s="282">
        <f>++Tabla4[[#This Row],[Precio Unitario Neto]]-Tabla4[[#This Row],[20.85%]]</f>
        <v>174.21706499999999</v>
      </c>
      <c r="M5879" s="282" t="e">
        <f>(INDEX(Tabla6[#All],MATCH(Tabla4[[#This Row],[Producto]],Tabla6[[#All],[PRODUCTO]],0),MATCH(Tabla4[[#This Row],[Mes]],Tabla6[#Headers],0)))*(1+Catalogos!$L$2)</f>
        <v>#N/A</v>
      </c>
      <c r="N5879" s="283" t="e">
        <f>+(Tabla4[[#This Row],[Precio Descontado]]-Tabla4[[#This Row],[Precio Base]])*Tabla4[[#This Row],[Cantidad]]</f>
        <v>#N/A</v>
      </c>
      <c r="O5879" s="284" t="e">
        <f>++Tabla4[[#This Row],[Utilidad Total]]/Tabla4[[#This Row],[Total]]</f>
        <v>#N/A</v>
      </c>
      <c r="P5879" s="282">
        <f>++Tabla4[[#This Row],[Precio Descontado]]*Tabla4[[#This Row],[Cantidad]]</f>
        <v>174.21706499999999</v>
      </c>
      <c r="Q5879" s="282" t="e">
        <f>(INDEX(Tabla6[#All],MATCH(Tabla4[[#This Row],[Producto]],Tabla6[[#All],[PRODUCTO]],0),MATCH(Tabla4[[#This Row],[Mes]],Tabla6[#Headers],0)))</f>
        <v>#N/A</v>
      </c>
      <c r="R5879" s="282" t="e">
        <f>++Tabla4[[#This Row],[Precio Unitario Neto]]-Tabla4[[#This Row],[20.85%]]-Tabla4[[#This Row],[Costo]]</f>
        <v>#N/A</v>
      </c>
      <c r="S5879" s="282" t="e">
        <f>++Tabla4[[#This Row],[U. Bruta Uni]]*Tabla4[[#This Row],[Cantidad]]</f>
        <v>#N/A</v>
      </c>
      <c r="T5879" s="369" t="str">
        <f>VLOOKUP(Tabla4[[#This Row],[Producto]],Tabla6[#All],14,FALSE)</f>
        <v>Termico Solar</v>
      </c>
      <c r="U5879" s="284" t="e">
        <f>(IF(Tabla4[[#This Row],[Familia]]="termico solar",Tabla4[[#This Row],[Utilidad Total]]*6%,Tabla4[[#This Row],[Utilidad Total]]*11.5%))/Tabla4[[#This Row],[Total]]</f>
        <v>#N/A</v>
      </c>
      <c r="V5879" s="282" t="e">
        <f>+Tabla4[[#This Row],[Comisión Calculada]]*Tabla4[[#This Row],[Total]]</f>
        <v>#N/A</v>
      </c>
    </row>
    <row r="5880" spans="1:22" hidden="1" x14ac:dyDescent="0.25">
      <c r="A5880" s="100">
        <v>45930</v>
      </c>
      <c r="B5880" t="str">
        <f t="shared" si="279"/>
        <v>September</v>
      </c>
      <c r="C5880" s="46" t="s">
        <v>280</v>
      </c>
      <c r="F5880" s="366" t="s">
        <v>3022</v>
      </c>
      <c r="G5880" s="46" t="s">
        <v>208</v>
      </c>
      <c r="H5880" s="46">
        <v>12</v>
      </c>
      <c r="I5880" s="51">
        <v>189.75</v>
      </c>
      <c r="J5880" s="281">
        <f>++Tabla4[[#This Row],[Precio Bruto]]*1.16</f>
        <v>220.10999999999999</v>
      </c>
      <c r="K5880" s="281">
        <f>+Tabla4[[#This Row],[Precio Unitario Neto]]*Tabla4[[#Headers],[20.85%]]</f>
        <v>45.892934999999994</v>
      </c>
      <c r="L5880" s="282">
        <f>++Tabla4[[#This Row],[Precio Unitario Neto]]-Tabla4[[#This Row],[20.85%]]</f>
        <v>174.21706499999999</v>
      </c>
      <c r="M5880" s="282" t="e">
        <f>(INDEX(Tabla6[#All],MATCH(Tabla4[[#This Row],[Producto]],Tabla6[[#All],[PRODUCTO]],0),MATCH(Tabla4[[#This Row],[Mes]],Tabla6[#Headers],0)))*(1+Catalogos!$L$2)</f>
        <v>#N/A</v>
      </c>
      <c r="N5880" s="283" t="e">
        <f>+(Tabla4[[#This Row],[Precio Descontado]]-Tabla4[[#This Row],[Precio Base]])*Tabla4[[#This Row],[Cantidad]]</f>
        <v>#N/A</v>
      </c>
      <c r="O5880" s="284" t="e">
        <f>++Tabla4[[#This Row],[Utilidad Total]]/Tabla4[[#This Row],[Total]]</f>
        <v>#N/A</v>
      </c>
      <c r="P5880" s="282">
        <f>++Tabla4[[#This Row],[Precio Descontado]]*Tabla4[[#This Row],[Cantidad]]</f>
        <v>2090.6047799999997</v>
      </c>
      <c r="Q5880" s="282" t="e">
        <f>(INDEX(Tabla6[#All],MATCH(Tabla4[[#This Row],[Producto]],Tabla6[[#All],[PRODUCTO]],0),MATCH(Tabla4[[#This Row],[Mes]],Tabla6[#Headers],0)))</f>
        <v>#N/A</v>
      </c>
      <c r="R5880" s="282" t="e">
        <f>++Tabla4[[#This Row],[Precio Unitario Neto]]-Tabla4[[#This Row],[20.85%]]-Tabla4[[#This Row],[Costo]]</f>
        <v>#N/A</v>
      </c>
      <c r="S5880" s="282" t="e">
        <f>++Tabla4[[#This Row],[U. Bruta Uni]]*Tabla4[[#This Row],[Cantidad]]</f>
        <v>#N/A</v>
      </c>
      <c r="T5880" s="369" t="str">
        <f>VLOOKUP(Tabla4[[#This Row],[Producto]],Tabla6[#All],14,FALSE)</f>
        <v>Termico Solar</v>
      </c>
      <c r="U5880" s="284" t="e">
        <f>(IF(Tabla4[[#This Row],[Familia]]="termico solar",Tabla4[[#This Row],[Utilidad Total]]*6%,Tabla4[[#This Row],[Utilidad Total]]*11.5%))/Tabla4[[#This Row],[Total]]</f>
        <v>#N/A</v>
      </c>
      <c r="V5880" s="282" t="e">
        <f>+Tabla4[[#This Row],[Comisión Calculada]]*Tabla4[[#This Row],[Total]]</f>
        <v>#N/A</v>
      </c>
    </row>
    <row r="5881" spans="1:22" hidden="1" x14ac:dyDescent="0.25">
      <c r="A5881" s="100">
        <v>45930</v>
      </c>
      <c r="B5881" t="str">
        <f t="shared" si="279"/>
        <v>September</v>
      </c>
      <c r="C5881" s="46" t="s">
        <v>280</v>
      </c>
      <c r="F5881" s="366" t="s">
        <v>3023</v>
      </c>
      <c r="G5881" s="46" t="s">
        <v>18</v>
      </c>
      <c r="H5881" s="46">
        <v>2</v>
      </c>
      <c r="I5881" s="51">
        <v>5367.65</v>
      </c>
      <c r="J5881" s="281">
        <f>++Tabla4[[#This Row],[Precio Bruto]]*1.16</f>
        <v>6226.4739999999993</v>
      </c>
      <c r="K5881" s="281">
        <f>+Tabla4[[#This Row],[Precio Unitario Neto]]*Tabla4[[#Headers],[20.85%]]</f>
        <v>1298.2198289999999</v>
      </c>
      <c r="L5881" s="282">
        <f>++Tabla4[[#This Row],[Precio Unitario Neto]]-Tabla4[[#This Row],[20.85%]]</f>
        <v>4928.2541709999996</v>
      </c>
      <c r="M5881" s="282" t="e">
        <f>(INDEX(Tabla6[#All],MATCH(Tabla4[[#This Row],[Producto]],Tabla6[[#All],[PRODUCTO]],0),MATCH(Tabla4[[#This Row],[Mes]],Tabla6[#Headers],0)))*(1+Catalogos!$L$2)</f>
        <v>#N/A</v>
      </c>
      <c r="N5881" s="283" t="e">
        <f>+(Tabla4[[#This Row],[Precio Descontado]]-Tabla4[[#This Row],[Precio Base]])*Tabla4[[#This Row],[Cantidad]]</f>
        <v>#N/A</v>
      </c>
      <c r="O5881" s="284" t="e">
        <f>++Tabla4[[#This Row],[Utilidad Total]]/Tabla4[[#This Row],[Total]]</f>
        <v>#N/A</v>
      </c>
      <c r="P5881" s="282">
        <f>++Tabla4[[#This Row],[Precio Descontado]]*Tabla4[[#This Row],[Cantidad]]</f>
        <v>9856.5083419999992</v>
      </c>
      <c r="Q5881" s="282" t="e">
        <f>(INDEX(Tabla6[#All],MATCH(Tabla4[[#This Row],[Producto]],Tabla6[[#All],[PRODUCTO]],0),MATCH(Tabla4[[#This Row],[Mes]],Tabla6[#Headers],0)))</f>
        <v>#N/A</v>
      </c>
      <c r="R5881" s="282" t="e">
        <f>++Tabla4[[#This Row],[Precio Unitario Neto]]-Tabla4[[#This Row],[20.85%]]-Tabla4[[#This Row],[Costo]]</f>
        <v>#N/A</v>
      </c>
      <c r="S5881" s="282" t="e">
        <f>++Tabla4[[#This Row],[U. Bruta Uni]]*Tabla4[[#This Row],[Cantidad]]</f>
        <v>#N/A</v>
      </c>
      <c r="T5881" s="369" t="str">
        <f>VLOOKUP(Tabla4[[#This Row],[Producto]],Tabla6[#All],14,FALSE)</f>
        <v>Termico Solar</v>
      </c>
      <c r="U5881" s="284" t="e">
        <f>(IF(Tabla4[[#This Row],[Familia]]="termico solar",Tabla4[[#This Row],[Utilidad Total]]*6%,Tabla4[[#This Row],[Utilidad Total]]*11.5%))/Tabla4[[#This Row],[Total]]</f>
        <v>#N/A</v>
      </c>
      <c r="V5881" s="282" t="e">
        <f>+Tabla4[[#This Row],[Comisión Calculada]]*Tabla4[[#This Row],[Total]]</f>
        <v>#N/A</v>
      </c>
    </row>
    <row r="5882" spans="1:22" hidden="1" x14ac:dyDescent="0.25">
      <c r="A5882" s="100">
        <v>45930</v>
      </c>
      <c r="B5882" t="str">
        <f t="shared" si="279"/>
        <v>September</v>
      </c>
      <c r="C5882" s="46" t="s">
        <v>280</v>
      </c>
      <c r="F5882" s="366" t="s">
        <v>3023</v>
      </c>
      <c r="G5882" s="46" t="s">
        <v>208</v>
      </c>
      <c r="H5882" s="46">
        <v>1</v>
      </c>
      <c r="I5882" s="51">
        <v>189.75</v>
      </c>
      <c r="J5882" s="281">
        <f>++Tabla4[[#This Row],[Precio Bruto]]*1.16</f>
        <v>220.10999999999999</v>
      </c>
      <c r="K5882" s="281">
        <f>+Tabla4[[#This Row],[Precio Unitario Neto]]*Tabla4[[#Headers],[20.85%]]</f>
        <v>45.892934999999994</v>
      </c>
      <c r="L5882" s="282">
        <f>++Tabla4[[#This Row],[Precio Unitario Neto]]-Tabla4[[#This Row],[20.85%]]</f>
        <v>174.21706499999999</v>
      </c>
      <c r="M5882" s="282" t="e">
        <f>(INDEX(Tabla6[#All],MATCH(Tabla4[[#This Row],[Producto]],Tabla6[[#All],[PRODUCTO]],0),MATCH(Tabla4[[#This Row],[Mes]],Tabla6[#Headers],0)))*(1+Catalogos!$L$2)</f>
        <v>#N/A</v>
      </c>
      <c r="N5882" s="283" t="e">
        <f>+(Tabla4[[#This Row],[Precio Descontado]]-Tabla4[[#This Row],[Precio Base]])*Tabla4[[#This Row],[Cantidad]]</f>
        <v>#N/A</v>
      </c>
      <c r="O5882" s="284" t="e">
        <f>++Tabla4[[#This Row],[Utilidad Total]]/Tabla4[[#This Row],[Total]]</f>
        <v>#N/A</v>
      </c>
      <c r="P5882" s="282">
        <f>++Tabla4[[#This Row],[Precio Descontado]]*Tabla4[[#This Row],[Cantidad]]</f>
        <v>174.21706499999999</v>
      </c>
      <c r="Q5882" s="282" t="e">
        <f>(INDEX(Tabla6[#All],MATCH(Tabla4[[#This Row],[Producto]],Tabla6[[#All],[PRODUCTO]],0),MATCH(Tabla4[[#This Row],[Mes]],Tabla6[#Headers],0)))</f>
        <v>#N/A</v>
      </c>
      <c r="R5882" s="282" t="e">
        <f>++Tabla4[[#This Row],[Precio Unitario Neto]]-Tabla4[[#This Row],[20.85%]]-Tabla4[[#This Row],[Costo]]</f>
        <v>#N/A</v>
      </c>
      <c r="S5882" s="282" t="e">
        <f>++Tabla4[[#This Row],[U. Bruta Uni]]*Tabla4[[#This Row],[Cantidad]]</f>
        <v>#N/A</v>
      </c>
      <c r="T5882" s="369" t="str">
        <f>VLOOKUP(Tabla4[[#This Row],[Producto]],Tabla6[#All],14,FALSE)</f>
        <v>Termico Solar</v>
      </c>
      <c r="U5882" s="284" t="e">
        <f>(IF(Tabla4[[#This Row],[Familia]]="termico solar",Tabla4[[#This Row],[Utilidad Total]]*6%,Tabla4[[#This Row],[Utilidad Total]]*11.5%))/Tabla4[[#This Row],[Total]]</f>
        <v>#N/A</v>
      </c>
      <c r="V5882" s="282" t="e">
        <f>+Tabla4[[#This Row],[Comisión Calculada]]*Tabla4[[#This Row],[Total]]</f>
        <v>#N/A</v>
      </c>
    </row>
    <row r="5883" spans="1:22" hidden="1" x14ac:dyDescent="0.25">
      <c r="A5883" s="100">
        <v>45930</v>
      </c>
      <c r="B5883" t="str">
        <f t="shared" si="279"/>
        <v>September</v>
      </c>
      <c r="C5883" s="46" t="s">
        <v>280</v>
      </c>
      <c r="F5883" s="366" t="s">
        <v>3024</v>
      </c>
      <c r="G5883" s="46" t="s">
        <v>83</v>
      </c>
      <c r="H5883" s="46">
        <v>2</v>
      </c>
      <c r="I5883" s="51">
        <v>8858.76</v>
      </c>
      <c r="J5883" s="281">
        <f>++Tabla4[[#This Row],[Precio Bruto]]*1.16</f>
        <v>10276.161599999999</v>
      </c>
      <c r="K5883" s="281">
        <f>+Tabla4[[#This Row],[Precio Unitario Neto]]*Tabla4[[#Headers],[20.85%]]</f>
        <v>2142.5796935999997</v>
      </c>
      <c r="L5883" s="282">
        <f>++Tabla4[[#This Row],[Precio Unitario Neto]]-Tabla4[[#This Row],[20.85%]]</f>
        <v>8133.5819063999998</v>
      </c>
      <c r="M5883" s="282" t="e">
        <f>(INDEX(Tabla6[#All],MATCH(Tabla4[[#This Row],[Producto]],Tabla6[[#All],[PRODUCTO]],0),MATCH(Tabla4[[#This Row],[Mes]],Tabla6[#Headers],0)))*(1+Catalogos!$L$2)</f>
        <v>#N/A</v>
      </c>
      <c r="N5883" s="283" t="e">
        <f>+(Tabla4[[#This Row],[Precio Descontado]]-Tabla4[[#This Row],[Precio Base]])*Tabla4[[#This Row],[Cantidad]]</f>
        <v>#N/A</v>
      </c>
      <c r="O5883" s="284" t="e">
        <f>++Tabla4[[#This Row],[Utilidad Total]]/Tabla4[[#This Row],[Total]]</f>
        <v>#N/A</v>
      </c>
      <c r="P5883" s="282">
        <f>++Tabla4[[#This Row],[Precio Descontado]]*Tabla4[[#This Row],[Cantidad]]</f>
        <v>16267.1638128</v>
      </c>
      <c r="Q5883" s="282" t="e">
        <f>(INDEX(Tabla6[#All],MATCH(Tabla4[[#This Row],[Producto]],Tabla6[[#All],[PRODUCTO]],0),MATCH(Tabla4[[#This Row],[Mes]],Tabla6[#Headers],0)))</f>
        <v>#N/A</v>
      </c>
      <c r="R5883" s="282" t="e">
        <f>++Tabla4[[#This Row],[Precio Unitario Neto]]-Tabla4[[#This Row],[20.85%]]-Tabla4[[#This Row],[Costo]]</f>
        <v>#N/A</v>
      </c>
      <c r="S5883" s="282" t="e">
        <f>++Tabla4[[#This Row],[U. Bruta Uni]]*Tabla4[[#This Row],[Cantidad]]</f>
        <v>#N/A</v>
      </c>
      <c r="T5883" s="369" t="str">
        <f>VLOOKUP(Tabla4[[#This Row],[Producto]],Tabla6[#All],14,FALSE)</f>
        <v>Termico Solar</v>
      </c>
      <c r="U5883" s="284" t="e">
        <f>(IF(Tabla4[[#This Row],[Familia]]="termico solar",Tabla4[[#This Row],[Utilidad Total]]*6%,Tabla4[[#This Row],[Utilidad Total]]*11.5%))/Tabla4[[#This Row],[Total]]</f>
        <v>#N/A</v>
      </c>
      <c r="V5883" s="282" t="e">
        <f>+Tabla4[[#This Row],[Comisión Calculada]]*Tabla4[[#This Row],[Total]]</f>
        <v>#N/A</v>
      </c>
    </row>
    <row r="5884" spans="1:22" hidden="1" x14ac:dyDescent="0.25">
      <c r="A5884" s="100">
        <v>45930</v>
      </c>
      <c r="B5884" t="str">
        <f t="shared" si="279"/>
        <v>September</v>
      </c>
      <c r="C5884" s="46" t="s">
        <v>280</v>
      </c>
      <c r="F5884" s="366" t="s">
        <v>3024</v>
      </c>
      <c r="G5884" s="46" t="s">
        <v>17</v>
      </c>
      <c r="H5884" s="46">
        <v>1</v>
      </c>
      <c r="I5884" s="51">
        <v>4622.28</v>
      </c>
      <c r="J5884" s="281">
        <f>++Tabla4[[#This Row],[Precio Bruto]]*1.16</f>
        <v>5361.8447999999989</v>
      </c>
      <c r="K5884" s="281">
        <f>+Tabla4[[#This Row],[Precio Unitario Neto]]*Tabla4[[#Headers],[20.85%]]</f>
        <v>1117.9446407999997</v>
      </c>
      <c r="L5884" s="282">
        <f>++Tabla4[[#This Row],[Precio Unitario Neto]]-Tabla4[[#This Row],[20.85%]]</f>
        <v>4243.9001591999995</v>
      </c>
      <c r="M5884" s="282" t="e">
        <f>(INDEX(Tabla6[#All],MATCH(Tabla4[[#This Row],[Producto]],Tabla6[[#All],[PRODUCTO]],0),MATCH(Tabla4[[#This Row],[Mes]],Tabla6[#Headers],0)))*(1+Catalogos!$L$2)</f>
        <v>#N/A</v>
      </c>
      <c r="N5884" s="283" t="e">
        <f>+(Tabla4[[#This Row],[Precio Descontado]]-Tabla4[[#This Row],[Precio Base]])*Tabla4[[#This Row],[Cantidad]]</f>
        <v>#N/A</v>
      </c>
      <c r="O5884" s="284" t="e">
        <f>++Tabla4[[#This Row],[Utilidad Total]]/Tabla4[[#This Row],[Total]]</f>
        <v>#N/A</v>
      </c>
      <c r="P5884" s="282">
        <f>++Tabla4[[#This Row],[Precio Descontado]]*Tabla4[[#This Row],[Cantidad]]</f>
        <v>4243.9001591999995</v>
      </c>
      <c r="Q5884" s="282" t="e">
        <f>(INDEX(Tabla6[#All],MATCH(Tabla4[[#This Row],[Producto]],Tabla6[[#All],[PRODUCTO]],0),MATCH(Tabla4[[#This Row],[Mes]],Tabla6[#Headers],0)))</f>
        <v>#N/A</v>
      </c>
      <c r="R5884" s="282" t="e">
        <f>++Tabla4[[#This Row],[Precio Unitario Neto]]-Tabla4[[#This Row],[20.85%]]-Tabla4[[#This Row],[Costo]]</f>
        <v>#N/A</v>
      </c>
      <c r="S5884" s="282" t="e">
        <f>++Tabla4[[#This Row],[U. Bruta Uni]]*Tabla4[[#This Row],[Cantidad]]</f>
        <v>#N/A</v>
      </c>
      <c r="T5884" s="369" t="str">
        <f>VLOOKUP(Tabla4[[#This Row],[Producto]],Tabla6[#All],14,FALSE)</f>
        <v>Termico Solar</v>
      </c>
      <c r="U5884" s="284" t="e">
        <f>(IF(Tabla4[[#This Row],[Familia]]="termico solar",Tabla4[[#This Row],[Utilidad Total]]*6%,Tabla4[[#This Row],[Utilidad Total]]*11.5%))/Tabla4[[#This Row],[Total]]</f>
        <v>#N/A</v>
      </c>
      <c r="V5884" s="282" t="e">
        <f>+Tabla4[[#This Row],[Comisión Calculada]]*Tabla4[[#This Row],[Total]]</f>
        <v>#N/A</v>
      </c>
    </row>
    <row r="5885" spans="1:22" hidden="1" x14ac:dyDescent="0.25">
      <c r="A5885" s="100">
        <v>45930</v>
      </c>
      <c r="B5885" t="str">
        <f t="shared" si="279"/>
        <v>September</v>
      </c>
      <c r="C5885" s="46" t="s">
        <v>280</v>
      </c>
      <c r="F5885" s="366" t="s">
        <v>3024</v>
      </c>
      <c r="G5885" s="46" t="s">
        <v>16</v>
      </c>
      <c r="H5885" s="46">
        <v>2</v>
      </c>
      <c r="I5885" s="51">
        <v>4103.8500000000004</v>
      </c>
      <c r="J5885" s="281">
        <f>++Tabla4[[#This Row],[Precio Bruto]]*1.16</f>
        <v>4760.4660000000003</v>
      </c>
      <c r="K5885" s="281">
        <f>+Tabla4[[#This Row],[Precio Unitario Neto]]*Tabla4[[#Headers],[20.85%]]</f>
        <v>992.55716100000006</v>
      </c>
      <c r="L5885" s="282">
        <f>++Tabla4[[#This Row],[Precio Unitario Neto]]-Tabla4[[#This Row],[20.85%]]</f>
        <v>3767.9088390000002</v>
      </c>
      <c r="M5885" s="282" t="e">
        <f>(INDEX(Tabla6[#All],MATCH(Tabla4[[#This Row],[Producto]],Tabla6[[#All],[PRODUCTO]],0),MATCH(Tabla4[[#This Row],[Mes]],Tabla6[#Headers],0)))*(1+Catalogos!$L$2)</f>
        <v>#N/A</v>
      </c>
      <c r="N5885" s="283" t="e">
        <f>+(Tabla4[[#This Row],[Precio Descontado]]-Tabla4[[#This Row],[Precio Base]])*Tabla4[[#This Row],[Cantidad]]</f>
        <v>#N/A</v>
      </c>
      <c r="O5885" s="284" t="e">
        <f>++Tabla4[[#This Row],[Utilidad Total]]/Tabla4[[#This Row],[Total]]</f>
        <v>#N/A</v>
      </c>
      <c r="P5885" s="282">
        <f>++Tabla4[[#This Row],[Precio Descontado]]*Tabla4[[#This Row],[Cantidad]]</f>
        <v>7535.8176780000003</v>
      </c>
      <c r="Q5885" s="282" t="e">
        <f>(INDEX(Tabla6[#All],MATCH(Tabla4[[#This Row],[Producto]],Tabla6[[#All],[PRODUCTO]],0),MATCH(Tabla4[[#This Row],[Mes]],Tabla6[#Headers],0)))</f>
        <v>#N/A</v>
      </c>
      <c r="R5885" s="282" t="e">
        <f>++Tabla4[[#This Row],[Precio Unitario Neto]]-Tabla4[[#This Row],[20.85%]]-Tabla4[[#This Row],[Costo]]</f>
        <v>#N/A</v>
      </c>
      <c r="S5885" s="282" t="e">
        <f>++Tabla4[[#This Row],[U. Bruta Uni]]*Tabla4[[#This Row],[Cantidad]]</f>
        <v>#N/A</v>
      </c>
      <c r="T5885" s="369" t="str">
        <f>VLOOKUP(Tabla4[[#This Row],[Producto]],Tabla6[#All],14,FALSE)</f>
        <v>Termico Solar</v>
      </c>
      <c r="U5885" s="284" t="e">
        <f>(IF(Tabla4[[#This Row],[Familia]]="termico solar",Tabla4[[#This Row],[Utilidad Total]]*6%,Tabla4[[#This Row],[Utilidad Total]]*11.5%))/Tabla4[[#This Row],[Total]]</f>
        <v>#N/A</v>
      </c>
      <c r="V5885" s="282" t="e">
        <f>+Tabla4[[#This Row],[Comisión Calculada]]*Tabla4[[#This Row],[Total]]</f>
        <v>#N/A</v>
      </c>
    </row>
    <row r="5886" spans="1:22" hidden="1" x14ac:dyDescent="0.25">
      <c r="A5886" s="100">
        <v>45930</v>
      </c>
      <c r="B5886" t="str">
        <f t="shared" si="279"/>
        <v>September</v>
      </c>
      <c r="C5886" s="46" t="s">
        <v>280</v>
      </c>
      <c r="F5886" s="366" t="s">
        <v>3025</v>
      </c>
      <c r="G5886" s="46" t="s">
        <v>16</v>
      </c>
      <c r="H5886" s="46">
        <v>1</v>
      </c>
      <c r="I5886" s="51">
        <v>4103.8500000000004</v>
      </c>
      <c r="J5886" s="281">
        <f>++Tabla4[[#This Row],[Precio Bruto]]*1.16</f>
        <v>4760.4660000000003</v>
      </c>
      <c r="K5886" s="281">
        <f>+Tabla4[[#This Row],[Precio Unitario Neto]]*Tabla4[[#Headers],[20.85%]]</f>
        <v>992.55716100000006</v>
      </c>
      <c r="L5886" s="282">
        <f>++Tabla4[[#This Row],[Precio Unitario Neto]]-Tabla4[[#This Row],[20.85%]]</f>
        <v>3767.9088390000002</v>
      </c>
      <c r="M5886" s="282" t="e">
        <f>(INDEX(Tabla6[#All],MATCH(Tabla4[[#This Row],[Producto]],Tabla6[[#All],[PRODUCTO]],0),MATCH(Tabla4[[#This Row],[Mes]],Tabla6[#Headers],0)))*(1+Catalogos!$L$2)</f>
        <v>#N/A</v>
      </c>
      <c r="N5886" s="283" t="e">
        <f>+(Tabla4[[#This Row],[Precio Descontado]]-Tabla4[[#This Row],[Precio Base]])*Tabla4[[#This Row],[Cantidad]]</f>
        <v>#N/A</v>
      </c>
      <c r="O5886" s="284" t="e">
        <f>++Tabla4[[#This Row],[Utilidad Total]]/Tabla4[[#This Row],[Total]]</f>
        <v>#N/A</v>
      </c>
      <c r="P5886" s="282">
        <f>++Tabla4[[#This Row],[Precio Descontado]]*Tabla4[[#This Row],[Cantidad]]</f>
        <v>3767.9088390000002</v>
      </c>
      <c r="Q5886" s="282" t="e">
        <f>(INDEX(Tabla6[#All],MATCH(Tabla4[[#This Row],[Producto]],Tabla6[[#All],[PRODUCTO]],0),MATCH(Tabla4[[#This Row],[Mes]],Tabla6[#Headers],0)))</f>
        <v>#N/A</v>
      </c>
      <c r="R5886" s="282" t="e">
        <f>++Tabla4[[#This Row],[Precio Unitario Neto]]-Tabla4[[#This Row],[20.85%]]-Tabla4[[#This Row],[Costo]]</f>
        <v>#N/A</v>
      </c>
      <c r="S5886" s="282" t="e">
        <f>++Tabla4[[#This Row],[U. Bruta Uni]]*Tabla4[[#This Row],[Cantidad]]</f>
        <v>#N/A</v>
      </c>
      <c r="T5886" s="369" t="str">
        <f>VLOOKUP(Tabla4[[#This Row],[Producto]],Tabla6[#All],14,FALSE)</f>
        <v>Termico Solar</v>
      </c>
      <c r="U5886" s="284" t="e">
        <f>(IF(Tabla4[[#This Row],[Familia]]="termico solar",Tabla4[[#This Row],[Utilidad Total]]*6%,Tabla4[[#This Row],[Utilidad Total]]*11.5%))/Tabla4[[#This Row],[Total]]</f>
        <v>#N/A</v>
      </c>
      <c r="V5886" s="282" t="e">
        <f>+Tabla4[[#This Row],[Comisión Calculada]]*Tabla4[[#This Row],[Total]]</f>
        <v>#N/A</v>
      </c>
    </row>
    <row r="5887" spans="1:22" hidden="1" x14ac:dyDescent="0.25">
      <c r="A5887" s="100">
        <v>45930</v>
      </c>
      <c r="B5887" t="str">
        <f t="shared" si="279"/>
        <v>September</v>
      </c>
      <c r="C5887" s="46" t="s">
        <v>280</v>
      </c>
      <c r="F5887" s="366" t="s">
        <v>3025</v>
      </c>
      <c r="G5887" s="46" t="s">
        <v>208</v>
      </c>
      <c r="H5887" s="46">
        <v>5</v>
      </c>
      <c r="I5887" s="51">
        <v>189.75</v>
      </c>
      <c r="J5887" s="281">
        <f>++Tabla4[[#This Row],[Precio Bruto]]*1.16</f>
        <v>220.10999999999999</v>
      </c>
      <c r="K5887" s="281">
        <f>+Tabla4[[#This Row],[Precio Unitario Neto]]*Tabla4[[#Headers],[20.85%]]</f>
        <v>45.892934999999994</v>
      </c>
      <c r="L5887" s="282">
        <f>++Tabla4[[#This Row],[Precio Unitario Neto]]-Tabla4[[#This Row],[20.85%]]</f>
        <v>174.21706499999999</v>
      </c>
      <c r="M5887" s="282" t="e">
        <f>(INDEX(Tabla6[#All],MATCH(Tabla4[[#This Row],[Producto]],Tabla6[[#All],[PRODUCTO]],0),MATCH(Tabla4[[#This Row],[Mes]],Tabla6[#Headers],0)))*(1+Catalogos!$L$2)</f>
        <v>#N/A</v>
      </c>
      <c r="N5887" s="283" t="e">
        <f>+(Tabla4[[#This Row],[Precio Descontado]]-Tabla4[[#This Row],[Precio Base]])*Tabla4[[#This Row],[Cantidad]]</f>
        <v>#N/A</v>
      </c>
      <c r="O5887" s="284" t="e">
        <f>++Tabla4[[#This Row],[Utilidad Total]]/Tabla4[[#This Row],[Total]]</f>
        <v>#N/A</v>
      </c>
      <c r="P5887" s="282">
        <f>++Tabla4[[#This Row],[Precio Descontado]]*Tabla4[[#This Row],[Cantidad]]</f>
        <v>871.08532500000001</v>
      </c>
      <c r="Q5887" s="282" t="e">
        <f>(INDEX(Tabla6[#All],MATCH(Tabla4[[#This Row],[Producto]],Tabla6[[#All],[PRODUCTO]],0),MATCH(Tabla4[[#This Row],[Mes]],Tabla6[#Headers],0)))</f>
        <v>#N/A</v>
      </c>
      <c r="R5887" s="282" t="e">
        <f>++Tabla4[[#This Row],[Precio Unitario Neto]]-Tabla4[[#This Row],[20.85%]]-Tabla4[[#This Row],[Costo]]</f>
        <v>#N/A</v>
      </c>
      <c r="S5887" s="282" t="e">
        <f>++Tabla4[[#This Row],[U. Bruta Uni]]*Tabla4[[#This Row],[Cantidad]]</f>
        <v>#N/A</v>
      </c>
      <c r="T5887" s="369" t="str">
        <f>VLOOKUP(Tabla4[[#This Row],[Producto]],Tabla6[#All],14,FALSE)</f>
        <v>Termico Solar</v>
      </c>
      <c r="U5887" s="284" t="e">
        <f>(IF(Tabla4[[#This Row],[Familia]]="termico solar",Tabla4[[#This Row],[Utilidad Total]]*6%,Tabla4[[#This Row],[Utilidad Total]]*11.5%))/Tabla4[[#This Row],[Total]]</f>
        <v>#N/A</v>
      </c>
      <c r="V5887" s="282" t="e">
        <f>+Tabla4[[#This Row],[Comisión Calculada]]*Tabla4[[#This Row],[Total]]</f>
        <v>#N/A</v>
      </c>
    </row>
    <row r="5888" spans="1:22" hidden="1" x14ac:dyDescent="0.25">
      <c r="A5888" s="100">
        <v>45930</v>
      </c>
      <c r="B5888" t="str">
        <f t="shared" ref="B5888:B5951" si="280">TEXT(A5888, "mmmm")</f>
        <v>September</v>
      </c>
      <c r="C5888" s="46" t="s">
        <v>280</v>
      </c>
      <c r="F5888" s="366" t="s">
        <v>3026</v>
      </c>
      <c r="G5888" s="46" t="s">
        <v>83</v>
      </c>
      <c r="H5888" s="46">
        <v>1</v>
      </c>
      <c r="I5888" s="51">
        <v>8858.76</v>
      </c>
      <c r="J5888" s="281">
        <f>++Tabla4[[#This Row],[Precio Bruto]]*1.16</f>
        <v>10276.161599999999</v>
      </c>
      <c r="K5888" s="281">
        <f>+Tabla4[[#This Row],[Precio Unitario Neto]]*Tabla4[[#Headers],[20.85%]]</f>
        <v>2142.5796935999997</v>
      </c>
      <c r="L5888" s="282">
        <f>++Tabla4[[#This Row],[Precio Unitario Neto]]-Tabla4[[#This Row],[20.85%]]</f>
        <v>8133.5819063999998</v>
      </c>
      <c r="M5888" s="282" t="e">
        <f>(INDEX(Tabla6[#All],MATCH(Tabla4[[#This Row],[Producto]],Tabla6[[#All],[PRODUCTO]],0),MATCH(Tabla4[[#This Row],[Mes]],Tabla6[#Headers],0)))*(1+Catalogos!$L$2)</f>
        <v>#N/A</v>
      </c>
      <c r="N5888" s="283" t="e">
        <f>+(Tabla4[[#This Row],[Precio Descontado]]-Tabla4[[#This Row],[Precio Base]])*Tabla4[[#This Row],[Cantidad]]</f>
        <v>#N/A</v>
      </c>
      <c r="O5888" s="284" t="e">
        <f>++Tabla4[[#This Row],[Utilidad Total]]/Tabla4[[#This Row],[Total]]</f>
        <v>#N/A</v>
      </c>
      <c r="P5888" s="282">
        <f>++Tabla4[[#This Row],[Precio Descontado]]*Tabla4[[#This Row],[Cantidad]]</f>
        <v>8133.5819063999998</v>
      </c>
      <c r="Q5888" s="282" t="e">
        <f>(INDEX(Tabla6[#All],MATCH(Tabla4[[#This Row],[Producto]],Tabla6[[#All],[PRODUCTO]],0),MATCH(Tabla4[[#This Row],[Mes]],Tabla6[#Headers],0)))</f>
        <v>#N/A</v>
      </c>
      <c r="R5888" s="282" t="e">
        <f>++Tabla4[[#This Row],[Precio Unitario Neto]]-Tabla4[[#This Row],[20.85%]]-Tabla4[[#This Row],[Costo]]</f>
        <v>#N/A</v>
      </c>
      <c r="S5888" s="282" t="e">
        <f>++Tabla4[[#This Row],[U. Bruta Uni]]*Tabla4[[#This Row],[Cantidad]]</f>
        <v>#N/A</v>
      </c>
      <c r="T5888" s="369" t="str">
        <f>VLOOKUP(Tabla4[[#This Row],[Producto]],Tabla6[#All],14,FALSE)</f>
        <v>Termico Solar</v>
      </c>
      <c r="U5888" s="284" t="e">
        <f>(IF(Tabla4[[#This Row],[Familia]]="termico solar",Tabla4[[#This Row],[Utilidad Total]]*6%,Tabla4[[#This Row],[Utilidad Total]]*11.5%))/Tabla4[[#This Row],[Total]]</f>
        <v>#N/A</v>
      </c>
      <c r="V5888" s="282" t="e">
        <f>+Tabla4[[#This Row],[Comisión Calculada]]*Tabla4[[#This Row],[Total]]</f>
        <v>#N/A</v>
      </c>
    </row>
    <row r="5889" spans="1:22" hidden="1" x14ac:dyDescent="0.25">
      <c r="A5889" s="100">
        <v>45930</v>
      </c>
      <c r="B5889" t="str">
        <f t="shared" si="280"/>
        <v>September</v>
      </c>
      <c r="C5889" s="46" t="s">
        <v>280</v>
      </c>
      <c r="F5889" s="366" t="s">
        <v>3026</v>
      </c>
      <c r="G5889" s="46" t="s">
        <v>17</v>
      </c>
      <c r="H5889" s="46">
        <v>3</v>
      </c>
      <c r="I5889" s="51">
        <v>4622.28</v>
      </c>
      <c r="J5889" s="281">
        <f>++Tabla4[[#This Row],[Precio Bruto]]*1.16</f>
        <v>5361.8447999999989</v>
      </c>
      <c r="K5889" s="281">
        <f>+Tabla4[[#This Row],[Precio Unitario Neto]]*Tabla4[[#Headers],[20.85%]]</f>
        <v>1117.9446407999997</v>
      </c>
      <c r="L5889" s="282">
        <f>++Tabla4[[#This Row],[Precio Unitario Neto]]-Tabla4[[#This Row],[20.85%]]</f>
        <v>4243.9001591999995</v>
      </c>
      <c r="M5889" s="282" t="e">
        <f>(INDEX(Tabla6[#All],MATCH(Tabla4[[#This Row],[Producto]],Tabla6[[#All],[PRODUCTO]],0),MATCH(Tabla4[[#This Row],[Mes]],Tabla6[#Headers],0)))*(1+Catalogos!$L$2)</f>
        <v>#N/A</v>
      </c>
      <c r="N5889" s="283" t="e">
        <f>+(Tabla4[[#This Row],[Precio Descontado]]-Tabla4[[#This Row],[Precio Base]])*Tabla4[[#This Row],[Cantidad]]</f>
        <v>#N/A</v>
      </c>
      <c r="O5889" s="284" t="e">
        <f>++Tabla4[[#This Row],[Utilidad Total]]/Tabla4[[#This Row],[Total]]</f>
        <v>#N/A</v>
      </c>
      <c r="P5889" s="282">
        <f>++Tabla4[[#This Row],[Precio Descontado]]*Tabla4[[#This Row],[Cantidad]]</f>
        <v>12731.700477599999</v>
      </c>
      <c r="Q5889" s="282" t="e">
        <f>(INDEX(Tabla6[#All],MATCH(Tabla4[[#This Row],[Producto]],Tabla6[[#All],[PRODUCTO]],0),MATCH(Tabla4[[#This Row],[Mes]],Tabla6[#Headers],0)))</f>
        <v>#N/A</v>
      </c>
      <c r="R5889" s="282" t="e">
        <f>++Tabla4[[#This Row],[Precio Unitario Neto]]-Tabla4[[#This Row],[20.85%]]-Tabla4[[#This Row],[Costo]]</f>
        <v>#N/A</v>
      </c>
      <c r="S5889" s="282" t="e">
        <f>++Tabla4[[#This Row],[U. Bruta Uni]]*Tabla4[[#This Row],[Cantidad]]</f>
        <v>#N/A</v>
      </c>
      <c r="T5889" s="369" t="str">
        <f>VLOOKUP(Tabla4[[#This Row],[Producto]],Tabla6[#All],14,FALSE)</f>
        <v>Termico Solar</v>
      </c>
      <c r="U5889" s="284" t="e">
        <f>(IF(Tabla4[[#This Row],[Familia]]="termico solar",Tabla4[[#This Row],[Utilidad Total]]*6%,Tabla4[[#This Row],[Utilidad Total]]*11.5%))/Tabla4[[#This Row],[Total]]</f>
        <v>#N/A</v>
      </c>
      <c r="V5889" s="282" t="e">
        <f>+Tabla4[[#This Row],[Comisión Calculada]]*Tabla4[[#This Row],[Total]]</f>
        <v>#N/A</v>
      </c>
    </row>
    <row r="5890" spans="1:22" hidden="1" x14ac:dyDescent="0.25">
      <c r="A5890" s="100">
        <v>45930</v>
      </c>
      <c r="B5890" t="str">
        <f t="shared" si="280"/>
        <v>September</v>
      </c>
      <c r="C5890" s="46" t="s">
        <v>280</v>
      </c>
      <c r="F5890" s="366" t="s">
        <v>3026</v>
      </c>
      <c r="G5890" s="46" t="s">
        <v>394</v>
      </c>
      <c r="H5890" s="46">
        <v>9</v>
      </c>
      <c r="I5890" s="51">
        <v>108.1</v>
      </c>
      <c r="J5890" s="281">
        <f>++Tabla4[[#This Row],[Precio Bruto]]*1.16</f>
        <v>125.39599999999999</v>
      </c>
      <c r="K5890" s="281">
        <f>+Tabla4[[#This Row],[Precio Unitario Neto]]*Tabla4[[#Headers],[20.85%]]</f>
        <v>26.145065999999996</v>
      </c>
      <c r="L5890" s="282">
        <f>++Tabla4[[#This Row],[Precio Unitario Neto]]-Tabla4[[#This Row],[20.85%]]</f>
        <v>99.250933999999987</v>
      </c>
      <c r="M5890" s="282" t="e">
        <f>(INDEX(Tabla6[#All],MATCH(Tabla4[[#This Row],[Producto]],Tabla6[[#All],[PRODUCTO]],0),MATCH(Tabla4[[#This Row],[Mes]],Tabla6[#Headers],0)))*(1+Catalogos!$L$2)</f>
        <v>#N/A</v>
      </c>
      <c r="N5890" s="283" t="e">
        <f>+(Tabla4[[#This Row],[Precio Descontado]]-Tabla4[[#This Row],[Precio Base]])*Tabla4[[#This Row],[Cantidad]]</f>
        <v>#N/A</v>
      </c>
      <c r="O5890" s="284" t="e">
        <f>++Tabla4[[#This Row],[Utilidad Total]]/Tabla4[[#This Row],[Total]]</f>
        <v>#N/A</v>
      </c>
      <c r="P5890" s="282">
        <f>++Tabla4[[#This Row],[Precio Descontado]]*Tabla4[[#This Row],[Cantidad]]</f>
        <v>893.25840599999992</v>
      </c>
      <c r="Q5890" s="282" t="e">
        <f>(INDEX(Tabla6[#All],MATCH(Tabla4[[#This Row],[Producto]],Tabla6[[#All],[PRODUCTO]],0),MATCH(Tabla4[[#This Row],[Mes]],Tabla6[#Headers],0)))</f>
        <v>#N/A</v>
      </c>
      <c r="R5890" s="282" t="e">
        <f>++Tabla4[[#This Row],[Precio Unitario Neto]]-Tabla4[[#This Row],[20.85%]]-Tabla4[[#This Row],[Costo]]</f>
        <v>#N/A</v>
      </c>
      <c r="S5890" s="282" t="e">
        <f>++Tabla4[[#This Row],[U. Bruta Uni]]*Tabla4[[#This Row],[Cantidad]]</f>
        <v>#N/A</v>
      </c>
      <c r="T5890" s="369" t="str">
        <f>VLOOKUP(Tabla4[[#This Row],[Producto]],Tabla6[#All],14,FALSE)</f>
        <v>Termico Solar</v>
      </c>
      <c r="U5890" s="284" t="e">
        <f>(IF(Tabla4[[#This Row],[Familia]]="termico solar",Tabla4[[#This Row],[Utilidad Total]]*6%,Tabla4[[#This Row],[Utilidad Total]]*11.5%))/Tabla4[[#This Row],[Total]]</f>
        <v>#N/A</v>
      </c>
      <c r="V5890" s="282" t="e">
        <f>+Tabla4[[#This Row],[Comisión Calculada]]*Tabla4[[#This Row],[Total]]</f>
        <v>#N/A</v>
      </c>
    </row>
    <row r="5891" spans="1:22" hidden="1" x14ac:dyDescent="0.25">
      <c r="A5891" s="100">
        <v>45930</v>
      </c>
      <c r="B5891" t="str">
        <f t="shared" si="280"/>
        <v>September</v>
      </c>
      <c r="C5891" s="46" t="s">
        <v>280</v>
      </c>
      <c r="F5891" s="366" t="s">
        <v>3026</v>
      </c>
      <c r="G5891" s="46" t="s">
        <v>16</v>
      </c>
      <c r="H5891" s="46">
        <v>1</v>
      </c>
      <c r="I5891" s="51">
        <v>4103.8500000000004</v>
      </c>
      <c r="J5891" s="281">
        <f>++Tabla4[[#This Row],[Precio Bruto]]*1.16</f>
        <v>4760.4660000000003</v>
      </c>
      <c r="K5891" s="281">
        <f>+Tabla4[[#This Row],[Precio Unitario Neto]]*Tabla4[[#Headers],[20.85%]]</f>
        <v>992.55716100000006</v>
      </c>
      <c r="L5891" s="282">
        <f>++Tabla4[[#This Row],[Precio Unitario Neto]]-Tabla4[[#This Row],[20.85%]]</f>
        <v>3767.9088390000002</v>
      </c>
      <c r="M5891" s="282" t="e">
        <f>(INDEX(Tabla6[#All],MATCH(Tabla4[[#This Row],[Producto]],Tabla6[[#All],[PRODUCTO]],0),MATCH(Tabla4[[#This Row],[Mes]],Tabla6[#Headers],0)))*(1+Catalogos!$L$2)</f>
        <v>#N/A</v>
      </c>
      <c r="N5891" s="283" t="e">
        <f>+(Tabla4[[#This Row],[Precio Descontado]]-Tabla4[[#This Row],[Precio Base]])*Tabla4[[#This Row],[Cantidad]]</f>
        <v>#N/A</v>
      </c>
      <c r="O5891" s="284" t="e">
        <f>++Tabla4[[#This Row],[Utilidad Total]]/Tabla4[[#This Row],[Total]]</f>
        <v>#N/A</v>
      </c>
      <c r="P5891" s="282">
        <f>++Tabla4[[#This Row],[Precio Descontado]]*Tabla4[[#This Row],[Cantidad]]</f>
        <v>3767.9088390000002</v>
      </c>
      <c r="Q5891" s="282" t="e">
        <f>(INDEX(Tabla6[#All],MATCH(Tabla4[[#This Row],[Producto]],Tabla6[[#All],[PRODUCTO]],0),MATCH(Tabla4[[#This Row],[Mes]],Tabla6[#Headers],0)))</f>
        <v>#N/A</v>
      </c>
      <c r="R5891" s="282" t="e">
        <f>++Tabla4[[#This Row],[Precio Unitario Neto]]-Tabla4[[#This Row],[20.85%]]-Tabla4[[#This Row],[Costo]]</f>
        <v>#N/A</v>
      </c>
      <c r="S5891" s="282" t="e">
        <f>++Tabla4[[#This Row],[U. Bruta Uni]]*Tabla4[[#This Row],[Cantidad]]</f>
        <v>#N/A</v>
      </c>
      <c r="T5891" s="369" t="str">
        <f>VLOOKUP(Tabla4[[#This Row],[Producto]],Tabla6[#All],14,FALSE)</f>
        <v>Termico Solar</v>
      </c>
      <c r="U5891" s="284" t="e">
        <f>(IF(Tabla4[[#This Row],[Familia]]="termico solar",Tabla4[[#This Row],[Utilidad Total]]*6%,Tabla4[[#This Row],[Utilidad Total]]*11.5%))/Tabla4[[#This Row],[Total]]</f>
        <v>#N/A</v>
      </c>
      <c r="V5891" s="282" t="e">
        <f>+Tabla4[[#This Row],[Comisión Calculada]]*Tabla4[[#This Row],[Total]]</f>
        <v>#N/A</v>
      </c>
    </row>
    <row r="5892" spans="1:22" hidden="1" x14ac:dyDescent="0.25">
      <c r="A5892" s="100">
        <v>45930</v>
      </c>
      <c r="B5892" t="str">
        <f t="shared" si="280"/>
        <v>September</v>
      </c>
      <c r="C5892" s="46" t="s">
        <v>280</v>
      </c>
      <c r="F5892" s="366" t="s">
        <v>3027</v>
      </c>
      <c r="G5892" s="46" t="s">
        <v>17</v>
      </c>
      <c r="H5892" s="46">
        <v>2</v>
      </c>
      <c r="I5892" s="51">
        <v>4622.28</v>
      </c>
      <c r="J5892" s="281">
        <f>++Tabla4[[#This Row],[Precio Bruto]]*1.16</f>
        <v>5361.8447999999989</v>
      </c>
      <c r="K5892" s="281">
        <f>+Tabla4[[#This Row],[Precio Unitario Neto]]*Tabla4[[#Headers],[20.85%]]</f>
        <v>1117.9446407999997</v>
      </c>
      <c r="L5892" s="282">
        <f>++Tabla4[[#This Row],[Precio Unitario Neto]]-Tabla4[[#This Row],[20.85%]]</f>
        <v>4243.9001591999995</v>
      </c>
      <c r="M5892" s="282" t="e">
        <f>(INDEX(Tabla6[#All],MATCH(Tabla4[[#This Row],[Producto]],Tabla6[[#All],[PRODUCTO]],0),MATCH(Tabla4[[#This Row],[Mes]],Tabla6[#Headers],0)))*(1+Catalogos!$L$2)</f>
        <v>#N/A</v>
      </c>
      <c r="N5892" s="283" t="e">
        <f>+(Tabla4[[#This Row],[Precio Descontado]]-Tabla4[[#This Row],[Precio Base]])*Tabla4[[#This Row],[Cantidad]]</f>
        <v>#N/A</v>
      </c>
      <c r="O5892" s="284" t="e">
        <f>++Tabla4[[#This Row],[Utilidad Total]]/Tabla4[[#This Row],[Total]]</f>
        <v>#N/A</v>
      </c>
      <c r="P5892" s="282">
        <f>++Tabla4[[#This Row],[Precio Descontado]]*Tabla4[[#This Row],[Cantidad]]</f>
        <v>8487.800318399999</v>
      </c>
      <c r="Q5892" s="282" t="e">
        <f>(INDEX(Tabla6[#All],MATCH(Tabla4[[#This Row],[Producto]],Tabla6[[#All],[PRODUCTO]],0),MATCH(Tabla4[[#This Row],[Mes]],Tabla6[#Headers],0)))</f>
        <v>#N/A</v>
      </c>
      <c r="R5892" s="282" t="e">
        <f>++Tabla4[[#This Row],[Precio Unitario Neto]]-Tabla4[[#This Row],[20.85%]]-Tabla4[[#This Row],[Costo]]</f>
        <v>#N/A</v>
      </c>
      <c r="S5892" s="282" t="e">
        <f>++Tabla4[[#This Row],[U. Bruta Uni]]*Tabla4[[#This Row],[Cantidad]]</f>
        <v>#N/A</v>
      </c>
      <c r="T5892" s="369" t="str">
        <f>VLOOKUP(Tabla4[[#This Row],[Producto]],Tabla6[#All],14,FALSE)</f>
        <v>Termico Solar</v>
      </c>
      <c r="U5892" s="284" t="e">
        <f>(IF(Tabla4[[#This Row],[Familia]]="termico solar",Tabla4[[#This Row],[Utilidad Total]]*6%,Tabla4[[#This Row],[Utilidad Total]]*11.5%))/Tabla4[[#This Row],[Total]]</f>
        <v>#N/A</v>
      </c>
      <c r="V5892" s="282" t="e">
        <f>+Tabla4[[#This Row],[Comisión Calculada]]*Tabla4[[#This Row],[Total]]</f>
        <v>#N/A</v>
      </c>
    </row>
    <row r="5893" spans="1:22" hidden="1" x14ac:dyDescent="0.25">
      <c r="A5893" s="100">
        <v>45930</v>
      </c>
      <c r="B5893" t="str">
        <f t="shared" si="280"/>
        <v>September</v>
      </c>
      <c r="C5893" s="46" t="s">
        <v>280</v>
      </c>
      <c r="F5893" s="366" t="s">
        <v>3027</v>
      </c>
      <c r="G5893" s="46" t="s">
        <v>16</v>
      </c>
      <c r="H5893" s="46">
        <v>2</v>
      </c>
      <c r="I5893" s="51">
        <v>4103.8500000000004</v>
      </c>
      <c r="J5893" s="281">
        <f>++Tabla4[[#This Row],[Precio Bruto]]*1.16</f>
        <v>4760.4660000000003</v>
      </c>
      <c r="K5893" s="281">
        <f>+Tabla4[[#This Row],[Precio Unitario Neto]]*Tabla4[[#Headers],[20.85%]]</f>
        <v>992.55716100000006</v>
      </c>
      <c r="L5893" s="282">
        <f>++Tabla4[[#This Row],[Precio Unitario Neto]]-Tabla4[[#This Row],[20.85%]]</f>
        <v>3767.9088390000002</v>
      </c>
      <c r="M5893" s="282" t="e">
        <f>(INDEX(Tabla6[#All],MATCH(Tabla4[[#This Row],[Producto]],Tabla6[[#All],[PRODUCTO]],0),MATCH(Tabla4[[#This Row],[Mes]],Tabla6[#Headers],0)))*(1+Catalogos!$L$2)</f>
        <v>#N/A</v>
      </c>
      <c r="N5893" s="283" t="e">
        <f>+(Tabla4[[#This Row],[Precio Descontado]]-Tabla4[[#This Row],[Precio Base]])*Tabla4[[#This Row],[Cantidad]]</f>
        <v>#N/A</v>
      </c>
      <c r="O5893" s="284" t="e">
        <f>++Tabla4[[#This Row],[Utilidad Total]]/Tabla4[[#This Row],[Total]]</f>
        <v>#N/A</v>
      </c>
      <c r="P5893" s="282">
        <f>++Tabla4[[#This Row],[Precio Descontado]]*Tabla4[[#This Row],[Cantidad]]</f>
        <v>7535.8176780000003</v>
      </c>
      <c r="Q5893" s="282" t="e">
        <f>(INDEX(Tabla6[#All],MATCH(Tabla4[[#This Row],[Producto]],Tabla6[[#All],[PRODUCTO]],0),MATCH(Tabla4[[#This Row],[Mes]],Tabla6[#Headers],0)))</f>
        <v>#N/A</v>
      </c>
      <c r="R5893" s="282" t="e">
        <f>++Tabla4[[#This Row],[Precio Unitario Neto]]-Tabla4[[#This Row],[20.85%]]-Tabla4[[#This Row],[Costo]]</f>
        <v>#N/A</v>
      </c>
      <c r="S5893" s="282" t="e">
        <f>++Tabla4[[#This Row],[U. Bruta Uni]]*Tabla4[[#This Row],[Cantidad]]</f>
        <v>#N/A</v>
      </c>
      <c r="T5893" s="369" t="str">
        <f>VLOOKUP(Tabla4[[#This Row],[Producto]],Tabla6[#All],14,FALSE)</f>
        <v>Termico Solar</v>
      </c>
      <c r="U5893" s="284" t="e">
        <f>(IF(Tabla4[[#This Row],[Familia]]="termico solar",Tabla4[[#This Row],[Utilidad Total]]*6%,Tabla4[[#This Row],[Utilidad Total]]*11.5%))/Tabla4[[#This Row],[Total]]</f>
        <v>#N/A</v>
      </c>
      <c r="V5893" s="282" t="e">
        <f>+Tabla4[[#This Row],[Comisión Calculada]]*Tabla4[[#This Row],[Total]]</f>
        <v>#N/A</v>
      </c>
    </row>
    <row r="5894" spans="1:22" hidden="1" x14ac:dyDescent="0.25">
      <c r="A5894" s="100">
        <v>45930</v>
      </c>
      <c r="B5894" t="str">
        <f t="shared" si="280"/>
        <v>September</v>
      </c>
      <c r="C5894" s="46" t="s">
        <v>280</v>
      </c>
      <c r="F5894" s="366" t="s">
        <v>3028</v>
      </c>
      <c r="G5894" s="46" t="s">
        <v>16</v>
      </c>
      <c r="H5894" s="46">
        <v>1</v>
      </c>
      <c r="I5894" s="51">
        <v>4103.8500000000004</v>
      </c>
      <c r="J5894" s="281">
        <f>++Tabla4[[#This Row],[Precio Bruto]]*1.16</f>
        <v>4760.4660000000003</v>
      </c>
      <c r="K5894" s="281">
        <f>+Tabla4[[#This Row],[Precio Unitario Neto]]*Tabla4[[#Headers],[20.85%]]</f>
        <v>992.55716100000006</v>
      </c>
      <c r="L5894" s="282">
        <f>++Tabla4[[#This Row],[Precio Unitario Neto]]-Tabla4[[#This Row],[20.85%]]</f>
        <v>3767.9088390000002</v>
      </c>
      <c r="M5894" s="282" t="e">
        <f>(INDEX(Tabla6[#All],MATCH(Tabla4[[#This Row],[Producto]],Tabla6[[#All],[PRODUCTO]],0),MATCH(Tabla4[[#This Row],[Mes]],Tabla6[#Headers],0)))*(1+Catalogos!$L$2)</f>
        <v>#N/A</v>
      </c>
      <c r="N5894" s="283" t="e">
        <f>+(Tabla4[[#This Row],[Precio Descontado]]-Tabla4[[#This Row],[Precio Base]])*Tabla4[[#This Row],[Cantidad]]</f>
        <v>#N/A</v>
      </c>
      <c r="O5894" s="284" t="e">
        <f>++Tabla4[[#This Row],[Utilidad Total]]/Tabla4[[#This Row],[Total]]</f>
        <v>#N/A</v>
      </c>
      <c r="P5894" s="282">
        <f>++Tabla4[[#This Row],[Precio Descontado]]*Tabla4[[#This Row],[Cantidad]]</f>
        <v>3767.9088390000002</v>
      </c>
      <c r="Q5894" s="282" t="e">
        <f>(INDEX(Tabla6[#All],MATCH(Tabla4[[#This Row],[Producto]],Tabla6[[#All],[PRODUCTO]],0),MATCH(Tabla4[[#This Row],[Mes]],Tabla6[#Headers],0)))</f>
        <v>#N/A</v>
      </c>
      <c r="R5894" s="282" t="e">
        <f>++Tabla4[[#This Row],[Precio Unitario Neto]]-Tabla4[[#This Row],[20.85%]]-Tabla4[[#This Row],[Costo]]</f>
        <v>#N/A</v>
      </c>
      <c r="S5894" s="282" t="e">
        <f>++Tabla4[[#This Row],[U. Bruta Uni]]*Tabla4[[#This Row],[Cantidad]]</f>
        <v>#N/A</v>
      </c>
      <c r="T5894" s="369" t="str">
        <f>VLOOKUP(Tabla4[[#This Row],[Producto]],Tabla6[#All],14,FALSE)</f>
        <v>Termico Solar</v>
      </c>
      <c r="U5894" s="284" t="e">
        <f>(IF(Tabla4[[#This Row],[Familia]]="termico solar",Tabla4[[#This Row],[Utilidad Total]]*6%,Tabla4[[#This Row],[Utilidad Total]]*11.5%))/Tabla4[[#This Row],[Total]]</f>
        <v>#N/A</v>
      </c>
      <c r="V5894" s="282" t="e">
        <f>+Tabla4[[#This Row],[Comisión Calculada]]*Tabla4[[#This Row],[Total]]</f>
        <v>#N/A</v>
      </c>
    </row>
    <row r="5895" spans="1:22" hidden="1" x14ac:dyDescent="0.25">
      <c r="A5895" s="100">
        <v>45930</v>
      </c>
      <c r="B5895" t="str">
        <f t="shared" si="280"/>
        <v>September</v>
      </c>
      <c r="C5895" s="46" t="s">
        <v>280</v>
      </c>
      <c r="F5895" s="366" t="s">
        <v>3028</v>
      </c>
      <c r="G5895" s="46" t="s">
        <v>208</v>
      </c>
      <c r="H5895" s="46">
        <v>6</v>
      </c>
      <c r="I5895" s="51">
        <v>189.75</v>
      </c>
      <c r="J5895" s="281">
        <f>++Tabla4[[#This Row],[Precio Bruto]]*1.16</f>
        <v>220.10999999999999</v>
      </c>
      <c r="K5895" s="281">
        <f>+Tabla4[[#This Row],[Precio Unitario Neto]]*Tabla4[[#Headers],[20.85%]]</f>
        <v>45.892934999999994</v>
      </c>
      <c r="L5895" s="282">
        <f>++Tabla4[[#This Row],[Precio Unitario Neto]]-Tabla4[[#This Row],[20.85%]]</f>
        <v>174.21706499999999</v>
      </c>
      <c r="M5895" s="282" t="e">
        <f>(INDEX(Tabla6[#All],MATCH(Tabla4[[#This Row],[Producto]],Tabla6[[#All],[PRODUCTO]],0),MATCH(Tabla4[[#This Row],[Mes]],Tabla6[#Headers],0)))*(1+Catalogos!$L$2)</f>
        <v>#N/A</v>
      </c>
      <c r="N5895" s="283" t="e">
        <f>+(Tabla4[[#This Row],[Precio Descontado]]-Tabla4[[#This Row],[Precio Base]])*Tabla4[[#This Row],[Cantidad]]</f>
        <v>#N/A</v>
      </c>
      <c r="O5895" s="284" t="e">
        <f>++Tabla4[[#This Row],[Utilidad Total]]/Tabla4[[#This Row],[Total]]</f>
        <v>#N/A</v>
      </c>
      <c r="P5895" s="282">
        <f>++Tabla4[[#This Row],[Precio Descontado]]*Tabla4[[#This Row],[Cantidad]]</f>
        <v>1045.3023899999998</v>
      </c>
      <c r="Q5895" s="282" t="e">
        <f>(INDEX(Tabla6[#All],MATCH(Tabla4[[#This Row],[Producto]],Tabla6[[#All],[PRODUCTO]],0),MATCH(Tabla4[[#This Row],[Mes]],Tabla6[#Headers],0)))</f>
        <v>#N/A</v>
      </c>
      <c r="R5895" s="282" t="e">
        <f>++Tabla4[[#This Row],[Precio Unitario Neto]]-Tabla4[[#This Row],[20.85%]]-Tabla4[[#This Row],[Costo]]</f>
        <v>#N/A</v>
      </c>
      <c r="S5895" s="282" t="e">
        <f>++Tabla4[[#This Row],[U. Bruta Uni]]*Tabla4[[#This Row],[Cantidad]]</f>
        <v>#N/A</v>
      </c>
      <c r="T5895" s="369" t="str">
        <f>VLOOKUP(Tabla4[[#This Row],[Producto]],Tabla6[#All],14,FALSE)</f>
        <v>Termico Solar</v>
      </c>
      <c r="U5895" s="284" t="e">
        <f>(IF(Tabla4[[#This Row],[Familia]]="termico solar",Tabla4[[#This Row],[Utilidad Total]]*6%,Tabla4[[#This Row],[Utilidad Total]]*11.5%))/Tabla4[[#This Row],[Total]]</f>
        <v>#N/A</v>
      </c>
      <c r="V5895" s="282" t="e">
        <f>+Tabla4[[#This Row],[Comisión Calculada]]*Tabla4[[#This Row],[Total]]</f>
        <v>#N/A</v>
      </c>
    </row>
    <row r="5896" spans="1:22" hidden="1" x14ac:dyDescent="0.25">
      <c r="A5896" s="100">
        <v>45930</v>
      </c>
      <c r="B5896" t="str">
        <f t="shared" si="280"/>
        <v>September</v>
      </c>
      <c r="C5896" s="46" t="s">
        <v>280</v>
      </c>
      <c r="F5896" s="366" t="s">
        <v>3029</v>
      </c>
      <c r="G5896" s="46" t="s">
        <v>83</v>
      </c>
      <c r="H5896" s="46">
        <v>1</v>
      </c>
      <c r="I5896" s="51">
        <v>8858.76</v>
      </c>
      <c r="J5896" s="281">
        <f>++Tabla4[[#This Row],[Precio Bruto]]*1.16</f>
        <v>10276.161599999999</v>
      </c>
      <c r="K5896" s="281">
        <f>+Tabla4[[#This Row],[Precio Unitario Neto]]*Tabla4[[#Headers],[20.85%]]</f>
        <v>2142.5796935999997</v>
      </c>
      <c r="L5896" s="282">
        <f>++Tabla4[[#This Row],[Precio Unitario Neto]]-Tabla4[[#This Row],[20.85%]]</f>
        <v>8133.5819063999998</v>
      </c>
      <c r="M5896" s="282" t="e">
        <f>(INDEX(Tabla6[#All],MATCH(Tabla4[[#This Row],[Producto]],Tabla6[[#All],[PRODUCTO]],0),MATCH(Tabla4[[#This Row],[Mes]],Tabla6[#Headers],0)))*(1+Catalogos!$L$2)</f>
        <v>#N/A</v>
      </c>
      <c r="N5896" s="283" t="e">
        <f>+(Tabla4[[#This Row],[Precio Descontado]]-Tabla4[[#This Row],[Precio Base]])*Tabla4[[#This Row],[Cantidad]]</f>
        <v>#N/A</v>
      </c>
      <c r="O5896" s="284" t="e">
        <f>++Tabla4[[#This Row],[Utilidad Total]]/Tabla4[[#This Row],[Total]]</f>
        <v>#N/A</v>
      </c>
      <c r="P5896" s="282">
        <f>++Tabla4[[#This Row],[Precio Descontado]]*Tabla4[[#This Row],[Cantidad]]</f>
        <v>8133.5819063999998</v>
      </c>
      <c r="Q5896" s="282" t="e">
        <f>(INDEX(Tabla6[#All],MATCH(Tabla4[[#This Row],[Producto]],Tabla6[[#All],[PRODUCTO]],0),MATCH(Tabla4[[#This Row],[Mes]],Tabla6[#Headers],0)))</f>
        <v>#N/A</v>
      </c>
      <c r="R5896" s="282" t="e">
        <f>++Tabla4[[#This Row],[Precio Unitario Neto]]-Tabla4[[#This Row],[20.85%]]-Tabla4[[#This Row],[Costo]]</f>
        <v>#N/A</v>
      </c>
      <c r="S5896" s="282" t="e">
        <f>++Tabla4[[#This Row],[U. Bruta Uni]]*Tabla4[[#This Row],[Cantidad]]</f>
        <v>#N/A</v>
      </c>
      <c r="T5896" s="369" t="str">
        <f>VLOOKUP(Tabla4[[#This Row],[Producto]],Tabla6[#All],14,FALSE)</f>
        <v>Termico Solar</v>
      </c>
      <c r="U5896" s="284" t="e">
        <f>(IF(Tabla4[[#This Row],[Familia]]="termico solar",Tabla4[[#This Row],[Utilidad Total]]*6%,Tabla4[[#This Row],[Utilidad Total]]*11.5%))/Tabla4[[#This Row],[Total]]</f>
        <v>#N/A</v>
      </c>
      <c r="V5896" s="282" t="e">
        <f>+Tabla4[[#This Row],[Comisión Calculada]]*Tabla4[[#This Row],[Total]]</f>
        <v>#N/A</v>
      </c>
    </row>
    <row r="5897" spans="1:22" hidden="1" x14ac:dyDescent="0.25">
      <c r="A5897" s="100">
        <v>45930</v>
      </c>
      <c r="B5897" t="str">
        <f t="shared" si="280"/>
        <v>September</v>
      </c>
      <c r="C5897" s="46" t="s">
        <v>280</v>
      </c>
      <c r="F5897" s="366" t="s">
        <v>3029</v>
      </c>
      <c r="G5897" s="46" t="s">
        <v>566</v>
      </c>
      <c r="H5897" s="46">
        <v>1</v>
      </c>
      <c r="I5897" s="51">
        <v>2109.4499999999998</v>
      </c>
      <c r="J5897" s="281">
        <f>++Tabla4[[#This Row],[Precio Bruto]]*1.16</f>
        <v>2446.9619999999995</v>
      </c>
      <c r="K5897" s="281">
        <f>+Tabla4[[#This Row],[Precio Unitario Neto]]*Tabla4[[#Headers],[20.85%]]</f>
        <v>510.19157699999988</v>
      </c>
      <c r="L5897" s="282">
        <f>++Tabla4[[#This Row],[Precio Unitario Neto]]-Tabla4[[#This Row],[20.85%]]</f>
        <v>1936.7704229999997</v>
      </c>
      <c r="M5897" s="282" t="e">
        <f>(INDEX(Tabla6[#All],MATCH(Tabla4[[#This Row],[Producto]],Tabla6[[#All],[PRODUCTO]],0),MATCH(Tabla4[[#This Row],[Mes]],Tabla6[#Headers],0)))*(1+Catalogos!$L$2)</f>
        <v>#N/A</v>
      </c>
      <c r="N5897" s="283" t="e">
        <f>+(Tabla4[[#This Row],[Precio Descontado]]-Tabla4[[#This Row],[Precio Base]])*Tabla4[[#This Row],[Cantidad]]</f>
        <v>#N/A</v>
      </c>
      <c r="O5897" s="284" t="e">
        <f>++Tabla4[[#This Row],[Utilidad Total]]/Tabla4[[#This Row],[Total]]</f>
        <v>#N/A</v>
      </c>
      <c r="P5897" s="282">
        <f>++Tabla4[[#This Row],[Precio Descontado]]*Tabla4[[#This Row],[Cantidad]]</f>
        <v>1936.7704229999997</v>
      </c>
      <c r="Q5897" s="282" t="e">
        <f>(INDEX(Tabla6[#All],MATCH(Tabla4[[#This Row],[Producto]],Tabla6[[#All],[PRODUCTO]],0),MATCH(Tabla4[[#This Row],[Mes]],Tabla6[#Headers],0)))</f>
        <v>#N/A</v>
      </c>
      <c r="R5897" s="282" t="e">
        <f>++Tabla4[[#This Row],[Precio Unitario Neto]]-Tabla4[[#This Row],[20.85%]]-Tabla4[[#This Row],[Costo]]</f>
        <v>#N/A</v>
      </c>
      <c r="S5897" s="282" t="e">
        <f>++Tabla4[[#This Row],[U. Bruta Uni]]*Tabla4[[#This Row],[Cantidad]]</f>
        <v>#N/A</v>
      </c>
      <c r="T5897" s="369" t="str">
        <f>VLOOKUP(Tabla4[[#This Row],[Producto]],Tabla6[#All],14,FALSE)</f>
        <v>Termico Solar</v>
      </c>
      <c r="U5897" s="284" t="e">
        <f>(IF(Tabla4[[#This Row],[Familia]]="termico solar",Tabla4[[#This Row],[Utilidad Total]]*6%,Tabla4[[#This Row],[Utilidad Total]]*11.5%))/Tabla4[[#This Row],[Total]]</f>
        <v>#N/A</v>
      </c>
      <c r="V5897" s="282" t="e">
        <f>+Tabla4[[#This Row],[Comisión Calculada]]*Tabla4[[#This Row],[Total]]</f>
        <v>#N/A</v>
      </c>
    </row>
    <row r="5898" spans="1:22" hidden="1" x14ac:dyDescent="0.25">
      <c r="A5898" s="100">
        <v>45930</v>
      </c>
      <c r="B5898" t="str">
        <f t="shared" si="280"/>
        <v>September</v>
      </c>
      <c r="C5898" s="46" t="s">
        <v>280</v>
      </c>
      <c r="F5898" s="366" t="s">
        <v>3030</v>
      </c>
      <c r="G5898" s="46" t="s">
        <v>17</v>
      </c>
      <c r="H5898" s="46">
        <v>2</v>
      </c>
      <c r="I5898" s="51">
        <v>4622.28</v>
      </c>
      <c r="J5898" s="281">
        <f>++Tabla4[[#This Row],[Precio Bruto]]*1.16</f>
        <v>5361.8447999999989</v>
      </c>
      <c r="K5898" s="281">
        <f>+Tabla4[[#This Row],[Precio Unitario Neto]]*Tabla4[[#Headers],[20.85%]]</f>
        <v>1117.9446407999997</v>
      </c>
      <c r="L5898" s="282">
        <f>++Tabla4[[#This Row],[Precio Unitario Neto]]-Tabla4[[#This Row],[20.85%]]</f>
        <v>4243.9001591999995</v>
      </c>
      <c r="M5898" s="282" t="e">
        <f>(INDEX(Tabla6[#All],MATCH(Tabla4[[#This Row],[Producto]],Tabla6[[#All],[PRODUCTO]],0),MATCH(Tabla4[[#This Row],[Mes]],Tabla6[#Headers],0)))*(1+Catalogos!$L$2)</f>
        <v>#N/A</v>
      </c>
      <c r="N5898" s="283" t="e">
        <f>+(Tabla4[[#This Row],[Precio Descontado]]-Tabla4[[#This Row],[Precio Base]])*Tabla4[[#This Row],[Cantidad]]</f>
        <v>#N/A</v>
      </c>
      <c r="O5898" s="284" t="e">
        <f>++Tabla4[[#This Row],[Utilidad Total]]/Tabla4[[#This Row],[Total]]</f>
        <v>#N/A</v>
      </c>
      <c r="P5898" s="282">
        <f>++Tabla4[[#This Row],[Precio Descontado]]*Tabla4[[#This Row],[Cantidad]]</f>
        <v>8487.800318399999</v>
      </c>
      <c r="Q5898" s="282" t="e">
        <f>(INDEX(Tabla6[#All],MATCH(Tabla4[[#This Row],[Producto]],Tabla6[[#All],[PRODUCTO]],0),MATCH(Tabla4[[#This Row],[Mes]],Tabla6[#Headers],0)))</f>
        <v>#N/A</v>
      </c>
      <c r="R5898" s="282" t="e">
        <f>++Tabla4[[#This Row],[Precio Unitario Neto]]-Tabla4[[#This Row],[20.85%]]-Tabla4[[#This Row],[Costo]]</f>
        <v>#N/A</v>
      </c>
      <c r="S5898" s="282" t="e">
        <f>++Tabla4[[#This Row],[U. Bruta Uni]]*Tabla4[[#This Row],[Cantidad]]</f>
        <v>#N/A</v>
      </c>
      <c r="T5898" s="369" t="str">
        <f>VLOOKUP(Tabla4[[#This Row],[Producto]],Tabla6[#All],14,FALSE)</f>
        <v>Termico Solar</v>
      </c>
      <c r="U5898" s="284" t="e">
        <f>(IF(Tabla4[[#This Row],[Familia]]="termico solar",Tabla4[[#This Row],[Utilidad Total]]*6%,Tabla4[[#This Row],[Utilidad Total]]*11.5%))/Tabla4[[#This Row],[Total]]</f>
        <v>#N/A</v>
      </c>
      <c r="V5898" s="282" t="e">
        <f>+Tabla4[[#This Row],[Comisión Calculada]]*Tabla4[[#This Row],[Total]]</f>
        <v>#N/A</v>
      </c>
    </row>
    <row r="5899" spans="1:22" hidden="1" x14ac:dyDescent="0.25">
      <c r="A5899" s="100">
        <v>45930</v>
      </c>
      <c r="B5899" t="str">
        <f t="shared" si="280"/>
        <v>September</v>
      </c>
      <c r="C5899" s="46" t="s">
        <v>280</v>
      </c>
      <c r="F5899" s="366" t="s">
        <v>3030</v>
      </c>
      <c r="G5899" s="46" t="s">
        <v>18</v>
      </c>
      <c r="H5899" s="46">
        <v>2</v>
      </c>
      <c r="I5899" s="51">
        <v>5367.65</v>
      </c>
      <c r="J5899" s="281">
        <f>++Tabla4[[#This Row],[Precio Bruto]]*1.16</f>
        <v>6226.4739999999993</v>
      </c>
      <c r="K5899" s="281">
        <f>+Tabla4[[#This Row],[Precio Unitario Neto]]*Tabla4[[#Headers],[20.85%]]</f>
        <v>1298.2198289999999</v>
      </c>
      <c r="L5899" s="282">
        <f>++Tabla4[[#This Row],[Precio Unitario Neto]]-Tabla4[[#This Row],[20.85%]]</f>
        <v>4928.2541709999996</v>
      </c>
      <c r="M5899" s="282" t="e">
        <f>(INDEX(Tabla6[#All],MATCH(Tabla4[[#This Row],[Producto]],Tabla6[[#All],[PRODUCTO]],0),MATCH(Tabla4[[#This Row],[Mes]],Tabla6[#Headers],0)))*(1+Catalogos!$L$2)</f>
        <v>#N/A</v>
      </c>
      <c r="N5899" s="283" t="e">
        <f>+(Tabla4[[#This Row],[Precio Descontado]]-Tabla4[[#This Row],[Precio Base]])*Tabla4[[#This Row],[Cantidad]]</f>
        <v>#N/A</v>
      </c>
      <c r="O5899" s="284" t="e">
        <f>++Tabla4[[#This Row],[Utilidad Total]]/Tabla4[[#This Row],[Total]]</f>
        <v>#N/A</v>
      </c>
      <c r="P5899" s="282">
        <f>++Tabla4[[#This Row],[Precio Descontado]]*Tabla4[[#This Row],[Cantidad]]</f>
        <v>9856.5083419999992</v>
      </c>
      <c r="Q5899" s="282" t="e">
        <f>(INDEX(Tabla6[#All],MATCH(Tabla4[[#This Row],[Producto]],Tabla6[[#All],[PRODUCTO]],0),MATCH(Tabla4[[#This Row],[Mes]],Tabla6[#Headers],0)))</f>
        <v>#N/A</v>
      </c>
      <c r="R5899" s="282" t="e">
        <f>++Tabla4[[#This Row],[Precio Unitario Neto]]-Tabla4[[#This Row],[20.85%]]-Tabla4[[#This Row],[Costo]]</f>
        <v>#N/A</v>
      </c>
      <c r="S5899" s="282" t="e">
        <f>++Tabla4[[#This Row],[U. Bruta Uni]]*Tabla4[[#This Row],[Cantidad]]</f>
        <v>#N/A</v>
      </c>
      <c r="T5899" s="369" t="str">
        <f>VLOOKUP(Tabla4[[#This Row],[Producto]],Tabla6[#All],14,FALSE)</f>
        <v>Termico Solar</v>
      </c>
      <c r="U5899" s="284" t="e">
        <f>(IF(Tabla4[[#This Row],[Familia]]="termico solar",Tabla4[[#This Row],[Utilidad Total]]*6%,Tabla4[[#This Row],[Utilidad Total]]*11.5%))/Tabla4[[#This Row],[Total]]</f>
        <v>#N/A</v>
      </c>
      <c r="V5899" s="282" t="e">
        <f>+Tabla4[[#This Row],[Comisión Calculada]]*Tabla4[[#This Row],[Total]]</f>
        <v>#N/A</v>
      </c>
    </row>
    <row r="5900" spans="1:22" hidden="1" x14ac:dyDescent="0.25">
      <c r="A5900" s="100">
        <v>45930</v>
      </c>
      <c r="B5900" t="str">
        <f t="shared" si="280"/>
        <v>September</v>
      </c>
      <c r="C5900" s="46" t="s">
        <v>280</v>
      </c>
      <c r="F5900" s="366" t="s">
        <v>3031</v>
      </c>
      <c r="G5900" s="46" t="s">
        <v>17</v>
      </c>
      <c r="H5900" s="46">
        <v>3</v>
      </c>
      <c r="I5900" s="51">
        <v>4622.28</v>
      </c>
      <c r="J5900" s="281">
        <f>++Tabla4[[#This Row],[Precio Bruto]]*1.16</f>
        <v>5361.8447999999989</v>
      </c>
      <c r="K5900" s="281">
        <f>+Tabla4[[#This Row],[Precio Unitario Neto]]*Tabla4[[#Headers],[20.85%]]</f>
        <v>1117.9446407999997</v>
      </c>
      <c r="L5900" s="282">
        <f>++Tabla4[[#This Row],[Precio Unitario Neto]]-Tabla4[[#This Row],[20.85%]]</f>
        <v>4243.9001591999995</v>
      </c>
      <c r="M5900" s="282" t="e">
        <f>(INDEX(Tabla6[#All],MATCH(Tabla4[[#This Row],[Producto]],Tabla6[[#All],[PRODUCTO]],0),MATCH(Tabla4[[#This Row],[Mes]],Tabla6[#Headers],0)))*(1+Catalogos!$L$2)</f>
        <v>#N/A</v>
      </c>
      <c r="N5900" s="283" t="e">
        <f>+(Tabla4[[#This Row],[Precio Descontado]]-Tabla4[[#This Row],[Precio Base]])*Tabla4[[#This Row],[Cantidad]]</f>
        <v>#N/A</v>
      </c>
      <c r="O5900" s="284" t="e">
        <f>++Tabla4[[#This Row],[Utilidad Total]]/Tabla4[[#This Row],[Total]]</f>
        <v>#N/A</v>
      </c>
      <c r="P5900" s="282">
        <f>++Tabla4[[#This Row],[Precio Descontado]]*Tabla4[[#This Row],[Cantidad]]</f>
        <v>12731.700477599999</v>
      </c>
      <c r="Q5900" s="282" t="e">
        <f>(INDEX(Tabla6[#All],MATCH(Tabla4[[#This Row],[Producto]],Tabla6[[#All],[PRODUCTO]],0),MATCH(Tabla4[[#This Row],[Mes]],Tabla6[#Headers],0)))</f>
        <v>#N/A</v>
      </c>
      <c r="R5900" s="282" t="e">
        <f>++Tabla4[[#This Row],[Precio Unitario Neto]]-Tabla4[[#This Row],[20.85%]]-Tabla4[[#This Row],[Costo]]</f>
        <v>#N/A</v>
      </c>
      <c r="S5900" s="282" t="e">
        <f>++Tabla4[[#This Row],[U. Bruta Uni]]*Tabla4[[#This Row],[Cantidad]]</f>
        <v>#N/A</v>
      </c>
      <c r="T5900" s="369" t="str">
        <f>VLOOKUP(Tabla4[[#This Row],[Producto]],Tabla6[#All],14,FALSE)</f>
        <v>Termico Solar</v>
      </c>
      <c r="U5900" s="284" t="e">
        <f>(IF(Tabla4[[#This Row],[Familia]]="termico solar",Tabla4[[#This Row],[Utilidad Total]]*6%,Tabla4[[#This Row],[Utilidad Total]]*11.5%))/Tabla4[[#This Row],[Total]]</f>
        <v>#N/A</v>
      </c>
      <c r="V5900" s="282" t="e">
        <f>+Tabla4[[#This Row],[Comisión Calculada]]*Tabla4[[#This Row],[Total]]</f>
        <v>#N/A</v>
      </c>
    </row>
    <row r="5901" spans="1:22" hidden="1" x14ac:dyDescent="0.25">
      <c r="A5901" s="100">
        <v>45930</v>
      </c>
      <c r="B5901" t="str">
        <f t="shared" si="280"/>
        <v>September</v>
      </c>
      <c r="C5901" s="46" t="s">
        <v>280</v>
      </c>
      <c r="F5901" s="366" t="s">
        <v>3031</v>
      </c>
      <c r="G5901" s="46" t="s">
        <v>16</v>
      </c>
      <c r="H5901" s="46">
        <v>3</v>
      </c>
      <c r="I5901" s="51">
        <v>4103.8499999999995</v>
      </c>
      <c r="J5901" s="281">
        <f>++Tabla4[[#This Row],[Precio Bruto]]*1.16</f>
        <v>4760.4659999999994</v>
      </c>
      <c r="K5901" s="281">
        <f>+Tabla4[[#This Row],[Precio Unitario Neto]]*Tabla4[[#Headers],[20.85%]]</f>
        <v>992.55716099999984</v>
      </c>
      <c r="L5901" s="282">
        <f>++Tabla4[[#This Row],[Precio Unitario Neto]]-Tabla4[[#This Row],[20.85%]]</f>
        <v>3767.9088389999997</v>
      </c>
      <c r="M5901" s="282" t="e">
        <f>(INDEX(Tabla6[#All],MATCH(Tabla4[[#This Row],[Producto]],Tabla6[[#All],[PRODUCTO]],0),MATCH(Tabla4[[#This Row],[Mes]],Tabla6[#Headers],0)))*(1+Catalogos!$L$2)</f>
        <v>#N/A</v>
      </c>
      <c r="N5901" s="283" t="e">
        <f>+(Tabla4[[#This Row],[Precio Descontado]]-Tabla4[[#This Row],[Precio Base]])*Tabla4[[#This Row],[Cantidad]]</f>
        <v>#N/A</v>
      </c>
      <c r="O5901" s="284" t="e">
        <f>++Tabla4[[#This Row],[Utilidad Total]]/Tabla4[[#This Row],[Total]]</f>
        <v>#N/A</v>
      </c>
      <c r="P5901" s="282">
        <f>++Tabla4[[#This Row],[Precio Descontado]]*Tabla4[[#This Row],[Cantidad]]</f>
        <v>11303.726516999999</v>
      </c>
      <c r="Q5901" s="282" t="e">
        <f>(INDEX(Tabla6[#All],MATCH(Tabla4[[#This Row],[Producto]],Tabla6[[#All],[PRODUCTO]],0),MATCH(Tabla4[[#This Row],[Mes]],Tabla6[#Headers],0)))</f>
        <v>#N/A</v>
      </c>
      <c r="R5901" s="282" t="e">
        <f>++Tabla4[[#This Row],[Precio Unitario Neto]]-Tabla4[[#This Row],[20.85%]]-Tabla4[[#This Row],[Costo]]</f>
        <v>#N/A</v>
      </c>
      <c r="S5901" s="282" t="e">
        <f>++Tabla4[[#This Row],[U. Bruta Uni]]*Tabla4[[#This Row],[Cantidad]]</f>
        <v>#N/A</v>
      </c>
      <c r="T5901" s="369" t="str">
        <f>VLOOKUP(Tabla4[[#This Row],[Producto]],Tabla6[#All],14,FALSE)</f>
        <v>Termico Solar</v>
      </c>
      <c r="U5901" s="284" t="e">
        <f>(IF(Tabla4[[#This Row],[Familia]]="termico solar",Tabla4[[#This Row],[Utilidad Total]]*6%,Tabla4[[#This Row],[Utilidad Total]]*11.5%))/Tabla4[[#This Row],[Total]]</f>
        <v>#N/A</v>
      </c>
      <c r="V5901" s="282" t="e">
        <f>+Tabla4[[#This Row],[Comisión Calculada]]*Tabla4[[#This Row],[Total]]</f>
        <v>#N/A</v>
      </c>
    </row>
    <row r="5902" spans="1:22" hidden="1" x14ac:dyDescent="0.25">
      <c r="A5902" s="100">
        <v>45930</v>
      </c>
      <c r="B5902" t="str">
        <f t="shared" si="280"/>
        <v>September</v>
      </c>
      <c r="C5902" s="46" t="s">
        <v>280</v>
      </c>
      <c r="F5902" s="366" t="s">
        <v>3032</v>
      </c>
      <c r="G5902" s="46" t="s">
        <v>83</v>
      </c>
      <c r="H5902" s="46">
        <v>2</v>
      </c>
      <c r="I5902" s="51">
        <v>8858.76</v>
      </c>
      <c r="J5902" s="281">
        <f>++Tabla4[[#This Row],[Precio Bruto]]*1.16</f>
        <v>10276.161599999999</v>
      </c>
      <c r="K5902" s="281">
        <f>+Tabla4[[#This Row],[Precio Unitario Neto]]*Tabla4[[#Headers],[20.85%]]</f>
        <v>2142.5796935999997</v>
      </c>
      <c r="L5902" s="282">
        <f>++Tabla4[[#This Row],[Precio Unitario Neto]]-Tabla4[[#This Row],[20.85%]]</f>
        <v>8133.5819063999998</v>
      </c>
      <c r="M5902" s="282" t="e">
        <f>(INDEX(Tabla6[#All],MATCH(Tabla4[[#This Row],[Producto]],Tabla6[[#All],[PRODUCTO]],0),MATCH(Tabla4[[#This Row],[Mes]],Tabla6[#Headers],0)))*(1+Catalogos!$L$2)</f>
        <v>#N/A</v>
      </c>
      <c r="N5902" s="283" t="e">
        <f>+(Tabla4[[#This Row],[Precio Descontado]]-Tabla4[[#This Row],[Precio Base]])*Tabla4[[#This Row],[Cantidad]]</f>
        <v>#N/A</v>
      </c>
      <c r="O5902" s="284" t="e">
        <f>++Tabla4[[#This Row],[Utilidad Total]]/Tabla4[[#This Row],[Total]]</f>
        <v>#N/A</v>
      </c>
      <c r="P5902" s="282">
        <f>++Tabla4[[#This Row],[Precio Descontado]]*Tabla4[[#This Row],[Cantidad]]</f>
        <v>16267.1638128</v>
      </c>
      <c r="Q5902" s="282" t="e">
        <f>(INDEX(Tabla6[#All],MATCH(Tabla4[[#This Row],[Producto]],Tabla6[[#All],[PRODUCTO]],0),MATCH(Tabla4[[#This Row],[Mes]],Tabla6[#Headers],0)))</f>
        <v>#N/A</v>
      </c>
      <c r="R5902" s="282" t="e">
        <f>++Tabla4[[#This Row],[Precio Unitario Neto]]-Tabla4[[#This Row],[20.85%]]-Tabla4[[#This Row],[Costo]]</f>
        <v>#N/A</v>
      </c>
      <c r="S5902" s="282" t="e">
        <f>++Tabla4[[#This Row],[U. Bruta Uni]]*Tabla4[[#This Row],[Cantidad]]</f>
        <v>#N/A</v>
      </c>
      <c r="T5902" s="369" t="str">
        <f>VLOOKUP(Tabla4[[#This Row],[Producto]],Tabla6[#All],14,FALSE)</f>
        <v>Termico Solar</v>
      </c>
      <c r="U5902" s="284" t="e">
        <f>(IF(Tabla4[[#This Row],[Familia]]="termico solar",Tabla4[[#This Row],[Utilidad Total]]*6%,Tabla4[[#This Row],[Utilidad Total]]*11.5%))/Tabla4[[#This Row],[Total]]</f>
        <v>#N/A</v>
      </c>
      <c r="V5902" s="282" t="e">
        <f>+Tabla4[[#This Row],[Comisión Calculada]]*Tabla4[[#This Row],[Total]]</f>
        <v>#N/A</v>
      </c>
    </row>
    <row r="5903" spans="1:22" hidden="1" x14ac:dyDescent="0.25">
      <c r="A5903" s="100">
        <v>45930</v>
      </c>
      <c r="B5903" t="str">
        <f t="shared" si="280"/>
        <v>September</v>
      </c>
      <c r="C5903" s="46" t="s">
        <v>280</v>
      </c>
      <c r="F5903" s="366" t="s">
        <v>3032</v>
      </c>
      <c r="G5903" s="46" t="s">
        <v>18</v>
      </c>
      <c r="H5903" s="46">
        <v>1</v>
      </c>
      <c r="I5903" s="51">
        <v>5367.65</v>
      </c>
      <c r="J5903" s="281">
        <f>++Tabla4[[#This Row],[Precio Bruto]]*1.16</f>
        <v>6226.4739999999993</v>
      </c>
      <c r="K5903" s="281">
        <f>+Tabla4[[#This Row],[Precio Unitario Neto]]*Tabla4[[#Headers],[20.85%]]</f>
        <v>1298.2198289999999</v>
      </c>
      <c r="L5903" s="282">
        <f>++Tabla4[[#This Row],[Precio Unitario Neto]]-Tabla4[[#This Row],[20.85%]]</f>
        <v>4928.2541709999996</v>
      </c>
      <c r="M5903" s="282" t="e">
        <f>(INDEX(Tabla6[#All],MATCH(Tabla4[[#This Row],[Producto]],Tabla6[[#All],[PRODUCTO]],0),MATCH(Tabla4[[#This Row],[Mes]],Tabla6[#Headers],0)))*(1+Catalogos!$L$2)</f>
        <v>#N/A</v>
      </c>
      <c r="N5903" s="283" t="e">
        <f>+(Tabla4[[#This Row],[Precio Descontado]]-Tabla4[[#This Row],[Precio Base]])*Tabla4[[#This Row],[Cantidad]]</f>
        <v>#N/A</v>
      </c>
      <c r="O5903" s="284" t="e">
        <f>++Tabla4[[#This Row],[Utilidad Total]]/Tabla4[[#This Row],[Total]]</f>
        <v>#N/A</v>
      </c>
      <c r="P5903" s="282">
        <f>++Tabla4[[#This Row],[Precio Descontado]]*Tabla4[[#This Row],[Cantidad]]</f>
        <v>4928.2541709999996</v>
      </c>
      <c r="Q5903" s="282" t="e">
        <f>(INDEX(Tabla6[#All],MATCH(Tabla4[[#This Row],[Producto]],Tabla6[[#All],[PRODUCTO]],0),MATCH(Tabla4[[#This Row],[Mes]],Tabla6[#Headers],0)))</f>
        <v>#N/A</v>
      </c>
      <c r="R5903" s="282" t="e">
        <f>++Tabla4[[#This Row],[Precio Unitario Neto]]-Tabla4[[#This Row],[20.85%]]-Tabla4[[#This Row],[Costo]]</f>
        <v>#N/A</v>
      </c>
      <c r="S5903" s="282" t="e">
        <f>++Tabla4[[#This Row],[U. Bruta Uni]]*Tabla4[[#This Row],[Cantidad]]</f>
        <v>#N/A</v>
      </c>
      <c r="T5903" s="369" t="str">
        <f>VLOOKUP(Tabla4[[#This Row],[Producto]],Tabla6[#All],14,FALSE)</f>
        <v>Termico Solar</v>
      </c>
      <c r="U5903" s="284" t="e">
        <f>(IF(Tabla4[[#This Row],[Familia]]="termico solar",Tabla4[[#This Row],[Utilidad Total]]*6%,Tabla4[[#This Row],[Utilidad Total]]*11.5%))/Tabla4[[#This Row],[Total]]</f>
        <v>#N/A</v>
      </c>
      <c r="V5903" s="282" t="e">
        <f>+Tabla4[[#This Row],[Comisión Calculada]]*Tabla4[[#This Row],[Total]]</f>
        <v>#N/A</v>
      </c>
    </row>
    <row r="5904" spans="1:22" hidden="1" x14ac:dyDescent="0.25">
      <c r="A5904" s="100">
        <v>45930</v>
      </c>
      <c r="B5904" t="str">
        <f t="shared" si="280"/>
        <v>September</v>
      </c>
      <c r="C5904" s="46" t="s">
        <v>280</v>
      </c>
      <c r="F5904" s="366" t="s">
        <v>3032</v>
      </c>
      <c r="G5904" s="46" t="s">
        <v>208</v>
      </c>
      <c r="H5904" s="46">
        <v>1</v>
      </c>
      <c r="I5904" s="51">
        <v>189.75</v>
      </c>
      <c r="J5904" s="281">
        <f>++Tabla4[[#This Row],[Precio Bruto]]*1.16</f>
        <v>220.10999999999999</v>
      </c>
      <c r="K5904" s="281">
        <f>+Tabla4[[#This Row],[Precio Unitario Neto]]*Tabla4[[#Headers],[20.85%]]</f>
        <v>45.892934999999994</v>
      </c>
      <c r="L5904" s="282">
        <f>++Tabla4[[#This Row],[Precio Unitario Neto]]-Tabla4[[#This Row],[20.85%]]</f>
        <v>174.21706499999999</v>
      </c>
      <c r="M5904" s="282" t="e">
        <f>(INDEX(Tabla6[#All],MATCH(Tabla4[[#This Row],[Producto]],Tabla6[[#All],[PRODUCTO]],0),MATCH(Tabla4[[#This Row],[Mes]],Tabla6[#Headers],0)))*(1+Catalogos!$L$2)</f>
        <v>#N/A</v>
      </c>
      <c r="N5904" s="283" t="e">
        <f>+(Tabla4[[#This Row],[Precio Descontado]]-Tabla4[[#This Row],[Precio Base]])*Tabla4[[#This Row],[Cantidad]]</f>
        <v>#N/A</v>
      </c>
      <c r="O5904" s="284" t="e">
        <f>++Tabla4[[#This Row],[Utilidad Total]]/Tabla4[[#This Row],[Total]]</f>
        <v>#N/A</v>
      </c>
      <c r="P5904" s="282">
        <f>++Tabla4[[#This Row],[Precio Descontado]]*Tabla4[[#This Row],[Cantidad]]</f>
        <v>174.21706499999999</v>
      </c>
      <c r="Q5904" s="282" t="e">
        <f>(INDEX(Tabla6[#All],MATCH(Tabla4[[#This Row],[Producto]],Tabla6[[#All],[PRODUCTO]],0),MATCH(Tabla4[[#This Row],[Mes]],Tabla6[#Headers],0)))</f>
        <v>#N/A</v>
      </c>
      <c r="R5904" s="282" t="e">
        <f>++Tabla4[[#This Row],[Precio Unitario Neto]]-Tabla4[[#This Row],[20.85%]]-Tabla4[[#This Row],[Costo]]</f>
        <v>#N/A</v>
      </c>
      <c r="S5904" s="282" t="e">
        <f>++Tabla4[[#This Row],[U. Bruta Uni]]*Tabla4[[#This Row],[Cantidad]]</f>
        <v>#N/A</v>
      </c>
      <c r="T5904" s="369" t="str">
        <f>VLOOKUP(Tabla4[[#This Row],[Producto]],Tabla6[#All],14,FALSE)</f>
        <v>Termico Solar</v>
      </c>
      <c r="U5904" s="284" t="e">
        <f>(IF(Tabla4[[#This Row],[Familia]]="termico solar",Tabla4[[#This Row],[Utilidad Total]]*6%,Tabla4[[#This Row],[Utilidad Total]]*11.5%))/Tabla4[[#This Row],[Total]]</f>
        <v>#N/A</v>
      </c>
      <c r="V5904" s="282" t="e">
        <f>+Tabla4[[#This Row],[Comisión Calculada]]*Tabla4[[#This Row],[Total]]</f>
        <v>#N/A</v>
      </c>
    </row>
    <row r="5905" spans="1:22" hidden="1" x14ac:dyDescent="0.25">
      <c r="A5905" s="100">
        <v>45930</v>
      </c>
      <c r="B5905" t="str">
        <f t="shared" si="280"/>
        <v>September</v>
      </c>
      <c r="C5905" s="46" t="s">
        <v>280</v>
      </c>
      <c r="F5905" s="366" t="s">
        <v>3033</v>
      </c>
      <c r="G5905" s="46" t="s">
        <v>83</v>
      </c>
      <c r="H5905" s="46">
        <v>1</v>
      </c>
      <c r="I5905" s="51">
        <v>8858.76</v>
      </c>
      <c r="J5905" s="281">
        <f>++Tabla4[[#This Row],[Precio Bruto]]*1.16</f>
        <v>10276.161599999999</v>
      </c>
      <c r="K5905" s="281">
        <f>+Tabla4[[#This Row],[Precio Unitario Neto]]*Tabla4[[#Headers],[20.85%]]</f>
        <v>2142.5796935999997</v>
      </c>
      <c r="L5905" s="282">
        <f>++Tabla4[[#This Row],[Precio Unitario Neto]]-Tabla4[[#This Row],[20.85%]]</f>
        <v>8133.5819063999998</v>
      </c>
      <c r="M5905" s="282" t="e">
        <f>(INDEX(Tabla6[#All],MATCH(Tabla4[[#This Row],[Producto]],Tabla6[[#All],[PRODUCTO]],0),MATCH(Tabla4[[#This Row],[Mes]],Tabla6[#Headers],0)))*(1+Catalogos!$L$2)</f>
        <v>#N/A</v>
      </c>
      <c r="N5905" s="283" t="e">
        <f>+(Tabla4[[#This Row],[Precio Descontado]]-Tabla4[[#This Row],[Precio Base]])*Tabla4[[#This Row],[Cantidad]]</f>
        <v>#N/A</v>
      </c>
      <c r="O5905" s="284" t="e">
        <f>++Tabla4[[#This Row],[Utilidad Total]]/Tabla4[[#This Row],[Total]]</f>
        <v>#N/A</v>
      </c>
      <c r="P5905" s="282">
        <f>++Tabla4[[#This Row],[Precio Descontado]]*Tabla4[[#This Row],[Cantidad]]</f>
        <v>8133.5819063999998</v>
      </c>
      <c r="Q5905" s="282" t="e">
        <f>(INDEX(Tabla6[#All],MATCH(Tabla4[[#This Row],[Producto]],Tabla6[[#All],[PRODUCTO]],0),MATCH(Tabla4[[#This Row],[Mes]],Tabla6[#Headers],0)))</f>
        <v>#N/A</v>
      </c>
      <c r="R5905" s="282" t="e">
        <f>++Tabla4[[#This Row],[Precio Unitario Neto]]-Tabla4[[#This Row],[20.85%]]-Tabla4[[#This Row],[Costo]]</f>
        <v>#N/A</v>
      </c>
      <c r="S5905" s="282" t="e">
        <f>++Tabla4[[#This Row],[U. Bruta Uni]]*Tabla4[[#This Row],[Cantidad]]</f>
        <v>#N/A</v>
      </c>
      <c r="T5905" s="369" t="str">
        <f>VLOOKUP(Tabla4[[#This Row],[Producto]],Tabla6[#All],14,FALSE)</f>
        <v>Termico Solar</v>
      </c>
      <c r="U5905" s="284" t="e">
        <f>(IF(Tabla4[[#This Row],[Familia]]="termico solar",Tabla4[[#This Row],[Utilidad Total]]*6%,Tabla4[[#This Row],[Utilidad Total]]*11.5%))/Tabla4[[#This Row],[Total]]</f>
        <v>#N/A</v>
      </c>
      <c r="V5905" s="282" t="e">
        <f>+Tabla4[[#This Row],[Comisión Calculada]]*Tabla4[[#This Row],[Total]]</f>
        <v>#N/A</v>
      </c>
    </row>
    <row r="5906" spans="1:22" hidden="1" x14ac:dyDescent="0.25">
      <c r="A5906" s="100">
        <v>45930</v>
      </c>
      <c r="B5906" t="str">
        <f t="shared" si="280"/>
        <v>September</v>
      </c>
      <c r="C5906" s="46" t="s">
        <v>280</v>
      </c>
      <c r="F5906" s="366" t="s">
        <v>3034</v>
      </c>
      <c r="G5906" s="46" t="s">
        <v>566</v>
      </c>
      <c r="H5906" s="46">
        <v>1</v>
      </c>
      <c r="I5906" s="51">
        <v>2109.4499999999998</v>
      </c>
      <c r="J5906" s="281">
        <f>++Tabla4[[#This Row],[Precio Bruto]]*1.16</f>
        <v>2446.9619999999995</v>
      </c>
      <c r="K5906" s="281">
        <f>+Tabla4[[#This Row],[Precio Unitario Neto]]*Tabla4[[#Headers],[20.85%]]</f>
        <v>510.19157699999988</v>
      </c>
      <c r="L5906" s="282">
        <f>++Tabla4[[#This Row],[Precio Unitario Neto]]-Tabla4[[#This Row],[20.85%]]</f>
        <v>1936.7704229999997</v>
      </c>
      <c r="M5906" s="282" t="e">
        <f>(INDEX(Tabla6[#All],MATCH(Tabla4[[#This Row],[Producto]],Tabla6[[#All],[PRODUCTO]],0),MATCH(Tabla4[[#This Row],[Mes]],Tabla6[#Headers],0)))*(1+Catalogos!$L$2)</f>
        <v>#N/A</v>
      </c>
      <c r="N5906" s="283" t="e">
        <f>+(Tabla4[[#This Row],[Precio Descontado]]-Tabla4[[#This Row],[Precio Base]])*Tabla4[[#This Row],[Cantidad]]</f>
        <v>#N/A</v>
      </c>
      <c r="O5906" s="284" t="e">
        <f>++Tabla4[[#This Row],[Utilidad Total]]/Tabla4[[#This Row],[Total]]</f>
        <v>#N/A</v>
      </c>
      <c r="P5906" s="282">
        <f>++Tabla4[[#This Row],[Precio Descontado]]*Tabla4[[#This Row],[Cantidad]]</f>
        <v>1936.7704229999997</v>
      </c>
      <c r="Q5906" s="282" t="e">
        <f>(INDEX(Tabla6[#All],MATCH(Tabla4[[#This Row],[Producto]],Tabla6[[#All],[PRODUCTO]],0),MATCH(Tabla4[[#This Row],[Mes]],Tabla6[#Headers],0)))</f>
        <v>#N/A</v>
      </c>
      <c r="R5906" s="282" t="e">
        <f>++Tabla4[[#This Row],[Precio Unitario Neto]]-Tabla4[[#This Row],[20.85%]]-Tabla4[[#This Row],[Costo]]</f>
        <v>#N/A</v>
      </c>
      <c r="S5906" s="282" t="e">
        <f>++Tabla4[[#This Row],[U. Bruta Uni]]*Tabla4[[#This Row],[Cantidad]]</f>
        <v>#N/A</v>
      </c>
      <c r="T5906" s="369" t="str">
        <f>VLOOKUP(Tabla4[[#This Row],[Producto]],Tabla6[#All],14,FALSE)</f>
        <v>Termico Solar</v>
      </c>
      <c r="U5906" s="284" t="e">
        <f>(IF(Tabla4[[#This Row],[Familia]]="termico solar",Tabla4[[#This Row],[Utilidad Total]]*6%,Tabla4[[#This Row],[Utilidad Total]]*11.5%))/Tabla4[[#This Row],[Total]]</f>
        <v>#N/A</v>
      </c>
      <c r="V5906" s="282" t="e">
        <f>+Tabla4[[#This Row],[Comisión Calculada]]*Tabla4[[#This Row],[Total]]</f>
        <v>#N/A</v>
      </c>
    </row>
    <row r="5907" spans="1:22" hidden="1" x14ac:dyDescent="0.25">
      <c r="A5907" s="100">
        <v>45930</v>
      </c>
      <c r="B5907" t="str">
        <f t="shared" si="280"/>
        <v>September</v>
      </c>
      <c r="C5907" s="46" t="s">
        <v>280</v>
      </c>
      <c r="F5907" s="366" t="s">
        <v>3034</v>
      </c>
      <c r="G5907" s="46" t="s">
        <v>208</v>
      </c>
      <c r="H5907" s="46">
        <v>1</v>
      </c>
      <c r="I5907" s="51">
        <v>189.75</v>
      </c>
      <c r="J5907" s="281">
        <f>++Tabla4[[#This Row],[Precio Bruto]]*1.16</f>
        <v>220.10999999999999</v>
      </c>
      <c r="K5907" s="281">
        <f>+Tabla4[[#This Row],[Precio Unitario Neto]]*Tabla4[[#Headers],[20.85%]]</f>
        <v>45.892934999999994</v>
      </c>
      <c r="L5907" s="282">
        <f>++Tabla4[[#This Row],[Precio Unitario Neto]]-Tabla4[[#This Row],[20.85%]]</f>
        <v>174.21706499999999</v>
      </c>
      <c r="M5907" s="282" t="e">
        <f>(INDEX(Tabla6[#All],MATCH(Tabla4[[#This Row],[Producto]],Tabla6[[#All],[PRODUCTO]],0),MATCH(Tabla4[[#This Row],[Mes]],Tabla6[#Headers],0)))*(1+Catalogos!$L$2)</f>
        <v>#N/A</v>
      </c>
      <c r="N5907" s="283" t="e">
        <f>+(Tabla4[[#This Row],[Precio Descontado]]-Tabla4[[#This Row],[Precio Base]])*Tabla4[[#This Row],[Cantidad]]</f>
        <v>#N/A</v>
      </c>
      <c r="O5907" s="284" t="e">
        <f>++Tabla4[[#This Row],[Utilidad Total]]/Tabla4[[#This Row],[Total]]</f>
        <v>#N/A</v>
      </c>
      <c r="P5907" s="282">
        <f>++Tabla4[[#This Row],[Precio Descontado]]*Tabla4[[#This Row],[Cantidad]]</f>
        <v>174.21706499999999</v>
      </c>
      <c r="Q5907" s="282" t="e">
        <f>(INDEX(Tabla6[#All],MATCH(Tabla4[[#This Row],[Producto]],Tabla6[[#All],[PRODUCTO]],0),MATCH(Tabla4[[#This Row],[Mes]],Tabla6[#Headers],0)))</f>
        <v>#N/A</v>
      </c>
      <c r="R5907" s="282" t="e">
        <f>++Tabla4[[#This Row],[Precio Unitario Neto]]-Tabla4[[#This Row],[20.85%]]-Tabla4[[#This Row],[Costo]]</f>
        <v>#N/A</v>
      </c>
      <c r="S5907" s="282" t="e">
        <f>++Tabla4[[#This Row],[U. Bruta Uni]]*Tabla4[[#This Row],[Cantidad]]</f>
        <v>#N/A</v>
      </c>
      <c r="T5907" s="369" t="str">
        <f>VLOOKUP(Tabla4[[#This Row],[Producto]],Tabla6[#All],14,FALSE)</f>
        <v>Termico Solar</v>
      </c>
      <c r="U5907" s="284" t="e">
        <f>(IF(Tabla4[[#This Row],[Familia]]="termico solar",Tabla4[[#This Row],[Utilidad Total]]*6%,Tabla4[[#This Row],[Utilidad Total]]*11.5%))/Tabla4[[#This Row],[Total]]</f>
        <v>#N/A</v>
      </c>
      <c r="V5907" s="282" t="e">
        <f>+Tabla4[[#This Row],[Comisión Calculada]]*Tabla4[[#This Row],[Total]]</f>
        <v>#N/A</v>
      </c>
    </row>
    <row r="5908" spans="1:22" hidden="1" x14ac:dyDescent="0.25">
      <c r="A5908" s="100">
        <v>45930</v>
      </c>
      <c r="B5908" t="str">
        <f t="shared" si="280"/>
        <v>September</v>
      </c>
      <c r="C5908" s="46" t="s">
        <v>280</v>
      </c>
      <c r="F5908" s="366" t="s">
        <v>3035</v>
      </c>
      <c r="G5908" s="46" t="s">
        <v>17</v>
      </c>
      <c r="H5908" s="46">
        <v>1</v>
      </c>
      <c r="I5908" s="51">
        <v>4622.28</v>
      </c>
      <c r="J5908" s="281">
        <f>++Tabla4[[#This Row],[Precio Bruto]]*1.16</f>
        <v>5361.8447999999989</v>
      </c>
      <c r="K5908" s="281">
        <f>+Tabla4[[#This Row],[Precio Unitario Neto]]*Tabla4[[#Headers],[20.85%]]</f>
        <v>1117.9446407999997</v>
      </c>
      <c r="L5908" s="282">
        <f>++Tabla4[[#This Row],[Precio Unitario Neto]]-Tabla4[[#This Row],[20.85%]]</f>
        <v>4243.9001591999995</v>
      </c>
      <c r="M5908" s="282" t="e">
        <f>(INDEX(Tabla6[#All],MATCH(Tabla4[[#This Row],[Producto]],Tabla6[[#All],[PRODUCTO]],0),MATCH(Tabla4[[#This Row],[Mes]],Tabla6[#Headers],0)))*(1+Catalogos!$L$2)</f>
        <v>#N/A</v>
      </c>
      <c r="N5908" s="283" t="e">
        <f>+(Tabla4[[#This Row],[Precio Descontado]]-Tabla4[[#This Row],[Precio Base]])*Tabla4[[#This Row],[Cantidad]]</f>
        <v>#N/A</v>
      </c>
      <c r="O5908" s="284" t="e">
        <f>++Tabla4[[#This Row],[Utilidad Total]]/Tabla4[[#This Row],[Total]]</f>
        <v>#N/A</v>
      </c>
      <c r="P5908" s="282">
        <f>++Tabla4[[#This Row],[Precio Descontado]]*Tabla4[[#This Row],[Cantidad]]</f>
        <v>4243.9001591999995</v>
      </c>
      <c r="Q5908" s="282" t="e">
        <f>(INDEX(Tabla6[#All],MATCH(Tabla4[[#This Row],[Producto]],Tabla6[[#All],[PRODUCTO]],0),MATCH(Tabla4[[#This Row],[Mes]],Tabla6[#Headers],0)))</f>
        <v>#N/A</v>
      </c>
      <c r="R5908" s="282" t="e">
        <f>++Tabla4[[#This Row],[Precio Unitario Neto]]-Tabla4[[#This Row],[20.85%]]-Tabla4[[#This Row],[Costo]]</f>
        <v>#N/A</v>
      </c>
      <c r="S5908" s="282" t="e">
        <f>++Tabla4[[#This Row],[U. Bruta Uni]]*Tabla4[[#This Row],[Cantidad]]</f>
        <v>#N/A</v>
      </c>
      <c r="T5908" s="369" t="str">
        <f>VLOOKUP(Tabla4[[#This Row],[Producto]],Tabla6[#All],14,FALSE)</f>
        <v>Termico Solar</v>
      </c>
      <c r="U5908" s="284" t="e">
        <f>(IF(Tabla4[[#This Row],[Familia]]="termico solar",Tabla4[[#This Row],[Utilidad Total]]*6%,Tabla4[[#This Row],[Utilidad Total]]*11.5%))/Tabla4[[#This Row],[Total]]</f>
        <v>#N/A</v>
      </c>
      <c r="V5908" s="282" t="e">
        <f>+Tabla4[[#This Row],[Comisión Calculada]]*Tabla4[[#This Row],[Total]]</f>
        <v>#N/A</v>
      </c>
    </row>
    <row r="5909" spans="1:22" hidden="1" x14ac:dyDescent="0.25">
      <c r="A5909" s="100">
        <v>45930</v>
      </c>
      <c r="B5909" t="str">
        <f t="shared" si="280"/>
        <v>September</v>
      </c>
      <c r="C5909" s="46" t="s">
        <v>280</v>
      </c>
      <c r="F5909" s="366" t="s">
        <v>3035</v>
      </c>
      <c r="G5909" s="46" t="s">
        <v>18</v>
      </c>
      <c r="H5909" s="46">
        <v>1</v>
      </c>
      <c r="I5909" s="51">
        <v>5367.65</v>
      </c>
      <c r="J5909" s="281">
        <f>++Tabla4[[#This Row],[Precio Bruto]]*1.16</f>
        <v>6226.4739999999993</v>
      </c>
      <c r="K5909" s="281">
        <f>+Tabla4[[#This Row],[Precio Unitario Neto]]*Tabla4[[#Headers],[20.85%]]</f>
        <v>1298.2198289999999</v>
      </c>
      <c r="L5909" s="282">
        <f>++Tabla4[[#This Row],[Precio Unitario Neto]]-Tabla4[[#This Row],[20.85%]]</f>
        <v>4928.2541709999996</v>
      </c>
      <c r="M5909" s="282" t="e">
        <f>(INDEX(Tabla6[#All],MATCH(Tabla4[[#This Row],[Producto]],Tabla6[[#All],[PRODUCTO]],0),MATCH(Tabla4[[#This Row],[Mes]],Tabla6[#Headers],0)))*(1+Catalogos!$L$2)</f>
        <v>#N/A</v>
      </c>
      <c r="N5909" s="283" t="e">
        <f>+(Tabla4[[#This Row],[Precio Descontado]]-Tabla4[[#This Row],[Precio Base]])*Tabla4[[#This Row],[Cantidad]]</f>
        <v>#N/A</v>
      </c>
      <c r="O5909" s="284" t="e">
        <f>++Tabla4[[#This Row],[Utilidad Total]]/Tabla4[[#This Row],[Total]]</f>
        <v>#N/A</v>
      </c>
      <c r="P5909" s="282">
        <f>++Tabla4[[#This Row],[Precio Descontado]]*Tabla4[[#This Row],[Cantidad]]</f>
        <v>4928.2541709999996</v>
      </c>
      <c r="Q5909" s="282" t="e">
        <f>(INDEX(Tabla6[#All],MATCH(Tabla4[[#This Row],[Producto]],Tabla6[[#All],[PRODUCTO]],0),MATCH(Tabla4[[#This Row],[Mes]],Tabla6[#Headers],0)))</f>
        <v>#N/A</v>
      </c>
      <c r="R5909" s="282" t="e">
        <f>++Tabla4[[#This Row],[Precio Unitario Neto]]-Tabla4[[#This Row],[20.85%]]-Tabla4[[#This Row],[Costo]]</f>
        <v>#N/A</v>
      </c>
      <c r="S5909" s="282" t="e">
        <f>++Tabla4[[#This Row],[U. Bruta Uni]]*Tabla4[[#This Row],[Cantidad]]</f>
        <v>#N/A</v>
      </c>
      <c r="T5909" s="369" t="str">
        <f>VLOOKUP(Tabla4[[#This Row],[Producto]],Tabla6[#All],14,FALSE)</f>
        <v>Termico Solar</v>
      </c>
      <c r="U5909" s="284" t="e">
        <f>(IF(Tabla4[[#This Row],[Familia]]="termico solar",Tabla4[[#This Row],[Utilidad Total]]*6%,Tabla4[[#This Row],[Utilidad Total]]*11.5%))/Tabla4[[#This Row],[Total]]</f>
        <v>#N/A</v>
      </c>
      <c r="V5909" s="282" t="e">
        <f>+Tabla4[[#This Row],[Comisión Calculada]]*Tabla4[[#This Row],[Total]]</f>
        <v>#N/A</v>
      </c>
    </row>
    <row r="5910" spans="1:22" hidden="1" x14ac:dyDescent="0.25">
      <c r="A5910" s="100">
        <v>45930</v>
      </c>
      <c r="B5910" t="str">
        <f t="shared" si="280"/>
        <v>September</v>
      </c>
      <c r="C5910" s="46" t="s">
        <v>280</v>
      </c>
      <c r="F5910" s="366" t="s">
        <v>3036</v>
      </c>
      <c r="G5910" s="46" t="s">
        <v>17</v>
      </c>
      <c r="H5910" s="46">
        <v>1</v>
      </c>
      <c r="I5910" s="51">
        <v>4622.28</v>
      </c>
      <c r="J5910" s="281">
        <f>++Tabla4[[#This Row],[Precio Bruto]]*1.16</f>
        <v>5361.8447999999989</v>
      </c>
      <c r="K5910" s="281">
        <f>+Tabla4[[#This Row],[Precio Unitario Neto]]*Tabla4[[#Headers],[20.85%]]</f>
        <v>1117.9446407999997</v>
      </c>
      <c r="L5910" s="282">
        <f>++Tabla4[[#This Row],[Precio Unitario Neto]]-Tabla4[[#This Row],[20.85%]]</f>
        <v>4243.9001591999995</v>
      </c>
      <c r="M5910" s="282" t="e">
        <f>(INDEX(Tabla6[#All],MATCH(Tabla4[[#This Row],[Producto]],Tabla6[[#All],[PRODUCTO]],0),MATCH(Tabla4[[#This Row],[Mes]],Tabla6[#Headers],0)))*(1+Catalogos!$L$2)</f>
        <v>#N/A</v>
      </c>
      <c r="N5910" s="283" t="e">
        <f>+(Tabla4[[#This Row],[Precio Descontado]]-Tabla4[[#This Row],[Precio Base]])*Tabla4[[#This Row],[Cantidad]]</f>
        <v>#N/A</v>
      </c>
      <c r="O5910" s="284" t="e">
        <f>++Tabla4[[#This Row],[Utilidad Total]]/Tabla4[[#This Row],[Total]]</f>
        <v>#N/A</v>
      </c>
      <c r="P5910" s="282">
        <f>++Tabla4[[#This Row],[Precio Descontado]]*Tabla4[[#This Row],[Cantidad]]</f>
        <v>4243.9001591999995</v>
      </c>
      <c r="Q5910" s="282" t="e">
        <f>(INDEX(Tabla6[#All],MATCH(Tabla4[[#This Row],[Producto]],Tabla6[[#All],[PRODUCTO]],0),MATCH(Tabla4[[#This Row],[Mes]],Tabla6[#Headers],0)))</f>
        <v>#N/A</v>
      </c>
      <c r="R5910" s="282" t="e">
        <f>++Tabla4[[#This Row],[Precio Unitario Neto]]-Tabla4[[#This Row],[20.85%]]-Tabla4[[#This Row],[Costo]]</f>
        <v>#N/A</v>
      </c>
      <c r="S5910" s="282" t="e">
        <f>++Tabla4[[#This Row],[U. Bruta Uni]]*Tabla4[[#This Row],[Cantidad]]</f>
        <v>#N/A</v>
      </c>
      <c r="T5910" s="369" t="str">
        <f>VLOOKUP(Tabla4[[#This Row],[Producto]],Tabla6[#All],14,FALSE)</f>
        <v>Termico Solar</v>
      </c>
      <c r="U5910" s="284" t="e">
        <f>(IF(Tabla4[[#This Row],[Familia]]="termico solar",Tabla4[[#This Row],[Utilidad Total]]*6%,Tabla4[[#This Row],[Utilidad Total]]*11.5%))/Tabla4[[#This Row],[Total]]</f>
        <v>#N/A</v>
      </c>
      <c r="V5910" s="282" t="e">
        <f>+Tabla4[[#This Row],[Comisión Calculada]]*Tabla4[[#This Row],[Total]]</f>
        <v>#N/A</v>
      </c>
    </row>
    <row r="5911" spans="1:22" hidden="1" x14ac:dyDescent="0.25">
      <c r="A5911" s="100">
        <v>45930</v>
      </c>
      <c r="B5911" t="str">
        <f t="shared" si="280"/>
        <v>September</v>
      </c>
      <c r="C5911" s="46" t="s">
        <v>280</v>
      </c>
      <c r="F5911" s="366" t="s">
        <v>3036</v>
      </c>
      <c r="G5911" s="46" t="s">
        <v>18</v>
      </c>
      <c r="H5911" s="46">
        <v>3</v>
      </c>
      <c r="I5911" s="51">
        <v>5367.6500000000005</v>
      </c>
      <c r="J5911" s="281">
        <f>++Tabla4[[#This Row],[Precio Bruto]]*1.16</f>
        <v>6226.4740000000002</v>
      </c>
      <c r="K5911" s="281">
        <f>+Tabla4[[#This Row],[Precio Unitario Neto]]*Tabla4[[#Headers],[20.85%]]</f>
        <v>1298.2198289999999</v>
      </c>
      <c r="L5911" s="282">
        <f>++Tabla4[[#This Row],[Precio Unitario Neto]]-Tabla4[[#This Row],[20.85%]]</f>
        <v>4928.2541710000005</v>
      </c>
      <c r="M5911" s="282" t="e">
        <f>(INDEX(Tabla6[#All],MATCH(Tabla4[[#This Row],[Producto]],Tabla6[[#All],[PRODUCTO]],0),MATCH(Tabla4[[#This Row],[Mes]],Tabla6[#Headers],0)))*(1+Catalogos!$L$2)</f>
        <v>#N/A</v>
      </c>
      <c r="N5911" s="283" t="e">
        <f>+(Tabla4[[#This Row],[Precio Descontado]]-Tabla4[[#This Row],[Precio Base]])*Tabla4[[#This Row],[Cantidad]]</f>
        <v>#N/A</v>
      </c>
      <c r="O5911" s="284" t="e">
        <f>++Tabla4[[#This Row],[Utilidad Total]]/Tabla4[[#This Row],[Total]]</f>
        <v>#N/A</v>
      </c>
      <c r="P5911" s="282">
        <f>++Tabla4[[#This Row],[Precio Descontado]]*Tabla4[[#This Row],[Cantidad]]</f>
        <v>14784.762513000001</v>
      </c>
      <c r="Q5911" s="282" t="e">
        <f>(INDEX(Tabla6[#All],MATCH(Tabla4[[#This Row],[Producto]],Tabla6[[#All],[PRODUCTO]],0),MATCH(Tabla4[[#This Row],[Mes]],Tabla6[#Headers],0)))</f>
        <v>#N/A</v>
      </c>
      <c r="R5911" s="282" t="e">
        <f>++Tabla4[[#This Row],[Precio Unitario Neto]]-Tabla4[[#This Row],[20.85%]]-Tabla4[[#This Row],[Costo]]</f>
        <v>#N/A</v>
      </c>
      <c r="S5911" s="282" t="e">
        <f>++Tabla4[[#This Row],[U. Bruta Uni]]*Tabla4[[#This Row],[Cantidad]]</f>
        <v>#N/A</v>
      </c>
      <c r="T5911" s="369" t="str">
        <f>VLOOKUP(Tabla4[[#This Row],[Producto]],Tabla6[#All],14,FALSE)</f>
        <v>Termico Solar</v>
      </c>
      <c r="U5911" s="284" t="e">
        <f>(IF(Tabla4[[#This Row],[Familia]]="termico solar",Tabla4[[#This Row],[Utilidad Total]]*6%,Tabla4[[#This Row],[Utilidad Total]]*11.5%))/Tabla4[[#This Row],[Total]]</f>
        <v>#N/A</v>
      </c>
      <c r="V5911" s="282" t="e">
        <f>+Tabla4[[#This Row],[Comisión Calculada]]*Tabla4[[#This Row],[Total]]</f>
        <v>#N/A</v>
      </c>
    </row>
    <row r="5912" spans="1:22" hidden="1" x14ac:dyDescent="0.25">
      <c r="A5912" s="100">
        <v>45930</v>
      </c>
      <c r="B5912" t="str">
        <f t="shared" si="280"/>
        <v>September</v>
      </c>
      <c r="C5912" s="46" t="s">
        <v>280</v>
      </c>
      <c r="F5912" s="366" t="s">
        <v>3037</v>
      </c>
      <c r="G5912" s="46" t="s">
        <v>83</v>
      </c>
      <c r="H5912" s="46">
        <v>4</v>
      </c>
      <c r="I5912" s="51">
        <v>8858.76</v>
      </c>
      <c r="J5912" s="281">
        <f>++Tabla4[[#This Row],[Precio Bruto]]*1.16</f>
        <v>10276.161599999999</v>
      </c>
      <c r="K5912" s="281">
        <f>+Tabla4[[#This Row],[Precio Unitario Neto]]*Tabla4[[#Headers],[20.85%]]</f>
        <v>2142.5796935999997</v>
      </c>
      <c r="L5912" s="282">
        <f>++Tabla4[[#This Row],[Precio Unitario Neto]]-Tabla4[[#This Row],[20.85%]]</f>
        <v>8133.5819063999998</v>
      </c>
      <c r="M5912" s="282" t="e">
        <f>(INDEX(Tabla6[#All],MATCH(Tabla4[[#This Row],[Producto]],Tabla6[[#All],[PRODUCTO]],0),MATCH(Tabla4[[#This Row],[Mes]],Tabla6[#Headers],0)))*(1+Catalogos!$L$2)</f>
        <v>#N/A</v>
      </c>
      <c r="N5912" s="283" t="e">
        <f>+(Tabla4[[#This Row],[Precio Descontado]]-Tabla4[[#This Row],[Precio Base]])*Tabla4[[#This Row],[Cantidad]]</f>
        <v>#N/A</v>
      </c>
      <c r="O5912" s="284" t="e">
        <f>++Tabla4[[#This Row],[Utilidad Total]]/Tabla4[[#This Row],[Total]]</f>
        <v>#N/A</v>
      </c>
      <c r="P5912" s="282">
        <f>++Tabla4[[#This Row],[Precio Descontado]]*Tabla4[[#This Row],[Cantidad]]</f>
        <v>32534.327625599999</v>
      </c>
      <c r="Q5912" s="282" t="e">
        <f>(INDEX(Tabla6[#All],MATCH(Tabla4[[#This Row],[Producto]],Tabla6[[#All],[PRODUCTO]],0),MATCH(Tabla4[[#This Row],[Mes]],Tabla6[#Headers],0)))</f>
        <v>#N/A</v>
      </c>
      <c r="R5912" s="282" t="e">
        <f>++Tabla4[[#This Row],[Precio Unitario Neto]]-Tabla4[[#This Row],[20.85%]]-Tabla4[[#This Row],[Costo]]</f>
        <v>#N/A</v>
      </c>
      <c r="S5912" s="282" t="e">
        <f>++Tabla4[[#This Row],[U. Bruta Uni]]*Tabla4[[#This Row],[Cantidad]]</f>
        <v>#N/A</v>
      </c>
      <c r="T5912" s="369" t="str">
        <f>VLOOKUP(Tabla4[[#This Row],[Producto]],Tabla6[#All],14,FALSE)</f>
        <v>Termico Solar</v>
      </c>
      <c r="U5912" s="284" t="e">
        <f>(IF(Tabla4[[#This Row],[Familia]]="termico solar",Tabla4[[#This Row],[Utilidad Total]]*6%,Tabla4[[#This Row],[Utilidad Total]]*11.5%))/Tabla4[[#This Row],[Total]]</f>
        <v>#N/A</v>
      </c>
      <c r="V5912" s="282" t="e">
        <f>+Tabla4[[#This Row],[Comisión Calculada]]*Tabla4[[#This Row],[Total]]</f>
        <v>#N/A</v>
      </c>
    </row>
    <row r="5913" spans="1:22" hidden="1" x14ac:dyDescent="0.25">
      <c r="A5913" s="100">
        <v>45930</v>
      </c>
      <c r="B5913" t="str">
        <f t="shared" si="280"/>
        <v>September</v>
      </c>
      <c r="C5913" s="46" t="s">
        <v>280</v>
      </c>
      <c r="F5913" s="366" t="s">
        <v>3037</v>
      </c>
      <c r="G5913" s="46" t="s">
        <v>16</v>
      </c>
      <c r="H5913" s="46">
        <v>1</v>
      </c>
      <c r="I5913" s="51">
        <v>4103.8500000000004</v>
      </c>
      <c r="J5913" s="281">
        <f>++Tabla4[[#This Row],[Precio Bruto]]*1.16</f>
        <v>4760.4660000000003</v>
      </c>
      <c r="K5913" s="281">
        <f>+Tabla4[[#This Row],[Precio Unitario Neto]]*Tabla4[[#Headers],[20.85%]]</f>
        <v>992.55716100000006</v>
      </c>
      <c r="L5913" s="282">
        <f>++Tabla4[[#This Row],[Precio Unitario Neto]]-Tabla4[[#This Row],[20.85%]]</f>
        <v>3767.9088390000002</v>
      </c>
      <c r="M5913" s="282" t="e">
        <f>(INDEX(Tabla6[#All],MATCH(Tabla4[[#This Row],[Producto]],Tabla6[[#All],[PRODUCTO]],0),MATCH(Tabla4[[#This Row],[Mes]],Tabla6[#Headers],0)))*(1+Catalogos!$L$2)</f>
        <v>#N/A</v>
      </c>
      <c r="N5913" s="283" t="e">
        <f>+(Tabla4[[#This Row],[Precio Descontado]]-Tabla4[[#This Row],[Precio Base]])*Tabla4[[#This Row],[Cantidad]]</f>
        <v>#N/A</v>
      </c>
      <c r="O5913" s="284" t="e">
        <f>++Tabla4[[#This Row],[Utilidad Total]]/Tabla4[[#This Row],[Total]]</f>
        <v>#N/A</v>
      </c>
      <c r="P5913" s="282">
        <f>++Tabla4[[#This Row],[Precio Descontado]]*Tabla4[[#This Row],[Cantidad]]</f>
        <v>3767.9088390000002</v>
      </c>
      <c r="Q5913" s="282" t="e">
        <f>(INDEX(Tabla6[#All],MATCH(Tabla4[[#This Row],[Producto]],Tabla6[[#All],[PRODUCTO]],0),MATCH(Tabla4[[#This Row],[Mes]],Tabla6[#Headers],0)))</f>
        <v>#N/A</v>
      </c>
      <c r="R5913" s="282" t="e">
        <f>++Tabla4[[#This Row],[Precio Unitario Neto]]-Tabla4[[#This Row],[20.85%]]-Tabla4[[#This Row],[Costo]]</f>
        <v>#N/A</v>
      </c>
      <c r="S5913" s="282" t="e">
        <f>++Tabla4[[#This Row],[U. Bruta Uni]]*Tabla4[[#This Row],[Cantidad]]</f>
        <v>#N/A</v>
      </c>
      <c r="T5913" s="369" t="str">
        <f>VLOOKUP(Tabla4[[#This Row],[Producto]],Tabla6[#All],14,FALSE)</f>
        <v>Termico Solar</v>
      </c>
      <c r="U5913" s="284" t="e">
        <f>(IF(Tabla4[[#This Row],[Familia]]="termico solar",Tabla4[[#This Row],[Utilidad Total]]*6%,Tabla4[[#This Row],[Utilidad Total]]*11.5%))/Tabla4[[#This Row],[Total]]</f>
        <v>#N/A</v>
      </c>
      <c r="V5913" s="282" t="e">
        <f>+Tabla4[[#This Row],[Comisión Calculada]]*Tabla4[[#This Row],[Total]]</f>
        <v>#N/A</v>
      </c>
    </row>
    <row r="5914" spans="1:22" hidden="1" x14ac:dyDescent="0.25">
      <c r="A5914" s="100">
        <v>45930</v>
      </c>
      <c r="B5914" t="str">
        <f t="shared" si="280"/>
        <v>September</v>
      </c>
      <c r="C5914" s="46" t="s">
        <v>280</v>
      </c>
      <c r="F5914" s="366" t="s">
        <v>3038</v>
      </c>
      <c r="G5914" s="46" t="s">
        <v>17</v>
      </c>
      <c r="H5914" s="46">
        <v>2</v>
      </c>
      <c r="I5914" s="51">
        <v>4622.28</v>
      </c>
      <c r="J5914" s="281">
        <f>++Tabla4[[#This Row],[Precio Bruto]]*1.16</f>
        <v>5361.8447999999989</v>
      </c>
      <c r="K5914" s="281">
        <f>+Tabla4[[#This Row],[Precio Unitario Neto]]*Tabla4[[#Headers],[20.85%]]</f>
        <v>1117.9446407999997</v>
      </c>
      <c r="L5914" s="282">
        <f>++Tabla4[[#This Row],[Precio Unitario Neto]]-Tabla4[[#This Row],[20.85%]]</f>
        <v>4243.9001591999995</v>
      </c>
      <c r="M5914" s="282" t="e">
        <f>(INDEX(Tabla6[#All],MATCH(Tabla4[[#This Row],[Producto]],Tabla6[[#All],[PRODUCTO]],0),MATCH(Tabla4[[#This Row],[Mes]],Tabla6[#Headers],0)))*(1+Catalogos!$L$2)</f>
        <v>#N/A</v>
      </c>
      <c r="N5914" s="283" t="e">
        <f>+(Tabla4[[#This Row],[Precio Descontado]]-Tabla4[[#This Row],[Precio Base]])*Tabla4[[#This Row],[Cantidad]]</f>
        <v>#N/A</v>
      </c>
      <c r="O5914" s="284" t="e">
        <f>++Tabla4[[#This Row],[Utilidad Total]]/Tabla4[[#This Row],[Total]]</f>
        <v>#N/A</v>
      </c>
      <c r="P5914" s="282">
        <f>++Tabla4[[#This Row],[Precio Descontado]]*Tabla4[[#This Row],[Cantidad]]</f>
        <v>8487.800318399999</v>
      </c>
      <c r="Q5914" s="282" t="e">
        <f>(INDEX(Tabla6[#All],MATCH(Tabla4[[#This Row],[Producto]],Tabla6[[#All],[PRODUCTO]],0),MATCH(Tabla4[[#This Row],[Mes]],Tabla6[#Headers],0)))</f>
        <v>#N/A</v>
      </c>
      <c r="R5914" s="282" t="e">
        <f>++Tabla4[[#This Row],[Precio Unitario Neto]]-Tabla4[[#This Row],[20.85%]]-Tabla4[[#This Row],[Costo]]</f>
        <v>#N/A</v>
      </c>
      <c r="S5914" s="282" t="e">
        <f>++Tabla4[[#This Row],[U. Bruta Uni]]*Tabla4[[#This Row],[Cantidad]]</f>
        <v>#N/A</v>
      </c>
      <c r="T5914" s="369" t="str">
        <f>VLOOKUP(Tabla4[[#This Row],[Producto]],Tabla6[#All],14,FALSE)</f>
        <v>Termico Solar</v>
      </c>
      <c r="U5914" s="284" t="e">
        <f>(IF(Tabla4[[#This Row],[Familia]]="termico solar",Tabla4[[#This Row],[Utilidad Total]]*6%,Tabla4[[#This Row],[Utilidad Total]]*11.5%))/Tabla4[[#This Row],[Total]]</f>
        <v>#N/A</v>
      </c>
      <c r="V5914" s="282" t="e">
        <f>+Tabla4[[#This Row],[Comisión Calculada]]*Tabla4[[#This Row],[Total]]</f>
        <v>#N/A</v>
      </c>
    </row>
    <row r="5915" spans="1:22" hidden="1" x14ac:dyDescent="0.25">
      <c r="A5915" s="100">
        <v>45930</v>
      </c>
      <c r="B5915" t="str">
        <f t="shared" si="280"/>
        <v>September</v>
      </c>
      <c r="C5915" s="46" t="s">
        <v>280</v>
      </c>
      <c r="F5915" s="366" t="s">
        <v>3039</v>
      </c>
      <c r="G5915" s="46" t="s">
        <v>394</v>
      </c>
      <c r="H5915" s="46">
        <v>16</v>
      </c>
      <c r="I5915" s="51">
        <v>224.29</v>
      </c>
      <c r="J5915" s="281">
        <f>++Tabla4[[#This Row],[Precio Bruto]]*1.16</f>
        <v>260.1764</v>
      </c>
      <c r="K5915" s="281">
        <f>+Tabla4[[#This Row],[Precio Unitario Neto]]*Tabla4[[#Headers],[20.85%]]</f>
        <v>54.246779400000001</v>
      </c>
      <c r="L5915" s="282">
        <f>++Tabla4[[#This Row],[Precio Unitario Neto]]-Tabla4[[#This Row],[20.85%]]</f>
        <v>205.92962059999999</v>
      </c>
      <c r="M5915" s="282" t="e">
        <f>(INDEX(Tabla6[#All],MATCH(Tabla4[[#This Row],[Producto]],Tabla6[[#All],[PRODUCTO]],0),MATCH(Tabla4[[#This Row],[Mes]],Tabla6[#Headers],0)))*(1+Catalogos!$L$2)</f>
        <v>#N/A</v>
      </c>
      <c r="N5915" s="283" t="e">
        <f>+(Tabla4[[#This Row],[Precio Descontado]]-Tabla4[[#This Row],[Precio Base]])*Tabla4[[#This Row],[Cantidad]]</f>
        <v>#N/A</v>
      </c>
      <c r="O5915" s="284" t="e">
        <f>++Tabla4[[#This Row],[Utilidad Total]]/Tabla4[[#This Row],[Total]]</f>
        <v>#N/A</v>
      </c>
      <c r="P5915" s="282">
        <f>++Tabla4[[#This Row],[Precio Descontado]]*Tabla4[[#This Row],[Cantidad]]</f>
        <v>3294.8739295999999</v>
      </c>
      <c r="Q5915" s="282" t="e">
        <f>(INDEX(Tabla6[#All],MATCH(Tabla4[[#This Row],[Producto]],Tabla6[[#All],[PRODUCTO]],0),MATCH(Tabla4[[#This Row],[Mes]],Tabla6[#Headers],0)))</f>
        <v>#N/A</v>
      </c>
      <c r="R5915" s="282" t="e">
        <f>++Tabla4[[#This Row],[Precio Unitario Neto]]-Tabla4[[#This Row],[20.85%]]-Tabla4[[#This Row],[Costo]]</f>
        <v>#N/A</v>
      </c>
      <c r="S5915" s="282" t="e">
        <f>++Tabla4[[#This Row],[U. Bruta Uni]]*Tabla4[[#This Row],[Cantidad]]</f>
        <v>#N/A</v>
      </c>
      <c r="T5915" s="369" t="str">
        <f>VLOOKUP(Tabla4[[#This Row],[Producto]],Tabla6[#All],14,FALSE)</f>
        <v>Termico Solar</v>
      </c>
      <c r="U5915" s="284" t="e">
        <f>(IF(Tabla4[[#This Row],[Familia]]="termico solar",Tabla4[[#This Row],[Utilidad Total]]*6%,Tabla4[[#This Row],[Utilidad Total]]*11.5%))/Tabla4[[#This Row],[Total]]</f>
        <v>#N/A</v>
      </c>
      <c r="V5915" s="282" t="e">
        <f>+Tabla4[[#This Row],[Comisión Calculada]]*Tabla4[[#This Row],[Total]]</f>
        <v>#N/A</v>
      </c>
    </row>
    <row r="5916" spans="1:22" hidden="1" x14ac:dyDescent="0.25">
      <c r="A5916" s="100">
        <v>45930</v>
      </c>
      <c r="B5916" t="str">
        <f t="shared" si="280"/>
        <v>September</v>
      </c>
      <c r="C5916" s="46" t="s">
        <v>280</v>
      </c>
      <c r="F5916" s="366" t="s">
        <v>3040</v>
      </c>
      <c r="G5916" s="46" t="s">
        <v>83</v>
      </c>
      <c r="H5916" s="46">
        <v>2</v>
      </c>
      <c r="I5916" s="51">
        <v>8858.76</v>
      </c>
      <c r="J5916" s="281">
        <f>++Tabla4[[#This Row],[Precio Bruto]]*1.16</f>
        <v>10276.161599999999</v>
      </c>
      <c r="K5916" s="281">
        <f>+Tabla4[[#This Row],[Precio Unitario Neto]]*Tabla4[[#Headers],[20.85%]]</f>
        <v>2142.5796935999997</v>
      </c>
      <c r="L5916" s="282">
        <f>++Tabla4[[#This Row],[Precio Unitario Neto]]-Tabla4[[#This Row],[20.85%]]</f>
        <v>8133.5819063999998</v>
      </c>
      <c r="M5916" s="282" t="e">
        <f>(INDEX(Tabla6[#All],MATCH(Tabla4[[#This Row],[Producto]],Tabla6[[#All],[PRODUCTO]],0),MATCH(Tabla4[[#This Row],[Mes]],Tabla6[#Headers],0)))*(1+Catalogos!$L$2)</f>
        <v>#N/A</v>
      </c>
      <c r="N5916" s="283" t="e">
        <f>+(Tabla4[[#This Row],[Precio Descontado]]-Tabla4[[#This Row],[Precio Base]])*Tabla4[[#This Row],[Cantidad]]</f>
        <v>#N/A</v>
      </c>
      <c r="O5916" s="284" t="e">
        <f>++Tabla4[[#This Row],[Utilidad Total]]/Tabla4[[#This Row],[Total]]</f>
        <v>#N/A</v>
      </c>
      <c r="P5916" s="282">
        <f>++Tabla4[[#This Row],[Precio Descontado]]*Tabla4[[#This Row],[Cantidad]]</f>
        <v>16267.1638128</v>
      </c>
      <c r="Q5916" s="282" t="e">
        <f>(INDEX(Tabla6[#All],MATCH(Tabla4[[#This Row],[Producto]],Tabla6[[#All],[PRODUCTO]],0),MATCH(Tabla4[[#This Row],[Mes]],Tabla6[#Headers],0)))</f>
        <v>#N/A</v>
      </c>
      <c r="R5916" s="282" t="e">
        <f>++Tabla4[[#This Row],[Precio Unitario Neto]]-Tabla4[[#This Row],[20.85%]]-Tabla4[[#This Row],[Costo]]</f>
        <v>#N/A</v>
      </c>
      <c r="S5916" s="282" t="e">
        <f>++Tabla4[[#This Row],[U. Bruta Uni]]*Tabla4[[#This Row],[Cantidad]]</f>
        <v>#N/A</v>
      </c>
      <c r="T5916" s="369" t="str">
        <f>VLOOKUP(Tabla4[[#This Row],[Producto]],Tabla6[#All],14,FALSE)</f>
        <v>Termico Solar</v>
      </c>
      <c r="U5916" s="284" t="e">
        <f>(IF(Tabla4[[#This Row],[Familia]]="termico solar",Tabla4[[#This Row],[Utilidad Total]]*6%,Tabla4[[#This Row],[Utilidad Total]]*11.5%))/Tabla4[[#This Row],[Total]]</f>
        <v>#N/A</v>
      </c>
      <c r="V5916" s="282" t="e">
        <f>+Tabla4[[#This Row],[Comisión Calculada]]*Tabla4[[#This Row],[Total]]</f>
        <v>#N/A</v>
      </c>
    </row>
    <row r="5917" spans="1:22" hidden="1" x14ac:dyDescent="0.25">
      <c r="A5917" s="100">
        <v>45930</v>
      </c>
      <c r="B5917" t="str">
        <f t="shared" si="280"/>
        <v>September</v>
      </c>
      <c r="C5917" s="46" t="s">
        <v>280</v>
      </c>
      <c r="F5917" s="366" t="s">
        <v>3040</v>
      </c>
      <c r="G5917" s="46" t="s">
        <v>208</v>
      </c>
      <c r="H5917" s="46">
        <v>2</v>
      </c>
      <c r="I5917" s="51">
        <v>189.75</v>
      </c>
      <c r="J5917" s="281">
        <f>++Tabla4[[#This Row],[Precio Bruto]]*1.16</f>
        <v>220.10999999999999</v>
      </c>
      <c r="K5917" s="281">
        <f>+Tabla4[[#This Row],[Precio Unitario Neto]]*Tabla4[[#Headers],[20.85%]]</f>
        <v>45.892934999999994</v>
      </c>
      <c r="L5917" s="282">
        <f>++Tabla4[[#This Row],[Precio Unitario Neto]]-Tabla4[[#This Row],[20.85%]]</f>
        <v>174.21706499999999</v>
      </c>
      <c r="M5917" s="282" t="e">
        <f>(INDEX(Tabla6[#All],MATCH(Tabla4[[#This Row],[Producto]],Tabla6[[#All],[PRODUCTO]],0),MATCH(Tabla4[[#This Row],[Mes]],Tabla6[#Headers],0)))*(1+Catalogos!$L$2)</f>
        <v>#N/A</v>
      </c>
      <c r="N5917" s="283" t="e">
        <f>+(Tabla4[[#This Row],[Precio Descontado]]-Tabla4[[#This Row],[Precio Base]])*Tabla4[[#This Row],[Cantidad]]</f>
        <v>#N/A</v>
      </c>
      <c r="O5917" s="284" t="e">
        <f>++Tabla4[[#This Row],[Utilidad Total]]/Tabla4[[#This Row],[Total]]</f>
        <v>#N/A</v>
      </c>
      <c r="P5917" s="282">
        <f>++Tabla4[[#This Row],[Precio Descontado]]*Tabla4[[#This Row],[Cantidad]]</f>
        <v>348.43412999999998</v>
      </c>
      <c r="Q5917" s="282" t="e">
        <f>(INDEX(Tabla6[#All],MATCH(Tabla4[[#This Row],[Producto]],Tabla6[[#All],[PRODUCTO]],0),MATCH(Tabla4[[#This Row],[Mes]],Tabla6[#Headers],0)))</f>
        <v>#N/A</v>
      </c>
      <c r="R5917" s="282" t="e">
        <f>++Tabla4[[#This Row],[Precio Unitario Neto]]-Tabla4[[#This Row],[20.85%]]-Tabla4[[#This Row],[Costo]]</f>
        <v>#N/A</v>
      </c>
      <c r="S5917" s="282" t="e">
        <f>++Tabla4[[#This Row],[U. Bruta Uni]]*Tabla4[[#This Row],[Cantidad]]</f>
        <v>#N/A</v>
      </c>
      <c r="T5917" s="369" t="str">
        <f>VLOOKUP(Tabla4[[#This Row],[Producto]],Tabla6[#All],14,FALSE)</f>
        <v>Termico Solar</v>
      </c>
      <c r="U5917" s="284" t="e">
        <f>(IF(Tabla4[[#This Row],[Familia]]="termico solar",Tabla4[[#This Row],[Utilidad Total]]*6%,Tabla4[[#This Row],[Utilidad Total]]*11.5%))/Tabla4[[#This Row],[Total]]</f>
        <v>#N/A</v>
      </c>
      <c r="V5917" s="282" t="e">
        <f>+Tabla4[[#This Row],[Comisión Calculada]]*Tabla4[[#This Row],[Total]]</f>
        <v>#N/A</v>
      </c>
    </row>
    <row r="5918" spans="1:22" hidden="1" x14ac:dyDescent="0.25">
      <c r="A5918" s="100">
        <v>45930</v>
      </c>
      <c r="B5918" t="str">
        <f t="shared" si="280"/>
        <v>September</v>
      </c>
      <c r="C5918" s="46" t="s">
        <v>280</v>
      </c>
      <c r="F5918" s="366" t="s">
        <v>3041</v>
      </c>
      <c r="G5918" s="46" t="s">
        <v>17</v>
      </c>
      <c r="H5918" s="46">
        <v>1</v>
      </c>
      <c r="I5918" s="51">
        <v>4622.28</v>
      </c>
      <c r="J5918" s="281">
        <f>++Tabla4[[#This Row],[Precio Bruto]]*1.16</f>
        <v>5361.8447999999989</v>
      </c>
      <c r="K5918" s="281">
        <f>+Tabla4[[#This Row],[Precio Unitario Neto]]*Tabla4[[#Headers],[20.85%]]</f>
        <v>1117.9446407999997</v>
      </c>
      <c r="L5918" s="282">
        <f>++Tabla4[[#This Row],[Precio Unitario Neto]]-Tabla4[[#This Row],[20.85%]]</f>
        <v>4243.9001591999995</v>
      </c>
      <c r="M5918" s="282" t="e">
        <f>(INDEX(Tabla6[#All],MATCH(Tabla4[[#This Row],[Producto]],Tabla6[[#All],[PRODUCTO]],0),MATCH(Tabla4[[#This Row],[Mes]],Tabla6[#Headers],0)))*(1+Catalogos!$L$2)</f>
        <v>#N/A</v>
      </c>
      <c r="N5918" s="283" t="e">
        <f>+(Tabla4[[#This Row],[Precio Descontado]]-Tabla4[[#This Row],[Precio Base]])*Tabla4[[#This Row],[Cantidad]]</f>
        <v>#N/A</v>
      </c>
      <c r="O5918" s="284" t="e">
        <f>++Tabla4[[#This Row],[Utilidad Total]]/Tabla4[[#This Row],[Total]]</f>
        <v>#N/A</v>
      </c>
      <c r="P5918" s="282">
        <f>++Tabla4[[#This Row],[Precio Descontado]]*Tabla4[[#This Row],[Cantidad]]</f>
        <v>4243.9001591999995</v>
      </c>
      <c r="Q5918" s="282" t="e">
        <f>(INDEX(Tabla6[#All],MATCH(Tabla4[[#This Row],[Producto]],Tabla6[[#All],[PRODUCTO]],0),MATCH(Tabla4[[#This Row],[Mes]],Tabla6[#Headers],0)))</f>
        <v>#N/A</v>
      </c>
      <c r="R5918" s="282" t="e">
        <f>++Tabla4[[#This Row],[Precio Unitario Neto]]-Tabla4[[#This Row],[20.85%]]-Tabla4[[#This Row],[Costo]]</f>
        <v>#N/A</v>
      </c>
      <c r="S5918" s="282" t="e">
        <f>++Tabla4[[#This Row],[U. Bruta Uni]]*Tabla4[[#This Row],[Cantidad]]</f>
        <v>#N/A</v>
      </c>
      <c r="T5918" s="369" t="str">
        <f>VLOOKUP(Tabla4[[#This Row],[Producto]],Tabla6[#All],14,FALSE)</f>
        <v>Termico Solar</v>
      </c>
      <c r="U5918" s="284" t="e">
        <f>(IF(Tabla4[[#This Row],[Familia]]="termico solar",Tabla4[[#This Row],[Utilidad Total]]*6%,Tabla4[[#This Row],[Utilidad Total]]*11.5%))/Tabla4[[#This Row],[Total]]</f>
        <v>#N/A</v>
      </c>
      <c r="V5918" s="282" t="e">
        <f>+Tabla4[[#This Row],[Comisión Calculada]]*Tabla4[[#This Row],[Total]]</f>
        <v>#N/A</v>
      </c>
    </row>
    <row r="5919" spans="1:22" hidden="1" x14ac:dyDescent="0.25">
      <c r="A5919" s="100">
        <v>45930</v>
      </c>
      <c r="B5919" t="str">
        <f t="shared" si="280"/>
        <v>September</v>
      </c>
      <c r="C5919" s="46" t="s">
        <v>280</v>
      </c>
      <c r="F5919" s="366" t="s">
        <v>3041</v>
      </c>
      <c r="G5919" s="46" t="s">
        <v>208</v>
      </c>
      <c r="H5919" s="46">
        <v>15</v>
      </c>
      <c r="I5919" s="51">
        <v>189.75</v>
      </c>
      <c r="J5919" s="281">
        <f>++Tabla4[[#This Row],[Precio Bruto]]*1.16</f>
        <v>220.10999999999999</v>
      </c>
      <c r="K5919" s="281">
        <f>+Tabla4[[#This Row],[Precio Unitario Neto]]*Tabla4[[#Headers],[20.85%]]</f>
        <v>45.892934999999994</v>
      </c>
      <c r="L5919" s="282">
        <f>++Tabla4[[#This Row],[Precio Unitario Neto]]-Tabla4[[#This Row],[20.85%]]</f>
        <v>174.21706499999999</v>
      </c>
      <c r="M5919" s="282" t="e">
        <f>(INDEX(Tabla6[#All],MATCH(Tabla4[[#This Row],[Producto]],Tabla6[[#All],[PRODUCTO]],0),MATCH(Tabla4[[#This Row],[Mes]],Tabla6[#Headers],0)))*(1+Catalogos!$L$2)</f>
        <v>#N/A</v>
      </c>
      <c r="N5919" s="283" t="e">
        <f>+(Tabla4[[#This Row],[Precio Descontado]]-Tabla4[[#This Row],[Precio Base]])*Tabla4[[#This Row],[Cantidad]]</f>
        <v>#N/A</v>
      </c>
      <c r="O5919" s="284" t="e">
        <f>++Tabla4[[#This Row],[Utilidad Total]]/Tabla4[[#This Row],[Total]]</f>
        <v>#N/A</v>
      </c>
      <c r="P5919" s="282">
        <f>++Tabla4[[#This Row],[Precio Descontado]]*Tabla4[[#This Row],[Cantidad]]</f>
        <v>2613.255975</v>
      </c>
      <c r="Q5919" s="282" t="e">
        <f>(INDEX(Tabla6[#All],MATCH(Tabla4[[#This Row],[Producto]],Tabla6[[#All],[PRODUCTO]],0),MATCH(Tabla4[[#This Row],[Mes]],Tabla6[#Headers],0)))</f>
        <v>#N/A</v>
      </c>
      <c r="R5919" s="282" t="e">
        <f>++Tabla4[[#This Row],[Precio Unitario Neto]]-Tabla4[[#This Row],[20.85%]]-Tabla4[[#This Row],[Costo]]</f>
        <v>#N/A</v>
      </c>
      <c r="S5919" s="282" t="e">
        <f>++Tabla4[[#This Row],[U. Bruta Uni]]*Tabla4[[#This Row],[Cantidad]]</f>
        <v>#N/A</v>
      </c>
      <c r="T5919" s="369" t="str">
        <f>VLOOKUP(Tabla4[[#This Row],[Producto]],Tabla6[#All],14,FALSE)</f>
        <v>Termico Solar</v>
      </c>
      <c r="U5919" s="284" t="e">
        <f>(IF(Tabla4[[#This Row],[Familia]]="termico solar",Tabla4[[#This Row],[Utilidad Total]]*6%,Tabla4[[#This Row],[Utilidad Total]]*11.5%))/Tabla4[[#This Row],[Total]]</f>
        <v>#N/A</v>
      </c>
      <c r="V5919" s="282" t="e">
        <f>+Tabla4[[#This Row],[Comisión Calculada]]*Tabla4[[#This Row],[Total]]</f>
        <v>#N/A</v>
      </c>
    </row>
    <row r="5920" spans="1:22" hidden="1" x14ac:dyDescent="0.25">
      <c r="A5920" s="100">
        <v>45930</v>
      </c>
      <c r="B5920" t="str">
        <f t="shared" si="280"/>
        <v>September</v>
      </c>
      <c r="C5920" s="46" t="s">
        <v>280</v>
      </c>
      <c r="F5920" s="366" t="s">
        <v>3042</v>
      </c>
      <c r="G5920" s="46" t="s">
        <v>208</v>
      </c>
      <c r="H5920" s="46">
        <v>3</v>
      </c>
      <c r="I5920" s="51">
        <v>189.75</v>
      </c>
      <c r="J5920" s="281">
        <f>++Tabla4[[#This Row],[Precio Bruto]]*1.16</f>
        <v>220.10999999999999</v>
      </c>
      <c r="K5920" s="281">
        <f>+Tabla4[[#This Row],[Precio Unitario Neto]]*Tabla4[[#Headers],[20.85%]]</f>
        <v>45.892934999999994</v>
      </c>
      <c r="L5920" s="282">
        <f>++Tabla4[[#This Row],[Precio Unitario Neto]]-Tabla4[[#This Row],[20.85%]]</f>
        <v>174.21706499999999</v>
      </c>
      <c r="M5920" s="282" t="e">
        <f>(INDEX(Tabla6[#All],MATCH(Tabla4[[#This Row],[Producto]],Tabla6[[#All],[PRODUCTO]],0),MATCH(Tabla4[[#This Row],[Mes]],Tabla6[#Headers],0)))*(1+Catalogos!$L$2)</f>
        <v>#N/A</v>
      </c>
      <c r="N5920" s="283" t="e">
        <f>+(Tabla4[[#This Row],[Precio Descontado]]-Tabla4[[#This Row],[Precio Base]])*Tabla4[[#This Row],[Cantidad]]</f>
        <v>#N/A</v>
      </c>
      <c r="O5920" s="284" t="e">
        <f>++Tabla4[[#This Row],[Utilidad Total]]/Tabla4[[#This Row],[Total]]</f>
        <v>#N/A</v>
      </c>
      <c r="P5920" s="282">
        <f>++Tabla4[[#This Row],[Precio Descontado]]*Tabla4[[#This Row],[Cantidad]]</f>
        <v>522.65119499999992</v>
      </c>
      <c r="Q5920" s="282" t="e">
        <f>(INDEX(Tabla6[#All],MATCH(Tabla4[[#This Row],[Producto]],Tabla6[[#All],[PRODUCTO]],0),MATCH(Tabla4[[#This Row],[Mes]],Tabla6[#Headers],0)))</f>
        <v>#N/A</v>
      </c>
      <c r="R5920" s="282" t="e">
        <f>++Tabla4[[#This Row],[Precio Unitario Neto]]-Tabla4[[#This Row],[20.85%]]-Tabla4[[#This Row],[Costo]]</f>
        <v>#N/A</v>
      </c>
      <c r="S5920" s="282" t="e">
        <f>++Tabla4[[#This Row],[U. Bruta Uni]]*Tabla4[[#This Row],[Cantidad]]</f>
        <v>#N/A</v>
      </c>
      <c r="T5920" s="369" t="str">
        <f>VLOOKUP(Tabla4[[#This Row],[Producto]],Tabla6[#All],14,FALSE)</f>
        <v>Termico Solar</v>
      </c>
      <c r="U5920" s="284" t="e">
        <f>(IF(Tabla4[[#This Row],[Familia]]="termico solar",Tabla4[[#This Row],[Utilidad Total]]*6%,Tabla4[[#This Row],[Utilidad Total]]*11.5%))/Tabla4[[#This Row],[Total]]</f>
        <v>#N/A</v>
      </c>
      <c r="V5920" s="282" t="e">
        <f>+Tabla4[[#This Row],[Comisión Calculada]]*Tabla4[[#This Row],[Total]]</f>
        <v>#N/A</v>
      </c>
    </row>
    <row r="5921" spans="1:22" hidden="1" x14ac:dyDescent="0.25">
      <c r="A5921" s="100">
        <v>45930</v>
      </c>
      <c r="B5921" t="str">
        <f t="shared" si="280"/>
        <v>September</v>
      </c>
      <c r="C5921" s="46" t="s">
        <v>280</v>
      </c>
      <c r="F5921" s="366" t="s">
        <v>3043</v>
      </c>
      <c r="G5921" s="46" t="s">
        <v>19</v>
      </c>
      <c r="H5921" s="46">
        <v>1</v>
      </c>
      <c r="I5921" s="51">
        <v>6412.03</v>
      </c>
      <c r="J5921" s="281">
        <f>++Tabla4[[#This Row],[Precio Bruto]]*1.16</f>
        <v>7437.9547999999995</v>
      </c>
      <c r="K5921" s="281">
        <f>+Tabla4[[#This Row],[Precio Unitario Neto]]*Tabla4[[#Headers],[20.85%]]</f>
        <v>1550.8135757999999</v>
      </c>
      <c r="L5921" s="282">
        <f>++Tabla4[[#This Row],[Precio Unitario Neto]]-Tabla4[[#This Row],[20.85%]]</f>
        <v>5887.1412241999997</v>
      </c>
      <c r="M5921" s="282" t="e">
        <f>(INDEX(Tabla6[#All],MATCH(Tabla4[[#This Row],[Producto]],Tabla6[[#All],[PRODUCTO]],0),MATCH(Tabla4[[#This Row],[Mes]],Tabla6[#Headers],0)))*(1+Catalogos!$L$2)</f>
        <v>#N/A</v>
      </c>
      <c r="N5921" s="283" t="e">
        <f>+(Tabla4[[#This Row],[Precio Descontado]]-Tabla4[[#This Row],[Precio Base]])*Tabla4[[#This Row],[Cantidad]]</f>
        <v>#N/A</v>
      </c>
      <c r="O5921" s="284" t="e">
        <f>++Tabla4[[#This Row],[Utilidad Total]]/Tabla4[[#This Row],[Total]]</f>
        <v>#N/A</v>
      </c>
      <c r="P5921" s="282">
        <f>++Tabla4[[#This Row],[Precio Descontado]]*Tabla4[[#This Row],[Cantidad]]</f>
        <v>5887.1412241999997</v>
      </c>
      <c r="Q5921" s="282" t="e">
        <f>(INDEX(Tabla6[#All],MATCH(Tabla4[[#This Row],[Producto]],Tabla6[[#All],[PRODUCTO]],0),MATCH(Tabla4[[#This Row],[Mes]],Tabla6[#Headers],0)))</f>
        <v>#N/A</v>
      </c>
      <c r="R5921" s="282" t="e">
        <f>++Tabla4[[#This Row],[Precio Unitario Neto]]-Tabla4[[#This Row],[20.85%]]-Tabla4[[#This Row],[Costo]]</f>
        <v>#N/A</v>
      </c>
      <c r="S5921" s="282" t="e">
        <f>++Tabla4[[#This Row],[U. Bruta Uni]]*Tabla4[[#This Row],[Cantidad]]</f>
        <v>#N/A</v>
      </c>
      <c r="T5921" s="369" t="str">
        <f>VLOOKUP(Tabla4[[#This Row],[Producto]],Tabla6[#All],14,FALSE)</f>
        <v>Termico Solar</v>
      </c>
      <c r="U5921" s="284" t="e">
        <f>(IF(Tabla4[[#This Row],[Familia]]="termico solar",Tabla4[[#This Row],[Utilidad Total]]*6%,Tabla4[[#This Row],[Utilidad Total]]*11.5%))/Tabla4[[#This Row],[Total]]</f>
        <v>#N/A</v>
      </c>
      <c r="V5921" s="282" t="e">
        <f>+Tabla4[[#This Row],[Comisión Calculada]]*Tabla4[[#This Row],[Total]]</f>
        <v>#N/A</v>
      </c>
    </row>
    <row r="5922" spans="1:22" hidden="1" x14ac:dyDescent="0.25">
      <c r="A5922" s="100">
        <v>45930</v>
      </c>
      <c r="B5922" t="str">
        <f t="shared" si="280"/>
        <v>September</v>
      </c>
      <c r="C5922" s="46" t="s">
        <v>280</v>
      </c>
      <c r="F5922" s="366" t="s">
        <v>3043</v>
      </c>
      <c r="G5922" s="46" t="s">
        <v>566</v>
      </c>
      <c r="H5922" s="46">
        <v>1</v>
      </c>
      <c r="I5922" s="51">
        <v>2109.4499999999998</v>
      </c>
      <c r="J5922" s="281">
        <f>++Tabla4[[#This Row],[Precio Bruto]]*1.16</f>
        <v>2446.9619999999995</v>
      </c>
      <c r="K5922" s="281">
        <f>+Tabla4[[#This Row],[Precio Unitario Neto]]*Tabla4[[#Headers],[20.85%]]</f>
        <v>510.19157699999988</v>
      </c>
      <c r="L5922" s="282">
        <f>++Tabla4[[#This Row],[Precio Unitario Neto]]-Tabla4[[#This Row],[20.85%]]</f>
        <v>1936.7704229999997</v>
      </c>
      <c r="M5922" s="282" t="e">
        <f>(INDEX(Tabla6[#All],MATCH(Tabla4[[#This Row],[Producto]],Tabla6[[#All],[PRODUCTO]],0),MATCH(Tabla4[[#This Row],[Mes]],Tabla6[#Headers],0)))*(1+Catalogos!$L$2)</f>
        <v>#N/A</v>
      </c>
      <c r="N5922" s="283" t="e">
        <f>+(Tabla4[[#This Row],[Precio Descontado]]-Tabla4[[#This Row],[Precio Base]])*Tabla4[[#This Row],[Cantidad]]</f>
        <v>#N/A</v>
      </c>
      <c r="O5922" s="284" t="e">
        <f>++Tabla4[[#This Row],[Utilidad Total]]/Tabla4[[#This Row],[Total]]</f>
        <v>#N/A</v>
      </c>
      <c r="P5922" s="282">
        <f>++Tabla4[[#This Row],[Precio Descontado]]*Tabla4[[#This Row],[Cantidad]]</f>
        <v>1936.7704229999997</v>
      </c>
      <c r="Q5922" s="282" t="e">
        <f>(INDEX(Tabla6[#All],MATCH(Tabla4[[#This Row],[Producto]],Tabla6[[#All],[PRODUCTO]],0),MATCH(Tabla4[[#This Row],[Mes]],Tabla6[#Headers],0)))</f>
        <v>#N/A</v>
      </c>
      <c r="R5922" s="282" t="e">
        <f>++Tabla4[[#This Row],[Precio Unitario Neto]]-Tabla4[[#This Row],[20.85%]]-Tabla4[[#This Row],[Costo]]</f>
        <v>#N/A</v>
      </c>
      <c r="S5922" s="282" t="e">
        <f>++Tabla4[[#This Row],[U. Bruta Uni]]*Tabla4[[#This Row],[Cantidad]]</f>
        <v>#N/A</v>
      </c>
      <c r="T5922" s="369" t="str">
        <f>VLOOKUP(Tabla4[[#This Row],[Producto]],Tabla6[#All],14,FALSE)</f>
        <v>Termico Solar</v>
      </c>
      <c r="U5922" s="284" t="e">
        <f>(IF(Tabla4[[#This Row],[Familia]]="termico solar",Tabla4[[#This Row],[Utilidad Total]]*6%,Tabla4[[#This Row],[Utilidad Total]]*11.5%))/Tabla4[[#This Row],[Total]]</f>
        <v>#N/A</v>
      </c>
      <c r="V5922" s="282" t="e">
        <f>+Tabla4[[#This Row],[Comisión Calculada]]*Tabla4[[#This Row],[Total]]</f>
        <v>#N/A</v>
      </c>
    </row>
    <row r="5923" spans="1:22" hidden="1" x14ac:dyDescent="0.25">
      <c r="A5923" s="100">
        <v>45930</v>
      </c>
      <c r="B5923" t="str">
        <f t="shared" si="280"/>
        <v>September</v>
      </c>
      <c r="C5923" s="46" t="s">
        <v>280</v>
      </c>
      <c r="F5923" s="366" t="s">
        <v>3044</v>
      </c>
      <c r="G5923" s="46" t="s">
        <v>17</v>
      </c>
      <c r="H5923" s="46">
        <v>1</v>
      </c>
      <c r="I5923" s="51">
        <v>4622.28</v>
      </c>
      <c r="J5923" s="281">
        <f>++Tabla4[[#This Row],[Precio Bruto]]*1.16</f>
        <v>5361.8447999999989</v>
      </c>
      <c r="K5923" s="281">
        <f>+Tabla4[[#This Row],[Precio Unitario Neto]]*Tabla4[[#Headers],[20.85%]]</f>
        <v>1117.9446407999997</v>
      </c>
      <c r="L5923" s="282">
        <f>++Tabla4[[#This Row],[Precio Unitario Neto]]-Tabla4[[#This Row],[20.85%]]</f>
        <v>4243.9001591999995</v>
      </c>
      <c r="M5923" s="282" t="e">
        <f>(INDEX(Tabla6[#All],MATCH(Tabla4[[#This Row],[Producto]],Tabla6[[#All],[PRODUCTO]],0),MATCH(Tabla4[[#This Row],[Mes]],Tabla6[#Headers],0)))*(1+Catalogos!$L$2)</f>
        <v>#N/A</v>
      </c>
      <c r="N5923" s="283" t="e">
        <f>+(Tabla4[[#This Row],[Precio Descontado]]-Tabla4[[#This Row],[Precio Base]])*Tabla4[[#This Row],[Cantidad]]</f>
        <v>#N/A</v>
      </c>
      <c r="O5923" s="284" t="e">
        <f>++Tabla4[[#This Row],[Utilidad Total]]/Tabla4[[#This Row],[Total]]</f>
        <v>#N/A</v>
      </c>
      <c r="P5923" s="282">
        <f>++Tabla4[[#This Row],[Precio Descontado]]*Tabla4[[#This Row],[Cantidad]]</f>
        <v>4243.9001591999995</v>
      </c>
      <c r="Q5923" s="282" t="e">
        <f>(INDEX(Tabla6[#All],MATCH(Tabla4[[#This Row],[Producto]],Tabla6[[#All],[PRODUCTO]],0),MATCH(Tabla4[[#This Row],[Mes]],Tabla6[#Headers],0)))</f>
        <v>#N/A</v>
      </c>
      <c r="R5923" s="282" t="e">
        <f>++Tabla4[[#This Row],[Precio Unitario Neto]]-Tabla4[[#This Row],[20.85%]]-Tabla4[[#This Row],[Costo]]</f>
        <v>#N/A</v>
      </c>
      <c r="S5923" s="282" t="e">
        <f>++Tabla4[[#This Row],[U. Bruta Uni]]*Tabla4[[#This Row],[Cantidad]]</f>
        <v>#N/A</v>
      </c>
      <c r="T5923" s="369" t="str">
        <f>VLOOKUP(Tabla4[[#This Row],[Producto]],Tabla6[#All],14,FALSE)</f>
        <v>Termico Solar</v>
      </c>
      <c r="U5923" s="284" t="e">
        <f>(IF(Tabla4[[#This Row],[Familia]]="termico solar",Tabla4[[#This Row],[Utilidad Total]]*6%,Tabla4[[#This Row],[Utilidad Total]]*11.5%))/Tabla4[[#This Row],[Total]]</f>
        <v>#N/A</v>
      </c>
      <c r="V5923" s="282" t="e">
        <f>+Tabla4[[#This Row],[Comisión Calculada]]*Tabla4[[#This Row],[Total]]</f>
        <v>#N/A</v>
      </c>
    </row>
    <row r="5924" spans="1:22" hidden="1" x14ac:dyDescent="0.25">
      <c r="A5924" s="100">
        <v>45930</v>
      </c>
      <c r="B5924" t="str">
        <f t="shared" si="280"/>
        <v>September</v>
      </c>
      <c r="C5924" s="46" t="s">
        <v>280</v>
      </c>
      <c r="F5924" s="366" t="s">
        <v>3044</v>
      </c>
      <c r="G5924" s="46" t="s">
        <v>566</v>
      </c>
      <c r="H5924" s="46">
        <v>1</v>
      </c>
      <c r="I5924" s="51">
        <v>2109.4499999999998</v>
      </c>
      <c r="J5924" s="281">
        <f>++Tabla4[[#This Row],[Precio Bruto]]*1.16</f>
        <v>2446.9619999999995</v>
      </c>
      <c r="K5924" s="281">
        <f>+Tabla4[[#This Row],[Precio Unitario Neto]]*Tabla4[[#Headers],[20.85%]]</f>
        <v>510.19157699999988</v>
      </c>
      <c r="L5924" s="282">
        <f>++Tabla4[[#This Row],[Precio Unitario Neto]]-Tabla4[[#This Row],[20.85%]]</f>
        <v>1936.7704229999997</v>
      </c>
      <c r="M5924" s="282" t="e">
        <f>(INDEX(Tabla6[#All],MATCH(Tabla4[[#This Row],[Producto]],Tabla6[[#All],[PRODUCTO]],0),MATCH(Tabla4[[#This Row],[Mes]],Tabla6[#Headers],0)))*(1+Catalogos!$L$2)</f>
        <v>#N/A</v>
      </c>
      <c r="N5924" s="283" t="e">
        <f>+(Tabla4[[#This Row],[Precio Descontado]]-Tabla4[[#This Row],[Precio Base]])*Tabla4[[#This Row],[Cantidad]]</f>
        <v>#N/A</v>
      </c>
      <c r="O5924" s="284" t="e">
        <f>++Tabla4[[#This Row],[Utilidad Total]]/Tabla4[[#This Row],[Total]]</f>
        <v>#N/A</v>
      </c>
      <c r="P5924" s="282">
        <f>++Tabla4[[#This Row],[Precio Descontado]]*Tabla4[[#This Row],[Cantidad]]</f>
        <v>1936.7704229999997</v>
      </c>
      <c r="Q5924" s="282" t="e">
        <f>(INDEX(Tabla6[#All],MATCH(Tabla4[[#This Row],[Producto]],Tabla6[[#All],[PRODUCTO]],0),MATCH(Tabla4[[#This Row],[Mes]],Tabla6[#Headers],0)))</f>
        <v>#N/A</v>
      </c>
      <c r="R5924" s="282" t="e">
        <f>++Tabla4[[#This Row],[Precio Unitario Neto]]-Tabla4[[#This Row],[20.85%]]-Tabla4[[#This Row],[Costo]]</f>
        <v>#N/A</v>
      </c>
      <c r="S5924" s="282" t="e">
        <f>++Tabla4[[#This Row],[U. Bruta Uni]]*Tabla4[[#This Row],[Cantidad]]</f>
        <v>#N/A</v>
      </c>
      <c r="T5924" s="369" t="str">
        <f>VLOOKUP(Tabla4[[#This Row],[Producto]],Tabla6[#All],14,FALSE)</f>
        <v>Termico Solar</v>
      </c>
      <c r="U5924" s="284" t="e">
        <f>(IF(Tabla4[[#This Row],[Familia]]="termico solar",Tabla4[[#This Row],[Utilidad Total]]*6%,Tabla4[[#This Row],[Utilidad Total]]*11.5%))/Tabla4[[#This Row],[Total]]</f>
        <v>#N/A</v>
      </c>
      <c r="V5924" s="282" t="e">
        <f>+Tabla4[[#This Row],[Comisión Calculada]]*Tabla4[[#This Row],[Total]]</f>
        <v>#N/A</v>
      </c>
    </row>
    <row r="5925" spans="1:22" hidden="1" x14ac:dyDescent="0.25">
      <c r="A5925" s="100">
        <v>45930</v>
      </c>
      <c r="B5925" t="str">
        <f t="shared" si="280"/>
        <v>September</v>
      </c>
      <c r="C5925" s="46" t="s">
        <v>280</v>
      </c>
      <c r="F5925" s="366" t="s">
        <v>3044</v>
      </c>
      <c r="G5925" s="46" t="s">
        <v>16</v>
      </c>
      <c r="H5925" s="46">
        <v>1</v>
      </c>
      <c r="I5925" s="51">
        <v>4103.8500000000004</v>
      </c>
      <c r="J5925" s="281">
        <f>++Tabla4[[#This Row],[Precio Bruto]]*1.16</f>
        <v>4760.4660000000003</v>
      </c>
      <c r="K5925" s="281">
        <f>+Tabla4[[#This Row],[Precio Unitario Neto]]*Tabla4[[#Headers],[20.85%]]</f>
        <v>992.55716100000006</v>
      </c>
      <c r="L5925" s="282">
        <f>++Tabla4[[#This Row],[Precio Unitario Neto]]-Tabla4[[#This Row],[20.85%]]</f>
        <v>3767.9088390000002</v>
      </c>
      <c r="M5925" s="282" t="e">
        <f>(INDEX(Tabla6[#All],MATCH(Tabla4[[#This Row],[Producto]],Tabla6[[#All],[PRODUCTO]],0),MATCH(Tabla4[[#This Row],[Mes]],Tabla6[#Headers],0)))*(1+Catalogos!$L$2)</f>
        <v>#N/A</v>
      </c>
      <c r="N5925" s="283" t="e">
        <f>+(Tabla4[[#This Row],[Precio Descontado]]-Tabla4[[#This Row],[Precio Base]])*Tabla4[[#This Row],[Cantidad]]</f>
        <v>#N/A</v>
      </c>
      <c r="O5925" s="284" t="e">
        <f>++Tabla4[[#This Row],[Utilidad Total]]/Tabla4[[#This Row],[Total]]</f>
        <v>#N/A</v>
      </c>
      <c r="P5925" s="282">
        <f>++Tabla4[[#This Row],[Precio Descontado]]*Tabla4[[#This Row],[Cantidad]]</f>
        <v>3767.9088390000002</v>
      </c>
      <c r="Q5925" s="282" t="e">
        <f>(INDEX(Tabla6[#All],MATCH(Tabla4[[#This Row],[Producto]],Tabla6[[#All],[PRODUCTO]],0),MATCH(Tabla4[[#This Row],[Mes]],Tabla6[#Headers],0)))</f>
        <v>#N/A</v>
      </c>
      <c r="R5925" s="282" t="e">
        <f>++Tabla4[[#This Row],[Precio Unitario Neto]]-Tabla4[[#This Row],[20.85%]]-Tabla4[[#This Row],[Costo]]</f>
        <v>#N/A</v>
      </c>
      <c r="S5925" s="282" t="e">
        <f>++Tabla4[[#This Row],[U. Bruta Uni]]*Tabla4[[#This Row],[Cantidad]]</f>
        <v>#N/A</v>
      </c>
      <c r="T5925" s="369" t="str">
        <f>VLOOKUP(Tabla4[[#This Row],[Producto]],Tabla6[#All],14,FALSE)</f>
        <v>Termico Solar</v>
      </c>
      <c r="U5925" s="284" t="e">
        <f>(IF(Tabla4[[#This Row],[Familia]]="termico solar",Tabla4[[#This Row],[Utilidad Total]]*6%,Tabla4[[#This Row],[Utilidad Total]]*11.5%))/Tabla4[[#This Row],[Total]]</f>
        <v>#N/A</v>
      </c>
      <c r="V5925" s="282" t="e">
        <f>+Tabla4[[#This Row],[Comisión Calculada]]*Tabla4[[#This Row],[Total]]</f>
        <v>#N/A</v>
      </c>
    </row>
    <row r="5926" spans="1:22" hidden="1" x14ac:dyDescent="0.25">
      <c r="A5926" s="100">
        <v>45930</v>
      </c>
      <c r="B5926" t="str">
        <f t="shared" si="280"/>
        <v>September</v>
      </c>
      <c r="C5926" s="46" t="s">
        <v>280</v>
      </c>
      <c r="F5926" s="366" t="s">
        <v>3044</v>
      </c>
      <c r="G5926" s="46" t="s">
        <v>555</v>
      </c>
      <c r="H5926" s="46">
        <v>8</v>
      </c>
      <c r="I5926" s="51">
        <v>389.47</v>
      </c>
      <c r="J5926" s="281">
        <f>++Tabla4[[#This Row],[Precio Bruto]]*1.16</f>
        <v>451.78519999999997</v>
      </c>
      <c r="K5926" s="281">
        <f>+Tabla4[[#This Row],[Precio Unitario Neto]]*Tabla4[[#Headers],[20.85%]]</f>
        <v>94.197214199999991</v>
      </c>
      <c r="L5926" s="282">
        <f>++Tabla4[[#This Row],[Precio Unitario Neto]]-Tabla4[[#This Row],[20.85%]]</f>
        <v>357.58798579999996</v>
      </c>
      <c r="M5926" s="282" t="e">
        <f>(INDEX(Tabla6[#All],MATCH(Tabla4[[#This Row],[Producto]],Tabla6[[#All],[PRODUCTO]],0),MATCH(Tabla4[[#This Row],[Mes]],Tabla6[#Headers],0)))*(1+Catalogos!$L$2)</f>
        <v>#N/A</v>
      </c>
      <c r="N5926" s="283" t="e">
        <f>+(Tabla4[[#This Row],[Precio Descontado]]-Tabla4[[#This Row],[Precio Base]])*Tabla4[[#This Row],[Cantidad]]</f>
        <v>#N/A</v>
      </c>
      <c r="O5926" s="284" t="e">
        <f>++Tabla4[[#This Row],[Utilidad Total]]/Tabla4[[#This Row],[Total]]</f>
        <v>#N/A</v>
      </c>
      <c r="P5926" s="282">
        <f>++Tabla4[[#This Row],[Precio Descontado]]*Tabla4[[#This Row],[Cantidad]]</f>
        <v>2860.7038863999996</v>
      </c>
      <c r="Q5926" s="282" t="e">
        <f>(INDEX(Tabla6[#All],MATCH(Tabla4[[#This Row],[Producto]],Tabla6[[#All],[PRODUCTO]],0),MATCH(Tabla4[[#This Row],[Mes]],Tabla6[#Headers],0)))</f>
        <v>#N/A</v>
      </c>
      <c r="R5926" s="282" t="e">
        <f>++Tabla4[[#This Row],[Precio Unitario Neto]]-Tabla4[[#This Row],[20.85%]]-Tabla4[[#This Row],[Costo]]</f>
        <v>#N/A</v>
      </c>
      <c r="S5926" s="282" t="e">
        <f>++Tabla4[[#This Row],[U. Bruta Uni]]*Tabla4[[#This Row],[Cantidad]]</f>
        <v>#N/A</v>
      </c>
      <c r="T5926" s="369" t="str">
        <f>VLOOKUP(Tabla4[[#This Row],[Producto]],Tabla6[#All],14,FALSE)</f>
        <v>Termico Solar</v>
      </c>
      <c r="U5926" s="284" t="e">
        <f>(IF(Tabla4[[#This Row],[Familia]]="termico solar",Tabla4[[#This Row],[Utilidad Total]]*6%,Tabla4[[#This Row],[Utilidad Total]]*11.5%))/Tabla4[[#This Row],[Total]]</f>
        <v>#N/A</v>
      </c>
      <c r="V5926" s="282" t="e">
        <f>+Tabla4[[#This Row],[Comisión Calculada]]*Tabla4[[#This Row],[Total]]</f>
        <v>#N/A</v>
      </c>
    </row>
    <row r="5927" spans="1:22" hidden="1" x14ac:dyDescent="0.25">
      <c r="A5927" s="100">
        <v>45930</v>
      </c>
      <c r="B5927" t="str">
        <f t="shared" si="280"/>
        <v>September</v>
      </c>
      <c r="C5927" s="46" t="s">
        <v>280</v>
      </c>
      <c r="F5927" s="366" t="s">
        <v>3045</v>
      </c>
      <c r="G5927" s="46" t="s">
        <v>555</v>
      </c>
      <c r="H5927" s="46">
        <v>8</v>
      </c>
      <c r="I5927" s="51">
        <v>389.47</v>
      </c>
      <c r="J5927" s="281">
        <f>++Tabla4[[#This Row],[Precio Bruto]]*1.16</f>
        <v>451.78519999999997</v>
      </c>
      <c r="K5927" s="281">
        <f>+Tabla4[[#This Row],[Precio Unitario Neto]]*Tabla4[[#Headers],[20.85%]]</f>
        <v>94.197214199999991</v>
      </c>
      <c r="L5927" s="282">
        <f>++Tabla4[[#This Row],[Precio Unitario Neto]]-Tabla4[[#This Row],[20.85%]]</f>
        <v>357.58798579999996</v>
      </c>
      <c r="M5927" s="282" t="e">
        <f>(INDEX(Tabla6[#All],MATCH(Tabla4[[#This Row],[Producto]],Tabla6[[#All],[PRODUCTO]],0),MATCH(Tabla4[[#This Row],[Mes]],Tabla6[#Headers],0)))*(1+Catalogos!$L$2)</f>
        <v>#N/A</v>
      </c>
      <c r="N5927" s="283" t="e">
        <f>+(Tabla4[[#This Row],[Precio Descontado]]-Tabla4[[#This Row],[Precio Base]])*Tabla4[[#This Row],[Cantidad]]</f>
        <v>#N/A</v>
      </c>
      <c r="O5927" s="284" t="e">
        <f>++Tabla4[[#This Row],[Utilidad Total]]/Tabla4[[#This Row],[Total]]</f>
        <v>#N/A</v>
      </c>
      <c r="P5927" s="282">
        <f>++Tabla4[[#This Row],[Precio Descontado]]*Tabla4[[#This Row],[Cantidad]]</f>
        <v>2860.7038863999996</v>
      </c>
      <c r="Q5927" s="282" t="e">
        <f>(INDEX(Tabla6[#All],MATCH(Tabla4[[#This Row],[Producto]],Tabla6[[#All],[PRODUCTO]],0),MATCH(Tabla4[[#This Row],[Mes]],Tabla6[#Headers],0)))</f>
        <v>#N/A</v>
      </c>
      <c r="R5927" s="282" t="e">
        <f>++Tabla4[[#This Row],[Precio Unitario Neto]]-Tabla4[[#This Row],[20.85%]]-Tabla4[[#This Row],[Costo]]</f>
        <v>#N/A</v>
      </c>
      <c r="S5927" s="282" t="e">
        <f>++Tabla4[[#This Row],[U. Bruta Uni]]*Tabla4[[#This Row],[Cantidad]]</f>
        <v>#N/A</v>
      </c>
      <c r="T5927" s="369" t="str">
        <f>VLOOKUP(Tabla4[[#This Row],[Producto]],Tabla6[#All],14,FALSE)</f>
        <v>Termico Solar</v>
      </c>
      <c r="U5927" s="284" t="e">
        <f>(IF(Tabla4[[#This Row],[Familia]]="termico solar",Tabla4[[#This Row],[Utilidad Total]]*6%,Tabla4[[#This Row],[Utilidad Total]]*11.5%))/Tabla4[[#This Row],[Total]]</f>
        <v>#N/A</v>
      </c>
      <c r="V5927" s="282" t="e">
        <f>+Tabla4[[#This Row],[Comisión Calculada]]*Tabla4[[#This Row],[Total]]</f>
        <v>#N/A</v>
      </c>
    </row>
    <row r="5928" spans="1:22" hidden="1" x14ac:dyDescent="0.25">
      <c r="A5928" s="100">
        <v>45930</v>
      </c>
      <c r="B5928" t="str">
        <f t="shared" si="280"/>
        <v>September</v>
      </c>
      <c r="C5928" s="46" t="s">
        <v>280</v>
      </c>
      <c r="F5928" s="366" t="s">
        <v>3046</v>
      </c>
      <c r="G5928" s="46" t="s">
        <v>17</v>
      </c>
      <c r="H5928" s="46">
        <v>1</v>
      </c>
      <c r="I5928" s="51">
        <v>4622.28</v>
      </c>
      <c r="J5928" s="281">
        <f>++Tabla4[[#This Row],[Precio Bruto]]*1.16</f>
        <v>5361.8447999999989</v>
      </c>
      <c r="K5928" s="281">
        <f>+Tabla4[[#This Row],[Precio Unitario Neto]]*Tabla4[[#Headers],[20.85%]]</f>
        <v>1117.9446407999997</v>
      </c>
      <c r="L5928" s="282">
        <f>++Tabla4[[#This Row],[Precio Unitario Neto]]-Tabla4[[#This Row],[20.85%]]</f>
        <v>4243.9001591999995</v>
      </c>
      <c r="M5928" s="282" t="e">
        <f>(INDEX(Tabla6[#All],MATCH(Tabla4[[#This Row],[Producto]],Tabla6[[#All],[PRODUCTO]],0),MATCH(Tabla4[[#This Row],[Mes]],Tabla6[#Headers],0)))*(1+Catalogos!$L$2)</f>
        <v>#N/A</v>
      </c>
      <c r="N5928" s="283" t="e">
        <f>+(Tabla4[[#This Row],[Precio Descontado]]-Tabla4[[#This Row],[Precio Base]])*Tabla4[[#This Row],[Cantidad]]</f>
        <v>#N/A</v>
      </c>
      <c r="O5928" s="284" t="e">
        <f>++Tabla4[[#This Row],[Utilidad Total]]/Tabla4[[#This Row],[Total]]</f>
        <v>#N/A</v>
      </c>
      <c r="P5928" s="282">
        <f>++Tabla4[[#This Row],[Precio Descontado]]*Tabla4[[#This Row],[Cantidad]]</f>
        <v>4243.9001591999995</v>
      </c>
      <c r="Q5928" s="282" t="e">
        <f>(INDEX(Tabla6[#All],MATCH(Tabla4[[#This Row],[Producto]],Tabla6[[#All],[PRODUCTO]],0),MATCH(Tabla4[[#This Row],[Mes]],Tabla6[#Headers],0)))</f>
        <v>#N/A</v>
      </c>
      <c r="R5928" s="282" t="e">
        <f>++Tabla4[[#This Row],[Precio Unitario Neto]]-Tabla4[[#This Row],[20.85%]]-Tabla4[[#This Row],[Costo]]</f>
        <v>#N/A</v>
      </c>
      <c r="S5928" s="282" t="e">
        <f>++Tabla4[[#This Row],[U. Bruta Uni]]*Tabla4[[#This Row],[Cantidad]]</f>
        <v>#N/A</v>
      </c>
      <c r="T5928" s="369" t="str">
        <f>VLOOKUP(Tabla4[[#This Row],[Producto]],Tabla6[#All],14,FALSE)</f>
        <v>Termico Solar</v>
      </c>
      <c r="U5928" s="284" t="e">
        <f>(IF(Tabla4[[#This Row],[Familia]]="termico solar",Tabla4[[#This Row],[Utilidad Total]]*6%,Tabla4[[#This Row],[Utilidad Total]]*11.5%))/Tabla4[[#This Row],[Total]]</f>
        <v>#N/A</v>
      </c>
      <c r="V5928" s="282" t="e">
        <f>+Tabla4[[#This Row],[Comisión Calculada]]*Tabla4[[#This Row],[Total]]</f>
        <v>#N/A</v>
      </c>
    </row>
    <row r="5929" spans="1:22" hidden="1" x14ac:dyDescent="0.25">
      <c r="A5929" s="100">
        <v>45930</v>
      </c>
      <c r="B5929" t="str">
        <f t="shared" si="280"/>
        <v>September</v>
      </c>
      <c r="C5929" s="46" t="s">
        <v>280</v>
      </c>
      <c r="F5929" s="366" t="s">
        <v>3047</v>
      </c>
      <c r="G5929" s="46" t="s">
        <v>83</v>
      </c>
      <c r="H5929" s="46">
        <v>1</v>
      </c>
      <c r="I5929" s="51">
        <v>8858.76</v>
      </c>
      <c r="J5929" s="281">
        <f>++Tabla4[[#This Row],[Precio Bruto]]*1.16</f>
        <v>10276.161599999999</v>
      </c>
      <c r="K5929" s="281">
        <f>+Tabla4[[#This Row],[Precio Unitario Neto]]*Tabla4[[#Headers],[20.85%]]</f>
        <v>2142.5796935999997</v>
      </c>
      <c r="L5929" s="282">
        <f>++Tabla4[[#This Row],[Precio Unitario Neto]]-Tabla4[[#This Row],[20.85%]]</f>
        <v>8133.5819063999998</v>
      </c>
      <c r="M5929" s="282" t="e">
        <f>(INDEX(Tabla6[#All],MATCH(Tabla4[[#This Row],[Producto]],Tabla6[[#All],[PRODUCTO]],0),MATCH(Tabla4[[#This Row],[Mes]],Tabla6[#Headers],0)))*(1+Catalogos!$L$2)</f>
        <v>#N/A</v>
      </c>
      <c r="N5929" s="283" t="e">
        <f>+(Tabla4[[#This Row],[Precio Descontado]]-Tabla4[[#This Row],[Precio Base]])*Tabla4[[#This Row],[Cantidad]]</f>
        <v>#N/A</v>
      </c>
      <c r="O5929" s="284" t="e">
        <f>++Tabla4[[#This Row],[Utilidad Total]]/Tabla4[[#This Row],[Total]]</f>
        <v>#N/A</v>
      </c>
      <c r="P5929" s="282">
        <f>++Tabla4[[#This Row],[Precio Descontado]]*Tabla4[[#This Row],[Cantidad]]</f>
        <v>8133.5819063999998</v>
      </c>
      <c r="Q5929" s="282" t="e">
        <f>(INDEX(Tabla6[#All],MATCH(Tabla4[[#This Row],[Producto]],Tabla6[[#All],[PRODUCTO]],0),MATCH(Tabla4[[#This Row],[Mes]],Tabla6[#Headers],0)))</f>
        <v>#N/A</v>
      </c>
      <c r="R5929" s="282" t="e">
        <f>++Tabla4[[#This Row],[Precio Unitario Neto]]-Tabla4[[#This Row],[20.85%]]-Tabla4[[#This Row],[Costo]]</f>
        <v>#N/A</v>
      </c>
      <c r="S5929" s="282" t="e">
        <f>++Tabla4[[#This Row],[U. Bruta Uni]]*Tabla4[[#This Row],[Cantidad]]</f>
        <v>#N/A</v>
      </c>
      <c r="T5929" s="369" t="str">
        <f>VLOOKUP(Tabla4[[#This Row],[Producto]],Tabla6[#All],14,FALSE)</f>
        <v>Termico Solar</v>
      </c>
      <c r="U5929" s="284" t="e">
        <f>(IF(Tabla4[[#This Row],[Familia]]="termico solar",Tabla4[[#This Row],[Utilidad Total]]*6%,Tabla4[[#This Row],[Utilidad Total]]*11.5%))/Tabla4[[#This Row],[Total]]</f>
        <v>#N/A</v>
      </c>
      <c r="V5929" s="282" t="e">
        <f>+Tabla4[[#This Row],[Comisión Calculada]]*Tabla4[[#This Row],[Total]]</f>
        <v>#N/A</v>
      </c>
    </row>
    <row r="5930" spans="1:22" hidden="1" x14ac:dyDescent="0.25">
      <c r="A5930" s="100">
        <v>45930</v>
      </c>
      <c r="B5930" t="str">
        <f t="shared" si="280"/>
        <v>September</v>
      </c>
      <c r="C5930" s="46" t="s">
        <v>280</v>
      </c>
      <c r="F5930" s="366" t="s">
        <v>3047</v>
      </c>
      <c r="G5930" s="46" t="s">
        <v>208</v>
      </c>
      <c r="H5930" s="46">
        <v>1</v>
      </c>
      <c r="I5930" s="51">
        <v>189.75</v>
      </c>
      <c r="J5930" s="281">
        <f>++Tabla4[[#This Row],[Precio Bruto]]*1.16</f>
        <v>220.10999999999999</v>
      </c>
      <c r="K5930" s="281">
        <f>+Tabla4[[#This Row],[Precio Unitario Neto]]*Tabla4[[#Headers],[20.85%]]</f>
        <v>45.892934999999994</v>
      </c>
      <c r="L5930" s="282">
        <f>++Tabla4[[#This Row],[Precio Unitario Neto]]-Tabla4[[#This Row],[20.85%]]</f>
        <v>174.21706499999999</v>
      </c>
      <c r="M5930" s="282" t="e">
        <f>(INDEX(Tabla6[#All],MATCH(Tabla4[[#This Row],[Producto]],Tabla6[[#All],[PRODUCTO]],0),MATCH(Tabla4[[#This Row],[Mes]],Tabla6[#Headers],0)))*(1+Catalogos!$L$2)</f>
        <v>#N/A</v>
      </c>
      <c r="N5930" s="283" t="e">
        <f>+(Tabla4[[#This Row],[Precio Descontado]]-Tabla4[[#This Row],[Precio Base]])*Tabla4[[#This Row],[Cantidad]]</f>
        <v>#N/A</v>
      </c>
      <c r="O5930" s="284" t="e">
        <f>++Tabla4[[#This Row],[Utilidad Total]]/Tabla4[[#This Row],[Total]]</f>
        <v>#N/A</v>
      </c>
      <c r="P5930" s="282">
        <f>++Tabla4[[#This Row],[Precio Descontado]]*Tabla4[[#This Row],[Cantidad]]</f>
        <v>174.21706499999999</v>
      </c>
      <c r="Q5930" s="282" t="e">
        <f>(INDEX(Tabla6[#All],MATCH(Tabla4[[#This Row],[Producto]],Tabla6[[#All],[PRODUCTO]],0),MATCH(Tabla4[[#This Row],[Mes]],Tabla6[#Headers],0)))</f>
        <v>#N/A</v>
      </c>
      <c r="R5930" s="282" t="e">
        <f>++Tabla4[[#This Row],[Precio Unitario Neto]]-Tabla4[[#This Row],[20.85%]]-Tabla4[[#This Row],[Costo]]</f>
        <v>#N/A</v>
      </c>
      <c r="S5930" s="282" t="e">
        <f>++Tabla4[[#This Row],[U. Bruta Uni]]*Tabla4[[#This Row],[Cantidad]]</f>
        <v>#N/A</v>
      </c>
      <c r="T5930" s="369" t="str">
        <f>VLOOKUP(Tabla4[[#This Row],[Producto]],Tabla6[#All],14,FALSE)</f>
        <v>Termico Solar</v>
      </c>
      <c r="U5930" s="284" t="e">
        <f>(IF(Tabla4[[#This Row],[Familia]]="termico solar",Tabla4[[#This Row],[Utilidad Total]]*6%,Tabla4[[#This Row],[Utilidad Total]]*11.5%))/Tabla4[[#This Row],[Total]]</f>
        <v>#N/A</v>
      </c>
      <c r="V5930" s="282" t="e">
        <f>+Tabla4[[#This Row],[Comisión Calculada]]*Tabla4[[#This Row],[Total]]</f>
        <v>#N/A</v>
      </c>
    </row>
    <row r="5931" spans="1:22" hidden="1" x14ac:dyDescent="0.25">
      <c r="A5931" s="100">
        <v>45930</v>
      </c>
      <c r="B5931" t="str">
        <f t="shared" si="280"/>
        <v>September</v>
      </c>
      <c r="C5931" s="46" t="s">
        <v>280</v>
      </c>
      <c r="F5931" s="366" t="s">
        <v>3048</v>
      </c>
      <c r="G5931" s="46" t="s">
        <v>208</v>
      </c>
      <c r="H5931" s="46">
        <v>1</v>
      </c>
      <c r="I5931" s="51">
        <v>189.75</v>
      </c>
      <c r="J5931" s="281">
        <f>++Tabla4[[#This Row],[Precio Bruto]]*1.16</f>
        <v>220.10999999999999</v>
      </c>
      <c r="K5931" s="281">
        <f>+Tabla4[[#This Row],[Precio Unitario Neto]]*Tabla4[[#Headers],[20.85%]]</f>
        <v>45.892934999999994</v>
      </c>
      <c r="L5931" s="282">
        <f>++Tabla4[[#This Row],[Precio Unitario Neto]]-Tabla4[[#This Row],[20.85%]]</f>
        <v>174.21706499999999</v>
      </c>
      <c r="M5931" s="282" t="e">
        <f>(INDEX(Tabla6[#All],MATCH(Tabla4[[#This Row],[Producto]],Tabla6[[#All],[PRODUCTO]],0),MATCH(Tabla4[[#This Row],[Mes]],Tabla6[#Headers],0)))*(1+Catalogos!$L$2)</f>
        <v>#N/A</v>
      </c>
      <c r="N5931" s="283" t="e">
        <f>+(Tabla4[[#This Row],[Precio Descontado]]-Tabla4[[#This Row],[Precio Base]])*Tabla4[[#This Row],[Cantidad]]</f>
        <v>#N/A</v>
      </c>
      <c r="O5931" s="284" t="e">
        <f>++Tabla4[[#This Row],[Utilidad Total]]/Tabla4[[#This Row],[Total]]</f>
        <v>#N/A</v>
      </c>
      <c r="P5931" s="282">
        <f>++Tabla4[[#This Row],[Precio Descontado]]*Tabla4[[#This Row],[Cantidad]]</f>
        <v>174.21706499999999</v>
      </c>
      <c r="Q5931" s="282" t="e">
        <f>(INDEX(Tabla6[#All],MATCH(Tabla4[[#This Row],[Producto]],Tabla6[[#All],[PRODUCTO]],0),MATCH(Tabla4[[#This Row],[Mes]],Tabla6[#Headers],0)))</f>
        <v>#N/A</v>
      </c>
      <c r="R5931" s="282" t="e">
        <f>++Tabla4[[#This Row],[Precio Unitario Neto]]-Tabla4[[#This Row],[20.85%]]-Tabla4[[#This Row],[Costo]]</f>
        <v>#N/A</v>
      </c>
      <c r="S5931" s="282" t="e">
        <f>++Tabla4[[#This Row],[U. Bruta Uni]]*Tabla4[[#This Row],[Cantidad]]</f>
        <v>#N/A</v>
      </c>
      <c r="T5931" s="369" t="str">
        <f>VLOOKUP(Tabla4[[#This Row],[Producto]],Tabla6[#All],14,FALSE)</f>
        <v>Termico Solar</v>
      </c>
      <c r="U5931" s="284" t="e">
        <f>(IF(Tabla4[[#This Row],[Familia]]="termico solar",Tabla4[[#This Row],[Utilidad Total]]*6%,Tabla4[[#This Row],[Utilidad Total]]*11.5%))/Tabla4[[#This Row],[Total]]</f>
        <v>#N/A</v>
      </c>
      <c r="V5931" s="282" t="e">
        <f>+Tabla4[[#This Row],[Comisión Calculada]]*Tabla4[[#This Row],[Total]]</f>
        <v>#N/A</v>
      </c>
    </row>
    <row r="5932" spans="1:22" hidden="1" x14ac:dyDescent="0.25">
      <c r="A5932" s="100">
        <v>45930</v>
      </c>
      <c r="B5932" t="str">
        <f t="shared" si="280"/>
        <v>September</v>
      </c>
      <c r="C5932" s="46" t="s">
        <v>280</v>
      </c>
      <c r="F5932" s="366" t="s">
        <v>3049</v>
      </c>
      <c r="G5932" s="46" t="s">
        <v>17</v>
      </c>
      <c r="H5932" s="46">
        <v>1</v>
      </c>
      <c r="I5932" s="51">
        <v>4622.28</v>
      </c>
      <c r="J5932" s="281">
        <f>++Tabla4[[#This Row],[Precio Bruto]]*1.16</f>
        <v>5361.8447999999989</v>
      </c>
      <c r="K5932" s="281">
        <f>+Tabla4[[#This Row],[Precio Unitario Neto]]*Tabla4[[#Headers],[20.85%]]</f>
        <v>1117.9446407999997</v>
      </c>
      <c r="L5932" s="282">
        <f>++Tabla4[[#This Row],[Precio Unitario Neto]]-Tabla4[[#This Row],[20.85%]]</f>
        <v>4243.9001591999995</v>
      </c>
      <c r="M5932" s="282" t="e">
        <f>(INDEX(Tabla6[#All],MATCH(Tabla4[[#This Row],[Producto]],Tabla6[[#All],[PRODUCTO]],0),MATCH(Tabla4[[#This Row],[Mes]],Tabla6[#Headers],0)))*(1+Catalogos!$L$2)</f>
        <v>#N/A</v>
      </c>
      <c r="N5932" s="283" t="e">
        <f>+(Tabla4[[#This Row],[Precio Descontado]]-Tabla4[[#This Row],[Precio Base]])*Tabla4[[#This Row],[Cantidad]]</f>
        <v>#N/A</v>
      </c>
      <c r="O5932" s="284" t="e">
        <f>++Tabla4[[#This Row],[Utilidad Total]]/Tabla4[[#This Row],[Total]]</f>
        <v>#N/A</v>
      </c>
      <c r="P5932" s="282">
        <f>++Tabla4[[#This Row],[Precio Descontado]]*Tabla4[[#This Row],[Cantidad]]</f>
        <v>4243.9001591999995</v>
      </c>
      <c r="Q5932" s="282" t="e">
        <f>(INDEX(Tabla6[#All],MATCH(Tabla4[[#This Row],[Producto]],Tabla6[[#All],[PRODUCTO]],0),MATCH(Tabla4[[#This Row],[Mes]],Tabla6[#Headers],0)))</f>
        <v>#N/A</v>
      </c>
      <c r="R5932" s="282" t="e">
        <f>++Tabla4[[#This Row],[Precio Unitario Neto]]-Tabla4[[#This Row],[20.85%]]-Tabla4[[#This Row],[Costo]]</f>
        <v>#N/A</v>
      </c>
      <c r="S5932" s="282" t="e">
        <f>++Tabla4[[#This Row],[U. Bruta Uni]]*Tabla4[[#This Row],[Cantidad]]</f>
        <v>#N/A</v>
      </c>
      <c r="T5932" s="369" t="str">
        <f>VLOOKUP(Tabla4[[#This Row],[Producto]],Tabla6[#All],14,FALSE)</f>
        <v>Termico Solar</v>
      </c>
      <c r="U5932" s="284" t="e">
        <f>(IF(Tabla4[[#This Row],[Familia]]="termico solar",Tabla4[[#This Row],[Utilidad Total]]*6%,Tabla4[[#This Row],[Utilidad Total]]*11.5%))/Tabla4[[#This Row],[Total]]</f>
        <v>#N/A</v>
      </c>
      <c r="V5932" s="282" t="e">
        <f>+Tabla4[[#This Row],[Comisión Calculada]]*Tabla4[[#This Row],[Total]]</f>
        <v>#N/A</v>
      </c>
    </row>
    <row r="5933" spans="1:22" hidden="1" x14ac:dyDescent="0.25">
      <c r="A5933" s="100">
        <v>45930</v>
      </c>
      <c r="B5933" t="str">
        <f t="shared" si="280"/>
        <v>September</v>
      </c>
      <c r="C5933" s="46" t="s">
        <v>280</v>
      </c>
      <c r="F5933" s="366" t="s">
        <v>3049</v>
      </c>
      <c r="G5933" s="46" t="s">
        <v>208</v>
      </c>
      <c r="H5933" s="46">
        <v>5</v>
      </c>
      <c r="I5933" s="51">
        <v>189.75</v>
      </c>
      <c r="J5933" s="281">
        <f>++Tabla4[[#This Row],[Precio Bruto]]*1.16</f>
        <v>220.10999999999999</v>
      </c>
      <c r="K5933" s="281">
        <f>+Tabla4[[#This Row],[Precio Unitario Neto]]*Tabla4[[#Headers],[20.85%]]</f>
        <v>45.892934999999994</v>
      </c>
      <c r="L5933" s="282">
        <f>++Tabla4[[#This Row],[Precio Unitario Neto]]-Tabla4[[#This Row],[20.85%]]</f>
        <v>174.21706499999999</v>
      </c>
      <c r="M5933" s="282" t="e">
        <f>(INDEX(Tabla6[#All],MATCH(Tabla4[[#This Row],[Producto]],Tabla6[[#All],[PRODUCTO]],0),MATCH(Tabla4[[#This Row],[Mes]],Tabla6[#Headers],0)))*(1+Catalogos!$L$2)</f>
        <v>#N/A</v>
      </c>
      <c r="N5933" s="283" t="e">
        <f>+(Tabla4[[#This Row],[Precio Descontado]]-Tabla4[[#This Row],[Precio Base]])*Tabla4[[#This Row],[Cantidad]]</f>
        <v>#N/A</v>
      </c>
      <c r="O5933" s="284" t="e">
        <f>++Tabla4[[#This Row],[Utilidad Total]]/Tabla4[[#This Row],[Total]]</f>
        <v>#N/A</v>
      </c>
      <c r="P5933" s="282">
        <f>++Tabla4[[#This Row],[Precio Descontado]]*Tabla4[[#This Row],[Cantidad]]</f>
        <v>871.08532500000001</v>
      </c>
      <c r="Q5933" s="282" t="e">
        <f>(INDEX(Tabla6[#All],MATCH(Tabla4[[#This Row],[Producto]],Tabla6[[#All],[PRODUCTO]],0),MATCH(Tabla4[[#This Row],[Mes]],Tabla6[#Headers],0)))</f>
        <v>#N/A</v>
      </c>
      <c r="R5933" s="282" t="e">
        <f>++Tabla4[[#This Row],[Precio Unitario Neto]]-Tabla4[[#This Row],[20.85%]]-Tabla4[[#This Row],[Costo]]</f>
        <v>#N/A</v>
      </c>
      <c r="S5933" s="282" t="e">
        <f>++Tabla4[[#This Row],[U. Bruta Uni]]*Tabla4[[#This Row],[Cantidad]]</f>
        <v>#N/A</v>
      </c>
      <c r="T5933" s="369" t="str">
        <f>VLOOKUP(Tabla4[[#This Row],[Producto]],Tabla6[#All],14,FALSE)</f>
        <v>Termico Solar</v>
      </c>
      <c r="U5933" s="284" t="e">
        <f>(IF(Tabla4[[#This Row],[Familia]]="termico solar",Tabla4[[#This Row],[Utilidad Total]]*6%,Tabla4[[#This Row],[Utilidad Total]]*11.5%))/Tabla4[[#This Row],[Total]]</f>
        <v>#N/A</v>
      </c>
      <c r="V5933" s="282" t="e">
        <f>+Tabla4[[#This Row],[Comisión Calculada]]*Tabla4[[#This Row],[Total]]</f>
        <v>#N/A</v>
      </c>
    </row>
    <row r="5934" spans="1:22" hidden="1" x14ac:dyDescent="0.25">
      <c r="A5934" s="100">
        <v>45930</v>
      </c>
      <c r="B5934" t="str">
        <f t="shared" si="280"/>
        <v>September</v>
      </c>
      <c r="C5934" s="46" t="s">
        <v>280</v>
      </c>
      <c r="F5934" s="366" t="s">
        <v>3050</v>
      </c>
      <c r="G5934" s="46" t="s">
        <v>17</v>
      </c>
      <c r="H5934" s="46">
        <v>1</v>
      </c>
      <c r="I5934" s="51">
        <v>4622.28</v>
      </c>
      <c r="J5934" s="281">
        <f>++Tabla4[[#This Row],[Precio Bruto]]*1.16</f>
        <v>5361.8447999999989</v>
      </c>
      <c r="K5934" s="281">
        <f>+Tabla4[[#This Row],[Precio Unitario Neto]]*Tabla4[[#Headers],[20.85%]]</f>
        <v>1117.9446407999997</v>
      </c>
      <c r="L5934" s="282">
        <f>++Tabla4[[#This Row],[Precio Unitario Neto]]-Tabla4[[#This Row],[20.85%]]</f>
        <v>4243.9001591999995</v>
      </c>
      <c r="M5934" s="282" t="e">
        <f>(INDEX(Tabla6[#All],MATCH(Tabla4[[#This Row],[Producto]],Tabla6[[#All],[PRODUCTO]],0),MATCH(Tabla4[[#This Row],[Mes]],Tabla6[#Headers],0)))*(1+Catalogos!$L$2)</f>
        <v>#N/A</v>
      </c>
      <c r="N5934" s="283" t="e">
        <f>+(Tabla4[[#This Row],[Precio Descontado]]-Tabla4[[#This Row],[Precio Base]])*Tabla4[[#This Row],[Cantidad]]</f>
        <v>#N/A</v>
      </c>
      <c r="O5934" s="284" t="e">
        <f>++Tabla4[[#This Row],[Utilidad Total]]/Tabla4[[#This Row],[Total]]</f>
        <v>#N/A</v>
      </c>
      <c r="P5934" s="282">
        <f>++Tabla4[[#This Row],[Precio Descontado]]*Tabla4[[#This Row],[Cantidad]]</f>
        <v>4243.9001591999995</v>
      </c>
      <c r="Q5934" s="282" t="e">
        <f>(INDEX(Tabla6[#All],MATCH(Tabla4[[#This Row],[Producto]],Tabla6[[#All],[PRODUCTO]],0),MATCH(Tabla4[[#This Row],[Mes]],Tabla6[#Headers],0)))</f>
        <v>#N/A</v>
      </c>
      <c r="R5934" s="282" t="e">
        <f>++Tabla4[[#This Row],[Precio Unitario Neto]]-Tabla4[[#This Row],[20.85%]]-Tabla4[[#This Row],[Costo]]</f>
        <v>#N/A</v>
      </c>
      <c r="S5934" s="282" t="e">
        <f>++Tabla4[[#This Row],[U. Bruta Uni]]*Tabla4[[#This Row],[Cantidad]]</f>
        <v>#N/A</v>
      </c>
      <c r="T5934" s="369" t="str">
        <f>VLOOKUP(Tabla4[[#This Row],[Producto]],Tabla6[#All],14,FALSE)</f>
        <v>Termico Solar</v>
      </c>
      <c r="U5934" s="284" t="e">
        <f>(IF(Tabla4[[#This Row],[Familia]]="termico solar",Tabla4[[#This Row],[Utilidad Total]]*6%,Tabla4[[#This Row],[Utilidad Total]]*11.5%))/Tabla4[[#This Row],[Total]]</f>
        <v>#N/A</v>
      </c>
      <c r="V5934" s="282" t="e">
        <f>+Tabla4[[#This Row],[Comisión Calculada]]*Tabla4[[#This Row],[Total]]</f>
        <v>#N/A</v>
      </c>
    </row>
    <row r="5935" spans="1:22" hidden="1" x14ac:dyDescent="0.25">
      <c r="A5935" s="100">
        <v>45930</v>
      </c>
      <c r="B5935" t="str">
        <f t="shared" si="280"/>
        <v>September</v>
      </c>
      <c r="C5935" s="46" t="s">
        <v>280</v>
      </c>
      <c r="F5935" s="366" t="s">
        <v>3051</v>
      </c>
      <c r="G5935" s="46" t="s">
        <v>83</v>
      </c>
      <c r="H5935" s="46">
        <v>5</v>
      </c>
      <c r="I5935" s="51">
        <v>8858.76</v>
      </c>
      <c r="J5935" s="281">
        <f>++Tabla4[[#This Row],[Precio Bruto]]*1.16</f>
        <v>10276.161599999999</v>
      </c>
      <c r="K5935" s="281">
        <f>+Tabla4[[#This Row],[Precio Unitario Neto]]*Tabla4[[#Headers],[20.85%]]</f>
        <v>2142.5796935999997</v>
      </c>
      <c r="L5935" s="282">
        <f>++Tabla4[[#This Row],[Precio Unitario Neto]]-Tabla4[[#This Row],[20.85%]]</f>
        <v>8133.5819063999998</v>
      </c>
      <c r="M5935" s="282" t="e">
        <f>(INDEX(Tabla6[#All],MATCH(Tabla4[[#This Row],[Producto]],Tabla6[[#All],[PRODUCTO]],0),MATCH(Tabla4[[#This Row],[Mes]],Tabla6[#Headers],0)))*(1+Catalogos!$L$2)</f>
        <v>#N/A</v>
      </c>
      <c r="N5935" s="283" t="e">
        <f>+(Tabla4[[#This Row],[Precio Descontado]]-Tabla4[[#This Row],[Precio Base]])*Tabla4[[#This Row],[Cantidad]]</f>
        <v>#N/A</v>
      </c>
      <c r="O5935" s="284" t="e">
        <f>++Tabla4[[#This Row],[Utilidad Total]]/Tabla4[[#This Row],[Total]]</f>
        <v>#N/A</v>
      </c>
      <c r="P5935" s="282">
        <f>++Tabla4[[#This Row],[Precio Descontado]]*Tabla4[[#This Row],[Cantidad]]</f>
        <v>40667.909531999998</v>
      </c>
      <c r="Q5935" s="282" t="e">
        <f>(INDEX(Tabla6[#All],MATCH(Tabla4[[#This Row],[Producto]],Tabla6[[#All],[PRODUCTO]],0),MATCH(Tabla4[[#This Row],[Mes]],Tabla6[#Headers],0)))</f>
        <v>#N/A</v>
      </c>
      <c r="R5935" s="282" t="e">
        <f>++Tabla4[[#This Row],[Precio Unitario Neto]]-Tabla4[[#This Row],[20.85%]]-Tabla4[[#This Row],[Costo]]</f>
        <v>#N/A</v>
      </c>
      <c r="S5935" s="282" t="e">
        <f>++Tabla4[[#This Row],[U. Bruta Uni]]*Tabla4[[#This Row],[Cantidad]]</f>
        <v>#N/A</v>
      </c>
      <c r="T5935" s="369" t="str">
        <f>VLOOKUP(Tabla4[[#This Row],[Producto]],Tabla6[#All],14,FALSE)</f>
        <v>Termico Solar</v>
      </c>
      <c r="U5935" s="284" t="e">
        <f>(IF(Tabla4[[#This Row],[Familia]]="termico solar",Tabla4[[#This Row],[Utilidad Total]]*6%,Tabla4[[#This Row],[Utilidad Total]]*11.5%))/Tabla4[[#This Row],[Total]]</f>
        <v>#N/A</v>
      </c>
      <c r="V5935" s="282" t="e">
        <f>+Tabla4[[#This Row],[Comisión Calculada]]*Tabla4[[#This Row],[Total]]</f>
        <v>#N/A</v>
      </c>
    </row>
    <row r="5936" spans="1:22" hidden="1" x14ac:dyDescent="0.25">
      <c r="A5936" s="100">
        <v>45930</v>
      </c>
      <c r="B5936" t="str">
        <f t="shared" si="280"/>
        <v>September</v>
      </c>
      <c r="C5936" s="46" t="s">
        <v>280</v>
      </c>
      <c r="F5936" s="366" t="s">
        <v>3052</v>
      </c>
      <c r="G5936" s="46" t="s">
        <v>83</v>
      </c>
      <c r="H5936" s="46">
        <v>1</v>
      </c>
      <c r="I5936" s="51">
        <v>8858.76</v>
      </c>
      <c r="J5936" s="281">
        <f>++Tabla4[[#This Row],[Precio Bruto]]*1.16</f>
        <v>10276.161599999999</v>
      </c>
      <c r="K5936" s="281">
        <f>+Tabla4[[#This Row],[Precio Unitario Neto]]*Tabla4[[#Headers],[20.85%]]</f>
        <v>2142.5796935999997</v>
      </c>
      <c r="L5936" s="282">
        <f>++Tabla4[[#This Row],[Precio Unitario Neto]]-Tabla4[[#This Row],[20.85%]]</f>
        <v>8133.5819063999998</v>
      </c>
      <c r="M5936" s="282" t="e">
        <f>(INDEX(Tabla6[#All],MATCH(Tabla4[[#This Row],[Producto]],Tabla6[[#All],[PRODUCTO]],0),MATCH(Tabla4[[#This Row],[Mes]],Tabla6[#Headers],0)))*(1+Catalogos!$L$2)</f>
        <v>#N/A</v>
      </c>
      <c r="N5936" s="283" t="e">
        <f>+(Tabla4[[#This Row],[Precio Descontado]]-Tabla4[[#This Row],[Precio Base]])*Tabla4[[#This Row],[Cantidad]]</f>
        <v>#N/A</v>
      </c>
      <c r="O5936" s="284" t="e">
        <f>++Tabla4[[#This Row],[Utilidad Total]]/Tabla4[[#This Row],[Total]]</f>
        <v>#N/A</v>
      </c>
      <c r="P5936" s="282">
        <f>++Tabla4[[#This Row],[Precio Descontado]]*Tabla4[[#This Row],[Cantidad]]</f>
        <v>8133.5819063999998</v>
      </c>
      <c r="Q5936" s="282" t="e">
        <f>(INDEX(Tabla6[#All],MATCH(Tabla4[[#This Row],[Producto]],Tabla6[[#All],[PRODUCTO]],0),MATCH(Tabla4[[#This Row],[Mes]],Tabla6[#Headers],0)))</f>
        <v>#N/A</v>
      </c>
      <c r="R5936" s="282" t="e">
        <f>++Tabla4[[#This Row],[Precio Unitario Neto]]-Tabla4[[#This Row],[20.85%]]-Tabla4[[#This Row],[Costo]]</f>
        <v>#N/A</v>
      </c>
      <c r="S5936" s="282" t="e">
        <f>++Tabla4[[#This Row],[U. Bruta Uni]]*Tabla4[[#This Row],[Cantidad]]</f>
        <v>#N/A</v>
      </c>
      <c r="T5936" s="369" t="str">
        <f>VLOOKUP(Tabla4[[#This Row],[Producto]],Tabla6[#All],14,FALSE)</f>
        <v>Termico Solar</v>
      </c>
      <c r="U5936" s="284" t="e">
        <f>(IF(Tabla4[[#This Row],[Familia]]="termico solar",Tabla4[[#This Row],[Utilidad Total]]*6%,Tabla4[[#This Row],[Utilidad Total]]*11.5%))/Tabla4[[#This Row],[Total]]</f>
        <v>#N/A</v>
      </c>
      <c r="V5936" s="282" t="e">
        <f>+Tabla4[[#This Row],[Comisión Calculada]]*Tabla4[[#This Row],[Total]]</f>
        <v>#N/A</v>
      </c>
    </row>
    <row r="5937" spans="1:22" hidden="1" x14ac:dyDescent="0.25">
      <c r="A5937" s="100">
        <v>45930</v>
      </c>
      <c r="B5937" t="str">
        <f t="shared" si="280"/>
        <v>September</v>
      </c>
      <c r="C5937" s="46" t="s">
        <v>280</v>
      </c>
      <c r="F5937" s="366" t="s">
        <v>3052</v>
      </c>
      <c r="G5937" s="46" t="s">
        <v>18</v>
      </c>
      <c r="H5937" s="46">
        <v>1</v>
      </c>
      <c r="I5937" s="51">
        <v>5367.65</v>
      </c>
      <c r="J5937" s="281">
        <f>++Tabla4[[#This Row],[Precio Bruto]]*1.16</f>
        <v>6226.4739999999993</v>
      </c>
      <c r="K5937" s="281">
        <f>+Tabla4[[#This Row],[Precio Unitario Neto]]*Tabla4[[#Headers],[20.85%]]</f>
        <v>1298.2198289999999</v>
      </c>
      <c r="L5937" s="282">
        <f>++Tabla4[[#This Row],[Precio Unitario Neto]]-Tabla4[[#This Row],[20.85%]]</f>
        <v>4928.2541709999996</v>
      </c>
      <c r="M5937" s="282" t="e">
        <f>(INDEX(Tabla6[#All],MATCH(Tabla4[[#This Row],[Producto]],Tabla6[[#All],[PRODUCTO]],0),MATCH(Tabla4[[#This Row],[Mes]],Tabla6[#Headers],0)))*(1+Catalogos!$L$2)</f>
        <v>#N/A</v>
      </c>
      <c r="N5937" s="283" t="e">
        <f>+(Tabla4[[#This Row],[Precio Descontado]]-Tabla4[[#This Row],[Precio Base]])*Tabla4[[#This Row],[Cantidad]]</f>
        <v>#N/A</v>
      </c>
      <c r="O5937" s="284" t="e">
        <f>++Tabla4[[#This Row],[Utilidad Total]]/Tabla4[[#This Row],[Total]]</f>
        <v>#N/A</v>
      </c>
      <c r="P5937" s="282">
        <f>++Tabla4[[#This Row],[Precio Descontado]]*Tabla4[[#This Row],[Cantidad]]</f>
        <v>4928.2541709999996</v>
      </c>
      <c r="Q5937" s="282" t="e">
        <f>(INDEX(Tabla6[#All],MATCH(Tabla4[[#This Row],[Producto]],Tabla6[[#All],[PRODUCTO]],0),MATCH(Tabla4[[#This Row],[Mes]],Tabla6[#Headers],0)))</f>
        <v>#N/A</v>
      </c>
      <c r="R5937" s="282" t="e">
        <f>++Tabla4[[#This Row],[Precio Unitario Neto]]-Tabla4[[#This Row],[20.85%]]-Tabla4[[#This Row],[Costo]]</f>
        <v>#N/A</v>
      </c>
      <c r="S5937" s="282" t="e">
        <f>++Tabla4[[#This Row],[U. Bruta Uni]]*Tabla4[[#This Row],[Cantidad]]</f>
        <v>#N/A</v>
      </c>
      <c r="T5937" s="369" t="str">
        <f>VLOOKUP(Tabla4[[#This Row],[Producto]],Tabla6[#All],14,FALSE)</f>
        <v>Termico Solar</v>
      </c>
      <c r="U5937" s="284" t="e">
        <f>(IF(Tabla4[[#This Row],[Familia]]="termico solar",Tabla4[[#This Row],[Utilidad Total]]*6%,Tabla4[[#This Row],[Utilidad Total]]*11.5%))/Tabla4[[#This Row],[Total]]</f>
        <v>#N/A</v>
      </c>
      <c r="V5937" s="282" t="e">
        <f>+Tabla4[[#This Row],[Comisión Calculada]]*Tabla4[[#This Row],[Total]]</f>
        <v>#N/A</v>
      </c>
    </row>
    <row r="5938" spans="1:22" hidden="1" x14ac:dyDescent="0.25">
      <c r="A5938" s="100">
        <v>45930</v>
      </c>
      <c r="B5938" t="str">
        <f t="shared" si="280"/>
        <v>September</v>
      </c>
      <c r="C5938" s="46" t="s">
        <v>280</v>
      </c>
      <c r="F5938" s="366" t="s">
        <v>3052</v>
      </c>
      <c r="G5938" s="46" t="s">
        <v>16</v>
      </c>
      <c r="H5938" s="46">
        <v>1</v>
      </c>
      <c r="I5938" s="51">
        <v>4103.8500000000004</v>
      </c>
      <c r="J5938" s="281">
        <f>++Tabla4[[#This Row],[Precio Bruto]]*1.16</f>
        <v>4760.4660000000003</v>
      </c>
      <c r="K5938" s="281">
        <f>+Tabla4[[#This Row],[Precio Unitario Neto]]*Tabla4[[#Headers],[20.85%]]</f>
        <v>992.55716100000006</v>
      </c>
      <c r="L5938" s="282">
        <f>++Tabla4[[#This Row],[Precio Unitario Neto]]-Tabla4[[#This Row],[20.85%]]</f>
        <v>3767.9088390000002</v>
      </c>
      <c r="M5938" s="282" t="e">
        <f>(INDEX(Tabla6[#All],MATCH(Tabla4[[#This Row],[Producto]],Tabla6[[#All],[PRODUCTO]],0),MATCH(Tabla4[[#This Row],[Mes]],Tabla6[#Headers],0)))*(1+Catalogos!$L$2)</f>
        <v>#N/A</v>
      </c>
      <c r="N5938" s="283" t="e">
        <f>+(Tabla4[[#This Row],[Precio Descontado]]-Tabla4[[#This Row],[Precio Base]])*Tabla4[[#This Row],[Cantidad]]</f>
        <v>#N/A</v>
      </c>
      <c r="O5938" s="284" t="e">
        <f>++Tabla4[[#This Row],[Utilidad Total]]/Tabla4[[#This Row],[Total]]</f>
        <v>#N/A</v>
      </c>
      <c r="P5938" s="282">
        <f>++Tabla4[[#This Row],[Precio Descontado]]*Tabla4[[#This Row],[Cantidad]]</f>
        <v>3767.9088390000002</v>
      </c>
      <c r="Q5938" s="282" t="e">
        <f>(INDEX(Tabla6[#All],MATCH(Tabla4[[#This Row],[Producto]],Tabla6[[#All],[PRODUCTO]],0),MATCH(Tabla4[[#This Row],[Mes]],Tabla6[#Headers],0)))</f>
        <v>#N/A</v>
      </c>
      <c r="R5938" s="282" t="e">
        <f>++Tabla4[[#This Row],[Precio Unitario Neto]]-Tabla4[[#This Row],[20.85%]]-Tabla4[[#This Row],[Costo]]</f>
        <v>#N/A</v>
      </c>
      <c r="S5938" s="282" t="e">
        <f>++Tabla4[[#This Row],[U. Bruta Uni]]*Tabla4[[#This Row],[Cantidad]]</f>
        <v>#N/A</v>
      </c>
      <c r="T5938" s="369" t="str">
        <f>VLOOKUP(Tabla4[[#This Row],[Producto]],Tabla6[#All],14,FALSE)</f>
        <v>Termico Solar</v>
      </c>
      <c r="U5938" s="284" t="e">
        <f>(IF(Tabla4[[#This Row],[Familia]]="termico solar",Tabla4[[#This Row],[Utilidad Total]]*6%,Tabla4[[#This Row],[Utilidad Total]]*11.5%))/Tabla4[[#This Row],[Total]]</f>
        <v>#N/A</v>
      </c>
      <c r="V5938" s="282" t="e">
        <f>+Tabla4[[#This Row],[Comisión Calculada]]*Tabla4[[#This Row],[Total]]</f>
        <v>#N/A</v>
      </c>
    </row>
    <row r="5939" spans="1:22" hidden="1" x14ac:dyDescent="0.25">
      <c r="A5939" s="100">
        <v>45930</v>
      </c>
      <c r="B5939" t="str">
        <f t="shared" si="280"/>
        <v>September</v>
      </c>
      <c r="C5939" s="46" t="s">
        <v>280</v>
      </c>
      <c r="F5939" s="366" t="s">
        <v>3052</v>
      </c>
      <c r="G5939" s="46" t="s">
        <v>208</v>
      </c>
      <c r="H5939" s="46">
        <v>1</v>
      </c>
      <c r="I5939" s="51">
        <v>189.75</v>
      </c>
      <c r="J5939" s="281">
        <f>++Tabla4[[#This Row],[Precio Bruto]]*1.16</f>
        <v>220.10999999999999</v>
      </c>
      <c r="K5939" s="281">
        <f>+Tabla4[[#This Row],[Precio Unitario Neto]]*Tabla4[[#Headers],[20.85%]]</f>
        <v>45.892934999999994</v>
      </c>
      <c r="L5939" s="282">
        <f>++Tabla4[[#This Row],[Precio Unitario Neto]]-Tabla4[[#This Row],[20.85%]]</f>
        <v>174.21706499999999</v>
      </c>
      <c r="M5939" s="282" t="e">
        <f>(INDEX(Tabla6[#All],MATCH(Tabla4[[#This Row],[Producto]],Tabla6[[#All],[PRODUCTO]],0),MATCH(Tabla4[[#This Row],[Mes]],Tabla6[#Headers],0)))*(1+Catalogos!$L$2)</f>
        <v>#N/A</v>
      </c>
      <c r="N5939" s="283" t="e">
        <f>+(Tabla4[[#This Row],[Precio Descontado]]-Tabla4[[#This Row],[Precio Base]])*Tabla4[[#This Row],[Cantidad]]</f>
        <v>#N/A</v>
      </c>
      <c r="O5939" s="284" t="e">
        <f>++Tabla4[[#This Row],[Utilidad Total]]/Tabla4[[#This Row],[Total]]</f>
        <v>#N/A</v>
      </c>
      <c r="P5939" s="282">
        <f>++Tabla4[[#This Row],[Precio Descontado]]*Tabla4[[#This Row],[Cantidad]]</f>
        <v>174.21706499999999</v>
      </c>
      <c r="Q5939" s="282" t="e">
        <f>(INDEX(Tabla6[#All],MATCH(Tabla4[[#This Row],[Producto]],Tabla6[[#All],[PRODUCTO]],0),MATCH(Tabla4[[#This Row],[Mes]],Tabla6[#Headers],0)))</f>
        <v>#N/A</v>
      </c>
      <c r="R5939" s="282" t="e">
        <f>++Tabla4[[#This Row],[Precio Unitario Neto]]-Tabla4[[#This Row],[20.85%]]-Tabla4[[#This Row],[Costo]]</f>
        <v>#N/A</v>
      </c>
      <c r="S5939" s="282" t="e">
        <f>++Tabla4[[#This Row],[U. Bruta Uni]]*Tabla4[[#This Row],[Cantidad]]</f>
        <v>#N/A</v>
      </c>
      <c r="T5939" s="369" t="str">
        <f>VLOOKUP(Tabla4[[#This Row],[Producto]],Tabla6[#All],14,FALSE)</f>
        <v>Termico Solar</v>
      </c>
      <c r="U5939" s="284" t="e">
        <f>(IF(Tabla4[[#This Row],[Familia]]="termico solar",Tabla4[[#This Row],[Utilidad Total]]*6%,Tabla4[[#This Row],[Utilidad Total]]*11.5%))/Tabla4[[#This Row],[Total]]</f>
        <v>#N/A</v>
      </c>
      <c r="V5939" s="282" t="e">
        <f>+Tabla4[[#This Row],[Comisión Calculada]]*Tabla4[[#This Row],[Total]]</f>
        <v>#N/A</v>
      </c>
    </row>
    <row r="5940" spans="1:22" hidden="1" x14ac:dyDescent="0.25">
      <c r="A5940" s="100">
        <v>45930</v>
      </c>
      <c r="B5940" t="str">
        <f t="shared" si="280"/>
        <v>September</v>
      </c>
      <c r="C5940" s="46" t="s">
        <v>280</v>
      </c>
      <c r="F5940" s="366" t="s">
        <v>3053</v>
      </c>
      <c r="G5940" s="46" t="s">
        <v>83</v>
      </c>
      <c r="H5940" s="46">
        <v>1</v>
      </c>
      <c r="I5940" s="51">
        <v>8858.76</v>
      </c>
      <c r="J5940" s="281">
        <f>++Tabla4[[#This Row],[Precio Bruto]]*1.16</f>
        <v>10276.161599999999</v>
      </c>
      <c r="K5940" s="281">
        <f>+Tabla4[[#This Row],[Precio Unitario Neto]]*Tabla4[[#Headers],[20.85%]]</f>
        <v>2142.5796935999997</v>
      </c>
      <c r="L5940" s="282">
        <f>++Tabla4[[#This Row],[Precio Unitario Neto]]-Tabla4[[#This Row],[20.85%]]</f>
        <v>8133.5819063999998</v>
      </c>
      <c r="M5940" s="282" t="e">
        <f>(INDEX(Tabla6[#All],MATCH(Tabla4[[#This Row],[Producto]],Tabla6[[#All],[PRODUCTO]],0),MATCH(Tabla4[[#This Row],[Mes]],Tabla6[#Headers],0)))*(1+Catalogos!$L$2)</f>
        <v>#N/A</v>
      </c>
      <c r="N5940" s="283" t="e">
        <f>+(Tabla4[[#This Row],[Precio Descontado]]-Tabla4[[#This Row],[Precio Base]])*Tabla4[[#This Row],[Cantidad]]</f>
        <v>#N/A</v>
      </c>
      <c r="O5940" s="284" t="e">
        <f>++Tabla4[[#This Row],[Utilidad Total]]/Tabla4[[#This Row],[Total]]</f>
        <v>#N/A</v>
      </c>
      <c r="P5940" s="282">
        <f>++Tabla4[[#This Row],[Precio Descontado]]*Tabla4[[#This Row],[Cantidad]]</f>
        <v>8133.5819063999998</v>
      </c>
      <c r="Q5940" s="282" t="e">
        <f>(INDEX(Tabla6[#All],MATCH(Tabla4[[#This Row],[Producto]],Tabla6[[#All],[PRODUCTO]],0),MATCH(Tabla4[[#This Row],[Mes]],Tabla6[#Headers],0)))</f>
        <v>#N/A</v>
      </c>
      <c r="R5940" s="282" t="e">
        <f>++Tabla4[[#This Row],[Precio Unitario Neto]]-Tabla4[[#This Row],[20.85%]]-Tabla4[[#This Row],[Costo]]</f>
        <v>#N/A</v>
      </c>
      <c r="S5940" s="282" t="e">
        <f>++Tabla4[[#This Row],[U. Bruta Uni]]*Tabla4[[#This Row],[Cantidad]]</f>
        <v>#N/A</v>
      </c>
      <c r="T5940" s="369" t="str">
        <f>VLOOKUP(Tabla4[[#This Row],[Producto]],Tabla6[#All],14,FALSE)</f>
        <v>Termico Solar</v>
      </c>
      <c r="U5940" s="284" t="e">
        <f>(IF(Tabla4[[#This Row],[Familia]]="termico solar",Tabla4[[#This Row],[Utilidad Total]]*6%,Tabla4[[#This Row],[Utilidad Total]]*11.5%))/Tabla4[[#This Row],[Total]]</f>
        <v>#N/A</v>
      </c>
      <c r="V5940" s="282" t="e">
        <f>+Tabla4[[#This Row],[Comisión Calculada]]*Tabla4[[#This Row],[Total]]</f>
        <v>#N/A</v>
      </c>
    </row>
    <row r="5941" spans="1:22" hidden="1" x14ac:dyDescent="0.25">
      <c r="A5941" s="100">
        <v>45930</v>
      </c>
      <c r="B5941" t="str">
        <f t="shared" si="280"/>
        <v>September</v>
      </c>
      <c r="C5941" s="46" t="s">
        <v>280</v>
      </c>
      <c r="F5941" s="366" t="s">
        <v>3053</v>
      </c>
      <c r="G5941" s="46" t="s">
        <v>16</v>
      </c>
      <c r="H5941" s="46">
        <v>1</v>
      </c>
      <c r="I5941" s="51">
        <v>4103.8500000000004</v>
      </c>
      <c r="J5941" s="281">
        <f>++Tabla4[[#This Row],[Precio Bruto]]*1.16</f>
        <v>4760.4660000000003</v>
      </c>
      <c r="K5941" s="281">
        <f>+Tabla4[[#This Row],[Precio Unitario Neto]]*Tabla4[[#Headers],[20.85%]]</f>
        <v>992.55716100000006</v>
      </c>
      <c r="L5941" s="282">
        <f>++Tabla4[[#This Row],[Precio Unitario Neto]]-Tabla4[[#This Row],[20.85%]]</f>
        <v>3767.9088390000002</v>
      </c>
      <c r="M5941" s="282" t="e">
        <f>(INDEX(Tabla6[#All],MATCH(Tabla4[[#This Row],[Producto]],Tabla6[[#All],[PRODUCTO]],0),MATCH(Tabla4[[#This Row],[Mes]],Tabla6[#Headers],0)))*(1+Catalogos!$L$2)</f>
        <v>#N/A</v>
      </c>
      <c r="N5941" s="283" t="e">
        <f>+(Tabla4[[#This Row],[Precio Descontado]]-Tabla4[[#This Row],[Precio Base]])*Tabla4[[#This Row],[Cantidad]]</f>
        <v>#N/A</v>
      </c>
      <c r="O5941" s="284" t="e">
        <f>++Tabla4[[#This Row],[Utilidad Total]]/Tabla4[[#This Row],[Total]]</f>
        <v>#N/A</v>
      </c>
      <c r="P5941" s="282">
        <f>++Tabla4[[#This Row],[Precio Descontado]]*Tabla4[[#This Row],[Cantidad]]</f>
        <v>3767.9088390000002</v>
      </c>
      <c r="Q5941" s="282" t="e">
        <f>(INDEX(Tabla6[#All],MATCH(Tabla4[[#This Row],[Producto]],Tabla6[[#All],[PRODUCTO]],0),MATCH(Tabla4[[#This Row],[Mes]],Tabla6[#Headers],0)))</f>
        <v>#N/A</v>
      </c>
      <c r="R5941" s="282" t="e">
        <f>++Tabla4[[#This Row],[Precio Unitario Neto]]-Tabla4[[#This Row],[20.85%]]-Tabla4[[#This Row],[Costo]]</f>
        <v>#N/A</v>
      </c>
      <c r="S5941" s="282" t="e">
        <f>++Tabla4[[#This Row],[U. Bruta Uni]]*Tabla4[[#This Row],[Cantidad]]</f>
        <v>#N/A</v>
      </c>
      <c r="T5941" s="369" t="str">
        <f>VLOOKUP(Tabla4[[#This Row],[Producto]],Tabla6[#All],14,FALSE)</f>
        <v>Termico Solar</v>
      </c>
      <c r="U5941" s="284" t="e">
        <f>(IF(Tabla4[[#This Row],[Familia]]="termico solar",Tabla4[[#This Row],[Utilidad Total]]*6%,Tabla4[[#This Row],[Utilidad Total]]*11.5%))/Tabla4[[#This Row],[Total]]</f>
        <v>#N/A</v>
      </c>
      <c r="V5941" s="282" t="e">
        <f>+Tabla4[[#This Row],[Comisión Calculada]]*Tabla4[[#This Row],[Total]]</f>
        <v>#N/A</v>
      </c>
    </row>
    <row r="5942" spans="1:22" hidden="1" x14ac:dyDescent="0.25">
      <c r="A5942" s="100">
        <v>45930</v>
      </c>
      <c r="B5942" t="str">
        <f t="shared" si="280"/>
        <v>September</v>
      </c>
      <c r="C5942" s="46" t="s">
        <v>280</v>
      </c>
      <c r="F5942" s="366" t="s">
        <v>3053</v>
      </c>
      <c r="G5942" s="46" t="s">
        <v>394</v>
      </c>
      <c r="H5942" s="46">
        <v>16</v>
      </c>
      <c r="I5942" s="51">
        <v>224.29</v>
      </c>
      <c r="J5942" s="281">
        <f>++Tabla4[[#This Row],[Precio Bruto]]*1.16</f>
        <v>260.1764</v>
      </c>
      <c r="K5942" s="281">
        <f>+Tabla4[[#This Row],[Precio Unitario Neto]]*Tabla4[[#Headers],[20.85%]]</f>
        <v>54.246779400000001</v>
      </c>
      <c r="L5942" s="282">
        <f>++Tabla4[[#This Row],[Precio Unitario Neto]]-Tabla4[[#This Row],[20.85%]]</f>
        <v>205.92962059999999</v>
      </c>
      <c r="M5942" s="282" t="e">
        <f>(INDEX(Tabla6[#All],MATCH(Tabla4[[#This Row],[Producto]],Tabla6[[#All],[PRODUCTO]],0),MATCH(Tabla4[[#This Row],[Mes]],Tabla6[#Headers],0)))*(1+Catalogos!$L$2)</f>
        <v>#N/A</v>
      </c>
      <c r="N5942" s="283" t="e">
        <f>+(Tabla4[[#This Row],[Precio Descontado]]-Tabla4[[#This Row],[Precio Base]])*Tabla4[[#This Row],[Cantidad]]</f>
        <v>#N/A</v>
      </c>
      <c r="O5942" s="284" t="e">
        <f>++Tabla4[[#This Row],[Utilidad Total]]/Tabla4[[#This Row],[Total]]</f>
        <v>#N/A</v>
      </c>
      <c r="P5942" s="282">
        <f>++Tabla4[[#This Row],[Precio Descontado]]*Tabla4[[#This Row],[Cantidad]]</f>
        <v>3294.8739295999999</v>
      </c>
      <c r="Q5942" s="282" t="e">
        <f>(INDEX(Tabla6[#All],MATCH(Tabla4[[#This Row],[Producto]],Tabla6[[#All],[PRODUCTO]],0),MATCH(Tabla4[[#This Row],[Mes]],Tabla6[#Headers],0)))</f>
        <v>#N/A</v>
      </c>
      <c r="R5942" s="282" t="e">
        <f>++Tabla4[[#This Row],[Precio Unitario Neto]]-Tabla4[[#This Row],[20.85%]]-Tabla4[[#This Row],[Costo]]</f>
        <v>#N/A</v>
      </c>
      <c r="S5942" s="282" t="e">
        <f>++Tabla4[[#This Row],[U. Bruta Uni]]*Tabla4[[#This Row],[Cantidad]]</f>
        <v>#N/A</v>
      </c>
      <c r="T5942" s="369" t="str">
        <f>VLOOKUP(Tabla4[[#This Row],[Producto]],Tabla6[#All],14,FALSE)</f>
        <v>Termico Solar</v>
      </c>
      <c r="U5942" s="284" t="e">
        <f>(IF(Tabla4[[#This Row],[Familia]]="termico solar",Tabla4[[#This Row],[Utilidad Total]]*6%,Tabla4[[#This Row],[Utilidad Total]]*11.5%))/Tabla4[[#This Row],[Total]]</f>
        <v>#N/A</v>
      </c>
      <c r="V5942" s="282" t="e">
        <f>+Tabla4[[#This Row],[Comisión Calculada]]*Tabla4[[#This Row],[Total]]</f>
        <v>#N/A</v>
      </c>
    </row>
    <row r="5943" spans="1:22" hidden="1" x14ac:dyDescent="0.25">
      <c r="A5943" s="100">
        <v>45930</v>
      </c>
      <c r="B5943" t="str">
        <f t="shared" si="280"/>
        <v>September</v>
      </c>
      <c r="C5943" s="46" t="s">
        <v>280</v>
      </c>
      <c r="F5943" s="366" t="s">
        <v>3054</v>
      </c>
      <c r="G5943" s="46" t="s">
        <v>83</v>
      </c>
      <c r="H5943" s="46">
        <v>1</v>
      </c>
      <c r="I5943" s="51">
        <v>8858.76</v>
      </c>
      <c r="J5943" s="281">
        <f>++Tabla4[[#This Row],[Precio Bruto]]*1.16</f>
        <v>10276.161599999999</v>
      </c>
      <c r="K5943" s="281">
        <f>+Tabla4[[#This Row],[Precio Unitario Neto]]*Tabla4[[#Headers],[20.85%]]</f>
        <v>2142.5796935999997</v>
      </c>
      <c r="L5943" s="282">
        <f>++Tabla4[[#This Row],[Precio Unitario Neto]]-Tabla4[[#This Row],[20.85%]]</f>
        <v>8133.5819063999998</v>
      </c>
      <c r="M5943" s="282" t="e">
        <f>(INDEX(Tabla6[#All],MATCH(Tabla4[[#This Row],[Producto]],Tabla6[[#All],[PRODUCTO]],0),MATCH(Tabla4[[#This Row],[Mes]],Tabla6[#Headers],0)))*(1+Catalogos!$L$2)</f>
        <v>#N/A</v>
      </c>
      <c r="N5943" s="283" t="e">
        <f>+(Tabla4[[#This Row],[Precio Descontado]]-Tabla4[[#This Row],[Precio Base]])*Tabla4[[#This Row],[Cantidad]]</f>
        <v>#N/A</v>
      </c>
      <c r="O5943" s="284" t="e">
        <f>++Tabla4[[#This Row],[Utilidad Total]]/Tabla4[[#This Row],[Total]]</f>
        <v>#N/A</v>
      </c>
      <c r="P5943" s="282">
        <f>++Tabla4[[#This Row],[Precio Descontado]]*Tabla4[[#This Row],[Cantidad]]</f>
        <v>8133.5819063999998</v>
      </c>
      <c r="Q5943" s="282" t="e">
        <f>(INDEX(Tabla6[#All],MATCH(Tabla4[[#This Row],[Producto]],Tabla6[[#All],[PRODUCTO]],0),MATCH(Tabla4[[#This Row],[Mes]],Tabla6[#Headers],0)))</f>
        <v>#N/A</v>
      </c>
      <c r="R5943" s="282" t="e">
        <f>++Tabla4[[#This Row],[Precio Unitario Neto]]-Tabla4[[#This Row],[20.85%]]-Tabla4[[#This Row],[Costo]]</f>
        <v>#N/A</v>
      </c>
      <c r="S5943" s="282" t="e">
        <f>++Tabla4[[#This Row],[U. Bruta Uni]]*Tabla4[[#This Row],[Cantidad]]</f>
        <v>#N/A</v>
      </c>
      <c r="T5943" s="369" t="str">
        <f>VLOOKUP(Tabla4[[#This Row],[Producto]],Tabla6[#All],14,FALSE)</f>
        <v>Termico Solar</v>
      </c>
      <c r="U5943" s="284" t="e">
        <f>(IF(Tabla4[[#This Row],[Familia]]="termico solar",Tabla4[[#This Row],[Utilidad Total]]*6%,Tabla4[[#This Row],[Utilidad Total]]*11.5%))/Tabla4[[#This Row],[Total]]</f>
        <v>#N/A</v>
      </c>
      <c r="V5943" s="282" t="e">
        <f>+Tabla4[[#This Row],[Comisión Calculada]]*Tabla4[[#This Row],[Total]]</f>
        <v>#N/A</v>
      </c>
    </row>
    <row r="5944" spans="1:22" hidden="1" x14ac:dyDescent="0.25">
      <c r="A5944" s="100">
        <v>45930</v>
      </c>
      <c r="B5944" t="str">
        <f t="shared" si="280"/>
        <v>September</v>
      </c>
      <c r="C5944" s="46" t="s">
        <v>280</v>
      </c>
      <c r="F5944" s="366" t="s">
        <v>3055</v>
      </c>
      <c r="G5944" s="46" t="s">
        <v>566</v>
      </c>
      <c r="H5944" s="46">
        <v>1</v>
      </c>
      <c r="I5944" s="51">
        <v>2109.4499999999998</v>
      </c>
      <c r="J5944" s="281">
        <f>++Tabla4[[#This Row],[Precio Bruto]]*1.16</f>
        <v>2446.9619999999995</v>
      </c>
      <c r="K5944" s="281">
        <f>+Tabla4[[#This Row],[Precio Unitario Neto]]*Tabla4[[#Headers],[20.85%]]</f>
        <v>510.19157699999988</v>
      </c>
      <c r="L5944" s="282">
        <f>++Tabla4[[#This Row],[Precio Unitario Neto]]-Tabla4[[#This Row],[20.85%]]</f>
        <v>1936.7704229999997</v>
      </c>
      <c r="M5944" s="282" t="e">
        <f>(INDEX(Tabla6[#All],MATCH(Tabla4[[#This Row],[Producto]],Tabla6[[#All],[PRODUCTO]],0),MATCH(Tabla4[[#This Row],[Mes]],Tabla6[#Headers],0)))*(1+Catalogos!$L$2)</f>
        <v>#N/A</v>
      </c>
      <c r="N5944" s="283" t="e">
        <f>+(Tabla4[[#This Row],[Precio Descontado]]-Tabla4[[#This Row],[Precio Base]])*Tabla4[[#This Row],[Cantidad]]</f>
        <v>#N/A</v>
      </c>
      <c r="O5944" s="284" t="e">
        <f>++Tabla4[[#This Row],[Utilidad Total]]/Tabla4[[#This Row],[Total]]</f>
        <v>#N/A</v>
      </c>
      <c r="P5944" s="282">
        <f>++Tabla4[[#This Row],[Precio Descontado]]*Tabla4[[#This Row],[Cantidad]]</f>
        <v>1936.7704229999997</v>
      </c>
      <c r="Q5944" s="282" t="e">
        <f>(INDEX(Tabla6[#All],MATCH(Tabla4[[#This Row],[Producto]],Tabla6[[#All],[PRODUCTO]],0),MATCH(Tabla4[[#This Row],[Mes]],Tabla6[#Headers],0)))</f>
        <v>#N/A</v>
      </c>
      <c r="R5944" s="282" t="e">
        <f>++Tabla4[[#This Row],[Precio Unitario Neto]]-Tabla4[[#This Row],[20.85%]]-Tabla4[[#This Row],[Costo]]</f>
        <v>#N/A</v>
      </c>
      <c r="S5944" s="282" t="e">
        <f>++Tabla4[[#This Row],[U. Bruta Uni]]*Tabla4[[#This Row],[Cantidad]]</f>
        <v>#N/A</v>
      </c>
      <c r="T5944" s="369" t="str">
        <f>VLOOKUP(Tabla4[[#This Row],[Producto]],Tabla6[#All],14,FALSE)</f>
        <v>Termico Solar</v>
      </c>
      <c r="U5944" s="284" t="e">
        <f>(IF(Tabla4[[#This Row],[Familia]]="termico solar",Tabla4[[#This Row],[Utilidad Total]]*6%,Tabla4[[#This Row],[Utilidad Total]]*11.5%))/Tabla4[[#This Row],[Total]]</f>
        <v>#N/A</v>
      </c>
      <c r="V5944" s="282" t="e">
        <f>+Tabla4[[#This Row],[Comisión Calculada]]*Tabla4[[#This Row],[Total]]</f>
        <v>#N/A</v>
      </c>
    </row>
    <row r="5945" spans="1:22" hidden="1" x14ac:dyDescent="0.25">
      <c r="A5945" s="100">
        <v>45930</v>
      </c>
      <c r="B5945" t="str">
        <f t="shared" si="280"/>
        <v>September</v>
      </c>
      <c r="C5945" s="46" t="s">
        <v>280</v>
      </c>
      <c r="F5945" s="366" t="s">
        <v>3055</v>
      </c>
      <c r="G5945" s="46" t="s">
        <v>208</v>
      </c>
      <c r="H5945" s="46">
        <v>1</v>
      </c>
      <c r="I5945" s="51">
        <v>189.75</v>
      </c>
      <c r="J5945" s="281">
        <f>++Tabla4[[#This Row],[Precio Bruto]]*1.16</f>
        <v>220.10999999999999</v>
      </c>
      <c r="K5945" s="281">
        <f>+Tabla4[[#This Row],[Precio Unitario Neto]]*Tabla4[[#Headers],[20.85%]]</f>
        <v>45.892934999999994</v>
      </c>
      <c r="L5945" s="282">
        <f>++Tabla4[[#This Row],[Precio Unitario Neto]]-Tabla4[[#This Row],[20.85%]]</f>
        <v>174.21706499999999</v>
      </c>
      <c r="M5945" s="282" t="e">
        <f>(INDEX(Tabla6[#All],MATCH(Tabla4[[#This Row],[Producto]],Tabla6[[#All],[PRODUCTO]],0),MATCH(Tabla4[[#This Row],[Mes]],Tabla6[#Headers],0)))*(1+Catalogos!$L$2)</f>
        <v>#N/A</v>
      </c>
      <c r="N5945" s="283" t="e">
        <f>+(Tabla4[[#This Row],[Precio Descontado]]-Tabla4[[#This Row],[Precio Base]])*Tabla4[[#This Row],[Cantidad]]</f>
        <v>#N/A</v>
      </c>
      <c r="O5945" s="284" t="e">
        <f>++Tabla4[[#This Row],[Utilidad Total]]/Tabla4[[#This Row],[Total]]</f>
        <v>#N/A</v>
      </c>
      <c r="P5945" s="282">
        <f>++Tabla4[[#This Row],[Precio Descontado]]*Tabla4[[#This Row],[Cantidad]]</f>
        <v>174.21706499999999</v>
      </c>
      <c r="Q5945" s="282" t="e">
        <f>(INDEX(Tabla6[#All],MATCH(Tabla4[[#This Row],[Producto]],Tabla6[[#All],[PRODUCTO]],0),MATCH(Tabla4[[#This Row],[Mes]],Tabla6[#Headers],0)))</f>
        <v>#N/A</v>
      </c>
      <c r="R5945" s="282" t="e">
        <f>++Tabla4[[#This Row],[Precio Unitario Neto]]-Tabla4[[#This Row],[20.85%]]-Tabla4[[#This Row],[Costo]]</f>
        <v>#N/A</v>
      </c>
      <c r="S5945" s="282" t="e">
        <f>++Tabla4[[#This Row],[U. Bruta Uni]]*Tabla4[[#This Row],[Cantidad]]</f>
        <v>#N/A</v>
      </c>
      <c r="T5945" s="369" t="str">
        <f>VLOOKUP(Tabla4[[#This Row],[Producto]],Tabla6[#All],14,FALSE)</f>
        <v>Termico Solar</v>
      </c>
      <c r="U5945" s="284" t="e">
        <f>(IF(Tabla4[[#This Row],[Familia]]="termico solar",Tabla4[[#This Row],[Utilidad Total]]*6%,Tabla4[[#This Row],[Utilidad Total]]*11.5%))/Tabla4[[#This Row],[Total]]</f>
        <v>#N/A</v>
      </c>
      <c r="V5945" s="282" t="e">
        <f>+Tabla4[[#This Row],[Comisión Calculada]]*Tabla4[[#This Row],[Total]]</f>
        <v>#N/A</v>
      </c>
    </row>
    <row r="5946" spans="1:22" hidden="1" x14ac:dyDescent="0.25">
      <c r="A5946" s="100">
        <v>45930</v>
      </c>
      <c r="B5946" t="str">
        <f t="shared" si="280"/>
        <v>September</v>
      </c>
      <c r="C5946" s="46" t="s">
        <v>280</v>
      </c>
      <c r="F5946" s="366" t="s">
        <v>3056</v>
      </c>
      <c r="G5946" s="46" t="s">
        <v>83</v>
      </c>
      <c r="H5946" s="46">
        <v>1</v>
      </c>
      <c r="I5946" s="51">
        <v>8858.76</v>
      </c>
      <c r="J5946" s="281">
        <f>++Tabla4[[#This Row],[Precio Bruto]]*1.16</f>
        <v>10276.161599999999</v>
      </c>
      <c r="K5946" s="281">
        <f>+Tabla4[[#This Row],[Precio Unitario Neto]]*Tabla4[[#Headers],[20.85%]]</f>
        <v>2142.5796935999997</v>
      </c>
      <c r="L5946" s="282">
        <f>++Tabla4[[#This Row],[Precio Unitario Neto]]-Tabla4[[#This Row],[20.85%]]</f>
        <v>8133.5819063999998</v>
      </c>
      <c r="M5946" s="282" t="e">
        <f>(INDEX(Tabla6[#All],MATCH(Tabla4[[#This Row],[Producto]],Tabla6[[#All],[PRODUCTO]],0),MATCH(Tabla4[[#This Row],[Mes]],Tabla6[#Headers],0)))*(1+Catalogos!$L$2)</f>
        <v>#N/A</v>
      </c>
      <c r="N5946" s="283" t="e">
        <f>+(Tabla4[[#This Row],[Precio Descontado]]-Tabla4[[#This Row],[Precio Base]])*Tabla4[[#This Row],[Cantidad]]</f>
        <v>#N/A</v>
      </c>
      <c r="O5946" s="284" t="e">
        <f>++Tabla4[[#This Row],[Utilidad Total]]/Tabla4[[#This Row],[Total]]</f>
        <v>#N/A</v>
      </c>
      <c r="P5946" s="282">
        <f>++Tabla4[[#This Row],[Precio Descontado]]*Tabla4[[#This Row],[Cantidad]]</f>
        <v>8133.5819063999998</v>
      </c>
      <c r="Q5946" s="282" t="e">
        <f>(INDEX(Tabla6[#All],MATCH(Tabla4[[#This Row],[Producto]],Tabla6[[#All],[PRODUCTO]],0),MATCH(Tabla4[[#This Row],[Mes]],Tabla6[#Headers],0)))</f>
        <v>#N/A</v>
      </c>
      <c r="R5946" s="282" t="e">
        <f>++Tabla4[[#This Row],[Precio Unitario Neto]]-Tabla4[[#This Row],[20.85%]]-Tabla4[[#This Row],[Costo]]</f>
        <v>#N/A</v>
      </c>
      <c r="S5946" s="282" t="e">
        <f>++Tabla4[[#This Row],[U. Bruta Uni]]*Tabla4[[#This Row],[Cantidad]]</f>
        <v>#N/A</v>
      </c>
      <c r="T5946" s="369" t="str">
        <f>VLOOKUP(Tabla4[[#This Row],[Producto]],Tabla6[#All],14,FALSE)</f>
        <v>Termico Solar</v>
      </c>
      <c r="U5946" s="284" t="e">
        <f>(IF(Tabla4[[#This Row],[Familia]]="termico solar",Tabla4[[#This Row],[Utilidad Total]]*6%,Tabla4[[#This Row],[Utilidad Total]]*11.5%))/Tabla4[[#This Row],[Total]]</f>
        <v>#N/A</v>
      </c>
      <c r="V5946" s="282" t="e">
        <f>+Tabla4[[#This Row],[Comisión Calculada]]*Tabla4[[#This Row],[Total]]</f>
        <v>#N/A</v>
      </c>
    </row>
    <row r="5947" spans="1:22" hidden="1" x14ac:dyDescent="0.25">
      <c r="A5947" s="100">
        <v>45930</v>
      </c>
      <c r="B5947" t="str">
        <f t="shared" si="280"/>
        <v>September</v>
      </c>
      <c r="C5947" s="46" t="s">
        <v>280</v>
      </c>
      <c r="F5947" s="366" t="s">
        <v>3057</v>
      </c>
      <c r="G5947" s="46" t="s">
        <v>83</v>
      </c>
      <c r="H5947" s="46">
        <v>1</v>
      </c>
      <c r="I5947" s="51">
        <v>8858.76</v>
      </c>
      <c r="J5947" s="281">
        <f>++Tabla4[[#This Row],[Precio Bruto]]*1.16</f>
        <v>10276.161599999999</v>
      </c>
      <c r="K5947" s="281">
        <f>+Tabla4[[#This Row],[Precio Unitario Neto]]*Tabla4[[#Headers],[20.85%]]</f>
        <v>2142.5796935999997</v>
      </c>
      <c r="L5947" s="282">
        <f>++Tabla4[[#This Row],[Precio Unitario Neto]]-Tabla4[[#This Row],[20.85%]]</f>
        <v>8133.5819063999998</v>
      </c>
      <c r="M5947" s="282" t="e">
        <f>(INDEX(Tabla6[#All],MATCH(Tabla4[[#This Row],[Producto]],Tabla6[[#All],[PRODUCTO]],0),MATCH(Tabla4[[#This Row],[Mes]],Tabla6[#Headers],0)))*(1+Catalogos!$L$2)</f>
        <v>#N/A</v>
      </c>
      <c r="N5947" s="283" t="e">
        <f>+(Tabla4[[#This Row],[Precio Descontado]]-Tabla4[[#This Row],[Precio Base]])*Tabla4[[#This Row],[Cantidad]]</f>
        <v>#N/A</v>
      </c>
      <c r="O5947" s="284" t="e">
        <f>++Tabla4[[#This Row],[Utilidad Total]]/Tabla4[[#This Row],[Total]]</f>
        <v>#N/A</v>
      </c>
      <c r="P5947" s="282">
        <f>++Tabla4[[#This Row],[Precio Descontado]]*Tabla4[[#This Row],[Cantidad]]</f>
        <v>8133.5819063999998</v>
      </c>
      <c r="Q5947" s="282" t="e">
        <f>(INDEX(Tabla6[#All],MATCH(Tabla4[[#This Row],[Producto]],Tabla6[[#All],[PRODUCTO]],0),MATCH(Tabla4[[#This Row],[Mes]],Tabla6[#Headers],0)))</f>
        <v>#N/A</v>
      </c>
      <c r="R5947" s="282" t="e">
        <f>++Tabla4[[#This Row],[Precio Unitario Neto]]-Tabla4[[#This Row],[20.85%]]-Tabla4[[#This Row],[Costo]]</f>
        <v>#N/A</v>
      </c>
      <c r="S5947" s="282" t="e">
        <f>++Tabla4[[#This Row],[U. Bruta Uni]]*Tabla4[[#This Row],[Cantidad]]</f>
        <v>#N/A</v>
      </c>
      <c r="T5947" s="369" t="str">
        <f>VLOOKUP(Tabla4[[#This Row],[Producto]],Tabla6[#All],14,FALSE)</f>
        <v>Termico Solar</v>
      </c>
      <c r="U5947" s="284" t="e">
        <f>(IF(Tabla4[[#This Row],[Familia]]="termico solar",Tabla4[[#This Row],[Utilidad Total]]*6%,Tabla4[[#This Row],[Utilidad Total]]*11.5%))/Tabla4[[#This Row],[Total]]</f>
        <v>#N/A</v>
      </c>
      <c r="V5947" s="282" t="e">
        <f>+Tabla4[[#This Row],[Comisión Calculada]]*Tabla4[[#This Row],[Total]]</f>
        <v>#N/A</v>
      </c>
    </row>
    <row r="5948" spans="1:22" hidden="1" x14ac:dyDescent="0.25">
      <c r="A5948" s="100">
        <v>45930</v>
      </c>
      <c r="B5948" t="str">
        <f t="shared" si="280"/>
        <v>September</v>
      </c>
      <c r="C5948" s="46" t="s">
        <v>280</v>
      </c>
      <c r="F5948" s="366" t="s">
        <v>3057</v>
      </c>
      <c r="G5948" s="46" t="s">
        <v>17</v>
      </c>
      <c r="H5948" s="46">
        <v>1</v>
      </c>
      <c r="I5948" s="51">
        <v>4622.28</v>
      </c>
      <c r="J5948" s="281">
        <f>++Tabla4[[#This Row],[Precio Bruto]]*1.16</f>
        <v>5361.8447999999989</v>
      </c>
      <c r="K5948" s="281">
        <f>+Tabla4[[#This Row],[Precio Unitario Neto]]*Tabla4[[#Headers],[20.85%]]</f>
        <v>1117.9446407999997</v>
      </c>
      <c r="L5948" s="282">
        <f>++Tabla4[[#This Row],[Precio Unitario Neto]]-Tabla4[[#This Row],[20.85%]]</f>
        <v>4243.9001591999995</v>
      </c>
      <c r="M5948" s="282" t="e">
        <f>(INDEX(Tabla6[#All],MATCH(Tabla4[[#This Row],[Producto]],Tabla6[[#All],[PRODUCTO]],0),MATCH(Tabla4[[#This Row],[Mes]],Tabla6[#Headers],0)))*(1+Catalogos!$L$2)</f>
        <v>#N/A</v>
      </c>
      <c r="N5948" s="283" t="e">
        <f>+(Tabla4[[#This Row],[Precio Descontado]]-Tabla4[[#This Row],[Precio Base]])*Tabla4[[#This Row],[Cantidad]]</f>
        <v>#N/A</v>
      </c>
      <c r="O5948" s="284" t="e">
        <f>++Tabla4[[#This Row],[Utilidad Total]]/Tabla4[[#This Row],[Total]]</f>
        <v>#N/A</v>
      </c>
      <c r="P5948" s="282">
        <f>++Tabla4[[#This Row],[Precio Descontado]]*Tabla4[[#This Row],[Cantidad]]</f>
        <v>4243.9001591999995</v>
      </c>
      <c r="Q5948" s="282" t="e">
        <f>(INDEX(Tabla6[#All],MATCH(Tabla4[[#This Row],[Producto]],Tabla6[[#All],[PRODUCTO]],0),MATCH(Tabla4[[#This Row],[Mes]],Tabla6[#Headers],0)))</f>
        <v>#N/A</v>
      </c>
      <c r="R5948" s="282" t="e">
        <f>++Tabla4[[#This Row],[Precio Unitario Neto]]-Tabla4[[#This Row],[20.85%]]-Tabla4[[#This Row],[Costo]]</f>
        <v>#N/A</v>
      </c>
      <c r="S5948" s="282" t="e">
        <f>++Tabla4[[#This Row],[U. Bruta Uni]]*Tabla4[[#This Row],[Cantidad]]</f>
        <v>#N/A</v>
      </c>
      <c r="T5948" s="369" t="str">
        <f>VLOOKUP(Tabla4[[#This Row],[Producto]],Tabla6[#All],14,FALSE)</f>
        <v>Termico Solar</v>
      </c>
      <c r="U5948" s="284" t="e">
        <f>(IF(Tabla4[[#This Row],[Familia]]="termico solar",Tabla4[[#This Row],[Utilidad Total]]*6%,Tabla4[[#This Row],[Utilidad Total]]*11.5%))/Tabla4[[#This Row],[Total]]</f>
        <v>#N/A</v>
      </c>
      <c r="V5948" s="282" t="e">
        <f>+Tabla4[[#This Row],[Comisión Calculada]]*Tabla4[[#This Row],[Total]]</f>
        <v>#N/A</v>
      </c>
    </row>
    <row r="5949" spans="1:22" hidden="1" x14ac:dyDescent="0.25">
      <c r="A5949" s="100">
        <v>45930</v>
      </c>
      <c r="B5949" t="str">
        <f t="shared" si="280"/>
        <v>September</v>
      </c>
      <c r="C5949" s="46" t="s">
        <v>280</v>
      </c>
      <c r="F5949" s="366" t="s">
        <v>3057</v>
      </c>
      <c r="G5949" s="46" t="s">
        <v>18</v>
      </c>
      <c r="H5949" s="46">
        <v>2</v>
      </c>
      <c r="I5949" s="51">
        <v>5367.65</v>
      </c>
      <c r="J5949" s="281">
        <f>++Tabla4[[#This Row],[Precio Bruto]]*1.16</f>
        <v>6226.4739999999993</v>
      </c>
      <c r="K5949" s="281">
        <f>+Tabla4[[#This Row],[Precio Unitario Neto]]*Tabla4[[#Headers],[20.85%]]</f>
        <v>1298.2198289999999</v>
      </c>
      <c r="L5949" s="282">
        <f>++Tabla4[[#This Row],[Precio Unitario Neto]]-Tabla4[[#This Row],[20.85%]]</f>
        <v>4928.2541709999996</v>
      </c>
      <c r="M5949" s="282" t="e">
        <f>(INDEX(Tabla6[#All],MATCH(Tabla4[[#This Row],[Producto]],Tabla6[[#All],[PRODUCTO]],0),MATCH(Tabla4[[#This Row],[Mes]],Tabla6[#Headers],0)))*(1+Catalogos!$L$2)</f>
        <v>#N/A</v>
      </c>
      <c r="N5949" s="283" t="e">
        <f>+(Tabla4[[#This Row],[Precio Descontado]]-Tabla4[[#This Row],[Precio Base]])*Tabla4[[#This Row],[Cantidad]]</f>
        <v>#N/A</v>
      </c>
      <c r="O5949" s="284" t="e">
        <f>++Tabla4[[#This Row],[Utilidad Total]]/Tabla4[[#This Row],[Total]]</f>
        <v>#N/A</v>
      </c>
      <c r="P5949" s="282">
        <f>++Tabla4[[#This Row],[Precio Descontado]]*Tabla4[[#This Row],[Cantidad]]</f>
        <v>9856.5083419999992</v>
      </c>
      <c r="Q5949" s="282" t="e">
        <f>(INDEX(Tabla6[#All],MATCH(Tabla4[[#This Row],[Producto]],Tabla6[[#All],[PRODUCTO]],0),MATCH(Tabla4[[#This Row],[Mes]],Tabla6[#Headers],0)))</f>
        <v>#N/A</v>
      </c>
      <c r="R5949" s="282" t="e">
        <f>++Tabla4[[#This Row],[Precio Unitario Neto]]-Tabla4[[#This Row],[20.85%]]-Tabla4[[#This Row],[Costo]]</f>
        <v>#N/A</v>
      </c>
      <c r="S5949" s="282" t="e">
        <f>++Tabla4[[#This Row],[U. Bruta Uni]]*Tabla4[[#This Row],[Cantidad]]</f>
        <v>#N/A</v>
      </c>
      <c r="T5949" s="369" t="str">
        <f>VLOOKUP(Tabla4[[#This Row],[Producto]],Tabla6[#All],14,FALSE)</f>
        <v>Termico Solar</v>
      </c>
      <c r="U5949" s="284" t="e">
        <f>(IF(Tabla4[[#This Row],[Familia]]="termico solar",Tabla4[[#This Row],[Utilidad Total]]*6%,Tabla4[[#This Row],[Utilidad Total]]*11.5%))/Tabla4[[#This Row],[Total]]</f>
        <v>#N/A</v>
      </c>
      <c r="V5949" s="282" t="e">
        <f>+Tabla4[[#This Row],[Comisión Calculada]]*Tabla4[[#This Row],[Total]]</f>
        <v>#N/A</v>
      </c>
    </row>
    <row r="5950" spans="1:22" hidden="1" x14ac:dyDescent="0.25">
      <c r="A5950" s="100">
        <v>45930</v>
      </c>
      <c r="B5950" t="str">
        <f t="shared" si="280"/>
        <v>September</v>
      </c>
      <c r="C5950" s="46" t="s">
        <v>280</v>
      </c>
      <c r="F5950" s="366" t="s">
        <v>3057</v>
      </c>
      <c r="G5950" s="46" t="s">
        <v>566</v>
      </c>
      <c r="H5950" s="46">
        <v>1</v>
      </c>
      <c r="I5950" s="51">
        <v>2109.4499999999998</v>
      </c>
      <c r="J5950" s="281">
        <f>++Tabla4[[#This Row],[Precio Bruto]]*1.16</f>
        <v>2446.9619999999995</v>
      </c>
      <c r="K5950" s="281">
        <f>+Tabla4[[#This Row],[Precio Unitario Neto]]*Tabla4[[#Headers],[20.85%]]</f>
        <v>510.19157699999988</v>
      </c>
      <c r="L5950" s="282">
        <f>++Tabla4[[#This Row],[Precio Unitario Neto]]-Tabla4[[#This Row],[20.85%]]</f>
        <v>1936.7704229999997</v>
      </c>
      <c r="M5950" s="282" t="e">
        <f>(INDEX(Tabla6[#All],MATCH(Tabla4[[#This Row],[Producto]],Tabla6[[#All],[PRODUCTO]],0),MATCH(Tabla4[[#This Row],[Mes]],Tabla6[#Headers],0)))*(1+Catalogos!$L$2)</f>
        <v>#N/A</v>
      </c>
      <c r="N5950" s="283" t="e">
        <f>+(Tabla4[[#This Row],[Precio Descontado]]-Tabla4[[#This Row],[Precio Base]])*Tabla4[[#This Row],[Cantidad]]</f>
        <v>#N/A</v>
      </c>
      <c r="O5950" s="284" t="e">
        <f>++Tabla4[[#This Row],[Utilidad Total]]/Tabla4[[#This Row],[Total]]</f>
        <v>#N/A</v>
      </c>
      <c r="P5950" s="282">
        <f>++Tabla4[[#This Row],[Precio Descontado]]*Tabla4[[#This Row],[Cantidad]]</f>
        <v>1936.7704229999997</v>
      </c>
      <c r="Q5950" s="282" t="e">
        <f>(INDEX(Tabla6[#All],MATCH(Tabla4[[#This Row],[Producto]],Tabla6[[#All],[PRODUCTO]],0),MATCH(Tabla4[[#This Row],[Mes]],Tabla6[#Headers],0)))</f>
        <v>#N/A</v>
      </c>
      <c r="R5950" s="282" t="e">
        <f>++Tabla4[[#This Row],[Precio Unitario Neto]]-Tabla4[[#This Row],[20.85%]]-Tabla4[[#This Row],[Costo]]</f>
        <v>#N/A</v>
      </c>
      <c r="S5950" s="282" t="e">
        <f>++Tabla4[[#This Row],[U. Bruta Uni]]*Tabla4[[#This Row],[Cantidad]]</f>
        <v>#N/A</v>
      </c>
      <c r="T5950" s="369" t="str">
        <f>VLOOKUP(Tabla4[[#This Row],[Producto]],Tabla6[#All],14,FALSE)</f>
        <v>Termico Solar</v>
      </c>
      <c r="U5950" s="284" t="e">
        <f>(IF(Tabla4[[#This Row],[Familia]]="termico solar",Tabla4[[#This Row],[Utilidad Total]]*6%,Tabla4[[#This Row],[Utilidad Total]]*11.5%))/Tabla4[[#This Row],[Total]]</f>
        <v>#N/A</v>
      </c>
      <c r="V5950" s="282" t="e">
        <f>+Tabla4[[#This Row],[Comisión Calculada]]*Tabla4[[#This Row],[Total]]</f>
        <v>#N/A</v>
      </c>
    </row>
    <row r="5951" spans="1:22" hidden="1" x14ac:dyDescent="0.25">
      <c r="A5951" s="100">
        <v>45930</v>
      </c>
      <c r="B5951" t="str">
        <f t="shared" si="280"/>
        <v>September</v>
      </c>
      <c r="C5951" s="46" t="s">
        <v>280</v>
      </c>
      <c r="F5951" s="366" t="s">
        <v>3057</v>
      </c>
      <c r="G5951" s="46" t="s">
        <v>16</v>
      </c>
      <c r="H5951" s="46">
        <v>1</v>
      </c>
      <c r="I5951" s="51">
        <v>4103.8500000000004</v>
      </c>
      <c r="J5951" s="281">
        <f>++Tabla4[[#This Row],[Precio Bruto]]*1.16</f>
        <v>4760.4660000000003</v>
      </c>
      <c r="K5951" s="281">
        <f>+Tabla4[[#This Row],[Precio Unitario Neto]]*Tabla4[[#Headers],[20.85%]]</f>
        <v>992.55716100000006</v>
      </c>
      <c r="L5951" s="282">
        <f>++Tabla4[[#This Row],[Precio Unitario Neto]]-Tabla4[[#This Row],[20.85%]]</f>
        <v>3767.9088390000002</v>
      </c>
      <c r="M5951" s="282" t="e">
        <f>(INDEX(Tabla6[#All],MATCH(Tabla4[[#This Row],[Producto]],Tabla6[[#All],[PRODUCTO]],0),MATCH(Tabla4[[#This Row],[Mes]],Tabla6[#Headers],0)))*(1+Catalogos!$L$2)</f>
        <v>#N/A</v>
      </c>
      <c r="N5951" s="283" t="e">
        <f>+(Tabla4[[#This Row],[Precio Descontado]]-Tabla4[[#This Row],[Precio Base]])*Tabla4[[#This Row],[Cantidad]]</f>
        <v>#N/A</v>
      </c>
      <c r="O5951" s="284" t="e">
        <f>++Tabla4[[#This Row],[Utilidad Total]]/Tabla4[[#This Row],[Total]]</f>
        <v>#N/A</v>
      </c>
      <c r="P5951" s="282">
        <f>++Tabla4[[#This Row],[Precio Descontado]]*Tabla4[[#This Row],[Cantidad]]</f>
        <v>3767.9088390000002</v>
      </c>
      <c r="Q5951" s="282" t="e">
        <f>(INDEX(Tabla6[#All],MATCH(Tabla4[[#This Row],[Producto]],Tabla6[[#All],[PRODUCTO]],0),MATCH(Tabla4[[#This Row],[Mes]],Tabla6[#Headers],0)))</f>
        <v>#N/A</v>
      </c>
      <c r="R5951" s="282" t="e">
        <f>++Tabla4[[#This Row],[Precio Unitario Neto]]-Tabla4[[#This Row],[20.85%]]-Tabla4[[#This Row],[Costo]]</f>
        <v>#N/A</v>
      </c>
      <c r="S5951" s="282" t="e">
        <f>++Tabla4[[#This Row],[U. Bruta Uni]]*Tabla4[[#This Row],[Cantidad]]</f>
        <v>#N/A</v>
      </c>
      <c r="T5951" s="369" t="str">
        <f>VLOOKUP(Tabla4[[#This Row],[Producto]],Tabla6[#All],14,FALSE)</f>
        <v>Termico Solar</v>
      </c>
      <c r="U5951" s="284" t="e">
        <f>(IF(Tabla4[[#This Row],[Familia]]="termico solar",Tabla4[[#This Row],[Utilidad Total]]*6%,Tabla4[[#This Row],[Utilidad Total]]*11.5%))/Tabla4[[#This Row],[Total]]</f>
        <v>#N/A</v>
      </c>
      <c r="V5951" s="282" t="e">
        <f>+Tabla4[[#This Row],[Comisión Calculada]]*Tabla4[[#This Row],[Total]]</f>
        <v>#N/A</v>
      </c>
    </row>
    <row r="5952" spans="1:22" hidden="1" x14ac:dyDescent="0.25">
      <c r="A5952" s="100">
        <v>45930</v>
      </c>
      <c r="B5952" t="str">
        <f t="shared" ref="B5952:B6015" si="281">TEXT(A5952, "mmmm")</f>
        <v>September</v>
      </c>
      <c r="C5952" s="46" t="s">
        <v>280</v>
      </c>
      <c r="F5952" s="366" t="s">
        <v>3058</v>
      </c>
      <c r="G5952" s="46" t="s">
        <v>17</v>
      </c>
      <c r="H5952" s="46">
        <v>1</v>
      </c>
      <c r="I5952" s="51">
        <v>4622.28</v>
      </c>
      <c r="J5952" s="281">
        <f>++Tabla4[[#This Row],[Precio Bruto]]*1.16</f>
        <v>5361.8447999999989</v>
      </c>
      <c r="K5952" s="281">
        <f>+Tabla4[[#This Row],[Precio Unitario Neto]]*Tabla4[[#Headers],[20.85%]]</f>
        <v>1117.9446407999997</v>
      </c>
      <c r="L5952" s="282">
        <f>++Tabla4[[#This Row],[Precio Unitario Neto]]-Tabla4[[#This Row],[20.85%]]</f>
        <v>4243.9001591999995</v>
      </c>
      <c r="M5952" s="282" t="e">
        <f>(INDEX(Tabla6[#All],MATCH(Tabla4[[#This Row],[Producto]],Tabla6[[#All],[PRODUCTO]],0),MATCH(Tabla4[[#This Row],[Mes]],Tabla6[#Headers],0)))*(1+Catalogos!$L$2)</f>
        <v>#N/A</v>
      </c>
      <c r="N5952" s="283" t="e">
        <f>+(Tabla4[[#This Row],[Precio Descontado]]-Tabla4[[#This Row],[Precio Base]])*Tabla4[[#This Row],[Cantidad]]</f>
        <v>#N/A</v>
      </c>
      <c r="O5952" s="284" t="e">
        <f>++Tabla4[[#This Row],[Utilidad Total]]/Tabla4[[#This Row],[Total]]</f>
        <v>#N/A</v>
      </c>
      <c r="P5952" s="282">
        <f>++Tabla4[[#This Row],[Precio Descontado]]*Tabla4[[#This Row],[Cantidad]]</f>
        <v>4243.9001591999995</v>
      </c>
      <c r="Q5952" s="282" t="e">
        <f>(INDEX(Tabla6[#All],MATCH(Tabla4[[#This Row],[Producto]],Tabla6[[#All],[PRODUCTO]],0),MATCH(Tabla4[[#This Row],[Mes]],Tabla6[#Headers],0)))</f>
        <v>#N/A</v>
      </c>
      <c r="R5952" s="282" t="e">
        <f>++Tabla4[[#This Row],[Precio Unitario Neto]]-Tabla4[[#This Row],[20.85%]]-Tabla4[[#This Row],[Costo]]</f>
        <v>#N/A</v>
      </c>
      <c r="S5952" s="282" t="e">
        <f>++Tabla4[[#This Row],[U. Bruta Uni]]*Tabla4[[#This Row],[Cantidad]]</f>
        <v>#N/A</v>
      </c>
      <c r="T5952" s="369" t="str">
        <f>VLOOKUP(Tabla4[[#This Row],[Producto]],Tabla6[#All],14,FALSE)</f>
        <v>Termico Solar</v>
      </c>
      <c r="U5952" s="284" t="e">
        <f>(IF(Tabla4[[#This Row],[Familia]]="termico solar",Tabla4[[#This Row],[Utilidad Total]]*6%,Tabla4[[#This Row],[Utilidad Total]]*11.5%))/Tabla4[[#This Row],[Total]]</f>
        <v>#N/A</v>
      </c>
      <c r="V5952" s="282" t="e">
        <f>+Tabla4[[#This Row],[Comisión Calculada]]*Tabla4[[#This Row],[Total]]</f>
        <v>#N/A</v>
      </c>
    </row>
    <row r="5953" spans="1:22" hidden="1" x14ac:dyDescent="0.25">
      <c r="A5953" s="100">
        <v>45930</v>
      </c>
      <c r="B5953" t="str">
        <f t="shared" si="281"/>
        <v>September</v>
      </c>
      <c r="C5953" s="46" t="s">
        <v>280</v>
      </c>
      <c r="F5953" s="366" t="s">
        <v>3058</v>
      </c>
      <c r="G5953" s="46" t="s">
        <v>566</v>
      </c>
      <c r="H5953" s="46">
        <v>1</v>
      </c>
      <c r="I5953" s="51">
        <v>2109.4499999999998</v>
      </c>
      <c r="J5953" s="281">
        <f>++Tabla4[[#This Row],[Precio Bruto]]*1.16</f>
        <v>2446.9619999999995</v>
      </c>
      <c r="K5953" s="281">
        <f>+Tabla4[[#This Row],[Precio Unitario Neto]]*Tabla4[[#Headers],[20.85%]]</f>
        <v>510.19157699999988</v>
      </c>
      <c r="L5953" s="282">
        <f>++Tabla4[[#This Row],[Precio Unitario Neto]]-Tabla4[[#This Row],[20.85%]]</f>
        <v>1936.7704229999997</v>
      </c>
      <c r="M5953" s="282" t="e">
        <f>(INDEX(Tabla6[#All],MATCH(Tabla4[[#This Row],[Producto]],Tabla6[[#All],[PRODUCTO]],0),MATCH(Tabla4[[#This Row],[Mes]],Tabla6[#Headers],0)))*(1+Catalogos!$L$2)</f>
        <v>#N/A</v>
      </c>
      <c r="N5953" s="283" t="e">
        <f>+(Tabla4[[#This Row],[Precio Descontado]]-Tabla4[[#This Row],[Precio Base]])*Tabla4[[#This Row],[Cantidad]]</f>
        <v>#N/A</v>
      </c>
      <c r="O5953" s="284" t="e">
        <f>++Tabla4[[#This Row],[Utilidad Total]]/Tabla4[[#This Row],[Total]]</f>
        <v>#N/A</v>
      </c>
      <c r="P5953" s="282">
        <f>++Tabla4[[#This Row],[Precio Descontado]]*Tabla4[[#This Row],[Cantidad]]</f>
        <v>1936.7704229999997</v>
      </c>
      <c r="Q5953" s="282" t="e">
        <f>(INDEX(Tabla6[#All],MATCH(Tabla4[[#This Row],[Producto]],Tabla6[[#All],[PRODUCTO]],0),MATCH(Tabla4[[#This Row],[Mes]],Tabla6[#Headers],0)))</f>
        <v>#N/A</v>
      </c>
      <c r="R5953" s="282" t="e">
        <f>++Tabla4[[#This Row],[Precio Unitario Neto]]-Tabla4[[#This Row],[20.85%]]-Tabla4[[#This Row],[Costo]]</f>
        <v>#N/A</v>
      </c>
      <c r="S5953" s="282" t="e">
        <f>++Tabla4[[#This Row],[U. Bruta Uni]]*Tabla4[[#This Row],[Cantidad]]</f>
        <v>#N/A</v>
      </c>
      <c r="T5953" s="369" t="str">
        <f>VLOOKUP(Tabla4[[#This Row],[Producto]],Tabla6[#All],14,FALSE)</f>
        <v>Termico Solar</v>
      </c>
      <c r="U5953" s="284" t="e">
        <f>(IF(Tabla4[[#This Row],[Familia]]="termico solar",Tabla4[[#This Row],[Utilidad Total]]*6%,Tabla4[[#This Row],[Utilidad Total]]*11.5%))/Tabla4[[#This Row],[Total]]</f>
        <v>#N/A</v>
      </c>
      <c r="V5953" s="282" t="e">
        <f>+Tabla4[[#This Row],[Comisión Calculada]]*Tabla4[[#This Row],[Total]]</f>
        <v>#N/A</v>
      </c>
    </row>
    <row r="5954" spans="1:22" hidden="1" x14ac:dyDescent="0.25">
      <c r="A5954" s="100">
        <v>45930</v>
      </c>
      <c r="B5954" t="str">
        <f t="shared" si="281"/>
        <v>September</v>
      </c>
      <c r="C5954" s="46" t="s">
        <v>280</v>
      </c>
      <c r="F5954" s="366" t="s">
        <v>3058</v>
      </c>
      <c r="G5954" s="46" t="s">
        <v>208</v>
      </c>
      <c r="H5954" s="46">
        <v>1</v>
      </c>
      <c r="I5954" s="51">
        <v>189.75</v>
      </c>
      <c r="J5954" s="281">
        <f>++Tabla4[[#This Row],[Precio Bruto]]*1.16</f>
        <v>220.10999999999999</v>
      </c>
      <c r="K5954" s="281">
        <f>+Tabla4[[#This Row],[Precio Unitario Neto]]*Tabla4[[#Headers],[20.85%]]</f>
        <v>45.892934999999994</v>
      </c>
      <c r="L5954" s="282">
        <f>++Tabla4[[#This Row],[Precio Unitario Neto]]-Tabla4[[#This Row],[20.85%]]</f>
        <v>174.21706499999999</v>
      </c>
      <c r="M5954" s="282" t="e">
        <f>(INDEX(Tabla6[#All],MATCH(Tabla4[[#This Row],[Producto]],Tabla6[[#All],[PRODUCTO]],0),MATCH(Tabla4[[#This Row],[Mes]],Tabla6[#Headers],0)))*(1+Catalogos!$L$2)</f>
        <v>#N/A</v>
      </c>
      <c r="N5954" s="283" t="e">
        <f>+(Tabla4[[#This Row],[Precio Descontado]]-Tabla4[[#This Row],[Precio Base]])*Tabla4[[#This Row],[Cantidad]]</f>
        <v>#N/A</v>
      </c>
      <c r="O5954" s="284" t="e">
        <f>++Tabla4[[#This Row],[Utilidad Total]]/Tabla4[[#This Row],[Total]]</f>
        <v>#N/A</v>
      </c>
      <c r="P5954" s="282">
        <f>++Tabla4[[#This Row],[Precio Descontado]]*Tabla4[[#This Row],[Cantidad]]</f>
        <v>174.21706499999999</v>
      </c>
      <c r="Q5954" s="282" t="e">
        <f>(INDEX(Tabla6[#All],MATCH(Tabla4[[#This Row],[Producto]],Tabla6[[#All],[PRODUCTO]],0),MATCH(Tabla4[[#This Row],[Mes]],Tabla6[#Headers],0)))</f>
        <v>#N/A</v>
      </c>
      <c r="R5954" s="282" t="e">
        <f>++Tabla4[[#This Row],[Precio Unitario Neto]]-Tabla4[[#This Row],[20.85%]]-Tabla4[[#This Row],[Costo]]</f>
        <v>#N/A</v>
      </c>
      <c r="S5954" s="282" t="e">
        <f>++Tabla4[[#This Row],[U. Bruta Uni]]*Tabla4[[#This Row],[Cantidad]]</f>
        <v>#N/A</v>
      </c>
      <c r="T5954" s="369" t="str">
        <f>VLOOKUP(Tabla4[[#This Row],[Producto]],Tabla6[#All],14,FALSE)</f>
        <v>Termico Solar</v>
      </c>
      <c r="U5954" s="284" t="e">
        <f>(IF(Tabla4[[#This Row],[Familia]]="termico solar",Tabla4[[#This Row],[Utilidad Total]]*6%,Tabla4[[#This Row],[Utilidad Total]]*11.5%))/Tabla4[[#This Row],[Total]]</f>
        <v>#N/A</v>
      </c>
      <c r="V5954" s="282" t="e">
        <f>+Tabla4[[#This Row],[Comisión Calculada]]*Tabla4[[#This Row],[Total]]</f>
        <v>#N/A</v>
      </c>
    </row>
    <row r="5955" spans="1:22" hidden="1" x14ac:dyDescent="0.25">
      <c r="A5955" s="100">
        <v>45930</v>
      </c>
      <c r="B5955" t="str">
        <f t="shared" si="281"/>
        <v>September</v>
      </c>
      <c r="C5955" s="46" t="s">
        <v>280</v>
      </c>
      <c r="F5955" s="366" t="s">
        <v>3059</v>
      </c>
      <c r="G5955" s="46" t="s">
        <v>83</v>
      </c>
      <c r="H5955" s="46">
        <v>1</v>
      </c>
      <c r="I5955" s="51">
        <v>8858.76</v>
      </c>
      <c r="J5955" s="281">
        <f>++Tabla4[[#This Row],[Precio Bruto]]*1.16</f>
        <v>10276.161599999999</v>
      </c>
      <c r="K5955" s="281">
        <f>+Tabla4[[#This Row],[Precio Unitario Neto]]*Tabla4[[#Headers],[20.85%]]</f>
        <v>2142.5796935999997</v>
      </c>
      <c r="L5955" s="282">
        <f>++Tabla4[[#This Row],[Precio Unitario Neto]]-Tabla4[[#This Row],[20.85%]]</f>
        <v>8133.5819063999998</v>
      </c>
      <c r="M5955" s="282" t="e">
        <f>(INDEX(Tabla6[#All],MATCH(Tabla4[[#This Row],[Producto]],Tabla6[[#All],[PRODUCTO]],0),MATCH(Tabla4[[#This Row],[Mes]],Tabla6[#Headers],0)))*(1+Catalogos!$L$2)</f>
        <v>#N/A</v>
      </c>
      <c r="N5955" s="283" t="e">
        <f>+(Tabla4[[#This Row],[Precio Descontado]]-Tabla4[[#This Row],[Precio Base]])*Tabla4[[#This Row],[Cantidad]]</f>
        <v>#N/A</v>
      </c>
      <c r="O5955" s="284" t="e">
        <f>++Tabla4[[#This Row],[Utilidad Total]]/Tabla4[[#This Row],[Total]]</f>
        <v>#N/A</v>
      </c>
      <c r="P5955" s="282">
        <f>++Tabla4[[#This Row],[Precio Descontado]]*Tabla4[[#This Row],[Cantidad]]</f>
        <v>8133.5819063999998</v>
      </c>
      <c r="Q5955" s="282" t="e">
        <f>(INDEX(Tabla6[#All],MATCH(Tabla4[[#This Row],[Producto]],Tabla6[[#All],[PRODUCTO]],0),MATCH(Tabla4[[#This Row],[Mes]],Tabla6[#Headers],0)))</f>
        <v>#N/A</v>
      </c>
      <c r="R5955" s="282" t="e">
        <f>++Tabla4[[#This Row],[Precio Unitario Neto]]-Tabla4[[#This Row],[20.85%]]-Tabla4[[#This Row],[Costo]]</f>
        <v>#N/A</v>
      </c>
      <c r="S5955" s="282" t="e">
        <f>++Tabla4[[#This Row],[U. Bruta Uni]]*Tabla4[[#This Row],[Cantidad]]</f>
        <v>#N/A</v>
      </c>
      <c r="T5955" s="369" t="str">
        <f>VLOOKUP(Tabla4[[#This Row],[Producto]],Tabla6[#All],14,FALSE)</f>
        <v>Termico Solar</v>
      </c>
      <c r="U5955" s="284" t="e">
        <f>(IF(Tabla4[[#This Row],[Familia]]="termico solar",Tabla4[[#This Row],[Utilidad Total]]*6%,Tabla4[[#This Row],[Utilidad Total]]*11.5%))/Tabla4[[#This Row],[Total]]</f>
        <v>#N/A</v>
      </c>
      <c r="V5955" s="282" t="e">
        <f>+Tabla4[[#This Row],[Comisión Calculada]]*Tabla4[[#This Row],[Total]]</f>
        <v>#N/A</v>
      </c>
    </row>
    <row r="5956" spans="1:22" hidden="1" x14ac:dyDescent="0.25">
      <c r="A5956" s="100">
        <v>45930</v>
      </c>
      <c r="B5956" t="str">
        <f t="shared" si="281"/>
        <v>September</v>
      </c>
      <c r="C5956" s="46" t="s">
        <v>280</v>
      </c>
      <c r="F5956" s="366" t="s">
        <v>3059</v>
      </c>
      <c r="G5956" s="46" t="s">
        <v>16</v>
      </c>
      <c r="H5956" s="46">
        <v>1</v>
      </c>
      <c r="I5956" s="51">
        <v>4103.8500000000004</v>
      </c>
      <c r="J5956" s="281">
        <f>++Tabla4[[#This Row],[Precio Bruto]]*1.16</f>
        <v>4760.4660000000003</v>
      </c>
      <c r="K5956" s="281">
        <f>+Tabla4[[#This Row],[Precio Unitario Neto]]*Tabla4[[#Headers],[20.85%]]</f>
        <v>992.55716100000006</v>
      </c>
      <c r="L5956" s="282">
        <f>++Tabla4[[#This Row],[Precio Unitario Neto]]-Tabla4[[#This Row],[20.85%]]</f>
        <v>3767.9088390000002</v>
      </c>
      <c r="M5956" s="282" t="e">
        <f>(INDEX(Tabla6[#All],MATCH(Tabla4[[#This Row],[Producto]],Tabla6[[#All],[PRODUCTO]],0),MATCH(Tabla4[[#This Row],[Mes]],Tabla6[#Headers],0)))*(1+Catalogos!$L$2)</f>
        <v>#N/A</v>
      </c>
      <c r="N5956" s="283" t="e">
        <f>+(Tabla4[[#This Row],[Precio Descontado]]-Tabla4[[#This Row],[Precio Base]])*Tabla4[[#This Row],[Cantidad]]</f>
        <v>#N/A</v>
      </c>
      <c r="O5956" s="284" t="e">
        <f>++Tabla4[[#This Row],[Utilidad Total]]/Tabla4[[#This Row],[Total]]</f>
        <v>#N/A</v>
      </c>
      <c r="P5956" s="282">
        <f>++Tabla4[[#This Row],[Precio Descontado]]*Tabla4[[#This Row],[Cantidad]]</f>
        <v>3767.9088390000002</v>
      </c>
      <c r="Q5956" s="282" t="e">
        <f>(INDEX(Tabla6[#All],MATCH(Tabla4[[#This Row],[Producto]],Tabla6[[#All],[PRODUCTO]],0),MATCH(Tabla4[[#This Row],[Mes]],Tabla6[#Headers],0)))</f>
        <v>#N/A</v>
      </c>
      <c r="R5956" s="282" t="e">
        <f>++Tabla4[[#This Row],[Precio Unitario Neto]]-Tabla4[[#This Row],[20.85%]]-Tabla4[[#This Row],[Costo]]</f>
        <v>#N/A</v>
      </c>
      <c r="S5956" s="282" t="e">
        <f>++Tabla4[[#This Row],[U. Bruta Uni]]*Tabla4[[#This Row],[Cantidad]]</f>
        <v>#N/A</v>
      </c>
      <c r="T5956" s="369" t="str">
        <f>VLOOKUP(Tabla4[[#This Row],[Producto]],Tabla6[#All],14,FALSE)</f>
        <v>Termico Solar</v>
      </c>
      <c r="U5956" s="284" t="e">
        <f>(IF(Tabla4[[#This Row],[Familia]]="termico solar",Tabla4[[#This Row],[Utilidad Total]]*6%,Tabla4[[#This Row],[Utilidad Total]]*11.5%))/Tabla4[[#This Row],[Total]]</f>
        <v>#N/A</v>
      </c>
      <c r="V5956" s="282" t="e">
        <f>+Tabla4[[#This Row],[Comisión Calculada]]*Tabla4[[#This Row],[Total]]</f>
        <v>#N/A</v>
      </c>
    </row>
    <row r="5957" spans="1:22" hidden="1" x14ac:dyDescent="0.25">
      <c r="A5957" s="100">
        <v>45930</v>
      </c>
      <c r="B5957" t="str">
        <f t="shared" si="281"/>
        <v>September</v>
      </c>
      <c r="C5957" s="46" t="s">
        <v>280</v>
      </c>
      <c r="F5957" s="366" t="s">
        <v>3060</v>
      </c>
      <c r="G5957" s="46" t="s">
        <v>18</v>
      </c>
      <c r="H5957" s="46">
        <v>1</v>
      </c>
      <c r="I5957" s="51">
        <v>5367.65</v>
      </c>
      <c r="J5957" s="281">
        <f>++Tabla4[[#This Row],[Precio Bruto]]*1.16</f>
        <v>6226.4739999999993</v>
      </c>
      <c r="K5957" s="281">
        <f>+Tabla4[[#This Row],[Precio Unitario Neto]]*Tabla4[[#Headers],[20.85%]]</f>
        <v>1298.2198289999999</v>
      </c>
      <c r="L5957" s="282">
        <f>++Tabla4[[#This Row],[Precio Unitario Neto]]-Tabla4[[#This Row],[20.85%]]</f>
        <v>4928.2541709999996</v>
      </c>
      <c r="M5957" s="282" t="e">
        <f>(INDEX(Tabla6[#All],MATCH(Tabla4[[#This Row],[Producto]],Tabla6[[#All],[PRODUCTO]],0),MATCH(Tabla4[[#This Row],[Mes]],Tabla6[#Headers],0)))*(1+Catalogos!$L$2)</f>
        <v>#N/A</v>
      </c>
      <c r="N5957" s="283" t="e">
        <f>+(Tabla4[[#This Row],[Precio Descontado]]-Tabla4[[#This Row],[Precio Base]])*Tabla4[[#This Row],[Cantidad]]</f>
        <v>#N/A</v>
      </c>
      <c r="O5957" s="284" t="e">
        <f>++Tabla4[[#This Row],[Utilidad Total]]/Tabla4[[#This Row],[Total]]</f>
        <v>#N/A</v>
      </c>
      <c r="P5957" s="282">
        <f>++Tabla4[[#This Row],[Precio Descontado]]*Tabla4[[#This Row],[Cantidad]]</f>
        <v>4928.2541709999996</v>
      </c>
      <c r="Q5957" s="282" t="e">
        <f>(INDEX(Tabla6[#All],MATCH(Tabla4[[#This Row],[Producto]],Tabla6[[#All],[PRODUCTO]],0),MATCH(Tabla4[[#This Row],[Mes]],Tabla6[#Headers],0)))</f>
        <v>#N/A</v>
      </c>
      <c r="R5957" s="282" t="e">
        <f>++Tabla4[[#This Row],[Precio Unitario Neto]]-Tabla4[[#This Row],[20.85%]]-Tabla4[[#This Row],[Costo]]</f>
        <v>#N/A</v>
      </c>
      <c r="S5957" s="282" t="e">
        <f>++Tabla4[[#This Row],[U. Bruta Uni]]*Tabla4[[#This Row],[Cantidad]]</f>
        <v>#N/A</v>
      </c>
      <c r="T5957" s="369" t="str">
        <f>VLOOKUP(Tabla4[[#This Row],[Producto]],Tabla6[#All],14,FALSE)</f>
        <v>Termico Solar</v>
      </c>
      <c r="U5957" s="284" t="e">
        <f>(IF(Tabla4[[#This Row],[Familia]]="termico solar",Tabla4[[#This Row],[Utilidad Total]]*6%,Tabla4[[#This Row],[Utilidad Total]]*11.5%))/Tabla4[[#This Row],[Total]]</f>
        <v>#N/A</v>
      </c>
      <c r="V5957" s="282" t="e">
        <f>+Tabla4[[#This Row],[Comisión Calculada]]*Tabla4[[#This Row],[Total]]</f>
        <v>#N/A</v>
      </c>
    </row>
    <row r="5958" spans="1:22" hidden="1" x14ac:dyDescent="0.25">
      <c r="A5958" s="100">
        <v>45930</v>
      </c>
      <c r="B5958" t="str">
        <f t="shared" si="281"/>
        <v>September</v>
      </c>
      <c r="C5958" s="46" t="s">
        <v>280</v>
      </c>
      <c r="F5958" s="366" t="s">
        <v>3060</v>
      </c>
      <c r="G5958" s="46" t="s">
        <v>19</v>
      </c>
      <c r="H5958" s="46">
        <v>1</v>
      </c>
      <c r="I5958" s="51">
        <v>6412.03</v>
      </c>
      <c r="J5958" s="281">
        <f>++Tabla4[[#This Row],[Precio Bruto]]*1.16</f>
        <v>7437.9547999999995</v>
      </c>
      <c r="K5958" s="281">
        <f>+Tabla4[[#This Row],[Precio Unitario Neto]]*Tabla4[[#Headers],[20.85%]]</f>
        <v>1550.8135757999999</v>
      </c>
      <c r="L5958" s="282">
        <f>++Tabla4[[#This Row],[Precio Unitario Neto]]-Tabla4[[#This Row],[20.85%]]</f>
        <v>5887.1412241999997</v>
      </c>
      <c r="M5958" s="282" t="e">
        <f>(INDEX(Tabla6[#All],MATCH(Tabla4[[#This Row],[Producto]],Tabla6[[#All],[PRODUCTO]],0),MATCH(Tabla4[[#This Row],[Mes]],Tabla6[#Headers],0)))*(1+Catalogos!$L$2)</f>
        <v>#N/A</v>
      </c>
      <c r="N5958" s="283" t="e">
        <f>+(Tabla4[[#This Row],[Precio Descontado]]-Tabla4[[#This Row],[Precio Base]])*Tabla4[[#This Row],[Cantidad]]</f>
        <v>#N/A</v>
      </c>
      <c r="O5958" s="284" t="e">
        <f>++Tabla4[[#This Row],[Utilidad Total]]/Tabla4[[#This Row],[Total]]</f>
        <v>#N/A</v>
      </c>
      <c r="P5958" s="282">
        <f>++Tabla4[[#This Row],[Precio Descontado]]*Tabla4[[#This Row],[Cantidad]]</f>
        <v>5887.1412241999997</v>
      </c>
      <c r="Q5958" s="282" t="e">
        <f>(INDEX(Tabla6[#All],MATCH(Tabla4[[#This Row],[Producto]],Tabla6[[#All],[PRODUCTO]],0),MATCH(Tabla4[[#This Row],[Mes]],Tabla6[#Headers],0)))</f>
        <v>#N/A</v>
      </c>
      <c r="R5958" s="282" t="e">
        <f>++Tabla4[[#This Row],[Precio Unitario Neto]]-Tabla4[[#This Row],[20.85%]]-Tabla4[[#This Row],[Costo]]</f>
        <v>#N/A</v>
      </c>
      <c r="S5958" s="282" t="e">
        <f>++Tabla4[[#This Row],[U. Bruta Uni]]*Tabla4[[#This Row],[Cantidad]]</f>
        <v>#N/A</v>
      </c>
      <c r="T5958" s="369" t="str">
        <f>VLOOKUP(Tabla4[[#This Row],[Producto]],Tabla6[#All],14,FALSE)</f>
        <v>Termico Solar</v>
      </c>
      <c r="U5958" s="284" t="e">
        <f>(IF(Tabla4[[#This Row],[Familia]]="termico solar",Tabla4[[#This Row],[Utilidad Total]]*6%,Tabla4[[#This Row],[Utilidad Total]]*11.5%))/Tabla4[[#This Row],[Total]]</f>
        <v>#N/A</v>
      </c>
      <c r="V5958" s="282" t="e">
        <f>+Tabla4[[#This Row],[Comisión Calculada]]*Tabla4[[#This Row],[Total]]</f>
        <v>#N/A</v>
      </c>
    </row>
    <row r="5959" spans="1:22" hidden="1" x14ac:dyDescent="0.25">
      <c r="A5959" s="100">
        <v>45930</v>
      </c>
      <c r="B5959" t="str">
        <f t="shared" si="281"/>
        <v>September</v>
      </c>
      <c r="C5959" s="46" t="s">
        <v>280</v>
      </c>
      <c r="F5959" s="366" t="s">
        <v>3060</v>
      </c>
      <c r="G5959" s="46" t="s">
        <v>566</v>
      </c>
      <c r="H5959" s="46">
        <v>1</v>
      </c>
      <c r="I5959" s="51">
        <v>2109.4499999999998</v>
      </c>
      <c r="J5959" s="281">
        <f>++Tabla4[[#This Row],[Precio Bruto]]*1.16</f>
        <v>2446.9619999999995</v>
      </c>
      <c r="K5959" s="281">
        <f>+Tabla4[[#This Row],[Precio Unitario Neto]]*Tabla4[[#Headers],[20.85%]]</f>
        <v>510.19157699999988</v>
      </c>
      <c r="L5959" s="282">
        <f>++Tabla4[[#This Row],[Precio Unitario Neto]]-Tabla4[[#This Row],[20.85%]]</f>
        <v>1936.7704229999997</v>
      </c>
      <c r="M5959" s="282" t="e">
        <f>(INDEX(Tabla6[#All],MATCH(Tabla4[[#This Row],[Producto]],Tabla6[[#All],[PRODUCTO]],0),MATCH(Tabla4[[#This Row],[Mes]],Tabla6[#Headers],0)))*(1+Catalogos!$L$2)</f>
        <v>#N/A</v>
      </c>
      <c r="N5959" s="283" t="e">
        <f>+(Tabla4[[#This Row],[Precio Descontado]]-Tabla4[[#This Row],[Precio Base]])*Tabla4[[#This Row],[Cantidad]]</f>
        <v>#N/A</v>
      </c>
      <c r="O5959" s="284" t="e">
        <f>++Tabla4[[#This Row],[Utilidad Total]]/Tabla4[[#This Row],[Total]]</f>
        <v>#N/A</v>
      </c>
      <c r="P5959" s="282">
        <f>++Tabla4[[#This Row],[Precio Descontado]]*Tabla4[[#This Row],[Cantidad]]</f>
        <v>1936.7704229999997</v>
      </c>
      <c r="Q5959" s="282" t="e">
        <f>(INDEX(Tabla6[#All],MATCH(Tabla4[[#This Row],[Producto]],Tabla6[[#All],[PRODUCTO]],0),MATCH(Tabla4[[#This Row],[Mes]],Tabla6[#Headers],0)))</f>
        <v>#N/A</v>
      </c>
      <c r="R5959" s="282" t="e">
        <f>++Tabla4[[#This Row],[Precio Unitario Neto]]-Tabla4[[#This Row],[20.85%]]-Tabla4[[#This Row],[Costo]]</f>
        <v>#N/A</v>
      </c>
      <c r="S5959" s="282" t="e">
        <f>++Tabla4[[#This Row],[U. Bruta Uni]]*Tabla4[[#This Row],[Cantidad]]</f>
        <v>#N/A</v>
      </c>
      <c r="T5959" s="369" t="str">
        <f>VLOOKUP(Tabla4[[#This Row],[Producto]],Tabla6[#All],14,FALSE)</f>
        <v>Termico Solar</v>
      </c>
      <c r="U5959" s="284" t="e">
        <f>(IF(Tabla4[[#This Row],[Familia]]="termico solar",Tabla4[[#This Row],[Utilidad Total]]*6%,Tabla4[[#This Row],[Utilidad Total]]*11.5%))/Tabla4[[#This Row],[Total]]</f>
        <v>#N/A</v>
      </c>
      <c r="V5959" s="282" t="e">
        <f>+Tabla4[[#This Row],[Comisión Calculada]]*Tabla4[[#This Row],[Total]]</f>
        <v>#N/A</v>
      </c>
    </row>
    <row r="5960" spans="1:22" hidden="1" x14ac:dyDescent="0.25">
      <c r="A5960" s="100">
        <v>45930</v>
      </c>
      <c r="B5960" t="str">
        <f t="shared" si="281"/>
        <v>September</v>
      </c>
      <c r="C5960" s="46" t="s">
        <v>280</v>
      </c>
      <c r="F5960" s="366" t="s">
        <v>3061</v>
      </c>
      <c r="G5960" s="46" t="s">
        <v>83</v>
      </c>
      <c r="H5960" s="46">
        <v>1</v>
      </c>
      <c r="I5960" s="51">
        <v>8858.76</v>
      </c>
      <c r="J5960" s="281">
        <f>++Tabla4[[#This Row],[Precio Bruto]]*1.16</f>
        <v>10276.161599999999</v>
      </c>
      <c r="K5960" s="281">
        <f>+Tabla4[[#This Row],[Precio Unitario Neto]]*Tabla4[[#Headers],[20.85%]]</f>
        <v>2142.5796935999997</v>
      </c>
      <c r="L5960" s="282">
        <f>++Tabla4[[#This Row],[Precio Unitario Neto]]-Tabla4[[#This Row],[20.85%]]</f>
        <v>8133.5819063999998</v>
      </c>
      <c r="M5960" s="282" t="e">
        <f>(INDEX(Tabla6[#All],MATCH(Tabla4[[#This Row],[Producto]],Tabla6[[#All],[PRODUCTO]],0),MATCH(Tabla4[[#This Row],[Mes]],Tabla6[#Headers],0)))*(1+Catalogos!$L$2)</f>
        <v>#N/A</v>
      </c>
      <c r="N5960" s="283" t="e">
        <f>+(Tabla4[[#This Row],[Precio Descontado]]-Tabla4[[#This Row],[Precio Base]])*Tabla4[[#This Row],[Cantidad]]</f>
        <v>#N/A</v>
      </c>
      <c r="O5960" s="284" t="e">
        <f>++Tabla4[[#This Row],[Utilidad Total]]/Tabla4[[#This Row],[Total]]</f>
        <v>#N/A</v>
      </c>
      <c r="P5960" s="282">
        <f>++Tabla4[[#This Row],[Precio Descontado]]*Tabla4[[#This Row],[Cantidad]]</f>
        <v>8133.5819063999998</v>
      </c>
      <c r="Q5960" s="282" t="e">
        <f>(INDEX(Tabla6[#All],MATCH(Tabla4[[#This Row],[Producto]],Tabla6[[#All],[PRODUCTO]],0),MATCH(Tabla4[[#This Row],[Mes]],Tabla6[#Headers],0)))</f>
        <v>#N/A</v>
      </c>
      <c r="R5960" s="282" t="e">
        <f>++Tabla4[[#This Row],[Precio Unitario Neto]]-Tabla4[[#This Row],[20.85%]]-Tabla4[[#This Row],[Costo]]</f>
        <v>#N/A</v>
      </c>
      <c r="S5960" s="282" t="e">
        <f>++Tabla4[[#This Row],[U. Bruta Uni]]*Tabla4[[#This Row],[Cantidad]]</f>
        <v>#N/A</v>
      </c>
      <c r="T5960" s="369" t="str">
        <f>VLOOKUP(Tabla4[[#This Row],[Producto]],Tabla6[#All],14,FALSE)</f>
        <v>Termico Solar</v>
      </c>
      <c r="U5960" s="284" t="e">
        <f>(IF(Tabla4[[#This Row],[Familia]]="termico solar",Tabla4[[#This Row],[Utilidad Total]]*6%,Tabla4[[#This Row],[Utilidad Total]]*11.5%))/Tabla4[[#This Row],[Total]]</f>
        <v>#N/A</v>
      </c>
      <c r="V5960" s="282" t="e">
        <f>+Tabla4[[#This Row],[Comisión Calculada]]*Tabla4[[#This Row],[Total]]</f>
        <v>#N/A</v>
      </c>
    </row>
    <row r="5961" spans="1:22" hidden="1" x14ac:dyDescent="0.25">
      <c r="A5961" s="100">
        <v>45930</v>
      </c>
      <c r="B5961" t="str">
        <f t="shared" si="281"/>
        <v>September</v>
      </c>
      <c r="C5961" s="46" t="s">
        <v>280</v>
      </c>
      <c r="F5961" s="366" t="s">
        <v>3061</v>
      </c>
      <c r="G5961" s="46" t="s">
        <v>17</v>
      </c>
      <c r="H5961" s="46">
        <v>2</v>
      </c>
      <c r="I5961" s="51">
        <v>4622.28</v>
      </c>
      <c r="J5961" s="281">
        <f>++Tabla4[[#This Row],[Precio Bruto]]*1.16</f>
        <v>5361.8447999999989</v>
      </c>
      <c r="K5961" s="281">
        <f>+Tabla4[[#This Row],[Precio Unitario Neto]]*Tabla4[[#Headers],[20.85%]]</f>
        <v>1117.9446407999997</v>
      </c>
      <c r="L5961" s="282">
        <f>++Tabla4[[#This Row],[Precio Unitario Neto]]-Tabla4[[#This Row],[20.85%]]</f>
        <v>4243.9001591999995</v>
      </c>
      <c r="M5961" s="282" t="e">
        <f>(INDEX(Tabla6[#All],MATCH(Tabla4[[#This Row],[Producto]],Tabla6[[#All],[PRODUCTO]],0),MATCH(Tabla4[[#This Row],[Mes]],Tabla6[#Headers],0)))*(1+Catalogos!$L$2)</f>
        <v>#N/A</v>
      </c>
      <c r="N5961" s="283" t="e">
        <f>+(Tabla4[[#This Row],[Precio Descontado]]-Tabla4[[#This Row],[Precio Base]])*Tabla4[[#This Row],[Cantidad]]</f>
        <v>#N/A</v>
      </c>
      <c r="O5961" s="284" t="e">
        <f>++Tabla4[[#This Row],[Utilidad Total]]/Tabla4[[#This Row],[Total]]</f>
        <v>#N/A</v>
      </c>
      <c r="P5961" s="282">
        <f>++Tabla4[[#This Row],[Precio Descontado]]*Tabla4[[#This Row],[Cantidad]]</f>
        <v>8487.800318399999</v>
      </c>
      <c r="Q5961" s="282" t="e">
        <f>(INDEX(Tabla6[#All],MATCH(Tabla4[[#This Row],[Producto]],Tabla6[[#All],[PRODUCTO]],0),MATCH(Tabla4[[#This Row],[Mes]],Tabla6[#Headers],0)))</f>
        <v>#N/A</v>
      </c>
      <c r="R5961" s="282" t="e">
        <f>++Tabla4[[#This Row],[Precio Unitario Neto]]-Tabla4[[#This Row],[20.85%]]-Tabla4[[#This Row],[Costo]]</f>
        <v>#N/A</v>
      </c>
      <c r="S5961" s="282" t="e">
        <f>++Tabla4[[#This Row],[U. Bruta Uni]]*Tabla4[[#This Row],[Cantidad]]</f>
        <v>#N/A</v>
      </c>
      <c r="T5961" s="369" t="str">
        <f>VLOOKUP(Tabla4[[#This Row],[Producto]],Tabla6[#All],14,FALSE)</f>
        <v>Termico Solar</v>
      </c>
      <c r="U5961" s="284" t="e">
        <f>(IF(Tabla4[[#This Row],[Familia]]="termico solar",Tabla4[[#This Row],[Utilidad Total]]*6%,Tabla4[[#This Row],[Utilidad Total]]*11.5%))/Tabla4[[#This Row],[Total]]</f>
        <v>#N/A</v>
      </c>
      <c r="V5961" s="282" t="e">
        <f>+Tabla4[[#This Row],[Comisión Calculada]]*Tabla4[[#This Row],[Total]]</f>
        <v>#N/A</v>
      </c>
    </row>
    <row r="5962" spans="1:22" hidden="1" x14ac:dyDescent="0.25">
      <c r="A5962" s="100">
        <v>45930</v>
      </c>
      <c r="B5962" t="str">
        <f t="shared" si="281"/>
        <v>September</v>
      </c>
      <c r="C5962" s="46" t="s">
        <v>280</v>
      </c>
      <c r="F5962" s="366" t="s">
        <v>3061</v>
      </c>
      <c r="G5962" s="46" t="s">
        <v>566</v>
      </c>
      <c r="H5962" s="46">
        <v>1</v>
      </c>
      <c r="I5962" s="51">
        <v>2109.4499999999998</v>
      </c>
      <c r="J5962" s="281">
        <f>++Tabla4[[#This Row],[Precio Bruto]]*1.16</f>
        <v>2446.9619999999995</v>
      </c>
      <c r="K5962" s="281">
        <f>+Tabla4[[#This Row],[Precio Unitario Neto]]*Tabla4[[#Headers],[20.85%]]</f>
        <v>510.19157699999988</v>
      </c>
      <c r="L5962" s="282">
        <f>++Tabla4[[#This Row],[Precio Unitario Neto]]-Tabla4[[#This Row],[20.85%]]</f>
        <v>1936.7704229999997</v>
      </c>
      <c r="M5962" s="282" t="e">
        <f>(INDEX(Tabla6[#All],MATCH(Tabla4[[#This Row],[Producto]],Tabla6[[#All],[PRODUCTO]],0),MATCH(Tabla4[[#This Row],[Mes]],Tabla6[#Headers],0)))*(1+Catalogos!$L$2)</f>
        <v>#N/A</v>
      </c>
      <c r="N5962" s="283" t="e">
        <f>+(Tabla4[[#This Row],[Precio Descontado]]-Tabla4[[#This Row],[Precio Base]])*Tabla4[[#This Row],[Cantidad]]</f>
        <v>#N/A</v>
      </c>
      <c r="O5962" s="284" t="e">
        <f>++Tabla4[[#This Row],[Utilidad Total]]/Tabla4[[#This Row],[Total]]</f>
        <v>#N/A</v>
      </c>
      <c r="P5962" s="282">
        <f>++Tabla4[[#This Row],[Precio Descontado]]*Tabla4[[#This Row],[Cantidad]]</f>
        <v>1936.7704229999997</v>
      </c>
      <c r="Q5962" s="282" t="e">
        <f>(INDEX(Tabla6[#All],MATCH(Tabla4[[#This Row],[Producto]],Tabla6[[#All],[PRODUCTO]],0),MATCH(Tabla4[[#This Row],[Mes]],Tabla6[#Headers],0)))</f>
        <v>#N/A</v>
      </c>
      <c r="R5962" s="282" t="e">
        <f>++Tabla4[[#This Row],[Precio Unitario Neto]]-Tabla4[[#This Row],[20.85%]]-Tabla4[[#This Row],[Costo]]</f>
        <v>#N/A</v>
      </c>
      <c r="S5962" s="282" t="e">
        <f>++Tabla4[[#This Row],[U. Bruta Uni]]*Tabla4[[#This Row],[Cantidad]]</f>
        <v>#N/A</v>
      </c>
      <c r="T5962" s="369" t="str">
        <f>VLOOKUP(Tabla4[[#This Row],[Producto]],Tabla6[#All],14,FALSE)</f>
        <v>Termico Solar</v>
      </c>
      <c r="U5962" s="284" t="e">
        <f>(IF(Tabla4[[#This Row],[Familia]]="termico solar",Tabla4[[#This Row],[Utilidad Total]]*6%,Tabla4[[#This Row],[Utilidad Total]]*11.5%))/Tabla4[[#This Row],[Total]]</f>
        <v>#N/A</v>
      </c>
      <c r="V5962" s="282" t="e">
        <f>+Tabla4[[#This Row],[Comisión Calculada]]*Tabla4[[#This Row],[Total]]</f>
        <v>#N/A</v>
      </c>
    </row>
    <row r="5963" spans="1:22" hidden="1" x14ac:dyDescent="0.25">
      <c r="A5963" s="100">
        <v>45930</v>
      </c>
      <c r="B5963" t="str">
        <f t="shared" si="281"/>
        <v>September</v>
      </c>
      <c r="C5963" s="46" t="s">
        <v>280</v>
      </c>
      <c r="F5963" s="366" t="s">
        <v>3062</v>
      </c>
      <c r="G5963" s="46" t="s">
        <v>83</v>
      </c>
      <c r="H5963" s="46">
        <v>2</v>
      </c>
      <c r="I5963" s="51">
        <v>8858.76</v>
      </c>
      <c r="J5963" s="281">
        <f>++Tabla4[[#This Row],[Precio Bruto]]*1.16</f>
        <v>10276.161599999999</v>
      </c>
      <c r="K5963" s="281">
        <f>+Tabla4[[#This Row],[Precio Unitario Neto]]*Tabla4[[#Headers],[20.85%]]</f>
        <v>2142.5796935999997</v>
      </c>
      <c r="L5963" s="282">
        <f>++Tabla4[[#This Row],[Precio Unitario Neto]]-Tabla4[[#This Row],[20.85%]]</f>
        <v>8133.5819063999998</v>
      </c>
      <c r="M5963" s="282" t="e">
        <f>(INDEX(Tabla6[#All],MATCH(Tabla4[[#This Row],[Producto]],Tabla6[[#All],[PRODUCTO]],0),MATCH(Tabla4[[#This Row],[Mes]],Tabla6[#Headers],0)))*(1+Catalogos!$L$2)</f>
        <v>#N/A</v>
      </c>
      <c r="N5963" s="283" t="e">
        <f>+(Tabla4[[#This Row],[Precio Descontado]]-Tabla4[[#This Row],[Precio Base]])*Tabla4[[#This Row],[Cantidad]]</f>
        <v>#N/A</v>
      </c>
      <c r="O5963" s="284" t="e">
        <f>++Tabla4[[#This Row],[Utilidad Total]]/Tabla4[[#This Row],[Total]]</f>
        <v>#N/A</v>
      </c>
      <c r="P5963" s="282">
        <f>++Tabla4[[#This Row],[Precio Descontado]]*Tabla4[[#This Row],[Cantidad]]</f>
        <v>16267.1638128</v>
      </c>
      <c r="Q5963" s="282" t="e">
        <f>(INDEX(Tabla6[#All],MATCH(Tabla4[[#This Row],[Producto]],Tabla6[[#All],[PRODUCTO]],0),MATCH(Tabla4[[#This Row],[Mes]],Tabla6[#Headers],0)))</f>
        <v>#N/A</v>
      </c>
      <c r="R5963" s="282" t="e">
        <f>++Tabla4[[#This Row],[Precio Unitario Neto]]-Tabla4[[#This Row],[20.85%]]-Tabla4[[#This Row],[Costo]]</f>
        <v>#N/A</v>
      </c>
      <c r="S5963" s="282" t="e">
        <f>++Tabla4[[#This Row],[U. Bruta Uni]]*Tabla4[[#This Row],[Cantidad]]</f>
        <v>#N/A</v>
      </c>
      <c r="T5963" s="369" t="str">
        <f>VLOOKUP(Tabla4[[#This Row],[Producto]],Tabla6[#All],14,FALSE)</f>
        <v>Termico Solar</v>
      </c>
      <c r="U5963" s="284" t="e">
        <f>(IF(Tabla4[[#This Row],[Familia]]="termico solar",Tabla4[[#This Row],[Utilidad Total]]*6%,Tabla4[[#This Row],[Utilidad Total]]*11.5%))/Tabla4[[#This Row],[Total]]</f>
        <v>#N/A</v>
      </c>
      <c r="V5963" s="282" t="e">
        <f>+Tabla4[[#This Row],[Comisión Calculada]]*Tabla4[[#This Row],[Total]]</f>
        <v>#N/A</v>
      </c>
    </row>
    <row r="5964" spans="1:22" hidden="1" x14ac:dyDescent="0.25">
      <c r="A5964" s="100">
        <v>45930</v>
      </c>
      <c r="B5964" t="str">
        <f t="shared" si="281"/>
        <v>September</v>
      </c>
      <c r="C5964" s="46" t="s">
        <v>280</v>
      </c>
      <c r="F5964" s="366" t="s">
        <v>3062</v>
      </c>
      <c r="G5964" s="46" t="s">
        <v>17</v>
      </c>
      <c r="H5964" s="46">
        <v>1</v>
      </c>
      <c r="I5964" s="51">
        <v>4622.28</v>
      </c>
      <c r="J5964" s="281">
        <f>++Tabla4[[#This Row],[Precio Bruto]]*1.16</f>
        <v>5361.8447999999989</v>
      </c>
      <c r="K5964" s="281">
        <f>+Tabla4[[#This Row],[Precio Unitario Neto]]*Tabla4[[#Headers],[20.85%]]</f>
        <v>1117.9446407999997</v>
      </c>
      <c r="L5964" s="282">
        <f>++Tabla4[[#This Row],[Precio Unitario Neto]]-Tabla4[[#This Row],[20.85%]]</f>
        <v>4243.9001591999995</v>
      </c>
      <c r="M5964" s="282" t="e">
        <f>(INDEX(Tabla6[#All],MATCH(Tabla4[[#This Row],[Producto]],Tabla6[[#All],[PRODUCTO]],0),MATCH(Tabla4[[#This Row],[Mes]],Tabla6[#Headers],0)))*(1+Catalogos!$L$2)</f>
        <v>#N/A</v>
      </c>
      <c r="N5964" s="283" t="e">
        <f>+(Tabla4[[#This Row],[Precio Descontado]]-Tabla4[[#This Row],[Precio Base]])*Tabla4[[#This Row],[Cantidad]]</f>
        <v>#N/A</v>
      </c>
      <c r="O5964" s="284" t="e">
        <f>++Tabla4[[#This Row],[Utilidad Total]]/Tabla4[[#This Row],[Total]]</f>
        <v>#N/A</v>
      </c>
      <c r="P5964" s="282">
        <f>++Tabla4[[#This Row],[Precio Descontado]]*Tabla4[[#This Row],[Cantidad]]</f>
        <v>4243.9001591999995</v>
      </c>
      <c r="Q5964" s="282" t="e">
        <f>(INDEX(Tabla6[#All],MATCH(Tabla4[[#This Row],[Producto]],Tabla6[[#All],[PRODUCTO]],0),MATCH(Tabla4[[#This Row],[Mes]],Tabla6[#Headers],0)))</f>
        <v>#N/A</v>
      </c>
      <c r="R5964" s="282" t="e">
        <f>++Tabla4[[#This Row],[Precio Unitario Neto]]-Tabla4[[#This Row],[20.85%]]-Tabla4[[#This Row],[Costo]]</f>
        <v>#N/A</v>
      </c>
      <c r="S5964" s="282" t="e">
        <f>++Tabla4[[#This Row],[U. Bruta Uni]]*Tabla4[[#This Row],[Cantidad]]</f>
        <v>#N/A</v>
      </c>
      <c r="T5964" s="369" t="str">
        <f>VLOOKUP(Tabla4[[#This Row],[Producto]],Tabla6[#All],14,FALSE)</f>
        <v>Termico Solar</v>
      </c>
      <c r="U5964" s="284" t="e">
        <f>(IF(Tabla4[[#This Row],[Familia]]="termico solar",Tabla4[[#This Row],[Utilidad Total]]*6%,Tabla4[[#This Row],[Utilidad Total]]*11.5%))/Tabla4[[#This Row],[Total]]</f>
        <v>#N/A</v>
      </c>
      <c r="V5964" s="282" t="e">
        <f>+Tabla4[[#This Row],[Comisión Calculada]]*Tabla4[[#This Row],[Total]]</f>
        <v>#N/A</v>
      </c>
    </row>
    <row r="5965" spans="1:22" hidden="1" x14ac:dyDescent="0.25">
      <c r="A5965" s="100">
        <v>45930</v>
      </c>
      <c r="B5965" t="str">
        <f t="shared" si="281"/>
        <v>September</v>
      </c>
      <c r="C5965" s="46" t="s">
        <v>280</v>
      </c>
      <c r="F5965" s="366" t="s">
        <v>3062</v>
      </c>
      <c r="G5965" s="46" t="s">
        <v>566</v>
      </c>
      <c r="H5965" s="46">
        <v>1</v>
      </c>
      <c r="I5965" s="51">
        <v>2109.4499999999998</v>
      </c>
      <c r="J5965" s="281">
        <f>++Tabla4[[#This Row],[Precio Bruto]]*1.16</f>
        <v>2446.9619999999995</v>
      </c>
      <c r="K5965" s="281">
        <f>+Tabla4[[#This Row],[Precio Unitario Neto]]*Tabla4[[#Headers],[20.85%]]</f>
        <v>510.19157699999988</v>
      </c>
      <c r="L5965" s="282">
        <f>++Tabla4[[#This Row],[Precio Unitario Neto]]-Tabla4[[#This Row],[20.85%]]</f>
        <v>1936.7704229999997</v>
      </c>
      <c r="M5965" s="282" t="e">
        <f>(INDEX(Tabla6[#All],MATCH(Tabla4[[#This Row],[Producto]],Tabla6[[#All],[PRODUCTO]],0),MATCH(Tabla4[[#This Row],[Mes]],Tabla6[#Headers],0)))*(1+Catalogos!$L$2)</f>
        <v>#N/A</v>
      </c>
      <c r="N5965" s="283" t="e">
        <f>+(Tabla4[[#This Row],[Precio Descontado]]-Tabla4[[#This Row],[Precio Base]])*Tabla4[[#This Row],[Cantidad]]</f>
        <v>#N/A</v>
      </c>
      <c r="O5965" s="284" t="e">
        <f>++Tabla4[[#This Row],[Utilidad Total]]/Tabla4[[#This Row],[Total]]</f>
        <v>#N/A</v>
      </c>
      <c r="P5965" s="282">
        <f>++Tabla4[[#This Row],[Precio Descontado]]*Tabla4[[#This Row],[Cantidad]]</f>
        <v>1936.7704229999997</v>
      </c>
      <c r="Q5965" s="282" t="e">
        <f>(INDEX(Tabla6[#All],MATCH(Tabla4[[#This Row],[Producto]],Tabla6[[#All],[PRODUCTO]],0),MATCH(Tabla4[[#This Row],[Mes]],Tabla6[#Headers],0)))</f>
        <v>#N/A</v>
      </c>
      <c r="R5965" s="282" t="e">
        <f>++Tabla4[[#This Row],[Precio Unitario Neto]]-Tabla4[[#This Row],[20.85%]]-Tabla4[[#This Row],[Costo]]</f>
        <v>#N/A</v>
      </c>
      <c r="S5965" s="282" t="e">
        <f>++Tabla4[[#This Row],[U. Bruta Uni]]*Tabla4[[#This Row],[Cantidad]]</f>
        <v>#N/A</v>
      </c>
      <c r="T5965" s="369" t="str">
        <f>VLOOKUP(Tabla4[[#This Row],[Producto]],Tabla6[#All],14,FALSE)</f>
        <v>Termico Solar</v>
      </c>
      <c r="U5965" s="284" t="e">
        <f>(IF(Tabla4[[#This Row],[Familia]]="termico solar",Tabla4[[#This Row],[Utilidad Total]]*6%,Tabla4[[#This Row],[Utilidad Total]]*11.5%))/Tabla4[[#This Row],[Total]]</f>
        <v>#N/A</v>
      </c>
      <c r="V5965" s="282" t="e">
        <f>+Tabla4[[#This Row],[Comisión Calculada]]*Tabla4[[#This Row],[Total]]</f>
        <v>#N/A</v>
      </c>
    </row>
    <row r="5966" spans="1:22" hidden="1" x14ac:dyDescent="0.25">
      <c r="A5966" s="100">
        <v>45930</v>
      </c>
      <c r="B5966" t="str">
        <f t="shared" si="281"/>
        <v>September</v>
      </c>
      <c r="C5966" s="46" t="s">
        <v>280</v>
      </c>
      <c r="F5966" s="366" t="s">
        <v>3063</v>
      </c>
      <c r="G5966" s="46" t="s">
        <v>208</v>
      </c>
      <c r="H5966" s="46">
        <v>2</v>
      </c>
      <c r="I5966" s="51">
        <v>189.75</v>
      </c>
      <c r="J5966" s="281">
        <f>++Tabla4[[#This Row],[Precio Bruto]]*1.16</f>
        <v>220.10999999999999</v>
      </c>
      <c r="K5966" s="281">
        <f>+Tabla4[[#This Row],[Precio Unitario Neto]]*Tabla4[[#Headers],[20.85%]]</f>
        <v>45.892934999999994</v>
      </c>
      <c r="L5966" s="282">
        <f>++Tabla4[[#This Row],[Precio Unitario Neto]]-Tabla4[[#This Row],[20.85%]]</f>
        <v>174.21706499999999</v>
      </c>
      <c r="M5966" s="282" t="e">
        <f>(INDEX(Tabla6[#All],MATCH(Tabla4[[#This Row],[Producto]],Tabla6[[#All],[PRODUCTO]],0),MATCH(Tabla4[[#This Row],[Mes]],Tabla6[#Headers],0)))*(1+Catalogos!$L$2)</f>
        <v>#N/A</v>
      </c>
      <c r="N5966" s="283" t="e">
        <f>+(Tabla4[[#This Row],[Precio Descontado]]-Tabla4[[#This Row],[Precio Base]])*Tabla4[[#This Row],[Cantidad]]</f>
        <v>#N/A</v>
      </c>
      <c r="O5966" s="284" t="e">
        <f>++Tabla4[[#This Row],[Utilidad Total]]/Tabla4[[#This Row],[Total]]</f>
        <v>#N/A</v>
      </c>
      <c r="P5966" s="282">
        <f>++Tabla4[[#This Row],[Precio Descontado]]*Tabla4[[#This Row],[Cantidad]]</f>
        <v>348.43412999999998</v>
      </c>
      <c r="Q5966" s="282" t="e">
        <f>(INDEX(Tabla6[#All],MATCH(Tabla4[[#This Row],[Producto]],Tabla6[[#All],[PRODUCTO]],0),MATCH(Tabla4[[#This Row],[Mes]],Tabla6[#Headers],0)))</f>
        <v>#N/A</v>
      </c>
      <c r="R5966" s="282" t="e">
        <f>++Tabla4[[#This Row],[Precio Unitario Neto]]-Tabla4[[#This Row],[20.85%]]-Tabla4[[#This Row],[Costo]]</f>
        <v>#N/A</v>
      </c>
      <c r="S5966" s="282" t="e">
        <f>++Tabla4[[#This Row],[U. Bruta Uni]]*Tabla4[[#This Row],[Cantidad]]</f>
        <v>#N/A</v>
      </c>
      <c r="T5966" s="369" t="str">
        <f>VLOOKUP(Tabla4[[#This Row],[Producto]],Tabla6[#All],14,FALSE)</f>
        <v>Termico Solar</v>
      </c>
      <c r="U5966" s="284" t="e">
        <f>(IF(Tabla4[[#This Row],[Familia]]="termico solar",Tabla4[[#This Row],[Utilidad Total]]*6%,Tabla4[[#This Row],[Utilidad Total]]*11.5%))/Tabla4[[#This Row],[Total]]</f>
        <v>#N/A</v>
      </c>
      <c r="V5966" s="282" t="e">
        <f>+Tabla4[[#This Row],[Comisión Calculada]]*Tabla4[[#This Row],[Total]]</f>
        <v>#N/A</v>
      </c>
    </row>
    <row r="5967" spans="1:22" hidden="1" x14ac:dyDescent="0.25">
      <c r="A5967" s="100">
        <v>45930</v>
      </c>
      <c r="B5967" t="str">
        <f t="shared" si="281"/>
        <v>September</v>
      </c>
      <c r="C5967" s="46" t="s">
        <v>280</v>
      </c>
      <c r="F5967" s="366" t="s">
        <v>3064</v>
      </c>
      <c r="G5967" s="46" t="s">
        <v>18</v>
      </c>
      <c r="H5967" s="46">
        <v>1</v>
      </c>
      <c r="I5967" s="51">
        <v>5367.65</v>
      </c>
      <c r="J5967" s="281">
        <f>++Tabla4[[#This Row],[Precio Bruto]]*1.16</f>
        <v>6226.4739999999993</v>
      </c>
      <c r="K5967" s="281">
        <f>+Tabla4[[#This Row],[Precio Unitario Neto]]*Tabla4[[#Headers],[20.85%]]</f>
        <v>1298.2198289999999</v>
      </c>
      <c r="L5967" s="282">
        <f>++Tabla4[[#This Row],[Precio Unitario Neto]]-Tabla4[[#This Row],[20.85%]]</f>
        <v>4928.2541709999996</v>
      </c>
      <c r="M5967" s="282" t="e">
        <f>(INDEX(Tabla6[#All],MATCH(Tabla4[[#This Row],[Producto]],Tabla6[[#All],[PRODUCTO]],0),MATCH(Tabla4[[#This Row],[Mes]],Tabla6[#Headers],0)))*(1+Catalogos!$L$2)</f>
        <v>#N/A</v>
      </c>
      <c r="N5967" s="283" t="e">
        <f>+(Tabla4[[#This Row],[Precio Descontado]]-Tabla4[[#This Row],[Precio Base]])*Tabla4[[#This Row],[Cantidad]]</f>
        <v>#N/A</v>
      </c>
      <c r="O5967" s="284" t="e">
        <f>++Tabla4[[#This Row],[Utilidad Total]]/Tabla4[[#This Row],[Total]]</f>
        <v>#N/A</v>
      </c>
      <c r="P5967" s="282">
        <f>++Tabla4[[#This Row],[Precio Descontado]]*Tabla4[[#This Row],[Cantidad]]</f>
        <v>4928.2541709999996</v>
      </c>
      <c r="Q5967" s="282" t="e">
        <f>(INDEX(Tabla6[#All],MATCH(Tabla4[[#This Row],[Producto]],Tabla6[[#All],[PRODUCTO]],0),MATCH(Tabla4[[#This Row],[Mes]],Tabla6[#Headers],0)))</f>
        <v>#N/A</v>
      </c>
      <c r="R5967" s="282" t="e">
        <f>++Tabla4[[#This Row],[Precio Unitario Neto]]-Tabla4[[#This Row],[20.85%]]-Tabla4[[#This Row],[Costo]]</f>
        <v>#N/A</v>
      </c>
      <c r="S5967" s="282" t="e">
        <f>++Tabla4[[#This Row],[U. Bruta Uni]]*Tabla4[[#This Row],[Cantidad]]</f>
        <v>#N/A</v>
      </c>
      <c r="T5967" s="369" t="str">
        <f>VLOOKUP(Tabla4[[#This Row],[Producto]],Tabla6[#All],14,FALSE)</f>
        <v>Termico Solar</v>
      </c>
      <c r="U5967" s="284" t="e">
        <f>(IF(Tabla4[[#This Row],[Familia]]="termico solar",Tabla4[[#This Row],[Utilidad Total]]*6%,Tabla4[[#This Row],[Utilidad Total]]*11.5%))/Tabla4[[#This Row],[Total]]</f>
        <v>#N/A</v>
      </c>
      <c r="V5967" s="282" t="e">
        <f>+Tabla4[[#This Row],[Comisión Calculada]]*Tabla4[[#This Row],[Total]]</f>
        <v>#N/A</v>
      </c>
    </row>
    <row r="5968" spans="1:22" hidden="1" x14ac:dyDescent="0.25">
      <c r="A5968" s="100">
        <v>45930</v>
      </c>
      <c r="B5968" t="str">
        <f t="shared" si="281"/>
        <v>September</v>
      </c>
      <c r="C5968" s="46" t="s">
        <v>280</v>
      </c>
      <c r="F5968" s="366" t="s">
        <v>3064</v>
      </c>
      <c r="G5968" s="46" t="s">
        <v>208</v>
      </c>
      <c r="H5968" s="46">
        <v>1</v>
      </c>
      <c r="I5968" s="51">
        <v>189.75</v>
      </c>
      <c r="J5968" s="281">
        <f>++Tabla4[[#This Row],[Precio Bruto]]*1.16</f>
        <v>220.10999999999999</v>
      </c>
      <c r="K5968" s="281">
        <f>+Tabla4[[#This Row],[Precio Unitario Neto]]*Tabla4[[#Headers],[20.85%]]</f>
        <v>45.892934999999994</v>
      </c>
      <c r="L5968" s="282">
        <f>++Tabla4[[#This Row],[Precio Unitario Neto]]-Tabla4[[#This Row],[20.85%]]</f>
        <v>174.21706499999999</v>
      </c>
      <c r="M5968" s="282" t="e">
        <f>(INDEX(Tabla6[#All],MATCH(Tabla4[[#This Row],[Producto]],Tabla6[[#All],[PRODUCTO]],0),MATCH(Tabla4[[#This Row],[Mes]],Tabla6[#Headers],0)))*(1+Catalogos!$L$2)</f>
        <v>#N/A</v>
      </c>
      <c r="N5968" s="283" t="e">
        <f>+(Tabla4[[#This Row],[Precio Descontado]]-Tabla4[[#This Row],[Precio Base]])*Tabla4[[#This Row],[Cantidad]]</f>
        <v>#N/A</v>
      </c>
      <c r="O5968" s="284" t="e">
        <f>++Tabla4[[#This Row],[Utilidad Total]]/Tabla4[[#This Row],[Total]]</f>
        <v>#N/A</v>
      </c>
      <c r="P5968" s="282">
        <f>++Tabla4[[#This Row],[Precio Descontado]]*Tabla4[[#This Row],[Cantidad]]</f>
        <v>174.21706499999999</v>
      </c>
      <c r="Q5968" s="282" t="e">
        <f>(INDEX(Tabla6[#All],MATCH(Tabla4[[#This Row],[Producto]],Tabla6[[#All],[PRODUCTO]],0),MATCH(Tabla4[[#This Row],[Mes]],Tabla6[#Headers],0)))</f>
        <v>#N/A</v>
      </c>
      <c r="R5968" s="282" t="e">
        <f>++Tabla4[[#This Row],[Precio Unitario Neto]]-Tabla4[[#This Row],[20.85%]]-Tabla4[[#This Row],[Costo]]</f>
        <v>#N/A</v>
      </c>
      <c r="S5968" s="282" t="e">
        <f>++Tabla4[[#This Row],[U. Bruta Uni]]*Tabla4[[#This Row],[Cantidad]]</f>
        <v>#N/A</v>
      </c>
      <c r="T5968" s="369" t="str">
        <f>VLOOKUP(Tabla4[[#This Row],[Producto]],Tabla6[#All],14,FALSE)</f>
        <v>Termico Solar</v>
      </c>
      <c r="U5968" s="284" t="e">
        <f>(IF(Tabla4[[#This Row],[Familia]]="termico solar",Tabla4[[#This Row],[Utilidad Total]]*6%,Tabla4[[#This Row],[Utilidad Total]]*11.5%))/Tabla4[[#This Row],[Total]]</f>
        <v>#N/A</v>
      </c>
      <c r="V5968" s="282" t="e">
        <f>+Tabla4[[#This Row],[Comisión Calculada]]*Tabla4[[#This Row],[Total]]</f>
        <v>#N/A</v>
      </c>
    </row>
    <row r="5969" spans="1:22" hidden="1" x14ac:dyDescent="0.25">
      <c r="A5969" s="100">
        <v>45930</v>
      </c>
      <c r="B5969" t="str">
        <f t="shared" si="281"/>
        <v>September</v>
      </c>
      <c r="C5969" s="46" t="s">
        <v>280</v>
      </c>
      <c r="F5969" s="366" t="s">
        <v>3065</v>
      </c>
      <c r="G5969" s="46" t="s">
        <v>17</v>
      </c>
      <c r="H5969" s="46">
        <v>1</v>
      </c>
      <c r="I5969" s="51">
        <v>4622.28</v>
      </c>
      <c r="J5969" s="281">
        <f>++Tabla4[[#This Row],[Precio Bruto]]*1.16</f>
        <v>5361.8447999999989</v>
      </c>
      <c r="K5969" s="281">
        <f>+Tabla4[[#This Row],[Precio Unitario Neto]]*Tabla4[[#Headers],[20.85%]]</f>
        <v>1117.9446407999997</v>
      </c>
      <c r="L5969" s="282">
        <f>++Tabla4[[#This Row],[Precio Unitario Neto]]-Tabla4[[#This Row],[20.85%]]</f>
        <v>4243.9001591999995</v>
      </c>
      <c r="M5969" s="282" t="e">
        <f>(INDEX(Tabla6[#All],MATCH(Tabla4[[#This Row],[Producto]],Tabla6[[#All],[PRODUCTO]],0),MATCH(Tabla4[[#This Row],[Mes]],Tabla6[#Headers],0)))*(1+Catalogos!$L$2)</f>
        <v>#N/A</v>
      </c>
      <c r="N5969" s="283" t="e">
        <f>+(Tabla4[[#This Row],[Precio Descontado]]-Tabla4[[#This Row],[Precio Base]])*Tabla4[[#This Row],[Cantidad]]</f>
        <v>#N/A</v>
      </c>
      <c r="O5969" s="284" t="e">
        <f>++Tabla4[[#This Row],[Utilidad Total]]/Tabla4[[#This Row],[Total]]</f>
        <v>#N/A</v>
      </c>
      <c r="P5969" s="282">
        <f>++Tabla4[[#This Row],[Precio Descontado]]*Tabla4[[#This Row],[Cantidad]]</f>
        <v>4243.9001591999995</v>
      </c>
      <c r="Q5969" s="282" t="e">
        <f>(INDEX(Tabla6[#All],MATCH(Tabla4[[#This Row],[Producto]],Tabla6[[#All],[PRODUCTO]],0),MATCH(Tabla4[[#This Row],[Mes]],Tabla6[#Headers],0)))</f>
        <v>#N/A</v>
      </c>
      <c r="R5969" s="282" t="e">
        <f>++Tabla4[[#This Row],[Precio Unitario Neto]]-Tabla4[[#This Row],[20.85%]]-Tabla4[[#This Row],[Costo]]</f>
        <v>#N/A</v>
      </c>
      <c r="S5969" s="282" t="e">
        <f>++Tabla4[[#This Row],[U. Bruta Uni]]*Tabla4[[#This Row],[Cantidad]]</f>
        <v>#N/A</v>
      </c>
      <c r="T5969" s="369" t="str">
        <f>VLOOKUP(Tabla4[[#This Row],[Producto]],Tabla6[#All],14,FALSE)</f>
        <v>Termico Solar</v>
      </c>
      <c r="U5969" s="284" t="e">
        <f>(IF(Tabla4[[#This Row],[Familia]]="termico solar",Tabla4[[#This Row],[Utilidad Total]]*6%,Tabla4[[#This Row],[Utilidad Total]]*11.5%))/Tabla4[[#This Row],[Total]]</f>
        <v>#N/A</v>
      </c>
      <c r="V5969" s="282" t="e">
        <f>+Tabla4[[#This Row],[Comisión Calculada]]*Tabla4[[#This Row],[Total]]</f>
        <v>#N/A</v>
      </c>
    </row>
    <row r="5970" spans="1:22" hidden="1" x14ac:dyDescent="0.25">
      <c r="A5970" s="100">
        <v>45930</v>
      </c>
      <c r="B5970" t="str">
        <f t="shared" si="281"/>
        <v>September</v>
      </c>
      <c r="C5970" s="46" t="s">
        <v>280</v>
      </c>
      <c r="F5970" s="366" t="s">
        <v>3066</v>
      </c>
      <c r="G5970" s="46" t="s">
        <v>18</v>
      </c>
      <c r="H5970" s="46">
        <v>1</v>
      </c>
      <c r="I5970" s="51">
        <v>5367.65</v>
      </c>
      <c r="J5970" s="281">
        <f>++Tabla4[[#This Row],[Precio Bruto]]*1.16</f>
        <v>6226.4739999999993</v>
      </c>
      <c r="K5970" s="281">
        <f>+Tabla4[[#This Row],[Precio Unitario Neto]]*Tabla4[[#Headers],[20.85%]]</f>
        <v>1298.2198289999999</v>
      </c>
      <c r="L5970" s="282">
        <f>++Tabla4[[#This Row],[Precio Unitario Neto]]-Tabla4[[#This Row],[20.85%]]</f>
        <v>4928.2541709999996</v>
      </c>
      <c r="M5970" s="282" t="e">
        <f>(INDEX(Tabla6[#All],MATCH(Tabla4[[#This Row],[Producto]],Tabla6[[#All],[PRODUCTO]],0),MATCH(Tabla4[[#This Row],[Mes]],Tabla6[#Headers],0)))*(1+Catalogos!$L$2)</f>
        <v>#N/A</v>
      </c>
      <c r="N5970" s="283" t="e">
        <f>+(Tabla4[[#This Row],[Precio Descontado]]-Tabla4[[#This Row],[Precio Base]])*Tabla4[[#This Row],[Cantidad]]</f>
        <v>#N/A</v>
      </c>
      <c r="O5970" s="284" t="e">
        <f>++Tabla4[[#This Row],[Utilidad Total]]/Tabla4[[#This Row],[Total]]</f>
        <v>#N/A</v>
      </c>
      <c r="P5970" s="282">
        <f>++Tabla4[[#This Row],[Precio Descontado]]*Tabla4[[#This Row],[Cantidad]]</f>
        <v>4928.2541709999996</v>
      </c>
      <c r="Q5970" s="282" t="e">
        <f>(INDEX(Tabla6[#All],MATCH(Tabla4[[#This Row],[Producto]],Tabla6[[#All],[PRODUCTO]],0),MATCH(Tabla4[[#This Row],[Mes]],Tabla6[#Headers],0)))</f>
        <v>#N/A</v>
      </c>
      <c r="R5970" s="282" t="e">
        <f>++Tabla4[[#This Row],[Precio Unitario Neto]]-Tabla4[[#This Row],[20.85%]]-Tabla4[[#This Row],[Costo]]</f>
        <v>#N/A</v>
      </c>
      <c r="S5970" s="282" t="e">
        <f>++Tabla4[[#This Row],[U. Bruta Uni]]*Tabla4[[#This Row],[Cantidad]]</f>
        <v>#N/A</v>
      </c>
      <c r="T5970" s="369" t="str">
        <f>VLOOKUP(Tabla4[[#This Row],[Producto]],Tabla6[#All],14,FALSE)</f>
        <v>Termico Solar</v>
      </c>
      <c r="U5970" s="284" t="e">
        <f>(IF(Tabla4[[#This Row],[Familia]]="termico solar",Tabla4[[#This Row],[Utilidad Total]]*6%,Tabla4[[#This Row],[Utilidad Total]]*11.5%))/Tabla4[[#This Row],[Total]]</f>
        <v>#N/A</v>
      </c>
      <c r="V5970" s="282" t="e">
        <f>+Tabla4[[#This Row],[Comisión Calculada]]*Tabla4[[#This Row],[Total]]</f>
        <v>#N/A</v>
      </c>
    </row>
    <row r="5971" spans="1:22" hidden="1" x14ac:dyDescent="0.25">
      <c r="A5971" s="100">
        <v>45930</v>
      </c>
      <c r="B5971" t="str">
        <f t="shared" si="281"/>
        <v>September</v>
      </c>
      <c r="C5971" s="46" t="s">
        <v>280</v>
      </c>
      <c r="F5971" s="366" t="s">
        <v>3066</v>
      </c>
      <c r="G5971" s="46" t="s">
        <v>566</v>
      </c>
      <c r="H5971" s="46">
        <v>1</v>
      </c>
      <c r="I5971" s="51">
        <v>2109.4499999999998</v>
      </c>
      <c r="J5971" s="281">
        <f>++Tabla4[[#This Row],[Precio Bruto]]*1.16</f>
        <v>2446.9619999999995</v>
      </c>
      <c r="K5971" s="281">
        <f>+Tabla4[[#This Row],[Precio Unitario Neto]]*Tabla4[[#Headers],[20.85%]]</f>
        <v>510.19157699999988</v>
      </c>
      <c r="L5971" s="282">
        <f>++Tabla4[[#This Row],[Precio Unitario Neto]]-Tabla4[[#This Row],[20.85%]]</f>
        <v>1936.7704229999997</v>
      </c>
      <c r="M5971" s="282" t="e">
        <f>(INDEX(Tabla6[#All],MATCH(Tabla4[[#This Row],[Producto]],Tabla6[[#All],[PRODUCTO]],0),MATCH(Tabla4[[#This Row],[Mes]],Tabla6[#Headers],0)))*(1+Catalogos!$L$2)</f>
        <v>#N/A</v>
      </c>
      <c r="N5971" s="283" t="e">
        <f>+(Tabla4[[#This Row],[Precio Descontado]]-Tabla4[[#This Row],[Precio Base]])*Tabla4[[#This Row],[Cantidad]]</f>
        <v>#N/A</v>
      </c>
      <c r="O5971" s="284" t="e">
        <f>++Tabla4[[#This Row],[Utilidad Total]]/Tabla4[[#This Row],[Total]]</f>
        <v>#N/A</v>
      </c>
      <c r="P5971" s="282">
        <f>++Tabla4[[#This Row],[Precio Descontado]]*Tabla4[[#This Row],[Cantidad]]</f>
        <v>1936.7704229999997</v>
      </c>
      <c r="Q5971" s="282" t="e">
        <f>(INDEX(Tabla6[#All],MATCH(Tabla4[[#This Row],[Producto]],Tabla6[[#All],[PRODUCTO]],0),MATCH(Tabla4[[#This Row],[Mes]],Tabla6[#Headers],0)))</f>
        <v>#N/A</v>
      </c>
      <c r="R5971" s="282" t="e">
        <f>++Tabla4[[#This Row],[Precio Unitario Neto]]-Tabla4[[#This Row],[20.85%]]-Tabla4[[#This Row],[Costo]]</f>
        <v>#N/A</v>
      </c>
      <c r="S5971" s="282" t="e">
        <f>++Tabla4[[#This Row],[U. Bruta Uni]]*Tabla4[[#This Row],[Cantidad]]</f>
        <v>#N/A</v>
      </c>
      <c r="T5971" s="369" t="str">
        <f>VLOOKUP(Tabla4[[#This Row],[Producto]],Tabla6[#All],14,FALSE)</f>
        <v>Termico Solar</v>
      </c>
      <c r="U5971" s="284" t="e">
        <f>(IF(Tabla4[[#This Row],[Familia]]="termico solar",Tabla4[[#This Row],[Utilidad Total]]*6%,Tabla4[[#This Row],[Utilidad Total]]*11.5%))/Tabla4[[#This Row],[Total]]</f>
        <v>#N/A</v>
      </c>
      <c r="V5971" s="282" t="e">
        <f>+Tabla4[[#This Row],[Comisión Calculada]]*Tabla4[[#This Row],[Total]]</f>
        <v>#N/A</v>
      </c>
    </row>
    <row r="5972" spans="1:22" hidden="1" x14ac:dyDescent="0.25">
      <c r="A5972" s="100">
        <v>45930</v>
      </c>
      <c r="B5972" t="str">
        <f t="shared" si="281"/>
        <v>September</v>
      </c>
      <c r="C5972" s="46" t="s">
        <v>280</v>
      </c>
      <c r="F5972" s="366" t="s">
        <v>3067</v>
      </c>
      <c r="G5972" s="46" t="s">
        <v>17</v>
      </c>
      <c r="H5972" s="46">
        <v>3</v>
      </c>
      <c r="I5972" s="51">
        <v>4622.28</v>
      </c>
      <c r="J5972" s="281">
        <f>++Tabla4[[#This Row],[Precio Bruto]]*1.16</f>
        <v>5361.8447999999989</v>
      </c>
      <c r="K5972" s="281">
        <f>+Tabla4[[#This Row],[Precio Unitario Neto]]*Tabla4[[#Headers],[20.85%]]</f>
        <v>1117.9446407999997</v>
      </c>
      <c r="L5972" s="282">
        <f>++Tabla4[[#This Row],[Precio Unitario Neto]]-Tabla4[[#This Row],[20.85%]]</f>
        <v>4243.9001591999995</v>
      </c>
      <c r="M5972" s="282" t="e">
        <f>(INDEX(Tabla6[#All],MATCH(Tabla4[[#This Row],[Producto]],Tabla6[[#All],[PRODUCTO]],0),MATCH(Tabla4[[#This Row],[Mes]],Tabla6[#Headers],0)))*(1+Catalogos!$L$2)</f>
        <v>#N/A</v>
      </c>
      <c r="N5972" s="283" t="e">
        <f>+(Tabla4[[#This Row],[Precio Descontado]]-Tabla4[[#This Row],[Precio Base]])*Tabla4[[#This Row],[Cantidad]]</f>
        <v>#N/A</v>
      </c>
      <c r="O5972" s="284" t="e">
        <f>++Tabla4[[#This Row],[Utilidad Total]]/Tabla4[[#This Row],[Total]]</f>
        <v>#N/A</v>
      </c>
      <c r="P5972" s="282">
        <f>++Tabla4[[#This Row],[Precio Descontado]]*Tabla4[[#This Row],[Cantidad]]</f>
        <v>12731.700477599999</v>
      </c>
      <c r="Q5972" s="282" t="e">
        <f>(INDEX(Tabla6[#All],MATCH(Tabla4[[#This Row],[Producto]],Tabla6[[#All],[PRODUCTO]],0),MATCH(Tabla4[[#This Row],[Mes]],Tabla6[#Headers],0)))</f>
        <v>#N/A</v>
      </c>
      <c r="R5972" s="282" t="e">
        <f>++Tabla4[[#This Row],[Precio Unitario Neto]]-Tabla4[[#This Row],[20.85%]]-Tabla4[[#This Row],[Costo]]</f>
        <v>#N/A</v>
      </c>
      <c r="S5972" s="282" t="e">
        <f>++Tabla4[[#This Row],[U. Bruta Uni]]*Tabla4[[#This Row],[Cantidad]]</f>
        <v>#N/A</v>
      </c>
      <c r="T5972" s="369" t="str">
        <f>VLOOKUP(Tabla4[[#This Row],[Producto]],Tabla6[#All],14,FALSE)</f>
        <v>Termico Solar</v>
      </c>
      <c r="U5972" s="284" t="e">
        <f>(IF(Tabla4[[#This Row],[Familia]]="termico solar",Tabla4[[#This Row],[Utilidad Total]]*6%,Tabla4[[#This Row],[Utilidad Total]]*11.5%))/Tabla4[[#This Row],[Total]]</f>
        <v>#N/A</v>
      </c>
      <c r="V5972" s="282" t="e">
        <f>+Tabla4[[#This Row],[Comisión Calculada]]*Tabla4[[#This Row],[Total]]</f>
        <v>#N/A</v>
      </c>
    </row>
    <row r="5973" spans="1:22" hidden="1" x14ac:dyDescent="0.25">
      <c r="A5973" s="100">
        <v>45930</v>
      </c>
      <c r="B5973" t="str">
        <f t="shared" si="281"/>
        <v>September</v>
      </c>
      <c r="C5973" s="46" t="s">
        <v>280</v>
      </c>
      <c r="F5973" s="366" t="s">
        <v>3067</v>
      </c>
      <c r="G5973" s="46" t="s">
        <v>18</v>
      </c>
      <c r="H5973" s="46">
        <v>3</v>
      </c>
      <c r="I5973" s="51">
        <v>5367.6500000000005</v>
      </c>
      <c r="J5973" s="281">
        <f>++Tabla4[[#This Row],[Precio Bruto]]*1.16</f>
        <v>6226.4740000000002</v>
      </c>
      <c r="K5973" s="281">
        <f>+Tabla4[[#This Row],[Precio Unitario Neto]]*Tabla4[[#Headers],[20.85%]]</f>
        <v>1298.2198289999999</v>
      </c>
      <c r="L5973" s="282">
        <f>++Tabla4[[#This Row],[Precio Unitario Neto]]-Tabla4[[#This Row],[20.85%]]</f>
        <v>4928.2541710000005</v>
      </c>
      <c r="M5973" s="282" t="e">
        <f>(INDEX(Tabla6[#All],MATCH(Tabla4[[#This Row],[Producto]],Tabla6[[#All],[PRODUCTO]],0),MATCH(Tabla4[[#This Row],[Mes]],Tabla6[#Headers],0)))*(1+Catalogos!$L$2)</f>
        <v>#N/A</v>
      </c>
      <c r="N5973" s="283" t="e">
        <f>+(Tabla4[[#This Row],[Precio Descontado]]-Tabla4[[#This Row],[Precio Base]])*Tabla4[[#This Row],[Cantidad]]</f>
        <v>#N/A</v>
      </c>
      <c r="O5973" s="284" t="e">
        <f>++Tabla4[[#This Row],[Utilidad Total]]/Tabla4[[#This Row],[Total]]</f>
        <v>#N/A</v>
      </c>
      <c r="P5973" s="282">
        <f>++Tabla4[[#This Row],[Precio Descontado]]*Tabla4[[#This Row],[Cantidad]]</f>
        <v>14784.762513000001</v>
      </c>
      <c r="Q5973" s="282" t="e">
        <f>(INDEX(Tabla6[#All],MATCH(Tabla4[[#This Row],[Producto]],Tabla6[[#All],[PRODUCTO]],0),MATCH(Tabla4[[#This Row],[Mes]],Tabla6[#Headers],0)))</f>
        <v>#N/A</v>
      </c>
      <c r="R5973" s="282" t="e">
        <f>++Tabla4[[#This Row],[Precio Unitario Neto]]-Tabla4[[#This Row],[20.85%]]-Tabla4[[#This Row],[Costo]]</f>
        <v>#N/A</v>
      </c>
      <c r="S5973" s="282" t="e">
        <f>++Tabla4[[#This Row],[U. Bruta Uni]]*Tabla4[[#This Row],[Cantidad]]</f>
        <v>#N/A</v>
      </c>
      <c r="T5973" s="369" t="str">
        <f>VLOOKUP(Tabla4[[#This Row],[Producto]],Tabla6[#All],14,FALSE)</f>
        <v>Termico Solar</v>
      </c>
      <c r="U5973" s="284" t="e">
        <f>(IF(Tabla4[[#This Row],[Familia]]="termico solar",Tabla4[[#This Row],[Utilidad Total]]*6%,Tabla4[[#This Row],[Utilidad Total]]*11.5%))/Tabla4[[#This Row],[Total]]</f>
        <v>#N/A</v>
      </c>
      <c r="V5973" s="282" t="e">
        <f>+Tabla4[[#This Row],[Comisión Calculada]]*Tabla4[[#This Row],[Total]]</f>
        <v>#N/A</v>
      </c>
    </row>
    <row r="5974" spans="1:22" hidden="1" x14ac:dyDescent="0.25">
      <c r="A5974" s="100">
        <v>45930</v>
      </c>
      <c r="B5974" t="str">
        <f t="shared" si="281"/>
        <v>September</v>
      </c>
      <c r="C5974" s="46" t="s">
        <v>280</v>
      </c>
      <c r="F5974" s="366" t="s">
        <v>3068</v>
      </c>
      <c r="G5974" s="46" t="s">
        <v>17</v>
      </c>
      <c r="H5974" s="46">
        <v>1</v>
      </c>
      <c r="I5974" s="51">
        <v>4622.28</v>
      </c>
      <c r="J5974" s="281">
        <f>++Tabla4[[#This Row],[Precio Bruto]]*1.16</f>
        <v>5361.8447999999989</v>
      </c>
      <c r="K5974" s="281">
        <f>+Tabla4[[#This Row],[Precio Unitario Neto]]*Tabla4[[#Headers],[20.85%]]</f>
        <v>1117.9446407999997</v>
      </c>
      <c r="L5974" s="282">
        <f>++Tabla4[[#This Row],[Precio Unitario Neto]]-Tabla4[[#This Row],[20.85%]]</f>
        <v>4243.9001591999995</v>
      </c>
      <c r="M5974" s="282" t="e">
        <f>(INDEX(Tabla6[#All],MATCH(Tabla4[[#This Row],[Producto]],Tabla6[[#All],[PRODUCTO]],0),MATCH(Tabla4[[#This Row],[Mes]],Tabla6[#Headers],0)))*(1+Catalogos!$L$2)</f>
        <v>#N/A</v>
      </c>
      <c r="N5974" s="283" t="e">
        <f>+(Tabla4[[#This Row],[Precio Descontado]]-Tabla4[[#This Row],[Precio Base]])*Tabla4[[#This Row],[Cantidad]]</f>
        <v>#N/A</v>
      </c>
      <c r="O5974" s="284" t="e">
        <f>++Tabla4[[#This Row],[Utilidad Total]]/Tabla4[[#This Row],[Total]]</f>
        <v>#N/A</v>
      </c>
      <c r="P5974" s="282">
        <f>++Tabla4[[#This Row],[Precio Descontado]]*Tabla4[[#This Row],[Cantidad]]</f>
        <v>4243.9001591999995</v>
      </c>
      <c r="Q5974" s="282" t="e">
        <f>(INDEX(Tabla6[#All],MATCH(Tabla4[[#This Row],[Producto]],Tabla6[[#All],[PRODUCTO]],0),MATCH(Tabla4[[#This Row],[Mes]],Tabla6[#Headers],0)))</f>
        <v>#N/A</v>
      </c>
      <c r="R5974" s="282" t="e">
        <f>++Tabla4[[#This Row],[Precio Unitario Neto]]-Tabla4[[#This Row],[20.85%]]-Tabla4[[#This Row],[Costo]]</f>
        <v>#N/A</v>
      </c>
      <c r="S5974" s="282" t="e">
        <f>++Tabla4[[#This Row],[U. Bruta Uni]]*Tabla4[[#This Row],[Cantidad]]</f>
        <v>#N/A</v>
      </c>
      <c r="T5974" s="369" t="str">
        <f>VLOOKUP(Tabla4[[#This Row],[Producto]],Tabla6[#All],14,FALSE)</f>
        <v>Termico Solar</v>
      </c>
      <c r="U5974" s="284" t="e">
        <f>(IF(Tabla4[[#This Row],[Familia]]="termico solar",Tabla4[[#This Row],[Utilidad Total]]*6%,Tabla4[[#This Row],[Utilidad Total]]*11.5%))/Tabla4[[#This Row],[Total]]</f>
        <v>#N/A</v>
      </c>
      <c r="V5974" s="282" t="e">
        <f>+Tabla4[[#This Row],[Comisión Calculada]]*Tabla4[[#This Row],[Total]]</f>
        <v>#N/A</v>
      </c>
    </row>
    <row r="5975" spans="1:22" hidden="1" x14ac:dyDescent="0.25">
      <c r="A5975" s="100">
        <v>45930</v>
      </c>
      <c r="B5975" t="str">
        <f t="shared" si="281"/>
        <v>September</v>
      </c>
      <c r="C5975" s="46" t="s">
        <v>280</v>
      </c>
      <c r="F5975" s="366" t="s">
        <v>3068</v>
      </c>
      <c r="G5975" s="46" t="s">
        <v>16</v>
      </c>
      <c r="H5975" s="46">
        <v>1</v>
      </c>
      <c r="I5975" s="51">
        <v>4103.8500000000004</v>
      </c>
      <c r="J5975" s="281">
        <f>++Tabla4[[#This Row],[Precio Bruto]]*1.16</f>
        <v>4760.4660000000003</v>
      </c>
      <c r="K5975" s="281">
        <f>+Tabla4[[#This Row],[Precio Unitario Neto]]*Tabla4[[#Headers],[20.85%]]</f>
        <v>992.55716100000006</v>
      </c>
      <c r="L5975" s="282">
        <f>++Tabla4[[#This Row],[Precio Unitario Neto]]-Tabla4[[#This Row],[20.85%]]</f>
        <v>3767.9088390000002</v>
      </c>
      <c r="M5975" s="282" t="e">
        <f>(INDEX(Tabla6[#All],MATCH(Tabla4[[#This Row],[Producto]],Tabla6[[#All],[PRODUCTO]],0),MATCH(Tabla4[[#This Row],[Mes]],Tabla6[#Headers],0)))*(1+Catalogos!$L$2)</f>
        <v>#N/A</v>
      </c>
      <c r="N5975" s="283" t="e">
        <f>+(Tabla4[[#This Row],[Precio Descontado]]-Tabla4[[#This Row],[Precio Base]])*Tabla4[[#This Row],[Cantidad]]</f>
        <v>#N/A</v>
      </c>
      <c r="O5975" s="284" t="e">
        <f>++Tabla4[[#This Row],[Utilidad Total]]/Tabla4[[#This Row],[Total]]</f>
        <v>#N/A</v>
      </c>
      <c r="P5975" s="282">
        <f>++Tabla4[[#This Row],[Precio Descontado]]*Tabla4[[#This Row],[Cantidad]]</f>
        <v>3767.9088390000002</v>
      </c>
      <c r="Q5975" s="282" t="e">
        <f>(INDEX(Tabla6[#All],MATCH(Tabla4[[#This Row],[Producto]],Tabla6[[#All],[PRODUCTO]],0),MATCH(Tabla4[[#This Row],[Mes]],Tabla6[#Headers],0)))</f>
        <v>#N/A</v>
      </c>
      <c r="R5975" s="282" t="e">
        <f>++Tabla4[[#This Row],[Precio Unitario Neto]]-Tabla4[[#This Row],[20.85%]]-Tabla4[[#This Row],[Costo]]</f>
        <v>#N/A</v>
      </c>
      <c r="S5975" s="282" t="e">
        <f>++Tabla4[[#This Row],[U. Bruta Uni]]*Tabla4[[#This Row],[Cantidad]]</f>
        <v>#N/A</v>
      </c>
      <c r="T5975" s="369" t="str">
        <f>VLOOKUP(Tabla4[[#This Row],[Producto]],Tabla6[#All],14,FALSE)</f>
        <v>Termico Solar</v>
      </c>
      <c r="U5975" s="284" t="e">
        <f>(IF(Tabla4[[#This Row],[Familia]]="termico solar",Tabla4[[#This Row],[Utilidad Total]]*6%,Tabla4[[#This Row],[Utilidad Total]]*11.5%))/Tabla4[[#This Row],[Total]]</f>
        <v>#N/A</v>
      </c>
      <c r="V5975" s="282" t="e">
        <f>+Tabla4[[#This Row],[Comisión Calculada]]*Tabla4[[#This Row],[Total]]</f>
        <v>#N/A</v>
      </c>
    </row>
    <row r="5976" spans="1:22" hidden="1" x14ac:dyDescent="0.25">
      <c r="A5976" s="100">
        <v>45930</v>
      </c>
      <c r="B5976" t="str">
        <f t="shared" si="281"/>
        <v>September</v>
      </c>
      <c r="C5976" s="46" t="s">
        <v>280</v>
      </c>
      <c r="F5976" s="366" t="s">
        <v>3069</v>
      </c>
      <c r="G5976" s="46" t="s">
        <v>17</v>
      </c>
      <c r="H5976" s="46">
        <v>3</v>
      </c>
      <c r="I5976" s="51">
        <v>4622.28</v>
      </c>
      <c r="J5976" s="281">
        <f>++Tabla4[[#This Row],[Precio Bruto]]*1.16</f>
        <v>5361.8447999999989</v>
      </c>
      <c r="K5976" s="281">
        <f>+Tabla4[[#This Row],[Precio Unitario Neto]]*Tabla4[[#Headers],[20.85%]]</f>
        <v>1117.9446407999997</v>
      </c>
      <c r="L5976" s="282">
        <f>++Tabla4[[#This Row],[Precio Unitario Neto]]-Tabla4[[#This Row],[20.85%]]</f>
        <v>4243.9001591999995</v>
      </c>
      <c r="M5976" s="282" t="e">
        <f>(INDEX(Tabla6[#All],MATCH(Tabla4[[#This Row],[Producto]],Tabla6[[#All],[PRODUCTO]],0),MATCH(Tabla4[[#This Row],[Mes]],Tabla6[#Headers],0)))*(1+Catalogos!$L$2)</f>
        <v>#N/A</v>
      </c>
      <c r="N5976" s="283" t="e">
        <f>+(Tabla4[[#This Row],[Precio Descontado]]-Tabla4[[#This Row],[Precio Base]])*Tabla4[[#This Row],[Cantidad]]</f>
        <v>#N/A</v>
      </c>
      <c r="O5976" s="284" t="e">
        <f>++Tabla4[[#This Row],[Utilidad Total]]/Tabla4[[#This Row],[Total]]</f>
        <v>#N/A</v>
      </c>
      <c r="P5976" s="282">
        <f>++Tabla4[[#This Row],[Precio Descontado]]*Tabla4[[#This Row],[Cantidad]]</f>
        <v>12731.700477599999</v>
      </c>
      <c r="Q5976" s="282" t="e">
        <f>(INDEX(Tabla6[#All],MATCH(Tabla4[[#This Row],[Producto]],Tabla6[[#All],[PRODUCTO]],0),MATCH(Tabla4[[#This Row],[Mes]],Tabla6[#Headers],0)))</f>
        <v>#N/A</v>
      </c>
      <c r="R5976" s="282" t="e">
        <f>++Tabla4[[#This Row],[Precio Unitario Neto]]-Tabla4[[#This Row],[20.85%]]-Tabla4[[#This Row],[Costo]]</f>
        <v>#N/A</v>
      </c>
      <c r="S5976" s="282" t="e">
        <f>++Tabla4[[#This Row],[U. Bruta Uni]]*Tabla4[[#This Row],[Cantidad]]</f>
        <v>#N/A</v>
      </c>
      <c r="T5976" s="369" t="str">
        <f>VLOOKUP(Tabla4[[#This Row],[Producto]],Tabla6[#All],14,FALSE)</f>
        <v>Termico Solar</v>
      </c>
      <c r="U5976" s="284" t="e">
        <f>(IF(Tabla4[[#This Row],[Familia]]="termico solar",Tabla4[[#This Row],[Utilidad Total]]*6%,Tabla4[[#This Row],[Utilidad Total]]*11.5%))/Tabla4[[#This Row],[Total]]</f>
        <v>#N/A</v>
      </c>
      <c r="V5976" s="282" t="e">
        <f>+Tabla4[[#This Row],[Comisión Calculada]]*Tabla4[[#This Row],[Total]]</f>
        <v>#N/A</v>
      </c>
    </row>
    <row r="5977" spans="1:22" hidden="1" x14ac:dyDescent="0.25">
      <c r="A5977" s="100">
        <v>45930</v>
      </c>
      <c r="B5977" t="str">
        <f t="shared" si="281"/>
        <v>September</v>
      </c>
      <c r="C5977" s="46" t="s">
        <v>280</v>
      </c>
      <c r="F5977" s="366" t="s">
        <v>3069</v>
      </c>
      <c r="G5977" s="46" t="s">
        <v>18</v>
      </c>
      <c r="H5977" s="46">
        <v>2</v>
      </c>
      <c r="I5977" s="51">
        <v>5367.65</v>
      </c>
      <c r="J5977" s="281">
        <f>++Tabla4[[#This Row],[Precio Bruto]]*1.16</f>
        <v>6226.4739999999993</v>
      </c>
      <c r="K5977" s="281">
        <f>+Tabla4[[#This Row],[Precio Unitario Neto]]*Tabla4[[#Headers],[20.85%]]</f>
        <v>1298.2198289999999</v>
      </c>
      <c r="L5977" s="282">
        <f>++Tabla4[[#This Row],[Precio Unitario Neto]]-Tabla4[[#This Row],[20.85%]]</f>
        <v>4928.2541709999996</v>
      </c>
      <c r="M5977" s="282" t="e">
        <f>(INDEX(Tabla6[#All],MATCH(Tabla4[[#This Row],[Producto]],Tabla6[[#All],[PRODUCTO]],0),MATCH(Tabla4[[#This Row],[Mes]],Tabla6[#Headers],0)))*(1+Catalogos!$L$2)</f>
        <v>#N/A</v>
      </c>
      <c r="N5977" s="283" t="e">
        <f>+(Tabla4[[#This Row],[Precio Descontado]]-Tabla4[[#This Row],[Precio Base]])*Tabla4[[#This Row],[Cantidad]]</f>
        <v>#N/A</v>
      </c>
      <c r="O5977" s="284" t="e">
        <f>++Tabla4[[#This Row],[Utilidad Total]]/Tabla4[[#This Row],[Total]]</f>
        <v>#N/A</v>
      </c>
      <c r="P5977" s="282">
        <f>++Tabla4[[#This Row],[Precio Descontado]]*Tabla4[[#This Row],[Cantidad]]</f>
        <v>9856.5083419999992</v>
      </c>
      <c r="Q5977" s="282" t="e">
        <f>(INDEX(Tabla6[#All],MATCH(Tabla4[[#This Row],[Producto]],Tabla6[[#All],[PRODUCTO]],0),MATCH(Tabla4[[#This Row],[Mes]],Tabla6[#Headers],0)))</f>
        <v>#N/A</v>
      </c>
      <c r="R5977" s="282" t="e">
        <f>++Tabla4[[#This Row],[Precio Unitario Neto]]-Tabla4[[#This Row],[20.85%]]-Tabla4[[#This Row],[Costo]]</f>
        <v>#N/A</v>
      </c>
      <c r="S5977" s="282" t="e">
        <f>++Tabla4[[#This Row],[U. Bruta Uni]]*Tabla4[[#This Row],[Cantidad]]</f>
        <v>#N/A</v>
      </c>
      <c r="T5977" s="369" t="str">
        <f>VLOOKUP(Tabla4[[#This Row],[Producto]],Tabla6[#All],14,FALSE)</f>
        <v>Termico Solar</v>
      </c>
      <c r="U5977" s="284" t="e">
        <f>(IF(Tabla4[[#This Row],[Familia]]="termico solar",Tabla4[[#This Row],[Utilidad Total]]*6%,Tabla4[[#This Row],[Utilidad Total]]*11.5%))/Tabla4[[#This Row],[Total]]</f>
        <v>#N/A</v>
      </c>
      <c r="V5977" s="282" t="e">
        <f>+Tabla4[[#This Row],[Comisión Calculada]]*Tabla4[[#This Row],[Total]]</f>
        <v>#N/A</v>
      </c>
    </row>
    <row r="5978" spans="1:22" hidden="1" x14ac:dyDescent="0.25">
      <c r="A5978" s="100">
        <v>45930</v>
      </c>
      <c r="B5978" t="str">
        <f t="shared" si="281"/>
        <v>September</v>
      </c>
      <c r="C5978" s="46" t="s">
        <v>280</v>
      </c>
      <c r="F5978" s="366" t="s">
        <v>3069</v>
      </c>
      <c r="G5978" s="46" t="s">
        <v>566</v>
      </c>
      <c r="H5978" s="46">
        <v>1</v>
      </c>
      <c r="I5978" s="51">
        <v>2109.4499999999998</v>
      </c>
      <c r="J5978" s="281">
        <f>++Tabla4[[#This Row],[Precio Bruto]]*1.16</f>
        <v>2446.9619999999995</v>
      </c>
      <c r="K5978" s="281">
        <f>+Tabla4[[#This Row],[Precio Unitario Neto]]*Tabla4[[#Headers],[20.85%]]</f>
        <v>510.19157699999988</v>
      </c>
      <c r="L5978" s="282">
        <f>++Tabla4[[#This Row],[Precio Unitario Neto]]-Tabla4[[#This Row],[20.85%]]</f>
        <v>1936.7704229999997</v>
      </c>
      <c r="M5978" s="282" t="e">
        <f>(INDEX(Tabla6[#All],MATCH(Tabla4[[#This Row],[Producto]],Tabla6[[#All],[PRODUCTO]],0),MATCH(Tabla4[[#This Row],[Mes]],Tabla6[#Headers],0)))*(1+Catalogos!$L$2)</f>
        <v>#N/A</v>
      </c>
      <c r="N5978" s="283" t="e">
        <f>+(Tabla4[[#This Row],[Precio Descontado]]-Tabla4[[#This Row],[Precio Base]])*Tabla4[[#This Row],[Cantidad]]</f>
        <v>#N/A</v>
      </c>
      <c r="O5978" s="284" t="e">
        <f>++Tabla4[[#This Row],[Utilidad Total]]/Tabla4[[#This Row],[Total]]</f>
        <v>#N/A</v>
      </c>
      <c r="P5978" s="282">
        <f>++Tabla4[[#This Row],[Precio Descontado]]*Tabla4[[#This Row],[Cantidad]]</f>
        <v>1936.7704229999997</v>
      </c>
      <c r="Q5978" s="282" t="e">
        <f>(INDEX(Tabla6[#All],MATCH(Tabla4[[#This Row],[Producto]],Tabla6[[#All],[PRODUCTO]],0),MATCH(Tabla4[[#This Row],[Mes]],Tabla6[#Headers],0)))</f>
        <v>#N/A</v>
      </c>
      <c r="R5978" s="282" t="e">
        <f>++Tabla4[[#This Row],[Precio Unitario Neto]]-Tabla4[[#This Row],[20.85%]]-Tabla4[[#This Row],[Costo]]</f>
        <v>#N/A</v>
      </c>
      <c r="S5978" s="282" t="e">
        <f>++Tabla4[[#This Row],[U. Bruta Uni]]*Tabla4[[#This Row],[Cantidad]]</f>
        <v>#N/A</v>
      </c>
      <c r="T5978" s="369" t="str">
        <f>VLOOKUP(Tabla4[[#This Row],[Producto]],Tabla6[#All],14,FALSE)</f>
        <v>Termico Solar</v>
      </c>
      <c r="U5978" s="284" t="e">
        <f>(IF(Tabla4[[#This Row],[Familia]]="termico solar",Tabla4[[#This Row],[Utilidad Total]]*6%,Tabla4[[#This Row],[Utilidad Total]]*11.5%))/Tabla4[[#This Row],[Total]]</f>
        <v>#N/A</v>
      </c>
      <c r="V5978" s="282" t="e">
        <f>+Tabla4[[#This Row],[Comisión Calculada]]*Tabla4[[#This Row],[Total]]</f>
        <v>#N/A</v>
      </c>
    </row>
    <row r="5979" spans="1:22" hidden="1" x14ac:dyDescent="0.25">
      <c r="A5979" s="100">
        <v>45930</v>
      </c>
      <c r="B5979" t="str">
        <f t="shared" si="281"/>
        <v>September</v>
      </c>
      <c r="C5979" s="46" t="s">
        <v>280</v>
      </c>
      <c r="F5979" s="366" t="s">
        <v>3069</v>
      </c>
      <c r="G5979" s="46" t="s">
        <v>16</v>
      </c>
      <c r="H5979" s="46">
        <v>1</v>
      </c>
      <c r="I5979" s="51">
        <v>4103.8500000000004</v>
      </c>
      <c r="J5979" s="281">
        <f>++Tabla4[[#This Row],[Precio Bruto]]*1.16</f>
        <v>4760.4660000000003</v>
      </c>
      <c r="K5979" s="281">
        <f>+Tabla4[[#This Row],[Precio Unitario Neto]]*Tabla4[[#Headers],[20.85%]]</f>
        <v>992.55716100000006</v>
      </c>
      <c r="L5979" s="282">
        <f>++Tabla4[[#This Row],[Precio Unitario Neto]]-Tabla4[[#This Row],[20.85%]]</f>
        <v>3767.9088390000002</v>
      </c>
      <c r="M5979" s="282" t="e">
        <f>(INDEX(Tabla6[#All],MATCH(Tabla4[[#This Row],[Producto]],Tabla6[[#All],[PRODUCTO]],0),MATCH(Tabla4[[#This Row],[Mes]],Tabla6[#Headers],0)))*(1+Catalogos!$L$2)</f>
        <v>#N/A</v>
      </c>
      <c r="N5979" s="283" t="e">
        <f>+(Tabla4[[#This Row],[Precio Descontado]]-Tabla4[[#This Row],[Precio Base]])*Tabla4[[#This Row],[Cantidad]]</f>
        <v>#N/A</v>
      </c>
      <c r="O5979" s="284" t="e">
        <f>++Tabla4[[#This Row],[Utilidad Total]]/Tabla4[[#This Row],[Total]]</f>
        <v>#N/A</v>
      </c>
      <c r="P5979" s="282">
        <f>++Tabla4[[#This Row],[Precio Descontado]]*Tabla4[[#This Row],[Cantidad]]</f>
        <v>3767.9088390000002</v>
      </c>
      <c r="Q5979" s="282" t="e">
        <f>(INDEX(Tabla6[#All],MATCH(Tabla4[[#This Row],[Producto]],Tabla6[[#All],[PRODUCTO]],0),MATCH(Tabla4[[#This Row],[Mes]],Tabla6[#Headers],0)))</f>
        <v>#N/A</v>
      </c>
      <c r="R5979" s="282" t="e">
        <f>++Tabla4[[#This Row],[Precio Unitario Neto]]-Tabla4[[#This Row],[20.85%]]-Tabla4[[#This Row],[Costo]]</f>
        <v>#N/A</v>
      </c>
      <c r="S5979" s="282" t="e">
        <f>++Tabla4[[#This Row],[U. Bruta Uni]]*Tabla4[[#This Row],[Cantidad]]</f>
        <v>#N/A</v>
      </c>
      <c r="T5979" s="369" t="str">
        <f>VLOOKUP(Tabla4[[#This Row],[Producto]],Tabla6[#All],14,FALSE)</f>
        <v>Termico Solar</v>
      </c>
      <c r="U5979" s="284" t="e">
        <f>(IF(Tabla4[[#This Row],[Familia]]="termico solar",Tabla4[[#This Row],[Utilidad Total]]*6%,Tabla4[[#This Row],[Utilidad Total]]*11.5%))/Tabla4[[#This Row],[Total]]</f>
        <v>#N/A</v>
      </c>
      <c r="V5979" s="282" t="e">
        <f>+Tabla4[[#This Row],[Comisión Calculada]]*Tabla4[[#This Row],[Total]]</f>
        <v>#N/A</v>
      </c>
    </row>
    <row r="5980" spans="1:22" hidden="1" x14ac:dyDescent="0.25">
      <c r="A5980" s="100">
        <v>45930</v>
      </c>
      <c r="B5980" t="str">
        <f t="shared" si="281"/>
        <v>September</v>
      </c>
      <c r="C5980" s="46" t="s">
        <v>280</v>
      </c>
      <c r="F5980" s="366" t="s">
        <v>3070</v>
      </c>
      <c r="G5980" s="46" t="s">
        <v>17</v>
      </c>
      <c r="H5980" s="46">
        <v>1</v>
      </c>
      <c r="I5980" s="51">
        <v>4622.28</v>
      </c>
      <c r="J5980" s="281">
        <f>++Tabla4[[#This Row],[Precio Bruto]]*1.16</f>
        <v>5361.8447999999989</v>
      </c>
      <c r="K5980" s="281">
        <f>+Tabla4[[#This Row],[Precio Unitario Neto]]*Tabla4[[#Headers],[20.85%]]</f>
        <v>1117.9446407999997</v>
      </c>
      <c r="L5980" s="282">
        <f>++Tabla4[[#This Row],[Precio Unitario Neto]]-Tabla4[[#This Row],[20.85%]]</f>
        <v>4243.9001591999995</v>
      </c>
      <c r="M5980" s="282" t="e">
        <f>(INDEX(Tabla6[#All],MATCH(Tabla4[[#This Row],[Producto]],Tabla6[[#All],[PRODUCTO]],0),MATCH(Tabla4[[#This Row],[Mes]],Tabla6[#Headers],0)))*(1+Catalogos!$L$2)</f>
        <v>#N/A</v>
      </c>
      <c r="N5980" s="283" t="e">
        <f>+(Tabla4[[#This Row],[Precio Descontado]]-Tabla4[[#This Row],[Precio Base]])*Tabla4[[#This Row],[Cantidad]]</f>
        <v>#N/A</v>
      </c>
      <c r="O5980" s="284" t="e">
        <f>++Tabla4[[#This Row],[Utilidad Total]]/Tabla4[[#This Row],[Total]]</f>
        <v>#N/A</v>
      </c>
      <c r="P5980" s="282">
        <f>++Tabla4[[#This Row],[Precio Descontado]]*Tabla4[[#This Row],[Cantidad]]</f>
        <v>4243.9001591999995</v>
      </c>
      <c r="Q5980" s="282" t="e">
        <f>(INDEX(Tabla6[#All],MATCH(Tabla4[[#This Row],[Producto]],Tabla6[[#All],[PRODUCTO]],0),MATCH(Tabla4[[#This Row],[Mes]],Tabla6[#Headers],0)))</f>
        <v>#N/A</v>
      </c>
      <c r="R5980" s="282" t="e">
        <f>++Tabla4[[#This Row],[Precio Unitario Neto]]-Tabla4[[#This Row],[20.85%]]-Tabla4[[#This Row],[Costo]]</f>
        <v>#N/A</v>
      </c>
      <c r="S5980" s="282" t="e">
        <f>++Tabla4[[#This Row],[U. Bruta Uni]]*Tabla4[[#This Row],[Cantidad]]</f>
        <v>#N/A</v>
      </c>
      <c r="T5980" s="369" t="str">
        <f>VLOOKUP(Tabla4[[#This Row],[Producto]],Tabla6[#All],14,FALSE)</f>
        <v>Termico Solar</v>
      </c>
      <c r="U5980" s="284" t="e">
        <f>(IF(Tabla4[[#This Row],[Familia]]="termico solar",Tabla4[[#This Row],[Utilidad Total]]*6%,Tabla4[[#This Row],[Utilidad Total]]*11.5%))/Tabla4[[#This Row],[Total]]</f>
        <v>#N/A</v>
      </c>
      <c r="V5980" s="282" t="e">
        <f>+Tabla4[[#This Row],[Comisión Calculada]]*Tabla4[[#This Row],[Total]]</f>
        <v>#N/A</v>
      </c>
    </row>
    <row r="5981" spans="1:22" hidden="1" x14ac:dyDescent="0.25">
      <c r="A5981" s="100">
        <v>45930</v>
      </c>
      <c r="B5981" t="str">
        <f t="shared" si="281"/>
        <v>September</v>
      </c>
      <c r="C5981" s="46" t="s">
        <v>280</v>
      </c>
      <c r="F5981" s="366" t="s">
        <v>3070</v>
      </c>
      <c r="G5981" s="46" t="s">
        <v>18</v>
      </c>
      <c r="H5981" s="46">
        <v>2</v>
      </c>
      <c r="I5981" s="51">
        <v>5367.65</v>
      </c>
      <c r="J5981" s="281">
        <f>++Tabla4[[#This Row],[Precio Bruto]]*1.16</f>
        <v>6226.4739999999993</v>
      </c>
      <c r="K5981" s="281">
        <f>+Tabla4[[#This Row],[Precio Unitario Neto]]*Tabla4[[#Headers],[20.85%]]</f>
        <v>1298.2198289999999</v>
      </c>
      <c r="L5981" s="282">
        <f>++Tabla4[[#This Row],[Precio Unitario Neto]]-Tabla4[[#This Row],[20.85%]]</f>
        <v>4928.2541709999996</v>
      </c>
      <c r="M5981" s="282" t="e">
        <f>(INDEX(Tabla6[#All],MATCH(Tabla4[[#This Row],[Producto]],Tabla6[[#All],[PRODUCTO]],0),MATCH(Tabla4[[#This Row],[Mes]],Tabla6[#Headers],0)))*(1+Catalogos!$L$2)</f>
        <v>#N/A</v>
      </c>
      <c r="N5981" s="283" t="e">
        <f>+(Tabla4[[#This Row],[Precio Descontado]]-Tabla4[[#This Row],[Precio Base]])*Tabla4[[#This Row],[Cantidad]]</f>
        <v>#N/A</v>
      </c>
      <c r="O5981" s="284" t="e">
        <f>++Tabla4[[#This Row],[Utilidad Total]]/Tabla4[[#This Row],[Total]]</f>
        <v>#N/A</v>
      </c>
      <c r="P5981" s="282">
        <f>++Tabla4[[#This Row],[Precio Descontado]]*Tabla4[[#This Row],[Cantidad]]</f>
        <v>9856.5083419999992</v>
      </c>
      <c r="Q5981" s="282" t="e">
        <f>(INDEX(Tabla6[#All],MATCH(Tabla4[[#This Row],[Producto]],Tabla6[[#All],[PRODUCTO]],0),MATCH(Tabla4[[#This Row],[Mes]],Tabla6[#Headers],0)))</f>
        <v>#N/A</v>
      </c>
      <c r="R5981" s="282" t="e">
        <f>++Tabla4[[#This Row],[Precio Unitario Neto]]-Tabla4[[#This Row],[20.85%]]-Tabla4[[#This Row],[Costo]]</f>
        <v>#N/A</v>
      </c>
      <c r="S5981" s="282" t="e">
        <f>++Tabla4[[#This Row],[U. Bruta Uni]]*Tabla4[[#This Row],[Cantidad]]</f>
        <v>#N/A</v>
      </c>
      <c r="T5981" s="369" t="str">
        <f>VLOOKUP(Tabla4[[#This Row],[Producto]],Tabla6[#All],14,FALSE)</f>
        <v>Termico Solar</v>
      </c>
      <c r="U5981" s="284" t="e">
        <f>(IF(Tabla4[[#This Row],[Familia]]="termico solar",Tabla4[[#This Row],[Utilidad Total]]*6%,Tabla4[[#This Row],[Utilidad Total]]*11.5%))/Tabla4[[#This Row],[Total]]</f>
        <v>#N/A</v>
      </c>
      <c r="V5981" s="282" t="e">
        <f>+Tabla4[[#This Row],[Comisión Calculada]]*Tabla4[[#This Row],[Total]]</f>
        <v>#N/A</v>
      </c>
    </row>
    <row r="5982" spans="1:22" hidden="1" x14ac:dyDescent="0.25">
      <c r="A5982" s="100">
        <v>45930</v>
      </c>
      <c r="B5982" t="str">
        <f t="shared" si="281"/>
        <v>September</v>
      </c>
      <c r="C5982" s="46" t="s">
        <v>280</v>
      </c>
      <c r="F5982" s="366" t="s">
        <v>3070</v>
      </c>
      <c r="G5982" s="46" t="s">
        <v>16</v>
      </c>
      <c r="H5982" s="46">
        <v>1</v>
      </c>
      <c r="I5982" s="51">
        <v>4103.8500000000004</v>
      </c>
      <c r="J5982" s="281">
        <f>++Tabla4[[#This Row],[Precio Bruto]]*1.16</f>
        <v>4760.4660000000003</v>
      </c>
      <c r="K5982" s="281">
        <f>+Tabla4[[#This Row],[Precio Unitario Neto]]*Tabla4[[#Headers],[20.85%]]</f>
        <v>992.55716100000006</v>
      </c>
      <c r="L5982" s="282">
        <f>++Tabla4[[#This Row],[Precio Unitario Neto]]-Tabla4[[#This Row],[20.85%]]</f>
        <v>3767.9088390000002</v>
      </c>
      <c r="M5982" s="282" t="e">
        <f>(INDEX(Tabla6[#All],MATCH(Tabla4[[#This Row],[Producto]],Tabla6[[#All],[PRODUCTO]],0),MATCH(Tabla4[[#This Row],[Mes]],Tabla6[#Headers],0)))*(1+Catalogos!$L$2)</f>
        <v>#N/A</v>
      </c>
      <c r="N5982" s="283" t="e">
        <f>+(Tabla4[[#This Row],[Precio Descontado]]-Tabla4[[#This Row],[Precio Base]])*Tabla4[[#This Row],[Cantidad]]</f>
        <v>#N/A</v>
      </c>
      <c r="O5982" s="284" t="e">
        <f>++Tabla4[[#This Row],[Utilidad Total]]/Tabla4[[#This Row],[Total]]</f>
        <v>#N/A</v>
      </c>
      <c r="P5982" s="282">
        <f>++Tabla4[[#This Row],[Precio Descontado]]*Tabla4[[#This Row],[Cantidad]]</f>
        <v>3767.9088390000002</v>
      </c>
      <c r="Q5982" s="282" t="e">
        <f>(INDEX(Tabla6[#All],MATCH(Tabla4[[#This Row],[Producto]],Tabla6[[#All],[PRODUCTO]],0),MATCH(Tabla4[[#This Row],[Mes]],Tabla6[#Headers],0)))</f>
        <v>#N/A</v>
      </c>
      <c r="R5982" s="282" t="e">
        <f>++Tabla4[[#This Row],[Precio Unitario Neto]]-Tabla4[[#This Row],[20.85%]]-Tabla4[[#This Row],[Costo]]</f>
        <v>#N/A</v>
      </c>
      <c r="S5982" s="282" t="e">
        <f>++Tabla4[[#This Row],[U. Bruta Uni]]*Tabla4[[#This Row],[Cantidad]]</f>
        <v>#N/A</v>
      </c>
      <c r="T5982" s="369" t="str">
        <f>VLOOKUP(Tabla4[[#This Row],[Producto]],Tabla6[#All],14,FALSE)</f>
        <v>Termico Solar</v>
      </c>
      <c r="U5982" s="284" t="e">
        <f>(IF(Tabla4[[#This Row],[Familia]]="termico solar",Tabla4[[#This Row],[Utilidad Total]]*6%,Tabla4[[#This Row],[Utilidad Total]]*11.5%))/Tabla4[[#This Row],[Total]]</f>
        <v>#N/A</v>
      </c>
      <c r="V5982" s="282" t="e">
        <f>+Tabla4[[#This Row],[Comisión Calculada]]*Tabla4[[#This Row],[Total]]</f>
        <v>#N/A</v>
      </c>
    </row>
    <row r="5983" spans="1:22" hidden="1" x14ac:dyDescent="0.25">
      <c r="A5983" s="100">
        <v>45930</v>
      </c>
      <c r="B5983" t="str">
        <f t="shared" si="281"/>
        <v>September</v>
      </c>
      <c r="C5983" s="46" t="s">
        <v>280</v>
      </c>
      <c r="F5983" s="366" t="s">
        <v>3071</v>
      </c>
      <c r="G5983" s="46" t="s">
        <v>18</v>
      </c>
      <c r="H5983" s="46">
        <v>3</v>
      </c>
      <c r="I5983" s="51">
        <v>5367.6500000000005</v>
      </c>
      <c r="J5983" s="281">
        <f>++Tabla4[[#This Row],[Precio Bruto]]*1.16</f>
        <v>6226.4740000000002</v>
      </c>
      <c r="K5983" s="281">
        <f>+Tabla4[[#This Row],[Precio Unitario Neto]]*Tabla4[[#Headers],[20.85%]]</f>
        <v>1298.2198289999999</v>
      </c>
      <c r="L5983" s="282">
        <f>++Tabla4[[#This Row],[Precio Unitario Neto]]-Tabla4[[#This Row],[20.85%]]</f>
        <v>4928.2541710000005</v>
      </c>
      <c r="M5983" s="282" t="e">
        <f>(INDEX(Tabla6[#All],MATCH(Tabla4[[#This Row],[Producto]],Tabla6[[#All],[PRODUCTO]],0),MATCH(Tabla4[[#This Row],[Mes]],Tabla6[#Headers],0)))*(1+Catalogos!$L$2)</f>
        <v>#N/A</v>
      </c>
      <c r="N5983" s="283" t="e">
        <f>+(Tabla4[[#This Row],[Precio Descontado]]-Tabla4[[#This Row],[Precio Base]])*Tabla4[[#This Row],[Cantidad]]</f>
        <v>#N/A</v>
      </c>
      <c r="O5983" s="284" t="e">
        <f>++Tabla4[[#This Row],[Utilidad Total]]/Tabla4[[#This Row],[Total]]</f>
        <v>#N/A</v>
      </c>
      <c r="P5983" s="282">
        <f>++Tabla4[[#This Row],[Precio Descontado]]*Tabla4[[#This Row],[Cantidad]]</f>
        <v>14784.762513000001</v>
      </c>
      <c r="Q5983" s="282" t="e">
        <f>(INDEX(Tabla6[#All],MATCH(Tabla4[[#This Row],[Producto]],Tabla6[[#All],[PRODUCTO]],0),MATCH(Tabla4[[#This Row],[Mes]],Tabla6[#Headers],0)))</f>
        <v>#N/A</v>
      </c>
      <c r="R5983" s="282" t="e">
        <f>++Tabla4[[#This Row],[Precio Unitario Neto]]-Tabla4[[#This Row],[20.85%]]-Tabla4[[#This Row],[Costo]]</f>
        <v>#N/A</v>
      </c>
      <c r="S5983" s="282" t="e">
        <f>++Tabla4[[#This Row],[U. Bruta Uni]]*Tabla4[[#This Row],[Cantidad]]</f>
        <v>#N/A</v>
      </c>
      <c r="T5983" s="369" t="str">
        <f>VLOOKUP(Tabla4[[#This Row],[Producto]],Tabla6[#All],14,FALSE)</f>
        <v>Termico Solar</v>
      </c>
      <c r="U5983" s="284" t="e">
        <f>(IF(Tabla4[[#This Row],[Familia]]="termico solar",Tabla4[[#This Row],[Utilidad Total]]*6%,Tabla4[[#This Row],[Utilidad Total]]*11.5%))/Tabla4[[#This Row],[Total]]</f>
        <v>#N/A</v>
      </c>
      <c r="V5983" s="282" t="e">
        <f>+Tabla4[[#This Row],[Comisión Calculada]]*Tabla4[[#This Row],[Total]]</f>
        <v>#N/A</v>
      </c>
    </row>
    <row r="5984" spans="1:22" hidden="1" x14ac:dyDescent="0.25">
      <c r="A5984" s="100">
        <v>45930</v>
      </c>
      <c r="B5984" t="str">
        <f t="shared" si="281"/>
        <v>September</v>
      </c>
      <c r="C5984" s="46" t="s">
        <v>280</v>
      </c>
      <c r="F5984" s="366" t="s">
        <v>3071</v>
      </c>
      <c r="G5984" s="46" t="s">
        <v>566</v>
      </c>
      <c r="H5984" s="46">
        <v>1</v>
      </c>
      <c r="I5984" s="51">
        <v>2109.4499999999998</v>
      </c>
      <c r="J5984" s="281">
        <f>++Tabla4[[#This Row],[Precio Bruto]]*1.16</f>
        <v>2446.9619999999995</v>
      </c>
      <c r="K5984" s="281">
        <f>+Tabla4[[#This Row],[Precio Unitario Neto]]*Tabla4[[#Headers],[20.85%]]</f>
        <v>510.19157699999988</v>
      </c>
      <c r="L5984" s="282">
        <f>++Tabla4[[#This Row],[Precio Unitario Neto]]-Tabla4[[#This Row],[20.85%]]</f>
        <v>1936.7704229999997</v>
      </c>
      <c r="M5984" s="282" t="e">
        <f>(INDEX(Tabla6[#All],MATCH(Tabla4[[#This Row],[Producto]],Tabla6[[#All],[PRODUCTO]],0),MATCH(Tabla4[[#This Row],[Mes]],Tabla6[#Headers],0)))*(1+Catalogos!$L$2)</f>
        <v>#N/A</v>
      </c>
      <c r="N5984" s="283" t="e">
        <f>+(Tabla4[[#This Row],[Precio Descontado]]-Tabla4[[#This Row],[Precio Base]])*Tabla4[[#This Row],[Cantidad]]</f>
        <v>#N/A</v>
      </c>
      <c r="O5984" s="284" t="e">
        <f>++Tabla4[[#This Row],[Utilidad Total]]/Tabla4[[#This Row],[Total]]</f>
        <v>#N/A</v>
      </c>
      <c r="P5984" s="282">
        <f>++Tabla4[[#This Row],[Precio Descontado]]*Tabla4[[#This Row],[Cantidad]]</f>
        <v>1936.7704229999997</v>
      </c>
      <c r="Q5984" s="282" t="e">
        <f>(INDEX(Tabla6[#All],MATCH(Tabla4[[#This Row],[Producto]],Tabla6[[#All],[PRODUCTO]],0),MATCH(Tabla4[[#This Row],[Mes]],Tabla6[#Headers],0)))</f>
        <v>#N/A</v>
      </c>
      <c r="R5984" s="282" t="e">
        <f>++Tabla4[[#This Row],[Precio Unitario Neto]]-Tabla4[[#This Row],[20.85%]]-Tabla4[[#This Row],[Costo]]</f>
        <v>#N/A</v>
      </c>
      <c r="S5984" s="282" t="e">
        <f>++Tabla4[[#This Row],[U. Bruta Uni]]*Tabla4[[#This Row],[Cantidad]]</f>
        <v>#N/A</v>
      </c>
      <c r="T5984" s="369" t="str">
        <f>VLOOKUP(Tabla4[[#This Row],[Producto]],Tabla6[#All],14,FALSE)</f>
        <v>Termico Solar</v>
      </c>
      <c r="U5984" s="284" t="e">
        <f>(IF(Tabla4[[#This Row],[Familia]]="termico solar",Tabla4[[#This Row],[Utilidad Total]]*6%,Tabla4[[#This Row],[Utilidad Total]]*11.5%))/Tabla4[[#This Row],[Total]]</f>
        <v>#N/A</v>
      </c>
      <c r="V5984" s="282" t="e">
        <f>+Tabla4[[#This Row],[Comisión Calculada]]*Tabla4[[#This Row],[Total]]</f>
        <v>#N/A</v>
      </c>
    </row>
    <row r="5985" spans="1:22" hidden="1" x14ac:dyDescent="0.25">
      <c r="A5985" s="100">
        <v>45930</v>
      </c>
      <c r="B5985" t="str">
        <f t="shared" si="281"/>
        <v>September</v>
      </c>
      <c r="C5985" s="46" t="s">
        <v>280</v>
      </c>
      <c r="F5985" s="366" t="s">
        <v>3071</v>
      </c>
      <c r="G5985" s="46" t="s">
        <v>412</v>
      </c>
      <c r="H5985" s="46">
        <v>1</v>
      </c>
      <c r="I5985" s="51">
        <v>3240.84</v>
      </c>
      <c r="J5985" s="281">
        <f>++Tabla4[[#This Row],[Precio Bruto]]*1.16</f>
        <v>3759.3743999999997</v>
      </c>
      <c r="K5985" s="281">
        <f>+Tabla4[[#This Row],[Precio Unitario Neto]]*Tabla4[[#Headers],[20.85%]]</f>
        <v>783.82956239999987</v>
      </c>
      <c r="L5985" s="282">
        <f>++Tabla4[[#This Row],[Precio Unitario Neto]]-Tabla4[[#This Row],[20.85%]]</f>
        <v>2975.5448375999999</v>
      </c>
      <c r="M5985" s="282" t="e">
        <f>(INDEX(Tabla6[#All],MATCH(Tabla4[[#This Row],[Producto]],Tabla6[[#All],[PRODUCTO]],0),MATCH(Tabla4[[#This Row],[Mes]],Tabla6[#Headers],0)))*(1+Catalogos!$L$2)</f>
        <v>#N/A</v>
      </c>
      <c r="N5985" s="283" t="e">
        <f>+(Tabla4[[#This Row],[Precio Descontado]]-Tabla4[[#This Row],[Precio Base]])*Tabla4[[#This Row],[Cantidad]]</f>
        <v>#N/A</v>
      </c>
      <c r="O5985" s="284" t="e">
        <f>++Tabla4[[#This Row],[Utilidad Total]]/Tabla4[[#This Row],[Total]]</f>
        <v>#N/A</v>
      </c>
      <c r="P5985" s="282">
        <f>++Tabla4[[#This Row],[Precio Descontado]]*Tabla4[[#This Row],[Cantidad]]</f>
        <v>2975.5448375999999</v>
      </c>
      <c r="Q5985" s="282" t="e">
        <f>(INDEX(Tabla6[#All],MATCH(Tabla4[[#This Row],[Producto]],Tabla6[[#All],[PRODUCTO]],0),MATCH(Tabla4[[#This Row],[Mes]],Tabla6[#Headers],0)))</f>
        <v>#N/A</v>
      </c>
      <c r="R5985" s="282" t="e">
        <f>++Tabla4[[#This Row],[Precio Unitario Neto]]-Tabla4[[#This Row],[20.85%]]-Tabla4[[#This Row],[Costo]]</f>
        <v>#N/A</v>
      </c>
      <c r="S5985" s="282" t="e">
        <f>++Tabla4[[#This Row],[U. Bruta Uni]]*Tabla4[[#This Row],[Cantidad]]</f>
        <v>#N/A</v>
      </c>
      <c r="T5985" s="369" t="str">
        <f>VLOOKUP(Tabla4[[#This Row],[Producto]],Tabla6[#All],14,FALSE)</f>
        <v>Termico Solar</v>
      </c>
      <c r="U5985" s="284" t="e">
        <f>(IF(Tabla4[[#This Row],[Familia]]="termico solar",Tabla4[[#This Row],[Utilidad Total]]*6%,Tabla4[[#This Row],[Utilidad Total]]*11.5%))/Tabla4[[#This Row],[Total]]</f>
        <v>#N/A</v>
      </c>
      <c r="V5985" s="282" t="e">
        <f>+Tabla4[[#This Row],[Comisión Calculada]]*Tabla4[[#This Row],[Total]]</f>
        <v>#N/A</v>
      </c>
    </row>
    <row r="5986" spans="1:22" hidden="1" x14ac:dyDescent="0.25">
      <c r="A5986" s="100">
        <v>45930</v>
      </c>
      <c r="B5986" t="str">
        <f t="shared" si="281"/>
        <v>September</v>
      </c>
      <c r="C5986" s="46" t="s">
        <v>280</v>
      </c>
      <c r="F5986" s="366" t="s">
        <v>3072</v>
      </c>
      <c r="G5986" s="46" t="s">
        <v>17</v>
      </c>
      <c r="H5986" s="46">
        <v>1</v>
      </c>
      <c r="I5986" s="51">
        <v>4622.28</v>
      </c>
      <c r="J5986" s="281">
        <f>++Tabla4[[#This Row],[Precio Bruto]]*1.16</f>
        <v>5361.8447999999989</v>
      </c>
      <c r="K5986" s="281">
        <f>+Tabla4[[#This Row],[Precio Unitario Neto]]*Tabla4[[#Headers],[20.85%]]</f>
        <v>1117.9446407999997</v>
      </c>
      <c r="L5986" s="282">
        <f>++Tabla4[[#This Row],[Precio Unitario Neto]]-Tabla4[[#This Row],[20.85%]]</f>
        <v>4243.9001591999995</v>
      </c>
      <c r="M5986" s="282" t="e">
        <f>(INDEX(Tabla6[#All],MATCH(Tabla4[[#This Row],[Producto]],Tabla6[[#All],[PRODUCTO]],0),MATCH(Tabla4[[#This Row],[Mes]],Tabla6[#Headers],0)))*(1+Catalogos!$L$2)</f>
        <v>#N/A</v>
      </c>
      <c r="N5986" s="283" t="e">
        <f>+(Tabla4[[#This Row],[Precio Descontado]]-Tabla4[[#This Row],[Precio Base]])*Tabla4[[#This Row],[Cantidad]]</f>
        <v>#N/A</v>
      </c>
      <c r="O5986" s="284" t="e">
        <f>++Tabla4[[#This Row],[Utilidad Total]]/Tabla4[[#This Row],[Total]]</f>
        <v>#N/A</v>
      </c>
      <c r="P5986" s="282">
        <f>++Tabla4[[#This Row],[Precio Descontado]]*Tabla4[[#This Row],[Cantidad]]</f>
        <v>4243.9001591999995</v>
      </c>
      <c r="Q5986" s="282" t="e">
        <f>(INDEX(Tabla6[#All],MATCH(Tabla4[[#This Row],[Producto]],Tabla6[[#All],[PRODUCTO]],0),MATCH(Tabla4[[#This Row],[Mes]],Tabla6[#Headers],0)))</f>
        <v>#N/A</v>
      </c>
      <c r="R5986" s="282" t="e">
        <f>++Tabla4[[#This Row],[Precio Unitario Neto]]-Tabla4[[#This Row],[20.85%]]-Tabla4[[#This Row],[Costo]]</f>
        <v>#N/A</v>
      </c>
      <c r="S5986" s="282" t="e">
        <f>++Tabla4[[#This Row],[U. Bruta Uni]]*Tabla4[[#This Row],[Cantidad]]</f>
        <v>#N/A</v>
      </c>
      <c r="T5986" s="369" t="str">
        <f>VLOOKUP(Tabla4[[#This Row],[Producto]],Tabla6[#All],14,FALSE)</f>
        <v>Termico Solar</v>
      </c>
      <c r="U5986" s="284" t="e">
        <f>(IF(Tabla4[[#This Row],[Familia]]="termico solar",Tabla4[[#This Row],[Utilidad Total]]*6%,Tabla4[[#This Row],[Utilidad Total]]*11.5%))/Tabla4[[#This Row],[Total]]</f>
        <v>#N/A</v>
      </c>
      <c r="V5986" s="282" t="e">
        <f>+Tabla4[[#This Row],[Comisión Calculada]]*Tabla4[[#This Row],[Total]]</f>
        <v>#N/A</v>
      </c>
    </row>
    <row r="5987" spans="1:22" hidden="1" x14ac:dyDescent="0.25">
      <c r="A5987" s="100">
        <v>45930</v>
      </c>
      <c r="B5987" t="str">
        <f t="shared" si="281"/>
        <v>September</v>
      </c>
      <c r="C5987" s="46" t="s">
        <v>280</v>
      </c>
      <c r="F5987" s="366" t="s">
        <v>3072</v>
      </c>
      <c r="G5987" s="46" t="s">
        <v>18</v>
      </c>
      <c r="H5987" s="46">
        <v>1</v>
      </c>
      <c r="I5987" s="51">
        <v>5367.65</v>
      </c>
      <c r="J5987" s="281">
        <f>++Tabla4[[#This Row],[Precio Bruto]]*1.16</f>
        <v>6226.4739999999993</v>
      </c>
      <c r="K5987" s="281">
        <f>+Tabla4[[#This Row],[Precio Unitario Neto]]*Tabla4[[#Headers],[20.85%]]</f>
        <v>1298.2198289999999</v>
      </c>
      <c r="L5987" s="282">
        <f>++Tabla4[[#This Row],[Precio Unitario Neto]]-Tabla4[[#This Row],[20.85%]]</f>
        <v>4928.2541709999996</v>
      </c>
      <c r="M5987" s="282" t="e">
        <f>(INDEX(Tabla6[#All],MATCH(Tabla4[[#This Row],[Producto]],Tabla6[[#All],[PRODUCTO]],0),MATCH(Tabla4[[#This Row],[Mes]],Tabla6[#Headers],0)))*(1+Catalogos!$L$2)</f>
        <v>#N/A</v>
      </c>
      <c r="N5987" s="283" t="e">
        <f>+(Tabla4[[#This Row],[Precio Descontado]]-Tabla4[[#This Row],[Precio Base]])*Tabla4[[#This Row],[Cantidad]]</f>
        <v>#N/A</v>
      </c>
      <c r="O5987" s="284" t="e">
        <f>++Tabla4[[#This Row],[Utilidad Total]]/Tabla4[[#This Row],[Total]]</f>
        <v>#N/A</v>
      </c>
      <c r="P5987" s="282">
        <f>++Tabla4[[#This Row],[Precio Descontado]]*Tabla4[[#This Row],[Cantidad]]</f>
        <v>4928.2541709999996</v>
      </c>
      <c r="Q5987" s="282" t="e">
        <f>(INDEX(Tabla6[#All],MATCH(Tabla4[[#This Row],[Producto]],Tabla6[[#All],[PRODUCTO]],0),MATCH(Tabla4[[#This Row],[Mes]],Tabla6[#Headers],0)))</f>
        <v>#N/A</v>
      </c>
      <c r="R5987" s="282" t="e">
        <f>++Tabla4[[#This Row],[Precio Unitario Neto]]-Tabla4[[#This Row],[20.85%]]-Tabla4[[#This Row],[Costo]]</f>
        <v>#N/A</v>
      </c>
      <c r="S5987" s="282" t="e">
        <f>++Tabla4[[#This Row],[U. Bruta Uni]]*Tabla4[[#This Row],[Cantidad]]</f>
        <v>#N/A</v>
      </c>
      <c r="T5987" s="369" t="str">
        <f>VLOOKUP(Tabla4[[#This Row],[Producto]],Tabla6[#All],14,FALSE)</f>
        <v>Termico Solar</v>
      </c>
      <c r="U5987" s="284" t="e">
        <f>(IF(Tabla4[[#This Row],[Familia]]="termico solar",Tabla4[[#This Row],[Utilidad Total]]*6%,Tabla4[[#This Row],[Utilidad Total]]*11.5%))/Tabla4[[#This Row],[Total]]</f>
        <v>#N/A</v>
      </c>
      <c r="V5987" s="282" t="e">
        <f>+Tabla4[[#This Row],[Comisión Calculada]]*Tabla4[[#This Row],[Total]]</f>
        <v>#N/A</v>
      </c>
    </row>
    <row r="5988" spans="1:22" hidden="1" x14ac:dyDescent="0.25">
      <c r="A5988" s="100">
        <v>45930</v>
      </c>
      <c r="B5988" t="str">
        <f t="shared" si="281"/>
        <v>September</v>
      </c>
      <c r="C5988" s="46" t="s">
        <v>280</v>
      </c>
      <c r="F5988" s="366" t="s">
        <v>3072</v>
      </c>
      <c r="G5988" s="46" t="s">
        <v>208</v>
      </c>
      <c r="H5988" s="46">
        <v>1</v>
      </c>
      <c r="I5988" s="51">
        <v>189.75</v>
      </c>
      <c r="J5988" s="281">
        <f>++Tabla4[[#This Row],[Precio Bruto]]*1.16</f>
        <v>220.10999999999999</v>
      </c>
      <c r="K5988" s="281">
        <f>+Tabla4[[#This Row],[Precio Unitario Neto]]*Tabla4[[#Headers],[20.85%]]</f>
        <v>45.892934999999994</v>
      </c>
      <c r="L5988" s="282">
        <f>++Tabla4[[#This Row],[Precio Unitario Neto]]-Tabla4[[#This Row],[20.85%]]</f>
        <v>174.21706499999999</v>
      </c>
      <c r="M5988" s="282" t="e">
        <f>(INDEX(Tabla6[#All],MATCH(Tabla4[[#This Row],[Producto]],Tabla6[[#All],[PRODUCTO]],0),MATCH(Tabla4[[#This Row],[Mes]],Tabla6[#Headers],0)))*(1+Catalogos!$L$2)</f>
        <v>#N/A</v>
      </c>
      <c r="N5988" s="283" t="e">
        <f>+(Tabla4[[#This Row],[Precio Descontado]]-Tabla4[[#This Row],[Precio Base]])*Tabla4[[#This Row],[Cantidad]]</f>
        <v>#N/A</v>
      </c>
      <c r="O5988" s="284" t="e">
        <f>++Tabla4[[#This Row],[Utilidad Total]]/Tabla4[[#This Row],[Total]]</f>
        <v>#N/A</v>
      </c>
      <c r="P5988" s="282">
        <f>++Tabla4[[#This Row],[Precio Descontado]]*Tabla4[[#This Row],[Cantidad]]</f>
        <v>174.21706499999999</v>
      </c>
      <c r="Q5988" s="282" t="e">
        <f>(INDEX(Tabla6[#All],MATCH(Tabla4[[#This Row],[Producto]],Tabla6[[#All],[PRODUCTO]],0),MATCH(Tabla4[[#This Row],[Mes]],Tabla6[#Headers],0)))</f>
        <v>#N/A</v>
      </c>
      <c r="R5988" s="282" t="e">
        <f>++Tabla4[[#This Row],[Precio Unitario Neto]]-Tabla4[[#This Row],[20.85%]]-Tabla4[[#This Row],[Costo]]</f>
        <v>#N/A</v>
      </c>
      <c r="S5988" s="282" t="e">
        <f>++Tabla4[[#This Row],[U. Bruta Uni]]*Tabla4[[#This Row],[Cantidad]]</f>
        <v>#N/A</v>
      </c>
      <c r="T5988" s="369" t="str">
        <f>VLOOKUP(Tabla4[[#This Row],[Producto]],Tabla6[#All],14,FALSE)</f>
        <v>Termico Solar</v>
      </c>
      <c r="U5988" s="284" t="e">
        <f>(IF(Tabla4[[#This Row],[Familia]]="termico solar",Tabla4[[#This Row],[Utilidad Total]]*6%,Tabla4[[#This Row],[Utilidad Total]]*11.5%))/Tabla4[[#This Row],[Total]]</f>
        <v>#N/A</v>
      </c>
      <c r="V5988" s="282" t="e">
        <f>+Tabla4[[#This Row],[Comisión Calculada]]*Tabla4[[#This Row],[Total]]</f>
        <v>#N/A</v>
      </c>
    </row>
    <row r="5989" spans="1:22" hidden="1" x14ac:dyDescent="0.25">
      <c r="A5989" s="100">
        <v>45930</v>
      </c>
      <c r="B5989" t="str">
        <f t="shared" si="281"/>
        <v>September</v>
      </c>
      <c r="C5989" s="46" t="s">
        <v>280</v>
      </c>
      <c r="F5989" s="366" t="s">
        <v>3073</v>
      </c>
      <c r="G5989" s="46" t="s">
        <v>566</v>
      </c>
      <c r="H5989" s="46">
        <v>1</v>
      </c>
      <c r="I5989" s="51">
        <v>2109.4499999999998</v>
      </c>
      <c r="J5989" s="281">
        <f>++Tabla4[[#This Row],[Precio Bruto]]*1.16</f>
        <v>2446.9619999999995</v>
      </c>
      <c r="K5989" s="281">
        <f>+Tabla4[[#This Row],[Precio Unitario Neto]]*Tabla4[[#Headers],[20.85%]]</f>
        <v>510.19157699999988</v>
      </c>
      <c r="L5989" s="282">
        <f>++Tabla4[[#This Row],[Precio Unitario Neto]]-Tabla4[[#This Row],[20.85%]]</f>
        <v>1936.7704229999997</v>
      </c>
      <c r="M5989" s="282" t="e">
        <f>(INDEX(Tabla6[#All],MATCH(Tabla4[[#This Row],[Producto]],Tabla6[[#All],[PRODUCTO]],0),MATCH(Tabla4[[#This Row],[Mes]],Tabla6[#Headers],0)))*(1+Catalogos!$L$2)</f>
        <v>#N/A</v>
      </c>
      <c r="N5989" s="283" t="e">
        <f>+(Tabla4[[#This Row],[Precio Descontado]]-Tabla4[[#This Row],[Precio Base]])*Tabla4[[#This Row],[Cantidad]]</f>
        <v>#N/A</v>
      </c>
      <c r="O5989" s="284" t="e">
        <f>++Tabla4[[#This Row],[Utilidad Total]]/Tabla4[[#This Row],[Total]]</f>
        <v>#N/A</v>
      </c>
      <c r="P5989" s="282">
        <f>++Tabla4[[#This Row],[Precio Descontado]]*Tabla4[[#This Row],[Cantidad]]</f>
        <v>1936.7704229999997</v>
      </c>
      <c r="Q5989" s="282" t="e">
        <f>(INDEX(Tabla6[#All],MATCH(Tabla4[[#This Row],[Producto]],Tabla6[[#All],[PRODUCTO]],0),MATCH(Tabla4[[#This Row],[Mes]],Tabla6[#Headers],0)))</f>
        <v>#N/A</v>
      </c>
      <c r="R5989" s="282" t="e">
        <f>++Tabla4[[#This Row],[Precio Unitario Neto]]-Tabla4[[#This Row],[20.85%]]-Tabla4[[#This Row],[Costo]]</f>
        <v>#N/A</v>
      </c>
      <c r="S5989" s="282" t="e">
        <f>++Tabla4[[#This Row],[U. Bruta Uni]]*Tabla4[[#This Row],[Cantidad]]</f>
        <v>#N/A</v>
      </c>
      <c r="T5989" s="369" t="str">
        <f>VLOOKUP(Tabla4[[#This Row],[Producto]],Tabla6[#All],14,FALSE)</f>
        <v>Termico Solar</v>
      </c>
      <c r="U5989" s="284" t="e">
        <f>(IF(Tabla4[[#This Row],[Familia]]="termico solar",Tabla4[[#This Row],[Utilidad Total]]*6%,Tabla4[[#This Row],[Utilidad Total]]*11.5%))/Tabla4[[#This Row],[Total]]</f>
        <v>#N/A</v>
      </c>
      <c r="V5989" s="282" t="e">
        <f>+Tabla4[[#This Row],[Comisión Calculada]]*Tabla4[[#This Row],[Total]]</f>
        <v>#N/A</v>
      </c>
    </row>
    <row r="5990" spans="1:22" hidden="1" x14ac:dyDescent="0.25">
      <c r="A5990" s="100">
        <v>45930</v>
      </c>
      <c r="B5990" t="str">
        <f t="shared" si="281"/>
        <v>September</v>
      </c>
      <c r="C5990" s="46" t="s">
        <v>280</v>
      </c>
      <c r="F5990" s="366" t="s">
        <v>3073</v>
      </c>
      <c r="G5990" s="46" t="s">
        <v>208</v>
      </c>
      <c r="H5990" s="46">
        <v>1</v>
      </c>
      <c r="I5990" s="51">
        <v>189.75</v>
      </c>
      <c r="J5990" s="281">
        <f>++Tabla4[[#This Row],[Precio Bruto]]*1.16</f>
        <v>220.10999999999999</v>
      </c>
      <c r="K5990" s="281">
        <f>+Tabla4[[#This Row],[Precio Unitario Neto]]*Tabla4[[#Headers],[20.85%]]</f>
        <v>45.892934999999994</v>
      </c>
      <c r="L5990" s="282">
        <f>++Tabla4[[#This Row],[Precio Unitario Neto]]-Tabla4[[#This Row],[20.85%]]</f>
        <v>174.21706499999999</v>
      </c>
      <c r="M5990" s="282" t="e">
        <f>(INDEX(Tabla6[#All],MATCH(Tabla4[[#This Row],[Producto]],Tabla6[[#All],[PRODUCTO]],0),MATCH(Tabla4[[#This Row],[Mes]],Tabla6[#Headers],0)))*(1+Catalogos!$L$2)</f>
        <v>#N/A</v>
      </c>
      <c r="N5990" s="283" t="e">
        <f>+(Tabla4[[#This Row],[Precio Descontado]]-Tabla4[[#This Row],[Precio Base]])*Tabla4[[#This Row],[Cantidad]]</f>
        <v>#N/A</v>
      </c>
      <c r="O5990" s="284" t="e">
        <f>++Tabla4[[#This Row],[Utilidad Total]]/Tabla4[[#This Row],[Total]]</f>
        <v>#N/A</v>
      </c>
      <c r="P5990" s="282">
        <f>++Tabla4[[#This Row],[Precio Descontado]]*Tabla4[[#This Row],[Cantidad]]</f>
        <v>174.21706499999999</v>
      </c>
      <c r="Q5990" s="282" t="e">
        <f>(INDEX(Tabla6[#All],MATCH(Tabla4[[#This Row],[Producto]],Tabla6[[#All],[PRODUCTO]],0),MATCH(Tabla4[[#This Row],[Mes]],Tabla6[#Headers],0)))</f>
        <v>#N/A</v>
      </c>
      <c r="R5990" s="282" t="e">
        <f>++Tabla4[[#This Row],[Precio Unitario Neto]]-Tabla4[[#This Row],[20.85%]]-Tabla4[[#This Row],[Costo]]</f>
        <v>#N/A</v>
      </c>
      <c r="S5990" s="282" t="e">
        <f>++Tabla4[[#This Row],[U. Bruta Uni]]*Tabla4[[#This Row],[Cantidad]]</f>
        <v>#N/A</v>
      </c>
      <c r="T5990" s="369" t="str">
        <f>VLOOKUP(Tabla4[[#This Row],[Producto]],Tabla6[#All],14,FALSE)</f>
        <v>Termico Solar</v>
      </c>
      <c r="U5990" s="284" t="e">
        <f>(IF(Tabla4[[#This Row],[Familia]]="termico solar",Tabla4[[#This Row],[Utilidad Total]]*6%,Tabla4[[#This Row],[Utilidad Total]]*11.5%))/Tabla4[[#This Row],[Total]]</f>
        <v>#N/A</v>
      </c>
      <c r="V5990" s="282" t="e">
        <f>+Tabla4[[#This Row],[Comisión Calculada]]*Tabla4[[#This Row],[Total]]</f>
        <v>#N/A</v>
      </c>
    </row>
    <row r="5991" spans="1:22" hidden="1" x14ac:dyDescent="0.25">
      <c r="A5991" s="100">
        <v>45930</v>
      </c>
      <c r="B5991" t="str">
        <f t="shared" si="281"/>
        <v>September</v>
      </c>
      <c r="C5991" s="46" t="s">
        <v>280</v>
      </c>
      <c r="F5991" s="366" t="s">
        <v>3074</v>
      </c>
      <c r="G5991" s="46" t="s">
        <v>18</v>
      </c>
      <c r="H5991" s="46">
        <v>3</v>
      </c>
      <c r="I5991" s="51">
        <v>5367.6500000000005</v>
      </c>
      <c r="J5991" s="281">
        <f>++Tabla4[[#This Row],[Precio Bruto]]*1.16</f>
        <v>6226.4740000000002</v>
      </c>
      <c r="K5991" s="281">
        <f>+Tabla4[[#This Row],[Precio Unitario Neto]]*Tabla4[[#Headers],[20.85%]]</f>
        <v>1298.2198289999999</v>
      </c>
      <c r="L5991" s="282">
        <f>++Tabla4[[#This Row],[Precio Unitario Neto]]-Tabla4[[#This Row],[20.85%]]</f>
        <v>4928.2541710000005</v>
      </c>
      <c r="M5991" s="282" t="e">
        <f>(INDEX(Tabla6[#All],MATCH(Tabla4[[#This Row],[Producto]],Tabla6[[#All],[PRODUCTO]],0),MATCH(Tabla4[[#This Row],[Mes]],Tabla6[#Headers],0)))*(1+Catalogos!$L$2)</f>
        <v>#N/A</v>
      </c>
      <c r="N5991" s="283" t="e">
        <f>+(Tabla4[[#This Row],[Precio Descontado]]-Tabla4[[#This Row],[Precio Base]])*Tabla4[[#This Row],[Cantidad]]</f>
        <v>#N/A</v>
      </c>
      <c r="O5991" s="284" t="e">
        <f>++Tabla4[[#This Row],[Utilidad Total]]/Tabla4[[#This Row],[Total]]</f>
        <v>#N/A</v>
      </c>
      <c r="P5991" s="282">
        <f>++Tabla4[[#This Row],[Precio Descontado]]*Tabla4[[#This Row],[Cantidad]]</f>
        <v>14784.762513000001</v>
      </c>
      <c r="Q5991" s="282" t="e">
        <f>(INDEX(Tabla6[#All],MATCH(Tabla4[[#This Row],[Producto]],Tabla6[[#All],[PRODUCTO]],0),MATCH(Tabla4[[#This Row],[Mes]],Tabla6[#Headers],0)))</f>
        <v>#N/A</v>
      </c>
      <c r="R5991" s="282" t="e">
        <f>++Tabla4[[#This Row],[Precio Unitario Neto]]-Tabla4[[#This Row],[20.85%]]-Tabla4[[#This Row],[Costo]]</f>
        <v>#N/A</v>
      </c>
      <c r="S5991" s="282" t="e">
        <f>++Tabla4[[#This Row],[U. Bruta Uni]]*Tabla4[[#This Row],[Cantidad]]</f>
        <v>#N/A</v>
      </c>
      <c r="T5991" s="369" t="str">
        <f>VLOOKUP(Tabla4[[#This Row],[Producto]],Tabla6[#All],14,FALSE)</f>
        <v>Termico Solar</v>
      </c>
      <c r="U5991" s="284" t="e">
        <f>(IF(Tabla4[[#This Row],[Familia]]="termico solar",Tabla4[[#This Row],[Utilidad Total]]*6%,Tabla4[[#This Row],[Utilidad Total]]*11.5%))/Tabla4[[#This Row],[Total]]</f>
        <v>#N/A</v>
      </c>
      <c r="V5991" s="282" t="e">
        <f>+Tabla4[[#This Row],[Comisión Calculada]]*Tabla4[[#This Row],[Total]]</f>
        <v>#N/A</v>
      </c>
    </row>
    <row r="5992" spans="1:22" hidden="1" x14ac:dyDescent="0.25">
      <c r="A5992" s="100">
        <v>45930</v>
      </c>
      <c r="B5992" t="str">
        <f t="shared" si="281"/>
        <v>September</v>
      </c>
      <c r="C5992" s="46" t="s">
        <v>280</v>
      </c>
      <c r="F5992" s="366" t="s">
        <v>3075</v>
      </c>
      <c r="G5992" s="46" t="s">
        <v>18</v>
      </c>
      <c r="H5992" s="46">
        <v>1</v>
      </c>
      <c r="I5992" s="51">
        <v>5367.65</v>
      </c>
      <c r="J5992" s="281">
        <f>++Tabla4[[#This Row],[Precio Bruto]]*1.16</f>
        <v>6226.4739999999993</v>
      </c>
      <c r="K5992" s="281">
        <f>+Tabla4[[#This Row],[Precio Unitario Neto]]*Tabla4[[#Headers],[20.85%]]</f>
        <v>1298.2198289999999</v>
      </c>
      <c r="L5992" s="282">
        <f>++Tabla4[[#This Row],[Precio Unitario Neto]]-Tabla4[[#This Row],[20.85%]]</f>
        <v>4928.2541709999996</v>
      </c>
      <c r="M5992" s="282" t="e">
        <f>(INDEX(Tabla6[#All],MATCH(Tabla4[[#This Row],[Producto]],Tabla6[[#All],[PRODUCTO]],0),MATCH(Tabla4[[#This Row],[Mes]],Tabla6[#Headers],0)))*(1+Catalogos!$L$2)</f>
        <v>#N/A</v>
      </c>
      <c r="N5992" s="283" t="e">
        <f>+(Tabla4[[#This Row],[Precio Descontado]]-Tabla4[[#This Row],[Precio Base]])*Tabla4[[#This Row],[Cantidad]]</f>
        <v>#N/A</v>
      </c>
      <c r="O5992" s="284" t="e">
        <f>++Tabla4[[#This Row],[Utilidad Total]]/Tabla4[[#This Row],[Total]]</f>
        <v>#N/A</v>
      </c>
      <c r="P5992" s="282">
        <f>++Tabla4[[#This Row],[Precio Descontado]]*Tabla4[[#This Row],[Cantidad]]</f>
        <v>4928.2541709999996</v>
      </c>
      <c r="Q5992" s="282" t="e">
        <f>(INDEX(Tabla6[#All],MATCH(Tabla4[[#This Row],[Producto]],Tabla6[[#All],[PRODUCTO]],0),MATCH(Tabla4[[#This Row],[Mes]],Tabla6[#Headers],0)))</f>
        <v>#N/A</v>
      </c>
      <c r="R5992" s="282" t="e">
        <f>++Tabla4[[#This Row],[Precio Unitario Neto]]-Tabla4[[#This Row],[20.85%]]-Tabla4[[#This Row],[Costo]]</f>
        <v>#N/A</v>
      </c>
      <c r="S5992" s="282" t="e">
        <f>++Tabla4[[#This Row],[U. Bruta Uni]]*Tabla4[[#This Row],[Cantidad]]</f>
        <v>#N/A</v>
      </c>
      <c r="T5992" s="369" t="str">
        <f>VLOOKUP(Tabla4[[#This Row],[Producto]],Tabla6[#All],14,FALSE)</f>
        <v>Termico Solar</v>
      </c>
      <c r="U5992" s="284" t="e">
        <f>(IF(Tabla4[[#This Row],[Familia]]="termico solar",Tabla4[[#This Row],[Utilidad Total]]*6%,Tabla4[[#This Row],[Utilidad Total]]*11.5%))/Tabla4[[#This Row],[Total]]</f>
        <v>#N/A</v>
      </c>
      <c r="V5992" s="282" t="e">
        <f>+Tabla4[[#This Row],[Comisión Calculada]]*Tabla4[[#This Row],[Total]]</f>
        <v>#N/A</v>
      </c>
    </row>
    <row r="5993" spans="1:22" hidden="1" x14ac:dyDescent="0.25">
      <c r="A5993" s="100">
        <v>45930</v>
      </c>
      <c r="B5993" t="str">
        <f t="shared" si="281"/>
        <v>September</v>
      </c>
      <c r="C5993" s="46" t="s">
        <v>280</v>
      </c>
      <c r="F5993" s="366" t="s">
        <v>3075</v>
      </c>
      <c r="G5993" s="46" t="s">
        <v>566</v>
      </c>
      <c r="H5993" s="46">
        <v>2</v>
      </c>
      <c r="I5993" s="51">
        <v>2109.4499999999998</v>
      </c>
      <c r="J5993" s="281">
        <f>++Tabla4[[#This Row],[Precio Bruto]]*1.16</f>
        <v>2446.9619999999995</v>
      </c>
      <c r="K5993" s="281">
        <f>+Tabla4[[#This Row],[Precio Unitario Neto]]*Tabla4[[#Headers],[20.85%]]</f>
        <v>510.19157699999988</v>
      </c>
      <c r="L5993" s="282">
        <f>++Tabla4[[#This Row],[Precio Unitario Neto]]-Tabla4[[#This Row],[20.85%]]</f>
        <v>1936.7704229999997</v>
      </c>
      <c r="M5993" s="282" t="e">
        <f>(INDEX(Tabla6[#All],MATCH(Tabla4[[#This Row],[Producto]],Tabla6[[#All],[PRODUCTO]],0),MATCH(Tabla4[[#This Row],[Mes]],Tabla6[#Headers],0)))*(1+Catalogos!$L$2)</f>
        <v>#N/A</v>
      </c>
      <c r="N5993" s="283" t="e">
        <f>+(Tabla4[[#This Row],[Precio Descontado]]-Tabla4[[#This Row],[Precio Base]])*Tabla4[[#This Row],[Cantidad]]</f>
        <v>#N/A</v>
      </c>
      <c r="O5993" s="284" t="e">
        <f>++Tabla4[[#This Row],[Utilidad Total]]/Tabla4[[#This Row],[Total]]</f>
        <v>#N/A</v>
      </c>
      <c r="P5993" s="282">
        <f>++Tabla4[[#This Row],[Precio Descontado]]*Tabla4[[#This Row],[Cantidad]]</f>
        <v>3873.5408459999994</v>
      </c>
      <c r="Q5993" s="282" t="e">
        <f>(INDEX(Tabla6[#All],MATCH(Tabla4[[#This Row],[Producto]],Tabla6[[#All],[PRODUCTO]],0),MATCH(Tabla4[[#This Row],[Mes]],Tabla6[#Headers],0)))</f>
        <v>#N/A</v>
      </c>
      <c r="R5993" s="282" t="e">
        <f>++Tabla4[[#This Row],[Precio Unitario Neto]]-Tabla4[[#This Row],[20.85%]]-Tabla4[[#This Row],[Costo]]</f>
        <v>#N/A</v>
      </c>
      <c r="S5993" s="282" t="e">
        <f>++Tabla4[[#This Row],[U. Bruta Uni]]*Tabla4[[#This Row],[Cantidad]]</f>
        <v>#N/A</v>
      </c>
      <c r="T5993" s="369" t="str">
        <f>VLOOKUP(Tabla4[[#This Row],[Producto]],Tabla6[#All],14,FALSE)</f>
        <v>Termico Solar</v>
      </c>
      <c r="U5993" s="284" t="e">
        <f>(IF(Tabla4[[#This Row],[Familia]]="termico solar",Tabla4[[#This Row],[Utilidad Total]]*6%,Tabla4[[#This Row],[Utilidad Total]]*11.5%))/Tabla4[[#This Row],[Total]]</f>
        <v>#N/A</v>
      </c>
      <c r="V5993" s="282" t="e">
        <f>+Tabla4[[#This Row],[Comisión Calculada]]*Tabla4[[#This Row],[Total]]</f>
        <v>#N/A</v>
      </c>
    </row>
    <row r="5994" spans="1:22" hidden="1" x14ac:dyDescent="0.25">
      <c r="A5994" s="100">
        <v>45930</v>
      </c>
      <c r="B5994" t="str">
        <f t="shared" si="281"/>
        <v>September</v>
      </c>
      <c r="C5994" s="46" t="s">
        <v>280</v>
      </c>
      <c r="F5994" s="366" t="s">
        <v>3075</v>
      </c>
      <c r="G5994" s="46" t="s">
        <v>208</v>
      </c>
      <c r="H5994" s="46">
        <v>2</v>
      </c>
      <c r="I5994" s="51">
        <v>189.75</v>
      </c>
      <c r="J5994" s="281">
        <f>++Tabla4[[#This Row],[Precio Bruto]]*1.16</f>
        <v>220.10999999999999</v>
      </c>
      <c r="K5994" s="281">
        <f>+Tabla4[[#This Row],[Precio Unitario Neto]]*Tabla4[[#Headers],[20.85%]]</f>
        <v>45.892934999999994</v>
      </c>
      <c r="L5994" s="282">
        <f>++Tabla4[[#This Row],[Precio Unitario Neto]]-Tabla4[[#This Row],[20.85%]]</f>
        <v>174.21706499999999</v>
      </c>
      <c r="M5994" s="282" t="e">
        <f>(INDEX(Tabla6[#All],MATCH(Tabla4[[#This Row],[Producto]],Tabla6[[#All],[PRODUCTO]],0),MATCH(Tabla4[[#This Row],[Mes]],Tabla6[#Headers],0)))*(1+Catalogos!$L$2)</f>
        <v>#N/A</v>
      </c>
      <c r="N5994" s="283" t="e">
        <f>+(Tabla4[[#This Row],[Precio Descontado]]-Tabla4[[#This Row],[Precio Base]])*Tabla4[[#This Row],[Cantidad]]</f>
        <v>#N/A</v>
      </c>
      <c r="O5994" s="284" t="e">
        <f>++Tabla4[[#This Row],[Utilidad Total]]/Tabla4[[#This Row],[Total]]</f>
        <v>#N/A</v>
      </c>
      <c r="P5994" s="282">
        <f>++Tabla4[[#This Row],[Precio Descontado]]*Tabla4[[#This Row],[Cantidad]]</f>
        <v>348.43412999999998</v>
      </c>
      <c r="Q5994" s="282" t="e">
        <f>(INDEX(Tabla6[#All],MATCH(Tabla4[[#This Row],[Producto]],Tabla6[[#All],[PRODUCTO]],0),MATCH(Tabla4[[#This Row],[Mes]],Tabla6[#Headers],0)))</f>
        <v>#N/A</v>
      </c>
      <c r="R5994" s="282" t="e">
        <f>++Tabla4[[#This Row],[Precio Unitario Neto]]-Tabla4[[#This Row],[20.85%]]-Tabla4[[#This Row],[Costo]]</f>
        <v>#N/A</v>
      </c>
      <c r="S5994" s="282" t="e">
        <f>++Tabla4[[#This Row],[U. Bruta Uni]]*Tabla4[[#This Row],[Cantidad]]</f>
        <v>#N/A</v>
      </c>
      <c r="T5994" s="369" t="str">
        <f>VLOOKUP(Tabla4[[#This Row],[Producto]],Tabla6[#All],14,FALSE)</f>
        <v>Termico Solar</v>
      </c>
      <c r="U5994" s="284" t="e">
        <f>(IF(Tabla4[[#This Row],[Familia]]="termico solar",Tabla4[[#This Row],[Utilidad Total]]*6%,Tabla4[[#This Row],[Utilidad Total]]*11.5%))/Tabla4[[#This Row],[Total]]</f>
        <v>#N/A</v>
      </c>
      <c r="V5994" s="282" t="e">
        <f>+Tabla4[[#This Row],[Comisión Calculada]]*Tabla4[[#This Row],[Total]]</f>
        <v>#N/A</v>
      </c>
    </row>
    <row r="5995" spans="1:22" hidden="1" x14ac:dyDescent="0.25">
      <c r="A5995" s="100">
        <v>45930</v>
      </c>
      <c r="B5995" t="str">
        <f t="shared" si="281"/>
        <v>September</v>
      </c>
      <c r="C5995" s="46" t="s">
        <v>280</v>
      </c>
      <c r="F5995" s="366" t="s">
        <v>3076</v>
      </c>
      <c r="G5995" s="46" t="s">
        <v>83</v>
      </c>
      <c r="H5995" s="46">
        <v>1</v>
      </c>
      <c r="I5995" s="51">
        <v>8858.76</v>
      </c>
      <c r="J5995" s="281">
        <f>++Tabla4[[#This Row],[Precio Bruto]]*1.16</f>
        <v>10276.161599999999</v>
      </c>
      <c r="K5995" s="281">
        <f>+Tabla4[[#This Row],[Precio Unitario Neto]]*Tabla4[[#Headers],[20.85%]]</f>
        <v>2142.5796935999997</v>
      </c>
      <c r="L5995" s="282">
        <f>++Tabla4[[#This Row],[Precio Unitario Neto]]-Tabla4[[#This Row],[20.85%]]</f>
        <v>8133.5819063999998</v>
      </c>
      <c r="M5995" s="282" t="e">
        <f>(INDEX(Tabla6[#All],MATCH(Tabla4[[#This Row],[Producto]],Tabla6[[#All],[PRODUCTO]],0),MATCH(Tabla4[[#This Row],[Mes]],Tabla6[#Headers],0)))*(1+Catalogos!$L$2)</f>
        <v>#N/A</v>
      </c>
      <c r="N5995" s="283" t="e">
        <f>+(Tabla4[[#This Row],[Precio Descontado]]-Tabla4[[#This Row],[Precio Base]])*Tabla4[[#This Row],[Cantidad]]</f>
        <v>#N/A</v>
      </c>
      <c r="O5995" s="284" t="e">
        <f>++Tabla4[[#This Row],[Utilidad Total]]/Tabla4[[#This Row],[Total]]</f>
        <v>#N/A</v>
      </c>
      <c r="P5995" s="282">
        <f>++Tabla4[[#This Row],[Precio Descontado]]*Tabla4[[#This Row],[Cantidad]]</f>
        <v>8133.5819063999998</v>
      </c>
      <c r="Q5995" s="282" t="e">
        <f>(INDEX(Tabla6[#All],MATCH(Tabla4[[#This Row],[Producto]],Tabla6[[#All],[PRODUCTO]],0),MATCH(Tabla4[[#This Row],[Mes]],Tabla6[#Headers],0)))</f>
        <v>#N/A</v>
      </c>
      <c r="R5995" s="282" t="e">
        <f>++Tabla4[[#This Row],[Precio Unitario Neto]]-Tabla4[[#This Row],[20.85%]]-Tabla4[[#This Row],[Costo]]</f>
        <v>#N/A</v>
      </c>
      <c r="S5995" s="282" t="e">
        <f>++Tabla4[[#This Row],[U. Bruta Uni]]*Tabla4[[#This Row],[Cantidad]]</f>
        <v>#N/A</v>
      </c>
      <c r="T5995" s="369" t="str">
        <f>VLOOKUP(Tabla4[[#This Row],[Producto]],Tabla6[#All],14,FALSE)</f>
        <v>Termico Solar</v>
      </c>
      <c r="U5995" s="284" t="e">
        <f>(IF(Tabla4[[#This Row],[Familia]]="termico solar",Tabla4[[#This Row],[Utilidad Total]]*6%,Tabla4[[#This Row],[Utilidad Total]]*11.5%))/Tabla4[[#This Row],[Total]]</f>
        <v>#N/A</v>
      </c>
      <c r="V5995" s="282" t="e">
        <f>+Tabla4[[#This Row],[Comisión Calculada]]*Tabla4[[#This Row],[Total]]</f>
        <v>#N/A</v>
      </c>
    </row>
    <row r="5996" spans="1:22" hidden="1" x14ac:dyDescent="0.25">
      <c r="A5996" s="100">
        <v>45930</v>
      </c>
      <c r="B5996" t="str">
        <f t="shared" si="281"/>
        <v>September</v>
      </c>
      <c r="C5996" s="46" t="s">
        <v>280</v>
      </c>
      <c r="F5996" s="366" t="s">
        <v>3076</v>
      </c>
      <c r="G5996" s="46" t="s">
        <v>17</v>
      </c>
      <c r="H5996" s="46">
        <v>1</v>
      </c>
      <c r="I5996" s="51">
        <v>4622.28</v>
      </c>
      <c r="J5996" s="281">
        <f>++Tabla4[[#This Row],[Precio Bruto]]*1.16</f>
        <v>5361.8447999999989</v>
      </c>
      <c r="K5996" s="281">
        <f>+Tabla4[[#This Row],[Precio Unitario Neto]]*Tabla4[[#Headers],[20.85%]]</f>
        <v>1117.9446407999997</v>
      </c>
      <c r="L5996" s="282">
        <f>++Tabla4[[#This Row],[Precio Unitario Neto]]-Tabla4[[#This Row],[20.85%]]</f>
        <v>4243.9001591999995</v>
      </c>
      <c r="M5996" s="282" t="e">
        <f>(INDEX(Tabla6[#All],MATCH(Tabla4[[#This Row],[Producto]],Tabla6[[#All],[PRODUCTO]],0),MATCH(Tabla4[[#This Row],[Mes]],Tabla6[#Headers],0)))*(1+Catalogos!$L$2)</f>
        <v>#N/A</v>
      </c>
      <c r="N5996" s="283" t="e">
        <f>+(Tabla4[[#This Row],[Precio Descontado]]-Tabla4[[#This Row],[Precio Base]])*Tabla4[[#This Row],[Cantidad]]</f>
        <v>#N/A</v>
      </c>
      <c r="O5996" s="284" t="e">
        <f>++Tabla4[[#This Row],[Utilidad Total]]/Tabla4[[#This Row],[Total]]</f>
        <v>#N/A</v>
      </c>
      <c r="P5996" s="282">
        <f>++Tabla4[[#This Row],[Precio Descontado]]*Tabla4[[#This Row],[Cantidad]]</f>
        <v>4243.9001591999995</v>
      </c>
      <c r="Q5996" s="282" t="e">
        <f>(INDEX(Tabla6[#All],MATCH(Tabla4[[#This Row],[Producto]],Tabla6[[#All],[PRODUCTO]],0),MATCH(Tabla4[[#This Row],[Mes]],Tabla6[#Headers],0)))</f>
        <v>#N/A</v>
      </c>
      <c r="R5996" s="282" t="e">
        <f>++Tabla4[[#This Row],[Precio Unitario Neto]]-Tabla4[[#This Row],[20.85%]]-Tabla4[[#This Row],[Costo]]</f>
        <v>#N/A</v>
      </c>
      <c r="S5996" s="282" t="e">
        <f>++Tabla4[[#This Row],[U. Bruta Uni]]*Tabla4[[#This Row],[Cantidad]]</f>
        <v>#N/A</v>
      </c>
      <c r="T5996" s="369" t="str">
        <f>VLOOKUP(Tabla4[[#This Row],[Producto]],Tabla6[#All],14,FALSE)</f>
        <v>Termico Solar</v>
      </c>
      <c r="U5996" s="284" t="e">
        <f>(IF(Tabla4[[#This Row],[Familia]]="termico solar",Tabla4[[#This Row],[Utilidad Total]]*6%,Tabla4[[#This Row],[Utilidad Total]]*11.5%))/Tabla4[[#This Row],[Total]]</f>
        <v>#N/A</v>
      </c>
      <c r="V5996" s="282" t="e">
        <f>+Tabla4[[#This Row],[Comisión Calculada]]*Tabla4[[#This Row],[Total]]</f>
        <v>#N/A</v>
      </c>
    </row>
    <row r="5997" spans="1:22" hidden="1" x14ac:dyDescent="0.25">
      <c r="A5997" s="100">
        <v>45930</v>
      </c>
      <c r="B5997" t="str">
        <f t="shared" si="281"/>
        <v>September</v>
      </c>
      <c r="C5997" s="46" t="s">
        <v>280</v>
      </c>
      <c r="F5997" s="366" t="s">
        <v>3076</v>
      </c>
      <c r="G5997" s="46" t="s">
        <v>16</v>
      </c>
      <c r="H5997" s="46">
        <v>1</v>
      </c>
      <c r="I5997" s="51">
        <v>4103.8500000000004</v>
      </c>
      <c r="J5997" s="281">
        <f>++Tabla4[[#This Row],[Precio Bruto]]*1.16</f>
        <v>4760.4660000000003</v>
      </c>
      <c r="K5997" s="281">
        <f>+Tabla4[[#This Row],[Precio Unitario Neto]]*Tabla4[[#Headers],[20.85%]]</f>
        <v>992.55716100000006</v>
      </c>
      <c r="L5997" s="282">
        <f>++Tabla4[[#This Row],[Precio Unitario Neto]]-Tabla4[[#This Row],[20.85%]]</f>
        <v>3767.9088390000002</v>
      </c>
      <c r="M5997" s="282" t="e">
        <f>(INDEX(Tabla6[#All],MATCH(Tabla4[[#This Row],[Producto]],Tabla6[[#All],[PRODUCTO]],0),MATCH(Tabla4[[#This Row],[Mes]],Tabla6[#Headers],0)))*(1+Catalogos!$L$2)</f>
        <v>#N/A</v>
      </c>
      <c r="N5997" s="283" t="e">
        <f>+(Tabla4[[#This Row],[Precio Descontado]]-Tabla4[[#This Row],[Precio Base]])*Tabla4[[#This Row],[Cantidad]]</f>
        <v>#N/A</v>
      </c>
      <c r="O5997" s="284" t="e">
        <f>++Tabla4[[#This Row],[Utilidad Total]]/Tabla4[[#This Row],[Total]]</f>
        <v>#N/A</v>
      </c>
      <c r="P5997" s="282">
        <f>++Tabla4[[#This Row],[Precio Descontado]]*Tabla4[[#This Row],[Cantidad]]</f>
        <v>3767.9088390000002</v>
      </c>
      <c r="Q5997" s="282" t="e">
        <f>(INDEX(Tabla6[#All],MATCH(Tabla4[[#This Row],[Producto]],Tabla6[[#All],[PRODUCTO]],0),MATCH(Tabla4[[#This Row],[Mes]],Tabla6[#Headers],0)))</f>
        <v>#N/A</v>
      </c>
      <c r="R5997" s="282" t="e">
        <f>++Tabla4[[#This Row],[Precio Unitario Neto]]-Tabla4[[#This Row],[20.85%]]-Tabla4[[#This Row],[Costo]]</f>
        <v>#N/A</v>
      </c>
      <c r="S5997" s="282" t="e">
        <f>++Tabla4[[#This Row],[U. Bruta Uni]]*Tabla4[[#This Row],[Cantidad]]</f>
        <v>#N/A</v>
      </c>
      <c r="T5997" s="369" t="str">
        <f>VLOOKUP(Tabla4[[#This Row],[Producto]],Tabla6[#All],14,FALSE)</f>
        <v>Termico Solar</v>
      </c>
      <c r="U5997" s="284" t="e">
        <f>(IF(Tabla4[[#This Row],[Familia]]="termico solar",Tabla4[[#This Row],[Utilidad Total]]*6%,Tabla4[[#This Row],[Utilidad Total]]*11.5%))/Tabla4[[#This Row],[Total]]</f>
        <v>#N/A</v>
      </c>
      <c r="V5997" s="282" t="e">
        <f>+Tabla4[[#This Row],[Comisión Calculada]]*Tabla4[[#This Row],[Total]]</f>
        <v>#N/A</v>
      </c>
    </row>
    <row r="5998" spans="1:22" hidden="1" x14ac:dyDescent="0.25">
      <c r="A5998" s="100">
        <v>45930</v>
      </c>
      <c r="B5998" t="str">
        <f t="shared" si="281"/>
        <v>September</v>
      </c>
      <c r="C5998" s="46" t="s">
        <v>280</v>
      </c>
      <c r="F5998" s="366" t="s">
        <v>3077</v>
      </c>
      <c r="G5998" s="46" t="s">
        <v>83</v>
      </c>
      <c r="H5998" s="46">
        <v>1</v>
      </c>
      <c r="I5998" s="51">
        <v>8858.76</v>
      </c>
      <c r="J5998" s="281">
        <f>++Tabla4[[#This Row],[Precio Bruto]]*1.16</f>
        <v>10276.161599999999</v>
      </c>
      <c r="K5998" s="281">
        <f>+Tabla4[[#This Row],[Precio Unitario Neto]]*Tabla4[[#Headers],[20.85%]]</f>
        <v>2142.5796935999997</v>
      </c>
      <c r="L5998" s="282">
        <f>++Tabla4[[#This Row],[Precio Unitario Neto]]-Tabla4[[#This Row],[20.85%]]</f>
        <v>8133.5819063999998</v>
      </c>
      <c r="M5998" s="282" t="e">
        <f>(INDEX(Tabla6[#All],MATCH(Tabla4[[#This Row],[Producto]],Tabla6[[#All],[PRODUCTO]],0),MATCH(Tabla4[[#This Row],[Mes]],Tabla6[#Headers],0)))*(1+Catalogos!$L$2)</f>
        <v>#N/A</v>
      </c>
      <c r="N5998" s="283" t="e">
        <f>+(Tabla4[[#This Row],[Precio Descontado]]-Tabla4[[#This Row],[Precio Base]])*Tabla4[[#This Row],[Cantidad]]</f>
        <v>#N/A</v>
      </c>
      <c r="O5998" s="284" t="e">
        <f>++Tabla4[[#This Row],[Utilidad Total]]/Tabla4[[#This Row],[Total]]</f>
        <v>#N/A</v>
      </c>
      <c r="P5998" s="282">
        <f>++Tabla4[[#This Row],[Precio Descontado]]*Tabla4[[#This Row],[Cantidad]]</f>
        <v>8133.5819063999998</v>
      </c>
      <c r="Q5998" s="282" t="e">
        <f>(INDEX(Tabla6[#All],MATCH(Tabla4[[#This Row],[Producto]],Tabla6[[#All],[PRODUCTO]],0),MATCH(Tabla4[[#This Row],[Mes]],Tabla6[#Headers],0)))</f>
        <v>#N/A</v>
      </c>
      <c r="R5998" s="282" t="e">
        <f>++Tabla4[[#This Row],[Precio Unitario Neto]]-Tabla4[[#This Row],[20.85%]]-Tabla4[[#This Row],[Costo]]</f>
        <v>#N/A</v>
      </c>
      <c r="S5998" s="282" t="e">
        <f>++Tabla4[[#This Row],[U. Bruta Uni]]*Tabla4[[#This Row],[Cantidad]]</f>
        <v>#N/A</v>
      </c>
      <c r="T5998" s="369" t="str">
        <f>VLOOKUP(Tabla4[[#This Row],[Producto]],Tabla6[#All],14,FALSE)</f>
        <v>Termico Solar</v>
      </c>
      <c r="U5998" s="284" t="e">
        <f>(IF(Tabla4[[#This Row],[Familia]]="termico solar",Tabla4[[#This Row],[Utilidad Total]]*6%,Tabla4[[#This Row],[Utilidad Total]]*11.5%))/Tabla4[[#This Row],[Total]]</f>
        <v>#N/A</v>
      </c>
      <c r="V5998" s="282" t="e">
        <f>+Tabla4[[#This Row],[Comisión Calculada]]*Tabla4[[#This Row],[Total]]</f>
        <v>#N/A</v>
      </c>
    </row>
    <row r="5999" spans="1:22" hidden="1" x14ac:dyDescent="0.25">
      <c r="A5999" s="100">
        <v>45930</v>
      </c>
      <c r="B5999" t="str">
        <f t="shared" si="281"/>
        <v>September</v>
      </c>
      <c r="C5999" s="46" t="s">
        <v>280</v>
      </c>
      <c r="F5999" s="366" t="s">
        <v>3077</v>
      </c>
      <c r="G5999" s="46" t="s">
        <v>17</v>
      </c>
      <c r="H5999" s="46">
        <v>1</v>
      </c>
      <c r="I5999" s="51">
        <v>4622.28</v>
      </c>
      <c r="J5999" s="281">
        <f>++Tabla4[[#This Row],[Precio Bruto]]*1.16</f>
        <v>5361.8447999999989</v>
      </c>
      <c r="K5999" s="281">
        <f>+Tabla4[[#This Row],[Precio Unitario Neto]]*Tabla4[[#Headers],[20.85%]]</f>
        <v>1117.9446407999997</v>
      </c>
      <c r="L5999" s="282">
        <f>++Tabla4[[#This Row],[Precio Unitario Neto]]-Tabla4[[#This Row],[20.85%]]</f>
        <v>4243.9001591999995</v>
      </c>
      <c r="M5999" s="282" t="e">
        <f>(INDEX(Tabla6[#All],MATCH(Tabla4[[#This Row],[Producto]],Tabla6[[#All],[PRODUCTO]],0),MATCH(Tabla4[[#This Row],[Mes]],Tabla6[#Headers],0)))*(1+Catalogos!$L$2)</f>
        <v>#N/A</v>
      </c>
      <c r="N5999" s="283" t="e">
        <f>+(Tabla4[[#This Row],[Precio Descontado]]-Tabla4[[#This Row],[Precio Base]])*Tabla4[[#This Row],[Cantidad]]</f>
        <v>#N/A</v>
      </c>
      <c r="O5999" s="284" t="e">
        <f>++Tabla4[[#This Row],[Utilidad Total]]/Tabla4[[#This Row],[Total]]</f>
        <v>#N/A</v>
      </c>
      <c r="P5999" s="282">
        <f>++Tabla4[[#This Row],[Precio Descontado]]*Tabla4[[#This Row],[Cantidad]]</f>
        <v>4243.9001591999995</v>
      </c>
      <c r="Q5999" s="282" t="e">
        <f>(INDEX(Tabla6[#All],MATCH(Tabla4[[#This Row],[Producto]],Tabla6[[#All],[PRODUCTO]],0),MATCH(Tabla4[[#This Row],[Mes]],Tabla6[#Headers],0)))</f>
        <v>#N/A</v>
      </c>
      <c r="R5999" s="282" t="e">
        <f>++Tabla4[[#This Row],[Precio Unitario Neto]]-Tabla4[[#This Row],[20.85%]]-Tabla4[[#This Row],[Costo]]</f>
        <v>#N/A</v>
      </c>
      <c r="S5999" s="282" t="e">
        <f>++Tabla4[[#This Row],[U. Bruta Uni]]*Tabla4[[#This Row],[Cantidad]]</f>
        <v>#N/A</v>
      </c>
      <c r="T5999" s="369" t="str">
        <f>VLOOKUP(Tabla4[[#This Row],[Producto]],Tabla6[#All],14,FALSE)</f>
        <v>Termico Solar</v>
      </c>
      <c r="U5999" s="284" t="e">
        <f>(IF(Tabla4[[#This Row],[Familia]]="termico solar",Tabla4[[#This Row],[Utilidad Total]]*6%,Tabla4[[#This Row],[Utilidad Total]]*11.5%))/Tabla4[[#This Row],[Total]]</f>
        <v>#N/A</v>
      </c>
      <c r="V5999" s="282" t="e">
        <f>+Tabla4[[#This Row],[Comisión Calculada]]*Tabla4[[#This Row],[Total]]</f>
        <v>#N/A</v>
      </c>
    </row>
    <row r="6000" spans="1:22" hidden="1" x14ac:dyDescent="0.25">
      <c r="A6000" s="100">
        <v>45930</v>
      </c>
      <c r="B6000" t="str">
        <f t="shared" si="281"/>
        <v>September</v>
      </c>
      <c r="C6000" s="46" t="s">
        <v>280</v>
      </c>
      <c r="F6000" s="366" t="s">
        <v>3078</v>
      </c>
      <c r="G6000" s="46" t="s">
        <v>18</v>
      </c>
      <c r="H6000" s="46">
        <v>1</v>
      </c>
      <c r="I6000" s="51">
        <v>5367.65</v>
      </c>
      <c r="J6000" s="281">
        <f>++Tabla4[[#This Row],[Precio Bruto]]*1.16</f>
        <v>6226.4739999999993</v>
      </c>
      <c r="K6000" s="281">
        <f>+Tabla4[[#This Row],[Precio Unitario Neto]]*Tabla4[[#Headers],[20.85%]]</f>
        <v>1298.2198289999999</v>
      </c>
      <c r="L6000" s="282">
        <f>++Tabla4[[#This Row],[Precio Unitario Neto]]-Tabla4[[#This Row],[20.85%]]</f>
        <v>4928.2541709999996</v>
      </c>
      <c r="M6000" s="282" t="e">
        <f>(INDEX(Tabla6[#All],MATCH(Tabla4[[#This Row],[Producto]],Tabla6[[#All],[PRODUCTO]],0),MATCH(Tabla4[[#This Row],[Mes]],Tabla6[#Headers],0)))*(1+Catalogos!$L$2)</f>
        <v>#N/A</v>
      </c>
      <c r="N6000" s="283" t="e">
        <f>+(Tabla4[[#This Row],[Precio Descontado]]-Tabla4[[#This Row],[Precio Base]])*Tabla4[[#This Row],[Cantidad]]</f>
        <v>#N/A</v>
      </c>
      <c r="O6000" s="284" t="e">
        <f>++Tabla4[[#This Row],[Utilidad Total]]/Tabla4[[#This Row],[Total]]</f>
        <v>#N/A</v>
      </c>
      <c r="P6000" s="282">
        <f>++Tabla4[[#This Row],[Precio Descontado]]*Tabla4[[#This Row],[Cantidad]]</f>
        <v>4928.2541709999996</v>
      </c>
      <c r="Q6000" s="282" t="e">
        <f>(INDEX(Tabla6[#All],MATCH(Tabla4[[#This Row],[Producto]],Tabla6[[#All],[PRODUCTO]],0),MATCH(Tabla4[[#This Row],[Mes]],Tabla6[#Headers],0)))</f>
        <v>#N/A</v>
      </c>
      <c r="R6000" s="282" t="e">
        <f>++Tabla4[[#This Row],[Precio Unitario Neto]]-Tabla4[[#This Row],[20.85%]]-Tabla4[[#This Row],[Costo]]</f>
        <v>#N/A</v>
      </c>
      <c r="S6000" s="282" t="e">
        <f>++Tabla4[[#This Row],[U. Bruta Uni]]*Tabla4[[#This Row],[Cantidad]]</f>
        <v>#N/A</v>
      </c>
      <c r="T6000" s="369" t="str">
        <f>VLOOKUP(Tabla4[[#This Row],[Producto]],Tabla6[#All],14,FALSE)</f>
        <v>Termico Solar</v>
      </c>
      <c r="U6000" s="284" t="e">
        <f>(IF(Tabla4[[#This Row],[Familia]]="termico solar",Tabla4[[#This Row],[Utilidad Total]]*6%,Tabla4[[#This Row],[Utilidad Total]]*11.5%))/Tabla4[[#This Row],[Total]]</f>
        <v>#N/A</v>
      </c>
      <c r="V6000" s="282" t="e">
        <f>+Tabla4[[#This Row],[Comisión Calculada]]*Tabla4[[#This Row],[Total]]</f>
        <v>#N/A</v>
      </c>
    </row>
    <row r="6001" spans="1:22" hidden="1" x14ac:dyDescent="0.25">
      <c r="A6001" s="100">
        <v>45930</v>
      </c>
      <c r="B6001" t="str">
        <f t="shared" si="281"/>
        <v>September</v>
      </c>
      <c r="C6001" s="46" t="s">
        <v>280</v>
      </c>
      <c r="F6001" s="366" t="s">
        <v>3079</v>
      </c>
      <c r="G6001" s="46" t="s">
        <v>17</v>
      </c>
      <c r="H6001" s="46">
        <v>3</v>
      </c>
      <c r="I6001" s="51">
        <v>4622.28</v>
      </c>
      <c r="J6001" s="281">
        <f>++Tabla4[[#This Row],[Precio Bruto]]*1.16</f>
        <v>5361.8447999999989</v>
      </c>
      <c r="K6001" s="281">
        <f>+Tabla4[[#This Row],[Precio Unitario Neto]]*Tabla4[[#Headers],[20.85%]]</f>
        <v>1117.9446407999997</v>
      </c>
      <c r="L6001" s="282">
        <f>++Tabla4[[#This Row],[Precio Unitario Neto]]-Tabla4[[#This Row],[20.85%]]</f>
        <v>4243.9001591999995</v>
      </c>
      <c r="M6001" s="282" t="e">
        <f>(INDEX(Tabla6[#All],MATCH(Tabla4[[#This Row],[Producto]],Tabla6[[#All],[PRODUCTO]],0),MATCH(Tabla4[[#This Row],[Mes]],Tabla6[#Headers],0)))*(1+Catalogos!$L$2)</f>
        <v>#N/A</v>
      </c>
      <c r="N6001" s="283" t="e">
        <f>+(Tabla4[[#This Row],[Precio Descontado]]-Tabla4[[#This Row],[Precio Base]])*Tabla4[[#This Row],[Cantidad]]</f>
        <v>#N/A</v>
      </c>
      <c r="O6001" s="284" t="e">
        <f>++Tabla4[[#This Row],[Utilidad Total]]/Tabla4[[#This Row],[Total]]</f>
        <v>#N/A</v>
      </c>
      <c r="P6001" s="282">
        <f>++Tabla4[[#This Row],[Precio Descontado]]*Tabla4[[#This Row],[Cantidad]]</f>
        <v>12731.700477599999</v>
      </c>
      <c r="Q6001" s="282" t="e">
        <f>(INDEX(Tabla6[#All],MATCH(Tabla4[[#This Row],[Producto]],Tabla6[[#All],[PRODUCTO]],0),MATCH(Tabla4[[#This Row],[Mes]],Tabla6[#Headers],0)))</f>
        <v>#N/A</v>
      </c>
      <c r="R6001" s="282" t="e">
        <f>++Tabla4[[#This Row],[Precio Unitario Neto]]-Tabla4[[#This Row],[20.85%]]-Tabla4[[#This Row],[Costo]]</f>
        <v>#N/A</v>
      </c>
      <c r="S6001" s="282" t="e">
        <f>++Tabla4[[#This Row],[U. Bruta Uni]]*Tabla4[[#This Row],[Cantidad]]</f>
        <v>#N/A</v>
      </c>
      <c r="T6001" s="369" t="str">
        <f>VLOOKUP(Tabla4[[#This Row],[Producto]],Tabla6[#All],14,FALSE)</f>
        <v>Termico Solar</v>
      </c>
      <c r="U6001" s="284" t="e">
        <f>(IF(Tabla4[[#This Row],[Familia]]="termico solar",Tabla4[[#This Row],[Utilidad Total]]*6%,Tabla4[[#This Row],[Utilidad Total]]*11.5%))/Tabla4[[#This Row],[Total]]</f>
        <v>#N/A</v>
      </c>
      <c r="V6001" s="282" t="e">
        <f>+Tabla4[[#This Row],[Comisión Calculada]]*Tabla4[[#This Row],[Total]]</f>
        <v>#N/A</v>
      </c>
    </row>
    <row r="6002" spans="1:22" hidden="1" x14ac:dyDescent="0.25">
      <c r="A6002" s="100">
        <v>45930</v>
      </c>
      <c r="B6002" t="str">
        <f t="shared" si="281"/>
        <v>September</v>
      </c>
      <c r="C6002" s="46" t="s">
        <v>280</v>
      </c>
      <c r="F6002" s="366" t="s">
        <v>3079</v>
      </c>
      <c r="G6002" s="46" t="s">
        <v>18</v>
      </c>
      <c r="H6002" s="46">
        <v>2</v>
      </c>
      <c r="I6002" s="51">
        <v>5367.65</v>
      </c>
      <c r="J6002" s="281">
        <f>++Tabla4[[#This Row],[Precio Bruto]]*1.16</f>
        <v>6226.4739999999993</v>
      </c>
      <c r="K6002" s="281">
        <f>+Tabla4[[#This Row],[Precio Unitario Neto]]*Tabla4[[#Headers],[20.85%]]</f>
        <v>1298.2198289999999</v>
      </c>
      <c r="L6002" s="282">
        <f>++Tabla4[[#This Row],[Precio Unitario Neto]]-Tabla4[[#This Row],[20.85%]]</f>
        <v>4928.2541709999996</v>
      </c>
      <c r="M6002" s="282" t="e">
        <f>(INDEX(Tabla6[#All],MATCH(Tabla4[[#This Row],[Producto]],Tabla6[[#All],[PRODUCTO]],0),MATCH(Tabla4[[#This Row],[Mes]],Tabla6[#Headers],0)))*(1+Catalogos!$L$2)</f>
        <v>#N/A</v>
      </c>
      <c r="N6002" s="283" t="e">
        <f>+(Tabla4[[#This Row],[Precio Descontado]]-Tabla4[[#This Row],[Precio Base]])*Tabla4[[#This Row],[Cantidad]]</f>
        <v>#N/A</v>
      </c>
      <c r="O6002" s="284" t="e">
        <f>++Tabla4[[#This Row],[Utilidad Total]]/Tabla4[[#This Row],[Total]]</f>
        <v>#N/A</v>
      </c>
      <c r="P6002" s="282">
        <f>++Tabla4[[#This Row],[Precio Descontado]]*Tabla4[[#This Row],[Cantidad]]</f>
        <v>9856.5083419999992</v>
      </c>
      <c r="Q6002" s="282" t="e">
        <f>(INDEX(Tabla6[#All],MATCH(Tabla4[[#This Row],[Producto]],Tabla6[[#All],[PRODUCTO]],0),MATCH(Tabla4[[#This Row],[Mes]],Tabla6[#Headers],0)))</f>
        <v>#N/A</v>
      </c>
      <c r="R6002" s="282" t="e">
        <f>++Tabla4[[#This Row],[Precio Unitario Neto]]-Tabla4[[#This Row],[20.85%]]-Tabla4[[#This Row],[Costo]]</f>
        <v>#N/A</v>
      </c>
      <c r="S6002" s="282" t="e">
        <f>++Tabla4[[#This Row],[U. Bruta Uni]]*Tabla4[[#This Row],[Cantidad]]</f>
        <v>#N/A</v>
      </c>
      <c r="T6002" s="369" t="str">
        <f>VLOOKUP(Tabla4[[#This Row],[Producto]],Tabla6[#All],14,FALSE)</f>
        <v>Termico Solar</v>
      </c>
      <c r="U6002" s="284" t="e">
        <f>(IF(Tabla4[[#This Row],[Familia]]="termico solar",Tabla4[[#This Row],[Utilidad Total]]*6%,Tabla4[[#This Row],[Utilidad Total]]*11.5%))/Tabla4[[#This Row],[Total]]</f>
        <v>#N/A</v>
      </c>
      <c r="V6002" s="282" t="e">
        <f>+Tabla4[[#This Row],[Comisión Calculada]]*Tabla4[[#This Row],[Total]]</f>
        <v>#N/A</v>
      </c>
    </row>
    <row r="6003" spans="1:22" hidden="1" x14ac:dyDescent="0.25">
      <c r="A6003" s="100">
        <v>45930</v>
      </c>
      <c r="B6003" t="str">
        <f t="shared" si="281"/>
        <v>September</v>
      </c>
      <c r="C6003" s="46" t="s">
        <v>280</v>
      </c>
      <c r="F6003" s="366" t="s">
        <v>3079</v>
      </c>
      <c r="G6003" s="46" t="s">
        <v>566</v>
      </c>
      <c r="H6003" s="46">
        <v>1</v>
      </c>
      <c r="I6003" s="51">
        <v>2109.4499999999998</v>
      </c>
      <c r="J6003" s="281">
        <f>++Tabla4[[#This Row],[Precio Bruto]]*1.16</f>
        <v>2446.9619999999995</v>
      </c>
      <c r="K6003" s="281">
        <f>+Tabla4[[#This Row],[Precio Unitario Neto]]*Tabla4[[#Headers],[20.85%]]</f>
        <v>510.19157699999988</v>
      </c>
      <c r="L6003" s="282">
        <f>++Tabla4[[#This Row],[Precio Unitario Neto]]-Tabla4[[#This Row],[20.85%]]</f>
        <v>1936.7704229999997</v>
      </c>
      <c r="M6003" s="282" t="e">
        <f>(INDEX(Tabla6[#All],MATCH(Tabla4[[#This Row],[Producto]],Tabla6[[#All],[PRODUCTO]],0),MATCH(Tabla4[[#This Row],[Mes]],Tabla6[#Headers],0)))*(1+Catalogos!$L$2)</f>
        <v>#N/A</v>
      </c>
      <c r="N6003" s="283" t="e">
        <f>+(Tabla4[[#This Row],[Precio Descontado]]-Tabla4[[#This Row],[Precio Base]])*Tabla4[[#This Row],[Cantidad]]</f>
        <v>#N/A</v>
      </c>
      <c r="O6003" s="284" t="e">
        <f>++Tabla4[[#This Row],[Utilidad Total]]/Tabla4[[#This Row],[Total]]</f>
        <v>#N/A</v>
      </c>
      <c r="P6003" s="282">
        <f>++Tabla4[[#This Row],[Precio Descontado]]*Tabla4[[#This Row],[Cantidad]]</f>
        <v>1936.7704229999997</v>
      </c>
      <c r="Q6003" s="282" t="e">
        <f>(INDEX(Tabla6[#All],MATCH(Tabla4[[#This Row],[Producto]],Tabla6[[#All],[PRODUCTO]],0),MATCH(Tabla4[[#This Row],[Mes]],Tabla6[#Headers],0)))</f>
        <v>#N/A</v>
      </c>
      <c r="R6003" s="282" t="e">
        <f>++Tabla4[[#This Row],[Precio Unitario Neto]]-Tabla4[[#This Row],[20.85%]]-Tabla4[[#This Row],[Costo]]</f>
        <v>#N/A</v>
      </c>
      <c r="S6003" s="282" t="e">
        <f>++Tabla4[[#This Row],[U. Bruta Uni]]*Tabla4[[#This Row],[Cantidad]]</f>
        <v>#N/A</v>
      </c>
      <c r="T6003" s="369" t="str">
        <f>VLOOKUP(Tabla4[[#This Row],[Producto]],Tabla6[#All],14,FALSE)</f>
        <v>Termico Solar</v>
      </c>
      <c r="U6003" s="284" t="e">
        <f>(IF(Tabla4[[#This Row],[Familia]]="termico solar",Tabla4[[#This Row],[Utilidad Total]]*6%,Tabla4[[#This Row],[Utilidad Total]]*11.5%))/Tabla4[[#This Row],[Total]]</f>
        <v>#N/A</v>
      </c>
      <c r="V6003" s="282" t="e">
        <f>+Tabla4[[#This Row],[Comisión Calculada]]*Tabla4[[#This Row],[Total]]</f>
        <v>#N/A</v>
      </c>
    </row>
    <row r="6004" spans="1:22" hidden="1" x14ac:dyDescent="0.25">
      <c r="A6004" s="100">
        <v>45930</v>
      </c>
      <c r="B6004" t="str">
        <f t="shared" si="281"/>
        <v>September</v>
      </c>
      <c r="C6004" s="46" t="s">
        <v>280</v>
      </c>
      <c r="F6004" s="366" t="s">
        <v>3079</v>
      </c>
      <c r="G6004" s="46" t="s">
        <v>16</v>
      </c>
      <c r="H6004" s="46">
        <v>1</v>
      </c>
      <c r="I6004" s="51">
        <v>4103.8500000000004</v>
      </c>
      <c r="J6004" s="281">
        <f>++Tabla4[[#This Row],[Precio Bruto]]*1.16</f>
        <v>4760.4660000000003</v>
      </c>
      <c r="K6004" s="281">
        <f>+Tabla4[[#This Row],[Precio Unitario Neto]]*Tabla4[[#Headers],[20.85%]]</f>
        <v>992.55716100000006</v>
      </c>
      <c r="L6004" s="282">
        <f>++Tabla4[[#This Row],[Precio Unitario Neto]]-Tabla4[[#This Row],[20.85%]]</f>
        <v>3767.9088390000002</v>
      </c>
      <c r="M6004" s="282" t="e">
        <f>(INDEX(Tabla6[#All],MATCH(Tabla4[[#This Row],[Producto]],Tabla6[[#All],[PRODUCTO]],0),MATCH(Tabla4[[#This Row],[Mes]],Tabla6[#Headers],0)))*(1+Catalogos!$L$2)</f>
        <v>#N/A</v>
      </c>
      <c r="N6004" s="283" t="e">
        <f>+(Tabla4[[#This Row],[Precio Descontado]]-Tabla4[[#This Row],[Precio Base]])*Tabla4[[#This Row],[Cantidad]]</f>
        <v>#N/A</v>
      </c>
      <c r="O6004" s="284" t="e">
        <f>++Tabla4[[#This Row],[Utilidad Total]]/Tabla4[[#This Row],[Total]]</f>
        <v>#N/A</v>
      </c>
      <c r="P6004" s="282">
        <f>++Tabla4[[#This Row],[Precio Descontado]]*Tabla4[[#This Row],[Cantidad]]</f>
        <v>3767.9088390000002</v>
      </c>
      <c r="Q6004" s="282" t="e">
        <f>(INDEX(Tabla6[#All],MATCH(Tabla4[[#This Row],[Producto]],Tabla6[[#All],[PRODUCTO]],0),MATCH(Tabla4[[#This Row],[Mes]],Tabla6[#Headers],0)))</f>
        <v>#N/A</v>
      </c>
      <c r="R6004" s="282" t="e">
        <f>++Tabla4[[#This Row],[Precio Unitario Neto]]-Tabla4[[#This Row],[20.85%]]-Tabla4[[#This Row],[Costo]]</f>
        <v>#N/A</v>
      </c>
      <c r="S6004" s="282" t="e">
        <f>++Tabla4[[#This Row],[U. Bruta Uni]]*Tabla4[[#This Row],[Cantidad]]</f>
        <v>#N/A</v>
      </c>
      <c r="T6004" s="369" t="str">
        <f>VLOOKUP(Tabla4[[#This Row],[Producto]],Tabla6[#All],14,FALSE)</f>
        <v>Termico Solar</v>
      </c>
      <c r="U6004" s="284" t="e">
        <f>(IF(Tabla4[[#This Row],[Familia]]="termico solar",Tabla4[[#This Row],[Utilidad Total]]*6%,Tabla4[[#This Row],[Utilidad Total]]*11.5%))/Tabla4[[#This Row],[Total]]</f>
        <v>#N/A</v>
      </c>
      <c r="V6004" s="282" t="e">
        <f>+Tabla4[[#This Row],[Comisión Calculada]]*Tabla4[[#This Row],[Total]]</f>
        <v>#N/A</v>
      </c>
    </row>
    <row r="6005" spans="1:22" hidden="1" x14ac:dyDescent="0.25">
      <c r="A6005" s="100">
        <v>45930</v>
      </c>
      <c r="B6005" t="str">
        <f t="shared" si="281"/>
        <v>September</v>
      </c>
      <c r="C6005" s="46" t="s">
        <v>280</v>
      </c>
      <c r="F6005" s="366" t="s">
        <v>3080</v>
      </c>
      <c r="G6005" s="46" t="s">
        <v>83</v>
      </c>
      <c r="H6005" s="46">
        <v>2</v>
      </c>
      <c r="I6005" s="51">
        <v>8858.76</v>
      </c>
      <c r="J6005" s="281">
        <f>++Tabla4[[#This Row],[Precio Bruto]]*1.16</f>
        <v>10276.161599999999</v>
      </c>
      <c r="K6005" s="281">
        <f>+Tabla4[[#This Row],[Precio Unitario Neto]]*Tabla4[[#Headers],[20.85%]]</f>
        <v>2142.5796935999997</v>
      </c>
      <c r="L6005" s="282">
        <f>++Tabla4[[#This Row],[Precio Unitario Neto]]-Tabla4[[#This Row],[20.85%]]</f>
        <v>8133.5819063999998</v>
      </c>
      <c r="M6005" s="282" t="e">
        <f>(INDEX(Tabla6[#All],MATCH(Tabla4[[#This Row],[Producto]],Tabla6[[#All],[PRODUCTO]],0),MATCH(Tabla4[[#This Row],[Mes]],Tabla6[#Headers],0)))*(1+Catalogos!$L$2)</f>
        <v>#N/A</v>
      </c>
      <c r="N6005" s="283" t="e">
        <f>+(Tabla4[[#This Row],[Precio Descontado]]-Tabla4[[#This Row],[Precio Base]])*Tabla4[[#This Row],[Cantidad]]</f>
        <v>#N/A</v>
      </c>
      <c r="O6005" s="284" t="e">
        <f>++Tabla4[[#This Row],[Utilidad Total]]/Tabla4[[#This Row],[Total]]</f>
        <v>#N/A</v>
      </c>
      <c r="P6005" s="282">
        <f>++Tabla4[[#This Row],[Precio Descontado]]*Tabla4[[#This Row],[Cantidad]]</f>
        <v>16267.1638128</v>
      </c>
      <c r="Q6005" s="282" t="e">
        <f>(INDEX(Tabla6[#All],MATCH(Tabla4[[#This Row],[Producto]],Tabla6[[#All],[PRODUCTO]],0),MATCH(Tabla4[[#This Row],[Mes]],Tabla6[#Headers],0)))</f>
        <v>#N/A</v>
      </c>
      <c r="R6005" s="282" t="e">
        <f>++Tabla4[[#This Row],[Precio Unitario Neto]]-Tabla4[[#This Row],[20.85%]]-Tabla4[[#This Row],[Costo]]</f>
        <v>#N/A</v>
      </c>
      <c r="S6005" s="282" t="e">
        <f>++Tabla4[[#This Row],[U. Bruta Uni]]*Tabla4[[#This Row],[Cantidad]]</f>
        <v>#N/A</v>
      </c>
      <c r="T6005" s="369" t="str">
        <f>VLOOKUP(Tabla4[[#This Row],[Producto]],Tabla6[#All],14,FALSE)</f>
        <v>Termico Solar</v>
      </c>
      <c r="U6005" s="284" t="e">
        <f>(IF(Tabla4[[#This Row],[Familia]]="termico solar",Tabla4[[#This Row],[Utilidad Total]]*6%,Tabla4[[#This Row],[Utilidad Total]]*11.5%))/Tabla4[[#This Row],[Total]]</f>
        <v>#N/A</v>
      </c>
      <c r="V6005" s="282" t="e">
        <f>+Tabla4[[#This Row],[Comisión Calculada]]*Tabla4[[#This Row],[Total]]</f>
        <v>#N/A</v>
      </c>
    </row>
    <row r="6006" spans="1:22" hidden="1" x14ac:dyDescent="0.25">
      <c r="A6006" s="100">
        <v>45930</v>
      </c>
      <c r="B6006" t="str">
        <f t="shared" si="281"/>
        <v>September</v>
      </c>
      <c r="C6006" s="46" t="s">
        <v>280</v>
      </c>
      <c r="F6006" s="366" t="s">
        <v>3080</v>
      </c>
      <c r="G6006" s="46" t="s">
        <v>18</v>
      </c>
      <c r="H6006" s="46">
        <v>1</v>
      </c>
      <c r="I6006" s="51">
        <v>5367.65</v>
      </c>
      <c r="J6006" s="281">
        <f>++Tabla4[[#This Row],[Precio Bruto]]*1.16</f>
        <v>6226.4739999999993</v>
      </c>
      <c r="K6006" s="281">
        <f>+Tabla4[[#This Row],[Precio Unitario Neto]]*Tabla4[[#Headers],[20.85%]]</f>
        <v>1298.2198289999999</v>
      </c>
      <c r="L6006" s="282">
        <f>++Tabla4[[#This Row],[Precio Unitario Neto]]-Tabla4[[#This Row],[20.85%]]</f>
        <v>4928.2541709999996</v>
      </c>
      <c r="M6006" s="282" t="e">
        <f>(INDEX(Tabla6[#All],MATCH(Tabla4[[#This Row],[Producto]],Tabla6[[#All],[PRODUCTO]],0),MATCH(Tabla4[[#This Row],[Mes]],Tabla6[#Headers],0)))*(1+Catalogos!$L$2)</f>
        <v>#N/A</v>
      </c>
      <c r="N6006" s="283" t="e">
        <f>+(Tabla4[[#This Row],[Precio Descontado]]-Tabla4[[#This Row],[Precio Base]])*Tabla4[[#This Row],[Cantidad]]</f>
        <v>#N/A</v>
      </c>
      <c r="O6006" s="284" t="e">
        <f>++Tabla4[[#This Row],[Utilidad Total]]/Tabla4[[#This Row],[Total]]</f>
        <v>#N/A</v>
      </c>
      <c r="P6006" s="282">
        <f>++Tabla4[[#This Row],[Precio Descontado]]*Tabla4[[#This Row],[Cantidad]]</f>
        <v>4928.2541709999996</v>
      </c>
      <c r="Q6006" s="282" t="e">
        <f>(INDEX(Tabla6[#All],MATCH(Tabla4[[#This Row],[Producto]],Tabla6[[#All],[PRODUCTO]],0),MATCH(Tabla4[[#This Row],[Mes]],Tabla6[#Headers],0)))</f>
        <v>#N/A</v>
      </c>
      <c r="R6006" s="282" t="e">
        <f>++Tabla4[[#This Row],[Precio Unitario Neto]]-Tabla4[[#This Row],[20.85%]]-Tabla4[[#This Row],[Costo]]</f>
        <v>#N/A</v>
      </c>
      <c r="S6006" s="282" t="e">
        <f>++Tabla4[[#This Row],[U. Bruta Uni]]*Tabla4[[#This Row],[Cantidad]]</f>
        <v>#N/A</v>
      </c>
      <c r="T6006" s="369" t="str">
        <f>VLOOKUP(Tabla4[[#This Row],[Producto]],Tabla6[#All],14,FALSE)</f>
        <v>Termico Solar</v>
      </c>
      <c r="U6006" s="284" t="e">
        <f>(IF(Tabla4[[#This Row],[Familia]]="termico solar",Tabla4[[#This Row],[Utilidad Total]]*6%,Tabla4[[#This Row],[Utilidad Total]]*11.5%))/Tabla4[[#This Row],[Total]]</f>
        <v>#N/A</v>
      </c>
      <c r="V6006" s="282" t="e">
        <f>+Tabla4[[#This Row],[Comisión Calculada]]*Tabla4[[#This Row],[Total]]</f>
        <v>#N/A</v>
      </c>
    </row>
    <row r="6007" spans="1:22" hidden="1" x14ac:dyDescent="0.25">
      <c r="A6007" s="100">
        <v>45930</v>
      </c>
      <c r="B6007" t="str">
        <f t="shared" si="281"/>
        <v>September</v>
      </c>
      <c r="C6007" s="46" t="s">
        <v>280</v>
      </c>
      <c r="F6007" s="366" t="s">
        <v>3080</v>
      </c>
      <c r="G6007" s="46" t="s">
        <v>16</v>
      </c>
      <c r="H6007" s="46">
        <v>2</v>
      </c>
      <c r="I6007" s="51">
        <v>4103.8500000000004</v>
      </c>
      <c r="J6007" s="281">
        <f>++Tabla4[[#This Row],[Precio Bruto]]*1.16</f>
        <v>4760.4660000000003</v>
      </c>
      <c r="K6007" s="281">
        <f>+Tabla4[[#This Row],[Precio Unitario Neto]]*Tabla4[[#Headers],[20.85%]]</f>
        <v>992.55716100000006</v>
      </c>
      <c r="L6007" s="282">
        <f>++Tabla4[[#This Row],[Precio Unitario Neto]]-Tabla4[[#This Row],[20.85%]]</f>
        <v>3767.9088390000002</v>
      </c>
      <c r="M6007" s="282" t="e">
        <f>(INDEX(Tabla6[#All],MATCH(Tabla4[[#This Row],[Producto]],Tabla6[[#All],[PRODUCTO]],0),MATCH(Tabla4[[#This Row],[Mes]],Tabla6[#Headers],0)))*(1+Catalogos!$L$2)</f>
        <v>#N/A</v>
      </c>
      <c r="N6007" s="283" t="e">
        <f>+(Tabla4[[#This Row],[Precio Descontado]]-Tabla4[[#This Row],[Precio Base]])*Tabla4[[#This Row],[Cantidad]]</f>
        <v>#N/A</v>
      </c>
      <c r="O6007" s="284" t="e">
        <f>++Tabla4[[#This Row],[Utilidad Total]]/Tabla4[[#This Row],[Total]]</f>
        <v>#N/A</v>
      </c>
      <c r="P6007" s="282">
        <f>++Tabla4[[#This Row],[Precio Descontado]]*Tabla4[[#This Row],[Cantidad]]</f>
        <v>7535.8176780000003</v>
      </c>
      <c r="Q6007" s="282" t="e">
        <f>(INDEX(Tabla6[#All],MATCH(Tabla4[[#This Row],[Producto]],Tabla6[[#All],[PRODUCTO]],0),MATCH(Tabla4[[#This Row],[Mes]],Tabla6[#Headers],0)))</f>
        <v>#N/A</v>
      </c>
      <c r="R6007" s="282" t="e">
        <f>++Tabla4[[#This Row],[Precio Unitario Neto]]-Tabla4[[#This Row],[20.85%]]-Tabla4[[#This Row],[Costo]]</f>
        <v>#N/A</v>
      </c>
      <c r="S6007" s="282" t="e">
        <f>++Tabla4[[#This Row],[U. Bruta Uni]]*Tabla4[[#This Row],[Cantidad]]</f>
        <v>#N/A</v>
      </c>
      <c r="T6007" s="369" t="str">
        <f>VLOOKUP(Tabla4[[#This Row],[Producto]],Tabla6[#All],14,FALSE)</f>
        <v>Termico Solar</v>
      </c>
      <c r="U6007" s="284" t="e">
        <f>(IF(Tabla4[[#This Row],[Familia]]="termico solar",Tabla4[[#This Row],[Utilidad Total]]*6%,Tabla4[[#This Row],[Utilidad Total]]*11.5%))/Tabla4[[#This Row],[Total]]</f>
        <v>#N/A</v>
      </c>
      <c r="V6007" s="282" t="e">
        <f>+Tabla4[[#This Row],[Comisión Calculada]]*Tabla4[[#This Row],[Total]]</f>
        <v>#N/A</v>
      </c>
    </row>
    <row r="6008" spans="1:22" hidden="1" x14ac:dyDescent="0.25">
      <c r="A6008" s="100">
        <v>45930</v>
      </c>
      <c r="B6008" t="str">
        <f t="shared" si="281"/>
        <v>September</v>
      </c>
      <c r="C6008" s="46" t="s">
        <v>280</v>
      </c>
      <c r="F6008" s="366" t="s">
        <v>3081</v>
      </c>
      <c r="G6008" s="46" t="s">
        <v>566</v>
      </c>
      <c r="H6008" s="46">
        <v>3</v>
      </c>
      <c r="I6008" s="51">
        <v>2109.4500000000003</v>
      </c>
      <c r="J6008" s="281">
        <f>++Tabla4[[#This Row],[Precio Bruto]]*1.16</f>
        <v>2446.962</v>
      </c>
      <c r="K6008" s="281">
        <f>+Tabla4[[#This Row],[Precio Unitario Neto]]*Tabla4[[#Headers],[20.85%]]</f>
        <v>510.191577</v>
      </c>
      <c r="L6008" s="282">
        <f>++Tabla4[[#This Row],[Precio Unitario Neto]]-Tabla4[[#This Row],[20.85%]]</f>
        <v>1936.7704229999999</v>
      </c>
      <c r="M6008" s="282" t="e">
        <f>(INDEX(Tabla6[#All],MATCH(Tabla4[[#This Row],[Producto]],Tabla6[[#All],[PRODUCTO]],0),MATCH(Tabla4[[#This Row],[Mes]],Tabla6[#Headers],0)))*(1+Catalogos!$L$2)</f>
        <v>#N/A</v>
      </c>
      <c r="N6008" s="283" t="e">
        <f>+(Tabla4[[#This Row],[Precio Descontado]]-Tabla4[[#This Row],[Precio Base]])*Tabla4[[#This Row],[Cantidad]]</f>
        <v>#N/A</v>
      </c>
      <c r="O6008" s="284" t="e">
        <f>++Tabla4[[#This Row],[Utilidad Total]]/Tabla4[[#This Row],[Total]]</f>
        <v>#N/A</v>
      </c>
      <c r="P6008" s="282">
        <f>++Tabla4[[#This Row],[Precio Descontado]]*Tabla4[[#This Row],[Cantidad]]</f>
        <v>5810.3112689999998</v>
      </c>
      <c r="Q6008" s="282" t="e">
        <f>(INDEX(Tabla6[#All],MATCH(Tabla4[[#This Row],[Producto]],Tabla6[[#All],[PRODUCTO]],0),MATCH(Tabla4[[#This Row],[Mes]],Tabla6[#Headers],0)))</f>
        <v>#N/A</v>
      </c>
      <c r="R6008" s="282" t="e">
        <f>++Tabla4[[#This Row],[Precio Unitario Neto]]-Tabla4[[#This Row],[20.85%]]-Tabla4[[#This Row],[Costo]]</f>
        <v>#N/A</v>
      </c>
      <c r="S6008" s="282" t="e">
        <f>++Tabla4[[#This Row],[U. Bruta Uni]]*Tabla4[[#This Row],[Cantidad]]</f>
        <v>#N/A</v>
      </c>
      <c r="T6008" s="369" t="str">
        <f>VLOOKUP(Tabla4[[#This Row],[Producto]],Tabla6[#All],14,FALSE)</f>
        <v>Termico Solar</v>
      </c>
      <c r="U6008" s="284" t="e">
        <f>(IF(Tabla4[[#This Row],[Familia]]="termico solar",Tabla4[[#This Row],[Utilidad Total]]*6%,Tabla4[[#This Row],[Utilidad Total]]*11.5%))/Tabla4[[#This Row],[Total]]</f>
        <v>#N/A</v>
      </c>
      <c r="V6008" s="282" t="e">
        <f>+Tabla4[[#This Row],[Comisión Calculada]]*Tabla4[[#This Row],[Total]]</f>
        <v>#N/A</v>
      </c>
    </row>
    <row r="6009" spans="1:22" hidden="1" x14ac:dyDescent="0.25">
      <c r="A6009" s="100">
        <v>45930</v>
      </c>
      <c r="B6009" t="str">
        <f t="shared" si="281"/>
        <v>September</v>
      </c>
      <c r="C6009" s="46" t="s">
        <v>280</v>
      </c>
      <c r="F6009" s="366" t="s">
        <v>3082</v>
      </c>
      <c r="G6009" s="46" t="s">
        <v>83</v>
      </c>
      <c r="H6009" s="46">
        <v>1</v>
      </c>
      <c r="I6009" s="51">
        <v>8858.76</v>
      </c>
      <c r="J6009" s="281">
        <f>++Tabla4[[#This Row],[Precio Bruto]]*1.16</f>
        <v>10276.161599999999</v>
      </c>
      <c r="K6009" s="281">
        <f>+Tabla4[[#This Row],[Precio Unitario Neto]]*Tabla4[[#Headers],[20.85%]]</f>
        <v>2142.5796935999997</v>
      </c>
      <c r="L6009" s="282">
        <f>++Tabla4[[#This Row],[Precio Unitario Neto]]-Tabla4[[#This Row],[20.85%]]</f>
        <v>8133.5819063999998</v>
      </c>
      <c r="M6009" s="282" t="e">
        <f>(INDEX(Tabla6[#All],MATCH(Tabla4[[#This Row],[Producto]],Tabla6[[#All],[PRODUCTO]],0),MATCH(Tabla4[[#This Row],[Mes]],Tabla6[#Headers],0)))*(1+Catalogos!$L$2)</f>
        <v>#N/A</v>
      </c>
      <c r="N6009" s="283" t="e">
        <f>+(Tabla4[[#This Row],[Precio Descontado]]-Tabla4[[#This Row],[Precio Base]])*Tabla4[[#This Row],[Cantidad]]</f>
        <v>#N/A</v>
      </c>
      <c r="O6009" s="284" t="e">
        <f>++Tabla4[[#This Row],[Utilidad Total]]/Tabla4[[#This Row],[Total]]</f>
        <v>#N/A</v>
      </c>
      <c r="P6009" s="282">
        <f>++Tabla4[[#This Row],[Precio Descontado]]*Tabla4[[#This Row],[Cantidad]]</f>
        <v>8133.5819063999998</v>
      </c>
      <c r="Q6009" s="282" t="e">
        <f>(INDEX(Tabla6[#All],MATCH(Tabla4[[#This Row],[Producto]],Tabla6[[#All],[PRODUCTO]],0),MATCH(Tabla4[[#This Row],[Mes]],Tabla6[#Headers],0)))</f>
        <v>#N/A</v>
      </c>
      <c r="R6009" s="282" t="e">
        <f>++Tabla4[[#This Row],[Precio Unitario Neto]]-Tabla4[[#This Row],[20.85%]]-Tabla4[[#This Row],[Costo]]</f>
        <v>#N/A</v>
      </c>
      <c r="S6009" s="282" t="e">
        <f>++Tabla4[[#This Row],[U. Bruta Uni]]*Tabla4[[#This Row],[Cantidad]]</f>
        <v>#N/A</v>
      </c>
      <c r="T6009" s="369" t="str">
        <f>VLOOKUP(Tabla4[[#This Row],[Producto]],Tabla6[#All],14,FALSE)</f>
        <v>Termico Solar</v>
      </c>
      <c r="U6009" s="284" t="e">
        <f>(IF(Tabla4[[#This Row],[Familia]]="termico solar",Tabla4[[#This Row],[Utilidad Total]]*6%,Tabla4[[#This Row],[Utilidad Total]]*11.5%))/Tabla4[[#This Row],[Total]]</f>
        <v>#N/A</v>
      </c>
      <c r="V6009" s="282" t="e">
        <f>+Tabla4[[#This Row],[Comisión Calculada]]*Tabla4[[#This Row],[Total]]</f>
        <v>#N/A</v>
      </c>
    </row>
    <row r="6010" spans="1:22" hidden="1" x14ac:dyDescent="0.25">
      <c r="A6010" s="100">
        <v>45930</v>
      </c>
      <c r="B6010" t="str">
        <f t="shared" si="281"/>
        <v>September</v>
      </c>
      <c r="C6010" s="46" t="s">
        <v>280</v>
      </c>
      <c r="F6010" s="366" t="s">
        <v>3082</v>
      </c>
      <c r="G6010" s="46" t="s">
        <v>566</v>
      </c>
      <c r="H6010" s="46">
        <v>1</v>
      </c>
      <c r="I6010" s="51">
        <v>2109.4499999999998</v>
      </c>
      <c r="J6010" s="281">
        <f>++Tabla4[[#This Row],[Precio Bruto]]*1.16</f>
        <v>2446.9619999999995</v>
      </c>
      <c r="K6010" s="281">
        <f>+Tabla4[[#This Row],[Precio Unitario Neto]]*Tabla4[[#Headers],[20.85%]]</f>
        <v>510.19157699999988</v>
      </c>
      <c r="L6010" s="282">
        <f>++Tabla4[[#This Row],[Precio Unitario Neto]]-Tabla4[[#This Row],[20.85%]]</f>
        <v>1936.7704229999997</v>
      </c>
      <c r="M6010" s="282" t="e">
        <f>(INDEX(Tabla6[#All],MATCH(Tabla4[[#This Row],[Producto]],Tabla6[[#All],[PRODUCTO]],0),MATCH(Tabla4[[#This Row],[Mes]],Tabla6[#Headers],0)))*(1+Catalogos!$L$2)</f>
        <v>#N/A</v>
      </c>
      <c r="N6010" s="283" t="e">
        <f>+(Tabla4[[#This Row],[Precio Descontado]]-Tabla4[[#This Row],[Precio Base]])*Tabla4[[#This Row],[Cantidad]]</f>
        <v>#N/A</v>
      </c>
      <c r="O6010" s="284" t="e">
        <f>++Tabla4[[#This Row],[Utilidad Total]]/Tabla4[[#This Row],[Total]]</f>
        <v>#N/A</v>
      </c>
      <c r="P6010" s="282">
        <f>++Tabla4[[#This Row],[Precio Descontado]]*Tabla4[[#This Row],[Cantidad]]</f>
        <v>1936.7704229999997</v>
      </c>
      <c r="Q6010" s="282" t="e">
        <f>(INDEX(Tabla6[#All],MATCH(Tabla4[[#This Row],[Producto]],Tabla6[[#All],[PRODUCTO]],0),MATCH(Tabla4[[#This Row],[Mes]],Tabla6[#Headers],0)))</f>
        <v>#N/A</v>
      </c>
      <c r="R6010" s="282" t="e">
        <f>++Tabla4[[#This Row],[Precio Unitario Neto]]-Tabla4[[#This Row],[20.85%]]-Tabla4[[#This Row],[Costo]]</f>
        <v>#N/A</v>
      </c>
      <c r="S6010" s="282" t="e">
        <f>++Tabla4[[#This Row],[U. Bruta Uni]]*Tabla4[[#This Row],[Cantidad]]</f>
        <v>#N/A</v>
      </c>
      <c r="T6010" s="369" t="str">
        <f>VLOOKUP(Tabla4[[#This Row],[Producto]],Tabla6[#All],14,FALSE)</f>
        <v>Termico Solar</v>
      </c>
      <c r="U6010" s="284" t="e">
        <f>(IF(Tabla4[[#This Row],[Familia]]="termico solar",Tabla4[[#This Row],[Utilidad Total]]*6%,Tabla4[[#This Row],[Utilidad Total]]*11.5%))/Tabla4[[#This Row],[Total]]</f>
        <v>#N/A</v>
      </c>
      <c r="V6010" s="282" t="e">
        <f>+Tabla4[[#This Row],[Comisión Calculada]]*Tabla4[[#This Row],[Total]]</f>
        <v>#N/A</v>
      </c>
    </row>
    <row r="6011" spans="1:22" hidden="1" x14ac:dyDescent="0.25">
      <c r="A6011" s="100">
        <v>45930</v>
      </c>
      <c r="B6011" t="str">
        <f t="shared" si="281"/>
        <v>September</v>
      </c>
      <c r="C6011" s="46" t="s">
        <v>280</v>
      </c>
      <c r="F6011" s="366" t="s">
        <v>3083</v>
      </c>
      <c r="G6011" s="46" t="s">
        <v>83</v>
      </c>
      <c r="H6011" s="46">
        <v>3</v>
      </c>
      <c r="I6011" s="51">
        <v>8858.76</v>
      </c>
      <c r="J6011" s="281">
        <f>++Tabla4[[#This Row],[Precio Bruto]]*1.16</f>
        <v>10276.161599999999</v>
      </c>
      <c r="K6011" s="281">
        <f>+Tabla4[[#This Row],[Precio Unitario Neto]]*Tabla4[[#Headers],[20.85%]]</f>
        <v>2142.5796935999997</v>
      </c>
      <c r="L6011" s="282">
        <f>++Tabla4[[#This Row],[Precio Unitario Neto]]-Tabla4[[#This Row],[20.85%]]</f>
        <v>8133.5819063999998</v>
      </c>
      <c r="M6011" s="282" t="e">
        <f>(INDEX(Tabla6[#All],MATCH(Tabla4[[#This Row],[Producto]],Tabla6[[#All],[PRODUCTO]],0),MATCH(Tabla4[[#This Row],[Mes]],Tabla6[#Headers],0)))*(1+Catalogos!$L$2)</f>
        <v>#N/A</v>
      </c>
      <c r="N6011" s="283" t="e">
        <f>+(Tabla4[[#This Row],[Precio Descontado]]-Tabla4[[#This Row],[Precio Base]])*Tabla4[[#This Row],[Cantidad]]</f>
        <v>#N/A</v>
      </c>
      <c r="O6011" s="284" t="e">
        <f>++Tabla4[[#This Row],[Utilidad Total]]/Tabla4[[#This Row],[Total]]</f>
        <v>#N/A</v>
      </c>
      <c r="P6011" s="282">
        <f>++Tabla4[[#This Row],[Precio Descontado]]*Tabla4[[#This Row],[Cantidad]]</f>
        <v>24400.7457192</v>
      </c>
      <c r="Q6011" s="282" t="e">
        <f>(INDEX(Tabla6[#All],MATCH(Tabla4[[#This Row],[Producto]],Tabla6[[#All],[PRODUCTO]],0),MATCH(Tabla4[[#This Row],[Mes]],Tabla6[#Headers],0)))</f>
        <v>#N/A</v>
      </c>
      <c r="R6011" s="282" t="e">
        <f>++Tabla4[[#This Row],[Precio Unitario Neto]]-Tabla4[[#This Row],[20.85%]]-Tabla4[[#This Row],[Costo]]</f>
        <v>#N/A</v>
      </c>
      <c r="S6011" s="282" t="e">
        <f>++Tabla4[[#This Row],[U. Bruta Uni]]*Tabla4[[#This Row],[Cantidad]]</f>
        <v>#N/A</v>
      </c>
      <c r="T6011" s="369" t="str">
        <f>VLOOKUP(Tabla4[[#This Row],[Producto]],Tabla6[#All],14,FALSE)</f>
        <v>Termico Solar</v>
      </c>
      <c r="U6011" s="284" t="e">
        <f>(IF(Tabla4[[#This Row],[Familia]]="termico solar",Tabla4[[#This Row],[Utilidad Total]]*6%,Tabla4[[#This Row],[Utilidad Total]]*11.5%))/Tabla4[[#This Row],[Total]]</f>
        <v>#N/A</v>
      </c>
      <c r="V6011" s="282" t="e">
        <f>+Tabla4[[#This Row],[Comisión Calculada]]*Tabla4[[#This Row],[Total]]</f>
        <v>#N/A</v>
      </c>
    </row>
    <row r="6012" spans="1:22" hidden="1" x14ac:dyDescent="0.25">
      <c r="A6012" s="100">
        <v>45930</v>
      </c>
      <c r="B6012" t="str">
        <f t="shared" si="281"/>
        <v>September</v>
      </c>
      <c r="C6012" s="46" t="s">
        <v>280</v>
      </c>
      <c r="F6012" s="366" t="s">
        <v>3083</v>
      </c>
      <c r="G6012" s="46" t="s">
        <v>17</v>
      </c>
      <c r="H6012" s="46">
        <v>1</v>
      </c>
      <c r="I6012" s="51">
        <v>4622.28</v>
      </c>
      <c r="J6012" s="281">
        <f>++Tabla4[[#This Row],[Precio Bruto]]*1.16</f>
        <v>5361.8447999999989</v>
      </c>
      <c r="K6012" s="281">
        <f>+Tabla4[[#This Row],[Precio Unitario Neto]]*Tabla4[[#Headers],[20.85%]]</f>
        <v>1117.9446407999997</v>
      </c>
      <c r="L6012" s="282">
        <f>++Tabla4[[#This Row],[Precio Unitario Neto]]-Tabla4[[#This Row],[20.85%]]</f>
        <v>4243.9001591999995</v>
      </c>
      <c r="M6012" s="282" t="e">
        <f>(INDEX(Tabla6[#All],MATCH(Tabla4[[#This Row],[Producto]],Tabla6[[#All],[PRODUCTO]],0),MATCH(Tabla4[[#This Row],[Mes]],Tabla6[#Headers],0)))*(1+Catalogos!$L$2)</f>
        <v>#N/A</v>
      </c>
      <c r="N6012" s="283" t="e">
        <f>+(Tabla4[[#This Row],[Precio Descontado]]-Tabla4[[#This Row],[Precio Base]])*Tabla4[[#This Row],[Cantidad]]</f>
        <v>#N/A</v>
      </c>
      <c r="O6012" s="284" t="e">
        <f>++Tabla4[[#This Row],[Utilidad Total]]/Tabla4[[#This Row],[Total]]</f>
        <v>#N/A</v>
      </c>
      <c r="P6012" s="282">
        <f>++Tabla4[[#This Row],[Precio Descontado]]*Tabla4[[#This Row],[Cantidad]]</f>
        <v>4243.9001591999995</v>
      </c>
      <c r="Q6012" s="282" t="e">
        <f>(INDEX(Tabla6[#All],MATCH(Tabla4[[#This Row],[Producto]],Tabla6[[#All],[PRODUCTO]],0),MATCH(Tabla4[[#This Row],[Mes]],Tabla6[#Headers],0)))</f>
        <v>#N/A</v>
      </c>
      <c r="R6012" s="282" t="e">
        <f>++Tabla4[[#This Row],[Precio Unitario Neto]]-Tabla4[[#This Row],[20.85%]]-Tabla4[[#This Row],[Costo]]</f>
        <v>#N/A</v>
      </c>
      <c r="S6012" s="282" t="e">
        <f>++Tabla4[[#This Row],[U. Bruta Uni]]*Tabla4[[#This Row],[Cantidad]]</f>
        <v>#N/A</v>
      </c>
      <c r="T6012" s="369" t="str">
        <f>VLOOKUP(Tabla4[[#This Row],[Producto]],Tabla6[#All],14,FALSE)</f>
        <v>Termico Solar</v>
      </c>
      <c r="U6012" s="284" t="e">
        <f>(IF(Tabla4[[#This Row],[Familia]]="termico solar",Tabla4[[#This Row],[Utilidad Total]]*6%,Tabla4[[#This Row],[Utilidad Total]]*11.5%))/Tabla4[[#This Row],[Total]]</f>
        <v>#N/A</v>
      </c>
      <c r="V6012" s="282" t="e">
        <f>+Tabla4[[#This Row],[Comisión Calculada]]*Tabla4[[#This Row],[Total]]</f>
        <v>#N/A</v>
      </c>
    </row>
    <row r="6013" spans="1:22" hidden="1" x14ac:dyDescent="0.25">
      <c r="A6013" s="100">
        <v>45930</v>
      </c>
      <c r="B6013" t="str">
        <f t="shared" si="281"/>
        <v>September</v>
      </c>
      <c r="C6013" s="46" t="s">
        <v>280</v>
      </c>
      <c r="F6013" s="366" t="s">
        <v>3084</v>
      </c>
      <c r="G6013" s="46" t="s">
        <v>83</v>
      </c>
      <c r="H6013" s="46">
        <v>1</v>
      </c>
      <c r="I6013" s="51">
        <v>8858.76</v>
      </c>
      <c r="J6013" s="281">
        <f>++Tabla4[[#This Row],[Precio Bruto]]*1.16</f>
        <v>10276.161599999999</v>
      </c>
      <c r="K6013" s="281">
        <f>+Tabla4[[#This Row],[Precio Unitario Neto]]*Tabla4[[#Headers],[20.85%]]</f>
        <v>2142.5796935999997</v>
      </c>
      <c r="L6013" s="282">
        <f>++Tabla4[[#This Row],[Precio Unitario Neto]]-Tabla4[[#This Row],[20.85%]]</f>
        <v>8133.5819063999998</v>
      </c>
      <c r="M6013" s="282" t="e">
        <f>(INDEX(Tabla6[#All],MATCH(Tabla4[[#This Row],[Producto]],Tabla6[[#All],[PRODUCTO]],0),MATCH(Tabla4[[#This Row],[Mes]],Tabla6[#Headers],0)))*(1+Catalogos!$L$2)</f>
        <v>#N/A</v>
      </c>
      <c r="N6013" s="283" t="e">
        <f>+(Tabla4[[#This Row],[Precio Descontado]]-Tabla4[[#This Row],[Precio Base]])*Tabla4[[#This Row],[Cantidad]]</f>
        <v>#N/A</v>
      </c>
      <c r="O6013" s="284" t="e">
        <f>++Tabla4[[#This Row],[Utilidad Total]]/Tabla4[[#This Row],[Total]]</f>
        <v>#N/A</v>
      </c>
      <c r="P6013" s="282">
        <f>++Tabla4[[#This Row],[Precio Descontado]]*Tabla4[[#This Row],[Cantidad]]</f>
        <v>8133.5819063999998</v>
      </c>
      <c r="Q6013" s="282" t="e">
        <f>(INDEX(Tabla6[#All],MATCH(Tabla4[[#This Row],[Producto]],Tabla6[[#All],[PRODUCTO]],0),MATCH(Tabla4[[#This Row],[Mes]],Tabla6[#Headers],0)))</f>
        <v>#N/A</v>
      </c>
      <c r="R6013" s="282" t="e">
        <f>++Tabla4[[#This Row],[Precio Unitario Neto]]-Tabla4[[#This Row],[20.85%]]-Tabla4[[#This Row],[Costo]]</f>
        <v>#N/A</v>
      </c>
      <c r="S6013" s="282" t="e">
        <f>++Tabla4[[#This Row],[U. Bruta Uni]]*Tabla4[[#This Row],[Cantidad]]</f>
        <v>#N/A</v>
      </c>
      <c r="T6013" s="369" t="str">
        <f>VLOOKUP(Tabla4[[#This Row],[Producto]],Tabla6[#All],14,FALSE)</f>
        <v>Termico Solar</v>
      </c>
      <c r="U6013" s="284" t="e">
        <f>(IF(Tabla4[[#This Row],[Familia]]="termico solar",Tabla4[[#This Row],[Utilidad Total]]*6%,Tabla4[[#This Row],[Utilidad Total]]*11.5%))/Tabla4[[#This Row],[Total]]</f>
        <v>#N/A</v>
      </c>
      <c r="V6013" s="282" t="e">
        <f>+Tabla4[[#This Row],[Comisión Calculada]]*Tabla4[[#This Row],[Total]]</f>
        <v>#N/A</v>
      </c>
    </row>
    <row r="6014" spans="1:22" hidden="1" x14ac:dyDescent="0.25">
      <c r="A6014" s="100">
        <v>45930</v>
      </c>
      <c r="B6014" t="str">
        <f t="shared" si="281"/>
        <v>September</v>
      </c>
      <c r="C6014" s="46" t="s">
        <v>280</v>
      </c>
      <c r="F6014" s="366" t="s">
        <v>3085</v>
      </c>
      <c r="G6014" s="46" t="s">
        <v>17</v>
      </c>
      <c r="H6014" s="46">
        <v>1</v>
      </c>
      <c r="I6014" s="51">
        <v>4622.28</v>
      </c>
      <c r="J6014" s="281">
        <f>++Tabla4[[#This Row],[Precio Bruto]]*1.16</f>
        <v>5361.8447999999989</v>
      </c>
      <c r="K6014" s="281">
        <f>+Tabla4[[#This Row],[Precio Unitario Neto]]*Tabla4[[#Headers],[20.85%]]</f>
        <v>1117.9446407999997</v>
      </c>
      <c r="L6014" s="282">
        <f>++Tabla4[[#This Row],[Precio Unitario Neto]]-Tabla4[[#This Row],[20.85%]]</f>
        <v>4243.9001591999995</v>
      </c>
      <c r="M6014" s="282" t="e">
        <f>(INDEX(Tabla6[#All],MATCH(Tabla4[[#This Row],[Producto]],Tabla6[[#All],[PRODUCTO]],0),MATCH(Tabla4[[#This Row],[Mes]],Tabla6[#Headers],0)))*(1+Catalogos!$L$2)</f>
        <v>#N/A</v>
      </c>
      <c r="N6014" s="283" t="e">
        <f>+(Tabla4[[#This Row],[Precio Descontado]]-Tabla4[[#This Row],[Precio Base]])*Tabla4[[#This Row],[Cantidad]]</f>
        <v>#N/A</v>
      </c>
      <c r="O6014" s="284" t="e">
        <f>++Tabla4[[#This Row],[Utilidad Total]]/Tabla4[[#This Row],[Total]]</f>
        <v>#N/A</v>
      </c>
      <c r="P6014" s="282">
        <f>++Tabla4[[#This Row],[Precio Descontado]]*Tabla4[[#This Row],[Cantidad]]</f>
        <v>4243.9001591999995</v>
      </c>
      <c r="Q6014" s="282" t="e">
        <f>(INDEX(Tabla6[#All],MATCH(Tabla4[[#This Row],[Producto]],Tabla6[[#All],[PRODUCTO]],0),MATCH(Tabla4[[#This Row],[Mes]],Tabla6[#Headers],0)))</f>
        <v>#N/A</v>
      </c>
      <c r="R6014" s="282" t="e">
        <f>++Tabla4[[#This Row],[Precio Unitario Neto]]-Tabla4[[#This Row],[20.85%]]-Tabla4[[#This Row],[Costo]]</f>
        <v>#N/A</v>
      </c>
      <c r="S6014" s="282" t="e">
        <f>++Tabla4[[#This Row],[U. Bruta Uni]]*Tabla4[[#This Row],[Cantidad]]</f>
        <v>#N/A</v>
      </c>
      <c r="T6014" s="369" t="str">
        <f>VLOOKUP(Tabla4[[#This Row],[Producto]],Tabla6[#All],14,FALSE)</f>
        <v>Termico Solar</v>
      </c>
      <c r="U6014" s="284" t="e">
        <f>(IF(Tabla4[[#This Row],[Familia]]="termico solar",Tabla4[[#This Row],[Utilidad Total]]*6%,Tabla4[[#This Row],[Utilidad Total]]*11.5%))/Tabla4[[#This Row],[Total]]</f>
        <v>#N/A</v>
      </c>
      <c r="V6014" s="282" t="e">
        <f>+Tabla4[[#This Row],[Comisión Calculada]]*Tabla4[[#This Row],[Total]]</f>
        <v>#N/A</v>
      </c>
    </row>
    <row r="6015" spans="1:22" hidden="1" x14ac:dyDescent="0.25">
      <c r="A6015" s="100">
        <v>45930</v>
      </c>
      <c r="B6015" t="str">
        <f t="shared" si="281"/>
        <v>September</v>
      </c>
      <c r="C6015" s="46" t="s">
        <v>280</v>
      </c>
      <c r="F6015" s="366" t="s">
        <v>3085</v>
      </c>
      <c r="G6015" s="46" t="s">
        <v>18</v>
      </c>
      <c r="H6015" s="46">
        <v>1</v>
      </c>
      <c r="I6015" s="51">
        <v>5367.65</v>
      </c>
      <c r="J6015" s="281">
        <f>++Tabla4[[#This Row],[Precio Bruto]]*1.16</f>
        <v>6226.4739999999993</v>
      </c>
      <c r="K6015" s="281">
        <f>+Tabla4[[#This Row],[Precio Unitario Neto]]*Tabla4[[#Headers],[20.85%]]</f>
        <v>1298.2198289999999</v>
      </c>
      <c r="L6015" s="282">
        <f>++Tabla4[[#This Row],[Precio Unitario Neto]]-Tabla4[[#This Row],[20.85%]]</f>
        <v>4928.2541709999996</v>
      </c>
      <c r="M6015" s="282" t="e">
        <f>(INDEX(Tabla6[#All],MATCH(Tabla4[[#This Row],[Producto]],Tabla6[[#All],[PRODUCTO]],0),MATCH(Tabla4[[#This Row],[Mes]],Tabla6[#Headers],0)))*(1+Catalogos!$L$2)</f>
        <v>#N/A</v>
      </c>
      <c r="N6015" s="283" t="e">
        <f>+(Tabla4[[#This Row],[Precio Descontado]]-Tabla4[[#This Row],[Precio Base]])*Tabla4[[#This Row],[Cantidad]]</f>
        <v>#N/A</v>
      </c>
      <c r="O6015" s="284" t="e">
        <f>++Tabla4[[#This Row],[Utilidad Total]]/Tabla4[[#This Row],[Total]]</f>
        <v>#N/A</v>
      </c>
      <c r="P6015" s="282">
        <f>++Tabla4[[#This Row],[Precio Descontado]]*Tabla4[[#This Row],[Cantidad]]</f>
        <v>4928.2541709999996</v>
      </c>
      <c r="Q6015" s="282" t="e">
        <f>(INDEX(Tabla6[#All],MATCH(Tabla4[[#This Row],[Producto]],Tabla6[[#All],[PRODUCTO]],0),MATCH(Tabla4[[#This Row],[Mes]],Tabla6[#Headers],0)))</f>
        <v>#N/A</v>
      </c>
      <c r="R6015" s="282" t="e">
        <f>++Tabla4[[#This Row],[Precio Unitario Neto]]-Tabla4[[#This Row],[20.85%]]-Tabla4[[#This Row],[Costo]]</f>
        <v>#N/A</v>
      </c>
      <c r="S6015" s="282" t="e">
        <f>++Tabla4[[#This Row],[U. Bruta Uni]]*Tabla4[[#This Row],[Cantidad]]</f>
        <v>#N/A</v>
      </c>
      <c r="T6015" s="369" t="str">
        <f>VLOOKUP(Tabla4[[#This Row],[Producto]],Tabla6[#All],14,FALSE)</f>
        <v>Termico Solar</v>
      </c>
      <c r="U6015" s="284" t="e">
        <f>(IF(Tabla4[[#This Row],[Familia]]="termico solar",Tabla4[[#This Row],[Utilidad Total]]*6%,Tabla4[[#This Row],[Utilidad Total]]*11.5%))/Tabla4[[#This Row],[Total]]</f>
        <v>#N/A</v>
      </c>
      <c r="V6015" s="282" t="e">
        <f>+Tabla4[[#This Row],[Comisión Calculada]]*Tabla4[[#This Row],[Total]]</f>
        <v>#N/A</v>
      </c>
    </row>
    <row r="6016" spans="1:22" hidden="1" x14ac:dyDescent="0.25">
      <c r="A6016" s="100">
        <v>45930</v>
      </c>
      <c r="B6016" t="str">
        <f t="shared" ref="B6016:B6046" si="282">TEXT(A6016, "mmmm")</f>
        <v>September</v>
      </c>
      <c r="C6016" s="46" t="s">
        <v>280</v>
      </c>
      <c r="F6016" s="366" t="s">
        <v>3085</v>
      </c>
      <c r="G6016" s="46" t="s">
        <v>208</v>
      </c>
      <c r="H6016" s="46">
        <v>1</v>
      </c>
      <c r="I6016" s="51">
        <v>189.75</v>
      </c>
      <c r="J6016" s="281">
        <f>++Tabla4[[#This Row],[Precio Bruto]]*1.16</f>
        <v>220.10999999999999</v>
      </c>
      <c r="K6016" s="281">
        <f>+Tabla4[[#This Row],[Precio Unitario Neto]]*Tabla4[[#Headers],[20.85%]]</f>
        <v>45.892934999999994</v>
      </c>
      <c r="L6016" s="282">
        <f>++Tabla4[[#This Row],[Precio Unitario Neto]]-Tabla4[[#This Row],[20.85%]]</f>
        <v>174.21706499999999</v>
      </c>
      <c r="M6016" s="282" t="e">
        <f>(INDEX(Tabla6[#All],MATCH(Tabla4[[#This Row],[Producto]],Tabla6[[#All],[PRODUCTO]],0),MATCH(Tabla4[[#This Row],[Mes]],Tabla6[#Headers],0)))*(1+Catalogos!$L$2)</f>
        <v>#N/A</v>
      </c>
      <c r="N6016" s="283" t="e">
        <f>+(Tabla4[[#This Row],[Precio Descontado]]-Tabla4[[#This Row],[Precio Base]])*Tabla4[[#This Row],[Cantidad]]</f>
        <v>#N/A</v>
      </c>
      <c r="O6016" s="284" t="e">
        <f>++Tabla4[[#This Row],[Utilidad Total]]/Tabla4[[#This Row],[Total]]</f>
        <v>#N/A</v>
      </c>
      <c r="P6016" s="282">
        <f>++Tabla4[[#This Row],[Precio Descontado]]*Tabla4[[#This Row],[Cantidad]]</f>
        <v>174.21706499999999</v>
      </c>
      <c r="Q6016" s="282" t="e">
        <f>(INDEX(Tabla6[#All],MATCH(Tabla4[[#This Row],[Producto]],Tabla6[[#All],[PRODUCTO]],0),MATCH(Tabla4[[#This Row],[Mes]],Tabla6[#Headers],0)))</f>
        <v>#N/A</v>
      </c>
      <c r="R6016" s="282" t="e">
        <f>++Tabla4[[#This Row],[Precio Unitario Neto]]-Tabla4[[#This Row],[20.85%]]-Tabla4[[#This Row],[Costo]]</f>
        <v>#N/A</v>
      </c>
      <c r="S6016" s="282" t="e">
        <f>++Tabla4[[#This Row],[U. Bruta Uni]]*Tabla4[[#This Row],[Cantidad]]</f>
        <v>#N/A</v>
      </c>
      <c r="T6016" s="369" t="str">
        <f>VLOOKUP(Tabla4[[#This Row],[Producto]],Tabla6[#All],14,FALSE)</f>
        <v>Termico Solar</v>
      </c>
      <c r="U6016" s="284" t="e">
        <f>(IF(Tabla4[[#This Row],[Familia]]="termico solar",Tabla4[[#This Row],[Utilidad Total]]*6%,Tabla4[[#This Row],[Utilidad Total]]*11.5%))/Tabla4[[#This Row],[Total]]</f>
        <v>#N/A</v>
      </c>
      <c r="V6016" s="282" t="e">
        <f>+Tabla4[[#This Row],[Comisión Calculada]]*Tabla4[[#This Row],[Total]]</f>
        <v>#N/A</v>
      </c>
    </row>
    <row r="6017" spans="1:22" hidden="1" x14ac:dyDescent="0.25">
      <c r="A6017" s="100">
        <v>45930</v>
      </c>
      <c r="B6017" t="str">
        <f t="shared" si="282"/>
        <v>September</v>
      </c>
      <c r="C6017" s="46" t="s">
        <v>280</v>
      </c>
      <c r="F6017" s="366" t="s">
        <v>3086</v>
      </c>
      <c r="G6017" s="46" t="s">
        <v>18</v>
      </c>
      <c r="H6017" s="46">
        <v>1</v>
      </c>
      <c r="I6017" s="51">
        <v>5367.65</v>
      </c>
      <c r="J6017" s="281">
        <f>++Tabla4[[#This Row],[Precio Bruto]]*1.16</f>
        <v>6226.4739999999993</v>
      </c>
      <c r="K6017" s="281">
        <f>+Tabla4[[#This Row],[Precio Unitario Neto]]*Tabla4[[#Headers],[20.85%]]</f>
        <v>1298.2198289999999</v>
      </c>
      <c r="L6017" s="282">
        <f>++Tabla4[[#This Row],[Precio Unitario Neto]]-Tabla4[[#This Row],[20.85%]]</f>
        <v>4928.2541709999996</v>
      </c>
      <c r="M6017" s="282" t="e">
        <f>(INDEX(Tabla6[#All],MATCH(Tabla4[[#This Row],[Producto]],Tabla6[[#All],[PRODUCTO]],0),MATCH(Tabla4[[#This Row],[Mes]],Tabla6[#Headers],0)))*(1+Catalogos!$L$2)</f>
        <v>#N/A</v>
      </c>
      <c r="N6017" s="283" t="e">
        <f>+(Tabla4[[#This Row],[Precio Descontado]]-Tabla4[[#This Row],[Precio Base]])*Tabla4[[#This Row],[Cantidad]]</f>
        <v>#N/A</v>
      </c>
      <c r="O6017" s="284" t="e">
        <f>++Tabla4[[#This Row],[Utilidad Total]]/Tabla4[[#This Row],[Total]]</f>
        <v>#N/A</v>
      </c>
      <c r="P6017" s="282">
        <f>++Tabla4[[#This Row],[Precio Descontado]]*Tabla4[[#This Row],[Cantidad]]</f>
        <v>4928.2541709999996</v>
      </c>
      <c r="Q6017" s="282" t="e">
        <f>(INDEX(Tabla6[#All],MATCH(Tabla4[[#This Row],[Producto]],Tabla6[[#All],[PRODUCTO]],0),MATCH(Tabla4[[#This Row],[Mes]],Tabla6[#Headers],0)))</f>
        <v>#N/A</v>
      </c>
      <c r="R6017" s="282" t="e">
        <f>++Tabla4[[#This Row],[Precio Unitario Neto]]-Tabla4[[#This Row],[20.85%]]-Tabla4[[#This Row],[Costo]]</f>
        <v>#N/A</v>
      </c>
      <c r="S6017" s="282" t="e">
        <f>++Tabla4[[#This Row],[U. Bruta Uni]]*Tabla4[[#This Row],[Cantidad]]</f>
        <v>#N/A</v>
      </c>
      <c r="T6017" s="369" t="str">
        <f>VLOOKUP(Tabla4[[#This Row],[Producto]],Tabla6[#All],14,FALSE)</f>
        <v>Termico Solar</v>
      </c>
      <c r="U6017" s="284" t="e">
        <f>(IF(Tabla4[[#This Row],[Familia]]="termico solar",Tabla4[[#This Row],[Utilidad Total]]*6%,Tabla4[[#This Row],[Utilidad Total]]*11.5%))/Tabla4[[#This Row],[Total]]</f>
        <v>#N/A</v>
      </c>
      <c r="V6017" s="282" t="e">
        <f>+Tabla4[[#This Row],[Comisión Calculada]]*Tabla4[[#This Row],[Total]]</f>
        <v>#N/A</v>
      </c>
    </row>
    <row r="6018" spans="1:22" hidden="1" x14ac:dyDescent="0.25">
      <c r="A6018" s="100">
        <v>45930</v>
      </c>
      <c r="B6018" t="str">
        <f t="shared" si="282"/>
        <v>September</v>
      </c>
      <c r="C6018" s="46" t="s">
        <v>280</v>
      </c>
      <c r="F6018" s="366" t="s">
        <v>3086</v>
      </c>
      <c r="G6018" s="46" t="s">
        <v>555</v>
      </c>
      <c r="H6018" s="46">
        <v>8</v>
      </c>
      <c r="I6018" s="51">
        <v>389.47</v>
      </c>
      <c r="J6018" s="281">
        <f>++Tabla4[[#This Row],[Precio Bruto]]*1.16</f>
        <v>451.78519999999997</v>
      </c>
      <c r="K6018" s="281">
        <f>+Tabla4[[#This Row],[Precio Unitario Neto]]*Tabla4[[#Headers],[20.85%]]</f>
        <v>94.197214199999991</v>
      </c>
      <c r="L6018" s="282">
        <f>++Tabla4[[#This Row],[Precio Unitario Neto]]-Tabla4[[#This Row],[20.85%]]</f>
        <v>357.58798579999996</v>
      </c>
      <c r="M6018" s="282" t="e">
        <f>(INDEX(Tabla6[#All],MATCH(Tabla4[[#This Row],[Producto]],Tabla6[[#All],[PRODUCTO]],0),MATCH(Tabla4[[#This Row],[Mes]],Tabla6[#Headers],0)))*(1+Catalogos!$L$2)</f>
        <v>#N/A</v>
      </c>
      <c r="N6018" s="283" t="e">
        <f>+(Tabla4[[#This Row],[Precio Descontado]]-Tabla4[[#This Row],[Precio Base]])*Tabla4[[#This Row],[Cantidad]]</f>
        <v>#N/A</v>
      </c>
      <c r="O6018" s="284" t="e">
        <f>++Tabla4[[#This Row],[Utilidad Total]]/Tabla4[[#This Row],[Total]]</f>
        <v>#N/A</v>
      </c>
      <c r="P6018" s="282">
        <f>++Tabla4[[#This Row],[Precio Descontado]]*Tabla4[[#This Row],[Cantidad]]</f>
        <v>2860.7038863999996</v>
      </c>
      <c r="Q6018" s="282" t="e">
        <f>(INDEX(Tabla6[#All],MATCH(Tabla4[[#This Row],[Producto]],Tabla6[[#All],[PRODUCTO]],0),MATCH(Tabla4[[#This Row],[Mes]],Tabla6[#Headers],0)))</f>
        <v>#N/A</v>
      </c>
      <c r="R6018" s="282" t="e">
        <f>++Tabla4[[#This Row],[Precio Unitario Neto]]-Tabla4[[#This Row],[20.85%]]-Tabla4[[#This Row],[Costo]]</f>
        <v>#N/A</v>
      </c>
      <c r="S6018" s="282" t="e">
        <f>++Tabla4[[#This Row],[U. Bruta Uni]]*Tabla4[[#This Row],[Cantidad]]</f>
        <v>#N/A</v>
      </c>
      <c r="T6018" s="369" t="str">
        <f>VLOOKUP(Tabla4[[#This Row],[Producto]],Tabla6[#All],14,FALSE)</f>
        <v>Termico Solar</v>
      </c>
      <c r="U6018" s="284" t="e">
        <f>(IF(Tabla4[[#This Row],[Familia]]="termico solar",Tabla4[[#This Row],[Utilidad Total]]*6%,Tabla4[[#This Row],[Utilidad Total]]*11.5%))/Tabla4[[#This Row],[Total]]</f>
        <v>#N/A</v>
      </c>
      <c r="V6018" s="282" t="e">
        <f>+Tabla4[[#This Row],[Comisión Calculada]]*Tabla4[[#This Row],[Total]]</f>
        <v>#N/A</v>
      </c>
    </row>
    <row r="6019" spans="1:22" hidden="1" x14ac:dyDescent="0.25">
      <c r="A6019" s="100">
        <v>45930</v>
      </c>
      <c r="B6019" t="str">
        <f t="shared" si="282"/>
        <v>September</v>
      </c>
      <c r="C6019" s="46" t="s">
        <v>280</v>
      </c>
      <c r="F6019" s="366" t="s">
        <v>3087</v>
      </c>
      <c r="G6019" s="46" t="s">
        <v>17</v>
      </c>
      <c r="H6019" s="46">
        <v>37</v>
      </c>
      <c r="I6019" s="51">
        <v>4622.28</v>
      </c>
      <c r="J6019" s="281">
        <f>++Tabla4[[#This Row],[Precio Bruto]]*1.16</f>
        <v>5361.8447999999989</v>
      </c>
      <c r="K6019" s="281">
        <f>+Tabla4[[#This Row],[Precio Unitario Neto]]*Tabla4[[#Headers],[20.85%]]</f>
        <v>1117.9446407999997</v>
      </c>
      <c r="L6019" s="282">
        <f>++Tabla4[[#This Row],[Precio Unitario Neto]]-Tabla4[[#This Row],[20.85%]]</f>
        <v>4243.9001591999995</v>
      </c>
      <c r="M6019" s="282" t="e">
        <f>(INDEX(Tabla6[#All],MATCH(Tabla4[[#This Row],[Producto]],Tabla6[[#All],[PRODUCTO]],0),MATCH(Tabla4[[#This Row],[Mes]],Tabla6[#Headers],0)))*(1+Catalogos!$L$2)</f>
        <v>#N/A</v>
      </c>
      <c r="N6019" s="283" t="e">
        <f>+(Tabla4[[#This Row],[Precio Descontado]]-Tabla4[[#This Row],[Precio Base]])*Tabla4[[#This Row],[Cantidad]]</f>
        <v>#N/A</v>
      </c>
      <c r="O6019" s="284" t="e">
        <f>++Tabla4[[#This Row],[Utilidad Total]]/Tabla4[[#This Row],[Total]]</f>
        <v>#N/A</v>
      </c>
      <c r="P6019" s="282">
        <f>++Tabla4[[#This Row],[Precio Descontado]]*Tabla4[[#This Row],[Cantidad]]</f>
        <v>157024.30589039999</v>
      </c>
      <c r="Q6019" s="282" t="e">
        <f>(INDEX(Tabla6[#All],MATCH(Tabla4[[#This Row],[Producto]],Tabla6[[#All],[PRODUCTO]],0),MATCH(Tabla4[[#This Row],[Mes]],Tabla6[#Headers],0)))</f>
        <v>#N/A</v>
      </c>
      <c r="R6019" s="282" t="e">
        <f>++Tabla4[[#This Row],[Precio Unitario Neto]]-Tabla4[[#This Row],[20.85%]]-Tabla4[[#This Row],[Costo]]</f>
        <v>#N/A</v>
      </c>
      <c r="S6019" s="282" t="e">
        <f>++Tabla4[[#This Row],[U. Bruta Uni]]*Tabla4[[#This Row],[Cantidad]]</f>
        <v>#N/A</v>
      </c>
      <c r="T6019" s="369" t="str">
        <f>VLOOKUP(Tabla4[[#This Row],[Producto]],Tabla6[#All],14,FALSE)</f>
        <v>Termico Solar</v>
      </c>
      <c r="U6019" s="284" t="e">
        <f>(IF(Tabla4[[#This Row],[Familia]]="termico solar",Tabla4[[#This Row],[Utilidad Total]]*6%,Tabla4[[#This Row],[Utilidad Total]]*11.5%))/Tabla4[[#This Row],[Total]]</f>
        <v>#N/A</v>
      </c>
      <c r="V6019" s="282" t="e">
        <f>+Tabla4[[#This Row],[Comisión Calculada]]*Tabla4[[#This Row],[Total]]</f>
        <v>#N/A</v>
      </c>
    </row>
    <row r="6020" spans="1:22" hidden="1" x14ac:dyDescent="0.25">
      <c r="A6020" s="100">
        <v>45930</v>
      </c>
      <c r="B6020" t="str">
        <f t="shared" si="282"/>
        <v>September</v>
      </c>
      <c r="C6020" s="46" t="s">
        <v>280</v>
      </c>
      <c r="F6020" s="366" t="s">
        <v>3087</v>
      </c>
      <c r="G6020" s="46" t="s">
        <v>18</v>
      </c>
      <c r="H6020" s="46">
        <v>23</v>
      </c>
      <c r="I6020" s="51">
        <v>5367.65</v>
      </c>
      <c r="J6020" s="281">
        <f>++Tabla4[[#This Row],[Precio Bruto]]*1.16</f>
        <v>6226.4739999999993</v>
      </c>
      <c r="K6020" s="281">
        <f>+Tabla4[[#This Row],[Precio Unitario Neto]]*Tabla4[[#Headers],[20.85%]]</f>
        <v>1298.2198289999999</v>
      </c>
      <c r="L6020" s="282">
        <f>++Tabla4[[#This Row],[Precio Unitario Neto]]-Tabla4[[#This Row],[20.85%]]</f>
        <v>4928.2541709999996</v>
      </c>
      <c r="M6020" s="282" t="e">
        <f>(INDEX(Tabla6[#All],MATCH(Tabla4[[#This Row],[Producto]],Tabla6[[#All],[PRODUCTO]],0),MATCH(Tabla4[[#This Row],[Mes]],Tabla6[#Headers],0)))*(1+Catalogos!$L$2)</f>
        <v>#N/A</v>
      </c>
      <c r="N6020" s="283" t="e">
        <f>+(Tabla4[[#This Row],[Precio Descontado]]-Tabla4[[#This Row],[Precio Base]])*Tabla4[[#This Row],[Cantidad]]</f>
        <v>#N/A</v>
      </c>
      <c r="O6020" s="284" t="e">
        <f>++Tabla4[[#This Row],[Utilidad Total]]/Tabla4[[#This Row],[Total]]</f>
        <v>#N/A</v>
      </c>
      <c r="P6020" s="282">
        <f>++Tabla4[[#This Row],[Precio Descontado]]*Tabla4[[#This Row],[Cantidad]]</f>
        <v>113349.84593299999</v>
      </c>
      <c r="Q6020" s="282" t="e">
        <f>(INDEX(Tabla6[#All],MATCH(Tabla4[[#This Row],[Producto]],Tabla6[[#All],[PRODUCTO]],0),MATCH(Tabla4[[#This Row],[Mes]],Tabla6[#Headers],0)))</f>
        <v>#N/A</v>
      </c>
      <c r="R6020" s="282" t="e">
        <f>++Tabla4[[#This Row],[Precio Unitario Neto]]-Tabla4[[#This Row],[20.85%]]-Tabla4[[#This Row],[Costo]]</f>
        <v>#N/A</v>
      </c>
      <c r="S6020" s="282" t="e">
        <f>++Tabla4[[#This Row],[U. Bruta Uni]]*Tabla4[[#This Row],[Cantidad]]</f>
        <v>#N/A</v>
      </c>
      <c r="T6020" s="369" t="str">
        <f>VLOOKUP(Tabla4[[#This Row],[Producto]],Tabla6[#All],14,FALSE)</f>
        <v>Termico Solar</v>
      </c>
      <c r="U6020" s="284" t="e">
        <f>(IF(Tabla4[[#This Row],[Familia]]="termico solar",Tabla4[[#This Row],[Utilidad Total]]*6%,Tabla4[[#This Row],[Utilidad Total]]*11.5%))/Tabla4[[#This Row],[Total]]</f>
        <v>#N/A</v>
      </c>
      <c r="V6020" s="282" t="e">
        <f>+Tabla4[[#This Row],[Comisión Calculada]]*Tabla4[[#This Row],[Total]]</f>
        <v>#N/A</v>
      </c>
    </row>
    <row r="6021" spans="1:22" hidden="1" x14ac:dyDescent="0.25">
      <c r="A6021" s="100">
        <v>45930</v>
      </c>
      <c r="B6021" t="str">
        <f t="shared" si="282"/>
        <v>September</v>
      </c>
      <c r="C6021" s="46" t="s">
        <v>280</v>
      </c>
      <c r="F6021" s="366" t="s">
        <v>3087</v>
      </c>
      <c r="G6021" s="46" t="s">
        <v>16</v>
      </c>
      <c r="H6021" s="46">
        <v>18</v>
      </c>
      <c r="I6021" s="51">
        <v>4103.8500000000004</v>
      </c>
      <c r="J6021" s="281">
        <f>++Tabla4[[#This Row],[Precio Bruto]]*1.16</f>
        <v>4760.4660000000003</v>
      </c>
      <c r="K6021" s="281">
        <f>+Tabla4[[#This Row],[Precio Unitario Neto]]*Tabla4[[#Headers],[20.85%]]</f>
        <v>992.55716100000006</v>
      </c>
      <c r="L6021" s="282">
        <f>++Tabla4[[#This Row],[Precio Unitario Neto]]-Tabla4[[#This Row],[20.85%]]</f>
        <v>3767.9088390000002</v>
      </c>
      <c r="M6021" s="282" t="e">
        <f>(INDEX(Tabla6[#All],MATCH(Tabla4[[#This Row],[Producto]],Tabla6[[#All],[PRODUCTO]],0),MATCH(Tabla4[[#This Row],[Mes]],Tabla6[#Headers],0)))*(1+Catalogos!$L$2)</f>
        <v>#N/A</v>
      </c>
      <c r="N6021" s="283" t="e">
        <f>+(Tabla4[[#This Row],[Precio Descontado]]-Tabla4[[#This Row],[Precio Base]])*Tabla4[[#This Row],[Cantidad]]</f>
        <v>#N/A</v>
      </c>
      <c r="O6021" s="284" t="e">
        <f>++Tabla4[[#This Row],[Utilidad Total]]/Tabla4[[#This Row],[Total]]</f>
        <v>#N/A</v>
      </c>
      <c r="P6021" s="282">
        <f>++Tabla4[[#This Row],[Precio Descontado]]*Tabla4[[#This Row],[Cantidad]]</f>
        <v>67822.359102000002</v>
      </c>
      <c r="Q6021" s="282" t="e">
        <f>(INDEX(Tabla6[#All],MATCH(Tabla4[[#This Row],[Producto]],Tabla6[[#All],[PRODUCTO]],0),MATCH(Tabla4[[#This Row],[Mes]],Tabla6[#Headers],0)))</f>
        <v>#N/A</v>
      </c>
      <c r="R6021" s="282" t="e">
        <f>++Tabla4[[#This Row],[Precio Unitario Neto]]-Tabla4[[#This Row],[20.85%]]-Tabla4[[#This Row],[Costo]]</f>
        <v>#N/A</v>
      </c>
      <c r="S6021" s="282" t="e">
        <f>++Tabla4[[#This Row],[U. Bruta Uni]]*Tabla4[[#This Row],[Cantidad]]</f>
        <v>#N/A</v>
      </c>
      <c r="T6021" s="369" t="str">
        <f>VLOOKUP(Tabla4[[#This Row],[Producto]],Tabla6[#All],14,FALSE)</f>
        <v>Termico Solar</v>
      </c>
      <c r="U6021" s="284" t="e">
        <f>(IF(Tabla4[[#This Row],[Familia]]="termico solar",Tabla4[[#This Row],[Utilidad Total]]*6%,Tabla4[[#This Row],[Utilidad Total]]*11.5%))/Tabla4[[#This Row],[Total]]</f>
        <v>#N/A</v>
      </c>
      <c r="V6021" s="282" t="e">
        <f>+Tabla4[[#This Row],[Comisión Calculada]]*Tabla4[[#This Row],[Total]]</f>
        <v>#N/A</v>
      </c>
    </row>
    <row r="6022" spans="1:22" hidden="1" x14ac:dyDescent="0.25">
      <c r="A6022" s="100">
        <v>45930</v>
      </c>
      <c r="B6022" t="str">
        <f t="shared" si="282"/>
        <v>September</v>
      </c>
      <c r="C6022" s="46" t="s">
        <v>280</v>
      </c>
      <c r="F6022" s="366" t="s">
        <v>3088</v>
      </c>
      <c r="G6022" s="46" t="s">
        <v>83</v>
      </c>
      <c r="H6022" s="46">
        <v>1</v>
      </c>
      <c r="I6022" s="51">
        <v>8858.76</v>
      </c>
      <c r="J6022" s="281">
        <f>++Tabla4[[#This Row],[Precio Bruto]]*1.16</f>
        <v>10276.161599999999</v>
      </c>
      <c r="K6022" s="281">
        <f>+Tabla4[[#This Row],[Precio Unitario Neto]]*Tabla4[[#Headers],[20.85%]]</f>
        <v>2142.5796935999997</v>
      </c>
      <c r="L6022" s="282">
        <f>++Tabla4[[#This Row],[Precio Unitario Neto]]-Tabla4[[#This Row],[20.85%]]</f>
        <v>8133.5819063999998</v>
      </c>
      <c r="M6022" s="282" t="e">
        <f>(INDEX(Tabla6[#All],MATCH(Tabla4[[#This Row],[Producto]],Tabla6[[#All],[PRODUCTO]],0),MATCH(Tabla4[[#This Row],[Mes]],Tabla6[#Headers],0)))*(1+Catalogos!$L$2)</f>
        <v>#N/A</v>
      </c>
      <c r="N6022" s="283" t="e">
        <f>+(Tabla4[[#This Row],[Precio Descontado]]-Tabla4[[#This Row],[Precio Base]])*Tabla4[[#This Row],[Cantidad]]</f>
        <v>#N/A</v>
      </c>
      <c r="O6022" s="284" t="e">
        <f>++Tabla4[[#This Row],[Utilidad Total]]/Tabla4[[#This Row],[Total]]</f>
        <v>#N/A</v>
      </c>
      <c r="P6022" s="282">
        <f>++Tabla4[[#This Row],[Precio Descontado]]*Tabla4[[#This Row],[Cantidad]]</f>
        <v>8133.5819063999998</v>
      </c>
      <c r="Q6022" s="282" t="e">
        <f>(INDEX(Tabla6[#All],MATCH(Tabla4[[#This Row],[Producto]],Tabla6[[#All],[PRODUCTO]],0),MATCH(Tabla4[[#This Row],[Mes]],Tabla6[#Headers],0)))</f>
        <v>#N/A</v>
      </c>
      <c r="R6022" s="282" t="e">
        <f>++Tabla4[[#This Row],[Precio Unitario Neto]]-Tabla4[[#This Row],[20.85%]]-Tabla4[[#This Row],[Costo]]</f>
        <v>#N/A</v>
      </c>
      <c r="S6022" s="282" t="e">
        <f>++Tabla4[[#This Row],[U. Bruta Uni]]*Tabla4[[#This Row],[Cantidad]]</f>
        <v>#N/A</v>
      </c>
      <c r="T6022" s="369" t="str">
        <f>VLOOKUP(Tabla4[[#This Row],[Producto]],Tabla6[#All],14,FALSE)</f>
        <v>Termico Solar</v>
      </c>
      <c r="U6022" s="284" t="e">
        <f>(IF(Tabla4[[#This Row],[Familia]]="termico solar",Tabla4[[#This Row],[Utilidad Total]]*6%,Tabla4[[#This Row],[Utilidad Total]]*11.5%))/Tabla4[[#This Row],[Total]]</f>
        <v>#N/A</v>
      </c>
      <c r="V6022" s="282" t="e">
        <f>+Tabla4[[#This Row],[Comisión Calculada]]*Tabla4[[#This Row],[Total]]</f>
        <v>#N/A</v>
      </c>
    </row>
    <row r="6023" spans="1:22" hidden="1" x14ac:dyDescent="0.25">
      <c r="A6023" s="100">
        <v>45930</v>
      </c>
      <c r="B6023" t="str">
        <f t="shared" si="282"/>
        <v>September</v>
      </c>
      <c r="C6023" s="46" t="s">
        <v>280</v>
      </c>
      <c r="F6023" s="366" t="s">
        <v>3088</v>
      </c>
      <c r="G6023" s="46" t="s">
        <v>16</v>
      </c>
      <c r="H6023" s="46">
        <v>1</v>
      </c>
      <c r="I6023" s="51">
        <v>4103.8500000000004</v>
      </c>
      <c r="J6023" s="281">
        <f>++Tabla4[[#This Row],[Precio Bruto]]*1.16</f>
        <v>4760.4660000000003</v>
      </c>
      <c r="K6023" s="281">
        <f>+Tabla4[[#This Row],[Precio Unitario Neto]]*Tabla4[[#Headers],[20.85%]]</f>
        <v>992.55716100000006</v>
      </c>
      <c r="L6023" s="282">
        <f>++Tabla4[[#This Row],[Precio Unitario Neto]]-Tabla4[[#This Row],[20.85%]]</f>
        <v>3767.9088390000002</v>
      </c>
      <c r="M6023" s="282" t="e">
        <f>(INDEX(Tabla6[#All],MATCH(Tabla4[[#This Row],[Producto]],Tabla6[[#All],[PRODUCTO]],0),MATCH(Tabla4[[#This Row],[Mes]],Tabla6[#Headers],0)))*(1+Catalogos!$L$2)</f>
        <v>#N/A</v>
      </c>
      <c r="N6023" s="283" t="e">
        <f>+(Tabla4[[#This Row],[Precio Descontado]]-Tabla4[[#This Row],[Precio Base]])*Tabla4[[#This Row],[Cantidad]]</f>
        <v>#N/A</v>
      </c>
      <c r="O6023" s="284" t="e">
        <f>++Tabla4[[#This Row],[Utilidad Total]]/Tabla4[[#This Row],[Total]]</f>
        <v>#N/A</v>
      </c>
      <c r="P6023" s="282">
        <f>++Tabla4[[#This Row],[Precio Descontado]]*Tabla4[[#This Row],[Cantidad]]</f>
        <v>3767.9088390000002</v>
      </c>
      <c r="Q6023" s="282" t="e">
        <f>(INDEX(Tabla6[#All],MATCH(Tabla4[[#This Row],[Producto]],Tabla6[[#All],[PRODUCTO]],0),MATCH(Tabla4[[#This Row],[Mes]],Tabla6[#Headers],0)))</f>
        <v>#N/A</v>
      </c>
      <c r="R6023" s="282" t="e">
        <f>++Tabla4[[#This Row],[Precio Unitario Neto]]-Tabla4[[#This Row],[20.85%]]-Tabla4[[#This Row],[Costo]]</f>
        <v>#N/A</v>
      </c>
      <c r="S6023" s="282" t="e">
        <f>++Tabla4[[#This Row],[U. Bruta Uni]]*Tabla4[[#This Row],[Cantidad]]</f>
        <v>#N/A</v>
      </c>
      <c r="T6023" s="369" t="str">
        <f>VLOOKUP(Tabla4[[#This Row],[Producto]],Tabla6[#All],14,FALSE)</f>
        <v>Termico Solar</v>
      </c>
      <c r="U6023" s="284" t="e">
        <f>(IF(Tabla4[[#This Row],[Familia]]="termico solar",Tabla4[[#This Row],[Utilidad Total]]*6%,Tabla4[[#This Row],[Utilidad Total]]*11.5%))/Tabla4[[#This Row],[Total]]</f>
        <v>#N/A</v>
      </c>
      <c r="V6023" s="282" t="e">
        <f>+Tabla4[[#This Row],[Comisión Calculada]]*Tabla4[[#This Row],[Total]]</f>
        <v>#N/A</v>
      </c>
    </row>
    <row r="6024" spans="1:22" hidden="1" x14ac:dyDescent="0.25">
      <c r="A6024" s="100">
        <v>45930</v>
      </c>
      <c r="B6024" t="str">
        <f t="shared" si="282"/>
        <v>September</v>
      </c>
      <c r="C6024" s="46" t="s">
        <v>280</v>
      </c>
      <c r="F6024" s="366" t="s">
        <v>3089</v>
      </c>
      <c r="G6024" s="46" t="s">
        <v>19</v>
      </c>
      <c r="H6024" s="46">
        <v>1</v>
      </c>
      <c r="I6024" s="51">
        <v>6412.03</v>
      </c>
      <c r="J6024" s="281">
        <f>++Tabla4[[#This Row],[Precio Bruto]]*1.16</f>
        <v>7437.9547999999995</v>
      </c>
      <c r="K6024" s="281">
        <f>+Tabla4[[#This Row],[Precio Unitario Neto]]*Tabla4[[#Headers],[20.85%]]</f>
        <v>1550.8135757999999</v>
      </c>
      <c r="L6024" s="282">
        <f>++Tabla4[[#This Row],[Precio Unitario Neto]]-Tabla4[[#This Row],[20.85%]]</f>
        <v>5887.1412241999997</v>
      </c>
      <c r="M6024" s="282" t="e">
        <f>(INDEX(Tabla6[#All],MATCH(Tabla4[[#This Row],[Producto]],Tabla6[[#All],[PRODUCTO]],0),MATCH(Tabla4[[#This Row],[Mes]],Tabla6[#Headers],0)))*(1+Catalogos!$L$2)</f>
        <v>#N/A</v>
      </c>
      <c r="N6024" s="283" t="e">
        <f>+(Tabla4[[#This Row],[Precio Descontado]]-Tabla4[[#This Row],[Precio Base]])*Tabla4[[#This Row],[Cantidad]]</f>
        <v>#N/A</v>
      </c>
      <c r="O6024" s="284" t="e">
        <f>++Tabla4[[#This Row],[Utilidad Total]]/Tabla4[[#This Row],[Total]]</f>
        <v>#N/A</v>
      </c>
      <c r="P6024" s="282">
        <f>++Tabla4[[#This Row],[Precio Descontado]]*Tabla4[[#This Row],[Cantidad]]</f>
        <v>5887.1412241999997</v>
      </c>
      <c r="Q6024" s="282" t="e">
        <f>(INDEX(Tabla6[#All],MATCH(Tabla4[[#This Row],[Producto]],Tabla6[[#All],[PRODUCTO]],0),MATCH(Tabla4[[#This Row],[Mes]],Tabla6[#Headers],0)))</f>
        <v>#N/A</v>
      </c>
      <c r="R6024" s="282" t="e">
        <f>++Tabla4[[#This Row],[Precio Unitario Neto]]-Tabla4[[#This Row],[20.85%]]-Tabla4[[#This Row],[Costo]]</f>
        <v>#N/A</v>
      </c>
      <c r="S6024" s="282" t="e">
        <f>++Tabla4[[#This Row],[U. Bruta Uni]]*Tabla4[[#This Row],[Cantidad]]</f>
        <v>#N/A</v>
      </c>
      <c r="T6024" s="369" t="str">
        <f>VLOOKUP(Tabla4[[#This Row],[Producto]],Tabla6[#All],14,FALSE)</f>
        <v>Termico Solar</v>
      </c>
      <c r="U6024" s="284" t="e">
        <f>(IF(Tabla4[[#This Row],[Familia]]="termico solar",Tabla4[[#This Row],[Utilidad Total]]*6%,Tabla4[[#This Row],[Utilidad Total]]*11.5%))/Tabla4[[#This Row],[Total]]</f>
        <v>#N/A</v>
      </c>
      <c r="V6024" s="282" t="e">
        <f>+Tabla4[[#This Row],[Comisión Calculada]]*Tabla4[[#This Row],[Total]]</f>
        <v>#N/A</v>
      </c>
    </row>
    <row r="6025" spans="1:22" hidden="1" x14ac:dyDescent="0.25">
      <c r="A6025" s="100">
        <v>45930</v>
      </c>
      <c r="B6025" t="str">
        <f t="shared" si="282"/>
        <v>September</v>
      </c>
      <c r="C6025" s="46" t="s">
        <v>280</v>
      </c>
      <c r="F6025" s="366" t="s">
        <v>3089</v>
      </c>
      <c r="G6025" s="46" t="s">
        <v>208</v>
      </c>
      <c r="H6025" s="46">
        <v>3</v>
      </c>
      <c r="I6025" s="51">
        <v>189.75</v>
      </c>
      <c r="J6025" s="281">
        <f>++Tabla4[[#This Row],[Precio Bruto]]*1.16</f>
        <v>220.10999999999999</v>
      </c>
      <c r="K6025" s="281">
        <f>+Tabla4[[#This Row],[Precio Unitario Neto]]*Tabla4[[#Headers],[20.85%]]</f>
        <v>45.892934999999994</v>
      </c>
      <c r="L6025" s="282">
        <f>++Tabla4[[#This Row],[Precio Unitario Neto]]-Tabla4[[#This Row],[20.85%]]</f>
        <v>174.21706499999999</v>
      </c>
      <c r="M6025" s="282" t="e">
        <f>(INDEX(Tabla6[#All],MATCH(Tabla4[[#This Row],[Producto]],Tabla6[[#All],[PRODUCTO]],0),MATCH(Tabla4[[#This Row],[Mes]],Tabla6[#Headers],0)))*(1+Catalogos!$L$2)</f>
        <v>#N/A</v>
      </c>
      <c r="N6025" s="283" t="e">
        <f>+(Tabla4[[#This Row],[Precio Descontado]]-Tabla4[[#This Row],[Precio Base]])*Tabla4[[#This Row],[Cantidad]]</f>
        <v>#N/A</v>
      </c>
      <c r="O6025" s="284" t="e">
        <f>++Tabla4[[#This Row],[Utilidad Total]]/Tabla4[[#This Row],[Total]]</f>
        <v>#N/A</v>
      </c>
      <c r="P6025" s="282">
        <f>++Tabla4[[#This Row],[Precio Descontado]]*Tabla4[[#This Row],[Cantidad]]</f>
        <v>522.65119499999992</v>
      </c>
      <c r="Q6025" s="282" t="e">
        <f>(INDEX(Tabla6[#All],MATCH(Tabla4[[#This Row],[Producto]],Tabla6[[#All],[PRODUCTO]],0),MATCH(Tabla4[[#This Row],[Mes]],Tabla6[#Headers],0)))</f>
        <v>#N/A</v>
      </c>
      <c r="R6025" s="282" t="e">
        <f>++Tabla4[[#This Row],[Precio Unitario Neto]]-Tabla4[[#This Row],[20.85%]]-Tabla4[[#This Row],[Costo]]</f>
        <v>#N/A</v>
      </c>
      <c r="S6025" s="282" t="e">
        <f>++Tabla4[[#This Row],[U. Bruta Uni]]*Tabla4[[#This Row],[Cantidad]]</f>
        <v>#N/A</v>
      </c>
      <c r="T6025" s="369" t="str">
        <f>VLOOKUP(Tabla4[[#This Row],[Producto]],Tabla6[#All],14,FALSE)</f>
        <v>Termico Solar</v>
      </c>
      <c r="U6025" s="284" t="e">
        <f>(IF(Tabla4[[#This Row],[Familia]]="termico solar",Tabla4[[#This Row],[Utilidad Total]]*6%,Tabla4[[#This Row],[Utilidad Total]]*11.5%))/Tabla4[[#This Row],[Total]]</f>
        <v>#N/A</v>
      </c>
      <c r="V6025" s="282" t="e">
        <f>+Tabla4[[#This Row],[Comisión Calculada]]*Tabla4[[#This Row],[Total]]</f>
        <v>#N/A</v>
      </c>
    </row>
    <row r="6026" spans="1:22" hidden="1" x14ac:dyDescent="0.25">
      <c r="A6026" s="100">
        <v>45930</v>
      </c>
      <c r="B6026" t="str">
        <f t="shared" si="282"/>
        <v>September</v>
      </c>
      <c r="C6026" s="46" t="s">
        <v>280</v>
      </c>
      <c r="F6026" s="366" t="s">
        <v>3090</v>
      </c>
      <c r="G6026" s="46" t="s">
        <v>83</v>
      </c>
      <c r="H6026" s="46">
        <v>1</v>
      </c>
      <c r="I6026" s="51">
        <v>8858.76</v>
      </c>
      <c r="J6026" s="281">
        <f>++Tabla4[[#This Row],[Precio Bruto]]*1.16</f>
        <v>10276.161599999999</v>
      </c>
      <c r="K6026" s="281">
        <f>+Tabla4[[#This Row],[Precio Unitario Neto]]*Tabla4[[#Headers],[20.85%]]</f>
        <v>2142.5796935999997</v>
      </c>
      <c r="L6026" s="282">
        <f>++Tabla4[[#This Row],[Precio Unitario Neto]]-Tabla4[[#This Row],[20.85%]]</f>
        <v>8133.5819063999998</v>
      </c>
      <c r="M6026" s="282" t="e">
        <f>(INDEX(Tabla6[#All],MATCH(Tabla4[[#This Row],[Producto]],Tabla6[[#All],[PRODUCTO]],0),MATCH(Tabla4[[#This Row],[Mes]],Tabla6[#Headers],0)))*(1+Catalogos!$L$2)</f>
        <v>#N/A</v>
      </c>
      <c r="N6026" s="283" t="e">
        <f>+(Tabla4[[#This Row],[Precio Descontado]]-Tabla4[[#This Row],[Precio Base]])*Tabla4[[#This Row],[Cantidad]]</f>
        <v>#N/A</v>
      </c>
      <c r="O6026" s="284" t="e">
        <f>++Tabla4[[#This Row],[Utilidad Total]]/Tabla4[[#This Row],[Total]]</f>
        <v>#N/A</v>
      </c>
      <c r="P6026" s="282">
        <f>++Tabla4[[#This Row],[Precio Descontado]]*Tabla4[[#This Row],[Cantidad]]</f>
        <v>8133.5819063999998</v>
      </c>
      <c r="Q6026" s="282" t="e">
        <f>(INDEX(Tabla6[#All],MATCH(Tabla4[[#This Row],[Producto]],Tabla6[[#All],[PRODUCTO]],0),MATCH(Tabla4[[#This Row],[Mes]],Tabla6[#Headers],0)))</f>
        <v>#N/A</v>
      </c>
      <c r="R6026" s="282" t="e">
        <f>++Tabla4[[#This Row],[Precio Unitario Neto]]-Tabla4[[#This Row],[20.85%]]-Tabla4[[#This Row],[Costo]]</f>
        <v>#N/A</v>
      </c>
      <c r="S6026" s="282" t="e">
        <f>++Tabla4[[#This Row],[U. Bruta Uni]]*Tabla4[[#This Row],[Cantidad]]</f>
        <v>#N/A</v>
      </c>
      <c r="T6026" s="369" t="str">
        <f>VLOOKUP(Tabla4[[#This Row],[Producto]],Tabla6[#All],14,FALSE)</f>
        <v>Termico Solar</v>
      </c>
      <c r="U6026" s="284" t="e">
        <f>(IF(Tabla4[[#This Row],[Familia]]="termico solar",Tabla4[[#This Row],[Utilidad Total]]*6%,Tabla4[[#This Row],[Utilidad Total]]*11.5%))/Tabla4[[#This Row],[Total]]</f>
        <v>#N/A</v>
      </c>
      <c r="V6026" s="282" t="e">
        <f>+Tabla4[[#This Row],[Comisión Calculada]]*Tabla4[[#This Row],[Total]]</f>
        <v>#N/A</v>
      </c>
    </row>
    <row r="6027" spans="1:22" hidden="1" x14ac:dyDescent="0.25">
      <c r="A6027" s="100">
        <v>45930</v>
      </c>
      <c r="B6027" t="str">
        <f t="shared" si="282"/>
        <v>September</v>
      </c>
      <c r="C6027" s="46" t="s">
        <v>280</v>
      </c>
      <c r="F6027" s="366" t="s">
        <v>3090</v>
      </c>
      <c r="G6027" s="46" t="s">
        <v>17</v>
      </c>
      <c r="H6027" s="46">
        <v>1</v>
      </c>
      <c r="I6027" s="51">
        <v>4622.28</v>
      </c>
      <c r="J6027" s="281">
        <f>++Tabla4[[#This Row],[Precio Bruto]]*1.16</f>
        <v>5361.8447999999989</v>
      </c>
      <c r="K6027" s="281">
        <f>+Tabla4[[#This Row],[Precio Unitario Neto]]*Tabla4[[#Headers],[20.85%]]</f>
        <v>1117.9446407999997</v>
      </c>
      <c r="L6027" s="282">
        <f>++Tabla4[[#This Row],[Precio Unitario Neto]]-Tabla4[[#This Row],[20.85%]]</f>
        <v>4243.9001591999995</v>
      </c>
      <c r="M6027" s="282" t="e">
        <f>(INDEX(Tabla6[#All],MATCH(Tabla4[[#This Row],[Producto]],Tabla6[[#All],[PRODUCTO]],0),MATCH(Tabla4[[#This Row],[Mes]],Tabla6[#Headers],0)))*(1+Catalogos!$L$2)</f>
        <v>#N/A</v>
      </c>
      <c r="N6027" s="283" t="e">
        <f>+(Tabla4[[#This Row],[Precio Descontado]]-Tabla4[[#This Row],[Precio Base]])*Tabla4[[#This Row],[Cantidad]]</f>
        <v>#N/A</v>
      </c>
      <c r="O6027" s="284" t="e">
        <f>++Tabla4[[#This Row],[Utilidad Total]]/Tabla4[[#This Row],[Total]]</f>
        <v>#N/A</v>
      </c>
      <c r="P6027" s="282">
        <f>++Tabla4[[#This Row],[Precio Descontado]]*Tabla4[[#This Row],[Cantidad]]</f>
        <v>4243.9001591999995</v>
      </c>
      <c r="Q6027" s="282" t="e">
        <f>(INDEX(Tabla6[#All],MATCH(Tabla4[[#This Row],[Producto]],Tabla6[[#All],[PRODUCTO]],0),MATCH(Tabla4[[#This Row],[Mes]],Tabla6[#Headers],0)))</f>
        <v>#N/A</v>
      </c>
      <c r="R6027" s="282" t="e">
        <f>++Tabla4[[#This Row],[Precio Unitario Neto]]-Tabla4[[#This Row],[20.85%]]-Tabla4[[#This Row],[Costo]]</f>
        <v>#N/A</v>
      </c>
      <c r="S6027" s="282" t="e">
        <f>++Tabla4[[#This Row],[U. Bruta Uni]]*Tabla4[[#This Row],[Cantidad]]</f>
        <v>#N/A</v>
      </c>
      <c r="T6027" s="369" t="str">
        <f>VLOOKUP(Tabla4[[#This Row],[Producto]],Tabla6[#All],14,FALSE)</f>
        <v>Termico Solar</v>
      </c>
      <c r="U6027" s="284" t="e">
        <f>(IF(Tabla4[[#This Row],[Familia]]="termico solar",Tabla4[[#This Row],[Utilidad Total]]*6%,Tabla4[[#This Row],[Utilidad Total]]*11.5%))/Tabla4[[#This Row],[Total]]</f>
        <v>#N/A</v>
      </c>
      <c r="V6027" s="282" t="e">
        <f>+Tabla4[[#This Row],[Comisión Calculada]]*Tabla4[[#This Row],[Total]]</f>
        <v>#N/A</v>
      </c>
    </row>
    <row r="6028" spans="1:22" hidden="1" x14ac:dyDescent="0.25">
      <c r="A6028" s="100">
        <v>45930</v>
      </c>
      <c r="B6028" t="str">
        <f t="shared" si="282"/>
        <v>September</v>
      </c>
      <c r="C6028" s="46" t="s">
        <v>280</v>
      </c>
      <c r="F6028" s="366" t="s">
        <v>3090</v>
      </c>
      <c r="G6028" s="46" t="s">
        <v>566</v>
      </c>
      <c r="H6028" s="46">
        <v>1</v>
      </c>
      <c r="I6028" s="51">
        <v>2109.4499999999998</v>
      </c>
      <c r="J6028" s="281">
        <f>++Tabla4[[#This Row],[Precio Bruto]]*1.16</f>
        <v>2446.9619999999995</v>
      </c>
      <c r="K6028" s="281">
        <f>+Tabla4[[#This Row],[Precio Unitario Neto]]*Tabla4[[#Headers],[20.85%]]</f>
        <v>510.19157699999988</v>
      </c>
      <c r="L6028" s="282">
        <f>++Tabla4[[#This Row],[Precio Unitario Neto]]-Tabla4[[#This Row],[20.85%]]</f>
        <v>1936.7704229999997</v>
      </c>
      <c r="M6028" s="282" t="e">
        <f>(INDEX(Tabla6[#All],MATCH(Tabla4[[#This Row],[Producto]],Tabla6[[#All],[PRODUCTO]],0),MATCH(Tabla4[[#This Row],[Mes]],Tabla6[#Headers],0)))*(1+Catalogos!$L$2)</f>
        <v>#N/A</v>
      </c>
      <c r="N6028" s="283" t="e">
        <f>+(Tabla4[[#This Row],[Precio Descontado]]-Tabla4[[#This Row],[Precio Base]])*Tabla4[[#This Row],[Cantidad]]</f>
        <v>#N/A</v>
      </c>
      <c r="O6028" s="284" t="e">
        <f>++Tabla4[[#This Row],[Utilidad Total]]/Tabla4[[#This Row],[Total]]</f>
        <v>#N/A</v>
      </c>
      <c r="P6028" s="282">
        <f>++Tabla4[[#This Row],[Precio Descontado]]*Tabla4[[#This Row],[Cantidad]]</f>
        <v>1936.7704229999997</v>
      </c>
      <c r="Q6028" s="282" t="e">
        <f>(INDEX(Tabla6[#All],MATCH(Tabla4[[#This Row],[Producto]],Tabla6[[#All],[PRODUCTO]],0),MATCH(Tabla4[[#This Row],[Mes]],Tabla6[#Headers],0)))</f>
        <v>#N/A</v>
      </c>
      <c r="R6028" s="282" t="e">
        <f>++Tabla4[[#This Row],[Precio Unitario Neto]]-Tabla4[[#This Row],[20.85%]]-Tabla4[[#This Row],[Costo]]</f>
        <v>#N/A</v>
      </c>
      <c r="S6028" s="282" t="e">
        <f>++Tabla4[[#This Row],[U. Bruta Uni]]*Tabla4[[#This Row],[Cantidad]]</f>
        <v>#N/A</v>
      </c>
      <c r="T6028" s="369" t="str">
        <f>VLOOKUP(Tabla4[[#This Row],[Producto]],Tabla6[#All],14,FALSE)</f>
        <v>Termico Solar</v>
      </c>
      <c r="U6028" s="284" t="e">
        <f>(IF(Tabla4[[#This Row],[Familia]]="termico solar",Tabla4[[#This Row],[Utilidad Total]]*6%,Tabla4[[#This Row],[Utilidad Total]]*11.5%))/Tabla4[[#This Row],[Total]]</f>
        <v>#N/A</v>
      </c>
      <c r="V6028" s="282" t="e">
        <f>+Tabla4[[#This Row],[Comisión Calculada]]*Tabla4[[#This Row],[Total]]</f>
        <v>#N/A</v>
      </c>
    </row>
    <row r="6029" spans="1:22" hidden="1" x14ac:dyDescent="0.25">
      <c r="A6029" s="100">
        <v>45930</v>
      </c>
      <c r="B6029" t="str">
        <f t="shared" si="282"/>
        <v>September</v>
      </c>
      <c r="C6029" s="46" t="s">
        <v>280</v>
      </c>
      <c r="F6029" s="366" t="s">
        <v>3090</v>
      </c>
      <c r="G6029" s="46" t="s">
        <v>412</v>
      </c>
      <c r="H6029" s="46">
        <v>1</v>
      </c>
      <c r="I6029" s="51">
        <v>3240.84</v>
      </c>
      <c r="J6029" s="281">
        <f>++Tabla4[[#This Row],[Precio Bruto]]*1.16</f>
        <v>3759.3743999999997</v>
      </c>
      <c r="K6029" s="281">
        <f>+Tabla4[[#This Row],[Precio Unitario Neto]]*Tabla4[[#Headers],[20.85%]]</f>
        <v>783.82956239999987</v>
      </c>
      <c r="L6029" s="282">
        <f>++Tabla4[[#This Row],[Precio Unitario Neto]]-Tabla4[[#This Row],[20.85%]]</f>
        <v>2975.5448375999999</v>
      </c>
      <c r="M6029" s="282" t="e">
        <f>(INDEX(Tabla6[#All],MATCH(Tabla4[[#This Row],[Producto]],Tabla6[[#All],[PRODUCTO]],0),MATCH(Tabla4[[#This Row],[Mes]],Tabla6[#Headers],0)))*(1+Catalogos!$L$2)</f>
        <v>#N/A</v>
      </c>
      <c r="N6029" s="283" t="e">
        <f>+(Tabla4[[#This Row],[Precio Descontado]]-Tabla4[[#This Row],[Precio Base]])*Tabla4[[#This Row],[Cantidad]]</f>
        <v>#N/A</v>
      </c>
      <c r="O6029" s="284" t="e">
        <f>++Tabla4[[#This Row],[Utilidad Total]]/Tabla4[[#This Row],[Total]]</f>
        <v>#N/A</v>
      </c>
      <c r="P6029" s="282">
        <f>++Tabla4[[#This Row],[Precio Descontado]]*Tabla4[[#This Row],[Cantidad]]</f>
        <v>2975.5448375999999</v>
      </c>
      <c r="Q6029" s="282" t="e">
        <f>(INDEX(Tabla6[#All],MATCH(Tabla4[[#This Row],[Producto]],Tabla6[[#All],[PRODUCTO]],0),MATCH(Tabla4[[#This Row],[Mes]],Tabla6[#Headers],0)))</f>
        <v>#N/A</v>
      </c>
      <c r="R6029" s="282" t="e">
        <f>++Tabla4[[#This Row],[Precio Unitario Neto]]-Tabla4[[#This Row],[20.85%]]-Tabla4[[#This Row],[Costo]]</f>
        <v>#N/A</v>
      </c>
      <c r="S6029" s="282" t="e">
        <f>++Tabla4[[#This Row],[U. Bruta Uni]]*Tabla4[[#This Row],[Cantidad]]</f>
        <v>#N/A</v>
      </c>
      <c r="T6029" s="369" t="str">
        <f>VLOOKUP(Tabla4[[#This Row],[Producto]],Tabla6[#All],14,FALSE)</f>
        <v>Termico Solar</v>
      </c>
      <c r="U6029" s="284" t="e">
        <f>(IF(Tabla4[[#This Row],[Familia]]="termico solar",Tabla4[[#This Row],[Utilidad Total]]*6%,Tabla4[[#This Row],[Utilidad Total]]*11.5%))/Tabla4[[#This Row],[Total]]</f>
        <v>#N/A</v>
      </c>
      <c r="V6029" s="282" t="e">
        <f>+Tabla4[[#This Row],[Comisión Calculada]]*Tabla4[[#This Row],[Total]]</f>
        <v>#N/A</v>
      </c>
    </row>
    <row r="6030" spans="1:22" hidden="1" x14ac:dyDescent="0.25">
      <c r="A6030" s="100">
        <v>45930</v>
      </c>
      <c r="B6030" t="str">
        <f t="shared" si="282"/>
        <v>September</v>
      </c>
      <c r="C6030" s="46" t="s">
        <v>280</v>
      </c>
      <c r="F6030" s="366" t="s">
        <v>3091</v>
      </c>
      <c r="G6030" s="46" t="s">
        <v>17</v>
      </c>
      <c r="H6030" s="46">
        <v>2</v>
      </c>
      <c r="I6030" s="51">
        <v>4622.28</v>
      </c>
      <c r="J6030" s="281">
        <f>++Tabla4[[#This Row],[Precio Bruto]]*1.16</f>
        <v>5361.8447999999989</v>
      </c>
      <c r="K6030" s="281">
        <f>+Tabla4[[#This Row],[Precio Unitario Neto]]*Tabla4[[#Headers],[20.85%]]</f>
        <v>1117.9446407999997</v>
      </c>
      <c r="L6030" s="282">
        <f>++Tabla4[[#This Row],[Precio Unitario Neto]]-Tabla4[[#This Row],[20.85%]]</f>
        <v>4243.9001591999995</v>
      </c>
      <c r="M6030" s="282" t="e">
        <f>(INDEX(Tabla6[#All],MATCH(Tabla4[[#This Row],[Producto]],Tabla6[[#All],[PRODUCTO]],0),MATCH(Tabla4[[#This Row],[Mes]],Tabla6[#Headers],0)))*(1+Catalogos!$L$2)</f>
        <v>#N/A</v>
      </c>
      <c r="N6030" s="283" t="e">
        <f>+(Tabla4[[#This Row],[Precio Descontado]]-Tabla4[[#This Row],[Precio Base]])*Tabla4[[#This Row],[Cantidad]]</f>
        <v>#N/A</v>
      </c>
      <c r="O6030" s="284" t="e">
        <f>++Tabla4[[#This Row],[Utilidad Total]]/Tabla4[[#This Row],[Total]]</f>
        <v>#N/A</v>
      </c>
      <c r="P6030" s="282">
        <f>++Tabla4[[#This Row],[Precio Descontado]]*Tabla4[[#This Row],[Cantidad]]</f>
        <v>8487.800318399999</v>
      </c>
      <c r="Q6030" s="282" t="e">
        <f>(INDEX(Tabla6[#All],MATCH(Tabla4[[#This Row],[Producto]],Tabla6[[#All],[PRODUCTO]],0),MATCH(Tabla4[[#This Row],[Mes]],Tabla6[#Headers],0)))</f>
        <v>#N/A</v>
      </c>
      <c r="R6030" s="282" t="e">
        <f>++Tabla4[[#This Row],[Precio Unitario Neto]]-Tabla4[[#This Row],[20.85%]]-Tabla4[[#This Row],[Costo]]</f>
        <v>#N/A</v>
      </c>
      <c r="S6030" s="282" t="e">
        <f>++Tabla4[[#This Row],[U. Bruta Uni]]*Tabla4[[#This Row],[Cantidad]]</f>
        <v>#N/A</v>
      </c>
      <c r="T6030" s="369" t="str">
        <f>VLOOKUP(Tabla4[[#This Row],[Producto]],Tabla6[#All],14,FALSE)</f>
        <v>Termico Solar</v>
      </c>
      <c r="U6030" s="284" t="e">
        <f>(IF(Tabla4[[#This Row],[Familia]]="termico solar",Tabla4[[#This Row],[Utilidad Total]]*6%,Tabla4[[#This Row],[Utilidad Total]]*11.5%))/Tabla4[[#This Row],[Total]]</f>
        <v>#N/A</v>
      </c>
      <c r="V6030" s="282" t="e">
        <f>+Tabla4[[#This Row],[Comisión Calculada]]*Tabla4[[#This Row],[Total]]</f>
        <v>#N/A</v>
      </c>
    </row>
    <row r="6031" spans="1:22" hidden="1" x14ac:dyDescent="0.25">
      <c r="A6031" s="100">
        <v>45930</v>
      </c>
      <c r="B6031" t="str">
        <f t="shared" si="282"/>
        <v>September</v>
      </c>
      <c r="C6031" s="46" t="s">
        <v>280</v>
      </c>
      <c r="F6031" s="366" t="s">
        <v>3091</v>
      </c>
      <c r="G6031" s="46" t="s">
        <v>18</v>
      </c>
      <c r="H6031" s="46">
        <v>1</v>
      </c>
      <c r="I6031" s="51">
        <v>5367.65</v>
      </c>
      <c r="J6031" s="281">
        <f>++Tabla4[[#This Row],[Precio Bruto]]*1.16</f>
        <v>6226.4739999999993</v>
      </c>
      <c r="K6031" s="281">
        <f>+Tabla4[[#This Row],[Precio Unitario Neto]]*Tabla4[[#Headers],[20.85%]]</f>
        <v>1298.2198289999999</v>
      </c>
      <c r="L6031" s="282">
        <f>++Tabla4[[#This Row],[Precio Unitario Neto]]-Tabla4[[#This Row],[20.85%]]</f>
        <v>4928.2541709999996</v>
      </c>
      <c r="M6031" s="282" t="e">
        <f>(INDEX(Tabla6[#All],MATCH(Tabla4[[#This Row],[Producto]],Tabla6[[#All],[PRODUCTO]],0),MATCH(Tabla4[[#This Row],[Mes]],Tabla6[#Headers],0)))*(1+Catalogos!$L$2)</f>
        <v>#N/A</v>
      </c>
      <c r="N6031" s="283" t="e">
        <f>+(Tabla4[[#This Row],[Precio Descontado]]-Tabla4[[#This Row],[Precio Base]])*Tabla4[[#This Row],[Cantidad]]</f>
        <v>#N/A</v>
      </c>
      <c r="O6031" s="284" t="e">
        <f>++Tabla4[[#This Row],[Utilidad Total]]/Tabla4[[#This Row],[Total]]</f>
        <v>#N/A</v>
      </c>
      <c r="P6031" s="282">
        <f>++Tabla4[[#This Row],[Precio Descontado]]*Tabla4[[#This Row],[Cantidad]]</f>
        <v>4928.2541709999996</v>
      </c>
      <c r="Q6031" s="282" t="e">
        <f>(INDEX(Tabla6[#All],MATCH(Tabla4[[#This Row],[Producto]],Tabla6[[#All],[PRODUCTO]],0),MATCH(Tabla4[[#This Row],[Mes]],Tabla6[#Headers],0)))</f>
        <v>#N/A</v>
      </c>
      <c r="R6031" s="282" t="e">
        <f>++Tabla4[[#This Row],[Precio Unitario Neto]]-Tabla4[[#This Row],[20.85%]]-Tabla4[[#This Row],[Costo]]</f>
        <v>#N/A</v>
      </c>
      <c r="S6031" s="282" t="e">
        <f>++Tabla4[[#This Row],[U. Bruta Uni]]*Tabla4[[#This Row],[Cantidad]]</f>
        <v>#N/A</v>
      </c>
      <c r="T6031" s="369" t="str">
        <f>VLOOKUP(Tabla4[[#This Row],[Producto]],Tabla6[#All],14,FALSE)</f>
        <v>Termico Solar</v>
      </c>
      <c r="U6031" s="284" t="e">
        <f>(IF(Tabla4[[#This Row],[Familia]]="termico solar",Tabla4[[#This Row],[Utilidad Total]]*6%,Tabla4[[#This Row],[Utilidad Total]]*11.5%))/Tabla4[[#This Row],[Total]]</f>
        <v>#N/A</v>
      </c>
      <c r="V6031" s="282" t="e">
        <f>+Tabla4[[#This Row],[Comisión Calculada]]*Tabla4[[#This Row],[Total]]</f>
        <v>#N/A</v>
      </c>
    </row>
    <row r="6032" spans="1:22" hidden="1" x14ac:dyDescent="0.25">
      <c r="A6032" s="100">
        <v>45930</v>
      </c>
      <c r="B6032" t="str">
        <f t="shared" si="282"/>
        <v>September</v>
      </c>
      <c r="C6032" s="46" t="s">
        <v>280</v>
      </c>
      <c r="F6032" s="366" t="s">
        <v>3091</v>
      </c>
      <c r="G6032" s="46" t="s">
        <v>16</v>
      </c>
      <c r="H6032" s="46">
        <v>3</v>
      </c>
      <c r="I6032" s="51">
        <v>4103.8499999999995</v>
      </c>
      <c r="J6032" s="281">
        <f>++Tabla4[[#This Row],[Precio Bruto]]*1.16</f>
        <v>4760.4659999999994</v>
      </c>
      <c r="K6032" s="281">
        <f>+Tabla4[[#This Row],[Precio Unitario Neto]]*Tabla4[[#Headers],[20.85%]]</f>
        <v>992.55716099999984</v>
      </c>
      <c r="L6032" s="282">
        <f>++Tabla4[[#This Row],[Precio Unitario Neto]]-Tabla4[[#This Row],[20.85%]]</f>
        <v>3767.9088389999997</v>
      </c>
      <c r="M6032" s="282" t="e">
        <f>(INDEX(Tabla6[#All],MATCH(Tabla4[[#This Row],[Producto]],Tabla6[[#All],[PRODUCTO]],0),MATCH(Tabla4[[#This Row],[Mes]],Tabla6[#Headers],0)))*(1+Catalogos!$L$2)</f>
        <v>#N/A</v>
      </c>
      <c r="N6032" s="283" t="e">
        <f>+(Tabla4[[#This Row],[Precio Descontado]]-Tabla4[[#This Row],[Precio Base]])*Tabla4[[#This Row],[Cantidad]]</f>
        <v>#N/A</v>
      </c>
      <c r="O6032" s="284" t="e">
        <f>++Tabla4[[#This Row],[Utilidad Total]]/Tabla4[[#This Row],[Total]]</f>
        <v>#N/A</v>
      </c>
      <c r="P6032" s="282">
        <f>++Tabla4[[#This Row],[Precio Descontado]]*Tabla4[[#This Row],[Cantidad]]</f>
        <v>11303.726516999999</v>
      </c>
      <c r="Q6032" s="282" t="e">
        <f>(INDEX(Tabla6[#All],MATCH(Tabla4[[#This Row],[Producto]],Tabla6[[#All],[PRODUCTO]],0),MATCH(Tabla4[[#This Row],[Mes]],Tabla6[#Headers],0)))</f>
        <v>#N/A</v>
      </c>
      <c r="R6032" s="282" t="e">
        <f>++Tabla4[[#This Row],[Precio Unitario Neto]]-Tabla4[[#This Row],[20.85%]]-Tabla4[[#This Row],[Costo]]</f>
        <v>#N/A</v>
      </c>
      <c r="S6032" s="282" t="e">
        <f>++Tabla4[[#This Row],[U. Bruta Uni]]*Tabla4[[#This Row],[Cantidad]]</f>
        <v>#N/A</v>
      </c>
      <c r="T6032" s="369" t="str">
        <f>VLOOKUP(Tabla4[[#This Row],[Producto]],Tabla6[#All],14,FALSE)</f>
        <v>Termico Solar</v>
      </c>
      <c r="U6032" s="284" t="e">
        <f>(IF(Tabla4[[#This Row],[Familia]]="termico solar",Tabla4[[#This Row],[Utilidad Total]]*6%,Tabla4[[#This Row],[Utilidad Total]]*11.5%))/Tabla4[[#This Row],[Total]]</f>
        <v>#N/A</v>
      </c>
      <c r="V6032" s="282" t="e">
        <f>+Tabla4[[#This Row],[Comisión Calculada]]*Tabla4[[#This Row],[Total]]</f>
        <v>#N/A</v>
      </c>
    </row>
    <row r="6033" spans="1:22" hidden="1" x14ac:dyDescent="0.25">
      <c r="A6033" s="100">
        <v>45930</v>
      </c>
      <c r="B6033" t="str">
        <f t="shared" si="282"/>
        <v>September</v>
      </c>
      <c r="C6033" s="46" t="s">
        <v>280</v>
      </c>
      <c r="F6033" s="366" t="s">
        <v>3092</v>
      </c>
      <c r="G6033" s="46" t="s">
        <v>83</v>
      </c>
      <c r="H6033" s="46">
        <v>1</v>
      </c>
      <c r="I6033" s="51">
        <v>8858.76</v>
      </c>
      <c r="J6033" s="281">
        <f>++Tabla4[[#This Row],[Precio Bruto]]*1.16</f>
        <v>10276.161599999999</v>
      </c>
      <c r="K6033" s="281">
        <f>+Tabla4[[#This Row],[Precio Unitario Neto]]*Tabla4[[#Headers],[20.85%]]</f>
        <v>2142.5796935999997</v>
      </c>
      <c r="L6033" s="282">
        <f>++Tabla4[[#This Row],[Precio Unitario Neto]]-Tabla4[[#This Row],[20.85%]]</f>
        <v>8133.5819063999998</v>
      </c>
      <c r="M6033" s="282" t="e">
        <f>(INDEX(Tabla6[#All],MATCH(Tabla4[[#This Row],[Producto]],Tabla6[[#All],[PRODUCTO]],0),MATCH(Tabla4[[#This Row],[Mes]],Tabla6[#Headers],0)))*(1+Catalogos!$L$2)</f>
        <v>#N/A</v>
      </c>
      <c r="N6033" s="283" t="e">
        <f>+(Tabla4[[#This Row],[Precio Descontado]]-Tabla4[[#This Row],[Precio Base]])*Tabla4[[#This Row],[Cantidad]]</f>
        <v>#N/A</v>
      </c>
      <c r="O6033" s="284" t="e">
        <f>++Tabla4[[#This Row],[Utilidad Total]]/Tabla4[[#This Row],[Total]]</f>
        <v>#N/A</v>
      </c>
      <c r="P6033" s="282">
        <f>++Tabla4[[#This Row],[Precio Descontado]]*Tabla4[[#This Row],[Cantidad]]</f>
        <v>8133.5819063999998</v>
      </c>
      <c r="Q6033" s="282" t="e">
        <f>(INDEX(Tabla6[#All],MATCH(Tabla4[[#This Row],[Producto]],Tabla6[[#All],[PRODUCTO]],0),MATCH(Tabla4[[#This Row],[Mes]],Tabla6[#Headers],0)))</f>
        <v>#N/A</v>
      </c>
      <c r="R6033" s="282" t="e">
        <f>++Tabla4[[#This Row],[Precio Unitario Neto]]-Tabla4[[#This Row],[20.85%]]-Tabla4[[#This Row],[Costo]]</f>
        <v>#N/A</v>
      </c>
      <c r="S6033" s="282" t="e">
        <f>++Tabla4[[#This Row],[U. Bruta Uni]]*Tabla4[[#This Row],[Cantidad]]</f>
        <v>#N/A</v>
      </c>
      <c r="T6033" s="369" t="str">
        <f>VLOOKUP(Tabla4[[#This Row],[Producto]],Tabla6[#All],14,FALSE)</f>
        <v>Termico Solar</v>
      </c>
      <c r="U6033" s="284" t="e">
        <f>(IF(Tabla4[[#This Row],[Familia]]="termico solar",Tabla4[[#This Row],[Utilidad Total]]*6%,Tabla4[[#This Row],[Utilidad Total]]*11.5%))/Tabla4[[#This Row],[Total]]</f>
        <v>#N/A</v>
      </c>
      <c r="V6033" s="282" t="e">
        <f>+Tabla4[[#This Row],[Comisión Calculada]]*Tabla4[[#This Row],[Total]]</f>
        <v>#N/A</v>
      </c>
    </row>
    <row r="6034" spans="1:22" hidden="1" x14ac:dyDescent="0.25">
      <c r="A6034" s="100">
        <v>45930</v>
      </c>
      <c r="B6034" t="str">
        <f t="shared" si="282"/>
        <v>September</v>
      </c>
      <c r="C6034" s="46" t="s">
        <v>280</v>
      </c>
      <c r="F6034" s="366" t="s">
        <v>3092</v>
      </c>
      <c r="G6034" s="46" t="s">
        <v>16</v>
      </c>
      <c r="H6034" s="46">
        <v>1</v>
      </c>
      <c r="I6034" s="51">
        <v>4103.8500000000004</v>
      </c>
      <c r="J6034" s="281">
        <f>++Tabla4[[#This Row],[Precio Bruto]]*1.16</f>
        <v>4760.4660000000003</v>
      </c>
      <c r="K6034" s="281">
        <f>+Tabla4[[#This Row],[Precio Unitario Neto]]*Tabla4[[#Headers],[20.85%]]</f>
        <v>992.55716100000006</v>
      </c>
      <c r="L6034" s="282">
        <f>++Tabla4[[#This Row],[Precio Unitario Neto]]-Tabla4[[#This Row],[20.85%]]</f>
        <v>3767.9088390000002</v>
      </c>
      <c r="M6034" s="282" t="e">
        <f>(INDEX(Tabla6[#All],MATCH(Tabla4[[#This Row],[Producto]],Tabla6[[#All],[PRODUCTO]],0),MATCH(Tabla4[[#This Row],[Mes]],Tabla6[#Headers],0)))*(1+Catalogos!$L$2)</f>
        <v>#N/A</v>
      </c>
      <c r="N6034" s="283" t="e">
        <f>+(Tabla4[[#This Row],[Precio Descontado]]-Tabla4[[#This Row],[Precio Base]])*Tabla4[[#This Row],[Cantidad]]</f>
        <v>#N/A</v>
      </c>
      <c r="O6034" s="284" t="e">
        <f>++Tabla4[[#This Row],[Utilidad Total]]/Tabla4[[#This Row],[Total]]</f>
        <v>#N/A</v>
      </c>
      <c r="P6034" s="282">
        <f>++Tabla4[[#This Row],[Precio Descontado]]*Tabla4[[#This Row],[Cantidad]]</f>
        <v>3767.9088390000002</v>
      </c>
      <c r="Q6034" s="282" t="e">
        <f>(INDEX(Tabla6[#All],MATCH(Tabla4[[#This Row],[Producto]],Tabla6[[#All],[PRODUCTO]],0),MATCH(Tabla4[[#This Row],[Mes]],Tabla6[#Headers],0)))</f>
        <v>#N/A</v>
      </c>
      <c r="R6034" s="282" t="e">
        <f>++Tabla4[[#This Row],[Precio Unitario Neto]]-Tabla4[[#This Row],[20.85%]]-Tabla4[[#This Row],[Costo]]</f>
        <v>#N/A</v>
      </c>
      <c r="S6034" s="282" t="e">
        <f>++Tabla4[[#This Row],[U. Bruta Uni]]*Tabla4[[#This Row],[Cantidad]]</f>
        <v>#N/A</v>
      </c>
      <c r="T6034" s="369" t="str">
        <f>VLOOKUP(Tabla4[[#This Row],[Producto]],Tabla6[#All],14,FALSE)</f>
        <v>Termico Solar</v>
      </c>
      <c r="U6034" s="284" t="e">
        <f>(IF(Tabla4[[#This Row],[Familia]]="termico solar",Tabla4[[#This Row],[Utilidad Total]]*6%,Tabla4[[#This Row],[Utilidad Total]]*11.5%))/Tabla4[[#This Row],[Total]]</f>
        <v>#N/A</v>
      </c>
      <c r="V6034" s="282" t="e">
        <f>+Tabla4[[#This Row],[Comisión Calculada]]*Tabla4[[#This Row],[Total]]</f>
        <v>#N/A</v>
      </c>
    </row>
    <row r="6035" spans="1:22" hidden="1" x14ac:dyDescent="0.25">
      <c r="A6035" s="100">
        <v>45930</v>
      </c>
      <c r="B6035" t="str">
        <f t="shared" si="282"/>
        <v>September</v>
      </c>
      <c r="C6035" s="46" t="s">
        <v>280</v>
      </c>
      <c r="F6035" s="366" t="s">
        <v>3093</v>
      </c>
      <c r="G6035" s="46" t="s">
        <v>17</v>
      </c>
      <c r="H6035" s="46">
        <v>1</v>
      </c>
      <c r="I6035" s="51">
        <v>4622.28</v>
      </c>
      <c r="J6035" s="281">
        <f>++Tabla4[[#This Row],[Precio Bruto]]*1.16</f>
        <v>5361.8447999999989</v>
      </c>
      <c r="K6035" s="281">
        <f>+Tabla4[[#This Row],[Precio Unitario Neto]]*Tabla4[[#Headers],[20.85%]]</f>
        <v>1117.9446407999997</v>
      </c>
      <c r="L6035" s="282">
        <f>++Tabla4[[#This Row],[Precio Unitario Neto]]-Tabla4[[#This Row],[20.85%]]</f>
        <v>4243.9001591999995</v>
      </c>
      <c r="M6035" s="282" t="e">
        <f>(INDEX(Tabla6[#All],MATCH(Tabla4[[#This Row],[Producto]],Tabla6[[#All],[PRODUCTO]],0),MATCH(Tabla4[[#This Row],[Mes]],Tabla6[#Headers],0)))*(1+Catalogos!$L$2)</f>
        <v>#N/A</v>
      </c>
      <c r="N6035" s="283" t="e">
        <f>+(Tabla4[[#This Row],[Precio Descontado]]-Tabla4[[#This Row],[Precio Base]])*Tabla4[[#This Row],[Cantidad]]</f>
        <v>#N/A</v>
      </c>
      <c r="O6035" s="284" t="e">
        <f>++Tabla4[[#This Row],[Utilidad Total]]/Tabla4[[#This Row],[Total]]</f>
        <v>#N/A</v>
      </c>
      <c r="P6035" s="282">
        <f>++Tabla4[[#This Row],[Precio Descontado]]*Tabla4[[#This Row],[Cantidad]]</f>
        <v>4243.9001591999995</v>
      </c>
      <c r="Q6035" s="282" t="e">
        <f>(INDEX(Tabla6[#All],MATCH(Tabla4[[#This Row],[Producto]],Tabla6[[#All],[PRODUCTO]],0),MATCH(Tabla4[[#This Row],[Mes]],Tabla6[#Headers],0)))</f>
        <v>#N/A</v>
      </c>
      <c r="R6035" s="282" t="e">
        <f>++Tabla4[[#This Row],[Precio Unitario Neto]]-Tabla4[[#This Row],[20.85%]]-Tabla4[[#This Row],[Costo]]</f>
        <v>#N/A</v>
      </c>
      <c r="S6035" s="282" t="e">
        <f>++Tabla4[[#This Row],[U. Bruta Uni]]*Tabla4[[#This Row],[Cantidad]]</f>
        <v>#N/A</v>
      </c>
      <c r="T6035" s="369" t="str">
        <f>VLOOKUP(Tabla4[[#This Row],[Producto]],Tabla6[#All],14,FALSE)</f>
        <v>Termico Solar</v>
      </c>
      <c r="U6035" s="284" t="e">
        <f>(IF(Tabla4[[#This Row],[Familia]]="termico solar",Tabla4[[#This Row],[Utilidad Total]]*6%,Tabla4[[#This Row],[Utilidad Total]]*11.5%))/Tabla4[[#This Row],[Total]]</f>
        <v>#N/A</v>
      </c>
      <c r="V6035" s="282" t="e">
        <f>+Tabla4[[#This Row],[Comisión Calculada]]*Tabla4[[#This Row],[Total]]</f>
        <v>#N/A</v>
      </c>
    </row>
    <row r="6036" spans="1:22" hidden="1" x14ac:dyDescent="0.25">
      <c r="A6036" s="100">
        <v>45930</v>
      </c>
      <c r="B6036" t="str">
        <f t="shared" si="282"/>
        <v>September</v>
      </c>
      <c r="C6036" s="46" t="s">
        <v>280</v>
      </c>
      <c r="F6036" s="366" t="s">
        <v>3094</v>
      </c>
      <c r="G6036" s="46" t="s">
        <v>83</v>
      </c>
      <c r="H6036" s="46">
        <v>1</v>
      </c>
      <c r="I6036" s="51">
        <v>8858.76</v>
      </c>
      <c r="J6036" s="281">
        <f>++Tabla4[[#This Row],[Precio Bruto]]*1.16</f>
        <v>10276.161599999999</v>
      </c>
      <c r="K6036" s="281">
        <f>+Tabla4[[#This Row],[Precio Unitario Neto]]*Tabla4[[#Headers],[20.85%]]</f>
        <v>2142.5796935999997</v>
      </c>
      <c r="L6036" s="282">
        <f>++Tabla4[[#This Row],[Precio Unitario Neto]]-Tabla4[[#This Row],[20.85%]]</f>
        <v>8133.5819063999998</v>
      </c>
      <c r="M6036" s="282" t="e">
        <f>(INDEX(Tabla6[#All],MATCH(Tabla4[[#This Row],[Producto]],Tabla6[[#All],[PRODUCTO]],0),MATCH(Tabla4[[#This Row],[Mes]],Tabla6[#Headers],0)))*(1+Catalogos!$L$2)</f>
        <v>#N/A</v>
      </c>
      <c r="N6036" s="283" t="e">
        <f>+(Tabla4[[#This Row],[Precio Descontado]]-Tabla4[[#This Row],[Precio Base]])*Tabla4[[#This Row],[Cantidad]]</f>
        <v>#N/A</v>
      </c>
      <c r="O6036" s="284" t="e">
        <f>++Tabla4[[#This Row],[Utilidad Total]]/Tabla4[[#This Row],[Total]]</f>
        <v>#N/A</v>
      </c>
      <c r="P6036" s="282">
        <f>++Tabla4[[#This Row],[Precio Descontado]]*Tabla4[[#This Row],[Cantidad]]</f>
        <v>8133.5819063999998</v>
      </c>
      <c r="Q6036" s="282" t="e">
        <f>(INDEX(Tabla6[#All],MATCH(Tabla4[[#This Row],[Producto]],Tabla6[[#All],[PRODUCTO]],0),MATCH(Tabla4[[#This Row],[Mes]],Tabla6[#Headers],0)))</f>
        <v>#N/A</v>
      </c>
      <c r="R6036" s="282" t="e">
        <f>++Tabla4[[#This Row],[Precio Unitario Neto]]-Tabla4[[#This Row],[20.85%]]-Tabla4[[#This Row],[Costo]]</f>
        <v>#N/A</v>
      </c>
      <c r="S6036" s="282" t="e">
        <f>++Tabla4[[#This Row],[U. Bruta Uni]]*Tabla4[[#This Row],[Cantidad]]</f>
        <v>#N/A</v>
      </c>
      <c r="T6036" s="369" t="str">
        <f>VLOOKUP(Tabla4[[#This Row],[Producto]],Tabla6[#All],14,FALSE)</f>
        <v>Termico Solar</v>
      </c>
      <c r="U6036" s="284" t="e">
        <f>(IF(Tabla4[[#This Row],[Familia]]="termico solar",Tabla4[[#This Row],[Utilidad Total]]*6%,Tabla4[[#This Row],[Utilidad Total]]*11.5%))/Tabla4[[#This Row],[Total]]</f>
        <v>#N/A</v>
      </c>
      <c r="V6036" s="282" t="e">
        <f>+Tabla4[[#This Row],[Comisión Calculada]]*Tabla4[[#This Row],[Total]]</f>
        <v>#N/A</v>
      </c>
    </row>
    <row r="6037" spans="1:22" hidden="1" x14ac:dyDescent="0.25">
      <c r="A6037" s="100">
        <v>45930</v>
      </c>
      <c r="B6037" t="str">
        <f t="shared" si="282"/>
        <v>September</v>
      </c>
      <c r="C6037" s="46" t="s">
        <v>280</v>
      </c>
      <c r="F6037" s="366" t="s">
        <v>3094</v>
      </c>
      <c r="G6037" s="46" t="s">
        <v>566</v>
      </c>
      <c r="H6037" s="46">
        <v>2</v>
      </c>
      <c r="I6037" s="51">
        <v>2109.4499999999998</v>
      </c>
      <c r="J6037" s="281">
        <f>++Tabla4[[#This Row],[Precio Bruto]]*1.16</f>
        <v>2446.9619999999995</v>
      </c>
      <c r="K6037" s="281">
        <f>+Tabla4[[#This Row],[Precio Unitario Neto]]*Tabla4[[#Headers],[20.85%]]</f>
        <v>510.19157699999988</v>
      </c>
      <c r="L6037" s="282">
        <f>++Tabla4[[#This Row],[Precio Unitario Neto]]-Tabla4[[#This Row],[20.85%]]</f>
        <v>1936.7704229999997</v>
      </c>
      <c r="M6037" s="282" t="e">
        <f>(INDEX(Tabla6[#All],MATCH(Tabla4[[#This Row],[Producto]],Tabla6[[#All],[PRODUCTO]],0),MATCH(Tabla4[[#This Row],[Mes]],Tabla6[#Headers],0)))*(1+Catalogos!$L$2)</f>
        <v>#N/A</v>
      </c>
      <c r="N6037" s="283" t="e">
        <f>+(Tabla4[[#This Row],[Precio Descontado]]-Tabla4[[#This Row],[Precio Base]])*Tabla4[[#This Row],[Cantidad]]</f>
        <v>#N/A</v>
      </c>
      <c r="O6037" s="284" t="e">
        <f>++Tabla4[[#This Row],[Utilidad Total]]/Tabla4[[#This Row],[Total]]</f>
        <v>#N/A</v>
      </c>
      <c r="P6037" s="282">
        <f>++Tabla4[[#This Row],[Precio Descontado]]*Tabla4[[#This Row],[Cantidad]]</f>
        <v>3873.5408459999994</v>
      </c>
      <c r="Q6037" s="282" t="e">
        <f>(INDEX(Tabla6[#All],MATCH(Tabla4[[#This Row],[Producto]],Tabla6[[#All],[PRODUCTO]],0),MATCH(Tabla4[[#This Row],[Mes]],Tabla6[#Headers],0)))</f>
        <v>#N/A</v>
      </c>
      <c r="R6037" s="282" t="e">
        <f>++Tabla4[[#This Row],[Precio Unitario Neto]]-Tabla4[[#This Row],[20.85%]]-Tabla4[[#This Row],[Costo]]</f>
        <v>#N/A</v>
      </c>
      <c r="S6037" s="282" t="e">
        <f>++Tabla4[[#This Row],[U. Bruta Uni]]*Tabla4[[#This Row],[Cantidad]]</f>
        <v>#N/A</v>
      </c>
      <c r="T6037" s="369" t="str">
        <f>VLOOKUP(Tabla4[[#This Row],[Producto]],Tabla6[#All],14,FALSE)</f>
        <v>Termico Solar</v>
      </c>
      <c r="U6037" s="284" t="e">
        <f>(IF(Tabla4[[#This Row],[Familia]]="termico solar",Tabla4[[#This Row],[Utilidad Total]]*6%,Tabla4[[#This Row],[Utilidad Total]]*11.5%))/Tabla4[[#This Row],[Total]]</f>
        <v>#N/A</v>
      </c>
      <c r="V6037" s="282" t="e">
        <f>+Tabla4[[#This Row],[Comisión Calculada]]*Tabla4[[#This Row],[Total]]</f>
        <v>#N/A</v>
      </c>
    </row>
    <row r="6038" spans="1:22" hidden="1" x14ac:dyDescent="0.25">
      <c r="A6038" s="100">
        <v>45930</v>
      </c>
      <c r="B6038" t="str">
        <f t="shared" si="282"/>
        <v>September</v>
      </c>
      <c r="C6038" s="46" t="s">
        <v>280</v>
      </c>
      <c r="F6038" s="366" t="s">
        <v>3095</v>
      </c>
      <c r="G6038" s="46" t="s">
        <v>566</v>
      </c>
      <c r="H6038" s="46">
        <v>1</v>
      </c>
      <c r="I6038" s="51">
        <v>2109.4499999999998</v>
      </c>
      <c r="J6038" s="281">
        <f>++Tabla4[[#This Row],[Precio Bruto]]*1.16</f>
        <v>2446.9619999999995</v>
      </c>
      <c r="K6038" s="281">
        <f>+Tabla4[[#This Row],[Precio Unitario Neto]]*Tabla4[[#Headers],[20.85%]]</f>
        <v>510.19157699999988</v>
      </c>
      <c r="L6038" s="282">
        <f>++Tabla4[[#This Row],[Precio Unitario Neto]]-Tabla4[[#This Row],[20.85%]]</f>
        <v>1936.7704229999997</v>
      </c>
      <c r="M6038" s="282" t="e">
        <f>(INDEX(Tabla6[#All],MATCH(Tabla4[[#This Row],[Producto]],Tabla6[[#All],[PRODUCTO]],0),MATCH(Tabla4[[#This Row],[Mes]],Tabla6[#Headers],0)))*(1+Catalogos!$L$2)</f>
        <v>#N/A</v>
      </c>
      <c r="N6038" s="283" t="e">
        <f>+(Tabla4[[#This Row],[Precio Descontado]]-Tabla4[[#This Row],[Precio Base]])*Tabla4[[#This Row],[Cantidad]]</f>
        <v>#N/A</v>
      </c>
      <c r="O6038" s="284" t="e">
        <f>++Tabla4[[#This Row],[Utilidad Total]]/Tabla4[[#This Row],[Total]]</f>
        <v>#N/A</v>
      </c>
      <c r="P6038" s="282">
        <f>++Tabla4[[#This Row],[Precio Descontado]]*Tabla4[[#This Row],[Cantidad]]</f>
        <v>1936.7704229999997</v>
      </c>
      <c r="Q6038" s="282" t="e">
        <f>(INDEX(Tabla6[#All],MATCH(Tabla4[[#This Row],[Producto]],Tabla6[[#All],[PRODUCTO]],0),MATCH(Tabla4[[#This Row],[Mes]],Tabla6[#Headers],0)))</f>
        <v>#N/A</v>
      </c>
      <c r="R6038" s="282" t="e">
        <f>++Tabla4[[#This Row],[Precio Unitario Neto]]-Tabla4[[#This Row],[20.85%]]-Tabla4[[#This Row],[Costo]]</f>
        <v>#N/A</v>
      </c>
      <c r="S6038" s="282" t="e">
        <f>++Tabla4[[#This Row],[U. Bruta Uni]]*Tabla4[[#This Row],[Cantidad]]</f>
        <v>#N/A</v>
      </c>
      <c r="T6038" s="369" t="str">
        <f>VLOOKUP(Tabla4[[#This Row],[Producto]],Tabla6[#All],14,FALSE)</f>
        <v>Termico Solar</v>
      </c>
      <c r="U6038" s="284" t="e">
        <f>(IF(Tabla4[[#This Row],[Familia]]="termico solar",Tabla4[[#This Row],[Utilidad Total]]*6%,Tabla4[[#This Row],[Utilidad Total]]*11.5%))/Tabla4[[#This Row],[Total]]</f>
        <v>#N/A</v>
      </c>
      <c r="V6038" s="282" t="e">
        <f>+Tabla4[[#This Row],[Comisión Calculada]]*Tabla4[[#This Row],[Total]]</f>
        <v>#N/A</v>
      </c>
    </row>
    <row r="6039" spans="1:22" hidden="1" x14ac:dyDescent="0.25">
      <c r="A6039" s="100">
        <v>45930</v>
      </c>
      <c r="B6039" t="str">
        <f t="shared" si="282"/>
        <v>September</v>
      </c>
      <c r="C6039" s="46" t="s">
        <v>280</v>
      </c>
      <c r="F6039" s="366" t="s">
        <v>3095</v>
      </c>
      <c r="G6039" s="46" t="s">
        <v>208</v>
      </c>
      <c r="H6039" s="46">
        <v>2</v>
      </c>
      <c r="I6039" s="51">
        <v>189.75</v>
      </c>
      <c r="J6039" s="281">
        <f>++Tabla4[[#This Row],[Precio Bruto]]*1.16</f>
        <v>220.10999999999999</v>
      </c>
      <c r="K6039" s="281">
        <f>+Tabla4[[#This Row],[Precio Unitario Neto]]*Tabla4[[#Headers],[20.85%]]</f>
        <v>45.892934999999994</v>
      </c>
      <c r="L6039" s="282">
        <f>++Tabla4[[#This Row],[Precio Unitario Neto]]-Tabla4[[#This Row],[20.85%]]</f>
        <v>174.21706499999999</v>
      </c>
      <c r="M6039" s="282" t="e">
        <f>(INDEX(Tabla6[#All],MATCH(Tabla4[[#This Row],[Producto]],Tabla6[[#All],[PRODUCTO]],0),MATCH(Tabla4[[#This Row],[Mes]],Tabla6[#Headers],0)))*(1+Catalogos!$L$2)</f>
        <v>#N/A</v>
      </c>
      <c r="N6039" s="283" t="e">
        <f>+(Tabla4[[#This Row],[Precio Descontado]]-Tabla4[[#This Row],[Precio Base]])*Tabla4[[#This Row],[Cantidad]]</f>
        <v>#N/A</v>
      </c>
      <c r="O6039" s="284" t="e">
        <f>++Tabla4[[#This Row],[Utilidad Total]]/Tabla4[[#This Row],[Total]]</f>
        <v>#N/A</v>
      </c>
      <c r="P6039" s="282">
        <f>++Tabla4[[#This Row],[Precio Descontado]]*Tabla4[[#This Row],[Cantidad]]</f>
        <v>348.43412999999998</v>
      </c>
      <c r="Q6039" s="282" t="e">
        <f>(INDEX(Tabla6[#All],MATCH(Tabla4[[#This Row],[Producto]],Tabla6[[#All],[PRODUCTO]],0),MATCH(Tabla4[[#This Row],[Mes]],Tabla6[#Headers],0)))</f>
        <v>#N/A</v>
      </c>
      <c r="R6039" s="282" t="e">
        <f>++Tabla4[[#This Row],[Precio Unitario Neto]]-Tabla4[[#This Row],[20.85%]]-Tabla4[[#This Row],[Costo]]</f>
        <v>#N/A</v>
      </c>
      <c r="S6039" s="282" t="e">
        <f>++Tabla4[[#This Row],[U. Bruta Uni]]*Tabla4[[#This Row],[Cantidad]]</f>
        <v>#N/A</v>
      </c>
      <c r="T6039" s="369" t="str">
        <f>VLOOKUP(Tabla4[[#This Row],[Producto]],Tabla6[#All],14,FALSE)</f>
        <v>Termico Solar</v>
      </c>
      <c r="U6039" s="284" t="e">
        <f>(IF(Tabla4[[#This Row],[Familia]]="termico solar",Tabla4[[#This Row],[Utilidad Total]]*6%,Tabla4[[#This Row],[Utilidad Total]]*11.5%))/Tabla4[[#This Row],[Total]]</f>
        <v>#N/A</v>
      </c>
      <c r="V6039" s="282" t="e">
        <f>+Tabla4[[#This Row],[Comisión Calculada]]*Tabla4[[#This Row],[Total]]</f>
        <v>#N/A</v>
      </c>
    </row>
    <row r="6040" spans="1:22" hidden="1" x14ac:dyDescent="0.25">
      <c r="A6040" s="100">
        <v>45930</v>
      </c>
      <c r="B6040" t="str">
        <f t="shared" si="282"/>
        <v>September</v>
      </c>
      <c r="C6040" s="46" t="s">
        <v>280</v>
      </c>
      <c r="F6040" s="366" t="s">
        <v>3096</v>
      </c>
      <c r="G6040" s="46" t="s">
        <v>17</v>
      </c>
      <c r="H6040" s="46">
        <v>8</v>
      </c>
      <c r="I6040" s="51">
        <v>4622.28</v>
      </c>
      <c r="J6040" s="281">
        <f>++Tabla4[[#This Row],[Precio Bruto]]*1.16</f>
        <v>5361.8447999999989</v>
      </c>
      <c r="K6040" s="281">
        <f>+Tabla4[[#This Row],[Precio Unitario Neto]]*Tabla4[[#Headers],[20.85%]]</f>
        <v>1117.9446407999997</v>
      </c>
      <c r="L6040" s="282">
        <f>++Tabla4[[#This Row],[Precio Unitario Neto]]-Tabla4[[#This Row],[20.85%]]</f>
        <v>4243.9001591999995</v>
      </c>
      <c r="M6040" s="282" t="e">
        <f>(INDEX(Tabla6[#All],MATCH(Tabla4[[#This Row],[Producto]],Tabla6[[#All],[PRODUCTO]],0),MATCH(Tabla4[[#This Row],[Mes]],Tabla6[#Headers],0)))*(1+Catalogos!$L$2)</f>
        <v>#N/A</v>
      </c>
      <c r="N6040" s="283" t="e">
        <f>+(Tabla4[[#This Row],[Precio Descontado]]-Tabla4[[#This Row],[Precio Base]])*Tabla4[[#This Row],[Cantidad]]</f>
        <v>#N/A</v>
      </c>
      <c r="O6040" s="284" t="e">
        <f>++Tabla4[[#This Row],[Utilidad Total]]/Tabla4[[#This Row],[Total]]</f>
        <v>#N/A</v>
      </c>
      <c r="P6040" s="282">
        <f>++Tabla4[[#This Row],[Precio Descontado]]*Tabla4[[#This Row],[Cantidad]]</f>
        <v>33951.201273599996</v>
      </c>
      <c r="Q6040" s="282" t="e">
        <f>(INDEX(Tabla6[#All],MATCH(Tabla4[[#This Row],[Producto]],Tabla6[[#All],[PRODUCTO]],0),MATCH(Tabla4[[#This Row],[Mes]],Tabla6[#Headers],0)))</f>
        <v>#N/A</v>
      </c>
      <c r="R6040" s="282" t="e">
        <f>++Tabla4[[#This Row],[Precio Unitario Neto]]-Tabla4[[#This Row],[20.85%]]-Tabla4[[#This Row],[Costo]]</f>
        <v>#N/A</v>
      </c>
      <c r="S6040" s="282" t="e">
        <f>++Tabla4[[#This Row],[U. Bruta Uni]]*Tabla4[[#This Row],[Cantidad]]</f>
        <v>#N/A</v>
      </c>
      <c r="T6040" s="369" t="str">
        <f>VLOOKUP(Tabla4[[#This Row],[Producto]],Tabla6[#All],14,FALSE)</f>
        <v>Termico Solar</v>
      </c>
      <c r="U6040" s="284" t="e">
        <f>(IF(Tabla4[[#This Row],[Familia]]="termico solar",Tabla4[[#This Row],[Utilidad Total]]*6%,Tabla4[[#This Row],[Utilidad Total]]*11.5%))/Tabla4[[#This Row],[Total]]</f>
        <v>#N/A</v>
      </c>
      <c r="V6040" s="282" t="e">
        <f>+Tabla4[[#This Row],[Comisión Calculada]]*Tabla4[[#This Row],[Total]]</f>
        <v>#N/A</v>
      </c>
    </row>
    <row r="6041" spans="1:22" hidden="1" x14ac:dyDescent="0.25">
      <c r="A6041" s="100">
        <v>45930</v>
      </c>
      <c r="B6041" t="str">
        <f t="shared" si="282"/>
        <v>September</v>
      </c>
      <c r="C6041" s="46" t="s">
        <v>280</v>
      </c>
      <c r="F6041" s="366" t="s">
        <v>3096</v>
      </c>
      <c r="G6041" s="46" t="s">
        <v>18</v>
      </c>
      <c r="H6041" s="46">
        <v>1</v>
      </c>
      <c r="I6041" s="51">
        <v>5367.65</v>
      </c>
      <c r="J6041" s="281">
        <f>++Tabla4[[#This Row],[Precio Bruto]]*1.16</f>
        <v>6226.4739999999993</v>
      </c>
      <c r="K6041" s="281">
        <f>+Tabla4[[#This Row],[Precio Unitario Neto]]*Tabla4[[#Headers],[20.85%]]</f>
        <v>1298.2198289999999</v>
      </c>
      <c r="L6041" s="282">
        <f>++Tabla4[[#This Row],[Precio Unitario Neto]]-Tabla4[[#This Row],[20.85%]]</f>
        <v>4928.2541709999996</v>
      </c>
      <c r="M6041" s="282" t="e">
        <f>(INDEX(Tabla6[#All],MATCH(Tabla4[[#This Row],[Producto]],Tabla6[[#All],[PRODUCTO]],0),MATCH(Tabla4[[#This Row],[Mes]],Tabla6[#Headers],0)))*(1+Catalogos!$L$2)</f>
        <v>#N/A</v>
      </c>
      <c r="N6041" s="283" t="e">
        <f>+(Tabla4[[#This Row],[Precio Descontado]]-Tabla4[[#This Row],[Precio Base]])*Tabla4[[#This Row],[Cantidad]]</f>
        <v>#N/A</v>
      </c>
      <c r="O6041" s="284" t="e">
        <f>++Tabla4[[#This Row],[Utilidad Total]]/Tabla4[[#This Row],[Total]]</f>
        <v>#N/A</v>
      </c>
      <c r="P6041" s="282">
        <f>++Tabla4[[#This Row],[Precio Descontado]]*Tabla4[[#This Row],[Cantidad]]</f>
        <v>4928.2541709999996</v>
      </c>
      <c r="Q6041" s="282" t="e">
        <f>(INDEX(Tabla6[#All],MATCH(Tabla4[[#This Row],[Producto]],Tabla6[[#All],[PRODUCTO]],0),MATCH(Tabla4[[#This Row],[Mes]],Tabla6[#Headers],0)))</f>
        <v>#N/A</v>
      </c>
      <c r="R6041" s="282" t="e">
        <f>++Tabla4[[#This Row],[Precio Unitario Neto]]-Tabla4[[#This Row],[20.85%]]-Tabla4[[#This Row],[Costo]]</f>
        <v>#N/A</v>
      </c>
      <c r="S6041" s="282" t="e">
        <f>++Tabla4[[#This Row],[U. Bruta Uni]]*Tabla4[[#This Row],[Cantidad]]</f>
        <v>#N/A</v>
      </c>
      <c r="T6041" s="369" t="str">
        <f>VLOOKUP(Tabla4[[#This Row],[Producto]],Tabla6[#All],14,FALSE)</f>
        <v>Termico Solar</v>
      </c>
      <c r="U6041" s="284" t="e">
        <f>(IF(Tabla4[[#This Row],[Familia]]="termico solar",Tabla4[[#This Row],[Utilidad Total]]*6%,Tabla4[[#This Row],[Utilidad Total]]*11.5%))/Tabla4[[#This Row],[Total]]</f>
        <v>#N/A</v>
      </c>
      <c r="V6041" s="282" t="e">
        <f>+Tabla4[[#This Row],[Comisión Calculada]]*Tabla4[[#This Row],[Total]]</f>
        <v>#N/A</v>
      </c>
    </row>
    <row r="6042" spans="1:22" hidden="1" x14ac:dyDescent="0.25">
      <c r="A6042" s="100">
        <v>45930</v>
      </c>
      <c r="B6042" t="str">
        <f t="shared" si="282"/>
        <v>September</v>
      </c>
      <c r="C6042" s="46" t="s">
        <v>280</v>
      </c>
      <c r="F6042" s="366" t="s">
        <v>3097</v>
      </c>
      <c r="G6042" s="46" t="s">
        <v>19</v>
      </c>
      <c r="H6042" s="46">
        <v>3</v>
      </c>
      <c r="I6042" s="51">
        <v>6412.03</v>
      </c>
      <c r="J6042" s="281">
        <f>++Tabla4[[#This Row],[Precio Bruto]]*1.16</f>
        <v>7437.9547999999995</v>
      </c>
      <c r="K6042" s="281">
        <f>+Tabla4[[#This Row],[Precio Unitario Neto]]*Tabla4[[#Headers],[20.85%]]</f>
        <v>1550.8135757999999</v>
      </c>
      <c r="L6042" s="282">
        <f>++Tabla4[[#This Row],[Precio Unitario Neto]]-Tabla4[[#This Row],[20.85%]]</f>
        <v>5887.1412241999997</v>
      </c>
      <c r="M6042" s="282" t="e">
        <f>(INDEX(Tabla6[#All],MATCH(Tabla4[[#This Row],[Producto]],Tabla6[[#All],[PRODUCTO]],0),MATCH(Tabla4[[#This Row],[Mes]],Tabla6[#Headers],0)))*(1+Catalogos!$L$2)</f>
        <v>#N/A</v>
      </c>
      <c r="N6042" s="283" t="e">
        <f>+(Tabla4[[#This Row],[Precio Descontado]]-Tabla4[[#This Row],[Precio Base]])*Tabla4[[#This Row],[Cantidad]]</f>
        <v>#N/A</v>
      </c>
      <c r="O6042" s="284" t="e">
        <f>++Tabla4[[#This Row],[Utilidad Total]]/Tabla4[[#This Row],[Total]]</f>
        <v>#N/A</v>
      </c>
      <c r="P6042" s="282">
        <f>++Tabla4[[#This Row],[Precio Descontado]]*Tabla4[[#This Row],[Cantidad]]</f>
        <v>17661.423672599998</v>
      </c>
      <c r="Q6042" s="282" t="e">
        <f>(INDEX(Tabla6[#All],MATCH(Tabla4[[#This Row],[Producto]],Tabla6[[#All],[PRODUCTO]],0),MATCH(Tabla4[[#This Row],[Mes]],Tabla6[#Headers],0)))</f>
        <v>#N/A</v>
      </c>
      <c r="R6042" s="282" t="e">
        <f>++Tabla4[[#This Row],[Precio Unitario Neto]]-Tabla4[[#This Row],[20.85%]]-Tabla4[[#This Row],[Costo]]</f>
        <v>#N/A</v>
      </c>
      <c r="S6042" s="282" t="e">
        <f>++Tabla4[[#This Row],[U. Bruta Uni]]*Tabla4[[#This Row],[Cantidad]]</f>
        <v>#N/A</v>
      </c>
      <c r="T6042" s="369" t="str">
        <f>VLOOKUP(Tabla4[[#This Row],[Producto]],Tabla6[#All],14,FALSE)</f>
        <v>Termico Solar</v>
      </c>
      <c r="U6042" s="284" t="e">
        <f>(IF(Tabla4[[#This Row],[Familia]]="termico solar",Tabla4[[#This Row],[Utilidad Total]]*6%,Tabla4[[#This Row],[Utilidad Total]]*11.5%))/Tabla4[[#This Row],[Total]]</f>
        <v>#N/A</v>
      </c>
      <c r="V6042" s="282" t="e">
        <f>+Tabla4[[#This Row],[Comisión Calculada]]*Tabla4[[#This Row],[Total]]</f>
        <v>#N/A</v>
      </c>
    </row>
    <row r="6043" spans="1:22" hidden="1" x14ac:dyDescent="0.25">
      <c r="A6043" s="100">
        <v>45930</v>
      </c>
      <c r="B6043" t="str">
        <f t="shared" si="282"/>
        <v>September</v>
      </c>
      <c r="C6043" s="46" t="s">
        <v>280</v>
      </c>
      <c r="F6043" s="366" t="s">
        <v>3097</v>
      </c>
      <c r="G6043" s="46" t="s">
        <v>21</v>
      </c>
      <c r="H6043" s="46">
        <v>2</v>
      </c>
      <c r="I6043" s="51">
        <v>9282.19</v>
      </c>
      <c r="J6043" s="281">
        <f>++Tabla4[[#This Row],[Precio Bruto]]*1.16</f>
        <v>10767.340399999999</v>
      </c>
      <c r="K6043" s="281">
        <f>+Tabla4[[#This Row],[Precio Unitario Neto]]*Tabla4[[#Headers],[20.85%]]</f>
        <v>2244.9904733999997</v>
      </c>
      <c r="L6043" s="282">
        <f>++Tabla4[[#This Row],[Precio Unitario Neto]]-Tabla4[[#This Row],[20.85%]]</f>
        <v>8522.3499265999999</v>
      </c>
      <c r="M6043" s="282" t="e">
        <f>(INDEX(Tabla6[#All],MATCH(Tabla4[[#This Row],[Producto]],Tabla6[[#All],[PRODUCTO]],0),MATCH(Tabla4[[#This Row],[Mes]],Tabla6[#Headers],0)))*(1+Catalogos!$L$2)</f>
        <v>#N/A</v>
      </c>
      <c r="N6043" s="283" t="e">
        <f>+(Tabla4[[#This Row],[Precio Descontado]]-Tabla4[[#This Row],[Precio Base]])*Tabla4[[#This Row],[Cantidad]]</f>
        <v>#N/A</v>
      </c>
      <c r="O6043" s="284" t="e">
        <f>++Tabla4[[#This Row],[Utilidad Total]]/Tabla4[[#This Row],[Total]]</f>
        <v>#N/A</v>
      </c>
      <c r="P6043" s="282">
        <f>++Tabla4[[#This Row],[Precio Descontado]]*Tabla4[[#This Row],[Cantidad]]</f>
        <v>17044.6998532</v>
      </c>
      <c r="Q6043" s="282" t="e">
        <f>(INDEX(Tabla6[#All],MATCH(Tabla4[[#This Row],[Producto]],Tabla6[[#All],[PRODUCTO]],0),MATCH(Tabla4[[#This Row],[Mes]],Tabla6[#Headers],0)))</f>
        <v>#N/A</v>
      </c>
      <c r="R6043" s="282" t="e">
        <f>++Tabla4[[#This Row],[Precio Unitario Neto]]-Tabla4[[#This Row],[20.85%]]-Tabla4[[#This Row],[Costo]]</f>
        <v>#N/A</v>
      </c>
      <c r="S6043" s="282" t="e">
        <f>++Tabla4[[#This Row],[U. Bruta Uni]]*Tabla4[[#This Row],[Cantidad]]</f>
        <v>#N/A</v>
      </c>
      <c r="T6043" s="369" t="str">
        <f>VLOOKUP(Tabla4[[#This Row],[Producto]],Tabla6[#All],14,FALSE)</f>
        <v>Termico Solar</v>
      </c>
      <c r="U6043" s="284" t="e">
        <f>(IF(Tabla4[[#This Row],[Familia]]="termico solar",Tabla4[[#This Row],[Utilidad Total]]*6%,Tabla4[[#This Row],[Utilidad Total]]*11.5%))/Tabla4[[#This Row],[Total]]</f>
        <v>#N/A</v>
      </c>
      <c r="V6043" s="282" t="e">
        <f>+Tabla4[[#This Row],[Comisión Calculada]]*Tabla4[[#This Row],[Total]]</f>
        <v>#N/A</v>
      </c>
    </row>
    <row r="6044" spans="1:22" hidden="1" x14ac:dyDescent="0.25">
      <c r="A6044" s="100">
        <v>45930</v>
      </c>
      <c r="B6044" t="str">
        <f t="shared" si="282"/>
        <v>September</v>
      </c>
      <c r="C6044" s="46" t="s">
        <v>280</v>
      </c>
      <c r="F6044" s="366" t="s">
        <v>3097</v>
      </c>
      <c r="G6044" s="46" t="s">
        <v>22</v>
      </c>
      <c r="H6044" s="46">
        <v>5</v>
      </c>
      <c r="I6044" s="51">
        <v>13355.75</v>
      </c>
      <c r="J6044" s="281">
        <f>++Tabla4[[#This Row],[Precio Bruto]]*1.16</f>
        <v>15492.669999999998</v>
      </c>
      <c r="K6044" s="281">
        <f>+Tabla4[[#This Row],[Precio Unitario Neto]]*Tabla4[[#Headers],[20.85%]]</f>
        <v>3230.2216949999993</v>
      </c>
      <c r="L6044" s="282">
        <f>++Tabla4[[#This Row],[Precio Unitario Neto]]-Tabla4[[#This Row],[20.85%]]</f>
        <v>12262.448304999998</v>
      </c>
      <c r="M6044" s="282" t="e">
        <f>(INDEX(Tabla6[#All],MATCH(Tabla4[[#This Row],[Producto]],Tabla6[[#All],[PRODUCTO]],0),MATCH(Tabla4[[#This Row],[Mes]],Tabla6[#Headers],0)))*(1+Catalogos!$L$2)</f>
        <v>#N/A</v>
      </c>
      <c r="N6044" s="283" t="e">
        <f>+(Tabla4[[#This Row],[Precio Descontado]]-Tabla4[[#This Row],[Precio Base]])*Tabla4[[#This Row],[Cantidad]]</f>
        <v>#N/A</v>
      </c>
      <c r="O6044" s="284" t="e">
        <f>++Tabla4[[#This Row],[Utilidad Total]]/Tabla4[[#This Row],[Total]]</f>
        <v>#N/A</v>
      </c>
      <c r="P6044" s="282">
        <f>++Tabla4[[#This Row],[Precio Descontado]]*Tabla4[[#This Row],[Cantidad]]</f>
        <v>61312.24152499999</v>
      </c>
      <c r="Q6044" s="282" t="e">
        <f>(INDEX(Tabla6[#All],MATCH(Tabla4[[#This Row],[Producto]],Tabla6[[#All],[PRODUCTO]],0),MATCH(Tabla4[[#This Row],[Mes]],Tabla6[#Headers],0)))</f>
        <v>#N/A</v>
      </c>
      <c r="R6044" s="282" t="e">
        <f>++Tabla4[[#This Row],[Precio Unitario Neto]]-Tabla4[[#This Row],[20.85%]]-Tabla4[[#This Row],[Costo]]</f>
        <v>#N/A</v>
      </c>
      <c r="S6044" s="282" t="e">
        <f>++Tabla4[[#This Row],[U. Bruta Uni]]*Tabla4[[#This Row],[Cantidad]]</f>
        <v>#N/A</v>
      </c>
      <c r="T6044" s="369" t="str">
        <f>VLOOKUP(Tabla4[[#This Row],[Producto]],Tabla6[#All],14,FALSE)</f>
        <v>Termico Solar</v>
      </c>
      <c r="U6044" s="284" t="e">
        <f>(IF(Tabla4[[#This Row],[Familia]]="termico solar",Tabla4[[#This Row],[Utilidad Total]]*6%,Tabla4[[#This Row],[Utilidad Total]]*11.5%))/Tabla4[[#This Row],[Total]]</f>
        <v>#N/A</v>
      </c>
      <c r="V6044" s="282" t="e">
        <f>+Tabla4[[#This Row],[Comisión Calculada]]*Tabla4[[#This Row],[Total]]</f>
        <v>#N/A</v>
      </c>
    </row>
    <row r="6045" spans="1:22" hidden="1" x14ac:dyDescent="0.25">
      <c r="A6045" s="100">
        <v>45930</v>
      </c>
      <c r="B6045" t="str">
        <f t="shared" si="282"/>
        <v>September</v>
      </c>
      <c r="C6045" s="46" t="s">
        <v>280</v>
      </c>
      <c r="F6045" s="366" t="s">
        <v>3097</v>
      </c>
      <c r="G6045" s="46" t="s">
        <v>16</v>
      </c>
      <c r="H6045" s="46">
        <v>2</v>
      </c>
      <c r="I6045" s="51">
        <v>4103.8500000000004</v>
      </c>
      <c r="J6045" s="281">
        <f>++Tabla4[[#This Row],[Precio Bruto]]*1.16</f>
        <v>4760.4660000000003</v>
      </c>
      <c r="K6045" s="281">
        <f>+Tabla4[[#This Row],[Precio Unitario Neto]]*Tabla4[[#Headers],[20.85%]]</f>
        <v>992.55716100000006</v>
      </c>
      <c r="L6045" s="282">
        <f>++Tabla4[[#This Row],[Precio Unitario Neto]]-Tabla4[[#This Row],[20.85%]]</f>
        <v>3767.9088390000002</v>
      </c>
      <c r="M6045" s="282" t="e">
        <f>(INDEX(Tabla6[#All],MATCH(Tabla4[[#This Row],[Producto]],Tabla6[[#All],[PRODUCTO]],0),MATCH(Tabla4[[#This Row],[Mes]],Tabla6[#Headers],0)))*(1+Catalogos!$L$2)</f>
        <v>#N/A</v>
      </c>
      <c r="N6045" s="283" t="e">
        <f>+(Tabla4[[#This Row],[Precio Descontado]]-Tabla4[[#This Row],[Precio Base]])*Tabla4[[#This Row],[Cantidad]]</f>
        <v>#N/A</v>
      </c>
      <c r="O6045" s="284" t="e">
        <f>++Tabla4[[#This Row],[Utilidad Total]]/Tabla4[[#This Row],[Total]]</f>
        <v>#N/A</v>
      </c>
      <c r="P6045" s="282">
        <f>++Tabla4[[#This Row],[Precio Descontado]]*Tabla4[[#This Row],[Cantidad]]</f>
        <v>7535.8176780000003</v>
      </c>
      <c r="Q6045" s="282" t="e">
        <f>(INDEX(Tabla6[#All],MATCH(Tabla4[[#This Row],[Producto]],Tabla6[[#All],[PRODUCTO]],0),MATCH(Tabla4[[#This Row],[Mes]],Tabla6[#Headers],0)))</f>
        <v>#N/A</v>
      </c>
      <c r="R6045" s="282" t="e">
        <f>++Tabla4[[#This Row],[Precio Unitario Neto]]-Tabla4[[#This Row],[20.85%]]-Tabla4[[#This Row],[Costo]]</f>
        <v>#N/A</v>
      </c>
      <c r="S6045" s="282" t="e">
        <f>++Tabla4[[#This Row],[U. Bruta Uni]]*Tabla4[[#This Row],[Cantidad]]</f>
        <v>#N/A</v>
      </c>
      <c r="T6045" s="369" t="str">
        <f>VLOOKUP(Tabla4[[#This Row],[Producto]],Tabla6[#All],14,FALSE)</f>
        <v>Termico Solar</v>
      </c>
      <c r="U6045" s="284" t="e">
        <f>(IF(Tabla4[[#This Row],[Familia]]="termico solar",Tabla4[[#This Row],[Utilidad Total]]*6%,Tabla4[[#This Row],[Utilidad Total]]*11.5%))/Tabla4[[#This Row],[Total]]</f>
        <v>#N/A</v>
      </c>
      <c r="V6045" s="282" t="e">
        <f>+Tabla4[[#This Row],[Comisión Calculada]]*Tabla4[[#This Row],[Total]]</f>
        <v>#N/A</v>
      </c>
    </row>
    <row r="6046" spans="1:22" hidden="1" x14ac:dyDescent="0.25">
      <c r="A6046" s="100">
        <v>45930</v>
      </c>
      <c r="B6046" t="str">
        <f t="shared" si="282"/>
        <v>September</v>
      </c>
      <c r="C6046" s="46" t="s">
        <v>280</v>
      </c>
      <c r="F6046" s="366" t="s">
        <v>3097</v>
      </c>
      <c r="G6046" s="46" t="s">
        <v>555</v>
      </c>
      <c r="H6046" s="46">
        <v>8</v>
      </c>
      <c r="I6046" s="51">
        <v>389.47</v>
      </c>
      <c r="J6046" s="281">
        <f>++Tabla4[[#This Row],[Precio Bruto]]*1.16</f>
        <v>451.78519999999997</v>
      </c>
      <c r="K6046" s="281">
        <f>+Tabla4[[#This Row],[Precio Unitario Neto]]*Tabla4[[#Headers],[20.85%]]</f>
        <v>94.197214199999991</v>
      </c>
      <c r="L6046" s="282">
        <f>++Tabla4[[#This Row],[Precio Unitario Neto]]-Tabla4[[#This Row],[20.85%]]</f>
        <v>357.58798579999996</v>
      </c>
      <c r="M6046" s="282" t="e">
        <f>(INDEX(Tabla6[#All],MATCH(Tabla4[[#This Row],[Producto]],Tabla6[[#All],[PRODUCTO]],0),MATCH(Tabla4[[#This Row],[Mes]],Tabla6[#Headers],0)))*(1+Catalogos!$L$2)</f>
        <v>#N/A</v>
      </c>
      <c r="N6046" s="283" t="e">
        <f>+(Tabla4[[#This Row],[Precio Descontado]]-Tabla4[[#This Row],[Precio Base]])*Tabla4[[#This Row],[Cantidad]]</f>
        <v>#N/A</v>
      </c>
      <c r="O6046" s="284" t="e">
        <f>++Tabla4[[#This Row],[Utilidad Total]]/Tabla4[[#This Row],[Total]]</f>
        <v>#N/A</v>
      </c>
      <c r="P6046" s="282">
        <f>++Tabla4[[#This Row],[Precio Descontado]]*Tabla4[[#This Row],[Cantidad]]</f>
        <v>2860.7038863999996</v>
      </c>
      <c r="Q6046" s="282" t="e">
        <f>(INDEX(Tabla6[#All],MATCH(Tabla4[[#This Row],[Producto]],Tabla6[[#All],[PRODUCTO]],0),MATCH(Tabla4[[#This Row],[Mes]],Tabla6[#Headers],0)))</f>
        <v>#N/A</v>
      </c>
      <c r="R6046" s="282" t="e">
        <f>++Tabla4[[#This Row],[Precio Unitario Neto]]-Tabla4[[#This Row],[20.85%]]-Tabla4[[#This Row],[Costo]]</f>
        <v>#N/A</v>
      </c>
      <c r="S6046" s="282" t="e">
        <f>++Tabla4[[#This Row],[U. Bruta Uni]]*Tabla4[[#This Row],[Cantidad]]</f>
        <v>#N/A</v>
      </c>
      <c r="T6046" s="369" t="str">
        <f>VLOOKUP(Tabla4[[#This Row],[Producto]],Tabla6[#All],14,FALSE)</f>
        <v>Termico Solar</v>
      </c>
      <c r="U6046" s="284" t="e">
        <f>(IF(Tabla4[[#This Row],[Familia]]="termico solar",Tabla4[[#This Row],[Utilidad Total]]*6%,Tabla4[[#This Row],[Utilidad Total]]*11.5%))/Tabla4[[#This Row],[Total]]</f>
        <v>#N/A</v>
      </c>
      <c r="V6046" s="282" t="e">
        <f>+Tabla4[[#This Row],[Comisión Calculada]]*Tabla4[[#This Row],[Total]]</f>
        <v>#N/A</v>
      </c>
    </row>
    <row r="6047" spans="1:22" hidden="1" x14ac:dyDescent="0.25">
      <c r="A6047" s="100">
        <v>45930</v>
      </c>
      <c r="B6047" t="str">
        <f t="shared" ref="B6047:B6052" si="283">TEXT(A6047, "mmmm")</f>
        <v>September</v>
      </c>
      <c r="C6047" s="46" t="s">
        <v>280</v>
      </c>
      <c r="F6047" s="366" t="s">
        <v>3098</v>
      </c>
      <c r="G6047" s="46" t="s">
        <v>394</v>
      </c>
      <c r="H6047" s="46">
        <v>16</v>
      </c>
      <c r="I6047" s="51">
        <v>224.29</v>
      </c>
      <c r="J6047" s="281">
        <f>++Tabla4[[#This Row],[Precio Bruto]]*1.16</f>
        <v>260.1764</v>
      </c>
      <c r="K6047" s="281">
        <f>+Tabla4[[#This Row],[Precio Unitario Neto]]*Tabla4[[#Headers],[20.85%]]</f>
        <v>54.246779400000001</v>
      </c>
      <c r="L6047" s="282">
        <f>++Tabla4[[#This Row],[Precio Unitario Neto]]-Tabla4[[#This Row],[20.85%]]</f>
        <v>205.92962059999999</v>
      </c>
      <c r="M6047" s="282" t="e">
        <f>(INDEX(Tabla6[#All],MATCH(Tabla4[[#This Row],[Producto]],Tabla6[[#All],[PRODUCTO]],0),MATCH(Tabla4[[#This Row],[Mes]],Tabla6[#Headers],0)))*(1+Catalogos!$L$2)</f>
        <v>#N/A</v>
      </c>
      <c r="N6047" s="283" t="e">
        <f>+(Tabla4[[#This Row],[Precio Descontado]]-Tabla4[[#This Row],[Precio Base]])*Tabla4[[#This Row],[Cantidad]]</f>
        <v>#N/A</v>
      </c>
      <c r="O6047" s="284" t="e">
        <f>++Tabla4[[#This Row],[Utilidad Total]]/Tabla4[[#This Row],[Total]]</f>
        <v>#N/A</v>
      </c>
      <c r="P6047" s="282">
        <f>++Tabla4[[#This Row],[Precio Descontado]]*Tabla4[[#This Row],[Cantidad]]</f>
        <v>3294.8739295999999</v>
      </c>
      <c r="Q6047" s="282" t="e">
        <f>(INDEX(Tabla6[#All],MATCH(Tabla4[[#This Row],[Producto]],Tabla6[[#All],[PRODUCTO]],0),MATCH(Tabla4[[#This Row],[Mes]],Tabla6[#Headers],0)))</f>
        <v>#N/A</v>
      </c>
      <c r="R6047" s="282" t="e">
        <f>++Tabla4[[#This Row],[Precio Unitario Neto]]-Tabla4[[#This Row],[20.85%]]-Tabla4[[#This Row],[Costo]]</f>
        <v>#N/A</v>
      </c>
      <c r="S6047" s="282" t="e">
        <f>++Tabla4[[#This Row],[U. Bruta Uni]]*Tabla4[[#This Row],[Cantidad]]</f>
        <v>#N/A</v>
      </c>
      <c r="T6047" s="369" t="str">
        <f>VLOOKUP(Tabla4[[#This Row],[Producto]],Tabla6[#All],14,FALSE)</f>
        <v>Termico Solar</v>
      </c>
      <c r="U6047" s="284" t="e">
        <f>(IF(Tabla4[[#This Row],[Familia]]="termico solar",Tabla4[[#This Row],[Utilidad Total]]*6%,Tabla4[[#This Row],[Utilidad Total]]*11.5%))/Tabla4[[#This Row],[Total]]</f>
        <v>#N/A</v>
      </c>
      <c r="V6047" s="282" t="e">
        <f>+Tabla4[[#This Row],[Comisión Calculada]]*Tabla4[[#This Row],[Total]]</f>
        <v>#N/A</v>
      </c>
    </row>
    <row r="6048" spans="1:22" hidden="1" x14ac:dyDescent="0.25">
      <c r="A6048" s="100">
        <v>45930</v>
      </c>
      <c r="B6048" t="str">
        <f t="shared" si="283"/>
        <v>September</v>
      </c>
      <c r="C6048" s="46" t="s">
        <v>280</v>
      </c>
      <c r="F6048" s="366" t="s">
        <v>3098</v>
      </c>
      <c r="G6048" s="46" t="s">
        <v>200</v>
      </c>
      <c r="H6048" s="46">
        <v>12</v>
      </c>
      <c r="I6048" s="51">
        <v>393.22</v>
      </c>
      <c r="J6048" s="281">
        <f>++Tabla4[[#This Row],[Precio Bruto]]*1.16</f>
        <v>456.1352</v>
      </c>
      <c r="K6048" s="281">
        <f>+Tabla4[[#This Row],[Precio Unitario Neto]]*Tabla4[[#Headers],[20.85%]]</f>
        <v>95.104189199999993</v>
      </c>
      <c r="L6048" s="282">
        <f>++Tabla4[[#This Row],[Precio Unitario Neto]]-Tabla4[[#This Row],[20.85%]]</f>
        <v>361.03101079999999</v>
      </c>
      <c r="M6048" s="282" t="e">
        <f>(INDEX(Tabla6[#All],MATCH(Tabla4[[#This Row],[Producto]],Tabla6[[#All],[PRODUCTO]],0),MATCH(Tabla4[[#This Row],[Mes]],Tabla6[#Headers],0)))*(1+Catalogos!$L$2)</f>
        <v>#N/A</v>
      </c>
      <c r="N6048" s="283" t="e">
        <f>+(Tabla4[[#This Row],[Precio Descontado]]-Tabla4[[#This Row],[Precio Base]])*Tabla4[[#This Row],[Cantidad]]</f>
        <v>#N/A</v>
      </c>
      <c r="O6048" s="284" t="e">
        <f>++Tabla4[[#This Row],[Utilidad Total]]/Tabla4[[#This Row],[Total]]</f>
        <v>#N/A</v>
      </c>
      <c r="P6048" s="282">
        <f>++Tabla4[[#This Row],[Precio Descontado]]*Tabla4[[#This Row],[Cantidad]]</f>
        <v>4332.3721296000003</v>
      </c>
      <c r="Q6048" s="282" t="e">
        <f>(INDEX(Tabla6[#All],MATCH(Tabla4[[#This Row],[Producto]],Tabla6[[#All],[PRODUCTO]],0),MATCH(Tabla4[[#This Row],[Mes]],Tabla6[#Headers],0)))</f>
        <v>#N/A</v>
      </c>
      <c r="R6048" s="282" t="e">
        <f>++Tabla4[[#This Row],[Precio Unitario Neto]]-Tabla4[[#This Row],[20.85%]]-Tabla4[[#This Row],[Costo]]</f>
        <v>#N/A</v>
      </c>
      <c r="S6048" s="282" t="e">
        <f>++Tabla4[[#This Row],[U. Bruta Uni]]*Tabla4[[#This Row],[Cantidad]]</f>
        <v>#N/A</v>
      </c>
      <c r="T6048" s="369" t="str">
        <f>VLOOKUP(Tabla4[[#This Row],[Producto]],Tabla6[#All],14,FALSE)</f>
        <v>Termico Solar</v>
      </c>
      <c r="U6048" s="284" t="e">
        <f>(IF(Tabla4[[#This Row],[Familia]]="termico solar",Tabla4[[#This Row],[Utilidad Total]]*6%,Tabla4[[#This Row],[Utilidad Total]]*11.5%))/Tabla4[[#This Row],[Total]]</f>
        <v>#N/A</v>
      </c>
      <c r="V6048" s="282" t="e">
        <f>+Tabla4[[#This Row],[Comisión Calculada]]*Tabla4[[#This Row],[Total]]</f>
        <v>#N/A</v>
      </c>
    </row>
    <row r="6049" spans="1:22" hidden="1" x14ac:dyDescent="0.25">
      <c r="A6049" s="100">
        <v>45930</v>
      </c>
      <c r="B6049" t="str">
        <f t="shared" si="283"/>
        <v>September</v>
      </c>
      <c r="C6049" s="46" t="s">
        <v>280</v>
      </c>
      <c r="F6049" s="366" t="s">
        <v>3098</v>
      </c>
      <c r="G6049" s="46" t="s">
        <v>555</v>
      </c>
      <c r="H6049" s="46">
        <v>8</v>
      </c>
      <c r="I6049" s="51">
        <v>389.47</v>
      </c>
      <c r="J6049" s="281">
        <f>++Tabla4[[#This Row],[Precio Bruto]]*1.16</f>
        <v>451.78519999999997</v>
      </c>
      <c r="K6049" s="281">
        <f>+Tabla4[[#This Row],[Precio Unitario Neto]]*Tabla4[[#Headers],[20.85%]]</f>
        <v>94.197214199999991</v>
      </c>
      <c r="L6049" s="282">
        <f>++Tabla4[[#This Row],[Precio Unitario Neto]]-Tabla4[[#This Row],[20.85%]]</f>
        <v>357.58798579999996</v>
      </c>
      <c r="M6049" s="282" t="e">
        <f>(INDEX(Tabla6[#All],MATCH(Tabla4[[#This Row],[Producto]],Tabla6[[#All],[PRODUCTO]],0),MATCH(Tabla4[[#This Row],[Mes]],Tabla6[#Headers],0)))*(1+Catalogos!$L$2)</f>
        <v>#N/A</v>
      </c>
      <c r="N6049" s="283" t="e">
        <f>+(Tabla4[[#This Row],[Precio Descontado]]-Tabla4[[#This Row],[Precio Base]])*Tabla4[[#This Row],[Cantidad]]</f>
        <v>#N/A</v>
      </c>
      <c r="O6049" s="284" t="e">
        <f>++Tabla4[[#This Row],[Utilidad Total]]/Tabla4[[#This Row],[Total]]</f>
        <v>#N/A</v>
      </c>
      <c r="P6049" s="282">
        <f>++Tabla4[[#This Row],[Precio Descontado]]*Tabla4[[#This Row],[Cantidad]]</f>
        <v>2860.7038863999996</v>
      </c>
      <c r="Q6049" s="282" t="e">
        <f>(INDEX(Tabla6[#All],MATCH(Tabla4[[#This Row],[Producto]],Tabla6[[#All],[PRODUCTO]],0),MATCH(Tabla4[[#This Row],[Mes]],Tabla6[#Headers],0)))</f>
        <v>#N/A</v>
      </c>
      <c r="R6049" s="282" t="e">
        <f>++Tabla4[[#This Row],[Precio Unitario Neto]]-Tabla4[[#This Row],[20.85%]]-Tabla4[[#This Row],[Costo]]</f>
        <v>#N/A</v>
      </c>
      <c r="S6049" s="282" t="e">
        <f>++Tabla4[[#This Row],[U. Bruta Uni]]*Tabla4[[#This Row],[Cantidad]]</f>
        <v>#N/A</v>
      </c>
      <c r="T6049" s="369" t="str">
        <f>VLOOKUP(Tabla4[[#This Row],[Producto]],Tabla6[#All],14,FALSE)</f>
        <v>Termico Solar</v>
      </c>
      <c r="U6049" s="284" t="e">
        <f>(IF(Tabla4[[#This Row],[Familia]]="termico solar",Tabla4[[#This Row],[Utilidad Total]]*6%,Tabla4[[#This Row],[Utilidad Total]]*11.5%))/Tabla4[[#This Row],[Total]]</f>
        <v>#N/A</v>
      </c>
      <c r="V6049" s="282" t="e">
        <f>+Tabla4[[#This Row],[Comisión Calculada]]*Tabla4[[#This Row],[Total]]</f>
        <v>#N/A</v>
      </c>
    </row>
    <row r="6050" spans="1:22" hidden="1" x14ac:dyDescent="0.25">
      <c r="A6050" s="100">
        <v>45930</v>
      </c>
      <c r="B6050" t="str">
        <f t="shared" si="283"/>
        <v>September</v>
      </c>
      <c r="C6050" s="46" t="s">
        <v>280</v>
      </c>
      <c r="F6050" s="366" t="s">
        <v>3098</v>
      </c>
      <c r="G6050" s="46" t="s">
        <v>545</v>
      </c>
      <c r="H6050" s="46">
        <v>24</v>
      </c>
      <c r="I6050" s="51">
        <v>304.32</v>
      </c>
      <c r="J6050" s="281">
        <f>++Tabla4[[#This Row],[Precio Bruto]]*1.16</f>
        <v>353.01119999999997</v>
      </c>
      <c r="K6050" s="281">
        <f>+Tabla4[[#This Row],[Precio Unitario Neto]]*Tabla4[[#Headers],[20.85%]]</f>
        <v>73.602835199999987</v>
      </c>
      <c r="L6050" s="282">
        <f>++Tabla4[[#This Row],[Precio Unitario Neto]]-Tabla4[[#This Row],[20.85%]]</f>
        <v>279.40836479999996</v>
      </c>
      <c r="M6050" s="282" t="e">
        <f>(INDEX(Tabla6[#All],MATCH(Tabla4[[#This Row],[Producto]],Tabla6[[#All],[PRODUCTO]],0),MATCH(Tabla4[[#This Row],[Mes]],Tabla6[#Headers],0)))*(1+Catalogos!$L$2)</f>
        <v>#N/A</v>
      </c>
      <c r="N6050" s="283" t="e">
        <f>+(Tabla4[[#This Row],[Precio Descontado]]-Tabla4[[#This Row],[Precio Base]])*Tabla4[[#This Row],[Cantidad]]</f>
        <v>#N/A</v>
      </c>
      <c r="O6050" s="284" t="e">
        <f>++Tabla4[[#This Row],[Utilidad Total]]/Tabla4[[#This Row],[Total]]</f>
        <v>#N/A</v>
      </c>
      <c r="P6050" s="282">
        <f>++Tabla4[[#This Row],[Precio Descontado]]*Tabla4[[#This Row],[Cantidad]]</f>
        <v>6705.800755199999</v>
      </c>
      <c r="Q6050" s="282" t="e">
        <f>(INDEX(Tabla6[#All],MATCH(Tabla4[[#This Row],[Producto]],Tabla6[[#All],[PRODUCTO]],0),MATCH(Tabla4[[#This Row],[Mes]],Tabla6[#Headers],0)))</f>
        <v>#N/A</v>
      </c>
      <c r="R6050" s="282" t="e">
        <f>++Tabla4[[#This Row],[Precio Unitario Neto]]-Tabla4[[#This Row],[20.85%]]-Tabla4[[#This Row],[Costo]]</f>
        <v>#N/A</v>
      </c>
      <c r="S6050" s="282" t="e">
        <f>++Tabla4[[#This Row],[U. Bruta Uni]]*Tabla4[[#This Row],[Cantidad]]</f>
        <v>#N/A</v>
      </c>
      <c r="T6050" s="369" t="str">
        <f>VLOOKUP(Tabla4[[#This Row],[Producto]],Tabla6[#All],14,FALSE)</f>
        <v>Termico Solar</v>
      </c>
      <c r="U6050" s="284" t="e">
        <f>(IF(Tabla4[[#This Row],[Familia]]="termico solar",Tabla4[[#This Row],[Utilidad Total]]*6%,Tabla4[[#This Row],[Utilidad Total]]*11.5%))/Tabla4[[#This Row],[Total]]</f>
        <v>#N/A</v>
      </c>
      <c r="V6050" s="282" t="e">
        <f>+Tabla4[[#This Row],[Comisión Calculada]]*Tabla4[[#This Row],[Total]]</f>
        <v>#N/A</v>
      </c>
    </row>
    <row r="6051" spans="1:22" hidden="1" x14ac:dyDescent="0.25">
      <c r="A6051" s="100">
        <v>45930</v>
      </c>
      <c r="B6051" t="str">
        <f t="shared" si="283"/>
        <v>September</v>
      </c>
      <c r="C6051" s="46" t="s">
        <v>280</v>
      </c>
      <c r="F6051" s="366" t="s">
        <v>3098</v>
      </c>
      <c r="G6051" s="46" t="s">
        <v>208</v>
      </c>
      <c r="H6051" s="46">
        <v>16</v>
      </c>
      <c r="I6051" s="51">
        <v>189.75</v>
      </c>
      <c r="J6051" s="281">
        <f>++Tabla4[[#This Row],[Precio Bruto]]*1.16</f>
        <v>220.10999999999999</v>
      </c>
      <c r="K6051" s="281">
        <f>+Tabla4[[#This Row],[Precio Unitario Neto]]*Tabla4[[#Headers],[20.85%]]</f>
        <v>45.892934999999994</v>
      </c>
      <c r="L6051" s="282">
        <f>++Tabla4[[#This Row],[Precio Unitario Neto]]-Tabla4[[#This Row],[20.85%]]</f>
        <v>174.21706499999999</v>
      </c>
      <c r="M6051" s="282" t="e">
        <f>(INDEX(Tabla6[#All],MATCH(Tabla4[[#This Row],[Producto]],Tabla6[[#All],[PRODUCTO]],0),MATCH(Tabla4[[#This Row],[Mes]],Tabla6[#Headers],0)))*(1+Catalogos!$L$2)</f>
        <v>#N/A</v>
      </c>
      <c r="N6051" s="283" t="e">
        <f>+(Tabla4[[#This Row],[Precio Descontado]]-Tabla4[[#This Row],[Precio Base]])*Tabla4[[#This Row],[Cantidad]]</f>
        <v>#N/A</v>
      </c>
      <c r="O6051" s="284" t="e">
        <f>++Tabla4[[#This Row],[Utilidad Total]]/Tabla4[[#This Row],[Total]]</f>
        <v>#N/A</v>
      </c>
      <c r="P6051" s="282">
        <f>++Tabla4[[#This Row],[Precio Descontado]]*Tabla4[[#This Row],[Cantidad]]</f>
        <v>2787.4730399999999</v>
      </c>
      <c r="Q6051" s="282" t="e">
        <f>(INDEX(Tabla6[#All],MATCH(Tabla4[[#This Row],[Producto]],Tabla6[[#All],[PRODUCTO]],0),MATCH(Tabla4[[#This Row],[Mes]],Tabla6[#Headers],0)))</f>
        <v>#N/A</v>
      </c>
      <c r="R6051" s="282" t="e">
        <f>++Tabla4[[#This Row],[Precio Unitario Neto]]-Tabla4[[#This Row],[20.85%]]-Tabla4[[#This Row],[Costo]]</f>
        <v>#N/A</v>
      </c>
      <c r="S6051" s="282" t="e">
        <f>++Tabla4[[#This Row],[U. Bruta Uni]]*Tabla4[[#This Row],[Cantidad]]</f>
        <v>#N/A</v>
      </c>
      <c r="T6051" s="369" t="str">
        <f>VLOOKUP(Tabla4[[#This Row],[Producto]],Tabla6[#All],14,FALSE)</f>
        <v>Termico Solar</v>
      </c>
      <c r="U6051" s="284" t="e">
        <f>(IF(Tabla4[[#This Row],[Familia]]="termico solar",Tabla4[[#This Row],[Utilidad Total]]*6%,Tabla4[[#This Row],[Utilidad Total]]*11.5%))/Tabla4[[#This Row],[Total]]</f>
        <v>#N/A</v>
      </c>
      <c r="V6051" s="282" t="e">
        <f>+Tabla4[[#This Row],[Comisión Calculada]]*Tabla4[[#This Row],[Total]]</f>
        <v>#N/A</v>
      </c>
    </row>
    <row r="6052" spans="1:22" hidden="1" x14ac:dyDescent="0.25">
      <c r="A6052" s="100">
        <v>45930</v>
      </c>
      <c r="B6052" t="str">
        <f t="shared" si="283"/>
        <v>September</v>
      </c>
      <c r="C6052" s="46" t="s">
        <v>280</v>
      </c>
      <c r="F6052" s="366" t="s">
        <v>3098</v>
      </c>
      <c r="G6052" s="46" t="s">
        <v>209</v>
      </c>
      <c r="H6052" s="46">
        <v>12</v>
      </c>
      <c r="I6052" s="51">
        <v>347.48</v>
      </c>
      <c r="J6052" s="281">
        <f>++Tabla4[[#This Row],[Precio Bruto]]*1.16</f>
        <v>403.07679999999999</v>
      </c>
      <c r="K6052" s="281">
        <f>+Tabla4[[#This Row],[Precio Unitario Neto]]*Tabla4[[#Headers],[20.85%]]</f>
        <v>84.041512799999992</v>
      </c>
      <c r="L6052" s="282">
        <f>++Tabla4[[#This Row],[Precio Unitario Neto]]-Tabla4[[#This Row],[20.85%]]</f>
        <v>319.03528719999997</v>
      </c>
      <c r="M6052" s="282" t="e">
        <f>(INDEX(Tabla6[#All],MATCH(Tabla4[[#This Row],[Producto]],Tabla6[[#All],[PRODUCTO]],0),MATCH(Tabla4[[#This Row],[Mes]],Tabla6[#Headers],0)))*(1+Catalogos!$L$2)</f>
        <v>#N/A</v>
      </c>
      <c r="N6052" s="283" t="e">
        <f>+(Tabla4[[#This Row],[Precio Descontado]]-Tabla4[[#This Row],[Precio Base]])*Tabla4[[#This Row],[Cantidad]]</f>
        <v>#N/A</v>
      </c>
      <c r="O6052" s="284" t="e">
        <f>++Tabla4[[#This Row],[Utilidad Total]]/Tabla4[[#This Row],[Total]]</f>
        <v>#N/A</v>
      </c>
      <c r="P6052" s="282">
        <f>++Tabla4[[#This Row],[Precio Descontado]]*Tabla4[[#This Row],[Cantidad]]</f>
        <v>3828.4234463999996</v>
      </c>
      <c r="Q6052" s="282" t="e">
        <f>(INDEX(Tabla6[#All],MATCH(Tabla4[[#This Row],[Producto]],Tabla6[[#All],[PRODUCTO]],0),MATCH(Tabla4[[#This Row],[Mes]],Tabla6[#Headers],0)))</f>
        <v>#N/A</v>
      </c>
      <c r="R6052" s="282" t="e">
        <f>++Tabla4[[#This Row],[Precio Unitario Neto]]-Tabla4[[#This Row],[20.85%]]-Tabla4[[#This Row],[Costo]]</f>
        <v>#N/A</v>
      </c>
      <c r="S6052" s="282" t="e">
        <f>++Tabla4[[#This Row],[U. Bruta Uni]]*Tabla4[[#This Row],[Cantidad]]</f>
        <v>#N/A</v>
      </c>
      <c r="T6052" s="369" t="str">
        <f>VLOOKUP(Tabla4[[#This Row],[Producto]],Tabla6[#All],14,FALSE)</f>
        <v>Termico Solar</v>
      </c>
      <c r="U6052" s="284" t="e">
        <f>(IF(Tabla4[[#This Row],[Familia]]="termico solar",Tabla4[[#This Row],[Utilidad Total]]*6%,Tabla4[[#This Row],[Utilidad Total]]*11.5%))/Tabla4[[#This Row],[Total]]</f>
        <v>#N/A</v>
      </c>
      <c r="V6052" s="282" t="e">
        <f>+Tabla4[[#This Row],[Comisión Calculada]]*Tabla4[[#This Row],[Total]]</f>
        <v>#N/A</v>
      </c>
    </row>
    <row r="6053" spans="1:22" hidden="1" x14ac:dyDescent="0.25">
      <c r="A6053" s="100">
        <v>45930</v>
      </c>
      <c r="B6053" t="str">
        <f t="shared" ref="B6053:B6062" si="284">TEXT(A6053, "mmmm")</f>
        <v>September</v>
      </c>
      <c r="C6053" s="46" t="s">
        <v>280</v>
      </c>
      <c r="F6053" s="366" t="s">
        <v>3099</v>
      </c>
      <c r="G6053" s="46" t="s">
        <v>83</v>
      </c>
      <c r="H6053" s="46">
        <v>3</v>
      </c>
      <c r="I6053" s="51">
        <v>8858.76</v>
      </c>
      <c r="J6053" s="281">
        <f>++Tabla4[[#This Row],[Precio Bruto]]*1.16</f>
        <v>10276.161599999999</v>
      </c>
      <c r="K6053" s="281">
        <f>+Tabla4[[#This Row],[Precio Unitario Neto]]*Tabla4[[#Headers],[20.85%]]</f>
        <v>2142.5796935999997</v>
      </c>
      <c r="L6053" s="282">
        <f>++Tabla4[[#This Row],[Precio Unitario Neto]]-Tabla4[[#This Row],[20.85%]]</f>
        <v>8133.5819063999998</v>
      </c>
      <c r="M6053" s="282" t="e">
        <f>(INDEX(Tabla6[#All],MATCH(Tabla4[[#This Row],[Producto]],Tabla6[[#All],[PRODUCTO]],0),MATCH(Tabla4[[#This Row],[Mes]],Tabla6[#Headers],0)))*(1+Catalogos!$L$2)</f>
        <v>#N/A</v>
      </c>
      <c r="N6053" s="283" t="e">
        <f>+(Tabla4[[#This Row],[Precio Descontado]]-Tabla4[[#This Row],[Precio Base]])*Tabla4[[#This Row],[Cantidad]]</f>
        <v>#N/A</v>
      </c>
      <c r="O6053" s="284" t="e">
        <f>++Tabla4[[#This Row],[Utilidad Total]]/Tabla4[[#This Row],[Total]]</f>
        <v>#N/A</v>
      </c>
      <c r="P6053" s="282">
        <f>++Tabla4[[#This Row],[Precio Descontado]]*Tabla4[[#This Row],[Cantidad]]</f>
        <v>24400.7457192</v>
      </c>
      <c r="Q6053" s="282" t="e">
        <f>(INDEX(Tabla6[#All],MATCH(Tabla4[[#This Row],[Producto]],Tabla6[[#All],[PRODUCTO]],0),MATCH(Tabla4[[#This Row],[Mes]],Tabla6[#Headers],0)))</f>
        <v>#N/A</v>
      </c>
      <c r="R6053" s="282" t="e">
        <f>++Tabla4[[#This Row],[Precio Unitario Neto]]-Tabla4[[#This Row],[20.85%]]-Tabla4[[#This Row],[Costo]]</f>
        <v>#N/A</v>
      </c>
      <c r="S6053" s="282" t="e">
        <f>++Tabla4[[#This Row],[U. Bruta Uni]]*Tabla4[[#This Row],[Cantidad]]</f>
        <v>#N/A</v>
      </c>
      <c r="T6053" s="369" t="str">
        <f>VLOOKUP(Tabla4[[#This Row],[Producto]],Tabla6[#All],14,FALSE)</f>
        <v>Termico Solar</v>
      </c>
      <c r="U6053" s="284" t="e">
        <f>(IF(Tabla4[[#This Row],[Familia]]="termico solar",Tabla4[[#This Row],[Utilidad Total]]*6%,Tabla4[[#This Row],[Utilidad Total]]*11.5%))/Tabla4[[#This Row],[Total]]</f>
        <v>#N/A</v>
      </c>
      <c r="V6053" s="282" t="e">
        <f>+Tabla4[[#This Row],[Comisión Calculada]]*Tabla4[[#This Row],[Total]]</f>
        <v>#N/A</v>
      </c>
    </row>
    <row r="6054" spans="1:22" hidden="1" x14ac:dyDescent="0.25">
      <c r="A6054" s="100">
        <v>45930</v>
      </c>
      <c r="B6054" t="str">
        <f t="shared" si="284"/>
        <v>September</v>
      </c>
      <c r="C6054" s="46" t="s">
        <v>280</v>
      </c>
      <c r="F6054" s="366" t="s">
        <v>3099</v>
      </c>
      <c r="G6054" s="46" t="s">
        <v>17</v>
      </c>
      <c r="H6054" s="46">
        <v>9</v>
      </c>
      <c r="I6054" s="51">
        <v>4622.28</v>
      </c>
      <c r="J6054" s="281">
        <f>++Tabla4[[#This Row],[Precio Bruto]]*1.16</f>
        <v>5361.8447999999989</v>
      </c>
      <c r="K6054" s="281">
        <f>+Tabla4[[#This Row],[Precio Unitario Neto]]*Tabla4[[#Headers],[20.85%]]</f>
        <v>1117.9446407999997</v>
      </c>
      <c r="L6054" s="282">
        <f>++Tabla4[[#This Row],[Precio Unitario Neto]]-Tabla4[[#This Row],[20.85%]]</f>
        <v>4243.9001591999995</v>
      </c>
      <c r="M6054" s="282" t="e">
        <f>(INDEX(Tabla6[#All],MATCH(Tabla4[[#This Row],[Producto]],Tabla6[[#All],[PRODUCTO]],0),MATCH(Tabla4[[#This Row],[Mes]],Tabla6[#Headers],0)))*(1+Catalogos!$L$2)</f>
        <v>#N/A</v>
      </c>
      <c r="N6054" s="283" t="e">
        <f>+(Tabla4[[#This Row],[Precio Descontado]]-Tabla4[[#This Row],[Precio Base]])*Tabla4[[#This Row],[Cantidad]]</f>
        <v>#N/A</v>
      </c>
      <c r="O6054" s="284" t="e">
        <f>++Tabla4[[#This Row],[Utilidad Total]]/Tabla4[[#This Row],[Total]]</f>
        <v>#N/A</v>
      </c>
      <c r="P6054" s="282">
        <f>++Tabla4[[#This Row],[Precio Descontado]]*Tabla4[[#This Row],[Cantidad]]</f>
        <v>38195.101432799995</v>
      </c>
      <c r="Q6054" s="282" t="e">
        <f>(INDEX(Tabla6[#All],MATCH(Tabla4[[#This Row],[Producto]],Tabla6[[#All],[PRODUCTO]],0),MATCH(Tabla4[[#This Row],[Mes]],Tabla6[#Headers],0)))</f>
        <v>#N/A</v>
      </c>
      <c r="R6054" s="282" t="e">
        <f>++Tabla4[[#This Row],[Precio Unitario Neto]]-Tabla4[[#This Row],[20.85%]]-Tabla4[[#This Row],[Costo]]</f>
        <v>#N/A</v>
      </c>
      <c r="S6054" s="282" t="e">
        <f>++Tabla4[[#This Row],[U. Bruta Uni]]*Tabla4[[#This Row],[Cantidad]]</f>
        <v>#N/A</v>
      </c>
      <c r="T6054" s="369" t="str">
        <f>VLOOKUP(Tabla4[[#This Row],[Producto]],Tabla6[#All],14,FALSE)</f>
        <v>Termico Solar</v>
      </c>
      <c r="U6054" s="284" t="e">
        <f>(IF(Tabla4[[#This Row],[Familia]]="termico solar",Tabla4[[#This Row],[Utilidad Total]]*6%,Tabla4[[#This Row],[Utilidad Total]]*11.5%))/Tabla4[[#This Row],[Total]]</f>
        <v>#N/A</v>
      </c>
      <c r="V6054" s="282" t="e">
        <f>+Tabla4[[#This Row],[Comisión Calculada]]*Tabla4[[#This Row],[Total]]</f>
        <v>#N/A</v>
      </c>
    </row>
    <row r="6055" spans="1:22" hidden="1" x14ac:dyDescent="0.25">
      <c r="A6055" s="100">
        <v>45930</v>
      </c>
      <c r="B6055" t="str">
        <f t="shared" si="284"/>
        <v>September</v>
      </c>
      <c r="C6055" s="46" t="s">
        <v>280</v>
      </c>
      <c r="F6055" s="366" t="s">
        <v>3099</v>
      </c>
      <c r="G6055" s="46" t="s">
        <v>18</v>
      </c>
      <c r="H6055" s="46">
        <v>2</v>
      </c>
      <c r="I6055" s="51">
        <v>5367.65</v>
      </c>
      <c r="J6055" s="281">
        <f>++Tabla4[[#This Row],[Precio Bruto]]*1.16</f>
        <v>6226.4739999999993</v>
      </c>
      <c r="K6055" s="281">
        <f>+Tabla4[[#This Row],[Precio Unitario Neto]]*Tabla4[[#Headers],[20.85%]]</f>
        <v>1298.2198289999999</v>
      </c>
      <c r="L6055" s="282">
        <f>++Tabla4[[#This Row],[Precio Unitario Neto]]-Tabla4[[#This Row],[20.85%]]</f>
        <v>4928.2541709999996</v>
      </c>
      <c r="M6055" s="282" t="e">
        <f>(INDEX(Tabla6[#All],MATCH(Tabla4[[#This Row],[Producto]],Tabla6[[#All],[PRODUCTO]],0),MATCH(Tabla4[[#This Row],[Mes]],Tabla6[#Headers],0)))*(1+Catalogos!$L$2)</f>
        <v>#N/A</v>
      </c>
      <c r="N6055" s="283" t="e">
        <f>+(Tabla4[[#This Row],[Precio Descontado]]-Tabla4[[#This Row],[Precio Base]])*Tabla4[[#This Row],[Cantidad]]</f>
        <v>#N/A</v>
      </c>
      <c r="O6055" s="284" t="e">
        <f>++Tabla4[[#This Row],[Utilidad Total]]/Tabla4[[#This Row],[Total]]</f>
        <v>#N/A</v>
      </c>
      <c r="P6055" s="282">
        <f>++Tabla4[[#This Row],[Precio Descontado]]*Tabla4[[#This Row],[Cantidad]]</f>
        <v>9856.5083419999992</v>
      </c>
      <c r="Q6055" s="282" t="e">
        <f>(INDEX(Tabla6[#All],MATCH(Tabla4[[#This Row],[Producto]],Tabla6[[#All],[PRODUCTO]],0),MATCH(Tabla4[[#This Row],[Mes]],Tabla6[#Headers],0)))</f>
        <v>#N/A</v>
      </c>
      <c r="R6055" s="282" t="e">
        <f>++Tabla4[[#This Row],[Precio Unitario Neto]]-Tabla4[[#This Row],[20.85%]]-Tabla4[[#This Row],[Costo]]</f>
        <v>#N/A</v>
      </c>
      <c r="S6055" s="282" t="e">
        <f>++Tabla4[[#This Row],[U. Bruta Uni]]*Tabla4[[#This Row],[Cantidad]]</f>
        <v>#N/A</v>
      </c>
      <c r="T6055" s="369" t="str">
        <f>VLOOKUP(Tabla4[[#This Row],[Producto]],Tabla6[#All],14,FALSE)</f>
        <v>Termico Solar</v>
      </c>
      <c r="U6055" s="284" t="e">
        <f>(IF(Tabla4[[#This Row],[Familia]]="termico solar",Tabla4[[#This Row],[Utilidad Total]]*6%,Tabla4[[#This Row],[Utilidad Total]]*11.5%))/Tabla4[[#This Row],[Total]]</f>
        <v>#N/A</v>
      </c>
      <c r="V6055" s="282" t="e">
        <f>+Tabla4[[#This Row],[Comisión Calculada]]*Tabla4[[#This Row],[Total]]</f>
        <v>#N/A</v>
      </c>
    </row>
    <row r="6056" spans="1:22" hidden="1" x14ac:dyDescent="0.25">
      <c r="A6056" s="100">
        <v>45930</v>
      </c>
      <c r="B6056" t="str">
        <f t="shared" si="284"/>
        <v>September</v>
      </c>
      <c r="C6056" s="46" t="s">
        <v>280</v>
      </c>
      <c r="F6056" s="366" t="s">
        <v>3099</v>
      </c>
      <c r="G6056" s="46" t="s">
        <v>19</v>
      </c>
      <c r="H6056" s="46">
        <v>2</v>
      </c>
      <c r="I6056" s="51">
        <v>6412.03</v>
      </c>
      <c r="J6056" s="281">
        <f>++Tabla4[[#This Row],[Precio Bruto]]*1.16</f>
        <v>7437.9547999999995</v>
      </c>
      <c r="K6056" s="281">
        <f>+Tabla4[[#This Row],[Precio Unitario Neto]]*Tabla4[[#Headers],[20.85%]]</f>
        <v>1550.8135757999999</v>
      </c>
      <c r="L6056" s="282">
        <f>++Tabla4[[#This Row],[Precio Unitario Neto]]-Tabla4[[#This Row],[20.85%]]</f>
        <v>5887.1412241999997</v>
      </c>
      <c r="M6056" s="282" t="e">
        <f>(INDEX(Tabla6[#All],MATCH(Tabla4[[#This Row],[Producto]],Tabla6[[#All],[PRODUCTO]],0),MATCH(Tabla4[[#This Row],[Mes]],Tabla6[#Headers],0)))*(1+Catalogos!$L$2)</f>
        <v>#N/A</v>
      </c>
      <c r="N6056" s="283" t="e">
        <f>+(Tabla4[[#This Row],[Precio Descontado]]-Tabla4[[#This Row],[Precio Base]])*Tabla4[[#This Row],[Cantidad]]</f>
        <v>#N/A</v>
      </c>
      <c r="O6056" s="284" t="e">
        <f>++Tabla4[[#This Row],[Utilidad Total]]/Tabla4[[#This Row],[Total]]</f>
        <v>#N/A</v>
      </c>
      <c r="P6056" s="282">
        <f>++Tabla4[[#This Row],[Precio Descontado]]*Tabla4[[#This Row],[Cantidad]]</f>
        <v>11774.282448399999</v>
      </c>
      <c r="Q6056" s="282" t="e">
        <f>(INDEX(Tabla6[#All],MATCH(Tabla4[[#This Row],[Producto]],Tabla6[[#All],[PRODUCTO]],0),MATCH(Tabla4[[#This Row],[Mes]],Tabla6[#Headers],0)))</f>
        <v>#N/A</v>
      </c>
      <c r="R6056" s="282" t="e">
        <f>++Tabla4[[#This Row],[Precio Unitario Neto]]-Tabla4[[#This Row],[20.85%]]-Tabla4[[#This Row],[Costo]]</f>
        <v>#N/A</v>
      </c>
      <c r="S6056" s="282" t="e">
        <f>++Tabla4[[#This Row],[U. Bruta Uni]]*Tabla4[[#This Row],[Cantidad]]</f>
        <v>#N/A</v>
      </c>
      <c r="T6056" s="369" t="str">
        <f>VLOOKUP(Tabla4[[#This Row],[Producto]],Tabla6[#All],14,FALSE)</f>
        <v>Termico Solar</v>
      </c>
      <c r="U6056" s="284" t="e">
        <f>(IF(Tabla4[[#This Row],[Familia]]="termico solar",Tabla4[[#This Row],[Utilidad Total]]*6%,Tabla4[[#This Row],[Utilidad Total]]*11.5%))/Tabla4[[#This Row],[Total]]</f>
        <v>#N/A</v>
      </c>
      <c r="V6056" s="282" t="e">
        <f>+Tabla4[[#This Row],[Comisión Calculada]]*Tabla4[[#This Row],[Total]]</f>
        <v>#N/A</v>
      </c>
    </row>
    <row r="6057" spans="1:22" hidden="1" x14ac:dyDescent="0.25">
      <c r="A6057" s="100">
        <v>45930</v>
      </c>
      <c r="B6057" t="str">
        <f t="shared" si="284"/>
        <v>September</v>
      </c>
      <c r="C6057" s="46" t="s">
        <v>280</v>
      </c>
      <c r="F6057" s="366" t="s">
        <v>3099</v>
      </c>
      <c r="G6057" s="46" t="s">
        <v>20</v>
      </c>
      <c r="H6057" s="46">
        <v>2</v>
      </c>
      <c r="I6057" s="51">
        <v>7751.98</v>
      </c>
      <c r="J6057" s="281">
        <f>++Tabla4[[#This Row],[Precio Bruto]]*1.16</f>
        <v>8992.2967999999983</v>
      </c>
      <c r="K6057" s="281">
        <f>+Tabla4[[#This Row],[Precio Unitario Neto]]*Tabla4[[#Headers],[20.85%]]</f>
        <v>1874.8938827999996</v>
      </c>
      <c r="L6057" s="282">
        <f>++Tabla4[[#This Row],[Precio Unitario Neto]]-Tabla4[[#This Row],[20.85%]]</f>
        <v>7117.4029171999991</v>
      </c>
      <c r="M6057" s="282" t="e">
        <f>(INDEX(Tabla6[#All],MATCH(Tabla4[[#This Row],[Producto]],Tabla6[[#All],[PRODUCTO]],0),MATCH(Tabla4[[#This Row],[Mes]],Tabla6[#Headers],0)))*(1+Catalogos!$L$2)</f>
        <v>#N/A</v>
      </c>
      <c r="N6057" s="283" t="e">
        <f>+(Tabla4[[#This Row],[Precio Descontado]]-Tabla4[[#This Row],[Precio Base]])*Tabla4[[#This Row],[Cantidad]]</f>
        <v>#N/A</v>
      </c>
      <c r="O6057" s="284" t="e">
        <f>++Tabla4[[#This Row],[Utilidad Total]]/Tabla4[[#This Row],[Total]]</f>
        <v>#N/A</v>
      </c>
      <c r="P6057" s="282">
        <f>++Tabla4[[#This Row],[Precio Descontado]]*Tabla4[[#This Row],[Cantidad]]</f>
        <v>14234.805834399998</v>
      </c>
      <c r="Q6057" s="282" t="e">
        <f>(INDEX(Tabla6[#All],MATCH(Tabla4[[#This Row],[Producto]],Tabla6[[#All],[PRODUCTO]],0),MATCH(Tabla4[[#This Row],[Mes]],Tabla6[#Headers],0)))</f>
        <v>#N/A</v>
      </c>
      <c r="R6057" s="282" t="e">
        <f>++Tabla4[[#This Row],[Precio Unitario Neto]]-Tabla4[[#This Row],[20.85%]]-Tabla4[[#This Row],[Costo]]</f>
        <v>#N/A</v>
      </c>
      <c r="S6057" s="282" t="e">
        <f>++Tabla4[[#This Row],[U. Bruta Uni]]*Tabla4[[#This Row],[Cantidad]]</f>
        <v>#N/A</v>
      </c>
      <c r="T6057" s="369" t="str">
        <f>VLOOKUP(Tabla4[[#This Row],[Producto]],Tabla6[#All],14,FALSE)</f>
        <v>Termico Solar</v>
      </c>
      <c r="U6057" s="284" t="e">
        <f>(IF(Tabla4[[#This Row],[Familia]]="termico solar",Tabla4[[#This Row],[Utilidad Total]]*6%,Tabla4[[#This Row],[Utilidad Total]]*11.5%))/Tabla4[[#This Row],[Total]]</f>
        <v>#N/A</v>
      </c>
      <c r="V6057" s="282" t="e">
        <f>+Tabla4[[#This Row],[Comisión Calculada]]*Tabla4[[#This Row],[Total]]</f>
        <v>#N/A</v>
      </c>
    </row>
    <row r="6058" spans="1:22" hidden="1" x14ac:dyDescent="0.25">
      <c r="A6058" s="100">
        <v>45930</v>
      </c>
      <c r="B6058" t="str">
        <f t="shared" si="284"/>
        <v>September</v>
      </c>
      <c r="C6058" s="46" t="s">
        <v>280</v>
      </c>
      <c r="F6058" s="366" t="s">
        <v>3099</v>
      </c>
      <c r="G6058" s="46" t="s">
        <v>21</v>
      </c>
      <c r="H6058" s="46">
        <v>2</v>
      </c>
      <c r="I6058" s="51">
        <v>9282.19</v>
      </c>
      <c r="J6058" s="281">
        <f>++Tabla4[[#This Row],[Precio Bruto]]*1.16</f>
        <v>10767.340399999999</v>
      </c>
      <c r="K6058" s="281">
        <f>+Tabla4[[#This Row],[Precio Unitario Neto]]*Tabla4[[#Headers],[20.85%]]</f>
        <v>2244.9904733999997</v>
      </c>
      <c r="L6058" s="282">
        <f>++Tabla4[[#This Row],[Precio Unitario Neto]]-Tabla4[[#This Row],[20.85%]]</f>
        <v>8522.3499265999999</v>
      </c>
      <c r="M6058" s="282" t="e">
        <f>(INDEX(Tabla6[#All],MATCH(Tabla4[[#This Row],[Producto]],Tabla6[[#All],[PRODUCTO]],0),MATCH(Tabla4[[#This Row],[Mes]],Tabla6[#Headers],0)))*(1+Catalogos!$L$2)</f>
        <v>#N/A</v>
      </c>
      <c r="N6058" s="283" t="e">
        <f>+(Tabla4[[#This Row],[Precio Descontado]]-Tabla4[[#This Row],[Precio Base]])*Tabla4[[#This Row],[Cantidad]]</f>
        <v>#N/A</v>
      </c>
      <c r="O6058" s="284" t="e">
        <f>++Tabla4[[#This Row],[Utilidad Total]]/Tabla4[[#This Row],[Total]]</f>
        <v>#N/A</v>
      </c>
      <c r="P6058" s="282">
        <f>++Tabla4[[#This Row],[Precio Descontado]]*Tabla4[[#This Row],[Cantidad]]</f>
        <v>17044.6998532</v>
      </c>
      <c r="Q6058" s="282" t="e">
        <f>(INDEX(Tabla6[#All],MATCH(Tabla4[[#This Row],[Producto]],Tabla6[[#All],[PRODUCTO]],0),MATCH(Tabla4[[#This Row],[Mes]],Tabla6[#Headers],0)))</f>
        <v>#N/A</v>
      </c>
      <c r="R6058" s="282" t="e">
        <f>++Tabla4[[#This Row],[Precio Unitario Neto]]-Tabla4[[#This Row],[20.85%]]-Tabla4[[#This Row],[Costo]]</f>
        <v>#N/A</v>
      </c>
      <c r="S6058" s="282" t="e">
        <f>++Tabla4[[#This Row],[U. Bruta Uni]]*Tabla4[[#This Row],[Cantidad]]</f>
        <v>#N/A</v>
      </c>
      <c r="T6058" s="369" t="str">
        <f>VLOOKUP(Tabla4[[#This Row],[Producto]],Tabla6[#All],14,FALSE)</f>
        <v>Termico Solar</v>
      </c>
      <c r="U6058" s="284" t="e">
        <f>(IF(Tabla4[[#This Row],[Familia]]="termico solar",Tabla4[[#This Row],[Utilidad Total]]*6%,Tabla4[[#This Row],[Utilidad Total]]*11.5%))/Tabla4[[#This Row],[Total]]</f>
        <v>#N/A</v>
      </c>
      <c r="V6058" s="282" t="e">
        <f>+Tabla4[[#This Row],[Comisión Calculada]]*Tabla4[[#This Row],[Total]]</f>
        <v>#N/A</v>
      </c>
    </row>
    <row r="6059" spans="1:22" hidden="1" x14ac:dyDescent="0.25">
      <c r="A6059" s="100">
        <v>45930</v>
      </c>
      <c r="B6059" t="str">
        <f t="shared" si="284"/>
        <v>September</v>
      </c>
      <c r="C6059" s="46" t="s">
        <v>280</v>
      </c>
      <c r="F6059" s="366" t="s">
        <v>3099</v>
      </c>
      <c r="G6059" s="46" t="s">
        <v>22</v>
      </c>
      <c r="H6059" s="46">
        <v>6</v>
      </c>
      <c r="I6059" s="51">
        <v>13355.75</v>
      </c>
      <c r="J6059" s="281">
        <f>++Tabla4[[#This Row],[Precio Bruto]]*1.16</f>
        <v>15492.669999999998</v>
      </c>
      <c r="K6059" s="281">
        <f>+Tabla4[[#This Row],[Precio Unitario Neto]]*Tabla4[[#Headers],[20.85%]]</f>
        <v>3230.2216949999993</v>
      </c>
      <c r="L6059" s="282">
        <f>++Tabla4[[#This Row],[Precio Unitario Neto]]-Tabla4[[#This Row],[20.85%]]</f>
        <v>12262.448304999998</v>
      </c>
      <c r="M6059" s="282" t="e">
        <f>(INDEX(Tabla6[#All],MATCH(Tabla4[[#This Row],[Producto]],Tabla6[[#All],[PRODUCTO]],0),MATCH(Tabla4[[#This Row],[Mes]],Tabla6[#Headers],0)))*(1+Catalogos!$L$2)</f>
        <v>#N/A</v>
      </c>
      <c r="N6059" s="283" t="e">
        <f>+(Tabla4[[#This Row],[Precio Descontado]]-Tabla4[[#This Row],[Precio Base]])*Tabla4[[#This Row],[Cantidad]]</f>
        <v>#N/A</v>
      </c>
      <c r="O6059" s="284" t="e">
        <f>++Tabla4[[#This Row],[Utilidad Total]]/Tabla4[[#This Row],[Total]]</f>
        <v>#N/A</v>
      </c>
      <c r="P6059" s="282">
        <f>++Tabla4[[#This Row],[Precio Descontado]]*Tabla4[[#This Row],[Cantidad]]</f>
        <v>73574.689829999988</v>
      </c>
      <c r="Q6059" s="282" t="e">
        <f>(INDEX(Tabla6[#All],MATCH(Tabla4[[#This Row],[Producto]],Tabla6[[#All],[PRODUCTO]],0),MATCH(Tabla4[[#This Row],[Mes]],Tabla6[#Headers],0)))</f>
        <v>#N/A</v>
      </c>
      <c r="R6059" s="282" t="e">
        <f>++Tabla4[[#This Row],[Precio Unitario Neto]]-Tabla4[[#This Row],[20.85%]]-Tabla4[[#This Row],[Costo]]</f>
        <v>#N/A</v>
      </c>
      <c r="S6059" s="282" t="e">
        <f>++Tabla4[[#This Row],[U. Bruta Uni]]*Tabla4[[#This Row],[Cantidad]]</f>
        <v>#N/A</v>
      </c>
      <c r="T6059" s="369" t="str">
        <f>VLOOKUP(Tabla4[[#This Row],[Producto]],Tabla6[#All],14,FALSE)</f>
        <v>Termico Solar</v>
      </c>
      <c r="U6059" s="284" t="e">
        <f>(IF(Tabla4[[#This Row],[Familia]]="termico solar",Tabla4[[#This Row],[Utilidad Total]]*6%,Tabla4[[#This Row],[Utilidad Total]]*11.5%))/Tabla4[[#This Row],[Total]]</f>
        <v>#N/A</v>
      </c>
      <c r="V6059" s="282" t="e">
        <f>+Tabla4[[#This Row],[Comisión Calculada]]*Tabla4[[#This Row],[Total]]</f>
        <v>#N/A</v>
      </c>
    </row>
    <row r="6060" spans="1:22" hidden="1" x14ac:dyDescent="0.25">
      <c r="A6060" s="100">
        <v>45930</v>
      </c>
      <c r="B6060" t="str">
        <f t="shared" si="284"/>
        <v>September</v>
      </c>
      <c r="C6060" s="46" t="s">
        <v>280</v>
      </c>
      <c r="F6060" s="366" t="s">
        <v>3099</v>
      </c>
      <c r="G6060" s="46" t="s">
        <v>84</v>
      </c>
      <c r="H6060" s="46">
        <v>2</v>
      </c>
      <c r="I6060" s="51">
        <v>16601.830000000002</v>
      </c>
      <c r="J6060" s="281">
        <f>++Tabla4[[#This Row],[Precio Bruto]]*1.16</f>
        <v>19258.122800000001</v>
      </c>
      <c r="K6060" s="281">
        <f>+Tabla4[[#This Row],[Precio Unitario Neto]]*Tabla4[[#Headers],[20.85%]]</f>
        <v>4015.3186037999999</v>
      </c>
      <c r="L6060" s="282">
        <f>++Tabla4[[#This Row],[Precio Unitario Neto]]-Tabla4[[#This Row],[20.85%]]</f>
        <v>15242.804196200001</v>
      </c>
      <c r="M6060" s="282" t="e">
        <f>(INDEX(Tabla6[#All],MATCH(Tabla4[[#This Row],[Producto]],Tabla6[[#All],[PRODUCTO]],0),MATCH(Tabla4[[#This Row],[Mes]],Tabla6[#Headers],0)))*(1+Catalogos!$L$2)</f>
        <v>#N/A</v>
      </c>
      <c r="N6060" s="283" t="e">
        <f>+(Tabla4[[#This Row],[Precio Descontado]]-Tabla4[[#This Row],[Precio Base]])*Tabla4[[#This Row],[Cantidad]]</f>
        <v>#N/A</v>
      </c>
      <c r="O6060" s="284" t="e">
        <f>++Tabla4[[#This Row],[Utilidad Total]]/Tabla4[[#This Row],[Total]]</f>
        <v>#N/A</v>
      </c>
      <c r="P6060" s="282">
        <f>++Tabla4[[#This Row],[Precio Descontado]]*Tabla4[[#This Row],[Cantidad]]</f>
        <v>30485.608392400001</v>
      </c>
      <c r="Q6060" s="282" t="e">
        <f>(INDEX(Tabla6[#All],MATCH(Tabla4[[#This Row],[Producto]],Tabla6[[#All],[PRODUCTO]],0),MATCH(Tabla4[[#This Row],[Mes]],Tabla6[#Headers],0)))</f>
        <v>#N/A</v>
      </c>
      <c r="R6060" s="282" t="e">
        <f>++Tabla4[[#This Row],[Precio Unitario Neto]]-Tabla4[[#This Row],[20.85%]]-Tabla4[[#This Row],[Costo]]</f>
        <v>#N/A</v>
      </c>
      <c r="S6060" s="282" t="e">
        <f>++Tabla4[[#This Row],[U. Bruta Uni]]*Tabla4[[#This Row],[Cantidad]]</f>
        <v>#N/A</v>
      </c>
      <c r="T6060" s="369" t="str">
        <f>VLOOKUP(Tabla4[[#This Row],[Producto]],Tabla6[#All],14,FALSE)</f>
        <v>Termico Solar</v>
      </c>
      <c r="U6060" s="284" t="e">
        <f>(IF(Tabla4[[#This Row],[Familia]]="termico solar",Tabla4[[#This Row],[Utilidad Total]]*6%,Tabla4[[#This Row],[Utilidad Total]]*11.5%))/Tabla4[[#This Row],[Total]]</f>
        <v>#N/A</v>
      </c>
      <c r="V6060" s="282" t="e">
        <f>+Tabla4[[#This Row],[Comisión Calculada]]*Tabla4[[#This Row],[Total]]</f>
        <v>#N/A</v>
      </c>
    </row>
    <row r="6061" spans="1:22" hidden="1" x14ac:dyDescent="0.25">
      <c r="A6061" s="100">
        <v>45930</v>
      </c>
      <c r="B6061" t="str">
        <f t="shared" si="284"/>
        <v>September</v>
      </c>
      <c r="C6061" s="46" t="s">
        <v>280</v>
      </c>
      <c r="F6061" s="366" t="s">
        <v>3099</v>
      </c>
      <c r="G6061" s="46" t="s">
        <v>566</v>
      </c>
      <c r="H6061" s="46">
        <v>1</v>
      </c>
      <c r="I6061" s="51">
        <v>2109.4499999999998</v>
      </c>
      <c r="J6061" s="281">
        <f>++Tabla4[[#This Row],[Precio Bruto]]*1.16</f>
        <v>2446.9619999999995</v>
      </c>
      <c r="K6061" s="281">
        <f>+Tabla4[[#This Row],[Precio Unitario Neto]]*Tabla4[[#Headers],[20.85%]]</f>
        <v>510.19157699999988</v>
      </c>
      <c r="L6061" s="282">
        <f>++Tabla4[[#This Row],[Precio Unitario Neto]]-Tabla4[[#This Row],[20.85%]]</f>
        <v>1936.7704229999997</v>
      </c>
      <c r="M6061" s="282" t="e">
        <f>(INDEX(Tabla6[#All],MATCH(Tabla4[[#This Row],[Producto]],Tabla6[[#All],[PRODUCTO]],0),MATCH(Tabla4[[#This Row],[Mes]],Tabla6[#Headers],0)))*(1+Catalogos!$L$2)</f>
        <v>#N/A</v>
      </c>
      <c r="N6061" s="283" t="e">
        <f>+(Tabla4[[#This Row],[Precio Descontado]]-Tabla4[[#This Row],[Precio Base]])*Tabla4[[#This Row],[Cantidad]]</f>
        <v>#N/A</v>
      </c>
      <c r="O6061" s="284" t="e">
        <f>++Tabla4[[#This Row],[Utilidad Total]]/Tabla4[[#This Row],[Total]]</f>
        <v>#N/A</v>
      </c>
      <c r="P6061" s="282">
        <f>++Tabla4[[#This Row],[Precio Descontado]]*Tabla4[[#This Row],[Cantidad]]</f>
        <v>1936.7704229999997</v>
      </c>
      <c r="Q6061" s="282" t="e">
        <f>(INDEX(Tabla6[#All],MATCH(Tabla4[[#This Row],[Producto]],Tabla6[[#All],[PRODUCTO]],0),MATCH(Tabla4[[#This Row],[Mes]],Tabla6[#Headers],0)))</f>
        <v>#N/A</v>
      </c>
      <c r="R6061" s="282" t="e">
        <f>++Tabla4[[#This Row],[Precio Unitario Neto]]-Tabla4[[#This Row],[20.85%]]-Tabla4[[#This Row],[Costo]]</f>
        <v>#N/A</v>
      </c>
      <c r="S6061" s="282" t="e">
        <f>++Tabla4[[#This Row],[U. Bruta Uni]]*Tabla4[[#This Row],[Cantidad]]</f>
        <v>#N/A</v>
      </c>
      <c r="T6061" s="369" t="str">
        <f>VLOOKUP(Tabla4[[#This Row],[Producto]],Tabla6[#All],14,FALSE)</f>
        <v>Termico Solar</v>
      </c>
      <c r="U6061" s="284" t="e">
        <f>(IF(Tabla4[[#This Row],[Familia]]="termico solar",Tabla4[[#This Row],[Utilidad Total]]*6%,Tabla4[[#This Row],[Utilidad Total]]*11.5%))/Tabla4[[#This Row],[Total]]</f>
        <v>#N/A</v>
      </c>
      <c r="V6061" s="282" t="e">
        <f>+Tabla4[[#This Row],[Comisión Calculada]]*Tabla4[[#This Row],[Total]]</f>
        <v>#N/A</v>
      </c>
    </row>
    <row r="6062" spans="1:22" hidden="1" x14ac:dyDescent="0.25">
      <c r="A6062" s="100">
        <v>45930</v>
      </c>
      <c r="B6062" t="str">
        <f t="shared" si="284"/>
        <v>September</v>
      </c>
      <c r="C6062" s="46" t="s">
        <v>280</v>
      </c>
      <c r="F6062" s="366" t="s">
        <v>3099</v>
      </c>
      <c r="G6062" s="46" t="s">
        <v>16</v>
      </c>
      <c r="H6062" s="46">
        <v>5</v>
      </c>
      <c r="I6062" s="51">
        <v>4103.8500000000004</v>
      </c>
      <c r="J6062" s="281">
        <f>++Tabla4[[#This Row],[Precio Bruto]]*1.16</f>
        <v>4760.4660000000003</v>
      </c>
      <c r="K6062" s="281">
        <f>+Tabla4[[#This Row],[Precio Unitario Neto]]*Tabla4[[#Headers],[20.85%]]</f>
        <v>992.55716100000006</v>
      </c>
      <c r="L6062" s="282">
        <f>++Tabla4[[#This Row],[Precio Unitario Neto]]-Tabla4[[#This Row],[20.85%]]</f>
        <v>3767.9088390000002</v>
      </c>
      <c r="M6062" s="282" t="e">
        <f>(INDEX(Tabla6[#All],MATCH(Tabla4[[#This Row],[Producto]],Tabla6[[#All],[PRODUCTO]],0),MATCH(Tabla4[[#This Row],[Mes]],Tabla6[#Headers],0)))*(1+Catalogos!$L$2)</f>
        <v>#N/A</v>
      </c>
      <c r="N6062" s="283" t="e">
        <f>+(Tabla4[[#This Row],[Precio Descontado]]-Tabla4[[#This Row],[Precio Base]])*Tabla4[[#This Row],[Cantidad]]</f>
        <v>#N/A</v>
      </c>
      <c r="O6062" s="284" t="e">
        <f>++Tabla4[[#This Row],[Utilidad Total]]/Tabla4[[#This Row],[Total]]</f>
        <v>#N/A</v>
      </c>
      <c r="P6062" s="282">
        <f>++Tabla4[[#This Row],[Precio Descontado]]*Tabla4[[#This Row],[Cantidad]]</f>
        <v>18839.544195000002</v>
      </c>
      <c r="Q6062" s="282" t="e">
        <f>(INDEX(Tabla6[#All],MATCH(Tabla4[[#This Row],[Producto]],Tabla6[[#All],[PRODUCTO]],0),MATCH(Tabla4[[#This Row],[Mes]],Tabla6[#Headers],0)))</f>
        <v>#N/A</v>
      </c>
      <c r="R6062" s="282" t="e">
        <f>++Tabla4[[#This Row],[Precio Unitario Neto]]-Tabla4[[#This Row],[20.85%]]-Tabla4[[#This Row],[Costo]]</f>
        <v>#N/A</v>
      </c>
      <c r="S6062" s="282" t="e">
        <f>++Tabla4[[#This Row],[U. Bruta Uni]]*Tabla4[[#This Row],[Cantidad]]</f>
        <v>#N/A</v>
      </c>
      <c r="T6062" s="369" t="str">
        <f>VLOOKUP(Tabla4[[#This Row],[Producto]],Tabla6[#All],14,FALSE)</f>
        <v>Termico Solar</v>
      </c>
      <c r="U6062" s="284" t="e">
        <f>(IF(Tabla4[[#This Row],[Familia]]="termico solar",Tabla4[[#This Row],[Utilidad Total]]*6%,Tabla4[[#This Row],[Utilidad Total]]*11.5%))/Tabla4[[#This Row],[Total]]</f>
        <v>#N/A</v>
      </c>
      <c r="V6062" s="282" t="e">
        <f>+Tabla4[[#This Row],[Comisión Calculada]]*Tabla4[[#This Row],[Total]]</f>
        <v>#N/A</v>
      </c>
    </row>
    <row r="6063" spans="1:22" hidden="1" x14ac:dyDescent="0.25">
      <c r="A6063" s="100">
        <v>45930</v>
      </c>
      <c r="B6063" t="str">
        <f t="shared" ref="B6063:B6072" si="285">TEXT(A6063, "mmmm")</f>
        <v>September</v>
      </c>
      <c r="C6063" s="46" t="s">
        <v>280</v>
      </c>
      <c r="F6063" s="366" t="s">
        <v>3100</v>
      </c>
      <c r="G6063" s="46" t="s">
        <v>208</v>
      </c>
      <c r="H6063" s="46">
        <v>2</v>
      </c>
      <c r="I6063" s="51">
        <v>189.75</v>
      </c>
      <c r="J6063" s="281">
        <f>++Tabla4[[#This Row],[Precio Bruto]]*1.16</f>
        <v>220.10999999999999</v>
      </c>
      <c r="K6063" s="281">
        <f>+Tabla4[[#This Row],[Precio Unitario Neto]]*Tabla4[[#Headers],[20.85%]]</f>
        <v>45.892934999999994</v>
      </c>
      <c r="L6063" s="282">
        <f>++Tabla4[[#This Row],[Precio Unitario Neto]]-Tabla4[[#This Row],[20.85%]]</f>
        <v>174.21706499999999</v>
      </c>
      <c r="M6063" s="282" t="e">
        <f>(INDEX(Tabla6[#All],MATCH(Tabla4[[#This Row],[Producto]],Tabla6[[#All],[PRODUCTO]],0),MATCH(Tabla4[[#This Row],[Mes]],Tabla6[#Headers],0)))*(1+Catalogos!$L$2)</f>
        <v>#N/A</v>
      </c>
      <c r="N6063" s="283" t="e">
        <f>+(Tabla4[[#This Row],[Precio Descontado]]-Tabla4[[#This Row],[Precio Base]])*Tabla4[[#This Row],[Cantidad]]</f>
        <v>#N/A</v>
      </c>
      <c r="O6063" s="284" t="e">
        <f>++Tabla4[[#This Row],[Utilidad Total]]/Tabla4[[#This Row],[Total]]</f>
        <v>#N/A</v>
      </c>
      <c r="P6063" s="282">
        <f>++Tabla4[[#This Row],[Precio Descontado]]*Tabla4[[#This Row],[Cantidad]]</f>
        <v>348.43412999999998</v>
      </c>
      <c r="Q6063" s="282" t="e">
        <f>(INDEX(Tabla6[#All],MATCH(Tabla4[[#This Row],[Producto]],Tabla6[[#All],[PRODUCTO]],0),MATCH(Tabla4[[#This Row],[Mes]],Tabla6[#Headers],0)))</f>
        <v>#N/A</v>
      </c>
      <c r="R6063" s="282" t="e">
        <f>++Tabla4[[#This Row],[Precio Unitario Neto]]-Tabla4[[#This Row],[20.85%]]-Tabla4[[#This Row],[Costo]]</f>
        <v>#N/A</v>
      </c>
      <c r="S6063" s="282" t="e">
        <f>++Tabla4[[#This Row],[U. Bruta Uni]]*Tabla4[[#This Row],[Cantidad]]</f>
        <v>#N/A</v>
      </c>
      <c r="T6063" s="369" t="str">
        <f>VLOOKUP(Tabla4[[#This Row],[Producto]],Tabla6[#All],14,FALSE)</f>
        <v>Termico Solar</v>
      </c>
      <c r="U6063" s="284" t="e">
        <f>(IF(Tabla4[[#This Row],[Familia]]="termico solar",Tabla4[[#This Row],[Utilidad Total]]*6%,Tabla4[[#This Row],[Utilidad Total]]*11.5%))/Tabla4[[#This Row],[Total]]</f>
        <v>#N/A</v>
      </c>
      <c r="V6063" s="282" t="e">
        <f>+Tabla4[[#This Row],[Comisión Calculada]]*Tabla4[[#This Row],[Total]]</f>
        <v>#N/A</v>
      </c>
    </row>
    <row r="6064" spans="1:22" hidden="1" x14ac:dyDescent="0.25">
      <c r="A6064" s="100">
        <v>45930</v>
      </c>
      <c r="B6064" t="str">
        <f t="shared" si="285"/>
        <v>September</v>
      </c>
      <c r="C6064" s="46" t="s">
        <v>280</v>
      </c>
      <c r="F6064" s="366" t="s">
        <v>3101</v>
      </c>
      <c r="G6064" s="46" t="s">
        <v>208</v>
      </c>
      <c r="H6064" s="46">
        <v>2</v>
      </c>
      <c r="I6064" s="51">
        <v>189.75</v>
      </c>
      <c r="J6064" s="281">
        <f>++Tabla4[[#This Row],[Precio Bruto]]*1.16</f>
        <v>220.10999999999999</v>
      </c>
      <c r="K6064" s="281">
        <f>+Tabla4[[#This Row],[Precio Unitario Neto]]*Tabla4[[#Headers],[20.85%]]</f>
        <v>45.892934999999994</v>
      </c>
      <c r="L6064" s="282">
        <f>++Tabla4[[#This Row],[Precio Unitario Neto]]-Tabla4[[#This Row],[20.85%]]</f>
        <v>174.21706499999999</v>
      </c>
      <c r="M6064" s="282" t="e">
        <f>(INDEX(Tabla6[#All],MATCH(Tabla4[[#This Row],[Producto]],Tabla6[[#All],[PRODUCTO]],0),MATCH(Tabla4[[#This Row],[Mes]],Tabla6[#Headers],0)))*(1+Catalogos!$L$2)</f>
        <v>#N/A</v>
      </c>
      <c r="N6064" s="283" t="e">
        <f>+(Tabla4[[#This Row],[Precio Descontado]]-Tabla4[[#This Row],[Precio Base]])*Tabla4[[#This Row],[Cantidad]]</f>
        <v>#N/A</v>
      </c>
      <c r="O6064" s="284" t="e">
        <f>++Tabla4[[#This Row],[Utilidad Total]]/Tabla4[[#This Row],[Total]]</f>
        <v>#N/A</v>
      </c>
      <c r="P6064" s="282">
        <f>++Tabla4[[#This Row],[Precio Descontado]]*Tabla4[[#This Row],[Cantidad]]</f>
        <v>348.43412999999998</v>
      </c>
      <c r="Q6064" s="282" t="e">
        <f>(INDEX(Tabla6[#All],MATCH(Tabla4[[#This Row],[Producto]],Tabla6[[#All],[PRODUCTO]],0),MATCH(Tabla4[[#This Row],[Mes]],Tabla6[#Headers],0)))</f>
        <v>#N/A</v>
      </c>
      <c r="R6064" s="282" t="e">
        <f>++Tabla4[[#This Row],[Precio Unitario Neto]]-Tabla4[[#This Row],[20.85%]]-Tabla4[[#This Row],[Costo]]</f>
        <v>#N/A</v>
      </c>
      <c r="S6064" s="282" t="e">
        <f>++Tabla4[[#This Row],[U. Bruta Uni]]*Tabla4[[#This Row],[Cantidad]]</f>
        <v>#N/A</v>
      </c>
      <c r="T6064" s="369" t="str">
        <f>VLOOKUP(Tabla4[[#This Row],[Producto]],Tabla6[#All],14,FALSE)</f>
        <v>Termico Solar</v>
      </c>
      <c r="U6064" s="284" t="e">
        <f>(IF(Tabla4[[#This Row],[Familia]]="termico solar",Tabla4[[#This Row],[Utilidad Total]]*6%,Tabla4[[#This Row],[Utilidad Total]]*11.5%))/Tabla4[[#This Row],[Total]]</f>
        <v>#N/A</v>
      </c>
      <c r="V6064" s="282" t="e">
        <f>+Tabla4[[#This Row],[Comisión Calculada]]*Tabla4[[#This Row],[Total]]</f>
        <v>#N/A</v>
      </c>
    </row>
    <row r="6065" spans="1:22" hidden="1" x14ac:dyDescent="0.25">
      <c r="A6065" s="100">
        <v>45930</v>
      </c>
      <c r="B6065" t="str">
        <f t="shared" si="285"/>
        <v>September</v>
      </c>
      <c r="C6065" s="46" t="s">
        <v>280</v>
      </c>
      <c r="F6065" s="366" t="s">
        <v>3102</v>
      </c>
      <c r="G6065" s="46" t="s">
        <v>208</v>
      </c>
      <c r="H6065" s="46">
        <v>2</v>
      </c>
      <c r="I6065" s="51">
        <v>189.75</v>
      </c>
      <c r="J6065" s="281">
        <f>++Tabla4[[#This Row],[Precio Bruto]]*1.16</f>
        <v>220.10999999999999</v>
      </c>
      <c r="K6065" s="281">
        <f>+Tabla4[[#This Row],[Precio Unitario Neto]]*Tabla4[[#Headers],[20.85%]]</f>
        <v>45.892934999999994</v>
      </c>
      <c r="L6065" s="282">
        <f>++Tabla4[[#This Row],[Precio Unitario Neto]]-Tabla4[[#This Row],[20.85%]]</f>
        <v>174.21706499999999</v>
      </c>
      <c r="M6065" s="282" t="e">
        <f>(INDEX(Tabla6[#All],MATCH(Tabla4[[#This Row],[Producto]],Tabla6[[#All],[PRODUCTO]],0),MATCH(Tabla4[[#This Row],[Mes]],Tabla6[#Headers],0)))*(1+Catalogos!$L$2)</f>
        <v>#N/A</v>
      </c>
      <c r="N6065" s="283" t="e">
        <f>+(Tabla4[[#This Row],[Precio Descontado]]-Tabla4[[#This Row],[Precio Base]])*Tabla4[[#This Row],[Cantidad]]</f>
        <v>#N/A</v>
      </c>
      <c r="O6065" s="284" t="e">
        <f>++Tabla4[[#This Row],[Utilidad Total]]/Tabla4[[#This Row],[Total]]</f>
        <v>#N/A</v>
      </c>
      <c r="P6065" s="282">
        <f>++Tabla4[[#This Row],[Precio Descontado]]*Tabla4[[#This Row],[Cantidad]]</f>
        <v>348.43412999999998</v>
      </c>
      <c r="Q6065" s="282" t="e">
        <f>(INDEX(Tabla6[#All],MATCH(Tabla4[[#This Row],[Producto]],Tabla6[[#All],[PRODUCTO]],0),MATCH(Tabla4[[#This Row],[Mes]],Tabla6[#Headers],0)))</f>
        <v>#N/A</v>
      </c>
      <c r="R6065" s="282" t="e">
        <f>++Tabla4[[#This Row],[Precio Unitario Neto]]-Tabla4[[#This Row],[20.85%]]-Tabla4[[#This Row],[Costo]]</f>
        <v>#N/A</v>
      </c>
      <c r="S6065" s="282" t="e">
        <f>++Tabla4[[#This Row],[U. Bruta Uni]]*Tabla4[[#This Row],[Cantidad]]</f>
        <v>#N/A</v>
      </c>
      <c r="T6065" s="369" t="str">
        <f>VLOOKUP(Tabla4[[#This Row],[Producto]],Tabla6[#All],14,FALSE)</f>
        <v>Termico Solar</v>
      </c>
      <c r="U6065" s="284" t="e">
        <f>(IF(Tabla4[[#This Row],[Familia]]="termico solar",Tabla4[[#This Row],[Utilidad Total]]*6%,Tabla4[[#This Row],[Utilidad Total]]*11.5%))/Tabla4[[#This Row],[Total]]</f>
        <v>#N/A</v>
      </c>
      <c r="V6065" s="282" t="e">
        <f>+Tabla4[[#This Row],[Comisión Calculada]]*Tabla4[[#This Row],[Total]]</f>
        <v>#N/A</v>
      </c>
    </row>
    <row r="6066" spans="1:22" hidden="1" x14ac:dyDescent="0.25">
      <c r="A6066" s="100">
        <v>45930</v>
      </c>
      <c r="B6066" t="str">
        <f t="shared" si="285"/>
        <v>September</v>
      </c>
      <c r="C6066" s="46" t="s">
        <v>280</v>
      </c>
      <c r="F6066" s="366" t="s">
        <v>3103</v>
      </c>
      <c r="G6066" s="46" t="s">
        <v>566</v>
      </c>
      <c r="H6066" s="46">
        <v>1</v>
      </c>
      <c r="I6066" s="51">
        <v>2109.4499999999998</v>
      </c>
      <c r="J6066" s="281">
        <f>++Tabla4[[#This Row],[Precio Bruto]]*1.16</f>
        <v>2446.9619999999995</v>
      </c>
      <c r="K6066" s="281">
        <f>+Tabla4[[#This Row],[Precio Unitario Neto]]*Tabla4[[#Headers],[20.85%]]</f>
        <v>510.19157699999988</v>
      </c>
      <c r="L6066" s="282">
        <f>++Tabla4[[#This Row],[Precio Unitario Neto]]-Tabla4[[#This Row],[20.85%]]</f>
        <v>1936.7704229999997</v>
      </c>
      <c r="M6066" s="282" t="e">
        <f>(INDEX(Tabla6[#All],MATCH(Tabla4[[#This Row],[Producto]],Tabla6[[#All],[PRODUCTO]],0),MATCH(Tabla4[[#This Row],[Mes]],Tabla6[#Headers],0)))*(1+Catalogos!$L$2)</f>
        <v>#N/A</v>
      </c>
      <c r="N6066" s="283" t="e">
        <f>+(Tabla4[[#This Row],[Precio Descontado]]-Tabla4[[#This Row],[Precio Base]])*Tabla4[[#This Row],[Cantidad]]</f>
        <v>#N/A</v>
      </c>
      <c r="O6066" s="284" t="e">
        <f>++Tabla4[[#This Row],[Utilidad Total]]/Tabla4[[#This Row],[Total]]</f>
        <v>#N/A</v>
      </c>
      <c r="P6066" s="282">
        <f>++Tabla4[[#This Row],[Precio Descontado]]*Tabla4[[#This Row],[Cantidad]]</f>
        <v>1936.7704229999997</v>
      </c>
      <c r="Q6066" s="282" t="e">
        <f>(INDEX(Tabla6[#All],MATCH(Tabla4[[#This Row],[Producto]],Tabla6[[#All],[PRODUCTO]],0),MATCH(Tabla4[[#This Row],[Mes]],Tabla6[#Headers],0)))</f>
        <v>#N/A</v>
      </c>
      <c r="R6066" s="282" t="e">
        <f>++Tabla4[[#This Row],[Precio Unitario Neto]]-Tabla4[[#This Row],[20.85%]]-Tabla4[[#This Row],[Costo]]</f>
        <v>#N/A</v>
      </c>
      <c r="S6066" s="282" t="e">
        <f>++Tabla4[[#This Row],[U. Bruta Uni]]*Tabla4[[#This Row],[Cantidad]]</f>
        <v>#N/A</v>
      </c>
      <c r="T6066" s="369" t="str">
        <f>VLOOKUP(Tabla4[[#This Row],[Producto]],Tabla6[#All],14,FALSE)</f>
        <v>Termico Solar</v>
      </c>
      <c r="U6066" s="284" t="e">
        <f>(IF(Tabla4[[#This Row],[Familia]]="termico solar",Tabla4[[#This Row],[Utilidad Total]]*6%,Tabla4[[#This Row],[Utilidad Total]]*11.5%))/Tabla4[[#This Row],[Total]]</f>
        <v>#N/A</v>
      </c>
      <c r="V6066" s="282" t="e">
        <f>+Tabla4[[#This Row],[Comisión Calculada]]*Tabla4[[#This Row],[Total]]</f>
        <v>#N/A</v>
      </c>
    </row>
    <row r="6067" spans="1:22" hidden="1" x14ac:dyDescent="0.25">
      <c r="A6067" s="100">
        <v>45930</v>
      </c>
      <c r="B6067" t="str">
        <f t="shared" si="285"/>
        <v>September</v>
      </c>
      <c r="C6067" s="46" t="s">
        <v>280</v>
      </c>
      <c r="F6067" s="366" t="s">
        <v>3103</v>
      </c>
      <c r="G6067" s="46" t="s">
        <v>208</v>
      </c>
      <c r="H6067" s="46">
        <v>1</v>
      </c>
      <c r="I6067" s="51">
        <v>189.75</v>
      </c>
      <c r="J6067" s="281">
        <f>++Tabla4[[#This Row],[Precio Bruto]]*1.16</f>
        <v>220.10999999999999</v>
      </c>
      <c r="K6067" s="281">
        <f>+Tabla4[[#This Row],[Precio Unitario Neto]]*Tabla4[[#Headers],[20.85%]]</f>
        <v>45.892934999999994</v>
      </c>
      <c r="L6067" s="282">
        <f>++Tabla4[[#This Row],[Precio Unitario Neto]]-Tabla4[[#This Row],[20.85%]]</f>
        <v>174.21706499999999</v>
      </c>
      <c r="M6067" s="282" t="e">
        <f>(INDEX(Tabla6[#All],MATCH(Tabla4[[#This Row],[Producto]],Tabla6[[#All],[PRODUCTO]],0),MATCH(Tabla4[[#This Row],[Mes]],Tabla6[#Headers],0)))*(1+Catalogos!$L$2)</f>
        <v>#N/A</v>
      </c>
      <c r="N6067" s="283" t="e">
        <f>+(Tabla4[[#This Row],[Precio Descontado]]-Tabla4[[#This Row],[Precio Base]])*Tabla4[[#This Row],[Cantidad]]</f>
        <v>#N/A</v>
      </c>
      <c r="O6067" s="284" t="e">
        <f>++Tabla4[[#This Row],[Utilidad Total]]/Tabla4[[#This Row],[Total]]</f>
        <v>#N/A</v>
      </c>
      <c r="P6067" s="282">
        <f>++Tabla4[[#This Row],[Precio Descontado]]*Tabla4[[#This Row],[Cantidad]]</f>
        <v>174.21706499999999</v>
      </c>
      <c r="Q6067" s="282" t="e">
        <f>(INDEX(Tabla6[#All],MATCH(Tabla4[[#This Row],[Producto]],Tabla6[[#All],[PRODUCTO]],0),MATCH(Tabla4[[#This Row],[Mes]],Tabla6[#Headers],0)))</f>
        <v>#N/A</v>
      </c>
      <c r="R6067" s="282" t="e">
        <f>++Tabla4[[#This Row],[Precio Unitario Neto]]-Tabla4[[#This Row],[20.85%]]-Tabla4[[#This Row],[Costo]]</f>
        <v>#N/A</v>
      </c>
      <c r="S6067" s="282" t="e">
        <f>++Tabla4[[#This Row],[U. Bruta Uni]]*Tabla4[[#This Row],[Cantidad]]</f>
        <v>#N/A</v>
      </c>
      <c r="T6067" s="369" t="str">
        <f>VLOOKUP(Tabla4[[#This Row],[Producto]],Tabla6[#All],14,FALSE)</f>
        <v>Termico Solar</v>
      </c>
      <c r="U6067" s="284" t="e">
        <f>(IF(Tabla4[[#This Row],[Familia]]="termico solar",Tabla4[[#This Row],[Utilidad Total]]*6%,Tabla4[[#This Row],[Utilidad Total]]*11.5%))/Tabla4[[#This Row],[Total]]</f>
        <v>#N/A</v>
      </c>
      <c r="V6067" s="282" t="e">
        <f>+Tabla4[[#This Row],[Comisión Calculada]]*Tabla4[[#This Row],[Total]]</f>
        <v>#N/A</v>
      </c>
    </row>
    <row r="6068" spans="1:22" hidden="1" x14ac:dyDescent="0.25">
      <c r="A6068" s="100">
        <v>45930</v>
      </c>
      <c r="B6068" t="str">
        <f t="shared" si="285"/>
        <v>September</v>
      </c>
      <c r="C6068" s="46" t="s">
        <v>280</v>
      </c>
      <c r="F6068" s="366" t="s">
        <v>3104</v>
      </c>
      <c r="G6068" s="46" t="s">
        <v>208</v>
      </c>
      <c r="H6068" s="46">
        <v>6</v>
      </c>
      <c r="I6068" s="51">
        <v>189.75</v>
      </c>
      <c r="J6068" s="281">
        <f>++Tabla4[[#This Row],[Precio Bruto]]*1.16</f>
        <v>220.10999999999999</v>
      </c>
      <c r="K6068" s="281">
        <f>+Tabla4[[#This Row],[Precio Unitario Neto]]*Tabla4[[#Headers],[20.85%]]</f>
        <v>45.892934999999994</v>
      </c>
      <c r="L6068" s="282">
        <f>++Tabla4[[#This Row],[Precio Unitario Neto]]-Tabla4[[#This Row],[20.85%]]</f>
        <v>174.21706499999999</v>
      </c>
      <c r="M6068" s="282" t="e">
        <f>(INDEX(Tabla6[#All],MATCH(Tabla4[[#This Row],[Producto]],Tabla6[[#All],[PRODUCTO]],0),MATCH(Tabla4[[#This Row],[Mes]],Tabla6[#Headers],0)))*(1+Catalogos!$L$2)</f>
        <v>#N/A</v>
      </c>
      <c r="N6068" s="283" t="e">
        <f>+(Tabla4[[#This Row],[Precio Descontado]]-Tabla4[[#This Row],[Precio Base]])*Tabla4[[#This Row],[Cantidad]]</f>
        <v>#N/A</v>
      </c>
      <c r="O6068" s="284" t="e">
        <f>++Tabla4[[#This Row],[Utilidad Total]]/Tabla4[[#This Row],[Total]]</f>
        <v>#N/A</v>
      </c>
      <c r="P6068" s="282">
        <f>++Tabla4[[#This Row],[Precio Descontado]]*Tabla4[[#This Row],[Cantidad]]</f>
        <v>1045.3023899999998</v>
      </c>
      <c r="Q6068" s="282" t="e">
        <f>(INDEX(Tabla6[#All],MATCH(Tabla4[[#This Row],[Producto]],Tabla6[[#All],[PRODUCTO]],0),MATCH(Tabla4[[#This Row],[Mes]],Tabla6[#Headers],0)))</f>
        <v>#N/A</v>
      </c>
      <c r="R6068" s="282" t="e">
        <f>++Tabla4[[#This Row],[Precio Unitario Neto]]-Tabla4[[#This Row],[20.85%]]-Tabla4[[#This Row],[Costo]]</f>
        <v>#N/A</v>
      </c>
      <c r="S6068" s="282" t="e">
        <f>++Tabla4[[#This Row],[U. Bruta Uni]]*Tabla4[[#This Row],[Cantidad]]</f>
        <v>#N/A</v>
      </c>
      <c r="T6068" s="369" t="str">
        <f>VLOOKUP(Tabla4[[#This Row],[Producto]],Tabla6[#All],14,FALSE)</f>
        <v>Termico Solar</v>
      </c>
      <c r="U6068" s="284" t="e">
        <f>(IF(Tabla4[[#This Row],[Familia]]="termico solar",Tabla4[[#This Row],[Utilidad Total]]*6%,Tabla4[[#This Row],[Utilidad Total]]*11.5%))/Tabla4[[#This Row],[Total]]</f>
        <v>#N/A</v>
      </c>
      <c r="V6068" s="282" t="e">
        <f>+Tabla4[[#This Row],[Comisión Calculada]]*Tabla4[[#This Row],[Total]]</f>
        <v>#N/A</v>
      </c>
    </row>
    <row r="6069" spans="1:22" hidden="1" x14ac:dyDescent="0.25">
      <c r="A6069" s="100">
        <v>45930</v>
      </c>
      <c r="B6069" t="str">
        <f t="shared" si="285"/>
        <v>September</v>
      </c>
      <c r="C6069" s="46" t="s">
        <v>280</v>
      </c>
      <c r="F6069" s="366" t="s">
        <v>3105</v>
      </c>
      <c r="G6069" s="46" t="s">
        <v>19</v>
      </c>
      <c r="H6069" s="46">
        <v>1</v>
      </c>
      <c r="I6069" s="51">
        <v>6412.03</v>
      </c>
      <c r="J6069" s="281">
        <f>++Tabla4[[#This Row],[Precio Bruto]]*1.16</f>
        <v>7437.9547999999995</v>
      </c>
      <c r="K6069" s="281">
        <f>+Tabla4[[#This Row],[Precio Unitario Neto]]*Tabla4[[#Headers],[20.85%]]</f>
        <v>1550.8135757999999</v>
      </c>
      <c r="L6069" s="282">
        <f>++Tabla4[[#This Row],[Precio Unitario Neto]]-Tabla4[[#This Row],[20.85%]]</f>
        <v>5887.1412241999997</v>
      </c>
      <c r="M6069" s="282" t="e">
        <f>(INDEX(Tabla6[#All],MATCH(Tabla4[[#This Row],[Producto]],Tabla6[[#All],[PRODUCTO]],0),MATCH(Tabla4[[#This Row],[Mes]],Tabla6[#Headers],0)))*(1+Catalogos!$L$2)</f>
        <v>#N/A</v>
      </c>
      <c r="N6069" s="283" t="e">
        <f>+(Tabla4[[#This Row],[Precio Descontado]]-Tabla4[[#This Row],[Precio Base]])*Tabla4[[#This Row],[Cantidad]]</f>
        <v>#N/A</v>
      </c>
      <c r="O6069" s="284" t="e">
        <f>++Tabla4[[#This Row],[Utilidad Total]]/Tabla4[[#This Row],[Total]]</f>
        <v>#N/A</v>
      </c>
      <c r="P6069" s="282">
        <f>++Tabla4[[#This Row],[Precio Descontado]]*Tabla4[[#This Row],[Cantidad]]</f>
        <v>5887.1412241999997</v>
      </c>
      <c r="Q6069" s="282" t="e">
        <f>(INDEX(Tabla6[#All],MATCH(Tabla4[[#This Row],[Producto]],Tabla6[[#All],[PRODUCTO]],0),MATCH(Tabla4[[#This Row],[Mes]],Tabla6[#Headers],0)))</f>
        <v>#N/A</v>
      </c>
      <c r="R6069" s="282" t="e">
        <f>++Tabla4[[#This Row],[Precio Unitario Neto]]-Tabla4[[#This Row],[20.85%]]-Tabla4[[#This Row],[Costo]]</f>
        <v>#N/A</v>
      </c>
      <c r="S6069" s="282" t="e">
        <f>++Tabla4[[#This Row],[U. Bruta Uni]]*Tabla4[[#This Row],[Cantidad]]</f>
        <v>#N/A</v>
      </c>
      <c r="T6069" s="369" t="str">
        <f>VLOOKUP(Tabla4[[#This Row],[Producto]],Tabla6[#All],14,FALSE)</f>
        <v>Termico Solar</v>
      </c>
      <c r="U6069" s="284" t="e">
        <f>(IF(Tabla4[[#This Row],[Familia]]="termico solar",Tabla4[[#This Row],[Utilidad Total]]*6%,Tabla4[[#This Row],[Utilidad Total]]*11.5%))/Tabla4[[#This Row],[Total]]</f>
        <v>#N/A</v>
      </c>
      <c r="V6069" s="282" t="e">
        <f>+Tabla4[[#This Row],[Comisión Calculada]]*Tabla4[[#This Row],[Total]]</f>
        <v>#N/A</v>
      </c>
    </row>
    <row r="6070" spans="1:22" hidden="1" x14ac:dyDescent="0.25">
      <c r="A6070" s="100">
        <v>45930</v>
      </c>
      <c r="B6070" t="str">
        <f t="shared" si="285"/>
        <v>September</v>
      </c>
      <c r="C6070" s="46" t="s">
        <v>280</v>
      </c>
      <c r="F6070" s="366" t="s">
        <v>3105</v>
      </c>
      <c r="G6070" s="46" t="s">
        <v>566</v>
      </c>
      <c r="H6070" s="46">
        <v>1</v>
      </c>
      <c r="I6070" s="51">
        <v>2109.4499999999998</v>
      </c>
      <c r="J6070" s="281">
        <f>++Tabla4[[#This Row],[Precio Bruto]]*1.16</f>
        <v>2446.9619999999995</v>
      </c>
      <c r="K6070" s="281">
        <f>+Tabla4[[#This Row],[Precio Unitario Neto]]*Tabla4[[#Headers],[20.85%]]</f>
        <v>510.19157699999988</v>
      </c>
      <c r="L6070" s="282">
        <f>++Tabla4[[#This Row],[Precio Unitario Neto]]-Tabla4[[#This Row],[20.85%]]</f>
        <v>1936.7704229999997</v>
      </c>
      <c r="M6070" s="282" t="e">
        <f>(INDEX(Tabla6[#All],MATCH(Tabla4[[#This Row],[Producto]],Tabla6[[#All],[PRODUCTO]],0),MATCH(Tabla4[[#This Row],[Mes]],Tabla6[#Headers],0)))*(1+Catalogos!$L$2)</f>
        <v>#N/A</v>
      </c>
      <c r="N6070" s="283" t="e">
        <f>+(Tabla4[[#This Row],[Precio Descontado]]-Tabla4[[#This Row],[Precio Base]])*Tabla4[[#This Row],[Cantidad]]</f>
        <v>#N/A</v>
      </c>
      <c r="O6070" s="284" t="e">
        <f>++Tabla4[[#This Row],[Utilidad Total]]/Tabla4[[#This Row],[Total]]</f>
        <v>#N/A</v>
      </c>
      <c r="P6070" s="282">
        <f>++Tabla4[[#This Row],[Precio Descontado]]*Tabla4[[#This Row],[Cantidad]]</f>
        <v>1936.7704229999997</v>
      </c>
      <c r="Q6070" s="282" t="e">
        <f>(INDEX(Tabla6[#All],MATCH(Tabla4[[#This Row],[Producto]],Tabla6[[#All],[PRODUCTO]],0),MATCH(Tabla4[[#This Row],[Mes]],Tabla6[#Headers],0)))</f>
        <v>#N/A</v>
      </c>
      <c r="R6070" s="282" t="e">
        <f>++Tabla4[[#This Row],[Precio Unitario Neto]]-Tabla4[[#This Row],[20.85%]]-Tabla4[[#This Row],[Costo]]</f>
        <v>#N/A</v>
      </c>
      <c r="S6070" s="282" t="e">
        <f>++Tabla4[[#This Row],[U. Bruta Uni]]*Tabla4[[#This Row],[Cantidad]]</f>
        <v>#N/A</v>
      </c>
      <c r="T6070" s="369" t="str">
        <f>VLOOKUP(Tabla4[[#This Row],[Producto]],Tabla6[#All],14,FALSE)</f>
        <v>Termico Solar</v>
      </c>
      <c r="U6070" s="284" t="e">
        <f>(IF(Tabla4[[#This Row],[Familia]]="termico solar",Tabla4[[#This Row],[Utilidad Total]]*6%,Tabla4[[#This Row],[Utilidad Total]]*11.5%))/Tabla4[[#This Row],[Total]]</f>
        <v>#N/A</v>
      </c>
      <c r="V6070" s="282" t="e">
        <f>+Tabla4[[#This Row],[Comisión Calculada]]*Tabla4[[#This Row],[Total]]</f>
        <v>#N/A</v>
      </c>
    </row>
    <row r="6071" spans="1:22" hidden="1" x14ac:dyDescent="0.25">
      <c r="A6071" s="100">
        <v>45930</v>
      </c>
      <c r="B6071" t="str">
        <f t="shared" si="285"/>
        <v>September</v>
      </c>
      <c r="C6071" s="46" t="s">
        <v>280</v>
      </c>
      <c r="F6071" s="366" t="s">
        <v>3105</v>
      </c>
      <c r="G6071" s="46" t="s">
        <v>412</v>
      </c>
      <c r="H6071" s="46">
        <v>1</v>
      </c>
      <c r="I6071" s="51">
        <v>3240.84</v>
      </c>
      <c r="J6071" s="281">
        <f>++Tabla4[[#This Row],[Precio Bruto]]*1.16</f>
        <v>3759.3743999999997</v>
      </c>
      <c r="K6071" s="281">
        <f>+Tabla4[[#This Row],[Precio Unitario Neto]]*Tabla4[[#Headers],[20.85%]]</f>
        <v>783.82956239999987</v>
      </c>
      <c r="L6071" s="282">
        <f>++Tabla4[[#This Row],[Precio Unitario Neto]]-Tabla4[[#This Row],[20.85%]]</f>
        <v>2975.5448375999999</v>
      </c>
      <c r="M6071" s="282" t="e">
        <f>(INDEX(Tabla6[#All],MATCH(Tabla4[[#This Row],[Producto]],Tabla6[[#All],[PRODUCTO]],0),MATCH(Tabla4[[#This Row],[Mes]],Tabla6[#Headers],0)))*(1+Catalogos!$L$2)</f>
        <v>#N/A</v>
      </c>
      <c r="N6071" s="283" t="e">
        <f>+(Tabla4[[#This Row],[Precio Descontado]]-Tabla4[[#This Row],[Precio Base]])*Tabla4[[#This Row],[Cantidad]]</f>
        <v>#N/A</v>
      </c>
      <c r="O6071" s="284" t="e">
        <f>++Tabla4[[#This Row],[Utilidad Total]]/Tabla4[[#This Row],[Total]]</f>
        <v>#N/A</v>
      </c>
      <c r="P6071" s="282">
        <f>++Tabla4[[#This Row],[Precio Descontado]]*Tabla4[[#This Row],[Cantidad]]</f>
        <v>2975.5448375999999</v>
      </c>
      <c r="Q6071" s="282" t="e">
        <f>(INDEX(Tabla6[#All],MATCH(Tabla4[[#This Row],[Producto]],Tabla6[[#All],[PRODUCTO]],0),MATCH(Tabla4[[#This Row],[Mes]],Tabla6[#Headers],0)))</f>
        <v>#N/A</v>
      </c>
      <c r="R6071" s="282" t="e">
        <f>++Tabla4[[#This Row],[Precio Unitario Neto]]-Tabla4[[#This Row],[20.85%]]-Tabla4[[#This Row],[Costo]]</f>
        <v>#N/A</v>
      </c>
      <c r="S6071" s="282" t="e">
        <f>++Tabla4[[#This Row],[U. Bruta Uni]]*Tabla4[[#This Row],[Cantidad]]</f>
        <v>#N/A</v>
      </c>
      <c r="T6071" s="369" t="str">
        <f>VLOOKUP(Tabla4[[#This Row],[Producto]],Tabla6[#All],14,FALSE)</f>
        <v>Termico Solar</v>
      </c>
      <c r="U6071" s="284" t="e">
        <f>(IF(Tabla4[[#This Row],[Familia]]="termico solar",Tabla4[[#This Row],[Utilidad Total]]*6%,Tabla4[[#This Row],[Utilidad Total]]*11.5%))/Tabla4[[#This Row],[Total]]</f>
        <v>#N/A</v>
      </c>
      <c r="V6071" s="282" t="e">
        <f>+Tabla4[[#This Row],[Comisión Calculada]]*Tabla4[[#This Row],[Total]]</f>
        <v>#N/A</v>
      </c>
    </row>
    <row r="6072" spans="1:22" hidden="1" x14ac:dyDescent="0.25">
      <c r="A6072" s="100">
        <v>45930</v>
      </c>
      <c r="B6072" t="str">
        <f t="shared" si="285"/>
        <v>September</v>
      </c>
      <c r="C6072" s="46" t="s">
        <v>280</v>
      </c>
      <c r="F6072" s="366" t="s">
        <v>3105</v>
      </c>
      <c r="G6072" s="46" t="s">
        <v>208</v>
      </c>
      <c r="H6072" s="46">
        <v>3</v>
      </c>
      <c r="I6072" s="51">
        <v>189.75</v>
      </c>
      <c r="J6072" s="281">
        <f>++Tabla4[[#This Row],[Precio Bruto]]*1.16</f>
        <v>220.10999999999999</v>
      </c>
      <c r="K6072" s="281">
        <f>+Tabla4[[#This Row],[Precio Unitario Neto]]*Tabla4[[#Headers],[20.85%]]</f>
        <v>45.892934999999994</v>
      </c>
      <c r="L6072" s="282">
        <f>++Tabla4[[#This Row],[Precio Unitario Neto]]-Tabla4[[#This Row],[20.85%]]</f>
        <v>174.21706499999999</v>
      </c>
      <c r="M6072" s="282" t="e">
        <f>(INDEX(Tabla6[#All],MATCH(Tabla4[[#This Row],[Producto]],Tabla6[[#All],[PRODUCTO]],0),MATCH(Tabla4[[#This Row],[Mes]],Tabla6[#Headers],0)))*(1+Catalogos!$L$2)</f>
        <v>#N/A</v>
      </c>
      <c r="N6072" s="283" t="e">
        <f>+(Tabla4[[#This Row],[Precio Descontado]]-Tabla4[[#This Row],[Precio Base]])*Tabla4[[#This Row],[Cantidad]]</f>
        <v>#N/A</v>
      </c>
      <c r="O6072" s="284" t="e">
        <f>++Tabla4[[#This Row],[Utilidad Total]]/Tabla4[[#This Row],[Total]]</f>
        <v>#N/A</v>
      </c>
      <c r="P6072" s="282">
        <f>++Tabla4[[#This Row],[Precio Descontado]]*Tabla4[[#This Row],[Cantidad]]</f>
        <v>522.65119499999992</v>
      </c>
      <c r="Q6072" s="282" t="e">
        <f>(INDEX(Tabla6[#All],MATCH(Tabla4[[#This Row],[Producto]],Tabla6[[#All],[PRODUCTO]],0),MATCH(Tabla4[[#This Row],[Mes]],Tabla6[#Headers],0)))</f>
        <v>#N/A</v>
      </c>
      <c r="R6072" s="282" t="e">
        <f>++Tabla4[[#This Row],[Precio Unitario Neto]]-Tabla4[[#This Row],[20.85%]]-Tabla4[[#This Row],[Costo]]</f>
        <v>#N/A</v>
      </c>
      <c r="S6072" s="282" t="e">
        <f>++Tabla4[[#This Row],[U. Bruta Uni]]*Tabla4[[#This Row],[Cantidad]]</f>
        <v>#N/A</v>
      </c>
      <c r="T6072" s="369" t="str">
        <f>VLOOKUP(Tabla4[[#This Row],[Producto]],Tabla6[#All],14,FALSE)</f>
        <v>Termico Solar</v>
      </c>
      <c r="U6072" s="284" t="e">
        <f>(IF(Tabla4[[#This Row],[Familia]]="termico solar",Tabla4[[#This Row],[Utilidad Total]]*6%,Tabla4[[#This Row],[Utilidad Total]]*11.5%))/Tabla4[[#This Row],[Total]]</f>
        <v>#N/A</v>
      </c>
      <c r="V6072" s="282" t="e">
        <f>+Tabla4[[#This Row],[Comisión Calculada]]*Tabla4[[#This Row],[Total]]</f>
        <v>#N/A</v>
      </c>
    </row>
    <row r="6073" spans="1:22" hidden="1" x14ac:dyDescent="0.25">
      <c r="A6073" s="100">
        <v>45930</v>
      </c>
      <c r="B6073" t="str">
        <f t="shared" ref="B6073:B6080" si="286">TEXT(A6073, "mmmm")</f>
        <v>September</v>
      </c>
      <c r="C6073" s="46" t="s">
        <v>280</v>
      </c>
      <c r="F6073" s="366" t="s">
        <v>3106</v>
      </c>
      <c r="G6073" s="46" t="s">
        <v>208</v>
      </c>
      <c r="H6073" s="46">
        <v>1</v>
      </c>
      <c r="I6073" s="51">
        <v>189.75</v>
      </c>
      <c r="J6073" s="281">
        <f>++Tabla4[[#This Row],[Precio Bruto]]*1.16</f>
        <v>220.10999999999999</v>
      </c>
      <c r="K6073" s="281">
        <f>+Tabla4[[#This Row],[Precio Unitario Neto]]*Tabla4[[#Headers],[20.85%]]</f>
        <v>45.892934999999994</v>
      </c>
      <c r="L6073" s="282">
        <f>++Tabla4[[#This Row],[Precio Unitario Neto]]-Tabla4[[#This Row],[20.85%]]</f>
        <v>174.21706499999999</v>
      </c>
      <c r="M6073" s="282" t="e">
        <f>(INDEX(Tabla6[#All],MATCH(Tabla4[[#This Row],[Producto]],Tabla6[[#All],[PRODUCTO]],0),MATCH(Tabla4[[#This Row],[Mes]],Tabla6[#Headers],0)))*(1+Catalogos!$L$2)</f>
        <v>#N/A</v>
      </c>
      <c r="N6073" s="283" t="e">
        <f>+(Tabla4[[#This Row],[Precio Descontado]]-Tabla4[[#This Row],[Precio Base]])*Tabla4[[#This Row],[Cantidad]]</f>
        <v>#N/A</v>
      </c>
      <c r="O6073" s="284" t="e">
        <f>++Tabla4[[#This Row],[Utilidad Total]]/Tabla4[[#This Row],[Total]]</f>
        <v>#N/A</v>
      </c>
      <c r="P6073" s="282">
        <f>++Tabla4[[#This Row],[Precio Descontado]]*Tabla4[[#This Row],[Cantidad]]</f>
        <v>174.21706499999999</v>
      </c>
      <c r="Q6073" s="282" t="e">
        <f>(INDEX(Tabla6[#All],MATCH(Tabla4[[#This Row],[Producto]],Tabla6[[#All],[PRODUCTO]],0),MATCH(Tabla4[[#This Row],[Mes]],Tabla6[#Headers],0)))</f>
        <v>#N/A</v>
      </c>
      <c r="R6073" s="282" t="e">
        <f>++Tabla4[[#This Row],[Precio Unitario Neto]]-Tabla4[[#This Row],[20.85%]]-Tabla4[[#This Row],[Costo]]</f>
        <v>#N/A</v>
      </c>
      <c r="S6073" s="282" t="e">
        <f>++Tabla4[[#This Row],[U. Bruta Uni]]*Tabla4[[#This Row],[Cantidad]]</f>
        <v>#N/A</v>
      </c>
      <c r="T6073" s="369" t="str">
        <f>VLOOKUP(Tabla4[[#This Row],[Producto]],Tabla6[#All],14,FALSE)</f>
        <v>Termico Solar</v>
      </c>
      <c r="U6073" s="284" t="e">
        <f>(IF(Tabla4[[#This Row],[Familia]]="termico solar",Tabla4[[#This Row],[Utilidad Total]]*6%,Tabla4[[#This Row],[Utilidad Total]]*11.5%))/Tabla4[[#This Row],[Total]]</f>
        <v>#N/A</v>
      </c>
      <c r="V6073" s="282" t="e">
        <f>+Tabla4[[#This Row],[Comisión Calculada]]*Tabla4[[#This Row],[Total]]</f>
        <v>#N/A</v>
      </c>
    </row>
    <row r="6074" spans="1:22" hidden="1" x14ac:dyDescent="0.25">
      <c r="A6074" s="100">
        <v>45930</v>
      </c>
      <c r="B6074" t="str">
        <f t="shared" si="286"/>
        <v>September</v>
      </c>
      <c r="C6074" s="46" t="s">
        <v>280</v>
      </c>
      <c r="F6074" s="366" t="s">
        <v>3107</v>
      </c>
      <c r="G6074" s="46" t="s">
        <v>19</v>
      </c>
      <c r="H6074" s="46">
        <v>1</v>
      </c>
      <c r="I6074" s="51">
        <v>6412.03</v>
      </c>
      <c r="J6074" s="281">
        <f>++Tabla4[[#This Row],[Precio Bruto]]*1.16</f>
        <v>7437.9547999999995</v>
      </c>
      <c r="K6074" s="281">
        <f>+Tabla4[[#This Row],[Precio Unitario Neto]]*Tabla4[[#Headers],[20.85%]]</f>
        <v>1550.8135757999999</v>
      </c>
      <c r="L6074" s="282">
        <f>++Tabla4[[#This Row],[Precio Unitario Neto]]-Tabla4[[#This Row],[20.85%]]</f>
        <v>5887.1412241999997</v>
      </c>
      <c r="M6074" s="282" t="e">
        <f>(INDEX(Tabla6[#All],MATCH(Tabla4[[#This Row],[Producto]],Tabla6[[#All],[PRODUCTO]],0),MATCH(Tabla4[[#This Row],[Mes]],Tabla6[#Headers],0)))*(1+Catalogos!$L$2)</f>
        <v>#N/A</v>
      </c>
      <c r="N6074" s="283" t="e">
        <f>+(Tabla4[[#This Row],[Precio Descontado]]-Tabla4[[#This Row],[Precio Base]])*Tabla4[[#This Row],[Cantidad]]</f>
        <v>#N/A</v>
      </c>
      <c r="O6074" s="284" t="e">
        <f>++Tabla4[[#This Row],[Utilidad Total]]/Tabla4[[#This Row],[Total]]</f>
        <v>#N/A</v>
      </c>
      <c r="P6074" s="282">
        <f>++Tabla4[[#This Row],[Precio Descontado]]*Tabla4[[#This Row],[Cantidad]]</f>
        <v>5887.1412241999997</v>
      </c>
      <c r="Q6074" s="282" t="e">
        <f>(INDEX(Tabla6[#All],MATCH(Tabla4[[#This Row],[Producto]],Tabla6[[#All],[PRODUCTO]],0),MATCH(Tabla4[[#This Row],[Mes]],Tabla6[#Headers],0)))</f>
        <v>#N/A</v>
      </c>
      <c r="R6074" s="282" t="e">
        <f>++Tabla4[[#This Row],[Precio Unitario Neto]]-Tabla4[[#This Row],[20.85%]]-Tabla4[[#This Row],[Costo]]</f>
        <v>#N/A</v>
      </c>
      <c r="S6074" s="282" t="e">
        <f>++Tabla4[[#This Row],[U. Bruta Uni]]*Tabla4[[#This Row],[Cantidad]]</f>
        <v>#N/A</v>
      </c>
      <c r="T6074" s="369" t="str">
        <f>VLOOKUP(Tabla4[[#This Row],[Producto]],Tabla6[#All],14,FALSE)</f>
        <v>Termico Solar</v>
      </c>
      <c r="U6074" s="284" t="e">
        <f>(IF(Tabla4[[#This Row],[Familia]]="termico solar",Tabla4[[#This Row],[Utilidad Total]]*6%,Tabla4[[#This Row],[Utilidad Total]]*11.5%))/Tabla4[[#This Row],[Total]]</f>
        <v>#N/A</v>
      </c>
      <c r="V6074" s="282" t="e">
        <f>+Tabla4[[#This Row],[Comisión Calculada]]*Tabla4[[#This Row],[Total]]</f>
        <v>#N/A</v>
      </c>
    </row>
    <row r="6075" spans="1:22" hidden="1" x14ac:dyDescent="0.25">
      <c r="A6075" s="100">
        <v>45930</v>
      </c>
      <c r="B6075" t="str">
        <f t="shared" si="286"/>
        <v>September</v>
      </c>
      <c r="C6075" s="46" t="s">
        <v>280</v>
      </c>
      <c r="F6075" s="366" t="s">
        <v>3108</v>
      </c>
      <c r="G6075" s="46" t="s">
        <v>208</v>
      </c>
      <c r="H6075" s="46">
        <v>2</v>
      </c>
      <c r="I6075" s="51">
        <v>189.75</v>
      </c>
      <c r="J6075" s="281">
        <f>++Tabla4[[#This Row],[Precio Bruto]]*1.16</f>
        <v>220.10999999999999</v>
      </c>
      <c r="K6075" s="281">
        <f>+Tabla4[[#This Row],[Precio Unitario Neto]]*Tabla4[[#Headers],[20.85%]]</f>
        <v>45.892934999999994</v>
      </c>
      <c r="L6075" s="282">
        <f>++Tabla4[[#This Row],[Precio Unitario Neto]]-Tabla4[[#This Row],[20.85%]]</f>
        <v>174.21706499999999</v>
      </c>
      <c r="M6075" s="282" t="e">
        <f>(INDEX(Tabla6[#All],MATCH(Tabla4[[#This Row],[Producto]],Tabla6[[#All],[PRODUCTO]],0),MATCH(Tabla4[[#This Row],[Mes]],Tabla6[#Headers],0)))*(1+Catalogos!$L$2)</f>
        <v>#N/A</v>
      </c>
      <c r="N6075" s="283" t="e">
        <f>+(Tabla4[[#This Row],[Precio Descontado]]-Tabla4[[#This Row],[Precio Base]])*Tabla4[[#This Row],[Cantidad]]</f>
        <v>#N/A</v>
      </c>
      <c r="O6075" s="284" t="e">
        <f>++Tabla4[[#This Row],[Utilidad Total]]/Tabla4[[#This Row],[Total]]</f>
        <v>#N/A</v>
      </c>
      <c r="P6075" s="282">
        <f>++Tabla4[[#This Row],[Precio Descontado]]*Tabla4[[#This Row],[Cantidad]]</f>
        <v>348.43412999999998</v>
      </c>
      <c r="Q6075" s="282" t="e">
        <f>(INDEX(Tabla6[#All],MATCH(Tabla4[[#This Row],[Producto]],Tabla6[[#All],[PRODUCTO]],0),MATCH(Tabla4[[#This Row],[Mes]],Tabla6[#Headers],0)))</f>
        <v>#N/A</v>
      </c>
      <c r="R6075" s="282" t="e">
        <f>++Tabla4[[#This Row],[Precio Unitario Neto]]-Tabla4[[#This Row],[20.85%]]-Tabla4[[#This Row],[Costo]]</f>
        <v>#N/A</v>
      </c>
      <c r="S6075" s="282" t="e">
        <f>++Tabla4[[#This Row],[U. Bruta Uni]]*Tabla4[[#This Row],[Cantidad]]</f>
        <v>#N/A</v>
      </c>
      <c r="T6075" s="369" t="str">
        <f>VLOOKUP(Tabla4[[#This Row],[Producto]],Tabla6[#All],14,FALSE)</f>
        <v>Termico Solar</v>
      </c>
      <c r="U6075" s="284" t="e">
        <f>(IF(Tabla4[[#This Row],[Familia]]="termico solar",Tabla4[[#This Row],[Utilidad Total]]*6%,Tabla4[[#This Row],[Utilidad Total]]*11.5%))/Tabla4[[#This Row],[Total]]</f>
        <v>#N/A</v>
      </c>
      <c r="V6075" s="282" t="e">
        <f>+Tabla4[[#This Row],[Comisión Calculada]]*Tabla4[[#This Row],[Total]]</f>
        <v>#N/A</v>
      </c>
    </row>
    <row r="6076" spans="1:22" hidden="1" x14ac:dyDescent="0.25">
      <c r="A6076" s="100">
        <v>45930</v>
      </c>
      <c r="B6076" t="str">
        <f t="shared" si="286"/>
        <v>September</v>
      </c>
      <c r="C6076" s="46" t="s">
        <v>280</v>
      </c>
      <c r="F6076" s="366" t="s">
        <v>3109</v>
      </c>
      <c r="G6076" s="46" t="s">
        <v>566</v>
      </c>
      <c r="H6076" s="46">
        <v>1</v>
      </c>
      <c r="I6076" s="51">
        <v>2109.4499999999998</v>
      </c>
      <c r="J6076" s="281">
        <f>++Tabla4[[#This Row],[Precio Bruto]]*1.16</f>
        <v>2446.9619999999995</v>
      </c>
      <c r="K6076" s="281">
        <f>+Tabla4[[#This Row],[Precio Unitario Neto]]*Tabla4[[#Headers],[20.85%]]</f>
        <v>510.19157699999988</v>
      </c>
      <c r="L6076" s="282">
        <f>++Tabla4[[#This Row],[Precio Unitario Neto]]-Tabla4[[#This Row],[20.85%]]</f>
        <v>1936.7704229999997</v>
      </c>
      <c r="M6076" s="282" t="e">
        <f>(INDEX(Tabla6[#All],MATCH(Tabla4[[#This Row],[Producto]],Tabla6[[#All],[PRODUCTO]],0),MATCH(Tabla4[[#This Row],[Mes]],Tabla6[#Headers],0)))*(1+Catalogos!$L$2)</f>
        <v>#N/A</v>
      </c>
      <c r="N6076" s="283" t="e">
        <f>+(Tabla4[[#This Row],[Precio Descontado]]-Tabla4[[#This Row],[Precio Base]])*Tabla4[[#This Row],[Cantidad]]</f>
        <v>#N/A</v>
      </c>
      <c r="O6076" s="284" t="e">
        <f>++Tabla4[[#This Row],[Utilidad Total]]/Tabla4[[#This Row],[Total]]</f>
        <v>#N/A</v>
      </c>
      <c r="P6076" s="282">
        <f>++Tabla4[[#This Row],[Precio Descontado]]*Tabla4[[#This Row],[Cantidad]]</f>
        <v>1936.7704229999997</v>
      </c>
      <c r="Q6076" s="282" t="e">
        <f>(INDEX(Tabla6[#All],MATCH(Tabla4[[#This Row],[Producto]],Tabla6[[#All],[PRODUCTO]],0),MATCH(Tabla4[[#This Row],[Mes]],Tabla6[#Headers],0)))</f>
        <v>#N/A</v>
      </c>
      <c r="R6076" s="282" t="e">
        <f>++Tabla4[[#This Row],[Precio Unitario Neto]]-Tabla4[[#This Row],[20.85%]]-Tabla4[[#This Row],[Costo]]</f>
        <v>#N/A</v>
      </c>
      <c r="S6076" s="282" t="e">
        <f>++Tabla4[[#This Row],[U. Bruta Uni]]*Tabla4[[#This Row],[Cantidad]]</f>
        <v>#N/A</v>
      </c>
      <c r="T6076" s="369" t="str">
        <f>VLOOKUP(Tabla4[[#This Row],[Producto]],Tabla6[#All],14,FALSE)</f>
        <v>Termico Solar</v>
      </c>
      <c r="U6076" s="284" t="e">
        <f>(IF(Tabla4[[#This Row],[Familia]]="termico solar",Tabla4[[#This Row],[Utilidad Total]]*6%,Tabla4[[#This Row],[Utilidad Total]]*11.5%))/Tabla4[[#This Row],[Total]]</f>
        <v>#N/A</v>
      </c>
      <c r="V6076" s="282" t="e">
        <f>+Tabla4[[#This Row],[Comisión Calculada]]*Tabla4[[#This Row],[Total]]</f>
        <v>#N/A</v>
      </c>
    </row>
    <row r="6077" spans="1:22" hidden="1" x14ac:dyDescent="0.25">
      <c r="A6077" s="100">
        <v>45930</v>
      </c>
      <c r="B6077" t="str">
        <f t="shared" si="286"/>
        <v>September</v>
      </c>
      <c r="C6077" s="46" t="s">
        <v>280</v>
      </c>
      <c r="F6077" s="366" t="s">
        <v>3110</v>
      </c>
      <c r="G6077" s="46" t="s">
        <v>19</v>
      </c>
      <c r="H6077" s="46">
        <v>1</v>
      </c>
      <c r="I6077" s="51">
        <v>6412.03</v>
      </c>
      <c r="J6077" s="281">
        <f>++Tabla4[[#This Row],[Precio Bruto]]*1.16</f>
        <v>7437.9547999999995</v>
      </c>
      <c r="K6077" s="281">
        <f>+Tabla4[[#This Row],[Precio Unitario Neto]]*Tabla4[[#Headers],[20.85%]]</f>
        <v>1550.8135757999999</v>
      </c>
      <c r="L6077" s="282">
        <f>++Tabla4[[#This Row],[Precio Unitario Neto]]-Tabla4[[#This Row],[20.85%]]</f>
        <v>5887.1412241999997</v>
      </c>
      <c r="M6077" s="282" t="e">
        <f>(INDEX(Tabla6[#All],MATCH(Tabla4[[#This Row],[Producto]],Tabla6[[#All],[PRODUCTO]],0),MATCH(Tabla4[[#This Row],[Mes]],Tabla6[#Headers],0)))*(1+Catalogos!$L$2)</f>
        <v>#N/A</v>
      </c>
      <c r="N6077" s="283" t="e">
        <f>+(Tabla4[[#This Row],[Precio Descontado]]-Tabla4[[#This Row],[Precio Base]])*Tabla4[[#This Row],[Cantidad]]</f>
        <v>#N/A</v>
      </c>
      <c r="O6077" s="284" t="e">
        <f>++Tabla4[[#This Row],[Utilidad Total]]/Tabla4[[#This Row],[Total]]</f>
        <v>#N/A</v>
      </c>
      <c r="P6077" s="282">
        <f>++Tabla4[[#This Row],[Precio Descontado]]*Tabla4[[#This Row],[Cantidad]]</f>
        <v>5887.1412241999997</v>
      </c>
      <c r="Q6077" s="282" t="e">
        <f>(INDEX(Tabla6[#All],MATCH(Tabla4[[#This Row],[Producto]],Tabla6[[#All],[PRODUCTO]],0),MATCH(Tabla4[[#This Row],[Mes]],Tabla6[#Headers],0)))</f>
        <v>#N/A</v>
      </c>
      <c r="R6077" s="282" t="e">
        <f>++Tabla4[[#This Row],[Precio Unitario Neto]]-Tabla4[[#This Row],[20.85%]]-Tabla4[[#This Row],[Costo]]</f>
        <v>#N/A</v>
      </c>
      <c r="S6077" s="282" t="e">
        <f>++Tabla4[[#This Row],[U. Bruta Uni]]*Tabla4[[#This Row],[Cantidad]]</f>
        <v>#N/A</v>
      </c>
      <c r="T6077" s="369" t="str">
        <f>VLOOKUP(Tabla4[[#This Row],[Producto]],Tabla6[#All],14,FALSE)</f>
        <v>Termico Solar</v>
      </c>
      <c r="U6077" s="284" t="e">
        <f>(IF(Tabla4[[#This Row],[Familia]]="termico solar",Tabla4[[#This Row],[Utilidad Total]]*6%,Tabla4[[#This Row],[Utilidad Total]]*11.5%))/Tabla4[[#This Row],[Total]]</f>
        <v>#N/A</v>
      </c>
      <c r="V6077" s="282" t="e">
        <f>+Tabla4[[#This Row],[Comisión Calculada]]*Tabla4[[#This Row],[Total]]</f>
        <v>#N/A</v>
      </c>
    </row>
    <row r="6078" spans="1:22" hidden="1" x14ac:dyDescent="0.25">
      <c r="A6078" s="100">
        <v>45930</v>
      </c>
      <c r="B6078" t="str">
        <f t="shared" si="286"/>
        <v>September</v>
      </c>
      <c r="C6078" s="46" t="s">
        <v>280</v>
      </c>
      <c r="F6078" s="366" t="s">
        <v>3111</v>
      </c>
      <c r="G6078" s="46" t="s">
        <v>566</v>
      </c>
      <c r="H6078" s="46">
        <v>1</v>
      </c>
      <c r="I6078" s="51">
        <v>2109.4499999999998</v>
      </c>
      <c r="J6078" s="281">
        <f>++Tabla4[[#This Row],[Precio Bruto]]*1.16</f>
        <v>2446.9619999999995</v>
      </c>
      <c r="K6078" s="281">
        <f>+Tabla4[[#This Row],[Precio Unitario Neto]]*Tabla4[[#Headers],[20.85%]]</f>
        <v>510.19157699999988</v>
      </c>
      <c r="L6078" s="282">
        <f>++Tabla4[[#This Row],[Precio Unitario Neto]]-Tabla4[[#This Row],[20.85%]]</f>
        <v>1936.7704229999997</v>
      </c>
      <c r="M6078" s="282" t="e">
        <f>(INDEX(Tabla6[#All],MATCH(Tabla4[[#This Row],[Producto]],Tabla6[[#All],[PRODUCTO]],0),MATCH(Tabla4[[#This Row],[Mes]],Tabla6[#Headers],0)))*(1+Catalogos!$L$2)</f>
        <v>#N/A</v>
      </c>
      <c r="N6078" s="283" t="e">
        <f>+(Tabla4[[#This Row],[Precio Descontado]]-Tabla4[[#This Row],[Precio Base]])*Tabla4[[#This Row],[Cantidad]]</f>
        <v>#N/A</v>
      </c>
      <c r="O6078" s="284" t="e">
        <f>++Tabla4[[#This Row],[Utilidad Total]]/Tabla4[[#This Row],[Total]]</f>
        <v>#N/A</v>
      </c>
      <c r="P6078" s="282">
        <f>++Tabla4[[#This Row],[Precio Descontado]]*Tabla4[[#This Row],[Cantidad]]</f>
        <v>1936.7704229999997</v>
      </c>
      <c r="Q6078" s="282" t="e">
        <f>(INDEX(Tabla6[#All],MATCH(Tabla4[[#This Row],[Producto]],Tabla6[[#All],[PRODUCTO]],0),MATCH(Tabla4[[#This Row],[Mes]],Tabla6[#Headers],0)))</f>
        <v>#N/A</v>
      </c>
      <c r="R6078" s="282" t="e">
        <f>++Tabla4[[#This Row],[Precio Unitario Neto]]-Tabla4[[#This Row],[20.85%]]-Tabla4[[#This Row],[Costo]]</f>
        <v>#N/A</v>
      </c>
      <c r="S6078" s="282" t="e">
        <f>++Tabla4[[#This Row],[U. Bruta Uni]]*Tabla4[[#This Row],[Cantidad]]</f>
        <v>#N/A</v>
      </c>
      <c r="T6078" s="369" t="str">
        <f>VLOOKUP(Tabla4[[#This Row],[Producto]],Tabla6[#All],14,FALSE)</f>
        <v>Termico Solar</v>
      </c>
      <c r="U6078" s="284" t="e">
        <f>(IF(Tabla4[[#This Row],[Familia]]="termico solar",Tabla4[[#This Row],[Utilidad Total]]*6%,Tabla4[[#This Row],[Utilidad Total]]*11.5%))/Tabla4[[#This Row],[Total]]</f>
        <v>#N/A</v>
      </c>
      <c r="V6078" s="282" t="e">
        <f>+Tabla4[[#This Row],[Comisión Calculada]]*Tabla4[[#This Row],[Total]]</f>
        <v>#N/A</v>
      </c>
    </row>
    <row r="6079" spans="1:22" hidden="1" x14ac:dyDescent="0.25">
      <c r="A6079" s="100">
        <v>45930</v>
      </c>
      <c r="B6079" t="str">
        <f t="shared" si="286"/>
        <v>September</v>
      </c>
      <c r="C6079" s="46" t="s">
        <v>280</v>
      </c>
      <c r="F6079" s="366" t="s">
        <v>3112</v>
      </c>
      <c r="G6079" s="46" t="s">
        <v>208</v>
      </c>
      <c r="H6079" s="46">
        <v>3</v>
      </c>
      <c r="I6079" s="51">
        <v>189.75</v>
      </c>
      <c r="J6079" s="281">
        <f>++Tabla4[[#This Row],[Precio Bruto]]*1.16</f>
        <v>220.10999999999999</v>
      </c>
      <c r="K6079" s="281">
        <f>+Tabla4[[#This Row],[Precio Unitario Neto]]*Tabla4[[#Headers],[20.85%]]</f>
        <v>45.892934999999994</v>
      </c>
      <c r="L6079" s="282">
        <f>++Tabla4[[#This Row],[Precio Unitario Neto]]-Tabla4[[#This Row],[20.85%]]</f>
        <v>174.21706499999999</v>
      </c>
      <c r="M6079" s="282" t="e">
        <f>(INDEX(Tabla6[#All],MATCH(Tabla4[[#This Row],[Producto]],Tabla6[[#All],[PRODUCTO]],0),MATCH(Tabla4[[#This Row],[Mes]],Tabla6[#Headers],0)))*(1+Catalogos!$L$2)</f>
        <v>#N/A</v>
      </c>
      <c r="N6079" s="283" t="e">
        <f>+(Tabla4[[#This Row],[Precio Descontado]]-Tabla4[[#This Row],[Precio Base]])*Tabla4[[#This Row],[Cantidad]]</f>
        <v>#N/A</v>
      </c>
      <c r="O6079" s="284" t="e">
        <f>++Tabla4[[#This Row],[Utilidad Total]]/Tabla4[[#This Row],[Total]]</f>
        <v>#N/A</v>
      </c>
      <c r="P6079" s="282">
        <f>++Tabla4[[#This Row],[Precio Descontado]]*Tabla4[[#This Row],[Cantidad]]</f>
        <v>522.65119499999992</v>
      </c>
      <c r="Q6079" s="282" t="e">
        <f>(INDEX(Tabla6[#All],MATCH(Tabla4[[#This Row],[Producto]],Tabla6[[#All],[PRODUCTO]],0),MATCH(Tabla4[[#This Row],[Mes]],Tabla6[#Headers],0)))</f>
        <v>#N/A</v>
      </c>
      <c r="R6079" s="282" t="e">
        <f>++Tabla4[[#This Row],[Precio Unitario Neto]]-Tabla4[[#This Row],[20.85%]]-Tabla4[[#This Row],[Costo]]</f>
        <v>#N/A</v>
      </c>
      <c r="S6079" s="282" t="e">
        <f>++Tabla4[[#This Row],[U. Bruta Uni]]*Tabla4[[#This Row],[Cantidad]]</f>
        <v>#N/A</v>
      </c>
      <c r="T6079" s="369" t="str">
        <f>VLOOKUP(Tabla4[[#This Row],[Producto]],Tabla6[#All],14,FALSE)</f>
        <v>Termico Solar</v>
      </c>
      <c r="U6079" s="284" t="e">
        <f>(IF(Tabla4[[#This Row],[Familia]]="termico solar",Tabla4[[#This Row],[Utilidad Total]]*6%,Tabla4[[#This Row],[Utilidad Total]]*11.5%))/Tabla4[[#This Row],[Total]]</f>
        <v>#N/A</v>
      </c>
      <c r="V6079" s="282" t="e">
        <f>+Tabla4[[#This Row],[Comisión Calculada]]*Tabla4[[#This Row],[Total]]</f>
        <v>#N/A</v>
      </c>
    </row>
    <row r="6080" spans="1:22" hidden="1" x14ac:dyDescent="0.25">
      <c r="A6080" s="100">
        <v>45930</v>
      </c>
      <c r="B6080" t="str">
        <f t="shared" si="286"/>
        <v>September</v>
      </c>
      <c r="C6080" s="46" t="s">
        <v>280</v>
      </c>
      <c r="F6080" s="366" t="s">
        <v>3113</v>
      </c>
      <c r="G6080" s="46" t="s">
        <v>208</v>
      </c>
      <c r="H6080" s="46">
        <v>2</v>
      </c>
      <c r="I6080" s="51">
        <v>189.75</v>
      </c>
      <c r="J6080" s="281">
        <f>++Tabla4[[#This Row],[Precio Bruto]]*1.16</f>
        <v>220.10999999999999</v>
      </c>
      <c r="K6080" s="281">
        <f>+Tabla4[[#This Row],[Precio Unitario Neto]]*Tabla4[[#Headers],[20.85%]]</f>
        <v>45.892934999999994</v>
      </c>
      <c r="L6080" s="282">
        <f>++Tabla4[[#This Row],[Precio Unitario Neto]]-Tabla4[[#This Row],[20.85%]]</f>
        <v>174.21706499999999</v>
      </c>
      <c r="M6080" s="282" t="e">
        <f>(INDEX(Tabla6[#All],MATCH(Tabla4[[#This Row],[Producto]],Tabla6[[#All],[PRODUCTO]],0),MATCH(Tabla4[[#This Row],[Mes]],Tabla6[#Headers],0)))*(1+Catalogos!$L$2)</f>
        <v>#N/A</v>
      </c>
      <c r="N6080" s="283" t="e">
        <f>+(Tabla4[[#This Row],[Precio Descontado]]-Tabla4[[#This Row],[Precio Base]])*Tabla4[[#This Row],[Cantidad]]</f>
        <v>#N/A</v>
      </c>
      <c r="O6080" s="284" t="e">
        <f>++Tabla4[[#This Row],[Utilidad Total]]/Tabla4[[#This Row],[Total]]</f>
        <v>#N/A</v>
      </c>
      <c r="P6080" s="282">
        <f>++Tabla4[[#This Row],[Precio Descontado]]*Tabla4[[#This Row],[Cantidad]]</f>
        <v>348.43412999999998</v>
      </c>
      <c r="Q6080" s="282" t="e">
        <f>(INDEX(Tabla6[#All],MATCH(Tabla4[[#This Row],[Producto]],Tabla6[[#All],[PRODUCTO]],0),MATCH(Tabla4[[#This Row],[Mes]],Tabla6[#Headers],0)))</f>
        <v>#N/A</v>
      </c>
      <c r="R6080" s="282" t="e">
        <f>++Tabla4[[#This Row],[Precio Unitario Neto]]-Tabla4[[#This Row],[20.85%]]-Tabla4[[#This Row],[Costo]]</f>
        <v>#N/A</v>
      </c>
      <c r="S6080" s="282" t="e">
        <f>++Tabla4[[#This Row],[U. Bruta Uni]]*Tabla4[[#This Row],[Cantidad]]</f>
        <v>#N/A</v>
      </c>
      <c r="T6080" s="369" t="str">
        <f>VLOOKUP(Tabla4[[#This Row],[Producto]],Tabla6[#All],14,FALSE)</f>
        <v>Termico Solar</v>
      </c>
      <c r="U6080" s="284" t="e">
        <f>(IF(Tabla4[[#This Row],[Familia]]="termico solar",Tabla4[[#This Row],[Utilidad Total]]*6%,Tabla4[[#This Row],[Utilidad Total]]*11.5%))/Tabla4[[#This Row],[Total]]</f>
        <v>#N/A</v>
      </c>
      <c r="V6080" s="282" t="e">
        <f>+Tabla4[[#This Row],[Comisión Calculada]]*Tabla4[[#This Row],[Total]]</f>
        <v>#N/A</v>
      </c>
    </row>
    <row r="6081" spans="1:22" hidden="1" x14ac:dyDescent="0.25">
      <c r="A6081" s="100">
        <v>45930</v>
      </c>
      <c r="B6081" t="str">
        <f t="shared" ref="B6081:B6098" si="287">TEXT(A6081, "mmmm")</f>
        <v>September</v>
      </c>
      <c r="C6081" s="46" t="s">
        <v>280</v>
      </c>
      <c r="F6081" s="366" t="s">
        <v>3114</v>
      </c>
      <c r="G6081" s="46" t="s">
        <v>555</v>
      </c>
      <c r="H6081" s="46">
        <v>8</v>
      </c>
      <c r="I6081" s="51">
        <v>389.47</v>
      </c>
      <c r="J6081" s="281">
        <f>++Tabla4[[#This Row],[Precio Bruto]]*1.16</f>
        <v>451.78519999999997</v>
      </c>
      <c r="K6081" s="281">
        <f>+Tabla4[[#This Row],[Precio Unitario Neto]]*Tabla4[[#Headers],[20.85%]]</f>
        <v>94.197214199999991</v>
      </c>
      <c r="L6081" s="282">
        <f>++Tabla4[[#This Row],[Precio Unitario Neto]]-Tabla4[[#This Row],[20.85%]]</f>
        <v>357.58798579999996</v>
      </c>
      <c r="M6081" s="282" t="e">
        <f>(INDEX(Tabla6[#All],MATCH(Tabla4[[#This Row],[Producto]],Tabla6[[#All],[PRODUCTO]],0),MATCH(Tabla4[[#This Row],[Mes]],Tabla6[#Headers],0)))*(1+Catalogos!$L$2)</f>
        <v>#N/A</v>
      </c>
      <c r="N6081" s="283" t="e">
        <f>+(Tabla4[[#This Row],[Precio Descontado]]-Tabla4[[#This Row],[Precio Base]])*Tabla4[[#This Row],[Cantidad]]</f>
        <v>#N/A</v>
      </c>
      <c r="O6081" s="284" t="e">
        <f>++Tabla4[[#This Row],[Utilidad Total]]/Tabla4[[#This Row],[Total]]</f>
        <v>#N/A</v>
      </c>
      <c r="P6081" s="282">
        <f>++Tabla4[[#This Row],[Precio Descontado]]*Tabla4[[#This Row],[Cantidad]]</f>
        <v>2860.7038863999996</v>
      </c>
      <c r="Q6081" s="282" t="e">
        <f>(INDEX(Tabla6[#All],MATCH(Tabla4[[#This Row],[Producto]],Tabla6[[#All],[PRODUCTO]],0),MATCH(Tabla4[[#This Row],[Mes]],Tabla6[#Headers],0)))</f>
        <v>#N/A</v>
      </c>
      <c r="R6081" s="282" t="e">
        <f>++Tabla4[[#This Row],[Precio Unitario Neto]]-Tabla4[[#This Row],[20.85%]]-Tabla4[[#This Row],[Costo]]</f>
        <v>#N/A</v>
      </c>
      <c r="S6081" s="282" t="e">
        <f>++Tabla4[[#This Row],[U. Bruta Uni]]*Tabla4[[#This Row],[Cantidad]]</f>
        <v>#N/A</v>
      </c>
      <c r="T6081" s="369" t="str">
        <f>VLOOKUP(Tabla4[[#This Row],[Producto]],Tabla6[#All],14,FALSE)</f>
        <v>Termico Solar</v>
      </c>
      <c r="U6081" s="284" t="e">
        <f>(IF(Tabla4[[#This Row],[Familia]]="termico solar",Tabla4[[#This Row],[Utilidad Total]]*6%,Tabla4[[#This Row],[Utilidad Total]]*11.5%))/Tabla4[[#This Row],[Total]]</f>
        <v>#N/A</v>
      </c>
      <c r="V6081" s="282" t="e">
        <f>+Tabla4[[#This Row],[Comisión Calculada]]*Tabla4[[#This Row],[Total]]</f>
        <v>#N/A</v>
      </c>
    </row>
    <row r="6082" spans="1:22" hidden="1" x14ac:dyDescent="0.25">
      <c r="A6082" s="100">
        <v>45930</v>
      </c>
      <c r="B6082" t="str">
        <f t="shared" si="287"/>
        <v>September</v>
      </c>
      <c r="C6082" s="46" t="s">
        <v>280</v>
      </c>
      <c r="F6082" s="366" t="s">
        <v>3114</v>
      </c>
      <c r="G6082" s="46" t="s">
        <v>208</v>
      </c>
      <c r="H6082" s="46">
        <v>2</v>
      </c>
      <c r="I6082" s="51">
        <v>189.75</v>
      </c>
      <c r="J6082" s="281">
        <f>++Tabla4[[#This Row],[Precio Bruto]]*1.16</f>
        <v>220.10999999999999</v>
      </c>
      <c r="K6082" s="281">
        <f>+Tabla4[[#This Row],[Precio Unitario Neto]]*Tabla4[[#Headers],[20.85%]]</f>
        <v>45.892934999999994</v>
      </c>
      <c r="L6082" s="282">
        <f>++Tabla4[[#This Row],[Precio Unitario Neto]]-Tabla4[[#This Row],[20.85%]]</f>
        <v>174.21706499999999</v>
      </c>
      <c r="M6082" s="282" t="e">
        <f>(INDEX(Tabla6[#All],MATCH(Tabla4[[#This Row],[Producto]],Tabla6[[#All],[PRODUCTO]],0),MATCH(Tabla4[[#This Row],[Mes]],Tabla6[#Headers],0)))*(1+Catalogos!$L$2)</f>
        <v>#N/A</v>
      </c>
      <c r="N6082" s="283" t="e">
        <f>+(Tabla4[[#This Row],[Precio Descontado]]-Tabla4[[#This Row],[Precio Base]])*Tabla4[[#This Row],[Cantidad]]</f>
        <v>#N/A</v>
      </c>
      <c r="O6082" s="284" t="e">
        <f>++Tabla4[[#This Row],[Utilidad Total]]/Tabla4[[#This Row],[Total]]</f>
        <v>#N/A</v>
      </c>
      <c r="P6082" s="282">
        <f>++Tabla4[[#This Row],[Precio Descontado]]*Tabla4[[#This Row],[Cantidad]]</f>
        <v>348.43412999999998</v>
      </c>
      <c r="Q6082" s="282" t="e">
        <f>(INDEX(Tabla6[#All],MATCH(Tabla4[[#This Row],[Producto]],Tabla6[[#All],[PRODUCTO]],0),MATCH(Tabla4[[#This Row],[Mes]],Tabla6[#Headers],0)))</f>
        <v>#N/A</v>
      </c>
      <c r="R6082" s="282" t="e">
        <f>++Tabla4[[#This Row],[Precio Unitario Neto]]-Tabla4[[#This Row],[20.85%]]-Tabla4[[#This Row],[Costo]]</f>
        <v>#N/A</v>
      </c>
      <c r="S6082" s="282" t="e">
        <f>++Tabla4[[#This Row],[U. Bruta Uni]]*Tabla4[[#This Row],[Cantidad]]</f>
        <v>#N/A</v>
      </c>
      <c r="T6082" s="369" t="str">
        <f>VLOOKUP(Tabla4[[#This Row],[Producto]],Tabla6[#All],14,FALSE)</f>
        <v>Termico Solar</v>
      </c>
      <c r="U6082" s="284" t="e">
        <f>(IF(Tabla4[[#This Row],[Familia]]="termico solar",Tabla4[[#This Row],[Utilidad Total]]*6%,Tabla4[[#This Row],[Utilidad Total]]*11.5%))/Tabla4[[#This Row],[Total]]</f>
        <v>#N/A</v>
      </c>
      <c r="V6082" s="282" t="e">
        <f>+Tabla4[[#This Row],[Comisión Calculada]]*Tabla4[[#This Row],[Total]]</f>
        <v>#N/A</v>
      </c>
    </row>
    <row r="6083" spans="1:22" hidden="1" x14ac:dyDescent="0.25">
      <c r="A6083" s="100">
        <v>45930</v>
      </c>
      <c r="B6083" t="str">
        <f t="shared" si="287"/>
        <v>September</v>
      </c>
      <c r="C6083" s="46" t="s">
        <v>280</v>
      </c>
      <c r="F6083" s="366" t="s">
        <v>3115</v>
      </c>
      <c r="G6083" s="46" t="s">
        <v>17</v>
      </c>
      <c r="H6083" s="46">
        <v>1</v>
      </c>
      <c r="I6083" s="51">
        <v>4622.28</v>
      </c>
      <c r="J6083" s="281">
        <f>++Tabla4[[#This Row],[Precio Bruto]]*1.16</f>
        <v>5361.8447999999989</v>
      </c>
      <c r="K6083" s="281">
        <f>+Tabla4[[#This Row],[Precio Unitario Neto]]*Tabla4[[#Headers],[20.85%]]</f>
        <v>1117.9446407999997</v>
      </c>
      <c r="L6083" s="282">
        <f>++Tabla4[[#This Row],[Precio Unitario Neto]]-Tabla4[[#This Row],[20.85%]]</f>
        <v>4243.9001591999995</v>
      </c>
      <c r="M6083" s="282" t="e">
        <f>(INDEX(Tabla6[#All],MATCH(Tabla4[[#This Row],[Producto]],Tabla6[[#All],[PRODUCTO]],0),MATCH(Tabla4[[#This Row],[Mes]],Tabla6[#Headers],0)))*(1+Catalogos!$L$2)</f>
        <v>#N/A</v>
      </c>
      <c r="N6083" s="283" t="e">
        <f>+(Tabla4[[#This Row],[Precio Descontado]]-Tabla4[[#This Row],[Precio Base]])*Tabla4[[#This Row],[Cantidad]]</f>
        <v>#N/A</v>
      </c>
      <c r="O6083" s="284" t="e">
        <f>++Tabla4[[#This Row],[Utilidad Total]]/Tabla4[[#This Row],[Total]]</f>
        <v>#N/A</v>
      </c>
      <c r="P6083" s="282">
        <f>++Tabla4[[#This Row],[Precio Descontado]]*Tabla4[[#This Row],[Cantidad]]</f>
        <v>4243.9001591999995</v>
      </c>
      <c r="Q6083" s="282" t="e">
        <f>(INDEX(Tabla6[#All],MATCH(Tabla4[[#This Row],[Producto]],Tabla6[[#All],[PRODUCTO]],0),MATCH(Tabla4[[#This Row],[Mes]],Tabla6[#Headers],0)))</f>
        <v>#N/A</v>
      </c>
      <c r="R6083" s="282" t="e">
        <f>++Tabla4[[#This Row],[Precio Unitario Neto]]-Tabla4[[#This Row],[20.85%]]-Tabla4[[#This Row],[Costo]]</f>
        <v>#N/A</v>
      </c>
      <c r="S6083" s="282" t="e">
        <f>++Tabla4[[#This Row],[U. Bruta Uni]]*Tabla4[[#This Row],[Cantidad]]</f>
        <v>#N/A</v>
      </c>
      <c r="T6083" s="369" t="str">
        <f>VLOOKUP(Tabla4[[#This Row],[Producto]],Tabla6[#All],14,FALSE)</f>
        <v>Termico Solar</v>
      </c>
      <c r="U6083" s="284" t="e">
        <f>(IF(Tabla4[[#This Row],[Familia]]="termico solar",Tabla4[[#This Row],[Utilidad Total]]*6%,Tabla4[[#This Row],[Utilidad Total]]*11.5%))/Tabla4[[#This Row],[Total]]</f>
        <v>#N/A</v>
      </c>
      <c r="V6083" s="282" t="e">
        <f>+Tabla4[[#This Row],[Comisión Calculada]]*Tabla4[[#This Row],[Total]]</f>
        <v>#N/A</v>
      </c>
    </row>
    <row r="6084" spans="1:22" hidden="1" x14ac:dyDescent="0.25">
      <c r="A6084" s="100">
        <v>45930</v>
      </c>
      <c r="B6084" t="str">
        <f t="shared" si="287"/>
        <v>September</v>
      </c>
      <c r="C6084" s="46" t="s">
        <v>280</v>
      </c>
      <c r="F6084" s="366" t="s">
        <v>3115</v>
      </c>
      <c r="G6084" s="46" t="s">
        <v>18</v>
      </c>
      <c r="H6084" s="46">
        <v>1</v>
      </c>
      <c r="I6084" s="51">
        <v>5367.65</v>
      </c>
      <c r="J6084" s="281">
        <f>++Tabla4[[#This Row],[Precio Bruto]]*1.16</f>
        <v>6226.4739999999993</v>
      </c>
      <c r="K6084" s="281">
        <f>+Tabla4[[#This Row],[Precio Unitario Neto]]*Tabla4[[#Headers],[20.85%]]</f>
        <v>1298.2198289999999</v>
      </c>
      <c r="L6084" s="282">
        <f>++Tabla4[[#This Row],[Precio Unitario Neto]]-Tabla4[[#This Row],[20.85%]]</f>
        <v>4928.2541709999996</v>
      </c>
      <c r="M6084" s="282" t="e">
        <f>(INDEX(Tabla6[#All],MATCH(Tabla4[[#This Row],[Producto]],Tabla6[[#All],[PRODUCTO]],0),MATCH(Tabla4[[#This Row],[Mes]],Tabla6[#Headers],0)))*(1+Catalogos!$L$2)</f>
        <v>#N/A</v>
      </c>
      <c r="N6084" s="283" t="e">
        <f>+(Tabla4[[#This Row],[Precio Descontado]]-Tabla4[[#This Row],[Precio Base]])*Tabla4[[#This Row],[Cantidad]]</f>
        <v>#N/A</v>
      </c>
      <c r="O6084" s="284" t="e">
        <f>++Tabla4[[#This Row],[Utilidad Total]]/Tabla4[[#This Row],[Total]]</f>
        <v>#N/A</v>
      </c>
      <c r="P6084" s="282">
        <f>++Tabla4[[#This Row],[Precio Descontado]]*Tabla4[[#This Row],[Cantidad]]</f>
        <v>4928.2541709999996</v>
      </c>
      <c r="Q6084" s="282" t="e">
        <f>(INDEX(Tabla6[#All],MATCH(Tabla4[[#This Row],[Producto]],Tabla6[[#All],[PRODUCTO]],0),MATCH(Tabla4[[#This Row],[Mes]],Tabla6[#Headers],0)))</f>
        <v>#N/A</v>
      </c>
      <c r="R6084" s="282" t="e">
        <f>++Tabla4[[#This Row],[Precio Unitario Neto]]-Tabla4[[#This Row],[20.85%]]-Tabla4[[#This Row],[Costo]]</f>
        <v>#N/A</v>
      </c>
      <c r="S6084" s="282" t="e">
        <f>++Tabla4[[#This Row],[U. Bruta Uni]]*Tabla4[[#This Row],[Cantidad]]</f>
        <v>#N/A</v>
      </c>
      <c r="T6084" s="369" t="str">
        <f>VLOOKUP(Tabla4[[#This Row],[Producto]],Tabla6[#All],14,FALSE)</f>
        <v>Termico Solar</v>
      </c>
      <c r="U6084" s="284" t="e">
        <f>(IF(Tabla4[[#This Row],[Familia]]="termico solar",Tabla4[[#This Row],[Utilidad Total]]*6%,Tabla4[[#This Row],[Utilidad Total]]*11.5%))/Tabla4[[#This Row],[Total]]</f>
        <v>#N/A</v>
      </c>
      <c r="V6084" s="282" t="e">
        <f>+Tabla4[[#This Row],[Comisión Calculada]]*Tabla4[[#This Row],[Total]]</f>
        <v>#N/A</v>
      </c>
    </row>
    <row r="6085" spans="1:22" hidden="1" x14ac:dyDescent="0.25">
      <c r="A6085" s="100">
        <v>45930</v>
      </c>
      <c r="B6085" t="str">
        <f t="shared" si="287"/>
        <v>September</v>
      </c>
      <c r="C6085" s="46" t="s">
        <v>280</v>
      </c>
      <c r="F6085" s="366" t="s">
        <v>3115</v>
      </c>
      <c r="G6085" s="46" t="s">
        <v>566</v>
      </c>
      <c r="H6085" s="46">
        <v>1</v>
      </c>
      <c r="I6085" s="51">
        <v>2109.4499999999998</v>
      </c>
      <c r="J6085" s="281">
        <f>++Tabla4[[#This Row],[Precio Bruto]]*1.16</f>
        <v>2446.9619999999995</v>
      </c>
      <c r="K6085" s="281">
        <f>+Tabla4[[#This Row],[Precio Unitario Neto]]*Tabla4[[#Headers],[20.85%]]</f>
        <v>510.19157699999988</v>
      </c>
      <c r="L6085" s="282">
        <f>++Tabla4[[#This Row],[Precio Unitario Neto]]-Tabla4[[#This Row],[20.85%]]</f>
        <v>1936.7704229999997</v>
      </c>
      <c r="M6085" s="282" t="e">
        <f>(INDEX(Tabla6[#All],MATCH(Tabla4[[#This Row],[Producto]],Tabla6[[#All],[PRODUCTO]],0),MATCH(Tabla4[[#This Row],[Mes]],Tabla6[#Headers],0)))*(1+Catalogos!$L$2)</f>
        <v>#N/A</v>
      </c>
      <c r="N6085" s="283" t="e">
        <f>+(Tabla4[[#This Row],[Precio Descontado]]-Tabla4[[#This Row],[Precio Base]])*Tabla4[[#This Row],[Cantidad]]</f>
        <v>#N/A</v>
      </c>
      <c r="O6085" s="284" t="e">
        <f>++Tabla4[[#This Row],[Utilidad Total]]/Tabla4[[#This Row],[Total]]</f>
        <v>#N/A</v>
      </c>
      <c r="P6085" s="282">
        <f>++Tabla4[[#This Row],[Precio Descontado]]*Tabla4[[#This Row],[Cantidad]]</f>
        <v>1936.7704229999997</v>
      </c>
      <c r="Q6085" s="282" t="e">
        <f>(INDEX(Tabla6[#All],MATCH(Tabla4[[#This Row],[Producto]],Tabla6[[#All],[PRODUCTO]],0),MATCH(Tabla4[[#This Row],[Mes]],Tabla6[#Headers],0)))</f>
        <v>#N/A</v>
      </c>
      <c r="R6085" s="282" t="e">
        <f>++Tabla4[[#This Row],[Precio Unitario Neto]]-Tabla4[[#This Row],[20.85%]]-Tabla4[[#This Row],[Costo]]</f>
        <v>#N/A</v>
      </c>
      <c r="S6085" s="282" t="e">
        <f>++Tabla4[[#This Row],[U. Bruta Uni]]*Tabla4[[#This Row],[Cantidad]]</f>
        <v>#N/A</v>
      </c>
      <c r="T6085" s="369" t="str">
        <f>VLOOKUP(Tabla4[[#This Row],[Producto]],Tabla6[#All],14,FALSE)</f>
        <v>Termico Solar</v>
      </c>
      <c r="U6085" s="284" t="e">
        <f>(IF(Tabla4[[#This Row],[Familia]]="termico solar",Tabla4[[#This Row],[Utilidad Total]]*6%,Tabla4[[#This Row],[Utilidad Total]]*11.5%))/Tabla4[[#This Row],[Total]]</f>
        <v>#N/A</v>
      </c>
      <c r="V6085" s="282" t="e">
        <f>+Tabla4[[#This Row],[Comisión Calculada]]*Tabla4[[#This Row],[Total]]</f>
        <v>#N/A</v>
      </c>
    </row>
    <row r="6086" spans="1:22" hidden="1" x14ac:dyDescent="0.25">
      <c r="A6086" s="100">
        <v>45930</v>
      </c>
      <c r="B6086" t="str">
        <f t="shared" si="287"/>
        <v>September</v>
      </c>
      <c r="C6086" s="46" t="s">
        <v>280</v>
      </c>
      <c r="F6086" s="366" t="s">
        <v>3116</v>
      </c>
      <c r="G6086" s="46" t="s">
        <v>17</v>
      </c>
      <c r="H6086" s="46">
        <v>1</v>
      </c>
      <c r="I6086" s="51">
        <v>4622.28</v>
      </c>
      <c r="J6086" s="281">
        <f>++Tabla4[[#This Row],[Precio Bruto]]*1.16</f>
        <v>5361.8447999999989</v>
      </c>
      <c r="K6086" s="281">
        <f>+Tabla4[[#This Row],[Precio Unitario Neto]]*Tabla4[[#Headers],[20.85%]]</f>
        <v>1117.9446407999997</v>
      </c>
      <c r="L6086" s="282">
        <f>++Tabla4[[#This Row],[Precio Unitario Neto]]-Tabla4[[#This Row],[20.85%]]</f>
        <v>4243.9001591999995</v>
      </c>
      <c r="M6086" s="282" t="e">
        <f>(INDEX(Tabla6[#All],MATCH(Tabla4[[#This Row],[Producto]],Tabla6[[#All],[PRODUCTO]],0),MATCH(Tabla4[[#This Row],[Mes]],Tabla6[#Headers],0)))*(1+Catalogos!$L$2)</f>
        <v>#N/A</v>
      </c>
      <c r="N6086" s="283" t="e">
        <f>+(Tabla4[[#This Row],[Precio Descontado]]-Tabla4[[#This Row],[Precio Base]])*Tabla4[[#This Row],[Cantidad]]</f>
        <v>#N/A</v>
      </c>
      <c r="O6086" s="284" t="e">
        <f>++Tabla4[[#This Row],[Utilidad Total]]/Tabla4[[#This Row],[Total]]</f>
        <v>#N/A</v>
      </c>
      <c r="P6086" s="282">
        <f>++Tabla4[[#This Row],[Precio Descontado]]*Tabla4[[#This Row],[Cantidad]]</f>
        <v>4243.9001591999995</v>
      </c>
      <c r="Q6086" s="282" t="e">
        <f>(INDEX(Tabla6[#All],MATCH(Tabla4[[#This Row],[Producto]],Tabla6[[#All],[PRODUCTO]],0),MATCH(Tabla4[[#This Row],[Mes]],Tabla6[#Headers],0)))</f>
        <v>#N/A</v>
      </c>
      <c r="R6086" s="282" t="e">
        <f>++Tabla4[[#This Row],[Precio Unitario Neto]]-Tabla4[[#This Row],[20.85%]]-Tabla4[[#This Row],[Costo]]</f>
        <v>#N/A</v>
      </c>
      <c r="S6086" s="282" t="e">
        <f>++Tabla4[[#This Row],[U. Bruta Uni]]*Tabla4[[#This Row],[Cantidad]]</f>
        <v>#N/A</v>
      </c>
      <c r="T6086" s="369" t="str">
        <f>VLOOKUP(Tabla4[[#This Row],[Producto]],Tabla6[#All],14,FALSE)</f>
        <v>Termico Solar</v>
      </c>
      <c r="U6086" s="284" t="e">
        <f>(IF(Tabla4[[#This Row],[Familia]]="termico solar",Tabla4[[#This Row],[Utilidad Total]]*6%,Tabla4[[#This Row],[Utilidad Total]]*11.5%))/Tabla4[[#This Row],[Total]]</f>
        <v>#N/A</v>
      </c>
      <c r="V6086" s="282" t="e">
        <f>+Tabla4[[#This Row],[Comisión Calculada]]*Tabla4[[#This Row],[Total]]</f>
        <v>#N/A</v>
      </c>
    </row>
    <row r="6087" spans="1:22" hidden="1" x14ac:dyDescent="0.25">
      <c r="A6087" s="100">
        <v>45930</v>
      </c>
      <c r="B6087" t="str">
        <f t="shared" si="287"/>
        <v>September</v>
      </c>
      <c r="C6087" s="46" t="s">
        <v>280</v>
      </c>
      <c r="F6087" s="366" t="s">
        <v>3116</v>
      </c>
      <c r="G6087" s="46" t="s">
        <v>16</v>
      </c>
      <c r="H6087" s="46">
        <v>1</v>
      </c>
      <c r="I6087" s="51">
        <v>4103.8500000000004</v>
      </c>
      <c r="J6087" s="281">
        <f>++Tabla4[[#This Row],[Precio Bruto]]*1.16</f>
        <v>4760.4660000000003</v>
      </c>
      <c r="K6087" s="281">
        <f>+Tabla4[[#This Row],[Precio Unitario Neto]]*Tabla4[[#Headers],[20.85%]]</f>
        <v>992.55716100000006</v>
      </c>
      <c r="L6087" s="282">
        <f>++Tabla4[[#This Row],[Precio Unitario Neto]]-Tabla4[[#This Row],[20.85%]]</f>
        <v>3767.9088390000002</v>
      </c>
      <c r="M6087" s="282" t="e">
        <f>(INDEX(Tabla6[#All],MATCH(Tabla4[[#This Row],[Producto]],Tabla6[[#All],[PRODUCTO]],0),MATCH(Tabla4[[#This Row],[Mes]],Tabla6[#Headers],0)))*(1+Catalogos!$L$2)</f>
        <v>#N/A</v>
      </c>
      <c r="N6087" s="283" t="e">
        <f>+(Tabla4[[#This Row],[Precio Descontado]]-Tabla4[[#This Row],[Precio Base]])*Tabla4[[#This Row],[Cantidad]]</f>
        <v>#N/A</v>
      </c>
      <c r="O6087" s="284" t="e">
        <f>++Tabla4[[#This Row],[Utilidad Total]]/Tabla4[[#This Row],[Total]]</f>
        <v>#N/A</v>
      </c>
      <c r="P6087" s="282">
        <f>++Tabla4[[#This Row],[Precio Descontado]]*Tabla4[[#This Row],[Cantidad]]</f>
        <v>3767.9088390000002</v>
      </c>
      <c r="Q6087" s="282" t="e">
        <f>(INDEX(Tabla6[#All],MATCH(Tabla4[[#This Row],[Producto]],Tabla6[[#All],[PRODUCTO]],0),MATCH(Tabla4[[#This Row],[Mes]],Tabla6[#Headers],0)))</f>
        <v>#N/A</v>
      </c>
      <c r="R6087" s="282" t="e">
        <f>++Tabla4[[#This Row],[Precio Unitario Neto]]-Tabla4[[#This Row],[20.85%]]-Tabla4[[#This Row],[Costo]]</f>
        <v>#N/A</v>
      </c>
      <c r="S6087" s="282" t="e">
        <f>++Tabla4[[#This Row],[U. Bruta Uni]]*Tabla4[[#This Row],[Cantidad]]</f>
        <v>#N/A</v>
      </c>
      <c r="T6087" s="369" t="str">
        <f>VLOOKUP(Tabla4[[#This Row],[Producto]],Tabla6[#All],14,FALSE)</f>
        <v>Termico Solar</v>
      </c>
      <c r="U6087" s="284" t="e">
        <f>(IF(Tabla4[[#This Row],[Familia]]="termico solar",Tabla4[[#This Row],[Utilidad Total]]*6%,Tabla4[[#This Row],[Utilidad Total]]*11.5%))/Tabla4[[#This Row],[Total]]</f>
        <v>#N/A</v>
      </c>
      <c r="V6087" s="282" t="e">
        <f>+Tabla4[[#This Row],[Comisión Calculada]]*Tabla4[[#This Row],[Total]]</f>
        <v>#N/A</v>
      </c>
    </row>
    <row r="6088" spans="1:22" hidden="1" x14ac:dyDescent="0.25">
      <c r="A6088" s="100">
        <v>45930</v>
      </c>
      <c r="B6088" t="str">
        <f t="shared" si="287"/>
        <v>September</v>
      </c>
      <c r="C6088" s="46" t="s">
        <v>280</v>
      </c>
      <c r="F6088" s="366" t="s">
        <v>3117</v>
      </c>
      <c r="G6088" s="46" t="s">
        <v>18</v>
      </c>
      <c r="H6088" s="46">
        <v>1</v>
      </c>
      <c r="I6088" s="51">
        <v>5367.65</v>
      </c>
      <c r="J6088" s="281">
        <f>++Tabla4[[#This Row],[Precio Bruto]]*1.16</f>
        <v>6226.4739999999993</v>
      </c>
      <c r="K6088" s="281">
        <f>+Tabla4[[#This Row],[Precio Unitario Neto]]*Tabla4[[#Headers],[20.85%]]</f>
        <v>1298.2198289999999</v>
      </c>
      <c r="L6088" s="282">
        <f>++Tabla4[[#This Row],[Precio Unitario Neto]]-Tabla4[[#This Row],[20.85%]]</f>
        <v>4928.2541709999996</v>
      </c>
      <c r="M6088" s="282" t="e">
        <f>(INDEX(Tabla6[#All],MATCH(Tabla4[[#This Row],[Producto]],Tabla6[[#All],[PRODUCTO]],0),MATCH(Tabla4[[#This Row],[Mes]],Tabla6[#Headers],0)))*(1+Catalogos!$L$2)</f>
        <v>#N/A</v>
      </c>
      <c r="N6088" s="283" t="e">
        <f>+(Tabla4[[#This Row],[Precio Descontado]]-Tabla4[[#This Row],[Precio Base]])*Tabla4[[#This Row],[Cantidad]]</f>
        <v>#N/A</v>
      </c>
      <c r="O6088" s="284" t="e">
        <f>++Tabla4[[#This Row],[Utilidad Total]]/Tabla4[[#This Row],[Total]]</f>
        <v>#N/A</v>
      </c>
      <c r="P6088" s="282">
        <f>++Tabla4[[#This Row],[Precio Descontado]]*Tabla4[[#This Row],[Cantidad]]</f>
        <v>4928.2541709999996</v>
      </c>
      <c r="Q6088" s="282" t="e">
        <f>(INDEX(Tabla6[#All],MATCH(Tabla4[[#This Row],[Producto]],Tabla6[[#All],[PRODUCTO]],0),MATCH(Tabla4[[#This Row],[Mes]],Tabla6[#Headers],0)))</f>
        <v>#N/A</v>
      </c>
      <c r="R6088" s="282" t="e">
        <f>++Tabla4[[#This Row],[Precio Unitario Neto]]-Tabla4[[#This Row],[20.85%]]-Tabla4[[#This Row],[Costo]]</f>
        <v>#N/A</v>
      </c>
      <c r="S6088" s="282" t="e">
        <f>++Tabla4[[#This Row],[U. Bruta Uni]]*Tabla4[[#This Row],[Cantidad]]</f>
        <v>#N/A</v>
      </c>
      <c r="T6088" s="369" t="str">
        <f>VLOOKUP(Tabla4[[#This Row],[Producto]],Tabla6[#All],14,FALSE)</f>
        <v>Termico Solar</v>
      </c>
      <c r="U6088" s="284" t="e">
        <f>(IF(Tabla4[[#This Row],[Familia]]="termico solar",Tabla4[[#This Row],[Utilidad Total]]*6%,Tabla4[[#This Row],[Utilidad Total]]*11.5%))/Tabla4[[#This Row],[Total]]</f>
        <v>#N/A</v>
      </c>
      <c r="V6088" s="282" t="e">
        <f>+Tabla4[[#This Row],[Comisión Calculada]]*Tabla4[[#This Row],[Total]]</f>
        <v>#N/A</v>
      </c>
    </row>
    <row r="6089" spans="1:22" hidden="1" x14ac:dyDescent="0.25">
      <c r="A6089" s="100">
        <v>45930</v>
      </c>
      <c r="B6089" t="str">
        <f t="shared" si="287"/>
        <v>September</v>
      </c>
      <c r="C6089" s="46" t="s">
        <v>280</v>
      </c>
      <c r="F6089" s="366" t="s">
        <v>3117</v>
      </c>
      <c r="G6089" s="46" t="s">
        <v>566</v>
      </c>
      <c r="H6089" s="46">
        <v>1</v>
      </c>
      <c r="I6089" s="51">
        <v>2109.4499999999998</v>
      </c>
      <c r="J6089" s="281">
        <f>++Tabla4[[#This Row],[Precio Bruto]]*1.16</f>
        <v>2446.9619999999995</v>
      </c>
      <c r="K6089" s="281">
        <f>+Tabla4[[#This Row],[Precio Unitario Neto]]*Tabla4[[#Headers],[20.85%]]</f>
        <v>510.19157699999988</v>
      </c>
      <c r="L6089" s="282">
        <f>++Tabla4[[#This Row],[Precio Unitario Neto]]-Tabla4[[#This Row],[20.85%]]</f>
        <v>1936.7704229999997</v>
      </c>
      <c r="M6089" s="282" t="e">
        <f>(INDEX(Tabla6[#All],MATCH(Tabla4[[#This Row],[Producto]],Tabla6[[#All],[PRODUCTO]],0),MATCH(Tabla4[[#This Row],[Mes]],Tabla6[#Headers],0)))*(1+Catalogos!$L$2)</f>
        <v>#N/A</v>
      </c>
      <c r="N6089" s="283" t="e">
        <f>+(Tabla4[[#This Row],[Precio Descontado]]-Tabla4[[#This Row],[Precio Base]])*Tabla4[[#This Row],[Cantidad]]</f>
        <v>#N/A</v>
      </c>
      <c r="O6089" s="284" t="e">
        <f>++Tabla4[[#This Row],[Utilidad Total]]/Tabla4[[#This Row],[Total]]</f>
        <v>#N/A</v>
      </c>
      <c r="P6089" s="282">
        <f>++Tabla4[[#This Row],[Precio Descontado]]*Tabla4[[#This Row],[Cantidad]]</f>
        <v>1936.7704229999997</v>
      </c>
      <c r="Q6089" s="282" t="e">
        <f>(INDEX(Tabla6[#All],MATCH(Tabla4[[#This Row],[Producto]],Tabla6[[#All],[PRODUCTO]],0),MATCH(Tabla4[[#This Row],[Mes]],Tabla6[#Headers],0)))</f>
        <v>#N/A</v>
      </c>
      <c r="R6089" s="282" t="e">
        <f>++Tabla4[[#This Row],[Precio Unitario Neto]]-Tabla4[[#This Row],[20.85%]]-Tabla4[[#This Row],[Costo]]</f>
        <v>#N/A</v>
      </c>
      <c r="S6089" s="282" t="e">
        <f>++Tabla4[[#This Row],[U. Bruta Uni]]*Tabla4[[#This Row],[Cantidad]]</f>
        <v>#N/A</v>
      </c>
      <c r="T6089" s="369" t="str">
        <f>VLOOKUP(Tabla4[[#This Row],[Producto]],Tabla6[#All],14,FALSE)</f>
        <v>Termico Solar</v>
      </c>
      <c r="U6089" s="284" t="e">
        <f>(IF(Tabla4[[#This Row],[Familia]]="termico solar",Tabla4[[#This Row],[Utilidad Total]]*6%,Tabla4[[#This Row],[Utilidad Total]]*11.5%))/Tabla4[[#This Row],[Total]]</f>
        <v>#N/A</v>
      </c>
      <c r="V6089" s="282" t="e">
        <f>+Tabla4[[#This Row],[Comisión Calculada]]*Tabla4[[#This Row],[Total]]</f>
        <v>#N/A</v>
      </c>
    </row>
    <row r="6090" spans="1:22" hidden="1" x14ac:dyDescent="0.25">
      <c r="A6090" s="100">
        <v>45930</v>
      </c>
      <c r="B6090" t="str">
        <f t="shared" si="287"/>
        <v>September</v>
      </c>
      <c r="C6090" s="46" t="s">
        <v>280</v>
      </c>
      <c r="F6090" s="366" t="s">
        <v>3118</v>
      </c>
      <c r="G6090" s="46" t="s">
        <v>17</v>
      </c>
      <c r="H6090" s="46">
        <v>1</v>
      </c>
      <c r="I6090" s="51">
        <v>4622.28</v>
      </c>
      <c r="J6090" s="281">
        <f>++Tabla4[[#This Row],[Precio Bruto]]*1.16</f>
        <v>5361.8447999999989</v>
      </c>
      <c r="K6090" s="281">
        <f>+Tabla4[[#This Row],[Precio Unitario Neto]]*Tabla4[[#Headers],[20.85%]]</f>
        <v>1117.9446407999997</v>
      </c>
      <c r="L6090" s="282">
        <f>++Tabla4[[#This Row],[Precio Unitario Neto]]-Tabla4[[#This Row],[20.85%]]</f>
        <v>4243.9001591999995</v>
      </c>
      <c r="M6090" s="282" t="e">
        <f>(INDEX(Tabla6[#All],MATCH(Tabla4[[#This Row],[Producto]],Tabla6[[#All],[PRODUCTO]],0),MATCH(Tabla4[[#This Row],[Mes]],Tabla6[#Headers],0)))*(1+Catalogos!$L$2)</f>
        <v>#N/A</v>
      </c>
      <c r="N6090" s="283" t="e">
        <f>+(Tabla4[[#This Row],[Precio Descontado]]-Tabla4[[#This Row],[Precio Base]])*Tabla4[[#This Row],[Cantidad]]</f>
        <v>#N/A</v>
      </c>
      <c r="O6090" s="284" t="e">
        <f>++Tabla4[[#This Row],[Utilidad Total]]/Tabla4[[#This Row],[Total]]</f>
        <v>#N/A</v>
      </c>
      <c r="P6090" s="282">
        <f>++Tabla4[[#This Row],[Precio Descontado]]*Tabla4[[#This Row],[Cantidad]]</f>
        <v>4243.9001591999995</v>
      </c>
      <c r="Q6090" s="282" t="e">
        <f>(INDEX(Tabla6[#All],MATCH(Tabla4[[#This Row],[Producto]],Tabla6[[#All],[PRODUCTO]],0),MATCH(Tabla4[[#This Row],[Mes]],Tabla6[#Headers],0)))</f>
        <v>#N/A</v>
      </c>
      <c r="R6090" s="282" t="e">
        <f>++Tabla4[[#This Row],[Precio Unitario Neto]]-Tabla4[[#This Row],[20.85%]]-Tabla4[[#This Row],[Costo]]</f>
        <v>#N/A</v>
      </c>
      <c r="S6090" s="282" t="e">
        <f>++Tabla4[[#This Row],[U. Bruta Uni]]*Tabla4[[#This Row],[Cantidad]]</f>
        <v>#N/A</v>
      </c>
      <c r="T6090" s="369" t="str">
        <f>VLOOKUP(Tabla4[[#This Row],[Producto]],Tabla6[#All],14,FALSE)</f>
        <v>Termico Solar</v>
      </c>
      <c r="U6090" s="284" t="e">
        <f>(IF(Tabla4[[#This Row],[Familia]]="termico solar",Tabla4[[#This Row],[Utilidad Total]]*6%,Tabla4[[#This Row],[Utilidad Total]]*11.5%))/Tabla4[[#This Row],[Total]]</f>
        <v>#N/A</v>
      </c>
      <c r="V6090" s="282" t="e">
        <f>+Tabla4[[#This Row],[Comisión Calculada]]*Tabla4[[#This Row],[Total]]</f>
        <v>#N/A</v>
      </c>
    </row>
    <row r="6091" spans="1:22" hidden="1" x14ac:dyDescent="0.25">
      <c r="A6091" s="100">
        <v>45930</v>
      </c>
      <c r="B6091" t="str">
        <f t="shared" si="287"/>
        <v>September</v>
      </c>
      <c r="C6091" s="46" t="s">
        <v>280</v>
      </c>
      <c r="F6091" s="366" t="s">
        <v>3118</v>
      </c>
      <c r="G6091" s="46" t="s">
        <v>18</v>
      </c>
      <c r="H6091" s="46">
        <v>1</v>
      </c>
      <c r="I6091" s="51">
        <v>5367.65</v>
      </c>
      <c r="J6091" s="281">
        <f>++Tabla4[[#This Row],[Precio Bruto]]*1.16</f>
        <v>6226.4739999999993</v>
      </c>
      <c r="K6091" s="281">
        <f>+Tabla4[[#This Row],[Precio Unitario Neto]]*Tabla4[[#Headers],[20.85%]]</f>
        <v>1298.2198289999999</v>
      </c>
      <c r="L6091" s="282">
        <f>++Tabla4[[#This Row],[Precio Unitario Neto]]-Tabla4[[#This Row],[20.85%]]</f>
        <v>4928.2541709999996</v>
      </c>
      <c r="M6091" s="282" t="e">
        <f>(INDEX(Tabla6[#All],MATCH(Tabla4[[#This Row],[Producto]],Tabla6[[#All],[PRODUCTO]],0),MATCH(Tabla4[[#This Row],[Mes]],Tabla6[#Headers],0)))*(1+Catalogos!$L$2)</f>
        <v>#N/A</v>
      </c>
      <c r="N6091" s="283" t="e">
        <f>+(Tabla4[[#This Row],[Precio Descontado]]-Tabla4[[#This Row],[Precio Base]])*Tabla4[[#This Row],[Cantidad]]</f>
        <v>#N/A</v>
      </c>
      <c r="O6091" s="284" t="e">
        <f>++Tabla4[[#This Row],[Utilidad Total]]/Tabla4[[#This Row],[Total]]</f>
        <v>#N/A</v>
      </c>
      <c r="P6091" s="282">
        <f>++Tabla4[[#This Row],[Precio Descontado]]*Tabla4[[#This Row],[Cantidad]]</f>
        <v>4928.2541709999996</v>
      </c>
      <c r="Q6091" s="282" t="e">
        <f>(INDEX(Tabla6[#All],MATCH(Tabla4[[#This Row],[Producto]],Tabla6[[#All],[PRODUCTO]],0),MATCH(Tabla4[[#This Row],[Mes]],Tabla6[#Headers],0)))</f>
        <v>#N/A</v>
      </c>
      <c r="R6091" s="282" t="e">
        <f>++Tabla4[[#This Row],[Precio Unitario Neto]]-Tabla4[[#This Row],[20.85%]]-Tabla4[[#This Row],[Costo]]</f>
        <v>#N/A</v>
      </c>
      <c r="S6091" s="282" t="e">
        <f>++Tabla4[[#This Row],[U. Bruta Uni]]*Tabla4[[#This Row],[Cantidad]]</f>
        <v>#N/A</v>
      </c>
      <c r="T6091" s="369" t="str">
        <f>VLOOKUP(Tabla4[[#This Row],[Producto]],Tabla6[#All],14,FALSE)</f>
        <v>Termico Solar</v>
      </c>
      <c r="U6091" s="284" t="e">
        <f>(IF(Tabla4[[#This Row],[Familia]]="termico solar",Tabla4[[#This Row],[Utilidad Total]]*6%,Tabla4[[#This Row],[Utilidad Total]]*11.5%))/Tabla4[[#This Row],[Total]]</f>
        <v>#N/A</v>
      </c>
      <c r="V6091" s="282" t="e">
        <f>+Tabla4[[#This Row],[Comisión Calculada]]*Tabla4[[#This Row],[Total]]</f>
        <v>#N/A</v>
      </c>
    </row>
    <row r="6092" spans="1:22" hidden="1" x14ac:dyDescent="0.25">
      <c r="A6092" s="100">
        <v>45930</v>
      </c>
      <c r="B6092" t="str">
        <f t="shared" si="287"/>
        <v>September</v>
      </c>
      <c r="C6092" s="46" t="s">
        <v>280</v>
      </c>
      <c r="F6092" s="366" t="s">
        <v>3118</v>
      </c>
      <c r="G6092" s="46" t="s">
        <v>16</v>
      </c>
      <c r="H6092" s="46">
        <v>1</v>
      </c>
      <c r="I6092" s="51">
        <v>4103.8500000000004</v>
      </c>
      <c r="J6092" s="281">
        <f>++Tabla4[[#This Row],[Precio Bruto]]*1.16</f>
        <v>4760.4660000000003</v>
      </c>
      <c r="K6092" s="281">
        <f>+Tabla4[[#This Row],[Precio Unitario Neto]]*Tabla4[[#Headers],[20.85%]]</f>
        <v>992.55716100000006</v>
      </c>
      <c r="L6092" s="282">
        <f>++Tabla4[[#This Row],[Precio Unitario Neto]]-Tabla4[[#This Row],[20.85%]]</f>
        <v>3767.9088390000002</v>
      </c>
      <c r="M6092" s="282" t="e">
        <f>(INDEX(Tabla6[#All],MATCH(Tabla4[[#This Row],[Producto]],Tabla6[[#All],[PRODUCTO]],0),MATCH(Tabla4[[#This Row],[Mes]],Tabla6[#Headers],0)))*(1+Catalogos!$L$2)</f>
        <v>#N/A</v>
      </c>
      <c r="N6092" s="283" t="e">
        <f>+(Tabla4[[#This Row],[Precio Descontado]]-Tabla4[[#This Row],[Precio Base]])*Tabla4[[#This Row],[Cantidad]]</f>
        <v>#N/A</v>
      </c>
      <c r="O6092" s="284" t="e">
        <f>++Tabla4[[#This Row],[Utilidad Total]]/Tabla4[[#This Row],[Total]]</f>
        <v>#N/A</v>
      </c>
      <c r="P6092" s="282">
        <f>++Tabla4[[#This Row],[Precio Descontado]]*Tabla4[[#This Row],[Cantidad]]</f>
        <v>3767.9088390000002</v>
      </c>
      <c r="Q6092" s="282" t="e">
        <f>(INDEX(Tabla6[#All],MATCH(Tabla4[[#This Row],[Producto]],Tabla6[[#All],[PRODUCTO]],0),MATCH(Tabla4[[#This Row],[Mes]],Tabla6[#Headers],0)))</f>
        <v>#N/A</v>
      </c>
      <c r="R6092" s="282" t="e">
        <f>++Tabla4[[#This Row],[Precio Unitario Neto]]-Tabla4[[#This Row],[20.85%]]-Tabla4[[#This Row],[Costo]]</f>
        <v>#N/A</v>
      </c>
      <c r="S6092" s="282" t="e">
        <f>++Tabla4[[#This Row],[U. Bruta Uni]]*Tabla4[[#This Row],[Cantidad]]</f>
        <v>#N/A</v>
      </c>
      <c r="T6092" s="369" t="str">
        <f>VLOOKUP(Tabla4[[#This Row],[Producto]],Tabla6[#All],14,FALSE)</f>
        <v>Termico Solar</v>
      </c>
      <c r="U6092" s="284" t="e">
        <f>(IF(Tabla4[[#This Row],[Familia]]="termico solar",Tabla4[[#This Row],[Utilidad Total]]*6%,Tabla4[[#This Row],[Utilidad Total]]*11.5%))/Tabla4[[#This Row],[Total]]</f>
        <v>#N/A</v>
      </c>
      <c r="V6092" s="282" t="e">
        <f>+Tabla4[[#This Row],[Comisión Calculada]]*Tabla4[[#This Row],[Total]]</f>
        <v>#N/A</v>
      </c>
    </row>
    <row r="6093" spans="1:22" hidden="1" x14ac:dyDescent="0.25">
      <c r="A6093" s="100">
        <v>45930</v>
      </c>
      <c r="B6093" t="str">
        <f t="shared" si="287"/>
        <v>September</v>
      </c>
      <c r="C6093" s="46" t="s">
        <v>280</v>
      </c>
      <c r="F6093" s="366" t="s">
        <v>3118</v>
      </c>
      <c r="G6093" s="46" t="s">
        <v>208</v>
      </c>
      <c r="H6093" s="46">
        <v>2</v>
      </c>
      <c r="I6093" s="51">
        <v>189.75</v>
      </c>
      <c r="J6093" s="281">
        <f>++Tabla4[[#This Row],[Precio Bruto]]*1.16</f>
        <v>220.10999999999999</v>
      </c>
      <c r="K6093" s="281">
        <f>+Tabla4[[#This Row],[Precio Unitario Neto]]*Tabla4[[#Headers],[20.85%]]</f>
        <v>45.892934999999994</v>
      </c>
      <c r="L6093" s="282">
        <f>++Tabla4[[#This Row],[Precio Unitario Neto]]-Tabla4[[#This Row],[20.85%]]</f>
        <v>174.21706499999999</v>
      </c>
      <c r="M6093" s="282" t="e">
        <f>(INDEX(Tabla6[#All],MATCH(Tabla4[[#This Row],[Producto]],Tabla6[[#All],[PRODUCTO]],0),MATCH(Tabla4[[#This Row],[Mes]],Tabla6[#Headers],0)))*(1+Catalogos!$L$2)</f>
        <v>#N/A</v>
      </c>
      <c r="N6093" s="283" t="e">
        <f>+(Tabla4[[#This Row],[Precio Descontado]]-Tabla4[[#This Row],[Precio Base]])*Tabla4[[#This Row],[Cantidad]]</f>
        <v>#N/A</v>
      </c>
      <c r="O6093" s="284" t="e">
        <f>++Tabla4[[#This Row],[Utilidad Total]]/Tabla4[[#This Row],[Total]]</f>
        <v>#N/A</v>
      </c>
      <c r="P6093" s="282">
        <f>++Tabla4[[#This Row],[Precio Descontado]]*Tabla4[[#This Row],[Cantidad]]</f>
        <v>348.43412999999998</v>
      </c>
      <c r="Q6093" s="282" t="e">
        <f>(INDEX(Tabla6[#All],MATCH(Tabla4[[#This Row],[Producto]],Tabla6[[#All],[PRODUCTO]],0),MATCH(Tabla4[[#This Row],[Mes]],Tabla6[#Headers],0)))</f>
        <v>#N/A</v>
      </c>
      <c r="R6093" s="282" t="e">
        <f>++Tabla4[[#This Row],[Precio Unitario Neto]]-Tabla4[[#This Row],[20.85%]]-Tabla4[[#This Row],[Costo]]</f>
        <v>#N/A</v>
      </c>
      <c r="S6093" s="282" t="e">
        <f>++Tabla4[[#This Row],[U. Bruta Uni]]*Tabla4[[#This Row],[Cantidad]]</f>
        <v>#N/A</v>
      </c>
      <c r="T6093" s="369" t="str">
        <f>VLOOKUP(Tabla4[[#This Row],[Producto]],Tabla6[#All],14,FALSE)</f>
        <v>Termico Solar</v>
      </c>
      <c r="U6093" s="284" t="e">
        <f>(IF(Tabla4[[#This Row],[Familia]]="termico solar",Tabla4[[#This Row],[Utilidad Total]]*6%,Tabla4[[#This Row],[Utilidad Total]]*11.5%))/Tabla4[[#This Row],[Total]]</f>
        <v>#N/A</v>
      </c>
      <c r="V6093" s="282" t="e">
        <f>+Tabla4[[#This Row],[Comisión Calculada]]*Tabla4[[#This Row],[Total]]</f>
        <v>#N/A</v>
      </c>
    </row>
    <row r="6094" spans="1:22" hidden="1" x14ac:dyDescent="0.25">
      <c r="A6094" s="100">
        <v>45930</v>
      </c>
      <c r="B6094" t="str">
        <f t="shared" si="287"/>
        <v>September</v>
      </c>
      <c r="C6094" s="46" t="s">
        <v>280</v>
      </c>
      <c r="F6094" s="366" t="s">
        <v>3119</v>
      </c>
      <c r="G6094" s="46" t="s">
        <v>18</v>
      </c>
      <c r="H6094" s="46">
        <v>1</v>
      </c>
      <c r="I6094" s="51">
        <v>5367.65</v>
      </c>
      <c r="J6094" s="281">
        <f>++Tabla4[[#This Row],[Precio Bruto]]*1.16</f>
        <v>6226.4739999999993</v>
      </c>
      <c r="K6094" s="281">
        <f>+Tabla4[[#This Row],[Precio Unitario Neto]]*Tabla4[[#Headers],[20.85%]]</f>
        <v>1298.2198289999999</v>
      </c>
      <c r="L6094" s="282">
        <f>++Tabla4[[#This Row],[Precio Unitario Neto]]-Tabla4[[#This Row],[20.85%]]</f>
        <v>4928.2541709999996</v>
      </c>
      <c r="M6094" s="282" t="e">
        <f>(INDEX(Tabla6[#All],MATCH(Tabla4[[#This Row],[Producto]],Tabla6[[#All],[PRODUCTO]],0),MATCH(Tabla4[[#This Row],[Mes]],Tabla6[#Headers],0)))*(1+Catalogos!$L$2)</f>
        <v>#N/A</v>
      </c>
      <c r="N6094" s="283" t="e">
        <f>+(Tabla4[[#This Row],[Precio Descontado]]-Tabla4[[#This Row],[Precio Base]])*Tabla4[[#This Row],[Cantidad]]</f>
        <v>#N/A</v>
      </c>
      <c r="O6094" s="284" t="e">
        <f>++Tabla4[[#This Row],[Utilidad Total]]/Tabla4[[#This Row],[Total]]</f>
        <v>#N/A</v>
      </c>
      <c r="P6094" s="282">
        <f>++Tabla4[[#This Row],[Precio Descontado]]*Tabla4[[#This Row],[Cantidad]]</f>
        <v>4928.2541709999996</v>
      </c>
      <c r="Q6094" s="282" t="e">
        <f>(INDEX(Tabla6[#All],MATCH(Tabla4[[#This Row],[Producto]],Tabla6[[#All],[PRODUCTO]],0),MATCH(Tabla4[[#This Row],[Mes]],Tabla6[#Headers],0)))</f>
        <v>#N/A</v>
      </c>
      <c r="R6094" s="282" t="e">
        <f>++Tabla4[[#This Row],[Precio Unitario Neto]]-Tabla4[[#This Row],[20.85%]]-Tabla4[[#This Row],[Costo]]</f>
        <v>#N/A</v>
      </c>
      <c r="S6094" s="282" t="e">
        <f>++Tabla4[[#This Row],[U. Bruta Uni]]*Tabla4[[#This Row],[Cantidad]]</f>
        <v>#N/A</v>
      </c>
      <c r="T6094" s="369" t="str">
        <f>VLOOKUP(Tabla4[[#This Row],[Producto]],Tabla6[#All],14,FALSE)</f>
        <v>Termico Solar</v>
      </c>
      <c r="U6094" s="284" t="e">
        <f>(IF(Tabla4[[#This Row],[Familia]]="termico solar",Tabla4[[#This Row],[Utilidad Total]]*6%,Tabla4[[#This Row],[Utilidad Total]]*11.5%))/Tabla4[[#This Row],[Total]]</f>
        <v>#N/A</v>
      </c>
      <c r="V6094" s="282" t="e">
        <f>+Tabla4[[#This Row],[Comisión Calculada]]*Tabla4[[#This Row],[Total]]</f>
        <v>#N/A</v>
      </c>
    </row>
    <row r="6095" spans="1:22" hidden="1" x14ac:dyDescent="0.25">
      <c r="A6095" s="100">
        <v>45930</v>
      </c>
      <c r="B6095" t="str">
        <f t="shared" si="287"/>
        <v>September</v>
      </c>
      <c r="C6095" s="46" t="s">
        <v>280</v>
      </c>
      <c r="F6095" s="366" t="s">
        <v>3119</v>
      </c>
      <c r="G6095" s="46" t="s">
        <v>16</v>
      </c>
      <c r="H6095" s="46">
        <v>2</v>
      </c>
      <c r="I6095" s="51">
        <v>4103.8500000000004</v>
      </c>
      <c r="J6095" s="281">
        <f>++Tabla4[[#This Row],[Precio Bruto]]*1.16</f>
        <v>4760.4660000000003</v>
      </c>
      <c r="K6095" s="281">
        <f>+Tabla4[[#This Row],[Precio Unitario Neto]]*Tabla4[[#Headers],[20.85%]]</f>
        <v>992.55716100000006</v>
      </c>
      <c r="L6095" s="282">
        <f>++Tabla4[[#This Row],[Precio Unitario Neto]]-Tabla4[[#This Row],[20.85%]]</f>
        <v>3767.9088390000002</v>
      </c>
      <c r="M6095" s="282" t="e">
        <f>(INDEX(Tabla6[#All],MATCH(Tabla4[[#This Row],[Producto]],Tabla6[[#All],[PRODUCTO]],0),MATCH(Tabla4[[#This Row],[Mes]],Tabla6[#Headers],0)))*(1+Catalogos!$L$2)</f>
        <v>#N/A</v>
      </c>
      <c r="N6095" s="283" t="e">
        <f>+(Tabla4[[#This Row],[Precio Descontado]]-Tabla4[[#This Row],[Precio Base]])*Tabla4[[#This Row],[Cantidad]]</f>
        <v>#N/A</v>
      </c>
      <c r="O6095" s="284" t="e">
        <f>++Tabla4[[#This Row],[Utilidad Total]]/Tabla4[[#This Row],[Total]]</f>
        <v>#N/A</v>
      </c>
      <c r="P6095" s="282">
        <f>++Tabla4[[#This Row],[Precio Descontado]]*Tabla4[[#This Row],[Cantidad]]</f>
        <v>7535.8176780000003</v>
      </c>
      <c r="Q6095" s="282" t="e">
        <f>(INDEX(Tabla6[#All],MATCH(Tabla4[[#This Row],[Producto]],Tabla6[[#All],[PRODUCTO]],0),MATCH(Tabla4[[#This Row],[Mes]],Tabla6[#Headers],0)))</f>
        <v>#N/A</v>
      </c>
      <c r="R6095" s="282" t="e">
        <f>++Tabla4[[#This Row],[Precio Unitario Neto]]-Tabla4[[#This Row],[20.85%]]-Tabla4[[#This Row],[Costo]]</f>
        <v>#N/A</v>
      </c>
      <c r="S6095" s="282" t="e">
        <f>++Tabla4[[#This Row],[U. Bruta Uni]]*Tabla4[[#This Row],[Cantidad]]</f>
        <v>#N/A</v>
      </c>
      <c r="T6095" s="369" t="str">
        <f>VLOOKUP(Tabla4[[#This Row],[Producto]],Tabla6[#All],14,FALSE)</f>
        <v>Termico Solar</v>
      </c>
      <c r="U6095" s="284" t="e">
        <f>(IF(Tabla4[[#This Row],[Familia]]="termico solar",Tabla4[[#This Row],[Utilidad Total]]*6%,Tabla4[[#This Row],[Utilidad Total]]*11.5%))/Tabla4[[#This Row],[Total]]</f>
        <v>#N/A</v>
      </c>
      <c r="V6095" s="282" t="e">
        <f>+Tabla4[[#This Row],[Comisión Calculada]]*Tabla4[[#This Row],[Total]]</f>
        <v>#N/A</v>
      </c>
    </row>
    <row r="6096" spans="1:22" hidden="1" x14ac:dyDescent="0.25">
      <c r="A6096" s="100">
        <v>45930</v>
      </c>
      <c r="B6096" t="str">
        <f t="shared" si="287"/>
        <v>September</v>
      </c>
      <c r="C6096" s="46" t="s">
        <v>280</v>
      </c>
      <c r="F6096" s="366" t="s">
        <v>3120</v>
      </c>
      <c r="G6096" s="46" t="s">
        <v>83</v>
      </c>
      <c r="H6096" s="46">
        <v>2</v>
      </c>
      <c r="I6096" s="51">
        <v>8858.76</v>
      </c>
      <c r="J6096" s="281">
        <f>++Tabla4[[#This Row],[Precio Bruto]]*1.16</f>
        <v>10276.161599999999</v>
      </c>
      <c r="K6096" s="281">
        <f>+Tabla4[[#This Row],[Precio Unitario Neto]]*Tabla4[[#Headers],[20.85%]]</f>
        <v>2142.5796935999997</v>
      </c>
      <c r="L6096" s="282">
        <f>++Tabla4[[#This Row],[Precio Unitario Neto]]-Tabla4[[#This Row],[20.85%]]</f>
        <v>8133.5819063999998</v>
      </c>
      <c r="M6096" s="282" t="e">
        <f>(INDEX(Tabla6[#All],MATCH(Tabla4[[#This Row],[Producto]],Tabla6[[#All],[PRODUCTO]],0),MATCH(Tabla4[[#This Row],[Mes]],Tabla6[#Headers],0)))*(1+Catalogos!$L$2)</f>
        <v>#N/A</v>
      </c>
      <c r="N6096" s="283" t="e">
        <f>+(Tabla4[[#This Row],[Precio Descontado]]-Tabla4[[#This Row],[Precio Base]])*Tabla4[[#This Row],[Cantidad]]</f>
        <v>#N/A</v>
      </c>
      <c r="O6096" s="284" t="e">
        <f>++Tabla4[[#This Row],[Utilidad Total]]/Tabla4[[#This Row],[Total]]</f>
        <v>#N/A</v>
      </c>
      <c r="P6096" s="282">
        <f>++Tabla4[[#This Row],[Precio Descontado]]*Tabla4[[#This Row],[Cantidad]]</f>
        <v>16267.1638128</v>
      </c>
      <c r="Q6096" s="282" t="e">
        <f>(INDEX(Tabla6[#All],MATCH(Tabla4[[#This Row],[Producto]],Tabla6[[#All],[PRODUCTO]],0),MATCH(Tabla4[[#This Row],[Mes]],Tabla6[#Headers],0)))</f>
        <v>#N/A</v>
      </c>
      <c r="R6096" s="282" t="e">
        <f>++Tabla4[[#This Row],[Precio Unitario Neto]]-Tabla4[[#This Row],[20.85%]]-Tabla4[[#This Row],[Costo]]</f>
        <v>#N/A</v>
      </c>
      <c r="S6096" s="282" t="e">
        <f>++Tabla4[[#This Row],[U. Bruta Uni]]*Tabla4[[#This Row],[Cantidad]]</f>
        <v>#N/A</v>
      </c>
      <c r="T6096" s="369" t="str">
        <f>VLOOKUP(Tabla4[[#This Row],[Producto]],Tabla6[#All],14,FALSE)</f>
        <v>Termico Solar</v>
      </c>
      <c r="U6096" s="284" t="e">
        <f>(IF(Tabla4[[#This Row],[Familia]]="termico solar",Tabla4[[#This Row],[Utilidad Total]]*6%,Tabla4[[#This Row],[Utilidad Total]]*11.5%))/Tabla4[[#This Row],[Total]]</f>
        <v>#N/A</v>
      </c>
      <c r="V6096" s="282" t="e">
        <f>+Tabla4[[#This Row],[Comisión Calculada]]*Tabla4[[#This Row],[Total]]</f>
        <v>#N/A</v>
      </c>
    </row>
    <row r="6097" spans="1:22" hidden="1" x14ac:dyDescent="0.25">
      <c r="A6097" s="100">
        <v>45930</v>
      </c>
      <c r="B6097" t="str">
        <f t="shared" si="287"/>
        <v>September</v>
      </c>
      <c r="C6097" s="46" t="s">
        <v>280</v>
      </c>
      <c r="F6097" s="366" t="s">
        <v>3120</v>
      </c>
      <c r="G6097" s="46" t="s">
        <v>18</v>
      </c>
      <c r="H6097" s="46">
        <v>2</v>
      </c>
      <c r="I6097" s="51">
        <v>5367.65</v>
      </c>
      <c r="J6097" s="281">
        <f>++Tabla4[[#This Row],[Precio Bruto]]*1.16</f>
        <v>6226.4739999999993</v>
      </c>
      <c r="K6097" s="281">
        <f>+Tabla4[[#This Row],[Precio Unitario Neto]]*Tabla4[[#Headers],[20.85%]]</f>
        <v>1298.2198289999999</v>
      </c>
      <c r="L6097" s="282">
        <f>++Tabla4[[#This Row],[Precio Unitario Neto]]-Tabla4[[#This Row],[20.85%]]</f>
        <v>4928.2541709999996</v>
      </c>
      <c r="M6097" s="282" t="e">
        <f>(INDEX(Tabla6[#All],MATCH(Tabla4[[#This Row],[Producto]],Tabla6[[#All],[PRODUCTO]],0),MATCH(Tabla4[[#This Row],[Mes]],Tabla6[#Headers],0)))*(1+Catalogos!$L$2)</f>
        <v>#N/A</v>
      </c>
      <c r="N6097" s="283" t="e">
        <f>+(Tabla4[[#This Row],[Precio Descontado]]-Tabla4[[#This Row],[Precio Base]])*Tabla4[[#This Row],[Cantidad]]</f>
        <v>#N/A</v>
      </c>
      <c r="O6097" s="284" t="e">
        <f>++Tabla4[[#This Row],[Utilidad Total]]/Tabla4[[#This Row],[Total]]</f>
        <v>#N/A</v>
      </c>
      <c r="P6097" s="282">
        <f>++Tabla4[[#This Row],[Precio Descontado]]*Tabla4[[#This Row],[Cantidad]]</f>
        <v>9856.5083419999992</v>
      </c>
      <c r="Q6097" s="282" t="e">
        <f>(INDEX(Tabla6[#All],MATCH(Tabla4[[#This Row],[Producto]],Tabla6[[#All],[PRODUCTO]],0),MATCH(Tabla4[[#This Row],[Mes]],Tabla6[#Headers],0)))</f>
        <v>#N/A</v>
      </c>
      <c r="R6097" s="282" t="e">
        <f>++Tabla4[[#This Row],[Precio Unitario Neto]]-Tabla4[[#This Row],[20.85%]]-Tabla4[[#This Row],[Costo]]</f>
        <v>#N/A</v>
      </c>
      <c r="S6097" s="282" t="e">
        <f>++Tabla4[[#This Row],[U. Bruta Uni]]*Tabla4[[#This Row],[Cantidad]]</f>
        <v>#N/A</v>
      </c>
      <c r="T6097" s="369" t="str">
        <f>VLOOKUP(Tabla4[[#This Row],[Producto]],Tabla6[#All],14,FALSE)</f>
        <v>Termico Solar</v>
      </c>
      <c r="U6097" s="284" t="e">
        <f>(IF(Tabla4[[#This Row],[Familia]]="termico solar",Tabla4[[#This Row],[Utilidad Total]]*6%,Tabla4[[#This Row],[Utilidad Total]]*11.5%))/Tabla4[[#This Row],[Total]]</f>
        <v>#N/A</v>
      </c>
      <c r="V6097" s="282" t="e">
        <f>+Tabla4[[#This Row],[Comisión Calculada]]*Tabla4[[#This Row],[Total]]</f>
        <v>#N/A</v>
      </c>
    </row>
    <row r="6098" spans="1:22" hidden="1" x14ac:dyDescent="0.25">
      <c r="A6098" s="100">
        <v>45930</v>
      </c>
      <c r="B6098" t="str">
        <f t="shared" si="287"/>
        <v>September</v>
      </c>
      <c r="C6098" s="46" t="s">
        <v>280</v>
      </c>
      <c r="F6098" s="366" t="s">
        <v>3121</v>
      </c>
      <c r="G6098" s="46" t="s">
        <v>18</v>
      </c>
      <c r="H6098" s="46">
        <v>1</v>
      </c>
      <c r="I6098" s="51">
        <v>5367.65</v>
      </c>
      <c r="J6098" s="281">
        <f>++Tabla4[[#This Row],[Precio Bruto]]*1.16</f>
        <v>6226.4739999999993</v>
      </c>
      <c r="K6098" s="281">
        <f>+Tabla4[[#This Row],[Precio Unitario Neto]]*Tabla4[[#Headers],[20.85%]]</f>
        <v>1298.2198289999999</v>
      </c>
      <c r="L6098" s="282">
        <f>++Tabla4[[#This Row],[Precio Unitario Neto]]-Tabla4[[#This Row],[20.85%]]</f>
        <v>4928.2541709999996</v>
      </c>
      <c r="M6098" s="282" t="e">
        <f>(INDEX(Tabla6[#All],MATCH(Tabla4[[#This Row],[Producto]],Tabla6[[#All],[PRODUCTO]],0),MATCH(Tabla4[[#This Row],[Mes]],Tabla6[#Headers],0)))*(1+Catalogos!$L$2)</f>
        <v>#N/A</v>
      </c>
      <c r="N6098" s="283" t="e">
        <f>+(Tabla4[[#This Row],[Precio Descontado]]-Tabla4[[#This Row],[Precio Base]])*Tabla4[[#This Row],[Cantidad]]</f>
        <v>#N/A</v>
      </c>
      <c r="O6098" s="284" t="e">
        <f>++Tabla4[[#This Row],[Utilidad Total]]/Tabla4[[#This Row],[Total]]</f>
        <v>#N/A</v>
      </c>
      <c r="P6098" s="282">
        <f>++Tabla4[[#This Row],[Precio Descontado]]*Tabla4[[#This Row],[Cantidad]]</f>
        <v>4928.2541709999996</v>
      </c>
      <c r="Q6098" s="282" t="e">
        <f>(INDEX(Tabla6[#All],MATCH(Tabla4[[#This Row],[Producto]],Tabla6[[#All],[PRODUCTO]],0),MATCH(Tabla4[[#This Row],[Mes]],Tabla6[#Headers],0)))</f>
        <v>#N/A</v>
      </c>
      <c r="R6098" s="282" t="e">
        <f>++Tabla4[[#This Row],[Precio Unitario Neto]]-Tabla4[[#This Row],[20.85%]]-Tabla4[[#This Row],[Costo]]</f>
        <v>#N/A</v>
      </c>
      <c r="S6098" s="282" t="e">
        <f>++Tabla4[[#This Row],[U. Bruta Uni]]*Tabla4[[#This Row],[Cantidad]]</f>
        <v>#N/A</v>
      </c>
      <c r="T6098" s="369" t="str">
        <f>VLOOKUP(Tabla4[[#This Row],[Producto]],Tabla6[#All],14,FALSE)</f>
        <v>Termico Solar</v>
      </c>
      <c r="U6098" s="284" t="e">
        <f>(IF(Tabla4[[#This Row],[Familia]]="termico solar",Tabla4[[#This Row],[Utilidad Total]]*6%,Tabla4[[#This Row],[Utilidad Total]]*11.5%))/Tabla4[[#This Row],[Total]]</f>
        <v>#N/A</v>
      </c>
      <c r="V6098" s="282" t="e">
        <f>+Tabla4[[#This Row],[Comisión Calculada]]*Tabla4[[#This Row],[Total]]</f>
        <v>#N/A</v>
      </c>
    </row>
    <row r="6099" spans="1:22" hidden="1" x14ac:dyDescent="0.25">
      <c r="A6099" s="100">
        <v>45930</v>
      </c>
      <c r="B6099" t="str">
        <f t="shared" ref="B6099:B6104" si="288">TEXT(A6099, "mmmm")</f>
        <v>September</v>
      </c>
      <c r="C6099" s="46" t="s">
        <v>280</v>
      </c>
      <c r="F6099" s="366" t="s">
        <v>3122</v>
      </c>
      <c r="G6099" s="46" t="s">
        <v>17</v>
      </c>
      <c r="H6099" s="46">
        <v>3</v>
      </c>
      <c r="I6099" s="51">
        <v>4622.28</v>
      </c>
      <c r="J6099" s="281">
        <f>++Tabla4[[#This Row],[Precio Bruto]]*1.16</f>
        <v>5361.8447999999989</v>
      </c>
      <c r="K6099" s="281">
        <f>+Tabla4[[#This Row],[Precio Unitario Neto]]*Tabla4[[#Headers],[20.85%]]</f>
        <v>1117.9446407999997</v>
      </c>
      <c r="L6099" s="282">
        <f>++Tabla4[[#This Row],[Precio Unitario Neto]]-Tabla4[[#This Row],[20.85%]]</f>
        <v>4243.9001591999995</v>
      </c>
      <c r="M6099" s="282" t="e">
        <f>(INDEX(Tabla6[#All],MATCH(Tabla4[[#This Row],[Producto]],Tabla6[[#All],[PRODUCTO]],0),MATCH(Tabla4[[#This Row],[Mes]],Tabla6[#Headers],0)))*(1+Catalogos!$L$2)</f>
        <v>#N/A</v>
      </c>
      <c r="N6099" s="283" t="e">
        <f>+(Tabla4[[#This Row],[Precio Descontado]]-Tabla4[[#This Row],[Precio Base]])*Tabla4[[#This Row],[Cantidad]]</f>
        <v>#N/A</v>
      </c>
      <c r="O6099" s="284" t="e">
        <f>++Tabla4[[#This Row],[Utilidad Total]]/Tabla4[[#This Row],[Total]]</f>
        <v>#N/A</v>
      </c>
      <c r="P6099" s="282">
        <f>++Tabla4[[#This Row],[Precio Descontado]]*Tabla4[[#This Row],[Cantidad]]</f>
        <v>12731.700477599999</v>
      </c>
      <c r="Q6099" s="282" t="e">
        <f>(INDEX(Tabla6[#All],MATCH(Tabla4[[#This Row],[Producto]],Tabla6[[#All],[PRODUCTO]],0),MATCH(Tabla4[[#This Row],[Mes]],Tabla6[#Headers],0)))</f>
        <v>#N/A</v>
      </c>
      <c r="R6099" s="282" t="e">
        <f>++Tabla4[[#This Row],[Precio Unitario Neto]]-Tabla4[[#This Row],[20.85%]]-Tabla4[[#This Row],[Costo]]</f>
        <v>#N/A</v>
      </c>
      <c r="S6099" s="282" t="e">
        <f>++Tabla4[[#This Row],[U. Bruta Uni]]*Tabla4[[#This Row],[Cantidad]]</f>
        <v>#N/A</v>
      </c>
      <c r="T6099" s="369" t="str">
        <f>VLOOKUP(Tabla4[[#This Row],[Producto]],Tabla6[#All],14,FALSE)</f>
        <v>Termico Solar</v>
      </c>
      <c r="U6099" s="284" t="e">
        <f>(IF(Tabla4[[#This Row],[Familia]]="termico solar",Tabla4[[#This Row],[Utilidad Total]]*6%,Tabla4[[#This Row],[Utilidad Total]]*11.5%))/Tabla4[[#This Row],[Total]]</f>
        <v>#N/A</v>
      </c>
      <c r="V6099" s="282" t="e">
        <f>+Tabla4[[#This Row],[Comisión Calculada]]*Tabla4[[#This Row],[Total]]</f>
        <v>#N/A</v>
      </c>
    </row>
    <row r="6100" spans="1:22" hidden="1" x14ac:dyDescent="0.25">
      <c r="A6100" s="100">
        <v>45930</v>
      </c>
      <c r="B6100" t="str">
        <f t="shared" si="288"/>
        <v>September</v>
      </c>
      <c r="C6100" s="46" t="s">
        <v>280</v>
      </c>
      <c r="F6100" s="366" t="s">
        <v>3122</v>
      </c>
      <c r="G6100" s="46" t="s">
        <v>18</v>
      </c>
      <c r="H6100" s="46">
        <v>2</v>
      </c>
      <c r="I6100" s="51">
        <v>5367.65</v>
      </c>
      <c r="J6100" s="281">
        <f>++Tabla4[[#This Row],[Precio Bruto]]*1.16</f>
        <v>6226.4739999999993</v>
      </c>
      <c r="K6100" s="281">
        <f>+Tabla4[[#This Row],[Precio Unitario Neto]]*Tabla4[[#Headers],[20.85%]]</f>
        <v>1298.2198289999999</v>
      </c>
      <c r="L6100" s="282">
        <f>++Tabla4[[#This Row],[Precio Unitario Neto]]-Tabla4[[#This Row],[20.85%]]</f>
        <v>4928.2541709999996</v>
      </c>
      <c r="M6100" s="282" t="e">
        <f>(INDEX(Tabla6[#All],MATCH(Tabla4[[#This Row],[Producto]],Tabla6[[#All],[PRODUCTO]],0),MATCH(Tabla4[[#This Row],[Mes]],Tabla6[#Headers],0)))*(1+Catalogos!$L$2)</f>
        <v>#N/A</v>
      </c>
      <c r="N6100" s="283" t="e">
        <f>+(Tabla4[[#This Row],[Precio Descontado]]-Tabla4[[#This Row],[Precio Base]])*Tabla4[[#This Row],[Cantidad]]</f>
        <v>#N/A</v>
      </c>
      <c r="O6100" s="284" t="e">
        <f>++Tabla4[[#This Row],[Utilidad Total]]/Tabla4[[#This Row],[Total]]</f>
        <v>#N/A</v>
      </c>
      <c r="P6100" s="282">
        <f>++Tabla4[[#This Row],[Precio Descontado]]*Tabla4[[#This Row],[Cantidad]]</f>
        <v>9856.5083419999992</v>
      </c>
      <c r="Q6100" s="282" t="e">
        <f>(INDEX(Tabla6[#All],MATCH(Tabla4[[#This Row],[Producto]],Tabla6[[#All],[PRODUCTO]],0),MATCH(Tabla4[[#This Row],[Mes]],Tabla6[#Headers],0)))</f>
        <v>#N/A</v>
      </c>
      <c r="R6100" s="282" t="e">
        <f>++Tabla4[[#This Row],[Precio Unitario Neto]]-Tabla4[[#This Row],[20.85%]]-Tabla4[[#This Row],[Costo]]</f>
        <v>#N/A</v>
      </c>
      <c r="S6100" s="282" t="e">
        <f>++Tabla4[[#This Row],[U. Bruta Uni]]*Tabla4[[#This Row],[Cantidad]]</f>
        <v>#N/A</v>
      </c>
      <c r="T6100" s="369" t="str">
        <f>VLOOKUP(Tabla4[[#This Row],[Producto]],Tabla6[#All],14,FALSE)</f>
        <v>Termico Solar</v>
      </c>
      <c r="U6100" s="284" t="e">
        <f>(IF(Tabla4[[#This Row],[Familia]]="termico solar",Tabla4[[#This Row],[Utilidad Total]]*6%,Tabla4[[#This Row],[Utilidad Total]]*11.5%))/Tabla4[[#This Row],[Total]]</f>
        <v>#N/A</v>
      </c>
      <c r="V6100" s="282" t="e">
        <f>+Tabla4[[#This Row],[Comisión Calculada]]*Tabla4[[#This Row],[Total]]</f>
        <v>#N/A</v>
      </c>
    </row>
    <row r="6101" spans="1:22" hidden="1" x14ac:dyDescent="0.25">
      <c r="A6101" s="100">
        <v>45930</v>
      </c>
      <c r="B6101" t="str">
        <f t="shared" si="288"/>
        <v>September</v>
      </c>
      <c r="C6101" s="46" t="s">
        <v>280</v>
      </c>
      <c r="F6101" s="366" t="s">
        <v>3122</v>
      </c>
      <c r="G6101" s="46" t="s">
        <v>566</v>
      </c>
      <c r="H6101" s="46">
        <v>1</v>
      </c>
      <c r="I6101" s="51">
        <v>2109.4499999999998</v>
      </c>
      <c r="J6101" s="281">
        <f>++Tabla4[[#This Row],[Precio Bruto]]*1.16</f>
        <v>2446.9619999999995</v>
      </c>
      <c r="K6101" s="281">
        <f>+Tabla4[[#This Row],[Precio Unitario Neto]]*Tabla4[[#Headers],[20.85%]]</f>
        <v>510.19157699999988</v>
      </c>
      <c r="L6101" s="282">
        <f>++Tabla4[[#This Row],[Precio Unitario Neto]]-Tabla4[[#This Row],[20.85%]]</f>
        <v>1936.7704229999997</v>
      </c>
      <c r="M6101" s="282" t="e">
        <f>(INDEX(Tabla6[#All],MATCH(Tabla4[[#This Row],[Producto]],Tabla6[[#All],[PRODUCTO]],0),MATCH(Tabla4[[#This Row],[Mes]],Tabla6[#Headers],0)))*(1+Catalogos!$L$2)</f>
        <v>#N/A</v>
      </c>
      <c r="N6101" s="283" t="e">
        <f>+(Tabla4[[#This Row],[Precio Descontado]]-Tabla4[[#This Row],[Precio Base]])*Tabla4[[#This Row],[Cantidad]]</f>
        <v>#N/A</v>
      </c>
      <c r="O6101" s="284" t="e">
        <f>++Tabla4[[#This Row],[Utilidad Total]]/Tabla4[[#This Row],[Total]]</f>
        <v>#N/A</v>
      </c>
      <c r="P6101" s="282">
        <f>++Tabla4[[#This Row],[Precio Descontado]]*Tabla4[[#This Row],[Cantidad]]</f>
        <v>1936.7704229999997</v>
      </c>
      <c r="Q6101" s="282" t="e">
        <f>(INDEX(Tabla6[#All],MATCH(Tabla4[[#This Row],[Producto]],Tabla6[[#All],[PRODUCTO]],0),MATCH(Tabla4[[#This Row],[Mes]],Tabla6[#Headers],0)))</f>
        <v>#N/A</v>
      </c>
      <c r="R6101" s="282" t="e">
        <f>++Tabla4[[#This Row],[Precio Unitario Neto]]-Tabla4[[#This Row],[20.85%]]-Tabla4[[#This Row],[Costo]]</f>
        <v>#N/A</v>
      </c>
      <c r="S6101" s="282" t="e">
        <f>++Tabla4[[#This Row],[U. Bruta Uni]]*Tabla4[[#This Row],[Cantidad]]</f>
        <v>#N/A</v>
      </c>
      <c r="T6101" s="369" t="str">
        <f>VLOOKUP(Tabla4[[#This Row],[Producto]],Tabla6[#All],14,FALSE)</f>
        <v>Termico Solar</v>
      </c>
      <c r="U6101" s="284" t="e">
        <f>(IF(Tabla4[[#This Row],[Familia]]="termico solar",Tabla4[[#This Row],[Utilidad Total]]*6%,Tabla4[[#This Row],[Utilidad Total]]*11.5%))/Tabla4[[#This Row],[Total]]</f>
        <v>#N/A</v>
      </c>
      <c r="V6101" s="282" t="e">
        <f>+Tabla4[[#This Row],[Comisión Calculada]]*Tabla4[[#This Row],[Total]]</f>
        <v>#N/A</v>
      </c>
    </row>
    <row r="6102" spans="1:22" hidden="1" x14ac:dyDescent="0.25">
      <c r="A6102" s="100">
        <v>45930</v>
      </c>
      <c r="B6102" t="str">
        <f t="shared" si="288"/>
        <v>September</v>
      </c>
      <c r="C6102" s="46" t="s">
        <v>280</v>
      </c>
      <c r="F6102" s="366" t="s">
        <v>3122</v>
      </c>
      <c r="G6102" s="46" t="s">
        <v>412</v>
      </c>
      <c r="H6102" s="46">
        <v>1</v>
      </c>
      <c r="I6102" s="51">
        <v>3240.84</v>
      </c>
      <c r="J6102" s="281">
        <f>++Tabla4[[#This Row],[Precio Bruto]]*1.16</f>
        <v>3759.3743999999997</v>
      </c>
      <c r="K6102" s="281">
        <f>+Tabla4[[#This Row],[Precio Unitario Neto]]*Tabla4[[#Headers],[20.85%]]</f>
        <v>783.82956239999987</v>
      </c>
      <c r="L6102" s="282">
        <f>++Tabla4[[#This Row],[Precio Unitario Neto]]-Tabla4[[#This Row],[20.85%]]</f>
        <v>2975.5448375999999</v>
      </c>
      <c r="M6102" s="282" t="e">
        <f>(INDEX(Tabla6[#All],MATCH(Tabla4[[#This Row],[Producto]],Tabla6[[#All],[PRODUCTO]],0),MATCH(Tabla4[[#This Row],[Mes]],Tabla6[#Headers],0)))*(1+Catalogos!$L$2)</f>
        <v>#N/A</v>
      </c>
      <c r="N6102" s="283" t="e">
        <f>+(Tabla4[[#This Row],[Precio Descontado]]-Tabla4[[#This Row],[Precio Base]])*Tabla4[[#This Row],[Cantidad]]</f>
        <v>#N/A</v>
      </c>
      <c r="O6102" s="284" t="e">
        <f>++Tabla4[[#This Row],[Utilidad Total]]/Tabla4[[#This Row],[Total]]</f>
        <v>#N/A</v>
      </c>
      <c r="P6102" s="282">
        <f>++Tabla4[[#This Row],[Precio Descontado]]*Tabla4[[#This Row],[Cantidad]]</f>
        <v>2975.5448375999999</v>
      </c>
      <c r="Q6102" s="282" t="e">
        <f>(INDEX(Tabla6[#All],MATCH(Tabla4[[#This Row],[Producto]],Tabla6[[#All],[PRODUCTO]],0),MATCH(Tabla4[[#This Row],[Mes]],Tabla6[#Headers],0)))</f>
        <v>#N/A</v>
      </c>
      <c r="R6102" s="282" t="e">
        <f>++Tabla4[[#This Row],[Precio Unitario Neto]]-Tabla4[[#This Row],[20.85%]]-Tabla4[[#This Row],[Costo]]</f>
        <v>#N/A</v>
      </c>
      <c r="S6102" s="282" t="e">
        <f>++Tabla4[[#This Row],[U. Bruta Uni]]*Tabla4[[#This Row],[Cantidad]]</f>
        <v>#N/A</v>
      </c>
      <c r="T6102" s="369" t="str">
        <f>VLOOKUP(Tabla4[[#This Row],[Producto]],Tabla6[#All],14,FALSE)</f>
        <v>Termico Solar</v>
      </c>
      <c r="U6102" s="284" t="e">
        <f>(IF(Tabla4[[#This Row],[Familia]]="termico solar",Tabla4[[#This Row],[Utilidad Total]]*6%,Tabla4[[#This Row],[Utilidad Total]]*11.5%))/Tabla4[[#This Row],[Total]]</f>
        <v>#N/A</v>
      </c>
      <c r="V6102" s="282" t="e">
        <f>+Tabla4[[#This Row],[Comisión Calculada]]*Tabla4[[#This Row],[Total]]</f>
        <v>#N/A</v>
      </c>
    </row>
    <row r="6103" spans="1:22" hidden="1" x14ac:dyDescent="0.25">
      <c r="A6103" s="100">
        <v>45930</v>
      </c>
      <c r="B6103" t="str">
        <f t="shared" si="288"/>
        <v>September</v>
      </c>
      <c r="C6103" s="46" t="s">
        <v>280</v>
      </c>
      <c r="F6103" s="366" t="s">
        <v>3122</v>
      </c>
      <c r="G6103" s="46" t="s">
        <v>16</v>
      </c>
      <c r="H6103" s="46">
        <v>2</v>
      </c>
      <c r="I6103" s="51">
        <v>4103.8500000000004</v>
      </c>
      <c r="J6103" s="281">
        <f>++Tabla4[[#This Row],[Precio Bruto]]*1.16</f>
        <v>4760.4660000000003</v>
      </c>
      <c r="K6103" s="281">
        <f>+Tabla4[[#This Row],[Precio Unitario Neto]]*Tabla4[[#Headers],[20.85%]]</f>
        <v>992.55716100000006</v>
      </c>
      <c r="L6103" s="282">
        <f>++Tabla4[[#This Row],[Precio Unitario Neto]]-Tabla4[[#This Row],[20.85%]]</f>
        <v>3767.9088390000002</v>
      </c>
      <c r="M6103" s="282" t="e">
        <f>(INDEX(Tabla6[#All],MATCH(Tabla4[[#This Row],[Producto]],Tabla6[[#All],[PRODUCTO]],0),MATCH(Tabla4[[#This Row],[Mes]],Tabla6[#Headers],0)))*(1+Catalogos!$L$2)</f>
        <v>#N/A</v>
      </c>
      <c r="N6103" s="283" t="e">
        <f>+(Tabla4[[#This Row],[Precio Descontado]]-Tabla4[[#This Row],[Precio Base]])*Tabla4[[#This Row],[Cantidad]]</f>
        <v>#N/A</v>
      </c>
      <c r="O6103" s="284" t="e">
        <f>++Tabla4[[#This Row],[Utilidad Total]]/Tabla4[[#This Row],[Total]]</f>
        <v>#N/A</v>
      </c>
      <c r="P6103" s="282">
        <f>++Tabla4[[#This Row],[Precio Descontado]]*Tabla4[[#This Row],[Cantidad]]</f>
        <v>7535.8176780000003</v>
      </c>
      <c r="Q6103" s="282" t="e">
        <f>(INDEX(Tabla6[#All],MATCH(Tabla4[[#This Row],[Producto]],Tabla6[[#All],[PRODUCTO]],0),MATCH(Tabla4[[#This Row],[Mes]],Tabla6[#Headers],0)))</f>
        <v>#N/A</v>
      </c>
      <c r="R6103" s="282" t="e">
        <f>++Tabla4[[#This Row],[Precio Unitario Neto]]-Tabla4[[#This Row],[20.85%]]-Tabla4[[#This Row],[Costo]]</f>
        <v>#N/A</v>
      </c>
      <c r="S6103" s="282" t="e">
        <f>++Tabla4[[#This Row],[U. Bruta Uni]]*Tabla4[[#This Row],[Cantidad]]</f>
        <v>#N/A</v>
      </c>
      <c r="T6103" s="369" t="str">
        <f>VLOOKUP(Tabla4[[#This Row],[Producto]],Tabla6[#All],14,FALSE)</f>
        <v>Termico Solar</v>
      </c>
      <c r="U6103" s="284" t="e">
        <f>(IF(Tabla4[[#This Row],[Familia]]="termico solar",Tabla4[[#This Row],[Utilidad Total]]*6%,Tabla4[[#This Row],[Utilidad Total]]*11.5%))/Tabla4[[#This Row],[Total]]</f>
        <v>#N/A</v>
      </c>
      <c r="V6103" s="282" t="e">
        <f>+Tabla4[[#This Row],[Comisión Calculada]]*Tabla4[[#This Row],[Total]]</f>
        <v>#N/A</v>
      </c>
    </row>
    <row r="6104" spans="1:22" hidden="1" x14ac:dyDescent="0.25">
      <c r="A6104" s="100">
        <v>45930</v>
      </c>
      <c r="B6104" t="str">
        <f t="shared" si="288"/>
        <v>September</v>
      </c>
      <c r="C6104" s="46" t="s">
        <v>280</v>
      </c>
      <c r="F6104" s="366" t="s">
        <v>3122</v>
      </c>
      <c r="G6104" s="46" t="s">
        <v>208</v>
      </c>
      <c r="H6104" s="46">
        <v>1</v>
      </c>
      <c r="I6104" s="51">
        <v>189.75</v>
      </c>
      <c r="J6104" s="281">
        <f>++Tabla4[[#This Row],[Precio Bruto]]*1.16</f>
        <v>220.10999999999999</v>
      </c>
      <c r="K6104" s="281">
        <f>+Tabla4[[#This Row],[Precio Unitario Neto]]*Tabla4[[#Headers],[20.85%]]</f>
        <v>45.892934999999994</v>
      </c>
      <c r="L6104" s="282">
        <f>++Tabla4[[#This Row],[Precio Unitario Neto]]-Tabla4[[#This Row],[20.85%]]</f>
        <v>174.21706499999999</v>
      </c>
      <c r="M6104" s="282" t="e">
        <f>(INDEX(Tabla6[#All],MATCH(Tabla4[[#This Row],[Producto]],Tabla6[[#All],[PRODUCTO]],0),MATCH(Tabla4[[#This Row],[Mes]],Tabla6[#Headers],0)))*(1+Catalogos!$L$2)</f>
        <v>#N/A</v>
      </c>
      <c r="N6104" s="283" t="e">
        <f>+(Tabla4[[#This Row],[Precio Descontado]]-Tabla4[[#This Row],[Precio Base]])*Tabla4[[#This Row],[Cantidad]]</f>
        <v>#N/A</v>
      </c>
      <c r="O6104" s="284" t="e">
        <f>++Tabla4[[#This Row],[Utilidad Total]]/Tabla4[[#This Row],[Total]]</f>
        <v>#N/A</v>
      </c>
      <c r="P6104" s="282">
        <f>++Tabla4[[#This Row],[Precio Descontado]]*Tabla4[[#This Row],[Cantidad]]</f>
        <v>174.21706499999999</v>
      </c>
      <c r="Q6104" s="282" t="e">
        <f>(INDEX(Tabla6[#All],MATCH(Tabla4[[#This Row],[Producto]],Tabla6[[#All],[PRODUCTO]],0),MATCH(Tabla4[[#This Row],[Mes]],Tabla6[#Headers],0)))</f>
        <v>#N/A</v>
      </c>
      <c r="R6104" s="282" t="e">
        <f>++Tabla4[[#This Row],[Precio Unitario Neto]]-Tabla4[[#This Row],[20.85%]]-Tabla4[[#This Row],[Costo]]</f>
        <v>#N/A</v>
      </c>
      <c r="S6104" s="282" t="e">
        <f>++Tabla4[[#This Row],[U. Bruta Uni]]*Tabla4[[#This Row],[Cantidad]]</f>
        <v>#N/A</v>
      </c>
      <c r="T6104" s="369" t="str">
        <f>VLOOKUP(Tabla4[[#This Row],[Producto]],Tabla6[#All],14,FALSE)</f>
        <v>Termico Solar</v>
      </c>
      <c r="U6104" s="284" t="e">
        <f>(IF(Tabla4[[#This Row],[Familia]]="termico solar",Tabla4[[#This Row],[Utilidad Total]]*6%,Tabla4[[#This Row],[Utilidad Total]]*11.5%))/Tabla4[[#This Row],[Total]]</f>
        <v>#N/A</v>
      </c>
      <c r="V6104" s="282" t="e">
        <f>+Tabla4[[#This Row],[Comisión Calculada]]*Tabla4[[#This Row],[Total]]</f>
        <v>#N/A</v>
      </c>
    </row>
    <row r="6105" spans="1:22" hidden="1" x14ac:dyDescent="0.25">
      <c r="A6105" s="100">
        <v>45930</v>
      </c>
      <c r="B6105" t="str">
        <f t="shared" ref="B6105:B6127" si="289">TEXT(A6105, "mmmm")</f>
        <v>September</v>
      </c>
      <c r="C6105" s="46" t="s">
        <v>280</v>
      </c>
      <c r="F6105" s="366" t="s">
        <v>3123</v>
      </c>
      <c r="G6105" s="46" t="s">
        <v>21</v>
      </c>
      <c r="H6105" s="46">
        <v>2</v>
      </c>
      <c r="I6105" s="51">
        <v>9282.19</v>
      </c>
      <c r="J6105" s="281">
        <f>++Tabla4[[#This Row],[Precio Bruto]]*1.16</f>
        <v>10767.340399999999</v>
      </c>
      <c r="K6105" s="281">
        <f>+Tabla4[[#This Row],[Precio Unitario Neto]]*Tabla4[[#Headers],[20.85%]]</f>
        <v>2244.9904733999997</v>
      </c>
      <c r="L6105" s="282">
        <f>++Tabla4[[#This Row],[Precio Unitario Neto]]-Tabla4[[#This Row],[20.85%]]</f>
        <v>8522.3499265999999</v>
      </c>
      <c r="M6105" s="282" t="e">
        <f>(INDEX(Tabla6[#All],MATCH(Tabla4[[#This Row],[Producto]],Tabla6[[#All],[PRODUCTO]],0),MATCH(Tabla4[[#This Row],[Mes]],Tabla6[#Headers],0)))*(1+Catalogos!$L$2)</f>
        <v>#N/A</v>
      </c>
      <c r="N6105" s="283" t="e">
        <f>+(Tabla4[[#This Row],[Precio Descontado]]-Tabla4[[#This Row],[Precio Base]])*Tabla4[[#This Row],[Cantidad]]</f>
        <v>#N/A</v>
      </c>
      <c r="O6105" s="284" t="e">
        <f>++Tabla4[[#This Row],[Utilidad Total]]/Tabla4[[#This Row],[Total]]</f>
        <v>#N/A</v>
      </c>
      <c r="P6105" s="282">
        <f>++Tabla4[[#This Row],[Precio Descontado]]*Tabla4[[#This Row],[Cantidad]]</f>
        <v>17044.6998532</v>
      </c>
      <c r="Q6105" s="282" t="e">
        <f>(INDEX(Tabla6[#All],MATCH(Tabla4[[#This Row],[Producto]],Tabla6[[#All],[PRODUCTO]],0),MATCH(Tabla4[[#This Row],[Mes]],Tabla6[#Headers],0)))</f>
        <v>#N/A</v>
      </c>
      <c r="R6105" s="282" t="e">
        <f>++Tabla4[[#This Row],[Precio Unitario Neto]]-Tabla4[[#This Row],[20.85%]]-Tabla4[[#This Row],[Costo]]</f>
        <v>#N/A</v>
      </c>
      <c r="S6105" s="282" t="e">
        <f>++Tabla4[[#This Row],[U. Bruta Uni]]*Tabla4[[#This Row],[Cantidad]]</f>
        <v>#N/A</v>
      </c>
      <c r="T6105" s="369" t="str">
        <f>VLOOKUP(Tabla4[[#This Row],[Producto]],Tabla6[#All],14,FALSE)</f>
        <v>Termico Solar</v>
      </c>
      <c r="U6105" s="284" t="e">
        <f>(IF(Tabla4[[#This Row],[Familia]]="termico solar",Tabla4[[#This Row],[Utilidad Total]]*6%,Tabla4[[#This Row],[Utilidad Total]]*11.5%))/Tabla4[[#This Row],[Total]]</f>
        <v>#N/A</v>
      </c>
      <c r="V6105" s="282" t="e">
        <f>+Tabla4[[#This Row],[Comisión Calculada]]*Tabla4[[#This Row],[Total]]</f>
        <v>#N/A</v>
      </c>
    </row>
    <row r="6106" spans="1:22" hidden="1" x14ac:dyDescent="0.25">
      <c r="A6106" s="100">
        <v>45930</v>
      </c>
      <c r="B6106" t="str">
        <f t="shared" si="289"/>
        <v>September</v>
      </c>
      <c r="C6106" s="46" t="s">
        <v>280</v>
      </c>
      <c r="F6106" s="366" t="s">
        <v>3124</v>
      </c>
      <c r="G6106" s="46" t="s">
        <v>18</v>
      </c>
      <c r="H6106" s="46">
        <v>1</v>
      </c>
      <c r="I6106" s="51">
        <v>5367.65</v>
      </c>
      <c r="J6106" s="281">
        <f>++Tabla4[[#This Row],[Precio Bruto]]*1.16</f>
        <v>6226.4739999999993</v>
      </c>
      <c r="K6106" s="281">
        <f>+Tabla4[[#This Row],[Precio Unitario Neto]]*Tabla4[[#Headers],[20.85%]]</f>
        <v>1298.2198289999999</v>
      </c>
      <c r="L6106" s="282">
        <f>++Tabla4[[#This Row],[Precio Unitario Neto]]-Tabla4[[#This Row],[20.85%]]</f>
        <v>4928.2541709999996</v>
      </c>
      <c r="M6106" s="282" t="e">
        <f>(INDEX(Tabla6[#All],MATCH(Tabla4[[#This Row],[Producto]],Tabla6[[#All],[PRODUCTO]],0),MATCH(Tabla4[[#This Row],[Mes]],Tabla6[#Headers],0)))*(1+Catalogos!$L$2)</f>
        <v>#N/A</v>
      </c>
      <c r="N6106" s="283" t="e">
        <f>+(Tabla4[[#This Row],[Precio Descontado]]-Tabla4[[#This Row],[Precio Base]])*Tabla4[[#This Row],[Cantidad]]</f>
        <v>#N/A</v>
      </c>
      <c r="O6106" s="284" t="e">
        <f>++Tabla4[[#This Row],[Utilidad Total]]/Tabla4[[#This Row],[Total]]</f>
        <v>#N/A</v>
      </c>
      <c r="P6106" s="282">
        <f>++Tabla4[[#This Row],[Precio Descontado]]*Tabla4[[#This Row],[Cantidad]]</f>
        <v>4928.2541709999996</v>
      </c>
      <c r="Q6106" s="282" t="e">
        <f>(INDEX(Tabla6[#All],MATCH(Tabla4[[#This Row],[Producto]],Tabla6[[#All],[PRODUCTO]],0),MATCH(Tabla4[[#This Row],[Mes]],Tabla6[#Headers],0)))</f>
        <v>#N/A</v>
      </c>
      <c r="R6106" s="282" t="e">
        <f>++Tabla4[[#This Row],[Precio Unitario Neto]]-Tabla4[[#This Row],[20.85%]]-Tabla4[[#This Row],[Costo]]</f>
        <v>#N/A</v>
      </c>
      <c r="S6106" s="282" t="e">
        <f>++Tabla4[[#This Row],[U. Bruta Uni]]*Tabla4[[#This Row],[Cantidad]]</f>
        <v>#N/A</v>
      </c>
      <c r="T6106" s="369" t="str">
        <f>VLOOKUP(Tabla4[[#This Row],[Producto]],Tabla6[#All],14,FALSE)</f>
        <v>Termico Solar</v>
      </c>
      <c r="U6106" s="284" t="e">
        <f>(IF(Tabla4[[#This Row],[Familia]]="termico solar",Tabla4[[#This Row],[Utilidad Total]]*6%,Tabla4[[#This Row],[Utilidad Total]]*11.5%))/Tabla4[[#This Row],[Total]]</f>
        <v>#N/A</v>
      </c>
      <c r="V6106" s="282" t="e">
        <f>+Tabla4[[#This Row],[Comisión Calculada]]*Tabla4[[#This Row],[Total]]</f>
        <v>#N/A</v>
      </c>
    </row>
    <row r="6107" spans="1:22" hidden="1" x14ac:dyDescent="0.25">
      <c r="A6107" s="100">
        <v>45930</v>
      </c>
      <c r="B6107" t="str">
        <f t="shared" si="289"/>
        <v>September</v>
      </c>
      <c r="C6107" s="46" t="s">
        <v>280</v>
      </c>
      <c r="F6107" s="366" t="s">
        <v>3125</v>
      </c>
      <c r="G6107" s="46" t="s">
        <v>17</v>
      </c>
      <c r="H6107" s="46">
        <v>1</v>
      </c>
      <c r="I6107" s="51">
        <v>4622.28</v>
      </c>
      <c r="J6107" s="281">
        <f>++Tabla4[[#This Row],[Precio Bruto]]*1.16</f>
        <v>5361.8447999999989</v>
      </c>
      <c r="K6107" s="281">
        <f>+Tabla4[[#This Row],[Precio Unitario Neto]]*Tabla4[[#Headers],[20.85%]]</f>
        <v>1117.9446407999997</v>
      </c>
      <c r="L6107" s="282">
        <f>++Tabla4[[#This Row],[Precio Unitario Neto]]-Tabla4[[#This Row],[20.85%]]</f>
        <v>4243.9001591999995</v>
      </c>
      <c r="M6107" s="282" t="e">
        <f>(INDEX(Tabla6[#All],MATCH(Tabla4[[#This Row],[Producto]],Tabla6[[#All],[PRODUCTO]],0),MATCH(Tabla4[[#This Row],[Mes]],Tabla6[#Headers],0)))*(1+Catalogos!$L$2)</f>
        <v>#N/A</v>
      </c>
      <c r="N6107" s="283" t="e">
        <f>+(Tabla4[[#This Row],[Precio Descontado]]-Tabla4[[#This Row],[Precio Base]])*Tabla4[[#This Row],[Cantidad]]</f>
        <v>#N/A</v>
      </c>
      <c r="O6107" s="284" t="e">
        <f>++Tabla4[[#This Row],[Utilidad Total]]/Tabla4[[#This Row],[Total]]</f>
        <v>#N/A</v>
      </c>
      <c r="P6107" s="282">
        <f>++Tabla4[[#This Row],[Precio Descontado]]*Tabla4[[#This Row],[Cantidad]]</f>
        <v>4243.9001591999995</v>
      </c>
      <c r="Q6107" s="282" t="e">
        <f>(INDEX(Tabla6[#All],MATCH(Tabla4[[#This Row],[Producto]],Tabla6[[#All],[PRODUCTO]],0),MATCH(Tabla4[[#This Row],[Mes]],Tabla6[#Headers],0)))</f>
        <v>#N/A</v>
      </c>
      <c r="R6107" s="282" t="e">
        <f>++Tabla4[[#This Row],[Precio Unitario Neto]]-Tabla4[[#This Row],[20.85%]]-Tabla4[[#This Row],[Costo]]</f>
        <v>#N/A</v>
      </c>
      <c r="S6107" s="282" t="e">
        <f>++Tabla4[[#This Row],[U. Bruta Uni]]*Tabla4[[#This Row],[Cantidad]]</f>
        <v>#N/A</v>
      </c>
      <c r="T6107" s="369" t="str">
        <f>VLOOKUP(Tabla4[[#This Row],[Producto]],Tabla6[#All],14,FALSE)</f>
        <v>Termico Solar</v>
      </c>
      <c r="U6107" s="284" t="e">
        <f>(IF(Tabla4[[#This Row],[Familia]]="termico solar",Tabla4[[#This Row],[Utilidad Total]]*6%,Tabla4[[#This Row],[Utilidad Total]]*11.5%))/Tabla4[[#This Row],[Total]]</f>
        <v>#N/A</v>
      </c>
      <c r="V6107" s="282" t="e">
        <f>+Tabla4[[#This Row],[Comisión Calculada]]*Tabla4[[#This Row],[Total]]</f>
        <v>#N/A</v>
      </c>
    </row>
    <row r="6108" spans="1:22" hidden="1" x14ac:dyDescent="0.25">
      <c r="A6108" s="100">
        <v>45930</v>
      </c>
      <c r="B6108" t="str">
        <f t="shared" si="289"/>
        <v>September</v>
      </c>
      <c r="C6108" s="46" t="s">
        <v>280</v>
      </c>
      <c r="F6108" s="366" t="s">
        <v>3125</v>
      </c>
      <c r="G6108" s="46" t="s">
        <v>16</v>
      </c>
      <c r="H6108" s="46">
        <v>1</v>
      </c>
      <c r="I6108" s="51">
        <v>4103.8500000000004</v>
      </c>
      <c r="J6108" s="281">
        <f>++Tabla4[[#This Row],[Precio Bruto]]*1.16</f>
        <v>4760.4660000000003</v>
      </c>
      <c r="K6108" s="281">
        <f>+Tabla4[[#This Row],[Precio Unitario Neto]]*Tabla4[[#Headers],[20.85%]]</f>
        <v>992.55716100000006</v>
      </c>
      <c r="L6108" s="282">
        <f>++Tabla4[[#This Row],[Precio Unitario Neto]]-Tabla4[[#This Row],[20.85%]]</f>
        <v>3767.9088390000002</v>
      </c>
      <c r="M6108" s="282" t="e">
        <f>(INDEX(Tabla6[#All],MATCH(Tabla4[[#This Row],[Producto]],Tabla6[[#All],[PRODUCTO]],0),MATCH(Tabla4[[#This Row],[Mes]],Tabla6[#Headers],0)))*(1+Catalogos!$L$2)</f>
        <v>#N/A</v>
      </c>
      <c r="N6108" s="283" t="e">
        <f>+(Tabla4[[#This Row],[Precio Descontado]]-Tabla4[[#This Row],[Precio Base]])*Tabla4[[#This Row],[Cantidad]]</f>
        <v>#N/A</v>
      </c>
      <c r="O6108" s="284" t="e">
        <f>++Tabla4[[#This Row],[Utilidad Total]]/Tabla4[[#This Row],[Total]]</f>
        <v>#N/A</v>
      </c>
      <c r="P6108" s="282">
        <f>++Tabla4[[#This Row],[Precio Descontado]]*Tabla4[[#This Row],[Cantidad]]</f>
        <v>3767.9088390000002</v>
      </c>
      <c r="Q6108" s="282" t="e">
        <f>(INDEX(Tabla6[#All],MATCH(Tabla4[[#This Row],[Producto]],Tabla6[[#All],[PRODUCTO]],0),MATCH(Tabla4[[#This Row],[Mes]],Tabla6[#Headers],0)))</f>
        <v>#N/A</v>
      </c>
      <c r="R6108" s="282" t="e">
        <f>++Tabla4[[#This Row],[Precio Unitario Neto]]-Tabla4[[#This Row],[20.85%]]-Tabla4[[#This Row],[Costo]]</f>
        <v>#N/A</v>
      </c>
      <c r="S6108" s="282" t="e">
        <f>++Tabla4[[#This Row],[U. Bruta Uni]]*Tabla4[[#This Row],[Cantidad]]</f>
        <v>#N/A</v>
      </c>
      <c r="T6108" s="369" t="str">
        <f>VLOOKUP(Tabla4[[#This Row],[Producto]],Tabla6[#All],14,FALSE)</f>
        <v>Termico Solar</v>
      </c>
      <c r="U6108" s="284" t="e">
        <f>(IF(Tabla4[[#This Row],[Familia]]="termico solar",Tabla4[[#This Row],[Utilidad Total]]*6%,Tabla4[[#This Row],[Utilidad Total]]*11.5%))/Tabla4[[#This Row],[Total]]</f>
        <v>#N/A</v>
      </c>
      <c r="V6108" s="282" t="e">
        <f>+Tabla4[[#This Row],[Comisión Calculada]]*Tabla4[[#This Row],[Total]]</f>
        <v>#N/A</v>
      </c>
    </row>
    <row r="6109" spans="1:22" hidden="1" x14ac:dyDescent="0.25">
      <c r="A6109" s="100">
        <v>45930</v>
      </c>
      <c r="B6109" t="str">
        <f t="shared" si="289"/>
        <v>September</v>
      </c>
      <c r="C6109" s="46" t="s">
        <v>280</v>
      </c>
      <c r="F6109" s="366" t="s">
        <v>3126</v>
      </c>
      <c r="G6109" s="46" t="s">
        <v>18</v>
      </c>
      <c r="H6109" s="46">
        <v>1</v>
      </c>
      <c r="I6109" s="51">
        <v>5367.65</v>
      </c>
      <c r="J6109" s="281">
        <f>++Tabla4[[#This Row],[Precio Bruto]]*1.16</f>
        <v>6226.4739999999993</v>
      </c>
      <c r="K6109" s="281">
        <f>+Tabla4[[#This Row],[Precio Unitario Neto]]*Tabla4[[#Headers],[20.85%]]</f>
        <v>1298.2198289999999</v>
      </c>
      <c r="L6109" s="282">
        <f>++Tabla4[[#This Row],[Precio Unitario Neto]]-Tabla4[[#This Row],[20.85%]]</f>
        <v>4928.2541709999996</v>
      </c>
      <c r="M6109" s="282" t="e">
        <f>(INDEX(Tabla6[#All],MATCH(Tabla4[[#This Row],[Producto]],Tabla6[[#All],[PRODUCTO]],0),MATCH(Tabla4[[#This Row],[Mes]],Tabla6[#Headers],0)))*(1+Catalogos!$L$2)</f>
        <v>#N/A</v>
      </c>
      <c r="N6109" s="283" t="e">
        <f>+(Tabla4[[#This Row],[Precio Descontado]]-Tabla4[[#This Row],[Precio Base]])*Tabla4[[#This Row],[Cantidad]]</f>
        <v>#N/A</v>
      </c>
      <c r="O6109" s="284" t="e">
        <f>++Tabla4[[#This Row],[Utilidad Total]]/Tabla4[[#This Row],[Total]]</f>
        <v>#N/A</v>
      </c>
      <c r="P6109" s="282">
        <f>++Tabla4[[#This Row],[Precio Descontado]]*Tabla4[[#This Row],[Cantidad]]</f>
        <v>4928.2541709999996</v>
      </c>
      <c r="Q6109" s="282" t="e">
        <f>(INDEX(Tabla6[#All],MATCH(Tabla4[[#This Row],[Producto]],Tabla6[[#All],[PRODUCTO]],0),MATCH(Tabla4[[#This Row],[Mes]],Tabla6[#Headers],0)))</f>
        <v>#N/A</v>
      </c>
      <c r="R6109" s="282" t="e">
        <f>++Tabla4[[#This Row],[Precio Unitario Neto]]-Tabla4[[#This Row],[20.85%]]-Tabla4[[#This Row],[Costo]]</f>
        <v>#N/A</v>
      </c>
      <c r="S6109" s="282" t="e">
        <f>++Tabla4[[#This Row],[U. Bruta Uni]]*Tabla4[[#This Row],[Cantidad]]</f>
        <v>#N/A</v>
      </c>
      <c r="T6109" s="369" t="str">
        <f>VLOOKUP(Tabla4[[#This Row],[Producto]],Tabla6[#All],14,FALSE)</f>
        <v>Termico Solar</v>
      </c>
      <c r="U6109" s="284" t="e">
        <f>(IF(Tabla4[[#This Row],[Familia]]="termico solar",Tabla4[[#This Row],[Utilidad Total]]*6%,Tabla4[[#This Row],[Utilidad Total]]*11.5%))/Tabla4[[#This Row],[Total]]</f>
        <v>#N/A</v>
      </c>
      <c r="V6109" s="282" t="e">
        <f>+Tabla4[[#This Row],[Comisión Calculada]]*Tabla4[[#This Row],[Total]]</f>
        <v>#N/A</v>
      </c>
    </row>
    <row r="6110" spans="1:22" hidden="1" x14ac:dyDescent="0.25">
      <c r="A6110" s="100">
        <v>45930</v>
      </c>
      <c r="B6110" t="str">
        <f t="shared" si="289"/>
        <v>September</v>
      </c>
      <c r="C6110" s="46" t="s">
        <v>280</v>
      </c>
      <c r="F6110" s="366" t="s">
        <v>3126</v>
      </c>
      <c r="G6110" s="46" t="s">
        <v>208</v>
      </c>
      <c r="H6110" s="46">
        <v>2</v>
      </c>
      <c r="I6110" s="51">
        <v>189.75</v>
      </c>
      <c r="J6110" s="281">
        <f>++Tabla4[[#This Row],[Precio Bruto]]*1.16</f>
        <v>220.10999999999999</v>
      </c>
      <c r="K6110" s="281">
        <f>+Tabla4[[#This Row],[Precio Unitario Neto]]*Tabla4[[#Headers],[20.85%]]</f>
        <v>45.892934999999994</v>
      </c>
      <c r="L6110" s="282">
        <f>++Tabla4[[#This Row],[Precio Unitario Neto]]-Tabla4[[#This Row],[20.85%]]</f>
        <v>174.21706499999999</v>
      </c>
      <c r="M6110" s="282" t="e">
        <f>(INDEX(Tabla6[#All],MATCH(Tabla4[[#This Row],[Producto]],Tabla6[[#All],[PRODUCTO]],0),MATCH(Tabla4[[#This Row],[Mes]],Tabla6[#Headers],0)))*(1+Catalogos!$L$2)</f>
        <v>#N/A</v>
      </c>
      <c r="N6110" s="283" t="e">
        <f>+(Tabla4[[#This Row],[Precio Descontado]]-Tabla4[[#This Row],[Precio Base]])*Tabla4[[#This Row],[Cantidad]]</f>
        <v>#N/A</v>
      </c>
      <c r="O6110" s="284" t="e">
        <f>++Tabla4[[#This Row],[Utilidad Total]]/Tabla4[[#This Row],[Total]]</f>
        <v>#N/A</v>
      </c>
      <c r="P6110" s="282">
        <f>++Tabla4[[#This Row],[Precio Descontado]]*Tabla4[[#This Row],[Cantidad]]</f>
        <v>348.43412999999998</v>
      </c>
      <c r="Q6110" s="282" t="e">
        <f>(INDEX(Tabla6[#All],MATCH(Tabla4[[#This Row],[Producto]],Tabla6[[#All],[PRODUCTO]],0),MATCH(Tabla4[[#This Row],[Mes]],Tabla6[#Headers],0)))</f>
        <v>#N/A</v>
      </c>
      <c r="R6110" s="282" t="e">
        <f>++Tabla4[[#This Row],[Precio Unitario Neto]]-Tabla4[[#This Row],[20.85%]]-Tabla4[[#This Row],[Costo]]</f>
        <v>#N/A</v>
      </c>
      <c r="S6110" s="282" t="e">
        <f>++Tabla4[[#This Row],[U. Bruta Uni]]*Tabla4[[#This Row],[Cantidad]]</f>
        <v>#N/A</v>
      </c>
      <c r="T6110" s="369" t="str">
        <f>VLOOKUP(Tabla4[[#This Row],[Producto]],Tabla6[#All],14,FALSE)</f>
        <v>Termico Solar</v>
      </c>
      <c r="U6110" s="284" t="e">
        <f>(IF(Tabla4[[#This Row],[Familia]]="termico solar",Tabla4[[#This Row],[Utilidad Total]]*6%,Tabla4[[#This Row],[Utilidad Total]]*11.5%))/Tabla4[[#This Row],[Total]]</f>
        <v>#N/A</v>
      </c>
      <c r="V6110" s="282" t="e">
        <f>+Tabla4[[#This Row],[Comisión Calculada]]*Tabla4[[#This Row],[Total]]</f>
        <v>#N/A</v>
      </c>
    </row>
    <row r="6111" spans="1:22" hidden="1" x14ac:dyDescent="0.25">
      <c r="A6111" s="100">
        <v>45930</v>
      </c>
      <c r="B6111" t="str">
        <f t="shared" si="289"/>
        <v>September</v>
      </c>
      <c r="C6111" s="46" t="s">
        <v>280</v>
      </c>
      <c r="F6111" s="366" t="s">
        <v>3127</v>
      </c>
      <c r="G6111" s="46" t="s">
        <v>18</v>
      </c>
      <c r="H6111" s="46">
        <v>1</v>
      </c>
      <c r="I6111" s="51">
        <v>5367.65</v>
      </c>
      <c r="J6111" s="281">
        <f>++Tabla4[[#This Row],[Precio Bruto]]*1.16</f>
        <v>6226.4739999999993</v>
      </c>
      <c r="K6111" s="281">
        <f>+Tabla4[[#This Row],[Precio Unitario Neto]]*Tabla4[[#Headers],[20.85%]]</f>
        <v>1298.2198289999999</v>
      </c>
      <c r="L6111" s="282">
        <f>++Tabla4[[#This Row],[Precio Unitario Neto]]-Tabla4[[#This Row],[20.85%]]</f>
        <v>4928.2541709999996</v>
      </c>
      <c r="M6111" s="282" t="e">
        <f>(INDEX(Tabla6[#All],MATCH(Tabla4[[#This Row],[Producto]],Tabla6[[#All],[PRODUCTO]],0),MATCH(Tabla4[[#This Row],[Mes]],Tabla6[#Headers],0)))*(1+Catalogos!$L$2)</f>
        <v>#N/A</v>
      </c>
      <c r="N6111" s="283" t="e">
        <f>+(Tabla4[[#This Row],[Precio Descontado]]-Tabla4[[#This Row],[Precio Base]])*Tabla4[[#This Row],[Cantidad]]</f>
        <v>#N/A</v>
      </c>
      <c r="O6111" s="284" t="e">
        <f>++Tabla4[[#This Row],[Utilidad Total]]/Tabla4[[#This Row],[Total]]</f>
        <v>#N/A</v>
      </c>
      <c r="P6111" s="282">
        <f>++Tabla4[[#This Row],[Precio Descontado]]*Tabla4[[#This Row],[Cantidad]]</f>
        <v>4928.2541709999996</v>
      </c>
      <c r="Q6111" s="282" t="e">
        <f>(INDEX(Tabla6[#All],MATCH(Tabla4[[#This Row],[Producto]],Tabla6[[#All],[PRODUCTO]],0),MATCH(Tabla4[[#This Row],[Mes]],Tabla6[#Headers],0)))</f>
        <v>#N/A</v>
      </c>
      <c r="R6111" s="282" t="e">
        <f>++Tabla4[[#This Row],[Precio Unitario Neto]]-Tabla4[[#This Row],[20.85%]]-Tabla4[[#This Row],[Costo]]</f>
        <v>#N/A</v>
      </c>
      <c r="S6111" s="282" t="e">
        <f>++Tabla4[[#This Row],[U. Bruta Uni]]*Tabla4[[#This Row],[Cantidad]]</f>
        <v>#N/A</v>
      </c>
      <c r="T6111" s="369" t="str">
        <f>VLOOKUP(Tabla4[[#This Row],[Producto]],Tabla6[#All],14,FALSE)</f>
        <v>Termico Solar</v>
      </c>
      <c r="U6111" s="284" t="e">
        <f>(IF(Tabla4[[#This Row],[Familia]]="termico solar",Tabla4[[#This Row],[Utilidad Total]]*6%,Tabla4[[#This Row],[Utilidad Total]]*11.5%))/Tabla4[[#This Row],[Total]]</f>
        <v>#N/A</v>
      </c>
      <c r="V6111" s="282" t="e">
        <f>+Tabla4[[#This Row],[Comisión Calculada]]*Tabla4[[#This Row],[Total]]</f>
        <v>#N/A</v>
      </c>
    </row>
    <row r="6112" spans="1:22" hidden="1" x14ac:dyDescent="0.25">
      <c r="A6112" s="100">
        <v>45930</v>
      </c>
      <c r="B6112" t="str">
        <f t="shared" si="289"/>
        <v>September</v>
      </c>
      <c r="C6112" s="46" t="s">
        <v>280</v>
      </c>
      <c r="F6112" s="366" t="s">
        <v>3127</v>
      </c>
      <c r="G6112" s="46" t="s">
        <v>208</v>
      </c>
      <c r="H6112" s="46">
        <v>1</v>
      </c>
      <c r="I6112" s="51">
        <v>189.75</v>
      </c>
      <c r="J6112" s="281">
        <f>++Tabla4[[#This Row],[Precio Bruto]]*1.16</f>
        <v>220.10999999999999</v>
      </c>
      <c r="K6112" s="281">
        <f>+Tabla4[[#This Row],[Precio Unitario Neto]]*Tabla4[[#Headers],[20.85%]]</f>
        <v>45.892934999999994</v>
      </c>
      <c r="L6112" s="282">
        <f>++Tabla4[[#This Row],[Precio Unitario Neto]]-Tabla4[[#This Row],[20.85%]]</f>
        <v>174.21706499999999</v>
      </c>
      <c r="M6112" s="282" t="e">
        <f>(INDEX(Tabla6[#All],MATCH(Tabla4[[#This Row],[Producto]],Tabla6[[#All],[PRODUCTO]],0),MATCH(Tabla4[[#This Row],[Mes]],Tabla6[#Headers],0)))*(1+Catalogos!$L$2)</f>
        <v>#N/A</v>
      </c>
      <c r="N6112" s="283" t="e">
        <f>+(Tabla4[[#This Row],[Precio Descontado]]-Tabla4[[#This Row],[Precio Base]])*Tabla4[[#This Row],[Cantidad]]</f>
        <v>#N/A</v>
      </c>
      <c r="O6112" s="284" t="e">
        <f>++Tabla4[[#This Row],[Utilidad Total]]/Tabla4[[#This Row],[Total]]</f>
        <v>#N/A</v>
      </c>
      <c r="P6112" s="282">
        <f>++Tabla4[[#This Row],[Precio Descontado]]*Tabla4[[#This Row],[Cantidad]]</f>
        <v>174.21706499999999</v>
      </c>
      <c r="Q6112" s="282" t="e">
        <f>(INDEX(Tabla6[#All],MATCH(Tabla4[[#This Row],[Producto]],Tabla6[[#All],[PRODUCTO]],0),MATCH(Tabla4[[#This Row],[Mes]],Tabla6[#Headers],0)))</f>
        <v>#N/A</v>
      </c>
      <c r="R6112" s="282" t="e">
        <f>++Tabla4[[#This Row],[Precio Unitario Neto]]-Tabla4[[#This Row],[20.85%]]-Tabla4[[#This Row],[Costo]]</f>
        <v>#N/A</v>
      </c>
      <c r="S6112" s="282" t="e">
        <f>++Tabla4[[#This Row],[U. Bruta Uni]]*Tabla4[[#This Row],[Cantidad]]</f>
        <v>#N/A</v>
      </c>
      <c r="T6112" s="369" t="str">
        <f>VLOOKUP(Tabla4[[#This Row],[Producto]],Tabla6[#All],14,FALSE)</f>
        <v>Termico Solar</v>
      </c>
      <c r="U6112" s="284" t="e">
        <f>(IF(Tabla4[[#This Row],[Familia]]="termico solar",Tabla4[[#This Row],[Utilidad Total]]*6%,Tabla4[[#This Row],[Utilidad Total]]*11.5%))/Tabla4[[#This Row],[Total]]</f>
        <v>#N/A</v>
      </c>
      <c r="V6112" s="282" t="e">
        <f>+Tabla4[[#This Row],[Comisión Calculada]]*Tabla4[[#This Row],[Total]]</f>
        <v>#N/A</v>
      </c>
    </row>
    <row r="6113" spans="1:22" hidden="1" x14ac:dyDescent="0.25">
      <c r="A6113" s="100">
        <v>45930</v>
      </c>
      <c r="B6113" t="str">
        <f t="shared" si="289"/>
        <v>September</v>
      </c>
      <c r="C6113" s="46" t="s">
        <v>280</v>
      </c>
      <c r="F6113" s="366" t="s">
        <v>3128</v>
      </c>
      <c r="G6113" s="46" t="s">
        <v>17</v>
      </c>
      <c r="H6113" s="46">
        <v>1</v>
      </c>
      <c r="I6113" s="51">
        <v>4622.28</v>
      </c>
      <c r="J6113" s="281">
        <f>++Tabla4[[#This Row],[Precio Bruto]]*1.16</f>
        <v>5361.8447999999989</v>
      </c>
      <c r="K6113" s="281">
        <f>+Tabla4[[#This Row],[Precio Unitario Neto]]*Tabla4[[#Headers],[20.85%]]</f>
        <v>1117.9446407999997</v>
      </c>
      <c r="L6113" s="282">
        <f>++Tabla4[[#This Row],[Precio Unitario Neto]]-Tabla4[[#This Row],[20.85%]]</f>
        <v>4243.9001591999995</v>
      </c>
      <c r="M6113" s="282" t="e">
        <f>(INDEX(Tabla6[#All],MATCH(Tabla4[[#This Row],[Producto]],Tabla6[[#All],[PRODUCTO]],0),MATCH(Tabla4[[#This Row],[Mes]],Tabla6[#Headers],0)))*(1+Catalogos!$L$2)</f>
        <v>#N/A</v>
      </c>
      <c r="N6113" s="283" t="e">
        <f>+(Tabla4[[#This Row],[Precio Descontado]]-Tabla4[[#This Row],[Precio Base]])*Tabla4[[#This Row],[Cantidad]]</f>
        <v>#N/A</v>
      </c>
      <c r="O6113" s="284" t="e">
        <f>++Tabla4[[#This Row],[Utilidad Total]]/Tabla4[[#This Row],[Total]]</f>
        <v>#N/A</v>
      </c>
      <c r="P6113" s="282">
        <f>++Tabla4[[#This Row],[Precio Descontado]]*Tabla4[[#This Row],[Cantidad]]</f>
        <v>4243.9001591999995</v>
      </c>
      <c r="Q6113" s="282" t="e">
        <f>(INDEX(Tabla6[#All],MATCH(Tabla4[[#This Row],[Producto]],Tabla6[[#All],[PRODUCTO]],0),MATCH(Tabla4[[#This Row],[Mes]],Tabla6[#Headers],0)))</f>
        <v>#N/A</v>
      </c>
      <c r="R6113" s="282" t="e">
        <f>++Tabla4[[#This Row],[Precio Unitario Neto]]-Tabla4[[#This Row],[20.85%]]-Tabla4[[#This Row],[Costo]]</f>
        <v>#N/A</v>
      </c>
      <c r="S6113" s="282" t="e">
        <f>++Tabla4[[#This Row],[U. Bruta Uni]]*Tabla4[[#This Row],[Cantidad]]</f>
        <v>#N/A</v>
      </c>
      <c r="T6113" s="369" t="str">
        <f>VLOOKUP(Tabla4[[#This Row],[Producto]],Tabla6[#All],14,FALSE)</f>
        <v>Termico Solar</v>
      </c>
      <c r="U6113" s="284" t="e">
        <f>(IF(Tabla4[[#This Row],[Familia]]="termico solar",Tabla4[[#This Row],[Utilidad Total]]*6%,Tabla4[[#This Row],[Utilidad Total]]*11.5%))/Tabla4[[#This Row],[Total]]</f>
        <v>#N/A</v>
      </c>
      <c r="V6113" s="282" t="e">
        <f>+Tabla4[[#This Row],[Comisión Calculada]]*Tabla4[[#This Row],[Total]]</f>
        <v>#N/A</v>
      </c>
    </row>
    <row r="6114" spans="1:22" hidden="1" x14ac:dyDescent="0.25">
      <c r="A6114" s="100">
        <v>45930</v>
      </c>
      <c r="B6114" t="str">
        <f t="shared" si="289"/>
        <v>September</v>
      </c>
      <c r="C6114" s="46" t="s">
        <v>280</v>
      </c>
      <c r="F6114" s="366" t="s">
        <v>3129</v>
      </c>
      <c r="G6114" s="46" t="s">
        <v>18</v>
      </c>
      <c r="H6114" s="46">
        <v>2</v>
      </c>
      <c r="I6114" s="51">
        <v>5367.65</v>
      </c>
      <c r="J6114" s="281">
        <f>++Tabla4[[#This Row],[Precio Bruto]]*1.16</f>
        <v>6226.4739999999993</v>
      </c>
      <c r="K6114" s="281">
        <f>+Tabla4[[#This Row],[Precio Unitario Neto]]*Tabla4[[#Headers],[20.85%]]</f>
        <v>1298.2198289999999</v>
      </c>
      <c r="L6114" s="282">
        <f>++Tabla4[[#This Row],[Precio Unitario Neto]]-Tabla4[[#This Row],[20.85%]]</f>
        <v>4928.2541709999996</v>
      </c>
      <c r="M6114" s="282" t="e">
        <f>(INDEX(Tabla6[#All],MATCH(Tabla4[[#This Row],[Producto]],Tabla6[[#All],[PRODUCTO]],0),MATCH(Tabla4[[#This Row],[Mes]],Tabla6[#Headers],0)))*(1+Catalogos!$L$2)</f>
        <v>#N/A</v>
      </c>
      <c r="N6114" s="283" t="e">
        <f>+(Tabla4[[#This Row],[Precio Descontado]]-Tabla4[[#This Row],[Precio Base]])*Tabla4[[#This Row],[Cantidad]]</f>
        <v>#N/A</v>
      </c>
      <c r="O6114" s="284" t="e">
        <f>++Tabla4[[#This Row],[Utilidad Total]]/Tabla4[[#This Row],[Total]]</f>
        <v>#N/A</v>
      </c>
      <c r="P6114" s="282">
        <f>++Tabla4[[#This Row],[Precio Descontado]]*Tabla4[[#This Row],[Cantidad]]</f>
        <v>9856.5083419999992</v>
      </c>
      <c r="Q6114" s="282" t="e">
        <f>(INDEX(Tabla6[#All],MATCH(Tabla4[[#This Row],[Producto]],Tabla6[[#All],[PRODUCTO]],0),MATCH(Tabla4[[#This Row],[Mes]],Tabla6[#Headers],0)))</f>
        <v>#N/A</v>
      </c>
      <c r="R6114" s="282" t="e">
        <f>++Tabla4[[#This Row],[Precio Unitario Neto]]-Tabla4[[#This Row],[20.85%]]-Tabla4[[#This Row],[Costo]]</f>
        <v>#N/A</v>
      </c>
      <c r="S6114" s="282" t="e">
        <f>++Tabla4[[#This Row],[U. Bruta Uni]]*Tabla4[[#This Row],[Cantidad]]</f>
        <v>#N/A</v>
      </c>
      <c r="T6114" s="369" t="str">
        <f>VLOOKUP(Tabla4[[#This Row],[Producto]],Tabla6[#All],14,FALSE)</f>
        <v>Termico Solar</v>
      </c>
      <c r="U6114" s="284" t="e">
        <f>(IF(Tabla4[[#This Row],[Familia]]="termico solar",Tabla4[[#This Row],[Utilidad Total]]*6%,Tabla4[[#This Row],[Utilidad Total]]*11.5%))/Tabla4[[#This Row],[Total]]</f>
        <v>#N/A</v>
      </c>
      <c r="V6114" s="282" t="e">
        <f>+Tabla4[[#This Row],[Comisión Calculada]]*Tabla4[[#This Row],[Total]]</f>
        <v>#N/A</v>
      </c>
    </row>
    <row r="6115" spans="1:22" hidden="1" x14ac:dyDescent="0.25">
      <c r="A6115" s="100">
        <v>45930</v>
      </c>
      <c r="B6115" t="str">
        <f t="shared" si="289"/>
        <v>September</v>
      </c>
      <c r="C6115" s="46" t="s">
        <v>280</v>
      </c>
      <c r="F6115" s="366" t="s">
        <v>3130</v>
      </c>
      <c r="G6115" s="46" t="s">
        <v>566</v>
      </c>
      <c r="H6115" s="46">
        <v>1</v>
      </c>
      <c r="I6115" s="51">
        <v>2109.4499999999998</v>
      </c>
      <c r="J6115" s="281">
        <f>++Tabla4[[#This Row],[Precio Bruto]]*1.16</f>
        <v>2446.9619999999995</v>
      </c>
      <c r="K6115" s="281">
        <f>+Tabla4[[#This Row],[Precio Unitario Neto]]*Tabla4[[#Headers],[20.85%]]</f>
        <v>510.19157699999988</v>
      </c>
      <c r="L6115" s="282">
        <f>++Tabla4[[#This Row],[Precio Unitario Neto]]-Tabla4[[#This Row],[20.85%]]</f>
        <v>1936.7704229999997</v>
      </c>
      <c r="M6115" s="282" t="e">
        <f>(INDEX(Tabla6[#All],MATCH(Tabla4[[#This Row],[Producto]],Tabla6[[#All],[PRODUCTO]],0),MATCH(Tabla4[[#This Row],[Mes]],Tabla6[#Headers],0)))*(1+Catalogos!$L$2)</f>
        <v>#N/A</v>
      </c>
      <c r="N6115" s="283" t="e">
        <f>+(Tabla4[[#This Row],[Precio Descontado]]-Tabla4[[#This Row],[Precio Base]])*Tabla4[[#This Row],[Cantidad]]</f>
        <v>#N/A</v>
      </c>
      <c r="O6115" s="284" t="e">
        <f>++Tabla4[[#This Row],[Utilidad Total]]/Tabla4[[#This Row],[Total]]</f>
        <v>#N/A</v>
      </c>
      <c r="P6115" s="282">
        <f>++Tabla4[[#This Row],[Precio Descontado]]*Tabla4[[#This Row],[Cantidad]]</f>
        <v>1936.7704229999997</v>
      </c>
      <c r="Q6115" s="282" t="e">
        <f>(INDEX(Tabla6[#All],MATCH(Tabla4[[#This Row],[Producto]],Tabla6[[#All],[PRODUCTO]],0),MATCH(Tabla4[[#This Row],[Mes]],Tabla6[#Headers],0)))</f>
        <v>#N/A</v>
      </c>
      <c r="R6115" s="282" t="e">
        <f>++Tabla4[[#This Row],[Precio Unitario Neto]]-Tabla4[[#This Row],[20.85%]]-Tabla4[[#This Row],[Costo]]</f>
        <v>#N/A</v>
      </c>
      <c r="S6115" s="282" t="e">
        <f>++Tabla4[[#This Row],[U. Bruta Uni]]*Tabla4[[#This Row],[Cantidad]]</f>
        <v>#N/A</v>
      </c>
      <c r="T6115" s="369" t="str">
        <f>VLOOKUP(Tabla4[[#This Row],[Producto]],Tabla6[#All],14,FALSE)</f>
        <v>Termico Solar</v>
      </c>
      <c r="U6115" s="284" t="e">
        <f>(IF(Tabla4[[#This Row],[Familia]]="termico solar",Tabla4[[#This Row],[Utilidad Total]]*6%,Tabla4[[#This Row],[Utilidad Total]]*11.5%))/Tabla4[[#This Row],[Total]]</f>
        <v>#N/A</v>
      </c>
      <c r="V6115" s="282" t="e">
        <f>+Tabla4[[#This Row],[Comisión Calculada]]*Tabla4[[#This Row],[Total]]</f>
        <v>#N/A</v>
      </c>
    </row>
    <row r="6116" spans="1:22" hidden="1" x14ac:dyDescent="0.25">
      <c r="A6116" s="100">
        <v>45930</v>
      </c>
      <c r="B6116" t="str">
        <f t="shared" si="289"/>
        <v>September</v>
      </c>
      <c r="C6116" s="46" t="s">
        <v>280</v>
      </c>
      <c r="F6116" s="366" t="s">
        <v>3131</v>
      </c>
      <c r="G6116" s="46" t="s">
        <v>83</v>
      </c>
      <c r="H6116" s="46">
        <v>1</v>
      </c>
      <c r="I6116" s="51">
        <v>8858.76</v>
      </c>
      <c r="J6116" s="281">
        <f>++Tabla4[[#This Row],[Precio Bruto]]*1.16</f>
        <v>10276.161599999999</v>
      </c>
      <c r="K6116" s="281">
        <f>+Tabla4[[#This Row],[Precio Unitario Neto]]*Tabla4[[#Headers],[20.85%]]</f>
        <v>2142.5796935999997</v>
      </c>
      <c r="L6116" s="282">
        <f>++Tabla4[[#This Row],[Precio Unitario Neto]]-Tabla4[[#This Row],[20.85%]]</f>
        <v>8133.5819063999998</v>
      </c>
      <c r="M6116" s="282" t="e">
        <f>(INDEX(Tabla6[#All],MATCH(Tabla4[[#This Row],[Producto]],Tabla6[[#All],[PRODUCTO]],0),MATCH(Tabla4[[#This Row],[Mes]],Tabla6[#Headers],0)))*(1+Catalogos!$L$2)</f>
        <v>#N/A</v>
      </c>
      <c r="N6116" s="283" t="e">
        <f>+(Tabla4[[#This Row],[Precio Descontado]]-Tabla4[[#This Row],[Precio Base]])*Tabla4[[#This Row],[Cantidad]]</f>
        <v>#N/A</v>
      </c>
      <c r="O6116" s="284" t="e">
        <f>++Tabla4[[#This Row],[Utilidad Total]]/Tabla4[[#This Row],[Total]]</f>
        <v>#N/A</v>
      </c>
      <c r="P6116" s="282">
        <f>++Tabla4[[#This Row],[Precio Descontado]]*Tabla4[[#This Row],[Cantidad]]</f>
        <v>8133.5819063999998</v>
      </c>
      <c r="Q6116" s="282" t="e">
        <f>(INDEX(Tabla6[#All],MATCH(Tabla4[[#This Row],[Producto]],Tabla6[[#All],[PRODUCTO]],0),MATCH(Tabla4[[#This Row],[Mes]],Tabla6[#Headers],0)))</f>
        <v>#N/A</v>
      </c>
      <c r="R6116" s="282" t="e">
        <f>++Tabla4[[#This Row],[Precio Unitario Neto]]-Tabla4[[#This Row],[20.85%]]-Tabla4[[#This Row],[Costo]]</f>
        <v>#N/A</v>
      </c>
      <c r="S6116" s="282" t="e">
        <f>++Tabla4[[#This Row],[U. Bruta Uni]]*Tabla4[[#This Row],[Cantidad]]</f>
        <v>#N/A</v>
      </c>
      <c r="T6116" s="369" t="str">
        <f>VLOOKUP(Tabla4[[#This Row],[Producto]],Tabla6[#All],14,FALSE)</f>
        <v>Termico Solar</v>
      </c>
      <c r="U6116" s="284" t="e">
        <f>(IF(Tabla4[[#This Row],[Familia]]="termico solar",Tabla4[[#This Row],[Utilidad Total]]*6%,Tabla4[[#This Row],[Utilidad Total]]*11.5%))/Tabla4[[#This Row],[Total]]</f>
        <v>#N/A</v>
      </c>
      <c r="V6116" s="282" t="e">
        <f>+Tabla4[[#This Row],[Comisión Calculada]]*Tabla4[[#This Row],[Total]]</f>
        <v>#N/A</v>
      </c>
    </row>
    <row r="6117" spans="1:22" hidden="1" x14ac:dyDescent="0.25">
      <c r="A6117" s="100">
        <v>45930</v>
      </c>
      <c r="B6117" t="str">
        <f t="shared" si="289"/>
        <v>September</v>
      </c>
      <c r="C6117" s="46" t="s">
        <v>280</v>
      </c>
      <c r="F6117" s="366" t="s">
        <v>3132</v>
      </c>
      <c r="G6117" s="46" t="s">
        <v>17</v>
      </c>
      <c r="H6117" s="46">
        <v>1</v>
      </c>
      <c r="I6117" s="51">
        <v>4622.28</v>
      </c>
      <c r="J6117" s="281">
        <f>++Tabla4[[#This Row],[Precio Bruto]]*1.16</f>
        <v>5361.8447999999989</v>
      </c>
      <c r="K6117" s="281">
        <f>+Tabla4[[#This Row],[Precio Unitario Neto]]*Tabla4[[#Headers],[20.85%]]</f>
        <v>1117.9446407999997</v>
      </c>
      <c r="L6117" s="282">
        <f>++Tabla4[[#This Row],[Precio Unitario Neto]]-Tabla4[[#This Row],[20.85%]]</f>
        <v>4243.9001591999995</v>
      </c>
      <c r="M6117" s="282" t="e">
        <f>(INDEX(Tabla6[#All],MATCH(Tabla4[[#This Row],[Producto]],Tabla6[[#All],[PRODUCTO]],0),MATCH(Tabla4[[#This Row],[Mes]],Tabla6[#Headers],0)))*(1+Catalogos!$L$2)</f>
        <v>#N/A</v>
      </c>
      <c r="N6117" s="283" t="e">
        <f>+(Tabla4[[#This Row],[Precio Descontado]]-Tabla4[[#This Row],[Precio Base]])*Tabla4[[#This Row],[Cantidad]]</f>
        <v>#N/A</v>
      </c>
      <c r="O6117" s="284" t="e">
        <f>++Tabla4[[#This Row],[Utilidad Total]]/Tabla4[[#This Row],[Total]]</f>
        <v>#N/A</v>
      </c>
      <c r="P6117" s="282">
        <f>++Tabla4[[#This Row],[Precio Descontado]]*Tabla4[[#This Row],[Cantidad]]</f>
        <v>4243.9001591999995</v>
      </c>
      <c r="Q6117" s="282" t="e">
        <f>(INDEX(Tabla6[#All],MATCH(Tabla4[[#This Row],[Producto]],Tabla6[[#All],[PRODUCTO]],0),MATCH(Tabla4[[#This Row],[Mes]],Tabla6[#Headers],0)))</f>
        <v>#N/A</v>
      </c>
      <c r="R6117" s="282" t="e">
        <f>++Tabla4[[#This Row],[Precio Unitario Neto]]-Tabla4[[#This Row],[20.85%]]-Tabla4[[#This Row],[Costo]]</f>
        <v>#N/A</v>
      </c>
      <c r="S6117" s="282" t="e">
        <f>++Tabla4[[#This Row],[U. Bruta Uni]]*Tabla4[[#This Row],[Cantidad]]</f>
        <v>#N/A</v>
      </c>
      <c r="T6117" s="369" t="str">
        <f>VLOOKUP(Tabla4[[#This Row],[Producto]],Tabla6[#All],14,FALSE)</f>
        <v>Termico Solar</v>
      </c>
      <c r="U6117" s="284" t="e">
        <f>(IF(Tabla4[[#This Row],[Familia]]="termico solar",Tabla4[[#This Row],[Utilidad Total]]*6%,Tabla4[[#This Row],[Utilidad Total]]*11.5%))/Tabla4[[#This Row],[Total]]</f>
        <v>#N/A</v>
      </c>
      <c r="V6117" s="282" t="e">
        <f>+Tabla4[[#This Row],[Comisión Calculada]]*Tabla4[[#This Row],[Total]]</f>
        <v>#N/A</v>
      </c>
    </row>
    <row r="6118" spans="1:22" hidden="1" x14ac:dyDescent="0.25">
      <c r="A6118" s="100">
        <v>45930</v>
      </c>
      <c r="B6118" t="str">
        <f t="shared" si="289"/>
        <v>September</v>
      </c>
      <c r="C6118" s="46" t="s">
        <v>280</v>
      </c>
      <c r="F6118" s="366" t="s">
        <v>3133</v>
      </c>
      <c r="G6118" s="46" t="s">
        <v>566</v>
      </c>
      <c r="H6118" s="46">
        <v>1</v>
      </c>
      <c r="I6118" s="51">
        <v>2109.4499999999998</v>
      </c>
      <c r="J6118" s="281">
        <f>++Tabla4[[#This Row],[Precio Bruto]]*1.16</f>
        <v>2446.9619999999995</v>
      </c>
      <c r="K6118" s="281">
        <f>+Tabla4[[#This Row],[Precio Unitario Neto]]*Tabla4[[#Headers],[20.85%]]</f>
        <v>510.19157699999988</v>
      </c>
      <c r="L6118" s="282">
        <f>++Tabla4[[#This Row],[Precio Unitario Neto]]-Tabla4[[#This Row],[20.85%]]</f>
        <v>1936.7704229999997</v>
      </c>
      <c r="M6118" s="282" t="e">
        <f>(INDEX(Tabla6[#All],MATCH(Tabla4[[#This Row],[Producto]],Tabla6[[#All],[PRODUCTO]],0),MATCH(Tabla4[[#This Row],[Mes]],Tabla6[#Headers],0)))*(1+Catalogos!$L$2)</f>
        <v>#N/A</v>
      </c>
      <c r="N6118" s="283" t="e">
        <f>+(Tabla4[[#This Row],[Precio Descontado]]-Tabla4[[#This Row],[Precio Base]])*Tabla4[[#This Row],[Cantidad]]</f>
        <v>#N/A</v>
      </c>
      <c r="O6118" s="284" t="e">
        <f>++Tabla4[[#This Row],[Utilidad Total]]/Tabla4[[#This Row],[Total]]</f>
        <v>#N/A</v>
      </c>
      <c r="P6118" s="282">
        <f>++Tabla4[[#This Row],[Precio Descontado]]*Tabla4[[#This Row],[Cantidad]]</f>
        <v>1936.7704229999997</v>
      </c>
      <c r="Q6118" s="282" t="e">
        <f>(INDEX(Tabla6[#All],MATCH(Tabla4[[#This Row],[Producto]],Tabla6[[#All],[PRODUCTO]],0),MATCH(Tabla4[[#This Row],[Mes]],Tabla6[#Headers],0)))</f>
        <v>#N/A</v>
      </c>
      <c r="R6118" s="282" t="e">
        <f>++Tabla4[[#This Row],[Precio Unitario Neto]]-Tabla4[[#This Row],[20.85%]]-Tabla4[[#This Row],[Costo]]</f>
        <v>#N/A</v>
      </c>
      <c r="S6118" s="282" t="e">
        <f>++Tabla4[[#This Row],[U. Bruta Uni]]*Tabla4[[#This Row],[Cantidad]]</f>
        <v>#N/A</v>
      </c>
      <c r="T6118" s="369" t="str">
        <f>VLOOKUP(Tabla4[[#This Row],[Producto]],Tabla6[#All],14,FALSE)</f>
        <v>Termico Solar</v>
      </c>
      <c r="U6118" s="284" t="e">
        <f>(IF(Tabla4[[#This Row],[Familia]]="termico solar",Tabla4[[#This Row],[Utilidad Total]]*6%,Tabla4[[#This Row],[Utilidad Total]]*11.5%))/Tabla4[[#This Row],[Total]]</f>
        <v>#N/A</v>
      </c>
      <c r="V6118" s="282" t="e">
        <f>+Tabla4[[#This Row],[Comisión Calculada]]*Tabla4[[#This Row],[Total]]</f>
        <v>#N/A</v>
      </c>
    </row>
    <row r="6119" spans="1:22" hidden="1" x14ac:dyDescent="0.25">
      <c r="A6119" s="100">
        <v>45930</v>
      </c>
      <c r="B6119" t="str">
        <f t="shared" si="289"/>
        <v>September</v>
      </c>
      <c r="C6119" s="46" t="s">
        <v>280</v>
      </c>
      <c r="F6119" s="366" t="s">
        <v>3133</v>
      </c>
      <c r="G6119" s="46" t="s">
        <v>412</v>
      </c>
      <c r="H6119" s="46">
        <v>1</v>
      </c>
      <c r="I6119" s="51">
        <v>3240.84</v>
      </c>
      <c r="J6119" s="281">
        <f>++Tabla4[[#This Row],[Precio Bruto]]*1.16</f>
        <v>3759.3743999999997</v>
      </c>
      <c r="K6119" s="281">
        <f>+Tabla4[[#This Row],[Precio Unitario Neto]]*Tabla4[[#Headers],[20.85%]]</f>
        <v>783.82956239999987</v>
      </c>
      <c r="L6119" s="282">
        <f>++Tabla4[[#This Row],[Precio Unitario Neto]]-Tabla4[[#This Row],[20.85%]]</f>
        <v>2975.5448375999999</v>
      </c>
      <c r="M6119" s="282" t="e">
        <f>(INDEX(Tabla6[#All],MATCH(Tabla4[[#This Row],[Producto]],Tabla6[[#All],[PRODUCTO]],0),MATCH(Tabla4[[#This Row],[Mes]],Tabla6[#Headers],0)))*(1+Catalogos!$L$2)</f>
        <v>#N/A</v>
      </c>
      <c r="N6119" s="283" t="e">
        <f>+(Tabla4[[#This Row],[Precio Descontado]]-Tabla4[[#This Row],[Precio Base]])*Tabla4[[#This Row],[Cantidad]]</f>
        <v>#N/A</v>
      </c>
      <c r="O6119" s="284" t="e">
        <f>++Tabla4[[#This Row],[Utilidad Total]]/Tabla4[[#This Row],[Total]]</f>
        <v>#N/A</v>
      </c>
      <c r="P6119" s="282">
        <f>++Tabla4[[#This Row],[Precio Descontado]]*Tabla4[[#This Row],[Cantidad]]</f>
        <v>2975.5448375999999</v>
      </c>
      <c r="Q6119" s="282" t="e">
        <f>(INDEX(Tabla6[#All],MATCH(Tabla4[[#This Row],[Producto]],Tabla6[[#All],[PRODUCTO]],0),MATCH(Tabla4[[#This Row],[Mes]],Tabla6[#Headers],0)))</f>
        <v>#N/A</v>
      </c>
      <c r="R6119" s="282" t="e">
        <f>++Tabla4[[#This Row],[Precio Unitario Neto]]-Tabla4[[#This Row],[20.85%]]-Tabla4[[#This Row],[Costo]]</f>
        <v>#N/A</v>
      </c>
      <c r="S6119" s="282" t="e">
        <f>++Tabla4[[#This Row],[U. Bruta Uni]]*Tabla4[[#This Row],[Cantidad]]</f>
        <v>#N/A</v>
      </c>
      <c r="T6119" s="369" t="str">
        <f>VLOOKUP(Tabla4[[#This Row],[Producto]],Tabla6[#All],14,FALSE)</f>
        <v>Termico Solar</v>
      </c>
      <c r="U6119" s="284" t="e">
        <f>(IF(Tabla4[[#This Row],[Familia]]="termico solar",Tabla4[[#This Row],[Utilidad Total]]*6%,Tabla4[[#This Row],[Utilidad Total]]*11.5%))/Tabla4[[#This Row],[Total]]</f>
        <v>#N/A</v>
      </c>
      <c r="V6119" s="282" t="e">
        <f>+Tabla4[[#This Row],[Comisión Calculada]]*Tabla4[[#This Row],[Total]]</f>
        <v>#N/A</v>
      </c>
    </row>
    <row r="6120" spans="1:22" hidden="1" x14ac:dyDescent="0.25">
      <c r="A6120" s="100">
        <v>45930</v>
      </c>
      <c r="B6120" t="str">
        <f t="shared" si="289"/>
        <v>September</v>
      </c>
      <c r="C6120" s="46" t="s">
        <v>280</v>
      </c>
      <c r="F6120" s="366" t="s">
        <v>3133</v>
      </c>
      <c r="G6120" s="46" t="s">
        <v>394</v>
      </c>
      <c r="H6120" s="46">
        <v>9</v>
      </c>
      <c r="I6120" s="51">
        <v>108.1</v>
      </c>
      <c r="J6120" s="281">
        <f>++Tabla4[[#This Row],[Precio Bruto]]*1.16</f>
        <v>125.39599999999999</v>
      </c>
      <c r="K6120" s="281">
        <f>+Tabla4[[#This Row],[Precio Unitario Neto]]*Tabla4[[#Headers],[20.85%]]</f>
        <v>26.145065999999996</v>
      </c>
      <c r="L6120" s="282">
        <f>++Tabla4[[#This Row],[Precio Unitario Neto]]-Tabla4[[#This Row],[20.85%]]</f>
        <v>99.250933999999987</v>
      </c>
      <c r="M6120" s="282" t="e">
        <f>(INDEX(Tabla6[#All],MATCH(Tabla4[[#This Row],[Producto]],Tabla6[[#All],[PRODUCTO]],0),MATCH(Tabla4[[#This Row],[Mes]],Tabla6[#Headers],0)))*(1+Catalogos!$L$2)</f>
        <v>#N/A</v>
      </c>
      <c r="N6120" s="283" t="e">
        <f>+(Tabla4[[#This Row],[Precio Descontado]]-Tabla4[[#This Row],[Precio Base]])*Tabla4[[#This Row],[Cantidad]]</f>
        <v>#N/A</v>
      </c>
      <c r="O6120" s="284" t="e">
        <f>++Tabla4[[#This Row],[Utilidad Total]]/Tabla4[[#This Row],[Total]]</f>
        <v>#N/A</v>
      </c>
      <c r="P6120" s="282">
        <f>++Tabla4[[#This Row],[Precio Descontado]]*Tabla4[[#This Row],[Cantidad]]</f>
        <v>893.25840599999992</v>
      </c>
      <c r="Q6120" s="282" t="e">
        <f>(INDEX(Tabla6[#All],MATCH(Tabla4[[#This Row],[Producto]],Tabla6[[#All],[PRODUCTO]],0),MATCH(Tabla4[[#This Row],[Mes]],Tabla6[#Headers],0)))</f>
        <v>#N/A</v>
      </c>
      <c r="R6120" s="282" t="e">
        <f>++Tabla4[[#This Row],[Precio Unitario Neto]]-Tabla4[[#This Row],[20.85%]]-Tabla4[[#This Row],[Costo]]</f>
        <v>#N/A</v>
      </c>
      <c r="S6120" s="282" t="e">
        <f>++Tabla4[[#This Row],[U. Bruta Uni]]*Tabla4[[#This Row],[Cantidad]]</f>
        <v>#N/A</v>
      </c>
      <c r="T6120" s="369" t="str">
        <f>VLOOKUP(Tabla4[[#This Row],[Producto]],Tabla6[#All],14,FALSE)</f>
        <v>Termico Solar</v>
      </c>
      <c r="U6120" s="284" t="e">
        <f>(IF(Tabla4[[#This Row],[Familia]]="termico solar",Tabla4[[#This Row],[Utilidad Total]]*6%,Tabla4[[#This Row],[Utilidad Total]]*11.5%))/Tabla4[[#This Row],[Total]]</f>
        <v>#N/A</v>
      </c>
      <c r="V6120" s="282" t="e">
        <f>+Tabla4[[#This Row],[Comisión Calculada]]*Tabla4[[#This Row],[Total]]</f>
        <v>#N/A</v>
      </c>
    </row>
    <row r="6121" spans="1:22" hidden="1" x14ac:dyDescent="0.25">
      <c r="A6121" s="100">
        <v>45930</v>
      </c>
      <c r="B6121" t="str">
        <f t="shared" si="289"/>
        <v>September</v>
      </c>
      <c r="C6121" s="46" t="s">
        <v>280</v>
      </c>
      <c r="F6121" s="366" t="s">
        <v>3133</v>
      </c>
      <c r="G6121" s="46" t="s">
        <v>555</v>
      </c>
      <c r="H6121" s="46">
        <v>8</v>
      </c>
      <c r="I6121" s="51">
        <v>389.47</v>
      </c>
      <c r="J6121" s="281">
        <f>++Tabla4[[#This Row],[Precio Bruto]]*1.16</f>
        <v>451.78519999999997</v>
      </c>
      <c r="K6121" s="281">
        <f>+Tabla4[[#This Row],[Precio Unitario Neto]]*Tabla4[[#Headers],[20.85%]]</f>
        <v>94.197214199999991</v>
      </c>
      <c r="L6121" s="282">
        <f>++Tabla4[[#This Row],[Precio Unitario Neto]]-Tabla4[[#This Row],[20.85%]]</f>
        <v>357.58798579999996</v>
      </c>
      <c r="M6121" s="282" t="e">
        <f>(INDEX(Tabla6[#All],MATCH(Tabla4[[#This Row],[Producto]],Tabla6[[#All],[PRODUCTO]],0),MATCH(Tabla4[[#This Row],[Mes]],Tabla6[#Headers],0)))*(1+Catalogos!$L$2)</f>
        <v>#N/A</v>
      </c>
      <c r="N6121" s="283" t="e">
        <f>+(Tabla4[[#This Row],[Precio Descontado]]-Tabla4[[#This Row],[Precio Base]])*Tabla4[[#This Row],[Cantidad]]</f>
        <v>#N/A</v>
      </c>
      <c r="O6121" s="284" t="e">
        <f>++Tabla4[[#This Row],[Utilidad Total]]/Tabla4[[#This Row],[Total]]</f>
        <v>#N/A</v>
      </c>
      <c r="P6121" s="282">
        <f>++Tabla4[[#This Row],[Precio Descontado]]*Tabla4[[#This Row],[Cantidad]]</f>
        <v>2860.7038863999996</v>
      </c>
      <c r="Q6121" s="282" t="e">
        <f>(INDEX(Tabla6[#All],MATCH(Tabla4[[#This Row],[Producto]],Tabla6[[#All],[PRODUCTO]],0),MATCH(Tabla4[[#This Row],[Mes]],Tabla6[#Headers],0)))</f>
        <v>#N/A</v>
      </c>
      <c r="R6121" s="282" t="e">
        <f>++Tabla4[[#This Row],[Precio Unitario Neto]]-Tabla4[[#This Row],[20.85%]]-Tabla4[[#This Row],[Costo]]</f>
        <v>#N/A</v>
      </c>
      <c r="S6121" s="282" t="e">
        <f>++Tabla4[[#This Row],[U. Bruta Uni]]*Tabla4[[#This Row],[Cantidad]]</f>
        <v>#N/A</v>
      </c>
      <c r="T6121" s="369" t="str">
        <f>VLOOKUP(Tabla4[[#This Row],[Producto]],Tabla6[#All],14,FALSE)</f>
        <v>Termico Solar</v>
      </c>
      <c r="U6121" s="284" t="e">
        <f>(IF(Tabla4[[#This Row],[Familia]]="termico solar",Tabla4[[#This Row],[Utilidad Total]]*6%,Tabla4[[#This Row],[Utilidad Total]]*11.5%))/Tabla4[[#This Row],[Total]]</f>
        <v>#N/A</v>
      </c>
      <c r="V6121" s="282" t="e">
        <f>+Tabla4[[#This Row],[Comisión Calculada]]*Tabla4[[#This Row],[Total]]</f>
        <v>#N/A</v>
      </c>
    </row>
    <row r="6122" spans="1:22" hidden="1" x14ac:dyDescent="0.25">
      <c r="A6122" s="100">
        <v>45930</v>
      </c>
      <c r="B6122" t="str">
        <f t="shared" si="289"/>
        <v>September</v>
      </c>
      <c r="C6122" s="46" t="s">
        <v>280</v>
      </c>
      <c r="F6122" s="366" t="s">
        <v>3133</v>
      </c>
      <c r="G6122" s="46" t="s">
        <v>208</v>
      </c>
      <c r="H6122" s="46">
        <v>1</v>
      </c>
      <c r="I6122" s="51">
        <v>189.75</v>
      </c>
      <c r="J6122" s="281">
        <f>++Tabla4[[#This Row],[Precio Bruto]]*1.16</f>
        <v>220.10999999999999</v>
      </c>
      <c r="K6122" s="281">
        <f>+Tabla4[[#This Row],[Precio Unitario Neto]]*Tabla4[[#Headers],[20.85%]]</f>
        <v>45.892934999999994</v>
      </c>
      <c r="L6122" s="282">
        <f>++Tabla4[[#This Row],[Precio Unitario Neto]]-Tabla4[[#This Row],[20.85%]]</f>
        <v>174.21706499999999</v>
      </c>
      <c r="M6122" s="282" t="e">
        <f>(INDEX(Tabla6[#All],MATCH(Tabla4[[#This Row],[Producto]],Tabla6[[#All],[PRODUCTO]],0),MATCH(Tabla4[[#This Row],[Mes]],Tabla6[#Headers],0)))*(1+Catalogos!$L$2)</f>
        <v>#N/A</v>
      </c>
      <c r="N6122" s="283" t="e">
        <f>+(Tabla4[[#This Row],[Precio Descontado]]-Tabla4[[#This Row],[Precio Base]])*Tabla4[[#This Row],[Cantidad]]</f>
        <v>#N/A</v>
      </c>
      <c r="O6122" s="284" t="e">
        <f>++Tabla4[[#This Row],[Utilidad Total]]/Tabla4[[#This Row],[Total]]</f>
        <v>#N/A</v>
      </c>
      <c r="P6122" s="282">
        <f>++Tabla4[[#This Row],[Precio Descontado]]*Tabla4[[#This Row],[Cantidad]]</f>
        <v>174.21706499999999</v>
      </c>
      <c r="Q6122" s="282" t="e">
        <f>(INDEX(Tabla6[#All],MATCH(Tabla4[[#This Row],[Producto]],Tabla6[[#All],[PRODUCTO]],0),MATCH(Tabla4[[#This Row],[Mes]],Tabla6[#Headers],0)))</f>
        <v>#N/A</v>
      </c>
      <c r="R6122" s="282" t="e">
        <f>++Tabla4[[#This Row],[Precio Unitario Neto]]-Tabla4[[#This Row],[20.85%]]-Tabla4[[#This Row],[Costo]]</f>
        <v>#N/A</v>
      </c>
      <c r="S6122" s="282" t="e">
        <f>++Tabla4[[#This Row],[U. Bruta Uni]]*Tabla4[[#This Row],[Cantidad]]</f>
        <v>#N/A</v>
      </c>
      <c r="T6122" s="369" t="str">
        <f>VLOOKUP(Tabla4[[#This Row],[Producto]],Tabla6[#All],14,FALSE)</f>
        <v>Termico Solar</v>
      </c>
      <c r="U6122" s="284" t="e">
        <f>(IF(Tabla4[[#This Row],[Familia]]="termico solar",Tabla4[[#This Row],[Utilidad Total]]*6%,Tabla4[[#This Row],[Utilidad Total]]*11.5%))/Tabla4[[#This Row],[Total]]</f>
        <v>#N/A</v>
      </c>
      <c r="V6122" s="282" t="e">
        <f>+Tabla4[[#This Row],[Comisión Calculada]]*Tabla4[[#This Row],[Total]]</f>
        <v>#N/A</v>
      </c>
    </row>
    <row r="6123" spans="1:22" hidden="1" x14ac:dyDescent="0.25">
      <c r="A6123" s="100">
        <v>45930</v>
      </c>
      <c r="B6123" t="str">
        <f t="shared" si="289"/>
        <v>September</v>
      </c>
      <c r="C6123" s="46" t="s">
        <v>280</v>
      </c>
      <c r="F6123" s="366" t="s">
        <v>3134</v>
      </c>
      <c r="G6123" s="46" t="s">
        <v>83</v>
      </c>
      <c r="H6123" s="46">
        <v>2</v>
      </c>
      <c r="I6123" s="51">
        <v>8858.76</v>
      </c>
      <c r="J6123" s="281">
        <f>++Tabla4[[#This Row],[Precio Bruto]]*1.16</f>
        <v>10276.161599999999</v>
      </c>
      <c r="K6123" s="281">
        <f>+Tabla4[[#This Row],[Precio Unitario Neto]]*Tabla4[[#Headers],[20.85%]]</f>
        <v>2142.5796935999997</v>
      </c>
      <c r="L6123" s="282">
        <f>++Tabla4[[#This Row],[Precio Unitario Neto]]-Tabla4[[#This Row],[20.85%]]</f>
        <v>8133.5819063999998</v>
      </c>
      <c r="M6123" s="282" t="e">
        <f>(INDEX(Tabla6[#All],MATCH(Tabla4[[#This Row],[Producto]],Tabla6[[#All],[PRODUCTO]],0),MATCH(Tabla4[[#This Row],[Mes]],Tabla6[#Headers],0)))*(1+Catalogos!$L$2)</f>
        <v>#N/A</v>
      </c>
      <c r="N6123" s="283" t="e">
        <f>+(Tabla4[[#This Row],[Precio Descontado]]-Tabla4[[#This Row],[Precio Base]])*Tabla4[[#This Row],[Cantidad]]</f>
        <v>#N/A</v>
      </c>
      <c r="O6123" s="284" t="e">
        <f>++Tabla4[[#This Row],[Utilidad Total]]/Tabla4[[#This Row],[Total]]</f>
        <v>#N/A</v>
      </c>
      <c r="P6123" s="282">
        <f>++Tabla4[[#This Row],[Precio Descontado]]*Tabla4[[#This Row],[Cantidad]]</f>
        <v>16267.1638128</v>
      </c>
      <c r="Q6123" s="282" t="e">
        <f>(INDEX(Tabla6[#All],MATCH(Tabla4[[#This Row],[Producto]],Tabla6[[#All],[PRODUCTO]],0),MATCH(Tabla4[[#This Row],[Mes]],Tabla6[#Headers],0)))</f>
        <v>#N/A</v>
      </c>
      <c r="R6123" s="282" t="e">
        <f>++Tabla4[[#This Row],[Precio Unitario Neto]]-Tabla4[[#This Row],[20.85%]]-Tabla4[[#This Row],[Costo]]</f>
        <v>#N/A</v>
      </c>
      <c r="S6123" s="282" t="e">
        <f>++Tabla4[[#This Row],[U. Bruta Uni]]*Tabla4[[#This Row],[Cantidad]]</f>
        <v>#N/A</v>
      </c>
      <c r="T6123" s="369" t="str">
        <f>VLOOKUP(Tabla4[[#This Row],[Producto]],Tabla6[#All],14,FALSE)</f>
        <v>Termico Solar</v>
      </c>
      <c r="U6123" s="284" t="e">
        <f>(IF(Tabla4[[#This Row],[Familia]]="termico solar",Tabla4[[#This Row],[Utilidad Total]]*6%,Tabla4[[#This Row],[Utilidad Total]]*11.5%))/Tabla4[[#This Row],[Total]]</f>
        <v>#N/A</v>
      </c>
      <c r="V6123" s="282" t="e">
        <f>+Tabla4[[#This Row],[Comisión Calculada]]*Tabla4[[#This Row],[Total]]</f>
        <v>#N/A</v>
      </c>
    </row>
    <row r="6124" spans="1:22" hidden="1" x14ac:dyDescent="0.25">
      <c r="A6124" s="100">
        <v>45930</v>
      </c>
      <c r="B6124" t="str">
        <f t="shared" si="289"/>
        <v>September</v>
      </c>
      <c r="C6124" s="46" t="s">
        <v>280</v>
      </c>
      <c r="F6124" s="366" t="s">
        <v>3135</v>
      </c>
      <c r="G6124" s="46" t="s">
        <v>83</v>
      </c>
      <c r="H6124" s="46">
        <v>2</v>
      </c>
      <c r="I6124" s="51">
        <v>8858.76</v>
      </c>
      <c r="J6124" s="281">
        <f>++Tabla4[[#This Row],[Precio Bruto]]*1.16</f>
        <v>10276.161599999999</v>
      </c>
      <c r="K6124" s="281">
        <f>+Tabla4[[#This Row],[Precio Unitario Neto]]*Tabla4[[#Headers],[20.85%]]</f>
        <v>2142.5796935999997</v>
      </c>
      <c r="L6124" s="282">
        <f>++Tabla4[[#This Row],[Precio Unitario Neto]]-Tabla4[[#This Row],[20.85%]]</f>
        <v>8133.5819063999998</v>
      </c>
      <c r="M6124" s="282" t="e">
        <f>(INDEX(Tabla6[#All],MATCH(Tabla4[[#This Row],[Producto]],Tabla6[[#All],[PRODUCTO]],0),MATCH(Tabla4[[#This Row],[Mes]],Tabla6[#Headers],0)))*(1+Catalogos!$L$2)</f>
        <v>#N/A</v>
      </c>
      <c r="N6124" s="283" t="e">
        <f>+(Tabla4[[#This Row],[Precio Descontado]]-Tabla4[[#This Row],[Precio Base]])*Tabla4[[#This Row],[Cantidad]]</f>
        <v>#N/A</v>
      </c>
      <c r="O6124" s="284" t="e">
        <f>++Tabla4[[#This Row],[Utilidad Total]]/Tabla4[[#This Row],[Total]]</f>
        <v>#N/A</v>
      </c>
      <c r="P6124" s="282">
        <f>++Tabla4[[#This Row],[Precio Descontado]]*Tabla4[[#This Row],[Cantidad]]</f>
        <v>16267.1638128</v>
      </c>
      <c r="Q6124" s="282" t="e">
        <f>(INDEX(Tabla6[#All],MATCH(Tabla4[[#This Row],[Producto]],Tabla6[[#All],[PRODUCTO]],0),MATCH(Tabla4[[#This Row],[Mes]],Tabla6[#Headers],0)))</f>
        <v>#N/A</v>
      </c>
      <c r="R6124" s="282" t="e">
        <f>++Tabla4[[#This Row],[Precio Unitario Neto]]-Tabla4[[#This Row],[20.85%]]-Tabla4[[#This Row],[Costo]]</f>
        <v>#N/A</v>
      </c>
      <c r="S6124" s="282" t="e">
        <f>++Tabla4[[#This Row],[U. Bruta Uni]]*Tabla4[[#This Row],[Cantidad]]</f>
        <v>#N/A</v>
      </c>
      <c r="T6124" s="369" t="str">
        <f>VLOOKUP(Tabla4[[#This Row],[Producto]],Tabla6[#All],14,FALSE)</f>
        <v>Termico Solar</v>
      </c>
      <c r="U6124" s="284" t="e">
        <f>(IF(Tabla4[[#This Row],[Familia]]="termico solar",Tabla4[[#This Row],[Utilidad Total]]*6%,Tabla4[[#This Row],[Utilidad Total]]*11.5%))/Tabla4[[#This Row],[Total]]</f>
        <v>#N/A</v>
      </c>
      <c r="V6124" s="282" t="e">
        <f>+Tabla4[[#This Row],[Comisión Calculada]]*Tabla4[[#This Row],[Total]]</f>
        <v>#N/A</v>
      </c>
    </row>
    <row r="6125" spans="1:22" hidden="1" x14ac:dyDescent="0.25">
      <c r="A6125" s="100">
        <v>45930</v>
      </c>
      <c r="B6125" t="str">
        <f t="shared" si="289"/>
        <v>September</v>
      </c>
      <c r="C6125" s="46" t="s">
        <v>280</v>
      </c>
      <c r="F6125" s="366" t="s">
        <v>3135</v>
      </c>
      <c r="G6125" s="46" t="s">
        <v>17</v>
      </c>
      <c r="H6125" s="46">
        <v>3</v>
      </c>
      <c r="I6125" s="51">
        <v>4622.28</v>
      </c>
      <c r="J6125" s="281">
        <f>++Tabla4[[#This Row],[Precio Bruto]]*1.16</f>
        <v>5361.8447999999989</v>
      </c>
      <c r="K6125" s="281">
        <f>+Tabla4[[#This Row],[Precio Unitario Neto]]*Tabla4[[#Headers],[20.85%]]</f>
        <v>1117.9446407999997</v>
      </c>
      <c r="L6125" s="282">
        <f>++Tabla4[[#This Row],[Precio Unitario Neto]]-Tabla4[[#This Row],[20.85%]]</f>
        <v>4243.9001591999995</v>
      </c>
      <c r="M6125" s="282" t="e">
        <f>(INDEX(Tabla6[#All],MATCH(Tabla4[[#This Row],[Producto]],Tabla6[[#All],[PRODUCTO]],0),MATCH(Tabla4[[#This Row],[Mes]],Tabla6[#Headers],0)))*(1+Catalogos!$L$2)</f>
        <v>#N/A</v>
      </c>
      <c r="N6125" s="283" t="e">
        <f>+(Tabla4[[#This Row],[Precio Descontado]]-Tabla4[[#This Row],[Precio Base]])*Tabla4[[#This Row],[Cantidad]]</f>
        <v>#N/A</v>
      </c>
      <c r="O6125" s="284" t="e">
        <f>++Tabla4[[#This Row],[Utilidad Total]]/Tabla4[[#This Row],[Total]]</f>
        <v>#N/A</v>
      </c>
      <c r="P6125" s="282">
        <f>++Tabla4[[#This Row],[Precio Descontado]]*Tabla4[[#This Row],[Cantidad]]</f>
        <v>12731.700477599999</v>
      </c>
      <c r="Q6125" s="282" t="e">
        <f>(INDEX(Tabla6[#All],MATCH(Tabla4[[#This Row],[Producto]],Tabla6[[#All],[PRODUCTO]],0),MATCH(Tabla4[[#This Row],[Mes]],Tabla6[#Headers],0)))</f>
        <v>#N/A</v>
      </c>
      <c r="R6125" s="282" t="e">
        <f>++Tabla4[[#This Row],[Precio Unitario Neto]]-Tabla4[[#This Row],[20.85%]]-Tabla4[[#This Row],[Costo]]</f>
        <v>#N/A</v>
      </c>
      <c r="S6125" s="282" t="e">
        <f>++Tabla4[[#This Row],[U. Bruta Uni]]*Tabla4[[#This Row],[Cantidad]]</f>
        <v>#N/A</v>
      </c>
      <c r="T6125" s="369" t="str">
        <f>VLOOKUP(Tabla4[[#This Row],[Producto]],Tabla6[#All],14,FALSE)</f>
        <v>Termico Solar</v>
      </c>
      <c r="U6125" s="284" t="e">
        <f>(IF(Tabla4[[#This Row],[Familia]]="termico solar",Tabla4[[#This Row],[Utilidad Total]]*6%,Tabla4[[#This Row],[Utilidad Total]]*11.5%))/Tabla4[[#This Row],[Total]]</f>
        <v>#N/A</v>
      </c>
      <c r="V6125" s="282" t="e">
        <f>+Tabla4[[#This Row],[Comisión Calculada]]*Tabla4[[#This Row],[Total]]</f>
        <v>#N/A</v>
      </c>
    </row>
    <row r="6126" spans="1:22" hidden="1" x14ac:dyDescent="0.25">
      <c r="A6126" s="100">
        <v>45930</v>
      </c>
      <c r="B6126" t="str">
        <f t="shared" si="289"/>
        <v>September</v>
      </c>
      <c r="C6126" s="46" t="s">
        <v>280</v>
      </c>
      <c r="F6126" s="366" t="s">
        <v>3136</v>
      </c>
      <c r="G6126" s="46" t="s">
        <v>566</v>
      </c>
      <c r="H6126" s="46">
        <v>2</v>
      </c>
      <c r="I6126" s="51">
        <v>2109.4499999999998</v>
      </c>
      <c r="J6126" s="281">
        <f>++Tabla4[[#This Row],[Precio Bruto]]*1.16</f>
        <v>2446.9619999999995</v>
      </c>
      <c r="K6126" s="281">
        <f>+Tabla4[[#This Row],[Precio Unitario Neto]]*Tabla4[[#Headers],[20.85%]]</f>
        <v>510.19157699999988</v>
      </c>
      <c r="L6126" s="282">
        <f>++Tabla4[[#This Row],[Precio Unitario Neto]]-Tabla4[[#This Row],[20.85%]]</f>
        <v>1936.7704229999997</v>
      </c>
      <c r="M6126" s="282" t="e">
        <f>(INDEX(Tabla6[#All],MATCH(Tabla4[[#This Row],[Producto]],Tabla6[[#All],[PRODUCTO]],0),MATCH(Tabla4[[#This Row],[Mes]],Tabla6[#Headers],0)))*(1+Catalogos!$L$2)</f>
        <v>#N/A</v>
      </c>
      <c r="N6126" s="283" t="e">
        <f>+(Tabla4[[#This Row],[Precio Descontado]]-Tabla4[[#This Row],[Precio Base]])*Tabla4[[#This Row],[Cantidad]]</f>
        <v>#N/A</v>
      </c>
      <c r="O6126" s="284" t="e">
        <f>++Tabla4[[#This Row],[Utilidad Total]]/Tabla4[[#This Row],[Total]]</f>
        <v>#N/A</v>
      </c>
      <c r="P6126" s="282">
        <f>++Tabla4[[#This Row],[Precio Descontado]]*Tabla4[[#This Row],[Cantidad]]</f>
        <v>3873.5408459999994</v>
      </c>
      <c r="Q6126" s="282" t="e">
        <f>(INDEX(Tabla6[#All],MATCH(Tabla4[[#This Row],[Producto]],Tabla6[[#All],[PRODUCTO]],0),MATCH(Tabla4[[#This Row],[Mes]],Tabla6[#Headers],0)))</f>
        <v>#N/A</v>
      </c>
      <c r="R6126" s="282" t="e">
        <f>++Tabla4[[#This Row],[Precio Unitario Neto]]-Tabla4[[#This Row],[20.85%]]-Tabla4[[#This Row],[Costo]]</f>
        <v>#N/A</v>
      </c>
      <c r="S6126" s="282" t="e">
        <f>++Tabla4[[#This Row],[U. Bruta Uni]]*Tabla4[[#This Row],[Cantidad]]</f>
        <v>#N/A</v>
      </c>
      <c r="T6126" s="369" t="str">
        <f>VLOOKUP(Tabla4[[#This Row],[Producto]],Tabla6[#All],14,FALSE)</f>
        <v>Termico Solar</v>
      </c>
      <c r="U6126" s="284" t="e">
        <f>(IF(Tabla4[[#This Row],[Familia]]="termico solar",Tabla4[[#This Row],[Utilidad Total]]*6%,Tabla4[[#This Row],[Utilidad Total]]*11.5%))/Tabla4[[#This Row],[Total]]</f>
        <v>#N/A</v>
      </c>
      <c r="V6126" s="282" t="e">
        <f>+Tabla4[[#This Row],[Comisión Calculada]]*Tabla4[[#This Row],[Total]]</f>
        <v>#N/A</v>
      </c>
    </row>
    <row r="6127" spans="1:22" hidden="1" x14ac:dyDescent="0.25">
      <c r="A6127" s="100">
        <v>45930</v>
      </c>
      <c r="B6127" t="str">
        <f t="shared" si="289"/>
        <v>September</v>
      </c>
      <c r="C6127" s="46" t="s">
        <v>280</v>
      </c>
      <c r="F6127" s="366" t="s">
        <v>3136</v>
      </c>
      <c r="G6127" s="46" t="s">
        <v>412</v>
      </c>
      <c r="H6127" s="46">
        <v>1</v>
      </c>
      <c r="I6127" s="51">
        <v>3240.84</v>
      </c>
      <c r="J6127" s="281">
        <f>++Tabla4[[#This Row],[Precio Bruto]]*1.16</f>
        <v>3759.3743999999997</v>
      </c>
      <c r="K6127" s="281">
        <f>+Tabla4[[#This Row],[Precio Unitario Neto]]*Tabla4[[#Headers],[20.85%]]</f>
        <v>783.82956239999987</v>
      </c>
      <c r="L6127" s="282">
        <f>++Tabla4[[#This Row],[Precio Unitario Neto]]-Tabla4[[#This Row],[20.85%]]</f>
        <v>2975.5448375999999</v>
      </c>
      <c r="M6127" s="282" t="e">
        <f>(INDEX(Tabla6[#All],MATCH(Tabla4[[#This Row],[Producto]],Tabla6[[#All],[PRODUCTO]],0),MATCH(Tabla4[[#This Row],[Mes]],Tabla6[#Headers],0)))*(1+Catalogos!$L$2)</f>
        <v>#N/A</v>
      </c>
      <c r="N6127" s="283" t="e">
        <f>+(Tabla4[[#This Row],[Precio Descontado]]-Tabla4[[#This Row],[Precio Base]])*Tabla4[[#This Row],[Cantidad]]</f>
        <v>#N/A</v>
      </c>
      <c r="O6127" s="284" t="e">
        <f>++Tabla4[[#This Row],[Utilidad Total]]/Tabla4[[#This Row],[Total]]</f>
        <v>#N/A</v>
      </c>
      <c r="P6127" s="282">
        <f>++Tabla4[[#This Row],[Precio Descontado]]*Tabla4[[#This Row],[Cantidad]]</f>
        <v>2975.5448375999999</v>
      </c>
      <c r="Q6127" s="282" t="e">
        <f>(INDEX(Tabla6[#All],MATCH(Tabla4[[#This Row],[Producto]],Tabla6[[#All],[PRODUCTO]],0),MATCH(Tabla4[[#This Row],[Mes]],Tabla6[#Headers],0)))</f>
        <v>#N/A</v>
      </c>
      <c r="R6127" s="282" t="e">
        <f>++Tabla4[[#This Row],[Precio Unitario Neto]]-Tabla4[[#This Row],[20.85%]]-Tabla4[[#This Row],[Costo]]</f>
        <v>#N/A</v>
      </c>
      <c r="S6127" s="282" t="e">
        <f>++Tabla4[[#This Row],[U. Bruta Uni]]*Tabla4[[#This Row],[Cantidad]]</f>
        <v>#N/A</v>
      </c>
      <c r="T6127" s="369" t="str">
        <f>VLOOKUP(Tabla4[[#This Row],[Producto]],Tabla6[#All],14,FALSE)</f>
        <v>Termico Solar</v>
      </c>
      <c r="U6127" s="284" t="e">
        <f>(IF(Tabla4[[#This Row],[Familia]]="termico solar",Tabla4[[#This Row],[Utilidad Total]]*6%,Tabla4[[#This Row],[Utilidad Total]]*11.5%))/Tabla4[[#This Row],[Total]]</f>
        <v>#N/A</v>
      </c>
      <c r="V6127" s="282" t="e">
        <f>+Tabla4[[#This Row],[Comisión Calculada]]*Tabla4[[#This Row],[Total]]</f>
        <v>#N/A</v>
      </c>
    </row>
    <row r="6128" spans="1:22" hidden="1" x14ac:dyDescent="0.25">
      <c r="A6128" s="100">
        <v>45930</v>
      </c>
      <c r="B6128" t="str">
        <f t="shared" ref="B6128:B6133" si="290">TEXT(A6128, "mmmm")</f>
        <v>September</v>
      </c>
      <c r="C6128" s="46" t="s">
        <v>280</v>
      </c>
      <c r="F6128" s="366" t="s">
        <v>3137</v>
      </c>
      <c r="G6128" s="46" t="s">
        <v>17</v>
      </c>
      <c r="H6128" s="46">
        <v>2</v>
      </c>
      <c r="I6128" s="51">
        <v>4622.28</v>
      </c>
      <c r="J6128" s="281">
        <f>++Tabla4[[#This Row],[Precio Bruto]]*1.16</f>
        <v>5361.8447999999989</v>
      </c>
      <c r="K6128" s="281">
        <f>+Tabla4[[#This Row],[Precio Unitario Neto]]*Tabla4[[#Headers],[20.85%]]</f>
        <v>1117.9446407999997</v>
      </c>
      <c r="L6128" s="282">
        <f>++Tabla4[[#This Row],[Precio Unitario Neto]]-Tabla4[[#This Row],[20.85%]]</f>
        <v>4243.9001591999995</v>
      </c>
      <c r="M6128" s="282" t="e">
        <f>(INDEX(Tabla6[#All],MATCH(Tabla4[[#This Row],[Producto]],Tabla6[[#All],[PRODUCTO]],0),MATCH(Tabla4[[#This Row],[Mes]],Tabla6[#Headers],0)))*(1+Catalogos!$L$2)</f>
        <v>#N/A</v>
      </c>
      <c r="N6128" s="283" t="e">
        <f>+(Tabla4[[#This Row],[Precio Descontado]]-Tabla4[[#This Row],[Precio Base]])*Tabla4[[#This Row],[Cantidad]]</f>
        <v>#N/A</v>
      </c>
      <c r="O6128" s="284" t="e">
        <f>++Tabla4[[#This Row],[Utilidad Total]]/Tabla4[[#This Row],[Total]]</f>
        <v>#N/A</v>
      </c>
      <c r="P6128" s="282">
        <f>++Tabla4[[#This Row],[Precio Descontado]]*Tabla4[[#This Row],[Cantidad]]</f>
        <v>8487.800318399999</v>
      </c>
      <c r="Q6128" s="282" t="e">
        <f>(INDEX(Tabla6[#All],MATCH(Tabla4[[#This Row],[Producto]],Tabla6[[#All],[PRODUCTO]],0),MATCH(Tabla4[[#This Row],[Mes]],Tabla6[#Headers],0)))</f>
        <v>#N/A</v>
      </c>
      <c r="R6128" s="282" t="e">
        <f>++Tabla4[[#This Row],[Precio Unitario Neto]]-Tabla4[[#This Row],[20.85%]]-Tabla4[[#This Row],[Costo]]</f>
        <v>#N/A</v>
      </c>
      <c r="S6128" s="282" t="e">
        <f>++Tabla4[[#This Row],[U. Bruta Uni]]*Tabla4[[#This Row],[Cantidad]]</f>
        <v>#N/A</v>
      </c>
      <c r="T6128" s="369" t="str">
        <f>VLOOKUP(Tabla4[[#This Row],[Producto]],Tabla6[#All],14,FALSE)</f>
        <v>Termico Solar</v>
      </c>
      <c r="U6128" s="284" t="e">
        <f>(IF(Tabla4[[#This Row],[Familia]]="termico solar",Tabla4[[#This Row],[Utilidad Total]]*6%,Tabla4[[#This Row],[Utilidad Total]]*11.5%))/Tabla4[[#This Row],[Total]]</f>
        <v>#N/A</v>
      </c>
      <c r="V6128" s="282" t="e">
        <f>+Tabla4[[#This Row],[Comisión Calculada]]*Tabla4[[#This Row],[Total]]</f>
        <v>#N/A</v>
      </c>
    </row>
    <row r="6129" spans="1:22" hidden="1" x14ac:dyDescent="0.25">
      <c r="A6129" s="100">
        <v>45930</v>
      </c>
      <c r="B6129" t="str">
        <f t="shared" si="290"/>
        <v>September</v>
      </c>
      <c r="C6129" s="46" t="s">
        <v>280</v>
      </c>
      <c r="F6129" s="366" t="s">
        <v>3137</v>
      </c>
      <c r="G6129" s="46" t="s">
        <v>18</v>
      </c>
      <c r="H6129" s="46">
        <v>1</v>
      </c>
      <c r="I6129" s="51">
        <v>5367.65</v>
      </c>
      <c r="J6129" s="281">
        <f>++Tabla4[[#This Row],[Precio Bruto]]*1.16</f>
        <v>6226.4739999999993</v>
      </c>
      <c r="K6129" s="281">
        <f>+Tabla4[[#This Row],[Precio Unitario Neto]]*Tabla4[[#Headers],[20.85%]]</f>
        <v>1298.2198289999999</v>
      </c>
      <c r="L6129" s="282">
        <f>++Tabla4[[#This Row],[Precio Unitario Neto]]-Tabla4[[#This Row],[20.85%]]</f>
        <v>4928.2541709999996</v>
      </c>
      <c r="M6129" s="282" t="e">
        <f>(INDEX(Tabla6[#All],MATCH(Tabla4[[#This Row],[Producto]],Tabla6[[#All],[PRODUCTO]],0),MATCH(Tabla4[[#This Row],[Mes]],Tabla6[#Headers],0)))*(1+Catalogos!$L$2)</f>
        <v>#N/A</v>
      </c>
      <c r="N6129" s="283" t="e">
        <f>+(Tabla4[[#This Row],[Precio Descontado]]-Tabla4[[#This Row],[Precio Base]])*Tabla4[[#This Row],[Cantidad]]</f>
        <v>#N/A</v>
      </c>
      <c r="O6129" s="284" t="e">
        <f>++Tabla4[[#This Row],[Utilidad Total]]/Tabla4[[#This Row],[Total]]</f>
        <v>#N/A</v>
      </c>
      <c r="P6129" s="282">
        <f>++Tabla4[[#This Row],[Precio Descontado]]*Tabla4[[#This Row],[Cantidad]]</f>
        <v>4928.2541709999996</v>
      </c>
      <c r="Q6129" s="282" t="e">
        <f>(INDEX(Tabla6[#All],MATCH(Tabla4[[#This Row],[Producto]],Tabla6[[#All],[PRODUCTO]],0),MATCH(Tabla4[[#This Row],[Mes]],Tabla6[#Headers],0)))</f>
        <v>#N/A</v>
      </c>
      <c r="R6129" s="282" t="e">
        <f>++Tabla4[[#This Row],[Precio Unitario Neto]]-Tabla4[[#This Row],[20.85%]]-Tabla4[[#This Row],[Costo]]</f>
        <v>#N/A</v>
      </c>
      <c r="S6129" s="282" t="e">
        <f>++Tabla4[[#This Row],[U. Bruta Uni]]*Tabla4[[#This Row],[Cantidad]]</f>
        <v>#N/A</v>
      </c>
      <c r="T6129" s="369" t="str">
        <f>VLOOKUP(Tabla4[[#This Row],[Producto]],Tabla6[#All],14,FALSE)</f>
        <v>Termico Solar</v>
      </c>
      <c r="U6129" s="284" t="e">
        <f>(IF(Tabla4[[#This Row],[Familia]]="termico solar",Tabla4[[#This Row],[Utilidad Total]]*6%,Tabla4[[#This Row],[Utilidad Total]]*11.5%))/Tabla4[[#This Row],[Total]]</f>
        <v>#N/A</v>
      </c>
      <c r="V6129" s="282" t="e">
        <f>+Tabla4[[#This Row],[Comisión Calculada]]*Tabla4[[#This Row],[Total]]</f>
        <v>#N/A</v>
      </c>
    </row>
    <row r="6130" spans="1:22" hidden="1" x14ac:dyDescent="0.25">
      <c r="A6130" s="100">
        <v>45930</v>
      </c>
      <c r="B6130" t="str">
        <f t="shared" si="290"/>
        <v>September</v>
      </c>
      <c r="C6130" s="46" t="s">
        <v>280</v>
      </c>
      <c r="F6130" s="366" t="s">
        <v>3137</v>
      </c>
      <c r="G6130" s="46" t="s">
        <v>566</v>
      </c>
      <c r="H6130" s="46">
        <v>1</v>
      </c>
      <c r="I6130" s="51">
        <v>2109.4499999999998</v>
      </c>
      <c r="J6130" s="281">
        <f>++Tabla4[[#This Row],[Precio Bruto]]*1.16</f>
        <v>2446.9619999999995</v>
      </c>
      <c r="K6130" s="281">
        <f>+Tabla4[[#This Row],[Precio Unitario Neto]]*Tabla4[[#Headers],[20.85%]]</f>
        <v>510.19157699999988</v>
      </c>
      <c r="L6130" s="282">
        <f>++Tabla4[[#This Row],[Precio Unitario Neto]]-Tabla4[[#This Row],[20.85%]]</f>
        <v>1936.7704229999997</v>
      </c>
      <c r="M6130" s="282" t="e">
        <f>(INDEX(Tabla6[#All],MATCH(Tabla4[[#This Row],[Producto]],Tabla6[[#All],[PRODUCTO]],0),MATCH(Tabla4[[#This Row],[Mes]],Tabla6[#Headers],0)))*(1+Catalogos!$L$2)</f>
        <v>#N/A</v>
      </c>
      <c r="N6130" s="283" t="e">
        <f>+(Tabla4[[#This Row],[Precio Descontado]]-Tabla4[[#This Row],[Precio Base]])*Tabla4[[#This Row],[Cantidad]]</f>
        <v>#N/A</v>
      </c>
      <c r="O6130" s="284" t="e">
        <f>++Tabla4[[#This Row],[Utilidad Total]]/Tabla4[[#This Row],[Total]]</f>
        <v>#N/A</v>
      </c>
      <c r="P6130" s="282">
        <f>++Tabla4[[#This Row],[Precio Descontado]]*Tabla4[[#This Row],[Cantidad]]</f>
        <v>1936.7704229999997</v>
      </c>
      <c r="Q6130" s="282" t="e">
        <f>(INDEX(Tabla6[#All],MATCH(Tabla4[[#This Row],[Producto]],Tabla6[[#All],[PRODUCTO]],0),MATCH(Tabla4[[#This Row],[Mes]],Tabla6[#Headers],0)))</f>
        <v>#N/A</v>
      </c>
      <c r="R6130" s="282" t="e">
        <f>++Tabla4[[#This Row],[Precio Unitario Neto]]-Tabla4[[#This Row],[20.85%]]-Tabla4[[#This Row],[Costo]]</f>
        <v>#N/A</v>
      </c>
      <c r="S6130" s="282" t="e">
        <f>++Tabla4[[#This Row],[U. Bruta Uni]]*Tabla4[[#This Row],[Cantidad]]</f>
        <v>#N/A</v>
      </c>
      <c r="T6130" s="369" t="str">
        <f>VLOOKUP(Tabla4[[#This Row],[Producto]],Tabla6[#All],14,FALSE)</f>
        <v>Termico Solar</v>
      </c>
      <c r="U6130" s="284" t="e">
        <f>(IF(Tabla4[[#This Row],[Familia]]="termico solar",Tabla4[[#This Row],[Utilidad Total]]*6%,Tabla4[[#This Row],[Utilidad Total]]*11.5%))/Tabla4[[#This Row],[Total]]</f>
        <v>#N/A</v>
      </c>
      <c r="V6130" s="282" t="e">
        <f>+Tabla4[[#This Row],[Comisión Calculada]]*Tabla4[[#This Row],[Total]]</f>
        <v>#N/A</v>
      </c>
    </row>
    <row r="6131" spans="1:22" hidden="1" x14ac:dyDescent="0.25">
      <c r="A6131" s="100">
        <v>45930</v>
      </c>
      <c r="B6131" t="str">
        <f t="shared" si="290"/>
        <v>September</v>
      </c>
      <c r="C6131" s="46" t="s">
        <v>280</v>
      </c>
      <c r="F6131" s="366" t="s">
        <v>3137</v>
      </c>
      <c r="G6131" s="46" t="s">
        <v>412</v>
      </c>
      <c r="H6131" s="46">
        <v>1</v>
      </c>
      <c r="I6131" s="51">
        <v>3240.84</v>
      </c>
      <c r="J6131" s="281">
        <f>++Tabla4[[#This Row],[Precio Bruto]]*1.16</f>
        <v>3759.3743999999997</v>
      </c>
      <c r="K6131" s="281">
        <f>+Tabla4[[#This Row],[Precio Unitario Neto]]*Tabla4[[#Headers],[20.85%]]</f>
        <v>783.82956239999987</v>
      </c>
      <c r="L6131" s="282">
        <f>++Tabla4[[#This Row],[Precio Unitario Neto]]-Tabla4[[#This Row],[20.85%]]</f>
        <v>2975.5448375999999</v>
      </c>
      <c r="M6131" s="282" t="e">
        <f>(INDEX(Tabla6[#All],MATCH(Tabla4[[#This Row],[Producto]],Tabla6[[#All],[PRODUCTO]],0),MATCH(Tabla4[[#This Row],[Mes]],Tabla6[#Headers],0)))*(1+Catalogos!$L$2)</f>
        <v>#N/A</v>
      </c>
      <c r="N6131" s="283" t="e">
        <f>+(Tabla4[[#This Row],[Precio Descontado]]-Tabla4[[#This Row],[Precio Base]])*Tabla4[[#This Row],[Cantidad]]</f>
        <v>#N/A</v>
      </c>
      <c r="O6131" s="284" t="e">
        <f>++Tabla4[[#This Row],[Utilidad Total]]/Tabla4[[#This Row],[Total]]</f>
        <v>#N/A</v>
      </c>
      <c r="P6131" s="282">
        <f>++Tabla4[[#This Row],[Precio Descontado]]*Tabla4[[#This Row],[Cantidad]]</f>
        <v>2975.5448375999999</v>
      </c>
      <c r="Q6131" s="282" t="e">
        <f>(INDEX(Tabla6[#All],MATCH(Tabla4[[#This Row],[Producto]],Tabla6[[#All],[PRODUCTO]],0),MATCH(Tabla4[[#This Row],[Mes]],Tabla6[#Headers],0)))</f>
        <v>#N/A</v>
      </c>
      <c r="R6131" s="282" t="e">
        <f>++Tabla4[[#This Row],[Precio Unitario Neto]]-Tabla4[[#This Row],[20.85%]]-Tabla4[[#This Row],[Costo]]</f>
        <v>#N/A</v>
      </c>
      <c r="S6131" s="282" t="e">
        <f>++Tabla4[[#This Row],[U. Bruta Uni]]*Tabla4[[#This Row],[Cantidad]]</f>
        <v>#N/A</v>
      </c>
      <c r="T6131" s="369" t="str">
        <f>VLOOKUP(Tabla4[[#This Row],[Producto]],Tabla6[#All],14,FALSE)</f>
        <v>Termico Solar</v>
      </c>
      <c r="U6131" s="284" t="e">
        <f>(IF(Tabla4[[#This Row],[Familia]]="termico solar",Tabla4[[#This Row],[Utilidad Total]]*6%,Tabla4[[#This Row],[Utilidad Total]]*11.5%))/Tabla4[[#This Row],[Total]]</f>
        <v>#N/A</v>
      </c>
      <c r="V6131" s="282" t="e">
        <f>+Tabla4[[#This Row],[Comisión Calculada]]*Tabla4[[#This Row],[Total]]</f>
        <v>#N/A</v>
      </c>
    </row>
    <row r="6132" spans="1:22" hidden="1" x14ac:dyDescent="0.25">
      <c r="A6132" s="100">
        <v>45930</v>
      </c>
      <c r="B6132" t="str">
        <f t="shared" si="290"/>
        <v>September</v>
      </c>
      <c r="C6132" s="46" t="s">
        <v>280</v>
      </c>
      <c r="F6132" s="366" t="s">
        <v>3137</v>
      </c>
      <c r="G6132" s="46" t="s">
        <v>394</v>
      </c>
      <c r="H6132" s="46">
        <v>16</v>
      </c>
      <c r="I6132" s="51">
        <v>224.29</v>
      </c>
      <c r="J6132" s="281">
        <f>++Tabla4[[#This Row],[Precio Bruto]]*1.16</f>
        <v>260.1764</v>
      </c>
      <c r="K6132" s="281">
        <f>+Tabla4[[#This Row],[Precio Unitario Neto]]*Tabla4[[#Headers],[20.85%]]</f>
        <v>54.246779400000001</v>
      </c>
      <c r="L6132" s="282">
        <f>++Tabla4[[#This Row],[Precio Unitario Neto]]-Tabla4[[#This Row],[20.85%]]</f>
        <v>205.92962059999999</v>
      </c>
      <c r="M6132" s="282" t="e">
        <f>(INDEX(Tabla6[#All],MATCH(Tabla4[[#This Row],[Producto]],Tabla6[[#All],[PRODUCTO]],0),MATCH(Tabla4[[#This Row],[Mes]],Tabla6[#Headers],0)))*(1+Catalogos!$L$2)</f>
        <v>#N/A</v>
      </c>
      <c r="N6132" s="283" t="e">
        <f>+(Tabla4[[#This Row],[Precio Descontado]]-Tabla4[[#This Row],[Precio Base]])*Tabla4[[#This Row],[Cantidad]]</f>
        <v>#N/A</v>
      </c>
      <c r="O6132" s="284" t="e">
        <f>++Tabla4[[#This Row],[Utilidad Total]]/Tabla4[[#This Row],[Total]]</f>
        <v>#N/A</v>
      </c>
      <c r="P6132" s="282">
        <f>++Tabla4[[#This Row],[Precio Descontado]]*Tabla4[[#This Row],[Cantidad]]</f>
        <v>3294.8739295999999</v>
      </c>
      <c r="Q6132" s="282" t="e">
        <f>(INDEX(Tabla6[#All],MATCH(Tabla4[[#This Row],[Producto]],Tabla6[[#All],[PRODUCTO]],0),MATCH(Tabla4[[#This Row],[Mes]],Tabla6[#Headers],0)))</f>
        <v>#N/A</v>
      </c>
      <c r="R6132" s="282" t="e">
        <f>++Tabla4[[#This Row],[Precio Unitario Neto]]-Tabla4[[#This Row],[20.85%]]-Tabla4[[#This Row],[Costo]]</f>
        <v>#N/A</v>
      </c>
      <c r="S6132" s="282" t="e">
        <f>++Tabla4[[#This Row],[U. Bruta Uni]]*Tabla4[[#This Row],[Cantidad]]</f>
        <v>#N/A</v>
      </c>
      <c r="T6132" s="369" t="str">
        <f>VLOOKUP(Tabla4[[#This Row],[Producto]],Tabla6[#All],14,FALSE)</f>
        <v>Termico Solar</v>
      </c>
      <c r="U6132" s="284" t="e">
        <f>(IF(Tabla4[[#This Row],[Familia]]="termico solar",Tabla4[[#This Row],[Utilidad Total]]*6%,Tabla4[[#This Row],[Utilidad Total]]*11.5%))/Tabla4[[#This Row],[Total]]</f>
        <v>#N/A</v>
      </c>
      <c r="V6132" s="282" t="e">
        <f>+Tabla4[[#This Row],[Comisión Calculada]]*Tabla4[[#This Row],[Total]]</f>
        <v>#N/A</v>
      </c>
    </row>
    <row r="6133" spans="1:22" hidden="1" x14ac:dyDescent="0.25">
      <c r="A6133" s="100">
        <v>45930</v>
      </c>
      <c r="B6133" t="str">
        <f t="shared" si="290"/>
        <v>September</v>
      </c>
      <c r="C6133" s="46" t="s">
        <v>280</v>
      </c>
      <c r="F6133" s="366" t="s">
        <v>3137</v>
      </c>
      <c r="G6133" s="46" t="s">
        <v>208</v>
      </c>
      <c r="H6133" s="46">
        <v>2</v>
      </c>
      <c r="I6133" s="51">
        <v>189.75</v>
      </c>
      <c r="J6133" s="281">
        <f>++Tabla4[[#This Row],[Precio Bruto]]*1.16</f>
        <v>220.10999999999999</v>
      </c>
      <c r="K6133" s="281">
        <f>+Tabla4[[#This Row],[Precio Unitario Neto]]*Tabla4[[#Headers],[20.85%]]</f>
        <v>45.892934999999994</v>
      </c>
      <c r="L6133" s="282">
        <f>++Tabla4[[#This Row],[Precio Unitario Neto]]-Tabla4[[#This Row],[20.85%]]</f>
        <v>174.21706499999999</v>
      </c>
      <c r="M6133" s="282" t="e">
        <f>(INDEX(Tabla6[#All],MATCH(Tabla4[[#This Row],[Producto]],Tabla6[[#All],[PRODUCTO]],0),MATCH(Tabla4[[#This Row],[Mes]],Tabla6[#Headers],0)))*(1+Catalogos!$L$2)</f>
        <v>#N/A</v>
      </c>
      <c r="N6133" s="283" t="e">
        <f>+(Tabla4[[#This Row],[Precio Descontado]]-Tabla4[[#This Row],[Precio Base]])*Tabla4[[#This Row],[Cantidad]]</f>
        <v>#N/A</v>
      </c>
      <c r="O6133" s="284" t="e">
        <f>++Tabla4[[#This Row],[Utilidad Total]]/Tabla4[[#This Row],[Total]]</f>
        <v>#N/A</v>
      </c>
      <c r="P6133" s="282">
        <f>++Tabla4[[#This Row],[Precio Descontado]]*Tabla4[[#This Row],[Cantidad]]</f>
        <v>348.43412999999998</v>
      </c>
      <c r="Q6133" s="282" t="e">
        <f>(INDEX(Tabla6[#All],MATCH(Tabla4[[#This Row],[Producto]],Tabla6[[#All],[PRODUCTO]],0),MATCH(Tabla4[[#This Row],[Mes]],Tabla6[#Headers],0)))</f>
        <v>#N/A</v>
      </c>
      <c r="R6133" s="282" t="e">
        <f>++Tabla4[[#This Row],[Precio Unitario Neto]]-Tabla4[[#This Row],[20.85%]]-Tabla4[[#This Row],[Costo]]</f>
        <v>#N/A</v>
      </c>
      <c r="S6133" s="282" t="e">
        <f>++Tabla4[[#This Row],[U. Bruta Uni]]*Tabla4[[#This Row],[Cantidad]]</f>
        <v>#N/A</v>
      </c>
      <c r="T6133" s="369" t="str">
        <f>VLOOKUP(Tabla4[[#This Row],[Producto]],Tabla6[#All],14,FALSE)</f>
        <v>Termico Solar</v>
      </c>
      <c r="U6133" s="284" t="e">
        <f>(IF(Tabla4[[#This Row],[Familia]]="termico solar",Tabla4[[#This Row],[Utilidad Total]]*6%,Tabla4[[#This Row],[Utilidad Total]]*11.5%))/Tabla4[[#This Row],[Total]]</f>
        <v>#N/A</v>
      </c>
      <c r="V6133" s="282" t="e">
        <f>+Tabla4[[#This Row],[Comisión Calculada]]*Tabla4[[#This Row],[Total]]</f>
        <v>#N/A</v>
      </c>
    </row>
    <row r="6134" spans="1:22" hidden="1" x14ac:dyDescent="0.25">
      <c r="A6134" s="100">
        <v>45930</v>
      </c>
      <c r="B6134" t="str">
        <f t="shared" ref="B6134:B6165" si="291">TEXT(A6134, "mmmm")</f>
        <v>September</v>
      </c>
      <c r="C6134" s="46" t="s">
        <v>280</v>
      </c>
      <c r="F6134" s="366" t="s">
        <v>3138</v>
      </c>
      <c r="G6134" s="46" t="s">
        <v>83</v>
      </c>
      <c r="H6134" s="46">
        <v>1</v>
      </c>
      <c r="I6134" s="51">
        <v>8858.76</v>
      </c>
      <c r="J6134" s="281">
        <f>++Tabla4[[#This Row],[Precio Bruto]]*1.16</f>
        <v>10276.161599999999</v>
      </c>
      <c r="K6134" s="281">
        <f>+Tabla4[[#This Row],[Precio Unitario Neto]]*Tabla4[[#Headers],[20.85%]]</f>
        <v>2142.5796935999997</v>
      </c>
      <c r="L6134" s="282">
        <f>++Tabla4[[#This Row],[Precio Unitario Neto]]-Tabla4[[#This Row],[20.85%]]</f>
        <v>8133.5819063999998</v>
      </c>
      <c r="M6134" s="282" t="e">
        <f>(INDEX(Tabla6[#All],MATCH(Tabla4[[#This Row],[Producto]],Tabla6[[#All],[PRODUCTO]],0),MATCH(Tabla4[[#This Row],[Mes]],Tabla6[#Headers],0)))*(1+Catalogos!$L$2)</f>
        <v>#N/A</v>
      </c>
      <c r="N6134" s="283" t="e">
        <f>+(Tabla4[[#This Row],[Precio Descontado]]-Tabla4[[#This Row],[Precio Base]])*Tabla4[[#This Row],[Cantidad]]</f>
        <v>#N/A</v>
      </c>
      <c r="O6134" s="284" t="e">
        <f>++Tabla4[[#This Row],[Utilidad Total]]/Tabla4[[#This Row],[Total]]</f>
        <v>#N/A</v>
      </c>
      <c r="P6134" s="282">
        <f>++Tabla4[[#This Row],[Precio Descontado]]*Tabla4[[#This Row],[Cantidad]]</f>
        <v>8133.5819063999998</v>
      </c>
      <c r="Q6134" s="282" t="e">
        <f>(INDEX(Tabla6[#All],MATCH(Tabla4[[#This Row],[Producto]],Tabla6[[#All],[PRODUCTO]],0),MATCH(Tabla4[[#This Row],[Mes]],Tabla6[#Headers],0)))</f>
        <v>#N/A</v>
      </c>
      <c r="R6134" s="282" t="e">
        <f>++Tabla4[[#This Row],[Precio Unitario Neto]]-Tabla4[[#This Row],[20.85%]]-Tabla4[[#This Row],[Costo]]</f>
        <v>#N/A</v>
      </c>
      <c r="S6134" s="282" t="e">
        <f>++Tabla4[[#This Row],[U. Bruta Uni]]*Tabla4[[#This Row],[Cantidad]]</f>
        <v>#N/A</v>
      </c>
      <c r="T6134" s="369" t="str">
        <f>VLOOKUP(Tabla4[[#This Row],[Producto]],Tabla6[#All],14,FALSE)</f>
        <v>Termico Solar</v>
      </c>
      <c r="U6134" s="284" t="e">
        <f>(IF(Tabla4[[#This Row],[Familia]]="termico solar",Tabla4[[#This Row],[Utilidad Total]]*6%,Tabla4[[#This Row],[Utilidad Total]]*11.5%))/Tabla4[[#This Row],[Total]]</f>
        <v>#N/A</v>
      </c>
      <c r="V6134" s="282" t="e">
        <f>+Tabla4[[#This Row],[Comisión Calculada]]*Tabla4[[#This Row],[Total]]</f>
        <v>#N/A</v>
      </c>
    </row>
    <row r="6135" spans="1:22" hidden="1" x14ac:dyDescent="0.25">
      <c r="A6135" s="100">
        <v>45930</v>
      </c>
      <c r="B6135" t="str">
        <f t="shared" si="291"/>
        <v>September</v>
      </c>
      <c r="C6135" s="46" t="s">
        <v>280</v>
      </c>
      <c r="F6135" s="366" t="s">
        <v>3138</v>
      </c>
      <c r="G6135" s="46" t="s">
        <v>17</v>
      </c>
      <c r="H6135" s="46">
        <v>3</v>
      </c>
      <c r="I6135" s="51">
        <v>4622.28</v>
      </c>
      <c r="J6135" s="281">
        <f>++Tabla4[[#This Row],[Precio Bruto]]*1.16</f>
        <v>5361.8447999999989</v>
      </c>
      <c r="K6135" s="281">
        <f>+Tabla4[[#This Row],[Precio Unitario Neto]]*Tabla4[[#Headers],[20.85%]]</f>
        <v>1117.9446407999997</v>
      </c>
      <c r="L6135" s="282">
        <f>++Tabla4[[#This Row],[Precio Unitario Neto]]-Tabla4[[#This Row],[20.85%]]</f>
        <v>4243.9001591999995</v>
      </c>
      <c r="M6135" s="282" t="e">
        <f>(INDEX(Tabla6[#All],MATCH(Tabla4[[#This Row],[Producto]],Tabla6[[#All],[PRODUCTO]],0),MATCH(Tabla4[[#This Row],[Mes]],Tabla6[#Headers],0)))*(1+Catalogos!$L$2)</f>
        <v>#N/A</v>
      </c>
      <c r="N6135" s="283" t="e">
        <f>+(Tabla4[[#This Row],[Precio Descontado]]-Tabla4[[#This Row],[Precio Base]])*Tabla4[[#This Row],[Cantidad]]</f>
        <v>#N/A</v>
      </c>
      <c r="O6135" s="284" t="e">
        <f>++Tabla4[[#This Row],[Utilidad Total]]/Tabla4[[#This Row],[Total]]</f>
        <v>#N/A</v>
      </c>
      <c r="P6135" s="282">
        <f>++Tabla4[[#This Row],[Precio Descontado]]*Tabla4[[#This Row],[Cantidad]]</f>
        <v>12731.700477599999</v>
      </c>
      <c r="Q6135" s="282" t="e">
        <f>(INDEX(Tabla6[#All],MATCH(Tabla4[[#This Row],[Producto]],Tabla6[[#All],[PRODUCTO]],0),MATCH(Tabla4[[#This Row],[Mes]],Tabla6[#Headers],0)))</f>
        <v>#N/A</v>
      </c>
      <c r="R6135" s="282" t="e">
        <f>++Tabla4[[#This Row],[Precio Unitario Neto]]-Tabla4[[#This Row],[20.85%]]-Tabla4[[#This Row],[Costo]]</f>
        <v>#N/A</v>
      </c>
      <c r="S6135" s="282" t="e">
        <f>++Tabla4[[#This Row],[U. Bruta Uni]]*Tabla4[[#This Row],[Cantidad]]</f>
        <v>#N/A</v>
      </c>
      <c r="T6135" s="369" t="str">
        <f>VLOOKUP(Tabla4[[#This Row],[Producto]],Tabla6[#All],14,FALSE)</f>
        <v>Termico Solar</v>
      </c>
      <c r="U6135" s="284" t="e">
        <f>(IF(Tabla4[[#This Row],[Familia]]="termico solar",Tabla4[[#This Row],[Utilidad Total]]*6%,Tabla4[[#This Row],[Utilidad Total]]*11.5%))/Tabla4[[#This Row],[Total]]</f>
        <v>#N/A</v>
      </c>
      <c r="V6135" s="282" t="e">
        <f>+Tabla4[[#This Row],[Comisión Calculada]]*Tabla4[[#This Row],[Total]]</f>
        <v>#N/A</v>
      </c>
    </row>
    <row r="6136" spans="1:22" hidden="1" x14ac:dyDescent="0.25">
      <c r="A6136" s="100">
        <v>45930</v>
      </c>
      <c r="B6136" t="str">
        <f t="shared" si="291"/>
        <v>September</v>
      </c>
      <c r="C6136" s="46" t="s">
        <v>280</v>
      </c>
      <c r="F6136" s="366" t="s">
        <v>3139</v>
      </c>
      <c r="G6136" s="46" t="s">
        <v>17</v>
      </c>
      <c r="H6136" s="46">
        <v>3</v>
      </c>
      <c r="I6136" s="51">
        <v>4622.28</v>
      </c>
      <c r="J6136" s="281">
        <f>++Tabla4[[#This Row],[Precio Bruto]]*1.16</f>
        <v>5361.8447999999989</v>
      </c>
      <c r="K6136" s="281">
        <f>+Tabla4[[#This Row],[Precio Unitario Neto]]*Tabla4[[#Headers],[20.85%]]</f>
        <v>1117.9446407999997</v>
      </c>
      <c r="L6136" s="282">
        <f>++Tabla4[[#This Row],[Precio Unitario Neto]]-Tabla4[[#This Row],[20.85%]]</f>
        <v>4243.9001591999995</v>
      </c>
      <c r="M6136" s="282" t="e">
        <f>(INDEX(Tabla6[#All],MATCH(Tabla4[[#This Row],[Producto]],Tabla6[[#All],[PRODUCTO]],0),MATCH(Tabla4[[#This Row],[Mes]],Tabla6[#Headers],0)))*(1+Catalogos!$L$2)</f>
        <v>#N/A</v>
      </c>
      <c r="N6136" s="283" t="e">
        <f>+(Tabla4[[#This Row],[Precio Descontado]]-Tabla4[[#This Row],[Precio Base]])*Tabla4[[#This Row],[Cantidad]]</f>
        <v>#N/A</v>
      </c>
      <c r="O6136" s="284" t="e">
        <f>++Tabla4[[#This Row],[Utilidad Total]]/Tabla4[[#This Row],[Total]]</f>
        <v>#N/A</v>
      </c>
      <c r="P6136" s="282">
        <f>++Tabla4[[#This Row],[Precio Descontado]]*Tabla4[[#This Row],[Cantidad]]</f>
        <v>12731.700477599999</v>
      </c>
      <c r="Q6136" s="282" t="e">
        <f>(INDEX(Tabla6[#All],MATCH(Tabla4[[#This Row],[Producto]],Tabla6[[#All],[PRODUCTO]],0),MATCH(Tabla4[[#This Row],[Mes]],Tabla6[#Headers],0)))</f>
        <v>#N/A</v>
      </c>
      <c r="R6136" s="282" t="e">
        <f>++Tabla4[[#This Row],[Precio Unitario Neto]]-Tabla4[[#This Row],[20.85%]]-Tabla4[[#This Row],[Costo]]</f>
        <v>#N/A</v>
      </c>
      <c r="S6136" s="282" t="e">
        <f>++Tabla4[[#This Row],[U. Bruta Uni]]*Tabla4[[#This Row],[Cantidad]]</f>
        <v>#N/A</v>
      </c>
      <c r="T6136" s="369" t="str">
        <f>VLOOKUP(Tabla4[[#This Row],[Producto]],Tabla6[#All],14,FALSE)</f>
        <v>Termico Solar</v>
      </c>
      <c r="U6136" s="284" t="e">
        <f>(IF(Tabla4[[#This Row],[Familia]]="termico solar",Tabla4[[#This Row],[Utilidad Total]]*6%,Tabla4[[#This Row],[Utilidad Total]]*11.5%))/Tabla4[[#This Row],[Total]]</f>
        <v>#N/A</v>
      </c>
      <c r="V6136" s="282" t="e">
        <f>+Tabla4[[#This Row],[Comisión Calculada]]*Tabla4[[#This Row],[Total]]</f>
        <v>#N/A</v>
      </c>
    </row>
    <row r="6137" spans="1:22" hidden="1" x14ac:dyDescent="0.25">
      <c r="A6137" s="100">
        <v>45930</v>
      </c>
      <c r="B6137" t="str">
        <f t="shared" si="291"/>
        <v>September</v>
      </c>
      <c r="C6137" s="46" t="s">
        <v>280</v>
      </c>
      <c r="F6137" s="366" t="s">
        <v>3139</v>
      </c>
      <c r="G6137" s="46" t="s">
        <v>208</v>
      </c>
      <c r="H6137" s="46">
        <v>10</v>
      </c>
      <c r="I6137" s="51">
        <v>189.75</v>
      </c>
      <c r="J6137" s="281">
        <f>++Tabla4[[#This Row],[Precio Bruto]]*1.16</f>
        <v>220.10999999999999</v>
      </c>
      <c r="K6137" s="281">
        <f>+Tabla4[[#This Row],[Precio Unitario Neto]]*Tabla4[[#Headers],[20.85%]]</f>
        <v>45.892934999999994</v>
      </c>
      <c r="L6137" s="282">
        <f>++Tabla4[[#This Row],[Precio Unitario Neto]]-Tabla4[[#This Row],[20.85%]]</f>
        <v>174.21706499999999</v>
      </c>
      <c r="M6137" s="282" t="e">
        <f>(INDEX(Tabla6[#All],MATCH(Tabla4[[#This Row],[Producto]],Tabla6[[#All],[PRODUCTO]],0),MATCH(Tabla4[[#This Row],[Mes]],Tabla6[#Headers],0)))*(1+Catalogos!$L$2)</f>
        <v>#N/A</v>
      </c>
      <c r="N6137" s="283" t="e">
        <f>+(Tabla4[[#This Row],[Precio Descontado]]-Tabla4[[#This Row],[Precio Base]])*Tabla4[[#This Row],[Cantidad]]</f>
        <v>#N/A</v>
      </c>
      <c r="O6137" s="284" t="e">
        <f>++Tabla4[[#This Row],[Utilidad Total]]/Tabla4[[#This Row],[Total]]</f>
        <v>#N/A</v>
      </c>
      <c r="P6137" s="282">
        <f>++Tabla4[[#This Row],[Precio Descontado]]*Tabla4[[#This Row],[Cantidad]]</f>
        <v>1742.17065</v>
      </c>
      <c r="Q6137" s="282" t="e">
        <f>(INDEX(Tabla6[#All],MATCH(Tabla4[[#This Row],[Producto]],Tabla6[[#All],[PRODUCTO]],0),MATCH(Tabla4[[#This Row],[Mes]],Tabla6[#Headers],0)))</f>
        <v>#N/A</v>
      </c>
      <c r="R6137" s="282" t="e">
        <f>++Tabla4[[#This Row],[Precio Unitario Neto]]-Tabla4[[#This Row],[20.85%]]-Tabla4[[#This Row],[Costo]]</f>
        <v>#N/A</v>
      </c>
      <c r="S6137" s="282" t="e">
        <f>++Tabla4[[#This Row],[U. Bruta Uni]]*Tabla4[[#This Row],[Cantidad]]</f>
        <v>#N/A</v>
      </c>
      <c r="T6137" s="369" t="str">
        <f>VLOOKUP(Tabla4[[#This Row],[Producto]],Tabla6[#All],14,FALSE)</f>
        <v>Termico Solar</v>
      </c>
      <c r="U6137" s="284" t="e">
        <f>(IF(Tabla4[[#This Row],[Familia]]="termico solar",Tabla4[[#This Row],[Utilidad Total]]*6%,Tabla4[[#This Row],[Utilidad Total]]*11.5%))/Tabla4[[#This Row],[Total]]</f>
        <v>#N/A</v>
      </c>
      <c r="V6137" s="282" t="e">
        <f>+Tabla4[[#This Row],[Comisión Calculada]]*Tabla4[[#This Row],[Total]]</f>
        <v>#N/A</v>
      </c>
    </row>
    <row r="6138" spans="1:22" hidden="1" x14ac:dyDescent="0.25">
      <c r="A6138" s="100">
        <v>45930</v>
      </c>
      <c r="B6138" t="str">
        <f t="shared" si="291"/>
        <v>September</v>
      </c>
      <c r="C6138" s="46" t="s">
        <v>280</v>
      </c>
      <c r="F6138" s="366" t="s">
        <v>3140</v>
      </c>
      <c r="G6138" s="46" t="s">
        <v>83</v>
      </c>
      <c r="H6138" s="46">
        <v>1</v>
      </c>
      <c r="I6138" s="51">
        <v>8858.76</v>
      </c>
      <c r="J6138" s="281">
        <f>++Tabla4[[#This Row],[Precio Bruto]]*1.16</f>
        <v>10276.161599999999</v>
      </c>
      <c r="K6138" s="281">
        <f>+Tabla4[[#This Row],[Precio Unitario Neto]]*Tabla4[[#Headers],[20.85%]]</f>
        <v>2142.5796935999997</v>
      </c>
      <c r="L6138" s="282">
        <f>++Tabla4[[#This Row],[Precio Unitario Neto]]-Tabla4[[#This Row],[20.85%]]</f>
        <v>8133.5819063999998</v>
      </c>
      <c r="M6138" s="282" t="e">
        <f>(INDEX(Tabla6[#All],MATCH(Tabla4[[#This Row],[Producto]],Tabla6[[#All],[PRODUCTO]],0),MATCH(Tabla4[[#This Row],[Mes]],Tabla6[#Headers],0)))*(1+Catalogos!$L$2)</f>
        <v>#N/A</v>
      </c>
      <c r="N6138" s="283" t="e">
        <f>+(Tabla4[[#This Row],[Precio Descontado]]-Tabla4[[#This Row],[Precio Base]])*Tabla4[[#This Row],[Cantidad]]</f>
        <v>#N/A</v>
      </c>
      <c r="O6138" s="284" t="e">
        <f>++Tabla4[[#This Row],[Utilidad Total]]/Tabla4[[#This Row],[Total]]</f>
        <v>#N/A</v>
      </c>
      <c r="P6138" s="282">
        <f>++Tabla4[[#This Row],[Precio Descontado]]*Tabla4[[#This Row],[Cantidad]]</f>
        <v>8133.5819063999998</v>
      </c>
      <c r="Q6138" s="282" t="e">
        <f>(INDEX(Tabla6[#All],MATCH(Tabla4[[#This Row],[Producto]],Tabla6[[#All],[PRODUCTO]],0),MATCH(Tabla4[[#This Row],[Mes]],Tabla6[#Headers],0)))</f>
        <v>#N/A</v>
      </c>
      <c r="R6138" s="282" t="e">
        <f>++Tabla4[[#This Row],[Precio Unitario Neto]]-Tabla4[[#This Row],[20.85%]]-Tabla4[[#This Row],[Costo]]</f>
        <v>#N/A</v>
      </c>
      <c r="S6138" s="282" t="e">
        <f>++Tabla4[[#This Row],[U. Bruta Uni]]*Tabla4[[#This Row],[Cantidad]]</f>
        <v>#N/A</v>
      </c>
      <c r="T6138" s="369" t="str">
        <f>VLOOKUP(Tabla4[[#This Row],[Producto]],Tabla6[#All],14,FALSE)</f>
        <v>Termico Solar</v>
      </c>
      <c r="U6138" s="284" t="e">
        <f>(IF(Tabla4[[#This Row],[Familia]]="termico solar",Tabla4[[#This Row],[Utilidad Total]]*6%,Tabla4[[#This Row],[Utilidad Total]]*11.5%))/Tabla4[[#This Row],[Total]]</f>
        <v>#N/A</v>
      </c>
      <c r="V6138" s="282" t="e">
        <f>+Tabla4[[#This Row],[Comisión Calculada]]*Tabla4[[#This Row],[Total]]</f>
        <v>#N/A</v>
      </c>
    </row>
    <row r="6139" spans="1:22" hidden="1" x14ac:dyDescent="0.25">
      <c r="A6139" s="100">
        <v>45930</v>
      </c>
      <c r="B6139" t="str">
        <f t="shared" si="291"/>
        <v>September</v>
      </c>
      <c r="C6139" s="46" t="s">
        <v>280</v>
      </c>
      <c r="F6139" s="366" t="s">
        <v>3140</v>
      </c>
      <c r="G6139" s="46" t="s">
        <v>17</v>
      </c>
      <c r="H6139" s="46">
        <v>1</v>
      </c>
      <c r="I6139" s="51">
        <v>4622.28</v>
      </c>
      <c r="J6139" s="281">
        <f>++Tabla4[[#This Row],[Precio Bruto]]*1.16</f>
        <v>5361.8447999999989</v>
      </c>
      <c r="K6139" s="281">
        <f>+Tabla4[[#This Row],[Precio Unitario Neto]]*Tabla4[[#Headers],[20.85%]]</f>
        <v>1117.9446407999997</v>
      </c>
      <c r="L6139" s="282">
        <f>++Tabla4[[#This Row],[Precio Unitario Neto]]-Tabla4[[#This Row],[20.85%]]</f>
        <v>4243.9001591999995</v>
      </c>
      <c r="M6139" s="282" t="e">
        <f>(INDEX(Tabla6[#All],MATCH(Tabla4[[#This Row],[Producto]],Tabla6[[#All],[PRODUCTO]],0),MATCH(Tabla4[[#This Row],[Mes]],Tabla6[#Headers],0)))*(1+Catalogos!$L$2)</f>
        <v>#N/A</v>
      </c>
      <c r="N6139" s="283" t="e">
        <f>+(Tabla4[[#This Row],[Precio Descontado]]-Tabla4[[#This Row],[Precio Base]])*Tabla4[[#This Row],[Cantidad]]</f>
        <v>#N/A</v>
      </c>
      <c r="O6139" s="284" t="e">
        <f>++Tabla4[[#This Row],[Utilidad Total]]/Tabla4[[#This Row],[Total]]</f>
        <v>#N/A</v>
      </c>
      <c r="P6139" s="282">
        <f>++Tabla4[[#This Row],[Precio Descontado]]*Tabla4[[#This Row],[Cantidad]]</f>
        <v>4243.9001591999995</v>
      </c>
      <c r="Q6139" s="282" t="e">
        <f>(INDEX(Tabla6[#All],MATCH(Tabla4[[#This Row],[Producto]],Tabla6[[#All],[PRODUCTO]],0),MATCH(Tabla4[[#This Row],[Mes]],Tabla6[#Headers],0)))</f>
        <v>#N/A</v>
      </c>
      <c r="R6139" s="282" t="e">
        <f>++Tabla4[[#This Row],[Precio Unitario Neto]]-Tabla4[[#This Row],[20.85%]]-Tabla4[[#This Row],[Costo]]</f>
        <v>#N/A</v>
      </c>
      <c r="S6139" s="282" t="e">
        <f>++Tabla4[[#This Row],[U. Bruta Uni]]*Tabla4[[#This Row],[Cantidad]]</f>
        <v>#N/A</v>
      </c>
      <c r="T6139" s="369" t="str">
        <f>VLOOKUP(Tabla4[[#This Row],[Producto]],Tabla6[#All],14,FALSE)</f>
        <v>Termico Solar</v>
      </c>
      <c r="U6139" s="284" t="e">
        <f>(IF(Tabla4[[#This Row],[Familia]]="termico solar",Tabla4[[#This Row],[Utilidad Total]]*6%,Tabla4[[#This Row],[Utilidad Total]]*11.5%))/Tabla4[[#This Row],[Total]]</f>
        <v>#N/A</v>
      </c>
      <c r="V6139" s="282" t="e">
        <f>+Tabla4[[#This Row],[Comisión Calculada]]*Tabla4[[#This Row],[Total]]</f>
        <v>#N/A</v>
      </c>
    </row>
    <row r="6140" spans="1:22" hidden="1" x14ac:dyDescent="0.25">
      <c r="A6140" s="100">
        <v>45930</v>
      </c>
      <c r="B6140" t="str">
        <f t="shared" si="291"/>
        <v>September</v>
      </c>
      <c r="C6140" s="46" t="s">
        <v>280</v>
      </c>
      <c r="F6140" s="366" t="s">
        <v>3140</v>
      </c>
      <c r="G6140" s="46" t="s">
        <v>208</v>
      </c>
      <c r="H6140" s="46">
        <v>6</v>
      </c>
      <c r="I6140" s="51">
        <v>189.75</v>
      </c>
      <c r="J6140" s="281">
        <f>++Tabla4[[#This Row],[Precio Bruto]]*1.16</f>
        <v>220.10999999999999</v>
      </c>
      <c r="K6140" s="281">
        <f>+Tabla4[[#This Row],[Precio Unitario Neto]]*Tabla4[[#Headers],[20.85%]]</f>
        <v>45.892934999999994</v>
      </c>
      <c r="L6140" s="282">
        <f>++Tabla4[[#This Row],[Precio Unitario Neto]]-Tabla4[[#This Row],[20.85%]]</f>
        <v>174.21706499999999</v>
      </c>
      <c r="M6140" s="282" t="e">
        <f>(INDEX(Tabla6[#All],MATCH(Tabla4[[#This Row],[Producto]],Tabla6[[#All],[PRODUCTO]],0),MATCH(Tabla4[[#This Row],[Mes]],Tabla6[#Headers],0)))*(1+Catalogos!$L$2)</f>
        <v>#N/A</v>
      </c>
      <c r="N6140" s="283" t="e">
        <f>+(Tabla4[[#This Row],[Precio Descontado]]-Tabla4[[#This Row],[Precio Base]])*Tabla4[[#This Row],[Cantidad]]</f>
        <v>#N/A</v>
      </c>
      <c r="O6140" s="284" t="e">
        <f>++Tabla4[[#This Row],[Utilidad Total]]/Tabla4[[#This Row],[Total]]</f>
        <v>#N/A</v>
      </c>
      <c r="P6140" s="282">
        <f>++Tabla4[[#This Row],[Precio Descontado]]*Tabla4[[#This Row],[Cantidad]]</f>
        <v>1045.3023899999998</v>
      </c>
      <c r="Q6140" s="282" t="e">
        <f>(INDEX(Tabla6[#All],MATCH(Tabla4[[#This Row],[Producto]],Tabla6[[#All],[PRODUCTO]],0),MATCH(Tabla4[[#This Row],[Mes]],Tabla6[#Headers],0)))</f>
        <v>#N/A</v>
      </c>
      <c r="R6140" s="282" t="e">
        <f>++Tabla4[[#This Row],[Precio Unitario Neto]]-Tabla4[[#This Row],[20.85%]]-Tabla4[[#This Row],[Costo]]</f>
        <v>#N/A</v>
      </c>
      <c r="S6140" s="282" t="e">
        <f>++Tabla4[[#This Row],[U. Bruta Uni]]*Tabla4[[#This Row],[Cantidad]]</f>
        <v>#N/A</v>
      </c>
      <c r="T6140" s="369" t="str">
        <f>VLOOKUP(Tabla4[[#This Row],[Producto]],Tabla6[#All],14,FALSE)</f>
        <v>Termico Solar</v>
      </c>
      <c r="U6140" s="284" t="e">
        <f>(IF(Tabla4[[#This Row],[Familia]]="termico solar",Tabla4[[#This Row],[Utilidad Total]]*6%,Tabla4[[#This Row],[Utilidad Total]]*11.5%))/Tabla4[[#This Row],[Total]]</f>
        <v>#N/A</v>
      </c>
      <c r="V6140" s="282" t="e">
        <f>+Tabla4[[#This Row],[Comisión Calculada]]*Tabla4[[#This Row],[Total]]</f>
        <v>#N/A</v>
      </c>
    </row>
    <row r="6141" spans="1:22" hidden="1" x14ac:dyDescent="0.25">
      <c r="A6141" s="100">
        <v>45930</v>
      </c>
      <c r="B6141" t="str">
        <f t="shared" si="291"/>
        <v>September</v>
      </c>
      <c r="C6141" s="46" t="s">
        <v>280</v>
      </c>
      <c r="F6141" s="366" t="s">
        <v>3141</v>
      </c>
      <c r="G6141" s="46" t="s">
        <v>18</v>
      </c>
      <c r="H6141" s="46">
        <v>2</v>
      </c>
      <c r="I6141" s="51">
        <v>5367.65</v>
      </c>
      <c r="J6141" s="281">
        <f>++Tabla4[[#This Row],[Precio Bruto]]*1.16</f>
        <v>6226.4739999999993</v>
      </c>
      <c r="K6141" s="281">
        <f>+Tabla4[[#This Row],[Precio Unitario Neto]]*Tabla4[[#Headers],[20.85%]]</f>
        <v>1298.2198289999999</v>
      </c>
      <c r="L6141" s="282">
        <f>++Tabla4[[#This Row],[Precio Unitario Neto]]-Tabla4[[#This Row],[20.85%]]</f>
        <v>4928.2541709999996</v>
      </c>
      <c r="M6141" s="282" t="e">
        <f>(INDEX(Tabla6[#All],MATCH(Tabla4[[#This Row],[Producto]],Tabla6[[#All],[PRODUCTO]],0),MATCH(Tabla4[[#This Row],[Mes]],Tabla6[#Headers],0)))*(1+Catalogos!$L$2)</f>
        <v>#N/A</v>
      </c>
      <c r="N6141" s="283" t="e">
        <f>+(Tabla4[[#This Row],[Precio Descontado]]-Tabla4[[#This Row],[Precio Base]])*Tabla4[[#This Row],[Cantidad]]</f>
        <v>#N/A</v>
      </c>
      <c r="O6141" s="284" t="e">
        <f>++Tabla4[[#This Row],[Utilidad Total]]/Tabla4[[#This Row],[Total]]</f>
        <v>#N/A</v>
      </c>
      <c r="P6141" s="282">
        <f>++Tabla4[[#This Row],[Precio Descontado]]*Tabla4[[#This Row],[Cantidad]]</f>
        <v>9856.5083419999992</v>
      </c>
      <c r="Q6141" s="282" t="e">
        <f>(INDEX(Tabla6[#All],MATCH(Tabla4[[#This Row],[Producto]],Tabla6[[#All],[PRODUCTO]],0),MATCH(Tabla4[[#This Row],[Mes]],Tabla6[#Headers],0)))</f>
        <v>#N/A</v>
      </c>
      <c r="R6141" s="282" t="e">
        <f>++Tabla4[[#This Row],[Precio Unitario Neto]]-Tabla4[[#This Row],[20.85%]]-Tabla4[[#This Row],[Costo]]</f>
        <v>#N/A</v>
      </c>
      <c r="S6141" s="282" t="e">
        <f>++Tabla4[[#This Row],[U. Bruta Uni]]*Tabla4[[#This Row],[Cantidad]]</f>
        <v>#N/A</v>
      </c>
      <c r="T6141" s="369" t="str">
        <f>VLOOKUP(Tabla4[[#This Row],[Producto]],Tabla6[#All],14,FALSE)</f>
        <v>Termico Solar</v>
      </c>
      <c r="U6141" s="284" t="e">
        <f>(IF(Tabla4[[#This Row],[Familia]]="termico solar",Tabla4[[#This Row],[Utilidad Total]]*6%,Tabla4[[#This Row],[Utilidad Total]]*11.5%))/Tabla4[[#This Row],[Total]]</f>
        <v>#N/A</v>
      </c>
      <c r="V6141" s="282" t="e">
        <f>+Tabla4[[#This Row],[Comisión Calculada]]*Tabla4[[#This Row],[Total]]</f>
        <v>#N/A</v>
      </c>
    </row>
    <row r="6142" spans="1:22" hidden="1" x14ac:dyDescent="0.25">
      <c r="A6142" s="100">
        <v>45930</v>
      </c>
      <c r="B6142" t="str">
        <f t="shared" si="291"/>
        <v>September</v>
      </c>
      <c r="C6142" s="46" t="s">
        <v>280</v>
      </c>
      <c r="F6142" s="366" t="s">
        <v>3142</v>
      </c>
      <c r="G6142" s="46" t="s">
        <v>83</v>
      </c>
      <c r="H6142" s="46">
        <v>2</v>
      </c>
      <c r="I6142" s="51">
        <v>8858.76</v>
      </c>
      <c r="J6142" s="281">
        <f>++Tabla4[[#This Row],[Precio Bruto]]*1.16</f>
        <v>10276.161599999999</v>
      </c>
      <c r="K6142" s="281">
        <f>+Tabla4[[#This Row],[Precio Unitario Neto]]*Tabla4[[#Headers],[20.85%]]</f>
        <v>2142.5796935999997</v>
      </c>
      <c r="L6142" s="282">
        <f>++Tabla4[[#This Row],[Precio Unitario Neto]]-Tabla4[[#This Row],[20.85%]]</f>
        <v>8133.5819063999998</v>
      </c>
      <c r="M6142" s="282" t="e">
        <f>(INDEX(Tabla6[#All],MATCH(Tabla4[[#This Row],[Producto]],Tabla6[[#All],[PRODUCTO]],0),MATCH(Tabla4[[#This Row],[Mes]],Tabla6[#Headers],0)))*(1+Catalogos!$L$2)</f>
        <v>#N/A</v>
      </c>
      <c r="N6142" s="283" t="e">
        <f>+(Tabla4[[#This Row],[Precio Descontado]]-Tabla4[[#This Row],[Precio Base]])*Tabla4[[#This Row],[Cantidad]]</f>
        <v>#N/A</v>
      </c>
      <c r="O6142" s="284" t="e">
        <f>++Tabla4[[#This Row],[Utilidad Total]]/Tabla4[[#This Row],[Total]]</f>
        <v>#N/A</v>
      </c>
      <c r="P6142" s="282">
        <f>++Tabla4[[#This Row],[Precio Descontado]]*Tabla4[[#This Row],[Cantidad]]</f>
        <v>16267.1638128</v>
      </c>
      <c r="Q6142" s="282" t="e">
        <f>(INDEX(Tabla6[#All],MATCH(Tabla4[[#This Row],[Producto]],Tabla6[[#All],[PRODUCTO]],0),MATCH(Tabla4[[#This Row],[Mes]],Tabla6[#Headers],0)))</f>
        <v>#N/A</v>
      </c>
      <c r="R6142" s="282" t="e">
        <f>++Tabla4[[#This Row],[Precio Unitario Neto]]-Tabla4[[#This Row],[20.85%]]-Tabla4[[#This Row],[Costo]]</f>
        <v>#N/A</v>
      </c>
      <c r="S6142" s="282" t="e">
        <f>++Tabla4[[#This Row],[U. Bruta Uni]]*Tabla4[[#This Row],[Cantidad]]</f>
        <v>#N/A</v>
      </c>
      <c r="T6142" s="369" t="str">
        <f>VLOOKUP(Tabla4[[#This Row],[Producto]],Tabla6[#All],14,FALSE)</f>
        <v>Termico Solar</v>
      </c>
      <c r="U6142" s="284" t="e">
        <f>(IF(Tabla4[[#This Row],[Familia]]="termico solar",Tabla4[[#This Row],[Utilidad Total]]*6%,Tabla4[[#This Row],[Utilidad Total]]*11.5%))/Tabla4[[#This Row],[Total]]</f>
        <v>#N/A</v>
      </c>
      <c r="V6142" s="282" t="e">
        <f>+Tabla4[[#This Row],[Comisión Calculada]]*Tabla4[[#This Row],[Total]]</f>
        <v>#N/A</v>
      </c>
    </row>
    <row r="6143" spans="1:22" hidden="1" x14ac:dyDescent="0.25">
      <c r="A6143" s="100">
        <v>45930</v>
      </c>
      <c r="B6143" t="str">
        <f t="shared" si="291"/>
        <v>September</v>
      </c>
      <c r="C6143" s="46" t="s">
        <v>280</v>
      </c>
      <c r="F6143" s="366" t="s">
        <v>3142</v>
      </c>
      <c r="G6143" s="46" t="s">
        <v>17</v>
      </c>
      <c r="H6143" s="46">
        <v>1</v>
      </c>
      <c r="I6143" s="51">
        <v>4622.28</v>
      </c>
      <c r="J6143" s="281">
        <f>++Tabla4[[#This Row],[Precio Bruto]]*1.16</f>
        <v>5361.8447999999989</v>
      </c>
      <c r="K6143" s="281">
        <f>+Tabla4[[#This Row],[Precio Unitario Neto]]*Tabla4[[#Headers],[20.85%]]</f>
        <v>1117.9446407999997</v>
      </c>
      <c r="L6143" s="282">
        <f>++Tabla4[[#This Row],[Precio Unitario Neto]]-Tabla4[[#This Row],[20.85%]]</f>
        <v>4243.9001591999995</v>
      </c>
      <c r="M6143" s="282" t="e">
        <f>(INDEX(Tabla6[#All],MATCH(Tabla4[[#This Row],[Producto]],Tabla6[[#All],[PRODUCTO]],0),MATCH(Tabla4[[#This Row],[Mes]],Tabla6[#Headers],0)))*(1+Catalogos!$L$2)</f>
        <v>#N/A</v>
      </c>
      <c r="N6143" s="283" t="e">
        <f>+(Tabla4[[#This Row],[Precio Descontado]]-Tabla4[[#This Row],[Precio Base]])*Tabla4[[#This Row],[Cantidad]]</f>
        <v>#N/A</v>
      </c>
      <c r="O6143" s="284" t="e">
        <f>++Tabla4[[#This Row],[Utilidad Total]]/Tabla4[[#This Row],[Total]]</f>
        <v>#N/A</v>
      </c>
      <c r="P6143" s="282">
        <f>++Tabla4[[#This Row],[Precio Descontado]]*Tabla4[[#This Row],[Cantidad]]</f>
        <v>4243.9001591999995</v>
      </c>
      <c r="Q6143" s="282" t="e">
        <f>(INDEX(Tabla6[#All],MATCH(Tabla4[[#This Row],[Producto]],Tabla6[[#All],[PRODUCTO]],0),MATCH(Tabla4[[#This Row],[Mes]],Tabla6[#Headers],0)))</f>
        <v>#N/A</v>
      </c>
      <c r="R6143" s="282" t="e">
        <f>++Tabla4[[#This Row],[Precio Unitario Neto]]-Tabla4[[#This Row],[20.85%]]-Tabla4[[#This Row],[Costo]]</f>
        <v>#N/A</v>
      </c>
      <c r="S6143" s="282" t="e">
        <f>++Tabla4[[#This Row],[U. Bruta Uni]]*Tabla4[[#This Row],[Cantidad]]</f>
        <v>#N/A</v>
      </c>
      <c r="T6143" s="369" t="str">
        <f>VLOOKUP(Tabla4[[#This Row],[Producto]],Tabla6[#All],14,FALSE)</f>
        <v>Termico Solar</v>
      </c>
      <c r="U6143" s="284" t="e">
        <f>(IF(Tabla4[[#This Row],[Familia]]="termico solar",Tabla4[[#This Row],[Utilidad Total]]*6%,Tabla4[[#This Row],[Utilidad Total]]*11.5%))/Tabla4[[#This Row],[Total]]</f>
        <v>#N/A</v>
      </c>
      <c r="V6143" s="282" t="e">
        <f>+Tabla4[[#This Row],[Comisión Calculada]]*Tabla4[[#This Row],[Total]]</f>
        <v>#N/A</v>
      </c>
    </row>
    <row r="6144" spans="1:22" hidden="1" x14ac:dyDescent="0.25">
      <c r="A6144" s="100">
        <v>45930</v>
      </c>
      <c r="B6144" t="str">
        <f t="shared" si="291"/>
        <v>September</v>
      </c>
      <c r="C6144" s="46" t="s">
        <v>280</v>
      </c>
      <c r="F6144" s="366" t="s">
        <v>3142</v>
      </c>
      <c r="G6144" s="46" t="s">
        <v>18</v>
      </c>
      <c r="H6144" s="46">
        <v>1</v>
      </c>
      <c r="I6144" s="51">
        <v>5367.65</v>
      </c>
      <c r="J6144" s="281">
        <f>++Tabla4[[#This Row],[Precio Bruto]]*1.16</f>
        <v>6226.4739999999993</v>
      </c>
      <c r="K6144" s="281">
        <f>+Tabla4[[#This Row],[Precio Unitario Neto]]*Tabla4[[#Headers],[20.85%]]</f>
        <v>1298.2198289999999</v>
      </c>
      <c r="L6144" s="282">
        <f>++Tabla4[[#This Row],[Precio Unitario Neto]]-Tabla4[[#This Row],[20.85%]]</f>
        <v>4928.2541709999996</v>
      </c>
      <c r="M6144" s="282" t="e">
        <f>(INDEX(Tabla6[#All],MATCH(Tabla4[[#This Row],[Producto]],Tabla6[[#All],[PRODUCTO]],0),MATCH(Tabla4[[#This Row],[Mes]],Tabla6[#Headers],0)))*(1+Catalogos!$L$2)</f>
        <v>#N/A</v>
      </c>
      <c r="N6144" s="283" t="e">
        <f>+(Tabla4[[#This Row],[Precio Descontado]]-Tabla4[[#This Row],[Precio Base]])*Tabla4[[#This Row],[Cantidad]]</f>
        <v>#N/A</v>
      </c>
      <c r="O6144" s="284" t="e">
        <f>++Tabla4[[#This Row],[Utilidad Total]]/Tabla4[[#This Row],[Total]]</f>
        <v>#N/A</v>
      </c>
      <c r="P6144" s="282">
        <f>++Tabla4[[#This Row],[Precio Descontado]]*Tabla4[[#This Row],[Cantidad]]</f>
        <v>4928.2541709999996</v>
      </c>
      <c r="Q6144" s="282" t="e">
        <f>(INDEX(Tabla6[#All],MATCH(Tabla4[[#This Row],[Producto]],Tabla6[[#All],[PRODUCTO]],0),MATCH(Tabla4[[#This Row],[Mes]],Tabla6[#Headers],0)))</f>
        <v>#N/A</v>
      </c>
      <c r="R6144" s="282" t="e">
        <f>++Tabla4[[#This Row],[Precio Unitario Neto]]-Tabla4[[#This Row],[20.85%]]-Tabla4[[#This Row],[Costo]]</f>
        <v>#N/A</v>
      </c>
      <c r="S6144" s="282" t="e">
        <f>++Tabla4[[#This Row],[U. Bruta Uni]]*Tabla4[[#This Row],[Cantidad]]</f>
        <v>#N/A</v>
      </c>
      <c r="T6144" s="369" t="str">
        <f>VLOOKUP(Tabla4[[#This Row],[Producto]],Tabla6[#All],14,FALSE)</f>
        <v>Termico Solar</v>
      </c>
      <c r="U6144" s="284" t="e">
        <f>(IF(Tabla4[[#This Row],[Familia]]="termico solar",Tabla4[[#This Row],[Utilidad Total]]*6%,Tabla4[[#This Row],[Utilidad Total]]*11.5%))/Tabla4[[#This Row],[Total]]</f>
        <v>#N/A</v>
      </c>
      <c r="V6144" s="282" t="e">
        <f>+Tabla4[[#This Row],[Comisión Calculada]]*Tabla4[[#This Row],[Total]]</f>
        <v>#N/A</v>
      </c>
    </row>
    <row r="6145" spans="1:22" hidden="1" x14ac:dyDescent="0.25">
      <c r="A6145" s="100">
        <v>45930</v>
      </c>
      <c r="B6145" t="str">
        <f t="shared" si="291"/>
        <v>September</v>
      </c>
      <c r="C6145" s="46" t="s">
        <v>280</v>
      </c>
      <c r="F6145" s="366" t="s">
        <v>3143</v>
      </c>
      <c r="G6145" s="46" t="s">
        <v>17</v>
      </c>
      <c r="H6145" s="46">
        <v>1</v>
      </c>
      <c r="I6145" s="51">
        <v>4622.28</v>
      </c>
      <c r="J6145" s="281">
        <f>++Tabla4[[#This Row],[Precio Bruto]]*1.16</f>
        <v>5361.8447999999989</v>
      </c>
      <c r="K6145" s="281">
        <f>+Tabla4[[#This Row],[Precio Unitario Neto]]*Tabla4[[#Headers],[20.85%]]</f>
        <v>1117.9446407999997</v>
      </c>
      <c r="L6145" s="282">
        <f>++Tabla4[[#This Row],[Precio Unitario Neto]]-Tabla4[[#This Row],[20.85%]]</f>
        <v>4243.9001591999995</v>
      </c>
      <c r="M6145" s="282" t="e">
        <f>(INDEX(Tabla6[#All],MATCH(Tabla4[[#This Row],[Producto]],Tabla6[[#All],[PRODUCTO]],0),MATCH(Tabla4[[#This Row],[Mes]],Tabla6[#Headers],0)))*(1+Catalogos!$L$2)</f>
        <v>#N/A</v>
      </c>
      <c r="N6145" s="283" t="e">
        <f>+(Tabla4[[#This Row],[Precio Descontado]]-Tabla4[[#This Row],[Precio Base]])*Tabla4[[#This Row],[Cantidad]]</f>
        <v>#N/A</v>
      </c>
      <c r="O6145" s="284" t="e">
        <f>++Tabla4[[#This Row],[Utilidad Total]]/Tabla4[[#This Row],[Total]]</f>
        <v>#N/A</v>
      </c>
      <c r="P6145" s="282">
        <f>++Tabla4[[#This Row],[Precio Descontado]]*Tabla4[[#This Row],[Cantidad]]</f>
        <v>4243.9001591999995</v>
      </c>
      <c r="Q6145" s="282" t="e">
        <f>(INDEX(Tabla6[#All],MATCH(Tabla4[[#This Row],[Producto]],Tabla6[[#All],[PRODUCTO]],0),MATCH(Tabla4[[#This Row],[Mes]],Tabla6[#Headers],0)))</f>
        <v>#N/A</v>
      </c>
      <c r="R6145" s="282" t="e">
        <f>++Tabla4[[#This Row],[Precio Unitario Neto]]-Tabla4[[#This Row],[20.85%]]-Tabla4[[#This Row],[Costo]]</f>
        <v>#N/A</v>
      </c>
      <c r="S6145" s="282" t="e">
        <f>++Tabla4[[#This Row],[U. Bruta Uni]]*Tabla4[[#This Row],[Cantidad]]</f>
        <v>#N/A</v>
      </c>
      <c r="T6145" s="369" t="str">
        <f>VLOOKUP(Tabla4[[#This Row],[Producto]],Tabla6[#All],14,FALSE)</f>
        <v>Termico Solar</v>
      </c>
      <c r="U6145" s="284" t="e">
        <f>(IF(Tabla4[[#This Row],[Familia]]="termico solar",Tabla4[[#This Row],[Utilidad Total]]*6%,Tabla4[[#This Row],[Utilidad Total]]*11.5%))/Tabla4[[#This Row],[Total]]</f>
        <v>#N/A</v>
      </c>
      <c r="V6145" s="282" t="e">
        <f>+Tabla4[[#This Row],[Comisión Calculada]]*Tabla4[[#This Row],[Total]]</f>
        <v>#N/A</v>
      </c>
    </row>
    <row r="6146" spans="1:22" hidden="1" x14ac:dyDescent="0.25">
      <c r="A6146" s="100">
        <v>45930</v>
      </c>
      <c r="B6146" t="str">
        <f t="shared" si="291"/>
        <v>September</v>
      </c>
      <c r="C6146" s="46" t="s">
        <v>280</v>
      </c>
      <c r="F6146" s="366" t="s">
        <v>3143</v>
      </c>
      <c r="G6146" s="46" t="s">
        <v>208</v>
      </c>
      <c r="H6146" s="46">
        <v>3</v>
      </c>
      <c r="I6146" s="51">
        <v>189.75</v>
      </c>
      <c r="J6146" s="281">
        <f>++Tabla4[[#This Row],[Precio Bruto]]*1.16</f>
        <v>220.10999999999999</v>
      </c>
      <c r="K6146" s="281">
        <f>+Tabla4[[#This Row],[Precio Unitario Neto]]*Tabla4[[#Headers],[20.85%]]</f>
        <v>45.892934999999994</v>
      </c>
      <c r="L6146" s="282">
        <f>++Tabla4[[#This Row],[Precio Unitario Neto]]-Tabla4[[#This Row],[20.85%]]</f>
        <v>174.21706499999999</v>
      </c>
      <c r="M6146" s="282" t="e">
        <f>(INDEX(Tabla6[#All],MATCH(Tabla4[[#This Row],[Producto]],Tabla6[[#All],[PRODUCTO]],0),MATCH(Tabla4[[#This Row],[Mes]],Tabla6[#Headers],0)))*(1+Catalogos!$L$2)</f>
        <v>#N/A</v>
      </c>
      <c r="N6146" s="283" t="e">
        <f>+(Tabla4[[#This Row],[Precio Descontado]]-Tabla4[[#This Row],[Precio Base]])*Tabla4[[#This Row],[Cantidad]]</f>
        <v>#N/A</v>
      </c>
      <c r="O6146" s="284" t="e">
        <f>++Tabla4[[#This Row],[Utilidad Total]]/Tabla4[[#This Row],[Total]]</f>
        <v>#N/A</v>
      </c>
      <c r="P6146" s="282">
        <f>++Tabla4[[#This Row],[Precio Descontado]]*Tabla4[[#This Row],[Cantidad]]</f>
        <v>522.65119499999992</v>
      </c>
      <c r="Q6146" s="282" t="e">
        <f>(INDEX(Tabla6[#All],MATCH(Tabla4[[#This Row],[Producto]],Tabla6[[#All],[PRODUCTO]],0),MATCH(Tabla4[[#This Row],[Mes]],Tabla6[#Headers],0)))</f>
        <v>#N/A</v>
      </c>
      <c r="R6146" s="282" t="e">
        <f>++Tabla4[[#This Row],[Precio Unitario Neto]]-Tabla4[[#This Row],[20.85%]]-Tabla4[[#This Row],[Costo]]</f>
        <v>#N/A</v>
      </c>
      <c r="S6146" s="282" t="e">
        <f>++Tabla4[[#This Row],[U. Bruta Uni]]*Tabla4[[#This Row],[Cantidad]]</f>
        <v>#N/A</v>
      </c>
      <c r="T6146" s="369" t="str">
        <f>VLOOKUP(Tabla4[[#This Row],[Producto]],Tabla6[#All],14,FALSE)</f>
        <v>Termico Solar</v>
      </c>
      <c r="U6146" s="284" t="e">
        <f>(IF(Tabla4[[#This Row],[Familia]]="termico solar",Tabla4[[#This Row],[Utilidad Total]]*6%,Tabla4[[#This Row],[Utilidad Total]]*11.5%))/Tabla4[[#This Row],[Total]]</f>
        <v>#N/A</v>
      </c>
      <c r="V6146" s="282" t="e">
        <f>+Tabla4[[#This Row],[Comisión Calculada]]*Tabla4[[#This Row],[Total]]</f>
        <v>#N/A</v>
      </c>
    </row>
    <row r="6147" spans="1:22" hidden="1" x14ac:dyDescent="0.25">
      <c r="A6147" s="100">
        <v>45930</v>
      </c>
      <c r="B6147" t="str">
        <f t="shared" si="291"/>
        <v>September</v>
      </c>
      <c r="C6147" s="46" t="s">
        <v>280</v>
      </c>
      <c r="F6147" s="366" t="s">
        <v>3144</v>
      </c>
      <c r="G6147" s="46" t="s">
        <v>83</v>
      </c>
      <c r="H6147" s="46">
        <v>2</v>
      </c>
      <c r="I6147" s="51">
        <v>8858.76</v>
      </c>
      <c r="J6147" s="281">
        <f>++Tabla4[[#This Row],[Precio Bruto]]*1.16</f>
        <v>10276.161599999999</v>
      </c>
      <c r="K6147" s="281">
        <f>+Tabla4[[#This Row],[Precio Unitario Neto]]*Tabla4[[#Headers],[20.85%]]</f>
        <v>2142.5796935999997</v>
      </c>
      <c r="L6147" s="282">
        <f>++Tabla4[[#This Row],[Precio Unitario Neto]]-Tabla4[[#This Row],[20.85%]]</f>
        <v>8133.5819063999998</v>
      </c>
      <c r="M6147" s="282" t="e">
        <f>(INDEX(Tabla6[#All],MATCH(Tabla4[[#This Row],[Producto]],Tabla6[[#All],[PRODUCTO]],0),MATCH(Tabla4[[#This Row],[Mes]],Tabla6[#Headers],0)))*(1+Catalogos!$L$2)</f>
        <v>#N/A</v>
      </c>
      <c r="N6147" s="283" t="e">
        <f>+(Tabla4[[#This Row],[Precio Descontado]]-Tabla4[[#This Row],[Precio Base]])*Tabla4[[#This Row],[Cantidad]]</f>
        <v>#N/A</v>
      </c>
      <c r="O6147" s="284" t="e">
        <f>++Tabla4[[#This Row],[Utilidad Total]]/Tabla4[[#This Row],[Total]]</f>
        <v>#N/A</v>
      </c>
      <c r="P6147" s="282">
        <f>++Tabla4[[#This Row],[Precio Descontado]]*Tabla4[[#This Row],[Cantidad]]</f>
        <v>16267.1638128</v>
      </c>
      <c r="Q6147" s="282" t="e">
        <f>(INDEX(Tabla6[#All],MATCH(Tabla4[[#This Row],[Producto]],Tabla6[[#All],[PRODUCTO]],0),MATCH(Tabla4[[#This Row],[Mes]],Tabla6[#Headers],0)))</f>
        <v>#N/A</v>
      </c>
      <c r="R6147" s="282" t="e">
        <f>++Tabla4[[#This Row],[Precio Unitario Neto]]-Tabla4[[#This Row],[20.85%]]-Tabla4[[#This Row],[Costo]]</f>
        <v>#N/A</v>
      </c>
      <c r="S6147" s="282" t="e">
        <f>++Tabla4[[#This Row],[U. Bruta Uni]]*Tabla4[[#This Row],[Cantidad]]</f>
        <v>#N/A</v>
      </c>
      <c r="T6147" s="369" t="str">
        <f>VLOOKUP(Tabla4[[#This Row],[Producto]],Tabla6[#All],14,FALSE)</f>
        <v>Termico Solar</v>
      </c>
      <c r="U6147" s="284" t="e">
        <f>(IF(Tabla4[[#This Row],[Familia]]="termico solar",Tabla4[[#This Row],[Utilidad Total]]*6%,Tabla4[[#This Row],[Utilidad Total]]*11.5%))/Tabla4[[#This Row],[Total]]</f>
        <v>#N/A</v>
      </c>
      <c r="V6147" s="282" t="e">
        <f>+Tabla4[[#This Row],[Comisión Calculada]]*Tabla4[[#This Row],[Total]]</f>
        <v>#N/A</v>
      </c>
    </row>
    <row r="6148" spans="1:22" hidden="1" x14ac:dyDescent="0.25">
      <c r="A6148" s="100">
        <v>45930</v>
      </c>
      <c r="B6148" t="str">
        <f t="shared" si="291"/>
        <v>September</v>
      </c>
      <c r="C6148" s="46" t="s">
        <v>280</v>
      </c>
      <c r="F6148" s="366" t="s">
        <v>3144</v>
      </c>
      <c r="G6148" s="46" t="s">
        <v>208</v>
      </c>
      <c r="H6148" s="46">
        <v>14</v>
      </c>
      <c r="I6148" s="51">
        <v>189.75</v>
      </c>
      <c r="J6148" s="281">
        <f>++Tabla4[[#This Row],[Precio Bruto]]*1.16</f>
        <v>220.10999999999999</v>
      </c>
      <c r="K6148" s="281">
        <f>+Tabla4[[#This Row],[Precio Unitario Neto]]*Tabla4[[#Headers],[20.85%]]</f>
        <v>45.892934999999994</v>
      </c>
      <c r="L6148" s="282">
        <f>++Tabla4[[#This Row],[Precio Unitario Neto]]-Tabla4[[#This Row],[20.85%]]</f>
        <v>174.21706499999999</v>
      </c>
      <c r="M6148" s="282" t="e">
        <f>(INDEX(Tabla6[#All],MATCH(Tabla4[[#This Row],[Producto]],Tabla6[[#All],[PRODUCTO]],0),MATCH(Tabla4[[#This Row],[Mes]],Tabla6[#Headers],0)))*(1+Catalogos!$L$2)</f>
        <v>#N/A</v>
      </c>
      <c r="N6148" s="283" t="e">
        <f>+(Tabla4[[#This Row],[Precio Descontado]]-Tabla4[[#This Row],[Precio Base]])*Tabla4[[#This Row],[Cantidad]]</f>
        <v>#N/A</v>
      </c>
      <c r="O6148" s="284" t="e">
        <f>++Tabla4[[#This Row],[Utilidad Total]]/Tabla4[[#This Row],[Total]]</f>
        <v>#N/A</v>
      </c>
      <c r="P6148" s="282">
        <f>++Tabla4[[#This Row],[Precio Descontado]]*Tabla4[[#This Row],[Cantidad]]</f>
        <v>2439.0389099999998</v>
      </c>
      <c r="Q6148" s="282" t="e">
        <f>(INDEX(Tabla6[#All],MATCH(Tabla4[[#This Row],[Producto]],Tabla6[[#All],[PRODUCTO]],0),MATCH(Tabla4[[#This Row],[Mes]],Tabla6[#Headers],0)))</f>
        <v>#N/A</v>
      </c>
      <c r="R6148" s="282" t="e">
        <f>++Tabla4[[#This Row],[Precio Unitario Neto]]-Tabla4[[#This Row],[20.85%]]-Tabla4[[#This Row],[Costo]]</f>
        <v>#N/A</v>
      </c>
      <c r="S6148" s="282" t="e">
        <f>++Tabla4[[#This Row],[U. Bruta Uni]]*Tabla4[[#This Row],[Cantidad]]</f>
        <v>#N/A</v>
      </c>
      <c r="T6148" s="369" t="str">
        <f>VLOOKUP(Tabla4[[#This Row],[Producto]],Tabla6[#All],14,FALSE)</f>
        <v>Termico Solar</v>
      </c>
      <c r="U6148" s="284" t="e">
        <f>(IF(Tabla4[[#This Row],[Familia]]="termico solar",Tabla4[[#This Row],[Utilidad Total]]*6%,Tabla4[[#This Row],[Utilidad Total]]*11.5%))/Tabla4[[#This Row],[Total]]</f>
        <v>#N/A</v>
      </c>
      <c r="V6148" s="282" t="e">
        <f>+Tabla4[[#This Row],[Comisión Calculada]]*Tabla4[[#This Row],[Total]]</f>
        <v>#N/A</v>
      </c>
    </row>
    <row r="6149" spans="1:22" hidden="1" x14ac:dyDescent="0.25">
      <c r="A6149" s="100">
        <v>45930</v>
      </c>
      <c r="B6149" t="str">
        <f t="shared" si="291"/>
        <v>September</v>
      </c>
      <c r="C6149" s="46" t="s">
        <v>280</v>
      </c>
      <c r="F6149" s="366" t="s">
        <v>3145</v>
      </c>
      <c r="G6149" s="46" t="s">
        <v>83</v>
      </c>
      <c r="H6149" s="46">
        <v>2</v>
      </c>
      <c r="I6149" s="51">
        <v>8858.76</v>
      </c>
      <c r="J6149" s="281">
        <f>++Tabla4[[#This Row],[Precio Bruto]]*1.16</f>
        <v>10276.161599999999</v>
      </c>
      <c r="K6149" s="281">
        <f>+Tabla4[[#This Row],[Precio Unitario Neto]]*Tabla4[[#Headers],[20.85%]]</f>
        <v>2142.5796935999997</v>
      </c>
      <c r="L6149" s="282">
        <f>++Tabla4[[#This Row],[Precio Unitario Neto]]-Tabla4[[#This Row],[20.85%]]</f>
        <v>8133.5819063999998</v>
      </c>
      <c r="M6149" s="282" t="e">
        <f>(INDEX(Tabla6[#All],MATCH(Tabla4[[#This Row],[Producto]],Tabla6[[#All],[PRODUCTO]],0),MATCH(Tabla4[[#This Row],[Mes]],Tabla6[#Headers],0)))*(1+Catalogos!$L$2)</f>
        <v>#N/A</v>
      </c>
      <c r="N6149" s="283" t="e">
        <f>+(Tabla4[[#This Row],[Precio Descontado]]-Tabla4[[#This Row],[Precio Base]])*Tabla4[[#This Row],[Cantidad]]</f>
        <v>#N/A</v>
      </c>
      <c r="O6149" s="284" t="e">
        <f>++Tabla4[[#This Row],[Utilidad Total]]/Tabla4[[#This Row],[Total]]</f>
        <v>#N/A</v>
      </c>
      <c r="P6149" s="282">
        <f>++Tabla4[[#This Row],[Precio Descontado]]*Tabla4[[#This Row],[Cantidad]]</f>
        <v>16267.1638128</v>
      </c>
      <c r="Q6149" s="282" t="e">
        <f>(INDEX(Tabla6[#All],MATCH(Tabla4[[#This Row],[Producto]],Tabla6[[#All],[PRODUCTO]],0),MATCH(Tabla4[[#This Row],[Mes]],Tabla6[#Headers],0)))</f>
        <v>#N/A</v>
      </c>
      <c r="R6149" s="282" t="e">
        <f>++Tabla4[[#This Row],[Precio Unitario Neto]]-Tabla4[[#This Row],[20.85%]]-Tabla4[[#This Row],[Costo]]</f>
        <v>#N/A</v>
      </c>
      <c r="S6149" s="282" t="e">
        <f>++Tabla4[[#This Row],[U. Bruta Uni]]*Tabla4[[#This Row],[Cantidad]]</f>
        <v>#N/A</v>
      </c>
      <c r="T6149" s="369" t="str">
        <f>VLOOKUP(Tabla4[[#This Row],[Producto]],Tabla6[#All],14,FALSE)</f>
        <v>Termico Solar</v>
      </c>
      <c r="U6149" s="284" t="e">
        <f>(IF(Tabla4[[#This Row],[Familia]]="termico solar",Tabla4[[#This Row],[Utilidad Total]]*6%,Tabla4[[#This Row],[Utilidad Total]]*11.5%))/Tabla4[[#This Row],[Total]]</f>
        <v>#N/A</v>
      </c>
      <c r="V6149" s="282" t="e">
        <f>+Tabla4[[#This Row],[Comisión Calculada]]*Tabla4[[#This Row],[Total]]</f>
        <v>#N/A</v>
      </c>
    </row>
    <row r="6150" spans="1:22" hidden="1" x14ac:dyDescent="0.25">
      <c r="A6150" s="100">
        <v>45930</v>
      </c>
      <c r="B6150" t="str">
        <f t="shared" si="291"/>
        <v>September</v>
      </c>
      <c r="C6150" s="46" t="s">
        <v>280</v>
      </c>
      <c r="F6150" s="366" t="s">
        <v>3145</v>
      </c>
      <c r="G6150" s="46" t="s">
        <v>18</v>
      </c>
      <c r="H6150" s="46">
        <v>1</v>
      </c>
      <c r="I6150" s="51">
        <v>5367.65</v>
      </c>
      <c r="J6150" s="281">
        <f>++Tabla4[[#This Row],[Precio Bruto]]*1.16</f>
        <v>6226.4739999999993</v>
      </c>
      <c r="K6150" s="281">
        <f>+Tabla4[[#This Row],[Precio Unitario Neto]]*Tabla4[[#Headers],[20.85%]]</f>
        <v>1298.2198289999999</v>
      </c>
      <c r="L6150" s="282">
        <f>++Tabla4[[#This Row],[Precio Unitario Neto]]-Tabla4[[#This Row],[20.85%]]</f>
        <v>4928.2541709999996</v>
      </c>
      <c r="M6150" s="282" t="e">
        <f>(INDEX(Tabla6[#All],MATCH(Tabla4[[#This Row],[Producto]],Tabla6[[#All],[PRODUCTO]],0),MATCH(Tabla4[[#This Row],[Mes]],Tabla6[#Headers],0)))*(1+Catalogos!$L$2)</f>
        <v>#N/A</v>
      </c>
      <c r="N6150" s="283" t="e">
        <f>+(Tabla4[[#This Row],[Precio Descontado]]-Tabla4[[#This Row],[Precio Base]])*Tabla4[[#This Row],[Cantidad]]</f>
        <v>#N/A</v>
      </c>
      <c r="O6150" s="284" t="e">
        <f>++Tabla4[[#This Row],[Utilidad Total]]/Tabla4[[#This Row],[Total]]</f>
        <v>#N/A</v>
      </c>
      <c r="P6150" s="282">
        <f>++Tabla4[[#This Row],[Precio Descontado]]*Tabla4[[#This Row],[Cantidad]]</f>
        <v>4928.2541709999996</v>
      </c>
      <c r="Q6150" s="282" t="e">
        <f>(INDEX(Tabla6[#All],MATCH(Tabla4[[#This Row],[Producto]],Tabla6[[#All],[PRODUCTO]],0),MATCH(Tabla4[[#This Row],[Mes]],Tabla6[#Headers],0)))</f>
        <v>#N/A</v>
      </c>
      <c r="R6150" s="282" t="e">
        <f>++Tabla4[[#This Row],[Precio Unitario Neto]]-Tabla4[[#This Row],[20.85%]]-Tabla4[[#This Row],[Costo]]</f>
        <v>#N/A</v>
      </c>
      <c r="S6150" s="282" t="e">
        <f>++Tabla4[[#This Row],[U. Bruta Uni]]*Tabla4[[#This Row],[Cantidad]]</f>
        <v>#N/A</v>
      </c>
      <c r="T6150" s="369" t="str">
        <f>VLOOKUP(Tabla4[[#This Row],[Producto]],Tabla6[#All],14,FALSE)</f>
        <v>Termico Solar</v>
      </c>
      <c r="U6150" s="284" t="e">
        <f>(IF(Tabla4[[#This Row],[Familia]]="termico solar",Tabla4[[#This Row],[Utilidad Total]]*6%,Tabla4[[#This Row],[Utilidad Total]]*11.5%))/Tabla4[[#This Row],[Total]]</f>
        <v>#N/A</v>
      </c>
      <c r="V6150" s="282" t="e">
        <f>+Tabla4[[#This Row],[Comisión Calculada]]*Tabla4[[#This Row],[Total]]</f>
        <v>#N/A</v>
      </c>
    </row>
    <row r="6151" spans="1:22" hidden="1" x14ac:dyDescent="0.25">
      <c r="A6151" s="100">
        <v>45930</v>
      </c>
      <c r="B6151" t="str">
        <f t="shared" si="291"/>
        <v>September</v>
      </c>
      <c r="C6151" s="46" t="s">
        <v>280</v>
      </c>
      <c r="F6151" s="366" t="s">
        <v>3145</v>
      </c>
      <c r="G6151" s="46" t="s">
        <v>208</v>
      </c>
      <c r="H6151" s="46">
        <v>1</v>
      </c>
      <c r="I6151" s="51">
        <v>189.75</v>
      </c>
      <c r="J6151" s="281">
        <f>++Tabla4[[#This Row],[Precio Bruto]]*1.16</f>
        <v>220.10999999999999</v>
      </c>
      <c r="K6151" s="281">
        <f>+Tabla4[[#This Row],[Precio Unitario Neto]]*Tabla4[[#Headers],[20.85%]]</f>
        <v>45.892934999999994</v>
      </c>
      <c r="L6151" s="282">
        <f>++Tabla4[[#This Row],[Precio Unitario Neto]]-Tabla4[[#This Row],[20.85%]]</f>
        <v>174.21706499999999</v>
      </c>
      <c r="M6151" s="282" t="e">
        <f>(INDEX(Tabla6[#All],MATCH(Tabla4[[#This Row],[Producto]],Tabla6[[#All],[PRODUCTO]],0),MATCH(Tabla4[[#This Row],[Mes]],Tabla6[#Headers],0)))*(1+Catalogos!$L$2)</f>
        <v>#N/A</v>
      </c>
      <c r="N6151" s="283" t="e">
        <f>+(Tabla4[[#This Row],[Precio Descontado]]-Tabla4[[#This Row],[Precio Base]])*Tabla4[[#This Row],[Cantidad]]</f>
        <v>#N/A</v>
      </c>
      <c r="O6151" s="284" t="e">
        <f>++Tabla4[[#This Row],[Utilidad Total]]/Tabla4[[#This Row],[Total]]</f>
        <v>#N/A</v>
      </c>
      <c r="P6151" s="282">
        <f>++Tabla4[[#This Row],[Precio Descontado]]*Tabla4[[#This Row],[Cantidad]]</f>
        <v>174.21706499999999</v>
      </c>
      <c r="Q6151" s="282" t="e">
        <f>(INDEX(Tabla6[#All],MATCH(Tabla4[[#This Row],[Producto]],Tabla6[[#All],[PRODUCTO]],0),MATCH(Tabla4[[#This Row],[Mes]],Tabla6[#Headers],0)))</f>
        <v>#N/A</v>
      </c>
      <c r="R6151" s="282" t="e">
        <f>++Tabla4[[#This Row],[Precio Unitario Neto]]-Tabla4[[#This Row],[20.85%]]-Tabla4[[#This Row],[Costo]]</f>
        <v>#N/A</v>
      </c>
      <c r="S6151" s="282" t="e">
        <f>++Tabla4[[#This Row],[U. Bruta Uni]]*Tabla4[[#This Row],[Cantidad]]</f>
        <v>#N/A</v>
      </c>
      <c r="T6151" s="369" t="str">
        <f>VLOOKUP(Tabla4[[#This Row],[Producto]],Tabla6[#All],14,FALSE)</f>
        <v>Termico Solar</v>
      </c>
      <c r="U6151" s="284" t="e">
        <f>(IF(Tabla4[[#This Row],[Familia]]="termico solar",Tabla4[[#This Row],[Utilidad Total]]*6%,Tabla4[[#This Row],[Utilidad Total]]*11.5%))/Tabla4[[#This Row],[Total]]</f>
        <v>#N/A</v>
      </c>
      <c r="V6151" s="282" t="e">
        <f>+Tabla4[[#This Row],[Comisión Calculada]]*Tabla4[[#This Row],[Total]]</f>
        <v>#N/A</v>
      </c>
    </row>
    <row r="6152" spans="1:22" hidden="1" x14ac:dyDescent="0.25">
      <c r="A6152" s="100">
        <v>45930</v>
      </c>
      <c r="B6152" t="str">
        <f t="shared" si="291"/>
        <v>September</v>
      </c>
      <c r="C6152" s="46" t="s">
        <v>280</v>
      </c>
      <c r="F6152" s="366" t="s">
        <v>3146</v>
      </c>
      <c r="G6152" s="46" t="s">
        <v>83</v>
      </c>
      <c r="H6152" s="46">
        <v>1</v>
      </c>
      <c r="I6152" s="51">
        <v>8858.76</v>
      </c>
      <c r="J6152" s="281">
        <f>++Tabla4[[#This Row],[Precio Bruto]]*1.16</f>
        <v>10276.161599999999</v>
      </c>
      <c r="K6152" s="281">
        <f>+Tabla4[[#This Row],[Precio Unitario Neto]]*Tabla4[[#Headers],[20.85%]]</f>
        <v>2142.5796935999997</v>
      </c>
      <c r="L6152" s="282">
        <f>++Tabla4[[#This Row],[Precio Unitario Neto]]-Tabla4[[#This Row],[20.85%]]</f>
        <v>8133.5819063999998</v>
      </c>
      <c r="M6152" s="282" t="e">
        <f>(INDEX(Tabla6[#All],MATCH(Tabla4[[#This Row],[Producto]],Tabla6[[#All],[PRODUCTO]],0),MATCH(Tabla4[[#This Row],[Mes]],Tabla6[#Headers],0)))*(1+Catalogos!$L$2)</f>
        <v>#N/A</v>
      </c>
      <c r="N6152" s="283" t="e">
        <f>+(Tabla4[[#This Row],[Precio Descontado]]-Tabla4[[#This Row],[Precio Base]])*Tabla4[[#This Row],[Cantidad]]</f>
        <v>#N/A</v>
      </c>
      <c r="O6152" s="284" t="e">
        <f>++Tabla4[[#This Row],[Utilidad Total]]/Tabla4[[#This Row],[Total]]</f>
        <v>#N/A</v>
      </c>
      <c r="P6152" s="282">
        <f>++Tabla4[[#This Row],[Precio Descontado]]*Tabla4[[#This Row],[Cantidad]]</f>
        <v>8133.5819063999998</v>
      </c>
      <c r="Q6152" s="282" t="e">
        <f>(INDEX(Tabla6[#All],MATCH(Tabla4[[#This Row],[Producto]],Tabla6[[#All],[PRODUCTO]],0),MATCH(Tabla4[[#This Row],[Mes]],Tabla6[#Headers],0)))</f>
        <v>#N/A</v>
      </c>
      <c r="R6152" s="282" t="e">
        <f>++Tabla4[[#This Row],[Precio Unitario Neto]]-Tabla4[[#This Row],[20.85%]]-Tabla4[[#This Row],[Costo]]</f>
        <v>#N/A</v>
      </c>
      <c r="S6152" s="282" t="e">
        <f>++Tabla4[[#This Row],[U. Bruta Uni]]*Tabla4[[#This Row],[Cantidad]]</f>
        <v>#N/A</v>
      </c>
      <c r="T6152" s="369" t="str">
        <f>VLOOKUP(Tabla4[[#This Row],[Producto]],Tabla6[#All],14,FALSE)</f>
        <v>Termico Solar</v>
      </c>
      <c r="U6152" s="284" t="e">
        <f>(IF(Tabla4[[#This Row],[Familia]]="termico solar",Tabla4[[#This Row],[Utilidad Total]]*6%,Tabla4[[#This Row],[Utilidad Total]]*11.5%))/Tabla4[[#This Row],[Total]]</f>
        <v>#N/A</v>
      </c>
      <c r="V6152" s="282" t="e">
        <f>+Tabla4[[#This Row],[Comisión Calculada]]*Tabla4[[#This Row],[Total]]</f>
        <v>#N/A</v>
      </c>
    </row>
    <row r="6153" spans="1:22" hidden="1" x14ac:dyDescent="0.25">
      <c r="A6153" s="100">
        <v>45930</v>
      </c>
      <c r="B6153" t="str">
        <f t="shared" si="291"/>
        <v>September</v>
      </c>
      <c r="C6153" s="46" t="s">
        <v>280</v>
      </c>
      <c r="F6153" s="366" t="s">
        <v>3146</v>
      </c>
      <c r="G6153" s="46" t="s">
        <v>18</v>
      </c>
      <c r="H6153" s="46">
        <v>2</v>
      </c>
      <c r="I6153" s="51">
        <v>5367.65</v>
      </c>
      <c r="J6153" s="281">
        <f>++Tabla4[[#This Row],[Precio Bruto]]*1.16</f>
        <v>6226.4739999999993</v>
      </c>
      <c r="K6153" s="281">
        <f>+Tabla4[[#This Row],[Precio Unitario Neto]]*Tabla4[[#Headers],[20.85%]]</f>
        <v>1298.2198289999999</v>
      </c>
      <c r="L6153" s="282">
        <f>++Tabla4[[#This Row],[Precio Unitario Neto]]-Tabla4[[#This Row],[20.85%]]</f>
        <v>4928.2541709999996</v>
      </c>
      <c r="M6153" s="282" t="e">
        <f>(INDEX(Tabla6[#All],MATCH(Tabla4[[#This Row],[Producto]],Tabla6[[#All],[PRODUCTO]],0),MATCH(Tabla4[[#This Row],[Mes]],Tabla6[#Headers],0)))*(1+Catalogos!$L$2)</f>
        <v>#N/A</v>
      </c>
      <c r="N6153" s="283" t="e">
        <f>+(Tabla4[[#This Row],[Precio Descontado]]-Tabla4[[#This Row],[Precio Base]])*Tabla4[[#This Row],[Cantidad]]</f>
        <v>#N/A</v>
      </c>
      <c r="O6153" s="284" t="e">
        <f>++Tabla4[[#This Row],[Utilidad Total]]/Tabla4[[#This Row],[Total]]</f>
        <v>#N/A</v>
      </c>
      <c r="P6153" s="282">
        <f>++Tabla4[[#This Row],[Precio Descontado]]*Tabla4[[#This Row],[Cantidad]]</f>
        <v>9856.5083419999992</v>
      </c>
      <c r="Q6153" s="282" t="e">
        <f>(INDEX(Tabla6[#All],MATCH(Tabla4[[#This Row],[Producto]],Tabla6[[#All],[PRODUCTO]],0),MATCH(Tabla4[[#This Row],[Mes]],Tabla6[#Headers],0)))</f>
        <v>#N/A</v>
      </c>
      <c r="R6153" s="282" t="e">
        <f>++Tabla4[[#This Row],[Precio Unitario Neto]]-Tabla4[[#This Row],[20.85%]]-Tabla4[[#This Row],[Costo]]</f>
        <v>#N/A</v>
      </c>
      <c r="S6153" s="282" t="e">
        <f>++Tabla4[[#This Row],[U. Bruta Uni]]*Tabla4[[#This Row],[Cantidad]]</f>
        <v>#N/A</v>
      </c>
      <c r="T6153" s="369" t="str">
        <f>VLOOKUP(Tabla4[[#This Row],[Producto]],Tabla6[#All],14,FALSE)</f>
        <v>Termico Solar</v>
      </c>
      <c r="U6153" s="284" t="e">
        <f>(IF(Tabla4[[#This Row],[Familia]]="termico solar",Tabla4[[#This Row],[Utilidad Total]]*6%,Tabla4[[#This Row],[Utilidad Total]]*11.5%))/Tabla4[[#This Row],[Total]]</f>
        <v>#N/A</v>
      </c>
      <c r="V6153" s="282" t="e">
        <f>+Tabla4[[#This Row],[Comisión Calculada]]*Tabla4[[#This Row],[Total]]</f>
        <v>#N/A</v>
      </c>
    </row>
    <row r="6154" spans="1:22" hidden="1" x14ac:dyDescent="0.25">
      <c r="A6154" s="100">
        <v>45930</v>
      </c>
      <c r="B6154" t="str">
        <f t="shared" si="291"/>
        <v>September</v>
      </c>
      <c r="C6154" s="46" t="s">
        <v>280</v>
      </c>
      <c r="F6154" s="366" t="s">
        <v>3147</v>
      </c>
      <c r="G6154" s="46" t="s">
        <v>17</v>
      </c>
      <c r="H6154" s="46">
        <v>1</v>
      </c>
      <c r="I6154" s="51">
        <v>4622.28</v>
      </c>
      <c r="J6154" s="281">
        <f>++Tabla4[[#This Row],[Precio Bruto]]*1.16</f>
        <v>5361.8447999999989</v>
      </c>
      <c r="K6154" s="281">
        <f>+Tabla4[[#This Row],[Precio Unitario Neto]]*Tabla4[[#Headers],[20.85%]]</f>
        <v>1117.9446407999997</v>
      </c>
      <c r="L6154" s="282">
        <f>++Tabla4[[#This Row],[Precio Unitario Neto]]-Tabla4[[#This Row],[20.85%]]</f>
        <v>4243.9001591999995</v>
      </c>
      <c r="M6154" s="282" t="e">
        <f>(INDEX(Tabla6[#All],MATCH(Tabla4[[#This Row],[Producto]],Tabla6[[#All],[PRODUCTO]],0),MATCH(Tabla4[[#This Row],[Mes]],Tabla6[#Headers],0)))*(1+Catalogos!$L$2)</f>
        <v>#N/A</v>
      </c>
      <c r="N6154" s="283" t="e">
        <f>+(Tabla4[[#This Row],[Precio Descontado]]-Tabla4[[#This Row],[Precio Base]])*Tabla4[[#This Row],[Cantidad]]</f>
        <v>#N/A</v>
      </c>
      <c r="O6154" s="284" t="e">
        <f>++Tabla4[[#This Row],[Utilidad Total]]/Tabla4[[#This Row],[Total]]</f>
        <v>#N/A</v>
      </c>
      <c r="P6154" s="282">
        <f>++Tabla4[[#This Row],[Precio Descontado]]*Tabla4[[#This Row],[Cantidad]]</f>
        <v>4243.9001591999995</v>
      </c>
      <c r="Q6154" s="282" t="e">
        <f>(INDEX(Tabla6[#All],MATCH(Tabla4[[#This Row],[Producto]],Tabla6[[#All],[PRODUCTO]],0),MATCH(Tabla4[[#This Row],[Mes]],Tabla6[#Headers],0)))</f>
        <v>#N/A</v>
      </c>
      <c r="R6154" s="282" t="e">
        <f>++Tabla4[[#This Row],[Precio Unitario Neto]]-Tabla4[[#This Row],[20.85%]]-Tabla4[[#This Row],[Costo]]</f>
        <v>#N/A</v>
      </c>
      <c r="S6154" s="282" t="e">
        <f>++Tabla4[[#This Row],[U. Bruta Uni]]*Tabla4[[#This Row],[Cantidad]]</f>
        <v>#N/A</v>
      </c>
      <c r="T6154" s="369" t="str">
        <f>VLOOKUP(Tabla4[[#This Row],[Producto]],Tabla6[#All],14,FALSE)</f>
        <v>Termico Solar</v>
      </c>
      <c r="U6154" s="284" t="e">
        <f>(IF(Tabla4[[#This Row],[Familia]]="termico solar",Tabla4[[#This Row],[Utilidad Total]]*6%,Tabla4[[#This Row],[Utilidad Total]]*11.5%))/Tabla4[[#This Row],[Total]]</f>
        <v>#N/A</v>
      </c>
      <c r="V6154" s="282" t="e">
        <f>+Tabla4[[#This Row],[Comisión Calculada]]*Tabla4[[#This Row],[Total]]</f>
        <v>#N/A</v>
      </c>
    </row>
    <row r="6155" spans="1:22" hidden="1" x14ac:dyDescent="0.25">
      <c r="A6155" s="100">
        <v>45930</v>
      </c>
      <c r="B6155" t="str">
        <f t="shared" si="291"/>
        <v>September</v>
      </c>
      <c r="C6155" s="46" t="s">
        <v>280</v>
      </c>
      <c r="F6155" s="366" t="s">
        <v>3147</v>
      </c>
      <c r="G6155" s="46" t="s">
        <v>16</v>
      </c>
      <c r="H6155" s="46">
        <v>1</v>
      </c>
      <c r="I6155" s="51">
        <v>4103.8500000000004</v>
      </c>
      <c r="J6155" s="281">
        <f>++Tabla4[[#This Row],[Precio Bruto]]*1.16</f>
        <v>4760.4660000000003</v>
      </c>
      <c r="K6155" s="281">
        <f>+Tabla4[[#This Row],[Precio Unitario Neto]]*Tabla4[[#Headers],[20.85%]]</f>
        <v>992.55716100000006</v>
      </c>
      <c r="L6155" s="282">
        <f>++Tabla4[[#This Row],[Precio Unitario Neto]]-Tabla4[[#This Row],[20.85%]]</f>
        <v>3767.9088390000002</v>
      </c>
      <c r="M6155" s="282" t="e">
        <f>(INDEX(Tabla6[#All],MATCH(Tabla4[[#This Row],[Producto]],Tabla6[[#All],[PRODUCTO]],0),MATCH(Tabla4[[#This Row],[Mes]],Tabla6[#Headers],0)))*(1+Catalogos!$L$2)</f>
        <v>#N/A</v>
      </c>
      <c r="N6155" s="283" t="e">
        <f>+(Tabla4[[#This Row],[Precio Descontado]]-Tabla4[[#This Row],[Precio Base]])*Tabla4[[#This Row],[Cantidad]]</f>
        <v>#N/A</v>
      </c>
      <c r="O6155" s="284" t="e">
        <f>++Tabla4[[#This Row],[Utilidad Total]]/Tabla4[[#This Row],[Total]]</f>
        <v>#N/A</v>
      </c>
      <c r="P6155" s="282">
        <f>++Tabla4[[#This Row],[Precio Descontado]]*Tabla4[[#This Row],[Cantidad]]</f>
        <v>3767.9088390000002</v>
      </c>
      <c r="Q6155" s="282" t="e">
        <f>(INDEX(Tabla6[#All],MATCH(Tabla4[[#This Row],[Producto]],Tabla6[[#All],[PRODUCTO]],0),MATCH(Tabla4[[#This Row],[Mes]],Tabla6[#Headers],0)))</f>
        <v>#N/A</v>
      </c>
      <c r="R6155" s="282" t="e">
        <f>++Tabla4[[#This Row],[Precio Unitario Neto]]-Tabla4[[#This Row],[20.85%]]-Tabla4[[#This Row],[Costo]]</f>
        <v>#N/A</v>
      </c>
      <c r="S6155" s="282" t="e">
        <f>++Tabla4[[#This Row],[U. Bruta Uni]]*Tabla4[[#This Row],[Cantidad]]</f>
        <v>#N/A</v>
      </c>
      <c r="T6155" s="369" t="str">
        <f>VLOOKUP(Tabla4[[#This Row],[Producto]],Tabla6[#All],14,FALSE)</f>
        <v>Termico Solar</v>
      </c>
      <c r="U6155" s="284" t="e">
        <f>(IF(Tabla4[[#This Row],[Familia]]="termico solar",Tabla4[[#This Row],[Utilidad Total]]*6%,Tabla4[[#This Row],[Utilidad Total]]*11.5%))/Tabla4[[#This Row],[Total]]</f>
        <v>#N/A</v>
      </c>
      <c r="V6155" s="282" t="e">
        <f>+Tabla4[[#This Row],[Comisión Calculada]]*Tabla4[[#This Row],[Total]]</f>
        <v>#N/A</v>
      </c>
    </row>
    <row r="6156" spans="1:22" hidden="1" x14ac:dyDescent="0.25">
      <c r="A6156" s="100">
        <v>45930</v>
      </c>
      <c r="B6156" t="str">
        <f t="shared" si="291"/>
        <v>September</v>
      </c>
      <c r="C6156" s="46" t="s">
        <v>280</v>
      </c>
      <c r="F6156" s="366" t="s">
        <v>3148</v>
      </c>
      <c r="G6156" s="46" t="s">
        <v>566</v>
      </c>
      <c r="H6156" s="46">
        <v>1</v>
      </c>
      <c r="I6156" s="51">
        <v>2109.4499999999998</v>
      </c>
      <c r="J6156" s="281">
        <f>++Tabla4[[#This Row],[Precio Bruto]]*1.16</f>
        <v>2446.9619999999995</v>
      </c>
      <c r="K6156" s="281">
        <f>+Tabla4[[#This Row],[Precio Unitario Neto]]*Tabla4[[#Headers],[20.85%]]</f>
        <v>510.19157699999988</v>
      </c>
      <c r="L6156" s="282">
        <f>++Tabla4[[#This Row],[Precio Unitario Neto]]-Tabla4[[#This Row],[20.85%]]</f>
        <v>1936.7704229999997</v>
      </c>
      <c r="M6156" s="282" t="e">
        <f>(INDEX(Tabla6[#All],MATCH(Tabla4[[#This Row],[Producto]],Tabla6[[#All],[PRODUCTO]],0),MATCH(Tabla4[[#This Row],[Mes]],Tabla6[#Headers],0)))*(1+Catalogos!$L$2)</f>
        <v>#N/A</v>
      </c>
      <c r="N6156" s="283" t="e">
        <f>+(Tabla4[[#This Row],[Precio Descontado]]-Tabla4[[#This Row],[Precio Base]])*Tabla4[[#This Row],[Cantidad]]</f>
        <v>#N/A</v>
      </c>
      <c r="O6156" s="284" t="e">
        <f>++Tabla4[[#This Row],[Utilidad Total]]/Tabla4[[#This Row],[Total]]</f>
        <v>#N/A</v>
      </c>
      <c r="P6156" s="282">
        <f>++Tabla4[[#This Row],[Precio Descontado]]*Tabla4[[#This Row],[Cantidad]]</f>
        <v>1936.7704229999997</v>
      </c>
      <c r="Q6156" s="282" t="e">
        <f>(INDEX(Tabla6[#All],MATCH(Tabla4[[#This Row],[Producto]],Tabla6[[#All],[PRODUCTO]],0),MATCH(Tabla4[[#This Row],[Mes]],Tabla6[#Headers],0)))</f>
        <v>#N/A</v>
      </c>
      <c r="R6156" s="282" t="e">
        <f>++Tabla4[[#This Row],[Precio Unitario Neto]]-Tabla4[[#This Row],[20.85%]]-Tabla4[[#This Row],[Costo]]</f>
        <v>#N/A</v>
      </c>
      <c r="S6156" s="282" t="e">
        <f>++Tabla4[[#This Row],[U. Bruta Uni]]*Tabla4[[#This Row],[Cantidad]]</f>
        <v>#N/A</v>
      </c>
      <c r="T6156" s="369" t="str">
        <f>VLOOKUP(Tabla4[[#This Row],[Producto]],Tabla6[#All],14,FALSE)</f>
        <v>Termico Solar</v>
      </c>
      <c r="U6156" s="284" t="e">
        <f>(IF(Tabla4[[#This Row],[Familia]]="termico solar",Tabla4[[#This Row],[Utilidad Total]]*6%,Tabla4[[#This Row],[Utilidad Total]]*11.5%))/Tabla4[[#This Row],[Total]]</f>
        <v>#N/A</v>
      </c>
      <c r="V6156" s="282" t="e">
        <f>+Tabla4[[#This Row],[Comisión Calculada]]*Tabla4[[#This Row],[Total]]</f>
        <v>#N/A</v>
      </c>
    </row>
    <row r="6157" spans="1:22" hidden="1" x14ac:dyDescent="0.25">
      <c r="A6157" s="100">
        <v>45930</v>
      </c>
      <c r="B6157" t="str">
        <f t="shared" si="291"/>
        <v>September</v>
      </c>
      <c r="C6157" s="46" t="s">
        <v>280</v>
      </c>
      <c r="F6157" s="366" t="s">
        <v>3149</v>
      </c>
      <c r="G6157" s="46" t="s">
        <v>19</v>
      </c>
      <c r="H6157" s="46">
        <v>3</v>
      </c>
      <c r="I6157" s="51">
        <v>6412.03</v>
      </c>
      <c r="J6157" s="281">
        <f>++Tabla4[[#This Row],[Precio Bruto]]*1.16</f>
        <v>7437.9547999999995</v>
      </c>
      <c r="K6157" s="281">
        <f>+Tabla4[[#This Row],[Precio Unitario Neto]]*Tabla4[[#Headers],[20.85%]]</f>
        <v>1550.8135757999999</v>
      </c>
      <c r="L6157" s="282">
        <f>++Tabla4[[#This Row],[Precio Unitario Neto]]-Tabla4[[#This Row],[20.85%]]</f>
        <v>5887.1412241999997</v>
      </c>
      <c r="M6157" s="282" t="e">
        <f>(INDEX(Tabla6[#All],MATCH(Tabla4[[#This Row],[Producto]],Tabla6[[#All],[PRODUCTO]],0),MATCH(Tabla4[[#This Row],[Mes]],Tabla6[#Headers],0)))*(1+Catalogos!$L$2)</f>
        <v>#N/A</v>
      </c>
      <c r="N6157" s="283" t="e">
        <f>+(Tabla4[[#This Row],[Precio Descontado]]-Tabla4[[#This Row],[Precio Base]])*Tabla4[[#This Row],[Cantidad]]</f>
        <v>#N/A</v>
      </c>
      <c r="O6157" s="284" t="e">
        <f>++Tabla4[[#This Row],[Utilidad Total]]/Tabla4[[#This Row],[Total]]</f>
        <v>#N/A</v>
      </c>
      <c r="P6157" s="282">
        <f>++Tabla4[[#This Row],[Precio Descontado]]*Tabla4[[#This Row],[Cantidad]]</f>
        <v>17661.423672599998</v>
      </c>
      <c r="Q6157" s="282" t="e">
        <f>(INDEX(Tabla6[#All],MATCH(Tabla4[[#This Row],[Producto]],Tabla6[[#All],[PRODUCTO]],0),MATCH(Tabla4[[#This Row],[Mes]],Tabla6[#Headers],0)))</f>
        <v>#N/A</v>
      </c>
      <c r="R6157" s="282" t="e">
        <f>++Tabla4[[#This Row],[Precio Unitario Neto]]-Tabla4[[#This Row],[20.85%]]-Tabla4[[#This Row],[Costo]]</f>
        <v>#N/A</v>
      </c>
      <c r="S6157" s="282" t="e">
        <f>++Tabla4[[#This Row],[U. Bruta Uni]]*Tabla4[[#This Row],[Cantidad]]</f>
        <v>#N/A</v>
      </c>
      <c r="T6157" s="369" t="str">
        <f>VLOOKUP(Tabla4[[#This Row],[Producto]],Tabla6[#All],14,FALSE)</f>
        <v>Termico Solar</v>
      </c>
      <c r="U6157" s="284" t="e">
        <f>(IF(Tabla4[[#This Row],[Familia]]="termico solar",Tabla4[[#This Row],[Utilidad Total]]*6%,Tabla4[[#This Row],[Utilidad Total]]*11.5%))/Tabla4[[#This Row],[Total]]</f>
        <v>#N/A</v>
      </c>
      <c r="V6157" s="282" t="e">
        <f>+Tabla4[[#This Row],[Comisión Calculada]]*Tabla4[[#This Row],[Total]]</f>
        <v>#N/A</v>
      </c>
    </row>
    <row r="6158" spans="1:22" hidden="1" x14ac:dyDescent="0.25">
      <c r="A6158" s="100">
        <v>45930</v>
      </c>
      <c r="B6158" t="str">
        <f t="shared" si="291"/>
        <v>September</v>
      </c>
      <c r="C6158" s="46" t="s">
        <v>280</v>
      </c>
      <c r="F6158" s="366" t="s">
        <v>3150</v>
      </c>
      <c r="G6158" s="46" t="s">
        <v>566</v>
      </c>
      <c r="H6158" s="46">
        <v>1</v>
      </c>
      <c r="I6158" s="51">
        <v>2109.4499999999998</v>
      </c>
      <c r="J6158" s="281">
        <f>++Tabla4[[#This Row],[Precio Bruto]]*1.16</f>
        <v>2446.9619999999995</v>
      </c>
      <c r="K6158" s="281">
        <f>+Tabla4[[#This Row],[Precio Unitario Neto]]*Tabla4[[#Headers],[20.85%]]</f>
        <v>510.19157699999988</v>
      </c>
      <c r="L6158" s="282">
        <f>++Tabla4[[#This Row],[Precio Unitario Neto]]-Tabla4[[#This Row],[20.85%]]</f>
        <v>1936.7704229999997</v>
      </c>
      <c r="M6158" s="282" t="e">
        <f>(INDEX(Tabla6[#All],MATCH(Tabla4[[#This Row],[Producto]],Tabla6[[#All],[PRODUCTO]],0),MATCH(Tabla4[[#This Row],[Mes]],Tabla6[#Headers],0)))*(1+Catalogos!$L$2)</f>
        <v>#N/A</v>
      </c>
      <c r="N6158" s="283" t="e">
        <f>+(Tabla4[[#This Row],[Precio Descontado]]-Tabla4[[#This Row],[Precio Base]])*Tabla4[[#This Row],[Cantidad]]</f>
        <v>#N/A</v>
      </c>
      <c r="O6158" s="284" t="e">
        <f>++Tabla4[[#This Row],[Utilidad Total]]/Tabla4[[#This Row],[Total]]</f>
        <v>#N/A</v>
      </c>
      <c r="P6158" s="282">
        <f>++Tabla4[[#This Row],[Precio Descontado]]*Tabla4[[#This Row],[Cantidad]]</f>
        <v>1936.7704229999997</v>
      </c>
      <c r="Q6158" s="282" t="e">
        <f>(INDEX(Tabla6[#All],MATCH(Tabla4[[#This Row],[Producto]],Tabla6[[#All],[PRODUCTO]],0),MATCH(Tabla4[[#This Row],[Mes]],Tabla6[#Headers],0)))</f>
        <v>#N/A</v>
      </c>
      <c r="R6158" s="282" t="e">
        <f>++Tabla4[[#This Row],[Precio Unitario Neto]]-Tabla4[[#This Row],[20.85%]]-Tabla4[[#This Row],[Costo]]</f>
        <v>#N/A</v>
      </c>
      <c r="S6158" s="282" t="e">
        <f>++Tabla4[[#This Row],[U. Bruta Uni]]*Tabla4[[#This Row],[Cantidad]]</f>
        <v>#N/A</v>
      </c>
      <c r="T6158" s="369" t="str">
        <f>VLOOKUP(Tabla4[[#This Row],[Producto]],Tabla6[#All],14,FALSE)</f>
        <v>Termico Solar</v>
      </c>
      <c r="U6158" s="284" t="e">
        <f>(IF(Tabla4[[#This Row],[Familia]]="termico solar",Tabla4[[#This Row],[Utilidad Total]]*6%,Tabla4[[#This Row],[Utilidad Total]]*11.5%))/Tabla4[[#This Row],[Total]]</f>
        <v>#N/A</v>
      </c>
      <c r="V6158" s="282" t="e">
        <f>+Tabla4[[#This Row],[Comisión Calculada]]*Tabla4[[#This Row],[Total]]</f>
        <v>#N/A</v>
      </c>
    </row>
    <row r="6159" spans="1:22" hidden="1" x14ac:dyDescent="0.25">
      <c r="A6159" s="100">
        <v>45930</v>
      </c>
      <c r="B6159" t="str">
        <f t="shared" si="291"/>
        <v>September</v>
      </c>
      <c r="C6159" s="46" t="s">
        <v>280</v>
      </c>
      <c r="F6159" s="366" t="s">
        <v>3151</v>
      </c>
      <c r="G6159" s="46" t="s">
        <v>83</v>
      </c>
      <c r="H6159" s="46">
        <v>1</v>
      </c>
      <c r="I6159" s="51">
        <v>8858.76</v>
      </c>
      <c r="J6159" s="281">
        <f>++Tabla4[[#This Row],[Precio Bruto]]*1.16</f>
        <v>10276.161599999999</v>
      </c>
      <c r="K6159" s="281">
        <f>+Tabla4[[#This Row],[Precio Unitario Neto]]*Tabla4[[#Headers],[20.85%]]</f>
        <v>2142.5796935999997</v>
      </c>
      <c r="L6159" s="282">
        <f>++Tabla4[[#This Row],[Precio Unitario Neto]]-Tabla4[[#This Row],[20.85%]]</f>
        <v>8133.5819063999998</v>
      </c>
      <c r="M6159" s="282" t="e">
        <f>(INDEX(Tabla6[#All],MATCH(Tabla4[[#This Row],[Producto]],Tabla6[[#All],[PRODUCTO]],0),MATCH(Tabla4[[#This Row],[Mes]],Tabla6[#Headers],0)))*(1+Catalogos!$L$2)</f>
        <v>#N/A</v>
      </c>
      <c r="N6159" s="283" t="e">
        <f>+(Tabla4[[#This Row],[Precio Descontado]]-Tabla4[[#This Row],[Precio Base]])*Tabla4[[#This Row],[Cantidad]]</f>
        <v>#N/A</v>
      </c>
      <c r="O6159" s="284" t="e">
        <f>++Tabla4[[#This Row],[Utilidad Total]]/Tabla4[[#This Row],[Total]]</f>
        <v>#N/A</v>
      </c>
      <c r="P6159" s="282">
        <f>++Tabla4[[#This Row],[Precio Descontado]]*Tabla4[[#This Row],[Cantidad]]</f>
        <v>8133.5819063999998</v>
      </c>
      <c r="Q6159" s="282" t="e">
        <f>(INDEX(Tabla6[#All],MATCH(Tabla4[[#This Row],[Producto]],Tabla6[[#All],[PRODUCTO]],0),MATCH(Tabla4[[#This Row],[Mes]],Tabla6[#Headers],0)))</f>
        <v>#N/A</v>
      </c>
      <c r="R6159" s="282" t="e">
        <f>++Tabla4[[#This Row],[Precio Unitario Neto]]-Tabla4[[#This Row],[20.85%]]-Tabla4[[#This Row],[Costo]]</f>
        <v>#N/A</v>
      </c>
      <c r="S6159" s="282" t="e">
        <f>++Tabla4[[#This Row],[U. Bruta Uni]]*Tabla4[[#This Row],[Cantidad]]</f>
        <v>#N/A</v>
      </c>
      <c r="T6159" s="369" t="str">
        <f>VLOOKUP(Tabla4[[#This Row],[Producto]],Tabla6[#All],14,FALSE)</f>
        <v>Termico Solar</v>
      </c>
      <c r="U6159" s="284" t="e">
        <f>(IF(Tabla4[[#This Row],[Familia]]="termico solar",Tabla4[[#This Row],[Utilidad Total]]*6%,Tabla4[[#This Row],[Utilidad Total]]*11.5%))/Tabla4[[#This Row],[Total]]</f>
        <v>#N/A</v>
      </c>
      <c r="V6159" s="282" t="e">
        <f>+Tabla4[[#This Row],[Comisión Calculada]]*Tabla4[[#This Row],[Total]]</f>
        <v>#N/A</v>
      </c>
    </row>
    <row r="6160" spans="1:22" hidden="1" x14ac:dyDescent="0.25">
      <c r="A6160" s="100">
        <v>45930</v>
      </c>
      <c r="B6160" t="str">
        <f t="shared" si="291"/>
        <v>September</v>
      </c>
      <c r="C6160" s="46" t="s">
        <v>280</v>
      </c>
      <c r="F6160" s="366" t="s">
        <v>3151</v>
      </c>
      <c r="G6160" s="46" t="s">
        <v>208</v>
      </c>
      <c r="H6160" s="46">
        <v>3</v>
      </c>
      <c r="I6160" s="51">
        <v>189.75</v>
      </c>
      <c r="J6160" s="281">
        <f>++Tabla4[[#This Row],[Precio Bruto]]*1.16</f>
        <v>220.10999999999999</v>
      </c>
      <c r="K6160" s="281">
        <f>+Tabla4[[#This Row],[Precio Unitario Neto]]*Tabla4[[#Headers],[20.85%]]</f>
        <v>45.892934999999994</v>
      </c>
      <c r="L6160" s="282">
        <f>++Tabla4[[#This Row],[Precio Unitario Neto]]-Tabla4[[#This Row],[20.85%]]</f>
        <v>174.21706499999999</v>
      </c>
      <c r="M6160" s="282" t="e">
        <f>(INDEX(Tabla6[#All],MATCH(Tabla4[[#This Row],[Producto]],Tabla6[[#All],[PRODUCTO]],0),MATCH(Tabla4[[#This Row],[Mes]],Tabla6[#Headers],0)))*(1+Catalogos!$L$2)</f>
        <v>#N/A</v>
      </c>
      <c r="N6160" s="283" t="e">
        <f>+(Tabla4[[#This Row],[Precio Descontado]]-Tabla4[[#This Row],[Precio Base]])*Tabla4[[#This Row],[Cantidad]]</f>
        <v>#N/A</v>
      </c>
      <c r="O6160" s="284" t="e">
        <f>++Tabla4[[#This Row],[Utilidad Total]]/Tabla4[[#This Row],[Total]]</f>
        <v>#N/A</v>
      </c>
      <c r="P6160" s="282">
        <f>++Tabla4[[#This Row],[Precio Descontado]]*Tabla4[[#This Row],[Cantidad]]</f>
        <v>522.65119499999992</v>
      </c>
      <c r="Q6160" s="282" t="e">
        <f>(INDEX(Tabla6[#All],MATCH(Tabla4[[#This Row],[Producto]],Tabla6[[#All],[PRODUCTO]],0),MATCH(Tabla4[[#This Row],[Mes]],Tabla6[#Headers],0)))</f>
        <v>#N/A</v>
      </c>
      <c r="R6160" s="282" t="e">
        <f>++Tabla4[[#This Row],[Precio Unitario Neto]]-Tabla4[[#This Row],[20.85%]]-Tabla4[[#This Row],[Costo]]</f>
        <v>#N/A</v>
      </c>
      <c r="S6160" s="282" t="e">
        <f>++Tabla4[[#This Row],[U. Bruta Uni]]*Tabla4[[#This Row],[Cantidad]]</f>
        <v>#N/A</v>
      </c>
      <c r="T6160" s="369" t="str">
        <f>VLOOKUP(Tabla4[[#This Row],[Producto]],Tabla6[#All],14,FALSE)</f>
        <v>Termico Solar</v>
      </c>
      <c r="U6160" s="284" t="e">
        <f>(IF(Tabla4[[#This Row],[Familia]]="termico solar",Tabla4[[#This Row],[Utilidad Total]]*6%,Tabla4[[#This Row],[Utilidad Total]]*11.5%))/Tabla4[[#This Row],[Total]]</f>
        <v>#N/A</v>
      </c>
      <c r="V6160" s="282" t="e">
        <f>+Tabla4[[#This Row],[Comisión Calculada]]*Tabla4[[#This Row],[Total]]</f>
        <v>#N/A</v>
      </c>
    </row>
    <row r="6161" spans="1:22" hidden="1" x14ac:dyDescent="0.25">
      <c r="A6161" s="100">
        <v>45930</v>
      </c>
      <c r="B6161" t="str">
        <f t="shared" si="291"/>
        <v>September</v>
      </c>
      <c r="C6161" s="46" t="s">
        <v>280</v>
      </c>
      <c r="F6161" s="366" t="s">
        <v>3152</v>
      </c>
      <c r="G6161" s="46" t="s">
        <v>566</v>
      </c>
      <c r="H6161" s="46">
        <v>1</v>
      </c>
      <c r="I6161" s="51">
        <v>2109.4499999999998</v>
      </c>
      <c r="J6161" s="281">
        <f>++Tabla4[[#This Row],[Precio Bruto]]*1.16</f>
        <v>2446.9619999999995</v>
      </c>
      <c r="K6161" s="281">
        <f>+Tabla4[[#This Row],[Precio Unitario Neto]]*Tabla4[[#Headers],[20.85%]]</f>
        <v>510.19157699999988</v>
      </c>
      <c r="L6161" s="282">
        <f>++Tabla4[[#This Row],[Precio Unitario Neto]]-Tabla4[[#This Row],[20.85%]]</f>
        <v>1936.7704229999997</v>
      </c>
      <c r="M6161" s="282" t="e">
        <f>(INDEX(Tabla6[#All],MATCH(Tabla4[[#This Row],[Producto]],Tabla6[[#All],[PRODUCTO]],0),MATCH(Tabla4[[#This Row],[Mes]],Tabla6[#Headers],0)))*(1+Catalogos!$L$2)</f>
        <v>#N/A</v>
      </c>
      <c r="N6161" s="283" t="e">
        <f>+(Tabla4[[#This Row],[Precio Descontado]]-Tabla4[[#This Row],[Precio Base]])*Tabla4[[#This Row],[Cantidad]]</f>
        <v>#N/A</v>
      </c>
      <c r="O6161" s="284" t="e">
        <f>++Tabla4[[#This Row],[Utilidad Total]]/Tabla4[[#This Row],[Total]]</f>
        <v>#N/A</v>
      </c>
      <c r="P6161" s="282">
        <f>++Tabla4[[#This Row],[Precio Descontado]]*Tabla4[[#This Row],[Cantidad]]</f>
        <v>1936.7704229999997</v>
      </c>
      <c r="Q6161" s="282" t="e">
        <f>(INDEX(Tabla6[#All],MATCH(Tabla4[[#This Row],[Producto]],Tabla6[[#All],[PRODUCTO]],0),MATCH(Tabla4[[#This Row],[Mes]],Tabla6[#Headers],0)))</f>
        <v>#N/A</v>
      </c>
      <c r="R6161" s="282" t="e">
        <f>++Tabla4[[#This Row],[Precio Unitario Neto]]-Tabla4[[#This Row],[20.85%]]-Tabla4[[#This Row],[Costo]]</f>
        <v>#N/A</v>
      </c>
      <c r="S6161" s="282" t="e">
        <f>++Tabla4[[#This Row],[U. Bruta Uni]]*Tabla4[[#This Row],[Cantidad]]</f>
        <v>#N/A</v>
      </c>
      <c r="T6161" s="369" t="str">
        <f>VLOOKUP(Tabla4[[#This Row],[Producto]],Tabla6[#All],14,FALSE)</f>
        <v>Termico Solar</v>
      </c>
      <c r="U6161" s="284" t="e">
        <f>(IF(Tabla4[[#This Row],[Familia]]="termico solar",Tabla4[[#This Row],[Utilidad Total]]*6%,Tabla4[[#This Row],[Utilidad Total]]*11.5%))/Tabla4[[#This Row],[Total]]</f>
        <v>#N/A</v>
      </c>
      <c r="V6161" s="282" t="e">
        <f>+Tabla4[[#This Row],[Comisión Calculada]]*Tabla4[[#This Row],[Total]]</f>
        <v>#N/A</v>
      </c>
    </row>
    <row r="6162" spans="1:22" hidden="1" x14ac:dyDescent="0.25">
      <c r="A6162" s="100">
        <v>45930</v>
      </c>
      <c r="B6162" t="str">
        <f t="shared" si="291"/>
        <v>September</v>
      </c>
      <c r="C6162" s="46" t="s">
        <v>280</v>
      </c>
      <c r="F6162" s="366" t="s">
        <v>3152</v>
      </c>
      <c r="G6162" s="46" t="s">
        <v>208</v>
      </c>
      <c r="H6162" s="46">
        <v>3</v>
      </c>
      <c r="I6162" s="51">
        <v>189.75</v>
      </c>
      <c r="J6162" s="281">
        <f>++Tabla4[[#This Row],[Precio Bruto]]*1.16</f>
        <v>220.10999999999999</v>
      </c>
      <c r="K6162" s="281">
        <f>+Tabla4[[#This Row],[Precio Unitario Neto]]*Tabla4[[#Headers],[20.85%]]</f>
        <v>45.892934999999994</v>
      </c>
      <c r="L6162" s="282">
        <f>++Tabla4[[#This Row],[Precio Unitario Neto]]-Tabla4[[#This Row],[20.85%]]</f>
        <v>174.21706499999999</v>
      </c>
      <c r="M6162" s="282" t="e">
        <f>(INDEX(Tabla6[#All],MATCH(Tabla4[[#This Row],[Producto]],Tabla6[[#All],[PRODUCTO]],0),MATCH(Tabla4[[#This Row],[Mes]],Tabla6[#Headers],0)))*(1+Catalogos!$L$2)</f>
        <v>#N/A</v>
      </c>
      <c r="N6162" s="283" t="e">
        <f>+(Tabla4[[#This Row],[Precio Descontado]]-Tabla4[[#This Row],[Precio Base]])*Tabla4[[#This Row],[Cantidad]]</f>
        <v>#N/A</v>
      </c>
      <c r="O6162" s="284" t="e">
        <f>++Tabla4[[#This Row],[Utilidad Total]]/Tabla4[[#This Row],[Total]]</f>
        <v>#N/A</v>
      </c>
      <c r="P6162" s="282">
        <f>++Tabla4[[#This Row],[Precio Descontado]]*Tabla4[[#This Row],[Cantidad]]</f>
        <v>522.65119499999992</v>
      </c>
      <c r="Q6162" s="282" t="e">
        <f>(INDEX(Tabla6[#All],MATCH(Tabla4[[#This Row],[Producto]],Tabla6[[#All],[PRODUCTO]],0),MATCH(Tabla4[[#This Row],[Mes]],Tabla6[#Headers],0)))</f>
        <v>#N/A</v>
      </c>
      <c r="R6162" s="282" t="e">
        <f>++Tabla4[[#This Row],[Precio Unitario Neto]]-Tabla4[[#This Row],[20.85%]]-Tabla4[[#This Row],[Costo]]</f>
        <v>#N/A</v>
      </c>
      <c r="S6162" s="282" t="e">
        <f>++Tabla4[[#This Row],[U. Bruta Uni]]*Tabla4[[#This Row],[Cantidad]]</f>
        <v>#N/A</v>
      </c>
      <c r="T6162" s="369" t="str">
        <f>VLOOKUP(Tabla4[[#This Row],[Producto]],Tabla6[#All],14,FALSE)</f>
        <v>Termico Solar</v>
      </c>
      <c r="U6162" s="284" t="e">
        <f>(IF(Tabla4[[#This Row],[Familia]]="termico solar",Tabla4[[#This Row],[Utilidad Total]]*6%,Tabla4[[#This Row],[Utilidad Total]]*11.5%))/Tabla4[[#This Row],[Total]]</f>
        <v>#N/A</v>
      </c>
      <c r="V6162" s="282" t="e">
        <f>+Tabla4[[#This Row],[Comisión Calculada]]*Tabla4[[#This Row],[Total]]</f>
        <v>#N/A</v>
      </c>
    </row>
    <row r="6163" spans="1:22" hidden="1" x14ac:dyDescent="0.25">
      <c r="A6163" s="100">
        <v>45930</v>
      </c>
      <c r="B6163" t="str">
        <f t="shared" si="291"/>
        <v>September</v>
      </c>
      <c r="C6163" s="46" t="s">
        <v>280</v>
      </c>
      <c r="F6163" s="366" t="s">
        <v>3153</v>
      </c>
      <c r="G6163" s="46" t="s">
        <v>17</v>
      </c>
      <c r="H6163" s="46">
        <v>3</v>
      </c>
      <c r="I6163" s="51">
        <v>4622.28</v>
      </c>
      <c r="J6163" s="281">
        <f>++Tabla4[[#This Row],[Precio Bruto]]*1.16</f>
        <v>5361.8447999999989</v>
      </c>
      <c r="K6163" s="281">
        <f>+Tabla4[[#This Row],[Precio Unitario Neto]]*Tabla4[[#Headers],[20.85%]]</f>
        <v>1117.9446407999997</v>
      </c>
      <c r="L6163" s="282">
        <f>++Tabla4[[#This Row],[Precio Unitario Neto]]-Tabla4[[#This Row],[20.85%]]</f>
        <v>4243.9001591999995</v>
      </c>
      <c r="M6163" s="282" t="e">
        <f>(INDEX(Tabla6[#All],MATCH(Tabla4[[#This Row],[Producto]],Tabla6[[#All],[PRODUCTO]],0),MATCH(Tabla4[[#This Row],[Mes]],Tabla6[#Headers],0)))*(1+Catalogos!$L$2)</f>
        <v>#N/A</v>
      </c>
      <c r="N6163" s="283" t="e">
        <f>+(Tabla4[[#This Row],[Precio Descontado]]-Tabla4[[#This Row],[Precio Base]])*Tabla4[[#This Row],[Cantidad]]</f>
        <v>#N/A</v>
      </c>
      <c r="O6163" s="284" t="e">
        <f>++Tabla4[[#This Row],[Utilidad Total]]/Tabla4[[#This Row],[Total]]</f>
        <v>#N/A</v>
      </c>
      <c r="P6163" s="282">
        <f>++Tabla4[[#This Row],[Precio Descontado]]*Tabla4[[#This Row],[Cantidad]]</f>
        <v>12731.700477599999</v>
      </c>
      <c r="Q6163" s="282" t="e">
        <f>(INDEX(Tabla6[#All],MATCH(Tabla4[[#This Row],[Producto]],Tabla6[[#All],[PRODUCTO]],0),MATCH(Tabla4[[#This Row],[Mes]],Tabla6[#Headers],0)))</f>
        <v>#N/A</v>
      </c>
      <c r="R6163" s="282" t="e">
        <f>++Tabla4[[#This Row],[Precio Unitario Neto]]-Tabla4[[#This Row],[20.85%]]-Tabla4[[#This Row],[Costo]]</f>
        <v>#N/A</v>
      </c>
      <c r="S6163" s="282" t="e">
        <f>++Tabla4[[#This Row],[U. Bruta Uni]]*Tabla4[[#This Row],[Cantidad]]</f>
        <v>#N/A</v>
      </c>
      <c r="T6163" s="369" t="str">
        <f>VLOOKUP(Tabla4[[#This Row],[Producto]],Tabla6[#All],14,FALSE)</f>
        <v>Termico Solar</v>
      </c>
      <c r="U6163" s="284" t="e">
        <f>(IF(Tabla4[[#This Row],[Familia]]="termico solar",Tabla4[[#This Row],[Utilidad Total]]*6%,Tabla4[[#This Row],[Utilidad Total]]*11.5%))/Tabla4[[#This Row],[Total]]</f>
        <v>#N/A</v>
      </c>
      <c r="V6163" s="282" t="e">
        <f>+Tabla4[[#This Row],[Comisión Calculada]]*Tabla4[[#This Row],[Total]]</f>
        <v>#N/A</v>
      </c>
    </row>
    <row r="6164" spans="1:22" hidden="1" x14ac:dyDescent="0.25">
      <c r="A6164" s="100">
        <v>45930</v>
      </c>
      <c r="B6164" t="str">
        <f t="shared" si="291"/>
        <v>September</v>
      </c>
      <c r="C6164" s="46" t="s">
        <v>280</v>
      </c>
      <c r="F6164" s="366" t="s">
        <v>3153</v>
      </c>
      <c r="G6164" s="46" t="s">
        <v>566</v>
      </c>
      <c r="H6164" s="46">
        <v>1</v>
      </c>
      <c r="I6164" s="51">
        <v>2109.4499999999998</v>
      </c>
      <c r="J6164" s="281">
        <f>++Tabla4[[#This Row],[Precio Bruto]]*1.16</f>
        <v>2446.9619999999995</v>
      </c>
      <c r="K6164" s="281">
        <f>+Tabla4[[#This Row],[Precio Unitario Neto]]*Tabla4[[#Headers],[20.85%]]</f>
        <v>510.19157699999988</v>
      </c>
      <c r="L6164" s="282">
        <f>++Tabla4[[#This Row],[Precio Unitario Neto]]-Tabla4[[#This Row],[20.85%]]</f>
        <v>1936.7704229999997</v>
      </c>
      <c r="M6164" s="282" t="e">
        <f>(INDEX(Tabla6[#All],MATCH(Tabla4[[#This Row],[Producto]],Tabla6[[#All],[PRODUCTO]],0),MATCH(Tabla4[[#This Row],[Mes]],Tabla6[#Headers],0)))*(1+Catalogos!$L$2)</f>
        <v>#N/A</v>
      </c>
      <c r="N6164" s="283" t="e">
        <f>+(Tabla4[[#This Row],[Precio Descontado]]-Tabla4[[#This Row],[Precio Base]])*Tabla4[[#This Row],[Cantidad]]</f>
        <v>#N/A</v>
      </c>
      <c r="O6164" s="284" t="e">
        <f>++Tabla4[[#This Row],[Utilidad Total]]/Tabla4[[#This Row],[Total]]</f>
        <v>#N/A</v>
      </c>
      <c r="P6164" s="282">
        <f>++Tabla4[[#This Row],[Precio Descontado]]*Tabla4[[#This Row],[Cantidad]]</f>
        <v>1936.7704229999997</v>
      </c>
      <c r="Q6164" s="282" t="e">
        <f>(INDEX(Tabla6[#All],MATCH(Tabla4[[#This Row],[Producto]],Tabla6[[#All],[PRODUCTO]],0),MATCH(Tabla4[[#This Row],[Mes]],Tabla6[#Headers],0)))</f>
        <v>#N/A</v>
      </c>
      <c r="R6164" s="282" t="e">
        <f>++Tabla4[[#This Row],[Precio Unitario Neto]]-Tabla4[[#This Row],[20.85%]]-Tabla4[[#This Row],[Costo]]</f>
        <v>#N/A</v>
      </c>
      <c r="S6164" s="282" t="e">
        <f>++Tabla4[[#This Row],[U. Bruta Uni]]*Tabla4[[#This Row],[Cantidad]]</f>
        <v>#N/A</v>
      </c>
      <c r="T6164" s="369" t="str">
        <f>VLOOKUP(Tabla4[[#This Row],[Producto]],Tabla6[#All],14,FALSE)</f>
        <v>Termico Solar</v>
      </c>
      <c r="U6164" s="284" t="e">
        <f>(IF(Tabla4[[#This Row],[Familia]]="termico solar",Tabla4[[#This Row],[Utilidad Total]]*6%,Tabla4[[#This Row],[Utilidad Total]]*11.5%))/Tabla4[[#This Row],[Total]]</f>
        <v>#N/A</v>
      </c>
      <c r="V6164" s="282" t="e">
        <f>+Tabla4[[#This Row],[Comisión Calculada]]*Tabla4[[#This Row],[Total]]</f>
        <v>#N/A</v>
      </c>
    </row>
    <row r="6165" spans="1:22" hidden="1" x14ac:dyDescent="0.25">
      <c r="A6165" s="100">
        <v>45930</v>
      </c>
      <c r="B6165" t="str">
        <f t="shared" si="291"/>
        <v>September</v>
      </c>
      <c r="C6165" s="46" t="s">
        <v>280</v>
      </c>
      <c r="F6165" s="366" t="s">
        <v>3154</v>
      </c>
      <c r="G6165" s="46" t="s">
        <v>17</v>
      </c>
      <c r="H6165" s="46">
        <v>4</v>
      </c>
      <c r="I6165" s="51">
        <v>4622.28</v>
      </c>
      <c r="J6165" s="281">
        <f>++Tabla4[[#This Row],[Precio Bruto]]*1.16</f>
        <v>5361.8447999999989</v>
      </c>
      <c r="K6165" s="281">
        <f>+Tabla4[[#This Row],[Precio Unitario Neto]]*Tabla4[[#Headers],[20.85%]]</f>
        <v>1117.9446407999997</v>
      </c>
      <c r="L6165" s="282">
        <f>++Tabla4[[#This Row],[Precio Unitario Neto]]-Tabla4[[#This Row],[20.85%]]</f>
        <v>4243.9001591999995</v>
      </c>
      <c r="M6165" s="282" t="e">
        <f>(INDEX(Tabla6[#All],MATCH(Tabla4[[#This Row],[Producto]],Tabla6[[#All],[PRODUCTO]],0),MATCH(Tabla4[[#This Row],[Mes]],Tabla6[#Headers],0)))*(1+Catalogos!$L$2)</f>
        <v>#N/A</v>
      </c>
      <c r="N6165" s="283" t="e">
        <f>+(Tabla4[[#This Row],[Precio Descontado]]-Tabla4[[#This Row],[Precio Base]])*Tabla4[[#This Row],[Cantidad]]</f>
        <v>#N/A</v>
      </c>
      <c r="O6165" s="284" t="e">
        <f>++Tabla4[[#This Row],[Utilidad Total]]/Tabla4[[#This Row],[Total]]</f>
        <v>#N/A</v>
      </c>
      <c r="P6165" s="282">
        <f>++Tabla4[[#This Row],[Precio Descontado]]*Tabla4[[#This Row],[Cantidad]]</f>
        <v>16975.600636799998</v>
      </c>
      <c r="Q6165" s="282" t="e">
        <f>(INDEX(Tabla6[#All],MATCH(Tabla4[[#This Row],[Producto]],Tabla6[[#All],[PRODUCTO]],0),MATCH(Tabla4[[#This Row],[Mes]],Tabla6[#Headers],0)))</f>
        <v>#N/A</v>
      </c>
      <c r="R6165" s="282" t="e">
        <f>++Tabla4[[#This Row],[Precio Unitario Neto]]-Tabla4[[#This Row],[20.85%]]-Tabla4[[#This Row],[Costo]]</f>
        <v>#N/A</v>
      </c>
      <c r="S6165" s="282" t="e">
        <f>++Tabla4[[#This Row],[U. Bruta Uni]]*Tabla4[[#This Row],[Cantidad]]</f>
        <v>#N/A</v>
      </c>
      <c r="T6165" s="369" t="str">
        <f>VLOOKUP(Tabla4[[#This Row],[Producto]],Tabla6[#All],14,FALSE)</f>
        <v>Termico Solar</v>
      </c>
      <c r="U6165" s="284" t="e">
        <f>(IF(Tabla4[[#This Row],[Familia]]="termico solar",Tabla4[[#This Row],[Utilidad Total]]*6%,Tabla4[[#This Row],[Utilidad Total]]*11.5%))/Tabla4[[#This Row],[Total]]</f>
        <v>#N/A</v>
      </c>
      <c r="V6165" s="282" t="e">
        <f>+Tabla4[[#This Row],[Comisión Calculada]]*Tabla4[[#This Row],[Total]]</f>
        <v>#N/A</v>
      </c>
    </row>
    <row r="6166" spans="1:22" hidden="1" x14ac:dyDescent="0.25">
      <c r="A6166" s="100">
        <v>45930</v>
      </c>
      <c r="B6166" t="str">
        <f t="shared" ref="B6166:B6197" si="292">TEXT(A6166, "mmmm")</f>
        <v>September</v>
      </c>
      <c r="C6166" s="46" t="s">
        <v>280</v>
      </c>
      <c r="F6166" s="366" t="s">
        <v>3155</v>
      </c>
      <c r="G6166" s="46" t="s">
        <v>17</v>
      </c>
      <c r="H6166" s="46">
        <v>1</v>
      </c>
      <c r="I6166" s="51">
        <v>4622.28</v>
      </c>
      <c r="J6166" s="281">
        <f>++Tabla4[[#This Row],[Precio Bruto]]*1.16</f>
        <v>5361.8447999999989</v>
      </c>
      <c r="K6166" s="281">
        <f>+Tabla4[[#This Row],[Precio Unitario Neto]]*Tabla4[[#Headers],[20.85%]]</f>
        <v>1117.9446407999997</v>
      </c>
      <c r="L6166" s="282">
        <f>++Tabla4[[#This Row],[Precio Unitario Neto]]-Tabla4[[#This Row],[20.85%]]</f>
        <v>4243.9001591999995</v>
      </c>
      <c r="M6166" s="282" t="e">
        <f>(INDEX(Tabla6[#All],MATCH(Tabla4[[#This Row],[Producto]],Tabla6[[#All],[PRODUCTO]],0),MATCH(Tabla4[[#This Row],[Mes]],Tabla6[#Headers],0)))*(1+Catalogos!$L$2)</f>
        <v>#N/A</v>
      </c>
      <c r="N6166" s="283" t="e">
        <f>+(Tabla4[[#This Row],[Precio Descontado]]-Tabla4[[#This Row],[Precio Base]])*Tabla4[[#This Row],[Cantidad]]</f>
        <v>#N/A</v>
      </c>
      <c r="O6166" s="284" t="e">
        <f>++Tabla4[[#This Row],[Utilidad Total]]/Tabla4[[#This Row],[Total]]</f>
        <v>#N/A</v>
      </c>
      <c r="P6166" s="282">
        <f>++Tabla4[[#This Row],[Precio Descontado]]*Tabla4[[#This Row],[Cantidad]]</f>
        <v>4243.9001591999995</v>
      </c>
      <c r="Q6166" s="282" t="e">
        <f>(INDEX(Tabla6[#All],MATCH(Tabla4[[#This Row],[Producto]],Tabla6[[#All],[PRODUCTO]],0),MATCH(Tabla4[[#This Row],[Mes]],Tabla6[#Headers],0)))</f>
        <v>#N/A</v>
      </c>
      <c r="R6166" s="282" t="e">
        <f>++Tabla4[[#This Row],[Precio Unitario Neto]]-Tabla4[[#This Row],[20.85%]]-Tabla4[[#This Row],[Costo]]</f>
        <v>#N/A</v>
      </c>
      <c r="S6166" s="282" t="e">
        <f>++Tabla4[[#This Row],[U. Bruta Uni]]*Tabla4[[#This Row],[Cantidad]]</f>
        <v>#N/A</v>
      </c>
      <c r="T6166" s="369" t="str">
        <f>VLOOKUP(Tabla4[[#This Row],[Producto]],Tabla6[#All],14,FALSE)</f>
        <v>Termico Solar</v>
      </c>
      <c r="U6166" s="284" t="e">
        <f>(IF(Tabla4[[#This Row],[Familia]]="termico solar",Tabla4[[#This Row],[Utilidad Total]]*6%,Tabla4[[#This Row],[Utilidad Total]]*11.5%))/Tabla4[[#This Row],[Total]]</f>
        <v>#N/A</v>
      </c>
      <c r="V6166" s="282" t="e">
        <f>+Tabla4[[#This Row],[Comisión Calculada]]*Tabla4[[#This Row],[Total]]</f>
        <v>#N/A</v>
      </c>
    </row>
    <row r="6167" spans="1:22" hidden="1" x14ac:dyDescent="0.25">
      <c r="A6167" s="100">
        <v>45930</v>
      </c>
      <c r="B6167" t="str">
        <f t="shared" si="292"/>
        <v>September</v>
      </c>
      <c r="C6167" s="46" t="s">
        <v>280</v>
      </c>
      <c r="F6167" s="366" t="s">
        <v>3155</v>
      </c>
      <c r="G6167" s="46" t="s">
        <v>16</v>
      </c>
      <c r="H6167" s="46">
        <v>3</v>
      </c>
      <c r="I6167" s="51">
        <v>4103.8499999999995</v>
      </c>
      <c r="J6167" s="281">
        <f>++Tabla4[[#This Row],[Precio Bruto]]*1.16</f>
        <v>4760.4659999999994</v>
      </c>
      <c r="K6167" s="281">
        <f>+Tabla4[[#This Row],[Precio Unitario Neto]]*Tabla4[[#Headers],[20.85%]]</f>
        <v>992.55716099999984</v>
      </c>
      <c r="L6167" s="282">
        <f>++Tabla4[[#This Row],[Precio Unitario Neto]]-Tabla4[[#This Row],[20.85%]]</f>
        <v>3767.9088389999997</v>
      </c>
      <c r="M6167" s="282" t="e">
        <f>(INDEX(Tabla6[#All],MATCH(Tabla4[[#This Row],[Producto]],Tabla6[[#All],[PRODUCTO]],0),MATCH(Tabla4[[#This Row],[Mes]],Tabla6[#Headers],0)))*(1+Catalogos!$L$2)</f>
        <v>#N/A</v>
      </c>
      <c r="N6167" s="283" t="e">
        <f>+(Tabla4[[#This Row],[Precio Descontado]]-Tabla4[[#This Row],[Precio Base]])*Tabla4[[#This Row],[Cantidad]]</f>
        <v>#N/A</v>
      </c>
      <c r="O6167" s="284" t="e">
        <f>++Tabla4[[#This Row],[Utilidad Total]]/Tabla4[[#This Row],[Total]]</f>
        <v>#N/A</v>
      </c>
      <c r="P6167" s="282">
        <f>++Tabla4[[#This Row],[Precio Descontado]]*Tabla4[[#This Row],[Cantidad]]</f>
        <v>11303.726516999999</v>
      </c>
      <c r="Q6167" s="282" t="e">
        <f>(INDEX(Tabla6[#All],MATCH(Tabla4[[#This Row],[Producto]],Tabla6[[#All],[PRODUCTO]],0),MATCH(Tabla4[[#This Row],[Mes]],Tabla6[#Headers],0)))</f>
        <v>#N/A</v>
      </c>
      <c r="R6167" s="282" t="e">
        <f>++Tabla4[[#This Row],[Precio Unitario Neto]]-Tabla4[[#This Row],[20.85%]]-Tabla4[[#This Row],[Costo]]</f>
        <v>#N/A</v>
      </c>
      <c r="S6167" s="282" t="e">
        <f>++Tabla4[[#This Row],[U. Bruta Uni]]*Tabla4[[#This Row],[Cantidad]]</f>
        <v>#N/A</v>
      </c>
      <c r="T6167" s="369" t="str">
        <f>VLOOKUP(Tabla4[[#This Row],[Producto]],Tabla6[#All],14,FALSE)</f>
        <v>Termico Solar</v>
      </c>
      <c r="U6167" s="284" t="e">
        <f>(IF(Tabla4[[#This Row],[Familia]]="termico solar",Tabla4[[#This Row],[Utilidad Total]]*6%,Tabla4[[#This Row],[Utilidad Total]]*11.5%))/Tabla4[[#This Row],[Total]]</f>
        <v>#N/A</v>
      </c>
      <c r="V6167" s="282" t="e">
        <f>+Tabla4[[#This Row],[Comisión Calculada]]*Tabla4[[#This Row],[Total]]</f>
        <v>#N/A</v>
      </c>
    </row>
    <row r="6168" spans="1:22" hidden="1" x14ac:dyDescent="0.25">
      <c r="A6168" s="100">
        <v>45930</v>
      </c>
      <c r="B6168" t="str">
        <f t="shared" si="292"/>
        <v>September</v>
      </c>
      <c r="C6168" s="46" t="s">
        <v>280</v>
      </c>
      <c r="F6168" s="366" t="s">
        <v>3156</v>
      </c>
      <c r="G6168" s="46" t="s">
        <v>17</v>
      </c>
      <c r="H6168" s="46">
        <v>1</v>
      </c>
      <c r="I6168" s="51">
        <v>4622.28</v>
      </c>
      <c r="J6168" s="281">
        <f>++Tabla4[[#This Row],[Precio Bruto]]*1.16</f>
        <v>5361.8447999999989</v>
      </c>
      <c r="K6168" s="281">
        <f>+Tabla4[[#This Row],[Precio Unitario Neto]]*Tabla4[[#Headers],[20.85%]]</f>
        <v>1117.9446407999997</v>
      </c>
      <c r="L6168" s="282">
        <f>++Tabla4[[#This Row],[Precio Unitario Neto]]-Tabla4[[#This Row],[20.85%]]</f>
        <v>4243.9001591999995</v>
      </c>
      <c r="M6168" s="282" t="e">
        <f>(INDEX(Tabla6[#All],MATCH(Tabla4[[#This Row],[Producto]],Tabla6[[#All],[PRODUCTO]],0),MATCH(Tabla4[[#This Row],[Mes]],Tabla6[#Headers],0)))*(1+Catalogos!$L$2)</f>
        <v>#N/A</v>
      </c>
      <c r="N6168" s="283" t="e">
        <f>+(Tabla4[[#This Row],[Precio Descontado]]-Tabla4[[#This Row],[Precio Base]])*Tabla4[[#This Row],[Cantidad]]</f>
        <v>#N/A</v>
      </c>
      <c r="O6168" s="284" t="e">
        <f>++Tabla4[[#This Row],[Utilidad Total]]/Tabla4[[#This Row],[Total]]</f>
        <v>#N/A</v>
      </c>
      <c r="P6168" s="282">
        <f>++Tabla4[[#This Row],[Precio Descontado]]*Tabla4[[#This Row],[Cantidad]]</f>
        <v>4243.9001591999995</v>
      </c>
      <c r="Q6168" s="282" t="e">
        <f>(INDEX(Tabla6[#All],MATCH(Tabla4[[#This Row],[Producto]],Tabla6[[#All],[PRODUCTO]],0),MATCH(Tabla4[[#This Row],[Mes]],Tabla6[#Headers],0)))</f>
        <v>#N/A</v>
      </c>
      <c r="R6168" s="282" t="e">
        <f>++Tabla4[[#This Row],[Precio Unitario Neto]]-Tabla4[[#This Row],[20.85%]]-Tabla4[[#This Row],[Costo]]</f>
        <v>#N/A</v>
      </c>
      <c r="S6168" s="282" t="e">
        <f>++Tabla4[[#This Row],[U. Bruta Uni]]*Tabla4[[#This Row],[Cantidad]]</f>
        <v>#N/A</v>
      </c>
      <c r="T6168" s="369" t="str">
        <f>VLOOKUP(Tabla4[[#This Row],[Producto]],Tabla6[#All],14,FALSE)</f>
        <v>Termico Solar</v>
      </c>
      <c r="U6168" s="284" t="e">
        <f>(IF(Tabla4[[#This Row],[Familia]]="termico solar",Tabla4[[#This Row],[Utilidad Total]]*6%,Tabla4[[#This Row],[Utilidad Total]]*11.5%))/Tabla4[[#This Row],[Total]]</f>
        <v>#N/A</v>
      </c>
      <c r="V6168" s="282" t="e">
        <f>+Tabla4[[#This Row],[Comisión Calculada]]*Tabla4[[#This Row],[Total]]</f>
        <v>#N/A</v>
      </c>
    </row>
    <row r="6169" spans="1:22" hidden="1" x14ac:dyDescent="0.25">
      <c r="A6169" s="100">
        <v>45930</v>
      </c>
      <c r="B6169" t="str">
        <f t="shared" si="292"/>
        <v>September</v>
      </c>
      <c r="C6169" s="46" t="s">
        <v>280</v>
      </c>
      <c r="F6169" s="366" t="s">
        <v>3156</v>
      </c>
      <c r="G6169" s="46" t="s">
        <v>18</v>
      </c>
      <c r="H6169" s="46">
        <v>1</v>
      </c>
      <c r="I6169" s="51">
        <v>5367.65</v>
      </c>
      <c r="J6169" s="281">
        <f>++Tabla4[[#This Row],[Precio Bruto]]*1.16</f>
        <v>6226.4739999999993</v>
      </c>
      <c r="K6169" s="281">
        <f>+Tabla4[[#This Row],[Precio Unitario Neto]]*Tabla4[[#Headers],[20.85%]]</f>
        <v>1298.2198289999999</v>
      </c>
      <c r="L6169" s="282">
        <f>++Tabla4[[#This Row],[Precio Unitario Neto]]-Tabla4[[#This Row],[20.85%]]</f>
        <v>4928.2541709999996</v>
      </c>
      <c r="M6169" s="282" t="e">
        <f>(INDEX(Tabla6[#All],MATCH(Tabla4[[#This Row],[Producto]],Tabla6[[#All],[PRODUCTO]],0),MATCH(Tabla4[[#This Row],[Mes]],Tabla6[#Headers],0)))*(1+Catalogos!$L$2)</f>
        <v>#N/A</v>
      </c>
      <c r="N6169" s="283" t="e">
        <f>+(Tabla4[[#This Row],[Precio Descontado]]-Tabla4[[#This Row],[Precio Base]])*Tabla4[[#This Row],[Cantidad]]</f>
        <v>#N/A</v>
      </c>
      <c r="O6169" s="284" t="e">
        <f>++Tabla4[[#This Row],[Utilidad Total]]/Tabla4[[#This Row],[Total]]</f>
        <v>#N/A</v>
      </c>
      <c r="P6169" s="282">
        <f>++Tabla4[[#This Row],[Precio Descontado]]*Tabla4[[#This Row],[Cantidad]]</f>
        <v>4928.2541709999996</v>
      </c>
      <c r="Q6169" s="282" t="e">
        <f>(INDEX(Tabla6[#All],MATCH(Tabla4[[#This Row],[Producto]],Tabla6[[#All],[PRODUCTO]],0),MATCH(Tabla4[[#This Row],[Mes]],Tabla6[#Headers],0)))</f>
        <v>#N/A</v>
      </c>
      <c r="R6169" s="282" t="e">
        <f>++Tabla4[[#This Row],[Precio Unitario Neto]]-Tabla4[[#This Row],[20.85%]]-Tabla4[[#This Row],[Costo]]</f>
        <v>#N/A</v>
      </c>
      <c r="S6169" s="282" t="e">
        <f>++Tabla4[[#This Row],[U. Bruta Uni]]*Tabla4[[#This Row],[Cantidad]]</f>
        <v>#N/A</v>
      </c>
      <c r="T6169" s="369" t="str">
        <f>VLOOKUP(Tabla4[[#This Row],[Producto]],Tabla6[#All],14,FALSE)</f>
        <v>Termico Solar</v>
      </c>
      <c r="U6169" s="284" t="e">
        <f>(IF(Tabla4[[#This Row],[Familia]]="termico solar",Tabla4[[#This Row],[Utilidad Total]]*6%,Tabla4[[#This Row],[Utilidad Total]]*11.5%))/Tabla4[[#This Row],[Total]]</f>
        <v>#N/A</v>
      </c>
      <c r="V6169" s="282" t="e">
        <f>+Tabla4[[#This Row],[Comisión Calculada]]*Tabla4[[#This Row],[Total]]</f>
        <v>#N/A</v>
      </c>
    </row>
    <row r="6170" spans="1:22" hidden="1" x14ac:dyDescent="0.25">
      <c r="A6170" s="100">
        <v>45930</v>
      </c>
      <c r="B6170" t="str">
        <f t="shared" si="292"/>
        <v>September</v>
      </c>
      <c r="C6170" s="46" t="s">
        <v>280</v>
      </c>
      <c r="F6170" s="366" t="s">
        <v>3156</v>
      </c>
      <c r="G6170" s="46" t="s">
        <v>16</v>
      </c>
      <c r="H6170" s="46">
        <v>1</v>
      </c>
      <c r="I6170" s="51">
        <v>4103.8500000000004</v>
      </c>
      <c r="J6170" s="281">
        <f>++Tabla4[[#This Row],[Precio Bruto]]*1.16</f>
        <v>4760.4660000000003</v>
      </c>
      <c r="K6170" s="281">
        <f>+Tabla4[[#This Row],[Precio Unitario Neto]]*Tabla4[[#Headers],[20.85%]]</f>
        <v>992.55716100000006</v>
      </c>
      <c r="L6170" s="282">
        <f>++Tabla4[[#This Row],[Precio Unitario Neto]]-Tabla4[[#This Row],[20.85%]]</f>
        <v>3767.9088390000002</v>
      </c>
      <c r="M6170" s="282" t="e">
        <f>(INDEX(Tabla6[#All],MATCH(Tabla4[[#This Row],[Producto]],Tabla6[[#All],[PRODUCTO]],0),MATCH(Tabla4[[#This Row],[Mes]],Tabla6[#Headers],0)))*(1+Catalogos!$L$2)</f>
        <v>#N/A</v>
      </c>
      <c r="N6170" s="283" t="e">
        <f>+(Tabla4[[#This Row],[Precio Descontado]]-Tabla4[[#This Row],[Precio Base]])*Tabla4[[#This Row],[Cantidad]]</f>
        <v>#N/A</v>
      </c>
      <c r="O6170" s="284" t="e">
        <f>++Tabla4[[#This Row],[Utilidad Total]]/Tabla4[[#This Row],[Total]]</f>
        <v>#N/A</v>
      </c>
      <c r="P6170" s="282">
        <f>++Tabla4[[#This Row],[Precio Descontado]]*Tabla4[[#This Row],[Cantidad]]</f>
        <v>3767.9088390000002</v>
      </c>
      <c r="Q6170" s="282" t="e">
        <f>(INDEX(Tabla6[#All],MATCH(Tabla4[[#This Row],[Producto]],Tabla6[[#All],[PRODUCTO]],0),MATCH(Tabla4[[#This Row],[Mes]],Tabla6[#Headers],0)))</f>
        <v>#N/A</v>
      </c>
      <c r="R6170" s="282" t="e">
        <f>++Tabla4[[#This Row],[Precio Unitario Neto]]-Tabla4[[#This Row],[20.85%]]-Tabla4[[#This Row],[Costo]]</f>
        <v>#N/A</v>
      </c>
      <c r="S6170" s="282" t="e">
        <f>++Tabla4[[#This Row],[U. Bruta Uni]]*Tabla4[[#This Row],[Cantidad]]</f>
        <v>#N/A</v>
      </c>
      <c r="T6170" s="369" t="str">
        <f>VLOOKUP(Tabla4[[#This Row],[Producto]],Tabla6[#All],14,FALSE)</f>
        <v>Termico Solar</v>
      </c>
      <c r="U6170" s="284" t="e">
        <f>(IF(Tabla4[[#This Row],[Familia]]="termico solar",Tabla4[[#This Row],[Utilidad Total]]*6%,Tabla4[[#This Row],[Utilidad Total]]*11.5%))/Tabla4[[#This Row],[Total]]</f>
        <v>#N/A</v>
      </c>
      <c r="V6170" s="282" t="e">
        <f>+Tabla4[[#This Row],[Comisión Calculada]]*Tabla4[[#This Row],[Total]]</f>
        <v>#N/A</v>
      </c>
    </row>
    <row r="6171" spans="1:22" hidden="1" x14ac:dyDescent="0.25">
      <c r="A6171" s="100">
        <v>45930</v>
      </c>
      <c r="B6171" t="str">
        <f t="shared" si="292"/>
        <v>September</v>
      </c>
      <c r="C6171" s="46" t="s">
        <v>280</v>
      </c>
      <c r="F6171" s="366" t="s">
        <v>3157</v>
      </c>
      <c r="G6171" s="46" t="s">
        <v>83</v>
      </c>
      <c r="H6171" s="46">
        <v>1</v>
      </c>
      <c r="I6171" s="51">
        <v>8858.76</v>
      </c>
      <c r="J6171" s="281">
        <f>++Tabla4[[#This Row],[Precio Bruto]]*1.16</f>
        <v>10276.161599999999</v>
      </c>
      <c r="K6171" s="281">
        <f>+Tabla4[[#This Row],[Precio Unitario Neto]]*Tabla4[[#Headers],[20.85%]]</f>
        <v>2142.5796935999997</v>
      </c>
      <c r="L6171" s="282">
        <f>++Tabla4[[#This Row],[Precio Unitario Neto]]-Tabla4[[#This Row],[20.85%]]</f>
        <v>8133.5819063999998</v>
      </c>
      <c r="M6171" s="282" t="e">
        <f>(INDEX(Tabla6[#All],MATCH(Tabla4[[#This Row],[Producto]],Tabla6[[#All],[PRODUCTO]],0),MATCH(Tabla4[[#This Row],[Mes]],Tabla6[#Headers],0)))*(1+Catalogos!$L$2)</f>
        <v>#N/A</v>
      </c>
      <c r="N6171" s="283" t="e">
        <f>+(Tabla4[[#This Row],[Precio Descontado]]-Tabla4[[#This Row],[Precio Base]])*Tabla4[[#This Row],[Cantidad]]</f>
        <v>#N/A</v>
      </c>
      <c r="O6171" s="284" t="e">
        <f>++Tabla4[[#This Row],[Utilidad Total]]/Tabla4[[#This Row],[Total]]</f>
        <v>#N/A</v>
      </c>
      <c r="P6171" s="282">
        <f>++Tabla4[[#This Row],[Precio Descontado]]*Tabla4[[#This Row],[Cantidad]]</f>
        <v>8133.5819063999998</v>
      </c>
      <c r="Q6171" s="282" t="e">
        <f>(INDEX(Tabla6[#All],MATCH(Tabla4[[#This Row],[Producto]],Tabla6[[#All],[PRODUCTO]],0),MATCH(Tabla4[[#This Row],[Mes]],Tabla6[#Headers],0)))</f>
        <v>#N/A</v>
      </c>
      <c r="R6171" s="282" t="e">
        <f>++Tabla4[[#This Row],[Precio Unitario Neto]]-Tabla4[[#This Row],[20.85%]]-Tabla4[[#This Row],[Costo]]</f>
        <v>#N/A</v>
      </c>
      <c r="S6171" s="282" t="e">
        <f>++Tabla4[[#This Row],[U. Bruta Uni]]*Tabla4[[#This Row],[Cantidad]]</f>
        <v>#N/A</v>
      </c>
      <c r="T6171" s="369" t="str">
        <f>VLOOKUP(Tabla4[[#This Row],[Producto]],Tabla6[#All],14,FALSE)</f>
        <v>Termico Solar</v>
      </c>
      <c r="U6171" s="284" t="e">
        <f>(IF(Tabla4[[#This Row],[Familia]]="termico solar",Tabla4[[#This Row],[Utilidad Total]]*6%,Tabla4[[#This Row],[Utilidad Total]]*11.5%))/Tabla4[[#This Row],[Total]]</f>
        <v>#N/A</v>
      </c>
      <c r="V6171" s="282" t="e">
        <f>+Tabla4[[#This Row],[Comisión Calculada]]*Tabla4[[#This Row],[Total]]</f>
        <v>#N/A</v>
      </c>
    </row>
    <row r="6172" spans="1:22" hidden="1" x14ac:dyDescent="0.25">
      <c r="A6172" s="100">
        <v>45930</v>
      </c>
      <c r="B6172" t="str">
        <f t="shared" si="292"/>
        <v>September</v>
      </c>
      <c r="C6172" s="46" t="s">
        <v>280</v>
      </c>
      <c r="F6172" s="366" t="s">
        <v>3157</v>
      </c>
      <c r="G6172" s="46" t="s">
        <v>17</v>
      </c>
      <c r="H6172" s="46">
        <v>1</v>
      </c>
      <c r="I6172" s="51">
        <v>4622.28</v>
      </c>
      <c r="J6172" s="281">
        <f>++Tabla4[[#This Row],[Precio Bruto]]*1.16</f>
        <v>5361.8447999999989</v>
      </c>
      <c r="K6172" s="281">
        <f>+Tabla4[[#This Row],[Precio Unitario Neto]]*Tabla4[[#Headers],[20.85%]]</f>
        <v>1117.9446407999997</v>
      </c>
      <c r="L6172" s="282">
        <f>++Tabla4[[#This Row],[Precio Unitario Neto]]-Tabla4[[#This Row],[20.85%]]</f>
        <v>4243.9001591999995</v>
      </c>
      <c r="M6172" s="282" t="e">
        <f>(INDEX(Tabla6[#All],MATCH(Tabla4[[#This Row],[Producto]],Tabla6[[#All],[PRODUCTO]],0),MATCH(Tabla4[[#This Row],[Mes]],Tabla6[#Headers],0)))*(1+Catalogos!$L$2)</f>
        <v>#N/A</v>
      </c>
      <c r="N6172" s="283" t="e">
        <f>+(Tabla4[[#This Row],[Precio Descontado]]-Tabla4[[#This Row],[Precio Base]])*Tabla4[[#This Row],[Cantidad]]</f>
        <v>#N/A</v>
      </c>
      <c r="O6172" s="284" t="e">
        <f>++Tabla4[[#This Row],[Utilidad Total]]/Tabla4[[#This Row],[Total]]</f>
        <v>#N/A</v>
      </c>
      <c r="P6172" s="282">
        <f>++Tabla4[[#This Row],[Precio Descontado]]*Tabla4[[#This Row],[Cantidad]]</f>
        <v>4243.9001591999995</v>
      </c>
      <c r="Q6172" s="282" t="e">
        <f>(INDEX(Tabla6[#All],MATCH(Tabla4[[#This Row],[Producto]],Tabla6[[#All],[PRODUCTO]],0),MATCH(Tabla4[[#This Row],[Mes]],Tabla6[#Headers],0)))</f>
        <v>#N/A</v>
      </c>
      <c r="R6172" s="282" t="e">
        <f>++Tabla4[[#This Row],[Precio Unitario Neto]]-Tabla4[[#This Row],[20.85%]]-Tabla4[[#This Row],[Costo]]</f>
        <v>#N/A</v>
      </c>
      <c r="S6172" s="282" t="e">
        <f>++Tabla4[[#This Row],[U. Bruta Uni]]*Tabla4[[#This Row],[Cantidad]]</f>
        <v>#N/A</v>
      </c>
      <c r="T6172" s="369" t="str">
        <f>VLOOKUP(Tabla4[[#This Row],[Producto]],Tabla6[#All],14,FALSE)</f>
        <v>Termico Solar</v>
      </c>
      <c r="U6172" s="284" t="e">
        <f>(IF(Tabla4[[#This Row],[Familia]]="termico solar",Tabla4[[#This Row],[Utilidad Total]]*6%,Tabla4[[#This Row],[Utilidad Total]]*11.5%))/Tabla4[[#This Row],[Total]]</f>
        <v>#N/A</v>
      </c>
      <c r="V6172" s="282" t="e">
        <f>+Tabla4[[#This Row],[Comisión Calculada]]*Tabla4[[#This Row],[Total]]</f>
        <v>#N/A</v>
      </c>
    </row>
    <row r="6173" spans="1:22" hidden="1" x14ac:dyDescent="0.25">
      <c r="A6173" s="100">
        <v>45930</v>
      </c>
      <c r="B6173" t="str">
        <f t="shared" si="292"/>
        <v>September</v>
      </c>
      <c r="C6173" s="46" t="s">
        <v>280</v>
      </c>
      <c r="F6173" s="366" t="s">
        <v>3157</v>
      </c>
      <c r="G6173" s="46" t="s">
        <v>18</v>
      </c>
      <c r="H6173" s="46">
        <v>1</v>
      </c>
      <c r="I6173" s="51">
        <v>5367.65</v>
      </c>
      <c r="J6173" s="281">
        <f>++Tabla4[[#This Row],[Precio Bruto]]*1.16</f>
        <v>6226.4739999999993</v>
      </c>
      <c r="K6173" s="281">
        <f>+Tabla4[[#This Row],[Precio Unitario Neto]]*Tabla4[[#Headers],[20.85%]]</f>
        <v>1298.2198289999999</v>
      </c>
      <c r="L6173" s="282">
        <f>++Tabla4[[#This Row],[Precio Unitario Neto]]-Tabla4[[#This Row],[20.85%]]</f>
        <v>4928.2541709999996</v>
      </c>
      <c r="M6173" s="282" t="e">
        <f>(INDEX(Tabla6[#All],MATCH(Tabla4[[#This Row],[Producto]],Tabla6[[#All],[PRODUCTO]],0),MATCH(Tabla4[[#This Row],[Mes]],Tabla6[#Headers],0)))*(1+Catalogos!$L$2)</f>
        <v>#N/A</v>
      </c>
      <c r="N6173" s="283" t="e">
        <f>+(Tabla4[[#This Row],[Precio Descontado]]-Tabla4[[#This Row],[Precio Base]])*Tabla4[[#This Row],[Cantidad]]</f>
        <v>#N/A</v>
      </c>
      <c r="O6173" s="284" t="e">
        <f>++Tabla4[[#This Row],[Utilidad Total]]/Tabla4[[#This Row],[Total]]</f>
        <v>#N/A</v>
      </c>
      <c r="P6173" s="282">
        <f>++Tabla4[[#This Row],[Precio Descontado]]*Tabla4[[#This Row],[Cantidad]]</f>
        <v>4928.2541709999996</v>
      </c>
      <c r="Q6173" s="282" t="e">
        <f>(INDEX(Tabla6[#All],MATCH(Tabla4[[#This Row],[Producto]],Tabla6[[#All],[PRODUCTO]],0),MATCH(Tabla4[[#This Row],[Mes]],Tabla6[#Headers],0)))</f>
        <v>#N/A</v>
      </c>
      <c r="R6173" s="282" t="e">
        <f>++Tabla4[[#This Row],[Precio Unitario Neto]]-Tabla4[[#This Row],[20.85%]]-Tabla4[[#This Row],[Costo]]</f>
        <v>#N/A</v>
      </c>
      <c r="S6173" s="282" t="e">
        <f>++Tabla4[[#This Row],[U. Bruta Uni]]*Tabla4[[#This Row],[Cantidad]]</f>
        <v>#N/A</v>
      </c>
      <c r="T6173" s="369" t="str">
        <f>VLOOKUP(Tabla4[[#This Row],[Producto]],Tabla6[#All],14,FALSE)</f>
        <v>Termico Solar</v>
      </c>
      <c r="U6173" s="284" t="e">
        <f>(IF(Tabla4[[#This Row],[Familia]]="termico solar",Tabla4[[#This Row],[Utilidad Total]]*6%,Tabla4[[#This Row],[Utilidad Total]]*11.5%))/Tabla4[[#This Row],[Total]]</f>
        <v>#N/A</v>
      </c>
      <c r="V6173" s="282" t="e">
        <f>+Tabla4[[#This Row],[Comisión Calculada]]*Tabla4[[#This Row],[Total]]</f>
        <v>#N/A</v>
      </c>
    </row>
    <row r="6174" spans="1:22" hidden="1" x14ac:dyDescent="0.25">
      <c r="A6174" s="100">
        <v>45930</v>
      </c>
      <c r="B6174" t="str">
        <f t="shared" si="292"/>
        <v>September</v>
      </c>
      <c r="C6174" s="46" t="s">
        <v>280</v>
      </c>
      <c r="F6174" s="366" t="s">
        <v>3157</v>
      </c>
      <c r="G6174" s="46" t="s">
        <v>16</v>
      </c>
      <c r="H6174" s="46">
        <v>3</v>
      </c>
      <c r="I6174" s="51">
        <v>4103.8499999999995</v>
      </c>
      <c r="J6174" s="281">
        <f>++Tabla4[[#This Row],[Precio Bruto]]*1.16</f>
        <v>4760.4659999999994</v>
      </c>
      <c r="K6174" s="281">
        <f>+Tabla4[[#This Row],[Precio Unitario Neto]]*Tabla4[[#Headers],[20.85%]]</f>
        <v>992.55716099999984</v>
      </c>
      <c r="L6174" s="282">
        <f>++Tabla4[[#This Row],[Precio Unitario Neto]]-Tabla4[[#This Row],[20.85%]]</f>
        <v>3767.9088389999997</v>
      </c>
      <c r="M6174" s="282" t="e">
        <f>(INDEX(Tabla6[#All],MATCH(Tabla4[[#This Row],[Producto]],Tabla6[[#All],[PRODUCTO]],0),MATCH(Tabla4[[#This Row],[Mes]],Tabla6[#Headers],0)))*(1+Catalogos!$L$2)</f>
        <v>#N/A</v>
      </c>
      <c r="N6174" s="283" t="e">
        <f>+(Tabla4[[#This Row],[Precio Descontado]]-Tabla4[[#This Row],[Precio Base]])*Tabla4[[#This Row],[Cantidad]]</f>
        <v>#N/A</v>
      </c>
      <c r="O6174" s="284" t="e">
        <f>++Tabla4[[#This Row],[Utilidad Total]]/Tabla4[[#This Row],[Total]]</f>
        <v>#N/A</v>
      </c>
      <c r="P6174" s="282">
        <f>++Tabla4[[#This Row],[Precio Descontado]]*Tabla4[[#This Row],[Cantidad]]</f>
        <v>11303.726516999999</v>
      </c>
      <c r="Q6174" s="282" t="e">
        <f>(INDEX(Tabla6[#All],MATCH(Tabla4[[#This Row],[Producto]],Tabla6[[#All],[PRODUCTO]],0),MATCH(Tabla4[[#This Row],[Mes]],Tabla6[#Headers],0)))</f>
        <v>#N/A</v>
      </c>
      <c r="R6174" s="282" t="e">
        <f>++Tabla4[[#This Row],[Precio Unitario Neto]]-Tabla4[[#This Row],[20.85%]]-Tabla4[[#This Row],[Costo]]</f>
        <v>#N/A</v>
      </c>
      <c r="S6174" s="282" t="e">
        <f>++Tabla4[[#This Row],[U. Bruta Uni]]*Tabla4[[#This Row],[Cantidad]]</f>
        <v>#N/A</v>
      </c>
      <c r="T6174" s="369" t="str">
        <f>VLOOKUP(Tabla4[[#This Row],[Producto]],Tabla6[#All],14,FALSE)</f>
        <v>Termico Solar</v>
      </c>
      <c r="U6174" s="284" t="e">
        <f>(IF(Tabla4[[#This Row],[Familia]]="termico solar",Tabla4[[#This Row],[Utilidad Total]]*6%,Tabla4[[#This Row],[Utilidad Total]]*11.5%))/Tabla4[[#This Row],[Total]]</f>
        <v>#N/A</v>
      </c>
      <c r="V6174" s="282" t="e">
        <f>+Tabla4[[#This Row],[Comisión Calculada]]*Tabla4[[#This Row],[Total]]</f>
        <v>#N/A</v>
      </c>
    </row>
    <row r="6175" spans="1:22" hidden="1" x14ac:dyDescent="0.25">
      <c r="A6175" s="100">
        <v>45930</v>
      </c>
      <c r="B6175" t="str">
        <f t="shared" si="292"/>
        <v>September</v>
      </c>
      <c r="C6175" s="46" t="s">
        <v>280</v>
      </c>
      <c r="F6175" s="366" t="s">
        <v>3158</v>
      </c>
      <c r="G6175" s="46" t="s">
        <v>83</v>
      </c>
      <c r="H6175" s="46">
        <v>1</v>
      </c>
      <c r="I6175" s="51">
        <v>8858.76</v>
      </c>
      <c r="J6175" s="281">
        <f>++Tabla4[[#This Row],[Precio Bruto]]*1.16</f>
        <v>10276.161599999999</v>
      </c>
      <c r="K6175" s="281">
        <f>+Tabla4[[#This Row],[Precio Unitario Neto]]*Tabla4[[#Headers],[20.85%]]</f>
        <v>2142.5796935999997</v>
      </c>
      <c r="L6175" s="282">
        <f>++Tabla4[[#This Row],[Precio Unitario Neto]]-Tabla4[[#This Row],[20.85%]]</f>
        <v>8133.5819063999998</v>
      </c>
      <c r="M6175" s="282" t="e">
        <f>(INDEX(Tabla6[#All],MATCH(Tabla4[[#This Row],[Producto]],Tabla6[[#All],[PRODUCTO]],0),MATCH(Tabla4[[#This Row],[Mes]],Tabla6[#Headers],0)))*(1+Catalogos!$L$2)</f>
        <v>#N/A</v>
      </c>
      <c r="N6175" s="283" t="e">
        <f>+(Tabla4[[#This Row],[Precio Descontado]]-Tabla4[[#This Row],[Precio Base]])*Tabla4[[#This Row],[Cantidad]]</f>
        <v>#N/A</v>
      </c>
      <c r="O6175" s="284" t="e">
        <f>++Tabla4[[#This Row],[Utilidad Total]]/Tabla4[[#This Row],[Total]]</f>
        <v>#N/A</v>
      </c>
      <c r="P6175" s="282">
        <f>++Tabla4[[#This Row],[Precio Descontado]]*Tabla4[[#This Row],[Cantidad]]</f>
        <v>8133.5819063999998</v>
      </c>
      <c r="Q6175" s="282" t="e">
        <f>(INDEX(Tabla6[#All],MATCH(Tabla4[[#This Row],[Producto]],Tabla6[[#All],[PRODUCTO]],0),MATCH(Tabla4[[#This Row],[Mes]],Tabla6[#Headers],0)))</f>
        <v>#N/A</v>
      </c>
      <c r="R6175" s="282" t="e">
        <f>++Tabla4[[#This Row],[Precio Unitario Neto]]-Tabla4[[#This Row],[20.85%]]-Tabla4[[#This Row],[Costo]]</f>
        <v>#N/A</v>
      </c>
      <c r="S6175" s="282" t="e">
        <f>++Tabla4[[#This Row],[U. Bruta Uni]]*Tabla4[[#This Row],[Cantidad]]</f>
        <v>#N/A</v>
      </c>
      <c r="T6175" s="369" t="str">
        <f>VLOOKUP(Tabla4[[#This Row],[Producto]],Tabla6[#All],14,FALSE)</f>
        <v>Termico Solar</v>
      </c>
      <c r="U6175" s="284" t="e">
        <f>(IF(Tabla4[[#This Row],[Familia]]="termico solar",Tabla4[[#This Row],[Utilidad Total]]*6%,Tabla4[[#This Row],[Utilidad Total]]*11.5%))/Tabla4[[#This Row],[Total]]</f>
        <v>#N/A</v>
      </c>
      <c r="V6175" s="282" t="e">
        <f>+Tabla4[[#This Row],[Comisión Calculada]]*Tabla4[[#This Row],[Total]]</f>
        <v>#N/A</v>
      </c>
    </row>
    <row r="6176" spans="1:22" hidden="1" x14ac:dyDescent="0.25">
      <c r="A6176" s="100">
        <v>45930</v>
      </c>
      <c r="B6176" t="str">
        <f t="shared" si="292"/>
        <v>September</v>
      </c>
      <c r="C6176" s="46" t="s">
        <v>280</v>
      </c>
      <c r="F6176" s="366" t="s">
        <v>3159</v>
      </c>
      <c r="G6176" s="46" t="s">
        <v>18</v>
      </c>
      <c r="H6176" s="46">
        <v>2</v>
      </c>
      <c r="I6176" s="51">
        <v>5367.65</v>
      </c>
      <c r="J6176" s="281">
        <f>++Tabla4[[#This Row],[Precio Bruto]]*1.16</f>
        <v>6226.4739999999993</v>
      </c>
      <c r="K6176" s="281">
        <f>+Tabla4[[#This Row],[Precio Unitario Neto]]*Tabla4[[#Headers],[20.85%]]</f>
        <v>1298.2198289999999</v>
      </c>
      <c r="L6176" s="282">
        <f>++Tabla4[[#This Row],[Precio Unitario Neto]]-Tabla4[[#This Row],[20.85%]]</f>
        <v>4928.2541709999996</v>
      </c>
      <c r="M6176" s="282" t="e">
        <f>(INDEX(Tabla6[#All],MATCH(Tabla4[[#This Row],[Producto]],Tabla6[[#All],[PRODUCTO]],0),MATCH(Tabla4[[#This Row],[Mes]],Tabla6[#Headers],0)))*(1+Catalogos!$L$2)</f>
        <v>#N/A</v>
      </c>
      <c r="N6176" s="283" t="e">
        <f>+(Tabla4[[#This Row],[Precio Descontado]]-Tabla4[[#This Row],[Precio Base]])*Tabla4[[#This Row],[Cantidad]]</f>
        <v>#N/A</v>
      </c>
      <c r="O6176" s="284" t="e">
        <f>++Tabla4[[#This Row],[Utilidad Total]]/Tabla4[[#This Row],[Total]]</f>
        <v>#N/A</v>
      </c>
      <c r="P6176" s="282">
        <f>++Tabla4[[#This Row],[Precio Descontado]]*Tabla4[[#This Row],[Cantidad]]</f>
        <v>9856.5083419999992</v>
      </c>
      <c r="Q6176" s="282" t="e">
        <f>(INDEX(Tabla6[#All],MATCH(Tabla4[[#This Row],[Producto]],Tabla6[[#All],[PRODUCTO]],0),MATCH(Tabla4[[#This Row],[Mes]],Tabla6[#Headers],0)))</f>
        <v>#N/A</v>
      </c>
      <c r="R6176" s="282" t="e">
        <f>++Tabla4[[#This Row],[Precio Unitario Neto]]-Tabla4[[#This Row],[20.85%]]-Tabla4[[#This Row],[Costo]]</f>
        <v>#N/A</v>
      </c>
      <c r="S6176" s="282" t="e">
        <f>++Tabla4[[#This Row],[U. Bruta Uni]]*Tabla4[[#This Row],[Cantidad]]</f>
        <v>#N/A</v>
      </c>
      <c r="T6176" s="369" t="str">
        <f>VLOOKUP(Tabla4[[#This Row],[Producto]],Tabla6[#All],14,FALSE)</f>
        <v>Termico Solar</v>
      </c>
      <c r="U6176" s="284" t="e">
        <f>(IF(Tabla4[[#This Row],[Familia]]="termico solar",Tabla4[[#This Row],[Utilidad Total]]*6%,Tabla4[[#This Row],[Utilidad Total]]*11.5%))/Tabla4[[#This Row],[Total]]</f>
        <v>#N/A</v>
      </c>
      <c r="V6176" s="282" t="e">
        <f>+Tabla4[[#This Row],[Comisión Calculada]]*Tabla4[[#This Row],[Total]]</f>
        <v>#N/A</v>
      </c>
    </row>
    <row r="6177" spans="1:22" hidden="1" x14ac:dyDescent="0.25">
      <c r="A6177" s="100">
        <v>45930</v>
      </c>
      <c r="B6177" t="str">
        <f t="shared" si="292"/>
        <v>September</v>
      </c>
      <c r="C6177" s="46" t="s">
        <v>280</v>
      </c>
      <c r="F6177" s="366" t="s">
        <v>3159</v>
      </c>
      <c r="G6177" s="46" t="s">
        <v>208</v>
      </c>
      <c r="H6177" s="46">
        <v>1</v>
      </c>
      <c r="I6177" s="51">
        <v>189.75</v>
      </c>
      <c r="J6177" s="281">
        <f>++Tabla4[[#This Row],[Precio Bruto]]*1.16</f>
        <v>220.10999999999999</v>
      </c>
      <c r="K6177" s="281">
        <f>+Tabla4[[#This Row],[Precio Unitario Neto]]*Tabla4[[#Headers],[20.85%]]</f>
        <v>45.892934999999994</v>
      </c>
      <c r="L6177" s="282">
        <f>++Tabla4[[#This Row],[Precio Unitario Neto]]-Tabla4[[#This Row],[20.85%]]</f>
        <v>174.21706499999999</v>
      </c>
      <c r="M6177" s="282" t="e">
        <f>(INDEX(Tabla6[#All],MATCH(Tabla4[[#This Row],[Producto]],Tabla6[[#All],[PRODUCTO]],0),MATCH(Tabla4[[#This Row],[Mes]],Tabla6[#Headers],0)))*(1+Catalogos!$L$2)</f>
        <v>#N/A</v>
      </c>
      <c r="N6177" s="283" t="e">
        <f>+(Tabla4[[#This Row],[Precio Descontado]]-Tabla4[[#This Row],[Precio Base]])*Tabla4[[#This Row],[Cantidad]]</f>
        <v>#N/A</v>
      </c>
      <c r="O6177" s="284" t="e">
        <f>++Tabla4[[#This Row],[Utilidad Total]]/Tabla4[[#This Row],[Total]]</f>
        <v>#N/A</v>
      </c>
      <c r="P6177" s="282">
        <f>++Tabla4[[#This Row],[Precio Descontado]]*Tabla4[[#This Row],[Cantidad]]</f>
        <v>174.21706499999999</v>
      </c>
      <c r="Q6177" s="282" t="e">
        <f>(INDEX(Tabla6[#All],MATCH(Tabla4[[#This Row],[Producto]],Tabla6[[#All],[PRODUCTO]],0),MATCH(Tabla4[[#This Row],[Mes]],Tabla6[#Headers],0)))</f>
        <v>#N/A</v>
      </c>
      <c r="R6177" s="282" t="e">
        <f>++Tabla4[[#This Row],[Precio Unitario Neto]]-Tabla4[[#This Row],[20.85%]]-Tabla4[[#This Row],[Costo]]</f>
        <v>#N/A</v>
      </c>
      <c r="S6177" s="282" t="e">
        <f>++Tabla4[[#This Row],[U. Bruta Uni]]*Tabla4[[#This Row],[Cantidad]]</f>
        <v>#N/A</v>
      </c>
      <c r="T6177" s="369" t="str">
        <f>VLOOKUP(Tabla4[[#This Row],[Producto]],Tabla6[#All],14,FALSE)</f>
        <v>Termico Solar</v>
      </c>
      <c r="U6177" s="284" t="e">
        <f>(IF(Tabla4[[#This Row],[Familia]]="termico solar",Tabla4[[#This Row],[Utilidad Total]]*6%,Tabla4[[#This Row],[Utilidad Total]]*11.5%))/Tabla4[[#This Row],[Total]]</f>
        <v>#N/A</v>
      </c>
      <c r="V6177" s="282" t="e">
        <f>+Tabla4[[#This Row],[Comisión Calculada]]*Tabla4[[#This Row],[Total]]</f>
        <v>#N/A</v>
      </c>
    </row>
    <row r="6178" spans="1:22" hidden="1" x14ac:dyDescent="0.25">
      <c r="A6178" s="100">
        <v>45930</v>
      </c>
      <c r="B6178" t="str">
        <f t="shared" si="292"/>
        <v>September</v>
      </c>
      <c r="C6178" s="46" t="s">
        <v>280</v>
      </c>
      <c r="F6178" s="366" t="s">
        <v>3160</v>
      </c>
      <c r="G6178" s="46" t="s">
        <v>83</v>
      </c>
      <c r="H6178" s="46">
        <v>1</v>
      </c>
      <c r="I6178" s="51">
        <v>8858.76</v>
      </c>
      <c r="J6178" s="281">
        <f>++Tabla4[[#This Row],[Precio Bruto]]*1.16</f>
        <v>10276.161599999999</v>
      </c>
      <c r="K6178" s="281">
        <f>+Tabla4[[#This Row],[Precio Unitario Neto]]*Tabla4[[#Headers],[20.85%]]</f>
        <v>2142.5796935999997</v>
      </c>
      <c r="L6178" s="282">
        <f>++Tabla4[[#This Row],[Precio Unitario Neto]]-Tabla4[[#This Row],[20.85%]]</f>
        <v>8133.5819063999998</v>
      </c>
      <c r="M6178" s="282" t="e">
        <f>(INDEX(Tabla6[#All],MATCH(Tabla4[[#This Row],[Producto]],Tabla6[[#All],[PRODUCTO]],0),MATCH(Tabla4[[#This Row],[Mes]],Tabla6[#Headers],0)))*(1+Catalogos!$L$2)</f>
        <v>#N/A</v>
      </c>
      <c r="N6178" s="283" t="e">
        <f>+(Tabla4[[#This Row],[Precio Descontado]]-Tabla4[[#This Row],[Precio Base]])*Tabla4[[#This Row],[Cantidad]]</f>
        <v>#N/A</v>
      </c>
      <c r="O6178" s="284" t="e">
        <f>++Tabla4[[#This Row],[Utilidad Total]]/Tabla4[[#This Row],[Total]]</f>
        <v>#N/A</v>
      </c>
      <c r="P6178" s="282">
        <f>++Tabla4[[#This Row],[Precio Descontado]]*Tabla4[[#This Row],[Cantidad]]</f>
        <v>8133.5819063999998</v>
      </c>
      <c r="Q6178" s="282" t="e">
        <f>(INDEX(Tabla6[#All],MATCH(Tabla4[[#This Row],[Producto]],Tabla6[[#All],[PRODUCTO]],0),MATCH(Tabla4[[#This Row],[Mes]],Tabla6[#Headers],0)))</f>
        <v>#N/A</v>
      </c>
      <c r="R6178" s="282" t="e">
        <f>++Tabla4[[#This Row],[Precio Unitario Neto]]-Tabla4[[#This Row],[20.85%]]-Tabla4[[#This Row],[Costo]]</f>
        <v>#N/A</v>
      </c>
      <c r="S6178" s="282" t="e">
        <f>++Tabla4[[#This Row],[U. Bruta Uni]]*Tabla4[[#This Row],[Cantidad]]</f>
        <v>#N/A</v>
      </c>
      <c r="T6178" s="369" t="str">
        <f>VLOOKUP(Tabla4[[#This Row],[Producto]],Tabla6[#All],14,FALSE)</f>
        <v>Termico Solar</v>
      </c>
      <c r="U6178" s="284" t="e">
        <f>(IF(Tabla4[[#This Row],[Familia]]="termico solar",Tabla4[[#This Row],[Utilidad Total]]*6%,Tabla4[[#This Row],[Utilidad Total]]*11.5%))/Tabla4[[#This Row],[Total]]</f>
        <v>#N/A</v>
      </c>
      <c r="V6178" s="282" t="e">
        <f>+Tabla4[[#This Row],[Comisión Calculada]]*Tabla4[[#This Row],[Total]]</f>
        <v>#N/A</v>
      </c>
    </row>
    <row r="6179" spans="1:22" hidden="1" x14ac:dyDescent="0.25">
      <c r="A6179" s="100">
        <v>45930</v>
      </c>
      <c r="B6179" t="str">
        <f t="shared" si="292"/>
        <v>September</v>
      </c>
      <c r="C6179" s="46" t="s">
        <v>280</v>
      </c>
      <c r="F6179" s="366" t="s">
        <v>3160</v>
      </c>
      <c r="G6179" s="46" t="s">
        <v>17</v>
      </c>
      <c r="H6179" s="46">
        <v>1</v>
      </c>
      <c r="I6179" s="51">
        <v>4622.28</v>
      </c>
      <c r="J6179" s="281">
        <f>++Tabla4[[#This Row],[Precio Bruto]]*1.16</f>
        <v>5361.8447999999989</v>
      </c>
      <c r="K6179" s="281">
        <f>+Tabla4[[#This Row],[Precio Unitario Neto]]*Tabla4[[#Headers],[20.85%]]</f>
        <v>1117.9446407999997</v>
      </c>
      <c r="L6179" s="282">
        <f>++Tabla4[[#This Row],[Precio Unitario Neto]]-Tabla4[[#This Row],[20.85%]]</f>
        <v>4243.9001591999995</v>
      </c>
      <c r="M6179" s="282" t="e">
        <f>(INDEX(Tabla6[#All],MATCH(Tabla4[[#This Row],[Producto]],Tabla6[[#All],[PRODUCTO]],0),MATCH(Tabla4[[#This Row],[Mes]],Tabla6[#Headers],0)))*(1+Catalogos!$L$2)</f>
        <v>#N/A</v>
      </c>
      <c r="N6179" s="283" t="e">
        <f>+(Tabla4[[#This Row],[Precio Descontado]]-Tabla4[[#This Row],[Precio Base]])*Tabla4[[#This Row],[Cantidad]]</f>
        <v>#N/A</v>
      </c>
      <c r="O6179" s="284" t="e">
        <f>++Tabla4[[#This Row],[Utilidad Total]]/Tabla4[[#This Row],[Total]]</f>
        <v>#N/A</v>
      </c>
      <c r="P6179" s="282">
        <f>++Tabla4[[#This Row],[Precio Descontado]]*Tabla4[[#This Row],[Cantidad]]</f>
        <v>4243.9001591999995</v>
      </c>
      <c r="Q6179" s="282" t="e">
        <f>(INDEX(Tabla6[#All],MATCH(Tabla4[[#This Row],[Producto]],Tabla6[[#All],[PRODUCTO]],0),MATCH(Tabla4[[#This Row],[Mes]],Tabla6[#Headers],0)))</f>
        <v>#N/A</v>
      </c>
      <c r="R6179" s="282" t="e">
        <f>++Tabla4[[#This Row],[Precio Unitario Neto]]-Tabla4[[#This Row],[20.85%]]-Tabla4[[#This Row],[Costo]]</f>
        <v>#N/A</v>
      </c>
      <c r="S6179" s="282" t="e">
        <f>++Tabla4[[#This Row],[U. Bruta Uni]]*Tabla4[[#This Row],[Cantidad]]</f>
        <v>#N/A</v>
      </c>
      <c r="T6179" s="369" t="str">
        <f>VLOOKUP(Tabla4[[#This Row],[Producto]],Tabla6[#All],14,FALSE)</f>
        <v>Termico Solar</v>
      </c>
      <c r="U6179" s="284" t="e">
        <f>(IF(Tabla4[[#This Row],[Familia]]="termico solar",Tabla4[[#This Row],[Utilidad Total]]*6%,Tabla4[[#This Row],[Utilidad Total]]*11.5%))/Tabla4[[#This Row],[Total]]</f>
        <v>#N/A</v>
      </c>
      <c r="V6179" s="282" t="e">
        <f>+Tabla4[[#This Row],[Comisión Calculada]]*Tabla4[[#This Row],[Total]]</f>
        <v>#N/A</v>
      </c>
    </row>
    <row r="6180" spans="1:22" hidden="1" x14ac:dyDescent="0.25">
      <c r="A6180" s="100">
        <v>45930</v>
      </c>
      <c r="B6180" t="str">
        <f t="shared" si="292"/>
        <v>September</v>
      </c>
      <c r="C6180" s="46" t="s">
        <v>280</v>
      </c>
      <c r="F6180" s="366" t="s">
        <v>3161</v>
      </c>
      <c r="G6180" s="46" t="s">
        <v>17</v>
      </c>
      <c r="H6180" s="46">
        <v>1</v>
      </c>
      <c r="I6180" s="51">
        <v>4622.28</v>
      </c>
      <c r="J6180" s="281">
        <f>++Tabla4[[#This Row],[Precio Bruto]]*1.16</f>
        <v>5361.8447999999989</v>
      </c>
      <c r="K6180" s="281">
        <f>+Tabla4[[#This Row],[Precio Unitario Neto]]*Tabla4[[#Headers],[20.85%]]</f>
        <v>1117.9446407999997</v>
      </c>
      <c r="L6180" s="282">
        <f>++Tabla4[[#This Row],[Precio Unitario Neto]]-Tabla4[[#This Row],[20.85%]]</f>
        <v>4243.9001591999995</v>
      </c>
      <c r="M6180" s="282" t="e">
        <f>(INDEX(Tabla6[#All],MATCH(Tabla4[[#This Row],[Producto]],Tabla6[[#All],[PRODUCTO]],0),MATCH(Tabla4[[#This Row],[Mes]],Tabla6[#Headers],0)))*(1+Catalogos!$L$2)</f>
        <v>#N/A</v>
      </c>
      <c r="N6180" s="283" t="e">
        <f>+(Tabla4[[#This Row],[Precio Descontado]]-Tabla4[[#This Row],[Precio Base]])*Tabla4[[#This Row],[Cantidad]]</f>
        <v>#N/A</v>
      </c>
      <c r="O6180" s="284" t="e">
        <f>++Tabla4[[#This Row],[Utilidad Total]]/Tabla4[[#This Row],[Total]]</f>
        <v>#N/A</v>
      </c>
      <c r="P6180" s="282">
        <f>++Tabla4[[#This Row],[Precio Descontado]]*Tabla4[[#This Row],[Cantidad]]</f>
        <v>4243.9001591999995</v>
      </c>
      <c r="Q6180" s="282" t="e">
        <f>(INDEX(Tabla6[#All],MATCH(Tabla4[[#This Row],[Producto]],Tabla6[[#All],[PRODUCTO]],0),MATCH(Tabla4[[#This Row],[Mes]],Tabla6[#Headers],0)))</f>
        <v>#N/A</v>
      </c>
      <c r="R6180" s="282" t="e">
        <f>++Tabla4[[#This Row],[Precio Unitario Neto]]-Tabla4[[#This Row],[20.85%]]-Tabla4[[#This Row],[Costo]]</f>
        <v>#N/A</v>
      </c>
      <c r="S6180" s="282" t="e">
        <f>++Tabla4[[#This Row],[U. Bruta Uni]]*Tabla4[[#This Row],[Cantidad]]</f>
        <v>#N/A</v>
      </c>
      <c r="T6180" s="369" t="str">
        <f>VLOOKUP(Tabla4[[#This Row],[Producto]],Tabla6[#All],14,FALSE)</f>
        <v>Termico Solar</v>
      </c>
      <c r="U6180" s="284" t="e">
        <f>(IF(Tabla4[[#This Row],[Familia]]="termico solar",Tabla4[[#This Row],[Utilidad Total]]*6%,Tabla4[[#This Row],[Utilidad Total]]*11.5%))/Tabla4[[#This Row],[Total]]</f>
        <v>#N/A</v>
      </c>
      <c r="V6180" s="282" t="e">
        <f>+Tabla4[[#This Row],[Comisión Calculada]]*Tabla4[[#This Row],[Total]]</f>
        <v>#N/A</v>
      </c>
    </row>
    <row r="6181" spans="1:22" hidden="1" x14ac:dyDescent="0.25">
      <c r="A6181" s="100">
        <v>45930</v>
      </c>
      <c r="B6181" t="str">
        <f t="shared" si="292"/>
        <v>September</v>
      </c>
      <c r="C6181" s="46" t="s">
        <v>280</v>
      </c>
      <c r="F6181" s="366" t="s">
        <v>3161</v>
      </c>
      <c r="G6181" s="46" t="s">
        <v>208</v>
      </c>
      <c r="H6181" s="46">
        <v>1</v>
      </c>
      <c r="I6181" s="51">
        <v>189.75</v>
      </c>
      <c r="J6181" s="281">
        <f>++Tabla4[[#This Row],[Precio Bruto]]*1.16</f>
        <v>220.10999999999999</v>
      </c>
      <c r="K6181" s="281">
        <f>+Tabla4[[#This Row],[Precio Unitario Neto]]*Tabla4[[#Headers],[20.85%]]</f>
        <v>45.892934999999994</v>
      </c>
      <c r="L6181" s="282">
        <f>++Tabla4[[#This Row],[Precio Unitario Neto]]-Tabla4[[#This Row],[20.85%]]</f>
        <v>174.21706499999999</v>
      </c>
      <c r="M6181" s="282" t="e">
        <f>(INDEX(Tabla6[#All],MATCH(Tabla4[[#This Row],[Producto]],Tabla6[[#All],[PRODUCTO]],0),MATCH(Tabla4[[#This Row],[Mes]],Tabla6[#Headers],0)))*(1+Catalogos!$L$2)</f>
        <v>#N/A</v>
      </c>
      <c r="N6181" s="283" t="e">
        <f>+(Tabla4[[#This Row],[Precio Descontado]]-Tabla4[[#This Row],[Precio Base]])*Tabla4[[#This Row],[Cantidad]]</f>
        <v>#N/A</v>
      </c>
      <c r="O6181" s="284" t="e">
        <f>++Tabla4[[#This Row],[Utilidad Total]]/Tabla4[[#This Row],[Total]]</f>
        <v>#N/A</v>
      </c>
      <c r="P6181" s="282">
        <f>++Tabla4[[#This Row],[Precio Descontado]]*Tabla4[[#This Row],[Cantidad]]</f>
        <v>174.21706499999999</v>
      </c>
      <c r="Q6181" s="282" t="e">
        <f>(INDEX(Tabla6[#All],MATCH(Tabla4[[#This Row],[Producto]],Tabla6[[#All],[PRODUCTO]],0),MATCH(Tabla4[[#This Row],[Mes]],Tabla6[#Headers],0)))</f>
        <v>#N/A</v>
      </c>
      <c r="R6181" s="282" t="e">
        <f>++Tabla4[[#This Row],[Precio Unitario Neto]]-Tabla4[[#This Row],[20.85%]]-Tabla4[[#This Row],[Costo]]</f>
        <v>#N/A</v>
      </c>
      <c r="S6181" s="282" t="e">
        <f>++Tabla4[[#This Row],[U. Bruta Uni]]*Tabla4[[#This Row],[Cantidad]]</f>
        <v>#N/A</v>
      </c>
      <c r="T6181" s="369" t="str">
        <f>VLOOKUP(Tabla4[[#This Row],[Producto]],Tabla6[#All],14,FALSE)</f>
        <v>Termico Solar</v>
      </c>
      <c r="U6181" s="284" t="e">
        <f>(IF(Tabla4[[#This Row],[Familia]]="termico solar",Tabla4[[#This Row],[Utilidad Total]]*6%,Tabla4[[#This Row],[Utilidad Total]]*11.5%))/Tabla4[[#This Row],[Total]]</f>
        <v>#N/A</v>
      </c>
      <c r="V6181" s="282" t="e">
        <f>+Tabla4[[#This Row],[Comisión Calculada]]*Tabla4[[#This Row],[Total]]</f>
        <v>#N/A</v>
      </c>
    </row>
    <row r="6182" spans="1:22" hidden="1" x14ac:dyDescent="0.25">
      <c r="A6182" s="100">
        <v>45930</v>
      </c>
      <c r="B6182" t="str">
        <f t="shared" si="292"/>
        <v>September</v>
      </c>
      <c r="C6182" s="46" t="s">
        <v>280</v>
      </c>
      <c r="F6182" s="366" t="s">
        <v>3162</v>
      </c>
      <c r="G6182" s="46" t="s">
        <v>83</v>
      </c>
      <c r="H6182" s="46">
        <v>1</v>
      </c>
      <c r="I6182" s="51">
        <v>8858.76</v>
      </c>
      <c r="J6182" s="281">
        <f>++Tabla4[[#This Row],[Precio Bruto]]*1.16</f>
        <v>10276.161599999999</v>
      </c>
      <c r="K6182" s="281">
        <f>+Tabla4[[#This Row],[Precio Unitario Neto]]*Tabla4[[#Headers],[20.85%]]</f>
        <v>2142.5796935999997</v>
      </c>
      <c r="L6182" s="282">
        <f>++Tabla4[[#This Row],[Precio Unitario Neto]]-Tabla4[[#This Row],[20.85%]]</f>
        <v>8133.5819063999998</v>
      </c>
      <c r="M6182" s="282" t="e">
        <f>(INDEX(Tabla6[#All],MATCH(Tabla4[[#This Row],[Producto]],Tabla6[[#All],[PRODUCTO]],0),MATCH(Tabla4[[#This Row],[Mes]],Tabla6[#Headers],0)))*(1+Catalogos!$L$2)</f>
        <v>#N/A</v>
      </c>
      <c r="N6182" s="283" t="e">
        <f>+(Tabla4[[#This Row],[Precio Descontado]]-Tabla4[[#This Row],[Precio Base]])*Tabla4[[#This Row],[Cantidad]]</f>
        <v>#N/A</v>
      </c>
      <c r="O6182" s="284" t="e">
        <f>++Tabla4[[#This Row],[Utilidad Total]]/Tabla4[[#This Row],[Total]]</f>
        <v>#N/A</v>
      </c>
      <c r="P6182" s="282">
        <f>++Tabla4[[#This Row],[Precio Descontado]]*Tabla4[[#This Row],[Cantidad]]</f>
        <v>8133.5819063999998</v>
      </c>
      <c r="Q6182" s="282" t="e">
        <f>(INDEX(Tabla6[#All],MATCH(Tabla4[[#This Row],[Producto]],Tabla6[[#All],[PRODUCTO]],0),MATCH(Tabla4[[#This Row],[Mes]],Tabla6[#Headers],0)))</f>
        <v>#N/A</v>
      </c>
      <c r="R6182" s="282" t="e">
        <f>++Tabla4[[#This Row],[Precio Unitario Neto]]-Tabla4[[#This Row],[20.85%]]-Tabla4[[#This Row],[Costo]]</f>
        <v>#N/A</v>
      </c>
      <c r="S6182" s="282" t="e">
        <f>++Tabla4[[#This Row],[U. Bruta Uni]]*Tabla4[[#This Row],[Cantidad]]</f>
        <v>#N/A</v>
      </c>
      <c r="T6182" s="369" t="str">
        <f>VLOOKUP(Tabla4[[#This Row],[Producto]],Tabla6[#All],14,FALSE)</f>
        <v>Termico Solar</v>
      </c>
      <c r="U6182" s="284" t="e">
        <f>(IF(Tabla4[[#This Row],[Familia]]="termico solar",Tabla4[[#This Row],[Utilidad Total]]*6%,Tabla4[[#This Row],[Utilidad Total]]*11.5%))/Tabla4[[#This Row],[Total]]</f>
        <v>#N/A</v>
      </c>
      <c r="V6182" s="282" t="e">
        <f>+Tabla4[[#This Row],[Comisión Calculada]]*Tabla4[[#This Row],[Total]]</f>
        <v>#N/A</v>
      </c>
    </row>
    <row r="6183" spans="1:22" hidden="1" x14ac:dyDescent="0.25">
      <c r="A6183" s="100">
        <v>45930</v>
      </c>
      <c r="B6183" t="str">
        <f t="shared" si="292"/>
        <v>September</v>
      </c>
      <c r="C6183" s="46" t="s">
        <v>280</v>
      </c>
      <c r="F6183" s="366" t="s">
        <v>3163</v>
      </c>
      <c r="G6183" s="46" t="s">
        <v>83</v>
      </c>
      <c r="H6183" s="46">
        <v>1</v>
      </c>
      <c r="I6183" s="51">
        <v>8858.76</v>
      </c>
      <c r="J6183" s="281">
        <f>++Tabla4[[#This Row],[Precio Bruto]]*1.16</f>
        <v>10276.161599999999</v>
      </c>
      <c r="K6183" s="281">
        <f>+Tabla4[[#This Row],[Precio Unitario Neto]]*Tabla4[[#Headers],[20.85%]]</f>
        <v>2142.5796935999997</v>
      </c>
      <c r="L6183" s="282">
        <f>++Tabla4[[#This Row],[Precio Unitario Neto]]-Tabla4[[#This Row],[20.85%]]</f>
        <v>8133.5819063999998</v>
      </c>
      <c r="M6183" s="282" t="e">
        <f>(INDEX(Tabla6[#All],MATCH(Tabla4[[#This Row],[Producto]],Tabla6[[#All],[PRODUCTO]],0),MATCH(Tabla4[[#This Row],[Mes]],Tabla6[#Headers],0)))*(1+Catalogos!$L$2)</f>
        <v>#N/A</v>
      </c>
      <c r="N6183" s="283" t="e">
        <f>+(Tabla4[[#This Row],[Precio Descontado]]-Tabla4[[#This Row],[Precio Base]])*Tabla4[[#This Row],[Cantidad]]</f>
        <v>#N/A</v>
      </c>
      <c r="O6183" s="284" t="e">
        <f>++Tabla4[[#This Row],[Utilidad Total]]/Tabla4[[#This Row],[Total]]</f>
        <v>#N/A</v>
      </c>
      <c r="P6183" s="282">
        <f>++Tabla4[[#This Row],[Precio Descontado]]*Tabla4[[#This Row],[Cantidad]]</f>
        <v>8133.5819063999998</v>
      </c>
      <c r="Q6183" s="282" t="e">
        <f>(INDEX(Tabla6[#All],MATCH(Tabla4[[#This Row],[Producto]],Tabla6[[#All],[PRODUCTO]],0),MATCH(Tabla4[[#This Row],[Mes]],Tabla6[#Headers],0)))</f>
        <v>#N/A</v>
      </c>
      <c r="R6183" s="282" t="e">
        <f>++Tabla4[[#This Row],[Precio Unitario Neto]]-Tabla4[[#This Row],[20.85%]]-Tabla4[[#This Row],[Costo]]</f>
        <v>#N/A</v>
      </c>
      <c r="S6183" s="282" t="e">
        <f>++Tabla4[[#This Row],[U. Bruta Uni]]*Tabla4[[#This Row],[Cantidad]]</f>
        <v>#N/A</v>
      </c>
      <c r="T6183" s="369" t="str">
        <f>VLOOKUP(Tabla4[[#This Row],[Producto]],Tabla6[#All],14,FALSE)</f>
        <v>Termico Solar</v>
      </c>
      <c r="U6183" s="284" t="e">
        <f>(IF(Tabla4[[#This Row],[Familia]]="termico solar",Tabla4[[#This Row],[Utilidad Total]]*6%,Tabla4[[#This Row],[Utilidad Total]]*11.5%))/Tabla4[[#This Row],[Total]]</f>
        <v>#N/A</v>
      </c>
      <c r="V6183" s="282" t="e">
        <f>+Tabla4[[#This Row],[Comisión Calculada]]*Tabla4[[#This Row],[Total]]</f>
        <v>#N/A</v>
      </c>
    </row>
    <row r="6184" spans="1:22" hidden="1" x14ac:dyDescent="0.25">
      <c r="A6184" s="100">
        <v>45930</v>
      </c>
      <c r="B6184" t="str">
        <f t="shared" si="292"/>
        <v>September</v>
      </c>
      <c r="C6184" s="46" t="s">
        <v>280</v>
      </c>
      <c r="F6184" s="366" t="s">
        <v>3163</v>
      </c>
      <c r="G6184" s="46" t="s">
        <v>566</v>
      </c>
      <c r="H6184" s="46">
        <v>1</v>
      </c>
      <c r="I6184" s="51">
        <v>2109.4499999999998</v>
      </c>
      <c r="J6184" s="281">
        <f>++Tabla4[[#This Row],[Precio Bruto]]*1.16</f>
        <v>2446.9619999999995</v>
      </c>
      <c r="K6184" s="281">
        <f>+Tabla4[[#This Row],[Precio Unitario Neto]]*Tabla4[[#Headers],[20.85%]]</f>
        <v>510.19157699999988</v>
      </c>
      <c r="L6184" s="282">
        <f>++Tabla4[[#This Row],[Precio Unitario Neto]]-Tabla4[[#This Row],[20.85%]]</f>
        <v>1936.7704229999997</v>
      </c>
      <c r="M6184" s="282" t="e">
        <f>(INDEX(Tabla6[#All],MATCH(Tabla4[[#This Row],[Producto]],Tabla6[[#All],[PRODUCTO]],0),MATCH(Tabla4[[#This Row],[Mes]],Tabla6[#Headers],0)))*(1+Catalogos!$L$2)</f>
        <v>#N/A</v>
      </c>
      <c r="N6184" s="283" t="e">
        <f>+(Tabla4[[#This Row],[Precio Descontado]]-Tabla4[[#This Row],[Precio Base]])*Tabla4[[#This Row],[Cantidad]]</f>
        <v>#N/A</v>
      </c>
      <c r="O6184" s="284" t="e">
        <f>++Tabla4[[#This Row],[Utilidad Total]]/Tabla4[[#This Row],[Total]]</f>
        <v>#N/A</v>
      </c>
      <c r="P6184" s="282">
        <f>++Tabla4[[#This Row],[Precio Descontado]]*Tabla4[[#This Row],[Cantidad]]</f>
        <v>1936.7704229999997</v>
      </c>
      <c r="Q6184" s="282" t="e">
        <f>(INDEX(Tabla6[#All],MATCH(Tabla4[[#This Row],[Producto]],Tabla6[[#All],[PRODUCTO]],0),MATCH(Tabla4[[#This Row],[Mes]],Tabla6[#Headers],0)))</f>
        <v>#N/A</v>
      </c>
      <c r="R6184" s="282" t="e">
        <f>++Tabla4[[#This Row],[Precio Unitario Neto]]-Tabla4[[#This Row],[20.85%]]-Tabla4[[#This Row],[Costo]]</f>
        <v>#N/A</v>
      </c>
      <c r="S6184" s="282" t="e">
        <f>++Tabla4[[#This Row],[U. Bruta Uni]]*Tabla4[[#This Row],[Cantidad]]</f>
        <v>#N/A</v>
      </c>
      <c r="T6184" s="369" t="str">
        <f>VLOOKUP(Tabla4[[#This Row],[Producto]],Tabla6[#All],14,FALSE)</f>
        <v>Termico Solar</v>
      </c>
      <c r="U6184" s="284" t="e">
        <f>(IF(Tabla4[[#This Row],[Familia]]="termico solar",Tabla4[[#This Row],[Utilidad Total]]*6%,Tabla4[[#This Row],[Utilidad Total]]*11.5%))/Tabla4[[#This Row],[Total]]</f>
        <v>#N/A</v>
      </c>
      <c r="V6184" s="282" t="e">
        <f>+Tabla4[[#This Row],[Comisión Calculada]]*Tabla4[[#This Row],[Total]]</f>
        <v>#N/A</v>
      </c>
    </row>
    <row r="6185" spans="1:22" hidden="1" x14ac:dyDescent="0.25">
      <c r="A6185" s="100">
        <v>45930</v>
      </c>
      <c r="B6185" t="str">
        <f t="shared" si="292"/>
        <v>September</v>
      </c>
      <c r="C6185" s="46" t="s">
        <v>280</v>
      </c>
      <c r="F6185" s="366" t="s">
        <v>3164</v>
      </c>
      <c r="G6185" s="46" t="s">
        <v>18</v>
      </c>
      <c r="H6185" s="46">
        <v>1</v>
      </c>
      <c r="I6185" s="51">
        <v>5367.65</v>
      </c>
      <c r="J6185" s="281">
        <f>++Tabla4[[#This Row],[Precio Bruto]]*1.16</f>
        <v>6226.4739999999993</v>
      </c>
      <c r="K6185" s="281">
        <f>+Tabla4[[#This Row],[Precio Unitario Neto]]*Tabla4[[#Headers],[20.85%]]</f>
        <v>1298.2198289999999</v>
      </c>
      <c r="L6185" s="282">
        <f>++Tabla4[[#This Row],[Precio Unitario Neto]]-Tabla4[[#This Row],[20.85%]]</f>
        <v>4928.2541709999996</v>
      </c>
      <c r="M6185" s="282" t="e">
        <f>(INDEX(Tabla6[#All],MATCH(Tabla4[[#This Row],[Producto]],Tabla6[[#All],[PRODUCTO]],0),MATCH(Tabla4[[#This Row],[Mes]],Tabla6[#Headers],0)))*(1+Catalogos!$L$2)</f>
        <v>#N/A</v>
      </c>
      <c r="N6185" s="283" t="e">
        <f>+(Tabla4[[#This Row],[Precio Descontado]]-Tabla4[[#This Row],[Precio Base]])*Tabla4[[#This Row],[Cantidad]]</f>
        <v>#N/A</v>
      </c>
      <c r="O6185" s="284" t="e">
        <f>++Tabla4[[#This Row],[Utilidad Total]]/Tabla4[[#This Row],[Total]]</f>
        <v>#N/A</v>
      </c>
      <c r="P6185" s="282">
        <f>++Tabla4[[#This Row],[Precio Descontado]]*Tabla4[[#This Row],[Cantidad]]</f>
        <v>4928.2541709999996</v>
      </c>
      <c r="Q6185" s="282" t="e">
        <f>(INDEX(Tabla6[#All],MATCH(Tabla4[[#This Row],[Producto]],Tabla6[[#All],[PRODUCTO]],0),MATCH(Tabla4[[#This Row],[Mes]],Tabla6[#Headers],0)))</f>
        <v>#N/A</v>
      </c>
      <c r="R6185" s="282" t="e">
        <f>++Tabla4[[#This Row],[Precio Unitario Neto]]-Tabla4[[#This Row],[20.85%]]-Tabla4[[#This Row],[Costo]]</f>
        <v>#N/A</v>
      </c>
      <c r="S6185" s="282" t="e">
        <f>++Tabla4[[#This Row],[U. Bruta Uni]]*Tabla4[[#This Row],[Cantidad]]</f>
        <v>#N/A</v>
      </c>
      <c r="T6185" s="369" t="str">
        <f>VLOOKUP(Tabla4[[#This Row],[Producto]],Tabla6[#All],14,FALSE)</f>
        <v>Termico Solar</v>
      </c>
      <c r="U6185" s="284" t="e">
        <f>(IF(Tabla4[[#This Row],[Familia]]="termico solar",Tabla4[[#This Row],[Utilidad Total]]*6%,Tabla4[[#This Row],[Utilidad Total]]*11.5%))/Tabla4[[#This Row],[Total]]</f>
        <v>#N/A</v>
      </c>
      <c r="V6185" s="282" t="e">
        <f>+Tabla4[[#This Row],[Comisión Calculada]]*Tabla4[[#This Row],[Total]]</f>
        <v>#N/A</v>
      </c>
    </row>
    <row r="6186" spans="1:22" hidden="1" x14ac:dyDescent="0.25">
      <c r="A6186" s="100">
        <v>45930</v>
      </c>
      <c r="B6186" t="str">
        <f t="shared" si="292"/>
        <v>September</v>
      </c>
      <c r="C6186" s="46" t="s">
        <v>280</v>
      </c>
      <c r="F6186" s="366" t="s">
        <v>3164</v>
      </c>
      <c r="G6186" s="46" t="s">
        <v>19</v>
      </c>
      <c r="H6186" s="46">
        <v>1</v>
      </c>
      <c r="I6186" s="51">
        <v>6412.03</v>
      </c>
      <c r="J6186" s="281">
        <f>++Tabla4[[#This Row],[Precio Bruto]]*1.16</f>
        <v>7437.9547999999995</v>
      </c>
      <c r="K6186" s="281">
        <f>+Tabla4[[#This Row],[Precio Unitario Neto]]*Tabla4[[#Headers],[20.85%]]</f>
        <v>1550.8135757999999</v>
      </c>
      <c r="L6186" s="282">
        <f>++Tabla4[[#This Row],[Precio Unitario Neto]]-Tabla4[[#This Row],[20.85%]]</f>
        <v>5887.1412241999997</v>
      </c>
      <c r="M6186" s="282" t="e">
        <f>(INDEX(Tabla6[#All],MATCH(Tabla4[[#This Row],[Producto]],Tabla6[[#All],[PRODUCTO]],0),MATCH(Tabla4[[#This Row],[Mes]],Tabla6[#Headers],0)))*(1+Catalogos!$L$2)</f>
        <v>#N/A</v>
      </c>
      <c r="N6186" s="283" t="e">
        <f>+(Tabla4[[#This Row],[Precio Descontado]]-Tabla4[[#This Row],[Precio Base]])*Tabla4[[#This Row],[Cantidad]]</f>
        <v>#N/A</v>
      </c>
      <c r="O6186" s="284" t="e">
        <f>++Tabla4[[#This Row],[Utilidad Total]]/Tabla4[[#This Row],[Total]]</f>
        <v>#N/A</v>
      </c>
      <c r="P6186" s="282">
        <f>++Tabla4[[#This Row],[Precio Descontado]]*Tabla4[[#This Row],[Cantidad]]</f>
        <v>5887.1412241999997</v>
      </c>
      <c r="Q6186" s="282" t="e">
        <f>(INDEX(Tabla6[#All],MATCH(Tabla4[[#This Row],[Producto]],Tabla6[[#All],[PRODUCTO]],0),MATCH(Tabla4[[#This Row],[Mes]],Tabla6[#Headers],0)))</f>
        <v>#N/A</v>
      </c>
      <c r="R6186" s="282" t="e">
        <f>++Tabla4[[#This Row],[Precio Unitario Neto]]-Tabla4[[#This Row],[20.85%]]-Tabla4[[#This Row],[Costo]]</f>
        <v>#N/A</v>
      </c>
      <c r="S6186" s="282" t="e">
        <f>++Tabla4[[#This Row],[U. Bruta Uni]]*Tabla4[[#This Row],[Cantidad]]</f>
        <v>#N/A</v>
      </c>
      <c r="T6186" s="369" t="str">
        <f>VLOOKUP(Tabla4[[#This Row],[Producto]],Tabla6[#All],14,FALSE)</f>
        <v>Termico Solar</v>
      </c>
      <c r="U6186" s="284" t="e">
        <f>(IF(Tabla4[[#This Row],[Familia]]="termico solar",Tabla4[[#This Row],[Utilidad Total]]*6%,Tabla4[[#This Row],[Utilidad Total]]*11.5%))/Tabla4[[#This Row],[Total]]</f>
        <v>#N/A</v>
      </c>
      <c r="V6186" s="282" t="e">
        <f>+Tabla4[[#This Row],[Comisión Calculada]]*Tabla4[[#This Row],[Total]]</f>
        <v>#N/A</v>
      </c>
    </row>
    <row r="6187" spans="1:22" hidden="1" x14ac:dyDescent="0.25">
      <c r="A6187" s="100">
        <v>45930</v>
      </c>
      <c r="B6187" t="str">
        <f t="shared" si="292"/>
        <v>September</v>
      </c>
      <c r="C6187" s="46" t="s">
        <v>280</v>
      </c>
      <c r="F6187" s="366" t="s">
        <v>3164</v>
      </c>
      <c r="G6187" s="46" t="s">
        <v>16</v>
      </c>
      <c r="H6187" s="46">
        <v>1</v>
      </c>
      <c r="I6187" s="51">
        <v>4103.8500000000004</v>
      </c>
      <c r="J6187" s="281">
        <f>++Tabla4[[#This Row],[Precio Bruto]]*1.16</f>
        <v>4760.4660000000003</v>
      </c>
      <c r="K6187" s="281">
        <f>+Tabla4[[#This Row],[Precio Unitario Neto]]*Tabla4[[#Headers],[20.85%]]</f>
        <v>992.55716100000006</v>
      </c>
      <c r="L6187" s="282">
        <f>++Tabla4[[#This Row],[Precio Unitario Neto]]-Tabla4[[#This Row],[20.85%]]</f>
        <v>3767.9088390000002</v>
      </c>
      <c r="M6187" s="282" t="e">
        <f>(INDEX(Tabla6[#All],MATCH(Tabla4[[#This Row],[Producto]],Tabla6[[#All],[PRODUCTO]],0),MATCH(Tabla4[[#This Row],[Mes]],Tabla6[#Headers],0)))*(1+Catalogos!$L$2)</f>
        <v>#N/A</v>
      </c>
      <c r="N6187" s="283" t="e">
        <f>+(Tabla4[[#This Row],[Precio Descontado]]-Tabla4[[#This Row],[Precio Base]])*Tabla4[[#This Row],[Cantidad]]</f>
        <v>#N/A</v>
      </c>
      <c r="O6187" s="284" t="e">
        <f>++Tabla4[[#This Row],[Utilidad Total]]/Tabla4[[#This Row],[Total]]</f>
        <v>#N/A</v>
      </c>
      <c r="P6187" s="282">
        <f>++Tabla4[[#This Row],[Precio Descontado]]*Tabla4[[#This Row],[Cantidad]]</f>
        <v>3767.9088390000002</v>
      </c>
      <c r="Q6187" s="282" t="e">
        <f>(INDEX(Tabla6[#All],MATCH(Tabla4[[#This Row],[Producto]],Tabla6[[#All],[PRODUCTO]],0),MATCH(Tabla4[[#This Row],[Mes]],Tabla6[#Headers],0)))</f>
        <v>#N/A</v>
      </c>
      <c r="R6187" s="282" t="e">
        <f>++Tabla4[[#This Row],[Precio Unitario Neto]]-Tabla4[[#This Row],[20.85%]]-Tabla4[[#This Row],[Costo]]</f>
        <v>#N/A</v>
      </c>
      <c r="S6187" s="282" t="e">
        <f>++Tabla4[[#This Row],[U. Bruta Uni]]*Tabla4[[#This Row],[Cantidad]]</f>
        <v>#N/A</v>
      </c>
      <c r="T6187" s="369" t="str">
        <f>VLOOKUP(Tabla4[[#This Row],[Producto]],Tabla6[#All],14,FALSE)</f>
        <v>Termico Solar</v>
      </c>
      <c r="U6187" s="284" t="e">
        <f>(IF(Tabla4[[#This Row],[Familia]]="termico solar",Tabla4[[#This Row],[Utilidad Total]]*6%,Tabla4[[#This Row],[Utilidad Total]]*11.5%))/Tabla4[[#This Row],[Total]]</f>
        <v>#N/A</v>
      </c>
      <c r="V6187" s="282" t="e">
        <f>+Tabla4[[#This Row],[Comisión Calculada]]*Tabla4[[#This Row],[Total]]</f>
        <v>#N/A</v>
      </c>
    </row>
    <row r="6188" spans="1:22" hidden="1" x14ac:dyDescent="0.25">
      <c r="A6188" s="100">
        <v>45930</v>
      </c>
      <c r="B6188" t="str">
        <f t="shared" si="292"/>
        <v>September</v>
      </c>
      <c r="C6188" s="46" t="s">
        <v>280</v>
      </c>
      <c r="F6188" s="366" t="s">
        <v>3165</v>
      </c>
      <c r="G6188" s="46" t="s">
        <v>17</v>
      </c>
      <c r="H6188" s="46">
        <v>1</v>
      </c>
      <c r="I6188" s="51">
        <v>4622.28</v>
      </c>
      <c r="J6188" s="281">
        <f>++Tabla4[[#This Row],[Precio Bruto]]*1.16</f>
        <v>5361.8447999999989</v>
      </c>
      <c r="K6188" s="281">
        <f>+Tabla4[[#This Row],[Precio Unitario Neto]]*Tabla4[[#Headers],[20.85%]]</f>
        <v>1117.9446407999997</v>
      </c>
      <c r="L6188" s="282">
        <f>++Tabla4[[#This Row],[Precio Unitario Neto]]-Tabla4[[#This Row],[20.85%]]</f>
        <v>4243.9001591999995</v>
      </c>
      <c r="M6188" s="282" t="e">
        <f>(INDEX(Tabla6[#All],MATCH(Tabla4[[#This Row],[Producto]],Tabla6[[#All],[PRODUCTO]],0),MATCH(Tabla4[[#This Row],[Mes]],Tabla6[#Headers],0)))*(1+Catalogos!$L$2)</f>
        <v>#N/A</v>
      </c>
      <c r="N6188" s="283" t="e">
        <f>+(Tabla4[[#This Row],[Precio Descontado]]-Tabla4[[#This Row],[Precio Base]])*Tabla4[[#This Row],[Cantidad]]</f>
        <v>#N/A</v>
      </c>
      <c r="O6188" s="284" t="e">
        <f>++Tabla4[[#This Row],[Utilidad Total]]/Tabla4[[#This Row],[Total]]</f>
        <v>#N/A</v>
      </c>
      <c r="P6188" s="282">
        <f>++Tabla4[[#This Row],[Precio Descontado]]*Tabla4[[#This Row],[Cantidad]]</f>
        <v>4243.9001591999995</v>
      </c>
      <c r="Q6188" s="282" t="e">
        <f>(INDEX(Tabla6[#All],MATCH(Tabla4[[#This Row],[Producto]],Tabla6[[#All],[PRODUCTO]],0),MATCH(Tabla4[[#This Row],[Mes]],Tabla6[#Headers],0)))</f>
        <v>#N/A</v>
      </c>
      <c r="R6188" s="282" t="e">
        <f>++Tabla4[[#This Row],[Precio Unitario Neto]]-Tabla4[[#This Row],[20.85%]]-Tabla4[[#This Row],[Costo]]</f>
        <v>#N/A</v>
      </c>
      <c r="S6188" s="282" t="e">
        <f>++Tabla4[[#This Row],[U. Bruta Uni]]*Tabla4[[#This Row],[Cantidad]]</f>
        <v>#N/A</v>
      </c>
      <c r="T6188" s="369" t="str">
        <f>VLOOKUP(Tabla4[[#This Row],[Producto]],Tabla6[#All],14,FALSE)</f>
        <v>Termico Solar</v>
      </c>
      <c r="U6188" s="284" t="e">
        <f>(IF(Tabla4[[#This Row],[Familia]]="termico solar",Tabla4[[#This Row],[Utilidad Total]]*6%,Tabla4[[#This Row],[Utilidad Total]]*11.5%))/Tabla4[[#This Row],[Total]]</f>
        <v>#N/A</v>
      </c>
      <c r="V6188" s="282" t="e">
        <f>+Tabla4[[#This Row],[Comisión Calculada]]*Tabla4[[#This Row],[Total]]</f>
        <v>#N/A</v>
      </c>
    </row>
    <row r="6189" spans="1:22" hidden="1" x14ac:dyDescent="0.25">
      <c r="A6189" s="100">
        <v>45930</v>
      </c>
      <c r="B6189" t="str">
        <f t="shared" si="292"/>
        <v>September</v>
      </c>
      <c r="C6189" s="46" t="s">
        <v>280</v>
      </c>
      <c r="F6189" s="366" t="s">
        <v>3165</v>
      </c>
      <c r="G6189" s="46" t="s">
        <v>16</v>
      </c>
      <c r="H6189" s="46">
        <v>1</v>
      </c>
      <c r="I6189" s="51">
        <v>4103.8500000000004</v>
      </c>
      <c r="J6189" s="281">
        <f>++Tabla4[[#This Row],[Precio Bruto]]*1.16</f>
        <v>4760.4660000000003</v>
      </c>
      <c r="K6189" s="281">
        <f>+Tabla4[[#This Row],[Precio Unitario Neto]]*Tabla4[[#Headers],[20.85%]]</f>
        <v>992.55716100000006</v>
      </c>
      <c r="L6189" s="282">
        <f>++Tabla4[[#This Row],[Precio Unitario Neto]]-Tabla4[[#This Row],[20.85%]]</f>
        <v>3767.9088390000002</v>
      </c>
      <c r="M6189" s="282" t="e">
        <f>(INDEX(Tabla6[#All],MATCH(Tabla4[[#This Row],[Producto]],Tabla6[[#All],[PRODUCTO]],0),MATCH(Tabla4[[#This Row],[Mes]],Tabla6[#Headers],0)))*(1+Catalogos!$L$2)</f>
        <v>#N/A</v>
      </c>
      <c r="N6189" s="283" t="e">
        <f>+(Tabla4[[#This Row],[Precio Descontado]]-Tabla4[[#This Row],[Precio Base]])*Tabla4[[#This Row],[Cantidad]]</f>
        <v>#N/A</v>
      </c>
      <c r="O6189" s="284" t="e">
        <f>++Tabla4[[#This Row],[Utilidad Total]]/Tabla4[[#This Row],[Total]]</f>
        <v>#N/A</v>
      </c>
      <c r="P6189" s="282">
        <f>++Tabla4[[#This Row],[Precio Descontado]]*Tabla4[[#This Row],[Cantidad]]</f>
        <v>3767.9088390000002</v>
      </c>
      <c r="Q6189" s="282" t="e">
        <f>(INDEX(Tabla6[#All],MATCH(Tabla4[[#This Row],[Producto]],Tabla6[[#All],[PRODUCTO]],0),MATCH(Tabla4[[#This Row],[Mes]],Tabla6[#Headers],0)))</f>
        <v>#N/A</v>
      </c>
      <c r="R6189" s="282" t="e">
        <f>++Tabla4[[#This Row],[Precio Unitario Neto]]-Tabla4[[#This Row],[20.85%]]-Tabla4[[#This Row],[Costo]]</f>
        <v>#N/A</v>
      </c>
      <c r="S6189" s="282" t="e">
        <f>++Tabla4[[#This Row],[U. Bruta Uni]]*Tabla4[[#This Row],[Cantidad]]</f>
        <v>#N/A</v>
      </c>
      <c r="T6189" s="369" t="str">
        <f>VLOOKUP(Tabla4[[#This Row],[Producto]],Tabla6[#All],14,FALSE)</f>
        <v>Termico Solar</v>
      </c>
      <c r="U6189" s="284" t="e">
        <f>(IF(Tabla4[[#This Row],[Familia]]="termico solar",Tabla4[[#This Row],[Utilidad Total]]*6%,Tabla4[[#This Row],[Utilidad Total]]*11.5%))/Tabla4[[#This Row],[Total]]</f>
        <v>#N/A</v>
      </c>
      <c r="V6189" s="282" t="e">
        <f>+Tabla4[[#This Row],[Comisión Calculada]]*Tabla4[[#This Row],[Total]]</f>
        <v>#N/A</v>
      </c>
    </row>
    <row r="6190" spans="1:22" hidden="1" x14ac:dyDescent="0.25">
      <c r="A6190" s="100">
        <v>45930</v>
      </c>
      <c r="B6190" t="str">
        <f t="shared" si="292"/>
        <v>September</v>
      </c>
      <c r="C6190" s="46" t="s">
        <v>280</v>
      </c>
      <c r="F6190" s="366" t="s">
        <v>3165</v>
      </c>
      <c r="G6190" s="46" t="s">
        <v>208</v>
      </c>
      <c r="H6190" s="46">
        <v>10</v>
      </c>
      <c r="I6190" s="51">
        <v>189.75</v>
      </c>
      <c r="J6190" s="281">
        <f>++Tabla4[[#This Row],[Precio Bruto]]*1.16</f>
        <v>220.10999999999999</v>
      </c>
      <c r="K6190" s="281">
        <f>+Tabla4[[#This Row],[Precio Unitario Neto]]*Tabla4[[#Headers],[20.85%]]</f>
        <v>45.892934999999994</v>
      </c>
      <c r="L6190" s="282">
        <f>++Tabla4[[#This Row],[Precio Unitario Neto]]-Tabla4[[#This Row],[20.85%]]</f>
        <v>174.21706499999999</v>
      </c>
      <c r="M6190" s="282" t="e">
        <f>(INDEX(Tabla6[#All],MATCH(Tabla4[[#This Row],[Producto]],Tabla6[[#All],[PRODUCTO]],0),MATCH(Tabla4[[#This Row],[Mes]],Tabla6[#Headers],0)))*(1+Catalogos!$L$2)</f>
        <v>#N/A</v>
      </c>
      <c r="N6190" s="283" t="e">
        <f>+(Tabla4[[#This Row],[Precio Descontado]]-Tabla4[[#This Row],[Precio Base]])*Tabla4[[#This Row],[Cantidad]]</f>
        <v>#N/A</v>
      </c>
      <c r="O6190" s="284" t="e">
        <f>++Tabla4[[#This Row],[Utilidad Total]]/Tabla4[[#This Row],[Total]]</f>
        <v>#N/A</v>
      </c>
      <c r="P6190" s="282">
        <f>++Tabla4[[#This Row],[Precio Descontado]]*Tabla4[[#This Row],[Cantidad]]</f>
        <v>1742.17065</v>
      </c>
      <c r="Q6190" s="282" t="e">
        <f>(INDEX(Tabla6[#All],MATCH(Tabla4[[#This Row],[Producto]],Tabla6[[#All],[PRODUCTO]],0),MATCH(Tabla4[[#This Row],[Mes]],Tabla6[#Headers],0)))</f>
        <v>#N/A</v>
      </c>
      <c r="R6190" s="282" t="e">
        <f>++Tabla4[[#This Row],[Precio Unitario Neto]]-Tabla4[[#This Row],[20.85%]]-Tabla4[[#This Row],[Costo]]</f>
        <v>#N/A</v>
      </c>
      <c r="S6190" s="282" t="e">
        <f>++Tabla4[[#This Row],[U. Bruta Uni]]*Tabla4[[#This Row],[Cantidad]]</f>
        <v>#N/A</v>
      </c>
      <c r="T6190" s="369" t="str">
        <f>VLOOKUP(Tabla4[[#This Row],[Producto]],Tabla6[#All],14,FALSE)</f>
        <v>Termico Solar</v>
      </c>
      <c r="U6190" s="284" t="e">
        <f>(IF(Tabla4[[#This Row],[Familia]]="termico solar",Tabla4[[#This Row],[Utilidad Total]]*6%,Tabla4[[#This Row],[Utilidad Total]]*11.5%))/Tabla4[[#This Row],[Total]]</f>
        <v>#N/A</v>
      </c>
      <c r="V6190" s="282" t="e">
        <f>+Tabla4[[#This Row],[Comisión Calculada]]*Tabla4[[#This Row],[Total]]</f>
        <v>#N/A</v>
      </c>
    </row>
    <row r="6191" spans="1:22" hidden="1" x14ac:dyDescent="0.25">
      <c r="A6191" s="100">
        <v>45930</v>
      </c>
      <c r="B6191" t="str">
        <f t="shared" si="292"/>
        <v>September</v>
      </c>
      <c r="C6191" s="46" t="s">
        <v>280</v>
      </c>
      <c r="F6191" s="366" t="s">
        <v>3166</v>
      </c>
      <c r="G6191" s="46" t="s">
        <v>17</v>
      </c>
      <c r="H6191" s="46">
        <v>2</v>
      </c>
      <c r="I6191" s="51">
        <v>4622.28</v>
      </c>
      <c r="J6191" s="281">
        <f>++Tabla4[[#This Row],[Precio Bruto]]*1.16</f>
        <v>5361.8447999999989</v>
      </c>
      <c r="K6191" s="281">
        <f>+Tabla4[[#This Row],[Precio Unitario Neto]]*Tabla4[[#Headers],[20.85%]]</f>
        <v>1117.9446407999997</v>
      </c>
      <c r="L6191" s="282">
        <f>++Tabla4[[#This Row],[Precio Unitario Neto]]-Tabla4[[#This Row],[20.85%]]</f>
        <v>4243.9001591999995</v>
      </c>
      <c r="M6191" s="282" t="e">
        <f>(INDEX(Tabla6[#All],MATCH(Tabla4[[#This Row],[Producto]],Tabla6[[#All],[PRODUCTO]],0),MATCH(Tabla4[[#This Row],[Mes]],Tabla6[#Headers],0)))*(1+Catalogos!$L$2)</f>
        <v>#N/A</v>
      </c>
      <c r="N6191" s="283" t="e">
        <f>+(Tabla4[[#This Row],[Precio Descontado]]-Tabla4[[#This Row],[Precio Base]])*Tabla4[[#This Row],[Cantidad]]</f>
        <v>#N/A</v>
      </c>
      <c r="O6191" s="284" t="e">
        <f>++Tabla4[[#This Row],[Utilidad Total]]/Tabla4[[#This Row],[Total]]</f>
        <v>#N/A</v>
      </c>
      <c r="P6191" s="282">
        <f>++Tabla4[[#This Row],[Precio Descontado]]*Tabla4[[#This Row],[Cantidad]]</f>
        <v>8487.800318399999</v>
      </c>
      <c r="Q6191" s="282" t="e">
        <f>(INDEX(Tabla6[#All],MATCH(Tabla4[[#This Row],[Producto]],Tabla6[[#All],[PRODUCTO]],0),MATCH(Tabla4[[#This Row],[Mes]],Tabla6[#Headers],0)))</f>
        <v>#N/A</v>
      </c>
      <c r="R6191" s="282" t="e">
        <f>++Tabla4[[#This Row],[Precio Unitario Neto]]-Tabla4[[#This Row],[20.85%]]-Tabla4[[#This Row],[Costo]]</f>
        <v>#N/A</v>
      </c>
      <c r="S6191" s="282" t="e">
        <f>++Tabla4[[#This Row],[U. Bruta Uni]]*Tabla4[[#This Row],[Cantidad]]</f>
        <v>#N/A</v>
      </c>
      <c r="T6191" s="369" t="str">
        <f>VLOOKUP(Tabla4[[#This Row],[Producto]],Tabla6[#All],14,FALSE)</f>
        <v>Termico Solar</v>
      </c>
      <c r="U6191" s="284" t="e">
        <f>(IF(Tabla4[[#This Row],[Familia]]="termico solar",Tabla4[[#This Row],[Utilidad Total]]*6%,Tabla4[[#This Row],[Utilidad Total]]*11.5%))/Tabla4[[#This Row],[Total]]</f>
        <v>#N/A</v>
      </c>
      <c r="V6191" s="282" t="e">
        <f>+Tabla4[[#This Row],[Comisión Calculada]]*Tabla4[[#This Row],[Total]]</f>
        <v>#N/A</v>
      </c>
    </row>
    <row r="6192" spans="1:22" hidden="1" x14ac:dyDescent="0.25">
      <c r="A6192" s="100">
        <v>45930</v>
      </c>
      <c r="B6192" t="str">
        <f t="shared" si="292"/>
        <v>September</v>
      </c>
      <c r="C6192" s="46" t="s">
        <v>280</v>
      </c>
      <c r="F6192" s="366" t="s">
        <v>3166</v>
      </c>
      <c r="G6192" s="46" t="s">
        <v>18</v>
      </c>
      <c r="H6192" s="46">
        <v>1</v>
      </c>
      <c r="I6192" s="51">
        <v>5367.65</v>
      </c>
      <c r="J6192" s="281">
        <f>++Tabla4[[#This Row],[Precio Bruto]]*1.16</f>
        <v>6226.4739999999993</v>
      </c>
      <c r="K6192" s="281">
        <f>+Tabla4[[#This Row],[Precio Unitario Neto]]*Tabla4[[#Headers],[20.85%]]</f>
        <v>1298.2198289999999</v>
      </c>
      <c r="L6192" s="282">
        <f>++Tabla4[[#This Row],[Precio Unitario Neto]]-Tabla4[[#This Row],[20.85%]]</f>
        <v>4928.2541709999996</v>
      </c>
      <c r="M6192" s="282" t="e">
        <f>(INDEX(Tabla6[#All],MATCH(Tabla4[[#This Row],[Producto]],Tabla6[[#All],[PRODUCTO]],0),MATCH(Tabla4[[#This Row],[Mes]],Tabla6[#Headers],0)))*(1+Catalogos!$L$2)</f>
        <v>#N/A</v>
      </c>
      <c r="N6192" s="283" t="e">
        <f>+(Tabla4[[#This Row],[Precio Descontado]]-Tabla4[[#This Row],[Precio Base]])*Tabla4[[#This Row],[Cantidad]]</f>
        <v>#N/A</v>
      </c>
      <c r="O6192" s="284" t="e">
        <f>++Tabla4[[#This Row],[Utilidad Total]]/Tabla4[[#This Row],[Total]]</f>
        <v>#N/A</v>
      </c>
      <c r="P6192" s="282">
        <f>++Tabla4[[#This Row],[Precio Descontado]]*Tabla4[[#This Row],[Cantidad]]</f>
        <v>4928.2541709999996</v>
      </c>
      <c r="Q6192" s="282" t="e">
        <f>(INDEX(Tabla6[#All],MATCH(Tabla4[[#This Row],[Producto]],Tabla6[[#All],[PRODUCTO]],0),MATCH(Tabla4[[#This Row],[Mes]],Tabla6[#Headers],0)))</f>
        <v>#N/A</v>
      </c>
      <c r="R6192" s="282" t="e">
        <f>++Tabla4[[#This Row],[Precio Unitario Neto]]-Tabla4[[#This Row],[20.85%]]-Tabla4[[#This Row],[Costo]]</f>
        <v>#N/A</v>
      </c>
      <c r="S6192" s="282" t="e">
        <f>++Tabla4[[#This Row],[U. Bruta Uni]]*Tabla4[[#This Row],[Cantidad]]</f>
        <v>#N/A</v>
      </c>
      <c r="T6192" s="369" t="str">
        <f>VLOOKUP(Tabla4[[#This Row],[Producto]],Tabla6[#All],14,FALSE)</f>
        <v>Termico Solar</v>
      </c>
      <c r="U6192" s="284" t="e">
        <f>(IF(Tabla4[[#This Row],[Familia]]="termico solar",Tabla4[[#This Row],[Utilidad Total]]*6%,Tabla4[[#This Row],[Utilidad Total]]*11.5%))/Tabla4[[#This Row],[Total]]</f>
        <v>#N/A</v>
      </c>
      <c r="V6192" s="282" t="e">
        <f>+Tabla4[[#This Row],[Comisión Calculada]]*Tabla4[[#This Row],[Total]]</f>
        <v>#N/A</v>
      </c>
    </row>
    <row r="6193" spans="1:22" hidden="1" x14ac:dyDescent="0.25">
      <c r="A6193" s="100">
        <v>45930</v>
      </c>
      <c r="B6193" t="str">
        <f t="shared" si="292"/>
        <v>September</v>
      </c>
      <c r="C6193" s="46" t="s">
        <v>280</v>
      </c>
      <c r="F6193" s="366" t="s">
        <v>3166</v>
      </c>
      <c r="G6193" s="46" t="s">
        <v>566</v>
      </c>
      <c r="H6193" s="46">
        <v>1</v>
      </c>
      <c r="I6193" s="51">
        <v>2109.4499999999998</v>
      </c>
      <c r="J6193" s="281">
        <f>++Tabla4[[#This Row],[Precio Bruto]]*1.16</f>
        <v>2446.9619999999995</v>
      </c>
      <c r="K6193" s="281">
        <f>+Tabla4[[#This Row],[Precio Unitario Neto]]*Tabla4[[#Headers],[20.85%]]</f>
        <v>510.19157699999988</v>
      </c>
      <c r="L6193" s="282">
        <f>++Tabla4[[#This Row],[Precio Unitario Neto]]-Tabla4[[#This Row],[20.85%]]</f>
        <v>1936.7704229999997</v>
      </c>
      <c r="M6193" s="282" t="e">
        <f>(INDEX(Tabla6[#All],MATCH(Tabla4[[#This Row],[Producto]],Tabla6[[#All],[PRODUCTO]],0),MATCH(Tabla4[[#This Row],[Mes]],Tabla6[#Headers],0)))*(1+Catalogos!$L$2)</f>
        <v>#N/A</v>
      </c>
      <c r="N6193" s="283" t="e">
        <f>+(Tabla4[[#This Row],[Precio Descontado]]-Tabla4[[#This Row],[Precio Base]])*Tabla4[[#This Row],[Cantidad]]</f>
        <v>#N/A</v>
      </c>
      <c r="O6193" s="284" t="e">
        <f>++Tabla4[[#This Row],[Utilidad Total]]/Tabla4[[#This Row],[Total]]</f>
        <v>#N/A</v>
      </c>
      <c r="P6193" s="282">
        <f>++Tabla4[[#This Row],[Precio Descontado]]*Tabla4[[#This Row],[Cantidad]]</f>
        <v>1936.7704229999997</v>
      </c>
      <c r="Q6193" s="282" t="e">
        <f>(INDEX(Tabla6[#All],MATCH(Tabla4[[#This Row],[Producto]],Tabla6[[#All],[PRODUCTO]],0),MATCH(Tabla4[[#This Row],[Mes]],Tabla6[#Headers],0)))</f>
        <v>#N/A</v>
      </c>
      <c r="R6193" s="282" t="e">
        <f>++Tabla4[[#This Row],[Precio Unitario Neto]]-Tabla4[[#This Row],[20.85%]]-Tabla4[[#This Row],[Costo]]</f>
        <v>#N/A</v>
      </c>
      <c r="S6193" s="282" t="e">
        <f>++Tabla4[[#This Row],[U. Bruta Uni]]*Tabla4[[#This Row],[Cantidad]]</f>
        <v>#N/A</v>
      </c>
      <c r="T6193" s="369" t="str">
        <f>VLOOKUP(Tabla4[[#This Row],[Producto]],Tabla6[#All],14,FALSE)</f>
        <v>Termico Solar</v>
      </c>
      <c r="U6193" s="284" t="e">
        <f>(IF(Tabla4[[#This Row],[Familia]]="termico solar",Tabla4[[#This Row],[Utilidad Total]]*6%,Tabla4[[#This Row],[Utilidad Total]]*11.5%))/Tabla4[[#This Row],[Total]]</f>
        <v>#N/A</v>
      </c>
      <c r="V6193" s="282" t="e">
        <f>+Tabla4[[#This Row],[Comisión Calculada]]*Tabla4[[#This Row],[Total]]</f>
        <v>#N/A</v>
      </c>
    </row>
    <row r="6194" spans="1:22" hidden="1" x14ac:dyDescent="0.25">
      <c r="A6194" s="100">
        <v>45930</v>
      </c>
      <c r="B6194" t="str">
        <f t="shared" si="292"/>
        <v>September</v>
      </c>
      <c r="C6194" s="46" t="s">
        <v>280</v>
      </c>
      <c r="F6194" s="366" t="s">
        <v>3167</v>
      </c>
      <c r="G6194" s="46" t="s">
        <v>83</v>
      </c>
      <c r="H6194" s="46">
        <v>1</v>
      </c>
      <c r="I6194" s="51">
        <v>8858.76</v>
      </c>
      <c r="J6194" s="281">
        <f>++Tabla4[[#This Row],[Precio Bruto]]*1.16</f>
        <v>10276.161599999999</v>
      </c>
      <c r="K6194" s="281">
        <f>+Tabla4[[#This Row],[Precio Unitario Neto]]*Tabla4[[#Headers],[20.85%]]</f>
        <v>2142.5796935999997</v>
      </c>
      <c r="L6194" s="282">
        <f>++Tabla4[[#This Row],[Precio Unitario Neto]]-Tabla4[[#This Row],[20.85%]]</f>
        <v>8133.5819063999998</v>
      </c>
      <c r="M6194" s="282" t="e">
        <f>(INDEX(Tabla6[#All],MATCH(Tabla4[[#This Row],[Producto]],Tabla6[[#All],[PRODUCTO]],0),MATCH(Tabla4[[#This Row],[Mes]],Tabla6[#Headers],0)))*(1+Catalogos!$L$2)</f>
        <v>#N/A</v>
      </c>
      <c r="N6194" s="283" t="e">
        <f>+(Tabla4[[#This Row],[Precio Descontado]]-Tabla4[[#This Row],[Precio Base]])*Tabla4[[#This Row],[Cantidad]]</f>
        <v>#N/A</v>
      </c>
      <c r="O6194" s="284" t="e">
        <f>++Tabla4[[#This Row],[Utilidad Total]]/Tabla4[[#This Row],[Total]]</f>
        <v>#N/A</v>
      </c>
      <c r="P6194" s="282">
        <f>++Tabla4[[#This Row],[Precio Descontado]]*Tabla4[[#This Row],[Cantidad]]</f>
        <v>8133.5819063999998</v>
      </c>
      <c r="Q6194" s="282" t="e">
        <f>(INDEX(Tabla6[#All],MATCH(Tabla4[[#This Row],[Producto]],Tabla6[[#All],[PRODUCTO]],0),MATCH(Tabla4[[#This Row],[Mes]],Tabla6[#Headers],0)))</f>
        <v>#N/A</v>
      </c>
      <c r="R6194" s="282" t="e">
        <f>++Tabla4[[#This Row],[Precio Unitario Neto]]-Tabla4[[#This Row],[20.85%]]-Tabla4[[#This Row],[Costo]]</f>
        <v>#N/A</v>
      </c>
      <c r="S6194" s="282" t="e">
        <f>++Tabla4[[#This Row],[U. Bruta Uni]]*Tabla4[[#This Row],[Cantidad]]</f>
        <v>#N/A</v>
      </c>
      <c r="T6194" s="369" t="str">
        <f>VLOOKUP(Tabla4[[#This Row],[Producto]],Tabla6[#All],14,FALSE)</f>
        <v>Termico Solar</v>
      </c>
      <c r="U6194" s="284" t="e">
        <f>(IF(Tabla4[[#This Row],[Familia]]="termico solar",Tabla4[[#This Row],[Utilidad Total]]*6%,Tabla4[[#This Row],[Utilidad Total]]*11.5%))/Tabla4[[#This Row],[Total]]</f>
        <v>#N/A</v>
      </c>
      <c r="V6194" s="282" t="e">
        <f>+Tabla4[[#This Row],[Comisión Calculada]]*Tabla4[[#This Row],[Total]]</f>
        <v>#N/A</v>
      </c>
    </row>
    <row r="6195" spans="1:22" hidden="1" x14ac:dyDescent="0.25">
      <c r="A6195" s="100">
        <v>45930</v>
      </c>
      <c r="B6195" t="str">
        <f t="shared" si="292"/>
        <v>September</v>
      </c>
      <c r="C6195" s="46" t="s">
        <v>280</v>
      </c>
      <c r="F6195" s="366" t="s">
        <v>3167</v>
      </c>
      <c r="G6195" s="46" t="s">
        <v>17</v>
      </c>
      <c r="H6195" s="46">
        <v>2</v>
      </c>
      <c r="I6195" s="51">
        <v>4622.28</v>
      </c>
      <c r="J6195" s="281">
        <f>++Tabla4[[#This Row],[Precio Bruto]]*1.16</f>
        <v>5361.8447999999989</v>
      </c>
      <c r="K6195" s="281">
        <f>+Tabla4[[#This Row],[Precio Unitario Neto]]*Tabla4[[#Headers],[20.85%]]</f>
        <v>1117.9446407999997</v>
      </c>
      <c r="L6195" s="282">
        <f>++Tabla4[[#This Row],[Precio Unitario Neto]]-Tabla4[[#This Row],[20.85%]]</f>
        <v>4243.9001591999995</v>
      </c>
      <c r="M6195" s="282" t="e">
        <f>(INDEX(Tabla6[#All],MATCH(Tabla4[[#This Row],[Producto]],Tabla6[[#All],[PRODUCTO]],0),MATCH(Tabla4[[#This Row],[Mes]],Tabla6[#Headers],0)))*(1+Catalogos!$L$2)</f>
        <v>#N/A</v>
      </c>
      <c r="N6195" s="283" t="e">
        <f>+(Tabla4[[#This Row],[Precio Descontado]]-Tabla4[[#This Row],[Precio Base]])*Tabla4[[#This Row],[Cantidad]]</f>
        <v>#N/A</v>
      </c>
      <c r="O6195" s="284" t="e">
        <f>++Tabla4[[#This Row],[Utilidad Total]]/Tabla4[[#This Row],[Total]]</f>
        <v>#N/A</v>
      </c>
      <c r="P6195" s="282">
        <f>++Tabla4[[#This Row],[Precio Descontado]]*Tabla4[[#This Row],[Cantidad]]</f>
        <v>8487.800318399999</v>
      </c>
      <c r="Q6195" s="282" t="e">
        <f>(INDEX(Tabla6[#All],MATCH(Tabla4[[#This Row],[Producto]],Tabla6[[#All],[PRODUCTO]],0),MATCH(Tabla4[[#This Row],[Mes]],Tabla6[#Headers],0)))</f>
        <v>#N/A</v>
      </c>
      <c r="R6195" s="282" t="e">
        <f>++Tabla4[[#This Row],[Precio Unitario Neto]]-Tabla4[[#This Row],[20.85%]]-Tabla4[[#This Row],[Costo]]</f>
        <v>#N/A</v>
      </c>
      <c r="S6195" s="282" t="e">
        <f>++Tabla4[[#This Row],[U. Bruta Uni]]*Tabla4[[#This Row],[Cantidad]]</f>
        <v>#N/A</v>
      </c>
      <c r="T6195" s="369" t="str">
        <f>VLOOKUP(Tabla4[[#This Row],[Producto]],Tabla6[#All],14,FALSE)</f>
        <v>Termico Solar</v>
      </c>
      <c r="U6195" s="284" t="e">
        <f>(IF(Tabla4[[#This Row],[Familia]]="termico solar",Tabla4[[#This Row],[Utilidad Total]]*6%,Tabla4[[#This Row],[Utilidad Total]]*11.5%))/Tabla4[[#This Row],[Total]]</f>
        <v>#N/A</v>
      </c>
      <c r="V6195" s="282" t="e">
        <f>+Tabla4[[#This Row],[Comisión Calculada]]*Tabla4[[#This Row],[Total]]</f>
        <v>#N/A</v>
      </c>
    </row>
    <row r="6196" spans="1:22" hidden="1" x14ac:dyDescent="0.25">
      <c r="A6196" s="100">
        <v>45930</v>
      </c>
      <c r="B6196" t="str">
        <f t="shared" si="292"/>
        <v>September</v>
      </c>
      <c r="C6196" s="46" t="s">
        <v>280</v>
      </c>
      <c r="F6196" s="366" t="s">
        <v>3168</v>
      </c>
      <c r="G6196" s="46" t="s">
        <v>16</v>
      </c>
      <c r="H6196" s="46">
        <v>2</v>
      </c>
      <c r="I6196" s="51">
        <v>4103.8500000000004</v>
      </c>
      <c r="J6196" s="281">
        <f>++Tabla4[[#This Row],[Precio Bruto]]*1.16</f>
        <v>4760.4660000000003</v>
      </c>
      <c r="K6196" s="281">
        <f>+Tabla4[[#This Row],[Precio Unitario Neto]]*Tabla4[[#Headers],[20.85%]]</f>
        <v>992.55716100000006</v>
      </c>
      <c r="L6196" s="282">
        <f>++Tabla4[[#This Row],[Precio Unitario Neto]]-Tabla4[[#This Row],[20.85%]]</f>
        <v>3767.9088390000002</v>
      </c>
      <c r="M6196" s="282" t="e">
        <f>(INDEX(Tabla6[#All],MATCH(Tabla4[[#This Row],[Producto]],Tabla6[[#All],[PRODUCTO]],0),MATCH(Tabla4[[#This Row],[Mes]],Tabla6[#Headers],0)))*(1+Catalogos!$L$2)</f>
        <v>#N/A</v>
      </c>
      <c r="N6196" s="283" t="e">
        <f>+(Tabla4[[#This Row],[Precio Descontado]]-Tabla4[[#This Row],[Precio Base]])*Tabla4[[#This Row],[Cantidad]]</f>
        <v>#N/A</v>
      </c>
      <c r="O6196" s="284" t="e">
        <f>++Tabla4[[#This Row],[Utilidad Total]]/Tabla4[[#This Row],[Total]]</f>
        <v>#N/A</v>
      </c>
      <c r="P6196" s="282">
        <f>++Tabla4[[#This Row],[Precio Descontado]]*Tabla4[[#This Row],[Cantidad]]</f>
        <v>7535.8176780000003</v>
      </c>
      <c r="Q6196" s="282" t="e">
        <f>(INDEX(Tabla6[#All],MATCH(Tabla4[[#This Row],[Producto]],Tabla6[[#All],[PRODUCTO]],0),MATCH(Tabla4[[#This Row],[Mes]],Tabla6[#Headers],0)))</f>
        <v>#N/A</v>
      </c>
      <c r="R6196" s="282" t="e">
        <f>++Tabla4[[#This Row],[Precio Unitario Neto]]-Tabla4[[#This Row],[20.85%]]-Tabla4[[#This Row],[Costo]]</f>
        <v>#N/A</v>
      </c>
      <c r="S6196" s="282" t="e">
        <f>++Tabla4[[#This Row],[U. Bruta Uni]]*Tabla4[[#This Row],[Cantidad]]</f>
        <v>#N/A</v>
      </c>
      <c r="T6196" s="369" t="str">
        <f>VLOOKUP(Tabla4[[#This Row],[Producto]],Tabla6[#All],14,FALSE)</f>
        <v>Termico Solar</v>
      </c>
      <c r="U6196" s="284" t="e">
        <f>(IF(Tabla4[[#This Row],[Familia]]="termico solar",Tabla4[[#This Row],[Utilidad Total]]*6%,Tabla4[[#This Row],[Utilidad Total]]*11.5%))/Tabla4[[#This Row],[Total]]</f>
        <v>#N/A</v>
      </c>
      <c r="V6196" s="282" t="e">
        <f>+Tabla4[[#This Row],[Comisión Calculada]]*Tabla4[[#This Row],[Total]]</f>
        <v>#N/A</v>
      </c>
    </row>
    <row r="6197" spans="1:22" hidden="1" x14ac:dyDescent="0.25">
      <c r="A6197" s="100">
        <v>45930</v>
      </c>
      <c r="B6197" t="str">
        <f t="shared" si="292"/>
        <v>September</v>
      </c>
      <c r="C6197" s="46" t="s">
        <v>280</v>
      </c>
      <c r="F6197" s="366" t="s">
        <v>3169</v>
      </c>
      <c r="G6197" s="46" t="s">
        <v>18</v>
      </c>
      <c r="H6197" s="46">
        <v>1</v>
      </c>
      <c r="I6197" s="51">
        <v>5367.65</v>
      </c>
      <c r="J6197" s="281">
        <f>++Tabla4[[#This Row],[Precio Bruto]]*1.16</f>
        <v>6226.4739999999993</v>
      </c>
      <c r="K6197" s="281">
        <f>+Tabla4[[#This Row],[Precio Unitario Neto]]*Tabla4[[#Headers],[20.85%]]</f>
        <v>1298.2198289999999</v>
      </c>
      <c r="L6197" s="282">
        <f>++Tabla4[[#This Row],[Precio Unitario Neto]]-Tabla4[[#This Row],[20.85%]]</f>
        <v>4928.2541709999996</v>
      </c>
      <c r="M6197" s="282" t="e">
        <f>(INDEX(Tabla6[#All],MATCH(Tabla4[[#This Row],[Producto]],Tabla6[[#All],[PRODUCTO]],0),MATCH(Tabla4[[#This Row],[Mes]],Tabla6[#Headers],0)))*(1+Catalogos!$L$2)</f>
        <v>#N/A</v>
      </c>
      <c r="N6197" s="283" t="e">
        <f>+(Tabla4[[#This Row],[Precio Descontado]]-Tabla4[[#This Row],[Precio Base]])*Tabla4[[#This Row],[Cantidad]]</f>
        <v>#N/A</v>
      </c>
      <c r="O6197" s="284" t="e">
        <f>++Tabla4[[#This Row],[Utilidad Total]]/Tabla4[[#This Row],[Total]]</f>
        <v>#N/A</v>
      </c>
      <c r="P6197" s="282">
        <f>++Tabla4[[#This Row],[Precio Descontado]]*Tabla4[[#This Row],[Cantidad]]</f>
        <v>4928.2541709999996</v>
      </c>
      <c r="Q6197" s="282" t="e">
        <f>(INDEX(Tabla6[#All],MATCH(Tabla4[[#This Row],[Producto]],Tabla6[[#All],[PRODUCTO]],0),MATCH(Tabla4[[#This Row],[Mes]],Tabla6[#Headers],0)))</f>
        <v>#N/A</v>
      </c>
      <c r="R6197" s="282" t="e">
        <f>++Tabla4[[#This Row],[Precio Unitario Neto]]-Tabla4[[#This Row],[20.85%]]-Tabla4[[#This Row],[Costo]]</f>
        <v>#N/A</v>
      </c>
      <c r="S6197" s="282" t="e">
        <f>++Tabla4[[#This Row],[U. Bruta Uni]]*Tabla4[[#This Row],[Cantidad]]</f>
        <v>#N/A</v>
      </c>
      <c r="T6197" s="369" t="str">
        <f>VLOOKUP(Tabla4[[#This Row],[Producto]],Tabla6[#All],14,FALSE)</f>
        <v>Termico Solar</v>
      </c>
      <c r="U6197" s="284" t="e">
        <f>(IF(Tabla4[[#This Row],[Familia]]="termico solar",Tabla4[[#This Row],[Utilidad Total]]*6%,Tabla4[[#This Row],[Utilidad Total]]*11.5%))/Tabla4[[#This Row],[Total]]</f>
        <v>#N/A</v>
      </c>
      <c r="V6197" s="282" t="e">
        <f>+Tabla4[[#This Row],[Comisión Calculada]]*Tabla4[[#This Row],[Total]]</f>
        <v>#N/A</v>
      </c>
    </row>
    <row r="6198" spans="1:22" hidden="1" x14ac:dyDescent="0.25">
      <c r="A6198" s="100">
        <v>45930</v>
      </c>
      <c r="B6198" t="str">
        <f t="shared" ref="B6198:B6229" si="293">TEXT(A6198, "mmmm")</f>
        <v>September</v>
      </c>
      <c r="C6198" s="46" t="s">
        <v>280</v>
      </c>
      <c r="F6198" s="366" t="s">
        <v>3169</v>
      </c>
      <c r="G6198" s="46" t="s">
        <v>566</v>
      </c>
      <c r="H6198" s="46">
        <v>1</v>
      </c>
      <c r="I6198" s="51">
        <v>2109.4499999999998</v>
      </c>
      <c r="J6198" s="281">
        <f>++Tabla4[[#This Row],[Precio Bruto]]*1.16</f>
        <v>2446.9619999999995</v>
      </c>
      <c r="K6198" s="281">
        <f>+Tabla4[[#This Row],[Precio Unitario Neto]]*Tabla4[[#Headers],[20.85%]]</f>
        <v>510.19157699999988</v>
      </c>
      <c r="L6198" s="282">
        <f>++Tabla4[[#This Row],[Precio Unitario Neto]]-Tabla4[[#This Row],[20.85%]]</f>
        <v>1936.7704229999997</v>
      </c>
      <c r="M6198" s="282" t="e">
        <f>(INDEX(Tabla6[#All],MATCH(Tabla4[[#This Row],[Producto]],Tabla6[[#All],[PRODUCTO]],0),MATCH(Tabla4[[#This Row],[Mes]],Tabla6[#Headers],0)))*(1+Catalogos!$L$2)</f>
        <v>#N/A</v>
      </c>
      <c r="N6198" s="283" t="e">
        <f>+(Tabla4[[#This Row],[Precio Descontado]]-Tabla4[[#This Row],[Precio Base]])*Tabla4[[#This Row],[Cantidad]]</f>
        <v>#N/A</v>
      </c>
      <c r="O6198" s="284" t="e">
        <f>++Tabla4[[#This Row],[Utilidad Total]]/Tabla4[[#This Row],[Total]]</f>
        <v>#N/A</v>
      </c>
      <c r="P6198" s="282">
        <f>++Tabla4[[#This Row],[Precio Descontado]]*Tabla4[[#This Row],[Cantidad]]</f>
        <v>1936.7704229999997</v>
      </c>
      <c r="Q6198" s="282" t="e">
        <f>(INDEX(Tabla6[#All],MATCH(Tabla4[[#This Row],[Producto]],Tabla6[[#All],[PRODUCTO]],0),MATCH(Tabla4[[#This Row],[Mes]],Tabla6[#Headers],0)))</f>
        <v>#N/A</v>
      </c>
      <c r="R6198" s="282" t="e">
        <f>++Tabla4[[#This Row],[Precio Unitario Neto]]-Tabla4[[#This Row],[20.85%]]-Tabla4[[#This Row],[Costo]]</f>
        <v>#N/A</v>
      </c>
      <c r="S6198" s="282" t="e">
        <f>++Tabla4[[#This Row],[U. Bruta Uni]]*Tabla4[[#This Row],[Cantidad]]</f>
        <v>#N/A</v>
      </c>
      <c r="T6198" s="369" t="str">
        <f>VLOOKUP(Tabla4[[#This Row],[Producto]],Tabla6[#All],14,FALSE)</f>
        <v>Termico Solar</v>
      </c>
      <c r="U6198" s="284" t="e">
        <f>(IF(Tabla4[[#This Row],[Familia]]="termico solar",Tabla4[[#This Row],[Utilidad Total]]*6%,Tabla4[[#This Row],[Utilidad Total]]*11.5%))/Tabla4[[#This Row],[Total]]</f>
        <v>#N/A</v>
      </c>
      <c r="V6198" s="282" t="e">
        <f>+Tabla4[[#This Row],[Comisión Calculada]]*Tabla4[[#This Row],[Total]]</f>
        <v>#N/A</v>
      </c>
    </row>
    <row r="6199" spans="1:22" hidden="1" x14ac:dyDescent="0.25">
      <c r="A6199" s="100">
        <v>45930</v>
      </c>
      <c r="B6199" t="str">
        <f t="shared" si="293"/>
        <v>September</v>
      </c>
      <c r="C6199" s="46" t="s">
        <v>280</v>
      </c>
      <c r="F6199" s="366" t="s">
        <v>3169</v>
      </c>
      <c r="G6199" s="46" t="s">
        <v>394</v>
      </c>
      <c r="H6199" s="46">
        <v>16</v>
      </c>
      <c r="I6199" s="51">
        <v>224.29</v>
      </c>
      <c r="J6199" s="281">
        <f>++Tabla4[[#This Row],[Precio Bruto]]*1.16</f>
        <v>260.1764</v>
      </c>
      <c r="K6199" s="281">
        <f>+Tabla4[[#This Row],[Precio Unitario Neto]]*Tabla4[[#Headers],[20.85%]]</f>
        <v>54.246779400000001</v>
      </c>
      <c r="L6199" s="282">
        <f>++Tabla4[[#This Row],[Precio Unitario Neto]]-Tabla4[[#This Row],[20.85%]]</f>
        <v>205.92962059999999</v>
      </c>
      <c r="M6199" s="282" t="e">
        <f>(INDEX(Tabla6[#All],MATCH(Tabla4[[#This Row],[Producto]],Tabla6[[#All],[PRODUCTO]],0),MATCH(Tabla4[[#This Row],[Mes]],Tabla6[#Headers],0)))*(1+Catalogos!$L$2)</f>
        <v>#N/A</v>
      </c>
      <c r="N6199" s="283" t="e">
        <f>+(Tabla4[[#This Row],[Precio Descontado]]-Tabla4[[#This Row],[Precio Base]])*Tabla4[[#This Row],[Cantidad]]</f>
        <v>#N/A</v>
      </c>
      <c r="O6199" s="284" t="e">
        <f>++Tabla4[[#This Row],[Utilidad Total]]/Tabla4[[#This Row],[Total]]</f>
        <v>#N/A</v>
      </c>
      <c r="P6199" s="282">
        <f>++Tabla4[[#This Row],[Precio Descontado]]*Tabla4[[#This Row],[Cantidad]]</f>
        <v>3294.8739295999999</v>
      </c>
      <c r="Q6199" s="282" t="e">
        <f>(INDEX(Tabla6[#All],MATCH(Tabla4[[#This Row],[Producto]],Tabla6[[#All],[PRODUCTO]],0),MATCH(Tabla4[[#This Row],[Mes]],Tabla6[#Headers],0)))</f>
        <v>#N/A</v>
      </c>
      <c r="R6199" s="282" t="e">
        <f>++Tabla4[[#This Row],[Precio Unitario Neto]]-Tabla4[[#This Row],[20.85%]]-Tabla4[[#This Row],[Costo]]</f>
        <v>#N/A</v>
      </c>
      <c r="S6199" s="282" t="e">
        <f>++Tabla4[[#This Row],[U. Bruta Uni]]*Tabla4[[#This Row],[Cantidad]]</f>
        <v>#N/A</v>
      </c>
      <c r="T6199" s="369" t="str">
        <f>VLOOKUP(Tabla4[[#This Row],[Producto]],Tabla6[#All],14,FALSE)</f>
        <v>Termico Solar</v>
      </c>
      <c r="U6199" s="284" t="e">
        <f>(IF(Tabla4[[#This Row],[Familia]]="termico solar",Tabla4[[#This Row],[Utilidad Total]]*6%,Tabla4[[#This Row],[Utilidad Total]]*11.5%))/Tabla4[[#This Row],[Total]]</f>
        <v>#N/A</v>
      </c>
      <c r="V6199" s="282" t="e">
        <f>+Tabla4[[#This Row],[Comisión Calculada]]*Tabla4[[#This Row],[Total]]</f>
        <v>#N/A</v>
      </c>
    </row>
    <row r="6200" spans="1:22" hidden="1" x14ac:dyDescent="0.25">
      <c r="A6200" s="100">
        <v>45930</v>
      </c>
      <c r="B6200" t="str">
        <f t="shared" si="293"/>
        <v>September</v>
      </c>
      <c r="C6200" s="46" t="s">
        <v>280</v>
      </c>
      <c r="F6200" s="366" t="s">
        <v>3170</v>
      </c>
      <c r="G6200" s="46" t="s">
        <v>17</v>
      </c>
      <c r="H6200" s="46">
        <v>1</v>
      </c>
      <c r="I6200" s="51">
        <v>4622.28</v>
      </c>
      <c r="J6200" s="281">
        <f>++Tabla4[[#This Row],[Precio Bruto]]*1.16</f>
        <v>5361.8447999999989</v>
      </c>
      <c r="K6200" s="281">
        <f>+Tabla4[[#This Row],[Precio Unitario Neto]]*Tabla4[[#Headers],[20.85%]]</f>
        <v>1117.9446407999997</v>
      </c>
      <c r="L6200" s="282">
        <f>++Tabla4[[#This Row],[Precio Unitario Neto]]-Tabla4[[#This Row],[20.85%]]</f>
        <v>4243.9001591999995</v>
      </c>
      <c r="M6200" s="282" t="e">
        <f>(INDEX(Tabla6[#All],MATCH(Tabla4[[#This Row],[Producto]],Tabla6[[#All],[PRODUCTO]],0),MATCH(Tabla4[[#This Row],[Mes]],Tabla6[#Headers],0)))*(1+Catalogos!$L$2)</f>
        <v>#N/A</v>
      </c>
      <c r="N6200" s="283" t="e">
        <f>+(Tabla4[[#This Row],[Precio Descontado]]-Tabla4[[#This Row],[Precio Base]])*Tabla4[[#This Row],[Cantidad]]</f>
        <v>#N/A</v>
      </c>
      <c r="O6200" s="284" t="e">
        <f>++Tabla4[[#This Row],[Utilidad Total]]/Tabla4[[#This Row],[Total]]</f>
        <v>#N/A</v>
      </c>
      <c r="P6200" s="282">
        <f>++Tabla4[[#This Row],[Precio Descontado]]*Tabla4[[#This Row],[Cantidad]]</f>
        <v>4243.9001591999995</v>
      </c>
      <c r="Q6200" s="282" t="e">
        <f>(INDEX(Tabla6[#All],MATCH(Tabla4[[#This Row],[Producto]],Tabla6[[#All],[PRODUCTO]],0),MATCH(Tabla4[[#This Row],[Mes]],Tabla6[#Headers],0)))</f>
        <v>#N/A</v>
      </c>
      <c r="R6200" s="282" t="e">
        <f>++Tabla4[[#This Row],[Precio Unitario Neto]]-Tabla4[[#This Row],[20.85%]]-Tabla4[[#This Row],[Costo]]</f>
        <v>#N/A</v>
      </c>
      <c r="S6200" s="282" t="e">
        <f>++Tabla4[[#This Row],[U. Bruta Uni]]*Tabla4[[#This Row],[Cantidad]]</f>
        <v>#N/A</v>
      </c>
      <c r="T6200" s="369" t="str">
        <f>VLOOKUP(Tabla4[[#This Row],[Producto]],Tabla6[#All],14,FALSE)</f>
        <v>Termico Solar</v>
      </c>
      <c r="U6200" s="284" t="e">
        <f>(IF(Tabla4[[#This Row],[Familia]]="termico solar",Tabla4[[#This Row],[Utilidad Total]]*6%,Tabla4[[#This Row],[Utilidad Total]]*11.5%))/Tabla4[[#This Row],[Total]]</f>
        <v>#N/A</v>
      </c>
      <c r="V6200" s="282" t="e">
        <f>+Tabla4[[#This Row],[Comisión Calculada]]*Tabla4[[#This Row],[Total]]</f>
        <v>#N/A</v>
      </c>
    </row>
    <row r="6201" spans="1:22" hidden="1" x14ac:dyDescent="0.25">
      <c r="A6201" s="100">
        <v>45930</v>
      </c>
      <c r="B6201" t="str">
        <f t="shared" si="293"/>
        <v>September</v>
      </c>
      <c r="C6201" s="46" t="s">
        <v>280</v>
      </c>
      <c r="F6201" s="366" t="s">
        <v>3170</v>
      </c>
      <c r="G6201" s="46" t="s">
        <v>555</v>
      </c>
      <c r="H6201" s="46">
        <v>8</v>
      </c>
      <c r="I6201" s="51">
        <v>389.47</v>
      </c>
      <c r="J6201" s="281">
        <f>++Tabla4[[#This Row],[Precio Bruto]]*1.16</f>
        <v>451.78519999999997</v>
      </c>
      <c r="K6201" s="281">
        <f>+Tabla4[[#This Row],[Precio Unitario Neto]]*Tabla4[[#Headers],[20.85%]]</f>
        <v>94.197214199999991</v>
      </c>
      <c r="L6201" s="282">
        <f>++Tabla4[[#This Row],[Precio Unitario Neto]]-Tabla4[[#This Row],[20.85%]]</f>
        <v>357.58798579999996</v>
      </c>
      <c r="M6201" s="282" t="e">
        <f>(INDEX(Tabla6[#All],MATCH(Tabla4[[#This Row],[Producto]],Tabla6[[#All],[PRODUCTO]],0),MATCH(Tabla4[[#This Row],[Mes]],Tabla6[#Headers],0)))*(1+Catalogos!$L$2)</f>
        <v>#N/A</v>
      </c>
      <c r="N6201" s="283" t="e">
        <f>+(Tabla4[[#This Row],[Precio Descontado]]-Tabla4[[#This Row],[Precio Base]])*Tabla4[[#This Row],[Cantidad]]</f>
        <v>#N/A</v>
      </c>
      <c r="O6201" s="284" t="e">
        <f>++Tabla4[[#This Row],[Utilidad Total]]/Tabla4[[#This Row],[Total]]</f>
        <v>#N/A</v>
      </c>
      <c r="P6201" s="282">
        <f>++Tabla4[[#This Row],[Precio Descontado]]*Tabla4[[#This Row],[Cantidad]]</f>
        <v>2860.7038863999996</v>
      </c>
      <c r="Q6201" s="282" t="e">
        <f>(INDEX(Tabla6[#All],MATCH(Tabla4[[#This Row],[Producto]],Tabla6[[#All],[PRODUCTO]],0),MATCH(Tabla4[[#This Row],[Mes]],Tabla6[#Headers],0)))</f>
        <v>#N/A</v>
      </c>
      <c r="R6201" s="282" t="e">
        <f>++Tabla4[[#This Row],[Precio Unitario Neto]]-Tabla4[[#This Row],[20.85%]]-Tabla4[[#This Row],[Costo]]</f>
        <v>#N/A</v>
      </c>
      <c r="S6201" s="282" t="e">
        <f>++Tabla4[[#This Row],[U. Bruta Uni]]*Tabla4[[#This Row],[Cantidad]]</f>
        <v>#N/A</v>
      </c>
      <c r="T6201" s="369" t="str">
        <f>VLOOKUP(Tabla4[[#This Row],[Producto]],Tabla6[#All],14,FALSE)</f>
        <v>Termico Solar</v>
      </c>
      <c r="U6201" s="284" t="e">
        <f>(IF(Tabla4[[#This Row],[Familia]]="termico solar",Tabla4[[#This Row],[Utilidad Total]]*6%,Tabla4[[#This Row],[Utilidad Total]]*11.5%))/Tabla4[[#This Row],[Total]]</f>
        <v>#N/A</v>
      </c>
      <c r="V6201" s="282" t="e">
        <f>+Tabla4[[#This Row],[Comisión Calculada]]*Tabla4[[#This Row],[Total]]</f>
        <v>#N/A</v>
      </c>
    </row>
    <row r="6202" spans="1:22" hidden="1" x14ac:dyDescent="0.25">
      <c r="A6202" s="100">
        <v>45930</v>
      </c>
      <c r="B6202" t="str">
        <f t="shared" si="293"/>
        <v>September</v>
      </c>
      <c r="C6202" s="46" t="s">
        <v>280</v>
      </c>
      <c r="F6202" s="366" t="s">
        <v>3170</v>
      </c>
      <c r="G6202" s="46" t="s">
        <v>208</v>
      </c>
      <c r="H6202" s="46">
        <v>4</v>
      </c>
      <c r="I6202" s="51">
        <v>189.75</v>
      </c>
      <c r="J6202" s="281">
        <f>++Tabla4[[#This Row],[Precio Bruto]]*1.16</f>
        <v>220.10999999999999</v>
      </c>
      <c r="K6202" s="281">
        <f>+Tabla4[[#This Row],[Precio Unitario Neto]]*Tabla4[[#Headers],[20.85%]]</f>
        <v>45.892934999999994</v>
      </c>
      <c r="L6202" s="282">
        <f>++Tabla4[[#This Row],[Precio Unitario Neto]]-Tabla4[[#This Row],[20.85%]]</f>
        <v>174.21706499999999</v>
      </c>
      <c r="M6202" s="282" t="e">
        <f>(INDEX(Tabla6[#All],MATCH(Tabla4[[#This Row],[Producto]],Tabla6[[#All],[PRODUCTO]],0),MATCH(Tabla4[[#This Row],[Mes]],Tabla6[#Headers],0)))*(1+Catalogos!$L$2)</f>
        <v>#N/A</v>
      </c>
      <c r="N6202" s="283" t="e">
        <f>+(Tabla4[[#This Row],[Precio Descontado]]-Tabla4[[#This Row],[Precio Base]])*Tabla4[[#This Row],[Cantidad]]</f>
        <v>#N/A</v>
      </c>
      <c r="O6202" s="284" t="e">
        <f>++Tabla4[[#This Row],[Utilidad Total]]/Tabla4[[#This Row],[Total]]</f>
        <v>#N/A</v>
      </c>
      <c r="P6202" s="282">
        <f>++Tabla4[[#This Row],[Precio Descontado]]*Tabla4[[#This Row],[Cantidad]]</f>
        <v>696.86825999999996</v>
      </c>
      <c r="Q6202" s="282" t="e">
        <f>(INDEX(Tabla6[#All],MATCH(Tabla4[[#This Row],[Producto]],Tabla6[[#All],[PRODUCTO]],0),MATCH(Tabla4[[#This Row],[Mes]],Tabla6[#Headers],0)))</f>
        <v>#N/A</v>
      </c>
      <c r="R6202" s="282" t="e">
        <f>++Tabla4[[#This Row],[Precio Unitario Neto]]-Tabla4[[#This Row],[20.85%]]-Tabla4[[#This Row],[Costo]]</f>
        <v>#N/A</v>
      </c>
      <c r="S6202" s="282" t="e">
        <f>++Tabla4[[#This Row],[U. Bruta Uni]]*Tabla4[[#This Row],[Cantidad]]</f>
        <v>#N/A</v>
      </c>
      <c r="T6202" s="369" t="str">
        <f>VLOOKUP(Tabla4[[#This Row],[Producto]],Tabla6[#All],14,FALSE)</f>
        <v>Termico Solar</v>
      </c>
      <c r="U6202" s="284" t="e">
        <f>(IF(Tabla4[[#This Row],[Familia]]="termico solar",Tabla4[[#This Row],[Utilidad Total]]*6%,Tabla4[[#This Row],[Utilidad Total]]*11.5%))/Tabla4[[#This Row],[Total]]</f>
        <v>#N/A</v>
      </c>
      <c r="V6202" s="282" t="e">
        <f>+Tabla4[[#This Row],[Comisión Calculada]]*Tabla4[[#This Row],[Total]]</f>
        <v>#N/A</v>
      </c>
    </row>
    <row r="6203" spans="1:22" hidden="1" x14ac:dyDescent="0.25">
      <c r="A6203" s="100">
        <v>45930</v>
      </c>
      <c r="B6203" t="str">
        <f t="shared" si="293"/>
        <v>September</v>
      </c>
      <c r="C6203" s="46" t="s">
        <v>280</v>
      </c>
      <c r="F6203" s="366" t="s">
        <v>3171</v>
      </c>
      <c r="G6203" s="46" t="s">
        <v>16</v>
      </c>
      <c r="H6203" s="46">
        <v>1</v>
      </c>
      <c r="I6203" s="51">
        <v>4103.8500000000004</v>
      </c>
      <c r="J6203" s="281">
        <f>++Tabla4[[#This Row],[Precio Bruto]]*1.16</f>
        <v>4760.4660000000003</v>
      </c>
      <c r="K6203" s="281">
        <f>+Tabla4[[#This Row],[Precio Unitario Neto]]*Tabla4[[#Headers],[20.85%]]</f>
        <v>992.55716100000006</v>
      </c>
      <c r="L6203" s="282">
        <f>++Tabla4[[#This Row],[Precio Unitario Neto]]-Tabla4[[#This Row],[20.85%]]</f>
        <v>3767.9088390000002</v>
      </c>
      <c r="M6203" s="282" t="e">
        <f>(INDEX(Tabla6[#All],MATCH(Tabla4[[#This Row],[Producto]],Tabla6[[#All],[PRODUCTO]],0),MATCH(Tabla4[[#This Row],[Mes]],Tabla6[#Headers],0)))*(1+Catalogos!$L$2)</f>
        <v>#N/A</v>
      </c>
      <c r="N6203" s="283" t="e">
        <f>+(Tabla4[[#This Row],[Precio Descontado]]-Tabla4[[#This Row],[Precio Base]])*Tabla4[[#This Row],[Cantidad]]</f>
        <v>#N/A</v>
      </c>
      <c r="O6203" s="284" t="e">
        <f>++Tabla4[[#This Row],[Utilidad Total]]/Tabla4[[#This Row],[Total]]</f>
        <v>#N/A</v>
      </c>
      <c r="P6203" s="282">
        <f>++Tabla4[[#This Row],[Precio Descontado]]*Tabla4[[#This Row],[Cantidad]]</f>
        <v>3767.9088390000002</v>
      </c>
      <c r="Q6203" s="282" t="e">
        <f>(INDEX(Tabla6[#All],MATCH(Tabla4[[#This Row],[Producto]],Tabla6[[#All],[PRODUCTO]],0),MATCH(Tabla4[[#This Row],[Mes]],Tabla6[#Headers],0)))</f>
        <v>#N/A</v>
      </c>
      <c r="R6203" s="282" t="e">
        <f>++Tabla4[[#This Row],[Precio Unitario Neto]]-Tabla4[[#This Row],[20.85%]]-Tabla4[[#This Row],[Costo]]</f>
        <v>#N/A</v>
      </c>
      <c r="S6203" s="282" t="e">
        <f>++Tabla4[[#This Row],[U. Bruta Uni]]*Tabla4[[#This Row],[Cantidad]]</f>
        <v>#N/A</v>
      </c>
      <c r="T6203" s="369" t="str">
        <f>VLOOKUP(Tabla4[[#This Row],[Producto]],Tabla6[#All],14,FALSE)</f>
        <v>Termico Solar</v>
      </c>
      <c r="U6203" s="284" t="e">
        <f>(IF(Tabla4[[#This Row],[Familia]]="termico solar",Tabla4[[#This Row],[Utilidad Total]]*6%,Tabla4[[#This Row],[Utilidad Total]]*11.5%))/Tabla4[[#This Row],[Total]]</f>
        <v>#N/A</v>
      </c>
      <c r="V6203" s="282" t="e">
        <f>+Tabla4[[#This Row],[Comisión Calculada]]*Tabla4[[#This Row],[Total]]</f>
        <v>#N/A</v>
      </c>
    </row>
    <row r="6204" spans="1:22" hidden="1" x14ac:dyDescent="0.25">
      <c r="A6204" s="100">
        <v>45930</v>
      </c>
      <c r="B6204" t="str">
        <f t="shared" si="293"/>
        <v>September</v>
      </c>
      <c r="C6204" s="46" t="s">
        <v>280</v>
      </c>
      <c r="F6204" s="366" t="s">
        <v>3172</v>
      </c>
      <c r="G6204" s="46" t="s">
        <v>83</v>
      </c>
      <c r="H6204" s="46">
        <v>1</v>
      </c>
      <c r="I6204" s="51">
        <v>8858.76</v>
      </c>
      <c r="J6204" s="281">
        <f>++Tabla4[[#This Row],[Precio Bruto]]*1.16</f>
        <v>10276.161599999999</v>
      </c>
      <c r="K6204" s="281">
        <f>+Tabla4[[#This Row],[Precio Unitario Neto]]*Tabla4[[#Headers],[20.85%]]</f>
        <v>2142.5796935999997</v>
      </c>
      <c r="L6204" s="282">
        <f>++Tabla4[[#This Row],[Precio Unitario Neto]]-Tabla4[[#This Row],[20.85%]]</f>
        <v>8133.5819063999998</v>
      </c>
      <c r="M6204" s="282" t="e">
        <f>(INDEX(Tabla6[#All],MATCH(Tabla4[[#This Row],[Producto]],Tabla6[[#All],[PRODUCTO]],0),MATCH(Tabla4[[#This Row],[Mes]],Tabla6[#Headers],0)))*(1+Catalogos!$L$2)</f>
        <v>#N/A</v>
      </c>
      <c r="N6204" s="283" t="e">
        <f>+(Tabla4[[#This Row],[Precio Descontado]]-Tabla4[[#This Row],[Precio Base]])*Tabla4[[#This Row],[Cantidad]]</f>
        <v>#N/A</v>
      </c>
      <c r="O6204" s="284" t="e">
        <f>++Tabla4[[#This Row],[Utilidad Total]]/Tabla4[[#This Row],[Total]]</f>
        <v>#N/A</v>
      </c>
      <c r="P6204" s="282">
        <f>++Tabla4[[#This Row],[Precio Descontado]]*Tabla4[[#This Row],[Cantidad]]</f>
        <v>8133.5819063999998</v>
      </c>
      <c r="Q6204" s="282" t="e">
        <f>(INDEX(Tabla6[#All],MATCH(Tabla4[[#This Row],[Producto]],Tabla6[[#All],[PRODUCTO]],0),MATCH(Tabla4[[#This Row],[Mes]],Tabla6[#Headers],0)))</f>
        <v>#N/A</v>
      </c>
      <c r="R6204" s="282" t="e">
        <f>++Tabla4[[#This Row],[Precio Unitario Neto]]-Tabla4[[#This Row],[20.85%]]-Tabla4[[#This Row],[Costo]]</f>
        <v>#N/A</v>
      </c>
      <c r="S6204" s="282" t="e">
        <f>++Tabla4[[#This Row],[U. Bruta Uni]]*Tabla4[[#This Row],[Cantidad]]</f>
        <v>#N/A</v>
      </c>
      <c r="T6204" s="369" t="str">
        <f>VLOOKUP(Tabla4[[#This Row],[Producto]],Tabla6[#All],14,FALSE)</f>
        <v>Termico Solar</v>
      </c>
      <c r="U6204" s="284" t="e">
        <f>(IF(Tabla4[[#This Row],[Familia]]="termico solar",Tabla4[[#This Row],[Utilidad Total]]*6%,Tabla4[[#This Row],[Utilidad Total]]*11.5%))/Tabla4[[#This Row],[Total]]</f>
        <v>#N/A</v>
      </c>
      <c r="V6204" s="282" t="e">
        <f>+Tabla4[[#This Row],[Comisión Calculada]]*Tabla4[[#This Row],[Total]]</f>
        <v>#N/A</v>
      </c>
    </row>
    <row r="6205" spans="1:22" hidden="1" x14ac:dyDescent="0.25">
      <c r="A6205" s="100">
        <v>45930</v>
      </c>
      <c r="B6205" t="str">
        <f t="shared" si="293"/>
        <v>September</v>
      </c>
      <c r="C6205" s="46" t="s">
        <v>280</v>
      </c>
      <c r="F6205" s="366" t="s">
        <v>3172</v>
      </c>
      <c r="G6205" s="46" t="s">
        <v>17</v>
      </c>
      <c r="H6205" s="46">
        <v>1</v>
      </c>
      <c r="I6205" s="51">
        <v>4622.28</v>
      </c>
      <c r="J6205" s="281">
        <f>++Tabla4[[#This Row],[Precio Bruto]]*1.16</f>
        <v>5361.8447999999989</v>
      </c>
      <c r="K6205" s="281">
        <f>+Tabla4[[#This Row],[Precio Unitario Neto]]*Tabla4[[#Headers],[20.85%]]</f>
        <v>1117.9446407999997</v>
      </c>
      <c r="L6205" s="282">
        <f>++Tabla4[[#This Row],[Precio Unitario Neto]]-Tabla4[[#This Row],[20.85%]]</f>
        <v>4243.9001591999995</v>
      </c>
      <c r="M6205" s="282" t="e">
        <f>(INDEX(Tabla6[#All],MATCH(Tabla4[[#This Row],[Producto]],Tabla6[[#All],[PRODUCTO]],0),MATCH(Tabla4[[#This Row],[Mes]],Tabla6[#Headers],0)))*(1+Catalogos!$L$2)</f>
        <v>#N/A</v>
      </c>
      <c r="N6205" s="283" t="e">
        <f>+(Tabla4[[#This Row],[Precio Descontado]]-Tabla4[[#This Row],[Precio Base]])*Tabla4[[#This Row],[Cantidad]]</f>
        <v>#N/A</v>
      </c>
      <c r="O6205" s="284" t="e">
        <f>++Tabla4[[#This Row],[Utilidad Total]]/Tabla4[[#This Row],[Total]]</f>
        <v>#N/A</v>
      </c>
      <c r="P6205" s="282">
        <f>++Tabla4[[#This Row],[Precio Descontado]]*Tabla4[[#This Row],[Cantidad]]</f>
        <v>4243.9001591999995</v>
      </c>
      <c r="Q6205" s="282" t="e">
        <f>(INDEX(Tabla6[#All],MATCH(Tabla4[[#This Row],[Producto]],Tabla6[[#All],[PRODUCTO]],0),MATCH(Tabla4[[#This Row],[Mes]],Tabla6[#Headers],0)))</f>
        <v>#N/A</v>
      </c>
      <c r="R6205" s="282" t="e">
        <f>++Tabla4[[#This Row],[Precio Unitario Neto]]-Tabla4[[#This Row],[20.85%]]-Tabla4[[#This Row],[Costo]]</f>
        <v>#N/A</v>
      </c>
      <c r="S6205" s="282" t="e">
        <f>++Tabla4[[#This Row],[U. Bruta Uni]]*Tabla4[[#This Row],[Cantidad]]</f>
        <v>#N/A</v>
      </c>
      <c r="T6205" s="369" t="str">
        <f>VLOOKUP(Tabla4[[#This Row],[Producto]],Tabla6[#All],14,FALSE)</f>
        <v>Termico Solar</v>
      </c>
      <c r="U6205" s="284" t="e">
        <f>(IF(Tabla4[[#This Row],[Familia]]="termico solar",Tabla4[[#This Row],[Utilidad Total]]*6%,Tabla4[[#This Row],[Utilidad Total]]*11.5%))/Tabla4[[#This Row],[Total]]</f>
        <v>#N/A</v>
      </c>
      <c r="V6205" s="282" t="e">
        <f>+Tabla4[[#This Row],[Comisión Calculada]]*Tabla4[[#This Row],[Total]]</f>
        <v>#N/A</v>
      </c>
    </row>
    <row r="6206" spans="1:22" hidden="1" x14ac:dyDescent="0.25">
      <c r="A6206" s="100">
        <v>45930</v>
      </c>
      <c r="B6206" t="str">
        <f t="shared" si="293"/>
        <v>September</v>
      </c>
      <c r="C6206" s="46" t="s">
        <v>280</v>
      </c>
      <c r="F6206" s="366" t="s">
        <v>3172</v>
      </c>
      <c r="G6206" s="46" t="s">
        <v>16</v>
      </c>
      <c r="H6206" s="46">
        <v>2</v>
      </c>
      <c r="I6206" s="51">
        <v>4103.8500000000004</v>
      </c>
      <c r="J6206" s="281">
        <f>++Tabla4[[#This Row],[Precio Bruto]]*1.16</f>
        <v>4760.4660000000003</v>
      </c>
      <c r="K6206" s="281">
        <f>+Tabla4[[#This Row],[Precio Unitario Neto]]*Tabla4[[#Headers],[20.85%]]</f>
        <v>992.55716100000006</v>
      </c>
      <c r="L6206" s="282">
        <f>++Tabla4[[#This Row],[Precio Unitario Neto]]-Tabla4[[#This Row],[20.85%]]</f>
        <v>3767.9088390000002</v>
      </c>
      <c r="M6206" s="282" t="e">
        <f>(INDEX(Tabla6[#All],MATCH(Tabla4[[#This Row],[Producto]],Tabla6[[#All],[PRODUCTO]],0),MATCH(Tabla4[[#This Row],[Mes]],Tabla6[#Headers],0)))*(1+Catalogos!$L$2)</f>
        <v>#N/A</v>
      </c>
      <c r="N6206" s="283" t="e">
        <f>+(Tabla4[[#This Row],[Precio Descontado]]-Tabla4[[#This Row],[Precio Base]])*Tabla4[[#This Row],[Cantidad]]</f>
        <v>#N/A</v>
      </c>
      <c r="O6206" s="284" t="e">
        <f>++Tabla4[[#This Row],[Utilidad Total]]/Tabla4[[#This Row],[Total]]</f>
        <v>#N/A</v>
      </c>
      <c r="P6206" s="282">
        <f>++Tabla4[[#This Row],[Precio Descontado]]*Tabla4[[#This Row],[Cantidad]]</f>
        <v>7535.8176780000003</v>
      </c>
      <c r="Q6206" s="282" t="e">
        <f>(INDEX(Tabla6[#All],MATCH(Tabla4[[#This Row],[Producto]],Tabla6[[#All],[PRODUCTO]],0),MATCH(Tabla4[[#This Row],[Mes]],Tabla6[#Headers],0)))</f>
        <v>#N/A</v>
      </c>
      <c r="R6206" s="282" t="e">
        <f>++Tabla4[[#This Row],[Precio Unitario Neto]]-Tabla4[[#This Row],[20.85%]]-Tabla4[[#This Row],[Costo]]</f>
        <v>#N/A</v>
      </c>
      <c r="S6206" s="282" t="e">
        <f>++Tabla4[[#This Row],[U. Bruta Uni]]*Tabla4[[#This Row],[Cantidad]]</f>
        <v>#N/A</v>
      </c>
      <c r="T6206" s="369" t="str">
        <f>VLOOKUP(Tabla4[[#This Row],[Producto]],Tabla6[#All],14,FALSE)</f>
        <v>Termico Solar</v>
      </c>
      <c r="U6206" s="284" t="e">
        <f>(IF(Tabla4[[#This Row],[Familia]]="termico solar",Tabla4[[#This Row],[Utilidad Total]]*6%,Tabla4[[#This Row],[Utilidad Total]]*11.5%))/Tabla4[[#This Row],[Total]]</f>
        <v>#N/A</v>
      </c>
      <c r="V6206" s="282" t="e">
        <f>+Tabla4[[#This Row],[Comisión Calculada]]*Tabla4[[#This Row],[Total]]</f>
        <v>#N/A</v>
      </c>
    </row>
    <row r="6207" spans="1:22" hidden="1" x14ac:dyDescent="0.25">
      <c r="A6207" s="100">
        <v>45930</v>
      </c>
      <c r="B6207" t="str">
        <f t="shared" si="293"/>
        <v>September</v>
      </c>
      <c r="C6207" s="46" t="s">
        <v>280</v>
      </c>
      <c r="F6207" s="366" t="s">
        <v>3173</v>
      </c>
      <c r="G6207" s="46" t="s">
        <v>566</v>
      </c>
      <c r="H6207" s="46">
        <v>1</v>
      </c>
      <c r="I6207" s="51">
        <v>2109.4499999999998</v>
      </c>
      <c r="J6207" s="281">
        <f>++Tabla4[[#This Row],[Precio Bruto]]*1.16</f>
        <v>2446.9619999999995</v>
      </c>
      <c r="K6207" s="281">
        <f>+Tabla4[[#This Row],[Precio Unitario Neto]]*Tabla4[[#Headers],[20.85%]]</f>
        <v>510.19157699999988</v>
      </c>
      <c r="L6207" s="282">
        <f>++Tabla4[[#This Row],[Precio Unitario Neto]]-Tabla4[[#This Row],[20.85%]]</f>
        <v>1936.7704229999997</v>
      </c>
      <c r="M6207" s="282" t="e">
        <f>(INDEX(Tabla6[#All],MATCH(Tabla4[[#This Row],[Producto]],Tabla6[[#All],[PRODUCTO]],0),MATCH(Tabla4[[#This Row],[Mes]],Tabla6[#Headers],0)))*(1+Catalogos!$L$2)</f>
        <v>#N/A</v>
      </c>
      <c r="N6207" s="283" t="e">
        <f>+(Tabla4[[#This Row],[Precio Descontado]]-Tabla4[[#This Row],[Precio Base]])*Tabla4[[#This Row],[Cantidad]]</f>
        <v>#N/A</v>
      </c>
      <c r="O6207" s="284" t="e">
        <f>++Tabla4[[#This Row],[Utilidad Total]]/Tabla4[[#This Row],[Total]]</f>
        <v>#N/A</v>
      </c>
      <c r="P6207" s="282">
        <f>++Tabla4[[#This Row],[Precio Descontado]]*Tabla4[[#This Row],[Cantidad]]</f>
        <v>1936.7704229999997</v>
      </c>
      <c r="Q6207" s="282" t="e">
        <f>(INDEX(Tabla6[#All],MATCH(Tabla4[[#This Row],[Producto]],Tabla6[[#All],[PRODUCTO]],0),MATCH(Tabla4[[#This Row],[Mes]],Tabla6[#Headers],0)))</f>
        <v>#N/A</v>
      </c>
      <c r="R6207" s="282" t="e">
        <f>++Tabla4[[#This Row],[Precio Unitario Neto]]-Tabla4[[#This Row],[20.85%]]-Tabla4[[#This Row],[Costo]]</f>
        <v>#N/A</v>
      </c>
      <c r="S6207" s="282" t="e">
        <f>++Tabla4[[#This Row],[U. Bruta Uni]]*Tabla4[[#This Row],[Cantidad]]</f>
        <v>#N/A</v>
      </c>
      <c r="T6207" s="369" t="str">
        <f>VLOOKUP(Tabla4[[#This Row],[Producto]],Tabla6[#All],14,FALSE)</f>
        <v>Termico Solar</v>
      </c>
      <c r="U6207" s="284" t="e">
        <f>(IF(Tabla4[[#This Row],[Familia]]="termico solar",Tabla4[[#This Row],[Utilidad Total]]*6%,Tabla4[[#This Row],[Utilidad Total]]*11.5%))/Tabla4[[#This Row],[Total]]</f>
        <v>#N/A</v>
      </c>
      <c r="V6207" s="282" t="e">
        <f>+Tabla4[[#This Row],[Comisión Calculada]]*Tabla4[[#This Row],[Total]]</f>
        <v>#N/A</v>
      </c>
    </row>
    <row r="6208" spans="1:22" hidden="1" x14ac:dyDescent="0.25">
      <c r="A6208" s="100">
        <v>45930</v>
      </c>
      <c r="B6208" t="str">
        <f t="shared" si="293"/>
        <v>September</v>
      </c>
      <c r="C6208" s="46" t="s">
        <v>280</v>
      </c>
      <c r="F6208" s="366" t="s">
        <v>3173</v>
      </c>
      <c r="G6208" s="46" t="s">
        <v>16</v>
      </c>
      <c r="H6208" s="46">
        <v>1</v>
      </c>
      <c r="I6208" s="51">
        <v>4103.8500000000004</v>
      </c>
      <c r="J6208" s="281">
        <f>++Tabla4[[#This Row],[Precio Bruto]]*1.16</f>
        <v>4760.4660000000003</v>
      </c>
      <c r="K6208" s="281">
        <f>+Tabla4[[#This Row],[Precio Unitario Neto]]*Tabla4[[#Headers],[20.85%]]</f>
        <v>992.55716100000006</v>
      </c>
      <c r="L6208" s="282">
        <f>++Tabla4[[#This Row],[Precio Unitario Neto]]-Tabla4[[#This Row],[20.85%]]</f>
        <v>3767.9088390000002</v>
      </c>
      <c r="M6208" s="282" t="e">
        <f>(INDEX(Tabla6[#All],MATCH(Tabla4[[#This Row],[Producto]],Tabla6[[#All],[PRODUCTO]],0),MATCH(Tabla4[[#This Row],[Mes]],Tabla6[#Headers],0)))*(1+Catalogos!$L$2)</f>
        <v>#N/A</v>
      </c>
      <c r="N6208" s="283" t="e">
        <f>+(Tabla4[[#This Row],[Precio Descontado]]-Tabla4[[#This Row],[Precio Base]])*Tabla4[[#This Row],[Cantidad]]</f>
        <v>#N/A</v>
      </c>
      <c r="O6208" s="284" t="e">
        <f>++Tabla4[[#This Row],[Utilidad Total]]/Tabla4[[#This Row],[Total]]</f>
        <v>#N/A</v>
      </c>
      <c r="P6208" s="282">
        <f>++Tabla4[[#This Row],[Precio Descontado]]*Tabla4[[#This Row],[Cantidad]]</f>
        <v>3767.9088390000002</v>
      </c>
      <c r="Q6208" s="282" t="e">
        <f>(INDEX(Tabla6[#All],MATCH(Tabla4[[#This Row],[Producto]],Tabla6[[#All],[PRODUCTO]],0),MATCH(Tabla4[[#This Row],[Mes]],Tabla6[#Headers],0)))</f>
        <v>#N/A</v>
      </c>
      <c r="R6208" s="282" t="e">
        <f>++Tabla4[[#This Row],[Precio Unitario Neto]]-Tabla4[[#This Row],[20.85%]]-Tabla4[[#This Row],[Costo]]</f>
        <v>#N/A</v>
      </c>
      <c r="S6208" s="282" t="e">
        <f>++Tabla4[[#This Row],[U. Bruta Uni]]*Tabla4[[#This Row],[Cantidad]]</f>
        <v>#N/A</v>
      </c>
      <c r="T6208" s="369" t="str">
        <f>VLOOKUP(Tabla4[[#This Row],[Producto]],Tabla6[#All],14,FALSE)</f>
        <v>Termico Solar</v>
      </c>
      <c r="U6208" s="284" t="e">
        <f>(IF(Tabla4[[#This Row],[Familia]]="termico solar",Tabla4[[#This Row],[Utilidad Total]]*6%,Tabla4[[#This Row],[Utilidad Total]]*11.5%))/Tabla4[[#This Row],[Total]]</f>
        <v>#N/A</v>
      </c>
      <c r="V6208" s="282" t="e">
        <f>+Tabla4[[#This Row],[Comisión Calculada]]*Tabla4[[#This Row],[Total]]</f>
        <v>#N/A</v>
      </c>
    </row>
    <row r="6209" spans="1:22" hidden="1" x14ac:dyDescent="0.25">
      <c r="A6209" s="100">
        <v>45930</v>
      </c>
      <c r="B6209" t="str">
        <f t="shared" si="293"/>
        <v>September</v>
      </c>
      <c r="C6209" s="46" t="s">
        <v>280</v>
      </c>
      <c r="F6209" s="366" t="s">
        <v>3174</v>
      </c>
      <c r="G6209" s="46" t="s">
        <v>17</v>
      </c>
      <c r="H6209" s="46">
        <v>1</v>
      </c>
      <c r="I6209" s="51">
        <v>4622.28</v>
      </c>
      <c r="J6209" s="281">
        <f>++Tabla4[[#This Row],[Precio Bruto]]*1.16</f>
        <v>5361.8447999999989</v>
      </c>
      <c r="K6209" s="281">
        <f>+Tabla4[[#This Row],[Precio Unitario Neto]]*Tabla4[[#Headers],[20.85%]]</f>
        <v>1117.9446407999997</v>
      </c>
      <c r="L6209" s="282">
        <f>++Tabla4[[#This Row],[Precio Unitario Neto]]-Tabla4[[#This Row],[20.85%]]</f>
        <v>4243.9001591999995</v>
      </c>
      <c r="M6209" s="282" t="e">
        <f>(INDEX(Tabla6[#All],MATCH(Tabla4[[#This Row],[Producto]],Tabla6[[#All],[PRODUCTO]],0),MATCH(Tabla4[[#This Row],[Mes]],Tabla6[#Headers],0)))*(1+Catalogos!$L$2)</f>
        <v>#N/A</v>
      </c>
      <c r="N6209" s="283" t="e">
        <f>+(Tabla4[[#This Row],[Precio Descontado]]-Tabla4[[#This Row],[Precio Base]])*Tabla4[[#This Row],[Cantidad]]</f>
        <v>#N/A</v>
      </c>
      <c r="O6209" s="284" t="e">
        <f>++Tabla4[[#This Row],[Utilidad Total]]/Tabla4[[#This Row],[Total]]</f>
        <v>#N/A</v>
      </c>
      <c r="P6209" s="282">
        <f>++Tabla4[[#This Row],[Precio Descontado]]*Tabla4[[#This Row],[Cantidad]]</f>
        <v>4243.9001591999995</v>
      </c>
      <c r="Q6209" s="282" t="e">
        <f>(INDEX(Tabla6[#All],MATCH(Tabla4[[#This Row],[Producto]],Tabla6[[#All],[PRODUCTO]],0),MATCH(Tabla4[[#This Row],[Mes]],Tabla6[#Headers],0)))</f>
        <v>#N/A</v>
      </c>
      <c r="R6209" s="282" t="e">
        <f>++Tabla4[[#This Row],[Precio Unitario Neto]]-Tabla4[[#This Row],[20.85%]]-Tabla4[[#This Row],[Costo]]</f>
        <v>#N/A</v>
      </c>
      <c r="S6209" s="282" t="e">
        <f>++Tabla4[[#This Row],[U. Bruta Uni]]*Tabla4[[#This Row],[Cantidad]]</f>
        <v>#N/A</v>
      </c>
      <c r="T6209" s="369" t="str">
        <f>VLOOKUP(Tabla4[[#This Row],[Producto]],Tabla6[#All],14,FALSE)</f>
        <v>Termico Solar</v>
      </c>
      <c r="U6209" s="284" t="e">
        <f>(IF(Tabla4[[#This Row],[Familia]]="termico solar",Tabla4[[#This Row],[Utilidad Total]]*6%,Tabla4[[#This Row],[Utilidad Total]]*11.5%))/Tabla4[[#This Row],[Total]]</f>
        <v>#N/A</v>
      </c>
      <c r="V6209" s="282" t="e">
        <f>+Tabla4[[#This Row],[Comisión Calculada]]*Tabla4[[#This Row],[Total]]</f>
        <v>#N/A</v>
      </c>
    </row>
    <row r="6210" spans="1:22" hidden="1" x14ac:dyDescent="0.25">
      <c r="A6210" s="100">
        <v>45930</v>
      </c>
      <c r="B6210" t="str">
        <f t="shared" si="293"/>
        <v>September</v>
      </c>
      <c r="C6210" s="46" t="s">
        <v>280</v>
      </c>
      <c r="F6210" s="366" t="s">
        <v>3175</v>
      </c>
      <c r="G6210" s="46" t="s">
        <v>17</v>
      </c>
      <c r="H6210" s="46">
        <v>2</v>
      </c>
      <c r="I6210" s="51">
        <v>4622.28</v>
      </c>
      <c r="J6210" s="281">
        <f>++Tabla4[[#This Row],[Precio Bruto]]*1.16</f>
        <v>5361.8447999999989</v>
      </c>
      <c r="K6210" s="281">
        <f>+Tabla4[[#This Row],[Precio Unitario Neto]]*Tabla4[[#Headers],[20.85%]]</f>
        <v>1117.9446407999997</v>
      </c>
      <c r="L6210" s="282">
        <f>++Tabla4[[#This Row],[Precio Unitario Neto]]-Tabla4[[#This Row],[20.85%]]</f>
        <v>4243.9001591999995</v>
      </c>
      <c r="M6210" s="282" t="e">
        <f>(INDEX(Tabla6[#All],MATCH(Tabla4[[#This Row],[Producto]],Tabla6[[#All],[PRODUCTO]],0),MATCH(Tabla4[[#This Row],[Mes]],Tabla6[#Headers],0)))*(1+Catalogos!$L$2)</f>
        <v>#N/A</v>
      </c>
      <c r="N6210" s="283" t="e">
        <f>+(Tabla4[[#This Row],[Precio Descontado]]-Tabla4[[#This Row],[Precio Base]])*Tabla4[[#This Row],[Cantidad]]</f>
        <v>#N/A</v>
      </c>
      <c r="O6210" s="284" t="e">
        <f>++Tabla4[[#This Row],[Utilidad Total]]/Tabla4[[#This Row],[Total]]</f>
        <v>#N/A</v>
      </c>
      <c r="P6210" s="282">
        <f>++Tabla4[[#This Row],[Precio Descontado]]*Tabla4[[#This Row],[Cantidad]]</f>
        <v>8487.800318399999</v>
      </c>
      <c r="Q6210" s="282" t="e">
        <f>(INDEX(Tabla6[#All],MATCH(Tabla4[[#This Row],[Producto]],Tabla6[[#All],[PRODUCTO]],0),MATCH(Tabla4[[#This Row],[Mes]],Tabla6[#Headers],0)))</f>
        <v>#N/A</v>
      </c>
      <c r="R6210" s="282" t="e">
        <f>++Tabla4[[#This Row],[Precio Unitario Neto]]-Tabla4[[#This Row],[20.85%]]-Tabla4[[#This Row],[Costo]]</f>
        <v>#N/A</v>
      </c>
      <c r="S6210" s="282" t="e">
        <f>++Tabla4[[#This Row],[U. Bruta Uni]]*Tabla4[[#This Row],[Cantidad]]</f>
        <v>#N/A</v>
      </c>
      <c r="T6210" s="369" t="str">
        <f>VLOOKUP(Tabla4[[#This Row],[Producto]],Tabla6[#All],14,FALSE)</f>
        <v>Termico Solar</v>
      </c>
      <c r="U6210" s="284" t="e">
        <f>(IF(Tabla4[[#This Row],[Familia]]="termico solar",Tabla4[[#This Row],[Utilidad Total]]*6%,Tabla4[[#This Row],[Utilidad Total]]*11.5%))/Tabla4[[#This Row],[Total]]</f>
        <v>#N/A</v>
      </c>
      <c r="V6210" s="282" t="e">
        <f>+Tabla4[[#This Row],[Comisión Calculada]]*Tabla4[[#This Row],[Total]]</f>
        <v>#N/A</v>
      </c>
    </row>
    <row r="6211" spans="1:22" hidden="1" x14ac:dyDescent="0.25">
      <c r="A6211" s="100">
        <v>45930</v>
      </c>
      <c r="B6211" t="str">
        <f t="shared" si="293"/>
        <v>September</v>
      </c>
      <c r="C6211" s="46" t="s">
        <v>280</v>
      </c>
      <c r="F6211" s="366" t="s">
        <v>3175</v>
      </c>
      <c r="G6211" s="46" t="s">
        <v>208</v>
      </c>
      <c r="H6211" s="46">
        <v>6</v>
      </c>
      <c r="I6211" s="51">
        <v>189.75</v>
      </c>
      <c r="J6211" s="281">
        <f>++Tabla4[[#This Row],[Precio Bruto]]*1.16</f>
        <v>220.10999999999999</v>
      </c>
      <c r="K6211" s="281">
        <f>+Tabla4[[#This Row],[Precio Unitario Neto]]*Tabla4[[#Headers],[20.85%]]</f>
        <v>45.892934999999994</v>
      </c>
      <c r="L6211" s="282">
        <f>++Tabla4[[#This Row],[Precio Unitario Neto]]-Tabla4[[#This Row],[20.85%]]</f>
        <v>174.21706499999999</v>
      </c>
      <c r="M6211" s="282" t="e">
        <f>(INDEX(Tabla6[#All],MATCH(Tabla4[[#This Row],[Producto]],Tabla6[[#All],[PRODUCTO]],0),MATCH(Tabla4[[#This Row],[Mes]],Tabla6[#Headers],0)))*(1+Catalogos!$L$2)</f>
        <v>#N/A</v>
      </c>
      <c r="N6211" s="283" t="e">
        <f>+(Tabla4[[#This Row],[Precio Descontado]]-Tabla4[[#This Row],[Precio Base]])*Tabla4[[#This Row],[Cantidad]]</f>
        <v>#N/A</v>
      </c>
      <c r="O6211" s="284" t="e">
        <f>++Tabla4[[#This Row],[Utilidad Total]]/Tabla4[[#This Row],[Total]]</f>
        <v>#N/A</v>
      </c>
      <c r="P6211" s="282">
        <f>++Tabla4[[#This Row],[Precio Descontado]]*Tabla4[[#This Row],[Cantidad]]</f>
        <v>1045.3023899999998</v>
      </c>
      <c r="Q6211" s="282" t="e">
        <f>(INDEX(Tabla6[#All],MATCH(Tabla4[[#This Row],[Producto]],Tabla6[[#All],[PRODUCTO]],0),MATCH(Tabla4[[#This Row],[Mes]],Tabla6[#Headers],0)))</f>
        <v>#N/A</v>
      </c>
      <c r="R6211" s="282" t="e">
        <f>++Tabla4[[#This Row],[Precio Unitario Neto]]-Tabla4[[#This Row],[20.85%]]-Tabla4[[#This Row],[Costo]]</f>
        <v>#N/A</v>
      </c>
      <c r="S6211" s="282" t="e">
        <f>++Tabla4[[#This Row],[U. Bruta Uni]]*Tabla4[[#This Row],[Cantidad]]</f>
        <v>#N/A</v>
      </c>
      <c r="T6211" s="369" t="str">
        <f>VLOOKUP(Tabla4[[#This Row],[Producto]],Tabla6[#All],14,FALSE)</f>
        <v>Termico Solar</v>
      </c>
      <c r="U6211" s="284" t="e">
        <f>(IF(Tabla4[[#This Row],[Familia]]="termico solar",Tabla4[[#This Row],[Utilidad Total]]*6%,Tabla4[[#This Row],[Utilidad Total]]*11.5%))/Tabla4[[#This Row],[Total]]</f>
        <v>#N/A</v>
      </c>
      <c r="V6211" s="282" t="e">
        <f>+Tabla4[[#This Row],[Comisión Calculada]]*Tabla4[[#This Row],[Total]]</f>
        <v>#N/A</v>
      </c>
    </row>
    <row r="6212" spans="1:22" hidden="1" x14ac:dyDescent="0.25">
      <c r="A6212" s="100">
        <v>45930</v>
      </c>
      <c r="B6212" t="str">
        <f t="shared" si="293"/>
        <v>September</v>
      </c>
      <c r="C6212" s="46" t="s">
        <v>280</v>
      </c>
      <c r="F6212" s="366" t="s">
        <v>3176</v>
      </c>
      <c r="G6212" s="46" t="s">
        <v>83</v>
      </c>
      <c r="H6212" s="46">
        <v>5</v>
      </c>
      <c r="I6212" s="51">
        <v>8858.76</v>
      </c>
      <c r="J6212" s="281">
        <f>++Tabla4[[#This Row],[Precio Bruto]]*1.16</f>
        <v>10276.161599999999</v>
      </c>
      <c r="K6212" s="281">
        <f>+Tabla4[[#This Row],[Precio Unitario Neto]]*Tabla4[[#Headers],[20.85%]]</f>
        <v>2142.5796935999997</v>
      </c>
      <c r="L6212" s="282">
        <f>++Tabla4[[#This Row],[Precio Unitario Neto]]-Tabla4[[#This Row],[20.85%]]</f>
        <v>8133.5819063999998</v>
      </c>
      <c r="M6212" s="282" t="e">
        <f>(INDEX(Tabla6[#All],MATCH(Tabla4[[#This Row],[Producto]],Tabla6[[#All],[PRODUCTO]],0),MATCH(Tabla4[[#This Row],[Mes]],Tabla6[#Headers],0)))*(1+Catalogos!$L$2)</f>
        <v>#N/A</v>
      </c>
      <c r="N6212" s="283" t="e">
        <f>+(Tabla4[[#This Row],[Precio Descontado]]-Tabla4[[#This Row],[Precio Base]])*Tabla4[[#This Row],[Cantidad]]</f>
        <v>#N/A</v>
      </c>
      <c r="O6212" s="284" t="e">
        <f>++Tabla4[[#This Row],[Utilidad Total]]/Tabla4[[#This Row],[Total]]</f>
        <v>#N/A</v>
      </c>
      <c r="P6212" s="282">
        <f>++Tabla4[[#This Row],[Precio Descontado]]*Tabla4[[#This Row],[Cantidad]]</f>
        <v>40667.909531999998</v>
      </c>
      <c r="Q6212" s="282" t="e">
        <f>(INDEX(Tabla6[#All],MATCH(Tabla4[[#This Row],[Producto]],Tabla6[[#All],[PRODUCTO]],0),MATCH(Tabla4[[#This Row],[Mes]],Tabla6[#Headers],0)))</f>
        <v>#N/A</v>
      </c>
      <c r="R6212" s="282" t="e">
        <f>++Tabla4[[#This Row],[Precio Unitario Neto]]-Tabla4[[#This Row],[20.85%]]-Tabla4[[#This Row],[Costo]]</f>
        <v>#N/A</v>
      </c>
      <c r="S6212" s="282" t="e">
        <f>++Tabla4[[#This Row],[U. Bruta Uni]]*Tabla4[[#This Row],[Cantidad]]</f>
        <v>#N/A</v>
      </c>
      <c r="T6212" s="369" t="str">
        <f>VLOOKUP(Tabla4[[#This Row],[Producto]],Tabla6[#All],14,FALSE)</f>
        <v>Termico Solar</v>
      </c>
      <c r="U6212" s="284" t="e">
        <f>(IF(Tabla4[[#This Row],[Familia]]="termico solar",Tabla4[[#This Row],[Utilidad Total]]*6%,Tabla4[[#This Row],[Utilidad Total]]*11.5%))/Tabla4[[#This Row],[Total]]</f>
        <v>#N/A</v>
      </c>
      <c r="V6212" s="282" t="e">
        <f>+Tabla4[[#This Row],[Comisión Calculada]]*Tabla4[[#This Row],[Total]]</f>
        <v>#N/A</v>
      </c>
    </row>
    <row r="6213" spans="1:22" hidden="1" x14ac:dyDescent="0.25">
      <c r="A6213" s="100">
        <v>45930</v>
      </c>
      <c r="B6213" t="str">
        <f t="shared" si="293"/>
        <v>September</v>
      </c>
      <c r="C6213" s="46" t="s">
        <v>280</v>
      </c>
      <c r="F6213" s="366" t="s">
        <v>3176</v>
      </c>
      <c r="G6213" s="46" t="s">
        <v>16</v>
      </c>
      <c r="H6213" s="46">
        <v>2</v>
      </c>
      <c r="I6213" s="51">
        <v>4103.8500000000004</v>
      </c>
      <c r="J6213" s="281">
        <f>++Tabla4[[#This Row],[Precio Bruto]]*1.16</f>
        <v>4760.4660000000003</v>
      </c>
      <c r="K6213" s="281">
        <f>+Tabla4[[#This Row],[Precio Unitario Neto]]*Tabla4[[#Headers],[20.85%]]</f>
        <v>992.55716100000006</v>
      </c>
      <c r="L6213" s="282">
        <f>++Tabla4[[#This Row],[Precio Unitario Neto]]-Tabla4[[#This Row],[20.85%]]</f>
        <v>3767.9088390000002</v>
      </c>
      <c r="M6213" s="282" t="e">
        <f>(INDEX(Tabla6[#All],MATCH(Tabla4[[#This Row],[Producto]],Tabla6[[#All],[PRODUCTO]],0),MATCH(Tabla4[[#This Row],[Mes]],Tabla6[#Headers],0)))*(1+Catalogos!$L$2)</f>
        <v>#N/A</v>
      </c>
      <c r="N6213" s="283" t="e">
        <f>+(Tabla4[[#This Row],[Precio Descontado]]-Tabla4[[#This Row],[Precio Base]])*Tabla4[[#This Row],[Cantidad]]</f>
        <v>#N/A</v>
      </c>
      <c r="O6213" s="284" t="e">
        <f>++Tabla4[[#This Row],[Utilidad Total]]/Tabla4[[#This Row],[Total]]</f>
        <v>#N/A</v>
      </c>
      <c r="P6213" s="282">
        <f>++Tabla4[[#This Row],[Precio Descontado]]*Tabla4[[#This Row],[Cantidad]]</f>
        <v>7535.8176780000003</v>
      </c>
      <c r="Q6213" s="282" t="e">
        <f>(INDEX(Tabla6[#All],MATCH(Tabla4[[#This Row],[Producto]],Tabla6[[#All],[PRODUCTO]],0),MATCH(Tabla4[[#This Row],[Mes]],Tabla6[#Headers],0)))</f>
        <v>#N/A</v>
      </c>
      <c r="R6213" s="282" t="e">
        <f>++Tabla4[[#This Row],[Precio Unitario Neto]]-Tabla4[[#This Row],[20.85%]]-Tabla4[[#This Row],[Costo]]</f>
        <v>#N/A</v>
      </c>
      <c r="S6213" s="282" t="e">
        <f>++Tabla4[[#This Row],[U. Bruta Uni]]*Tabla4[[#This Row],[Cantidad]]</f>
        <v>#N/A</v>
      </c>
      <c r="T6213" s="369" t="str">
        <f>VLOOKUP(Tabla4[[#This Row],[Producto]],Tabla6[#All],14,FALSE)</f>
        <v>Termico Solar</v>
      </c>
      <c r="U6213" s="284" t="e">
        <f>(IF(Tabla4[[#This Row],[Familia]]="termico solar",Tabla4[[#This Row],[Utilidad Total]]*6%,Tabla4[[#This Row],[Utilidad Total]]*11.5%))/Tabla4[[#This Row],[Total]]</f>
        <v>#N/A</v>
      </c>
      <c r="V6213" s="282" t="e">
        <f>+Tabla4[[#This Row],[Comisión Calculada]]*Tabla4[[#This Row],[Total]]</f>
        <v>#N/A</v>
      </c>
    </row>
    <row r="6214" spans="1:22" hidden="1" x14ac:dyDescent="0.25">
      <c r="A6214" s="100">
        <v>45930</v>
      </c>
      <c r="B6214" t="str">
        <f t="shared" si="293"/>
        <v>September</v>
      </c>
      <c r="C6214" s="46" t="s">
        <v>280</v>
      </c>
      <c r="F6214" s="366" t="s">
        <v>3177</v>
      </c>
      <c r="G6214" s="46" t="s">
        <v>18</v>
      </c>
      <c r="H6214" s="46">
        <v>3</v>
      </c>
      <c r="I6214" s="51">
        <v>5367.6500000000005</v>
      </c>
      <c r="J6214" s="281">
        <f>++Tabla4[[#This Row],[Precio Bruto]]*1.16</f>
        <v>6226.4740000000002</v>
      </c>
      <c r="K6214" s="281">
        <f>+Tabla4[[#This Row],[Precio Unitario Neto]]*Tabla4[[#Headers],[20.85%]]</f>
        <v>1298.2198289999999</v>
      </c>
      <c r="L6214" s="282">
        <f>++Tabla4[[#This Row],[Precio Unitario Neto]]-Tabla4[[#This Row],[20.85%]]</f>
        <v>4928.2541710000005</v>
      </c>
      <c r="M6214" s="282" t="e">
        <f>(INDEX(Tabla6[#All],MATCH(Tabla4[[#This Row],[Producto]],Tabla6[[#All],[PRODUCTO]],0),MATCH(Tabla4[[#This Row],[Mes]],Tabla6[#Headers],0)))*(1+Catalogos!$L$2)</f>
        <v>#N/A</v>
      </c>
      <c r="N6214" s="283" t="e">
        <f>+(Tabla4[[#This Row],[Precio Descontado]]-Tabla4[[#This Row],[Precio Base]])*Tabla4[[#This Row],[Cantidad]]</f>
        <v>#N/A</v>
      </c>
      <c r="O6214" s="284" t="e">
        <f>++Tabla4[[#This Row],[Utilidad Total]]/Tabla4[[#This Row],[Total]]</f>
        <v>#N/A</v>
      </c>
      <c r="P6214" s="282">
        <f>++Tabla4[[#This Row],[Precio Descontado]]*Tabla4[[#This Row],[Cantidad]]</f>
        <v>14784.762513000001</v>
      </c>
      <c r="Q6214" s="282" t="e">
        <f>(INDEX(Tabla6[#All],MATCH(Tabla4[[#This Row],[Producto]],Tabla6[[#All],[PRODUCTO]],0),MATCH(Tabla4[[#This Row],[Mes]],Tabla6[#Headers],0)))</f>
        <v>#N/A</v>
      </c>
      <c r="R6214" s="282" t="e">
        <f>++Tabla4[[#This Row],[Precio Unitario Neto]]-Tabla4[[#This Row],[20.85%]]-Tabla4[[#This Row],[Costo]]</f>
        <v>#N/A</v>
      </c>
      <c r="S6214" s="282" t="e">
        <f>++Tabla4[[#This Row],[U. Bruta Uni]]*Tabla4[[#This Row],[Cantidad]]</f>
        <v>#N/A</v>
      </c>
      <c r="T6214" s="369" t="str">
        <f>VLOOKUP(Tabla4[[#This Row],[Producto]],Tabla6[#All],14,FALSE)</f>
        <v>Termico Solar</v>
      </c>
      <c r="U6214" s="284" t="e">
        <f>(IF(Tabla4[[#This Row],[Familia]]="termico solar",Tabla4[[#This Row],[Utilidad Total]]*6%,Tabla4[[#This Row],[Utilidad Total]]*11.5%))/Tabla4[[#This Row],[Total]]</f>
        <v>#N/A</v>
      </c>
      <c r="V6214" s="282" t="e">
        <f>+Tabla4[[#This Row],[Comisión Calculada]]*Tabla4[[#This Row],[Total]]</f>
        <v>#N/A</v>
      </c>
    </row>
    <row r="6215" spans="1:22" hidden="1" x14ac:dyDescent="0.25">
      <c r="A6215" s="100">
        <v>45930</v>
      </c>
      <c r="B6215" t="str">
        <f t="shared" si="293"/>
        <v>September</v>
      </c>
      <c r="C6215" s="46" t="s">
        <v>280</v>
      </c>
      <c r="F6215" s="366" t="s">
        <v>3177</v>
      </c>
      <c r="G6215" s="46" t="s">
        <v>19</v>
      </c>
      <c r="H6215" s="46">
        <v>1</v>
      </c>
      <c r="I6215" s="51">
        <v>6412.03</v>
      </c>
      <c r="J6215" s="281">
        <f>++Tabla4[[#This Row],[Precio Bruto]]*1.16</f>
        <v>7437.9547999999995</v>
      </c>
      <c r="K6215" s="281">
        <f>+Tabla4[[#This Row],[Precio Unitario Neto]]*Tabla4[[#Headers],[20.85%]]</f>
        <v>1550.8135757999999</v>
      </c>
      <c r="L6215" s="282">
        <f>++Tabla4[[#This Row],[Precio Unitario Neto]]-Tabla4[[#This Row],[20.85%]]</f>
        <v>5887.1412241999997</v>
      </c>
      <c r="M6215" s="282" t="e">
        <f>(INDEX(Tabla6[#All],MATCH(Tabla4[[#This Row],[Producto]],Tabla6[[#All],[PRODUCTO]],0),MATCH(Tabla4[[#This Row],[Mes]],Tabla6[#Headers],0)))*(1+Catalogos!$L$2)</f>
        <v>#N/A</v>
      </c>
      <c r="N6215" s="283" t="e">
        <f>+(Tabla4[[#This Row],[Precio Descontado]]-Tabla4[[#This Row],[Precio Base]])*Tabla4[[#This Row],[Cantidad]]</f>
        <v>#N/A</v>
      </c>
      <c r="O6215" s="284" t="e">
        <f>++Tabla4[[#This Row],[Utilidad Total]]/Tabla4[[#This Row],[Total]]</f>
        <v>#N/A</v>
      </c>
      <c r="P6215" s="282">
        <f>++Tabla4[[#This Row],[Precio Descontado]]*Tabla4[[#This Row],[Cantidad]]</f>
        <v>5887.1412241999997</v>
      </c>
      <c r="Q6215" s="282" t="e">
        <f>(INDEX(Tabla6[#All],MATCH(Tabla4[[#This Row],[Producto]],Tabla6[[#All],[PRODUCTO]],0),MATCH(Tabla4[[#This Row],[Mes]],Tabla6[#Headers],0)))</f>
        <v>#N/A</v>
      </c>
      <c r="R6215" s="282" t="e">
        <f>++Tabla4[[#This Row],[Precio Unitario Neto]]-Tabla4[[#This Row],[20.85%]]-Tabla4[[#This Row],[Costo]]</f>
        <v>#N/A</v>
      </c>
      <c r="S6215" s="282" t="e">
        <f>++Tabla4[[#This Row],[U. Bruta Uni]]*Tabla4[[#This Row],[Cantidad]]</f>
        <v>#N/A</v>
      </c>
      <c r="T6215" s="369" t="str">
        <f>VLOOKUP(Tabla4[[#This Row],[Producto]],Tabla6[#All],14,FALSE)</f>
        <v>Termico Solar</v>
      </c>
      <c r="U6215" s="284" t="e">
        <f>(IF(Tabla4[[#This Row],[Familia]]="termico solar",Tabla4[[#This Row],[Utilidad Total]]*6%,Tabla4[[#This Row],[Utilidad Total]]*11.5%))/Tabla4[[#This Row],[Total]]</f>
        <v>#N/A</v>
      </c>
      <c r="V6215" s="282" t="e">
        <f>+Tabla4[[#This Row],[Comisión Calculada]]*Tabla4[[#This Row],[Total]]</f>
        <v>#N/A</v>
      </c>
    </row>
    <row r="6216" spans="1:22" hidden="1" x14ac:dyDescent="0.25">
      <c r="A6216" s="100">
        <v>45930</v>
      </c>
      <c r="B6216" t="str">
        <f t="shared" si="293"/>
        <v>September</v>
      </c>
      <c r="C6216" s="46" t="s">
        <v>280</v>
      </c>
      <c r="F6216" s="366" t="s">
        <v>3177</v>
      </c>
      <c r="G6216" s="46" t="s">
        <v>208</v>
      </c>
      <c r="H6216" s="46">
        <v>1</v>
      </c>
      <c r="I6216" s="51">
        <v>189.75</v>
      </c>
      <c r="J6216" s="281">
        <f>++Tabla4[[#This Row],[Precio Bruto]]*1.16</f>
        <v>220.10999999999999</v>
      </c>
      <c r="K6216" s="281">
        <f>+Tabla4[[#This Row],[Precio Unitario Neto]]*Tabla4[[#Headers],[20.85%]]</f>
        <v>45.892934999999994</v>
      </c>
      <c r="L6216" s="282">
        <f>++Tabla4[[#This Row],[Precio Unitario Neto]]-Tabla4[[#This Row],[20.85%]]</f>
        <v>174.21706499999999</v>
      </c>
      <c r="M6216" s="282" t="e">
        <f>(INDEX(Tabla6[#All],MATCH(Tabla4[[#This Row],[Producto]],Tabla6[[#All],[PRODUCTO]],0),MATCH(Tabla4[[#This Row],[Mes]],Tabla6[#Headers],0)))*(1+Catalogos!$L$2)</f>
        <v>#N/A</v>
      </c>
      <c r="N6216" s="283" t="e">
        <f>+(Tabla4[[#This Row],[Precio Descontado]]-Tabla4[[#This Row],[Precio Base]])*Tabla4[[#This Row],[Cantidad]]</f>
        <v>#N/A</v>
      </c>
      <c r="O6216" s="284" t="e">
        <f>++Tabla4[[#This Row],[Utilidad Total]]/Tabla4[[#This Row],[Total]]</f>
        <v>#N/A</v>
      </c>
      <c r="P6216" s="282">
        <f>++Tabla4[[#This Row],[Precio Descontado]]*Tabla4[[#This Row],[Cantidad]]</f>
        <v>174.21706499999999</v>
      </c>
      <c r="Q6216" s="282" t="e">
        <f>(INDEX(Tabla6[#All],MATCH(Tabla4[[#This Row],[Producto]],Tabla6[[#All],[PRODUCTO]],0),MATCH(Tabla4[[#This Row],[Mes]],Tabla6[#Headers],0)))</f>
        <v>#N/A</v>
      </c>
      <c r="R6216" s="282" t="e">
        <f>++Tabla4[[#This Row],[Precio Unitario Neto]]-Tabla4[[#This Row],[20.85%]]-Tabla4[[#This Row],[Costo]]</f>
        <v>#N/A</v>
      </c>
      <c r="S6216" s="282" t="e">
        <f>++Tabla4[[#This Row],[U. Bruta Uni]]*Tabla4[[#This Row],[Cantidad]]</f>
        <v>#N/A</v>
      </c>
      <c r="T6216" s="369" t="str">
        <f>VLOOKUP(Tabla4[[#This Row],[Producto]],Tabla6[#All],14,FALSE)</f>
        <v>Termico Solar</v>
      </c>
      <c r="U6216" s="284" t="e">
        <f>(IF(Tabla4[[#This Row],[Familia]]="termico solar",Tabla4[[#This Row],[Utilidad Total]]*6%,Tabla4[[#This Row],[Utilidad Total]]*11.5%))/Tabla4[[#This Row],[Total]]</f>
        <v>#N/A</v>
      </c>
      <c r="V6216" s="282" t="e">
        <f>+Tabla4[[#This Row],[Comisión Calculada]]*Tabla4[[#This Row],[Total]]</f>
        <v>#N/A</v>
      </c>
    </row>
    <row r="6217" spans="1:22" hidden="1" x14ac:dyDescent="0.25">
      <c r="A6217" s="100">
        <v>45930</v>
      </c>
      <c r="B6217" t="str">
        <f t="shared" si="293"/>
        <v>September</v>
      </c>
      <c r="C6217" s="46" t="s">
        <v>280</v>
      </c>
      <c r="F6217" s="366" t="s">
        <v>3178</v>
      </c>
      <c r="G6217" s="46" t="s">
        <v>566</v>
      </c>
      <c r="H6217" s="46">
        <v>1</v>
      </c>
      <c r="I6217" s="51">
        <v>2109.4499999999998</v>
      </c>
      <c r="J6217" s="281">
        <f>++Tabla4[[#This Row],[Precio Bruto]]*1.16</f>
        <v>2446.9619999999995</v>
      </c>
      <c r="K6217" s="281">
        <f>+Tabla4[[#This Row],[Precio Unitario Neto]]*Tabla4[[#Headers],[20.85%]]</f>
        <v>510.19157699999988</v>
      </c>
      <c r="L6217" s="282">
        <f>++Tabla4[[#This Row],[Precio Unitario Neto]]-Tabla4[[#This Row],[20.85%]]</f>
        <v>1936.7704229999997</v>
      </c>
      <c r="M6217" s="282" t="e">
        <f>(INDEX(Tabla6[#All],MATCH(Tabla4[[#This Row],[Producto]],Tabla6[[#All],[PRODUCTO]],0),MATCH(Tabla4[[#This Row],[Mes]],Tabla6[#Headers],0)))*(1+Catalogos!$L$2)</f>
        <v>#N/A</v>
      </c>
      <c r="N6217" s="283" t="e">
        <f>+(Tabla4[[#This Row],[Precio Descontado]]-Tabla4[[#This Row],[Precio Base]])*Tabla4[[#This Row],[Cantidad]]</f>
        <v>#N/A</v>
      </c>
      <c r="O6217" s="284" t="e">
        <f>++Tabla4[[#This Row],[Utilidad Total]]/Tabla4[[#This Row],[Total]]</f>
        <v>#N/A</v>
      </c>
      <c r="P6217" s="282">
        <f>++Tabla4[[#This Row],[Precio Descontado]]*Tabla4[[#This Row],[Cantidad]]</f>
        <v>1936.7704229999997</v>
      </c>
      <c r="Q6217" s="282" t="e">
        <f>(INDEX(Tabla6[#All],MATCH(Tabla4[[#This Row],[Producto]],Tabla6[[#All],[PRODUCTO]],0),MATCH(Tabla4[[#This Row],[Mes]],Tabla6[#Headers],0)))</f>
        <v>#N/A</v>
      </c>
      <c r="R6217" s="282" t="e">
        <f>++Tabla4[[#This Row],[Precio Unitario Neto]]-Tabla4[[#This Row],[20.85%]]-Tabla4[[#This Row],[Costo]]</f>
        <v>#N/A</v>
      </c>
      <c r="S6217" s="282" t="e">
        <f>++Tabla4[[#This Row],[U. Bruta Uni]]*Tabla4[[#This Row],[Cantidad]]</f>
        <v>#N/A</v>
      </c>
      <c r="T6217" s="369" t="str">
        <f>VLOOKUP(Tabla4[[#This Row],[Producto]],Tabla6[#All],14,FALSE)</f>
        <v>Termico Solar</v>
      </c>
      <c r="U6217" s="284" t="e">
        <f>(IF(Tabla4[[#This Row],[Familia]]="termico solar",Tabla4[[#This Row],[Utilidad Total]]*6%,Tabla4[[#This Row],[Utilidad Total]]*11.5%))/Tabla4[[#This Row],[Total]]</f>
        <v>#N/A</v>
      </c>
      <c r="V6217" s="282" t="e">
        <f>+Tabla4[[#This Row],[Comisión Calculada]]*Tabla4[[#This Row],[Total]]</f>
        <v>#N/A</v>
      </c>
    </row>
    <row r="6218" spans="1:22" hidden="1" x14ac:dyDescent="0.25">
      <c r="A6218" s="100">
        <v>45930</v>
      </c>
      <c r="B6218" t="str">
        <f t="shared" si="293"/>
        <v>September</v>
      </c>
      <c r="C6218" s="46" t="s">
        <v>280</v>
      </c>
      <c r="F6218" s="366" t="s">
        <v>3179</v>
      </c>
      <c r="G6218" s="46" t="s">
        <v>17</v>
      </c>
      <c r="H6218" s="46">
        <v>2</v>
      </c>
      <c r="I6218" s="51">
        <v>4622.28</v>
      </c>
      <c r="J6218" s="281">
        <f>++Tabla4[[#This Row],[Precio Bruto]]*1.16</f>
        <v>5361.8447999999989</v>
      </c>
      <c r="K6218" s="281">
        <f>+Tabla4[[#This Row],[Precio Unitario Neto]]*Tabla4[[#Headers],[20.85%]]</f>
        <v>1117.9446407999997</v>
      </c>
      <c r="L6218" s="282">
        <f>++Tabla4[[#This Row],[Precio Unitario Neto]]-Tabla4[[#This Row],[20.85%]]</f>
        <v>4243.9001591999995</v>
      </c>
      <c r="M6218" s="282" t="e">
        <f>(INDEX(Tabla6[#All],MATCH(Tabla4[[#This Row],[Producto]],Tabla6[[#All],[PRODUCTO]],0),MATCH(Tabla4[[#This Row],[Mes]],Tabla6[#Headers],0)))*(1+Catalogos!$L$2)</f>
        <v>#N/A</v>
      </c>
      <c r="N6218" s="283" t="e">
        <f>+(Tabla4[[#This Row],[Precio Descontado]]-Tabla4[[#This Row],[Precio Base]])*Tabla4[[#This Row],[Cantidad]]</f>
        <v>#N/A</v>
      </c>
      <c r="O6218" s="284" t="e">
        <f>++Tabla4[[#This Row],[Utilidad Total]]/Tabla4[[#This Row],[Total]]</f>
        <v>#N/A</v>
      </c>
      <c r="P6218" s="282">
        <f>++Tabla4[[#This Row],[Precio Descontado]]*Tabla4[[#This Row],[Cantidad]]</f>
        <v>8487.800318399999</v>
      </c>
      <c r="Q6218" s="282" t="e">
        <f>(INDEX(Tabla6[#All],MATCH(Tabla4[[#This Row],[Producto]],Tabla6[[#All],[PRODUCTO]],0),MATCH(Tabla4[[#This Row],[Mes]],Tabla6[#Headers],0)))</f>
        <v>#N/A</v>
      </c>
      <c r="R6218" s="282" t="e">
        <f>++Tabla4[[#This Row],[Precio Unitario Neto]]-Tabla4[[#This Row],[20.85%]]-Tabla4[[#This Row],[Costo]]</f>
        <v>#N/A</v>
      </c>
      <c r="S6218" s="282" t="e">
        <f>++Tabla4[[#This Row],[U. Bruta Uni]]*Tabla4[[#This Row],[Cantidad]]</f>
        <v>#N/A</v>
      </c>
      <c r="T6218" s="369" t="str">
        <f>VLOOKUP(Tabla4[[#This Row],[Producto]],Tabla6[#All],14,FALSE)</f>
        <v>Termico Solar</v>
      </c>
      <c r="U6218" s="284" t="e">
        <f>(IF(Tabla4[[#This Row],[Familia]]="termico solar",Tabla4[[#This Row],[Utilidad Total]]*6%,Tabla4[[#This Row],[Utilidad Total]]*11.5%))/Tabla4[[#This Row],[Total]]</f>
        <v>#N/A</v>
      </c>
      <c r="V6218" s="282" t="e">
        <f>+Tabla4[[#This Row],[Comisión Calculada]]*Tabla4[[#This Row],[Total]]</f>
        <v>#N/A</v>
      </c>
    </row>
    <row r="6219" spans="1:22" hidden="1" x14ac:dyDescent="0.25">
      <c r="A6219" s="100">
        <v>45930</v>
      </c>
      <c r="B6219" t="str">
        <f t="shared" si="293"/>
        <v>September</v>
      </c>
      <c r="C6219" s="46" t="s">
        <v>280</v>
      </c>
      <c r="F6219" s="366" t="s">
        <v>3179</v>
      </c>
      <c r="G6219" s="46" t="s">
        <v>16</v>
      </c>
      <c r="H6219" s="46">
        <v>1</v>
      </c>
      <c r="I6219" s="51">
        <v>4103.8500000000004</v>
      </c>
      <c r="J6219" s="281">
        <f>++Tabla4[[#This Row],[Precio Bruto]]*1.16</f>
        <v>4760.4660000000003</v>
      </c>
      <c r="K6219" s="281">
        <f>+Tabla4[[#This Row],[Precio Unitario Neto]]*Tabla4[[#Headers],[20.85%]]</f>
        <v>992.55716100000006</v>
      </c>
      <c r="L6219" s="282">
        <f>++Tabla4[[#This Row],[Precio Unitario Neto]]-Tabla4[[#This Row],[20.85%]]</f>
        <v>3767.9088390000002</v>
      </c>
      <c r="M6219" s="282" t="e">
        <f>(INDEX(Tabla6[#All],MATCH(Tabla4[[#This Row],[Producto]],Tabla6[[#All],[PRODUCTO]],0),MATCH(Tabla4[[#This Row],[Mes]],Tabla6[#Headers],0)))*(1+Catalogos!$L$2)</f>
        <v>#N/A</v>
      </c>
      <c r="N6219" s="283" t="e">
        <f>+(Tabla4[[#This Row],[Precio Descontado]]-Tabla4[[#This Row],[Precio Base]])*Tabla4[[#This Row],[Cantidad]]</f>
        <v>#N/A</v>
      </c>
      <c r="O6219" s="284" t="e">
        <f>++Tabla4[[#This Row],[Utilidad Total]]/Tabla4[[#This Row],[Total]]</f>
        <v>#N/A</v>
      </c>
      <c r="P6219" s="282">
        <f>++Tabla4[[#This Row],[Precio Descontado]]*Tabla4[[#This Row],[Cantidad]]</f>
        <v>3767.9088390000002</v>
      </c>
      <c r="Q6219" s="282" t="e">
        <f>(INDEX(Tabla6[#All],MATCH(Tabla4[[#This Row],[Producto]],Tabla6[[#All],[PRODUCTO]],0),MATCH(Tabla4[[#This Row],[Mes]],Tabla6[#Headers],0)))</f>
        <v>#N/A</v>
      </c>
      <c r="R6219" s="282" t="e">
        <f>++Tabla4[[#This Row],[Precio Unitario Neto]]-Tabla4[[#This Row],[20.85%]]-Tabla4[[#This Row],[Costo]]</f>
        <v>#N/A</v>
      </c>
      <c r="S6219" s="282" t="e">
        <f>++Tabla4[[#This Row],[U. Bruta Uni]]*Tabla4[[#This Row],[Cantidad]]</f>
        <v>#N/A</v>
      </c>
      <c r="T6219" s="369" t="str">
        <f>VLOOKUP(Tabla4[[#This Row],[Producto]],Tabla6[#All],14,FALSE)</f>
        <v>Termico Solar</v>
      </c>
      <c r="U6219" s="284" t="e">
        <f>(IF(Tabla4[[#This Row],[Familia]]="termico solar",Tabla4[[#This Row],[Utilidad Total]]*6%,Tabla4[[#This Row],[Utilidad Total]]*11.5%))/Tabla4[[#This Row],[Total]]</f>
        <v>#N/A</v>
      </c>
      <c r="V6219" s="282" t="e">
        <f>+Tabla4[[#This Row],[Comisión Calculada]]*Tabla4[[#This Row],[Total]]</f>
        <v>#N/A</v>
      </c>
    </row>
    <row r="6220" spans="1:22" hidden="1" x14ac:dyDescent="0.25">
      <c r="A6220" s="100">
        <v>45930</v>
      </c>
      <c r="B6220" t="str">
        <f t="shared" si="293"/>
        <v>September</v>
      </c>
      <c r="C6220" s="46" t="s">
        <v>280</v>
      </c>
      <c r="F6220" s="366" t="s">
        <v>3180</v>
      </c>
      <c r="G6220" s="46" t="s">
        <v>17</v>
      </c>
      <c r="H6220" s="46">
        <v>1</v>
      </c>
      <c r="I6220" s="51">
        <v>4622.28</v>
      </c>
      <c r="J6220" s="281">
        <f>++Tabla4[[#This Row],[Precio Bruto]]*1.16</f>
        <v>5361.8447999999989</v>
      </c>
      <c r="K6220" s="281">
        <f>+Tabla4[[#This Row],[Precio Unitario Neto]]*Tabla4[[#Headers],[20.85%]]</f>
        <v>1117.9446407999997</v>
      </c>
      <c r="L6220" s="282">
        <f>++Tabla4[[#This Row],[Precio Unitario Neto]]-Tabla4[[#This Row],[20.85%]]</f>
        <v>4243.9001591999995</v>
      </c>
      <c r="M6220" s="282" t="e">
        <f>(INDEX(Tabla6[#All],MATCH(Tabla4[[#This Row],[Producto]],Tabla6[[#All],[PRODUCTO]],0),MATCH(Tabla4[[#This Row],[Mes]],Tabla6[#Headers],0)))*(1+Catalogos!$L$2)</f>
        <v>#N/A</v>
      </c>
      <c r="N6220" s="283" t="e">
        <f>+(Tabla4[[#This Row],[Precio Descontado]]-Tabla4[[#This Row],[Precio Base]])*Tabla4[[#This Row],[Cantidad]]</f>
        <v>#N/A</v>
      </c>
      <c r="O6220" s="284" t="e">
        <f>++Tabla4[[#This Row],[Utilidad Total]]/Tabla4[[#This Row],[Total]]</f>
        <v>#N/A</v>
      </c>
      <c r="P6220" s="282">
        <f>++Tabla4[[#This Row],[Precio Descontado]]*Tabla4[[#This Row],[Cantidad]]</f>
        <v>4243.9001591999995</v>
      </c>
      <c r="Q6220" s="282" t="e">
        <f>(INDEX(Tabla6[#All],MATCH(Tabla4[[#This Row],[Producto]],Tabla6[[#All],[PRODUCTO]],0),MATCH(Tabla4[[#This Row],[Mes]],Tabla6[#Headers],0)))</f>
        <v>#N/A</v>
      </c>
      <c r="R6220" s="282" t="e">
        <f>++Tabla4[[#This Row],[Precio Unitario Neto]]-Tabla4[[#This Row],[20.85%]]-Tabla4[[#This Row],[Costo]]</f>
        <v>#N/A</v>
      </c>
      <c r="S6220" s="282" t="e">
        <f>++Tabla4[[#This Row],[U. Bruta Uni]]*Tabla4[[#This Row],[Cantidad]]</f>
        <v>#N/A</v>
      </c>
      <c r="T6220" s="369" t="str">
        <f>VLOOKUP(Tabla4[[#This Row],[Producto]],Tabla6[#All],14,FALSE)</f>
        <v>Termico Solar</v>
      </c>
      <c r="U6220" s="284" t="e">
        <f>(IF(Tabla4[[#This Row],[Familia]]="termico solar",Tabla4[[#This Row],[Utilidad Total]]*6%,Tabla4[[#This Row],[Utilidad Total]]*11.5%))/Tabla4[[#This Row],[Total]]</f>
        <v>#N/A</v>
      </c>
      <c r="V6220" s="282" t="e">
        <f>+Tabla4[[#This Row],[Comisión Calculada]]*Tabla4[[#This Row],[Total]]</f>
        <v>#N/A</v>
      </c>
    </row>
    <row r="6221" spans="1:22" hidden="1" x14ac:dyDescent="0.25">
      <c r="A6221" s="100">
        <v>45930</v>
      </c>
      <c r="B6221" t="str">
        <f t="shared" si="293"/>
        <v>September</v>
      </c>
      <c r="C6221" s="46" t="s">
        <v>280</v>
      </c>
      <c r="F6221" s="366" t="s">
        <v>3181</v>
      </c>
      <c r="G6221" s="46" t="s">
        <v>83</v>
      </c>
      <c r="H6221" s="46">
        <v>2</v>
      </c>
      <c r="I6221" s="51">
        <v>8858.76</v>
      </c>
      <c r="J6221" s="281">
        <f>++Tabla4[[#This Row],[Precio Bruto]]*1.16</f>
        <v>10276.161599999999</v>
      </c>
      <c r="K6221" s="281">
        <f>+Tabla4[[#This Row],[Precio Unitario Neto]]*Tabla4[[#Headers],[20.85%]]</f>
        <v>2142.5796935999997</v>
      </c>
      <c r="L6221" s="282">
        <f>++Tabla4[[#This Row],[Precio Unitario Neto]]-Tabla4[[#This Row],[20.85%]]</f>
        <v>8133.5819063999998</v>
      </c>
      <c r="M6221" s="282" t="e">
        <f>(INDEX(Tabla6[#All],MATCH(Tabla4[[#This Row],[Producto]],Tabla6[[#All],[PRODUCTO]],0),MATCH(Tabla4[[#This Row],[Mes]],Tabla6[#Headers],0)))*(1+Catalogos!$L$2)</f>
        <v>#N/A</v>
      </c>
      <c r="N6221" s="283" t="e">
        <f>+(Tabla4[[#This Row],[Precio Descontado]]-Tabla4[[#This Row],[Precio Base]])*Tabla4[[#This Row],[Cantidad]]</f>
        <v>#N/A</v>
      </c>
      <c r="O6221" s="284" t="e">
        <f>++Tabla4[[#This Row],[Utilidad Total]]/Tabla4[[#This Row],[Total]]</f>
        <v>#N/A</v>
      </c>
      <c r="P6221" s="282">
        <f>++Tabla4[[#This Row],[Precio Descontado]]*Tabla4[[#This Row],[Cantidad]]</f>
        <v>16267.1638128</v>
      </c>
      <c r="Q6221" s="282" t="e">
        <f>(INDEX(Tabla6[#All],MATCH(Tabla4[[#This Row],[Producto]],Tabla6[[#All],[PRODUCTO]],0),MATCH(Tabla4[[#This Row],[Mes]],Tabla6[#Headers],0)))</f>
        <v>#N/A</v>
      </c>
      <c r="R6221" s="282" t="e">
        <f>++Tabla4[[#This Row],[Precio Unitario Neto]]-Tabla4[[#This Row],[20.85%]]-Tabla4[[#This Row],[Costo]]</f>
        <v>#N/A</v>
      </c>
      <c r="S6221" s="282" t="e">
        <f>++Tabla4[[#This Row],[U. Bruta Uni]]*Tabla4[[#This Row],[Cantidad]]</f>
        <v>#N/A</v>
      </c>
      <c r="T6221" s="369" t="str">
        <f>VLOOKUP(Tabla4[[#This Row],[Producto]],Tabla6[#All],14,FALSE)</f>
        <v>Termico Solar</v>
      </c>
      <c r="U6221" s="284" t="e">
        <f>(IF(Tabla4[[#This Row],[Familia]]="termico solar",Tabla4[[#This Row],[Utilidad Total]]*6%,Tabla4[[#This Row],[Utilidad Total]]*11.5%))/Tabla4[[#This Row],[Total]]</f>
        <v>#N/A</v>
      </c>
      <c r="V6221" s="282" t="e">
        <f>+Tabla4[[#This Row],[Comisión Calculada]]*Tabla4[[#This Row],[Total]]</f>
        <v>#N/A</v>
      </c>
    </row>
    <row r="6222" spans="1:22" hidden="1" x14ac:dyDescent="0.25">
      <c r="A6222" s="100">
        <v>45930</v>
      </c>
      <c r="B6222" t="str">
        <f t="shared" si="293"/>
        <v>September</v>
      </c>
      <c r="C6222" s="46" t="s">
        <v>280</v>
      </c>
      <c r="F6222" s="366" t="s">
        <v>3181</v>
      </c>
      <c r="G6222" s="46" t="s">
        <v>17</v>
      </c>
      <c r="H6222" s="46">
        <v>2</v>
      </c>
      <c r="I6222" s="51">
        <v>4622.28</v>
      </c>
      <c r="J6222" s="281">
        <f>++Tabla4[[#This Row],[Precio Bruto]]*1.16</f>
        <v>5361.8447999999989</v>
      </c>
      <c r="K6222" s="281">
        <f>+Tabla4[[#This Row],[Precio Unitario Neto]]*Tabla4[[#Headers],[20.85%]]</f>
        <v>1117.9446407999997</v>
      </c>
      <c r="L6222" s="282">
        <f>++Tabla4[[#This Row],[Precio Unitario Neto]]-Tabla4[[#This Row],[20.85%]]</f>
        <v>4243.9001591999995</v>
      </c>
      <c r="M6222" s="282" t="e">
        <f>(INDEX(Tabla6[#All],MATCH(Tabla4[[#This Row],[Producto]],Tabla6[[#All],[PRODUCTO]],0),MATCH(Tabla4[[#This Row],[Mes]],Tabla6[#Headers],0)))*(1+Catalogos!$L$2)</f>
        <v>#N/A</v>
      </c>
      <c r="N6222" s="283" t="e">
        <f>+(Tabla4[[#This Row],[Precio Descontado]]-Tabla4[[#This Row],[Precio Base]])*Tabla4[[#This Row],[Cantidad]]</f>
        <v>#N/A</v>
      </c>
      <c r="O6222" s="284" t="e">
        <f>++Tabla4[[#This Row],[Utilidad Total]]/Tabla4[[#This Row],[Total]]</f>
        <v>#N/A</v>
      </c>
      <c r="P6222" s="282">
        <f>++Tabla4[[#This Row],[Precio Descontado]]*Tabla4[[#This Row],[Cantidad]]</f>
        <v>8487.800318399999</v>
      </c>
      <c r="Q6222" s="282" t="e">
        <f>(INDEX(Tabla6[#All],MATCH(Tabla4[[#This Row],[Producto]],Tabla6[[#All],[PRODUCTO]],0),MATCH(Tabla4[[#This Row],[Mes]],Tabla6[#Headers],0)))</f>
        <v>#N/A</v>
      </c>
      <c r="R6222" s="282" t="e">
        <f>++Tabla4[[#This Row],[Precio Unitario Neto]]-Tabla4[[#This Row],[20.85%]]-Tabla4[[#This Row],[Costo]]</f>
        <v>#N/A</v>
      </c>
      <c r="S6222" s="282" t="e">
        <f>++Tabla4[[#This Row],[U. Bruta Uni]]*Tabla4[[#This Row],[Cantidad]]</f>
        <v>#N/A</v>
      </c>
      <c r="T6222" s="369" t="str">
        <f>VLOOKUP(Tabla4[[#This Row],[Producto]],Tabla6[#All],14,FALSE)</f>
        <v>Termico Solar</v>
      </c>
      <c r="U6222" s="284" t="e">
        <f>(IF(Tabla4[[#This Row],[Familia]]="termico solar",Tabla4[[#This Row],[Utilidad Total]]*6%,Tabla4[[#This Row],[Utilidad Total]]*11.5%))/Tabla4[[#This Row],[Total]]</f>
        <v>#N/A</v>
      </c>
      <c r="V6222" s="282" t="e">
        <f>+Tabla4[[#This Row],[Comisión Calculada]]*Tabla4[[#This Row],[Total]]</f>
        <v>#N/A</v>
      </c>
    </row>
    <row r="6223" spans="1:22" hidden="1" x14ac:dyDescent="0.25">
      <c r="A6223" s="100">
        <v>45930</v>
      </c>
      <c r="B6223" t="str">
        <f t="shared" si="293"/>
        <v>September</v>
      </c>
      <c r="C6223" s="46" t="s">
        <v>280</v>
      </c>
      <c r="F6223" s="366" t="s">
        <v>3181</v>
      </c>
      <c r="G6223" s="46" t="s">
        <v>18</v>
      </c>
      <c r="H6223" s="46">
        <v>1</v>
      </c>
      <c r="I6223" s="51">
        <v>5367.65</v>
      </c>
      <c r="J6223" s="281">
        <f>++Tabla4[[#This Row],[Precio Bruto]]*1.16</f>
        <v>6226.4739999999993</v>
      </c>
      <c r="K6223" s="281">
        <f>+Tabla4[[#This Row],[Precio Unitario Neto]]*Tabla4[[#Headers],[20.85%]]</f>
        <v>1298.2198289999999</v>
      </c>
      <c r="L6223" s="282">
        <f>++Tabla4[[#This Row],[Precio Unitario Neto]]-Tabla4[[#This Row],[20.85%]]</f>
        <v>4928.2541709999996</v>
      </c>
      <c r="M6223" s="282" t="e">
        <f>(INDEX(Tabla6[#All],MATCH(Tabla4[[#This Row],[Producto]],Tabla6[[#All],[PRODUCTO]],0),MATCH(Tabla4[[#This Row],[Mes]],Tabla6[#Headers],0)))*(1+Catalogos!$L$2)</f>
        <v>#N/A</v>
      </c>
      <c r="N6223" s="283" t="e">
        <f>+(Tabla4[[#This Row],[Precio Descontado]]-Tabla4[[#This Row],[Precio Base]])*Tabla4[[#This Row],[Cantidad]]</f>
        <v>#N/A</v>
      </c>
      <c r="O6223" s="284" t="e">
        <f>++Tabla4[[#This Row],[Utilidad Total]]/Tabla4[[#This Row],[Total]]</f>
        <v>#N/A</v>
      </c>
      <c r="P6223" s="282">
        <f>++Tabla4[[#This Row],[Precio Descontado]]*Tabla4[[#This Row],[Cantidad]]</f>
        <v>4928.2541709999996</v>
      </c>
      <c r="Q6223" s="282" t="e">
        <f>(INDEX(Tabla6[#All],MATCH(Tabla4[[#This Row],[Producto]],Tabla6[[#All],[PRODUCTO]],0),MATCH(Tabla4[[#This Row],[Mes]],Tabla6[#Headers],0)))</f>
        <v>#N/A</v>
      </c>
      <c r="R6223" s="282" t="e">
        <f>++Tabla4[[#This Row],[Precio Unitario Neto]]-Tabla4[[#This Row],[20.85%]]-Tabla4[[#This Row],[Costo]]</f>
        <v>#N/A</v>
      </c>
      <c r="S6223" s="282" t="e">
        <f>++Tabla4[[#This Row],[U. Bruta Uni]]*Tabla4[[#This Row],[Cantidad]]</f>
        <v>#N/A</v>
      </c>
      <c r="T6223" s="369" t="str">
        <f>VLOOKUP(Tabla4[[#This Row],[Producto]],Tabla6[#All],14,FALSE)</f>
        <v>Termico Solar</v>
      </c>
      <c r="U6223" s="284" t="e">
        <f>(IF(Tabla4[[#This Row],[Familia]]="termico solar",Tabla4[[#This Row],[Utilidad Total]]*6%,Tabla4[[#This Row],[Utilidad Total]]*11.5%))/Tabla4[[#This Row],[Total]]</f>
        <v>#N/A</v>
      </c>
      <c r="V6223" s="282" t="e">
        <f>+Tabla4[[#This Row],[Comisión Calculada]]*Tabla4[[#This Row],[Total]]</f>
        <v>#N/A</v>
      </c>
    </row>
    <row r="6224" spans="1:22" hidden="1" x14ac:dyDescent="0.25">
      <c r="A6224" s="100">
        <v>45930</v>
      </c>
      <c r="B6224" t="str">
        <f t="shared" si="293"/>
        <v>September</v>
      </c>
      <c r="C6224" s="46" t="s">
        <v>280</v>
      </c>
      <c r="F6224" s="366" t="s">
        <v>3181</v>
      </c>
      <c r="G6224" s="46" t="s">
        <v>566</v>
      </c>
      <c r="H6224" s="46">
        <v>1</v>
      </c>
      <c r="I6224" s="51">
        <v>2109.4499999999998</v>
      </c>
      <c r="J6224" s="281">
        <f>++Tabla4[[#This Row],[Precio Bruto]]*1.16</f>
        <v>2446.9619999999995</v>
      </c>
      <c r="K6224" s="281">
        <f>+Tabla4[[#This Row],[Precio Unitario Neto]]*Tabla4[[#Headers],[20.85%]]</f>
        <v>510.19157699999988</v>
      </c>
      <c r="L6224" s="282">
        <f>++Tabla4[[#This Row],[Precio Unitario Neto]]-Tabla4[[#This Row],[20.85%]]</f>
        <v>1936.7704229999997</v>
      </c>
      <c r="M6224" s="282" t="e">
        <f>(INDEX(Tabla6[#All],MATCH(Tabla4[[#This Row],[Producto]],Tabla6[[#All],[PRODUCTO]],0),MATCH(Tabla4[[#This Row],[Mes]],Tabla6[#Headers],0)))*(1+Catalogos!$L$2)</f>
        <v>#N/A</v>
      </c>
      <c r="N6224" s="283" t="e">
        <f>+(Tabla4[[#This Row],[Precio Descontado]]-Tabla4[[#This Row],[Precio Base]])*Tabla4[[#This Row],[Cantidad]]</f>
        <v>#N/A</v>
      </c>
      <c r="O6224" s="284" t="e">
        <f>++Tabla4[[#This Row],[Utilidad Total]]/Tabla4[[#This Row],[Total]]</f>
        <v>#N/A</v>
      </c>
      <c r="P6224" s="282">
        <f>++Tabla4[[#This Row],[Precio Descontado]]*Tabla4[[#This Row],[Cantidad]]</f>
        <v>1936.7704229999997</v>
      </c>
      <c r="Q6224" s="282" t="e">
        <f>(INDEX(Tabla6[#All],MATCH(Tabla4[[#This Row],[Producto]],Tabla6[[#All],[PRODUCTO]],0),MATCH(Tabla4[[#This Row],[Mes]],Tabla6[#Headers],0)))</f>
        <v>#N/A</v>
      </c>
      <c r="R6224" s="282" t="e">
        <f>++Tabla4[[#This Row],[Precio Unitario Neto]]-Tabla4[[#This Row],[20.85%]]-Tabla4[[#This Row],[Costo]]</f>
        <v>#N/A</v>
      </c>
      <c r="S6224" s="282" t="e">
        <f>++Tabla4[[#This Row],[U. Bruta Uni]]*Tabla4[[#This Row],[Cantidad]]</f>
        <v>#N/A</v>
      </c>
      <c r="T6224" s="369" t="str">
        <f>VLOOKUP(Tabla4[[#This Row],[Producto]],Tabla6[#All],14,FALSE)</f>
        <v>Termico Solar</v>
      </c>
      <c r="U6224" s="284" t="e">
        <f>(IF(Tabla4[[#This Row],[Familia]]="termico solar",Tabla4[[#This Row],[Utilidad Total]]*6%,Tabla4[[#This Row],[Utilidad Total]]*11.5%))/Tabla4[[#This Row],[Total]]</f>
        <v>#N/A</v>
      </c>
      <c r="V6224" s="282" t="e">
        <f>+Tabla4[[#This Row],[Comisión Calculada]]*Tabla4[[#This Row],[Total]]</f>
        <v>#N/A</v>
      </c>
    </row>
    <row r="6225" spans="1:22" hidden="1" x14ac:dyDescent="0.25">
      <c r="A6225" s="100">
        <v>45930</v>
      </c>
      <c r="B6225" t="str">
        <f t="shared" si="293"/>
        <v>September</v>
      </c>
      <c r="C6225" s="46" t="s">
        <v>280</v>
      </c>
      <c r="F6225" s="366" t="s">
        <v>3181</v>
      </c>
      <c r="G6225" s="46" t="s">
        <v>16</v>
      </c>
      <c r="H6225" s="46">
        <v>4</v>
      </c>
      <c r="I6225" s="51">
        <v>4103.8500000000004</v>
      </c>
      <c r="J6225" s="281">
        <f>++Tabla4[[#This Row],[Precio Bruto]]*1.16</f>
        <v>4760.4660000000003</v>
      </c>
      <c r="K6225" s="281">
        <f>+Tabla4[[#This Row],[Precio Unitario Neto]]*Tabla4[[#Headers],[20.85%]]</f>
        <v>992.55716100000006</v>
      </c>
      <c r="L6225" s="282">
        <f>++Tabla4[[#This Row],[Precio Unitario Neto]]-Tabla4[[#This Row],[20.85%]]</f>
        <v>3767.9088390000002</v>
      </c>
      <c r="M6225" s="282" t="e">
        <f>(INDEX(Tabla6[#All],MATCH(Tabla4[[#This Row],[Producto]],Tabla6[[#All],[PRODUCTO]],0),MATCH(Tabla4[[#This Row],[Mes]],Tabla6[#Headers],0)))*(1+Catalogos!$L$2)</f>
        <v>#N/A</v>
      </c>
      <c r="N6225" s="283" t="e">
        <f>+(Tabla4[[#This Row],[Precio Descontado]]-Tabla4[[#This Row],[Precio Base]])*Tabla4[[#This Row],[Cantidad]]</f>
        <v>#N/A</v>
      </c>
      <c r="O6225" s="284" t="e">
        <f>++Tabla4[[#This Row],[Utilidad Total]]/Tabla4[[#This Row],[Total]]</f>
        <v>#N/A</v>
      </c>
      <c r="P6225" s="282">
        <f>++Tabla4[[#This Row],[Precio Descontado]]*Tabla4[[#This Row],[Cantidad]]</f>
        <v>15071.635356000001</v>
      </c>
      <c r="Q6225" s="282" t="e">
        <f>(INDEX(Tabla6[#All],MATCH(Tabla4[[#This Row],[Producto]],Tabla6[[#All],[PRODUCTO]],0),MATCH(Tabla4[[#This Row],[Mes]],Tabla6[#Headers],0)))</f>
        <v>#N/A</v>
      </c>
      <c r="R6225" s="282" t="e">
        <f>++Tabla4[[#This Row],[Precio Unitario Neto]]-Tabla4[[#This Row],[20.85%]]-Tabla4[[#This Row],[Costo]]</f>
        <v>#N/A</v>
      </c>
      <c r="S6225" s="282" t="e">
        <f>++Tabla4[[#This Row],[U. Bruta Uni]]*Tabla4[[#This Row],[Cantidad]]</f>
        <v>#N/A</v>
      </c>
      <c r="T6225" s="369" t="str">
        <f>VLOOKUP(Tabla4[[#This Row],[Producto]],Tabla6[#All],14,FALSE)</f>
        <v>Termico Solar</v>
      </c>
      <c r="U6225" s="284" t="e">
        <f>(IF(Tabla4[[#This Row],[Familia]]="termico solar",Tabla4[[#This Row],[Utilidad Total]]*6%,Tabla4[[#This Row],[Utilidad Total]]*11.5%))/Tabla4[[#This Row],[Total]]</f>
        <v>#N/A</v>
      </c>
      <c r="V6225" s="282" t="e">
        <f>+Tabla4[[#This Row],[Comisión Calculada]]*Tabla4[[#This Row],[Total]]</f>
        <v>#N/A</v>
      </c>
    </row>
    <row r="6226" spans="1:22" hidden="1" x14ac:dyDescent="0.25">
      <c r="A6226" s="100">
        <v>45930</v>
      </c>
      <c r="B6226" t="str">
        <f t="shared" si="293"/>
        <v>September</v>
      </c>
      <c r="C6226" s="46" t="s">
        <v>280</v>
      </c>
      <c r="F6226" s="366" t="s">
        <v>3182</v>
      </c>
      <c r="G6226" s="46" t="s">
        <v>16</v>
      </c>
      <c r="H6226" s="46">
        <v>2</v>
      </c>
      <c r="I6226" s="51">
        <v>4103.8500000000004</v>
      </c>
      <c r="J6226" s="281">
        <f>++Tabla4[[#This Row],[Precio Bruto]]*1.16</f>
        <v>4760.4660000000003</v>
      </c>
      <c r="K6226" s="281">
        <f>+Tabla4[[#This Row],[Precio Unitario Neto]]*Tabla4[[#Headers],[20.85%]]</f>
        <v>992.55716100000006</v>
      </c>
      <c r="L6226" s="282">
        <f>++Tabla4[[#This Row],[Precio Unitario Neto]]-Tabla4[[#This Row],[20.85%]]</f>
        <v>3767.9088390000002</v>
      </c>
      <c r="M6226" s="282" t="e">
        <f>(INDEX(Tabla6[#All],MATCH(Tabla4[[#This Row],[Producto]],Tabla6[[#All],[PRODUCTO]],0),MATCH(Tabla4[[#This Row],[Mes]],Tabla6[#Headers],0)))*(1+Catalogos!$L$2)</f>
        <v>#N/A</v>
      </c>
      <c r="N6226" s="283" t="e">
        <f>+(Tabla4[[#This Row],[Precio Descontado]]-Tabla4[[#This Row],[Precio Base]])*Tabla4[[#This Row],[Cantidad]]</f>
        <v>#N/A</v>
      </c>
      <c r="O6226" s="284" t="e">
        <f>++Tabla4[[#This Row],[Utilidad Total]]/Tabla4[[#This Row],[Total]]</f>
        <v>#N/A</v>
      </c>
      <c r="P6226" s="282">
        <f>++Tabla4[[#This Row],[Precio Descontado]]*Tabla4[[#This Row],[Cantidad]]</f>
        <v>7535.8176780000003</v>
      </c>
      <c r="Q6226" s="282" t="e">
        <f>(INDEX(Tabla6[#All],MATCH(Tabla4[[#This Row],[Producto]],Tabla6[[#All],[PRODUCTO]],0),MATCH(Tabla4[[#This Row],[Mes]],Tabla6[#Headers],0)))</f>
        <v>#N/A</v>
      </c>
      <c r="R6226" s="282" t="e">
        <f>++Tabla4[[#This Row],[Precio Unitario Neto]]-Tabla4[[#This Row],[20.85%]]-Tabla4[[#This Row],[Costo]]</f>
        <v>#N/A</v>
      </c>
      <c r="S6226" s="282" t="e">
        <f>++Tabla4[[#This Row],[U. Bruta Uni]]*Tabla4[[#This Row],[Cantidad]]</f>
        <v>#N/A</v>
      </c>
      <c r="T6226" s="369" t="str">
        <f>VLOOKUP(Tabla4[[#This Row],[Producto]],Tabla6[#All],14,FALSE)</f>
        <v>Termico Solar</v>
      </c>
      <c r="U6226" s="284" t="e">
        <f>(IF(Tabla4[[#This Row],[Familia]]="termico solar",Tabla4[[#This Row],[Utilidad Total]]*6%,Tabla4[[#This Row],[Utilidad Total]]*11.5%))/Tabla4[[#This Row],[Total]]</f>
        <v>#N/A</v>
      </c>
      <c r="V6226" s="282" t="e">
        <f>+Tabla4[[#This Row],[Comisión Calculada]]*Tabla4[[#This Row],[Total]]</f>
        <v>#N/A</v>
      </c>
    </row>
    <row r="6227" spans="1:22" hidden="1" x14ac:dyDescent="0.25">
      <c r="A6227" s="100">
        <v>45930</v>
      </c>
      <c r="B6227" t="str">
        <f t="shared" si="293"/>
        <v>September</v>
      </c>
      <c r="C6227" s="46" t="s">
        <v>280</v>
      </c>
      <c r="F6227" s="366" t="s">
        <v>3183</v>
      </c>
      <c r="G6227" s="46" t="s">
        <v>18</v>
      </c>
      <c r="H6227" s="46">
        <v>1</v>
      </c>
      <c r="I6227" s="51">
        <v>5367.65</v>
      </c>
      <c r="J6227" s="281">
        <f>++Tabla4[[#This Row],[Precio Bruto]]*1.16</f>
        <v>6226.4739999999993</v>
      </c>
      <c r="K6227" s="281">
        <f>+Tabla4[[#This Row],[Precio Unitario Neto]]*Tabla4[[#Headers],[20.85%]]</f>
        <v>1298.2198289999999</v>
      </c>
      <c r="L6227" s="282">
        <f>++Tabla4[[#This Row],[Precio Unitario Neto]]-Tabla4[[#This Row],[20.85%]]</f>
        <v>4928.2541709999996</v>
      </c>
      <c r="M6227" s="282" t="e">
        <f>(INDEX(Tabla6[#All],MATCH(Tabla4[[#This Row],[Producto]],Tabla6[[#All],[PRODUCTO]],0),MATCH(Tabla4[[#This Row],[Mes]],Tabla6[#Headers],0)))*(1+Catalogos!$L$2)</f>
        <v>#N/A</v>
      </c>
      <c r="N6227" s="283" t="e">
        <f>+(Tabla4[[#This Row],[Precio Descontado]]-Tabla4[[#This Row],[Precio Base]])*Tabla4[[#This Row],[Cantidad]]</f>
        <v>#N/A</v>
      </c>
      <c r="O6227" s="284" t="e">
        <f>++Tabla4[[#This Row],[Utilidad Total]]/Tabla4[[#This Row],[Total]]</f>
        <v>#N/A</v>
      </c>
      <c r="P6227" s="282">
        <f>++Tabla4[[#This Row],[Precio Descontado]]*Tabla4[[#This Row],[Cantidad]]</f>
        <v>4928.2541709999996</v>
      </c>
      <c r="Q6227" s="282" t="e">
        <f>(INDEX(Tabla6[#All],MATCH(Tabla4[[#This Row],[Producto]],Tabla6[[#All],[PRODUCTO]],0),MATCH(Tabla4[[#This Row],[Mes]],Tabla6[#Headers],0)))</f>
        <v>#N/A</v>
      </c>
      <c r="R6227" s="282" t="e">
        <f>++Tabla4[[#This Row],[Precio Unitario Neto]]-Tabla4[[#This Row],[20.85%]]-Tabla4[[#This Row],[Costo]]</f>
        <v>#N/A</v>
      </c>
      <c r="S6227" s="282" t="e">
        <f>++Tabla4[[#This Row],[U. Bruta Uni]]*Tabla4[[#This Row],[Cantidad]]</f>
        <v>#N/A</v>
      </c>
      <c r="T6227" s="369" t="str">
        <f>VLOOKUP(Tabla4[[#This Row],[Producto]],Tabla6[#All],14,FALSE)</f>
        <v>Termico Solar</v>
      </c>
      <c r="U6227" s="284" t="e">
        <f>(IF(Tabla4[[#This Row],[Familia]]="termico solar",Tabla4[[#This Row],[Utilidad Total]]*6%,Tabla4[[#This Row],[Utilidad Total]]*11.5%))/Tabla4[[#This Row],[Total]]</f>
        <v>#N/A</v>
      </c>
      <c r="V6227" s="282" t="e">
        <f>+Tabla4[[#This Row],[Comisión Calculada]]*Tabla4[[#This Row],[Total]]</f>
        <v>#N/A</v>
      </c>
    </row>
    <row r="6228" spans="1:22" hidden="1" x14ac:dyDescent="0.25">
      <c r="A6228" s="100">
        <v>45930</v>
      </c>
      <c r="B6228" t="str">
        <f t="shared" si="293"/>
        <v>September</v>
      </c>
      <c r="C6228" s="46" t="s">
        <v>280</v>
      </c>
      <c r="F6228" s="366" t="s">
        <v>3183</v>
      </c>
      <c r="G6228" s="46" t="s">
        <v>566</v>
      </c>
      <c r="H6228" s="46">
        <v>1</v>
      </c>
      <c r="I6228" s="51">
        <v>2109.4499999999998</v>
      </c>
      <c r="J6228" s="281">
        <f>++Tabla4[[#This Row],[Precio Bruto]]*1.16</f>
        <v>2446.9619999999995</v>
      </c>
      <c r="K6228" s="281">
        <f>+Tabla4[[#This Row],[Precio Unitario Neto]]*Tabla4[[#Headers],[20.85%]]</f>
        <v>510.19157699999988</v>
      </c>
      <c r="L6228" s="282">
        <f>++Tabla4[[#This Row],[Precio Unitario Neto]]-Tabla4[[#This Row],[20.85%]]</f>
        <v>1936.7704229999997</v>
      </c>
      <c r="M6228" s="282" t="e">
        <f>(INDEX(Tabla6[#All],MATCH(Tabla4[[#This Row],[Producto]],Tabla6[[#All],[PRODUCTO]],0),MATCH(Tabla4[[#This Row],[Mes]],Tabla6[#Headers],0)))*(1+Catalogos!$L$2)</f>
        <v>#N/A</v>
      </c>
      <c r="N6228" s="283" t="e">
        <f>+(Tabla4[[#This Row],[Precio Descontado]]-Tabla4[[#This Row],[Precio Base]])*Tabla4[[#This Row],[Cantidad]]</f>
        <v>#N/A</v>
      </c>
      <c r="O6228" s="284" t="e">
        <f>++Tabla4[[#This Row],[Utilidad Total]]/Tabla4[[#This Row],[Total]]</f>
        <v>#N/A</v>
      </c>
      <c r="P6228" s="282">
        <f>++Tabla4[[#This Row],[Precio Descontado]]*Tabla4[[#This Row],[Cantidad]]</f>
        <v>1936.7704229999997</v>
      </c>
      <c r="Q6228" s="282" t="e">
        <f>(INDEX(Tabla6[#All],MATCH(Tabla4[[#This Row],[Producto]],Tabla6[[#All],[PRODUCTO]],0),MATCH(Tabla4[[#This Row],[Mes]],Tabla6[#Headers],0)))</f>
        <v>#N/A</v>
      </c>
      <c r="R6228" s="282" t="e">
        <f>++Tabla4[[#This Row],[Precio Unitario Neto]]-Tabla4[[#This Row],[20.85%]]-Tabla4[[#This Row],[Costo]]</f>
        <v>#N/A</v>
      </c>
      <c r="S6228" s="282" t="e">
        <f>++Tabla4[[#This Row],[U. Bruta Uni]]*Tabla4[[#This Row],[Cantidad]]</f>
        <v>#N/A</v>
      </c>
      <c r="T6228" s="369" t="str">
        <f>VLOOKUP(Tabla4[[#This Row],[Producto]],Tabla6[#All],14,FALSE)</f>
        <v>Termico Solar</v>
      </c>
      <c r="U6228" s="284" t="e">
        <f>(IF(Tabla4[[#This Row],[Familia]]="termico solar",Tabla4[[#This Row],[Utilidad Total]]*6%,Tabla4[[#This Row],[Utilidad Total]]*11.5%))/Tabla4[[#This Row],[Total]]</f>
        <v>#N/A</v>
      </c>
      <c r="V6228" s="282" t="e">
        <f>+Tabla4[[#This Row],[Comisión Calculada]]*Tabla4[[#This Row],[Total]]</f>
        <v>#N/A</v>
      </c>
    </row>
    <row r="6229" spans="1:22" hidden="1" x14ac:dyDescent="0.25">
      <c r="A6229" s="100">
        <v>45930</v>
      </c>
      <c r="B6229" t="str">
        <f t="shared" si="293"/>
        <v>September</v>
      </c>
      <c r="C6229" s="46" t="s">
        <v>280</v>
      </c>
      <c r="F6229" s="366" t="s">
        <v>3184</v>
      </c>
      <c r="G6229" s="46" t="s">
        <v>208</v>
      </c>
      <c r="H6229" s="46">
        <v>4</v>
      </c>
      <c r="I6229" s="51">
        <v>189.75</v>
      </c>
      <c r="J6229" s="281">
        <f>++Tabla4[[#This Row],[Precio Bruto]]*1.16</f>
        <v>220.10999999999999</v>
      </c>
      <c r="K6229" s="281">
        <f>+Tabla4[[#This Row],[Precio Unitario Neto]]*Tabla4[[#Headers],[20.85%]]</f>
        <v>45.892934999999994</v>
      </c>
      <c r="L6229" s="282">
        <f>++Tabla4[[#This Row],[Precio Unitario Neto]]-Tabla4[[#This Row],[20.85%]]</f>
        <v>174.21706499999999</v>
      </c>
      <c r="M6229" s="282" t="e">
        <f>(INDEX(Tabla6[#All],MATCH(Tabla4[[#This Row],[Producto]],Tabla6[[#All],[PRODUCTO]],0),MATCH(Tabla4[[#This Row],[Mes]],Tabla6[#Headers],0)))*(1+Catalogos!$L$2)</f>
        <v>#N/A</v>
      </c>
      <c r="N6229" s="283" t="e">
        <f>+(Tabla4[[#This Row],[Precio Descontado]]-Tabla4[[#This Row],[Precio Base]])*Tabla4[[#This Row],[Cantidad]]</f>
        <v>#N/A</v>
      </c>
      <c r="O6229" s="284" t="e">
        <f>++Tabla4[[#This Row],[Utilidad Total]]/Tabla4[[#This Row],[Total]]</f>
        <v>#N/A</v>
      </c>
      <c r="P6229" s="282">
        <f>++Tabla4[[#This Row],[Precio Descontado]]*Tabla4[[#This Row],[Cantidad]]</f>
        <v>696.86825999999996</v>
      </c>
      <c r="Q6229" s="282" t="e">
        <f>(INDEX(Tabla6[#All],MATCH(Tabla4[[#This Row],[Producto]],Tabla6[[#All],[PRODUCTO]],0),MATCH(Tabla4[[#This Row],[Mes]],Tabla6[#Headers],0)))</f>
        <v>#N/A</v>
      </c>
      <c r="R6229" s="282" t="e">
        <f>++Tabla4[[#This Row],[Precio Unitario Neto]]-Tabla4[[#This Row],[20.85%]]-Tabla4[[#This Row],[Costo]]</f>
        <v>#N/A</v>
      </c>
      <c r="S6229" s="282" t="e">
        <f>++Tabla4[[#This Row],[U. Bruta Uni]]*Tabla4[[#This Row],[Cantidad]]</f>
        <v>#N/A</v>
      </c>
      <c r="T6229" s="369" t="str">
        <f>VLOOKUP(Tabla4[[#This Row],[Producto]],Tabla6[#All],14,FALSE)</f>
        <v>Termico Solar</v>
      </c>
      <c r="U6229" s="284" t="e">
        <f>(IF(Tabla4[[#This Row],[Familia]]="termico solar",Tabla4[[#This Row],[Utilidad Total]]*6%,Tabla4[[#This Row],[Utilidad Total]]*11.5%))/Tabla4[[#This Row],[Total]]</f>
        <v>#N/A</v>
      </c>
      <c r="V6229" s="282" t="e">
        <f>+Tabla4[[#This Row],[Comisión Calculada]]*Tabla4[[#This Row],[Total]]</f>
        <v>#N/A</v>
      </c>
    </row>
    <row r="6230" spans="1:22" hidden="1" x14ac:dyDescent="0.25">
      <c r="A6230" s="100">
        <v>45930</v>
      </c>
      <c r="B6230" t="str">
        <f t="shared" ref="B6230:B6248" si="294">TEXT(A6230, "mmmm")</f>
        <v>September</v>
      </c>
      <c r="C6230" s="46" t="s">
        <v>280</v>
      </c>
      <c r="F6230" s="366" t="s">
        <v>3185</v>
      </c>
      <c r="G6230" s="46" t="s">
        <v>83</v>
      </c>
      <c r="H6230" s="46">
        <v>2</v>
      </c>
      <c r="I6230" s="51">
        <v>8858.76</v>
      </c>
      <c r="J6230" s="281">
        <f>++Tabla4[[#This Row],[Precio Bruto]]*1.16</f>
        <v>10276.161599999999</v>
      </c>
      <c r="K6230" s="281">
        <f>+Tabla4[[#This Row],[Precio Unitario Neto]]*Tabla4[[#Headers],[20.85%]]</f>
        <v>2142.5796935999997</v>
      </c>
      <c r="L6230" s="282">
        <f>++Tabla4[[#This Row],[Precio Unitario Neto]]-Tabla4[[#This Row],[20.85%]]</f>
        <v>8133.5819063999998</v>
      </c>
      <c r="M6230" s="282" t="e">
        <f>(INDEX(Tabla6[#All],MATCH(Tabla4[[#This Row],[Producto]],Tabla6[[#All],[PRODUCTO]],0),MATCH(Tabla4[[#This Row],[Mes]],Tabla6[#Headers],0)))*(1+Catalogos!$L$2)</f>
        <v>#N/A</v>
      </c>
      <c r="N6230" s="283" t="e">
        <f>+(Tabla4[[#This Row],[Precio Descontado]]-Tabla4[[#This Row],[Precio Base]])*Tabla4[[#This Row],[Cantidad]]</f>
        <v>#N/A</v>
      </c>
      <c r="O6230" s="284" t="e">
        <f>++Tabla4[[#This Row],[Utilidad Total]]/Tabla4[[#This Row],[Total]]</f>
        <v>#N/A</v>
      </c>
      <c r="P6230" s="282">
        <f>++Tabla4[[#This Row],[Precio Descontado]]*Tabla4[[#This Row],[Cantidad]]</f>
        <v>16267.1638128</v>
      </c>
      <c r="Q6230" s="282" t="e">
        <f>(INDEX(Tabla6[#All],MATCH(Tabla4[[#This Row],[Producto]],Tabla6[[#All],[PRODUCTO]],0),MATCH(Tabla4[[#This Row],[Mes]],Tabla6[#Headers],0)))</f>
        <v>#N/A</v>
      </c>
      <c r="R6230" s="282" t="e">
        <f>++Tabla4[[#This Row],[Precio Unitario Neto]]-Tabla4[[#This Row],[20.85%]]-Tabla4[[#This Row],[Costo]]</f>
        <v>#N/A</v>
      </c>
      <c r="S6230" s="282" t="e">
        <f>++Tabla4[[#This Row],[U. Bruta Uni]]*Tabla4[[#This Row],[Cantidad]]</f>
        <v>#N/A</v>
      </c>
      <c r="T6230" s="369" t="str">
        <f>VLOOKUP(Tabla4[[#This Row],[Producto]],Tabla6[#All],14,FALSE)</f>
        <v>Termico Solar</v>
      </c>
      <c r="U6230" s="284" t="e">
        <f>(IF(Tabla4[[#This Row],[Familia]]="termico solar",Tabla4[[#This Row],[Utilidad Total]]*6%,Tabla4[[#This Row],[Utilidad Total]]*11.5%))/Tabla4[[#This Row],[Total]]</f>
        <v>#N/A</v>
      </c>
      <c r="V6230" s="282" t="e">
        <f>+Tabla4[[#This Row],[Comisión Calculada]]*Tabla4[[#This Row],[Total]]</f>
        <v>#N/A</v>
      </c>
    </row>
    <row r="6231" spans="1:22" hidden="1" x14ac:dyDescent="0.25">
      <c r="A6231" s="100">
        <v>45930</v>
      </c>
      <c r="B6231" t="str">
        <f t="shared" si="294"/>
        <v>September</v>
      </c>
      <c r="C6231" s="46" t="s">
        <v>280</v>
      </c>
      <c r="F6231" s="366" t="s">
        <v>3186</v>
      </c>
      <c r="G6231" s="46" t="s">
        <v>18</v>
      </c>
      <c r="H6231" s="46">
        <v>1</v>
      </c>
      <c r="I6231" s="51">
        <v>5367.65</v>
      </c>
      <c r="J6231" s="281">
        <f>++Tabla4[[#This Row],[Precio Bruto]]*1.16</f>
        <v>6226.4739999999993</v>
      </c>
      <c r="K6231" s="281">
        <f>+Tabla4[[#This Row],[Precio Unitario Neto]]*Tabla4[[#Headers],[20.85%]]</f>
        <v>1298.2198289999999</v>
      </c>
      <c r="L6231" s="282">
        <f>++Tabla4[[#This Row],[Precio Unitario Neto]]-Tabla4[[#This Row],[20.85%]]</f>
        <v>4928.2541709999996</v>
      </c>
      <c r="M6231" s="282" t="e">
        <f>(INDEX(Tabla6[#All],MATCH(Tabla4[[#This Row],[Producto]],Tabla6[[#All],[PRODUCTO]],0),MATCH(Tabla4[[#This Row],[Mes]],Tabla6[#Headers],0)))*(1+Catalogos!$L$2)</f>
        <v>#N/A</v>
      </c>
      <c r="N6231" s="283" t="e">
        <f>+(Tabla4[[#This Row],[Precio Descontado]]-Tabla4[[#This Row],[Precio Base]])*Tabla4[[#This Row],[Cantidad]]</f>
        <v>#N/A</v>
      </c>
      <c r="O6231" s="284" t="e">
        <f>++Tabla4[[#This Row],[Utilidad Total]]/Tabla4[[#This Row],[Total]]</f>
        <v>#N/A</v>
      </c>
      <c r="P6231" s="282">
        <f>++Tabla4[[#This Row],[Precio Descontado]]*Tabla4[[#This Row],[Cantidad]]</f>
        <v>4928.2541709999996</v>
      </c>
      <c r="Q6231" s="282" t="e">
        <f>(INDEX(Tabla6[#All],MATCH(Tabla4[[#This Row],[Producto]],Tabla6[[#All],[PRODUCTO]],0),MATCH(Tabla4[[#This Row],[Mes]],Tabla6[#Headers],0)))</f>
        <v>#N/A</v>
      </c>
      <c r="R6231" s="282" t="e">
        <f>++Tabla4[[#This Row],[Precio Unitario Neto]]-Tabla4[[#This Row],[20.85%]]-Tabla4[[#This Row],[Costo]]</f>
        <v>#N/A</v>
      </c>
      <c r="S6231" s="282" t="e">
        <f>++Tabla4[[#This Row],[U. Bruta Uni]]*Tabla4[[#This Row],[Cantidad]]</f>
        <v>#N/A</v>
      </c>
      <c r="T6231" s="369" t="str">
        <f>VLOOKUP(Tabla4[[#This Row],[Producto]],Tabla6[#All],14,FALSE)</f>
        <v>Termico Solar</v>
      </c>
      <c r="U6231" s="284" t="e">
        <f>(IF(Tabla4[[#This Row],[Familia]]="termico solar",Tabla4[[#This Row],[Utilidad Total]]*6%,Tabla4[[#This Row],[Utilidad Total]]*11.5%))/Tabla4[[#This Row],[Total]]</f>
        <v>#N/A</v>
      </c>
      <c r="V6231" s="282" t="e">
        <f>+Tabla4[[#This Row],[Comisión Calculada]]*Tabla4[[#This Row],[Total]]</f>
        <v>#N/A</v>
      </c>
    </row>
    <row r="6232" spans="1:22" hidden="1" x14ac:dyDescent="0.25">
      <c r="A6232" s="100">
        <v>45930</v>
      </c>
      <c r="B6232" t="str">
        <f t="shared" si="294"/>
        <v>September</v>
      </c>
      <c r="C6232" s="46" t="s">
        <v>280</v>
      </c>
      <c r="F6232" s="366" t="s">
        <v>3187</v>
      </c>
      <c r="G6232" s="46" t="s">
        <v>16</v>
      </c>
      <c r="H6232" s="46">
        <v>1</v>
      </c>
      <c r="I6232" s="51">
        <v>4103.8500000000004</v>
      </c>
      <c r="J6232" s="281">
        <f>++Tabla4[[#This Row],[Precio Bruto]]*1.16</f>
        <v>4760.4660000000003</v>
      </c>
      <c r="K6232" s="281">
        <f>+Tabla4[[#This Row],[Precio Unitario Neto]]*Tabla4[[#Headers],[20.85%]]</f>
        <v>992.55716100000006</v>
      </c>
      <c r="L6232" s="282">
        <f>++Tabla4[[#This Row],[Precio Unitario Neto]]-Tabla4[[#This Row],[20.85%]]</f>
        <v>3767.9088390000002</v>
      </c>
      <c r="M6232" s="282" t="e">
        <f>(INDEX(Tabla6[#All],MATCH(Tabla4[[#This Row],[Producto]],Tabla6[[#All],[PRODUCTO]],0),MATCH(Tabla4[[#This Row],[Mes]],Tabla6[#Headers],0)))*(1+Catalogos!$L$2)</f>
        <v>#N/A</v>
      </c>
      <c r="N6232" s="283" t="e">
        <f>+(Tabla4[[#This Row],[Precio Descontado]]-Tabla4[[#This Row],[Precio Base]])*Tabla4[[#This Row],[Cantidad]]</f>
        <v>#N/A</v>
      </c>
      <c r="O6232" s="284" t="e">
        <f>++Tabla4[[#This Row],[Utilidad Total]]/Tabla4[[#This Row],[Total]]</f>
        <v>#N/A</v>
      </c>
      <c r="P6232" s="282">
        <f>++Tabla4[[#This Row],[Precio Descontado]]*Tabla4[[#This Row],[Cantidad]]</f>
        <v>3767.9088390000002</v>
      </c>
      <c r="Q6232" s="282" t="e">
        <f>(INDEX(Tabla6[#All],MATCH(Tabla4[[#This Row],[Producto]],Tabla6[[#All],[PRODUCTO]],0),MATCH(Tabla4[[#This Row],[Mes]],Tabla6[#Headers],0)))</f>
        <v>#N/A</v>
      </c>
      <c r="R6232" s="282" t="e">
        <f>++Tabla4[[#This Row],[Precio Unitario Neto]]-Tabla4[[#This Row],[20.85%]]-Tabla4[[#This Row],[Costo]]</f>
        <v>#N/A</v>
      </c>
      <c r="S6232" s="282" t="e">
        <f>++Tabla4[[#This Row],[U. Bruta Uni]]*Tabla4[[#This Row],[Cantidad]]</f>
        <v>#N/A</v>
      </c>
      <c r="T6232" s="369" t="str">
        <f>VLOOKUP(Tabla4[[#This Row],[Producto]],Tabla6[#All],14,FALSE)</f>
        <v>Termico Solar</v>
      </c>
      <c r="U6232" s="284" t="e">
        <f>(IF(Tabla4[[#This Row],[Familia]]="termico solar",Tabla4[[#This Row],[Utilidad Total]]*6%,Tabla4[[#This Row],[Utilidad Total]]*11.5%))/Tabla4[[#This Row],[Total]]</f>
        <v>#N/A</v>
      </c>
      <c r="V6232" s="282" t="e">
        <f>+Tabla4[[#This Row],[Comisión Calculada]]*Tabla4[[#This Row],[Total]]</f>
        <v>#N/A</v>
      </c>
    </row>
    <row r="6233" spans="1:22" hidden="1" x14ac:dyDescent="0.25">
      <c r="A6233" s="100">
        <v>45930</v>
      </c>
      <c r="B6233" t="str">
        <f t="shared" si="294"/>
        <v>September</v>
      </c>
      <c r="C6233" s="46" t="s">
        <v>280</v>
      </c>
      <c r="F6233" s="366" t="s">
        <v>3187</v>
      </c>
      <c r="G6233" s="46" t="s">
        <v>208</v>
      </c>
      <c r="H6233" s="46">
        <v>3</v>
      </c>
      <c r="I6233" s="51">
        <v>189.75</v>
      </c>
      <c r="J6233" s="281">
        <f>++Tabla4[[#This Row],[Precio Bruto]]*1.16</f>
        <v>220.10999999999999</v>
      </c>
      <c r="K6233" s="281">
        <f>+Tabla4[[#This Row],[Precio Unitario Neto]]*Tabla4[[#Headers],[20.85%]]</f>
        <v>45.892934999999994</v>
      </c>
      <c r="L6233" s="282">
        <f>++Tabla4[[#This Row],[Precio Unitario Neto]]-Tabla4[[#This Row],[20.85%]]</f>
        <v>174.21706499999999</v>
      </c>
      <c r="M6233" s="282" t="e">
        <f>(INDEX(Tabla6[#All],MATCH(Tabla4[[#This Row],[Producto]],Tabla6[[#All],[PRODUCTO]],0),MATCH(Tabla4[[#This Row],[Mes]],Tabla6[#Headers],0)))*(1+Catalogos!$L$2)</f>
        <v>#N/A</v>
      </c>
      <c r="N6233" s="283" t="e">
        <f>+(Tabla4[[#This Row],[Precio Descontado]]-Tabla4[[#This Row],[Precio Base]])*Tabla4[[#This Row],[Cantidad]]</f>
        <v>#N/A</v>
      </c>
      <c r="O6233" s="284" t="e">
        <f>++Tabla4[[#This Row],[Utilidad Total]]/Tabla4[[#This Row],[Total]]</f>
        <v>#N/A</v>
      </c>
      <c r="P6233" s="282">
        <f>++Tabla4[[#This Row],[Precio Descontado]]*Tabla4[[#This Row],[Cantidad]]</f>
        <v>522.65119499999992</v>
      </c>
      <c r="Q6233" s="282" t="e">
        <f>(INDEX(Tabla6[#All],MATCH(Tabla4[[#This Row],[Producto]],Tabla6[[#All],[PRODUCTO]],0),MATCH(Tabla4[[#This Row],[Mes]],Tabla6[#Headers],0)))</f>
        <v>#N/A</v>
      </c>
      <c r="R6233" s="282" t="e">
        <f>++Tabla4[[#This Row],[Precio Unitario Neto]]-Tabla4[[#This Row],[20.85%]]-Tabla4[[#This Row],[Costo]]</f>
        <v>#N/A</v>
      </c>
      <c r="S6233" s="282" t="e">
        <f>++Tabla4[[#This Row],[U. Bruta Uni]]*Tabla4[[#This Row],[Cantidad]]</f>
        <v>#N/A</v>
      </c>
      <c r="T6233" s="369" t="str">
        <f>VLOOKUP(Tabla4[[#This Row],[Producto]],Tabla6[#All],14,FALSE)</f>
        <v>Termico Solar</v>
      </c>
      <c r="U6233" s="284" t="e">
        <f>(IF(Tabla4[[#This Row],[Familia]]="termico solar",Tabla4[[#This Row],[Utilidad Total]]*6%,Tabla4[[#This Row],[Utilidad Total]]*11.5%))/Tabla4[[#This Row],[Total]]</f>
        <v>#N/A</v>
      </c>
      <c r="V6233" s="282" t="e">
        <f>+Tabla4[[#This Row],[Comisión Calculada]]*Tabla4[[#This Row],[Total]]</f>
        <v>#N/A</v>
      </c>
    </row>
    <row r="6234" spans="1:22" hidden="1" x14ac:dyDescent="0.25">
      <c r="A6234" s="100">
        <v>45930</v>
      </c>
      <c r="B6234" t="str">
        <f t="shared" si="294"/>
        <v>September</v>
      </c>
      <c r="C6234" s="46" t="s">
        <v>280</v>
      </c>
      <c r="F6234" s="366" t="s">
        <v>3188</v>
      </c>
      <c r="G6234" s="46" t="s">
        <v>17</v>
      </c>
      <c r="H6234" s="46">
        <v>1</v>
      </c>
      <c r="I6234" s="51">
        <v>4622.28</v>
      </c>
      <c r="J6234" s="281">
        <f>++Tabla4[[#This Row],[Precio Bruto]]*1.16</f>
        <v>5361.8447999999989</v>
      </c>
      <c r="K6234" s="281">
        <f>+Tabla4[[#This Row],[Precio Unitario Neto]]*Tabla4[[#Headers],[20.85%]]</f>
        <v>1117.9446407999997</v>
      </c>
      <c r="L6234" s="282">
        <f>++Tabla4[[#This Row],[Precio Unitario Neto]]-Tabla4[[#This Row],[20.85%]]</f>
        <v>4243.9001591999995</v>
      </c>
      <c r="M6234" s="282" t="e">
        <f>(INDEX(Tabla6[#All],MATCH(Tabla4[[#This Row],[Producto]],Tabla6[[#All],[PRODUCTO]],0),MATCH(Tabla4[[#This Row],[Mes]],Tabla6[#Headers],0)))*(1+Catalogos!$L$2)</f>
        <v>#N/A</v>
      </c>
      <c r="N6234" s="283" t="e">
        <f>+(Tabla4[[#This Row],[Precio Descontado]]-Tabla4[[#This Row],[Precio Base]])*Tabla4[[#This Row],[Cantidad]]</f>
        <v>#N/A</v>
      </c>
      <c r="O6234" s="284" t="e">
        <f>++Tabla4[[#This Row],[Utilidad Total]]/Tabla4[[#This Row],[Total]]</f>
        <v>#N/A</v>
      </c>
      <c r="P6234" s="282">
        <f>++Tabla4[[#This Row],[Precio Descontado]]*Tabla4[[#This Row],[Cantidad]]</f>
        <v>4243.9001591999995</v>
      </c>
      <c r="Q6234" s="282" t="e">
        <f>(INDEX(Tabla6[#All],MATCH(Tabla4[[#This Row],[Producto]],Tabla6[[#All],[PRODUCTO]],0),MATCH(Tabla4[[#This Row],[Mes]],Tabla6[#Headers],0)))</f>
        <v>#N/A</v>
      </c>
      <c r="R6234" s="282" t="e">
        <f>++Tabla4[[#This Row],[Precio Unitario Neto]]-Tabla4[[#This Row],[20.85%]]-Tabla4[[#This Row],[Costo]]</f>
        <v>#N/A</v>
      </c>
      <c r="S6234" s="282" t="e">
        <f>++Tabla4[[#This Row],[U. Bruta Uni]]*Tabla4[[#This Row],[Cantidad]]</f>
        <v>#N/A</v>
      </c>
      <c r="T6234" s="369" t="str">
        <f>VLOOKUP(Tabla4[[#This Row],[Producto]],Tabla6[#All],14,FALSE)</f>
        <v>Termico Solar</v>
      </c>
      <c r="U6234" s="284" t="e">
        <f>(IF(Tabla4[[#This Row],[Familia]]="termico solar",Tabla4[[#This Row],[Utilidad Total]]*6%,Tabla4[[#This Row],[Utilidad Total]]*11.5%))/Tabla4[[#This Row],[Total]]</f>
        <v>#N/A</v>
      </c>
      <c r="V6234" s="282" t="e">
        <f>+Tabla4[[#This Row],[Comisión Calculada]]*Tabla4[[#This Row],[Total]]</f>
        <v>#N/A</v>
      </c>
    </row>
    <row r="6235" spans="1:22" hidden="1" x14ac:dyDescent="0.25">
      <c r="A6235" s="100">
        <v>45930</v>
      </c>
      <c r="B6235" t="str">
        <f t="shared" si="294"/>
        <v>September</v>
      </c>
      <c r="C6235" s="46" t="s">
        <v>280</v>
      </c>
      <c r="F6235" s="366" t="s">
        <v>3188</v>
      </c>
      <c r="G6235" s="46" t="s">
        <v>18</v>
      </c>
      <c r="H6235" s="46">
        <v>1</v>
      </c>
      <c r="I6235" s="51">
        <v>5367.65</v>
      </c>
      <c r="J6235" s="281">
        <f>++Tabla4[[#This Row],[Precio Bruto]]*1.16</f>
        <v>6226.4739999999993</v>
      </c>
      <c r="K6235" s="281">
        <f>+Tabla4[[#This Row],[Precio Unitario Neto]]*Tabla4[[#Headers],[20.85%]]</f>
        <v>1298.2198289999999</v>
      </c>
      <c r="L6235" s="282">
        <f>++Tabla4[[#This Row],[Precio Unitario Neto]]-Tabla4[[#This Row],[20.85%]]</f>
        <v>4928.2541709999996</v>
      </c>
      <c r="M6235" s="282" t="e">
        <f>(INDEX(Tabla6[#All],MATCH(Tabla4[[#This Row],[Producto]],Tabla6[[#All],[PRODUCTO]],0),MATCH(Tabla4[[#This Row],[Mes]],Tabla6[#Headers],0)))*(1+Catalogos!$L$2)</f>
        <v>#N/A</v>
      </c>
      <c r="N6235" s="283" t="e">
        <f>+(Tabla4[[#This Row],[Precio Descontado]]-Tabla4[[#This Row],[Precio Base]])*Tabla4[[#This Row],[Cantidad]]</f>
        <v>#N/A</v>
      </c>
      <c r="O6235" s="284" t="e">
        <f>++Tabla4[[#This Row],[Utilidad Total]]/Tabla4[[#This Row],[Total]]</f>
        <v>#N/A</v>
      </c>
      <c r="P6235" s="282">
        <f>++Tabla4[[#This Row],[Precio Descontado]]*Tabla4[[#This Row],[Cantidad]]</f>
        <v>4928.2541709999996</v>
      </c>
      <c r="Q6235" s="282" t="e">
        <f>(INDEX(Tabla6[#All],MATCH(Tabla4[[#This Row],[Producto]],Tabla6[[#All],[PRODUCTO]],0),MATCH(Tabla4[[#This Row],[Mes]],Tabla6[#Headers],0)))</f>
        <v>#N/A</v>
      </c>
      <c r="R6235" s="282" t="e">
        <f>++Tabla4[[#This Row],[Precio Unitario Neto]]-Tabla4[[#This Row],[20.85%]]-Tabla4[[#This Row],[Costo]]</f>
        <v>#N/A</v>
      </c>
      <c r="S6235" s="282" t="e">
        <f>++Tabla4[[#This Row],[U. Bruta Uni]]*Tabla4[[#This Row],[Cantidad]]</f>
        <v>#N/A</v>
      </c>
      <c r="T6235" s="369" t="str">
        <f>VLOOKUP(Tabla4[[#This Row],[Producto]],Tabla6[#All],14,FALSE)</f>
        <v>Termico Solar</v>
      </c>
      <c r="U6235" s="284" t="e">
        <f>(IF(Tabla4[[#This Row],[Familia]]="termico solar",Tabla4[[#This Row],[Utilidad Total]]*6%,Tabla4[[#This Row],[Utilidad Total]]*11.5%))/Tabla4[[#This Row],[Total]]</f>
        <v>#N/A</v>
      </c>
      <c r="V6235" s="282" t="e">
        <f>+Tabla4[[#This Row],[Comisión Calculada]]*Tabla4[[#This Row],[Total]]</f>
        <v>#N/A</v>
      </c>
    </row>
    <row r="6236" spans="1:22" hidden="1" x14ac:dyDescent="0.25">
      <c r="A6236" s="100">
        <v>45930</v>
      </c>
      <c r="B6236" t="str">
        <f t="shared" si="294"/>
        <v>September</v>
      </c>
      <c r="C6236" s="46" t="s">
        <v>280</v>
      </c>
      <c r="F6236" s="366" t="s">
        <v>3188</v>
      </c>
      <c r="G6236" s="46" t="s">
        <v>16</v>
      </c>
      <c r="H6236" s="46">
        <v>1</v>
      </c>
      <c r="I6236" s="51">
        <v>4103.8500000000004</v>
      </c>
      <c r="J6236" s="281">
        <f>++Tabla4[[#This Row],[Precio Bruto]]*1.16</f>
        <v>4760.4660000000003</v>
      </c>
      <c r="K6236" s="281">
        <f>+Tabla4[[#This Row],[Precio Unitario Neto]]*Tabla4[[#Headers],[20.85%]]</f>
        <v>992.55716100000006</v>
      </c>
      <c r="L6236" s="282">
        <f>++Tabla4[[#This Row],[Precio Unitario Neto]]-Tabla4[[#This Row],[20.85%]]</f>
        <v>3767.9088390000002</v>
      </c>
      <c r="M6236" s="282" t="e">
        <f>(INDEX(Tabla6[#All],MATCH(Tabla4[[#This Row],[Producto]],Tabla6[[#All],[PRODUCTO]],0),MATCH(Tabla4[[#This Row],[Mes]],Tabla6[#Headers],0)))*(1+Catalogos!$L$2)</f>
        <v>#N/A</v>
      </c>
      <c r="N6236" s="283" t="e">
        <f>+(Tabla4[[#This Row],[Precio Descontado]]-Tabla4[[#This Row],[Precio Base]])*Tabla4[[#This Row],[Cantidad]]</f>
        <v>#N/A</v>
      </c>
      <c r="O6236" s="284" t="e">
        <f>++Tabla4[[#This Row],[Utilidad Total]]/Tabla4[[#This Row],[Total]]</f>
        <v>#N/A</v>
      </c>
      <c r="P6236" s="282">
        <f>++Tabla4[[#This Row],[Precio Descontado]]*Tabla4[[#This Row],[Cantidad]]</f>
        <v>3767.9088390000002</v>
      </c>
      <c r="Q6236" s="282" t="e">
        <f>(INDEX(Tabla6[#All],MATCH(Tabla4[[#This Row],[Producto]],Tabla6[[#All],[PRODUCTO]],0),MATCH(Tabla4[[#This Row],[Mes]],Tabla6[#Headers],0)))</f>
        <v>#N/A</v>
      </c>
      <c r="R6236" s="282" t="e">
        <f>++Tabla4[[#This Row],[Precio Unitario Neto]]-Tabla4[[#This Row],[20.85%]]-Tabla4[[#This Row],[Costo]]</f>
        <v>#N/A</v>
      </c>
      <c r="S6236" s="282" t="e">
        <f>++Tabla4[[#This Row],[U. Bruta Uni]]*Tabla4[[#This Row],[Cantidad]]</f>
        <v>#N/A</v>
      </c>
      <c r="T6236" s="369" t="str">
        <f>VLOOKUP(Tabla4[[#This Row],[Producto]],Tabla6[#All],14,FALSE)</f>
        <v>Termico Solar</v>
      </c>
      <c r="U6236" s="284" t="e">
        <f>(IF(Tabla4[[#This Row],[Familia]]="termico solar",Tabla4[[#This Row],[Utilidad Total]]*6%,Tabla4[[#This Row],[Utilidad Total]]*11.5%))/Tabla4[[#This Row],[Total]]</f>
        <v>#N/A</v>
      </c>
      <c r="V6236" s="282" t="e">
        <f>+Tabla4[[#This Row],[Comisión Calculada]]*Tabla4[[#This Row],[Total]]</f>
        <v>#N/A</v>
      </c>
    </row>
    <row r="6237" spans="1:22" hidden="1" x14ac:dyDescent="0.25">
      <c r="A6237" s="100">
        <v>45930</v>
      </c>
      <c r="B6237" t="str">
        <f t="shared" si="294"/>
        <v>September</v>
      </c>
      <c r="C6237" s="46" t="s">
        <v>280</v>
      </c>
      <c r="F6237" s="366" t="s">
        <v>3189</v>
      </c>
      <c r="G6237" s="46" t="s">
        <v>83</v>
      </c>
      <c r="H6237" s="46">
        <v>1</v>
      </c>
      <c r="I6237" s="51">
        <v>8858.76</v>
      </c>
      <c r="J6237" s="281">
        <f>++Tabla4[[#This Row],[Precio Bruto]]*1.16</f>
        <v>10276.161599999999</v>
      </c>
      <c r="K6237" s="281">
        <f>+Tabla4[[#This Row],[Precio Unitario Neto]]*Tabla4[[#Headers],[20.85%]]</f>
        <v>2142.5796935999997</v>
      </c>
      <c r="L6237" s="282">
        <f>++Tabla4[[#This Row],[Precio Unitario Neto]]-Tabla4[[#This Row],[20.85%]]</f>
        <v>8133.5819063999998</v>
      </c>
      <c r="M6237" s="282" t="e">
        <f>(INDEX(Tabla6[#All],MATCH(Tabla4[[#This Row],[Producto]],Tabla6[[#All],[PRODUCTO]],0),MATCH(Tabla4[[#This Row],[Mes]],Tabla6[#Headers],0)))*(1+Catalogos!$L$2)</f>
        <v>#N/A</v>
      </c>
      <c r="N6237" s="283" t="e">
        <f>+(Tabla4[[#This Row],[Precio Descontado]]-Tabla4[[#This Row],[Precio Base]])*Tabla4[[#This Row],[Cantidad]]</f>
        <v>#N/A</v>
      </c>
      <c r="O6237" s="284" t="e">
        <f>++Tabla4[[#This Row],[Utilidad Total]]/Tabla4[[#This Row],[Total]]</f>
        <v>#N/A</v>
      </c>
      <c r="P6237" s="282">
        <f>++Tabla4[[#This Row],[Precio Descontado]]*Tabla4[[#This Row],[Cantidad]]</f>
        <v>8133.5819063999998</v>
      </c>
      <c r="Q6237" s="282" t="e">
        <f>(INDEX(Tabla6[#All],MATCH(Tabla4[[#This Row],[Producto]],Tabla6[[#All],[PRODUCTO]],0),MATCH(Tabla4[[#This Row],[Mes]],Tabla6[#Headers],0)))</f>
        <v>#N/A</v>
      </c>
      <c r="R6237" s="282" t="e">
        <f>++Tabla4[[#This Row],[Precio Unitario Neto]]-Tabla4[[#This Row],[20.85%]]-Tabla4[[#This Row],[Costo]]</f>
        <v>#N/A</v>
      </c>
      <c r="S6237" s="282" t="e">
        <f>++Tabla4[[#This Row],[U. Bruta Uni]]*Tabla4[[#This Row],[Cantidad]]</f>
        <v>#N/A</v>
      </c>
      <c r="T6237" s="369" t="str">
        <f>VLOOKUP(Tabla4[[#This Row],[Producto]],Tabla6[#All],14,FALSE)</f>
        <v>Termico Solar</v>
      </c>
      <c r="U6237" s="284" t="e">
        <f>(IF(Tabla4[[#This Row],[Familia]]="termico solar",Tabla4[[#This Row],[Utilidad Total]]*6%,Tabla4[[#This Row],[Utilidad Total]]*11.5%))/Tabla4[[#This Row],[Total]]</f>
        <v>#N/A</v>
      </c>
      <c r="V6237" s="282" t="e">
        <f>+Tabla4[[#This Row],[Comisión Calculada]]*Tabla4[[#This Row],[Total]]</f>
        <v>#N/A</v>
      </c>
    </row>
    <row r="6238" spans="1:22" hidden="1" x14ac:dyDescent="0.25">
      <c r="A6238" s="100">
        <v>45930</v>
      </c>
      <c r="B6238" t="str">
        <f t="shared" si="294"/>
        <v>September</v>
      </c>
      <c r="C6238" s="46" t="s">
        <v>280</v>
      </c>
      <c r="F6238" s="366" t="s">
        <v>3189</v>
      </c>
      <c r="G6238" s="46" t="s">
        <v>17</v>
      </c>
      <c r="H6238" s="46">
        <v>5</v>
      </c>
      <c r="I6238" s="51">
        <v>4622.2800000000007</v>
      </c>
      <c r="J6238" s="281">
        <f>++Tabla4[[#This Row],[Precio Bruto]]*1.16</f>
        <v>5361.8448000000008</v>
      </c>
      <c r="K6238" s="281">
        <f>+Tabla4[[#This Row],[Precio Unitario Neto]]*Tabla4[[#Headers],[20.85%]]</f>
        <v>1117.9446408000001</v>
      </c>
      <c r="L6238" s="282">
        <f>++Tabla4[[#This Row],[Precio Unitario Neto]]-Tabla4[[#This Row],[20.85%]]</f>
        <v>4243.9001592000004</v>
      </c>
      <c r="M6238" s="282" t="e">
        <f>(INDEX(Tabla6[#All],MATCH(Tabla4[[#This Row],[Producto]],Tabla6[[#All],[PRODUCTO]],0),MATCH(Tabla4[[#This Row],[Mes]],Tabla6[#Headers],0)))*(1+Catalogos!$L$2)</f>
        <v>#N/A</v>
      </c>
      <c r="N6238" s="283" t="e">
        <f>+(Tabla4[[#This Row],[Precio Descontado]]-Tabla4[[#This Row],[Precio Base]])*Tabla4[[#This Row],[Cantidad]]</f>
        <v>#N/A</v>
      </c>
      <c r="O6238" s="284" t="e">
        <f>++Tabla4[[#This Row],[Utilidad Total]]/Tabla4[[#This Row],[Total]]</f>
        <v>#N/A</v>
      </c>
      <c r="P6238" s="282">
        <f>++Tabla4[[#This Row],[Precio Descontado]]*Tabla4[[#This Row],[Cantidad]]</f>
        <v>21219.500796</v>
      </c>
      <c r="Q6238" s="282" t="e">
        <f>(INDEX(Tabla6[#All],MATCH(Tabla4[[#This Row],[Producto]],Tabla6[[#All],[PRODUCTO]],0),MATCH(Tabla4[[#This Row],[Mes]],Tabla6[#Headers],0)))</f>
        <v>#N/A</v>
      </c>
      <c r="R6238" s="282" t="e">
        <f>++Tabla4[[#This Row],[Precio Unitario Neto]]-Tabla4[[#This Row],[20.85%]]-Tabla4[[#This Row],[Costo]]</f>
        <v>#N/A</v>
      </c>
      <c r="S6238" s="282" t="e">
        <f>++Tabla4[[#This Row],[U. Bruta Uni]]*Tabla4[[#This Row],[Cantidad]]</f>
        <v>#N/A</v>
      </c>
      <c r="T6238" s="369" t="str">
        <f>VLOOKUP(Tabla4[[#This Row],[Producto]],Tabla6[#All],14,FALSE)</f>
        <v>Termico Solar</v>
      </c>
      <c r="U6238" s="284" t="e">
        <f>(IF(Tabla4[[#This Row],[Familia]]="termico solar",Tabla4[[#This Row],[Utilidad Total]]*6%,Tabla4[[#This Row],[Utilidad Total]]*11.5%))/Tabla4[[#This Row],[Total]]</f>
        <v>#N/A</v>
      </c>
      <c r="V6238" s="282" t="e">
        <f>+Tabla4[[#This Row],[Comisión Calculada]]*Tabla4[[#This Row],[Total]]</f>
        <v>#N/A</v>
      </c>
    </row>
    <row r="6239" spans="1:22" hidden="1" x14ac:dyDescent="0.25">
      <c r="A6239" s="100">
        <v>45930</v>
      </c>
      <c r="B6239" t="str">
        <f t="shared" si="294"/>
        <v>September</v>
      </c>
      <c r="C6239" s="46" t="s">
        <v>280</v>
      </c>
      <c r="F6239" s="366" t="s">
        <v>3189</v>
      </c>
      <c r="G6239" s="46" t="s">
        <v>566</v>
      </c>
      <c r="H6239" s="46">
        <v>2</v>
      </c>
      <c r="I6239" s="51">
        <v>2109.4499999999998</v>
      </c>
      <c r="J6239" s="281">
        <f>++Tabla4[[#This Row],[Precio Bruto]]*1.16</f>
        <v>2446.9619999999995</v>
      </c>
      <c r="K6239" s="281">
        <f>+Tabla4[[#This Row],[Precio Unitario Neto]]*Tabla4[[#Headers],[20.85%]]</f>
        <v>510.19157699999988</v>
      </c>
      <c r="L6239" s="282">
        <f>++Tabla4[[#This Row],[Precio Unitario Neto]]-Tabla4[[#This Row],[20.85%]]</f>
        <v>1936.7704229999997</v>
      </c>
      <c r="M6239" s="282" t="e">
        <f>(INDEX(Tabla6[#All],MATCH(Tabla4[[#This Row],[Producto]],Tabla6[[#All],[PRODUCTO]],0),MATCH(Tabla4[[#This Row],[Mes]],Tabla6[#Headers],0)))*(1+Catalogos!$L$2)</f>
        <v>#N/A</v>
      </c>
      <c r="N6239" s="283" t="e">
        <f>+(Tabla4[[#This Row],[Precio Descontado]]-Tabla4[[#This Row],[Precio Base]])*Tabla4[[#This Row],[Cantidad]]</f>
        <v>#N/A</v>
      </c>
      <c r="O6239" s="284" t="e">
        <f>++Tabla4[[#This Row],[Utilidad Total]]/Tabla4[[#This Row],[Total]]</f>
        <v>#N/A</v>
      </c>
      <c r="P6239" s="282">
        <f>++Tabla4[[#This Row],[Precio Descontado]]*Tabla4[[#This Row],[Cantidad]]</f>
        <v>3873.5408459999994</v>
      </c>
      <c r="Q6239" s="282" t="e">
        <f>(INDEX(Tabla6[#All],MATCH(Tabla4[[#This Row],[Producto]],Tabla6[[#All],[PRODUCTO]],0),MATCH(Tabla4[[#This Row],[Mes]],Tabla6[#Headers],0)))</f>
        <v>#N/A</v>
      </c>
      <c r="R6239" s="282" t="e">
        <f>++Tabla4[[#This Row],[Precio Unitario Neto]]-Tabla4[[#This Row],[20.85%]]-Tabla4[[#This Row],[Costo]]</f>
        <v>#N/A</v>
      </c>
      <c r="S6239" s="282" t="e">
        <f>++Tabla4[[#This Row],[U. Bruta Uni]]*Tabla4[[#This Row],[Cantidad]]</f>
        <v>#N/A</v>
      </c>
      <c r="T6239" s="369" t="str">
        <f>VLOOKUP(Tabla4[[#This Row],[Producto]],Tabla6[#All],14,FALSE)</f>
        <v>Termico Solar</v>
      </c>
      <c r="U6239" s="284" t="e">
        <f>(IF(Tabla4[[#This Row],[Familia]]="termico solar",Tabla4[[#This Row],[Utilidad Total]]*6%,Tabla4[[#This Row],[Utilidad Total]]*11.5%))/Tabla4[[#This Row],[Total]]</f>
        <v>#N/A</v>
      </c>
      <c r="V6239" s="282" t="e">
        <f>+Tabla4[[#This Row],[Comisión Calculada]]*Tabla4[[#This Row],[Total]]</f>
        <v>#N/A</v>
      </c>
    </row>
    <row r="6240" spans="1:22" hidden="1" x14ac:dyDescent="0.25">
      <c r="A6240" s="100">
        <v>45930</v>
      </c>
      <c r="B6240" t="str">
        <f t="shared" si="294"/>
        <v>September</v>
      </c>
      <c r="C6240" s="46" t="s">
        <v>280</v>
      </c>
      <c r="F6240" s="366" t="s">
        <v>3189</v>
      </c>
      <c r="G6240" s="46" t="s">
        <v>16</v>
      </c>
      <c r="H6240" s="46">
        <v>1</v>
      </c>
      <c r="I6240" s="51">
        <v>4103.8500000000004</v>
      </c>
      <c r="J6240" s="281">
        <f>++Tabla4[[#This Row],[Precio Bruto]]*1.16</f>
        <v>4760.4660000000003</v>
      </c>
      <c r="K6240" s="281">
        <f>+Tabla4[[#This Row],[Precio Unitario Neto]]*Tabla4[[#Headers],[20.85%]]</f>
        <v>992.55716100000006</v>
      </c>
      <c r="L6240" s="282">
        <f>++Tabla4[[#This Row],[Precio Unitario Neto]]-Tabla4[[#This Row],[20.85%]]</f>
        <v>3767.9088390000002</v>
      </c>
      <c r="M6240" s="282" t="e">
        <f>(INDEX(Tabla6[#All],MATCH(Tabla4[[#This Row],[Producto]],Tabla6[[#All],[PRODUCTO]],0),MATCH(Tabla4[[#This Row],[Mes]],Tabla6[#Headers],0)))*(1+Catalogos!$L$2)</f>
        <v>#N/A</v>
      </c>
      <c r="N6240" s="283" t="e">
        <f>+(Tabla4[[#This Row],[Precio Descontado]]-Tabla4[[#This Row],[Precio Base]])*Tabla4[[#This Row],[Cantidad]]</f>
        <v>#N/A</v>
      </c>
      <c r="O6240" s="284" t="e">
        <f>++Tabla4[[#This Row],[Utilidad Total]]/Tabla4[[#This Row],[Total]]</f>
        <v>#N/A</v>
      </c>
      <c r="P6240" s="282">
        <f>++Tabla4[[#This Row],[Precio Descontado]]*Tabla4[[#This Row],[Cantidad]]</f>
        <v>3767.9088390000002</v>
      </c>
      <c r="Q6240" s="282" t="e">
        <f>(INDEX(Tabla6[#All],MATCH(Tabla4[[#This Row],[Producto]],Tabla6[[#All],[PRODUCTO]],0),MATCH(Tabla4[[#This Row],[Mes]],Tabla6[#Headers],0)))</f>
        <v>#N/A</v>
      </c>
      <c r="R6240" s="282" t="e">
        <f>++Tabla4[[#This Row],[Precio Unitario Neto]]-Tabla4[[#This Row],[20.85%]]-Tabla4[[#This Row],[Costo]]</f>
        <v>#N/A</v>
      </c>
      <c r="S6240" s="282" t="e">
        <f>++Tabla4[[#This Row],[U. Bruta Uni]]*Tabla4[[#This Row],[Cantidad]]</f>
        <v>#N/A</v>
      </c>
      <c r="T6240" s="369" t="str">
        <f>VLOOKUP(Tabla4[[#This Row],[Producto]],Tabla6[#All],14,FALSE)</f>
        <v>Termico Solar</v>
      </c>
      <c r="U6240" s="284" t="e">
        <f>(IF(Tabla4[[#This Row],[Familia]]="termico solar",Tabla4[[#This Row],[Utilidad Total]]*6%,Tabla4[[#This Row],[Utilidad Total]]*11.5%))/Tabla4[[#This Row],[Total]]</f>
        <v>#N/A</v>
      </c>
      <c r="V6240" s="282" t="e">
        <f>+Tabla4[[#This Row],[Comisión Calculada]]*Tabla4[[#This Row],[Total]]</f>
        <v>#N/A</v>
      </c>
    </row>
    <row r="6241" spans="1:22" hidden="1" x14ac:dyDescent="0.25">
      <c r="A6241" s="100">
        <v>45930</v>
      </c>
      <c r="B6241" t="str">
        <f t="shared" si="294"/>
        <v>September</v>
      </c>
      <c r="C6241" s="46" t="s">
        <v>280</v>
      </c>
      <c r="F6241" s="366" t="s">
        <v>3189</v>
      </c>
      <c r="G6241" s="46" t="s">
        <v>555</v>
      </c>
      <c r="H6241" s="46">
        <v>8</v>
      </c>
      <c r="I6241" s="51">
        <v>389.47</v>
      </c>
      <c r="J6241" s="281">
        <f>++Tabla4[[#This Row],[Precio Bruto]]*1.16</f>
        <v>451.78519999999997</v>
      </c>
      <c r="K6241" s="281">
        <f>+Tabla4[[#This Row],[Precio Unitario Neto]]*Tabla4[[#Headers],[20.85%]]</f>
        <v>94.197214199999991</v>
      </c>
      <c r="L6241" s="282">
        <f>++Tabla4[[#This Row],[Precio Unitario Neto]]-Tabla4[[#This Row],[20.85%]]</f>
        <v>357.58798579999996</v>
      </c>
      <c r="M6241" s="282" t="e">
        <f>(INDEX(Tabla6[#All],MATCH(Tabla4[[#This Row],[Producto]],Tabla6[[#All],[PRODUCTO]],0),MATCH(Tabla4[[#This Row],[Mes]],Tabla6[#Headers],0)))*(1+Catalogos!$L$2)</f>
        <v>#N/A</v>
      </c>
      <c r="N6241" s="283" t="e">
        <f>+(Tabla4[[#This Row],[Precio Descontado]]-Tabla4[[#This Row],[Precio Base]])*Tabla4[[#This Row],[Cantidad]]</f>
        <v>#N/A</v>
      </c>
      <c r="O6241" s="284" t="e">
        <f>++Tabla4[[#This Row],[Utilidad Total]]/Tabla4[[#This Row],[Total]]</f>
        <v>#N/A</v>
      </c>
      <c r="P6241" s="282">
        <f>++Tabla4[[#This Row],[Precio Descontado]]*Tabla4[[#This Row],[Cantidad]]</f>
        <v>2860.7038863999996</v>
      </c>
      <c r="Q6241" s="282" t="e">
        <f>(INDEX(Tabla6[#All],MATCH(Tabla4[[#This Row],[Producto]],Tabla6[[#All],[PRODUCTO]],0),MATCH(Tabla4[[#This Row],[Mes]],Tabla6[#Headers],0)))</f>
        <v>#N/A</v>
      </c>
      <c r="R6241" s="282" t="e">
        <f>++Tabla4[[#This Row],[Precio Unitario Neto]]-Tabla4[[#This Row],[20.85%]]-Tabla4[[#This Row],[Costo]]</f>
        <v>#N/A</v>
      </c>
      <c r="S6241" s="282" t="e">
        <f>++Tabla4[[#This Row],[U. Bruta Uni]]*Tabla4[[#This Row],[Cantidad]]</f>
        <v>#N/A</v>
      </c>
      <c r="T6241" s="369" t="str">
        <f>VLOOKUP(Tabla4[[#This Row],[Producto]],Tabla6[#All],14,FALSE)</f>
        <v>Termico Solar</v>
      </c>
      <c r="U6241" s="284" t="e">
        <f>(IF(Tabla4[[#This Row],[Familia]]="termico solar",Tabla4[[#This Row],[Utilidad Total]]*6%,Tabla4[[#This Row],[Utilidad Total]]*11.5%))/Tabla4[[#This Row],[Total]]</f>
        <v>#N/A</v>
      </c>
      <c r="V6241" s="282" t="e">
        <f>+Tabla4[[#This Row],[Comisión Calculada]]*Tabla4[[#This Row],[Total]]</f>
        <v>#N/A</v>
      </c>
    </row>
    <row r="6242" spans="1:22" hidden="1" x14ac:dyDescent="0.25">
      <c r="A6242" s="100">
        <v>45930</v>
      </c>
      <c r="B6242" t="str">
        <f t="shared" si="294"/>
        <v>September</v>
      </c>
      <c r="C6242" s="46" t="s">
        <v>280</v>
      </c>
      <c r="F6242" s="366" t="s">
        <v>3190</v>
      </c>
      <c r="G6242" s="46" t="s">
        <v>18</v>
      </c>
      <c r="H6242" s="46">
        <v>4</v>
      </c>
      <c r="I6242" s="51">
        <v>5367.65</v>
      </c>
      <c r="J6242" s="281">
        <f>++Tabla4[[#This Row],[Precio Bruto]]*1.16</f>
        <v>6226.4739999999993</v>
      </c>
      <c r="K6242" s="281">
        <f>+Tabla4[[#This Row],[Precio Unitario Neto]]*Tabla4[[#Headers],[20.85%]]</f>
        <v>1298.2198289999999</v>
      </c>
      <c r="L6242" s="282">
        <f>++Tabla4[[#This Row],[Precio Unitario Neto]]-Tabla4[[#This Row],[20.85%]]</f>
        <v>4928.2541709999996</v>
      </c>
      <c r="M6242" s="282" t="e">
        <f>(INDEX(Tabla6[#All],MATCH(Tabla4[[#This Row],[Producto]],Tabla6[[#All],[PRODUCTO]],0),MATCH(Tabla4[[#This Row],[Mes]],Tabla6[#Headers],0)))*(1+Catalogos!$L$2)</f>
        <v>#N/A</v>
      </c>
      <c r="N6242" s="283" t="e">
        <f>+(Tabla4[[#This Row],[Precio Descontado]]-Tabla4[[#This Row],[Precio Base]])*Tabla4[[#This Row],[Cantidad]]</f>
        <v>#N/A</v>
      </c>
      <c r="O6242" s="284" t="e">
        <f>++Tabla4[[#This Row],[Utilidad Total]]/Tabla4[[#This Row],[Total]]</f>
        <v>#N/A</v>
      </c>
      <c r="P6242" s="282">
        <f>++Tabla4[[#This Row],[Precio Descontado]]*Tabla4[[#This Row],[Cantidad]]</f>
        <v>19713.016683999998</v>
      </c>
      <c r="Q6242" s="282" t="e">
        <f>(INDEX(Tabla6[#All],MATCH(Tabla4[[#This Row],[Producto]],Tabla6[[#All],[PRODUCTO]],0),MATCH(Tabla4[[#This Row],[Mes]],Tabla6[#Headers],0)))</f>
        <v>#N/A</v>
      </c>
      <c r="R6242" s="282" t="e">
        <f>++Tabla4[[#This Row],[Precio Unitario Neto]]-Tabla4[[#This Row],[20.85%]]-Tabla4[[#This Row],[Costo]]</f>
        <v>#N/A</v>
      </c>
      <c r="S6242" s="282" t="e">
        <f>++Tabla4[[#This Row],[U. Bruta Uni]]*Tabla4[[#This Row],[Cantidad]]</f>
        <v>#N/A</v>
      </c>
      <c r="T6242" s="369" t="str">
        <f>VLOOKUP(Tabla4[[#This Row],[Producto]],Tabla6[#All],14,FALSE)</f>
        <v>Termico Solar</v>
      </c>
      <c r="U6242" s="284" t="e">
        <f>(IF(Tabla4[[#This Row],[Familia]]="termico solar",Tabla4[[#This Row],[Utilidad Total]]*6%,Tabla4[[#This Row],[Utilidad Total]]*11.5%))/Tabla4[[#This Row],[Total]]</f>
        <v>#N/A</v>
      </c>
      <c r="V6242" s="282" t="e">
        <f>+Tabla4[[#This Row],[Comisión Calculada]]*Tabla4[[#This Row],[Total]]</f>
        <v>#N/A</v>
      </c>
    </row>
    <row r="6243" spans="1:22" hidden="1" x14ac:dyDescent="0.25">
      <c r="A6243" s="100">
        <v>45930</v>
      </c>
      <c r="B6243" t="str">
        <f t="shared" si="294"/>
        <v>September</v>
      </c>
      <c r="C6243" s="46" t="s">
        <v>280</v>
      </c>
      <c r="F6243" s="366" t="s">
        <v>3191</v>
      </c>
      <c r="G6243" s="46" t="s">
        <v>566</v>
      </c>
      <c r="H6243" s="46">
        <v>1</v>
      </c>
      <c r="I6243" s="51">
        <v>2109.4499999999998</v>
      </c>
      <c r="J6243" s="281">
        <f>++Tabla4[[#This Row],[Precio Bruto]]*1.16</f>
        <v>2446.9619999999995</v>
      </c>
      <c r="K6243" s="281">
        <f>+Tabla4[[#This Row],[Precio Unitario Neto]]*Tabla4[[#Headers],[20.85%]]</f>
        <v>510.19157699999988</v>
      </c>
      <c r="L6243" s="282">
        <f>++Tabla4[[#This Row],[Precio Unitario Neto]]-Tabla4[[#This Row],[20.85%]]</f>
        <v>1936.7704229999997</v>
      </c>
      <c r="M6243" s="282" t="e">
        <f>(INDEX(Tabla6[#All],MATCH(Tabla4[[#This Row],[Producto]],Tabla6[[#All],[PRODUCTO]],0),MATCH(Tabla4[[#This Row],[Mes]],Tabla6[#Headers],0)))*(1+Catalogos!$L$2)</f>
        <v>#N/A</v>
      </c>
      <c r="N6243" s="283" t="e">
        <f>+(Tabla4[[#This Row],[Precio Descontado]]-Tabla4[[#This Row],[Precio Base]])*Tabla4[[#This Row],[Cantidad]]</f>
        <v>#N/A</v>
      </c>
      <c r="O6243" s="284" t="e">
        <f>++Tabla4[[#This Row],[Utilidad Total]]/Tabla4[[#This Row],[Total]]</f>
        <v>#N/A</v>
      </c>
      <c r="P6243" s="282">
        <f>++Tabla4[[#This Row],[Precio Descontado]]*Tabla4[[#This Row],[Cantidad]]</f>
        <v>1936.7704229999997</v>
      </c>
      <c r="Q6243" s="282" t="e">
        <f>(INDEX(Tabla6[#All],MATCH(Tabla4[[#This Row],[Producto]],Tabla6[[#All],[PRODUCTO]],0),MATCH(Tabla4[[#This Row],[Mes]],Tabla6[#Headers],0)))</f>
        <v>#N/A</v>
      </c>
      <c r="R6243" s="282" t="e">
        <f>++Tabla4[[#This Row],[Precio Unitario Neto]]-Tabla4[[#This Row],[20.85%]]-Tabla4[[#This Row],[Costo]]</f>
        <v>#N/A</v>
      </c>
      <c r="S6243" s="282" t="e">
        <f>++Tabla4[[#This Row],[U. Bruta Uni]]*Tabla4[[#This Row],[Cantidad]]</f>
        <v>#N/A</v>
      </c>
      <c r="T6243" s="369" t="str">
        <f>VLOOKUP(Tabla4[[#This Row],[Producto]],Tabla6[#All],14,FALSE)</f>
        <v>Termico Solar</v>
      </c>
      <c r="U6243" s="284" t="e">
        <f>(IF(Tabla4[[#This Row],[Familia]]="termico solar",Tabla4[[#This Row],[Utilidad Total]]*6%,Tabla4[[#This Row],[Utilidad Total]]*11.5%))/Tabla4[[#This Row],[Total]]</f>
        <v>#N/A</v>
      </c>
      <c r="V6243" s="282" t="e">
        <f>+Tabla4[[#This Row],[Comisión Calculada]]*Tabla4[[#This Row],[Total]]</f>
        <v>#N/A</v>
      </c>
    </row>
    <row r="6244" spans="1:22" hidden="1" x14ac:dyDescent="0.25">
      <c r="A6244" s="100">
        <v>45930</v>
      </c>
      <c r="B6244" t="str">
        <f t="shared" si="294"/>
        <v>September</v>
      </c>
      <c r="C6244" s="46" t="s">
        <v>280</v>
      </c>
      <c r="F6244" s="366" t="s">
        <v>3192</v>
      </c>
      <c r="G6244" s="46" t="s">
        <v>83</v>
      </c>
      <c r="H6244" s="46">
        <v>1</v>
      </c>
      <c r="I6244" s="51">
        <v>8858.76</v>
      </c>
      <c r="J6244" s="281">
        <f>++Tabla4[[#This Row],[Precio Bruto]]*1.16</f>
        <v>10276.161599999999</v>
      </c>
      <c r="K6244" s="281">
        <f>+Tabla4[[#This Row],[Precio Unitario Neto]]*Tabla4[[#Headers],[20.85%]]</f>
        <v>2142.5796935999997</v>
      </c>
      <c r="L6244" s="282">
        <f>++Tabla4[[#This Row],[Precio Unitario Neto]]-Tabla4[[#This Row],[20.85%]]</f>
        <v>8133.5819063999998</v>
      </c>
      <c r="M6244" s="282" t="e">
        <f>(INDEX(Tabla6[#All],MATCH(Tabla4[[#This Row],[Producto]],Tabla6[[#All],[PRODUCTO]],0),MATCH(Tabla4[[#This Row],[Mes]],Tabla6[#Headers],0)))*(1+Catalogos!$L$2)</f>
        <v>#N/A</v>
      </c>
      <c r="N6244" s="283" t="e">
        <f>+(Tabla4[[#This Row],[Precio Descontado]]-Tabla4[[#This Row],[Precio Base]])*Tabla4[[#This Row],[Cantidad]]</f>
        <v>#N/A</v>
      </c>
      <c r="O6244" s="284" t="e">
        <f>++Tabla4[[#This Row],[Utilidad Total]]/Tabla4[[#This Row],[Total]]</f>
        <v>#N/A</v>
      </c>
      <c r="P6244" s="282">
        <f>++Tabla4[[#This Row],[Precio Descontado]]*Tabla4[[#This Row],[Cantidad]]</f>
        <v>8133.5819063999998</v>
      </c>
      <c r="Q6244" s="282" t="e">
        <f>(INDEX(Tabla6[#All],MATCH(Tabla4[[#This Row],[Producto]],Tabla6[[#All],[PRODUCTO]],0),MATCH(Tabla4[[#This Row],[Mes]],Tabla6[#Headers],0)))</f>
        <v>#N/A</v>
      </c>
      <c r="R6244" s="282" t="e">
        <f>++Tabla4[[#This Row],[Precio Unitario Neto]]-Tabla4[[#This Row],[20.85%]]-Tabla4[[#This Row],[Costo]]</f>
        <v>#N/A</v>
      </c>
      <c r="S6244" s="282" t="e">
        <f>++Tabla4[[#This Row],[U. Bruta Uni]]*Tabla4[[#This Row],[Cantidad]]</f>
        <v>#N/A</v>
      </c>
      <c r="T6244" s="369" t="str">
        <f>VLOOKUP(Tabla4[[#This Row],[Producto]],Tabla6[#All],14,FALSE)</f>
        <v>Termico Solar</v>
      </c>
      <c r="U6244" s="284" t="e">
        <f>(IF(Tabla4[[#This Row],[Familia]]="termico solar",Tabla4[[#This Row],[Utilidad Total]]*6%,Tabla4[[#This Row],[Utilidad Total]]*11.5%))/Tabla4[[#This Row],[Total]]</f>
        <v>#N/A</v>
      </c>
      <c r="V6244" s="282" t="e">
        <f>+Tabla4[[#This Row],[Comisión Calculada]]*Tabla4[[#This Row],[Total]]</f>
        <v>#N/A</v>
      </c>
    </row>
    <row r="6245" spans="1:22" hidden="1" x14ac:dyDescent="0.25">
      <c r="A6245" s="100">
        <v>45930</v>
      </c>
      <c r="B6245" t="str">
        <f t="shared" si="294"/>
        <v>September</v>
      </c>
      <c r="C6245" s="46" t="s">
        <v>280</v>
      </c>
      <c r="F6245" s="366" t="s">
        <v>3192</v>
      </c>
      <c r="G6245" s="46" t="s">
        <v>208</v>
      </c>
      <c r="H6245" s="46">
        <v>13</v>
      </c>
      <c r="I6245" s="51">
        <v>189.75</v>
      </c>
      <c r="J6245" s="281">
        <f>++Tabla4[[#This Row],[Precio Bruto]]*1.16</f>
        <v>220.10999999999999</v>
      </c>
      <c r="K6245" s="281">
        <f>+Tabla4[[#This Row],[Precio Unitario Neto]]*Tabla4[[#Headers],[20.85%]]</f>
        <v>45.892934999999994</v>
      </c>
      <c r="L6245" s="282">
        <f>++Tabla4[[#This Row],[Precio Unitario Neto]]-Tabla4[[#This Row],[20.85%]]</f>
        <v>174.21706499999999</v>
      </c>
      <c r="M6245" s="282" t="e">
        <f>(INDEX(Tabla6[#All],MATCH(Tabla4[[#This Row],[Producto]],Tabla6[[#All],[PRODUCTO]],0),MATCH(Tabla4[[#This Row],[Mes]],Tabla6[#Headers],0)))*(1+Catalogos!$L$2)</f>
        <v>#N/A</v>
      </c>
      <c r="N6245" s="283" t="e">
        <f>+(Tabla4[[#This Row],[Precio Descontado]]-Tabla4[[#This Row],[Precio Base]])*Tabla4[[#This Row],[Cantidad]]</f>
        <v>#N/A</v>
      </c>
      <c r="O6245" s="284" t="e">
        <f>++Tabla4[[#This Row],[Utilidad Total]]/Tabla4[[#This Row],[Total]]</f>
        <v>#N/A</v>
      </c>
      <c r="P6245" s="282">
        <f>++Tabla4[[#This Row],[Precio Descontado]]*Tabla4[[#This Row],[Cantidad]]</f>
        <v>2264.8218449999999</v>
      </c>
      <c r="Q6245" s="282" t="e">
        <f>(INDEX(Tabla6[#All],MATCH(Tabla4[[#This Row],[Producto]],Tabla6[[#All],[PRODUCTO]],0),MATCH(Tabla4[[#This Row],[Mes]],Tabla6[#Headers],0)))</f>
        <v>#N/A</v>
      </c>
      <c r="R6245" s="282" t="e">
        <f>++Tabla4[[#This Row],[Precio Unitario Neto]]-Tabla4[[#This Row],[20.85%]]-Tabla4[[#This Row],[Costo]]</f>
        <v>#N/A</v>
      </c>
      <c r="S6245" s="282" t="e">
        <f>++Tabla4[[#This Row],[U. Bruta Uni]]*Tabla4[[#This Row],[Cantidad]]</f>
        <v>#N/A</v>
      </c>
      <c r="T6245" s="369" t="str">
        <f>VLOOKUP(Tabla4[[#This Row],[Producto]],Tabla6[#All],14,FALSE)</f>
        <v>Termico Solar</v>
      </c>
      <c r="U6245" s="284" t="e">
        <f>(IF(Tabla4[[#This Row],[Familia]]="termico solar",Tabla4[[#This Row],[Utilidad Total]]*6%,Tabla4[[#This Row],[Utilidad Total]]*11.5%))/Tabla4[[#This Row],[Total]]</f>
        <v>#N/A</v>
      </c>
      <c r="V6245" s="282" t="e">
        <f>+Tabla4[[#This Row],[Comisión Calculada]]*Tabla4[[#This Row],[Total]]</f>
        <v>#N/A</v>
      </c>
    </row>
    <row r="6246" spans="1:22" hidden="1" x14ac:dyDescent="0.25">
      <c r="A6246" s="100">
        <v>45930</v>
      </c>
      <c r="B6246" t="str">
        <f t="shared" si="294"/>
        <v>September</v>
      </c>
      <c r="C6246" s="46" t="s">
        <v>280</v>
      </c>
      <c r="F6246" s="366" t="s">
        <v>3193</v>
      </c>
      <c r="G6246" s="46" t="s">
        <v>17</v>
      </c>
      <c r="H6246" s="46">
        <v>1</v>
      </c>
      <c r="I6246" s="51">
        <v>4622.28</v>
      </c>
      <c r="J6246" s="281">
        <f>++Tabla4[[#This Row],[Precio Bruto]]*1.16</f>
        <v>5361.8447999999989</v>
      </c>
      <c r="K6246" s="281">
        <f>+Tabla4[[#This Row],[Precio Unitario Neto]]*Tabla4[[#Headers],[20.85%]]</f>
        <v>1117.9446407999997</v>
      </c>
      <c r="L6246" s="282">
        <f>++Tabla4[[#This Row],[Precio Unitario Neto]]-Tabla4[[#This Row],[20.85%]]</f>
        <v>4243.9001591999995</v>
      </c>
      <c r="M6246" s="282" t="e">
        <f>(INDEX(Tabla6[#All],MATCH(Tabla4[[#This Row],[Producto]],Tabla6[[#All],[PRODUCTO]],0),MATCH(Tabla4[[#This Row],[Mes]],Tabla6[#Headers],0)))*(1+Catalogos!$L$2)</f>
        <v>#N/A</v>
      </c>
      <c r="N6246" s="283" t="e">
        <f>+(Tabla4[[#This Row],[Precio Descontado]]-Tabla4[[#This Row],[Precio Base]])*Tabla4[[#This Row],[Cantidad]]</f>
        <v>#N/A</v>
      </c>
      <c r="O6246" s="284" t="e">
        <f>++Tabla4[[#This Row],[Utilidad Total]]/Tabla4[[#This Row],[Total]]</f>
        <v>#N/A</v>
      </c>
      <c r="P6246" s="282">
        <f>++Tabla4[[#This Row],[Precio Descontado]]*Tabla4[[#This Row],[Cantidad]]</f>
        <v>4243.9001591999995</v>
      </c>
      <c r="Q6246" s="282" t="e">
        <f>(INDEX(Tabla6[#All],MATCH(Tabla4[[#This Row],[Producto]],Tabla6[[#All],[PRODUCTO]],0),MATCH(Tabla4[[#This Row],[Mes]],Tabla6[#Headers],0)))</f>
        <v>#N/A</v>
      </c>
      <c r="R6246" s="282" t="e">
        <f>++Tabla4[[#This Row],[Precio Unitario Neto]]-Tabla4[[#This Row],[20.85%]]-Tabla4[[#This Row],[Costo]]</f>
        <v>#N/A</v>
      </c>
      <c r="S6246" s="282" t="e">
        <f>++Tabla4[[#This Row],[U. Bruta Uni]]*Tabla4[[#This Row],[Cantidad]]</f>
        <v>#N/A</v>
      </c>
      <c r="T6246" s="369" t="str">
        <f>VLOOKUP(Tabla4[[#This Row],[Producto]],Tabla6[#All],14,FALSE)</f>
        <v>Termico Solar</v>
      </c>
      <c r="U6246" s="284" t="e">
        <f>(IF(Tabla4[[#This Row],[Familia]]="termico solar",Tabla4[[#This Row],[Utilidad Total]]*6%,Tabla4[[#This Row],[Utilidad Total]]*11.5%))/Tabla4[[#This Row],[Total]]</f>
        <v>#N/A</v>
      </c>
      <c r="V6246" s="282" t="e">
        <f>+Tabla4[[#This Row],[Comisión Calculada]]*Tabla4[[#This Row],[Total]]</f>
        <v>#N/A</v>
      </c>
    </row>
    <row r="6247" spans="1:22" hidden="1" x14ac:dyDescent="0.25">
      <c r="A6247" s="100">
        <v>45930</v>
      </c>
      <c r="B6247" t="str">
        <f t="shared" si="294"/>
        <v>September</v>
      </c>
      <c r="C6247" s="46" t="s">
        <v>280</v>
      </c>
      <c r="F6247" s="366" t="s">
        <v>3194</v>
      </c>
      <c r="G6247" s="46" t="s">
        <v>83</v>
      </c>
      <c r="H6247" s="46">
        <v>1</v>
      </c>
      <c r="I6247" s="51">
        <v>8858.76</v>
      </c>
      <c r="J6247" s="281">
        <f>++Tabla4[[#This Row],[Precio Bruto]]*1.16</f>
        <v>10276.161599999999</v>
      </c>
      <c r="K6247" s="281">
        <f>+Tabla4[[#This Row],[Precio Unitario Neto]]*Tabla4[[#Headers],[20.85%]]</f>
        <v>2142.5796935999997</v>
      </c>
      <c r="L6247" s="282">
        <f>++Tabla4[[#This Row],[Precio Unitario Neto]]-Tabla4[[#This Row],[20.85%]]</f>
        <v>8133.5819063999998</v>
      </c>
      <c r="M6247" s="282" t="e">
        <f>(INDEX(Tabla6[#All],MATCH(Tabla4[[#This Row],[Producto]],Tabla6[[#All],[PRODUCTO]],0),MATCH(Tabla4[[#This Row],[Mes]],Tabla6[#Headers],0)))*(1+Catalogos!$L$2)</f>
        <v>#N/A</v>
      </c>
      <c r="N6247" s="283" t="e">
        <f>+(Tabla4[[#This Row],[Precio Descontado]]-Tabla4[[#This Row],[Precio Base]])*Tabla4[[#This Row],[Cantidad]]</f>
        <v>#N/A</v>
      </c>
      <c r="O6247" s="284" t="e">
        <f>++Tabla4[[#This Row],[Utilidad Total]]/Tabla4[[#This Row],[Total]]</f>
        <v>#N/A</v>
      </c>
      <c r="P6247" s="282">
        <f>++Tabla4[[#This Row],[Precio Descontado]]*Tabla4[[#This Row],[Cantidad]]</f>
        <v>8133.5819063999998</v>
      </c>
      <c r="Q6247" s="282" t="e">
        <f>(INDEX(Tabla6[#All],MATCH(Tabla4[[#This Row],[Producto]],Tabla6[[#All],[PRODUCTO]],0),MATCH(Tabla4[[#This Row],[Mes]],Tabla6[#Headers],0)))</f>
        <v>#N/A</v>
      </c>
      <c r="R6247" s="282" t="e">
        <f>++Tabla4[[#This Row],[Precio Unitario Neto]]-Tabla4[[#This Row],[20.85%]]-Tabla4[[#This Row],[Costo]]</f>
        <v>#N/A</v>
      </c>
      <c r="S6247" s="282" t="e">
        <f>++Tabla4[[#This Row],[U. Bruta Uni]]*Tabla4[[#This Row],[Cantidad]]</f>
        <v>#N/A</v>
      </c>
      <c r="T6247" s="369" t="str">
        <f>VLOOKUP(Tabla4[[#This Row],[Producto]],Tabla6[#All],14,FALSE)</f>
        <v>Termico Solar</v>
      </c>
      <c r="U6247" s="284" t="e">
        <f>(IF(Tabla4[[#This Row],[Familia]]="termico solar",Tabla4[[#This Row],[Utilidad Total]]*6%,Tabla4[[#This Row],[Utilidad Total]]*11.5%))/Tabla4[[#This Row],[Total]]</f>
        <v>#N/A</v>
      </c>
      <c r="V6247" s="282" t="e">
        <f>+Tabla4[[#This Row],[Comisión Calculada]]*Tabla4[[#This Row],[Total]]</f>
        <v>#N/A</v>
      </c>
    </row>
    <row r="6248" spans="1:22" hidden="1" x14ac:dyDescent="0.25">
      <c r="A6248" s="100">
        <v>45930</v>
      </c>
      <c r="B6248" t="str">
        <f t="shared" si="294"/>
        <v>September</v>
      </c>
      <c r="C6248" s="46" t="s">
        <v>280</v>
      </c>
      <c r="F6248" s="366" t="s">
        <v>3194</v>
      </c>
      <c r="G6248" s="46" t="s">
        <v>16</v>
      </c>
      <c r="H6248" s="46">
        <v>1</v>
      </c>
      <c r="I6248" s="51">
        <v>4103.8500000000004</v>
      </c>
      <c r="J6248" s="281">
        <f>++Tabla4[[#This Row],[Precio Bruto]]*1.16</f>
        <v>4760.4660000000003</v>
      </c>
      <c r="K6248" s="281">
        <f>+Tabla4[[#This Row],[Precio Unitario Neto]]*Tabla4[[#Headers],[20.85%]]</f>
        <v>992.55716100000006</v>
      </c>
      <c r="L6248" s="282">
        <f>++Tabla4[[#This Row],[Precio Unitario Neto]]-Tabla4[[#This Row],[20.85%]]</f>
        <v>3767.9088390000002</v>
      </c>
      <c r="M6248" s="282" t="e">
        <f>(INDEX(Tabla6[#All],MATCH(Tabla4[[#This Row],[Producto]],Tabla6[[#All],[PRODUCTO]],0),MATCH(Tabla4[[#This Row],[Mes]],Tabla6[#Headers],0)))*(1+Catalogos!$L$2)</f>
        <v>#N/A</v>
      </c>
      <c r="N6248" s="283" t="e">
        <f>+(Tabla4[[#This Row],[Precio Descontado]]-Tabla4[[#This Row],[Precio Base]])*Tabla4[[#This Row],[Cantidad]]</f>
        <v>#N/A</v>
      </c>
      <c r="O6248" s="284" t="e">
        <f>++Tabla4[[#This Row],[Utilidad Total]]/Tabla4[[#This Row],[Total]]</f>
        <v>#N/A</v>
      </c>
      <c r="P6248" s="282">
        <f>++Tabla4[[#This Row],[Precio Descontado]]*Tabla4[[#This Row],[Cantidad]]</f>
        <v>3767.9088390000002</v>
      </c>
      <c r="Q6248" s="282" t="e">
        <f>(INDEX(Tabla6[#All],MATCH(Tabla4[[#This Row],[Producto]],Tabla6[[#All],[PRODUCTO]],0),MATCH(Tabla4[[#This Row],[Mes]],Tabla6[#Headers],0)))</f>
        <v>#N/A</v>
      </c>
      <c r="R6248" s="282" t="e">
        <f>++Tabla4[[#This Row],[Precio Unitario Neto]]-Tabla4[[#This Row],[20.85%]]-Tabla4[[#This Row],[Costo]]</f>
        <v>#N/A</v>
      </c>
      <c r="S6248" s="282" t="e">
        <f>++Tabla4[[#This Row],[U. Bruta Uni]]*Tabla4[[#This Row],[Cantidad]]</f>
        <v>#N/A</v>
      </c>
      <c r="T6248" s="369" t="str">
        <f>VLOOKUP(Tabla4[[#This Row],[Producto]],Tabla6[#All],14,FALSE)</f>
        <v>Termico Solar</v>
      </c>
      <c r="U6248" s="284" t="e">
        <f>(IF(Tabla4[[#This Row],[Familia]]="termico solar",Tabla4[[#This Row],[Utilidad Total]]*6%,Tabla4[[#This Row],[Utilidad Total]]*11.5%))/Tabla4[[#This Row],[Total]]</f>
        <v>#N/A</v>
      </c>
      <c r="V6248" s="282" t="e">
        <f>+Tabla4[[#This Row],[Comisión Calculada]]*Tabla4[[#This Row],[Total]]</f>
        <v>#N/A</v>
      </c>
    </row>
    <row r="6249" spans="1:22" hidden="1" x14ac:dyDescent="0.25">
      <c r="A6249" s="100">
        <v>45945</v>
      </c>
      <c r="B6249" t="str">
        <f t="shared" ref="B6249:B6250" si="295">TEXT(A6249, "mmmm")</f>
        <v>October</v>
      </c>
      <c r="C6249" s="46" t="s">
        <v>280</v>
      </c>
      <c r="F6249" s="366" t="s">
        <v>3196</v>
      </c>
      <c r="G6249" s="46" t="s">
        <v>555</v>
      </c>
      <c r="H6249" s="46">
        <v>6</v>
      </c>
      <c r="I6249" s="51">
        <v>389.47</v>
      </c>
      <c r="J6249" s="281">
        <f>++Tabla4[[#This Row],[Precio Bruto]]*1.16</f>
        <v>451.78519999999997</v>
      </c>
      <c r="K6249" s="281">
        <f>+Tabla4[[#This Row],[Precio Unitario Neto]]*Tabla4[[#Headers],[20.85%]]</f>
        <v>94.197214199999991</v>
      </c>
      <c r="L6249" s="282">
        <f>++Tabla4[[#This Row],[Precio Unitario Neto]]-Tabla4[[#This Row],[20.85%]]</f>
        <v>357.58798579999996</v>
      </c>
      <c r="M6249" s="282" t="e">
        <f>(INDEX(Tabla6[#All],MATCH(Tabla4[[#This Row],[Producto]],Tabla6[[#All],[PRODUCTO]],0),MATCH(Tabla4[[#This Row],[Mes]],Tabla6[#Headers],0)))*(1+Catalogos!$L$2)</f>
        <v>#N/A</v>
      </c>
      <c r="N6249" s="283" t="e">
        <f>+(Tabla4[[#This Row],[Precio Descontado]]-Tabla4[[#This Row],[Precio Base]])*Tabla4[[#This Row],[Cantidad]]</f>
        <v>#N/A</v>
      </c>
      <c r="O6249" s="284" t="e">
        <f>++Tabla4[[#This Row],[Utilidad Total]]/Tabla4[[#This Row],[Total]]</f>
        <v>#N/A</v>
      </c>
      <c r="P6249" s="282">
        <f>++Tabla4[[#This Row],[Precio Descontado]]*Tabla4[[#This Row],[Cantidad]]</f>
        <v>2145.5279148</v>
      </c>
      <c r="Q6249" s="282" t="e">
        <f>(INDEX(Tabla6[#All],MATCH(Tabla4[[#This Row],[Producto]],Tabla6[[#All],[PRODUCTO]],0),MATCH(Tabla4[[#This Row],[Mes]],Tabla6[#Headers],0)))</f>
        <v>#N/A</v>
      </c>
      <c r="R6249" s="282" t="e">
        <f>++Tabla4[[#This Row],[Precio Unitario Neto]]-Tabla4[[#This Row],[20.85%]]-Tabla4[[#This Row],[Costo]]</f>
        <v>#N/A</v>
      </c>
      <c r="S6249" s="282" t="e">
        <f>++Tabla4[[#This Row],[U. Bruta Uni]]*Tabla4[[#This Row],[Cantidad]]</f>
        <v>#N/A</v>
      </c>
      <c r="T6249" s="369" t="str">
        <f>VLOOKUP(Tabla4[[#This Row],[Producto]],Tabla6[#All],14,FALSE)</f>
        <v>Termico Solar</v>
      </c>
      <c r="U6249" s="284" t="e">
        <f>(IF(Tabla4[[#This Row],[Familia]]="termico solar",Tabla4[[#This Row],[Utilidad Total]]*6%,Tabla4[[#This Row],[Utilidad Total]]*11.5%))/Tabla4[[#This Row],[Total]]</f>
        <v>#N/A</v>
      </c>
      <c r="V6249" s="282" t="e">
        <f>+Tabla4[[#This Row],[Comisión Calculada]]*Tabla4[[#This Row],[Total]]</f>
        <v>#N/A</v>
      </c>
    </row>
    <row r="6250" spans="1:22" hidden="1" x14ac:dyDescent="0.25">
      <c r="A6250" s="100">
        <v>45945</v>
      </c>
      <c r="B6250" t="str">
        <f t="shared" si="295"/>
        <v>October</v>
      </c>
      <c r="C6250" s="46" t="s">
        <v>280</v>
      </c>
      <c r="F6250" s="366" t="s">
        <v>3196</v>
      </c>
      <c r="G6250" s="46" t="s">
        <v>393</v>
      </c>
      <c r="H6250" s="46">
        <v>6</v>
      </c>
      <c r="I6250" s="51">
        <v>14.409999999999998</v>
      </c>
      <c r="J6250" s="281">
        <f>++Tabla4[[#This Row],[Precio Bruto]]*1.16</f>
        <v>16.715599999999998</v>
      </c>
      <c r="K6250" s="281">
        <f>+Tabla4[[#This Row],[Precio Unitario Neto]]*Tabla4[[#Headers],[20.85%]]</f>
        <v>3.4852025999999996</v>
      </c>
      <c r="L6250" s="282">
        <f>++Tabla4[[#This Row],[Precio Unitario Neto]]-Tabla4[[#This Row],[20.85%]]</f>
        <v>13.230397399999999</v>
      </c>
      <c r="M6250" s="282" t="e">
        <f>(INDEX(Tabla6[#All],MATCH(Tabla4[[#This Row],[Producto]],Tabla6[[#All],[PRODUCTO]],0),MATCH(Tabla4[[#This Row],[Mes]],Tabla6[#Headers],0)))*(1+Catalogos!$L$2)</f>
        <v>#N/A</v>
      </c>
      <c r="N6250" s="283" t="e">
        <f>+(Tabla4[[#This Row],[Precio Descontado]]-Tabla4[[#This Row],[Precio Base]])*Tabla4[[#This Row],[Cantidad]]</f>
        <v>#N/A</v>
      </c>
      <c r="O6250" s="284" t="e">
        <f>++Tabla4[[#This Row],[Utilidad Total]]/Tabla4[[#This Row],[Total]]</f>
        <v>#N/A</v>
      </c>
      <c r="P6250" s="282">
        <f>++Tabla4[[#This Row],[Precio Descontado]]*Tabla4[[#This Row],[Cantidad]]</f>
        <v>79.382384399999992</v>
      </c>
      <c r="Q6250" s="282" t="e">
        <f>(INDEX(Tabla6[#All],MATCH(Tabla4[[#This Row],[Producto]],Tabla6[[#All],[PRODUCTO]],0),MATCH(Tabla4[[#This Row],[Mes]],Tabla6[#Headers],0)))</f>
        <v>#N/A</v>
      </c>
      <c r="R6250" s="282" t="e">
        <f>++Tabla4[[#This Row],[Precio Unitario Neto]]-Tabla4[[#This Row],[20.85%]]-Tabla4[[#This Row],[Costo]]</f>
        <v>#N/A</v>
      </c>
      <c r="S6250" s="282" t="e">
        <f>++Tabla4[[#This Row],[U. Bruta Uni]]*Tabla4[[#This Row],[Cantidad]]</f>
        <v>#N/A</v>
      </c>
      <c r="T6250" s="369" t="str">
        <f>VLOOKUP(Tabla4[[#This Row],[Producto]],Tabla6[#All],14,FALSE)</f>
        <v>Termico Solar</v>
      </c>
      <c r="U6250" s="284" t="e">
        <f>(IF(Tabla4[[#This Row],[Familia]]="termico solar",Tabla4[[#This Row],[Utilidad Total]]*6%,Tabla4[[#This Row],[Utilidad Total]]*11.5%))/Tabla4[[#This Row],[Total]]</f>
        <v>#N/A</v>
      </c>
      <c r="V6250" s="282" t="e">
        <f>+Tabla4[[#This Row],[Comisión Calculada]]*Tabla4[[#This Row],[Total]]</f>
        <v>#N/A</v>
      </c>
    </row>
    <row r="6251" spans="1:22" hidden="1" x14ac:dyDescent="0.25">
      <c r="A6251" s="100">
        <v>45945</v>
      </c>
      <c r="B6251" t="str">
        <f>TEXT(A6251, "mmmm")</f>
        <v>October</v>
      </c>
      <c r="C6251" s="46" t="s">
        <v>280</v>
      </c>
      <c r="F6251" s="366" t="s">
        <v>3197</v>
      </c>
      <c r="G6251" s="46" t="s">
        <v>83</v>
      </c>
      <c r="H6251" s="46">
        <v>1</v>
      </c>
      <c r="I6251" s="51">
        <v>8858.76</v>
      </c>
      <c r="J6251" s="281">
        <f>++Tabla4[[#This Row],[Precio Bruto]]*1.16</f>
        <v>10276.161599999999</v>
      </c>
      <c r="K6251" s="281">
        <f>+Tabla4[[#This Row],[Precio Unitario Neto]]*Tabla4[[#Headers],[20.85%]]</f>
        <v>2142.5796935999997</v>
      </c>
      <c r="L6251" s="282">
        <f>++Tabla4[[#This Row],[Precio Unitario Neto]]-Tabla4[[#This Row],[20.85%]]</f>
        <v>8133.5819063999998</v>
      </c>
      <c r="M6251" s="282" t="e">
        <f>(INDEX(Tabla6[#All],MATCH(Tabla4[[#This Row],[Producto]],Tabla6[[#All],[PRODUCTO]],0),MATCH(Tabla4[[#This Row],[Mes]],Tabla6[#Headers],0)))*(1+Catalogos!$L$2)</f>
        <v>#N/A</v>
      </c>
      <c r="N6251" s="283" t="e">
        <f>+(Tabla4[[#This Row],[Precio Descontado]]-Tabla4[[#This Row],[Precio Base]])*Tabla4[[#This Row],[Cantidad]]</f>
        <v>#N/A</v>
      </c>
      <c r="O6251" s="284" t="e">
        <f>++Tabla4[[#This Row],[Utilidad Total]]/Tabla4[[#This Row],[Total]]</f>
        <v>#N/A</v>
      </c>
      <c r="P6251" s="282">
        <f>++Tabla4[[#This Row],[Precio Descontado]]*Tabla4[[#This Row],[Cantidad]]</f>
        <v>8133.5819063999998</v>
      </c>
      <c r="Q6251" s="282" t="e">
        <f>(INDEX(Tabla6[#All],MATCH(Tabla4[[#This Row],[Producto]],Tabla6[[#All],[PRODUCTO]],0),MATCH(Tabla4[[#This Row],[Mes]],Tabla6[#Headers],0)))</f>
        <v>#N/A</v>
      </c>
      <c r="R6251" s="282" t="e">
        <f>++Tabla4[[#This Row],[Precio Unitario Neto]]-Tabla4[[#This Row],[20.85%]]-Tabla4[[#This Row],[Costo]]</f>
        <v>#N/A</v>
      </c>
      <c r="S6251" s="282" t="e">
        <f>++Tabla4[[#This Row],[U. Bruta Uni]]*Tabla4[[#This Row],[Cantidad]]</f>
        <v>#N/A</v>
      </c>
      <c r="T6251" s="369" t="str">
        <f>VLOOKUP(Tabla4[[#This Row],[Producto]],Tabla6[#All],14,FALSE)</f>
        <v>Termico Solar</v>
      </c>
      <c r="U6251" s="284" t="e">
        <f>(IF(Tabla4[[#This Row],[Familia]]="termico solar",Tabla4[[#This Row],[Utilidad Total]]*6%,Tabla4[[#This Row],[Utilidad Total]]*11.5%))/Tabla4[[#This Row],[Total]]</f>
        <v>#N/A</v>
      </c>
      <c r="V6251" s="282" t="e">
        <f>+Tabla4[[#This Row],[Comisión Calculada]]*Tabla4[[#This Row],[Total]]</f>
        <v>#N/A</v>
      </c>
    </row>
    <row r="6252" spans="1:22" hidden="1" x14ac:dyDescent="0.25">
      <c r="A6252" s="100">
        <v>45945</v>
      </c>
      <c r="B6252" t="str">
        <f>TEXT(A6252, "mmmm")</f>
        <v>October</v>
      </c>
      <c r="C6252" s="46" t="s">
        <v>280</v>
      </c>
      <c r="F6252" s="366" t="s">
        <v>3198</v>
      </c>
      <c r="G6252" s="46" t="s">
        <v>17</v>
      </c>
      <c r="H6252" s="46">
        <v>1</v>
      </c>
      <c r="I6252" s="51">
        <v>4622.28</v>
      </c>
      <c r="J6252" s="281">
        <f>++Tabla4[[#This Row],[Precio Bruto]]*1.16</f>
        <v>5361.8447999999989</v>
      </c>
      <c r="K6252" s="281">
        <f>+Tabla4[[#This Row],[Precio Unitario Neto]]*Tabla4[[#Headers],[20.85%]]</f>
        <v>1117.9446407999997</v>
      </c>
      <c r="L6252" s="282">
        <f>++Tabla4[[#This Row],[Precio Unitario Neto]]-Tabla4[[#This Row],[20.85%]]</f>
        <v>4243.9001591999995</v>
      </c>
      <c r="M6252" s="282" t="e">
        <f>(INDEX(Tabla6[#All],MATCH(Tabla4[[#This Row],[Producto]],Tabla6[[#All],[PRODUCTO]],0),MATCH(Tabla4[[#This Row],[Mes]],Tabla6[#Headers],0)))*(1+Catalogos!$L$2)</f>
        <v>#N/A</v>
      </c>
      <c r="N6252" s="283" t="e">
        <f>+(Tabla4[[#This Row],[Precio Descontado]]-Tabla4[[#This Row],[Precio Base]])*Tabla4[[#This Row],[Cantidad]]</f>
        <v>#N/A</v>
      </c>
      <c r="O6252" s="284" t="e">
        <f>++Tabla4[[#This Row],[Utilidad Total]]/Tabla4[[#This Row],[Total]]</f>
        <v>#N/A</v>
      </c>
      <c r="P6252" s="282">
        <f>++Tabla4[[#This Row],[Precio Descontado]]*Tabla4[[#This Row],[Cantidad]]</f>
        <v>4243.9001591999995</v>
      </c>
      <c r="Q6252" s="282" t="e">
        <f>(INDEX(Tabla6[#All],MATCH(Tabla4[[#This Row],[Producto]],Tabla6[[#All],[PRODUCTO]],0),MATCH(Tabla4[[#This Row],[Mes]],Tabla6[#Headers],0)))</f>
        <v>#N/A</v>
      </c>
      <c r="R6252" s="282" t="e">
        <f>++Tabla4[[#This Row],[Precio Unitario Neto]]-Tabla4[[#This Row],[20.85%]]-Tabla4[[#This Row],[Costo]]</f>
        <v>#N/A</v>
      </c>
      <c r="S6252" s="282" t="e">
        <f>++Tabla4[[#This Row],[U. Bruta Uni]]*Tabla4[[#This Row],[Cantidad]]</f>
        <v>#N/A</v>
      </c>
      <c r="T6252" s="369" t="str">
        <f>VLOOKUP(Tabla4[[#This Row],[Producto]],Tabla6[#All],14,FALSE)</f>
        <v>Termico Solar</v>
      </c>
      <c r="U6252" s="284" t="e">
        <f>(IF(Tabla4[[#This Row],[Familia]]="termico solar",Tabla4[[#This Row],[Utilidad Total]]*6%,Tabla4[[#This Row],[Utilidad Total]]*11.5%))/Tabla4[[#This Row],[Total]]</f>
        <v>#N/A</v>
      </c>
      <c r="V6252" s="282" t="e">
        <f>+Tabla4[[#This Row],[Comisión Calculada]]*Tabla4[[#This Row],[Total]]</f>
        <v>#N/A</v>
      </c>
    </row>
    <row r="6253" spans="1:22" hidden="1" x14ac:dyDescent="0.25">
      <c r="A6253" s="100">
        <v>45945</v>
      </c>
      <c r="B6253" t="str">
        <f t="shared" ref="B6253:B6254" si="296">TEXT(A6253, "mmmm")</f>
        <v>October</v>
      </c>
      <c r="C6253" s="46" t="s">
        <v>280</v>
      </c>
      <c r="F6253" s="366" t="s">
        <v>3199</v>
      </c>
      <c r="G6253" s="46" t="s">
        <v>83</v>
      </c>
      <c r="H6253" s="46">
        <v>2</v>
      </c>
      <c r="I6253" s="51">
        <v>8858.76</v>
      </c>
      <c r="J6253" s="281">
        <f>++Tabla4[[#This Row],[Precio Bruto]]*1.16</f>
        <v>10276.161599999999</v>
      </c>
      <c r="K6253" s="281">
        <f>+Tabla4[[#This Row],[Precio Unitario Neto]]*Tabla4[[#Headers],[20.85%]]</f>
        <v>2142.5796935999997</v>
      </c>
      <c r="L6253" s="282">
        <f>++Tabla4[[#This Row],[Precio Unitario Neto]]-Tabla4[[#This Row],[20.85%]]</f>
        <v>8133.5819063999998</v>
      </c>
      <c r="M6253" s="282" t="e">
        <f>(INDEX(Tabla6[#All],MATCH(Tabla4[[#This Row],[Producto]],Tabla6[[#All],[PRODUCTO]],0),MATCH(Tabla4[[#This Row],[Mes]],Tabla6[#Headers],0)))*(1+Catalogos!$L$2)</f>
        <v>#N/A</v>
      </c>
      <c r="N6253" s="283" t="e">
        <f>+(Tabla4[[#This Row],[Precio Descontado]]-Tabla4[[#This Row],[Precio Base]])*Tabla4[[#This Row],[Cantidad]]</f>
        <v>#N/A</v>
      </c>
      <c r="O6253" s="284" t="e">
        <f>++Tabla4[[#This Row],[Utilidad Total]]/Tabla4[[#This Row],[Total]]</f>
        <v>#N/A</v>
      </c>
      <c r="P6253" s="282">
        <f>++Tabla4[[#This Row],[Precio Descontado]]*Tabla4[[#This Row],[Cantidad]]</f>
        <v>16267.1638128</v>
      </c>
      <c r="Q6253" s="282" t="e">
        <f>(INDEX(Tabla6[#All],MATCH(Tabla4[[#This Row],[Producto]],Tabla6[[#All],[PRODUCTO]],0),MATCH(Tabla4[[#This Row],[Mes]],Tabla6[#Headers],0)))</f>
        <v>#N/A</v>
      </c>
      <c r="R6253" s="282" t="e">
        <f>++Tabla4[[#This Row],[Precio Unitario Neto]]-Tabla4[[#This Row],[20.85%]]-Tabla4[[#This Row],[Costo]]</f>
        <v>#N/A</v>
      </c>
      <c r="S6253" s="282" t="e">
        <f>++Tabla4[[#This Row],[U. Bruta Uni]]*Tabla4[[#This Row],[Cantidad]]</f>
        <v>#N/A</v>
      </c>
      <c r="T6253" s="369" t="str">
        <f>VLOOKUP(Tabla4[[#This Row],[Producto]],Tabla6[#All],14,FALSE)</f>
        <v>Termico Solar</v>
      </c>
      <c r="U6253" s="284" t="e">
        <f>(IF(Tabla4[[#This Row],[Familia]]="termico solar",Tabla4[[#This Row],[Utilidad Total]]*6%,Tabla4[[#This Row],[Utilidad Total]]*11.5%))/Tabla4[[#This Row],[Total]]</f>
        <v>#N/A</v>
      </c>
      <c r="V6253" s="282" t="e">
        <f>+Tabla4[[#This Row],[Comisión Calculada]]*Tabla4[[#This Row],[Total]]</f>
        <v>#N/A</v>
      </c>
    </row>
    <row r="6254" spans="1:22" hidden="1" x14ac:dyDescent="0.25">
      <c r="A6254" s="100">
        <v>45945</v>
      </c>
      <c r="B6254" t="str">
        <f t="shared" si="296"/>
        <v>October</v>
      </c>
      <c r="C6254" s="46" t="s">
        <v>280</v>
      </c>
      <c r="F6254" s="366" t="s">
        <v>3199</v>
      </c>
      <c r="G6254" s="46" t="s">
        <v>566</v>
      </c>
      <c r="H6254" s="46">
        <v>1</v>
      </c>
      <c r="I6254" s="51">
        <v>2109.4499999999998</v>
      </c>
      <c r="J6254" s="281">
        <f>++Tabla4[[#This Row],[Precio Bruto]]*1.16</f>
        <v>2446.9619999999995</v>
      </c>
      <c r="K6254" s="281">
        <f>+Tabla4[[#This Row],[Precio Unitario Neto]]*Tabla4[[#Headers],[20.85%]]</f>
        <v>510.19157699999988</v>
      </c>
      <c r="L6254" s="282">
        <f>++Tabla4[[#This Row],[Precio Unitario Neto]]-Tabla4[[#This Row],[20.85%]]</f>
        <v>1936.7704229999997</v>
      </c>
      <c r="M6254" s="282" t="e">
        <f>(INDEX(Tabla6[#All],MATCH(Tabla4[[#This Row],[Producto]],Tabla6[[#All],[PRODUCTO]],0),MATCH(Tabla4[[#This Row],[Mes]],Tabla6[#Headers],0)))*(1+Catalogos!$L$2)</f>
        <v>#N/A</v>
      </c>
      <c r="N6254" s="283" t="e">
        <f>+(Tabla4[[#This Row],[Precio Descontado]]-Tabla4[[#This Row],[Precio Base]])*Tabla4[[#This Row],[Cantidad]]</f>
        <v>#N/A</v>
      </c>
      <c r="O6254" s="284" t="e">
        <f>++Tabla4[[#This Row],[Utilidad Total]]/Tabla4[[#This Row],[Total]]</f>
        <v>#N/A</v>
      </c>
      <c r="P6254" s="282">
        <f>++Tabla4[[#This Row],[Precio Descontado]]*Tabla4[[#This Row],[Cantidad]]</f>
        <v>1936.7704229999997</v>
      </c>
      <c r="Q6254" s="282" t="e">
        <f>(INDEX(Tabla6[#All],MATCH(Tabla4[[#This Row],[Producto]],Tabla6[[#All],[PRODUCTO]],0),MATCH(Tabla4[[#This Row],[Mes]],Tabla6[#Headers],0)))</f>
        <v>#N/A</v>
      </c>
      <c r="R6254" s="282" t="e">
        <f>++Tabla4[[#This Row],[Precio Unitario Neto]]-Tabla4[[#This Row],[20.85%]]-Tabla4[[#This Row],[Costo]]</f>
        <v>#N/A</v>
      </c>
      <c r="S6254" s="282" t="e">
        <f>++Tabla4[[#This Row],[U. Bruta Uni]]*Tabla4[[#This Row],[Cantidad]]</f>
        <v>#N/A</v>
      </c>
      <c r="T6254" s="369" t="str">
        <f>VLOOKUP(Tabla4[[#This Row],[Producto]],Tabla6[#All],14,FALSE)</f>
        <v>Termico Solar</v>
      </c>
      <c r="U6254" s="284" t="e">
        <f>(IF(Tabla4[[#This Row],[Familia]]="termico solar",Tabla4[[#This Row],[Utilidad Total]]*6%,Tabla4[[#This Row],[Utilidad Total]]*11.5%))/Tabla4[[#This Row],[Total]]</f>
        <v>#N/A</v>
      </c>
      <c r="V6254" s="282" t="e">
        <f>+Tabla4[[#This Row],[Comisión Calculada]]*Tabla4[[#This Row],[Total]]</f>
        <v>#N/A</v>
      </c>
    </row>
    <row r="6255" spans="1:22" hidden="1" x14ac:dyDescent="0.25">
      <c r="A6255" s="100">
        <v>45945</v>
      </c>
      <c r="B6255" t="str">
        <f>TEXT(A6255, "mmmm")</f>
        <v>October</v>
      </c>
      <c r="C6255" s="46" t="s">
        <v>280</v>
      </c>
      <c r="F6255" s="366" t="s">
        <v>3200</v>
      </c>
      <c r="G6255" s="46" t="s">
        <v>83</v>
      </c>
      <c r="H6255" s="46">
        <v>2</v>
      </c>
      <c r="I6255" s="51">
        <v>8858.76</v>
      </c>
      <c r="J6255" s="281">
        <f>++Tabla4[[#This Row],[Precio Bruto]]*1.16</f>
        <v>10276.161599999999</v>
      </c>
      <c r="K6255" s="281">
        <f>+Tabla4[[#This Row],[Precio Unitario Neto]]*Tabla4[[#Headers],[20.85%]]</f>
        <v>2142.5796935999997</v>
      </c>
      <c r="L6255" s="282">
        <f>++Tabla4[[#This Row],[Precio Unitario Neto]]-Tabla4[[#This Row],[20.85%]]</f>
        <v>8133.5819063999998</v>
      </c>
      <c r="M6255" s="282" t="e">
        <f>(INDEX(Tabla6[#All],MATCH(Tabla4[[#This Row],[Producto]],Tabla6[[#All],[PRODUCTO]],0),MATCH(Tabla4[[#This Row],[Mes]],Tabla6[#Headers],0)))*(1+Catalogos!$L$2)</f>
        <v>#N/A</v>
      </c>
      <c r="N6255" s="283" t="e">
        <f>+(Tabla4[[#This Row],[Precio Descontado]]-Tabla4[[#This Row],[Precio Base]])*Tabla4[[#This Row],[Cantidad]]</f>
        <v>#N/A</v>
      </c>
      <c r="O6255" s="284" t="e">
        <f>++Tabla4[[#This Row],[Utilidad Total]]/Tabla4[[#This Row],[Total]]</f>
        <v>#N/A</v>
      </c>
      <c r="P6255" s="282">
        <f>++Tabla4[[#This Row],[Precio Descontado]]*Tabla4[[#This Row],[Cantidad]]</f>
        <v>16267.1638128</v>
      </c>
      <c r="Q6255" s="282" t="e">
        <f>(INDEX(Tabla6[#All],MATCH(Tabla4[[#This Row],[Producto]],Tabla6[[#All],[PRODUCTO]],0),MATCH(Tabla4[[#This Row],[Mes]],Tabla6[#Headers],0)))</f>
        <v>#N/A</v>
      </c>
      <c r="R6255" s="282" t="e">
        <f>++Tabla4[[#This Row],[Precio Unitario Neto]]-Tabla4[[#This Row],[20.85%]]-Tabla4[[#This Row],[Costo]]</f>
        <v>#N/A</v>
      </c>
      <c r="S6255" s="282" t="e">
        <f>++Tabla4[[#This Row],[U. Bruta Uni]]*Tabla4[[#This Row],[Cantidad]]</f>
        <v>#N/A</v>
      </c>
      <c r="T6255" s="369" t="str">
        <f>VLOOKUP(Tabla4[[#This Row],[Producto]],Tabla6[#All],14,FALSE)</f>
        <v>Termico Solar</v>
      </c>
      <c r="U6255" s="284" t="e">
        <f>(IF(Tabla4[[#This Row],[Familia]]="termico solar",Tabla4[[#This Row],[Utilidad Total]]*6%,Tabla4[[#This Row],[Utilidad Total]]*11.5%))/Tabla4[[#This Row],[Total]]</f>
        <v>#N/A</v>
      </c>
      <c r="V6255" s="282" t="e">
        <f>+Tabla4[[#This Row],[Comisión Calculada]]*Tabla4[[#This Row],[Total]]</f>
        <v>#N/A</v>
      </c>
    </row>
    <row r="6256" spans="1:22" hidden="1" x14ac:dyDescent="0.25">
      <c r="A6256" s="100">
        <v>45945</v>
      </c>
      <c r="B6256" t="str">
        <f t="shared" ref="B6256:B6258" si="297">TEXT(A6256, "mmmm")</f>
        <v>October</v>
      </c>
      <c r="C6256" s="46" t="s">
        <v>280</v>
      </c>
      <c r="F6256" s="366" t="s">
        <v>3201</v>
      </c>
      <c r="G6256" s="46" t="s">
        <v>17</v>
      </c>
      <c r="H6256" s="46">
        <v>2</v>
      </c>
      <c r="I6256" s="51">
        <v>4622.28</v>
      </c>
      <c r="J6256" s="281">
        <f>++Tabla4[[#This Row],[Precio Bruto]]*1.16</f>
        <v>5361.8447999999989</v>
      </c>
      <c r="K6256" s="281">
        <f>+Tabla4[[#This Row],[Precio Unitario Neto]]*Tabla4[[#Headers],[20.85%]]</f>
        <v>1117.9446407999997</v>
      </c>
      <c r="L6256" s="282">
        <f>++Tabla4[[#This Row],[Precio Unitario Neto]]-Tabla4[[#This Row],[20.85%]]</f>
        <v>4243.9001591999995</v>
      </c>
      <c r="M6256" s="282" t="e">
        <f>(INDEX(Tabla6[#All],MATCH(Tabla4[[#This Row],[Producto]],Tabla6[[#All],[PRODUCTO]],0),MATCH(Tabla4[[#This Row],[Mes]],Tabla6[#Headers],0)))*(1+Catalogos!$L$2)</f>
        <v>#N/A</v>
      </c>
      <c r="N6256" s="283" t="e">
        <f>+(Tabla4[[#This Row],[Precio Descontado]]-Tabla4[[#This Row],[Precio Base]])*Tabla4[[#This Row],[Cantidad]]</f>
        <v>#N/A</v>
      </c>
      <c r="O6256" s="284" t="e">
        <f>++Tabla4[[#This Row],[Utilidad Total]]/Tabla4[[#This Row],[Total]]</f>
        <v>#N/A</v>
      </c>
      <c r="P6256" s="282">
        <f>++Tabla4[[#This Row],[Precio Descontado]]*Tabla4[[#This Row],[Cantidad]]</f>
        <v>8487.800318399999</v>
      </c>
      <c r="Q6256" s="282" t="e">
        <f>(INDEX(Tabla6[#All],MATCH(Tabla4[[#This Row],[Producto]],Tabla6[[#All],[PRODUCTO]],0),MATCH(Tabla4[[#This Row],[Mes]],Tabla6[#Headers],0)))</f>
        <v>#N/A</v>
      </c>
      <c r="R6256" s="282" t="e">
        <f>++Tabla4[[#This Row],[Precio Unitario Neto]]-Tabla4[[#This Row],[20.85%]]-Tabla4[[#This Row],[Costo]]</f>
        <v>#N/A</v>
      </c>
      <c r="S6256" s="282" t="e">
        <f>++Tabla4[[#This Row],[U. Bruta Uni]]*Tabla4[[#This Row],[Cantidad]]</f>
        <v>#N/A</v>
      </c>
      <c r="T6256" s="369" t="str">
        <f>VLOOKUP(Tabla4[[#This Row],[Producto]],Tabla6[#All],14,FALSE)</f>
        <v>Termico Solar</v>
      </c>
      <c r="U6256" s="284" t="e">
        <f>(IF(Tabla4[[#This Row],[Familia]]="termico solar",Tabla4[[#This Row],[Utilidad Total]]*6%,Tabla4[[#This Row],[Utilidad Total]]*11.5%))/Tabla4[[#This Row],[Total]]</f>
        <v>#N/A</v>
      </c>
      <c r="V6256" s="282" t="e">
        <f>+Tabla4[[#This Row],[Comisión Calculada]]*Tabla4[[#This Row],[Total]]</f>
        <v>#N/A</v>
      </c>
    </row>
    <row r="6257" spans="1:22" hidden="1" x14ac:dyDescent="0.25">
      <c r="A6257" s="100">
        <v>45945</v>
      </c>
      <c r="B6257" t="str">
        <f t="shared" si="297"/>
        <v>October</v>
      </c>
      <c r="C6257" s="46" t="s">
        <v>280</v>
      </c>
      <c r="F6257" s="366" t="s">
        <v>3201</v>
      </c>
      <c r="G6257" s="46" t="s">
        <v>566</v>
      </c>
      <c r="H6257" s="46">
        <v>1</v>
      </c>
      <c r="I6257" s="51">
        <v>2109.4499999999998</v>
      </c>
      <c r="J6257" s="281">
        <f>++Tabla4[[#This Row],[Precio Bruto]]*1.16</f>
        <v>2446.9619999999995</v>
      </c>
      <c r="K6257" s="281">
        <f>+Tabla4[[#This Row],[Precio Unitario Neto]]*Tabla4[[#Headers],[20.85%]]</f>
        <v>510.19157699999988</v>
      </c>
      <c r="L6257" s="282">
        <f>++Tabla4[[#This Row],[Precio Unitario Neto]]-Tabla4[[#This Row],[20.85%]]</f>
        <v>1936.7704229999997</v>
      </c>
      <c r="M6257" s="282" t="e">
        <f>(INDEX(Tabla6[#All],MATCH(Tabla4[[#This Row],[Producto]],Tabla6[[#All],[PRODUCTO]],0),MATCH(Tabla4[[#This Row],[Mes]],Tabla6[#Headers],0)))*(1+Catalogos!$L$2)</f>
        <v>#N/A</v>
      </c>
      <c r="N6257" s="283" t="e">
        <f>+(Tabla4[[#This Row],[Precio Descontado]]-Tabla4[[#This Row],[Precio Base]])*Tabla4[[#This Row],[Cantidad]]</f>
        <v>#N/A</v>
      </c>
      <c r="O6257" s="284" t="e">
        <f>++Tabla4[[#This Row],[Utilidad Total]]/Tabla4[[#This Row],[Total]]</f>
        <v>#N/A</v>
      </c>
      <c r="P6257" s="282">
        <f>++Tabla4[[#This Row],[Precio Descontado]]*Tabla4[[#This Row],[Cantidad]]</f>
        <v>1936.7704229999997</v>
      </c>
      <c r="Q6257" s="282" t="e">
        <f>(INDEX(Tabla6[#All],MATCH(Tabla4[[#This Row],[Producto]],Tabla6[[#All],[PRODUCTO]],0),MATCH(Tabla4[[#This Row],[Mes]],Tabla6[#Headers],0)))</f>
        <v>#N/A</v>
      </c>
      <c r="R6257" s="282" t="e">
        <f>++Tabla4[[#This Row],[Precio Unitario Neto]]-Tabla4[[#This Row],[20.85%]]-Tabla4[[#This Row],[Costo]]</f>
        <v>#N/A</v>
      </c>
      <c r="S6257" s="282" t="e">
        <f>++Tabla4[[#This Row],[U. Bruta Uni]]*Tabla4[[#This Row],[Cantidad]]</f>
        <v>#N/A</v>
      </c>
      <c r="T6257" s="369" t="str">
        <f>VLOOKUP(Tabla4[[#This Row],[Producto]],Tabla6[#All],14,FALSE)</f>
        <v>Termico Solar</v>
      </c>
      <c r="U6257" s="284" t="e">
        <f>(IF(Tabla4[[#This Row],[Familia]]="termico solar",Tabla4[[#This Row],[Utilidad Total]]*6%,Tabla4[[#This Row],[Utilidad Total]]*11.5%))/Tabla4[[#This Row],[Total]]</f>
        <v>#N/A</v>
      </c>
      <c r="V6257" s="282" t="e">
        <f>+Tabla4[[#This Row],[Comisión Calculada]]*Tabla4[[#This Row],[Total]]</f>
        <v>#N/A</v>
      </c>
    </row>
    <row r="6258" spans="1:22" hidden="1" x14ac:dyDescent="0.25">
      <c r="A6258" s="100">
        <v>45945</v>
      </c>
      <c r="B6258" t="str">
        <f t="shared" si="297"/>
        <v>October</v>
      </c>
      <c r="C6258" s="46" t="s">
        <v>280</v>
      </c>
      <c r="F6258" s="366" t="s">
        <v>3201</v>
      </c>
      <c r="G6258" s="46" t="s">
        <v>16</v>
      </c>
      <c r="H6258" s="46">
        <v>1</v>
      </c>
      <c r="I6258" s="51">
        <v>4103.8500000000004</v>
      </c>
      <c r="J6258" s="281">
        <f>++Tabla4[[#This Row],[Precio Bruto]]*1.16</f>
        <v>4760.4660000000003</v>
      </c>
      <c r="K6258" s="281">
        <f>+Tabla4[[#This Row],[Precio Unitario Neto]]*Tabla4[[#Headers],[20.85%]]</f>
        <v>992.55716100000006</v>
      </c>
      <c r="L6258" s="282">
        <f>++Tabla4[[#This Row],[Precio Unitario Neto]]-Tabla4[[#This Row],[20.85%]]</f>
        <v>3767.9088390000002</v>
      </c>
      <c r="M6258" s="282" t="e">
        <f>(INDEX(Tabla6[#All],MATCH(Tabla4[[#This Row],[Producto]],Tabla6[[#All],[PRODUCTO]],0),MATCH(Tabla4[[#This Row],[Mes]],Tabla6[#Headers],0)))*(1+Catalogos!$L$2)</f>
        <v>#N/A</v>
      </c>
      <c r="N6258" s="283" t="e">
        <f>+(Tabla4[[#This Row],[Precio Descontado]]-Tabla4[[#This Row],[Precio Base]])*Tabla4[[#This Row],[Cantidad]]</f>
        <v>#N/A</v>
      </c>
      <c r="O6258" s="284" t="e">
        <f>++Tabla4[[#This Row],[Utilidad Total]]/Tabla4[[#This Row],[Total]]</f>
        <v>#N/A</v>
      </c>
      <c r="P6258" s="282">
        <f>++Tabla4[[#This Row],[Precio Descontado]]*Tabla4[[#This Row],[Cantidad]]</f>
        <v>3767.9088390000002</v>
      </c>
      <c r="Q6258" s="282" t="e">
        <f>(INDEX(Tabla6[#All],MATCH(Tabla4[[#This Row],[Producto]],Tabla6[[#All],[PRODUCTO]],0),MATCH(Tabla4[[#This Row],[Mes]],Tabla6[#Headers],0)))</f>
        <v>#N/A</v>
      </c>
      <c r="R6258" s="282" t="e">
        <f>++Tabla4[[#This Row],[Precio Unitario Neto]]-Tabla4[[#This Row],[20.85%]]-Tabla4[[#This Row],[Costo]]</f>
        <v>#N/A</v>
      </c>
      <c r="S6258" s="282" t="e">
        <f>++Tabla4[[#This Row],[U. Bruta Uni]]*Tabla4[[#This Row],[Cantidad]]</f>
        <v>#N/A</v>
      </c>
      <c r="T6258" s="369" t="str">
        <f>VLOOKUP(Tabla4[[#This Row],[Producto]],Tabla6[#All],14,FALSE)</f>
        <v>Termico Solar</v>
      </c>
      <c r="U6258" s="284" t="e">
        <f>(IF(Tabla4[[#This Row],[Familia]]="termico solar",Tabla4[[#This Row],[Utilidad Total]]*6%,Tabla4[[#This Row],[Utilidad Total]]*11.5%))/Tabla4[[#This Row],[Total]]</f>
        <v>#N/A</v>
      </c>
      <c r="V6258" s="282" t="e">
        <f>+Tabla4[[#This Row],[Comisión Calculada]]*Tabla4[[#This Row],[Total]]</f>
        <v>#N/A</v>
      </c>
    </row>
    <row r="6259" spans="1:22" hidden="1" x14ac:dyDescent="0.25">
      <c r="A6259" s="100">
        <v>45945</v>
      </c>
      <c r="B6259" t="str">
        <f>TEXT(A6259, "mmmm")</f>
        <v>October</v>
      </c>
      <c r="C6259" s="46" t="s">
        <v>280</v>
      </c>
      <c r="F6259" s="366" t="s">
        <v>3202</v>
      </c>
      <c r="G6259" s="46" t="s">
        <v>83</v>
      </c>
      <c r="H6259" s="46">
        <v>1</v>
      </c>
      <c r="I6259" s="51">
        <v>8858.76</v>
      </c>
      <c r="J6259" s="281">
        <f>++Tabla4[[#This Row],[Precio Bruto]]*1.16</f>
        <v>10276.161599999999</v>
      </c>
      <c r="K6259" s="281">
        <f>+Tabla4[[#This Row],[Precio Unitario Neto]]*Tabla4[[#Headers],[20.85%]]</f>
        <v>2142.5796935999997</v>
      </c>
      <c r="L6259" s="282">
        <f>++Tabla4[[#This Row],[Precio Unitario Neto]]-Tabla4[[#This Row],[20.85%]]</f>
        <v>8133.5819063999998</v>
      </c>
      <c r="M6259" s="282" t="e">
        <f>(INDEX(Tabla6[#All],MATCH(Tabla4[[#This Row],[Producto]],Tabla6[[#All],[PRODUCTO]],0),MATCH(Tabla4[[#This Row],[Mes]],Tabla6[#Headers],0)))*(1+Catalogos!$L$2)</f>
        <v>#N/A</v>
      </c>
      <c r="N6259" s="283" t="e">
        <f>+(Tabla4[[#This Row],[Precio Descontado]]-Tabla4[[#This Row],[Precio Base]])*Tabla4[[#This Row],[Cantidad]]</f>
        <v>#N/A</v>
      </c>
      <c r="O6259" s="284" t="e">
        <f>++Tabla4[[#This Row],[Utilidad Total]]/Tabla4[[#This Row],[Total]]</f>
        <v>#N/A</v>
      </c>
      <c r="P6259" s="282">
        <f>++Tabla4[[#This Row],[Precio Descontado]]*Tabla4[[#This Row],[Cantidad]]</f>
        <v>8133.5819063999998</v>
      </c>
      <c r="Q6259" s="282" t="e">
        <f>(INDEX(Tabla6[#All],MATCH(Tabla4[[#This Row],[Producto]],Tabla6[[#All],[PRODUCTO]],0),MATCH(Tabla4[[#This Row],[Mes]],Tabla6[#Headers],0)))</f>
        <v>#N/A</v>
      </c>
      <c r="R6259" s="282" t="e">
        <f>++Tabla4[[#This Row],[Precio Unitario Neto]]-Tabla4[[#This Row],[20.85%]]-Tabla4[[#This Row],[Costo]]</f>
        <v>#N/A</v>
      </c>
      <c r="S6259" s="282" t="e">
        <f>++Tabla4[[#This Row],[U. Bruta Uni]]*Tabla4[[#This Row],[Cantidad]]</f>
        <v>#N/A</v>
      </c>
      <c r="T6259" s="369" t="str">
        <f>VLOOKUP(Tabla4[[#This Row],[Producto]],Tabla6[#All],14,FALSE)</f>
        <v>Termico Solar</v>
      </c>
      <c r="U6259" s="284" t="e">
        <f>(IF(Tabla4[[#This Row],[Familia]]="termico solar",Tabla4[[#This Row],[Utilidad Total]]*6%,Tabla4[[#This Row],[Utilidad Total]]*11.5%))/Tabla4[[#This Row],[Total]]</f>
        <v>#N/A</v>
      </c>
      <c r="V6259" s="282" t="e">
        <f>+Tabla4[[#This Row],[Comisión Calculada]]*Tabla4[[#This Row],[Total]]</f>
        <v>#N/A</v>
      </c>
    </row>
    <row r="6260" spans="1:22" hidden="1" x14ac:dyDescent="0.25">
      <c r="A6260" s="100">
        <v>45945</v>
      </c>
      <c r="B6260" t="str">
        <f>TEXT(A6260, "mmmm")</f>
        <v>October</v>
      </c>
      <c r="C6260" s="46" t="s">
        <v>280</v>
      </c>
      <c r="F6260" s="366" t="s">
        <v>3203</v>
      </c>
      <c r="G6260" s="46" t="s">
        <v>17</v>
      </c>
      <c r="H6260" s="46">
        <v>1</v>
      </c>
      <c r="I6260" s="51">
        <v>4622.28</v>
      </c>
      <c r="J6260" s="281">
        <f>++Tabla4[[#This Row],[Precio Bruto]]*1.16</f>
        <v>5361.8447999999989</v>
      </c>
      <c r="K6260" s="281">
        <f>+Tabla4[[#This Row],[Precio Unitario Neto]]*Tabla4[[#Headers],[20.85%]]</f>
        <v>1117.9446407999997</v>
      </c>
      <c r="L6260" s="282">
        <f>++Tabla4[[#This Row],[Precio Unitario Neto]]-Tabla4[[#This Row],[20.85%]]</f>
        <v>4243.9001591999995</v>
      </c>
      <c r="M6260" s="282" t="e">
        <f>(INDEX(Tabla6[#All],MATCH(Tabla4[[#This Row],[Producto]],Tabla6[[#All],[PRODUCTO]],0),MATCH(Tabla4[[#This Row],[Mes]],Tabla6[#Headers],0)))*(1+Catalogos!$L$2)</f>
        <v>#N/A</v>
      </c>
      <c r="N6260" s="283" t="e">
        <f>+(Tabla4[[#This Row],[Precio Descontado]]-Tabla4[[#This Row],[Precio Base]])*Tabla4[[#This Row],[Cantidad]]</f>
        <v>#N/A</v>
      </c>
      <c r="O6260" s="284" t="e">
        <f>++Tabla4[[#This Row],[Utilidad Total]]/Tabla4[[#This Row],[Total]]</f>
        <v>#N/A</v>
      </c>
      <c r="P6260" s="282">
        <f>++Tabla4[[#This Row],[Precio Descontado]]*Tabla4[[#This Row],[Cantidad]]</f>
        <v>4243.9001591999995</v>
      </c>
      <c r="Q6260" s="282" t="e">
        <f>(INDEX(Tabla6[#All],MATCH(Tabla4[[#This Row],[Producto]],Tabla6[[#All],[PRODUCTO]],0),MATCH(Tabla4[[#This Row],[Mes]],Tabla6[#Headers],0)))</f>
        <v>#N/A</v>
      </c>
      <c r="R6260" s="282" t="e">
        <f>++Tabla4[[#This Row],[Precio Unitario Neto]]-Tabla4[[#This Row],[20.85%]]-Tabla4[[#This Row],[Costo]]</f>
        <v>#N/A</v>
      </c>
      <c r="S6260" s="282" t="e">
        <f>++Tabla4[[#This Row],[U. Bruta Uni]]*Tabla4[[#This Row],[Cantidad]]</f>
        <v>#N/A</v>
      </c>
      <c r="T6260" s="369" t="str">
        <f>VLOOKUP(Tabla4[[#This Row],[Producto]],Tabla6[#All],14,FALSE)</f>
        <v>Termico Solar</v>
      </c>
      <c r="U6260" s="284" t="e">
        <f>(IF(Tabla4[[#This Row],[Familia]]="termico solar",Tabla4[[#This Row],[Utilidad Total]]*6%,Tabla4[[#This Row],[Utilidad Total]]*11.5%))/Tabla4[[#This Row],[Total]]</f>
        <v>#N/A</v>
      </c>
      <c r="V6260" s="282" t="e">
        <f>+Tabla4[[#This Row],[Comisión Calculada]]*Tabla4[[#This Row],[Total]]</f>
        <v>#N/A</v>
      </c>
    </row>
    <row r="6261" spans="1:22" hidden="1" x14ac:dyDescent="0.25">
      <c r="A6261" s="100">
        <v>45945</v>
      </c>
      <c r="B6261" t="str">
        <f t="shared" ref="B6261:B6262" si="298">TEXT(A6261, "mmmm")</f>
        <v>October</v>
      </c>
      <c r="C6261" s="46" t="s">
        <v>280</v>
      </c>
      <c r="F6261" s="366" t="s">
        <v>3204</v>
      </c>
      <c r="G6261" s="46" t="s">
        <v>17</v>
      </c>
      <c r="H6261" s="46">
        <v>1</v>
      </c>
      <c r="I6261" s="51">
        <v>4622.28</v>
      </c>
      <c r="J6261" s="281">
        <f>++Tabla4[[#This Row],[Precio Bruto]]*1.16</f>
        <v>5361.8447999999989</v>
      </c>
      <c r="K6261" s="281">
        <f>+Tabla4[[#This Row],[Precio Unitario Neto]]*Tabla4[[#Headers],[20.85%]]</f>
        <v>1117.9446407999997</v>
      </c>
      <c r="L6261" s="282">
        <f>++Tabla4[[#This Row],[Precio Unitario Neto]]-Tabla4[[#This Row],[20.85%]]</f>
        <v>4243.9001591999995</v>
      </c>
      <c r="M6261" s="282" t="e">
        <f>(INDEX(Tabla6[#All],MATCH(Tabla4[[#This Row],[Producto]],Tabla6[[#All],[PRODUCTO]],0),MATCH(Tabla4[[#This Row],[Mes]],Tabla6[#Headers],0)))*(1+Catalogos!$L$2)</f>
        <v>#N/A</v>
      </c>
      <c r="N6261" s="283" t="e">
        <f>+(Tabla4[[#This Row],[Precio Descontado]]-Tabla4[[#This Row],[Precio Base]])*Tabla4[[#This Row],[Cantidad]]</f>
        <v>#N/A</v>
      </c>
      <c r="O6261" s="284" t="e">
        <f>++Tabla4[[#This Row],[Utilidad Total]]/Tabla4[[#This Row],[Total]]</f>
        <v>#N/A</v>
      </c>
      <c r="P6261" s="282">
        <f>++Tabla4[[#This Row],[Precio Descontado]]*Tabla4[[#This Row],[Cantidad]]</f>
        <v>4243.9001591999995</v>
      </c>
      <c r="Q6261" s="282" t="e">
        <f>(INDEX(Tabla6[#All],MATCH(Tabla4[[#This Row],[Producto]],Tabla6[[#All],[PRODUCTO]],0),MATCH(Tabla4[[#This Row],[Mes]],Tabla6[#Headers],0)))</f>
        <v>#N/A</v>
      </c>
      <c r="R6261" s="282" t="e">
        <f>++Tabla4[[#This Row],[Precio Unitario Neto]]-Tabla4[[#This Row],[20.85%]]-Tabla4[[#This Row],[Costo]]</f>
        <v>#N/A</v>
      </c>
      <c r="S6261" s="282" t="e">
        <f>++Tabla4[[#This Row],[U. Bruta Uni]]*Tabla4[[#This Row],[Cantidad]]</f>
        <v>#N/A</v>
      </c>
      <c r="T6261" s="369" t="str">
        <f>VLOOKUP(Tabla4[[#This Row],[Producto]],Tabla6[#All],14,FALSE)</f>
        <v>Termico Solar</v>
      </c>
      <c r="U6261" s="284" t="e">
        <f>(IF(Tabla4[[#This Row],[Familia]]="termico solar",Tabla4[[#This Row],[Utilidad Total]]*6%,Tabla4[[#This Row],[Utilidad Total]]*11.5%))/Tabla4[[#This Row],[Total]]</f>
        <v>#N/A</v>
      </c>
      <c r="V6261" s="282" t="e">
        <f>+Tabla4[[#This Row],[Comisión Calculada]]*Tabla4[[#This Row],[Total]]</f>
        <v>#N/A</v>
      </c>
    </row>
    <row r="6262" spans="1:22" hidden="1" x14ac:dyDescent="0.25">
      <c r="A6262" s="100">
        <v>45945</v>
      </c>
      <c r="B6262" t="str">
        <f t="shared" si="298"/>
        <v>October</v>
      </c>
      <c r="C6262" s="46" t="s">
        <v>280</v>
      </c>
      <c r="F6262" s="366" t="s">
        <v>3204</v>
      </c>
      <c r="G6262" s="46" t="s">
        <v>16</v>
      </c>
      <c r="H6262" s="46">
        <v>1</v>
      </c>
      <c r="I6262" s="51">
        <v>4103.8500000000004</v>
      </c>
      <c r="J6262" s="281">
        <f>++Tabla4[[#This Row],[Precio Bruto]]*1.16</f>
        <v>4760.4660000000003</v>
      </c>
      <c r="K6262" s="281">
        <f>+Tabla4[[#This Row],[Precio Unitario Neto]]*Tabla4[[#Headers],[20.85%]]</f>
        <v>992.55716100000006</v>
      </c>
      <c r="L6262" s="282">
        <f>++Tabla4[[#This Row],[Precio Unitario Neto]]-Tabla4[[#This Row],[20.85%]]</f>
        <v>3767.9088390000002</v>
      </c>
      <c r="M6262" s="282" t="e">
        <f>(INDEX(Tabla6[#All],MATCH(Tabla4[[#This Row],[Producto]],Tabla6[[#All],[PRODUCTO]],0),MATCH(Tabla4[[#This Row],[Mes]],Tabla6[#Headers],0)))*(1+Catalogos!$L$2)</f>
        <v>#N/A</v>
      </c>
      <c r="N6262" s="283" t="e">
        <f>+(Tabla4[[#This Row],[Precio Descontado]]-Tabla4[[#This Row],[Precio Base]])*Tabla4[[#This Row],[Cantidad]]</f>
        <v>#N/A</v>
      </c>
      <c r="O6262" s="284" t="e">
        <f>++Tabla4[[#This Row],[Utilidad Total]]/Tabla4[[#This Row],[Total]]</f>
        <v>#N/A</v>
      </c>
      <c r="P6262" s="282">
        <f>++Tabla4[[#This Row],[Precio Descontado]]*Tabla4[[#This Row],[Cantidad]]</f>
        <v>3767.9088390000002</v>
      </c>
      <c r="Q6262" s="282" t="e">
        <f>(INDEX(Tabla6[#All],MATCH(Tabla4[[#This Row],[Producto]],Tabla6[[#All],[PRODUCTO]],0),MATCH(Tabla4[[#This Row],[Mes]],Tabla6[#Headers],0)))</f>
        <v>#N/A</v>
      </c>
      <c r="R6262" s="282" t="e">
        <f>++Tabla4[[#This Row],[Precio Unitario Neto]]-Tabla4[[#This Row],[20.85%]]-Tabla4[[#This Row],[Costo]]</f>
        <v>#N/A</v>
      </c>
      <c r="S6262" s="282" t="e">
        <f>++Tabla4[[#This Row],[U. Bruta Uni]]*Tabla4[[#This Row],[Cantidad]]</f>
        <v>#N/A</v>
      </c>
      <c r="T6262" s="369" t="str">
        <f>VLOOKUP(Tabla4[[#This Row],[Producto]],Tabla6[#All],14,FALSE)</f>
        <v>Termico Solar</v>
      </c>
      <c r="U6262" s="284" t="e">
        <f>(IF(Tabla4[[#This Row],[Familia]]="termico solar",Tabla4[[#This Row],[Utilidad Total]]*6%,Tabla4[[#This Row],[Utilidad Total]]*11.5%))/Tabla4[[#This Row],[Total]]</f>
        <v>#N/A</v>
      </c>
      <c r="V6262" s="282" t="e">
        <f>+Tabla4[[#This Row],[Comisión Calculada]]*Tabla4[[#This Row],[Total]]</f>
        <v>#N/A</v>
      </c>
    </row>
    <row r="6263" spans="1:22" hidden="1" x14ac:dyDescent="0.25">
      <c r="A6263" s="100">
        <v>45945</v>
      </c>
      <c r="B6263" t="str">
        <f>TEXT(A6263, "mmmm")</f>
        <v>October</v>
      </c>
      <c r="C6263" s="46" t="s">
        <v>280</v>
      </c>
      <c r="F6263" s="366" t="s">
        <v>3205</v>
      </c>
      <c r="G6263" s="46" t="s">
        <v>555</v>
      </c>
      <c r="H6263" s="46">
        <v>8</v>
      </c>
      <c r="I6263" s="51">
        <v>389.47</v>
      </c>
      <c r="J6263" s="281">
        <f>++Tabla4[[#This Row],[Precio Bruto]]*1.16</f>
        <v>451.78519999999997</v>
      </c>
      <c r="K6263" s="281">
        <f>+Tabla4[[#This Row],[Precio Unitario Neto]]*Tabla4[[#Headers],[20.85%]]</f>
        <v>94.197214199999991</v>
      </c>
      <c r="L6263" s="282">
        <f>++Tabla4[[#This Row],[Precio Unitario Neto]]-Tabla4[[#This Row],[20.85%]]</f>
        <v>357.58798579999996</v>
      </c>
      <c r="M6263" s="282" t="e">
        <f>(INDEX(Tabla6[#All],MATCH(Tabla4[[#This Row],[Producto]],Tabla6[[#All],[PRODUCTO]],0),MATCH(Tabla4[[#This Row],[Mes]],Tabla6[#Headers],0)))*(1+Catalogos!$L$2)</f>
        <v>#N/A</v>
      </c>
      <c r="N6263" s="283" t="e">
        <f>+(Tabla4[[#This Row],[Precio Descontado]]-Tabla4[[#This Row],[Precio Base]])*Tabla4[[#This Row],[Cantidad]]</f>
        <v>#N/A</v>
      </c>
      <c r="O6263" s="284" t="e">
        <f>++Tabla4[[#This Row],[Utilidad Total]]/Tabla4[[#This Row],[Total]]</f>
        <v>#N/A</v>
      </c>
      <c r="P6263" s="282">
        <f>++Tabla4[[#This Row],[Precio Descontado]]*Tabla4[[#This Row],[Cantidad]]</f>
        <v>2860.7038863999996</v>
      </c>
      <c r="Q6263" s="282" t="e">
        <f>(INDEX(Tabla6[#All],MATCH(Tabla4[[#This Row],[Producto]],Tabla6[[#All],[PRODUCTO]],0),MATCH(Tabla4[[#This Row],[Mes]],Tabla6[#Headers],0)))</f>
        <v>#N/A</v>
      </c>
      <c r="R6263" s="282" t="e">
        <f>++Tabla4[[#This Row],[Precio Unitario Neto]]-Tabla4[[#This Row],[20.85%]]-Tabla4[[#This Row],[Costo]]</f>
        <v>#N/A</v>
      </c>
      <c r="S6263" s="282" t="e">
        <f>++Tabla4[[#This Row],[U. Bruta Uni]]*Tabla4[[#This Row],[Cantidad]]</f>
        <v>#N/A</v>
      </c>
      <c r="T6263" s="369" t="str">
        <f>VLOOKUP(Tabla4[[#This Row],[Producto]],Tabla6[#All],14,FALSE)</f>
        <v>Termico Solar</v>
      </c>
      <c r="U6263" s="284" t="e">
        <f>(IF(Tabla4[[#This Row],[Familia]]="termico solar",Tabla4[[#This Row],[Utilidad Total]]*6%,Tabla4[[#This Row],[Utilidad Total]]*11.5%))/Tabla4[[#This Row],[Total]]</f>
        <v>#N/A</v>
      </c>
      <c r="V6263" s="282" t="e">
        <f>+Tabla4[[#This Row],[Comisión Calculada]]*Tabla4[[#This Row],[Total]]</f>
        <v>#N/A</v>
      </c>
    </row>
    <row r="6264" spans="1:22" hidden="1" x14ac:dyDescent="0.25">
      <c r="A6264" s="100">
        <v>45945</v>
      </c>
      <c r="B6264" t="str">
        <f>TEXT(A6264, "mmmm")</f>
        <v>October</v>
      </c>
      <c r="C6264" s="46" t="s">
        <v>280</v>
      </c>
      <c r="F6264" s="366" t="s">
        <v>3206</v>
      </c>
      <c r="G6264" s="46" t="s">
        <v>83</v>
      </c>
      <c r="H6264" s="46">
        <v>1</v>
      </c>
      <c r="I6264" s="51">
        <v>8858.76</v>
      </c>
      <c r="J6264" s="281">
        <f>++Tabla4[[#This Row],[Precio Bruto]]*1.16</f>
        <v>10276.161599999999</v>
      </c>
      <c r="K6264" s="281">
        <f>+Tabla4[[#This Row],[Precio Unitario Neto]]*Tabla4[[#Headers],[20.85%]]</f>
        <v>2142.5796935999997</v>
      </c>
      <c r="L6264" s="282">
        <f>++Tabla4[[#This Row],[Precio Unitario Neto]]-Tabla4[[#This Row],[20.85%]]</f>
        <v>8133.5819063999998</v>
      </c>
      <c r="M6264" s="282" t="e">
        <f>(INDEX(Tabla6[#All],MATCH(Tabla4[[#This Row],[Producto]],Tabla6[[#All],[PRODUCTO]],0),MATCH(Tabla4[[#This Row],[Mes]],Tabla6[#Headers],0)))*(1+Catalogos!$L$2)</f>
        <v>#N/A</v>
      </c>
      <c r="N6264" s="283" t="e">
        <f>+(Tabla4[[#This Row],[Precio Descontado]]-Tabla4[[#This Row],[Precio Base]])*Tabla4[[#This Row],[Cantidad]]</f>
        <v>#N/A</v>
      </c>
      <c r="O6264" s="284" t="e">
        <f>++Tabla4[[#This Row],[Utilidad Total]]/Tabla4[[#This Row],[Total]]</f>
        <v>#N/A</v>
      </c>
      <c r="P6264" s="282">
        <f>++Tabla4[[#This Row],[Precio Descontado]]*Tabla4[[#This Row],[Cantidad]]</f>
        <v>8133.5819063999998</v>
      </c>
      <c r="Q6264" s="282" t="e">
        <f>(INDEX(Tabla6[#All],MATCH(Tabla4[[#This Row],[Producto]],Tabla6[[#All],[PRODUCTO]],0),MATCH(Tabla4[[#This Row],[Mes]],Tabla6[#Headers],0)))</f>
        <v>#N/A</v>
      </c>
      <c r="R6264" s="282" t="e">
        <f>++Tabla4[[#This Row],[Precio Unitario Neto]]-Tabla4[[#This Row],[20.85%]]-Tabla4[[#This Row],[Costo]]</f>
        <v>#N/A</v>
      </c>
      <c r="S6264" s="282" t="e">
        <f>++Tabla4[[#This Row],[U. Bruta Uni]]*Tabla4[[#This Row],[Cantidad]]</f>
        <v>#N/A</v>
      </c>
      <c r="T6264" s="369" t="str">
        <f>VLOOKUP(Tabla4[[#This Row],[Producto]],Tabla6[#All],14,FALSE)</f>
        <v>Termico Solar</v>
      </c>
      <c r="U6264" s="284" t="e">
        <f>(IF(Tabla4[[#This Row],[Familia]]="termico solar",Tabla4[[#This Row],[Utilidad Total]]*6%,Tabla4[[#This Row],[Utilidad Total]]*11.5%))/Tabla4[[#This Row],[Total]]</f>
        <v>#N/A</v>
      </c>
      <c r="V6264" s="282" t="e">
        <f>+Tabla4[[#This Row],[Comisión Calculada]]*Tabla4[[#This Row],[Total]]</f>
        <v>#N/A</v>
      </c>
    </row>
    <row r="6265" spans="1:22" hidden="1" x14ac:dyDescent="0.25">
      <c r="A6265" s="100">
        <v>45945</v>
      </c>
      <c r="B6265" t="str">
        <f>TEXT(A6265, "mmmm")</f>
        <v>October</v>
      </c>
      <c r="C6265" s="46" t="s">
        <v>280</v>
      </c>
      <c r="F6265" s="366" t="s">
        <v>3207</v>
      </c>
      <c r="G6265" s="46" t="s">
        <v>16</v>
      </c>
      <c r="H6265" s="46">
        <v>1</v>
      </c>
      <c r="I6265" s="51">
        <v>4103.8500000000004</v>
      </c>
      <c r="J6265" s="281">
        <f>++Tabla4[[#This Row],[Precio Bruto]]*1.16</f>
        <v>4760.4660000000003</v>
      </c>
      <c r="K6265" s="281">
        <f>+Tabla4[[#This Row],[Precio Unitario Neto]]*Tabla4[[#Headers],[20.85%]]</f>
        <v>992.55716100000006</v>
      </c>
      <c r="L6265" s="282">
        <f>++Tabla4[[#This Row],[Precio Unitario Neto]]-Tabla4[[#This Row],[20.85%]]</f>
        <v>3767.9088390000002</v>
      </c>
      <c r="M6265" s="282" t="e">
        <f>(INDEX(Tabla6[#All],MATCH(Tabla4[[#This Row],[Producto]],Tabla6[[#All],[PRODUCTO]],0),MATCH(Tabla4[[#This Row],[Mes]],Tabla6[#Headers],0)))*(1+Catalogos!$L$2)</f>
        <v>#N/A</v>
      </c>
      <c r="N6265" s="283" t="e">
        <f>+(Tabla4[[#This Row],[Precio Descontado]]-Tabla4[[#This Row],[Precio Base]])*Tabla4[[#This Row],[Cantidad]]</f>
        <v>#N/A</v>
      </c>
      <c r="O6265" s="284" t="e">
        <f>++Tabla4[[#This Row],[Utilidad Total]]/Tabla4[[#This Row],[Total]]</f>
        <v>#N/A</v>
      </c>
      <c r="P6265" s="282">
        <f>++Tabla4[[#This Row],[Precio Descontado]]*Tabla4[[#This Row],[Cantidad]]</f>
        <v>3767.9088390000002</v>
      </c>
      <c r="Q6265" s="282" t="e">
        <f>(INDEX(Tabla6[#All],MATCH(Tabla4[[#This Row],[Producto]],Tabla6[[#All],[PRODUCTO]],0),MATCH(Tabla4[[#This Row],[Mes]],Tabla6[#Headers],0)))</f>
        <v>#N/A</v>
      </c>
      <c r="R6265" s="282" t="e">
        <f>++Tabla4[[#This Row],[Precio Unitario Neto]]-Tabla4[[#This Row],[20.85%]]-Tabla4[[#This Row],[Costo]]</f>
        <v>#N/A</v>
      </c>
      <c r="S6265" s="282" t="e">
        <f>++Tabla4[[#This Row],[U. Bruta Uni]]*Tabla4[[#This Row],[Cantidad]]</f>
        <v>#N/A</v>
      </c>
      <c r="T6265" s="369" t="str">
        <f>VLOOKUP(Tabla4[[#This Row],[Producto]],Tabla6[#All],14,FALSE)</f>
        <v>Termico Solar</v>
      </c>
      <c r="U6265" s="284" t="e">
        <f>(IF(Tabla4[[#This Row],[Familia]]="termico solar",Tabla4[[#This Row],[Utilidad Total]]*6%,Tabla4[[#This Row],[Utilidad Total]]*11.5%))/Tabla4[[#This Row],[Total]]</f>
        <v>#N/A</v>
      </c>
      <c r="V6265" s="282" t="e">
        <f>+Tabla4[[#This Row],[Comisión Calculada]]*Tabla4[[#This Row],[Total]]</f>
        <v>#N/A</v>
      </c>
    </row>
    <row r="6266" spans="1:22" hidden="1" x14ac:dyDescent="0.25">
      <c r="A6266" s="100">
        <v>45945</v>
      </c>
      <c r="B6266" t="str">
        <f>TEXT(A6266, "mmmm")</f>
        <v>October</v>
      </c>
      <c r="C6266" s="46" t="s">
        <v>280</v>
      </c>
      <c r="F6266" s="366" t="s">
        <v>3208</v>
      </c>
      <c r="G6266" s="46" t="s">
        <v>16</v>
      </c>
      <c r="H6266" s="46">
        <v>1</v>
      </c>
      <c r="I6266" s="51">
        <v>4103.8500000000004</v>
      </c>
      <c r="J6266" s="281">
        <f>++Tabla4[[#This Row],[Precio Bruto]]*1.16</f>
        <v>4760.4660000000003</v>
      </c>
      <c r="K6266" s="281">
        <f>+Tabla4[[#This Row],[Precio Unitario Neto]]*Tabla4[[#Headers],[20.85%]]</f>
        <v>992.55716100000006</v>
      </c>
      <c r="L6266" s="282">
        <f>++Tabla4[[#This Row],[Precio Unitario Neto]]-Tabla4[[#This Row],[20.85%]]</f>
        <v>3767.9088390000002</v>
      </c>
      <c r="M6266" s="282" t="e">
        <f>(INDEX(Tabla6[#All],MATCH(Tabla4[[#This Row],[Producto]],Tabla6[[#All],[PRODUCTO]],0),MATCH(Tabla4[[#This Row],[Mes]],Tabla6[#Headers],0)))*(1+Catalogos!$L$2)</f>
        <v>#N/A</v>
      </c>
      <c r="N6266" s="283" t="e">
        <f>+(Tabla4[[#This Row],[Precio Descontado]]-Tabla4[[#This Row],[Precio Base]])*Tabla4[[#This Row],[Cantidad]]</f>
        <v>#N/A</v>
      </c>
      <c r="O6266" s="284" t="e">
        <f>++Tabla4[[#This Row],[Utilidad Total]]/Tabla4[[#This Row],[Total]]</f>
        <v>#N/A</v>
      </c>
      <c r="P6266" s="282">
        <f>++Tabla4[[#This Row],[Precio Descontado]]*Tabla4[[#This Row],[Cantidad]]</f>
        <v>3767.9088390000002</v>
      </c>
      <c r="Q6266" s="282" t="e">
        <f>(INDEX(Tabla6[#All],MATCH(Tabla4[[#This Row],[Producto]],Tabla6[[#All],[PRODUCTO]],0),MATCH(Tabla4[[#This Row],[Mes]],Tabla6[#Headers],0)))</f>
        <v>#N/A</v>
      </c>
      <c r="R6266" s="282" t="e">
        <f>++Tabla4[[#This Row],[Precio Unitario Neto]]-Tabla4[[#This Row],[20.85%]]-Tabla4[[#This Row],[Costo]]</f>
        <v>#N/A</v>
      </c>
      <c r="S6266" s="282" t="e">
        <f>++Tabla4[[#This Row],[U. Bruta Uni]]*Tabla4[[#This Row],[Cantidad]]</f>
        <v>#N/A</v>
      </c>
      <c r="T6266" s="369" t="str">
        <f>VLOOKUP(Tabla4[[#This Row],[Producto]],Tabla6[#All],14,FALSE)</f>
        <v>Termico Solar</v>
      </c>
      <c r="U6266" s="284" t="e">
        <f>(IF(Tabla4[[#This Row],[Familia]]="termico solar",Tabla4[[#This Row],[Utilidad Total]]*6%,Tabla4[[#This Row],[Utilidad Total]]*11.5%))/Tabla4[[#This Row],[Total]]</f>
        <v>#N/A</v>
      </c>
      <c r="V6266" s="282" t="e">
        <f>+Tabla4[[#This Row],[Comisión Calculada]]*Tabla4[[#This Row],[Total]]</f>
        <v>#N/A</v>
      </c>
    </row>
    <row r="6267" spans="1:22" hidden="1" x14ac:dyDescent="0.25">
      <c r="A6267" s="100">
        <v>45945</v>
      </c>
      <c r="B6267" t="str">
        <f t="shared" ref="B6267:B6268" si="299">TEXT(A6267, "mmmm")</f>
        <v>October</v>
      </c>
      <c r="C6267" s="46" t="s">
        <v>280</v>
      </c>
      <c r="F6267" s="366" t="s">
        <v>3209</v>
      </c>
      <c r="G6267" s="46" t="s">
        <v>83</v>
      </c>
      <c r="H6267" s="46">
        <v>1</v>
      </c>
      <c r="I6267" s="51">
        <v>8858.76</v>
      </c>
      <c r="J6267" s="281">
        <f>++Tabla4[[#This Row],[Precio Bruto]]*1.16</f>
        <v>10276.161599999999</v>
      </c>
      <c r="K6267" s="281">
        <f>+Tabla4[[#This Row],[Precio Unitario Neto]]*Tabla4[[#Headers],[20.85%]]</f>
        <v>2142.5796935999997</v>
      </c>
      <c r="L6267" s="282">
        <f>++Tabla4[[#This Row],[Precio Unitario Neto]]-Tabla4[[#This Row],[20.85%]]</f>
        <v>8133.5819063999998</v>
      </c>
      <c r="M6267" s="282" t="e">
        <f>(INDEX(Tabla6[#All],MATCH(Tabla4[[#This Row],[Producto]],Tabla6[[#All],[PRODUCTO]],0),MATCH(Tabla4[[#This Row],[Mes]],Tabla6[#Headers],0)))*(1+Catalogos!$L$2)</f>
        <v>#N/A</v>
      </c>
      <c r="N6267" s="283" t="e">
        <f>+(Tabla4[[#This Row],[Precio Descontado]]-Tabla4[[#This Row],[Precio Base]])*Tabla4[[#This Row],[Cantidad]]</f>
        <v>#N/A</v>
      </c>
      <c r="O6267" s="284" t="e">
        <f>++Tabla4[[#This Row],[Utilidad Total]]/Tabla4[[#This Row],[Total]]</f>
        <v>#N/A</v>
      </c>
      <c r="P6267" s="282">
        <f>++Tabla4[[#This Row],[Precio Descontado]]*Tabla4[[#This Row],[Cantidad]]</f>
        <v>8133.5819063999998</v>
      </c>
      <c r="Q6267" s="282" t="e">
        <f>(INDEX(Tabla6[#All],MATCH(Tabla4[[#This Row],[Producto]],Tabla6[[#All],[PRODUCTO]],0),MATCH(Tabla4[[#This Row],[Mes]],Tabla6[#Headers],0)))</f>
        <v>#N/A</v>
      </c>
      <c r="R6267" s="282" t="e">
        <f>++Tabla4[[#This Row],[Precio Unitario Neto]]-Tabla4[[#This Row],[20.85%]]-Tabla4[[#This Row],[Costo]]</f>
        <v>#N/A</v>
      </c>
      <c r="S6267" s="282" t="e">
        <f>++Tabla4[[#This Row],[U. Bruta Uni]]*Tabla4[[#This Row],[Cantidad]]</f>
        <v>#N/A</v>
      </c>
      <c r="T6267" s="369" t="str">
        <f>VLOOKUP(Tabla4[[#This Row],[Producto]],Tabla6[#All],14,FALSE)</f>
        <v>Termico Solar</v>
      </c>
      <c r="U6267" s="284" t="e">
        <f>(IF(Tabla4[[#This Row],[Familia]]="termico solar",Tabla4[[#This Row],[Utilidad Total]]*6%,Tabla4[[#This Row],[Utilidad Total]]*11.5%))/Tabla4[[#This Row],[Total]]</f>
        <v>#N/A</v>
      </c>
      <c r="V6267" s="282" t="e">
        <f>+Tabla4[[#This Row],[Comisión Calculada]]*Tabla4[[#This Row],[Total]]</f>
        <v>#N/A</v>
      </c>
    </row>
    <row r="6268" spans="1:22" hidden="1" x14ac:dyDescent="0.25">
      <c r="A6268" s="100">
        <v>45945</v>
      </c>
      <c r="B6268" t="str">
        <f t="shared" si="299"/>
        <v>October</v>
      </c>
      <c r="C6268" s="46" t="s">
        <v>280</v>
      </c>
      <c r="F6268" s="366" t="s">
        <v>3209</v>
      </c>
      <c r="G6268" s="46" t="s">
        <v>18</v>
      </c>
      <c r="H6268" s="46">
        <v>1</v>
      </c>
      <c r="I6268" s="51">
        <v>5367.65</v>
      </c>
      <c r="J6268" s="281">
        <f>++Tabla4[[#This Row],[Precio Bruto]]*1.16</f>
        <v>6226.4739999999993</v>
      </c>
      <c r="K6268" s="281">
        <f>+Tabla4[[#This Row],[Precio Unitario Neto]]*Tabla4[[#Headers],[20.85%]]</f>
        <v>1298.2198289999999</v>
      </c>
      <c r="L6268" s="282">
        <f>++Tabla4[[#This Row],[Precio Unitario Neto]]-Tabla4[[#This Row],[20.85%]]</f>
        <v>4928.2541709999996</v>
      </c>
      <c r="M6268" s="282" t="e">
        <f>(INDEX(Tabla6[#All],MATCH(Tabla4[[#This Row],[Producto]],Tabla6[[#All],[PRODUCTO]],0),MATCH(Tabla4[[#This Row],[Mes]],Tabla6[#Headers],0)))*(1+Catalogos!$L$2)</f>
        <v>#N/A</v>
      </c>
      <c r="N6268" s="283" t="e">
        <f>+(Tabla4[[#This Row],[Precio Descontado]]-Tabla4[[#This Row],[Precio Base]])*Tabla4[[#This Row],[Cantidad]]</f>
        <v>#N/A</v>
      </c>
      <c r="O6268" s="284" t="e">
        <f>++Tabla4[[#This Row],[Utilidad Total]]/Tabla4[[#This Row],[Total]]</f>
        <v>#N/A</v>
      </c>
      <c r="P6268" s="282">
        <f>++Tabla4[[#This Row],[Precio Descontado]]*Tabla4[[#This Row],[Cantidad]]</f>
        <v>4928.2541709999996</v>
      </c>
      <c r="Q6268" s="282" t="e">
        <f>(INDEX(Tabla6[#All],MATCH(Tabla4[[#This Row],[Producto]],Tabla6[[#All],[PRODUCTO]],0),MATCH(Tabla4[[#This Row],[Mes]],Tabla6[#Headers],0)))</f>
        <v>#N/A</v>
      </c>
      <c r="R6268" s="282" t="e">
        <f>++Tabla4[[#This Row],[Precio Unitario Neto]]-Tabla4[[#This Row],[20.85%]]-Tabla4[[#This Row],[Costo]]</f>
        <v>#N/A</v>
      </c>
      <c r="S6268" s="282" t="e">
        <f>++Tabla4[[#This Row],[U. Bruta Uni]]*Tabla4[[#This Row],[Cantidad]]</f>
        <v>#N/A</v>
      </c>
      <c r="T6268" s="369" t="str">
        <f>VLOOKUP(Tabla4[[#This Row],[Producto]],Tabla6[#All],14,FALSE)</f>
        <v>Termico Solar</v>
      </c>
      <c r="U6268" s="284" t="e">
        <f>(IF(Tabla4[[#This Row],[Familia]]="termico solar",Tabla4[[#This Row],[Utilidad Total]]*6%,Tabla4[[#This Row],[Utilidad Total]]*11.5%))/Tabla4[[#This Row],[Total]]</f>
        <v>#N/A</v>
      </c>
      <c r="V6268" s="282" t="e">
        <f>+Tabla4[[#This Row],[Comisión Calculada]]*Tabla4[[#This Row],[Total]]</f>
        <v>#N/A</v>
      </c>
    </row>
    <row r="6269" spans="1:22" hidden="1" x14ac:dyDescent="0.25">
      <c r="A6269" s="100">
        <v>45945</v>
      </c>
      <c r="B6269" t="str">
        <f>TEXT(A6269, "mmmm")</f>
        <v>October</v>
      </c>
      <c r="C6269" s="46" t="s">
        <v>280</v>
      </c>
      <c r="F6269" s="366" t="s">
        <v>3210</v>
      </c>
      <c r="G6269" s="46" t="s">
        <v>208</v>
      </c>
      <c r="H6269" s="46">
        <v>1</v>
      </c>
      <c r="I6269" s="51">
        <v>189.75</v>
      </c>
      <c r="J6269" s="281">
        <f>++Tabla4[[#This Row],[Precio Bruto]]*1.16</f>
        <v>220.10999999999999</v>
      </c>
      <c r="K6269" s="281">
        <f>+Tabla4[[#This Row],[Precio Unitario Neto]]*Tabla4[[#Headers],[20.85%]]</f>
        <v>45.892934999999994</v>
      </c>
      <c r="L6269" s="282">
        <f>++Tabla4[[#This Row],[Precio Unitario Neto]]-Tabla4[[#This Row],[20.85%]]</f>
        <v>174.21706499999999</v>
      </c>
      <c r="M6269" s="282" t="e">
        <f>(INDEX(Tabla6[#All],MATCH(Tabla4[[#This Row],[Producto]],Tabla6[[#All],[PRODUCTO]],0),MATCH(Tabla4[[#This Row],[Mes]],Tabla6[#Headers],0)))*(1+Catalogos!$L$2)</f>
        <v>#N/A</v>
      </c>
      <c r="N6269" s="283" t="e">
        <f>+(Tabla4[[#This Row],[Precio Descontado]]-Tabla4[[#This Row],[Precio Base]])*Tabla4[[#This Row],[Cantidad]]</f>
        <v>#N/A</v>
      </c>
      <c r="O6269" s="284" t="e">
        <f>++Tabla4[[#This Row],[Utilidad Total]]/Tabla4[[#This Row],[Total]]</f>
        <v>#N/A</v>
      </c>
      <c r="P6269" s="282">
        <f>++Tabla4[[#This Row],[Precio Descontado]]*Tabla4[[#This Row],[Cantidad]]</f>
        <v>174.21706499999999</v>
      </c>
      <c r="Q6269" s="282" t="e">
        <f>(INDEX(Tabla6[#All],MATCH(Tabla4[[#This Row],[Producto]],Tabla6[[#All],[PRODUCTO]],0),MATCH(Tabla4[[#This Row],[Mes]],Tabla6[#Headers],0)))</f>
        <v>#N/A</v>
      </c>
      <c r="R6269" s="282" t="e">
        <f>++Tabla4[[#This Row],[Precio Unitario Neto]]-Tabla4[[#This Row],[20.85%]]-Tabla4[[#This Row],[Costo]]</f>
        <v>#N/A</v>
      </c>
      <c r="S6269" s="282" t="e">
        <f>++Tabla4[[#This Row],[U. Bruta Uni]]*Tabla4[[#This Row],[Cantidad]]</f>
        <v>#N/A</v>
      </c>
      <c r="T6269" s="369" t="str">
        <f>VLOOKUP(Tabla4[[#This Row],[Producto]],Tabla6[#All],14,FALSE)</f>
        <v>Termico Solar</v>
      </c>
      <c r="U6269" s="284" t="e">
        <f>(IF(Tabla4[[#This Row],[Familia]]="termico solar",Tabla4[[#This Row],[Utilidad Total]]*6%,Tabla4[[#This Row],[Utilidad Total]]*11.5%))/Tabla4[[#This Row],[Total]]</f>
        <v>#N/A</v>
      </c>
      <c r="V6269" s="282" t="e">
        <f>+Tabla4[[#This Row],[Comisión Calculada]]*Tabla4[[#This Row],[Total]]</f>
        <v>#N/A</v>
      </c>
    </row>
    <row r="6270" spans="1:22" hidden="1" x14ac:dyDescent="0.25">
      <c r="A6270" s="100">
        <v>45945</v>
      </c>
      <c r="B6270" t="str">
        <f t="shared" ref="B6270:B6272" si="300">TEXT(A6270, "mmmm")</f>
        <v>October</v>
      </c>
      <c r="C6270" s="46" t="s">
        <v>280</v>
      </c>
      <c r="F6270" s="366" t="s">
        <v>3211</v>
      </c>
      <c r="G6270" s="46" t="s">
        <v>83</v>
      </c>
      <c r="H6270" s="46">
        <v>1</v>
      </c>
      <c r="I6270" s="51">
        <v>8858.76</v>
      </c>
      <c r="J6270" s="281">
        <f>++Tabla4[[#This Row],[Precio Bruto]]*1.16</f>
        <v>10276.161599999999</v>
      </c>
      <c r="K6270" s="281">
        <f>+Tabla4[[#This Row],[Precio Unitario Neto]]*Tabla4[[#Headers],[20.85%]]</f>
        <v>2142.5796935999997</v>
      </c>
      <c r="L6270" s="282">
        <f>++Tabla4[[#This Row],[Precio Unitario Neto]]-Tabla4[[#This Row],[20.85%]]</f>
        <v>8133.5819063999998</v>
      </c>
      <c r="M6270" s="282" t="e">
        <f>(INDEX(Tabla6[#All],MATCH(Tabla4[[#This Row],[Producto]],Tabla6[[#All],[PRODUCTO]],0),MATCH(Tabla4[[#This Row],[Mes]],Tabla6[#Headers],0)))*(1+Catalogos!$L$2)</f>
        <v>#N/A</v>
      </c>
      <c r="N6270" s="283" t="e">
        <f>+(Tabla4[[#This Row],[Precio Descontado]]-Tabla4[[#This Row],[Precio Base]])*Tabla4[[#This Row],[Cantidad]]</f>
        <v>#N/A</v>
      </c>
      <c r="O6270" s="284" t="e">
        <f>++Tabla4[[#This Row],[Utilidad Total]]/Tabla4[[#This Row],[Total]]</f>
        <v>#N/A</v>
      </c>
      <c r="P6270" s="282">
        <f>++Tabla4[[#This Row],[Precio Descontado]]*Tabla4[[#This Row],[Cantidad]]</f>
        <v>8133.5819063999998</v>
      </c>
      <c r="Q6270" s="282" t="e">
        <f>(INDEX(Tabla6[#All],MATCH(Tabla4[[#This Row],[Producto]],Tabla6[[#All],[PRODUCTO]],0),MATCH(Tabla4[[#This Row],[Mes]],Tabla6[#Headers],0)))</f>
        <v>#N/A</v>
      </c>
      <c r="R6270" s="282" t="e">
        <f>++Tabla4[[#This Row],[Precio Unitario Neto]]-Tabla4[[#This Row],[20.85%]]-Tabla4[[#This Row],[Costo]]</f>
        <v>#N/A</v>
      </c>
      <c r="S6270" s="282" t="e">
        <f>++Tabla4[[#This Row],[U. Bruta Uni]]*Tabla4[[#This Row],[Cantidad]]</f>
        <v>#N/A</v>
      </c>
      <c r="T6270" s="369" t="str">
        <f>VLOOKUP(Tabla4[[#This Row],[Producto]],Tabla6[#All],14,FALSE)</f>
        <v>Termico Solar</v>
      </c>
      <c r="U6270" s="284" t="e">
        <f>(IF(Tabla4[[#This Row],[Familia]]="termico solar",Tabla4[[#This Row],[Utilidad Total]]*6%,Tabla4[[#This Row],[Utilidad Total]]*11.5%))/Tabla4[[#This Row],[Total]]</f>
        <v>#N/A</v>
      </c>
      <c r="V6270" s="282" t="e">
        <f>+Tabla4[[#This Row],[Comisión Calculada]]*Tabla4[[#This Row],[Total]]</f>
        <v>#N/A</v>
      </c>
    </row>
    <row r="6271" spans="1:22" hidden="1" x14ac:dyDescent="0.25">
      <c r="A6271" s="100">
        <v>45945</v>
      </c>
      <c r="B6271" t="str">
        <f t="shared" si="300"/>
        <v>October</v>
      </c>
      <c r="C6271" s="46" t="s">
        <v>280</v>
      </c>
      <c r="F6271" s="366" t="s">
        <v>3211</v>
      </c>
      <c r="G6271" s="46" t="s">
        <v>17</v>
      </c>
      <c r="H6271" s="46">
        <v>1</v>
      </c>
      <c r="I6271" s="51">
        <v>4622.28</v>
      </c>
      <c r="J6271" s="281">
        <f>++Tabla4[[#This Row],[Precio Bruto]]*1.16</f>
        <v>5361.8447999999989</v>
      </c>
      <c r="K6271" s="281">
        <f>+Tabla4[[#This Row],[Precio Unitario Neto]]*Tabla4[[#Headers],[20.85%]]</f>
        <v>1117.9446407999997</v>
      </c>
      <c r="L6271" s="282">
        <f>++Tabla4[[#This Row],[Precio Unitario Neto]]-Tabla4[[#This Row],[20.85%]]</f>
        <v>4243.9001591999995</v>
      </c>
      <c r="M6271" s="282" t="e">
        <f>(INDEX(Tabla6[#All],MATCH(Tabla4[[#This Row],[Producto]],Tabla6[[#All],[PRODUCTO]],0),MATCH(Tabla4[[#This Row],[Mes]],Tabla6[#Headers],0)))*(1+Catalogos!$L$2)</f>
        <v>#N/A</v>
      </c>
      <c r="N6271" s="283" t="e">
        <f>+(Tabla4[[#This Row],[Precio Descontado]]-Tabla4[[#This Row],[Precio Base]])*Tabla4[[#This Row],[Cantidad]]</f>
        <v>#N/A</v>
      </c>
      <c r="O6271" s="284" t="e">
        <f>++Tabla4[[#This Row],[Utilidad Total]]/Tabla4[[#This Row],[Total]]</f>
        <v>#N/A</v>
      </c>
      <c r="P6271" s="282">
        <f>++Tabla4[[#This Row],[Precio Descontado]]*Tabla4[[#This Row],[Cantidad]]</f>
        <v>4243.9001591999995</v>
      </c>
      <c r="Q6271" s="282" t="e">
        <f>(INDEX(Tabla6[#All],MATCH(Tabla4[[#This Row],[Producto]],Tabla6[[#All],[PRODUCTO]],0),MATCH(Tabla4[[#This Row],[Mes]],Tabla6[#Headers],0)))</f>
        <v>#N/A</v>
      </c>
      <c r="R6271" s="282" t="e">
        <f>++Tabla4[[#This Row],[Precio Unitario Neto]]-Tabla4[[#This Row],[20.85%]]-Tabla4[[#This Row],[Costo]]</f>
        <v>#N/A</v>
      </c>
      <c r="S6271" s="282" t="e">
        <f>++Tabla4[[#This Row],[U. Bruta Uni]]*Tabla4[[#This Row],[Cantidad]]</f>
        <v>#N/A</v>
      </c>
      <c r="T6271" s="369" t="str">
        <f>VLOOKUP(Tabla4[[#This Row],[Producto]],Tabla6[#All],14,FALSE)</f>
        <v>Termico Solar</v>
      </c>
      <c r="U6271" s="284" t="e">
        <f>(IF(Tabla4[[#This Row],[Familia]]="termico solar",Tabla4[[#This Row],[Utilidad Total]]*6%,Tabla4[[#This Row],[Utilidad Total]]*11.5%))/Tabla4[[#This Row],[Total]]</f>
        <v>#N/A</v>
      </c>
      <c r="V6271" s="282" t="e">
        <f>+Tabla4[[#This Row],[Comisión Calculada]]*Tabla4[[#This Row],[Total]]</f>
        <v>#N/A</v>
      </c>
    </row>
    <row r="6272" spans="1:22" hidden="1" x14ac:dyDescent="0.25">
      <c r="A6272" s="100">
        <v>45945</v>
      </c>
      <c r="B6272" t="str">
        <f t="shared" si="300"/>
        <v>October</v>
      </c>
      <c r="C6272" s="46" t="s">
        <v>280</v>
      </c>
      <c r="F6272" s="366" t="s">
        <v>3211</v>
      </c>
      <c r="G6272" s="46" t="s">
        <v>18</v>
      </c>
      <c r="H6272" s="46">
        <v>1</v>
      </c>
      <c r="I6272" s="51">
        <v>5367.65</v>
      </c>
      <c r="J6272" s="281">
        <f>++Tabla4[[#This Row],[Precio Bruto]]*1.16</f>
        <v>6226.4739999999993</v>
      </c>
      <c r="K6272" s="281">
        <f>+Tabla4[[#This Row],[Precio Unitario Neto]]*Tabla4[[#Headers],[20.85%]]</f>
        <v>1298.2198289999999</v>
      </c>
      <c r="L6272" s="282">
        <f>++Tabla4[[#This Row],[Precio Unitario Neto]]-Tabla4[[#This Row],[20.85%]]</f>
        <v>4928.2541709999996</v>
      </c>
      <c r="M6272" s="282" t="e">
        <f>(INDEX(Tabla6[#All],MATCH(Tabla4[[#This Row],[Producto]],Tabla6[[#All],[PRODUCTO]],0),MATCH(Tabla4[[#This Row],[Mes]],Tabla6[#Headers],0)))*(1+Catalogos!$L$2)</f>
        <v>#N/A</v>
      </c>
      <c r="N6272" s="283" t="e">
        <f>+(Tabla4[[#This Row],[Precio Descontado]]-Tabla4[[#This Row],[Precio Base]])*Tabla4[[#This Row],[Cantidad]]</f>
        <v>#N/A</v>
      </c>
      <c r="O6272" s="284" t="e">
        <f>++Tabla4[[#This Row],[Utilidad Total]]/Tabla4[[#This Row],[Total]]</f>
        <v>#N/A</v>
      </c>
      <c r="P6272" s="282">
        <f>++Tabla4[[#This Row],[Precio Descontado]]*Tabla4[[#This Row],[Cantidad]]</f>
        <v>4928.2541709999996</v>
      </c>
      <c r="Q6272" s="282" t="e">
        <f>(INDEX(Tabla6[#All],MATCH(Tabla4[[#This Row],[Producto]],Tabla6[[#All],[PRODUCTO]],0),MATCH(Tabla4[[#This Row],[Mes]],Tabla6[#Headers],0)))</f>
        <v>#N/A</v>
      </c>
      <c r="R6272" s="282" t="e">
        <f>++Tabla4[[#This Row],[Precio Unitario Neto]]-Tabla4[[#This Row],[20.85%]]-Tabla4[[#This Row],[Costo]]</f>
        <v>#N/A</v>
      </c>
      <c r="S6272" s="282" t="e">
        <f>++Tabla4[[#This Row],[U. Bruta Uni]]*Tabla4[[#This Row],[Cantidad]]</f>
        <v>#N/A</v>
      </c>
      <c r="T6272" s="369" t="str">
        <f>VLOOKUP(Tabla4[[#This Row],[Producto]],Tabla6[#All],14,FALSE)</f>
        <v>Termico Solar</v>
      </c>
      <c r="U6272" s="284" t="e">
        <f>(IF(Tabla4[[#This Row],[Familia]]="termico solar",Tabla4[[#This Row],[Utilidad Total]]*6%,Tabla4[[#This Row],[Utilidad Total]]*11.5%))/Tabla4[[#This Row],[Total]]</f>
        <v>#N/A</v>
      </c>
      <c r="V6272" s="282" t="e">
        <f>+Tabla4[[#This Row],[Comisión Calculada]]*Tabla4[[#This Row],[Total]]</f>
        <v>#N/A</v>
      </c>
    </row>
    <row r="6273" spans="1:22" hidden="1" x14ac:dyDescent="0.25">
      <c r="A6273" s="100">
        <v>45945</v>
      </c>
      <c r="B6273" t="str">
        <f t="shared" ref="B6273:B6275" si="301">TEXT(A6273, "mmmm")</f>
        <v>October</v>
      </c>
      <c r="C6273" s="46" t="s">
        <v>280</v>
      </c>
      <c r="F6273" s="366" t="s">
        <v>3212</v>
      </c>
      <c r="G6273" s="46" t="s">
        <v>18</v>
      </c>
      <c r="H6273" s="46">
        <v>1</v>
      </c>
      <c r="I6273" s="51">
        <v>5367.65</v>
      </c>
      <c r="J6273" s="281">
        <f>++Tabla4[[#This Row],[Precio Bruto]]*1.16</f>
        <v>6226.4739999999993</v>
      </c>
      <c r="K6273" s="281">
        <f>+Tabla4[[#This Row],[Precio Unitario Neto]]*Tabla4[[#Headers],[20.85%]]</f>
        <v>1298.2198289999999</v>
      </c>
      <c r="L6273" s="282">
        <f>++Tabla4[[#This Row],[Precio Unitario Neto]]-Tabla4[[#This Row],[20.85%]]</f>
        <v>4928.2541709999996</v>
      </c>
      <c r="M6273" s="282" t="e">
        <f>(INDEX(Tabla6[#All],MATCH(Tabla4[[#This Row],[Producto]],Tabla6[[#All],[PRODUCTO]],0),MATCH(Tabla4[[#This Row],[Mes]],Tabla6[#Headers],0)))*(1+Catalogos!$L$2)</f>
        <v>#N/A</v>
      </c>
      <c r="N6273" s="283" t="e">
        <f>+(Tabla4[[#This Row],[Precio Descontado]]-Tabla4[[#This Row],[Precio Base]])*Tabla4[[#This Row],[Cantidad]]</f>
        <v>#N/A</v>
      </c>
      <c r="O6273" s="284" t="e">
        <f>++Tabla4[[#This Row],[Utilidad Total]]/Tabla4[[#This Row],[Total]]</f>
        <v>#N/A</v>
      </c>
      <c r="P6273" s="282">
        <f>++Tabla4[[#This Row],[Precio Descontado]]*Tabla4[[#This Row],[Cantidad]]</f>
        <v>4928.2541709999996</v>
      </c>
      <c r="Q6273" s="282" t="e">
        <f>(INDEX(Tabla6[#All],MATCH(Tabla4[[#This Row],[Producto]],Tabla6[[#All],[PRODUCTO]],0),MATCH(Tabla4[[#This Row],[Mes]],Tabla6[#Headers],0)))</f>
        <v>#N/A</v>
      </c>
      <c r="R6273" s="282" t="e">
        <f>++Tabla4[[#This Row],[Precio Unitario Neto]]-Tabla4[[#This Row],[20.85%]]-Tabla4[[#This Row],[Costo]]</f>
        <v>#N/A</v>
      </c>
      <c r="S6273" s="282" t="e">
        <f>++Tabla4[[#This Row],[U. Bruta Uni]]*Tabla4[[#This Row],[Cantidad]]</f>
        <v>#N/A</v>
      </c>
      <c r="T6273" s="369" t="str">
        <f>VLOOKUP(Tabla4[[#This Row],[Producto]],Tabla6[#All],14,FALSE)</f>
        <v>Termico Solar</v>
      </c>
      <c r="U6273" s="284" t="e">
        <f>(IF(Tabla4[[#This Row],[Familia]]="termico solar",Tabla4[[#This Row],[Utilidad Total]]*6%,Tabla4[[#This Row],[Utilidad Total]]*11.5%))/Tabla4[[#This Row],[Total]]</f>
        <v>#N/A</v>
      </c>
      <c r="V6273" s="282" t="e">
        <f>+Tabla4[[#This Row],[Comisión Calculada]]*Tabla4[[#This Row],[Total]]</f>
        <v>#N/A</v>
      </c>
    </row>
    <row r="6274" spans="1:22" hidden="1" x14ac:dyDescent="0.25">
      <c r="A6274" s="100">
        <v>45945</v>
      </c>
      <c r="B6274" t="str">
        <f t="shared" si="301"/>
        <v>October</v>
      </c>
      <c r="C6274" s="46" t="s">
        <v>280</v>
      </c>
      <c r="F6274" s="366" t="s">
        <v>3212</v>
      </c>
      <c r="G6274" s="46" t="s">
        <v>566</v>
      </c>
      <c r="H6274" s="46">
        <v>2</v>
      </c>
      <c r="I6274" s="51">
        <v>2109.4499999999998</v>
      </c>
      <c r="J6274" s="281">
        <f>++Tabla4[[#This Row],[Precio Bruto]]*1.16</f>
        <v>2446.9619999999995</v>
      </c>
      <c r="K6274" s="281">
        <f>+Tabla4[[#This Row],[Precio Unitario Neto]]*Tabla4[[#Headers],[20.85%]]</f>
        <v>510.19157699999988</v>
      </c>
      <c r="L6274" s="282">
        <f>++Tabla4[[#This Row],[Precio Unitario Neto]]-Tabla4[[#This Row],[20.85%]]</f>
        <v>1936.7704229999997</v>
      </c>
      <c r="M6274" s="282" t="e">
        <f>(INDEX(Tabla6[#All],MATCH(Tabla4[[#This Row],[Producto]],Tabla6[[#All],[PRODUCTO]],0),MATCH(Tabla4[[#This Row],[Mes]],Tabla6[#Headers],0)))*(1+Catalogos!$L$2)</f>
        <v>#N/A</v>
      </c>
      <c r="N6274" s="283" t="e">
        <f>+(Tabla4[[#This Row],[Precio Descontado]]-Tabla4[[#This Row],[Precio Base]])*Tabla4[[#This Row],[Cantidad]]</f>
        <v>#N/A</v>
      </c>
      <c r="O6274" s="284" t="e">
        <f>++Tabla4[[#This Row],[Utilidad Total]]/Tabla4[[#This Row],[Total]]</f>
        <v>#N/A</v>
      </c>
      <c r="P6274" s="282">
        <f>++Tabla4[[#This Row],[Precio Descontado]]*Tabla4[[#This Row],[Cantidad]]</f>
        <v>3873.5408459999994</v>
      </c>
      <c r="Q6274" s="282" t="e">
        <f>(INDEX(Tabla6[#All],MATCH(Tabla4[[#This Row],[Producto]],Tabla6[[#All],[PRODUCTO]],0),MATCH(Tabla4[[#This Row],[Mes]],Tabla6[#Headers],0)))</f>
        <v>#N/A</v>
      </c>
      <c r="R6274" s="282" t="e">
        <f>++Tabla4[[#This Row],[Precio Unitario Neto]]-Tabla4[[#This Row],[20.85%]]-Tabla4[[#This Row],[Costo]]</f>
        <v>#N/A</v>
      </c>
      <c r="S6274" s="282" t="e">
        <f>++Tabla4[[#This Row],[U. Bruta Uni]]*Tabla4[[#This Row],[Cantidad]]</f>
        <v>#N/A</v>
      </c>
      <c r="T6274" s="369" t="str">
        <f>VLOOKUP(Tabla4[[#This Row],[Producto]],Tabla6[#All],14,FALSE)</f>
        <v>Termico Solar</v>
      </c>
      <c r="U6274" s="284" t="e">
        <f>(IF(Tabla4[[#This Row],[Familia]]="termico solar",Tabla4[[#This Row],[Utilidad Total]]*6%,Tabla4[[#This Row],[Utilidad Total]]*11.5%))/Tabla4[[#This Row],[Total]]</f>
        <v>#N/A</v>
      </c>
      <c r="V6274" s="282" t="e">
        <f>+Tabla4[[#This Row],[Comisión Calculada]]*Tabla4[[#This Row],[Total]]</f>
        <v>#N/A</v>
      </c>
    </row>
    <row r="6275" spans="1:22" hidden="1" x14ac:dyDescent="0.25">
      <c r="A6275" s="100">
        <v>45945</v>
      </c>
      <c r="B6275" t="str">
        <f t="shared" si="301"/>
        <v>October</v>
      </c>
      <c r="C6275" s="46" t="s">
        <v>280</v>
      </c>
      <c r="F6275" s="366" t="s">
        <v>3212</v>
      </c>
      <c r="G6275" s="46" t="s">
        <v>208</v>
      </c>
      <c r="H6275" s="46">
        <v>1</v>
      </c>
      <c r="I6275" s="51">
        <v>189.75</v>
      </c>
      <c r="J6275" s="281">
        <f>++Tabla4[[#This Row],[Precio Bruto]]*1.16</f>
        <v>220.10999999999999</v>
      </c>
      <c r="K6275" s="281">
        <f>+Tabla4[[#This Row],[Precio Unitario Neto]]*Tabla4[[#Headers],[20.85%]]</f>
        <v>45.892934999999994</v>
      </c>
      <c r="L6275" s="282">
        <f>++Tabla4[[#This Row],[Precio Unitario Neto]]-Tabla4[[#This Row],[20.85%]]</f>
        <v>174.21706499999999</v>
      </c>
      <c r="M6275" s="282" t="e">
        <f>(INDEX(Tabla6[#All],MATCH(Tabla4[[#This Row],[Producto]],Tabla6[[#All],[PRODUCTO]],0),MATCH(Tabla4[[#This Row],[Mes]],Tabla6[#Headers],0)))*(1+Catalogos!$L$2)</f>
        <v>#N/A</v>
      </c>
      <c r="N6275" s="283" t="e">
        <f>+(Tabla4[[#This Row],[Precio Descontado]]-Tabla4[[#This Row],[Precio Base]])*Tabla4[[#This Row],[Cantidad]]</f>
        <v>#N/A</v>
      </c>
      <c r="O6275" s="284" t="e">
        <f>++Tabla4[[#This Row],[Utilidad Total]]/Tabla4[[#This Row],[Total]]</f>
        <v>#N/A</v>
      </c>
      <c r="P6275" s="282">
        <f>++Tabla4[[#This Row],[Precio Descontado]]*Tabla4[[#This Row],[Cantidad]]</f>
        <v>174.21706499999999</v>
      </c>
      <c r="Q6275" s="282" t="e">
        <f>(INDEX(Tabla6[#All],MATCH(Tabla4[[#This Row],[Producto]],Tabla6[[#All],[PRODUCTO]],0),MATCH(Tabla4[[#This Row],[Mes]],Tabla6[#Headers],0)))</f>
        <v>#N/A</v>
      </c>
      <c r="R6275" s="282" t="e">
        <f>++Tabla4[[#This Row],[Precio Unitario Neto]]-Tabla4[[#This Row],[20.85%]]-Tabla4[[#This Row],[Costo]]</f>
        <v>#N/A</v>
      </c>
      <c r="S6275" s="282" t="e">
        <f>++Tabla4[[#This Row],[U. Bruta Uni]]*Tabla4[[#This Row],[Cantidad]]</f>
        <v>#N/A</v>
      </c>
      <c r="T6275" s="369" t="str">
        <f>VLOOKUP(Tabla4[[#This Row],[Producto]],Tabla6[#All],14,FALSE)</f>
        <v>Termico Solar</v>
      </c>
      <c r="U6275" s="284" t="e">
        <f>(IF(Tabla4[[#This Row],[Familia]]="termico solar",Tabla4[[#This Row],[Utilidad Total]]*6%,Tabla4[[#This Row],[Utilidad Total]]*11.5%))/Tabla4[[#This Row],[Total]]</f>
        <v>#N/A</v>
      </c>
      <c r="V6275" s="282" t="e">
        <f>+Tabla4[[#This Row],[Comisión Calculada]]*Tabla4[[#This Row],[Total]]</f>
        <v>#N/A</v>
      </c>
    </row>
    <row r="6276" spans="1:22" hidden="1" x14ac:dyDescent="0.25">
      <c r="A6276" s="100">
        <v>45945</v>
      </c>
      <c r="B6276" t="str">
        <f t="shared" ref="B6276:B6278" si="302">TEXT(A6276, "mmmm")</f>
        <v>October</v>
      </c>
      <c r="C6276" s="46" t="s">
        <v>280</v>
      </c>
      <c r="F6276" s="366" t="s">
        <v>3213</v>
      </c>
      <c r="G6276" s="46" t="s">
        <v>83</v>
      </c>
      <c r="H6276" s="46">
        <v>1</v>
      </c>
      <c r="I6276" s="51">
        <v>8858.76</v>
      </c>
      <c r="J6276" s="281">
        <f>++Tabla4[[#This Row],[Precio Bruto]]*1.16</f>
        <v>10276.161599999999</v>
      </c>
      <c r="K6276" s="281">
        <f>+Tabla4[[#This Row],[Precio Unitario Neto]]*Tabla4[[#Headers],[20.85%]]</f>
        <v>2142.5796935999997</v>
      </c>
      <c r="L6276" s="282">
        <f>++Tabla4[[#This Row],[Precio Unitario Neto]]-Tabla4[[#This Row],[20.85%]]</f>
        <v>8133.5819063999998</v>
      </c>
      <c r="M6276" s="282" t="e">
        <f>(INDEX(Tabla6[#All],MATCH(Tabla4[[#This Row],[Producto]],Tabla6[[#All],[PRODUCTO]],0),MATCH(Tabla4[[#This Row],[Mes]],Tabla6[#Headers],0)))*(1+Catalogos!$L$2)</f>
        <v>#N/A</v>
      </c>
      <c r="N6276" s="283" t="e">
        <f>+(Tabla4[[#This Row],[Precio Descontado]]-Tabla4[[#This Row],[Precio Base]])*Tabla4[[#This Row],[Cantidad]]</f>
        <v>#N/A</v>
      </c>
      <c r="O6276" s="284" t="e">
        <f>++Tabla4[[#This Row],[Utilidad Total]]/Tabla4[[#This Row],[Total]]</f>
        <v>#N/A</v>
      </c>
      <c r="P6276" s="282">
        <f>++Tabla4[[#This Row],[Precio Descontado]]*Tabla4[[#This Row],[Cantidad]]</f>
        <v>8133.5819063999998</v>
      </c>
      <c r="Q6276" s="282" t="e">
        <f>(INDEX(Tabla6[#All],MATCH(Tabla4[[#This Row],[Producto]],Tabla6[[#All],[PRODUCTO]],0),MATCH(Tabla4[[#This Row],[Mes]],Tabla6[#Headers],0)))</f>
        <v>#N/A</v>
      </c>
      <c r="R6276" s="282" t="e">
        <f>++Tabla4[[#This Row],[Precio Unitario Neto]]-Tabla4[[#This Row],[20.85%]]-Tabla4[[#This Row],[Costo]]</f>
        <v>#N/A</v>
      </c>
      <c r="S6276" s="282" t="e">
        <f>++Tabla4[[#This Row],[U. Bruta Uni]]*Tabla4[[#This Row],[Cantidad]]</f>
        <v>#N/A</v>
      </c>
      <c r="T6276" s="369" t="str">
        <f>VLOOKUP(Tabla4[[#This Row],[Producto]],Tabla6[#All],14,FALSE)</f>
        <v>Termico Solar</v>
      </c>
      <c r="U6276" s="284" t="e">
        <f>(IF(Tabla4[[#This Row],[Familia]]="termico solar",Tabla4[[#This Row],[Utilidad Total]]*6%,Tabla4[[#This Row],[Utilidad Total]]*11.5%))/Tabla4[[#This Row],[Total]]</f>
        <v>#N/A</v>
      </c>
      <c r="V6276" s="282" t="e">
        <f>+Tabla4[[#This Row],[Comisión Calculada]]*Tabla4[[#This Row],[Total]]</f>
        <v>#N/A</v>
      </c>
    </row>
    <row r="6277" spans="1:22" hidden="1" x14ac:dyDescent="0.25">
      <c r="A6277" s="100">
        <v>45945</v>
      </c>
      <c r="B6277" t="str">
        <f t="shared" si="302"/>
        <v>October</v>
      </c>
      <c r="C6277" s="46" t="s">
        <v>280</v>
      </c>
      <c r="F6277" s="366" t="s">
        <v>3213</v>
      </c>
      <c r="G6277" s="46" t="s">
        <v>17</v>
      </c>
      <c r="H6277" s="46">
        <v>1</v>
      </c>
      <c r="I6277" s="51">
        <v>4622.28</v>
      </c>
      <c r="J6277" s="281">
        <f>++Tabla4[[#This Row],[Precio Bruto]]*1.16</f>
        <v>5361.8447999999989</v>
      </c>
      <c r="K6277" s="281">
        <f>+Tabla4[[#This Row],[Precio Unitario Neto]]*Tabla4[[#Headers],[20.85%]]</f>
        <v>1117.9446407999997</v>
      </c>
      <c r="L6277" s="282">
        <f>++Tabla4[[#This Row],[Precio Unitario Neto]]-Tabla4[[#This Row],[20.85%]]</f>
        <v>4243.9001591999995</v>
      </c>
      <c r="M6277" s="282" t="e">
        <f>(INDEX(Tabla6[#All],MATCH(Tabla4[[#This Row],[Producto]],Tabla6[[#All],[PRODUCTO]],0),MATCH(Tabla4[[#This Row],[Mes]],Tabla6[#Headers],0)))*(1+Catalogos!$L$2)</f>
        <v>#N/A</v>
      </c>
      <c r="N6277" s="283" t="e">
        <f>+(Tabla4[[#This Row],[Precio Descontado]]-Tabla4[[#This Row],[Precio Base]])*Tabla4[[#This Row],[Cantidad]]</f>
        <v>#N/A</v>
      </c>
      <c r="O6277" s="284" t="e">
        <f>++Tabla4[[#This Row],[Utilidad Total]]/Tabla4[[#This Row],[Total]]</f>
        <v>#N/A</v>
      </c>
      <c r="P6277" s="282">
        <f>++Tabla4[[#This Row],[Precio Descontado]]*Tabla4[[#This Row],[Cantidad]]</f>
        <v>4243.9001591999995</v>
      </c>
      <c r="Q6277" s="282" t="e">
        <f>(INDEX(Tabla6[#All],MATCH(Tabla4[[#This Row],[Producto]],Tabla6[[#All],[PRODUCTO]],0),MATCH(Tabla4[[#This Row],[Mes]],Tabla6[#Headers],0)))</f>
        <v>#N/A</v>
      </c>
      <c r="R6277" s="282" t="e">
        <f>++Tabla4[[#This Row],[Precio Unitario Neto]]-Tabla4[[#This Row],[20.85%]]-Tabla4[[#This Row],[Costo]]</f>
        <v>#N/A</v>
      </c>
      <c r="S6277" s="282" t="e">
        <f>++Tabla4[[#This Row],[U. Bruta Uni]]*Tabla4[[#This Row],[Cantidad]]</f>
        <v>#N/A</v>
      </c>
      <c r="T6277" s="369" t="str">
        <f>VLOOKUP(Tabla4[[#This Row],[Producto]],Tabla6[#All],14,FALSE)</f>
        <v>Termico Solar</v>
      </c>
      <c r="U6277" s="284" t="e">
        <f>(IF(Tabla4[[#This Row],[Familia]]="termico solar",Tabla4[[#This Row],[Utilidad Total]]*6%,Tabla4[[#This Row],[Utilidad Total]]*11.5%))/Tabla4[[#This Row],[Total]]</f>
        <v>#N/A</v>
      </c>
      <c r="V6277" s="282" t="e">
        <f>+Tabla4[[#This Row],[Comisión Calculada]]*Tabla4[[#This Row],[Total]]</f>
        <v>#N/A</v>
      </c>
    </row>
    <row r="6278" spans="1:22" hidden="1" x14ac:dyDescent="0.25">
      <c r="A6278" s="100">
        <v>45945</v>
      </c>
      <c r="B6278" t="str">
        <f t="shared" si="302"/>
        <v>October</v>
      </c>
      <c r="C6278" s="46" t="s">
        <v>280</v>
      </c>
      <c r="F6278" s="366" t="s">
        <v>3213</v>
      </c>
      <c r="G6278" s="46" t="s">
        <v>566</v>
      </c>
      <c r="H6278" s="46">
        <v>1</v>
      </c>
      <c r="I6278" s="51">
        <v>2109.4499999999998</v>
      </c>
      <c r="J6278" s="281">
        <f>++Tabla4[[#This Row],[Precio Bruto]]*1.16</f>
        <v>2446.9619999999995</v>
      </c>
      <c r="K6278" s="281">
        <f>+Tabla4[[#This Row],[Precio Unitario Neto]]*Tabla4[[#Headers],[20.85%]]</f>
        <v>510.19157699999988</v>
      </c>
      <c r="L6278" s="282">
        <f>++Tabla4[[#This Row],[Precio Unitario Neto]]-Tabla4[[#This Row],[20.85%]]</f>
        <v>1936.7704229999997</v>
      </c>
      <c r="M6278" s="282" t="e">
        <f>(INDEX(Tabla6[#All],MATCH(Tabla4[[#This Row],[Producto]],Tabla6[[#All],[PRODUCTO]],0),MATCH(Tabla4[[#This Row],[Mes]],Tabla6[#Headers],0)))*(1+Catalogos!$L$2)</f>
        <v>#N/A</v>
      </c>
      <c r="N6278" s="283" t="e">
        <f>+(Tabla4[[#This Row],[Precio Descontado]]-Tabla4[[#This Row],[Precio Base]])*Tabla4[[#This Row],[Cantidad]]</f>
        <v>#N/A</v>
      </c>
      <c r="O6278" s="284" t="e">
        <f>++Tabla4[[#This Row],[Utilidad Total]]/Tabla4[[#This Row],[Total]]</f>
        <v>#N/A</v>
      </c>
      <c r="P6278" s="282">
        <f>++Tabla4[[#This Row],[Precio Descontado]]*Tabla4[[#This Row],[Cantidad]]</f>
        <v>1936.7704229999997</v>
      </c>
      <c r="Q6278" s="282" t="e">
        <f>(INDEX(Tabla6[#All],MATCH(Tabla4[[#This Row],[Producto]],Tabla6[[#All],[PRODUCTO]],0),MATCH(Tabla4[[#This Row],[Mes]],Tabla6[#Headers],0)))</f>
        <v>#N/A</v>
      </c>
      <c r="R6278" s="282" t="e">
        <f>++Tabla4[[#This Row],[Precio Unitario Neto]]-Tabla4[[#This Row],[20.85%]]-Tabla4[[#This Row],[Costo]]</f>
        <v>#N/A</v>
      </c>
      <c r="S6278" s="282" t="e">
        <f>++Tabla4[[#This Row],[U. Bruta Uni]]*Tabla4[[#This Row],[Cantidad]]</f>
        <v>#N/A</v>
      </c>
      <c r="T6278" s="369" t="str">
        <f>VLOOKUP(Tabla4[[#This Row],[Producto]],Tabla6[#All],14,FALSE)</f>
        <v>Termico Solar</v>
      </c>
      <c r="U6278" s="284" t="e">
        <f>(IF(Tabla4[[#This Row],[Familia]]="termico solar",Tabla4[[#This Row],[Utilidad Total]]*6%,Tabla4[[#This Row],[Utilidad Total]]*11.5%))/Tabla4[[#This Row],[Total]]</f>
        <v>#N/A</v>
      </c>
      <c r="V6278" s="282" t="e">
        <f>+Tabla4[[#This Row],[Comisión Calculada]]*Tabla4[[#This Row],[Total]]</f>
        <v>#N/A</v>
      </c>
    </row>
    <row r="6279" spans="1:22" hidden="1" x14ac:dyDescent="0.25">
      <c r="A6279" s="100">
        <v>45945</v>
      </c>
      <c r="B6279" t="str">
        <f t="shared" ref="B6279:B6281" si="303">TEXT(A6279, "mmmm")</f>
        <v>October</v>
      </c>
      <c r="C6279" s="46" t="s">
        <v>280</v>
      </c>
      <c r="F6279" s="366" t="s">
        <v>3214</v>
      </c>
      <c r="G6279" s="46" t="s">
        <v>17</v>
      </c>
      <c r="H6279" s="46">
        <v>1</v>
      </c>
      <c r="I6279" s="51">
        <v>4622.28</v>
      </c>
      <c r="J6279" s="281">
        <f>++Tabla4[[#This Row],[Precio Bruto]]*1.16</f>
        <v>5361.8447999999989</v>
      </c>
      <c r="K6279" s="281">
        <f>+Tabla4[[#This Row],[Precio Unitario Neto]]*Tabla4[[#Headers],[20.85%]]</f>
        <v>1117.9446407999997</v>
      </c>
      <c r="L6279" s="282">
        <f>++Tabla4[[#This Row],[Precio Unitario Neto]]-Tabla4[[#This Row],[20.85%]]</f>
        <v>4243.9001591999995</v>
      </c>
      <c r="M6279" s="282" t="e">
        <f>(INDEX(Tabla6[#All],MATCH(Tabla4[[#This Row],[Producto]],Tabla6[[#All],[PRODUCTO]],0),MATCH(Tabla4[[#This Row],[Mes]],Tabla6[#Headers],0)))*(1+Catalogos!$L$2)</f>
        <v>#N/A</v>
      </c>
      <c r="N6279" s="283" t="e">
        <f>+(Tabla4[[#This Row],[Precio Descontado]]-Tabla4[[#This Row],[Precio Base]])*Tabla4[[#This Row],[Cantidad]]</f>
        <v>#N/A</v>
      </c>
      <c r="O6279" s="284" t="e">
        <f>++Tabla4[[#This Row],[Utilidad Total]]/Tabla4[[#This Row],[Total]]</f>
        <v>#N/A</v>
      </c>
      <c r="P6279" s="282">
        <f>++Tabla4[[#This Row],[Precio Descontado]]*Tabla4[[#This Row],[Cantidad]]</f>
        <v>4243.9001591999995</v>
      </c>
      <c r="Q6279" s="282" t="e">
        <f>(INDEX(Tabla6[#All],MATCH(Tabla4[[#This Row],[Producto]],Tabla6[[#All],[PRODUCTO]],0),MATCH(Tabla4[[#This Row],[Mes]],Tabla6[#Headers],0)))</f>
        <v>#N/A</v>
      </c>
      <c r="R6279" s="282" t="e">
        <f>++Tabla4[[#This Row],[Precio Unitario Neto]]-Tabla4[[#This Row],[20.85%]]-Tabla4[[#This Row],[Costo]]</f>
        <v>#N/A</v>
      </c>
      <c r="S6279" s="282" t="e">
        <f>++Tabla4[[#This Row],[U. Bruta Uni]]*Tabla4[[#This Row],[Cantidad]]</f>
        <v>#N/A</v>
      </c>
      <c r="T6279" s="369" t="str">
        <f>VLOOKUP(Tabla4[[#This Row],[Producto]],Tabla6[#All],14,FALSE)</f>
        <v>Termico Solar</v>
      </c>
      <c r="U6279" s="284" t="e">
        <f>(IF(Tabla4[[#This Row],[Familia]]="termico solar",Tabla4[[#This Row],[Utilidad Total]]*6%,Tabla4[[#This Row],[Utilidad Total]]*11.5%))/Tabla4[[#This Row],[Total]]</f>
        <v>#N/A</v>
      </c>
      <c r="V6279" s="282" t="e">
        <f>+Tabla4[[#This Row],[Comisión Calculada]]*Tabla4[[#This Row],[Total]]</f>
        <v>#N/A</v>
      </c>
    </row>
    <row r="6280" spans="1:22" hidden="1" x14ac:dyDescent="0.25">
      <c r="A6280" s="100">
        <v>45945</v>
      </c>
      <c r="B6280" t="str">
        <f t="shared" si="303"/>
        <v>October</v>
      </c>
      <c r="C6280" s="46" t="s">
        <v>280</v>
      </c>
      <c r="F6280" s="366" t="s">
        <v>3214</v>
      </c>
      <c r="G6280" s="46" t="s">
        <v>18</v>
      </c>
      <c r="H6280" s="46">
        <v>2</v>
      </c>
      <c r="I6280" s="51">
        <v>5367.65</v>
      </c>
      <c r="J6280" s="281">
        <f>++Tabla4[[#This Row],[Precio Bruto]]*1.16</f>
        <v>6226.4739999999993</v>
      </c>
      <c r="K6280" s="281">
        <f>+Tabla4[[#This Row],[Precio Unitario Neto]]*Tabla4[[#Headers],[20.85%]]</f>
        <v>1298.2198289999999</v>
      </c>
      <c r="L6280" s="282">
        <f>++Tabla4[[#This Row],[Precio Unitario Neto]]-Tabla4[[#This Row],[20.85%]]</f>
        <v>4928.2541709999996</v>
      </c>
      <c r="M6280" s="282" t="e">
        <f>(INDEX(Tabla6[#All],MATCH(Tabla4[[#This Row],[Producto]],Tabla6[[#All],[PRODUCTO]],0),MATCH(Tabla4[[#This Row],[Mes]],Tabla6[#Headers],0)))*(1+Catalogos!$L$2)</f>
        <v>#N/A</v>
      </c>
      <c r="N6280" s="283" t="e">
        <f>+(Tabla4[[#This Row],[Precio Descontado]]-Tabla4[[#This Row],[Precio Base]])*Tabla4[[#This Row],[Cantidad]]</f>
        <v>#N/A</v>
      </c>
      <c r="O6280" s="284" t="e">
        <f>++Tabla4[[#This Row],[Utilidad Total]]/Tabla4[[#This Row],[Total]]</f>
        <v>#N/A</v>
      </c>
      <c r="P6280" s="282">
        <f>++Tabla4[[#This Row],[Precio Descontado]]*Tabla4[[#This Row],[Cantidad]]</f>
        <v>9856.5083419999992</v>
      </c>
      <c r="Q6280" s="282" t="e">
        <f>(INDEX(Tabla6[#All],MATCH(Tabla4[[#This Row],[Producto]],Tabla6[[#All],[PRODUCTO]],0),MATCH(Tabla4[[#This Row],[Mes]],Tabla6[#Headers],0)))</f>
        <v>#N/A</v>
      </c>
      <c r="R6280" s="282" t="e">
        <f>++Tabla4[[#This Row],[Precio Unitario Neto]]-Tabla4[[#This Row],[20.85%]]-Tabla4[[#This Row],[Costo]]</f>
        <v>#N/A</v>
      </c>
      <c r="S6280" s="282" t="e">
        <f>++Tabla4[[#This Row],[U. Bruta Uni]]*Tabla4[[#This Row],[Cantidad]]</f>
        <v>#N/A</v>
      </c>
      <c r="T6280" s="369" t="str">
        <f>VLOOKUP(Tabla4[[#This Row],[Producto]],Tabla6[#All],14,FALSE)</f>
        <v>Termico Solar</v>
      </c>
      <c r="U6280" s="284" t="e">
        <f>(IF(Tabla4[[#This Row],[Familia]]="termico solar",Tabla4[[#This Row],[Utilidad Total]]*6%,Tabla4[[#This Row],[Utilidad Total]]*11.5%))/Tabla4[[#This Row],[Total]]</f>
        <v>#N/A</v>
      </c>
      <c r="V6280" s="282" t="e">
        <f>+Tabla4[[#This Row],[Comisión Calculada]]*Tabla4[[#This Row],[Total]]</f>
        <v>#N/A</v>
      </c>
    </row>
    <row r="6281" spans="1:22" hidden="1" x14ac:dyDescent="0.25">
      <c r="A6281" s="100">
        <v>45945</v>
      </c>
      <c r="B6281" t="str">
        <f t="shared" si="303"/>
        <v>October</v>
      </c>
      <c r="C6281" s="46" t="s">
        <v>280</v>
      </c>
      <c r="F6281" s="366" t="s">
        <v>3214</v>
      </c>
      <c r="G6281" s="46" t="s">
        <v>208</v>
      </c>
      <c r="H6281" s="46">
        <v>1</v>
      </c>
      <c r="I6281" s="51">
        <v>189.75</v>
      </c>
      <c r="J6281" s="281">
        <f>++Tabla4[[#This Row],[Precio Bruto]]*1.16</f>
        <v>220.10999999999999</v>
      </c>
      <c r="K6281" s="281">
        <f>+Tabla4[[#This Row],[Precio Unitario Neto]]*Tabla4[[#Headers],[20.85%]]</f>
        <v>45.892934999999994</v>
      </c>
      <c r="L6281" s="282">
        <f>++Tabla4[[#This Row],[Precio Unitario Neto]]-Tabla4[[#This Row],[20.85%]]</f>
        <v>174.21706499999999</v>
      </c>
      <c r="M6281" s="282" t="e">
        <f>(INDEX(Tabla6[#All],MATCH(Tabla4[[#This Row],[Producto]],Tabla6[[#All],[PRODUCTO]],0),MATCH(Tabla4[[#This Row],[Mes]],Tabla6[#Headers],0)))*(1+Catalogos!$L$2)</f>
        <v>#N/A</v>
      </c>
      <c r="N6281" s="283" t="e">
        <f>+(Tabla4[[#This Row],[Precio Descontado]]-Tabla4[[#This Row],[Precio Base]])*Tabla4[[#This Row],[Cantidad]]</f>
        <v>#N/A</v>
      </c>
      <c r="O6281" s="284" t="e">
        <f>++Tabla4[[#This Row],[Utilidad Total]]/Tabla4[[#This Row],[Total]]</f>
        <v>#N/A</v>
      </c>
      <c r="P6281" s="282">
        <f>++Tabla4[[#This Row],[Precio Descontado]]*Tabla4[[#This Row],[Cantidad]]</f>
        <v>174.21706499999999</v>
      </c>
      <c r="Q6281" s="282" t="e">
        <f>(INDEX(Tabla6[#All],MATCH(Tabla4[[#This Row],[Producto]],Tabla6[[#All],[PRODUCTO]],0),MATCH(Tabla4[[#This Row],[Mes]],Tabla6[#Headers],0)))</f>
        <v>#N/A</v>
      </c>
      <c r="R6281" s="282" t="e">
        <f>++Tabla4[[#This Row],[Precio Unitario Neto]]-Tabla4[[#This Row],[20.85%]]-Tabla4[[#This Row],[Costo]]</f>
        <v>#N/A</v>
      </c>
      <c r="S6281" s="282" t="e">
        <f>++Tabla4[[#This Row],[U. Bruta Uni]]*Tabla4[[#This Row],[Cantidad]]</f>
        <v>#N/A</v>
      </c>
      <c r="T6281" s="369" t="str">
        <f>VLOOKUP(Tabla4[[#This Row],[Producto]],Tabla6[#All],14,FALSE)</f>
        <v>Termico Solar</v>
      </c>
      <c r="U6281" s="284" t="e">
        <f>(IF(Tabla4[[#This Row],[Familia]]="termico solar",Tabla4[[#This Row],[Utilidad Total]]*6%,Tabla4[[#This Row],[Utilidad Total]]*11.5%))/Tabla4[[#This Row],[Total]]</f>
        <v>#N/A</v>
      </c>
      <c r="V6281" s="282" t="e">
        <f>+Tabla4[[#This Row],[Comisión Calculada]]*Tabla4[[#This Row],[Total]]</f>
        <v>#N/A</v>
      </c>
    </row>
    <row r="6282" spans="1:22" hidden="1" x14ac:dyDescent="0.25">
      <c r="A6282" s="100">
        <v>45945</v>
      </c>
      <c r="B6282" t="str">
        <f t="shared" ref="B6282:B6284" si="304">TEXT(A6282, "mmmm")</f>
        <v>October</v>
      </c>
      <c r="C6282" s="46" t="s">
        <v>280</v>
      </c>
      <c r="F6282" s="366" t="s">
        <v>3215</v>
      </c>
      <c r="G6282" s="46" t="s">
        <v>83</v>
      </c>
      <c r="H6282" s="46">
        <v>1</v>
      </c>
      <c r="I6282" s="51">
        <v>8858.76</v>
      </c>
      <c r="J6282" s="281">
        <f>++Tabla4[[#This Row],[Precio Bruto]]*1.16</f>
        <v>10276.161599999999</v>
      </c>
      <c r="K6282" s="281">
        <f>+Tabla4[[#This Row],[Precio Unitario Neto]]*Tabla4[[#Headers],[20.85%]]</f>
        <v>2142.5796935999997</v>
      </c>
      <c r="L6282" s="282">
        <f>++Tabla4[[#This Row],[Precio Unitario Neto]]-Tabla4[[#This Row],[20.85%]]</f>
        <v>8133.5819063999998</v>
      </c>
      <c r="M6282" s="282" t="e">
        <f>(INDEX(Tabla6[#All],MATCH(Tabla4[[#This Row],[Producto]],Tabla6[[#All],[PRODUCTO]],0),MATCH(Tabla4[[#This Row],[Mes]],Tabla6[#Headers],0)))*(1+Catalogos!$L$2)</f>
        <v>#N/A</v>
      </c>
      <c r="N6282" s="283" t="e">
        <f>+(Tabla4[[#This Row],[Precio Descontado]]-Tabla4[[#This Row],[Precio Base]])*Tabla4[[#This Row],[Cantidad]]</f>
        <v>#N/A</v>
      </c>
      <c r="O6282" s="284" t="e">
        <f>++Tabla4[[#This Row],[Utilidad Total]]/Tabla4[[#This Row],[Total]]</f>
        <v>#N/A</v>
      </c>
      <c r="P6282" s="282">
        <f>++Tabla4[[#This Row],[Precio Descontado]]*Tabla4[[#This Row],[Cantidad]]</f>
        <v>8133.5819063999998</v>
      </c>
      <c r="Q6282" s="282" t="e">
        <f>(INDEX(Tabla6[#All],MATCH(Tabla4[[#This Row],[Producto]],Tabla6[[#All],[PRODUCTO]],0),MATCH(Tabla4[[#This Row],[Mes]],Tabla6[#Headers],0)))</f>
        <v>#N/A</v>
      </c>
      <c r="R6282" s="282" t="e">
        <f>++Tabla4[[#This Row],[Precio Unitario Neto]]-Tabla4[[#This Row],[20.85%]]-Tabla4[[#This Row],[Costo]]</f>
        <v>#N/A</v>
      </c>
      <c r="S6282" s="282" t="e">
        <f>++Tabla4[[#This Row],[U. Bruta Uni]]*Tabla4[[#This Row],[Cantidad]]</f>
        <v>#N/A</v>
      </c>
      <c r="T6282" s="369" t="str">
        <f>VLOOKUP(Tabla4[[#This Row],[Producto]],Tabla6[#All],14,FALSE)</f>
        <v>Termico Solar</v>
      </c>
      <c r="U6282" s="284" t="e">
        <f>(IF(Tabla4[[#This Row],[Familia]]="termico solar",Tabla4[[#This Row],[Utilidad Total]]*6%,Tabla4[[#This Row],[Utilidad Total]]*11.5%))/Tabla4[[#This Row],[Total]]</f>
        <v>#N/A</v>
      </c>
      <c r="V6282" s="282" t="e">
        <f>+Tabla4[[#This Row],[Comisión Calculada]]*Tabla4[[#This Row],[Total]]</f>
        <v>#N/A</v>
      </c>
    </row>
    <row r="6283" spans="1:22" hidden="1" x14ac:dyDescent="0.25">
      <c r="A6283" s="100">
        <v>45945</v>
      </c>
      <c r="B6283" t="str">
        <f t="shared" si="304"/>
        <v>October</v>
      </c>
      <c r="C6283" s="46" t="s">
        <v>280</v>
      </c>
      <c r="F6283" s="366" t="s">
        <v>3215</v>
      </c>
      <c r="G6283" s="46" t="s">
        <v>17</v>
      </c>
      <c r="H6283" s="46">
        <v>1</v>
      </c>
      <c r="I6283" s="51">
        <v>4622.28</v>
      </c>
      <c r="J6283" s="281">
        <f>++Tabla4[[#This Row],[Precio Bruto]]*1.16</f>
        <v>5361.8447999999989</v>
      </c>
      <c r="K6283" s="281">
        <f>+Tabla4[[#This Row],[Precio Unitario Neto]]*Tabla4[[#Headers],[20.85%]]</f>
        <v>1117.9446407999997</v>
      </c>
      <c r="L6283" s="282">
        <f>++Tabla4[[#This Row],[Precio Unitario Neto]]-Tabla4[[#This Row],[20.85%]]</f>
        <v>4243.9001591999995</v>
      </c>
      <c r="M6283" s="282" t="e">
        <f>(INDEX(Tabla6[#All],MATCH(Tabla4[[#This Row],[Producto]],Tabla6[[#All],[PRODUCTO]],0),MATCH(Tabla4[[#This Row],[Mes]],Tabla6[#Headers],0)))*(1+Catalogos!$L$2)</f>
        <v>#N/A</v>
      </c>
      <c r="N6283" s="283" t="e">
        <f>+(Tabla4[[#This Row],[Precio Descontado]]-Tabla4[[#This Row],[Precio Base]])*Tabla4[[#This Row],[Cantidad]]</f>
        <v>#N/A</v>
      </c>
      <c r="O6283" s="284" t="e">
        <f>++Tabla4[[#This Row],[Utilidad Total]]/Tabla4[[#This Row],[Total]]</f>
        <v>#N/A</v>
      </c>
      <c r="P6283" s="282">
        <f>++Tabla4[[#This Row],[Precio Descontado]]*Tabla4[[#This Row],[Cantidad]]</f>
        <v>4243.9001591999995</v>
      </c>
      <c r="Q6283" s="282" t="e">
        <f>(INDEX(Tabla6[#All],MATCH(Tabla4[[#This Row],[Producto]],Tabla6[[#All],[PRODUCTO]],0),MATCH(Tabla4[[#This Row],[Mes]],Tabla6[#Headers],0)))</f>
        <v>#N/A</v>
      </c>
      <c r="R6283" s="282" t="e">
        <f>++Tabla4[[#This Row],[Precio Unitario Neto]]-Tabla4[[#This Row],[20.85%]]-Tabla4[[#This Row],[Costo]]</f>
        <v>#N/A</v>
      </c>
      <c r="S6283" s="282" t="e">
        <f>++Tabla4[[#This Row],[U. Bruta Uni]]*Tabla4[[#This Row],[Cantidad]]</f>
        <v>#N/A</v>
      </c>
      <c r="T6283" s="369" t="str">
        <f>VLOOKUP(Tabla4[[#This Row],[Producto]],Tabla6[#All],14,FALSE)</f>
        <v>Termico Solar</v>
      </c>
      <c r="U6283" s="284" t="e">
        <f>(IF(Tabla4[[#This Row],[Familia]]="termico solar",Tabla4[[#This Row],[Utilidad Total]]*6%,Tabla4[[#This Row],[Utilidad Total]]*11.5%))/Tabla4[[#This Row],[Total]]</f>
        <v>#N/A</v>
      </c>
      <c r="V6283" s="282" t="e">
        <f>+Tabla4[[#This Row],[Comisión Calculada]]*Tabla4[[#This Row],[Total]]</f>
        <v>#N/A</v>
      </c>
    </row>
    <row r="6284" spans="1:22" hidden="1" x14ac:dyDescent="0.25">
      <c r="A6284" s="100">
        <v>45945</v>
      </c>
      <c r="B6284" t="str">
        <f t="shared" si="304"/>
        <v>October</v>
      </c>
      <c r="C6284" s="46" t="s">
        <v>280</v>
      </c>
      <c r="F6284" s="366" t="s">
        <v>3215</v>
      </c>
      <c r="G6284" s="46" t="s">
        <v>18</v>
      </c>
      <c r="H6284" s="46">
        <v>2</v>
      </c>
      <c r="I6284" s="51">
        <v>5367.65</v>
      </c>
      <c r="J6284" s="281">
        <f>++Tabla4[[#This Row],[Precio Bruto]]*1.16</f>
        <v>6226.4739999999993</v>
      </c>
      <c r="K6284" s="281">
        <f>+Tabla4[[#This Row],[Precio Unitario Neto]]*Tabla4[[#Headers],[20.85%]]</f>
        <v>1298.2198289999999</v>
      </c>
      <c r="L6284" s="282">
        <f>++Tabla4[[#This Row],[Precio Unitario Neto]]-Tabla4[[#This Row],[20.85%]]</f>
        <v>4928.2541709999996</v>
      </c>
      <c r="M6284" s="282" t="e">
        <f>(INDEX(Tabla6[#All],MATCH(Tabla4[[#This Row],[Producto]],Tabla6[[#All],[PRODUCTO]],0),MATCH(Tabla4[[#This Row],[Mes]],Tabla6[#Headers],0)))*(1+Catalogos!$L$2)</f>
        <v>#N/A</v>
      </c>
      <c r="N6284" s="283" t="e">
        <f>+(Tabla4[[#This Row],[Precio Descontado]]-Tabla4[[#This Row],[Precio Base]])*Tabla4[[#This Row],[Cantidad]]</f>
        <v>#N/A</v>
      </c>
      <c r="O6284" s="284" t="e">
        <f>++Tabla4[[#This Row],[Utilidad Total]]/Tabla4[[#This Row],[Total]]</f>
        <v>#N/A</v>
      </c>
      <c r="P6284" s="282">
        <f>++Tabla4[[#This Row],[Precio Descontado]]*Tabla4[[#This Row],[Cantidad]]</f>
        <v>9856.5083419999992</v>
      </c>
      <c r="Q6284" s="282" t="e">
        <f>(INDEX(Tabla6[#All],MATCH(Tabla4[[#This Row],[Producto]],Tabla6[[#All],[PRODUCTO]],0),MATCH(Tabla4[[#This Row],[Mes]],Tabla6[#Headers],0)))</f>
        <v>#N/A</v>
      </c>
      <c r="R6284" s="282" t="e">
        <f>++Tabla4[[#This Row],[Precio Unitario Neto]]-Tabla4[[#This Row],[20.85%]]-Tabla4[[#This Row],[Costo]]</f>
        <v>#N/A</v>
      </c>
      <c r="S6284" s="282" t="e">
        <f>++Tabla4[[#This Row],[U. Bruta Uni]]*Tabla4[[#This Row],[Cantidad]]</f>
        <v>#N/A</v>
      </c>
      <c r="T6284" s="369" t="str">
        <f>VLOOKUP(Tabla4[[#This Row],[Producto]],Tabla6[#All],14,FALSE)</f>
        <v>Termico Solar</v>
      </c>
      <c r="U6284" s="284" t="e">
        <f>(IF(Tabla4[[#This Row],[Familia]]="termico solar",Tabla4[[#This Row],[Utilidad Total]]*6%,Tabla4[[#This Row],[Utilidad Total]]*11.5%))/Tabla4[[#This Row],[Total]]</f>
        <v>#N/A</v>
      </c>
      <c r="V6284" s="282" t="e">
        <f>+Tabla4[[#This Row],[Comisión Calculada]]*Tabla4[[#This Row],[Total]]</f>
        <v>#N/A</v>
      </c>
    </row>
    <row r="6285" spans="1:22" hidden="1" x14ac:dyDescent="0.25">
      <c r="A6285" s="100">
        <v>45945</v>
      </c>
      <c r="B6285" t="str">
        <f t="shared" ref="B6285:B6286" si="305">TEXT(A6285, "mmmm")</f>
        <v>October</v>
      </c>
      <c r="C6285" s="46" t="s">
        <v>280</v>
      </c>
      <c r="F6285" s="366" t="s">
        <v>3216</v>
      </c>
      <c r="G6285" s="46" t="s">
        <v>83</v>
      </c>
      <c r="H6285" s="46">
        <v>1</v>
      </c>
      <c r="I6285" s="51">
        <v>8858.76</v>
      </c>
      <c r="J6285" s="281">
        <f>++Tabla4[[#This Row],[Precio Bruto]]*1.16</f>
        <v>10276.161599999999</v>
      </c>
      <c r="K6285" s="281">
        <f>+Tabla4[[#This Row],[Precio Unitario Neto]]*Tabla4[[#Headers],[20.85%]]</f>
        <v>2142.5796935999997</v>
      </c>
      <c r="L6285" s="282">
        <f>++Tabla4[[#This Row],[Precio Unitario Neto]]-Tabla4[[#This Row],[20.85%]]</f>
        <v>8133.5819063999998</v>
      </c>
      <c r="M6285" s="282" t="e">
        <f>(INDEX(Tabla6[#All],MATCH(Tabla4[[#This Row],[Producto]],Tabla6[[#All],[PRODUCTO]],0),MATCH(Tabla4[[#This Row],[Mes]],Tabla6[#Headers],0)))*(1+Catalogos!$L$2)</f>
        <v>#N/A</v>
      </c>
      <c r="N6285" s="283" t="e">
        <f>+(Tabla4[[#This Row],[Precio Descontado]]-Tabla4[[#This Row],[Precio Base]])*Tabla4[[#This Row],[Cantidad]]</f>
        <v>#N/A</v>
      </c>
      <c r="O6285" s="284" t="e">
        <f>++Tabla4[[#This Row],[Utilidad Total]]/Tabla4[[#This Row],[Total]]</f>
        <v>#N/A</v>
      </c>
      <c r="P6285" s="282">
        <f>++Tabla4[[#This Row],[Precio Descontado]]*Tabla4[[#This Row],[Cantidad]]</f>
        <v>8133.5819063999998</v>
      </c>
      <c r="Q6285" s="282" t="e">
        <f>(INDEX(Tabla6[#All],MATCH(Tabla4[[#This Row],[Producto]],Tabla6[[#All],[PRODUCTO]],0),MATCH(Tabla4[[#This Row],[Mes]],Tabla6[#Headers],0)))</f>
        <v>#N/A</v>
      </c>
      <c r="R6285" s="282" t="e">
        <f>++Tabla4[[#This Row],[Precio Unitario Neto]]-Tabla4[[#This Row],[20.85%]]-Tabla4[[#This Row],[Costo]]</f>
        <v>#N/A</v>
      </c>
      <c r="S6285" s="282" t="e">
        <f>++Tabla4[[#This Row],[U. Bruta Uni]]*Tabla4[[#This Row],[Cantidad]]</f>
        <v>#N/A</v>
      </c>
      <c r="T6285" s="369" t="str">
        <f>VLOOKUP(Tabla4[[#This Row],[Producto]],Tabla6[#All],14,FALSE)</f>
        <v>Termico Solar</v>
      </c>
      <c r="U6285" s="284" t="e">
        <f>(IF(Tabla4[[#This Row],[Familia]]="termico solar",Tabla4[[#This Row],[Utilidad Total]]*6%,Tabla4[[#This Row],[Utilidad Total]]*11.5%))/Tabla4[[#This Row],[Total]]</f>
        <v>#N/A</v>
      </c>
      <c r="V6285" s="282" t="e">
        <f>+Tabla4[[#This Row],[Comisión Calculada]]*Tabla4[[#This Row],[Total]]</f>
        <v>#N/A</v>
      </c>
    </row>
    <row r="6286" spans="1:22" hidden="1" x14ac:dyDescent="0.25">
      <c r="A6286" s="100">
        <v>45945</v>
      </c>
      <c r="B6286" t="str">
        <f t="shared" si="305"/>
        <v>October</v>
      </c>
      <c r="C6286" s="46" t="s">
        <v>280</v>
      </c>
      <c r="F6286" s="366" t="s">
        <v>3216</v>
      </c>
      <c r="G6286" s="46" t="s">
        <v>17</v>
      </c>
      <c r="H6286" s="46">
        <v>1</v>
      </c>
      <c r="I6286" s="51">
        <v>4622.28</v>
      </c>
      <c r="J6286" s="281">
        <f>++Tabla4[[#This Row],[Precio Bruto]]*1.16</f>
        <v>5361.8447999999989</v>
      </c>
      <c r="K6286" s="281">
        <f>+Tabla4[[#This Row],[Precio Unitario Neto]]*Tabla4[[#Headers],[20.85%]]</f>
        <v>1117.9446407999997</v>
      </c>
      <c r="L6286" s="282">
        <f>++Tabla4[[#This Row],[Precio Unitario Neto]]-Tabla4[[#This Row],[20.85%]]</f>
        <v>4243.9001591999995</v>
      </c>
      <c r="M6286" s="282" t="e">
        <f>(INDEX(Tabla6[#All],MATCH(Tabla4[[#This Row],[Producto]],Tabla6[[#All],[PRODUCTO]],0),MATCH(Tabla4[[#This Row],[Mes]],Tabla6[#Headers],0)))*(1+Catalogos!$L$2)</f>
        <v>#N/A</v>
      </c>
      <c r="N6286" s="283" t="e">
        <f>+(Tabla4[[#This Row],[Precio Descontado]]-Tabla4[[#This Row],[Precio Base]])*Tabla4[[#This Row],[Cantidad]]</f>
        <v>#N/A</v>
      </c>
      <c r="O6286" s="284" t="e">
        <f>++Tabla4[[#This Row],[Utilidad Total]]/Tabla4[[#This Row],[Total]]</f>
        <v>#N/A</v>
      </c>
      <c r="P6286" s="282">
        <f>++Tabla4[[#This Row],[Precio Descontado]]*Tabla4[[#This Row],[Cantidad]]</f>
        <v>4243.9001591999995</v>
      </c>
      <c r="Q6286" s="282" t="e">
        <f>(INDEX(Tabla6[#All],MATCH(Tabla4[[#This Row],[Producto]],Tabla6[[#All],[PRODUCTO]],0),MATCH(Tabla4[[#This Row],[Mes]],Tabla6[#Headers],0)))</f>
        <v>#N/A</v>
      </c>
      <c r="R6286" s="282" t="e">
        <f>++Tabla4[[#This Row],[Precio Unitario Neto]]-Tabla4[[#This Row],[20.85%]]-Tabla4[[#This Row],[Costo]]</f>
        <v>#N/A</v>
      </c>
      <c r="S6286" s="282" t="e">
        <f>++Tabla4[[#This Row],[U. Bruta Uni]]*Tabla4[[#This Row],[Cantidad]]</f>
        <v>#N/A</v>
      </c>
      <c r="T6286" s="369" t="str">
        <f>VLOOKUP(Tabla4[[#This Row],[Producto]],Tabla6[#All],14,FALSE)</f>
        <v>Termico Solar</v>
      </c>
      <c r="U6286" s="284" t="e">
        <f>(IF(Tabla4[[#This Row],[Familia]]="termico solar",Tabla4[[#This Row],[Utilidad Total]]*6%,Tabla4[[#This Row],[Utilidad Total]]*11.5%))/Tabla4[[#This Row],[Total]]</f>
        <v>#N/A</v>
      </c>
      <c r="V6286" s="282" t="e">
        <f>+Tabla4[[#This Row],[Comisión Calculada]]*Tabla4[[#This Row],[Total]]</f>
        <v>#N/A</v>
      </c>
    </row>
    <row r="6287" spans="1:22" hidden="1" x14ac:dyDescent="0.25">
      <c r="A6287" s="100">
        <v>45945</v>
      </c>
      <c r="B6287" t="str">
        <f t="shared" ref="B6287:B6288" si="306">TEXT(A6287, "mmmm")</f>
        <v>October</v>
      </c>
      <c r="C6287" s="46" t="s">
        <v>280</v>
      </c>
      <c r="F6287" s="366" t="s">
        <v>3217</v>
      </c>
      <c r="G6287" s="46" t="s">
        <v>18</v>
      </c>
      <c r="H6287" s="46">
        <v>3</v>
      </c>
      <c r="I6287" s="51">
        <v>5367.6500000000005</v>
      </c>
      <c r="J6287" s="281">
        <f>++Tabla4[[#This Row],[Precio Bruto]]*1.16</f>
        <v>6226.4740000000002</v>
      </c>
      <c r="K6287" s="281">
        <f>+Tabla4[[#This Row],[Precio Unitario Neto]]*Tabla4[[#Headers],[20.85%]]</f>
        <v>1298.2198289999999</v>
      </c>
      <c r="L6287" s="282">
        <f>++Tabla4[[#This Row],[Precio Unitario Neto]]-Tabla4[[#This Row],[20.85%]]</f>
        <v>4928.2541710000005</v>
      </c>
      <c r="M6287" s="282" t="e">
        <f>(INDEX(Tabla6[#All],MATCH(Tabla4[[#This Row],[Producto]],Tabla6[[#All],[PRODUCTO]],0),MATCH(Tabla4[[#This Row],[Mes]],Tabla6[#Headers],0)))*(1+Catalogos!$L$2)</f>
        <v>#N/A</v>
      </c>
      <c r="N6287" s="283" t="e">
        <f>+(Tabla4[[#This Row],[Precio Descontado]]-Tabla4[[#This Row],[Precio Base]])*Tabla4[[#This Row],[Cantidad]]</f>
        <v>#N/A</v>
      </c>
      <c r="O6287" s="284" t="e">
        <f>++Tabla4[[#This Row],[Utilidad Total]]/Tabla4[[#This Row],[Total]]</f>
        <v>#N/A</v>
      </c>
      <c r="P6287" s="282">
        <f>++Tabla4[[#This Row],[Precio Descontado]]*Tabla4[[#This Row],[Cantidad]]</f>
        <v>14784.762513000001</v>
      </c>
      <c r="Q6287" s="282" t="e">
        <f>(INDEX(Tabla6[#All],MATCH(Tabla4[[#This Row],[Producto]],Tabla6[[#All],[PRODUCTO]],0),MATCH(Tabla4[[#This Row],[Mes]],Tabla6[#Headers],0)))</f>
        <v>#N/A</v>
      </c>
      <c r="R6287" s="282" t="e">
        <f>++Tabla4[[#This Row],[Precio Unitario Neto]]-Tabla4[[#This Row],[20.85%]]-Tabla4[[#This Row],[Costo]]</f>
        <v>#N/A</v>
      </c>
      <c r="S6287" s="282" t="e">
        <f>++Tabla4[[#This Row],[U. Bruta Uni]]*Tabla4[[#This Row],[Cantidad]]</f>
        <v>#N/A</v>
      </c>
      <c r="T6287" s="369" t="str">
        <f>VLOOKUP(Tabla4[[#This Row],[Producto]],Tabla6[#All],14,FALSE)</f>
        <v>Termico Solar</v>
      </c>
      <c r="U6287" s="284" t="e">
        <f>(IF(Tabla4[[#This Row],[Familia]]="termico solar",Tabla4[[#This Row],[Utilidad Total]]*6%,Tabla4[[#This Row],[Utilidad Total]]*11.5%))/Tabla4[[#This Row],[Total]]</f>
        <v>#N/A</v>
      </c>
      <c r="V6287" s="282" t="e">
        <f>+Tabla4[[#This Row],[Comisión Calculada]]*Tabla4[[#This Row],[Total]]</f>
        <v>#N/A</v>
      </c>
    </row>
    <row r="6288" spans="1:22" hidden="1" x14ac:dyDescent="0.25">
      <c r="A6288" s="100">
        <v>45945</v>
      </c>
      <c r="B6288" t="str">
        <f t="shared" si="306"/>
        <v>October</v>
      </c>
      <c r="C6288" s="46" t="s">
        <v>280</v>
      </c>
      <c r="F6288" s="366" t="s">
        <v>3217</v>
      </c>
      <c r="G6288" s="46" t="s">
        <v>566</v>
      </c>
      <c r="H6288" s="46">
        <v>1</v>
      </c>
      <c r="I6288" s="51">
        <v>2109.4499999999998</v>
      </c>
      <c r="J6288" s="281">
        <f>++Tabla4[[#This Row],[Precio Bruto]]*1.16</f>
        <v>2446.9619999999995</v>
      </c>
      <c r="K6288" s="281">
        <f>+Tabla4[[#This Row],[Precio Unitario Neto]]*Tabla4[[#Headers],[20.85%]]</f>
        <v>510.19157699999988</v>
      </c>
      <c r="L6288" s="282">
        <f>++Tabla4[[#This Row],[Precio Unitario Neto]]-Tabla4[[#This Row],[20.85%]]</f>
        <v>1936.7704229999997</v>
      </c>
      <c r="M6288" s="282" t="e">
        <f>(INDEX(Tabla6[#All],MATCH(Tabla4[[#This Row],[Producto]],Tabla6[[#All],[PRODUCTO]],0),MATCH(Tabla4[[#This Row],[Mes]],Tabla6[#Headers],0)))*(1+Catalogos!$L$2)</f>
        <v>#N/A</v>
      </c>
      <c r="N6288" s="283" t="e">
        <f>+(Tabla4[[#This Row],[Precio Descontado]]-Tabla4[[#This Row],[Precio Base]])*Tabla4[[#This Row],[Cantidad]]</f>
        <v>#N/A</v>
      </c>
      <c r="O6288" s="284" t="e">
        <f>++Tabla4[[#This Row],[Utilidad Total]]/Tabla4[[#This Row],[Total]]</f>
        <v>#N/A</v>
      </c>
      <c r="P6288" s="282">
        <f>++Tabla4[[#This Row],[Precio Descontado]]*Tabla4[[#This Row],[Cantidad]]</f>
        <v>1936.7704229999997</v>
      </c>
      <c r="Q6288" s="282" t="e">
        <f>(INDEX(Tabla6[#All],MATCH(Tabla4[[#This Row],[Producto]],Tabla6[[#All],[PRODUCTO]],0),MATCH(Tabla4[[#This Row],[Mes]],Tabla6[#Headers],0)))</f>
        <v>#N/A</v>
      </c>
      <c r="R6288" s="282" t="e">
        <f>++Tabla4[[#This Row],[Precio Unitario Neto]]-Tabla4[[#This Row],[20.85%]]-Tabla4[[#This Row],[Costo]]</f>
        <v>#N/A</v>
      </c>
      <c r="S6288" s="282" t="e">
        <f>++Tabla4[[#This Row],[U. Bruta Uni]]*Tabla4[[#This Row],[Cantidad]]</f>
        <v>#N/A</v>
      </c>
      <c r="T6288" s="369" t="str">
        <f>VLOOKUP(Tabla4[[#This Row],[Producto]],Tabla6[#All],14,FALSE)</f>
        <v>Termico Solar</v>
      </c>
      <c r="U6288" s="284" t="e">
        <f>(IF(Tabla4[[#This Row],[Familia]]="termico solar",Tabla4[[#This Row],[Utilidad Total]]*6%,Tabla4[[#This Row],[Utilidad Total]]*11.5%))/Tabla4[[#This Row],[Total]]</f>
        <v>#N/A</v>
      </c>
      <c r="V6288" s="282" t="e">
        <f>+Tabla4[[#This Row],[Comisión Calculada]]*Tabla4[[#This Row],[Total]]</f>
        <v>#N/A</v>
      </c>
    </row>
    <row r="6289" spans="1:22" hidden="1" x14ac:dyDescent="0.25">
      <c r="A6289" s="100">
        <v>45945</v>
      </c>
      <c r="B6289" t="str">
        <f t="shared" ref="B6289:B6293" si="307">TEXT(A6289, "mmmm")</f>
        <v>October</v>
      </c>
      <c r="C6289" s="46" t="s">
        <v>280</v>
      </c>
      <c r="F6289" s="366" t="s">
        <v>3218</v>
      </c>
      <c r="G6289" s="46" t="s">
        <v>83</v>
      </c>
      <c r="H6289" s="46">
        <v>2</v>
      </c>
      <c r="I6289" s="51">
        <v>8858.76</v>
      </c>
      <c r="J6289" s="281">
        <f>++Tabla4[[#This Row],[Precio Bruto]]*1.16</f>
        <v>10276.161599999999</v>
      </c>
      <c r="K6289" s="281">
        <f>+Tabla4[[#This Row],[Precio Unitario Neto]]*Tabla4[[#Headers],[20.85%]]</f>
        <v>2142.5796935999997</v>
      </c>
      <c r="L6289" s="282">
        <f>++Tabla4[[#This Row],[Precio Unitario Neto]]-Tabla4[[#This Row],[20.85%]]</f>
        <v>8133.5819063999998</v>
      </c>
      <c r="M6289" s="282" t="e">
        <f>(INDEX(Tabla6[#All],MATCH(Tabla4[[#This Row],[Producto]],Tabla6[[#All],[PRODUCTO]],0),MATCH(Tabla4[[#This Row],[Mes]],Tabla6[#Headers],0)))*(1+Catalogos!$L$2)</f>
        <v>#N/A</v>
      </c>
      <c r="N6289" s="283" t="e">
        <f>+(Tabla4[[#This Row],[Precio Descontado]]-Tabla4[[#This Row],[Precio Base]])*Tabla4[[#This Row],[Cantidad]]</f>
        <v>#N/A</v>
      </c>
      <c r="O6289" s="284" t="e">
        <f>++Tabla4[[#This Row],[Utilidad Total]]/Tabla4[[#This Row],[Total]]</f>
        <v>#N/A</v>
      </c>
      <c r="P6289" s="282">
        <f>++Tabla4[[#This Row],[Precio Descontado]]*Tabla4[[#This Row],[Cantidad]]</f>
        <v>16267.1638128</v>
      </c>
      <c r="Q6289" s="282" t="e">
        <f>(INDEX(Tabla6[#All],MATCH(Tabla4[[#This Row],[Producto]],Tabla6[[#All],[PRODUCTO]],0),MATCH(Tabla4[[#This Row],[Mes]],Tabla6[#Headers],0)))</f>
        <v>#N/A</v>
      </c>
      <c r="R6289" s="282" t="e">
        <f>++Tabla4[[#This Row],[Precio Unitario Neto]]-Tabla4[[#This Row],[20.85%]]-Tabla4[[#This Row],[Costo]]</f>
        <v>#N/A</v>
      </c>
      <c r="S6289" s="282" t="e">
        <f>++Tabla4[[#This Row],[U. Bruta Uni]]*Tabla4[[#This Row],[Cantidad]]</f>
        <v>#N/A</v>
      </c>
      <c r="T6289" s="369" t="str">
        <f>VLOOKUP(Tabla4[[#This Row],[Producto]],Tabla6[#All],14,FALSE)</f>
        <v>Termico Solar</v>
      </c>
      <c r="U6289" s="284" t="e">
        <f>(IF(Tabla4[[#This Row],[Familia]]="termico solar",Tabla4[[#This Row],[Utilidad Total]]*6%,Tabla4[[#This Row],[Utilidad Total]]*11.5%))/Tabla4[[#This Row],[Total]]</f>
        <v>#N/A</v>
      </c>
      <c r="V6289" s="282" t="e">
        <f>+Tabla4[[#This Row],[Comisión Calculada]]*Tabla4[[#This Row],[Total]]</f>
        <v>#N/A</v>
      </c>
    </row>
    <row r="6290" spans="1:22" hidden="1" x14ac:dyDescent="0.25">
      <c r="A6290" s="100">
        <v>45945</v>
      </c>
      <c r="B6290" t="str">
        <f t="shared" si="307"/>
        <v>October</v>
      </c>
      <c r="C6290" s="46" t="s">
        <v>280</v>
      </c>
      <c r="F6290" s="366" t="s">
        <v>3218</v>
      </c>
      <c r="G6290" s="46" t="s">
        <v>17</v>
      </c>
      <c r="H6290" s="46">
        <v>3</v>
      </c>
      <c r="I6290" s="51">
        <v>4622.28</v>
      </c>
      <c r="J6290" s="281">
        <f>++Tabla4[[#This Row],[Precio Bruto]]*1.16</f>
        <v>5361.8447999999989</v>
      </c>
      <c r="K6290" s="281">
        <f>+Tabla4[[#This Row],[Precio Unitario Neto]]*Tabla4[[#Headers],[20.85%]]</f>
        <v>1117.9446407999997</v>
      </c>
      <c r="L6290" s="282">
        <f>++Tabla4[[#This Row],[Precio Unitario Neto]]-Tabla4[[#This Row],[20.85%]]</f>
        <v>4243.9001591999995</v>
      </c>
      <c r="M6290" s="282" t="e">
        <f>(INDEX(Tabla6[#All],MATCH(Tabla4[[#This Row],[Producto]],Tabla6[[#All],[PRODUCTO]],0),MATCH(Tabla4[[#This Row],[Mes]],Tabla6[#Headers],0)))*(1+Catalogos!$L$2)</f>
        <v>#N/A</v>
      </c>
      <c r="N6290" s="283" t="e">
        <f>+(Tabla4[[#This Row],[Precio Descontado]]-Tabla4[[#This Row],[Precio Base]])*Tabla4[[#This Row],[Cantidad]]</f>
        <v>#N/A</v>
      </c>
      <c r="O6290" s="284" t="e">
        <f>++Tabla4[[#This Row],[Utilidad Total]]/Tabla4[[#This Row],[Total]]</f>
        <v>#N/A</v>
      </c>
      <c r="P6290" s="282">
        <f>++Tabla4[[#This Row],[Precio Descontado]]*Tabla4[[#This Row],[Cantidad]]</f>
        <v>12731.700477599999</v>
      </c>
      <c r="Q6290" s="282" t="e">
        <f>(INDEX(Tabla6[#All],MATCH(Tabla4[[#This Row],[Producto]],Tabla6[[#All],[PRODUCTO]],0),MATCH(Tabla4[[#This Row],[Mes]],Tabla6[#Headers],0)))</f>
        <v>#N/A</v>
      </c>
      <c r="R6290" s="282" t="e">
        <f>++Tabla4[[#This Row],[Precio Unitario Neto]]-Tabla4[[#This Row],[20.85%]]-Tabla4[[#This Row],[Costo]]</f>
        <v>#N/A</v>
      </c>
      <c r="S6290" s="282" t="e">
        <f>++Tabla4[[#This Row],[U. Bruta Uni]]*Tabla4[[#This Row],[Cantidad]]</f>
        <v>#N/A</v>
      </c>
      <c r="T6290" s="369" t="str">
        <f>VLOOKUP(Tabla4[[#This Row],[Producto]],Tabla6[#All],14,FALSE)</f>
        <v>Termico Solar</v>
      </c>
      <c r="U6290" s="284" t="e">
        <f>(IF(Tabla4[[#This Row],[Familia]]="termico solar",Tabla4[[#This Row],[Utilidad Total]]*6%,Tabla4[[#This Row],[Utilidad Total]]*11.5%))/Tabla4[[#This Row],[Total]]</f>
        <v>#N/A</v>
      </c>
      <c r="V6290" s="282" t="e">
        <f>+Tabla4[[#This Row],[Comisión Calculada]]*Tabla4[[#This Row],[Total]]</f>
        <v>#N/A</v>
      </c>
    </row>
    <row r="6291" spans="1:22" hidden="1" x14ac:dyDescent="0.25">
      <c r="A6291" s="100">
        <v>45945</v>
      </c>
      <c r="B6291" t="str">
        <f t="shared" si="307"/>
        <v>October</v>
      </c>
      <c r="C6291" s="46" t="s">
        <v>280</v>
      </c>
      <c r="F6291" s="366" t="s">
        <v>3218</v>
      </c>
      <c r="G6291" s="46" t="s">
        <v>19</v>
      </c>
      <c r="H6291" s="46">
        <v>1</v>
      </c>
      <c r="I6291" s="51">
        <v>6412.03</v>
      </c>
      <c r="J6291" s="281">
        <f>++Tabla4[[#This Row],[Precio Bruto]]*1.16</f>
        <v>7437.9547999999995</v>
      </c>
      <c r="K6291" s="281">
        <f>+Tabla4[[#This Row],[Precio Unitario Neto]]*Tabla4[[#Headers],[20.85%]]</f>
        <v>1550.8135757999999</v>
      </c>
      <c r="L6291" s="282">
        <f>++Tabla4[[#This Row],[Precio Unitario Neto]]-Tabla4[[#This Row],[20.85%]]</f>
        <v>5887.1412241999997</v>
      </c>
      <c r="M6291" s="282" t="e">
        <f>(INDEX(Tabla6[#All],MATCH(Tabla4[[#This Row],[Producto]],Tabla6[[#All],[PRODUCTO]],0),MATCH(Tabla4[[#This Row],[Mes]],Tabla6[#Headers],0)))*(1+Catalogos!$L$2)</f>
        <v>#N/A</v>
      </c>
      <c r="N6291" s="283" t="e">
        <f>+(Tabla4[[#This Row],[Precio Descontado]]-Tabla4[[#This Row],[Precio Base]])*Tabla4[[#This Row],[Cantidad]]</f>
        <v>#N/A</v>
      </c>
      <c r="O6291" s="284" t="e">
        <f>++Tabla4[[#This Row],[Utilidad Total]]/Tabla4[[#This Row],[Total]]</f>
        <v>#N/A</v>
      </c>
      <c r="P6291" s="282">
        <f>++Tabla4[[#This Row],[Precio Descontado]]*Tabla4[[#This Row],[Cantidad]]</f>
        <v>5887.1412241999997</v>
      </c>
      <c r="Q6291" s="282" t="e">
        <f>(INDEX(Tabla6[#All],MATCH(Tabla4[[#This Row],[Producto]],Tabla6[[#All],[PRODUCTO]],0),MATCH(Tabla4[[#This Row],[Mes]],Tabla6[#Headers],0)))</f>
        <v>#N/A</v>
      </c>
      <c r="R6291" s="282" t="e">
        <f>++Tabla4[[#This Row],[Precio Unitario Neto]]-Tabla4[[#This Row],[20.85%]]-Tabla4[[#This Row],[Costo]]</f>
        <v>#N/A</v>
      </c>
      <c r="S6291" s="282" t="e">
        <f>++Tabla4[[#This Row],[U. Bruta Uni]]*Tabla4[[#This Row],[Cantidad]]</f>
        <v>#N/A</v>
      </c>
      <c r="T6291" s="369" t="str">
        <f>VLOOKUP(Tabla4[[#This Row],[Producto]],Tabla6[#All],14,FALSE)</f>
        <v>Termico Solar</v>
      </c>
      <c r="U6291" s="284" t="e">
        <f>(IF(Tabla4[[#This Row],[Familia]]="termico solar",Tabla4[[#This Row],[Utilidad Total]]*6%,Tabla4[[#This Row],[Utilidad Total]]*11.5%))/Tabla4[[#This Row],[Total]]</f>
        <v>#N/A</v>
      </c>
      <c r="V6291" s="282" t="e">
        <f>+Tabla4[[#This Row],[Comisión Calculada]]*Tabla4[[#This Row],[Total]]</f>
        <v>#N/A</v>
      </c>
    </row>
    <row r="6292" spans="1:22" hidden="1" x14ac:dyDescent="0.25">
      <c r="A6292" s="100">
        <v>45945</v>
      </c>
      <c r="B6292" t="str">
        <f t="shared" si="307"/>
        <v>October</v>
      </c>
      <c r="C6292" s="46" t="s">
        <v>280</v>
      </c>
      <c r="F6292" s="366" t="s">
        <v>3218</v>
      </c>
      <c r="G6292" s="46" t="s">
        <v>566</v>
      </c>
      <c r="H6292" s="46">
        <v>1</v>
      </c>
      <c r="I6292" s="51">
        <v>2109.4499999999998</v>
      </c>
      <c r="J6292" s="281">
        <f>++Tabla4[[#This Row],[Precio Bruto]]*1.16</f>
        <v>2446.9619999999995</v>
      </c>
      <c r="K6292" s="281">
        <f>+Tabla4[[#This Row],[Precio Unitario Neto]]*Tabla4[[#Headers],[20.85%]]</f>
        <v>510.19157699999988</v>
      </c>
      <c r="L6292" s="282">
        <f>++Tabla4[[#This Row],[Precio Unitario Neto]]-Tabla4[[#This Row],[20.85%]]</f>
        <v>1936.7704229999997</v>
      </c>
      <c r="M6292" s="282" t="e">
        <f>(INDEX(Tabla6[#All],MATCH(Tabla4[[#This Row],[Producto]],Tabla6[[#All],[PRODUCTO]],0),MATCH(Tabla4[[#This Row],[Mes]],Tabla6[#Headers],0)))*(1+Catalogos!$L$2)</f>
        <v>#N/A</v>
      </c>
      <c r="N6292" s="283" t="e">
        <f>+(Tabla4[[#This Row],[Precio Descontado]]-Tabla4[[#This Row],[Precio Base]])*Tabla4[[#This Row],[Cantidad]]</f>
        <v>#N/A</v>
      </c>
      <c r="O6292" s="284" t="e">
        <f>++Tabla4[[#This Row],[Utilidad Total]]/Tabla4[[#This Row],[Total]]</f>
        <v>#N/A</v>
      </c>
      <c r="P6292" s="282">
        <f>++Tabla4[[#This Row],[Precio Descontado]]*Tabla4[[#This Row],[Cantidad]]</f>
        <v>1936.7704229999997</v>
      </c>
      <c r="Q6292" s="282" t="e">
        <f>(INDEX(Tabla6[#All],MATCH(Tabla4[[#This Row],[Producto]],Tabla6[[#All],[PRODUCTO]],0),MATCH(Tabla4[[#This Row],[Mes]],Tabla6[#Headers],0)))</f>
        <v>#N/A</v>
      </c>
      <c r="R6292" s="282" t="e">
        <f>++Tabla4[[#This Row],[Precio Unitario Neto]]-Tabla4[[#This Row],[20.85%]]-Tabla4[[#This Row],[Costo]]</f>
        <v>#N/A</v>
      </c>
      <c r="S6292" s="282" t="e">
        <f>++Tabla4[[#This Row],[U. Bruta Uni]]*Tabla4[[#This Row],[Cantidad]]</f>
        <v>#N/A</v>
      </c>
      <c r="T6292" s="369" t="str">
        <f>VLOOKUP(Tabla4[[#This Row],[Producto]],Tabla6[#All],14,FALSE)</f>
        <v>Termico Solar</v>
      </c>
      <c r="U6292" s="284" t="e">
        <f>(IF(Tabla4[[#This Row],[Familia]]="termico solar",Tabla4[[#This Row],[Utilidad Total]]*6%,Tabla4[[#This Row],[Utilidad Total]]*11.5%))/Tabla4[[#This Row],[Total]]</f>
        <v>#N/A</v>
      </c>
      <c r="V6292" s="282" t="e">
        <f>+Tabla4[[#This Row],[Comisión Calculada]]*Tabla4[[#This Row],[Total]]</f>
        <v>#N/A</v>
      </c>
    </row>
    <row r="6293" spans="1:22" hidden="1" x14ac:dyDescent="0.25">
      <c r="A6293" s="100">
        <v>45945</v>
      </c>
      <c r="B6293" t="str">
        <f t="shared" si="307"/>
        <v>October</v>
      </c>
      <c r="C6293" s="46" t="s">
        <v>280</v>
      </c>
      <c r="F6293" s="366" t="s">
        <v>3218</v>
      </c>
      <c r="G6293" s="46" t="s">
        <v>16</v>
      </c>
      <c r="H6293" s="46">
        <v>1</v>
      </c>
      <c r="I6293" s="51">
        <v>4103.8500000000004</v>
      </c>
      <c r="J6293" s="281">
        <f>++Tabla4[[#This Row],[Precio Bruto]]*1.16</f>
        <v>4760.4660000000003</v>
      </c>
      <c r="K6293" s="281">
        <f>+Tabla4[[#This Row],[Precio Unitario Neto]]*Tabla4[[#Headers],[20.85%]]</f>
        <v>992.55716100000006</v>
      </c>
      <c r="L6293" s="282">
        <f>++Tabla4[[#This Row],[Precio Unitario Neto]]-Tabla4[[#This Row],[20.85%]]</f>
        <v>3767.9088390000002</v>
      </c>
      <c r="M6293" s="282" t="e">
        <f>(INDEX(Tabla6[#All],MATCH(Tabla4[[#This Row],[Producto]],Tabla6[[#All],[PRODUCTO]],0),MATCH(Tabla4[[#This Row],[Mes]],Tabla6[#Headers],0)))*(1+Catalogos!$L$2)</f>
        <v>#N/A</v>
      </c>
      <c r="N6293" s="283" t="e">
        <f>+(Tabla4[[#This Row],[Precio Descontado]]-Tabla4[[#This Row],[Precio Base]])*Tabla4[[#This Row],[Cantidad]]</f>
        <v>#N/A</v>
      </c>
      <c r="O6293" s="284" t="e">
        <f>++Tabla4[[#This Row],[Utilidad Total]]/Tabla4[[#This Row],[Total]]</f>
        <v>#N/A</v>
      </c>
      <c r="P6293" s="282">
        <f>++Tabla4[[#This Row],[Precio Descontado]]*Tabla4[[#This Row],[Cantidad]]</f>
        <v>3767.9088390000002</v>
      </c>
      <c r="Q6293" s="282" t="e">
        <f>(INDEX(Tabla6[#All],MATCH(Tabla4[[#This Row],[Producto]],Tabla6[[#All],[PRODUCTO]],0),MATCH(Tabla4[[#This Row],[Mes]],Tabla6[#Headers],0)))</f>
        <v>#N/A</v>
      </c>
      <c r="R6293" s="282" t="e">
        <f>++Tabla4[[#This Row],[Precio Unitario Neto]]-Tabla4[[#This Row],[20.85%]]-Tabla4[[#This Row],[Costo]]</f>
        <v>#N/A</v>
      </c>
      <c r="S6293" s="282" t="e">
        <f>++Tabla4[[#This Row],[U. Bruta Uni]]*Tabla4[[#This Row],[Cantidad]]</f>
        <v>#N/A</v>
      </c>
      <c r="T6293" s="369" t="str">
        <f>VLOOKUP(Tabla4[[#This Row],[Producto]],Tabla6[#All],14,FALSE)</f>
        <v>Termico Solar</v>
      </c>
      <c r="U6293" s="284" t="e">
        <f>(IF(Tabla4[[#This Row],[Familia]]="termico solar",Tabla4[[#This Row],[Utilidad Total]]*6%,Tabla4[[#This Row],[Utilidad Total]]*11.5%))/Tabla4[[#This Row],[Total]]</f>
        <v>#N/A</v>
      </c>
      <c r="V6293" s="282" t="e">
        <f>+Tabla4[[#This Row],[Comisión Calculada]]*Tabla4[[#This Row],[Total]]</f>
        <v>#N/A</v>
      </c>
    </row>
    <row r="6294" spans="1:22" hidden="1" x14ac:dyDescent="0.25">
      <c r="A6294" s="100">
        <v>45945</v>
      </c>
      <c r="B6294" t="str">
        <f t="shared" ref="B6294:B6295" si="308">TEXT(A6294, "mmmm")</f>
        <v>October</v>
      </c>
      <c r="C6294" s="46" t="s">
        <v>280</v>
      </c>
      <c r="F6294" s="366" t="s">
        <v>3219</v>
      </c>
      <c r="G6294" s="46" t="s">
        <v>18</v>
      </c>
      <c r="H6294" s="46">
        <v>2</v>
      </c>
      <c r="I6294" s="51">
        <v>5367.65</v>
      </c>
      <c r="J6294" s="281">
        <f>++Tabla4[[#This Row],[Precio Bruto]]*1.16</f>
        <v>6226.4739999999993</v>
      </c>
      <c r="K6294" s="281">
        <f>+Tabla4[[#This Row],[Precio Unitario Neto]]*Tabla4[[#Headers],[20.85%]]</f>
        <v>1298.2198289999999</v>
      </c>
      <c r="L6294" s="282">
        <f>++Tabla4[[#This Row],[Precio Unitario Neto]]-Tabla4[[#This Row],[20.85%]]</f>
        <v>4928.2541709999996</v>
      </c>
      <c r="M6294" s="282" t="e">
        <f>(INDEX(Tabla6[#All],MATCH(Tabla4[[#This Row],[Producto]],Tabla6[[#All],[PRODUCTO]],0),MATCH(Tabla4[[#This Row],[Mes]],Tabla6[#Headers],0)))*(1+Catalogos!$L$2)</f>
        <v>#N/A</v>
      </c>
      <c r="N6294" s="283" t="e">
        <f>+(Tabla4[[#This Row],[Precio Descontado]]-Tabla4[[#This Row],[Precio Base]])*Tabla4[[#This Row],[Cantidad]]</f>
        <v>#N/A</v>
      </c>
      <c r="O6294" s="284" t="e">
        <f>++Tabla4[[#This Row],[Utilidad Total]]/Tabla4[[#This Row],[Total]]</f>
        <v>#N/A</v>
      </c>
      <c r="P6294" s="282">
        <f>++Tabla4[[#This Row],[Precio Descontado]]*Tabla4[[#This Row],[Cantidad]]</f>
        <v>9856.5083419999992</v>
      </c>
      <c r="Q6294" s="282" t="e">
        <f>(INDEX(Tabla6[#All],MATCH(Tabla4[[#This Row],[Producto]],Tabla6[[#All],[PRODUCTO]],0),MATCH(Tabla4[[#This Row],[Mes]],Tabla6[#Headers],0)))</f>
        <v>#N/A</v>
      </c>
      <c r="R6294" s="282" t="e">
        <f>++Tabla4[[#This Row],[Precio Unitario Neto]]-Tabla4[[#This Row],[20.85%]]-Tabla4[[#This Row],[Costo]]</f>
        <v>#N/A</v>
      </c>
      <c r="S6294" s="282" t="e">
        <f>++Tabla4[[#This Row],[U. Bruta Uni]]*Tabla4[[#This Row],[Cantidad]]</f>
        <v>#N/A</v>
      </c>
      <c r="T6294" s="369" t="str">
        <f>VLOOKUP(Tabla4[[#This Row],[Producto]],Tabla6[#All],14,FALSE)</f>
        <v>Termico Solar</v>
      </c>
      <c r="U6294" s="284" t="e">
        <f>(IF(Tabla4[[#This Row],[Familia]]="termico solar",Tabla4[[#This Row],[Utilidad Total]]*6%,Tabla4[[#This Row],[Utilidad Total]]*11.5%))/Tabla4[[#This Row],[Total]]</f>
        <v>#N/A</v>
      </c>
      <c r="V6294" s="282" t="e">
        <f>+Tabla4[[#This Row],[Comisión Calculada]]*Tabla4[[#This Row],[Total]]</f>
        <v>#N/A</v>
      </c>
    </row>
    <row r="6295" spans="1:22" hidden="1" x14ac:dyDescent="0.25">
      <c r="A6295" s="100">
        <v>45945</v>
      </c>
      <c r="B6295" t="str">
        <f t="shared" si="308"/>
        <v>October</v>
      </c>
      <c r="C6295" s="46" t="s">
        <v>280</v>
      </c>
      <c r="F6295" s="366" t="s">
        <v>3219</v>
      </c>
      <c r="G6295" s="46" t="s">
        <v>16</v>
      </c>
      <c r="H6295" s="46">
        <v>5</v>
      </c>
      <c r="I6295" s="51">
        <v>4103.8500000000004</v>
      </c>
      <c r="J6295" s="281">
        <f>++Tabla4[[#This Row],[Precio Bruto]]*1.16</f>
        <v>4760.4660000000003</v>
      </c>
      <c r="K6295" s="281">
        <f>+Tabla4[[#This Row],[Precio Unitario Neto]]*Tabla4[[#Headers],[20.85%]]</f>
        <v>992.55716100000006</v>
      </c>
      <c r="L6295" s="282">
        <f>++Tabla4[[#This Row],[Precio Unitario Neto]]-Tabla4[[#This Row],[20.85%]]</f>
        <v>3767.9088390000002</v>
      </c>
      <c r="M6295" s="282" t="e">
        <f>(INDEX(Tabla6[#All],MATCH(Tabla4[[#This Row],[Producto]],Tabla6[[#All],[PRODUCTO]],0),MATCH(Tabla4[[#This Row],[Mes]],Tabla6[#Headers],0)))*(1+Catalogos!$L$2)</f>
        <v>#N/A</v>
      </c>
      <c r="N6295" s="283" t="e">
        <f>+(Tabla4[[#This Row],[Precio Descontado]]-Tabla4[[#This Row],[Precio Base]])*Tabla4[[#This Row],[Cantidad]]</f>
        <v>#N/A</v>
      </c>
      <c r="O6295" s="284" t="e">
        <f>++Tabla4[[#This Row],[Utilidad Total]]/Tabla4[[#This Row],[Total]]</f>
        <v>#N/A</v>
      </c>
      <c r="P6295" s="282">
        <f>++Tabla4[[#This Row],[Precio Descontado]]*Tabla4[[#This Row],[Cantidad]]</f>
        <v>18839.544195000002</v>
      </c>
      <c r="Q6295" s="282" t="e">
        <f>(INDEX(Tabla6[#All],MATCH(Tabla4[[#This Row],[Producto]],Tabla6[[#All],[PRODUCTO]],0),MATCH(Tabla4[[#This Row],[Mes]],Tabla6[#Headers],0)))</f>
        <v>#N/A</v>
      </c>
      <c r="R6295" s="282" t="e">
        <f>++Tabla4[[#This Row],[Precio Unitario Neto]]-Tabla4[[#This Row],[20.85%]]-Tabla4[[#This Row],[Costo]]</f>
        <v>#N/A</v>
      </c>
      <c r="S6295" s="282" t="e">
        <f>++Tabla4[[#This Row],[U. Bruta Uni]]*Tabla4[[#This Row],[Cantidad]]</f>
        <v>#N/A</v>
      </c>
      <c r="T6295" s="369" t="str">
        <f>VLOOKUP(Tabla4[[#This Row],[Producto]],Tabla6[#All],14,FALSE)</f>
        <v>Termico Solar</v>
      </c>
      <c r="U6295" s="284" t="e">
        <f>(IF(Tabla4[[#This Row],[Familia]]="termico solar",Tabla4[[#This Row],[Utilidad Total]]*6%,Tabla4[[#This Row],[Utilidad Total]]*11.5%))/Tabla4[[#This Row],[Total]]</f>
        <v>#N/A</v>
      </c>
      <c r="V6295" s="282" t="e">
        <f>+Tabla4[[#This Row],[Comisión Calculada]]*Tabla4[[#This Row],[Total]]</f>
        <v>#N/A</v>
      </c>
    </row>
    <row r="6296" spans="1:22" hidden="1" x14ac:dyDescent="0.25">
      <c r="A6296" s="100">
        <v>45945</v>
      </c>
      <c r="B6296" t="str">
        <f t="shared" ref="B6296:B6298" si="309">TEXT(A6296, "mmmm")</f>
        <v>October</v>
      </c>
      <c r="C6296" s="46" t="s">
        <v>280</v>
      </c>
      <c r="F6296" s="366" t="s">
        <v>3220</v>
      </c>
      <c r="G6296" s="46" t="s">
        <v>83</v>
      </c>
      <c r="H6296" s="46">
        <v>1</v>
      </c>
      <c r="I6296" s="51">
        <v>8858.76</v>
      </c>
      <c r="J6296" s="281">
        <f>++Tabla4[[#This Row],[Precio Bruto]]*1.16</f>
        <v>10276.161599999999</v>
      </c>
      <c r="K6296" s="281">
        <f>+Tabla4[[#This Row],[Precio Unitario Neto]]*Tabla4[[#Headers],[20.85%]]</f>
        <v>2142.5796935999997</v>
      </c>
      <c r="L6296" s="282">
        <f>++Tabla4[[#This Row],[Precio Unitario Neto]]-Tabla4[[#This Row],[20.85%]]</f>
        <v>8133.5819063999998</v>
      </c>
      <c r="M6296" s="282" t="e">
        <f>(INDEX(Tabla6[#All],MATCH(Tabla4[[#This Row],[Producto]],Tabla6[[#All],[PRODUCTO]],0),MATCH(Tabla4[[#This Row],[Mes]],Tabla6[#Headers],0)))*(1+Catalogos!$L$2)</f>
        <v>#N/A</v>
      </c>
      <c r="N6296" s="283" t="e">
        <f>+(Tabla4[[#This Row],[Precio Descontado]]-Tabla4[[#This Row],[Precio Base]])*Tabla4[[#This Row],[Cantidad]]</f>
        <v>#N/A</v>
      </c>
      <c r="O6296" s="284" t="e">
        <f>++Tabla4[[#This Row],[Utilidad Total]]/Tabla4[[#This Row],[Total]]</f>
        <v>#N/A</v>
      </c>
      <c r="P6296" s="282">
        <f>++Tabla4[[#This Row],[Precio Descontado]]*Tabla4[[#This Row],[Cantidad]]</f>
        <v>8133.5819063999998</v>
      </c>
      <c r="Q6296" s="282" t="e">
        <f>(INDEX(Tabla6[#All],MATCH(Tabla4[[#This Row],[Producto]],Tabla6[[#All],[PRODUCTO]],0),MATCH(Tabla4[[#This Row],[Mes]],Tabla6[#Headers],0)))</f>
        <v>#N/A</v>
      </c>
      <c r="R6296" s="282" t="e">
        <f>++Tabla4[[#This Row],[Precio Unitario Neto]]-Tabla4[[#This Row],[20.85%]]-Tabla4[[#This Row],[Costo]]</f>
        <v>#N/A</v>
      </c>
      <c r="S6296" s="282" t="e">
        <f>++Tabla4[[#This Row],[U. Bruta Uni]]*Tabla4[[#This Row],[Cantidad]]</f>
        <v>#N/A</v>
      </c>
      <c r="T6296" s="369" t="str">
        <f>VLOOKUP(Tabla4[[#This Row],[Producto]],Tabla6[#All],14,FALSE)</f>
        <v>Termico Solar</v>
      </c>
      <c r="U6296" s="284" t="e">
        <f>(IF(Tabla4[[#This Row],[Familia]]="termico solar",Tabla4[[#This Row],[Utilidad Total]]*6%,Tabla4[[#This Row],[Utilidad Total]]*11.5%))/Tabla4[[#This Row],[Total]]</f>
        <v>#N/A</v>
      </c>
      <c r="V6296" s="282" t="e">
        <f>+Tabla4[[#This Row],[Comisión Calculada]]*Tabla4[[#This Row],[Total]]</f>
        <v>#N/A</v>
      </c>
    </row>
    <row r="6297" spans="1:22" hidden="1" x14ac:dyDescent="0.25">
      <c r="A6297" s="100">
        <v>45945</v>
      </c>
      <c r="B6297" t="str">
        <f t="shared" si="309"/>
        <v>October</v>
      </c>
      <c r="C6297" s="46" t="s">
        <v>280</v>
      </c>
      <c r="F6297" s="366" t="s">
        <v>3220</v>
      </c>
      <c r="G6297" s="46" t="s">
        <v>18</v>
      </c>
      <c r="H6297" s="46">
        <v>2</v>
      </c>
      <c r="I6297" s="51">
        <v>5367.65</v>
      </c>
      <c r="J6297" s="281">
        <f>++Tabla4[[#This Row],[Precio Bruto]]*1.16</f>
        <v>6226.4739999999993</v>
      </c>
      <c r="K6297" s="281">
        <f>+Tabla4[[#This Row],[Precio Unitario Neto]]*Tabla4[[#Headers],[20.85%]]</f>
        <v>1298.2198289999999</v>
      </c>
      <c r="L6297" s="282">
        <f>++Tabla4[[#This Row],[Precio Unitario Neto]]-Tabla4[[#This Row],[20.85%]]</f>
        <v>4928.2541709999996</v>
      </c>
      <c r="M6297" s="282" t="e">
        <f>(INDEX(Tabla6[#All],MATCH(Tabla4[[#This Row],[Producto]],Tabla6[[#All],[PRODUCTO]],0),MATCH(Tabla4[[#This Row],[Mes]],Tabla6[#Headers],0)))*(1+Catalogos!$L$2)</f>
        <v>#N/A</v>
      </c>
      <c r="N6297" s="283" t="e">
        <f>+(Tabla4[[#This Row],[Precio Descontado]]-Tabla4[[#This Row],[Precio Base]])*Tabla4[[#This Row],[Cantidad]]</f>
        <v>#N/A</v>
      </c>
      <c r="O6297" s="284" t="e">
        <f>++Tabla4[[#This Row],[Utilidad Total]]/Tabla4[[#This Row],[Total]]</f>
        <v>#N/A</v>
      </c>
      <c r="P6297" s="282">
        <f>++Tabla4[[#This Row],[Precio Descontado]]*Tabla4[[#This Row],[Cantidad]]</f>
        <v>9856.5083419999992</v>
      </c>
      <c r="Q6297" s="282" t="e">
        <f>(INDEX(Tabla6[#All],MATCH(Tabla4[[#This Row],[Producto]],Tabla6[[#All],[PRODUCTO]],0),MATCH(Tabla4[[#This Row],[Mes]],Tabla6[#Headers],0)))</f>
        <v>#N/A</v>
      </c>
      <c r="R6297" s="282" t="e">
        <f>++Tabla4[[#This Row],[Precio Unitario Neto]]-Tabla4[[#This Row],[20.85%]]-Tabla4[[#This Row],[Costo]]</f>
        <v>#N/A</v>
      </c>
      <c r="S6297" s="282" t="e">
        <f>++Tabla4[[#This Row],[U. Bruta Uni]]*Tabla4[[#This Row],[Cantidad]]</f>
        <v>#N/A</v>
      </c>
      <c r="T6297" s="369" t="str">
        <f>VLOOKUP(Tabla4[[#This Row],[Producto]],Tabla6[#All],14,FALSE)</f>
        <v>Termico Solar</v>
      </c>
      <c r="U6297" s="284" t="e">
        <f>(IF(Tabla4[[#This Row],[Familia]]="termico solar",Tabla4[[#This Row],[Utilidad Total]]*6%,Tabla4[[#This Row],[Utilidad Total]]*11.5%))/Tabla4[[#This Row],[Total]]</f>
        <v>#N/A</v>
      </c>
      <c r="V6297" s="282" t="e">
        <f>+Tabla4[[#This Row],[Comisión Calculada]]*Tabla4[[#This Row],[Total]]</f>
        <v>#N/A</v>
      </c>
    </row>
    <row r="6298" spans="1:22" hidden="1" x14ac:dyDescent="0.25">
      <c r="A6298" s="100">
        <v>45945</v>
      </c>
      <c r="B6298" t="str">
        <f t="shared" si="309"/>
        <v>October</v>
      </c>
      <c r="C6298" s="46" t="s">
        <v>280</v>
      </c>
      <c r="F6298" s="366" t="s">
        <v>3220</v>
      </c>
      <c r="G6298" s="46" t="s">
        <v>16</v>
      </c>
      <c r="H6298" s="46">
        <v>2</v>
      </c>
      <c r="I6298" s="51">
        <v>4103.8500000000004</v>
      </c>
      <c r="J6298" s="281">
        <f>++Tabla4[[#This Row],[Precio Bruto]]*1.16</f>
        <v>4760.4660000000003</v>
      </c>
      <c r="K6298" s="281">
        <f>+Tabla4[[#This Row],[Precio Unitario Neto]]*Tabla4[[#Headers],[20.85%]]</f>
        <v>992.55716100000006</v>
      </c>
      <c r="L6298" s="282">
        <f>++Tabla4[[#This Row],[Precio Unitario Neto]]-Tabla4[[#This Row],[20.85%]]</f>
        <v>3767.9088390000002</v>
      </c>
      <c r="M6298" s="282" t="e">
        <f>(INDEX(Tabla6[#All],MATCH(Tabla4[[#This Row],[Producto]],Tabla6[[#All],[PRODUCTO]],0),MATCH(Tabla4[[#This Row],[Mes]],Tabla6[#Headers],0)))*(1+Catalogos!$L$2)</f>
        <v>#N/A</v>
      </c>
      <c r="N6298" s="283" t="e">
        <f>+(Tabla4[[#This Row],[Precio Descontado]]-Tabla4[[#This Row],[Precio Base]])*Tabla4[[#This Row],[Cantidad]]</f>
        <v>#N/A</v>
      </c>
      <c r="O6298" s="284" t="e">
        <f>++Tabla4[[#This Row],[Utilidad Total]]/Tabla4[[#This Row],[Total]]</f>
        <v>#N/A</v>
      </c>
      <c r="P6298" s="282">
        <f>++Tabla4[[#This Row],[Precio Descontado]]*Tabla4[[#This Row],[Cantidad]]</f>
        <v>7535.8176780000003</v>
      </c>
      <c r="Q6298" s="282" t="e">
        <f>(INDEX(Tabla6[#All],MATCH(Tabla4[[#This Row],[Producto]],Tabla6[[#All],[PRODUCTO]],0),MATCH(Tabla4[[#This Row],[Mes]],Tabla6[#Headers],0)))</f>
        <v>#N/A</v>
      </c>
      <c r="R6298" s="282" t="e">
        <f>++Tabla4[[#This Row],[Precio Unitario Neto]]-Tabla4[[#This Row],[20.85%]]-Tabla4[[#This Row],[Costo]]</f>
        <v>#N/A</v>
      </c>
      <c r="S6298" s="282" t="e">
        <f>++Tabla4[[#This Row],[U. Bruta Uni]]*Tabla4[[#This Row],[Cantidad]]</f>
        <v>#N/A</v>
      </c>
      <c r="T6298" s="369" t="str">
        <f>VLOOKUP(Tabla4[[#This Row],[Producto]],Tabla6[#All],14,FALSE)</f>
        <v>Termico Solar</v>
      </c>
      <c r="U6298" s="284" t="e">
        <f>(IF(Tabla4[[#This Row],[Familia]]="termico solar",Tabla4[[#This Row],[Utilidad Total]]*6%,Tabla4[[#This Row],[Utilidad Total]]*11.5%))/Tabla4[[#This Row],[Total]]</f>
        <v>#N/A</v>
      </c>
      <c r="V6298" s="282" t="e">
        <f>+Tabla4[[#This Row],[Comisión Calculada]]*Tabla4[[#This Row],[Total]]</f>
        <v>#N/A</v>
      </c>
    </row>
    <row r="6299" spans="1:22" hidden="1" x14ac:dyDescent="0.25">
      <c r="A6299" s="100">
        <v>45945</v>
      </c>
      <c r="B6299" t="str">
        <f t="shared" ref="B6299:B6300" si="310">TEXT(A6299, "mmmm")</f>
        <v>October</v>
      </c>
      <c r="C6299" s="46" t="s">
        <v>280</v>
      </c>
      <c r="F6299" s="366" t="s">
        <v>3221</v>
      </c>
      <c r="G6299" s="46" t="s">
        <v>18</v>
      </c>
      <c r="H6299" s="46">
        <v>1</v>
      </c>
      <c r="I6299" s="51">
        <v>5367.65</v>
      </c>
      <c r="J6299" s="281">
        <f>++Tabla4[[#This Row],[Precio Bruto]]*1.16</f>
        <v>6226.4739999999993</v>
      </c>
      <c r="K6299" s="281">
        <f>+Tabla4[[#This Row],[Precio Unitario Neto]]*Tabla4[[#Headers],[20.85%]]</f>
        <v>1298.2198289999999</v>
      </c>
      <c r="L6299" s="282">
        <f>++Tabla4[[#This Row],[Precio Unitario Neto]]-Tabla4[[#This Row],[20.85%]]</f>
        <v>4928.2541709999996</v>
      </c>
      <c r="M6299" s="282" t="e">
        <f>(INDEX(Tabla6[#All],MATCH(Tabla4[[#This Row],[Producto]],Tabla6[[#All],[PRODUCTO]],0),MATCH(Tabla4[[#This Row],[Mes]],Tabla6[#Headers],0)))*(1+Catalogos!$L$2)</f>
        <v>#N/A</v>
      </c>
      <c r="N6299" s="283" t="e">
        <f>+(Tabla4[[#This Row],[Precio Descontado]]-Tabla4[[#This Row],[Precio Base]])*Tabla4[[#This Row],[Cantidad]]</f>
        <v>#N/A</v>
      </c>
      <c r="O6299" s="284" t="e">
        <f>++Tabla4[[#This Row],[Utilidad Total]]/Tabla4[[#This Row],[Total]]</f>
        <v>#N/A</v>
      </c>
      <c r="P6299" s="282">
        <f>++Tabla4[[#This Row],[Precio Descontado]]*Tabla4[[#This Row],[Cantidad]]</f>
        <v>4928.2541709999996</v>
      </c>
      <c r="Q6299" s="282" t="e">
        <f>(INDEX(Tabla6[#All],MATCH(Tabla4[[#This Row],[Producto]],Tabla6[[#All],[PRODUCTO]],0),MATCH(Tabla4[[#This Row],[Mes]],Tabla6[#Headers],0)))</f>
        <v>#N/A</v>
      </c>
      <c r="R6299" s="282" t="e">
        <f>++Tabla4[[#This Row],[Precio Unitario Neto]]-Tabla4[[#This Row],[20.85%]]-Tabla4[[#This Row],[Costo]]</f>
        <v>#N/A</v>
      </c>
      <c r="S6299" s="282" t="e">
        <f>++Tabla4[[#This Row],[U. Bruta Uni]]*Tabla4[[#This Row],[Cantidad]]</f>
        <v>#N/A</v>
      </c>
      <c r="T6299" s="369" t="str">
        <f>VLOOKUP(Tabla4[[#This Row],[Producto]],Tabla6[#All],14,FALSE)</f>
        <v>Termico Solar</v>
      </c>
      <c r="U6299" s="284" t="e">
        <f>(IF(Tabla4[[#This Row],[Familia]]="termico solar",Tabla4[[#This Row],[Utilidad Total]]*6%,Tabla4[[#This Row],[Utilidad Total]]*11.5%))/Tabla4[[#This Row],[Total]]</f>
        <v>#N/A</v>
      </c>
      <c r="V6299" s="282" t="e">
        <f>+Tabla4[[#This Row],[Comisión Calculada]]*Tabla4[[#This Row],[Total]]</f>
        <v>#N/A</v>
      </c>
    </row>
    <row r="6300" spans="1:22" hidden="1" x14ac:dyDescent="0.25">
      <c r="A6300" s="100">
        <v>45945</v>
      </c>
      <c r="B6300" t="str">
        <f t="shared" si="310"/>
        <v>October</v>
      </c>
      <c r="C6300" s="46" t="s">
        <v>280</v>
      </c>
      <c r="F6300" s="366" t="s">
        <v>3221</v>
      </c>
      <c r="G6300" s="46" t="s">
        <v>16</v>
      </c>
      <c r="H6300" s="46">
        <v>1</v>
      </c>
      <c r="I6300" s="51">
        <v>4103.8500000000004</v>
      </c>
      <c r="J6300" s="281">
        <f>++Tabla4[[#This Row],[Precio Bruto]]*1.16</f>
        <v>4760.4660000000003</v>
      </c>
      <c r="K6300" s="281">
        <f>+Tabla4[[#This Row],[Precio Unitario Neto]]*Tabla4[[#Headers],[20.85%]]</f>
        <v>992.55716100000006</v>
      </c>
      <c r="L6300" s="282">
        <f>++Tabla4[[#This Row],[Precio Unitario Neto]]-Tabla4[[#This Row],[20.85%]]</f>
        <v>3767.9088390000002</v>
      </c>
      <c r="M6300" s="282" t="e">
        <f>(INDEX(Tabla6[#All],MATCH(Tabla4[[#This Row],[Producto]],Tabla6[[#All],[PRODUCTO]],0),MATCH(Tabla4[[#This Row],[Mes]],Tabla6[#Headers],0)))*(1+Catalogos!$L$2)</f>
        <v>#N/A</v>
      </c>
      <c r="N6300" s="283" t="e">
        <f>+(Tabla4[[#This Row],[Precio Descontado]]-Tabla4[[#This Row],[Precio Base]])*Tabla4[[#This Row],[Cantidad]]</f>
        <v>#N/A</v>
      </c>
      <c r="O6300" s="284" t="e">
        <f>++Tabla4[[#This Row],[Utilidad Total]]/Tabla4[[#This Row],[Total]]</f>
        <v>#N/A</v>
      </c>
      <c r="P6300" s="282">
        <f>++Tabla4[[#This Row],[Precio Descontado]]*Tabla4[[#This Row],[Cantidad]]</f>
        <v>3767.9088390000002</v>
      </c>
      <c r="Q6300" s="282" t="e">
        <f>(INDEX(Tabla6[#All],MATCH(Tabla4[[#This Row],[Producto]],Tabla6[[#All],[PRODUCTO]],0),MATCH(Tabla4[[#This Row],[Mes]],Tabla6[#Headers],0)))</f>
        <v>#N/A</v>
      </c>
      <c r="R6300" s="282" t="e">
        <f>++Tabla4[[#This Row],[Precio Unitario Neto]]-Tabla4[[#This Row],[20.85%]]-Tabla4[[#This Row],[Costo]]</f>
        <v>#N/A</v>
      </c>
      <c r="S6300" s="282" t="e">
        <f>++Tabla4[[#This Row],[U. Bruta Uni]]*Tabla4[[#This Row],[Cantidad]]</f>
        <v>#N/A</v>
      </c>
      <c r="T6300" s="369" t="str">
        <f>VLOOKUP(Tabla4[[#This Row],[Producto]],Tabla6[#All],14,FALSE)</f>
        <v>Termico Solar</v>
      </c>
      <c r="U6300" s="284" t="e">
        <f>(IF(Tabla4[[#This Row],[Familia]]="termico solar",Tabla4[[#This Row],[Utilidad Total]]*6%,Tabla4[[#This Row],[Utilidad Total]]*11.5%))/Tabla4[[#This Row],[Total]]</f>
        <v>#N/A</v>
      </c>
      <c r="V6300" s="282" t="e">
        <f>+Tabla4[[#This Row],[Comisión Calculada]]*Tabla4[[#This Row],[Total]]</f>
        <v>#N/A</v>
      </c>
    </row>
    <row r="6301" spans="1:22" hidden="1" x14ac:dyDescent="0.25">
      <c r="A6301" s="100">
        <v>45945</v>
      </c>
      <c r="B6301" t="str">
        <f t="shared" ref="B6301:B6304" si="311">TEXT(A6301, "mmmm")</f>
        <v>October</v>
      </c>
      <c r="C6301" s="46" t="s">
        <v>280</v>
      </c>
      <c r="F6301" s="366" t="s">
        <v>3222</v>
      </c>
      <c r="G6301" s="46" t="s">
        <v>83</v>
      </c>
      <c r="H6301" s="46">
        <v>1</v>
      </c>
      <c r="I6301" s="51">
        <v>8858.76</v>
      </c>
      <c r="J6301" s="281">
        <f>++Tabla4[[#This Row],[Precio Bruto]]*1.16</f>
        <v>10276.161599999999</v>
      </c>
      <c r="K6301" s="281">
        <f>+Tabla4[[#This Row],[Precio Unitario Neto]]*Tabla4[[#Headers],[20.85%]]</f>
        <v>2142.5796935999997</v>
      </c>
      <c r="L6301" s="282">
        <f>++Tabla4[[#This Row],[Precio Unitario Neto]]-Tabla4[[#This Row],[20.85%]]</f>
        <v>8133.5819063999998</v>
      </c>
      <c r="M6301" s="282" t="e">
        <f>(INDEX(Tabla6[#All],MATCH(Tabla4[[#This Row],[Producto]],Tabla6[[#All],[PRODUCTO]],0),MATCH(Tabla4[[#This Row],[Mes]],Tabla6[#Headers],0)))*(1+Catalogos!$L$2)</f>
        <v>#N/A</v>
      </c>
      <c r="N6301" s="283" t="e">
        <f>+(Tabla4[[#This Row],[Precio Descontado]]-Tabla4[[#This Row],[Precio Base]])*Tabla4[[#This Row],[Cantidad]]</f>
        <v>#N/A</v>
      </c>
      <c r="O6301" s="284" t="e">
        <f>++Tabla4[[#This Row],[Utilidad Total]]/Tabla4[[#This Row],[Total]]</f>
        <v>#N/A</v>
      </c>
      <c r="P6301" s="282">
        <f>++Tabla4[[#This Row],[Precio Descontado]]*Tabla4[[#This Row],[Cantidad]]</f>
        <v>8133.5819063999998</v>
      </c>
      <c r="Q6301" s="282" t="e">
        <f>(INDEX(Tabla6[#All],MATCH(Tabla4[[#This Row],[Producto]],Tabla6[[#All],[PRODUCTO]],0),MATCH(Tabla4[[#This Row],[Mes]],Tabla6[#Headers],0)))</f>
        <v>#N/A</v>
      </c>
      <c r="R6301" s="282" t="e">
        <f>++Tabla4[[#This Row],[Precio Unitario Neto]]-Tabla4[[#This Row],[20.85%]]-Tabla4[[#This Row],[Costo]]</f>
        <v>#N/A</v>
      </c>
      <c r="S6301" s="282" t="e">
        <f>++Tabla4[[#This Row],[U. Bruta Uni]]*Tabla4[[#This Row],[Cantidad]]</f>
        <v>#N/A</v>
      </c>
      <c r="T6301" s="369" t="str">
        <f>VLOOKUP(Tabla4[[#This Row],[Producto]],Tabla6[#All],14,FALSE)</f>
        <v>Termico Solar</v>
      </c>
      <c r="U6301" s="284" t="e">
        <f>(IF(Tabla4[[#This Row],[Familia]]="termico solar",Tabla4[[#This Row],[Utilidad Total]]*6%,Tabla4[[#This Row],[Utilidad Total]]*11.5%))/Tabla4[[#This Row],[Total]]</f>
        <v>#N/A</v>
      </c>
      <c r="V6301" s="282" t="e">
        <f>+Tabla4[[#This Row],[Comisión Calculada]]*Tabla4[[#This Row],[Total]]</f>
        <v>#N/A</v>
      </c>
    </row>
    <row r="6302" spans="1:22" hidden="1" x14ac:dyDescent="0.25">
      <c r="A6302" s="100">
        <v>45945</v>
      </c>
      <c r="B6302" t="str">
        <f t="shared" si="311"/>
        <v>October</v>
      </c>
      <c r="C6302" s="46" t="s">
        <v>280</v>
      </c>
      <c r="F6302" s="366" t="s">
        <v>3222</v>
      </c>
      <c r="G6302" s="46" t="s">
        <v>17</v>
      </c>
      <c r="H6302" s="46">
        <v>7</v>
      </c>
      <c r="I6302" s="51">
        <v>4622.28</v>
      </c>
      <c r="J6302" s="281">
        <f>++Tabla4[[#This Row],[Precio Bruto]]*1.16</f>
        <v>5361.8447999999989</v>
      </c>
      <c r="K6302" s="281">
        <f>+Tabla4[[#This Row],[Precio Unitario Neto]]*Tabla4[[#Headers],[20.85%]]</f>
        <v>1117.9446407999997</v>
      </c>
      <c r="L6302" s="282">
        <f>++Tabla4[[#This Row],[Precio Unitario Neto]]-Tabla4[[#This Row],[20.85%]]</f>
        <v>4243.9001591999995</v>
      </c>
      <c r="M6302" s="282" t="e">
        <f>(INDEX(Tabla6[#All],MATCH(Tabla4[[#This Row],[Producto]],Tabla6[[#All],[PRODUCTO]],0),MATCH(Tabla4[[#This Row],[Mes]],Tabla6[#Headers],0)))*(1+Catalogos!$L$2)</f>
        <v>#N/A</v>
      </c>
      <c r="N6302" s="283" t="e">
        <f>+(Tabla4[[#This Row],[Precio Descontado]]-Tabla4[[#This Row],[Precio Base]])*Tabla4[[#This Row],[Cantidad]]</f>
        <v>#N/A</v>
      </c>
      <c r="O6302" s="284" t="e">
        <f>++Tabla4[[#This Row],[Utilidad Total]]/Tabla4[[#This Row],[Total]]</f>
        <v>#N/A</v>
      </c>
      <c r="P6302" s="282">
        <f>++Tabla4[[#This Row],[Precio Descontado]]*Tabla4[[#This Row],[Cantidad]]</f>
        <v>29707.301114399997</v>
      </c>
      <c r="Q6302" s="282" t="e">
        <f>(INDEX(Tabla6[#All],MATCH(Tabla4[[#This Row],[Producto]],Tabla6[[#All],[PRODUCTO]],0),MATCH(Tabla4[[#This Row],[Mes]],Tabla6[#Headers],0)))</f>
        <v>#N/A</v>
      </c>
      <c r="R6302" s="282" t="e">
        <f>++Tabla4[[#This Row],[Precio Unitario Neto]]-Tabla4[[#This Row],[20.85%]]-Tabla4[[#This Row],[Costo]]</f>
        <v>#N/A</v>
      </c>
      <c r="S6302" s="282" t="e">
        <f>++Tabla4[[#This Row],[U. Bruta Uni]]*Tabla4[[#This Row],[Cantidad]]</f>
        <v>#N/A</v>
      </c>
      <c r="T6302" s="369" t="str">
        <f>VLOOKUP(Tabla4[[#This Row],[Producto]],Tabla6[#All],14,FALSE)</f>
        <v>Termico Solar</v>
      </c>
      <c r="U6302" s="284" t="e">
        <f>(IF(Tabla4[[#This Row],[Familia]]="termico solar",Tabla4[[#This Row],[Utilidad Total]]*6%,Tabla4[[#This Row],[Utilidad Total]]*11.5%))/Tabla4[[#This Row],[Total]]</f>
        <v>#N/A</v>
      </c>
      <c r="V6302" s="282" t="e">
        <f>+Tabla4[[#This Row],[Comisión Calculada]]*Tabla4[[#This Row],[Total]]</f>
        <v>#N/A</v>
      </c>
    </row>
    <row r="6303" spans="1:22" hidden="1" x14ac:dyDescent="0.25">
      <c r="A6303" s="100">
        <v>45945</v>
      </c>
      <c r="B6303" t="str">
        <f t="shared" si="311"/>
        <v>October</v>
      </c>
      <c r="C6303" s="46" t="s">
        <v>280</v>
      </c>
      <c r="F6303" s="366" t="s">
        <v>3222</v>
      </c>
      <c r="G6303" s="46" t="s">
        <v>18</v>
      </c>
      <c r="H6303" s="46">
        <v>3</v>
      </c>
      <c r="I6303" s="51">
        <v>5367.6500000000005</v>
      </c>
      <c r="J6303" s="281">
        <f>++Tabla4[[#This Row],[Precio Bruto]]*1.16</f>
        <v>6226.4740000000002</v>
      </c>
      <c r="K6303" s="281">
        <f>+Tabla4[[#This Row],[Precio Unitario Neto]]*Tabla4[[#Headers],[20.85%]]</f>
        <v>1298.2198289999999</v>
      </c>
      <c r="L6303" s="282">
        <f>++Tabla4[[#This Row],[Precio Unitario Neto]]-Tabla4[[#This Row],[20.85%]]</f>
        <v>4928.2541710000005</v>
      </c>
      <c r="M6303" s="282" t="e">
        <f>(INDEX(Tabla6[#All],MATCH(Tabla4[[#This Row],[Producto]],Tabla6[[#All],[PRODUCTO]],0),MATCH(Tabla4[[#This Row],[Mes]],Tabla6[#Headers],0)))*(1+Catalogos!$L$2)</f>
        <v>#N/A</v>
      </c>
      <c r="N6303" s="283" t="e">
        <f>+(Tabla4[[#This Row],[Precio Descontado]]-Tabla4[[#This Row],[Precio Base]])*Tabla4[[#This Row],[Cantidad]]</f>
        <v>#N/A</v>
      </c>
      <c r="O6303" s="284" t="e">
        <f>++Tabla4[[#This Row],[Utilidad Total]]/Tabla4[[#This Row],[Total]]</f>
        <v>#N/A</v>
      </c>
      <c r="P6303" s="282">
        <f>++Tabla4[[#This Row],[Precio Descontado]]*Tabla4[[#This Row],[Cantidad]]</f>
        <v>14784.762513000001</v>
      </c>
      <c r="Q6303" s="282" t="e">
        <f>(INDEX(Tabla6[#All],MATCH(Tabla4[[#This Row],[Producto]],Tabla6[[#All],[PRODUCTO]],0),MATCH(Tabla4[[#This Row],[Mes]],Tabla6[#Headers],0)))</f>
        <v>#N/A</v>
      </c>
      <c r="R6303" s="282" t="e">
        <f>++Tabla4[[#This Row],[Precio Unitario Neto]]-Tabla4[[#This Row],[20.85%]]-Tabla4[[#This Row],[Costo]]</f>
        <v>#N/A</v>
      </c>
      <c r="S6303" s="282" t="e">
        <f>++Tabla4[[#This Row],[U. Bruta Uni]]*Tabla4[[#This Row],[Cantidad]]</f>
        <v>#N/A</v>
      </c>
      <c r="T6303" s="369" t="str">
        <f>VLOOKUP(Tabla4[[#This Row],[Producto]],Tabla6[#All],14,FALSE)</f>
        <v>Termico Solar</v>
      </c>
      <c r="U6303" s="284" t="e">
        <f>(IF(Tabla4[[#This Row],[Familia]]="termico solar",Tabla4[[#This Row],[Utilidad Total]]*6%,Tabla4[[#This Row],[Utilidad Total]]*11.5%))/Tabla4[[#This Row],[Total]]</f>
        <v>#N/A</v>
      </c>
      <c r="V6303" s="282" t="e">
        <f>+Tabla4[[#This Row],[Comisión Calculada]]*Tabla4[[#This Row],[Total]]</f>
        <v>#N/A</v>
      </c>
    </row>
    <row r="6304" spans="1:22" hidden="1" x14ac:dyDescent="0.25">
      <c r="A6304" s="100">
        <v>45945</v>
      </c>
      <c r="B6304" t="str">
        <f t="shared" si="311"/>
        <v>October</v>
      </c>
      <c r="C6304" s="46" t="s">
        <v>280</v>
      </c>
      <c r="F6304" s="366" t="s">
        <v>3222</v>
      </c>
      <c r="G6304" s="46" t="s">
        <v>16</v>
      </c>
      <c r="H6304" s="46">
        <v>4</v>
      </c>
      <c r="I6304" s="51">
        <v>4103.8500000000004</v>
      </c>
      <c r="J6304" s="281">
        <f>++Tabla4[[#This Row],[Precio Bruto]]*1.16</f>
        <v>4760.4660000000003</v>
      </c>
      <c r="K6304" s="281">
        <f>+Tabla4[[#This Row],[Precio Unitario Neto]]*Tabla4[[#Headers],[20.85%]]</f>
        <v>992.55716100000006</v>
      </c>
      <c r="L6304" s="282">
        <f>++Tabla4[[#This Row],[Precio Unitario Neto]]-Tabla4[[#This Row],[20.85%]]</f>
        <v>3767.9088390000002</v>
      </c>
      <c r="M6304" s="282" t="e">
        <f>(INDEX(Tabla6[#All],MATCH(Tabla4[[#This Row],[Producto]],Tabla6[[#All],[PRODUCTO]],0),MATCH(Tabla4[[#This Row],[Mes]],Tabla6[#Headers],0)))*(1+Catalogos!$L$2)</f>
        <v>#N/A</v>
      </c>
      <c r="N6304" s="283" t="e">
        <f>+(Tabla4[[#This Row],[Precio Descontado]]-Tabla4[[#This Row],[Precio Base]])*Tabla4[[#This Row],[Cantidad]]</f>
        <v>#N/A</v>
      </c>
      <c r="O6304" s="284" t="e">
        <f>++Tabla4[[#This Row],[Utilidad Total]]/Tabla4[[#This Row],[Total]]</f>
        <v>#N/A</v>
      </c>
      <c r="P6304" s="282">
        <f>++Tabla4[[#This Row],[Precio Descontado]]*Tabla4[[#This Row],[Cantidad]]</f>
        <v>15071.635356000001</v>
      </c>
      <c r="Q6304" s="282" t="e">
        <f>(INDEX(Tabla6[#All],MATCH(Tabla4[[#This Row],[Producto]],Tabla6[[#All],[PRODUCTO]],0),MATCH(Tabla4[[#This Row],[Mes]],Tabla6[#Headers],0)))</f>
        <v>#N/A</v>
      </c>
      <c r="R6304" s="282" t="e">
        <f>++Tabla4[[#This Row],[Precio Unitario Neto]]-Tabla4[[#This Row],[20.85%]]-Tabla4[[#This Row],[Costo]]</f>
        <v>#N/A</v>
      </c>
      <c r="S6304" s="282" t="e">
        <f>++Tabla4[[#This Row],[U. Bruta Uni]]*Tabla4[[#This Row],[Cantidad]]</f>
        <v>#N/A</v>
      </c>
      <c r="T6304" s="369" t="str">
        <f>VLOOKUP(Tabla4[[#This Row],[Producto]],Tabla6[#All],14,FALSE)</f>
        <v>Termico Solar</v>
      </c>
      <c r="U6304" s="284" t="e">
        <f>(IF(Tabla4[[#This Row],[Familia]]="termico solar",Tabla4[[#This Row],[Utilidad Total]]*6%,Tabla4[[#This Row],[Utilidad Total]]*11.5%))/Tabla4[[#This Row],[Total]]</f>
        <v>#N/A</v>
      </c>
      <c r="V6304" s="282" t="e">
        <f>+Tabla4[[#This Row],[Comisión Calculada]]*Tabla4[[#This Row],[Total]]</f>
        <v>#N/A</v>
      </c>
    </row>
    <row r="6305" spans="1:22" hidden="1" x14ac:dyDescent="0.25">
      <c r="A6305" s="100">
        <v>45945</v>
      </c>
      <c r="B6305" t="str">
        <f>TEXT(A6305, "mmmm")</f>
        <v>October</v>
      </c>
      <c r="C6305" s="46" t="s">
        <v>280</v>
      </c>
      <c r="F6305" s="366" t="s">
        <v>3223</v>
      </c>
      <c r="G6305" s="46" t="s">
        <v>16</v>
      </c>
      <c r="H6305" s="46">
        <v>1</v>
      </c>
      <c r="I6305" s="51">
        <v>4103.8500000000004</v>
      </c>
      <c r="J6305" s="281">
        <f>++Tabla4[[#This Row],[Precio Bruto]]*1.16</f>
        <v>4760.4660000000003</v>
      </c>
      <c r="K6305" s="281">
        <f>+Tabla4[[#This Row],[Precio Unitario Neto]]*Tabla4[[#Headers],[20.85%]]</f>
        <v>992.55716100000006</v>
      </c>
      <c r="L6305" s="282">
        <f>++Tabla4[[#This Row],[Precio Unitario Neto]]-Tabla4[[#This Row],[20.85%]]</f>
        <v>3767.9088390000002</v>
      </c>
      <c r="M6305" s="282" t="e">
        <f>(INDEX(Tabla6[#All],MATCH(Tabla4[[#This Row],[Producto]],Tabla6[[#All],[PRODUCTO]],0),MATCH(Tabla4[[#This Row],[Mes]],Tabla6[#Headers],0)))*(1+Catalogos!$L$2)</f>
        <v>#N/A</v>
      </c>
      <c r="N6305" s="283" t="e">
        <f>+(Tabla4[[#This Row],[Precio Descontado]]-Tabla4[[#This Row],[Precio Base]])*Tabla4[[#This Row],[Cantidad]]</f>
        <v>#N/A</v>
      </c>
      <c r="O6305" s="284" t="e">
        <f>++Tabla4[[#This Row],[Utilidad Total]]/Tabla4[[#This Row],[Total]]</f>
        <v>#N/A</v>
      </c>
      <c r="P6305" s="282">
        <f>++Tabla4[[#This Row],[Precio Descontado]]*Tabla4[[#This Row],[Cantidad]]</f>
        <v>3767.9088390000002</v>
      </c>
      <c r="Q6305" s="282" t="e">
        <f>(INDEX(Tabla6[#All],MATCH(Tabla4[[#This Row],[Producto]],Tabla6[[#All],[PRODUCTO]],0),MATCH(Tabla4[[#This Row],[Mes]],Tabla6[#Headers],0)))</f>
        <v>#N/A</v>
      </c>
      <c r="R6305" s="282" t="e">
        <f>++Tabla4[[#This Row],[Precio Unitario Neto]]-Tabla4[[#This Row],[20.85%]]-Tabla4[[#This Row],[Costo]]</f>
        <v>#N/A</v>
      </c>
      <c r="S6305" s="282" t="e">
        <f>++Tabla4[[#This Row],[U. Bruta Uni]]*Tabla4[[#This Row],[Cantidad]]</f>
        <v>#N/A</v>
      </c>
      <c r="T6305" s="369" t="str">
        <f>VLOOKUP(Tabla4[[#This Row],[Producto]],Tabla6[#All],14,FALSE)</f>
        <v>Termico Solar</v>
      </c>
      <c r="U6305" s="284" t="e">
        <f>(IF(Tabla4[[#This Row],[Familia]]="termico solar",Tabla4[[#This Row],[Utilidad Total]]*6%,Tabla4[[#This Row],[Utilidad Total]]*11.5%))/Tabla4[[#This Row],[Total]]</f>
        <v>#N/A</v>
      </c>
      <c r="V6305" s="282" t="e">
        <f>+Tabla4[[#This Row],[Comisión Calculada]]*Tabla4[[#This Row],[Total]]</f>
        <v>#N/A</v>
      </c>
    </row>
    <row r="6306" spans="1:22" hidden="1" x14ac:dyDescent="0.25">
      <c r="A6306" s="100">
        <v>45945</v>
      </c>
      <c r="B6306" t="str">
        <f t="shared" ref="B6306:B6307" si="312">TEXT(A6306, "mmmm")</f>
        <v>October</v>
      </c>
      <c r="C6306" s="46" t="s">
        <v>280</v>
      </c>
      <c r="F6306" s="366" t="s">
        <v>3224</v>
      </c>
      <c r="G6306" s="46" t="s">
        <v>566</v>
      </c>
      <c r="H6306" s="46">
        <v>1</v>
      </c>
      <c r="I6306" s="51">
        <v>2109.4499999999998</v>
      </c>
      <c r="J6306" s="281">
        <f>++Tabla4[[#This Row],[Precio Bruto]]*1.16</f>
        <v>2446.9619999999995</v>
      </c>
      <c r="K6306" s="281">
        <f>+Tabla4[[#This Row],[Precio Unitario Neto]]*Tabla4[[#Headers],[20.85%]]</f>
        <v>510.19157699999988</v>
      </c>
      <c r="L6306" s="282">
        <f>++Tabla4[[#This Row],[Precio Unitario Neto]]-Tabla4[[#This Row],[20.85%]]</f>
        <v>1936.7704229999997</v>
      </c>
      <c r="M6306" s="282" t="e">
        <f>(INDEX(Tabla6[#All],MATCH(Tabla4[[#This Row],[Producto]],Tabla6[[#All],[PRODUCTO]],0),MATCH(Tabla4[[#This Row],[Mes]],Tabla6[#Headers],0)))*(1+Catalogos!$L$2)</f>
        <v>#N/A</v>
      </c>
      <c r="N6306" s="283" t="e">
        <f>+(Tabla4[[#This Row],[Precio Descontado]]-Tabla4[[#This Row],[Precio Base]])*Tabla4[[#This Row],[Cantidad]]</f>
        <v>#N/A</v>
      </c>
      <c r="O6306" s="284" t="e">
        <f>++Tabla4[[#This Row],[Utilidad Total]]/Tabla4[[#This Row],[Total]]</f>
        <v>#N/A</v>
      </c>
      <c r="P6306" s="282">
        <f>++Tabla4[[#This Row],[Precio Descontado]]*Tabla4[[#This Row],[Cantidad]]</f>
        <v>1936.7704229999997</v>
      </c>
      <c r="Q6306" s="282" t="e">
        <f>(INDEX(Tabla6[#All],MATCH(Tabla4[[#This Row],[Producto]],Tabla6[[#All],[PRODUCTO]],0),MATCH(Tabla4[[#This Row],[Mes]],Tabla6[#Headers],0)))</f>
        <v>#N/A</v>
      </c>
      <c r="R6306" s="282" t="e">
        <f>++Tabla4[[#This Row],[Precio Unitario Neto]]-Tabla4[[#This Row],[20.85%]]-Tabla4[[#This Row],[Costo]]</f>
        <v>#N/A</v>
      </c>
      <c r="S6306" s="282" t="e">
        <f>++Tabla4[[#This Row],[U. Bruta Uni]]*Tabla4[[#This Row],[Cantidad]]</f>
        <v>#N/A</v>
      </c>
      <c r="T6306" s="369" t="str">
        <f>VLOOKUP(Tabla4[[#This Row],[Producto]],Tabla6[#All],14,FALSE)</f>
        <v>Termico Solar</v>
      </c>
      <c r="U6306" s="284" t="e">
        <f>(IF(Tabla4[[#This Row],[Familia]]="termico solar",Tabla4[[#This Row],[Utilidad Total]]*6%,Tabla4[[#This Row],[Utilidad Total]]*11.5%))/Tabla4[[#This Row],[Total]]</f>
        <v>#N/A</v>
      </c>
      <c r="V6306" s="282" t="e">
        <f>+Tabla4[[#This Row],[Comisión Calculada]]*Tabla4[[#This Row],[Total]]</f>
        <v>#N/A</v>
      </c>
    </row>
    <row r="6307" spans="1:22" hidden="1" x14ac:dyDescent="0.25">
      <c r="A6307" s="100">
        <v>45945</v>
      </c>
      <c r="B6307" t="str">
        <f t="shared" si="312"/>
        <v>October</v>
      </c>
      <c r="C6307" s="46" t="s">
        <v>280</v>
      </c>
      <c r="F6307" s="366" t="s">
        <v>3224</v>
      </c>
      <c r="G6307" s="46" t="s">
        <v>208</v>
      </c>
      <c r="H6307" s="46">
        <v>2</v>
      </c>
      <c r="I6307" s="51">
        <v>189.75</v>
      </c>
      <c r="J6307" s="281">
        <f>++Tabla4[[#This Row],[Precio Bruto]]*1.16</f>
        <v>220.10999999999999</v>
      </c>
      <c r="K6307" s="281">
        <f>+Tabla4[[#This Row],[Precio Unitario Neto]]*Tabla4[[#Headers],[20.85%]]</f>
        <v>45.892934999999994</v>
      </c>
      <c r="L6307" s="282">
        <f>++Tabla4[[#This Row],[Precio Unitario Neto]]-Tabla4[[#This Row],[20.85%]]</f>
        <v>174.21706499999999</v>
      </c>
      <c r="M6307" s="282" t="e">
        <f>(INDEX(Tabla6[#All],MATCH(Tabla4[[#This Row],[Producto]],Tabla6[[#All],[PRODUCTO]],0),MATCH(Tabla4[[#This Row],[Mes]],Tabla6[#Headers],0)))*(1+Catalogos!$L$2)</f>
        <v>#N/A</v>
      </c>
      <c r="N6307" s="283" t="e">
        <f>+(Tabla4[[#This Row],[Precio Descontado]]-Tabla4[[#This Row],[Precio Base]])*Tabla4[[#This Row],[Cantidad]]</f>
        <v>#N/A</v>
      </c>
      <c r="O6307" s="284" t="e">
        <f>++Tabla4[[#This Row],[Utilidad Total]]/Tabla4[[#This Row],[Total]]</f>
        <v>#N/A</v>
      </c>
      <c r="P6307" s="282">
        <f>++Tabla4[[#This Row],[Precio Descontado]]*Tabla4[[#This Row],[Cantidad]]</f>
        <v>348.43412999999998</v>
      </c>
      <c r="Q6307" s="282" t="e">
        <f>(INDEX(Tabla6[#All],MATCH(Tabla4[[#This Row],[Producto]],Tabla6[[#All],[PRODUCTO]],0),MATCH(Tabla4[[#This Row],[Mes]],Tabla6[#Headers],0)))</f>
        <v>#N/A</v>
      </c>
      <c r="R6307" s="282" t="e">
        <f>++Tabla4[[#This Row],[Precio Unitario Neto]]-Tabla4[[#This Row],[20.85%]]-Tabla4[[#This Row],[Costo]]</f>
        <v>#N/A</v>
      </c>
      <c r="S6307" s="282" t="e">
        <f>++Tabla4[[#This Row],[U. Bruta Uni]]*Tabla4[[#This Row],[Cantidad]]</f>
        <v>#N/A</v>
      </c>
      <c r="T6307" s="369" t="str">
        <f>VLOOKUP(Tabla4[[#This Row],[Producto]],Tabla6[#All],14,FALSE)</f>
        <v>Termico Solar</v>
      </c>
      <c r="U6307" s="284" t="e">
        <f>(IF(Tabla4[[#This Row],[Familia]]="termico solar",Tabla4[[#This Row],[Utilidad Total]]*6%,Tabla4[[#This Row],[Utilidad Total]]*11.5%))/Tabla4[[#This Row],[Total]]</f>
        <v>#N/A</v>
      </c>
      <c r="V6307" s="282" t="e">
        <f>+Tabla4[[#This Row],[Comisión Calculada]]*Tabla4[[#This Row],[Total]]</f>
        <v>#N/A</v>
      </c>
    </row>
    <row r="6308" spans="1:22" hidden="1" x14ac:dyDescent="0.25">
      <c r="A6308" s="100">
        <v>45945</v>
      </c>
      <c r="B6308" t="str">
        <f t="shared" ref="B6308:B6310" si="313">TEXT(A6308, "mmmm")</f>
        <v>October</v>
      </c>
      <c r="C6308" s="46" t="s">
        <v>280</v>
      </c>
      <c r="F6308" s="366" t="s">
        <v>3225</v>
      </c>
      <c r="G6308" s="46" t="s">
        <v>18</v>
      </c>
      <c r="H6308" s="46">
        <v>2</v>
      </c>
      <c r="I6308" s="51">
        <v>5367.65</v>
      </c>
      <c r="J6308" s="281">
        <f>++Tabla4[[#This Row],[Precio Bruto]]*1.16</f>
        <v>6226.4739999999993</v>
      </c>
      <c r="K6308" s="281">
        <f>+Tabla4[[#This Row],[Precio Unitario Neto]]*Tabla4[[#Headers],[20.85%]]</f>
        <v>1298.2198289999999</v>
      </c>
      <c r="L6308" s="282">
        <f>++Tabla4[[#This Row],[Precio Unitario Neto]]-Tabla4[[#This Row],[20.85%]]</f>
        <v>4928.2541709999996</v>
      </c>
      <c r="M6308" s="282" t="e">
        <f>(INDEX(Tabla6[#All],MATCH(Tabla4[[#This Row],[Producto]],Tabla6[[#All],[PRODUCTO]],0),MATCH(Tabla4[[#This Row],[Mes]],Tabla6[#Headers],0)))*(1+Catalogos!$L$2)</f>
        <v>#N/A</v>
      </c>
      <c r="N6308" s="283" t="e">
        <f>+(Tabla4[[#This Row],[Precio Descontado]]-Tabla4[[#This Row],[Precio Base]])*Tabla4[[#This Row],[Cantidad]]</f>
        <v>#N/A</v>
      </c>
      <c r="O6308" s="284" t="e">
        <f>++Tabla4[[#This Row],[Utilidad Total]]/Tabla4[[#This Row],[Total]]</f>
        <v>#N/A</v>
      </c>
      <c r="P6308" s="282">
        <f>++Tabla4[[#This Row],[Precio Descontado]]*Tabla4[[#This Row],[Cantidad]]</f>
        <v>9856.5083419999992</v>
      </c>
      <c r="Q6308" s="282" t="e">
        <f>(INDEX(Tabla6[#All],MATCH(Tabla4[[#This Row],[Producto]],Tabla6[[#All],[PRODUCTO]],0),MATCH(Tabla4[[#This Row],[Mes]],Tabla6[#Headers],0)))</f>
        <v>#N/A</v>
      </c>
      <c r="R6308" s="282" t="e">
        <f>++Tabla4[[#This Row],[Precio Unitario Neto]]-Tabla4[[#This Row],[20.85%]]-Tabla4[[#This Row],[Costo]]</f>
        <v>#N/A</v>
      </c>
      <c r="S6308" s="282" t="e">
        <f>++Tabla4[[#This Row],[U. Bruta Uni]]*Tabla4[[#This Row],[Cantidad]]</f>
        <v>#N/A</v>
      </c>
      <c r="T6308" s="369" t="str">
        <f>VLOOKUP(Tabla4[[#This Row],[Producto]],Tabla6[#All],14,FALSE)</f>
        <v>Termico Solar</v>
      </c>
      <c r="U6308" s="284" t="e">
        <f>(IF(Tabla4[[#This Row],[Familia]]="termico solar",Tabla4[[#This Row],[Utilidad Total]]*6%,Tabla4[[#This Row],[Utilidad Total]]*11.5%))/Tabla4[[#This Row],[Total]]</f>
        <v>#N/A</v>
      </c>
      <c r="V6308" s="282" t="e">
        <f>+Tabla4[[#This Row],[Comisión Calculada]]*Tabla4[[#This Row],[Total]]</f>
        <v>#N/A</v>
      </c>
    </row>
    <row r="6309" spans="1:22" hidden="1" x14ac:dyDescent="0.25">
      <c r="A6309" s="100">
        <v>45945</v>
      </c>
      <c r="B6309" t="str">
        <f t="shared" si="313"/>
        <v>October</v>
      </c>
      <c r="C6309" s="46" t="s">
        <v>280</v>
      </c>
      <c r="F6309" s="366" t="s">
        <v>3225</v>
      </c>
      <c r="G6309" s="46" t="s">
        <v>566</v>
      </c>
      <c r="H6309" s="46">
        <v>1</v>
      </c>
      <c r="I6309" s="51">
        <v>2109.4499999999998</v>
      </c>
      <c r="J6309" s="281">
        <f>++Tabla4[[#This Row],[Precio Bruto]]*1.16</f>
        <v>2446.9619999999995</v>
      </c>
      <c r="K6309" s="281">
        <f>+Tabla4[[#This Row],[Precio Unitario Neto]]*Tabla4[[#Headers],[20.85%]]</f>
        <v>510.19157699999988</v>
      </c>
      <c r="L6309" s="282">
        <f>++Tabla4[[#This Row],[Precio Unitario Neto]]-Tabla4[[#This Row],[20.85%]]</f>
        <v>1936.7704229999997</v>
      </c>
      <c r="M6309" s="282" t="e">
        <f>(INDEX(Tabla6[#All],MATCH(Tabla4[[#This Row],[Producto]],Tabla6[[#All],[PRODUCTO]],0),MATCH(Tabla4[[#This Row],[Mes]],Tabla6[#Headers],0)))*(1+Catalogos!$L$2)</f>
        <v>#N/A</v>
      </c>
      <c r="N6309" s="283" t="e">
        <f>+(Tabla4[[#This Row],[Precio Descontado]]-Tabla4[[#This Row],[Precio Base]])*Tabla4[[#This Row],[Cantidad]]</f>
        <v>#N/A</v>
      </c>
      <c r="O6309" s="284" t="e">
        <f>++Tabla4[[#This Row],[Utilidad Total]]/Tabla4[[#This Row],[Total]]</f>
        <v>#N/A</v>
      </c>
      <c r="P6309" s="282">
        <f>++Tabla4[[#This Row],[Precio Descontado]]*Tabla4[[#This Row],[Cantidad]]</f>
        <v>1936.7704229999997</v>
      </c>
      <c r="Q6309" s="282" t="e">
        <f>(INDEX(Tabla6[#All],MATCH(Tabla4[[#This Row],[Producto]],Tabla6[[#All],[PRODUCTO]],0),MATCH(Tabla4[[#This Row],[Mes]],Tabla6[#Headers],0)))</f>
        <v>#N/A</v>
      </c>
      <c r="R6309" s="282" t="e">
        <f>++Tabla4[[#This Row],[Precio Unitario Neto]]-Tabla4[[#This Row],[20.85%]]-Tabla4[[#This Row],[Costo]]</f>
        <v>#N/A</v>
      </c>
      <c r="S6309" s="282" t="e">
        <f>++Tabla4[[#This Row],[U. Bruta Uni]]*Tabla4[[#This Row],[Cantidad]]</f>
        <v>#N/A</v>
      </c>
      <c r="T6309" s="369" t="str">
        <f>VLOOKUP(Tabla4[[#This Row],[Producto]],Tabla6[#All],14,FALSE)</f>
        <v>Termico Solar</v>
      </c>
      <c r="U6309" s="284" t="e">
        <f>(IF(Tabla4[[#This Row],[Familia]]="termico solar",Tabla4[[#This Row],[Utilidad Total]]*6%,Tabla4[[#This Row],[Utilidad Total]]*11.5%))/Tabla4[[#This Row],[Total]]</f>
        <v>#N/A</v>
      </c>
      <c r="V6309" s="282" t="e">
        <f>+Tabla4[[#This Row],[Comisión Calculada]]*Tabla4[[#This Row],[Total]]</f>
        <v>#N/A</v>
      </c>
    </row>
    <row r="6310" spans="1:22" hidden="1" x14ac:dyDescent="0.25">
      <c r="A6310" s="100">
        <v>45945</v>
      </c>
      <c r="B6310" t="str">
        <f t="shared" si="313"/>
        <v>October</v>
      </c>
      <c r="C6310" s="46" t="s">
        <v>280</v>
      </c>
      <c r="F6310" s="366" t="s">
        <v>3225</v>
      </c>
      <c r="G6310" s="46" t="s">
        <v>16</v>
      </c>
      <c r="H6310" s="46">
        <v>1</v>
      </c>
      <c r="I6310" s="51">
        <v>4103.8500000000004</v>
      </c>
      <c r="J6310" s="281">
        <f>++Tabla4[[#This Row],[Precio Bruto]]*1.16</f>
        <v>4760.4660000000003</v>
      </c>
      <c r="K6310" s="281">
        <f>+Tabla4[[#This Row],[Precio Unitario Neto]]*Tabla4[[#Headers],[20.85%]]</f>
        <v>992.55716100000006</v>
      </c>
      <c r="L6310" s="282">
        <f>++Tabla4[[#This Row],[Precio Unitario Neto]]-Tabla4[[#This Row],[20.85%]]</f>
        <v>3767.9088390000002</v>
      </c>
      <c r="M6310" s="282" t="e">
        <f>(INDEX(Tabla6[#All],MATCH(Tabla4[[#This Row],[Producto]],Tabla6[[#All],[PRODUCTO]],0),MATCH(Tabla4[[#This Row],[Mes]],Tabla6[#Headers],0)))*(1+Catalogos!$L$2)</f>
        <v>#N/A</v>
      </c>
      <c r="N6310" s="283" t="e">
        <f>+(Tabla4[[#This Row],[Precio Descontado]]-Tabla4[[#This Row],[Precio Base]])*Tabla4[[#This Row],[Cantidad]]</f>
        <v>#N/A</v>
      </c>
      <c r="O6310" s="284" t="e">
        <f>++Tabla4[[#This Row],[Utilidad Total]]/Tabla4[[#This Row],[Total]]</f>
        <v>#N/A</v>
      </c>
      <c r="P6310" s="282">
        <f>++Tabla4[[#This Row],[Precio Descontado]]*Tabla4[[#This Row],[Cantidad]]</f>
        <v>3767.9088390000002</v>
      </c>
      <c r="Q6310" s="282" t="e">
        <f>(INDEX(Tabla6[#All],MATCH(Tabla4[[#This Row],[Producto]],Tabla6[[#All],[PRODUCTO]],0),MATCH(Tabla4[[#This Row],[Mes]],Tabla6[#Headers],0)))</f>
        <v>#N/A</v>
      </c>
      <c r="R6310" s="282" t="e">
        <f>++Tabla4[[#This Row],[Precio Unitario Neto]]-Tabla4[[#This Row],[20.85%]]-Tabla4[[#This Row],[Costo]]</f>
        <v>#N/A</v>
      </c>
      <c r="S6310" s="282" t="e">
        <f>++Tabla4[[#This Row],[U. Bruta Uni]]*Tabla4[[#This Row],[Cantidad]]</f>
        <v>#N/A</v>
      </c>
      <c r="T6310" s="369" t="str">
        <f>VLOOKUP(Tabla4[[#This Row],[Producto]],Tabla6[#All],14,FALSE)</f>
        <v>Termico Solar</v>
      </c>
      <c r="U6310" s="284" t="e">
        <f>(IF(Tabla4[[#This Row],[Familia]]="termico solar",Tabla4[[#This Row],[Utilidad Total]]*6%,Tabla4[[#This Row],[Utilidad Total]]*11.5%))/Tabla4[[#This Row],[Total]]</f>
        <v>#N/A</v>
      </c>
      <c r="V6310" s="282" t="e">
        <f>+Tabla4[[#This Row],[Comisión Calculada]]*Tabla4[[#This Row],[Total]]</f>
        <v>#N/A</v>
      </c>
    </row>
    <row r="6311" spans="1:22" hidden="1" x14ac:dyDescent="0.25">
      <c r="A6311" s="100">
        <v>45945</v>
      </c>
      <c r="B6311" t="str">
        <f>TEXT(A6311, "mmmm")</f>
        <v>October</v>
      </c>
      <c r="C6311" s="46" t="s">
        <v>280</v>
      </c>
      <c r="F6311" s="366" t="s">
        <v>3226</v>
      </c>
      <c r="G6311" s="46" t="s">
        <v>208</v>
      </c>
      <c r="H6311" s="46">
        <v>1</v>
      </c>
      <c r="I6311" s="51">
        <v>189.75</v>
      </c>
      <c r="J6311" s="281">
        <f>++Tabla4[[#This Row],[Precio Bruto]]*1.16</f>
        <v>220.10999999999999</v>
      </c>
      <c r="K6311" s="281">
        <f>+Tabla4[[#This Row],[Precio Unitario Neto]]*Tabla4[[#Headers],[20.85%]]</f>
        <v>45.892934999999994</v>
      </c>
      <c r="L6311" s="282">
        <f>++Tabla4[[#This Row],[Precio Unitario Neto]]-Tabla4[[#This Row],[20.85%]]</f>
        <v>174.21706499999999</v>
      </c>
      <c r="M6311" s="282" t="e">
        <f>(INDEX(Tabla6[#All],MATCH(Tabla4[[#This Row],[Producto]],Tabla6[[#All],[PRODUCTO]],0),MATCH(Tabla4[[#This Row],[Mes]],Tabla6[#Headers],0)))*(1+Catalogos!$L$2)</f>
        <v>#N/A</v>
      </c>
      <c r="N6311" s="283" t="e">
        <f>+(Tabla4[[#This Row],[Precio Descontado]]-Tabla4[[#This Row],[Precio Base]])*Tabla4[[#This Row],[Cantidad]]</f>
        <v>#N/A</v>
      </c>
      <c r="O6311" s="284" t="e">
        <f>++Tabla4[[#This Row],[Utilidad Total]]/Tabla4[[#This Row],[Total]]</f>
        <v>#N/A</v>
      </c>
      <c r="P6311" s="282">
        <f>++Tabla4[[#This Row],[Precio Descontado]]*Tabla4[[#This Row],[Cantidad]]</f>
        <v>174.21706499999999</v>
      </c>
      <c r="Q6311" s="282" t="e">
        <f>(INDEX(Tabla6[#All],MATCH(Tabla4[[#This Row],[Producto]],Tabla6[[#All],[PRODUCTO]],0),MATCH(Tabla4[[#This Row],[Mes]],Tabla6[#Headers],0)))</f>
        <v>#N/A</v>
      </c>
      <c r="R6311" s="282" t="e">
        <f>++Tabla4[[#This Row],[Precio Unitario Neto]]-Tabla4[[#This Row],[20.85%]]-Tabla4[[#This Row],[Costo]]</f>
        <v>#N/A</v>
      </c>
      <c r="S6311" s="282" t="e">
        <f>++Tabla4[[#This Row],[U. Bruta Uni]]*Tabla4[[#This Row],[Cantidad]]</f>
        <v>#N/A</v>
      </c>
      <c r="T6311" s="369" t="str">
        <f>VLOOKUP(Tabla4[[#This Row],[Producto]],Tabla6[#All],14,FALSE)</f>
        <v>Termico Solar</v>
      </c>
      <c r="U6311" s="284" t="e">
        <f>(IF(Tabla4[[#This Row],[Familia]]="termico solar",Tabla4[[#This Row],[Utilidad Total]]*6%,Tabla4[[#This Row],[Utilidad Total]]*11.5%))/Tabla4[[#This Row],[Total]]</f>
        <v>#N/A</v>
      </c>
      <c r="V6311" s="282" t="e">
        <f>+Tabla4[[#This Row],[Comisión Calculada]]*Tabla4[[#This Row],[Total]]</f>
        <v>#N/A</v>
      </c>
    </row>
    <row r="6312" spans="1:22" hidden="1" x14ac:dyDescent="0.25">
      <c r="A6312" s="100">
        <v>45945</v>
      </c>
      <c r="B6312" t="str">
        <f t="shared" ref="B6312:B6314" si="314">TEXT(A6312, "mmmm")</f>
        <v>October</v>
      </c>
      <c r="C6312" s="46" t="s">
        <v>280</v>
      </c>
      <c r="F6312" s="366" t="s">
        <v>3227</v>
      </c>
      <c r="G6312" s="46" t="s">
        <v>18</v>
      </c>
      <c r="H6312" s="46">
        <v>1</v>
      </c>
      <c r="I6312" s="51">
        <v>5367.65</v>
      </c>
      <c r="J6312" s="281">
        <f>++Tabla4[[#This Row],[Precio Bruto]]*1.16</f>
        <v>6226.4739999999993</v>
      </c>
      <c r="K6312" s="281">
        <f>+Tabla4[[#This Row],[Precio Unitario Neto]]*Tabla4[[#Headers],[20.85%]]</f>
        <v>1298.2198289999999</v>
      </c>
      <c r="L6312" s="282">
        <f>++Tabla4[[#This Row],[Precio Unitario Neto]]-Tabla4[[#This Row],[20.85%]]</f>
        <v>4928.2541709999996</v>
      </c>
      <c r="M6312" s="282" t="e">
        <f>(INDEX(Tabla6[#All],MATCH(Tabla4[[#This Row],[Producto]],Tabla6[[#All],[PRODUCTO]],0),MATCH(Tabla4[[#This Row],[Mes]],Tabla6[#Headers],0)))*(1+Catalogos!$L$2)</f>
        <v>#N/A</v>
      </c>
      <c r="N6312" s="283" t="e">
        <f>+(Tabla4[[#This Row],[Precio Descontado]]-Tabla4[[#This Row],[Precio Base]])*Tabla4[[#This Row],[Cantidad]]</f>
        <v>#N/A</v>
      </c>
      <c r="O6312" s="284" t="e">
        <f>++Tabla4[[#This Row],[Utilidad Total]]/Tabla4[[#This Row],[Total]]</f>
        <v>#N/A</v>
      </c>
      <c r="P6312" s="282">
        <f>++Tabla4[[#This Row],[Precio Descontado]]*Tabla4[[#This Row],[Cantidad]]</f>
        <v>4928.2541709999996</v>
      </c>
      <c r="Q6312" s="282" t="e">
        <f>(INDEX(Tabla6[#All],MATCH(Tabla4[[#This Row],[Producto]],Tabla6[[#All],[PRODUCTO]],0),MATCH(Tabla4[[#This Row],[Mes]],Tabla6[#Headers],0)))</f>
        <v>#N/A</v>
      </c>
      <c r="R6312" s="282" t="e">
        <f>++Tabla4[[#This Row],[Precio Unitario Neto]]-Tabla4[[#This Row],[20.85%]]-Tabla4[[#This Row],[Costo]]</f>
        <v>#N/A</v>
      </c>
      <c r="S6312" s="282" t="e">
        <f>++Tabla4[[#This Row],[U. Bruta Uni]]*Tabla4[[#This Row],[Cantidad]]</f>
        <v>#N/A</v>
      </c>
      <c r="T6312" s="369" t="str">
        <f>VLOOKUP(Tabla4[[#This Row],[Producto]],Tabla6[#All],14,FALSE)</f>
        <v>Termico Solar</v>
      </c>
      <c r="U6312" s="284" t="e">
        <f>(IF(Tabla4[[#This Row],[Familia]]="termico solar",Tabla4[[#This Row],[Utilidad Total]]*6%,Tabla4[[#This Row],[Utilidad Total]]*11.5%))/Tabla4[[#This Row],[Total]]</f>
        <v>#N/A</v>
      </c>
      <c r="V6312" s="282" t="e">
        <f>+Tabla4[[#This Row],[Comisión Calculada]]*Tabla4[[#This Row],[Total]]</f>
        <v>#N/A</v>
      </c>
    </row>
    <row r="6313" spans="1:22" hidden="1" x14ac:dyDescent="0.25">
      <c r="A6313" s="100">
        <v>45945</v>
      </c>
      <c r="B6313" t="str">
        <f t="shared" si="314"/>
        <v>October</v>
      </c>
      <c r="C6313" s="46" t="s">
        <v>280</v>
      </c>
      <c r="F6313" s="366" t="s">
        <v>3227</v>
      </c>
      <c r="G6313" s="46" t="s">
        <v>19</v>
      </c>
      <c r="H6313" s="46">
        <v>1</v>
      </c>
      <c r="I6313" s="51">
        <v>6412.03</v>
      </c>
      <c r="J6313" s="281">
        <f>++Tabla4[[#This Row],[Precio Bruto]]*1.16</f>
        <v>7437.9547999999995</v>
      </c>
      <c r="K6313" s="281">
        <f>+Tabla4[[#This Row],[Precio Unitario Neto]]*Tabla4[[#Headers],[20.85%]]</f>
        <v>1550.8135757999999</v>
      </c>
      <c r="L6313" s="282">
        <f>++Tabla4[[#This Row],[Precio Unitario Neto]]-Tabla4[[#This Row],[20.85%]]</f>
        <v>5887.1412241999997</v>
      </c>
      <c r="M6313" s="282" t="e">
        <f>(INDEX(Tabla6[#All],MATCH(Tabla4[[#This Row],[Producto]],Tabla6[[#All],[PRODUCTO]],0),MATCH(Tabla4[[#This Row],[Mes]],Tabla6[#Headers],0)))*(1+Catalogos!$L$2)</f>
        <v>#N/A</v>
      </c>
      <c r="N6313" s="283" t="e">
        <f>+(Tabla4[[#This Row],[Precio Descontado]]-Tabla4[[#This Row],[Precio Base]])*Tabla4[[#This Row],[Cantidad]]</f>
        <v>#N/A</v>
      </c>
      <c r="O6313" s="284" t="e">
        <f>++Tabla4[[#This Row],[Utilidad Total]]/Tabla4[[#This Row],[Total]]</f>
        <v>#N/A</v>
      </c>
      <c r="P6313" s="282">
        <f>++Tabla4[[#This Row],[Precio Descontado]]*Tabla4[[#This Row],[Cantidad]]</f>
        <v>5887.1412241999997</v>
      </c>
      <c r="Q6313" s="282" t="e">
        <f>(INDEX(Tabla6[#All],MATCH(Tabla4[[#This Row],[Producto]],Tabla6[[#All],[PRODUCTO]],0),MATCH(Tabla4[[#This Row],[Mes]],Tabla6[#Headers],0)))</f>
        <v>#N/A</v>
      </c>
      <c r="R6313" s="282" t="e">
        <f>++Tabla4[[#This Row],[Precio Unitario Neto]]-Tabla4[[#This Row],[20.85%]]-Tabla4[[#This Row],[Costo]]</f>
        <v>#N/A</v>
      </c>
      <c r="S6313" s="282" t="e">
        <f>++Tabla4[[#This Row],[U. Bruta Uni]]*Tabla4[[#This Row],[Cantidad]]</f>
        <v>#N/A</v>
      </c>
      <c r="T6313" s="369" t="str">
        <f>VLOOKUP(Tabla4[[#This Row],[Producto]],Tabla6[#All],14,FALSE)</f>
        <v>Termico Solar</v>
      </c>
      <c r="U6313" s="284" t="e">
        <f>(IF(Tabla4[[#This Row],[Familia]]="termico solar",Tabla4[[#This Row],[Utilidad Total]]*6%,Tabla4[[#This Row],[Utilidad Total]]*11.5%))/Tabla4[[#This Row],[Total]]</f>
        <v>#N/A</v>
      </c>
      <c r="V6313" s="282" t="e">
        <f>+Tabla4[[#This Row],[Comisión Calculada]]*Tabla4[[#This Row],[Total]]</f>
        <v>#N/A</v>
      </c>
    </row>
    <row r="6314" spans="1:22" hidden="1" x14ac:dyDescent="0.25">
      <c r="A6314" s="100">
        <v>45945</v>
      </c>
      <c r="B6314" t="str">
        <f t="shared" si="314"/>
        <v>October</v>
      </c>
      <c r="C6314" s="46" t="s">
        <v>280</v>
      </c>
      <c r="F6314" s="366" t="s">
        <v>3227</v>
      </c>
      <c r="G6314" s="46" t="s">
        <v>208</v>
      </c>
      <c r="H6314" s="46">
        <v>4</v>
      </c>
      <c r="I6314" s="51">
        <v>189.75</v>
      </c>
      <c r="J6314" s="281">
        <f>++Tabla4[[#This Row],[Precio Bruto]]*1.16</f>
        <v>220.10999999999999</v>
      </c>
      <c r="K6314" s="281">
        <f>+Tabla4[[#This Row],[Precio Unitario Neto]]*Tabla4[[#Headers],[20.85%]]</f>
        <v>45.892934999999994</v>
      </c>
      <c r="L6314" s="282">
        <f>++Tabla4[[#This Row],[Precio Unitario Neto]]-Tabla4[[#This Row],[20.85%]]</f>
        <v>174.21706499999999</v>
      </c>
      <c r="M6314" s="282" t="e">
        <f>(INDEX(Tabla6[#All],MATCH(Tabla4[[#This Row],[Producto]],Tabla6[[#All],[PRODUCTO]],0),MATCH(Tabla4[[#This Row],[Mes]],Tabla6[#Headers],0)))*(1+Catalogos!$L$2)</f>
        <v>#N/A</v>
      </c>
      <c r="N6314" s="283" t="e">
        <f>+(Tabla4[[#This Row],[Precio Descontado]]-Tabla4[[#This Row],[Precio Base]])*Tabla4[[#This Row],[Cantidad]]</f>
        <v>#N/A</v>
      </c>
      <c r="O6314" s="284" t="e">
        <f>++Tabla4[[#This Row],[Utilidad Total]]/Tabla4[[#This Row],[Total]]</f>
        <v>#N/A</v>
      </c>
      <c r="P6314" s="282">
        <f>++Tabla4[[#This Row],[Precio Descontado]]*Tabla4[[#This Row],[Cantidad]]</f>
        <v>696.86825999999996</v>
      </c>
      <c r="Q6314" s="282" t="e">
        <f>(INDEX(Tabla6[#All],MATCH(Tabla4[[#This Row],[Producto]],Tabla6[[#All],[PRODUCTO]],0),MATCH(Tabla4[[#This Row],[Mes]],Tabla6[#Headers],0)))</f>
        <v>#N/A</v>
      </c>
      <c r="R6314" s="282" t="e">
        <f>++Tabla4[[#This Row],[Precio Unitario Neto]]-Tabla4[[#This Row],[20.85%]]-Tabla4[[#This Row],[Costo]]</f>
        <v>#N/A</v>
      </c>
      <c r="S6314" s="282" t="e">
        <f>++Tabla4[[#This Row],[U. Bruta Uni]]*Tabla4[[#This Row],[Cantidad]]</f>
        <v>#N/A</v>
      </c>
      <c r="T6314" s="369" t="str">
        <f>VLOOKUP(Tabla4[[#This Row],[Producto]],Tabla6[#All],14,FALSE)</f>
        <v>Termico Solar</v>
      </c>
      <c r="U6314" s="284" t="e">
        <f>(IF(Tabla4[[#This Row],[Familia]]="termico solar",Tabla4[[#This Row],[Utilidad Total]]*6%,Tabla4[[#This Row],[Utilidad Total]]*11.5%))/Tabla4[[#This Row],[Total]]</f>
        <v>#N/A</v>
      </c>
      <c r="V6314" s="282" t="e">
        <f>+Tabla4[[#This Row],[Comisión Calculada]]*Tabla4[[#This Row],[Total]]</f>
        <v>#N/A</v>
      </c>
    </row>
    <row r="6315" spans="1:22" hidden="1" x14ac:dyDescent="0.25">
      <c r="A6315" s="100">
        <v>45945</v>
      </c>
      <c r="B6315" t="str">
        <f>TEXT(A6315, "mmmm")</f>
        <v>October</v>
      </c>
      <c r="C6315" s="46" t="s">
        <v>280</v>
      </c>
      <c r="F6315" s="366" t="s">
        <v>3228</v>
      </c>
      <c r="G6315" s="46" t="s">
        <v>566</v>
      </c>
      <c r="H6315" s="46">
        <v>1</v>
      </c>
      <c r="I6315" s="51">
        <v>2109.4499999999998</v>
      </c>
      <c r="J6315" s="281">
        <f>++Tabla4[[#This Row],[Precio Bruto]]*1.16</f>
        <v>2446.9619999999995</v>
      </c>
      <c r="K6315" s="281">
        <f>+Tabla4[[#This Row],[Precio Unitario Neto]]*Tabla4[[#Headers],[20.85%]]</f>
        <v>510.19157699999988</v>
      </c>
      <c r="L6315" s="282">
        <f>++Tabla4[[#This Row],[Precio Unitario Neto]]-Tabla4[[#This Row],[20.85%]]</f>
        <v>1936.7704229999997</v>
      </c>
      <c r="M6315" s="282" t="e">
        <f>(INDEX(Tabla6[#All],MATCH(Tabla4[[#This Row],[Producto]],Tabla6[[#All],[PRODUCTO]],0),MATCH(Tabla4[[#This Row],[Mes]],Tabla6[#Headers],0)))*(1+Catalogos!$L$2)</f>
        <v>#N/A</v>
      </c>
      <c r="N6315" s="283" t="e">
        <f>+(Tabla4[[#This Row],[Precio Descontado]]-Tabla4[[#This Row],[Precio Base]])*Tabla4[[#This Row],[Cantidad]]</f>
        <v>#N/A</v>
      </c>
      <c r="O6315" s="284" t="e">
        <f>++Tabla4[[#This Row],[Utilidad Total]]/Tabla4[[#This Row],[Total]]</f>
        <v>#N/A</v>
      </c>
      <c r="P6315" s="282">
        <f>++Tabla4[[#This Row],[Precio Descontado]]*Tabla4[[#This Row],[Cantidad]]</f>
        <v>1936.7704229999997</v>
      </c>
      <c r="Q6315" s="282" t="e">
        <f>(INDEX(Tabla6[#All],MATCH(Tabla4[[#This Row],[Producto]],Tabla6[[#All],[PRODUCTO]],0),MATCH(Tabla4[[#This Row],[Mes]],Tabla6[#Headers],0)))</f>
        <v>#N/A</v>
      </c>
      <c r="R6315" s="282" t="e">
        <f>++Tabla4[[#This Row],[Precio Unitario Neto]]-Tabla4[[#This Row],[20.85%]]-Tabla4[[#This Row],[Costo]]</f>
        <v>#N/A</v>
      </c>
      <c r="S6315" s="282" t="e">
        <f>++Tabla4[[#This Row],[U. Bruta Uni]]*Tabla4[[#This Row],[Cantidad]]</f>
        <v>#N/A</v>
      </c>
      <c r="T6315" s="369" t="str">
        <f>VLOOKUP(Tabla4[[#This Row],[Producto]],Tabla6[#All],14,FALSE)</f>
        <v>Termico Solar</v>
      </c>
      <c r="U6315" s="284" t="e">
        <f>(IF(Tabla4[[#This Row],[Familia]]="termico solar",Tabla4[[#This Row],[Utilidad Total]]*6%,Tabla4[[#This Row],[Utilidad Total]]*11.5%))/Tabla4[[#This Row],[Total]]</f>
        <v>#N/A</v>
      </c>
      <c r="V6315" s="282" t="e">
        <f>+Tabla4[[#This Row],[Comisión Calculada]]*Tabla4[[#This Row],[Total]]</f>
        <v>#N/A</v>
      </c>
    </row>
    <row r="6316" spans="1:22" hidden="1" x14ac:dyDescent="0.25">
      <c r="A6316" s="100">
        <v>45945</v>
      </c>
      <c r="B6316" t="str">
        <f t="shared" ref="B6316:B6320" si="315">TEXT(A6316, "mmmm")</f>
        <v>October</v>
      </c>
      <c r="C6316" s="46" t="s">
        <v>280</v>
      </c>
      <c r="F6316" s="366" t="s">
        <v>3229</v>
      </c>
      <c r="G6316" s="46" t="s">
        <v>83</v>
      </c>
      <c r="H6316" s="46">
        <v>1</v>
      </c>
      <c r="I6316" s="51">
        <v>8858.76</v>
      </c>
      <c r="J6316" s="281">
        <f>++Tabla4[[#This Row],[Precio Bruto]]*1.16</f>
        <v>10276.161599999999</v>
      </c>
      <c r="K6316" s="281">
        <f>+Tabla4[[#This Row],[Precio Unitario Neto]]*Tabla4[[#Headers],[20.85%]]</f>
        <v>2142.5796935999997</v>
      </c>
      <c r="L6316" s="282">
        <f>++Tabla4[[#This Row],[Precio Unitario Neto]]-Tabla4[[#This Row],[20.85%]]</f>
        <v>8133.5819063999998</v>
      </c>
      <c r="M6316" s="282" t="e">
        <f>(INDEX(Tabla6[#All],MATCH(Tabla4[[#This Row],[Producto]],Tabla6[[#All],[PRODUCTO]],0),MATCH(Tabla4[[#This Row],[Mes]],Tabla6[#Headers],0)))*(1+Catalogos!$L$2)</f>
        <v>#N/A</v>
      </c>
      <c r="N6316" s="283" t="e">
        <f>+(Tabla4[[#This Row],[Precio Descontado]]-Tabla4[[#This Row],[Precio Base]])*Tabla4[[#This Row],[Cantidad]]</f>
        <v>#N/A</v>
      </c>
      <c r="O6316" s="284" t="e">
        <f>++Tabla4[[#This Row],[Utilidad Total]]/Tabla4[[#This Row],[Total]]</f>
        <v>#N/A</v>
      </c>
      <c r="P6316" s="282">
        <f>++Tabla4[[#This Row],[Precio Descontado]]*Tabla4[[#This Row],[Cantidad]]</f>
        <v>8133.5819063999998</v>
      </c>
      <c r="Q6316" s="282" t="e">
        <f>(INDEX(Tabla6[#All],MATCH(Tabla4[[#This Row],[Producto]],Tabla6[[#All],[PRODUCTO]],0),MATCH(Tabla4[[#This Row],[Mes]],Tabla6[#Headers],0)))</f>
        <v>#N/A</v>
      </c>
      <c r="R6316" s="282" t="e">
        <f>++Tabla4[[#This Row],[Precio Unitario Neto]]-Tabla4[[#This Row],[20.85%]]-Tabla4[[#This Row],[Costo]]</f>
        <v>#N/A</v>
      </c>
      <c r="S6316" s="282" t="e">
        <f>++Tabla4[[#This Row],[U. Bruta Uni]]*Tabla4[[#This Row],[Cantidad]]</f>
        <v>#N/A</v>
      </c>
      <c r="T6316" s="369" t="str">
        <f>VLOOKUP(Tabla4[[#This Row],[Producto]],Tabla6[#All],14,FALSE)</f>
        <v>Termico Solar</v>
      </c>
      <c r="U6316" s="284" t="e">
        <f>(IF(Tabla4[[#This Row],[Familia]]="termico solar",Tabla4[[#This Row],[Utilidad Total]]*6%,Tabla4[[#This Row],[Utilidad Total]]*11.5%))/Tabla4[[#This Row],[Total]]</f>
        <v>#N/A</v>
      </c>
      <c r="V6316" s="282" t="e">
        <f>+Tabla4[[#This Row],[Comisión Calculada]]*Tabla4[[#This Row],[Total]]</f>
        <v>#N/A</v>
      </c>
    </row>
    <row r="6317" spans="1:22" hidden="1" x14ac:dyDescent="0.25">
      <c r="A6317" s="100">
        <v>45945</v>
      </c>
      <c r="B6317" t="str">
        <f t="shared" si="315"/>
        <v>October</v>
      </c>
      <c r="C6317" s="46" t="s">
        <v>280</v>
      </c>
      <c r="F6317" s="366" t="s">
        <v>3229</v>
      </c>
      <c r="G6317" s="46" t="s">
        <v>18</v>
      </c>
      <c r="H6317" s="46">
        <v>3</v>
      </c>
      <c r="I6317" s="51">
        <v>5367.6500000000005</v>
      </c>
      <c r="J6317" s="281">
        <f>++Tabla4[[#This Row],[Precio Bruto]]*1.16</f>
        <v>6226.4740000000002</v>
      </c>
      <c r="K6317" s="281">
        <f>+Tabla4[[#This Row],[Precio Unitario Neto]]*Tabla4[[#Headers],[20.85%]]</f>
        <v>1298.2198289999999</v>
      </c>
      <c r="L6317" s="282">
        <f>++Tabla4[[#This Row],[Precio Unitario Neto]]-Tabla4[[#This Row],[20.85%]]</f>
        <v>4928.2541710000005</v>
      </c>
      <c r="M6317" s="282" t="e">
        <f>(INDEX(Tabla6[#All],MATCH(Tabla4[[#This Row],[Producto]],Tabla6[[#All],[PRODUCTO]],0),MATCH(Tabla4[[#This Row],[Mes]],Tabla6[#Headers],0)))*(1+Catalogos!$L$2)</f>
        <v>#N/A</v>
      </c>
      <c r="N6317" s="283" t="e">
        <f>+(Tabla4[[#This Row],[Precio Descontado]]-Tabla4[[#This Row],[Precio Base]])*Tabla4[[#This Row],[Cantidad]]</f>
        <v>#N/A</v>
      </c>
      <c r="O6317" s="284" t="e">
        <f>++Tabla4[[#This Row],[Utilidad Total]]/Tabla4[[#This Row],[Total]]</f>
        <v>#N/A</v>
      </c>
      <c r="P6317" s="282">
        <f>++Tabla4[[#This Row],[Precio Descontado]]*Tabla4[[#This Row],[Cantidad]]</f>
        <v>14784.762513000001</v>
      </c>
      <c r="Q6317" s="282" t="e">
        <f>(INDEX(Tabla6[#All],MATCH(Tabla4[[#This Row],[Producto]],Tabla6[[#All],[PRODUCTO]],0),MATCH(Tabla4[[#This Row],[Mes]],Tabla6[#Headers],0)))</f>
        <v>#N/A</v>
      </c>
      <c r="R6317" s="282" t="e">
        <f>++Tabla4[[#This Row],[Precio Unitario Neto]]-Tabla4[[#This Row],[20.85%]]-Tabla4[[#This Row],[Costo]]</f>
        <v>#N/A</v>
      </c>
      <c r="S6317" s="282" t="e">
        <f>++Tabla4[[#This Row],[U. Bruta Uni]]*Tabla4[[#This Row],[Cantidad]]</f>
        <v>#N/A</v>
      </c>
      <c r="T6317" s="369" t="str">
        <f>VLOOKUP(Tabla4[[#This Row],[Producto]],Tabla6[#All],14,FALSE)</f>
        <v>Termico Solar</v>
      </c>
      <c r="U6317" s="284" t="e">
        <f>(IF(Tabla4[[#This Row],[Familia]]="termico solar",Tabla4[[#This Row],[Utilidad Total]]*6%,Tabla4[[#This Row],[Utilidad Total]]*11.5%))/Tabla4[[#This Row],[Total]]</f>
        <v>#N/A</v>
      </c>
      <c r="V6317" s="282" t="e">
        <f>+Tabla4[[#This Row],[Comisión Calculada]]*Tabla4[[#This Row],[Total]]</f>
        <v>#N/A</v>
      </c>
    </row>
    <row r="6318" spans="1:22" hidden="1" x14ac:dyDescent="0.25">
      <c r="A6318" s="100">
        <v>45945</v>
      </c>
      <c r="B6318" t="str">
        <f t="shared" si="315"/>
        <v>October</v>
      </c>
      <c r="C6318" s="46" t="s">
        <v>280</v>
      </c>
      <c r="F6318" s="366" t="s">
        <v>3229</v>
      </c>
      <c r="G6318" s="46" t="s">
        <v>19</v>
      </c>
      <c r="H6318" s="46">
        <v>1</v>
      </c>
      <c r="I6318" s="51">
        <v>6412.03</v>
      </c>
      <c r="J6318" s="281">
        <f>++Tabla4[[#This Row],[Precio Bruto]]*1.16</f>
        <v>7437.9547999999995</v>
      </c>
      <c r="K6318" s="281">
        <f>+Tabla4[[#This Row],[Precio Unitario Neto]]*Tabla4[[#Headers],[20.85%]]</f>
        <v>1550.8135757999999</v>
      </c>
      <c r="L6318" s="282">
        <f>++Tabla4[[#This Row],[Precio Unitario Neto]]-Tabla4[[#This Row],[20.85%]]</f>
        <v>5887.1412241999997</v>
      </c>
      <c r="M6318" s="282" t="e">
        <f>(INDEX(Tabla6[#All],MATCH(Tabla4[[#This Row],[Producto]],Tabla6[[#All],[PRODUCTO]],0),MATCH(Tabla4[[#This Row],[Mes]],Tabla6[#Headers],0)))*(1+Catalogos!$L$2)</f>
        <v>#N/A</v>
      </c>
      <c r="N6318" s="283" t="e">
        <f>+(Tabla4[[#This Row],[Precio Descontado]]-Tabla4[[#This Row],[Precio Base]])*Tabla4[[#This Row],[Cantidad]]</f>
        <v>#N/A</v>
      </c>
      <c r="O6318" s="284" t="e">
        <f>++Tabla4[[#This Row],[Utilidad Total]]/Tabla4[[#This Row],[Total]]</f>
        <v>#N/A</v>
      </c>
      <c r="P6318" s="282">
        <f>++Tabla4[[#This Row],[Precio Descontado]]*Tabla4[[#This Row],[Cantidad]]</f>
        <v>5887.1412241999997</v>
      </c>
      <c r="Q6318" s="282" t="e">
        <f>(INDEX(Tabla6[#All],MATCH(Tabla4[[#This Row],[Producto]],Tabla6[[#All],[PRODUCTO]],0),MATCH(Tabla4[[#This Row],[Mes]],Tabla6[#Headers],0)))</f>
        <v>#N/A</v>
      </c>
      <c r="R6318" s="282" t="e">
        <f>++Tabla4[[#This Row],[Precio Unitario Neto]]-Tabla4[[#This Row],[20.85%]]-Tabla4[[#This Row],[Costo]]</f>
        <v>#N/A</v>
      </c>
      <c r="S6318" s="282" t="e">
        <f>++Tabla4[[#This Row],[U. Bruta Uni]]*Tabla4[[#This Row],[Cantidad]]</f>
        <v>#N/A</v>
      </c>
      <c r="T6318" s="369" t="str">
        <f>VLOOKUP(Tabla4[[#This Row],[Producto]],Tabla6[#All],14,FALSE)</f>
        <v>Termico Solar</v>
      </c>
      <c r="U6318" s="284" t="e">
        <f>(IF(Tabla4[[#This Row],[Familia]]="termico solar",Tabla4[[#This Row],[Utilidad Total]]*6%,Tabla4[[#This Row],[Utilidad Total]]*11.5%))/Tabla4[[#This Row],[Total]]</f>
        <v>#N/A</v>
      </c>
      <c r="V6318" s="282" t="e">
        <f>+Tabla4[[#This Row],[Comisión Calculada]]*Tabla4[[#This Row],[Total]]</f>
        <v>#N/A</v>
      </c>
    </row>
    <row r="6319" spans="1:22" hidden="1" x14ac:dyDescent="0.25">
      <c r="A6319" s="100">
        <v>45945</v>
      </c>
      <c r="B6319" t="str">
        <f t="shared" si="315"/>
        <v>October</v>
      </c>
      <c r="C6319" s="46" t="s">
        <v>280</v>
      </c>
      <c r="F6319" s="366" t="s">
        <v>3229</v>
      </c>
      <c r="G6319" s="46" t="s">
        <v>566</v>
      </c>
      <c r="H6319" s="46">
        <v>1</v>
      </c>
      <c r="I6319" s="51">
        <v>2109.4499999999998</v>
      </c>
      <c r="J6319" s="281">
        <f>++Tabla4[[#This Row],[Precio Bruto]]*1.16</f>
        <v>2446.9619999999995</v>
      </c>
      <c r="K6319" s="281">
        <f>+Tabla4[[#This Row],[Precio Unitario Neto]]*Tabla4[[#Headers],[20.85%]]</f>
        <v>510.19157699999988</v>
      </c>
      <c r="L6319" s="282">
        <f>++Tabla4[[#This Row],[Precio Unitario Neto]]-Tabla4[[#This Row],[20.85%]]</f>
        <v>1936.7704229999997</v>
      </c>
      <c r="M6319" s="282" t="e">
        <f>(INDEX(Tabla6[#All],MATCH(Tabla4[[#This Row],[Producto]],Tabla6[[#All],[PRODUCTO]],0),MATCH(Tabla4[[#This Row],[Mes]],Tabla6[#Headers],0)))*(1+Catalogos!$L$2)</f>
        <v>#N/A</v>
      </c>
      <c r="N6319" s="283" t="e">
        <f>+(Tabla4[[#This Row],[Precio Descontado]]-Tabla4[[#This Row],[Precio Base]])*Tabla4[[#This Row],[Cantidad]]</f>
        <v>#N/A</v>
      </c>
      <c r="O6319" s="284" t="e">
        <f>++Tabla4[[#This Row],[Utilidad Total]]/Tabla4[[#This Row],[Total]]</f>
        <v>#N/A</v>
      </c>
      <c r="P6319" s="282">
        <f>++Tabla4[[#This Row],[Precio Descontado]]*Tabla4[[#This Row],[Cantidad]]</f>
        <v>1936.7704229999997</v>
      </c>
      <c r="Q6319" s="282" t="e">
        <f>(INDEX(Tabla6[#All],MATCH(Tabla4[[#This Row],[Producto]],Tabla6[[#All],[PRODUCTO]],0),MATCH(Tabla4[[#This Row],[Mes]],Tabla6[#Headers],0)))</f>
        <v>#N/A</v>
      </c>
      <c r="R6319" s="282" t="e">
        <f>++Tabla4[[#This Row],[Precio Unitario Neto]]-Tabla4[[#This Row],[20.85%]]-Tabla4[[#This Row],[Costo]]</f>
        <v>#N/A</v>
      </c>
      <c r="S6319" s="282" t="e">
        <f>++Tabla4[[#This Row],[U. Bruta Uni]]*Tabla4[[#This Row],[Cantidad]]</f>
        <v>#N/A</v>
      </c>
      <c r="T6319" s="369" t="str">
        <f>VLOOKUP(Tabla4[[#This Row],[Producto]],Tabla6[#All],14,FALSE)</f>
        <v>Termico Solar</v>
      </c>
      <c r="U6319" s="284" t="e">
        <f>(IF(Tabla4[[#This Row],[Familia]]="termico solar",Tabla4[[#This Row],[Utilidad Total]]*6%,Tabla4[[#This Row],[Utilidad Total]]*11.5%))/Tabla4[[#This Row],[Total]]</f>
        <v>#N/A</v>
      </c>
      <c r="V6319" s="282" t="e">
        <f>+Tabla4[[#This Row],[Comisión Calculada]]*Tabla4[[#This Row],[Total]]</f>
        <v>#N/A</v>
      </c>
    </row>
    <row r="6320" spans="1:22" hidden="1" x14ac:dyDescent="0.25">
      <c r="A6320" s="100">
        <v>45945</v>
      </c>
      <c r="B6320" t="str">
        <f t="shared" si="315"/>
        <v>October</v>
      </c>
      <c r="C6320" s="46" t="s">
        <v>280</v>
      </c>
      <c r="F6320" s="366" t="s">
        <v>3229</v>
      </c>
      <c r="G6320" s="46" t="s">
        <v>16</v>
      </c>
      <c r="H6320" s="46">
        <v>1</v>
      </c>
      <c r="I6320" s="51">
        <v>4103.8500000000004</v>
      </c>
      <c r="J6320" s="281">
        <f>++Tabla4[[#This Row],[Precio Bruto]]*1.16</f>
        <v>4760.4660000000003</v>
      </c>
      <c r="K6320" s="281">
        <f>+Tabla4[[#This Row],[Precio Unitario Neto]]*Tabla4[[#Headers],[20.85%]]</f>
        <v>992.55716100000006</v>
      </c>
      <c r="L6320" s="282">
        <f>++Tabla4[[#This Row],[Precio Unitario Neto]]-Tabla4[[#This Row],[20.85%]]</f>
        <v>3767.9088390000002</v>
      </c>
      <c r="M6320" s="282" t="e">
        <f>(INDEX(Tabla6[#All],MATCH(Tabla4[[#This Row],[Producto]],Tabla6[[#All],[PRODUCTO]],0),MATCH(Tabla4[[#This Row],[Mes]],Tabla6[#Headers],0)))*(1+Catalogos!$L$2)</f>
        <v>#N/A</v>
      </c>
      <c r="N6320" s="283" t="e">
        <f>+(Tabla4[[#This Row],[Precio Descontado]]-Tabla4[[#This Row],[Precio Base]])*Tabla4[[#This Row],[Cantidad]]</f>
        <v>#N/A</v>
      </c>
      <c r="O6320" s="284" t="e">
        <f>++Tabla4[[#This Row],[Utilidad Total]]/Tabla4[[#This Row],[Total]]</f>
        <v>#N/A</v>
      </c>
      <c r="P6320" s="282">
        <f>++Tabla4[[#This Row],[Precio Descontado]]*Tabla4[[#This Row],[Cantidad]]</f>
        <v>3767.9088390000002</v>
      </c>
      <c r="Q6320" s="282" t="e">
        <f>(INDEX(Tabla6[#All],MATCH(Tabla4[[#This Row],[Producto]],Tabla6[[#All],[PRODUCTO]],0),MATCH(Tabla4[[#This Row],[Mes]],Tabla6[#Headers],0)))</f>
        <v>#N/A</v>
      </c>
      <c r="R6320" s="282" t="e">
        <f>++Tabla4[[#This Row],[Precio Unitario Neto]]-Tabla4[[#This Row],[20.85%]]-Tabla4[[#This Row],[Costo]]</f>
        <v>#N/A</v>
      </c>
      <c r="S6320" s="282" t="e">
        <f>++Tabla4[[#This Row],[U. Bruta Uni]]*Tabla4[[#This Row],[Cantidad]]</f>
        <v>#N/A</v>
      </c>
      <c r="T6320" s="369" t="str">
        <f>VLOOKUP(Tabla4[[#This Row],[Producto]],Tabla6[#All],14,FALSE)</f>
        <v>Termico Solar</v>
      </c>
      <c r="U6320" s="284" t="e">
        <f>(IF(Tabla4[[#This Row],[Familia]]="termico solar",Tabla4[[#This Row],[Utilidad Total]]*6%,Tabla4[[#This Row],[Utilidad Total]]*11.5%))/Tabla4[[#This Row],[Total]]</f>
        <v>#N/A</v>
      </c>
      <c r="V6320" s="282" t="e">
        <f>+Tabla4[[#This Row],[Comisión Calculada]]*Tabla4[[#This Row],[Total]]</f>
        <v>#N/A</v>
      </c>
    </row>
    <row r="6321" spans="1:22" hidden="1" x14ac:dyDescent="0.25">
      <c r="A6321" s="100">
        <v>45945</v>
      </c>
      <c r="B6321" t="str">
        <f t="shared" ref="B6321:B6323" si="316">TEXT(A6321, "mmmm")</f>
        <v>October</v>
      </c>
      <c r="C6321" s="46" t="s">
        <v>280</v>
      </c>
      <c r="F6321" s="366" t="s">
        <v>3230</v>
      </c>
      <c r="G6321" s="46" t="s">
        <v>566</v>
      </c>
      <c r="H6321" s="46">
        <v>1</v>
      </c>
      <c r="I6321" s="51">
        <v>2109.4499999999998</v>
      </c>
      <c r="J6321" s="281">
        <f>++Tabla4[[#This Row],[Precio Bruto]]*1.16</f>
        <v>2446.9619999999995</v>
      </c>
      <c r="K6321" s="281">
        <f>+Tabla4[[#This Row],[Precio Unitario Neto]]*Tabla4[[#Headers],[20.85%]]</f>
        <v>510.19157699999988</v>
      </c>
      <c r="L6321" s="282">
        <f>++Tabla4[[#This Row],[Precio Unitario Neto]]-Tabla4[[#This Row],[20.85%]]</f>
        <v>1936.7704229999997</v>
      </c>
      <c r="M6321" s="282" t="e">
        <f>(INDEX(Tabla6[#All],MATCH(Tabla4[[#This Row],[Producto]],Tabla6[[#All],[PRODUCTO]],0),MATCH(Tabla4[[#This Row],[Mes]],Tabla6[#Headers],0)))*(1+Catalogos!$L$2)</f>
        <v>#N/A</v>
      </c>
      <c r="N6321" s="283" t="e">
        <f>+(Tabla4[[#This Row],[Precio Descontado]]-Tabla4[[#This Row],[Precio Base]])*Tabla4[[#This Row],[Cantidad]]</f>
        <v>#N/A</v>
      </c>
      <c r="O6321" s="284" t="e">
        <f>++Tabla4[[#This Row],[Utilidad Total]]/Tabla4[[#This Row],[Total]]</f>
        <v>#N/A</v>
      </c>
      <c r="P6321" s="282">
        <f>++Tabla4[[#This Row],[Precio Descontado]]*Tabla4[[#This Row],[Cantidad]]</f>
        <v>1936.7704229999997</v>
      </c>
      <c r="Q6321" s="282" t="e">
        <f>(INDEX(Tabla6[#All],MATCH(Tabla4[[#This Row],[Producto]],Tabla6[[#All],[PRODUCTO]],0),MATCH(Tabla4[[#This Row],[Mes]],Tabla6[#Headers],0)))</f>
        <v>#N/A</v>
      </c>
      <c r="R6321" s="282" t="e">
        <f>++Tabla4[[#This Row],[Precio Unitario Neto]]-Tabla4[[#This Row],[20.85%]]-Tabla4[[#This Row],[Costo]]</f>
        <v>#N/A</v>
      </c>
      <c r="S6321" s="282" t="e">
        <f>++Tabla4[[#This Row],[U. Bruta Uni]]*Tabla4[[#This Row],[Cantidad]]</f>
        <v>#N/A</v>
      </c>
      <c r="T6321" s="369" t="str">
        <f>VLOOKUP(Tabla4[[#This Row],[Producto]],Tabla6[#All],14,FALSE)</f>
        <v>Termico Solar</v>
      </c>
      <c r="U6321" s="284" t="e">
        <f>(IF(Tabla4[[#This Row],[Familia]]="termico solar",Tabla4[[#This Row],[Utilidad Total]]*6%,Tabla4[[#This Row],[Utilidad Total]]*11.5%))/Tabla4[[#This Row],[Total]]</f>
        <v>#N/A</v>
      </c>
      <c r="V6321" s="282" t="e">
        <f>+Tabla4[[#This Row],[Comisión Calculada]]*Tabla4[[#This Row],[Total]]</f>
        <v>#N/A</v>
      </c>
    </row>
    <row r="6322" spans="1:22" hidden="1" x14ac:dyDescent="0.25">
      <c r="A6322" s="100">
        <v>45945</v>
      </c>
      <c r="B6322" t="str">
        <f t="shared" si="316"/>
        <v>October</v>
      </c>
      <c r="C6322" s="46" t="s">
        <v>280</v>
      </c>
      <c r="F6322" s="366" t="s">
        <v>3230</v>
      </c>
      <c r="G6322" s="46" t="s">
        <v>412</v>
      </c>
      <c r="H6322" s="46">
        <v>1</v>
      </c>
      <c r="I6322" s="51">
        <v>3240.84</v>
      </c>
      <c r="J6322" s="281">
        <f>++Tabla4[[#This Row],[Precio Bruto]]*1.16</f>
        <v>3759.3743999999997</v>
      </c>
      <c r="K6322" s="281">
        <f>+Tabla4[[#This Row],[Precio Unitario Neto]]*Tabla4[[#Headers],[20.85%]]</f>
        <v>783.82956239999987</v>
      </c>
      <c r="L6322" s="282">
        <f>++Tabla4[[#This Row],[Precio Unitario Neto]]-Tabla4[[#This Row],[20.85%]]</f>
        <v>2975.5448375999999</v>
      </c>
      <c r="M6322" s="282" t="e">
        <f>(INDEX(Tabla6[#All],MATCH(Tabla4[[#This Row],[Producto]],Tabla6[[#All],[PRODUCTO]],0),MATCH(Tabla4[[#This Row],[Mes]],Tabla6[#Headers],0)))*(1+Catalogos!$L$2)</f>
        <v>#N/A</v>
      </c>
      <c r="N6322" s="283" t="e">
        <f>+(Tabla4[[#This Row],[Precio Descontado]]-Tabla4[[#This Row],[Precio Base]])*Tabla4[[#This Row],[Cantidad]]</f>
        <v>#N/A</v>
      </c>
      <c r="O6322" s="284" t="e">
        <f>++Tabla4[[#This Row],[Utilidad Total]]/Tabla4[[#This Row],[Total]]</f>
        <v>#N/A</v>
      </c>
      <c r="P6322" s="282">
        <f>++Tabla4[[#This Row],[Precio Descontado]]*Tabla4[[#This Row],[Cantidad]]</f>
        <v>2975.5448375999999</v>
      </c>
      <c r="Q6322" s="282" t="e">
        <f>(INDEX(Tabla6[#All],MATCH(Tabla4[[#This Row],[Producto]],Tabla6[[#All],[PRODUCTO]],0),MATCH(Tabla4[[#This Row],[Mes]],Tabla6[#Headers],0)))</f>
        <v>#N/A</v>
      </c>
      <c r="R6322" s="282" t="e">
        <f>++Tabla4[[#This Row],[Precio Unitario Neto]]-Tabla4[[#This Row],[20.85%]]-Tabla4[[#This Row],[Costo]]</f>
        <v>#N/A</v>
      </c>
      <c r="S6322" s="282" t="e">
        <f>++Tabla4[[#This Row],[U. Bruta Uni]]*Tabla4[[#This Row],[Cantidad]]</f>
        <v>#N/A</v>
      </c>
      <c r="T6322" s="369" t="str">
        <f>VLOOKUP(Tabla4[[#This Row],[Producto]],Tabla6[#All],14,FALSE)</f>
        <v>Termico Solar</v>
      </c>
      <c r="U6322" s="284" t="e">
        <f>(IF(Tabla4[[#This Row],[Familia]]="termico solar",Tabla4[[#This Row],[Utilidad Total]]*6%,Tabla4[[#This Row],[Utilidad Total]]*11.5%))/Tabla4[[#This Row],[Total]]</f>
        <v>#N/A</v>
      </c>
      <c r="V6322" s="282" t="e">
        <f>+Tabla4[[#This Row],[Comisión Calculada]]*Tabla4[[#This Row],[Total]]</f>
        <v>#N/A</v>
      </c>
    </row>
    <row r="6323" spans="1:22" hidden="1" x14ac:dyDescent="0.25">
      <c r="A6323" s="100">
        <v>45945</v>
      </c>
      <c r="B6323" t="str">
        <f t="shared" si="316"/>
        <v>October</v>
      </c>
      <c r="C6323" s="46" t="s">
        <v>280</v>
      </c>
      <c r="F6323" s="366" t="s">
        <v>3230</v>
      </c>
      <c r="G6323" s="46" t="s">
        <v>208</v>
      </c>
      <c r="H6323" s="46">
        <v>1</v>
      </c>
      <c r="I6323" s="51">
        <v>189.75</v>
      </c>
      <c r="J6323" s="281">
        <f>++Tabla4[[#This Row],[Precio Bruto]]*1.16</f>
        <v>220.10999999999999</v>
      </c>
      <c r="K6323" s="281">
        <f>+Tabla4[[#This Row],[Precio Unitario Neto]]*Tabla4[[#Headers],[20.85%]]</f>
        <v>45.892934999999994</v>
      </c>
      <c r="L6323" s="282">
        <f>++Tabla4[[#This Row],[Precio Unitario Neto]]-Tabla4[[#This Row],[20.85%]]</f>
        <v>174.21706499999999</v>
      </c>
      <c r="M6323" s="282" t="e">
        <f>(INDEX(Tabla6[#All],MATCH(Tabla4[[#This Row],[Producto]],Tabla6[[#All],[PRODUCTO]],0),MATCH(Tabla4[[#This Row],[Mes]],Tabla6[#Headers],0)))*(1+Catalogos!$L$2)</f>
        <v>#N/A</v>
      </c>
      <c r="N6323" s="283" t="e">
        <f>+(Tabla4[[#This Row],[Precio Descontado]]-Tabla4[[#This Row],[Precio Base]])*Tabla4[[#This Row],[Cantidad]]</f>
        <v>#N/A</v>
      </c>
      <c r="O6323" s="284" t="e">
        <f>++Tabla4[[#This Row],[Utilidad Total]]/Tabla4[[#This Row],[Total]]</f>
        <v>#N/A</v>
      </c>
      <c r="P6323" s="282">
        <f>++Tabla4[[#This Row],[Precio Descontado]]*Tabla4[[#This Row],[Cantidad]]</f>
        <v>174.21706499999999</v>
      </c>
      <c r="Q6323" s="282" t="e">
        <f>(INDEX(Tabla6[#All],MATCH(Tabla4[[#This Row],[Producto]],Tabla6[[#All],[PRODUCTO]],0),MATCH(Tabla4[[#This Row],[Mes]],Tabla6[#Headers],0)))</f>
        <v>#N/A</v>
      </c>
      <c r="R6323" s="282" t="e">
        <f>++Tabla4[[#This Row],[Precio Unitario Neto]]-Tabla4[[#This Row],[20.85%]]-Tabla4[[#This Row],[Costo]]</f>
        <v>#N/A</v>
      </c>
      <c r="S6323" s="282" t="e">
        <f>++Tabla4[[#This Row],[U. Bruta Uni]]*Tabla4[[#This Row],[Cantidad]]</f>
        <v>#N/A</v>
      </c>
      <c r="T6323" s="369" t="str">
        <f>VLOOKUP(Tabla4[[#This Row],[Producto]],Tabla6[#All],14,FALSE)</f>
        <v>Termico Solar</v>
      </c>
      <c r="U6323" s="284" t="e">
        <f>(IF(Tabla4[[#This Row],[Familia]]="termico solar",Tabla4[[#This Row],[Utilidad Total]]*6%,Tabla4[[#This Row],[Utilidad Total]]*11.5%))/Tabla4[[#This Row],[Total]]</f>
        <v>#N/A</v>
      </c>
      <c r="V6323" s="282" t="e">
        <f>+Tabla4[[#This Row],[Comisión Calculada]]*Tabla4[[#This Row],[Total]]</f>
        <v>#N/A</v>
      </c>
    </row>
    <row r="6324" spans="1:22" hidden="1" x14ac:dyDescent="0.25">
      <c r="A6324" s="100">
        <v>45945</v>
      </c>
      <c r="B6324" t="str">
        <f>TEXT(A6324, "mmmm")</f>
        <v>October</v>
      </c>
      <c r="C6324" s="46" t="s">
        <v>280</v>
      </c>
      <c r="F6324" s="366" t="s">
        <v>3231</v>
      </c>
      <c r="G6324" s="46" t="s">
        <v>566</v>
      </c>
      <c r="H6324" s="46">
        <v>1</v>
      </c>
      <c r="I6324" s="51">
        <v>2109.4499999999998</v>
      </c>
      <c r="J6324" s="281">
        <f>++Tabla4[[#This Row],[Precio Bruto]]*1.16</f>
        <v>2446.9619999999995</v>
      </c>
      <c r="K6324" s="281">
        <f>+Tabla4[[#This Row],[Precio Unitario Neto]]*Tabla4[[#Headers],[20.85%]]</f>
        <v>510.19157699999988</v>
      </c>
      <c r="L6324" s="282">
        <f>++Tabla4[[#This Row],[Precio Unitario Neto]]-Tabla4[[#This Row],[20.85%]]</f>
        <v>1936.7704229999997</v>
      </c>
      <c r="M6324" s="282" t="e">
        <f>(INDEX(Tabla6[#All],MATCH(Tabla4[[#This Row],[Producto]],Tabla6[[#All],[PRODUCTO]],0),MATCH(Tabla4[[#This Row],[Mes]],Tabla6[#Headers],0)))*(1+Catalogos!$L$2)</f>
        <v>#N/A</v>
      </c>
      <c r="N6324" s="283" t="e">
        <f>+(Tabla4[[#This Row],[Precio Descontado]]-Tabla4[[#This Row],[Precio Base]])*Tabla4[[#This Row],[Cantidad]]</f>
        <v>#N/A</v>
      </c>
      <c r="O6324" s="284" t="e">
        <f>++Tabla4[[#This Row],[Utilidad Total]]/Tabla4[[#This Row],[Total]]</f>
        <v>#N/A</v>
      </c>
      <c r="P6324" s="282">
        <f>++Tabla4[[#This Row],[Precio Descontado]]*Tabla4[[#This Row],[Cantidad]]</f>
        <v>1936.7704229999997</v>
      </c>
      <c r="Q6324" s="282" t="e">
        <f>(INDEX(Tabla6[#All],MATCH(Tabla4[[#This Row],[Producto]],Tabla6[[#All],[PRODUCTO]],0),MATCH(Tabla4[[#This Row],[Mes]],Tabla6[#Headers],0)))</f>
        <v>#N/A</v>
      </c>
      <c r="R6324" s="282" t="e">
        <f>++Tabla4[[#This Row],[Precio Unitario Neto]]-Tabla4[[#This Row],[20.85%]]-Tabla4[[#This Row],[Costo]]</f>
        <v>#N/A</v>
      </c>
      <c r="S6324" s="282" t="e">
        <f>++Tabla4[[#This Row],[U. Bruta Uni]]*Tabla4[[#This Row],[Cantidad]]</f>
        <v>#N/A</v>
      </c>
      <c r="T6324" s="369" t="str">
        <f>VLOOKUP(Tabla4[[#This Row],[Producto]],Tabla6[#All],14,FALSE)</f>
        <v>Termico Solar</v>
      </c>
      <c r="U6324" s="284" t="e">
        <f>(IF(Tabla4[[#This Row],[Familia]]="termico solar",Tabla4[[#This Row],[Utilidad Total]]*6%,Tabla4[[#This Row],[Utilidad Total]]*11.5%))/Tabla4[[#This Row],[Total]]</f>
        <v>#N/A</v>
      </c>
      <c r="V6324" s="282" t="e">
        <f>+Tabla4[[#This Row],[Comisión Calculada]]*Tabla4[[#This Row],[Total]]</f>
        <v>#N/A</v>
      </c>
    </row>
    <row r="6325" spans="1:22" hidden="1" x14ac:dyDescent="0.25">
      <c r="A6325" s="100">
        <v>45945</v>
      </c>
      <c r="B6325" t="str">
        <f t="shared" ref="B6325:B6326" si="317">TEXT(A6325, "mmmm")</f>
        <v>October</v>
      </c>
      <c r="C6325" s="46" t="s">
        <v>280</v>
      </c>
      <c r="F6325" s="366" t="s">
        <v>3232</v>
      </c>
      <c r="G6325" s="46" t="s">
        <v>83</v>
      </c>
      <c r="H6325" s="46">
        <v>2</v>
      </c>
      <c r="I6325" s="51">
        <v>8858.76</v>
      </c>
      <c r="J6325" s="281">
        <f>++Tabla4[[#This Row],[Precio Bruto]]*1.16</f>
        <v>10276.161599999999</v>
      </c>
      <c r="K6325" s="281">
        <f>+Tabla4[[#This Row],[Precio Unitario Neto]]*Tabla4[[#Headers],[20.85%]]</f>
        <v>2142.5796935999997</v>
      </c>
      <c r="L6325" s="282">
        <f>++Tabla4[[#This Row],[Precio Unitario Neto]]-Tabla4[[#This Row],[20.85%]]</f>
        <v>8133.5819063999998</v>
      </c>
      <c r="M6325" s="282" t="e">
        <f>(INDEX(Tabla6[#All],MATCH(Tabla4[[#This Row],[Producto]],Tabla6[[#All],[PRODUCTO]],0),MATCH(Tabla4[[#This Row],[Mes]],Tabla6[#Headers],0)))*(1+Catalogos!$L$2)</f>
        <v>#N/A</v>
      </c>
      <c r="N6325" s="283" t="e">
        <f>+(Tabla4[[#This Row],[Precio Descontado]]-Tabla4[[#This Row],[Precio Base]])*Tabla4[[#This Row],[Cantidad]]</f>
        <v>#N/A</v>
      </c>
      <c r="O6325" s="284" t="e">
        <f>++Tabla4[[#This Row],[Utilidad Total]]/Tabla4[[#This Row],[Total]]</f>
        <v>#N/A</v>
      </c>
      <c r="P6325" s="282">
        <f>++Tabla4[[#This Row],[Precio Descontado]]*Tabla4[[#This Row],[Cantidad]]</f>
        <v>16267.1638128</v>
      </c>
      <c r="Q6325" s="282" t="e">
        <f>(INDEX(Tabla6[#All],MATCH(Tabla4[[#This Row],[Producto]],Tabla6[[#All],[PRODUCTO]],0),MATCH(Tabla4[[#This Row],[Mes]],Tabla6[#Headers],0)))</f>
        <v>#N/A</v>
      </c>
      <c r="R6325" s="282" t="e">
        <f>++Tabla4[[#This Row],[Precio Unitario Neto]]-Tabla4[[#This Row],[20.85%]]-Tabla4[[#This Row],[Costo]]</f>
        <v>#N/A</v>
      </c>
      <c r="S6325" s="282" t="e">
        <f>++Tabla4[[#This Row],[U. Bruta Uni]]*Tabla4[[#This Row],[Cantidad]]</f>
        <v>#N/A</v>
      </c>
      <c r="T6325" s="369" t="str">
        <f>VLOOKUP(Tabla4[[#This Row],[Producto]],Tabla6[#All],14,FALSE)</f>
        <v>Termico Solar</v>
      </c>
      <c r="U6325" s="284" t="e">
        <f>(IF(Tabla4[[#This Row],[Familia]]="termico solar",Tabla4[[#This Row],[Utilidad Total]]*6%,Tabla4[[#This Row],[Utilidad Total]]*11.5%))/Tabla4[[#This Row],[Total]]</f>
        <v>#N/A</v>
      </c>
      <c r="V6325" s="282" t="e">
        <f>+Tabla4[[#This Row],[Comisión Calculada]]*Tabla4[[#This Row],[Total]]</f>
        <v>#N/A</v>
      </c>
    </row>
    <row r="6326" spans="1:22" hidden="1" x14ac:dyDescent="0.25">
      <c r="A6326" s="100">
        <v>45945</v>
      </c>
      <c r="B6326" t="str">
        <f t="shared" si="317"/>
        <v>October</v>
      </c>
      <c r="C6326" s="46" t="s">
        <v>280</v>
      </c>
      <c r="F6326" s="366" t="s">
        <v>3232</v>
      </c>
      <c r="G6326" s="46" t="s">
        <v>394</v>
      </c>
      <c r="H6326" s="46">
        <v>9</v>
      </c>
      <c r="I6326" s="51">
        <v>108.1</v>
      </c>
      <c r="J6326" s="281">
        <f>++Tabla4[[#This Row],[Precio Bruto]]*1.16</f>
        <v>125.39599999999999</v>
      </c>
      <c r="K6326" s="281">
        <f>+Tabla4[[#This Row],[Precio Unitario Neto]]*Tabla4[[#Headers],[20.85%]]</f>
        <v>26.145065999999996</v>
      </c>
      <c r="L6326" s="282">
        <f>++Tabla4[[#This Row],[Precio Unitario Neto]]-Tabla4[[#This Row],[20.85%]]</f>
        <v>99.250933999999987</v>
      </c>
      <c r="M6326" s="282" t="e">
        <f>(INDEX(Tabla6[#All],MATCH(Tabla4[[#This Row],[Producto]],Tabla6[[#All],[PRODUCTO]],0),MATCH(Tabla4[[#This Row],[Mes]],Tabla6[#Headers],0)))*(1+Catalogos!$L$2)</f>
        <v>#N/A</v>
      </c>
      <c r="N6326" s="283" t="e">
        <f>+(Tabla4[[#This Row],[Precio Descontado]]-Tabla4[[#This Row],[Precio Base]])*Tabla4[[#This Row],[Cantidad]]</f>
        <v>#N/A</v>
      </c>
      <c r="O6326" s="284" t="e">
        <f>++Tabla4[[#This Row],[Utilidad Total]]/Tabla4[[#This Row],[Total]]</f>
        <v>#N/A</v>
      </c>
      <c r="P6326" s="282">
        <f>++Tabla4[[#This Row],[Precio Descontado]]*Tabla4[[#This Row],[Cantidad]]</f>
        <v>893.25840599999992</v>
      </c>
      <c r="Q6326" s="282" t="e">
        <f>(INDEX(Tabla6[#All],MATCH(Tabla4[[#This Row],[Producto]],Tabla6[[#All],[PRODUCTO]],0),MATCH(Tabla4[[#This Row],[Mes]],Tabla6[#Headers],0)))</f>
        <v>#N/A</v>
      </c>
      <c r="R6326" s="282" t="e">
        <f>++Tabla4[[#This Row],[Precio Unitario Neto]]-Tabla4[[#This Row],[20.85%]]-Tabla4[[#This Row],[Costo]]</f>
        <v>#N/A</v>
      </c>
      <c r="S6326" s="282" t="e">
        <f>++Tabla4[[#This Row],[U. Bruta Uni]]*Tabla4[[#This Row],[Cantidad]]</f>
        <v>#N/A</v>
      </c>
      <c r="T6326" s="369" t="str">
        <f>VLOOKUP(Tabla4[[#This Row],[Producto]],Tabla6[#All],14,FALSE)</f>
        <v>Termico Solar</v>
      </c>
      <c r="U6326" s="284" t="e">
        <f>(IF(Tabla4[[#This Row],[Familia]]="termico solar",Tabla4[[#This Row],[Utilidad Total]]*6%,Tabla4[[#This Row],[Utilidad Total]]*11.5%))/Tabla4[[#This Row],[Total]]</f>
        <v>#N/A</v>
      </c>
      <c r="V6326" s="282" t="e">
        <f>+Tabla4[[#This Row],[Comisión Calculada]]*Tabla4[[#This Row],[Total]]</f>
        <v>#N/A</v>
      </c>
    </row>
    <row r="6327" spans="1:22" hidden="1" x14ac:dyDescent="0.25">
      <c r="A6327" s="100">
        <v>45945</v>
      </c>
      <c r="B6327" t="str">
        <f t="shared" ref="B6327:B6328" si="318">TEXT(A6327, "mmmm")</f>
        <v>October</v>
      </c>
      <c r="C6327" s="46" t="s">
        <v>280</v>
      </c>
      <c r="F6327" s="366" t="s">
        <v>3233</v>
      </c>
      <c r="G6327" s="46" t="s">
        <v>83</v>
      </c>
      <c r="H6327" s="46">
        <v>2</v>
      </c>
      <c r="I6327" s="51">
        <v>8858.76</v>
      </c>
      <c r="J6327" s="281">
        <f>++Tabla4[[#This Row],[Precio Bruto]]*1.16</f>
        <v>10276.161599999999</v>
      </c>
      <c r="K6327" s="281">
        <f>+Tabla4[[#This Row],[Precio Unitario Neto]]*Tabla4[[#Headers],[20.85%]]</f>
        <v>2142.5796935999997</v>
      </c>
      <c r="L6327" s="282">
        <f>++Tabla4[[#This Row],[Precio Unitario Neto]]-Tabla4[[#This Row],[20.85%]]</f>
        <v>8133.5819063999998</v>
      </c>
      <c r="M6327" s="282" t="e">
        <f>(INDEX(Tabla6[#All],MATCH(Tabla4[[#This Row],[Producto]],Tabla6[[#All],[PRODUCTO]],0),MATCH(Tabla4[[#This Row],[Mes]],Tabla6[#Headers],0)))*(1+Catalogos!$L$2)</f>
        <v>#N/A</v>
      </c>
      <c r="N6327" s="283" t="e">
        <f>+(Tabla4[[#This Row],[Precio Descontado]]-Tabla4[[#This Row],[Precio Base]])*Tabla4[[#This Row],[Cantidad]]</f>
        <v>#N/A</v>
      </c>
      <c r="O6327" s="284" t="e">
        <f>++Tabla4[[#This Row],[Utilidad Total]]/Tabla4[[#This Row],[Total]]</f>
        <v>#N/A</v>
      </c>
      <c r="P6327" s="282">
        <f>++Tabla4[[#This Row],[Precio Descontado]]*Tabla4[[#This Row],[Cantidad]]</f>
        <v>16267.1638128</v>
      </c>
      <c r="Q6327" s="282" t="e">
        <f>(INDEX(Tabla6[#All],MATCH(Tabla4[[#This Row],[Producto]],Tabla6[[#All],[PRODUCTO]],0),MATCH(Tabla4[[#This Row],[Mes]],Tabla6[#Headers],0)))</f>
        <v>#N/A</v>
      </c>
      <c r="R6327" s="282" t="e">
        <f>++Tabla4[[#This Row],[Precio Unitario Neto]]-Tabla4[[#This Row],[20.85%]]-Tabla4[[#This Row],[Costo]]</f>
        <v>#N/A</v>
      </c>
      <c r="S6327" s="282" t="e">
        <f>++Tabla4[[#This Row],[U. Bruta Uni]]*Tabla4[[#This Row],[Cantidad]]</f>
        <v>#N/A</v>
      </c>
      <c r="T6327" s="369" t="str">
        <f>VLOOKUP(Tabla4[[#This Row],[Producto]],Tabla6[#All],14,FALSE)</f>
        <v>Termico Solar</v>
      </c>
      <c r="U6327" s="284" t="e">
        <f>(IF(Tabla4[[#This Row],[Familia]]="termico solar",Tabla4[[#This Row],[Utilidad Total]]*6%,Tabla4[[#This Row],[Utilidad Total]]*11.5%))/Tabla4[[#This Row],[Total]]</f>
        <v>#N/A</v>
      </c>
      <c r="V6327" s="282" t="e">
        <f>+Tabla4[[#This Row],[Comisión Calculada]]*Tabla4[[#This Row],[Total]]</f>
        <v>#N/A</v>
      </c>
    </row>
    <row r="6328" spans="1:22" hidden="1" x14ac:dyDescent="0.25">
      <c r="A6328" s="100">
        <v>45945</v>
      </c>
      <c r="B6328" t="str">
        <f t="shared" si="318"/>
        <v>October</v>
      </c>
      <c r="C6328" s="46" t="s">
        <v>280</v>
      </c>
      <c r="F6328" s="366" t="s">
        <v>3233</v>
      </c>
      <c r="G6328" s="46" t="s">
        <v>208</v>
      </c>
      <c r="H6328" s="46">
        <v>3</v>
      </c>
      <c r="I6328" s="51">
        <v>189.75</v>
      </c>
      <c r="J6328" s="281">
        <f>++Tabla4[[#This Row],[Precio Bruto]]*1.16</f>
        <v>220.10999999999999</v>
      </c>
      <c r="K6328" s="281">
        <f>+Tabla4[[#This Row],[Precio Unitario Neto]]*Tabla4[[#Headers],[20.85%]]</f>
        <v>45.892934999999994</v>
      </c>
      <c r="L6328" s="282">
        <f>++Tabla4[[#This Row],[Precio Unitario Neto]]-Tabla4[[#This Row],[20.85%]]</f>
        <v>174.21706499999999</v>
      </c>
      <c r="M6328" s="282" t="e">
        <f>(INDEX(Tabla6[#All],MATCH(Tabla4[[#This Row],[Producto]],Tabla6[[#All],[PRODUCTO]],0),MATCH(Tabla4[[#This Row],[Mes]],Tabla6[#Headers],0)))*(1+Catalogos!$L$2)</f>
        <v>#N/A</v>
      </c>
      <c r="N6328" s="283" t="e">
        <f>+(Tabla4[[#This Row],[Precio Descontado]]-Tabla4[[#This Row],[Precio Base]])*Tabla4[[#This Row],[Cantidad]]</f>
        <v>#N/A</v>
      </c>
      <c r="O6328" s="284" t="e">
        <f>++Tabla4[[#This Row],[Utilidad Total]]/Tabla4[[#This Row],[Total]]</f>
        <v>#N/A</v>
      </c>
      <c r="P6328" s="282">
        <f>++Tabla4[[#This Row],[Precio Descontado]]*Tabla4[[#This Row],[Cantidad]]</f>
        <v>522.65119499999992</v>
      </c>
      <c r="Q6328" s="282" t="e">
        <f>(INDEX(Tabla6[#All],MATCH(Tabla4[[#This Row],[Producto]],Tabla6[[#All],[PRODUCTO]],0),MATCH(Tabla4[[#This Row],[Mes]],Tabla6[#Headers],0)))</f>
        <v>#N/A</v>
      </c>
      <c r="R6328" s="282" t="e">
        <f>++Tabla4[[#This Row],[Precio Unitario Neto]]-Tabla4[[#This Row],[20.85%]]-Tabla4[[#This Row],[Costo]]</f>
        <v>#N/A</v>
      </c>
      <c r="S6328" s="282" t="e">
        <f>++Tabla4[[#This Row],[U. Bruta Uni]]*Tabla4[[#This Row],[Cantidad]]</f>
        <v>#N/A</v>
      </c>
      <c r="T6328" s="369" t="str">
        <f>VLOOKUP(Tabla4[[#This Row],[Producto]],Tabla6[#All],14,FALSE)</f>
        <v>Termico Solar</v>
      </c>
      <c r="U6328" s="284" t="e">
        <f>(IF(Tabla4[[#This Row],[Familia]]="termico solar",Tabla4[[#This Row],[Utilidad Total]]*6%,Tabla4[[#This Row],[Utilidad Total]]*11.5%))/Tabla4[[#This Row],[Total]]</f>
        <v>#N/A</v>
      </c>
      <c r="V6328" s="282" t="e">
        <f>+Tabla4[[#This Row],[Comisión Calculada]]*Tabla4[[#This Row],[Total]]</f>
        <v>#N/A</v>
      </c>
    </row>
    <row r="6329" spans="1:22" hidden="1" x14ac:dyDescent="0.25">
      <c r="A6329" s="100">
        <v>45945</v>
      </c>
      <c r="B6329" t="str">
        <f>TEXT(A6329, "mmmm")</f>
        <v>October</v>
      </c>
      <c r="C6329" s="46" t="s">
        <v>280</v>
      </c>
      <c r="F6329" s="366" t="s">
        <v>3234</v>
      </c>
      <c r="G6329" s="46" t="s">
        <v>566</v>
      </c>
      <c r="H6329" s="46">
        <v>2</v>
      </c>
      <c r="I6329" s="51">
        <v>2109.4499999999998</v>
      </c>
      <c r="J6329" s="281">
        <f>++Tabla4[[#This Row],[Precio Bruto]]*1.16</f>
        <v>2446.9619999999995</v>
      </c>
      <c r="K6329" s="281">
        <f>+Tabla4[[#This Row],[Precio Unitario Neto]]*Tabla4[[#Headers],[20.85%]]</f>
        <v>510.19157699999988</v>
      </c>
      <c r="L6329" s="282">
        <f>++Tabla4[[#This Row],[Precio Unitario Neto]]-Tabla4[[#This Row],[20.85%]]</f>
        <v>1936.7704229999997</v>
      </c>
      <c r="M6329" s="282" t="e">
        <f>(INDEX(Tabla6[#All],MATCH(Tabla4[[#This Row],[Producto]],Tabla6[[#All],[PRODUCTO]],0),MATCH(Tabla4[[#This Row],[Mes]],Tabla6[#Headers],0)))*(1+Catalogos!$L$2)</f>
        <v>#N/A</v>
      </c>
      <c r="N6329" s="283" t="e">
        <f>+(Tabla4[[#This Row],[Precio Descontado]]-Tabla4[[#This Row],[Precio Base]])*Tabla4[[#This Row],[Cantidad]]</f>
        <v>#N/A</v>
      </c>
      <c r="O6329" s="284" t="e">
        <f>++Tabla4[[#This Row],[Utilidad Total]]/Tabla4[[#This Row],[Total]]</f>
        <v>#N/A</v>
      </c>
      <c r="P6329" s="282">
        <f>++Tabla4[[#This Row],[Precio Descontado]]*Tabla4[[#This Row],[Cantidad]]</f>
        <v>3873.5408459999994</v>
      </c>
      <c r="Q6329" s="282" t="e">
        <f>(INDEX(Tabla6[#All],MATCH(Tabla4[[#This Row],[Producto]],Tabla6[[#All],[PRODUCTO]],0),MATCH(Tabla4[[#This Row],[Mes]],Tabla6[#Headers],0)))</f>
        <v>#N/A</v>
      </c>
      <c r="R6329" s="282" t="e">
        <f>++Tabla4[[#This Row],[Precio Unitario Neto]]-Tabla4[[#This Row],[20.85%]]-Tabla4[[#This Row],[Costo]]</f>
        <v>#N/A</v>
      </c>
      <c r="S6329" s="282" t="e">
        <f>++Tabla4[[#This Row],[U. Bruta Uni]]*Tabla4[[#This Row],[Cantidad]]</f>
        <v>#N/A</v>
      </c>
      <c r="T6329" s="369" t="str">
        <f>VLOOKUP(Tabla4[[#This Row],[Producto]],Tabla6[#All],14,FALSE)</f>
        <v>Termico Solar</v>
      </c>
      <c r="U6329" s="284" t="e">
        <f>(IF(Tabla4[[#This Row],[Familia]]="termico solar",Tabla4[[#This Row],[Utilidad Total]]*6%,Tabla4[[#This Row],[Utilidad Total]]*11.5%))/Tabla4[[#This Row],[Total]]</f>
        <v>#N/A</v>
      </c>
      <c r="V6329" s="282" t="e">
        <f>+Tabla4[[#This Row],[Comisión Calculada]]*Tabla4[[#This Row],[Total]]</f>
        <v>#N/A</v>
      </c>
    </row>
    <row r="6330" spans="1:22" hidden="1" x14ac:dyDescent="0.25">
      <c r="A6330" s="100">
        <v>45945</v>
      </c>
      <c r="B6330" t="str">
        <f t="shared" ref="B6330:B6332" si="319">TEXT(A6330, "mmmm")</f>
        <v>October</v>
      </c>
      <c r="C6330" s="46" t="s">
        <v>280</v>
      </c>
      <c r="F6330" s="366" t="s">
        <v>3235</v>
      </c>
      <c r="G6330" s="46" t="s">
        <v>17</v>
      </c>
      <c r="H6330" s="46">
        <v>2</v>
      </c>
      <c r="I6330" s="51">
        <v>4622.28</v>
      </c>
      <c r="J6330" s="281">
        <f>++Tabla4[[#This Row],[Precio Bruto]]*1.16</f>
        <v>5361.8447999999989</v>
      </c>
      <c r="K6330" s="281">
        <f>+Tabla4[[#This Row],[Precio Unitario Neto]]*Tabla4[[#Headers],[20.85%]]</f>
        <v>1117.9446407999997</v>
      </c>
      <c r="L6330" s="282">
        <f>++Tabla4[[#This Row],[Precio Unitario Neto]]-Tabla4[[#This Row],[20.85%]]</f>
        <v>4243.9001591999995</v>
      </c>
      <c r="M6330" s="282" t="e">
        <f>(INDEX(Tabla6[#All],MATCH(Tabla4[[#This Row],[Producto]],Tabla6[[#All],[PRODUCTO]],0),MATCH(Tabla4[[#This Row],[Mes]],Tabla6[#Headers],0)))*(1+Catalogos!$L$2)</f>
        <v>#N/A</v>
      </c>
      <c r="N6330" s="283" t="e">
        <f>+(Tabla4[[#This Row],[Precio Descontado]]-Tabla4[[#This Row],[Precio Base]])*Tabla4[[#This Row],[Cantidad]]</f>
        <v>#N/A</v>
      </c>
      <c r="O6330" s="284" t="e">
        <f>++Tabla4[[#This Row],[Utilidad Total]]/Tabla4[[#This Row],[Total]]</f>
        <v>#N/A</v>
      </c>
      <c r="P6330" s="282">
        <f>++Tabla4[[#This Row],[Precio Descontado]]*Tabla4[[#This Row],[Cantidad]]</f>
        <v>8487.800318399999</v>
      </c>
      <c r="Q6330" s="282" t="e">
        <f>(INDEX(Tabla6[#All],MATCH(Tabla4[[#This Row],[Producto]],Tabla6[[#All],[PRODUCTO]],0),MATCH(Tabla4[[#This Row],[Mes]],Tabla6[#Headers],0)))</f>
        <v>#N/A</v>
      </c>
      <c r="R6330" s="282" t="e">
        <f>++Tabla4[[#This Row],[Precio Unitario Neto]]-Tabla4[[#This Row],[20.85%]]-Tabla4[[#This Row],[Costo]]</f>
        <v>#N/A</v>
      </c>
      <c r="S6330" s="282" t="e">
        <f>++Tabla4[[#This Row],[U. Bruta Uni]]*Tabla4[[#This Row],[Cantidad]]</f>
        <v>#N/A</v>
      </c>
      <c r="T6330" s="369" t="str">
        <f>VLOOKUP(Tabla4[[#This Row],[Producto]],Tabla6[#All],14,FALSE)</f>
        <v>Termico Solar</v>
      </c>
      <c r="U6330" s="284" t="e">
        <f>(IF(Tabla4[[#This Row],[Familia]]="termico solar",Tabla4[[#This Row],[Utilidad Total]]*6%,Tabla4[[#This Row],[Utilidad Total]]*11.5%))/Tabla4[[#This Row],[Total]]</f>
        <v>#N/A</v>
      </c>
      <c r="V6330" s="282" t="e">
        <f>+Tabla4[[#This Row],[Comisión Calculada]]*Tabla4[[#This Row],[Total]]</f>
        <v>#N/A</v>
      </c>
    </row>
    <row r="6331" spans="1:22" hidden="1" x14ac:dyDescent="0.25">
      <c r="A6331" s="100">
        <v>45945</v>
      </c>
      <c r="B6331" t="str">
        <f t="shared" si="319"/>
        <v>October</v>
      </c>
      <c r="C6331" s="46" t="s">
        <v>280</v>
      </c>
      <c r="F6331" s="366" t="s">
        <v>3235</v>
      </c>
      <c r="G6331" s="46" t="s">
        <v>18</v>
      </c>
      <c r="H6331" s="46">
        <v>1</v>
      </c>
      <c r="I6331" s="51">
        <v>5367.65</v>
      </c>
      <c r="J6331" s="281">
        <f>++Tabla4[[#This Row],[Precio Bruto]]*1.16</f>
        <v>6226.4739999999993</v>
      </c>
      <c r="K6331" s="281">
        <f>+Tabla4[[#This Row],[Precio Unitario Neto]]*Tabla4[[#Headers],[20.85%]]</f>
        <v>1298.2198289999999</v>
      </c>
      <c r="L6331" s="282">
        <f>++Tabla4[[#This Row],[Precio Unitario Neto]]-Tabla4[[#This Row],[20.85%]]</f>
        <v>4928.2541709999996</v>
      </c>
      <c r="M6331" s="282" t="e">
        <f>(INDEX(Tabla6[#All],MATCH(Tabla4[[#This Row],[Producto]],Tabla6[[#All],[PRODUCTO]],0),MATCH(Tabla4[[#This Row],[Mes]],Tabla6[#Headers],0)))*(1+Catalogos!$L$2)</f>
        <v>#N/A</v>
      </c>
      <c r="N6331" s="283" t="e">
        <f>+(Tabla4[[#This Row],[Precio Descontado]]-Tabla4[[#This Row],[Precio Base]])*Tabla4[[#This Row],[Cantidad]]</f>
        <v>#N/A</v>
      </c>
      <c r="O6331" s="284" t="e">
        <f>++Tabla4[[#This Row],[Utilidad Total]]/Tabla4[[#This Row],[Total]]</f>
        <v>#N/A</v>
      </c>
      <c r="P6331" s="282">
        <f>++Tabla4[[#This Row],[Precio Descontado]]*Tabla4[[#This Row],[Cantidad]]</f>
        <v>4928.2541709999996</v>
      </c>
      <c r="Q6331" s="282" t="e">
        <f>(INDEX(Tabla6[#All],MATCH(Tabla4[[#This Row],[Producto]],Tabla6[[#All],[PRODUCTO]],0),MATCH(Tabla4[[#This Row],[Mes]],Tabla6[#Headers],0)))</f>
        <v>#N/A</v>
      </c>
      <c r="R6331" s="282" t="e">
        <f>++Tabla4[[#This Row],[Precio Unitario Neto]]-Tabla4[[#This Row],[20.85%]]-Tabla4[[#This Row],[Costo]]</f>
        <v>#N/A</v>
      </c>
      <c r="S6331" s="282" t="e">
        <f>++Tabla4[[#This Row],[U. Bruta Uni]]*Tabla4[[#This Row],[Cantidad]]</f>
        <v>#N/A</v>
      </c>
      <c r="T6331" s="369" t="str">
        <f>VLOOKUP(Tabla4[[#This Row],[Producto]],Tabla6[#All],14,FALSE)</f>
        <v>Termico Solar</v>
      </c>
      <c r="U6331" s="284" t="e">
        <f>(IF(Tabla4[[#This Row],[Familia]]="termico solar",Tabla4[[#This Row],[Utilidad Total]]*6%,Tabla4[[#This Row],[Utilidad Total]]*11.5%))/Tabla4[[#This Row],[Total]]</f>
        <v>#N/A</v>
      </c>
      <c r="V6331" s="282" t="e">
        <f>+Tabla4[[#This Row],[Comisión Calculada]]*Tabla4[[#This Row],[Total]]</f>
        <v>#N/A</v>
      </c>
    </row>
    <row r="6332" spans="1:22" hidden="1" x14ac:dyDescent="0.25">
      <c r="A6332" s="100">
        <v>45945</v>
      </c>
      <c r="B6332" t="str">
        <f t="shared" si="319"/>
        <v>October</v>
      </c>
      <c r="C6332" s="46" t="s">
        <v>280</v>
      </c>
      <c r="F6332" s="366" t="s">
        <v>3235</v>
      </c>
      <c r="G6332" s="46" t="s">
        <v>566</v>
      </c>
      <c r="H6332" s="46">
        <v>1</v>
      </c>
      <c r="I6332" s="51">
        <v>2109.4499999999998</v>
      </c>
      <c r="J6332" s="281">
        <f>++Tabla4[[#This Row],[Precio Bruto]]*1.16</f>
        <v>2446.9619999999995</v>
      </c>
      <c r="K6332" s="281">
        <f>+Tabla4[[#This Row],[Precio Unitario Neto]]*Tabla4[[#Headers],[20.85%]]</f>
        <v>510.19157699999988</v>
      </c>
      <c r="L6332" s="282">
        <f>++Tabla4[[#This Row],[Precio Unitario Neto]]-Tabla4[[#This Row],[20.85%]]</f>
        <v>1936.7704229999997</v>
      </c>
      <c r="M6332" s="282" t="e">
        <f>(INDEX(Tabla6[#All],MATCH(Tabla4[[#This Row],[Producto]],Tabla6[[#All],[PRODUCTO]],0),MATCH(Tabla4[[#This Row],[Mes]],Tabla6[#Headers],0)))*(1+Catalogos!$L$2)</f>
        <v>#N/A</v>
      </c>
      <c r="N6332" s="283" t="e">
        <f>+(Tabla4[[#This Row],[Precio Descontado]]-Tabla4[[#This Row],[Precio Base]])*Tabla4[[#This Row],[Cantidad]]</f>
        <v>#N/A</v>
      </c>
      <c r="O6332" s="284" t="e">
        <f>++Tabla4[[#This Row],[Utilidad Total]]/Tabla4[[#This Row],[Total]]</f>
        <v>#N/A</v>
      </c>
      <c r="P6332" s="282">
        <f>++Tabla4[[#This Row],[Precio Descontado]]*Tabla4[[#This Row],[Cantidad]]</f>
        <v>1936.7704229999997</v>
      </c>
      <c r="Q6332" s="282" t="e">
        <f>(INDEX(Tabla6[#All],MATCH(Tabla4[[#This Row],[Producto]],Tabla6[[#All],[PRODUCTO]],0),MATCH(Tabla4[[#This Row],[Mes]],Tabla6[#Headers],0)))</f>
        <v>#N/A</v>
      </c>
      <c r="R6332" s="282" t="e">
        <f>++Tabla4[[#This Row],[Precio Unitario Neto]]-Tabla4[[#This Row],[20.85%]]-Tabla4[[#This Row],[Costo]]</f>
        <v>#N/A</v>
      </c>
      <c r="S6332" s="282" t="e">
        <f>++Tabla4[[#This Row],[U. Bruta Uni]]*Tabla4[[#This Row],[Cantidad]]</f>
        <v>#N/A</v>
      </c>
      <c r="T6332" s="369" t="str">
        <f>VLOOKUP(Tabla4[[#This Row],[Producto]],Tabla6[#All],14,FALSE)</f>
        <v>Termico Solar</v>
      </c>
      <c r="U6332" s="284" t="e">
        <f>(IF(Tabla4[[#This Row],[Familia]]="termico solar",Tabla4[[#This Row],[Utilidad Total]]*6%,Tabla4[[#This Row],[Utilidad Total]]*11.5%))/Tabla4[[#This Row],[Total]]</f>
        <v>#N/A</v>
      </c>
      <c r="V6332" s="282" t="e">
        <f>+Tabla4[[#This Row],[Comisión Calculada]]*Tabla4[[#This Row],[Total]]</f>
        <v>#N/A</v>
      </c>
    </row>
    <row r="6333" spans="1:22" hidden="1" x14ac:dyDescent="0.25">
      <c r="A6333" s="100">
        <v>45945</v>
      </c>
      <c r="B6333" t="str">
        <f t="shared" ref="B6333:B6334" si="320">TEXT(A6333, "mmmm")</f>
        <v>October</v>
      </c>
      <c r="C6333" s="46" t="s">
        <v>280</v>
      </c>
      <c r="F6333" s="366" t="s">
        <v>3236</v>
      </c>
      <c r="G6333" s="46" t="s">
        <v>83</v>
      </c>
      <c r="H6333" s="46">
        <v>1</v>
      </c>
      <c r="I6333" s="51">
        <v>8858.76</v>
      </c>
      <c r="J6333" s="281">
        <f>++Tabla4[[#This Row],[Precio Bruto]]*1.16</f>
        <v>10276.161599999999</v>
      </c>
      <c r="K6333" s="281">
        <f>+Tabla4[[#This Row],[Precio Unitario Neto]]*Tabla4[[#Headers],[20.85%]]</f>
        <v>2142.5796935999997</v>
      </c>
      <c r="L6333" s="282">
        <f>++Tabla4[[#This Row],[Precio Unitario Neto]]-Tabla4[[#This Row],[20.85%]]</f>
        <v>8133.5819063999998</v>
      </c>
      <c r="M6333" s="282" t="e">
        <f>(INDEX(Tabla6[#All],MATCH(Tabla4[[#This Row],[Producto]],Tabla6[[#All],[PRODUCTO]],0),MATCH(Tabla4[[#This Row],[Mes]],Tabla6[#Headers],0)))*(1+Catalogos!$L$2)</f>
        <v>#N/A</v>
      </c>
      <c r="N6333" s="283" t="e">
        <f>+(Tabla4[[#This Row],[Precio Descontado]]-Tabla4[[#This Row],[Precio Base]])*Tabla4[[#This Row],[Cantidad]]</f>
        <v>#N/A</v>
      </c>
      <c r="O6333" s="284" t="e">
        <f>++Tabla4[[#This Row],[Utilidad Total]]/Tabla4[[#This Row],[Total]]</f>
        <v>#N/A</v>
      </c>
      <c r="P6333" s="282">
        <f>++Tabla4[[#This Row],[Precio Descontado]]*Tabla4[[#This Row],[Cantidad]]</f>
        <v>8133.5819063999998</v>
      </c>
      <c r="Q6333" s="282" t="e">
        <f>(INDEX(Tabla6[#All],MATCH(Tabla4[[#This Row],[Producto]],Tabla6[[#All],[PRODUCTO]],0),MATCH(Tabla4[[#This Row],[Mes]],Tabla6[#Headers],0)))</f>
        <v>#N/A</v>
      </c>
      <c r="R6333" s="282" t="e">
        <f>++Tabla4[[#This Row],[Precio Unitario Neto]]-Tabla4[[#This Row],[20.85%]]-Tabla4[[#This Row],[Costo]]</f>
        <v>#N/A</v>
      </c>
      <c r="S6333" s="282" t="e">
        <f>++Tabla4[[#This Row],[U. Bruta Uni]]*Tabla4[[#This Row],[Cantidad]]</f>
        <v>#N/A</v>
      </c>
      <c r="T6333" s="369" t="str">
        <f>VLOOKUP(Tabla4[[#This Row],[Producto]],Tabla6[#All],14,FALSE)</f>
        <v>Termico Solar</v>
      </c>
      <c r="U6333" s="284" t="e">
        <f>(IF(Tabla4[[#This Row],[Familia]]="termico solar",Tabla4[[#This Row],[Utilidad Total]]*6%,Tabla4[[#This Row],[Utilidad Total]]*11.5%))/Tabla4[[#This Row],[Total]]</f>
        <v>#N/A</v>
      </c>
      <c r="V6333" s="282" t="e">
        <f>+Tabla4[[#This Row],[Comisión Calculada]]*Tabla4[[#This Row],[Total]]</f>
        <v>#N/A</v>
      </c>
    </row>
    <row r="6334" spans="1:22" hidden="1" x14ac:dyDescent="0.25">
      <c r="A6334" s="100">
        <v>45945</v>
      </c>
      <c r="B6334" t="str">
        <f t="shared" si="320"/>
        <v>October</v>
      </c>
      <c r="C6334" s="46" t="s">
        <v>280</v>
      </c>
      <c r="F6334" s="366" t="s">
        <v>3236</v>
      </c>
      <c r="G6334" s="46" t="s">
        <v>18</v>
      </c>
      <c r="H6334" s="46">
        <v>3</v>
      </c>
      <c r="I6334" s="51">
        <v>5367.6500000000005</v>
      </c>
      <c r="J6334" s="281">
        <f>++Tabla4[[#This Row],[Precio Bruto]]*1.16</f>
        <v>6226.4740000000002</v>
      </c>
      <c r="K6334" s="281">
        <f>+Tabla4[[#This Row],[Precio Unitario Neto]]*Tabla4[[#Headers],[20.85%]]</f>
        <v>1298.2198289999999</v>
      </c>
      <c r="L6334" s="282">
        <f>++Tabla4[[#This Row],[Precio Unitario Neto]]-Tabla4[[#This Row],[20.85%]]</f>
        <v>4928.2541710000005</v>
      </c>
      <c r="M6334" s="282" t="e">
        <f>(INDEX(Tabla6[#All],MATCH(Tabla4[[#This Row],[Producto]],Tabla6[[#All],[PRODUCTO]],0),MATCH(Tabla4[[#This Row],[Mes]],Tabla6[#Headers],0)))*(1+Catalogos!$L$2)</f>
        <v>#N/A</v>
      </c>
      <c r="N6334" s="283" t="e">
        <f>+(Tabla4[[#This Row],[Precio Descontado]]-Tabla4[[#This Row],[Precio Base]])*Tabla4[[#This Row],[Cantidad]]</f>
        <v>#N/A</v>
      </c>
      <c r="O6334" s="284" t="e">
        <f>++Tabla4[[#This Row],[Utilidad Total]]/Tabla4[[#This Row],[Total]]</f>
        <v>#N/A</v>
      </c>
      <c r="P6334" s="282">
        <f>++Tabla4[[#This Row],[Precio Descontado]]*Tabla4[[#This Row],[Cantidad]]</f>
        <v>14784.762513000001</v>
      </c>
      <c r="Q6334" s="282" t="e">
        <f>(INDEX(Tabla6[#All],MATCH(Tabla4[[#This Row],[Producto]],Tabla6[[#All],[PRODUCTO]],0),MATCH(Tabla4[[#This Row],[Mes]],Tabla6[#Headers],0)))</f>
        <v>#N/A</v>
      </c>
      <c r="R6334" s="282" t="e">
        <f>++Tabla4[[#This Row],[Precio Unitario Neto]]-Tabla4[[#This Row],[20.85%]]-Tabla4[[#This Row],[Costo]]</f>
        <v>#N/A</v>
      </c>
      <c r="S6334" s="282" t="e">
        <f>++Tabla4[[#This Row],[U. Bruta Uni]]*Tabla4[[#This Row],[Cantidad]]</f>
        <v>#N/A</v>
      </c>
      <c r="T6334" s="369" t="str">
        <f>VLOOKUP(Tabla4[[#This Row],[Producto]],Tabla6[#All],14,FALSE)</f>
        <v>Termico Solar</v>
      </c>
      <c r="U6334" s="284" t="e">
        <f>(IF(Tabla4[[#This Row],[Familia]]="termico solar",Tabla4[[#This Row],[Utilidad Total]]*6%,Tabla4[[#This Row],[Utilidad Total]]*11.5%))/Tabla4[[#This Row],[Total]]</f>
        <v>#N/A</v>
      </c>
      <c r="V6334" s="282" t="e">
        <f>+Tabla4[[#This Row],[Comisión Calculada]]*Tabla4[[#This Row],[Total]]</f>
        <v>#N/A</v>
      </c>
    </row>
    <row r="6335" spans="1:22" hidden="1" x14ac:dyDescent="0.25">
      <c r="A6335" s="100">
        <v>45945</v>
      </c>
      <c r="B6335" t="str">
        <f t="shared" ref="B6335:B6338" si="321">TEXT(A6335, "mmmm")</f>
        <v>October</v>
      </c>
      <c r="C6335" s="46" t="s">
        <v>280</v>
      </c>
      <c r="F6335" s="366" t="s">
        <v>3237</v>
      </c>
      <c r="G6335" s="46" t="s">
        <v>83</v>
      </c>
      <c r="H6335" s="46">
        <v>4</v>
      </c>
      <c r="I6335" s="51">
        <v>8858.76</v>
      </c>
      <c r="J6335" s="281">
        <f>++Tabla4[[#This Row],[Precio Bruto]]*1.16</f>
        <v>10276.161599999999</v>
      </c>
      <c r="K6335" s="281">
        <f>+Tabla4[[#This Row],[Precio Unitario Neto]]*Tabla4[[#Headers],[20.85%]]</f>
        <v>2142.5796935999997</v>
      </c>
      <c r="L6335" s="282">
        <f>++Tabla4[[#This Row],[Precio Unitario Neto]]-Tabla4[[#This Row],[20.85%]]</f>
        <v>8133.5819063999998</v>
      </c>
      <c r="M6335" s="282" t="e">
        <f>(INDEX(Tabla6[#All],MATCH(Tabla4[[#This Row],[Producto]],Tabla6[[#All],[PRODUCTO]],0),MATCH(Tabla4[[#This Row],[Mes]],Tabla6[#Headers],0)))*(1+Catalogos!$L$2)</f>
        <v>#N/A</v>
      </c>
      <c r="N6335" s="283" t="e">
        <f>+(Tabla4[[#This Row],[Precio Descontado]]-Tabla4[[#This Row],[Precio Base]])*Tabla4[[#This Row],[Cantidad]]</f>
        <v>#N/A</v>
      </c>
      <c r="O6335" s="284" t="e">
        <f>++Tabla4[[#This Row],[Utilidad Total]]/Tabla4[[#This Row],[Total]]</f>
        <v>#N/A</v>
      </c>
      <c r="P6335" s="282">
        <f>++Tabla4[[#This Row],[Precio Descontado]]*Tabla4[[#This Row],[Cantidad]]</f>
        <v>32534.327625599999</v>
      </c>
      <c r="Q6335" s="282" t="e">
        <f>(INDEX(Tabla6[#All],MATCH(Tabla4[[#This Row],[Producto]],Tabla6[[#All],[PRODUCTO]],0),MATCH(Tabla4[[#This Row],[Mes]],Tabla6[#Headers],0)))</f>
        <v>#N/A</v>
      </c>
      <c r="R6335" s="282" t="e">
        <f>++Tabla4[[#This Row],[Precio Unitario Neto]]-Tabla4[[#This Row],[20.85%]]-Tabla4[[#This Row],[Costo]]</f>
        <v>#N/A</v>
      </c>
      <c r="S6335" s="282" t="e">
        <f>++Tabla4[[#This Row],[U. Bruta Uni]]*Tabla4[[#This Row],[Cantidad]]</f>
        <v>#N/A</v>
      </c>
      <c r="T6335" s="369" t="str">
        <f>VLOOKUP(Tabla4[[#This Row],[Producto]],Tabla6[#All],14,FALSE)</f>
        <v>Termico Solar</v>
      </c>
      <c r="U6335" s="284" t="e">
        <f>(IF(Tabla4[[#This Row],[Familia]]="termico solar",Tabla4[[#This Row],[Utilidad Total]]*6%,Tabla4[[#This Row],[Utilidad Total]]*11.5%))/Tabla4[[#This Row],[Total]]</f>
        <v>#N/A</v>
      </c>
      <c r="V6335" s="282" t="e">
        <f>+Tabla4[[#This Row],[Comisión Calculada]]*Tabla4[[#This Row],[Total]]</f>
        <v>#N/A</v>
      </c>
    </row>
    <row r="6336" spans="1:22" hidden="1" x14ac:dyDescent="0.25">
      <c r="A6336" s="100">
        <v>45945</v>
      </c>
      <c r="B6336" t="str">
        <f t="shared" si="321"/>
        <v>October</v>
      </c>
      <c r="C6336" s="46" t="s">
        <v>280</v>
      </c>
      <c r="F6336" s="366" t="s">
        <v>3237</v>
      </c>
      <c r="G6336" s="46" t="s">
        <v>18</v>
      </c>
      <c r="H6336" s="46">
        <v>1</v>
      </c>
      <c r="I6336" s="51">
        <v>5367.65</v>
      </c>
      <c r="J6336" s="281">
        <f>++Tabla4[[#This Row],[Precio Bruto]]*1.16</f>
        <v>6226.4739999999993</v>
      </c>
      <c r="K6336" s="281">
        <f>+Tabla4[[#This Row],[Precio Unitario Neto]]*Tabla4[[#Headers],[20.85%]]</f>
        <v>1298.2198289999999</v>
      </c>
      <c r="L6336" s="282">
        <f>++Tabla4[[#This Row],[Precio Unitario Neto]]-Tabla4[[#This Row],[20.85%]]</f>
        <v>4928.2541709999996</v>
      </c>
      <c r="M6336" s="282" t="e">
        <f>(INDEX(Tabla6[#All],MATCH(Tabla4[[#This Row],[Producto]],Tabla6[[#All],[PRODUCTO]],0),MATCH(Tabla4[[#This Row],[Mes]],Tabla6[#Headers],0)))*(1+Catalogos!$L$2)</f>
        <v>#N/A</v>
      </c>
      <c r="N6336" s="283" t="e">
        <f>+(Tabla4[[#This Row],[Precio Descontado]]-Tabla4[[#This Row],[Precio Base]])*Tabla4[[#This Row],[Cantidad]]</f>
        <v>#N/A</v>
      </c>
      <c r="O6336" s="284" t="e">
        <f>++Tabla4[[#This Row],[Utilidad Total]]/Tabla4[[#This Row],[Total]]</f>
        <v>#N/A</v>
      </c>
      <c r="P6336" s="282">
        <f>++Tabla4[[#This Row],[Precio Descontado]]*Tabla4[[#This Row],[Cantidad]]</f>
        <v>4928.2541709999996</v>
      </c>
      <c r="Q6336" s="282" t="e">
        <f>(INDEX(Tabla6[#All],MATCH(Tabla4[[#This Row],[Producto]],Tabla6[[#All],[PRODUCTO]],0),MATCH(Tabla4[[#This Row],[Mes]],Tabla6[#Headers],0)))</f>
        <v>#N/A</v>
      </c>
      <c r="R6336" s="282" t="e">
        <f>++Tabla4[[#This Row],[Precio Unitario Neto]]-Tabla4[[#This Row],[20.85%]]-Tabla4[[#This Row],[Costo]]</f>
        <v>#N/A</v>
      </c>
      <c r="S6336" s="282" t="e">
        <f>++Tabla4[[#This Row],[U. Bruta Uni]]*Tabla4[[#This Row],[Cantidad]]</f>
        <v>#N/A</v>
      </c>
      <c r="T6336" s="369" t="str">
        <f>VLOOKUP(Tabla4[[#This Row],[Producto]],Tabla6[#All],14,FALSE)</f>
        <v>Termico Solar</v>
      </c>
      <c r="U6336" s="284" t="e">
        <f>(IF(Tabla4[[#This Row],[Familia]]="termico solar",Tabla4[[#This Row],[Utilidad Total]]*6%,Tabla4[[#This Row],[Utilidad Total]]*11.5%))/Tabla4[[#This Row],[Total]]</f>
        <v>#N/A</v>
      </c>
      <c r="V6336" s="282" t="e">
        <f>+Tabla4[[#This Row],[Comisión Calculada]]*Tabla4[[#This Row],[Total]]</f>
        <v>#N/A</v>
      </c>
    </row>
    <row r="6337" spans="1:22" hidden="1" x14ac:dyDescent="0.25">
      <c r="A6337" s="100">
        <v>45945</v>
      </c>
      <c r="B6337" t="str">
        <f t="shared" si="321"/>
        <v>October</v>
      </c>
      <c r="C6337" s="46" t="s">
        <v>280</v>
      </c>
      <c r="F6337" s="366" t="s">
        <v>3237</v>
      </c>
      <c r="G6337" s="46" t="s">
        <v>16</v>
      </c>
      <c r="H6337" s="46">
        <v>2</v>
      </c>
      <c r="I6337" s="51">
        <v>4103.8500000000004</v>
      </c>
      <c r="J6337" s="281">
        <f>++Tabla4[[#This Row],[Precio Bruto]]*1.16</f>
        <v>4760.4660000000003</v>
      </c>
      <c r="K6337" s="281">
        <f>+Tabla4[[#This Row],[Precio Unitario Neto]]*Tabla4[[#Headers],[20.85%]]</f>
        <v>992.55716100000006</v>
      </c>
      <c r="L6337" s="282">
        <f>++Tabla4[[#This Row],[Precio Unitario Neto]]-Tabla4[[#This Row],[20.85%]]</f>
        <v>3767.9088390000002</v>
      </c>
      <c r="M6337" s="282" t="e">
        <f>(INDEX(Tabla6[#All],MATCH(Tabla4[[#This Row],[Producto]],Tabla6[[#All],[PRODUCTO]],0),MATCH(Tabla4[[#This Row],[Mes]],Tabla6[#Headers],0)))*(1+Catalogos!$L$2)</f>
        <v>#N/A</v>
      </c>
      <c r="N6337" s="283" t="e">
        <f>+(Tabla4[[#This Row],[Precio Descontado]]-Tabla4[[#This Row],[Precio Base]])*Tabla4[[#This Row],[Cantidad]]</f>
        <v>#N/A</v>
      </c>
      <c r="O6337" s="284" t="e">
        <f>++Tabla4[[#This Row],[Utilidad Total]]/Tabla4[[#This Row],[Total]]</f>
        <v>#N/A</v>
      </c>
      <c r="P6337" s="282">
        <f>++Tabla4[[#This Row],[Precio Descontado]]*Tabla4[[#This Row],[Cantidad]]</f>
        <v>7535.8176780000003</v>
      </c>
      <c r="Q6337" s="282" t="e">
        <f>(INDEX(Tabla6[#All],MATCH(Tabla4[[#This Row],[Producto]],Tabla6[[#All],[PRODUCTO]],0),MATCH(Tabla4[[#This Row],[Mes]],Tabla6[#Headers],0)))</f>
        <v>#N/A</v>
      </c>
      <c r="R6337" s="282" t="e">
        <f>++Tabla4[[#This Row],[Precio Unitario Neto]]-Tabla4[[#This Row],[20.85%]]-Tabla4[[#This Row],[Costo]]</f>
        <v>#N/A</v>
      </c>
      <c r="S6337" s="282" t="e">
        <f>++Tabla4[[#This Row],[U. Bruta Uni]]*Tabla4[[#This Row],[Cantidad]]</f>
        <v>#N/A</v>
      </c>
      <c r="T6337" s="369" t="str">
        <f>VLOOKUP(Tabla4[[#This Row],[Producto]],Tabla6[#All],14,FALSE)</f>
        <v>Termico Solar</v>
      </c>
      <c r="U6337" s="284" t="e">
        <f>(IF(Tabla4[[#This Row],[Familia]]="termico solar",Tabla4[[#This Row],[Utilidad Total]]*6%,Tabla4[[#This Row],[Utilidad Total]]*11.5%))/Tabla4[[#This Row],[Total]]</f>
        <v>#N/A</v>
      </c>
      <c r="V6337" s="282" t="e">
        <f>+Tabla4[[#This Row],[Comisión Calculada]]*Tabla4[[#This Row],[Total]]</f>
        <v>#N/A</v>
      </c>
    </row>
    <row r="6338" spans="1:22" hidden="1" x14ac:dyDescent="0.25">
      <c r="A6338" s="100">
        <v>45945</v>
      </c>
      <c r="B6338" t="str">
        <f t="shared" si="321"/>
        <v>October</v>
      </c>
      <c r="C6338" s="46" t="s">
        <v>280</v>
      </c>
      <c r="F6338" s="366" t="s">
        <v>3237</v>
      </c>
      <c r="G6338" s="46" t="s">
        <v>208</v>
      </c>
      <c r="H6338" s="46">
        <v>2</v>
      </c>
      <c r="I6338" s="51">
        <v>189.75</v>
      </c>
      <c r="J6338" s="281">
        <f>++Tabla4[[#This Row],[Precio Bruto]]*1.16</f>
        <v>220.10999999999999</v>
      </c>
      <c r="K6338" s="281">
        <f>+Tabla4[[#This Row],[Precio Unitario Neto]]*Tabla4[[#Headers],[20.85%]]</f>
        <v>45.892934999999994</v>
      </c>
      <c r="L6338" s="282">
        <f>++Tabla4[[#This Row],[Precio Unitario Neto]]-Tabla4[[#This Row],[20.85%]]</f>
        <v>174.21706499999999</v>
      </c>
      <c r="M6338" s="282" t="e">
        <f>(INDEX(Tabla6[#All],MATCH(Tabla4[[#This Row],[Producto]],Tabla6[[#All],[PRODUCTO]],0),MATCH(Tabla4[[#This Row],[Mes]],Tabla6[#Headers],0)))*(1+Catalogos!$L$2)</f>
        <v>#N/A</v>
      </c>
      <c r="N6338" s="283" t="e">
        <f>+(Tabla4[[#This Row],[Precio Descontado]]-Tabla4[[#This Row],[Precio Base]])*Tabla4[[#This Row],[Cantidad]]</f>
        <v>#N/A</v>
      </c>
      <c r="O6338" s="284" t="e">
        <f>++Tabla4[[#This Row],[Utilidad Total]]/Tabla4[[#This Row],[Total]]</f>
        <v>#N/A</v>
      </c>
      <c r="P6338" s="282">
        <f>++Tabla4[[#This Row],[Precio Descontado]]*Tabla4[[#This Row],[Cantidad]]</f>
        <v>348.43412999999998</v>
      </c>
      <c r="Q6338" s="282" t="e">
        <f>(INDEX(Tabla6[#All],MATCH(Tabla4[[#This Row],[Producto]],Tabla6[[#All],[PRODUCTO]],0),MATCH(Tabla4[[#This Row],[Mes]],Tabla6[#Headers],0)))</f>
        <v>#N/A</v>
      </c>
      <c r="R6338" s="282" t="e">
        <f>++Tabla4[[#This Row],[Precio Unitario Neto]]-Tabla4[[#This Row],[20.85%]]-Tabla4[[#This Row],[Costo]]</f>
        <v>#N/A</v>
      </c>
      <c r="S6338" s="282" t="e">
        <f>++Tabla4[[#This Row],[U. Bruta Uni]]*Tabla4[[#This Row],[Cantidad]]</f>
        <v>#N/A</v>
      </c>
      <c r="T6338" s="369" t="str">
        <f>VLOOKUP(Tabla4[[#This Row],[Producto]],Tabla6[#All],14,FALSE)</f>
        <v>Termico Solar</v>
      </c>
      <c r="U6338" s="284" t="e">
        <f>(IF(Tabla4[[#This Row],[Familia]]="termico solar",Tabla4[[#This Row],[Utilidad Total]]*6%,Tabla4[[#This Row],[Utilidad Total]]*11.5%))/Tabla4[[#This Row],[Total]]</f>
        <v>#N/A</v>
      </c>
      <c r="V6338" s="282" t="e">
        <f>+Tabla4[[#This Row],[Comisión Calculada]]*Tabla4[[#This Row],[Total]]</f>
        <v>#N/A</v>
      </c>
    </row>
    <row r="6339" spans="1:22" hidden="1" x14ac:dyDescent="0.25">
      <c r="A6339" s="100">
        <v>45945</v>
      </c>
      <c r="B6339" t="str">
        <f>TEXT(A6339, "mmmm")</f>
        <v>October</v>
      </c>
      <c r="C6339" s="46" t="s">
        <v>280</v>
      </c>
      <c r="F6339" s="366" t="s">
        <v>3238</v>
      </c>
      <c r="G6339" s="46" t="s">
        <v>17</v>
      </c>
      <c r="H6339" s="46">
        <v>1</v>
      </c>
      <c r="I6339" s="51">
        <v>4622.28</v>
      </c>
      <c r="J6339" s="281">
        <f>++Tabla4[[#This Row],[Precio Bruto]]*1.16</f>
        <v>5361.8447999999989</v>
      </c>
      <c r="K6339" s="281">
        <f>+Tabla4[[#This Row],[Precio Unitario Neto]]*Tabla4[[#Headers],[20.85%]]</f>
        <v>1117.9446407999997</v>
      </c>
      <c r="L6339" s="282">
        <f>++Tabla4[[#This Row],[Precio Unitario Neto]]-Tabla4[[#This Row],[20.85%]]</f>
        <v>4243.9001591999995</v>
      </c>
      <c r="M6339" s="282" t="e">
        <f>(INDEX(Tabla6[#All],MATCH(Tabla4[[#This Row],[Producto]],Tabla6[[#All],[PRODUCTO]],0),MATCH(Tabla4[[#This Row],[Mes]],Tabla6[#Headers],0)))*(1+Catalogos!$L$2)</f>
        <v>#N/A</v>
      </c>
      <c r="N6339" s="283" t="e">
        <f>+(Tabla4[[#This Row],[Precio Descontado]]-Tabla4[[#This Row],[Precio Base]])*Tabla4[[#This Row],[Cantidad]]</f>
        <v>#N/A</v>
      </c>
      <c r="O6339" s="284" t="e">
        <f>++Tabla4[[#This Row],[Utilidad Total]]/Tabla4[[#This Row],[Total]]</f>
        <v>#N/A</v>
      </c>
      <c r="P6339" s="282">
        <f>++Tabla4[[#This Row],[Precio Descontado]]*Tabla4[[#This Row],[Cantidad]]</f>
        <v>4243.9001591999995</v>
      </c>
      <c r="Q6339" s="282" t="e">
        <f>(INDEX(Tabla6[#All],MATCH(Tabla4[[#This Row],[Producto]],Tabla6[[#All],[PRODUCTO]],0),MATCH(Tabla4[[#This Row],[Mes]],Tabla6[#Headers],0)))</f>
        <v>#N/A</v>
      </c>
      <c r="R6339" s="282" t="e">
        <f>++Tabla4[[#This Row],[Precio Unitario Neto]]-Tabla4[[#This Row],[20.85%]]-Tabla4[[#This Row],[Costo]]</f>
        <v>#N/A</v>
      </c>
      <c r="S6339" s="282" t="e">
        <f>++Tabla4[[#This Row],[U. Bruta Uni]]*Tabla4[[#This Row],[Cantidad]]</f>
        <v>#N/A</v>
      </c>
      <c r="T6339" s="369" t="str">
        <f>VLOOKUP(Tabla4[[#This Row],[Producto]],Tabla6[#All],14,FALSE)</f>
        <v>Termico Solar</v>
      </c>
      <c r="U6339" s="284" t="e">
        <f>(IF(Tabla4[[#This Row],[Familia]]="termico solar",Tabla4[[#This Row],[Utilidad Total]]*6%,Tabla4[[#This Row],[Utilidad Total]]*11.5%))/Tabla4[[#This Row],[Total]]</f>
        <v>#N/A</v>
      </c>
      <c r="V6339" s="282" t="e">
        <f>+Tabla4[[#This Row],[Comisión Calculada]]*Tabla4[[#This Row],[Total]]</f>
        <v>#N/A</v>
      </c>
    </row>
    <row r="6340" spans="1:22" hidden="1" x14ac:dyDescent="0.25">
      <c r="A6340" s="100">
        <v>45945</v>
      </c>
      <c r="B6340" t="str">
        <f t="shared" ref="B6340:B6341" si="322">TEXT(A6340, "mmmm")</f>
        <v>October</v>
      </c>
      <c r="C6340" s="46" t="s">
        <v>280</v>
      </c>
      <c r="F6340" s="366" t="s">
        <v>3239</v>
      </c>
      <c r="G6340" s="46" t="s">
        <v>83</v>
      </c>
      <c r="H6340" s="46">
        <v>1</v>
      </c>
      <c r="I6340" s="51">
        <v>8858.76</v>
      </c>
      <c r="J6340" s="281">
        <f>++Tabla4[[#This Row],[Precio Bruto]]*1.16</f>
        <v>10276.161599999999</v>
      </c>
      <c r="K6340" s="281">
        <f>+Tabla4[[#This Row],[Precio Unitario Neto]]*Tabla4[[#Headers],[20.85%]]</f>
        <v>2142.5796935999997</v>
      </c>
      <c r="L6340" s="282">
        <f>++Tabla4[[#This Row],[Precio Unitario Neto]]-Tabla4[[#This Row],[20.85%]]</f>
        <v>8133.5819063999998</v>
      </c>
      <c r="M6340" s="282" t="e">
        <f>(INDEX(Tabla6[#All],MATCH(Tabla4[[#This Row],[Producto]],Tabla6[[#All],[PRODUCTO]],0),MATCH(Tabla4[[#This Row],[Mes]],Tabla6[#Headers],0)))*(1+Catalogos!$L$2)</f>
        <v>#N/A</v>
      </c>
      <c r="N6340" s="283" t="e">
        <f>+(Tabla4[[#This Row],[Precio Descontado]]-Tabla4[[#This Row],[Precio Base]])*Tabla4[[#This Row],[Cantidad]]</f>
        <v>#N/A</v>
      </c>
      <c r="O6340" s="284" t="e">
        <f>++Tabla4[[#This Row],[Utilidad Total]]/Tabla4[[#This Row],[Total]]</f>
        <v>#N/A</v>
      </c>
      <c r="P6340" s="282">
        <f>++Tabla4[[#This Row],[Precio Descontado]]*Tabla4[[#This Row],[Cantidad]]</f>
        <v>8133.5819063999998</v>
      </c>
      <c r="Q6340" s="282" t="e">
        <f>(INDEX(Tabla6[#All],MATCH(Tabla4[[#This Row],[Producto]],Tabla6[[#All],[PRODUCTO]],0),MATCH(Tabla4[[#This Row],[Mes]],Tabla6[#Headers],0)))</f>
        <v>#N/A</v>
      </c>
      <c r="R6340" s="282" t="e">
        <f>++Tabla4[[#This Row],[Precio Unitario Neto]]-Tabla4[[#This Row],[20.85%]]-Tabla4[[#This Row],[Costo]]</f>
        <v>#N/A</v>
      </c>
      <c r="S6340" s="282" t="e">
        <f>++Tabla4[[#This Row],[U. Bruta Uni]]*Tabla4[[#This Row],[Cantidad]]</f>
        <v>#N/A</v>
      </c>
      <c r="T6340" s="369" t="str">
        <f>VLOOKUP(Tabla4[[#This Row],[Producto]],Tabla6[#All],14,FALSE)</f>
        <v>Termico Solar</v>
      </c>
      <c r="U6340" s="284" t="e">
        <f>(IF(Tabla4[[#This Row],[Familia]]="termico solar",Tabla4[[#This Row],[Utilidad Total]]*6%,Tabla4[[#This Row],[Utilidad Total]]*11.5%))/Tabla4[[#This Row],[Total]]</f>
        <v>#N/A</v>
      </c>
      <c r="V6340" s="282" t="e">
        <f>+Tabla4[[#This Row],[Comisión Calculada]]*Tabla4[[#This Row],[Total]]</f>
        <v>#N/A</v>
      </c>
    </row>
    <row r="6341" spans="1:22" hidden="1" x14ac:dyDescent="0.25">
      <c r="A6341" s="100">
        <v>45945</v>
      </c>
      <c r="B6341" t="str">
        <f t="shared" si="322"/>
        <v>October</v>
      </c>
      <c r="C6341" s="46" t="s">
        <v>280</v>
      </c>
      <c r="F6341" s="366" t="s">
        <v>3239</v>
      </c>
      <c r="G6341" s="46" t="s">
        <v>208</v>
      </c>
      <c r="H6341" s="46">
        <v>1</v>
      </c>
      <c r="I6341" s="51">
        <v>189.75</v>
      </c>
      <c r="J6341" s="281">
        <f>++Tabla4[[#This Row],[Precio Bruto]]*1.16</f>
        <v>220.10999999999999</v>
      </c>
      <c r="K6341" s="281">
        <f>+Tabla4[[#This Row],[Precio Unitario Neto]]*Tabla4[[#Headers],[20.85%]]</f>
        <v>45.892934999999994</v>
      </c>
      <c r="L6341" s="282">
        <f>++Tabla4[[#This Row],[Precio Unitario Neto]]-Tabla4[[#This Row],[20.85%]]</f>
        <v>174.21706499999999</v>
      </c>
      <c r="M6341" s="282" t="e">
        <f>(INDEX(Tabla6[#All],MATCH(Tabla4[[#This Row],[Producto]],Tabla6[[#All],[PRODUCTO]],0),MATCH(Tabla4[[#This Row],[Mes]],Tabla6[#Headers],0)))*(1+Catalogos!$L$2)</f>
        <v>#N/A</v>
      </c>
      <c r="N6341" s="283" t="e">
        <f>+(Tabla4[[#This Row],[Precio Descontado]]-Tabla4[[#This Row],[Precio Base]])*Tabla4[[#This Row],[Cantidad]]</f>
        <v>#N/A</v>
      </c>
      <c r="O6341" s="284" t="e">
        <f>++Tabla4[[#This Row],[Utilidad Total]]/Tabla4[[#This Row],[Total]]</f>
        <v>#N/A</v>
      </c>
      <c r="P6341" s="282">
        <f>++Tabla4[[#This Row],[Precio Descontado]]*Tabla4[[#This Row],[Cantidad]]</f>
        <v>174.21706499999999</v>
      </c>
      <c r="Q6341" s="282" t="e">
        <f>(INDEX(Tabla6[#All],MATCH(Tabla4[[#This Row],[Producto]],Tabla6[[#All],[PRODUCTO]],0),MATCH(Tabla4[[#This Row],[Mes]],Tabla6[#Headers],0)))</f>
        <v>#N/A</v>
      </c>
      <c r="R6341" s="282" t="e">
        <f>++Tabla4[[#This Row],[Precio Unitario Neto]]-Tabla4[[#This Row],[20.85%]]-Tabla4[[#This Row],[Costo]]</f>
        <v>#N/A</v>
      </c>
      <c r="S6341" s="282" t="e">
        <f>++Tabla4[[#This Row],[U. Bruta Uni]]*Tabla4[[#This Row],[Cantidad]]</f>
        <v>#N/A</v>
      </c>
      <c r="T6341" s="369" t="str">
        <f>VLOOKUP(Tabla4[[#This Row],[Producto]],Tabla6[#All],14,FALSE)</f>
        <v>Termico Solar</v>
      </c>
      <c r="U6341" s="284" t="e">
        <f>(IF(Tabla4[[#This Row],[Familia]]="termico solar",Tabla4[[#This Row],[Utilidad Total]]*6%,Tabla4[[#This Row],[Utilidad Total]]*11.5%))/Tabla4[[#This Row],[Total]]</f>
        <v>#N/A</v>
      </c>
      <c r="V6341" s="282" t="e">
        <f>+Tabla4[[#This Row],[Comisión Calculada]]*Tabla4[[#This Row],[Total]]</f>
        <v>#N/A</v>
      </c>
    </row>
    <row r="6342" spans="1:22" hidden="1" x14ac:dyDescent="0.25">
      <c r="A6342" s="100">
        <v>45945</v>
      </c>
      <c r="B6342" t="str">
        <f t="shared" ref="B6342:B6346" si="323">TEXT(A6342, "mmmm")</f>
        <v>October</v>
      </c>
      <c r="C6342" s="46" t="s">
        <v>280</v>
      </c>
      <c r="F6342" s="366" t="s">
        <v>3240</v>
      </c>
      <c r="G6342" s="46" t="s">
        <v>83</v>
      </c>
      <c r="H6342" s="46">
        <v>3</v>
      </c>
      <c r="I6342" s="51">
        <v>8858.76</v>
      </c>
      <c r="J6342" s="281">
        <f>++Tabla4[[#This Row],[Precio Bruto]]*1.16</f>
        <v>10276.161599999999</v>
      </c>
      <c r="K6342" s="281">
        <f>+Tabla4[[#This Row],[Precio Unitario Neto]]*Tabla4[[#Headers],[20.85%]]</f>
        <v>2142.5796935999997</v>
      </c>
      <c r="L6342" s="282">
        <f>++Tabla4[[#This Row],[Precio Unitario Neto]]-Tabla4[[#This Row],[20.85%]]</f>
        <v>8133.5819063999998</v>
      </c>
      <c r="M6342" s="282" t="e">
        <f>(INDEX(Tabla6[#All],MATCH(Tabla4[[#This Row],[Producto]],Tabla6[[#All],[PRODUCTO]],0),MATCH(Tabla4[[#This Row],[Mes]],Tabla6[#Headers],0)))*(1+Catalogos!$L$2)</f>
        <v>#N/A</v>
      </c>
      <c r="N6342" s="283" t="e">
        <f>+(Tabla4[[#This Row],[Precio Descontado]]-Tabla4[[#This Row],[Precio Base]])*Tabla4[[#This Row],[Cantidad]]</f>
        <v>#N/A</v>
      </c>
      <c r="O6342" s="284" t="e">
        <f>++Tabla4[[#This Row],[Utilidad Total]]/Tabla4[[#This Row],[Total]]</f>
        <v>#N/A</v>
      </c>
      <c r="P6342" s="282">
        <f>++Tabla4[[#This Row],[Precio Descontado]]*Tabla4[[#This Row],[Cantidad]]</f>
        <v>24400.7457192</v>
      </c>
      <c r="Q6342" s="282" t="e">
        <f>(INDEX(Tabla6[#All],MATCH(Tabla4[[#This Row],[Producto]],Tabla6[[#All],[PRODUCTO]],0),MATCH(Tabla4[[#This Row],[Mes]],Tabla6[#Headers],0)))</f>
        <v>#N/A</v>
      </c>
      <c r="R6342" s="282" t="e">
        <f>++Tabla4[[#This Row],[Precio Unitario Neto]]-Tabla4[[#This Row],[20.85%]]-Tabla4[[#This Row],[Costo]]</f>
        <v>#N/A</v>
      </c>
      <c r="S6342" s="282" t="e">
        <f>++Tabla4[[#This Row],[U. Bruta Uni]]*Tabla4[[#This Row],[Cantidad]]</f>
        <v>#N/A</v>
      </c>
      <c r="T6342" s="369" t="str">
        <f>VLOOKUP(Tabla4[[#This Row],[Producto]],Tabla6[#All],14,FALSE)</f>
        <v>Termico Solar</v>
      </c>
      <c r="U6342" s="284" t="e">
        <f>(IF(Tabla4[[#This Row],[Familia]]="termico solar",Tabla4[[#This Row],[Utilidad Total]]*6%,Tabla4[[#This Row],[Utilidad Total]]*11.5%))/Tabla4[[#This Row],[Total]]</f>
        <v>#N/A</v>
      </c>
      <c r="V6342" s="282" t="e">
        <f>+Tabla4[[#This Row],[Comisión Calculada]]*Tabla4[[#This Row],[Total]]</f>
        <v>#N/A</v>
      </c>
    </row>
    <row r="6343" spans="1:22" hidden="1" x14ac:dyDescent="0.25">
      <c r="A6343" s="100">
        <v>45945</v>
      </c>
      <c r="B6343" t="str">
        <f t="shared" si="323"/>
        <v>October</v>
      </c>
      <c r="C6343" s="46" t="s">
        <v>280</v>
      </c>
      <c r="F6343" s="366" t="s">
        <v>3240</v>
      </c>
      <c r="G6343" s="46" t="s">
        <v>17</v>
      </c>
      <c r="H6343" s="46">
        <v>1</v>
      </c>
      <c r="I6343" s="51">
        <v>4622.28</v>
      </c>
      <c r="J6343" s="281">
        <f>++Tabla4[[#This Row],[Precio Bruto]]*1.16</f>
        <v>5361.8447999999989</v>
      </c>
      <c r="K6343" s="281">
        <f>+Tabla4[[#This Row],[Precio Unitario Neto]]*Tabla4[[#Headers],[20.85%]]</f>
        <v>1117.9446407999997</v>
      </c>
      <c r="L6343" s="282">
        <f>++Tabla4[[#This Row],[Precio Unitario Neto]]-Tabla4[[#This Row],[20.85%]]</f>
        <v>4243.9001591999995</v>
      </c>
      <c r="M6343" s="282" t="e">
        <f>(INDEX(Tabla6[#All],MATCH(Tabla4[[#This Row],[Producto]],Tabla6[[#All],[PRODUCTO]],0),MATCH(Tabla4[[#This Row],[Mes]],Tabla6[#Headers],0)))*(1+Catalogos!$L$2)</f>
        <v>#N/A</v>
      </c>
      <c r="N6343" s="283" t="e">
        <f>+(Tabla4[[#This Row],[Precio Descontado]]-Tabla4[[#This Row],[Precio Base]])*Tabla4[[#This Row],[Cantidad]]</f>
        <v>#N/A</v>
      </c>
      <c r="O6343" s="284" t="e">
        <f>++Tabla4[[#This Row],[Utilidad Total]]/Tabla4[[#This Row],[Total]]</f>
        <v>#N/A</v>
      </c>
      <c r="P6343" s="282">
        <f>++Tabla4[[#This Row],[Precio Descontado]]*Tabla4[[#This Row],[Cantidad]]</f>
        <v>4243.9001591999995</v>
      </c>
      <c r="Q6343" s="282" t="e">
        <f>(INDEX(Tabla6[#All],MATCH(Tabla4[[#This Row],[Producto]],Tabla6[[#All],[PRODUCTO]],0),MATCH(Tabla4[[#This Row],[Mes]],Tabla6[#Headers],0)))</f>
        <v>#N/A</v>
      </c>
      <c r="R6343" s="282" t="e">
        <f>++Tabla4[[#This Row],[Precio Unitario Neto]]-Tabla4[[#This Row],[20.85%]]-Tabla4[[#This Row],[Costo]]</f>
        <v>#N/A</v>
      </c>
      <c r="S6343" s="282" t="e">
        <f>++Tabla4[[#This Row],[U. Bruta Uni]]*Tabla4[[#This Row],[Cantidad]]</f>
        <v>#N/A</v>
      </c>
      <c r="T6343" s="369" t="str">
        <f>VLOOKUP(Tabla4[[#This Row],[Producto]],Tabla6[#All],14,FALSE)</f>
        <v>Termico Solar</v>
      </c>
      <c r="U6343" s="284" t="e">
        <f>(IF(Tabla4[[#This Row],[Familia]]="termico solar",Tabla4[[#This Row],[Utilidad Total]]*6%,Tabla4[[#This Row],[Utilidad Total]]*11.5%))/Tabla4[[#This Row],[Total]]</f>
        <v>#N/A</v>
      </c>
      <c r="V6343" s="282" t="e">
        <f>+Tabla4[[#This Row],[Comisión Calculada]]*Tabla4[[#This Row],[Total]]</f>
        <v>#N/A</v>
      </c>
    </row>
    <row r="6344" spans="1:22" hidden="1" x14ac:dyDescent="0.25">
      <c r="A6344" s="100">
        <v>45945</v>
      </c>
      <c r="B6344" t="str">
        <f t="shared" si="323"/>
        <v>October</v>
      </c>
      <c r="C6344" s="46" t="s">
        <v>280</v>
      </c>
      <c r="F6344" s="366" t="s">
        <v>3240</v>
      </c>
      <c r="G6344" s="46" t="s">
        <v>16</v>
      </c>
      <c r="H6344" s="46">
        <v>2</v>
      </c>
      <c r="I6344" s="51">
        <v>4103.8500000000004</v>
      </c>
      <c r="J6344" s="281">
        <f>++Tabla4[[#This Row],[Precio Bruto]]*1.16</f>
        <v>4760.4660000000003</v>
      </c>
      <c r="K6344" s="281">
        <f>+Tabla4[[#This Row],[Precio Unitario Neto]]*Tabla4[[#Headers],[20.85%]]</f>
        <v>992.55716100000006</v>
      </c>
      <c r="L6344" s="282">
        <f>++Tabla4[[#This Row],[Precio Unitario Neto]]-Tabla4[[#This Row],[20.85%]]</f>
        <v>3767.9088390000002</v>
      </c>
      <c r="M6344" s="282" t="e">
        <f>(INDEX(Tabla6[#All],MATCH(Tabla4[[#This Row],[Producto]],Tabla6[[#All],[PRODUCTO]],0),MATCH(Tabla4[[#This Row],[Mes]],Tabla6[#Headers],0)))*(1+Catalogos!$L$2)</f>
        <v>#N/A</v>
      </c>
      <c r="N6344" s="283" t="e">
        <f>+(Tabla4[[#This Row],[Precio Descontado]]-Tabla4[[#This Row],[Precio Base]])*Tabla4[[#This Row],[Cantidad]]</f>
        <v>#N/A</v>
      </c>
      <c r="O6344" s="284" t="e">
        <f>++Tabla4[[#This Row],[Utilidad Total]]/Tabla4[[#This Row],[Total]]</f>
        <v>#N/A</v>
      </c>
      <c r="P6344" s="282">
        <f>++Tabla4[[#This Row],[Precio Descontado]]*Tabla4[[#This Row],[Cantidad]]</f>
        <v>7535.8176780000003</v>
      </c>
      <c r="Q6344" s="282" t="e">
        <f>(INDEX(Tabla6[#All],MATCH(Tabla4[[#This Row],[Producto]],Tabla6[[#All],[PRODUCTO]],0),MATCH(Tabla4[[#This Row],[Mes]],Tabla6[#Headers],0)))</f>
        <v>#N/A</v>
      </c>
      <c r="R6344" s="282" t="e">
        <f>++Tabla4[[#This Row],[Precio Unitario Neto]]-Tabla4[[#This Row],[20.85%]]-Tabla4[[#This Row],[Costo]]</f>
        <v>#N/A</v>
      </c>
      <c r="S6344" s="282" t="e">
        <f>++Tabla4[[#This Row],[U. Bruta Uni]]*Tabla4[[#This Row],[Cantidad]]</f>
        <v>#N/A</v>
      </c>
      <c r="T6344" s="369" t="str">
        <f>VLOOKUP(Tabla4[[#This Row],[Producto]],Tabla6[#All],14,FALSE)</f>
        <v>Termico Solar</v>
      </c>
      <c r="U6344" s="284" t="e">
        <f>(IF(Tabla4[[#This Row],[Familia]]="termico solar",Tabla4[[#This Row],[Utilidad Total]]*6%,Tabla4[[#This Row],[Utilidad Total]]*11.5%))/Tabla4[[#This Row],[Total]]</f>
        <v>#N/A</v>
      </c>
      <c r="V6344" s="282" t="e">
        <f>+Tabla4[[#This Row],[Comisión Calculada]]*Tabla4[[#This Row],[Total]]</f>
        <v>#N/A</v>
      </c>
    </row>
    <row r="6345" spans="1:22" hidden="1" x14ac:dyDescent="0.25">
      <c r="A6345" s="100">
        <v>45945</v>
      </c>
      <c r="B6345" t="str">
        <f t="shared" si="323"/>
        <v>October</v>
      </c>
      <c r="C6345" s="46" t="s">
        <v>280</v>
      </c>
      <c r="F6345" s="366" t="s">
        <v>3240</v>
      </c>
      <c r="G6345" s="46" t="s">
        <v>555</v>
      </c>
      <c r="H6345" s="46">
        <v>8</v>
      </c>
      <c r="I6345" s="51">
        <v>389.47</v>
      </c>
      <c r="J6345" s="281">
        <f>++Tabla4[[#This Row],[Precio Bruto]]*1.16</f>
        <v>451.78519999999997</v>
      </c>
      <c r="K6345" s="281">
        <f>+Tabla4[[#This Row],[Precio Unitario Neto]]*Tabla4[[#Headers],[20.85%]]</f>
        <v>94.197214199999991</v>
      </c>
      <c r="L6345" s="282">
        <f>++Tabla4[[#This Row],[Precio Unitario Neto]]-Tabla4[[#This Row],[20.85%]]</f>
        <v>357.58798579999996</v>
      </c>
      <c r="M6345" s="282" t="e">
        <f>(INDEX(Tabla6[#All],MATCH(Tabla4[[#This Row],[Producto]],Tabla6[[#All],[PRODUCTO]],0),MATCH(Tabla4[[#This Row],[Mes]],Tabla6[#Headers],0)))*(1+Catalogos!$L$2)</f>
        <v>#N/A</v>
      </c>
      <c r="N6345" s="283" t="e">
        <f>+(Tabla4[[#This Row],[Precio Descontado]]-Tabla4[[#This Row],[Precio Base]])*Tabla4[[#This Row],[Cantidad]]</f>
        <v>#N/A</v>
      </c>
      <c r="O6345" s="284" t="e">
        <f>++Tabla4[[#This Row],[Utilidad Total]]/Tabla4[[#This Row],[Total]]</f>
        <v>#N/A</v>
      </c>
      <c r="P6345" s="282">
        <f>++Tabla4[[#This Row],[Precio Descontado]]*Tabla4[[#This Row],[Cantidad]]</f>
        <v>2860.7038863999996</v>
      </c>
      <c r="Q6345" s="282" t="e">
        <f>(INDEX(Tabla6[#All],MATCH(Tabla4[[#This Row],[Producto]],Tabla6[[#All],[PRODUCTO]],0),MATCH(Tabla4[[#This Row],[Mes]],Tabla6[#Headers],0)))</f>
        <v>#N/A</v>
      </c>
      <c r="R6345" s="282" t="e">
        <f>++Tabla4[[#This Row],[Precio Unitario Neto]]-Tabla4[[#This Row],[20.85%]]-Tabla4[[#This Row],[Costo]]</f>
        <v>#N/A</v>
      </c>
      <c r="S6345" s="282" t="e">
        <f>++Tabla4[[#This Row],[U. Bruta Uni]]*Tabla4[[#This Row],[Cantidad]]</f>
        <v>#N/A</v>
      </c>
      <c r="T6345" s="369" t="str">
        <f>VLOOKUP(Tabla4[[#This Row],[Producto]],Tabla6[#All],14,FALSE)</f>
        <v>Termico Solar</v>
      </c>
      <c r="U6345" s="284" t="e">
        <f>(IF(Tabla4[[#This Row],[Familia]]="termico solar",Tabla4[[#This Row],[Utilidad Total]]*6%,Tabla4[[#This Row],[Utilidad Total]]*11.5%))/Tabla4[[#This Row],[Total]]</f>
        <v>#N/A</v>
      </c>
      <c r="V6345" s="282" t="e">
        <f>+Tabla4[[#This Row],[Comisión Calculada]]*Tabla4[[#This Row],[Total]]</f>
        <v>#N/A</v>
      </c>
    </row>
    <row r="6346" spans="1:22" hidden="1" x14ac:dyDescent="0.25">
      <c r="A6346" s="100">
        <v>45945</v>
      </c>
      <c r="B6346" t="str">
        <f t="shared" si="323"/>
        <v>October</v>
      </c>
      <c r="C6346" s="46" t="s">
        <v>280</v>
      </c>
      <c r="F6346" s="366" t="s">
        <v>3240</v>
      </c>
      <c r="G6346" s="46" t="s">
        <v>208</v>
      </c>
      <c r="H6346" s="46">
        <v>4</v>
      </c>
      <c r="I6346" s="51">
        <v>189.75</v>
      </c>
      <c r="J6346" s="281">
        <f>++Tabla4[[#This Row],[Precio Bruto]]*1.16</f>
        <v>220.10999999999999</v>
      </c>
      <c r="K6346" s="281">
        <f>+Tabla4[[#This Row],[Precio Unitario Neto]]*Tabla4[[#Headers],[20.85%]]</f>
        <v>45.892934999999994</v>
      </c>
      <c r="L6346" s="282">
        <f>++Tabla4[[#This Row],[Precio Unitario Neto]]-Tabla4[[#This Row],[20.85%]]</f>
        <v>174.21706499999999</v>
      </c>
      <c r="M6346" s="282" t="e">
        <f>(INDEX(Tabla6[#All],MATCH(Tabla4[[#This Row],[Producto]],Tabla6[[#All],[PRODUCTO]],0),MATCH(Tabla4[[#This Row],[Mes]],Tabla6[#Headers],0)))*(1+Catalogos!$L$2)</f>
        <v>#N/A</v>
      </c>
      <c r="N6346" s="283" t="e">
        <f>+(Tabla4[[#This Row],[Precio Descontado]]-Tabla4[[#This Row],[Precio Base]])*Tabla4[[#This Row],[Cantidad]]</f>
        <v>#N/A</v>
      </c>
      <c r="O6346" s="284" t="e">
        <f>++Tabla4[[#This Row],[Utilidad Total]]/Tabla4[[#This Row],[Total]]</f>
        <v>#N/A</v>
      </c>
      <c r="P6346" s="282">
        <f>++Tabla4[[#This Row],[Precio Descontado]]*Tabla4[[#This Row],[Cantidad]]</f>
        <v>696.86825999999996</v>
      </c>
      <c r="Q6346" s="282" t="e">
        <f>(INDEX(Tabla6[#All],MATCH(Tabla4[[#This Row],[Producto]],Tabla6[[#All],[PRODUCTO]],0),MATCH(Tabla4[[#This Row],[Mes]],Tabla6[#Headers],0)))</f>
        <v>#N/A</v>
      </c>
      <c r="R6346" s="282" t="e">
        <f>++Tabla4[[#This Row],[Precio Unitario Neto]]-Tabla4[[#This Row],[20.85%]]-Tabla4[[#This Row],[Costo]]</f>
        <v>#N/A</v>
      </c>
      <c r="S6346" s="282" t="e">
        <f>++Tabla4[[#This Row],[U. Bruta Uni]]*Tabla4[[#This Row],[Cantidad]]</f>
        <v>#N/A</v>
      </c>
      <c r="T6346" s="369" t="str">
        <f>VLOOKUP(Tabla4[[#This Row],[Producto]],Tabla6[#All],14,FALSE)</f>
        <v>Termico Solar</v>
      </c>
      <c r="U6346" s="284" t="e">
        <f>(IF(Tabla4[[#This Row],[Familia]]="termico solar",Tabla4[[#This Row],[Utilidad Total]]*6%,Tabla4[[#This Row],[Utilidad Total]]*11.5%))/Tabla4[[#This Row],[Total]]</f>
        <v>#N/A</v>
      </c>
      <c r="V6346" s="282" t="e">
        <f>+Tabla4[[#This Row],[Comisión Calculada]]*Tabla4[[#This Row],[Total]]</f>
        <v>#N/A</v>
      </c>
    </row>
    <row r="6347" spans="1:22" hidden="1" x14ac:dyDescent="0.25">
      <c r="A6347" s="100">
        <v>45945</v>
      </c>
      <c r="B6347" t="str">
        <f t="shared" ref="B6347:B6348" si="324">TEXT(A6347, "mmmm")</f>
        <v>October</v>
      </c>
      <c r="C6347" s="46" t="s">
        <v>280</v>
      </c>
      <c r="F6347" s="366" t="s">
        <v>3241</v>
      </c>
      <c r="G6347" s="46" t="s">
        <v>18</v>
      </c>
      <c r="H6347" s="46">
        <v>1</v>
      </c>
      <c r="I6347" s="51">
        <v>5367.65</v>
      </c>
      <c r="J6347" s="281">
        <f>++Tabla4[[#This Row],[Precio Bruto]]*1.16</f>
        <v>6226.4739999999993</v>
      </c>
      <c r="K6347" s="281">
        <f>+Tabla4[[#This Row],[Precio Unitario Neto]]*Tabla4[[#Headers],[20.85%]]</f>
        <v>1298.2198289999999</v>
      </c>
      <c r="L6347" s="282">
        <f>++Tabla4[[#This Row],[Precio Unitario Neto]]-Tabla4[[#This Row],[20.85%]]</f>
        <v>4928.2541709999996</v>
      </c>
      <c r="M6347" s="282" t="e">
        <f>(INDEX(Tabla6[#All],MATCH(Tabla4[[#This Row],[Producto]],Tabla6[[#All],[PRODUCTO]],0),MATCH(Tabla4[[#This Row],[Mes]],Tabla6[#Headers],0)))*(1+Catalogos!$L$2)</f>
        <v>#N/A</v>
      </c>
      <c r="N6347" s="283" t="e">
        <f>+(Tabla4[[#This Row],[Precio Descontado]]-Tabla4[[#This Row],[Precio Base]])*Tabla4[[#This Row],[Cantidad]]</f>
        <v>#N/A</v>
      </c>
      <c r="O6347" s="284" t="e">
        <f>++Tabla4[[#This Row],[Utilidad Total]]/Tabla4[[#This Row],[Total]]</f>
        <v>#N/A</v>
      </c>
      <c r="P6347" s="282">
        <f>++Tabla4[[#This Row],[Precio Descontado]]*Tabla4[[#This Row],[Cantidad]]</f>
        <v>4928.2541709999996</v>
      </c>
      <c r="Q6347" s="282" t="e">
        <f>(INDEX(Tabla6[#All],MATCH(Tabla4[[#This Row],[Producto]],Tabla6[[#All],[PRODUCTO]],0),MATCH(Tabla4[[#This Row],[Mes]],Tabla6[#Headers],0)))</f>
        <v>#N/A</v>
      </c>
      <c r="R6347" s="282" t="e">
        <f>++Tabla4[[#This Row],[Precio Unitario Neto]]-Tabla4[[#This Row],[20.85%]]-Tabla4[[#This Row],[Costo]]</f>
        <v>#N/A</v>
      </c>
      <c r="S6347" s="282" t="e">
        <f>++Tabla4[[#This Row],[U. Bruta Uni]]*Tabla4[[#This Row],[Cantidad]]</f>
        <v>#N/A</v>
      </c>
      <c r="T6347" s="369" t="str">
        <f>VLOOKUP(Tabla4[[#This Row],[Producto]],Tabla6[#All],14,FALSE)</f>
        <v>Termico Solar</v>
      </c>
      <c r="U6347" s="284" t="e">
        <f>(IF(Tabla4[[#This Row],[Familia]]="termico solar",Tabla4[[#This Row],[Utilidad Total]]*6%,Tabla4[[#This Row],[Utilidad Total]]*11.5%))/Tabla4[[#This Row],[Total]]</f>
        <v>#N/A</v>
      </c>
      <c r="V6347" s="282" t="e">
        <f>+Tabla4[[#This Row],[Comisión Calculada]]*Tabla4[[#This Row],[Total]]</f>
        <v>#N/A</v>
      </c>
    </row>
    <row r="6348" spans="1:22" hidden="1" x14ac:dyDescent="0.25">
      <c r="A6348" s="100">
        <v>45945</v>
      </c>
      <c r="B6348" t="str">
        <f t="shared" si="324"/>
        <v>October</v>
      </c>
      <c r="C6348" s="46" t="s">
        <v>280</v>
      </c>
      <c r="F6348" s="366" t="s">
        <v>3241</v>
      </c>
      <c r="G6348" s="46" t="s">
        <v>208</v>
      </c>
      <c r="H6348" s="46">
        <v>1</v>
      </c>
      <c r="I6348" s="51">
        <v>189.75</v>
      </c>
      <c r="J6348" s="281">
        <f>++Tabla4[[#This Row],[Precio Bruto]]*1.16</f>
        <v>220.10999999999999</v>
      </c>
      <c r="K6348" s="281">
        <f>+Tabla4[[#This Row],[Precio Unitario Neto]]*Tabla4[[#Headers],[20.85%]]</f>
        <v>45.892934999999994</v>
      </c>
      <c r="L6348" s="282">
        <f>++Tabla4[[#This Row],[Precio Unitario Neto]]-Tabla4[[#This Row],[20.85%]]</f>
        <v>174.21706499999999</v>
      </c>
      <c r="M6348" s="282" t="e">
        <f>(INDEX(Tabla6[#All],MATCH(Tabla4[[#This Row],[Producto]],Tabla6[[#All],[PRODUCTO]],0),MATCH(Tabla4[[#This Row],[Mes]],Tabla6[#Headers],0)))*(1+Catalogos!$L$2)</f>
        <v>#N/A</v>
      </c>
      <c r="N6348" s="283" t="e">
        <f>+(Tabla4[[#This Row],[Precio Descontado]]-Tabla4[[#This Row],[Precio Base]])*Tabla4[[#This Row],[Cantidad]]</f>
        <v>#N/A</v>
      </c>
      <c r="O6348" s="284" t="e">
        <f>++Tabla4[[#This Row],[Utilidad Total]]/Tabla4[[#This Row],[Total]]</f>
        <v>#N/A</v>
      </c>
      <c r="P6348" s="282">
        <f>++Tabla4[[#This Row],[Precio Descontado]]*Tabla4[[#This Row],[Cantidad]]</f>
        <v>174.21706499999999</v>
      </c>
      <c r="Q6348" s="282" t="e">
        <f>(INDEX(Tabla6[#All],MATCH(Tabla4[[#This Row],[Producto]],Tabla6[[#All],[PRODUCTO]],0),MATCH(Tabla4[[#This Row],[Mes]],Tabla6[#Headers],0)))</f>
        <v>#N/A</v>
      </c>
      <c r="R6348" s="282" t="e">
        <f>++Tabla4[[#This Row],[Precio Unitario Neto]]-Tabla4[[#This Row],[20.85%]]-Tabla4[[#This Row],[Costo]]</f>
        <v>#N/A</v>
      </c>
      <c r="S6348" s="282" t="e">
        <f>++Tabla4[[#This Row],[U. Bruta Uni]]*Tabla4[[#This Row],[Cantidad]]</f>
        <v>#N/A</v>
      </c>
      <c r="T6348" s="369" t="str">
        <f>VLOOKUP(Tabla4[[#This Row],[Producto]],Tabla6[#All],14,FALSE)</f>
        <v>Termico Solar</v>
      </c>
      <c r="U6348" s="284" t="e">
        <f>(IF(Tabla4[[#This Row],[Familia]]="termico solar",Tabla4[[#This Row],[Utilidad Total]]*6%,Tabla4[[#This Row],[Utilidad Total]]*11.5%))/Tabla4[[#This Row],[Total]]</f>
        <v>#N/A</v>
      </c>
      <c r="V6348" s="282" t="e">
        <f>+Tabla4[[#This Row],[Comisión Calculada]]*Tabla4[[#This Row],[Total]]</f>
        <v>#N/A</v>
      </c>
    </row>
    <row r="6349" spans="1:22" hidden="1" x14ac:dyDescent="0.25">
      <c r="A6349" s="100">
        <v>45945</v>
      </c>
      <c r="B6349" t="str">
        <f>TEXT(A6349, "mmmm")</f>
        <v>October</v>
      </c>
      <c r="C6349" s="46" t="s">
        <v>280</v>
      </c>
      <c r="F6349" s="366" t="s">
        <v>3242</v>
      </c>
      <c r="G6349" s="46" t="s">
        <v>17</v>
      </c>
      <c r="H6349" s="46">
        <v>1</v>
      </c>
      <c r="I6349" s="51">
        <v>4622.28</v>
      </c>
      <c r="J6349" s="281">
        <f>++Tabla4[[#This Row],[Precio Bruto]]*1.16</f>
        <v>5361.8447999999989</v>
      </c>
      <c r="K6349" s="281">
        <f>+Tabla4[[#This Row],[Precio Unitario Neto]]*Tabla4[[#Headers],[20.85%]]</f>
        <v>1117.9446407999997</v>
      </c>
      <c r="L6349" s="282">
        <f>++Tabla4[[#This Row],[Precio Unitario Neto]]-Tabla4[[#This Row],[20.85%]]</f>
        <v>4243.9001591999995</v>
      </c>
      <c r="M6349" s="282" t="e">
        <f>(INDEX(Tabla6[#All],MATCH(Tabla4[[#This Row],[Producto]],Tabla6[[#All],[PRODUCTO]],0),MATCH(Tabla4[[#This Row],[Mes]],Tabla6[#Headers],0)))*(1+Catalogos!$L$2)</f>
        <v>#N/A</v>
      </c>
      <c r="N6349" s="283" t="e">
        <f>+(Tabla4[[#This Row],[Precio Descontado]]-Tabla4[[#This Row],[Precio Base]])*Tabla4[[#This Row],[Cantidad]]</f>
        <v>#N/A</v>
      </c>
      <c r="O6349" s="284" t="e">
        <f>++Tabla4[[#This Row],[Utilidad Total]]/Tabla4[[#This Row],[Total]]</f>
        <v>#N/A</v>
      </c>
      <c r="P6349" s="282">
        <f>++Tabla4[[#This Row],[Precio Descontado]]*Tabla4[[#This Row],[Cantidad]]</f>
        <v>4243.9001591999995</v>
      </c>
      <c r="Q6349" s="282" t="e">
        <f>(INDEX(Tabla6[#All],MATCH(Tabla4[[#This Row],[Producto]],Tabla6[[#All],[PRODUCTO]],0),MATCH(Tabla4[[#This Row],[Mes]],Tabla6[#Headers],0)))</f>
        <v>#N/A</v>
      </c>
      <c r="R6349" s="282" t="e">
        <f>++Tabla4[[#This Row],[Precio Unitario Neto]]-Tabla4[[#This Row],[20.85%]]-Tabla4[[#This Row],[Costo]]</f>
        <v>#N/A</v>
      </c>
      <c r="S6349" s="282" t="e">
        <f>++Tabla4[[#This Row],[U. Bruta Uni]]*Tabla4[[#This Row],[Cantidad]]</f>
        <v>#N/A</v>
      </c>
      <c r="T6349" s="369" t="str">
        <f>VLOOKUP(Tabla4[[#This Row],[Producto]],Tabla6[#All],14,FALSE)</f>
        <v>Termico Solar</v>
      </c>
      <c r="U6349" s="284" t="e">
        <f>(IF(Tabla4[[#This Row],[Familia]]="termico solar",Tabla4[[#This Row],[Utilidad Total]]*6%,Tabla4[[#This Row],[Utilidad Total]]*11.5%))/Tabla4[[#This Row],[Total]]</f>
        <v>#N/A</v>
      </c>
      <c r="V6349" s="282" t="e">
        <f>+Tabla4[[#This Row],[Comisión Calculada]]*Tabla4[[#This Row],[Total]]</f>
        <v>#N/A</v>
      </c>
    </row>
    <row r="6350" spans="1:22" hidden="1" x14ac:dyDescent="0.25">
      <c r="A6350" s="100">
        <v>45945</v>
      </c>
      <c r="B6350" t="str">
        <f>TEXT(A6350, "mmmm")</f>
        <v>October</v>
      </c>
      <c r="C6350" s="46" t="s">
        <v>280</v>
      </c>
      <c r="F6350" s="366" t="s">
        <v>3243</v>
      </c>
      <c r="G6350" s="46" t="s">
        <v>17</v>
      </c>
      <c r="H6350" s="46">
        <v>1</v>
      </c>
      <c r="I6350" s="51">
        <v>4622.28</v>
      </c>
      <c r="J6350" s="281">
        <f>++Tabla4[[#This Row],[Precio Bruto]]*1.16</f>
        <v>5361.8447999999989</v>
      </c>
      <c r="K6350" s="281">
        <f>+Tabla4[[#This Row],[Precio Unitario Neto]]*Tabla4[[#Headers],[20.85%]]</f>
        <v>1117.9446407999997</v>
      </c>
      <c r="L6350" s="282">
        <f>++Tabla4[[#This Row],[Precio Unitario Neto]]-Tabla4[[#This Row],[20.85%]]</f>
        <v>4243.9001591999995</v>
      </c>
      <c r="M6350" s="282" t="e">
        <f>(INDEX(Tabla6[#All],MATCH(Tabla4[[#This Row],[Producto]],Tabla6[[#All],[PRODUCTO]],0),MATCH(Tabla4[[#This Row],[Mes]],Tabla6[#Headers],0)))*(1+Catalogos!$L$2)</f>
        <v>#N/A</v>
      </c>
      <c r="N6350" s="283" t="e">
        <f>+(Tabla4[[#This Row],[Precio Descontado]]-Tabla4[[#This Row],[Precio Base]])*Tabla4[[#This Row],[Cantidad]]</f>
        <v>#N/A</v>
      </c>
      <c r="O6350" s="284" t="e">
        <f>++Tabla4[[#This Row],[Utilidad Total]]/Tabla4[[#This Row],[Total]]</f>
        <v>#N/A</v>
      </c>
      <c r="P6350" s="282">
        <f>++Tabla4[[#This Row],[Precio Descontado]]*Tabla4[[#This Row],[Cantidad]]</f>
        <v>4243.9001591999995</v>
      </c>
      <c r="Q6350" s="282" t="e">
        <f>(INDEX(Tabla6[#All],MATCH(Tabla4[[#This Row],[Producto]],Tabla6[[#All],[PRODUCTO]],0),MATCH(Tabla4[[#This Row],[Mes]],Tabla6[#Headers],0)))</f>
        <v>#N/A</v>
      </c>
      <c r="R6350" s="282" t="e">
        <f>++Tabla4[[#This Row],[Precio Unitario Neto]]-Tabla4[[#This Row],[20.85%]]-Tabla4[[#This Row],[Costo]]</f>
        <v>#N/A</v>
      </c>
      <c r="S6350" s="282" t="e">
        <f>++Tabla4[[#This Row],[U. Bruta Uni]]*Tabla4[[#This Row],[Cantidad]]</f>
        <v>#N/A</v>
      </c>
      <c r="T6350" s="369" t="str">
        <f>VLOOKUP(Tabla4[[#This Row],[Producto]],Tabla6[#All],14,FALSE)</f>
        <v>Termico Solar</v>
      </c>
      <c r="U6350" s="284" t="e">
        <f>(IF(Tabla4[[#This Row],[Familia]]="termico solar",Tabla4[[#This Row],[Utilidad Total]]*6%,Tabla4[[#This Row],[Utilidad Total]]*11.5%))/Tabla4[[#This Row],[Total]]</f>
        <v>#N/A</v>
      </c>
      <c r="V6350" s="282" t="e">
        <f>+Tabla4[[#This Row],[Comisión Calculada]]*Tabla4[[#This Row],[Total]]</f>
        <v>#N/A</v>
      </c>
    </row>
    <row r="6351" spans="1:22" hidden="1" x14ac:dyDescent="0.25">
      <c r="A6351" s="100">
        <v>45945</v>
      </c>
      <c r="B6351" t="str">
        <f>TEXT(A6351, "mmmm")</f>
        <v>October</v>
      </c>
      <c r="C6351" s="46" t="s">
        <v>280</v>
      </c>
      <c r="F6351" s="366" t="s">
        <v>3244</v>
      </c>
      <c r="G6351" s="46" t="s">
        <v>17</v>
      </c>
      <c r="H6351" s="46">
        <v>1</v>
      </c>
      <c r="I6351" s="51">
        <v>4622.28</v>
      </c>
      <c r="J6351" s="281">
        <f>++Tabla4[[#This Row],[Precio Bruto]]*1.16</f>
        <v>5361.8447999999989</v>
      </c>
      <c r="K6351" s="281">
        <f>+Tabla4[[#This Row],[Precio Unitario Neto]]*Tabla4[[#Headers],[20.85%]]</f>
        <v>1117.9446407999997</v>
      </c>
      <c r="L6351" s="282">
        <f>++Tabla4[[#This Row],[Precio Unitario Neto]]-Tabla4[[#This Row],[20.85%]]</f>
        <v>4243.9001591999995</v>
      </c>
      <c r="M6351" s="282" t="e">
        <f>(INDEX(Tabla6[#All],MATCH(Tabla4[[#This Row],[Producto]],Tabla6[[#All],[PRODUCTO]],0),MATCH(Tabla4[[#This Row],[Mes]],Tabla6[#Headers],0)))*(1+Catalogos!$L$2)</f>
        <v>#N/A</v>
      </c>
      <c r="N6351" s="283" t="e">
        <f>+(Tabla4[[#This Row],[Precio Descontado]]-Tabla4[[#This Row],[Precio Base]])*Tabla4[[#This Row],[Cantidad]]</f>
        <v>#N/A</v>
      </c>
      <c r="O6351" s="284" t="e">
        <f>++Tabla4[[#This Row],[Utilidad Total]]/Tabla4[[#This Row],[Total]]</f>
        <v>#N/A</v>
      </c>
      <c r="P6351" s="282">
        <f>++Tabla4[[#This Row],[Precio Descontado]]*Tabla4[[#This Row],[Cantidad]]</f>
        <v>4243.9001591999995</v>
      </c>
      <c r="Q6351" s="282" t="e">
        <f>(INDEX(Tabla6[#All],MATCH(Tabla4[[#This Row],[Producto]],Tabla6[[#All],[PRODUCTO]],0),MATCH(Tabla4[[#This Row],[Mes]],Tabla6[#Headers],0)))</f>
        <v>#N/A</v>
      </c>
      <c r="R6351" s="282" t="e">
        <f>++Tabla4[[#This Row],[Precio Unitario Neto]]-Tabla4[[#This Row],[20.85%]]-Tabla4[[#This Row],[Costo]]</f>
        <v>#N/A</v>
      </c>
      <c r="S6351" s="282" t="e">
        <f>++Tabla4[[#This Row],[U. Bruta Uni]]*Tabla4[[#This Row],[Cantidad]]</f>
        <v>#N/A</v>
      </c>
      <c r="T6351" s="369" t="str">
        <f>VLOOKUP(Tabla4[[#This Row],[Producto]],Tabla6[#All],14,FALSE)</f>
        <v>Termico Solar</v>
      </c>
      <c r="U6351" s="284" t="e">
        <f>(IF(Tabla4[[#This Row],[Familia]]="termico solar",Tabla4[[#This Row],[Utilidad Total]]*6%,Tabla4[[#This Row],[Utilidad Total]]*11.5%))/Tabla4[[#This Row],[Total]]</f>
        <v>#N/A</v>
      </c>
      <c r="V6351" s="282" t="e">
        <f>+Tabla4[[#This Row],[Comisión Calculada]]*Tabla4[[#This Row],[Total]]</f>
        <v>#N/A</v>
      </c>
    </row>
    <row r="6352" spans="1:22" hidden="1" x14ac:dyDescent="0.25">
      <c r="A6352" s="100">
        <v>45945</v>
      </c>
      <c r="B6352" t="str">
        <f t="shared" ref="B6352:B6353" si="325">TEXT(A6352, "mmmm")</f>
        <v>October</v>
      </c>
      <c r="C6352" s="46" t="s">
        <v>280</v>
      </c>
      <c r="F6352" s="366" t="s">
        <v>3245</v>
      </c>
      <c r="G6352" s="46" t="s">
        <v>16</v>
      </c>
      <c r="H6352" s="46">
        <v>1</v>
      </c>
      <c r="I6352" s="51">
        <v>4103.8500000000004</v>
      </c>
      <c r="J6352" s="281">
        <f>++Tabla4[[#This Row],[Precio Bruto]]*1.16</f>
        <v>4760.4660000000003</v>
      </c>
      <c r="K6352" s="281">
        <f>+Tabla4[[#This Row],[Precio Unitario Neto]]*Tabla4[[#Headers],[20.85%]]</f>
        <v>992.55716100000006</v>
      </c>
      <c r="L6352" s="282">
        <f>++Tabla4[[#This Row],[Precio Unitario Neto]]-Tabla4[[#This Row],[20.85%]]</f>
        <v>3767.9088390000002</v>
      </c>
      <c r="M6352" s="282" t="e">
        <f>(INDEX(Tabla6[#All],MATCH(Tabla4[[#This Row],[Producto]],Tabla6[[#All],[PRODUCTO]],0),MATCH(Tabla4[[#This Row],[Mes]],Tabla6[#Headers],0)))*(1+Catalogos!$L$2)</f>
        <v>#N/A</v>
      </c>
      <c r="N6352" s="283" t="e">
        <f>+(Tabla4[[#This Row],[Precio Descontado]]-Tabla4[[#This Row],[Precio Base]])*Tabla4[[#This Row],[Cantidad]]</f>
        <v>#N/A</v>
      </c>
      <c r="O6352" s="284" t="e">
        <f>++Tabla4[[#This Row],[Utilidad Total]]/Tabla4[[#This Row],[Total]]</f>
        <v>#N/A</v>
      </c>
      <c r="P6352" s="282">
        <f>++Tabla4[[#This Row],[Precio Descontado]]*Tabla4[[#This Row],[Cantidad]]</f>
        <v>3767.9088390000002</v>
      </c>
      <c r="Q6352" s="282" t="e">
        <f>(INDEX(Tabla6[#All],MATCH(Tabla4[[#This Row],[Producto]],Tabla6[[#All],[PRODUCTO]],0),MATCH(Tabla4[[#This Row],[Mes]],Tabla6[#Headers],0)))</f>
        <v>#N/A</v>
      </c>
      <c r="R6352" s="282" t="e">
        <f>++Tabla4[[#This Row],[Precio Unitario Neto]]-Tabla4[[#This Row],[20.85%]]-Tabla4[[#This Row],[Costo]]</f>
        <v>#N/A</v>
      </c>
      <c r="S6352" s="282" t="e">
        <f>++Tabla4[[#This Row],[U. Bruta Uni]]*Tabla4[[#This Row],[Cantidad]]</f>
        <v>#N/A</v>
      </c>
      <c r="T6352" s="369" t="str">
        <f>VLOOKUP(Tabla4[[#This Row],[Producto]],Tabla6[#All],14,FALSE)</f>
        <v>Termico Solar</v>
      </c>
      <c r="U6352" s="284" t="e">
        <f>(IF(Tabla4[[#This Row],[Familia]]="termico solar",Tabla4[[#This Row],[Utilidad Total]]*6%,Tabla4[[#This Row],[Utilidad Total]]*11.5%))/Tabla4[[#This Row],[Total]]</f>
        <v>#N/A</v>
      </c>
      <c r="V6352" s="282" t="e">
        <f>+Tabla4[[#This Row],[Comisión Calculada]]*Tabla4[[#This Row],[Total]]</f>
        <v>#N/A</v>
      </c>
    </row>
    <row r="6353" spans="1:22" hidden="1" x14ac:dyDescent="0.25">
      <c r="A6353" s="100">
        <v>45945</v>
      </c>
      <c r="B6353" t="str">
        <f t="shared" si="325"/>
        <v>October</v>
      </c>
      <c r="C6353" s="46" t="s">
        <v>280</v>
      </c>
      <c r="F6353" s="366" t="s">
        <v>3245</v>
      </c>
      <c r="G6353" s="46" t="s">
        <v>208</v>
      </c>
      <c r="H6353" s="46">
        <v>4</v>
      </c>
      <c r="I6353" s="51">
        <v>189.75</v>
      </c>
      <c r="J6353" s="281">
        <f>++Tabla4[[#This Row],[Precio Bruto]]*1.16</f>
        <v>220.10999999999999</v>
      </c>
      <c r="K6353" s="281">
        <f>+Tabla4[[#This Row],[Precio Unitario Neto]]*Tabla4[[#Headers],[20.85%]]</f>
        <v>45.892934999999994</v>
      </c>
      <c r="L6353" s="282">
        <f>++Tabla4[[#This Row],[Precio Unitario Neto]]-Tabla4[[#This Row],[20.85%]]</f>
        <v>174.21706499999999</v>
      </c>
      <c r="M6353" s="282" t="e">
        <f>(INDEX(Tabla6[#All],MATCH(Tabla4[[#This Row],[Producto]],Tabla6[[#All],[PRODUCTO]],0),MATCH(Tabla4[[#This Row],[Mes]],Tabla6[#Headers],0)))*(1+Catalogos!$L$2)</f>
        <v>#N/A</v>
      </c>
      <c r="N6353" s="283" t="e">
        <f>+(Tabla4[[#This Row],[Precio Descontado]]-Tabla4[[#This Row],[Precio Base]])*Tabla4[[#This Row],[Cantidad]]</f>
        <v>#N/A</v>
      </c>
      <c r="O6353" s="284" t="e">
        <f>++Tabla4[[#This Row],[Utilidad Total]]/Tabla4[[#This Row],[Total]]</f>
        <v>#N/A</v>
      </c>
      <c r="P6353" s="282">
        <f>++Tabla4[[#This Row],[Precio Descontado]]*Tabla4[[#This Row],[Cantidad]]</f>
        <v>696.86825999999996</v>
      </c>
      <c r="Q6353" s="282" t="e">
        <f>(INDEX(Tabla6[#All],MATCH(Tabla4[[#This Row],[Producto]],Tabla6[[#All],[PRODUCTO]],0),MATCH(Tabla4[[#This Row],[Mes]],Tabla6[#Headers],0)))</f>
        <v>#N/A</v>
      </c>
      <c r="R6353" s="282" t="e">
        <f>++Tabla4[[#This Row],[Precio Unitario Neto]]-Tabla4[[#This Row],[20.85%]]-Tabla4[[#This Row],[Costo]]</f>
        <v>#N/A</v>
      </c>
      <c r="S6353" s="282" t="e">
        <f>++Tabla4[[#This Row],[U. Bruta Uni]]*Tabla4[[#This Row],[Cantidad]]</f>
        <v>#N/A</v>
      </c>
      <c r="T6353" s="369" t="str">
        <f>VLOOKUP(Tabla4[[#This Row],[Producto]],Tabla6[#All],14,FALSE)</f>
        <v>Termico Solar</v>
      </c>
      <c r="U6353" s="284" t="e">
        <f>(IF(Tabla4[[#This Row],[Familia]]="termico solar",Tabla4[[#This Row],[Utilidad Total]]*6%,Tabla4[[#This Row],[Utilidad Total]]*11.5%))/Tabla4[[#This Row],[Total]]</f>
        <v>#N/A</v>
      </c>
      <c r="V6353" s="282" t="e">
        <f>+Tabla4[[#This Row],[Comisión Calculada]]*Tabla4[[#This Row],[Total]]</f>
        <v>#N/A</v>
      </c>
    </row>
    <row r="6354" spans="1:22" hidden="1" x14ac:dyDescent="0.25">
      <c r="A6354" s="100">
        <v>45945</v>
      </c>
      <c r="B6354" t="str">
        <f t="shared" ref="B6354:B6356" si="326">TEXT(A6354, "mmmm")</f>
        <v>October</v>
      </c>
      <c r="C6354" s="46" t="s">
        <v>280</v>
      </c>
      <c r="F6354" s="366" t="s">
        <v>3246</v>
      </c>
      <c r="G6354" s="46" t="s">
        <v>17</v>
      </c>
      <c r="H6354" s="46">
        <v>1</v>
      </c>
      <c r="I6354" s="51">
        <v>4622.28</v>
      </c>
      <c r="J6354" s="281">
        <f>++Tabla4[[#This Row],[Precio Bruto]]*1.16</f>
        <v>5361.8447999999989</v>
      </c>
      <c r="K6354" s="281">
        <f>+Tabla4[[#This Row],[Precio Unitario Neto]]*Tabla4[[#Headers],[20.85%]]</f>
        <v>1117.9446407999997</v>
      </c>
      <c r="L6354" s="282">
        <f>++Tabla4[[#This Row],[Precio Unitario Neto]]-Tabla4[[#This Row],[20.85%]]</f>
        <v>4243.9001591999995</v>
      </c>
      <c r="M6354" s="282" t="e">
        <f>(INDEX(Tabla6[#All],MATCH(Tabla4[[#This Row],[Producto]],Tabla6[[#All],[PRODUCTO]],0),MATCH(Tabla4[[#This Row],[Mes]],Tabla6[#Headers],0)))*(1+Catalogos!$L$2)</f>
        <v>#N/A</v>
      </c>
      <c r="N6354" s="283" t="e">
        <f>+(Tabla4[[#This Row],[Precio Descontado]]-Tabla4[[#This Row],[Precio Base]])*Tabla4[[#This Row],[Cantidad]]</f>
        <v>#N/A</v>
      </c>
      <c r="O6354" s="284" t="e">
        <f>++Tabla4[[#This Row],[Utilidad Total]]/Tabla4[[#This Row],[Total]]</f>
        <v>#N/A</v>
      </c>
      <c r="P6354" s="282">
        <f>++Tabla4[[#This Row],[Precio Descontado]]*Tabla4[[#This Row],[Cantidad]]</f>
        <v>4243.9001591999995</v>
      </c>
      <c r="Q6354" s="282" t="e">
        <f>(INDEX(Tabla6[#All],MATCH(Tabla4[[#This Row],[Producto]],Tabla6[[#All],[PRODUCTO]],0),MATCH(Tabla4[[#This Row],[Mes]],Tabla6[#Headers],0)))</f>
        <v>#N/A</v>
      </c>
      <c r="R6354" s="282" t="e">
        <f>++Tabla4[[#This Row],[Precio Unitario Neto]]-Tabla4[[#This Row],[20.85%]]-Tabla4[[#This Row],[Costo]]</f>
        <v>#N/A</v>
      </c>
      <c r="S6354" s="282" t="e">
        <f>++Tabla4[[#This Row],[U. Bruta Uni]]*Tabla4[[#This Row],[Cantidad]]</f>
        <v>#N/A</v>
      </c>
      <c r="T6354" s="369" t="str">
        <f>VLOOKUP(Tabla4[[#This Row],[Producto]],Tabla6[#All],14,FALSE)</f>
        <v>Termico Solar</v>
      </c>
      <c r="U6354" s="284" t="e">
        <f>(IF(Tabla4[[#This Row],[Familia]]="termico solar",Tabla4[[#This Row],[Utilidad Total]]*6%,Tabla4[[#This Row],[Utilidad Total]]*11.5%))/Tabla4[[#This Row],[Total]]</f>
        <v>#N/A</v>
      </c>
      <c r="V6354" s="282" t="e">
        <f>+Tabla4[[#This Row],[Comisión Calculada]]*Tabla4[[#This Row],[Total]]</f>
        <v>#N/A</v>
      </c>
    </row>
    <row r="6355" spans="1:22" hidden="1" x14ac:dyDescent="0.25">
      <c r="A6355" s="100">
        <v>45945</v>
      </c>
      <c r="B6355" t="str">
        <f t="shared" si="326"/>
        <v>October</v>
      </c>
      <c r="C6355" s="46" t="s">
        <v>280</v>
      </c>
      <c r="F6355" s="366" t="s">
        <v>3246</v>
      </c>
      <c r="G6355" s="46" t="s">
        <v>566</v>
      </c>
      <c r="H6355" s="46">
        <v>1</v>
      </c>
      <c r="I6355" s="51">
        <v>2109.4499999999998</v>
      </c>
      <c r="J6355" s="281">
        <f>++Tabla4[[#This Row],[Precio Bruto]]*1.16</f>
        <v>2446.9619999999995</v>
      </c>
      <c r="K6355" s="281">
        <f>+Tabla4[[#This Row],[Precio Unitario Neto]]*Tabla4[[#Headers],[20.85%]]</f>
        <v>510.19157699999988</v>
      </c>
      <c r="L6355" s="282">
        <f>++Tabla4[[#This Row],[Precio Unitario Neto]]-Tabla4[[#This Row],[20.85%]]</f>
        <v>1936.7704229999997</v>
      </c>
      <c r="M6355" s="282" t="e">
        <f>(INDEX(Tabla6[#All],MATCH(Tabla4[[#This Row],[Producto]],Tabla6[[#All],[PRODUCTO]],0),MATCH(Tabla4[[#This Row],[Mes]],Tabla6[#Headers],0)))*(1+Catalogos!$L$2)</f>
        <v>#N/A</v>
      </c>
      <c r="N6355" s="283" t="e">
        <f>+(Tabla4[[#This Row],[Precio Descontado]]-Tabla4[[#This Row],[Precio Base]])*Tabla4[[#This Row],[Cantidad]]</f>
        <v>#N/A</v>
      </c>
      <c r="O6355" s="284" t="e">
        <f>++Tabla4[[#This Row],[Utilidad Total]]/Tabla4[[#This Row],[Total]]</f>
        <v>#N/A</v>
      </c>
      <c r="P6355" s="282">
        <f>++Tabla4[[#This Row],[Precio Descontado]]*Tabla4[[#This Row],[Cantidad]]</f>
        <v>1936.7704229999997</v>
      </c>
      <c r="Q6355" s="282" t="e">
        <f>(INDEX(Tabla6[#All],MATCH(Tabla4[[#This Row],[Producto]],Tabla6[[#All],[PRODUCTO]],0),MATCH(Tabla4[[#This Row],[Mes]],Tabla6[#Headers],0)))</f>
        <v>#N/A</v>
      </c>
      <c r="R6355" s="282" t="e">
        <f>++Tabla4[[#This Row],[Precio Unitario Neto]]-Tabla4[[#This Row],[20.85%]]-Tabla4[[#This Row],[Costo]]</f>
        <v>#N/A</v>
      </c>
      <c r="S6355" s="282" t="e">
        <f>++Tabla4[[#This Row],[U. Bruta Uni]]*Tabla4[[#This Row],[Cantidad]]</f>
        <v>#N/A</v>
      </c>
      <c r="T6355" s="369" t="str">
        <f>VLOOKUP(Tabla4[[#This Row],[Producto]],Tabla6[#All],14,FALSE)</f>
        <v>Termico Solar</v>
      </c>
      <c r="U6355" s="284" t="e">
        <f>(IF(Tabla4[[#This Row],[Familia]]="termico solar",Tabla4[[#This Row],[Utilidad Total]]*6%,Tabla4[[#This Row],[Utilidad Total]]*11.5%))/Tabla4[[#This Row],[Total]]</f>
        <v>#N/A</v>
      </c>
      <c r="V6355" s="282" t="e">
        <f>+Tabla4[[#This Row],[Comisión Calculada]]*Tabla4[[#This Row],[Total]]</f>
        <v>#N/A</v>
      </c>
    </row>
    <row r="6356" spans="1:22" hidden="1" x14ac:dyDescent="0.25">
      <c r="A6356" s="100">
        <v>45945</v>
      </c>
      <c r="B6356" t="str">
        <f t="shared" si="326"/>
        <v>October</v>
      </c>
      <c r="C6356" s="46" t="s">
        <v>280</v>
      </c>
      <c r="F6356" s="366" t="s">
        <v>3246</v>
      </c>
      <c r="G6356" s="46" t="s">
        <v>208</v>
      </c>
      <c r="H6356" s="46">
        <v>2</v>
      </c>
      <c r="I6356" s="51">
        <v>189.75</v>
      </c>
      <c r="J6356" s="281">
        <f>++Tabla4[[#This Row],[Precio Bruto]]*1.16</f>
        <v>220.10999999999999</v>
      </c>
      <c r="K6356" s="281">
        <f>+Tabla4[[#This Row],[Precio Unitario Neto]]*Tabla4[[#Headers],[20.85%]]</f>
        <v>45.892934999999994</v>
      </c>
      <c r="L6356" s="282">
        <f>++Tabla4[[#This Row],[Precio Unitario Neto]]-Tabla4[[#This Row],[20.85%]]</f>
        <v>174.21706499999999</v>
      </c>
      <c r="M6356" s="282" t="e">
        <f>(INDEX(Tabla6[#All],MATCH(Tabla4[[#This Row],[Producto]],Tabla6[[#All],[PRODUCTO]],0),MATCH(Tabla4[[#This Row],[Mes]],Tabla6[#Headers],0)))*(1+Catalogos!$L$2)</f>
        <v>#N/A</v>
      </c>
      <c r="N6356" s="283" t="e">
        <f>+(Tabla4[[#This Row],[Precio Descontado]]-Tabla4[[#This Row],[Precio Base]])*Tabla4[[#This Row],[Cantidad]]</f>
        <v>#N/A</v>
      </c>
      <c r="O6356" s="284" t="e">
        <f>++Tabla4[[#This Row],[Utilidad Total]]/Tabla4[[#This Row],[Total]]</f>
        <v>#N/A</v>
      </c>
      <c r="P6356" s="282">
        <f>++Tabla4[[#This Row],[Precio Descontado]]*Tabla4[[#This Row],[Cantidad]]</f>
        <v>348.43412999999998</v>
      </c>
      <c r="Q6356" s="282" t="e">
        <f>(INDEX(Tabla6[#All],MATCH(Tabla4[[#This Row],[Producto]],Tabla6[[#All],[PRODUCTO]],0),MATCH(Tabla4[[#This Row],[Mes]],Tabla6[#Headers],0)))</f>
        <v>#N/A</v>
      </c>
      <c r="R6356" s="282" t="e">
        <f>++Tabla4[[#This Row],[Precio Unitario Neto]]-Tabla4[[#This Row],[20.85%]]-Tabla4[[#This Row],[Costo]]</f>
        <v>#N/A</v>
      </c>
      <c r="S6356" s="282" t="e">
        <f>++Tabla4[[#This Row],[U. Bruta Uni]]*Tabla4[[#This Row],[Cantidad]]</f>
        <v>#N/A</v>
      </c>
      <c r="T6356" s="369" t="str">
        <f>VLOOKUP(Tabla4[[#This Row],[Producto]],Tabla6[#All],14,FALSE)</f>
        <v>Termico Solar</v>
      </c>
      <c r="U6356" s="284" t="e">
        <f>(IF(Tabla4[[#This Row],[Familia]]="termico solar",Tabla4[[#This Row],[Utilidad Total]]*6%,Tabla4[[#This Row],[Utilidad Total]]*11.5%))/Tabla4[[#This Row],[Total]]</f>
        <v>#N/A</v>
      </c>
      <c r="V6356" s="282" t="e">
        <f>+Tabla4[[#This Row],[Comisión Calculada]]*Tabla4[[#This Row],[Total]]</f>
        <v>#N/A</v>
      </c>
    </row>
    <row r="6357" spans="1:22" hidden="1" x14ac:dyDescent="0.25">
      <c r="A6357" s="100">
        <v>45945</v>
      </c>
      <c r="B6357" t="str">
        <f t="shared" ref="B6357:B6358" si="327">TEXT(A6357, "mmmm")</f>
        <v>October</v>
      </c>
      <c r="C6357" s="46" t="s">
        <v>280</v>
      </c>
      <c r="F6357" s="366" t="s">
        <v>3247</v>
      </c>
      <c r="G6357" s="46" t="s">
        <v>18</v>
      </c>
      <c r="H6357" s="46">
        <v>1</v>
      </c>
      <c r="I6357" s="51">
        <v>5367.65</v>
      </c>
      <c r="J6357" s="281">
        <f>++Tabla4[[#This Row],[Precio Bruto]]*1.16</f>
        <v>6226.4739999999993</v>
      </c>
      <c r="K6357" s="281">
        <f>+Tabla4[[#This Row],[Precio Unitario Neto]]*Tabla4[[#Headers],[20.85%]]</f>
        <v>1298.2198289999999</v>
      </c>
      <c r="L6357" s="282">
        <f>++Tabla4[[#This Row],[Precio Unitario Neto]]-Tabla4[[#This Row],[20.85%]]</f>
        <v>4928.2541709999996</v>
      </c>
      <c r="M6357" s="282" t="e">
        <f>(INDEX(Tabla6[#All],MATCH(Tabla4[[#This Row],[Producto]],Tabla6[[#All],[PRODUCTO]],0),MATCH(Tabla4[[#This Row],[Mes]],Tabla6[#Headers],0)))*(1+Catalogos!$L$2)</f>
        <v>#N/A</v>
      </c>
      <c r="N6357" s="283" t="e">
        <f>+(Tabla4[[#This Row],[Precio Descontado]]-Tabla4[[#This Row],[Precio Base]])*Tabla4[[#This Row],[Cantidad]]</f>
        <v>#N/A</v>
      </c>
      <c r="O6357" s="284" t="e">
        <f>++Tabla4[[#This Row],[Utilidad Total]]/Tabla4[[#This Row],[Total]]</f>
        <v>#N/A</v>
      </c>
      <c r="P6357" s="282">
        <f>++Tabla4[[#This Row],[Precio Descontado]]*Tabla4[[#This Row],[Cantidad]]</f>
        <v>4928.2541709999996</v>
      </c>
      <c r="Q6357" s="282" t="e">
        <f>(INDEX(Tabla6[#All],MATCH(Tabla4[[#This Row],[Producto]],Tabla6[[#All],[PRODUCTO]],0),MATCH(Tabla4[[#This Row],[Mes]],Tabla6[#Headers],0)))</f>
        <v>#N/A</v>
      </c>
      <c r="R6357" s="282" t="e">
        <f>++Tabla4[[#This Row],[Precio Unitario Neto]]-Tabla4[[#This Row],[20.85%]]-Tabla4[[#This Row],[Costo]]</f>
        <v>#N/A</v>
      </c>
      <c r="S6357" s="282" t="e">
        <f>++Tabla4[[#This Row],[U. Bruta Uni]]*Tabla4[[#This Row],[Cantidad]]</f>
        <v>#N/A</v>
      </c>
      <c r="T6357" s="369" t="str">
        <f>VLOOKUP(Tabla4[[#This Row],[Producto]],Tabla6[#All],14,FALSE)</f>
        <v>Termico Solar</v>
      </c>
      <c r="U6357" s="284" t="e">
        <f>(IF(Tabla4[[#This Row],[Familia]]="termico solar",Tabla4[[#This Row],[Utilidad Total]]*6%,Tabla4[[#This Row],[Utilidad Total]]*11.5%))/Tabla4[[#This Row],[Total]]</f>
        <v>#N/A</v>
      </c>
      <c r="V6357" s="282" t="e">
        <f>+Tabla4[[#This Row],[Comisión Calculada]]*Tabla4[[#This Row],[Total]]</f>
        <v>#N/A</v>
      </c>
    </row>
    <row r="6358" spans="1:22" hidden="1" x14ac:dyDescent="0.25">
      <c r="A6358" s="100">
        <v>45945</v>
      </c>
      <c r="B6358" t="str">
        <f t="shared" si="327"/>
        <v>October</v>
      </c>
      <c r="C6358" s="46" t="s">
        <v>280</v>
      </c>
      <c r="F6358" s="366" t="s">
        <v>3247</v>
      </c>
      <c r="G6358" s="46" t="s">
        <v>16</v>
      </c>
      <c r="H6358" s="46">
        <v>1</v>
      </c>
      <c r="I6358" s="51">
        <v>4103.8500000000004</v>
      </c>
      <c r="J6358" s="281">
        <f>++Tabla4[[#This Row],[Precio Bruto]]*1.16</f>
        <v>4760.4660000000003</v>
      </c>
      <c r="K6358" s="281">
        <f>+Tabla4[[#This Row],[Precio Unitario Neto]]*Tabla4[[#Headers],[20.85%]]</f>
        <v>992.55716100000006</v>
      </c>
      <c r="L6358" s="282">
        <f>++Tabla4[[#This Row],[Precio Unitario Neto]]-Tabla4[[#This Row],[20.85%]]</f>
        <v>3767.9088390000002</v>
      </c>
      <c r="M6358" s="282" t="e">
        <f>(INDEX(Tabla6[#All],MATCH(Tabla4[[#This Row],[Producto]],Tabla6[[#All],[PRODUCTO]],0),MATCH(Tabla4[[#This Row],[Mes]],Tabla6[#Headers],0)))*(1+Catalogos!$L$2)</f>
        <v>#N/A</v>
      </c>
      <c r="N6358" s="283" t="e">
        <f>+(Tabla4[[#This Row],[Precio Descontado]]-Tabla4[[#This Row],[Precio Base]])*Tabla4[[#This Row],[Cantidad]]</f>
        <v>#N/A</v>
      </c>
      <c r="O6358" s="284" t="e">
        <f>++Tabla4[[#This Row],[Utilidad Total]]/Tabla4[[#This Row],[Total]]</f>
        <v>#N/A</v>
      </c>
      <c r="P6358" s="282">
        <f>++Tabla4[[#This Row],[Precio Descontado]]*Tabla4[[#This Row],[Cantidad]]</f>
        <v>3767.9088390000002</v>
      </c>
      <c r="Q6358" s="282" t="e">
        <f>(INDEX(Tabla6[#All],MATCH(Tabla4[[#This Row],[Producto]],Tabla6[[#All],[PRODUCTO]],0),MATCH(Tabla4[[#This Row],[Mes]],Tabla6[#Headers],0)))</f>
        <v>#N/A</v>
      </c>
      <c r="R6358" s="282" t="e">
        <f>++Tabla4[[#This Row],[Precio Unitario Neto]]-Tabla4[[#This Row],[20.85%]]-Tabla4[[#This Row],[Costo]]</f>
        <v>#N/A</v>
      </c>
      <c r="S6358" s="282" t="e">
        <f>++Tabla4[[#This Row],[U. Bruta Uni]]*Tabla4[[#This Row],[Cantidad]]</f>
        <v>#N/A</v>
      </c>
      <c r="T6358" s="369" t="str">
        <f>VLOOKUP(Tabla4[[#This Row],[Producto]],Tabla6[#All],14,FALSE)</f>
        <v>Termico Solar</v>
      </c>
      <c r="U6358" s="284" t="e">
        <f>(IF(Tabla4[[#This Row],[Familia]]="termico solar",Tabla4[[#This Row],[Utilidad Total]]*6%,Tabla4[[#This Row],[Utilidad Total]]*11.5%))/Tabla4[[#This Row],[Total]]</f>
        <v>#N/A</v>
      </c>
      <c r="V6358" s="282" t="e">
        <f>+Tabla4[[#This Row],[Comisión Calculada]]*Tabla4[[#This Row],[Total]]</f>
        <v>#N/A</v>
      </c>
    </row>
    <row r="6359" spans="1:22" hidden="1" x14ac:dyDescent="0.25">
      <c r="A6359" s="100">
        <v>45945</v>
      </c>
      <c r="B6359" t="str">
        <f t="shared" ref="B6359" si="328">TEXT(A6359, "mmmm")</f>
        <v>October</v>
      </c>
      <c r="C6359" s="46" t="s">
        <v>280</v>
      </c>
      <c r="F6359" s="366" t="s">
        <v>3248</v>
      </c>
      <c r="G6359" s="46" t="s">
        <v>17</v>
      </c>
      <c r="H6359" s="46">
        <v>2</v>
      </c>
      <c r="I6359" s="51">
        <v>4622.28</v>
      </c>
      <c r="J6359" s="281">
        <f>++Tabla4[[#This Row],[Precio Bruto]]*1.16</f>
        <v>5361.8447999999989</v>
      </c>
      <c r="K6359" s="281">
        <f>+Tabla4[[#This Row],[Precio Unitario Neto]]*Tabla4[[#Headers],[20.85%]]</f>
        <v>1117.9446407999997</v>
      </c>
      <c r="L6359" s="282">
        <f>++Tabla4[[#This Row],[Precio Unitario Neto]]-Tabla4[[#This Row],[20.85%]]</f>
        <v>4243.9001591999995</v>
      </c>
      <c r="M6359" s="282" t="e">
        <f>(INDEX(Tabla6[#All],MATCH(Tabla4[[#This Row],[Producto]],Tabla6[[#All],[PRODUCTO]],0),MATCH(Tabla4[[#This Row],[Mes]],Tabla6[#Headers],0)))*(1+Catalogos!$L$2)</f>
        <v>#N/A</v>
      </c>
      <c r="N6359" s="283" t="e">
        <f>+(Tabla4[[#This Row],[Precio Descontado]]-Tabla4[[#This Row],[Precio Base]])*Tabla4[[#This Row],[Cantidad]]</f>
        <v>#N/A</v>
      </c>
      <c r="O6359" s="284" t="e">
        <f>++Tabla4[[#This Row],[Utilidad Total]]/Tabla4[[#This Row],[Total]]</f>
        <v>#N/A</v>
      </c>
      <c r="P6359" s="282">
        <f>++Tabla4[[#This Row],[Precio Descontado]]*Tabla4[[#This Row],[Cantidad]]</f>
        <v>8487.800318399999</v>
      </c>
      <c r="Q6359" s="282" t="e">
        <f>(INDEX(Tabla6[#All],MATCH(Tabla4[[#This Row],[Producto]],Tabla6[[#All],[PRODUCTO]],0),MATCH(Tabla4[[#This Row],[Mes]],Tabla6[#Headers],0)))</f>
        <v>#N/A</v>
      </c>
      <c r="R6359" s="282" t="e">
        <f>++Tabla4[[#This Row],[Precio Unitario Neto]]-Tabla4[[#This Row],[20.85%]]-Tabla4[[#This Row],[Costo]]</f>
        <v>#N/A</v>
      </c>
      <c r="S6359" s="282" t="e">
        <f>++Tabla4[[#This Row],[U. Bruta Uni]]*Tabla4[[#This Row],[Cantidad]]</f>
        <v>#N/A</v>
      </c>
      <c r="T6359" s="369" t="str">
        <f>VLOOKUP(Tabla4[[#This Row],[Producto]],Tabla6[#All],14,FALSE)</f>
        <v>Termico Solar</v>
      </c>
      <c r="U6359" s="284" t="e">
        <f>(IF(Tabla4[[#This Row],[Familia]]="termico solar",Tabla4[[#This Row],[Utilidad Total]]*6%,Tabla4[[#This Row],[Utilidad Total]]*11.5%))/Tabla4[[#This Row],[Total]]</f>
        <v>#N/A</v>
      </c>
      <c r="V6359" s="282" t="e">
        <f>+Tabla4[[#This Row],[Comisión Calculada]]*Tabla4[[#This Row],[Total]]</f>
        <v>#N/A</v>
      </c>
    </row>
    <row r="6360" spans="1:22" hidden="1" x14ac:dyDescent="0.25">
      <c r="A6360" s="100">
        <v>45945</v>
      </c>
      <c r="B6360" t="str">
        <f t="shared" ref="B6360:B6362" si="329">TEXT(A6360, "mmmm")</f>
        <v>October</v>
      </c>
      <c r="C6360" s="46" t="s">
        <v>280</v>
      </c>
      <c r="F6360" s="366" t="s">
        <v>3249</v>
      </c>
      <c r="G6360" s="46" t="s">
        <v>17</v>
      </c>
      <c r="H6360" s="46">
        <v>1</v>
      </c>
      <c r="I6360" s="51">
        <v>4622.28</v>
      </c>
      <c r="J6360" s="281">
        <f>++Tabla4[[#This Row],[Precio Bruto]]*1.16</f>
        <v>5361.8447999999989</v>
      </c>
      <c r="K6360" s="281">
        <f>+Tabla4[[#This Row],[Precio Unitario Neto]]*Tabla4[[#Headers],[20.85%]]</f>
        <v>1117.9446407999997</v>
      </c>
      <c r="L6360" s="282">
        <f>++Tabla4[[#This Row],[Precio Unitario Neto]]-Tabla4[[#This Row],[20.85%]]</f>
        <v>4243.9001591999995</v>
      </c>
      <c r="M6360" s="282" t="e">
        <f>(INDEX(Tabla6[#All],MATCH(Tabla4[[#This Row],[Producto]],Tabla6[[#All],[PRODUCTO]],0),MATCH(Tabla4[[#This Row],[Mes]],Tabla6[#Headers],0)))*(1+Catalogos!$L$2)</f>
        <v>#N/A</v>
      </c>
      <c r="N6360" s="283" t="e">
        <f>+(Tabla4[[#This Row],[Precio Descontado]]-Tabla4[[#This Row],[Precio Base]])*Tabla4[[#This Row],[Cantidad]]</f>
        <v>#N/A</v>
      </c>
      <c r="O6360" s="284" t="e">
        <f>++Tabla4[[#This Row],[Utilidad Total]]/Tabla4[[#This Row],[Total]]</f>
        <v>#N/A</v>
      </c>
      <c r="P6360" s="282">
        <f>++Tabla4[[#This Row],[Precio Descontado]]*Tabla4[[#This Row],[Cantidad]]</f>
        <v>4243.9001591999995</v>
      </c>
      <c r="Q6360" s="282" t="e">
        <f>(INDEX(Tabla6[#All],MATCH(Tabla4[[#This Row],[Producto]],Tabla6[[#All],[PRODUCTO]],0),MATCH(Tabla4[[#This Row],[Mes]],Tabla6[#Headers],0)))</f>
        <v>#N/A</v>
      </c>
      <c r="R6360" s="282" t="e">
        <f>++Tabla4[[#This Row],[Precio Unitario Neto]]-Tabla4[[#This Row],[20.85%]]-Tabla4[[#This Row],[Costo]]</f>
        <v>#N/A</v>
      </c>
      <c r="S6360" s="282" t="e">
        <f>++Tabla4[[#This Row],[U. Bruta Uni]]*Tabla4[[#This Row],[Cantidad]]</f>
        <v>#N/A</v>
      </c>
      <c r="T6360" s="369" t="str">
        <f>VLOOKUP(Tabla4[[#This Row],[Producto]],Tabla6[#All],14,FALSE)</f>
        <v>Termico Solar</v>
      </c>
      <c r="U6360" s="284" t="e">
        <f>(IF(Tabla4[[#This Row],[Familia]]="termico solar",Tabla4[[#This Row],[Utilidad Total]]*6%,Tabla4[[#This Row],[Utilidad Total]]*11.5%))/Tabla4[[#This Row],[Total]]</f>
        <v>#N/A</v>
      </c>
      <c r="V6360" s="282" t="e">
        <f>+Tabla4[[#This Row],[Comisión Calculada]]*Tabla4[[#This Row],[Total]]</f>
        <v>#N/A</v>
      </c>
    </row>
    <row r="6361" spans="1:22" hidden="1" x14ac:dyDescent="0.25">
      <c r="A6361" s="100">
        <v>45945</v>
      </c>
      <c r="B6361" t="str">
        <f t="shared" si="329"/>
        <v>October</v>
      </c>
      <c r="C6361" s="46" t="s">
        <v>280</v>
      </c>
      <c r="F6361" s="366" t="s">
        <v>3249</v>
      </c>
      <c r="G6361" s="46" t="s">
        <v>18</v>
      </c>
      <c r="H6361" s="46">
        <v>2</v>
      </c>
      <c r="I6361" s="51">
        <v>5367.65</v>
      </c>
      <c r="J6361" s="281">
        <f>++Tabla4[[#This Row],[Precio Bruto]]*1.16</f>
        <v>6226.4739999999993</v>
      </c>
      <c r="K6361" s="281">
        <f>+Tabla4[[#This Row],[Precio Unitario Neto]]*Tabla4[[#Headers],[20.85%]]</f>
        <v>1298.2198289999999</v>
      </c>
      <c r="L6361" s="282">
        <f>++Tabla4[[#This Row],[Precio Unitario Neto]]-Tabla4[[#This Row],[20.85%]]</f>
        <v>4928.2541709999996</v>
      </c>
      <c r="M6361" s="282" t="e">
        <f>(INDEX(Tabla6[#All],MATCH(Tabla4[[#This Row],[Producto]],Tabla6[[#All],[PRODUCTO]],0),MATCH(Tabla4[[#This Row],[Mes]],Tabla6[#Headers],0)))*(1+Catalogos!$L$2)</f>
        <v>#N/A</v>
      </c>
      <c r="N6361" s="283" t="e">
        <f>+(Tabla4[[#This Row],[Precio Descontado]]-Tabla4[[#This Row],[Precio Base]])*Tabla4[[#This Row],[Cantidad]]</f>
        <v>#N/A</v>
      </c>
      <c r="O6361" s="284" t="e">
        <f>++Tabla4[[#This Row],[Utilidad Total]]/Tabla4[[#This Row],[Total]]</f>
        <v>#N/A</v>
      </c>
      <c r="P6361" s="282">
        <f>++Tabla4[[#This Row],[Precio Descontado]]*Tabla4[[#This Row],[Cantidad]]</f>
        <v>9856.5083419999992</v>
      </c>
      <c r="Q6361" s="282" t="e">
        <f>(INDEX(Tabla6[#All],MATCH(Tabla4[[#This Row],[Producto]],Tabla6[[#All],[PRODUCTO]],0),MATCH(Tabla4[[#This Row],[Mes]],Tabla6[#Headers],0)))</f>
        <v>#N/A</v>
      </c>
      <c r="R6361" s="282" t="e">
        <f>++Tabla4[[#This Row],[Precio Unitario Neto]]-Tabla4[[#This Row],[20.85%]]-Tabla4[[#This Row],[Costo]]</f>
        <v>#N/A</v>
      </c>
      <c r="S6361" s="282" t="e">
        <f>++Tabla4[[#This Row],[U. Bruta Uni]]*Tabla4[[#This Row],[Cantidad]]</f>
        <v>#N/A</v>
      </c>
      <c r="T6361" s="369" t="str">
        <f>VLOOKUP(Tabla4[[#This Row],[Producto]],Tabla6[#All],14,FALSE)</f>
        <v>Termico Solar</v>
      </c>
      <c r="U6361" s="284" t="e">
        <f>(IF(Tabla4[[#This Row],[Familia]]="termico solar",Tabla4[[#This Row],[Utilidad Total]]*6%,Tabla4[[#This Row],[Utilidad Total]]*11.5%))/Tabla4[[#This Row],[Total]]</f>
        <v>#N/A</v>
      </c>
      <c r="V6361" s="282" t="e">
        <f>+Tabla4[[#This Row],[Comisión Calculada]]*Tabla4[[#This Row],[Total]]</f>
        <v>#N/A</v>
      </c>
    </row>
    <row r="6362" spans="1:22" hidden="1" x14ac:dyDescent="0.25">
      <c r="A6362" s="100">
        <v>45945</v>
      </c>
      <c r="B6362" t="str">
        <f t="shared" si="329"/>
        <v>October</v>
      </c>
      <c r="C6362" s="46" t="s">
        <v>280</v>
      </c>
      <c r="F6362" s="366" t="s">
        <v>3249</v>
      </c>
      <c r="G6362" s="46" t="s">
        <v>566</v>
      </c>
      <c r="H6362" s="46">
        <v>2</v>
      </c>
      <c r="I6362" s="51">
        <v>2109.4499999999998</v>
      </c>
      <c r="J6362" s="281">
        <f>++Tabla4[[#This Row],[Precio Bruto]]*1.16</f>
        <v>2446.9619999999995</v>
      </c>
      <c r="K6362" s="281">
        <f>+Tabla4[[#This Row],[Precio Unitario Neto]]*Tabla4[[#Headers],[20.85%]]</f>
        <v>510.19157699999988</v>
      </c>
      <c r="L6362" s="282">
        <f>++Tabla4[[#This Row],[Precio Unitario Neto]]-Tabla4[[#This Row],[20.85%]]</f>
        <v>1936.7704229999997</v>
      </c>
      <c r="M6362" s="282" t="e">
        <f>(INDEX(Tabla6[#All],MATCH(Tabla4[[#This Row],[Producto]],Tabla6[[#All],[PRODUCTO]],0),MATCH(Tabla4[[#This Row],[Mes]],Tabla6[#Headers],0)))*(1+Catalogos!$L$2)</f>
        <v>#N/A</v>
      </c>
      <c r="N6362" s="283" t="e">
        <f>+(Tabla4[[#This Row],[Precio Descontado]]-Tabla4[[#This Row],[Precio Base]])*Tabla4[[#This Row],[Cantidad]]</f>
        <v>#N/A</v>
      </c>
      <c r="O6362" s="284" t="e">
        <f>++Tabla4[[#This Row],[Utilidad Total]]/Tabla4[[#This Row],[Total]]</f>
        <v>#N/A</v>
      </c>
      <c r="P6362" s="282">
        <f>++Tabla4[[#This Row],[Precio Descontado]]*Tabla4[[#This Row],[Cantidad]]</f>
        <v>3873.5408459999994</v>
      </c>
      <c r="Q6362" s="282" t="e">
        <f>(INDEX(Tabla6[#All],MATCH(Tabla4[[#This Row],[Producto]],Tabla6[[#All],[PRODUCTO]],0),MATCH(Tabla4[[#This Row],[Mes]],Tabla6[#Headers],0)))</f>
        <v>#N/A</v>
      </c>
      <c r="R6362" s="282" t="e">
        <f>++Tabla4[[#This Row],[Precio Unitario Neto]]-Tabla4[[#This Row],[20.85%]]-Tabla4[[#This Row],[Costo]]</f>
        <v>#N/A</v>
      </c>
      <c r="S6362" s="282" t="e">
        <f>++Tabla4[[#This Row],[U. Bruta Uni]]*Tabla4[[#This Row],[Cantidad]]</f>
        <v>#N/A</v>
      </c>
      <c r="T6362" s="369" t="str">
        <f>VLOOKUP(Tabla4[[#This Row],[Producto]],Tabla6[#All],14,FALSE)</f>
        <v>Termico Solar</v>
      </c>
      <c r="U6362" s="284" t="e">
        <f>(IF(Tabla4[[#This Row],[Familia]]="termico solar",Tabla4[[#This Row],[Utilidad Total]]*6%,Tabla4[[#This Row],[Utilidad Total]]*11.5%))/Tabla4[[#This Row],[Total]]</f>
        <v>#N/A</v>
      </c>
      <c r="V6362" s="282" t="e">
        <f>+Tabla4[[#This Row],[Comisión Calculada]]*Tabla4[[#This Row],[Total]]</f>
        <v>#N/A</v>
      </c>
    </row>
    <row r="6363" spans="1:22" hidden="1" x14ac:dyDescent="0.25">
      <c r="A6363" s="100">
        <v>45945</v>
      </c>
      <c r="B6363" t="str">
        <f t="shared" ref="B6363:B6365" si="330">TEXT(A6363, "mmmm")</f>
        <v>October</v>
      </c>
      <c r="C6363" s="46" t="s">
        <v>280</v>
      </c>
      <c r="F6363" s="366" t="s">
        <v>3250</v>
      </c>
      <c r="G6363" s="46" t="s">
        <v>83</v>
      </c>
      <c r="H6363" s="46">
        <v>1</v>
      </c>
      <c r="I6363" s="51">
        <v>8858.76</v>
      </c>
      <c r="J6363" s="281">
        <f>++Tabla4[[#This Row],[Precio Bruto]]*1.16</f>
        <v>10276.161599999999</v>
      </c>
      <c r="K6363" s="281">
        <f>+Tabla4[[#This Row],[Precio Unitario Neto]]*Tabla4[[#Headers],[20.85%]]</f>
        <v>2142.5796935999997</v>
      </c>
      <c r="L6363" s="282">
        <f>++Tabla4[[#This Row],[Precio Unitario Neto]]-Tabla4[[#This Row],[20.85%]]</f>
        <v>8133.5819063999998</v>
      </c>
      <c r="M6363" s="282" t="e">
        <f>(INDEX(Tabla6[#All],MATCH(Tabla4[[#This Row],[Producto]],Tabla6[[#All],[PRODUCTO]],0),MATCH(Tabla4[[#This Row],[Mes]],Tabla6[#Headers],0)))*(1+Catalogos!$L$2)</f>
        <v>#N/A</v>
      </c>
      <c r="N6363" s="283" t="e">
        <f>+(Tabla4[[#This Row],[Precio Descontado]]-Tabla4[[#This Row],[Precio Base]])*Tabla4[[#This Row],[Cantidad]]</f>
        <v>#N/A</v>
      </c>
      <c r="O6363" s="284" t="e">
        <f>++Tabla4[[#This Row],[Utilidad Total]]/Tabla4[[#This Row],[Total]]</f>
        <v>#N/A</v>
      </c>
      <c r="P6363" s="282">
        <f>++Tabla4[[#This Row],[Precio Descontado]]*Tabla4[[#This Row],[Cantidad]]</f>
        <v>8133.5819063999998</v>
      </c>
      <c r="Q6363" s="282" t="e">
        <f>(INDEX(Tabla6[#All],MATCH(Tabla4[[#This Row],[Producto]],Tabla6[[#All],[PRODUCTO]],0),MATCH(Tabla4[[#This Row],[Mes]],Tabla6[#Headers],0)))</f>
        <v>#N/A</v>
      </c>
      <c r="R6363" s="282" t="e">
        <f>++Tabla4[[#This Row],[Precio Unitario Neto]]-Tabla4[[#This Row],[20.85%]]-Tabla4[[#This Row],[Costo]]</f>
        <v>#N/A</v>
      </c>
      <c r="S6363" s="282" t="e">
        <f>++Tabla4[[#This Row],[U. Bruta Uni]]*Tabla4[[#This Row],[Cantidad]]</f>
        <v>#N/A</v>
      </c>
      <c r="T6363" s="369" t="str">
        <f>VLOOKUP(Tabla4[[#This Row],[Producto]],Tabla6[#All],14,FALSE)</f>
        <v>Termico Solar</v>
      </c>
      <c r="U6363" s="284" t="e">
        <f>(IF(Tabla4[[#This Row],[Familia]]="termico solar",Tabla4[[#This Row],[Utilidad Total]]*6%,Tabla4[[#This Row],[Utilidad Total]]*11.5%))/Tabla4[[#This Row],[Total]]</f>
        <v>#N/A</v>
      </c>
      <c r="V6363" s="282" t="e">
        <f>+Tabla4[[#This Row],[Comisión Calculada]]*Tabla4[[#This Row],[Total]]</f>
        <v>#N/A</v>
      </c>
    </row>
    <row r="6364" spans="1:22" hidden="1" x14ac:dyDescent="0.25">
      <c r="A6364" s="100">
        <v>45945</v>
      </c>
      <c r="B6364" t="str">
        <f t="shared" si="330"/>
        <v>October</v>
      </c>
      <c r="C6364" s="46" t="s">
        <v>280</v>
      </c>
      <c r="F6364" s="366" t="s">
        <v>3250</v>
      </c>
      <c r="G6364" s="46" t="s">
        <v>18</v>
      </c>
      <c r="H6364" s="46">
        <v>1</v>
      </c>
      <c r="I6364" s="51">
        <v>5367.65</v>
      </c>
      <c r="J6364" s="281">
        <f>++Tabla4[[#This Row],[Precio Bruto]]*1.16</f>
        <v>6226.4739999999993</v>
      </c>
      <c r="K6364" s="281">
        <f>+Tabla4[[#This Row],[Precio Unitario Neto]]*Tabla4[[#Headers],[20.85%]]</f>
        <v>1298.2198289999999</v>
      </c>
      <c r="L6364" s="282">
        <f>++Tabla4[[#This Row],[Precio Unitario Neto]]-Tabla4[[#This Row],[20.85%]]</f>
        <v>4928.2541709999996</v>
      </c>
      <c r="M6364" s="282" t="e">
        <f>(INDEX(Tabla6[#All],MATCH(Tabla4[[#This Row],[Producto]],Tabla6[[#All],[PRODUCTO]],0),MATCH(Tabla4[[#This Row],[Mes]],Tabla6[#Headers],0)))*(1+Catalogos!$L$2)</f>
        <v>#N/A</v>
      </c>
      <c r="N6364" s="283" t="e">
        <f>+(Tabla4[[#This Row],[Precio Descontado]]-Tabla4[[#This Row],[Precio Base]])*Tabla4[[#This Row],[Cantidad]]</f>
        <v>#N/A</v>
      </c>
      <c r="O6364" s="284" t="e">
        <f>++Tabla4[[#This Row],[Utilidad Total]]/Tabla4[[#This Row],[Total]]</f>
        <v>#N/A</v>
      </c>
      <c r="P6364" s="282">
        <f>++Tabla4[[#This Row],[Precio Descontado]]*Tabla4[[#This Row],[Cantidad]]</f>
        <v>4928.2541709999996</v>
      </c>
      <c r="Q6364" s="282" t="e">
        <f>(INDEX(Tabla6[#All],MATCH(Tabla4[[#This Row],[Producto]],Tabla6[[#All],[PRODUCTO]],0),MATCH(Tabla4[[#This Row],[Mes]],Tabla6[#Headers],0)))</f>
        <v>#N/A</v>
      </c>
      <c r="R6364" s="282" t="e">
        <f>++Tabla4[[#This Row],[Precio Unitario Neto]]-Tabla4[[#This Row],[20.85%]]-Tabla4[[#This Row],[Costo]]</f>
        <v>#N/A</v>
      </c>
      <c r="S6364" s="282" t="e">
        <f>++Tabla4[[#This Row],[U. Bruta Uni]]*Tabla4[[#This Row],[Cantidad]]</f>
        <v>#N/A</v>
      </c>
      <c r="T6364" s="369" t="str">
        <f>VLOOKUP(Tabla4[[#This Row],[Producto]],Tabla6[#All],14,FALSE)</f>
        <v>Termico Solar</v>
      </c>
      <c r="U6364" s="284" t="e">
        <f>(IF(Tabla4[[#This Row],[Familia]]="termico solar",Tabla4[[#This Row],[Utilidad Total]]*6%,Tabla4[[#This Row],[Utilidad Total]]*11.5%))/Tabla4[[#This Row],[Total]]</f>
        <v>#N/A</v>
      </c>
      <c r="V6364" s="282" t="e">
        <f>+Tabla4[[#This Row],[Comisión Calculada]]*Tabla4[[#This Row],[Total]]</f>
        <v>#N/A</v>
      </c>
    </row>
    <row r="6365" spans="1:22" hidden="1" x14ac:dyDescent="0.25">
      <c r="A6365" s="100">
        <v>45945</v>
      </c>
      <c r="B6365" t="str">
        <f t="shared" si="330"/>
        <v>October</v>
      </c>
      <c r="C6365" s="46" t="s">
        <v>280</v>
      </c>
      <c r="F6365" s="366" t="s">
        <v>3250</v>
      </c>
      <c r="G6365" s="46" t="s">
        <v>16</v>
      </c>
      <c r="H6365" s="46">
        <v>1</v>
      </c>
      <c r="I6365" s="51">
        <v>4103.8500000000004</v>
      </c>
      <c r="J6365" s="281">
        <f>++Tabla4[[#This Row],[Precio Bruto]]*1.16</f>
        <v>4760.4660000000003</v>
      </c>
      <c r="K6365" s="281">
        <f>+Tabla4[[#This Row],[Precio Unitario Neto]]*Tabla4[[#Headers],[20.85%]]</f>
        <v>992.55716100000006</v>
      </c>
      <c r="L6365" s="282">
        <f>++Tabla4[[#This Row],[Precio Unitario Neto]]-Tabla4[[#This Row],[20.85%]]</f>
        <v>3767.9088390000002</v>
      </c>
      <c r="M6365" s="282" t="e">
        <f>(INDEX(Tabla6[#All],MATCH(Tabla4[[#This Row],[Producto]],Tabla6[[#All],[PRODUCTO]],0),MATCH(Tabla4[[#This Row],[Mes]],Tabla6[#Headers],0)))*(1+Catalogos!$L$2)</f>
        <v>#N/A</v>
      </c>
      <c r="N6365" s="283" t="e">
        <f>+(Tabla4[[#This Row],[Precio Descontado]]-Tabla4[[#This Row],[Precio Base]])*Tabla4[[#This Row],[Cantidad]]</f>
        <v>#N/A</v>
      </c>
      <c r="O6365" s="284" t="e">
        <f>++Tabla4[[#This Row],[Utilidad Total]]/Tabla4[[#This Row],[Total]]</f>
        <v>#N/A</v>
      </c>
      <c r="P6365" s="282">
        <f>++Tabla4[[#This Row],[Precio Descontado]]*Tabla4[[#This Row],[Cantidad]]</f>
        <v>3767.9088390000002</v>
      </c>
      <c r="Q6365" s="282" t="e">
        <f>(INDEX(Tabla6[#All],MATCH(Tabla4[[#This Row],[Producto]],Tabla6[[#All],[PRODUCTO]],0),MATCH(Tabla4[[#This Row],[Mes]],Tabla6[#Headers],0)))</f>
        <v>#N/A</v>
      </c>
      <c r="R6365" s="282" t="e">
        <f>++Tabla4[[#This Row],[Precio Unitario Neto]]-Tabla4[[#This Row],[20.85%]]-Tabla4[[#This Row],[Costo]]</f>
        <v>#N/A</v>
      </c>
      <c r="S6365" s="282" t="e">
        <f>++Tabla4[[#This Row],[U. Bruta Uni]]*Tabla4[[#This Row],[Cantidad]]</f>
        <v>#N/A</v>
      </c>
      <c r="T6365" s="369" t="str">
        <f>VLOOKUP(Tabla4[[#This Row],[Producto]],Tabla6[#All],14,FALSE)</f>
        <v>Termico Solar</v>
      </c>
      <c r="U6365" s="284" t="e">
        <f>(IF(Tabla4[[#This Row],[Familia]]="termico solar",Tabla4[[#This Row],[Utilidad Total]]*6%,Tabla4[[#This Row],[Utilidad Total]]*11.5%))/Tabla4[[#This Row],[Total]]</f>
        <v>#N/A</v>
      </c>
      <c r="V6365" s="282" t="e">
        <f>+Tabla4[[#This Row],[Comisión Calculada]]*Tabla4[[#This Row],[Total]]</f>
        <v>#N/A</v>
      </c>
    </row>
    <row r="6366" spans="1:22" hidden="1" x14ac:dyDescent="0.25">
      <c r="A6366" s="100">
        <v>45945</v>
      </c>
      <c r="B6366" t="str">
        <f t="shared" ref="B6366:B6368" si="331">TEXT(A6366, "mmmm")</f>
        <v>October</v>
      </c>
      <c r="C6366" s="46" t="s">
        <v>280</v>
      </c>
      <c r="F6366" s="366" t="s">
        <v>3251</v>
      </c>
      <c r="G6366" s="46" t="s">
        <v>83</v>
      </c>
      <c r="H6366" s="46">
        <v>1</v>
      </c>
      <c r="I6366" s="51">
        <v>8858.76</v>
      </c>
      <c r="J6366" s="281">
        <f>++Tabla4[[#This Row],[Precio Bruto]]*1.16</f>
        <v>10276.161599999999</v>
      </c>
      <c r="K6366" s="281">
        <f>+Tabla4[[#This Row],[Precio Unitario Neto]]*Tabla4[[#Headers],[20.85%]]</f>
        <v>2142.5796935999997</v>
      </c>
      <c r="L6366" s="282">
        <f>++Tabla4[[#This Row],[Precio Unitario Neto]]-Tabla4[[#This Row],[20.85%]]</f>
        <v>8133.5819063999998</v>
      </c>
      <c r="M6366" s="282" t="e">
        <f>(INDEX(Tabla6[#All],MATCH(Tabla4[[#This Row],[Producto]],Tabla6[[#All],[PRODUCTO]],0),MATCH(Tabla4[[#This Row],[Mes]],Tabla6[#Headers],0)))*(1+Catalogos!$L$2)</f>
        <v>#N/A</v>
      </c>
      <c r="N6366" s="283" t="e">
        <f>+(Tabla4[[#This Row],[Precio Descontado]]-Tabla4[[#This Row],[Precio Base]])*Tabla4[[#This Row],[Cantidad]]</f>
        <v>#N/A</v>
      </c>
      <c r="O6366" s="284" t="e">
        <f>++Tabla4[[#This Row],[Utilidad Total]]/Tabla4[[#This Row],[Total]]</f>
        <v>#N/A</v>
      </c>
      <c r="P6366" s="282">
        <f>++Tabla4[[#This Row],[Precio Descontado]]*Tabla4[[#This Row],[Cantidad]]</f>
        <v>8133.5819063999998</v>
      </c>
      <c r="Q6366" s="282" t="e">
        <f>(INDEX(Tabla6[#All],MATCH(Tabla4[[#This Row],[Producto]],Tabla6[[#All],[PRODUCTO]],0),MATCH(Tabla4[[#This Row],[Mes]],Tabla6[#Headers],0)))</f>
        <v>#N/A</v>
      </c>
      <c r="R6366" s="282" t="e">
        <f>++Tabla4[[#This Row],[Precio Unitario Neto]]-Tabla4[[#This Row],[20.85%]]-Tabla4[[#This Row],[Costo]]</f>
        <v>#N/A</v>
      </c>
      <c r="S6366" s="282" t="e">
        <f>++Tabla4[[#This Row],[U. Bruta Uni]]*Tabla4[[#This Row],[Cantidad]]</f>
        <v>#N/A</v>
      </c>
      <c r="T6366" s="369" t="str">
        <f>VLOOKUP(Tabla4[[#This Row],[Producto]],Tabla6[#All],14,FALSE)</f>
        <v>Termico Solar</v>
      </c>
      <c r="U6366" s="284" t="e">
        <f>(IF(Tabla4[[#This Row],[Familia]]="termico solar",Tabla4[[#This Row],[Utilidad Total]]*6%,Tabla4[[#This Row],[Utilidad Total]]*11.5%))/Tabla4[[#This Row],[Total]]</f>
        <v>#N/A</v>
      </c>
      <c r="V6366" s="282" t="e">
        <f>+Tabla4[[#This Row],[Comisión Calculada]]*Tabla4[[#This Row],[Total]]</f>
        <v>#N/A</v>
      </c>
    </row>
    <row r="6367" spans="1:22" hidden="1" x14ac:dyDescent="0.25">
      <c r="A6367" s="100">
        <v>45945</v>
      </c>
      <c r="B6367" t="str">
        <f t="shared" si="331"/>
        <v>October</v>
      </c>
      <c r="C6367" s="46" t="s">
        <v>280</v>
      </c>
      <c r="F6367" s="366" t="s">
        <v>3251</v>
      </c>
      <c r="G6367" s="46" t="s">
        <v>17</v>
      </c>
      <c r="H6367" s="46">
        <v>2</v>
      </c>
      <c r="I6367" s="51">
        <v>4622.28</v>
      </c>
      <c r="J6367" s="281">
        <f>++Tabla4[[#This Row],[Precio Bruto]]*1.16</f>
        <v>5361.8447999999989</v>
      </c>
      <c r="K6367" s="281">
        <f>+Tabla4[[#This Row],[Precio Unitario Neto]]*Tabla4[[#Headers],[20.85%]]</f>
        <v>1117.9446407999997</v>
      </c>
      <c r="L6367" s="282">
        <f>++Tabla4[[#This Row],[Precio Unitario Neto]]-Tabla4[[#This Row],[20.85%]]</f>
        <v>4243.9001591999995</v>
      </c>
      <c r="M6367" s="282" t="e">
        <f>(INDEX(Tabla6[#All],MATCH(Tabla4[[#This Row],[Producto]],Tabla6[[#All],[PRODUCTO]],0),MATCH(Tabla4[[#This Row],[Mes]],Tabla6[#Headers],0)))*(1+Catalogos!$L$2)</f>
        <v>#N/A</v>
      </c>
      <c r="N6367" s="283" t="e">
        <f>+(Tabla4[[#This Row],[Precio Descontado]]-Tabla4[[#This Row],[Precio Base]])*Tabla4[[#This Row],[Cantidad]]</f>
        <v>#N/A</v>
      </c>
      <c r="O6367" s="284" t="e">
        <f>++Tabla4[[#This Row],[Utilidad Total]]/Tabla4[[#This Row],[Total]]</f>
        <v>#N/A</v>
      </c>
      <c r="P6367" s="282">
        <f>++Tabla4[[#This Row],[Precio Descontado]]*Tabla4[[#This Row],[Cantidad]]</f>
        <v>8487.800318399999</v>
      </c>
      <c r="Q6367" s="282" t="e">
        <f>(INDEX(Tabla6[#All],MATCH(Tabla4[[#This Row],[Producto]],Tabla6[[#All],[PRODUCTO]],0),MATCH(Tabla4[[#This Row],[Mes]],Tabla6[#Headers],0)))</f>
        <v>#N/A</v>
      </c>
      <c r="R6367" s="282" t="e">
        <f>++Tabla4[[#This Row],[Precio Unitario Neto]]-Tabla4[[#This Row],[20.85%]]-Tabla4[[#This Row],[Costo]]</f>
        <v>#N/A</v>
      </c>
      <c r="S6367" s="282" t="e">
        <f>++Tabla4[[#This Row],[U. Bruta Uni]]*Tabla4[[#This Row],[Cantidad]]</f>
        <v>#N/A</v>
      </c>
      <c r="T6367" s="369" t="str">
        <f>VLOOKUP(Tabla4[[#This Row],[Producto]],Tabla6[#All],14,FALSE)</f>
        <v>Termico Solar</v>
      </c>
      <c r="U6367" s="284" t="e">
        <f>(IF(Tabla4[[#This Row],[Familia]]="termico solar",Tabla4[[#This Row],[Utilidad Total]]*6%,Tabla4[[#This Row],[Utilidad Total]]*11.5%))/Tabla4[[#This Row],[Total]]</f>
        <v>#N/A</v>
      </c>
      <c r="V6367" s="282" t="e">
        <f>+Tabla4[[#This Row],[Comisión Calculada]]*Tabla4[[#This Row],[Total]]</f>
        <v>#N/A</v>
      </c>
    </row>
    <row r="6368" spans="1:22" hidden="1" x14ac:dyDescent="0.25">
      <c r="A6368" s="100">
        <v>45945</v>
      </c>
      <c r="B6368" t="str">
        <f t="shared" si="331"/>
        <v>October</v>
      </c>
      <c r="C6368" s="46" t="s">
        <v>280</v>
      </c>
      <c r="F6368" s="366" t="s">
        <v>3251</v>
      </c>
      <c r="G6368" s="46" t="s">
        <v>18</v>
      </c>
      <c r="H6368" s="46">
        <v>1</v>
      </c>
      <c r="I6368" s="51">
        <v>5367.65</v>
      </c>
      <c r="J6368" s="281">
        <f>++Tabla4[[#This Row],[Precio Bruto]]*1.16</f>
        <v>6226.4739999999993</v>
      </c>
      <c r="K6368" s="281">
        <f>+Tabla4[[#This Row],[Precio Unitario Neto]]*Tabla4[[#Headers],[20.85%]]</f>
        <v>1298.2198289999999</v>
      </c>
      <c r="L6368" s="282">
        <f>++Tabla4[[#This Row],[Precio Unitario Neto]]-Tabla4[[#This Row],[20.85%]]</f>
        <v>4928.2541709999996</v>
      </c>
      <c r="M6368" s="282" t="e">
        <f>(INDEX(Tabla6[#All],MATCH(Tabla4[[#This Row],[Producto]],Tabla6[[#All],[PRODUCTO]],0),MATCH(Tabla4[[#This Row],[Mes]],Tabla6[#Headers],0)))*(1+Catalogos!$L$2)</f>
        <v>#N/A</v>
      </c>
      <c r="N6368" s="283" t="e">
        <f>+(Tabla4[[#This Row],[Precio Descontado]]-Tabla4[[#This Row],[Precio Base]])*Tabla4[[#This Row],[Cantidad]]</f>
        <v>#N/A</v>
      </c>
      <c r="O6368" s="284" t="e">
        <f>++Tabla4[[#This Row],[Utilidad Total]]/Tabla4[[#This Row],[Total]]</f>
        <v>#N/A</v>
      </c>
      <c r="P6368" s="282">
        <f>++Tabla4[[#This Row],[Precio Descontado]]*Tabla4[[#This Row],[Cantidad]]</f>
        <v>4928.2541709999996</v>
      </c>
      <c r="Q6368" s="282" t="e">
        <f>(INDEX(Tabla6[#All],MATCH(Tabla4[[#This Row],[Producto]],Tabla6[[#All],[PRODUCTO]],0),MATCH(Tabla4[[#This Row],[Mes]],Tabla6[#Headers],0)))</f>
        <v>#N/A</v>
      </c>
      <c r="R6368" s="282" t="e">
        <f>++Tabla4[[#This Row],[Precio Unitario Neto]]-Tabla4[[#This Row],[20.85%]]-Tabla4[[#This Row],[Costo]]</f>
        <v>#N/A</v>
      </c>
      <c r="S6368" s="282" t="e">
        <f>++Tabla4[[#This Row],[U. Bruta Uni]]*Tabla4[[#This Row],[Cantidad]]</f>
        <v>#N/A</v>
      </c>
      <c r="T6368" s="369" t="str">
        <f>VLOOKUP(Tabla4[[#This Row],[Producto]],Tabla6[#All],14,FALSE)</f>
        <v>Termico Solar</v>
      </c>
      <c r="U6368" s="284" t="e">
        <f>(IF(Tabla4[[#This Row],[Familia]]="termico solar",Tabla4[[#This Row],[Utilidad Total]]*6%,Tabla4[[#This Row],[Utilidad Total]]*11.5%))/Tabla4[[#This Row],[Total]]</f>
        <v>#N/A</v>
      </c>
      <c r="V6368" s="282" t="e">
        <f>+Tabla4[[#This Row],[Comisión Calculada]]*Tabla4[[#This Row],[Total]]</f>
        <v>#N/A</v>
      </c>
    </row>
    <row r="6369" spans="1:22" hidden="1" x14ac:dyDescent="0.25">
      <c r="A6369" s="100">
        <v>45945</v>
      </c>
      <c r="B6369" t="str">
        <f t="shared" ref="B6369:B6372" si="332">TEXT(A6369, "mmmm")</f>
        <v>October</v>
      </c>
      <c r="C6369" s="46" t="s">
        <v>280</v>
      </c>
      <c r="F6369" s="366" t="s">
        <v>3252</v>
      </c>
      <c r="G6369" s="46" t="s">
        <v>83</v>
      </c>
      <c r="H6369" s="46">
        <v>2</v>
      </c>
      <c r="I6369" s="51">
        <v>8858.76</v>
      </c>
      <c r="J6369" s="281">
        <f>++Tabla4[[#This Row],[Precio Bruto]]*1.16</f>
        <v>10276.161599999999</v>
      </c>
      <c r="K6369" s="281">
        <f>+Tabla4[[#This Row],[Precio Unitario Neto]]*Tabla4[[#Headers],[20.85%]]</f>
        <v>2142.5796935999997</v>
      </c>
      <c r="L6369" s="282">
        <f>++Tabla4[[#This Row],[Precio Unitario Neto]]-Tabla4[[#This Row],[20.85%]]</f>
        <v>8133.5819063999998</v>
      </c>
      <c r="M6369" s="282" t="e">
        <f>(INDEX(Tabla6[#All],MATCH(Tabla4[[#This Row],[Producto]],Tabla6[[#All],[PRODUCTO]],0),MATCH(Tabla4[[#This Row],[Mes]],Tabla6[#Headers],0)))*(1+Catalogos!$L$2)</f>
        <v>#N/A</v>
      </c>
      <c r="N6369" s="283" t="e">
        <f>+(Tabla4[[#This Row],[Precio Descontado]]-Tabla4[[#This Row],[Precio Base]])*Tabla4[[#This Row],[Cantidad]]</f>
        <v>#N/A</v>
      </c>
      <c r="O6369" s="284" t="e">
        <f>++Tabla4[[#This Row],[Utilidad Total]]/Tabla4[[#This Row],[Total]]</f>
        <v>#N/A</v>
      </c>
      <c r="P6369" s="282">
        <f>++Tabla4[[#This Row],[Precio Descontado]]*Tabla4[[#This Row],[Cantidad]]</f>
        <v>16267.1638128</v>
      </c>
      <c r="Q6369" s="282" t="e">
        <f>(INDEX(Tabla6[#All],MATCH(Tabla4[[#This Row],[Producto]],Tabla6[[#All],[PRODUCTO]],0),MATCH(Tabla4[[#This Row],[Mes]],Tabla6[#Headers],0)))</f>
        <v>#N/A</v>
      </c>
      <c r="R6369" s="282" t="e">
        <f>++Tabla4[[#This Row],[Precio Unitario Neto]]-Tabla4[[#This Row],[20.85%]]-Tabla4[[#This Row],[Costo]]</f>
        <v>#N/A</v>
      </c>
      <c r="S6369" s="282" t="e">
        <f>++Tabla4[[#This Row],[U. Bruta Uni]]*Tabla4[[#This Row],[Cantidad]]</f>
        <v>#N/A</v>
      </c>
      <c r="T6369" s="369" t="str">
        <f>VLOOKUP(Tabla4[[#This Row],[Producto]],Tabla6[#All],14,FALSE)</f>
        <v>Termico Solar</v>
      </c>
      <c r="U6369" s="284" t="e">
        <f>(IF(Tabla4[[#This Row],[Familia]]="termico solar",Tabla4[[#This Row],[Utilidad Total]]*6%,Tabla4[[#This Row],[Utilidad Total]]*11.5%))/Tabla4[[#This Row],[Total]]</f>
        <v>#N/A</v>
      </c>
      <c r="V6369" s="282" t="e">
        <f>+Tabla4[[#This Row],[Comisión Calculada]]*Tabla4[[#This Row],[Total]]</f>
        <v>#N/A</v>
      </c>
    </row>
    <row r="6370" spans="1:22" hidden="1" x14ac:dyDescent="0.25">
      <c r="A6370" s="100">
        <v>45945</v>
      </c>
      <c r="B6370" t="str">
        <f t="shared" si="332"/>
        <v>October</v>
      </c>
      <c r="C6370" s="46" t="s">
        <v>280</v>
      </c>
      <c r="F6370" s="366" t="s">
        <v>3252</v>
      </c>
      <c r="G6370" s="46" t="s">
        <v>17</v>
      </c>
      <c r="H6370" s="46">
        <v>2</v>
      </c>
      <c r="I6370" s="51">
        <v>4622.28</v>
      </c>
      <c r="J6370" s="281">
        <f>++Tabla4[[#This Row],[Precio Bruto]]*1.16</f>
        <v>5361.8447999999989</v>
      </c>
      <c r="K6370" s="281">
        <f>+Tabla4[[#This Row],[Precio Unitario Neto]]*Tabla4[[#Headers],[20.85%]]</f>
        <v>1117.9446407999997</v>
      </c>
      <c r="L6370" s="282">
        <f>++Tabla4[[#This Row],[Precio Unitario Neto]]-Tabla4[[#This Row],[20.85%]]</f>
        <v>4243.9001591999995</v>
      </c>
      <c r="M6370" s="282" t="e">
        <f>(INDEX(Tabla6[#All],MATCH(Tabla4[[#This Row],[Producto]],Tabla6[[#All],[PRODUCTO]],0),MATCH(Tabla4[[#This Row],[Mes]],Tabla6[#Headers],0)))*(1+Catalogos!$L$2)</f>
        <v>#N/A</v>
      </c>
      <c r="N6370" s="283" t="e">
        <f>+(Tabla4[[#This Row],[Precio Descontado]]-Tabla4[[#This Row],[Precio Base]])*Tabla4[[#This Row],[Cantidad]]</f>
        <v>#N/A</v>
      </c>
      <c r="O6370" s="284" t="e">
        <f>++Tabla4[[#This Row],[Utilidad Total]]/Tabla4[[#This Row],[Total]]</f>
        <v>#N/A</v>
      </c>
      <c r="P6370" s="282">
        <f>++Tabla4[[#This Row],[Precio Descontado]]*Tabla4[[#This Row],[Cantidad]]</f>
        <v>8487.800318399999</v>
      </c>
      <c r="Q6370" s="282" t="e">
        <f>(INDEX(Tabla6[#All],MATCH(Tabla4[[#This Row],[Producto]],Tabla6[[#All],[PRODUCTO]],0),MATCH(Tabla4[[#This Row],[Mes]],Tabla6[#Headers],0)))</f>
        <v>#N/A</v>
      </c>
      <c r="R6370" s="282" t="e">
        <f>++Tabla4[[#This Row],[Precio Unitario Neto]]-Tabla4[[#This Row],[20.85%]]-Tabla4[[#This Row],[Costo]]</f>
        <v>#N/A</v>
      </c>
      <c r="S6370" s="282" t="e">
        <f>++Tabla4[[#This Row],[U. Bruta Uni]]*Tabla4[[#This Row],[Cantidad]]</f>
        <v>#N/A</v>
      </c>
      <c r="T6370" s="369" t="str">
        <f>VLOOKUP(Tabla4[[#This Row],[Producto]],Tabla6[#All],14,FALSE)</f>
        <v>Termico Solar</v>
      </c>
      <c r="U6370" s="284" t="e">
        <f>(IF(Tabla4[[#This Row],[Familia]]="termico solar",Tabla4[[#This Row],[Utilidad Total]]*6%,Tabla4[[#This Row],[Utilidad Total]]*11.5%))/Tabla4[[#This Row],[Total]]</f>
        <v>#N/A</v>
      </c>
      <c r="V6370" s="282" t="e">
        <f>+Tabla4[[#This Row],[Comisión Calculada]]*Tabla4[[#This Row],[Total]]</f>
        <v>#N/A</v>
      </c>
    </row>
    <row r="6371" spans="1:22" hidden="1" x14ac:dyDescent="0.25">
      <c r="A6371" s="100">
        <v>45945</v>
      </c>
      <c r="B6371" t="str">
        <f t="shared" si="332"/>
        <v>October</v>
      </c>
      <c r="C6371" s="46" t="s">
        <v>280</v>
      </c>
      <c r="F6371" s="366" t="s">
        <v>3252</v>
      </c>
      <c r="G6371" s="46" t="s">
        <v>18</v>
      </c>
      <c r="H6371" s="46">
        <v>1</v>
      </c>
      <c r="I6371" s="51">
        <v>5367.65</v>
      </c>
      <c r="J6371" s="281">
        <f>++Tabla4[[#This Row],[Precio Bruto]]*1.16</f>
        <v>6226.4739999999993</v>
      </c>
      <c r="K6371" s="281">
        <f>+Tabla4[[#This Row],[Precio Unitario Neto]]*Tabla4[[#Headers],[20.85%]]</f>
        <v>1298.2198289999999</v>
      </c>
      <c r="L6371" s="282">
        <f>++Tabla4[[#This Row],[Precio Unitario Neto]]-Tabla4[[#This Row],[20.85%]]</f>
        <v>4928.2541709999996</v>
      </c>
      <c r="M6371" s="282" t="e">
        <f>(INDEX(Tabla6[#All],MATCH(Tabla4[[#This Row],[Producto]],Tabla6[[#All],[PRODUCTO]],0),MATCH(Tabla4[[#This Row],[Mes]],Tabla6[#Headers],0)))*(1+Catalogos!$L$2)</f>
        <v>#N/A</v>
      </c>
      <c r="N6371" s="283" t="e">
        <f>+(Tabla4[[#This Row],[Precio Descontado]]-Tabla4[[#This Row],[Precio Base]])*Tabla4[[#This Row],[Cantidad]]</f>
        <v>#N/A</v>
      </c>
      <c r="O6371" s="284" t="e">
        <f>++Tabla4[[#This Row],[Utilidad Total]]/Tabla4[[#This Row],[Total]]</f>
        <v>#N/A</v>
      </c>
      <c r="P6371" s="282">
        <f>++Tabla4[[#This Row],[Precio Descontado]]*Tabla4[[#This Row],[Cantidad]]</f>
        <v>4928.2541709999996</v>
      </c>
      <c r="Q6371" s="282" t="e">
        <f>(INDEX(Tabla6[#All],MATCH(Tabla4[[#This Row],[Producto]],Tabla6[[#All],[PRODUCTO]],0),MATCH(Tabla4[[#This Row],[Mes]],Tabla6[#Headers],0)))</f>
        <v>#N/A</v>
      </c>
      <c r="R6371" s="282" t="e">
        <f>++Tabla4[[#This Row],[Precio Unitario Neto]]-Tabla4[[#This Row],[20.85%]]-Tabla4[[#This Row],[Costo]]</f>
        <v>#N/A</v>
      </c>
      <c r="S6371" s="282" t="e">
        <f>++Tabla4[[#This Row],[U. Bruta Uni]]*Tabla4[[#This Row],[Cantidad]]</f>
        <v>#N/A</v>
      </c>
      <c r="T6371" s="369" t="str">
        <f>VLOOKUP(Tabla4[[#This Row],[Producto]],Tabla6[#All],14,FALSE)</f>
        <v>Termico Solar</v>
      </c>
      <c r="U6371" s="284" t="e">
        <f>(IF(Tabla4[[#This Row],[Familia]]="termico solar",Tabla4[[#This Row],[Utilidad Total]]*6%,Tabla4[[#This Row],[Utilidad Total]]*11.5%))/Tabla4[[#This Row],[Total]]</f>
        <v>#N/A</v>
      </c>
      <c r="V6371" s="282" t="e">
        <f>+Tabla4[[#This Row],[Comisión Calculada]]*Tabla4[[#This Row],[Total]]</f>
        <v>#N/A</v>
      </c>
    </row>
    <row r="6372" spans="1:22" hidden="1" x14ac:dyDescent="0.25">
      <c r="A6372" s="100">
        <v>45945</v>
      </c>
      <c r="B6372" t="str">
        <f t="shared" si="332"/>
        <v>October</v>
      </c>
      <c r="C6372" s="46" t="s">
        <v>280</v>
      </c>
      <c r="F6372" s="366" t="s">
        <v>3252</v>
      </c>
      <c r="G6372" s="46" t="s">
        <v>208</v>
      </c>
      <c r="H6372" s="46">
        <v>2</v>
      </c>
      <c r="I6372" s="51">
        <v>189.75</v>
      </c>
      <c r="J6372" s="281">
        <f>++Tabla4[[#This Row],[Precio Bruto]]*1.16</f>
        <v>220.10999999999999</v>
      </c>
      <c r="K6372" s="281">
        <f>+Tabla4[[#This Row],[Precio Unitario Neto]]*Tabla4[[#Headers],[20.85%]]</f>
        <v>45.892934999999994</v>
      </c>
      <c r="L6372" s="282">
        <f>++Tabla4[[#This Row],[Precio Unitario Neto]]-Tabla4[[#This Row],[20.85%]]</f>
        <v>174.21706499999999</v>
      </c>
      <c r="M6372" s="282" t="e">
        <f>(INDEX(Tabla6[#All],MATCH(Tabla4[[#This Row],[Producto]],Tabla6[[#All],[PRODUCTO]],0),MATCH(Tabla4[[#This Row],[Mes]],Tabla6[#Headers],0)))*(1+Catalogos!$L$2)</f>
        <v>#N/A</v>
      </c>
      <c r="N6372" s="283" t="e">
        <f>+(Tabla4[[#This Row],[Precio Descontado]]-Tabla4[[#This Row],[Precio Base]])*Tabla4[[#This Row],[Cantidad]]</f>
        <v>#N/A</v>
      </c>
      <c r="O6372" s="284" t="e">
        <f>++Tabla4[[#This Row],[Utilidad Total]]/Tabla4[[#This Row],[Total]]</f>
        <v>#N/A</v>
      </c>
      <c r="P6372" s="282">
        <f>++Tabla4[[#This Row],[Precio Descontado]]*Tabla4[[#This Row],[Cantidad]]</f>
        <v>348.43412999999998</v>
      </c>
      <c r="Q6372" s="282" t="e">
        <f>(INDEX(Tabla6[#All],MATCH(Tabla4[[#This Row],[Producto]],Tabla6[[#All],[PRODUCTO]],0),MATCH(Tabla4[[#This Row],[Mes]],Tabla6[#Headers],0)))</f>
        <v>#N/A</v>
      </c>
      <c r="R6372" s="282" t="e">
        <f>++Tabla4[[#This Row],[Precio Unitario Neto]]-Tabla4[[#This Row],[20.85%]]-Tabla4[[#This Row],[Costo]]</f>
        <v>#N/A</v>
      </c>
      <c r="S6372" s="282" t="e">
        <f>++Tabla4[[#This Row],[U. Bruta Uni]]*Tabla4[[#This Row],[Cantidad]]</f>
        <v>#N/A</v>
      </c>
      <c r="T6372" s="369" t="str">
        <f>VLOOKUP(Tabla4[[#This Row],[Producto]],Tabla6[#All],14,FALSE)</f>
        <v>Termico Solar</v>
      </c>
      <c r="U6372" s="284" t="e">
        <f>(IF(Tabla4[[#This Row],[Familia]]="termico solar",Tabla4[[#This Row],[Utilidad Total]]*6%,Tabla4[[#This Row],[Utilidad Total]]*11.5%))/Tabla4[[#This Row],[Total]]</f>
        <v>#N/A</v>
      </c>
      <c r="V6372" s="282" t="e">
        <f>+Tabla4[[#This Row],[Comisión Calculada]]*Tabla4[[#This Row],[Total]]</f>
        <v>#N/A</v>
      </c>
    </row>
    <row r="6373" spans="1:22" hidden="1" x14ac:dyDescent="0.25">
      <c r="A6373" s="100">
        <v>45945</v>
      </c>
      <c r="B6373" t="str">
        <f t="shared" ref="B6373:B6377" si="333">TEXT(A6373, "mmmm")</f>
        <v>October</v>
      </c>
      <c r="C6373" s="46" t="s">
        <v>280</v>
      </c>
      <c r="F6373" s="366" t="s">
        <v>3253</v>
      </c>
      <c r="G6373" s="46" t="s">
        <v>83</v>
      </c>
      <c r="H6373" s="46">
        <v>3</v>
      </c>
      <c r="I6373" s="51">
        <v>8858.76</v>
      </c>
      <c r="J6373" s="281">
        <f>++Tabla4[[#This Row],[Precio Bruto]]*1.16</f>
        <v>10276.161599999999</v>
      </c>
      <c r="K6373" s="281">
        <f>+Tabla4[[#This Row],[Precio Unitario Neto]]*Tabla4[[#Headers],[20.85%]]</f>
        <v>2142.5796935999997</v>
      </c>
      <c r="L6373" s="282">
        <f>++Tabla4[[#This Row],[Precio Unitario Neto]]-Tabla4[[#This Row],[20.85%]]</f>
        <v>8133.5819063999998</v>
      </c>
      <c r="M6373" s="282" t="e">
        <f>(INDEX(Tabla6[#All],MATCH(Tabla4[[#This Row],[Producto]],Tabla6[[#All],[PRODUCTO]],0),MATCH(Tabla4[[#This Row],[Mes]],Tabla6[#Headers],0)))*(1+Catalogos!$L$2)</f>
        <v>#N/A</v>
      </c>
      <c r="N6373" s="283" t="e">
        <f>+(Tabla4[[#This Row],[Precio Descontado]]-Tabla4[[#This Row],[Precio Base]])*Tabla4[[#This Row],[Cantidad]]</f>
        <v>#N/A</v>
      </c>
      <c r="O6373" s="284" t="e">
        <f>++Tabla4[[#This Row],[Utilidad Total]]/Tabla4[[#This Row],[Total]]</f>
        <v>#N/A</v>
      </c>
      <c r="P6373" s="282">
        <f>++Tabla4[[#This Row],[Precio Descontado]]*Tabla4[[#This Row],[Cantidad]]</f>
        <v>24400.7457192</v>
      </c>
      <c r="Q6373" s="282" t="e">
        <f>(INDEX(Tabla6[#All],MATCH(Tabla4[[#This Row],[Producto]],Tabla6[[#All],[PRODUCTO]],0),MATCH(Tabla4[[#This Row],[Mes]],Tabla6[#Headers],0)))</f>
        <v>#N/A</v>
      </c>
      <c r="R6373" s="282" t="e">
        <f>++Tabla4[[#This Row],[Precio Unitario Neto]]-Tabla4[[#This Row],[20.85%]]-Tabla4[[#This Row],[Costo]]</f>
        <v>#N/A</v>
      </c>
      <c r="S6373" s="282" t="e">
        <f>++Tabla4[[#This Row],[U. Bruta Uni]]*Tabla4[[#This Row],[Cantidad]]</f>
        <v>#N/A</v>
      </c>
      <c r="T6373" s="369" t="str">
        <f>VLOOKUP(Tabla4[[#This Row],[Producto]],Tabla6[#All],14,FALSE)</f>
        <v>Termico Solar</v>
      </c>
      <c r="U6373" s="284" t="e">
        <f>(IF(Tabla4[[#This Row],[Familia]]="termico solar",Tabla4[[#This Row],[Utilidad Total]]*6%,Tabla4[[#This Row],[Utilidad Total]]*11.5%))/Tabla4[[#This Row],[Total]]</f>
        <v>#N/A</v>
      </c>
      <c r="V6373" s="282" t="e">
        <f>+Tabla4[[#This Row],[Comisión Calculada]]*Tabla4[[#This Row],[Total]]</f>
        <v>#N/A</v>
      </c>
    </row>
    <row r="6374" spans="1:22" hidden="1" x14ac:dyDescent="0.25">
      <c r="A6374" s="100">
        <v>45945</v>
      </c>
      <c r="B6374" t="str">
        <f t="shared" si="333"/>
        <v>October</v>
      </c>
      <c r="C6374" s="46" t="s">
        <v>280</v>
      </c>
      <c r="F6374" s="366" t="s">
        <v>3253</v>
      </c>
      <c r="G6374" s="46" t="s">
        <v>17</v>
      </c>
      <c r="H6374" s="46">
        <v>3</v>
      </c>
      <c r="I6374" s="51">
        <v>4622.28</v>
      </c>
      <c r="J6374" s="281">
        <f>++Tabla4[[#This Row],[Precio Bruto]]*1.16</f>
        <v>5361.8447999999989</v>
      </c>
      <c r="K6374" s="281">
        <f>+Tabla4[[#This Row],[Precio Unitario Neto]]*Tabla4[[#Headers],[20.85%]]</f>
        <v>1117.9446407999997</v>
      </c>
      <c r="L6374" s="282">
        <f>++Tabla4[[#This Row],[Precio Unitario Neto]]-Tabla4[[#This Row],[20.85%]]</f>
        <v>4243.9001591999995</v>
      </c>
      <c r="M6374" s="282" t="e">
        <f>(INDEX(Tabla6[#All],MATCH(Tabla4[[#This Row],[Producto]],Tabla6[[#All],[PRODUCTO]],0),MATCH(Tabla4[[#This Row],[Mes]],Tabla6[#Headers],0)))*(1+Catalogos!$L$2)</f>
        <v>#N/A</v>
      </c>
      <c r="N6374" s="283" t="e">
        <f>+(Tabla4[[#This Row],[Precio Descontado]]-Tabla4[[#This Row],[Precio Base]])*Tabla4[[#This Row],[Cantidad]]</f>
        <v>#N/A</v>
      </c>
      <c r="O6374" s="284" t="e">
        <f>++Tabla4[[#This Row],[Utilidad Total]]/Tabla4[[#This Row],[Total]]</f>
        <v>#N/A</v>
      </c>
      <c r="P6374" s="282">
        <f>++Tabla4[[#This Row],[Precio Descontado]]*Tabla4[[#This Row],[Cantidad]]</f>
        <v>12731.700477599999</v>
      </c>
      <c r="Q6374" s="282" t="e">
        <f>(INDEX(Tabla6[#All],MATCH(Tabla4[[#This Row],[Producto]],Tabla6[[#All],[PRODUCTO]],0),MATCH(Tabla4[[#This Row],[Mes]],Tabla6[#Headers],0)))</f>
        <v>#N/A</v>
      </c>
      <c r="R6374" s="282" t="e">
        <f>++Tabla4[[#This Row],[Precio Unitario Neto]]-Tabla4[[#This Row],[20.85%]]-Tabla4[[#This Row],[Costo]]</f>
        <v>#N/A</v>
      </c>
      <c r="S6374" s="282" t="e">
        <f>++Tabla4[[#This Row],[U. Bruta Uni]]*Tabla4[[#This Row],[Cantidad]]</f>
        <v>#N/A</v>
      </c>
      <c r="T6374" s="369" t="str">
        <f>VLOOKUP(Tabla4[[#This Row],[Producto]],Tabla6[#All],14,FALSE)</f>
        <v>Termico Solar</v>
      </c>
      <c r="U6374" s="284" t="e">
        <f>(IF(Tabla4[[#This Row],[Familia]]="termico solar",Tabla4[[#This Row],[Utilidad Total]]*6%,Tabla4[[#This Row],[Utilidad Total]]*11.5%))/Tabla4[[#This Row],[Total]]</f>
        <v>#N/A</v>
      </c>
      <c r="V6374" s="282" t="e">
        <f>+Tabla4[[#This Row],[Comisión Calculada]]*Tabla4[[#This Row],[Total]]</f>
        <v>#N/A</v>
      </c>
    </row>
    <row r="6375" spans="1:22" hidden="1" x14ac:dyDescent="0.25">
      <c r="A6375" s="100">
        <v>45945</v>
      </c>
      <c r="B6375" t="str">
        <f t="shared" si="333"/>
        <v>October</v>
      </c>
      <c r="C6375" s="46" t="s">
        <v>280</v>
      </c>
      <c r="F6375" s="366" t="s">
        <v>3253</v>
      </c>
      <c r="G6375" s="46" t="s">
        <v>18</v>
      </c>
      <c r="H6375" s="46">
        <v>2</v>
      </c>
      <c r="I6375" s="51">
        <v>5367.65</v>
      </c>
      <c r="J6375" s="281">
        <f>++Tabla4[[#This Row],[Precio Bruto]]*1.16</f>
        <v>6226.4739999999993</v>
      </c>
      <c r="K6375" s="281">
        <f>+Tabla4[[#This Row],[Precio Unitario Neto]]*Tabla4[[#Headers],[20.85%]]</f>
        <v>1298.2198289999999</v>
      </c>
      <c r="L6375" s="282">
        <f>++Tabla4[[#This Row],[Precio Unitario Neto]]-Tabla4[[#This Row],[20.85%]]</f>
        <v>4928.2541709999996</v>
      </c>
      <c r="M6375" s="282" t="e">
        <f>(INDEX(Tabla6[#All],MATCH(Tabla4[[#This Row],[Producto]],Tabla6[[#All],[PRODUCTO]],0),MATCH(Tabla4[[#This Row],[Mes]],Tabla6[#Headers],0)))*(1+Catalogos!$L$2)</f>
        <v>#N/A</v>
      </c>
      <c r="N6375" s="283" t="e">
        <f>+(Tabla4[[#This Row],[Precio Descontado]]-Tabla4[[#This Row],[Precio Base]])*Tabla4[[#This Row],[Cantidad]]</f>
        <v>#N/A</v>
      </c>
      <c r="O6375" s="284" t="e">
        <f>++Tabla4[[#This Row],[Utilidad Total]]/Tabla4[[#This Row],[Total]]</f>
        <v>#N/A</v>
      </c>
      <c r="P6375" s="282">
        <f>++Tabla4[[#This Row],[Precio Descontado]]*Tabla4[[#This Row],[Cantidad]]</f>
        <v>9856.5083419999992</v>
      </c>
      <c r="Q6375" s="282" t="e">
        <f>(INDEX(Tabla6[#All],MATCH(Tabla4[[#This Row],[Producto]],Tabla6[[#All],[PRODUCTO]],0),MATCH(Tabla4[[#This Row],[Mes]],Tabla6[#Headers],0)))</f>
        <v>#N/A</v>
      </c>
      <c r="R6375" s="282" t="e">
        <f>++Tabla4[[#This Row],[Precio Unitario Neto]]-Tabla4[[#This Row],[20.85%]]-Tabla4[[#This Row],[Costo]]</f>
        <v>#N/A</v>
      </c>
      <c r="S6375" s="282" t="e">
        <f>++Tabla4[[#This Row],[U. Bruta Uni]]*Tabla4[[#This Row],[Cantidad]]</f>
        <v>#N/A</v>
      </c>
      <c r="T6375" s="369" t="str">
        <f>VLOOKUP(Tabla4[[#This Row],[Producto]],Tabla6[#All],14,FALSE)</f>
        <v>Termico Solar</v>
      </c>
      <c r="U6375" s="284" t="e">
        <f>(IF(Tabla4[[#This Row],[Familia]]="termico solar",Tabla4[[#This Row],[Utilidad Total]]*6%,Tabla4[[#This Row],[Utilidad Total]]*11.5%))/Tabla4[[#This Row],[Total]]</f>
        <v>#N/A</v>
      </c>
      <c r="V6375" s="282" t="e">
        <f>+Tabla4[[#This Row],[Comisión Calculada]]*Tabla4[[#This Row],[Total]]</f>
        <v>#N/A</v>
      </c>
    </row>
    <row r="6376" spans="1:22" hidden="1" x14ac:dyDescent="0.25">
      <c r="A6376" s="100">
        <v>45945</v>
      </c>
      <c r="B6376" t="str">
        <f t="shared" si="333"/>
        <v>October</v>
      </c>
      <c r="C6376" s="46" t="s">
        <v>280</v>
      </c>
      <c r="F6376" s="366" t="s">
        <v>3253</v>
      </c>
      <c r="G6376" s="46" t="s">
        <v>566</v>
      </c>
      <c r="H6376" s="46">
        <v>1</v>
      </c>
      <c r="I6376" s="51">
        <v>2109.4499999999998</v>
      </c>
      <c r="J6376" s="281">
        <f>++Tabla4[[#This Row],[Precio Bruto]]*1.16</f>
        <v>2446.9619999999995</v>
      </c>
      <c r="K6376" s="281">
        <f>+Tabla4[[#This Row],[Precio Unitario Neto]]*Tabla4[[#Headers],[20.85%]]</f>
        <v>510.19157699999988</v>
      </c>
      <c r="L6376" s="282">
        <f>++Tabla4[[#This Row],[Precio Unitario Neto]]-Tabla4[[#This Row],[20.85%]]</f>
        <v>1936.7704229999997</v>
      </c>
      <c r="M6376" s="282" t="e">
        <f>(INDEX(Tabla6[#All],MATCH(Tabla4[[#This Row],[Producto]],Tabla6[[#All],[PRODUCTO]],0),MATCH(Tabla4[[#This Row],[Mes]],Tabla6[#Headers],0)))*(1+Catalogos!$L$2)</f>
        <v>#N/A</v>
      </c>
      <c r="N6376" s="283" t="e">
        <f>+(Tabla4[[#This Row],[Precio Descontado]]-Tabla4[[#This Row],[Precio Base]])*Tabla4[[#This Row],[Cantidad]]</f>
        <v>#N/A</v>
      </c>
      <c r="O6376" s="284" t="e">
        <f>++Tabla4[[#This Row],[Utilidad Total]]/Tabla4[[#This Row],[Total]]</f>
        <v>#N/A</v>
      </c>
      <c r="P6376" s="282">
        <f>++Tabla4[[#This Row],[Precio Descontado]]*Tabla4[[#This Row],[Cantidad]]</f>
        <v>1936.7704229999997</v>
      </c>
      <c r="Q6376" s="282" t="e">
        <f>(INDEX(Tabla6[#All],MATCH(Tabla4[[#This Row],[Producto]],Tabla6[[#All],[PRODUCTO]],0),MATCH(Tabla4[[#This Row],[Mes]],Tabla6[#Headers],0)))</f>
        <v>#N/A</v>
      </c>
      <c r="R6376" s="282" t="e">
        <f>++Tabla4[[#This Row],[Precio Unitario Neto]]-Tabla4[[#This Row],[20.85%]]-Tabla4[[#This Row],[Costo]]</f>
        <v>#N/A</v>
      </c>
      <c r="S6376" s="282" t="e">
        <f>++Tabla4[[#This Row],[U. Bruta Uni]]*Tabla4[[#This Row],[Cantidad]]</f>
        <v>#N/A</v>
      </c>
      <c r="T6376" s="369" t="str">
        <f>VLOOKUP(Tabla4[[#This Row],[Producto]],Tabla6[#All],14,FALSE)</f>
        <v>Termico Solar</v>
      </c>
      <c r="U6376" s="284" t="e">
        <f>(IF(Tabla4[[#This Row],[Familia]]="termico solar",Tabla4[[#This Row],[Utilidad Total]]*6%,Tabla4[[#This Row],[Utilidad Total]]*11.5%))/Tabla4[[#This Row],[Total]]</f>
        <v>#N/A</v>
      </c>
      <c r="V6376" s="282" t="e">
        <f>+Tabla4[[#This Row],[Comisión Calculada]]*Tabla4[[#This Row],[Total]]</f>
        <v>#N/A</v>
      </c>
    </row>
    <row r="6377" spans="1:22" hidden="1" x14ac:dyDescent="0.25">
      <c r="A6377" s="100">
        <v>45945</v>
      </c>
      <c r="B6377" t="str">
        <f t="shared" si="333"/>
        <v>October</v>
      </c>
      <c r="C6377" s="46" t="s">
        <v>280</v>
      </c>
      <c r="F6377" s="366" t="s">
        <v>3253</v>
      </c>
      <c r="G6377" s="46" t="s">
        <v>16</v>
      </c>
      <c r="H6377" s="46">
        <v>2</v>
      </c>
      <c r="I6377" s="51">
        <v>4103.8500000000004</v>
      </c>
      <c r="J6377" s="281">
        <f>++Tabla4[[#This Row],[Precio Bruto]]*1.16</f>
        <v>4760.4660000000003</v>
      </c>
      <c r="K6377" s="281">
        <f>+Tabla4[[#This Row],[Precio Unitario Neto]]*Tabla4[[#Headers],[20.85%]]</f>
        <v>992.55716100000006</v>
      </c>
      <c r="L6377" s="282">
        <f>++Tabla4[[#This Row],[Precio Unitario Neto]]-Tabla4[[#This Row],[20.85%]]</f>
        <v>3767.9088390000002</v>
      </c>
      <c r="M6377" s="282" t="e">
        <f>(INDEX(Tabla6[#All],MATCH(Tabla4[[#This Row],[Producto]],Tabla6[[#All],[PRODUCTO]],0),MATCH(Tabla4[[#This Row],[Mes]],Tabla6[#Headers],0)))*(1+Catalogos!$L$2)</f>
        <v>#N/A</v>
      </c>
      <c r="N6377" s="283" t="e">
        <f>+(Tabla4[[#This Row],[Precio Descontado]]-Tabla4[[#This Row],[Precio Base]])*Tabla4[[#This Row],[Cantidad]]</f>
        <v>#N/A</v>
      </c>
      <c r="O6377" s="284" t="e">
        <f>++Tabla4[[#This Row],[Utilidad Total]]/Tabla4[[#This Row],[Total]]</f>
        <v>#N/A</v>
      </c>
      <c r="P6377" s="282">
        <f>++Tabla4[[#This Row],[Precio Descontado]]*Tabla4[[#This Row],[Cantidad]]</f>
        <v>7535.8176780000003</v>
      </c>
      <c r="Q6377" s="282" t="e">
        <f>(INDEX(Tabla6[#All],MATCH(Tabla4[[#This Row],[Producto]],Tabla6[[#All],[PRODUCTO]],0),MATCH(Tabla4[[#This Row],[Mes]],Tabla6[#Headers],0)))</f>
        <v>#N/A</v>
      </c>
      <c r="R6377" s="282" t="e">
        <f>++Tabla4[[#This Row],[Precio Unitario Neto]]-Tabla4[[#This Row],[20.85%]]-Tabla4[[#This Row],[Costo]]</f>
        <v>#N/A</v>
      </c>
      <c r="S6377" s="282" t="e">
        <f>++Tabla4[[#This Row],[U. Bruta Uni]]*Tabla4[[#This Row],[Cantidad]]</f>
        <v>#N/A</v>
      </c>
      <c r="T6377" s="369" t="str">
        <f>VLOOKUP(Tabla4[[#This Row],[Producto]],Tabla6[#All],14,FALSE)</f>
        <v>Termico Solar</v>
      </c>
      <c r="U6377" s="284" t="e">
        <f>(IF(Tabla4[[#This Row],[Familia]]="termico solar",Tabla4[[#This Row],[Utilidad Total]]*6%,Tabla4[[#This Row],[Utilidad Total]]*11.5%))/Tabla4[[#This Row],[Total]]</f>
        <v>#N/A</v>
      </c>
      <c r="V6377" s="282" t="e">
        <f>+Tabla4[[#This Row],[Comisión Calculada]]*Tabla4[[#This Row],[Total]]</f>
        <v>#N/A</v>
      </c>
    </row>
    <row r="6378" spans="1:22" hidden="1" x14ac:dyDescent="0.25">
      <c r="A6378" s="100">
        <v>45945</v>
      </c>
      <c r="B6378" t="str">
        <f t="shared" ref="B6378:B6381" si="334">TEXT(A6378, "mmmm")</f>
        <v>October</v>
      </c>
      <c r="C6378" s="46" t="s">
        <v>280</v>
      </c>
      <c r="F6378" s="366" t="s">
        <v>3254</v>
      </c>
      <c r="G6378" s="46" t="s">
        <v>566</v>
      </c>
      <c r="H6378" s="46">
        <v>1</v>
      </c>
      <c r="I6378" s="51">
        <v>2109.4499999999998</v>
      </c>
      <c r="J6378" s="281">
        <f>++Tabla4[[#This Row],[Precio Bruto]]*1.16</f>
        <v>2446.9619999999995</v>
      </c>
      <c r="K6378" s="281">
        <f>+Tabla4[[#This Row],[Precio Unitario Neto]]*Tabla4[[#Headers],[20.85%]]</f>
        <v>510.19157699999988</v>
      </c>
      <c r="L6378" s="282">
        <f>++Tabla4[[#This Row],[Precio Unitario Neto]]-Tabla4[[#This Row],[20.85%]]</f>
        <v>1936.7704229999997</v>
      </c>
      <c r="M6378" s="282" t="e">
        <f>(INDEX(Tabla6[#All],MATCH(Tabla4[[#This Row],[Producto]],Tabla6[[#All],[PRODUCTO]],0),MATCH(Tabla4[[#This Row],[Mes]],Tabla6[#Headers],0)))*(1+Catalogos!$L$2)</f>
        <v>#N/A</v>
      </c>
      <c r="N6378" s="283" t="e">
        <f>+(Tabla4[[#This Row],[Precio Descontado]]-Tabla4[[#This Row],[Precio Base]])*Tabla4[[#This Row],[Cantidad]]</f>
        <v>#N/A</v>
      </c>
      <c r="O6378" s="284" t="e">
        <f>++Tabla4[[#This Row],[Utilidad Total]]/Tabla4[[#This Row],[Total]]</f>
        <v>#N/A</v>
      </c>
      <c r="P6378" s="282">
        <f>++Tabla4[[#This Row],[Precio Descontado]]*Tabla4[[#This Row],[Cantidad]]</f>
        <v>1936.7704229999997</v>
      </c>
      <c r="Q6378" s="282" t="e">
        <f>(INDEX(Tabla6[#All],MATCH(Tabla4[[#This Row],[Producto]],Tabla6[[#All],[PRODUCTO]],0),MATCH(Tabla4[[#This Row],[Mes]],Tabla6[#Headers],0)))</f>
        <v>#N/A</v>
      </c>
      <c r="R6378" s="282" t="e">
        <f>++Tabla4[[#This Row],[Precio Unitario Neto]]-Tabla4[[#This Row],[20.85%]]-Tabla4[[#This Row],[Costo]]</f>
        <v>#N/A</v>
      </c>
      <c r="S6378" s="282" t="e">
        <f>++Tabla4[[#This Row],[U. Bruta Uni]]*Tabla4[[#This Row],[Cantidad]]</f>
        <v>#N/A</v>
      </c>
      <c r="T6378" s="369" t="str">
        <f>VLOOKUP(Tabla4[[#This Row],[Producto]],Tabla6[#All],14,FALSE)</f>
        <v>Termico Solar</v>
      </c>
      <c r="U6378" s="284" t="e">
        <f>(IF(Tabla4[[#This Row],[Familia]]="termico solar",Tabla4[[#This Row],[Utilidad Total]]*6%,Tabla4[[#This Row],[Utilidad Total]]*11.5%))/Tabla4[[#This Row],[Total]]</f>
        <v>#N/A</v>
      </c>
      <c r="V6378" s="282" t="e">
        <f>+Tabla4[[#This Row],[Comisión Calculada]]*Tabla4[[#This Row],[Total]]</f>
        <v>#N/A</v>
      </c>
    </row>
    <row r="6379" spans="1:22" hidden="1" x14ac:dyDescent="0.25">
      <c r="A6379" s="100">
        <v>45945</v>
      </c>
      <c r="B6379" t="str">
        <f t="shared" si="334"/>
        <v>October</v>
      </c>
      <c r="C6379" s="46" t="s">
        <v>280</v>
      </c>
      <c r="F6379" s="366" t="s">
        <v>3254</v>
      </c>
      <c r="G6379" s="46" t="s">
        <v>412</v>
      </c>
      <c r="H6379" s="46">
        <v>1</v>
      </c>
      <c r="I6379" s="51">
        <v>3240.84</v>
      </c>
      <c r="J6379" s="281">
        <f>++Tabla4[[#This Row],[Precio Bruto]]*1.16</f>
        <v>3759.3743999999997</v>
      </c>
      <c r="K6379" s="281">
        <f>+Tabla4[[#This Row],[Precio Unitario Neto]]*Tabla4[[#Headers],[20.85%]]</f>
        <v>783.82956239999987</v>
      </c>
      <c r="L6379" s="282">
        <f>++Tabla4[[#This Row],[Precio Unitario Neto]]-Tabla4[[#This Row],[20.85%]]</f>
        <v>2975.5448375999999</v>
      </c>
      <c r="M6379" s="282" t="e">
        <f>(INDEX(Tabla6[#All],MATCH(Tabla4[[#This Row],[Producto]],Tabla6[[#All],[PRODUCTO]],0),MATCH(Tabla4[[#This Row],[Mes]],Tabla6[#Headers],0)))*(1+Catalogos!$L$2)</f>
        <v>#N/A</v>
      </c>
      <c r="N6379" s="283" t="e">
        <f>+(Tabla4[[#This Row],[Precio Descontado]]-Tabla4[[#This Row],[Precio Base]])*Tabla4[[#This Row],[Cantidad]]</f>
        <v>#N/A</v>
      </c>
      <c r="O6379" s="284" t="e">
        <f>++Tabla4[[#This Row],[Utilidad Total]]/Tabla4[[#This Row],[Total]]</f>
        <v>#N/A</v>
      </c>
      <c r="P6379" s="282">
        <f>++Tabla4[[#This Row],[Precio Descontado]]*Tabla4[[#This Row],[Cantidad]]</f>
        <v>2975.5448375999999</v>
      </c>
      <c r="Q6379" s="282" t="e">
        <f>(INDEX(Tabla6[#All],MATCH(Tabla4[[#This Row],[Producto]],Tabla6[[#All],[PRODUCTO]],0),MATCH(Tabla4[[#This Row],[Mes]],Tabla6[#Headers],0)))</f>
        <v>#N/A</v>
      </c>
      <c r="R6379" s="282" t="e">
        <f>++Tabla4[[#This Row],[Precio Unitario Neto]]-Tabla4[[#This Row],[20.85%]]-Tabla4[[#This Row],[Costo]]</f>
        <v>#N/A</v>
      </c>
      <c r="S6379" s="282" t="e">
        <f>++Tabla4[[#This Row],[U. Bruta Uni]]*Tabla4[[#This Row],[Cantidad]]</f>
        <v>#N/A</v>
      </c>
      <c r="T6379" s="369" t="str">
        <f>VLOOKUP(Tabla4[[#This Row],[Producto]],Tabla6[#All],14,FALSE)</f>
        <v>Termico Solar</v>
      </c>
      <c r="U6379" s="284" t="e">
        <f>(IF(Tabla4[[#This Row],[Familia]]="termico solar",Tabla4[[#This Row],[Utilidad Total]]*6%,Tabla4[[#This Row],[Utilidad Total]]*11.5%))/Tabla4[[#This Row],[Total]]</f>
        <v>#N/A</v>
      </c>
      <c r="V6379" s="282" t="e">
        <f>+Tabla4[[#This Row],[Comisión Calculada]]*Tabla4[[#This Row],[Total]]</f>
        <v>#N/A</v>
      </c>
    </row>
    <row r="6380" spans="1:22" hidden="1" x14ac:dyDescent="0.25">
      <c r="A6380" s="100">
        <v>45945</v>
      </c>
      <c r="B6380" t="str">
        <f t="shared" si="334"/>
        <v>October</v>
      </c>
      <c r="C6380" s="46" t="s">
        <v>280</v>
      </c>
      <c r="F6380" s="366" t="s">
        <v>3254</v>
      </c>
      <c r="G6380" s="46" t="s">
        <v>555</v>
      </c>
      <c r="H6380" s="46">
        <v>8</v>
      </c>
      <c r="I6380" s="51">
        <v>389.47</v>
      </c>
      <c r="J6380" s="281">
        <f>++Tabla4[[#This Row],[Precio Bruto]]*1.16</f>
        <v>451.78519999999997</v>
      </c>
      <c r="K6380" s="281">
        <f>+Tabla4[[#This Row],[Precio Unitario Neto]]*Tabla4[[#Headers],[20.85%]]</f>
        <v>94.197214199999991</v>
      </c>
      <c r="L6380" s="282">
        <f>++Tabla4[[#This Row],[Precio Unitario Neto]]-Tabla4[[#This Row],[20.85%]]</f>
        <v>357.58798579999996</v>
      </c>
      <c r="M6380" s="282" t="e">
        <f>(INDEX(Tabla6[#All],MATCH(Tabla4[[#This Row],[Producto]],Tabla6[[#All],[PRODUCTO]],0),MATCH(Tabla4[[#This Row],[Mes]],Tabla6[#Headers],0)))*(1+Catalogos!$L$2)</f>
        <v>#N/A</v>
      </c>
      <c r="N6380" s="283" t="e">
        <f>+(Tabla4[[#This Row],[Precio Descontado]]-Tabla4[[#This Row],[Precio Base]])*Tabla4[[#This Row],[Cantidad]]</f>
        <v>#N/A</v>
      </c>
      <c r="O6380" s="284" t="e">
        <f>++Tabla4[[#This Row],[Utilidad Total]]/Tabla4[[#This Row],[Total]]</f>
        <v>#N/A</v>
      </c>
      <c r="P6380" s="282">
        <f>++Tabla4[[#This Row],[Precio Descontado]]*Tabla4[[#This Row],[Cantidad]]</f>
        <v>2860.7038863999996</v>
      </c>
      <c r="Q6380" s="282" t="e">
        <f>(INDEX(Tabla6[#All],MATCH(Tabla4[[#This Row],[Producto]],Tabla6[[#All],[PRODUCTO]],0),MATCH(Tabla4[[#This Row],[Mes]],Tabla6[#Headers],0)))</f>
        <v>#N/A</v>
      </c>
      <c r="R6380" s="282" t="e">
        <f>++Tabla4[[#This Row],[Precio Unitario Neto]]-Tabla4[[#This Row],[20.85%]]-Tabla4[[#This Row],[Costo]]</f>
        <v>#N/A</v>
      </c>
      <c r="S6380" s="282" t="e">
        <f>++Tabla4[[#This Row],[U. Bruta Uni]]*Tabla4[[#This Row],[Cantidad]]</f>
        <v>#N/A</v>
      </c>
      <c r="T6380" s="369" t="str">
        <f>VLOOKUP(Tabla4[[#This Row],[Producto]],Tabla6[#All],14,FALSE)</f>
        <v>Termico Solar</v>
      </c>
      <c r="U6380" s="284" t="e">
        <f>(IF(Tabla4[[#This Row],[Familia]]="termico solar",Tabla4[[#This Row],[Utilidad Total]]*6%,Tabla4[[#This Row],[Utilidad Total]]*11.5%))/Tabla4[[#This Row],[Total]]</f>
        <v>#N/A</v>
      </c>
      <c r="V6380" s="282" t="e">
        <f>+Tabla4[[#This Row],[Comisión Calculada]]*Tabla4[[#This Row],[Total]]</f>
        <v>#N/A</v>
      </c>
    </row>
    <row r="6381" spans="1:22" hidden="1" x14ac:dyDescent="0.25">
      <c r="A6381" s="100">
        <v>45945</v>
      </c>
      <c r="B6381" t="str">
        <f t="shared" si="334"/>
        <v>October</v>
      </c>
      <c r="C6381" s="46" t="s">
        <v>280</v>
      </c>
      <c r="F6381" s="366" t="s">
        <v>3254</v>
      </c>
      <c r="G6381" s="46" t="s">
        <v>208</v>
      </c>
      <c r="H6381" s="46">
        <v>7</v>
      </c>
      <c r="I6381" s="51">
        <v>189.75</v>
      </c>
      <c r="J6381" s="281">
        <f>++Tabla4[[#This Row],[Precio Bruto]]*1.16</f>
        <v>220.10999999999999</v>
      </c>
      <c r="K6381" s="281">
        <f>+Tabla4[[#This Row],[Precio Unitario Neto]]*Tabla4[[#Headers],[20.85%]]</f>
        <v>45.892934999999994</v>
      </c>
      <c r="L6381" s="282">
        <f>++Tabla4[[#This Row],[Precio Unitario Neto]]-Tabla4[[#This Row],[20.85%]]</f>
        <v>174.21706499999999</v>
      </c>
      <c r="M6381" s="282" t="e">
        <f>(INDEX(Tabla6[#All],MATCH(Tabla4[[#This Row],[Producto]],Tabla6[[#All],[PRODUCTO]],0),MATCH(Tabla4[[#This Row],[Mes]],Tabla6[#Headers],0)))*(1+Catalogos!$L$2)</f>
        <v>#N/A</v>
      </c>
      <c r="N6381" s="283" t="e">
        <f>+(Tabla4[[#This Row],[Precio Descontado]]-Tabla4[[#This Row],[Precio Base]])*Tabla4[[#This Row],[Cantidad]]</f>
        <v>#N/A</v>
      </c>
      <c r="O6381" s="284" t="e">
        <f>++Tabla4[[#This Row],[Utilidad Total]]/Tabla4[[#This Row],[Total]]</f>
        <v>#N/A</v>
      </c>
      <c r="P6381" s="282">
        <f>++Tabla4[[#This Row],[Precio Descontado]]*Tabla4[[#This Row],[Cantidad]]</f>
        <v>1219.5194549999999</v>
      </c>
      <c r="Q6381" s="282" t="e">
        <f>(INDEX(Tabla6[#All],MATCH(Tabla4[[#This Row],[Producto]],Tabla6[[#All],[PRODUCTO]],0),MATCH(Tabla4[[#This Row],[Mes]],Tabla6[#Headers],0)))</f>
        <v>#N/A</v>
      </c>
      <c r="R6381" s="282" t="e">
        <f>++Tabla4[[#This Row],[Precio Unitario Neto]]-Tabla4[[#This Row],[20.85%]]-Tabla4[[#This Row],[Costo]]</f>
        <v>#N/A</v>
      </c>
      <c r="S6381" s="282" t="e">
        <f>++Tabla4[[#This Row],[U. Bruta Uni]]*Tabla4[[#This Row],[Cantidad]]</f>
        <v>#N/A</v>
      </c>
      <c r="T6381" s="369" t="str">
        <f>VLOOKUP(Tabla4[[#This Row],[Producto]],Tabla6[#All],14,FALSE)</f>
        <v>Termico Solar</v>
      </c>
      <c r="U6381" s="284" t="e">
        <f>(IF(Tabla4[[#This Row],[Familia]]="termico solar",Tabla4[[#This Row],[Utilidad Total]]*6%,Tabla4[[#This Row],[Utilidad Total]]*11.5%))/Tabla4[[#This Row],[Total]]</f>
        <v>#N/A</v>
      </c>
      <c r="V6381" s="282" t="e">
        <f>+Tabla4[[#This Row],[Comisión Calculada]]*Tabla4[[#This Row],[Total]]</f>
        <v>#N/A</v>
      </c>
    </row>
    <row r="6382" spans="1:22" hidden="1" x14ac:dyDescent="0.25">
      <c r="A6382" s="100">
        <v>45945</v>
      </c>
      <c r="B6382" t="str">
        <f t="shared" ref="B6382:B6383" si="335">TEXT(A6382, "mmmm")</f>
        <v>October</v>
      </c>
      <c r="C6382" s="46" t="s">
        <v>280</v>
      </c>
      <c r="F6382" s="366" t="s">
        <v>3255</v>
      </c>
      <c r="G6382" s="46" t="s">
        <v>566</v>
      </c>
      <c r="H6382" s="46">
        <v>1</v>
      </c>
      <c r="I6382" s="51">
        <v>2109.4499999999998</v>
      </c>
      <c r="J6382" s="281">
        <f>++Tabla4[[#This Row],[Precio Bruto]]*1.16</f>
        <v>2446.9619999999995</v>
      </c>
      <c r="K6382" s="281">
        <f>+Tabla4[[#This Row],[Precio Unitario Neto]]*Tabla4[[#Headers],[20.85%]]</f>
        <v>510.19157699999988</v>
      </c>
      <c r="L6382" s="282">
        <f>++Tabla4[[#This Row],[Precio Unitario Neto]]-Tabla4[[#This Row],[20.85%]]</f>
        <v>1936.7704229999997</v>
      </c>
      <c r="M6382" s="282" t="e">
        <f>(INDEX(Tabla6[#All],MATCH(Tabla4[[#This Row],[Producto]],Tabla6[[#All],[PRODUCTO]],0),MATCH(Tabla4[[#This Row],[Mes]],Tabla6[#Headers],0)))*(1+Catalogos!$L$2)</f>
        <v>#N/A</v>
      </c>
      <c r="N6382" s="283" t="e">
        <f>+(Tabla4[[#This Row],[Precio Descontado]]-Tabla4[[#This Row],[Precio Base]])*Tabla4[[#This Row],[Cantidad]]</f>
        <v>#N/A</v>
      </c>
      <c r="O6382" s="284" t="e">
        <f>++Tabla4[[#This Row],[Utilidad Total]]/Tabla4[[#This Row],[Total]]</f>
        <v>#N/A</v>
      </c>
      <c r="P6382" s="282">
        <f>++Tabla4[[#This Row],[Precio Descontado]]*Tabla4[[#This Row],[Cantidad]]</f>
        <v>1936.7704229999997</v>
      </c>
      <c r="Q6382" s="282" t="e">
        <f>(INDEX(Tabla6[#All],MATCH(Tabla4[[#This Row],[Producto]],Tabla6[[#All],[PRODUCTO]],0),MATCH(Tabla4[[#This Row],[Mes]],Tabla6[#Headers],0)))</f>
        <v>#N/A</v>
      </c>
      <c r="R6382" s="282" t="e">
        <f>++Tabla4[[#This Row],[Precio Unitario Neto]]-Tabla4[[#This Row],[20.85%]]-Tabla4[[#This Row],[Costo]]</f>
        <v>#N/A</v>
      </c>
      <c r="S6382" s="282" t="e">
        <f>++Tabla4[[#This Row],[U. Bruta Uni]]*Tabla4[[#This Row],[Cantidad]]</f>
        <v>#N/A</v>
      </c>
      <c r="T6382" s="369" t="str">
        <f>VLOOKUP(Tabla4[[#This Row],[Producto]],Tabla6[#All],14,FALSE)</f>
        <v>Termico Solar</v>
      </c>
      <c r="U6382" s="284" t="e">
        <f>(IF(Tabla4[[#This Row],[Familia]]="termico solar",Tabla4[[#This Row],[Utilidad Total]]*6%,Tabla4[[#This Row],[Utilidad Total]]*11.5%))/Tabla4[[#This Row],[Total]]</f>
        <v>#N/A</v>
      </c>
      <c r="V6382" s="282" t="e">
        <f>+Tabla4[[#This Row],[Comisión Calculada]]*Tabla4[[#This Row],[Total]]</f>
        <v>#N/A</v>
      </c>
    </row>
    <row r="6383" spans="1:22" hidden="1" x14ac:dyDescent="0.25">
      <c r="A6383" s="100">
        <v>45945</v>
      </c>
      <c r="B6383" t="str">
        <f t="shared" si="335"/>
        <v>October</v>
      </c>
      <c r="C6383" s="46" t="s">
        <v>280</v>
      </c>
      <c r="F6383" s="366" t="s">
        <v>3255</v>
      </c>
      <c r="G6383" s="46" t="s">
        <v>208</v>
      </c>
      <c r="H6383" s="46">
        <v>10</v>
      </c>
      <c r="I6383" s="51">
        <v>189.75</v>
      </c>
      <c r="J6383" s="281">
        <f>++Tabla4[[#This Row],[Precio Bruto]]*1.16</f>
        <v>220.10999999999999</v>
      </c>
      <c r="K6383" s="281">
        <f>+Tabla4[[#This Row],[Precio Unitario Neto]]*Tabla4[[#Headers],[20.85%]]</f>
        <v>45.892934999999994</v>
      </c>
      <c r="L6383" s="282">
        <f>++Tabla4[[#This Row],[Precio Unitario Neto]]-Tabla4[[#This Row],[20.85%]]</f>
        <v>174.21706499999999</v>
      </c>
      <c r="M6383" s="282" t="e">
        <f>(INDEX(Tabla6[#All],MATCH(Tabla4[[#This Row],[Producto]],Tabla6[[#All],[PRODUCTO]],0),MATCH(Tabla4[[#This Row],[Mes]],Tabla6[#Headers],0)))*(1+Catalogos!$L$2)</f>
        <v>#N/A</v>
      </c>
      <c r="N6383" s="283" t="e">
        <f>+(Tabla4[[#This Row],[Precio Descontado]]-Tabla4[[#This Row],[Precio Base]])*Tabla4[[#This Row],[Cantidad]]</f>
        <v>#N/A</v>
      </c>
      <c r="O6383" s="284" t="e">
        <f>++Tabla4[[#This Row],[Utilidad Total]]/Tabla4[[#This Row],[Total]]</f>
        <v>#N/A</v>
      </c>
      <c r="P6383" s="282">
        <f>++Tabla4[[#This Row],[Precio Descontado]]*Tabla4[[#This Row],[Cantidad]]</f>
        <v>1742.17065</v>
      </c>
      <c r="Q6383" s="282" t="e">
        <f>(INDEX(Tabla6[#All],MATCH(Tabla4[[#This Row],[Producto]],Tabla6[[#All],[PRODUCTO]],0),MATCH(Tabla4[[#This Row],[Mes]],Tabla6[#Headers],0)))</f>
        <v>#N/A</v>
      </c>
      <c r="R6383" s="282" t="e">
        <f>++Tabla4[[#This Row],[Precio Unitario Neto]]-Tabla4[[#This Row],[20.85%]]-Tabla4[[#This Row],[Costo]]</f>
        <v>#N/A</v>
      </c>
      <c r="S6383" s="282" t="e">
        <f>++Tabla4[[#This Row],[U. Bruta Uni]]*Tabla4[[#This Row],[Cantidad]]</f>
        <v>#N/A</v>
      </c>
      <c r="T6383" s="369" t="str">
        <f>VLOOKUP(Tabla4[[#This Row],[Producto]],Tabla6[#All],14,FALSE)</f>
        <v>Termico Solar</v>
      </c>
      <c r="U6383" s="284" t="e">
        <f>(IF(Tabla4[[#This Row],[Familia]]="termico solar",Tabla4[[#This Row],[Utilidad Total]]*6%,Tabla4[[#This Row],[Utilidad Total]]*11.5%))/Tabla4[[#This Row],[Total]]</f>
        <v>#N/A</v>
      </c>
      <c r="V6383" s="282" t="e">
        <f>+Tabla4[[#This Row],[Comisión Calculada]]*Tabla4[[#This Row],[Total]]</f>
        <v>#N/A</v>
      </c>
    </row>
    <row r="6384" spans="1:22" hidden="1" x14ac:dyDescent="0.25">
      <c r="A6384" s="100">
        <v>45945</v>
      </c>
      <c r="B6384" t="str">
        <f t="shared" ref="B6384:B6385" si="336">TEXT(A6384, "mmmm")</f>
        <v>October</v>
      </c>
      <c r="C6384" s="46" t="s">
        <v>280</v>
      </c>
      <c r="F6384" s="366" t="s">
        <v>3256</v>
      </c>
      <c r="G6384" s="46" t="s">
        <v>17</v>
      </c>
      <c r="H6384" s="46">
        <v>1</v>
      </c>
      <c r="I6384" s="51">
        <v>4622.28</v>
      </c>
      <c r="J6384" s="281">
        <f>++Tabla4[[#This Row],[Precio Bruto]]*1.16</f>
        <v>5361.8447999999989</v>
      </c>
      <c r="K6384" s="281">
        <f>+Tabla4[[#This Row],[Precio Unitario Neto]]*Tabla4[[#Headers],[20.85%]]</f>
        <v>1117.9446407999997</v>
      </c>
      <c r="L6384" s="282">
        <f>++Tabla4[[#This Row],[Precio Unitario Neto]]-Tabla4[[#This Row],[20.85%]]</f>
        <v>4243.9001591999995</v>
      </c>
      <c r="M6384" s="282" t="e">
        <f>(INDEX(Tabla6[#All],MATCH(Tabla4[[#This Row],[Producto]],Tabla6[[#All],[PRODUCTO]],0),MATCH(Tabla4[[#This Row],[Mes]],Tabla6[#Headers],0)))*(1+Catalogos!$L$2)</f>
        <v>#N/A</v>
      </c>
      <c r="N6384" s="283" t="e">
        <f>+(Tabla4[[#This Row],[Precio Descontado]]-Tabla4[[#This Row],[Precio Base]])*Tabla4[[#This Row],[Cantidad]]</f>
        <v>#N/A</v>
      </c>
      <c r="O6384" s="284" t="e">
        <f>++Tabla4[[#This Row],[Utilidad Total]]/Tabla4[[#This Row],[Total]]</f>
        <v>#N/A</v>
      </c>
      <c r="P6384" s="282">
        <f>++Tabla4[[#This Row],[Precio Descontado]]*Tabla4[[#This Row],[Cantidad]]</f>
        <v>4243.9001591999995</v>
      </c>
      <c r="Q6384" s="282" t="e">
        <f>(INDEX(Tabla6[#All],MATCH(Tabla4[[#This Row],[Producto]],Tabla6[[#All],[PRODUCTO]],0),MATCH(Tabla4[[#This Row],[Mes]],Tabla6[#Headers],0)))</f>
        <v>#N/A</v>
      </c>
      <c r="R6384" s="282" t="e">
        <f>++Tabla4[[#This Row],[Precio Unitario Neto]]-Tabla4[[#This Row],[20.85%]]-Tabla4[[#This Row],[Costo]]</f>
        <v>#N/A</v>
      </c>
      <c r="S6384" s="282" t="e">
        <f>++Tabla4[[#This Row],[U. Bruta Uni]]*Tabla4[[#This Row],[Cantidad]]</f>
        <v>#N/A</v>
      </c>
      <c r="T6384" s="369" t="str">
        <f>VLOOKUP(Tabla4[[#This Row],[Producto]],Tabla6[#All],14,FALSE)</f>
        <v>Termico Solar</v>
      </c>
      <c r="U6384" s="284" t="e">
        <f>(IF(Tabla4[[#This Row],[Familia]]="termico solar",Tabla4[[#This Row],[Utilidad Total]]*6%,Tabla4[[#This Row],[Utilidad Total]]*11.5%))/Tabla4[[#This Row],[Total]]</f>
        <v>#N/A</v>
      </c>
      <c r="V6384" s="282" t="e">
        <f>+Tabla4[[#This Row],[Comisión Calculada]]*Tabla4[[#This Row],[Total]]</f>
        <v>#N/A</v>
      </c>
    </row>
    <row r="6385" spans="1:22" hidden="1" x14ac:dyDescent="0.25">
      <c r="A6385" s="100">
        <v>45945</v>
      </c>
      <c r="B6385" t="str">
        <f t="shared" si="336"/>
        <v>October</v>
      </c>
      <c r="C6385" s="46" t="s">
        <v>280</v>
      </c>
      <c r="F6385" s="366" t="s">
        <v>3256</v>
      </c>
      <c r="G6385" s="46" t="s">
        <v>566</v>
      </c>
      <c r="H6385" s="46">
        <v>1</v>
      </c>
      <c r="I6385" s="51">
        <v>2109.4499999999998</v>
      </c>
      <c r="J6385" s="281">
        <f>++Tabla4[[#This Row],[Precio Bruto]]*1.16</f>
        <v>2446.9619999999995</v>
      </c>
      <c r="K6385" s="281">
        <f>+Tabla4[[#This Row],[Precio Unitario Neto]]*Tabla4[[#Headers],[20.85%]]</f>
        <v>510.19157699999988</v>
      </c>
      <c r="L6385" s="282">
        <f>++Tabla4[[#This Row],[Precio Unitario Neto]]-Tabla4[[#This Row],[20.85%]]</f>
        <v>1936.7704229999997</v>
      </c>
      <c r="M6385" s="282" t="e">
        <f>(INDEX(Tabla6[#All],MATCH(Tabla4[[#This Row],[Producto]],Tabla6[[#All],[PRODUCTO]],0),MATCH(Tabla4[[#This Row],[Mes]],Tabla6[#Headers],0)))*(1+Catalogos!$L$2)</f>
        <v>#N/A</v>
      </c>
      <c r="N6385" s="283" t="e">
        <f>+(Tabla4[[#This Row],[Precio Descontado]]-Tabla4[[#This Row],[Precio Base]])*Tabla4[[#This Row],[Cantidad]]</f>
        <v>#N/A</v>
      </c>
      <c r="O6385" s="284" t="e">
        <f>++Tabla4[[#This Row],[Utilidad Total]]/Tabla4[[#This Row],[Total]]</f>
        <v>#N/A</v>
      </c>
      <c r="P6385" s="282">
        <f>++Tabla4[[#This Row],[Precio Descontado]]*Tabla4[[#This Row],[Cantidad]]</f>
        <v>1936.7704229999997</v>
      </c>
      <c r="Q6385" s="282" t="e">
        <f>(INDEX(Tabla6[#All],MATCH(Tabla4[[#This Row],[Producto]],Tabla6[[#All],[PRODUCTO]],0),MATCH(Tabla4[[#This Row],[Mes]],Tabla6[#Headers],0)))</f>
        <v>#N/A</v>
      </c>
      <c r="R6385" s="282" t="e">
        <f>++Tabla4[[#This Row],[Precio Unitario Neto]]-Tabla4[[#This Row],[20.85%]]-Tabla4[[#This Row],[Costo]]</f>
        <v>#N/A</v>
      </c>
      <c r="S6385" s="282" t="e">
        <f>++Tabla4[[#This Row],[U. Bruta Uni]]*Tabla4[[#This Row],[Cantidad]]</f>
        <v>#N/A</v>
      </c>
      <c r="T6385" s="369" t="str">
        <f>VLOOKUP(Tabla4[[#This Row],[Producto]],Tabla6[#All],14,FALSE)</f>
        <v>Termico Solar</v>
      </c>
      <c r="U6385" s="284" t="e">
        <f>(IF(Tabla4[[#This Row],[Familia]]="termico solar",Tabla4[[#This Row],[Utilidad Total]]*6%,Tabla4[[#This Row],[Utilidad Total]]*11.5%))/Tabla4[[#This Row],[Total]]</f>
        <v>#N/A</v>
      </c>
      <c r="V6385" s="282" t="e">
        <f>+Tabla4[[#This Row],[Comisión Calculada]]*Tabla4[[#This Row],[Total]]</f>
        <v>#N/A</v>
      </c>
    </row>
    <row r="6386" spans="1:22" hidden="1" x14ac:dyDescent="0.25">
      <c r="A6386" s="100">
        <v>45945</v>
      </c>
      <c r="B6386" t="str">
        <f t="shared" ref="B6386:B6389" si="337">TEXT(A6386, "mmmm")</f>
        <v>October</v>
      </c>
      <c r="C6386" s="46" t="s">
        <v>280</v>
      </c>
      <c r="F6386" s="366" t="s">
        <v>3257</v>
      </c>
      <c r="G6386" s="46" t="s">
        <v>17</v>
      </c>
      <c r="H6386" s="46">
        <v>3</v>
      </c>
      <c r="I6386" s="51">
        <v>4622.28</v>
      </c>
      <c r="J6386" s="281">
        <f>++Tabla4[[#This Row],[Precio Bruto]]*1.16</f>
        <v>5361.8447999999989</v>
      </c>
      <c r="K6386" s="281">
        <f>+Tabla4[[#This Row],[Precio Unitario Neto]]*Tabla4[[#Headers],[20.85%]]</f>
        <v>1117.9446407999997</v>
      </c>
      <c r="L6386" s="282">
        <f>++Tabla4[[#This Row],[Precio Unitario Neto]]-Tabla4[[#This Row],[20.85%]]</f>
        <v>4243.9001591999995</v>
      </c>
      <c r="M6386" s="282" t="e">
        <f>(INDEX(Tabla6[#All],MATCH(Tabla4[[#This Row],[Producto]],Tabla6[[#All],[PRODUCTO]],0),MATCH(Tabla4[[#This Row],[Mes]],Tabla6[#Headers],0)))*(1+Catalogos!$L$2)</f>
        <v>#N/A</v>
      </c>
      <c r="N6386" s="283" t="e">
        <f>+(Tabla4[[#This Row],[Precio Descontado]]-Tabla4[[#This Row],[Precio Base]])*Tabla4[[#This Row],[Cantidad]]</f>
        <v>#N/A</v>
      </c>
      <c r="O6386" s="284" t="e">
        <f>++Tabla4[[#This Row],[Utilidad Total]]/Tabla4[[#This Row],[Total]]</f>
        <v>#N/A</v>
      </c>
      <c r="P6386" s="282">
        <f>++Tabla4[[#This Row],[Precio Descontado]]*Tabla4[[#This Row],[Cantidad]]</f>
        <v>12731.700477599999</v>
      </c>
      <c r="Q6386" s="282" t="e">
        <f>(INDEX(Tabla6[#All],MATCH(Tabla4[[#This Row],[Producto]],Tabla6[[#All],[PRODUCTO]],0),MATCH(Tabla4[[#This Row],[Mes]],Tabla6[#Headers],0)))</f>
        <v>#N/A</v>
      </c>
      <c r="R6386" s="282" t="e">
        <f>++Tabla4[[#This Row],[Precio Unitario Neto]]-Tabla4[[#This Row],[20.85%]]-Tabla4[[#This Row],[Costo]]</f>
        <v>#N/A</v>
      </c>
      <c r="S6386" s="282" t="e">
        <f>++Tabla4[[#This Row],[U. Bruta Uni]]*Tabla4[[#This Row],[Cantidad]]</f>
        <v>#N/A</v>
      </c>
      <c r="T6386" s="369" t="str">
        <f>VLOOKUP(Tabla4[[#This Row],[Producto]],Tabla6[#All],14,FALSE)</f>
        <v>Termico Solar</v>
      </c>
      <c r="U6386" s="284" t="e">
        <f>(IF(Tabla4[[#This Row],[Familia]]="termico solar",Tabla4[[#This Row],[Utilidad Total]]*6%,Tabla4[[#This Row],[Utilidad Total]]*11.5%))/Tabla4[[#This Row],[Total]]</f>
        <v>#N/A</v>
      </c>
      <c r="V6386" s="282" t="e">
        <f>+Tabla4[[#This Row],[Comisión Calculada]]*Tabla4[[#This Row],[Total]]</f>
        <v>#N/A</v>
      </c>
    </row>
    <row r="6387" spans="1:22" hidden="1" x14ac:dyDescent="0.25">
      <c r="A6387" s="100">
        <v>45945</v>
      </c>
      <c r="B6387" t="str">
        <f t="shared" si="337"/>
        <v>October</v>
      </c>
      <c r="C6387" s="46" t="s">
        <v>280</v>
      </c>
      <c r="F6387" s="366" t="s">
        <v>3257</v>
      </c>
      <c r="G6387" s="46" t="s">
        <v>18</v>
      </c>
      <c r="H6387" s="46">
        <v>4</v>
      </c>
      <c r="I6387" s="51">
        <v>5367.65</v>
      </c>
      <c r="J6387" s="281">
        <f>++Tabla4[[#This Row],[Precio Bruto]]*1.16</f>
        <v>6226.4739999999993</v>
      </c>
      <c r="K6387" s="281">
        <f>+Tabla4[[#This Row],[Precio Unitario Neto]]*Tabla4[[#Headers],[20.85%]]</f>
        <v>1298.2198289999999</v>
      </c>
      <c r="L6387" s="282">
        <f>++Tabla4[[#This Row],[Precio Unitario Neto]]-Tabla4[[#This Row],[20.85%]]</f>
        <v>4928.2541709999996</v>
      </c>
      <c r="M6387" s="282" t="e">
        <f>(INDEX(Tabla6[#All],MATCH(Tabla4[[#This Row],[Producto]],Tabla6[[#All],[PRODUCTO]],0),MATCH(Tabla4[[#This Row],[Mes]],Tabla6[#Headers],0)))*(1+Catalogos!$L$2)</f>
        <v>#N/A</v>
      </c>
      <c r="N6387" s="283" t="e">
        <f>+(Tabla4[[#This Row],[Precio Descontado]]-Tabla4[[#This Row],[Precio Base]])*Tabla4[[#This Row],[Cantidad]]</f>
        <v>#N/A</v>
      </c>
      <c r="O6387" s="284" t="e">
        <f>++Tabla4[[#This Row],[Utilidad Total]]/Tabla4[[#This Row],[Total]]</f>
        <v>#N/A</v>
      </c>
      <c r="P6387" s="282">
        <f>++Tabla4[[#This Row],[Precio Descontado]]*Tabla4[[#This Row],[Cantidad]]</f>
        <v>19713.016683999998</v>
      </c>
      <c r="Q6387" s="282" t="e">
        <f>(INDEX(Tabla6[#All],MATCH(Tabla4[[#This Row],[Producto]],Tabla6[[#All],[PRODUCTO]],0),MATCH(Tabla4[[#This Row],[Mes]],Tabla6[#Headers],0)))</f>
        <v>#N/A</v>
      </c>
      <c r="R6387" s="282" t="e">
        <f>++Tabla4[[#This Row],[Precio Unitario Neto]]-Tabla4[[#This Row],[20.85%]]-Tabla4[[#This Row],[Costo]]</f>
        <v>#N/A</v>
      </c>
      <c r="S6387" s="282" t="e">
        <f>++Tabla4[[#This Row],[U. Bruta Uni]]*Tabla4[[#This Row],[Cantidad]]</f>
        <v>#N/A</v>
      </c>
      <c r="T6387" s="369" t="str">
        <f>VLOOKUP(Tabla4[[#This Row],[Producto]],Tabla6[#All],14,FALSE)</f>
        <v>Termico Solar</v>
      </c>
      <c r="U6387" s="284" t="e">
        <f>(IF(Tabla4[[#This Row],[Familia]]="termico solar",Tabla4[[#This Row],[Utilidad Total]]*6%,Tabla4[[#This Row],[Utilidad Total]]*11.5%))/Tabla4[[#This Row],[Total]]</f>
        <v>#N/A</v>
      </c>
      <c r="V6387" s="282" t="e">
        <f>+Tabla4[[#This Row],[Comisión Calculada]]*Tabla4[[#This Row],[Total]]</f>
        <v>#N/A</v>
      </c>
    </row>
    <row r="6388" spans="1:22" hidden="1" x14ac:dyDescent="0.25">
      <c r="A6388" s="100">
        <v>45945</v>
      </c>
      <c r="B6388" t="str">
        <f t="shared" si="337"/>
        <v>October</v>
      </c>
      <c r="C6388" s="46" t="s">
        <v>280</v>
      </c>
      <c r="F6388" s="366" t="s">
        <v>3257</v>
      </c>
      <c r="G6388" s="46" t="s">
        <v>16</v>
      </c>
      <c r="H6388" s="46">
        <v>1</v>
      </c>
      <c r="I6388" s="51">
        <v>4103.8500000000004</v>
      </c>
      <c r="J6388" s="281">
        <f>++Tabla4[[#This Row],[Precio Bruto]]*1.16</f>
        <v>4760.4660000000003</v>
      </c>
      <c r="K6388" s="281">
        <f>+Tabla4[[#This Row],[Precio Unitario Neto]]*Tabla4[[#Headers],[20.85%]]</f>
        <v>992.55716100000006</v>
      </c>
      <c r="L6388" s="282">
        <f>++Tabla4[[#This Row],[Precio Unitario Neto]]-Tabla4[[#This Row],[20.85%]]</f>
        <v>3767.9088390000002</v>
      </c>
      <c r="M6388" s="282" t="e">
        <f>(INDEX(Tabla6[#All],MATCH(Tabla4[[#This Row],[Producto]],Tabla6[[#All],[PRODUCTO]],0),MATCH(Tabla4[[#This Row],[Mes]],Tabla6[#Headers],0)))*(1+Catalogos!$L$2)</f>
        <v>#N/A</v>
      </c>
      <c r="N6388" s="283" t="e">
        <f>+(Tabla4[[#This Row],[Precio Descontado]]-Tabla4[[#This Row],[Precio Base]])*Tabla4[[#This Row],[Cantidad]]</f>
        <v>#N/A</v>
      </c>
      <c r="O6388" s="284" t="e">
        <f>++Tabla4[[#This Row],[Utilidad Total]]/Tabla4[[#This Row],[Total]]</f>
        <v>#N/A</v>
      </c>
      <c r="P6388" s="282">
        <f>++Tabla4[[#This Row],[Precio Descontado]]*Tabla4[[#This Row],[Cantidad]]</f>
        <v>3767.9088390000002</v>
      </c>
      <c r="Q6388" s="282" t="e">
        <f>(INDEX(Tabla6[#All],MATCH(Tabla4[[#This Row],[Producto]],Tabla6[[#All],[PRODUCTO]],0),MATCH(Tabla4[[#This Row],[Mes]],Tabla6[#Headers],0)))</f>
        <v>#N/A</v>
      </c>
      <c r="R6388" s="282" t="e">
        <f>++Tabla4[[#This Row],[Precio Unitario Neto]]-Tabla4[[#This Row],[20.85%]]-Tabla4[[#This Row],[Costo]]</f>
        <v>#N/A</v>
      </c>
      <c r="S6388" s="282" t="e">
        <f>++Tabla4[[#This Row],[U. Bruta Uni]]*Tabla4[[#This Row],[Cantidad]]</f>
        <v>#N/A</v>
      </c>
      <c r="T6388" s="369" t="str">
        <f>VLOOKUP(Tabla4[[#This Row],[Producto]],Tabla6[#All],14,FALSE)</f>
        <v>Termico Solar</v>
      </c>
      <c r="U6388" s="284" t="e">
        <f>(IF(Tabla4[[#This Row],[Familia]]="termico solar",Tabla4[[#This Row],[Utilidad Total]]*6%,Tabla4[[#This Row],[Utilidad Total]]*11.5%))/Tabla4[[#This Row],[Total]]</f>
        <v>#N/A</v>
      </c>
      <c r="V6388" s="282" t="e">
        <f>+Tabla4[[#This Row],[Comisión Calculada]]*Tabla4[[#This Row],[Total]]</f>
        <v>#N/A</v>
      </c>
    </row>
    <row r="6389" spans="1:22" hidden="1" x14ac:dyDescent="0.25">
      <c r="A6389" s="100">
        <v>45945</v>
      </c>
      <c r="B6389" t="str">
        <f t="shared" si="337"/>
        <v>October</v>
      </c>
      <c r="C6389" s="46" t="s">
        <v>280</v>
      </c>
      <c r="F6389" s="366" t="s">
        <v>3257</v>
      </c>
      <c r="G6389" s="46" t="s">
        <v>208</v>
      </c>
      <c r="H6389" s="46">
        <v>1</v>
      </c>
      <c r="I6389" s="51">
        <v>189.75</v>
      </c>
      <c r="J6389" s="281">
        <f>++Tabla4[[#This Row],[Precio Bruto]]*1.16</f>
        <v>220.10999999999999</v>
      </c>
      <c r="K6389" s="281">
        <f>+Tabla4[[#This Row],[Precio Unitario Neto]]*Tabla4[[#Headers],[20.85%]]</f>
        <v>45.892934999999994</v>
      </c>
      <c r="L6389" s="282">
        <f>++Tabla4[[#This Row],[Precio Unitario Neto]]-Tabla4[[#This Row],[20.85%]]</f>
        <v>174.21706499999999</v>
      </c>
      <c r="M6389" s="282" t="e">
        <f>(INDEX(Tabla6[#All],MATCH(Tabla4[[#This Row],[Producto]],Tabla6[[#All],[PRODUCTO]],0),MATCH(Tabla4[[#This Row],[Mes]],Tabla6[#Headers],0)))*(1+Catalogos!$L$2)</f>
        <v>#N/A</v>
      </c>
      <c r="N6389" s="283" t="e">
        <f>+(Tabla4[[#This Row],[Precio Descontado]]-Tabla4[[#This Row],[Precio Base]])*Tabla4[[#This Row],[Cantidad]]</f>
        <v>#N/A</v>
      </c>
      <c r="O6389" s="284" t="e">
        <f>++Tabla4[[#This Row],[Utilidad Total]]/Tabla4[[#This Row],[Total]]</f>
        <v>#N/A</v>
      </c>
      <c r="P6389" s="282">
        <f>++Tabla4[[#This Row],[Precio Descontado]]*Tabla4[[#This Row],[Cantidad]]</f>
        <v>174.21706499999999</v>
      </c>
      <c r="Q6389" s="282" t="e">
        <f>(INDEX(Tabla6[#All],MATCH(Tabla4[[#This Row],[Producto]],Tabla6[[#All],[PRODUCTO]],0),MATCH(Tabla4[[#This Row],[Mes]],Tabla6[#Headers],0)))</f>
        <v>#N/A</v>
      </c>
      <c r="R6389" s="282" t="e">
        <f>++Tabla4[[#This Row],[Precio Unitario Neto]]-Tabla4[[#This Row],[20.85%]]-Tabla4[[#This Row],[Costo]]</f>
        <v>#N/A</v>
      </c>
      <c r="S6389" s="282" t="e">
        <f>++Tabla4[[#This Row],[U. Bruta Uni]]*Tabla4[[#This Row],[Cantidad]]</f>
        <v>#N/A</v>
      </c>
      <c r="T6389" s="369" t="str">
        <f>VLOOKUP(Tabla4[[#This Row],[Producto]],Tabla6[#All],14,FALSE)</f>
        <v>Termico Solar</v>
      </c>
      <c r="U6389" s="284" t="e">
        <f>(IF(Tabla4[[#This Row],[Familia]]="termico solar",Tabla4[[#This Row],[Utilidad Total]]*6%,Tabla4[[#This Row],[Utilidad Total]]*11.5%))/Tabla4[[#This Row],[Total]]</f>
        <v>#N/A</v>
      </c>
      <c r="V6389" s="282" t="e">
        <f>+Tabla4[[#This Row],[Comisión Calculada]]*Tabla4[[#This Row],[Total]]</f>
        <v>#N/A</v>
      </c>
    </row>
    <row r="6390" spans="1:22" hidden="1" x14ac:dyDescent="0.25">
      <c r="A6390" s="100">
        <v>45945</v>
      </c>
      <c r="B6390" t="str">
        <f t="shared" ref="B6390:B6393" si="338">TEXT(A6390, "mmmm")</f>
        <v>October</v>
      </c>
      <c r="C6390" s="46" t="s">
        <v>280</v>
      </c>
      <c r="F6390" s="366" t="s">
        <v>3258</v>
      </c>
      <c r="G6390" s="46" t="s">
        <v>83</v>
      </c>
      <c r="H6390" s="46">
        <v>2</v>
      </c>
      <c r="I6390" s="51">
        <v>8858.76</v>
      </c>
      <c r="J6390" s="281">
        <f>++Tabla4[[#This Row],[Precio Bruto]]*1.16</f>
        <v>10276.161599999999</v>
      </c>
      <c r="K6390" s="281">
        <f>+Tabla4[[#This Row],[Precio Unitario Neto]]*Tabla4[[#Headers],[20.85%]]</f>
        <v>2142.5796935999997</v>
      </c>
      <c r="L6390" s="282">
        <f>++Tabla4[[#This Row],[Precio Unitario Neto]]-Tabla4[[#This Row],[20.85%]]</f>
        <v>8133.5819063999998</v>
      </c>
      <c r="M6390" s="282" t="e">
        <f>(INDEX(Tabla6[#All],MATCH(Tabla4[[#This Row],[Producto]],Tabla6[[#All],[PRODUCTO]],0),MATCH(Tabla4[[#This Row],[Mes]],Tabla6[#Headers],0)))*(1+Catalogos!$L$2)</f>
        <v>#N/A</v>
      </c>
      <c r="N6390" s="283" t="e">
        <f>+(Tabla4[[#This Row],[Precio Descontado]]-Tabla4[[#This Row],[Precio Base]])*Tabla4[[#This Row],[Cantidad]]</f>
        <v>#N/A</v>
      </c>
      <c r="O6390" s="284" t="e">
        <f>++Tabla4[[#This Row],[Utilidad Total]]/Tabla4[[#This Row],[Total]]</f>
        <v>#N/A</v>
      </c>
      <c r="P6390" s="282">
        <f>++Tabla4[[#This Row],[Precio Descontado]]*Tabla4[[#This Row],[Cantidad]]</f>
        <v>16267.1638128</v>
      </c>
      <c r="Q6390" s="282" t="e">
        <f>(INDEX(Tabla6[#All],MATCH(Tabla4[[#This Row],[Producto]],Tabla6[[#All],[PRODUCTO]],0),MATCH(Tabla4[[#This Row],[Mes]],Tabla6[#Headers],0)))</f>
        <v>#N/A</v>
      </c>
      <c r="R6390" s="282" t="e">
        <f>++Tabla4[[#This Row],[Precio Unitario Neto]]-Tabla4[[#This Row],[20.85%]]-Tabla4[[#This Row],[Costo]]</f>
        <v>#N/A</v>
      </c>
      <c r="S6390" s="282" t="e">
        <f>++Tabla4[[#This Row],[U. Bruta Uni]]*Tabla4[[#This Row],[Cantidad]]</f>
        <v>#N/A</v>
      </c>
      <c r="T6390" s="369" t="str">
        <f>VLOOKUP(Tabla4[[#This Row],[Producto]],Tabla6[#All],14,FALSE)</f>
        <v>Termico Solar</v>
      </c>
      <c r="U6390" s="284" t="e">
        <f>(IF(Tabla4[[#This Row],[Familia]]="termico solar",Tabla4[[#This Row],[Utilidad Total]]*6%,Tabla4[[#This Row],[Utilidad Total]]*11.5%))/Tabla4[[#This Row],[Total]]</f>
        <v>#N/A</v>
      </c>
      <c r="V6390" s="282" t="e">
        <f>+Tabla4[[#This Row],[Comisión Calculada]]*Tabla4[[#This Row],[Total]]</f>
        <v>#N/A</v>
      </c>
    </row>
    <row r="6391" spans="1:22" hidden="1" x14ac:dyDescent="0.25">
      <c r="A6391" s="100">
        <v>45945</v>
      </c>
      <c r="B6391" t="str">
        <f t="shared" si="338"/>
        <v>October</v>
      </c>
      <c r="C6391" s="46" t="s">
        <v>280</v>
      </c>
      <c r="F6391" s="366" t="s">
        <v>3258</v>
      </c>
      <c r="G6391" s="46" t="s">
        <v>17</v>
      </c>
      <c r="H6391" s="46">
        <v>4</v>
      </c>
      <c r="I6391" s="51">
        <v>4622.28</v>
      </c>
      <c r="J6391" s="281">
        <f>++Tabla4[[#This Row],[Precio Bruto]]*1.16</f>
        <v>5361.8447999999989</v>
      </c>
      <c r="K6391" s="281">
        <f>+Tabla4[[#This Row],[Precio Unitario Neto]]*Tabla4[[#Headers],[20.85%]]</f>
        <v>1117.9446407999997</v>
      </c>
      <c r="L6391" s="282">
        <f>++Tabla4[[#This Row],[Precio Unitario Neto]]-Tabla4[[#This Row],[20.85%]]</f>
        <v>4243.9001591999995</v>
      </c>
      <c r="M6391" s="282" t="e">
        <f>(INDEX(Tabla6[#All],MATCH(Tabla4[[#This Row],[Producto]],Tabla6[[#All],[PRODUCTO]],0),MATCH(Tabla4[[#This Row],[Mes]],Tabla6[#Headers],0)))*(1+Catalogos!$L$2)</f>
        <v>#N/A</v>
      </c>
      <c r="N6391" s="283" t="e">
        <f>+(Tabla4[[#This Row],[Precio Descontado]]-Tabla4[[#This Row],[Precio Base]])*Tabla4[[#This Row],[Cantidad]]</f>
        <v>#N/A</v>
      </c>
      <c r="O6391" s="284" t="e">
        <f>++Tabla4[[#This Row],[Utilidad Total]]/Tabla4[[#This Row],[Total]]</f>
        <v>#N/A</v>
      </c>
      <c r="P6391" s="282">
        <f>++Tabla4[[#This Row],[Precio Descontado]]*Tabla4[[#This Row],[Cantidad]]</f>
        <v>16975.600636799998</v>
      </c>
      <c r="Q6391" s="282" t="e">
        <f>(INDEX(Tabla6[#All],MATCH(Tabla4[[#This Row],[Producto]],Tabla6[[#All],[PRODUCTO]],0),MATCH(Tabla4[[#This Row],[Mes]],Tabla6[#Headers],0)))</f>
        <v>#N/A</v>
      </c>
      <c r="R6391" s="282" t="e">
        <f>++Tabla4[[#This Row],[Precio Unitario Neto]]-Tabla4[[#This Row],[20.85%]]-Tabla4[[#This Row],[Costo]]</f>
        <v>#N/A</v>
      </c>
      <c r="S6391" s="282" t="e">
        <f>++Tabla4[[#This Row],[U. Bruta Uni]]*Tabla4[[#This Row],[Cantidad]]</f>
        <v>#N/A</v>
      </c>
      <c r="T6391" s="369" t="str">
        <f>VLOOKUP(Tabla4[[#This Row],[Producto]],Tabla6[#All],14,FALSE)</f>
        <v>Termico Solar</v>
      </c>
      <c r="U6391" s="284" t="e">
        <f>(IF(Tabla4[[#This Row],[Familia]]="termico solar",Tabla4[[#This Row],[Utilidad Total]]*6%,Tabla4[[#This Row],[Utilidad Total]]*11.5%))/Tabla4[[#This Row],[Total]]</f>
        <v>#N/A</v>
      </c>
      <c r="V6391" s="282" t="e">
        <f>+Tabla4[[#This Row],[Comisión Calculada]]*Tabla4[[#This Row],[Total]]</f>
        <v>#N/A</v>
      </c>
    </row>
    <row r="6392" spans="1:22" hidden="1" x14ac:dyDescent="0.25">
      <c r="A6392" s="100">
        <v>45945</v>
      </c>
      <c r="B6392" t="str">
        <f t="shared" si="338"/>
        <v>October</v>
      </c>
      <c r="C6392" s="46" t="s">
        <v>280</v>
      </c>
      <c r="F6392" s="366" t="s">
        <v>3258</v>
      </c>
      <c r="G6392" s="46" t="s">
        <v>18</v>
      </c>
      <c r="H6392" s="46">
        <v>3</v>
      </c>
      <c r="I6392" s="51">
        <v>5367.6500000000005</v>
      </c>
      <c r="J6392" s="281">
        <f>++Tabla4[[#This Row],[Precio Bruto]]*1.16</f>
        <v>6226.4740000000002</v>
      </c>
      <c r="K6392" s="281">
        <f>+Tabla4[[#This Row],[Precio Unitario Neto]]*Tabla4[[#Headers],[20.85%]]</f>
        <v>1298.2198289999999</v>
      </c>
      <c r="L6392" s="282">
        <f>++Tabla4[[#This Row],[Precio Unitario Neto]]-Tabla4[[#This Row],[20.85%]]</f>
        <v>4928.2541710000005</v>
      </c>
      <c r="M6392" s="282" t="e">
        <f>(INDEX(Tabla6[#All],MATCH(Tabla4[[#This Row],[Producto]],Tabla6[[#All],[PRODUCTO]],0),MATCH(Tabla4[[#This Row],[Mes]],Tabla6[#Headers],0)))*(1+Catalogos!$L$2)</f>
        <v>#N/A</v>
      </c>
      <c r="N6392" s="283" t="e">
        <f>+(Tabla4[[#This Row],[Precio Descontado]]-Tabla4[[#This Row],[Precio Base]])*Tabla4[[#This Row],[Cantidad]]</f>
        <v>#N/A</v>
      </c>
      <c r="O6392" s="284" t="e">
        <f>++Tabla4[[#This Row],[Utilidad Total]]/Tabla4[[#This Row],[Total]]</f>
        <v>#N/A</v>
      </c>
      <c r="P6392" s="282">
        <f>++Tabla4[[#This Row],[Precio Descontado]]*Tabla4[[#This Row],[Cantidad]]</f>
        <v>14784.762513000001</v>
      </c>
      <c r="Q6392" s="282" t="e">
        <f>(INDEX(Tabla6[#All],MATCH(Tabla4[[#This Row],[Producto]],Tabla6[[#All],[PRODUCTO]],0),MATCH(Tabla4[[#This Row],[Mes]],Tabla6[#Headers],0)))</f>
        <v>#N/A</v>
      </c>
      <c r="R6392" s="282" t="e">
        <f>++Tabla4[[#This Row],[Precio Unitario Neto]]-Tabla4[[#This Row],[20.85%]]-Tabla4[[#This Row],[Costo]]</f>
        <v>#N/A</v>
      </c>
      <c r="S6392" s="282" t="e">
        <f>++Tabla4[[#This Row],[U. Bruta Uni]]*Tabla4[[#This Row],[Cantidad]]</f>
        <v>#N/A</v>
      </c>
      <c r="T6392" s="369" t="str">
        <f>VLOOKUP(Tabla4[[#This Row],[Producto]],Tabla6[#All],14,FALSE)</f>
        <v>Termico Solar</v>
      </c>
      <c r="U6392" s="284" t="e">
        <f>(IF(Tabla4[[#This Row],[Familia]]="termico solar",Tabla4[[#This Row],[Utilidad Total]]*6%,Tabla4[[#This Row],[Utilidad Total]]*11.5%))/Tabla4[[#This Row],[Total]]</f>
        <v>#N/A</v>
      </c>
      <c r="V6392" s="282" t="e">
        <f>+Tabla4[[#This Row],[Comisión Calculada]]*Tabla4[[#This Row],[Total]]</f>
        <v>#N/A</v>
      </c>
    </row>
    <row r="6393" spans="1:22" hidden="1" x14ac:dyDescent="0.25">
      <c r="A6393" s="100">
        <v>45945</v>
      </c>
      <c r="B6393" t="str">
        <f t="shared" si="338"/>
        <v>October</v>
      </c>
      <c r="C6393" s="46" t="s">
        <v>280</v>
      </c>
      <c r="F6393" s="366" t="s">
        <v>3258</v>
      </c>
      <c r="G6393" s="46" t="s">
        <v>16</v>
      </c>
      <c r="H6393" s="46">
        <v>1</v>
      </c>
      <c r="I6393" s="51">
        <v>4103.8500000000004</v>
      </c>
      <c r="J6393" s="281">
        <f>++Tabla4[[#This Row],[Precio Bruto]]*1.16</f>
        <v>4760.4660000000003</v>
      </c>
      <c r="K6393" s="281">
        <f>+Tabla4[[#This Row],[Precio Unitario Neto]]*Tabla4[[#Headers],[20.85%]]</f>
        <v>992.55716100000006</v>
      </c>
      <c r="L6393" s="282">
        <f>++Tabla4[[#This Row],[Precio Unitario Neto]]-Tabla4[[#This Row],[20.85%]]</f>
        <v>3767.9088390000002</v>
      </c>
      <c r="M6393" s="282" t="e">
        <f>(INDEX(Tabla6[#All],MATCH(Tabla4[[#This Row],[Producto]],Tabla6[[#All],[PRODUCTO]],0),MATCH(Tabla4[[#This Row],[Mes]],Tabla6[#Headers],0)))*(1+Catalogos!$L$2)</f>
        <v>#N/A</v>
      </c>
      <c r="N6393" s="283" t="e">
        <f>+(Tabla4[[#This Row],[Precio Descontado]]-Tabla4[[#This Row],[Precio Base]])*Tabla4[[#This Row],[Cantidad]]</f>
        <v>#N/A</v>
      </c>
      <c r="O6393" s="284" t="e">
        <f>++Tabla4[[#This Row],[Utilidad Total]]/Tabla4[[#This Row],[Total]]</f>
        <v>#N/A</v>
      </c>
      <c r="P6393" s="282">
        <f>++Tabla4[[#This Row],[Precio Descontado]]*Tabla4[[#This Row],[Cantidad]]</f>
        <v>3767.9088390000002</v>
      </c>
      <c r="Q6393" s="282" t="e">
        <f>(INDEX(Tabla6[#All],MATCH(Tabla4[[#This Row],[Producto]],Tabla6[[#All],[PRODUCTO]],0),MATCH(Tabla4[[#This Row],[Mes]],Tabla6[#Headers],0)))</f>
        <v>#N/A</v>
      </c>
      <c r="R6393" s="282" t="e">
        <f>++Tabla4[[#This Row],[Precio Unitario Neto]]-Tabla4[[#This Row],[20.85%]]-Tabla4[[#This Row],[Costo]]</f>
        <v>#N/A</v>
      </c>
      <c r="S6393" s="282" t="e">
        <f>++Tabla4[[#This Row],[U. Bruta Uni]]*Tabla4[[#This Row],[Cantidad]]</f>
        <v>#N/A</v>
      </c>
      <c r="T6393" s="369" t="str">
        <f>VLOOKUP(Tabla4[[#This Row],[Producto]],Tabla6[#All],14,FALSE)</f>
        <v>Termico Solar</v>
      </c>
      <c r="U6393" s="284" t="e">
        <f>(IF(Tabla4[[#This Row],[Familia]]="termico solar",Tabla4[[#This Row],[Utilidad Total]]*6%,Tabla4[[#This Row],[Utilidad Total]]*11.5%))/Tabla4[[#This Row],[Total]]</f>
        <v>#N/A</v>
      </c>
      <c r="V6393" s="282" t="e">
        <f>+Tabla4[[#This Row],[Comisión Calculada]]*Tabla4[[#This Row],[Total]]</f>
        <v>#N/A</v>
      </c>
    </row>
    <row r="6394" spans="1:22" hidden="1" x14ac:dyDescent="0.25">
      <c r="A6394" s="100">
        <v>45945</v>
      </c>
      <c r="B6394" t="str">
        <f>TEXT(A6394, "mmmm")</f>
        <v>October</v>
      </c>
      <c r="C6394" s="46" t="s">
        <v>280</v>
      </c>
      <c r="F6394" s="366" t="s">
        <v>3259</v>
      </c>
      <c r="G6394" s="46" t="s">
        <v>208</v>
      </c>
      <c r="H6394" s="46">
        <v>7</v>
      </c>
      <c r="I6394" s="51">
        <v>189.75</v>
      </c>
      <c r="J6394" s="281">
        <f>++Tabla4[[#This Row],[Precio Bruto]]*1.16</f>
        <v>220.10999999999999</v>
      </c>
      <c r="K6394" s="281">
        <f>+Tabla4[[#This Row],[Precio Unitario Neto]]*Tabla4[[#Headers],[20.85%]]</f>
        <v>45.892934999999994</v>
      </c>
      <c r="L6394" s="282">
        <f>++Tabla4[[#This Row],[Precio Unitario Neto]]-Tabla4[[#This Row],[20.85%]]</f>
        <v>174.21706499999999</v>
      </c>
      <c r="M6394" s="282" t="e">
        <f>(INDEX(Tabla6[#All],MATCH(Tabla4[[#This Row],[Producto]],Tabla6[[#All],[PRODUCTO]],0),MATCH(Tabla4[[#This Row],[Mes]],Tabla6[#Headers],0)))*(1+Catalogos!$L$2)</f>
        <v>#N/A</v>
      </c>
      <c r="N6394" s="283" t="e">
        <f>+(Tabla4[[#This Row],[Precio Descontado]]-Tabla4[[#This Row],[Precio Base]])*Tabla4[[#This Row],[Cantidad]]</f>
        <v>#N/A</v>
      </c>
      <c r="O6394" s="284" t="e">
        <f>++Tabla4[[#This Row],[Utilidad Total]]/Tabla4[[#This Row],[Total]]</f>
        <v>#N/A</v>
      </c>
      <c r="P6394" s="282">
        <f>++Tabla4[[#This Row],[Precio Descontado]]*Tabla4[[#This Row],[Cantidad]]</f>
        <v>1219.5194549999999</v>
      </c>
      <c r="Q6394" s="282" t="e">
        <f>(INDEX(Tabla6[#All],MATCH(Tabla4[[#This Row],[Producto]],Tabla6[[#All],[PRODUCTO]],0),MATCH(Tabla4[[#This Row],[Mes]],Tabla6[#Headers],0)))</f>
        <v>#N/A</v>
      </c>
      <c r="R6394" s="282" t="e">
        <f>++Tabla4[[#This Row],[Precio Unitario Neto]]-Tabla4[[#This Row],[20.85%]]-Tabla4[[#This Row],[Costo]]</f>
        <v>#N/A</v>
      </c>
      <c r="S6394" s="282" t="e">
        <f>++Tabla4[[#This Row],[U. Bruta Uni]]*Tabla4[[#This Row],[Cantidad]]</f>
        <v>#N/A</v>
      </c>
      <c r="T6394" s="369" t="str">
        <f>VLOOKUP(Tabla4[[#This Row],[Producto]],Tabla6[#All],14,FALSE)</f>
        <v>Termico Solar</v>
      </c>
      <c r="U6394" s="284" t="e">
        <f>(IF(Tabla4[[#This Row],[Familia]]="termico solar",Tabla4[[#This Row],[Utilidad Total]]*6%,Tabla4[[#This Row],[Utilidad Total]]*11.5%))/Tabla4[[#This Row],[Total]]</f>
        <v>#N/A</v>
      </c>
      <c r="V6394" s="282" t="e">
        <f>+Tabla4[[#This Row],[Comisión Calculada]]*Tabla4[[#This Row],[Total]]</f>
        <v>#N/A</v>
      </c>
    </row>
    <row r="6395" spans="1:22" hidden="1" x14ac:dyDescent="0.25">
      <c r="A6395" s="100">
        <v>45945</v>
      </c>
      <c r="B6395" t="str">
        <f t="shared" ref="B6395:B6397" si="339">TEXT(A6395, "mmmm")</f>
        <v>October</v>
      </c>
      <c r="C6395" s="46" t="s">
        <v>280</v>
      </c>
      <c r="F6395" s="366" t="s">
        <v>3260</v>
      </c>
      <c r="G6395" s="46" t="s">
        <v>17</v>
      </c>
      <c r="H6395" s="46">
        <v>7</v>
      </c>
      <c r="I6395" s="51">
        <v>4622.28</v>
      </c>
      <c r="J6395" s="281">
        <f>++Tabla4[[#This Row],[Precio Bruto]]*1.16</f>
        <v>5361.8447999999989</v>
      </c>
      <c r="K6395" s="281">
        <f>+Tabla4[[#This Row],[Precio Unitario Neto]]*Tabla4[[#Headers],[20.85%]]</f>
        <v>1117.9446407999997</v>
      </c>
      <c r="L6395" s="282">
        <f>++Tabla4[[#This Row],[Precio Unitario Neto]]-Tabla4[[#This Row],[20.85%]]</f>
        <v>4243.9001591999995</v>
      </c>
      <c r="M6395" s="282" t="e">
        <f>(INDEX(Tabla6[#All],MATCH(Tabla4[[#This Row],[Producto]],Tabla6[[#All],[PRODUCTO]],0),MATCH(Tabla4[[#This Row],[Mes]],Tabla6[#Headers],0)))*(1+Catalogos!$L$2)</f>
        <v>#N/A</v>
      </c>
      <c r="N6395" s="283" t="e">
        <f>+(Tabla4[[#This Row],[Precio Descontado]]-Tabla4[[#This Row],[Precio Base]])*Tabla4[[#This Row],[Cantidad]]</f>
        <v>#N/A</v>
      </c>
      <c r="O6395" s="284" t="e">
        <f>++Tabla4[[#This Row],[Utilidad Total]]/Tabla4[[#This Row],[Total]]</f>
        <v>#N/A</v>
      </c>
      <c r="P6395" s="282">
        <f>++Tabla4[[#This Row],[Precio Descontado]]*Tabla4[[#This Row],[Cantidad]]</f>
        <v>29707.301114399997</v>
      </c>
      <c r="Q6395" s="282" t="e">
        <f>(INDEX(Tabla6[#All],MATCH(Tabla4[[#This Row],[Producto]],Tabla6[[#All],[PRODUCTO]],0),MATCH(Tabla4[[#This Row],[Mes]],Tabla6[#Headers],0)))</f>
        <v>#N/A</v>
      </c>
      <c r="R6395" s="282" t="e">
        <f>++Tabla4[[#This Row],[Precio Unitario Neto]]-Tabla4[[#This Row],[20.85%]]-Tabla4[[#This Row],[Costo]]</f>
        <v>#N/A</v>
      </c>
      <c r="S6395" s="282" t="e">
        <f>++Tabla4[[#This Row],[U. Bruta Uni]]*Tabla4[[#This Row],[Cantidad]]</f>
        <v>#N/A</v>
      </c>
      <c r="T6395" s="369" t="str">
        <f>VLOOKUP(Tabla4[[#This Row],[Producto]],Tabla6[#All],14,FALSE)</f>
        <v>Termico Solar</v>
      </c>
      <c r="U6395" s="284" t="e">
        <f>(IF(Tabla4[[#This Row],[Familia]]="termico solar",Tabla4[[#This Row],[Utilidad Total]]*6%,Tabla4[[#This Row],[Utilidad Total]]*11.5%))/Tabla4[[#This Row],[Total]]</f>
        <v>#N/A</v>
      </c>
      <c r="V6395" s="282" t="e">
        <f>+Tabla4[[#This Row],[Comisión Calculada]]*Tabla4[[#This Row],[Total]]</f>
        <v>#N/A</v>
      </c>
    </row>
    <row r="6396" spans="1:22" hidden="1" x14ac:dyDescent="0.25">
      <c r="A6396" s="100">
        <v>45945</v>
      </c>
      <c r="B6396" t="str">
        <f t="shared" si="339"/>
        <v>October</v>
      </c>
      <c r="C6396" s="46" t="s">
        <v>280</v>
      </c>
      <c r="F6396" s="366" t="s">
        <v>3260</v>
      </c>
      <c r="G6396" s="46" t="s">
        <v>18</v>
      </c>
      <c r="H6396" s="46">
        <v>2</v>
      </c>
      <c r="I6396" s="51">
        <v>5367.65</v>
      </c>
      <c r="J6396" s="281">
        <f>++Tabla4[[#This Row],[Precio Bruto]]*1.16</f>
        <v>6226.4739999999993</v>
      </c>
      <c r="K6396" s="281">
        <f>+Tabla4[[#This Row],[Precio Unitario Neto]]*Tabla4[[#Headers],[20.85%]]</f>
        <v>1298.2198289999999</v>
      </c>
      <c r="L6396" s="282">
        <f>++Tabla4[[#This Row],[Precio Unitario Neto]]-Tabla4[[#This Row],[20.85%]]</f>
        <v>4928.2541709999996</v>
      </c>
      <c r="M6396" s="282" t="e">
        <f>(INDEX(Tabla6[#All],MATCH(Tabla4[[#This Row],[Producto]],Tabla6[[#All],[PRODUCTO]],0),MATCH(Tabla4[[#This Row],[Mes]],Tabla6[#Headers],0)))*(1+Catalogos!$L$2)</f>
        <v>#N/A</v>
      </c>
      <c r="N6396" s="283" t="e">
        <f>+(Tabla4[[#This Row],[Precio Descontado]]-Tabla4[[#This Row],[Precio Base]])*Tabla4[[#This Row],[Cantidad]]</f>
        <v>#N/A</v>
      </c>
      <c r="O6396" s="284" t="e">
        <f>++Tabla4[[#This Row],[Utilidad Total]]/Tabla4[[#This Row],[Total]]</f>
        <v>#N/A</v>
      </c>
      <c r="P6396" s="282">
        <f>++Tabla4[[#This Row],[Precio Descontado]]*Tabla4[[#This Row],[Cantidad]]</f>
        <v>9856.5083419999992</v>
      </c>
      <c r="Q6396" s="282" t="e">
        <f>(INDEX(Tabla6[#All],MATCH(Tabla4[[#This Row],[Producto]],Tabla6[[#All],[PRODUCTO]],0),MATCH(Tabla4[[#This Row],[Mes]],Tabla6[#Headers],0)))</f>
        <v>#N/A</v>
      </c>
      <c r="R6396" s="282" t="e">
        <f>++Tabla4[[#This Row],[Precio Unitario Neto]]-Tabla4[[#This Row],[20.85%]]-Tabla4[[#This Row],[Costo]]</f>
        <v>#N/A</v>
      </c>
      <c r="S6396" s="282" t="e">
        <f>++Tabla4[[#This Row],[U. Bruta Uni]]*Tabla4[[#This Row],[Cantidad]]</f>
        <v>#N/A</v>
      </c>
      <c r="T6396" s="369" t="str">
        <f>VLOOKUP(Tabla4[[#This Row],[Producto]],Tabla6[#All],14,FALSE)</f>
        <v>Termico Solar</v>
      </c>
      <c r="U6396" s="284" t="e">
        <f>(IF(Tabla4[[#This Row],[Familia]]="termico solar",Tabla4[[#This Row],[Utilidad Total]]*6%,Tabla4[[#This Row],[Utilidad Total]]*11.5%))/Tabla4[[#This Row],[Total]]</f>
        <v>#N/A</v>
      </c>
      <c r="V6396" s="282" t="e">
        <f>+Tabla4[[#This Row],[Comisión Calculada]]*Tabla4[[#This Row],[Total]]</f>
        <v>#N/A</v>
      </c>
    </row>
    <row r="6397" spans="1:22" hidden="1" x14ac:dyDescent="0.25">
      <c r="A6397" s="100">
        <v>45945</v>
      </c>
      <c r="B6397" t="str">
        <f t="shared" si="339"/>
        <v>October</v>
      </c>
      <c r="C6397" s="46" t="s">
        <v>280</v>
      </c>
      <c r="F6397" s="366" t="s">
        <v>3260</v>
      </c>
      <c r="G6397" s="46" t="s">
        <v>16</v>
      </c>
      <c r="H6397" s="46">
        <v>1</v>
      </c>
      <c r="I6397" s="51">
        <v>4103.8500000000004</v>
      </c>
      <c r="J6397" s="281">
        <f>++Tabla4[[#This Row],[Precio Bruto]]*1.16</f>
        <v>4760.4660000000003</v>
      </c>
      <c r="K6397" s="281">
        <f>+Tabla4[[#This Row],[Precio Unitario Neto]]*Tabla4[[#Headers],[20.85%]]</f>
        <v>992.55716100000006</v>
      </c>
      <c r="L6397" s="282">
        <f>++Tabla4[[#This Row],[Precio Unitario Neto]]-Tabla4[[#This Row],[20.85%]]</f>
        <v>3767.9088390000002</v>
      </c>
      <c r="M6397" s="282" t="e">
        <f>(INDEX(Tabla6[#All],MATCH(Tabla4[[#This Row],[Producto]],Tabla6[[#All],[PRODUCTO]],0),MATCH(Tabla4[[#This Row],[Mes]],Tabla6[#Headers],0)))*(1+Catalogos!$L$2)</f>
        <v>#N/A</v>
      </c>
      <c r="N6397" s="283" t="e">
        <f>+(Tabla4[[#This Row],[Precio Descontado]]-Tabla4[[#This Row],[Precio Base]])*Tabla4[[#This Row],[Cantidad]]</f>
        <v>#N/A</v>
      </c>
      <c r="O6397" s="284" t="e">
        <f>++Tabla4[[#This Row],[Utilidad Total]]/Tabla4[[#This Row],[Total]]</f>
        <v>#N/A</v>
      </c>
      <c r="P6397" s="282">
        <f>++Tabla4[[#This Row],[Precio Descontado]]*Tabla4[[#This Row],[Cantidad]]</f>
        <v>3767.9088390000002</v>
      </c>
      <c r="Q6397" s="282" t="e">
        <f>(INDEX(Tabla6[#All],MATCH(Tabla4[[#This Row],[Producto]],Tabla6[[#All],[PRODUCTO]],0),MATCH(Tabla4[[#This Row],[Mes]],Tabla6[#Headers],0)))</f>
        <v>#N/A</v>
      </c>
      <c r="R6397" s="282" t="e">
        <f>++Tabla4[[#This Row],[Precio Unitario Neto]]-Tabla4[[#This Row],[20.85%]]-Tabla4[[#This Row],[Costo]]</f>
        <v>#N/A</v>
      </c>
      <c r="S6397" s="282" t="e">
        <f>++Tabla4[[#This Row],[U. Bruta Uni]]*Tabla4[[#This Row],[Cantidad]]</f>
        <v>#N/A</v>
      </c>
      <c r="T6397" s="369" t="str">
        <f>VLOOKUP(Tabla4[[#This Row],[Producto]],Tabla6[#All],14,FALSE)</f>
        <v>Termico Solar</v>
      </c>
      <c r="U6397" s="284" t="e">
        <f>(IF(Tabla4[[#This Row],[Familia]]="termico solar",Tabla4[[#This Row],[Utilidad Total]]*6%,Tabla4[[#This Row],[Utilidad Total]]*11.5%))/Tabla4[[#This Row],[Total]]</f>
        <v>#N/A</v>
      </c>
      <c r="V6397" s="282" t="e">
        <f>+Tabla4[[#This Row],[Comisión Calculada]]*Tabla4[[#This Row],[Total]]</f>
        <v>#N/A</v>
      </c>
    </row>
    <row r="6398" spans="1:22" hidden="1" x14ac:dyDescent="0.25">
      <c r="A6398" s="100">
        <v>45945</v>
      </c>
      <c r="B6398" t="str">
        <f>TEXT(A6398, "mmmm")</f>
        <v>October</v>
      </c>
      <c r="C6398" s="46" t="s">
        <v>280</v>
      </c>
      <c r="F6398" s="366" t="s">
        <v>3261</v>
      </c>
      <c r="G6398" s="46" t="s">
        <v>18</v>
      </c>
      <c r="H6398" s="46">
        <v>1</v>
      </c>
      <c r="I6398" s="51">
        <v>5367.65</v>
      </c>
      <c r="J6398" s="281">
        <f>++Tabla4[[#This Row],[Precio Bruto]]*1.16</f>
        <v>6226.4739999999993</v>
      </c>
      <c r="K6398" s="281">
        <f>+Tabla4[[#This Row],[Precio Unitario Neto]]*Tabla4[[#Headers],[20.85%]]</f>
        <v>1298.2198289999999</v>
      </c>
      <c r="L6398" s="282">
        <f>++Tabla4[[#This Row],[Precio Unitario Neto]]-Tabla4[[#This Row],[20.85%]]</f>
        <v>4928.2541709999996</v>
      </c>
      <c r="M6398" s="282" t="e">
        <f>(INDEX(Tabla6[#All],MATCH(Tabla4[[#This Row],[Producto]],Tabla6[[#All],[PRODUCTO]],0),MATCH(Tabla4[[#This Row],[Mes]],Tabla6[#Headers],0)))*(1+Catalogos!$L$2)</f>
        <v>#N/A</v>
      </c>
      <c r="N6398" s="283" t="e">
        <f>+(Tabla4[[#This Row],[Precio Descontado]]-Tabla4[[#This Row],[Precio Base]])*Tabla4[[#This Row],[Cantidad]]</f>
        <v>#N/A</v>
      </c>
      <c r="O6398" s="284" t="e">
        <f>++Tabla4[[#This Row],[Utilidad Total]]/Tabla4[[#This Row],[Total]]</f>
        <v>#N/A</v>
      </c>
      <c r="P6398" s="282">
        <f>++Tabla4[[#This Row],[Precio Descontado]]*Tabla4[[#This Row],[Cantidad]]</f>
        <v>4928.2541709999996</v>
      </c>
      <c r="Q6398" s="282" t="e">
        <f>(INDEX(Tabla6[#All],MATCH(Tabla4[[#This Row],[Producto]],Tabla6[[#All],[PRODUCTO]],0),MATCH(Tabla4[[#This Row],[Mes]],Tabla6[#Headers],0)))</f>
        <v>#N/A</v>
      </c>
      <c r="R6398" s="282" t="e">
        <f>++Tabla4[[#This Row],[Precio Unitario Neto]]-Tabla4[[#This Row],[20.85%]]-Tabla4[[#This Row],[Costo]]</f>
        <v>#N/A</v>
      </c>
      <c r="S6398" s="282" t="e">
        <f>++Tabla4[[#This Row],[U. Bruta Uni]]*Tabla4[[#This Row],[Cantidad]]</f>
        <v>#N/A</v>
      </c>
      <c r="T6398" s="369" t="str">
        <f>VLOOKUP(Tabla4[[#This Row],[Producto]],Tabla6[#All],14,FALSE)</f>
        <v>Termico Solar</v>
      </c>
      <c r="U6398" s="284" t="e">
        <f>(IF(Tabla4[[#This Row],[Familia]]="termico solar",Tabla4[[#This Row],[Utilidad Total]]*6%,Tabla4[[#This Row],[Utilidad Total]]*11.5%))/Tabla4[[#This Row],[Total]]</f>
        <v>#N/A</v>
      </c>
      <c r="V6398" s="282" t="e">
        <f>+Tabla4[[#This Row],[Comisión Calculada]]*Tabla4[[#This Row],[Total]]</f>
        <v>#N/A</v>
      </c>
    </row>
    <row r="6399" spans="1:22" hidden="1" x14ac:dyDescent="0.25">
      <c r="A6399" s="100">
        <v>45945</v>
      </c>
      <c r="B6399" t="str">
        <f t="shared" ref="B6399:B6401" si="340">TEXT(A6399, "mmmm")</f>
        <v>October</v>
      </c>
      <c r="C6399" s="46" t="s">
        <v>280</v>
      </c>
      <c r="F6399" s="366" t="s">
        <v>3262</v>
      </c>
      <c r="G6399" s="46" t="s">
        <v>17</v>
      </c>
      <c r="H6399" s="46">
        <v>1</v>
      </c>
      <c r="I6399" s="51">
        <v>4622.28</v>
      </c>
      <c r="J6399" s="281">
        <f>++Tabla4[[#This Row],[Precio Bruto]]*1.16</f>
        <v>5361.8447999999989</v>
      </c>
      <c r="K6399" s="281">
        <f>+Tabla4[[#This Row],[Precio Unitario Neto]]*Tabla4[[#Headers],[20.85%]]</f>
        <v>1117.9446407999997</v>
      </c>
      <c r="L6399" s="282">
        <f>++Tabla4[[#This Row],[Precio Unitario Neto]]-Tabla4[[#This Row],[20.85%]]</f>
        <v>4243.9001591999995</v>
      </c>
      <c r="M6399" s="282" t="e">
        <f>(INDEX(Tabla6[#All],MATCH(Tabla4[[#This Row],[Producto]],Tabla6[[#All],[PRODUCTO]],0),MATCH(Tabla4[[#This Row],[Mes]],Tabla6[#Headers],0)))*(1+Catalogos!$L$2)</f>
        <v>#N/A</v>
      </c>
      <c r="N6399" s="283" t="e">
        <f>+(Tabla4[[#This Row],[Precio Descontado]]-Tabla4[[#This Row],[Precio Base]])*Tabla4[[#This Row],[Cantidad]]</f>
        <v>#N/A</v>
      </c>
      <c r="O6399" s="284" t="e">
        <f>++Tabla4[[#This Row],[Utilidad Total]]/Tabla4[[#This Row],[Total]]</f>
        <v>#N/A</v>
      </c>
      <c r="P6399" s="282">
        <f>++Tabla4[[#This Row],[Precio Descontado]]*Tabla4[[#This Row],[Cantidad]]</f>
        <v>4243.9001591999995</v>
      </c>
      <c r="Q6399" s="282" t="e">
        <f>(INDEX(Tabla6[#All],MATCH(Tabla4[[#This Row],[Producto]],Tabla6[[#All],[PRODUCTO]],0),MATCH(Tabla4[[#This Row],[Mes]],Tabla6[#Headers],0)))</f>
        <v>#N/A</v>
      </c>
      <c r="R6399" s="282" t="e">
        <f>++Tabla4[[#This Row],[Precio Unitario Neto]]-Tabla4[[#This Row],[20.85%]]-Tabla4[[#This Row],[Costo]]</f>
        <v>#N/A</v>
      </c>
      <c r="S6399" s="282" t="e">
        <f>++Tabla4[[#This Row],[U. Bruta Uni]]*Tabla4[[#This Row],[Cantidad]]</f>
        <v>#N/A</v>
      </c>
      <c r="T6399" s="369" t="str">
        <f>VLOOKUP(Tabla4[[#This Row],[Producto]],Tabla6[#All],14,FALSE)</f>
        <v>Termico Solar</v>
      </c>
      <c r="U6399" s="284" t="e">
        <f>(IF(Tabla4[[#This Row],[Familia]]="termico solar",Tabla4[[#This Row],[Utilidad Total]]*6%,Tabla4[[#This Row],[Utilidad Total]]*11.5%))/Tabla4[[#This Row],[Total]]</f>
        <v>#N/A</v>
      </c>
      <c r="V6399" s="282" t="e">
        <f>+Tabla4[[#This Row],[Comisión Calculada]]*Tabla4[[#This Row],[Total]]</f>
        <v>#N/A</v>
      </c>
    </row>
    <row r="6400" spans="1:22" hidden="1" x14ac:dyDescent="0.25">
      <c r="A6400" s="100">
        <v>45945</v>
      </c>
      <c r="B6400" t="str">
        <f t="shared" si="340"/>
        <v>October</v>
      </c>
      <c r="C6400" s="46" t="s">
        <v>280</v>
      </c>
      <c r="F6400" s="366" t="s">
        <v>3262</v>
      </c>
      <c r="G6400" s="46" t="s">
        <v>566</v>
      </c>
      <c r="H6400" s="46">
        <v>2</v>
      </c>
      <c r="I6400" s="51">
        <v>2109.4499999999998</v>
      </c>
      <c r="J6400" s="281">
        <f>++Tabla4[[#This Row],[Precio Bruto]]*1.16</f>
        <v>2446.9619999999995</v>
      </c>
      <c r="K6400" s="281">
        <f>+Tabla4[[#This Row],[Precio Unitario Neto]]*Tabla4[[#Headers],[20.85%]]</f>
        <v>510.19157699999988</v>
      </c>
      <c r="L6400" s="282">
        <f>++Tabla4[[#This Row],[Precio Unitario Neto]]-Tabla4[[#This Row],[20.85%]]</f>
        <v>1936.7704229999997</v>
      </c>
      <c r="M6400" s="282" t="e">
        <f>(INDEX(Tabla6[#All],MATCH(Tabla4[[#This Row],[Producto]],Tabla6[[#All],[PRODUCTO]],0),MATCH(Tabla4[[#This Row],[Mes]],Tabla6[#Headers],0)))*(1+Catalogos!$L$2)</f>
        <v>#N/A</v>
      </c>
      <c r="N6400" s="283" t="e">
        <f>+(Tabla4[[#This Row],[Precio Descontado]]-Tabla4[[#This Row],[Precio Base]])*Tabla4[[#This Row],[Cantidad]]</f>
        <v>#N/A</v>
      </c>
      <c r="O6400" s="284" t="e">
        <f>++Tabla4[[#This Row],[Utilidad Total]]/Tabla4[[#This Row],[Total]]</f>
        <v>#N/A</v>
      </c>
      <c r="P6400" s="282">
        <f>++Tabla4[[#This Row],[Precio Descontado]]*Tabla4[[#This Row],[Cantidad]]</f>
        <v>3873.5408459999994</v>
      </c>
      <c r="Q6400" s="282" t="e">
        <f>(INDEX(Tabla6[#All],MATCH(Tabla4[[#This Row],[Producto]],Tabla6[[#All],[PRODUCTO]],0),MATCH(Tabla4[[#This Row],[Mes]],Tabla6[#Headers],0)))</f>
        <v>#N/A</v>
      </c>
      <c r="R6400" s="282" t="e">
        <f>++Tabla4[[#This Row],[Precio Unitario Neto]]-Tabla4[[#This Row],[20.85%]]-Tabla4[[#This Row],[Costo]]</f>
        <v>#N/A</v>
      </c>
      <c r="S6400" s="282" t="e">
        <f>++Tabla4[[#This Row],[U. Bruta Uni]]*Tabla4[[#This Row],[Cantidad]]</f>
        <v>#N/A</v>
      </c>
      <c r="T6400" s="369" t="str">
        <f>VLOOKUP(Tabla4[[#This Row],[Producto]],Tabla6[#All],14,FALSE)</f>
        <v>Termico Solar</v>
      </c>
      <c r="U6400" s="284" t="e">
        <f>(IF(Tabla4[[#This Row],[Familia]]="termico solar",Tabla4[[#This Row],[Utilidad Total]]*6%,Tabla4[[#This Row],[Utilidad Total]]*11.5%))/Tabla4[[#This Row],[Total]]</f>
        <v>#N/A</v>
      </c>
      <c r="V6400" s="282" t="e">
        <f>+Tabla4[[#This Row],[Comisión Calculada]]*Tabla4[[#This Row],[Total]]</f>
        <v>#N/A</v>
      </c>
    </row>
    <row r="6401" spans="1:22" hidden="1" x14ac:dyDescent="0.25">
      <c r="A6401" s="100">
        <v>45945</v>
      </c>
      <c r="B6401" t="str">
        <f t="shared" si="340"/>
        <v>October</v>
      </c>
      <c r="C6401" s="46" t="s">
        <v>280</v>
      </c>
      <c r="F6401" s="366" t="s">
        <v>3262</v>
      </c>
      <c r="G6401" s="46" t="s">
        <v>208</v>
      </c>
      <c r="H6401" s="46">
        <v>2</v>
      </c>
      <c r="I6401" s="51">
        <v>189.75</v>
      </c>
      <c r="J6401" s="281">
        <f>++Tabla4[[#This Row],[Precio Bruto]]*1.16</f>
        <v>220.10999999999999</v>
      </c>
      <c r="K6401" s="281">
        <f>+Tabla4[[#This Row],[Precio Unitario Neto]]*Tabla4[[#Headers],[20.85%]]</f>
        <v>45.892934999999994</v>
      </c>
      <c r="L6401" s="282">
        <f>++Tabla4[[#This Row],[Precio Unitario Neto]]-Tabla4[[#This Row],[20.85%]]</f>
        <v>174.21706499999999</v>
      </c>
      <c r="M6401" s="282" t="e">
        <f>(INDEX(Tabla6[#All],MATCH(Tabla4[[#This Row],[Producto]],Tabla6[[#All],[PRODUCTO]],0),MATCH(Tabla4[[#This Row],[Mes]],Tabla6[#Headers],0)))*(1+Catalogos!$L$2)</f>
        <v>#N/A</v>
      </c>
      <c r="N6401" s="283" t="e">
        <f>+(Tabla4[[#This Row],[Precio Descontado]]-Tabla4[[#This Row],[Precio Base]])*Tabla4[[#This Row],[Cantidad]]</f>
        <v>#N/A</v>
      </c>
      <c r="O6401" s="284" t="e">
        <f>++Tabla4[[#This Row],[Utilidad Total]]/Tabla4[[#This Row],[Total]]</f>
        <v>#N/A</v>
      </c>
      <c r="P6401" s="282">
        <f>++Tabla4[[#This Row],[Precio Descontado]]*Tabla4[[#This Row],[Cantidad]]</f>
        <v>348.43412999999998</v>
      </c>
      <c r="Q6401" s="282" t="e">
        <f>(INDEX(Tabla6[#All],MATCH(Tabla4[[#This Row],[Producto]],Tabla6[[#All],[PRODUCTO]],0),MATCH(Tabla4[[#This Row],[Mes]],Tabla6[#Headers],0)))</f>
        <v>#N/A</v>
      </c>
      <c r="R6401" s="282" t="e">
        <f>++Tabla4[[#This Row],[Precio Unitario Neto]]-Tabla4[[#This Row],[20.85%]]-Tabla4[[#This Row],[Costo]]</f>
        <v>#N/A</v>
      </c>
      <c r="S6401" s="282" t="e">
        <f>++Tabla4[[#This Row],[U. Bruta Uni]]*Tabla4[[#This Row],[Cantidad]]</f>
        <v>#N/A</v>
      </c>
      <c r="T6401" s="369" t="str">
        <f>VLOOKUP(Tabla4[[#This Row],[Producto]],Tabla6[#All],14,FALSE)</f>
        <v>Termico Solar</v>
      </c>
      <c r="U6401" s="284" t="e">
        <f>(IF(Tabla4[[#This Row],[Familia]]="termico solar",Tabla4[[#This Row],[Utilidad Total]]*6%,Tabla4[[#This Row],[Utilidad Total]]*11.5%))/Tabla4[[#This Row],[Total]]</f>
        <v>#N/A</v>
      </c>
      <c r="V6401" s="282" t="e">
        <f>+Tabla4[[#This Row],[Comisión Calculada]]*Tabla4[[#This Row],[Total]]</f>
        <v>#N/A</v>
      </c>
    </row>
    <row r="6402" spans="1:22" hidden="1" x14ac:dyDescent="0.25">
      <c r="A6402" s="100">
        <v>45945</v>
      </c>
      <c r="B6402" t="str">
        <f t="shared" ref="B6402:B6404" si="341">TEXT(A6402, "mmmm")</f>
        <v>October</v>
      </c>
      <c r="C6402" s="46" t="s">
        <v>280</v>
      </c>
      <c r="F6402" s="366" t="s">
        <v>3263</v>
      </c>
      <c r="G6402" s="46" t="s">
        <v>83</v>
      </c>
      <c r="H6402" s="46">
        <v>4</v>
      </c>
      <c r="I6402" s="51">
        <v>8858.76</v>
      </c>
      <c r="J6402" s="281">
        <f>++Tabla4[[#This Row],[Precio Bruto]]*1.16</f>
        <v>10276.161599999999</v>
      </c>
      <c r="K6402" s="281">
        <f>+Tabla4[[#This Row],[Precio Unitario Neto]]*Tabla4[[#Headers],[20.85%]]</f>
        <v>2142.5796935999997</v>
      </c>
      <c r="L6402" s="282">
        <f>++Tabla4[[#This Row],[Precio Unitario Neto]]-Tabla4[[#This Row],[20.85%]]</f>
        <v>8133.5819063999998</v>
      </c>
      <c r="M6402" s="282" t="e">
        <f>(INDEX(Tabla6[#All],MATCH(Tabla4[[#This Row],[Producto]],Tabla6[[#All],[PRODUCTO]],0),MATCH(Tabla4[[#This Row],[Mes]],Tabla6[#Headers],0)))*(1+Catalogos!$L$2)</f>
        <v>#N/A</v>
      </c>
      <c r="N6402" s="283" t="e">
        <f>+(Tabla4[[#This Row],[Precio Descontado]]-Tabla4[[#This Row],[Precio Base]])*Tabla4[[#This Row],[Cantidad]]</f>
        <v>#N/A</v>
      </c>
      <c r="O6402" s="284" t="e">
        <f>++Tabla4[[#This Row],[Utilidad Total]]/Tabla4[[#This Row],[Total]]</f>
        <v>#N/A</v>
      </c>
      <c r="P6402" s="282">
        <f>++Tabla4[[#This Row],[Precio Descontado]]*Tabla4[[#This Row],[Cantidad]]</f>
        <v>32534.327625599999</v>
      </c>
      <c r="Q6402" s="282" t="e">
        <f>(INDEX(Tabla6[#All],MATCH(Tabla4[[#This Row],[Producto]],Tabla6[[#All],[PRODUCTO]],0),MATCH(Tabla4[[#This Row],[Mes]],Tabla6[#Headers],0)))</f>
        <v>#N/A</v>
      </c>
      <c r="R6402" s="282" t="e">
        <f>++Tabla4[[#This Row],[Precio Unitario Neto]]-Tabla4[[#This Row],[20.85%]]-Tabla4[[#This Row],[Costo]]</f>
        <v>#N/A</v>
      </c>
      <c r="S6402" s="282" t="e">
        <f>++Tabla4[[#This Row],[U. Bruta Uni]]*Tabla4[[#This Row],[Cantidad]]</f>
        <v>#N/A</v>
      </c>
      <c r="T6402" s="369" t="str">
        <f>VLOOKUP(Tabla4[[#This Row],[Producto]],Tabla6[#All],14,FALSE)</f>
        <v>Termico Solar</v>
      </c>
      <c r="U6402" s="284" t="e">
        <f>(IF(Tabla4[[#This Row],[Familia]]="termico solar",Tabla4[[#This Row],[Utilidad Total]]*6%,Tabla4[[#This Row],[Utilidad Total]]*11.5%))/Tabla4[[#This Row],[Total]]</f>
        <v>#N/A</v>
      </c>
      <c r="V6402" s="282" t="e">
        <f>+Tabla4[[#This Row],[Comisión Calculada]]*Tabla4[[#This Row],[Total]]</f>
        <v>#N/A</v>
      </c>
    </row>
    <row r="6403" spans="1:22" hidden="1" x14ac:dyDescent="0.25">
      <c r="A6403" s="100">
        <v>45945</v>
      </c>
      <c r="B6403" t="str">
        <f t="shared" si="341"/>
        <v>October</v>
      </c>
      <c r="C6403" s="46" t="s">
        <v>280</v>
      </c>
      <c r="F6403" s="366" t="s">
        <v>3263</v>
      </c>
      <c r="G6403" s="46" t="s">
        <v>17</v>
      </c>
      <c r="H6403" s="46">
        <v>9</v>
      </c>
      <c r="I6403" s="51">
        <v>4622.28</v>
      </c>
      <c r="J6403" s="281">
        <f>++Tabla4[[#This Row],[Precio Bruto]]*1.16</f>
        <v>5361.8447999999989</v>
      </c>
      <c r="K6403" s="281">
        <f>+Tabla4[[#This Row],[Precio Unitario Neto]]*Tabla4[[#Headers],[20.85%]]</f>
        <v>1117.9446407999997</v>
      </c>
      <c r="L6403" s="282">
        <f>++Tabla4[[#This Row],[Precio Unitario Neto]]-Tabla4[[#This Row],[20.85%]]</f>
        <v>4243.9001591999995</v>
      </c>
      <c r="M6403" s="282" t="e">
        <f>(INDEX(Tabla6[#All],MATCH(Tabla4[[#This Row],[Producto]],Tabla6[[#All],[PRODUCTO]],0),MATCH(Tabla4[[#This Row],[Mes]],Tabla6[#Headers],0)))*(1+Catalogos!$L$2)</f>
        <v>#N/A</v>
      </c>
      <c r="N6403" s="283" t="e">
        <f>+(Tabla4[[#This Row],[Precio Descontado]]-Tabla4[[#This Row],[Precio Base]])*Tabla4[[#This Row],[Cantidad]]</f>
        <v>#N/A</v>
      </c>
      <c r="O6403" s="284" t="e">
        <f>++Tabla4[[#This Row],[Utilidad Total]]/Tabla4[[#This Row],[Total]]</f>
        <v>#N/A</v>
      </c>
      <c r="P6403" s="282">
        <f>++Tabla4[[#This Row],[Precio Descontado]]*Tabla4[[#This Row],[Cantidad]]</f>
        <v>38195.101432799995</v>
      </c>
      <c r="Q6403" s="282" t="e">
        <f>(INDEX(Tabla6[#All],MATCH(Tabla4[[#This Row],[Producto]],Tabla6[[#All],[PRODUCTO]],0),MATCH(Tabla4[[#This Row],[Mes]],Tabla6[#Headers],0)))</f>
        <v>#N/A</v>
      </c>
      <c r="R6403" s="282" t="e">
        <f>++Tabla4[[#This Row],[Precio Unitario Neto]]-Tabla4[[#This Row],[20.85%]]-Tabla4[[#This Row],[Costo]]</f>
        <v>#N/A</v>
      </c>
      <c r="S6403" s="282" t="e">
        <f>++Tabla4[[#This Row],[U. Bruta Uni]]*Tabla4[[#This Row],[Cantidad]]</f>
        <v>#N/A</v>
      </c>
      <c r="T6403" s="369" t="str">
        <f>VLOOKUP(Tabla4[[#This Row],[Producto]],Tabla6[#All],14,FALSE)</f>
        <v>Termico Solar</v>
      </c>
      <c r="U6403" s="284" t="e">
        <f>(IF(Tabla4[[#This Row],[Familia]]="termico solar",Tabla4[[#This Row],[Utilidad Total]]*6%,Tabla4[[#This Row],[Utilidad Total]]*11.5%))/Tabla4[[#This Row],[Total]]</f>
        <v>#N/A</v>
      </c>
      <c r="V6403" s="282" t="e">
        <f>+Tabla4[[#This Row],[Comisión Calculada]]*Tabla4[[#This Row],[Total]]</f>
        <v>#N/A</v>
      </c>
    </row>
    <row r="6404" spans="1:22" hidden="1" x14ac:dyDescent="0.25">
      <c r="A6404" s="100">
        <v>45945</v>
      </c>
      <c r="B6404" t="str">
        <f t="shared" si="341"/>
        <v>October</v>
      </c>
      <c r="C6404" s="46" t="s">
        <v>280</v>
      </c>
      <c r="F6404" s="366" t="s">
        <v>3263</v>
      </c>
      <c r="G6404" s="46" t="s">
        <v>16</v>
      </c>
      <c r="H6404" s="46">
        <v>2</v>
      </c>
      <c r="I6404" s="51">
        <v>4103.8500000000004</v>
      </c>
      <c r="J6404" s="281">
        <f>++Tabla4[[#This Row],[Precio Bruto]]*1.16</f>
        <v>4760.4660000000003</v>
      </c>
      <c r="K6404" s="281">
        <f>+Tabla4[[#This Row],[Precio Unitario Neto]]*Tabla4[[#Headers],[20.85%]]</f>
        <v>992.55716100000006</v>
      </c>
      <c r="L6404" s="282">
        <f>++Tabla4[[#This Row],[Precio Unitario Neto]]-Tabla4[[#This Row],[20.85%]]</f>
        <v>3767.9088390000002</v>
      </c>
      <c r="M6404" s="282" t="e">
        <f>(INDEX(Tabla6[#All],MATCH(Tabla4[[#This Row],[Producto]],Tabla6[[#All],[PRODUCTO]],0),MATCH(Tabla4[[#This Row],[Mes]],Tabla6[#Headers],0)))*(1+Catalogos!$L$2)</f>
        <v>#N/A</v>
      </c>
      <c r="N6404" s="283" t="e">
        <f>+(Tabla4[[#This Row],[Precio Descontado]]-Tabla4[[#This Row],[Precio Base]])*Tabla4[[#This Row],[Cantidad]]</f>
        <v>#N/A</v>
      </c>
      <c r="O6404" s="284" t="e">
        <f>++Tabla4[[#This Row],[Utilidad Total]]/Tabla4[[#This Row],[Total]]</f>
        <v>#N/A</v>
      </c>
      <c r="P6404" s="282">
        <f>++Tabla4[[#This Row],[Precio Descontado]]*Tabla4[[#This Row],[Cantidad]]</f>
        <v>7535.8176780000003</v>
      </c>
      <c r="Q6404" s="282" t="e">
        <f>(INDEX(Tabla6[#All],MATCH(Tabla4[[#This Row],[Producto]],Tabla6[[#All],[PRODUCTO]],0),MATCH(Tabla4[[#This Row],[Mes]],Tabla6[#Headers],0)))</f>
        <v>#N/A</v>
      </c>
      <c r="R6404" s="282" t="e">
        <f>++Tabla4[[#This Row],[Precio Unitario Neto]]-Tabla4[[#This Row],[20.85%]]-Tabla4[[#This Row],[Costo]]</f>
        <v>#N/A</v>
      </c>
      <c r="S6404" s="282" t="e">
        <f>++Tabla4[[#This Row],[U. Bruta Uni]]*Tabla4[[#This Row],[Cantidad]]</f>
        <v>#N/A</v>
      </c>
      <c r="T6404" s="369" t="str">
        <f>VLOOKUP(Tabla4[[#This Row],[Producto]],Tabla6[#All],14,FALSE)</f>
        <v>Termico Solar</v>
      </c>
      <c r="U6404" s="284" t="e">
        <f>(IF(Tabla4[[#This Row],[Familia]]="termico solar",Tabla4[[#This Row],[Utilidad Total]]*6%,Tabla4[[#This Row],[Utilidad Total]]*11.5%))/Tabla4[[#This Row],[Total]]</f>
        <v>#N/A</v>
      </c>
      <c r="V6404" s="282" t="e">
        <f>+Tabla4[[#This Row],[Comisión Calculada]]*Tabla4[[#This Row],[Total]]</f>
        <v>#N/A</v>
      </c>
    </row>
    <row r="6405" spans="1:22" hidden="1" x14ac:dyDescent="0.25">
      <c r="A6405" s="100">
        <v>45945</v>
      </c>
      <c r="B6405" t="str">
        <f>TEXT(A6405, "mmmm")</f>
        <v>October</v>
      </c>
      <c r="C6405" s="46" t="s">
        <v>280</v>
      </c>
      <c r="F6405" s="366" t="s">
        <v>3264</v>
      </c>
      <c r="G6405" s="46" t="s">
        <v>18</v>
      </c>
      <c r="H6405" s="46">
        <v>3</v>
      </c>
      <c r="I6405" s="51">
        <v>5367.6500000000005</v>
      </c>
      <c r="J6405" s="281">
        <f>++Tabla4[[#This Row],[Precio Bruto]]*1.16</f>
        <v>6226.4740000000002</v>
      </c>
      <c r="K6405" s="281">
        <f>+Tabla4[[#This Row],[Precio Unitario Neto]]*Tabla4[[#Headers],[20.85%]]</f>
        <v>1298.2198289999999</v>
      </c>
      <c r="L6405" s="282">
        <f>++Tabla4[[#This Row],[Precio Unitario Neto]]-Tabla4[[#This Row],[20.85%]]</f>
        <v>4928.2541710000005</v>
      </c>
      <c r="M6405" s="282" t="e">
        <f>(INDEX(Tabla6[#All],MATCH(Tabla4[[#This Row],[Producto]],Tabla6[[#All],[PRODUCTO]],0),MATCH(Tabla4[[#This Row],[Mes]],Tabla6[#Headers],0)))*(1+Catalogos!$L$2)</f>
        <v>#N/A</v>
      </c>
      <c r="N6405" s="283" t="e">
        <f>+(Tabla4[[#This Row],[Precio Descontado]]-Tabla4[[#This Row],[Precio Base]])*Tabla4[[#This Row],[Cantidad]]</f>
        <v>#N/A</v>
      </c>
      <c r="O6405" s="284" t="e">
        <f>++Tabla4[[#This Row],[Utilidad Total]]/Tabla4[[#This Row],[Total]]</f>
        <v>#N/A</v>
      </c>
      <c r="P6405" s="282">
        <f>++Tabla4[[#This Row],[Precio Descontado]]*Tabla4[[#This Row],[Cantidad]]</f>
        <v>14784.762513000001</v>
      </c>
      <c r="Q6405" s="282" t="e">
        <f>(INDEX(Tabla6[#All],MATCH(Tabla4[[#This Row],[Producto]],Tabla6[[#All],[PRODUCTO]],0),MATCH(Tabla4[[#This Row],[Mes]],Tabla6[#Headers],0)))</f>
        <v>#N/A</v>
      </c>
      <c r="R6405" s="282" t="e">
        <f>++Tabla4[[#This Row],[Precio Unitario Neto]]-Tabla4[[#This Row],[20.85%]]-Tabla4[[#This Row],[Costo]]</f>
        <v>#N/A</v>
      </c>
      <c r="S6405" s="282" t="e">
        <f>++Tabla4[[#This Row],[U. Bruta Uni]]*Tabla4[[#This Row],[Cantidad]]</f>
        <v>#N/A</v>
      </c>
      <c r="T6405" s="369" t="str">
        <f>VLOOKUP(Tabla4[[#This Row],[Producto]],Tabla6[#All],14,FALSE)</f>
        <v>Termico Solar</v>
      </c>
      <c r="U6405" s="284" t="e">
        <f>(IF(Tabla4[[#This Row],[Familia]]="termico solar",Tabla4[[#This Row],[Utilidad Total]]*6%,Tabla4[[#This Row],[Utilidad Total]]*11.5%))/Tabla4[[#This Row],[Total]]</f>
        <v>#N/A</v>
      </c>
      <c r="V6405" s="282" t="e">
        <f>+Tabla4[[#This Row],[Comisión Calculada]]*Tabla4[[#This Row],[Total]]</f>
        <v>#N/A</v>
      </c>
    </row>
    <row r="6406" spans="1:22" hidden="1" x14ac:dyDescent="0.25">
      <c r="A6406" s="100">
        <v>45945</v>
      </c>
      <c r="B6406" t="str">
        <f t="shared" ref="B6406:B6407" si="342">TEXT(A6406, "mmmm")</f>
        <v>October</v>
      </c>
      <c r="C6406" s="46" t="s">
        <v>280</v>
      </c>
      <c r="F6406" s="366" t="s">
        <v>3265</v>
      </c>
      <c r="G6406" s="46" t="s">
        <v>83</v>
      </c>
      <c r="H6406" s="46">
        <v>1</v>
      </c>
      <c r="I6406" s="51">
        <v>8858.76</v>
      </c>
      <c r="J6406" s="281">
        <f>++Tabla4[[#This Row],[Precio Bruto]]*1.16</f>
        <v>10276.161599999999</v>
      </c>
      <c r="K6406" s="281">
        <f>+Tabla4[[#This Row],[Precio Unitario Neto]]*Tabla4[[#Headers],[20.85%]]</f>
        <v>2142.5796935999997</v>
      </c>
      <c r="L6406" s="282">
        <f>++Tabla4[[#This Row],[Precio Unitario Neto]]-Tabla4[[#This Row],[20.85%]]</f>
        <v>8133.5819063999998</v>
      </c>
      <c r="M6406" s="282" t="e">
        <f>(INDEX(Tabla6[#All],MATCH(Tabla4[[#This Row],[Producto]],Tabla6[[#All],[PRODUCTO]],0),MATCH(Tabla4[[#This Row],[Mes]],Tabla6[#Headers],0)))*(1+Catalogos!$L$2)</f>
        <v>#N/A</v>
      </c>
      <c r="N6406" s="283" t="e">
        <f>+(Tabla4[[#This Row],[Precio Descontado]]-Tabla4[[#This Row],[Precio Base]])*Tabla4[[#This Row],[Cantidad]]</f>
        <v>#N/A</v>
      </c>
      <c r="O6406" s="284" t="e">
        <f>++Tabla4[[#This Row],[Utilidad Total]]/Tabla4[[#This Row],[Total]]</f>
        <v>#N/A</v>
      </c>
      <c r="P6406" s="282">
        <f>++Tabla4[[#This Row],[Precio Descontado]]*Tabla4[[#This Row],[Cantidad]]</f>
        <v>8133.5819063999998</v>
      </c>
      <c r="Q6406" s="282" t="e">
        <f>(INDEX(Tabla6[#All],MATCH(Tabla4[[#This Row],[Producto]],Tabla6[[#All],[PRODUCTO]],0),MATCH(Tabla4[[#This Row],[Mes]],Tabla6[#Headers],0)))</f>
        <v>#N/A</v>
      </c>
      <c r="R6406" s="282" t="e">
        <f>++Tabla4[[#This Row],[Precio Unitario Neto]]-Tabla4[[#This Row],[20.85%]]-Tabla4[[#This Row],[Costo]]</f>
        <v>#N/A</v>
      </c>
      <c r="S6406" s="282" t="e">
        <f>++Tabla4[[#This Row],[U. Bruta Uni]]*Tabla4[[#This Row],[Cantidad]]</f>
        <v>#N/A</v>
      </c>
      <c r="T6406" s="369" t="str">
        <f>VLOOKUP(Tabla4[[#This Row],[Producto]],Tabla6[#All],14,FALSE)</f>
        <v>Termico Solar</v>
      </c>
      <c r="U6406" s="284" t="e">
        <f>(IF(Tabla4[[#This Row],[Familia]]="termico solar",Tabla4[[#This Row],[Utilidad Total]]*6%,Tabla4[[#This Row],[Utilidad Total]]*11.5%))/Tabla4[[#This Row],[Total]]</f>
        <v>#N/A</v>
      </c>
      <c r="V6406" s="282" t="e">
        <f>+Tabla4[[#This Row],[Comisión Calculada]]*Tabla4[[#This Row],[Total]]</f>
        <v>#N/A</v>
      </c>
    </row>
    <row r="6407" spans="1:22" hidden="1" x14ac:dyDescent="0.25">
      <c r="A6407" s="100">
        <v>45945</v>
      </c>
      <c r="B6407" t="str">
        <f t="shared" si="342"/>
        <v>October</v>
      </c>
      <c r="C6407" s="46" t="s">
        <v>280</v>
      </c>
      <c r="F6407" s="366" t="s">
        <v>3265</v>
      </c>
      <c r="G6407" s="46" t="s">
        <v>17</v>
      </c>
      <c r="H6407" s="46">
        <v>1</v>
      </c>
      <c r="I6407" s="51">
        <v>4622.28</v>
      </c>
      <c r="J6407" s="281">
        <f>++Tabla4[[#This Row],[Precio Bruto]]*1.16</f>
        <v>5361.8447999999989</v>
      </c>
      <c r="K6407" s="281">
        <f>+Tabla4[[#This Row],[Precio Unitario Neto]]*Tabla4[[#Headers],[20.85%]]</f>
        <v>1117.9446407999997</v>
      </c>
      <c r="L6407" s="282">
        <f>++Tabla4[[#This Row],[Precio Unitario Neto]]-Tabla4[[#This Row],[20.85%]]</f>
        <v>4243.9001591999995</v>
      </c>
      <c r="M6407" s="282" t="e">
        <f>(INDEX(Tabla6[#All],MATCH(Tabla4[[#This Row],[Producto]],Tabla6[[#All],[PRODUCTO]],0),MATCH(Tabla4[[#This Row],[Mes]],Tabla6[#Headers],0)))*(1+Catalogos!$L$2)</f>
        <v>#N/A</v>
      </c>
      <c r="N6407" s="283" t="e">
        <f>+(Tabla4[[#This Row],[Precio Descontado]]-Tabla4[[#This Row],[Precio Base]])*Tabla4[[#This Row],[Cantidad]]</f>
        <v>#N/A</v>
      </c>
      <c r="O6407" s="284" t="e">
        <f>++Tabla4[[#This Row],[Utilidad Total]]/Tabla4[[#This Row],[Total]]</f>
        <v>#N/A</v>
      </c>
      <c r="P6407" s="282">
        <f>++Tabla4[[#This Row],[Precio Descontado]]*Tabla4[[#This Row],[Cantidad]]</f>
        <v>4243.9001591999995</v>
      </c>
      <c r="Q6407" s="282" t="e">
        <f>(INDEX(Tabla6[#All],MATCH(Tabla4[[#This Row],[Producto]],Tabla6[[#All],[PRODUCTO]],0),MATCH(Tabla4[[#This Row],[Mes]],Tabla6[#Headers],0)))</f>
        <v>#N/A</v>
      </c>
      <c r="R6407" s="282" t="e">
        <f>++Tabla4[[#This Row],[Precio Unitario Neto]]-Tabla4[[#This Row],[20.85%]]-Tabla4[[#This Row],[Costo]]</f>
        <v>#N/A</v>
      </c>
      <c r="S6407" s="282" t="e">
        <f>++Tabla4[[#This Row],[U. Bruta Uni]]*Tabla4[[#This Row],[Cantidad]]</f>
        <v>#N/A</v>
      </c>
      <c r="T6407" s="369" t="str">
        <f>VLOOKUP(Tabla4[[#This Row],[Producto]],Tabla6[#All],14,FALSE)</f>
        <v>Termico Solar</v>
      </c>
      <c r="U6407" s="284" t="e">
        <f>(IF(Tabla4[[#This Row],[Familia]]="termico solar",Tabla4[[#This Row],[Utilidad Total]]*6%,Tabla4[[#This Row],[Utilidad Total]]*11.5%))/Tabla4[[#This Row],[Total]]</f>
        <v>#N/A</v>
      </c>
      <c r="V6407" s="282" t="e">
        <f>+Tabla4[[#This Row],[Comisión Calculada]]*Tabla4[[#This Row],[Total]]</f>
        <v>#N/A</v>
      </c>
    </row>
    <row r="6408" spans="1:22" hidden="1" x14ac:dyDescent="0.25">
      <c r="A6408" s="100">
        <v>45945</v>
      </c>
      <c r="B6408" t="str">
        <f t="shared" ref="B6408" si="343">TEXT(A6408, "mmmm")</f>
        <v>October</v>
      </c>
      <c r="C6408" s="46" t="s">
        <v>280</v>
      </c>
      <c r="F6408" s="366" t="s">
        <v>3266</v>
      </c>
      <c r="G6408" s="46" t="s">
        <v>208</v>
      </c>
      <c r="H6408" s="46">
        <v>3</v>
      </c>
      <c r="I6408" s="51">
        <v>189.75</v>
      </c>
      <c r="J6408" s="281">
        <f>++Tabla4[[#This Row],[Precio Bruto]]*1.16</f>
        <v>220.10999999999999</v>
      </c>
      <c r="K6408" s="281">
        <f>+Tabla4[[#This Row],[Precio Unitario Neto]]*Tabla4[[#Headers],[20.85%]]</f>
        <v>45.892934999999994</v>
      </c>
      <c r="L6408" s="282">
        <f>++Tabla4[[#This Row],[Precio Unitario Neto]]-Tabla4[[#This Row],[20.85%]]</f>
        <v>174.21706499999999</v>
      </c>
      <c r="M6408" s="282" t="e">
        <f>(INDEX(Tabla6[#All],MATCH(Tabla4[[#This Row],[Producto]],Tabla6[[#All],[PRODUCTO]],0),MATCH(Tabla4[[#This Row],[Mes]],Tabla6[#Headers],0)))*(1+Catalogos!$L$2)</f>
        <v>#N/A</v>
      </c>
      <c r="N6408" s="283" t="e">
        <f>+(Tabla4[[#This Row],[Precio Descontado]]-Tabla4[[#This Row],[Precio Base]])*Tabla4[[#This Row],[Cantidad]]</f>
        <v>#N/A</v>
      </c>
      <c r="O6408" s="284" t="e">
        <f>++Tabla4[[#This Row],[Utilidad Total]]/Tabla4[[#This Row],[Total]]</f>
        <v>#N/A</v>
      </c>
      <c r="P6408" s="282">
        <f>++Tabla4[[#This Row],[Precio Descontado]]*Tabla4[[#This Row],[Cantidad]]</f>
        <v>522.65119499999992</v>
      </c>
      <c r="Q6408" s="282" t="e">
        <f>(INDEX(Tabla6[#All],MATCH(Tabla4[[#This Row],[Producto]],Tabla6[[#All],[PRODUCTO]],0),MATCH(Tabla4[[#This Row],[Mes]],Tabla6[#Headers],0)))</f>
        <v>#N/A</v>
      </c>
      <c r="R6408" s="282" t="e">
        <f>++Tabla4[[#This Row],[Precio Unitario Neto]]-Tabla4[[#This Row],[20.85%]]-Tabla4[[#This Row],[Costo]]</f>
        <v>#N/A</v>
      </c>
      <c r="S6408" s="282" t="e">
        <f>++Tabla4[[#This Row],[U. Bruta Uni]]*Tabla4[[#This Row],[Cantidad]]</f>
        <v>#N/A</v>
      </c>
      <c r="T6408" s="369" t="str">
        <f>VLOOKUP(Tabla4[[#This Row],[Producto]],Tabla6[#All],14,FALSE)</f>
        <v>Termico Solar</v>
      </c>
      <c r="U6408" s="284" t="e">
        <f>(IF(Tabla4[[#This Row],[Familia]]="termico solar",Tabla4[[#This Row],[Utilidad Total]]*6%,Tabla4[[#This Row],[Utilidad Total]]*11.5%))/Tabla4[[#This Row],[Total]]</f>
        <v>#N/A</v>
      </c>
      <c r="V6408" s="282" t="e">
        <f>+Tabla4[[#This Row],[Comisión Calculada]]*Tabla4[[#This Row],[Total]]</f>
        <v>#N/A</v>
      </c>
    </row>
    <row r="6409" spans="1:22" hidden="1" x14ac:dyDescent="0.25">
      <c r="A6409" s="100">
        <v>45945</v>
      </c>
      <c r="B6409" t="str">
        <f t="shared" ref="B6409:B6411" si="344">TEXT(A6409, "mmmm")</f>
        <v>October</v>
      </c>
      <c r="C6409" s="46" t="s">
        <v>280</v>
      </c>
      <c r="F6409" s="366" t="s">
        <v>3267</v>
      </c>
      <c r="G6409" s="46" t="s">
        <v>83</v>
      </c>
      <c r="H6409" s="46">
        <v>1</v>
      </c>
      <c r="I6409" s="51">
        <v>8858.76</v>
      </c>
      <c r="J6409" s="281">
        <f>++Tabla4[[#This Row],[Precio Bruto]]*1.16</f>
        <v>10276.161599999999</v>
      </c>
      <c r="K6409" s="281">
        <f>+Tabla4[[#This Row],[Precio Unitario Neto]]*Tabla4[[#Headers],[20.85%]]</f>
        <v>2142.5796935999997</v>
      </c>
      <c r="L6409" s="282">
        <f>++Tabla4[[#This Row],[Precio Unitario Neto]]-Tabla4[[#This Row],[20.85%]]</f>
        <v>8133.5819063999998</v>
      </c>
      <c r="M6409" s="282" t="e">
        <f>(INDEX(Tabla6[#All],MATCH(Tabla4[[#This Row],[Producto]],Tabla6[[#All],[PRODUCTO]],0),MATCH(Tabla4[[#This Row],[Mes]],Tabla6[#Headers],0)))*(1+Catalogos!$L$2)</f>
        <v>#N/A</v>
      </c>
      <c r="N6409" s="283" t="e">
        <f>+(Tabla4[[#This Row],[Precio Descontado]]-Tabla4[[#This Row],[Precio Base]])*Tabla4[[#This Row],[Cantidad]]</f>
        <v>#N/A</v>
      </c>
      <c r="O6409" s="284" t="e">
        <f>++Tabla4[[#This Row],[Utilidad Total]]/Tabla4[[#This Row],[Total]]</f>
        <v>#N/A</v>
      </c>
      <c r="P6409" s="282">
        <f>++Tabla4[[#This Row],[Precio Descontado]]*Tabla4[[#This Row],[Cantidad]]</f>
        <v>8133.5819063999998</v>
      </c>
      <c r="Q6409" s="282" t="e">
        <f>(INDEX(Tabla6[#All],MATCH(Tabla4[[#This Row],[Producto]],Tabla6[[#All],[PRODUCTO]],0),MATCH(Tabla4[[#This Row],[Mes]],Tabla6[#Headers],0)))</f>
        <v>#N/A</v>
      </c>
      <c r="R6409" s="282" t="e">
        <f>++Tabla4[[#This Row],[Precio Unitario Neto]]-Tabla4[[#This Row],[20.85%]]-Tabla4[[#This Row],[Costo]]</f>
        <v>#N/A</v>
      </c>
      <c r="S6409" s="282" t="e">
        <f>++Tabla4[[#This Row],[U. Bruta Uni]]*Tabla4[[#This Row],[Cantidad]]</f>
        <v>#N/A</v>
      </c>
      <c r="T6409" s="369" t="str">
        <f>VLOOKUP(Tabla4[[#This Row],[Producto]],Tabla6[#All],14,FALSE)</f>
        <v>Termico Solar</v>
      </c>
      <c r="U6409" s="284" t="e">
        <f>(IF(Tabla4[[#This Row],[Familia]]="termico solar",Tabla4[[#This Row],[Utilidad Total]]*6%,Tabla4[[#This Row],[Utilidad Total]]*11.5%))/Tabla4[[#This Row],[Total]]</f>
        <v>#N/A</v>
      </c>
      <c r="V6409" s="282" t="e">
        <f>+Tabla4[[#This Row],[Comisión Calculada]]*Tabla4[[#This Row],[Total]]</f>
        <v>#N/A</v>
      </c>
    </row>
    <row r="6410" spans="1:22" hidden="1" x14ac:dyDescent="0.25">
      <c r="A6410" s="100">
        <v>45945</v>
      </c>
      <c r="B6410" t="str">
        <f t="shared" si="344"/>
        <v>October</v>
      </c>
      <c r="C6410" s="46" t="s">
        <v>280</v>
      </c>
      <c r="F6410" s="366" t="s">
        <v>3267</v>
      </c>
      <c r="G6410" s="46" t="s">
        <v>17</v>
      </c>
      <c r="H6410" s="46">
        <v>2</v>
      </c>
      <c r="I6410" s="51">
        <v>4622.28</v>
      </c>
      <c r="J6410" s="281">
        <f>++Tabla4[[#This Row],[Precio Bruto]]*1.16</f>
        <v>5361.8447999999989</v>
      </c>
      <c r="K6410" s="281">
        <f>+Tabla4[[#This Row],[Precio Unitario Neto]]*Tabla4[[#Headers],[20.85%]]</f>
        <v>1117.9446407999997</v>
      </c>
      <c r="L6410" s="282">
        <f>++Tabla4[[#This Row],[Precio Unitario Neto]]-Tabla4[[#This Row],[20.85%]]</f>
        <v>4243.9001591999995</v>
      </c>
      <c r="M6410" s="282" t="e">
        <f>(INDEX(Tabla6[#All],MATCH(Tabla4[[#This Row],[Producto]],Tabla6[[#All],[PRODUCTO]],0),MATCH(Tabla4[[#This Row],[Mes]],Tabla6[#Headers],0)))*(1+Catalogos!$L$2)</f>
        <v>#N/A</v>
      </c>
      <c r="N6410" s="283" t="e">
        <f>+(Tabla4[[#This Row],[Precio Descontado]]-Tabla4[[#This Row],[Precio Base]])*Tabla4[[#This Row],[Cantidad]]</f>
        <v>#N/A</v>
      </c>
      <c r="O6410" s="284" t="e">
        <f>++Tabla4[[#This Row],[Utilidad Total]]/Tabla4[[#This Row],[Total]]</f>
        <v>#N/A</v>
      </c>
      <c r="P6410" s="282">
        <f>++Tabla4[[#This Row],[Precio Descontado]]*Tabla4[[#This Row],[Cantidad]]</f>
        <v>8487.800318399999</v>
      </c>
      <c r="Q6410" s="282" t="e">
        <f>(INDEX(Tabla6[#All],MATCH(Tabla4[[#This Row],[Producto]],Tabla6[[#All],[PRODUCTO]],0),MATCH(Tabla4[[#This Row],[Mes]],Tabla6[#Headers],0)))</f>
        <v>#N/A</v>
      </c>
      <c r="R6410" s="282" t="e">
        <f>++Tabla4[[#This Row],[Precio Unitario Neto]]-Tabla4[[#This Row],[20.85%]]-Tabla4[[#This Row],[Costo]]</f>
        <v>#N/A</v>
      </c>
      <c r="S6410" s="282" t="e">
        <f>++Tabla4[[#This Row],[U. Bruta Uni]]*Tabla4[[#This Row],[Cantidad]]</f>
        <v>#N/A</v>
      </c>
      <c r="T6410" s="369" t="str">
        <f>VLOOKUP(Tabla4[[#This Row],[Producto]],Tabla6[#All],14,FALSE)</f>
        <v>Termico Solar</v>
      </c>
      <c r="U6410" s="284" t="e">
        <f>(IF(Tabla4[[#This Row],[Familia]]="termico solar",Tabla4[[#This Row],[Utilidad Total]]*6%,Tabla4[[#This Row],[Utilidad Total]]*11.5%))/Tabla4[[#This Row],[Total]]</f>
        <v>#N/A</v>
      </c>
      <c r="V6410" s="282" t="e">
        <f>+Tabla4[[#This Row],[Comisión Calculada]]*Tabla4[[#This Row],[Total]]</f>
        <v>#N/A</v>
      </c>
    </row>
    <row r="6411" spans="1:22" hidden="1" x14ac:dyDescent="0.25">
      <c r="A6411" s="100">
        <v>45945</v>
      </c>
      <c r="B6411" t="str">
        <f t="shared" si="344"/>
        <v>October</v>
      </c>
      <c r="C6411" s="46" t="s">
        <v>280</v>
      </c>
      <c r="F6411" s="366" t="s">
        <v>3267</v>
      </c>
      <c r="G6411" s="46" t="s">
        <v>566</v>
      </c>
      <c r="H6411" s="46">
        <v>3</v>
      </c>
      <c r="I6411" s="51">
        <v>2109.4500000000003</v>
      </c>
      <c r="J6411" s="281">
        <f>++Tabla4[[#This Row],[Precio Bruto]]*1.16</f>
        <v>2446.962</v>
      </c>
      <c r="K6411" s="281">
        <f>+Tabla4[[#This Row],[Precio Unitario Neto]]*Tabla4[[#Headers],[20.85%]]</f>
        <v>510.191577</v>
      </c>
      <c r="L6411" s="282">
        <f>++Tabla4[[#This Row],[Precio Unitario Neto]]-Tabla4[[#This Row],[20.85%]]</f>
        <v>1936.7704229999999</v>
      </c>
      <c r="M6411" s="282" t="e">
        <f>(INDEX(Tabla6[#All],MATCH(Tabla4[[#This Row],[Producto]],Tabla6[[#All],[PRODUCTO]],0),MATCH(Tabla4[[#This Row],[Mes]],Tabla6[#Headers],0)))*(1+Catalogos!$L$2)</f>
        <v>#N/A</v>
      </c>
      <c r="N6411" s="283" t="e">
        <f>+(Tabla4[[#This Row],[Precio Descontado]]-Tabla4[[#This Row],[Precio Base]])*Tabla4[[#This Row],[Cantidad]]</f>
        <v>#N/A</v>
      </c>
      <c r="O6411" s="284" t="e">
        <f>++Tabla4[[#This Row],[Utilidad Total]]/Tabla4[[#This Row],[Total]]</f>
        <v>#N/A</v>
      </c>
      <c r="P6411" s="282">
        <f>++Tabla4[[#This Row],[Precio Descontado]]*Tabla4[[#This Row],[Cantidad]]</f>
        <v>5810.3112689999998</v>
      </c>
      <c r="Q6411" s="282" t="e">
        <f>(INDEX(Tabla6[#All],MATCH(Tabla4[[#This Row],[Producto]],Tabla6[[#All],[PRODUCTO]],0),MATCH(Tabla4[[#This Row],[Mes]],Tabla6[#Headers],0)))</f>
        <v>#N/A</v>
      </c>
      <c r="R6411" s="282" t="e">
        <f>++Tabla4[[#This Row],[Precio Unitario Neto]]-Tabla4[[#This Row],[20.85%]]-Tabla4[[#This Row],[Costo]]</f>
        <v>#N/A</v>
      </c>
      <c r="S6411" s="282" t="e">
        <f>++Tabla4[[#This Row],[U. Bruta Uni]]*Tabla4[[#This Row],[Cantidad]]</f>
        <v>#N/A</v>
      </c>
      <c r="T6411" s="369" t="str">
        <f>VLOOKUP(Tabla4[[#This Row],[Producto]],Tabla6[#All],14,FALSE)</f>
        <v>Termico Solar</v>
      </c>
      <c r="U6411" s="284" t="e">
        <f>(IF(Tabla4[[#This Row],[Familia]]="termico solar",Tabla4[[#This Row],[Utilidad Total]]*6%,Tabla4[[#This Row],[Utilidad Total]]*11.5%))/Tabla4[[#This Row],[Total]]</f>
        <v>#N/A</v>
      </c>
      <c r="V6411" s="282" t="e">
        <f>+Tabla4[[#This Row],[Comisión Calculada]]*Tabla4[[#This Row],[Total]]</f>
        <v>#N/A</v>
      </c>
    </row>
    <row r="6412" spans="1:22" hidden="1" x14ac:dyDescent="0.25">
      <c r="A6412" s="100">
        <v>45945</v>
      </c>
      <c r="B6412" t="str">
        <f t="shared" ref="B6412:B6413" si="345">TEXT(A6412, "mmmm")</f>
        <v>October</v>
      </c>
      <c r="C6412" s="46" t="s">
        <v>280</v>
      </c>
      <c r="F6412" s="366" t="s">
        <v>3268</v>
      </c>
      <c r="G6412" s="46" t="s">
        <v>83</v>
      </c>
      <c r="H6412" s="46">
        <v>1</v>
      </c>
      <c r="I6412" s="51">
        <v>8858.76</v>
      </c>
      <c r="J6412" s="281">
        <f>++Tabla4[[#This Row],[Precio Bruto]]*1.16</f>
        <v>10276.161599999999</v>
      </c>
      <c r="K6412" s="281">
        <f>+Tabla4[[#This Row],[Precio Unitario Neto]]*Tabla4[[#Headers],[20.85%]]</f>
        <v>2142.5796935999997</v>
      </c>
      <c r="L6412" s="282">
        <f>++Tabla4[[#This Row],[Precio Unitario Neto]]-Tabla4[[#This Row],[20.85%]]</f>
        <v>8133.5819063999998</v>
      </c>
      <c r="M6412" s="282" t="e">
        <f>(INDEX(Tabla6[#All],MATCH(Tabla4[[#This Row],[Producto]],Tabla6[[#All],[PRODUCTO]],0),MATCH(Tabla4[[#This Row],[Mes]],Tabla6[#Headers],0)))*(1+Catalogos!$L$2)</f>
        <v>#N/A</v>
      </c>
      <c r="N6412" s="283" t="e">
        <f>+(Tabla4[[#This Row],[Precio Descontado]]-Tabla4[[#This Row],[Precio Base]])*Tabla4[[#This Row],[Cantidad]]</f>
        <v>#N/A</v>
      </c>
      <c r="O6412" s="284" t="e">
        <f>++Tabla4[[#This Row],[Utilidad Total]]/Tabla4[[#This Row],[Total]]</f>
        <v>#N/A</v>
      </c>
      <c r="P6412" s="282">
        <f>++Tabla4[[#This Row],[Precio Descontado]]*Tabla4[[#This Row],[Cantidad]]</f>
        <v>8133.5819063999998</v>
      </c>
      <c r="Q6412" s="282" t="e">
        <f>(INDEX(Tabla6[#All],MATCH(Tabla4[[#This Row],[Producto]],Tabla6[[#All],[PRODUCTO]],0),MATCH(Tabla4[[#This Row],[Mes]],Tabla6[#Headers],0)))</f>
        <v>#N/A</v>
      </c>
      <c r="R6412" s="282" t="e">
        <f>++Tabla4[[#This Row],[Precio Unitario Neto]]-Tabla4[[#This Row],[20.85%]]-Tabla4[[#This Row],[Costo]]</f>
        <v>#N/A</v>
      </c>
      <c r="S6412" s="282" t="e">
        <f>++Tabla4[[#This Row],[U. Bruta Uni]]*Tabla4[[#This Row],[Cantidad]]</f>
        <v>#N/A</v>
      </c>
      <c r="T6412" s="369" t="str">
        <f>VLOOKUP(Tabla4[[#This Row],[Producto]],Tabla6[#All],14,FALSE)</f>
        <v>Termico Solar</v>
      </c>
      <c r="U6412" s="284" t="e">
        <f>(IF(Tabla4[[#This Row],[Familia]]="termico solar",Tabla4[[#This Row],[Utilidad Total]]*6%,Tabla4[[#This Row],[Utilidad Total]]*11.5%))/Tabla4[[#This Row],[Total]]</f>
        <v>#N/A</v>
      </c>
      <c r="V6412" s="282" t="e">
        <f>+Tabla4[[#This Row],[Comisión Calculada]]*Tabla4[[#This Row],[Total]]</f>
        <v>#N/A</v>
      </c>
    </row>
    <row r="6413" spans="1:22" hidden="1" x14ac:dyDescent="0.25">
      <c r="A6413" s="100">
        <v>45945</v>
      </c>
      <c r="B6413" t="str">
        <f t="shared" si="345"/>
        <v>October</v>
      </c>
      <c r="C6413" s="46" t="s">
        <v>280</v>
      </c>
      <c r="F6413" s="366" t="s">
        <v>3268</v>
      </c>
      <c r="G6413" s="46" t="s">
        <v>566</v>
      </c>
      <c r="H6413" s="46">
        <v>2</v>
      </c>
      <c r="I6413" s="51">
        <v>2109.4499999999998</v>
      </c>
      <c r="J6413" s="281">
        <f>++Tabla4[[#This Row],[Precio Bruto]]*1.16</f>
        <v>2446.9619999999995</v>
      </c>
      <c r="K6413" s="281">
        <f>+Tabla4[[#This Row],[Precio Unitario Neto]]*Tabla4[[#Headers],[20.85%]]</f>
        <v>510.19157699999988</v>
      </c>
      <c r="L6413" s="282">
        <f>++Tabla4[[#This Row],[Precio Unitario Neto]]-Tabla4[[#This Row],[20.85%]]</f>
        <v>1936.7704229999997</v>
      </c>
      <c r="M6413" s="282" t="e">
        <f>(INDEX(Tabla6[#All],MATCH(Tabla4[[#This Row],[Producto]],Tabla6[[#All],[PRODUCTO]],0),MATCH(Tabla4[[#This Row],[Mes]],Tabla6[#Headers],0)))*(1+Catalogos!$L$2)</f>
        <v>#N/A</v>
      </c>
      <c r="N6413" s="283" t="e">
        <f>+(Tabla4[[#This Row],[Precio Descontado]]-Tabla4[[#This Row],[Precio Base]])*Tabla4[[#This Row],[Cantidad]]</f>
        <v>#N/A</v>
      </c>
      <c r="O6413" s="284" t="e">
        <f>++Tabla4[[#This Row],[Utilidad Total]]/Tabla4[[#This Row],[Total]]</f>
        <v>#N/A</v>
      </c>
      <c r="P6413" s="282">
        <f>++Tabla4[[#This Row],[Precio Descontado]]*Tabla4[[#This Row],[Cantidad]]</f>
        <v>3873.5408459999994</v>
      </c>
      <c r="Q6413" s="282" t="e">
        <f>(INDEX(Tabla6[#All],MATCH(Tabla4[[#This Row],[Producto]],Tabla6[[#All],[PRODUCTO]],0),MATCH(Tabla4[[#This Row],[Mes]],Tabla6[#Headers],0)))</f>
        <v>#N/A</v>
      </c>
      <c r="R6413" s="282" t="e">
        <f>++Tabla4[[#This Row],[Precio Unitario Neto]]-Tabla4[[#This Row],[20.85%]]-Tabla4[[#This Row],[Costo]]</f>
        <v>#N/A</v>
      </c>
      <c r="S6413" s="282" t="e">
        <f>++Tabla4[[#This Row],[U. Bruta Uni]]*Tabla4[[#This Row],[Cantidad]]</f>
        <v>#N/A</v>
      </c>
      <c r="T6413" s="369" t="str">
        <f>VLOOKUP(Tabla4[[#This Row],[Producto]],Tabla6[#All],14,FALSE)</f>
        <v>Termico Solar</v>
      </c>
      <c r="U6413" s="284" t="e">
        <f>(IF(Tabla4[[#This Row],[Familia]]="termico solar",Tabla4[[#This Row],[Utilidad Total]]*6%,Tabla4[[#This Row],[Utilidad Total]]*11.5%))/Tabla4[[#This Row],[Total]]</f>
        <v>#N/A</v>
      </c>
      <c r="V6413" s="282" t="e">
        <f>+Tabla4[[#This Row],[Comisión Calculada]]*Tabla4[[#This Row],[Total]]</f>
        <v>#N/A</v>
      </c>
    </row>
    <row r="6414" spans="1:22" hidden="1" x14ac:dyDescent="0.25">
      <c r="A6414" s="100">
        <v>45945</v>
      </c>
      <c r="B6414" t="str">
        <f t="shared" ref="B6414:B6416" si="346">TEXT(A6414, "mmmm")</f>
        <v>October</v>
      </c>
      <c r="C6414" s="46" t="s">
        <v>280</v>
      </c>
      <c r="F6414" s="366" t="s">
        <v>3269</v>
      </c>
      <c r="G6414" s="46" t="s">
        <v>83</v>
      </c>
      <c r="H6414" s="46">
        <v>2</v>
      </c>
      <c r="I6414" s="51">
        <v>8858.76</v>
      </c>
      <c r="J6414" s="281">
        <f>++Tabla4[[#This Row],[Precio Bruto]]*1.16</f>
        <v>10276.161599999999</v>
      </c>
      <c r="K6414" s="281">
        <f>+Tabla4[[#This Row],[Precio Unitario Neto]]*Tabla4[[#Headers],[20.85%]]</f>
        <v>2142.5796935999997</v>
      </c>
      <c r="L6414" s="282">
        <f>++Tabla4[[#This Row],[Precio Unitario Neto]]-Tabla4[[#This Row],[20.85%]]</f>
        <v>8133.5819063999998</v>
      </c>
      <c r="M6414" s="282" t="e">
        <f>(INDEX(Tabla6[#All],MATCH(Tabla4[[#This Row],[Producto]],Tabla6[[#All],[PRODUCTO]],0),MATCH(Tabla4[[#This Row],[Mes]],Tabla6[#Headers],0)))*(1+Catalogos!$L$2)</f>
        <v>#N/A</v>
      </c>
      <c r="N6414" s="283" t="e">
        <f>+(Tabla4[[#This Row],[Precio Descontado]]-Tabla4[[#This Row],[Precio Base]])*Tabla4[[#This Row],[Cantidad]]</f>
        <v>#N/A</v>
      </c>
      <c r="O6414" s="284" t="e">
        <f>++Tabla4[[#This Row],[Utilidad Total]]/Tabla4[[#This Row],[Total]]</f>
        <v>#N/A</v>
      </c>
      <c r="P6414" s="282">
        <f>++Tabla4[[#This Row],[Precio Descontado]]*Tabla4[[#This Row],[Cantidad]]</f>
        <v>16267.1638128</v>
      </c>
      <c r="Q6414" s="282" t="e">
        <f>(INDEX(Tabla6[#All],MATCH(Tabla4[[#This Row],[Producto]],Tabla6[[#All],[PRODUCTO]],0),MATCH(Tabla4[[#This Row],[Mes]],Tabla6[#Headers],0)))</f>
        <v>#N/A</v>
      </c>
      <c r="R6414" s="282" t="e">
        <f>++Tabla4[[#This Row],[Precio Unitario Neto]]-Tabla4[[#This Row],[20.85%]]-Tabla4[[#This Row],[Costo]]</f>
        <v>#N/A</v>
      </c>
      <c r="S6414" s="282" t="e">
        <f>++Tabla4[[#This Row],[U. Bruta Uni]]*Tabla4[[#This Row],[Cantidad]]</f>
        <v>#N/A</v>
      </c>
      <c r="T6414" s="369" t="str">
        <f>VLOOKUP(Tabla4[[#This Row],[Producto]],Tabla6[#All],14,FALSE)</f>
        <v>Termico Solar</v>
      </c>
      <c r="U6414" s="284" t="e">
        <f>(IF(Tabla4[[#This Row],[Familia]]="termico solar",Tabla4[[#This Row],[Utilidad Total]]*6%,Tabla4[[#This Row],[Utilidad Total]]*11.5%))/Tabla4[[#This Row],[Total]]</f>
        <v>#N/A</v>
      </c>
      <c r="V6414" s="282" t="e">
        <f>+Tabla4[[#This Row],[Comisión Calculada]]*Tabla4[[#This Row],[Total]]</f>
        <v>#N/A</v>
      </c>
    </row>
    <row r="6415" spans="1:22" hidden="1" x14ac:dyDescent="0.25">
      <c r="A6415" s="100">
        <v>45945</v>
      </c>
      <c r="B6415" t="str">
        <f t="shared" si="346"/>
        <v>October</v>
      </c>
      <c r="C6415" s="46" t="s">
        <v>280</v>
      </c>
      <c r="F6415" s="366" t="s">
        <v>3269</v>
      </c>
      <c r="G6415" s="46" t="s">
        <v>17</v>
      </c>
      <c r="H6415" s="46">
        <v>1</v>
      </c>
      <c r="I6415" s="51">
        <v>4622.28</v>
      </c>
      <c r="J6415" s="281">
        <f>++Tabla4[[#This Row],[Precio Bruto]]*1.16</f>
        <v>5361.8447999999989</v>
      </c>
      <c r="K6415" s="281">
        <f>+Tabla4[[#This Row],[Precio Unitario Neto]]*Tabla4[[#Headers],[20.85%]]</f>
        <v>1117.9446407999997</v>
      </c>
      <c r="L6415" s="282">
        <f>++Tabla4[[#This Row],[Precio Unitario Neto]]-Tabla4[[#This Row],[20.85%]]</f>
        <v>4243.9001591999995</v>
      </c>
      <c r="M6415" s="282" t="e">
        <f>(INDEX(Tabla6[#All],MATCH(Tabla4[[#This Row],[Producto]],Tabla6[[#All],[PRODUCTO]],0),MATCH(Tabla4[[#This Row],[Mes]],Tabla6[#Headers],0)))*(1+Catalogos!$L$2)</f>
        <v>#N/A</v>
      </c>
      <c r="N6415" s="283" t="e">
        <f>+(Tabla4[[#This Row],[Precio Descontado]]-Tabla4[[#This Row],[Precio Base]])*Tabla4[[#This Row],[Cantidad]]</f>
        <v>#N/A</v>
      </c>
      <c r="O6415" s="284" t="e">
        <f>++Tabla4[[#This Row],[Utilidad Total]]/Tabla4[[#This Row],[Total]]</f>
        <v>#N/A</v>
      </c>
      <c r="P6415" s="282">
        <f>++Tabla4[[#This Row],[Precio Descontado]]*Tabla4[[#This Row],[Cantidad]]</f>
        <v>4243.9001591999995</v>
      </c>
      <c r="Q6415" s="282" t="e">
        <f>(INDEX(Tabla6[#All],MATCH(Tabla4[[#This Row],[Producto]],Tabla6[[#All],[PRODUCTO]],0),MATCH(Tabla4[[#This Row],[Mes]],Tabla6[#Headers],0)))</f>
        <v>#N/A</v>
      </c>
      <c r="R6415" s="282" t="e">
        <f>++Tabla4[[#This Row],[Precio Unitario Neto]]-Tabla4[[#This Row],[20.85%]]-Tabla4[[#This Row],[Costo]]</f>
        <v>#N/A</v>
      </c>
      <c r="S6415" s="282" t="e">
        <f>++Tabla4[[#This Row],[U. Bruta Uni]]*Tabla4[[#This Row],[Cantidad]]</f>
        <v>#N/A</v>
      </c>
      <c r="T6415" s="369" t="str">
        <f>VLOOKUP(Tabla4[[#This Row],[Producto]],Tabla6[#All],14,FALSE)</f>
        <v>Termico Solar</v>
      </c>
      <c r="U6415" s="284" t="e">
        <f>(IF(Tabla4[[#This Row],[Familia]]="termico solar",Tabla4[[#This Row],[Utilidad Total]]*6%,Tabla4[[#This Row],[Utilidad Total]]*11.5%))/Tabla4[[#This Row],[Total]]</f>
        <v>#N/A</v>
      </c>
      <c r="V6415" s="282" t="e">
        <f>+Tabla4[[#This Row],[Comisión Calculada]]*Tabla4[[#This Row],[Total]]</f>
        <v>#N/A</v>
      </c>
    </row>
    <row r="6416" spans="1:22" hidden="1" x14ac:dyDescent="0.25">
      <c r="A6416" s="100">
        <v>45945</v>
      </c>
      <c r="B6416" t="str">
        <f t="shared" si="346"/>
        <v>October</v>
      </c>
      <c r="C6416" s="46" t="s">
        <v>280</v>
      </c>
      <c r="F6416" s="366" t="s">
        <v>3269</v>
      </c>
      <c r="G6416" s="46" t="s">
        <v>18</v>
      </c>
      <c r="H6416" s="46">
        <v>1</v>
      </c>
      <c r="I6416" s="51">
        <v>5367.65</v>
      </c>
      <c r="J6416" s="281">
        <f>++Tabla4[[#This Row],[Precio Bruto]]*1.16</f>
        <v>6226.4739999999993</v>
      </c>
      <c r="K6416" s="281">
        <f>+Tabla4[[#This Row],[Precio Unitario Neto]]*Tabla4[[#Headers],[20.85%]]</f>
        <v>1298.2198289999999</v>
      </c>
      <c r="L6416" s="282">
        <f>++Tabla4[[#This Row],[Precio Unitario Neto]]-Tabla4[[#This Row],[20.85%]]</f>
        <v>4928.2541709999996</v>
      </c>
      <c r="M6416" s="282" t="e">
        <f>(INDEX(Tabla6[#All],MATCH(Tabla4[[#This Row],[Producto]],Tabla6[[#All],[PRODUCTO]],0),MATCH(Tabla4[[#This Row],[Mes]],Tabla6[#Headers],0)))*(1+Catalogos!$L$2)</f>
        <v>#N/A</v>
      </c>
      <c r="N6416" s="283" t="e">
        <f>+(Tabla4[[#This Row],[Precio Descontado]]-Tabla4[[#This Row],[Precio Base]])*Tabla4[[#This Row],[Cantidad]]</f>
        <v>#N/A</v>
      </c>
      <c r="O6416" s="284" t="e">
        <f>++Tabla4[[#This Row],[Utilidad Total]]/Tabla4[[#This Row],[Total]]</f>
        <v>#N/A</v>
      </c>
      <c r="P6416" s="282">
        <f>++Tabla4[[#This Row],[Precio Descontado]]*Tabla4[[#This Row],[Cantidad]]</f>
        <v>4928.2541709999996</v>
      </c>
      <c r="Q6416" s="282" t="e">
        <f>(INDEX(Tabla6[#All],MATCH(Tabla4[[#This Row],[Producto]],Tabla6[[#All],[PRODUCTO]],0),MATCH(Tabla4[[#This Row],[Mes]],Tabla6[#Headers],0)))</f>
        <v>#N/A</v>
      </c>
      <c r="R6416" s="282" t="e">
        <f>++Tabla4[[#This Row],[Precio Unitario Neto]]-Tabla4[[#This Row],[20.85%]]-Tabla4[[#This Row],[Costo]]</f>
        <v>#N/A</v>
      </c>
      <c r="S6416" s="282" t="e">
        <f>++Tabla4[[#This Row],[U. Bruta Uni]]*Tabla4[[#This Row],[Cantidad]]</f>
        <v>#N/A</v>
      </c>
      <c r="T6416" s="369" t="str">
        <f>VLOOKUP(Tabla4[[#This Row],[Producto]],Tabla6[#All],14,FALSE)</f>
        <v>Termico Solar</v>
      </c>
      <c r="U6416" s="284" t="e">
        <f>(IF(Tabla4[[#This Row],[Familia]]="termico solar",Tabla4[[#This Row],[Utilidad Total]]*6%,Tabla4[[#This Row],[Utilidad Total]]*11.5%))/Tabla4[[#This Row],[Total]]</f>
        <v>#N/A</v>
      </c>
      <c r="V6416" s="282" t="e">
        <f>+Tabla4[[#This Row],[Comisión Calculada]]*Tabla4[[#This Row],[Total]]</f>
        <v>#N/A</v>
      </c>
    </row>
    <row r="6417" spans="1:22" hidden="1" x14ac:dyDescent="0.25">
      <c r="A6417" s="100">
        <v>45945</v>
      </c>
      <c r="B6417" t="str">
        <f t="shared" ref="B6417:B6419" si="347">TEXT(A6417, "mmmm")</f>
        <v>October</v>
      </c>
      <c r="C6417" s="46" t="s">
        <v>280</v>
      </c>
      <c r="F6417" s="366" t="s">
        <v>3270</v>
      </c>
      <c r="G6417" s="46" t="s">
        <v>17</v>
      </c>
      <c r="H6417" s="46">
        <v>2</v>
      </c>
      <c r="I6417" s="51">
        <v>4622.28</v>
      </c>
      <c r="J6417" s="281">
        <f>++Tabla4[[#This Row],[Precio Bruto]]*1.16</f>
        <v>5361.8447999999989</v>
      </c>
      <c r="K6417" s="281">
        <f>+Tabla4[[#This Row],[Precio Unitario Neto]]*Tabla4[[#Headers],[20.85%]]</f>
        <v>1117.9446407999997</v>
      </c>
      <c r="L6417" s="282">
        <f>++Tabla4[[#This Row],[Precio Unitario Neto]]-Tabla4[[#This Row],[20.85%]]</f>
        <v>4243.9001591999995</v>
      </c>
      <c r="M6417" s="282" t="e">
        <f>(INDEX(Tabla6[#All],MATCH(Tabla4[[#This Row],[Producto]],Tabla6[[#All],[PRODUCTO]],0),MATCH(Tabla4[[#This Row],[Mes]],Tabla6[#Headers],0)))*(1+Catalogos!$L$2)</f>
        <v>#N/A</v>
      </c>
      <c r="N6417" s="283" t="e">
        <f>+(Tabla4[[#This Row],[Precio Descontado]]-Tabla4[[#This Row],[Precio Base]])*Tabla4[[#This Row],[Cantidad]]</f>
        <v>#N/A</v>
      </c>
      <c r="O6417" s="284" t="e">
        <f>++Tabla4[[#This Row],[Utilidad Total]]/Tabla4[[#This Row],[Total]]</f>
        <v>#N/A</v>
      </c>
      <c r="P6417" s="282">
        <f>++Tabla4[[#This Row],[Precio Descontado]]*Tabla4[[#This Row],[Cantidad]]</f>
        <v>8487.800318399999</v>
      </c>
      <c r="Q6417" s="282" t="e">
        <f>(INDEX(Tabla6[#All],MATCH(Tabla4[[#This Row],[Producto]],Tabla6[[#All],[PRODUCTO]],0),MATCH(Tabla4[[#This Row],[Mes]],Tabla6[#Headers],0)))</f>
        <v>#N/A</v>
      </c>
      <c r="R6417" s="282" t="e">
        <f>++Tabla4[[#This Row],[Precio Unitario Neto]]-Tabla4[[#This Row],[20.85%]]-Tabla4[[#This Row],[Costo]]</f>
        <v>#N/A</v>
      </c>
      <c r="S6417" s="282" t="e">
        <f>++Tabla4[[#This Row],[U. Bruta Uni]]*Tabla4[[#This Row],[Cantidad]]</f>
        <v>#N/A</v>
      </c>
      <c r="T6417" s="369" t="str">
        <f>VLOOKUP(Tabla4[[#This Row],[Producto]],Tabla6[#All],14,FALSE)</f>
        <v>Termico Solar</v>
      </c>
      <c r="U6417" s="284" t="e">
        <f>(IF(Tabla4[[#This Row],[Familia]]="termico solar",Tabla4[[#This Row],[Utilidad Total]]*6%,Tabla4[[#This Row],[Utilidad Total]]*11.5%))/Tabla4[[#This Row],[Total]]</f>
        <v>#N/A</v>
      </c>
      <c r="V6417" s="282" t="e">
        <f>+Tabla4[[#This Row],[Comisión Calculada]]*Tabla4[[#This Row],[Total]]</f>
        <v>#N/A</v>
      </c>
    </row>
    <row r="6418" spans="1:22" hidden="1" x14ac:dyDescent="0.25">
      <c r="A6418" s="100">
        <v>45945</v>
      </c>
      <c r="B6418" t="str">
        <f t="shared" si="347"/>
        <v>October</v>
      </c>
      <c r="C6418" s="46" t="s">
        <v>280</v>
      </c>
      <c r="F6418" s="366" t="s">
        <v>3270</v>
      </c>
      <c r="G6418" s="46" t="s">
        <v>18</v>
      </c>
      <c r="H6418" s="46">
        <v>1</v>
      </c>
      <c r="I6418" s="51">
        <v>5367.65</v>
      </c>
      <c r="J6418" s="281">
        <f>++Tabla4[[#This Row],[Precio Bruto]]*1.16</f>
        <v>6226.4739999999993</v>
      </c>
      <c r="K6418" s="281">
        <f>+Tabla4[[#This Row],[Precio Unitario Neto]]*Tabla4[[#Headers],[20.85%]]</f>
        <v>1298.2198289999999</v>
      </c>
      <c r="L6418" s="282">
        <f>++Tabla4[[#This Row],[Precio Unitario Neto]]-Tabla4[[#This Row],[20.85%]]</f>
        <v>4928.2541709999996</v>
      </c>
      <c r="M6418" s="282" t="e">
        <f>(INDEX(Tabla6[#All],MATCH(Tabla4[[#This Row],[Producto]],Tabla6[[#All],[PRODUCTO]],0),MATCH(Tabla4[[#This Row],[Mes]],Tabla6[#Headers],0)))*(1+Catalogos!$L$2)</f>
        <v>#N/A</v>
      </c>
      <c r="N6418" s="283" t="e">
        <f>+(Tabla4[[#This Row],[Precio Descontado]]-Tabla4[[#This Row],[Precio Base]])*Tabla4[[#This Row],[Cantidad]]</f>
        <v>#N/A</v>
      </c>
      <c r="O6418" s="284" t="e">
        <f>++Tabla4[[#This Row],[Utilidad Total]]/Tabla4[[#This Row],[Total]]</f>
        <v>#N/A</v>
      </c>
      <c r="P6418" s="282">
        <f>++Tabla4[[#This Row],[Precio Descontado]]*Tabla4[[#This Row],[Cantidad]]</f>
        <v>4928.2541709999996</v>
      </c>
      <c r="Q6418" s="282" t="e">
        <f>(INDEX(Tabla6[#All],MATCH(Tabla4[[#This Row],[Producto]],Tabla6[[#All],[PRODUCTO]],0),MATCH(Tabla4[[#This Row],[Mes]],Tabla6[#Headers],0)))</f>
        <v>#N/A</v>
      </c>
      <c r="R6418" s="282" t="e">
        <f>++Tabla4[[#This Row],[Precio Unitario Neto]]-Tabla4[[#This Row],[20.85%]]-Tabla4[[#This Row],[Costo]]</f>
        <v>#N/A</v>
      </c>
      <c r="S6418" s="282" t="e">
        <f>++Tabla4[[#This Row],[U. Bruta Uni]]*Tabla4[[#This Row],[Cantidad]]</f>
        <v>#N/A</v>
      </c>
      <c r="T6418" s="369" t="str">
        <f>VLOOKUP(Tabla4[[#This Row],[Producto]],Tabla6[#All],14,FALSE)</f>
        <v>Termico Solar</v>
      </c>
      <c r="U6418" s="284" t="e">
        <f>(IF(Tabla4[[#This Row],[Familia]]="termico solar",Tabla4[[#This Row],[Utilidad Total]]*6%,Tabla4[[#This Row],[Utilidad Total]]*11.5%))/Tabla4[[#This Row],[Total]]</f>
        <v>#N/A</v>
      </c>
      <c r="V6418" s="282" t="e">
        <f>+Tabla4[[#This Row],[Comisión Calculada]]*Tabla4[[#This Row],[Total]]</f>
        <v>#N/A</v>
      </c>
    </row>
    <row r="6419" spans="1:22" hidden="1" x14ac:dyDescent="0.25">
      <c r="A6419" s="100">
        <v>45945</v>
      </c>
      <c r="B6419" t="str">
        <f t="shared" si="347"/>
        <v>October</v>
      </c>
      <c r="C6419" s="46" t="s">
        <v>280</v>
      </c>
      <c r="F6419" s="366" t="s">
        <v>3270</v>
      </c>
      <c r="G6419" s="46" t="s">
        <v>566</v>
      </c>
      <c r="H6419" s="46">
        <v>1</v>
      </c>
      <c r="I6419" s="51">
        <v>2109.4499999999998</v>
      </c>
      <c r="J6419" s="281">
        <f>++Tabla4[[#This Row],[Precio Bruto]]*1.16</f>
        <v>2446.9619999999995</v>
      </c>
      <c r="K6419" s="281">
        <f>+Tabla4[[#This Row],[Precio Unitario Neto]]*Tabla4[[#Headers],[20.85%]]</f>
        <v>510.19157699999988</v>
      </c>
      <c r="L6419" s="282">
        <f>++Tabla4[[#This Row],[Precio Unitario Neto]]-Tabla4[[#This Row],[20.85%]]</f>
        <v>1936.7704229999997</v>
      </c>
      <c r="M6419" s="282" t="e">
        <f>(INDEX(Tabla6[#All],MATCH(Tabla4[[#This Row],[Producto]],Tabla6[[#All],[PRODUCTO]],0),MATCH(Tabla4[[#This Row],[Mes]],Tabla6[#Headers],0)))*(1+Catalogos!$L$2)</f>
        <v>#N/A</v>
      </c>
      <c r="N6419" s="283" t="e">
        <f>+(Tabla4[[#This Row],[Precio Descontado]]-Tabla4[[#This Row],[Precio Base]])*Tabla4[[#This Row],[Cantidad]]</f>
        <v>#N/A</v>
      </c>
      <c r="O6419" s="284" t="e">
        <f>++Tabla4[[#This Row],[Utilidad Total]]/Tabla4[[#This Row],[Total]]</f>
        <v>#N/A</v>
      </c>
      <c r="P6419" s="282">
        <f>++Tabla4[[#This Row],[Precio Descontado]]*Tabla4[[#This Row],[Cantidad]]</f>
        <v>1936.7704229999997</v>
      </c>
      <c r="Q6419" s="282" t="e">
        <f>(INDEX(Tabla6[#All],MATCH(Tabla4[[#This Row],[Producto]],Tabla6[[#All],[PRODUCTO]],0),MATCH(Tabla4[[#This Row],[Mes]],Tabla6[#Headers],0)))</f>
        <v>#N/A</v>
      </c>
      <c r="R6419" s="282" t="e">
        <f>++Tabla4[[#This Row],[Precio Unitario Neto]]-Tabla4[[#This Row],[20.85%]]-Tabla4[[#This Row],[Costo]]</f>
        <v>#N/A</v>
      </c>
      <c r="S6419" s="282" t="e">
        <f>++Tabla4[[#This Row],[U. Bruta Uni]]*Tabla4[[#This Row],[Cantidad]]</f>
        <v>#N/A</v>
      </c>
      <c r="T6419" s="369" t="str">
        <f>VLOOKUP(Tabla4[[#This Row],[Producto]],Tabla6[#All],14,FALSE)</f>
        <v>Termico Solar</v>
      </c>
      <c r="U6419" s="284" t="e">
        <f>(IF(Tabla4[[#This Row],[Familia]]="termico solar",Tabla4[[#This Row],[Utilidad Total]]*6%,Tabla4[[#This Row],[Utilidad Total]]*11.5%))/Tabla4[[#This Row],[Total]]</f>
        <v>#N/A</v>
      </c>
      <c r="V6419" s="282" t="e">
        <f>+Tabla4[[#This Row],[Comisión Calculada]]*Tabla4[[#This Row],[Total]]</f>
        <v>#N/A</v>
      </c>
    </row>
    <row r="6420" spans="1:22" hidden="1" x14ac:dyDescent="0.25">
      <c r="A6420" s="100">
        <v>45945</v>
      </c>
      <c r="B6420" t="str">
        <f t="shared" ref="B6420:B6421" si="348">TEXT(A6420, "mmmm")</f>
        <v>October</v>
      </c>
      <c r="C6420" s="46" t="s">
        <v>280</v>
      </c>
      <c r="F6420" s="366" t="s">
        <v>3271</v>
      </c>
      <c r="G6420" s="46" t="s">
        <v>566</v>
      </c>
      <c r="H6420" s="46">
        <v>23</v>
      </c>
      <c r="I6420" s="51">
        <v>2109.4499999999998</v>
      </c>
      <c r="J6420" s="281">
        <f>++Tabla4[[#This Row],[Precio Bruto]]*1.16</f>
        <v>2446.9619999999995</v>
      </c>
      <c r="K6420" s="281">
        <f>+Tabla4[[#This Row],[Precio Unitario Neto]]*Tabla4[[#Headers],[20.85%]]</f>
        <v>510.19157699999988</v>
      </c>
      <c r="L6420" s="282">
        <f>++Tabla4[[#This Row],[Precio Unitario Neto]]-Tabla4[[#This Row],[20.85%]]</f>
        <v>1936.7704229999997</v>
      </c>
      <c r="M6420" s="282" t="e">
        <f>(INDEX(Tabla6[#All],MATCH(Tabla4[[#This Row],[Producto]],Tabla6[[#All],[PRODUCTO]],0),MATCH(Tabla4[[#This Row],[Mes]],Tabla6[#Headers],0)))*(1+Catalogos!$L$2)</f>
        <v>#N/A</v>
      </c>
      <c r="N6420" s="283" t="e">
        <f>+(Tabla4[[#This Row],[Precio Descontado]]-Tabla4[[#This Row],[Precio Base]])*Tabla4[[#This Row],[Cantidad]]</f>
        <v>#N/A</v>
      </c>
      <c r="O6420" s="284" t="e">
        <f>++Tabla4[[#This Row],[Utilidad Total]]/Tabla4[[#This Row],[Total]]</f>
        <v>#N/A</v>
      </c>
      <c r="P6420" s="282">
        <f>++Tabla4[[#This Row],[Precio Descontado]]*Tabla4[[#This Row],[Cantidad]]</f>
        <v>44545.719728999997</v>
      </c>
      <c r="Q6420" s="282" t="e">
        <f>(INDEX(Tabla6[#All],MATCH(Tabla4[[#This Row],[Producto]],Tabla6[[#All],[PRODUCTO]],0),MATCH(Tabla4[[#This Row],[Mes]],Tabla6[#Headers],0)))</f>
        <v>#N/A</v>
      </c>
      <c r="R6420" s="282" t="e">
        <f>++Tabla4[[#This Row],[Precio Unitario Neto]]-Tabla4[[#This Row],[20.85%]]-Tabla4[[#This Row],[Costo]]</f>
        <v>#N/A</v>
      </c>
      <c r="S6420" s="282" t="e">
        <f>++Tabla4[[#This Row],[U. Bruta Uni]]*Tabla4[[#This Row],[Cantidad]]</f>
        <v>#N/A</v>
      </c>
      <c r="T6420" s="369" t="str">
        <f>VLOOKUP(Tabla4[[#This Row],[Producto]],Tabla6[#All],14,FALSE)</f>
        <v>Termico Solar</v>
      </c>
      <c r="U6420" s="284" t="e">
        <f>(IF(Tabla4[[#This Row],[Familia]]="termico solar",Tabla4[[#This Row],[Utilidad Total]]*6%,Tabla4[[#This Row],[Utilidad Total]]*11.5%))/Tabla4[[#This Row],[Total]]</f>
        <v>#N/A</v>
      </c>
      <c r="V6420" s="282" t="e">
        <f>+Tabla4[[#This Row],[Comisión Calculada]]*Tabla4[[#This Row],[Total]]</f>
        <v>#N/A</v>
      </c>
    </row>
    <row r="6421" spans="1:22" hidden="1" x14ac:dyDescent="0.25">
      <c r="A6421" s="100">
        <v>45945</v>
      </c>
      <c r="B6421" t="str">
        <f t="shared" si="348"/>
        <v>October</v>
      </c>
      <c r="C6421" s="46" t="s">
        <v>280</v>
      </c>
      <c r="F6421" s="366" t="s">
        <v>3271</v>
      </c>
      <c r="G6421" s="46" t="s">
        <v>412</v>
      </c>
      <c r="H6421" s="46">
        <v>3</v>
      </c>
      <c r="I6421" s="51">
        <v>3240.84</v>
      </c>
      <c r="J6421" s="281">
        <f>++Tabla4[[#This Row],[Precio Bruto]]*1.16</f>
        <v>3759.3743999999997</v>
      </c>
      <c r="K6421" s="281">
        <f>+Tabla4[[#This Row],[Precio Unitario Neto]]*Tabla4[[#Headers],[20.85%]]</f>
        <v>783.82956239999987</v>
      </c>
      <c r="L6421" s="282">
        <f>++Tabla4[[#This Row],[Precio Unitario Neto]]-Tabla4[[#This Row],[20.85%]]</f>
        <v>2975.5448375999999</v>
      </c>
      <c r="M6421" s="282" t="e">
        <f>(INDEX(Tabla6[#All],MATCH(Tabla4[[#This Row],[Producto]],Tabla6[[#All],[PRODUCTO]],0),MATCH(Tabla4[[#This Row],[Mes]],Tabla6[#Headers],0)))*(1+Catalogos!$L$2)</f>
        <v>#N/A</v>
      </c>
      <c r="N6421" s="283" t="e">
        <f>+(Tabla4[[#This Row],[Precio Descontado]]-Tabla4[[#This Row],[Precio Base]])*Tabla4[[#This Row],[Cantidad]]</f>
        <v>#N/A</v>
      </c>
      <c r="O6421" s="284" t="e">
        <f>++Tabla4[[#This Row],[Utilidad Total]]/Tabla4[[#This Row],[Total]]</f>
        <v>#N/A</v>
      </c>
      <c r="P6421" s="282">
        <f>++Tabla4[[#This Row],[Precio Descontado]]*Tabla4[[#This Row],[Cantidad]]</f>
        <v>8926.6345127999994</v>
      </c>
      <c r="Q6421" s="282" t="e">
        <f>(INDEX(Tabla6[#All],MATCH(Tabla4[[#This Row],[Producto]],Tabla6[[#All],[PRODUCTO]],0),MATCH(Tabla4[[#This Row],[Mes]],Tabla6[#Headers],0)))</f>
        <v>#N/A</v>
      </c>
      <c r="R6421" s="282" t="e">
        <f>++Tabla4[[#This Row],[Precio Unitario Neto]]-Tabla4[[#This Row],[20.85%]]-Tabla4[[#This Row],[Costo]]</f>
        <v>#N/A</v>
      </c>
      <c r="S6421" s="282" t="e">
        <f>++Tabla4[[#This Row],[U. Bruta Uni]]*Tabla4[[#This Row],[Cantidad]]</f>
        <v>#N/A</v>
      </c>
      <c r="T6421" s="369" t="str">
        <f>VLOOKUP(Tabla4[[#This Row],[Producto]],Tabla6[#All],14,FALSE)</f>
        <v>Termico Solar</v>
      </c>
      <c r="U6421" s="284" t="e">
        <f>(IF(Tabla4[[#This Row],[Familia]]="termico solar",Tabla4[[#This Row],[Utilidad Total]]*6%,Tabla4[[#This Row],[Utilidad Total]]*11.5%))/Tabla4[[#This Row],[Total]]</f>
        <v>#N/A</v>
      </c>
      <c r="V6421" s="282" t="e">
        <f>+Tabla4[[#This Row],[Comisión Calculada]]*Tabla4[[#This Row],[Total]]</f>
        <v>#N/A</v>
      </c>
    </row>
    <row r="6422" spans="1:22" hidden="1" x14ac:dyDescent="0.25">
      <c r="A6422" s="100">
        <v>45945</v>
      </c>
      <c r="B6422" t="str">
        <f t="shared" ref="B6422:B6424" si="349">TEXT(A6422, "mmmm")</f>
        <v>October</v>
      </c>
      <c r="C6422" s="46" t="s">
        <v>280</v>
      </c>
      <c r="F6422" s="366" t="s">
        <v>3272</v>
      </c>
      <c r="G6422" s="46" t="s">
        <v>83</v>
      </c>
      <c r="H6422" s="46">
        <v>1</v>
      </c>
      <c r="I6422" s="51">
        <v>8858.76</v>
      </c>
      <c r="J6422" s="281">
        <f>++Tabla4[[#This Row],[Precio Bruto]]*1.16</f>
        <v>10276.161599999999</v>
      </c>
      <c r="K6422" s="281">
        <f>+Tabla4[[#This Row],[Precio Unitario Neto]]*Tabla4[[#Headers],[20.85%]]</f>
        <v>2142.5796935999997</v>
      </c>
      <c r="L6422" s="282">
        <f>++Tabla4[[#This Row],[Precio Unitario Neto]]-Tabla4[[#This Row],[20.85%]]</f>
        <v>8133.5819063999998</v>
      </c>
      <c r="M6422" s="282" t="e">
        <f>(INDEX(Tabla6[#All],MATCH(Tabla4[[#This Row],[Producto]],Tabla6[[#All],[PRODUCTO]],0),MATCH(Tabla4[[#This Row],[Mes]],Tabla6[#Headers],0)))*(1+Catalogos!$L$2)</f>
        <v>#N/A</v>
      </c>
      <c r="N6422" s="283" t="e">
        <f>+(Tabla4[[#This Row],[Precio Descontado]]-Tabla4[[#This Row],[Precio Base]])*Tabla4[[#This Row],[Cantidad]]</f>
        <v>#N/A</v>
      </c>
      <c r="O6422" s="284" t="e">
        <f>++Tabla4[[#This Row],[Utilidad Total]]/Tabla4[[#This Row],[Total]]</f>
        <v>#N/A</v>
      </c>
      <c r="P6422" s="282">
        <f>++Tabla4[[#This Row],[Precio Descontado]]*Tabla4[[#This Row],[Cantidad]]</f>
        <v>8133.5819063999998</v>
      </c>
      <c r="Q6422" s="282" t="e">
        <f>(INDEX(Tabla6[#All],MATCH(Tabla4[[#This Row],[Producto]],Tabla6[[#All],[PRODUCTO]],0),MATCH(Tabla4[[#This Row],[Mes]],Tabla6[#Headers],0)))</f>
        <v>#N/A</v>
      </c>
      <c r="R6422" s="282" t="e">
        <f>++Tabla4[[#This Row],[Precio Unitario Neto]]-Tabla4[[#This Row],[20.85%]]-Tabla4[[#This Row],[Costo]]</f>
        <v>#N/A</v>
      </c>
      <c r="S6422" s="282" t="e">
        <f>++Tabla4[[#This Row],[U. Bruta Uni]]*Tabla4[[#This Row],[Cantidad]]</f>
        <v>#N/A</v>
      </c>
      <c r="T6422" s="369" t="str">
        <f>VLOOKUP(Tabla4[[#This Row],[Producto]],Tabla6[#All],14,FALSE)</f>
        <v>Termico Solar</v>
      </c>
      <c r="U6422" s="284" t="e">
        <f>(IF(Tabla4[[#This Row],[Familia]]="termico solar",Tabla4[[#This Row],[Utilidad Total]]*6%,Tabla4[[#This Row],[Utilidad Total]]*11.5%))/Tabla4[[#This Row],[Total]]</f>
        <v>#N/A</v>
      </c>
      <c r="V6422" s="282" t="e">
        <f>+Tabla4[[#This Row],[Comisión Calculada]]*Tabla4[[#This Row],[Total]]</f>
        <v>#N/A</v>
      </c>
    </row>
    <row r="6423" spans="1:22" hidden="1" x14ac:dyDescent="0.25">
      <c r="A6423" s="100">
        <v>45945</v>
      </c>
      <c r="B6423" t="str">
        <f t="shared" si="349"/>
        <v>October</v>
      </c>
      <c r="C6423" s="46" t="s">
        <v>280</v>
      </c>
      <c r="F6423" s="366" t="s">
        <v>3272</v>
      </c>
      <c r="G6423" s="46" t="s">
        <v>16</v>
      </c>
      <c r="H6423" s="46">
        <v>3</v>
      </c>
      <c r="I6423" s="51">
        <v>4103.8499999999995</v>
      </c>
      <c r="J6423" s="281">
        <f>++Tabla4[[#This Row],[Precio Bruto]]*1.16</f>
        <v>4760.4659999999994</v>
      </c>
      <c r="K6423" s="281">
        <f>+Tabla4[[#This Row],[Precio Unitario Neto]]*Tabla4[[#Headers],[20.85%]]</f>
        <v>992.55716099999984</v>
      </c>
      <c r="L6423" s="282">
        <f>++Tabla4[[#This Row],[Precio Unitario Neto]]-Tabla4[[#This Row],[20.85%]]</f>
        <v>3767.9088389999997</v>
      </c>
      <c r="M6423" s="282" t="e">
        <f>(INDEX(Tabla6[#All],MATCH(Tabla4[[#This Row],[Producto]],Tabla6[[#All],[PRODUCTO]],0),MATCH(Tabla4[[#This Row],[Mes]],Tabla6[#Headers],0)))*(1+Catalogos!$L$2)</f>
        <v>#N/A</v>
      </c>
      <c r="N6423" s="283" t="e">
        <f>+(Tabla4[[#This Row],[Precio Descontado]]-Tabla4[[#This Row],[Precio Base]])*Tabla4[[#This Row],[Cantidad]]</f>
        <v>#N/A</v>
      </c>
      <c r="O6423" s="284" t="e">
        <f>++Tabla4[[#This Row],[Utilidad Total]]/Tabla4[[#This Row],[Total]]</f>
        <v>#N/A</v>
      </c>
      <c r="P6423" s="282">
        <f>++Tabla4[[#This Row],[Precio Descontado]]*Tabla4[[#This Row],[Cantidad]]</f>
        <v>11303.726516999999</v>
      </c>
      <c r="Q6423" s="282" t="e">
        <f>(INDEX(Tabla6[#All],MATCH(Tabla4[[#This Row],[Producto]],Tabla6[[#All],[PRODUCTO]],0),MATCH(Tabla4[[#This Row],[Mes]],Tabla6[#Headers],0)))</f>
        <v>#N/A</v>
      </c>
      <c r="R6423" s="282" t="e">
        <f>++Tabla4[[#This Row],[Precio Unitario Neto]]-Tabla4[[#This Row],[20.85%]]-Tabla4[[#This Row],[Costo]]</f>
        <v>#N/A</v>
      </c>
      <c r="S6423" s="282" t="e">
        <f>++Tabla4[[#This Row],[U. Bruta Uni]]*Tabla4[[#This Row],[Cantidad]]</f>
        <v>#N/A</v>
      </c>
      <c r="T6423" s="369" t="str">
        <f>VLOOKUP(Tabla4[[#This Row],[Producto]],Tabla6[#All],14,FALSE)</f>
        <v>Termico Solar</v>
      </c>
      <c r="U6423" s="284" t="e">
        <f>(IF(Tabla4[[#This Row],[Familia]]="termico solar",Tabla4[[#This Row],[Utilidad Total]]*6%,Tabla4[[#This Row],[Utilidad Total]]*11.5%))/Tabla4[[#This Row],[Total]]</f>
        <v>#N/A</v>
      </c>
      <c r="V6423" s="282" t="e">
        <f>+Tabla4[[#This Row],[Comisión Calculada]]*Tabla4[[#This Row],[Total]]</f>
        <v>#N/A</v>
      </c>
    </row>
    <row r="6424" spans="1:22" hidden="1" x14ac:dyDescent="0.25">
      <c r="A6424" s="100">
        <v>45945</v>
      </c>
      <c r="B6424" t="str">
        <f t="shared" si="349"/>
        <v>October</v>
      </c>
      <c r="C6424" s="46" t="s">
        <v>280</v>
      </c>
      <c r="F6424" s="366" t="s">
        <v>3272</v>
      </c>
      <c r="G6424" s="46" t="s">
        <v>394</v>
      </c>
      <c r="H6424" s="46">
        <v>16</v>
      </c>
      <c r="I6424" s="51">
        <v>224.29</v>
      </c>
      <c r="J6424" s="281">
        <f>++Tabla4[[#This Row],[Precio Bruto]]*1.16</f>
        <v>260.1764</v>
      </c>
      <c r="K6424" s="281">
        <f>+Tabla4[[#This Row],[Precio Unitario Neto]]*Tabla4[[#Headers],[20.85%]]</f>
        <v>54.246779400000001</v>
      </c>
      <c r="L6424" s="282">
        <f>++Tabla4[[#This Row],[Precio Unitario Neto]]-Tabla4[[#This Row],[20.85%]]</f>
        <v>205.92962059999999</v>
      </c>
      <c r="M6424" s="282" t="e">
        <f>(INDEX(Tabla6[#All],MATCH(Tabla4[[#This Row],[Producto]],Tabla6[[#All],[PRODUCTO]],0),MATCH(Tabla4[[#This Row],[Mes]],Tabla6[#Headers],0)))*(1+Catalogos!$L$2)</f>
        <v>#N/A</v>
      </c>
      <c r="N6424" s="283" t="e">
        <f>+(Tabla4[[#This Row],[Precio Descontado]]-Tabla4[[#This Row],[Precio Base]])*Tabla4[[#This Row],[Cantidad]]</f>
        <v>#N/A</v>
      </c>
      <c r="O6424" s="284" t="e">
        <f>++Tabla4[[#This Row],[Utilidad Total]]/Tabla4[[#This Row],[Total]]</f>
        <v>#N/A</v>
      </c>
      <c r="P6424" s="282">
        <f>++Tabla4[[#This Row],[Precio Descontado]]*Tabla4[[#This Row],[Cantidad]]</f>
        <v>3294.8739295999999</v>
      </c>
      <c r="Q6424" s="282" t="e">
        <f>(INDEX(Tabla6[#All],MATCH(Tabla4[[#This Row],[Producto]],Tabla6[[#All],[PRODUCTO]],0),MATCH(Tabla4[[#This Row],[Mes]],Tabla6[#Headers],0)))</f>
        <v>#N/A</v>
      </c>
      <c r="R6424" s="282" t="e">
        <f>++Tabla4[[#This Row],[Precio Unitario Neto]]-Tabla4[[#This Row],[20.85%]]-Tabla4[[#This Row],[Costo]]</f>
        <v>#N/A</v>
      </c>
      <c r="S6424" s="282" t="e">
        <f>++Tabla4[[#This Row],[U. Bruta Uni]]*Tabla4[[#This Row],[Cantidad]]</f>
        <v>#N/A</v>
      </c>
      <c r="T6424" s="369" t="str">
        <f>VLOOKUP(Tabla4[[#This Row],[Producto]],Tabla6[#All],14,FALSE)</f>
        <v>Termico Solar</v>
      </c>
      <c r="U6424" s="284" t="e">
        <f>(IF(Tabla4[[#This Row],[Familia]]="termico solar",Tabla4[[#This Row],[Utilidad Total]]*6%,Tabla4[[#This Row],[Utilidad Total]]*11.5%))/Tabla4[[#This Row],[Total]]</f>
        <v>#N/A</v>
      </c>
      <c r="V6424" s="282" t="e">
        <f>+Tabla4[[#This Row],[Comisión Calculada]]*Tabla4[[#This Row],[Total]]</f>
        <v>#N/A</v>
      </c>
    </row>
    <row r="6425" spans="1:22" hidden="1" x14ac:dyDescent="0.25">
      <c r="A6425" s="100">
        <v>45945</v>
      </c>
      <c r="B6425" t="str">
        <f t="shared" ref="B6425:B6427" si="350">TEXT(A6425, "mmmm")</f>
        <v>October</v>
      </c>
      <c r="C6425" s="46" t="s">
        <v>280</v>
      </c>
      <c r="F6425" s="366" t="s">
        <v>3273</v>
      </c>
      <c r="G6425" s="46" t="s">
        <v>83</v>
      </c>
      <c r="H6425" s="46">
        <v>1</v>
      </c>
      <c r="I6425" s="51">
        <v>8858.76</v>
      </c>
      <c r="J6425" s="281">
        <f>++Tabla4[[#This Row],[Precio Bruto]]*1.16</f>
        <v>10276.161599999999</v>
      </c>
      <c r="K6425" s="281">
        <f>+Tabla4[[#This Row],[Precio Unitario Neto]]*Tabla4[[#Headers],[20.85%]]</f>
        <v>2142.5796935999997</v>
      </c>
      <c r="L6425" s="282">
        <f>++Tabla4[[#This Row],[Precio Unitario Neto]]-Tabla4[[#This Row],[20.85%]]</f>
        <v>8133.5819063999998</v>
      </c>
      <c r="M6425" s="282" t="e">
        <f>(INDEX(Tabla6[#All],MATCH(Tabla4[[#This Row],[Producto]],Tabla6[[#All],[PRODUCTO]],0),MATCH(Tabla4[[#This Row],[Mes]],Tabla6[#Headers],0)))*(1+Catalogos!$L$2)</f>
        <v>#N/A</v>
      </c>
      <c r="N6425" s="283" t="e">
        <f>+(Tabla4[[#This Row],[Precio Descontado]]-Tabla4[[#This Row],[Precio Base]])*Tabla4[[#This Row],[Cantidad]]</f>
        <v>#N/A</v>
      </c>
      <c r="O6425" s="284" t="e">
        <f>++Tabla4[[#This Row],[Utilidad Total]]/Tabla4[[#This Row],[Total]]</f>
        <v>#N/A</v>
      </c>
      <c r="P6425" s="282">
        <f>++Tabla4[[#This Row],[Precio Descontado]]*Tabla4[[#This Row],[Cantidad]]</f>
        <v>8133.5819063999998</v>
      </c>
      <c r="Q6425" s="282" t="e">
        <f>(INDEX(Tabla6[#All],MATCH(Tabla4[[#This Row],[Producto]],Tabla6[[#All],[PRODUCTO]],0),MATCH(Tabla4[[#This Row],[Mes]],Tabla6[#Headers],0)))</f>
        <v>#N/A</v>
      </c>
      <c r="R6425" s="282" t="e">
        <f>++Tabla4[[#This Row],[Precio Unitario Neto]]-Tabla4[[#This Row],[20.85%]]-Tabla4[[#This Row],[Costo]]</f>
        <v>#N/A</v>
      </c>
      <c r="S6425" s="282" t="e">
        <f>++Tabla4[[#This Row],[U. Bruta Uni]]*Tabla4[[#This Row],[Cantidad]]</f>
        <v>#N/A</v>
      </c>
      <c r="T6425" s="369" t="str">
        <f>VLOOKUP(Tabla4[[#This Row],[Producto]],Tabla6[#All],14,FALSE)</f>
        <v>Termico Solar</v>
      </c>
      <c r="U6425" s="284" t="e">
        <f>(IF(Tabla4[[#This Row],[Familia]]="termico solar",Tabla4[[#This Row],[Utilidad Total]]*6%,Tabla4[[#This Row],[Utilidad Total]]*11.5%))/Tabla4[[#This Row],[Total]]</f>
        <v>#N/A</v>
      </c>
      <c r="V6425" s="282" t="e">
        <f>+Tabla4[[#This Row],[Comisión Calculada]]*Tabla4[[#This Row],[Total]]</f>
        <v>#N/A</v>
      </c>
    </row>
    <row r="6426" spans="1:22" hidden="1" x14ac:dyDescent="0.25">
      <c r="A6426" s="100">
        <v>45945</v>
      </c>
      <c r="B6426" t="str">
        <f t="shared" si="350"/>
        <v>October</v>
      </c>
      <c r="C6426" s="46" t="s">
        <v>280</v>
      </c>
      <c r="F6426" s="366" t="s">
        <v>3273</v>
      </c>
      <c r="G6426" s="46" t="s">
        <v>19</v>
      </c>
      <c r="H6426" s="46">
        <v>1</v>
      </c>
      <c r="I6426" s="51">
        <v>6412.03</v>
      </c>
      <c r="J6426" s="281">
        <f>++Tabla4[[#This Row],[Precio Bruto]]*1.16</f>
        <v>7437.9547999999995</v>
      </c>
      <c r="K6426" s="281">
        <f>+Tabla4[[#This Row],[Precio Unitario Neto]]*Tabla4[[#Headers],[20.85%]]</f>
        <v>1550.8135757999999</v>
      </c>
      <c r="L6426" s="282">
        <f>++Tabla4[[#This Row],[Precio Unitario Neto]]-Tabla4[[#This Row],[20.85%]]</f>
        <v>5887.1412241999997</v>
      </c>
      <c r="M6426" s="282" t="e">
        <f>(INDEX(Tabla6[#All],MATCH(Tabla4[[#This Row],[Producto]],Tabla6[[#All],[PRODUCTO]],0),MATCH(Tabla4[[#This Row],[Mes]],Tabla6[#Headers],0)))*(1+Catalogos!$L$2)</f>
        <v>#N/A</v>
      </c>
      <c r="N6426" s="283" t="e">
        <f>+(Tabla4[[#This Row],[Precio Descontado]]-Tabla4[[#This Row],[Precio Base]])*Tabla4[[#This Row],[Cantidad]]</f>
        <v>#N/A</v>
      </c>
      <c r="O6426" s="284" t="e">
        <f>++Tabla4[[#This Row],[Utilidad Total]]/Tabla4[[#This Row],[Total]]</f>
        <v>#N/A</v>
      </c>
      <c r="P6426" s="282">
        <f>++Tabla4[[#This Row],[Precio Descontado]]*Tabla4[[#This Row],[Cantidad]]</f>
        <v>5887.1412241999997</v>
      </c>
      <c r="Q6426" s="282" t="e">
        <f>(INDEX(Tabla6[#All],MATCH(Tabla4[[#This Row],[Producto]],Tabla6[[#All],[PRODUCTO]],0),MATCH(Tabla4[[#This Row],[Mes]],Tabla6[#Headers],0)))</f>
        <v>#N/A</v>
      </c>
      <c r="R6426" s="282" t="e">
        <f>++Tabla4[[#This Row],[Precio Unitario Neto]]-Tabla4[[#This Row],[20.85%]]-Tabla4[[#This Row],[Costo]]</f>
        <v>#N/A</v>
      </c>
      <c r="S6426" s="282" t="e">
        <f>++Tabla4[[#This Row],[U. Bruta Uni]]*Tabla4[[#This Row],[Cantidad]]</f>
        <v>#N/A</v>
      </c>
      <c r="T6426" s="369" t="str">
        <f>VLOOKUP(Tabla4[[#This Row],[Producto]],Tabla6[#All],14,FALSE)</f>
        <v>Termico Solar</v>
      </c>
      <c r="U6426" s="284" t="e">
        <f>(IF(Tabla4[[#This Row],[Familia]]="termico solar",Tabla4[[#This Row],[Utilidad Total]]*6%,Tabla4[[#This Row],[Utilidad Total]]*11.5%))/Tabla4[[#This Row],[Total]]</f>
        <v>#N/A</v>
      </c>
      <c r="V6426" s="282" t="e">
        <f>+Tabla4[[#This Row],[Comisión Calculada]]*Tabla4[[#This Row],[Total]]</f>
        <v>#N/A</v>
      </c>
    </row>
    <row r="6427" spans="1:22" hidden="1" x14ac:dyDescent="0.25">
      <c r="A6427" s="100">
        <v>45945</v>
      </c>
      <c r="B6427" t="str">
        <f t="shared" si="350"/>
        <v>October</v>
      </c>
      <c r="C6427" s="46" t="s">
        <v>280</v>
      </c>
      <c r="F6427" s="366" t="s">
        <v>3273</v>
      </c>
      <c r="G6427" s="46" t="s">
        <v>16</v>
      </c>
      <c r="H6427" s="46">
        <v>3</v>
      </c>
      <c r="I6427" s="51">
        <v>4103.8499999999995</v>
      </c>
      <c r="J6427" s="281">
        <f>++Tabla4[[#This Row],[Precio Bruto]]*1.16</f>
        <v>4760.4659999999994</v>
      </c>
      <c r="K6427" s="281">
        <f>+Tabla4[[#This Row],[Precio Unitario Neto]]*Tabla4[[#Headers],[20.85%]]</f>
        <v>992.55716099999984</v>
      </c>
      <c r="L6427" s="282">
        <f>++Tabla4[[#This Row],[Precio Unitario Neto]]-Tabla4[[#This Row],[20.85%]]</f>
        <v>3767.9088389999997</v>
      </c>
      <c r="M6427" s="282" t="e">
        <f>(INDEX(Tabla6[#All],MATCH(Tabla4[[#This Row],[Producto]],Tabla6[[#All],[PRODUCTO]],0),MATCH(Tabla4[[#This Row],[Mes]],Tabla6[#Headers],0)))*(1+Catalogos!$L$2)</f>
        <v>#N/A</v>
      </c>
      <c r="N6427" s="283" t="e">
        <f>+(Tabla4[[#This Row],[Precio Descontado]]-Tabla4[[#This Row],[Precio Base]])*Tabla4[[#This Row],[Cantidad]]</f>
        <v>#N/A</v>
      </c>
      <c r="O6427" s="284" t="e">
        <f>++Tabla4[[#This Row],[Utilidad Total]]/Tabla4[[#This Row],[Total]]</f>
        <v>#N/A</v>
      </c>
      <c r="P6427" s="282">
        <f>++Tabla4[[#This Row],[Precio Descontado]]*Tabla4[[#This Row],[Cantidad]]</f>
        <v>11303.726516999999</v>
      </c>
      <c r="Q6427" s="282" t="e">
        <f>(INDEX(Tabla6[#All],MATCH(Tabla4[[#This Row],[Producto]],Tabla6[[#All],[PRODUCTO]],0),MATCH(Tabla4[[#This Row],[Mes]],Tabla6[#Headers],0)))</f>
        <v>#N/A</v>
      </c>
      <c r="R6427" s="282" t="e">
        <f>++Tabla4[[#This Row],[Precio Unitario Neto]]-Tabla4[[#This Row],[20.85%]]-Tabla4[[#This Row],[Costo]]</f>
        <v>#N/A</v>
      </c>
      <c r="S6427" s="282" t="e">
        <f>++Tabla4[[#This Row],[U. Bruta Uni]]*Tabla4[[#This Row],[Cantidad]]</f>
        <v>#N/A</v>
      </c>
      <c r="T6427" s="369" t="str">
        <f>VLOOKUP(Tabla4[[#This Row],[Producto]],Tabla6[#All],14,FALSE)</f>
        <v>Termico Solar</v>
      </c>
      <c r="U6427" s="284" t="e">
        <f>(IF(Tabla4[[#This Row],[Familia]]="termico solar",Tabla4[[#This Row],[Utilidad Total]]*6%,Tabla4[[#This Row],[Utilidad Total]]*11.5%))/Tabla4[[#This Row],[Total]]</f>
        <v>#N/A</v>
      </c>
      <c r="V6427" s="282" t="e">
        <f>+Tabla4[[#This Row],[Comisión Calculada]]*Tabla4[[#This Row],[Total]]</f>
        <v>#N/A</v>
      </c>
    </row>
    <row r="6428" spans="1:22" hidden="1" x14ac:dyDescent="0.25">
      <c r="A6428" s="100">
        <v>45945</v>
      </c>
      <c r="B6428" t="str">
        <f t="shared" ref="B6428:B6429" si="351">TEXT(A6428, "mmmm")</f>
        <v>October</v>
      </c>
      <c r="C6428" s="46" t="s">
        <v>280</v>
      </c>
      <c r="F6428" s="366" t="s">
        <v>3274</v>
      </c>
      <c r="G6428" s="46" t="s">
        <v>17</v>
      </c>
      <c r="H6428" s="46">
        <v>1</v>
      </c>
      <c r="I6428" s="51">
        <v>4622.28</v>
      </c>
      <c r="J6428" s="281">
        <f>++Tabla4[[#This Row],[Precio Bruto]]*1.16</f>
        <v>5361.8447999999989</v>
      </c>
      <c r="K6428" s="281">
        <f>+Tabla4[[#This Row],[Precio Unitario Neto]]*Tabla4[[#Headers],[20.85%]]</f>
        <v>1117.9446407999997</v>
      </c>
      <c r="L6428" s="282">
        <f>++Tabla4[[#This Row],[Precio Unitario Neto]]-Tabla4[[#This Row],[20.85%]]</f>
        <v>4243.9001591999995</v>
      </c>
      <c r="M6428" s="282" t="e">
        <f>(INDEX(Tabla6[#All],MATCH(Tabla4[[#This Row],[Producto]],Tabla6[[#All],[PRODUCTO]],0),MATCH(Tabla4[[#This Row],[Mes]],Tabla6[#Headers],0)))*(1+Catalogos!$L$2)</f>
        <v>#N/A</v>
      </c>
      <c r="N6428" s="283" t="e">
        <f>+(Tabla4[[#This Row],[Precio Descontado]]-Tabla4[[#This Row],[Precio Base]])*Tabla4[[#This Row],[Cantidad]]</f>
        <v>#N/A</v>
      </c>
      <c r="O6428" s="284" t="e">
        <f>++Tabla4[[#This Row],[Utilidad Total]]/Tabla4[[#This Row],[Total]]</f>
        <v>#N/A</v>
      </c>
      <c r="P6428" s="282">
        <f>++Tabla4[[#This Row],[Precio Descontado]]*Tabla4[[#This Row],[Cantidad]]</f>
        <v>4243.9001591999995</v>
      </c>
      <c r="Q6428" s="282" t="e">
        <f>(INDEX(Tabla6[#All],MATCH(Tabla4[[#This Row],[Producto]],Tabla6[[#All],[PRODUCTO]],0),MATCH(Tabla4[[#This Row],[Mes]],Tabla6[#Headers],0)))</f>
        <v>#N/A</v>
      </c>
      <c r="R6428" s="282" t="e">
        <f>++Tabla4[[#This Row],[Precio Unitario Neto]]-Tabla4[[#This Row],[20.85%]]-Tabla4[[#This Row],[Costo]]</f>
        <v>#N/A</v>
      </c>
      <c r="S6428" s="282" t="e">
        <f>++Tabla4[[#This Row],[U. Bruta Uni]]*Tabla4[[#This Row],[Cantidad]]</f>
        <v>#N/A</v>
      </c>
      <c r="T6428" s="369" t="str">
        <f>VLOOKUP(Tabla4[[#This Row],[Producto]],Tabla6[#All],14,FALSE)</f>
        <v>Termico Solar</v>
      </c>
      <c r="U6428" s="284" t="e">
        <f>(IF(Tabla4[[#This Row],[Familia]]="termico solar",Tabla4[[#This Row],[Utilidad Total]]*6%,Tabla4[[#This Row],[Utilidad Total]]*11.5%))/Tabla4[[#This Row],[Total]]</f>
        <v>#N/A</v>
      </c>
      <c r="V6428" s="282" t="e">
        <f>+Tabla4[[#This Row],[Comisión Calculada]]*Tabla4[[#This Row],[Total]]</f>
        <v>#N/A</v>
      </c>
    </row>
    <row r="6429" spans="1:22" hidden="1" x14ac:dyDescent="0.25">
      <c r="A6429" s="100">
        <v>45945</v>
      </c>
      <c r="B6429" t="str">
        <f t="shared" si="351"/>
        <v>October</v>
      </c>
      <c r="C6429" s="46" t="s">
        <v>280</v>
      </c>
      <c r="F6429" s="366" t="s">
        <v>3274</v>
      </c>
      <c r="G6429" s="46" t="s">
        <v>208</v>
      </c>
      <c r="H6429" s="46">
        <v>1</v>
      </c>
      <c r="I6429" s="51">
        <v>189.75</v>
      </c>
      <c r="J6429" s="281">
        <f>++Tabla4[[#This Row],[Precio Bruto]]*1.16</f>
        <v>220.10999999999999</v>
      </c>
      <c r="K6429" s="281">
        <f>+Tabla4[[#This Row],[Precio Unitario Neto]]*Tabla4[[#Headers],[20.85%]]</f>
        <v>45.892934999999994</v>
      </c>
      <c r="L6429" s="282">
        <f>++Tabla4[[#This Row],[Precio Unitario Neto]]-Tabla4[[#This Row],[20.85%]]</f>
        <v>174.21706499999999</v>
      </c>
      <c r="M6429" s="282" t="e">
        <f>(INDEX(Tabla6[#All],MATCH(Tabla4[[#This Row],[Producto]],Tabla6[[#All],[PRODUCTO]],0),MATCH(Tabla4[[#This Row],[Mes]],Tabla6[#Headers],0)))*(1+Catalogos!$L$2)</f>
        <v>#N/A</v>
      </c>
      <c r="N6429" s="283" t="e">
        <f>+(Tabla4[[#This Row],[Precio Descontado]]-Tabla4[[#This Row],[Precio Base]])*Tabla4[[#This Row],[Cantidad]]</f>
        <v>#N/A</v>
      </c>
      <c r="O6429" s="284" t="e">
        <f>++Tabla4[[#This Row],[Utilidad Total]]/Tabla4[[#This Row],[Total]]</f>
        <v>#N/A</v>
      </c>
      <c r="P6429" s="282">
        <f>++Tabla4[[#This Row],[Precio Descontado]]*Tabla4[[#This Row],[Cantidad]]</f>
        <v>174.21706499999999</v>
      </c>
      <c r="Q6429" s="282" t="e">
        <f>(INDEX(Tabla6[#All],MATCH(Tabla4[[#This Row],[Producto]],Tabla6[[#All],[PRODUCTO]],0),MATCH(Tabla4[[#This Row],[Mes]],Tabla6[#Headers],0)))</f>
        <v>#N/A</v>
      </c>
      <c r="R6429" s="282" t="e">
        <f>++Tabla4[[#This Row],[Precio Unitario Neto]]-Tabla4[[#This Row],[20.85%]]-Tabla4[[#This Row],[Costo]]</f>
        <v>#N/A</v>
      </c>
      <c r="S6429" s="282" t="e">
        <f>++Tabla4[[#This Row],[U. Bruta Uni]]*Tabla4[[#This Row],[Cantidad]]</f>
        <v>#N/A</v>
      </c>
      <c r="T6429" s="369" t="str">
        <f>VLOOKUP(Tabla4[[#This Row],[Producto]],Tabla6[#All],14,FALSE)</f>
        <v>Termico Solar</v>
      </c>
      <c r="U6429" s="284" t="e">
        <f>(IF(Tabla4[[#This Row],[Familia]]="termico solar",Tabla4[[#This Row],[Utilidad Total]]*6%,Tabla4[[#This Row],[Utilidad Total]]*11.5%))/Tabla4[[#This Row],[Total]]</f>
        <v>#N/A</v>
      </c>
      <c r="V6429" s="282" t="e">
        <f>+Tabla4[[#This Row],[Comisión Calculada]]*Tabla4[[#This Row],[Total]]</f>
        <v>#N/A</v>
      </c>
    </row>
    <row r="6430" spans="1:22" hidden="1" x14ac:dyDescent="0.25">
      <c r="A6430" s="100">
        <v>45945</v>
      </c>
      <c r="B6430" t="str">
        <f t="shared" ref="B6430:B6431" si="352">TEXT(A6430, "mmmm")</f>
        <v>October</v>
      </c>
      <c r="C6430" s="46" t="s">
        <v>280</v>
      </c>
      <c r="F6430" s="366" t="s">
        <v>3275</v>
      </c>
      <c r="G6430" s="46" t="s">
        <v>16</v>
      </c>
      <c r="H6430" s="46">
        <v>1</v>
      </c>
      <c r="I6430" s="51">
        <v>4103.8500000000004</v>
      </c>
      <c r="J6430" s="281">
        <f>++Tabla4[[#This Row],[Precio Bruto]]*1.16</f>
        <v>4760.4660000000003</v>
      </c>
      <c r="K6430" s="281">
        <f>+Tabla4[[#This Row],[Precio Unitario Neto]]*Tabla4[[#Headers],[20.85%]]</f>
        <v>992.55716100000006</v>
      </c>
      <c r="L6430" s="282">
        <f>++Tabla4[[#This Row],[Precio Unitario Neto]]-Tabla4[[#This Row],[20.85%]]</f>
        <v>3767.9088390000002</v>
      </c>
      <c r="M6430" s="282" t="e">
        <f>(INDEX(Tabla6[#All],MATCH(Tabla4[[#This Row],[Producto]],Tabla6[[#All],[PRODUCTO]],0),MATCH(Tabla4[[#This Row],[Mes]],Tabla6[#Headers],0)))*(1+Catalogos!$L$2)</f>
        <v>#N/A</v>
      </c>
      <c r="N6430" s="283" t="e">
        <f>+(Tabla4[[#This Row],[Precio Descontado]]-Tabla4[[#This Row],[Precio Base]])*Tabla4[[#This Row],[Cantidad]]</f>
        <v>#N/A</v>
      </c>
      <c r="O6430" s="284" t="e">
        <f>++Tabla4[[#This Row],[Utilidad Total]]/Tabla4[[#This Row],[Total]]</f>
        <v>#N/A</v>
      </c>
      <c r="P6430" s="282">
        <f>++Tabla4[[#This Row],[Precio Descontado]]*Tabla4[[#This Row],[Cantidad]]</f>
        <v>3767.9088390000002</v>
      </c>
      <c r="Q6430" s="282" t="e">
        <f>(INDEX(Tabla6[#All],MATCH(Tabla4[[#This Row],[Producto]],Tabla6[[#All],[PRODUCTO]],0),MATCH(Tabla4[[#This Row],[Mes]],Tabla6[#Headers],0)))</f>
        <v>#N/A</v>
      </c>
      <c r="R6430" s="282" t="e">
        <f>++Tabla4[[#This Row],[Precio Unitario Neto]]-Tabla4[[#This Row],[20.85%]]-Tabla4[[#This Row],[Costo]]</f>
        <v>#N/A</v>
      </c>
      <c r="S6430" s="282" t="e">
        <f>++Tabla4[[#This Row],[U. Bruta Uni]]*Tabla4[[#This Row],[Cantidad]]</f>
        <v>#N/A</v>
      </c>
      <c r="T6430" s="369" t="str">
        <f>VLOOKUP(Tabla4[[#This Row],[Producto]],Tabla6[#All],14,FALSE)</f>
        <v>Termico Solar</v>
      </c>
      <c r="U6430" s="284" t="e">
        <f>(IF(Tabla4[[#This Row],[Familia]]="termico solar",Tabla4[[#This Row],[Utilidad Total]]*6%,Tabla4[[#This Row],[Utilidad Total]]*11.5%))/Tabla4[[#This Row],[Total]]</f>
        <v>#N/A</v>
      </c>
      <c r="V6430" s="282" t="e">
        <f>+Tabla4[[#This Row],[Comisión Calculada]]*Tabla4[[#This Row],[Total]]</f>
        <v>#N/A</v>
      </c>
    </row>
    <row r="6431" spans="1:22" hidden="1" x14ac:dyDescent="0.25">
      <c r="A6431" s="100">
        <v>45945</v>
      </c>
      <c r="B6431" t="str">
        <f t="shared" si="352"/>
        <v>October</v>
      </c>
      <c r="C6431" s="46" t="s">
        <v>280</v>
      </c>
      <c r="F6431" s="366" t="s">
        <v>3275</v>
      </c>
      <c r="G6431" s="46" t="s">
        <v>208</v>
      </c>
      <c r="H6431" s="46">
        <v>1</v>
      </c>
      <c r="I6431" s="51">
        <v>189.75</v>
      </c>
      <c r="J6431" s="281">
        <f>++Tabla4[[#This Row],[Precio Bruto]]*1.16</f>
        <v>220.10999999999999</v>
      </c>
      <c r="K6431" s="281">
        <f>+Tabla4[[#This Row],[Precio Unitario Neto]]*Tabla4[[#Headers],[20.85%]]</f>
        <v>45.892934999999994</v>
      </c>
      <c r="L6431" s="282">
        <f>++Tabla4[[#This Row],[Precio Unitario Neto]]-Tabla4[[#This Row],[20.85%]]</f>
        <v>174.21706499999999</v>
      </c>
      <c r="M6431" s="282" t="e">
        <f>(INDEX(Tabla6[#All],MATCH(Tabla4[[#This Row],[Producto]],Tabla6[[#All],[PRODUCTO]],0),MATCH(Tabla4[[#This Row],[Mes]],Tabla6[#Headers],0)))*(1+Catalogos!$L$2)</f>
        <v>#N/A</v>
      </c>
      <c r="N6431" s="283" t="e">
        <f>+(Tabla4[[#This Row],[Precio Descontado]]-Tabla4[[#This Row],[Precio Base]])*Tabla4[[#This Row],[Cantidad]]</f>
        <v>#N/A</v>
      </c>
      <c r="O6431" s="284" t="e">
        <f>++Tabla4[[#This Row],[Utilidad Total]]/Tabla4[[#This Row],[Total]]</f>
        <v>#N/A</v>
      </c>
      <c r="P6431" s="282">
        <f>++Tabla4[[#This Row],[Precio Descontado]]*Tabla4[[#This Row],[Cantidad]]</f>
        <v>174.21706499999999</v>
      </c>
      <c r="Q6431" s="282" t="e">
        <f>(INDEX(Tabla6[#All],MATCH(Tabla4[[#This Row],[Producto]],Tabla6[[#All],[PRODUCTO]],0),MATCH(Tabla4[[#This Row],[Mes]],Tabla6[#Headers],0)))</f>
        <v>#N/A</v>
      </c>
      <c r="R6431" s="282" t="e">
        <f>++Tabla4[[#This Row],[Precio Unitario Neto]]-Tabla4[[#This Row],[20.85%]]-Tabla4[[#This Row],[Costo]]</f>
        <v>#N/A</v>
      </c>
      <c r="S6431" s="282" t="e">
        <f>++Tabla4[[#This Row],[U. Bruta Uni]]*Tabla4[[#This Row],[Cantidad]]</f>
        <v>#N/A</v>
      </c>
      <c r="T6431" s="369" t="str">
        <f>VLOOKUP(Tabla4[[#This Row],[Producto]],Tabla6[#All],14,FALSE)</f>
        <v>Termico Solar</v>
      </c>
      <c r="U6431" s="284" t="e">
        <f>(IF(Tabla4[[#This Row],[Familia]]="termico solar",Tabla4[[#This Row],[Utilidad Total]]*6%,Tabla4[[#This Row],[Utilidad Total]]*11.5%))/Tabla4[[#This Row],[Total]]</f>
        <v>#N/A</v>
      </c>
      <c r="V6431" s="282" t="e">
        <f>+Tabla4[[#This Row],[Comisión Calculada]]*Tabla4[[#This Row],[Total]]</f>
        <v>#N/A</v>
      </c>
    </row>
    <row r="6432" spans="1:22" hidden="1" x14ac:dyDescent="0.25">
      <c r="A6432" s="100">
        <v>45945</v>
      </c>
      <c r="B6432" t="str">
        <f t="shared" ref="B6432:B6436" si="353">TEXT(A6432, "mmmm")</f>
        <v>October</v>
      </c>
      <c r="C6432" s="46" t="s">
        <v>280</v>
      </c>
      <c r="F6432" s="366" t="s">
        <v>3276</v>
      </c>
      <c r="G6432" s="46" t="s">
        <v>17</v>
      </c>
      <c r="H6432" s="46">
        <v>2</v>
      </c>
      <c r="I6432" s="51">
        <v>4622.28</v>
      </c>
      <c r="J6432" s="281">
        <f>++Tabla4[[#This Row],[Precio Bruto]]*1.16</f>
        <v>5361.8447999999989</v>
      </c>
      <c r="K6432" s="281">
        <f>+Tabla4[[#This Row],[Precio Unitario Neto]]*Tabla4[[#Headers],[20.85%]]</f>
        <v>1117.9446407999997</v>
      </c>
      <c r="L6432" s="282">
        <f>++Tabla4[[#This Row],[Precio Unitario Neto]]-Tabla4[[#This Row],[20.85%]]</f>
        <v>4243.9001591999995</v>
      </c>
      <c r="M6432" s="282" t="e">
        <f>(INDEX(Tabla6[#All],MATCH(Tabla4[[#This Row],[Producto]],Tabla6[[#All],[PRODUCTO]],0),MATCH(Tabla4[[#This Row],[Mes]],Tabla6[#Headers],0)))*(1+Catalogos!$L$2)</f>
        <v>#N/A</v>
      </c>
      <c r="N6432" s="283" t="e">
        <f>+(Tabla4[[#This Row],[Precio Descontado]]-Tabla4[[#This Row],[Precio Base]])*Tabla4[[#This Row],[Cantidad]]</f>
        <v>#N/A</v>
      </c>
      <c r="O6432" s="284" t="e">
        <f>++Tabla4[[#This Row],[Utilidad Total]]/Tabla4[[#This Row],[Total]]</f>
        <v>#N/A</v>
      </c>
      <c r="P6432" s="282">
        <f>++Tabla4[[#This Row],[Precio Descontado]]*Tabla4[[#This Row],[Cantidad]]</f>
        <v>8487.800318399999</v>
      </c>
      <c r="Q6432" s="282" t="e">
        <f>(INDEX(Tabla6[#All],MATCH(Tabla4[[#This Row],[Producto]],Tabla6[[#All],[PRODUCTO]],0),MATCH(Tabla4[[#This Row],[Mes]],Tabla6[#Headers],0)))</f>
        <v>#N/A</v>
      </c>
      <c r="R6432" s="282" t="e">
        <f>++Tabla4[[#This Row],[Precio Unitario Neto]]-Tabla4[[#This Row],[20.85%]]-Tabla4[[#This Row],[Costo]]</f>
        <v>#N/A</v>
      </c>
      <c r="S6432" s="282" t="e">
        <f>++Tabla4[[#This Row],[U. Bruta Uni]]*Tabla4[[#This Row],[Cantidad]]</f>
        <v>#N/A</v>
      </c>
      <c r="T6432" s="369" t="str">
        <f>VLOOKUP(Tabla4[[#This Row],[Producto]],Tabla6[#All],14,FALSE)</f>
        <v>Termico Solar</v>
      </c>
      <c r="U6432" s="284" t="e">
        <f>(IF(Tabla4[[#This Row],[Familia]]="termico solar",Tabla4[[#This Row],[Utilidad Total]]*6%,Tabla4[[#This Row],[Utilidad Total]]*11.5%))/Tabla4[[#This Row],[Total]]</f>
        <v>#N/A</v>
      </c>
      <c r="V6432" s="282" t="e">
        <f>+Tabla4[[#This Row],[Comisión Calculada]]*Tabla4[[#This Row],[Total]]</f>
        <v>#N/A</v>
      </c>
    </row>
    <row r="6433" spans="1:22" hidden="1" x14ac:dyDescent="0.25">
      <c r="A6433" s="100">
        <v>45945</v>
      </c>
      <c r="B6433" t="str">
        <f t="shared" si="353"/>
        <v>October</v>
      </c>
      <c r="C6433" s="46" t="s">
        <v>280</v>
      </c>
      <c r="F6433" s="366" t="s">
        <v>3276</v>
      </c>
      <c r="G6433" s="46" t="s">
        <v>18</v>
      </c>
      <c r="H6433" s="46">
        <v>2</v>
      </c>
      <c r="I6433" s="51">
        <v>5367.65</v>
      </c>
      <c r="J6433" s="281">
        <f>++Tabla4[[#This Row],[Precio Bruto]]*1.16</f>
        <v>6226.4739999999993</v>
      </c>
      <c r="K6433" s="281">
        <f>+Tabla4[[#This Row],[Precio Unitario Neto]]*Tabla4[[#Headers],[20.85%]]</f>
        <v>1298.2198289999999</v>
      </c>
      <c r="L6433" s="282">
        <f>++Tabla4[[#This Row],[Precio Unitario Neto]]-Tabla4[[#This Row],[20.85%]]</f>
        <v>4928.2541709999996</v>
      </c>
      <c r="M6433" s="282" t="e">
        <f>(INDEX(Tabla6[#All],MATCH(Tabla4[[#This Row],[Producto]],Tabla6[[#All],[PRODUCTO]],0),MATCH(Tabla4[[#This Row],[Mes]],Tabla6[#Headers],0)))*(1+Catalogos!$L$2)</f>
        <v>#N/A</v>
      </c>
      <c r="N6433" s="283" t="e">
        <f>+(Tabla4[[#This Row],[Precio Descontado]]-Tabla4[[#This Row],[Precio Base]])*Tabla4[[#This Row],[Cantidad]]</f>
        <v>#N/A</v>
      </c>
      <c r="O6433" s="284" t="e">
        <f>++Tabla4[[#This Row],[Utilidad Total]]/Tabla4[[#This Row],[Total]]</f>
        <v>#N/A</v>
      </c>
      <c r="P6433" s="282">
        <f>++Tabla4[[#This Row],[Precio Descontado]]*Tabla4[[#This Row],[Cantidad]]</f>
        <v>9856.5083419999992</v>
      </c>
      <c r="Q6433" s="282" t="e">
        <f>(INDEX(Tabla6[#All],MATCH(Tabla4[[#This Row],[Producto]],Tabla6[[#All],[PRODUCTO]],0),MATCH(Tabla4[[#This Row],[Mes]],Tabla6[#Headers],0)))</f>
        <v>#N/A</v>
      </c>
      <c r="R6433" s="282" t="e">
        <f>++Tabla4[[#This Row],[Precio Unitario Neto]]-Tabla4[[#This Row],[20.85%]]-Tabla4[[#This Row],[Costo]]</f>
        <v>#N/A</v>
      </c>
      <c r="S6433" s="282" t="e">
        <f>++Tabla4[[#This Row],[U. Bruta Uni]]*Tabla4[[#This Row],[Cantidad]]</f>
        <v>#N/A</v>
      </c>
      <c r="T6433" s="369" t="str">
        <f>VLOOKUP(Tabla4[[#This Row],[Producto]],Tabla6[#All],14,FALSE)</f>
        <v>Termico Solar</v>
      </c>
      <c r="U6433" s="284" t="e">
        <f>(IF(Tabla4[[#This Row],[Familia]]="termico solar",Tabla4[[#This Row],[Utilidad Total]]*6%,Tabla4[[#This Row],[Utilidad Total]]*11.5%))/Tabla4[[#This Row],[Total]]</f>
        <v>#N/A</v>
      </c>
      <c r="V6433" s="282" t="e">
        <f>+Tabla4[[#This Row],[Comisión Calculada]]*Tabla4[[#This Row],[Total]]</f>
        <v>#N/A</v>
      </c>
    </row>
    <row r="6434" spans="1:22" hidden="1" x14ac:dyDescent="0.25">
      <c r="A6434" s="100">
        <v>45945</v>
      </c>
      <c r="B6434" t="str">
        <f t="shared" si="353"/>
        <v>October</v>
      </c>
      <c r="C6434" s="46" t="s">
        <v>280</v>
      </c>
      <c r="F6434" s="366" t="s">
        <v>3276</v>
      </c>
      <c r="G6434" s="46" t="s">
        <v>19</v>
      </c>
      <c r="H6434" s="46">
        <v>1</v>
      </c>
      <c r="I6434" s="51">
        <v>6412.03</v>
      </c>
      <c r="J6434" s="281">
        <f>++Tabla4[[#This Row],[Precio Bruto]]*1.16</f>
        <v>7437.9547999999995</v>
      </c>
      <c r="K6434" s="281">
        <f>+Tabla4[[#This Row],[Precio Unitario Neto]]*Tabla4[[#Headers],[20.85%]]</f>
        <v>1550.8135757999999</v>
      </c>
      <c r="L6434" s="282">
        <f>++Tabla4[[#This Row],[Precio Unitario Neto]]-Tabla4[[#This Row],[20.85%]]</f>
        <v>5887.1412241999997</v>
      </c>
      <c r="M6434" s="282" t="e">
        <f>(INDEX(Tabla6[#All],MATCH(Tabla4[[#This Row],[Producto]],Tabla6[[#All],[PRODUCTO]],0),MATCH(Tabla4[[#This Row],[Mes]],Tabla6[#Headers],0)))*(1+Catalogos!$L$2)</f>
        <v>#N/A</v>
      </c>
      <c r="N6434" s="283" t="e">
        <f>+(Tabla4[[#This Row],[Precio Descontado]]-Tabla4[[#This Row],[Precio Base]])*Tabla4[[#This Row],[Cantidad]]</f>
        <v>#N/A</v>
      </c>
      <c r="O6434" s="284" t="e">
        <f>++Tabla4[[#This Row],[Utilidad Total]]/Tabla4[[#This Row],[Total]]</f>
        <v>#N/A</v>
      </c>
      <c r="P6434" s="282">
        <f>++Tabla4[[#This Row],[Precio Descontado]]*Tabla4[[#This Row],[Cantidad]]</f>
        <v>5887.1412241999997</v>
      </c>
      <c r="Q6434" s="282" t="e">
        <f>(INDEX(Tabla6[#All],MATCH(Tabla4[[#This Row],[Producto]],Tabla6[[#All],[PRODUCTO]],0),MATCH(Tabla4[[#This Row],[Mes]],Tabla6[#Headers],0)))</f>
        <v>#N/A</v>
      </c>
      <c r="R6434" s="282" t="e">
        <f>++Tabla4[[#This Row],[Precio Unitario Neto]]-Tabla4[[#This Row],[20.85%]]-Tabla4[[#This Row],[Costo]]</f>
        <v>#N/A</v>
      </c>
      <c r="S6434" s="282" t="e">
        <f>++Tabla4[[#This Row],[U. Bruta Uni]]*Tabla4[[#This Row],[Cantidad]]</f>
        <v>#N/A</v>
      </c>
      <c r="T6434" s="369" t="str">
        <f>VLOOKUP(Tabla4[[#This Row],[Producto]],Tabla6[#All],14,FALSE)</f>
        <v>Termico Solar</v>
      </c>
      <c r="U6434" s="284" t="e">
        <f>(IF(Tabla4[[#This Row],[Familia]]="termico solar",Tabla4[[#This Row],[Utilidad Total]]*6%,Tabla4[[#This Row],[Utilidad Total]]*11.5%))/Tabla4[[#This Row],[Total]]</f>
        <v>#N/A</v>
      </c>
      <c r="V6434" s="282" t="e">
        <f>+Tabla4[[#This Row],[Comisión Calculada]]*Tabla4[[#This Row],[Total]]</f>
        <v>#N/A</v>
      </c>
    </row>
    <row r="6435" spans="1:22" hidden="1" x14ac:dyDescent="0.25">
      <c r="A6435" s="100">
        <v>45945</v>
      </c>
      <c r="B6435" t="str">
        <f t="shared" si="353"/>
        <v>October</v>
      </c>
      <c r="C6435" s="46" t="s">
        <v>280</v>
      </c>
      <c r="F6435" s="366" t="s">
        <v>3276</v>
      </c>
      <c r="G6435" s="46" t="s">
        <v>566</v>
      </c>
      <c r="H6435" s="46">
        <v>2</v>
      </c>
      <c r="I6435" s="51">
        <v>2109.4499999999998</v>
      </c>
      <c r="J6435" s="281">
        <f>++Tabla4[[#This Row],[Precio Bruto]]*1.16</f>
        <v>2446.9619999999995</v>
      </c>
      <c r="K6435" s="281">
        <f>+Tabla4[[#This Row],[Precio Unitario Neto]]*Tabla4[[#Headers],[20.85%]]</f>
        <v>510.19157699999988</v>
      </c>
      <c r="L6435" s="282">
        <f>++Tabla4[[#This Row],[Precio Unitario Neto]]-Tabla4[[#This Row],[20.85%]]</f>
        <v>1936.7704229999997</v>
      </c>
      <c r="M6435" s="282" t="e">
        <f>(INDEX(Tabla6[#All],MATCH(Tabla4[[#This Row],[Producto]],Tabla6[[#All],[PRODUCTO]],0),MATCH(Tabla4[[#This Row],[Mes]],Tabla6[#Headers],0)))*(1+Catalogos!$L$2)</f>
        <v>#N/A</v>
      </c>
      <c r="N6435" s="283" t="e">
        <f>+(Tabla4[[#This Row],[Precio Descontado]]-Tabla4[[#This Row],[Precio Base]])*Tabla4[[#This Row],[Cantidad]]</f>
        <v>#N/A</v>
      </c>
      <c r="O6435" s="284" t="e">
        <f>++Tabla4[[#This Row],[Utilidad Total]]/Tabla4[[#This Row],[Total]]</f>
        <v>#N/A</v>
      </c>
      <c r="P6435" s="282">
        <f>++Tabla4[[#This Row],[Precio Descontado]]*Tabla4[[#This Row],[Cantidad]]</f>
        <v>3873.5408459999994</v>
      </c>
      <c r="Q6435" s="282" t="e">
        <f>(INDEX(Tabla6[#All],MATCH(Tabla4[[#This Row],[Producto]],Tabla6[[#All],[PRODUCTO]],0),MATCH(Tabla4[[#This Row],[Mes]],Tabla6[#Headers],0)))</f>
        <v>#N/A</v>
      </c>
      <c r="R6435" s="282" t="e">
        <f>++Tabla4[[#This Row],[Precio Unitario Neto]]-Tabla4[[#This Row],[20.85%]]-Tabla4[[#This Row],[Costo]]</f>
        <v>#N/A</v>
      </c>
      <c r="S6435" s="282" t="e">
        <f>++Tabla4[[#This Row],[U. Bruta Uni]]*Tabla4[[#This Row],[Cantidad]]</f>
        <v>#N/A</v>
      </c>
      <c r="T6435" s="369" t="str">
        <f>VLOOKUP(Tabla4[[#This Row],[Producto]],Tabla6[#All],14,FALSE)</f>
        <v>Termico Solar</v>
      </c>
      <c r="U6435" s="284" t="e">
        <f>(IF(Tabla4[[#This Row],[Familia]]="termico solar",Tabla4[[#This Row],[Utilidad Total]]*6%,Tabla4[[#This Row],[Utilidad Total]]*11.5%))/Tabla4[[#This Row],[Total]]</f>
        <v>#N/A</v>
      </c>
      <c r="V6435" s="282" t="e">
        <f>+Tabla4[[#This Row],[Comisión Calculada]]*Tabla4[[#This Row],[Total]]</f>
        <v>#N/A</v>
      </c>
    </row>
    <row r="6436" spans="1:22" hidden="1" x14ac:dyDescent="0.25">
      <c r="A6436" s="100">
        <v>45945</v>
      </c>
      <c r="B6436" t="str">
        <f t="shared" si="353"/>
        <v>October</v>
      </c>
      <c r="C6436" s="46" t="s">
        <v>280</v>
      </c>
      <c r="F6436" s="366" t="s">
        <v>3276</v>
      </c>
      <c r="G6436" s="46" t="s">
        <v>16</v>
      </c>
      <c r="H6436" s="46">
        <v>1</v>
      </c>
      <c r="I6436" s="51">
        <v>4103.8500000000004</v>
      </c>
      <c r="J6436" s="281">
        <f>++Tabla4[[#This Row],[Precio Bruto]]*1.16</f>
        <v>4760.4660000000003</v>
      </c>
      <c r="K6436" s="281">
        <f>+Tabla4[[#This Row],[Precio Unitario Neto]]*Tabla4[[#Headers],[20.85%]]</f>
        <v>992.55716100000006</v>
      </c>
      <c r="L6436" s="282">
        <f>++Tabla4[[#This Row],[Precio Unitario Neto]]-Tabla4[[#This Row],[20.85%]]</f>
        <v>3767.9088390000002</v>
      </c>
      <c r="M6436" s="282" t="e">
        <f>(INDEX(Tabla6[#All],MATCH(Tabla4[[#This Row],[Producto]],Tabla6[[#All],[PRODUCTO]],0),MATCH(Tabla4[[#This Row],[Mes]],Tabla6[#Headers],0)))*(1+Catalogos!$L$2)</f>
        <v>#N/A</v>
      </c>
      <c r="N6436" s="283" t="e">
        <f>+(Tabla4[[#This Row],[Precio Descontado]]-Tabla4[[#This Row],[Precio Base]])*Tabla4[[#This Row],[Cantidad]]</f>
        <v>#N/A</v>
      </c>
      <c r="O6436" s="284" t="e">
        <f>++Tabla4[[#This Row],[Utilidad Total]]/Tabla4[[#This Row],[Total]]</f>
        <v>#N/A</v>
      </c>
      <c r="P6436" s="282">
        <f>++Tabla4[[#This Row],[Precio Descontado]]*Tabla4[[#This Row],[Cantidad]]</f>
        <v>3767.9088390000002</v>
      </c>
      <c r="Q6436" s="282" t="e">
        <f>(INDEX(Tabla6[#All],MATCH(Tabla4[[#This Row],[Producto]],Tabla6[[#All],[PRODUCTO]],0),MATCH(Tabla4[[#This Row],[Mes]],Tabla6[#Headers],0)))</f>
        <v>#N/A</v>
      </c>
      <c r="R6436" s="282" t="e">
        <f>++Tabla4[[#This Row],[Precio Unitario Neto]]-Tabla4[[#This Row],[20.85%]]-Tabla4[[#This Row],[Costo]]</f>
        <v>#N/A</v>
      </c>
      <c r="S6436" s="282" t="e">
        <f>++Tabla4[[#This Row],[U. Bruta Uni]]*Tabla4[[#This Row],[Cantidad]]</f>
        <v>#N/A</v>
      </c>
      <c r="T6436" s="369" t="str">
        <f>VLOOKUP(Tabla4[[#This Row],[Producto]],Tabla6[#All],14,FALSE)</f>
        <v>Termico Solar</v>
      </c>
      <c r="U6436" s="284" t="e">
        <f>(IF(Tabla4[[#This Row],[Familia]]="termico solar",Tabla4[[#This Row],[Utilidad Total]]*6%,Tabla4[[#This Row],[Utilidad Total]]*11.5%))/Tabla4[[#This Row],[Total]]</f>
        <v>#N/A</v>
      </c>
      <c r="V6436" s="282" t="e">
        <f>+Tabla4[[#This Row],[Comisión Calculada]]*Tabla4[[#This Row],[Total]]</f>
        <v>#N/A</v>
      </c>
    </row>
    <row r="6437" spans="1:22" hidden="1" x14ac:dyDescent="0.25">
      <c r="A6437" s="100">
        <v>45945</v>
      </c>
      <c r="B6437" t="str">
        <f t="shared" ref="B6437:B6439" si="354">TEXT(A6437, "mmmm")</f>
        <v>October</v>
      </c>
      <c r="C6437" s="46" t="s">
        <v>280</v>
      </c>
      <c r="F6437" s="366" t="s">
        <v>3277</v>
      </c>
      <c r="G6437" s="46" t="s">
        <v>18</v>
      </c>
      <c r="H6437" s="46">
        <v>1</v>
      </c>
      <c r="I6437" s="51">
        <v>5367.65</v>
      </c>
      <c r="J6437" s="281">
        <f>++Tabla4[[#This Row],[Precio Bruto]]*1.16</f>
        <v>6226.4739999999993</v>
      </c>
      <c r="K6437" s="281">
        <f>+Tabla4[[#This Row],[Precio Unitario Neto]]*Tabla4[[#Headers],[20.85%]]</f>
        <v>1298.2198289999999</v>
      </c>
      <c r="L6437" s="282">
        <f>++Tabla4[[#This Row],[Precio Unitario Neto]]-Tabla4[[#This Row],[20.85%]]</f>
        <v>4928.2541709999996</v>
      </c>
      <c r="M6437" s="282" t="e">
        <f>(INDEX(Tabla6[#All],MATCH(Tabla4[[#This Row],[Producto]],Tabla6[[#All],[PRODUCTO]],0),MATCH(Tabla4[[#This Row],[Mes]],Tabla6[#Headers],0)))*(1+Catalogos!$L$2)</f>
        <v>#N/A</v>
      </c>
      <c r="N6437" s="283" t="e">
        <f>+(Tabla4[[#This Row],[Precio Descontado]]-Tabla4[[#This Row],[Precio Base]])*Tabla4[[#This Row],[Cantidad]]</f>
        <v>#N/A</v>
      </c>
      <c r="O6437" s="284" t="e">
        <f>++Tabla4[[#This Row],[Utilidad Total]]/Tabla4[[#This Row],[Total]]</f>
        <v>#N/A</v>
      </c>
      <c r="P6437" s="282">
        <f>++Tabla4[[#This Row],[Precio Descontado]]*Tabla4[[#This Row],[Cantidad]]</f>
        <v>4928.2541709999996</v>
      </c>
      <c r="Q6437" s="282" t="e">
        <f>(INDEX(Tabla6[#All],MATCH(Tabla4[[#This Row],[Producto]],Tabla6[[#All],[PRODUCTO]],0),MATCH(Tabla4[[#This Row],[Mes]],Tabla6[#Headers],0)))</f>
        <v>#N/A</v>
      </c>
      <c r="R6437" s="282" t="e">
        <f>++Tabla4[[#This Row],[Precio Unitario Neto]]-Tabla4[[#This Row],[20.85%]]-Tabla4[[#This Row],[Costo]]</f>
        <v>#N/A</v>
      </c>
      <c r="S6437" s="282" t="e">
        <f>++Tabla4[[#This Row],[U. Bruta Uni]]*Tabla4[[#This Row],[Cantidad]]</f>
        <v>#N/A</v>
      </c>
      <c r="T6437" s="369" t="str">
        <f>VLOOKUP(Tabla4[[#This Row],[Producto]],Tabla6[#All],14,FALSE)</f>
        <v>Termico Solar</v>
      </c>
      <c r="U6437" s="284" t="e">
        <f>(IF(Tabla4[[#This Row],[Familia]]="termico solar",Tabla4[[#This Row],[Utilidad Total]]*6%,Tabla4[[#This Row],[Utilidad Total]]*11.5%))/Tabla4[[#This Row],[Total]]</f>
        <v>#N/A</v>
      </c>
      <c r="V6437" s="282" t="e">
        <f>+Tabla4[[#This Row],[Comisión Calculada]]*Tabla4[[#This Row],[Total]]</f>
        <v>#N/A</v>
      </c>
    </row>
    <row r="6438" spans="1:22" hidden="1" x14ac:dyDescent="0.25">
      <c r="A6438" s="100">
        <v>45945</v>
      </c>
      <c r="B6438" t="str">
        <f t="shared" si="354"/>
        <v>October</v>
      </c>
      <c r="C6438" s="46" t="s">
        <v>280</v>
      </c>
      <c r="F6438" s="366" t="s">
        <v>3277</v>
      </c>
      <c r="G6438" s="46" t="s">
        <v>566</v>
      </c>
      <c r="H6438" s="46">
        <v>2</v>
      </c>
      <c r="I6438" s="51">
        <v>2109.4499999999998</v>
      </c>
      <c r="J6438" s="281">
        <f>++Tabla4[[#This Row],[Precio Bruto]]*1.16</f>
        <v>2446.9619999999995</v>
      </c>
      <c r="K6438" s="281">
        <f>+Tabla4[[#This Row],[Precio Unitario Neto]]*Tabla4[[#Headers],[20.85%]]</f>
        <v>510.19157699999988</v>
      </c>
      <c r="L6438" s="282">
        <f>++Tabla4[[#This Row],[Precio Unitario Neto]]-Tabla4[[#This Row],[20.85%]]</f>
        <v>1936.7704229999997</v>
      </c>
      <c r="M6438" s="282" t="e">
        <f>(INDEX(Tabla6[#All],MATCH(Tabla4[[#This Row],[Producto]],Tabla6[[#All],[PRODUCTO]],0),MATCH(Tabla4[[#This Row],[Mes]],Tabla6[#Headers],0)))*(1+Catalogos!$L$2)</f>
        <v>#N/A</v>
      </c>
      <c r="N6438" s="283" t="e">
        <f>+(Tabla4[[#This Row],[Precio Descontado]]-Tabla4[[#This Row],[Precio Base]])*Tabla4[[#This Row],[Cantidad]]</f>
        <v>#N/A</v>
      </c>
      <c r="O6438" s="284" t="e">
        <f>++Tabla4[[#This Row],[Utilidad Total]]/Tabla4[[#This Row],[Total]]</f>
        <v>#N/A</v>
      </c>
      <c r="P6438" s="282">
        <f>++Tabla4[[#This Row],[Precio Descontado]]*Tabla4[[#This Row],[Cantidad]]</f>
        <v>3873.5408459999994</v>
      </c>
      <c r="Q6438" s="282" t="e">
        <f>(INDEX(Tabla6[#All],MATCH(Tabla4[[#This Row],[Producto]],Tabla6[[#All],[PRODUCTO]],0),MATCH(Tabla4[[#This Row],[Mes]],Tabla6[#Headers],0)))</f>
        <v>#N/A</v>
      </c>
      <c r="R6438" s="282" t="e">
        <f>++Tabla4[[#This Row],[Precio Unitario Neto]]-Tabla4[[#This Row],[20.85%]]-Tabla4[[#This Row],[Costo]]</f>
        <v>#N/A</v>
      </c>
      <c r="S6438" s="282" t="e">
        <f>++Tabla4[[#This Row],[U. Bruta Uni]]*Tabla4[[#This Row],[Cantidad]]</f>
        <v>#N/A</v>
      </c>
      <c r="T6438" s="369" t="str">
        <f>VLOOKUP(Tabla4[[#This Row],[Producto]],Tabla6[#All],14,FALSE)</f>
        <v>Termico Solar</v>
      </c>
      <c r="U6438" s="284" t="e">
        <f>(IF(Tabla4[[#This Row],[Familia]]="termico solar",Tabla4[[#This Row],[Utilidad Total]]*6%,Tabla4[[#This Row],[Utilidad Total]]*11.5%))/Tabla4[[#This Row],[Total]]</f>
        <v>#N/A</v>
      </c>
      <c r="V6438" s="282" t="e">
        <f>+Tabla4[[#This Row],[Comisión Calculada]]*Tabla4[[#This Row],[Total]]</f>
        <v>#N/A</v>
      </c>
    </row>
    <row r="6439" spans="1:22" hidden="1" x14ac:dyDescent="0.25">
      <c r="A6439" s="100">
        <v>45945</v>
      </c>
      <c r="B6439" t="str">
        <f t="shared" si="354"/>
        <v>October</v>
      </c>
      <c r="C6439" s="46" t="s">
        <v>280</v>
      </c>
      <c r="F6439" s="366" t="s">
        <v>3277</v>
      </c>
      <c r="G6439" s="46" t="s">
        <v>16</v>
      </c>
      <c r="H6439" s="46">
        <v>1</v>
      </c>
      <c r="I6439" s="51">
        <v>4103.8500000000004</v>
      </c>
      <c r="J6439" s="281">
        <f>++Tabla4[[#This Row],[Precio Bruto]]*1.16</f>
        <v>4760.4660000000003</v>
      </c>
      <c r="K6439" s="281">
        <f>+Tabla4[[#This Row],[Precio Unitario Neto]]*Tabla4[[#Headers],[20.85%]]</f>
        <v>992.55716100000006</v>
      </c>
      <c r="L6439" s="282">
        <f>++Tabla4[[#This Row],[Precio Unitario Neto]]-Tabla4[[#This Row],[20.85%]]</f>
        <v>3767.9088390000002</v>
      </c>
      <c r="M6439" s="282" t="e">
        <f>(INDEX(Tabla6[#All],MATCH(Tabla4[[#This Row],[Producto]],Tabla6[[#All],[PRODUCTO]],0),MATCH(Tabla4[[#This Row],[Mes]],Tabla6[#Headers],0)))*(1+Catalogos!$L$2)</f>
        <v>#N/A</v>
      </c>
      <c r="N6439" s="283" t="e">
        <f>+(Tabla4[[#This Row],[Precio Descontado]]-Tabla4[[#This Row],[Precio Base]])*Tabla4[[#This Row],[Cantidad]]</f>
        <v>#N/A</v>
      </c>
      <c r="O6439" s="284" t="e">
        <f>++Tabla4[[#This Row],[Utilidad Total]]/Tabla4[[#This Row],[Total]]</f>
        <v>#N/A</v>
      </c>
      <c r="P6439" s="282">
        <f>++Tabla4[[#This Row],[Precio Descontado]]*Tabla4[[#This Row],[Cantidad]]</f>
        <v>3767.9088390000002</v>
      </c>
      <c r="Q6439" s="282" t="e">
        <f>(INDEX(Tabla6[#All],MATCH(Tabla4[[#This Row],[Producto]],Tabla6[[#All],[PRODUCTO]],0),MATCH(Tabla4[[#This Row],[Mes]],Tabla6[#Headers],0)))</f>
        <v>#N/A</v>
      </c>
      <c r="R6439" s="282" t="e">
        <f>++Tabla4[[#This Row],[Precio Unitario Neto]]-Tabla4[[#This Row],[20.85%]]-Tabla4[[#This Row],[Costo]]</f>
        <v>#N/A</v>
      </c>
      <c r="S6439" s="282" t="e">
        <f>++Tabla4[[#This Row],[U. Bruta Uni]]*Tabla4[[#This Row],[Cantidad]]</f>
        <v>#N/A</v>
      </c>
      <c r="T6439" s="369" t="str">
        <f>VLOOKUP(Tabla4[[#This Row],[Producto]],Tabla6[#All],14,FALSE)</f>
        <v>Termico Solar</v>
      </c>
      <c r="U6439" s="284" t="e">
        <f>(IF(Tabla4[[#This Row],[Familia]]="termico solar",Tabla4[[#This Row],[Utilidad Total]]*6%,Tabla4[[#This Row],[Utilidad Total]]*11.5%))/Tabla4[[#This Row],[Total]]</f>
        <v>#N/A</v>
      </c>
      <c r="V6439" s="282" t="e">
        <f>+Tabla4[[#This Row],[Comisión Calculada]]*Tabla4[[#This Row],[Total]]</f>
        <v>#N/A</v>
      </c>
    </row>
    <row r="6440" spans="1:22" hidden="1" x14ac:dyDescent="0.25">
      <c r="A6440" s="100">
        <v>45945</v>
      </c>
      <c r="B6440" t="str">
        <f>TEXT(A6440, "mmmm")</f>
        <v>October</v>
      </c>
      <c r="C6440" s="46" t="s">
        <v>280</v>
      </c>
      <c r="F6440" s="366" t="s">
        <v>3278</v>
      </c>
      <c r="G6440" s="46" t="s">
        <v>83</v>
      </c>
      <c r="H6440" s="46">
        <v>2</v>
      </c>
      <c r="I6440" s="51">
        <v>8858.76</v>
      </c>
      <c r="J6440" s="281">
        <f>++Tabla4[[#This Row],[Precio Bruto]]*1.16</f>
        <v>10276.161599999999</v>
      </c>
      <c r="K6440" s="281">
        <f>+Tabla4[[#This Row],[Precio Unitario Neto]]*Tabla4[[#Headers],[20.85%]]</f>
        <v>2142.5796935999997</v>
      </c>
      <c r="L6440" s="282">
        <f>++Tabla4[[#This Row],[Precio Unitario Neto]]-Tabla4[[#This Row],[20.85%]]</f>
        <v>8133.5819063999998</v>
      </c>
      <c r="M6440" s="282" t="e">
        <f>(INDEX(Tabla6[#All],MATCH(Tabla4[[#This Row],[Producto]],Tabla6[[#All],[PRODUCTO]],0),MATCH(Tabla4[[#This Row],[Mes]],Tabla6[#Headers],0)))*(1+Catalogos!$L$2)</f>
        <v>#N/A</v>
      </c>
      <c r="N6440" s="283" t="e">
        <f>+(Tabla4[[#This Row],[Precio Descontado]]-Tabla4[[#This Row],[Precio Base]])*Tabla4[[#This Row],[Cantidad]]</f>
        <v>#N/A</v>
      </c>
      <c r="O6440" s="284" t="e">
        <f>++Tabla4[[#This Row],[Utilidad Total]]/Tabla4[[#This Row],[Total]]</f>
        <v>#N/A</v>
      </c>
      <c r="P6440" s="282">
        <f>++Tabla4[[#This Row],[Precio Descontado]]*Tabla4[[#This Row],[Cantidad]]</f>
        <v>16267.1638128</v>
      </c>
      <c r="Q6440" s="282" t="e">
        <f>(INDEX(Tabla6[#All],MATCH(Tabla4[[#This Row],[Producto]],Tabla6[[#All],[PRODUCTO]],0),MATCH(Tabla4[[#This Row],[Mes]],Tabla6[#Headers],0)))</f>
        <v>#N/A</v>
      </c>
      <c r="R6440" s="282" t="e">
        <f>++Tabla4[[#This Row],[Precio Unitario Neto]]-Tabla4[[#This Row],[20.85%]]-Tabla4[[#This Row],[Costo]]</f>
        <v>#N/A</v>
      </c>
      <c r="S6440" s="282" t="e">
        <f>++Tabla4[[#This Row],[U. Bruta Uni]]*Tabla4[[#This Row],[Cantidad]]</f>
        <v>#N/A</v>
      </c>
      <c r="T6440" s="369" t="str">
        <f>VLOOKUP(Tabla4[[#This Row],[Producto]],Tabla6[#All],14,FALSE)</f>
        <v>Termico Solar</v>
      </c>
      <c r="U6440" s="284" t="e">
        <f>(IF(Tabla4[[#This Row],[Familia]]="termico solar",Tabla4[[#This Row],[Utilidad Total]]*6%,Tabla4[[#This Row],[Utilidad Total]]*11.5%))/Tabla4[[#This Row],[Total]]</f>
        <v>#N/A</v>
      </c>
      <c r="V6440" s="282" t="e">
        <f>+Tabla4[[#This Row],[Comisión Calculada]]*Tabla4[[#This Row],[Total]]</f>
        <v>#N/A</v>
      </c>
    </row>
    <row r="6441" spans="1:22" hidden="1" x14ac:dyDescent="0.25">
      <c r="A6441" s="100">
        <v>45945</v>
      </c>
      <c r="B6441" t="str">
        <f t="shared" ref="B6441:B6442" si="355">TEXT(A6441, "mmmm")</f>
        <v>October</v>
      </c>
      <c r="C6441" s="46" t="s">
        <v>280</v>
      </c>
      <c r="F6441" s="366" t="s">
        <v>3279</v>
      </c>
      <c r="G6441" s="46" t="s">
        <v>83</v>
      </c>
      <c r="H6441" s="46">
        <v>1</v>
      </c>
      <c r="I6441" s="51">
        <v>8858.76</v>
      </c>
      <c r="J6441" s="281">
        <f>++Tabla4[[#This Row],[Precio Bruto]]*1.16</f>
        <v>10276.161599999999</v>
      </c>
      <c r="K6441" s="281">
        <f>+Tabla4[[#This Row],[Precio Unitario Neto]]*Tabla4[[#Headers],[20.85%]]</f>
        <v>2142.5796935999997</v>
      </c>
      <c r="L6441" s="282">
        <f>++Tabla4[[#This Row],[Precio Unitario Neto]]-Tabla4[[#This Row],[20.85%]]</f>
        <v>8133.5819063999998</v>
      </c>
      <c r="M6441" s="282" t="e">
        <f>(INDEX(Tabla6[#All],MATCH(Tabla4[[#This Row],[Producto]],Tabla6[[#All],[PRODUCTO]],0),MATCH(Tabla4[[#This Row],[Mes]],Tabla6[#Headers],0)))*(1+Catalogos!$L$2)</f>
        <v>#N/A</v>
      </c>
      <c r="N6441" s="283" t="e">
        <f>+(Tabla4[[#This Row],[Precio Descontado]]-Tabla4[[#This Row],[Precio Base]])*Tabla4[[#This Row],[Cantidad]]</f>
        <v>#N/A</v>
      </c>
      <c r="O6441" s="284" t="e">
        <f>++Tabla4[[#This Row],[Utilidad Total]]/Tabla4[[#This Row],[Total]]</f>
        <v>#N/A</v>
      </c>
      <c r="P6441" s="282">
        <f>++Tabla4[[#This Row],[Precio Descontado]]*Tabla4[[#This Row],[Cantidad]]</f>
        <v>8133.5819063999998</v>
      </c>
      <c r="Q6441" s="282" t="e">
        <f>(INDEX(Tabla6[#All],MATCH(Tabla4[[#This Row],[Producto]],Tabla6[[#All],[PRODUCTO]],0),MATCH(Tabla4[[#This Row],[Mes]],Tabla6[#Headers],0)))</f>
        <v>#N/A</v>
      </c>
      <c r="R6441" s="282" t="e">
        <f>++Tabla4[[#This Row],[Precio Unitario Neto]]-Tabla4[[#This Row],[20.85%]]-Tabla4[[#This Row],[Costo]]</f>
        <v>#N/A</v>
      </c>
      <c r="S6441" s="282" t="e">
        <f>++Tabla4[[#This Row],[U. Bruta Uni]]*Tabla4[[#This Row],[Cantidad]]</f>
        <v>#N/A</v>
      </c>
      <c r="T6441" s="369" t="str">
        <f>VLOOKUP(Tabla4[[#This Row],[Producto]],Tabla6[#All],14,FALSE)</f>
        <v>Termico Solar</v>
      </c>
      <c r="U6441" s="284" t="e">
        <f>(IF(Tabla4[[#This Row],[Familia]]="termico solar",Tabla4[[#This Row],[Utilidad Total]]*6%,Tabla4[[#This Row],[Utilidad Total]]*11.5%))/Tabla4[[#This Row],[Total]]</f>
        <v>#N/A</v>
      </c>
      <c r="V6441" s="282" t="e">
        <f>+Tabla4[[#This Row],[Comisión Calculada]]*Tabla4[[#This Row],[Total]]</f>
        <v>#N/A</v>
      </c>
    </row>
    <row r="6442" spans="1:22" hidden="1" x14ac:dyDescent="0.25">
      <c r="A6442" s="100">
        <v>45945</v>
      </c>
      <c r="B6442" t="str">
        <f t="shared" si="355"/>
        <v>October</v>
      </c>
      <c r="C6442" s="46" t="s">
        <v>280</v>
      </c>
      <c r="F6442" s="366" t="s">
        <v>3279</v>
      </c>
      <c r="G6442" s="46" t="s">
        <v>208</v>
      </c>
      <c r="H6442" s="46">
        <v>1</v>
      </c>
      <c r="I6442" s="51">
        <v>189.75</v>
      </c>
      <c r="J6442" s="281">
        <f>++Tabla4[[#This Row],[Precio Bruto]]*1.16</f>
        <v>220.10999999999999</v>
      </c>
      <c r="K6442" s="281">
        <f>+Tabla4[[#This Row],[Precio Unitario Neto]]*Tabla4[[#Headers],[20.85%]]</f>
        <v>45.892934999999994</v>
      </c>
      <c r="L6442" s="282">
        <f>++Tabla4[[#This Row],[Precio Unitario Neto]]-Tabla4[[#This Row],[20.85%]]</f>
        <v>174.21706499999999</v>
      </c>
      <c r="M6442" s="282" t="e">
        <f>(INDEX(Tabla6[#All],MATCH(Tabla4[[#This Row],[Producto]],Tabla6[[#All],[PRODUCTO]],0),MATCH(Tabla4[[#This Row],[Mes]],Tabla6[#Headers],0)))*(1+Catalogos!$L$2)</f>
        <v>#N/A</v>
      </c>
      <c r="N6442" s="283" t="e">
        <f>+(Tabla4[[#This Row],[Precio Descontado]]-Tabla4[[#This Row],[Precio Base]])*Tabla4[[#This Row],[Cantidad]]</f>
        <v>#N/A</v>
      </c>
      <c r="O6442" s="284" t="e">
        <f>++Tabla4[[#This Row],[Utilidad Total]]/Tabla4[[#This Row],[Total]]</f>
        <v>#N/A</v>
      </c>
      <c r="P6442" s="282">
        <f>++Tabla4[[#This Row],[Precio Descontado]]*Tabla4[[#This Row],[Cantidad]]</f>
        <v>174.21706499999999</v>
      </c>
      <c r="Q6442" s="282" t="e">
        <f>(INDEX(Tabla6[#All],MATCH(Tabla4[[#This Row],[Producto]],Tabla6[[#All],[PRODUCTO]],0),MATCH(Tabla4[[#This Row],[Mes]],Tabla6[#Headers],0)))</f>
        <v>#N/A</v>
      </c>
      <c r="R6442" s="282" t="e">
        <f>++Tabla4[[#This Row],[Precio Unitario Neto]]-Tabla4[[#This Row],[20.85%]]-Tabla4[[#This Row],[Costo]]</f>
        <v>#N/A</v>
      </c>
      <c r="S6442" s="282" t="e">
        <f>++Tabla4[[#This Row],[U. Bruta Uni]]*Tabla4[[#This Row],[Cantidad]]</f>
        <v>#N/A</v>
      </c>
      <c r="T6442" s="369" t="str">
        <f>VLOOKUP(Tabla4[[#This Row],[Producto]],Tabla6[#All],14,FALSE)</f>
        <v>Termico Solar</v>
      </c>
      <c r="U6442" s="284" t="e">
        <f>(IF(Tabla4[[#This Row],[Familia]]="termico solar",Tabla4[[#This Row],[Utilidad Total]]*6%,Tabla4[[#This Row],[Utilidad Total]]*11.5%))/Tabla4[[#This Row],[Total]]</f>
        <v>#N/A</v>
      </c>
      <c r="V6442" s="282" t="e">
        <f>+Tabla4[[#This Row],[Comisión Calculada]]*Tabla4[[#This Row],[Total]]</f>
        <v>#N/A</v>
      </c>
    </row>
    <row r="6443" spans="1:22" hidden="1" x14ac:dyDescent="0.25">
      <c r="A6443" s="100">
        <v>45945</v>
      </c>
      <c r="B6443" t="str">
        <f t="shared" ref="B6443:B6444" si="356">TEXT(A6443, "mmmm")</f>
        <v>October</v>
      </c>
      <c r="C6443" s="46" t="s">
        <v>280</v>
      </c>
      <c r="F6443" s="366" t="s">
        <v>3280</v>
      </c>
      <c r="G6443" s="46" t="s">
        <v>16</v>
      </c>
      <c r="H6443" s="46">
        <v>1</v>
      </c>
      <c r="I6443" s="51">
        <v>4103.8500000000004</v>
      </c>
      <c r="J6443" s="281">
        <f>++Tabla4[[#This Row],[Precio Bruto]]*1.16</f>
        <v>4760.4660000000003</v>
      </c>
      <c r="K6443" s="281">
        <f>+Tabla4[[#This Row],[Precio Unitario Neto]]*Tabla4[[#Headers],[20.85%]]</f>
        <v>992.55716100000006</v>
      </c>
      <c r="L6443" s="282">
        <f>++Tabla4[[#This Row],[Precio Unitario Neto]]-Tabla4[[#This Row],[20.85%]]</f>
        <v>3767.9088390000002</v>
      </c>
      <c r="M6443" s="282" t="e">
        <f>(INDEX(Tabla6[#All],MATCH(Tabla4[[#This Row],[Producto]],Tabla6[[#All],[PRODUCTO]],0),MATCH(Tabla4[[#This Row],[Mes]],Tabla6[#Headers],0)))*(1+Catalogos!$L$2)</f>
        <v>#N/A</v>
      </c>
      <c r="N6443" s="283" t="e">
        <f>+(Tabla4[[#This Row],[Precio Descontado]]-Tabla4[[#This Row],[Precio Base]])*Tabla4[[#This Row],[Cantidad]]</f>
        <v>#N/A</v>
      </c>
      <c r="O6443" s="284" t="e">
        <f>++Tabla4[[#This Row],[Utilidad Total]]/Tabla4[[#This Row],[Total]]</f>
        <v>#N/A</v>
      </c>
      <c r="P6443" s="282">
        <f>++Tabla4[[#This Row],[Precio Descontado]]*Tabla4[[#This Row],[Cantidad]]</f>
        <v>3767.9088390000002</v>
      </c>
      <c r="Q6443" s="282" t="e">
        <f>(INDEX(Tabla6[#All],MATCH(Tabla4[[#This Row],[Producto]],Tabla6[[#All],[PRODUCTO]],0),MATCH(Tabla4[[#This Row],[Mes]],Tabla6[#Headers],0)))</f>
        <v>#N/A</v>
      </c>
      <c r="R6443" s="282" t="e">
        <f>++Tabla4[[#This Row],[Precio Unitario Neto]]-Tabla4[[#This Row],[20.85%]]-Tabla4[[#This Row],[Costo]]</f>
        <v>#N/A</v>
      </c>
      <c r="S6443" s="282" t="e">
        <f>++Tabla4[[#This Row],[U. Bruta Uni]]*Tabla4[[#This Row],[Cantidad]]</f>
        <v>#N/A</v>
      </c>
      <c r="T6443" s="369" t="str">
        <f>VLOOKUP(Tabla4[[#This Row],[Producto]],Tabla6[#All],14,FALSE)</f>
        <v>Termico Solar</v>
      </c>
      <c r="U6443" s="284" t="e">
        <f>(IF(Tabla4[[#This Row],[Familia]]="termico solar",Tabla4[[#This Row],[Utilidad Total]]*6%,Tabla4[[#This Row],[Utilidad Total]]*11.5%))/Tabla4[[#This Row],[Total]]</f>
        <v>#N/A</v>
      </c>
      <c r="V6443" s="282" t="e">
        <f>+Tabla4[[#This Row],[Comisión Calculada]]*Tabla4[[#This Row],[Total]]</f>
        <v>#N/A</v>
      </c>
    </row>
    <row r="6444" spans="1:22" hidden="1" x14ac:dyDescent="0.25">
      <c r="A6444" s="100">
        <v>45945</v>
      </c>
      <c r="B6444" t="str">
        <f t="shared" si="356"/>
        <v>October</v>
      </c>
      <c r="C6444" s="46" t="s">
        <v>280</v>
      </c>
      <c r="F6444" s="366" t="s">
        <v>3280</v>
      </c>
      <c r="G6444" s="46" t="s">
        <v>208</v>
      </c>
      <c r="H6444" s="46">
        <v>1</v>
      </c>
      <c r="I6444" s="51">
        <v>189.75</v>
      </c>
      <c r="J6444" s="281">
        <f>++Tabla4[[#This Row],[Precio Bruto]]*1.16</f>
        <v>220.10999999999999</v>
      </c>
      <c r="K6444" s="281">
        <f>+Tabla4[[#This Row],[Precio Unitario Neto]]*Tabla4[[#Headers],[20.85%]]</f>
        <v>45.892934999999994</v>
      </c>
      <c r="L6444" s="282">
        <f>++Tabla4[[#This Row],[Precio Unitario Neto]]-Tabla4[[#This Row],[20.85%]]</f>
        <v>174.21706499999999</v>
      </c>
      <c r="M6444" s="282" t="e">
        <f>(INDEX(Tabla6[#All],MATCH(Tabla4[[#This Row],[Producto]],Tabla6[[#All],[PRODUCTO]],0),MATCH(Tabla4[[#This Row],[Mes]],Tabla6[#Headers],0)))*(1+Catalogos!$L$2)</f>
        <v>#N/A</v>
      </c>
      <c r="N6444" s="283" t="e">
        <f>+(Tabla4[[#This Row],[Precio Descontado]]-Tabla4[[#This Row],[Precio Base]])*Tabla4[[#This Row],[Cantidad]]</f>
        <v>#N/A</v>
      </c>
      <c r="O6444" s="284" t="e">
        <f>++Tabla4[[#This Row],[Utilidad Total]]/Tabla4[[#This Row],[Total]]</f>
        <v>#N/A</v>
      </c>
      <c r="P6444" s="282">
        <f>++Tabla4[[#This Row],[Precio Descontado]]*Tabla4[[#This Row],[Cantidad]]</f>
        <v>174.21706499999999</v>
      </c>
      <c r="Q6444" s="282" t="e">
        <f>(INDEX(Tabla6[#All],MATCH(Tabla4[[#This Row],[Producto]],Tabla6[[#All],[PRODUCTO]],0),MATCH(Tabla4[[#This Row],[Mes]],Tabla6[#Headers],0)))</f>
        <v>#N/A</v>
      </c>
      <c r="R6444" s="282" t="e">
        <f>++Tabla4[[#This Row],[Precio Unitario Neto]]-Tabla4[[#This Row],[20.85%]]-Tabla4[[#This Row],[Costo]]</f>
        <v>#N/A</v>
      </c>
      <c r="S6444" s="282" t="e">
        <f>++Tabla4[[#This Row],[U. Bruta Uni]]*Tabla4[[#This Row],[Cantidad]]</f>
        <v>#N/A</v>
      </c>
      <c r="T6444" s="369" t="str">
        <f>VLOOKUP(Tabla4[[#This Row],[Producto]],Tabla6[#All],14,FALSE)</f>
        <v>Termico Solar</v>
      </c>
      <c r="U6444" s="284" t="e">
        <f>(IF(Tabla4[[#This Row],[Familia]]="termico solar",Tabla4[[#This Row],[Utilidad Total]]*6%,Tabla4[[#This Row],[Utilidad Total]]*11.5%))/Tabla4[[#This Row],[Total]]</f>
        <v>#N/A</v>
      </c>
      <c r="V6444" s="282" t="e">
        <f>+Tabla4[[#This Row],[Comisión Calculada]]*Tabla4[[#This Row],[Total]]</f>
        <v>#N/A</v>
      </c>
    </row>
    <row r="6445" spans="1:22" hidden="1" x14ac:dyDescent="0.25">
      <c r="A6445" s="100">
        <v>45945</v>
      </c>
      <c r="B6445" t="str">
        <f t="shared" ref="B6445:B6446" si="357">TEXT(A6445, "mmmm")</f>
        <v>October</v>
      </c>
      <c r="C6445" s="46" t="s">
        <v>280</v>
      </c>
      <c r="F6445" s="366" t="s">
        <v>3281</v>
      </c>
      <c r="G6445" s="46" t="s">
        <v>83</v>
      </c>
      <c r="H6445" s="46">
        <v>1</v>
      </c>
      <c r="I6445" s="51">
        <v>8858.76</v>
      </c>
      <c r="J6445" s="281">
        <f>++Tabla4[[#This Row],[Precio Bruto]]*1.16</f>
        <v>10276.161599999999</v>
      </c>
      <c r="K6445" s="281">
        <f>+Tabla4[[#This Row],[Precio Unitario Neto]]*Tabla4[[#Headers],[20.85%]]</f>
        <v>2142.5796935999997</v>
      </c>
      <c r="L6445" s="282">
        <f>++Tabla4[[#This Row],[Precio Unitario Neto]]-Tabla4[[#This Row],[20.85%]]</f>
        <v>8133.5819063999998</v>
      </c>
      <c r="M6445" s="282" t="e">
        <f>(INDEX(Tabla6[#All],MATCH(Tabla4[[#This Row],[Producto]],Tabla6[[#All],[PRODUCTO]],0),MATCH(Tabla4[[#This Row],[Mes]],Tabla6[#Headers],0)))*(1+Catalogos!$L$2)</f>
        <v>#N/A</v>
      </c>
      <c r="N6445" s="283" t="e">
        <f>+(Tabla4[[#This Row],[Precio Descontado]]-Tabla4[[#This Row],[Precio Base]])*Tabla4[[#This Row],[Cantidad]]</f>
        <v>#N/A</v>
      </c>
      <c r="O6445" s="284" t="e">
        <f>++Tabla4[[#This Row],[Utilidad Total]]/Tabla4[[#This Row],[Total]]</f>
        <v>#N/A</v>
      </c>
      <c r="P6445" s="282">
        <f>++Tabla4[[#This Row],[Precio Descontado]]*Tabla4[[#This Row],[Cantidad]]</f>
        <v>8133.5819063999998</v>
      </c>
      <c r="Q6445" s="282" t="e">
        <f>(INDEX(Tabla6[#All],MATCH(Tabla4[[#This Row],[Producto]],Tabla6[[#All],[PRODUCTO]],0),MATCH(Tabla4[[#This Row],[Mes]],Tabla6[#Headers],0)))</f>
        <v>#N/A</v>
      </c>
      <c r="R6445" s="282" t="e">
        <f>++Tabla4[[#This Row],[Precio Unitario Neto]]-Tabla4[[#This Row],[20.85%]]-Tabla4[[#This Row],[Costo]]</f>
        <v>#N/A</v>
      </c>
      <c r="S6445" s="282" t="e">
        <f>++Tabla4[[#This Row],[U. Bruta Uni]]*Tabla4[[#This Row],[Cantidad]]</f>
        <v>#N/A</v>
      </c>
      <c r="T6445" s="369" t="str">
        <f>VLOOKUP(Tabla4[[#This Row],[Producto]],Tabla6[#All],14,FALSE)</f>
        <v>Termico Solar</v>
      </c>
      <c r="U6445" s="284" t="e">
        <f>(IF(Tabla4[[#This Row],[Familia]]="termico solar",Tabla4[[#This Row],[Utilidad Total]]*6%,Tabla4[[#This Row],[Utilidad Total]]*11.5%))/Tabla4[[#This Row],[Total]]</f>
        <v>#N/A</v>
      </c>
      <c r="V6445" s="282" t="e">
        <f>+Tabla4[[#This Row],[Comisión Calculada]]*Tabla4[[#This Row],[Total]]</f>
        <v>#N/A</v>
      </c>
    </row>
    <row r="6446" spans="1:22" hidden="1" x14ac:dyDescent="0.25">
      <c r="A6446" s="100">
        <v>45945</v>
      </c>
      <c r="B6446" t="str">
        <f t="shared" si="357"/>
        <v>October</v>
      </c>
      <c r="C6446" s="46" t="s">
        <v>280</v>
      </c>
      <c r="F6446" s="366" t="s">
        <v>3281</v>
      </c>
      <c r="G6446" s="46" t="s">
        <v>566</v>
      </c>
      <c r="H6446" s="46">
        <v>1</v>
      </c>
      <c r="I6446" s="51">
        <v>2109.4499999999998</v>
      </c>
      <c r="J6446" s="281">
        <f>++Tabla4[[#This Row],[Precio Bruto]]*1.16</f>
        <v>2446.9619999999995</v>
      </c>
      <c r="K6446" s="281">
        <f>+Tabla4[[#This Row],[Precio Unitario Neto]]*Tabla4[[#Headers],[20.85%]]</f>
        <v>510.19157699999988</v>
      </c>
      <c r="L6446" s="282">
        <f>++Tabla4[[#This Row],[Precio Unitario Neto]]-Tabla4[[#This Row],[20.85%]]</f>
        <v>1936.7704229999997</v>
      </c>
      <c r="M6446" s="282" t="e">
        <f>(INDEX(Tabla6[#All],MATCH(Tabla4[[#This Row],[Producto]],Tabla6[[#All],[PRODUCTO]],0),MATCH(Tabla4[[#This Row],[Mes]],Tabla6[#Headers],0)))*(1+Catalogos!$L$2)</f>
        <v>#N/A</v>
      </c>
      <c r="N6446" s="283" t="e">
        <f>+(Tabla4[[#This Row],[Precio Descontado]]-Tabla4[[#This Row],[Precio Base]])*Tabla4[[#This Row],[Cantidad]]</f>
        <v>#N/A</v>
      </c>
      <c r="O6446" s="284" t="e">
        <f>++Tabla4[[#This Row],[Utilidad Total]]/Tabla4[[#This Row],[Total]]</f>
        <v>#N/A</v>
      </c>
      <c r="P6446" s="282">
        <f>++Tabla4[[#This Row],[Precio Descontado]]*Tabla4[[#This Row],[Cantidad]]</f>
        <v>1936.7704229999997</v>
      </c>
      <c r="Q6446" s="282" t="e">
        <f>(INDEX(Tabla6[#All],MATCH(Tabla4[[#This Row],[Producto]],Tabla6[[#All],[PRODUCTO]],0),MATCH(Tabla4[[#This Row],[Mes]],Tabla6[#Headers],0)))</f>
        <v>#N/A</v>
      </c>
      <c r="R6446" s="282" t="e">
        <f>++Tabla4[[#This Row],[Precio Unitario Neto]]-Tabla4[[#This Row],[20.85%]]-Tabla4[[#This Row],[Costo]]</f>
        <v>#N/A</v>
      </c>
      <c r="S6446" s="282" t="e">
        <f>++Tabla4[[#This Row],[U. Bruta Uni]]*Tabla4[[#This Row],[Cantidad]]</f>
        <v>#N/A</v>
      </c>
      <c r="T6446" s="369" t="str">
        <f>VLOOKUP(Tabla4[[#This Row],[Producto]],Tabla6[#All],14,FALSE)</f>
        <v>Termico Solar</v>
      </c>
      <c r="U6446" s="284" t="e">
        <f>(IF(Tabla4[[#This Row],[Familia]]="termico solar",Tabla4[[#This Row],[Utilidad Total]]*6%,Tabla4[[#This Row],[Utilidad Total]]*11.5%))/Tabla4[[#This Row],[Total]]</f>
        <v>#N/A</v>
      </c>
      <c r="V6446" s="282" t="e">
        <f>+Tabla4[[#This Row],[Comisión Calculada]]*Tabla4[[#This Row],[Total]]</f>
        <v>#N/A</v>
      </c>
    </row>
    <row r="6447" spans="1:22" hidden="1" x14ac:dyDescent="0.25">
      <c r="A6447" s="100">
        <v>45945</v>
      </c>
      <c r="B6447" t="str">
        <f t="shared" ref="B6447:B6449" si="358">TEXT(A6447, "mmmm")</f>
        <v>October</v>
      </c>
      <c r="C6447" s="46" t="s">
        <v>280</v>
      </c>
      <c r="F6447" s="366" t="s">
        <v>3282</v>
      </c>
      <c r="G6447" s="46" t="s">
        <v>17</v>
      </c>
      <c r="H6447" s="46">
        <v>3</v>
      </c>
      <c r="I6447" s="51">
        <v>4622.28</v>
      </c>
      <c r="J6447" s="281">
        <f>++Tabla4[[#This Row],[Precio Bruto]]*1.16</f>
        <v>5361.8447999999989</v>
      </c>
      <c r="K6447" s="281">
        <f>+Tabla4[[#This Row],[Precio Unitario Neto]]*Tabla4[[#Headers],[20.85%]]</f>
        <v>1117.9446407999997</v>
      </c>
      <c r="L6447" s="282">
        <f>++Tabla4[[#This Row],[Precio Unitario Neto]]-Tabla4[[#This Row],[20.85%]]</f>
        <v>4243.9001591999995</v>
      </c>
      <c r="M6447" s="282" t="e">
        <f>(INDEX(Tabla6[#All],MATCH(Tabla4[[#This Row],[Producto]],Tabla6[[#All],[PRODUCTO]],0),MATCH(Tabla4[[#This Row],[Mes]],Tabla6[#Headers],0)))*(1+Catalogos!$L$2)</f>
        <v>#N/A</v>
      </c>
      <c r="N6447" s="283" t="e">
        <f>+(Tabla4[[#This Row],[Precio Descontado]]-Tabla4[[#This Row],[Precio Base]])*Tabla4[[#This Row],[Cantidad]]</f>
        <v>#N/A</v>
      </c>
      <c r="O6447" s="284" t="e">
        <f>++Tabla4[[#This Row],[Utilidad Total]]/Tabla4[[#This Row],[Total]]</f>
        <v>#N/A</v>
      </c>
      <c r="P6447" s="282">
        <f>++Tabla4[[#This Row],[Precio Descontado]]*Tabla4[[#This Row],[Cantidad]]</f>
        <v>12731.700477599999</v>
      </c>
      <c r="Q6447" s="282" t="e">
        <f>(INDEX(Tabla6[#All],MATCH(Tabla4[[#This Row],[Producto]],Tabla6[[#All],[PRODUCTO]],0),MATCH(Tabla4[[#This Row],[Mes]],Tabla6[#Headers],0)))</f>
        <v>#N/A</v>
      </c>
      <c r="R6447" s="282" t="e">
        <f>++Tabla4[[#This Row],[Precio Unitario Neto]]-Tabla4[[#This Row],[20.85%]]-Tabla4[[#This Row],[Costo]]</f>
        <v>#N/A</v>
      </c>
      <c r="S6447" s="282" t="e">
        <f>++Tabla4[[#This Row],[U. Bruta Uni]]*Tabla4[[#This Row],[Cantidad]]</f>
        <v>#N/A</v>
      </c>
      <c r="T6447" s="369" t="str">
        <f>VLOOKUP(Tabla4[[#This Row],[Producto]],Tabla6[#All],14,FALSE)</f>
        <v>Termico Solar</v>
      </c>
      <c r="U6447" s="284" t="e">
        <f>(IF(Tabla4[[#This Row],[Familia]]="termico solar",Tabla4[[#This Row],[Utilidad Total]]*6%,Tabla4[[#This Row],[Utilidad Total]]*11.5%))/Tabla4[[#This Row],[Total]]</f>
        <v>#N/A</v>
      </c>
      <c r="V6447" s="282" t="e">
        <f>+Tabla4[[#This Row],[Comisión Calculada]]*Tabla4[[#This Row],[Total]]</f>
        <v>#N/A</v>
      </c>
    </row>
    <row r="6448" spans="1:22" hidden="1" x14ac:dyDescent="0.25">
      <c r="A6448" s="100">
        <v>45945</v>
      </c>
      <c r="B6448" t="str">
        <f t="shared" si="358"/>
        <v>October</v>
      </c>
      <c r="C6448" s="46" t="s">
        <v>280</v>
      </c>
      <c r="F6448" s="366" t="s">
        <v>3282</v>
      </c>
      <c r="G6448" s="46" t="s">
        <v>16</v>
      </c>
      <c r="H6448" s="46">
        <v>1</v>
      </c>
      <c r="I6448" s="51">
        <v>4103.8500000000004</v>
      </c>
      <c r="J6448" s="281">
        <f>++Tabla4[[#This Row],[Precio Bruto]]*1.16</f>
        <v>4760.4660000000003</v>
      </c>
      <c r="K6448" s="281">
        <f>+Tabla4[[#This Row],[Precio Unitario Neto]]*Tabla4[[#Headers],[20.85%]]</f>
        <v>992.55716100000006</v>
      </c>
      <c r="L6448" s="282">
        <f>++Tabla4[[#This Row],[Precio Unitario Neto]]-Tabla4[[#This Row],[20.85%]]</f>
        <v>3767.9088390000002</v>
      </c>
      <c r="M6448" s="282" t="e">
        <f>(INDEX(Tabla6[#All],MATCH(Tabla4[[#This Row],[Producto]],Tabla6[[#All],[PRODUCTO]],0),MATCH(Tabla4[[#This Row],[Mes]],Tabla6[#Headers],0)))*(1+Catalogos!$L$2)</f>
        <v>#N/A</v>
      </c>
      <c r="N6448" s="283" t="e">
        <f>+(Tabla4[[#This Row],[Precio Descontado]]-Tabla4[[#This Row],[Precio Base]])*Tabla4[[#This Row],[Cantidad]]</f>
        <v>#N/A</v>
      </c>
      <c r="O6448" s="284" t="e">
        <f>++Tabla4[[#This Row],[Utilidad Total]]/Tabla4[[#This Row],[Total]]</f>
        <v>#N/A</v>
      </c>
      <c r="P6448" s="282">
        <f>++Tabla4[[#This Row],[Precio Descontado]]*Tabla4[[#This Row],[Cantidad]]</f>
        <v>3767.9088390000002</v>
      </c>
      <c r="Q6448" s="282" t="e">
        <f>(INDEX(Tabla6[#All],MATCH(Tabla4[[#This Row],[Producto]],Tabla6[[#All],[PRODUCTO]],0),MATCH(Tabla4[[#This Row],[Mes]],Tabla6[#Headers],0)))</f>
        <v>#N/A</v>
      </c>
      <c r="R6448" s="282" t="e">
        <f>++Tabla4[[#This Row],[Precio Unitario Neto]]-Tabla4[[#This Row],[20.85%]]-Tabla4[[#This Row],[Costo]]</f>
        <v>#N/A</v>
      </c>
      <c r="S6448" s="282" t="e">
        <f>++Tabla4[[#This Row],[U. Bruta Uni]]*Tabla4[[#This Row],[Cantidad]]</f>
        <v>#N/A</v>
      </c>
      <c r="T6448" s="369" t="str">
        <f>VLOOKUP(Tabla4[[#This Row],[Producto]],Tabla6[#All],14,FALSE)</f>
        <v>Termico Solar</v>
      </c>
      <c r="U6448" s="284" t="e">
        <f>(IF(Tabla4[[#This Row],[Familia]]="termico solar",Tabla4[[#This Row],[Utilidad Total]]*6%,Tabla4[[#This Row],[Utilidad Total]]*11.5%))/Tabla4[[#This Row],[Total]]</f>
        <v>#N/A</v>
      </c>
      <c r="V6448" s="282" t="e">
        <f>+Tabla4[[#This Row],[Comisión Calculada]]*Tabla4[[#This Row],[Total]]</f>
        <v>#N/A</v>
      </c>
    </row>
    <row r="6449" spans="1:22" hidden="1" x14ac:dyDescent="0.25">
      <c r="A6449" s="100">
        <v>45945</v>
      </c>
      <c r="B6449" t="str">
        <f t="shared" si="358"/>
        <v>October</v>
      </c>
      <c r="C6449" s="46" t="s">
        <v>280</v>
      </c>
      <c r="F6449" s="366" t="s">
        <v>3282</v>
      </c>
      <c r="G6449" s="46" t="s">
        <v>208</v>
      </c>
      <c r="H6449" s="46">
        <v>6</v>
      </c>
      <c r="I6449" s="51">
        <v>189.75</v>
      </c>
      <c r="J6449" s="281">
        <f>++Tabla4[[#This Row],[Precio Bruto]]*1.16</f>
        <v>220.10999999999999</v>
      </c>
      <c r="K6449" s="281">
        <f>+Tabla4[[#This Row],[Precio Unitario Neto]]*Tabla4[[#Headers],[20.85%]]</f>
        <v>45.892934999999994</v>
      </c>
      <c r="L6449" s="282">
        <f>++Tabla4[[#This Row],[Precio Unitario Neto]]-Tabla4[[#This Row],[20.85%]]</f>
        <v>174.21706499999999</v>
      </c>
      <c r="M6449" s="282" t="e">
        <f>(INDEX(Tabla6[#All],MATCH(Tabla4[[#This Row],[Producto]],Tabla6[[#All],[PRODUCTO]],0),MATCH(Tabla4[[#This Row],[Mes]],Tabla6[#Headers],0)))*(1+Catalogos!$L$2)</f>
        <v>#N/A</v>
      </c>
      <c r="N6449" s="283" t="e">
        <f>+(Tabla4[[#This Row],[Precio Descontado]]-Tabla4[[#This Row],[Precio Base]])*Tabla4[[#This Row],[Cantidad]]</f>
        <v>#N/A</v>
      </c>
      <c r="O6449" s="284" t="e">
        <f>++Tabla4[[#This Row],[Utilidad Total]]/Tabla4[[#This Row],[Total]]</f>
        <v>#N/A</v>
      </c>
      <c r="P6449" s="282">
        <f>++Tabla4[[#This Row],[Precio Descontado]]*Tabla4[[#This Row],[Cantidad]]</f>
        <v>1045.3023899999998</v>
      </c>
      <c r="Q6449" s="282" t="e">
        <f>(INDEX(Tabla6[#All],MATCH(Tabla4[[#This Row],[Producto]],Tabla6[[#All],[PRODUCTO]],0),MATCH(Tabla4[[#This Row],[Mes]],Tabla6[#Headers],0)))</f>
        <v>#N/A</v>
      </c>
      <c r="R6449" s="282" t="e">
        <f>++Tabla4[[#This Row],[Precio Unitario Neto]]-Tabla4[[#This Row],[20.85%]]-Tabla4[[#This Row],[Costo]]</f>
        <v>#N/A</v>
      </c>
      <c r="S6449" s="282" t="e">
        <f>++Tabla4[[#This Row],[U. Bruta Uni]]*Tabla4[[#This Row],[Cantidad]]</f>
        <v>#N/A</v>
      </c>
      <c r="T6449" s="369" t="str">
        <f>VLOOKUP(Tabla4[[#This Row],[Producto]],Tabla6[#All],14,FALSE)</f>
        <v>Termico Solar</v>
      </c>
      <c r="U6449" s="284" t="e">
        <f>(IF(Tabla4[[#This Row],[Familia]]="termico solar",Tabla4[[#This Row],[Utilidad Total]]*6%,Tabla4[[#This Row],[Utilidad Total]]*11.5%))/Tabla4[[#This Row],[Total]]</f>
        <v>#N/A</v>
      </c>
      <c r="V6449" s="282" t="e">
        <f>+Tabla4[[#This Row],[Comisión Calculada]]*Tabla4[[#This Row],[Total]]</f>
        <v>#N/A</v>
      </c>
    </row>
    <row r="6450" spans="1:22" hidden="1" x14ac:dyDescent="0.25">
      <c r="A6450" s="100">
        <v>45945</v>
      </c>
      <c r="B6450" t="str">
        <f t="shared" ref="B6450:B6451" si="359">TEXT(A6450, "mmmm")</f>
        <v>October</v>
      </c>
      <c r="C6450" s="46" t="s">
        <v>280</v>
      </c>
      <c r="F6450" s="366" t="s">
        <v>3283</v>
      </c>
      <c r="G6450" s="46" t="s">
        <v>17</v>
      </c>
      <c r="H6450" s="46">
        <v>1</v>
      </c>
      <c r="I6450" s="51">
        <v>4622.28</v>
      </c>
      <c r="J6450" s="281">
        <f>++Tabla4[[#This Row],[Precio Bruto]]*1.16</f>
        <v>5361.8447999999989</v>
      </c>
      <c r="K6450" s="281">
        <f>+Tabla4[[#This Row],[Precio Unitario Neto]]*Tabla4[[#Headers],[20.85%]]</f>
        <v>1117.9446407999997</v>
      </c>
      <c r="L6450" s="282">
        <f>++Tabla4[[#This Row],[Precio Unitario Neto]]-Tabla4[[#This Row],[20.85%]]</f>
        <v>4243.9001591999995</v>
      </c>
      <c r="M6450" s="282" t="e">
        <f>(INDEX(Tabla6[#All],MATCH(Tabla4[[#This Row],[Producto]],Tabla6[[#All],[PRODUCTO]],0),MATCH(Tabla4[[#This Row],[Mes]],Tabla6[#Headers],0)))*(1+Catalogos!$L$2)</f>
        <v>#N/A</v>
      </c>
      <c r="N6450" s="283" t="e">
        <f>+(Tabla4[[#This Row],[Precio Descontado]]-Tabla4[[#This Row],[Precio Base]])*Tabla4[[#This Row],[Cantidad]]</f>
        <v>#N/A</v>
      </c>
      <c r="O6450" s="284" t="e">
        <f>++Tabla4[[#This Row],[Utilidad Total]]/Tabla4[[#This Row],[Total]]</f>
        <v>#N/A</v>
      </c>
      <c r="P6450" s="282">
        <f>++Tabla4[[#This Row],[Precio Descontado]]*Tabla4[[#This Row],[Cantidad]]</f>
        <v>4243.9001591999995</v>
      </c>
      <c r="Q6450" s="282" t="e">
        <f>(INDEX(Tabla6[#All],MATCH(Tabla4[[#This Row],[Producto]],Tabla6[[#All],[PRODUCTO]],0),MATCH(Tabla4[[#This Row],[Mes]],Tabla6[#Headers],0)))</f>
        <v>#N/A</v>
      </c>
      <c r="R6450" s="282" t="e">
        <f>++Tabla4[[#This Row],[Precio Unitario Neto]]-Tabla4[[#This Row],[20.85%]]-Tabla4[[#This Row],[Costo]]</f>
        <v>#N/A</v>
      </c>
      <c r="S6450" s="282" t="e">
        <f>++Tabla4[[#This Row],[U. Bruta Uni]]*Tabla4[[#This Row],[Cantidad]]</f>
        <v>#N/A</v>
      </c>
      <c r="T6450" s="369" t="str">
        <f>VLOOKUP(Tabla4[[#This Row],[Producto]],Tabla6[#All],14,FALSE)</f>
        <v>Termico Solar</v>
      </c>
      <c r="U6450" s="284" t="e">
        <f>(IF(Tabla4[[#This Row],[Familia]]="termico solar",Tabla4[[#This Row],[Utilidad Total]]*6%,Tabla4[[#This Row],[Utilidad Total]]*11.5%))/Tabla4[[#This Row],[Total]]</f>
        <v>#N/A</v>
      </c>
      <c r="V6450" s="282" t="e">
        <f>+Tabla4[[#This Row],[Comisión Calculada]]*Tabla4[[#This Row],[Total]]</f>
        <v>#N/A</v>
      </c>
    </row>
    <row r="6451" spans="1:22" hidden="1" x14ac:dyDescent="0.25">
      <c r="A6451" s="100">
        <v>45945</v>
      </c>
      <c r="B6451" t="str">
        <f t="shared" si="359"/>
        <v>October</v>
      </c>
      <c r="C6451" s="46" t="s">
        <v>280</v>
      </c>
      <c r="F6451" s="366" t="s">
        <v>3283</v>
      </c>
      <c r="G6451" s="46" t="s">
        <v>208</v>
      </c>
      <c r="H6451" s="46">
        <v>2</v>
      </c>
      <c r="I6451" s="51">
        <v>189.75</v>
      </c>
      <c r="J6451" s="281">
        <f>++Tabla4[[#This Row],[Precio Bruto]]*1.16</f>
        <v>220.10999999999999</v>
      </c>
      <c r="K6451" s="281">
        <f>+Tabla4[[#This Row],[Precio Unitario Neto]]*Tabla4[[#Headers],[20.85%]]</f>
        <v>45.892934999999994</v>
      </c>
      <c r="L6451" s="282">
        <f>++Tabla4[[#This Row],[Precio Unitario Neto]]-Tabla4[[#This Row],[20.85%]]</f>
        <v>174.21706499999999</v>
      </c>
      <c r="M6451" s="282" t="e">
        <f>(INDEX(Tabla6[#All],MATCH(Tabla4[[#This Row],[Producto]],Tabla6[[#All],[PRODUCTO]],0),MATCH(Tabla4[[#This Row],[Mes]],Tabla6[#Headers],0)))*(1+Catalogos!$L$2)</f>
        <v>#N/A</v>
      </c>
      <c r="N6451" s="283" t="e">
        <f>+(Tabla4[[#This Row],[Precio Descontado]]-Tabla4[[#This Row],[Precio Base]])*Tabla4[[#This Row],[Cantidad]]</f>
        <v>#N/A</v>
      </c>
      <c r="O6451" s="284" t="e">
        <f>++Tabla4[[#This Row],[Utilidad Total]]/Tabla4[[#This Row],[Total]]</f>
        <v>#N/A</v>
      </c>
      <c r="P6451" s="282">
        <f>++Tabla4[[#This Row],[Precio Descontado]]*Tabla4[[#This Row],[Cantidad]]</f>
        <v>348.43412999999998</v>
      </c>
      <c r="Q6451" s="282" t="e">
        <f>(INDEX(Tabla6[#All],MATCH(Tabla4[[#This Row],[Producto]],Tabla6[[#All],[PRODUCTO]],0),MATCH(Tabla4[[#This Row],[Mes]],Tabla6[#Headers],0)))</f>
        <v>#N/A</v>
      </c>
      <c r="R6451" s="282" t="e">
        <f>++Tabla4[[#This Row],[Precio Unitario Neto]]-Tabla4[[#This Row],[20.85%]]-Tabla4[[#This Row],[Costo]]</f>
        <v>#N/A</v>
      </c>
      <c r="S6451" s="282" t="e">
        <f>++Tabla4[[#This Row],[U. Bruta Uni]]*Tabla4[[#This Row],[Cantidad]]</f>
        <v>#N/A</v>
      </c>
      <c r="T6451" s="369" t="str">
        <f>VLOOKUP(Tabla4[[#This Row],[Producto]],Tabla6[#All],14,FALSE)</f>
        <v>Termico Solar</v>
      </c>
      <c r="U6451" s="284" t="e">
        <f>(IF(Tabla4[[#This Row],[Familia]]="termico solar",Tabla4[[#This Row],[Utilidad Total]]*6%,Tabla4[[#This Row],[Utilidad Total]]*11.5%))/Tabla4[[#This Row],[Total]]</f>
        <v>#N/A</v>
      </c>
      <c r="V6451" s="282" t="e">
        <f>+Tabla4[[#This Row],[Comisión Calculada]]*Tabla4[[#This Row],[Total]]</f>
        <v>#N/A</v>
      </c>
    </row>
    <row r="6452" spans="1:22" hidden="1" x14ac:dyDescent="0.25">
      <c r="A6452" s="100">
        <v>45945</v>
      </c>
      <c r="B6452" t="str">
        <f t="shared" ref="B6452:B6453" si="360">TEXT(A6452, "mmmm")</f>
        <v>October</v>
      </c>
      <c r="C6452" s="46" t="s">
        <v>280</v>
      </c>
      <c r="F6452" s="366" t="s">
        <v>3284</v>
      </c>
      <c r="G6452" s="46" t="s">
        <v>83</v>
      </c>
      <c r="H6452" s="46">
        <v>1</v>
      </c>
      <c r="I6452" s="51">
        <v>8858.76</v>
      </c>
      <c r="J6452" s="281">
        <f>++Tabla4[[#This Row],[Precio Bruto]]*1.16</f>
        <v>10276.161599999999</v>
      </c>
      <c r="K6452" s="281">
        <f>+Tabla4[[#This Row],[Precio Unitario Neto]]*Tabla4[[#Headers],[20.85%]]</f>
        <v>2142.5796935999997</v>
      </c>
      <c r="L6452" s="282">
        <f>++Tabla4[[#This Row],[Precio Unitario Neto]]-Tabla4[[#This Row],[20.85%]]</f>
        <v>8133.5819063999998</v>
      </c>
      <c r="M6452" s="282" t="e">
        <f>(INDEX(Tabla6[#All],MATCH(Tabla4[[#This Row],[Producto]],Tabla6[[#All],[PRODUCTO]],0),MATCH(Tabla4[[#This Row],[Mes]],Tabla6[#Headers],0)))*(1+Catalogos!$L$2)</f>
        <v>#N/A</v>
      </c>
      <c r="N6452" s="283" t="e">
        <f>+(Tabla4[[#This Row],[Precio Descontado]]-Tabla4[[#This Row],[Precio Base]])*Tabla4[[#This Row],[Cantidad]]</f>
        <v>#N/A</v>
      </c>
      <c r="O6452" s="284" t="e">
        <f>++Tabla4[[#This Row],[Utilidad Total]]/Tabla4[[#This Row],[Total]]</f>
        <v>#N/A</v>
      </c>
      <c r="P6452" s="282">
        <f>++Tabla4[[#This Row],[Precio Descontado]]*Tabla4[[#This Row],[Cantidad]]</f>
        <v>8133.5819063999998</v>
      </c>
      <c r="Q6452" s="282" t="e">
        <f>(INDEX(Tabla6[#All],MATCH(Tabla4[[#This Row],[Producto]],Tabla6[[#All],[PRODUCTO]],0),MATCH(Tabla4[[#This Row],[Mes]],Tabla6[#Headers],0)))</f>
        <v>#N/A</v>
      </c>
      <c r="R6452" s="282" t="e">
        <f>++Tabla4[[#This Row],[Precio Unitario Neto]]-Tabla4[[#This Row],[20.85%]]-Tabla4[[#This Row],[Costo]]</f>
        <v>#N/A</v>
      </c>
      <c r="S6452" s="282" t="e">
        <f>++Tabla4[[#This Row],[U. Bruta Uni]]*Tabla4[[#This Row],[Cantidad]]</f>
        <v>#N/A</v>
      </c>
      <c r="T6452" s="369" t="str">
        <f>VLOOKUP(Tabla4[[#This Row],[Producto]],Tabla6[#All],14,FALSE)</f>
        <v>Termico Solar</v>
      </c>
      <c r="U6452" s="284" t="e">
        <f>(IF(Tabla4[[#This Row],[Familia]]="termico solar",Tabla4[[#This Row],[Utilidad Total]]*6%,Tabla4[[#This Row],[Utilidad Total]]*11.5%))/Tabla4[[#This Row],[Total]]</f>
        <v>#N/A</v>
      </c>
      <c r="V6452" s="282" t="e">
        <f>+Tabla4[[#This Row],[Comisión Calculada]]*Tabla4[[#This Row],[Total]]</f>
        <v>#N/A</v>
      </c>
    </row>
    <row r="6453" spans="1:22" hidden="1" x14ac:dyDescent="0.25">
      <c r="A6453" s="100">
        <v>45945</v>
      </c>
      <c r="B6453" t="str">
        <f t="shared" si="360"/>
        <v>October</v>
      </c>
      <c r="C6453" s="46" t="s">
        <v>280</v>
      </c>
      <c r="F6453" s="366" t="s">
        <v>3284</v>
      </c>
      <c r="G6453" s="46" t="s">
        <v>566</v>
      </c>
      <c r="H6453" s="46">
        <v>1</v>
      </c>
      <c r="I6453" s="51">
        <v>2109.4499999999998</v>
      </c>
      <c r="J6453" s="281">
        <f>++Tabla4[[#This Row],[Precio Bruto]]*1.16</f>
        <v>2446.9619999999995</v>
      </c>
      <c r="K6453" s="281">
        <f>+Tabla4[[#This Row],[Precio Unitario Neto]]*Tabla4[[#Headers],[20.85%]]</f>
        <v>510.19157699999988</v>
      </c>
      <c r="L6453" s="282">
        <f>++Tabla4[[#This Row],[Precio Unitario Neto]]-Tabla4[[#This Row],[20.85%]]</f>
        <v>1936.7704229999997</v>
      </c>
      <c r="M6453" s="282" t="e">
        <f>(INDEX(Tabla6[#All],MATCH(Tabla4[[#This Row],[Producto]],Tabla6[[#All],[PRODUCTO]],0),MATCH(Tabla4[[#This Row],[Mes]],Tabla6[#Headers],0)))*(1+Catalogos!$L$2)</f>
        <v>#N/A</v>
      </c>
      <c r="N6453" s="283" t="e">
        <f>+(Tabla4[[#This Row],[Precio Descontado]]-Tabla4[[#This Row],[Precio Base]])*Tabla4[[#This Row],[Cantidad]]</f>
        <v>#N/A</v>
      </c>
      <c r="O6453" s="284" t="e">
        <f>++Tabla4[[#This Row],[Utilidad Total]]/Tabla4[[#This Row],[Total]]</f>
        <v>#N/A</v>
      </c>
      <c r="P6453" s="282">
        <f>++Tabla4[[#This Row],[Precio Descontado]]*Tabla4[[#This Row],[Cantidad]]</f>
        <v>1936.7704229999997</v>
      </c>
      <c r="Q6453" s="282" t="e">
        <f>(INDEX(Tabla6[#All],MATCH(Tabla4[[#This Row],[Producto]],Tabla6[[#All],[PRODUCTO]],0),MATCH(Tabla4[[#This Row],[Mes]],Tabla6[#Headers],0)))</f>
        <v>#N/A</v>
      </c>
      <c r="R6453" s="282" t="e">
        <f>++Tabla4[[#This Row],[Precio Unitario Neto]]-Tabla4[[#This Row],[20.85%]]-Tabla4[[#This Row],[Costo]]</f>
        <v>#N/A</v>
      </c>
      <c r="S6453" s="282" t="e">
        <f>++Tabla4[[#This Row],[U. Bruta Uni]]*Tabla4[[#This Row],[Cantidad]]</f>
        <v>#N/A</v>
      </c>
      <c r="T6453" s="369" t="str">
        <f>VLOOKUP(Tabla4[[#This Row],[Producto]],Tabla6[#All],14,FALSE)</f>
        <v>Termico Solar</v>
      </c>
      <c r="U6453" s="284" t="e">
        <f>(IF(Tabla4[[#This Row],[Familia]]="termico solar",Tabla4[[#This Row],[Utilidad Total]]*6%,Tabla4[[#This Row],[Utilidad Total]]*11.5%))/Tabla4[[#This Row],[Total]]</f>
        <v>#N/A</v>
      </c>
      <c r="V6453" s="282" t="e">
        <f>+Tabla4[[#This Row],[Comisión Calculada]]*Tabla4[[#This Row],[Total]]</f>
        <v>#N/A</v>
      </c>
    </row>
    <row r="6454" spans="1:22" hidden="1" x14ac:dyDescent="0.25">
      <c r="A6454" s="100">
        <v>45945</v>
      </c>
      <c r="B6454" t="str">
        <f t="shared" ref="B6454:B6456" si="361">TEXT(A6454, "mmmm")</f>
        <v>October</v>
      </c>
      <c r="C6454" s="46" t="s">
        <v>280</v>
      </c>
      <c r="F6454" s="366" t="s">
        <v>3285</v>
      </c>
      <c r="G6454" s="46" t="s">
        <v>83</v>
      </c>
      <c r="H6454" s="46">
        <v>3</v>
      </c>
      <c r="I6454" s="51">
        <v>8858.76</v>
      </c>
      <c r="J6454" s="281">
        <f>++Tabla4[[#This Row],[Precio Bruto]]*1.16</f>
        <v>10276.161599999999</v>
      </c>
      <c r="K6454" s="281">
        <f>+Tabla4[[#This Row],[Precio Unitario Neto]]*Tabla4[[#Headers],[20.85%]]</f>
        <v>2142.5796935999997</v>
      </c>
      <c r="L6454" s="282">
        <f>++Tabla4[[#This Row],[Precio Unitario Neto]]-Tabla4[[#This Row],[20.85%]]</f>
        <v>8133.5819063999998</v>
      </c>
      <c r="M6454" s="282" t="e">
        <f>(INDEX(Tabla6[#All],MATCH(Tabla4[[#This Row],[Producto]],Tabla6[[#All],[PRODUCTO]],0),MATCH(Tabla4[[#This Row],[Mes]],Tabla6[#Headers],0)))*(1+Catalogos!$L$2)</f>
        <v>#N/A</v>
      </c>
      <c r="N6454" s="283" t="e">
        <f>+(Tabla4[[#This Row],[Precio Descontado]]-Tabla4[[#This Row],[Precio Base]])*Tabla4[[#This Row],[Cantidad]]</f>
        <v>#N/A</v>
      </c>
      <c r="O6454" s="284" t="e">
        <f>++Tabla4[[#This Row],[Utilidad Total]]/Tabla4[[#This Row],[Total]]</f>
        <v>#N/A</v>
      </c>
      <c r="P6454" s="282">
        <f>++Tabla4[[#This Row],[Precio Descontado]]*Tabla4[[#This Row],[Cantidad]]</f>
        <v>24400.7457192</v>
      </c>
      <c r="Q6454" s="282" t="e">
        <f>(INDEX(Tabla6[#All],MATCH(Tabla4[[#This Row],[Producto]],Tabla6[[#All],[PRODUCTO]],0),MATCH(Tabla4[[#This Row],[Mes]],Tabla6[#Headers],0)))</f>
        <v>#N/A</v>
      </c>
      <c r="R6454" s="282" t="e">
        <f>++Tabla4[[#This Row],[Precio Unitario Neto]]-Tabla4[[#This Row],[20.85%]]-Tabla4[[#This Row],[Costo]]</f>
        <v>#N/A</v>
      </c>
      <c r="S6454" s="282" t="e">
        <f>++Tabla4[[#This Row],[U. Bruta Uni]]*Tabla4[[#This Row],[Cantidad]]</f>
        <v>#N/A</v>
      </c>
      <c r="T6454" s="369" t="str">
        <f>VLOOKUP(Tabla4[[#This Row],[Producto]],Tabla6[#All],14,FALSE)</f>
        <v>Termico Solar</v>
      </c>
      <c r="U6454" s="284" t="e">
        <f>(IF(Tabla4[[#This Row],[Familia]]="termico solar",Tabla4[[#This Row],[Utilidad Total]]*6%,Tabla4[[#This Row],[Utilidad Total]]*11.5%))/Tabla4[[#This Row],[Total]]</f>
        <v>#N/A</v>
      </c>
      <c r="V6454" s="282" t="e">
        <f>+Tabla4[[#This Row],[Comisión Calculada]]*Tabla4[[#This Row],[Total]]</f>
        <v>#N/A</v>
      </c>
    </row>
    <row r="6455" spans="1:22" hidden="1" x14ac:dyDescent="0.25">
      <c r="A6455" s="100">
        <v>45945</v>
      </c>
      <c r="B6455" t="str">
        <f t="shared" si="361"/>
        <v>October</v>
      </c>
      <c r="C6455" s="46" t="s">
        <v>280</v>
      </c>
      <c r="F6455" s="366" t="s">
        <v>3285</v>
      </c>
      <c r="G6455" s="46" t="s">
        <v>18</v>
      </c>
      <c r="H6455" s="46">
        <v>1</v>
      </c>
      <c r="I6455" s="51">
        <v>5367.65</v>
      </c>
      <c r="J6455" s="281">
        <f>++Tabla4[[#This Row],[Precio Bruto]]*1.16</f>
        <v>6226.4739999999993</v>
      </c>
      <c r="K6455" s="281">
        <f>+Tabla4[[#This Row],[Precio Unitario Neto]]*Tabla4[[#Headers],[20.85%]]</f>
        <v>1298.2198289999999</v>
      </c>
      <c r="L6455" s="282">
        <f>++Tabla4[[#This Row],[Precio Unitario Neto]]-Tabla4[[#This Row],[20.85%]]</f>
        <v>4928.2541709999996</v>
      </c>
      <c r="M6455" s="282" t="e">
        <f>(INDEX(Tabla6[#All],MATCH(Tabla4[[#This Row],[Producto]],Tabla6[[#All],[PRODUCTO]],0),MATCH(Tabla4[[#This Row],[Mes]],Tabla6[#Headers],0)))*(1+Catalogos!$L$2)</f>
        <v>#N/A</v>
      </c>
      <c r="N6455" s="283" t="e">
        <f>+(Tabla4[[#This Row],[Precio Descontado]]-Tabla4[[#This Row],[Precio Base]])*Tabla4[[#This Row],[Cantidad]]</f>
        <v>#N/A</v>
      </c>
      <c r="O6455" s="284" t="e">
        <f>++Tabla4[[#This Row],[Utilidad Total]]/Tabla4[[#This Row],[Total]]</f>
        <v>#N/A</v>
      </c>
      <c r="P6455" s="282">
        <f>++Tabla4[[#This Row],[Precio Descontado]]*Tabla4[[#This Row],[Cantidad]]</f>
        <v>4928.2541709999996</v>
      </c>
      <c r="Q6455" s="282" t="e">
        <f>(INDEX(Tabla6[#All],MATCH(Tabla4[[#This Row],[Producto]],Tabla6[[#All],[PRODUCTO]],0),MATCH(Tabla4[[#This Row],[Mes]],Tabla6[#Headers],0)))</f>
        <v>#N/A</v>
      </c>
      <c r="R6455" s="282" t="e">
        <f>++Tabla4[[#This Row],[Precio Unitario Neto]]-Tabla4[[#This Row],[20.85%]]-Tabla4[[#This Row],[Costo]]</f>
        <v>#N/A</v>
      </c>
      <c r="S6455" s="282" t="e">
        <f>++Tabla4[[#This Row],[U. Bruta Uni]]*Tabla4[[#This Row],[Cantidad]]</f>
        <v>#N/A</v>
      </c>
      <c r="T6455" s="369" t="str">
        <f>VLOOKUP(Tabla4[[#This Row],[Producto]],Tabla6[#All],14,FALSE)</f>
        <v>Termico Solar</v>
      </c>
      <c r="U6455" s="284" t="e">
        <f>(IF(Tabla4[[#This Row],[Familia]]="termico solar",Tabla4[[#This Row],[Utilidad Total]]*6%,Tabla4[[#This Row],[Utilidad Total]]*11.5%))/Tabla4[[#This Row],[Total]]</f>
        <v>#N/A</v>
      </c>
      <c r="V6455" s="282" t="e">
        <f>+Tabla4[[#This Row],[Comisión Calculada]]*Tabla4[[#This Row],[Total]]</f>
        <v>#N/A</v>
      </c>
    </row>
    <row r="6456" spans="1:22" hidden="1" x14ac:dyDescent="0.25">
      <c r="A6456" s="100">
        <v>45945</v>
      </c>
      <c r="B6456" t="str">
        <f t="shared" si="361"/>
        <v>October</v>
      </c>
      <c r="C6456" s="46" t="s">
        <v>280</v>
      </c>
      <c r="F6456" s="366" t="s">
        <v>3285</v>
      </c>
      <c r="G6456" s="46" t="s">
        <v>566</v>
      </c>
      <c r="H6456" s="46">
        <v>3</v>
      </c>
      <c r="I6456" s="51">
        <v>2109.4500000000003</v>
      </c>
      <c r="J6456" s="281">
        <f>++Tabla4[[#This Row],[Precio Bruto]]*1.16</f>
        <v>2446.962</v>
      </c>
      <c r="K6456" s="281">
        <f>+Tabla4[[#This Row],[Precio Unitario Neto]]*Tabla4[[#Headers],[20.85%]]</f>
        <v>510.191577</v>
      </c>
      <c r="L6456" s="282">
        <f>++Tabla4[[#This Row],[Precio Unitario Neto]]-Tabla4[[#This Row],[20.85%]]</f>
        <v>1936.7704229999999</v>
      </c>
      <c r="M6456" s="282" t="e">
        <f>(INDEX(Tabla6[#All],MATCH(Tabla4[[#This Row],[Producto]],Tabla6[[#All],[PRODUCTO]],0),MATCH(Tabla4[[#This Row],[Mes]],Tabla6[#Headers],0)))*(1+Catalogos!$L$2)</f>
        <v>#N/A</v>
      </c>
      <c r="N6456" s="283" t="e">
        <f>+(Tabla4[[#This Row],[Precio Descontado]]-Tabla4[[#This Row],[Precio Base]])*Tabla4[[#This Row],[Cantidad]]</f>
        <v>#N/A</v>
      </c>
      <c r="O6456" s="284" t="e">
        <f>++Tabla4[[#This Row],[Utilidad Total]]/Tabla4[[#This Row],[Total]]</f>
        <v>#N/A</v>
      </c>
      <c r="P6456" s="282">
        <f>++Tabla4[[#This Row],[Precio Descontado]]*Tabla4[[#This Row],[Cantidad]]</f>
        <v>5810.3112689999998</v>
      </c>
      <c r="Q6456" s="282" t="e">
        <f>(INDEX(Tabla6[#All],MATCH(Tabla4[[#This Row],[Producto]],Tabla6[[#All],[PRODUCTO]],0),MATCH(Tabla4[[#This Row],[Mes]],Tabla6[#Headers],0)))</f>
        <v>#N/A</v>
      </c>
      <c r="R6456" s="282" t="e">
        <f>++Tabla4[[#This Row],[Precio Unitario Neto]]-Tabla4[[#This Row],[20.85%]]-Tabla4[[#This Row],[Costo]]</f>
        <v>#N/A</v>
      </c>
      <c r="S6456" s="282" t="e">
        <f>++Tabla4[[#This Row],[U. Bruta Uni]]*Tabla4[[#This Row],[Cantidad]]</f>
        <v>#N/A</v>
      </c>
      <c r="T6456" s="369" t="str">
        <f>VLOOKUP(Tabla4[[#This Row],[Producto]],Tabla6[#All],14,FALSE)</f>
        <v>Termico Solar</v>
      </c>
      <c r="U6456" s="284" t="e">
        <f>(IF(Tabla4[[#This Row],[Familia]]="termico solar",Tabla4[[#This Row],[Utilidad Total]]*6%,Tabla4[[#This Row],[Utilidad Total]]*11.5%))/Tabla4[[#This Row],[Total]]</f>
        <v>#N/A</v>
      </c>
      <c r="V6456" s="282" t="e">
        <f>+Tabla4[[#This Row],[Comisión Calculada]]*Tabla4[[#This Row],[Total]]</f>
        <v>#N/A</v>
      </c>
    </row>
    <row r="6457" spans="1:22" hidden="1" x14ac:dyDescent="0.25">
      <c r="A6457" s="100">
        <v>45945</v>
      </c>
      <c r="B6457" t="str">
        <f t="shared" ref="B6457:B6458" si="362">TEXT(A6457, "mmmm")</f>
        <v>October</v>
      </c>
      <c r="C6457" s="46" t="s">
        <v>280</v>
      </c>
      <c r="F6457" s="366" t="s">
        <v>3286</v>
      </c>
      <c r="G6457" s="46" t="s">
        <v>83</v>
      </c>
      <c r="H6457" s="46">
        <v>1</v>
      </c>
      <c r="I6457" s="51">
        <v>8858.76</v>
      </c>
      <c r="J6457" s="281">
        <f>++Tabla4[[#This Row],[Precio Bruto]]*1.16</f>
        <v>10276.161599999999</v>
      </c>
      <c r="K6457" s="281">
        <f>+Tabla4[[#This Row],[Precio Unitario Neto]]*Tabla4[[#Headers],[20.85%]]</f>
        <v>2142.5796935999997</v>
      </c>
      <c r="L6457" s="282">
        <f>++Tabla4[[#This Row],[Precio Unitario Neto]]-Tabla4[[#This Row],[20.85%]]</f>
        <v>8133.5819063999998</v>
      </c>
      <c r="M6457" s="282" t="e">
        <f>(INDEX(Tabla6[#All],MATCH(Tabla4[[#This Row],[Producto]],Tabla6[[#All],[PRODUCTO]],0),MATCH(Tabla4[[#This Row],[Mes]],Tabla6[#Headers],0)))*(1+Catalogos!$L$2)</f>
        <v>#N/A</v>
      </c>
      <c r="N6457" s="283" t="e">
        <f>+(Tabla4[[#This Row],[Precio Descontado]]-Tabla4[[#This Row],[Precio Base]])*Tabla4[[#This Row],[Cantidad]]</f>
        <v>#N/A</v>
      </c>
      <c r="O6457" s="284" t="e">
        <f>++Tabla4[[#This Row],[Utilidad Total]]/Tabla4[[#This Row],[Total]]</f>
        <v>#N/A</v>
      </c>
      <c r="P6457" s="282">
        <f>++Tabla4[[#This Row],[Precio Descontado]]*Tabla4[[#This Row],[Cantidad]]</f>
        <v>8133.5819063999998</v>
      </c>
      <c r="Q6457" s="282" t="e">
        <f>(INDEX(Tabla6[#All],MATCH(Tabla4[[#This Row],[Producto]],Tabla6[[#All],[PRODUCTO]],0),MATCH(Tabla4[[#This Row],[Mes]],Tabla6[#Headers],0)))</f>
        <v>#N/A</v>
      </c>
      <c r="R6457" s="282" t="e">
        <f>++Tabla4[[#This Row],[Precio Unitario Neto]]-Tabla4[[#This Row],[20.85%]]-Tabla4[[#This Row],[Costo]]</f>
        <v>#N/A</v>
      </c>
      <c r="S6457" s="282" t="e">
        <f>++Tabla4[[#This Row],[U. Bruta Uni]]*Tabla4[[#This Row],[Cantidad]]</f>
        <v>#N/A</v>
      </c>
      <c r="T6457" s="369" t="str">
        <f>VLOOKUP(Tabla4[[#This Row],[Producto]],Tabla6[#All],14,FALSE)</f>
        <v>Termico Solar</v>
      </c>
      <c r="U6457" s="284" t="e">
        <f>(IF(Tabla4[[#This Row],[Familia]]="termico solar",Tabla4[[#This Row],[Utilidad Total]]*6%,Tabla4[[#This Row],[Utilidad Total]]*11.5%))/Tabla4[[#This Row],[Total]]</f>
        <v>#N/A</v>
      </c>
      <c r="V6457" s="282" t="e">
        <f>+Tabla4[[#This Row],[Comisión Calculada]]*Tabla4[[#This Row],[Total]]</f>
        <v>#N/A</v>
      </c>
    </row>
    <row r="6458" spans="1:22" hidden="1" x14ac:dyDescent="0.25">
      <c r="A6458" s="100">
        <v>45945</v>
      </c>
      <c r="B6458" t="str">
        <f t="shared" si="362"/>
        <v>October</v>
      </c>
      <c r="C6458" s="46" t="s">
        <v>280</v>
      </c>
      <c r="F6458" s="366" t="s">
        <v>3286</v>
      </c>
      <c r="G6458" s="46" t="s">
        <v>208</v>
      </c>
      <c r="H6458" s="46">
        <v>1</v>
      </c>
      <c r="I6458" s="51">
        <v>189.75</v>
      </c>
      <c r="J6458" s="281">
        <f>++Tabla4[[#This Row],[Precio Bruto]]*1.16</f>
        <v>220.10999999999999</v>
      </c>
      <c r="K6458" s="281">
        <f>+Tabla4[[#This Row],[Precio Unitario Neto]]*Tabla4[[#Headers],[20.85%]]</f>
        <v>45.892934999999994</v>
      </c>
      <c r="L6458" s="282">
        <f>++Tabla4[[#This Row],[Precio Unitario Neto]]-Tabla4[[#This Row],[20.85%]]</f>
        <v>174.21706499999999</v>
      </c>
      <c r="M6458" s="282" t="e">
        <f>(INDEX(Tabla6[#All],MATCH(Tabla4[[#This Row],[Producto]],Tabla6[[#All],[PRODUCTO]],0),MATCH(Tabla4[[#This Row],[Mes]],Tabla6[#Headers],0)))*(1+Catalogos!$L$2)</f>
        <v>#N/A</v>
      </c>
      <c r="N6458" s="283" t="e">
        <f>+(Tabla4[[#This Row],[Precio Descontado]]-Tabla4[[#This Row],[Precio Base]])*Tabla4[[#This Row],[Cantidad]]</f>
        <v>#N/A</v>
      </c>
      <c r="O6458" s="284" t="e">
        <f>++Tabla4[[#This Row],[Utilidad Total]]/Tabla4[[#This Row],[Total]]</f>
        <v>#N/A</v>
      </c>
      <c r="P6458" s="282">
        <f>++Tabla4[[#This Row],[Precio Descontado]]*Tabla4[[#This Row],[Cantidad]]</f>
        <v>174.21706499999999</v>
      </c>
      <c r="Q6458" s="282" t="e">
        <f>(INDEX(Tabla6[#All],MATCH(Tabla4[[#This Row],[Producto]],Tabla6[[#All],[PRODUCTO]],0),MATCH(Tabla4[[#This Row],[Mes]],Tabla6[#Headers],0)))</f>
        <v>#N/A</v>
      </c>
      <c r="R6458" s="282" t="e">
        <f>++Tabla4[[#This Row],[Precio Unitario Neto]]-Tabla4[[#This Row],[20.85%]]-Tabla4[[#This Row],[Costo]]</f>
        <v>#N/A</v>
      </c>
      <c r="S6458" s="282" t="e">
        <f>++Tabla4[[#This Row],[U. Bruta Uni]]*Tabla4[[#This Row],[Cantidad]]</f>
        <v>#N/A</v>
      </c>
      <c r="T6458" s="369" t="str">
        <f>VLOOKUP(Tabla4[[#This Row],[Producto]],Tabla6[#All],14,FALSE)</f>
        <v>Termico Solar</v>
      </c>
      <c r="U6458" s="284" t="e">
        <f>(IF(Tabla4[[#This Row],[Familia]]="termico solar",Tabla4[[#This Row],[Utilidad Total]]*6%,Tabla4[[#This Row],[Utilidad Total]]*11.5%))/Tabla4[[#This Row],[Total]]</f>
        <v>#N/A</v>
      </c>
      <c r="V6458" s="282" t="e">
        <f>+Tabla4[[#This Row],[Comisión Calculada]]*Tabla4[[#This Row],[Total]]</f>
        <v>#N/A</v>
      </c>
    </row>
    <row r="6459" spans="1:22" hidden="1" x14ac:dyDescent="0.25">
      <c r="A6459" s="100">
        <v>45945</v>
      </c>
      <c r="B6459" t="str">
        <f t="shared" ref="B6459:B6460" si="363">TEXT(A6459, "mmmm")</f>
        <v>October</v>
      </c>
      <c r="C6459" s="46" t="s">
        <v>280</v>
      </c>
      <c r="F6459" s="366" t="s">
        <v>3287</v>
      </c>
      <c r="G6459" s="46" t="s">
        <v>18</v>
      </c>
      <c r="H6459" s="46">
        <v>1</v>
      </c>
      <c r="I6459" s="51">
        <v>5367.65</v>
      </c>
      <c r="J6459" s="281">
        <f>++Tabla4[[#This Row],[Precio Bruto]]*1.16</f>
        <v>6226.4739999999993</v>
      </c>
      <c r="K6459" s="281">
        <f>+Tabla4[[#This Row],[Precio Unitario Neto]]*Tabla4[[#Headers],[20.85%]]</f>
        <v>1298.2198289999999</v>
      </c>
      <c r="L6459" s="282">
        <f>++Tabla4[[#This Row],[Precio Unitario Neto]]-Tabla4[[#This Row],[20.85%]]</f>
        <v>4928.2541709999996</v>
      </c>
      <c r="M6459" s="282" t="e">
        <f>(INDEX(Tabla6[#All],MATCH(Tabla4[[#This Row],[Producto]],Tabla6[[#All],[PRODUCTO]],0),MATCH(Tabla4[[#This Row],[Mes]],Tabla6[#Headers],0)))*(1+Catalogos!$L$2)</f>
        <v>#N/A</v>
      </c>
      <c r="N6459" s="283" t="e">
        <f>+(Tabla4[[#This Row],[Precio Descontado]]-Tabla4[[#This Row],[Precio Base]])*Tabla4[[#This Row],[Cantidad]]</f>
        <v>#N/A</v>
      </c>
      <c r="O6459" s="284" t="e">
        <f>++Tabla4[[#This Row],[Utilidad Total]]/Tabla4[[#This Row],[Total]]</f>
        <v>#N/A</v>
      </c>
      <c r="P6459" s="282">
        <f>++Tabla4[[#This Row],[Precio Descontado]]*Tabla4[[#This Row],[Cantidad]]</f>
        <v>4928.2541709999996</v>
      </c>
      <c r="Q6459" s="282" t="e">
        <f>(INDEX(Tabla6[#All],MATCH(Tabla4[[#This Row],[Producto]],Tabla6[[#All],[PRODUCTO]],0),MATCH(Tabla4[[#This Row],[Mes]],Tabla6[#Headers],0)))</f>
        <v>#N/A</v>
      </c>
      <c r="R6459" s="282" t="e">
        <f>++Tabla4[[#This Row],[Precio Unitario Neto]]-Tabla4[[#This Row],[20.85%]]-Tabla4[[#This Row],[Costo]]</f>
        <v>#N/A</v>
      </c>
      <c r="S6459" s="282" t="e">
        <f>++Tabla4[[#This Row],[U. Bruta Uni]]*Tabla4[[#This Row],[Cantidad]]</f>
        <v>#N/A</v>
      </c>
      <c r="T6459" s="369" t="str">
        <f>VLOOKUP(Tabla4[[#This Row],[Producto]],Tabla6[#All],14,FALSE)</f>
        <v>Termico Solar</v>
      </c>
      <c r="U6459" s="284" t="e">
        <f>(IF(Tabla4[[#This Row],[Familia]]="termico solar",Tabla4[[#This Row],[Utilidad Total]]*6%,Tabla4[[#This Row],[Utilidad Total]]*11.5%))/Tabla4[[#This Row],[Total]]</f>
        <v>#N/A</v>
      </c>
      <c r="V6459" s="282" t="e">
        <f>+Tabla4[[#This Row],[Comisión Calculada]]*Tabla4[[#This Row],[Total]]</f>
        <v>#N/A</v>
      </c>
    </row>
    <row r="6460" spans="1:22" hidden="1" x14ac:dyDescent="0.25">
      <c r="A6460" s="100">
        <v>45945</v>
      </c>
      <c r="B6460" t="str">
        <f t="shared" si="363"/>
        <v>October</v>
      </c>
      <c r="C6460" s="46" t="s">
        <v>280</v>
      </c>
      <c r="F6460" s="366" t="s">
        <v>3287</v>
      </c>
      <c r="G6460" s="46" t="s">
        <v>208</v>
      </c>
      <c r="H6460" s="46">
        <v>1</v>
      </c>
      <c r="I6460" s="51">
        <v>189.75</v>
      </c>
      <c r="J6460" s="281">
        <f>++Tabla4[[#This Row],[Precio Bruto]]*1.16</f>
        <v>220.10999999999999</v>
      </c>
      <c r="K6460" s="281">
        <f>+Tabla4[[#This Row],[Precio Unitario Neto]]*Tabla4[[#Headers],[20.85%]]</f>
        <v>45.892934999999994</v>
      </c>
      <c r="L6460" s="282">
        <f>++Tabla4[[#This Row],[Precio Unitario Neto]]-Tabla4[[#This Row],[20.85%]]</f>
        <v>174.21706499999999</v>
      </c>
      <c r="M6460" s="282" t="e">
        <f>(INDEX(Tabla6[#All],MATCH(Tabla4[[#This Row],[Producto]],Tabla6[[#All],[PRODUCTO]],0),MATCH(Tabla4[[#This Row],[Mes]],Tabla6[#Headers],0)))*(1+Catalogos!$L$2)</f>
        <v>#N/A</v>
      </c>
      <c r="N6460" s="283" t="e">
        <f>+(Tabla4[[#This Row],[Precio Descontado]]-Tabla4[[#This Row],[Precio Base]])*Tabla4[[#This Row],[Cantidad]]</f>
        <v>#N/A</v>
      </c>
      <c r="O6460" s="284" t="e">
        <f>++Tabla4[[#This Row],[Utilidad Total]]/Tabla4[[#This Row],[Total]]</f>
        <v>#N/A</v>
      </c>
      <c r="P6460" s="282">
        <f>++Tabla4[[#This Row],[Precio Descontado]]*Tabla4[[#This Row],[Cantidad]]</f>
        <v>174.21706499999999</v>
      </c>
      <c r="Q6460" s="282" t="e">
        <f>(INDEX(Tabla6[#All],MATCH(Tabla4[[#This Row],[Producto]],Tabla6[[#All],[PRODUCTO]],0),MATCH(Tabla4[[#This Row],[Mes]],Tabla6[#Headers],0)))</f>
        <v>#N/A</v>
      </c>
      <c r="R6460" s="282" t="e">
        <f>++Tabla4[[#This Row],[Precio Unitario Neto]]-Tabla4[[#This Row],[20.85%]]-Tabla4[[#This Row],[Costo]]</f>
        <v>#N/A</v>
      </c>
      <c r="S6460" s="282" t="e">
        <f>++Tabla4[[#This Row],[U. Bruta Uni]]*Tabla4[[#This Row],[Cantidad]]</f>
        <v>#N/A</v>
      </c>
      <c r="T6460" s="369" t="str">
        <f>VLOOKUP(Tabla4[[#This Row],[Producto]],Tabla6[#All],14,FALSE)</f>
        <v>Termico Solar</v>
      </c>
      <c r="U6460" s="284" t="e">
        <f>(IF(Tabla4[[#This Row],[Familia]]="termico solar",Tabla4[[#This Row],[Utilidad Total]]*6%,Tabla4[[#This Row],[Utilidad Total]]*11.5%))/Tabla4[[#This Row],[Total]]</f>
        <v>#N/A</v>
      </c>
      <c r="V6460" s="282" t="e">
        <f>+Tabla4[[#This Row],[Comisión Calculada]]*Tabla4[[#This Row],[Total]]</f>
        <v>#N/A</v>
      </c>
    </row>
    <row r="6461" spans="1:22" hidden="1" x14ac:dyDescent="0.25">
      <c r="A6461" s="100">
        <v>45945</v>
      </c>
      <c r="B6461" t="str">
        <f t="shared" ref="B6461:B6462" si="364">TEXT(A6461, "mmmm")</f>
        <v>October</v>
      </c>
      <c r="C6461" s="46" t="s">
        <v>280</v>
      </c>
      <c r="F6461" s="366" t="s">
        <v>3288</v>
      </c>
      <c r="G6461" s="46" t="s">
        <v>17</v>
      </c>
      <c r="H6461" s="46">
        <v>1</v>
      </c>
      <c r="I6461" s="51">
        <v>4622.28</v>
      </c>
      <c r="J6461" s="281">
        <f>++Tabla4[[#This Row],[Precio Bruto]]*1.16</f>
        <v>5361.8447999999989</v>
      </c>
      <c r="K6461" s="281">
        <f>+Tabla4[[#This Row],[Precio Unitario Neto]]*Tabla4[[#Headers],[20.85%]]</f>
        <v>1117.9446407999997</v>
      </c>
      <c r="L6461" s="282">
        <f>++Tabla4[[#This Row],[Precio Unitario Neto]]-Tabla4[[#This Row],[20.85%]]</f>
        <v>4243.9001591999995</v>
      </c>
      <c r="M6461" s="282" t="e">
        <f>(INDEX(Tabla6[#All],MATCH(Tabla4[[#This Row],[Producto]],Tabla6[[#All],[PRODUCTO]],0),MATCH(Tabla4[[#This Row],[Mes]],Tabla6[#Headers],0)))*(1+Catalogos!$L$2)</f>
        <v>#N/A</v>
      </c>
      <c r="N6461" s="283" t="e">
        <f>+(Tabla4[[#This Row],[Precio Descontado]]-Tabla4[[#This Row],[Precio Base]])*Tabla4[[#This Row],[Cantidad]]</f>
        <v>#N/A</v>
      </c>
      <c r="O6461" s="284" t="e">
        <f>++Tabla4[[#This Row],[Utilidad Total]]/Tabla4[[#This Row],[Total]]</f>
        <v>#N/A</v>
      </c>
      <c r="P6461" s="282">
        <f>++Tabla4[[#This Row],[Precio Descontado]]*Tabla4[[#This Row],[Cantidad]]</f>
        <v>4243.9001591999995</v>
      </c>
      <c r="Q6461" s="282" t="e">
        <f>(INDEX(Tabla6[#All],MATCH(Tabla4[[#This Row],[Producto]],Tabla6[[#All],[PRODUCTO]],0),MATCH(Tabla4[[#This Row],[Mes]],Tabla6[#Headers],0)))</f>
        <v>#N/A</v>
      </c>
      <c r="R6461" s="282" t="e">
        <f>++Tabla4[[#This Row],[Precio Unitario Neto]]-Tabla4[[#This Row],[20.85%]]-Tabla4[[#This Row],[Costo]]</f>
        <v>#N/A</v>
      </c>
      <c r="S6461" s="282" t="e">
        <f>++Tabla4[[#This Row],[U. Bruta Uni]]*Tabla4[[#This Row],[Cantidad]]</f>
        <v>#N/A</v>
      </c>
      <c r="T6461" s="369" t="str">
        <f>VLOOKUP(Tabla4[[#This Row],[Producto]],Tabla6[#All],14,FALSE)</f>
        <v>Termico Solar</v>
      </c>
      <c r="U6461" s="284" t="e">
        <f>(IF(Tabla4[[#This Row],[Familia]]="termico solar",Tabla4[[#This Row],[Utilidad Total]]*6%,Tabla4[[#This Row],[Utilidad Total]]*11.5%))/Tabla4[[#This Row],[Total]]</f>
        <v>#N/A</v>
      </c>
      <c r="V6461" s="282" t="e">
        <f>+Tabla4[[#This Row],[Comisión Calculada]]*Tabla4[[#This Row],[Total]]</f>
        <v>#N/A</v>
      </c>
    </row>
    <row r="6462" spans="1:22" hidden="1" x14ac:dyDescent="0.25">
      <c r="A6462" s="100">
        <v>45945</v>
      </c>
      <c r="B6462" t="str">
        <f t="shared" si="364"/>
        <v>October</v>
      </c>
      <c r="C6462" s="46" t="s">
        <v>280</v>
      </c>
      <c r="F6462" s="366" t="s">
        <v>3288</v>
      </c>
      <c r="G6462" s="46" t="s">
        <v>18</v>
      </c>
      <c r="H6462" s="46">
        <v>1</v>
      </c>
      <c r="I6462" s="51">
        <v>5367.65</v>
      </c>
      <c r="J6462" s="281">
        <f>++Tabla4[[#This Row],[Precio Bruto]]*1.16</f>
        <v>6226.4739999999993</v>
      </c>
      <c r="K6462" s="281">
        <f>+Tabla4[[#This Row],[Precio Unitario Neto]]*Tabla4[[#Headers],[20.85%]]</f>
        <v>1298.2198289999999</v>
      </c>
      <c r="L6462" s="282">
        <f>++Tabla4[[#This Row],[Precio Unitario Neto]]-Tabla4[[#This Row],[20.85%]]</f>
        <v>4928.2541709999996</v>
      </c>
      <c r="M6462" s="282" t="e">
        <f>(INDEX(Tabla6[#All],MATCH(Tabla4[[#This Row],[Producto]],Tabla6[[#All],[PRODUCTO]],0),MATCH(Tabla4[[#This Row],[Mes]],Tabla6[#Headers],0)))*(1+Catalogos!$L$2)</f>
        <v>#N/A</v>
      </c>
      <c r="N6462" s="283" t="e">
        <f>+(Tabla4[[#This Row],[Precio Descontado]]-Tabla4[[#This Row],[Precio Base]])*Tabla4[[#This Row],[Cantidad]]</f>
        <v>#N/A</v>
      </c>
      <c r="O6462" s="284" t="e">
        <f>++Tabla4[[#This Row],[Utilidad Total]]/Tabla4[[#This Row],[Total]]</f>
        <v>#N/A</v>
      </c>
      <c r="P6462" s="282">
        <f>++Tabla4[[#This Row],[Precio Descontado]]*Tabla4[[#This Row],[Cantidad]]</f>
        <v>4928.2541709999996</v>
      </c>
      <c r="Q6462" s="282" t="e">
        <f>(INDEX(Tabla6[#All],MATCH(Tabla4[[#This Row],[Producto]],Tabla6[[#All],[PRODUCTO]],0),MATCH(Tabla4[[#This Row],[Mes]],Tabla6[#Headers],0)))</f>
        <v>#N/A</v>
      </c>
      <c r="R6462" s="282" t="e">
        <f>++Tabla4[[#This Row],[Precio Unitario Neto]]-Tabla4[[#This Row],[20.85%]]-Tabla4[[#This Row],[Costo]]</f>
        <v>#N/A</v>
      </c>
      <c r="S6462" s="282" t="e">
        <f>++Tabla4[[#This Row],[U. Bruta Uni]]*Tabla4[[#This Row],[Cantidad]]</f>
        <v>#N/A</v>
      </c>
      <c r="T6462" s="369" t="str">
        <f>VLOOKUP(Tabla4[[#This Row],[Producto]],Tabla6[#All],14,FALSE)</f>
        <v>Termico Solar</v>
      </c>
      <c r="U6462" s="284" t="e">
        <f>(IF(Tabla4[[#This Row],[Familia]]="termico solar",Tabla4[[#This Row],[Utilidad Total]]*6%,Tabla4[[#This Row],[Utilidad Total]]*11.5%))/Tabla4[[#This Row],[Total]]</f>
        <v>#N/A</v>
      </c>
      <c r="V6462" s="282" t="e">
        <f>+Tabla4[[#This Row],[Comisión Calculada]]*Tabla4[[#This Row],[Total]]</f>
        <v>#N/A</v>
      </c>
    </row>
    <row r="6463" spans="1:22" hidden="1" x14ac:dyDescent="0.25">
      <c r="A6463" s="100">
        <v>45945</v>
      </c>
      <c r="B6463" t="str">
        <f t="shared" ref="B6463:B6466" si="365">TEXT(A6463, "mmmm")</f>
        <v>October</v>
      </c>
      <c r="C6463" s="46" t="s">
        <v>280</v>
      </c>
      <c r="F6463" s="366" t="s">
        <v>3289</v>
      </c>
      <c r="G6463" s="46" t="s">
        <v>83</v>
      </c>
      <c r="H6463" s="46">
        <v>1</v>
      </c>
      <c r="I6463" s="51">
        <v>8858.76</v>
      </c>
      <c r="J6463" s="281">
        <f>++Tabla4[[#This Row],[Precio Bruto]]*1.16</f>
        <v>10276.161599999999</v>
      </c>
      <c r="K6463" s="281">
        <f>+Tabla4[[#This Row],[Precio Unitario Neto]]*Tabla4[[#Headers],[20.85%]]</f>
        <v>2142.5796935999997</v>
      </c>
      <c r="L6463" s="282">
        <f>++Tabla4[[#This Row],[Precio Unitario Neto]]-Tabla4[[#This Row],[20.85%]]</f>
        <v>8133.5819063999998</v>
      </c>
      <c r="M6463" s="282" t="e">
        <f>(INDEX(Tabla6[#All],MATCH(Tabla4[[#This Row],[Producto]],Tabla6[[#All],[PRODUCTO]],0),MATCH(Tabla4[[#This Row],[Mes]],Tabla6[#Headers],0)))*(1+Catalogos!$L$2)</f>
        <v>#N/A</v>
      </c>
      <c r="N6463" s="283" t="e">
        <f>+(Tabla4[[#This Row],[Precio Descontado]]-Tabla4[[#This Row],[Precio Base]])*Tabla4[[#This Row],[Cantidad]]</f>
        <v>#N/A</v>
      </c>
      <c r="O6463" s="284" t="e">
        <f>++Tabla4[[#This Row],[Utilidad Total]]/Tabla4[[#This Row],[Total]]</f>
        <v>#N/A</v>
      </c>
      <c r="P6463" s="282">
        <f>++Tabla4[[#This Row],[Precio Descontado]]*Tabla4[[#This Row],[Cantidad]]</f>
        <v>8133.5819063999998</v>
      </c>
      <c r="Q6463" s="282" t="e">
        <f>(INDEX(Tabla6[#All],MATCH(Tabla4[[#This Row],[Producto]],Tabla6[[#All],[PRODUCTO]],0),MATCH(Tabla4[[#This Row],[Mes]],Tabla6[#Headers],0)))</f>
        <v>#N/A</v>
      </c>
      <c r="R6463" s="282" t="e">
        <f>++Tabla4[[#This Row],[Precio Unitario Neto]]-Tabla4[[#This Row],[20.85%]]-Tabla4[[#This Row],[Costo]]</f>
        <v>#N/A</v>
      </c>
      <c r="S6463" s="282" t="e">
        <f>++Tabla4[[#This Row],[U. Bruta Uni]]*Tabla4[[#This Row],[Cantidad]]</f>
        <v>#N/A</v>
      </c>
      <c r="T6463" s="369" t="str">
        <f>VLOOKUP(Tabla4[[#This Row],[Producto]],Tabla6[#All],14,FALSE)</f>
        <v>Termico Solar</v>
      </c>
      <c r="U6463" s="284" t="e">
        <f>(IF(Tabla4[[#This Row],[Familia]]="termico solar",Tabla4[[#This Row],[Utilidad Total]]*6%,Tabla4[[#This Row],[Utilidad Total]]*11.5%))/Tabla4[[#This Row],[Total]]</f>
        <v>#N/A</v>
      </c>
      <c r="V6463" s="282" t="e">
        <f>+Tabla4[[#This Row],[Comisión Calculada]]*Tabla4[[#This Row],[Total]]</f>
        <v>#N/A</v>
      </c>
    </row>
    <row r="6464" spans="1:22" hidden="1" x14ac:dyDescent="0.25">
      <c r="A6464" s="100">
        <v>45945</v>
      </c>
      <c r="B6464" t="str">
        <f t="shared" si="365"/>
        <v>October</v>
      </c>
      <c r="C6464" s="46" t="s">
        <v>280</v>
      </c>
      <c r="F6464" s="366" t="s">
        <v>3289</v>
      </c>
      <c r="G6464" s="46" t="s">
        <v>18</v>
      </c>
      <c r="H6464" s="46">
        <v>1</v>
      </c>
      <c r="I6464" s="51">
        <v>5367.65</v>
      </c>
      <c r="J6464" s="281">
        <f>++Tabla4[[#This Row],[Precio Bruto]]*1.16</f>
        <v>6226.4739999999993</v>
      </c>
      <c r="K6464" s="281">
        <f>+Tabla4[[#This Row],[Precio Unitario Neto]]*Tabla4[[#Headers],[20.85%]]</f>
        <v>1298.2198289999999</v>
      </c>
      <c r="L6464" s="282">
        <f>++Tabla4[[#This Row],[Precio Unitario Neto]]-Tabla4[[#This Row],[20.85%]]</f>
        <v>4928.2541709999996</v>
      </c>
      <c r="M6464" s="282" t="e">
        <f>(INDEX(Tabla6[#All],MATCH(Tabla4[[#This Row],[Producto]],Tabla6[[#All],[PRODUCTO]],0),MATCH(Tabla4[[#This Row],[Mes]],Tabla6[#Headers],0)))*(1+Catalogos!$L$2)</f>
        <v>#N/A</v>
      </c>
      <c r="N6464" s="283" t="e">
        <f>+(Tabla4[[#This Row],[Precio Descontado]]-Tabla4[[#This Row],[Precio Base]])*Tabla4[[#This Row],[Cantidad]]</f>
        <v>#N/A</v>
      </c>
      <c r="O6464" s="284" t="e">
        <f>++Tabla4[[#This Row],[Utilidad Total]]/Tabla4[[#This Row],[Total]]</f>
        <v>#N/A</v>
      </c>
      <c r="P6464" s="282">
        <f>++Tabla4[[#This Row],[Precio Descontado]]*Tabla4[[#This Row],[Cantidad]]</f>
        <v>4928.2541709999996</v>
      </c>
      <c r="Q6464" s="282" t="e">
        <f>(INDEX(Tabla6[#All],MATCH(Tabla4[[#This Row],[Producto]],Tabla6[[#All],[PRODUCTO]],0),MATCH(Tabla4[[#This Row],[Mes]],Tabla6[#Headers],0)))</f>
        <v>#N/A</v>
      </c>
      <c r="R6464" s="282" t="e">
        <f>++Tabla4[[#This Row],[Precio Unitario Neto]]-Tabla4[[#This Row],[20.85%]]-Tabla4[[#This Row],[Costo]]</f>
        <v>#N/A</v>
      </c>
      <c r="S6464" s="282" t="e">
        <f>++Tabla4[[#This Row],[U. Bruta Uni]]*Tabla4[[#This Row],[Cantidad]]</f>
        <v>#N/A</v>
      </c>
      <c r="T6464" s="369" t="str">
        <f>VLOOKUP(Tabla4[[#This Row],[Producto]],Tabla6[#All],14,FALSE)</f>
        <v>Termico Solar</v>
      </c>
      <c r="U6464" s="284" t="e">
        <f>(IF(Tabla4[[#This Row],[Familia]]="termico solar",Tabla4[[#This Row],[Utilidad Total]]*6%,Tabla4[[#This Row],[Utilidad Total]]*11.5%))/Tabla4[[#This Row],[Total]]</f>
        <v>#N/A</v>
      </c>
      <c r="V6464" s="282" t="e">
        <f>+Tabla4[[#This Row],[Comisión Calculada]]*Tabla4[[#This Row],[Total]]</f>
        <v>#N/A</v>
      </c>
    </row>
    <row r="6465" spans="1:22" hidden="1" x14ac:dyDescent="0.25">
      <c r="A6465" s="100">
        <v>45945</v>
      </c>
      <c r="B6465" t="str">
        <f t="shared" si="365"/>
        <v>October</v>
      </c>
      <c r="C6465" s="46" t="s">
        <v>280</v>
      </c>
      <c r="F6465" s="366" t="s">
        <v>3289</v>
      </c>
      <c r="G6465" s="46" t="s">
        <v>566</v>
      </c>
      <c r="H6465" s="46">
        <v>1</v>
      </c>
      <c r="I6465" s="51">
        <v>2109.4499999999998</v>
      </c>
      <c r="J6465" s="281">
        <f>++Tabla4[[#This Row],[Precio Bruto]]*1.16</f>
        <v>2446.9619999999995</v>
      </c>
      <c r="K6465" s="281">
        <f>+Tabla4[[#This Row],[Precio Unitario Neto]]*Tabla4[[#Headers],[20.85%]]</f>
        <v>510.19157699999988</v>
      </c>
      <c r="L6465" s="282">
        <f>++Tabla4[[#This Row],[Precio Unitario Neto]]-Tabla4[[#This Row],[20.85%]]</f>
        <v>1936.7704229999997</v>
      </c>
      <c r="M6465" s="282" t="e">
        <f>(INDEX(Tabla6[#All],MATCH(Tabla4[[#This Row],[Producto]],Tabla6[[#All],[PRODUCTO]],0),MATCH(Tabla4[[#This Row],[Mes]],Tabla6[#Headers],0)))*(1+Catalogos!$L$2)</f>
        <v>#N/A</v>
      </c>
      <c r="N6465" s="283" t="e">
        <f>+(Tabla4[[#This Row],[Precio Descontado]]-Tabla4[[#This Row],[Precio Base]])*Tabla4[[#This Row],[Cantidad]]</f>
        <v>#N/A</v>
      </c>
      <c r="O6465" s="284" t="e">
        <f>++Tabla4[[#This Row],[Utilidad Total]]/Tabla4[[#This Row],[Total]]</f>
        <v>#N/A</v>
      </c>
      <c r="P6465" s="282">
        <f>++Tabla4[[#This Row],[Precio Descontado]]*Tabla4[[#This Row],[Cantidad]]</f>
        <v>1936.7704229999997</v>
      </c>
      <c r="Q6465" s="282" t="e">
        <f>(INDEX(Tabla6[#All],MATCH(Tabla4[[#This Row],[Producto]],Tabla6[[#All],[PRODUCTO]],0),MATCH(Tabla4[[#This Row],[Mes]],Tabla6[#Headers],0)))</f>
        <v>#N/A</v>
      </c>
      <c r="R6465" s="282" t="e">
        <f>++Tabla4[[#This Row],[Precio Unitario Neto]]-Tabla4[[#This Row],[20.85%]]-Tabla4[[#This Row],[Costo]]</f>
        <v>#N/A</v>
      </c>
      <c r="S6465" s="282" t="e">
        <f>++Tabla4[[#This Row],[U. Bruta Uni]]*Tabla4[[#This Row],[Cantidad]]</f>
        <v>#N/A</v>
      </c>
      <c r="T6465" s="369" t="str">
        <f>VLOOKUP(Tabla4[[#This Row],[Producto]],Tabla6[#All],14,FALSE)</f>
        <v>Termico Solar</v>
      </c>
      <c r="U6465" s="284" t="e">
        <f>(IF(Tabla4[[#This Row],[Familia]]="termico solar",Tabla4[[#This Row],[Utilidad Total]]*6%,Tabla4[[#This Row],[Utilidad Total]]*11.5%))/Tabla4[[#This Row],[Total]]</f>
        <v>#N/A</v>
      </c>
      <c r="V6465" s="282" t="e">
        <f>+Tabla4[[#This Row],[Comisión Calculada]]*Tabla4[[#This Row],[Total]]</f>
        <v>#N/A</v>
      </c>
    </row>
    <row r="6466" spans="1:22" hidden="1" x14ac:dyDescent="0.25">
      <c r="A6466" s="100">
        <v>45945</v>
      </c>
      <c r="B6466" t="str">
        <f t="shared" si="365"/>
        <v>October</v>
      </c>
      <c r="C6466" s="46" t="s">
        <v>280</v>
      </c>
      <c r="F6466" s="366" t="s">
        <v>3289</v>
      </c>
      <c r="G6466" s="46" t="s">
        <v>16</v>
      </c>
      <c r="H6466" s="46">
        <v>1</v>
      </c>
      <c r="I6466" s="51">
        <v>4103.8500000000004</v>
      </c>
      <c r="J6466" s="281">
        <f>++Tabla4[[#This Row],[Precio Bruto]]*1.16</f>
        <v>4760.4660000000003</v>
      </c>
      <c r="K6466" s="281">
        <f>+Tabla4[[#This Row],[Precio Unitario Neto]]*Tabla4[[#Headers],[20.85%]]</f>
        <v>992.55716100000006</v>
      </c>
      <c r="L6466" s="282">
        <f>++Tabla4[[#This Row],[Precio Unitario Neto]]-Tabla4[[#This Row],[20.85%]]</f>
        <v>3767.9088390000002</v>
      </c>
      <c r="M6466" s="282" t="e">
        <f>(INDEX(Tabla6[#All],MATCH(Tabla4[[#This Row],[Producto]],Tabla6[[#All],[PRODUCTO]],0),MATCH(Tabla4[[#This Row],[Mes]],Tabla6[#Headers],0)))*(1+Catalogos!$L$2)</f>
        <v>#N/A</v>
      </c>
      <c r="N6466" s="283" t="e">
        <f>+(Tabla4[[#This Row],[Precio Descontado]]-Tabla4[[#This Row],[Precio Base]])*Tabla4[[#This Row],[Cantidad]]</f>
        <v>#N/A</v>
      </c>
      <c r="O6466" s="284" t="e">
        <f>++Tabla4[[#This Row],[Utilidad Total]]/Tabla4[[#This Row],[Total]]</f>
        <v>#N/A</v>
      </c>
      <c r="P6466" s="282">
        <f>++Tabla4[[#This Row],[Precio Descontado]]*Tabla4[[#This Row],[Cantidad]]</f>
        <v>3767.9088390000002</v>
      </c>
      <c r="Q6466" s="282" t="e">
        <f>(INDEX(Tabla6[#All],MATCH(Tabla4[[#This Row],[Producto]],Tabla6[[#All],[PRODUCTO]],0),MATCH(Tabla4[[#This Row],[Mes]],Tabla6[#Headers],0)))</f>
        <v>#N/A</v>
      </c>
      <c r="R6466" s="282" t="e">
        <f>++Tabla4[[#This Row],[Precio Unitario Neto]]-Tabla4[[#This Row],[20.85%]]-Tabla4[[#This Row],[Costo]]</f>
        <v>#N/A</v>
      </c>
      <c r="S6466" s="282" t="e">
        <f>++Tabla4[[#This Row],[U. Bruta Uni]]*Tabla4[[#This Row],[Cantidad]]</f>
        <v>#N/A</v>
      </c>
      <c r="T6466" s="369" t="str">
        <f>VLOOKUP(Tabla4[[#This Row],[Producto]],Tabla6[#All],14,FALSE)</f>
        <v>Termico Solar</v>
      </c>
      <c r="U6466" s="284" t="e">
        <f>(IF(Tabla4[[#This Row],[Familia]]="termico solar",Tabla4[[#This Row],[Utilidad Total]]*6%,Tabla4[[#This Row],[Utilidad Total]]*11.5%))/Tabla4[[#This Row],[Total]]</f>
        <v>#N/A</v>
      </c>
      <c r="V6466" s="282" t="e">
        <f>+Tabla4[[#This Row],[Comisión Calculada]]*Tabla4[[#This Row],[Total]]</f>
        <v>#N/A</v>
      </c>
    </row>
    <row r="6467" spans="1:22" hidden="1" x14ac:dyDescent="0.25">
      <c r="A6467" s="100">
        <v>45945</v>
      </c>
      <c r="B6467" t="str">
        <f>TEXT(A6467, "mmmm")</f>
        <v>October</v>
      </c>
      <c r="C6467" s="46" t="s">
        <v>280</v>
      </c>
      <c r="F6467" s="366" t="s">
        <v>3290</v>
      </c>
      <c r="G6467" s="46" t="s">
        <v>83</v>
      </c>
      <c r="H6467" s="46">
        <v>1</v>
      </c>
      <c r="I6467" s="51">
        <v>8858.76</v>
      </c>
      <c r="J6467" s="281">
        <f>++Tabla4[[#This Row],[Precio Bruto]]*1.16</f>
        <v>10276.161599999999</v>
      </c>
      <c r="K6467" s="281">
        <f>+Tabla4[[#This Row],[Precio Unitario Neto]]*Tabla4[[#Headers],[20.85%]]</f>
        <v>2142.5796935999997</v>
      </c>
      <c r="L6467" s="282">
        <f>++Tabla4[[#This Row],[Precio Unitario Neto]]-Tabla4[[#This Row],[20.85%]]</f>
        <v>8133.5819063999998</v>
      </c>
      <c r="M6467" s="282" t="e">
        <f>(INDEX(Tabla6[#All],MATCH(Tabla4[[#This Row],[Producto]],Tabla6[[#All],[PRODUCTO]],0),MATCH(Tabla4[[#This Row],[Mes]],Tabla6[#Headers],0)))*(1+Catalogos!$L$2)</f>
        <v>#N/A</v>
      </c>
      <c r="N6467" s="283" t="e">
        <f>+(Tabla4[[#This Row],[Precio Descontado]]-Tabla4[[#This Row],[Precio Base]])*Tabla4[[#This Row],[Cantidad]]</f>
        <v>#N/A</v>
      </c>
      <c r="O6467" s="284" t="e">
        <f>++Tabla4[[#This Row],[Utilidad Total]]/Tabla4[[#This Row],[Total]]</f>
        <v>#N/A</v>
      </c>
      <c r="P6467" s="282">
        <f>++Tabla4[[#This Row],[Precio Descontado]]*Tabla4[[#This Row],[Cantidad]]</f>
        <v>8133.5819063999998</v>
      </c>
      <c r="Q6467" s="282" t="e">
        <f>(INDEX(Tabla6[#All],MATCH(Tabla4[[#This Row],[Producto]],Tabla6[[#All],[PRODUCTO]],0),MATCH(Tabla4[[#This Row],[Mes]],Tabla6[#Headers],0)))</f>
        <v>#N/A</v>
      </c>
      <c r="R6467" s="282" t="e">
        <f>++Tabla4[[#This Row],[Precio Unitario Neto]]-Tabla4[[#This Row],[20.85%]]-Tabla4[[#This Row],[Costo]]</f>
        <v>#N/A</v>
      </c>
      <c r="S6467" s="282" t="e">
        <f>++Tabla4[[#This Row],[U. Bruta Uni]]*Tabla4[[#This Row],[Cantidad]]</f>
        <v>#N/A</v>
      </c>
      <c r="T6467" s="369" t="str">
        <f>VLOOKUP(Tabla4[[#This Row],[Producto]],Tabla6[#All],14,FALSE)</f>
        <v>Termico Solar</v>
      </c>
      <c r="U6467" s="284" t="e">
        <f>(IF(Tabla4[[#This Row],[Familia]]="termico solar",Tabla4[[#This Row],[Utilidad Total]]*6%,Tabla4[[#This Row],[Utilidad Total]]*11.5%))/Tabla4[[#This Row],[Total]]</f>
        <v>#N/A</v>
      </c>
      <c r="V6467" s="282" t="e">
        <f>+Tabla4[[#This Row],[Comisión Calculada]]*Tabla4[[#This Row],[Total]]</f>
        <v>#N/A</v>
      </c>
    </row>
    <row r="6468" spans="1:22" hidden="1" x14ac:dyDescent="0.25">
      <c r="A6468" s="100">
        <v>45945</v>
      </c>
      <c r="B6468" t="str">
        <f t="shared" ref="B6468:B6471" si="366">TEXT(A6468, "mmmm")</f>
        <v>October</v>
      </c>
      <c r="C6468" s="46" t="s">
        <v>280</v>
      </c>
      <c r="F6468" s="366" t="s">
        <v>3291</v>
      </c>
      <c r="G6468" s="46" t="s">
        <v>83</v>
      </c>
      <c r="H6468" s="46">
        <v>1</v>
      </c>
      <c r="I6468" s="51">
        <v>8858.76</v>
      </c>
      <c r="J6468" s="281">
        <f>++Tabla4[[#This Row],[Precio Bruto]]*1.16</f>
        <v>10276.161599999999</v>
      </c>
      <c r="K6468" s="281">
        <f>+Tabla4[[#This Row],[Precio Unitario Neto]]*Tabla4[[#Headers],[20.85%]]</f>
        <v>2142.5796935999997</v>
      </c>
      <c r="L6468" s="282">
        <f>++Tabla4[[#This Row],[Precio Unitario Neto]]-Tabla4[[#This Row],[20.85%]]</f>
        <v>8133.5819063999998</v>
      </c>
      <c r="M6468" s="282" t="e">
        <f>(INDEX(Tabla6[#All],MATCH(Tabla4[[#This Row],[Producto]],Tabla6[[#All],[PRODUCTO]],0),MATCH(Tabla4[[#This Row],[Mes]],Tabla6[#Headers],0)))*(1+Catalogos!$L$2)</f>
        <v>#N/A</v>
      </c>
      <c r="N6468" s="283" t="e">
        <f>+(Tabla4[[#This Row],[Precio Descontado]]-Tabla4[[#This Row],[Precio Base]])*Tabla4[[#This Row],[Cantidad]]</f>
        <v>#N/A</v>
      </c>
      <c r="O6468" s="284" t="e">
        <f>++Tabla4[[#This Row],[Utilidad Total]]/Tabla4[[#This Row],[Total]]</f>
        <v>#N/A</v>
      </c>
      <c r="P6468" s="282">
        <f>++Tabla4[[#This Row],[Precio Descontado]]*Tabla4[[#This Row],[Cantidad]]</f>
        <v>8133.5819063999998</v>
      </c>
      <c r="Q6468" s="282" t="e">
        <f>(INDEX(Tabla6[#All],MATCH(Tabla4[[#This Row],[Producto]],Tabla6[[#All],[PRODUCTO]],0),MATCH(Tabla4[[#This Row],[Mes]],Tabla6[#Headers],0)))</f>
        <v>#N/A</v>
      </c>
      <c r="R6468" s="282" t="e">
        <f>++Tabla4[[#This Row],[Precio Unitario Neto]]-Tabla4[[#This Row],[20.85%]]-Tabla4[[#This Row],[Costo]]</f>
        <v>#N/A</v>
      </c>
      <c r="S6468" s="282" t="e">
        <f>++Tabla4[[#This Row],[U. Bruta Uni]]*Tabla4[[#This Row],[Cantidad]]</f>
        <v>#N/A</v>
      </c>
      <c r="T6468" s="369" t="str">
        <f>VLOOKUP(Tabla4[[#This Row],[Producto]],Tabla6[#All],14,FALSE)</f>
        <v>Termico Solar</v>
      </c>
      <c r="U6468" s="284" t="e">
        <f>(IF(Tabla4[[#This Row],[Familia]]="termico solar",Tabla4[[#This Row],[Utilidad Total]]*6%,Tabla4[[#This Row],[Utilidad Total]]*11.5%))/Tabla4[[#This Row],[Total]]</f>
        <v>#N/A</v>
      </c>
      <c r="V6468" s="282" t="e">
        <f>+Tabla4[[#This Row],[Comisión Calculada]]*Tabla4[[#This Row],[Total]]</f>
        <v>#N/A</v>
      </c>
    </row>
    <row r="6469" spans="1:22" hidden="1" x14ac:dyDescent="0.25">
      <c r="A6469" s="100">
        <v>45945</v>
      </c>
      <c r="B6469" t="str">
        <f t="shared" si="366"/>
        <v>October</v>
      </c>
      <c r="C6469" s="46" t="s">
        <v>280</v>
      </c>
      <c r="F6469" s="366" t="s">
        <v>3291</v>
      </c>
      <c r="G6469" s="46" t="s">
        <v>17</v>
      </c>
      <c r="H6469" s="46">
        <v>1</v>
      </c>
      <c r="I6469" s="51">
        <v>4622.28</v>
      </c>
      <c r="J6469" s="281">
        <f>++Tabla4[[#This Row],[Precio Bruto]]*1.16</f>
        <v>5361.8447999999989</v>
      </c>
      <c r="K6469" s="281">
        <f>+Tabla4[[#This Row],[Precio Unitario Neto]]*Tabla4[[#Headers],[20.85%]]</f>
        <v>1117.9446407999997</v>
      </c>
      <c r="L6469" s="282">
        <f>++Tabla4[[#This Row],[Precio Unitario Neto]]-Tabla4[[#This Row],[20.85%]]</f>
        <v>4243.9001591999995</v>
      </c>
      <c r="M6469" s="282" t="e">
        <f>(INDEX(Tabla6[#All],MATCH(Tabla4[[#This Row],[Producto]],Tabla6[[#All],[PRODUCTO]],0),MATCH(Tabla4[[#This Row],[Mes]],Tabla6[#Headers],0)))*(1+Catalogos!$L$2)</f>
        <v>#N/A</v>
      </c>
      <c r="N6469" s="283" t="e">
        <f>+(Tabla4[[#This Row],[Precio Descontado]]-Tabla4[[#This Row],[Precio Base]])*Tabla4[[#This Row],[Cantidad]]</f>
        <v>#N/A</v>
      </c>
      <c r="O6469" s="284" t="e">
        <f>++Tabla4[[#This Row],[Utilidad Total]]/Tabla4[[#This Row],[Total]]</f>
        <v>#N/A</v>
      </c>
      <c r="P6469" s="282">
        <f>++Tabla4[[#This Row],[Precio Descontado]]*Tabla4[[#This Row],[Cantidad]]</f>
        <v>4243.9001591999995</v>
      </c>
      <c r="Q6469" s="282" t="e">
        <f>(INDEX(Tabla6[#All],MATCH(Tabla4[[#This Row],[Producto]],Tabla6[[#All],[PRODUCTO]],0),MATCH(Tabla4[[#This Row],[Mes]],Tabla6[#Headers],0)))</f>
        <v>#N/A</v>
      </c>
      <c r="R6469" s="282" t="e">
        <f>++Tabla4[[#This Row],[Precio Unitario Neto]]-Tabla4[[#This Row],[20.85%]]-Tabla4[[#This Row],[Costo]]</f>
        <v>#N/A</v>
      </c>
      <c r="S6469" s="282" t="e">
        <f>++Tabla4[[#This Row],[U. Bruta Uni]]*Tabla4[[#This Row],[Cantidad]]</f>
        <v>#N/A</v>
      </c>
      <c r="T6469" s="369" t="str">
        <f>VLOOKUP(Tabla4[[#This Row],[Producto]],Tabla6[#All],14,FALSE)</f>
        <v>Termico Solar</v>
      </c>
      <c r="U6469" s="284" t="e">
        <f>(IF(Tabla4[[#This Row],[Familia]]="termico solar",Tabla4[[#This Row],[Utilidad Total]]*6%,Tabla4[[#This Row],[Utilidad Total]]*11.5%))/Tabla4[[#This Row],[Total]]</f>
        <v>#N/A</v>
      </c>
      <c r="V6469" s="282" t="e">
        <f>+Tabla4[[#This Row],[Comisión Calculada]]*Tabla4[[#This Row],[Total]]</f>
        <v>#N/A</v>
      </c>
    </row>
    <row r="6470" spans="1:22" hidden="1" x14ac:dyDescent="0.25">
      <c r="A6470" s="100">
        <v>45945</v>
      </c>
      <c r="B6470" t="str">
        <f t="shared" si="366"/>
        <v>October</v>
      </c>
      <c r="C6470" s="46" t="s">
        <v>280</v>
      </c>
      <c r="F6470" s="366" t="s">
        <v>3291</v>
      </c>
      <c r="G6470" s="46" t="s">
        <v>566</v>
      </c>
      <c r="H6470" s="46">
        <v>2</v>
      </c>
      <c r="I6470" s="51">
        <v>2109.4499999999998</v>
      </c>
      <c r="J6470" s="281">
        <f>++Tabla4[[#This Row],[Precio Bruto]]*1.16</f>
        <v>2446.9619999999995</v>
      </c>
      <c r="K6470" s="281">
        <f>+Tabla4[[#This Row],[Precio Unitario Neto]]*Tabla4[[#Headers],[20.85%]]</f>
        <v>510.19157699999988</v>
      </c>
      <c r="L6470" s="282">
        <f>++Tabla4[[#This Row],[Precio Unitario Neto]]-Tabla4[[#This Row],[20.85%]]</f>
        <v>1936.7704229999997</v>
      </c>
      <c r="M6470" s="282" t="e">
        <f>(INDEX(Tabla6[#All],MATCH(Tabla4[[#This Row],[Producto]],Tabla6[[#All],[PRODUCTO]],0),MATCH(Tabla4[[#This Row],[Mes]],Tabla6[#Headers],0)))*(1+Catalogos!$L$2)</f>
        <v>#N/A</v>
      </c>
      <c r="N6470" s="283" t="e">
        <f>+(Tabla4[[#This Row],[Precio Descontado]]-Tabla4[[#This Row],[Precio Base]])*Tabla4[[#This Row],[Cantidad]]</f>
        <v>#N/A</v>
      </c>
      <c r="O6470" s="284" t="e">
        <f>++Tabla4[[#This Row],[Utilidad Total]]/Tabla4[[#This Row],[Total]]</f>
        <v>#N/A</v>
      </c>
      <c r="P6470" s="282">
        <f>++Tabla4[[#This Row],[Precio Descontado]]*Tabla4[[#This Row],[Cantidad]]</f>
        <v>3873.5408459999994</v>
      </c>
      <c r="Q6470" s="282" t="e">
        <f>(INDEX(Tabla6[#All],MATCH(Tabla4[[#This Row],[Producto]],Tabla6[[#All],[PRODUCTO]],0),MATCH(Tabla4[[#This Row],[Mes]],Tabla6[#Headers],0)))</f>
        <v>#N/A</v>
      </c>
      <c r="R6470" s="282" t="e">
        <f>++Tabla4[[#This Row],[Precio Unitario Neto]]-Tabla4[[#This Row],[20.85%]]-Tabla4[[#This Row],[Costo]]</f>
        <v>#N/A</v>
      </c>
      <c r="S6470" s="282" t="e">
        <f>++Tabla4[[#This Row],[U. Bruta Uni]]*Tabla4[[#This Row],[Cantidad]]</f>
        <v>#N/A</v>
      </c>
      <c r="T6470" s="369" t="str">
        <f>VLOOKUP(Tabla4[[#This Row],[Producto]],Tabla6[#All],14,FALSE)</f>
        <v>Termico Solar</v>
      </c>
      <c r="U6470" s="284" t="e">
        <f>(IF(Tabla4[[#This Row],[Familia]]="termico solar",Tabla4[[#This Row],[Utilidad Total]]*6%,Tabla4[[#This Row],[Utilidad Total]]*11.5%))/Tabla4[[#This Row],[Total]]</f>
        <v>#N/A</v>
      </c>
      <c r="V6470" s="282" t="e">
        <f>+Tabla4[[#This Row],[Comisión Calculada]]*Tabla4[[#This Row],[Total]]</f>
        <v>#N/A</v>
      </c>
    </row>
    <row r="6471" spans="1:22" hidden="1" x14ac:dyDescent="0.25">
      <c r="A6471" s="100">
        <v>45945</v>
      </c>
      <c r="B6471" t="str">
        <f t="shared" si="366"/>
        <v>October</v>
      </c>
      <c r="C6471" s="46" t="s">
        <v>280</v>
      </c>
      <c r="F6471" s="366" t="s">
        <v>3291</v>
      </c>
      <c r="G6471" s="46" t="s">
        <v>208</v>
      </c>
      <c r="H6471" s="46">
        <v>2</v>
      </c>
      <c r="I6471" s="51">
        <v>189.75</v>
      </c>
      <c r="J6471" s="281">
        <f>++Tabla4[[#This Row],[Precio Bruto]]*1.16</f>
        <v>220.10999999999999</v>
      </c>
      <c r="K6471" s="281">
        <f>+Tabla4[[#This Row],[Precio Unitario Neto]]*Tabla4[[#Headers],[20.85%]]</f>
        <v>45.892934999999994</v>
      </c>
      <c r="L6471" s="282">
        <f>++Tabla4[[#This Row],[Precio Unitario Neto]]-Tabla4[[#This Row],[20.85%]]</f>
        <v>174.21706499999999</v>
      </c>
      <c r="M6471" s="282" t="e">
        <f>(INDEX(Tabla6[#All],MATCH(Tabla4[[#This Row],[Producto]],Tabla6[[#All],[PRODUCTO]],0),MATCH(Tabla4[[#This Row],[Mes]],Tabla6[#Headers],0)))*(1+Catalogos!$L$2)</f>
        <v>#N/A</v>
      </c>
      <c r="N6471" s="283" t="e">
        <f>+(Tabla4[[#This Row],[Precio Descontado]]-Tabla4[[#This Row],[Precio Base]])*Tabla4[[#This Row],[Cantidad]]</f>
        <v>#N/A</v>
      </c>
      <c r="O6471" s="284" t="e">
        <f>++Tabla4[[#This Row],[Utilidad Total]]/Tabla4[[#This Row],[Total]]</f>
        <v>#N/A</v>
      </c>
      <c r="P6471" s="282">
        <f>++Tabla4[[#This Row],[Precio Descontado]]*Tabla4[[#This Row],[Cantidad]]</f>
        <v>348.43412999999998</v>
      </c>
      <c r="Q6471" s="282" t="e">
        <f>(INDEX(Tabla6[#All],MATCH(Tabla4[[#This Row],[Producto]],Tabla6[[#All],[PRODUCTO]],0),MATCH(Tabla4[[#This Row],[Mes]],Tabla6[#Headers],0)))</f>
        <v>#N/A</v>
      </c>
      <c r="R6471" s="282" t="e">
        <f>++Tabla4[[#This Row],[Precio Unitario Neto]]-Tabla4[[#This Row],[20.85%]]-Tabla4[[#This Row],[Costo]]</f>
        <v>#N/A</v>
      </c>
      <c r="S6471" s="282" t="e">
        <f>++Tabla4[[#This Row],[U. Bruta Uni]]*Tabla4[[#This Row],[Cantidad]]</f>
        <v>#N/A</v>
      </c>
      <c r="T6471" s="369" t="str">
        <f>VLOOKUP(Tabla4[[#This Row],[Producto]],Tabla6[#All],14,FALSE)</f>
        <v>Termico Solar</v>
      </c>
      <c r="U6471" s="284" t="e">
        <f>(IF(Tabla4[[#This Row],[Familia]]="termico solar",Tabla4[[#This Row],[Utilidad Total]]*6%,Tabla4[[#This Row],[Utilidad Total]]*11.5%))/Tabla4[[#This Row],[Total]]</f>
        <v>#N/A</v>
      </c>
      <c r="V6471" s="282" t="e">
        <f>+Tabla4[[#This Row],[Comisión Calculada]]*Tabla4[[#This Row],[Total]]</f>
        <v>#N/A</v>
      </c>
    </row>
    <row r="6472" spans="1:22" hidden="1" x14ac:dyDescent="0.25">
      <c r="A6472" s="100">
        <v>45945</v>
      </c>
      <c r="B6472" t="str">
        <f t="shared" ref="B6472:B6476" si="367">TEXT(A6472, "mmmm")</f>
        <v>October</v>
      </c>
      <c r="C6472" s="46" t="s">
        <v>280</v>
      </c>
      <c r="F6472" s="366" t="s">
        <v>3292</v>
      </c>
      <c r="G6472" s="46" t="s">
        <v>83</v>
      </c>
      <c r="H6472" s="46">
        <v>12</v>
      </c>
      <c r="I6472" s="51">
        <v>8858.76</v>
      </c>
      <c r="J6472" s="281">
        <f>++Tabla4[[#This Row],[Precio Bruto]]*1.16</f>
        <v>10276.161599999999</v>
      </c>
      <c r="K6472" s="281">
        <f>+Tabla4[[#This Row],[Precio Unitario Neto]]*Tabla4[[#Headers],[20.85%]]</f>
        <v>2142.5796935999997</v>
      </c>
      <c r="L6472" s="282">
        <f>++Tabla4[[#This Row],[Precio Unitario Neto]]-Tabla4[[#This Row],[20.85%]]</f>
        <v>8133.5819063999998</v>
      </c>
      <c r="M6472" s="282" t="e">
        <f>(INDEX(Tabla6[#All],MATCH(Tabla4[[#This Row],[Producto]],Tabla6[[#All],[PRODUCTO]],0),MATCH(Tabla4[[#This Row],[Mes]],Tabla6[#Headers],0)))*(1+Catalogos!$L$2)</f>
        <v>#N/A</v>
      </c>
      <c r="N6472" s="283" t="e">
        <f>+(Tabla4[[#This Row],[Precio Descontado]]-Tabla4[[#This Row],[Precio Base]])*Tabla4[[#This Row],[Cantidad]]</f>
        <v>#N/A</v>
      </c>
      <c r="O6472" s="284" t="e">
        <f>++Tabla4[[#This Row],[Utilidad Total]]/Tabla4[[#This Row],[Total]]</f>
        <v>#N/A</v>
      </c>
      <c r="P6472" s="282">
        <f>++Tabla4[[#This Row],[Precio Descontado]]*Tabla4[[#This Row],[Cantidad]]</f>
        <v>97602.982876800001</v>
      </c>
      <c r="Q6472" s="282" t="e">
        <f>(INDEX(Tabla6[#All],MATCH(Tabla4[[#This Row],[Producto]],Tabla6[[#All],[PRODUCTO]],0),MATCH(Tabla4[[#This Row],[Mes]],Tabla6[#Headers],0)))</f>
        <v>#N/A</v>
      </c>
      <c r="R6472" s="282" t="e">
        <f>++Tabla4[[#This Row],[Precio Unitario Neto]]-Tabla4[[#This Row],[20.85%]]-Tabla4[[#This Row],[Costo]]</f>
        <v>#N/A</v>
      </c>
      <c r="S6472" s="282" t="e">
        <f>++Tabla4[[#This Row],[U. Bruta Uni]]*Tabla4[[#This Row],[Cantidad]]</f>
        <v>#N/A</v>
      </c>
      <c r="T6472" s="369" t="str">
        <f>VLOOKUP(Tabla4[[#This Row],[Producto]],Tabla6[#All],14,FALSE)</f>
        <v>Termico Solar</v>
      </c>
      <c r="U6472" s="284" t="e">
        <f>(IF(Tabla4[[#This Row],[Familia]]="termico solar",Tabla4[[#This Row],[Utilidad Total]]*6%,Tabla4[[#This Row],[Utilidad Total]]*11.5%))/Tabla4[[#This Row],[Total]]</f>
        <v>#N/A</v>
      </c>
      <c r="V6472" s="282" t="e">
        <f>+Tabla4[[#This Row],[Comisión Calculada]]*Tabla4[[#This Row],[Total]]</f>
        <v>#N/A</v>
      </c>
    </row>
    <row r="6473" spans="1:22" hidden="1" x14ac:dyDescent="0.25">
      <c r="A6473" s="100">
        <v>45945</v>
      </c>
      <c r="B6473" t="str">
        <f t="shared" si="367"/>
        <v>October</v>
      </c>
      <c r="C6473" s="46" t="s">
        <v>280</v>
      </c>
      <c r="F6473" s="366" t="s">
        <v>3292</v>
      </c>
      <c r="G6473" s="46" t="s">
        <v>17</v>
      </c>
      <c r="H6473" s="46">
        <v>8</v>
      </c>
      <c r="I6473" s="51">
        <v>4622.28</v>
      </c>
      <c r="J6473" s="281">
        <f>++Tabla4[[#This Row],[Precio Bruto]]*1.16</f>
        <v>5361.8447999999989</v>
      </c>
      <c r="K6473" s="281">
        <f>+Tabla4[[#This Row],[Precio Unitario Neto]]*Tabla4[[#Headers],[20.85%]]</f>
        <v>1117.9446407999997</v>
      </c>
      <c r="L6473" s="282">
        <f>++Tabla4[[#This Row],[Precio Unitario Neto]]-Tabla4[[#This Row],[20.85%]]</f>
        <v>4243.9001591999995</v>
      </c>
      <c r="M6473" s="282" t="e">
        <f>(INDEX(Tabla6[#All],MATCH(Tabla4[[#This Row],[Producto]],Tabla6[[#All],[PRODUCTO]],0),MATCH(Tabla4[[#This Row],[Mes]],Tabla6[#Headers],0)))*(1+Catalogos!$L$2)</f>
        <v>#N/A</v>
      </c>
      <c r="N6473" s="283" t="e">
        <f>+(Tabla4[[#This Row],[Precio Descontado]]-Tabla4[[#This Row],[Precio Base]])*Tabla4[[#This Row],[Cantidad]]</f>
        <v>#N/A</v>
      </c>
      <c r="O6473" s="284" t="e">
        <f>++Tabla4[[#This Row],[Utilidad Total]]/Tabla4[[#This Row],[Total]]</f>
        <v>#N/A</v>
      </c>
      <c r="P6473" s="282">
        <f>++Tabla4[[#This Row],[Precio Descontado]]*Tabla4[[#This Row],[Cantidad]]</f>
        <v>33951.201273599996</v>
      </c>
      <c r="Q6473" s="282" t="e">
        <f>(INDEX(Tabla6[#All],MATCH(Tabla4[[#This Row],[Producto]],Tabla6[[#All],[PRODUCTO]],0),MATCH(Tabla4[[#This Row],[Mes]],Tabla6[#Headers],0)))</f>
        <v>#N/A</v>
      </c>
      <c r="R6473" s="282" t="e">
        <f>++Tabla4[[#This Row],[Precio Unitario Neto]]-Tabla4[[#This Row],[20.85%]]-Tabla4[[#This Row],[Costo]]</f>
        <v>#N/A</v>
      </c>
      <c r="S6473" s="282" t="e">
        <f>++Tabla4[[#This Row],[U. Bruta Uni]]*Tabla4[[#This Row],[Cantidad]]</f>
        <v>#N/A</v>
      </c>
      <c r="T6473" s="369" t="str">
        <f>VLOOKUP(Tabla4[[#This Row],[Producto]],Tabla6[#All],14,FALSE)</f>
        <v>Termico Solar</v>
      </c>
      <c r="U6473" s="284" t="e">
        <f>(IF(Tabla4[[#This Row],[Familia]]="termico solar",Tabla4[[#This Row],[Utilidad Total]]*6%,Tabla4[[#This Row],[Utilidad Total]]*11.5%))/Tabla4[[#This Row],[Total]]</f>
        <v>#N/A</v>
      </c>
      <c r="V6473" s="282" t="e">
        <f>+Tabla4[[#This Row],[Comisión Calculada]]*Tabla4[[#This Row],[Total]]</f>
        <v>#N/A</v>
      </c>
    </row>
    <row r="6474" spans="1:22" hidden="1" x14ac:dyDescent="0.25">
      <c r="A6474" s="100">
        <v>45945</v>
      </c>
      <c r="B6474" t="str">
        <f t="shared" si="367"/>
        <v>October</v>
      </c>
      <c r="C6474" s="46" t="s">
        <v>280</v>
      </c>
      <c r="F6474" s="366" t="s">
        <v>3292</v>
      </c>
      <c r="G6474" s="46" t="s">
        <v>18</v>
      </c>
      <c r="H6474" s="46">
        <v>12</v>
      </c>
      <c r="I6474" s="51">
        <v>5367.6500000000005</v>
      </c>
      <c r="J6474" s="281">
        <f>++Tabla4[[#This Row],[Precio Bruto]]*1.16</f>
        <v>6226.4740000000002</v>
      </c>
      <c r="K6474" s="281">
        <f>+Tabla4[[#This Row],[Precio Unitario Neto]]*Tabla4[[#Headers],[20.85%]]</f>
        <v>1298.2198289999999</v>
      </c>
      <c r="L6474" s="282">
        <f>++Tabla4[[#This Row],[Precio Unitario Neto]]-Tabla4[[#This Row],[20.85%]]</f>
        <v>4928.2541710000005</v>
      </c>
      <c r="M6474" s="282" t="e">
        <f>(INDEX(Tabla6[#All],MATCH(Tabla4[[#This Row],[Producto]],Tabla6[[#All],[PRODUCTO]],0),MATCH(Tabla4[[#This Row],[Mes]],Tabla6[#Headers],0)))*(1+Catalogos!$L$2)</f>
        <v>#N/A</v>
      </c>
      <c r="N6474" s="283" t="e">
        <f>+(Tabla4[[#This Row],[Precio Descontado]]-Tabla4[[#This Row],[Precio Base]])*Tabla4[[#This Row],[Cantidad]]</f>
        <v>#N/A</v>
      </c>
      <c r="O6474" s="284" t="e">
        <f>++Tabla4[[#This Row],[Utilidad Total]]/Tabla4[[#This Row],[Total]]</f>
        <v>#N/A</v>
      </c>
      <c r="P6474" s="282">
        <f>++Tabla4[[#This Row],[Precio Descontado]]*Tabla4[[#This Row],[Cantidad]]</f>
        <v>59139.050052000006</v>
      </c>
      <c r="Q6474" s="282" t="e">
        <f>(INDEX(Tabla6[#All],MATCH(Tabla4[[#This Row],[Producto]],Tabla6[[#All],[PRODUCTO]],0),MATCH(Tabla4[[#This Row],[Mes]],Tabla6[#Headers],0)))</f>
        <v>#N/A</v>
      </c>
      <c r="R6474" s="282" t="e">
        <f>++Tabla4[[#This Row],[Precio Unitario Neto]]-Tabla4[[#This Row],[20.85%]]-Tabla4[[#This Row],[Costo]]</f>
        <v>#N/A</v>
      </c>
      <c r="S6474" s="282" t="e">
        <f>++Tabla4[[#This Row],[U. Bruta Uni]]*Tabla4[[#This Row],[Cantidad]]</f>
        <v>#N/A</v>
      </c>
      <c r="T6474" s="369" t="str">
        <f>VLOOKUP(Tabla4[[#This Row],[Producto]],Tabla6[#All],14,FALSE)</f>
        <v>Termico Solar</v>
      </c>
      <c r="U6474" s="284" t="e">
        <f>(IF(Tabla4[[#This Row],[Familia]]="termico solar",Tabla4[[#This Row],[Utilidad Total]]*6%,Tabla4[[#This Row],[Utilidad Total]]*11.5%))/Tabla4[[#This Row],[Total]]</f>
        <v>#N/A</v>
      </c>
      <c r="V6474" s="282" t="e">
        <f>+Tabla4[[#This Row],[Comisión Calculada]]*Tabla4[[#This Row],[Total]]</f>
        <v>#N/A</v>
      </c>
    </row>
    <row r="6475" spans="1:22" hidden="1" x14ac:dyDescent="0.25">
      <c r="A6475" s="100">
        <v>45945</v>
      </c>
      <c r="B6475" t="str">
        <f t="shared" si="367"/>
        <v>October</v>
      </c>
      <c r="C6475" s="46" t="s">
        <v>280</v>
      </c>
      <c r="F6475" s="366" t="s">
        <v>3292</v>
      </c>
      <c r="G6475" s="46" t="s">
        <v>566</v>
      </c>
      <c r="H6475" s="46">
        <v>2</v>
      </c>
      <c r="I6475" s="51">
        <v>2109.4499999999998</v>
      </c>
      <c r="J6475" s="281">
        <f>++Tabla4[[#This Row],[Precio Bruto]]*1.16</f>
        <v>2446.9619999999995</v>
      </c>
      <c r="K6475" s="281">
        <f>+Tabla4[[#This Row],[Precio Unitario Neto]]*Tabla4[[#Headers],[20.85%]]</f>
        <v>510.19157699999988</v>
      </c>
      <c r="L6475" s="282">
        <f>++Tabla4[[#This Row],[Precio Unitario Neto]]-Tabla4[[#This Row],[20.85%]]</f>
        <v>1936.7704229999997</v>
      </c>
      <c r="M6475" s="282" t="e">
        <f>(INDEX(Tabla6[#All],MATCH(Tabla4[[#This Row],[Producto]],Tabla6[[#All],[PRODUCTO]],0),MATCH(Tabla4[[#This Row],[Mes]],Tabla6[#Headers],0)))*(1+Catalogos!$L$2)</f>
        <v>#N/A</v>
      </c>
      <c r="N6475" s="283" t="e">
        <f>+(Tabla4[[#This Row],[Precio Descontado]]-Tabla4[[#This Row],[Precio Base]])*Tabla4[[#This Row],[Cantidad]]</f>
        <v>#N/A</v>
      </c>
      <c r="O6475" s="284" t="e">
        <f>++Tabla4[[#This Row],[Utilidad Total]]/Tabla4[[#This Row],[Total]]</f>
        <v>#N/A</v>
      </c>
      <c r="P6475" s="282">
        <f>++Tabla4[[#This Row],[Precio Descontado]]*Tabla4[[#This Row],[Cantidad]]</f>
        <v>3873.5408459999994</v>
      </c>
      <c r="Q6475" s="282" t="e">
        <f>(INDEX(Tabla6[#All],MATCH(Tabla4[[#This Row],[Producto]],Tabla6[[#All],[PRODUCTO]],0),MATCH(Tabla4[[#This Row],[Mes]],Tabla6[#Headers],0)))</f>
        <v>#N/A</v>
      </c>
      <c r="R6475" s="282" t="e">
        <f>++Tabla4[[#This Row],[Precio Unitario Neto]]-Tabla4[[#This Row],[20.85%]]-Tabla4[[#This Row],[Costo]]</f>
        <v>#N/A</v>
      </c>
      <c r="S6475" s="282" t="e">
        <f>++Tabla4[[#This Row],[U. Bruta Uni]]*Tabla4[[#This Row],[Cantidad]]</f>
        <v>#N/A</v>
      </c>
      <c r="T6475" s="369" t="str">
        <f>VLOOKUP(Tabla4[[#This Row],[Producto]],Tabla6[#All],14,FALSE)</f>
        <v>Termico Solar</v>
      </c>
      <c r="U6475" s="284" t="e">
        <f>(IF(Tabla4[[#This Row],[Familia]]="termico solar",Tabla4[[#This Row],[Utilidad Total]]*6%,Tabla4[[#This Row],[Utilidad Total]]*11.5%))/Tabla4[[#This Row],[Total]]</f>
        <v>#N/A</v>
      </c>
      <c r="V6475" s="282" t="e">
        <f>+Tabla4[[#This Row],[Comisión Calculada]]*Tabla4[[#This Row],[Total]]</f>
        <v>#N/A</v>
      </c>
    </row>
    <row r="6476" spans="1:22" hidden="1" x14ac:dyDescent="0.25">
      <c r="A6476" s="100">
        <v>45945</v>
      </c>
      <c r="B6476" t="str">
        <f t="shared" si="367"/>
        <v>October</v>
      </c>
      <c r="C6476" s="46" t="s">
        <v>280</v>
      </c>
      <c r="F6476" s="366" t="s">
        <v>3292</v>
      </c>
      <c r="G6476" s="46" t="s">
        <v>412</v>
      </c>
      <c r="H6476" s="46">
        <v>1</v>
      </c>
      <c r="I6476" s="51">
        <v>3240.84</v>
      </c>
      <c r="J6476" s="281">
        <f>++Tabla4[[#This Row],[Precio Bruto]]*1.16</f>
        <v>3759.3743999999997</v>
      </c>
      <c r="K6476" s="281">
        <f>+Tabla4[[#This Row],[Precio Unitario Neto]]*Tabla4[[#Headers],[20.85%]]</f>
        <v>783.82956239999987</v>
      </c>
      <c r="L6476" s="282">
        <f>++Tabla4[[#This Row],[Precio Unitario Neto]]-Tabla4[[#This Row],[20.85%]]</f>
        <v>2975.5448375999999</v>
      </c>
      <c r="M6476" s="282" t="e">
        <f>(INDEX(Tabla6[#All],MATCH(Tabla4[[#This Row],[Producto]],Tabla6[[#All],[PRODUCTO]],0),MATCH(Tabla4[[#This Row],[Mes]],Tabla6[#Headers],0)))*(1+Catalogos!$L$2)</f>
        <v>#N/A</v>
      </c>
      <c r="N6476" s="283" t="e">
        <f>+(Tabla4[[#This Row],[Precio Descontado]]-Tabla4[[#This Row],[Precio Base]])*Tabla4[[#This Row],[Cantidad]]</f>
        <v>#N/A</v>
      </c>
      <c r="O6476" s="284" t="e">
        <f>++Tabla4[[#This Row],[Utilidad Total]]/Tabla4[[#This Row],[Total]]</f>
        <v>#N/A</v>
      </c>
      <c r="P6476" s="282">
        <f>++Tabla4[[#This Row],[Precio Descontado]]*Tabla4[[#This Row],[Cantidad]]</f>
        <v>2975.5448375999999</v>
      </c>
      <c r="Q6476" s="282" t="e">
        <f>(INDEX(Tabla6[#All],MATCH(Tabla4[[#This Row],[Producto]],Tabla6[[#All],[PRODUCTO]],0),MATCH(Tabla4[[#This Row],[Mes]],Tabla6[#Headers],0)))</f>
        <v>#N/A</v>
      </c>
      <c r="R6476" s="282" t="e">
        <f>++Tabla4[[#This Row],[Precio Unitario Neto]]-Tabla4[[#This Row],[20.85%]]-Tabla4[[#This Row],[Costo]]</f>
        <v>#N/A</v>
      </c>
      <c r="S6476" s="282" t="e">
        <f>++Tabla4[[#This Row],[U. Bruta Uni]]*Tabla4[[#This Row],[Cantidad]]</f>
        <v>#N/A</v>
      </c>
      <c r="T6476" s="369" t="str">
        <f>VLOOKUP(Tabla4[[#This Row],[Producto]],Tabla6[#All],14,FALSE)</f>
        <v>Termico Solar</v>
      </c>
      <c r="U6476" s="284" t="e">
        <f>(IF(Tabla4[[#This Row],[Familia]]="termico solar",Tabla4[[#This Row],[Utilidad Total]]*6%,Tabla4[[#This Row],[Utilidad Total]]*11.5%))/Tabla4[[#This Row],[Total]]</f>
        <v>#N/A</v>
      </c>
      <c r="V6476" s="282" t="e">
        <f>+Tabla4[[#This Row],[Comisión Calculada]]*Tabla4[[#This Row],[Total]]</f>
        <v>#N/A</v>
      </c>
    </row>
    <row r="6477" spans="1:22" hidden="1" x14ac:dyDescent="0.25">
      <c r="A6477" s="100">
        <v>45945</v>
      </c>
      <c r="B6477" t="str">
        <f>TEXT(A6477, "mmmm")</f>
        <v>October</v>
      </c>
      <c r="C6477" s="46" t="s">
        <v>280</v>
      </c>
      <c r="F6477" s="366" t="s">
        <v>3293</v>
      </c>
      <c r="G6477" s="46" t="s">
        <v>17</v>
      </c>
      <c r="H6477" s="46">
        <v>2</v>
      </c>
      <c r="I6477" s="51">
        <v>4622.28</v>
      </c>
      <c r="J6477" s="281">
        <f>++Tabla4[[#This Row],[Precio Bruto]]*1.16</f>
        <v>5361.8447999999989</v>
      </c>
      <c r="K6477" s="281">
        <f>+Tabla4[[#This Row],[Precio Unitario Neto]]*Tabla4[[#Headers],[20.85%]]</f>
        <v>1117.9446407999997</v>
      </c>
      <c r="L6477" s="282">
        <f>++Tabla4[[#This Row],[Precio Unitario Neto]]-Tabla4[[#This Row],[20.85%]]</f>
        <v>4243.9001591999995</v>
      </c>
      <c r="M6477" s="282" t="e">
        <f>(INDEX(Tabla6[#All],MATCH(Tabla4[[#This Row],[Producto]],Tabla6[[#All],[PRODUCTO]],0),MATCH(Tabla4[[#This Row],[Mes]],Tabla6[#Headers],0)))*(1+Catalogos!$L$2)</f>
        <v>#N/A</v>
      </c>
      <c r="N6477" s="283" t="e">
        <f>+(Tabla4[[#This Row],[Precio Descontado]]-Tabla4[[#This Row],[Precio Base]])*Tabla4[[#This Row],[Cantidad]]</f>
        <v>#N/A</v>
      </c>
      <c r="O6477" s="284" t="e">
        <f>++Tabla4[[#This Row],[Utilidad Total]]/Tabla4[[#This Row],[Total]]</f>
        <v>#N/A</v>
      </c>
      <c r="P6477" s="282">
        <f>++Tabla4[[#This Row],[Precio Descontado]]*Tabla4[[#This Row],[Cantidad]]</f>
        <v>8487.800318399999</v>
      </c>
      <c r="Q6477" s="282" t="e">
        <f>(INDEX(Tabla6[#All],MATCH(Tabla4[[#This Row],[Producto]],Tabla6[[#All],[PRODUCTO]],0),MATCH(Tabla4[[#This Row],[Mes]],Tabla6[#Headers],0)))</f>
        <v>#N/A</v>
      </c>
      <c r="R6477" s="282" t="e">
        <f>++Tabla4[[#This Row],[Precio Unitario Neto]]-Tabla4[[#This Row],[20.85%]]-Tabla4[[#This Row],[Costo]]</f>
        <v>#N/A</v>
      </c>
      <c r="S6477" s="282" t="e">
        <f>++Tabla4[[#This Row],[U. Bruta Uni]]*Tabla4[[#This Row],[Cantidad]]</f>
        <v>#N/A</v>
      </c>
      <c r="T6477" s="369" t="str">
        <f>VLOOKUP(Tabla4[[#This Row],[Producto]],Tabla6[#All],14,FALSE)</f>
        <v>Termico Solar</v>
      </c>
      <c r="U6477" s="284" t="e">
        <f>(IF(Tabla4[[#This Row],[Familia]]="termico solar",Tabla4[[#This Row],[Utilidad Total]]*6%,Tabla4[[#This Row],[Utilidad Total]]*11.5%))/Tabla4[[#This Row],[Total]]</f>
        <v>#N/A</v>
      </c>
      <c r="V6477" s="282" t="e">
        <f>+Tabla4[[#This Row],[Comisión Calculada]]*Tabla4[[#This Row],[Total]]</f>
        <v>#N/A</v>
      </c>
    </row>
    <row r="6478" spans="1:22" hidden="1" x14ac:dyDescent="0.25">
      <c r="A6478" s="100">
        <v>45961</v>
      </c>
      <c r="B6478" t="str">
        <f>TEXT(A6478, "mmmm")</f>
        <v>October</v>
      </c>
      <c r="C6478" s="46" t="s">
        <v>280</v>
      </c>
      <c r="F6478" s="366" t="s">
        <v>3294</v>
      </c>
      <c r="G6478" s="46" t="s">
        <v>83</v>
      </c>
      <c r="H6478" s="46">
        <v>7</v>
      </c>
      <c r="I6478" s="51">
        <v>8858.76</v>
      </c>
      <c r="J6478" s="281">
        <f>++Tabla4[[#This Row],[Precio Bruto]]*1.16</f>
        <v>10276.161599999999</v>
      </c>
      <c r="K6478" s="281">
        <f>+Tabla4[[#This Row],[Precio Unitario Neto]]*Tabla4[[#Headers],[20.85%]]</f>
        <v>2142.5796935999997</v>
      </c>
      <c r="L6478" s="282">
        <f>++Tabla4[[#This Row],[Precio Unitario Neto]]-Tabla4[[#This Row],[20.85%]]</f>
        <v>8133.5819063999998</v>
      </c>
      <c r="M6478" s="282" t="e">
        <f>(INDEX(Tabla6[#All],MATCH(Tabla4[[#This Row],[Producto]],Tabla6[[#All],[PRODUCTO]],0),MATCH(Tabla4[[#This Row],[Mes]],Tabla6[#Headers],0)))*(1+Catalogos!$L$2)</f>
        <v>#N/A</v>
      </c>
      <c r="N6478" s="283" t="e">
        <f>+(Tabla4[[#This Row],[Precio Descontado]]-Tabla4[[#This Row],[Precio Base]])*Tabla4[[#This Row],[Cantidad]]</f>
        <v>#N/A</v>
      </c>
      <c r="O6478" s="284" t="e">
        <f>++Tabla4[[#This Row],[Utilidad Total]]/Tabla4[[#This Row],[Total]]</f>
        <v>#N/A</v>
      </c>
      <c r="P6478" s="282">
        <f>++Tabla4[[#This Row],[Precio Descontado]]*Tabla4[[#This Row],[Cantidad]]</f>
        <v>56935.073344799996</v>
      </c>
      <c r="Q6478" s="282" t="e">
        <f>(INDEX(Tabla6[#All],MATCH(Tabla4[[#This Row],[Producto]],Tabla6[[#All],[PRODUCTO]],0),MATCH(Tabla4[[#This Row],[Mes]],Tabla6[#Headers],0)))</f>
        <v>#N/A</v>
      </c>
      <c r="R6478" s="282" t="e">
        <f>++Tabla4[[#This Row],[Precio Unitario Neto]]-Tabla4[[#This Row],[20.85%]]-Tabla4[[#This Row],[Costo]]</f>
        <v>#N/A</v>
      </c>
      <c r="S6478" s="282" t="e">
        <f>++Tabla4[[#This Row],[U. Bruta Uni]]*Tabla4[[#This Row],[Cantidad]]</f>
        <v>#N/A</v>
      </c>
      <c r="T6478" s="369" t="str">
        <f>VLOOKUP(Tabla4[[#This Row],[Producto]],Tabla6[#All],14,FALSE)</f>
        <v>Termico Solar</v>
      </c>
      <c r="U6478" s="284" t="e">
        <f>(IF(Tabla4[[#This Row],[Familia]]="termico solar",Tabla4[[#This Row],[Utilidad Total]]*6%,Tabla4[[#This Row],[Utilidad Total]]*11.5%))/Tabla4[[#This Row],[Total]]</f>
        <v>#N/A</v>
      </c>
      <c r="V6478" s="282" t="e">
        <f>+Tabla4[[#This Row],[Comisión Calculada]]*Tabla4[[#This Row],[Total]]</f>
        <v>#N/A</v>
      </c>
    </row>
    <row r="6479" spans="1:22" hidden="1" x14ac:dyDescent="0.25">
      <c r="A6479" s="100">
        <v>45961</v>
      </c>
      <c r="B6479" t="str">
        <f>TEXT(A6479, "mmmm")</f>
        <v>October</v>
      </c>
      <c r="C6479" s="46" t="s">
        <v>280</v>
      </c>
      <c r="F6479" s="366" t="s">
        <v>3295</v>
      </c>
      <c r="G6479" s="46" t="s">
        <v>83</v>
      </c>
      <c r="H6479" s="46">
        <v>4</v>
      </c>
      <c r="I6479" s="51">
        <v>8858.76</v>
      </c>
      <c r="J6479" s="281">
        <f>++Tabla4[[#This Row],[Precio Bruto]]*1.16</f>
        <v>10276.161599999999</v>
      </c>
      <c r="K6479" s="281">
        <f>+Tabla4[[#This Row],[Precio Unitario Neto]]*Tabla4[[#Headers],[20.85%]]</f>
        <v>2142.5796935999997</v>
      </c>
      <c r="L6479" s="282">
        <f>++Tabla4[[#This Row],[Precio Unitario Neto]]-Tabla4[[#This Row],[20.85%]]</f>
        <v>8133.5819063999998</v>
      </c>
      <c r="M6479" s="282" t="e">
        <f>(INDEX(Tabla6[#All],MATCH(Tabla4[[#This Row],[Producto]],Tabla6[[#All],[PRODUCTO]],0),MATCH(Tabla4[[#This Row],[Mes]],Tabla6[#Headers],0)))*(1+Catalogos!$L$2)</f>
        <v>#N/A</v>
      </c>
      <c r="N6479" s="283" t="e">
        <f>+(Tabla4[[#This Row],[Precio Descontado]]-Tabla4[[#This Row],[Precio Base]])*Tabla4[[#This Row],[Cantidad]]</f>
        <v>#N/A</v>
      </c>
      <c r="O6479" s="284" t="e">
        <f>++Tabla4[[#This Row],[Utilidad Total]]/Tabla4[[#This Row],[Total]]</f>
        <v>#N/A</v>
      </c>
      <c r="P6479" s="282">
        <f>++Tabla4[[#This Row],[Precio Descontado]]*Tabla4[[#This Row],[Cantidad]]</f>
        <v>32534.327625599999</v>
      </c>
      <c r="Q6479" s="282" t="e">
        <f>(INDEX(Tabla6[#All],MATCH(Tabla4[[#This Row],[Producto]],Tabla6[[#All],[PRODUCTO]],0),MATCH(Tabla4[[#This Row],[Mes]],Tabla6[#Headers],0)))</f>
        <v>#N/A</v>
      </c>
      <c r="R6479" s="282" t="e">
        <f>++Tabla4[[#This Row],[Precio Unitario Neto]]-Tabla4[[#This Row],[20.85%]]-Tabla4[[#This Row],[Costo]]</f>
        <v>#N/A</v>
      </c>
      <c r="S6479" s="282" t="e">
        <f>++Tabla4[[#This Row],[U. Bruta Uni]]*Tabla4[[#This Row],[Cantidad]]</f>
        <v>#N/A</v>
      </c>
      <c r="T6479" s="369" t="str">
        <f>VLOOKUP(Tabla4[[#This Row],[Producto]],Tabla6[#All],14,FALSE)</f>
        <v>Termico Solar</v>
      </c>
      <c r="U6479" s="284" t="e">
        <f>(IF(Tabla4[[#This Row],[Familia]]="termico solar",Tabla4[[#This Row],[Utilidad Total]]*6%,Tabla4[[#This Row],[Utilidad Total]]*11.5%))/Tabla4[[#This Row],[Total]]</f>
        <v>#N/A</v>
      </c>
      <c r="V6479" s="282" t="e">
        <f>+Tabla4[[#This Row],[Comisión Calculada]]*Tabla4[[#This Row],[Total]]</f>
        <v>#N/A</v>
      </c>
    </row>
    <row r="6480" spans="1:22" hidden="1" x14ac:dyDescent="0.25">
      <c r="A6480" s="100">
        <v>45961</v>
      </c>
      <c r="B6480" t="str">
        <f t="shared" ref="B6480:B6483" si="368">TEXT(A6480, "mmmm")</f>
        <v>October</v>
      </c>
      <c r="C6480" s="46" t="s">
        <v>280</v>
      </c>
      <c r="F6480" s="366" t="s">
        <v>3296</v>
      </c>
      <c r="G6480" s="46" t="s">
        <v>83</v>
      </c>
      <c r="H6480" s="46">
        <v>7</v>
      </c>
      <c r="I6480" s="51">
        <v>8858.76</v>
      </c>
      <c r="J6480" s="281">
        <f>++Tabla4[[#This Row],[Precio Bruto]]*1.16</f>
        <v>10276.161599999999</v>
      </c>
      <c r="K6480" s="281">
        <f>+Tabla4[[#This Row],[Precio Unitario Neto]]*Tabla4[[#Headers],[20.85%]]</f>
        <v>2142.5796935999997</v>
      </c>
      <c r="L6480" s="282">
        <f>++Tabla4[[#This Row],[Precio Unitario Neto]]-Tabla4[[#This Row],[20.85%]]</f>
        <v>8133.5819063999998</v>
      </c>
      <c r="M6480" s="282" t="e">
        <f>(INDEX(Tabla6[#All],MATCH(Tabla4[[#This Row],[Producto]],Tabla6[[#All],[PRODUCTO]],0),MATCH(Tabla4[[#This Row],[Mes]],Tabla6[#Headers],0)))*(1+Catalogos!$L$2)</f>
        <v>#N/A</v>
      </c>
      <c r="N6480" s="283" t="e">
        <f>+(Tabla4[[#This Row],[Precio Descontado]]-Tabla4[[#This Row],[Precio Base]])*Tabla4[[#This Row],[Cantidad]]</f>
        <v>#N/A</v>
      </c>
      <c r="O6480" s="284" t="e">
        <f>++Tabla4[[#This Row],[Utilidad Total]]/Tabla4[[#This Row],[Total]]</f>
        <v>#N/A</v>
      </c>
      <c r="P6480" s="282">
        <f>++Tabla4[[#This Row],[Precio Descontado]]*Tabla4[[#This Row],[Cantidad]]</f>
        <v>56935.073344799996</v>
      </c>
      <c r="Q6480" s="282" t="e">
        <f>(INDEX(Tabla6[#All],MATCH(Tabla4[[#This Row],[Producto]],Tabla6[[#All],[PRODUCTO]],0),MATCH(Tabla4[[#This Row],[Mes]],Tabla6[#Headers],0)))</f>
        <v>#N/A</v>
      </c>
      <c r="R6480" s="282" t="e">
        <f>++Tabla4[[#This Row],[Precio Unitario Neto]]-Tabla4[[#This Row],[20.85%]]-Tabla4[[#This Row],[Costo]]</f>
        <v>#N/A</v>
      </c>
      <c r="S6480" s="282" t="e">
        <f>++Tabla4[[#This Row],[U. Bruta Uni]]*Tabla4[[#This Row],[Cantidad]]</f>
        <v>#N/A</v>
      </c>
      <c r="T6480" s="369" t="str">
        <f>VLOOKUP(Tabla4[[#This Row],[Producto]],Tabla6[#All],14,FALSE)</f>
        <v>Termico Solar</v>
      </c>
      <c r="U6480" s="284" t="e">
        <f>(IF(Tabla4[[#This Row],[Familia]]="termico solar",Tabla4[[#This Row],[Utilidad Total]]*6%,Tabla4[[#This Row],[Utilidad Total]]*11.5%))/Tabla4[[#This Row],[Total]]</f>
        <v>#N/A</v>
      </c>
      <c r="V6480" s="282" t="e">
        <f>+Tabla4[[#This Row],[Comisión Calculada]]*Tabla4[[#This Row],[Total]]</f>
        <v>#N/A</v>
      </c>
    </row>
    <row r="6481" spans="1:22" hidden="1" x14ac:dyDescent="0.25">
      <c r="A6481" s="100">
        <v>45961</v>
      </c>
      <c r="B6481" t="str">
        <f t="shared" si="368"/>
        <v>October</v>
      </c>
      <c r="C6481" s="46" t="s">
        <v>280</v>
      </c>
      <c r="F6481" s="366" t="s">
        <v>3296</v>
      </c>
      <c r="G6481" s="46" t="s">
        <v>17</v>
      </c>
      <c r="H6481" s="46">
        <v>38</v>
      </c>
      <c r="I6481" s="51">
        <v>4622.2800000000007</v>
      </c>
      <c r="J6481" s="281">
        <f>++Tabla4[[#This Row],[Precio Bruto]]*1.16</f>
        <v>5361.8448000000008</v>
      </c>
      <c r="K6481" s="281">
        <f>+Tabla4[[#This Row],[Precio Unitario Neto]]*Tabla4[[#Headers],[20.85%]]</f>
        <v>1117.9446408000001</v>
      </c>
      <c r="L6481" s="282">
        <f>++Tabla4[[#This Row],[Precio Unitario Neto]]-Tabla4[[#This Row],[20.85%]]</f>
        <v>4243.9001592000004</v>
      </c>
      <c r="M6481" s="282" t="e">
        <f>(INDEX(Tabla6[#All],MATCH(Tabla4[[#This Row],[Producto]],Tabla6[[#All],[PRODUCTO]],0),MATCH(Tabla4[[#This Row],[Mes]],Tabla6[#Headers],0)))*(1+Catalogos!$L$2)</f>
        <v>#N/A</v>
      </c>
      <c r="N6481" s="283" t="e">
        <f>+(Tabla4[[#This Row],[Precio Descontado]]-Tabla4[[#This Row],[Precio Base]])*Tabla4[[#This Row],[Cantidad]]</f>
        <v>#N/A</v>
      </c>
      <c r="O6481" s="284" t="e">
        <f>++Tabla4[[#This Row],[Utilidad Total]]/Tabla4[[#This Row],[Total]]</f>
        <v>#N/A</v>
      </c>
      <c r="P6481" s="282">
        <f>++Tabla4[[#This Row],[Precio Descontado]]*Tabla4[[#This Row],[Cantidad]]</f>
        <v>161268.2060496</v>
      </c>
      <c r="Q6481" s="282" t="e">
        <f>(INDEX(Tabla6[#All],MATCH(Tabla4[[#This Row],[Producto]],Tabla6[[#All],[PRODUCTO]],0),MATCH(Tabla4[[#This Row],[Mes]],Tabla6[#Headers],0)))</f>
        <v>#N/A</v>
      </c>
      <c r="R6481" s="282" t="e">
        <f>++Tabla4[[#This Row],[Precio Unitario Neto]]-Tabla4[[#This Row],[20.85%]]-Tabla4[[#This Row],[Costo]]</f>
        <v>#N/A</v>
      </c>
      <c r="S6481" s="282" t="e">
        <f>++Tabla4[[#This Row],[U. Bruta Uni]]*Tabla4[[#This Row],[Cantidad]]</f>
        <v>#N/A</v>
      </c>
      <c r="T6481" s="369" t="str">
        <f>VLOOKUP(Tabla4[[#This Row],[Producto]],Tabla6[#All],14,FALSE)</f>
        <v>Termico Solar</v>
      </c>
      <c r="U6481" s="284" t="e">
        <f>(IF(Tabla4[[#This Row],[Familia]]="termico solar",Tabla4[[#This Row],[Utilidad Total]]*6%,Tabla4[[#This Row],[Utilidad Total]]*11.5%))/Tabla4[[#This Row],[Total]]</f>
        <v>#N/A</v>
      </c>
      <c r="V6481" s="282" t="e">
        <f>+Tabla4[[#This Row],[Comisión Calculada]]*Tabla4[[#This Row],[Total]]</f>
        <v>#N/A</v>
      </c>
    </row>
    <row r="6482" spans="1:22" hidden="1" x14ac:dyDescent="0.25">
      <c r="A6482" s="100">
        <v>45961</v>
      </c>
      <c r="B6482" t="str">
        <f t="shared" si="368"/>
        <v>October</v>
      </c>
      <c r="C6482" s="46" t="s">
        <v>280</v>
      </c>
      <c r="F6482" s="366" t="s">
        <v>3296</v>
      </c>
      <c r="G6482" s="46" t="s">
        <v>18</v>
      </c>
      <c r="H6482" s="46">
        <v>45</v>
      </c>
      <c r="I6482" s="51">
        <v>5367.65</v>
      </c>
      <c r="J6482" s="281">
        <f>++Tabla4[[#This Row],[Precio Bruto]]*1.16</f>
        <v>6226.4739999999993</v>
      </c>
      <c r="K6482" s="281">
        <f>+Tabla4[[#This Row],[Precio Unitario Neto]]*Tabla4[[#Headers],[20.85%]]</f>
        <v>1298.2198289999999</v>
      </c>
      <c r="L6482" s="282">
        <f>++Tabla4[[#This Row],[Precio Unitario Neto]]-Tabla4[[#This Row],[20.85%]]</f>
        <v>4928.2541709999996</v>
      </c>
      <c r="M6482" s="282" t="e">
        <f>(INDEX(Tabla6[#All],MATCH(Tabla4[[#This Row],[Producto]],Tabla6[[#All],[PRODUCTO]],0),MATCH(Tabla4[[#This Row],[Mes]],Tabla6[#Headers],0)))*(1+Catalogos!$L$2)</f>
        <v>#N/A</v>
      </c>
      <c r="N6482" s="283" t="e">
        <f>+(Tabla4[[#This Row],[Precio Descontado]]-Tabla4[[#This Row],[Precio Base]])*Tabla4[[#This Row],[Cantidad]]</f>
        <v>#N/A</v>
      </c>
      <c r="O6482" s="284" t="e">
        <f>++Tabla4[[#This Row],[Utilidad Total]]/Tabla4[[#This Row],[Total]]</f>
        <v>#N/A</v>
      </c>
      <c r="P6482" s="282">
        <f>++Tabla4[[#This Row],[Precio Descontado]]*Tabla4[[#This Row],[Cantidad]]</f>
        <v>221771.43769499997</v>
      </c>
      <c r="Q6482" s="282" t="e">
        <f>(INDEX(Tabla6[#All],MATCH(Tabla4[[#This Row],[Producto]],Tabla6[[#All],[PRODUCTO]],0),MATCH(Tabla4[[#This Row],[Mes]],Tabla6[#Headers],0)))</f>
        <v>#N/A</v>
      </c>
      <c r="R6482" s="282" t="e">
        <f>++Tabla4[[#This Row],[Precio Unitario Neto]]-Tabla4[[#This Row],[20.85%]]-Tabla4[[#This Row],[Costo]]</f>
        <v>#N/A</v>
      </c>
      <c r="S6482" s="282" t="e">
        <f>++Tabla4[[#This Row],[U. Bruta Uni]]*Tabla4[[#This Row],[Cantidad]]</f>
        <v>#N/A</v>
      </c>
      <c r="T6482" s="369" t="str">
        <f>VLOOKUP(Tabla4[[#This Row],[Producto]],Tabla6[#All],14,FALSE)</f>
        <v>Termico Solar</v>
      </c>
      <c r="U6482" s="284" t="e">
        <f>(IF(Tabla4[[#This Row],[Familia]]="termico solar",Tabla4[[#This Row],[Utilidad Total]]*6%,Tabla4[[#This Row],[Utilidad Total]]*11.5%))/Tabla4[[#This Row],[Total]]</f>
        <v>#N/A</v>
      </c>
      <c r="V6482" s="282" t="e">
        <f>+Tabla4[[#This Row],[Comisión Calculada]]*Tabla4[[#This Row],[Total]]</f>
        <v>#N/A</v>
      </c>
    </row>
    <row r="6483" spans="1:22" hidden="1" x14ac:dyDescent="0.25">
      <c r="A6483" s="100">
        <v>45961</v>
      </c>
      <c r="B6483" t="str">
        <f t="shared" si="368"/>
        <v>October</v>
      </c>
      <c r="C6483" s="46" t="s">
        <v>280</v>
      </c>
      <c r="F6483" s="366" t="s">
        <v>3296</v>
      </c>
      <c r="G6483" s="46" t="s">
        <v>16</v>
      </c>
      <c r="H6483" s="46">
        <v>24</v>
      </c>
      <c r="I6483" s="51">
        <v>4103.8499999999995</v>
      </c>
      <c r="J6483" s="281">
        <f>++Tabla4[[#This Row],[Precio Bruto]]*1.16</f>
        <v>4760.4659999999994</v>
      </c>
      <c r="K6483" s="281">
        <f>+Tabla4[[#This Row],[Precio Unitario Neto]]*Tabla4[[#Headers],[20.85%]]</f>
        <v>992.55716099999984</v>
      </c>
      <c r="L6483" s="282">
        <f>++Tabla4[[#This Row],[Precio Unitario Neto]]-Tabla4[[#This Row],[20.85%]]</f>
        <v>3767.9088389999997</v>
      </c>
      <c r="M6483" s="282" t="e">
        <f>(INDEX(Tabla6[#All],MATCH(Tabla4[[#This Row],[Producto]],Tabla6[[#All],[PRODUCTO]],0),MATCH(Tabla4[[#This Row],[Mes]],Tabla6[#Headers],0)))*(1+Catalogos!$L$2)</f>
        <v>#N/A</v>
      </c>
      <c r="N6483" s="283" t="e">
        <f>+(Tabla4[[#This Row],[Precio Descontado]]-Tabla4[[#This Row],[Precio Base]])*Tabla4[[#This Row],[Cantidad]]</f>
        <v>#N/A</v>
      </c>
      <c r="O6483" s="284" t="e">
        <f>++Tabla4[[#This Row],[Utilidad Total]]/Tabla4[[#This Row],[Total]]</f>
        <v>#N/A</v>
      </c>
      <c r="P6483" s="282">
        <f>++Tabla4[[#This Row],[Precio Descontado]]*Tabla4[[#This Row],[Cantidad]]</f>
        <v>90429.812135999993</v>
      </c>
      <c r="Q6483" s="282" t="e">
        <f>(INDEX(Tabla6[#All],MATCH(Tabla4[[#This Row],[Producto]],Tabla6[[#All],[PRODUCTO]],0),MATCH(Tabla4[[#This Row],[Mes]],Tabla6[#Headers],0)))</f>
        <v>#N/A</v>
      </c>
      <c r="R6483" s="282" t="e">
        <f>++Tabla4[[#This Row],[Precio Unitario Neto]]-Tabla4[[#This Row],[20.85%]]-Tabla4[[#This Row],[Costo]]</f>
        <v>#N/A</v>
      </c>
      <c r="S6483" s="282" t="e">
        <f>++Tabla4[[#This Row],[U. Bruta Uni]]*Tabla4[[#This Row],[Cantidad]]</f>
        <v>#N/A</v>
      </c>
      <c r="T6483" s="369" t="str">
        <f>VLOOKUP(Tabla4[[#This Row],[Producto]],Tabla6[#All],14,FALSE)</f>
        <v>Termico Solar</v>
      </c>
      <c r="U6483" s="284" t="e">
        <f>(IF(Tabla4[[#This Row],[Familia]]="termico solar",Tabla4[[#This Row],[Utilidad Total]]*6%,Tabla4[[#This Row],[Utilidad Total]]*11.5%))/Tabla4[[#This Row],[Total]]</f>
        <v>#N/A</v>
      </c>
      <c r="V6483" s="282" t="e">
        <f>+Tabla4[[#This Row],[Comisión Calculada]]*Tabla4[[#This Row],[Total]]</f>
        <v>#N/A</v>
      </c>
    </row>
    <row r="6484" spans="1:22" hidden="1" x14ac:dyDescent="0.25">
      <c r="A6484" s="100">
        <v>45961</v>
      </c>
      <c r="B6484" t="str">
        <f>TEXT(A6484, "mmmm")</f>
        <v>October</v>
      </c>
      <c r="C6484" s="46" t="s">
        <v>280</v>
      </c>
      <c r="F6484" s="366" t="s">
        <v>3297</v>
      </c>
      <c r="G6484" s="46" t="s">
        <v>208</v>
      </c>
      <c r="H6484" s="46">
        <v>2</v>
      </c>
      <c r="I6484" s="51">
        <v>189.75</v>
      </c>
      <c r="J6484" s="281">
        <f>++Tabla4[[#This Row],[Precio Bruto]]*1.16</f>
        <v>220.10999999999999</v>
      </c>
      <c r="K6484" s="281">
        <f>+Tabla4[[#This Row],[Precio Unitario Neto]]*Tabla4[[#Headers],[20.85%]]</f>
        <v>45.892934999999994</v>
      </c>
      <c r="L6484" s="282">
        <f>++Tabla4[[#This Row],[Precio Unitario Neto]]-Tabla4[[#This Row],[20.85%]]</f>
        <v>174.21706499999999</v>
      </c>
      <c r="M6484" s="282" t="e">
        <f>(INDEX(Tabla6[#All],MATCH(Tabla4[[#This Row],[Producto]],Tabla6[[#All],[PRODUCTO]],0),MATCH(Tabla4[[#This Row],[Mes]],Tabla6[#Headers],0)))*(1+Catalogos!$L$2)</f>
        <v>#N/A</v>
      </c>
      <c r="N6484" s="283" t="e">
        <f>+(Tabla4[[#This Row],[Precio Descontado]]-Tabla4[[#This Row],[Precio Base]])*Tabla4[[#This Row],[Cantidad]]</f>
        <v>#N/A</v>
      </c>
      <c r="O6484" s="284" t="e">
        <f>++Tabla4[[#This Row],[Utilidad Total]]/Tabla4[[#This Row],[Total]]</f>
        <v>#N/A</v>
      </c>
      <c r="P6484" s="282">
        <f>++Tabla4[[#This Row],[Precio Descontado]]*Tabla4[[#This Row],[Cantidad]]</f>
        <v>348.43412999999998</v>
      </c>
      <c r="Q6484" s="282" t="e">
        <f>(INDEX(Tabla6[#All],MATCH(Tabla4[[#This Row],[Producto]],Tabla6[[#All],[PRODUCTO]],0),MATCH(Tabla4[[#This Row],[Mes]],Tabla6[#Headers],0)))</f>
        <v>#N/A</v>
      </c>
      <c r="R6484" s="282" t="e">
        <f>++Tabla4[[#This Row],[Precio Unitario Neto]]-Tabla4[[#This Row],[20.85%]]-Tabla4[[#This Row],[Costo]]</f>
        <v>#N/A</v>
      </c>
      <c r="S6484" s="282" t="e">
        <f>++Tabla4[[#This Row],[U. Bruta Uni]]*Tabla4[[#This Row],[Cantidad]]</f>
        <v>#N/A</v>
      </c>
      <c r="T6484" s="369" t="str">
        <f>VLOOKUP(Tabla4[[#This Row],[Producto]],Tabla6[#All],14,FALSE)</f>
        <v>Termico Solar</v>
      </c>
      <c r="U6484" s="284" t="e">
        <f>(IF(Tabla4[[#This Row],[Familia]]="termico solar",Tabla4[[#This Row],[Utilidad Total]]*6%,Tabla4[[#This Row],[Utilidad Total]]*11.5%))/Tabla4[[#This Row],[Total]]</f>
        <v>#N/A</v>
      </c>
      <c r="V6484" s="282" t="e">
        <f>+Tabla4[[#This Row],[Comisión Calculada]]*Tabla4[[#This Row],[Total]]</f>
        <v>#N/A</v>
      </c>
    </row>
    <row r="6485" spans="1:22" hidden="1" x14ac:dyDescent="0.25">
      <c r="A6485" s="100">
        <v>45961</v>
      </c>
      <c r="B6485" t="str">
        <f>TEXT(A6485, "mmmm")</f>
        <v>October</v>
      </c>
      <c r="C6485" s="46" t="s">
        <v>280</v>
      </c>
      <c r="F6485" s="366" t="s">
        <v>3298</v>
      </c>
      <c r="G6485" s="46" t="s">
        <v>83</v>
      </c>
      <c r="H6485" s="46">
        <v>1</v>
      </c>
      <c r="I6485" s="51">
        <v>8858.76</v>
      </c>
      <c r="J6485" s="281">
        <f>++Tabla4[[#This Row],[Precio Bruto]]*1.16</f>
        <v>10276.161599999999</v>
      </c>
      <c r="K6485" s="281">
        <f>+Tabla4[[#This Row],[Precio Unitario Neto]]*Tabla4[[#Headers],[20.85%]]</f>
        <v>2142.5796935999997</v>
      </c>
      <c r="L6485" s="282">
        <f>++Tabla4[[#This Row],[Precio Unitario Neto]]-Tabla4[[#This Row],[20.85%]]</f>
        <v>8133.5819063999998</v>
      </c>
      <c r="M6485" s="282" t="e">
        <f>(INDEX(Tabla6[#All],MATCH(Tabla4[[#This Row],[Producto]],Tabla6[[#All],[PRODUCTO]],0),MATCH(Tabla4[[#This Row],[Mes]],Tabla6[#Headers],0)))*(1+Catalogos!$L$2)</f>
        <v>#N/A</v>
      </c>
      <c r="N6485" s="283" t="e">
        <f>+(Tabla4[[#This Row],[Precio Descontado]]-Tabla4[[#This Row],[Precio Base]])*Tabla4[[#This Row],[Cantidad]]</f>
        <v>#N/A</v>
      </c>
      <c r="O6485" s="284" t="e">
        <f>++Tabla4[[#This Row],[Utilidad Total]]/Tabla4[[#This Row],[Total]]</f>
        <v>#N/A</v>
      </c>
      <c r="P6485" s="282">
        <f>++Tabla4[[#This Row],[Precio Descontado]]*Tabla4[[#This Row],[Cantidad]]</f>
        <v>8133.5819063999998</v>
      </c>
      <c r="Q6485" s="282" t="e">
        <f>(INDEX(Tabla6[#All],MATCH(Tabla4[[#This Row],[Producto]],Tabla6[[#All],[PRODUCTO]],0),MATCH(Tabla4[[#This Row],[Mes]],Tabla6[#Headers],0)))</f>
        <v>#N/A</v>
      </c>
      <c r="R6485" s="282" t="e">
        <f>++Tabla4[[#This Row],[Precio Unitario Neto]]-Tabla4[[#This Row],[20.85%]]-Tabla4[[#This Row],[Costo]]</f>
        <v>#N/A</v>
      </c>
      <c r="S6485" s="282" t="e">
        <f>++Tabla4[[#This Row],[U. Bruta Uni]]*Tabla4[[#This Row],[Cantidad]]</f>
        <v>#N/A</v>
      </c>
      <c r="T6485" s="369" t="str">
        <f>VLOOKUP(Tabla4[[#This Row],[Producto]],Tabla6[#All],14,FALSE)</f>
        <v>Termico Solar</v>
      </c>
      <c r="U6485" s="284" t="e">
        <f>(IF(Tabla4[[#This Row],[Familia]]="termico solar",Tabla4[[#This Row],[Utilidad Total]]*6%,Tabla4[[#This Row],[Utilidad Total]]*11.5%))/Tabla4[[#This Row],[Total]]</f>
        <v>#N/A</v>
      </c>
      <c r="V6485" s="282" t="e">
        <f>+Tabla4[[#This Row],[Comisión Calculada]]*Tabla4[[#This Row],[Total]]</f>
        <v>#N/A</v>
      </c>
    </row>
    <row r="6486" spans="1:22" hidden="1" x14ac:dyDescent="0.25">
      <c r="A6486" s="100">
        <v>45961</v>
      </c>
      <c r="B6486" t="str">
        <f t="shared" ref="B6486:B6487" si="369">TEXT(A6486, "mmmm")</f>
        <v>October</v>
      </c>
      <c r="C6486" s="46" t="s">
        <v>280</v>
      </c>
      <c r="F6486" s="366" t="s">
        <v>3299</v>
      </c>
      <c r="G6486" s="46" t="s">
        <v>83</v>
      </c>
      <c r="H6486" s="46">
        <v>1</v>
      </c>
      <c r="I6486" s="51">
        <v>8858.76</v>
      </c>
      <c r="J6486" s="281">
        <f>++Tabla4[[#This Row],[Precio Bruto]]*1.16</f>
        <v>10276.161599999999</v>
      </c>
      <c r="K6486" s="281">
        <f>+Tabla4[[#This Row],[Precio Unitario Neto]]*Tabla4[[#Headers],[20.85%]]</f>
        <v>2142.5796935999997</v>
      </c>
      <c r="L6486" s="282">
        <f>++Tabla4[[#This Row],[Precio Unitario Neto]]-Tabla4[[#This Row],[20.85%]]</f>
        <v>8133.5819063999998</v>
      </c>
      <c r="M6486" s="282" t="e">
        <f>(INDEX(Tabla6[#All],MATCH(Tabla4[[#This Row],[Producto]],Tabla6[[#All],[PRODUCTO]],0),MATCH(Tabla4[[#This Row],[Mes]],Tabla6[#Headers],0)))*(1+Catalogos!$L$2)</f>
        <v>#N/A</v>
      </c>
      <c r="N6486" s="283" t="e">
        <f>+(Tabla4[[#This Row],[Precio Descontado]]-Tabla4[[#This Row],[Precio Base]])*Tabla4[[#This Row],[Cantidad]]</f>
        <v>#N/A</v>
      </c>
      <c r="O6486" s="284" t="e">
        <f>++Tabla4[[#This Row],[Utilidad Total]]/Tabla4[[#This Row],[Total]]</f>
        <v>#N/A</v>
      </c>
      <c r="P6486" s="282">
        <f>++Tabla4[[#This Row],[Precio Descontado]]*Tabla4[[#This Row],[Cantidad]]</f>
        <v>8133.5819063999998</v>
      </c>
      <c r="Q6486" s="282" t="e">
        <f>(INDEX(Tabla6[#All],MATCH(Tabla4[[#This Row],[Producto]],Tabla6[[#All],[PRODUCTO]],0),MATCH(Tabla4[[#This Row],[Mes]],Tabla6[#Headers],0)))</f>
        <v>#N/A</v>
      </c>
      <c r="R6486" s="282" t="e">
        <f>++Tabla4[[#This Row],[Precio Unitario Neto]]-Tabla4[[#This Row],[20.85%]]-Tabla4[[#This Row],[Costo]]</f>
        <v>#N/A</v>
      </c>
      <c r="S6486" s="282" t="e">
        <f>++Tabla4[[#This Row],[U. Bruta Uni]]*Tabla4[[#This Row],[Cantidad]]</f>
        <v>#N/A</v>
      </c>
      <c r="T6486" s="369" t="str">
        <f>VLOOKUP(Tabla4[[#This Row],[Producto]],Tabla6[#All],14,FALSE)</f>
        <v>Termico Solar</v>
      </c>
      <c r="U6486" s="284" t="e">
        <f>(IF(Tabla4[[#This Row],[Familia]]="termico solar",Tabla4[[#This Row],[Utilidad Total]]*6%,Tabla4[[#This Row],[Utilidad Total]]*11.5%))/Tabla4[[#This Row],[Total]]</f>
        <v>#N/A</v>
      </c>
      <c r="V6486" s="282" t="e">
        <f>+Tabla4[[#This Row],[Comisión Calculada]]*Tabla4[[#This Row],[Total]]</f>
        <v>#N/A</v>
      </c>
    </row>
    <row r="6487" spans="1:22" hidden="1" x14ac:dyDescent="0.25">
      <c r="A6487" s="100">
        <v>45961</v>
      </c>
      <c r="B6487" t="str">
        <f t="shared" si="369"/>
        <v>October</v>
      </c>
      <c r="C6487" s="46" t="s">
        <v>280</v>
      </c>
      <c r="F6487" s="366" t="s">
        <v>3299</v>
      </c>
      <c r="G6487" s="46" t="s">
        <v>208</v>
      </c>
      <c r="H6487" s="46">
        <v>4</v>
      </c>
      <c r="I6487" s="51">
        <v>189.75</v>
      </c>
      <c r="J6487" s="281">
        <f>++Tabla4[[#This Row],[Precio Bruto]]*1.16</f>
        <v>220.10999999999999</v>
      </c>
      <c r="K6487" s="281">
        <f>+Tabla4[[#This Row],[Precio Unitario Neto]]*Tabla4[[#Headers],[20.85%]]</f>
        <v>45.892934999999994</v>
      </c>
      <c r="L6487" s="282">
        <f>++Tabla4[[#This Row],[Precio Unitario Neto]]-Tabla4[[#This Row],[20.85%]]</f>
        <v>174.21706499999999</v>
      </c>
      <c r="M6487" s="282" t="e">
        <f>(INDEX(Tabla6[#All],MATCH(Tabla4[[#This Row],[Producto]],Tabla6[[#All],[PRODUCTO]],0),MATCH(Tabla4[[#This Row],[Mes]],Tabla6[#Headers],0)))*(1+Catalogos!$L$2)</f>
        <v>#N/A</v>
      </c>
      <c r="N6487" s="283" t="e">
        <f>+(Tabla4[[#This Row],[Precio Descontado]]-Tabla4[[#This Row],[Precio Base]])*Tabla4[[#This Row],[Cantidad]]</f>
        <v>#N/A</v>
      </c>
      <c r="O6487" s="284" t="e">
        <f>++Tabla4[[#This Row],[Utilidad Total]]/Tabla4[[#This Row],[Total]]</f>
        <v>#N/A</v>
      </c>
      <c r="P6487" s="282">
        <f>++Tabla4[[#This Row],[Precio Descontado]]*Tabla4[[#This Row],[Cantidad]]</f>
        <v>696.86825999999996</v>
      </c>
      <c r="Q6487" s="282" t="e">
        <f>(INDEX(Tabla6[#All],MATCH(Tabla4[[#This Row],[Producto]],Tabla6[[#All],[PRODUCTO]],0),MATCH(Tabla4[[#This Row],[Mes]],Tabla6[#Headers],0)))</f>
        <v>#N/A</v>
      </c>
      <c r="R6487" s="282" t="e">
        <f>++Tabla4[[#This Row],[Precio Unitario Neto]]-Tabla4[[#This Row],[20.85%]]-Tabla4[[#This Row],[Costo]]</f>
        <v>#N/A</v>
      </c>
      <c r="S6487" s="282" t="e">
        <f>++Tabla4[[#This Row],[U. Bruta Uni]]*Tabla4[[#This Row],[Cantidad]]</f>
        <v>#N/A</v>
      </c>
      <c r="T6487" s="369" t="str">
        <f>VLOOKUP(Tabla4[[#This Row],[Producto]],Tabla6[#All],14,FALSE)</f>
        <v>Termico Solar</v>
      </c>
      <c r="U6487" s="284" t="e">
        <f>(IF(Tabla4[[#This Row],[Familia]]="termico solar",Tabla4[[#This Row],[Utilidad Total]]*6%,Tabla4[[#This Row],[Utilidad Total]]*11.5%))/Tabla4[[#This Row],[Total]]</f>
        <v>#N/A</v>
      </c>
      <c r="V6487" s="282" t="e">
        <f>+Tabla4[[#This Row],[Comisión Calculada]]*Tabla4[[#This Row],[Total]]</f>
        <v>#N/A</v>
      </c>
    </row>
    <row r="6488" spans="1:22" hidden="1" x14ac:dyDescent="0.25">
      <c r="A6488" s="100">
        <v>45961</v>
      </c>
      <c r="B6488" t="str">
        <f>TEXT(A6488, "mmmm")</f>
        <v>October</v>
      </c>
      <c r="C6488" s="46" t="s">
        <v>280</v>
      </c>
      <c r="F6488" s="366" t="s">
        <v>3300</v>
      </c>
      <c r="G6488" s="46" t="s">
        <v>208</v>
      </c>
      <c r="H6488" s="46">
        <v>5</v>
      </c>
      <c r="I6488" s="51">
        <v>189.75</v>
      </c>
      <c r="J6488" s="281">
        <f>++Tabla4[[#This Row],[Precio Bruto]]*1.16</f>
        <v>220.10999999999999</v>
      </c>
      <c r="K6488" s="281">
        <f>+Tabla4[[#This Row],[Precio Unitario Neto]]*Tabla4[[#Headers],[20.85%]]</f>
        <v>45.892934999999994</v>
      </c>
      <c r="L6488" s="282">
        <f>++Tabla4[[#This Row],[Precio Unitario Neto]]-Tabla4[[#This Row],[20.85%]]</f>
        <v>174.21706499999999</v>
      </c>
      <c r="M6488" s="282" t="e">
        <f>(INDEX(Tabla6[#All],MATCH(Tabla4[[#This Row],[Producto]],Tabla6[[#All],[PRODUCTO]],0),MATCH(Tabla4[[#This Row],[Mes]],Tabla6[#Headers],0)))*(1+Catalogos!$L$2)</f>
        <v>#N/A</v>
      </c>
      <c r="N6488" s="283" t="e">
        <f>+(Tabla4[[#This Row],[Precio Descontado]]-Tabla4[[#This Row],[Precio Base]])*Tabla4[[#This Row],[Cantidad]]</f>
        <v>#N/A</v>
      </c>
      <c r="O6488" s="284" t="e">
        <f>++Tabla4[[#This Row],[Utilidad Total]]/Tabla4[[#This Row],[Total]]</f>
        <v>#N/A</v>
      </c>
      <c r="P6488" s="282">
        <f>++Tabla4[[#This Row],[Precio Descontado]]*Tabla4[[#This Row],[Cantidad]]</f>
        <v>871.08532500000001</v>
      </c>
      <c r="Q6488" s="282" t="e">
        <f>(INDEX(Tabla6[#All],MATCH(Tabla4[[#This Row],[Producto]],Tabla6[[#All],[PRODUCTO]],0),MATCH(Tabla4[[#This Row],[Mes]],Tabla6[#Headers],0)))</f>
        <v>#N/A</v>
      </c>
      <c r="R6488" s="282" t="e">
        <f>++Tabla4[[#This Row],[Precio Unitario Neto]]-Tabla4[[#This Row],[20.85%]]-Tabla4[[#This Row],[Costo]]</f>
        <v>#N/A</v>
      </c>
      <c r="S6488" s="282" t="e">
        <f>++Tabla4[[#This Row],[U. Bruta Uni]]*Tabla4[[#This Row],[Cantidad]]</f>
        <v>#N/A</v>
      </c>
      <c r="T6488" s="369" t="str">
        <f>VLOOKUP(Tabla4[[#This Row],[Producto]],Tabla6[#All],14,FALSE)</f>
        <v>Termico Solar</v>
      </c>
      <c r="U6488" s="284" t="e">
        <f>(IF(Tabla4[[#This Row],[Familia]]="termico solar",Tabla4[[#This Row],[Utilidad Total]]*6%,Tabla4[[#This Row],[Utilidad Total]]*11.5%))/Tabla4[[#This Row],[Total]]</f>
        <v>#N/A</v>
      </c>
      <c r="V6488" s="282" t="e">
        <f>+Tabla4[[#This Row],[Comisión Calculada]]*Tabla4[[#This Row],[Total]]</f>
        <v>#N/A</v>
      </c>
    </row>
    <row r="6489" spans="1:22" hidden="1" x14ac:dyDescent="0.25">
      <c r="A6489" s="100">
        <v>45961</v>
      </c>
      <c r="B6489" t="str">
        <f t="shared" ref="B6489:B6490" si="370">TEXT(A6489, "mmmm")</f>
        <v>October</v>
      </c>
      <c r="C6489" s="46" t="s">
        <v>280</v>
      </c>
      <c r="F6489" s="366" t="s">
        <v>3301</v>
      </c>
      <c r="G6489" s="46" t="s">
        <v>17</v>
      </c>
      <c r="H6489" s="46">
        <v>1</v>
      </c>
      <c r="I6489" s="51">
        <v>4622.28</v>
      </c>
      <c r="J6489" s="281">
        <f>++Tabla4[[#This Row],[Precio Bruto]]*1.16</f>
        <v>5361.8447999999989</v>
      </c>
      <c r="K6489" s="281">
        <f>+Tabla4[[#This Row],[Precio Unitario Neto]]*Tabla4[[#Headers],[20.85%]]</f>
        <v>1117.9446407999997</v>
      </c>
      <c r="L6489" s="282">
        <f>++Tabla4[[#This Row],[Precio Unitario Neto]]-Tabla4[[#This Row],[20.85%]]</f>
        <v>4243.9001591999995</v>
      </c>
      <c r="M6489" s="282" t="e">
        <f>(INDEX(Tabla6[#All],MATCH(Tabla4[[#This Row],[Producto]],Tabla6[[#All],[PRODUCTO]],0),MATCH(Tabla4[[#This Row],[Mes]],Tabla6[#Headers],0)))*(1+Catalogos!$L$2)</f>
        <v>#N/A</v>
      </c>
      <c r="N6489" s="283" t="e">
        <f>+(Tabla4[[#This Row],[Precio Descontado]]-Tabla4[[#This Row],[Precio Base]])*Tabla4[[#This Row],[Cantidad]]</f>
        <v>#N/A</v>
      </c>
      <c r="O6489" s="284" t="e">
        <f>++Tabla4[[#This Row],[Utilidad Total]]/Tabla4[[#This Row],[Total]]</f>
        <v>#N/A</v>
      </c>
      <c r="P6489" s="282">
        <f>++Tabla4[[#This Row],[Precio Descontado]]*Tabla4[[#This Row],[Cantidad]]</f>
        <v>4243.9001591999995</v>
      </c>
      <c r="Q6489" s="282" t="e">
        <f>(INDEX(Tabla6[#All],MATCH(Tabla4[[#This Row],[Producto]],Tabla6[[#All],[PRODUCTO]],0),MATCH(Tabla4[[#This Row],[Mes]],Tabla6[#Headers],0)))</f>
        <v>#N/A</v>
      </c>
      <c r="R6489" s="282" t="e">
        <f>++Tabla4[[#This Row],[Precio Unitario Neto]]-Tabla4[[#This Row],[20.85%]]-Tabla4[[#This Row],[Costo]]</f>
        <v>#N/A</v>
      </c>
      <c r="S6489" s="282" t="e">
        <f>++Tabla4[[#This Row],[U. Bruta Uni]]*Tabla4[[#This Row],[Cantidad]]</f>
        <v>#N/A</v>
      </c>
      <c r="T6489" s="369" t="str">
        <f>VLOOKUP(Tabla4[[#This Row],[Producto]],Tabla6[#All],14,FALSE)</f>
        <v>Termico Solar</v>
      </c>
      <c r="U6489" s="284" t="e">
        <f>(IF(Tabla4[[#This Row],[Familia]]="termico solar",Tabla4[[#This Row],[Utilidad Total]]*6%,Tabla4[[#This Row],[Utilidad Total]]*11.5%))/Tabla4[[#This Row],[Total]]</f>
        <v>#N/A</v>
      </c>
      <c r="V6489" s="282" t="e">
        <f>+Tabla4[[#This Row],[Comisión Calculada]]*Tabla4[[#This Row],[Total]]</f>
        <v>#N/A</v>
      </c>
    </row>
    <row r="6490" spans="1:22" hidden="1" x14ac:dyDescent="0.25">
      <c r="A6490" s="100">
        <v>45961</v>
      </c>
      <c r="B6490" t="str">
        <f t="shared" si="370"/>
        <v>October</v>
      </c>
      <c r="C6490" s="46" t="s">
        <v>280</v>
      </c>
      <c r="F6490" s="366" t="s">
        <v>3301</v>
      </c>
      <c r="G6490" s="46" t="s">
        <v>208</v>
      </c>
      <c r="H6490" s="46">
        <v>2</v>
      </c>
      <c r="I6490" s="51">
        <v>189.75</v>
      </c>
      <c r="J6490" s="281">
        <f>++Tabla4[[#This Row],[Precio Bruto]]*1.16</f>
        <v>220.10999999999999</v>
      </c>
      <c r="K6490" s="281">
        <f>+Tabla4[[#This Row],[Precio Unitario Neto]]*Tabla4[[#Headers],[20.85%]]</f>
        <v>45.892934999999994</v>
      </c>
      <c r="L6490" s="282">
        <f>++Tabla4[[#This Row],[Precio Unitario Neto]]-Tabla4[[#This Row],[20.85%]]</f>
        <v>174.21706499999999</v>
      </c>
      <c r="M6490" s="282" t="e">
        <f>(INDEX(Tabla6[#All],MATCH(Tabla4[[#This Row],[Producto]],Tabla6[[#All],[PRODUCTO]],0),MATCH(Tabla4[[#This Row],[Mes]],Tabla6[#Headers],0)))*(1+Catalogos!$L$2)</f>
        <v>#N/A</v>
      </c>
      <c r="N6490" s="283" t="e">
        <f>+(Tabla4[[#This Row],[Precio Descontado]]-Tabla4[[#This Row],[Precio Base]])*Tabla4[[#This Row],[Cantidad]]</f>
        <v>#N/A</v>
      </c>
      <c r="O6490" s="284" t="e">
        <f>++Tabla4[[#This Row],[Utilidad Total]]/Tabla4[[#This Row],[Total]]</f>
        <v>#N/A</v>
      </c>
      <c r="P6490" s="282">
        <f>++Tabla4[[#This Row],[Precio Descontado]]*Tabla4[[#This Row],[Cantidad]]</f>
        <v>348.43412999999998</v>
      </c>
      <c r="Q6490" s="282" t="e">
        <f>(INDEX(Tabla6[#All],MATCH(Tabla4[[#This Row],[Producto]],Tabla6[[#All],[PRODUCTO]],0),MATCH(Tabla4[[#This Row],[Mes]],Tabla6[#Headers],0)))</f>
        <v>#N/A</v>
      </c>
      <c r="R6490" s="282" t="e">
        <f>++Tabla4[[#This Row],[Precio Unitario Neto]]-Tabla4[[#This Row],[20.85%]]-Tabla4[[#This Row],[Costo]]</f>
        <v>#N/A</v>
      </c>
      <c r="S6490" s="282" t="e">
        <f>++Tabla4[[#This Row],[U. Bruta Uni]]*Tabla4[[#This Row],[Cantidad]]</f>
        <v>#N/A</v>
      </c>
      <c r="T6490" s="369" t="str">
        <f>VLOOKUP(Tabla4[[#This Row],[Producto]],Tabla6[#All],14,FALSE)</f>
        <v>Termico Solar</v>
      </c>
      <c r="U6490" s="284" t="e">
        <f>(IF(Tabla4[[#This Row],[Familia]]="termico solar",Tabla4[[#This Row],[Utilidad Total]]*6%,Tabla4[[#This Row],[Utilidad Total]]*11.5%))/Tabla4[[#This Row],[Total]]</f>
        <v>#N/A</v>
      </c>
      <c r="V6490" s="282" t="e">
        <f>+Tabla4[[#This Row],[Comisión Calculada]]*Tabla4[[#This Row],[Total]]</f>
        <v>#N/A</v>
      </c>
    </row>
    <row r="6491" spans="1:22" hidden="1" x14ac:dyDescent="0.25">
      <c r="A6491" s="100">
        <v>45961</v>
      </c>
      <c r="B6491" t="str">
        <f t="shared" ref="B6491:B6493" si="371">TEXT(A6491, "mmmm")</f>
        <v>October</v>
      </c>
      <c r="C6491" s="46" t="s">
        <v>280</v>
      </c>
      <c r="F6491" s="366" t="s">
        <v>3302</v>
      </c>
      <c r="G6491" s="46" t="s">
        <v>83</v>
      </c>
      <c r="H6491" s="46">
        <v>1</v>
      </c>
      <c r="I6491" s="51">
        <v>8858.76</v>
      </c>
      <c r="J6491" s="281">
        <f>++Tabla4[[#This Row],[Precio Bruto]]*1.16</f>
        <v>10276.161599999999</v>
      </c>
      <c r="K6491" s="281">
        <f>+Tabla4[[#This Row],[Precio Unitario Neto]]*Tabla4[[#Headers],[20.85%]]</f>
        <v>2142.5796935999997</v>
      </c>
      <c r="L6491" s="282">
        <f>++Tabla4[[#This Row],[Precio Unitario Neto]]-Tabla4[[#This Row],[20.85%]]</f>
        <v>8133.5819063999998</v>
      </c>
      <c r="M6491" s="282" t="e">
        <f>(INDEX(Tabla6[#All],MATCH(Tabla4[[#This Row],[Producto]],Tabla6[[#All],[PRODUCTO]],0),MATCH(Tabla4[[#This Row],[Mes]],Tabla6[#Headers],0)))*(1+Catalogos!$L$2)</f>
        <v>#N/A</v>
      </c>
      <c r="N6491" s="283" t="e">
        <f>+(Tabla4[[#This Row],[Precio Descontado]]-Tabla4[[#This Row],[Precio Base]])*Tabla4[[#This Row],[Cantidad]]</f>
        <v>#N/A</v>
      </c>
      <c r="O6491" s="284" t="e">
        <f>++Tabla4[[#This Row],[Utilidad Total]]/Tabla4[[#This Row],[Total]]</f>
        <v>#N/A</v>
      </c>
      <c r="P6491" s="282">
        <f>++Tabla4[[#This Row],[Precio Descontado]]*Tabla4[[#This Row],[Cantidad]]</f>
        <v>8133.5819063999998</v>
      </c>
      <c r="Q6491" s="282" t="e">
        <f>(INDEX(Tabla6[#All],MATCH(Tabla4[[#This Row],[Producto]],Tabla6[[#All],[PRODUCTO]],0),MATCH(Tabla4[[#This Row],[Mes]],Tabla6[#Headers],0)))</f>
        <v>#N/A</v>
      </c>
      <c r="R6491" s="282" t="e">
        <f>++Tabla4[[#This Row],[Precio Unitario Neto]]-Tabla4[[#This Row],[20.85%]]-Tabla4[[#This Row],[Costo]]</f>
        <v>#N/A</v>
      </c>
      <c r="S6491" s="282" t="e">
        <f>++Tabla4[[#This Row],[U. Bruta Uni]]*Tabla4[[#This Row],[Cantidad]]</f>
        <v>#N/A</v>
      </c>
      <c r="T6491" s="369" t="str">
        <f>VLOOKUP(Tabla4[[#This Row],[Producto]],Tabla6[#All],14,FALSE)</f>
        <v>Termico Solar</v>
      </c>
      <c r="U6491" s="284" t="e">
        <f>(IF(Tabla4[[#This Row],[Familia]]="termico solar",Tabla4[[#This Row],[Utilidad Total]]*6%,Tabla4[[#This Row],[Utilidad Total]]*11.5%))/Tabla4[[#This Row],[Total]]</f>
        <v>#N/A</v>
      </c>
      <c r="V6491" s="282" t="e">
        <f>+Tabla4[[#This Row],[Comisión Calculada]]*Tabla4[[#This Row],[Total]]</f>
        <v>#N/A</v>
      </c>
    </row>
    <row r="6492" spans="1:22" hidden="1" x14ac:dyDescent="0.25">
      <c r="A6492" s="100">
        <v>45961</v>
      </c>
      <c r="B6492" t="str">
        <f t="shared" si="371"/>
        <v>October</v>
      </c>
      <c r="C6492" s="46" t="s">
        <v>280</v>
      </c>
      <c r="F6492" s="366" t="s">
        <v>3302</v>
      </c>
      <c r="G6492" s="46" t="s">
        <v>566</v>
      </c>
      <c r="H6492" s="46">
        <v>2</v>
      </c>
      <c r="I6492" s="51">
        <v>2109.4499999999998</v>
      </c>
      <c r="J6492" s="281">
        <f>++Tabla4[[#This Row],[Precio Bruto]]*1.16</f>
        <v>2446.9619999999995</v>
      </c>
      <c r="K6492" s="281">
        <f>+Tabla4[[#This Row],[Precio Unitario Neto]]*Tabla4[[#Headers],[20.85%]]</f>
        <v>510.19157699999988</v>
      </c>
      <c r="L6492" s="282">
        <f>++Tabla4[[#This Row],[Precio Unitario Neto]]-Tabla4[[#This Row],[20.85%]]</f>
        <v>1936.7704229999997</v>
      </c>
      <c r="M6492" s="282" t="e">
        <f>(INDEX(Tabla6[#All],MATCH(Tabla4[[#This Row],[Producto]],Tabla6[[#All],[PRODUCTO]],0),MATCH(Tabla4[[#This Row],[Mes]],Tabla6[#Headers],0)))*(1+Catalogos!$L$2)</f>
        <v>#N/A</v>
      </c>
      <c r="N6492" s="283" t="e">
        <f>+(Tabla4[[#This Row],[Precio Descontado]]-Tabla4[[#This Row],[Precio Base]])*Tabla4[[#This Row],[Cantidad]]</f>
        <v>#N/A</v>
      </c>
      <c r="O6492" s="284" t="e">
        <f>++Tabla4[[#This Row],[Utilidad Total]]/Tabla4[[#This Row],[Total]]</f>
        <v>#N/A</v>
      </c>
      <c r="P6492" s="282">
        <f>++Tabla4[[#This Row],[Precio Descontado]]*Tabla4[[#This Row],[Cantidad]]</f>
        <v>3873.5408459999994</v>
      </c>
      <c r="Q6492" s="282" t="e">
        <f>(INDEX(Tabla6[#All],MATCH(Tabla4[[#This Row],[Producto]],Tabla6[[#All],[PRODUCTO]],0),MATCH(Tabla4[[#This Row],[Mes]],Tabla6[#Headers],0)))</f>
        <v>#N/A</v>
      </c>
      <c r="R6492" s="282" t="e">
        <f>++Tabla4[[#This Row],[Precio Unitario Neto]]-Tabla4[[#This Row],[20.85%]]-Tabla4[[#This Row],[Costo]]</f>
        <v>#N/A</v>
      </c>
      <c r="S6492" s="282" t="e">
        <f>++Tabla4[[#This Row],[U. Bruta Uni]]*Tabla4[[#This Row],[Cantidad]]</f>
        <v>#N/A</v>
      </c>
      <c r="T6492" s="369" t="str">
        <f>VLOOKUP(Tabla4[[#This Row],[Producto]],Tabla6[#All],14,FALSE)</f>
        <v>Termico Solar</v>
      </c>
      <c r="U6492" s="284" t="e">
        <f>(IF(Tabla4[[#This Row],[Familia]]="termico solar",Tabla4[[#This Row],[Utilidad Total]]*6%,Tabla4[[#This Row],[Utilidad Total]]*11.5%))/Tabla4[[#This Row],[Total]]</f>
        <v>#N/A</v>
      </c>
      <c r="V6492" s="282" t="e">
        <f>+Tabla4[[#This Row],[Comisión Calculada]]*Tabla4[[#This Row],[Total]]</f>
        <v>#N/A</v>
      </c>
    </row>
    <row r="6493" spans="1:22" hidden="1" x14ac:dyDescent="0.25">
      <c r="A6493" s="100">
        <v>45961</v>
      </c>
      <c r="B6493" t="str">
        <f t="shared" si="371"/>
        <v>October</v>
      </c>
      <c r="C6493" s="46" t="s">
        <v>280</v>
      </c>
      <c r="F6493" s="366" t="s">
        <v>3302</v>
      </c>
      <c r="G6493" s="46" t="s">
        <v>16</v>
      </c>
      <c r="H6493" s="46">
        <v>2</v>
      </c>
      <c r="I6493" s="51">
        <v>4103.8500000000004</v>
      </c>
      <c r="J6493" s="281">
        <f>++Tabla4[[#This Row],[Precio Bruto]]*1.16</f>
        <v>4760.4660000000003</v>
      </c>
      <c r="K6493" s="281">
        <f>+Tabla4[[#This Row],[Precio Unitario Neto]]*Tabla4[[#Headers],[20.85%]]</f>
        <v>992.55716100000006</v>
      </c>
      <c r="L6493" s="282">
        <f>++Tabla4[[#This Row],[Precio Unitario Neto]]-Tabla4[[#This Row],[20.85%]]</f>
        <v>3767.9088390000002</v>
      </c>
      <c r="M6493" s="282" t="e">
        <f>(INDEX(Tabla6[#All],MATCH(Tabla4[[#This Row],[Producto]],Tabla6[[#All],[PRODUCTO]],0),MATCH(Tabla4[[#This Row],[Mes]],Tabla6[#Headers],0)))*(1+Catalogos!$L$2)</f>
        <v>#N/A</v>
      </c>
      <c r="N6493" s="283" t="e">
        <f>+(Tabla4[[#This Row],[Precio Descontado]]-Tabla4[[#This Row],[Precio Base]])*Tabla4[[#This Row],[Cantidad]]</f>
        <v>#N/A</v>
      </c>
      <c r="O6493" s="284" t="e">
        <f>++Tabla4[[#This Row],[Utilidad Total]]/Tabla4[[#This Row],[Total]]</f>
        <v>#N/A</v>
      </c>
      <c r="P6493" s="282">
        <f>++Tabla4[[#This Row],[Precio Descontado]]*Tabla4[[#This Row],[Cantidad]]</f>
        <v>7535.8176780000003</v>
      </c>
      <c r="Q6493" s="282" t="e">
        <f>(INDEX(Tabla6[#All],MATCH(Tabla4[[#This Row],[Producto]],Tabla6[[#All],[PRODUCTO]],0),MATCH(Tabla4[[#This Row],[Mes]],Tabla6[#Headers],0)))</f>
        <v>#N/A</v>
      </c>
      <c r="R6493" s="282" t="e">
        <f>++Tabla4[[#This Row],[Precio Unitario Neto]]-Tabla4[[#This Row],[20.85%]]-Tabla4[[#This Row],[Costo]]</f>
        <v>#N/A</v>
      </c>
      <c r="S6493" s="282" t="e">
        <f>++Tabla4[[#This Row],[U. Bruta Uni]]*Tabla4[[#This Row],[Cantidad]]</f>
        <v>#N/A</v>
      </c>
      <c r="T6493" s="369" t="str">
        <f>VLOOKUP(Tabla4[[#This Row],[Producto]],Tabla6[#All],14,FALSE)</f>
        <v>Termico Solar</v>
      </c>
      <c r="U6493" s="284" t="e">
        <f>(IF(Tabla4[[#This Row],[Familia]]="termico solar",Tabla4[[#This Row],[Utilidad Total]]*6%,Tabla4[[#This Row],[Utilidad Total]]*11.5%))/Tabla4[[#This Row],[Total]]</f>
        <v>#N/A</v>
      </c>
      <c r="V6493" s="282" t="e">
        <f>+Tabla4[[#This Row],[Comisión Calculada]]*Tabla4[[#This Row],[Total]]</f>
        <v>#N/A</v>
      </c>
    </row>
    <row r="6494" spans="1:22" hidden="1" x14ac:dyDescent="0.25">
      <c r="A6494" s="100">
        <v>45961</v>
      </c>
      <c r="B6494" t="str">
        <f t="shared" ref="B6494:B6497" si="372">TEXT(A6494, "mmmm")</f>
        <v>October</v>
      </c>
      <c r="C6494" s="46" t="s">
        <v>280</v>
      </c>
      <c r="F6494" s="366" t="s">
        <v>3303</v>
      </c>
      <c r="G6494" s="46" t="s">
        <v>83</v>
      </c>
      <c r="H6494" s="46">
        <v>2</v>
      </c>
      <c r="I6494" s="51">
        <v>8858.76</v>
      </c>
      <c r="J6494" s="281">
        <f>++Tabla4[[#This Row],[Precio Bruto]]*1.16</f>
        <v>10276.161599999999</v>
      </c>
      <c r="K6494" s="281">
        <f>+Tabla4[[#This Row],[Precio Unitario Neto]]*Tabla4[[#Headers],[20.85%]]</f>
        <v>2142.5796935999997</v>
      </c>
      <c r="L6494" s="282">
        <f>++Tabla4[[#This Row],[Precio Unitario Neto]]-Tabla4[[#This Row],[20.85%]]</f>
        <v>8133.5819063999998</v>
      </c>
      <c r="M6494" s="282" t="e">
        <f>(INDEX(Tabla6[#All],MATCH(Tabla4[[#This Row],[Producto]],Tabla6[[#All],[PRODUCTO]],0),MATCH(Tabla4[[#This Row],[Mes]],Tabla6[#Headers],0)))*(1+Catalogos!$L$2)</f>
        <v>#N/A</v>
      </c>
      <c r="N6494" s="283" t="e">
        <f>+(Tabla4[[#This Row],[Precio Descontado]]-Tabla4[[#This Row],[Precio Base]])*Tabla4[[#This Row],[Cantidad]]</f>
        <v>#N/A</v>
      </c>
      <c r="O6494" s="284" t="e">
        <f>++Tabla4[[#This Row],[Utilidad Total]]/Tabla4[[#This Row],[Total]]</f>
        <v>#N/A</v>
      </c>
      <c r="P6494" s="282">
        <f>++Tabla4[[#This Row],[Precio Descontado]]*Tabla4[[#This Row],[Cantidad]]</f>
        <v>16267.1638128</v>
      </c>
      <c r="Q6494" s="282" t="e">
        <f>(INDEX(Tabla6[#All],MATCH(Tabla4[[#This Row],[Producto]],Tabla6[[#All],[PRODUCTO]],0),MATCH(Tabla4[[#This Row],[Mes]],Tabla6[#Headers],0)))</f>
        <v>#N/A</v>
      </c>
      <c r="R6494" s="282" t="e">
        <f>++Tabla4[[#This Row],[Precio Unitario Neto]]-Tabla4[[#This Row],[20.85%]]-Tabla4[[#This Row],[Costo]]</f>
        <v>#N/A</v>
      </c>
      <c r="S6494" s="282" t="e">
        <f>++Tabla4[[#This Row],[U. Bruta Uni]]*Tabla4[[#This Row],[Cantidad]]</f>
        <v>#N/A</v>
      </c>
      <c r="T6494" s="369" t="str">
        <f>VLOOKUP(Tabla4[[#This Row],[Producto]],Tabla6[#All],14,FALSE)</f>
        <v>Termico Solar</v>
      </c>
      <c r="U6494" s="284" t="e">
        <f>(IF(Tabla4[[#This Row],[Familia]]="termico solar",Tabla4[[#This Row],[Utilidad Total]]*6%,Tabla4[[#This Row],[Utilidad Total]]*11.5%))/Tabla4[[#This Row],[Total]]</f>
        <v>#N/A</v>
      </c>
      <c r="V6494" s="282" t="e">
        <f>+Tabla4[[#This Row],[Comisión Calculada]]*Tabla4[[#This Row],[Total]]</f>
        <v>#N/A</v>
      </c>
    </row>
    <row r="6495" spans="1:22" hidden="1" x14ac:dyDescent="0.25">
      <c r="A6495" s="100">
        <v>45961</v>
      </c>
      <c r="B6495" t="str">
        <f t="shared" si="372"/>
        <v>October</v>
      </c>
      <c r="C6495" s="46" t="s">
        <v>280</v>
      </c>
      <c r="F6495" s="366" t="s">
        <v>3303</v>
      </c>
      <c r="G6495" s="46" t="s">
        <v>18</v>
      </c>
      <c r="H6495" s="46">
        <v>2</v>
      </c>
      <c r="I6495" s="51">
        <v>5367.65</v>
      </c>
      <c r="J6495" s="281">
        <f>++Tabla4[[#This Row],[Precio Bruto]]*1.16</f>
        <v>6226.4739999999993</v>
      </c>
      <c r="K6495" s="281">
        <f>+Tabla4[[#This Row],[Precio Unitario Neto]]*Tabla4[[#Headers],[20.85%]]</f>
        <v>1298.2198289999999</v>
      </c>
      <c r="L6495" s="282">
        <f>++Tabla4[[#This Row],[Precio Unitario Neto]]-Tabla4[[#This Row],[20.85%]]</f>
        <v>4928.2541709999996</v>
      </c>
      <c r="M6495" s="282" t="e">
        <f>(INDEX(Tabla6[#All],MATCH(Tabla4[[#This Row],[Producto]],Tabla6[[#All],[PRODUCTO]],0),MATCH(Tabla4[[#This Row],[Mes]],Tabla6[#Headers],0)))*(1+Catalogos!$L$2)</f>
        <v>#N/A</v>
      </c>
      <c r="N6495" s="283" t="e">
        <f>+(Tabla4[[#This Row],[Precio Descontado]]-Tabla4[[#This Row],[Precio Base]])*Tabla4[[#This Row],[Cantidad]]</f>
        <v>#N/A</v>
      </c>
      <c r="O6495" s="284" t="e">
        <f>++Tabla4[[#This Row],[Utilidad Total]]/Tabla4[[#This Row],[Total]]</f>
        <v>#N/A</v>
      </c>
      <c r="P6495" s="282">
        <f>++Tabla4[[#This Row],[Precio Descontado]]*Tabla4[[#This Row],[Cantidad]]</f>
        <v>9856.5083419999992</v>
      </c>
      <c r="Q6495" s="282" t="e">
        <f>(INDEX(Tabla6[#All],MATCH(Tabla4[[#This Row],[Producto]],Tabla6[[#All],[PRODUCTO]],0),MATCH(Tabla4[[#This Row],[Mes]],Tabla6[#Headers],0)))</f>
        <v>#N/A</v>
      </c>
      <c r="R6495" s="282" t="e">
        <f>++Tabla4[[#This Row],[Precio Unitario Neto]]-Tabla4[[#This Row],[20.85%]]-Tabla4[[#This Row],[Costo]]</f>
        <v>#N/A</v>
      </c>
      <c r="S6495" s="282" t="e">
        <f>++Tabla4[[#This Row],[U. Bruta Uni]]*Tabla4[[#This Row],[Cantidad]]</f>
        <v>#N/A</v>
      </c>
      <c r="T6495" s="369" t="str">
        <f>VLOOKUP(Tabla4[[#This Row],[Producto]],Tabla6[#All],14,FALSE)</f>
        <v>Termico Solar</v>
      </c>
      <c r="U6495" s="284" t="e">
        <f>(IF(Tabla4[[#This Row],[Familia]]="termico solar",Tabla4[[#This Row],[Utilidad Total]]*6%,Tabla4[[#This Row],[Utilidad Total]]*11.5%))/Tabla4[[#This Row],[Total]]</f>
        <v>#N/A</v>
      </c>
      <c r="V6495" s="282" t="e">
        <f>+Tabla4[[#This Row],[Comisión Calculada]]*Tabla4[[#This Row],[Total]]</f>
        <v>#N/A</v>
      </c>
    </row>
    <row r="6496" spans="1:22" hidden="1" x14ac:dyDescent="0.25">
      <c r="A6496" s="100">
        <v>45961</v>
      </c>
      <c r="B6496" t="str">
        <f t="shared" si="372"/>
        <v>October</v>
      </c>
      <c r="C6496" s="46" t="s">
        <v>280</v>
      </c>
      <c r="F6496" s="366" t="s">
        <v>3303</v>
      </c>
      <c r="G6496" s="46" t="s">
        <v>566</v>
      </c>
      <c r="H6496" s="46">
        <v>1</v>
      </c>
      <c r="I6496" s="51">
        <v>2109.4499999999998</v>
      </c>
      <c r="J6496" s="281">
        <f>++Tabla4[[#This Row],[Precio Bruto]]*1.16</f>
        <v>2446.9619999999995</v>
      </c>
      <c r="K6496" s="281">
        <f>+Tabla4[[#This Row],[Precio Unitario Neto]]*Tabla4[[#Headers],[20.85%]]</f>
        <v>510.19157699999988</v>
      </c>
      <c r="L6496" s="282">
        <f>++Tabla4[[#This Row],[Precio Unitario Neto]]-Tabla4[[#This Row],[20.85%]]</f>
        <v>1936.7704229999997</v>
      </c>
      <c r="M6496" s="282" t="e">
        <f>(INDEX(Tabla6[#All],MATCH(Tabla4[[#This Row],[Producto]],Tabla6[[#All],[PRODUCTO]],0),MATCH(Tabla4[[#This Row],[Mes]],Tabla6[#Headers],0)))*(1+Catalogos!$L$2)</f>
        <v>#N/A</v>
      </c>
      <c r="N6496" s="283" t="e">
        <f>+(Tabla4[[#This Row],[Precio Descontado]]-Tabla4[[#This Row],[Precio Base]])*Tabla4[[#This Row],[Cantidad]]</f>
        <v>#N/A</v>
      </c>
      <c r="O6496" s="284" t="e">
        <f>++Tabla4[[#This Row],[Utilidad Total]]/Tabla4[[#This Row],[Total]]</f>
        <v>#N/A</v>
      </c>
      <c r="P6496" s="282">
        <f>++Tabla4[[#This Row],[Precio Descontado]]*Tabla4[[#This Row],[Cantidad]]</f>
        <v>1936.7704229999997</v>
      </c>
      <c r="Q6496" s="282" t="e">
        <f>(INDEX(Tabla6[#All],MATCH(Tabla4[[#This Row],[Producto]],Tabla6[[#All],[PRODUCTO]],0),MATCH(Tabla4[[#This Row],[Mes]],Tabla6[#Headers],0)))</f>
        <v>#N/A</v>
      </c>
      <c r="R6496" s="282" t="e">
        <f>++Tabla4[[#This Row],[Precio Unitario Neto]]-Tabla4[[#This Row],[20.85%]]-Tabla4[[#This Row],[Costo]]</f>
        <v>#N/A</v>
      </c>
      <c r="S6496" s="282" t="e">
        <f>++Tabla4[[#This Row],[U. Bruta Uni]]*Tabla4[[#This Row],[Cantidad]]</f>
        <v>#N/A</v>
      </c>
      <c r="T6496" s="369" t="str">
        <f>VLOOKUP(Tabla4[[#This Row],[Producto]],Tabla6[#All],14,FALSE)</f>
        <v>Termico Solar</v>
      </c>
      <c r="U6496" s="284" t="e">
        <f>(IF(Tabla4[[#This Row],[Familia]]="termico solar",Tabla4[[#This Row],[Utilidad Total]]*6%,Tabla4[[#This Row],[Utilidad Total]]*11.5%))/Tabla4[[#This Row],[Total]]</f>
        <v>#N/A</v>
      </c>
      <c r="V6496" s="282" t="e">
        <f>+Tabla4[[#This Row],[Comisión Calculada]]*Tabla4[[#This Row],[Total]]</f>
        <v>#N/A</v>
      </c>
    </row>
    <row r="6497" spans="1:22" hidden="1" x14ac:dyDescent="0.25">
      <c r="A6497" s="100">
        <v>45961</v>
      </c>
      <c r="B6497" t="str">
        <f t="shared" si="372"/>
        <v>October</v>
      </c>
      <c r="C6497" s="46" t="s">
        <v>280</v>
      </c>
      <c r="F6497" s="366" t="s">
        <v>3303</v>
      </c>
      <c r="G6497" s="46" t="s">
        <v>16</v>
      </c>
      <c r="H6497" s="46">
        <v>1</v>
      </c>
      <c r="I6497" s="51">
        <v>4103.8500000000004</v>
      </c>
      <c r="J6497" s="281">
        <f>++Tabla4[[#This Row],[Precio Bruto]]*1.16</f>
        <v>4760.4660000000003</v>
      </c>
      <c r="K6497" s="281">
        <f>+Tabla4[[#This Row],[Precio Unitario Neto]]*Tabla4[[#Headers],[20.85%]]</f>
        <v>992.55716100000006</v>
      </c>
      <c r="L6497" s="282">
        <f>++Tabla4[[#This Row],[Precio Unitario Neto]]-Tabla4[[#This Row],[20.85%]]</f>
        <v>3767.9088390000002</v>
      </c>
      <c r="M6497" s="282" t="e">
        <f>(INDEX(Tabla6[#All],MATCH(Tabla4[[#This Row],[Producto]],Tabla6[[#All],[PRODUCTO]],0),MATCH(Tabla4[[#This Row],[Mes]],Tabla6[#Headers],0)))*(1+Catalogos!$L$2)</f>
        <v>#N/A</v>
      </c>
      <c r="N6497" s="283" t="e">
        <f>+(Tabla4[[#This Row],[Precio Descontado]]-Tabla4[[#This Row],[Precio Base]])*Tabla4[[#This Row],[Cantidad]]</f>
        <v>#N/A</v>
      </c>
      <c r="O6497" s="284" t="e">
        <f>++Tabla4[[#This Row],[Utilidad Total]]/Tabla4[[#This Row],[Total]]</f>
        <v>#N/A</v>
      </c>
      <c r="P6497" s="282">
        <f>++Tabla4[[#This Row],[Precio Descontado]]*Tabla4[[#This Row],[Cantidad]]</f>
        <v>3767.9088390000002</v>
      </c>
      <c r="Q6497" s="282" t="e">
        <f>(INDEX(Tabla6[#All],MATCH(Tabla4[[#This Row],[Producto]],Tabla6[[#All],[PRODUCTO]],0),MATCH(Tabla4[[#This Row],[Mes]],Tabla6[#Headers],0)))</f>
        <v>#N/A</v>
      </c>
      <c r="R6497" s="282" t="e">
        <f>++Tabla4[[#This Row],[Precio Unitario Neto]]-Tabla4[[#This Row],[20.85%]]-Tabla4[[#This Row],[Costo]]</f>
        <v>#N/A</v>
      </c>
      <c r="S6497" s="282" t="e">
        <f>++Tabla4[[#This Row],[U. Bruta Uni]]*Tabla4[[#This Row],[Cantidad]]</f>
        <v>#N/A</v>
      </c>
      <c r="T6497" s="369" t="str">
        <f>VLOOKUP(Tabla4[[#This Row],[Producto]],Tabla6[#All],14,FALSE)</f>
        <v>Termico Solar</v>
      </c>
      <c r="U6497" s="284" t="e">
        <f>(IF(Tabla4[[#This Row],[Familia]]="termico solar",Tabla4[[#This Row],[Utilidad Total]]*6%,Tabla4[[#This Row],[Utilidad Total]]*11.5%))/Tabla4[[#This Row],[Total]]</f>
        <v>#N/A</v>
      </c>
      <c r="V6497" s="282" t="e">
        <f>+Tabla4[[#This Row],[Comisión Calculada]]*Tabla4[[#This Row],[Total]]</f>
        <v>#N/A</v>
      </c>
    </row>
    <row r="6498" spans="1:22" hidden="1" x14ac:dyDescent="0.25">
      <c r="A6498" s="100">
        <v>45961</v>
      </c>
      <c r="B6498" t="str">
        <f>TEXT(A6498, "mmmm")</f>
        <v>October</v>
      </c>
      <c r="C6498" s="46" t="s">
        <v>280</v>
      </c>
      <c r="F6498" s="366" t="s">
        <v>3304</v>
      </c>
      <c r="G6498" s="46" t="s">
        <v>83</v>
      </c>
      <c r="H6498" s="46">
        <v>1</v>
      </c>
      <c r="I6498" s="51">
        <v>8858.76</v>
      </c>
      <c r="J6498" s="281">
        <f>++Tabla4[[#This Row],[Precio Bruto]]*1.16</f>
        <v>10276.161599999999</v>
      </c>
      <c r="K6498" s="281">
        <f>+Tabla4[[#This Row],[Precio Unitario Neto]]*Tabla4[[#Headers],[20.85%]]</f>
        <v>2142.5796935999997</v>
      </c>
      <c r="L6498" s="282">
        <f>++Tabla4[[#This Row],[Precio Unitario Neto]]-Tabla4[[#This Row],[20.85%]]</f>
        <v>8133.5819063999998</v>
      </c>
      <c r="M6498" s="282" t="e">
        <f>(INDEX(Tabla6[#All],MATCH(Tabla4[[#This Row],[Producto]],Tabla6[[#All],[PRODUCTO]],0),MATCH(Tabla4[[#This Row],[Mes]],Tabla6[#Headers],0)))*(1+Catalogos!$L$2)</f>
        <v>#N/A</v>
      </c>
      <c r="N6498" s="283" t="e">
        <f>+(Tabla4[[#This Row],[Precio Descontado]]-Tabla4[[#This Row],[Precio Base]])*Tabla4[[#This Row],[Cantidad]]</f>
        <v>#N/A</v>
      </c>
      <c r="O6498" s="284" t="e">
        <f>++Tabla4[[#This Row],[Utilidad Total]]/Tabla4[[#This Row],[Total]]</f>
        <v>#N/A</v>
      </c>
      <c r="P6498" s="282">
        <f>++Tabla4[[#This Row],[Precio Descontado]]*Tabla4[[#This Row],[Cantidad]]</f>
        <v>8133.5819063999998</v>
      </c>
      <c r="Q6498" s="282" t="e">
        <f>(INDEX(Tabla6[#All],MATCH(Tabla4[[#This Row],[Producto]],Tabla6[[#All],[PRODUCTO]],0),MATCH(Tabla4[[#This Row],[Mes]],Tabla6[#Headers],0)))</f>
        <v>#N/A</v>
      </c>
      <c r="R6498" s="282" t="e">
        <f>++Tabla4[[#This Row],[Precio Unitario Neto]]-Tabla4[[#This Row],[20.85%]]-Tabla4[[#This Row],[Costo]]</f>
        <v>#N/A</v>
      </c>
      <c r="S6498" s="282" t="e">
        <f>++Tabla4[[#This Row],[U. Bruta Uni]]*Tabla4[[#This Row],[Cantidad]]</f>
        <v>#N/A</v>
      </c>
      <c r="T6498" s="369" t="str">
        <f>VLOOKUP(Tabla4[[#This Row],[Producto]],Tabla6[#All],14,FALSE)</f>
        <v>Termico Solar</v>
      </c>
      <c r="U6498" s="284" t="e">
        <f>(IF(Tabla4[[#This Row],[Familia]]="termico solar",Tabla4[[#This Row],[Utilidad Total]]*6%,Tabla4[[#This Row],[Utilidad Total]]*11.5%))/Tabla4[[#This Row],[Total]]</f>
        <v>#N/A</v>
      </c>
      <c r="V6498" s="282" t="e">
        <f>+Tabla4[[#This Row],[Comisión Calculada]]*Tabla4[[#This Row],[Total]]</f>
        <v>#N/A</v>
      </c>
    </row>
    <row r="6499" spans="1:22" hidden="1" x14ac:dyDescent="0.25">
      <c r="A6499" s="100">
        <v>45961</v>
      </c>
      <c r="B6499" t="str">
        <f>TEXT(A6499, "mmmm")</f>
        <v>October</v>
      </c>
      <c r="C6499" s="46" t="s">
        <v>280</v>
      </c>
      <c r="F6499" s="366" t="s">
        <v>3305</v>
      </c>
      <c r="G6499" s="46" t="s">
        <v>208</v>
      </c>
      <c r="H6499" s="46">
        <v>11</v>
      </c>
      <c r="I6499" s="51">
        <v>189.75</v>
      </c>
      <c r="J6499" s="281">
        <f>++Tabla4[[#This Row],[Precio Bruto]]*1.16</f>
        <v>220.10999999999999</v>
      </c>
      <c r="K6499" s="281">
        <f>+Tabla4[[#This Row],[Precio Unitario Neto]]*Tabla4[[#Headers],[20.85%]]</f>
        <v>45.892934999999994</v>
      </c>
      <c r="L6499" s="282">
        <f>++Tabla4[[#This Row],[Precio Unitario Neto]]-Tabla4[[#This Row],[20.85%]]</f>
        <v>174.21706499999999</v>
      </c>
      <c r="M6499" s="282" t="e">
        <f>(INDEX(Tabla6[#All],MATCH(Tabla4[[#This Row],[Producto]],Tabla6[[#All],[PRODUCTO]],0),MATCH(Tabla4[[#This Row],[Mes]],Tabla6[#Headers],0)))*(1+Catalogos!$L$2)</f>
        <v>#N/A</v>
      </c>
      <c r="N6499" s="283" t="e">
        <f>+(Tabla4[[#This Row],[Precio Descontado]]-Tabla4[[#This Row],[Precio Base]])*Tabla4[[#This Row],[Cantidad]]</f>
        <v>#N/A</v>
      </c>
      <c r="O6499" s="284" t="e">
        <f>++Tabla4[[#This Row],[Utilidad Total]]/Tabla4[[#This Row],[Total]]</f>
        <v>#N/A</v>
      </c>
      <c r="P6499" s="282">
        <f>++Tabla4[[#This Row],[Precio Descontado]]*Tabla4[[#This Row],[Cantidad]]</f>
        <v>1916.3877149999998</v>
      </c>
      <c r="Q6499" s="282" t="e">
        <f>(INDEX(Tabla6[#All],MATCH(Tabla4[[#This Row],[Producto]],Tabla6[[#All],[PRODUCTO]],0),MATCH(Tabla4[[#This Row],[Mes]],Tabla6[#Headers],0)))</f>
        <v>#N/A</v>
      </c>
      <c r="R6499" s="282" t="e">
        <f>++Tabla4[[#This Row],[Precio Unitario Neto]]-Tabla4[[#This Row],[20.85%]]-Tabla4[[#This Row],[Costo]]</f>
        <v>#N/A</v>
      </c>
      <c r="S6499" s="282" t="e">
        <f>++Tabla4[[#This Row],[U. Bruta Uni]]*Tabla4[[#This Row],[Cantidad]]</f>
        <v>#N/A</v>
      </c>
      <c r="T6499" s="369" t="str">
        <f>VLOOKUP(Tabla4[[#This Row],[Producto]],Tabla6[#All],14,FALSE)</f>
        <v>Termico Solar</v>
      </c>
      <c r="U6499" s="284" t="e">
        <f>(IF(Tabla4[[#This Row],[Familia]]="termico solar",Tabla4[[#This Row],[Utilidad Total]]*6%,Tabla4[[#This Row],[Utilidad Total]]*11.5%))/Tabla4[[#This Row],[Total]]</f>
        <v>#N/A</v>
      </c>
      <c r="V6499" s="282" t="e">
        <f>+Tabla4[[#This Row],[Comisión Calculada]]*Tabla4[[#This Row],[Total]]</f>
        <v>#N/A</v>
      </c>
    </row>
    <row r="6500" spans="1:22" hidden="1" x14ac:dyDescent="0.25">
      <c r="A6500" s="100">
        <v>45961</v>
      </c>
      <c r="B6500" t="str">
        <f>TEXT(A6500, "mmmm")</f>
        <v>October</v>
      </c>
      <c r="C6500" s="46" t="s">
        <v>280</v>
      </c>
      <c r="F6500" s="366" t="s">
        <v>3306</v>
      </c>
      <c r="G6500" s="46" t="s">
        <v>17</v>
      </c>
      <c r="H6500" s="46">
        <v>1</v>
      </c>
      <c r="I6500" s="51">
        <v>4622.28</v>
      </c>
      <c r="J6500" s="281">
        <f>++Tabla4[[#This Row],[Precio Bruto]]*1.16</f>
        <v>5361.8447999999989</v>
      </c>
      <c r="K6500" s="281">
        <f>+Tabla4[[#This Row],[Precio Unitario Neto]]*Tabla4[[#Headers],[20.85%]]</f>
        <v>1117.9446407999997</v>
      </c>
      <c r="L6500" s="282">
        <f>++Tabla4[[#This Row],[Precio Unitario Neto]]-Tabla4[[#This Row],[20.85%]]</f>
        <v>4243.9001591999995</v>
      </c>
      <c r="M6500" s="282" t="e">
        <f>(INDEX(Tabla6[#All],MATCH(Tabla4[[#This Row],[Producto]],Tabla6[[#All],[PRODUCTO]],0),MATCH(Tabla4[[#This Row],[Mes]],Tabla6[#Headers],0)))*(1+Catalogos!$L$2)</f>
        <v>#N/A</v>
      </c>
      <c r="N6500" s="283" t="e">
        <f>+(Tabla4[[#This Row],[Precio Descontado]]-Tabla4[[#This Row],[Precio Base]])*Tabla4[[#This Row],[Cantidad]]</f>
        <v>#N/A</v>
      </c>
      <c r="O6500" s="284" t="e">
        <f>++Tabla4[[#This Row],[Utilidad Total]]/Tabla4[[#This Row],[Total]]</f>
        <v>#N/A</v>
      </c>
      <c r="P6500" s="282">
        <f>++Tabla4[[#This Row],[Precio Descontado]]*Tabla4[[#This Row],[Cantidad]]</f>
        <v>4243.9001591999995</v>
      </c>
      <c r="Q6500" s="282" t="e">
        <f>(INDEX(Tabla6[#All],MATCH(Tabla4[[#This Row],[Producto]],Tabla6[[#All],[PRODUCTO]],0),MATCH(Tabla4[[#This Row],[Mes]],Tabla6[#Headers],0)))</f>
        <v>#N/A</v>
      </c>
      <c r="R6500" s="282" t="e">
        <f>++Tabla4[[#This Row],[Precio Unitario Neto]]-Tabla4[[#This Row],[20.85%]]-Tabla4[[#This Row],[Costo]]</f>
        <v>#N/A</v>
      </c>
      <c r="S6500" s="282" t="e">
        <f>++Tabla4[[#This Row],[U. Bruta Uni]]*Tabla4[[#This Row],[Cantidad]]</f>
        <v>#N/A</v>
      </c>
      <c r="T6500" s="369" t="str">
        <f>VLOOKUP(Tabla4[[#This Row],[Producto]],Tabla6[#All],14,FALSE)</f>
        <v>Termico Solar</v>
      </c>
      <c r="U6500" s="284" t="e">
        <f>(IF(Tabla4[[#This Row],[Familia]]="termico solar",Tabla4[[#This Row],[Utilidad Total]]*6%,Tabla4[[#This Row],[Utilidad Total]]*11.5%))/Tabla4[[#This Row],[Total]]</f>
        <v>#N/A</v>
      </c>
      <c r="V6500" s="282" t="e">
        <f>+Tabla4[[#This Row],[Comisión Calculada]]*Tabla4[[#This Row],[Total]]</f>
        <v>#N/A</v>
      </c>
    </row>
    <row r="6501" spans="1:22" hidden="1" x14ac:dyDescent="0.25">
      <c r="A6501" s="100">
        <v>45961</v>
      </c>
      <c r="B6501" t="str">
        <f t="shared" ref="B6501:B6502" si="373">TEXT(A6501, "mmmm")</f>
        <v>October</v>
      </c>
      <c r="C6501" s="46" t="s">
        <v>280</v>
      </c>
      <c r="F6501" s="366" t="s">
        <v>3307</v>
      </c>
      <c r="G6501" s="46" t="s">
        <v>83</v>
      </c>
      <c r="H6501" s="46">
        <v>1</v>
      </c>
      <c r="I6501" s="51">
        <v>8858.76</v>
      </c>
      <c r="J6501" s="281">
        <f>++Tabla4[[#This Row],[Precio Bruto]]*1.16</f>
        <v>10276.161599999999</v>
      </c>
      <c r="K6501" s="281">
        <f>+Tabla4[[#This Row],[Precio Unitario Neto]]*Tabla4[[#Headers],[20.85%]]</f>
        <v>2142.5796935999997</v>
      </c>
      <c r="L6501" s="282">
        <f>++Tabla4[[#This Row],[Precio Unitario Neto]]-Tabla4[[#This Row],[20.85%]]</f>
        <v>8133.5819063999998</v>
      </c>
      <c r="M6501" s="282" t="e">
        <f>(INDEX(Tabla6[#All],MATCH(Tabla4[[#This Row],[Producto]],Tabla6[[#All],[PRODUCTO]],0),MATCH(Tabla4[[#This Row],[Mes]],Tabla6[#Headers],0)))*(1+Catalogos!$L$2)</f>
        <v>#N/A</v>
      </c>
      <c r="N6501" s="283" t="e">
        <f>+(Tabla4[[#This Row],[Precio Descontado]]-Tabla4[[#This Row],[Precio Base]])*Tabla4[[#This Row],[Cantidad]]</f>
        <v>#N/A</v>
      </c>
      <c r="O6501" s="284" t="e">
        <f>++Tabla4[[#This Row],[Utilidad Total]]/Tabla4[[#This Row],[Total]]</f>
        <v>#N/A</v>
      </c>
      <c r="P6501" s="282">
        <f>++Tabla4[[#This Row],[Precio Descontado]]*Tabla4[[#This Row],[Cantidad]]</f>
        <v>8133.5819063999998</v>
      </c>
      <c r="Q6501" s="282" t="e">
        <f>(INDEX(Tabla6[#All],MATCH(Tabla4[[#This Row],[Producto]],Tabla6[[#All],[PRODUCTO]],0),MATCH(Tabla4[[#This Row],[Mes]],Tabla6[#Headers],0)))</f>
        <v>#N/A</v>
      </c>
      <c r="R6501" s="282" t="e">
        <f>++Tabla4[[#This Row],[Precio Unitario Neto]]-Tabla4[[#This Row],[20.85%]]-Tabla4[[#This Row],[Costo]]</f>
        <v>#N/A</v>
      </c>
      <c r="S6501" s="282" t="e">
        <f>++Tabla4[[#This Row],[U. Bruta Uni]]*Tabla4[[#This Row],[Cantidad]]</f>
        <v>#N/A</v>
      </c>
      <c r="T6501" s="369" t="str">
        <f>VLOOKUP(Tabla4[[#This Row],[Producto]],Tabla6[#All],14,FALSE)</f>
        <v>Termico Solar</v>
      </c>
      <c r="U6501" s="284" t="e">
        <f>(IF(Tabla4[[#This Row],[Familia]]="termico solar",Tabla4[[#This Row],[Utilidad Total]]*6%,Tabla4[[#This Row],[Utilidad Total]]*11.5%))/Tabla4[[#This Row],[Total]]</f>
        <v>#N/A</v>
      </c>
      <c r="V6501" s="282" t="e">
        <f>+Tabla4[[#This Row],[Comisión Calculada]]*Tabla4[[#This Row],[Total]]</f>
        <v>#N/A</v>
      </c>
    </row>
    <row r="6502" spans="1:22" hidden="1" x14ac:dyDescent="0.25">
      <c r="A6502" s="100">
        <v>45961</v>
      </c>
      <c r="B6502" t="str">
        <f t="shared" si="373"/>
        <v>October</v>
      </c>
      <c r="C6502" s="46" t="s">
        <v>280</v>
      </c>
      <c r="F6502" s="366" t="s">
        <v>3307</v>
      </c>
      <c r="G6502" s="46" t="s">
        <v>412</v>
      </c>
      <c r="H6502" s="46">
        <v>1</v>
      </c>
      <c r="I6502" s="51">
        <v>3240.84</v>
      </c>
      <c r="J6502" s="281">
        <f>++Tabla4[[#This Row],[Precio Bruto]]*1.16</f>
        <v>3759.3743999999997</v>
      </c>
      <c r="K6502" s="281">
        <f>+Tabla4[[#This Row],[Precio Unitario Neto]]*Tabla4[[#Headers],[20.85%]]</f>
        <v>783.82956239999987</v>
      </c>
      <c r="L6502" s="282">
        <f>++Tabla4[[#This Row],[Precio Unitario Neto]]-Tabla4[[#This Row],[20.85%]]</f>
        <v>2975.5448375999999</v>
      </c>
      <c r="M6502" s="282" t="e">
        <f>(INDEX(Tabla6[#All],MATCH(Tabla4[[#This Row],[Producto]],Tabla6[[#All],[PRODUCTO]],0),MATCH(Tabla4[[#This Row],[Mes]],Tabla6[#Headers],0)))*(1+Catalogos!$L$2)</f>
        <v>#N/A</v>
      </c>
      <c r="N6502" s="283" t="e">
        <f>+(Tabla4[[#This Row],[Precio Descontado]]-Tabla4[[#This Row],[Precio Base]])*Tabla4[[#This Row],[Cantidad]]</f>
        <v>#N/A</v>
      </c>
      <c r="O6502" s="284" t="e">
        <f>++Tabla4[[#This Row],[Utilidad Total]]/Tabla4[[#This Row],[Total]]</f>
        <v>#N/A</v>
      </c>
      <c r="P6502" s="282">
        <f>++Tabla4[[#This Row],[Precio Descontado]]*Tabla4[[#This Row],[Cantidad]]</f>
        <v>2975.5448375999999</v>
      </c>
      <c r="Q6502" s="282" t="e">
        <f>(INDEX(Tabla6[#All],MATCH(Tabla4[[#This Row],[Producto]],Tabla6[[#All],[PRODUCTO]],0),MATCH(Tabla4[[#This Row],[Mes]],Tabla6[#Headers],0)))</f>
        <v>#N/A</v>
      </c>
      <c r="R6502" s="282" t="e">
        <f>++Tabla4[[#This Row],[Precio Unitario Neto]]-Tabla4[[#This Row],[20.85%]]-Tabla4[[#This Row],[Costo]]</f>
        <v>#N/A</v>
      </c>
      <c r="S6502" s="282" t="e">
        <f>++Tabla4[[#This Row],[U. Bruta Uni]]*Tabla4[[#This Row],[Cantidad]]</f>
        <v>#N/A</v>
      </c>
      <c r="T6502" s="369" t="str">
        <f>VLOOKUP(Tabla4[[#This Row],[Producto]],Tabla6[#All],14,FALSE)</f>
        <v>Termico Solar</v>
      </c>
      <c r="U6502" s="284" t="e">
        <f>(IF(Tabla4[[#This Row],[Familia]]="termico solar",Tabla4[[#This Row],[Utilidad Total]]*6%,Tabla4[[#This Row],[Utilidad Total]]*11.5%))/Tabla4[[#This Row],[Total]]</f>
        <v>#N/A</v>
      </c>
      <c r="V6502" s="282" t="e">
        <f>+Tabla4[[#This Row],[Comisión Calculada]]*Tabla4[[#This Row],[Total]]</f>
        <v>#N/A</v>
      </c>
    </row>
    <row r="6503" spans="1:22" hidden="1" x14ac:dyDescent="0.25">
      <c r="A6503" s="100">
        <v>45961</v>
      </c>
      <c r="B6503" t="str">
        <f t="shared" ref="B6503:B6504" si="374">TEXT(A6503, "mmmm")</f>
        <v>October</v>
      </c>
      <c r="C6503" s="46" t="s">
        <v>280</v>
      </c>
      <c r="F6503" s="366" t="s">
        <v>3308</v>
      </c>
      <c r="G6503" s="46" t="s">
        <v>17</v>
      </c>
      <c r="H6503" s="46">
        <v>1</v>
      </c>
      <c r="I6503" s="51">
        <v>4622.28</v>
      </c>
      <c r="J6503" s="281">
        <f>++Tabla4[[#This Row],[Precio Bruto]]*1.16</f>
        <v>5361.8447999999989</v>
      </c>
      <c r="K6503" s="281">
        <f>+Tabla4[[#This Row],[Precio Unitario Neto]]*Tabla4[[#Headers],[20.85%]]</f>
        <v>1117.9446407999997</v>
      </c>
      <c r="L6503" s="282">
        <f>++Tabla4[[#This Row],[Precio Unitario Neto]]-Tabla4[[#This Row],[20.85%]]</f>
        <v>4243.9001591999995</v>
      </c>
      <c r="M6503" s="282" t="e">
        <f>(INDEX(Tabla6[#All],MATCH(Tabla4[[#This Row],[Producto]],Tabla6[[#All],[PRODUCTO]],0),MATCH(Tabla4[[#This Row],[Mes]],Tabla6[#Headers],0)))*(1+Catalogos!$L$2)</f>
        <v>#N/A</v>
      </c>
      <c r="N6503" s="283" t="e">
        <f>+(Tabla4[[#This Row],[Precio Descontado]]-Tabla4[[#This Row],[Precio Base]])*Tabla4[[#This Row],[Cantidad]]</f>
        <v>#N/A</v>
      </c>
      <c r="O6503" s="284" t="e">
        <f>++Tabla4[[#This Row],[Utilidad Total]]/Tabla4[[#This Row],[Total]]</f>
        <v>#N/A</v>
      </c>
      <c r="P6503" s="282">
        <f>++Tabla4[[#This Row],[Precio Descontado]]*Tabla4[[#This Row],[Cantidad]]</f>
        <v>4243.9001591999995</v>
      </c>
      <c r="Q6503" s="282" t="e">
        <f>(INDEX(Tabla6[#All],MATCH(Tabla4[[#This Row],[Producto]],Tabla6[[#All],[PRODUCTO]],0),MATCH(Tabla4[[#This Row],[Mes]],Tabla6[#Headers],0)))</f>
        <v>#N/A</v>
      </c>
      <c r="R6503" s="282" t="e">
        <f>++Tabla4[[#This Row],[Precio Unitario Neto]]-Tabla4[[#This Row],[20.85%]]-Tabla4[[#This Row],[Costo]]</f>
        <v>#N/A</v>
      </c>
      <c r="S6503" s="282" t="e">
        <f>++Tabla4[[#This Row],[U. Bruta Uni]]*Tabla4[[#This Row],[Cantidad]]</f>
        <v>#N/A</v>
      </c>
      <c r="T6503" s="369" t="str">
        <f>VLOOKUP(Tabla4[[#This Row],[Producto]],Tabla6[#All],14,FALSE)</f>
        <v>Termico Solar</v>
      </c>
      <c r="U6503" s="284" t="e">
        <f>(IF(Tabla4[[#This Row],[Familia]]="termico solar",Tabla4[[#This Row],[Utilidad Total]]*6%,Tabla4[[#This Row],[Utilidad Total]]*11.5%))/Tabla4[[#This Row],[Total]]</f>
        <v>#N/A</v>
      </c>
      <c r="V6503" s="282" t="e">
        <f>+Tabla4[[#This Row],[Comisión Calculada]]*Tabla4[[#This Row],[Total]]</f>
        <v>#N/A</v>
      </c>
    </row>
    <row r="6504" spans="1:22" hidden="1" x14ac:dyDescent="0.25">
      <c r="A6504" s="100">
        <v>45961</v>
      </c>
      <c r="B6504" t="str">
        <f t="shared" si="374"/>
        <v>October</v>
      </c>
      <c r="C6504" s="46" t="s">
        <v>280</v>
      </c>
      <c r="F6504" s="366" t="s">
        <v>3308</v>
      </c>
      <c r="G6504" s="46" t="s">
        <v>208</v>
      </c>
      <c r="H6504" s="46">
        <v>1</v>
      </c>
      <c r="I6504" s="51">
        <v>189.75</v>
      </c>
      <c r="J6504" s="281">
        <f>++Tabla4[[#This Row],[Precio Bruto]]*1.16</f>
        <v>220.10999999999999</v>
      </c>
      <c r="K6504" s="281">
        <f>+Tabla4[[#This Row],[Precio Unitario Neto]]*Tabla4[[#Headers],[20.85%]]</f>
        <v>45.892934999999994</v>
      </c>
      <c r="L6504" s="282">
        <f>++Tabla4[[#This Row],[Precio Unitario Neto]]-Tabla4[[#This Row],[20.85%]]</f>
        <v>174.21706499999999</v>
      </c>
      <c r="M6504" s="282" t="e">
        <f>(INDEX(Tabla6[#All],MATCH(Tabla4[[#This Row],[Producto]],Tabla6[[#All],[PRODUCTO]],0),MATCH(Tabla4[[#This Row],[Mes]],Tabla6[#Headers],0)))*(1+Catalogos!$L$2)</f>
        <v>#N/A</v>
      </c>
      <c r="N6504" s="283" t="e">
        <f>+(Tabla4[[#This Row],[Precio Descontado]]-Tabla4[[#This Row],[Precio Base]])*Tabla4[[#This Row],[Cantidad]]</f>
        <v>#N/A</v>
      </c>
      <c r="O6504" s="284" t="e">
        <f>++Tabla4[[#This Row],[Utilidad Total]]/Tabla4[[#This Row],[Total]]</f>
        <v>#N/A</v>
      </c>
      <c r="P6504" s="282">
        <f>++Tabla4[[#This Row],[Precio Descontado]]*Tabla4[[#This Row],[Cantidad]]</f>
        <v>174.21706499999999</v>
      </c>
      <c r="Q6504" s="282" t="e">
        <f>(INDEX(Tabla6[#All],MATCH(Tabla4[[#This Row],[Producto]],Tabla6[[#All],[PRODUCTO]],0),MATCH(Tabla4[[#This Row],[Mes]],Tabla6[#Headers],0)))</f>
        <v>#N/A</v>
      </c>
      <c r="R6504" s="282" t="e">
        <f>++Tabla4[[#This Row],[Precio Unitario Neto]]-Tabla4[[#This Row],[20.85%]]-Tabla4[[#This Row],[Costo]]</f>
        <v>#N/A</v>
      </c>
      <c r="S6504" s="282" t="e">
        <f>++Tabla4[[#This Row],[U. Bruta Uni]]*Tabla4[[#This Row],[Cantidad]]</f>
        <v>#N/A</v>
      </c>
      <c r="T6504" s="369" t="str">
        <f>VLOOKUP(Tabla4[[#This Row],[Producto]],Tabla6[#All],14,FALSE)</f>
        <v>Termico Solar</v>
      </c>
      <c r="U6504" s="284" t="e">
        <f>(IF(Tabla4[[#This Row],[Familia]]="termico solar",Tabla4[[#This Row],[Utilidad Total]]*6%,Tabla4[[#This Row],[Utilidad Total]]*11.5%))/Tabla4[[#This Row],[Total]]</f>
        <v>#N/A</v>
      </c>
      <c r="V6504" s="282" t="e">
        <f>+Tabla4[[#This Row],[Comisión Calculada]]*Tabla4[[#This Row],[Total]]</f>
        <v>#N/A</v>
      </c>
    </row>
    <row r="6505" spans="1:22" hidden="1" x14ac:dyDescent="0.25">
      <c r="A6505" s="100">
        <v>45961</v>
      </c>
      <c r="B6505" t="str">
        <f t="shared" ref="B6505:B6507" si="375">TEXT(A6505, "mmmm")</f>
        <v>October</v>
      </c>
      <c r="C6505" s="46" t="s">
        <v>280</v>
      </c>
      <c r="F6505" s="366" t="s">
        <v>3309</v>
      </c>
      <c r="G6505" s="46" t="s">
        <v>83</v>
      </c>
      <c r="H6505" s="46">
        <v>1</v>
      </c>
      <c r="I6505" s="51">
        <v>8858.76</v>
      </c>
      <c r="J6505" s="281">
        <f>++Tabla4[[#This Row],[Precio Bruto]]*1.16</f>
        <v>10276.161599999999</v>
      </c>
      <c r="K6505" s="281">
        <f>+Tabla4[[#This Row],[Precio Unitario Neto]]*Tabla4[[#Headers],[20.85%]]</f>
        <v>2142.5796935999997</v>
      </c>
      <c r="L6505" s="282">
        <f>++Tabla4[[#This Row],[Precio Unitario Neto]]-Tabla4[[#This Row],[20.85%]]</f>
        <v>8133.5819063999998</v>
      </c>
      <c r="M6505" s="282" t="e">
        <f>(INDEX(Tabla6[#All],MATCH(Tabla4[[#This Row],[Producto]],Tabla6[[#All],[PRODUCTO]],0),MATCH(Tabla4[[#This Row],[Mes]],Tabla6[#Headers],0)))*(1+Catalogos!$L$2)</f>
        <v>#N/A</v>
      </c>
      <c r="N6505" s="283" t="e">
        <f>+(Tabla4[[#This Row],[Precio Descontado]]-Tabla4[[#This Row],[Precio Base]])*Tabla4[[#This Row],[Cantidad]]</f>
        <v>#N/A</v>
      </c>
      <c r="O6505" s="284" t="e">
        <f>++Tabla4[[#This Row],[Utilidad Total]]/Tabla4[[#This Row],[Total]]</f>
        <v>#N/A</v>
      </c>
      <c r="P6505" s="282">
        <f>++Tabla4[[#This Row],[Precio Descontado]]*Tabla4[[#This Row],[Cantidad]]</f>
        <v>8133.5819063999998</v>
      </c>
      <c r="Q6505" s="282" t="e">
        <f>(INDEX(Tabla6[#All],MATCH(Tabla4[[#This Row],[Producto]],Tabla6[[#All],[PRODUCTO]],0),MATCH(Tabla4[[#This Row],[Mes]],Tabla6[#Headers],0)))</f>
        <v>#N/A</v>
      </c>
      <c r="R6505" s="282" t="e">
        <f>++Tabla4[[#This Row],[Precio Unitario Neto]]-Tabla4[[#This Row],[20.85%]]-Tabla4[[#This Row],[Costo]]</f>
        <v>#N/A</v>
      </c>
      <c r="S6505" s="282" t="e">
        <f>++Tabla4[[#This Row],[U. Bruta Uni]]*Tabla4[[#This Row],[Cantidad]]</f>
        <v>#N/A</v>
      </c>
      <c r="T6505" s="369" t="str">
        <f>VLOOKUP(Tabla4[[#This Row],[Producto]],Tabla6[#All],14,FALSE)</f>
        <v>Termico Solar</v>
      </c>
      <c r="U6505" s="284" t="e">
        <f>(IF(Tabla4[[#This Row],[Familia]]="termico solar",Tabla4[[#This Row],[Utilidad Total]]*6%,Tabla4[[#This Row],[Utilidad Total]]*11.5%))/Tabla4[[#This Row],[Total]]</f>
        <v>#N/A</v>
      </c>
      <c r="V6505" s="282" t="e">
        <f>+Tabla4[[#This Row],[Comisión Calculada]]*Tabla4[[#This Row],[Total]]</f>
        <v>#N/A</v>
      </c>
    </row>
    <row r="6506" spans="1:22" hidden="1" x14ac:dyDescent="0.25">
      <c r="A6506" s="100">
        <v>45961</v>
      </c>
      <c r="B6506" t="str">
        <f t="shared" si="375"/>
        <v>October</v>
      </c>
      <c r="C6506" s="46" t="s">
        <v>280</v>
      </c>
      <c r="F6506" s="366" t="s">
        <v>3309</v>
      </c>
      <c r="G6506" s="46" t="s">
        <v>17</v>
      </c>
      <c r="H6506" s="46">
        <v>2</v>
      </c>
      <c r="I6506" s="51">
        <v>4622.28</v>
      </c>
      <c r="J6506" s="281">
        <f>++Tabla4[[#This Row],[Precio Bruto]]*1.16</f>
        <v>5361.8447999999989</v>
      </c>
      <c r="K6506" s="281">
        <f>+Tabla4[[#This Row],[Precio Unitario Neto]]*Tabla4[[#Headers],[20.85%]]</f>
        <v>1117.9446407999997</v>
      </c>
      <c r="L6506" s="282">
        <f>++Tabla4[[#This Row],[Precio Unitario Neto]]-Tabla4[[#This Row],[20.85%]]</f>
        <v>4243.9001591999995</v>
      </c>
      <c r="M6506" s="282" t="e">
        <f>(INDEX(Tabla6[#All],MATCH(Tabla4[[#This Row],[Producto]],Tabla6[[#All],[PRODUCTO]],0),MATCH(Tabla4[[#This Row],[Mes]],Tabla6[#Headers],0)))*(1+Catalogos!$L$2)</f>
        <v>#N/A</v>
      </c>
      <c r="N6506" s="283" t="e">
        <f>+(Tabla4[[#This Row],[Precio Descontado]]-Tabla4[[#This Row],[Precio Base]])*Tabla4[[#This Row],[Cantidad]]</f>
        <v>#N/A</v>
      </c>
      <c r="O6506" s="284" t="e">
        <f>++Tabla4[[#This Row],[Utilidad Total]]/Tabla4[[#This Row],[Total]]</f>
        <v>#N/A</v>
      </c>
      <c r="P6506" s="282">
        <f>++Tabla4[[#This Row],[Precio Descontado]]*Tabla4[[#This Row],[Cantidad]]</f>
        <v>8487.800318399999</v>
      </c>
      <c r="Q6506" s="282" t="e">
        <f>(INDEX(Tabla6[#All],MATCH(Tabla4[[#This Row],[Producto]],Tabla6[[#All],[PRODUCTO]],0),MATCH(Tabla4[[#This Row],[Mes]],Tabla6[#Headers],0)))</f>
        <v>#N/A</v>
      </c>
      <c r="R6506" s="282" t="e">
        <f>++Tabla4[[#This Row],[Precio Unitario Neto]]-Tabla4[[#This Row],[20.85%]]-Tabla4[[#This Row],[Costo]]</f>
        <v>#N/A</v>
      </c>
      <c r="S6506" s="282" t="e">
        <f>++Tabla4[[#This Row],[U. Bruta Uni]]*Tabla4[[#This Row],[Cantidad]]</f>
        <v>#N/A</v>
      </c>
      <c r="T6506" s="369" t="str">
        <f>VLOOKUP(Tabla4[[#This Row],[Producto]],Tabla6[#All],14,FALSE)</f>
        <v>Termico Solar</v>
      </c>
      <c r="U6506" s="284" t="e">
        <f>(IF(Tabla4[[#This Row],[Familia]]="termico solar",Tabla4[[#This Row],[Utilidad Total]]*6%,Tabla4[[#This Row],[Utilidad Total]]*11.5%))/Tabla4[[#This Row],[Total]]</f>
        <v>#N/A</v>
      </c>
      <c r="V6506" s="282" t="e">
        <f>+Tabla4[[#This Row],[Comisión Calculada]]*Tabla4[[#This Row],[Total]]</f>
        <v>#N/A</v>
      </c>
    </row>
    <row r="6507" spans="1:22" hidden="1" x14ac:dyDescent="0.25">
      <c r="A6507" s="100">
        <v>45961</v>
      </c>
      <c r="B6507" t="str">
        <f t="shared" si="375"/>
        <v>October</v>
      </c>
      <c r="C6507" s="46" t="s">
        <v>280</v>
      </c>
      <c r="F6507" s="366" t="s">
        <v>3309</v>
      </c>
      <c r="G6507" s="46" t="s">
        <v>566</v>
      </c>
      <c r="H6507" s="46">
        <v>1</v>
      </c>
      <c r="I6507" s="51">
        <v>2109.4499999999998</v>
      </c>
      <c r="J6507" s="281">
        <f>++Tabla4[[#This Row],[Precio Bruto]]*1.16</f>
        <v>2446.9619999999995</v>
      </c>
      <c r="K6507" s="281">
        <f>+Tabla4[[#This Row],[Precio Unitario Neto]]*Tabla4[[#Headers],[20.85%]]</f>
        <v>510.19157699999988</v>
      </c>
      <c r="L6507" s="282">
        <f>++Tabla4[[#This Row],[Precio Unitario Neto]]-Tabla4[[#This Row],[20.85%]]</f>
        <v>1936.7704229999997</v>
      </c>
      <c r="M6507" s="282" t="e">
        <f>(INDEX(Tabla6[#All],MATCH(Tabla4[[#This Row],[Producto]],Tabla6[[#All],[PRODUCTO]],0),MATCH(Tabla4[[#This Row],[Mes]],Tabla6[#Headers],0)))*(1+Catalogos!$L$2)</f>
        <v>#N/A</v>
      </c>
      <c r="N6507" s="283" t="e">
        <f>+(Tabla4[[#This Row],[Precio Descontado]]-Tabla4[[#This Row],[Precio Base]])*Tabla4[[#This Row],[Cantidad]]</f>
        <v>#N/A</v>
      </c>
      <c r="O6507" s="284" t="e">
        <f>++Tabla4[[#This Row],[Utilidad Total]]/Tabla4[[#This Row],[Total]]</f>
        <v>#N/A</v>
      </c>
      <c r="P6507" s="282">
        <f>++Tabla4[[#This Row],[Precio Descontado]]*Tabla4[[#This Row],[Cantidad]]</f>
        <v>1936.7704229999997</v>
      </c>
      <c r="Q6507" s="282" t="e">
        <f>(INDEX(Tabla6[#All],MATCH(Tabla4[[#This Row],[Producto]],Tabla6[[#All],[PRODUCTO]],0),MATCH(Tabla4[[#This Row],[Mes]],Tabla6[#Headers],0)))</f>
        <v>#N/A</v>
      </c>
      <c r="R6507" s="282" t="e">
        <f>++Tabla4[[#This Row],[Precio Unitario Neto]]-Tabla4[[#This Row],[20.85%]]-Tabla4[[#This Row],[Costo]]</f>
        <v>#N/A</v>
      </c>
      <c r="S6507" s="282" t="e">
        <f>++Tabla4[[#This Row],[U. Bruta Uni]]*Tabla4[[#This Row],[Cantidad]]</f>
        <v>#N/A</v>
      </c>
      <c r="T6507" s="369" t="str">
        <f>VLOOKUP(Tabla4[[#This Row],[Producto]],Tabla6[#All],14,FALSE)</f>
        <v>Termico Solar</v>
      </c>
      <c r="U6507" s="284" t="e">
        <f>(IF(Tabla4[[#This Row],[Familia]]="termico solar",Tabla4[[#This Row],[Utilidad Total]]*6%,Tabla4[[#This Row],[Utilidad Total]]*11.5%))/Tabla4[[#This Row],[Total]]</f>
        <v>#N/A</v>
      </c>
      <c r="V6507" s="282" t="e">
        <f>+Tabla4[[#This Row],[Comisión Calculada]]*Tabla4[[#This Row],[Total]]</f>
        <v>#N/A</v>
      </c>
    </row>
    <row r="6508" spans="1:22" hidden="1" x14ac:dyDescent="0.25">
      <c r="A6508" s="100">
        <v>45961</v>
      </c>
      <c r="B6508" t="str">
        <f t="shared" ref="B6508:B6510" si="376">TEXT(A6508, "mmmm")</f>
        <v>October</v>
      </c>
      <c r="C6508" s="46" t="s">
        <v>280</v>
      </c>
      <c r="F6508" s="366" t="s">
        <v>3310</v>
      </c>
      <c r="G6508" s="46" t="s">
        <v>17</v>
      </c>
      <c r="H6508" s="46">
        <v>2</v>
      </c>
      <c r="I6508" s="51">
        <v>4622.28</v>
      </c>
      <c r="J6508" s="281">
        <f>++Tabla4[[#This Row],[Precio Bruto]]*1.16</f>
        <v>5361.8447999999989</v>
      </c>
      <c r="K6508" s="281">
        <f>+Tabla4[[#This Row],[Precio Unitario Neto]]*Tabla4[[#Headers],[20.85%]]</f>
        <v>1117.9446407999997</v>
      </c>
      <c r="L6508" s="282">
        <f>++Tabla4[[#This Row],[Precio Unitario Neto]]-Tabla4[[#This Row],[20.85%]]</f>
        <v>4243.9001591999995</v>
      </c>
      <c r="M6508" s="282" t="e">
        <f>(INDEX(Tabla6[#All],MATCH(Tabla4[[#This Row],[Producto]],Tabla6[[#All],[PRODUCTO]],0),MATCH(Tabla4[[#This Row],[Mes]],Tabla6[#Headers],0)))*(1+Catalogos!$L$2)</f>
        <v>#N/A</v>
      </c>
      <c r="N6508" s="283" t="e">
        <f>+(Tabla4[[#This Row],[Precio Descontado]]-Tabla4[[#This Row],[Precio Base]])*Tabla4[[#This Row],[Cantidad]]</f>
        <v>#N/A</v>
      </c>
      <c r="O6508" s="284" t="e">
        <f>++Tabla4[[#This Row],[Utilidad Total]]/Tabla4[[#This Row],[Total]]</f>
        <v>#N/A</v>
      </c>
      <c r="P6508" s="282">
        <f>++Tabla4[[#This Row],[Precio Descontado]]*Tabla4[[#This Row],[Cantidad]]</f>
        <v>8487.800318399999</v>
      </c>
      <c r="Q6508" s="282" t="e">
        <f>(INDEX(Tabla6[#All],MATCH(Tabla4[[#This Row],[Producto]],Tabla6[[#All],[PRODUCTO]],0),MATCH(Tabla4[[#This Row],[Mes]],Tabla6[#Headers],0)))</f>
        <v>#N/A</v>
      </c>
      <c r="R6508" s="282" t="e">
        <f>++Tabla4[[#This Row],[Precio Unitario Neto]]-Tabla4[[#This Row],[20.85%]]-Tabla4[[#This Row],[Costo]]</f>
        <v>#N/A</v>
      </c>
      <c r="S6508" s="282" t="e">
        <f>++Tabla4[[#This Row],[U. Bruta Uni]]*Tabla4[[#This Row],[Cantidad]]</f>
        <v>#N/A</v>
      </c>
      <c r="T6508" s="369" t="str">
        <f>VLOOKUP(Tabla4[[#This Row],[Producto]],Tabla6[#All],14,FALSE)</f>
        <v>Termico Solar</v>
      </c>
      <c r="U6508" s="284" t="e">
        <f>(IF(Tabla4[[#This Row],[Familia]]="termico solar",Tabla4[[#This Row],[Utilidad Total]]*6%,Tabla4[[#This Row],[Utilidad Total]]*11.5%))/Tabla4[[#This Row],[Total]]</f>
        <v>#N/A</v>
      </c>
      <c r="V6508" s="282" t="e">
        <f>+Tabla4[[#This Row],[Comisión Calculada]]*Tabla4[[#This Row],[Total]]</f>
        <v>#N/A</v>
      </c>
    </row>
    <row r="6509" spans="1:22" hidden="1" x14ac:dyDescent="0.25">
      <c r="A6509" s="100">
        <v>45961</v>
      </c>
      <c r="B6509" t="str">
        <f t="shared" si="376"/>
        <v>October</v>
      </c>
      <c r="C6509" s="46" t="s">
        <v>280</v>
      </c>
      <c r="F6509" s="366" t="s">
        <v>3310</v>
      </c>
      <c r="G6509" s="46" t="s">
        <v>18</v>
      </c>
      <c r="H6509" s="46">
        <v>4</v>
      </c>
      <c r="I6509" s="51">
        <v>5367.65</v>
      </c>
      <c r="J6509" s="281">
        <f>++Tabla4[[#This Row],[Precio Bruto]]*1.16</f>
        <v>6226.4739999999993</v>
      </c>
      <c r="K6509" s="281">
        <f>+Tabla4[[#This Row],[Precio Unitario Neto]]*Tabla4[[#Headers],[20.85%]]</f>
        <v>1298.2198289999999</v>
      </c>
      <c r="L6509" s="282">
        <f>++Tabla4[[#This Row],[Precio Unitario Neto]]-Tabla4[[#This Row],[20.85%]]</f>
        <v>4928.2541709999996</v>
      </c>
      <c r="M6509" s="282" t="e">
        <f>(INDEX(Tabla6[#All],MATCH(Tabla4[[#This Row],[Producto]],Tabla6[[#All],[PRODUCTO]],0),MATCH(Tabla4[[#This Row],[Mes]],Tabla6[#Headers],0)))*(1+Catalogos!$L$2)</f>
        <v>#N/A</v>
      </c>
      <c r="N6509" s="283" t="e">
        <f>+(Tabla4[[#This Row],[Precio Descontado]]-Tabla4[[#This Row],[Precio Base]])*Tabla4[[#This Row],[Cantidad]]</f>
        <v>#N/A</v>
      </c>
      <c r="O6509" s="284" t="e">
        <f>++Tabla4[[#This Row],[Utilidad Total]]/Tabla4[[#This Row],[Total]]</f>
        <v>#N/A</v>
      </c>
      <c r="P6509" s="282">
        <f>++Tabla4[[#This Row],[Precio Descontado]]*Tabla4[[#This Row],[Cantidad]]</f>
        <v>19713.016683999998</v>
      </c>
      <c r="Q6509" s="282" t="e">
        <f>(INDEX(Tabla6[#All],MATCH(Tabla4[[#This Row],[Producto]],Tabla6[[#All],[PRODUCTO]],0),MATCH(Tabla4[[#This Row],[Mes]],Tabla6[#Headers],0)))</f>
        <v>#N/A</v>
      </c>
      <c r="R6509" s="282" t="e">
        <f>++Tabla4[[#This Row],[Precio Unitario Neto]]-Tabla4[[#This Row],[20.85%]]-Tabla4[[#This Row],[Costo]]</f>
        <v>#N/A</v>
      </c>
      <c r="S6509" s="282" t="e">
        <f>++Tabla4[[#This Row],[U. Bruta Uni]]*Tabla4[[#This Row],[Cantidad]]</f>
        <v>#N/A</v>
      </c>
      <c r="T6509" s="369" t="str">
        <f>VLOOKUP(Tabla4[[#This Row],[Producto]],Tabla6[#All],14,FALSE)</f>
        <v>Termico Solar</v>
      </c>
      <c r="U6509" s="284" t="e">
        <f>(IF(Tabla4[[#This Row],[Familia]]="termico solar",Tabla4[[#This Row],[Utilidad Total]]*6%,Tabla4[[#This Row],[Utilidad Total]]*11.5%))/Tabla4[[#This Row],[Total]]</f>
        <v>#N/A</v>
      </c>
      <c r="V6509" s="282" t="e">
        <f>+Tabla4[[#This Row],[Comisión Calculada]]*Tabla4[[#This Row],[Total]]</f>
        <v>#N/A</v>
      </c>
    </row>
    <row r="6510" spans="1:22" hidden="1" x14ac:dyDescent="0.25">
      <c r="A6510" s="100">
        <v>45961</v>
      </c>
      <c r="B6510" t="str">
        <f t="shared" si="376"/>
        <v>October</v>
      </c>
      <c r="C6510" s="46" t="s">
        <v>280</v>
      </c>
      <c r="F6510" s="366" t="s">
        <v>3310</v>
      </c>
      <c r="G6510" s="46" t="s">
        <v>16</v>
      </c>
      <c r="H6510" s="46">
        <v>1</v>
      </c>
      <c r="I6510" s="51">
        <v>4103.8500000000004</v>
      </c>
      <c r="J6510" s="281">
        <f>++Tabla4[[#This Row],[Precio Bruto]]*1.16</f>
        <v>4760.4660000000003</v>
      </c>
      <c r="K6510" s="281">
        <f>+Tabla4[[#This Row],[Precio Unitario Neto]]*Tabla4[[#Headers],[20.85%]]</f>
        <v>992.55716100000006</v>
      </c>
      <c r="L6510" s="282">
        <f>++Tabla4[[#This Row],[Precio Unitario Neto]]-Tabla4[[#This Row],[20.85%]]</f>
        <v>3767.9088390000002</v>
      </c>
      <c r="M6510" s="282" t="e">
        <f>(INDEX(Tabla6[#All],MATCH(Tabla4[[#This Row],[Producto]],Tabla6[[#All],[PRODUCTO]],0),MATCH(Tabla4[[#This Row],[Mes]],Tabla6[#Headers],0)))*(1+Catalogos!$L$2)</f>
        <v>#N/A</v>
      </c>
      <c r="N6510" s="283" t="e">
        <f>+(Tabla4[[#This Row],[Precio Descontado]]-Tabla4[[#This Row],[Precio Base]])*Tabla4[[#This Row],[Cantidad]]</f>
        <v>#N/A</v>
      </c>
      <c r="O6510" s="284" t="e">
        <f>++Tabla4[[#This Row],[Utilidad Total]]/Tabla4[[#This Row],[Total]]</f>
        <v>#N/A</v>
      </c>
      <c r="P6510" s="282">
        <f>++Tabla4[[#This Row],[Precio Descontado]]*Tabla4[[#This Row],[Cantidad]]</f>
        <v>3767.9088390000002</v>
      </c>
      <c r="Q6510" s="282" t="e">
        <f>(INDEX(Tabla6[#All],MATCH(Tabla4[[#This Row],[Producto]],Tabla6[[#All],[PRODUCTO]],0),MATCH(Tabla4[[#This Row],[Mes]],Tabla6[#Headers],0)))</f>
        <v>#N/A</v>
      </c>
      <c r="R6510" s="282" t="e">
        <f>++Tabla4[[#This Row],[Precio Unitario Neto]]-Tabla4[[#This Row],[20.85%]]-Tabla4[[#This Row],[Costo]]</f>
        <v>#N/A</v>
      </c>
      <c r="S6510" s="282" t="e">
        <f>++Tabla4[[#This Row],[U. Bruta Uni]]*Tabla4[[#This Row],[Cantidad]]</f>
        <v>#N/A</v>
      </c>
      <c r="T6510" s="369" t="str">
        <f>VLOOKUP(Tabla4[[#This Row],[Producto]],Tabla6[#All],14,FALSE)</f>
        <v>Termico Solar</v>
      </c>
      <c r="U6510" s="284" t="e">
        <f>(IF(Tabla4[[#This Row],[Familia]]="termico solar",Tabla4[[#This Row],[Utilidad Total]]*6%,Tabla4[[#This Row],[Utilidad Total]]*11.5%))/Tabla4[[#This Row],[Total]]</f>
        <v>#N/A</v>
      </c>
      <c r="V6510" s="282" t="e">
        <f>+Tabla4[[#This Row],[Comisión Calculada]]*Tabla4[[#This Row],[Total]]</f>
        <v>#N/A</v>
      </c>
    </row>
    <row r="6511" spans="1:22" hidden="1" x14ac:dyDescent="0.25">
      <c r="A6511" s="100">
        <v>45961</v>
      </c>
      <c r="B6511" t="str">
        <f>TEXT(A6511, "mmmm")</f>
        <v>October</v>
      </c>
      <c r="C6511" s="46" t="s">
        <v>280</v>
      </c>
      <c r="F6511" s="366" t="s">
        <v>3311</v>
      </c>
      <c r="G6511" s="46" t="s">
        <v>17</v>
      </c>
      <c r="H6511" s="46">
        <v>2</v>
      </c>
      <c r="I6511" s="51">
        <v>4622.28</v>
      </c>
      <c r="J6511" s="281">
        <f>++Tabla4[[#This Row],[Precio Bruto]]*1.16</f>
        <v>5361.8447999999989</v>
      </c>
      <c r="K6511" s="281">
        <f>+Tabla4[[#This Row],[Precio Unitario Neto]]*Tabla4[[#Headers],[20.85%]]</f>
        <v>1117.9446407999997</v>
      </c>
      <c r="L6511" s="282">
        <f>++Tabla4[[#This Row],[Precio Unitario Neto]]-Tabla4[[#This Row],[20.85%]]</f>
        <v>4243.9001591999995</v>
      </c>
      <c r="M6511" s="282" t="e">
        <f>(INDEX(Tabla6[#All],MATCH(Tabla4[[#This Row],[Producto]],Tabla6[[#All],[PRODUCTO]],0),MATCH(Tabla4[[#This Row],[Mes]],Tabla6[#Headers],0)))*(1+Catalogos!$L$2)</f>
        <v>#N/A</v>
      </c>
      <c r="N6511" s="283" t="e">
        <f>+(Tabla4[[#This Row],[Precio Descontado]]-Tabla4[[#This Row],[Precio Base]])*Tabla4[[#This Row],[Cantidad]]</f>
        <v>#N/A</v>
      </c>
      <c r="O6511" s="284" t="e">
        <f>++Tabla4[[#This Row],[Utilidad Total]]/Tabla4[[#This Row],[Total]]</f>
        <v>#N/A</v>
      </c>
      <c r="P6511" s="282">
        <f>++Tabla4[[#This Row],[Precio Descontado]]*Tabla4[[#This Row],[Cantidad]]</f>
        <v>8487.800318399999</v>
      </c>
      <c r="Q6511" s="282" t="e">
        <f>(INDEX(Tabla6[#All],MATCH(Tabla4[[#This Row],[Producto]],Tabla6[[#All],[PRODUCTO]],0),MATCH(Tabla4[[#This Row],[Mes]],Tabla6[#Headers],0)))</f>
        <v>#N/A</v>
      </c>
      <c r="R6511" s="282" t="e">
        <f>++Tabla4[[#This Row],[Precio Unitario Neto]]-Tabla4[[#This Row],[20.85%]]-Tabla4[[#This Row],[Costo]]</f>
        <v>#N/A</v>
      </c>
      <c r="S6511" s="282" t="e">
        <f>++Tabla4[[#This Row],[U. Bruta Uni]]*Tabla4[[#This Row],[Cantidad]]</f>
        <v>#N/A</v>
      </c>
      <c r="T6511" s="369" t="str">
        <f>VLOOKUP(Tabla4[[#This Row],[Producto]],Tabla6[#All],14,FALSE)</f>
        <v>Termico Solar</v>
      </c>
      <c r="U6511" s="284" t="e">
        <f>(IF(Tabla4[[#This Row],[Familia]]="termico solar",Tabla4[[#This Row],[Utilidad Total]]*6%,Tabla4[[#This Row],[Utilidad Total]]*11.5%))/Tabla4[[#This Row],[Total]]</f>
        <v>#N/A</v>
      </c>
      <c r="V6511" s="282" t="e">
        <f>+Tabla4[[#This Row],[Comisión Calculada]]*Tabla4[[#This Row],[Total]]</f>
        <v>#N/A</v>
      </c>
    </row>
    <row r="6512" spans="1:22" hidden="1" x14ac:dyDescent="0.25">
      <c r="A6512" s="100">
        <v>45961</v>
      </c>
      <c r="B6512" t="str">
        <f t="shared" ref="B6512:B6513" si="377">TEXT(A6512, "mmmm")</f>
        <v>October</v>
      </c>
      <c r="C6512" s="46" t="s">
        <v>280</v>
      </c>
      <c r="F6512" s="366" t="s">
        <v>3312</v>
      </c>
      <c r="G6512" s="46" t="s">
        <v>17</v>
      </c>
      <c r="H6512" s="46">
        <v>2</v>
      </c>
      <c r="I6512" s="51">
        <v>4622.28</v>
      </c>
      <c r="J6512" s="281">
        <f>++Tabla4[[#This Row],[Precio Bruto]]*1.16</f>
        <v>5361.8447999999989</v>
      </c>
      <c r="K6512" s="281">
        <f>+Tabla4[[#This Row],[Precio Unitario Neto]]*Tabla4[[#Headers],[20.85%]]</f>
        <v>1117.9446407999997</v>
      </c>
      <c r="L6512" s="282">
        <f>++Tabla4[[#This Row],[Precio Unitario Neto]]-Tabla4[[#This Row],[20.85%]]</f>
        <v>4243.9001591999995</v>
      </c>
      <c r="M6512" s="282" t="e">
        <f>(INDEX(Tabla6[#All],MATCH(Tabla4[[#This Row],[Producto]],Tabla6[[#All],[PRODUCTO]],0),MATCH(Tabla4[[#This Row],[Mes]],Tabla6[#Headers],0)))*(1+Catalogos!$L$2)</f>
        <v>#N/A</v>
      </c>
      <c r="N6512" s="283" t="e">
        <f>+(Tabla4[[#This Row],[Precio Descontado]]-Tabla4[[#This Row],[Precio Base]])*Tabla4[[#This Row],[Cantidad]]</f>
        <v>#N/A</v>
      </c>
      <c r="O6512" s="284" t="e">
        <f>++Tabla4[[#This Row],[Utilidad Total]]/Tabla4[[#This Row],[Total]]</f>
        <v>#N/A</v>
      </c>
      <c r="P6512" s="282">
        <f>++Tabla4[[#This Row],[Precio Descontado]]*Tabla4[[#This Row],[Cantidad]]</f>
        <v>8487.800318399999</v>
      </c>
      <c r="Q6512" s="282" t="e">
        <f>(INDEX(Tabla6[#All],MATCH(Tabla4[[#This Row],[Producto]],Tabla6[[#All],[PRODUCTO]],0),MATCH(Tabla4[[#This Row],[Mes]],Tabla6[#Headers],0)))</f>
        <v>#N/A</v>
      </c>
      <c r="R6512" s="282" t="e">
        <f>++Tabla4[[#This Row],[Precio Unitario Neto]]-Tabla4[[#This Row],[20.85%]]-Tabla4[[#This Row],[Costo]]</f>
        <v>#N/A</v>
      </c>
      <c r="S6512" s="282" t="e">
        <f>++Tabla4[[#This Row],[U. Bruta Uni]]*Tabla4[[#This Row],[Cantidad]]</f>
        <v>#N/A</v>
      </c>
      <c r="T6512" s="369" t="str">
        <f>VLOOKUP(Tabla4[[#This Row],[Producto]],Tabla6[#All],14,FALSE)</f>
        <v>Termico Solar</v>
      </c>
      <c r="U6512" s="284" t="e">
        <f>(IF(Tabla4[[#This Row],[Familia]]="termico solar",Tabla4[[#This Row],[Utilidad Total]]*6%,Tabla4[[#This Row],[Utilidad Total]]*11.5%))/Tabla4[[#This Row],[Total]]</f>
        <v>#N/A</v>
      </c>
      <c r="V6512" s="282" t="e">
        <f>+Tabla4[[#This Row],[Comisión Calculada]]*Tabla4[[#This Row],[Total]]</f>
        <v>#N/A</v>
      </c>
    </row>
    <row r="6513" spans="1:22" hidden="1" x14ac:dyDescent="0.25">
      <c r="A6513" s="100">
        <v>45961</v>
      </c>
      <c r="B6513" t="str">
        <f t="shared" si="377"/>
        <v>October</v>
      </c>
      <c r="C6513" s="46" t="s">
        <v>280</v>
      </c>
      <c r="F6513" s="366" t="s">
        <v>3312</v>
      </c>
      <c r="G6513" s="46" t="s">
        <v>18</v>
      </c>
      <c r="H6513" s="46">
        <v>4</v>
      </c>
      <c r="I6513" s="51">
        <v>5367.65</v>
      </c>
      <c r="J6513" s="281">
        <f>++Tabla4[[#This Row],[Precio Bruto]]*1.16</f>
        <v>6226.4739999999993</v>
      </c>
      <c r="K6513" s="281">
        <f>+Tabla4[[#This Row],[Precio Unitario Neto]]*Tabla4[[#Headers],[20.85%]]</f>
        <v>1298.2198289999999</v>
      </c>
      <c r="L6513" s="282">
        <f>++Tabla4[[#This Row],[Precio Unitario Neto]]-Tabla4[[#This Row],[20.85%]]</f>
        <v>4928.2541709999996</v>
      </c>
      <c r="M6513" s="282" t="e">
        <f>(INDEX(Tabla6[#All],MATCH(Tabla4[[#This Row],[Producto]],Tabla6[[#All],[PRODUCTO]],0),MATCH(Tabla4[[#This Row],[Mes]],Tabla6[#Headers],0)))*(1+Catalogos!$L$2)</f>
        <v>#N/A</v>
      </c>
      <c r="N6513" s="283" t="e">
        <f>+(Tabla4[[#This Row],[Precio Descontado]]-Tabla4[[#This Row],[Precio Base]])*Tabla4[[#This Row],[Cantidad]]</f>
        <v>#N/A</v>
      </c>
      <c r="O6513" s="284" t="e">
        <f>++Tabla4[[#This Row],[Utilidad Total]]/Tabla4[[#This Row],[Total]]</f>
        <v>#N/A</v>
      </c>
      <c r="P6513" s="282">
        <f>++Tabla4[[#This Row],[Precio Descontado]]*Tabla4[[#This Row],[Cantidad]]</f>
        <v>19713.016683999998</v>
      </c>
      <c r="Q6513" s="282" t="e">
        <f>(INDEX(Tabla6[#All],MATCH(Tabla4[[#This Row],[Producto]],Tabla6[[#All],[PRODUCTO]],0),MATCH(Tabla4[[#This Row],[Mes]],Tabla6[#Headers],0)))</f>
        <v>#N/A</v>
      </c>
      <c r="R6513" s="282" t="e">
        <f>++Tabla4[[#This Row],[Precio Unitario Neto]]-Tabla4[[#This Row],[20.85%]]-Tabla4[[#This Row],[Costo]]</f>
        <v>#N/A</v>
      </c>
      <c r="S6513" s="282" t="e">
        <f>++Tabla4[[#This Row],[U. Bruta Uni]]*Tabla4[[#This Row],[Cantidad]]</f>
        <v>#N/A</v>
      </c>
      <c r="T6513" s="369" t="str">
        <f>VLOOKUP(Tabla4[[#This Row],[Producto]],Tabla6[#All],14,FALSE)</f>
        <v>Termico Solar</v>
      </c>
      <c r="U6513" s="284" t="e">
        <f>(IF(Tabla4[[#This Row],[Familia]]="termico solar",Tabla4[[#This Row],[Utilidad Total]]*6%,Tabla4[[#This Row],[Utilidad Total]]*11.5%))/Tabla4[[#This Row],[Total]]</f>
        <v>#N/A</v>
      </c>
      <c r="V6513" s="282" t="e">
        <f>+Tabla4[[#This Row],[Comisión Calculada]]*Tabla4[[#This Row],[Total]]</f>
        <v>#N/A</v>
      </c>
    </row>
    <row r="6514" spans="1:22" hidden="1" x14ac:dyDescent="0.25">
      <c r="A6514" s="100">
        <v>45961</v>
      </c>
      <c r="B6514" t="str">
        <f t="shared" ref="B6514:B6518" si="378">TEXT(A6514, "mmmm")</f>
        <v>October</v>
      </c>
      <c r="C6514" s="46" t="s">
        <v>280</v>
      </c>
      <c r="F6514" s="366" t="s">
        <v>3313</v>
      </c>
      <c r="G6514" s="46" t="s">
        <v>17</v>
      </c>
      <c r="H6514" s="46">
        <v>6</v>
      </c>
      <c r="I6514" s="51">
        <v>4622.28</v>
      </c>
      <c r="J6514" s="281">
        <f>++Tabla4[[#This Row],[Precio Bruto]]*1.16</f>
        <v>5361.8447999999989</v>
      </c>
      <c r="K6514" s="281">
        <f>+Tabla4[[#This Row],[Precio Unitario Neto]]*Tabla4[[#Headers],[20.85%]]</f>
        <v>1117.9446407999997</v>
      </c>
      <c r="L6514" s="282">
        <f>++Tabla4[[#This Row],[Precio Unitario Neto]]-Tabla4[[#This Row],[20.85%]]</f>
        <v>4243.9001591999995</v>
      </c>
      <c r="M6514" s="282" t="e">
        <f>(INDEX(Tabla6[#All],MATCH(Tabla4[[#This Row],[Producto]],Tabla6[[#All],[PRODUCTO]],0),MATCH(Tabla4[[#This Row],[Mes]],Tabla6[#Headers],0)))*(1+Catalogos!$L$2)</f>
        <v>#N/A</v>
      </c>
      <c r="N6514" s="283" t="e">
        <f>+(Tabla4[[#This Row],[Precio Descontado]]-Tabla4[[#This Row],[Precio Base]])*Tabla4[[#This Row],[Cantidad]]</f>
        <v>#N/A</v>
      </c>
      <c r="O6514" s="284" t="e">
        <f>++Tabla4[[#This Row],[Utilidad Total]]/Tabla4[[#This Row],[Total]]</f>
        <v>#N/A</v>
      </c>
      <c r="P6514" s="282">
        <f>++Tabla4[[#This Row],[Precio Descontado]]*Tabla4[[#This Row],[Cantidad]]</f>
        <v>25463.400955199999</v>
      </c>
      <c r="Q6514" s="282" t="e">
        <f>(INDEX(Tabla6[#All],MATCH(Tabla4[[#This Row],[Producto]],Tabla6[[#All],[PRODUCTO]],0),MATCH(Tabla4[[#This Row],[Mes]],Tabla6[#Headers],0)))</f>
        <v>#N/A</v>
      </c>
      <c r="R6514" s="282" t="e">
        <f>++Tabla4[[#This Row],[Precio Unitario Neto]]-Tabla4[[#This Row],[20.85%]]-Tabla4[[#This Row],[Costo]]</f>
        <v>#N/A</v>
      </c>
      <c r="S6514" s="282" t="e">
        <f>++Tabla4[[#This Row],[U. Bruta Uni]]*Tabla4[[#This Row],[Cantidad]]</f>
        <v>#N/A</v>
      </c>
      <c r="T6514" s="369" t="str">
        <f>VLOOKUP(Tabla4[[#This Row],[Producto]],Tabla6[#All],14,FALSE)</f>
        <v>Termico Solar</v>
      </c>
      <c r="U6514" s="284" t="e">
        <f>(IF(Tabla4[[#This Row],[Familia]]="termico solar",Tabla4[[#This Row],[Utilidad Total]]*6%,Tabla4[[#This Row],[Utilidad Total]]*11.5%))/Tabla4[[#This Row],[Total]]</f>
        <v>#N/A</v>
      </c>
      <c r="V6514" s="282" t="e">
        <f>+Tabla4[[#This Row],[Comisión Calculada]]*Tabla4[[#This Row],[Total]]</f>
        <v>#N/A</v>
      </c>
    </row>
    <row r="6515" spans="1:22" hidden="1" x14ac:dyDescent="0.25">
      <c r="A6515" s="100">
        <v>45961</v>
      </c>
      <c r="B6515" t="str">
        <f t="shared" si="378"/>
        <v>October</v>
      </c>
      <c r="C6515" s="46" t="s">
        <v>280</v>
      </c>
      <c r="F6515" s="366" t="s">
        <v>3313</v>
      </c>
      <c r="G6515" s="46" t="s">
        <v>18</v>
      </c>
      <c r="H6515" s="46">
        <v>2</v>
      </c>
      <c r="I6515" s="51">
        <v>5367.65</v>
      </c>
      <c r="J6515" s="281">
        <f>++Tabla4[[#This Row],[Precio Bruto]]*1.16</f>
        <v>6226.4739999999993</v>
      </c>
      <c r="K6515" s="281">
        <f>+Tabla4[[#This Row],[Precio Unitario Neto]]*Tabla4[[#Headers],[20.85%]]</f>
        <v>1298.2198289999999</v>
      </c>
      <c r="L6515" s="282">
        <f>++Tabla4[[#This Row],[Precio Unitario Neto]]-Tabla4[[#This Row],[20.85%]]</f>
        <v>4928.2541709999996</v>
      </c>
      <c r="M6515" s="282" t="e">
        <f>(INDEX(Tabla6[#All],MATCH(Tabla4[[#This Row],[Producto]],Tabla6[[#All],[PRODUCTO]],0),MATCH(Tabla4[[#This Row],[Mes]],Tabla6[#Headers],0)))*(1+Catalogos!$L$2)</f>
        <v>#N/A</v>
      </c>
      <c r="N6515" s="283" t="e">
        <f>+(Tabla4[[#This Row],[Precio Descontado]]-Tabla4[[#This Row],[Precio Base]])*Tabla4[[#This Row],[Cantidad]]</f>
        <v>#N/A</v>
      </c>
      <c r="O6515" s="284" t="e">
        <f>++Tabla4[[#This Row],[Utilidad Total]]/Tabla4[[#This Row],[Total]]</f>
        <v>#N/A</v>
      </c>
      <c r="P6515" s="282">
        <f>++Tabla4[[#This Row],[Precio Descontado]]*Tabla4[[#This Row],[Cantidad]]</f>
        <v>9856.5083419999992</v>
      </c>
      <c r="Q6515" s="282" t="e">
        <f>(INDEX(Tabla6[#All],MATCH(Tabla4[[#This Row],[Producto]],Tabla6[[#All],[PRODUCTO]],0),MATCH(Tabla4[[#This Row],[Mes]],Tabla6[#Headers],0)))</f>
        <v>#N/A</v>
      </c>
      <c r="R6515" s="282" t="e">
        <f>++Tabla4[[#This Row],[Precio Unitario Neto]]-Tabla4[[#This Row],[20.85%]]-Tabla4[[#This Row],[Costo]]</f>
        <v>#N/A</v>
      </c>
      <c r="S6515" s="282" t="e">
        <f>++Tabla4[[#This Row],[U. Bruta Uni]]*Tabla4[[#This Row],[Cantidad]]</f>
        <v>#N/A</v>
      </c>
      <c r="T6515" s="369" t="str">
        <f>VLOOKUP(Tabla4[[#This Row],[Producto]],Tabla6[#All],14,FALSE)</f>
        <v>Termico Solar</v>
      </c>
      <c r="U6515" s="284" t="e">
        <f>(IF(Tabla4[[#This Row],[Familia]]="termico solar",Tabla4[[#This Row],[Utilidad Total]]*6%,Tabla4[[#This Row],[Utilidad Total]]*11.5%))/Tabla4[[#This Row],[Total]]</f>
        <v>#N/A</v>
      </c>
      <c r="V6515" s="282" t="e">
        <f>+Tabla4[[#This Row],[Comisión Calculada]]*Tabla4[[#This Row],[Total]]</f>
        <v>#N/A</v>
      </c>
    </row>
    <row r="6516" spans="1:22" hidden="1" x14ac:dyDescent="0.25">
      <c r="A6516" s="100">
        <v>45961</v>
      </c>
      <c r="B6516" t="str">
        <f t="shared" si="378"/>
        <v>October</v>
      </c>
      <c r="C6516" s="46" t="s">
        <v>280</v>
      </c>
      <c r="F6516" s="366" t="s">
        <v>3313</v>
      </c>
      <c r="G6516" s="46" t="s">
        <v>566</v>
      </c>
      <c r="H6516" s="46">
        <v>1</v>
      </c>
      <c r="I6516" s="51">
        <v>2109.4499999999998</v>
      </c>
      <c r="J6516" s="281">
        <f>++Tabla4[[#This Row],[Precio Bruto]]*1.16</f>
        <v>2446.9619999999995</v>
      </c>
      <c r="K6516" s="281">
        <f>+Tabla4[[#This Row],[Precio Unitario Neto]]*Tabla4[[#Headers],[20.85%]]</f>
        <v>510.19157699999988</v>
      </c>
      <c r="L6516" s="282">
        <f>++Tabla4[[#This Row],[Precio Unitario Neto]]-Tabla4[[#This Row],[20.85%]]</f>
        <v>1936.7704229999997</v>
      </c>
      <c r="M6516" s="282" t="e">
        <f>(INDEX(Tabla6[#All],MATCH(Tabla4[[#This Row],[Producto]],Tabla6[[#All],[PRODUCTO]],0),MATCH(Tabla4[[#This Row],[Mes]],Tabla6[#Headers],0)))*(1+Catalogos!$L$2)</f>
        <v>#N/A</v>
      </c>
      <c r="N6516" s="283" t="e">
        <f>+(Tabla4[[#This Row],[Precio Descontado]]-Tabla4[[#This Row],[Precio Base]])*Tabla4[[#This Row],[Cantidad]]</f>
        <v>#N/A</v>
      </c>
      <c r="O6516" s="284" t="e">
        <f>++Tabla4[[#This Row],[Utilidad Total]]/Tabla4[[#This Row],[Total]]</f>
        <v>#N/A</v>
      </c>
      <c r="P6516" s="282">
        <f>++Tabla4[[#This Row],[Precio Descontado]]*Tabla4[[#This Row],[Cantidad]]</f>
        <v>1936.7704229999997</v>
      </c>
      <c r="Q6516" s="282" t="e">
        <f>(INDEX(Tabla6[#All],MATCH(Tabla4[[#This Row],[Producto]],Tabla6[[#All],[PRODUCTO]],0),MATCH(Tabla4[[#This Row],[Mes]],Tabla6[#Headers],0)))</f>
        <v>#N/A</v>
      </c>
      <c r="R6516" s="282" t="e">
        <f>++Tabla4[[#This Row],[Precio Unitario Neto]]-Tabla4[[#This Row],[20.85%]]-Tabla4[[#This Row],[Costo]]</f>
        <v>#N/A</v>
      </c>
      <c r="S6516" s="282" t="e">
        <f>++Tabla4[[#This Row],[U. Bruta Uni]]*Tabla4[[#This Row],[Cantidad]]</f>
        <v>#N/A</v>
      </c>
      <c r="T6516" s="369" t="str">
        <f>VLOOKUP(Tabla4[[#This Row],[Producto]],Tabla6[#All],14,FALSE)</f>
        <v>Termico Solar</v>
      </c>
      <c r="U6516" s="284" t="e">
        <f>(IF(Tabla4[[#This Row],[Familia]]="termico solar",Tabla4[[#This Row],[Utilidad Total]]*6%,Tabla4[[#This Row],[Utilidad Total]]*11.5%))/Tabla4[[#This Row],[Total]]</f>
        <v>#N/A</v>
      </c>
      <c r="V6516" s="282" t="e">
        <f>+Tabla4[[#This Row],[Comisión Calculada]]*Tabla4[[#This Row],[Total]]</f>
        <v>#N/A</v>
      </c>
    </row>
    <row r="6517" spans="1:22" hidden="1" x14ac:dyDescent="0.25">
      <c r="A6517" s="100">
        <v>45961</v>
      </c>
      <c r="B6517" t="str">
        <f t="shared" si="378"/>
        <v>October</v>
      </c>
      <c r="C6517" s="46" t="s">
        <v>280</v>
      </c>
      <c r="F6517" s="366" t="s">
        <v>3313</v>
      </c>
      <c r="G6517" s="46" t="s">
        <v>16</v>
      </c>
      <c r="H6517" s="46">
        <v>4</v>
      </c>
      <c r="I6517" s="51">
        <v>4103.8500000000004</v>
      </c>
      <c r="J6517" s="281">
        <f>++Tabla4[[#This Row],[Precio Bruto]]*1.16</f>
        <v>4760.4660000000003</v>
      </c>
      <c r="K6517" s="281">
        <f>+Tabla4[[#This Row],[Precio Unitario Neto]]*Tabla4[[#Headers],[20.85%]]</f>
        <v>992.55716100000006</v>
      </c>
      <c r="L6517" s="282">
        <f>++Tabla4[[#This Row],[Precio Unitario Neto]]-Tabla4[[#This Row],[20.85%]]</f>
        <v>3767.9088390000002</v>
      </c>
      <c r="M6517" s="282" t="e">
        <f>(INDEX(Tabla6[#All],MATCH(Tabla4[[#This Row],[Producto]],Tabla6[[#All],[PRODUCTO]],0),MATCH(Tabla4[[#This Row],[Mes]],Tabla6[#Headers],0)))*(1+Catalogos!$L$2)</f>
        <v>#N/A</v>
      </c>
      <c r="N6517" s="283" t="e">
        <f>+(Tabla4[[#This Row],[Precio Descontado]]-Tabla4[[#This Row],[Precio Base]])*Tabla4[[#This Row],[Cantidad]]</f>
        <v>#N/A</v>
      </c>
      <c r="O6517" s="284" t="e">
        <f>++Tabla4[[#This Row],[Utilidad Total]]/Tabla4[[#This Row],[Total]]</f>
        <v>#N/A</v>
      </c>
      <c r="P6517" s="282">
        <f>++Tabla4[[#This Row],[Precio Descontado]]*Tabla4[[#This Row],[Cantidad]]</f>
        <v>15071.635356000001</v>
      </c>
      <c r="Q6517" s="282" t="e">
        <f>(INDEX(Tabla6[#All],MATCH(Tabla4[[#This Row],[Producto]],Tabla6[[#All],[PRODUCTO]],0),MATCH(Tabla4[[#This Row],[Mes]],Tabla6[#Headers],0)))</f>
        <v>#N/A</v>
      </c>
      <c r="R6517" s="282" t="e">
        <f>++Tabla4[[#This Row],[Precio Unitario Neto]]-Tabla4[[#This Row],[20.85%]]-Tabla4[[#This Row],[Costo]]</f>
        <v>#N/A</v>
      </c>
      <c r="S6517" s="282" t="e">
        <f>++Tabla4[[#This Row],[U. Bruta Uni]]*Tabla4[[#This Row],[Cantidad]]</f>
        <v>#N/A</v>
      </c>
      <c r="T6517" s="369" t="str">
        <f>VLOOKUP(Tabla4[[#This Row],[Producto]],Tabla6[#All],14,FALSE)</f>
        <v>Termico Solar</v>
      </c>
      <c r="U6517" s="284" t="e">
        <f>(IF(Tabla4[[#This Row],[Familia]]="termico solar",Tabla4[[#This Row],[Utilidad Total]]*6%,Tabla4[[#This Row],[Utilidad Total]]*11.5%))/Tabla4[[#This Row],[Total]]</f>
        <v>#N/A</v>
      </c>
      <c r="V6517" s="282" t="e">
        <f>+Tabla4[[#This Row],[Comisión Calculada]]*Tabla4[[#This Row],[Total]]</f>
        <v>#N/A</v>
      </c>
    </row>
    <row r="6518" spans="1:22" hidden="1" x14ac:dyDescent="0.25">
      <c r="A6518" s="100">
        <v>45961</v>
      </c>
      <c r="B6518" t="str">
        <f t="shared" si="378"/>
        <v>October</v>
      </c>
      <c r="C6518" s="46" t="s">
        <v>280</v>
      </c>
      <c r="F6518" s="366" t="s">
        <v>3313</v>
      </c>
      <c r="G6518" s="46" t="s">
        <v>208</v>
      </c>
      <c r="H6518" s="46">
        <v>2</v>
      </c>
      <c r="I6518" s="51">
        <v>189.75</v>
      </c>
      <c r="J6518" s="281">
        <f>++Tabla4[[#This Row],[Precio Bruto]]*1.16</f>
        <v>220.10999999999999</v>
      </c>
      <c r="K6518" s="281">
        <f>+Tabla4[[#This Row],[Precio Unitario Neto]]*Tabla4[[#Headers],[20.85%]]</f>
        <v>45.892934999999994</v>
      </c>
      <c r="L6518" s="282">
        <f>++Tabla4[[#This Row],[Precio Unitario Neto]]-Tabla4[[#This Row],[20.85%]]</f>
        <v>174.21706499999999</v>
      </c>
      <c r="M6518" s="282" t="e">
        <f>(INDEX(Tabla6[#All],MATCH(Tabla4[[#This Row],[Producto]],Tabla6[[#All],[PRODUCTO]],0),MATCH(Tabla4[[#This Row],[Mes]],Tabla6[#Headers],0)))*(1+Catalogos!$L$2)</f>
        <v>#N/A</v>
      </c>
      <c r="N6518" s="283" t="e">
        <f>+(Tabla4[[#This Row],[Precio Descontado]]-Tabla4[[#This Row],[Precio Base]])*Tabla4[[#This Row],[Cantidad]]</f>
        <v>#N/A</v>
      </c>
      <c r="O6518" s="284" t="e">
        <f>++Tabla4[[#This Row],[Utilidad Total]]/Tabla4[[#This Row],[Total]]</f>
        <v>#N/A</v>
      </c>
      <c r="P6518" s="282">
        <f>++Tabla4[[#This Row],[Precio Descontado]]*Tabla4[[#This Row],[Cantidad]]</f>
        <v>348.43412999999998</v>
      </c>
      <c r="Q6518" s="282" t="e">
        <f>(INDEX(Tabla6[#All],MATCH(Tabla4[[#This Row],[Producto]],Tabla6[[#All],[PRODUCTO]],0),MATCH(Tabla4[[#This Row],[Mes]],Tabla6[#Headers],0)))</f>
        <v>#N/A</v>
      </c>
      <c r="R6518" s="282" t="e">
        <f>++Tabla4[[#This Row],[Precio Unitario Neto]]-Tabla4[[#This Row],[20.85%]]-Tabla4[[#This Row],[Costo]]</f>
        <v>#N/A</v>
      </c>
      <c r="S6518" s="282" t="e">
        <f>++Tabla4[[#This Row],[U. Bruta Uni]]*Tabla4[[#This Row],[Cantidad]]</f>
        <v>#N/A</v>
      </c>
      <c r="T6518" s="369" t="str">
        <f>VLOOKUP(Tabla4[[#This Row],[Producto]],Tabla6[#All],14,FALSE)</f>
        <v>Termico Solar</v>
      </c>
      <c r="U6518" s="284" t="e">
        <f>(IF(Tabla4[[#This Row],[Familia]]="termico solar",Tabla4[[#This Row],[Utilidad Total]]*6%,Tabla4[[#This Row],[Utilidad Total]]*11.5%))/Tabla4[[#This Row],[Total]]</f>
        <v>#N/A</v>
      </c>
      <c r="V6518" s="282" t="e">
        <f>+Tabla4[[#This Row],[Comisión Calculada]]*Tabla4[[#This Row],[Total]]</f>
        <v>#N/A</v>
      </c>
    </row>
    <row r="6519" spans="1:22" hidden="1" x14ac:dyDescent="0.25">
      <c r="A6519" s="100">
        <v>45961</v>
      </c>
      <c r="B6519" t="str">
        <f>TEXT(A6519, "mmmm")</f>
        <v>October</v>
      </c>
      <c r="C6519" s="46" t="s">
        <v>280</v>
      </c>
      <c r="F6519" s="366" t="s">
        <v>3314</v>
      </c>
      <c r="G6519" s="46" t="s">
        <v>208</v>
      </c>
      <c r="H6519" s="46">
        <v>1</v>
      </c>
      <c r="I6519" s="51">
        <v>189.75</v>
      </c>
      <c r="J6519" s="281">
        <f>++Tabla4[[#This Row],[Precio Bruto]]*1.16</f>
        <v>220.10999999999999</v>
      </c>
      <c r="K6519" s="281">
        <f>+Tabla4[[#This Row],[Precio Unitario Neto]]*Tabla4[[#Headers],[20.85%]]</f>
        <v>45.892934999999994</v>
      </c>
      <c r="L6519" s="282">
        <f>++Tabla4[[#This Row],[Precio Unitario Neto]]-Tabla4[[#This Row],[20.85%]]</f>
        <v>174.21706499999999</v>
      </c>
      <c r="M6519" s="282" t="e">
        <f>(INDEX(Tabla6[#All],MATCH(Tabla4[[#This Row],[Producto]],Tabla6[[#All],[PRODUCTO]],0),MATCH(Tabla4[[#This Row],[Mes]],Tabla6[#Headers],0)))*(1+Catalogos!$L$2)</f>
        <v>#N/A</v>
      </c>
      <c r="N6519" s="283" t="e">
        <f>+(Tabla4[[#This Row],[Precio Descontado]]-Tabla4[[#This Row],[Precio Base]])*Tabla4[[#This Row],[Cantidad]]</f>
        <v>#N/A</v>
      </c>
      <c r="O6519" s="284" t="e">
        <f>++Tabla4[[#This Row],[Utilidad Total]]/Tabla4[[#This Row],[Total]]</f>
        <v>#N/A</v>
      </c>
      <c r="P6519" s="282">
        <f>++Tabla4[[#This Row],[Precio Descontado]]*Tabla4[[#This Row],[Cantidad]]</f>
        <v>174.21706499999999</v>
      </c>
      <c r="Q6519" s="282" t="e">
        <f>(INDEX(Tabla6[#All],MATCH(Tabla4[[#This Row],[Producto]],Tabla6[[#All],[PRODUCTO]],0),MATCH(Tabla4[[#This Row],[Mes]],Tabla6[#Headers],0)))</f>
        <v>#N/A</v>
      </c>
      <c r="R6519" s="282" t="e">
        <f>++Tabla4[[#This Row],[Precio Unitario Neto]]-Tabla4[[#This Row],[20.85%]]-Tabla4[[#This Row],[Costo]]</f>
        <v>#N/A</v>
      </c>
      <c r="S6519" s="282" t="e">
        <f>++Tabla4[[#This Row],[U. Bruta Uni]]*Tabla4[[#This Row],[Cantidad]]</f>
        <v>#N/A</v>
      </c>
      <c r="T6519" s="369" t="str">
        <f>VLOOKUP(Tabla4[[#This Row],[Producto]],Tabla6[#All],14,FALSE)</f>
        <v>Termico Solar</v>
      </c>
      <c r="U6519" s="284" t="e">
        <f>(IF(Tabla4[[#This Row],[Familia]]="termico solar",Tabla4[[#This Row],[Utilidad Total]]*6%,Tabla4[[#This Row],[Utilidad Total]]*11.5%))/Tabla4[[#This Row],[Total]]</f>
        <v>#N/A</v>
      </c>
      <c r="V6519" s="282" t="e">
        <f>+Tabla4[[#This Row],[Comisión Calculada]]*Tabla4[[#This Row],[Total]]</f>
        <v>#N/A</v>
      </c>
    </row>
    <row r="6520" spans="1:22" hidden="1" x14ac:dyDescent="0.25">
      <c r="A6520" s="100">
        <v>45961</v>
      </c>
      <c r="B6520" t="str">
        <f t="shared" ref="B6520:B6521" si="379">TEXT(A6520, "mmmm")</f>
        <v>October</v>
      </c>
      <c r="C6520" s="46" t="s">
        <v>280</v>
      </c>
      <c r="F6520" s="366" t="s">
        <v>3315</v>
      </c>
      <c r="G6520" s="46" t="s">
        <v>83</v>
      </c>
      <c r="H6520" s="46">
        <v>2</v>
      </c>
      <c r="I6520" s="51">
        <v>8858.76</v>
      </c>
      <c r="J6520" s="281">
        <f>++Tabla4[[#This Row],[Precio Bruto]]*1.16</f>
        <v>10276.161599999999</v>
      </c>
      <c r="K6520" s="281">
        <f>+Tabla4[[#This Row],[Precio Unitario Neto]]*Tabla4[[#Headers],[20.85%]]</f>
        <v>2142.5796935999997</v>
      </c>
      <c r="L6520" s="282">
        <f>++Tabla4[[#This Row],[Precio Unitario Neto]]-Tabla4[[#This Row],[20.85%]]</f>
        <v>8133.5819063999998</v>
      </c>
      <c r="M6520" s="282" t="e">
        <f>(INDEX(Tabla6[#All],MATCH(Tabla4[[#This Row],[Producto]],Tabla6[[#All],[PRODUCTO]],0),MATCH(Tabla4[[#This Row],[Mes]],Tabla6[#Headers],0)))*(1+Catalogos!$L$2)</f>
        <v>#N/A</v>
      </c>
      <c r="N6520" s="283" t="e">
        <f>+(Tabla4[[#This Row],[Precio Descontado]]-Tabla4[[#This Row],[Precio Base]])*Tabla4[[#This Row],[Cantidad]]</f>
        <v>#N/A</v>
      </c>
      <c r="O6520" s="284" t="e">
        <f>++Tabla4[[#This Row],[Utilidad Total]]/Tabla4[[#This Row],[Total]]</f>
        <v>#N/A</v>
      </c>
      <c r="P6520" s="282">
        <f>++Tabla4[[#This Row],[Precio Descontado]]*Tabla4[[#This Row],[Cantidad]]</f>
        <v>16267.1638128</v>
      </c>
      <c r="Q6520" s="282" t="e">
        <f>(INDEX(Tabla6[#All],MATCH(Tabla4[[#This Row],[Producto]],Tabla6[[#All],[PRODUCTO]],0),MATCH(Tabla4[[#This Row],[Mes]],Tabla6[#Headers],0)))</f>
        <v>#N/A</v>
      </c>
      <c r="R6520" s="282" t="e">
        <f>++Tabla4[[#This Row],[Precio Unitario Neto]]-Tabla4[[#This Row],[20.85%]]-Tabla4[[#This Row],[Costo]]</f>
        <v>#N/A</v>
      </c>
      <c r="S6520" s="282" t="e">
        <f>++Tabla4[[#This Row],[U. Bruta Uni]]*Tabla4[[#This Row],[Cantidad]]</f>
        <v>#N/A</v>
      </c>
      <c r="T6520" s="369" t="str">
        <f>VLOOKUP(Tabla4[[#This Row],[Producto]],Tabla6[#All],14,FALSE)</f>
        <v>Termico Solar</v>
      </c>
      <c r="U6520" s="284" t="e">
        <f>(IF(Tabla4[[#This Row],[Familia]]="termico solar",Tabla4[[#This Row],[Utilidad Total]]*6%,Tabla4[[#This Row],[Utilidad Total]]*11.5%))/Tabla4[[#This Row],[Total]]</f>
        <v>#N/A</v>
      </c>
      <c r="V6520" s="282" t="e">
        <f>+Tabla4[[#This Row],[Comisión Calculada]]*Tabla4[[#This Row],[Total]]</f>
        <v>#N/A</v>
      </c>
    </row>
    <row r="6521" spans="1:22" hidden="1" x14ac:dyDescent="0.25">
      <c r="A6521" s="100">
        <v>45961</v>
      </c>
      <c r="B6521" t="str">
        <f t="shared" si="379"/>
        <v>October</v>
      </c>
      <c r="C6521" s="46" t="s">
        <v>280</v>
      </c>
      <c r="F6521" s="366" t="s">
        <v>3315</v>
      </c>
      <c r="G6521" s="46" t="s">
        <v>18</v>
      </c>
      <c r="H6521" s="46">
        <v>1</v>
      </c>
      <c r="I6521" s="51">
        <v>5367.65</v>
      </c>
      <c r="J6521" s="281">
        <f>++Tabla4[[#This Row],[Precio Bruto]]*1.16</f>
        <v>6226.4739999999993</v>
      </c>
      <c r="K6521" s="281">
        <f>+Tabla4[[#This Row],[Precio Unitario Neto]]*Tabla4[[#Headers],[20.85%]]</f>
        <v>1298.2198289999999</v>
      </c>
      <c r="L6521" s="282">
        <f>++Tabla4[[#This Row],[Precio Unitario Neto]]-Tabla4[[#This Row],[20.85%]]</f>
        <v>4928.2541709999996</v>
      </c>
      <c r="M6521" s="282" t="e">
        <f>(INDEX(Tabla6[#All],MATCH(Tabla4[[#This Row],[Producto]],Tabla6[[#All],[PRODUCTO]],0),MATCH(Tabla4[[#This Row],[Mes]],Tabla6[#Headers],0)))*(1+Catalogos!$L$2)</f>
        <v>#N/A</v>
      </c>
      <c r="N6521" s="283" t="e">
        <f>+(Tabla4[[#This Row],[Precio Descontado]]-Tabla4[[#This Row],[Precio Base]])*Tabla4[[#This Row],[Cantidad]]</f>
        <v>#N/A</v>
      </c>
      <c r="O6521" s="284" t="e">
        <f>++Tabla4[[#This Row],[Utilidad Total]]/Tabla4[[#This Row],[Total]]</f>
        <v>#N/A</v>
      </c>
      <c r="P6521" s="282">
        <f>++Tabla4[[#This Row],[Precio Descontado]]*Tabla4[[#This Row],[Cantidad]]</f>
        <v>4928.2541709999996</v>
      </c>
      <c r="Q6521" s="282" t="e">
        <f>(INDEX(Tabla6[#All],MATCH(Tabla4[[#This Row],[Producto]],Tabla6[[#All],[PRODUCTO]],0),MATCH(Tabla4[[#This Row],[Mes]],Tabla6[#Headers],0)))</f>
        <v>#N/A</v>
      </c>
      <c r="R6521" s="282" t="e">
        <f>++Tabla4[[#This Row],[Precio Unitario Neto]]-Tabla4[[#This Row],[20.85%]]-Tabla4[[#This Row],[Costo]]</f>
        <v>#N/A</v>
      </c>
      <c r="S6521" s="282" t="e">
        <f>++Tabla4[[#This Row],[U. Bruta Uni]]*Tabla4[[#This Row],[Cantidad]]</f>
        <v>#N/A</v>
      </c>
      <c r="T6521" s="369" t="str">
        <f>VLOOKUP(Tabla4[[#This Row],[Producto]],Tabla6[#All],14,FALSE)</f>
        <v>Termico Solar</v>
      </c>
      <c r="U6521" s="284" t="e">
        <f>(IF(Tabla4[[#This Row],[Familia]]="termico solar",Tabla4[[#This Row],[Utilidad Total]]*6%,Tabla4[[#This Row],[Utilidad Total]]*11.5%))/Tabla4[[#This Row],[Total]]</f>
        <v>#N/A</v>
      </c>
      <c r="V6521" s="282" t="e">
        <f>+Tabla4[[#This Row],[Comisión Calculada]]*Tabla4[[#This Row],[Total]]</f>
        <v>#N/A</v>
      </c>
    </row>
    <row r="6522" spans="1:22" hidden="1" x14ac:dyDescent="0.25">
      <c r="A6522" s="100">
        <v>45961</v>
      </c>
      <c r="B6522" t="str">
        <f t="shared" ref="B6522:B6525" si="380">TEXT(A6522, "mmmm")</f>
        <v>October</v>
      </c>
      <c r="C6522" s="46" t="s">
        <v>280</v>
      </c>
      <c r="F6522" s="366" t="s">
        <v>3316</v>
      </c>
      <c r="G6522" s="46" t="s">
        <v>83</v>
      </c>
      <c r="H6522" s="46">
        <v>1</v>
      </c>
      <c r="I6522" s="51">
        <v>8858.76</v>
      </c>
      <c r="J6522" s="281">
        <f>++Tabla4[[#This Row],[Precio Bruto]]*1.16</f>
        <v>10276.161599999999</v>
      </c>
      <c r="K6522" s="281">
        <f>+Tabla4[[#This Row],[Precio Unitario Neto]]*Tabla4[[#Headers],[20.85%]]</f>
        <v>2142.5796935999997</v>
      </c>
      <c r="L6522" s="282">
        <f>++Tabla4[[#This Row],[Precio Unitario Neto]]-Tabla4[[#This Row],[20.85%]]</f>
        <v>8133.5819063999998</v>
      </c>
      <c r="M6522" s="282" t="e">
        <f>(INDEX(Tabla6[#All],MATCH(Tabla4[[#This Row],[Producto]],Tabla6[[#All],[PRODUCTO]],0),MATCH(Tabla4[[#This Row],[Mes]],Tabla6[#Headers],0)))*(1+Catalogos!$L$2)</f>
        <v>#N/A</v>
      </c>
      <c r="N6522" s="283" t="e">
        <f>+(Tabla4[[#This Row],[Precio Descontado]]-Tabla4[[#This Row],[Precio Base]])*Tabla4[[#This Row],[Cantidad]]</f>
        <v>#N/A</v>
      </c>
      <c r="O6522" s="284" t="e">
        <f>++Tabla4[[#This Row],[Utilidad Total]]/Tabla4[[#This Row],[Total]]</f>
        <v>#N/A</v>
      </c>
      <c r="P6522" s="282">
        <f>++Tabla4[[#This Row],[Precio Descontado]]*Tabla4[[#This Row],[Cantidad]]</f>
        <v>8133.5819063999998</v>
      </c>
      <c r="Q6522" s="282" t="e">
        <f>(INDEX(Tabla6[#All],MATCH(Tabla4[[#This Row],[Producto]],Tabla6[[#All],[PRODUCTO]],0),MATCH(Tabla4[[#This Row],[Mes]],Tabla6[#Headers],0)))</f>
        <v>#N/A</v>
      </c>
      <c r="R6522" s="282" t="e">
        <f>++Tabla4[[#This Row],[Precio Unitario Neto]]-Tabla4[[#This Row],[20.85%]]-Tabla4[[#This Row],[Costo]]</f>
        <v>#N/A</v>
      </c>
      <c r="S6522" s="282" t="e">
        <f>++Tabla4[[#This Row],[U. Bruta Uni]]*Tabla4[[#This Row],[Cantidad]]</f>
        <v>#N/A</v>
      </c>
      <c r="T6522" s="369" t="str">
        <f>VLOOKUP(Tabla4[[#This Row],[Producto]],Tabla6[#All],14,FALSE)</f>
        <v>Termico Solar</v>
      </c>
      <c r="U6522" s="284" t="e">
        <f>(IF(Tabla4[[#This Row],[Familia]]="termico solar",Tabla4[[#This Row],[Utilidad Total]]*6%,Tabla4[[#This Row],[Utilidad Total]]*11.5%))/Tabla4[[#This Row],[Total]]</f>
        <v>#N/A</v>
      </c>
      <c r="V6522" s="282" t="e">
        <f>+Tabla4[[#This Row],[Comisión Calculada]]*Tabla4[[#This Row],[Total]]</f>
        <v>#N/A</v>
      </c>
    </row>
    <row r="6523" spans="1:22" hidden="1" x14ac:dyDescent="0.25">
      <c r="A6523" s="100">
        <v>45961</v>
      </c>
      <c r="B6523" t="str">
        <f t="shared" si="380"/>
        <v>October</v>
      </c>
      <c r="C6523" s="46" t="s">
        <v>280</v>
      </c>
      <c r="F6523" s="366" t="s">
        <v>3316</v>
      </c>
      <c r="G6523" s="46" t="s">
        <v>17</v>
      </c>
      <c r="H6523" s="46">
        <v>2</v>
      </c>
      <c r="I6523" s="51">
        <v>4622.28</v>
      </c>
      <c r="J6523" s="281">
        <f>++Tabla4[[#This Row],[Precio Bruto]]*1.16</f>
        <v>5361.8447999999989</v>
      </c>
      <c r="K6523" s="281">
        <f>+Tabla4[[#This Row],[Precio Unitario Neto]]*Tabla4[[#Headers],[20.85%]]</f>
        <v>1117.9446407999997</v>
      </c>
      <c r="L6523" s="282">
        <f>++Tabla4[[#This Row],[Precio Unitario Neto]]-Tabla4[[#This Row],[20.85%]]</f>
        <v>4243.9001591999995</v>
      </c>
      <c r="M6523" s="282" t="e">
        <f>(INDEX(Tabla6[#All],MATCH(Tabla4[[#This Row],[Producto]],Tabla6[[#All],[PRODUCTO]],0),MATCH(Tabla4[[#This Row],[Mes]],Tabla6[#Headers],0)))*(1+Catalogos!$L$2)</f>
        <v>#N/A</v>
      </c>
      <c r="N6523" s="283" t="e">
        <f>+(Tabla4[[#This Row],[Precio Descontado]]-Tabla4[[#This Row],[Precio Base]])*Tabla4[[#This Row],[Cantidad]]</f>
        <v>#N/A</v>
      </c>
      <c r="O6523" s="284" t="e">
        <f>++Tabla4[[#This Row],[Utilidad Total]]/Tabla4[[#This Row],[Total]]</f>
        <v>#N/A</v>
      </c>
      <c r="P6523" s="282">
        <f>++Tabla4[[#This Row],[Precio Descontado]]*Tabla4[[#This Row],[Cantidad]]</f>
        <v>8487.800318399999</v>
      </c>
      <c r="Q6523" s="282" t="e">
        <f>(INDEX(Tabla6[#All],MATCH(Tabla4[[#This Row],[Producto]],Tabla6[[#All],[PRODUCTO]],0),MATCH(Tabla4[[#This Row],[Mes]],Tabla6[#Headers],0)))</f>
        <v>#N/A</v>
      </c>
      <c r="R6523" s="282" t="e">
        <f>++Tabla4[[#This Row],[Precio Unitario Neto]]-Tabla4[[#This Row],[20.85%]]-Tabla4[[#This Row],[Costo]]</f>
        <v>#N/A</v>
      </c>
      <c r="S6523" s="282" t="e">
        <f>++Tabla4[[#This Row],[U. Bruta Uni]]*Tabla4[[#This Row],[Cantidad]]</f>
        <v>#N/A</v>
      </c>
      <c r="T6523" s="369" t="str">
        <f>VLOOKUP(Tabla4[[#This Row],[Producto]],Tabla6[#All],14,FALSE)</f>
        <v>Termico Solar</v>
      </c>
      <c r="U6523" s="284" t="e">
        <f>(IF(Tabla4[[#This Row],[Familia]]="termico solar",Tabla4[[#This Row],[Utilidad Total]]*6%,Tabla4[[#This Row],[Utilidad Total]]*11.5%))/Tabla4[[#This Row],[Total]]</f>
        <v>#N/A</v>
      </c>
      <c r="V6523" s="282" t="e">
        <f>+Tabla4[[#This Row],[Comisión Calculada]]*Tabla4[[#This Row],[Total]]</f>
        <v>#N/A</v>
      </c>
    </row>
    <row r="6524" spans="1:22" hidden="1" x14ac:dyDescent="0.25">
      <c r="A6524" s="100">
        <v>45961</v>
      </c>
      <c r="B6524" t="str">
        <f t="shared" si="380"/>
        <v>October</v>
      </c>
      <c r="C6524" s="46" t="s">
        <v>280</v>
      </c>
      <c r="F6524" s="366" t="s">
        <v>3316</v>
      </c>
      <c r="G6524" s="46" t="s">
        <v>566</v>
      </c>
      <c r="H6524" s="46">
        <v>1</v>
      </c>
      <c r="I6524" s="51">
        <v>2109.4499999999998</v>
      </c>
      <c r="J6524" s="281">
        <f>++Tabla4[[#This Row],[Precio Bruto]]*1.16</f>
        <v>2446.9619999999995</v>
      </c>
      <c r="K6524" s="281">
        <f>+Tabla4[[#This Row],[Precio Unitario Neto]]*Tabla4[[#Headers],[20.85%]]</f>
        <v>510.19157699999988</v>
      </c>
      <c r="L6524" s="282">
        <f>++Tabla4[[#This Row],[Precio Unitario Neto]]-Tabla4[[#This Row],[20.85%]]</f>
        <v>1936.7704229999997</v>
      </c>
      <c r="M6524" s="282" t="e">
        <f>(INDEX(Tabla6[#All],MATCH(Tabla4[[#This Row],[Producto]],Tabla6[[#All],[PRODUCTO]],0),MATCH(Tabla4[[#This Row],[Mes]],Tabla6[#Headers],0)))*(1+Catalogos!$L$2)</f>
        <v>#N/A</v>
      </c>
      <c r="N6524" s="283" t="e">
        <f>+(Tabla4[[#This Row],[Precio Descontado]]-Tabla4[[#This Row],[Precio Base]])*Tabla4[[#This Row],[Cantidad]]</f>
        <v>#N/A</v>
      </c>
      <c r="O6524" s="284" t="e">
        <f>++Tabla4[[#This Row],[Utilidad Total]]/Tabla4[[#This Row],[Total]]</f>
        <v>#N/A</v>
      </c>
      <c r="P6524" s="282">
        <f>++Tabla4[[#This Row],[Precio Descontado]]*Tabla4[[#This Row],[Cantidad]]</f>
        <v>1936.7704229999997</v>
      </c>
      <c r="Q6524" s="282" t="e">
        <f>(INDEX(Tabla6[#All],MATCH(Tabla4[[#This Row],[Producto]],Tabla6[[#All],[PRODUCTO]],0),MATCH(Tabla4[[#This Row],[Mes]],Tabla6[#Headers],0)))</f>
        <v>#N/A</v>
      </c>
      <c r="R6524" s="282" t="e">
        <f>++Tabla4[[#This Row],[Precio Unitario Neto]]-Tabla4[[#This Row],[20.85%]]-Tabla4[[#This Row],[Costo]]</f>
        <v>#N/A</v>
      </c>
      <c r="S6524" s="282" t="e">
        <f>++Tabla4[[#This Row],[U. Bruta Uni]]*Tabla4[[#This Row],[Cantidad]]</f>
        <v>#N/A</v>
      </c>
      <c r="T6524" s="369" t="str">
        <f>VLOOKUP(Tabla4[[#This Row],[Producto]],Tabla6[#All],14,FALSE)</f>
        <v>Termico Solar</v>
      </c>
      <c r="U6524" s="284" t="e">
        <f>(IF(Tabla4[[#This Row],[Familia]]="termico solar",Tabla4[[#This Row],[Utilidad Total]]*6%,Tabla4[[#This Row],[Utilidad Total]]*11.5%))/Tabla4[[#This Row],[Total]]</f>
        <v>#N/A</v>
      </c>
      <c r="V6524" s="282" t="e">
        <f>+Tabla4[[#This Row],[Comisión Calculada]]*Tabla4[[#This Row],[Total]]</f>
        <v>#N/A</v>
      </c>
    </row>
    <row r="6525" spans="1:22" hidden="1" x14ac:dyDescent="0.25">
      <c r="A6525" s="100">
        <v>45961</v>
      </c>
      <c r="B6525" t="str">
        <f t="shared" si="380"/>
        <v>October</v>
      </c>
      <c r="C6525" s="46" t="s">
        <v>280</v>
      </c>
      <c r="F6525" s="366" t="s">
        <v>3316</v>
      </c>
      <c r="G6525" s="46" t="s">
        <v>412</v>
      </c>
      <c r="H6525" s="46">
        <v>1</v>
      </c>
      <c r="I6525" s="51">
        <v>3240.84</v>
      </c>
      <c r="J6525" s="281">
        <f>++Tabla4[[#This Row],[Precio Bruto]]*1.16</f>
        <v>3759.3743999999997</v>
      </c>
      <c r="K6525" s="281">
        <f>+Tabla4[[#This Row],[Precio Unitario Neto]]*Tabla4[[#Headers],[20.85%]]</f>
        <v>783.82956239999987</v>
      </c>
      <c r="L6525" s="282">
        <f>++Tabla4[[#This Row],[Precio Unitario Neto]]-Tabla4[[#This Row],[20.85%]]</f>
        <v>2975.5448375999999</v>
      </c>
      <c r="M6525" s="282" t="e">
        <f>(INDEX(Tabla6[#All],MATCH(Tabla4[[#This Row],[Producto]],Tabla6[[#All],[PRODUCTO]],0),MATCH(Tabla4[[#This Row],[Mes]],Tabla6[#Headers],0)))*(1+Catalogos!$L$2)</f>
        <v>#N/A</v>
      </c>
      <c r="N6525" s="283" t="e">
        <f>+(Tabla4[[#This Row],[Precio Descontado]]-Tabla4[[#This Row],[Precio Base]])*Tabla4[[#This Row],[Cantidad]]</f>
        <v>#N/A</v>
      </c>
      <c r="O6525" s="284" t="e">
        <f>++Tabla4[[#This Row],[Utilidad Total]]/Tabla4[[#This Row],[Total]]</f>
        <v>#N/A</v>
      </c>
      <c r="P6525" s="282">
        <f>++Tabla4[[#This Row],[Precio Descontado]]*Tabla4[[#This Row],[Cantidad]]</f>
        <v>2975.5448375999999</v>
      </c>
      <c r="Q6525" s="282" t="e">
        <f>(INDEX(Tabla6[#All],MATCH(Tabla4[[#This Row],[Producto]],Tabla6[[#All],[PRODUCTO]],0),MATCH(Tabla4[[#This Row],[Mes]],Tabla6[#Headers],0)))</f>
        <v>#N/A</v>
      </c>
      <c r="R6525" s="282" t="e">
        <f>++Tabla4[[#This Row],[Precio Unitario Neto]]-Tabla4[[#This Row],[20.85%]]-Tabla4[[#This Row],[Costo]]</f>
        <v>#N/A</v>
      </c>
      <c r="S6525" s="282" t="e">
        <f>++Tabla4[[#This Row],[U. Bruta Uni]]*Tabla4[[#This Row],[Cantidad]]</f>
        <v>#N/A</v>
      </c>
      <c r="T6525" s="369" t="str">
        <f>VLOOKUP(Tabla4[[#This Row],[Producto]],Tabla6[#All],14,FALSE)</f>
        <v>Termico Solar</v>
      </c>
      <c r="U6525" s="284" t="e">
        <f>(IF(Tabla4[[#This Row],[Familia]]="termico solar",Tabla4[[#This Row],[Utilidad Total]]*6%,Tabla4[[#This Row],[Utilidad Total]]*11.5%))/Tabla4[[#This Row],[Total]]</f>
        <v>#N/A</v>
      </c>
      <c r="V6525" s="282" t="e">
        <f>+Tabla4[[#This Row],[Comisión Calculada]]*Tabla4[[#This Row],[Total]]</f>
        <v>#N/A</v>
      </c>
    </row>
    <row r="6526" spans="1:22" hidden="1" x14ac:dyDescent="0.25">
      <c r="A6526" s="100">
        <v>45961</v>
      </c>
      <c r="B6526" t="str">
        <f t="shared" ref="B6526:B6530" si="381">TEXT(A6526, "mmmm")</f>
        <v>October</v>
      </c>
      <c r="C6526" s="46" t="s">
        <v>280</v>
      </c>
      <c r="F6526" s="366" t="s">
        <v>3317</v>
      </c>
      <c r="G6526" s="46" t="s">
        <v>83</v>
      </c>
      <c r="H6526" s="46">
        <v>2</v>
      </c>
      <c r="I6526" s="51">
        <v>8858.76</v>
      </c>
      <c r="J6526" s="281">
        <f>++Tabla4[[#This Row],[Precio Bruto]]*1.16</f>
        <v>10276.161599999999</v>
      </c>
      <c r="K6526" s="281">
        <f>+Tabla4[[#This Row],[Precio Unitario Neto]]*Tabla4[[#Headers],[20.85%]]</f>
        <v>2142.5796935999997</v>
      </c>
      <c r="L6526" s="282">
        <f>++Tabla4[[#This Row],[Precio Unitario Neto]]-Tabla4[[#This Row],[20.85%]]</f>
        <v>8133.5819063999998</v>
      </c>
      <c r="M6526" s="282" t="e">
        <f>(INDEX(Tabla6[#All],MATCH(Tabla4[[#This Row],[Producto]],Tabla6[[#All],[PRODUCTO]],0),MATCH(Tabla4[[#This Row],[Mes]],Tabla6[#Headers],0)))*(1+Catalogos!$L$2)</f>
        <v>#N/A</v>
      </c>
      <c r="N6526" s="283" t="e">
        <f>+(Tabla4[[#This Row],[Precio Descontado]]-Tabla4[[#This Row],[Precio Base]])*Tabla4[[#This Row],[Cantidad]]</f>
        <v>#N/A</v>
      </c>
      <c r="O6526" s="284" t="e">
        <f>++Tabla4[[#This Row],[Utilidad Total]]/Tabla4[[#This Row],[Total]]</f>
        <v>#N/A</v>
      </c>
      <c r="P6526" s="282">
        <f>++Tabla4[[#This Row],[Precio Descontado]]*Tabla4[[#This Row],[Cantidad]]</f>
        <v>16267.1638128</v>
      </c>
      <c r="Q6526" s="282" t="e">
        <f>(INDEX(Tabla6[#All],MATCH(Tabla4[[#This Row],[Producto]],Tabla6[[#All],[PRODUCTO]],0),MATCH(Tabla4[[#This Row],[Mes]],Tabla6[#Headers],0)))</f>
        <v>#N/A</v>
      </c>
      <c r="R6526" s="282" t="e">
        <f>++Tabla4[[#This Row],[Precio Unitario Neto]]-Tabla4[[#This Row],[20.85%]]-Tabla4[[#This Row],[Costo]]</f>
        <v>#N/A</v>
      </c>
      <c r="S6526" s="282" t="e">
        <f>++Tabla4[[#This Row],[U. Bruta Uni]]*Tabla4[[#This Row],[Cantidad]]</f>
        <v>#N/A</v>
      </c>
      <c r="T6526" s="369" t="str">
        <f>VLOOKUP(Tabla4[[#This Row],[Producto]],Tabla6[#All],14,FALSE)</f>
        <v>Termico Solar</v>
      </c>
      <c r="U6526" s="284" t="e">
        <f>(IF(Tabla4[[#This Row],[Familia]]="termico solar",Tabla4[[#This Row],[Utilidad Total]]*6%,Tabla4[[#This Row],[Utilidad Total]]*11.5%))/Tabla4[[#This Row],[Total]]</f>
        <v>#N/A</v>
      </c>
      <c r="V6526" s="282" t="e">
        <f>+Tabla4[[#This Row],[Comisión Calculada]]*Tabla4[[#This Row],[Total]]</f>
        <v>#N/A</v>
      </c>
    </row>
    <row r="6527" spans="1:22" hidden="1" x14ac:dyDescent="0.25">
      <c r="A6527" s="100">
        <v>45961</v>
      </c>
      <c r="B6527" t="str">
        <f t="shared" si="381"/>
        <v>October</v>
      </c>
      <c r="C6527" s="46" t="s">
        <v>280</v>
      </c>
      <c r="F6527" s="366" t="s">
        <v>3317</v>
      </c>
      <c r="G6527" s="46" t="s">
        <v>17</v>
      </c>
      <c r="H6527" s="46">
        <v>1</v>
      </c>
      <c r="I6527" s="51">
        <v>4622.28</v>
      </c>
      <c r="J6527" s="281">
        <f>++Tabla4[[#This Row],[Precio Bruto]]*1.16</f>
        <v>5361.8447999999989</v>
      </c>
      <c r="K6527" s="281">
        <f>+Tabla4[[#This Row],[Precio Unitario Neto]]*Tabla4[[#Headers],[20.85%]]</f>
        <v>1117.9446407999997</v>
      </c>
      <c r="L6527" s="282">
        <f>++Tabla4[[#This Row],[Precio Unitario Neto]]-Tabla4[[#This Row],[20.85%]]</f>
        <v>4243.9001591999995</v>
      </c>
      <c r="M6527" s="282" t="e">
        <f>(INDEX(Tabla6[#All],MATCH(Tabla4[[#This Row],[Producto]],Tabla6[[#All],[PRODUCTO]],0),MATCH(Tabla4[[#This Row],[Mes]],Tabla6[#Headers],0)))*(1+Catalogos!$L$2)</f>
        <v>#N/A</v>
      </c>
      <c r="N6527" s="283" t="e">
        <f>+(Tabla4[[#This Row],[Precio Descontado]]-Tabla4[[#This Row],[Precio Base]])*Tabla4[[#This Row],[Cantidad]]</f>
        <v>#N/A</v>
      </c>
      <c r="O6527" s="284" t="e">
        <f>++Tabla4[[#This Row],[Utilidad Total]]/Tabla4[[#This Row],[Total]]</f>
        <v>#N/A</v>
      </c>
      <c r="P6527" s="282">
        <f>++Tabla4[[#This Row],[Precio Descontado]]*Tabla4[[#This Row],[Cantidad]]</f>
        <v>4243.9001591999995</v>
      </c>
      <c r="Q6527" s="282" t="e">
        <f>(INDEX(Tabla6[#All],MATCH(Tabla4[[#This Row],[Producto]],Tabla6[[#All],[PRODUCTO]],0),MATCH(Tabla4[[#This Row],[Mes]],Tabla6[#Headers],0)))</f>
        <v>#N/A</v>
      </c>
      <c r="R6527" s="282" t="e">
        <f>++Tabla4[[#This Row],[Precio Unitario Neto]]-Tabla4[[#This Row],[20.85%]]-Tabla4[[#This Row],[Costo]]</f>
        <v>#N/A</v>
      </c>
      <c r="S6527" s="282" t="e">
        <f>++Tabla4[[#This Row],[U. Bruta Uni]]*Tabla4[[#This Row],[Cantidad]]</f>
        <v>#N/A</v>
      </c>
      <c r="T6527" s="369" t="str">
        <f>VLOOKUP(Tabla4[[#This Row],[Producto]],Tabla6[#All],14,FALSE)</f>
        <v>Termico Solar</v>
      </c>
      <c r="U6527" s="284" t="e">
        <f>(IF(Tabla4[[#This Row],[Familia]]="termico solar",Tabla4[[#This Row],[Utilidad Total]]*6%,Tabla4[[#This Row],[Utilidad Total]]*11.5%))/Tabla4[[#This Row],[Total]]</f>
        <v>#N/A</v>
      </c>
      <c r="V6527" s="282" t="e">
        <f>+Tabla4[[#This Row],[Comisión Calculada]]*Tabla4[[#This Row],[Total]]</f>
        <v>#N/A</v>
      </c>
    </row>
    <row r="6528" spans="1:22" hidden="1" x14ac:dyDescent="0.25">
      <c r="A6528" s="100">
        <v>45961</v>
      </c>
      <c r="B6528" t="str">
        <f t="shared" si="381"/>
        <v>October</v>
      </c>
      <c r="C6528" s="46" t="s">
        <v>280</v>
      </c>
      <c r="F6528" s="366" t="s">
        <v>3317</v>
      </c>
      <c r="G6528" s="46" t="s">
        <v>18</v>
      </c>
      <c r="H6528" s="46">
        <v>1</v>
      </c>
      <c r="I6528" s="51">
        <v>5367.65</v>
      </c>
      <c r="J6528" s="281">
        <f>++Tabla4[[#This Row],[Precio Bruto]]*1.16</f>
        <v>6226.4739999999993</v>
      </c>
      <c r="K6528" s="281">
        <f>+Tabla4[[#This Row],[Precio Unitario Neto]]*Tabla4[[#Headers],[20.85%]]</f>
        <v>1298.2198289999999</v>
      </c>
      <c r="L6528" s="282">
        <f>++Tabla4[[#This Row],[Precio Unitario Neto]]-Tabla4[[#This Row],[20.85%]]</f>
        <v>4928.2541709999996</v>
      </c>
      <c r="M6528" s="282" t="e">
        <f>(INDEX(Tabla6[#All],MATCH(Tabla4[[#This Row],[Producto]],Tabla6[[#All],[PRODUCTO]],0),MATCH(Tabla4[[#This Row],[Mes]],Tabla6[#Headers],0)))*(1+Catalogos!$L$2)</f>
        <v>#N/A</v>
      </c>
      <c r="N6528" s="283" t="e">
        <f>+(Tabla4[[#This Row],[Precio Descontado]]-Tabla4[[#This Row],[Precio Base]])*Tabla4[[#This Row],[Cantidad]]</f>
        <v>#N/A</v>
      </c>
      <c r="O6528" s="284" t="e">
        <f>++Tabla4[[#This Row],[Utilidad Total]]/Tabla4[[#This Row],[Total]]</f>
        <v>#N/A</v>
      </c>
      <c r="P6528" s="282">
        <f>++Tabla4[[#This Row],[Precio Descontado]]*Tabla4[[#This Row],[Cantidad]]</f>
        <v>4928.2541709999996</v>
      </c>
      <c r="Q6528" s="282" t="e">
        <f>(INDEX(Tabla6[#All],MATCH(Tabla4[[#This Row],[Producto]],Tabla6[[#All],[PRODUCTO]],0),MATCH(Tabla4[[#This Row],[Mes]],Tabla6[#Headers],0)))</f>
        <v>#N/A</v>
      </c>
      <c r="R6528" s="282" t="e">
        <f>++Tabla4[[#This Row],[Precio Unitario Neto]]-Tabla4[[#This Row],[20.85%]]-Tabla4[[#This Row],[Costo]]</f>
        <v>#N/A</v>
      </c>
      <c r="S6528" s="282" t="e">
        <f>++Tabla4[[#This Row],[U. Bruta Uni]]*Tabla4[[#This Row],[Cantidad]]</f>
        <v>#N/A</v>
      </c>
      <c r="T6528" s="369" t="str">
        <f>VLOOKUP(Tabla4[[#This Row],[Producto]],Tabla6[#All],14,FALSE)</f>
        <v>Termico Solar</v>
      </c>
      <c r="U6528" s="284" t="e">
        <f>(IF(Tabla4[[#This Row],[Familia]]="termico solar",Tabla4[[#This Row],[Utilidad Total]]*6%,Tabla4[[#This Row],[Utilidad Total]]*11.5%))/Tabla4[[#This Row],[Total]]</f>
        <v>#N/A</v>
      </c>
      <c r="V6528" s="282" t="e">
        <f>+Tabla4[[#This Row],[Comisión Calculada]]*Tabla4[[#This Row],[Total]]</f>
        <v>#N/A</v>
      </c>
    </row>
    <row r="6529" spans="1:22" hidden="1" x14ac:dyDescent="0.25">
      <c r="A6529" s="100">
        <v>45961</v>
      </c>
      <c r="B6529" t="str">
        <f t="shared" si="381"/>
        <v>October</v>
      </c>
      <c r="C6529" s="46" t="s">
        <v>280</v>
      </c>
      <c r="F6529" s="366" t="s">
        <v>3317</v>
      </c>
      <c r="G6529" s="46" t="s">
        <v>566</v>
      </c>
      <c r="H6529" s="46">
        <v>1</v>
      </c>
      <c r="I6529" s="51">
        <v>2109.4499999999998</v>
      </c>
      <c r="J6529" s="281">
        <f>++Tabla4[[#This Row],[Precio Bruto]]*1.16</f>
        <v>2446.9619999999995</v>
      </c>
      <c r="K6529" s="281">
        <f>+Tabla4[[#This Row],[Precio Unitario Neto]]*Tabla4[[#Headers],[20.85%]]</f>
        <v>510.19157699999988</v>
      </c>
      <c r="L6529" s="282">
        <f>++Tabla4[[#This Row],[Precio Unitario Neto]]-Tabla4[[#This Row],[20.85%]]</f>
        <v>1936.7704229999997</v>
      </c>
      <c r="M6529" s="282" t="e">
        <f>(INDEX(Tabla6[#All],MATCH(Tabla4[[#This Row],[Producto]],Tabla6[[#All],[PRODUCTO]],0),MATCH(Tabla4[[#This Row],[Mes]],Tabla6[#Headers],0)))*(1+Catalogos!$L$2)</f>
        <v>#N/A</v>
      </c>
      <c r="N6529" s="283" t="e">
        <f>+(Tabla4[[#This Row],[Precio Descontado]]-Tabla4[[#This Row],[Precio Base]])*Tabla4[[#This Row],[Cantidad]]</f>
        <v>#N/A</v>
      </c>
      <c r="O6529" s="284" t="e">
        <f>++Tabla4[[#This Row],[Utilidad Total]]/Tabla4[[#This Row],[Total]]</f>
        <v>#N/A</v>
      </c>
      <c r="P6529" s="282">
        <f>++Tabla4[[#This Row],[Precio Descontado]]*Tabla4[[#This Row],[Cantidad]]</f>
        <v>1936.7704229999997</v>
      </c>
      <c r="Q6529" s="282" t="e">
        <f>(INDEX(Tabla6[#All],MATCH(Tabla4[[#This Row],[Producto]],Tabla6[[#All],[PRODUCTO]],0),MATCH(Tabla4[[#This Row],[Mes]],Tabla6[#Headers],0)))</f>
        <v>#N/A</v>
      </c>
      <c r="R6529" s="282" t="e">
        <f>++Tabla4[[#This Row],[Precio Unitario Neto]]-Tabla4[[#This Row],[20.85%]]-Tabla4[[#This Row],[Costo]]</f>
        <v>#N/A</v>
      </c>
      <c r="S6529" s="282" t="e">
        <f>++Tabla4[[#This Row],[U. Bruta Uni]]*Tabla4[[#This Row],[Cantidad]]</f>
        <v>#N/A</v>
      </c>
      <c r="T6529" s="369" t="str">
        <f>VLOOKUP(Tabla4[[#This Row],[Producto]],Tabla6[#All],14,FALSE)</f>
        <v>Termico Solar</v>
      </c>
      <c r="U6529" s="284" t="e">
        <f>(IF(Tabla4[[#This Row],[Familia]]="termico solar",Tabla4[[#This Row],[Utilidad Total]]*6%,Tabla4[[#This Row],[Utilidad Total]]*11.5%))/Tabla4[[#This Row],[Total]]</f>
        <v>#N/A</v>
      </c>
      <c r="V6529" s="282" t="e">
        <f>+Tabla4[[#This Row],[Comisión Calculada]]*Tabla4[[#This Row],[Total]]</f>
        <v>#N/A</v>
      </c>
    </row>
    <row r="6530" spans="1:22" hidden="1" x14ac:dyDescent="0.25">
      <c r="A6530" s="100">
        <v>45961</v>
      </c>
      <c r="B6530" t="str">
        <f t="shared" si="381"/>
        <v>October</v>
      </c>
      <c r="C6530" s="46" t="s">
        <v>280</v>
      </c>
      <c r="F6530" s="366" t="s">
        <v>3317</v>
      </c>
      <c r="G6530" s="46" t="s">
        <v>16</v>
      </c>
      <c r="H6530" s="46">
        <v>1</v>
      </c>
      <c r="I6530" s="51">
        <v>4103.8500000000004</v>
      </c>
      <c r="J6530" s="281">
        <f>++Tabla4[[#This Row],[Precio Bruto]]*1.16</f>
        <v>4760.4660000000003</v>
      </c>
      <c r="K6530" s="281">
        <f>+Tabla4[[#This Row],[Precio Unitario Neto]]*Tabla4[[#Headers],[20.85%]]</f>
        <v>992.55716100000006</v>
      </c>
      <c r="L6530" s="282">
        <f>++Tabla4[[#This Row],[Precio Unitario Neto]]-Tabla4[[#This Row],[20.85%]]</f>
        <v>3767.9088390000002</v>
      </c>
      <c r="M6530" s="282" t="e">
        <f>(INDEX(Tabla6[#All],MATCH(Tabla4[[#This Row],[Producto]],Tabla6[[#All],[PRODUCTO]],0),MATCH(Tabla4[[#This Row],[Mes]],Tabla6[#Headers],0)))*(1+Catalogos!$L$2)</f>
        <v>#N/A</v>
      </c>
      <c r="N6530" s="283" t="e">
        <f>+(Tabla4[[#This Row],[Precio Descontado]]-Tabla4[[#This Row],[Precio Base]])*Tabla4[[#This Row],[Cantidad]]</f>
        <v>#N/A</v>
      </c>
      <c r="O6530" s="284" t="e">
        <f>++Tabla4[[#This Row],[Utilidad Total]]/Tabla4[[#This Row],[Total]]</f>
        <v>#N/A</v>
      </c>
      <c r="P6530" s="282">
        <f>++Tabla4[[#This Row],[Precio Descontado]]*Tabla4[[#This Row],[Cantidad]]</f>
        <v>3767.9088390000002</v>
      </c>
      <c r="Q6530" s="282" t="e">
        <f>(INDEX(Tabla6[#All],MATCH(Tabla4[[#This Row],[Producto]],Tabla6[[#All],[PRODUCTO]],0),MATCH(Tabla4[[#This Row],[Mes]],Tabla6[#Headers],0)))</f>
        <v>#N/A</v>
      </c>
      <c r="R6530" s="282" t="e">
        <f>++Tabla4[[#This Row],[Precio Unitario Neto]]-Tabla4[[#This Row],[20.85%]]-Tabla4[[#This Row],[Costo]]</f>
        <v>#N/A</v>
      </c>
      <c r="S6530" s="282" t="e">
        <f>++Tabla4[[#This Row],[U. Bruta Uni]]*Tabla4[[#This Row],[Cantidad]]</f>
        <v>#N/A</v>
      </c>
      <c r="T6530" s="369" t="str">
        <f>VLOOKUP(Tabla4[[#This Row],[Producto]],Tabla6[#All],14,FALSE)</f>
        <v>Termico Solar</v>
      </c>
      <c r="U6530" s="284" t="e">
        <f>(IF(Tabla4[[#This Row],[Familia]]="termico solar",Tabla4[[#This Row],[Utilidad Total]]*6%,Tabla4[[#This Row],[Utilidad Total]]*11.5%))/Tabla4[[#This Row],[Total]]</f>
        <v>#N/A</v>
      </c>
      <c r="V6530" s="282" t="e">
        <f>+Tabla4[[#This Row],[Comisión Calculada]]*Tabla4[[#This Row],[Total]]</f>
        <v>#N/A</v>
      </c>
    </row>
    <row r="6531" spans="1:22" hidden="1" x14ac:dyDescent="0.25">
      <c r="A6531" s="100">
        <v>45961</v>
      </c>
      <c r="B6531" t="str">
        <f t="shared" ref="B6531:B6532" si="382">TEXT(A6531, "mmmm")</f>
        <v>October</v>
      </c>
      <c r="C6531" s="46" t="s">
        <v>280</v>
      </c>
      <c r="F6531" s="366" t="s">
        <v>3318</v>
      </c>
      <c r="G6531" s="46" t="s">
        <v>17</v>
      </c>
      <c r="H6531" s="46">
        <v>1</v>
      </c>
      <c r="I6531" s="51">
        <v>4622.28</v>
      </c>
      <c r="J6531" s="281">
        <f>++Tabla4[[#This Row],[Precio Bruto]]*1.16</f>
        <v>5361.8447999999989</v>
      </c>
      <c r="K6531" s="281">
        <f>+Tabla4[[#This Row],[Precio Unitario Neto]]*Tabla4[[#Headers],[20.85%]]</f>
        <v>1117.9446407999997</v>
      </c>
      <c r="L6531" s="282">
        <f>++Tabla4[[#This Row],[Precio Unitario Neto]]-Tabla4[[#This Row],[20.85%]]</f>
        <v>4243.9001591999995</v>
      </c>
      <c r="M6531" s="282" t="e">
        <f>(INDEX(Tabla6[#All],MATCH(Tabla4[[#This Row],[Producto]],Tabla6[[#All],[PRODUCTO]],0),MATCH(Tabla4[[#This Row],[Mes]],Tabla6[#Headers],0)))*(1+Catalogos!$L$2)</f>
        <v>#N/A</v>
      </c>
      <c r="N6531" s="283" t="e">
        <f>+(Tabla4[[#This Row],[Precio Descontado]]-Tabla4[[#This Row],[Precio Base]])*Tabla4[[#This Row],[Cantidad]]</f>
        <v>#N/A</v>
      </c>
      <c r="O6531" s="284" t="e">
        <f>++Tabla4[[#This Row],[Utilidad Total]]/Tabla4[[#This Row],[Total]]</f>
        <v>#N/A</v>
      </c>
      <c r="P6531" s="282">
        <f>++Tabla4[[#This Row],[Precio Descontado]]*Tabla4[[#This Row],[Cantidad]]</f>
        <v>4243.9001591999995</v>
      </c>
      <c r="Q6531" s="282" t="e">
        <f>(INDEX(Tabla6[#All],MATCH(Tabla4[[#This Row],[Producto]],Tabla6[[#All],[PRODUCTO]],0),MATCH(Tabla4[[#This Row],[Mes]],Tabla6[#Headers],0)))</f>
        <v>#N/A</v>
      </c>
      <c r="R6531" s="282" t="e">
        <f>++Tabla4[[#This Row],[Precio Unitario Neto]]-Tabla4[[#This Row],[20.85%]]-Tabla4[[#This Row],[Costo]]</f>
        <v>#N/A</v>
      </c>
      <c r="S6531" s="282" t="e">
        <f>++Tabla4[[#This Row],[U. Bruta Uni]]*Tabla4[[#This Row],[Cantidad]]</f>
        <v>#N/A</v>
      </c>
      <c r="T6531" s="369" t="str">
        <f>VLOOKUP(Tabla4[[#This Row],[Producto]],Tabla6[#All],14,FALSE)</f>
        <v>Termico Solar</v>
      </c>
      <c r="U6531" s="284" t="e">
        <f>(IF(Tabla4[[#This Row],[Familia]]="termico solar",Tabla4[[#This Row],[Utilidad Total]]*6%,Tabla4[[#This Row],[Utilidad Total]]*11.5%))/Tabla4[[#This Row],[Total]]</f>
        <v>#N/A</v>
      </c>
      <c r="V6531" s="282" t="e">
        <f>+Tabla4[[#This Row],[Comisión Calculada]]*Tabla4[[#This Row],[Total]]</f>
        <v>#N/A</v>
      </c>
    </row>
    <row r="6532" spans="1:22" hidden="1" x14ac:dyDescent="0.25">
      <c r="A6532" s="100">
        <v>45961</v>
      </c>
      <c r="B6532" t="str">
        <f t="shared" si="382"/>
        <v>October</v>
      </c>
      <c r="C6532" s="46" t="s">
        <v>280</v>
      </c>
      <c r="F6532" s="366" t="s">
        <v>3318</v>
      </c>
      <c r="G6532" s="46" t="s">
        <v>208</v>
      </c>
      <c r="H6532" s="46">
        <v>4</v>
      </c>
      <c r="I6532" s="51">
        <v>189.75</v>
      </c>
      <c r="J6532" s="281">
        <f>++Tabla4[[#This Row],[Precio Bruto]]*1.16</f>
        <v>220.10999999999999</v>
      </c>
      <c r="K6532" s="281">
        <f>+Tabla4[[#This Row],[Precio Unitario Neto]]*Tabla4[[#Headers],[20.85%]]</f>
        <v>45.892934999999994</v>
      </c>
      <c r="L6532" s="282">
        <f>++Tabla4[[#This Row],[Precio Unitario Neto]]-Tabla4[[#This Row],[20.85%]]</f>
        <v>174.21706499999999</v>
      </c>
      <c r="M6532" s="282" t="e">
        <f>(INDEX(Tabla6[#All],MATCH(Tabla4[[#This Row],[Producto]],Tabla6[[#All],[PRODUCTO]],0),MATCH(Tabla4[[#This Row],[Mes]],Tabla6[#Headers],0)))*(1+Catalogos!$L$2)</f>
        <v>#N/A</v>
      </c>
      <c r="N6532" s="283" t="e">
        <f>+(Tabla4[[#This Row],[Precio Descontado]]-Tabla4[[#This Row],[Precio Base]])*Tabla4[[#This Row],[Cantidad]]</f>
        <v>#N/A</v>
      </c>
      <c r="O6532" s="284" t="e">
        <f>++Tabla4[[#This Row],[Utilidad Total]]/Tabla4[[#This Row],[Total]]</f>
        <v>#N/A</v>
      </c>
      <c r="P6532" s="282">
        <f>++Tabla4[[#This Row],[Precio Descontado]]*Tabla4[[#This Row],[Cantidad]]</f>
        <v>696.86825999999996</v>
      </c>
      <c r="Q6532" s="282" t="e">
        <f>(INDEX(Tabla6[#All],MATCH(Tabla4[[#This Row],[Producto]],Tabla6[[#All],[PRODUCTO]],0),MATCH(Tabla4[[#This Row],[Mes]],Tabla6[#Headers],0)))</f>
        <v>#N/A</v>
      </c>
      <c r="R6532" s="282" t="e">
        <f>++Tabla4[[#This Row],[Precio Unitario Neto]]-Tabla4[[#This Row],[20.85%]]-Tabla4[[#This Row],[Costo]]</f>
        <v>#N/A</v>
      </c>
      <c r="S6532" s="282" t="e">
        <f>++Tabla4[[#This Row],[U. Bruta Uni]]*Tabla4[[#This Row],[Cantidad]]</f>
        <v>#N/A</v>
      </c>
      <c r="T6532" s="369" t="str">
        <f>VLOOKUP(Tabla4[[#This Row],[Producto]],Tabla6[#All],14,FALSE)</f>
        <v>Termico Solar</v>
      </c>
      <c r="U6532" s="284" t="e">
        <f>(IF(Tabla4[[#This Row],[Familia]]="termico solar",Tabla4[[#This Row],[Utilidad Total]]*6%,Tabla4[[#This Row],[Utilidad Total]]*11.5%))/Tabla4[[#This Row],[Total]]</f>
        <v>#N/A</v>
      </c>
      <c r="V6532" s="282" t="e">
        <f>+Tabla4[[#This Row],[Comisión Calculada]]*Tabla4[[#This Row],[Total]]</f>
        <v>#N/A</v>
      </c>
    </row>
    <row r="6533" spans="1:22" hidden="1" x14ac:dyDescent="0.25">
      <c r="A6533" s="100">
        <v>45961</v>
      </c>
      <c r="B6533" t="str">
        <f t="shared" ref="B6533:B6534" si="383">TEXT(A6533, "mmmm")</f>
        <v>October</v>
      </c>
      <c r="C6533" s="46" t="s">
        <v>280</v>
      </c>
      <c r="F6533" s="366" t="s">
        <v>3319</v>
      </c>
      <c r="G6533" s="46" t="s">
        <v>17</v>
      </c>
      <c r="H6533" s="46">
        <v>1</v>
      </c>
      <c r="I6533" s="51">
        <v>4622.28</v>
      </c>
      <c r="J6533" s="281">
        <f>++Tabla4[[#This Row],[Precio Bruto]]*1.16</f>
        <v>5361.8447999999989</v>
      </c>
      <c r="K6533" s="281">
        <f>+Tabla4[[#This Row],[Precio Unitario Neto]]*Tabla4[[#Headers],[20.85%]]</f>
        <v>1117.9446407999997</v>
      </c>
      <c r="L6533" s="282">
        <f>++Tabla4[[#This Row],[Precio Unitario Neto]]-Tabla4[[#This Row],[20.85%]]</f>
        <v>4243.9001591999995</v>
      </c>
      <c r="M6533" s="282" t="e">
        <f>(INDEX(Tabla6[#All],MATCH(Tabla4[[#This Row],[Producto]],Tabla6[[#All],[PRODUCTO]],0),MATCH(Tabla4[[#This Row],[Mes]],Tabla6[#Headers],0)))*(1+Catalogos!$L$2)</f>
        <v>#N/A</v>
      </c>
      <c r="N6533" s="283" t="e">
        <f>+(Tabla4[[#This Row],[Precio Descontado]]-Tabla4[[#This Row],[Precio Base]])*Tabla4[[#This Row],[Cantidad]]</f>
        <v>#N/A</v>
      </c>
      <c r="O6533" s="284" t="e">
        <f>++Tabla4[[#This Row],[Utilidad Total]]/Tabla4[[#This Row],[Total]]</f>
        <v>#N/A</v>
      </c>
      <c r="P6533" s="282">
        <f>++Tabla4[[#This Row],[Precio Descontado]]*Tabla4[[#This Row],[Cantidad]]</f>
        <v>4243.9001591999995</v>
      </c>
      <c r="Q6533" s="282" t="e">
        <f>(INDEX(Tabla6[#All],MATCH(Tabla4[[#This Row],[Producto]],Tabla6[[#All],[PRODUCTO]],0),MATCH(Tabla4[[#This Row],[Mes]],Tabla6[#Headers],0)))</f>
        <v>#N/A</v>
      </c>
      <c r="R6533" s="282" t="e">
        <f>++Tabla4[[#This Row],[Precio Unitario Neto]]-Tabla4[[#This Row],[20.85%]]-Tabla4[[#This Row],[Costo]]</f>
        <v>#N/A</v>
      </c>
      <c r="S6533" s="282" t="e">
        <f>++Tabla4[[#This Row],[U. Bruta Uni]]*Tabla4[[#This Row],[Cantidad]]</f>
        <v>#N/A</v>
      </c>
      <c r="T6533" s="369" t="str">
        <f>VLOOKUP(Tabla4[[#This Row],[Producto]],Tabla6[#All],14,FALSE)</f>
        <v>Termico Solar</v>
      </c>
      <c r="U6533" s="284" t="e">
        <f>(IF(Tabla4[[#This Row],[Familia]]="termico solar",Tabla4[[#This Row],[Utilidad Total]]*6%,Tabla4[[#This Row],[Utilidad Total]]*11.5%))/Tabla4[[#This Row],[Total]]</f>
        <v>#N/A</v>
      </c>
      <c r="V6533" s="282" t="e">
        <f>+Tabla4[[#This Row],[Comisión Calculada]]*Tabla4[[#This Row],[Total]]</f>
        <v>#N/A</v>
      </c>
    </row>
    <row r="6534" spans="1:22" hidden="1" x14ac:dyDescent="0.25">
      <c r="A6534" s="100">
        <v>45961</v>
      </c>
      <c r="B6534" t="str">
        <f t="shared" si="383"/>
        <v>October</v>
      </c>
      <c r="C6534" s="46" t="s">
        <v>280</v>
      </c>
      <c r="F6534" s="366" t="s">
        <v>3319</v>
      </c>
      <c r="G6534" s="46" t="s">
        <v>208</v>
      </c>
      <c r="H6534" s="46">
        <v>5</v>
      </c>
      <c r="I6534" s="51">
        <v>189.75</v>
      </c>
      <c r="J6534" s="281">
        <f>++Tabla4[[#This Row],[Precio Bruto]]*1.16</f>
        <v>220.10999999999999</v>
      </c>
      <c r="K6534" s="281">
        <f>+Tabla4[[#This Row],[Precio Unitario Neto]]*Tabla4[[#Headers],[20.85%]]</f>
        <v>45.892934999999994</v>
      </c>
      <c r="L6534" s="282">
        <f>++Tabla4[[#This Row],[Precio Unitario Neto]]-Tabla4[[#This Row],[20.85%]]</f>
        <v>174.21706499999999</v>
      </c>
      <c r="M6534" s="282" t="e">
        <f>(INDEX(Tabla6[#All],MATCH(Tabla4[[#This Row],[Producto]],Tabla6[[#All],[PRODUCTO]],0),MATCH(Tabla4[[#This Row],[Mes]],Tabla6[#Headers],0)))*(1+Catalogos!$L$2)</f>
        <v>#N/A</v>
      </c>
      <c r="N6534" s="283" t="e">
        <f>+(Tabla4[[#This Row],[Precio Descontado]]-Tabla4[[#This Row],[Precio Base]])*Tabla4[[#This Row],[Cantidad]]</f>
        <v>#N/A</v>
      </c>
      <c r="O6534" s="284" t="e">
        <f>++Tabla4[[#This Row],[Utilidad Total]]/Tabla4[[#This Row],[Total]]</f>
        <v>#N/A</v>
      </c>
      <c r="P6534" s="282">
        <f>++Tabla4[[#This Row],[Precio Descontado]]*Tabla4[[#This Row],[Cantidad]]</f>
        <v>871.08532500000001</v>
      </c>
      <c r="Q6534" s="282" t="e">
        <f>(INDEX(Tabla6[#All],MATCH(Tabla4[[#This Row],[Producto]],Tabla6[[#All],[PRODUCTO]],0),MATCH(Tabla4[[#This Row],[Mes]],Tabla6[#Headers],0)))</f>
        <v>#N/A</v>
      </c>
      <c r="R6534" s="282" t="e">
        <f>++Tabla4[[#This Row],[Precio Unitario Neto]]-Tabla4[[#This Row],[20.85%]]-Tabla4[[#This Row],[Costo]]</f>
        <v>#N/A</v>
      </c>
      <c r="S6534" s="282" t="e">
        <f>++Tabla4[[#This Row],[U. Bruta Uni]]*Tabla4[[#This Row],[Cantidad]]</f>
        <v>#N/A</v>
      </c>
      <c r="T6534" s="369" t="str">
        <f>VLOOKUP(Tabla4[[#This Row],[Producto]],Tabla6[#All],14,FALSE)</f>
        <v>Termico Solar</v>
      </c>
      <c r="U6534" s="284" t="e">
        <f>(IF(Tabla4[[#This Row],[Familia]]="termico solar",Tabla4[[#This Row],[Utilidad Total]]*6%,Tabla4[[#This Row],[Utilidad Total]]*11.5%))/Tabla4[[#This Row],[Total]]</f>
        <v>#N/A</v>
      </c>
      <c r="V6534" s="282" t="e">
        <f>+Tabla4[[#This Row],[Comisión Calculada]]*Tabla4[[#This Row],[Total]]</f>
        <v>#N/A</v>
      </c>
    </row>
    <row r="6535" spans="1:22" hidden="1" x14ac:dyDescent="0.25">
      <c r="A6535" s="100">
        <v>45961</v>
      </c>
      <c r="B6535" t="str">
        <f t="shared" ref="B6535:B6540" si="384">TEXT(A6535, "mmmm")</f>
        <v>October</v>
      </c>
      <c r="C6535" s="46" t="s">
        <v>280</v>
      </c>
      <c r="F6535" s="366" t="s">
        <v>3320</v>
      </c>
      <c r="G6535" s="46" t="s">
        <v>83</v>
      </c>
      <c r="H6535" s="46">
        <v>1</v>
      </c>
      <c r="I6535" s="51">
        <v>8858.76</v>
      </c>
      <c r="J6535" s="281">
        <f>++Tabla4[[#This Row],[Precio Bruto]]*1.16</f>
        <v>10276.161599999999</v>
      </c>
      <c r="K6535" s="281">
        <f>+Tabla4[[#This Row],[Precio Unitario Neto]]*Tabla4[[#Headers],[20.85%]]</f>
        <v>2142.5796935999997</v>
      </c>
      <c r="L6535" s="282">
        <f>++Tabla4[[#This Row],[Precio Unitario Neto]]-Tabla4[[#This Row],[20.85%]]</f>
        <v>8133.5819063999998</v>
      </c>
      <c r="M6535" s="282" t="e">
        <f>(INDEX(Tabla6[#All],MATCH(Tabla4[[#This Row],[Producto]],Tabla6[[#All],[PRODUCTO]],0),MATCH(Tabla4[[#This Row],[Mes]],Tabla6[#Headers],0)))*(1+Catalogos!$L$2)</f>
        <v>#N/A</v>
      </c>
      <c r="N6535" s="283" t="e">
        <f>+(Tabla4[[#This Row],[Precio Descontado]]-Tabla4[[#This Row],[Precio Base]])*Tabla4[[#This Row],[Cantidad]]</f>
        <v>#N/A</v>
      </c>
      <c r="O6535" s="284" t="e">
        <f>++Tabla4[[#This Row],[Utilidad Total]]/Tabla4[[#This Row],[Total]]</f>
        <v>#N/A</v>
      </c>
      <c r="P6535" s="282">
        <f>++Tabla4[[#This Row],[Precio Descontado]]*Tabla4[[#This Row],[Cantidad]]</f>
        <v>8133.5819063999998</v>
      </c>
      <c r="Q6535" s="282" t="e">
        <f>(INDEX(Tabla6[#All],MATCH(Tabla4[[#This Row],[Producto]],Tabla6[[#All],[PRODUCTO]],0),MATCH(Tabla4[[#This Row],[Mes]],Tabla6[#Headers],0)))</f>
        <v>#N/A</v>
      </c>
      <c r="R6535" s="282" t="e">
        <f>++Tabla4[[#This Row],[Precio Unitario Neto]]-Tabla4[[#This Row],[20.85%]]-Tabla4[[#This Row],[Costo]]</f>
        <v>#N/A</v>
      </c>
      <c r="S6535" s="282" t="e">
        <f>++Tabla4[[#This Row],[U. Bruta Uni]]*Tabla4[[#This Row],[Cantidad]]</f>
        <v>#N/A</v>
      </c>
      <c r="T6535" s="369" t="str">
        <f>VLOOKUP(Tabla4[[#This Row],[Producto]],Tabla6[#All],14,FALSE)</f>
        <v>Termico Solar</v>
      </c>
      <c r="U6535" s="284" t="e">
        <f>(IF(Tabla4[[#This Row],[Familia]]="termico solar",Tabla4[[#This Row],[Utilidad Total]]*6%,Tabla4[[#This Row],[Utilidad Total]]*11.5%))/Tabla4[[#This Row],[Total]]</f>
        <v>#N/A</v>
      </c>
      <c r="V6535" s="282" t="e">
        <f>+Tabla4[[#This Row],[Comisión Calculada]]*Tabla4[[#This Row],[Total]]</f>
        <v>#N/A</v>
      </c>
    </row>
    <row r="6536" spans="1:22" hidden="1" x14ac:dyDescent="0.25">
      <c r="A6536" s="100">
        <v>45961</v>
      </c>
      <c r="B6536" t="str">
        <f t="shared" si="384"/>
        <v>October</v>
      </c>
      <c r="C6536" s="46" t="s">
        <v>280</v>
      </c>
      <c r="F6536" s="366" t="s">
        <v>3320</v>
      </c>
      <c r="G6536" s="46" t="s">
        <v>17</v>
      </c>
      <c r="H6536" s="46">
        <v>2</v>
      </c>
      <c r="I6536" s="51">
        <v>4622.28</v>
      </c>
      <c r="J6536" s="281">
        <f>++Tabla4[[#This Row],[Precio Bruto]]*1.16</f>
        <v>5361.8447999999989</v>
      </c>
      <c r="K6536" s="281">
        <f>+Tabla4[[#This Row],[Precio Unitario Neto]]*Tabla4[[#Headers],[20.85%]]</f>
        <v>1117.9446407999997</v>
      </c>
      <c r="L6536" s="282">
        <f>++Tabla4[[#This Row],[Precio Unitario Neto]]-Tabla4[[#This Row],[20.85%]]</f>
        <v>4243.9001591999995</v>
      </c>
      <c r="M6536" s="282" t="e">
        <f>(INDEX(Tabla6[#All],MATCH(Tabla4[[#This Row],[Producto]],Tabla6[[#All],[PRODUCTO]],0),MATCH(Tabla4[[#This Row],[Mes]],Tabla6[#Headers],0)))*(1+Catalogos!$L$2)</f>
        <v>#N/A</v>
      </c>
      <c r="N6536" s="283" t="e">
        <f>+(Tabla4[[#This Row],[Precio Descontado]]-Tabla4[[#This Row],[Precio Base]])*Tabla4[[#This Row],[Cantidad]]</f>
        <v>#N/A</v>
      </c>
      <c r="O6536" s="284" t="e">
        <f>++Tabla4[[#This Row],[Utilidad Total]]/Tabla4[[#This Row],[Total]]</f>
        <v>#N/A</v>
      </c>
      <c r="P6536" s="282">
        <f>++Tabla4[[#This Row],[Precio Descontado]]*Tabla4[[#This Row],[Cantidad]]</f>
        <v>8487.800318399999</v>
      </c>
      <c r="Q6536" s="282" t="e">
        <f>(INDEX(Tabla6[#All],MATCH(Tabla4[[#This Row],[Producto]],Tabla6[[#All],[PRODUCTO]],0),MATCH(Tabla4[[#This Row],[Mes]],Tabla6[#Headers],0)))</f>
        <v>#N/A</v>
      </c>
      <c r="R6536" s="282" t="e">
        <f>++Tabla4[[#This Row],[Precio Unitario Neto]]-Tabla4[[#This Row],[20.85%]]-Tabla4[[#This Row],[Costo]]</f>
        <v>#N/A</v>
      </c>
      <c r="S6536" s="282" t="e">
        <f>++Tabla4[[#This Row],[U. Bruta Uni]]*Tabla4[[#This Row],[Cantidad]]</f>
        <v>#N/A</v>
      </c>
      <c r="T6536" s="369" t="str">
        <f>VLOOKUP(Tabla4[[#This Row],[Producto]],Tabla6[#All],14,FALSE)</f>
        <v>Termico Solar</v>
      </c>
      <c r="U6536" s="284" t="e">
        <f>(IF(Tabla4[[#This Row],[Familia]]="termico solar",Tabla4[[#This Row],[Utilidad Total]]*6%,Tabla4[[#This Row],[Utilidad Total]]*11.5%))/Tabla4[[#This Row],[Total]]</f>
        <v>#N/A</v>
      </c>
      <c r="V6536" s="282" t="e">
        <f>+Tabla4[[#This Row],[Comisión Calculada]]*Tabla4[[#This Row],[Total]]</f>
        <v>#N/A</v>
      </c>
    </row>
    <row r="6537" spans="1:22" hidden="1" x14ac:dyDescent="0.25">
      <c r="A6537" s="100">
        <v>45961</v>
      </c>
      <c r="B6537" t="str">
        <f t="shared" si="384"/>
        <v>October</v>
      </c>
      <c r="C6537" s="46" t="s">
        <v>280</v>
      </c>
      <c r="F6537" s="366" t="s">
        <v>3320</v>
      </c>
      <c r="G6537" s="46" t="s">
        <v>18</v>
      </c>
      <c r="H6537" s="46">
        <v>1</v>
      </c>
      <c r="I6537" s="51">
        <v>5367.65</v>
      </c>
      <c r="J6537" s="281">
        <f>++Tabla4[[#This Row],[Precio Bruto]]*1.16</f>
        <v>6226.4739999999993</v>
      </c>
      <c r="K6537" s="281">
        <f>+Tabla4[[#This Row],[Precio Unitario Neto]]*Tabla4[[#Headers],[20.85%]]</f>
        <v>1298.2198289999999</v>
      </c>
      <c r="L6537" s="282">
        <f>++Tabla4[[#This Row],[Precio Unitario Neto]]-Tabla4[[#This Row],[20.85%]]</f>
        <v>4928.2541709999996</v>
      </c>
      <c r="M6537" s="282" t="e">
        <f>(INDEX(Tabla6[#All],MATCH(Tabla4[[#This Row],[Producto]],Tabla6[[#All],[PRODUCTO]],0),MATCH(Tabla4[[#This Row],[Mes]],Tabla6[#Headers],0)))*(1+Catalogos!$L$2)</f>
        <v>#N/A</v>
      </c>
      <c r="N6537" s="283" t="e">
        <f>+(Tabla4[[#This Row],[Precio Descontado]]-Tabla4[[#This Row],[Precio Base]])*Tabla4[[#This Row],[Cantidad]]</f>
        <v>#N/A</v>
      </c>
      <c r="O6537" s="284" t="e">
        <f>++Tabla4[[#This Row],[Utilidad Total]]/Tabla4[[#This Row],[Total]]</f>
        <v>#N/A</v>
      </c>
      <c r="P6537" s="282">
        <f>++Tabla4[[#This Row],[Precio Descontado]]*Tabla4[[#This Row],[Cantidad]]</f>
        <v>4928.2541709999996</v>
      </c>
      <c r="Q6537" s="282" t="e">
        <f>(INDEX(Tabla6[#All],MATCH(Tabla4[[#This Row],[Producto]],Tabla6[[#All],[PRODUCTO]],0),MATCH(Tabla4[[#This Row],[Mes]],Tabla6[#Headers],0)))</f>
        <v>#N/A</v>
      </c>
      <c r="R6537" s="282" t="e">
        <f>++Tabla4[[#This Row],[Precio Unitario Neto]]-Tabla4[[#This Row],[20.85%]]-Tabla4[[#This Row],[Costo]]</f>
        <v>#N/A</v>
      </c>
      <c r="S6537" s="282" t="e">
        <f>++Tabla4[[#This Row],[U. Bruta Uni]]*Tabla4[[#This Row],[Cantidad]]</f>
        <v>#N/A</v>
      </c>
      <c r="T6537" s="369" t="str">
        <f>VLOOKUP(Tabla4[[#This Row],[Producto]],Tabla6[#All],14,FALSE)</f>
        <v>Termico Solar</v>
      </c>
      <c r="U6537" s="284" t="e">
        <f>(IF(Tabla4[[#This Row],[Familia]]="termico solar",Tabla4[[#This Row],[Utilidad Total]]*6%,Tabla4[[#This Row],[Utilidad Total]]*11.5%))/Tabla4[[#This Row],[Total]]</f>
        <v>#N/A</v>
      </c>
      <c r="V6537" s="282" t="e">
        <f>+Tabla4[[#This Row],[Comisión Calculada]]*Tabla4[[#This Row],[Total]]</f>
        <v>#N/A</v>
      </c>
    </row>
    <row r="6538" spans="1:22" hidden="1" x14ac:dyDescent="0.25">
      <c r="A6538" s="100">
        <v>45961</v>
      </c>
      <c r="B6538" t="str">
        <f t="shared" si="384"/>
        <v>October</v>
      </c>
      <c r="C6538" s="46" t="s">
        <v>280</v>
      </c>
      <c r="F6538" s="366" t="s">
        <v>3320</v>
      </c>
      <c r="G6538" s="46" t="s">
        <v>566</v>
      </c>
      <c r="H6538" s="46">
        <v>1</v>
      </c>
      <c r="I6538" s="51">
        <v>2109.4499999999998</v>
      </c>
      <c r="J6538" s="281">
        <f>++Tabla4[[#This Row],[Precio Bruto]]*1.16</f>
        <v>2446.9619999999995</v>
      </c>
      <c r="K6538" s="281">
        <f>+Tabla4[[#This Row],[Precio Unitario Neto]]*Tabla4[[#Headers],[20.85%]]</f>
        <v>510.19157699999988</v>
      </c>
      <c r="L6538" s="282">
        <f>++Tabla4[[#This Row],[Precio Unitario Neto]]-Tabla4[[#This Row],[20.85%]]</f>
        <v>1936.7704229999997</v>
      </c>
      <c r="M6538" s="282" t="e">
        <f>(INDEX(Tabla6[#All],MATCH(Tabla4[[#This Row],[Producto]],Tabla6[[#All],[PRODUCTO]],0),MATCH(Tabla4[[#This Row],[Mes]],Tabla6[#Headers],0)))*(1+Catalogos!$L$2)</f>
        <v>#N/A</v>
      </c>
      <c r="N6538" s="283" t="e">
        <f>+(Tabla4[[#This Row],[Precio Descontado]]-Tabla4[[#This Row],[Precio Base]])*Tabla4[[#This Row],[Cantidad]]</f>
        <v>#N/A</v>
      </c>
      <c r="O6538" s="284" t="e">
        <f>++Tabla4[[#This Row],[Utilidad Total]]/Tabla4[[#This Row],[Total]]</f>
        <v>#N/A</v>
      </c>
      <c r="P6538" s="282">
        <f>++Tabla4[[#This Row],[Precio Descontado]]*Tabla4[[#This Row],[Cantidad]]</f>
        <v>1936.7704229999997</v>
      </c>
      <c r="Q6538" s="282" t="e">
        <f>(INDEX(Tabla6[#All],MATCH(Tabla4[[#This Row],[Producto]],Tabla6[[#All],[PRODUCTO]],0),MATCH(Tabla4[[#This Row],[Mes]],Tabla6[#Headers],0)))</f>
        <v>#N/A</v>
      </c>
      <c r="R6538" s="282" t="e">
        <f>++Tabla4[[#This Row],[Precio Unitario Neto]]-Tabla4[[#This Row],[20.85%]]-Tabla4[[#This Row],[Costo]]</f>
        <v>#N/A</v>
      </c>
      <c r="S6538" s="282" t="e">
        <f>++Tabla4[[#This Row],[U. Bruta Uni]]*Tabla4[[#This Row],[Cantidad]]</f>
        <v>#N/A</v>
      </c>
      <c r="T6538" s="369" t="str">
        <f>VLOOKUP(Tabla4[[#This Row],[Producto]],Tabla6[#All],14,FALSE)</f>
        <v>Termico Solar</v>
      </c>
      <c r="U6538" s="284" t="e">
        <f>(IF(Tabla4[[#This Row],[Familia]]="termico solar",Tabla4[[#This Row],[Utilidad Total]]*6%,Tabla4[[#This Row],[Utilidad Total]]*11.5%))/Tabla4[[#This Row],[Total]]</f>
        <v>#N/A</v>
      </c>
      <c r="V6538" s="282" t="e">
        <f>+Tabla4[[#This Row],[Comisión Calculada]]*Tabla4[[#This Row],[Total]]</f>
        <v>#N/A</v>
      </c>
    </row>
    <row r="6539" spans="1:22" hidden="1" x14ac:dyDescent="0.25">
      <c r="A6539" s="100">
        <v>45961</v>
      </c>
      <c r="B6539" t="str">
        <f t="shared" si="384"/>
        <v>October</v>
      </c>
      <c r="C6539" s="46" t="s">
        <v>280</v>
      </c>
      <c r="F6539" s="366" t="s">
        <v>3320</v>
      </c>
      <c r="G6539" s="46" t="s">
        <v>16</v>
      </c>
      <c r="H6539" s="46">
        <v>1</v>
      </c>
      <c r="I6539" s="51">
        <v>4103.8500000000004</v>
      </c>
      <c r="J6539" s="281">
        <f>++Tabla4[[#This Row],[Precio Bruto]]*1.16</f>
        <v>4760.4660000000003</v>
      </c>
      <c r="K6539" s="281">
        <f>+Tabla4[[#This Row],[Precio Unitario Neto]]*Tabla4[[#Headers],[20.85%]]</f>
        <v>992.55716100000006</v>
      </c>
      <c r="L6539" s="282">
        <f>++Tabla4[[#This Row],[Precio Unitario Neto]]-Tabla4[[#This Row],[20.85%]]</f>
        <v>3767.9088390000002</v>
      </c>
      <c r="M6539" s="282" t="e">
        <f>(INDEX(Tabla6[#All],MATCH(Tabla4[[#This Row],[Producto]],Tabla6[[#All],[PRODUCTO]],0),MATCH(Tabla4[[#This Row],[Mes]],Tabla6[#Headers],0)))*(1+Catalogos!$L$2)</f>
        <v>#N/A</v>
      </c>
      <c r="N6539" s="283" t="e">
        <f>+(Tabla4[[#This Row],[Precio Descontado]]-Tabla4[[#This Row],[Precio Base]])*Tabla4[[#This Row],[Cantidad]]</f>
        <v>#N/A</v>
      </c>
      <c r="O6539" s="284" t="e">
        <f>++Tabla4[[#This Row],[Utilidad Total]]/Tabla4[[#This Row],[Total]]</f>
        <v>#N/A</v>
      </c>
      <c r="P6539" s="282">
        <f>++Tabla4[[#This Row],[Precio Descontado]]*Tabla4[[#This Row],[Cantidad]]</f>
        <v>3767.9088390000002</v>
      </c>
      <c r="Q6539" s="282" t="e">
        <f>(INDEX(Tabla6[#All],MATCH(Tabla4[[#This Row],[Producto]],Tabla6[[#All],[PRODUCTO]],0),MATCH(Tabla4[[#This Row],[Mes]],Tabla6[#Headers],0)))</f>
        <v>#N/A</v>
      </c>
      <c r="R6539" s="282" t="e">
        <f>++Tabla4[[#This Row],[Precio Unitario Neto]]-Tabla4[[#This Row],[20.85%]]-Tabla4[[#This Row],[Costo]]</f>
        <v>#N/A</v>
      </c>
      <c r="S6539" s="282" t="e">
        <f>++Tabla4[[#This Row],[U. Bruta Uni]]*Tabla4[[#This Row],[Cantidad]]</f>
        <v>#N/A</v>
      </c>
      <c r="T6539" s="369" t="str">
        <f>VLOOKUP(Tabla4[[#This Row],[Producto]],Tabla6[#All],14,FALSE)</f>
        <v>Termico Solar</v>
      </c>
      <c r="U6539" s="284" t="e">
        <f>(IF(Tabla4[[#This Row],[Familia]]="termico solar",Tabla4[[#This Row],[Utilidad Total]]*6%,Tabla4[[#This Row],[Utilidad Total]]*11.5%))/Tabla4[[#This Row],[Total]]</f>
        <v>#N/A</v>
      </c>
      <c r="V6539" s="282" t="e">
        <f>+Tabla4[[#This Row],[Comisión Calculada]]*Tabla4[[#This Row],[Total]]</f>
        <v>#N/A</v>
      </c>
    </row>
    <row r="6540" spans="1:22" hidden="1" x14ac:dyDescent="0.25">
      <c r="A6540" s="100">
        <v>45961</v>
      </c>
      <c r="B6540" t="str">
        <f t="shared" si="384"/>
        <v>October</v>
      </c>
      <c r="C6540" s="46" t="s">
        <v>280</v>
      </c>
      <c r="F6540" s="366" t="s">
        <v>3320</v>
      </c>
      <c r="G6540" s="46" t="s">
        <v>208</v>
      </c>
      <c r="H6540" s="46">
        <v>2</v>
      </c>
      <c r="I6540" s="51">
        <v>189.75</v>
      </c>
      <c r="J6540" s="281">
        <f>++Tabla4[[#This Row],[Precio Bruto]]*1.16</f>
        <v>220.10999999999999</v>
      </c>
      <c r="K6540" s="281">
        <f>+Tabla4[[#This Row],[Precio Unitario Neto]]*Tabla4[[#Headers],[20.85%]]</f>
        <v>45.892934999999994</v>
      </c>
      <c r="L6540" s="282">
        <f>++Tabla4[[#This Row],[Precio Unitario Neto]]-Tabla4[[#This Row],[20.85%]]</f>
        <v>174.21706499999999</v>
      </c>
      <c r="M6540" s="282" t="e">
        <f>(INDEX(Tabla6[#All],MATCH(Tabla4[[#This Row],[Producto]],Tabla6[[#All],[PRODUCTO]],0),MATCH(Tabla4[[#This Row],[Mes]],Tabla6[#Headers],0)))*(1+Catalogos!$L$2)</f>
        <v>#N/A</v>
      </c>
      <c r="N6540" s="283" t="e">
        <f>+(Tabla4[[#This Row],[Precio Descontado]]-Tabla4[[#This Row],[Precio Base]])*Tabla4[[#This Row],[Cantidad]]</f>
        <v>#N/A</v>
      </c>
      <c r="O6540" s="284" t="e">
        <f>++Tabla4[[#This Row],[Utilidad Total]]/Tabla4[[#This Row],[Total]]</f>
        <v>#N/A</v>
      </c>
      <c r="P6540" s="282">
        <f>++Tabla4[[#This Row],[Precio Descontado]]*Tabla4[[#This Row],[Cantidad]]</f>
        <v>348.43412999999998</v>
      </c>
      <c r="Q6540" s="282" t="e">
        <f>(INDEX(Tabla6[#All],MATCH(Tabla4[[#This Row],[Producto]],Tabla6[[#All],[PRODUCTO]],0),MATCH(Tabla4[[#This Row],[Mes]],Tabla6[#Headers],0)))</f>
        <v>#N/A</v>
      </c>
      <c r="R6540" s="282" t="e">
        <f>++Tabla4[[#This Row],[Precio Unitario Neto]]-Tabla4[[#This Row],[20.85%]]-Tabla4[[#This Row],[Costo]]</f>
        <v>#N/A</v>
      </c>
      <c r="S6540" s="282" t="e">
        <f>++Tabla4[[#This Row],[U. Bruta Uni]]*Tabla4[[#This Row],[Cantidad]]</f>
        <v>#N/A</v>
      </c>
      <c r="T6540" s="369" t="str">
        <f>VLOOKUP(Tabla4[[#This Row],[Producto]],Tabla6[#All],14,FALSE)</f>
        <v>Termico Solar</v>
      </c>
      <c r="U6540" s="284" t="e">
        <f>(IF(Tabla4[[#This Row],[Familia]]="termico solar",Tabla4[[#This Row],[Utilidad Total]]*6%,Tabla4[[#This Row],[Utilidad Total]]*11.5%))/Tabla4[[#This Row],[Total]]</f>
        <v>#N/A</v>
      </c>
      <c r="V6540" s="282" t="e">
        <f>+Tabla4[[#This Row],[Comisión Calculada]]*Tabla4[[#This Row],[Total]]</f>
        <v>#N/A</v>
      </c>
    </row>
    <row r="6541" spans="1:22" hidden="1" x14ac:dyDescent="0.25">
      <c r="A6541" s="100">
        <v>45961</v>
      </c>
      <c r="B6541" t="str">
        <f t="shared" ref="B6541:B6542" si="385">TEXT(A6541, "mmmm")</f>
        <v>October</v>
      </c>
      <c r="C6541" s="46" t="s">
        <v>280</v>
      </c>
      <c r="F6541" s="366" t="s">
        <v>3321</v>
      </c>
      <c r="G6541" s="46" t="s">
        <v>83</v>
      </c>
      <c r="H6541" s="46">
        <v>1</v>
      </c>
      <c r="I6541" s="51">
        <v>8858.76</v>
      </c>
      <c r="J6541" s="281">
        <f>++Tabla4[[#This Row],[Precio Bruto]]*1.16</f>
        <v>10276.161599999999</v>
      </c>
      <c r="K6541" s="281">
        <f>+Tabla4[[#This Row],[Precio Unitario Neto]]*Tabla4[[#Headers],[20.85%]]</f>
        <v>2142.5796935999997</v>
      </c>
      <c r="L6541" s="282">
        <f>++Tabla4[[#This Row],[Precio Unitario Neto]]-Tabla4[[#This Row],[20.85%]]</f>
        <v>8133.5819063999998</v>
      </c>
      <c r="M6541" s="282" t="e">
        <f>(INDEX(Tabla6[#All],MATCH(Tabla4[[#This Row],[Producto]],Tabla6[[#All],[PRODUCTO]],0),MATCH(Tabla4[[#This Row],[Mes]],Tabla6[#Headers],0)))*(1+Catalogos!$L$2)</f>
        <v>#N/A</v>
      </c>
      <c r="N6541" s="283" t="e">
        <f>+(Tabla4[[#This Row],[Precio Descontado]]-Tabla4[[#This Row],[Precio Base]])*Tabla4[[#This Row],[Cantidad]]</f>
        <v>#N/A</v>
      </c>
      <c r="O6541" s="284" t="e">
        <f>++Tabla4[[#This Row],[Utilidad Total]]/Tabla4[[#This Row],[Total]]</f>
        <v>#N/A</v>
      </c>
      <c r="P6541" s="282">
        <f>++Tabla4[[#This Row],[Precio Descontado]]*Tabla4[[#This Row],[Cantidad]]</f>
        <v>8133.5819063999998</v>
      </c>
      <c r="Q6541" s="282" t="e">
        <f>(INDEX(Tabla6[#All],MATCH(Tabla4[[#This Row],[Producto]],Tabla6[[#All],[PRODUCTO]],0),MATCH(Tabla4[[#This Row],[Mes]],Tabla6[#Headers],0)))</f>
        <v>#N/A</v>
      </c>
      <c r="R6541" s="282" t="e">
        <f>++Tabla4[[#This Row],[Precio Unitario Neto]]-Tabla4[[#This Row],[20.85%]]-Tabla4[[#This Row],[Costo]]</f>
        <v>#N/A</v>
      </c>
      <c r="S6541" s="282" t="e">
        <f>++Tabla4[[#This Row],[U. Bruta Uni]]*Tabla4[[#This Row],[Cantidad]]</f>
        <v>#N/A</v>
      </c>
      <c r="T6541" s="369" t="str">
        <f>VLOOKUP(Tabla4[[#This Row],[Producto]],Tabla6[#All],14,FALSE)</f>
        <v>Termico Solar</v>
      </c>
      <c r="U6541" s="284" t="e">
        <f>(IF(Tabla4[[#This Row],[Familia]]="termico solar",Tabla4[[#This Row],[Utilidad Total]]*6%,Tabla4[[#This Row],[Utilidad Total]]*11.5%))/Tabla4[[#This Row],[Total]]</f>
        <v>#N/A</v>
      </c>
      <c r="V6541" s="282" t="e">
        <f>+Tabla4[[#This Row],[Comisión Calculada]]*Tabla4[[#This Row],[Total]]</f>
        <v>#N/A</v>
      </c>
    </row>
    <row r="6542" spans="1:22" hidden="1" x14ac:dyDescent="0.25">
      <c r="A6542" s="100">
        <v>45961</v>
      </c>
      <c r="B6542" t="str">
        <f t="shared" si="385"/>
        <v>October</v>
      </c>
      <c r="C6542" s="46" t="s">
        <v>280</v>
      </c>
      <c r="F6542" s="366" t="s">
        <v>3321</v>
      </c>
      <c r="G6542" s="46" t="s">
        <v>18</v>
      </c>
      <c r="H6542" s="46">
        <v>3</v>
      </c>
      <c r="I6542" s="51">
        <v>5367.6500000000005</v>
      </c>
      <c r="J6542" s="281">
        <f>++Tabla4[[#This Row],[Precio Bruto]]*1.16</f>
        <v>6226.4740000000002</v>
      </c>
      <c r="K6542" s="281">
        <f>+Tabla4[[#This Row],[Precio Unitario Neto]]*Tabla4[[#Headers],[20.85%]]</f>
        <v>1298.2198289999999</v>
      </c>
      <c r="L6542" s="282">
        <f>++Tabla4[[#This Row],[Precio Unitario Neto]]-Tabla4[[#This Row],[20.85%]]</f>
        <v>4928.2541710000005</v>
      </c>
      <c r="M6542" s="282" t="e">
        <f>(INDEX(Tabla6[#All],MATCH(Tabla4[[#This Row],[Producto]],Tabla6[[#All],[PRODUCTO]],0),MATCH(Tabla4[[#This Row],[Mes]],Tabla6[#Headers],0)))*(1+Catalogos!$L$2)</f>
        <v>#N/A</v>
      </c>
      <c r="N6542" s="283" t="e">
        <f>+(Tabla4[[#This Row],[Precio Descontado]]-Tabla4[[#This Row],[Precio Base]])*Tabla4[[#This Row],[Cantidad]]</f>
        <v>#N/A</v>
      </c>
      <c r="O6542" s="284" t="e">
        <f>++Tabla4[[#This Row],[Utilidad Total]]/Tabla4[[#This Row],[Total]]</f>
        <v>#N/A</v>
      </c>
      <c r="P6542" s="282">
        <f>++Tabla4[[#This Row],[Precio Descontado]]*Tabla4[[#This Row],[Cantidad]]</f>
        <v>14784.762513000001</v>
      </c>
      <c r="Q6542" s="282" t="e">
        <f>(INDEX(Tabla6[#All],MATCH(Tabla4[[#This Row],[Producto]],Tabla6[[#All],[PRODUCTO]],0),MATCH(Tabla4[[#This Row],[Mes]],Tabla6[#Headers],0)))</f>
        <v>#N/A</v>
      </c>
      <c r="R6542" s="282" t="e">
        <f>++Tabla4[[#This Row],[Precio Unitario Neto]]-Tabla4[[#This Row],[20.85%]]-Tabla4[[#This Row],[Costo]]</f>
        <v>#N/A</v>
      </c>
      <c r="S6542" s="282" t="e">
        <f>++Tabla4[[#This Row],[U. Bruta Uni]]*Tabla4[[#This Row],[Cantidad]]</f>
        <v>#N/A</v>
      </c>
      <c r="T6542" s="369" t="str">
        <f>VLOOKUP(Tabla4[[#This Row],[Producto]],Tabla6[#All],14,FALSE)</f>
        <v>Termico Solar</v>
      </c>
      <c r="U6542" s="284" t="e">
        <f>(IF(Tabla4[[#This Row],[Familia]]="termico solar",Tabla4[[#This Row],[Utilidad Total]]*6%,Tabla4[[#This Row],[Utilidad Total]]*11.5%))/Tabla4[[#This Row],[Total]]</f>
        <v>#N/A</v>
      </c>
      <c r="V6542" s="282" t="e">
        <f>+Tabla4[[#This Row],[Comisión Calculada]]*Tabla4[[#This Row],[Total]]</f>
        <v>#N/A</v>
      </c>
    </row>
    <row r="6543" spans="1:22" hidden="1" x14ac:dyDescent="0.25">
      <c r="A6543" s="100">
        <v>45961</v>
      </c>
      <c r="B6543" t="str">
        <f>TEXT(A6543, "mmmm")</f>
        <v>October</v>
      </c>
      <c r="C6543" s="46" t="s">
        <v>280</v>
      </c>
      <c r="F6543" s="366" t="s">
        <v>3322</v>
      </c>
      <c r="G6543" s="46" t="s">
        <v>17</v>
      </c>
      <c r="H6543" s="46">
        <v>2</v>
      </c>
      <c r="I6543" s="51">
        <v>4622.28</v>
      </c>
      <c r="J6543" s="281">
        <f>++Tabla4[[#This Row],[Precio Bruto]]*1.16</f>
        <v>5361.8447999999989</v>
      </c>
      <c r="K6543" s="281">
        <f>+Tabla4[[#This Row],[Precio Unitario Neto]]*Tabla4[[#Headers],[20.85%]]</f>
        <v>1117.9446407999997</v>
      </c>
      <c r="L6543" s="282">
        <f>++Tabla4[[#This Row],[Precio Unitario Neto]]-Tabla4[[#This Row],[20.85%]]</f>
        <v>4243.9001591999995</v>
      </c>
      <c r="M6543" s="282" t="e">
        <f>(INDEX(Tabla6[#All],MATCH(Tabla4[[#This Row],[Producto]],Tabla6[[#All],[PRODUCTO]],0),MATCH(Tabla4[[#This Row],[Mes]],Tabla6[#Headers],0)))*(1+Catalogos!$L$2)</f>
        <v>#N/A</v>
      </c>
      <c r="N6543" s="283" t="e">
        <f>+(Tabla4[[#This Row],[Precio Descontado]]-Tabla4[[#This Row],[Precio Base]])*Tabla4[[#This Row],[Cantidad]]</f>
        <v>#N/A</v>
      </c>
      <c r="O6543" s="284" t="e">
        <f>++Tabla4[[#This Row],[Utilidad Total]]/Tabla4[[#This Row],[Total]]</f>
        <v>#N/A</v>
      </c>
      <c r="P6543" s="282">
        <f>++Tabla4[[#This Row],[Precio Descontado]]*Tabla4[[#This Row],[Cantidad]]</f>
        <v>8487.800318399999</v>
      </c>
      <c r="Q6543" s="282" t="e">
        <f>(INDEX(Tabla6[#All],MATCH(Tabla4[[#This Row],[Producto]],Tabla6[[#All],[PRODUCTO]],0),MATCH(Tabla4[[#This Row],[Mes]],Tabla6[#Headers],0)))</f>
        <v>#N/A</v>
      </c>
      <c r="R6543" s="282" t="e">
        <f>++Tabla4[[#This Row],[Precio Unitario Neto]]-Tabla4[[#This Row],[20.85%]]-Tabla4[[#This Row],[Costo]]</f>
        <v>#N/A</v>
      </c>
      <c r="S6543" s="282" t="e">
        <f>++Tabla4[[#This Row],[U. Bruta Uni]]*Tabla4[[#This Row],[Cantidad]]</f>
        <v>#N/A</v>
      </c>
      <c r="T6543" s="369" t="str">
        <f>VLOOKUP(Tabla4[[#This Row],[Producto]],Tabla6[#All],14,FALSE)</f>
        <v>Termico Solar</v>
      </c>
      <c r="U6543" s="284" t="e">
        <f>(IF(Tabla4[[#This Row],[Familia]]="termico solar",Tabla4[[#This Row],[Utilidad Total]]*6%,Tabla4[[#This Row],[Utilidad Total]]*11.5%))/Tabla4[[#This Row],[Total]]</f>
        <v>#N/A</v>
      </c>
      <c r="V6543" s="282" t="e">
        <f>+Tabla4[[#This Row],[Comisión Calculada]]*Tabla4[[#This Row],[Total]]</f>
        <v>#N/A</v>
      </c>
    </row>
    <row r="6544" spans="1:22" hidden="1" x14ac:dyDescent="0.25">
      <c r="A6544" s="100">
        <v>45961</v>
      </c>
      <c r="B6544" t="str">
        <f t="shared" ref="B6544:B6546" si="386">TEXT(A6544, "mmmm")</f>
        <v>October</v>
      </c>
      <c r="C6544" s="46" t="s">
        <v>280</v>
      </c>
      <c r="F6544" s="366" t="s">
        <v>3323</v>
      </c>
      <c r="G6544" s="46" t="s">
        <v>17</v>
      </c>
      <c r="H6544" s="46">
        <v>1</v>
      </c>
      <c r="I6544" s="51">
        <v>4622.28</v>
      </c>
      <c r="J6544" s="281">
        <f>++Tabla4[[#This Row],[Precio Bruto]]*1.16</f>
        <v>5361.8447999999989</v>
      </c>
      <c r="K6544" s="281">
        <f>+Tabla4[[#This Row],[Precio Unitario Neto]]*Tabla4[[#Headers],[20.85%]]</f>
        <v>1117.9446407999997</v>
      </c>
      <c r="L6544" s="282">
        <f>++Tabla4[[#This Row],[Precio Unitario Neto]]-Tabla4[[#This Row],[20.85%]]</f>
        <v>4243.9001591999995</v>
      </c>
      <c r="M6544" s="282" t="e">
        <f>(INDEX(Tabla6[#All],MATCH(Tabla4[[#This Row],[Producto]],Tabla6[[#All],[PRODUCTO]],0),MATCH(Tabla4[[#This Row],[Mes]],Tabla6[#Headers],0)))*(1+Catalogos!$L$2)</f>
        <v>#N/A</v>
      </c>
      <c r="N6544" s="283" t="e">
        <f>+(Tabla4[[#This Row],[Precio Descontado]]-Tabla4[[#This Row],[Precio Base]])*Tabla4[[#This Row],[Cantidad]]</f>
        <v>#N/A</v>
      </c>
      <c r="O6544" s="284" t="e">
        <f>++Tabla4[[#This Row],[Utilidad Total]]/Tabla4[[#This Row],[Total]]</f>
        <v>#N/A</v>
      </c>
      <c r="P6544" s="282">
        <f>++Tabla4[[#This Row],[Precio Descontado]]*Tabla4[[#This Row],[Cantidad]]</f>
        <v>4243.9001591999995</v>
      </c>
      <c r="Q6544" s="282" t="e">
        <f>(INDEX(Tabla6[#All],MATCH(Tabla4[[#This Row],[Producto]],Tabla6[[#All],[PRODUCTO]],0),MATCH(Tabla4[[#This Row],[Mes]],Tabla6[#Headers],0)))</f>
        <v>#N/A</v>
      </c>
      <c r="R6544" s="282" t="e">
        <f>++Tabla4[[#This Row],[Precio Unitario Neto]]-Tabla4[[#This Row],[20.85%]]-Tabla4[[#This Row],[Costo]]</f>
        <v>#N/A</v>
      </c>
      <c r="S6544" s="282" t="e">
        <f>++Tabla4[[#This Row],[U. Bruta Uni]]*Tabla4[[#This Row],[Cantidad]]</f>
        <v>#N/A</v>
      </c>
      <c r="T6544" s="369" t="str">
        <f>VLOOKUP(Tabla4[[#This Row],[Producto]],Tabla6[#All],14,FALSE)</f>
        <v>Termico Solar</v>
      </c>
      <c r="U6544" s="284" t="e">
        <f>(IF(Tabla4[[#This Row],[Familia]]="termico solar",Tabla4[[#This Row],[Utilidad Total]]*6%,Tabla4[[#This Row],[Utilidad Total]]*11.5%))/Tabla4[[#This Row],[Total]]</f>
        <v>#N/A</v>
      </c>
      <c r="V6544" s="282" t="e">
        <f>+Tabla4[[#This Row],[Comisión Calculada]]*Tabla4[[#This Row],[Total]]</f>
        <v>#N/A</v>
      </c>
    </row>
    <row r="6545" spans="1:22" hidden="1" x14ac:dyDescent="0.25">
      <c r="A6545" s="100">
        <v>45961</v>
      </c>
      <c r="B6545" t="str">
        <f t="shared" si="386"/>
        <v>October</v>
      </c>
      <c r="C6545" s="46" t="s">
        <v>280</v>
      </c>
      <c r="F6545" s="366" t="s">
        <v>3323</v>
      </c>
      <c r="G6545" s="46" t="s">
        <v>18</v>
      </c>
      <c r="H6545" s="46">
        <v>3</v>
      </c>
      <c r="I6545" s="51">
        <v>5367.6500000000005</v>
      </c>
      <c r="J6545" s="281">
        <f>++Tabla4[[#This Row],[Precio Bruto]]*1.16</f>
        <v>6226.4740000000002</v>
      </c>
      <c r="K6545" s="281">
        <f>+Tabla4[[#This Row],[Precio Unitario Neto]]*Tabla4[[#Headers],[20.85%]]</f>
        <v>1298.2198289999999</v>
      </c>
      <c r="L6545" s="282">
        <f>++Tabla4[[#This Row],[Precio Unitario Neto]]-Tabla4[[#This Row],[20.85%]]</f>
        <v>4928.2541710000005</v>
      </c>
      <c r="M6545" s="282" t="e">
        <f>(INDEX(Tabla6[#All],MATCH(Tabla4[[#This Row],[Producto]],Tabla6[[#All],[PRODUCTO]],0),MATCH(Tabla4[[#This Row],[Mes]],Tabla6[#Headers],0)))*(1+Catalogos!$L$2)</f>
        <v>#N/A</v>
      </c>
      <c r="N6545" s="283" t="e">
        <f>+(Tabla4[[#This Row],[Precio Descontado]]-Tabla4[[#This Row],[Precio Base]])*Tabla4[[#This Row],[Cantidad]]</f>
        <v>#N/A</v>
      </c>
      <c r="O6545" s="284" t="e">
        <f>++Tabla4[[#This Row],[Utilidad Total]]/Tabla4[[#This Row],[Total]]</f>
        <v>#N/A</v>
      </c>
      <c r="P6545" s="282">
        <f>++Tabla4[[#This Row],[Precio Descontado]]*Tabla4[[#This Row],[Cantidad]]</f>
        <v>14784.762513000001</v>
      </c>
      <c r="Q6545" s="282" t="e">
        <f>(INDEX(Tabla6[#All],MATCH(Tabla4[[#This Row],[Producto]],Tabla6[[#All],[PRODUCTO]],0),MATCH(Tabla4[[#This Row],[Mes]],Tabla6[#Headers],0)))</f>
        <v>#N/A</v>
      </c>
      <c r="R6545" s="282" t="e">
        <f>++Tabla4[[#This Row],[Precio Unitario Neto]]-Tabla4[[#This Row],[20.85%]]-Tabla4[[#This Row],[Costo]]</f>
        <v>#N/A</v>
      </c>
      <c r="S6545" s="282" t="e">
        <f>++Tabla4[[#This Row],[U. Bruta Uni]]*Tabla4[[#This Row],[Cantidad]]</f>
        <v>#N/A</v>
      </c>
      <c r="T6545" s="369" t="str">
        <f>VLOOKUP(Tabla4[[#This Row],[Producto]],Tabla6[#All],14,FALSE)</f>
        <v>Termico Solar</v>
      </c>
      <c r="U6545" s="284" t="e">
        <f>(IF(Tabla4[[#This Row],[Familia]]="termico solar",Tabla4[[#This Row],[Utilidad Total]]*6%,Tabla4[[#This Row],[Utilidad Total]]*11.5%))/Tabla4[[#This Row],[Total]]</f>
        <v>#N/A</v>
      </c>
      <c r="V6545" s="282" t="e">
        <f>+Tabla4[[#This Row],[Comisión Calculada]]*Tabla4[[#This Row],[Total]]</f>
        <v>#N/A</v>
      </c>
    </row>
    <row r="6546" spans="1:22" hidden="1" x14ac:dyDescent="0.25">
      <c r="A6546" s="100">
        <v>45961</v>
      </c>
      <c r="B6546" t="str">
        <f t="shared" si="386"/>
        <v>October</v>
      </c>
      <c r="C6546" s="46" t="s">
        <v>280</v>
      </c>
      <c r="F6546" s="366" t="s">
        <v>3323</v>
      </c>
      <c r="G6546" s="46" t="s">
        <v>566</v>
      </c>
      <c r="H6546" s="46">
        <v>1</v>
      </c>
      <c r="I6546" s="51">
        <v>2109.4499999999998</v>
      </c>
      <c r="J6546" s="281">
        <f>++Tabla4[[#This Row],[Precio Bruto]]*1.16</f>
        <v>2446.9619999999995</v>
      </c>
      <c r="K6546" s="281">
        <f>+Tabla4[[#This Row],[Precio Unitario Neto]]*Tabla4[[#Headers],[20.85%]]</f>
        <v>510.19157699999988</v>
      </c>
      <c r="L6546" s="282">
        <f>++Tabla4[[#This Row],[Precio Unitario Neto]]-Tabla4[[#This Row],[20.85%]]</f>
        <v>1936.7704229999997</v>
      </c>
      <c r="M6546" s="282" t="e">
        <f>(INDEX(Tabla6[#All],MATCH(Tabla4[[#This Row],[Producto]],Tabla6[[#All],[PRODUCTO]],0),MATCH(Tabla4[[#This Row],[Mes]],Tabla6[#Headers],0)))*(1+Catalogos!$L$2)</f>
        <v>#N/A</v>
      </c>
      <c r="N6546" s="283" t="e">
        <f>+(Tabla4[[#This Row],[Precio Descontado]]-Tabla4[[#This Row],[Precio Base]])*Tabla4[[#This Row],[Cantidad]]</f>
        <v>#N/A</v>
      </c>
      <c r="O6546" s="284" t="e">
        <f>++Tabla4[[#This Row],[Utilidad Total]]/Tabla4[[#This Row],[Total]]</f>
        <v>#N/A</v>
      </c>
      <c r="P6546" s="282">
        <f>++Tabla4[[#This Row],[Precio Descontado]]*Tabla4[[#This Row],[Cantidad]]</f>
        <v>1936.7704229999997</v>
      </c>
      <c r="Q6546" s="282" t="e">
        <f>(INDEX(Tabla6[#All],MATCH(Tabla4[[#This Row],[Producto]],Tabla6[[#All],[PRODUCTO]],0),MATCH(Tabla4[[#This Row],[Mes]],Tabla6[#Headers],0)))</f>
        <v>#N/A</v>
      </c>
      <c r="R6546" s="282" t="e">
        <f>++Tabla4[[#This Row],[Precio Unitario Neto]]-Tabla4[[#This Row],[20.85%]]-Tabla4[[#This Row],[Costo]]</f>
        <v>#N/A</v>
      </c>
      <c r="S6546" s="282" t="e">
        <f>++Tabla4[[#This Row],[U. Bruta Uni]]*Tabla4[[#This Row],[Cantidad]]</f>
        <v>#N/A</v>
      </c>
      <c r="T6546" s="369" t="str">
        <f>VLOOKUP(Tabla4[[#This Row],[Producto]],Tabla6[#All],14,FALSE)</f>
        <v>Termico Solar</v>
      </c>
      <c r="U6546" s="284" t="e">
        <f>(IF(Tabla4[[#This Row],[Familia]]="termico solar",Tabla4[[#This Row],[Utilidad Total]]*6%,Tabla4[[#This Row],[Utilidad Total]]*11.5%))/Tabla4[[#This Row],[Total]]</f>
        <v>#N/A</v>
      </c>
      <c r="V6546" s="282" t="e">
        <f>+Tabla4[[#This Row],[Comisión Calculada]]*Tabla4[[#This Row],[Total]]</f>
        <v>#N/A</v>
      </c>
    </row>
    <row r="6547" spans="1:22" hidden="1" x14ac:dyDescent="0.25">
      <c r="A6547" s="100">
        <v>45961</v>
      </c>
      <c r="B6547" t="str">
        <f t="shared" ref="B6547:B6551" si="387">TEXT(A6547, "mmmm")</f>
        <v>October</v>
      </c>
      <c r="C6547" s="46" t="s">
        <v>280</v>
      </c>
      <c r="F6547" s="366" t="s">
        <v>3324</v>
      </c>
      <c r="G6547" s="46" t="s">
        <v>18</v>
      </c>
      <c r="H6547" s="46">
        <v>1</v>
      </c>
      <c r="I6547" s="51">
        <v>5367.65</v>
      </c>
      <c r="J6547" s="281">
        <f>++Tabla4[[#This Row],[Precio Bruto]]*1.16</f>
        <v>6226.4739999999993</v>
      </c>
      <c r="K6547" s="281">
        <f>+Tabla4[[#This Row],[Precio Unitario Neto]]*Tabla4[[#Headers],[20.85%]]</f>
        <v>1298.2198289999999</v>
      </c>
      <c r="L6547" s="282">
        <f>++Tabla4[[#This Row],[Precio Unitario Neto]]-Tabla4[[#This Row],[20.85%]]</f>
        <v>4928.2541709999996</v>
      </c>
      <c r="M6547" s="282" t="e">
        <f>(INDEX(Tabla6[#All],MATCH(Tabla4[[#This Row],[Producto]],Tabla6[[#All],[PRODUCTO]],0),MATCH(Tabla4[[#This Row],[Mes]],Tabla6[#Headers],0)))*(1+Catalogos!$L$2)</f>
        <v>#N/A</v>
      </c>
      <c r="N6547" s="283" t="e">
        <f>+(Tabla4[[#This Row],[Precio Descontado]]-Tabla4[[#This Row],[Precio Base]])*Tabla4[[#This Row],[Cantidad]]</f>
        <v>#N/A</v>
      </c>
      <c r="O6547" s="284" t="e">
        <f>++Tabla4[[#This Row],[Utilidad Total]]/Tabla4[[#This Row],[Total]]</f>
        <v>#N/A</v>
      </c>
      <c r="P6547" s="282">
        <f>++Tabla4[[#This Row],[Precio Descontado]]*Tabla4[[#This Row],[Cantidad]]</f>
        <v>4928.2541709999996</v>
      </c>
      <c r="Q6547" s="282" t="e">
        <f>(INDEX(Tabla6[#All],MATCH(Tabla4[[#This Row],[Producto]],Tabla6[[#All],[PRODUCTO]],0),MATCH(Tabla4[[#This Row],[Mes]],Tabla6[#Headers],0)))</f>
        <v>#N/A</v>
      </c>
      <c r="R6547" s="282" t="e">
        <f>++Tabla4[[#This Row],[Precio Unitario Neto]]-Tabla4[[#This Row],[20.85%]]-Tabla4[[#This Row],[Costo]]</f>
        <v>#N/A</v>
      </c>
      <c r="S6547" s="282" t="e">
        <f>++Tabla4[[#This Row],[U. Bruta Uni]]*Tabla4[[#This Row],[Cantidad]]</f>
        <v>#N/A</v>
      </c>
      <c r="T6547" s="369" t="str">
        <f>VLOOKUP(Tabla4[[#This Row],[Producto]],Tabla6[#All],14,FALSE)</f>
        <v>Termico Solar</v>
      </c>
      <c r="U6547" s="284" t="e">
        <f>(IF(Tabla4[[#This Row],[Familia]]="termico solar",Tabla4[[#This Row],[Utilidad Total]]*6%,Tabla4[[#This Row],[Utilidad Total]]*11.5%))/Tabla4[[#This Row],[Total]]</f>
        <v>#N/A</v>
      </c>
      <c r="V6547" s="282" t="e">
        <f>+Tabla4[[#This Row],[Comisión Calculada]]*Tabla4[[#This Row],[Total]]</f>
        <v>#N/A</v>
      </c>
    </row>
    <row r="6548" spans="1:22" hidden="1" x14ac:dyDescent="0.25">
      <c r="A6548" s="100">
        <v>45961</v>
      </c>
      <c r="B6548" t="str">
        <f t="shared" si="387"/>
        <v>October</v>
      </c>
      <c r="C6548" s="46" t="s">
        <v>280</v>
      </c>
      <c r="F6548" s="366" t="s">
        <v>3324</v>
      </c>
      <c r="G6548" s="46" t="s">
        <v>566</v>
      </c>
      <c r="H6548" s="46">
        <v>1</v>
      </c>
      <c r="I6548" s="51">
        <v>2109.4499999999998</v>
      </c>
      <c r="J6548" s="281">
        <f>++Tabla4[[#This Row],[Precio Bruto]]*1.16</f>
        <v>2446.9619999999995</v>
      </c>
      <c r="K6548" s="281">
        <f>+Tabla4[[#This Row],[Precio Unitario Neto]]*Tabla4[[#Headers],[20.85%]]</f>
        <v>510.19157699999988</v>
      </c>
      <c r="L6548" s="282">
        <f>++Tabla4[[#This Row],[Precio Unitario Neto]]-Tabla4[[#This Row],[20.85%]]</f>
        <v>1936.7704229999997</v>
      </c>
      <c r="M6548" s="282" t="e">
        <f>(INDEX(Tabla6[#All],MATCH(Tabla4[[#This Row],[Producto]],Tabla6[[#All],[PRODUCTO]],0),MATCH(Tabla4[[#This Row],[Mes]],Tabla6[#Headers],0)))*(1+Catalogos!$L$2)</f>
        <v>#N/A</v>
      </c>
      <c r="N6548" s="283" t="e">
        <f>+(Tabla4[[#This Row],[Precio Descontado]]-Tabla4[[#This Row],[Precio Base]])*Tabla4[[#This Row],[Cantidad]]</f>
        <v>#N/A</v>
      </c>
      <c r="O6548" s="284" t="e">
        <f>++Tabla4[[#This Row],[Utilidad Total]]/Tabla4[[#This Row],[Total]]</f>
        <v>#N/A</v>
      </c>
      <c r="P6548" s="282">
        <f>++Tabla4[[#This Row],[Precio Descontado]]*Tabla4[[#This Row],[Cantidad]]</f>
        <v>1936.7704229999997</v>
      </c>
      <c r="Q6548" s="282" t="e">
        <f>(INDEX(Tabla6[#All],MATCH(Tabla4[[#This Row],[Producto]],Tabla6[[#All],[PRODUCTO]],0),MATCH(Tabla4[[#This Row],[Mes]],Tabla6[#Headers],0)))</f>
        <v>#N/A</v>
      </c>
      <c r="R6548" s="282" t="e">
        <f>++Tabla4[[#This Row],[Precio Unitario Neto]]-Tabla4[[#This Row],[20.85%]]-Tabla4[[#This Row],[Costo]]</f>
        <v>#N/A</v>
      </c>
      <c r="S6548" s="282" t="e">
        <f>++Tabla4[[#This Row],[U. Bruta Uni]]*Tabla4[[#This Row],[Cantidad]]</f>
        <v>#N/A</v>
      </c>
      <c r="T6548" s="369" t="str">
        <f>VLOOKUP(Tabla4[[#This Row],[Producto]],Tabla6[#All],14,FALSE)</f>
        <v>Termico Solar</v>
      </c>
      <c r="U6548" s="284" t="e">
        <f>(IF(Tabla4[[#This Row],[Familia]]="termico solar",Tabla4[[#This Row],[Utilidad Total]]*6%,Tabla4[[#This Row],[Utilidad Total]]*11.5%))/Tabla4[[#This Row],[Total]]</f>
        <v>#N/A</v>
      </c>
      <c r="V6548" s="282" t="e">
        <f>+Tabla4[[#This Row],[Comisión Calculada]]*Tabla4[[#This Row],[Total]]</f>
        <v>#N/A</v>
      </c>
    </row>
    <row r="6549" spans="1:22" hidden="1" x14ac:dyDescent="0.25">
      <c r="A6549" s="100">
        <v>45961</v>
      </c>
      <c r="B6549" t="str">
        <f t="shared" si="387"/>
        <v>October</v>
      </c>
      <c r="C6549" s="46" t="s">
        <v>280</v>
      </c>
      <c r="F6549" s="366" t="s">
        <v>3324</v>
      </c>
      <c r="G6549" s="46" t="s">
        <v>412</v>
      </c>
      <c r="H6549" s="46">
        <v>1</v>
      </c>
      <c r="I6549" s="51">
        <v>3240.84</v>
      </c>
      <c r="J6549" s="281">
        <f>++Tabla4[[#This Row],[Precio Bruto]]*1.16</f>
        <v>3759.3743999999997</v>
      </c>
      <c r="K6549" s="281">
        <f>+Tabla4[[#This Row],[Precio Unitario Neto]]*Tabla4[[#Headers],[20.85%]]</f>
        <v>783.82956239999987</v>
      </c>
      <c r="L6549" s="282">
        <f>++Tabla4[[#This Row],[Precio Unitario Neto]]-Tabla4[[#This Row],[20.85%]]</f>
        <v>2975.5448375999999</v>
      </c>
      <c r="M6549" s="282" t="e">
        <f>(INDEX(Tabla6[#All],MATCH(Tabla4[[#This Row],[Producto]],Tabla6[[#All],[PRODUCTO]],0),MATCH(Tabla4[[#This Row],[Mes]],Tabla6[#Headers],0)))*(1+Catalogos!$L$2)</f>
        <v>#N/A</v>
      </c>
      <c r="N6549" s="283" t="e">
        <f>+(Tabla4[[#This Row],[Precio Descontado]]-Tabla4[[#This Row],[Precio Base]])*Tabla4[[#This Row],[Cantidad]]</f>
        <v>#N/A</v>
      </c>
      <c r="O6549" s="284" t="e">
        <f>++Tabla4[[#This Row],[Utilidad Total]]/Tabla4[[#This Row],[Total]]</f>
        <v>#N/A</v>
      </c>
      <c r="P6549" s="282">
        <f>++Tabla4[[#This Row],[Precio Descontado]]*Tabla4[[#This Row],[Cantidad]]</f>
        <v>2975.5448375999999</v>
      </c>
      <c r="Q6549" s="282" t="e">
        <f>(INDEX(Tabla6[#All],MATCH(Tabla4[[#This Row],[Producto]],Tabla6[[#All],[PRODUCTO]],0),MATCH(Tabla4[[#This Row],[Mes]],Tabla6[#Headers],0)))</f>
        <v>#N/A</v>
      </c>
      <c r="R6549" s="282" t="e">
        <f>++Tabla4[[#This Row],[Precio Unitario Neto]]-Tabla4[[#This Row],[20.85%]]-Tabla4[[#This Row],[Costo]]</f>
        <v>#N/A</v>
      </c>
      <c r="S6549" s="282" t="e">
        <f>++Tabla4[[#This Row],[U. Bruta Uni]]*Tabla4[[#This Row],[Cantidad]]</f>
        <v>#N/A</v>
      </c>
      <c r="T6549" s="369" t="str">
        <f>VLOOKUP(Tabla4[[#This Row],[Producto]],Tabla6[#All],14,FALSE)</f>
        <v>Termico Solar</v>
      </c>
      <c r="U6549" s="284" t="e">
        <f>(IF(Tabla4[[#This Row],[Familia]]="termico solar",Tabla4[[#This Row],[Utilidad Total]]*6%,Tabla4[[#This Row],[Utilidad Total]]*11.5%))/Tabla4[[#This Row],[Total]]</f>
        <v>#N/A</v>
      </c>
      <c r="V6549" s="282" t="e">
        <f>+Tabla4[[#This Row],[Comisión Calculada]]*Tabla4[[#This Row],[Total]]</f>
        <v>#N/A</v>
      </c>
    </row>
    <row r="6550" spans="1:22" hidden="1" x14ac:dyDescent="0.25">
      <c r="A6550" s="100">
        <v>45961</v>
      </c>
      <c r="B6550" t="str">
        <f t="shared" si="387"/>
        <v>October</v>
      </c>
      <c r="C6550" s="46" t="s">
        <v>280</v>
      </c>
      <c r="F6550" s="366" t="s">
        <v>3324</v>
      </c>
      <c r="G6550" s="46" t="s">
        <v>394</v>
      </c>
      <c r="H6550" s="46">
        <v>16</v>
      </c>
      <c r="I6550" s="51">
        <v>224.29</v>
      </c>
      <c r="J6550" s="281">
        <f>++Tabla4[[#This Row],[Precio Bruto]]*1.16</f>
        <v>260.1764</v>
      </c>
      <c r="K6550" s="281">
        <f>+Tabla4[[#This Row],[Precio Unitario Neto]]*Tabla4[[#Headers],[20.85%]]</f>
        <v>54.246779400000001</v>
      </c>
      <c r="L6550" s="282">
        <f>++Tabla4[[#This Row],[Precio Unitario Neto]]-Tabla4[[#This Row],[20.85%]]</f>
        <v>205.92962059999999</v>
      </c>
      <c r="M6550" s="282" t="e">
        <f>(INDEX(Tabla6[#All],MATCH(Tabla4[[#This Row],[Producto]],Tabla6[[#All],[PRODUCTO]],0),MATCH(Tabla4[[#This Row],[Mes]],Tabla6[#Headers],0)))*(1+Catalogos!$L$2)</f>
        <v>#N/A</v>
      </c>
      <c r="N6550" s="283" t="e">
        <f>+(Tabla4[[#This Row],[Precio Descontado]]-Tabla4[[#This Row],[Precio Base]])*Tabla4[[#This Row],[Cantidad]]</f>
        <v>#N/A</v>
      </c>
      <c r="O6550" s="284" t="e">
        <f>++Tabla4[[#This Row],[Utilidad Total]]/Tabla4[[#This Row],[Total]]</f>
        <v>#N/A</v>
      </c>
      <c r="P6550" s="282">
        <f>++Tabla4[[#This Row],[Precio Descontado]]*Tabla4[[#This Row],[Cantidad]]</f>
        <v>3294.8739295999999</v>
      </c>
      <c r="Q6550" s="282" t="e">
        <f>(INDEX(Tabla6[#All],MATCH(Tabla4[[#This Row],[Producto]],Tabla6[[#All],[PRODUCTO]],0),MATCH(Tabla4[[#This Row],[Mes]],Tabla6[#Headers],0)))</f>
        <v>#N/A</v>
      </c>
      <c r="R6550" s="282" t="e">
        <f>++Tabla4[[#This Row],[Precio Unitario Neto]]-Tabla4[[#This Row],[20.85%]]-Tabla4[[#This Row],[Costo]]</f>
        <v>#N/A</v>
      </c>
      <c r="S6550" s="282" t="e">
        <f>++Tabla4[[#This Row],[U. Bruta Uni]]*Tabla4[[#This Row],[Cantidad]]</f>
        <v>#N/A</v>
      </c>
      <c r="T6550" s="369" t="str">
        <f>VLOOKUP(Tabla4[[#This Row],[Producto]],Tabla6[#All],14,FALSE)</f>
        <v>Termico Solar</v>
      </c>
      <c r="U6550" s="284" t="e">
        <f>(IF(Tabla4[[#This Row],[Familia]]="termico solar",Tabla4[[#This Row],[Utilidad Total]]*6%,Tabla4[[#This Row],[Utilidad Total]]*11.5%))/Tabla4[[#This Row],[Total]]</f>
        <v>#N/A</v>
      </c>
      <c r="V6550" s="282" t="e">
        <f>+Tabla4[[#This Row],[Comisión Calculada]]*Tabla4[[#This Row],[Total]]</f>
        <v>#N/A</v>
      </c>
    </row>
    <row r="6551" spans="1:22" hidden="1" x14ac:dyDescent="0.25">
      <c r="A6551" s="100">
        <v>45961</v>
      </c>
      <c r="B6551" t="str">
        <f t="shared" si="387"/>
        <v>October</v>
      </c>
      <c r="C6551" s="46" t="s">
        <v>280</v>
      </c>
      <c r="F6551" s="366" t="s">
        <v>3324</v>
      </c>
      <c r="G6551" s="46" t="s">
        <v>208</v>
      </c>
      <c r="H6551" s="46">
        <v>1</v>
      </c>
      <c r="I6551" s="51">
        <v>189.75</v>
      </c>
      <c r="J6551" s="281">
        <f>++Tabla4[[#This Row],[Precio Bruto]]*1.16</f>
        <v>220.10999999999999</v>
      </c>
      <c r="K6551" s="281">
        <f>+Tabla4[[#This Row],[Precio Unitario Neto]]*Tabla4[[#Headers],[20.85%]]</f>
        <v>45.892934999999994</v>
      </c>
      <c r="L6551" s="282">
        <f>++Tabla4[[#This Row],[Precio Unitario Neto]]-Tabla4[[#This Row],[20.85%]]</f>
        <v>174.21706499999999</v>
      </c>
      <c r="M6551" s="282" t="e">
        <f>(INDEX(Tabla6[#All],MATCH(Tabla4[[#This Row],[Producto]],Tabla6[[#All],[PRODUCTO]],0),MATCH(Tabla4[[#This Row],[Mes]],Tabla6[#Headers],0)))*(1+Catalogos!$L$2)</f>
        <v>#N/A</v>
      </c>
      <c r="N6551" s="283" t="e">
        <f>+(Tabla4[[#This Row],[Precio Descontado]]-Tabla4[[#This Row],[Precio Base]])*Tabla4[[#This Row],[Cantidad]]</f>
        <v>#N/A</v>
      </c>
      <c r="O6551" s="284" t="e">
        <f>++Tabla4[[#This Row],[Utilidad Total]]/Tabla4[[#This Row],[Total]]</f>
        <v>#N/A</v>
      </c>
      <c r="P6551" s="282">
        <f>++Tabla4[[#This Row],[Precio Descontado]]*Tabla4[[#This Row],[Cantidad]]</f>
        <v>174.21706499999999</v>
      </c>
      <c r="Q6551" s="282" t="e">
        <f>(INDEX(Tabla6[#All],MATCH(Tabla4[[#This Row],[Producto]],Tabla6[[#All],[PRODUCTO]],0),MATCH(Tabla4[[#This Row],[Mes]],Tabla6[#Headers],0)))</f>
        <v>#N/A</v>
      </c>
      <c r="R6551" s="282" t="e">
        <f>++Tabla4[[#This Row],[Precio Unitario Neto]]-Tabla4[[#This Row],[20.85%]]-Tabla4[[#This Row],[Costo]]</f>
        <v>#N/A</v>
      </c>
      <c r="S6551" s="282" t="e">
        <f>++Tabla4[[#This Row],[U. Bruta Uni]]*Tabla4[[#This Row],[Cantidad]]</f>
        <v>#N/A</v>
      </c>
      <c r="T6551" s="369" t="str">
        <f>VLOOKUP(Tabla4[[#This Row],[Producto]],Tabla6[#All],14,FALSE)</f>
        <v>Termico Solar</v>
      </c>
      <c r="U6551" s="284" t="e">
        <f>(IF(Tabla4[[#This Row],[Familia]]="termico solar",Tabla4[[#This Row],[Utilidad Total]]*6%,Tabla4[[#This Row],[Utilidad Total]]*11.5%))/Tabla4[[#This Row],[Total]]</f>
        <v>#N/A</v>
      </c>
      <c r="V6551" s="282" t="e">
        <f>+Tabla4[[#This Row],[Comisión Calculada]]*Tabla4[[#This Row],[Total]]</f>
        <v>#N/A</v>
      </c>
    </row>
    <row r="6552" spans="1:22" hidden="1" x14ac:dyDescent="0.25">
      <c r="A6552" s="100">
        <v>45961</v>
      </c>
      <c r="B6552" t="str">
        <f t="shared" ref="B6552:B6555" si="388">TEXT(A6552, "mmmm")</f>
        <v>October</v>
      </c>
      <c r="C6552" s="46" t="s">
        <v>280</v>
      </c>
      <c r="F6552" s="366" t="s">
        <v>3325</v>
      </c>
      <c r="G6552" s="46" t="s">
        <v>83</v>
      </c>
      <c r="H6552" s="46">
        <v>1</v>
      </c>
      <c r="I6552" s="51">
        <v>8858.76</v>
      </c>
      <c r="J6552" s="281">
        <f>++Tabla4[[#This Row],[Precio Bruto]]*1.16</f>
        <v>10276.161599999999</v>
      </c>
      <c r="K6552" s="281">
        <f>+Tabla4[[#This Row],[Precio Unitario Neto]]*Tabla4[[#Headers],[20.85%]]</f>
        <v>2142.5796935999997</v>
      </c>
      <c r="L6552" s="282">
        <f>++Tabla4[[#This Row],[Precio Unitario Neto]]-Tabla4[[#This Row],[20.85%]]</f>
        <v>8133.5819063999998</v>
      </c>
      <c r="M6552" s="282" t="e">
        <f>(INDEX(Tabla6[#All],MATCH(Tabla4[[#This Row],[Producto]],Tabla6[[#All],[PRODUCTO]],0),MATCH(Tabla4[[#This Row],[Mes]],Tabla6[#Headers],0)))*(1+Catalogos!$L$2)</f>
        <v>#N/A</v>
      </c>
      <c r="N6552" s="283" t="e">
        <f>+(Tabla4[[#This Row],[Precio Descontado]]-Tabla4[[#This Row],[Precio Base]])*Tabla4[[#This Row],[Cantidad]]</f>
        <v>#N/A</v>
      </c>
      <c r="O6552" s="284" t="e">
        <f>++Tabla4[[#This Row],[Utilidad Total]]/Tabla4[[#This Row],[Total]]</f>
        <v>#N/A</v>
      </c>
      <c r="P6552" s="282">
        <f>++Tabla4[[#This Row],[Precio Descontado]]*Tabla4[[#This Row],[Cantidad]]</f>
        <v>8133.5819063999998</v>
      </c>
      <c r="Q6552" s="282" t="e">
        <f>(INDEX(Tabla6[#All],MATCH(Tabla4[[#This Row],[Producto]],Tabla6[[#All],[PRODUCTO]],0),MATCH(Tabla4[[#This Row],[Mes]],Tabla6[#Headers],0)))</f>
        <v>#N/A</v>
      </c>
      <c r="R6552" s="282" t="e">
        <f>++Tabla4[[#This Row],[Precio Unitario Neto]]-Tabla4[[#This Row],[20.85%]]-Tabla4[[#This Row],[Costo]]</f>
        <v>#N/A</v>
      </c>
      <c r="S6552" s="282" t="e">
        <f>++Tabla4[[#This Row],[U. Bruta Uni]]*Tabla4[[#This Row],[Cantidad]]</f>
        <v>#N/A</v>
      </c>
      <c r="T6552" s="369" t="str">
        <f>VLOOKUP(Tabla4[[#This Row],[Producto]],Tabla6[#All],14,FALSE)</f>
        <v>Termico Solar</v>
      </c>
      <c r="U6552" s="284" t="e">
        <f>(IF(Tabla4[[#This Row],[Familia]]="termico solar",Tabla4[[#This Row],[Utilidad Total]]*6%,Tabla4[[#This Row],[Utilidad Total]]*11.5%))/Tabla4[[#This Row],[Total]]</f>
        <v>#N/A</v>
      </c>
      <c r="V6552" s="282" t="e">
        <f>+Tabla4[[#This Row],[Comisión Calculada]]*Tabla4[[#This Row],[Total]]</f>
        <v>#N/A</v>
      </c>
    </row>
    <row r="6553" spans="1:22" hidden="1" x14ac:dyDescent="0.25">
      <c r="A6553" s="100">
        <v>45961</v>
      </c>
      <c r="B6553" t="str">
        <f t="shared" si="388"/>
        <v>October</v>
      </c>
      <c r="C6553" s="46" t="s">
        <v>280</v>
      </c>
      <c r="F6553" s="366" t="s">
        <v>3325</v>
      </c>
      <c r="G6553" s="46" t="s">
        <v>18</v>
      </c>
      <c r="H6553" s="46">
        <v>1</v>
      </c>
      <c r="I6553" s="51">
        <v>5367.65</v>
      </c>
      <c r="J6553" s="281">
        <f>++Tabla4[[#This Row],[Precio Bruto]]*1.16</f>
        <v>6226.4739999999993</v>
      </c>
      <c r="K6553" s="281">
        <f>+Tabla4[[#This Row],[Precio Unitario Neto]]*Tabla4[[#Headers],[20.85%]]</f>
        <v>1298.2198289999999</v>
      </c>
      <c r="L6553" s="282">
        <f>++Tabla4[[#This Row],[Precio Unitario Neto]]-Tabla4[[#This Row],[20.85%]]</f>
        <v>4928.2541709999996</v>
      </c>
      <c r="M6553" s="282" t="e">
        <f>(INDEX(Tabla6[#All],MATCH(Tabla4[[#This Row],[Producto]],Tabla6[[#All],[PRODUCTO]],0),MATCH(Tabla4[[#This Row],[Mes]],Tabla6[#Headers],0)))*(1+Catalogos!$L$2)</f>
        <v>#N/A</v>
      </c>
      <c r="N6553" s="283" t="e">
        <f>+(Tabla4[[#This Row],[Precio Descontado]]-Tabla4[[#This Row],[Precio Base]])*Tabla4[[#This Row],[Cantidad]]</f>
        <v>#N/A</v>
      </c>
      <c r="O6553" s="284" t="e">
        <f>++Tabla4[[#This Row],[Utilidad Total]]/Tabla4[[#This Row],[Total]]</f>
        <v>#N/A</v>
      </c>
      <c r="P6553" s="282">
        <f>++Tabla4[[#This Row],[Precio Descontado]]*Tabla4[[#This Row],[Cantidad]]</f>
        <v>4928.2541709999996</v>
      </c>
      <c r="Q6553" s="282" t="e">
        <f>(INDEX(Tabla6[#All],MATCH(Tabla4[[#This Row],[Producto]],Tabla6[[#All],[PRODUCTO]],0),MATCH(Tabla4[[#This Row],[Mes]],Tabla6[#Headers],0)))</f>
        <v>#N/A</v>
      </c>
      <c r="R6553" s="282" t="e">
        <f>++Tabla4[[#This Row],[Precio Unitario Neto]]-Tabla4[[#This Row],[20.85%]]-Tabla4[[#This Row],[Costo]]</f>
        <v>#N/A</v>
      </c>
      <c r="S6553" s="282" t="e">
        <f>++Tabla4[[#This Row],[U. Bruta Uni]]*Tabla4[[#This Row],[Cantidad]]</f>
        <v>#N/A</v>
      </c>
      <c r="T6553" s="369" t="str">
        <f>VLOOKUP(Tabla4[[#This Row],[Producto]],Tabla6[#All],14,FALSE)</f>
        <v>Termico Solar</v>
      </c>
      <c r="U6553" s="284" t="e">
        <f>(IF(Tabla4[[#This Row],[Familia]]="termico solar",Tabla4[[#This Row],[Utilidad Total]]*6%,Tabla4[[#This Row],[Utilidad Total]]*11.5%))/Tabla4[[#This Row],[Total]]</f>
        <v>#N/A</v>
      </c>
      <c r="V6553" s="282" t="e">
        <f>+Tabla4[[#This Row],[Comisión Calculada]]*Tabla4[[#This Row],[Total]]</f>
        <v>#N/A</v>
      </c>
    </row>
    <row r="6554" spans="1:22" hidden="1" x14ac:dyDescent="0.25">
      <c r="A6554" s="100">
        <v>45961</v>
      </c>
      <c r="B6554" t="str">
        <f t="shared" si="388"/>
        <v>October</v>
      </c>
      <c r="C6554" s="46" t="s">
        <v>280</v>
      </c>
      <c r="F6554" s="366" t="s">
        <v>3325</v>
      </c>
      <c r="G6554" s="46" t="s">
        <v>16</v>
      </c>
      <c r="H6554" s="46">
        <v>1</v>
      </c>
      <c r="I6554" s="51">
        <v>4103.8500000000004</v>
      </c>
      <c r="J6554" s="281">
        <f>++Tabla4[[#This Row],[Precio Bruto]]*1.16</f>
        <v>4760.4660000000003</v>
      </c>
      <c r="K6554" s="281">
        <f>+Tabla4[[#This Row],[Precio Unitario Neto]]*Tabla4[[#Headers],[20.85%]]</f>
        <v>992.55716100000006</v>
      </c>
      <c r="L6554" s="282">
        <f>++Tabla4[[#This Row],[Precio Unitario Neto]]-Tabla4[[#This Row],[20.85%]]</f>
        <v>3767.9088390000002</v>
      </c>
      <c r="M6554" s="282" t="e">
        <f>(INDEX(Tabla6[#All],MATCH(Tabla4[[#This Row],[Producto]],Tabla6[[#All],[PRODUCTO]],0),MATCH(Tabla4[[#This Row],[Mes]],Tabla6[#Headers],0)))*(1+Catalogos!$L$2)</f>
        <v>#N/A</v>
      </c>
      <c r="N6554" s="283" t="e">
        <f>+(Tabla4[[#This Row],[Precio Descontado]]-Tabla4[[#This Row],[Precio Base]])*Tabla4[[#This Row],[Cantidad]]</f>
        <v>#N/A</v>
      </c>
      <c r="O6554" s="284" t="e">
        <f>++Tabla4[[#This Row],[Utilidad Total]]/Tabla4[[#This Row],[Total]]</f>
        <v>#N/A</v>
      </c>
      <c r="P6554" s="282">
        <f>++Tabla4[[#This Row],[Precio Descontado]]*Tabla4[[#This Row],[Cantidad]]</f>
        <v>3767.9088390000002</v>
      </c>
      <c r="Q6554" s="282" t="e">
        <f>(INDEX(Tabla6[#All],MATCH(Tabla4[[#This Row],[Producto]],Tabla6[[#All],[PRODUCTO]],0),MATCH(Tabla4[[#This Row],[Mes]],Tabla6[#Headers],0)))</f>
        <v>#N/A</v>
      </c>
      <c r="R6554" s="282" t="e">
        <f>++Tabla4[[#This Row],[Precio Unitario Neto]]-Tabla4[[#This Row],[20.85%]]-Tabla4[[#This Row],[Costo]]</f>
        <v>#N/A</v>
      </c>
      <c r="S6554" s="282" t="e">
        <f>++Tabla4[[#This Row],[U. Bruta Uni]]*Tabla4[[#This Row],[Cantidad]]</f>
        <v>#N/A</v>
      </c>
      <c r="T6554" s="369" t="str">
        <f>VLOOKUP(Tabla4[[#This Row],[Producto]],Tabla6[#All],14,FALSE)</f>
        <v>Termico Solar</v>
      </c>
      <c r="U6554" s="284" t="e">
        <f>(IF(Tabla4[[#This Row],[Familia]]="termico solar",Tabla4[[#This Row],[Utilidad Total]]*6%,Tabla4[[#This Row],[Utilidad Total]]*11.5%))/Tabla4[[#This Row],[Total]]</f>
        <v>#N/A</v>
      </c>
      <c r="V6554" s="282" t="e">
        <f>+Tabla4[[#This Row],[Comisión Calculada]]*Tabla4[[#This Row],[Total]]</f>
        <v>#N/A</v>
      </c>
    </row>
    <row r="6555" spans="1:22" hidden="1" x14ac:dyDescent="0.25">
      <c r="A6555" s="100">
        <v>45961</v>
      </c>
      <c r="B6555" t="str">
        <f t="shared" si="388"/>
        <v>October</v>
      </c>
      <c r="C6555" s="46" t="s">
        <v>280</v>
      </c>
      <c r="F6555" s="366" t="s">
        <v>3325</v>
      </c>
      <c r="G6555" s="46" t="s">
        <v>208</v>
      </c>
      <c r="H6555" s="46">
        <v>1</v>
      </c>
      <c r="I6555" s="51">
        <v>189.75</v>
      </c>
      <c r="J6555" s="281">
        <f>++Tabla4[[#This Row],[Precio Bruto]]*1.16</f>
        <v>220.10999999999999</v>
      </c>
      <c r="K6555" s="281">
        <f>+Tabla4[[#This Row],[Precio Unitario Neto]]*Tabla4[[#Headers],[20.85%]]</f>
        <v>45.892934999999994</v>
      </c>
      <c r="L6555" s="282">
        <f>++Tabla4[[#This Row],[Precio Unitario Neto]]-Tabla4[[#This Row],[20.85%]]</f>
        <v>174.21706499999999</v>
      </c>
      <c r="M6555" s="282" t="e">
        <f>(INDEX(Tabla6[#All],MATCH(Tabla4[[#This Row],[Producto]],Tabla6[[#All],[PRODUCTO]],0),MATCH(Tabla4[[#This Row],[Mes]],Tabla6[#Headers],0)))*(1+Catalogos!$L$2)</f>
        <v>#N/A</v>
      </c>
      <c r="N6555" s="283" t="e">
        <f>+(Tabla4[[#This Row],[Precio Descontado]]-Tabla4[[#This Row],[Precio Base]])*Tabla4[[#This Row],[Cantidad]]</f>
        <v>#N/A</v>
      </c>
      <c r="O6555" s="284" t="e">
        <f>++Tabla4[[#This Row],[Utilidad Total]]/Tabla4[[#This Row],[Total]]</f>
        <v>#N/A</v>
      </c>
      <c r="P6555" s="282">
        <f>++Tabla4[[#This Row],[Precio Descontado]]*Tabla4[[#This Row],[Cantidad]]</f>
        <v>174.21706499999999</v>
      </c>
      <c r="Q6555" s="282" t="e">
        <f>(INDEX(Tabla6[#All],MATCH(Tabla4[[#This Row],[Producto]],Tabla6[[#All],[PRODUCTO]],0),MATCH(Tabla4[[#This Row],[Mes]],Tabla6[#Headers],0)))</f>
        <v>#N/A</v>
      </c>
      <c r="R6555" s="282" t="e">
        <f>++Tabla4[[#This Row],[Precio Unitario Neto]]-Tabla4[[#This Row],[20.85%]]-Tabla4[[#This Row],[Costo]]</f>
        <v>#N/A</v>
      </c>
      <c r="S6555" s="282" t="e">
        <f>++Tabla4[[#This Row],[U. Bruta Uni]]*Tabla4[[#This Row],[Cantidad]]</f>
        <v>#N/A</v>
      </c>
      <c r="T6555" s="369" t="str">
        <f>VLOOKUP(Tabla4[[#This Row],[Producto]],Tabla6[#All],14,FALSE)</f>
        <v>Termico Solar</v>
      </c>
      <c r="U6555" s="284" t="e">
        <f>(IF(Tabla4[[#This Row],[Familia]]="termico solar",Tabla4[[#This Row],[Utilidad Total]]*6%,Tabla4[[#This Row],[Utilidad Total]]*11.5%))/Tabla4[[#This Row],[Total]]</f>
        <v>#N/A</v>
      </c>
      <c r="V6555" s="282" t="e">
        <f>+Tabla4[[#This Row],[Comisión Calculada]]*Tabla4[[#This Row],[Total]]</f>
        <v>#N/A</v>
      </c>
    </row>
    <row r="6556" spans="1:22" hidden="1" x14ac:dyDescent="0.25">
      <c r="A6556" s="100">
        <v>45961</v>
      </c>
      <c r="B6556" t="str">
        <f>TEXT(A6556, "mmmm")</f>
        <v>October</v>
      </c>
      <c r="C6556" s="46" t="s">
        <v>280</v>
      </c>
      <c r="F6556" s="366" t="s">
        <v>3326</v>
      </c>
      <c r="G6556" s="46" t="s">
        <v>83</v>
      </c>
      <c r="H6556" s="46">
        <v>3</v>
      </c>
      <c r="I6556" s="51">
        <v>8858.76</v>
      </c>
      <c r="J6556" s="281">
        <f>++Tabla4[[#This Row],[Precio Bruto]]*1.16</f>
        <v>10276.161599999999</v>
      </c>
      <c r="K6556" s="281">
        <f>+Tabla4[[#This Row],[Precio Unitario Neto]]*Tabla4[[#Headers],[20.85%]]</f>
        <v>2142.5796935999997</v>
      </c>
      <c r="L6556" s="282">
        <f>++Tabla4[[#This Row],[Precio Unitario Neto]]-Tabla4[[#This Row],[20.85%]]</f>
        <v>8133.5819063999998</v>
      </c>
      <c r="M6556" s="282" t="e">
        <f>(INDEX(Tabla6[#All],MATCH(Tabla4[[#This Row],[Producto]],Tabla6[[#All],[PRODUCTO]],0),MATCH(Tabla4[[#This Row],[Mes]],Tabla6[#Headers],0)))*(1+Catalogos!$L$2)</f>
        <v>#N/A</v>
      </c>
      <c r="N6556" s="283" t="e">
        <f>+(Tabla4[[#This Row],[Precio Descontado]]-Tabla4[[#This Row],[Precio Base]])*Tabla4[[#This Row],[Cantidad]]</f>
        <v>#N/A</v>
      </c>
      <c r="O6556" s="284" t="e">
        <f>++Tabla4[[#This Row],[Utilidad Total]]/Tabla4[[#This Row],[Total]]</f>
        <v>#N/A</v>
      </c>
      <c r="P6556" s="282">
        <f>++Tabla4[[#This Row],[Precio Descontado]]*Tabla4[[#This Row],[Cantidad]]</f>
        <v>24400.7457192</v>
      </c>
      <c r="Q6556" s="282" t="e">
        <f>(INDEX(Tabla6[#All],MATCH(Tabla4[[#This Row],[Producto]],Tabla6[[#All],[PRODUCTO]],0),MATCH(Tabla4[[#This Row],[Mes]],Tabla6[#Headers],0)))</f>
        <v>#N/A</v>
      </c>
      <c r="R6556" s="282" t="e">
        <f>++Tabla4[[#This Row],[Precio Unitario Neto]]-Tabla4[[#This Row],[20.85%]]-Tabla4[[#This Row],[Costo]]</f>
        <v>#N/A</v>
      </c>
      <c r="S6556" s="282" t="e">
        <f>++Tabla4[[#This Row],[U. Bruta Uni]]*Tabla4[[#This Row],[Cantidad]]</f>
        <v>#N/A</v>
      </c>
      <c r="T6556" s="369" t="str">
        <f>VLOOKUP(Tabla4[[#This Row],[Producto]],Tabla6[#All],14,FALSE)</f>
        <v>Termico Solar</v>
      </c>
      <c r="U6556" s="284" t="e">
        <f>(IF(Tabla4[[#This Row],[Familia]]="termico solar",Tabla4[[#This Row],[Utilidad Total]]*6%,Tabla4[[#This Row],[Utilidad Total]]*11.5%))/Tabla4[[#This Row],[Total]]</f>
        <v>#N/A</v>
      </c>
      <c r="V6556" s="282" t="e">
        <f>+Tabla4[[#This Row],[Comisión Calculada]]*Tabla4[[#This Row],[Total]]</f>
        <v>#N/A</v>
      </c>
    </row>
    <row r="6557" spans="1:22" hidden="1" x14ac:dyDescent="0.25">
      <c r="A6557" s="100">
        <v>45961</v>
      </c>
      <c r="B6557" t="str">
        <f t="shared" ref="B6557:B6560" si="389">TEXT(A6557, "mmmm")</f>
        <v>October</v>
      </c>
      <c r="C6557" s="46" t="s">
        <v>280</v>
      </c>
      <c r="F6557" s="366" t="s">
        <v>3327</v>
      </c>
      <c r="G6557" s="46" t="s">
        <v>83</v>
      </c>
      <c r="H6557" s="46">
        <v>2</v>
      </c>
      <c r="I6557" s="51">
        <v>8858.76</v>
      </c>
      <c r="J6557" s="281">
        <f>++Tabla4[[#This Row],[Precio Bruto]]*1.16</f>
        <v>10276.161599999999</v>
      </c>
      <c r="K6557" s="281">
        <f>+Tabla4[[#This Row],[Precio Unitario Neto]]*Tabla4[[#Headers],[20.85%]]</f>
        <v>2142.5796935999997</v>
      </c>
      <c r="L6557" s="282">
        <f>++Tabla4[[#This Row],[Precio Unitario Neto]]-Tabla4[[#This Row],[20.85%]]</f>
        <v>8133.5819063999998</v>
      </c>
      <c r="M6557" s="282" t="e">
        <f>(INDEX(Tabla6[#All],MATCH(Tabla4[[#This Row],[Producto]],Tabla6[[#All],[PRODUCTO]],0),MATCH(Tabla4[[#This Row],[Mes]],Tabla6[#Headers],0)))*(1+Catalogos!$L$2)</f>
        <v>#N/A</v>
      </c>
      <c r="N6557" s="283" t="e">
        <f>+(Tabla4[[#This Row],[Precio Descontado]]-Tabla4[[#This Row],[Precio Base]])*Tabla4[[#This Row],[Cantidad]]</f>
        <v>#N/A</v>
      </c>
      <c r="O6557" s="284" t="e">
        <f>++Tabla4[[#This Row],[Utilidad Total]]/Tabla4[[#This Row],[Total]]</f>
        <v>#N/A</v>
      </c>
      <c r="P6557" s="282">
        <f>++Tabla4[[#This Row],[Precio Descontado]]*Tabla4[[#This Row],[Cantidad]]</f>
        <v>16267.1638128</v>
      </c>
      <c r="Q6557" s="282" t="e">
        <f>(INDEX(Tabla6[#All],MATCH(Tabla4[[#This Row],[Producto]],Tabla6[[#All],[PRODUCTO]],0),MATCH(Tabla4[[#This Row],[Mes]],Tabla6[#Headers],0)))</f>
        <v>#N/A</v>
      </c>
      <c r="R6557" s="282" t="e">
        <f>++Tabla4[[#This Row],[Precio Unitario Neto]]-Tabla4[[#This Row],[20.85%]]-Tabla4[[#This Row],[Costo]]</f>
        <v>#N/A</v>
      </c>
      <c r="S6557" s="282" t="e">
        <f>++Tabla4[[#This Row],[U. Bruta Uni]]*Tabla4[[#This Row],[Cantidad]]</f>
        <v>#N/A</v>
      </c>
      <c r="T6557" s="369" t="str">
        <f>VLOOKUP(Tabla4[[#This Row],[Producto]],Tabla6[#All],14,FALSE)</f>
        <v>Termico Solar</v>
      </c>
      <c r="U6557" s="284" t="e">
        <f>(IF(Tabla4[[#This Row],[Familia]]="termico solar",Tabla4[[#This Row],[Utilidad Total]]*6%,Tabla4[[#This Row],[Utilidad Total]]*11.5%))/Tabla4[[#This Row],[Total]]</f>
        <v>#N/A</v>
      </c>
      <c r="V6557" s="282" t="e">
        <f>+Tabla4[[#This Row],[Comisión Calculada]]*Tabla4[[#This Row],[Total]]</f>
        <v>#N/A</v>
      </c>
    </row>
    <row r="6558" spans="1:22" hidden="1" x14ac:dyDescent="0.25">
      <c r="A6558" s="100">
        <v>45961</v>
      </c>
      <c r="B6558" t="str">
        <f t="shared" si="389"/>
        <v>October</v>
      </c>
      <c r="C6558" s="46" t="s">
        <v>280</v>
      </c>
      <c r="F6558" s="366" t="s">
        <v>3327</v>
      </c>
      <c r="G6558" s="46" t="s">
        <v>17</v>
      </c>
      <c r="H6558" s="46">
        <v>3</v>
      </c>
      <c r="I6558" s="51">
        <v>4622.28</v>
      </c>
      <c r="J6558" s="281">
        <f>++Tabla4[[#This Row],[Precio Bruto]]*1.16</f>
        <v>5361.8447999999989</v>
      </c>
      <c r="K6558" s="281">
        <f>+Tabla4[[#This Row],[Precio Unitario Neto]]*Tabla4[[#Headers],[20.85%]]</f>
        <v>1117.9446407999997</v>
      </c>
      <c r="L6558" s="282">
        <f>++Tabla4[[#This Row],[Precio Unitario Neto]]-Tabla4[[#This Row],[20.85%]]</f>
        <v>4243.9001591999995</v>
      </c>
      <c r="M6558" s="282" t="e">
        <f>(INDEX(Tabla6[#All],MATCH(Tabla4[[#This Row],[Producto]],Tabla6[[#All],[PRODUCTO]],0),MATCH(Tabla4[[#This Row],[Mes]],Tabla6[#Headers],0)))*(1+Catalogos!$L$2)</f>
        <v>#N/A</v>
      </c>
      <c r="N6558" s="283" t="e">
        <f>+(Tabla4[[#This Row],[Precio Descontado]]-Tabla4[[#This Row],[Precio Base]])*Tabla4[[#This Row],[Cantidad]]</f>
        <v>#N/A</v>
      </c>
      <c r="O6558" s="284" t="e">
        <f>++Tabla4[[#This Row],[Utilidad Total]]/Tabla4[[#This Row],[Total]]</f>
        <v>#N/A</v>
      </c>
      <c r="P6558" s="282">
        <f>++Tabla4[[#This Row],[Precio Descontado]]*Tabla4[[#This Row],[Cantidad]]</f>
        <v>12731.700477599999</v>
      </c>
      <c r="Q6558" s="282" t="e">
        <f>(INDEX(Tabla6[#All],MATCH(Tabla4[[#This Row],[Producto]],Tabla6[[#All],[PRODUCTO]],0),MATCH(Tabla4[[#This Row],[Mes]],Tabla6[#Headers],0)))</f>
        <v>#N/A</v>
      </c>
      <c r="R6558" s="282" t="e">
        <f>++Tabla4[[#This Row],[Precio Unitario Neto]]-Tabla4[[#This Row],[20.85%]]-Tabla4[[#This Row],[Costo]]</f>
        <v>#N/A</v>
      </c>
      <c r="S6558" s="282" t="e">
        <f>++Tabla4[[#This Row],[U. Bruta Uni]]*Tabla4[[#This Row],[Cantidad]]</f>
        <v>#N/A</v>
      </c>
      <c r="T6558" s="369" t="str">
        <f>VLOOKUP(Tabla4[[#This Row],[Producto]],Tabla6[#All],14,FALSE)</f>
        <v>Termico Solar</v>
      </c>
      <c r="U6558" s="284" t="e">
        <f>(IF(Tabla4[[#This Row],[Familia]]="termico solar",Tabla4[[#This Row],[Utilidad Total]]*6%,Tabla4[[#This Row],[Utilidad Total]]*11.5%))/Tabla4[[#This Row],[Total]]</f>
        <v>#N/A</v>
      </c>
      <c r="V6558" s="282" t="e">
        <f>+Tabla4[[#This Row],[Comisión Calculada]]*Tabla4[[#This Row],[Total]]</f>
        <v>#N/A</v>
      </c>
    </row>
    <row r="6559" spans="1:22" hidden="1" x14ac:dyDescent="0.25">
      <c r="A6559" s="100">
        <v>45961</v>
      </c>
      <c r="B6559" t="str">
        <f t="shared" si="389"/>
        <v>October</v>
      </c>
      <c r="C6559" s="46" t="s">
        <v>280</v>
      </c>
      <c r="F6559" s="366" t="s">
        <v>3327</v>
      </c>
      <c r="G6559" s="46" t="s">
        <v>18</v>
      </c>
      <c r="H6559" s="46">
        <v>2</v>
      </c>
      <c r="I6559" s="51">
        <v>5367.65</v>
      </c>
      <c r="J6559" s="281">
        <f>++Tabla4[[#This Row],[Precio Bruto]]*1.16</f>
        <v>6226.4739999999993</v>
      </c>
      <c r="K6559" s="281">
        <f>+Tabla4[[#This Row],[Precio Unitario Neto]]*Tabla4[[#Headers],[20.85%]]</f>
        <v>1298.2198289999999</v>
      </c>
      <c r="L6559" s="282">
        <f>++Tabla4[[#This Row],[Precio Unitario Neto]]-Tabla4[[#This Row],[20.85%]]</f>
        <v>4928.2541709999996</v>
      </c>
      <c r="M6559" s="282" t="e">
        <f>(INDEX(Tabla6[#All],MATCH(Tabla4[[#This Row],[Producto]],Tabla6[[#All],[PRODUCTO]],0),MATCH(Tabla4[[#This Row],[Mes]],Tabla6[#Headers],0)))*(1+Catalogos!$L$2)</f>
        <v>#N/A</v>
      </c>
      <c r="N6559" s="283" t="e">
        <f>+(Tabla4[[#This Row],[Precio Descontado]]-Tabla4[[#This Row],[Precio Base]])*Tabla4[[#This Row],[Cantidad]]</f>
        <v>#N/A</v>
      </c>
      <c r="O6559" s="284" t="e">
        <f>++Tabla4[[#This Row],[Utilidad Total]]/Tabla4[[#This Row],[Total]]</f>
        <v>#N/A</v>
      </c>
      <c r="P6559" s="282">
        <f>++Tabla4[[#This Row],[Precio Descontado]]*Tabla4[[#This Row],[Cantidad]]</f>
        <v>9856.5083419999992</v>
      </c>
      <c r="Q6559" s="282" t="e">
        <f>(INDEX(Tabla6[#All],MATCH(Tabla4[[#This Row],[Producto]],Tabla6[[#All],[PRODUCTO]],0),MATCH(Tabla4[[#This Row],[Mes]],Tabla6[#Headers],0)))</f>
        <v>#N/A</v>
      </c>
      <c r="R6559" s="282" t="e">
        <f>++Tabla4[[#This Row],[Precio Unitario Neto]]-Tabla4[[#This Row],[20.85%]]-Tabla4[[#This Row],[Costo]]</f>
        <v>#N/A</v>
      </c>
      <c r="S6559" s="282" t="e">
        <f>++Tabla4[[#This Row],[U. Bruta Uni]]*Tabla4[[#This Row],[Cantidad]]</f>
        <v>#N/A</v>
      </c>
      <c r="T6559" s="369" t="str">
        <f>VLOOKUP(Tabla4[[#This Row],[Producto]],Tabla6[#All],14,FALSE)</f>
        <v>Termico Solar</v>
      </c>
      <c r="U6559" s="284" t="e">
        <f>(IF(Tabla4[[#This Row],[Familia]]="termico solar",Tabla4[[#This Row],[Utilidad Total]]*6%,Tabla4[[#This Row],[Utilidad Total]]*11.5%))/Tabla4[[#This Row],[Total]]</f>
        <v>#N/A</v>
      </c>
      <c r="V6559" s="282" t="e">
        <f>+Tabla4[[#This Row],[Comisión Calculada]]*Tabla4[[#This Row],[Total]]</f>
        <v>#N/A</v>
      </c>
    </row>
    <row r="6560" spans="1:22" hidden="1" x14ac:dyDescent="0.25">
      <c r="A6560" s="100">
        <v>45961</v>
      </c>
      <c r="B6560" t="str">
        <f t="shared" si="389"/>
        <v>October</v>
      </c>
      <c r="C6560" s="46" t="s">
        <v>280</v>
      </c>
      <c r="F6560" s="366" t="s">
        <v>3327</v>
      </c>
      <c r="G6560" s="46" t="s">
        <v>412</v>
      </c>
      <c r="H6560" s="46">
        <v>1</v>
      </c>
      <c r="I6560" s="51">
        <v>3240.84</v>
      </c>
      <c r="J6560" s="281">
        <f>++Tabla4[[#This Row],[Precio Bruto]]*1.16</f>
        <v>3759.3743999999997</v>
      </c>
      <c r="K6560" s="281">
        <f>+Tabla4[[#This Row],[Precio Unitario Neto]]*Tabla4[[#Headers],[20.85%]]</f>
        <v>783.82956239999987</v>
      </c>
      <c r="L6560" s="282">
        <f>++Tabla4[[#This Row],[Precio Unitario Neto]]-Tabla4[[#This Row],[20.85%]]</f>
        <v>2975.5448375999999</v>
      </c>
      <c r="M6560" s="282" t="e">
        <f>(INDEX(Tabla6[#All],MATCH(Tabla4[[#This Row],[Producto]],Tabla6[[#All],[PRODUCTO]],0),MATCH(Tabla4[[#This Row],[Mes]],Tabla6[#Headers],0)))*(1+Catalogos!$L$2)</f>
        <v>#N/A</v>
      </c>
      <c r="N6560" s="283" t="e">
        <f>+(Tabla4[[#This Row],[Precio Descontado]]-Tabla4[[#This Row],[Precio Base]])*Tabla4[[#This Row],[Cantidad]]</f>
        <v>#N/A</v>
      </c>
      <c r="O6560" s="284" t="e">
        <f>++Tabla4[[#This Row],[Utilidad Total]]/Tabla4[[#This Row],[Total]]</f>
        <v>#N/A</v>
      </c>
      <c r="P6560" s="282">
        <f>++Tabla4[[#This Row],[Precio Descontado]]*Tabla4[[#This Row],[Cantidad]]</f>
        <v>2975.5448375999999</v>
      </c>
      <c r="Q6560" s="282" t="e">
        <f>(INDEX(Tabla6[#All],MATCH(Tabla4[[#This Row],[Producto]],Tabla6[[#All],[PRODUCTO]],0),MATCH(Tabla4[[#This Row],[Mes]],Tabla6[#Headers],0)))</f>
        <v>#N/A</v>
      </c>
      <c r="R6560" s="282" t="e">
        <f>++Tabla4[[#This Row],[Precio Unitario Neto]]-Tabla4[[#This Row],[20.85%]]-Tabla4[[#This Row],[Costo]]</f>
        <v>#N/A</v>
      </c>
      <c r="S6560" s="282" t="e">
        <f>++Tabla4[[#This Row],[U. Bruta Uni]]*Tabla4[[#This Row],[Cantidad]]</f>
        <v>#N/A</v>
      </c>
      <c r="T6560" s="369" t="str">
        <f>VLOOKUP(Tabla4[[#This Row],[Producto]],Tabla6[#All],14,FALSE)</f>
        <v>Termico Solar</v>
      </c>
      <c r="U6560" s="284" t="e">
        <f>(IF(Tabla4[[#This Row],[Familia]]="termico solar",Tabla4[[#This Row],[Utilidad Total]]*6%,Tabla4[[#This Row],[Utilidad Total]]*11.5%))/Tabla4[[#This Row],[Total]]</f>
        <v>#N/A</v>
      </c>
      <c r="V6560" s="282" t="e">
        <f>+Tabla4[[#This Row],[Comisión Calculada]]*Tabla4[[#This Row],[Total]]</f>
        <v>#N/A</v>
      </c>
    </row>
    <row r="6561" spans="1:22" hidden="1" x14ac:dyDescent="0.25">
      <c r="A6561" s="100">
        <v>45961</v>
      </c>
      <c r="B6561" t="str">
        <f t="shared" ref="B6561:B6562" si="390">TEXT(A6561, "mmmm")</f>
        <v>October</v>
      </c>
      <c r="C6561" s="46" t="s">
        <v>280</v>
      </c>
      <c r="F6561" s="366" t="s">
        <v>3328</v>
      </c>
      <c r="G6561" s="46" t="s">
        <v>17</v>
      </c>
      <c r="H6561" s="46">
        <v>3</v>
      </c>
      <c r="I6561" s="51">
        <v>4622.28</v>
      </c>
      <c r="J6561" s="281">
        <f>++Tabla4[[#This Row],[Precio Bruto]]*1.16</f>
        <v>5361.8447999999989</v>
      </c>
      <c r="K6561" s="281">
        <f>+Tabla4[[#This Row],[Precio Unitario Neto]]*Tabla4[[#Headers],[20.85%]]</f>
        <v>1117.9446407999997</v>
      </c>
      <c r="L6561" s="282">
        <f>++Tabla4[[#This Row],[Precio Unitario Neto]]-Tabla4[[#This Row],[20.85%]]</f>
        <v>4243.9001591999995</v>
      </c>
      <c r="M6561" s="282" t="e">
        <f>(INDEX(Tabla6[#All],MATCH(Tabla4[[#This Row],[Producto]],Tabla6[[#All],[PRODUCTO]],0),MATCH(Tabla4[[#This Row],[Mes]],Tabla6[#Headers],0)))*(1+Catalogos!$L$2)</f>
        <v>#N/A</v>
      </c>
      <c r="N6561" s="283" t="e">
        <f>+(Tabla4[[#This Row],[Precio Descontado]]-Tabla4[[#This Row],[Precio Base]])*Tabla4[[#This Row],[Cantidad]]</f>
        <v>#N/A</v>
      </c>
      <c r="O6561" s="284" t="e">
        <f>++Tabla4[[#This Row],[Utilidad Total]]/Tabla4[[#This Row],[Total]]</f>
        <v>#N/A</v>
      </c>
      <c r="P6561" s="282">
        <f>++Tabla4[[#This Row],[Precio Descontado]]*Tabla4[[#This Row],[Cantidad]]</f>
        <v>12731.700477599999</v>
      </c>
      <c r="Q6561" s="282" t="e">
        <f>(INDEX(Tabla6[#All],MATCH(Tabla4[[#This Row],[Producto]],Tabla6[[#All],[PRODUCTO]],0),MATCH(Tabla4[[#This Row],[Mes]],Tabla6[#Headers],0)))</f>
        <v>#N/A</v>
      </c>
      <c r="R6561" s="282" t="e">
        <f>++Tabla4[[#This Row],[Precio Unitario Neto]]-Tabla4[[#This Row],[20.85%]]-Tabla4[[#This Row],[Costo]]</f>
        <v>#N/A</v>
      </c>
      <c r="S6561" s="282" t="e">
        <f>++Tabla4[[#This Row],[U. Bruta Uni]]*Tabla4[[#This Row],[Cantidad]]</f>
        <v>#N/A</v>
      </c>
      <c r="T6561" s="369" t="str">
        <f>VLOOKUP(Tabla4[[#This Row],[Producto]],Tabla6[#All],14,FALSE)</f>
        <v>Termico Solar</v>
      </c>
      <c r="U6561" s="284" t="e">
        <f>(IF(Tabla4[[#This Row],[Familia]]="termico solar",Tabla4[[#This Row],[Utilidad Total]]*6%,Tabla4[[#This Row],[Utilidad Total]]*11.5%))/Tabla4[[#This Row],[Total]]</f>
        <v>#N/A</v>
      </c>
      <c r="V6561" s="282" t="e">
        <f>+Tabla4[[#This Row],[Comisión Calculada]]*Tabla4[[#This Row],[Total]]</f>
        <v>#N/A</v>
      </c>
    </row>
    <row r="6562" spans="1:22" hidden="1" x14ac:dyDescent="0.25">
      <c r="A6562" s="100">
        <v>45961</v>
      </c>
      <c r="B6562" t="str">
        <f t="shared" si="390"/>
        <v>October</v>
      </c>
      <c r="C6562" s="46" t="s">
        <v>280</v>
      </c>
      <c r="F6562" s="366" t="s">
        <v>3328</v>
      </c>
      <c r="G6562" s="46" t="s">
        <v>208</v>
      </c>
      <c r="H6562" s="46">
        <v>10</v>
      </c>
      <c r="I6562" s="51">
        <v>189.75</v>
      </c>
      <c r="J6562" s="281">
        <f>++Tabla4[[#This Row],[Precio Bruto]]*1.16</f>
        <v>220.10999999999999</v>
      </c>
      <c r="K6562" s="281">
        <f>+Tabla4[[#This Row],[Precio Unitario Neto]]*Tabla4[[#Headers],[20.85%]]</f>
        <v>45.892934999999994</v>
      </c>
      <c r="L6562" s="282">
        <f>++Tabla4[[#This Row],[Precio Unitario Neto]]-Tabla4[[#This Row],[20.85%]]</f>
        <v>174.21706499999999</v>
      </c>
      <c r="M6562" s="282" t="e">
        <f>(INDEX(Tabla6[#All],MATCH(Tabla4[[#This Row],[Producto]],Tabla6[[#All],[PRODUCTO]],0),MATCH(Tabla4[[#This Row],[Mes]],Tabla6[#Headers],0)))*(1+Catalogos!$L$2)</f>
        <v>#N/A</v>
      </c>
      <c r="N6562" s="283" t="e">
        <f>+(Tabla4[[#This Row],[Precio Descontado]]-Tabla4[[#This Row],[Precio Base]])*Tabla4[[#This Row],[Cantidad]]</f>
        <v>#N/A</v>
      </c>
      <c r="O6562" s="284" t="e">
        <f>++Tabla4[[#This Row],[Utilidad Total]]/Tabla4[[#This Row],[Total]]</f>
        <v>#N/A</v>
      </c>
      <c r="P6562" s="282">
        <f>++Tabla4[[#This Row],[Precio Descontado]]*Tabla4[[#This Row],[Cantidad]]</f>
        <v>1742.17065</v>
      </c>
      <c r="Q6562" s="282" t="e">
        <f>(INDEX(Tabla6[#All],MATCH(Tabla4[[#This Row],[Producto]],Tabla6[[#All],[PRODUCTO]],0),MATCH(Tabla4[[#This Row],[Mes]],Tabla6[#Headers],0)))</f>
        <v>#N/A</v>
      </c>
      <c r="R6562" s="282" t="e">
        <f>++Tabla4[[#This Row],[Precio Unitario Neto]]-Tabla4[[#This Row],[20.85%]]-Tabla4[[#This Row],[Costo]]</f>
        <v>#N/A</v>
      </c>
      <c r="S6562" s="282" t="e">
        <f>++Tabla4[[#This Row],[U. Bruta Uni]]*Tabla4[[#This Row],[Cantidad]]</f>
        <v>#N/A</v>
      </c>
      <c r="T6562" s="369" t="str">
        <f>VLOOKUP(Tabla4[[#This Row],[Producto]],Tabla6[#All],14,FALSE)</f>
        <v>Termico Solar</v>
      </c>
      <c r="U6562" s="284" t="e">
        <f>(IF(Tabla4[[#This Row],[Familia]]="termico solar",Tabla4[[#This Row],[Utilidad Total]]*6%,Tabla4[[#This Row],[Utilidad Total]]*11.5%))/Tabla4[[#This Row],[Total]]</f>
        <v>#N/A</v>
      </c>
      <c r="V6562" s="282" t="e">
        <f>+Tabla4[[#This Row],[Comisión Calculada]]*Tabla4[[#This Row],[Total]]</f>
        <v>#N/A</v>
      </c>
    </row>
    <row r="6563" spans="1:22" hidden="1" x14ac:dyDescent="0.25">
      <c r="A6563" s="100">
        <v>45961</v>
      </c>
      <c r="B6563" t="str">
        <f t="shared" ref="B6563:B6565" si="391">TEXT(A6563, "mmmm")</f>
        <v>October</v>
      </c>
      <c r="C6563" s="46" t="s">
        <v>280</v>
      </c>
      <c r="F6563" s="366" t="s">
        <v>3329</v>
      </c>
      <c r="G6563" s="46" t="s">
        <v>83</v>
      </c>
      <c r="H6563" s="46">
        <v>2</v>
      </c>
      <c r="I6563" s="51">
        <v>8858.76</v>
      </c>
      <c r="J6563" s="281">
        <f>++Tabla4[[#This Row],[Precio Bruto]]*1.16</f>
        <v>10276.161599999999</v>
      </c>
      <c r="K6563" s="281">
        <f>+Tabla4[[#This Row],[Precio Unitario Neto]]*Tabla4[[#Headers],[20.85%]]</f>
        <v>2142.5796935999997</v>
      </c>
      <c r="L6563" s="282">
        <f>++Tabla4[[#This Row],[Precio Unitario Neto]]-Tabla4[[#This Row],[20.85%]]</f>
        <v>8133.5819063999998</v>
      </c>
      <c r="M6563" s="282" t="e">
        <f>(INDEX(Tabla6[#All],MATCH(Tabla4[[#This Row],[Producto]],Tabla6[[#All],[PRODUCTO]],0),MATCH(Tabla4[[#This Row],[Mes]],Tabla6[#Headers],0)))*(1+Catalogos!$L$2)</f>
        <v>#N/A</v>
      </c>
      <c r="N6563" s="283" t="e">
        <f>+(Tabla4[[#This Row],[Precio Descontado]]-Tabla4[[#This Row],[Precio Base]])*Tabla4[[#This Row],[Cantidad]]</f>
        <v>#N/A</v>
      </c>
      <c r="O6563" s="284" t="e">
        <f>++Tabla4[[#This Row],[Utilidad Total]]/Tabla4[[#This Row],[Total]]</f>
        <v>#N/A</v>
      </c>
      <c r="P6563" s="282">
        <f>++Tabla4[[#This Row],[Precio Descontado]]*Tabla4[[#This Row],[Cantidad]]</f>
        <v>16267.1638128</v>
      </c>
      <c r="Q6563" s="282" t="e">
        <f>(INDEX(Tabla6[#All],MATCH(Tabla4[[#This Row],[Producto]],Tabla6[[#All],[PRODUCTO]],0),MATCH(Tabla4[[#This Row],[Mes]],Tabla6[#Headers],0)))</f>
        <v>#N/A</v>
      </c>
      <c r="R6563" s="282" t="e">
        <f>++Tabla4[[#This Row],[Precio Unitario Neto]]-Tabla4[[#This Row],[20.85%]]-Tabla4[[#This Row],[Costo]]</f>
        <v>#N/A</v>
      </c>
      <c r="S6563" s="282" t="e">
        <f>++Tabla4[[#This Row],[U. Bruta Uni]]*Tabla4[[#This Row],[Cantidad]]</f>
        <v>#N/A</v>
      </c>
      <c r="T6563" s="369" t="str">
        <f>VLOOKUP(Tabla4[[#This Row],[Producto]],Tabla6[#All],14,FALSE)</f>
        <v>Termico Solar</v>
      </c>
      <c r="U6563" s="284" t="e">
        <f>(IF(Tabla4[[#This Row],[Familia]]="termico solar",Tabla4[[#This Row],[Utilidad Total]]*6%,Tabla4[[#This Row],[Utilidad Total]]*11.5%))/Tabla4[[#This Row],[Total]]</f>
        <v>#N/A</v>
      </c>
      <c r="V6563" s="282" t="e">
        <f>+Tabla4[[#This Row],[Comisión Calculada]]*Tabla4[[#This Row],[Total]]</f>
        <v>#N/A</v>
      </c>
    </row>
    <row r="6564" spans="1:22" hidden="1" x14ac:dyDescent="0.25">
      <c r="A6564" s="100">
        <v>45961</v>
      </c>
      <c r="B6564" t="str">
        <f t="shared" si="391"/>
        <v>October</v>
      </c>
      <c r="C6564" s="46" t="s">
        <v>280</v>
      </c>
      <c r="F6564" s="366" t="s">
        <v>3329</v>
      </c>
      <c r="G6564" s="46" t="s">
        <v>566</v>
      </c>
      <c r="H6564" s="46">
        <v>1</v>
      </c>
      <c r="I6564" s="51">
        <v>2109.4499999999998</v>
      </c>
      <c r="J6564" s="281">
        <f>++Tabla4[[#This Row],[Precio Bruto]]*1.16</f>
        <v>2446.9619999999995</v>
      </c>
      <c r="K6564" s="281">
        <f>+Tabla4[[#This Row],[Precio Unitario Neto]]*Tabla4[[#Headers],[20.85%]]</f>
        <v>510.19157699999988</v>
      </c>
      <c r="L6564" s="282">
        <f>++Tabla4[[#This Row],[Precio Unitario Neto]]-Tabla4[[#This Row],[20.85%]]</f>
        <v>1936.7704229999997</v>
      </c>
      <c r="M6564" s="282" t="e">
        <f>(INDEX(Tabla6[#All],MATCH(Tabla4[[#This Row],[Producto]],Tabla6[[#All],[PRODUCTO]],0),MATCH(Tabla4[[#This Row],[Mes]],Tabla6[#Headers],0)))*(1+Catalogos!$L$2)</f>
        <v>#N/A</v>
      </c>
      <c r="N6564" s="283" t="e">
        <f>+(Tabla4[[#This Row],[Precio Descontado]]-Tabla4[[#This Row],[Precio Base]])*Tabla4[[#This Row],[Cantidad]]</f>
        <v>#N/A</v>
      </c>
      <c r="O6564" s="284" t="e">
        <f>++Tabla4[[#This Row],[Utilidad Total]]/Tabla4[[#This Row],[Total]]</f>
        <v>#N/A</v>
      </c>
      <c r="P6564" s="282">
        <f>++Tabla4[[#This Row],[Precio Descontado]]*Tabla4[[#This Row],[Cantidad]]</f>
        <v>1936.7704229999997</v>
      </c>
      <c r="Q6564" s="282" t="e">
        <f>(INDEX(Tabla6[#All],MATCH(Tabla4[[#This Row],[Producto]],Tabla6[[#All],[PRODUCTO]],0),MATCH(Tabla4[[#This Row],[Mes]],Tabla6[#Headers],0)))</f>
        <v>#N/A</v>
      </c>
      <c r="R6564" s="282" t="e">
        <f>++Tabla4[[#This Row],[Precio Unitario Neto]]-Tabla4[[#This Row],[20.85%]]-Tabla4[[#This Row],[Costo]]</f>
        <v>#N/A</v>
      </c>
      <c r="S6564" s="282" t="e">
        <f>++Tabla4[[#This Row],[U. Bruta Uni]]*Tabla4[[#This Row],[Cantidad]]</f>
        <v>#N/A</v>
      </c>
      <c r="T6564" s="369" t="str">
        <f>VLOOKUP(Tabla4[[#This Row],[Producto]],Tabla6[#All],14,FALSE)</f>
        <v>Termico Solar</v>
      </c>
      <c r="U6564" s="284" t="e">
        <f>(IF(Tabla4[[#This Row],[Familia]]="termico solar",Tabla4[[#This Row],[Utilidad Total]]*6%,Tabla4[[#This Row],[Utilidad Total]]*11.5%))/Tabla4[[#This Row],[Total]]</f>
        <v>#N/A</v>
      </c>
      <c r="V6564" s="282" t="e">
        <f>+Tabla4[[#This Row],[Comisión Calculada]]*Tabla4[[#This Row],[Total]]</f>
        <v>#N/A</v>
      </c>
    </row>
    <row r="6565" spans="1:22" hidden="1" x14ac:dyDescent="0.25">
      <c r="A6565" s="100">
        <v>45961</v>
      </c>
      <c r="B6565" t="str">
        <f t="shared" si="391"/>
        <v>October</v>
      </c>
      <c r="C6565" s="46" t="s">
        <v>280</v>
      </c>
      <c r="F6565" s="366" t="s">
        <v>3329</v>
      </c>
      <c r="G6565" s="46" t="s">
        <v>208</v>
      </c>
      <c r="H6565" s="46">
        <v>3</v>
      </c>
      <c r="I6565" s="51">
        <v>189.75</v>
      </c>
      <c r="J6565" s="281">
        <f>++Tabla4[[#This Row],[Precio Bruto]]*1.16</f>
        <v>220.10999999999999</v>
      </c>
      <c r="K6565" s="281">
        <f>+Tabla4[[#This Row],[Precio Unitario Neto]]*Tabla4[[#Headers],[20.85%]]</f>
        <v>45.892934999999994</v>
      </c>
      <c r="L6565" s="282">
        <f>++Tabla4[[#This Row],[Precio Unitario Neto]]-Tabla4[[#This Row],[20.85%]]</f>
        <v>174.21706499999999</v>
      </c>
      <c r="M6565" s="282" t="e">
        <f>(INDEX(Tabla6[#All],MATCH(Tabla4[[#This Row],[Producto]],Tabla6[[#All],[PRODUCTO]],0),MATCH(Tabla4[[#This Row],[Mes]],Tabla6[#Headers],0)))*(1+Catalogos!$L$2)</f>
        <v>#N/A</v>
      </c>
      <c r="N6565" s="283" t="e">
        <f>+(Tabla4[[#This Row],[Precio Descontado]]-Tabla4[[#This Row],[Precio Base]])*Tabla4[[#This Row],[Cantidad]]</f>
        <v>#N/A</v>
      </c>
      <c r="O6565" s="284" t="e">
        <f>++Tabla4[[#This Row],[Utilidad Total]]/Tabla4[[#This Row],[Total]]</f>
        <v>#N/A</v>
      </c>
      <c r="P6565" s="282">
        <f>++Tabla4[[#This Row],[Precio Descontado]]*Tabla4[[#This Row],[Cantidad]]</f>
        <v>522.65119499999992</v>
      </c>
      <c r="Q6565" s="282" t="e">
        <f>(INDEX(Tabla6[#All],MATCH(Tabla4[[#This Row],[Producto]],Tabla6[[#All],[PRODUCTO]],0),MATCH(Tabla4[[#This Row],[Mes]],Tabla6[#Headers],0)))</f>
        <v>#N/A</v>
      </c>
      <c r="R6565" s="282" t="e">
        <f>++Tabla4[[#This Row],[Precio Unitario Neto]]-Tabla4[[#This Row],[20.85%]]-Tabla4[[#This Row],[Costo]]</f>
        <v>#N/A</v>
      </c>
      <c r="S6565" s="282" t="e">
        <f>++Tabla4[[#This Row],[U. Bruta Uni]]*Tabla4[[#This Row],[Cantidad]]</f>
        <v>#N/A</v>
      </c>
      <c r="T6565" s="369" t="str">
        <f>VLOOKUP(Tabla4[[#This Row],[Producto]],Tabla6[#All],14,FALSE)</f>
        <v>Termico Solar</v>
      </c>
      <c r="U6565" s="284" t="e">
        <f>(IF(Tabla4[[#This Row],[Familia]]="termico solar",Tabla4[[#This Row],[Utilidad Total]]*6%,Tabla4[[#This Row],[Utilidad Total]]*11.5%))/Tabla4[[#This Row],[Total]]</f>
        <v>#N/A</v>
      </c>
      <c r="V6565" s="282" t="e">
        <f>+Tabla4[[#This Row],[Comisión Calculada]]*Tabla4[[#This Row],[Total]]</f>
        <v>#N/A</v>
      </c>
    </row>
    <row r="6566" spans="1:22" hidden="1" x14ac:dyDescent="0.25">
      <c r="A6566" s="100">
        <v>45961</v>
      </c>
      <c r="B6566" t="str">
        <f t="shared" ref="B6566:B6567" si="392">TEXT(A6566, "mmmm")</f>
        <v>October</v>
      </c>
      <c r="C6566" s="46" t="s">
        <v>280</v>
      </c>
      <c r="F6566" s="366" t="s">
        <v>3330</v>
      </c>
      <c r="G6566" s="46" t="s">
        <v>566</v>
      </c>
      <c r="H6566" s="46">
        <v>1</v>
      </c>
      <c r="I6566" s="51">
        <v>2109.4499999999998</v>
      </c>
      <c r="J6566" s="281">
        <f>++Tabla4[[#This Row],[Precio Bruto]]*1.16</f>
        <v>2446.9619999999995</v>
      </c>
      <c r="K6566" s="281">
        <f>+Tabla4[[#This Row],[Precio Unitario Neto]]*Tabla4[[#Headers],[20.85%]]</f>
        <v>510.19157699999988</v>
      </c>
      <c r="L6566" s="282">
        <f>++Tabla4[[#This Row],[Precio Unitario Neto]]-Tabla4[[#This Row],[20.85%]]</f>
        <v>1936.7704229999997</v>
      </c>
      <c r="M6566" s="282" t="e">
        <f>(INDEX(Tabla6[#All],MATCH(Tabla4[[#This Row],[Producto]],Tabla6[[#All],[PRODUCTO]],0),MATCH(Tabla4[[#This Row],[Mes]],Tabla6[#Headers],0)))*(1+Catalogos!$L$2)</f>
        <v>#N/A</v>
      </c>
      <c r="N6566" s="283" t="e">
        <f>+(Tabla4[[#This Row],[Precio Descontado]]-Tabla4[[#This Row],[Precio Base]])*Tabla4[[#This Row],[Cantidad]]</f>
        <v>#N/A</v>
      </c>
      <c r="O6566" s="284" t="e">
        <f>++Tabla4[[#This Row],[Utilidad Total]]/Tabla4[[#This Row],[Total]]</f>
        <v>#N/A</v>
      </c>
      <c r="P6566" s="282">
        <f>++Tabla4[[#This Row],[Precio Descontado]]*Tabla4[[#This Row],[Cantidad]]</f>
        <v>1936.7704229999997</v>
      </c>
      <c r="Q6566" s="282" t="e">
        <f>(INDEX(Tabla6[#All],MATCH(Tabla4[[#This Row],[Producto]],Tabla6[[#All],[PRODUCTO]],0),MATCH(Tabla4[[#This Row],[Mes]],Tabla6[#Headers],0)))</f>
        <v>#N/A</v>
      </c>
      <c r="R6566" s="282" t="e">
        <f>++Tabla4[[#This Row],[Precio Unitario Neto]]-Tabla4[[#This Row],[20.85%]]-Tabla4[[#This Row],[Costo]]</f>
        <v>#N/A</v>
      </c>
      <c r="S6566" s="282" t="e">
        <f>++Tabla4[[#This Row],[U. Bruta Uni]]*Tabla4[[#This Row],[Cantidad]]</f>
        <v>#N/A</v>
      </c>
      <c r="T6566" s="369" t="str">
        <f>VLOOKUP(Tabla4[[#This Row],[Producto]],Tabla6[#All],14,FALSE)</f>
        <v>Termico Solar</v>
      </c>
      <c r="U6566" s="284" t="e">
        <f>(IF(Tabla4[[#This Row],[Familia]]="termico solar",Tabla4[[#This Row],[Utilidad Total]]*6%,Tabla4[[#This Row],[Utilidad Total]]*11.5%))/Tabla4[[#This Row],[Total]]</f>
        <v>#N/A</v>
      </c>
      <c r="V6566" s="282" t="e">
        <f>+Tabla4[[#This Row],[Comisión Calculada]]*Tabla4[[#This Row],[Total]]</f>
        <v>#N/A</v>
      </c>
    </row>
    <row r="6567" spans="1:22" hidden="1" x14ac:dyDescent="0.25">
      <c r="A6567" s="100">
        <v>45961</v>
      </c>
      <c r="B6567" t="str">
        <f t="shared" si="392"/>
        <v>October</v>
      </c>
      <c r="C6567" s="46" t="s">
        <v>280</v>
      </c>
      <c r="F6567" s="366" t="s">
        <v>3330</v>
      </c>
      <c r="G6567" s="46" t="s">
        <v>16</v>
      </c>
      <c r="H6567" s="46">
        <v>1</v>
      </c>
      <c r="I6567" s="51">
        <v>4103.8500000000004</v>
      </c>
      <c r="J6567" s="281">
        <f>++Tabla4[[#This Row],[Precio Bruto]]*1.16</f>
        <v>4760.4660000000003</v>
      </c>
      <c r="K6567" s="281">
        <f>+Tabla4[[#This Row],[Precio Unitario Neto]]*Tabla4[[#Headers],[20.85%]]</f>
        <v>992.55716100000006</v>
      </c>
      <c r="L6567" s="282">
        <f>++Tabla4[[#This Row],[Precio Unitario Neto]]-Tabla4[[#This Row],[20.85%]]</f>
        <v>3767.9088390000002</v>
      </c>
      <c r="M6567" s="282" t="e">
        <f>(INDEX(Tabla6[#All],MATCH(Tabla4[[#This Row],[Producto]],Tabla6[[#All],[PRODUCTO]],0),MATCH(Tabla4[[#This Row],[Mes]],Tabla6[#Headers],0)))*(1+Catalogos!$L$2)</f>
        <v>#N/A</v>
      </c>
      <c r="N6567" s="283" t="e">
        <f>+(Tabla4[[#This Row],[Precio Descontado]]-Tabla4[[#This Row],[Precio Base]])*Tabla4[[#This Row],[Cantidad]]</f>
        <v>#N/A</v>
      </c>
      <c r="O6567" s="284" t="e">
        <f>++Tabla4[[#This Row],[Utilidad Total]]/Tabla4[[#This Row],[Total]]</f>
        <v>#N/A</v>
      </c>
      <c r="P6567" s="282">
        <f>++Tabla4[[#This Row],[Precio Descontado]]*Tabla4[[#This Row],[Cantidad]]</f>
        <v>3767.9088390000002</v>
      </c>
      <c r="Q6567" s="282" t="e">
        <f>(INDEX(Tabla6[#All],MATCH(Tabla4[[#This Row],[Producto]],Tabla6[[#All],[PRODUCTO]],0),MATCH(Tabla4[[#This Row],[Mes]],Tabla6[#Headers],0)))</f>
        <v>#N/A</v>
      </c>
      <c r="R6567" s="282" t="e">
        <f>++Tabla4[[#This Row],[Precio Unitario Neto]]-Tabla4[[#This Row],[20.85%]]-Tabla4[[#This Row],[Costo]]</f>
        <v>#N/A</v>
      </c>
      <c r="S6567" s="282" t="e">
        <f>++Tabla4[[#This Row],[U. Bruta Uni]]*Tabla4[[#This Row],[Cantidad]]</f>
        <v>#N/A</v>
      </c>
      <c r="T6567" s="369" t="str">
        <f>VLOOKUP(Tabla4[[#This Row],[Producto]],Tabla6[#All],14,FALSE)</f>
        <v>Termico Solar</v>
      </c>
      <c r="U6567" s="284" t="e">
        <f>(IF(Tabla4[[#This Row],[Familia]]="termico solar",Tabla4[[#This Row],[Utilidad Total]]*6%,Tabla4[[#This Row],[Utilidad Total]]*11.5%))/Tabla4[[#This Row],[Total]]</f>
        <v>#N/A</v>
      </c>
      <c r="V6567" s="282" t="e">
        <f>+Tabla4[[#This Row],[Comisión Calculada]]*Tabla4[[#This Row],[Total]]</f>
        <v>#N/A</v>
      </c>
    </row>
    <row r="6568" spans="1:22" hidden="1" x14ac:dyDescent="0.25">
      <c r="A6568" s="100">
        <v>45961</v>
      </c>
      <c r="B6568" t="str">
        <f t="shared" ref="B6568:B6569" si="393">TEXT(A6568, "mmmm")</f>
        <v>October</v>
      </c>
      <c r="C6568" s="46" t="s">
        <v>280</v>
      </c>
      <c r="F6568" s="366" t="s">
        <v>3331</v>
      </c>
      <c r="G6568" s="46" t="s">
        <v>17</v>
      </c>
      <c r="H6568" s="46">
        <v>1</v>
      </c>
      <c r="I6568" s="51">
        <v>4622.28</v>
      </c>
      <c r="J6568" s="281">
        <f>++Tabla4[[#This Row],[Precio Bruto]]*1.16</f>
        <v>5361.8447999999989</v>
      </c>
      <c r="K6568" s="281">
        <f>+Tabla4[[#This Row],[Precio Unitario Neto]]*Tabla4[[#Headers],[20.85%]]</f>
        <v>1117.9446407999997</v>
      </c>
      <c r="L6568" s="282">
        <f>++Tabla4[[#This Row],[Precio Unitario Neto]]-Tabla4[[#This Row],[20.85%]]</f>
        <v>4243.9001591999995</v>
      </c>
      <c r="M6568" s="282" t="e">
        <f>(INDEX(Tabla6[#All],MATCH(Tabla4[[#This Row],[Producto]],Tabla6[[#All],[PRODUCTO]],0),MATCH(Tabla4[[#This Row],[Mes]],Tabla6[#Headers],0)))*(1+Catalogos!$L$2)</f>
        <v>#N/A</v>
      </c>
      <c r="N6568" s="283" t="e">
        <f>+(Tabla4[[#This Row],[Precio Descontado]]-Tabla4[[#This Row],[Precio Base]])*Tabla4[[#This Row],[Cantidad]]</f>
        <v>#N/A</v>
      </c>
      <c r="O6568" s="284" t="e">
        <f>++Tabla4[[#This Row],[Utilidad Total]]/Tabla4[[#This Row],[Total]]</f>
        <v>#N/A</v>
      </c>
      <c r="P6568" s="282">
        <f>++Tabla4[[#This Row],[Precio Descontado]]*Tabla4[[#This Row],[Cantidad]]</f>
        <v>4243.9001591999995</v>
      </c>
      <c r="Q6568" s="282" t="e">
        <f>(INDEX(Tabla6[#All],MATCH(Tabla4[[#This Row],[Producto]],Tabla6[[#All],[PRODUCTO]],0),MATCH(Tabla4[[#This Row],[Mes]],Tabla6[#Headers],0)))</f>
        <v>#N/A</v>
      </c>
      <c r="R6568" s="282" t="e">
        <f>++Tabla4[[#This Row],[Precio Unitario Neto]]-Tabla4[[#This Row],[20.85%]]-Tabla4[[#This Row],[Costo]]</f>
        <v>#N/A</v>
      </c>
      <c r="S6568" s="282" t="e">
        <f>++Tabla4[[#This Row],[U. Bruta Uni]]*Tabla4[[#This Row],[Cantidad]]</f>
        <v>#N/A</v>
      </c>
      <c r="T6568" s="369" t="str">
        <f>VLOOKUP(Tabla4[[#This Row],[Producto]],Tabla6[#All],14,FALSE)</f>
        <v>Termico Solar</v>
      </c>
      <c r="U6568" s="284" t="e">
        <f>(IF(Tabla4[[#This Row],[Familia]]="termico solar",Tabla4[[#This Row],[Utilidad Total]]*6%,Tabla4[[#This Row],[Utilidad Total]]*11.5%))/Tabla4[[#This Row],[Total]]</f>
        <v>#N/A</v>
      </c>
      <c r="V6568" s="282" t="e">
        <f>+Tabla4[[#This Row],[Comisión Calculada]]*Tabla4[[#This Row],[Total]]</f>
        <v>#N/A</v>
      </c>
    </row>
    <row r="6569" spans="1:22" hidden="1" x14ac:dyDescent="0.25">
      <c r="A6569" s="100">
        <v>45961</v>
      </c>
      <c r="B6569" t="str">
        <f t="shared" si="393"/>
        <v>October</v>
      </c>
      <c r="C6569" s="46" t="s">
        <v>280</v>
      </c>
      <c r="F6569" s="366" t="s">
        <v>3331</v>
      </c>
      <c r="G6569" s="46" t="s">
        <v>208</v>
      </c>
      <c r="H6569" s="46">
        <v>4</v>
      </c>
      <c r="I6569" s="51">
        <v>189.75</v>
      </c>
      <c r="J6569" s="281">
        <f>++Tabla4[[#This Row],[Precio Bruto]]*1.16</f>
        <v>220.10999999999999</v>
      </c>
      <c r="K6569" s="281">
        <f>+Tabla4[[#This Row],[Precio Unitario Neto]]*Tabla4[[#Headers],[20.85%]]</f>
        <v>45.892934999999994</v>
      </c>
      <c r="L6569" s="282">
        <f>++Tabla4[[#This Row],[Precio Unitario Neto]]-Tabla4[[#This Row],[20.85%]]</f>
        <v>174.21706499999999</v>
      </c>
      <c r="M6569" s="282" t="e">
        <f>(INDEX(Tabla6[#All],MATCH(Tabla4[[#This Row],[Producto]],Tabla6[[#All],[PRODUCTO]],0),MATCH(Tabla4[[#This Row],[Mes]],Tabla6[#Headers],0)))*(1+Catalogos!$L$2)</f>
        <v>#N/A</v>
      </c>
      <c r="N6569" s="283" t="e">
        <f>+(Tabla4[[#This Row],[Precio Descontado]]-Tabla4[[#This Row],[Precio Base]])*Tabla4[[#This Row],[Cantidad]]</f>
        <v>#N/A</v>
      </c>
      <c r="O6569" s="284" t="e">
        <f>++Tabla4[[#This Row],[Utilidad Total]]/Tabla4[[#This Row],[Total]]</f>
        <v>#N/A</v>
      </c>
      <c r="P6569" s="282">
        <f>++Tabla4[[#This Row],[Precio Descontado]]*Tabla4[[#This Row],[Cantidad]]</f>
        <v>696.86825999999996</v>
      </c>
      <c r="Q6569" s="282" t="e">
        <f>(INDEX(Tabla6[#All],MATCH(Tabla4[[#This Row],[Producto]],Tabla6[[#All],[PRODUCTO]],0),MATCH(Tabla4[[#This Row],[Mes]],Tabla6[#Headers],0)))</f>
        <v>#N/A</v>
      </c>
      <c r="R6569" s="282" t="e">
        <f>++Tabla4[[#This Row],[Precio Unitario Neto]]-Tabla4[[#This Row],[20.85%]]-Tabla4[[#This Row],[Costo]]</f>
        <v>#N/A</v>
      </c>
      <c r="S6569" s="282" t="e">
        <f>++Tabla4[[#This Row],[U. Bruta Uni]]*Tabla4[[#This Row],[Cantidad]]</f>
        <v>#N/A</v>
      </c>
      <c r="T6569" s="369" t="str">
        <f>VLOOKUP(Tabla4[[#This Row],[Producto]],Tabla6[#All],14,FALSE)</f>
        <v>Termico Solar</v>
      </c>
      <c r="U6569" s="284" t="e">
        <f>(IF(Tabla4[[#This Row],[Familia]]="termico solar",Tabla4[[#This Row],[Utilidad Total]]*6%,Tabla4[[#This Row],[Utilidad Total]]*11.5%))/Tabla4[[#This Row],[Total]]</f>
        <v>#N/A</v>
      </c>
      <c r="V6569" s="282" t="e">
        <f>+Tabla4[[#This Row],[Comisión Calculada]]*Tabla4[[#This Row],[Total]]</f>
        <v>#N/A</v>
      </c>
    </row>
    <row r="6570" spans="1:22" hidden="1" x14ac:dyDescent="0.25">
      <c r="A6570" s="100">
        <v>45961</v>
      </c>
      <c r="B6570" t="str">
        <f>TEXT(A6570, "mmmm")</f>
        <v>October</v>
      </c>
      <c r="C6570" s="46" t="s">
        <v>280</v>
      </c>
      <c r="F6570" s="366" t="s">
        <v>3332</v>
      </c>
      <c r="G6570" s="46" t="s">
        <v>17</v>
      </c>
      <c r="H6570" s="46">
        <v>1</v>
      </c>
      <c r="I6570" s="51">
        <v>4622.28</v>
      </c>
      <c r="J6570" s="281">
        <f>++Tabla4[[#This Row],[Precio Bruto]]*1.16</f>
        <v>5361.8447999999989</v>
      </c>
      <c r="K6570" s="281">
        <f>+Tabla4[[#This Row],[Precio Unitario Neto]]*Tabla4[[#Headers],[20.85%]]</f>
        <v>1117.9446407999997</v>
      </c>
      <c r="L6570" s="282">
        <f>++Tabla4[[#This Row],[Precio Unitario Neto]]-Tabla4[[#This Row],[20.85%]]</f>
        <v>4243.9001591999995</v>
      </c>
      <c r="M6570" s="282" t="e">
        <f>(INDEX(Tabla6[#All],MATCH(Tabla4[[#This Row],[Producto]],Tabla6[[#All],[PRODUCTO]],0),MATCH(Tabla4[[#This Row],[Mes]],Tabla6[#Headers],0)))*(1+Catalogos!$L$2)</f>
        <v>#N/A</v>
      </c>
      <c r="N6570" s="283" t="e">
        <f>+(Tabla4[[#This Row],[Precio Descontado]]-Tabla4[[#This Row],[Precio Base]])*Tabla4[[#This Row],[Cantidad]]</f>
        <v>#N/A</v>
      </c>
      <c r="O6570" s="284" t="e">
        <f>++Tabla4[[#This Row],[Utilidad Total]]/Tabla4[[#This Row],[Total]]</f>
        <v>#N/A</v>
      </c>
      <c r="P6570" s="282">
        <f>++Tabla4[[#This Row],[Precio Descontado]]*Tabla4[[#This Row],[Cantidad]]</f>
        <v>4243.9001591999995</v>
      </c>
      <c r="Q6570" s="282" t="e">
        <f>(INDEX(Tabla6[#All],MATCH(Tabla4[[#This Row],[Producto]],Tabla6[[#All],[PRODUCTO]],0),MATCH(Tabla4[[#This Row],[Mes]],Tabla6[#Headers],0)))</f>
        <v>#N/A</v>
      </c>
      <c r="R6570" s="282" t="e">
        <f>++Tabla4[[#This Row],[Precio Unitario Neto]]-Tabla4[[#This Row],[20.85%]]-Tabla4[[#This Row],[Costo]]</f>
        <v>#N/A</v>
      </c>
      <c r="S6570" s="282" t="e">
        <f>++Tabla4[[#This Row],[U. Bruta Uni]]*Tabla4[[#This Row],[Cantidad]]</f>
        <v>#N/A</v>
      </c>
      <c r="T6570" s="369" t="str">
        <f>VLOOKUP(Tabla4[[#This Row],[Producto]],Tabla6[#All],14,FALSE)</f>
        <v>Termico Solar</v>
      </c>
      <c r="U6570" s="284" t="e">
        <f>(IF(Tabla4[[#This Row],[Familia]]="termico solar",Tabla4[[#This Row],[Utilidad Total]]*6%,Tabla4[[#This Row],[Utilidad Total]]*11.5%))/Tabla4[[#This Row],[Total]]</f>
        <v>#N/A</v>
      </c>
      <c r="V6570" s="282" t="e">
        <f>+Tabla4[[#This Row],[Comisión Calculada]]*Tabla4[[#This Row],[Total]]</f>
        <v>#N/A</v>
      </c>
    </row>
    <row r="6571" spans="1:22" hidden="1" x14ac:dyDescent="0.25">
      <c r="A6571" s="100">
        <v>45961</v>
      </c>
      <c r="B6571" t="str">
        <f t="shared" ref="B6571:B6575" si="394">TEXT(A6571, "mmmm")</f>
        <v>October</v>
      </c>
      <c r="C6571" s="46" t="s">
        <v>280</v>
      </c>
      <c r="F6571" s="366" t="s">
        <v>3333</v>
      </c>
      <c r="G6571" s="46" t="s">
        <v>83</v>
      </c>
      <c r="H6571" s="46">
        <v>1</v>
      </c>
      <c r="I6571" s="51">
        <v>8858.76</v>
      </c>
      <c r="J6571" s="281">
        <f>++Tabla4[[#This Row],[Precio Bruto]]*1.16</f>
        <v>10276.161599999999</v>
      </c>
      <c r="K6571" s="281">
        <f>+Tabla4[[#This Row],[Precio Unitario Neto]]*Tabla4[[#Headers],[20.85%]]</f>
        <v>2142.5796935999997</v>
      </c>
      <c r="L6571" s="282">
        <f>++Tabla4[[#This Row],[Precio Unitario Neto]]-Tabla4[[#This Row],[20.85%]]</f>
        <v>8133.5819063999998</v>
      </c>
      <c r="M6571" s="282" t="e">
        <f>(INDEX(Tabla6[#All],MATCH(Tabla4[[#This Row],[Producto]],Tabla6[[#All],[PRODUCTO]],0),MATCH(Tabla4[[#This Row],[Mes]],Tabla6[#Headers],0)))*(1+Catalogos!$L$2)</f>
        <v>#N/A</v>
      </c>
      <c r="N6571" s="283" t="e">
        <f>+(Tabla4[[#This Row],[Precio Descontado]]-Tabla4[[#This Row],[Precio Base]])*Tabla4[[#This Row],[Cantidad]]</f>
        <v>#N/A</v>
      </c>
      <c r="O6571" s="284" t="e">
        <f>++Tabla4[[#This Row],[Utilidad Total]]/Tabla4[[#This Row],[Total]]</f>
        <v>#N/A</v>
      </c>
      <c r="P6571" s="282">
        <f>++Tabla4[[#This Row],[Precio Descontado]]*Tabla4[[#This Row],[Cantidad]]</f>
        <v>8133.5819063999998</v>
      </c>
      <c r="Q6571" s="282" t="e">
        <f>(INDEX(Tabla6[#All],MATCH(Tabla4[[#This Row],[Producto]],Tabla6[[#All],[PRODUCTO]],0),MATCH(Tabla4[[#This Row],[Mes]],Tabla6[#Headers],0)))</f>
        <v>#N/A</v>
      </c>
      <c r="R6571" s="282" t="e">
        <f>++Tabla4[[#This Row],[Precio Unitario Neto]]-Tabla4[[#This Row],[20.85%]]-Tabla4[[#This Row],[Costo]]</f>
        <v>#N/A</v>
      </c>
      <c r="S6571" s="282" t="e">
        <f>++Tabla4[[#This Row],[U. Bruta Uni]]*Tabla4[[#This Row],[Cantidad]]</f>
        <v>#N/A</v>
      </c>
      <c r="T6571" s="369" t="str">
        <f>VLOOKUP(Tabla4[[#This Row],[Producto]],Tabla6[#All],14,FALSE)</f>
        <v>Termico Solar</v>
      </c>
      <c r="U6571" s="284" t="e">
        <f>(IF(Tabla4[[#This Row],[Familia]]="termico solar",Tabla4[[#This Row],[Utilidad Total]]*6%,Tabla4[[#This Row],[Utilidad Total]]*11.5%))/Tabla4[[#This Row],[Total]]</f>
        <v>#N/A</v>
      </c>
      <c r="V6571" s="282" t="e">
        <f>+Tabla4[[#This Row],[Comisión Calculada]]*Tabla4[[#This Row],[Total]]</f>
        <v>#N/A</v>
      </c>
    </row>
    <row r="6572" spans="1:22" hidden="1" x14ac:dyDescent="0.25">
      <c r="A6572" s="100">
        <v>45961</v>
      </c>
      <c r="B6572" t="str">
        <f t="shared" si="394"/>
        <v>October</v>
      </c>
      <c r="C6572" s="46" t="s">
        <v>280</v>
      </c>
      <c r="F6572" s="366" t="s">
        <v>3333</v>
      </c>
      <c r="G6572" s="46" t="s">
        <v>17</v>
      </c>
      <c r="H6572" s="46">
        <v>2</v>
      </c>
      <c r="I6572" s="51">
        <v>4622.28</v>
      </c>
      <c r="J6572" s="281">
        <f>++Tabla4[[#This Row],[Precio Bruto]]*1.16</f>
        <v>5361.8447999999989</v>
      </c>
      <c r="K6572" s="281">
        <f>+Tabla4[[#This Row],[Precio Unitario Neto]]*Tabla4[[#Headers],[20.85%]]</f>
        <v>1117.9446407999997</v>
      </c>
      <c r="L6572" s="282">
        <f>++Tabla4[[#This Row],[Precio Unitario Neto]]-Tabla4[[#This Row],[20.85%]]</f>
        <v>4243.9001591999995</v>
      </c>
      <c r="M6572" s="282" t="e">
        <f>(INDEX(Tabla6[#All],MATCH(Tabla4[[#This Row],[Producto]],Tabla6[[#All],[PRODUCTO]],0),MATCH(Tabla4[[#This Row],[Mes]],Tabla6[#Headers],0)))*(1+Catalogos!$L$2)</f>
        <v>#N/A</v>
      </c>
      <c r="N6572" s="283" t="e">
        <f>+(Tabla4[[#This Row],[Precio Descontado]]-Tabla4[[#This Row],[Precio Base]])*Tabla4[[#This Row],[Cantidad]]</f>
        <v>#N/A</v>
      </c>
      <c r="O6572" s="284" t="e">
        <f>++Tabla4[[#This Row],[Utilidad Total]]/Tabla4[[#This Row],[Total]]</f>
        <v>#N/A</v>
      </c>
      <c r="P6572" s="282">
        <f>++Tabla4[[#This Row],[Precio Descontado]]*Tabla4[[#This Row],[Cantidad]]</f>
        <v>8487.800318399999</v>
      </c>
      <c r="Q6572" s="282" t="e">
        <f>(INDEX(Tabla6[#All],MATCH(Tabla4[[#This Row],[Producto]],Tabla6[[#All],[PRODUCTO]],0),MATCH(Tabla4[[#This Row],[Mes]],Tabla6[#Headers],0)))</f>
        <v>#N/A</v>
      </c>
      <c r="R6572" s="282" t="e">
        <f>++Tabla4[[#This Row],[Precio Unitario Neto]]-Tabla4[[#This Row],[20.85%]]-Tabla4[[#This Row],[Costo]]</f>
        <v>#N/A</v>
      </c>
      <c r="S6572" s="282" t="e">
        <f>++Tabla4[[#This Row],[U. Bruta Uni]]*Tabla4[[#This Row],[Cantidad]]</f>
        <v>#N/A</v>
      </c>
      <c r="T6572" s="369" t="str">
        <f>VLOOKUP(Tabla4[[#This Row],[Producto]],Tabla6[#All],14,FALSE)</f>
        <v>Termico Solar</v>
      </c>
      <c r="U6572" s="284" t="e">
        <f>(IF(Tabla4[[#This Row],[Familia]]="termico solar",Tabla4[[#This Row],[Utilidad Total]]*6%,Tabla4[[#This Row],[Utilidad Total]]*11.5%))/Tabla4[[#This Row],[Total]]</f>
        <v>#N/A</v>
      </c>
      <c r="V6572" s="282" t="e">
        <f>+Tabla4[[#This Row],[Comisión Calculada]]*Tabla4[[#This Row],[Total]]</f>
        <v>#N/A</v>
      </c>
    </row>
    <row r="6573" spans="1:22" hidden="1" x14ac:dyDescent="0.25">
      <c r="A6573" s="100">
        <v>45961</v>
      </c>
      <c r="B6573" t="str">
        <f t="shared" si="394"/>
        <v>October</v>
      </c>
      <c r="C6573" s="46" t="s">
        <v>280</v>
      </c>
      <c r="F6573" s="366" t="s">
        <v>3333</v>
      </c>
      <c r="G6573" s="46" t="s">
        <v>18</v>
      </c>
      <c r="H6573" s="46">
        <v>1</v>
      </c>
      <c r="I6573" s="51">
        <v>5367.65</v>
      </c>
      <c r="J6573" s="281">
        <f>++Tabla4[[#This Row],[Precio Bruto]]*1.16</f>
        <v>6226.4739999999993</v>
      </c>
      <c r="K6573" s="281">
        <f>+Tabla4[[#This Row],[Precio Unitario Neto]]*Tabla4[[#Headers],[20.85%]]</f>
        <v>1298.2198289999999</v>
      </c>
      <c r="L6573" s="282">
        <f>++Tabla4[[#This Row],[Precio Unitario Neto]]-Tabla4[[#This Row],[20.85%]]</f>
        <v>4928.2541709999996</v>
      </c>
      <c r="M6573" s="282" t="e">
        <f>(INDEX(Tabla6[#All],MATCH(Tabla4[[#This Row],[Producto]],Tabla6[[#All],[PRODUCTO]],0),MATCH(Tabla4[[#This Row],[Mes]],Tabla6[#Headers],0)))*(1+Catalogos!$L$2)</f>
        <v>#N/A</v>
      </c>
      <c r="N6573" s="283" t="e">
        <f>+(Tabla4[[#This Row],[Precio Descontado]]-Tabla4[[#This Row],[Precio Base]])*Tabla4[[#This Row],[Cantidad]]</f>
        <v>#N/A</v>
      </c>
      <c r="O6573" s="284" t="e">
        <f>++Tabla4[[#This Row],[Utilidad Total]]/Tabla4[[#This Row],[Total]]</f>
        <v>#N/A</v>
      </c>
      <c r="P6573" s="282">
        <f>++Tabla4[[#This Row],[Precio Descontado]]*Tabla4[[#This Row],[Cantidad]]</f>
        <v>4928.2541709999996</v>
      </c>
      <c r="Q6573" s="282" t="e">
        <f>(INDEX(Tabla6[#All],MATCH(Tabla4[[#This Row],[Producto]],Tabla6[[#All],[PRODUCTO]],0),MATCH(Tabla4[[#This Row],[Mes]],Tabla6[#Headers],0)))</f>
        <v>#N/A</v>
      </c>
      <c r="R6573" s="282" t="e">
        <f>++Tabla4[[#This Row],[Precio Unitario Neto]]-Tabla4[[#This Row],[20.85%]]-Tabla4[[#This Row],[Costo]]</f>
        <v>#N/A</v>
      </c>
      <c r="S6573" s="282" t="e">
        <f>++Tabla4[[#This Row],[U. Bruta Uni]]*Tabla4[[#This Row],[Cantidad]]</f>
        <v>#N/A</v>
      </c>
      <c r="T6573" s="369" t="str">
        <f>VLOOKUP(Tabla4[[#This Row],[Producto]],Tabla6[#All],14,FALSE)</f>
        <v>Termico Solar</v>
      </c>
      <c r="U6573" s="284" t="e">
        <f>(IF(Tabla4[[#This Row],[Familia]]="termico solar",Tabla4[[#This Row],[Utilidad Total]]*6%,Tabla4[[#This Row],[Utilidad Total]]*11.5%))/Tabla4[[#This Row],[Total]]</f>
        <v>#N/A</v>
      </c>
      <c r="V6573" s="282" t="e">
        <f>+Tabla4[[#This Row],[Comisión Calculada]]*Tabla4[[#This Row],[Total]]</f>
        <v>#N/A</v>
      </c>
    </row>
    <row r="6574" spans="1:22" hidden="1" x14ac:dyDescent="0.25">
      <c r="A6574" s="100">
        <v>45961</v>
      </c>
      <c r="B6574" t="str">
        <f t="shared" si="394"/>
        <v>October</v>
      </c>
      <c r="C6574" s="46" t="s">
        <v>280</v>
      </c>
      <c r="F6574" s="366" t="s">
        <v>3333</v>
      </c>
      <c r="G6574" s="46" t="s">
        <v>16</v>
      </c>
      <c r="H6574" s="46">
        <v>1</v>
      </c>
      <c r="I6574" s="51">
        <v>4103.8500000000004</v>
      </c>
      <c r="J6574" s="281">
        <f>++Tabla4[[#This Row],[Precio Bruto]]*1.16</f>
        <v>4760.4660000000003</v>
      </c>
      <c r="K6574" s="281">
        <f>+Tabla4[[#This Row],[Precio Unitario Neto]]*Tabla4[[#Headers],[20.85%]]</f>
        <v>992.55716100000006</v>
      </c>
      <c r="L6574" s="282">
        <f>++Tabla4[[#This Row],[Precio Unitario Neto]]-Tabla4[[#This Row],[20.85%]]</f>
        <v>3767.9088390000002</v>
      </c>
      <c r="M6574" s="282" t="e">
        <f>(INDEX(Tabla6[#All],MATCH(Tabla4[[#This Row],[Producto]],Tabla6[[#All],[PRODUCTO]],0),MATCH(Tabla4[[#This Row],[Mes]],Tabla6[#Headers],0)))*(1+Catalogos!$L$2)</f>
        <v>#N/A</v>
      </c>
      <c r="N6574" s="283" t="e">
        <f>+(Tabla4[[#This Row],[Precio Descontado]]-Tabla4[[#This Row],[Precio Base]])*Tabla4[[#This Row],[Cantidad]]</f>
        <v>#N/A</v>
      </c>
      <c r="O6574" s="284" t="e">
        <f>++Tabla4[[#This Row],[Utilidad Total]]/Tabla4[[#This Row],[Total]]</f>
        <v>#N/A</v>
      </c>
      <c r="P6574" s="282">
        <f>++Tabla4[[#This Row],[Precio Descontado]]*Tabla4[[#This Row],[Cantidad]]</f>
        <v>3767.9088390000002</v>
      </c>
      <c r="Q6574" s="282" t="e">
        <f>(INDEX(Tabla6[#All],MATCH(Tabla4[[#This Row],[Producto]],Tabla6[[#All],[PRODUCTO]],0),MATCH(Tabla4[[#This Row],[Mes]],Tabla6[#Headers],0)))</f>
        <v>#N/A</v>
      </c>
      <c r="R6574" s="282" t="e">
        <f>++Tabla4[[#This Row],[Precio Unitario Neto]]-Tabla4[[#This Row],[20.85%]]-Tabla4[[#This Row],[Costo]]</f>
        <v>#N/A</v>
      </c>
      <c r="S6574" s="282" t="e">
        <f>++Tabla4[[#This Row],[U. Bruta Uni]]*Tabla4[[#This Row],[Cantidad]]</f>
        <v>#N/A</v>
      </c>
      <c r="T6574" s="369" t="str">
        <f>VLOOKUP(Tabla4[[#This Row],[Producto]],Tabla6[#All],14,FALSE)</f>
        <v>Termico Solar</v>
      </c>
      <c r="U6574" s="284" t="e">
        <f>(IF(Tabla4[[#This Row],[Familia]]="termico solar",Tabla4[[#This Row],[Utilidad Total]]*6%,Tabla4[[#This Row],[Utilidad Total]]*11.5%))/Tabla4[[#This Row],[Total]]</f>
        <v>#N/A</v>
      </c>
      <c r="V6574" s="282" t="e">
        <f>+Tabla4[[#This Row],[Comisión Calculada]]*Tabla4[[#This Row],[Total]]</f>
        <v>#N/A</v>
      </c>
    </row>
    <row r="6575" spans="1:22" hidden="1" x14ac:dyDescent="0.25">
      <c r="A6575" s="100">
        <v>45961</v>
      </c>
      <c r="B6575" t="str">
        <f t="shared" si="394"/>
        <v>October</v>
      </c>
      <c r="C6575" s="46" t="s">
        <v>280</v>
      </c>
      <c r="F6575" s="366" t="s">
        <v>3333</v>
      </c>
      <c r="G6575" s="46" t="s">
        <v>208</v>
      </c>
      <c r="H6575" s="46">
        <v>3</v>
      </c>
      <c r="I6575" s="51">
        <v>189.75</v>
      </c>
      <c r="J6575" s="281">
        <f>++Tabla4[[#This Row],[Precio Bruto]]*1.16</f>
        <v>220.10999999999999</v>
      </c>
      <c r="K6575" s="281">
        <f>+Tabla4[[#This Row],[Precio Unitario Neto]]*Tabla4[[#Headers],[20.85%]]</f>
        <v>45.892934999999994</v>
      </c>
      <c r="L6575" s="282">
        <f>++Tabla4[[#This Row],[Precio Unitario Neto]]-Tabla4[[#This Row],[20.85%]]</f>
        <v>174.21706499999999</v>
      </c>
      <c r="M6575" s="282" t="e">
        <f>(INDEX(Tabla6[#All],MATCH(Tabla4[[#This Row],[Producto]],Tabla6[[#All],[PRODUCTO]],0),MATCH(Tabla4[[#This Row],[Mes]],Tabla6[#Headers],0)))*(1+Catalogos!$L$2)</f>
        <v>#N/A</v>
      </c>
      <c r="N6575" s="283" t="e">
        <f>+(Tabla4[[#This Row],[Precio Descontado]]-Tabla4[[#This Row],[Precio Base]])*Tabla4[[#This Row],[Cantidad]]</f>
        <v>#N/A</v>
      </c>
      <c r="O6575" s="284" t="e">
        <f>++Tabla4[[#This Row],[Utilidad Total]]/Tabla4[[#This Row],[Total]]</f>
        <v>#N/A</v>
      </c>
      <c r="P6575" s="282">
        <f>++Tabla4[[#This Row],[Precio Descontado]]*Tabla4[[#This Row],[Cantidad]]</f>
        <v>522.65119499999992</v>
      </c>
      <c r="Q6575" s="282" t="e">
        <f>(INDEX(Tabla6[#All],MATCH(Tabla4[[#This Row],[Producto]],Tabla6[[#All],[PRODUCTO]],0),MATCH(Tabla4[[#This Row],[Mes]],Tabla6[#Headers],0)))</f>
        <v>#N/A</v>
      </c>
      <c r="R6575" s="282" t="e">
        <f>++Tabla4[[#This Row],[Precio Unitario Neto]]-Tabla4[[#This Row],[20.85%]]-Tabla4[[#This Row],[Costo]]</f>
        <v>#N/A</v>
      </c>
      <c r="S6575" s="282" t="e">
        <f>++Tabla4[[#This Row],[U. Bruta Uni]]*Tabla4[[#This Row],[Cantidad]]</f>
        <v>#N/A</v>
      </c>
      <c r="T6575" s="369" t="str">
        <f>VLOOKUP(Tabla4[[#This Row],[Producto]],Tabla6[#All],14,FALSE)</f>
        <v>Termico Solar</v>
      </c>
      <c r="U6575" s="284" t="e">
        <f>(IF(Tabla4[[#This Row],[Familia]]="termico solar",Tabla4[[#This Row],[Utilidad Total]]*6%,Tabla4[[#This Row],[Utilidad Total]]*11.5%))/Tabla4[[#This Row],[Total]]</f>
        <v>#N/A</v>
      </c>
      <c r="V6575" s="282" t="e">
        <f>+Tabla4[[#This Row],[Comisión Calculada]]*Tabla4[[#This Row],[Total]]</f>
        <v>#N/A</v>
      </c>
    </row>
    <row r="6576" spans="1:22" hidden="1" x14ac:dyDescent="0.25">
      <c r="A6576" s="100">
        <v>45961</v>
      </c>
      <c r="B6576" t="str">
        <f t="shared" ref="B6576:B6577" si="395">TEXT(A6576, "mmmm")</f>
        <v>October</v>
      </c>
      <c r="C6576" s="46" t="s">
        <v>280</v>
      </c>
      <c r="F6576" s="366" t="s">
        <v>3334</v>
      </c>
      <c r="G6576" s="46" t="s">
        <v>83</v>
      </c>
      <c r="H6576" s="46">
        <v>1</v>
      </c>
      <c r="I6576" s="51">
        <v>8858.76</v>
      </c>
      <c r="J6576" s="281">
        <f>++Tabla4[[#This Row],[Precio Bruto]]*1.16</f>
        <v>10276.161599999999</v>
      </c>
      <c r="K6576" s="281">
        <f>+Tabla4[[#This Row],[Precio Unitario Neto]]*Tabla4[[#Headers],[20.85%]]</f>
        <v>2142.5796935999997</v>
      </c>
      <c r="L6576" s="282">
        <f>++Tabla4[[#This Row],[Precio Unitario Neto]]-Tabla4[[#This Row],[20.85%]]</f>
        <v>8133.5819063999998</v>
      </c>
      <c r="M6576" s="282" t="e">
        <f>(INDEX(Tabla6[#All],MATCH(Tabla4[[#This Row],[Producto]],Tabla6[[#All],[PRODUCTO]],0),MATCH(Tabla4[[#This Row],[Mes]],Tabla6[#Headers],0)))*(1+Catalogos!$L$2)</f>
        <v>#N/A</v>
      </c>
      <c r="N6576" s="283" t="e">
        <f>+(Tabla4[[#This Row],[Precio Descontado]]-Tabla4[[#This Row],[Precio Base]])*Tabla4[[#This Row],[Cantidad]]</f>
        <v>#N/A</v>
      </c>
      <c r="O6576" s="284" t="e">
        <f>++Tabla4[[#This Row],[Utilidad Total]]/Tabla4[[#This Row],[Total]]</f>
        <v>#N/A</v>
      </c>
      <c r="P6576" s="282">
        <f>++Tabla4[[#This Row],[Precio Descontado]]*Tabla4[[#This Row],[Cantidad]]</f>
        <v>8133.5819063999998</v>
      </c>
      <c r="Q6576" s="282" t="e">
        <f>(INDEX(Tabla6[#All],MATCH(Tabla4[[#This Row],[Producto]],Tabla6[[#All],[PRODUCTO]],0),MATCH(Tabla4[[#This Row],[Mes]],Tabla6[#Headers],0)))</f>
        <v>#N/A</v>
      </c>
      <c r="R6576" s="282" t="e">
        <f>++Tabla4[[#This Row],[Precio Unitario Neto]]-Tabla4[[#This Row],[20.85%]]-Tabla4[[#This Row],[Costo]]</f>
        <v>#N/A</v>
      </c>
      <c r="S6576" s="282" t="e">
        <f>++Tabla4[[#This Row],[U. Bruta Uni]]*Tabla4[[#This Row],[Cantidad]]</f>
        <v>#N/A</v>
      </c>
      <c r="T6576" s="369" t="str">
        <f>VLOOKUP(Tabla4[[#This Row],[Producto]],Tabla6[#All],14,FALSE)</f>
        <v>Termico Solar</v>
      </c>
      <c r="U6576" s="284" t="e">
        <f>(IF(Tabla4[[#This Row],[Familia]]="termico solar",Tabla4[[#This Row],[Utilidad Total]]*6%,Tabla4[[#This Row],[Utilidad Total]]*11.5%))/Tabla4[[#This Row],[Total]]</f>
        <v>#N/A</v>
      </c>
      <c r="V6576" s="282" t="e">
        <f>+Tabla4[[#This Row],[Comisión Calculada]]*Tabla4[[#This Row],[Total]]</f>
        <v>#N/A</v>
      </c>
    </row>
    <row r="6577" spans="1:22" hidden="1" x14ac:dyDescent="0.25">
      <c r="A6577" s="100">
        <v>45961</v>
      </c>
      <c r="B6577" t="str">
        <f t="shared" si="395"/>
        <v>October</v>
      </c>
      <c r="C6577" s="46" t="s">
        <v>280</v>
      </c>
      <c r="F6577" s="366" t="s">
        <v>3334</v>
      </c>
      <c r="G6577" s="46" t="s">
        <v>16</v>
      </c>
      <c r="H6577" s="46">
        <v>1</v>
      </c>
      <c r="I6577" s="51">
        <v>4103.8500000000004</v>
      </c>
      <c r="J6577" s="281">
        <f>++Tabla4[[#This Row],[Precio Bruto]]*1.16</f>
        <v>4760.4660000000003</v>
      </c>
      <c r="K6577" s="281">
        <f>+Tabla4[[#This Row],[Precio Unitario Neto]]*Tabla4[[#Headers],[20.85%]]</f>
        <v>992.55716100000006</v>
      </c>
      <c r="L6577" s="282">
        <f>++Tabla4[[#This Row],[Precio Unitario Neto]]-Tabla4[[#This Row],[20.85%]]</f>
        <v>3767.9088390000002</v>
      </c>
      <c r="M6577" s="282" t="e">
        <f>(INDEX(Tabla6[#All],MATCH(Tabla4[[#This Row],[Producto]],Tabla6[[#All],[PRODUCTO]],0),MATCH(Tabla4[[#This Row],[Mes]],Tabla6[#Headers],0)))*(1+Catalogos!$L$2)</f>
        <v>#N/A</v>
      </c>
      <c r="N6577" s="283" t="e">
        <f>+(Tabla4[[#This Row],[Precio Descontado]]-Tabla4[[#This Row],[Precio Base]])*Tabla4[[#This Row],[Cantidad]]</f>
        <v>#N/A</v>
      </c>
      <c r="O6577" s="284" t="e">
        <f>++Tabla4[[#This Row],[Utilidad Total]]/Tabla4[[#This Row],[Total]]</f>
        <v>#N/A</v>
      </c>
      <c r="P6577" s="282">
        <f>++Tabla4[[#This Row],[Precio Descontado]]*Tabla4[[#This Row],[Cantidad]]</f>
        <v>3767.9088390000002</v>
      </c>
      <c r="Q6577" s="282" t="e">
        <f>(INDEX(Tabla6[#All],MATCH(Tabla4[[#This Row],[Producto]],Tabla6[[#All],[PRODUCTO]],0),MATCH(Tabla4[[#This Row],[Mes]],Tabla6[#Headers],0)))</f>
        <v>#N/A</v>
      </c>
      <c r="R6577" s="282" t="e">
        <f>++Tabla4[[#This Row],[Precio Unitario Neto]]-Tabla4[[#This Row],[20.85%]]-Tabla4[[#This Row],[Costo]]</f>
        <v>#N/A</v>
      </c>
      <c r="S6577" s="282" t="e">
        <f>++Tabla4[[#This Row],[U. Bruta Uni]]*Tabla4[[#This Row],[Cantidad]]</f>
        <v>#N/A</v>
      </c>
      <c r="T6577" s="369" t="str">
        <f>VLOOKUP(Tabla4[[#This Row],[Producto]],Tabla6[#All],14,FALSE)</f>
        <v>Termico Solar</v>
      </c>
      <c r="U6577" s="284" t="e">
        <f>(IF(Tabla4[[#This Row],[Familia]]="termico solar",Tabla4[[#This Row],[Utilidad Total]]*6%,Tabla4[[#This Row],[Utilidad Total]]*11.5%))/Tabla4[[#This Row],[Total]]</f>
        <v>#N/A</v>
      </c>
      <c r="V6577" s="282" t="e">
        <f>+Tabla4[[#This Row],[Comisión Calculada]]*Tabla4[[#This Row],[Total]]</f>
        <v>#N/A</v>
      </c>
    </row>
    <row r="6578" spans="1:22" hidden="1" x14ac:dyDescent="0.25">
      <c r="A6578" s="100">
        <v>45961</v>
      </c>
      <c r="B6578" t="str">
        <f t="shared" ref="B6578:B6579" si="396">TEXT(A6578, "mmmm")</f>
        <v>October</v>
      </c>
      <c r="C6578" s="46" t="s">
        <v>280</v>
      </c>
      <c r="F6578" s="366" t="s">
        <v>3335</v>
      </c>
      <c r="G6578" s="46" t="s">
        <v>17</v>
      </c>
      <c r="H6578" s="46">
        <v>1</v>
      </c>
      <c r="I6578" s="51">
        <v>4622.28</v>
      </c>
      <c r="J6578" s="281">
        <f>++Tabla4[[#This Row],[Precio Bruto]]*1.16</f>
        <v>5361.8447999999989</v>
      </c>
      <c r="K6578" s="281">
        <f>+Tabla4[[#This Row],[Precio Unitario Neto]]*Tabla4[[#Headers],[20.85%]]</f>
        <v>1117.9446407999997</v>
      </c>
      <c r="L6578" s="282">
        <f>++Tabla4[[#This Row],[Precio Unitario Neto]]-Tabla4[[#This Row],[20.85%]]</f>
        <v>4243.9001591999995</v>
      </c>
      <c r="M6578" s="282" t="e">
        <f>(INDEX(Tabla6[#All],MATCH(Tabla4[[#This Row],[Producto]],Tabla6[[#All],[PRODUCTO]],0),MATCH(Tabla4[[#This Row],[Mes]],Tabla6[#Headers],0)))*(1+Catalogos!$L$2)</f>
        <v>#N/A</v>
      </c>
      <c r="N6578" s="283" t="e">
        <f>+(Tabla4[[#This Row],[Precio Descontado]]-Tabla4[[#This Row],[Precio Base]])*Tabla4[[#This Row],[Cantidad]]</f>
        <v>#N/A</v>
      </c>
      <c r="O6578" s="284" t="e">
        <f>++Tabla4[[#This Row],[Utilidad Total]]/Tabla4[[#This Row],[Total]]</f>
        <v>#N/A</v>
      </c>
      <c r="P6578" s="282">
        <f>++Tabla4[[#This Row],[Precio Descontado]]*Tabla4[[#This Row],[Cantidad]]</f>
        <v>4243.9001591999995</v>
      </c>
      <c r="Q6578" s="282" t="e">
        <f>(INDEX(Tabla6[#All],MATCH(Tabla4[[#This Row],[Producto]],Tabla6[[#All],[PRODUCTO]],0),MATCH(Tabla4[[#This Row],[Mes]],Tabla6[#Headers],0)))</f>
        <v>#N/A</v>
      </c>
      <c r="R6578" s="282" t="e">
        <f>++Tabla4[[#This Row],[Precio Unitario Neto]]-Tabla4[[#This Row],[20.85%]]-Tabla4[[#This Row],[Costo]]</f>
        <v>#N/A</v>
      </c>
      <c r="S6578" s="282" t="e">
        <f>++Tabla4[[#This Row],[U. Bruta Uni]]*Tabla4[[#This Row],[Cantidad]]</f>
        <v>#N/A</v>
      </c>
      <c r="T6578" s="369" t="str">
        <f>VLOOKUP(Tabla4[[#This Row],[Producto]],Tabla6[#All],14,FALSE)</f>
        <v>Termico Solar</v>
      </c>
      <c r="U6578" s="284" t="e">
        <f>(IF(Tabla4[[#This Row],[Familia]]="termico solar",Tabla4[[#This Row],[Utilidad Total]]*6%,Tabla4[[#This Row],[Utilidad Total]]*11.5%))/Tabla4[[#This Row],[Total]]</f>
        <v>#N/A</v>
      </c>
      <c r="V6578" s="282" t="e">
        <f>+Tabla4[[#This Row],[Comisión Calculada]]*Tabla4[[#This Row],[Total]]</f>
        <v>#N/A</v>
      </c>
    </row>
    <row r="6579" spans="1:22" hidden="1" x14ac:dyDescent="0.25">
      <c r="A6579" s="100">
        <v>45961</v>
      </c>
      <c r="B6579" t="str">
        <f t="shared" si="396"/>
        <v>October</v>
      </c>
      <c r="C6579" s="46" t="s">
        <v>280</v>
      </c>
      <c r="F6579" s="366" t="s">
        <v>3335</v>
      </c>
      <c r="G6579" s="46" t="s">
        <v>555</v>
      </c>
      <c r="H6579" s="46">
        <v>8</v>
      </c>
      <c r="I6579" s="51">
        <v>389.47</v>
      </c>
      <c r="J6579" s="281">
        <f>++Tabla4[[#This Row],[Precio Bruto]]*1.16</f>
        <v>451.78519999999997</v>
      </c>
      <c r="K6579" s="281">
        <f>+Tabla4[[#This Row],[Precio Unitario Neto]]*Tabla4[[#Headers],[20.85%]]</f>
        <v>94.197214199999991</v>
      </c>
      <c r="L6579" s="282">
        <f>++Tabla4[[#This Row],[Precio Unitario Neto]]-Tabla4[[#This Row],[20.85%]]</f>
        <v>357.58798579999996</v>
      </c>
      <c r="M6579" s="282" t="e">
        <f>(INDEX(Tabla6[#All],MATCH(Tabla4[[#This Row],[Producto]],Tabla6[[#All],[PRODUCTO]],0),MATCH(Tabla4[[#This Row],[Mes]],Tabla6[#Headers],0)))*(1+Catalogos!$L$2)</f>
        <v>#N/A</v>
      </c>
      <c r="N6579" s="283" t="e">
        <f>+(Tabla4[[#This Row],[Precio Descontado]]-Tabla4[[#This Row],[Precio Base]])*Tabla4[[#This Row],[Cantidad]]</f>
        <v>#N/A</v>
      </c>
      <c r="O6579" s="284" t="e">
        <f>++Tabla4[[#This Row],[Utilidad Total]]/Tabla4[[#This Row],[Total]]</f>
        <v>#N/A</v>
      </c>
      <c r="P6579" s="282">
        <f>++Tabla4[[#This Row],[Precio Descontado]]*Tabla4[[#This Row],[Cantidad]]</f>
        <v>2860.7038863999996</v>
      </c>
      <c r="Q6579" s="282" t="e">
        <f>(INDEX(Tabla6[#All],MATCH(Tabla4[[#This Row],[Producto]],Tabla6[[#All],[PRODUCTO]],0),MATCH(Tabla4[[#This Row],[Mes]],Tabla6[#Headers],0)))</f>
        <v>#N/A</v>
      </c>
      <c r="R6579" s="282" t="e">
        <f>++Tabla4[[#This Row],[Precio Unitario Neto]]-Tabla4[[#This Row],[20.85%]]-Tabla4[[#This Row],[Costo]]</f>
        <v>#N/A</v>
      </c>
      <c r="S6579" s="282" t="e">
        <f>++Tabla4[[#This Row],[U. Bruta Uni]]*Tabla4[[#This Row],[Cantidad]]</f>
        <v>#N/A</v>
      </c>
      <c r="T6579" s="369" t="str">
        <f>VLOOKUP(Tabla4[[#This Row],[Producto]],Tabla6[#All],14,FALSE)</f>
        <v>Termico Solar</v>
      </c>
      <c r="U6579" s="284" t="e">
        <f>(IF(Tabla4[[#This Row],[Familia]]="termico solar",Tabla4[[#This Row],[Utilidad Total]]*6%,Tabla4[[#This Row],[Utilidad Total]]*11.5%))/Tabla4[[#This Row],[Total]]</f>
        <v>#N/A</v>
      </c>
      <c r="V6579" s="282" t="e">
        <f>+Tabla4[[#This Row],[Comisión Calculada]]*Tabla4[[#This Row],[Total]]</f>
        <v>#N/A</v>
      </c>
    </row>
    <row r="6580" spans="1:22" hidden="1" x14ac:dyDescent="0.25">
      <c r="A6580" s="100">
        <v>45961</v>
      </c>
      <c r="B6580" t="str">
        <f t="shared" ref="B6580:B6581" si="397">TEXT(A6580, "mmmm")</f>
        <v>October</v>
      </c>
      <c r="C6580" s="46" t="s">
        <v>280</v>
      </c>
      <c r="F6580" s="366" t="s">
        <v>3336</v>
      </c>
      <c r="G6580" s="46" t="s">
        <v>18</v>
      </c>
      <c r="H6580" s="46">
        <v>1</v>
      </c>
      <c r="I6580" s="51">
        <v>5367.65</v>
      </c>
      <c r="J6580" s="281">
        <f>++Tabla4[[#This Row],[Precio Bruto]]*1.16</f>
        <v>6226.4739999999993</v>
      </c>
      <c r="K6580" s="281">
        <f>+Tabla4[[#This Row],[Precio Unitario Neto]]*Tabla4[[#Headers],[20.85%]]</f>
        <v>1298.2198289999999</v>
      </c>
      <c r="L6580" s="282">
        <f>++Tabla4[[#This Row],[Precio Unitario Neto]]-Tabla4[[#This Row],[20.85%]]</f>
        <v>4928.2541709999996</v>
      </c>
      <c r="M6580" s="282" t="e">
        <f>(INDEX(Tabla6[#All],MATCH(Tabla4[[#This Row],[Producto]],Tabla6[[#All],[PRODUCTO]],0),MATCH(Tabla4[[#This Row],[Mes]],Tabla6[#Headers],0)))*(1+Catalogos!$L$2)</f>
        <v>#N/A</v>
      </c>
      <c r="N6580" s="283" t="e">
        <f>+(Tabla4[[#This Row],[Precio Descontado]]-Tabla4[[#This Row],[Precio Base]])*Tabla4[[#This Row],[Cantidad]]</f>
        <v>#N/A</v>
      </c>
      <c r="O6580" s="284" t="e">
        <f>++Tabla4[[#This Row],[Utilidad Total]]/Tabla4[[#This Row],[Total]]</f>
        <v>#N/A</v>
      </c>
      <c r="P6580" s="282">
        <f>++Tabla4[[#This Row],[Precio Descontado]]*Tabla4[[#This Row],[Cantidad]]</f>
        <v>4928.2541709999996</v>
      </c>
      <c r="Q6580" s="282" t="e">
        <f>(INDEX(Tabla6[#All],MATCH(Tabla4[[#This Row],[Producto]],Tabla6[[#All],[PRODUCTO]],0),MATCH(Tabla4[[#This Row],[Mes]],Tabla6[#Headers],0)))</f>
        <v>#N/A</v>
      </c>
      <c r="R6580" s="282" t="e">
        <f>++Tabla4[[#This Row],[Precio Unitario Neto]]-Tabla4[[#This Row],[20.85%]]-Tabla4[[#This Row],[Costo]]</f>
        <v>#N/A</v>
      </c>
      <c r="S6580" s="282" t="e">
        <f>++Tabla4[[#This Row],[U. Bruta Uni]]*Tabla4[[#This Row],[Cantidad]]</f>
        <v>#N/A</v>
      </c>
      <c r="T6580" s="369" t="str">
        <f>VLOOKUP(Tabla4[[#This Row],[Producto]],Tabla6[#All],14,FALSE)</f>
        <v>Termico Solar</v>
      </c>
      <c r="U6580" s="284" t="e">
        <f>(IF(Tabla4[[#This Row],[Familia]]="termico solar",Tabla4[[#This Row],[Utilidad Total]]*6%,Tabla4[[#This Row],[Utilidad Total]]*11.5%))/Tabla4[[#This Row],[Total]]</f>
        <v>#N/A</v>
      </c>
      <c r="V6580" s="282" t="e">
        <f>+Tabla4[[#This Row],[Comisión Calculada]]*Tabla4[[#This Row],[Total]]</f>
        <v>#N/A</v>
      </c>
    </row>
    <row r="6581" spans="1:22" hidden="1" x14ac:dyDescent="0.25">
      <c r="A6581" s="100">
        <v>45961</v>
      </c>
      <c r="B6581" t="str">
        <f t="shared" si="397"/>
        <v>October</v>
      </c>
      <c r="C6581" s="46" t="s">
        <v>280</v>
      </c>
      <c r="F6581" s="366" t="s">
        <v>3336</v>
      </c>
      <c r="G6581" s="46" t="s">
        <v>566</v>
      </c>
      <c r="H6581" s="46">
        <v>1</v>
      </c>
      <c r="I6581" s="51">
        <v>2109.4499999999998</v>
      </c>
      <c r="J6581" s="281">
        <f>++Tabla4[[#This Row],[Precio Bruto]]*1.16</f>
        <v>2446.9619999999995</v>
      </c>
      <c r="K6581" s="281">
        <f>+Tabla4[[#This Row],[Precio Unitario Neto]]*Tabla4[[#Headers],[20.85%]]</f>
        <v>510.19157699999988</v>
      </c>
      <c r="L6581" s="282">
        <f>++Tabla4[[#This Row],[Precio Unitario Neto]]-Tabla4[[#This Row],[20.85%]]</f>
        <v>1936.7704229999997</v>
      </c>
      <c r="M6581" s="282" t="e">
        <f>(INDEX(Tabla6[#All],MATCH(Tabla4[[#This Row],[Producto]],Tabla6[[#All],[PRODUCTO]],0),MATCH(Tabla4[[#This Row],[Mes]],Tabla6[#Headers],0)))*(1+Catalogos!$L$2)</f>
        <v>#N/A</v>
      </c>
      <c r="N6581" s="283" t="e">
        <f>+(Tabla4[[#This Row],[Precio Descontado]]-Tabla4[[#This Row],[Precio Base]])*Tabla4[[#This Row],[Cantidad]]</f>
        <v>#N/A</v>
      </c>
      <c r="O6581" s="284" t="e">
        <f>++Tabla4[[#This Row],[Utilidad Total]]/Tabla4[[#This Row],[Total]]</f>
        <v>#N/A</v>
      </c>
      <c r="P6581" s="282">
        <f>++Tabla4[[#This Row],[Precio Descontado]]*Tabla4[[#This Row],[Cantidad]]</f>
        <v>1936.7704229999997</v>
      </c>
      <c r="Q6581" s="282" t="e">
        <f>(INDEX(Tabla6[#All],MATCH(Tabla4[[#This Row],[Producto]],Tabla6[[#All],[PRODUCTO]],0),MATCH(Tabla4[[#This Row],[Mes]],Tabla6[#Headers],0)))</f>
        <v>#N/A</v>
      </c>
      <c r="R6581" s="282" t="e">
        <f>++Tabla4[[#This Row],[Precio Unitario Neto]]-Tabla4[[#This Row],[20.85%]]-Tabla4[[#This Row],[Costo]]</f>
        <v>#N/A</v>
      </c>
      <c r="S6581" s="282" t="e">
        <f>++Tabla4[[#This Row],[U. Bruta Uni]]*Tabla4[[#This Row],[Cantidad]]</f>
        <v>#N/A</v>
      </c>
      <c r="T6581" s="369" t="str">
        <f>VLOOKUP(Tabla4[[#This Row],[Producto]],Tabla6[#All],14,FALSE)</f>
        <v>Termico Solar</v>
      </c>
      <c r="U6581" s="284" t="e">
        <f>(IF(Tabla4[[#This Row],[Familia]]="termico solar",Tabla4[[#This Row],[Utilidad Total]]*6%,Tabla4[[#This Row],[Utilidad Total]]*11.5%))/Tabla4[[#This Row],[Total]]</f>
        <v>#N/A</v>
      </c>
      <c r="V6581" s="282" t="e">
        <f>+Tabla4[[#This Row],[Comisión Calculada]]*Tabla4[[#This Row],[Total]]</f>
        <v>#N/A</v>
      </c>
    </row>
    <row r="6582" spans="1:22" hidden="1" x14ac:dyDescent="0.25">
      <c r="A6582" s="100">
        <v>45961</v>
      </c>
      <c r="B6582" t="str">
        <f t="shared" ref="B6582:B6584" si="398">TEXT(A6582, "mmmm")</f>
        <v>October</v>
      </c>
      <c r="C6582" s="46" t="s">
        <v>280</v>
      </c>
      <c r="F6582" s="366" t="s">
        <v>3337</v>
      </c>
      <c r="G6582" s="46" t="s">
        <v>17</v>
      </c>
      <c r="H6582" s="46">
        <v>4</v>
      </c>
      <c r="I6582" s="51">
        <v>4622.28</v>
      </c>
      <c r="J6582" s="281">
        <f>++Tabla4[[#This Row],[Precio Bruto]]*1.16</f>
        <v>5361.8447999999989</v>
      </c>
      <c r="K6582" s="281">
        <f>+Tabla4[[#This Row],[Precio Unitario Neto]]*Tabla4[[#Headers],[20.85%]]</f>
        <v>1117.9446407999997</v>
      </c>
      <c r="L6582" s="282">
        <f>++Tabla4[[#This Row],[Precio Unitario Neto]]-Tabla4[[#This Row],[20.85%]]</f>
        <v>4243.9001591999995</v>
      </c>
      <c r="M6582" s="282" t="e">
        <f>(INDEX(Tabla6[#All],MATCH(Tabla4[[#This Row],[Producto]],Tabla6[[#All],[PRODUCTO]],0),MATCH(Tabla4[[#This Row],[Mes]],Tabla6[#Headers],0)))*(1+Catalogos!$L$2)</f>
        <v>#N/A</v>
      </c>
      <c r="N6582" s="283" t="e">
        <f>+(Tabla4[[#This Row],[Precio Descontado]]-Tabla4[[#This Row],[Precio Base]])*Tabla4[[#This Row],[Cantidad]]</f>
        <v>#N/A</v>
      </c>
      <c r="O6582" s="284" t="e">
        <f>++Tabla4[[#This Row],[Utilidad Total]]/Tabla4[[#This Row],[Total]]</f>
        <v>#N/A</v>
      </c>
      <c r="P6582" s="282">
        <f>++Tabla4[[#This Row],[Precio Descontado]]*Tabla4[[#This Row],[Cantidad]]</f>
        <v>16975.600636799998</v>
      </c>
      <c r="Q6582" s="282" t="e">
        <f>(INDEX(Tabla6[#All],MATCH(Tabla4[[#This Row],[Producto]],Tabla6[[#All],[PRODUCTO]],0),MATCH(Tabla4[[#This Row],[Mes]],Tabla6[#Headers],0)))</f>
        <v>#N/A</v>
      </c>
      <c r="R6582" s="282" t="e">
        <f>++Tabla4[[#This Row],[Precio Unitario Neto]]-Tabla4[[#This Row],[20.85%]]-Tabla4[[#This Row],[Costo]]</f>
        <v>#N/A</v>
      </c>
      <c r="S6582" s="282" t="e">
        <f>++Tabla4[[#This Row],[U. Bruta Uni]]*Tabla4[[#This Row],[Cantidad]]</f>
        <v>#N/A</v>
      </c>
      <c r="T6582" s="369" t="str">
        <f>VLOOKUP(Tabla4[[#This Row],[Producto]],Tabla6[#All],14,FALSE)</f>
        <v>Termico Solar</v>
      </c>
      <c r="U6582" s="284" t="e">
        <f>(IF(Tabla4[[#This Row],[Familia]]="termico solar",Tabla4[[#This Row],[Utilidad Total]]*6%,Tabla4[[#This Row],[Utilidad Total]]*11.5%))/Tabla4[[#This Row],[Total]]</f>
        <v>#N/A</v>
      </c>
      <c r="V6582" s="282" t="e">
        <f>+Tabla4[[#This Row],[Comisión Calculada]]*Tabla4[[#This Row],[Total]]</f>
        <v>#N/A</v>
      </c>
    </row>
    <row r="6583" spans="1:22" hidden="1" x14ac:dyDescent="0.25">
      <c r="A6583" s="100">
        <v>45961</v>
      </c>
      <c r="B6583" t="str">
        <f t="shared" si="398"/>
        <v>October</v>
      </c>
      <c r="C6583" s="46" t="s">
        <v>280</v>
      </c>
      <c r="F6583" s="366" t="s">
        <v>3337</v>
      </c>
      <c r="G6583" s="46" t="s">
        <v>18</v>
      </c>
      <c r="H6583" s="46">
        <v>2</v>
      </c>
      <c r="I6583" s="51">
        <v>5367.65</v>
      </c>
      <c r="J6583" s="281">
        <f>++Tabla4[[#This Row],[Precio Bruto]]*1.16</f>
        <v>6226.4739999999993</v>
      </c>
      <c r="K6583" s="281">
        <f>+Tabla4[[#This Row],[Precio Unitario Neto]]*Tabla4[[#Headers],[20.85%]]</f>
        <v>1298.2198289999999</v>
      </c>
      <c r="L6583" s="282">
        <f>++Tabla4[[#This Row],[Precio Unitario Neto]]-Tabla4[[#This Row],[20.85%]]</f>
        <v>4928.2541709999996</v>
      </c>
      <c r="M6583" s="282" t="e">
        <f>(INDEX(Tabla6[#All],MATCH(Tabla4[[#This Row],[Producto]],Tabla6[[#All],[PRODUCTO]],0),MATCH(Tabla4[[#This Row],[Mes]],Tabla6[#Headers],0)))*(1+Catalogos!$L$2)</f>
        <v>#N/A</v>
      </c>
      <c r="N6583" s="283" t="e">
        <f>+(Tabla4[[#This Row],[Precio Descontado]]-Tabla4[[#This Row],[Precio Base]])*Tabla4[[#This Row],[Cantidad]]</f>
        <v>#N/A</v>
      </c>
      <c r="O6583" s="284" t="e">
        <f>++Tabla4[[#This Row],[Utilidad Total]]/Tabla4[[#This Row],[Total]]</f>
        <v>#N/A</v>
      </c>
      <c r="P6583" s="282">
        <f>++Tabla4[[#This Row],[Precio Descontado]]*Tabla4[[#This Row],[Cantidad]]</f>
        <v>9856.5083419999992</v>
      </c>
      <c r="Q6583" s="282" t="e">
        <f>(INDEX(Tabla6[#All],MATCH(Tabla4[[#This Row],[Producto]],Tabla6[[#All],[PRODUCTO]],0),MATCH(Tabla4[[#This Row],[Mes]],Tabla6[#Headers],0)))</f>
        <v>#N/A</v>
      </c>
      <c r="R6583" s="282" t="e">
        <f>++Tabla4[[#This Row],[Precio Unitario Neto]]-Tabla4[[#This Row],[20.85%]]-Tabla4[[#This Row],[Costo]]</f>
        <v>#N/A</v>
      </c>
      <c r="S6583" s="282" t="e">
        <f>++Tabla4[[#This Row],[U. Bruta Uni]]*Tabla4[[#This Row],[Cantidad]]</f>
        <v>#N/A</v>
      </c>
      <c r="T6583" s="369" t="str">
        <f>VLOOKUP(Tabla4[[#This Row],[Producto]],Tabla6[#All],14,FALSE)</f>
        <v>Termico Solar</v>
      </c>
      <c r="U6583" s="284" t="e">
        <f>(IF(Tabla4[[#This Row],[Familia]]="termico solar",Tabla4[[#This Row],[Utilidad Total]]*6%,Tabla4[[#This Row],[Utilidad Total]]*11.5%))/Tabla4[[#This Row],[Total]]</f>
        <v>#N/A</v>
      </c>
      <c r="V6583" s="282" t="e">
        <f>+Tabla4[[#This Row],[Comisión Calculada]]*Tabla4[[#This Row],[Total]]</f>
        <v>#N/A</v>
      </c>
    </row>
    <row r="6584" spans="1:22" hidden="1" x14ac:dyDescent="0.25">
      <c r="A6584" s="100">
        <v>45961</v>
      </c>
      <c r="B6584" t="str">
        <f t="shared" si="398"/>
        <v>October</v>
      </c>
      <c r="C6584" s="46" t="s">
        <v>280</v>
      </c>
      <c r="F6584" s="366" t="s">
        <v>3337</v>
      </c>
      <c r="G6584" s="46" t="s">
        <v>208</v>
      </c>
      <c r="H6584" s="46">
        <v>1</v>
      </c>
      <c r="I6584" s="51">
        <v>189.75</v>
      </c>
      <c r="J6584" s="281">
        <f>++Tabla4[[#This Row],[Precio Bruto]]*1.16</f>
        <v>220.10999999999999</v>
      </c>
      <c r="K6584" s="281">
        <f>+Tabla4[[#This Row],[Precio Unitario Neto]]*Tabla4[[#Headers],[20.85%]]</f>
        <v>45.892934999999994</v>
      </c>
      <c r="L6584" s="282">
        <f>++Tabla4[[#This Row],[Precio Unitario Neto]]-Tabla4[[#This Row],[20.85%]]</f>
        <v>174.21706499999999</v>
      </c>
      <c r="M6584" s="282" t="e">
        <f>(INDEX(Tabla6[#All],MATCH(Tabla4[[#This Row],[Producto]],Tabla6[[#All],[PRODUCTO]],0),MATCH(Tabla4[[#This Row],[Mes]],Tabla6[#Headers],0)))*(1+Catalogos!$L$2)</f>
        <v>#N/A</v>
      </c>
      <c r="N6584" s="283" t="e">
        <f>+(Tabla4[[#This Row],[Precio Descontado]]-Tabla4[[#This Row],[Precio Base]])*Tabla4[[#This Row],[Cantidad]]</f>
        <v>#N/A</v>
      </c>
      <c r="O6584" s="284" t="e">
        <f>++Tabla4[[#This Row],[Utilidad Total]]/Tabla4[[#This Row],[Total]]</f>
        <v>#N/A</v>
      </c>
      <c r="P6584" s="282">
        <f>++Tabla4[[#This Row],[Precio Descontado]]*Tabla4[[#This Row],[Cantidad]]</f>
        <v>174.21706499999999</v>
      </c>
      <c r="Q6584" s="282" t="e">
        <f>(INDEX(Tabla6[#All],MATCH(Tabla4[[#This Row],[Producto]],Tabla6[[#All],[PRODUCTO]],0),MATCH(Tabla4[[#This Row],[Mes]],Tabla6[#Headers],0)))</f>
        <v>#N/A</v>
      </c>
      <c r="R6584" s="282" t="e">
        <f>++Tabla4[[#This Row],[Precio Unitario Neto]]-Tabla4[[#This Row],[20.85%]]-Tabla4[[#This Row],[Costo]]</f>
        <v>#N/A</v>
      </c>
      <c r="S6584" s="282" t="e">
        <f>++Tabla4[[#This Row],[U. Bruta Uni]]*Tabla4[[#This Row],[Cantidad]]</f>
        <v>#N/A</v>
      </c>
      <c r="T6584" s="369" t="str">
        <f>VLOOKUP(Tabla4[[#This Row],[Producto]],Tabla6[#All],14,FALSE)</f>
        <v>Termico Solar</v>
      </c>
      <c r="U6584" s="284" t="e">
        <f>(IF(Tabla4[[#This Row],[Familia]]="termico solar",Tabla4[[#This Row],[Utilidad Total]]*6%,Tabla4[[#This Row],[Utilidad Total]]*11.5%))/Tabla4[[#This Row],[Total]]</f>
        <v>#N/A</v>
      </c>
      <c r="V6584" s="282" t="e">
        <f>+Tabla4[[#This Row],[Comisión Calculada]]*Tabla4[[#This Row],[Total]]</f>
        <v>#N/A</v>
      </c>
    </row>
    <row r="6585" spans="1:22" hidden="1" x14ac:dyDescent="0.25">
      <c r="A6585" s="100">
        <v>45961</v>
      </c>
      <c r="B6585" t="str">
        <f t="shared" ref="B6585:B6589" si="399">TEXT(A6585, "mmmm")</f>
        <v>October</v>
      </c>
      <c r="C6585" s="46" t="s">
        <v>280</v>
      </c>
      <c r="F6585" s="366" t="s">
        <v>3338</v>
      </c>
      <c r="G6585" s="46" t="s">
        <v>83</v>
      </c>
      <c r="H6585" s="46">
        <v>2</v>
      </c>
      <c r="I6585" s="51">
        <v>8858.76</v>
      </c>
      <c r="J6585" s="281">
        <f>++Tabla4[[#This Row],[Precio Bruto]]*1.16</f>
        <v>10276.161599999999</v>
      </c>
      <c r="K6585" s="281">
        <f>+Tabla4[[#This Row],[Precio Unitario Neto]]*Tabla4[[#Headers],[20.85%]]</f>
        <v>2142.5796935999997</v>
      </c>
      <c r="L6585" s="282">
        <f>++Tabla4[[#This Row],[Precio Unitario Neto]]-Tabla4[[#This Row],[20.85%]]</f>
        <v>8133.5819063999998</v>
      </c>
      <c r="M6585" s="282" t="e">
        <f>(INDEX(Tabla6[#All],MATCH(Tabla4[[#This Row],[Producto]],Tabla6[[#All],[PRODUCTO]],0),MATCH(Tabla4[[#This Row],[Mes]],Tabla6[#Headers],0)))*(1+Catalogos!$L$2)</f>
        <v>#N/A</v>
      </c>
      <c r="N6585" s="283" t="e">
        <f>+(Tabla4[[#This Row],[Precio Descontado]]-Tabla4[[#This Row],[Precio Base]])*Tabla4[[#This Row],[Cantidad]]</f>
        <v>#N/A</v>
      </c>
      <c r="O6585" s="284" t="e">
        <f>++Tabla4[[#This Row],[Utilidad Total]]/Tabla4[[#This Row],[Total]]</f>
        <v>#N/A</v>
      </c>
      <c r="P6585" s="282">
        <f>++Tabla4[[#This Row],[Precio Descontado]]*Tabla4[[#This Row],[Cantidad]]</f>
        <v>16267.1638128</v>
      </c>
      <c r="Q6585" s="282" t="e">
        <f>(INDEX(Tabla6[#All],MATCH(Tabla4[[#This Row],[Producto]],Tabla6[[#All],[PRODUCTO]],0),MATCH(Tabla4[[#This Row],[Mes]],Tabla6[#Headers],0)))</f>
        <v>#N/A</v>
      </c>
      <c r="R6585" s="282" t="e">
        <f>++Tabla4[[#This Row],[Precio Unitario Neto]]-Tabla4[[#This Row],[20.85%]]-Tabla4[[#This Row],[Costo]]</f>
        <v>#N/A</v>
      </c>
      <c r="S6585" s="282" t="e">
        <f>++Tabla4[[#This Row],[U. Bruta Uni]]*Tabla4[[#This Row],[Cantidad]]</f>
        <v>#N/A</v>
      </c>
      <c r="T6585" s="369" t="str">
        <f>VLOOKUP(Tabla4[[#This Row],[Producto]],Tabla6[#All],14,FALSE)</f>
        <v>Termico Solar</v>
      </c>
      <c r="U6585" s="284" t="e">
        <f>(IF(Tabla4[[#This Row],[Familia]]="termico solar",Tabla4[[#This Row],[Utilidad Total]]*6%,Tabla4[[#This Row],[Utilidad Total]]*11.5%))/Tabla4[[#This Row],[Total]]</f>
        <v>#N/A</v>
      </c>
      <c r="V6585" s="282" t="e">
        <f>+Tabla4[[#This Row],[Comisión Calculada]]*Tabla4[[#This Row],[Total]]</f>
        <v>#N/A</v>
      </c>
    </row>
    <row r="6586" spans="1:22" hidden="1" x14ac:dyDescent="0.25">
      <c r="A6586" s="100">
        <v>45961</v>
      </c>
      <c r="B6586" t="str">
        <f t="shared" si="399"/>
        <v>October</v>
      </c>
      <c r="C6586" s="46" t="s">
        <v>280</v>
      </c>
      <c r="F6586" s="366" t="s">
        <v>3338</v>
      </c>
      <c r="G6586" s="46" t="s">
        <v>17</v>
      </c>
      <c r="H6586" s="46">
        <v>2</v>
      </c>
      <c r="I6586" s="51">
        <v>4622.28</v>
      </c>
      <c r="J6586" s="281">
        <f>++Tabla4[[#This Row],[Precio Bruto]]*1.16</f>
        <v>5361.8447999999989</v>
      </c>
      <c r="K6586" s="281">
        <f>+Tabla4[[#This Row],[Precio Unitario Neto]]*Tabla4[[#Headers],[20.85%]]</f>
        <v>1117.9446407999997</v>
      </c>
      <c r="L6586" s="282">
        <f>++Tabla4[[#This Row],[Precio Unitario Neto]]-Tabla4[[#This Row],[20.85%]]</f>
        <v>4243.9001591999995</v>
      </c>
      <c r="M6586" s="282" t="e">
        <f>(INDEX(Tabla6[#All],MATCH(Tabla4[[#This Row],[Producto]],Tabla6[[#All],[PRODUCTO]],0),MATCH(Tabla4[[#This Row],[Mes]],Tabla6[#Headers],0)))*(1+Catalogos!$L$2)</f>
        <v>#N/A</v>
      </c>
      <c r="N6586" s="283" t="e">
        <f>+(Tabla4[[#This Row],[Precio Descontado]]-Tabla4[[#This Row],[Precio Base]])*Tabla4[[#This Row],[Cantidad]]</f>
        <v>#N/A</v>
      </c>
      <c r="O6586" s="284" t="e">
        <f>++Tabla4[[#This Row],[Utilidad Total]]/Tabla4[[#This Row],[Total]]</f>
        <v>#N/A</v>
      </c>
      <c r="P6586" s="282">
        <f>++Tabla4[[#This Row],[Precio Descontado]]*Tabla4[[#This Row],[Cantidad]]</f>
        <v>8487.800318399999</v>
      </c>
      <c r="Q6586" s="282" t="e">
        <f>(INDEX(Tabla6[#All],MATCH(Tabla4[[#This Row],[Producto]],Tabla6[[#All],[PRODUCTO]],0),MATCH(Tabla4[[#This Row],[Mes]],Tabla6[#Headers],0)))</f>
        <v>#N/A</v>
      </c>
      <c r="R6586" s="282" t="e">
        <f>++Tabla4[[#This Row],[Precio Unitario Neto]]-Tabla4[[#This Row],[20.85%]]-Tabla4[[#This Row],[Costo]]</f>
        <v>#N/A</v>
      </c>
      <c r="S6586" s="282" t="e">
        <f>++Tabla4[[#This Row],[U. Bruta Uni]]*Tabla4[[#This Row],[Cantidad]]</f>
        <v>#N/A</v>
      </c>
      <c r="T6586" s="369" t="str">
        <f>VLOOKUP(Tabla4[[#This Row],[Producto]],Tabla6[#All],14,FALSE)</f>
        <v>Termico Solar</v>
      </c>
      <c r="U6586" s="284" t="e">
        <f>(IF(Tabla4[[#This Row],[Familia]]="termico solar",Tabla4[[#This Row],[Utilidad Total]]*6%,Tabla4[[#This Row],[Utilidad Total]]*11.5%))/Tabla4[[#This Row],[Total]]</f>
        <v>#N/A</v>
      </c>
      <c r="V6586" s="282" t="e">
        <f>+Tabla4[[#This Row],[Comisión Calculada]]*Tabla4[[#This Row],[Total]]</f>
        <v>#N/A</v>
      </c>
    </row>
    <row r="6587" spans="1:22" hidden="1" x14ac:dyDescent="0.25">
      <c r="A6587" s="100">
        <v>45961</v>
      </c>
      <c r="B6587" t="str">
        <f t="shared" si="399"/>
        <v>October</v>
      </c>
      <c r="C6587" s="46" t="s">
        <v>280</v>
      </c>
      <c r="F6587" s="366" t="s">
        <v>3338</v>
      </c>
      <c r="G6587" s="46" t="s">
        <v>18</v>
      </c>
      <c r="H6587" s="46">
        <v>1</v>
      </c>
      <c r="I6587" s="51">
        <v>5367.65</v>
      </c>
      <c r="J6587" s="281">
        <f>++Tabla4[[#This Row],[Precio Bruto]]*1.16</f>
        <v>6226.4739999999993</v>
      </c>
      <c r="K6587" s="281">
        <f>+Tabla4[[#This Row],[Precio Unitario Neto]]*Tabla4[[#Headers],[20.85%]]</f>
        <v>1298.2198289999999</v>
      </c>
      <c r="L6587" s="282">
        <f>++Tabla4[[#This Row],[Precio Unitario Neto]]-Tabla4[[#This Row],[20.85%]]</f>
        <v>4928.2541709999996</v>
      </c>
      <c r="M6587" s="282" t="e">
        <f>(INDEX(Tabla6[#All],MATCH(Tabla4[[#This Row],[Producto]],Tabla6[[#All],[PRODUCTO]],0),MATCH(Tabla4[[#This Row],[Mes]],Tabla6[#Headers],0)))*(1+Catalogos!$L$2)</f>
        <v>#N/A</v>
      </c>
      <c r="N6587" s="283" t="e">
        <f>+(Tabla4[[#This Row],[Precio Descontado]]-Tabla4[[#This Row],[Precio Base]])*Tabla4[[#This Row],[Cantidad]]</f>
        <v>#N/A</v>
      </c>
      <c r="O6587" s="284" t="e">
        <f>++Tabla4[[#This Row],[Utilidad Total]]/Tabla4[[#This Row],[Total]]</f>
        <v>#N/A</v>
      </c>
      <c r="P6587" s="282">
        <f>++Tabla4[[#This Row],[Precio Descontado]]*Tabla4[[#This Row],[Cantidad]]</f>
        <v>4928.2541709999996</v>
      </c>
      <c r="Q6587" s="282" t="e">
        <f>(INDEX(Tabla6[#All],MATCH(Tabla4[[#This Row],[Producto]],Tabla6[[#All],[PRODUCTO]],0),MATCH(Tabla4[[#This Row],[Mes]],Tabla6[#Headers],0)))</f>
        <v>#N/A</v>
      </c>
      <c r="R6587" s="282" t="e">
        <f>++Tabla4[[#This Row],[Precio Unitario Neto]]-Tabla4[[#This Row],[20.85%]]-Tabla4[[#This Row],[Costo]]</f>
        <v>#N/A</v>
      </c>
      <c r="S6587" s="282" t="e">
        <f>++Tabla4[[#This Row],[U. Bruta Uni]]*Tabla4[[#This Row],[Cantidad]]</f>
        <v>#N/A</v>
      </c>
      <c r="T6587" s="369" t="str">
        <f>VLOOKUP(Tabla4[[#This Row],[Producto]],Tabla6[#All],14,FALSE)</f>
        <v>Termico Solar</v>
      </c>
      <c r="U6587" s="284" t="e">
        <f>(IF(Tabla4[[#This Row],[Familia]]="termico solar",Tabla4[[#This Row],[Utilidad Total]]*6%,Tabla4[[#This Row],[Utilidad Total]]*11.5%))/Tabla4[[#This Row],[Total]]</f>
        <v>#N/A</v>
      </c>
      <c r="V6587" s="282" t="e">
        <f>+Tabla4[[#This Row],[Comisión Calculada]]*Tabla4[[#This Row],[Total]]</f>
        <v>#N/A</v>
      </c>
    </row>
    <row r="6588" spans="1:22" hidden="1" x14ac:dyDescent="0.25">
      <c r="A6588" s="100">
        <v>45961</v>
      </c>
      <c r="B6588" t="str">
        <f t="shared" si="399"/>
        <v>October</v>
      </c>
      <c r="C6588" s="46" t="s">
        <v>280</v>
      </c>
      <c r="F6588" s="366" t="s">
        <v>3338</v>
      </c>
      <c r="G6588" s="46" t="s">
        <v>16</v>
      </c>
      <c r="H6588" s="46">
        <v>2</v>
      </c>
      <c r="I6588" s="51">
        <v>4103.8500000000004</v>
      </c>
      <c r="J6588" s="281">
        <f>++Tabla4[[#This Row],[Precio Bruto]]*1.16</f>
        <v>4760.4660000000003</v>
      </c>
      <c r="K6588" s="281">
        <f>+Tabla4[[#This Row],[Precio Unitario Neto]]*Tabla4[[#Headers],[20.85%]]</f>
        <v>992.55716100000006</v>
      </c>
      <c r="L6588" s="282">
        <f>++Tabla4[[#This Row],[Precio Unitario Neto]]-Tabla4[[#This Row],[20.85%]]</f>
        <v>3767.9088390000002</v>
      </c>
      <c r="M6588" s="282" t="e">
        <f>(INDEX(Tabla6[#All],MATCH(Tabla4[[#This Row],[Producto]],Tabla6[[#All],[PRODUCTO]],0),MATCH(Tabla4[[#This Row],[Mes]],Tabla6[#Headers],0)))*(1+Catalogos!$L$2)</f>
        <v>#N/A</v>
      </c>
      <c r="N6588" s="283" t="e">
        <f>+(Tabla4[[#This Row],[Precio Descontado]]-Tabla4[[#This Row],[Precio Base]])*Tabla4[[#This Row],[Cantidad]]</f>
        <v>#N/A</v>
      </c>
      <c r="O6588" s="284" t="e">
        <f>++Tabla4[[#This Row],[Utilidad Total]]/Tabla4[[#This Row],[Total]]</f>
        <v>#N/A</v>
      </c>
      <c r="P6588" s="282">
        <f>++Tabla4[[#This Row],[Precio Descontado]]*Tabla4[[#This Row],[Cantidad]]</f>
        <v>7535.8176780000003</v>
      </c>
      <c r="Q6588" s="282" t="e">
        <f>(INDEX(Tabla6[#All],MATCH(Tabla4[[#This Row],[Producto]],Tabla6[[#All],[PRODUCTO]],0),MATCH(Tabla4[[#This Row],[Mes]],Tabla6[#Headers],0)))</f>
        <v>#N/A</v>
      </c>
      <c r="R6588" s="282" t="e">
        <f>++Tabla4[[#This Row],[Precio Unitario Neto]]-Tabla4[[#This Row],[20.85%]]-Tabla4[[#This Row],[Costo]]</f>
        <v>#N/A</v>
      </c>
      <c r="S6588" s="282" t="e">
        <f>++Tabla4[[#This Row],[U. Bruta Uni]]*Tabla4[[#This Row],[Cantidad]]</f>
        <v>#N/A</v>
      </c>
      <c r="T6588" s="369" t="str">
        <f>VLOOKUP(Tabla4[[#This Row],[Producto]],Tabla6[#All],14,FALSE)</f>
        <v>Termico Solar</v>
      </c>
      <c r="U6588" s="284" t="e">
        <f>(IF(Tabla4[[#This Row],[Familia]]="termico solar",Tabla4[[#This Row],[Utilidad Total]]*6%,Tabla4[[#This Row],[Utilidad Total]]*11.5%))/Tabla4[[#This Row],[Total]]</f>
        <v>#N/A</v>
      </c>
      <c r="V6588" s="282" t="e">
        <f>+Tabla4[[#This Row],[Comisión Calculada]]*Tabla4[[#This Row],[Total]]</f>
        <v>#N/A</v>
      </c>
    </row>
    <row r="6589" spans="1:22" hidden="1" x14ac:dyDescent="0.25">
      <c r="A6589" s="100">
        <v>45961</v>
      </c>
      <c r="B6589" t="str">
        <f t="shared" si="399"/>
        <v>October</v>
      </c>
      <c r="C6589" s="46" t="s">
        <v>280</v>
      </c>
      <c r="F6589" s="366" t="s">
        <v>3338</v>
      </c>
      <c r="G6589" s="46" t="s">
        <v>208</v>
      </c>
      <c r="H6589" s="46">
        <v>2</v>
      </c>
      <c r="I6589" s="51">
        <v>189.75</v>
      </c>
      <c r="J6589" s="281">
        <f>++Tabla4[[#This Row],[Precio Bruto]]*1.16</f>
        <v>220.10999999999999</v>
      </c>
      <c r="K6589" s="281">
        <f>+Tabla4[[#This Row],[Precio Unitario Neto]]*Tabla4[[#Headers],[20.85%]]</f>
        <v>45.892934999999994</v>
      </c>
      <c r="L6589" s="282">
        <f>++Tabla4[[#This Row],[Precio Unitario Neto]]-Tabla4[[#This Row],[20.85%]]</f>
        <v>174.21706499999999</v>
      </c>
      <c r="M6589" s="282" t="e">
        <f>(INDEX(Tabla6[#All],MATCH(Tabla4[[#This Row],[Producto]],Tabla6[[#All],[PRODUCTO]],0),MATCH(Tabla4[[#This Row],[Mes]],Tabla6[#Headers],0)))*(1+Catalogos!$L$2)</f>
        <v>#N/A</v>
      </c>
      <c r="N6589" s="283" t="e">
        <f>+(Tabla4[[#This Row],[Precio Descontado]]-Tabla4[[#This Row],[Precio Base]])*Tabla4[[#This Row],[Cantidad]]</f>
        <v>#N/A</v>
      </c>
      <c r="O6589" s="284" t="e">
        <f>++Tabla4[[#This Row],[Utilidad Total]]/Tabla4[[#This Row],[Total]]</f>
        <v>#N/A</v>
      </c>
      <c r="P6589" s="282">
        <f>++Tabla4[[#This Row],[Precio Descontado]]*Tabla4[[#This Row],[Cantidad]]</f>
        <v>348.43412999999998</v>
      </c>
      <c r="Q6589" s="282" t="e">
        <f>(INDEX(Tabla6[#All],MATCH(Tabla4[[#This Row],[Producto]],Tabla6[[#All],[PRODUCTO]],0),MATCH(Tabla4[[#This Row],[Mes]],Tabla6[#Headers],0)))</f>
        <v>#N/A</v>
      </c>
      <c r="R6589" s="282" t="e">
        <f>++Tabla4[[#This Row],[Precio Unitario Neto]]-Tabla4[[#This Row],[20.85%]]-Tabla4[[#This Row],[Costo]]</f>
        <v>#N/A</v>
      </c>
      <c r="S6589" s="282" t="e">
        <f>++Tabla4[[#This Row],[U. Bruta Uni]]*Tabla4[[#This Row],[Cantidad]]</f>
        <v>#N/A</v>
      </c>
      <c r="T6589" s="369" t="str">
        <f>VLOOKUP(Tabla4[[#This Row],[Producto]],Tabla6[#All],14,FALSE)</f>
        <v>Termico Solar</v>
      </c>
      <c r="U6589" s="284" t="e">
        <f>(IF(Tabla4[[#This Row],[Familia]]="termico solar",Tabla4[[#This Row],[Utilidad Total]]*6%,Tabla4[[#This Row],[Utilidad Total]]*11.5%))/Tabla4[[#This Row],[Total]]</f>
        <v>#N/A</v>
      </c>
      <c r="V6589" s="282" t="e">
        <f>+Tabla4[[#This Row],[Comisión Calculada]]*Tabla4[[#This Row],[Total]]</f>
        <v>#N/A</v>
      </c>
    </row>
    <row r="6590" spans="1:22" hidden="1" x14ac:dyDescent="0.25">
      <c r="A6590" s="100">
        <v>45961</v>
      </c>
      <c r="B6590" t="str">
        <f>TEXT(A6590, "mmmm")</f>
        <v>October</v>
      </c>
      <c r="C6590" s="46" t="s">
        <v>280</v>
      </c>
      <c r="F6590" s="366" t="s">
        <v>3339</v>
      </c>
      <c r="G6590" s="46" t="s">
        <v>18</v>
      </c>
      <c r="H6590" s="46">
        <v>1</v>
      </c>
      <c r="I6590" s="51">
        <v>5367.65</v>
      </c>
      <c r="J6590" s="281">
        <f>++Tabla4[[#This Row],[Precio Bruto]]*1.16</f>
        <v>6226.4739999999993</v>
      </c>
      <c r="K6590" s="281">
        <f>+Tabla4[[#This Row],[Precio Unitario Neto]]*Tabla4[[#Headers],[20.85%]]</f>
        <v>1298.2198289999999</v>
      </c>
      <c r="L6590" s="282">
        <f>++Tabla4[[#This Row],[Precio Unitario Neto]]-Tabla4[[#This Row],[20.85%]]</f>
        <v>4928.2541709999996</v>
      </c>
      <c r="M6590" s="282" t="e">
        <f>(INDEX(Tabla6[#All],MATCH(Tabla4[[#This Row],[Producto]],Tabla6[[#All],[PRODUCTO]],0),MATCH(Tabla4[[#This Row],[Mes]],Tabla6[#Headers],0)))*(1+Catalogos!$L$2)</f>
        <v>#N/A</v>
      </c>
      <c r="N6590" s="283" t="e">
        <f>+(Tabla4[[#This Row],[Precio Descontado]]-Tabla4[[#This Row],[Precio Base]])*Tabla4[[#This Row],[Cantidad]]</f>
        <v>#N/A</v>
      </c>
      <c r="O6590" s="284" t="e">
        <f>++Tabla4[[#This Row],[Utilidad Total]]/Tabla4[[#This Row],[Total]]</f>
        <v>#N/A</v>
      </c>
      <c r="P6590" s="282">
        <f>++Tabla4[[#This Row],[Precio Descontado]]*Tabla4[[#This Row],[Cantidad]]</f>
        <v>4928.2541709999996</v>
      </c>
      <c r="Q6590" s="282" t="e">
        <f>(INDEX(Tabla6[#All],MATCH(Tabla4[[#This Row],[Producto]],Tabla6[[#All],[PRODUCTO]],0),MATCH(Tabla4[[#This Row],[Mes]],Tabla6[#Headers],0)))</f>
        <v>#N/A</v>
      </c>
      <c r="R6590" s="282" t="e">
        <f>++Tabla4[[#This Row],[Precio Unitario Neto]]-Tabla4[[#This Row],[20.85%]]-Tabla4[[#This Row],[Costo]]</f>
        <v>#N/A</v>
      </c>
      <c r="S6590" s="282" t="e">
        <f>++Tabla4[[#This Row],[U. Bruta Uni]]*Tabla4[[#This Row],[Cantidad]]</f>
        <v>#N/A</v>
      </c>
      <c r="T6590" s="369" t="str">
        <f>VLOOKUP(Tabla4[[#This Row],[Producto]],Tabla6[#All],14,FALSE)</f>
        <v>Termico Solar</v>
      </c>
      <c r="U6590" s="284" t="e">
        <f>(IF(Tabla4[[#This Row],[Familia]]="termico solar",Tabla4[[#This Row],[Utilidad Total]]*6%,Tabla4[[#This Row],[Utilidad Total]]*11.5%))/Tabla4[[#This Row],[Total]]</f>
        <v>#N/A</v>
      </c>
      <c r="V6590" s="282" t="e">
        <f>+Tabla4[[#This Row],[Comisión Calculada]]*Tabla4[[#This Row],[Total]]</f>
        <v>#N/A</v>
      </c>
    </row>
    <row r="6591" spans="1:22" hidden="1" x14ac:dyDescent="0.25">
      <c r="A6591" s="100">
        <v>45961</v>
      </c>
      <c r="B6591" t="str">
        <f>TEXT(A6591, "mmmm")</f>
        <v>October</v>
      </c>
      <c r="C6591" s="46" t="s">
        <v>280</v>
      </c>
      <c r="F6591" s="366" t="s">
        <v>3340</v>
      </c>
      <c r="G6591" s="46" t="s">
        <v>83</v>
      </c>
      <c r="H6591" s="46">
        <v>1</v>
      </c>
      <c r="I6591" s="51">
        <v>8858.76</v>
      </c>
      <c r="J6591" s="281">
        <f>++Tabla4[[#This Row],[Precio Bruto]]*1.16</f>
        <v>10276.161599999999</v>
      </c>
      <c r="K6591" s="281">
        <f>+Tabla4[[#This Row],[Precio Unitario Neto]]*Tabla4[[#Headers],[20.85%]]</f>
        <v>2142.5796935999997</v>
      </c>
      <c r="L6591" s="282">
        <f>++Tabla4[[#This Row],[Precio Unitario Neto]]-Tabla4[[#This Row],[20.85%]]</f>
        <v>8133.5819063999998</v>
      </c>
      <c r="M6591" s="282" t="e">
        <f>(INDEX(Tabla6[#All],MATCH(Tabla4[[#This Row],[Producto]],Tabla6[[#All],[PRODUCTO]],0),MATCH(Tabla4[[#This Row],[Mes]],Tabla6[#Headers],0)))*(1+Catalogos!$L$2)</f>
        <v>#N/A</v>
      </c>
      <c r="N6591" s="283" t="e">
        <f>+(Tabla4[[#This Row],[Precio Descontado]]-Tabla4[[#This Row],[Precio Base]])*Tabla4[[#This Row],[Cantidad]]</f>
        <v>#N/A</v>
      </c>
      <c r="O6591" s="284" t="e">
        <f>++Tabla4[[#This Row],[Utilidad Total]]/Tabla4[[#This Row],[Total]]</f>
        <v>#N/A</v>
      </c>
      <c r="P6591" s="282">
        <f>++Tabla4[[#This Row],[Precio Descontado]]*Tabla4[[#This Row],[Cantidad]]</f>
        <v>8133.5819063999998</v>
      </c>
      <c r="Q6591" s="282" t="e">
        <f>(INDEX(Tabla6[#All],MATCH(Tabla4[[#This Row],[Producto]],Tabla6[[#All],[PRODUCTO]],0),MATCH(Tabla4[[#This Row],[Mes]],Tabla6[#Headers],0)))</f>
        <v>#N/A</v>
      </c>
      <c r="R6591" s="282" t="e">
        <f>++Tabla4[[#This Row],[Precio Unitario Neto]]-Tabla4[[#This Row],[20.85%]]-Tabla4[[#This Row],[Costo]]</f>
        <v>#N/A</v>
      </c>
      <c r="S6591" s="282" t="e">
        <f>++Tabla4[[#This Row],[U. Bruta Uni]]*Tabla4[[#This Row],[Cantidad]]</f>
        <v>#N/A</v>
      </c>
      <c r="T6591" s="369" t="str">
        <f>VLOOKUP(Tabla4[[#This Row],[Producto]],Tabla6[#All],14,FALSE)</f>
        <v>Termico Solar</v>
      </c>
      <c r="U6591" s="284" t="e">
        <f>(IF(Tabla4[[#This Row],[Familia]]="termico solar",Tabla4[[#This Row],[Utilidad Total]]*6%,Tabla4[[#This Row],[Utilidad Total]]*11.5%))/Tabla4[[#This Row],[Total]]</f>
        <v>#N/A</v>
      </c>
      <c r="V6591" s="282" t="e">
        <f>+Tabla4[[#This Row],[Comisión Calculada]]*Tabla4[[#This Row],[Total]]</f>
        <v>#N/A</v>
      </c>
    </row>
    <row r="6592" spans="1:22" hidden="1" x14ac:dyDescent="0.25">
      <c r="A6592" s="100">
        <v>45961</v>
      </c>
      <c r="B6592" t="str">
        <f t="shared" ref="B6592:B6593" si="400">TEXT(A6592, "mmmm")</f>
        <v>October</v>
      </c>
      <c r="C6592" s="46" t="s">
        <v>280</v>
      </c>
      <c r="F6592" s="366" t="s">
        <v>3341</v>
      </c>
      <c r="G6592" s="46" t="s">
        <v>412</v>
      </c>
      <c r="H6592" s="46">
        <v>1</v>
      </c>
      <c r="I6592" s="51">
        <v>3240.84</v>
      </c>
      <c r="J6592" s="281">
        <f>++Tabla4[[#This Row],[Precio Bruto]]*1.16</f>
        <v>3759.3743999999997</v>
      </c>
      <c r="K6592" s="281">
        <f>+Tabla4[[#This Row],[Precio Unitario Neto]]*Tabla4[[#Headers],[20.85%]]</f>
        <v>783.82956239999987</v>
      </c>
      <c r="L6592" s="282">
        <f>++Tabla4[[#This Row],[Precio Unitario Neto]]-Tabla4[[#This Row],[20.85%]]</f>
        <v>2975.5448375999999</v>
      </c>
      <c r="M6592" s="282" t="e">
        <f>(INDEX(Tabla6[#All],MATCH(Tabla4[[#This Row],[Producto]],Tabla6[[#All],[PRODUCTO]],0),MATCH(Tabla4[[#This Row],[Mes]],Tabla6[#Headers],0)))*(1+Catalogos!$L$2)</f>
        <v>#N/A</v>
      </c>
      <c r="N6592" s="283" t="e">
        <f>+(Tabla4[[#This Row],[Precio Descontado]]-Tabla4[[#This Row],[Precio Base]])*Tabla4[[#This Row],[Cantidad]]</f>
        <v>#N/A</v>
      </c>
      <c r="O6592" s="284" t="e">
        <f>++Tabla4[[#This Row],[Utilidad Total]]/Tabla4[[#This Row],[Total]]</f>
        <v>#N/A</v>
      </c>
      <c r="P6592" s="282">
        <f>++Tabla4[[#This Row],[Precio Descontado]]*Tabla4[[#This Row],[Cantidad]]</f>
        <v>2975.5448375999999</v>
      </c>
      <c r="Q6592" s="282" t="e">
        <f>(INDEX(Tabla6[#All],MATCH(Tabla4[[#This Row],[Producto]],Tabla6[[#All],[PRODUCTO]],0),MATCH(Tabla4[[#This Row],[Mes]],Tabla6[#Headers],0)))</f>
        <v>#N/A</v>
      </c>
      <c r="R6592" s="282" t="e">
        <f>++Tabla4[[#This Row],[Precio Unitario Neto]]-Tabla4[[#This Row],[20.85%]]-Tabla4[[#This Row],[Costo]]</f>
        <v>#N/A</v>
      </c>
      <c r="S6592" s="282" t="e">
        <f>++Tabla4[[#This Row],[U. Bruta Uni]]*Tabla4[[#This Row],[Cantidad]]</f>
        <v>#N/A</v>
      </c>
      <c r="T6592" s="369" t="str">
        <f>VLOOKUP(Tabla4[[#This Row],[Producto]],Tabla6[#All],14,FALSE)</f>
        <v>Termico Solar</v>
      </c>
      <c r="U6592" s="284" t="e">
        <f>(IF(Tabla4[[#This Row],[Familia]]="termico solar",Tabla4[[#This Row],[Utilidad Total]]*6%,Tabla4[[#This Row],[Utilidad Total]]*11.5%))/Tabla4[[#This Row],[Total]]</f>
        <v>#N/A</v>
      </c>
      <c r="V6592" s="282" t="e">
        <f>+Tabla4[[#This Row],[Comisión Calculada]]*Tabla4[[#This Row],[Total]]</f>
        <v>#N/A</v>
      </c>
    </row>
    <row r="6593" spans="1:22" hidden="1" x14ac:dyDescent="0.25">
      <c r="A6593" s="100">
        <v>45961</v>
      </c>
      <c r="B6593" t="str">
        <f t="shared" si="400"/>
        <v>October</v>
      </c>
      <c r="C6593" s="46" t="s">
        <v>280</v>
      </c>
      <c r="F6593" s="366" t="s">
        <v>3341</v>
      </c>
      <c r="G6593" s="46" t="s">
        <v>208</v>
      </c>
      <c r="H6593" s="46">
        <v>2</v>
      </c>
      <c r="I6593" s="51">
        <v>189.75</v>
      </c>
      <c r="J6593" s="281">
        <f>++Tabla4[[#This Row],[Precio Bruto]]*1.16</f>
        <v>220.10999999999999</v>
      </c>
      <c r="K6593" s="281">
        <f>+Tabla4[[#This Row],[Precio Unitario Neto]]*Tabla4[[#Headers],[20.85%]]</f>
        <v>45.892934999999994</v>
      </c>
      <c r="L6593" s="282">
        <f>++Tabla4[[#This Row],[Precio Unitario Neto]]-Tabla4[[#This Row],[20.85%]]</f>
        <v>174.21706499999999</v>
      </c>
      <c r="M6593" s="282" t="e">
        <f>(INDEX(Tabla6[#All],MATCH(Tabla4[[#This Row],[Producto]],Tabla6[[#All],[PRODUCTO]],0),MATCH(Tabla4[[#This Row],[Mes]],Tabla6[#Headers],0)))*(1+Catalogos!$L$2)</f>
        <v>#N/A</v>
      </c>
      <c r="N6593" s="283" t="e">
        <f>+(Tabla4[[#This Row],[Precio Descontado]]-Tabla4[[#This Row],[Precio Base]])*Tabla4[[#This Row],[Cantidad]]</f>
        <v>#N/A</v>
      </c>
      <c r="O6593" s="284" t="e">
        <f>++Tabla4[[#This Row],[Utilidad Total]]/Tabla4[[#This Row],[Total]]</f>
        <v>#N/A</v>
      </c>
      <c r="P6593" s="282">
        <f>++Tabla4[[#This Row],[Precio Descontado]]*Tabla4[[#This Row],[Cantidad]]</f>
        <v>348.43412999999998</v>
      </c>
      <c r="Q6593" s="282" t="e">
        <f>(INDEX(Tabla6[#All],MATCH(Tabla4[[#This Row],[Producto]],Tabla6[[#All],[PRODUCTO]],0),MATCH(Tabla4[[#This Row],[Mes]],Tabla6[#Headers],0)))</f>
        <v>#N/A</v>
      </c>
      <c r="R6593" s="282" t="e">
        <f>++Tabla4[[#This Row],[Precio Unitario Neto]]-Tabla4[[#This Row],[20.85%]]-Tabla4[[#This Row],[Costo]]</f>
        <v>#N/A</v>
      </c>
      <c r="S6593" s="282" t="e">
        <f>++Tabla4[[#This Row],[U. Bruta Uni]]*Tabla4[[#This Row],[Cantidad]]</f>
        <v>#N/A</v>
      </c>
      <c r="T6593" s="369" t="str">
        <f>VLOOKUP(Tabla4[[#This Row],[Producto]],Tabla6[#All],14,FALSE)</f>
        <v>Termico Solar</v>
      </c>
      <c r="U6593" s="284" t="e">
        <f>(IF(Tabla4[[#This Row],[Familia]]="termico solar",Tabla4[[#This Row],[Utilidad Total]]*6%,Tabla4[[#This Row],[Utilidad Total]]*11.5%))/Tabla4[[#This Row],[Total]]</f>
        <v>#N/A</v>
      </c>
      <c r="V6593" s="282" t="e">
        <f>+Tabla4[[#This Row],[Comisión Calculada]]*Tabla4[[#This Row],[Total]]</f>
        <v>#N/A</v>
      </c>
    </row>
    <row r="6594" spans="1:22" hidden="1" x14ac:dyDescent="0.25">
      <c r="A6594" s="100">
        <v>45961</v>
      </c>
      <c r="B6594" t="str">
        <f>TEXT(A6594, "mmmm")</f>
        <v>October</v>
      </c>
      <c r="C6594" s="46" t="s">
        <v>280</v>
      </c>
      <c r="F6594" s="366" t="s">
        <v>3342</v>
      </c>
      <c r="G6594" s="46" t="s">
        <v>208</v>
      </c>
      <c r="H6594" s="46">
        <v>2</v>
      </c>
      <c r="I6594" s="51">
        <v>189.75</v>
      </c>
      <c r="J6594" s="281">
        <f>++Tabla4[[#This Row],[Precio Bruto]]*1.16</f>
        <v>220.10999999999999</v>
      </c>
      <c r="K6594" s="281">
        <f>+Tabla4[[#This Row],[Precio Unitario Neto]]*Tabla4[[#Headers],[20.85%]]</f>
        <v>45.892934999999994</v>
      </c>
      <c r="L6594" s="282">
        <f>++Tabla4[[#This Row],[Precio Unitario Neto]]-Tabla4[[#This Row],[20.85%]]</f>
        <v>174.21706499999999</v>
      </c>
      <c r="M6594" s="282" t="e">
        <f>(INDEX(Tabla6[#All],MATCH(Tabla4[[#This Row],[Producto]],Tabla6[[#All],[PRODUCTO]],0),MATCH(Tabla4[[#This Row],[Mes]],Tabla6[#Headers],0)))*(1+Catalogos!$L$2)</f>
        <v>#N/A</v>
      </c>
      <c r="N6594" s="283" t="e">
        <f>+(Tabla4[[#This Row],[Precio Descontado]]-Tabla4[[#This Row],[Precio Base]])*Tabla4[[#This Row],[Cantidad]]</f>
        <v>#N/A</v>
      </c>
      <c r="O6594" s="284" t="e">
        <f>++Tabla4[[#This Row],[Utilidad Total]]/Tabla4[[#This Row],[Total]]</f>
        <v>#N/A</v>
      </c>
      <c r="P6594" s="282">
        <f>++Tabla4[[#This Row],[Precio Descontado]]*Tabla4[[#This Row],[Cantidad]]</f>
        <v>348.43412999999998</v>
      </c>
      <c r="Q6594" s="282" t="e">
        <f>(INDEX(Tabla6[#All],MATCH(Tabla4[[#This Row],[Producto]],Tabla6[[#All],[PRODUCTO]],0),MATCH(Tabla4[[#This Row],[Mes]],Tabla6[#Headers],0)))</f>
        <v>#N/A</v>
      </c>
      <c r="R6594" s="282" t="e">
        <f>++Tabla4[[#This Row],[Precio Unitario Neto]]-Tabla4[[#This Row],[20.85%]]-Tabla4[[#This Row],[Costo]]</f>
        <v>#N/A</v>
      </c>
      <c r="S6594" s="282" t="e">
        <f>++Tabla4[[#This Row],[U. Bruta Uni]]*Tabla4[[#This Row],[Cantidad]]</f>
        <v>#N/A</v>
      </c>
      <c r="T6594" s="369" t="str">
        <f>VLOOKUP(Tabla4[[#This Row],[Producto]],Tabla6[#All],14,FALSE)</f>
        <v>Termico Solar</v>
      </c>
      <c r="U6594" s="284" t="e">
        <f>(IF(Tabla4[[#This Row],[Familia]]="termico solar",Tabla4[[#This Row],[Utilidad Total]]*6%,Tabla4[[#This Row],[Utilidad Total]]*11.5%))/Tabla4[[#This Row],[Total]]</f>
        <v>#N/A</v>
      </c>
      <c r="V6594" s="282" t="e">
        <f>+Tabla4[[#This Row],[Comisión Calculada]]*Tabla4[[#This Row],[Total]]</f>
        <v>#N/A</v>
      </c>
    </row>
    <row r="6595" spans="1:22" hidden="1" x14ac:dyDescent="0.25">
      <c r="A6595" s="100">
        <v>45961</v>
      </c>
      <c r="B6595" t="str">
        <f t="shared" ref="B6595:B6596" si="401">TEXT(A6595, "mmmm")</f>
        <v>October</v>
      </c>
      <c r="C6595" s="46" t="s">
        <v>280</v>
      </c>
      <c r="F6595" s="366" t="s">
        <v>3343</v>
      </c>
      <c r="G6595" s="46" t="s">
        <v>566</v>
      </c>
      <c r="H6595" s="46">
        <v>1</v>
      </c>
      <c r="I6595" s="51">
        <v>2109.4499999999998</v>
      </c>
      <c r="J6595" s="281">
        <f>++Tabla4[[#This Row],[Precio Bruto]]*1.16</f>
        <v>2446.9619999999995</v>
      </c>
      <c r="K6595" s="281">
        <f>+Tabla4[[#This Row],[Precio Unitario Neto]]*Tabla4[[#Headers],[20.85%]]</f>
        <v>510.19157699999988</v>
      </c>
      <c r="L6595" s="282">
        <f>++Tabla4[[#This Row],[Precio Unitario Neto]]-Tabla4[[#This Row],[20.85%]]</f>
        <v>1936.7704229999997</v>
      </c>
      <c r="M6595" s="282" t="e">
        <f>(INDEX(Tabla6[#All],MATCH(Tabla4[[#This Row],[Producto]],Tabla6[[#All],[PRODUCTO]],0),MATCH(Tabla4[[#This Row],[Mes]],Tabla6[#Headers],0)))*(1+Catalogos!$L$2)</f>
        <v>#N/A</v>
      </c>
      <c r="N6595" s="283" t="e">
        <f>+(Tabla4[[#This Row],[Precio Descontado]]-Tabla4[[#This Row],[Precio Base]])*Tabla4[[#This Row],[Cantidad]]</f>
        <v>#N/A</v>
      </c>
      <c r="O6595" s="284" t="e">
        <f>++Tabla4[[#This Row],[Utilidad Total]]/Tabla4[[#This Row],[Total]]</f>
        <v>#N/A</v>
      </c>
      <c r="P6595" s="282">
        <f>++Tabla4[[#This Row],[Precio Descontado]]*Tabla4[[#This Row],[Cantidad]]</f>
        <v>1936.7704229999997</v>
      </c>
      <c r="Q6595" s="282" t="e">
        <f>(INDEX(Tabla6[#All],MATCH(Tabla4[[#This Row],[Producto]],Tabla6[[#All],[PRODUCTO]],0),MATCH(Tabla4[[#This Row],[Mes]],Tabla6[#Headers],0)))</f>
        <v>#N/A</v>
      </c>
      <c r="R6595" s="282" t="e">
        <f>++Tabla4[[#This Row],[Precio Unitario Neto]]-Tabla4[[#This Row],[20.85%]]-Tabla4[[#This Row],[Costo]]</f>
        <v>#N/A</v>
      </c>
      <c r="S6595" s="282" t="e">
        <f>++Tabla4[[#This Row],[U. Bruta Uni]]*Tabla4[[#This Row],[Cantidad]]</f>
        <v>#N/A</v>
      </c>
      <c r="T6595" s="369" t="str">
        <f>VLOOKUP(Tabla4[[#This Row],[Producto]],Tabla6[#All],14,FALSE)</f>
        <v>Termico Solar</v>
      </c>
      <c r="U6595" s="284" t="e">
        <f>(IF(Tabla4[[#This Row],[Familia]]="termico solar",Tabla4[[#This Row],[Utilidad Total]]*6%,Tabla4[[#This Row],[Utilidad Total]]*11.5%))/Tabla4[[#This Row],[Total]]</f>
        <v>#N/A</v>
      </c>
      <c r="V6595" s="282" t="e">
        <f>+Tabla4[[#This Row],[Comisión Calculada]]*Tabla4[[#This Row],[Total]]</f>
        <v>#N/A</v>
      </c>
    </row>
    <row r="6596" spans="1:22" hidden="1" x14ac:dyDescent="0.25">
      <c r="A6596" s="100">
        <v>45961</v>
      </c>
      <c r="B6596" t="str">
        <f t="shared" si="401"/>
        <v>October</v>
      </c>
      <c r="C6596" s="46" t="s">
        <v>280</v>
      </c>
      <c r="F6596" s="366" t="s">
        <v>3343</v>
      </c>
      <c r="G6596" s="46" t="s">
        <v>208</v>
      </c>
      <c r="H6596" s="46">
        <v>2</v>
      </c>
      <c r="I6596" s="51">
        <v>189.75</v>
      </c>
      <c r="J6596" s="281">
        <f>++Tabla4[[#This Row],[Precio Bruto]]*1.16</f>
        <v>220.10999999999999</v>
      </c>
      <c r="K6596" s="281">
        <f>+Tabla4[[#This Row],[Precio Unitario Neto]]*Tabla4[[#Headers],[20.85%]]</f>
        <v>45.892934999999994</v>
      </c>
      <c r="L6596" s="282">
        <f>++Tabla4[[#This Row],[Precio Unitario Neto]]-Tabla4[[#This Row],[20.85%]]</f>
        <v>174.21706499999999</v>
      </c>
      <c r="M6596" s="282" t="e">
        <f>(INDEX(Tabla6[#All],MATCH(Tabla4[[#This Row],[Producto]],Tabla6[[#All],[PRODUCTO]],0),MATCH(Tabla4[[#This Row],[Mes]],Tabla6[#Headers],0)))*(1+Catalogos!$L$2)</f>
        <v>#N/A</v>
      </c>
      <c r="N6596" s="283" t="e">
        <f>+(Tabla4[[#This Row],[Precio Descontado]]-Tabla4[[#This Row],[Precio Base]])*Tabla4[[#This Row],[Cantidad]]</f>
        <v>#N/A</v>
      </c>
      <c r="O6596" s="284" t="e">
        <f>++Tabla4[[#This Row],[Utilidad Total]]/Tabla4[[#This Row],[Total]]</f>
        <v>#N/A</v>
      </c>
      <c r="P6596" s="282">
        <f>++Tabla4[[#This Row],[Precio Descontado]]*Tabla4[[#This Row],[Cantidad]]</f>
        <v>348.43412999999998</v>
      </c>
      <c r="Q6596" s="282" t="e">
        <f>(INDEX(Tabla6[#All],MATCH(Tabla4[[#This Row],[Producto]],Tabla6[[#All],[PRODUCTO]],0),MATCH(Tabla4[[#This Row],[Mes]],Tabla6[#Headers],0)))</f>
        <v>#N/A</v>
      </c>
      <c r="R6596" s="282" t="e">
        <f>++Tabla4[[#This Row],[Precio Unitario Neto]]-Tabla4[[#This Row],[20.85%]]-Tabla4[[#This Row],[Costo]]</f>
        <v>#N/A</v>
      </c>
      <c r="S6596" s="282" t="e">
        <f>++Tabla4[[#This Row],[U. Bruta Uni]]*Tabla4[[#This Row],[Cantidad]]</f>
        <v>#N/A</v>
      </c>
      <c r="T6596" s="369" t="str">
        <f>VLOOKUP(Tabla4[[#This Row],[Producto]],Tabla6[#All],14,FALSE)</f>
        <v>Termico Solar</v>
      </c>
      <c r="U6596" s="284" t="e">
        <f>(IF(Tabla4[[#This Row],[Familia]]="termico solar",Tabla4[[#This Row],[Utilidad Total]]*6%,Tabla4[[#This Row],[Utilidad Total]]*11.5%))/Tabla4[[#This Row],[Total]]</f>
        <v>#N/A</v>
      </c>
      <c r="V6596" s="282" t="e">
        <f>+Tabla4[[#This Row],[Comisión Calculada]]*Tabla4[[#This Row],[Total]]</f>
        <v>#N/A</v>
      </c>
    </row>
    <row r="6597" spans="1:22" hidden="1" x14ac:dyDescent="0.25">
      <c r="A6597" s="100">
        <v>45961</v>
      </c>
      <c r="B6597" t="str">
        <f>TEXT(A6597, "mmmm")</f>
        <v>October</v>
      </c>
      <c r="C6597" s="46" t="s">
        <v>280</v>
      </c>
      <c r="F6597" s="366" t="s">
        <v>3344</v>
      </c>
      <c r="G6597" s="46" t="s">
        <v>208</v>
      </c>
      <c r="H6597" s="46">
        <v>3</v>
      </c>
      <c r="I6597" s="51">
        <v>189.75</v>
      </c>
      <c r="J6597" s="281">
        <f>++Tabla4[[#This Row],[Precio Bruto]]*1.16</f>
        <v>220.10999999999999</v>
      </c>
      <c r="K6597" s="281">
        <f>+Tabla4[[#This Row],[Precio Unitario Neto]]*Tabla4[[#Headers],[20.85%]]</f>
        <v>45.892934999999994</v>
      </c>
      <c r="L6597" s="282">
        <f>++Tabla4[[#This Row],[Precio Unitario Neto]]-Tabla4[[#This Row],[20.85%]]</f>
        <v>174.21706499999999</v>
      </c>
      <c r="M6597" s="282" t="e">
        <f>(INDEX(Tabla6[#All],MATCH(Tabla4[[#This Row],[Producto]],Tabla6[[#All],[PRODUCTO]],0),MATCH(Tabla4[[#This Row],[Mes]],Tabla6[#Headers],0)))*(1+Catalogos!$L$2)</f>
        <v>#N/A</v>
      </c>
      <c r="N6597" s="283" t="e">
        <f>+(Tabla4[[#This Row],[Precio Descontado]]-Tabla4[[#This Row],[Precio Base]])*Tabla4[[#This Row],[Cantidad]]</f>
        <v>#N/A</v>
      </c>
      <c r="O6597" s="284" t="e">
        <f>++Tabla4[[#This Row],[Utilidad Total]]/Tabla4[[#This Row],[Total]]</f>
        <v>#N/A</v>
      </c>
      <c r="P6597" s="282">
        <f>++Tabla4[[#This Row],[Precio Descontado]]*Tabla4[[#This Row],[Cantidad]]</f>
        <v>522.65119499999992</v>
      </c>
      <c r="Q6597" s="282" t="e">
        <f>(INDEX(Tabla6[#All],MATCH(Tabla4[[#This Row],[Producto]],Tabla6[[#All],[PRODUCTO]],0),MATCH(Tabla4[[#This Row],[Mes]],Tabla6[#Headers],0)))</f>
        <v>#N/A</v>
      </c>
      <c r="R6597" s="282" t="e">
        <f>++Tabla4[[#This Row],[Precio Unitario Neto]]-Tabla4[[#This Row],[20.85%]]-Tabla4[[#This Row],[Costo]]</f>
        <v>#N/A</v>
      </c>
      <c r="S6597" s="282" t="e">
        <f>++Tabla4[[#This Row],[U. Bruta Uni]]*Tabla4[[#This Row],[Cantidad]]</f>
        <v>#N/A</v>
      </c>
      <c r="T6597" s="369" t="str">
        <f>VLOOKUP(Tabla4[[#This Row],[Producto]],Tabla6[#All],14,FALSE)</f>
        <v>Termico Solar</v>
      </c>
      <c r="U6597" s="284" t="e">
        <f>(IF(Tabla4[[#This Row],[Familia]]="termico solar",Tabla4[[#This Row],[Utilidad Total]]*6%,Tabla4[[#This Row],[Utilidad Total]]*11.5%))/Tabla4[[#This Row],[Total]]</f>
        <v>#N/A</v>
      </c>
      <c r="V6597" s="282" t="e">
        <f>+Tabla4[[#This Row],[Comisión Calculada]]*Tabla4[[#This Row],[Total]]</f>
        <v>#N/A</v>
      </c>
    </row>
    <row r="6598" spans="1:22" hidden="1" x14ac:dyDescent="0.25">
      <c r="A6598" s="100">
        <v>45961</v>
      </c>
      <c r="B6598" t="str">
        <f t="shared" ref="B6598" si="402">TEXT(A6598, "mmmm")</f>
        <v>October</v>
      </c>
      <c r="C6598" s="46" t="s">
        <v>280</v>
      </c>
      <c r="F6598" s="366" t="s">
        <v>3345</v>
      </c>
      <c r="G6598" s="46" t="s">
        <v>208</v>
      </c>
      <c r="H6598" s="46">
        <v>2</v>
      </c>
      <c r="I6598" s="51">
        <v>189.75</v>
      </c>
      <c r="J6598" s="281">
        <f>++Tabla4[[#This Row],[Precio Bruto]]*1.16</f>
        <v>220.10999999999999</v>
      </c>
      <c r="K6598" s="281">
        <f>+Tabla4[[#This Row],[Precio Unitario Neto]]*Tabla4[[#Headers],[20.85%]]</f>
        <v>45.892934999999994</v>
      </c>
      <c r="L6598" s="282">
        <f>++Tabla4[[#This Row],[Precio Unitario Neto]]-Tabla4[[#This Row],[20.85%]]</f>
        <v>174.21706499999999</v>
      </c>
      <c r="M6598" s="282" t="e">
        <f>(INDEX(Tabla6[#All],MATCH(Tabla4[[#This Row],[Producto]],Tabla6[[#All],[PRODUCTO]],0),MATCH(Tabla4[[#This Row],[Mes]],Tabla6[#Headers],0)))*(1+Catalogos!$L$2)</f>
        <v>#N/A</v>
      </c>
      <c r="N6598" s="283" t="e">
        <f>+(Tabla4[[#This Row],[Precio Descontado]]-Tabla4[[#This Row],[Precio Base]])*Tabla4[[#This Row],[Cantidad]]</f>
        <v>#N/A</v>
      </c>
      <c r="O6598" s="284" t="e">
        <f>++Tabla4[[#This Row],[Utilidad Total]]/Tabla4[[#This Row],[Total]]</f>
        <v>#N/A</v>
      </c>
      <c r="P6598" s="282">
        <f>++Tabla4[[#This Row],[Precio Descontado]]*Tabla4[[#This Row],[Cantidad]]</f>
        <v>348.43412999999998</v>
      </c>
      <c r="Q6598" s="282" t="e">
        <f>(INDEX(Tabla6[#All],MATCH(Tabla4[[#This Row],[Producto]],Tabla6[[#All],[PRODUCTO]],0),MATCH(Tabla4[[#This Row],[Mes]],Tabla6[#Headers],0)))</f>
        <v>#N/A</v>
      </c>
      <c r="R6598" s="282" t="e">
        <f>++Tabla4[[#This Row],[Precio Unitario Neto]]-Tabla4[[#This Row],[20.85%]]-Tabla4[[#This Row],[Costo]]</f>
        <v>#N/A</v>
      </c>
      <c r="S6598" s="282" t="e">
        <f>++Tabla4[[#This Row],[U. Bruta Uni]]*Tabla4[[#This Row],[Cantidad]]</f>
        <v>#N/A</v>
      </c>
      <c r="T6598" s="369" t="str">
        <f>VLOOKUP(Tabla4[[#This Row],[Producto]],Tabla6[#All],14,FALSE)</f>
        <v>Termico Solar</v>
      </c>
      <c r="U6598" s="284" t="e">
        <f>(IF(Tabla4[[#This Row],[Familia]]="termico solar",Tabla4[[#This Row],[Utilidad Total]]*6%,Tabla4[[#This Row],[Utilidad Total]]*11.5%))/Tabla4[[#This Row],[Total]]</f>
        <v>#N/A</v>
      </c>
      <c r="V6598" s="282" t="e">
        <f>+Tabla4[[#This Row],[Comisión Calculada]]*Tabla4[[#This Row],[Total]]</f>
        <v>#N/A</v>
      </c>
    </row>
    <row r="6599" spans="1:22" hidden="1" x14ac:dyDescent="0.25">
      <c r="A6599" s="100">
        <v>45961</v>
      </c>
      <c r="B6599" t="str">
        <f t="shared" ref="B6599:B6600" si="403">TEXT(A6599, "mmmm")</f>
        <v>October</v>
      </c>
      <c r="C6599" s="46" t="s">
        <v>280</v>
      </c>
      <c r="F6599" s="366" t="s">
        <v>3346</v>
      </c>
      <c r="G6599" s="46" t="s">
        <v>83</v>
      </c>
      <c r="H6599" s="46">
        <v>1</v>
      </c>
      <c r="I6599" s="51">
        <v>8858.76</v>
      </c>
      <c r="J6599" s="281">
        <f>++Tabla4[[#This Row],[Precio Bruto]]*1.16</f>
        <v>10276.161599999999</v>
      </c>
      <c r="K6599" s="281">
        <f>+Tabla4[[#This Row],[Precio Unitario Neto]]*Tabla4[[#Headers],[20.85%]]</f>
        <v>2142.5796935999997</v>
      </c>
      <c r="L6599" s="282">
        <f>++Tabla4[[#This Row],[Precio Unitario Neto]]-Tabla4[[#This Row],[20.85%]]</f>
        <v>8133.5819063999998</v>
      </c>
      <c r="M6599" s="282" t="e">
        <f>(INDEX(Tabla6[#All],MATCH(Tabla4[[#This Row],[Producto]],Tabla6[[#All],[PRODUCTO]],0),MATCH(Tabla4[[#This Row],[Mes]],Tabla6[#Headers],0)))*(1+Catalogos!$L$2)</f>
        <v>#N/A</v>
      </c>
      <c r="N6599" s="283" t="e">
        <f>+(Tabla4[[#This Row],[Precio Descontado]]-Tabla4[[#This Row],[Precio Base]])*Tabla4[[#This Row],[Cantidad]]</f>
        <v>#N/A</v>
      </c>
      <c r="O6599" s="284" t="e">
        <f>++Tabla4[[#This Row],[Utilidad Total]]/Tabla4[[#This Row],[Total]]</f>
        <v>#N/A</v>
      </c>
      <c r="P6599" s="282">
        <f>++Tabla4[[#This Row],[Precio Descontado]]*Tabla4[[#This Row],[Cantidad]]</f>
        <v>8133.5819063999998</v>
      </c>
      <c r="Q6599" s="282" t="e">
        <f>(INDEX(Tabla6[#All],MATCH(Tabla4[[#This Row],[Producto]],Tabla6[[#All],[PRODUCTO]],0),MATCH(Tabla4[[#This Row],[Mes]],Tabla6[#Headers],0)))</f>
        <v>#N/A</v>
      </c>
      <c r="R6599" s="282" t="e">
        <f>++Tabla4[[#This Row],[Precio Unitario Neto]]-Tabla4[[#This Row],[20.85%]]-Tabla4[[#This Row],[Costo]]</f>
        <v>#N/A</v>
      </c>
      <c r="S6599" s="282" t="e">
        <f>++Tabla4[[#This Row],[U. Bruta Uni]]*Tabla4[[#This Row],[Cantidad]]</f>
        <v>#N/A</v>
      </c>
      <c r="T6599" s="369" t="str">
        <f>VLOOKUP(Tabla4[[#This Row],[Producto]],Tabla6[#All],14,FALSE)</f>
        <v>Termico Solar</v>
      </c>
      <c r="U6599" s="284" t="e">
        <f>(IF(Tabla4[[#This Row],[Familia]]="termico solar",Tabla4[[#This Row],[Utilidad Total]]*6%,Tabla4[[#This Row],[Utilidad Total]]*11.5%))/Tabla4[[#This Row],[Total]]</f>
        <v>#N/A</v>
      </c>
      <c r="V6599" s="282" t="e">
        <f>+Tabla4[[#This Row],[Comisión Calculada]]*Tabla4[[#This Row],[Total]]</f>
        <v>#N/A</v>
      </c>
    </row>
    <row r="6600" spans="1:22" hidden="1" x14ac:dyDescent="0.25">
      <c r="A6600" s="100">
        <v>45961</v>
      </c>
      <c r="B6600" t="str">
        <f t="shared" si="403"/>
        <v>October</v>
      </c>
      <c r="C6600" s="46" t="s">
        <v>280</v>
      </c>
      <c r="F6600" s="366" t="s">
        <v>3346</v>
      </c>
      <c r="G6600" s="46" t="s">
        <v>208</v>
      </c>
      <c r="H6600" s="46">
        <v>3</v>
      </c>
      <c r="I6600" s="51">
        <v>189.75</v>
      </c>
      <c r="J6600" s="281">
        <f>++Tabla4[[#This Row],[Precio Bruto]]*1.16</f>
        <v>220.10999999999999</v>
      </c>
      <c r="K6600" s="281">
        <f>+Tabla4[[#This Row],[Precio Unitario Neto]]*Tabla4[[#Headers],[20.85%]]</f>
        <v>45.892934999999994</v>
      </c>
      <c r="L6600" s="282">
        <f>++Tabla4[[#This Row],[Precio Unitario Neto]]-Tabla4[[#This Row],[20.85%]]</f>
        <v>174.21706499999999</v>
      </c>
      <c r="M6600" s="282" t="e">
        <f>(INDEX(Tabla6[#All],MATCH(Tabla4[[#This Row],[Producto]],Tabla6[[#All],[PRODUCTO]],0),MATCH(Tabla4[[#This Row],[Mes]],Tabla6[#Headers],0)))*(1+Catalogos!$L$2)</f>
        <v>#N/A</v>
      </c>
      <c r="N6600" s="283" t="e">
        <f>+(Tabla4[[#This Row],[Precio Descontado]]-Tabla4[[#This Row],[Precio Base]])*Tabla4[[#This Row],[Cantidad]]</f>
        <v>#N/A</v>
      </c>
      <c r="O6600" s="284" t="e">
        <f>++Tabla4[[#This Row],[Utilidad Total]]/Tabla4[[#This Row],[Total]]</f>
        <v>#N/A</v>
      </c>
      <c r="P6600" s="282">
        <f>++Tabla4[[#This Row],[Precio Descontado]]*Tabla4[[#This Row],[Cantidad]]</f>
        <v>522.65119499999992</v>
      </c>
      <c r="Q6600" s="282" t="e">
        <f>(INDEX(Tabla6[#All],MATCH(Tabla4[[#This Row],[Producto]],Tabla6[[#All],[PRODUCTO]],0),MATCH(Tabla4[[#This Row],[Mes]],Tabla6[#Headers],0)))</f>
        <v>#N/A</v>
      </c>
      <c r="R6600" s="282" t="e">
        <f>++Tabla4[[#This Row],[Precio Unitario Neto]]-Tabla4[[#This Row],[20.85%]]-Tabla4[[#This Row],[Costo]]</f>
        <v>#N/A</v>
      </c>
      <c r="S6600" s="282" t="e">
        <f>++Tabla4[[#This Row],[U. Bruta Uni]]*Tabla4[[#This Row],[Cantidad]]</f>
        <v>#N/A</v>
      </c>
      <c r="T6600" s="369" t="str">
        <f>VLOOKUP(Tabla4[[#This Row],[Producto]],Tabla6[#All],14,FALSE)</f>
        <v>Termico Solar</v>
      </c>
      <c r="U6600" s="284" t="e">
        <f>(IF(Tabla4[[#This Row],[Familia]]="termico solar",Tabla4[[#This Row],[Utilidad Total]]*6%,Tabla4[[#This Row],[Utilidad Total]]*11.5%))/Tabla4[[#This Row],[Total]]</f>
        <v>#N/A</v>
      </c>
      <c r="V6600" s="282" t="e">
        <f>+Tabla4[[#This Row],[Comisión Calculada]]*Tabla4[[#This Row],[Total]]</f>
        <v>#N/A</v>
      </c>
    </row>
    <row r="6601" spans="1:22" hidden="1" x14ac:dyDescent="0.25">
      <c r="A6601" s="100">
        <v>45961</v>
      </c>
      <c r="B6601" t="str">
        <f>TEXT(A6601, "mmmm")</f>
        <v>October</v>
      </c>
      <c r="C6601" s="46" t="s">
        <v>280</v>
      </c>
      <c r="F6601" s="366" t="s">
        <v>3347</v>
      </c>
      <c r="G6601" s="46" t="s">
        <v>83</v>
      </c>
      <c r="H6601" s="46">
        <v>4</v>
      </c>
      <c r="I6601" s="51">
        <v>8858.76</v>
      </c>
      <c r="J6601" s="281">
        <f>++Tabla4[[#This Row],[Precio Bruto]]*1.16</f>
        <v>10276.161599999999</v>
      </c>
      <c r="K6601" s="281">
        <f>+Tabla4[[#This Row],[Precio Unitario Neto]]*Tabla4[[#Headers],[20.85%]]</f>
        <v>2142.5796935999997</v>
      </c>
      <c r="L6601" s="282">
        <f>++Tabla4[[#This Row],[Precio Unitario Neto]]-Tabla4[[#This Row],[20.85%]]</f>
        <v>8133.5819063999998</v>
      </c>
      <c r="M6601" s="282" t="e">
        <f>(INDEX(Tabla6[#All],MATCH(Tabla4[[#This Row],[Producto]],Tabla6[[#All],[PRODUCTO]],0),MATCH(Tabla4[[#This Row],[Mes]],Tabla6[#Headers],0)))*(1+Catalogos!$L$2)</f>
        <v>#N/A</v>
      </c>
      <c r="N6601" s="283" t="e">
        <f>+(Tabla4[[#This Row],[Precio Descontado]]-Tabla4[[#This Row],[Precio Base]])*Tabla4[[#This Row],[Cantidad]]</f>
        <v>#N/A</v>
      </c>
      <c r="O6601" s="284" t="e">
        <f>++Tabla4[[#This Row],[Utilidad Total]]/Tabla4[[#This Row],[Total]]</f>
        <v>#N/A</v>
      </c>
      <c r="P6601" s="282">
        <f>++Tabla4[[#This Row],[Precio Descontado]]*Tabla4[[#This Row],[Cantidad]]</f>
        <v>32534.327625599999</v>
      </c>
      <c r="Q6601" s="282" t="e">
        <f>(INDEX(Tabla6[#All],MATCH(Tabla4[[#This Row],[Producto]],Tabla6[[#All],[PRODUCTO]],0),MATCH(Tabla4[[#This Row],[Mes]],Tabla6[#Headers],0)))</f>
        <v>#N/A</v>
      </c>
      <c r="R6601" s="282" t="e">
        <f>++Tabla4[[#This Row],[Precio Unitario Neto]]-Tabla4[[#This Row],[20.85%]]-Tabla4[[#This Row],[Costo]]</f>
        <v>#N/A</v>
      </c>
      <c r="S6601" s="282" t="e">
        <f>++Tabla4[[#This Row],[U. Bruta Uni]]*Tabla4[[#This Row],[Cantidad]]</f>
        <v>#N/A</v>
      </c>
      <c r="T6601" s="369" t="str">
        <f>VLOOKUP(Tabla4[[#This Row],[Producto]],Tabla6[#All],14,FALSE)</f>
        <v>Termico Solar</v>
      </c>
      <c r="U6601" s="284" t="e">
        <f>(IF(Tabla4[[#This Row],[Familia]]="termico solar",Tabla4[[#This Row],[Utilidad Total]]*6%,Tabla4[[#This Row],[Utilidad Total]]*11.5%))/Tabla4[[#This Row],[Total]]</f>
        <v>#N/A</v>
      </c>
      <c r="V6601" s="282" t="e">
        <f>+Tabla4[[#This Row],[Comisión Calculada]]*Tabla4[[#This Row],[Total]]</f>
        <v>#N/A</v>
      </c>
    </row>
    <row r="6602" spans="1:22" hidden="1" x14ac:dyDescent="0.25">
      <c r="A6602" s="100">
        <v>45961</v>
      </c>
      <c r="B6602" t="str">
        <f t="shared" ref="B6602:B6604" si="404">TEXT(A6602, "mmmm")</f>
        <v>October</v>
      </c>
      <c r="C6602" s="46" t="s">
        <v>280</v>
      </c>
      <c r="F6602" s="366" t="s">
        <v>3348</v>
      </c>
      <c r="G6602" s="46" t="s">
        <v>17</v>
      </c>
      <c r="H6602" s="46">
        <v>7</v>
      </c>
      <c r="I6602" s="51">
        <v>4622.28</v>
      </c>
      <c r="J6602" s="281">
        <f>++Tabla4[[#This Row],[Precio Bruto]]*1.16</f>
        <v>5361.8447999999989</v>
      </c>
      <c r="K6602" s="281">
        <f>+Tabla4[[#This Row],[Precio Unitario Neto]]*Tabla4[[#Headers],[20.85%]]</f>
        <v>1117.9446407999997</v>
      </c>
      <c r="L6602" s="282">
        <f>++Tabla4[[#This Row],[Precio Unitario Neto]]-Tabla4[[#This Row],[20.85%]]</f>
        <v>4243.9001591999995</v>
      </c>
      <c r="M6602" s="282" t="e">
        <f>(INDEX(Tabla6[#All],MATCH(Tabla4[[#This Row],[Producto]],Tabla6[[#All],[PRODUCTO]],0),MATCH(Tabla4[[#This Row],[Mes]],Tabla6[#Headers],0)))*(1+Catalogos!$L$2)</f>
        <v>#N/A</v>
      </c>
      <c r="N6602" s="283" t="e">
        <f>+(Tabla4[[#This Row],[Precio Descontado]]-Tabla4[[#This Row],[Precio Base]])*Tabla4[[#This Row],[Cantidad]]</f>
        <v>#N/A</v>
      </c>
      <c r="O6602" s="284" t="e">
        <f>++Tabla4[[#This Row],[Utilidad Total]]/Tabla4[[#This Row],[Total]]</f>
        <v>#N/A</v>
      </c>
      <c r="P6602" s="282">
        <f>++Tabla4[[#This Row],[Precio Descontado]]*Tabla4[[#This Row],[Cantidad]]</f>
        <v>29707.301114399997</v>
      </c>
      <c r="Q6602" s="282" t="e">
        <f>(INDEX(Tabla6[#All],MATCH(Tabla4[[#This Row],[Producto]],Tabla6[[#All],[PRODUCTO]],0),MATCH(Tabla4[[#This Row],[Mes]],Tabla6[#Headers],0)))</f>
        <v>#N/A</v>
      </c>
      <c r="R6602" s="282" t="e">
        <f>++Tabla4[[#This Row],[Precio Unitario Neto]]-Tabla4[[#This Row],[20.85%]]-Tabla4[[#This Row],[Costo]]</f>
        <v>#N/A</v>
      </c>
      <c r="S6602" s="282" t="e">
        <f>++Tabla4[[#This Row],[U. Bruta Uni]]*Tabla4[[#This Row],[Cantidad]]</f>
        <v>#N/A</v>
      </c>
      <c r="T6602" s="369" t="str">
        <f>VLOOKUP(Tabla4[[#This Row],[Producto]],Tabla6[#All],14,FALSE)</f>
        <v>Termico Solar</v>
      </c>
      <c r="U6602" s="284" t="e">
        <f>(IF(Tabla4[[#This Row],[Familia]]="termico solar",Tabla4[[#This Row],[Utilidad Total]]*6%,Tabla4[[#This Row],[Utilidad Total]]*11.5%))/Tabla4[[#This Row],[Total]]</f>
        <v>#N/A</v>
      </c>
      <c r="V6602" s="282" t="e">
        <f>+Tabla4[[#This Row],[Comisión Calculada]]*Tabla4[[#This Row],[Total]]</f>
        <v>#N/A</v>
      </c>
    </row>
    <row r="6603" spans="1:22" hidden="1" x14ac:dyDescent="0.25">
      <c r="A6603" s="100">
        <v>45961</v>
      </c>
      <c r="B6603" t="str">
        <f t="shared" si="404"/>
        <v>October</v>
      </c>
      <c r="C6603" s="46" t="s">
        <v>280</v>
      </c>
      <c r="F6603" s="366" t="s">
        <v>3348</v>
      </c>
      <c r="G6603" s="46" t="s">
        <v>18</v>
      </c>
      <c r="H6603" s="46">
        <v>2</v>
      </c>
      <c r="I6603" s="51">
        <v>5367.65</v>
      </c>
      <c r="J6603" s="281">
        <f>++Tabla4[[#This Row],[Precio Bruto]]*1.16</f>
        <v>6226.4739999999993</v>
      </c>
      <c r="K6603" s="281">
        <f>+Tabla4[[#This Row],[Precio Unitario Neto]]*Tabla4[[#Headers],[20.85%]]</f>
        <v>1298.2198289999999</v>
      </c>
      <c r="L6603" s="282">
        <f>++Tabla4[[#This Row],[Precio Unitario Neto]]-Tabla4[[#This Row],[20.85%]]</f>
        <v>4928.2541709999996</v>
      </c>
      <c r="M6603" s="282" t="e">
        <f>(INDEX(Tabla6[#All],MATCH(Tabla4[[#This Row],[Producto]],Tabla6[[#All],[PRODUCTO]],0),MATCH(Tabla4[[#This Row],[Mes]],Tabla6[#Headers],0)))*(1+Catalogos!$L$2)</f>
        <v>#N/A</v>
      </c>
      <c r="N6603" s="283" t="e">
        <f>+(Tabla4[[#This Row],[Precio Descontado]]-Tabla4[[#This Row],[Precio Base]])*Tabla4[[#This Row],[Cantidad]]</f>
        <v>#N/A</v>
      </c>
      <c r="O6603" s="284" t="e">
        <f>++Tabla4[[#This Row],[Utilidad Total]]/Tabla4[[#This Row],[Total]]</f>
        <v>#N/A</v>
      </c>
      <c r="P6603" s="282">
        <f>++Tabla4[[#This Row],[Precio Descontado]]*Tabla4[[#This Row],[Cantidad]]</f>
        <v>9856.5083419999992</v>
      </c>
      <c r="Q6603" s="282" t="e">
        <f>(INDEX(Tabla6[#All],MATCH(Tabla4[[#This Row],[Producto]],Tabla6[[#All],[PRODUCTO]],0),MATCH(Tabla4[[#This Row],[Mes]],Tabla6[#Headers],0)))</f>
        <v>#N/A</v>
      </c>
      <c r="R6603" s="282" t="e">
        <f>++Tabla4[[#This Row],[Precio Unitario Neto]]-Tabla4[[#This Row],[20.85%]]-Tabla4[[#This Row],[Costo]]</f>
        <v>#N/A</v>
      </c>
      <c r="S6603" s="282" t="e">
        <f>++Tabla4[[#This Row],[U. Bruta Uni]]*Tabla4[[#This Row],[Cantidad]]</f>
        <v>#N/A</v>
      </c>
      <c r="T6603" s="369" t="str">
        <f>VLOOKUP(Tabla4[[#This Row],[Producto]],Tabla6[#All],14,FALSE)</f>
        <v>Termico Solar</v>
      </c>
      <c r="U6603" s="284" t="e">
        <f>(IF(Tabla4[[#This Row],[Familia]]="termico solar",Tabla4[[#This Row],[Utilidad Total]]*6%,Tabla4[[#This Row],[Utilidad Total]]*11.5%))/Tabla4[[#This Row],[Total]]</f>
        <v>#N/A</v>
      </c>
      <c r="V6603" s="282" t="e">
        <f>+Tabla4[[#This Row],[Comisión Calculada]]*Tabla4[[#This Row],[Total]]</f>
        <v>#N/A</v>
      </c>
    </row>
    <row r="6604" spans="1:22" hidden="1" x14ac:dyDescent="0.25">
      <c r="A6604" s="100">
        <v>45961</v>
      </c>
      <c r="B6604" t="str">
        <f t="shared" si="404"/>
        <v>October</v>
      </c>
      <c r="C6604" s="46" t="s">
        <v>280</v>
      </c>
      <c r="F6604" s="366" t="s">
        <v>3348</v>
      </c>
      <c r="G6604" s="46" t="s">
        <v>16</v>
      </c>
      <c r="H6604" s="46">
        <v>1</v>
      </c>
      <c r="I6604" s="51">
        <v>4103.8500000000004</v>
      </c>
      <c r="J6604" s="281">
        <f>++Tabla4[[#This Row],[Precio Bruto]]*1.16</f>
        <v>4760.4660000000003</v>
      </c>
      <c r="K6604" s="281">
        <f>+Tabla4[[#This Row],[Precio Unitario Neto]]*Tabla4[[#Headers],[20.85%]]</f>
        <v>992.55716100000006</v>
      </c>
      <c r="L6604" s="282">
        <f>++Tabla4[[#This Row],[Precio Unitario Neto]]-Tabla4[[#This Row],[20.85%]]</f>
        <v>3767.9088390000002</v>
      </c>
      <c r="M6604" s="282" t="e">
        <f>(INDEX(Tabla6[#All],MATCH(Tabla4[[#This Row],[Producto]],Tabla6[[#All],[PRODUCTO]],0),MATCH(Tabla4[[#This Row],[Mes]],Tabla6[#Headers],0)))*(1+Catalogos!$L$2)</f>
        <v>#N/A</v>
      </c>
      <c r="N6604" s="283" t="e">
        <f>+(Tabla4[[#This Row],[Precio Descontado]]-Tabla4[[#This Row],[Precio Base]])*Tabla4[[#This Row],[Cantidad]]</f>
        <v>#N/A</v>
      </c>
      <c r="O6604" s="284" t="e">
        <f>++Tabla4[[#This Row],[Utilidad Total]]/Tabla4[[#This Row],[Total]]</f>
        <v>#N/A</v>
      </c>
      <c r="P6604" s="282">
        <f>++Tabla4[[#This Row],[Precio Descontado]]*Tabla4[[#This Row],[Cantidad]]</f>
        <v>3767.9088390000002</v>
      </c>
      <c r="Q6604" s="282" t="e">
        <f>(INDEX(Tabla6[#All],MATCH(Tabla4[[#This Row],[Producto]],Tabla6[[#All],[PRODUCTO]],0),MATCH(Tabla4[[#This Row],[Mes]],Tabla6[#Headers],0)))</f>
        <v>#N/A</v>
      </c>
      <c r="R6604" s="282" t="e">
        <f>++Tabla4[[#This Row],[Precio Unitario Neto]]-Tabla4[[#This Row],[20.85%]]-Tabla4[[#This Row],[Costo]]</f>
        <v>#N/A</v>
      </c>
      <c r="S6604" s="282" t="e">
        <f>++Tabla4[[#This Row],[U. Bruta Uni]]*Tabla4[[#This Row],[Cantidad]]</f>
        <v>#N/A</v>
      </c>
      <c r="T6604" s="369" t="str">
        <f>VLOOKUP(Tabla4[[#This Row],[Producto]],Tabla6[#All],14,FALSE)</f>
        <v>Termico Solar</v>
      </c>
      <c r="U6604" s="284" t="e">
        <f>(IF(Tabla4[[#This Row],[Familia]]="termico solar",Tabla4[[#This Row],[Utilidad Total]]*6%,Tabla4[[#This Row],[Utilidad Total]]*11.5%))/Tabla4[[#This Row],[Total]]</f>
        <v>#N/A</v>
      </c>
      <c r="V6604" s="282" t="e">
        <f>+Tabla4[[#This Row],[Comisión Calculada]]*Tabla4[[#This Row],[Total]]</f>
        <v>#N/A</v>
      </c>
    </row>
    <row r="6605" spans="1:22" hidden="1" x14ac:dyDescent="0.25">
      <c r="A6605" s="100">
        <v>45961</v>
      </c>
      <c r="B6605" t="str">
        <f>TEXT(A6605, "mmmm")</f>
        <v>October</v>
      </c>
      <c r="C6605" s="46" t="s">
        <v>280</v>
      </c>
      <c r="F6605" s="366" t="s">
        <v>3349</v>
      </c>
      <c r="G6605" s="46" t="s">
        <v>208</v>
      </c>
      <c r="H6605" s="46">
        <v>1</v>
      </c>
      <c r="I6605" s="51">
        <v>189.75</v>
      </c>
      <c r="J6605" s="281">
        <f>++Tabla4[[#This Row],[Precio Bruto]]*1.16</f>
        <v>220.10999999999999</v>
      </c>
      <c r="K6605" s="281">
        <f>+Tabla4[[#This Row],[Precio Unitario Neto]]*Tabla4[[#Headers],[20.85%]]</f>
        <v>45.892934999999994</v>
      </c>
      <c r="L6605" s="282">
        <f>++Tabla4[[#This Row],[Precio Unitario Neto]]-Tabla4[[#This Row],[20.85%]]</f>
        <v>174.21706499999999</v>
      </c>
      <c r="M6605" s="282" t="e">
        <f>(INDEX(Tabla6[#All],MATCH(Tabla4[[#This Row],[Producto]],Tabla6[[#All],[PRODUCTO]],0),MATCH(Tabla4[[#This Row],[Mes]],Tabla6[#Headers],0)))*(1+Catalogos!$L$2)</f>
        <v>#N/A</v>
      </c>
      <c r="N6605" s="283" t="e">
        <f>+(Tabla4[[#This Row],[Precio Descontado]]-Tabla4[[#This Row],[Precio Base]])*Tabla4[[#This Row],[Cantidad]]</f>
        <v>#N/A</v>
      </c>
      <c r="O6605" s="284" t="e">
        <f>++Tabla4[[#This Row],[Utilidad Total]]/Tabla4[[#This Row],[Total]]</f>
        <v>#N/A</v>
      </c>
      <c r="P6605" s="282">
        <f>++Tabla4[[#This Row],[Precio Descontado]]*Tabla4[[#This Row],[Cantidad]]</f>
        <v>174.21706499999999</v>
      </c>
      <c r="Q6605" s="282" t="e">
        <f>(INDEX(Tabla6[#All],MATCH(Tabla4[[#This Row],[Producto]],Tabla6[[#All],[PRODUCTO]],0),MATCH(Tabla4[[#This Row],[Mes]],Tabla6[#Headers],0)))</f>
        <v>#N/A</v>
      </c>
      <c r="R6605" s="282" t="e">
        <f>++Tabla4[[#This Row],[Precio Unitario Neto]]-Tabla4[[#This Row],[20.85%]]-Tabla4[[#This Row],[Costo]]</f>
        <v>#N/A</v>
      </c>
      <c r="S6605" s="282" t="e">
        <f>++Tabla4[[#This Row],[U. Bruta Uni]]*Tabla4[[#This Row],[Cantidad]]</f>
        <v>#N/A</v>
      </c>
      <c r="T6605" s="369" t="str">
        <f>VLOOKUP(Tabla4[[#This Row],[Producto]],Tabla6[#All],14,FALSE)</f>
        <v>Termico Solar</v>
      </c>
      <c r="U6605" s="284" t="e">
        <f>(IF(Tabla4[[#This Row],[Familia]]="termico solar",Tabla4[[#This Row],[Utilidad Total]]*6%,Tabla4[[#This Row],[Utilidad Total]]*11.5%))/Tabla4[[#This Row],[Total]]</f>
        <v>#N/A</v>
      </c>
      <c r="V6605" s="282" t="e">
        <f>+Tabla4[[#This Row],[Comisión Calculada]]*Tabla4[[#This Row],[Total]]</f>
        <v>#N/A</v>
      </c>
    </row>
    <row r="6606" spans="1:22" hidden="1" x14ac:dyDescent="0.25">
      <c r="A6606" s="100">
        <v>45961</v>
      </c>
      <c r="B6606" t="str">
        <f t="shared" ref="B6606:B6607" si="405">TEXT(A6606, "mmmm")</f>
        <v>October</v>
      </c>
      <c r="C6606" s="46" t="s">
        <v>280</v>
      </c>
      <c r="F6606" s="366" t="s">
        <v>3350</v>
      </c>
      <c r="G6606" s="46" t="s">
        <v>83</v>
      </c>
      <c r="H6606" s="46">
        <v>1</v>
      </c>
      <c r="I6606" s="51">
        <v>8858.76</v>
      </c>
      <c r="J6606" s="281">
        <f>++Tabla4[[#This Row],[Precio Bruto]]*1.16</f>
        <v>10276.161599999999</v>
      </c>
      <c r="K6606" s="281">
        <f>+Tabla4[[#This Row],[Precio Unitario Neto]]*Tabla4[[#Headers],[20.85%]]</f>
        <v>2142.5796935999997</v>
      </c>
      <c r="L6606" s="282">
        <f>++Tabla4[[#This Row],[Precio Unitario Neto]]-Tabla4[[#This Row],[20.85%]]</f>
        <v>8133.5819063999998</v>
      </c>
      <c r="M6606" s="282" t="e">
        <f>(INDEX(Tabla6[#All],MATCH(Tabla4[[#This Row],[Producto]],Tabla6[[#All],[PRODUCTO]],0),MATCH(Tabla4[[#This Row],[Mes]],Tabla6[#Headers],0)))*(1+Catalogos!$L$2)</f>
        <v>#N/A</v>
      </c>
      <c r="N6606" s="283" t="e">
        <f>+(Tabla4[[#This Row],[Precio Descontado]]-Tabla4[[#This Row],[Precio Base]])*Tabla4[[#This Row],[Cantidad]]</f>
        <v>#N/A</v>
      </c>
      <c r="O6606" s="284" t="e">
        <f>++Tabla4[[#This Row],[Utilidad Total]]/Tabla4[[#This Row],[Total]]</f>
        <v>#N/A</v>
      </c>
      <c r="P6606" s="282">
        <f>++Tabla4[[#This Row],[Precio Descontado]]*Tabla4[[#This Row],[Cantidad]]</f>
        <v>8133.5819063999998</v>
      </c>
      <c r="Q6606" s="282" t="e">
        <f>(INDEX(Tabla6[#All],MATCH(Tabla4[[#This Row],[Producto]],Tabla6[[#All],[PRODUCTO]],0),MATCH(Tabla4[[#This Row],[Mes]],Tabla6[#Headers],0)))</f>
        <v>#N/A</v>
      </c>
      <c r="R6606" s="282" t="e">
        <f>++Tabla4[[#This Row],[Precio Unitario Neto]]-Tabla4[[#This Row],[20.85%]]-Tabla4[[#This Row],[Costo]]</f>
        <v>#N/A</v>
      </c>
      <c r="S6606" s="282" t="e">
        <f>++Tabla4[[#This Row],[U. Bruta Uni]]*Tabla4[[#This Row],[Cantidad]]</f>
        <v>#N/A</v>
      </c>
      <c r="T6606" s="369" t="str">
        <f>VLOOKUP(Tabla4[[#This Row],[Producto]],Tabla6[#All],14,FALSE)</f>
        <v>Termico Solar</v>
      </c>
      <c r="U6606" s="284" t="e">
        <f>(IF(Tabla4[[#This Row],[Familia]]="termico solar",Tabla4[[#This Row],[Utilidad Total]]*6%,Tabla4[[#This Row],[Utilidad Total]]*11.5%))/Tabla4[[#This Row],[Total]]</f>
        <v>#N/A</v>
      </c>
      <c r="V6606" s="282" t="e">
        <f>+Tabla4[[#This Row],[Comisión Calculada]]*Tabla4[[#This Row],[Total]]</f>
        <v>#N/A</v>
      </c>
    </row>
    <row r="6607" spans="1:22" hidden="1" x14ac:dyDescent="0.25">
      <c r="A6607" s="100">
        <v>45961</v>
      </c>
      <c r="B6607" t="str">
        <f t="shared" si="405"/>
        <v>October</v>
      </c>
      <c r="C6607" s="46" t="s">
        <v>280</v>
      </c>
      <c r="F6607" s="366" t="s">
        <v>3350</v>
      </c>
      <c r="G6607" s="46" t="s">
        <v>16</v>
      </c>
      <c r="H6607" s="46">
        <v>1</v>
      </c>
      <c r="I6607" s="51">
        <v>4103.8500000000004</v>
      </c>
      <c r="J6607" s="281">
        <f>++Tabla4[[#This Row],[Precio Bruto]]*1.16</f>
        <v>4760.4660000000003</v>
      </c>
      <c r="K6607" s="281">
        <f>+Tabla4[[#This Row],[Precio Unitario Neto]]*Tabla4[[#Headers],[20.85%]]</f>
        <v>992.55716100000006</v>
      </c>
      <c r="L6607" s="282">
        <f>++Tabla4[[#This Row],[Precio Unitario Neto]]-Tabla4[[#This Row],[20.85%]]</f>
        <v>3767.9088390000002</v>
      </c>
      <c r="M6607" s="282" t="e">
        <f>(INDEX(Tabla6[#All],MATCH(Tabla4[[#This Row],[Producto]],Tabla6[[#All],[PRODUCTO]],0),MATCH(Tabla4[[#This Row],[Mes]],Tabla6[#Headers],0)))*(1+Catalogos!$L$2)</f>
        <v>#N/A</v>
      </c>
      <c r="N6607" s="283" t="e">
        <f>+(Tabla4[[#This Row],[Precio Descontado]]-Tabla4[[#This Row],[Precio Base]])*Tabla4[[#This Row],[Cantidad]]</f>
        <v>#N/A</v>
      </c>
      <c r="O6607" s="284" t="e">
        <f>++Tabla4[[#This Row],[Utilidad Total]]/Tabla4[[#This Row],[Total]]</f>
        <v>#N/A</v>
      </c>
      <c r="P6607" s="282">
        <f>++Tabla4[[#This Row],[Precio Descontado]]*Tabla4[[#This Row],[Cantidad]]</f>
        <v>3767.9088390000002</v>
      </c>
      <c r="Q6607" s="282" t="e">
        <f>(INDEX(Tabla6[#All],MATCH(Tabla4[[#This Row],[Producto]],Tabla6[[#All],[PRODUCTO]],0),MATCH(Tabla4[[#This Row],[Mes]],Tabla6[#Headers],0)))</f>
        <v>#N/A</v>
      </c>
      <c r="R6607" s="282" t="e">
        <f>++Tabla4[[#This Row],[Precio Unitario Neto]]-Tabla4[[#This Row],[20.85%]]-Tabla4[[#This Row],[Costo]]</f>
        <v>#N/A</v>
      </c>
      <c r="S6607" s="282" t="e">
        <f>++Tabla4[[#This Row],[U. Bruta Uni]]*Tabla4[[#This Row],[Cantidad]]</f>
        <v>#N/A</v>
      </c>
      <c r="T6607" s="369" t="str">
        <f>VLOOKUP(Tabla4[[#This Row],[Producto]],Tabla6[#All],14,FALSE)</f>
        <v>Termico Solar</v>
      </c>
      <c r="U6607" s="284" t="e">
        <f>(IF(Tabla4[[#This Row],[Familia]]="termico solar",Tabla4[[#This Row],[Utilidad Total]]*6%,Tabla4[[#This Row],[Utilidad Total]]*11.5%))/Tabla4[[#This Row],[Total]]</f>
        <v>#N/A</v>
      </c>
      <c r="V6607" s="282" t="e">
        <f>+Tabla4[[#This Row],[Comisión Calculada]]*Tabla4[[#This Row],[Total]]</f>
        <v>#N/A</v>
      </c>
    </row>
    <row r="6608" spans="1:22" hidden="1" x14ac:dyDescent="0.25">
      <c r="A6608" s="100">
        <v>45961</v>
      </c>
      <c r="B6608" t="str">
        <f>TEXT(A6608, "mmmm")</f>
        <v>October</v>
      </c>
      <c r="C6608" s="46" t="s">
        <v>280</v>
      </c>
      <c r="F6608" s="366" t="s">
        <v>3351</v>
      </c>
      <c r="G6608" s="46" t="s">
        <v>555</v>
      </c>
      <c r="H6608" s="46">
        <v>8</v>
      </c>
      <c r="I6608" s="51">
        <v>389.47</v>
      </c>
      <c r="J6608" s="281">
        <f>++Tabla4[[#This Row],[Precio Bruto]]*1.16</f>
        <v>451.78519999999997</v>
      </c>
      <c r="K6608" s="281">
        <f>+Tabla4[[#This Row],[Precio Unitario Neto]]*Tabla4[[#Headers],[20.85%]]</f>
        <v>94.197214199999991</v>
      </c>
      <c r="L6608" s="282">
        <f>++Tabla4[[#This Row],[Precio Unitario Neto]]-Tabla4[[#This Row],[20.85%]]</f>
        <v>357.58798579999996</v>
      </c>
      <c r="M6608" s="282" t="e">
        <f>(INDEX(Tabla6[#All],MATCH(Tabla4[[#This Row],[Producto]],Tabla6[[#All],[PRODUCTO]],0),MATCH(Tabla4[[#This Row],[Mes]],Tabla6[#Headers],0)))*(1+Catalogos!$L$2)</f>
        <v>#N/A</v>
      </c>
      <c r="N6608" s="283" t="e">
        <f>+(Tabla4[[#This Row],[Precio Descontado]]-Tabla4[[#This Row],[Precio Base]])*Tabla4[[#This Row],[Cantidad]]</f>
        <v>#N/A</v>
      </c>
      <c r="O6608" s="284" t="e">
        <f>++Tabla4[[#This Row],[Utilidad Total]]/Tabla4[[#This Row],[Total]]</f>
        <v>#N/A</v>
      </c>
      <c r="P6608" s="282">
        <f>++Tabla4[[#This Row],[Precio Descontado]]*Tabla4[[#This Row],[Cantidad]]</f>
        <v>2860.7038863999996</v>
      </c>
      <c r="Q6608" s="282" t="e">
        <f>(INDEX(Tabla6[#All],MATCH(Tabla4[[#This Row],[Producto]],Tabla6[[#All],[PRODUCTO]],0),MATCH(Tabla4[[#This Row],[Mes]],Tabla6[#Headers],0)))</f>
        <v>#N/A</v>
      </c>
      <c r="R6608" s="282" t="e">
        <f>++Tabla4[[#This Row],[Precio Unitario Neto]]-Tabla4[[#This Row],[20.85%]]-Tabla4[[#This Row],[Costo]]</f>
        <v>#N/A</v>
      </c>
      <c r="S6608" s="282" t="e">
        <f>++Tabla4[[#This Row],[U. Bruta Uni]]*Tabla4[[#This Row],[Cantidad]]</f>
        <v>#N/A</v>
      </c>
      <c r="T6608" s="369" t="str">
        <f>VLOOKUP(Tabla4[[#This Row],[Producto]],Tabla6[#All],14,FALSE)</f>
        <v>Termico Solar</v>
      </c>
      <c r="U6608" s="284" t="e">
        <f>(IF(Tabla4[[#This Row],[Familia]]="termico solar",Tabla4[[#This Row],[Utilidad Total]]*6%,Tabla4[[#This Row],[Utilidad Total]]*11.5%))/Tabla4[[#This Row],[Total]]</f>
        <v>#N/A</v>
      </c>
      <c r="V6608" s="282" t="e">
        <f>+Tabla4[[#This Row],[Comisión Calculada]]*Tabla4[[#This Row],[Total]]</f>
        <v>#N/A</v>
      </c>
    </row>
    <row r="6609" spans="1:22" hidden="1" x14ac:dyDescent="0.25">
      <c r="A6609" s="100">
        <v>45961</v>
      </c>
      <c r="B6609" t="str">
        <f t="shared" ref="B6609:B6611" si="406">TEXT(A6609, "mmmm")</f>
        <v>October</v>
      </c>
      <c r="C6609" s="46" t="s">
        <v>280</v>
      </c>
      <c r="F6609" s="366" t="s">
        <v>3352</v>
      </c>
      <c r="G6609" s="46" t="s">
        <v>18</v>
      </c>
      <c r="H6609" s="46">
        <v>3</v>
      </c>
      <c r="I6609" s="51">
        <v>5367.6500000000005</v>
      </c>
      <c r="J6609" s="281">
        <f>++Tabla4[[#This Row],[Precio Bruto]]*1.16</f>
        <v>6226.4740000000002</v>
      </c>
      <c r="K6609" s="281">
        <f>+Tabla4[[#This Row],[Precio Unitario Neto]]*Tabla4[[#Headers],[20.85%]]</f>
        <v>1298.2198289999999</v>
      </c>
      <c r="L6609" s="282">
        <f>++Tabla4[[#This Row],[Precio Unitario Neto]]-Tabla4[[#This Row],[20.85%]]</f>
        <v>4928.2541710000005</v>
      </c>
      <c r="M6609" s="282" t="e">
        <f>(INDEX(Tabla6[#All],MATCH(Tabla4[[#This Row],[Producto]],Tabla6[[#All],[PRODUCTO]],0),MATCH(Tabla4[[#This Row],[Mes]],Tabla6[#Headers],0)))*(1+Catalogos!$L$2)</f>
        <v>#N/A</v>
      </c>
      <c r="N6609" s="283" t="e">
        <f>+(Tabla4[[#This Row],[Precio Descontado]]-Tabla4[[#This Row],[Precio Base]])*Tabla4[[#This Row],[Cantidad]]</f>
        <v>#N/A</v>
      </c>
      <c r="O6609" s="284" t="e">
        <f>++Tabla4[[#This Row],[Utilidad Total]]/Tabla4[[#This Row],[Total]]</f>
        <v>#N/A</v>
      </c>
      <c r="P6609" s="282">
        <f>++Tabla4[[#This Row],[Precio Descontado]]*Tabla4[[#This Row],[Cantidad]]</f>
        <v>14784.762513000001</v>
      </c>
      <c r="Q6609" s="282" t="e">
        <f>(INDEX(Tabla6[#All],MATCH(Tabla4[[#This Row],[Producto]],Tabla6[[#All],[PRODUCTO]],0),MATCH(Tabla4[[#This Row],[Mes]],Tabla6[#Headers],0)))</f>
        <v>#N/A</v>
      </c>
      <c r="R6609" s="282" t="e">
        <f>++Tabla4[[#This Row],[Precio Unitario Neto]]-Tabla4[[#This Row],[20.85%]]-Tabla4[[#This Row],[Costo]]</f>
        <v>#N/A</v>
      </c>
      <c r="S6609" s="282" t="e">
        <f>++Tabla4[[#This Row],[U. Bruta Uni]]*Tabla4[[#This Row],[Cantidad]]</f>
        <v>#N/A</v>
      </c>
      <c r="T6609" s="369" t="str">
        <f>VLOOKUP(Tabla4[[#This Row],[Producto]],Tabla6[#All],14,FALSE)</f>
        <v>Termico Solar</v>
      </c>
      <c r="U6609" s="284" t="e">
        <f>(IF(Tabla4[[#This Row],[Familia]]="termico solar",Tabla4[[#This Row],[Utilidad Total]]*6%,Tabla4[[#This Row],[Utilidad Total]]*11.5%))/Tabla4[[#This Row],[Total]]</f>
        <v>#N/A</v>
      </c>
      <c r="V6609" s="282" t="e">
        <f>+Tabla4[[#This Row],[Comisión Calculada]]*Tabla4[[#This Row],[Total]]</f>
        <v>#N/A</v>
      </c>
    </row>
    <row r="6610" spans="1:22" hidden="1" x14ac:dyDescent="0.25">
      <c r="A6610" s="100">
        <v>45961</v>
      </c>
      <c r="B6610" t="str">
        <f t="shared" si="406"/>
        <v>October</v>
      </c>
      <c r="C6610" s="46" t="s">
        <v>280</v>
      </c>
      <c r="F6610" s="366" t="s">
        <v>3352</v>
      </c>
      <c r="G6610" s="46" t="s">
        <v>16</v>
      </c>
      <c r="H6610" s="46">
        <v>1</v>
      </c>
      <c r="I6610" s="51">
        <v>4103.8500000000004</v>
      </c>
      <c r="J6610" s="281">
        <f>++Tabla4[[#This Row],[Precio Bruto]]*1.16</f>
        <v>4760.4660000000003</v>
      </c>
      <c r="K6610" s="281">
        <f>+Tabla4[[#This Row],[Precio Unitario Neto]]*Tabla4[[#Headers],[20.85%]]</f>
        <v>992.55716100000006</v>
      </c>
      <c r="L6610" s="282">
        <f>++Tabla4[[#This Row],[Precio Unitario Neto]]-Tabla4[[#This Row],[20.85%]]</f>
        <v>3767.9088390000002</v>
      </c>
      <c r="M6610" s="282" t="e">
        <f>(INDEX(Tabla6[#All],MATCH(Tabla4[[#This Row],[Producto]],Tabla6[[#All],[PRODUCTO]],0),MATCH(Tabla4[[#This Row],[Mes]],Tabla6[#Headers],0)))*(1+Catalogos!$L$2)</f>
        <v>#N/A</v>
      </c>
      <c r="N6610" s="283" t="e">
        <f>+(Tabla4[[#This Row],[Precio Descontado]]-Tabla4[[#This Row],[Precio Base]])*Tabla4[[#This Row],[Cantidad]]</f>
        <v>#N/A</v>
      </c>
      <c r="O6610" s="284" t="e">
        <f>++Tabla4[[#This Row],[Utilidad Total]]/Tabla4[[#This Row],[Total]]</f>
        <v>#N/A</v>
      </c>
      <c r="P6610" s="282">
        <f>++Tabla4[[#This Row],[Precio Descontado]]*Tabla4[[#This Row],[Cantidad]]</f>
        <v>3767.9088390000002</v>
      </c>
      <c r="Q6610" s="282" t="e">
        <f>(INDEX(Tabla6[#All],MATCH(Tabla4[[#This Row],[Producto]],Tabla6[[#All],[PRODUCTO]],0),MATCH(Tabla4[[#This Row],[Mes]],Tabla6[#Headers],0)))</f>
        <v>#N/A</v>
      </c>
      <c r="R6610" s="282" t="e">
        <f>++Tabla4[[#This Row],[Precio Unitario Neto]]-Tabla4[[#This Row],[20.85%]]-Tabla4[[#This Row],[Costo]]</f>
        <v>#N/A</v>
      </c>
      <c r="S6610" s="282" t="e">
        <f>++Tabla4[[#This Row],[U. Bruta Uni]]*Tabla4[[#This Row],[Cantidad]]</f>
        <v>#N/A</v>
      </c>
      <c r="T6610" s="369" t="str">
        <f>VLOOKUP(Tabla4[[#This Row],[Producto]],Tabla6[#All],14,FALSE)</f>
        <v>Termico Solar</v>
      </c>
      <c r="U6610" s="284" t="e">
        <f>(IF(Tabla4[[#This Row],[Familia]]="termico solar",Tabla4[[#This Row],[Utilidad Total]]*6%,Tabla4[[#This Row],[Utilidad Total]]*11.5%))/Tabla4[[#This Row],[Total]]</f>
        <v>#N/A</v>
      </c>
      <c r="V6610" s="282" t="e">
        <f>+Tabla4[[#This Row],[Comisión Calculada]]*Tabla4[[#This Row],[Total]]</f>
        <v>#N/A</v>
      </c>
    </row>
    <row r="6611" spans="1:22" hidden="1" x14ac:dyDescent="0.25">
      <c r="A6611" s="100">
        <v>45961</v>
      </c>
      <c r="B6611" t="str">
        <f t="shared" si="406"/>
        <v>October</v>
      </c>
      <c r="C6611" s="46" t="s">
        <v>280</v>
      </c>
      <c r="F6611" s="366" t="s">
        <v>3352</v>
      </c>
      <c r="G6611" s="46" t="s">
        <v>208</v>
      </c>
      <c r="H6611" s="46">
        <v>1</v>
      </c>
      <c r="I6611" s="51">
        <v>189.75</v>
      </c>
      <c r="J6611" s="281">
        <f>++Tabla4[[#This Row],[Precio Bruto]]*1.16</f>
        <v>220.10999999999999</v>
      </c>
      <c r="K6611" s="281">
        <f>+Tabla4[[#This Row],[Precio Unitario Neto]]*Tabla4[[#Headers],[20.85%]]</f>
        <v>45.892934999999994</v>
      </c>
      <c r="L6611" s="282">
        <f>++Tabla4[[#This Row],[Precio Unitario Neto]]-Tabla4[[#This Row],[20.85%]]</f>
        <v>174.21706499999999</v>
      </c>
      <c r="M6611" s="282" t="e">
        <f>(INDEX(Tabla6[#All],MATCH(Tabla4[[#This Row],[Producto]],Tabla6[[#All],[PRODUCTO]],0),MATCH(Tabla4[[#This Row],[Mes]],Tabla6[#Headers],0)))*(1+Catalogos!$L$2)</f>
        <v>#N/A</v>
      </c>
      <c r="N6611" s="283" t="e">
        <f>+(Tabla4[[#This Row],[Precio Descontado]]-Tabla4[[#This Row],[Precio Base]])*Tabla4[[#This Row],[Cantidad]]</f>
        <v>#N/A</v>
      </c>
      <c r="O6611" s="284" t="e">
        <f>++Tabla4[[#This Row],[Utilidad Total]]/Tabla4[[#This Row],[Total]]</f>
        <v>#N/A</v>
      </c>
      <c r="P6611" s="282">
        <f>++Tabla4[[#This Row],[Precio Descontado]]*Tabla4[[#This Row],[Cantidad]]</f>
        <v>174.21706499999999</v>
      </c>
      <c r="Q6611" s="282" t="e">
        <f>(INDEX(Tabla6[#All],MATCH(Tabla4[[#This Row],[Producto]],Tabla6[[#All],[PRODUCTO]],0),MATCH(Tabla4[[#This Row],[Mes]],Tabla6[#Headers],0)))</f>
        <v>#N/A</v>
      </c>
      <c r="R6611" s="282" t="e">
        <f>++Tabla4[[#This Row],[Precio Unitario Neto]]-Tabla4[[#This Row],[20.85%]]-Tabla4[[#This Row],[Costo]]</f>
        <v>#N/A</v>
      </c>
      <c r="S6611" s="282" t="e">
        <f>++Tabla4[[#This Row],[U. Bruta Uni]]*Tabla4[[#This Row],[Cantidad]]</f>
        <v>#N/A</v>
      </c>
      <c r="T6611" s="369" t="str">
        <f>VLOOKUP(Tabla4[[#This Row],[Producto]],Tabla6[#All],14,FALSE)</f>
        <v>Termico Solar</v>
      </c>
      <c r="U6611" s="284" t="e">
        <f>(IF(Tabla4[[#This Row],[Familia]]="termico solar",Tabla4[[#This Row],[Utilidad Total]]*6%,Tabla4[[#This Row],[Utilidad Total]]*11.5%))/Tabla4[[#This Row],[Total]]</f>
        <v>#N/A</v>
      </c>
      <c r="V6611" s="282" t="e">
        <f>+Tabla4[[#This Row],[Comisión Calculada]]*Tabla4[[#This Row],[Total]]</f>
        <v>#N/A</v>
      </c>
    </row>
    <row r="6612" spans="1:22" hidden="1" x14ac:dyDescent="0.25">
      <c r="A6612" s="100">
        <v>45961</v>
      </c>
      <c r="B6612" t="str">
        <f t="shared" ref="B6612:B6617" si="407">TEXT(A6612, "mmmm")</f>
        <v>October</v>
      </c>
      <c r="C6612" s="46" t="s">
        <v>280</v>
      </c>
      <c r="F6612" s="366" t="s">
        <v>3353</v>
      </c>
      <c r="G6612" s="46" t="s">
        <v>17</v>
      </c>
      <c r="H6612" s="46">
        <v>1</v>
      </c>
      <c r="I6612" s="51">
        <v>4622.28</v>
      </c>
      <c r="J6612" s="281">
        <f>++Tabla4[[#This Row],[Precio Bruto]]*1.16</f>
        <v>5361.8447999999989</v>
      </c>
      <c r="K6612" s="281">
        <f>+Tabla4[[#This Row],[Precio Unitario Neto]]*Tabla4[[#Headers],[20.85%]]</f>
        <v>1117.9446407999997</v>
      </c>
      <c r="L6612" s="282">
        <f>++Tabla4[[#This Row],[Precio Unitario Neto]]-Tabla4[[#This Row],[20.85%]]</f>
        <v>4243.9001591999995</v>
      </c>
      <c r="M6612" s="282" t="e">
        <f>(INDEX(Tabla6[#All],MATCH(Tabla4[[#This Row],[Producto]],Tabla6[[#All],[PRODUCTO]],0),MATCH(Tabla4[[#This Row],[Mes]],Tabla6[#Headers],0)))*(1+Catalogos!$L$2)</f>
        <v>#N/A</v>
      </c>
      <c r="N6612" s="283" t="e">
        <f>+(Tabla4[[#This Row],[Precio Descontado]]-Tabla4[[#This Row],[Precio Base]])*Tabla4[[#This Row],[Cantidad]]</f>
        <v>#N/A</v>
      </c>
      <c r="O6612" s="284" t="e">
        <f>++Tabla4[[#This Row],[Utilidad Total]]/Tabla4[[#This Row],[Total]]</f>
        <v>#N/A</v>
      </c>
      <c r="P6612" s="282">
        <f>++Tabla4[[#This Row],[Precio Descontado]]*Tabla4[[#This Row],[Cantidad]]</f>
        <v>4243.9001591999995</v>
      </c>
      <c r="Q6612" s="282" t="e">
        <f>(INDEX(Tabla6[#All],MATCH(Tabla4[[#This Row],[Producto]],Tabla6[[#All],[PRODUCTO]],0),MATCH(Tabla4[[#This Row],[Mes]],Tabla6[#Headers],0)))</f>
        <v>#N/A</v>
      </c>
      <c r="R6612" s="282" t="e">
        <f>++Tabla4[[#This Row],[Precio Unitario Neto]]-Tabla4[[#This Row],[20.85%]]-Tabla4[[#This Row],[Costo]]</f>
        <v>#N/A</v>
      </c>
      <c r="S6612" s="282" t="e">
        <f>++Tabla4[[#This Row],[U. Bruta Uni]]*Tabla4[[#This Row],[Cantidad]]</f>
        <v>#N/A</v>
      </c>
      <c r="T6612" s="369" t="str">
        <f>VLOOKUP(Tabla4[[#This Row],[Producto]],Tabla6[#All],14,FALSE)</f>
        <v>Termico Solar</v>
      </c>
      <c r="U6612" s="284" t="e">
        <f>(IF(Tabla4[[#This Row],[Familia]]="termico solar",Tabla4[[#This Row],[Utilidad Total]]*6%,Tabla4[[#This Row],[Utilidad Total]]*11.5%))/Tabla4[[#This Row],[Total]]</f>
        <v>#N/A</v>
      </c>
      <c r="V6612" s="282" t="e">
        <f>+Tabla4[[#This Row],[Comisión Calculada]]*Tabla4[[#This Row],[Total]]</f>
        <v>#N/A</v>
      </c>
    </row>
    <row r="6613" spans="1:22" hidden="1" x14ac:dyDescent="0.25">
      <c r="A6613" s="100">
        <v>45961</v>
      </c>
      <c r="B6613" t="str">
        <f t="shared" si="407"/>
        <v>October</v>
      </c>
      <c r="C6613" s="46" t="s">
        <v>280</v>
      </c>
      <c r="F6613" s="366" t="s">
        <v>3353</v>
      </c>
      <c r="G6613" s="46" t="s">
        <v>18</v>
      </c>
      <c r="H6613" s="46">
        <v>2</v>
      </c>
      <c r="I6613" s="51">
        <v>5367.65</v>
      </c>
      <c r="J6613" s="281">
        <f>++Tabla4[[#This Row],[Precio Bruto]]*1.16</f>
        <v>6226.4739999999993</v>
      </c>
      <c r="K6613" s="281">
        <f>+Tabla4[[#This Row],[Precio Unitario Neto]]*Tabla4[[#Headers],[20.85%]]</f>
        <v>1298.2198289999999</v>
      </c>
      <c r="L6613" s="282">
        <f>++Tabla4[[#This Row],[Precio Unitario Neto]]-Tabla4[[#This Row],[20.85%]]</f>
        <v>4928.2541709999996</v>
      </c>
      <c r="M6613" s="282" t="e">
        <f>(INDEX(Tabla6[#All],MATCH(Tabla4[[#This Row],[Producto]],Tabla6[[#All],[PRODUCTO]],0),MATCH(Tabla4[[#This Row],[Mes]],Tabla6[#Headers],0)))*(1+Catalogos!$L$2)</f>
        <v>#N/A</v>
      </c>
      <c r="N6613" s="283" t="e">
        <f>+(Tabla4[[#This Row],[Precio Descontado]]-Tabla4[[#This Row],[Precio Base]])*Tabla4[[#This Row],[Cantidad]]</f>
        <v>#N/A</v>
      </c>
      <c r="O6613" s="284" t="e">
        <f>++Tabla4[[#This Row],[Utilidad Total]]/Tabla4[[#This Row],[Total]]</f>
        <v>#N/A</v>
      </c>
      <c r="P6613" s="282">
        <f>++Tabla4[[#This Row],[Precio Descontado]]*Tabla4[[#This Row],[Cantidad]]</f>
        <v>9856.5083419999992</v>
      </c>
      <c r="Q6613" s="282" t="e">
        <f>(INDEX(Tabla6[#All],MATCH(Tabla4[[#This Row],[Producto]],Tabla6[[#All],[PRODUCTO]],0),MATCH(Tabla4[[#This Row],[Mes]],Tabla6[#Headers],0)))</f>
        <v>#N/A</v>
      </c>
      <c r="R6613" s="282" t="e">
        <f>++Tabla4[[#This Row],[Precio Unitario Neto]]-Tabla4[[#This Row],[20.85%]]-Tabla4[[#This Row],[Costo]]</f>
        <v>#N/A</v>
      </c>
      <c r="S6613" s="282" t="e">
        <f>++Tabla4[[#This Row],[U. Bruta Uni]]*Tabla4[[#This Row],[Cantidad]]</f>
        <v>#N/A</v>
      </c>
      <c r="T6613" s="369" t="str">
        <f>VLOOKUP(Tabla4[[#This Row],[Producto]],Tabla6[#All],14,FALSE)</f>
        <v>Termico Solar</v>
      </c>
      <c r="U6613" s="284" t="e">
        <f>(IF(Tabla4[[#This Row],[Familia]]="termico solar",Tabla4[[#This Row],[Utilidad Total]]*6%,Tabla4[[#This Row],[Utilidad Total]]*11.5%))/Tabla4[[#This Row],[Total]]</f>
        <v>#N/A</v>
      </c>
      <c r="V6613" s="282" t="e">
        <f>+Tabla4[[#This Row],[Comisión Calculada]]*Tabla4[[#This Row],[Total]]</f>
        <v>#N/A</v>
      </c>
    </row>
    <row r="6614" spans="1:22" hidden="1" x14ac:dyDescent="0.25">
      <c r="A6614" s="100">
        <v>45961</v>
      </c>
      <c r="B6614" t="str">
        <f t="shared" si="407"/>
        <v>October</v>
      </c>
      <c r="C6614" s="46" t="s">
        <v>280</v>
      </c>
      <c r="F6614" s="366" t="s">
        <v>3353</v>
      </c>
      <c r="G6614" s="46" t="s">
        <v>19</v>
      </c>
      <c r="H6614" s="46">
        <v>1</v>
      </c>
      <c r="I6614" s="51">
        <v>6412.03</v>
      </c>
      <c r="J6614" s="281">
        <f>++Tabla4[[#This Row],[Precio Bruto]]*1.16</f>
        <v>7437.9547999999995</v>
      </c>
      <c r="K6614" s="281">
        <f>+Tabla4[[#This Row],[Precio Unitario Neto]]*Tabla4[[#Headers],[20.85%]]</f>
        <v>1550.8135757999999</v>
      </c>
      <c r="L6614" s="282">
        <f>++Tabla4[[#This Row],[Precio Unitario Neto]]-Tabla4[[#This Row],[20.85%]]</f>
        <v>5887.1412241999997</v>
      </c>
      <c r="M6614" s="282" t="e">
        <f>(INDEX(Tabla6[#All],MATCH(Tabla4[[#This Row],[Producto]],Tabla6[[#All],[PRODUCTO]],0),MATCH(Tabla4[[#This Row],[Mes]],Tabla6[#Headers],0)))*(1+Catalogos!$L$2)</f>
        <v>#N/A</v>
      </c>
      <c r="N6614" s="283" t="e">
        <f>+(Tabla4[[#This Row],[Precio Descontado]]-Tabla4[[#This Row],[Precio Base]])*Tabla4[[#This Row],[Cantidad]]</f>
        <v>#N/A</v>
      </c>
      <c r="O6614" s="284" t="e">
        <f>++Tabla4[[#This Row],[Utilidad Total]]/Tabla4[[#This Row],[Total]]</f>
        <v>#N/A</v>
      </c>
      <c r="P6614" s="282">
        <f>++Tabla4[[#This Row],[Precio Descontado]]*Tabla4[[#This Row],[Cantidad]]</f>
        <v>5887.1412241999997</v>
      </c>
      <c r="Q6614" s="282" t="e">
        <f>(INDEX(Tabla6[#All],MATCH(Tabla4[[#This Row],[Producto]],Tabla6[[#All],[PRODUCTO]],0),MATCH(Tabla4[[#This Row],[Mes]],Tabla6[#Headers],0)))</f>
        <v>#N/A</v>
      </c>
      <c r="R6614" s="282" t="e">
        <f>++Tabla4[[#This Row],[Precio Unitario Neto]]-Tabla4[[#This Row],[20.85%]]-Tabla4[[#This Row],[Costo]]</f>
        <v>#N/A</v>
      </c>
      <c r="S6614" s="282" t="e">
        <f>++Tabla4[[#This Row],[U. Bruta Uni]]*Tabla4[[#This Row],[Cantidad]]</f>
        <v>#N/A</v>
      </c>
      <c r="T6614" s="369" t="str">
        <f>VLOOKUP(Tabla4[[#This Row],[Producto]],Tabla6[#All],14,FALSE)</f>
        <v>Termico Solar</v>
      </c>
      <c r="U6614" s="284" t="e">
        <f>(IF(Tabla4[[#This Row],[Familia]]="termico solar",Tabla4[[#This Row],[Utilidad Total]]*6%,Tabla4[[#This Row],[Utilidad Total]]*11.5%))/Tabla4[[#This Row],[Total]]</f>
        <v>#N/A</v>
      </c>
      <c r="V6614" s="282" t="e">
        <f>+Tabla4[[#This Row],[Comisión Calculada]]*Tabla4[[#This Row],[Total]]</f>
        <v>#N/A</v>
      </c>
    </row>
    <row r="6615" spans="1:22" hidden="1" x14ac:dyDescent="0.25">
      <c r="A6615" s="100">
        <v>45961</v>
      </c>
      <c r="B6615" t="str">
        <f t="shared" si="407"/>
        <v>October</v>
      </c>
      <c r="C6615" s="46" t="s">
        <v>280</v>
      </c>
      <c r="F6615" s="366" t="s">
        <v>3353</v>
      </c>
      <c r="G6615" s="46" t="s">
        <v>566</v>
      </c>
      <c r="H6615" s="46">
        <v>1</v>
      </c>
      <c r="I6615" s="51">
        <v>2109.4499999999998</v>
      </c>
      <c r="J6615" s="281">
        <f>++Tabla4[[#This Row],[Precio Bruto]]*1.16</f>
        <v>2446.9619999999995</v>
      </c>
      <c r="K6615" s="281">
        <f>+Tabla4[[#This Row],[Precio Unitario Neto]]*Tabla4[[#Headers],[20.85%]]</f>
        <v>510.19157699999988</v>
      </c>
      <c r="L6615" s="282">
        <f>++Tabla4[[#This Row],[Precio Unitario Neto]]-Tabla4[[#This Row],[20.85%]]</f>
        <v>1936.7704229999997</v>
      </c>
      <c r="M6615" s="282" t="e">
        <f>(INDEX(Tabla6[#All],MATCH(Tabla4[[#This Row],[Producto]],Tabla6[[#All],[PRODUCTO]],0),MATCH(Tabla4[[#This Row],[Mes]],Tabla6[#Headers],0)))*(1+Catalogos!$L$2)</f>
        <v>#N/A</v>
      </c>
      <c r="N6615" s="283" t="e">
        <f>+(Tabla4[[#This Row],[Precio Descontado]]-Tabla4[[#This Row],[Precio Base]])*Tabla4[[#This Row],[Cantidad]]</f>
        <v>#N/A</v>
      </c>
      <c r="O6615" s="284" t="e">
        <f>++Tabla4[[#This Row],[Utilidad Total]]/Tabla4[[#This Row],[Total]]</f>
        <v>#N/A</v>
      </c>
      <c r="P6615" s="282">
        <f>++Tabla4[[#This Row],[Precio Descontado]]*Tabla4[[#This Row],[Cantidad]]</f>
        <v>1936.7704229999997</v>
      </c>
      <c r="Q6615" s="282" t="e">
        <f>(INDEX(Tabla6[#All],MATCH(Tabla4[[#This Row],[Producto]],Tabla6[[#All],[PRODUCTO]],0),MATCH(Tabla4[[#This Row],[Mes]],Tabla6[#Headers],0)))</f>
        <v>#N/A</v>
      </c>
      <c r="R6615" s="282" t="e">
        <f>++Tabla4[[#This Row],[Precio Unitario Neto]]-Tabla4[[#This Row],[20.85%]]-Tabla4[[#This Row],[Costo]]</f>
        <v>#N/A</v>
      </c>
      <c r="S6615" s="282" t="e">
        <f>++Tabla4[[#This Row],[U. Bruta Uni]]*Tabla4[[#This Row],[Cantidad]]</f>
        <v>#N/A</v>
      </c>
      <c r="T6615" s="369" t="str">
        <f>VLOOKUP(Tabla4[[#This Row],[Producto]],Tabla6[#All],14,FALSE)</f>
        <v>Termico Solar</v>
      </c>
      <c r="U6615" s="284" t="e">
        <f>(IF(Tabla4[[#This Row],[Familia]]="termico solar",Tabla4[[#This Row],[Utilidad Total]]*6%,Tabla4[[#This Row],[Utilidad Total]]*11.5%))/Tabla4[[#This Row],[Total]]</f>
        <v>#N/A</v>
      </c>
      <c r="V6615" s="282" t="e">
        <f>+Tabla4[[#This Row],[Comisión Calculada]]*Tabla4[[#This Row],[Total]]</f>
        <v>#N/A</v>
      </c>
    </row>
    <row r="6616" spans="1:22" hidden="1" x14ac:dyDescent="0.25">
      <c r="A6616" s="100">
        <v>45961</v>
      </c>
      <c r="B6616" t="str">
        <f t="shared" si="407"/>
        <v>October</v>
      </c>
      <c r="C6616" s="46" t="s">
        <v>280</v>
      </c>
      <c r="F6616" s="366" t="s">
        <v>3353</v>
      </c>
      <c r="G6616" s="46" t="s">
        <v>412</v>
      </c>
      <c r="H6616" s="46">
        <v>1</v>
      </c>
      <c r="I6616" s="51">
        <v>3240.84</v>
      </c>
      <c r="J6616" s="281">
        <f>++Tabla4[[#This Row],[Precio Bruto]]*1.16</f>
        <v>3759.3743999999997</v>
      </c>
      <c r="K6616" s="281">
        <f>+Tabla4[[#This Row],[Precio Unitario Neto]]*Tabla4[[#Headers],[20.85%]]</f>
        <v>783.82956239999987</v>
      </c>
      <c r="L6616" s="282">
        <f>++Tabla4[[#This Row],[Precio Unitario Neto]]-Tabla4[[#This Row],[20.85%]]</f>
        <v>2975.5448375999999</v>
      </c>
      <c r="M6616" s="282" t="e">
        <f>(INDEX(Tabla6[#All],MATCH(Tabla4[[#This Row],[Producto]],Tabla6[[#All],[PRODUCTO]],0),MATCH(Tabla4[[#This Row],[Mes]],Tabla6[#Headers],0)))*(1+Catalogos!$L$2)</f>
        <v>#N/A</v>
      </c>
      <c r="N6616" s="283" t="e">
        <f>+(Tabla4[[#This Row],[Precio Descontado]]-Tabla4[[#This Row],[Precio Base]])*Tabla4[[#This Row],[Cantidad]]</f>
        <v>#N/A</v>
      </c>
      <c r="O6616" s="284" t="e">
        <f>++Tabla4[[#This Row],[Utilidad Total]]/Tabla4[[#This Row],[Total]]</f>
        <v>#N/A</v>
      </c>
      <c r="P6616" s="282">
        <f>++Tabla4[[#This Row],[Precio Descontado]]*Tabla4[[#This Row],[Cantidad]]</f>
        <v>2975.5448375999999</v>
      </c>
      <c r="Q6616" s="282" t="e">
        <f>(INDEX(Tabla6[#All],MATCH(Tabla4[[#This Row],[Producto]],Tabla6[[#All],[PRODUCTO]],0),MATCH(Tabla4[[#This Row],[Mes]],Tabla6[#Headers],0)))</f>
        <v>#N/A</v>
      </c>
      <c r="R6616" s="282" t="e">
        <f>++Tabla4[[#This Row],[Precio Unitario Neto]]-Tabla4[[#This Row],[20.85%]]-Tabla4[[#This Row],[Costo]]</f>
        <v>#N/A</v>
      </c>
      <c r="S6616" s="282" t="e">
        <f>++Tabla4[[#This Row],[U. Bruta Uni]]*Tabla4[[#This Row],[Cantidad]]</f>
        <v>#N/A</v>
      </c>
      <c r="T6616" s="369" t="str">
        <f>VLOOKUP(Tabla4[[#This Row],[Producto]],Tabla6[#All],14,FALSE)</f>
        <v>Termico Solar</v>
      </c>
      <c r="U6616" s="284" t="e">
        <f>(IF(Tabla4[[#This Row],[Familia]]="termico solar",Tabla4[[#This Row],[Utilidad Total]]*6%,Tabla4[[#This Row],[Utilidad Total]]*11.5%))/Tabla4[[#This Row],[Total]]</f>
        <v>#N/A</v>
      </c>
      <c r="V6616" s="282" t="e">
        <f>+Tabla4[[#This Row],[Comisión Calculada]]*Tabla4[[#This Row],[Total]]</f>
        <v>#N/A</v>
      </c>
    </row>
    <row r="6617" spans="1:22" hidden="1" x14ac:dyDescent="0.25">
      <c r="A6617" s="100">
        <v>45961</v>
      </c>
      <c r="B6617" t="str">
        <f t="shared" si="407"/>
        <v>October</v>
      </c>
      <c r="C6617" s="46" t="s">
        <v>280</v>
      </c>
      <c r="F6617" s="366" t="s">
        <v>3353</v>
      </c>
      <c r="G6617" s="46" t="s">
        <v>208</v>
      </c>
      <c r="H6617" s="46">
        <v>1</v>
      </c>
      <c r="I6617" s="51">
        <v>189.75</v>
      </c>
      <c r="J6617" s="281">
        <f>++Tabla4[[#This Row],[Precio Bruto]]*1.16</f>
        <v>220.10999999999999</v>
      </c>
      <c r="K6617" s="281">
        <f>+Tabla4[[#This Row],[Precio Unitario Neto]]*Tabla4[[#Headers],[20.85%]]</f>
        <v>45.892934999999994</v>
      </c>
      <c r="L6617" s="282">
        <f>++Tabla4[[#This Row],[Precio Unitario Neto]]-Tabla4[[#This Row],[20.85%]]</f>
        <v>174.21706499999999</v>
      </c>
      <c r="M6617" s="282" t="e">
        <f>(INDEX(Tabla6[#All],MATCH(Tabla4[[#This Row],[Producto]],Tabla6[[#All],[PRODUCTO]],0),MATCH(Tabla4[[#This Row],[Mes]],Tabla6[#Headers],0)))*(1+Catalogos!$L$2)</f>
        <v>#N/A</v>
      </c>
      <c r="N6617" s="283" t="e">
        <f>+(Tabla4[[#This Row],[Precio Descontado]]-Tabla4[[#This Row],[Precio Base]])*Tabla4[[#This Row],[Cantidad]]</f>
        <v>#N/A</v>
      </c>
      <c r="O6617" s="284" t="e">
        <f>++Tabla4[[#This Row],[Utilidad Total]]/Tabla4[[#This Row],[Total]]</f>
        <v>#N/A</v>
      </c>
      <c r="P6617" s="282">
        <f>++Tabla4[[#This Row],[Precio Descontado]]*Tabla4[[#This Row],[Cantidad]]</f>
        <v>174.21706499999999</v>
      </c>
      <c r="Q6617" s="282" t="e">
        <f>(INDEX(Tabla6[#All],MATCH(Tabla4[[#This Row],[Producto]],Tabla6[[#All],[PRODUCTO]],0),MATCH(Tabla4[[#This Row],[Mes]],Tabla6[#Headers],0)))</f>
        <v>#N/A</v>
      </c>
      <c r="R6617" s="282" t="e">
        <f>++Tabla4[[#This Row],[Precio Unitario Neto]]-Tabla4[[#This Row],[20.85%]]-Tabla4[[#This Row],[Costo]]</f>
        <v>#N/A</v>
      </c>
      <c r="S6617" s="282" t="e">
        <f>++Tabla4[[#This Row],[U. Bruta Uni]]*Tabla4[[#This Row],[Cantidad]]</f>
        <v>#N/A</v>
      </c>
      <c r="T6617" s="369" t="str">
        <f>VLOOKUP(Tabla4[[#This Row],[Producto]],Tabla6[#All],14,FALSE)</f>
        <v>Termico Solar</v>
      </c>
      <c r="U6617" s="284" t="e">
        <f>(IF(Tabla4[[#This Row],[Familia]]="termico solar",Tabla4[[#This Row],[Utilidad Total]]*6%,Tabla4[[#This Row],[Utilidad Total]]*11.5%))/Tabla4[[#This Row],[Total]]</f>
        <v>#N/A</v>
      </c>
      <c r="V6617" s="282" t="e">
        <f>+Tabla4[[#This Row],[Comisión Calculada]]*Tabla4[[#This Row],[Total]]</f>
        <v>#N/A</v>
      </c>
    </row>
    <row r="6618" spans="1:22" hidden="1" x14ac:dyDescent="0.25">
      <c r="A6618" s="100">
        <v>45961</v>
      </c>
      <c r="B6618" t="str">
        <f t="shared" ref="B6618:B6621" si="408">TEXT(A6618, "mmmm")</f>
        <v>October</v>
      </c>
      <c r="C6618" s="46" t="s">
        <v>280</v>
      </c>
      <c r="F6618" s="366" t="s">
        <v>3354</v>
      </c>
      <c r="G6618" s="46" t="s">
        <v>83</v>
      </c>
      <c r="H6618" s="46">
        <v>1</v>
      </c>
      <c r="I6618" s="51">
        <v>8858.76</v>
      </c>
      <c r="J6618" s="281">
        <f>++Tabla4[[#This Row],[Precio Bruto]]*1.16</f>
        <v>10276.161599999999</v>
      </c>
      <c r="K6618" s="281">
        <f>+Tabla4[[#This Row],[Precio Unitario Neto]]*Tabla4[[#Headers],[20.85%]]</f>
        <v>2142.5796935999997</v>
      </c>
      <c r="L6618" s="282">
        <f>++Tabla4[[#This Row],[Precio Unitario Neto]]-Tabla4[[#This Row],[20.85%]]</f>
        <v>8133.5819063999998</v>
      </c>
      <c r="M6618" s="282" t="e">
        <f>(INDEX(Tabla6[#All],MATCH(Tabla4[[#This Row],[Producto]],Tabla6[[#All],[PRODUCTO]],0),MATCH(Tabla4[[#This Row],[Mes]],Tabla6[#Headers],0)))*(1+Catalogos!$L$2)</f>
        <v>#N/A</v>
      </c>
      <c r="N6618" s="283" t="e">
        <f>+(Tabla4[[#This Row],[Precio Descontado]]-Tabla4[[#This Row],[Precio Base]])*Tabla4[[#This Row],[Cantidad]]</f>
        <v>#N/A</v>
      </c>
      <c r="O6618" s="284" t="e">
        <f>++Tabla4[[#This Row],[Utilidad Total]]/Tabla4[[#This Row],[Total]]</f>
        <v>#N/A</v>
      </c>
      <c r="P6618" s="282">
        <f>++Tabla4[[#This Row],[Precio Descontado]]*Tabla4[[#This Row],[Cantidad]]</f>
        <v>8133.5819063999998</v>
      </c>
      <c r="Q6618" s="282" t="e">
        <f>(INDEX(Tabla6[#All],MATCH(Tabla4[[#This Row],[Producto]],Tabla6[[#All],[PRODUCTO]],0),MATCH(Tabla4[[#This Row],[Mes]],Tabla6[#Headers],0)))</f>
        <v>#N/A</v>
      </c>
      <c r="R6618" s="282" t="e">
        <f>++Tabla4[[#This Row],[Precio Unitario Neto]]-Tabla4[[#This Row],[20.85%]]-Tabla4[[#This Row],[Costo]]</f>
        <v>#N/A</v>
      </c>
      <c r="S6618" s="282" t="e">
        <f>++Tabla4[[#This Row],[U. Bruta Uni]]*Tabla4[[#This Row],[Cantidad]]</f>
        <v>#N/A</v>
      </c>
      <c r="T6618" s="369" t="str">
        <f>VLOOKUP(Tabla4[[#This Row],[Producto]],Tabla6[#All],14,FALSE)</f>
        <v>Termico Solar</v>
      </c>
      <c r="U6618" s="284" t="e">
        <f>(IF(Tabla4[[#This Row],[Familia]]="termico solar",Tabla4[[#This Row],[Utilidad Total]]*6%,Tabla4[[#This Row],[Utilidad Total]]*11.5%))/Tabla4[[#This Row],[Total]]</f>
        <v>#N/A</v>
      </c>
      <c r="V6618" s="282" t="e">
        <f>+Tabla4[[#This Row],[Comisión Calculada]]*Tabla4[[#This Row],[Total]]</f>
        <v>#N/A</v>
      </c>
    </row>
    <row r="6619" spans="1:22" hidden="1" x14ac:dyDescent="0.25">
      <c r="A6619" s="100">
        <v>45961</v>
      </c>
      <c r="B6619" t="str">
        <f t="shared" si="408"/>
        <v>October</v>
      </c>
      <c r="C6619" s="46" t="s">
        <v>280</v>
      </c>
      <c r="F6619" s="366" t="s">
        <v>3354</v>
      </c>
      <c r="G6619" s="46" t="s">
        <v>17</v>
      </c>
      <c r="H6619" s="46">
        <v>2</v>
      </c>
      <c r="I6619" s="51">
        <v>4622.28</v>
      </c>
      <c r="J6619" s="281">
        <f>++Tabla4[[#This Row],[Precio Bruto]]*1.16</f>
        <v>5361.8447999999989</v>
      </c>
      <c r="K6619" s="281">
        <f>+Tabla4[[#This Row],[Precio Unitario Neto]]*Tabla4[[#Headers],[20.85%]]</f>
        <v>1117.9446407999997</v>
      </c>
      <c r="L6619" s="282">
        <f>++Tabla4[[#This Row],[Precio Unitario Neto]]-Tabla4[[#This Row],[20.85%]]</f>
        <v>4243.9001591999995</v>
      </c>
      <c r="M6619" s="282" t="e">
        <f>(INDEX(Tabla6[#All],MATCH(Tabla4[[#This Row],[Producto]],Tabla6[[#All],[PRODUCTO]],0),MATCH(Tabla4[[#This Row],[Mes]],Tabla6[#Headers],0)))*(1+Catalogos!$L$2)</f>
        <v>#N/A</v>
      </c>
      <c r="N6619" s="283" t="e">
        <f>+(Tabla4[[#This Row],[Precio Descontado]]-Tabla4[[#This Row],[Precio Base]])*Tabla4[[#This Row],[Cantidad]]</f>
        <v>#N/A</v>
      </c>
      <c r="O6619" s="284" t="e">
        <f>++Tabla4[[#This Row],[Utilidad Total]]/Tabla4[[#This Row],[Total]]</f>
        <v>#N/A</v>
      </c>
      <c r="P6619" s="282">
        <f>++Tabla4[[#This Row],[Precio Descontado]]*Tabla4[[#This Row],[Cantidad]]</f>
        <v>8487.800318399999</v>
      </c>
      <c r="Q6619" s="282" t="e">
        <f>(INDEX(Tabla6[#All],MATCH(Tabla4[[#This Row],[Producto]],Tabla6[[#All],[PRODUCTO]],0),MATCH(Tabla4[[#This Row],[Mes]],Tabla6[#Headers],0)))</f>
        <v>#N/A</v>
      </c>
      <c r="R6619" s="282" t="e">
        <f>++Tabla4[[#This Row],[Precio Unitario Neto]]-Tabla4[[#This Row],[20.85%]]-Tabla4[[#This Row],[Costo]]</f>
        <v>#N/A</v>
      </c>
      <c r="S6619" s="282" t="e">
        <f>++Tabla4[[#This Row],[U. Bruta Uni]]*Tabla4[[#This Row],[Cantidad]]</f>
        <v>#N/A</v>
      </c>
      <c r="T6619" s="369" t="str">
        <f>VLOOKUP(Tabla4[[#This Row],[Producto]],Tabla6[#All],14,FALSE)</f>
        <v>Termico Solar</v>
      </c>
      <c r="U6619" s="284" t="e">
        <f>(IF(Tabla4[[#This Row],[Familia]]="termico solar",Tabla4[[#This Row],[Utilidad Total]]*6%,Tabla4[[#This Row],[Utilidad Total]]*11.5%))/Tabla4[[#This Row],[Total]]</f>
        <v>#N/A</v>
      </c>
      <c r="V6619" s="282" t="e">
        <f>+Tabla4[[#This Row],[Comisión Calculada]]*Tabla4[[#This Row],[Total]]</f>
        <v>#N/A</v>
      </c>
    </row>
    <row r="6620" spans="1:22" hidden="1" x14ac:dyDescent="0.25">
      <c r="A6620" s="100">
        <v>45961</v>
      </c>
      <c r="B6620" t="str">
        <f t="shared" si="408"/>
        <v>October</v>
      </c>
      <c r="C6620" s="46" t="s">
        <v>280</v>
      </c>
      <c r="F6620" s="366" t="s">
        <v>3354</v>
      </c>
      <c r="G6620" s="46" t="s">
        <v>18</v>
      </c>
      <c r="H6620" s="46">
        <v>2</v>
      </c>
      <c r="I6620" s="51">
        <v>5367.65</v>
      </c>
      <c r="J6620" s="281">
        <f>++Tabla4[[#This Row],[Precio Bruto]]*1.16</f>
        <v>6226.4739999999993</v>
      </c>
      <c r="K6620" s="281">
        <f>+Tabla4[[#This Row],[Precio Unitario Neto]]*Tabla4[[#Headers],[20.85%]]</f>
        <v>1298.2198289999999</v>
      </c>
      <c r="L6620" s="282">
        <f>++Tabla4[[#This Row],[Precio Unitario Neto]]-Tabla4[[#This Row],[20.85%]]</f>
        <v>4928.2541709999996</v>
      </c>
      <c r="M6620" s="282" t="e">
        <f>(INDEX(Tabla6[#All],MATCH(Tabla4[[#This Row],[Producto]],Tabla6[[#All],[PRODUCTO]],0),MATCH(Tabla4[[#This Row],[Mes]],Tabla6[#Headers],0)))*(1+Catalogos!$L$2)</f>
        <v>#N/A</v>
      </c>
      <c r="N6620" s="283" t="e">
        <f>+(Tabla4[[#This Row],[Precio Descontado]]-Tabla4[[#This Row],[Precio Base]])*Tabla4[[#This Row],[Cantidad]]</f>
        <v>#N/A</v>
      </c>
      <c r="O6620" s="284" t="e">
        <f>++Tabla4[[#This Row],[Utilidad Total]]/Tabla4[[#This Row],[Total]]</f>
        <v>#N/A</v>
      </c>
      <c r="P6620" s="282">
        <f>++Tabla4[[#This Row],[Precio Descontado]]*Tabla4[[#This Row],[Cantidad]]</f>
        <v>9856.5083419999992</v>
      </c>
      <c r="Q6620" s="282" t="e">
        <f>(INDEX(Tabla6[#All],MATCH(Tabla4[[#This Row],[Producto]],Tabla6[[#All],[PRODUCTO]],0),MATCH(Tabla4[[#This Row],[Mes]],Tabla6[#Headers],0)))</f>
        <v>#N/A</v>
      </c>
      <c r="R6620" s="282" t="e">
        <f>++Tabla4[[#This Row],[Precio Unitario Neto]]-Tabla4[[#This Row],[20.85%]]-Tabla4[[#This Row],[Costo]]</f>
        <v>#N/A</v>
      </c>
      <c r="S6620" s="282" t="e">
        <f>++Tabla4[[#This Row],[U. Bruta Uni]]*Tabla4[[#This Row],[Cantidad]]</f>
        <v>#N/A</v>
      </c>
      <c r="T6620" s="369" t="str">
        <f>VLOOKUP(Tabla4[[#This Row],[Producto]],Tabla6[#All],14,FALSE)</f>
        <v>Termico Solar</v>
      </c>
      <c r="U6620" s="284" t="e">
        <f>(IF(Tabla4[[#This Row],[Familia]]="termico solar",Tabla4[[#This Row],[Utilidad Total]]*6%,Tabla4[[#This Row],[Utilidad Total]]*11.5%))/Tabla4[[#This Row],[Total]]</f>
        <v>#N/A</v>
      </c>
      <c r="V6620" s="282" t="e">
        <f>+Tabla4[[#This Row],[Comisión Calculada]]*Tabla4[[#This Row],[Total]]</f>
        <v>#N/A</v>
      </c>
    </row>
    <row r="6621" spans="1:22" hidden="1" x14ac:dyDescent="0.25">
      <c r="A6621" s="100">
        <v>45961</v>
      </c>
      <c r="B6621" t="str">
        <f t="shared" si="408"/>
        <v>October</v>
      </c>
      <c r="C6621" s="46" t="s">
        <v>280</v>
      </c>
      <c r="F6621" s="366" t="s">
        <v>3354</v>
      </c>
      <c r="G6621" s="46" t="s">
        <v>566</v>
      </c>
      <c r="H6621" s="46">
        <v>2</v>
      </c>
      <c r="I6621" s="51">
        <v>2109.4499999999998</v>
      </c>
      <c r="J6621" s="281">
        <f>++Tabla4[[#This Row],[Precio Bruto]]*1.16</f>
        <v>2446.9619999999995</v>
      </c>
      <c r="K6621" s="281">
        <f>+Tabla4[[#This Row],[Precio Unitario Neto]]*Tabla4[[#Headers],[20.85%]]</f>
        <v>510.19157699999988</v>
      </c>
      <c r="L6621" s="282">
        <f>++Tabla4[[#This Row],[Precio Unitario Neto]]-Tabla4[[#This Row],[20.85%]]</f>
        <v>1936.7704229999997</v>
      </c>
      <c r="M6621" s="282" t="e">
        <f>(INDEX(Tabla6[#All],MATCH(Tabla4[[#This Row],[Producto]],Tabla6[[#All],[PRODUCTO]],0),MATCH(Tabla4[[#This Row],[Mes]],Tabla6[#Headers],0)))*(1+Catalogos!$L$2)</f>
        <v>#N/A</v>
      </c>
      <c r="N6621" s="283" t="e">
        <f>+(Tabla4[[#This Row],[Precio Descontado]]-Tabla4[[#This Row],[Precio Base]])*Tabla4[[#This Row],[Cantidad]]</f>
        <v>#N/A</v>
      </c>
      <c r="O6621" s="284" t="e">
        <f>++Tabla4[[#This Row],[Utilidad Total]]/Tabla4[[#This Row],[Total]]</f>
        <v>#N/A</v>
      </c>
      <c r="P6621" s="282">
        <f>++Tabla4[[#This Row],[Precio Descontado]]*Tabla4[[#This Row],[Cantidad]]</f>
        <v>3873.5408459999994</v>
      </c>
      <c r="Q6621" s="282" t="e">
        <f>(INDEX(Tabla6[#All],MATCH(Tabla4[[#This Row],[Producto]],Tabla6[[#All],[PRODUCTO]],0),MATCH(Tabla4[[#This Row],[Mes]],Tabla6[#Headers],0)))</f>
        <v>#N/A</v>
      </c>
      <c r="R6621" s="282" t="e">
        <f>++Tabla4[[#This Row],[Precio Unitario Neto]]-Tabla4[[#This Row],[20.85%]]-Tabla4[[#This Row],[Costo]]</f>
        <v>#N/A</v>
      </c>
      <c r="S6621" s="282" t="e">
        <f>++Tabla4[[#This Row],[U. Bruta Uni]]*Tabla4[[#This Row],[Cantidad]]</f>
        <v>#N/A</v>
      </c>
      <c r="T6621" s="369" t="str">
        <f>VLOOKUP(Tabla4[[#This Row],[Producto]],Tabla6[#All],14,FALSE)</f>
        <v>Termico Solar</v>
      </c>
      <c r="U6621" s="284" t="e">
        <f>(IF(Tabla4[[#This Row],[Familia]]="termico solar",Tabla4[[#This Row],[Utilidad Total]]*6%,Tabla4[[#This Row],[Utilidad Total]]*11.5%))/Tabla4[[#This Row],[Total]]</f>
        <v>#N/A</v>
      </c>
      <c r="V6621" s="282" t="e">
        <f>+Tabla4[[#This Row],[Comisión Calculada]]*Tabla4[[#This Row],[Total]]</f>
        <v>#N/A</v>
      </c>
    </row>
    <row r="6622" spans="1:22" hidden="1" x14ac:dyDescent="0.25">
      <c r="A6622" s="100">
        <v>45961</v>
      </c>
      <c r="B6622" t="str">
        <f t="shared" ref="B6622:B6623" si="409">TEXT(A6622, "mmmm")</f>
        <v>October</v>
      </c>
      <c r="C6622" s="46" t="s">
        <v>280</v>
      </c>
      <c r="F6622" s="366" t="s">
        <v>3355</v>
      </c>
      <c r="G6622" s="46" t="s">
        <v>566</v>
      </c>
      <c r="H6622" s="46">
        <v>1</v>
      </c>
      <c r="I6622" s="51">
        <v>2109.4499999999998</v>
      </c>
      <c r="J6622" s="281">
        <f>++Tabla4[[#This Row],[Precio Bruto]]*1.16</f>
        <v>2446.9619999999995</v>
      </c>
      <c r="K6622" s="281">
        <f>+Tabla4[[#This Row],[Precio Unitario Neto]]*Tabla4[[#Headers],[20.85%]]</f>
        <v>510.19157699999988</v>
      </c>
      <c r="L6622" s="282">
        <f>++Tabla4[[#This Row],[Precio Unitario Neto]]-Tabla4[[#This Row],[20.85%]]</f>
        <v>1936.7704229999997</v>
      </c>
      <c r="M6622" s="282" t="e">
        <f>(INDEX(Tabla6[#All],MATCH(Tabla4[[#This Row],[Producto]],Tabla6[[#All],[PRODUCTO]],0),MATCH(Tabla4[[#This Row],[Mes]],Tabla6[#Headers],0)))*(1+Catalogos!$L$2)</f>
        <v>#N/A</v>
      </c>
      <c r="N6622" s="283" t="e">
        <f>+(Tabla4[[#This Row],[Precio Descontado]]-Tabla4[[#This Row],[Precio Base]])*Tabla4[[#This Row],[Cantidad]]</f>
        <v>#N/A</v>
      </c>
      <c r="O6622" s="284" t="e">
        <f>++Tabla4[[#This Row],[Utilidad Total]]/Tabla4[[#This Row],[Total]]</f>
        <v>#N/A</v>
      </c>
      <c r="P6622" s="282">
        <f>++Tabla4[[#This Row],[Precio Descontado]]*Tabla4[[#This Row],[Cantidad]]</f>
        <v>1936.7704229999997</v>
      </c>
      <c r="Q6622" s="282" t="e">
        <f>(INDEX(Tabla6[#All],MATCH(Tabla4[[#This Row],[Producto]],Tabla6[[#All],[PRODUCTO]],0),MATCH(Tabla4[[#This Row],[Mes]],Tabla6[#Headers],0)))</f>
        <v>#N/A</v>
      </c>
      <c r="R6622" s="282" t="e">
        <f>++Tabla4[[#This Row],[Precio Unitario Neto]]-Tabla4[[#This Row],[20.85%]]-Tabla4[[#This Row],[Costo]]</f>
        <v>#N/A</v>
      </c>
      <c r="S6622" s="282" t="e">
        <f>++Tabla4[[#This Row],[U. Bruta Uni]]*Tabla4[[#This Row],[Cantidad]]</f>
        <v>#N/A</v>
      </c>
      <c r="T6622" s="369" t="str">
        <f>VLOOKUP(Tabla4[[#This Row],[Producto]],Tabla6[#All],14,FALSE)</f>
        <v>Termico Solar</v>
      </c>
      <c r="U6622" s="284" t="e">
        <f>(IF(Tabla4[[#This Row],[Familia]]="termico solar",Tabla4[[#This Row],[Utilidad Total]]*6%,Tabla4[[#This Row],[Utilidad Total]]*11.5%))/Tabla4[[#This Row],[Total]]</f>
        <v>#N/A</v>
      </c>
      <c r="V6622" s="282" t="e">
        <f>+Tabla4[[#This Row],[Comisión Calculada]]*Tabla4[[#This Row],[Total]]</f>
        <v>#N/A</v>
      </c>
    </row>
    <row r="6623" spans="1:22" hidden="1" x14ac:dyDescent="0.25">
      <c r="A6623" s="100">
        <v>45961</v>
      </c>
      <c r="B6623" t="str">
        <f t="shared" si="409"/>
        <v>October</v>
      </c>
      <c r="C6623" s="46" t="s">
        <v>280</v>
      </c>
      <c r="F6623" s="366" t="s">
        <v>3355</v>
      </c>
      <c r="G6623" s="46" t="s">
        <v>208</v>
      </c>
      <c r="H6623" s="46">
        <v>6</v>
      </c>
      <c r="I6623" s="51">
        <v>189.75</v>
      </c>
      <c r="J6623" s="281">
        <f>++Tabla4[[#This Row],[Precio Bruto]]*1.16</f>
        <v>220.10999999999999</v>
      </c>
      <c r="K6623" s="281">
        <f>+Tabla4[[#This Row],[Precio Unitario Neto]]*Tabla4[[#Headers],[20.85%]]</f>
        <v>45.892934999999994</v>
      </c>
      <c r="L6623" s="282">
        <f>++Tabla4[[#This Row],[Precio Unitario Neto]]-Tabla4[[#This Row],[20.85%]]</f>
        <v>174.21706499999999</v>
      </c>
      <c r="M6623" s="282" t="e">
        <f>(INDEX(Tabla6[#All],MATCH(Tabla4[[#This Row],[Producto]],Tabla6[[#All],[PRODUCTO]],0),MATCH(Tabla4[[#This Row],[Mes]],Tabla6[#Headers],0)))*(1+Catalogos!$L$2)</f>
        <v>#N/A</v>
      </c>
      <c r="N6623" s="283" t="e">
        <f>+(Tabla4[[#This Row],[Precio Descontado]]-Tabla4[[#This Row],[Precio Base]])*Tabla4[[#This Row],[Cantidad]]</f>
        <v>#N/A</v>
      </c>
      <c r="O6623" s="284" t="e">
        <f>++Tabla4[[#This Row],[Utilidad Total]]/Tabla4[[#This Row],[Total]]</f>
        <v>#N/A</v>
      </c>
      <c r="P6623" s="282">
        <f>++Tabla4[[#This Row],[Precio Descontado]]*Tabla4[[#This Row],[Cantidad]]</f>
        <v>1045.3023899999998</v>
      </c>
      <c r="Q6623" s="282" t="e">
        <f>(INDEX(Tabla6[#All],MATCH(Tabla4[[#This Row],[Producto]],Tabla6[[#All],[PRODUCTO]],0),MATCH(Tabla4[[#This Row],[Mes]],Tabla6[#Headers],0)))</f>
        <v>#N/A</v>
      </c>
      <c r="R6623" s="282" t="e">
        <f>++Tabla4[[#This Row],[Precio Unitario Neto]]-Tabla4[[#This Row],[20.85%]]-Tabla4[[#This Row],[Costo]]</f>
        <v>#N/A</v>
      </c>
      <c r="S6623" s="282" t="e">
        <f>++Tabla4[[#This Row],[U. Bruta Uni]]*Tabla4[[#This Row],[Cantidad]]</f>
        <v>#N/A</v>
      </c>
      <c r="T6623" s="369" t="str">
        <f>VLOOKUP(Tabla4[[#This Row],[Producto]],Tabla6[#All],14,FALSE)</f>
        <v>Termico Solar</v>
      </c>
      <c r="U6623" s="284" t="e">
        <f>(IF(Tabla4[[#This Row],[Familia]]="termico solar",Tabla4[[#This Row],[Utilidad Total]]*6%,Tabla4[[#This Row],[Utilidad Total]]*11.5%))/Tabla4[[#This Row],[Total]]</f>
        <v>#N/A</v>
      </c>
      <c r="V6623" s="282" t="e">
        <f>+Tabla4[[#This Row],[Comisión Calculada]]*Tabla4[[#This Row],[Total]]</f>
        <v>#N/A</v>
      </c>
    </row>
    <row r="6624" spans="1:22" hidden="1" x14ac:dyDescent="0.25">
      <c r="A6624" s="100">
        <v>45961</v>
      </c>
      <c r="B6624" t="str">
        <f>TEXT(A6624, "mmmm")</f>
        <v>October</v>
      </c>
      <c r="C6624" s="46" t="s">
        <v>280</v>
      </c>
      <c r="F6624" s="366" t="s">
        <v>3356</v>
      </c>
      <c r="G6624" s="46" t="s">
        <v>566</v>
      </c>
      <c r="H6624" s="46">
        <v>1</v>
      </c>
      <c r="I6624" s="51">
        <v>2109.4499999999998</v>
      </c>
      <c r="J6624" s="281">
        <f>++Tabla4[[#This Row],[Precio Bruto]]*1.16</f>
        <v>2446.9619999999995</v>
      </c>
      <c r="K6624" s="281">
        <f>+Tabla4[[#This Row],[Precio Unitario Neto]]*Tabla4[[#Headers],[20.85%]]</f>
        <v>510.19157699999988</v>
      </c>
      <c r="L6624" s="282">
        <f>++Tabla4[[#This Row],[Precio Unitario Neto]]-Tabla4[[#This Row],[20.85%]]</f>
        <v>1936.7704229999997</v>
      </c>
      <c r="M6624" s="282" t="e">
        <f>(INDEX(Tabla6[#All],MATCH(Tabla4[[#This Row],[Producto]],Tabla6[[#All],[PRODUCTO]],0),MATCH(Tabla4[[#This Row],[Mes]],Tabla6[#Headers],0)))*(1+Catalogos!$L$2)</f>
        <v>#N/A</v>
      </c>
      <c r="N6624" s="283" t="e">
        <f>+(Tabla4[[#This Row],[Precio Descontado]]-Tabla4[[#This Row],[Precio Base]])*Tabla4[[#This Row],[Cantidad]]</f>
        <v>#N/A</v>
      </c>
      <c r="O6624" s="284" t="e">
        <f>++Tabla4[[#This Row],[Utilidad Total]]/Tabla4[[#This Row],[Total]]</f>
        <v>#N/A</v>
      </c>
      <c r="P6624" s="282">
        <f>++Tabla4[[#This Row],[Precio Descontado]]*Tabla4[[#This Row],[Cantidad]]</f>
        <v>1936.7704229999997</v>
      </c>
      <c r="Q6624" s="282" t="e">
        <f>(INDEX(Tabla6[#All],MATCH(Tabla4[[#This Row],[Producto]],Tabla6[[#All],[PRODUCTO]],0),MATCH(Tabla4[[#This Row],[Mes]],Tabla6[#Headers],0)))</f>
        <v>#N/A</v>
      </c>
      <c r="R6624" s="282" t="e">
        <f>++Tabla4[[#This Row],[Precio Unitario Neto]]-Tabla4[[#This Row],[20.85%]]-Tabla4[[#This Row],[Costo]]</f>
        <v>#N/A</v>
      </c>
      <c r="S6624" s="282" t="e">
        <f>++Tabla4[[#This Row],[U. Bruta Uni]]*Tabla4[[#This Row],[Cantidad]]</f>
        <v>#N/A</v>
      </c>
      <c r="T6624" s="369" t="str">
        <f>VLOOKUP(Tabla4[[#This Row],[Producto]],Tabla6[#All],14,FALSE)</f>
        <v>Termico Solar</v>
      </c>
      <c r="U6624" s="284" t="e">
        <f>(IF(Tabla4[[#This Row],[Familia]]="termico solar",Tabla4[[#This Row],[Utilidad Total]]*6%,Tabla4[[#This Row],[Utilidad Total]]*11.5%))/Tabla4[[#This Row],[Total]]</f>
        <v>#N/A</v>
      </c>
      <c r="V6624" s="282" t="e">
        <f>+Tabla4[[#This Row],[Comisión Calculada]]*Tabla4[[#This Row],[Total]]</f>
        <v>#N/A</v>
      </c>
    </row>
    <row r="6625" spans="1:22" hidden="1" x14ac:dyDescent="0.25">
      <c r="A6625" s="100">
        <v>45961</v>
      </c>
      <c r="B6625" t="str">
        <f t="shared" ref="B6625:B6626" si="410">TEXT(A6625, "mmmm")</f>
        <v>October</v>
      </c>
      <c r="C6625" s="46" t="s">
        <v>280</v>
      </c>
      <c r="F6625" s="366" t="s">
        <v>3357</v>
      </c>
      <c r="G6625" s="46" t="s">
        <v>83</v>
      </c>
      <c r="H6625" s="46">
        <v>1</v>
      </c>
      <c r="I6625" s="51">
        <v>8858.76</v>
      </c>
      <c r="J6625" s="281">
        <f>++Tabla4[[#This Row],[Precio Bruto]]*1.16</f>
        <v>10276.161599999999</v>
      </c>
      <c r="K6625" s="281">
        <f>+Tabla4[[#This Row],[Precio Unitario Neto]]*Tabla4[[#Headers],[20.85%]]</f>
        <v>2142.5796935999997</v>
      </c>
      <c r="L6625" s="282">
        <f>++Tabla4[[#This Row],[Precio Unitario Neto]]-Tabla4[[#This Row],[20.85%]]</f>
        <v>8133.5819063999998</v>
      </c>
      <c r="M6625" s="282" t="e">
        <f>(INDEX(Tabla6[#All],MATCH(Tabla4[[#This Row],[Producto]],Tabla6[[#All],[PRODUCTO]],0),MATCH(Tabla4[[#This Row],[Mes]],Tabla6[#Headers],0)))*(1+Catalogos!$L$2)</f>
        <v>#N/A</v>
      </c>
      <c r="N6625" s="283" t="e">
        <f>+(Tabla4[[#This Row],[Precio Descontado]]-Tabla4[[#This Row],[Precio Base]])*Tabla4[[#This Row],[Cantidad]]</f>
        <v>#N/A</v>
      </c>
      <c r="O6625" s="284" t="e">
        <f>++Tabla4[[#This Row],[Utilidad Total]]/Tabla4[[#This Row],[Total]]</f>
        <v>#N/A</v>
      </c>
      <c r="P6625" s="282">
        <f>++Tabla4[[#This Row],[Precio Descontado]]*Tabla4[[#This Row],[Cantidad]]</f>
        <v>8133.5819063999998</v>
      </c>
      <c r="Q6625" s="282" t="e">
        <f>(INDEX(Tabla6[#All],MATCH(Tabla4[[#This Row],[Producto]],Tabla6[[#All],[PRODUCTO]],0),MATCH(Tabla4[[#This Row],[Mes]],Tabla6[#Headers],0)))</f>
        <v>#N/A</v>
      </c>
      <c r="R6625" s="282" t="e">
        <f>++Tabla4[[#This Row],[Precio Unitario Neto]]-Tabla4[[#This Row],[20.85%]]-Tabla4[[#This Row],[Costo]]</f>
        <v>#N/A</v>
      </c>
      <c r="S6625" s="282" t="e">
        <f>++Tabla4[[#This Row],[U. Bruta Uni]]*Tabla4[[#This Row],[Cantidad]]</f>
        <v>#N/A</v>
      </c>
      <c r="T6625" s="369" t="str">
        <f>VLOOKUP(Tabla4[[#This Row],[Producto]],Tabla6[#All],14,FALSE)</f>
        <v>Termico Solar</v>
      </c>
      <c r="U6625" s="284" t="e">
        <f>(IF(Tabla4[[#This Row],[Familia]]="termico solar",Tabla4[[#This Row],[Utilidad Total]]*6%,Tabla4[[#This Row],[Utilidad Total]]*11.5%))/Tabla4[[#This Row],[Total]]</f>
        <v>#N/A</v>
      </c>
      <c r="V6625" s="282" t="e">
        <f>+Tabla4[[#This Row],[Comisión Calculada]]*Tabla4[[#This Row],[Total]]</f>
        <v>#N/A</v>
      </c>
    </row>
    <row r="6626" spans="1:22" hidden="1" x14ac:dyDescent="0.25">
      <c r="A6626" s="100">
        <v>45961</v>
      </c>
      <c r="B6626" t="str">
        <f t="shared" si="410"/>
        <v>October</v>
      </c>
      <c r="C6626" s="46" t="s">
        <v>280</v>
      </c>
      <c r="F6626" s="366" t="s">
        <v>3357</v>
      </c>
      <c r="G6626" s="46" t="s">
        <v>17</v>
      </c>
      <c r="H6626" s="46">
        <v>1</v>
      </c>
      <c r="I6626" s="51">
        <v>4622.28</v>
      </c>
      <c r="J6626" s="281">
        <f>++Tabla4[[#This Row],[Precio Bruto]]*1.16</f>
        <v>5361.8447999999989</v>
      </c>
      <c r="K6626" s="281">
        <f>+Tabla4[[#This Row],[Precio Unitario Neto]]*Tabla4[[#Headers],[20.85%]]</f>
        <v>1117.9446407999997</v>
      </c>
      <c r="L6626" s="282">
        <f>++Tabla4[[#This Row],[Precio Unitario Neto]]-Tabla4[[#This Row],[20.85%]]</f>
        <v>4243.9001591999995</v>
      </c>
      <c r="M6626" s="282" t="e">
        <f>(INDEX(Tabla6[#All],MATCH(Tabla4[[#This Row],[Producto]],Tabla6[[#All],[PRODUCTO]],0),MATCH(Tabla4[[#This Row],[Mes]],Tabla6[#Headers],0)))*(1+Catalogos!$L$2)</f>
        <v>#N/A</v>
      </c>
      <c r="N6626" s="283" t="e">
        <f>+(Tabla4[[#This Row],[Precio Descontado]]-Tabla4[[#This Row],[Precio Base]])*Tabla4[[#This Row],[Cantidad]]</f>
        <v>#N/A</v>
      </c>
      <c r="O6626" s="284" t="e">
        <f>++Tabla4[[#This Row],[Utilidad Total]]/Tabla4[[#This Row],[Total]]</f>
        <v>#N/A</v>
      </c>
      <c r="P6626" s="282">
        <f>++Tabla4[[#This Row],[Precio Descontado]]*Tabla4[[#This Row],[Cantidad]]</f>
        <v>4243.9001591999995</v>
      </c>
      <c r="Q6626" s="282" t="e">
        <f>(INDEX(Tabla6[#All],MATCH(Tabla4[[#This Row],[Producto]],Tabla6[[#All],[PRODUCTO]],0),MATCH(Tabla4[[#This Row],[Mes]],Tabla6[#Headers],0)))</f>
        <v>#N/A</v>
      </c>
      <c r="R6626" s="282" t="e">
        <f>++Tabla4[[#This Row],[Precio Unitario Neto]]-Tabla4[[#This Row],[20.85%]]-Tabla4[[#This Row],[Costo]]</f>
        <v>#N/A</v>
      </c>
      <c r="S6626" s="282" t="e">
        <f>++Tabla4[[#This Row],[U. Bruta Uni]]*Tabla4[[#This Row],[Cantidad]]</f>
        <v>#N/A</v>
      </c>
      <c r="T6626" s="369" t="str">
        <f>VLOOKUP(Tabla4[[#This Row],[Producto]],Tabla6[#All],14,FALSE)</f>
        <v>Termico Solar</v>
      </c>
      <c r="U6626" s="284" t="e">
        <f>(IF(Tabla4[[#This Row],[Familia]]="termico solar",Tabla4[[#This Row],[Utilidad Total]]*6%,Tabla4[[#This Row],[Utilidad Total]]*11.5%))/Tabla4[[#This Row],[Total]]</f>
        <v>#N/A</v>
      </c>
      <c r="V6626" s="282" t="e">
        <f>+Tabla4[[#This Row],[Comisión Calculada]]*Tabla4[[#This Row],[Total]]</f>
        <v>#N/A</v>
      </c>
    </row>
    <row r="6627" spans="1:22" hidden="1" x14ac:dyDescent="0.25">
      <c r="A6627" s="100">
        <v>45961</v>
      </c>
      <c r="B6627" t="str">
        <f>TEXT(A6627, "mmmm")</f>
        <v>October</v>
      </c>
      <c r="C6627" s="46" t="s">
        <v>280</v>
      </c>
      <c r="F6627" s="366" t="s">
        <v>3358</v>
      </c>
      <c r="G6627" s="46" t="s">
        <v>208</v>
      </c>
      <c r="H6627" s="46">
        <v>3</v>
      </c>
      <c r="I6627" s="51">
        <v>189.75</v>
      </c>
      <c r="J6627" s="281">
        <f>++Tabla4[[#This Row],[Precio Bruto]]*1.16</f>
        <v>220.10999999999999</v>
      </c>
      <c r="K6627" s="281">
        <f>+Tabla4[[#This Row],[Precio Unitario Neto]]*Tabla4[[#Headers],[20.85%]]</f>
        <v>45.892934999999994</v>
      </c>
      <c r="L6627" s="282">
        <f>++Tabla4[[#This Row],[Precio Unitario Neto]]-Tabla4[[#This Row],[20.85%]]</f>
        <v>174.21706499999999</v>
      </c>
      <c r="M6627" s="282" t="e">
        <f>(INDEX(Tabla6[#All],MATCH(Tabla4[[#This Row],[Producto]],Tabla6[[#All],[PRODUCTO]],0),MATCH(Tabla4[[#This Row],[Mes]],Tabla6[#Headers],0)))*(1+Catalogos!$L$2)</f>
        <v>#N/A</v>
      </c>
      <c r="N6627" s="283" t="e">
        <f>+(Tabla4[[#This Row],[Precio Descontado]]-Tabla4[[#This Row],[Precio Base]])*Tabla4[[#This Row],[Cantidad]]</f>
        <v>#N/A</v>
      </c>
      <c r="O6627" s="284" t="e">
        <f>++Tabla4[[#This Row],[Utilidad Total]]/Tabla4[[#This Row],[Total]]</f>
        <v>#N/A</v>
      </c>
      <c r="P6627" s="282">
        <f>++Tabla4[[#This Row],[Precio Descontado]]*Tabla4[[#This Row],[Cantidad]]</f>
        <v>522.65119499999992</v>
      </c>
      <c r="Q6627" s="282" t="e">
        <f>(INDEX(Tabla6[#All],MATCH(Tabla4[[#This Row],[Producto]],Tabla6[[#All],[PRODUCTO]],0),MATCH(Tabla4[[#This Row],[Mes]],Tabla6[#Headers],0)))</f>
        <v>#N/A</v>
      </c>
      <c r="R6627" s="282" t="e">
        <f>++Tabla4[[#This Row],[Precio Unitario Neto]]-Tabla4[[#This Row],[20.85%]]-Tabla4[[#This Row],[Costo]]</f>
        <v>#N/A</v>
      </c>
      <c r="S6627" s="282" t="e">
        <f>++Tabla4[[#This Row],[U. Bruta Uni]]*Tabla4[[#This Row],[Cantidad]]</f>
        <v>#N/A</v>
      </c>
      <c r="T6627" s="369" t="str">
        <f>VLOOKUP(Tabla4[[#This Row],[Producto]],Tabla6[#All],14,FALSE)</f>
        <v>Termico Solar</v>
      </c>
      <c r="U6627" s="284" t="e">
        <f>(IF(Tabla4[[#This Row],[Familia]]="termico solar",Tabla4[[#This Row],[Utilidad Total]]*6%,Tabla4[[#This Row],[Utilidad Total]]*11.5%))/Tabla4[[#This Row],[Total]]</f>
        <v>#N/A</v>
      </c>
      <c r="V6627" s="282" t="e">
        <f>+Tabla4[[#This Row],[Comisión Calculada]]*Tabla4[[#This Row],[Total]]</f>
        <v>#N/A</v>
      </c>
    </row>
    <row r="6628" spans="1:22" hidden="1" x14ac:dyDescent="0.25">
      <c r="A6628" s="100">
        <v>45961</v>
      </c>
      <c r="B6628" t="str">
        <f t="shared" ref="B6628:B6632" si="411">TEXT(A6628, "mmmm")</f>
        <v>October</v>
      </c>
      <c r="C6628" s="46" t="s">
        <v>280</v>
      </c>
      <c r="F6628" s="366" t="s">
        <v>3359</v>
      </c>
      <c r="G6628" s="46" t="s">
        <v>83</v>
      </c>
      <c r="H6628" s="46">
        <v>1</v>
      </c>
      <c r="I6628" s="51">
        <v>8858.76</v>
      </c>
      <c r="J6628" s="281">
        <f>++Tabla4[[#This Row],[Precio Bruto]]*1.16</f>
        <v>10276.161599999999</v>
      </c>
      <c r="K6628" s="281">
        <f>+Tabla4[[#This Row],[Precio Unitario Neto]]*Tabla4[[#Headers],[20.85%]]</f>
        <v>2142.5796935999997</v>
      </c>
      <c r="L6628" s="282">
        <f>++Tabla4[[#This Row],[Precio Unitario Neto]]-Tabla4[[#This Row],[20.85%]]</f>
        <v>8133.5819063999998</v>
      </c>
      <c r="M6628" s="282" t="e">
        <f>(INDEX(Tabla6[#All],MATCH(Tabla4[[#This Row],[Producto]],Tabla6[[#All],[PRODUCTO]],0),MATCH(Tabla4[[#This Row],[Mes]],Tabla6[#Headers],0)))*(1+Catalogos!$L$2)</f>
        <v>#N/A</v>
      </c>
      <c r="N6628" s="283" t="e">
        <f>+(Tabla4[[#This Row],[Precio Descontado]]-Tabla4[[#This Row],[Precio Base]])*Tabla4[[#This Row],[Cantidad]]</f>
        <v>#N/A</v>
      </c>
      <c r="O6628" s="284" t="e">
        <f>++Tabla4[[#This Row],[Utilidad Total]]/Tabla4[[#This Row],[Total]]</f>
        <v>#N/A</v>
      </c>
      <c r="P6628" s="282">
        <f>++Tabla4[[#This Row],[Precio Descontado]]*Tabla4[[#This Row],[Cantidad]]</f>
        <v>8133.5819063999998</v>
      </c>
      <c r="Q6628" s="282" t="e">
        <f>(INDEX(Tabla6[#All],MATCH(Tabla4[[#This Row],[Producto]],Tabla6[[#All],[PRODUCTO]],0),MATCH(Tabla4[[#This Row],[Mes]],Tabla6[#Headers],0)))</f>
        <v>#N/A</v>
      </c>
      <c r="R6628" s="282" t="e">
        <f>++Tabla4[[#This Row],[Precio Unitario Neto]]-Tabla4[[#This Row],[20.85%]]-Tabla4[[#This Row],[Costo]]</f>
        <v>#N/A</v>
      </c>
      <c r="S6628" s="282" t="e">
        <f>++Tabla4[[#This Row],[U. Bruta Uni]]*Tabla4[[#This Row],[Cantidad]]</f>
        <v>#N/A</v>
      </c>
      <c r="T6628" s="369" t="str">
        <f>VLOOKUP(Tabla4[[#This Row],[Producto]],Tabla6[#All],14,FALSE)</f>
        <v>Termico Solar</v>
      </c>
      <c r="U6628" s="284" t="e">
        <f>(IF(Tabla4[[#This Row],[Familia]]="termico solar",Tabla4[[#This Row],[Utilidad Total]]*6%,Tabla4[[#This Row],[Utilidad Total]]*11.5%))/Tabla4[[#This Row],[Total]]</f>
        <v>#N/A</v>
      </c>
      <c r="V6628" s="282" t="e">
        <f>+Tabla4[[#This Row],[Comisión Calculada]]*Tabla4[[#This Row],[Total]]</f>
        <v>#N/A</v>
      </c>
    </row>
    <row r="6629" spans="1:22" hidden="1" x14ac:dyDescent="0.25">
      <c r="A6629" s="100">
        <v>45961</v>
      </c>
      <c r="B6629" t="str">
        <f t="shared" si="411"/>
        <v>October</v>
      </c>
      <c r="C6629" s="46" t="s">
        <v>280</v>
      </c>
      <c r="F6629" s="366" t="s">
        <v>3359</v>
      </c>
      <c r="G6629" s="46" t="s">
        <v>17</v>
      </c>
      <c r="H6629" s="46">
        <v>3</v>
      </c>
      <c r="I6629" s="51">
        <v>4622.28</v>
      </c>
      <c r="J6629" s="281">
        <f>++Tabla4[[#This Row],[Precio Bruto]]*1.16</f>
        <v>5361.8447999999989</v>
      </c>
      <c r="K6629" s="281">
        <f>+Tabla4[[#This Row],[Precio Unitario Neto]]*Tabla4[[#Headers],[20.85%]]</f>
        <v>1117.9446407999997</v>
      </c>
      <c r="L6629" s="282">
        <f>++Tabla4[[#This Row],[Precio Unitario Neto]]-Tabla4[[#This Row],[20.85%]]</f>
        <v>4243.9001591999995</v>
      </c>
      <c r="M6629" s="282" t="e">
        <f>(INDEX(Tabla6[#All],MATCH(Tabla4[[#This Row],[Producto]],Tabla6[[#All],[PRODUCTO]],0),MATCH(Tabla4[[#This Row],[Mes]],Tabla6[#Headers],0)))*(1+Catalogos!$L$2)</f>
        <v>#N/A</v>
      </c>
      <c r="N6629" s="283" t="e">
        <f>+(Tabla4[[#This Row],[Precio Descontado]]-Tabla4[[#This Row],[Precio Base]])*Tabla4[[#This Row],[Cantidad]]</f>
        <v>#N/A</v>
      </c>
      <c r="O6629" s="284" t="e">
        <f>++Tabla4[[#This Row],[Utilidad Total]]/Tabla4[[#This Row],[Total]]</f>
        <v>#N/A</v>
      </c>
      <c r="P6629" s="282">
        <f>++Tabla4[[#This Row],[Precio Descontado]]*Tabla4[[#This Row],[Cantidad]]</f>
        <v>12731.700477599999</v>
      </c>
      <c r="Q6629" s="282" t="e">
        <f>(INDEX(Tabla6[#All],MATCH(Tabla4[[#This Row],[Producto]],Tabla6[[#All],[PRODUCTO]],0),MATCH(Tabla4[[#This Row],[Mes]],Tabla6[#Headers],0)))</f>
        <v>#N/A</v>
      </c>
      <c r="R6629" s="282" t="e">
        <f>++Tabla4[[#This Row],[Precio Unitario Neto]]-Tabla4[[#This Row],[20.85%]]-Tabla4[[#This Row],[Costo]]</f>
        <v>#N/A</v>
      </c>
      <c r="S6629" s="282" t="e">
        <f>++Tabla4[[#This Row],[U. Bruta Uni]]*Tabla4[[#This Row],[Cantidad]]</f>
        <v>#N/A</v>
      </c>
      <c r="T6629" s="369" t="str">
        <f>VLOOKUP(Tabla4[[#This Row],[Producto]],Tabla6[#All],14,FALSE)</f>
        <v>Termico Solar</v>
      </c>
      <c r="U6629" s="284" t="e">
        <f>(IF(Tabla4[[#This Row],[Familia]]="termico solar",Tabla4[[#This Row],[Utilidad Total]]*6%,Tabla4[[#This Row],[Utilidad Total]]*11.5%))/Tabla4[[#This Row],[Total]]</f>
        <v>#N/A</v>
      </c>
      <c r="V6629" s="282" t="e">
        <f>+Tabla4[[#This Row],[Comisión Calculada]]*Tabla4[[#This Row],[Total]]</f>
        <v>#N/A</v>
      </c>
    </row>
    <row r="6630" spans="1:22" hidden="1" x14ac:dyDescent="0.25">
      <c r="A6630" s="100">
        <v>45961</v>
      </c>
      <c r="B6630" t="str">
        <f t="shared" si="411"/>
        <v>October</v>
      </c>
      <c r="C6630" s="46" t="s">
        <v>280</v>
      </c>
      <c r="F6630" s="366" t="s">
        <v>3359</v>
      </c>
      <c r="G6630" s="46" t="s">
        <v>18</v>
      </c>
      <c r="H6630" s="46">
        <v>4</v>
      </c>
      <c r="I6630" s="51">
        <v>5367.65</v>
      </c>
      <c r="J6630" s="281">
        <f>++Tabla4[[#This Row],[Precio Bruto]]*1.16</f>
        <v>6226.4739999999993</v>
      </c>
      <c r="K6630" s="281">
        <f>+Tabla4[[#This Row],[Precio Unitario Neto]]*Tabla4[[#Headers],[20.85%]]</f>
        <v>1298.2198289999999</v>
      </c>
      <c r="L6630" s="282">
        <f>++Tabla4[[#This Row],[Precio Unitario Neto]]-Tabla4[[#This Row],[20.85%]]</f>
        <v>4928.2541709999996</v>
      </c>
      <c r="M6630" s="282" t="e">
        <f>(INDEX(Tabla6[#All],MATCH(Tabla4[[#This Row],[Producto]],Tabla6[[#All],[PRODUCTO]],0),MATCH(Tabla4[[#This Row],[Mes]],Tabla6[#Headers],0)))*(1+Catalogos!$L$2)</f>
        <v>#N/A</v>
      </c>
      <c r="N6630" s="283" t="e">
        <f>+(Tabla4[[#This Row],[Precio Descontado]]-Tabla4[[#This Row],[Precio Base]])*Tabla4[[#This Row],[Cantidad]]</f>
        <v>#N/A</v>
      </c>
      <c r="O6630" s="284" t="e">
        <f>++Tabla4[[#This Row],[Utilidad Total]]/Tabla4[[#This Row],[Total]]</f>
        <v>#N/A</v>
      </c>
      <c r="P6630" s="282">
        <f>++Tabla4[[#This Row],[Precio Descontado]]*Tabla4[[#This Row],[Cantidad]]</f>
        <v>19713.016683999998</v>
      </c>
      <c r="Q6630" s="282" t="e">
        <f>(INDEX(Tabla6[#All],MATCH(Tabla4[[#This Row],[Producto]],Tabla6[[#All],[PRODUCTO]],0),MATCH(Tabla4[[#This Row],[Mes]],Tabla6[#Headers],0)))</f>
        <v>#N/A</v>
      </c>
      <c r="R6630" s="282" t="e">
        <f>++Tabla4[[#This Row],[Precio Unitario Neto]]-Tabla4[[#This Row],[20.85%]]-Tabla4[[#This Row],[Costo]]</f>
        <v>#N/A</v>
      </c>
      <c r="S6630" s="282" t="e">
        <f>++Tabla4[[#This Row],[U. Bruta Uni]]*Tabla4[[#This Row],[Cantidad]]</f>
        <v>#N/A</v>
      </c>
      <c r="T6630" s="369" t="str">
        <f>VLOOKUP(Tabla4[[#This Row],[Producto]],Tabla6[#All],14,FALSE)</f>
        <v>Termico Solar</v>
      </c>
      <c r="U6630" s="284" t="e">
        <f>(IF(Tabla4[[#This Row],[Familia]]="termico solar",Tabla4[[#This Row],[Utilidad Total]]*6%,Tabla4[[#This Row],[Utilidad Total]]*11.5%))/Tabla4[[#This Row],[Total]]</f>
        <v>#N/A</v>
      </c>
      <c r="V6630" s="282" t="e">
        <f>+Tabla4[[#This Row],[Comisión Calculada]]*Tabla4[[#This Row],[Total]]</f>
        <v>#N/A</v>
      </c>
    </row>
    <row r="6631" spans="1:22" hidden="1" x14ac:dyDescent="0.25">
      <c r="A6631" s="100">
        <v>45961</v>
      </c>
      <c r="B6631" t="str">
        <f t="shared" si="411"/>
        <v>October</v>
      </c>
      <c r="C6631" s="46" t="s">
        <v>280</v>
      </c>
      <c r="F6631" s="366" t="s">
        <v>3359</v>
      </c>
      <c r="G6631" s="46" t="s">
        <v>566</v>
      </c>
      <c r="H6631" s="46">
        <v>1</v>
      </c>
      <c r="I6631" s="51">
        <v>2109.4499999999998</v>
      </c>
      <c r="J6631" s="281">
        <f>++Tabla4[[#This Row],[Precio Bruto]]*1.16</f>
        <v>2446.9619999999995</v>
      </c>
      <c r="K6631" s="281">
        <f>+Tabla4[[#This Row],[Precio Unitario Neto]]*Tabla4[[#Headers],[20.85%]]</f>
        <v>510.19157699999988</v>
      </c>
      <c r="L6631" s="282">
        <f>++Tabla4[[#This Row],[Precio Unitario Neto]]-Tabla4[[#This Row],[20.85%]]</f>
        <v>1936.7704229999997</v>
      </c>
      <c r="M6631" s="282" t="e">
        <f>(INDEX(Tabla6[#All],MATCH(Tabla4[[#This Row],[Producto]],Tabla6[[#All],[PRODUCTO]],0),MATCH(Tabla4[[#This Row],[Mes]],Tabla6[#Headers],0)))*(1+Catalogos!$L$2)</f>
        <v>#N/A</v>
      </c>
      <c r="N6631" s="283" t="e">
        <f>+(Tabla4[[#This Row],[Precio Descontado]]-Tabla4[[#This Row],[Precio Base]])*Tabla4[[#This Row],[Cantidad]]</f>
        <v>#N/A</v>
      </c>
      <c r="O6631" s="284" t="e">
        <f>++Tabla4[[#This Row],[Utilidad Total]]/Tabla4[[#This Row],[Total]]</f>
        <v>#N/A</v>
      </c>
      <c r="P6631" s="282">
        <f>++Tabla4[[#This Row],[Precio Descontado]]*Tabla4[[#This Row],[Cantidad]]</f>
        <v>1936.7704229999997</v>
      </c>
      <c r="Q6631" s="282" t="e">
        <f>(INDEX(Tabla6[#All],MATCH(Tabla4[[#This Row],[Producto]],Tabla6[[#All],[PRODUCTO]],0),MATCH(Tabla4[[#This Row],[Mes]],Tabla6[#Headers],0)))</f>
        <v>#N/A</v>
      </c>
      <c r="R6631" s="282" t="e">
        <f>++Tabla4[[#This Row],[Precio Unitario Neto]]-Tabla4[[#This Row],[20.85%]]-Tabla4[[#This Row],[Costo]]</f>
        <v>#N/A</v>
      </c>
      <c r="S6631" s="282" t="e">
        <f>++Tabla4[[#This Row],[U. Bruta Uni]]*Tabla4[[#This Row],[Cantidad]]</f>
        <v>#N/A</v>
      </c>
      <c r="T6631" s="369" t="str">
        <f>VLOOKUP(Tabla4[[#This Row],[Producto]],Tabla6[#All],14,FALSE)</f>
        <v>Termico Solar</v>
      </c>
      <c r="U6631" s="284" t="e">
        <f>(IF(Tabla4[[#This Row],[Familia]]="termico solar",Tabla4[[#This Row],[Utilidad Total]]*6%,Tabla4[[#This Row],[Utilidad Total]]*11.5%))/Tabla4[[#This Row],[Total]]</f>
        <v>#N/A</v>
      </c>
      <c r="V6631" s="282" t="e">
        <f>+Tabla4[[#This Row],[Comisión Calculada]]*Tabla4[[#This Row],[Total]]</f>
        <v>#N/A</v>
      </c>
    </row>
    <row r="6632" spans="1:22" hidden="1" x14ac:dyDescent="0.25">
      <c r="A6632" s="100">
        <v>45961</v>
      </c>
      <c r="B6632" t="str">
        <f t="shared" si="411"/>
        <v>October</v>
      </c>
      <c r="C6632" s="46" t="s">
        <v>280</v>
      </c>
      <c r="F6632" s="366" t="s">
        <v>3359</v>
      </c>
      <c r="G6632" s="46" t="s">
        <v>16</v>
      </c>
      <c r="H6632" s="46">
        <v>1</v>
      </c>
      <c r="I6632" s="51">
        <v>4103.8500000000004</v>
      </c>
      <c r="J6632" s="281">
        <f>++Tabla4[[#This Row],[Precio Bruto]]*1.16</f>
        <v>4760.4660000000003</v>
      </c>
      <c r="K6632" s="281">
        <f>+Tabla4[[#This Row],[Precio Unitario Neto]]*Tabla4[[#Headers],[20.85%]]</f>
        <v>992.55716100000006</v>
      </c>
      <c r="L6632" s="282">
        <f>++Tabla4[[#This Row],[Precio Unitario Neto]]-Tabla4[[#This Row],[20.85%]]</f>
        <v>3767.9088390000002</v>
      </c>
      <c r="M6632" s="282" t="e">
        <f>(INDEX(Tabla6[#All],MATCH(Tabla4[[#This Row],[Producto]],Tabla6[[#All],[PRODUCTO]],0),MATCH(Tabla4[[#This Row],[Mes]],Tabla6[#Headers],0)))*(1+Catalogos!$L$2)</f>
        <v>#N/A</v>
      </c>
      <c r="N6632" s="283" t="e">
        <f>+(Tabla4[[#This Row],[Precio Descontado]]-Tabla4[[#This Row],[Precio Base]])*Tabla4[[#This Row],[Cantidad]]</f>
        <v>#N/A</v>
      </c>
      <c r="O6632" s="284" t="e">
        <f>++Tabla4[[#This Row],[Utilidad Total]]/Tabla4[[#This Row],[Total]]</f>
        <v>#N/A</v>
      </c>
      <c r="P6632" s="282">
        <f>++Tabla4[[#This Row],[Precio Descontado]]*Tabla4[[#This Row],[Cantidad]]</f>
        <v>3767.9088390000002</v>
      </c>
      <c r="Q6632" s="282" t="e">
        <f>(INDEX(Tabla6[#All],MATCH(Tabla4[[#This Row],[Producto]],Tabla6[[#All],[PRODUCTO]],0),MATCH(Tabla4[[#This Row],[Mes]],Tabla6[#Headers],0)))</f>
        <v>#N/A</v>
      </c>
      <c r="R6632" s="282" t="e">
        <f>++Tabla4[[#This Row],[Precio Unitario Neto]]-Tabla4[[#This Row],[20.85%]]-Tabla4[[#This Row],[Costo]]</f>
        <v>#N/A</v>
      </c>
      <c r="S6632" s="282" t="e">
        <f>++Tabla4[[#This Row],[U. Bruta Uni]]*Tabla4[[#This Row],[Cantidad]]</f>
        <v>#N/A</v>
      </c>
      <c r="T6632" s="369" t="str">
        <f>VLOOKUP(Tabla4[[#This Row],[Producto]],Tabla6[#All],14,FALSE)</f>
        <v>Termico Solar</v>
      </c>
      <c r="U6632" s="284" t="e">
        <f>(IF(Tabla4[[#This Row],[Familia]]="termico solar",Tabla4[[#This Row],[Utilidad Total]]*6%,Tabla4[[#This Row],[Utilidad Total]]*11.5%))/Tabla4[[#This Row],[Total]]</f>
        <v>#N/A</v>
      </c>
      <c r="V6632" s="282" t="e">
        <f>+Tabla4[[#This Row],[Comisión Calculada]]*Tabla4[[#This Row],[Total]]</f>
        <v>#N/A</v>
      </c>
    </row>
    <row r="6633" spans="1:22" hidden="1" x14ac:dyDescent="0.25">
      <c r="A6633" s="100">
        <v>45961</v>
      </c>
      <c r="B6633" t="str">
        <f t="shared" ref="B6633:B6636" si="412">TEXT(A6633, "mmmm")</f>
        <v>October</v>
      </c>
      <c r="C6633" s="46" t="s">
        <v>280</v>
      </c>
      <c r="F6633" s="366" t="s">
        <v>3360</v>
      </c>
      <c r="G6633" s="46" t="s">
        <v>83</v>
      </c>
      <c r="H6633" s="46">
        <v>3</v>
      </c>
      <c r="I6633" s="51">
        <v>8858.76</v>
      </c>
      <c r="J6633" s="281">
        <f>++Tabla4[[#This Row],[Precio Bruto]]*1.16</f>
        <v>10276.161599999999</v>
      </c>
      <c r="K6633" s="281">
        <f>+Tabla4[[#This Row],[Precio Unitario Neto]]*Tabla4[[#Headers],[20.85%]]</f>
        <v>2142.5796935999997</v>
      </c>
      <c r="L6633" s="282">
        <f>++Tabla4[[#This Row],[Precio Unitario Neto]]-Tabla4[[#This Row],[20.85%]]</f>
        <v>8133.5819063999998</v>
      </c>
      <c r="M6633" s="282" t="e">
        <f>(INDEX(Tabla6[#All],MATCH(Tabla4[[#This Row],[Producto]],Tabla6[[#All],[PRODUCTO]],0),MATCH(Tabla4[[#This Row],[Mes]],Tabla6[#Headers],0)))*(1+Catalogos!$L$2)</f>
        <v>#N/A</v>
      </c>
      <c r="N6633" s="283" t="e">
        <f>+(Tabla4[[#This Row],[Precio Descontado]]-Tabla4[[#This Row],[Precio Base]])*Tabla4[[#This Row],[Cantidad]]</f>
        <v>#N/A</v>
      </c>
      <c r="O6633" s="284" t="e">
        <f>++Tabla4[[#This Row],[Utilidad Total]]/Tabla4[[#This Row],[Total]]</f>
        <v>#N/A</v>
      </c>
      <c r="P6633" s="282">
        <f>++Tabla4[[#This Row],[Precio Descontado]]*Tabla4[[#This Row],[Cantidad]]</f>
        <v>24400.7457192</v>
      </c>
      <c r="Q6633" s="282" t="e">
        <f>(INDEX(Tabla6[#All],MATCH(Tabla4[[#This Row],[Producto]],Tabla6[[#All],[PRODUCTO]],0),MATCH(Tabla4[[#This Row],[Mes]],Tabla6[#Headers],0)))</f>
        <v>#N/A</v>
      </c>
      <c r="R6633" s="282" t="e">
        <f>++Tabla4[[#This Row],[Precio Unitario Neto]]-Tabla4[[#This Row],[20.85%]]-Tabla4[[#This Row],[Costo]]</f>
        <v>#N/A</v>
      </c>
      <c r="S6633" s="282" t="e">
        <f>++Tabla4[[#This Row],[U. Bruta Uni]]*Tabla4[[#This Row],[Cantidad]]</f>
        <v>#N/A</v>
      </c>
      <c r="T6633" s="369" t="str">
        <f>VLOOKUP(Tabla4[[#This Row],[Producto]],Tabla6[#All],14,FALSE)</f>
        <v>Termico Solar</v>
      </c>
      <c r="U6633" s="284" t="e">
        <f>(IF(Tabla4[[#This Row],[Familia]]="termico solar",Tabla4[[#This Row],[Utilidad Total]]*6%,Tabla4[[#This Row],[Utilidad Total]]*11.5%))/Tabla4[[#This Row],[Total]]</f>
        <v>#N/A</v>
      </c>
      <c r="V6633" s="282" t="e">
        <f>+Tabla4[[#This Row],[Comisión Calculada]]*Tabla4[[#This Row],[Total]]</f>
        <v>#N/A</v>
      </c>
    </row>
    <row r="6634" spans="1:22" hidden="1" x14ac:dyDescent="0.25">
      <c r="A6634" s="100">
        <v>45961</v>
      </c>
      <c r="B6634" t="str">
        <f t="shared" si="412"/>
        <v>October</v>
      </c>
      <c r="C6634" s="46" t="s">
        <v>280</v>
      </c>
      <c r="F6634" s="366" t="s">
        <v>3360</v>
      </c>
      <c r="G6634" s="46" t="s">
        <v>566</v>
      </c>
      <c r="H6634" s="46">
        <v>1</v>
      </c>
      <c r="I6634" s="51">
        <v>2109.4499999999998</v>
      </c>
      <c r="J6634" s="281">
        <f>++Tabla4[[#This Row],[Precio Bruto]]*1.16</f>
        <v>2446.9619999999995</v>
      </c>
      <c r="K6634" s="281">
        <f>+Tabla4[[#This Row],[Precio Unitario Neto]]*Tabla4[[#Headers],[20.85%]]</f>
        <v>510.19157699999988</v>
      </c>
      <c r="L6634" s="282">
        <f>++Tabla4[[#This Row],[Precio Unitario Neto]]-Tabla4[[#This Row],[20.85%]]</f>
        <v>1936.7704229999997</v>
      </c>
      <c r="M6634" s="282" t="e">
        <f>(INDEX(Tabla6[#All],MATCH(Tabla4[[#This Row],[Producto]],Tabla6[[#All],[PRODUCTO]],0),MATCH(Tabla4[[#This Row],[Mes]],Tabla6[#Headers],0)))*(1+Catalogos!$L$2)</f>
        <v>#N/A</v>
      </c>
      <c r="N6634" s="283" t="e">
        <f>+(Tabla4[[#This Row],[Precio Descontado]]-Tabla4[[#This Row],[Precio Base]])*Tabla4[[#This Row],[Cantidad]]</f>
        <v>#N/A</v>
      </c>
      <c r="O6634" s="284" t="e">
        <f>++Tabla4[[#This Row],[Utilidad Total]]/Tabla4[[#This Row],[Total]]</f>
        <v>#N/A</v>
      </c>
      <c r="P6634" s="282">
        <f>++Tabla4[[#This Row],[Precio Descontado]]*Tabla4[[#This Row],[Cantidad]]</f>
        <v>1936.7704229999997</v>
      </c>
      <c r="Q6634" s="282" t="e">
        <f>(INDEX(Tabla6[#All],MATCH(Tabla4[[#This Row],[Producto]],Tabla6[[#All],[PRODUCTO]],0),MATCH(Tabla4[[#This Row],[Mes]],Tabla6[#Headers],0)))</f>
        <v>#N/A</v>
      </c>
      <c r="R6634" s="282" t="e">
        <f>++Tabla4[[#This Row],[Precio Unitario Neto]]-Tabla4[[#This Row],[20.85%]]-Tabla4[[#This Row],[Costo]]</f>
        <v>#N/A</v>
      </c>
      <c r="S6634" s="282" t="e">
        <f>++Tabla4[[#This Row],[U. Bruta Uni]]*Tabla4[[#This Row],[Cantidad]]</f>
        <v>#N/A</v>
      </c>
      <c r="T6634" s="369" t="str">
        <f>VLOOKUP(Tabla4[[#This Row],[Producto]],Tabla6[#All],14,FALSE)</f>
        <v>Termico Solar</v>
      </c>
      <c r="U6634" s="284" t="e">
        <f>(IF(Tabla4[[#This Row],[Familia]]="termico solar",Tabla4[[#This Row],[Utilidad Total]]*6%,Tabla4[[#This Row],[Utilidad Total]]*11.5%))/Tabla4[[#This Row],[Total]]</f>
        <v>#N/A</v>
      </c>
      <c r="V6634" s="282" t="e">
        <f>+Tabla4[[#This Row],[Comisión Calculada]]*Tabla4[[#This Row],[Total]]</f>
        <v>#N/A</v>
      </c>
    </row>
    <row r="6635" spans="1:22" hidden="1" x14ac:dyDescent="0.25">
      <c r="A6635" s="100">
        <v>45961</v>
      </c>
      <c r="B6635" t="str">
        <f t="shared" si="412"/>
        <v>October</v>
      </c>
      <c r="C6635" s="46" t="s">
        <v>280</v>
      </c>
      <c r="F6635" s="366" t="s">
        <v>3360</v>
      </c>
      <c r="G6635" s="46" t="s">
        <v>16</v>
      </c>
      <c r="H6635" s="46">
        <v>4</v>
      </c>
      <c r="I6635" s="51">
        <v>4103.8500000000004</v>
      </c>
      <c r="J6635" s="281">
        <f>++Tabla4[[#This Row],[Precio Bruto]]*1.16</f>
        <v>4760.4660000000003</v>
      </c>
      <c r="K6635" s="281">
        <f>+Tabla4[[#This Row],[Precio Unitario Neto]]*Tabla4[[#Headers],[20.85%]]</f>
        <v>992.55716100000006</v>
      </c>
      <c r="L6635" s="282">
        <f>++Tabla4[[#This Row],[Precio Unitario Neto]]-Tabla4[[#This Row],[20.85%]]</f>
        <v>3767.9088390000002</v>
      </c>
      <c r="M6635" s="282" t="e">
        <f>(INDEX(Tabla6[#All],MATCH(Tabla4[[#This Row],[Producto]],Tabla6[[#All],[PRODUCTO]],0),MATCH(Tabla4[[#This Row],[Mes]],Tabla6[#Headers],0)))*(1+Catalogos!$L$2)</f>
        <v>#N/A</v>
      </c>
      <c r="N6635" s="283" t="e">
        <f>+(Tabla4[[#This Row],[Precio Descontado]]-Tabla4[[#This Row],[Precio Base]])*Tabla4[[#This Row],[Cantidad]]</f>
        <v>#N/A</v>
      </c>
      <c r="O6635" s="284" t="e">
        <f>++Tabla4[[#This Row],[Utilidad Total]]/Tabla4[[#This Row],[Total]]</f>
        <v>#N/A</v>
      </c>
      <c r="P6635" s="282">
        <f>++Tabla4[[#This Row],[Precio Descontado]]*Tabla4[[#This Row],[Cantidad]]</f>
        <v>15071.635356000001</v>
      </c>
      <c r="Q6635" s="282" t="e">
        <f>(INDEX(Tabla6[#All],MATCH(Tabla4[[#This Row],[Producto]],Tabla6[[#All],[PRODUCTO]],0),MATCH(Tabla4[[#This Row],[Mes]],Tabla6[#Headers],0)))</f>
        <v>#N/A</v>
      </c>
      <c r="R6635" s="282" t="e">
        <f>++Tabla4[[#This Row],[Precio Unitario Neto]]-Tabla4[[#This Row],[20.85%]]-Tabla4[[#This Row],[Costo]]</f>
        <v>#N/A</v>
      </c>
      <c r="S6635" s="282" t="e">
        <f>++Tabla4[[#This Row],[U. Bruta Uni]]*Tabla4[[#This Row],[Cantidad]]</f>
        <v>#N/A</v>
      </c>
      <c r="T6635" s="369" t="str">
        <f>VLOOKUP(Tabla4[[#This Row],[Producto]],Tabla6[#All],14,FALSE)</f>
        <v>Termico Solar</v>
      </c>
      <c r="U6635" s="284" t="e">
        <f>(IF(Tabla4[[#This Row],[Familia]]="termico solar",Tabla4[[#This Row],[Utilidad Total]]*6%,Tabla4[[#This Row],[Utilidad Total]]*11.5%))/Tabla4[[#This Row],[Total]]</f>
        <v>#N/A</v>
      </c>
      <c r="V6635" s="282" t="e">
        <f>+Tabla4[[#This Row],[Comisión Calculada]]*Tabla4[[#This Row],[Total]]</f>
        <v>#N/A</v>
      </c>
    </row>
    <row r="6636" spans="1:22" hidden="1" x14ac:dyDescent="0.25">
      <c r="A6636" s="100">
        <v>45961</v>
      </c>
      <c r="B6636" t="str">
        <f t="shared" si="412"/>
        <v>October</v>
      </c>
      <c r="C6636" s="46" t="s">
        <v>280</v>
      </c>
      <c r="F6636" s="366" t="s">
        <v>3360</v>
      </c>
      <c r="G6636" s="46" t="s">
        <v>208</v>
      </c>
      <c r="H6636" s="46">
        <v>1</v>
      </c>
      <c r="I6636" s="51">
        <v>189.75</v>
      </c>
      <c r="J6636" s="281">
        <f>++Tabla4[[#This Row],[Precio Bruto]]*1.16</f>
        <v>220.10999999999999</v>
      </c>
      <c r="K6636" s="281">
        <f>+Tabla4[[#This Row],[Precio Unitario Neto]]*Tabla4[[#Headers],[20.85%]]</f>
        <v>45.892934999999994</v>
      </c>
      <c r="L6636" s="282">
        <f>++Tabla4[[#This Row],[Precio Unitario Neto]]-Tabla4[[#This Row],[20.85%]]</f>
        <v>174.21706499999999</v>
      </c>
      <c r="M6636" s="282" t="e">
        <f>(INDEX(Tabla6[#All],MATCH(Tabla4[[#This Row],[Producto]],Tabla6[[#All],[PRODUCTO]],0),MATCH(Tabla4[[#This Row],[Mes]],Tabla6[#Headers],0)))*(1+Catalogos!$L$2)</f>
        <v>#N/A</v>
      </c>
      <c r="N6636" s="283" t="e">
        <f>+(Tabla4[[#This Row],[Precio Descontado]]-Tabla4[[#This Row],[Precio Base]])*Tabla4[[#This Row],[Cantidad]]</f>
        <v>#N/A</v>
      </c>
      <c r="O6636" s="284" t="e">
        <f>++Tabla4[[#This Row],[Utilidad Total]]/Tabla4[[#This Row],[Total]]</f>
        <v>#N/A</v>
      </c>
      <c r="P6636" s="282">
        <f>++Tabla4[[#This Row],[Precio Descontado]]*Tabla4[[#This Row],[Cantidad]]</f>
        <v>174.21706499999999</v>
      </c>
      <c r="Q6636" s="282" t="e">
        <f>(INDEX(Tabla6[#All],MATCH(Tabla4[[#This Row],[Producto]],Tabla6[[#All],[PRODUCTO]],0),MATCH(Tabla4[[#This Row],[Mes]],Tabla6[#Headers],0)))</f>
        <v>#N/A</v>
      </c>
      <c r="R6636" s="282" t="e">
        <f>++Tabla4[[#This Row],[Precio Unitario Neto]]-Tabla4[[#This Row],[20.85%]]-Tabla4[[#This Row],[Costo]]</f>
        <v>#N/A</v>
      </c>
      <c r="S6636" s="282" t="e">
        <f>++Tabla4[[#This Row],[U. Bruta Uni]]*Tabla4[[#This Row],[Cantidad]]</f>
        <v>#N/A</v>
      </c>
      <c r="T6636" s="369" t="str">
        <f>VLOOKUP(Tabla4[[#This Row],[Producto]],Tabla6[#All],14,FALSE)</f>
        <v>Termico Solar</v>
      </c>
      <c r="U6636" s="284" t="e">
        <f>(IF(Tabla4[[#This Row],[Familia]]="termico solar",Tabla4[[#This Row],[Utilidad Total]]*6%,Tabla4[[#This Row],[Utilidad Total]]*11.5%))/Tabla4[[#This Row],[Total]]</f>
        <v>#N/A</v>
      </c>
      <c r="V6636" s="282" t="e">
        <f>+Tabla4[[#This Row],[Comisión Calculada]]*Tabla4[[#This Row],[Total]]</f>
        <v>#N/A</v>
      </c>
    </row>
    <row r="6637" spans="1:22" hidden="1" x14ac:dyDescent="0.25">
      <c r="A6637" s="100">
        <v>45961</v>
      </c>
      <c r="B6637" t="str">
        <f t="shared" ref="B6637" si="413">TEXT(A6637, "mmmm")</f>
        <v>October</v>
      </c>
      <c r="C6637" s="46" t="s">
        <v>280</v>
      </c>
      <c r="F6637" s="366" t="s">
        <v>3361</v>
      </c>
      <c r="G6637" s="46" t="s">
        <v>208</v>
      </c>
      <c r="H6637" s="46">
        <v>1</v>
      </c>
      <c r="I6637" s="51">
        <v>189.75</v>
      </c>
      <c r="J6637" s="281">
        <f>++Tabla4[[#This Row],[Precio Bruto]]*1.16</f>
        <v>220.10999999999999</v>
      </c>
      <c r="K6637" s="281">
        <f>+Tabla4[[#This Row],[Precio Unitario Neto]]*Tabla4[[#Headers],[20.85%]]</f>
        <v>45.892934999999994</v>
      </c>
      <c r="L6637" s="282">
        <f>++Tabla4[[#This Row],[Precio Unitario Neto]]-Tabla4[[#This Row],[20.85%]]</f>
        <v>174.21706499999999</v>
      </c>
      <c r="M6637" s="282" t="e">
        <f>(INDEX(Tabla6[#All],MATCH(Tabla4[[#This Row],[Producto]],Tabla6[[#All],[PRODUCTO]],0),MATCH(Tabla4[[#This Row],[Mes]],Tabla6[#Headers],0)))*(1+Catalogos!$L$2)</f>
        <v>#N/A</v>
      </c>
      <c r="N6637" s="283" t="e">
        <f>+(Tabla4[[#This Row],[Precio Descontado]]-Tabla4[[#This Row],[Precio Base]])*Tabla4[[#This Row],[Cantidad]]</f>
        <v>#N/A</v>
      </c>
      <c r="O6637" s="284" t="e">
        <f>++Tabla4[[#This Row],[Utilidad Total]]/Tabla4[[#This Row],[Total]]</f>
        <v>#N/A</v>
      </c>
      <c r="P6637" s="282">
        <f>++Tabla4[[#This Row],[Precio Descontado]]*Tabla4[[#This Row],[Cantidad]]</f>
        <v>174.21706499999999</v>
      </c>
      <c r="Q6637" s="282" t="e">
        <f>(INDEX(Tabla6[#All],MATCH(Tabla4[[#This Row],[Producto]],Tabla6[[#All],[PRODUCTO]],0),MATCH(Tabla4[[#This Row],[Mes]],Tabla6[#Headers],0)))</f>
        <v>#N/A</v>
      </c>
      <c r="R6637" s="282" t="e">
        <f>++Tabla4[[#This Row],[Precio Unitario Neto]]-Tabla4[[#This Row],[20.85%]]-Tabla4[[#This Row],[Costo]]</f>
        <v>#N/A</v>
      </c>
      <c r="S6637" s="282" t="e">
        <f>++Tabla4[[#This Row],[U. Bruta Uni]]*Tabla4[[#This Row],[Cantidad]]</f>
        <v>#N/A</v>
      </c>
      <c r="T6637" s="369" t="str">
        <f>VLOOKUP(Tabla4[[#This Row],[Producto]],Tabla6[#All],14,FALSE)</f>
        <v>Termico Solar</v>
      </c>
      <c r="U6637" s="284" t="e">
        <f>(IF(Tabla4[[#This Row],[Familia]]="termico solar",Tabla4[[#This Row],[Utilidad Total]]*6%,Tabla4[[#This Row],[Utilidad Total]]*11.5%))/Tabla4[[#This Row],[Total]]</f>
        <v>#N/A</v>
      </c>
      <c r="V6637" s="282" t="e">
        <f>+Tabla4[[#This Row],[Comisión Calculada]]*Tabla4[[#This Row],[Total]]</f>
        <v>#N/A</v>
      </c>
    </row>
    <row r="6638" spans="1:22" hidden="1" x14ac:dyDescent="0.25">
      <c r="A6638" s="100">
        <v>45961</v>
      </c>
      <c r="B6638" t="str">
        <f t="shared" ref="B6638:B6641" si="414">TEXT(A6638, "mmmm")</f>
        <v>October</v>
      </c>
      <c r="C6638" s="46" t="s">
        <v>280</v>
      </c>
      <c r="F6638" s="366" t="s">
        <v>3362</v>
      </c>
      <c r="G6638" s="46" t="s">
        <v>83</v>
      </c>
      <c r="H6638" s="46">
        <v>8</v>
      </c>
      <c r="I6638" s="51">
        <v>8858.76</v>
      </c>
      <c r="J6638" s="281">
        <f>++Tabla4[[#This Row],[Precio Bruto]]*1.16</f>
        <v>10276.161599999999</v>
      </c>
      <c r="K6638" s="281">
        <f>+Tabla4[[#This Row],[Precio Unitario Neto]]*Tabla4[[#Headers],[20.85%]]</f>
        <v>2142.5796935999997</v>
      </c>
      <c r="L6638" s="282">
        <f>++Tabla4[[#This Row],[Precio Unitario Neto]]-Tabla4[[#This Row],[20.85%]]</f>
        <v>8133.5819063999998</v>
      </c>
      <c r="M6638" s="282" t="e">
        <f>(INDEX(Tabla6[#All],MATCH(Tabla4[[#This Row],[Producto]],Tabla6[[#All],[PRODUCTO]],0),MATCH(Tabla4[[#This Row],[Mes]],Tabla6[#Headers],0)))*(1+Catalogos!$L$2)</f>
        <v>#N/A</v>
      </c>
      <c r="N6638" s="283" t="e">
        <f>+(Tabla4[[#This Row],[Precio Descontado]]-Tabla4[[#This Row],[Precio Base]])*Tabla4[[#This Row],[Cantidad]]</f>
        <v>#N/A</v>
      </c>
      <c r="O6638" s="284" t="e">
        <f>++Tabla4[[#This Row],[Utilidad Total]]/Tabla4[[#This Row],[Total]]</f>
        <v>#N/A</v>
      </c>
      <c r="P6638" s="282">
        <f>++Tabla4[[#This Row],[Precio Descontado]]*Tabla4[[#This Row],[Cantidad]]</f>
        <v>65068.655251199998</v>
      </c>
      <c r="Q6638" s="282" t="e">
        <f>(INDEX(Tabla6[#All],MATCH(Tabla4[[#This Row],[Producto]],Tabla6[[#All],[PRODUCTO]],0),MATCH(Tabla4[[#This Row],[Mes]],Tabla6[#Headers],0)))</f>
        <v>#N/A</v>
      </c>
      <c r="R6638" s="282" t="e">
        <f>++Tabla4[[#This Row],[Precio Unitario Neto]]-Tabla4[[#This Row],[20.85%]]-Tabla4[[#This Row],[Costo]]</f>
        <v>#N/A</v>
      </c>
      <c r="S6638" s="282" t="e">
        <f>++Tabla4[[#This Row],[U. Bruta Uni]]*Tabla4[[#This Row],[Cantidad]]</f>
        <v>#N/A</v>
      </c>
      <c r="T6638" s="369" t="str">
        <f>VLOOKUP(Tabla4[[#This Row],[Producto]],Tabla6[#All],14,FALSE)</f>
        <v>Termico Solar</v>
      </c>
      <c r="U6638" s="284" t="e">
        <f>(IF(Tabla4[[#This Row],[Familia]]="termico solar",Tabla4[[#This Row],[Utilidad Total]]*6%,Tabla4[[#This Row],[Utilidad Total]]*11.5%))/Tabla4[[#This Row],[Total]]</f>
        <v>#N/A</v>
      </c>
      <c r="V6638" s="282" t="e">
        <f>+Tabla4[[#This Row],[Comisión Calculada]]*Tabla4[[#This Row],[Total]]</f>
        <v>#N/A</v>
      </c>
    </row>
    <row r="6639" spans="1:22" hidden="1" x14ac:dyDescent="0.25">
      <c r="A6639" s="100">
        <v>45961</v>
      </c>
      <c r="B6639" t="str">
        <f t="shared" si="414"/>
        <v>October</v>
      </c>
      <c r="C6639" s="46" t="s">
        <v>280</v>
      </c>
      <c r="F6639" s="366" t="s">
        <v>3362</v>
      </c>
      <c r="G6639" s="46" t="s">
        <v>17</v>
      </c>
      <c r="H6639" s="46">
        <v>24</v>
      </c>
      <c r="I6639" s="51">
        <v>4622.28</v>
      </c>
      <c r="J6639" s="281">
        <f>++Tabla4[[#This Row],[Precio Bruto]]*1.16</f>
        <v>5361.8447999999989</v>
      </c>
      <c r="K6639" s="281">
        <f>+Tabla4[[#This Row],[Precio Unitario Neto]]*Tabla4[[#Headers],[20.85%]]</f>
        <v>1117.9446407999997</v>
      </c>
      <c r="L6639" s="282">
        <f>++Tabla4[[#This Row],[Precio Unitario Neto]]-Tabla4[[#This Row],[20.85%]]</f>
        <v>4243.9001591999995</v>
      </c>
      <c r="M6639" s="282" t="e">
        <f>(INDEX(Tabla6[#All],MATCH(Tabla4[[#This Row],[Producto]],Tabla6[[#All],[PRODUCTO]],0),MATCH(Tabla4[[#This Row],[Mes]],Tabla6[#Headers],0)))*(1+Catalogos!$L$2)</f>
        <v>#N/A</v>
      </c>
      <c r="N6639" s="283" t="e">
        <f>+(Tabla4[[#This Row],[Precio Descontado]]-Tabla4[[#This Row],[Precio Base]])*Tabla4[[#This Row],[Cantidad]]</f>
        <v>#N/A</v>
      </c>
      <c r="O6639" s="284" t="e">
        <f>++Tabla4[[#This Row],[Utilidad Total]]/Tabla4[[#This Row],[Total]]</f>
        <v>#N/A</v>
      </c>
      <c r="P6639" s="282">
        <f>++Tabla4[[#This Row],[Precio Descontado]]*Tabla4[[#This Row],[Cantidad]]</f>
        <v>101853.6038208</v>
      </c>
      <c r="Q6639" s="282" t="e">
        <f>(INDEX(Tabla6[#All],MATCH(Tabla4[[#This Row],[Producto]],Tabla6[[#All],[PRODUCTO]],0),MATCH(Tabla4[[#This Row],[Mes]],Tabla6[#Headers],0)))</f>
        <v>#N/A</v>
      </c>
      <c r="R6639" s="282" t="e">
        <f>++Tabla4[[#This Row],[Precio Unitario Neto]]-Tabla4[[#This Row],[20.85%]]-Tabla4[[#This Row],[Costo]]</f>
        <v>#N/A</v>
      </c>
      <c r="S6639" s="282" t="e">
        <f>++Tabla4[[#This Row],[U. Bruta Uni]]*Tabla4[[#This Row],[Cantidad]]</f>
        <v>#N/A</v>
      </c>
      <c r="T6639" s="369" t="str">
        <f>VLOOKUP(Tabla4[[#This Row],[Producto]],Tabla6[#All],14,FALSE)</f>
        <v>Termico Solar</v>
      </c>
      <c r="U6639" s="284" t="e">
        <f>(IF(Tabla4[[#This Row],[Familia]]="termico solar",Tabla4[[#This Row],[Utilidad Total]]*6%,Tabla4[[#This Row],[Utilidad Total]]*11.5%))/Tabla4[[#This Row],[Total]]</f>
        <v>#N/A</v>
      </c>
      <c r="V6639" s="282" t="e">
        <f>+Tabla4[[#This Row],[Comisión Calculada]]*Tabla4[[#This Row],[Total]]</f>
        <v>#N/A</v>
      </c>
    </row>
    <row r="6640" spans="1:22" hidden="1" x14ac:dyDescent="0.25">
      <c r="A6640" s="100">
        <v>45961</v>
      </c>
      <c r="B6640" t="str">
        <f t="shared" si="414"/>
        <v>October</v>
      </c>
      <c r="C6640" s="46" t="s">
        <v>280</v>
      </c>
      <c r="F6640" s="366" t="s">
        <v>3362</v>
      </c>
      <c r="G6640" s="46" t="s">
        <v>18</v>
      </c>
      <c r="H6640" s="46">
        <v>19</v>
      </c>
      <c r="I6640" s="51">
        <v>5367.6500000000005</v>
      </c>
      <c r="J6640" s="281">
        <f>++Tabla4[[#This Row],[Precio Bruto]]*1.16</f>
        <v>6226.4740000000002</v>
      </c>
      <c r="K6640" s="281">
        <f>+Tabla4[[#This Row],[Precio Unitario Neto]]*Tabla4[[#Headers],[20.85%]]</f>
        <v>1298.2198289999999</v>
      </c>
      <c r="L6640" s="282">
        <f>++Tabla4[[#This Row],[Precio Unitario Neto]]-Tabla4[[#This Row],[20.85%]]</f>
        <v>4928.2541710000005</v>
      </c>
      <c r="M6640" s="282" t="e">
        <f>(INDEX(Tabla6[#All],MATCH(Tabla4[[#This Row],[Producto]],Tabla6[[#All],[PRODUCTO]],0),MATCH(Tabla4[[#This Row],[Mes]],Tabla6[#Headers],0)))*(1+Catalogos!$L$2)</f>
        <v>#N/A</v>
      </c>
      <c r="N6640" s="283" t="e">
        <f>+(Tabla4[[#This Row],[Precio Descontado]]-Tabla4[[#This Row],[Precio Base]])*Tabla4[[#This Row],[Cantidad]]</f>
        <v>#N/A</v>
      </c>
      <c r="O6640" s="284" t="e">
        <f>++Tabla4[[#This Row],[Utilidad Total]]/Tabla4[[#This Row],[Total]]</f>
        <v>#N/A</v>
      </c>
      <c r="P6640" s="282">
        <f>++Tabla4[[#This Row],[Precio Descontado]]*Tabla4[[#This Row],[Cantidad]]</f>
        <v>93636.829249000002</v>
      </c>
      <c r="Q6640" s="282" t="e">
        <f>(INDEX(Tabla6[#All],MATCH(Tabla4[[#This Row],[Producto]],Tabla6[[#All],[PRODUCTO]],0),MATCH(Tabla4[[#This Row],[Mes]],Tabla6[#Headers],0)))</f>
        <v>#N/A</v>
      </c>
      <c r="R6640" s="282" t="e">
        <f>++Tabla4[[#This Row],[Precio Unitario Neto]]-Tabla4[[#This Row],[20.85%]]-Tabla4[[#This Row],[Costo]]</f>
        <v>#N/A</v>
      </c>
      <c r="S6640" s="282" t="e">
        <f>++Tabla4[[#This Row],[U. Bruta Uni]]*Tabla4[[#This Row],[Cantidad]]</f>
        <v>#N/A</v>
      </c>
      <c r="T6640" s="369" t="str">
        <f>VLOOKUP(Tabla4[[#This Row],[Producto]],Tabla6[#All],14,FALSE)</f>
        <v>Termico Solar</v>
      </c>
      <c r="U6640" s="284" t="e">
        <f>(IF(Tabla4[[#This Row],[Familia]]="termico solar",Tabla4[[#This Row],[Utilidad Total]]*6%,Tabla4[[#This Row],[Utilidad Total]]*11.5%))/Tabla4[[#This Row],[Total]]</f>
        <v>#N/A</v>
      </c>
      <c r="V6640" s="282" t="e">
        <f>+Tabla4[[#This Row],[Comisión Calculada]]*Tabla4[[#This Row],[Total]]</f>
        <v>#N/A</v>
      </c>
    </row>
    <row r="6641" spans="1:22" hidden="1" x14ac:dyDescent="0.25">
      <c r="A6641" s="100">
        <v>45961</v>
      </c>
      <c r="B6641" t="str">
        <f t="shared" si="414"/>
        <v>October</v>
      </c>
      <c r="C6641" s="46" t="s">
        <v>280</v>
      </c>
      <c r="F6641" s="366" t="s">
        <v>3362</v>
      </c>
      <c r="G6641" s="46" t="s">
        <v>16</v>
      </c>
      <c r="H6641" s="46">
        <v>9</v>
      </c>
      <c r="I6641" s="51">
        <v>4103.8500000000004</v>
      </c>
      <c r="J6641" s="281">
        <f>++Tabla4[[#This Row],[Precio Bruto]]*1.16</f>
        <v>4760.4660000000003</v>
      </c>
      <c r="K6641" s="281">
        <f>+Tabla4[[#This Row],[Precio Unitario Neto]]*Tabla4[[#Headers],[20.85%]]</f>
        <v>992.55716100000006</v>
      </c>
      <c r="L6641" s="282">
        <f>++Tabla4[[#This Row],[Precio Unitario Neto]]-Tabla4[[#This Row],[20.85%]]</f>
        <v>3767.9088390000002</v>
      </c>
      <c r="M6641" s="282" t="e">
        <f>(INDEX(Tabla6[#All],MATCH(Tabla4[[#This Row],[Producto]],Tabla6[[#All],[PRODUCTO]],0),MATCH(Tabla4[[#This Row],[Mes]],Tabla6[#Headers],0)))*(1+Catalogos!$L$2)</f>
        <v>#N/A</v>
      </c>
      <c r="N6641" s="283" t="e">
        <f>+(Tabla4[[#This Row],[Precio Descontado]]-Tabla4[[#This Row],[Precio Base]])*Tabla4[[#This Row],[Cantidad]]</f>
        <v>#N/A</v>
      </c>
      <c r="O6641" s="284" t="e">
        <f>++Tabla4[[#This Row],[Utilidad Total]]/Tabla4[[#This Row],[Total]]</f>
        <v>#N/A</v>
      </c>
      <c r="P6641" s="282">
        <f>++Tabla4[[#This Row],[Precio Descontado]]*Tabla4[[#This Row],[Cantidad]]</f>
        <v>33911.179551000001</v>
      </c>
      <c r="Q6641" s="282" t="e">
        <f>(INDEX(Tabla6[#All],MATCH(Tabla4[[#This Row],[Producto]],Tabla6[[#All],[PRODUCTO]],0),MATCH(Tabla4[[#This Row],[Mes]],Tabla6[#Headers],0)))</f>
        <v>#N/A</v>
      </c>
      <c r="R6641" s="282" t="e">
        <f>++Tabla4[[#This Row],[Precio Unitario Neto]]-Tabla4[[#This Row],[20.85%]]-Tabla4[[#This Row],[Costo]]</f>
        <v>#N/A</v>
      </c>
      <c r="S6641" s="282" t="e">
        <f>++Tabla4[[#This Row],[U. Bruta Uni]]*Tabla4[[#This Row],[Cantidad]]</f>
        <v>#N/A</v>
      </c>
      <c r="T6641" s="369" t="str">
        <f>VLOOKUP(Tabla4[[#This Row],[Producto]],Tabla6[#All],14,FALSE)</f>
        <v>Termico Solar</v>
      </c>
      <c r="U6641" s="284" t="e">
        <f>(IF(Tabla4[[#This Row],[Familia]]="termico solar",Tabla4[[#This Row],[Utilidad Total]]*6%,Tabla4[[#This Row],[Utilidad Total]]*11.5%))/Tabla4[[#This Row],[Total]]</f>
        <v>#N/A</v>
      </c>
      <c r="V6641" s="282" t="e">
        <f>+Tabla4[[#This Row],[Comisión Calculada]]*Tabla4[[#This Row],[Total]]</f>
        <v>#N/A</v>
      </c>
    </row>
    <row r="6642" spans="1:22" hidden="1" x14ac:dyDescent="0.25">
      <c r="A6642" s="100">
        <v>45961</v>
      </c>
      <c r="B6642" t="str">
        <f t="shared" ref="B6642:B6645" si="415">TEXT(A6642, "mmmm")</f>
        <v>October</v>
      </c>
      <c r="C6642" s="46" t="s">
        <v>280</v>
      </c>
      <c r="F6642" s="366" t="s">
        <v>3363</v>
      </c>
      <c r="G6642" s="46" t="s">
        <v>83</v>
      </c>
      <c r="H6642" s="46">
        <v>1</v>
      </c>
      <c r="I6642" s="51">
        <v>8858.76</v>
      </c>
      <c r="J6642" s="281">
        <f>++Tabla4[[#This Row],[Precio Bruto]]*1.16</f>
        <v>10276.161599999999</v>
      </c>
      <c r="K6642" s="281">
        <f>+Tabla4[[#This Row],[Precio Unitario Neto]]*Tabla4[[#Headers],[20.85%]]</f>
        <v>2142.5796935999997</v>
      </c>
      <c r="L6642" s="282">
        <f>++Tabla4[[#This Row],[Precio Unitario Neto]]-Tabla4[[#This Row],[20.85%]]</f>
        <v>8133.5819063999998</v>
      </c>
      <c r="M6642" s="282" t="e">
        <f>(INDEX(Tabla6[#All],MATCH(Tabla4[[#This Row],[Producto]],Tabla6[[#All],[PRODUCTO]],0),MATCH(Tabla4[[#This Row],[Mes]],Tabla6[#Headers],0)))*(1+Catalogos!$L$2)</f>
        <v>#N/A</v>
      </c>
      <c r="N6642" s="283" t="e">
        <f>+(Tabla4[[#This Row],[Precio Descontado]]-Tabla4[[#This Row],[Precio Base]])*Tabla4[[#This Row],[Cantidad]]</f>
        <v>#N/A</v>
      </c>
      <c r="O6642" s="284" t="e">
        <f>++Tabla4[[#This Row],[Utilidad Total]]/Tabla4[[#This Row],[Total]]</f>
        <v>#N/A</v>
      </c>
      <c r="P6642" s="282">
        <f>++Tabla4[[#This Row],[Precio Descontado]]*Tabla4[[#This Row],[Cantidad]]</f>
        <v>8133.5819063999998</v>
      </c>
      <c r="Q6642" s="282" t="e">
        <f>(INDEX(Tabla6[#All],MATCH(Tabla4[[#This Row],[Producto]],Tabla6[[#All],[PRODUCTO]],0),MATCH(Tabla4[[#This Row],[Mes]],Tabla6[#Headers],0)))</f>
        <v>#N/A</v>
      </c>
      <c r="R6642" s="282" t="e">
        <f>++Tabla4[[#This Row],[Precio Unitario Neto]]-Tabla4[[#This Row],[20.85%]]-Tabla4[[#This Row],[Costo]]</f>
        <v>#N/A</v>
      </c>
      <c r="S6642" s="282" t="e">
        <f>++Tabla4[[#This Row],[U. Bruta Uni]]*Tabla4[[#This Row],[Cantidad]]</f>
        <v>#N/A</v>
      </c>
      <c r="T6642" s="369" t="str">
        <f>VLOOKUP(Tabla4[[#This Row],[Producto]],Tabla6[#All],14,FALSE)</f>
        <v>Termico Solar</v>
      </c>
      <c r="U6642" s="284" t="e">
        <f>(IF(Tabla4[[#This Row],[Familia]]="termico solar",Tabla4[[#This Row],[Utilidad Total]]*6%,Tabla4[[#This Row],[Utilidad Total]]*11.5%))/Tabla4[[#This Row],[Total]]</f>
        <v>#N/A</v>
      </c>
      <c r="V6642" s="282" t="e">
        <f>+Tabla4[[#This Row],[Comisión Calculada]]*Tabla4[[#This Row],[Total]]</f>
        <v>#N/A</v>
      </c>
    </row>
    <row r="6643" spans="1:22" hidden="1" x14ac:dyDescent="0.25">
      <c r="A6643" s="100">
        <v>45961</v>
      </c>
      <c r="B6643" t="str">
        <f t="shared" si="415"/>
        <v>October</v>
      </c>
      <c r="C6643" s="46" t="s">
        <v>280</v>
      </c>
      <c r="F6643" s="366" t="s">
        <v>3363</v>
      </c>
      <c r="G6643" s="46" t="s">
        <v>17</v>
      </c>
      <c r="H6643" s="46">
        <v>3</v>
      </c>
      <c r="I6643" s="51">
        <v>4622.28</v>
      </c>
      <c r="J6643" s="281">
        <f>++Tabla4[[#This Row],[Precio Bruto]]*1.16</f>
        <v>5361.8447999999989</v>
      </c>
      <c r="K6643" s="281">
        <f>+Tabla4[[#This Row],[Precio Unitario Neto]]*Tabla4[[#Headers],[20.85%]]</f>
        <v>1117.9446407999997</v>
      </c>
      <c r="L6643" s="282">
        <f>++Tabla4[[#This Row],[Precio Unitario Neto]]-Tabla4[[#This Row],[20.85%]]</f>
        <v>4243.9001591999995</v>
      </c>
      <c r="M6643" s="282" t="e">
        <f>(INDEX(Tabla6[#All],MATCH(Tabla4[[#This Row],[Producto]],Tabla6[[#All],[PRODUCTO]],0),MATCH(Tabla4[[#This Row],[Mes]],Tabla6[#Headers],0)))*(1+Catalogos!$L$2)</f>
        <v>#N/A</v>
      </c>
      <c r="N6643" s="283" t="e">
        <f>+(Tabla4[[#This Row],[Precio Descontado]]-Tabla4[[#This Row],[Precio Base]])*Tabla4[[#This Row],[Cantidad]]</f>
        <v>#N/A</v>
      </c>
      <c r="O6643" s="284" t="e">
        <f>++Tabla4[[#This Row],[Utilidad Total]]/Tabla4[[#This Row],[Total]]</f>
        <v>#N/A</v>
      </c>
      <c r="P6643" s="282">
        <f>++Tabla4[[#This Row],[Precio Descontado]]*Tabla4[[#This Row],[Cantidad]]</f>
        <v>12731.700477599999</v>
      </c>
      <c r="Q6643" s="282" t="e">
        <f>(INDEX(Tabla6[#All],MATCH(Tabla4[[#This Row],[Producto]],Tabla6[[#All],[PRODUCTO]],0),MATCH(Tabla4[[#This Row],[Mes]],Tabla6[#Headers],0)))</f>
        <v>#N/A</v>
      </c>
      <c r="R6643" s="282" t="e">
        <f>++Tabla4[[#This Row],[Precio Unitario Neto]]-Tabla4[[#This Row],[20.85%]]-Tabla4[[#This Row],[Costo]]</f>
        <v>#N/A</v>
      </c>
      <c r="S6643" s="282" t="e">
        <f>++Tabla4[[#This Row],[U. Bruta Uni]]*Tabla4[[#This Row],[Cantidad]]</f>
        <v>#N/A</v>
      </c>
      <c r="T6643" s="369" t="str">
        <f>VLOOKUP(Tabla4[[#This Row],[Producto]],Tabla6[#All],14,FALSE)</f>
        <v>Termico Solar</v>
      </c>
      <c r="U6643" s="284" t="e">
        <f>(IF(Tabla4[[#This Row],[Familia]]="termico solar",Tabla4[[#This Row],[Utilidad Total]]*6%,Tabla4[[#This Row],[Utilidad Total]]*11.5%))/Tabla4[[#This Row],[Total]]</f>
        <v>#N/A</v>
      </c>
      <c r="V6643" s="282" t="e">
        <f>+Tabla4[[#This Row],[Comisión Calculada]]*Tabla4[[#This Row],[Total]]</f>
        <v>#N/A</v>
      </c>
    </row>
    <row r="6644" spans="1:22" hidden="1" x14ac:dyDescent="0.25">
      <c r="A6644" s="100">
        <v>45961</v>
      </c>
      <c r="B6644" t="str">
        <f t="shared" si="415"/>
        <v>October</v>
      </c>
      <c r="C6644" s="46" t="s">
        <v>280</v>
      </c>
      <c r="F6644" s="366" t="s">
        <v>3363</v>
      </c>
      <c r="G6644" s="46" t="s">
        <v>18</v>
      </c>
      <c r="H6644" s="46">
        <v>1</v>
      </c>
      <c r="I6644" s="51">
        <v>5367.65</v>
      </c>
      <c r="J6644" s="281">
        <f>++Tabla4[[#This Row],[Precio Bruto]]*1.16</f>
        <v>6226.4739999999993</v>
      </c>
      <c r="K6644" s="281">
        <f>+Tabla4[[#This Row],[Precio Unitario Neto]]*Tabla4[[#Headers],[20.85%]]</f>
        <v>1298.2198289999999</v>
      </c>
      <c r="L6644" s="282">
        <f>++Tabla4[[#This Row],[Precio Unitario Neto]]-Tabla4[[#This Row],[20.85%]]</f>
        <v>4928.2541709999996</v>
      </c>
      <c r="M6644" s="282" t="e">
        <f>(INDEX(Tabla6[#All],MATCH(Tabla4[[#This Row],[Producto]],Tabla6[[#All],[PRODUCTO]],0),MATCH(Tabla4[[#This Row],[Mes]],Tabla6[#Headers],0)))*(1+Catalogos!$L$2)</f>
        <v>#N/A</v>
      </c>
      <c r="N6644" s="283" t="e">
        <f>+(Tabla4[[#This Row],[Precio Descontado]]-Tabla4[[#This Row],[Precio Base]])*Tabla4[[#This Row],[Cantidad]]</f>
        <v>#N/A</v>
      </c>
      <c r="O6644" s="284" t="e">
        <f>++Tabla4[[#This Row],[Utilidad Total]]/Tabla4[[#This Row],[Total]]</f>
        <v>#N/A</v>
      </c>
      <c r="P6644" s="282">
        <f>++Tabla4[[#This Row],[Precio Descontado]]*Tabla4[[#This Row],[Cantidad]]</f>
        <v>4928.2541709999996</v>
      </c>
      <c r="Q6644" s="282" t="e">
        <f>(INDEX(Tabla6[#All],MATCH(Tabla4[[#This Row],[Producto]],Tabla6[[#All],[PRODUCTO]],0),MATCH(Tabla4[[#This Row],[Mes]],Tabla6[#Headers],0)))</f>
        <v>#N/A</v>
      </c>
      <c r="R6644" s="282" t="e">
        <f>++Tabla4[[#This Row],[Precio Unitario Neto]]-Tabla4[[#This Row],[20.85%]]-Tabla4[[#This Row],[Costo]]</f>
        <v>#N/A</v>
      </c>
      <c r="S6644" s="282" t="e">
        <f>++Tabla4[[#This Row],[U. Bruta Uni]]*Tabla4[[#This Row],[Cantidad]]</f>
        <v>#N/A</v>
      </c>
      <c r="T6644" s="369" t="str">
        <f>VLOOKUP(Tabla4[[#This Row],[Producto]],Tabla6[#All],14,FALSE)</f>
        <v>Termico Solar</v>
      </c>
      <c r="U6644" s="284" t="e">
        <f>(IF(Tabla4[[#This Row],[Familia]]="termico solar",Tabla4[[#This Row],[Utilidad Total]]*6%,Tabla4[[#This Row],[Utilidad Total]]*11.5%))/Tabla4[[#This Row],[Total]]</f>
        <v>#N/A</v>
      </c>
      <c r="V6644" s="282" t="e">
        <f>+Tabla4[[#This Row],[Comisión Calculada]]*Tabla4[[#This Row],[Total]]</f>
        <v>#N/A</v>
      </c>
    </row>
    <row r="6645" spans="1:22" hidden="1" x14ac:dyDescent="0.25">
      <c r="A6645" s="100">
        <v>45961</v>
      </c>
      <c r="B6645" t="str">
        <f t="shared" si="415"/>
        <v>October</v>
      </c>
      <c r="C6645" s="46" t="s">
        <v>280</v>
      </c>
      <c r="F6645" s="366" t="s">
        <v>3363</v>
      </c>
      <c r="G6645" s="46" t="s">
        <v>566</v>
      </c>
      <c r="H6645" s="46">
        <v>1</v>
      </c>
      <c r="I6645" s="51">
        <v>2109.4499999999998</v>
      </c>
      <c r="J6645" s="281">
        <f>++Tabla4[[#This Row],[Precio Bruto]]*1.16</f>
        <v>2446.9619999999995</v>
      </c>
      <c r="K6645" s="281">
        <f>+Tabla4[[#This Row],[Precio Unitario Neto]]*Tabla4[[#Headers],[20.85%]]</f>
        <v>510.19157699999988</v>
      </c>
      <c r="L6645" s="282">
        <f>++Tabla4[[#This Row],[Precio Unitario Neto]]-Tabla4[[#This Row],[20.85%]]</f>
        <v>1936.7704229999997</v>
      </c>
      <c r="M6645" s="282" t="e">
        <f>(INDEX(Tabla6[#All],MATCH(Tabla4[[#This Row],[Producto]],Tabla6[[#All],[PRODUCTO]],0),MATCH(Tabla4[[#This Row],[Mes]],Tabla6[#Headers],0)))*(1+Catalogos!$L$2)</f>
        <v>#N/A</v>
      </c>
      <c r="N6645" s="283" t="e">
        <f>+(Tabla4[[#This Row],[Precio Descontado]]-Tabla4[[#This Row],[Precio Base]])*Tabla4[[#This Row],[Cantidad]]</f>
        <v>#N/A</v>
      </c>
      <c r="O6645" s="284" t="e">
        <f>++Tabla4[[#This Row],[Utilidad Total]]/Tabla4[[#This Row],[Total]]</f>
        <v>#N/A</v>
      </c>
      <c r="P6645" s="282">
        <f>++Tabla4[[#This Row],[Precio Descontado]]*Tabla4[[#This Row],[Cantidad]]</f>
        <v>1936.7704229999997</v>
      </c>
      <c r="Q6645" s="282" t="e">
        <f>(INDEX(Tabla6[#All],MATCH(Tabla4[[#This Row],[Producto]],Tabla6[[#All],[PRODUCTO]],0),MATCH(Tabla4[[#This Row],[Mes]],Tabla6[#Headers],0)))</f>
        <v>#N/A</v>
      </c>
      <c r="R6645" s="282" t="e">
        <f>++Tabla4[[#This Row],[Precio Unitario Neto]]-Tabla4[[#This Row],[20.85%]]-Tabla4[[#This Row],[Costo]]</f>
        <v>#N/A</v>
      </c>
      <c r="S6645" s="282" t="e">
        <f>++Tabla4[[#This Row],[U. Bruta Uni]]*Tabla4[[#This Row],[Cantidad]]</f>
        <v>#N/A</v>
      </c>
      <c r="T6645" s="369" t="str">
        <f>VLOOKUP(Tabla4[[#This Row],[Producto]],Tabla6[#All],14,FALSE)</f>
        <v>Termico Solar</v>
      </c>
      <c r="U6645" s="284" t="e">
        <f>(IF(Tabla4[[#This Row],[Familia]]="termico solar",Tabla4[[#This Row],[Utilidad Total]]*6%,Tabla4[[#This Row],[Utilidad Total]]*11.5%))/Tabla4[[#This Row],[Total]]</f>
        <v>#N/A</v>
      </c>
      <c r="V6645" s="282" t="e">
        <f>+Tabla4[[#This Row],[Comisión Calculada]]*Tabla4[[#This Row],[Total]]</f>
        <v>#N/A</v>
      </c>
    </row>
    <row r="6646" spans="1:22" hidden="1" x14ac:dyDescent="0.25">
      <c r="A6646" s="100">
        <v>45961</v>
      </c>
      <c r="B6646" t="str">
        <f t="shared" ref="B6646:B6648" si="416">TEXT(A6646, "mmmm")</f>
        <v>October</v>
      </c>
      <c r="C6646" s="46" t="s">
        <v>280</v>
      </c>
      <c r="F6646" s="366" t="s">
        <v>3364</v>
      </c>
      <c r="G6646" s="46" t="s">
        <v>18</v>
      </c>
      <c r="H6646" s="46">
        <v>1</v>
      </c>
      <c r="I6646" s="51">
        <v>5367.65</v>
      </c>
      <c r="J6646" s="281">
        <f>++Tabla4[[#This Row],[Precio Bruto]]*1.16</f>
        <v>6226.4739999999993</v>
      </c>
      <c r="K6646" s="281">
        <f>+Tabla4[[#This Row],[Precio Unitario Neto]]*Tabla4[[#Headers],[20.85%]]</f>
        <v>1298.2198289999999</v>
      </c>
      <c r="L6646" s="282">
        <f>++Tabla4[[#This Row],[Precio Unitario Neto]]-Tabla4[[#This Row],[20.85%]]</f>
        <v>4928.2541709999996</v>
      </c>
      <c r="M6646" s="282" t="e">
        <f>(INDEX(Tabla6[#All],MATCH(Tabla4[[#This Row],[Producto]],Tabla6[[#All],[PRODUCTO]],0),MATCH(Tabla4[[#This Row],[Mes]],Tabla6[#Headers],0)))*(1+Catalogos!$L$2)</f>
        <v>#N/A</v>
      </c>
      <c r="N6646" s="283" t="e">
        <f>+(Tabla4[[#This Row],[Precio Descontado]]-Tabla4[[#This Row],[Precio Base]])*Tabla4[[#This Row],[Cantidad]]</f>
        <v>#N/A</v>
      </c>
      <c r="O6646" s="284" t="e">
        <f>++Tabla4[[#This Row],[Utilidad Total]]/Tabla4[[#This Row],[Total]]</f>
        <v>#N/A</v>
      </c>
      <c r="P6646" s="282">
        <f>++Tabla4[[#This Row],[Precio Descontado]]*Tabla4[[#This Row],[Cantidad]]</f>
        <v>4928.2541709999996</v>
      </c>
      <c r="Q6646" s="282" t="e">
        <f>(INDEX(Tabla6[#All],MATCH(Tabla4[[#This Row],[Producto]],Tabla6[[#All],[PRODUCTO]],0),MATCH(Tabla4[[#This Row],[Mes]],Tabla6[#Headers],0)))</f>
        <v>#N/A</v>
      </c>
      <c r="R6646" s="282" t="e">
        <f>++Tabla4[[#This Row],[Precio Unitario Neto]]-Tabla4[[#This Row],[20.85%]]-Tabla4[[#This Row],[Costo]]</f>
        <v>#N/A</v>
      </c>
      <c r="S6646" s="282" t="e">
        <f>++Tabla4[[#This Row],[U. Bruta Uni]]*Tabla4[[#This Row],[Cantidad]]</f>
        <v>#N/A</v>
      </c>
      <c r="T6646" s="369" t="str">
        <f>VLOOKUP(Tabla4[[#This Row],[Producto]],Tabla6[#All],14,FALSE)</f>
        <v>Termico Solar</v>
      </c>
      <c r="U6646" s="284" t="e">
        <f>(IF(Tabla4[[#This Row],[Familia]]="termico solar",Tabla4[[#This Row],[Utilidad Total]]*6%,Tabla4[[#This Row],[Utilidad Total]]*11.5%))/Tabla4[[#This Row],[Total]]</f>
        <v>#N/A</v>
      </c>
      <c r="V6646" s="282" t="e">
        <f>+Tabla4[[#This Row],[Comisión Calculada]]*Tabla4[[#This Row],[Total]]</f>
        <v>#N/A</v>
      </c>
    </row>
    <row r="6647" spans="1:22" hidden="1" x14ac:dyDescent="0.25">
      <c r="A6647" s="100">
        <v>45961</v>
      </c>
      <c r="B6647" t="str">
        <f t="shared" si="416"/>
        <v>October</v>
      </c>
      <c r="C6647" s="46" t="s">
        <v>280</v>
      </c>
      <c r="F6647" s="366" t="s">
        <v>3364</v>
      </c>
      <c r="G6647" s="46" t="s">
        <v>16</v>
      </c>
      <c r="H6647" s="46">
        <v>1</v>
      </c>
      <c r="I6647" s="51">
        <v>4103.8500000000004</v>
      </c>
      <c r="J6647" s="281">
        <f>++Tabla4[[#This Row],[Precio Bruto]]*1.16</f>
        <v>4760.4660000000003</v>
      </c>
      <c r="K6647" s="281">
        <f>+Tabla4[[#This Row],[Precio Unitario Neto]]*Tabla4[[#Headers],[20.85%]]</f>
        <v>992.55716100000006</v>
      </c>
      <c r="L6647" s="282">
        <f>++Tabla4[[#This Row],[Precio Unitario Neto]]-Tabla4[[#This Row],[20.85%]]</f>
        <v>3767.9088390000002</v>
      </c>
      <c r="M6647" s="282" t="e">
        <f>(INDEX(Tabla6[#All],MATCH(Tabla4[[#This Row],[Producto]],Tabla6[[#All],[PRODUCTO]],0),MATCH(Tabla4[[#This Row],[Mes]],Tabla6[#Headers],0)))*(1+Catalogos!$L$2)</f>
        <v>#N/A</v>
      </c>
      <c r="N6647" s="283" t="e">
        <f>+(Tabla4[[#This Row],[Precio Descontado]]-Tabla4[[#This Row],[Precio Base]])*Tabla4[[#This Row],[Cantidad]]</f>
        <v>#N/A</v>
      </c>
      <c r="O6647" s="284" t="e">
        <f>++Tabla4[[#This Row],[Utilidad Total]]/Tabla4[[#This Row],[Total]]</f>
        <v>#N/A</v>
      </c>
      <c r="P6647" s="282">
        <f>++Tabla4[[#This Row],[Precio Descontado]]*Tabla4[[#This Row],[Cantidad]]</f>
        <v>3767.9088390000002</v>
      </c>
      <c r="Q6647" s="282" t="e">
        <f>(INDEX(Tabla6[#All],MATCH(Tabla4[[#This Row],[Producto]],Tabla6[[#All],[PRODUCTO]],0),MATCH(Tabla4[[#This Row],[Mes]],Tabla6[#Headers],0)))</f>
        <v>#N/A</v>
      </c>
      <c r="R6647" s="282" t="e">
        <f>++Tabla4[[#This Row],[Precio Unitario Neto]]-Tabla4[[#This Row],[20.85%]]-Tabla4[[#This Row],[Costo]]</f>
        <v>#N/A</v>
      </c>
      <c r="S6647" s="282" t="e">
        <f>++Tabla4[[#This Row],[U. Bruta Uni]]*Tabla4[[#This Row],[Cantidad]]</f>
        <v>#N/A</v>
      </c>
      <c r="T6647" s="369" t="str">
        <f>VLOOKUP(Tabla4[[#This Row],[Producto]],Tabla6[#All],14,FALSE)</f>
        <v>Termico Solar</v>
      </c>
      <c r="U6647" s="284" t="e">
        <f>(IF(Tabla4[[#This Row],[Familia]]="termico solar",Tabla4[[#This Row],[Utilidad Total]]*6%,Tabla4[[#This Row],[Utilidad Total]]*11.5%))/Tabla4[[#This Row],[Total]]</f>
        <v>#N/A</v>
      </c>
      <c r="V6647" s="282" t="e">
        <f>+Tabla4[[#This Row],[Comisión Calculada]]*Tabla4[[#This Row],[Total]]</f>
        <v>#N/A</v>
      </c>
    </row>
    <row r="6648" spans="1:22" hidden="1" x14ac:dyDescent="0.25">
      <c r="A6648" s="100">
        <v>45961</v>
      </c>
      <c r="B6648" t="str">
        <f t="shared" si="416"/>
        <v>October</v>
      </c>
      <c r="C6648" s="46" t="s">
        <v>280</v>
      </c>
      <c r="F6648" s="366" t="s">
        <v>3364</v>
      </c>
      <c r="G6648" s="46" t="s">
        <v>208</v>
      </c>
      <c r="H6648" s="46">
        <v>4</v>
      </c>
      <c r="I6648" s="51">
        <v>189.75</v>
      </c>
      <c r="J6648" s="281">
        <f>++Tabla4[[#This Row],[Precio Bruto]]*1.16</f>
        <v>220.10999999999999</v>
      </c>
      <c r="K6648" s="281">
        <f>+Tabla4[[#This Row],[Precio Unitario Neto]]*Tabla4[[#Headers],[20.85%]]</f>
        <v>45.892934999999994</v>
      </c>
      <c r="L6648" s="282">
        <f>++Tabla4[[#This Row],[Precio Unitario Neto]]-Tabla4[[#This Row],[20.85%]]</f>
        <v>174.21706499999999</v>
      </c>
      <c r="M6648" s="282" t="e">
        <f>(INDEX(Tabla6[#All],MATCH(Tabla4[[#This Row],[Producto]],Tabla6[[#All],[PRODUCTO]],0),MATCH(Tabla4[[#This Row],[Mes]],Tabla6[#Headers],0)))*(1+Catalogos!$L$2)</f>
        <v>#N/A</v>
      </c>
      <c r="N6648" s="283" t="e">
        <f>+(Tabla4[[#This Row],[Precio Descontado]]-Tabla4[[#This Row],[Precio Base]])*Tabla4[[#This Row],[Cantidad]]</f>
        <v>#N/A</v>
      </c>
      <c r="O6648" s="284" t="e">
        <f>++Tabla4[[#This Row],[Utilidad Total]]/Tabla4[[#This Row],[Total]]</f>
        <v>#N/A</v>
      </c>
      <c r="P6648" s="282">
        <f>++Tabla4[[#This Row],[Precio Descontado]]*Tabla4[[#This Row],[Cantidad]]</f>
        <v>696.86825999999996</v>
      </c>
      <c r="Q6648" s="282" t="e">
        <f>(INDEX(Tabla6[#All],MATCH(Tabla4[[#This Row],[Producto]],Tabla6[[#All],[PRODUCTO]],0),MATCH(Tabla4[[#This Row],[Mes]],Tabla6[#Headers],0)))</f>
        <v>#N/A</v>
      </c>
      <c r="R6648" s="282" t="e">
        <f>++Tabla4[[#This Row],[Precio Unitario Neto]]-Tabla4[[#This Row],[20.85%]]-Tabla4[[#This Row],[Costo]]</f>
        <v>#N/A</v>
      </c>
      <c r="S6648" s="282" t="e">
        <f>++Tabla4[[#This Row],[U. Bruta Uni]]*Tabla4[[#This Row],[Cantidad]]</f>
        <v>#N/A</v>
      </c>
      <c r="T6648" s="369" t="str">
        <f>VLOOKUP(Tabla4[[#This Row],[Producto]],Tabla6[#All],14,FALSE)</f>
        <v>Termico Solar</v>
      </c>
      <c r="U6648" s="284" t="e">
        <f>(IF(Tabla4[[#This Row],[Familia]]="termico solar",Tabla4[[#This Row],[Utilidad Total]]*6%,Tabla4[[#This Row],[Utilidad Total]]*11.5%))/Tabla4[[#This Row],[Total]]</f>
        <v>#N/A</v>
      </c>
      <c r="V6648" s="282" t="e">
        <f>+Tabla4[[#This Row],[Comisión Calculada]]*Tabla4[[#This Row],[Total]]</f>
        <v>#N/A</v>
      </c>
    </row>
    <row r="6649" spans="1:22" hidden="1" x14ac:dyDescent="0.25">
      <c r="A6649" s="100">
        <v>45961</v>
      </c>
      <c r="B6649" t="str">
        <f>TEXT(A6649, "mmmm")</f>
        <v>October</v>
      </c>
      <c r="C6649" s="46" t="s">
        <v>280</v>
      </c>
      <c r="F6649" s="366" t="s">
        <v>3365</v>
      </c>
      <c r="G6649" s="46" t="s">
        <v>208</v>
      </c>
      <c r="H6649" s="46">
        <v>6</v>
      </c>
      <c r="I6649" s="51">
        <v>189.75</v>
      </c>
      <c r="J6649" s="281">
        <f>++Tabla4[[#This Row],[Precio Bruto]]*1.16</f>
        <v>220.10999999999999</v>
      </c>
      <c r="K6649" s="281">
        <f>+Tabla4[[#This Row],[Precio Unitario Neto]]*Tabla4[[#Headers],[20.85%]]</f>
        <v>45.892934999999994</v>
      </c>
      <c r="L6649" s="282">
        <f>++Tabla4[[#This Row],[Precio Unitario Neto]]-Tabla4[[#This Row],[20.85%]]</f>
        <v>174.21706499999999</v>
      </c>
      <c r="M6649" s="282" t="e">
        <f>(INDEX(Tabla6[#All],MATCH(Tabla4[[#This Row],[Producto]],Tabla6[[#All],[PRODUCTO]],0),MATCH(Tabla4[[#This Row],[Mes]],Tabla6[#Headers],0)))*(1+Catalogos!$L$2)</f>
        <v>#N/A</v>
      </c>
      <c r="N6649" s="283" t="e">
        <f>+(Tabla4[[#This Row],[Precio Descontado]]-Tabla4[[#This Row],[Precio Base]])*Tabla4[[#This Row],[Cantidad]]</f>
        <v>#N/A</v>
      </c>
      <c r="O6649" s="284" t="e">
        <f>++Tabla4[[#This Row],[Utilidad Total]]/Tabla4[[#This Row],[Total]]</f>
        <v>#N/A</v>
      </c>
      <c r="P6649" s="282">
        <f>++Tabla4[[#This Row],[Precio Descontado]]*Tabla4[[#This Row],[Cantidad]]</f>
        <v>1045.3023899999998</v>
      </c>
      <c r="Q6649" s="282" t="e">
        <f>(INDEX(Tabla6[#All],MATCH(Tabla4[[#This Row],[Producto]],Tabla6[[#All],[PRODUCTO]],0),MATCH(Tabla4[[#This Row],[Mes]],Tabla6[#Headers],0)))</f>
        <v>#N/A</v>
      </c>
      <c r="R6649" s="282" t="e">
        <f>++Tabla4[[#This Row],[Precio Unitario Neto]]-Tabla4[[#This Row],[20.85%]]-Tabla4[[#This Row],[Costo]]</f>
        <v>#N/A</v>
      </c>
      <c r="S6649" s="282" t="e">
        <f>++Tabla4[[#This Row],[U. Bruta Uni]]*Tabla4[[#This Row],[Cantidad]]</f>
        <v>#N/A</v>
      </c>
      <c r="T6649" s="369" t="str">
        <f>VLOOKUP(Tabla4[[#This Row],[Producto]],Tabla6[#All],14,FALSE)</f>
        <v>Termico Solar</v>
      </c>
      <c r="U6649" s="284" t="e">
        <f>(IF(Tabla4[[#This Row],[Familia]]="termico solar",Tabla4[[#This Row],[Utilidad Total]]*6%,Tabla4[[#This Row],[Utilidad Total]]*11.5%))/Tabla4[[#This Row],[Total]]</f>
        <v>#N/A</v>
      </c>
      <c r="V6649" s="282" t="e">
        <f>+Tabla4[[#This Row],[Comisión Calculada]]*Tabla4[[#This Row],[Total]]</f>
        <v>#N/A</v>
      </c>
    </row>
    <row r="6650" spans="1:22" hidden="1" x14ac:dyDescent="0.25">
      <c r="A6650" s="100">
        <v>45961</v>
      </c>
      <c r="B6650" t="str">
        <f>TEXT(A6650, "mmmm")</f>
        <v>October</v>
      </c>
      <c r="C6650" s="46" t="s">
        <v>280</v>
      </c>
      <c r="F6650" s="366" t="s">
        <v>3366</v>
      </c>
      <c r="G6650" s="46" t="s">
        <v>17</v>
      </c>
      <c r="H6650" s="46">
        <v>1</v>
      </c>
      <c r="I6650" s="51">
        <v>4622.28</v>
      </c>
      <c r="J6650" s="281">
        <f>++Tabla4[[#This Row],[Precio Bruto]]*1.16</f>
        <v>5361.8447999999989</v>
      </c>
      <c r="K6650" s="281">
        <f>+Tabla4[[#This Row],[Precio Unitario Neto]]*Tabla4[[#Headers],[20.85%]]</f>
        <v>1117.9446407999997</v>
      </c>
      <c r="L6650" s="282">
        <f>++Tabla4[[#This Row],[Precio Unitario Neto]]-Tabla4[[#This Row],[20.85%]]</f>
        <v>4243.9001591999995</v>
      </c>
      <c r="M6650" s="282" t="e">
        <f>(INDEX(Tabla6[#All],MATCH(Tabla4[[#This Row],[Producto]],Tabla6[[#All],[PRODUCTO]],0),MATCH(Tabla4[[#This Row],[Mes]],Tabla6[#Headers],0)))*(1+Catalogos!$L$2)</f>
        <v>#N/A</v>
      </c>
      <c r="N6650" s="283" t="e">
        <f>+(Tabla4[[#This Row],[Precio Descontado]]-Tabla4[[#This Row],[Precio Base]])*Tabla4[[#This Row],[Cantidad]]</f>
        <v>#N/A</v>
      </c>
      <c r="O6650" s="284" t="e">
        <f>++Tabla4[[#This Row],[Utilidad Total]]/Tabla4[[#This Row],[Total]]</f>
        <v>#N/A</v>
      </c>
      <c r="P6650" s="282">
        <f>++Tabla4[[#This Row],[Precio Descontado]]*Tabla4[[#This Row],[Cantidad]]</f>
        <v>4243.9001591999995</v>
      </c>
      <c r="Q6650" s="282" t="e">
        <f>(INDEX(Tabla6[#All],MATCH(Tabla4[[#This Row],[Producto]],Tabla6[[#All],[PRODUCTO]],0),MATCH(Tabla4[[#This Row],[Mes]],Tabla6[#Headers],0)))</f>
        <v>#N/A</v>
      </c>
      <c r="R6650" s="282" t="e">
        <f>++Tabla4[[#This Row],[Precio Unitario Neto]]-Tabla4[[#This Row],[20.85%]]-Tabla4[[#This Row],[Costo]]</f>
        <v>#N/A</v>
      </c>
      <c r="S6650" s="282" t="e">
        <f>++Tabla4[[#This Row],[U. Bruta Uni]]*Tabla4[[#This Row],[Cantidad]]</f>
        <v>#N/A</v>
      </c>
      <c r="T6650" s="369" t="str">
        <f>VLOOKUP(Tabla4[[#This Row],[Producto]],Tabla6[#All],14,FALSE)</f>
        <v>Termico Solar</v>
      </c>
      <c r="U6650" s="284" t="e">
        <f>(IF(Tabla4[[#This Row],[Familia]]="termico solar",Tabla4[[#This Row],[Utilidad Total]]*6%,Tabla4[[#This Row],[Utilidad Total]]*11.5%))/Tabla4[[#This Row],[Total]]</f>
        <v>#N/A</v>
      </c>
      <c r="V6650" s="282" t="e">
        <f>+Tabla4[[#This Row],[Comisión Calculada]]*Tabla4[[#This Row],[Total]]</f>
        <v>#N/A</v>
      </c>
    </row>
    <row r="6651" spans="1:22" hidden="1" x14ac:dyDescent="0.25">
      <c r="A6651" s="100">
        <v>45961</v>
      </c>
      <c r="B6651" t="str">
        <f t="shared" ref="B6651:B6654" si="417">TEXT(A6651, "mmmm")</f>
        <v>October</v>
      </c>
      <c r="C6651" s="46" t="s">
        <v>280</v>
      </c>
      <c r="F6651" s="366" t="s">
        <v>3367</v>
      </c>
      <c r="G6651" s="46" t="s">
        <v>83</v>
      </c>
      <c r="H6651" s="46">
        <v>1</v>
      </c>
      <c r="I6651" s="51">
        <v>8858.76</v>
      </c>
      <c r="J6651" s="281">
        <f>++Tabla4[[#This Row],[Precio Bruto]]*1.16</f>
        <v>10276.161599999999</v>
      </c>
      <c r="K6651" s="281">
        <f>+Tabla4[[#This Row],[Precio Unitario Neto]]*Tabla4[[#Headers],[20.85%]]</f>
        <v>2142.5796935999997</v>
      </c>
      <c r="L6651" s="282">
        <f>++Tabla4[[#This Row],[Precio Unitario Neto]]-Tabla4[[#This Row],[20.85%]]</f>
        <v>8133.5819063999998</v>
      </c>
      <c r="M6651" s="282" t="e">
        <f>(INDEX(Tabla6[#All],MATCH(Tabla4[[#This Row],[Producto]],Tabla6[[#All],[PRODUCTO]],0),MATCH(Tabla4[[#This Row],[Mes]],Tabla6[#Headers],0)))*(1+Catalogos!$L$2)</f>
        <v>#N/A</v>
      </c>
      <c r="N6651" s="283" t="e">
        <f>+(Tabla4[[#This Row],[Precio Descontado]]-Tabla4[[#This Row],[Precio Base]])*Tabla4[[#This Row],[Cantidad]]</f>
        <v>#N/A</v>
      </c>
      <c r="O6651" s="284" t="e">
        <f>++Tabla4[[#This Row],[Utilidad Total]]/Tabla4[[#This Row],[Total]]</f>
        <v>#N/A</v>
      </c>
      <c r="P6651" s="282">
        <f>++Tabla4[[#This Row],[Precio Descontado]]*Tabla4[[#This Row],[Cantidad]]</f>
        <v>8133.5819063999998</v>
      </c>
      <c r="Q6651" s="282" t="e">
        <f>(INDEX(Tabla6[#All],MATCH(Tabla4[[#This Row],[Producto]],Tabla6[[#All],[PRODUCTO]],0),MATCH(Tabla4[[#This Row],[Mes]],Tabla6[#Headers],0)))</f>
        <v>#N/A</v>
      </c>
      <c r="R6651" s="282" t="e">
        <f>++Tabla4[[#This Row],[Precio Unitario Neto]]-Tabla4[[#This Row],[20.85%]]-Tabla4[[#This Row],[Costo]]</f>
        <v>#N/A</v>
      </c>
      <c r="S6651" s="282" t="e">
        <f>++Tabla4[[#This Row],[U. Bruta Uni]]*Tabla4[[#This Row],[Cantidad]]</f>
        <v>#N/A</v>
      </c>
      <c r="T6651" s="369" t="str">
        <f>VLOOKUP(Tabla4[[#This Row],[Producto]],Tabla6[#All],14,FALSE)</f>
        <v>Termico Solar</v>
      </c>
      <c r="U6651" s="284" t="e">
        <f>(IF(Tabla4[[#This Row],[Familia]]="termico solar",Tabla4[[#This Row],[Utilidad Total]]*6%,Tabla4[[#This Row],[Utilidad Total]]*11.5%))/Tabla4[[#This Row],[Total]]</f>
        <v>#N/A</v>
      </c>
      <c r="V6651" s="282" t="e">
        <f>+Tabla4[[#This Row],[Comisión Calculada]]*Tabla4[[#This Row],[Total]]</f>
        <v>#N/A</v>
      </c>
    </row>
    <row r="6652" spans="1:22" hidden="1" x14ac:dyDescent="0.25">
      <c r="A6652" s="100">
        <v>45961</v>
      </c>
      <c r="B6652" t="str">
        <f t="shared" si="417"/>
        <v>October</v>
      </c>
      <c r="C6652" s="46" t="s">
        <v>280</v>
      </c>
      <c r="F6652" s="366" t="s">
        <v>3367</v>
      </c>
      <c r="G6652" s="46" t="s">
        <v>17</v>
      </c>
      <c r="H6652" s="46">
        <v>5</v>
      </c>
      <c r="I6652" s="51">
        <v>4622.2800000000007</v>
      </c>
      <c r="J6652" s="281">
        <f>++Tabla4[[#This Row],[Precio Bruto]]*1.16</f>
        <v>5361.8448000000008</v>
      </c>
      <c r="K6652" s="281">
        <f>+Tabla4[[#This Row],[Precio Unitario Neto]]*Tabla4[[#Headers],[20.85%]]</f>
        <v>1117.9446408000001</v>
      </c>
      <c r="L6652" s="282">
        <f>++Tabla4[[#This Row],[Precio Unitario Neto]]-Tabla4[[#This Row],[20.85%]]</f>
        <v>4243.9001592000004</v>
      </c>
      <c r="M6652" s="282" t="e">
        <f>(INDEX(Tabla6[#All],MATCH(Tabla4[[#This Row],[Producto]],Tabla6[[#All],[PRODUCTO]],0),MATCH(Tabla4[[#This Row],[Mes]],Tabla6[#Headers],0)))*(1+Catalogos!$L$2)</f>
        <v>#N/A</v>
      </c>
      <c r="N6652" s="283" t="e">
        <f>+(Tabla4[[#This Row],[Precio Descontado]]-Tabla4[[#This Row],[Precio Base]])*Tabla4[[#This Row],[Cantidad]]</f>
        <v>#N/A</v>
      </c>
      <c r="O6652" s="284" t="e">
        <f>++Tabla4[[#This Row],[Utilidad Total]]/Tabla4[[#This Row],[Total]]</f>
        <v>#N/A</v>
      </c>
      <c r="P6652" s="282">
        <f>++Tabla4[[#This Row],[Precio Descontado]]*Tabla4[[#This Row],[Cantidad]]</f>
        <v>21219.500796</v>
      </c>
      <c r="Q6652" s="282" t="e">
        <f>(INDEX(Tabla6[#All],MATCH(Tabla4[[#This Row],[Producto]],Tabla6[[#All],[PRODUCTO]],0),MATCH(Tabla4[[#This Row],[Mes]],Tabla6[#Headers],0)))</f>
        <v>#N/A</v>
      </c>
      <c r="R6652" s="282" t="e">
        <f>++Tabla4[[#This Row],[Precio Unitario Neto]]-Tabla4[[#This Row],[20.85%]]-Tabla4[[#This Row],[Costo]]</f>
        <v>#N/A</v>
      </c>
      <c r="S6652" s="282" t="e">
        <f>++Tabla4[[#This Row],[U. Bruta Uni]]*Tabla4[[#This Row],[Cantidad]]</f>
        <v>#N/A</v>
      </c>
      <c r="T6652" s="369" t="str">
        <f>VLOOKUP(Tabla4[[#This Row],[Producto]],Tabla6[#All],14,FALSE)</f>
        <v>Termico Solar</v>
      </c>
      <c r="U6652" s="284" t="e">
        <f>(IF(Tabla4[[#This Row],[Familia]]="termico solar",Tabla4[[#This Row],[Utilidad Total]]*6%,Tabla4[[#This Row],[Utilidad Total]]*11.5%))/Tabla4[[#This Row],[Total]]</f>
        <v>#N/A</v>
      </c>
      <c r="V6652" s="282" t="e">
        <f>+Tabla4[[#This Row],[Comisión Calculada]]*Tabla4[[#This Row],[Total]]</f>
        <v>#N/A</v>
      </c>
    </row>
    <row r="6653" spans="1:22" hidden="1" x14ac:dyDescent="0.25">
      <c r="A6653" s="100">
        <v>45961</v>
      </c>
      <c r="B6653" t="str">
        <f t="shared" si="417"/>
        <v>October</v>
      </c>
      <c r="C6653" s="46" t="s">
        <v>280</v>
      </c>
      <c r="F6653" s="366" t="s">
        <v>3367</v>
      </c>
      <c r="G6653" s="46" t="s">
        <v>18</v>
      </c>
      <c r="H6653" s="46">
        <v>2</v>
      </c>
      <c r="I6653" s="51">
        <v>5367.65</v>
      </c>
      <c r="J6653" s="281">
        <f>++Tabla4[[#This Row],[Precio Bruto]]*1.16</f>
        <v>6226.4739999999993</v>
      </c>
      <c r="K6653" s="281">
        <f>+Tabla4[[#This Row],[Precio Unitario Neto]]*Tabla4[[#Headers],[20.85%]]</f>
        <v>1298.2198289999999</v>
      </c>
      <c r="L6653" s="282">
        <f>++Tabla4[[#This Row],[Precio Unitario Neto]]-Tabla4[[#This Row],[20.85%]]</f>
        <v>4928.2541709999996</v>
      </c>
      <c r="M6653" s="282" t="e">
        <f>(INDEX(Tabla6[#All],MATCH(Tabla4[[#This Row],[Producto]],Tabla6[[#All],[PRODUCTO]],0),MATCH(Tabla4[[#This Row],[Mes]],Tabla6[#Headers],0)))*(1+Catalogos!$L$2)</f>
        <v>#N/A</v>
      </c>
      <c r="N6653" s="283" t="e">
        <f>+(Tabla4[[#This Row],[Precio Descontado]]-Tabla4[[#This Row],[Precio Base]])*Tabla4[[#This Row],[Cantidad]]</f>
        <v>#N/A</v>
      </c>
      <c r="O6653" s="284" t="e">
        <f>++Tabla4[[#This Row],[Utilidad Total]]/Tabla4[[#This Row],[Total]]</f>
        <v>#N/A</v>
      </c>
      <c r="P6653" s="282">
        <f>++Tabla4[[#This Row],[Precio Descontado]]*Tabla4[[#This Row],[Cantidad]]</f>
        <v>9856.5083419999992</v>
      </c>
      <c r="Q6653" s="282" t="e">
        <f>(INDEX(Tabla6[#All],MATCH(Tabla4[[#This Row],[Producto]],Tabla6[[#All],[PRODUCTO]],0),MATCH(Tabla4[[#This Row],[Mes]],Tabla6[#Headers],0)))</f>
        <v>#N/A</v>
      </c>
      <c r="R6653" s="282" t="e">
        <f>++Tabla4[[#This Row],[Precio Unitario Neto]]-Tabla4[[#This Row],[20.85%]]-Tabla4[[#This Row],[Costo]]</f>
        <v>#N/A</v>
      </c>
      <c r="S6653" s="282" t="e">
        <f>++Tabla4[[#This Row],[U. Bruta Uni]]*Tabla4[[#This Row],[Cantidad]]</f>
        <v>#N/A</v>
      </c>
      <c r="T6653" s="369" t="str">
        <f>VLOOKUP(Tabla4[[#This Row],[Producto]],Tabla6[#All],14,FALSE)</f>
        <v>Termico Solar</v>
      </c>
      <c r="U6653" s="284" t="e">
        <f>(IF(Tabla4[[#This Row],[Familia]]="termico solar",Tabla4[[#This Row],[Utilidad Total]]*6%,Tabla4[[#This Row],[Utilidad Total]]*11.5%))/Tabla4[[#This Row],[Total]]</f>
        <v>#N/A</v>
      </c>
      <c r="V6653" s="282" t="e">
        <f>+Tabla4[[#This Row],[Comisión Calculada]]*Tabla4[[#This Row],[Total]]</f>
        <v>#N/A</v>
      </c>
    </row>
    <row r="6654" spans="1:22" hidden="1" x14ac:dyDescent="0.25">
      <c r="A6654" s="100">
        <v>45961</v>
      </c>
      <c r="B6654" t="str">
        <f t="shared" si="417"/>
        <v>October</v>
      </c>
      <c r="C6654" s="46" t="s">
        <v>280</v>
      </c>
      <c r="F6654" s="366" t="s">
        <v>3367</v>
      </c>
      <c r="G6654" s="46" t="s">
        <v>16</v>
      </c>
      <c r="H6654" s="46">
        <v>2</v>
      </c>
      <c r="I6654" s="51">
        <v>4103.8500000000004</v>
      </c>
      <c r="J6654" s="281">
        <f>++Tabla4[[#This Row],[Precio Bruto]]*1.16</f>
        <v>4760.4660000000003</v>
      </c>
      <c r="K6654" s="281">
        <f>+Tabla4[[#This Row],[Precio Unitario Neto]]*Tabla4[[#Headers],[20.85%]]</f>
        <v>992.55716100000006</v>
      </c>
      <c r="L6654" s="282">
        <f>++Tabla4[[#This Row],[Precio Unitario Neto]]-Tabla4[[#This Row],[20.85%]]</f>
        <v>3767.9088390000002</v>
      </c>
      <c r="M6654" s="282" t="e">
        <f>(INDEX(Tabla6[#All],MATCH(Tabla4[[#This Row],[Producto]],Tabla6[[#All],[PRODUCTO]],0),MATCH(Tabla4[[#This Row],[Mes]],Tabla6[#Headers],0)))*(1+Catalogos!$L$2)</f>
        <v>#N/A</v>
      </c>
      <c r="N6654" s="283" t="e">
        <f>+(Tabla4[[#This Row],[Precio Descontado]]-Tabla4[[#This Row],[Precio Base]])*Tabla4[[#This Row],[Cantidad]]</f>
        <v>#N/A</v>
      </c>
      <c r="O6654" s="284" t="e">
        <f>++Tabla4[[#This Row],[Utilidad Total]]/Tabla4[[#This Row],[Total]]</f>
        <v>#N/A</v>
      </c>
      <c r="P6654" s="282">
        <f>++Tabla4[[#This Row],[Precio Descontado]]*Tabla4[[#This Row],[Cantidad]]</f>
        <v>7535.8176780000003</v>
      </c>
      <c r="Q6654" s="282" t="e">
        <f>(INDEX(Tabla6[#All],MATCH(Tabla4[[#This Row],[Producto]],Tabla6[[#All],[PRODUCTO]],0),MATCH(Tabla4[[#This Row],[Mes]],Tabla6[#Headers],0)))</f>
        <v>#N/A</v>
      </c>
      <c r="R6654" s="282" t="e">
        <f>++Tabla4[[#This Row],[Precio Unitario Neto]]-Tabla4[[#This Row],[20.85%]]-Tabla4[[#This Row],[Costo]]</f>
        <v>#N/A</v>
      </c>
      <c r="S6654" s="282" t="e">
        <f>++Tabla4[[#This Row],[U. Bruta Uni]]*Tabla4[[#This Row],[Cantidad]]</f>
        <v>#N/A</v>
      </c>
      <c r="T6654" s="369" t="str">
        <f>VLOOKUP(Tabla4[[#This Row],[Producto]],Tabla6[#All],14,FALSE)</f>
        <v>Termico Solar</v>
      </c>
      <c r="U6654" s="284" t="e">
        <f>(IF(Tabla4[[#This Row],[Familia]]="termico solar",Tabla4[[#This Row],[Utilidad Total]]*6%,Tabla4[[#This Row],[Utilidad Total]]*11.5%))/Tabla4[[#This Row],[Total]]</f>
        <v>#N/A</v>
      </c>
      <c r="V6654" s="282" t="e">
        <f>+Tabla4[[#This Row],[Comisión Calculada]]*Tabla4[[#This Row],[Total]]</f>
        <v>#N/A</v>
      </c>
    </row>
    <row r="6655" spans="1:22" hidden="1" x14ac:dyDescent="0.25">
      <c r="A6655" s="100">
        <v>45961</v>
      </c>
      <c r="B6655" t="str">
        <f t="shared" ref="B6655:B6657" si="418">TEXT(A6655, "mmmm")</f>
        <v>October</v>
      </c>
      <c r="C6655" s="46" t="s">
        <v>280</v>
      </c>
      <c r="F6655" s="366" t="s">
        <v>3368</v>
      </c>
      <c r="G6655" s="46" t="s">
        <v>83</v>
      </c>
      <c r="H6655" s="46">
        <v>3</v>
      </c>
      <c r="I6655" s="51">
        <v>8858.76</v>
      </c>
      <c r="J6655" s="281">
        <f>++Tabla4[[#This Row],[Precio Bruto]]*1.16</f>
        <v>10276.161599999999</v>
      </c>
      <c r="K6655" s="281">
        <f>+Tabla4[[#This Row],[Precio Unitario Neto]]*Tabla4[[#Headers],[20.85%]]</f>
        <v>2142.5796935999997</v>
      </c>
      <c r="L6655" s="282">
        <f>++Tabla4[[#This Row],[Precio Unitario Neto]]-Tabla4[[#This Row],[20.85%]]</f>
        <v>8133.5819063999998</v>
      </c>
      <c r="M6655" s="282" t="e">
        <f>(INDEX(Tabla6[#All],MATCH(Tabla4[[#This Row],[Producto]],Tabla6[[#All],[PRODUCTO]],0),MATCH(Tabla4[[#This Row],[Mes]],Tabla6[#Headers],0)))*(1+Catalogos!$L$2)</f>
        <v>#N/A</v>
      </c>
      <c r="N6655" s="283" t="e">
        <f>+(Tabla4[[#This Row],[Precio Descontado]]-Tabla4[[#This Row],[Precio Base]])*Tabla4[[#This Row],[Cantidad]]</f>
        <v>#N/A</v>
      </c>
      <c r="O6655" s="284" t="e">
        <f>++Tabla4[[#This Row],[Utilidad Total]]/Tabla4[[#This Row],[Total]]</f>
        <v>#N/A</v>
      </c>
      <c r="P6655" s="282">
        <f>++Tabla4[[#This Row],[Precio Descontado]]*Tabla4[[#This Row],[Cantidad]]</f>
        <v>24400.7457192</v>
      </c>
      <c r="Q6655" s="282" t="e">
        <f>(INDEX(Tabla6[#All],MATCH(Tabla4[[#This Row],[Producto]],Tabla6[[#All],[PRODUCTO]],0),MATCH(Tabla4[[#This Row],[Mes]],Tabla6[#Headers],0)))</f>
        <v>#N/A</v>
      </c>
      <c r="R6655" s="282" t="e">
        <f>++Tabla4[[#This Row],[Precio Unitario Neto]]-Tabla4[[#This Row],[20.85%]]-Tabla4[[#This Row],[Costo]]</f>
        <v>#N/A</v>
      </c>
      <c r="S6655" s="282" t="e">
        <f>++Tabla4[[#This Row],[U. Bruta Uni]]*Tabla4[[#This Row],[Cantidad]]</f>
        <v>#N/A</v>
      </c>
      <c r="T6655" s="369" t="str">
        <f>VLOOKUP(Tabla4[[#This Row],[Producto]],Tabla6[#All],14,FALSE)</f>
        <v>Termico Solar</v>
      </c>
      <c r="U6655" s="284" t="e">
        <f>(IF(Tabla4[[#This Row],[Familia]]="termico solar",Tabla4[[#This Row],[Utilidad Total]]*6%,Tabla4[[#This Row],[Utilidad Total]]*11.5%))/Tabla4[[#This Row],[Total]]</f>
        <v>#N/A</v>
      </c>
      <c r="V6655" s="282" t="e">
        <f>+Tabla4[[#This Row],[Comisión Calculada]]*Tabla4[[#This Row],[Total]]</f>
        <v>#N/A</v>
      </c>
    </row>
    <row r="6656" spans="1:22" hidden="1" x14ac:dyDescent="0.25">
      <c r="A6656" s="100">
        <v>45961</v>
      </c>
      <c r="B6656" t="str">
        <f t="shared" si="418"/>
        <v>October</v>
      </c>
      <c r="C6656" s="46" t="s">
        <v>280</v>
      </c>
      <c r="F6656" s="366" t="s">
        <v>3368</v>
      </c>
      <c r="G6656" s="46" t="s">
        <v>17</v>
      </c>
      <c r="H6656" s="46">
        <v>2</v>
      </c>
      <c r="I6656" s="51">
        <v>4622.28</v>
      </c>
      <c r="J6656" s="281">
        <f>++Tabla4[[#This Row],[Precio Bruto]]*1.16</f>
        <v>5361.8447999999989</v>
      </c>
      <c r="K6656" s="281">
        <f>+Tabla4[[#This Row],[Precio Unitario Neto]]*Tabla4[[#Headers],[20.85%]]</f>
        <v>1117.9446407999997</v>
      </c>
      <c r="L6656" s="282">
        <f>++Tabla4[[#This Row],[Precio Unitario Neto]]-Tabla4[[#This Row],[20.85%]]</f>
        <v>4243.9001591999995</v>
      </c>
      <c r="M6656" s="282" t="e">
        <f>(INDEX(Tabla6[#All],MATCH(Tabla4[[#This Row],[Producto]],Tabla6[[#All],[PRODUCTO]],0),MATCH(Tabla4[[#This Row],[Mes]],Tabla6[#Headers],0)))*(1+Catalogos!$L$2)</f>
        <v>#N/A</v>
      </c>
      <c r="N6656" s="283" t="e">
        <f>+(Tabla4[[#This Row],[Precio Descontado]]-Tabla4[[#This Row],[Precio Base]])*Tabla4[[#This Row],[Cantidad]]</f>
        <v>#N/A</v>
      </c>
      <c r="O6656" s="284" t="e">
        <f>++Tabla4[[#This Row],[Utilidad Total]]/Tabla4[[#This Row],[Total]]</f>
        <v>#N/A</v>
      </c>
      <c r="P6656" s="282">
        <f>++Tabla4[[#This Row],[Precio Descontado]]*Tabla4[[#This Row],[Cantidad]]</f>
        <v>8487.800318399999</v>
      </c>
      <c r="Q6656" s="282" t="e">
        <f>(INDEX(Tabla6[#All],MATCH(Tabla4[[#This Row],[Producto]],Tabla6[[#All],[PRODUCTO]],0),MATCH(Tabla4[[#This Row],[Mes]],Tabla6[#Headers],0)))</f>
        <v>#N/A</v>
      </c>
      <c r="R6656" s="282" t="e">
        <f>++Tabla4[[#This Row],[Precio Unitario Neto]]-Tabla4[[#This Row],[20.85%]]-Tabla4[[#This Row],[Costo]]</f>
        <v>#N/A</v>
      </c>
      <c r="S6656" s="282" t="e">
        <f>++Tabla4[[#This Row],[U. Bruta Uni]]*Tabla4[[#This Row],[Cantidad]]</f>
        <v>#N/A</v>
      </c>
      <c r="T6656" s="369" t="str">
        <f>VLOOKUP(Tabla4[[#This Row],[Producto]],Tabla6[#All],14,FALSE)</f>
        <v>Termico Solar</v>
      </c>
      <c r="U6656" s="284" t="e">
        <f>(IF(Tabla4[[#This Row],[Familia]]="termico solar",Tabla4[[#This Row],[Utilidad Total]]*6%,Tabla4[[#This Row],[Utilidad Total]]*11.5%))/Tabla4[[#This Row],[Total]]</f>
        <v>#N/A</v>
      </c>
      <c r="V6656" s="282" t="e">
        <f>+Tabla4[[#This Row],[Comisión Calculada]]*Tabla4[[#This Row],[Total]]</f>
        <v>#N/A</v>
      </c>
    </row>
    <row r="6657" spans="1:22" hidden="1" x14ac:dyDescent="0.25">
      <c r="A6657" s="100">
        <v>45961</v>
      </c>
      <c r="B6657" t="str">
        <f t="shared" si="418"/>
        <v>October</v>
      </c>
      <c r="C6657" s="46" t="s">
        <v>280</v>
      </c>
      <c r="F6657" s="366" t="s">
        <v>3368</v>
      </c>
      <c r="G6657" s="46" t="s">
        <v>566</v>
      </c>
      <c r="H6657" s="46">
        <v>2</v>
      </c>
      <c r="I6657" s="51">
        <v>2109.4499999999998</v>
      </c>
      <c r="J6657" s="281">
        <f>++Tabla4[[#This Row],[Precio Bruto]]*1.16</f>
        <v>2446.9619999999995</v>
      </c>
      <c r="K6657" s="281">
        <f>+Tabla4[[#This Row],[Precio Unitario Neto]]*Tabla4[[#Headers],[20.85%]]</f>
        <v>510.19157699999988</v>
      </c>
      <c r="L6657" s="282">
        <f>++Tabla4[[#This Row],[Precio Unitario Neto]]-Tabla4[[#This Row],[20.85%]]</f>
        <v>1936.7704229999997</v>
      </c>
      <c r="M6657" s="282" t="e">
        <f>(INDEX(Tabla6[#All],MATCH(Tabla4[[#This Row],[Producto]],Tabla6[[#All],[PRODUCTO]],0),MATCH(Tabla4[[#This Row],[Mes]],Tabla6[#Headers],0)))*(1+Catalogos!$L$2)</f>
        <v>#N/A</v>
      </c>
      <c r="N6657" s="283" t="e">
        <f>+(Tabla4[[#This Row],[Precio Descontado]]-Tabla4[[#This Row],[Precio Base]])*Tabla4[[#This Row],[Cantidad]]</f>
        <v>#N/A</v>
      </c>
      <c r="O6657" s="284" t="e">
        <f>++Tabla4[[#This Row],[Utilidad Total]]/Tabla4[[#This Row],[Total]]</f>
        <v>#N/A</v>
      </c>
      <c r="P6657" s="282">
        <f>++Tabla4[[#This Row],[Precio Descontado]]*Tabla4[[#This Row],[Cantidad]]</f>
        <v>3873.5408459999994</v>
      </c>
      <c r="Q6657" s="282" t="e">
        <f>(INDEX(Tabla6[#All],MATCH(Tabla4[[#This Row],[Producto]],Tabla6[[#All],[PRODUCTO]],0),MATCH(Tabla4[[#This Row],[Mes]],Tabla6[#Headers],0)))</f>
        <v>#N/A</v>
      </c>
      <c r="R6657" s="282" t="e">
        <f>++Tabla4[[#This Row],[Precio Unitario Neto]]-Tabla4[[#This Row],[20.85%]]-Tabla4[[#This Row],[Costo]]</f>
        <v>#N/A</v>
      </c>
      <c r="S6657" s="282" t="e">
        <f>++Tabla4[[#This Row],[U. Bruta Uni]]*Tabla4[[#This Row],[Cantidad]]</f>
        <v>#N/A</v>
      </c>
      <c r="T6657" s="369" t="str">
        <f>VLOOKUP(Tabla4[[#This Row],[Producto]],Tabla6[#All],14,FALSE)</f>
        <v>Termico Solar</v>
      </c>
      <c r="U6657" s="284" t="e">
        <f>(IF(Tabla4[[#This Row],[Familia]]="termico solar",Tabla4[[#This Row],[Utilidad Total]]*6%,Tabla4[[#This Row],[Utilidad Total]]*11.5%))/Tabla4[[#This Row],[Total]]</f>
        <v>#N/A</v>
      </c>
      <c r="V6657" s="282" t="e">
        <f>+Tabla4[[#This Row],[Comisión Calculada]]*Tabla4[[#This Row],[Total]]</f>
        <v>#N/A</v>
      </c>
    </row>
    <row r="6658" spans="1:22" hidden="1" x14ac:dyDescent="0.25">
      <c r="A6658" s="100">
        <v>45961</v>
      </c>
      <c r="B6658" t="str">
        <f t="shared" ref="B6658:B6659" si="419">TEXT(A6658, "mmmm")</f>
        <v>October</v>
      </c>
      <c r="C6658" s="46" t="s">
        <v>280</v>
      </c>
      <c r="F6658" s="366" t="s">
        <v>3369</v>
      </c>
      <c r="G6658" s="46" t="s">
        <v>566</v>
      </c>
      <c r="H6658" s="46">
        <v>1</v>
      </c>
      <c r="I6658" s="51">
        <v>2109.4499999999998</v>
      </c>
      <c r="J6658" s="281">
        <f>++Tabla4[[#This Row],[Precio Bruto]]*1.16</f>
        <v>2446.9619999999995</v>
      </c>
      <c r="K6658" s="281">
        <f>+Tabla4[[#This Row],[Precio Unitario Neto]]*Tabla4[[#Headers],[20.85%]]</f>
        <v>510.19157699999988</v>
      </c>
      <c r="L6658" s="282">
        <f>++Tabla4[[#This Row],[Precio Unitario Neto]]-Tabla4[[#This Row],[20.85%]]</f>
        <v>1936.7704229999997</v>
      </c>
      <c r="M6658" s="282" t="e">
        <f>(INDEX(Tabla6[#All],MATCH(Tabla4[[#This Row],[Producto]],Tabla6[[#All],[PRODUCTO]],0),MATCH(Tabla4[[#This Row],[Mes]],Tabla6[#Headers],0)))*(1+Catalogos!$L$2)</f>
        <v>#N/A</v>
      </c>
      <c r="N6658" s="283" t="e">
        <f>+(Tabla4[[#This Row],[Precio Descontado]]-Tabla4[[#This Row],[Precio Base]])*Tabla4[[#This Row],[Cantidad]]</f>
        <v>#N/A</v>
      </c>
      <c r="O6658" s="284" t="e">
        <f>++Tabla4[[#This Row],[Utilidad Total]]/Tabla4[[#This Row],[Total]]</f>
        <v>#N/A</v>
      </c>
      <c r="P6658" s="282">
        <f>++Tabla4[[#This Row],[Precio Descontado]]*Tabla4[[#This Row],[Cantidad]]</f>
        <v>1936.7704229999997</v>
      </c>
      <c r="Q6658" s="282" t="e">
        <f>(INDEX(Tabla6[#All],MATCH(Tabla4[[#This Row],[Producto]],Tabla6[[#All],[PRODUCTO]],0),MATCH(Tabla4[[#This Row],[Mes]],Tabla6[#Headers],0)))</f>
        <v>#N/A</v>
      </c>
      <c r="R6658" s="282" t="e">
        <f>++Tabla4[[#This Row],[Precio Unitario Neto]]-Tabla4[[#This Row],[20.85%]]-Tabla4[[#This Row],[Costo]]</f>
        <v>#N/A</v>
      </c>
      <c r="S6658" s="282" t="e">
        <f>++Tabla4[[#This Row],[U. Bruta Uni]]*Tabla4[[#This Row],[Cantidad]]</f>
        <v>#N/A</v>
      </c>
      <c r="T6658" s="369" t="str">
        <f>VLOOKUP(Tabla4[[#This Row],[Producto]],Tabla6[#All],14,FALSE)</f>
        <v>Termico Solar</v>
      </c>
      <c r="U6658" s="284" t="e">
        <f>(IF(Tabla4[[#This Row],[Familia]]="termico solar",Tabla4[[#This Row],[Utilidad Total]]*6%,Tabla4[[#This Row],[Utilidad Total]]*11.5%))/Tabla4[[#This Row],[Total]]</f>
        <v>#N/A</v>
      </c>
      <c r="V6658" s="282" t="e">
        <f>+Tabla4[[#This Row],[Comisión Calculada]]*Tabla4[[#This Row],[Total]]</f>
        <v>#N/A</v>
      </c>
    </row>
    <row r="6659" spans="1:22" hidden="1" x14ac:dyDescent="0.25">
      <c r="A6659" s="100">
        <v>45961</v>
      </c>
      <c r="B6659" t="str">
        <f t="shared" si="419"/>
        <v>October</v>
      </c>
      <c r="C6659" s="46" t="s">
        <v>280</v>
      </c>
      <c r="F6659" s="366" t="s">
        <v>3369</v>
      </c>
      <c r="G6659" s="46" t="s">
        <v>16</v>
      </c>
      <c r="H6659" s="46">
        <v>1</v>
      </c>
      <c r="I6659" s="51">
        <v>4103.8500000000004</v>
      </c>
      <c r="J6659" s="281">
        <f>++Tabla4[[#This Row],[Precio Bruto]]*1.16</f>
        <v>4760.4660000000003</v>
      </c>
      <c r="K6659" s="281">
        <f>+Tabla4[[#This Row],[Precio Unitario Neto]]*Tabla4[[#Headers],[20.85%]]</f>
        <v>992.55716100000006</v>
      </c>
      <c r="L6659" s="282">
        <f>++Tabla4[[#This Row],[Precio Unitario Neto]]-Tabla4[[#This Row],[20.85%]]</f>
        <v>3767.9088390000002</v>
      </c>
      <c r="M6659" s="282" t="e">
        <f>(INDEX(Tabla6[#All],MATCH(Tabla4[[#This Row],[Producto]],Tabla6[[#All],[PRODUCTO]],0),MATCH(Tabla4[[#This Row],[Mes]],Tabla6[#Headers],0)))*(1+Catalogos!$L$2)</f>
        <v>#N/A</v>
      </c>
      <c r="N6659" s="283" t="e">
        <f>+(Tabla4[[#This Row],[Precio Descontado]]-Tabla4[[#This Row],[Precio Base]])*Tabla4[[#This Row],[Cantidad]]</f>
        <v>#N/A</v>
      </c>
      <c r="O6659" s="284" t="e">
        <f>++Tabla4[[#This Row],[Utilidad Total]]/Tabla4[[#This Row],[Total]]</f>
        <v>#N/A</v>
      </c>
      <c r="P6659" s="282">
        <f>++Tabla4[[#This Row],[Precio Descontado]]*Tabla4[[#This Row],[Cantidad]]</f>
        <v>3767.9088390000002</v>
      </c>
      <c r="Q6659" s="282" t="e">
        <f>(INDEX(Tabla6[#All],MATCH(Tabla4[[#This Row],[Producto]],Tabla6[[#All],[PRODUCTO]],0),MATCH(Tabla4[[#This Row],[Mes]],Tabla6[#Headers],0)))</f>
        <v>#N/A</v>
      </c>
      <c r="R6659" s="282" t="e">
        <f>++Tabla4[[#This Row],[Precio Unitario Neto]]-Tabla4[[#This Row],[20.85%]]-Tabla4[[#This Row],[Costo]]</f>
        <v>#N/A</v>
      </c>
      <c r="S6659" s="282" t="e">
        <f>++Tabla4[[#This Row],[U. Bruta Uni]]*Tabla4[[#This Row],[Cantidad]]</f>
        <v>#N/A</v>
      </c>
      <c r="T6659" s="369" t="str">
        <f>VLOOKUP(Tabla4[[#This Row],[Producto]],Tabla6[#All],14,FALSE)</f>
        <v>Termico Solar</v>
      </c>
      <c r="U6659" s="284" t="e">
        <f>(IF(Tabla4[[#This Row],[Familia]]="termico solar",Tabla4[[#This Row],[Utilidad Total]]*6%,Tabla4[[#This Row],[Utilidad Total]]*11.5%))/Tabla4[[#This Row],[Total]]</f>
        <v>#N/A</v>
      </c>
      <c r="V6659" s="282" t="e">
        <f>+Tabla4[[#This Row],[Comisión Calculada]]*Tabla4[[#This Row],[Total]]</f>
        <v>#N/A</v>
      </c>
    </row>
    <row r="6660" spans="1:22" hidden="1" x14ac:dyDescent="0.25">
      <c r="A6660" s="100">
        <v>45961</v>
      </c>
      <c r="B6660" t="str">
        <f t="shared" ref="B6660:B6662" si="420">TEXT(A6660, "mmmm")</f>
        <v>October</v>
      </c>
      <c r="C6660" s="46" t="s">
        <v>280</v>
      </c>
      <c r="F6660" s="366" t="s">
        <v>3370</v>
      </c>
      <c r="G6660" s="46" t="s">
        <v>17</v>
      </c>
      <c r="H6660" s="46">
        <v>1</v>
      </c>
      <c r="I6660" s="51">
        <v>4622.28</v>
      </c>
      <c r="J6660" s="281">
        <f>++Tabla4[[#This Row],[Precio Bruto]]*1.16</f>
        <v>5361.8447999999989</v>
      </c>
      <c r="K6660" s="281">
        <f>+Tabla4[[#This Row],[Precio Unitario Neto]]*Tabla4[[#Headers],[20.85%]]</f>
        <v>1117.9446407999997</v>
      </c>
      <c r="L6660" s="282">
        <f>++Tabla4[[#This Row],[Precio Unitario Neto]]-Tabla4[[#This Row],[20.85%]]</f>
        <v>4243.9001591999995</v>
      </c>
      <c r="M6660" s="282" t="e">
        <f>(INDEX(Tabla6[#All],MATCH(Tabla4[[#This Row],[Producto]],Tabla6[[#All],[PRODUCTO]],0),MATCH(Tabla4[[#This Row],[Mes]],Tabla6[#Headers],0)))*(1+Catalogos!$L$2)</f>
        <v>#N/A</v>
      </c>
      <c r="N6660" s="283" t="e">
        <f>+(Tabla4[[#This Row],[Precio Descontado]]-Tabla4[[#This Row],[Precio Base]])*Tabla4[[#This Row],[Cantidad]]</f>
        <v>#N/A</v>
      </c>
      <c r="O6660" s="284" t="e">
        <f>++Tabla4[[#This Row],[Utilidad Total]]/Tabla4[[#This Row],[Total]]</f>
        <v>#N/A</v>
      </c>
      <c r="P6660" s="282">
        <f>++Tabla4[[#This Row],[Precio Descontado]]*Tabla4[[#This Row],[Cantidad]]</f>
        <v>4243.9001591999995</v>
      </c>
      <c r="Q6660" s="282" t="e">
        <f>(INDEX(Tabla6[#All],MATCH(Tabla4[[#This Row],[Producto]],Tabla6[[#All],[PRODUCTO]],0),MATCH(Tabla4[[#This Row],[Mes]],Tabla6[#Headers],0)))</f>
        <v>#N/A</v>
      </c>
      <c r="R6660" s="282" t="e">
        <f>++Tabla4[[#This Row],[Precio Unitario Neto]]-Tabla4[[#This Row],[20.85%]]-Tabla4[[#This Row],[Costo]]</f>
        <v>#N/A</v>
      </c>
      <c r="S6660" s="282" t="e">
        <f>++Tabla4[[#This Row],[U. Bruta Uni]]*Tabla4[[#This Row],[Cantidad]]</f>
        <v>#N/A</v>
      </c>
      <c r="T6660" s="369" t="str">
        <f>VLOOKUP(Tabla4[[#This Row],[Producto]],Tabla6[#All],14,FALSE)</f>
        <v>Termico Solar</v>
      </c>
      <c r="U6660" s="284" t="e">
        <f>(IF(Tabla4[[#This Row],[Familia]]="termico solar",Tabla4[[#This Row],[Utilidad Total]]*6%,Tabla4[[#This Row],[Utilidad Total]]*11.5%))/Tabla4[[#This Row],[Total]]</f>
        <v>#N/A</v>
      </c>
      <c r="V6660" s="282" t="e">
        <f>+Tabla4[[#This Row],[Comisión Calculada]]*Tabla4[[#This Row],[Total]]</f>
        <v>#N/A</v>
      </c>
    </row>
    <row r="6661" spans="1:22" hidden="1" x14ac:dyDescent="0.25">
      <c r="A6661" s="100">
        <v>45961</v>
      </c>
      <c r="B6661" t="str">
        <f t="shared" si="420"/>
        <v>October</v>
      </c>
      <c r="C6661" s="46" t="s">
        <v>280</v>
      </c>
      <c r="F6661" s="366" t="s">
        <v>3370</v>
      </c>
      <c r="G6661" s="46" t="s">
        <v>18</v>
      </c>
      <c r="H6661" s="46">
        <v>1</v>
      </c>
      <c r="I6661" s="51">
        <v>5367.65</v>
      </c>
      <c r="J6661" s="281">
        <f>++Tabla4[[#This Row],[Precio Bruto]]*1.16</f>
        <v>6226.4739999999993</v>
      </c>
      <c r="K6661" s="281">
        <f>+Tabla4[[#This Row],[Precio Unitario Neto]]*Tabla4[[#Headers],[20.85%]]</f>
        <v>1298.2198289999999</v>
      </c>
      <c r="L6661" s="282">
        <f>++Tabla4[[#This Row],[Precio Unitario Neto]]-Tabla4[[#This Row],[20.85%]]</f>
        <v>4928.2541709999996</v>
      </c>
      <c r="M6661" s="282" t="e">
        <f>(INDEX(Tabla6[#All],MATCH(Tabla4[[#This Row],[Producto]],Tabla6[[#All],[PRODUCTO]],0),MATCH(Tabla4[[#This Row],[Mes]],Tabla6[#Headers],0)))*(1+Catalogos!$L$2)</f>
        <v>#N/A</v>
      </c>
      <c r="N6661" s="283" t="e">
        <f>+(Tabla4[[#This Row],[Precio Descontado]]-Tabla4[[#This Row],[Precio Base]])*Tabla4[[#This Row],[Cantidad]]</f>
        <v>#N/A</v>
      </c>
      <c r="O6661" s="284" t="e">
        <f>++Tabla4[[#This Row],[Utilidad Total]]/Tabla4[[#This Row],[Total]]</f>
        <v>#N/A</v>
      </c>
      <c r="P6661" s="282">
        <f>++Tabla4[[#This Row],[Precio Descontado]]*Tabla4[[#This Row],[Cantidad]]</f>
        <v>4928.2541709999996</v>
      </c>
      <c r="Q6661" s="282" t="e">
        <f>(INDEX(Tabla6[#All],MATCH(Tabla4[[#This Row],[Producto]],Tabla6[[#All],[PRODUCTO]],0),MATCH(Tabla4[[#This Row],[Mes]],Tabla6[#Headers],0)))</f>
        <v>#N/A</v>
      </c>
      <c r="R6661" s="282" t="e">
        <f>++Tabla4[[#This Row],[Precio Unitario Neto]]-Tabla4[[#This Row],[20.85%]]-Tabla4[[#This Row],[Costo]]</f>
        <v>#N/A</v>
      </c>
      <c r="S6661" s="282" t="e">
        <f>++Tabla4[[#This Row],[U. Bruta Uni]]*Tabla4[[#This Row],[Cantidad]]</f>
        <v>#N/A</v>
      </c>
      <c r="T6661" s="369" t="str">
        <f>VLOOKUP(Tabla4[[#This Row],[Producto]],Tabla6[#All],14,FALSE)</f>
        <v>Termico Solar</v>
      </c>
      <c r="U6661" s="284" t="e">
        <f>(IF(Tabla4[[#This Row],[Familia]]="termico solar",Tabla4[[#This Row],[Utilidad Total]]*6%,Tabla4[[#This Row],[Utilidad Total]]*11.5%))/Tabla4[[#This Row],[Total]]</f>
        <v>#N/A</v>
      </c>
      <c r="V6661" s="282" t="e">
        <f>+Tabla4[[#This Row],[Comisión Calculada]]*Tabla4[[#This Row],[Total]]</f>
        <v>#N/A</v>
      </c>
    </row>
    <row r="6662" spans="1:22" hidden="1" x14ac:dyDescent="0.25">
      <c r="A6662" s="100">
        <v>45961</v>
      </c>
      <c r="B6662" t="str">
        <f t="shared" si="420"/>
        <v>October</v>
      </c>
      <c r="C6662" s="46" t="s">
        <v>280</v>
      </c>
      <c r="F6662" s="366" t="s">
        <v>3370</v>
      </c>
      <c r="G6662" s="46" t="s">
        <v>16</v>
      </c>
      <c r="H6662" s="46">
        <v>1</v>
      </c>
      <c r="I6662" s="51">
        <v>4103.8500000000004</v>
      </c>
      <c r="J6662" s="281">
        <f>++Tabla4[[#This Row],[Precio Bruto]]*1.16</f>
        <v>4760.4660000000003</v>
      </c>
      <c r="K6662" s="281">
        <f>+Tabla4[[#This Row],[Precio Unitario Neto]]*Tabla4[[#Headers],[20.85%]]</f>
        <v>992.55716100000006</v>
      </c>
      <c r="L6662" s="282">
        <f>++Tabla4[[#This Row],[Precio Unitario Neto]]-Tabla4[[#This Row],[20.85%]]</f>
        <v>3767.9088390000002</v>
      </c>
      <c r="M6662" s="282" t="e">
        <f>(INDEX(Tabla6[#All],MATCH(Tabla4[[#This Row],[Producto]],Tabla6[[#All],[PRODUCTO]],0),MATCH(Tabla4[[#This Row],[Mes]],Tabla6[#Headers],0)))*(1+Catalogos!$L$2)</f>
        <v>#N/A</v>
      </c>
      <c r="N6662" s="283" t="e">
        <f>+(Tabla4[[#This Row],[Precio Descontado]]-Tabla4[[#This Row],[Precio Base]])*Tabla4[[#This Row],[Cantidad]]</f>
        <v>#N/A</v>
      </c>
      <c r="O6662" s="284" t="e">
        <f>++Tabla4[[#This Row],[Utilidad Total]]/Tabla4[[#This Row],[Total]]</f>
        <v>#N/A</v>
      </c>
      <c r="P6662" s="282">
        <f>++Tabla4[[#This Row],[Precio Descontado]]*Tabla4[[#This Row],[Cantidad]]</f>
        <v>3767.9088390000002</v>
      </c>
      <c r="Q6662" s="282" t="e">
        <f>(INDEX(Tabla6[#All],MATCH(Tabla4[[#This Row],[Producto]],Tabla6[[#All],[PRODUCTO]],0),MATCH(Tabla4[[#This Row],[Mes]],Tabla6[#Headers],0)))</f>
        <v>#N/A</v>
      </c>
      <c r="R6662" s="282" t="e">
        <f>++Tabla4[[#This Row],[Precio Unitario Neto]]-Tabla4[[#This Row],[20.85%]]-Tabla4[[#This Row],[Costo]]</f>
        <v>#N/A</v>
      </c>
      <c r="S6662" s="282" t="e">
        <f>++Tabla4[[#This Row],[U. Bruta Uni]]*Tabla4[[#This Row],[Cantidad]]</f>
        <v>#N/A</v>
      </c>
      <c r="T6662" s="369" t="str">
        <f>VLOOKUP(Tabla4[[#This Row],[Producto]],Tabla6[#All],14,FALSE)</f>
        <v>Termico Solar</v>
      </c>
      <c r="U6662" s="284" t="e">
        <f>(IF(Tabla4[[#This Row],[Familia]]="termico solar",Tabla4[[#This Row],[Utilidad Total]]*6%,Tabla4[[#This Row],[Utilidad Total]]*11.5%))/Tabla4[[#This Row],[Total]]</f>
        <v>#N/A</v>
      </c>
      <c r="V6662" s="282" t="e">
        <f>+Tabla4[[#This Row],[Comisión Calculada]]*Tabla4[[#This Row],[Total]]</f>
        <v>#N/A</v>
      </c>
    </row>
    <row r="6663" spans="1:22" hidden="1" x14ac:dyDescent="0.25">
      <c r="A6663" s="100">
        <v>45961</v>
      </c>
      <c r="B6663" t="str">
        <f t="shared" ref="B6663:B6664" si="421">TEXT(A6663, "mmmm")</f>
        <v>October</v>
      </c>
      <c r="C6663" s="46" t="s">
        <v>280</v>
      </c>
      <c r="F6663" s="366" t="s">
        <v>3371</v>
      </c>
      <c r="G6663" s="46" t="s">
        <v>17</v>
      </c>
      <c r="H6663" s="46">
        <v>2</v>
      </c>
      <c r="I6663" s="51">
        <v>4622.28</v>
      </c>
      <c r="J6663" s="281">
        <f>++Tabla4[[#This Row],[Precio Bruto]]*1.16</f>
        <v>5361.8447999999989</v>
      </c>
      <c r="K6663" s="281">
        <f>+Tabla4[[#This Row],[Precio Unitario Neto]]*Tabla4[[#Headers],[20.85%]]</f>
        <v>1117.9446407999997</v>
      </c>
      <c r="L6663" s="282">
        <f>++Tabla4[[#This Row],[Precio Unitario Neto]]-Tabla4[[#This Row],[20.85%]]</f>
        <v>4243.9001591999995</v>
      </c>
      <c r="M6663" s="282" t="e">
        <f>(INDEX(Tabla6[#All],MATCH(Tabla4[[#This Row],[Producto]],Tabla6[[#All],[PRODUCTO]],0),MATCH(Tabla4[[#This Row],[Mes]],Tabla6[#Headers],0)))*(1+Catalogos!$L$2)</f>
        <v>#N/A</v>
      </c>
      <c r="N6663" s="283" t="e">
        <f>+(Tabla4[[#This Row],[Precio Descontado]]-Tabla4[[#This Row],[Precio Base]])*Tabla4[[#This Row],[Cantidad]]</f>
        <v>#N/A</v>
      </c>
      <c r="O6663" s="284" t="e">
        <f>++Tabla4[[#This Row],[Utilidad Total]]/Tabla4[[#This Row],[Total]]</f>
        <v>#N/A</v>
      </c>
      <c r="P6663" s="282">
        <f>++Tabla4[[#This Row],[Precio Descontado]]*Tabla4[[#This Row],[Cantidad]]</f>
        <v>8487.800318399999</v>
      </c>
      <c r="Q6663" s="282" t="e">
        <f>(INDEX(Tabla6[#All],MATCH(Tabla4[[#This Row],[Producto]],Tabla6[[#All],[PRODUCTO]],0),MATCH(Tabla4[[#This Row],[Mes]],Tabla6[#Headers],0)))</f>
        <v>#N/A</v>
      </c>
      <c r="R6663" s="282" t="e">
        <f>++Tabla4[[#This Row],[Precio Unitario Neto]]-Tabla4[[#This Row],[20.85%]]-Tabla4[[#This Row],[Costo]]</f>
        <v>#N/A</v>
      </c>
      <c r="S6663" s="282" t="e">
        <f>++Tabla4[[#This Row],[U. Bruta Uni]]*Tabla4[[#This Row],[Cantidad]]</f>
        <v>#N/A</v>
      </c>
      <c r="T6663" s="369" t="str">
        <f>VLOOKUP(Tabla4[[#This Row],[Producto]],Tabla6[#All],14,FALSE)</f>
        <v>Termico Solar</v>
      </c>
      <c r="U6663" s="284" t="e">
        <f>(IF(Tabla4[[#This Row],[Familia]]="termico solar",Tabla4[[#This Row],[Utilidad Total]]*6%,Tabla4[[#This Row],[Utilidad Total]]*11.5%))/Tabla4[[#This Row],[Total]]</f>
        <v>#N/A</v>
      </c>
      <c r="V6663" s="282" t="e">
        <f>+Tabla4[[#This Row],[Comisión Calculada]]*Tabla4[[#This Row],[Total]]</f>
        <v>#N/A</v>
      </c>
    </row>
    <row r="6664" spans="1:22" hidden="1" x14ac:dyDescent="0.25">
      <c r="A6664" s="100">
        <v>45961</v>
      </c>
      <c r="B6664" t="str">
        <f t="shared" si="421"/>
        <v>October</v>
      </c>
      <c r="C6664" s="46" t="s">
        <v>280</v>
      </c>
      <c r="F6664" s="366" t="s">
        <v>3371</v>
      </c>
      <c r="G6664" s="46" t="s">
        <v>208</v>
      </c>
      <c r="H6664" s="46">
        <v>8</v>
      </c>
      <c r="I6664" s="51">
        <v>189.75</v>
      </c>
      <c r="J6664" s="281">
        <f>++Tabla4[[#This Row],[Precio Bruto]]*1.16</f>
        <v>220.10999999999999</v>
      </c>
      <c r="K6664" s="281">
        <f>+Tabla4[[#This Row],[Precio Unitario Neto]]*Tabla4[[#Headers],[20.85%]]</f>
        <v>45.892934999999994</v>
      </c>
      <c r="L6664" s="282">
        <f>++Tabla4[[#This Row],[Precio Unitario Neto]]-Tabla4[[#This Row],[20.85%]]</f>
        <v>174.21706499999999</v>
      </c>
      <c r="M6664" s="282" t="e">
        <f>(INDEX(Tabla6[#All],MATCH(Tabla4[[#This Row],[Producto]],Tabla6[[#All],[PRODUCTO]],0),MATCH(Tabla4[[#This Row],[Mes]],Tabla6[#Headers],0)))*(1+Catalogos!$L$2)</f>
        <v>#N/A</v>
      </c>
      <c r="N6664" s="283" t="e">
        <f>+(Tabla4[[#This Row],[Precio Descontado]]-Tabla4[[#This Row],[Precio Base]])*Tabla4[[#This Row],[Cantidad]]</f>
        <v>#N/A</v>
      </c>
      <c r="O6664" s="284" t="e">
        <f>++Tabla4[[#This Row],[Utilidad Total]]/Tabla4[[#This Row],[Total]]</f>
        <v>#N/A</v>
      </c>
      <c r="P6664" s="282">
        <f>++Tabla4[[#This Row],[Precio Descontado]]*Tabla4[[#This Row],[Cantidad]]</f>
        <v>1393.7365199999999</v>
      </c>
      <c r="Q6664" s="282" t="e">
        <f>(INDEX(Tabla6[#All],MATCH(Tabla4[[#This Row],[Producto]],Tabla6[[#All],[PRODUCTO]],0),MATCH(Tabla4[[#This Row],[Mes]],Tabla6[#Headers],0)))</f>
        <v>#N/A</v>
      </c>
      <c r="R6664" s="282" t="e">
        <f>++Tabla4[[#This Row],[Precio Unitario Neto]]-Tabla4[[#This Row],[20.85%]]-Tabla4[[#This Row],[Costo]]</f>
        <v>#N/A</v>
      </c>
      <c r="S6664" s="282" t="e">
        <f>++Tabla4[[#This Row],[U. Bruta Uni]]*Tabla4[[#This Row],[Cantidad]]</f>
        <v>#N/A</v>
      </c>
      <c r="T6664" s="369" t="str">
        <f>VLOOKUP(Tabla4[[#This Row],[Producto]],Tabla6[#All],14,FALSE)</f>
        <v>Termico Solar</v>
      </c>
      <c r="U6664" s="284" t="e">
        <f>(IF(Tabla4[[#This Row],[Familia]]="termico solar",Tabla4[[#This Row],[Utilidad Total]]*6%,Tabla4[[#This Row],[Utilidad Total]]*11.5%))/Tabla4[[#This Row],[Total]]</f>
        <v>#N/A</v>
      </c>
      <c r="V6664" s="282" t="e">
        <f>+Tabla4[[#This Row],[Comisión Calculada]]*Tabla4[[#This Row],[Total]]</f>
        <v>#N/A</v>
      </c>
    </row>
    <row r="6665" spans="1:22" hidden="1" x14ac:dyDescent="0.25">
      <c r="A6665" s="100">
        <v>45961</v>
      </c>
      <c r="B6665" t="str">
        <f>TEXT(A6665, "mmmm")</f>
        <v>October</v>
      </c>
      <c r="C6665" s="46" t="s">
        <v>280</v>
      </c>
      <c r="F6665" s="366" t="s">
        <v>3372</v>
      </c>
      <c r="G6665" s="46" t="s">
        <v>208</v>
      </c>
      <c r="H6665" s="46">
        <v>1</v>
      </c>
      <c r="I6665" s="51">
        <v>189.75</v>
      </c>
      <c r="J6665" s="281">
        <f>++Tabla4[[#This Row],[Precio Bruto]]*1.16</f>
        <v>220.10999999999999</v>
      </c>
      <c r="K6665" s="281">
        <f>+Tabla4[[#This Row],[Precio Unitario Neto]]*Tabla4[[#Headers],[20.85%]]</f>
        <v>45.892934999999994</v>
      </c>
      <c r="L6665" s="282">
        <f>++Tabla4[[#This Row],[Precio Unitario Neto]]-Tabla4[[#This Row],[20.85%]]</f>
        <v>174.21706499999999</v>
      </c>
      <c r="M6665" s="282" t="e">
        <f>(INDEX(Tabla6[#All],MATCH(Tabla4[[#This Row],[Producto]],Tabla6[[#All],[PRODUCTO]],0),MATCH(Tabla4[[#This Row],[Mes]],Tabla6[#Headers],0)))*(1+Catalogos!$L$2)</f>
        <v>#N/A</v>
      </c>
      <c r="N6665" s="283" t="e">
        <f>+(Tabla4[[#This Row],[Precio Descontado]]-Tabla4[[#This Row],[Precio Base]])*Tabla4[[#This Row],[Cantidad]]</f>
        <v>#N/A</v>
      </c>
      <c r="O6665" s="284" t="e">
        <f>++Tabla4[[#This Row],[Utilidad Total]]/Tabla4[[#This Row],[Total]]</f>
        <v>#N/A</v>
      </c>
      <c r="P6665" s="282">
        <f>++Tabla4[[#This Row],[Precio Descontado]]*Tabla4[[#This Row],[Cantidad]]</f>
        <v>174.21706499999999</v>
      </c>
      <c r="Q6665" s="282" t="e">
        <f>(INDEX(Tabla6[#All],MATCH(Tabla4[[#This Row],[Producto]],Tabla6[[#All],[PRODUCTO]],0),MATCH(Tabla4[[#This Row],[Mes]],Tabla6[#Headers],0)))</f>
        <v>#N/A</v>
      </c>
      <c r="R6665" s="282" t="e">
        <f>++Tabla4[[#This Row],[Precio Unitario Neto]]-Tabla4[[#This Row],[20.85%]]-Tabla4[[#This Row],[Costo]]</f>
        <v>#N/A</v>
      </c>
      <c r="S6665" s="282" t="e">
        <f>++Tabla4[[#This Row],[U. Bruta Uni]]*Tabla4[[#This Row],[Cantidad]]</f>
        <v>#N/A</v>
      </c>
      <c r="T6665" s="369" t="str">
        <f>VLOOKUP(Tabla4[[#This Row],[Producto]],Tabla6[#All],14,FALSE)</f>
        <v>Termico Solar</v>
      </c>
      <c r="U6665" s="284" t="e">
        <f>(IF(Tabla4[[#This Row],[Familia]]="termico solar",Tabla4[[#This Row],[Utilidad Total]]*6%,Tabla4[[#This Row],[Utilidad Total]]*11.5%))/Tabla4[[#This Row],[Total]]</f>
        <v>#N/A</v>
      </c>
      <c r="V6665" s="282" t="e">
        <f>+Tabla4[[#This Row],[Comisión Calculada]]*Tabla4[[#This Row],[Total]]</f>
        <v>#N/A</v>
      </c>
    </row>
    <row r="6666" spans="1:22" hidden="1" x14ac:dyDescent="0.25">
      <c r="A6666" s="100">
        <v>45961</v>
      </c>
      <c r="B6666" t="str">
        <f t="shared" ref="B6666:B6668" si="422">TEXT(A6666, "mmmm")</f>
        <v>October</v>
      </c>
      <c r="C6666" s="46" t="s">
        <v>280</v>
      </c>
      <c r="F6666" s="366" t="s">
        <v>3373</v>
      </c>
      <c r="G6666" s="46" t="s">
        <v>83</v>
      </c>
      <c r="H6666" s="46">
        <v>1</v>
      </c>
      <c r="I6666" s="51">
        <v>8858.76</v>
      </c>
      <c r="J6666" s="281">
        <f>++Tabla4[[#This Row],[Precio Bruto]]*1.16</f>
        <v>10276.161599999999</v>
      </c>
      <c r="K6666" s="281">
        <f>+Tabla4[[#This Row],[Precio Unitario Neto]]*Tabla4[[#Headers],[20.85%]]</f>
        <v>2142.5796935999997</v>
      </c>
      <c r="L6666" s="282">
        <f>++Tabla4[[#This Row],[Precio Unitario Neto]]-Tabla4[[#This Row],[20.85%]]</f>
        <v>8133.5819063999998</v>
      </c>
      <c r="M6666" s="282" t="e">
        <f>(INDEX(Tabla6[#All],MATCH(Tabla4[[#This Row],[Producto]],Tabla6[[#All],[PRODUCTO]],0),MATCH(Tabla4[[#This Row],[Mes]],Tabla6[#Headers],0)))*(1+Catalogos!$L$2)</f>
        <v>#N/A</v>
      </c>
      <c r="N6666" s="283" t="e">
        <f>+(Tabla4[[#This Row],[Precio Descontado]]-Tabla4[[#This Row],[Precio Base]])*Tabla4[[#This Row],[Cantidad]]</f>
        <v>#N/A</v>
      </c>
      <c r="O6666" s="284" t="e">
        <f>++Tabla4[[#This Row],[Utilidad Total]]/Tabla4[[#This Row],[Total]]</f>
        <v>#N/A</v>
      </c>
      <c r="P6666" s="282">
        <f>++Tabla4[[#This Row],[Precio Descontado]]*Tabla4[[#This Row],[Cantidad]]</f>
        <v>8133.5819063999998</v>
      </c>
      <c r="Q6666" s="282" t="e">
        <f>(INDEX(Tabla6[#All],MATCH(Tabla4[[#This Row],[Producto]],Tabla6[[#All],[PRODUCTO]],0),MATCH(Tabla4[[#This Row],[Mes]],Tabla6[#Headers],0)))</f>
        <v>#N/A</v>
      </c>
      <c r="R6666" s="282" t="e">
        <f>++Tabla4[[#This Row],[Precio Unitario Neto]]-Tabla4[[#This Row],[20.85%]]-Tabla4[[#This Row],[Costo]]</f>
        <v>#N/A</v>
      </c>
      <c r="S6666" s="282" t="e">
        <f>++Tabla4[[#This Row],[U. Bruta Uni]]*Tabla4[[#This Row],[Cantidad]]</f>
        <v>#N/A</v>
      </c>
      <c r="T6666" s="369" t="str">
        <f>VLOOKUP(Tabla4[[#This Row],[Producto]],Tabla6[#All],14,FALSE)</f>
        <v>Termico Solar</v>
      </c>
      <c r="U6666" s="284" t="e">
        <f>(IF(Tabla4[[#This Row],[Familia]]="termico solar",Tabla4[[#This Row],[Utilidad Total]]*6%,Tabla4[[#This Row],[Utilidad Total]]*11.5%))/Tabla4[[#This Row],[Total]]</f>
        <v>#N/A</v>
      </c>
      <c r="V6666" s="282" t="e">
        <f>+Tabla4[[#This Row],[Comisión Calculada]]*Tabla4[[#This Row],[Total]]</f>
        <v>#N/A</v>
      </c>
    </row>
    <row r="6667" spans="1:22" hidden="1" x14ac:dyDescent="0.25">
      <c r="A6667" s="100">
        <v>45961</v>
      </c>
      <c r="B6667" t="str">
        <f t="shared" si="422"/>
        <v>October</v>
      </c>
      <c r="C6667" s="46" t="s">
        <v>280</v>
      </c>
      <c r="F6667" s="366" t="s">
        <v>3373</v>
      </c>
      <c r="G6667" s="46" t="s">
        <v>17</v>
      </c>
      <c r="H6667" s="46">
        <v>9</v>
      </c>
      <c r="I6667" s="51">
        <v>4622.28</v>
      </c>
      <c r="J6667" s="281">
        <f>++Tabla4[[#This Row],[Precio Bruto]]*1.16</f>
        <v>5361.8447999999989</v>
      </c>
      <c r="K6667" s="281">
        <f>+Tabla4[[#This Row],[Precio Unitario Neto]]*Tabla4[[#Headers],[20.85%]]</f>
        <v>1117.9446407999997</v>
      </c>
      <c r="L6667" s="282">
        <f>++Tabla4[[#This Row],[Precio Unitario Neto]]-Tabla4[[#This Row],[20.85%]]</f>
        <v>4243.9001591999995</v>
      </c>
      <c r="M6667" s="282" t="e">
        <f>(INDEX(Tabla6[#All],MATCH(Tabla4[[#This Row],[Producto]],Tabla6[[#All],[PRODUCTO]],0),MATCH(Tabla4[[#This Row],[Mes]],Tabla6[#Headers],0)))*(1+Catalogos!$L$2)</f>
        <v>#N/A</v>
      </c>
      <c r="N6667" s="283" t="e">
        <f>+(Tabla4[[#This Row],[Precio Descontado]]-Tabla4[[#This Row],[Precio Base]])*Tabla4[[#This Row],[Cantidad]]</f>
        <v>#N/A</v>
      </c>
      <c r="O6667" s="284" t="e">
        <f>++Tabla4[[#This Row],[Utilidad Total]]/Tabla4[[#This Row],[Total]]</f>
        <v>#N/A</v>
      </c>
      <c r="P6667" s="282">
        <f>++Tabla4[[#This Row],[Precio Descontado]]*Tabla4[[#This Row],[Cantidad]]</f>
        <v>38195.101432799995</v>
      </c>
      <c r="Q6667" s="282" t="e">
        <f>(INDEX(Tabla6[#All],MATCH(Tabla4[[#This Row],[Producto]],Tabla6[[#All],[PRODUCTO]],0),MATCH(Tabla4[[#This Row],[Mes]],Tabla6[#Headers],0)))</f>
        <v>#N/A</v>
      </c>
      <c r="R6667" s="282" t="e">
        <f>++Tabla4[[#This Row],[Precio Unitario Neto]]-Tabla4[[#This Row],[20.85%]]-Tabla4[[#This Row],[Costo]]</f>
        <v>#N/A</v>
      </c>
      <c r="S6667" s="282" t="e">
        <f>++Tabla4[[#This Row],[U. Bruta Uni]]*Tabla4[[#This Row],[Cantidad]]</f>
        <v>#N/A</v>
      </c>
      <c r="T6667" s="369" t="str">
        <f>VLOOKUP(Tabla4[[#This Row],[Producto]],Tabla6[#All],14,FALSE)</f>
        <v>Termico Solar</v>
      </c>
      <c r="U6667" s="284" t="e">
        <f>(IF(Tabla4[[#This Row],[Familia]]="termico solar",Tabla4[[#This Row],[Utilidad Total]]*6%,Tabla4[[#This Row],[Utilidad Total]]*11.5%))/Tabla4[[#This Row],[Total]]</f>
        <v>#N/A</v>
      </c>
      <c r="V6667" s="282" t="e">
        <f>+Tabla4[[#This Row],[Comisión Calculada]]*Tabla4[[#This Row],[Total]]</f>
        <v>#N/A</v>
      </c>
    </row>
    <row r="6668" spans="1:22" hidden="1" x14ac:dyDescent="0.25">
      <c r="A6668" s="100">
        <v>45961</v>
      </c>
      <c r="B6668" t="str">
        <f t="shared" si="422"/>
        <v>October</v>
      </c>
      <c r="C6668" s="46" t="s">
        <v>280</v>
      </c>
      <c r="F6668" s="366" t="s">
        <v>3373</v>
      </c>
      <c r="G6668" s="46" t="s">
        <v>16</v>
      </c>
      <c r="H6668" s="46">
        <v>3</v>
      </c>
      <c r="I6668" s="51">
        <v>4103.8499999999995</v>
      </c>
      <c r="J6668" s="281">
        <f>++Tabla4[[#This Row],[Precio Bruto]]*1.16</f>
        <v>4760.4659999999994</v>
      </c>
      <c r="K6668" s="281">
        <f>+Tabla4[[#This Row],[Precio Unitario Neto]]*Tabla4[[#Headers],[20.85%]]</f>
        <v>992.55716099999984</v>
      </c>
      <c r="L6668" s="282">
        <f>++Tabla4[[#This Row],[Precio Unitario Neto]]-Tabla4[[#This Row],[20.85%]]</f>
        <v>3767.9088389999997</v>
      </c>
      <c r="M6668" s="282" t="e">
        <f>(INDEX(Tabla6[#All],MATCH(Tabla4[[#This Row],[Producto]],Tabla6[[#All],[PRODUCTO]],0),MATCH(Tabla4[[#This Row],[Mes]],Tabla6[#Headers],0)))*(1+Catalogos!$L$2)</f>
        <v>#N/A</v>
      </c>
      <c r="N6668" s="283" t="e">
        <f>+(Tabla4[[#This Row],[Precio Descontado]]-Tabla4[[#This Row],[Precio Base]])*Tabla4[[#This Row],[Cantidad]]</f>
        <v>#N/A</v>
      </c>
      <c r="O6668" s="284" t="e">
        <f>++Tabla4[[#This Row],[Utilidad Total]]/Tabla4[[#This Row],[Total]]</f>
        <v>#N/A</v>
      </c>
      <c r="P6668" s="282">
        <f>++Tabla4[[#This Row],[Precio Descontado]]*Tabla4[[#This Row],[Cantidad]]</f>
        <v>11303.726516999999</v>
      </c>
      <c r="Q6668" s="282" t="e">
        <f>(INDEX(Tabla6[#All],MATCH(Tabla4[[#This Row],[Producto]],Tabla6[[#All],[PRODUCTO]],0),MATCH(Tabla4[[#This Row],[Mes]],Tabla6[#Headers],0)))</f>
        <v>#N/A</v>
      </c>
      <c r="R6668" s="282" t="e">
        <f>++Tabla4[[#This Row],[Precio Unitario Neto]]-Tabla4[[#This Row],[20.85%]]-Tabla4[[#This Row],[Costo]]</f>
        <v>#N/A</v>
      </c>
      <c r="S6668" s="282" t="e">
        <f>++Tabla4[[#This Row],[U. Bruta Uni]]*Tabla4[[#This Row],[Cantidad]]</f>
        <v>#N/A</v>
      </c>
      <c r="T6668" s="369" t="str">
        <f>VLOOKUP(Tabla4[[#This Row],[Producto]],Tabla6[#All],14,FALSE)</f>
        <v>Termico Solar</v>
      </c>
      <c r="U6668" s="284" t="e">
        <f>(IF(Tabla4[[#This Row],[Familia]]="termico solar",Tabla4[[#This Row],[Utilidad Total]]*6%,Tabla4[[#This Row],[Utilidad Total]]*11.5%))/Tabla4[[#This Row],[Total]]</f>
        <v>#N/A</v>
      </c>
      <c r="V6668" s="282" t="e">
        <f>+Tabla4[[#This Row],[Comisión Calculada]]*Tabla4[[#This Row],[Total]]</f>
        <v>#N/A</v>
      </c>
    </row>
    <row r="6669" spans="1:22" hidden="1" x14ac:dyDescent="0.25">
      <c r="A6669" s="100">
        <v>45976</v>
      </c>
      <c r="B6669" t="str">
        <f t="shared" ref="B6669:B6676" si="423">TEXT(A6669, "mmmm")</f>
        <v>November</v>
      </c>
      <c r="C6669" s="46" t="s">
        <v>280</v>
      </c>
      <c r="F6669" s="366" t="s">
        <v>3378</v>
      </c>
      <c r="G6669" s="46" t="s">
        <v>17</v>
      </c>
      <c r="H6669" s="46">
        <v>12</v>
      </c>
      <c r="I6669" s="51">
        <v>4622.28</v>
      </c>
      <c r="J6669" s="281">
        <f>++Tabla4[[#This Row],[Precio Bruto]]*1.16</f>
        <v>5361.8447999999989</v>
      </c>
      <c r="K6669" s="281">
        <f>+Tabla4[[#This Row],[Precio Unitario Neto]]*Tabla4[[#Headers],[20.85%]]</f>
        <v>1117.9446407999997</v>
      </c>
      <c r="L6669" s="282">
        <f>++Tabla4[[#This Row],[Precio Unitario Neto]]-Tabla4[[#This Row],[20.85%]]</f>
        <v>4243.9001591999995</v>
      </c>
      <c r="M6669" s="282" t="e">
        <f>(INDEX(Tabla6[#All],MATCH(Tabla4[[#This Row],[Producto]],Tabla6[[#All],[PRODUCTO]],0),MATCH(Tabla4[[#This Row],[Mes]],Tabla6[#Headers],0)))*(1+Catalogos!$L$2)</f>
        <v>#N/A</v>
      </c>
      <c r="N6669" s="283" t="e">
        <f>+(Tabla4[[#This Row],[Precio Descontado]]-Tabla4[[#This Row],[Precio Base]])*Tabla4[[#This Row],[Cantidad]]</f>
        <v>#N/A</v>
      </c>
      <c r="O6669" s="284" t="e">
        <f>++Tabla4[[#This Row],[Utilidad Total]]/Tabla4[[#This Row],[Total]]</f>
        <v>#N/A</v>
      </c>
      <c r="P6669" s="282">
        <f>++Tabla4[[#This Row],[Precio Descontado]]*Tabla4[[#This Row],[Cantidad]]</f>
        <v>50926.801910399998</v>
      </c>
      <c r="Q6669" s="282" t="e">
        <f>(INDEX(Tabla6[#All],MATCH(Tabla4[[#This Row],[Producto]],Tabla6[[#All],[PRODUCTO]],0),MATCH(Tabla4[[#This Row],[Mes]],Tabla6[#Headers],0)))</f>
        <v>#N/A</v>
      </c>
      <c r="R6669" s="282" t="e">
        <f>++Tabla4[[#This Row],[Precio Unitario Neto]]-Tabla4[[#This Row],[20.85%]]-Tabla4[[#This Row],[Costo]]</f>
        <v>#N/A</v>
      </c>
      <c r="S6669" s="282" t="e">
        <f>++Tabla4[[#This Row],[U. Bruta Uni]]*Tabla4[[#This Row],[Cantidad]]</f>
        <v>#N/A</v>
      </c>
      <c r="T6669" s="369" t="str">
        <f>VLOOKUP(Tabla4[[#This Row],[Producto]],Tabla6[#All],14,FALSE)</f>
        <v>Termico Solar</v>
      </c>
      <c r="U6669" s="284" t="e">
        <f>(IF(Tabla4[[#This Row],[Familia]]="termico solar",Tabla4[[#This Row],[Utilidad Total]]*6%,Tabla4[[#This Row],[Utilidad Total]]*11.5%))/Tabla4[[#This Row],[Total]]</f>
        <v>#N/A</v>
      </c>
      <c r="V6669" s="282" t="e">
        <f>+Tabla4[[#This Row],[Comisión Calculada]]*Tabla4[[#This Row],[Total]]</f>
        <v>#N/A</v>
      </c>
    </row>
    <row r="6670" spans="1:22" hidden="1" x14ac:dyDescent="0.25">
      <c r="A6670" s="100">
        <v>45976</v>
      </c>
      <c r="B6670" t="str">
        <f t="shared" si="423"/>
        <v>November</v>
      </c>
      <c r="C6670" s="46" t="s">
        <v>280</v>
      </c>
      <c r="F6670" s="366" t="s">
        <v>3378</v>
      </c>
      <c r="G6670" s="46" t="s">
        <v>18</v>
      </c>
      <c r="H6670" s="46">
        <v>3</v>
      </c>
      <c r="I6670" s="51">
        <v>5367.6500000000005</v>
      </c>
      <c r="J6670" s="281">
        <f>++Tabla4[[#This Row],[Precio Bruto]]*1.16</f>
        <v>6226.4740000000002</v>
      </c>
      <c r="K6670" s="281">
        <f>+Tabla4[[#This Row],[Precio Unitario Neto]]*Tabla4[[#Headers],[20.85%]]</f>
        <v>1298.2198289999999</v>
      </c>
      <c r="L6670" s="282">
        <f>++Tabla4[[#This Row],[Precio Unitario Neto]]-Tabla4[[#This Row],[20.85%]]</f>
        <v>4928.2541710000005</v>
      </c>
      <c r="M6670" s="282" t="e">
        <f>(INDEX(Tabla6[#All],MATCH(Tabla4[[#This Row],[Producto]],Tabla6[[#All],[PRODUCTO]],0),MATCH(Tabla4[[#This Row],[Mes]],Tabla6[#Headers],0)))*(1+Catalogos!$L$2)</f>
        <v>#N/A</v>
      </c>
      <c r="N6670" s="283" t="e">
        <f>+(Tabla4[[#This Row],[Precio Descontado]]-Tabla4[[#This Row],[Precio Base]])*Tabla4[[#This Row],[Cantidad]]</f>
        <v>#N/A</v>
      </c>
      <c r="O6670" s="284" t="e">
        <f>++Tabla4[[#This Row],[Utilidad Total]]/Tabla4[[#This Row],[Total]]</f>
        <v>#N/A</v>
      </c>
      <c r="P6670" s="282">
        <f>++Tabla4[[#This Row],[Precio Descontado]]*Tabla4[[#This Row],[Cantidad]]</f>
        <v>14784.762513000001</v>
      </c>
      <c r="Q6670" s="282" t="e">
        <f>(INDEX(Tabla6[#All],MATCH(Tabla4[[#This Row],[Producto]],Tabla6[[#All],[PRODUCTO]],0),MATCH(Tabla4[[#This Row],[Mes]],Tabla6[#Headers],0)))</f>
        <v>#N/A</v>
      </c>
      <c r="R6670" s="282" t="e">
        <f>++Tabla4[[#This Row],[Precio Unitario Neto]]-Tabla4[[#This Row],[20.85%]]-Tabla4[[#This Row],[Costo]]</f>
        <v>#N/A</v>
      </c>
      <c r="S6670" s="282" t="e">
        <f>++Tabla4[[#This Row],[U. Bruta Uni]]*Tabla4[[#This Row],[Cantidad]]</f>
        <v>#N/A</v>
      </c>
      <c r="T6670" s="369" t="str">
        <f>VLOOKUP(Tabla4[[#This Row],[Producto]],Tabla6[#All],14,FALSE)</f>
        <v>Termico Solar</v>
      </c>
      <c r="U6670" s="284" t="e">
        <f>(IF(Tabla4[[#This Row],[Familia]]="termico solar",Tabla4[[#This Row],[Utilidad Total]]*6%,Tabla4[[#This Row],[Utilidad Total]]*11.5%))/Tabla4[[#This Row],[Total]]</f>
        <v>#N/A</v>
      </c>
      <c r="V6670" s="282" t="e">
        <f>+Tabla4[[#This Row],[Comisión Calculada]]*Tabla4[[#This Row],[Total]]</f>
        <v>#N/A</v>
      </c>
    </row>
    <row r="6671" spans="1:22" hidden="1" x14ac:dyDescent="0.25">
      <c r="A6671" s="100">
        <v>45976</v>
      </c>
      <c r="B6671" t="str">
        <f t="shared" si="423"/>
        <v>November</v>
      </c>
      <c r="C6671" s="46" t="s">
        <v>280</v>
      </c>
      <c r="F6671" s="366" t="s">
        <v>3378</v>
      </c>
      <c r="G6671" s="46" t="s">
        <v>19</v>
      </c>
      <c r="H6671" s="46">
        <v>1</v>
      </c>
      <c r="I6671" s="51">
        <v>6412.03</v>
      </c>
      <c r="J6671" s="281">
        <f>++Tabla4[[#This Row],[Precio Bruto]]*1.16</f>
        <v>7437.9547999999995</v>
      </c>
      <c r="K6671" s="281">
        <f>+Tabla4[[#This Row],[Precio Unitario Neto]]*Tabla4[[#Headers],[20.85%]]</f>
        <v>1550.8135757999999</v>
      </c>
      <c r="L6671" s="282">
        <f>++Tabla4[[#This Row],[Precio Unitario Neto]]-Tabla4[[#This Row],[20.85%]]</f>
        <v>5887.1412241999997</v>
      </c>
      <c r="M6671" s="282" t="e">
        <f>(INDEX(Tabla6[#All],MATCH(Tabla4[[#This Row],[Producto]],Tabla6[[#All],[PRODUCTO]],0),MATCH(Tabla4[[#This Row],[Mes]],Tabla6[#Headers],0)))*(1+Catalogos!$L$2)</f>
        <v>#N/A</v>
      </c>
      <c r="N6671" s="283" t="e">
        <f>+(Tabla4[[#This Row],[Precio Descontado]]-Tabla4[[#This Row],[Precio Base]])*Tabla4[[#This Row],[Cantidad]]</f>
        <v>#N/A</v>
      </c>
      <c r="O6671" s="284" t="e">
        <f>++Tabla4[[#This Row],[Utilidad Total]]/Tabla4[[#This Row],[Total]]</f>
        <v>#N/A</v>
      </c>
      <c r="P6671" s="282">
        <f>++Tabla4[[#This Row],[Precio Descontado]]*Tabla4[[#This Row],[Cantidad]]</f>
        <v>5887.1412241999997</v>
      </c>
      <c r="Q6671" s="282" t="e">
        <f>(INDEX(Tabla6[#All],MATCH(Tabla4[[#This Row],[Producto]],Tabla6[[#All],[PRODUCTO]],0),MATCH(Tabla4[[#This Row],[Mes]],Tabla6[#Headers],0)))</f>
        <v>#N/A</v>
      </c>
      <c r="R6671" s="282" t="e">
        <f>++Tabla4[[#This Row],[Precio Unitario Neto]]-Tabla4[[#This Row],[20.85%]]-Tabla4[[#This Row],[Costo]]</f>
        <v>#N/A</v>
      </c>
      <c r="S6671" s="282" t="e">
        <f>++Tabla4[[#This Row],[U. Bruta Uni]]*Tabla4[[#This Row],[Cantidad]]</f>
        <v>#N/A</v>
      </c>
      <c r="T6671" s="369" t="str">
        <f>VLOOKUP(Tabla4[[#This Row],[Producto]],Tabla6[#All],14,FALSE)</f>
        <v>Termico Solar</v>
      </c>
      <c r="U6671" s="284" t="e">
        <f>(IF(Tabla4[[#This Row],[Familia]]="termico solar",Tabla4[[#This Row],[Utilidad Total]]*6%,Tabla4[[#This Row],[Utilidad Total]]*11.5%))/Tabla4[[#This Row],[Total]]</f>
        <v>#N/A</v>
      </c>
      <c r="V6671" s="282" t="e">
        <f>+Tabla4[[#This Row],[Comisión Calculada]]*Tabla4[[#This Row],[Total]]</f>
        <v>#N/A</v>
      </c>
    </row>
    <row r="6672" spans="1:22" hidden="1" x14ac:dyDescent="0.25">
      <c r="A6672" s="100">
        <v>45976</v>
      </c>
      <c r="B6672" t="str">
        <f t="shared" si="423"/>
        <v>November</v>
      </c>
      <c r="C6672" s="46" t="s">
        <v>280</v>
      </c>
      <c r="F6672" s="366" t="s">
        <v>3378</v>
      </c>
      <c r="G6672" s="46" t="s">
        <v>20</v>
      </c>
      <c r="H6672" s="46">
        <v>2</v>
      </c>
      <c r="I6672" s="51">
        <v>7751.98</v>
      </c>
      <c r="J6672" s="281">
        <f>++Tabla4[[#This Row],[Precio Bruto]]*1.16</f>
        <v>8992.2967999999983</v>
      </c>
      <c r="K6672" s="281">
        <f>+Tabla4[[#This Row],[Precio Unitario Neto]]*Tabla4[[#Headers],[20.85%]]</f>
        <v>1874.8938827999996</v>
      </c>
      <c r="L6672" s="282">
        <f>++Tabla4[[#This Row],[Precio Unitario Neto]]-Tabla4[[#This Row],[20.85%]]</f>
        <v>7117.4029171999991</v>
      </c>
      <c r="M6672" s="282" t="e">
        <f>(INDEX(Tabla6[#All],MATCH(Tabla4[[#This Row],[Producto]],Tabla6[[#All],[PRODUCTO]],0),MATCH(Tabla4[[#This Row],[Mes]],Tabla6[#Headers],0)))*(1+Catalogos!$L$2)</f>
        <v>#N/A</v>
      </c>
      <c r="N6672" s="283" t="e">
        <f>+(Tabla4[[#This Row],[Precio Descontado]]-Tabla4[[#This Row],[Precio Base]])*Tabla4[[#This Row],[Cantidad]]</f>
        <v>#N/A</v>
      </c>
      <c r="O6672" s="284" t="e">
        <f>++Tabla4[[#This Row],[Utilidad Total]]/Tabla4[[#This Row],[Total]]</f>
        <v>#N/A</v>
      </c>
      <c r="P6672" s="282">
        <f>++Tabla4[[#This Row],[Precio Descontado]]*Tabla4[[#This Row],[Cantidad]]</f>
        <v>14234.805834399998</v>
      </c>
      <c r="Q6672" s="282" t="e">
        <f>(INDEX(Tabla6[#All],MATCH(Tabla4[[#This Row],[Producto]],Tabla6[[#All],[PRODUCTO]],0),MATCH(Tabla4[[#This Row],[Mes]],Tabla6[#Headers],0)))</f>
        <v>#N/A</v>
      </c>
      <c r="R6672" s="282" t="e">
        <f>++Tabla4[[#This Row],[Precio Unitario Neto]]-Tabla4[[#This Row],[20.85%]]-Tabla4[[#This Row],[Costo]]</f>
        <v>#N/A</v>
      </c>
      <c r="S6672" s="282" t="e">
        <f>++Tabla4[[#This Row],[U. Bruta Uni]]*Tabla4[[#This Row],[Cantidad]]</f>
        <v>#N/A</v>
      </c>
      <c r="T6672" s="369" t="str">
        <f>VLOOKUP(Tabla4[[#This Row],[Producto]],Tabla6[#All],14,FALSE)</f>
        <v>Termico Solar</v>
      </c>
      <c r="U6672" s="284" t="e">
        <f>(IF(Tabla4[[#This Row],[Familia]]="termico solar",Tabla4[[#This Row],[Utilidad Total]]*6%,Tabla4[[#This Row],[Utilidad Total]]*11.5%))/Tabla4[[#This Row],[Total]]</f>
        <v>#N/A</v>
      </c>
      <c r="V6672" s="282" t="e">
        <f>+Tabla4[[#This Row],[Comisión Calculada]]*Tabla4[[#This Row],[Total]]</f>
        <v>#N/A</v>
      </c>
    </row>
    <row r="6673" spans="1:22" hidden="1" x14ac:dyDescent="0.25">
      <c r="A6673" s="100">
        <v>45976</v>
      </c>
      <c r="B6673" t="str">
        <f t="shared" si="423"/>
        <v>November</v>
      </c>
      <c r="C6673" s="46" t="s">
        <v>280</v>
      </c>
      <c r="F6673" s="366" t="s">
        <v>3378</v>
      </c>
      <c r="G6673" s="46" t="s">
        <v>21</v>
      </c>
      <c r="H6673" s="46">
        <v>4</v>
      </c>
      <c r="I6673" s="51">
        <v>9282.19</v>
      </c>
      <c r="J6673" s="281">
        <f>++Tabla4[[#This Row],[Precio Bruto]]*1.16</f>
        <v>10767.340399999999</v>
      </c>
      <c r="K6673" s="281">
        <f>+Tabla4[[#This Row],[Precio Unitario Neto]]*Tabla4[[#Headers],[20.85%]]</f>
        <v>2244.9904733999997</v>
      </c>
      <c r="L6673" s="282">
        <f>++Tabla4[[#This Row],[Precio Unitario Neto]]-Tabla4[[#This Row],[20.85%]]</f>
        <v>8522.3499265999999</v>
      </c>
      <c r="M6673" s="282" t="e">
        <f>(INDEX(Tabla6[#All],MATCH(Tabla4[[#This Row],[Producto]],Tabla6[[#All],[PRODUCTO]],0),MATCH(Tabla4[[#This Row],[Mes]],Tabla6[#Headers],0)))*(1+Catalogos!$L$2)</f>
        <v>#N/A</v>
      </c>
      <c r="N6673" s="283" t="e">
        <f>+(Tabla4[[#This Row],[Precio Descontado]]-Tabla4[[#This Row],[Precio Base]])*Tabla4[[#This Row],[Cantidad]]</f>
        <v>#N/A</v>
      </c>
      <c r="O6673" s="284" t="e">
        <f>++Tabla4[[#This Row],[Utilidad Total]]/Tabla4[[#This Row],[Total]]</f>
        <v>#N/A</v>
      </c>
      <c r="P6673" s="282">
        <f>++Tabla4[[#This Row],[Precio Descontado]]*Tabla4[[#This Row],[Cantidad]]</f>
        <v>34089.3997064</v>
      </c>
      <c r="Q6673" s="282" t="e">
        <f>(INDEX(Tabla6[#All],MATCH(Tabla4[[#This Row],[Producto]],Tabla6[[#All],[PRODUCTO]],0),MATCH(Tabla4[[#This Row],[Mes]],Tabla6[#Headers],0)))</f>
        <v>#N/A</v>
      </c>
      <c r="R6673" s="282" t="e">
        <f>++Tabla4[[#This Row],[Precio Unitario Neto]]-Tabla4[[#This Row],[20.85%]]-Tabla4[[#This Row],[Costo]]</f>
        <v>#N/A</v>
      </c>
      <c r="S6673" s="282" t="e">
        <f>++Tabla4[[#This Row],[U. Bruta Uni]]*Tabla4[[#This Row],[Cantidad]]</f>
        <v>#N/A</v>
      </c>
      <c r="T6673" s="369" t="str">
        <f>VLOOKUP(Tabla4[[#This Row],[Producto]],Tabla6[#All],14,FALSE)</f>
        <v>Termico Solar</v>
      </c>
      <c r="U6673" s="284" t="e">
        <f>(IF(Tabla4[[#This Row],[Familia]]="termico solar",Tabla4[[#This Row],[Utilidad Total]]*6%,Tabla4[[#This Row],[Utilidad Total]]*11.5%))/Tabla4[[#This Row],[Total]]</f>
        <v>#N/A</v>
      </c>
      <c r="V6673" s="282" t="e">
        <f>+Tabla4[[#This Row],[Comisión Calculada]]*Tabla4[[#This Row],[Total]]</f>
        <v>#N/A</v>
      </c>
    </row>
    <row r="6674" spans="1:22" hidden="1" x14ac:dyDescent="0.25">
      <c r="A6674" s="100">
        <v>45976</v>
      </c>
      <c r="B6674" t="str">
        <f t="shared" si="423"/>
        <v>November</v>
      </c>
      <c r="C6674" s="46" t="s">
        <v>280</v>
      </c>
      <c r="F6674" s="366" t="s">
        <v>3378</v>
      </c>
      <c r="G6674" s="46" t="s">
        <v>22</v>
      </c>
      <c r="H6674" s="46">
        <v>2</v>
      </c>
      <c r="I6674" s="51">
        <v>13355.75</v>
      </c>
      <c r="J6674" s="281">
        <f>++Tabla4[[#This Row],[Precio Bruto]]*1.16</f>
        <v>15492.669999999998</v>
      </c>
      <c r="K6674" s="281">
        <f>+Tabla4[[#This Row],[Precio Unitario Neto]]*Tabla4[[#Headers],[20.85%]]</f>
        <v>3230.2216949999993</v>
      </c>
      <c r="L6674" s="282">
        <f>++Tabla4[[#This Row],[Precio Unitario Neto]]-Tabla4[[#This Row],[20.85%]]</f>
        <v>12262.448304999998</v>
      </c>
      <c r="M6674" s="282" t="e">
        <f>(INDEX(Tabla6[#All],MATCH(Tabla4[[#This Row],[Producto]],Tabla6[[#All],[PRODUCTO]],0),MATCH(Tabla4[[#This Row],[Mes]],Tabla6[#Headers],0)))*(1+Catalogos!$L$2)</f>
        <v>#N/A</v>
      </c>
      <c r="N6674" s="283" t="e">
        <f>+(Tabla4[[#This Row],[Precio Descontado]]-Tabla4[[#This Row],[Precio Base]])*Tabla4[[#This Row],[Cantidad]]</f>
        <v>#N/A</v>
      </c>
      <c r="O6674" s="284" t="e">
        <f>++Tabla4[[#This Row],[Utilidad Total]]/Tabla4[[#This Row],[Total]]</f>
        <v>#N/A</v>
      </c>
      <c r="P6674" s="282">
        <f>++Tabla4[[#This Row],[Precio Descontado]]*Tabla4[[#This Row],[Cantidad]]</f>
        <v>24524.896609999996</v>
      </c>
      <c r="Q6674" s="282" t="e">
        <f>(INDEX(Tabla6[#All],MATCH(Tabla4[[#This Row],[Producto]],Tabla6[[#All],[PRODUCTO]],0),MATCH(Tabla4[[#This Row],[Mes]],Tabla6[#Headers],0)))</f>
        <v>#N/A</v>
      </c>
      <c r="R6674" s="282" t="e">
        <f>++Tabla4[[#This Row],[Precio Unitario Neto]]-Tabla4[[#This Row],[20.85%]]-Tabla4[[#This Row],[Costo]]</f>
        <v>#N/A</v>
      </c>
      <c r="S6674" s="282" t="e">
        <f>++Tabla4[[#This Row],[U. Bruta Uni]]*Tabla4[[#This Row],[Cantidad]]</f>
        <v>#N/A</v>
      </c>
      <c r="T6674" s="369" t="str">
        <f>VLOOKUP(Tabla4[[#This Row],[Producto]],Tabla6[#All],14,FALSE)</f>
        <v>Termico Solar</v>
      </c>
      <c r="U6674" s="284" t="e">
        <f>(IF(Tabla4[[#This Row],[Familia]]="termico solar",Tabla4[[#This Row],[Utilidad Total]]*6%,Tabla4[[#This Row],[Utilidad Total]]*11.5%))/Tabla4[[#This Row],[Total]]</f>
        <v>#N/A</v>
      </c>
      <c r="V6674" s="282" t="e">
        <f>+Tabla4[[#This Row],[Comisión Calculada]]*Tabla4[[#This Row],[Total]]</f>
        <v>#N/A</v>
      </c>
    </row>
    <row r="6675" spans="1:22" hidden="1" x14ac:dyDescent="0.25">
      <c r="A6675" s="100">
        <v>45976</v>
      </c>
      <c r="B6675" t="str">
        <f t="shared" si="423"/>
        <v>November</v>
      </c>
      <c r="C6675" s="46" t="s">
        <v>280</v>
      </c>
      <c r="F6675" s="366" t="s">
        <v>3378</v>
      </c>
      <c r="G6675" s="46" t="s">
        <v>412</v>
      </c>
      <c r="H6675" s="46">
        <v>1</v>
      </c>
      <c r="I6675" s="51">
        <v>3240.84</v>
      </c>
      <c r="J6675" s="281">
        <f>++Tabla4[[#This Row],[Precio Bruto]]*1.16</f>
        <v>3759.3743999999997</v>
      </c>
      <c r="K6675" s="281">
        <f>+Tabla4[[#This Row],[Precio Unitario Neto]]*Tabla4[[#Headers],[20.85%]]</f>
        <v>783.82956239999987</v>
      </c>
      <c r="L6675" s="282">
        <f>++Tabla4[[#This Row],[Precio Unitario Neto]]-Tabla4[[#This Row],[20.85%]]</f>
        <v>2975.5448375999999</v>
      </c>
      <c r="M6675" s="282" t="e">
        <f>(INDEX(Tabla6[#All],MATCH(Tabla4[[#This Row],[Producto]],Tabla6[[#All],[PRODUCTO]],0),MATCH(Tabla4[[#This Row],[Mes]],Tabla6[#Headers],0)))*(1+Catalogos!$L$2)</f>
        <v>#N/A</v>
      </c>
      <c r="N6675" s="283" t="e">
        <f>+(Tabla4[[#This Row],[Precio Descontado]]-Tabla4[[#This Row],[Precio Base]])*Tabla4[[#This Row],[Cantidad]]</f>
        <v>#N/A</v>
      </c>
      <c r="O6675" s="284" t="e">
        <f>++Tabla4[[#This Row],[Utilidad Total]]/Tabla4[[#This Row],[Total]]</f>
        <v>#N/A</v>
      </c>
      <c r="P6675" s="282">
        <f>++Tabla4[[#This Row],[Precio Descontado]]*Tabla4[[#This Row],[Cantidad]]</f>
        <v>2975.5448375999999</v>
      </c>
      <c r="Q6675" s="282" t="e">
        <f>(INDEX(Tabla6[#All],MATCH(Tabla4[[#This Row],[Producto]],Tabla6[[#All],[PRODUCTO]],0),MATCH(Tabla4[[#This Row],[Mes]],Tabla6[#Headers],0)))</f>
        <v>#N/A</v>
      </c>
      <c r="R6675" s="282" t="e">
        <f>++Tabla4[[#This Row],[Precio Unitario Neto]]-Tabla4[[#This Row],[20.85%]]-Tabla4[[#This Row],[Costo]]</f>
        <v>#N/A</v>
      </c>
      <c r="S6675" s="282" t="e">
        <f>++Tabla4[[#This Row],[U. Bruta Uni]]*Tabla4[[#This Row],[Cantidad]]</f>
        <v>#N/A</v>
      </c>
      <c r="T6675" s="369" t="str">
        <f>VLOOKUP(Tabla4[[#This Row],[Producto]],Tabla6[#All],14,FALSE)</f>
        <v>Termico Solar</v>
      </c>
      <c r="U6675" s="284" t="e">
        <f>(IF(Tabla4[[#This Row],[Familia]]="termico solar",Tabla4[[#This Row],[Utilidad Total]]*6%,Tabla4[[#This Row],[Utilidad Total]]*11.5%))/Tabla4[[#This Row],[Total]]</f>
        <v>#N/A</v>
      </c>
      <c r="V6675" s="282" t="e">
        <f>+Tabla4[[#This Row],[Comisión Calculada]]*Tabla4[[#This Row],[Total]]</f>
        <v>#N/A</v>
      </c>
    </row>
    <row r="6676" spans="1:22" hidden="1" x14ac:dyDescent="0.25">
      <c r="A6676" s="100">
        <v>45976</v>
      </c>
      <c r="B6676" t="str">
        <f t="shared" si="423"/>
        <v>November</v>
      </c>
      <c r="C6676" s="46" t="s">
        <v>280</v>
      </c>
      <c r="F6676" s="366" t="s">
        <v>3378</v>
      </c>
      <c r="G6676" s="46" t="s">
        <v>16</v>
      </c>
      <c r="H6676" s="46">
        <v>5</v>
      </c>
      <c r="I6676" s="51">
        <v>4103.8500000000004</v>
      </c>
      <c r="J6676" s="281">
        <f>++Tabla4[[#This Row],[Precio Bruto]]*1.16</f>
        <v>4760.4660000000003</v>
      </c>
      <c r="K6676" s="281">
        <f>+Tabla4[[#This Row],[Precio Unitario Neto]]*Tabla4[[#Headers],[20.85%]]</f>
        <v>992.55716100000006</v>
      </c>
      <c r="L6676" s="282">
        <f>++Tabla4[[#This Row],[Precio Unitario Neto]]-Tabla4[[#This Row],[20.85%]]</f>
        <v>3767.9088390000002</v>
      </c>
      <c r="M6676" s="282" t="e">
        <f>(INDEX(Tabla6[#All],MATCH(Tabla4[[#This Row],[Producto]],Tabla6[[#All],[PRODUCTO]],0),MATCH(Tabla4[[#This Row],[Mes]],Tabla6[#Headers],0)))*(1+Catalogos!$L$2)</f>
        <v>#N/A</v>
      </c>
      <c r="N6676" s="283" t="e">
        <f>+(Tabla4[[#This Row],[Precio Descontado]]-Tabla4[[#This Row],[Precio Base]])*Tabla4[[#This Row],[Cantidad]]</f>
        <v>#N/A</v>
      </c>
      <c r="O6676" s="284" t="e">
        <f>++Tabla4[[#This Row],[Utilidad Total]]/Tabla4[[#This Row],[Total]]</f>
        <v>#N/A</v>
      </c>
      <c r="P6676" s="282">
        <f>++Tabla4[[#This Row],[Precio Descontado]]*Tabla4[[#This Row],[Cantidad]]</f>
        <v>18839.544195000002</v>
      </c>
      <c r="Q6676" s="282" t="e">
        <f>(INDEX(Tabla6[#All],MATCH(Tabla4[[#This Row],[Producto]],Tabla6[[#All],[PRODUCTO]],0),MATCH(Tabla4[[#This Row],[Mes]],Tabla6[#Headers],0)))</f>
        <v>#N/A</v>
      </c>
      <c r="R6676" s="282" t="e">
        <f>++Tabla4[[#This Row],[Precio Unitario Neto]]-Tabla4[[#This Row],[20.85%]]-Tabla4[[#This Row],[Costo]]</f>
        <v>#N/A</v>
      </c>
      <c r="S6676" s="282" t="e">
        <f>++Tabla4[[#This Row],[U. Bruta Uni]]*Tabla4[[#This Row],[Cantidad]]</f>
        <v>#N/A</v>
      </c>
      <c r="T6676" s="369" t="str">
        <f>VLOOKUP(Tabla4[[#This Row],[Producto]],Tabla6[#All],14,FALSE)</f>
        <v>Termico Solar</v>
      </c>
      <c r="U6676" s="284" t="e">
        <f>(IF(Tabla4[[#This Row],[Familia]]="termico solar",Tabla4[[#This Row],[Utilidad Total]]*6%,Tabla4[[#This Row],[Utilidad Total]]*11.5%))/Tabla4[[#This Row],[Total]]</f>
        <v>#N/A</v>
      </c>
      <c r="V6676" s="282" t="e">
        <f>+Tabla4[[#This Row],[Comisión Calculada]]*Tabla4[[#This Row],[Total]]</f>
        <v>#N/A</v>
      </c>
    </row>
    <row r="6677" spans="1:22" hidden="1" x14ac:dyDescent="0.25">
      <c r="A6677" s="100">
        <v>45976</v>
      </c>
      <c r="B6677" t="str">
        <f t="shared" ref="B6677:B6687" si="424">TEXT(A6677, "mmmm")</f>
        <v>November</v>
      </c>
      <c r="C6677" s="46" t="s">
        <v>280</v>
      </c>
      <c r="F6677" s="366" t="s">
        <v>3379</v>
      </c>
      <c r="G6677" s="46" t="s">
        <v>17</v>
      </c>
      <c r="H6677" s="46">
        <v>6</v>
      </c>
      <c r="I6677" s="51">
        <v>4622.28</v>
      </c>
      <c r="J6677" s="281">
        <f>++Tabla4[[#This Row],[Precio Bruto]]*1.16</f>
        <v>5361.8447999999989</v>
      </c>
      <c r="K6677" s="281">
        <f>+Tabla4[[#This Row],[Precio Unitario Neto]]*Tabla4[[#Headers],[20.85%]]</f>
        <v>1117.9446407999997</v>
      </c>
      <c r="L6677" s="282">
        <f>++Tabla4[[#This Row],[Precio Unitario Neto]]-Tabla4[[#This Row],[20.85%]]</f>
        <v>4243.9001591999995</v>
      </c>
      <c r="M6677" s="282" t="e">
        <f>(INDEX(Tabla6[#All],MATCH(Tabla4[[#This Row],[Producto]],Tabla6[[#All],[PRODUCTO]],0),MATCH(Tabla4[[#This Row],[Mes]],Tabla6[#Headers],0)))*(1+Catalogos!$L$2)</f>
        <v>#N/A</v>
      </c>
      <c r="N6677" s="283" t="e">
        <f>+(Tabla4[[#This Row],[Precio Descontado]]-Tabla4[[#This Row],[Precio Base]])*Tabla4[[#This Row],[Cantidad]]</f>
        <v>#N/A</v>
      </c>
      <c r="O6677" s="284" t="e">
        <f>++Tabla4[[#This Row],[Utilidad Total]]/Tabla4[[#This Row],[Total]]</f>
        <v>#N/A</v>
      </c>
      <c r="P6677" s="282">
        <f>++Tabla4[[#This Row],[Precio Descontado]]*Tabla4[[#This Row],[Cantidad]]</f>
        <v>25463.400955199999</v>
      </c>
      <c r="Q6677" s="282" t="e">
        <f>(INDEX(Tabla6[#All],MATCH(Tabla4[[#This Row],[Producto]],Tabla6[[#All],[PRODUCTO]],0),MATCH(Tabla4[[#This Row],[Mes]],Tabla6[#Headers],0)))</f>
        <v>#N/A</v>
      </c>
      <c r="R6677" s="282" t="e">
        <f>++Tabla4[[#This Row],[Precio Unitario Neto]]-Tabla4[[#This Row],[20.85%]]-Tabla4[[#This Row],[Costo]]</f>
        <v>#N/A</v>
      </c>
      <c r="S6677" s="282" t="e">
        <f>++Tabla4[[#This Row],[U. Bruta Uni]]*Tabla4[[#This Row],[Cantidad]]</f>
        <v>#N/A</v>
      </c>
      <c r="T6677" s="369" t="str">
        <f>VLOOKUP(Tabla4[[#This Row],[Producto]],Tabla6[#All],14,FALSE)</f>
        <v>Termico Solar</v>
      </c>
      <c r="U6677" s="284" t="e">
        <f>(IF(Tabla4[[#This Row],[Familia]]="termico solar",Tabla4[[#This Row],[Utilidad Total]]*6%,Tabla4[[#This Row],[Utilidad Total]]*11.5%))/Tabla4[[#This Row],[Total]]</f>
        <v>#N/A</v>
      </c>
      <c r="V6677" s="282" t="e">
        <f>+Tabla4[[#This Row],[Comisión Calculada]]*Tabla4[[#This Row],[Total]]</f>
        <v>#N/A</v>
      </c>
    </row>
    <row r="6678" spans="1:22" hidden="1" x14ac:dyDescent="0.25">
      <c r="A6678" s="100">
        <v>45976</v>
      </c>
      <c r="B6678" t="str">
        <f t="shared" si="424"/>
        <v>November</v>
      </c>
      <c r="C6678" s="46" t="s">
        <v>280</v>
      </c>
      <c r="F6678" s="366" t="s">
        <v>3379</v>
      </c>
      <c r="G6678" s="46" t="s">
        <v>19</v>
      </c>
      <c r="H6678" s="46">
        <v>1</v>
      </c>
      <c r="I6678" s="51">
        <v>6412.03</v>
      </c>
      <c r="J6678" s="281">
        <f>++Tabla4[[#This Row],[Precio Bruto]]*1.16</f>
        <v>7437.9547999999995</v>
      </c>
      <c r="K6678" s="281">
        <f>+Tabla4[[#This Row],[Precio Unitario Neto]]*Tabla4[[#Headers],[20.85%]]</f>
        <v>1550.8135757999999</v>
      </c>
      <c r="L6678" s="282">
        <f>++Tabla4[[#This Row],[Precio Unitario Neto]]-Tabla4[[#This Row],[20.85%]]</f>
        <v>5887.1412241999997</v>
      </c>
      <c r="M6678" s="282" t="e">
        <f>(INDEX(Tabla6[#All],MATCH(Tabla4[[#This Row],[Producto]],Tabla6[[#All],[PRODUCTO]],0),MATCH(Tabla4[[#This Row],[Mes]],Tabla6[#Headers],0)))*(1+Catalogos!$L$2)</f>
        <v>#N/A</v>
      </c>
      <c r="N6678" s="283" t="e">
        <f>+(Tabla4[[#This Row],[Precio Descontado]]-Tabla4[[#This Row],[Precio Base]])*Tabla4[[#This Row],[Cantidad]]</f>
        <v>#N/A</v>
      </c>
      <c r="O6678" s="284" t="e">
        <f>++Tabla4[[#This Row],[Utilidad Total]]/Tabla4[[#This Row],[Total]]</f>
        <v>#N/A</v>
      </c>
      <c r="P6678" s="282">
        <f>++Tabla4[[#This Row],[Precio Descontado]]*Tabla4[[#This Row],[Cantidad]]</f>
        <v>5887.1412241999997</v>
      </c>
      <c r="Q6678" s="282" t="e">
        <f>(INDEX(Tabla6[#All],MATCH(Tabla4[[#This Row],[Producto]],Tabla6[[#All],[PRODUCTO]],0),MATCH(Tabla4[[#This Row],[Mes]],Tabla6[#Headers],0)))</f>
        <v>#N/A</v>
      </c>
      <c r="R6678" s="282" t="e">
        <f>++Tabla4[[#This Row],[Precio Unitario Neto]]-Tabla4[[#This Row],[20.85%]]-Tabla4[[#This Row],[Costo]]</f>
        <v>#N/A</v>
      </c>
      <c r="S6678" s="282" t="e">
        <f>++Tabla4[[#This Row],[U. Bruta Uni]]*Tabla4[[#This Row],[Cantidad]]</f>
        <v>#N/A</v>
      </c>
      <c r="T6678" s="369" t="str">
        <f>VLOOKUP(Tabla4[[#This Row],[Producto]],Tabla6[#All],14,FALSE)</f>
        <v>Termico Solar</v>
      </c>
      <c r="U6678" s="284" t="e">
        <f>(IF(Tabla4[[#This Row],[Familia]]="termico solar",Tabla4[[#This Row],[Utilidad Total]]*6%,Tabla4[[#This Row],[Utilidad Total]]*11.5%))/Tabla4[[#This Row],[Total]]</f>
        <v>#N/A</v>
      </c>
      <c r="V6678" s="282" t="e">
        <f>+Tabla4[[#This Row],[Comisión Calculada]]*Tabla4[[#This Row],[Total]]</f>
        <v>#N/A</v>
      </c>
    </row>
    <row r="6679" spans="1:22" hidden="1" x14ac:dyDescent="0.25">
      <c r="A6679" s="100">
        <v>45976</v>
      </c>
      <c r="B6679" t="str">
        <f t="shared" si="424"/>
        <v>November</v>
      </c>
      <c r="C6679" s="46" t="s">
        <v>280</v>
      </c>
      <c r="F6679" s="366" t="s">
        <v>3379</v>
      </c>
      <c r="G6679" s="46" t="s">
        <v>20</v>
      </c>
      <c r="H6679" s="46">
        <v>1</v>
      </c>
      <c r="I6679" s="51">
        <v>7751.98</v>
      </c>
      <c r="J6679" s="281">
        <f>++Tabla4[[#This Row],[Precio Bruto]]*1.16</f>
        <v>8992.2967999999983</v>
      </c>
      <c r="K6679" s="281">
        <f>+Tabla4[[#This Row],[Precio Unitario Neto]]*Tabla4[[#Headers],[20.85%]]</f>
        <v>1874.8938827999996</v>
      </c>
      <c r="L6679" s="282">
        <f>++Tabla4[[#This Row],[Precio Unitario Neto]]-Tabla4[[#This Row],[20.85%]]</f>
        <v>7117.4029171999991</v>
      </c>
      <c r="M6679" s="282" t="e">
        <f>(INDEX(Tabla6[#All],MATCH(Tabla4[[#This Row],[Producto]],Tabla6[[#All],[PRODUCTO]],0),MATCH(Tabla4[[#This Row],[Mes]],Tabla6[#Headers],0)))*(1+Catalogos!$L$2)</f>
        <v>#N/A</v>
      </c>
      <c r="N6679" s="283" t="e">
        <f>+(Tabla4[[#This Row],[Precio Descontado]]-Tabla4[[#This Row],[Precio Base]])*Tabla4[[#This Row],[Cantidad]]</f>
        <v>#N/A</v>
      </c>
      <c r="O6679" s="284" t="e">
        <f>++Tabla4[[#This Row],[Utilidad Total]]/Tabla4[[#This Row],[Total]]</f>
        <v>#N/A</v>
      </c>
      <c r="P6679" s="282">
        <f>++Tabla4[[#This Row],[Precio Descontado]]*Tabla4[[#This Row],[Cantidad]]</f>
        <v>7117.4029171999991</v>
      </c>
      <c r="Q6679" s="282" t="e">
        <f>(INDEX(Tabla6[#All],MATCH(Tabla4[[#This Row],[Producto]],Tabla6[[#All],[PRODUCTO]],0),MATCH(Tabla4[[#This Row],[Mes]],Tabla6[#Headers],0)))</f>
        <v>#N/A</v>
      </c>
      <c r="R6679" s="282" t="e">
        <f>++Tabla4[[#This Row],[Precio Unitario Neto]]-Tabla4[[#This Row],[20.85%]]-Tabla4[[#This Row],[Costo]]</f>
        <v>#N/A</v>
      </c>
      <c r="S6679" s="282" t="e">
        <f>++Tabla4[[#This Row],[U. Bruta Uni]]*Tabla4[[#This Row],[Cantidad]]</f>
        <v>#N/A</v>
      </c>
      <c r="T6679" s="369" t="str">
        <f>VLOOKUP(Tabla4[[#This Row],[Producto]],Tabla6[#All],14,FALSE)</f>
        <v>Termico Solar</v>
      </c>
      <c r="U6679" s="284" t="e">
        <f>(IF(Tabla4[[#This Row],[Familia]]="termico solar",Tabla4[[#This Row],[Utilidad Total]]*6%,Tabla4[[#This Row],[Utilidad Total]]*11.5%))/Tabla4[[#This Row],[Total]]</f>
        <v>#N/A</v>
      </c>
      <c r="V6679" s="282" t="e">
        <f>+Tabla4[[#This Row],[Comisión Calculada]]*Tabla4[[#This Row],[Total]]</f>
        <v>#N/A</v>
      </c>
    </row>
    <row r="6680" spans="1:22" hidden="1" x14ac:dyDescent="0.25">
      <c r="A6680" s="100">
        <v>45976</v>
      </c>
      <c r="B6680" t="str">
        <f t="shared" si="424"/>
        <v>November</v>
      </c>
      <c r="C6680" s="46" t="s">
        <v>280</v>
      </c>
      <c r="F6680" s="366" t="s">
        <v>3379</v>
      </c>
      <c r="G6680" s="46" t="s">
        <v>21</v>
      </c>
      <c r="H6680" s="46">
        <v>2</v>
      </c>
      <c r="I6680" s="51">
        <v>9282.19</v>
      </c>
      <c r="J6680" s="281">
        <f>++Tabla4[[#This Row],[Precio Bruto]]*1.16</f>
        <v>10767.340399999999</v>
      </c>
      <c r="K6680" s="281">
        <f>+Tabla4[[#This Row],[Precio Unitario Neto]]*Tabla4[[#Headers],[20.85%]]</f>
        <v>2244.9904733999997</v>
      </c>
      <c r="L6680" s="282">
        <f>++Tabla4[[#This Row],[Precio Unitario Neto]]-Tabla4[[#This Row],[20.85%]]</f>
        <v>8522.3499265999999</v>
      </c>
      <c r="M6680" s="282" t="e">
        <f>(INDEX(Tabla6[#All],MATCH(Tabla4[[#This Row],[Producto]],Tabla6[[#All],[PRODUCTO]],0),MATCH(Tabla4[[#This Row],[Mes]],Tabla6[#Headers],0)))*(1+Catalogos!$L$2)</f>
        <v>#N/A</v>
      </c>
      <c r="N6680" s="283" t="e">
        <f>+(Tabla4[[#This Row],[Precio Descontado]]-Tabla4[[#This Row],[Precio Base]])*Tabla4[[#This Row],[Cantidad]]</f>
        <v>#N/A</v>
      </c>
      <c r="O6680" s="284" t="e">
        <f>++Tabla4[[#This Row],[Utilidad Total]]/Tabla4[[#This Row],[Total]]</f>
        <v>#N/A</v>
      </c>
      <c r="P6680" s="282">
        <f>++Tabla4[[#This Row],[Precio Descontado]]*Tabla4[[#This Row],[Cantidad]]</f>
        <v>17044.6998532</v>
      </c>
      <c r="Q6680" s="282" t="e">
        <f>(INDEX(Tabla6[#All],MATCH(Tabla4[[#This Row],[Producto]],Tabla6[[#All],[PRODUCTO]],0),MATCH(Tabla4[[#This Row],[Mes]],Tabla6[#Headers],0)))</f>
        <v>#N/A</v>
      </c>
      <c r="R6680" s="282" t="e">
        <f>++Tabla4[[#This Row],[Precio Unitario Neto]]-Tabla4[[#This Row],[20.85%]]-Tabla4[[#This Row],[Costo]]</f>
        <v>#N/A</v>
      </c>
      <c r="S6680" s="282" t="e">
        <f>++Tabla4[[#This Row],[U. Bruta Uni]]*Tabla4[[#This Row],[Cantidad]]</f>
        <v>#N/A</v>
      </c>
      <c r="T6680" s="369" t="str">
        <f>VLOOKUP(Tabla4[[#This Row],[Producto]],Tabla6[#All],14,FALSE)</f>
        <v>Termico Solar</v>
      </c>
      <c r="U6680" s="284" t="e">
        <f>(IF(Tabla4[[#This Row],[Familia]]="termico solar",Tabla4[[#This Row],[Utilidad Total]]*6%,Tabla4[[#This Row],[Utilidad Total]]*11.5%))/Tabla4[[#This Row],[Total]]</f>
        <v>#N/A</v>
      </c>
      <c r="V6680" s="282" t="e">
        <f>+Tabla4[[#This Row],[Comisión Calculada]]*Tabla4[[#This Row],[Total]]</f>
        <v>#N/A</v>
      </c>
    </row>
    <row r="6681" spans="1:22" hidden="1" x14ac:dyDescent="0.25">
      <c r="A6681" s="100">
        <v>45976</v>
      </c>
      <c r="B6681" t="str">
        <f t="shared" si="424"/>
        <v>November</v>
      </c>
      <c r="C6681" s="46" t="s">
        <v>280</v>
      </c>
      <c r="F6681" s="366" t="s">
        <v>3379</v>
      </c>
      <c r="G6681" s="46" t="s">
        <v>22</v>
      </c>
      <c r="H6681" s="46">
        <v>2</v>
      </c>
      <c r="I6681" s="51">
        <v>13355.75</v>
      </c>
      <c r="J6681" s="281">
        <f>++Tabla4[[#This Row],[Precio Bruto]]*1.16</f>
        <v>15492.669999999998</v>
      </c>
      <c r="K6681" s="281">
        <f>+Tabla4[[#This Row],[Precio Unitario Neto]]*Tabla4[[#Headers],[20.85%]]</f>
        <v>3230.2216949999993</v>
      </c>
      <c r="L6681" s="282">
        <f>++Tabla4[[#This Row],[Precio Unitario Neto]]-Tabla4[[#This Row],[20.85%]]</f>
        <v>12262.448304999998</v>
      </c>
      <c r="M6681" s="282" t="e">
        <f>(INDEX(Tabla6[#All],MATCH(Tabla4[[#This Row],[Producto]],Tabla6[[#All],[PRODUCTO]],0),MATCH(Tabla4[[#This Row],[Mes]],Tabla6[#Headers],0)))*(1+Catalogos!$L$2)</f>
        <v>#N/A</v>
      </c>
      <c r="N6681" s="283" t="e">
        <f>+(Tabla4[[#This Row],[Precio Descontado]]-Tabla4[[#This Row],[Precio Base]])*Tabla4[[#This Row],[Cantidad]]</f>
        <v>#N/A</v>
      </c>
      <c r="O6681" s="284" t="e">
        <f>++Tabla4[[#This Row],[Utilidad Total]]/Tabla4[[#This Row],[Total]]</f>
        <v>#N/A</v>
      </c>
      <c r="P6681" s="282">
        <f>++Tabla4[[#This Row],[Precio Descontado]]*Tabla4[[#This Row],[Cantidad]]</f>
        <v>24524.896609999996</v>
      </c>
      <c r="Q6681" s="282" t="e">
        <f>(INDEX(Tabla6[#All],MATCH(Tabla4[[#This Row],[Producto]],Tabla6[[#All],[PRODUCTO]],0),MATCH(Tabla4[[#This Row],[Mes]],Tabla6[#Headers],0)))</f>
        <v>#N/A</v>
      </c>
      <c r="R6681" s="282" t="e">
        <f>++Tabla4[[#This Row],[Precio Unitario Neto]]-Tabla4[[#This Row],[20.85%]]-Tabla4[[#This Row],[Costo]]</f>
        <v>#N/A</v>
      </c>
      <c r="S6681" s="282" t="e">
        <f>++Tabla4[[#This Row],[U. Bruta Uni]]*Tabla4[[#This Row],[Cantidad]]</f>
        <v>#N/A</v>
      </c>
      <c r="T6681" s="369" t="str">
        <f>VLOOKUP(Tabla4[[#This Row],[Producto]],Tabla6[#All],14,FALSE)</f>
        <v>Termico Solar</v>
      </c>
      <c r="U6681" s="284" t="e">
        <f>(IF(Tabla4[[#This Row],[Familia]]="termico solar",Tabla4[[#This Row],[Utilidad Total]]*6%,Tabla4[[#This Row],[Utilidad Total]]*11.5%))/Tabla4[[#This Row],[Total]]</f>
        <v>#N/A</v>
      </c>
      <c r="V6681" s="282" t="e">
        <f>+Tabla4[[#This Row],[Comisión Calculada]]*Tabla4[[#This Row],[Total]]</f>
        <v>#N/A</v>
      </c>
    </row>
    <row r="6682" spans="1:22" hidden="1" x14ac:dyDescent="0.25">
      <c r="A6682" s="100">
        <v>45976</v>
      </c>
      <c r="B6682" t="str">
        <f t="shared" si="424"/>
        <v>November</v>
      </c>
      <c r="C6682" s="46" t="s">
        <v>280</v>
      </c>
      <c r="F6682" s="366" t="s">
        <v>3379</v>
      </c>
      <c r="G6682" s="46" t="s">
        <v>84</v>
      </c>
      <c r="H6682" s="46">
        <v>3</v>
      </c>
      <c r="I6682" s="51">
        <v>16601.829999999998</v>
      </c>
      <c r="J6682" s="281">
        <f>++Tabla4[[#This Row],[Precio Bruto]]*1.16</f>
        <v>19258.122799999997</v>
      </c>
      <c r="K6682" s="281">
        <f>+Tabla4[[#This Row],[Precio Unitario Neto]]*Tabla4[[#Headers],[20.85%]]</f>
        <v>4015.3186037999994</v>
      </c>
      <c r="L6682" s="282">
        <f>++Tabla4[[#This Row],[Precio Unitario Neto]]-Tabla4[[#This Row],[20.85%]]</f>
        <v>15242.804196199999</v>
      </c>
      <c r="M6682" s="282" t="e">
        <f>(INDEX(Tabla6[#All],MATCH(Tabla4[[#This Row],[Producto]],Tabla6[[#All],[PRODUCTO]],0),MATCH(Tabla4[[#This Row],[Mes]],Tabla6[#Headers],0)))*(1+Catalogos!$L$2)</f>
        <v>#N/A</v>
      </c>
      <c r="N6682" s="283" t="e">
        <f>+(Tabla4[[#This Row],[Precio Descontado]]-Tabla4[[#This Row],[Precio Base]])*Tabla4[[#This Row],[Cantidad]]</f>
        <v>#N/A</v>
      </c>
      <c r="O6682" s="284" t="e">
        <f>++Tabla4[[#This Row],[Utilidad Total]]/Tabla4[[#This Row],[Total]]</f>
        <v>#N/A</v>
      </c>
      <c r="P6682" s="282">
        <f>++Tabla4[[#This Row],[Precio Descontado]]*Tabla4[[#This Row],[Cantidad]]</f>
        <v>45728.412588599997</v>
      </c>
      <c r="Q6682" s="282" t="e">
        <f>(INDEX(Tabla6[#All],MATCH(Tabla4[[#This Row],[Producto]],Tabla6[[#All],[PRODUCTO]],0),MATCH(Tabla4[[#This Row],[Mes]],Tabla6[#Headers],0)))</f>
        <v>#N/A</v>
      </c>
      <c r="R6682" s="282" t="e">
        <f>++Tabla4[[#This Row],[Precio Unitario Neto]]-Tabla4[[#This Row],[20.85%]]-Tabla4[[#This Row],[Costo]]</f>
        <v>#N/A</v>
      </c>
      <c r="S6682" s="282" t="e">
        <f>++Tabla4[[#This Row],[U. Bruta Uni]]*Tabla4[[#This Row],[Cantidad]]</f>
        <v>#N/A</v>
      </c>
      <c r="T6682" s="369" t="str">
        <f>VLOOKUP(Tabla4[[#This Row],[Producto]],Tabla6[#All],14,FALSE)</f>
        <v>Termico Solar</v>
      </c>
      <c r="U6682" s="284" t="e">
        <f>(IF(Tabla4[[#This Row],[Familia]]="termico solar",Tabla4[[#This Row],[Utilidad Total]]*6%,Tabla4[[#This Row],[Utilidad Total]]*11.5%))/Tabla4[[#This Row],[Total]]</f>
        <v>#N/A</v>
      </c>
      <c r="V6682" s="282" t="e">
        <f>+Tabla4[[#This Row],[Comisión Calculada]]*Tabla4[[#This Row],[Total]]</f>
        <v>#N/A</v>
      </c>
    </row>
    <row r="6683" spans="1:22" hidden="1" x14ac:dyDescent="0.25">
      <c r="A6683" s="100">
        <v>45976</v>
      </c>
      <c r="B6683" t="str">
        <f t="shared" si="424"/>
        <v>November</v>
      </c>
      <c r="C6683" s="46" t="s">
        <v>280</v>
      </c>
      <c r="F6683" s="366" t="s">
        <v>3379</v>
      </c>
      <c r="G6683" s="46" t="s">
        <v>566</v>
      </c>
      <c r="H6683" s="46">
        <v>2</v>
      </c>
      <c r="I6683" s="51">
        <v>2109.4499999999998</v>
      </c>
      <c r="J6683" s="281">
        <f>++Tabla4[[#This Row],[Precio Bruto]]*1.16</f>
        <v>2446.9619999999995</v>
      </c>
      <c r="K6683" s="281">
        <f>+Tabla4[[#This Row],[Precio Unitario Neto]]*Tabla4[[#Headers],[20.85%]]</f>
        <v>510.19157699999988</v>
      </c>
      <c r="L6683" s="282">
        <f>++Tabla4[[#This Row],[Precio Unitario Neto]]-Tabla4[[#This Row],[20.85%]]</f>
        <v>1936.7704229999997</v>
      </c>
      <c r="M6683" s="282" t="e">
        <f>(INDEX(Tabla6[#All],MATCH(Tabla4[[#This Row],[Producto]],Tabla6[[#All],[PRODUCTO]],0),MATCH(Tabla4[[#This Row],[Mes]],Tabla6[#Headers],0)))*(1+Catalogos!$L$2)</f>
        <v>#N/A</v>
      </c>
      <c r="N6683" s="283" t="e">
        <f>+(Tabla4[[#This Row],[Precio Descontado]]-Tabla4[[#This Row],[Precio Base]])*Tabla4[[#This Row],[Cantidad]]</f>
        <v>#N/A</v>
      </c>
      <c r="O6683" s="284" t="e">
        <f>++Tabla4[[#This Row],[Utilidad Total]]/Tabla4[[#This Row],[Total]]</f>
        <v>#N/A</v>
      </c>
      <c r="P6683" s="282">
        <f>++Tabla4[[#This Row],[Precio Descontado]]*Tabla4[[#This Row],[Cantidad]]</f>
        <v>3873.5408459999994</v>
      </c>
      <c r="Q6683" s="282" t="e">
        <f>(INDEX(Tabla6[#All],MATCH(Tabla4[[#This Row],[Producto]],Tabla6[[#All],[PRODUCTO]],0),MATCH(Tabla4[[#This Row],[Mes]],Tabla6[#Headers],0)))</f>
        <v>#N/A</v>
      </c>
      <c r="R6683" s="282" t="e">
        <f>++Tabla4[[#This Row],[Precio Unitario Neto]]-Tabla4[[#This Row],[20.85%]]-Tabla4[[#This Row],[Costo]]</f>
        <v>#N/A</v>
      </c>
      <c r="S6683" s="282" t="e">
        <f>++Tabla4[[#This Row],[U. Bruta Uni]]*Tabla4[[#This Row],[Cantidad]]</f>
        <v>#N/A</v>
      </c>
      <c r="T6683" s="369" t="str">
        <f>VLOOKUP(Tabla4[[#This Row],[Producto]],Tabla6[#All],14,FALSE)</f>
        <v>Termico Solar</v>
      </c>
      <c r="U6683" s="284" t="e">
        <f>(IF(Tabla4[[#This Row],[Familia]]="termico solar",Tabla4[[#This Row],[Utilidad Total]]*6%,Tabla4[[#This Row],[Utilidad Total]]*11.5%))/Tabla4[[#This Row],[Total]]</f>
        <v>#N/A</v>
      </c>
      <c r="V6683" s="282" t="e">
        <f>+Tabla4[[#This Row],[Comisión Calculada]]*Tabla4[[#This Row],[Total]]</f>
        <v>#N/A</v>
      </c>
    </row>
    <row r="6684" spans="1:22" hidden="1" x14ac:dyDescent="0.25">
      <c r="A6684" s="100">
        <v>45976</v>
      </c>
      <c r="B6684" t="str">
        <f t="shared" si="424"/>
        <v>November</v>
      </c>
      <c r="C6684" s="46" t="s">
        <v>280</v>
      </c>
      <c r="F6684" s="366" t="s">
        <v>3379</v>
      </c>
      <c r="G6684" s="46" t="s">
        <v>412</v>
      </c>
      <c r="H6684" s="46">
        <v>2</v>
      </c>
      <c r="I6684" s="51">
        <v>3240.84</v>
      </c>
      <c r="J6684" s="281">
        <f>++Tabla4[[#This Row],[Precio Bruto]]*1.16</f>
        <v>3759.3743999999997</v>
      </c>
      <c r="K6684" s="281">
        <f>+Tabla4[[#This Row],[Precio Unitario Neto]]*Tabla4[[#Headers],[20.85%]]</f>
        <v>783.82956239999987</v>
      </c>
      <c r="L6684" s="282">
        <f>++Tabla4[[#This Row],[Precio Unitario Neto]]-Tabla4[[#This Row],[20.85%]]</f>
        <v>2975.5448375999999</v>
      </c>
      <c r="M6684" s="282" t="e">
        <f>(INDEX(Tabla6[#All],MATCH(Tabla4[[#This Row],[Producto]],Tabla6[[#All],[PRODUCTO]],0),MATCH(Tabla4[[#This Row],[Mes]],Tabla6[#Headers],0)))*(1+Catalogos!$L$2)</f>
        <v>#N/A</v>
      </c>
      <c r="N6684" s="283" t="e">
        <f>+(Tabla4[[#This Row],[Precio Descontado]]-Tabla4[[#This Row],[Precio Base]])*Tabla4[[#This Row],[Cantidad]]</f>
        <v>#N/A</v>
      </c>
      <c r="O6684" s="284" t="e">
        <f>++Tabla4[[#This Row],[Utilidad Total]]/Tabla4[[#This Row],[Total]]</f>
        <v>#N/A</v>
      </c>
      <c r="P6684" s="282">
        <f>++Tabla4[[#This Row],[Precio Descontado]]*Tabla4[[#This Row],[Cantidad]]</f>
        <v>5951.0896751999999</v>
      </c>
      <c r="Q6684" s="282" t="e">
        <f>(INDEX(Tabla6[#All],MATCH(Tabla4[[#This Row],[Producto]],Tabla6[[#All],[PRODUCTO]],0),MATCH(Tabla4[[#This Row],[Mes]],Tabla6[#Headers],0)))</f>
        <v>#N/A</v>
      </c>
      <c r="R6684" s="282" t="e">
        <f>++Tabla4[[#This Row],[Precio Unitario Neto]]-Tabla4[[#This Row],[20.85%]]-Tabla4[[#This Row],[Costo]]</f>
        <v>#N/A</v>
      </c>
      <c r="S6684" s="282" t="e">
        <f>++Tabla4[[#This Row],[U. Bruta Uni]]*Tabla4[[#This Row],[Cantidad]]</f>
        <v>#N/A</v>
      </c>
      <c r="T6684" s="369" t="str">
        <f>VLOOKUP(Tabla4[[#This Row],[Producto]],Tabla6[#All],14,FALSE)</f>
        <v>Termico Solar</v>
      </c>
      <c r="U6684" s="284" t="e">
        <f>(IF(Tabla4[[#This Row],[Familia]]="termico solar",Tabla4[[#This Row],[Utilidad Total]]*6%,Tabla4[[#This Row],[Utilidad Total]]*11.5%))/Tabla4[[#This Row],[Total]]</f>
        <v>#N/A</v>
      </c>
      <c r="V6684" s="282" t="e">
        <f>+Tabla4[[#This Row],[Comisión Calculada]]*Tabla4[[#This Row],[Total]]</f>
        <v>#N/A</v>
      </c>
    </row>
    <row r="6685" spans="1:22" hidden="1" x14ac:dyDescent="0.25">
      <c r="A6685" s="100">
        <v>45976</v>
      </c>
      <c r="B6685" t="str">
        <f t="shared" si="424"/>
        <v>November</v>
      </c>
      <c r="C6685" s="46" t="s">
        <v>280</v>
      </c>
      <c r="F6685" s="366" t="s">
        <v>3379</v>
      </c>
      <c r="G6685" s="46" t="s">
        <v>16</v>
      </c>
      <c r="H6685" s="46">
        <v>3</v>
      </c>
      <c r="I6685" s="51">
        <v>4103.8499999999995</v>
      </c>
      <c r="J6685" s="281">
        <f>++Tabla4[[#This Row],[Precio Bruto]]*1.16</f>
        <v>4760.4659999999994</v>
      </c>
      <c r="K6685" s="281">
        <f>+Tabla4[[#This Row],[Precio Unitario Neto]]*Tabla4[[#Headers],[20.85%]]</f>
        <v>992.55716099999984</v>
      </c>
      <c r="L6685" s="282">
        <f>++Tabla4[[#This Row],[Precio Unitario Neto]]-Tabla4[[#This Row],[20.85%]]</f>
        <v>3767.9088389999997</v>
      </c>
      <c r="M6685" s="282" t="e">
        <f>(INDEX(Tabla6[#All],MATCH(Tabla4[[#This Row],[Producto]],Tabla6[[#All],[PRODUCTO]],0),MATCH(Tabla4[[#This Row],[Mes]],Tabla6[#Headers],0)))*(1+Catalogos!$L$2)</f>
        <v>#N/A</v>
      </c>
      <c r="N6685" s="283" t="e">
        <f>+(Tabla4[[#This Row],[Precio Descontado]]-Tabla4[[#This Row],[Precio Base]])*Tabla4[[#This Row],[Cantidad]]</f>
        <v>#N/A</v>
      </c>
      <c r="O6685" s="284" t="e">
        <f>++Tabla4[[#This Row],[Utilidad Total]]/Tabla4[[#This Row],[Total]]</f>
        <v>#N/A</v>
      </c>
      <c r="P6685" s="282">
        <f>++Tabla4[[#This Row],[Precio Descontado]]*Tabla4[[#This Row],[Cantidad]]</f>
        <v>11303.726516999999</v>
      </c>
      <c r="Q6685" s="282" t="e">
        <f>(INDEX(Tabla6[#All],MATCH(Tabla4[[#This Row],[Producto]],Tabla6[[#All],[PRODUCTO]],0),MATCH(Tabla4[[#This Row],[Mes]],Tabla6[#Headers],0)))</f>
        <v>#N/A</v>
      </c>
      <c r="R6685" s="282" t="e">
        <f>++Tabla4[[#This Row],[Precio Unitario Neto]]-Tabla4[[#This Row],[20.85%]]-Tabla4[[#This Row],[Costo]]</f>
        <v>#N/A</v>
      </c>
      <c r="S6685" s="282" t="e">
        <f>++Tabla4[[#This Row],[U. Bruta Uni]]*Tabla4[[#This Row],[Cantidad]]</f>
        <v>#N/A</v>
      </c>
      <c r="T6685" s="369" t="str">
        <f>VLOOKUP(Tabla4[[#This Row],[Producto]],Tabla6[#All],14,FALSE)</f>
        <v>Termico Solar</v>
      </c>
      <c r="U6685" s="284" t="e">
        <f>(IF(Tabla4[[#This Row],[Familia]]="termico solar",Tabla4[[#This Row],[Utilidad Total]]*6%,Tabla4[[#This Row],[Utilidad Total]]*11.5%))/Tabla4[[#This Row],[Total]]</f>
        <v>#N/A</v>
      </c>
      <c r="V6685" s="282" t="e">
        <f>+Tabla4[[#This Row],[Comisión Calculada]]*Tabla4[[#This Row],[Total]]</f>
        <v>#N/A</v>
      </c>
    </row>
    <row r="6686" spans="1:22" hidden="1" x14ac:dyDescent="0.25">
      <c r="A6686" s="100">
        <v>45976</v>
      </c>
      <c r="B6686" t="str">
        <f t="shared" si="424"/>
        <v>November</v>
      </c>
      <c r="C6686" s="46" t="s">
        <v>280</v>
      </c>
      <c r="F6686" s="366" t="s">
        <v>3379</v>
      </c>
      <c r="G6686" s="46" t="s">
        <v>394</v>
      </c>
      <c r="H6686" s="46">
        <v>16</v>
      </c>
      <c r="I6686" s="51">
        <v>224.29</v>
      </c>
      <c r="J6686" s="281">
        <f>++Tabla4[[#This Row],[Precio Bruto]]*1.16</f>
        <v>260.1764</v>
      </c>
      <c r="K6686" s="281">
        <f>+Tabla4[[#This Row],[Precio Unitario Neto]]*Tabla4[[#Headers],[20.85%]]</f>
        <v>54.246779400000001</v>
      </c>
      <c r="L6686" s="282">
        <f>++Tabla4[[#This Row],[Precio Unitario Neto]]-Tabla4[[#This Row],[20.85%]]</f>
        <v>205.92962059999999</v>
      </c>
      <c r="M6686" s="282" t="e">
        <f>(INDEX(Tabla6[#All],MATCH(Tabla4[[#This Row],[Producto]],Tabla6[[#All],[PRODUCTO]],0),MATCH(Tabla4[[#This Row],[Mes]],Tabla6[#Headers],0)))*(1+Catalogos!$L$2)</f>
        <v>#N/A</v>
      </c>
      <c r="N6686" s="283" t="e">
        <f>+(Tabla4[[#This Row],[Precio Descontado]]-Tabla4[[#This Row],[Precio Base]])*Tabla4[[#This Row],[Cantidad]]</f>
        <v>#N/A</v>
      </c>
      <c r="O6686" s="284" t="e">
        <f>++Tabla4[[#This Row],[Utilidad Total]]/Tabla4[[#This Row],[Total]]</f>
        <v>#N/A</v>
      </c>
      <c r="P6686" s="282">
        <f>++Tabla4[[#This Row],[Precio Descontado]]*Tabla4[[#This Row],[Cantidad]]</f>
        <v>3294.8739295999999</v>
      </c>
      <c r="Q6686" s="282" t="e">
        <f>(INDEX(Tabla6[#All],MATCH(Tabla4[[#This Row],[Producto]],Tabla6[[#All],[PRODUCTO]],0),MATCH(Tabla4[[#This Row],[Mes]],Tabla6[#Headers],0)))</f>
        <v>#N/A</v>
      </c>
      <c r="R6686" s="282" t="e">
        <f>++Tabla4[[#This Row],[Precio Unitario Neto]]-Tabla4[[#This Row],[20.85%]]-Tabla4[[#This Row],[Costo]]</f>
        <v>#N/A</v>
      </c>
      <c r="S6686" s="282" t="e">
        <f>++Tabla4[[#This Row],[U. Bruta Uni]]*Tabla4[[#This Row],[Cantidad]]</f>
        <v>#N/A</v>
      </c>
      <c r="T6686" s="369" t="str">
        <f>VLOOKUP(Tabla4[[#This Row],[Producto]],Tabla6[#All],14,FALSE)</f>
        <v>Termico Solar</v>
      </c>
      <c r="U6686" s="284" t="e">
        <f>(IF(Tabla4[[#This Row],[Familia]]="termico solar",Tabla4[[#This Row],[Utilidad Total]]*6%,Tabla4[[#This Row],[Utilidad Total]]*11.5%))/Tabla4[[#This Row],[Total]]</f>
        <v>#N/A</v>
      </c>
      <c r="V6686" s="282" t="e">
        <f>+Tabla4[[#This Row],[Comisión Calculada]]*Tabla4[[#This Row],[Total]]</f>
        <v>#N/A</v>
      </c>
    </row>
    <row r="6687" spans="1:22" hidden="1" x14ac:dyDescent="0.25">
      <c r="A6687" s="100">
        <v>45976</v>
      </c>
      <c r="B6687" t="str">
        <f t="shared" si="424"/>
        <v>November</v>
      </c>
      <c r="C6687" s="46" t="s">
        <v>280</v>
      </c>
      <c r="F6687" s="366" t="s">
        <v>3379</v>
      </c>
      <c r="G6687" s="46" t="s">
        <v>208</v>
      </c>
      <c r="H6687" s="46">
        <v>5</v>
      </c>
      <c r="I6687" s="51">
        <v>189.75</v>
      </c>
      <c r="J6687" s="281">
        <f>++Tabla4[[#This Row],[Precio Bruto]]*1.16</f>
        <v>220.10999999999999</v>
      </c>
      <c r="K6687" s="281">
        <f>+Tabla4[[#This Row],[Precio Unitario Neto]]*Tabla4[[#Headers],[20.85%]]</f>
        <v>45.892934999999994</v>
      </c>
      <c r="L6687" s="282">
        <f>++Tabla4[[#This Row],[Precio Unitario Neto]]-Tabla4[[#This Row],[20.85%]]</f>
        <v>174.21706499999999</v>
      </c>
      <c r="M6687" s="282" t="e">
        <f>(INDEX(Tabla6[#All],MATCH(Tabla4[[#This Row],[Producto]],Tabla6[[#All],[PRODUCTO]],0),MATCH(Tabla4[[#This Row],[Mes]],Tabla6[#Headers],0)))*(1+Catalogos!$L$2)</f>
        <v>#N/A</v>
      </c>
      <c r="N6687" s="283" t="e">
        <f>+(Tabla4[[#This Row],[Precio Descontado]]-Tabla4[[#This Row],[Precio Base]])*Tabla4[[#This Row],[Cantidad]]</f>
        <v>#N/A</v>
      </c>
      <c r="O6687" s="284" t="e">
        <f>++Tabla4[[#This Row],[Utilidad Total]]/Tabla4[[#This Row],[Total]]</f>
        <v>#N/A</v>
      </c>
      <c r="P6687" s="282">
        <f>++Tabla4[[#This Row],[Precio Descontado]]*Tabla4[[#This Row],[Cantidad]]</f>
        <v>871.08532500000001</v>
      </c>
      <c r="Q6687" s="282" t="e">
        <f>(INDEX(Tabla6[#All],MATCH(Tabla4[[#This Row],[Producto]],Tabla6[[#All],[PRODUCTO]],0),MATCH(Tabla4[[#This Row],[Mes]],Tabla6[#Headers],0)))</f>
        <v>#N/A</v>
      </c>
      <c r="R6687" s="282" t="e">
        <f>++Tabla4[[#This Row],[Precio Unitario Neto]]-Tabla4[[#This Row],[20.85%]]-Tabla4[[#This Row],[Costo]]</f>
        <v>#N/A</v>
      </c>
      <c r="S6687" s="282" t="e">
        <f>++Tabla4[[#This Row],[U. Bruta Uni]]*Tabla4[[#This Row],[Cantidad]]</f>
        <v>#N/A</v>
      </c>
      <c r="T6687" s="369" t="str">
        <f>VLOOKUP(Tabla4[[#This Row],[Producto]],Tabla6[#All],14,FALSE)</f>
        <v>Termico Solar</v>
      </c>
      <c r="U6687" s="284" t="e">
        <f>(IF(Tabla4[[#This Row],[Familia]]="termico solar",Tabla4[[#This Row],[Utilidad Total]]*6%,Tabla4[[#This Row],[Utilidad Total]]*11.5%))/Tabla4[[#This Row],[Total]]</f>
        <v>#N/A</v>
      </c>
      <c r="V6687" s="282" t="e">
        <f>+Tabla4[[#This Row],[Comisión Calculada]]*Tabla4[[#This Row],[Total]]</f>
        <v>#N/A</v>
      </c>
    </row>
    <row r="6688" spans="1:22" hidden="1" x14ac:dyDescent="0.25">
      <c r="A6688" s="100">
        <v>45976</v>
      </c>
      <c r="B6688" t="str">
        <f>TEXT(A6688, "mmmm")</f>
        <v>November</v>
      </c>
      <c r="C6688" s="46" t="s">
        <v>280</v>
      </c>
      <c r="F6688" s="366" t="s">
        <v>3380</v>
      </c>
      <c r="G6688" s="46" t="s">
        <v>16</v>
      </c>
      <c r="H6688" s="46">
        <v>1</v>
      </c>
      <c r="I6688" s="51">
        <v>4103.8500000000004</v>
      </c>
      <c r="J6688" s="281">
        <f>++Tabla4[[#This Row],[Precio Bruto]]*1.16</f>
        <v>4760.4660000000003</v>
      </c>
      <c r="K6688" s="281">
        <f>+Tabla4[[#This Row],[Precio Unitario Neto]]*Tabla4[[#Headers],[20.85%]]</f>
        <v>992.55716100000006</v>
      </c>
      <c r="L6688" s="282">
        <f>++Tabla4[[#This Row],[Precio Unitario Neto]]-Tabla4[[#This Row],[20.85%]]</f>
        <v>3767.9088390000002</v>
      </c>
      <c r="M6688" s="282" t="e">
        <f>(INDEX(Tabla6[#All],MATCH(Tabla4[[#This Row],[Producto]],Tabla6[[#All],[PRODUCTO]],0),MATCH(Tabla4[[#This Row],[Mes]],Tabla6[#Headers],0)))*(1+Catalogos!$L$2)</f>
        <v>#N/A</v>
      </c>
      <c r="N6688" s="283" t="e">
        <f>+(Tabla4[[#This Row],[Precio Descontado]]-Tabla4[[#This Row],[Precio Base]])*Tabla4[[#This Row],[Cantidad]]</f>
        <v>#N/A</v>
      </c>
      <c r="O6688" s="284" t="e">
        <f>++Tabla4[[#This Row],[Utilidad Total]]/Tabla4[[#This Row],[Total]]</f>
        <v>#N/A</v>
      </c>
      <c r="P6688" s="282">
        <f>++Tabla4[[#This Row],[Precio Descontado]]*Tabla4[[#This Row],[Cantidad]]</f>
        <v>3767.9088390000002</v>
      </c>
      <c r="Q6688" s="282" t="e">
        <f>(INDEX(Tabla6[#All],MATCH(Tabla4[[#This Row],[Producto]],Tabla6[[#All],[PRODUCTO]],0),MATCH(Tabla4[[#This Row],[Mes]],Tabla6[#Headers],0)))</f>
        <v>#N/A</v>
      </c>
      <c r="R6688" s="282" t="e">
        <f>++Tabla4[[#This Row],[Precio Unitario Neto]]-Tabla4[[#This Row],[20.85%]]-Tabla4[[#This Row],[Costo]]</f>
        <v>#N/A</v>
      </c>
      <c r="S6688" s="282" t="e">
        <f>++Tabla4[[#This Row],[U. Bruta Uni]]*Tabla4[[#This Row],[Cantidad]]</f>
        <v>#N/A</v>
      </c>
      <c r="T6688" s="369" t="str">
        <f>VLOOKUP(Tabla4[[#This Row],[Producto]],Tabla6[#All],14,FALSE)</f>
        <v>Termico Solar</v>
      </c>
      <c r="U6688" s="284" t="e">
        <f>(IF(Tabla4[[#This Row],[Familia]]="termico solar",Tabla4[[#This Row],[Utilidad Total]]*6%,Tabla4[[#This Row],[Utilidad Total]]*11.5%))/Tabla4[[#This Row],[Total]]</f>
        <v>#N/A</v>
      </c>
      <c r="V6688" s="282" t="e">
        <f>+Tabla4[[#This Row],[Comisión Calculada]]*Tabla4[[#This Row],[Total]]</f>
        <v>#N/A</v>
      </c>
    </row>
    <row r="6689" spans="1:22" hidden="1" x14ac:dyDescent="0.25">
      <c r="A6689" s="100">
        <v>45976</v>
      </c>
      <c r="B6689" t="str">
        <f t="shared" ref="B6689:B6694" si="425">TEXT(A6689, "mmmm")</f>
        <v>November</v>
      </c>
      <c r="C6689" s="46" t="s">
        <v>280</v>
      </c>
      <c r="F6689" s="366" t="s">
        <v>3381</v>
      </c>
      <c r="G6689" s="46" t="s">
        <v>17</v>
      </c>
      <c r="H6689" s="46">
        <v>1</v>
      </c>
      <c r="I6689" s="51">
        <v>4622.28</v>
      </c>
      <c r="J6689" s="281">
        <f>++Tabla4[[#This Row],[Precio Bruto]]*1.16</f>
        <v>5361.8447999999989</v>
      </c>
      <c r="K6689" s="281">
        <f>+Tabla4[[#This Row],[Precio Unitario Neto]]*Tabla4[[#Headers],[20.85%]]</f>
        <v>1117.9446407999997</v>
      </c>
      <c r="L6689" s="282">
        <f>++Tabla4[[#This Row],[Precio Unitario Neto]]-Tabla4[[#This Row],[20.85%]]</f>
        <v>4243.9001591999995</v>
      </c>
      <c r="M6689" s="282" t="e">
        <f>(INDEX(Tabla6[#All],MATCH(Tabla4[[#This Row],[Producto]],Tabla6[[#All],[PRODUCTO]],0),MATCH(Tabla4[[#This Row],[Mes]],Tabla6[#Headers],0)))*(1+Catalogos!$L$2)</f>
        <v>#N/A</v>
      </c>
      <c r="N6689" s="283" t="e">
        <f>+(Tabla4[[#This Row],[Precio Descontado]]-Tabla4[[#This Row],[Precio Base]])*Tabla4[[#This Row],[Cantidad]]</f>
        <v>#N/A</v>
      </c>
      <c r="O6689" s="284" t="e">
        <f>++Tabla4[[#This Row],[Utilidad Total]]/Tabla4[[#This Row],[Total]]</f>
        <v>#N/A</v>
      </c>
      <c r="P6689" s="282">
        <f>++Tabla4[[#This Row],[Precio Descontado]]*Tabla4[[#This Row],[Cantidad]]</f>
        <v>4243.9001591999995</v>
      </c>
      <c r="Q6689" s="282" t="e">
        <f>(INDEX(Tabla6[#All],MATCH(Tabla4[[#This Row],[Producto]],Tabla6[[#All],[PRODUCTO]],0),MATCH(Tabla4[[#This Row],[Mes]],Tabla6[#Headers],0)))</f>
        <v>#N/A</v>
      </c>
      <c r="R6689" s="282" t="e">
        <f>++Tabla4[[#This Row],[Precio Unitario Neto]]-Tabla4[[#This Row],[20.85%]]-Tabla4[[#This Row],[Costo]]</f>
        <v>#N/A</v>
      </c>
      <c r="S6689" s="282" t="e">
        <f>++Tabla4[[#This Row],[U. Bruta Uni]]*Tabla4[[#This Row],[Cantidad]]</f>
        <v>#N/A</v>
      </c>
      <c r="T6689" s="369" t="str">
        <f>VLOOKUP(Tabla4[[#This Row],[Producto]],Tabla6[#All],14,FALSE)</f>
        <v>Termico Solar</v>
      </c>
      <c r="U6689" s="284" t="e">
        <f>(IF(Tabla4[[#This Row],[Familia]]="termico solar",Tabla4[[#This Row],[Utilidad Total]]*6%,Tabla4[[#This Row],[Utilidad Total]]*11.5%))/Tabla4[[#This Row],[Total]]</f>
        <v>#N/A</v>
      </c>
      <c r="V6689" s="282" t="e">
        <f>+Tabla4[[#This Row],[Comisión Calculada]]*Tabla4[[#This Row],[Total]]</f>
        <v>#N/A</v>
      </c>
    </row>
    <row r="6690" spans="1:22" hidden="1" x14ac:dyDescent="0.25">
      <c r="A6690" s="100">
        <v>45976</v>
      </c>
      <c r="B6690" t="str">
        <f t="shared" si="425"/>
        <v>November</v>
      </c>
      <c r="C6690" s="46" t="s">
        <v>280</v>
      </c>
      <c r="F6690" s="366" t="s">
        <v>3381</v>
      </c>
      <c r="G6690" s="46" t="s">
        <v>18</v>
      </c>
      <c r="H6690" s="46">
        <v>1</v>
      </c>
      <c r="I6690" s="51">
        <v>5367.65</v>
      </c>
      <c r="J6690" s="281">
        <f>++Tabla4[[#This Row],[Precio Bruto]]*1.16</f>
        <v>6226.4739999999993</v>
      </c>
      <c r="K6690" s="281">
        <f>+Tabla4[[#This Row],[Precio Unitario Neto]]*Tabla4[[#Headers],[20.85%]]</f>
        <v>1298.2198289999999</v>
      </c>
      <c r="L6690" s="282">
        <f>++Tabla4[[#This Row],[Precio Unitario Neto]]-Tabla4[[#This Row],[20.85%]]</f>
        <v>4928.2541709999996</v>
      </c>
      <c r="M6690" s="282" t="e">
        <f>(INDEX(Tabla6[#All],MATCH(Tabla4[[#This Row],[Producto]],Tabla6[[#All],[PRODUCTO]],0),MATCH(Tabla4[[#This Row],[Mes]],Tabla6[#Headers],0)))*(1+Catalogos!$L$2)</f>
        <v>#N/A</v>
      </c>
      <c r="N6690" s="283" t="e">
        <f>+(Tabla4[[#This Row],[Precio Descontado]]-Tabla4[[#This Row],[Precio Base]])*Tabla4[[#This Row],[Cantidad]]</f>
        <v>#N/A</v>
      </c>
      <c r="O6690" s="284" t="e">
        <f>++Tabla4[[#This Row],[Utilidad Total]]/Tabla4[[#This Row],[Total]]</f>
        <v>#N/A</v>
      </c>
      <c r="P6690" s="282">
        <f>++Tabla4[[#This Row],[Precio Descontado]]*Tabla4[[#This Row],[Cantidad]]</f>
        <v>4928.2541709999996</v>
      </c>
      <c r="Q6690" s="282" t="e">
        <f>(INDEX(Tabla6[#All],MATCH(Tabla4[[#This Row],[Producto]],Tabla6[[#All],[PRODUCTO]],0),MATCH(Tabla4[[#This Row],[Mes]],Tabla6[#Headers],0)))</f>
        <v>#N/A</v>
      </c>
      <c r="R6690" s="282" t="e">
        <f>++Tabla4[[#This Row],[Precio Unitario Neto]]-Tabla4[[#This Row],[20.85%]]-Tabla4[[#This Row],[Costo]]</f>
        <v>#N/A</v>
      </c>
      <c r="S6690" s="282" t="e">
        <f>++Tabla4[[#This Row],[U. Bruta Uni]]*Tabla4[[#This Row],[Cantidad]]</f>
        <v>#N/A</v>
      </c>
      <c r="T6690" s="369" t="str">
        <f>VLOOKUP(Tabla4[[#This Row],[Producto]],Tabla6[#All],14,FALSE)</f>
        <v>Termico Solar</v>
      </c>
      <c r="U6690" s="284" t="e">
        <f>(IF(Tabla4[[#This Row],[Familia]]="termico solar",Tabla4[[#This Row],[Utilidad Total]]*6%,Tabla4[[#This Row],[Utilidad Total]]*11.5%))/Tabla4[[#This Row],[Total]]</f>
        <v>#N/A</v>
      </c>
      <c r="V6690" s="282" t="e">
        <f>+Tabla4[[#This Row],[Comisión Calculada]]*Tabla4[[#This Row],[Total]]</f>
        <v>#N/A</v>
      </c>
    </row>
    <row r="6691" spans="1:22" hidden="1" x14ac:dyDescent="0.25">
      <c r="A6691" s="100">
        <v>45976</v>
      </c>
      <c r="B6691" t="str">
        <f t="shared" si="425"/>
        <v>November</v>
      </c>
      <c r="C6691" s="46" t="s">
        <v>280</v>
      </c>
      <c r="F6691" s="366" t="s">
        <v>3381</v>
      </c>
      <c r="G6691" s="46" t="s">
        <v>566</v>
      </c>
      <c r="H6691" s="46">
        <v>1</v>
      </c>
      <c r="I6691" s="51">
        <v>2109.4499999999998</v>
      </c>
      <c r="J6691" s="281">
        <f>++Tabla4[[#This Row],[Precio Bruto]]*1.16</f>
        <v>2446.9619999999995</v>
      </c>
      <c r="K6691" s="281">
        <f>+Tabla4[[#This Row],[Precio Unitario Neto]]*Tabla4[[#Headers],[20.85%]]</f>
        <v>510.19157699999988</v>
      </c>
      <c r="L6691" s="282">
        <f>++Tabla4[[#This Row],[Precio Unitario Neto]]-Tabla4[[#This Row],[20.85%]]</f>
        <v>1936.7704229999997</v>
      </c>
      <c r="M6691" s="282" t="e">
        <f>(INDEX(Tabla6[#All],MATCH(Tabla4[[#This Row],[Producto]],Tabla6[[#All],[PRODUCTO]],0),MATCH(Tabla4[[#This Row],[Mes]],Tabla6[#Headers],0)))*(1+Catalogos!$L$2)</f>
        <v>#N/A</v>
      </c>
      <c r="N6691" s="283" t="e">
        <f>+(Tabla4[[#This Row],[Precio Descontado]]-Tabla4[[#This Row],[Precio Base]])*Tabla4[[#This Row],[Cantidad]]</f>
        <v>#N/A</v>
      </c>
      <c r="O6691" s="284" t="e">
        <f>++Tabla4[[#This Row],[Utilidad Total]]/Tabla4[[#This Row],[Total]]</f>
        <v>#N/A</v>
      </c>
      <c r="P6691" s="282">
        <f>++Tabla4[[#This Row],[Precio Descontado]]*Tabla4[[#This Row],[Cantidad]]</f>
        <v>1936.7704229999997</v>
      </c>
      <c r="Q6691" s="282" t="e">
        <f>(INDEX(Tabla6[#All],MATCH(Tabla4[[#This Row],[Producto]],Tabla6[[#All],[PRODUCTO]],0),MATCH(Tabla4[[#This Row],[Mes]],Tabla6[#Headers],0)))</f>
        <v>#N/A</v>
      </c>
      <c r="R6691" s="282" t="e">
        <f>++Tabla4[[#This Row],[Precio Unitario Neto]]-Tabla4[[#This Row],[20.85%]]-Tabla4[[#This Row],[Costo]]</f>
        <v>#N/A</v>
      </c>
      <c r="S6691" s="282" t="e">
        <f>++Tabla4[[#This Row],[U. Bruta Uni]]*Tabla4[[#This Row],[Cantidad]]</f>
        <v>#N/A</v>
      </c>
      <c r="T6691" s="369" t="str">
        <f>VLOOKUP(Tabla4[[#This Row],[Producto]],Tabla6[#All],14,FALSE)</f>
        <v>Termico Solar</v>
      </c>
      <c r="U6691" s="284" t="e">
        <f>(IF(Tabla4[[#This Row],[Familia]]="termico solar",Tabla4[[#This Row],[Utilidad Total]]*6%,Tabla4[[#This Row],[Utilidad Total]]*11.5%))/Tabla4[[#This Row],[Total]]</f>
        <v>#N/A</v>
      </c>
      <c r="V6691" s="282" t="e">
        <f>+Tabla4[[#This Row],[Comisión Calculada]]*Tabla4[[#This Row],[Total]]</f>
        <v>#N/A</v>
      </c>
    </row>
    <row r="6692" spans="1:22" hidden="1" x14ac:dyDescent="0.25">
      <c r="A6692" s="100">
        <v>45976</v>
      </c>
      <c r="B6692" t="str">
        <f t="shared" si="425"/>
        <v>November</v>
      </c>
      <c r="C6692" s="46" t="s">
        <v>280</v>
      </c>
      <c r="F6692" s="366" t="s">
        <v>3381</v>
      </c>
      <c r="G6692" s="46" t="s">
        <v>412</v>
      </c>
      <c r="H6692" s="46">
        <v>1</v>
      </c>
      <c r="I6692" s="51">
        <v>3240.84</v>
      </c>
      <c r="J6692" s="281">
        <f>++Tabla4[[#This Row],[Precio Bruto]]*1.16</f>
        <v>3759.3743999999997</v>
      </c>
      <c r="K6692" s="281">
        <f>+Tabla4[[#This Row],[Precio Unitario Neto]]*Tabla4[[#Headers],[20.85%]]</f>
        <v>783.82956239999987</v>
      </c>
      <c r="L6692" s="282">
        <f>++Tabla4[[#This Row],[Precio Unitario Neto]]-Tabla4[[#This Row],[20.85%]]</f>
        <v>2975.5448375999999</v>
      </c>
      <c r="M6692" s="282" t="e">
        <f>(INDEX(Tabla6[#All],MATCH(Tabla4[[#This Row],[Producto]],Tabla6[[#All],[PRODUCTO]],0),MATCH(Tabla4[[#This Row],[Mes]],Tabla6[#Headers],0)))*(1+Catalogos!$L$2)</f>
        <v>#N/A</v>
      </c>
      <c r="N6692" s="283" t="e">
        <f>+(Tabla4[[#This Row],[Precio Descontado]]-Tabla4[[#This Row],[Precio Base]])*Tabla4[[#This Row],[Cantidad]]</f>
        <v>#N/A</v>
      </c>
      <c r="O6692" s="284" t="e">
        <f>++Tabla4[[#This Row],[Utilidad Total]]/Tabla4[[#This Row],[Total]]</f>
        <v>#N/A</v>
      </c>
      <c r="P6692" s="282">
        <f>++Tabla4[[#This Row],[Precio Descontado]]*Tabla4[[#This Row],[Cantidad]]</f>
        <v>2975.5448375999999</v>
      </c>
      <c r="Q6692" s="282" t="e">
        <f>(INDEX(Tabla6[#All],MATCH(Tabla4[[#This Row],[Producto]],Tabla6[[#All],[PRODUCTO]],0),MATCH(Tabla4[[#This Row],[Mes]],Tabla6[#Headers],0)))</f>
        <v>#N/A</v>
      </c>
      <c r="R6692" s="282" t="e">
        <f>++Tabla4[[#This Row],[Precio Unitario Neto]]-Tabla4[[#This Row],[20.85%]]-Tabla4[[#This Row],[Costo]]</f>
        <v>#N/A</v>
      </c>
      <c r="S6692" s="282" t="e">
        <f>++Tabla4[[#This Row],[U. Bruta Uni]]*Tabla4[[#This Row],[Cantidad]]</f>
        <v>#N/A</v>
      </c>
      <c r="T6692" s="369" t="str">
        <f>VLOOKUP(Tabla4[[#This Row],[Producto]],Tabla6[#All],14,FALSE)</f>
        <v>Termico Solar</v>
      </c>
      <c r="U6692" s="284" t="e">
        <f>(IF(Tabla4[[#This Row],[Familia]]="termico solar",Tabla4[[#This Row],[Utilidad Total]]*6%,Tabla4[[#This Row],[Utilidad Total]]*11.5%))/Tabla4[[#This Row],[Total]]</f>
        <v>#N/A</v>
      </c>
      <c r="V6692" s="282" t="e">
        <f>+Tabla4[[#This Row],[Comisión Calculada]]*Tabla4[[#This Row],[Total]]</f>
        <v>#N/A</v>
      </c>
    </row>
    <row r="6693" spans="1:22" hidden="1" x14ac:dyDescent="0.25">
      <c r="A6693" s="100">
        <v>45976</v>
      </c>
      <c r="B6693" t="str">
        <f t="shared" si="425"/>
        <v>November</v>
      </c>
      <c r="C6693" s="46" t="s">
        <v>280</v>
      </c>
      <c r="F6693" s="366" t="s">
        <v>3381</v>
      </c>
      <c r="G6693" s="46" t="s">
        <v>394</v>
      </c>
      <c r="H6693" s="46">
        <v>9</v>
      </c>
      <c r="I6693" s="51">
        <v>108.1</v>
      </c>
      <c r="J6693" s="281">
        <f>++Tabla4[[#This Row],[Precio Bruto]]*1.16</f>
        <v>125.39599999999999</v>
      </c>
      <c r="K6693" s="281">
        <f>+Tabla4[[#This Row],[Precio Unitario Neto]]*Tabla4[[#Headers],[20.85%]]</f>
        <v>26.145065999999996</v>
      </c>
      <c r="L6693" s="282">
        <f>++Tabla4[[#This Row],[Precio Unitario Neto]]-Tabla4[[#This Row],[20.85%]]</f>
        <v>99.250933999999987</v>
      </c>
      <c r="M6693" s="282" t="e">
        <f>(INDEX(Tabla6[#All],MATCH(Tabla4[[#This Row],[Producto]],Tabla6[[#All],[PRODUCTO]],0),MATCH(Tabla4[[#This Row],[Mes]],Tabla6[#Headers],0)))*(1+Catalogos!$L$2)</f>
        <v>#N/A</v>
      </c>
      <c r="N6693" s="283" t="e">
        <f>+(Tabla4[[#This Row],[Precio Descontado]]-Tabla4[[#This Row],[Precio Base]])*Tabla4[[#This Row],[Cantidad]]</f>
        <v>#N/A</v>
      </c>
      <c r="O6693" s="284" t="e">
        <f>++Tabla4[[#This Row],[Utilidad Total]]/Tabla4[[#This Row],[Total]]</f>
        <v>#N/A</v>
      </c>
      <c r="P6693" s="282">
        <f>++Tabla4[[#This Row],[Precio Descontado]]*Tabla4[[#This Row],[Cantidad]]</f>
        <v>893.25840599999992</v>
      </c>
      <c r="Q6693" s="282" t="e">
        <f>(INDEX(Tabla6[#All],MATCH(Tabla4[[#This Row],[Producto]],Tabla6[[#All],[PRODUCTO]],0),MATCH(Tabla4[[#This Row],[Mes]],Tabla6[#Headers],0)))</f>
        <v>#N/A</v>
      </c>
      <c r="R6693" s="282" t="e">
        <f>++Tabla4[[#This Row],[Precio Unitario Neto]]-Tabla4[[#This Row],[20.85%]]-Tabla4[[#This Row],[Costo]]</f>
        <v>#N/A</v>
      </c>
      <c r="S6693" s="282" t="e">
        <f>++Tabla4[[#This Row],[U. Bruta Uni]]*Tabla4[[#This Row],[Cantidad]]</f>
        <v>#N/A</v>
      </c>
      <c r="T6693" s="369" t="str">
        <f>VLOOKUP(Tabla4[[#This Row],[Producto]],Tabla6[#All],14,FALSE)</f>
        <v>Termico Solar</v>
      </c>
      <c r="U6693" s="284" t="e">
        <f>(IF(Tabla4[[#This Row],[Familia]]="termico solar",Tabla4[[#This Row],[Utilidad Total]]*6%,Tabla4[[#This Row],[Utilidad Total]]*11.5%))/Tabla4[[#This Row],[Total]]</f>
        <v>#N/A</v>
      </c>
      <c r="V6693" s="282" t="e">
        <f>+Tabla4[[#This Row],[Comisión Calculada]]*Tabla4[[#This Row],[Total]]</f>
        <v>#N/A</v>
      </c>
    </row>
    <row r="6694" spans="1:22" hidden="1" x14ac:dyDescent="0.25">
      <c r="A6694" s="100">
        <v>45976</v>
      </c>
      <c r="B6694" t="str">
        <f t="shared" si="425"/>
        <v>November</v>
      </c>
      <c r="C6694" s="46" t="s">
        <v>280</v>
      </c>
      <c r="F6694" s="366" t="s">
        <v>3381</v>
      </c>
      <c r="G6694" s="46" t="s">
        <v>208</v>
      </c>
      <c r="H6694" s="46">
        <v>2</v>
      </c>
      <c r="I6694" s="51">
        <v>189.75</v>
      </c>
      <c r="J6694" s="281">
        <f>++Tabla4[[#This Row],[Precio Bruto]]*1.16</f>
        <v>220.10999999999999</v>
      </c>
      <c r="K6694" s="281">
        <f>+Tabla4[[#This Row],[Precio Unitario Neto]]*Tabla4[[#Headers],[20.85%]]</f>
        <v>45.892934999999994</v>
      </c>
      <c r="L6694" s="282">
        <f>++Tabla4[[#This Row],[Precio Unitario Neto]]-Tabla4[[#This Row],[20.85%]]</f>
        <v>174.21706499999999</v>
      </c>
      <c r="M6694" s="282" t="e">
        <f>(INDEX(Tabla6[#All],MATCH(Tabla4[[#This Row],[Producto]],Tabla6[[#All],[PRODUCTO]],0),MATCH(Tabla4[[#This Row],[Mes]],Tabla6[#Headers],0)))*(1+Catalogos!$L$2)</f>
        <v>#N/A</v>
      </c>
      <c r="N6694" s="283" t="e">
        <f>+(Tabla4[[#This Row],[Precio Descontado]]-Tabla4[[#This Row],[Precio Base]])*Tabla4[[#This Row],[Cantidad]]</f>
        <v>#N/A</v>
      </c>
      <c r="O6694" s="284" t="e">
        <f>++Tabla4[[#This Row],[Utilidad Total]]/Tabla4[[#This Row],[Total]]</f>
        <v>#N/A</v>
      </c>
      <c r="P6694" s="282">
        <f>++Tabla4[[#This Row],[Precio Descontado]]*Tabla4[[#This Row],[Cantidad]]</f>
        <v>348.43412999999998</v>
      </c>
      <c r="Q6694" s="282" t="e">
        <f>(INDEX(Tabla6[#All],MATCH(Tabla4[[#This Row],[Producto]],Tabla6[[#All],[PRODUCTO]],0),MATCH(Tabla4[[#This Row],[Mes]],Tabla6[#Headers],0)))</f>
        <v>#N/A</v>
      </c>
      <c r="R6694" s="282" t="e">
        <f>++Tabla4[[#This Row],[Precio Unitario Neto]]-Tabla4[[#This Row],[20.85%]]-Tabla4[[#This Row],[Costo]]</f>
        <v>#N/A</v>
      </c>
      <c r="S6694" s="282" t="e">
        <f>++Tabla4[[#This Row],[U. Bruta Uni]]*Tabla4[[#This Row],[Cantidad]]</f>
        <v>#N/A</v>
      </c>
      <c r="T6694" s="369" t="str">
        <f>VLOOKUP(Tabla4[[#This Row],[Producto]],Tabla6[#All],14,FALSE)</f>
        <v>Termico Solar</v>
      </c>
      <c r="U6694" s="284" t="e">
        <f>(IF(Tabla4[[#This Row],[Familia]]="termico solar",Tabla4[[#This Row],[Utilidad Total]]*6%,Tabla4[[#This Row],[Utilidad Total]]*11.5%))/Tabla4[[#This Row],[Total]]</f>
        <v>#N/A</v>
      </c>
      <c r="V6694" s="282" t="e">
        <f>+Tabla4[[#This Row],[Comisión Calculada]]*Tabla4[[#This Row],[Total]]</f>
        <v>#N/A</v>
      </c>
    </row>
    <row r="6695" spans="1:22" hidden="1" x14ac:dyDescent="0.25">
      <c r="A6695" s="100">
        <v>45976</v>
      </c>
      <c r="B6695" t="str">
        <f t="shared" ref="B6695:B6696" si="426">TEXT(A6695, "mmmm")</f>
        <v>November</v>
      </c>
      <c r="C6695" s="46" t="s">
        <v>280</v>
      </c>
      <c r="F6695" s="366" t="s">
        <v>3382</v>
      </c>
      <c r="G6695" s="46" t="s">
        <v>17</v>
      </c>
      <c r="H6695" s="46">
        <v>3</v>
      </c>
      <c r="I6695" s="51">
        <v>4622.28</v>
      </c>
      <c r="J6695" s="281">
        <f>++Tabla4[[#This Row],[Precio Bruto]]*1.16</f>
        <v>5361.8447999999989</v>
      </c>
      <c r="K6695" s="281">
        <f>+Tabla4[[#This Row],[Precio Unitario Neto]]*Tabla4[[#Headers],[20.85%]]</f>
        <v>1117.9446407999997</v>
      </c>
      <c r="L6695" s="282">
        <f>++Tabla4[[#This Row],[Precio Unitario Neto]]-Tabla4[[#This Row],[20.85%]]</f>
        <v>4243.9001591999995</v>
      </c>
      <c r="M6695" s="282" t="e">
        <f>(INDEX(Tabla6[#All],MATCH(Tabla4[[#This Row],[Producto]],Tabla6[[#All],[PRODUCTO]],0),MATCH(Tabla4[[#This Row],[Mes]],Tabla6[#Headers],0)))*(1+Catalogos!$L$2)</f>
        <v>#N/A</v>
      </c>
      <c r="N6695" s="283" t="e">
        <f>+(Tabla4[[#This Row],[Precio Descontado]]-Tabla4[[#This Row],[Precio Base]])*Tabla4[[#This Row],[Cantidad]]</f>
        <v>#N/A</v>
      </c>
      <c r="O6695" s="284" t="e">
        <f>++Tabla4[[#This Row],[Utilidad Total]]/Tabla4[[#This Row],[Total]]</f>
        <v>#N/A</v>
      </c>
      <c r="P6695" s="282">
        <f>++Tabla4[[#This Row],[Precio Descontado]]*Tabla4[[#This Row],[Cantidad]]</f>
        <v>12731.700477599999</v>
      </c>
      <c r="Q6695" s="282" t="e">
        <f>(INDEX(Tabla6[#All],MATCH(Tabla4[[#This Row],[Producto]],Tabla6[[#All],[PRODUCTO]],0),MATCH(Tabla4[[#This Row],[Mes]],Tabla6[#Headers],0)))</f>
        <v>#N/A</v>
      </c>
      <c r="R6695" s="282" t="e">
        <f>++Tabla4[[#This Row],[Precio Unitario Neto]]-Tabla4[[#This Row],[20.85%]]-Tabla4[[#This Row],[Costo]]</f>
        <v>#N/A</v>
      </c>
      <c r="S6695" s="282" t="e">
        <f>++Tabla4[[#This Row],[U. Bruta Uni]]*Tabla4[[#This Row],[Cantidad]]</f>
        <v>#N/A</v>
      </c>
      <c r="T6695" s="369" t="str">
        <f>VLOOKUP(Tabla4[[#This Row],[Producto]],Tabla6[#All],14,FALSE)</f>
        <v>Termico Solar</v>
      </c>
      <c r="U6695" s="284" t="e">
        <f>(IF(Tabla4[[#This Row],[Familia]]="termico solar",Tabla4[[#This Row],[Utilidad Total]]*6%,Tabla4[[#This Row],[Utilidad Total]]*11.5%))/Tabla4[[#This Row],[Total]]</f>
        <v>#N/A</v>
      </c>
      <c r="V6695" s="282" t="e">
        <f>+Tabla4[[#This Row],[Comisión Calculada]]*Tabla4[[#This Row],[Total]]</f>
        <v>#N/A</v>
      </c>
    </row>
    <row r="6696" spans="1:22" hidden="1" x14ac:dyDescent="0.25">
      <c r="A6696" s="100">
        <v>45976</v>
      </c>
      <c r="B6696" t="str">
        <f t="shared" si="426"/>
        <v>November</v>
      </c>
      <c r="C6696" s="46" t="s">
        <v>280</v>
      </c>
      <c r="F6696" s="366" t="s">
        <v>3382</v>
      </c>
      <c r="G6696" s="46" t="s">
        <v>208</v>
      </c>
      <c r="H6696" s="46">
        <v>3</v>
      </c>
      <c r="I6696" s="51">
        <v>189.75</v>
      </c>
      <c r="J6696" s="281">
        <f>++Tabla4[[#This Row],[Precio Bruto]]*1.16</f>
        <v>220.10999999999999</v>
      </c>
      <c r="K6696" s="281">
        <f>+Tabla4[[#This Row],[Precio Unitario Neto]]*Tabla4[[#Headers],[20.85%]]</f>
        <v>45.892934999999994</v>
      </c>
      <c r="L6696" s="282">
        <f>++Tabla4[[#This Row],[Precio Unitario Neto]]-Tabla4[[#This Row],[20.85%]]</f>
        <v>174.21706499999999</v>
      </c>
      <c r="M6696" s="282" t="e">
        <f>(INDEX(Tabla6[#All],MATCH(Tabla4[[#This Row],[Producto]],Tabla6[[#All],[PRODUCTO]],0),MATCH(Tabla4[[#This Row],[Mes]],Tabla6[#Headers],0)))*(1+Catalogos!$L$2)</f>
        <v>#N/A</v>
      </c>
      <c r="N6696" s="283" t="e">
        <f>+(Tabla4[[#This Row],[Precio Descontado]]-Tabla4[[#This Row],[Precio Base]])*Tabla4[[#This Row],[Cantidad]]</f>
        <v>#N/A</v>
      </c>
      <c r="O6696" s="284" t="e">
        <f>++Tabla4[[#This Row],[Utilidad Total]]/Tabla4[[#This Row],[Total]]</f>
        <v>#N/A</v>
      </c>
      <c r="P6696" s="282">
        <f>++Tabla4[[#This Row],[Precio Descontado]]*Tabla4[[#This Row],[Cantidad]]</f>
        <v>522.65119499999992</v>
      </c>
      <c r="Q6696" s="282" t="e">
        <f>(INDEX(Tabla6[#All],MATCH(Tabla4[[#This Row],[Producto]],Tabla6[[#All],[PRODUCTO]],0),MATCH(Tabla4[[#This Row],[Mes]],Tabla6[#Headers],0)))</f>
        <v>#N/A</v>
      </c>
      <c r="R6696" s="282" t="e">
        <f>++Tabla4[[#This Row],[Precio Unitario Neto]]-Tabla4[[#This Row],[20.85%]]-Tabla4[[#This Row],[Costo]]</f>
        <v>#N/A</v>
      </c>
      <c r="S6696" s="282" t="e">
        <f>++Tabla4[[#This Row],[U. Bruta Uni]]*Tabla4[[#This Row],[Cantidad]]</f>
        <v>#N/A</v>
      </c>
      <c r="T6696" s="369" t="str">
        <f>VLOOKUP(Tabla4[[#This Row],[Producto]],Tabla6[#All],14,FALSE)</f>
        <v>Termico Solar</v>
      </c>
      <c r="U6696" s="284" t="e">
        <f>(IF(Tabla4[[#This Row],[Familia]]="termico solar",Tabla4[[#This Row],[Utilidad Total]]*6%,Tabla4[[#This Row],[Utilidad Total]]*11.5%))/Tabla4[[#This Row],[Total]]</f>
        <v>#N/A</v>
      </c>
      <c r="V6696" s="282" t="e">
        <f>+Tabla4[[#This Row],[Comisión Calculada]]*Tabla4[[#This Row],[Total]]</f>
        <v>#N/A</v>
      </c>
    </row>
    <row r="6697" spans="1:22" hidden="1" x14ac:dyDescent="0.25">
      <c r="A6697" s="100">
        <v>45976</v>
      </c>
      <c r="B6697" t="str">
        <f t="shared" ref="B6697:B6701" si="427">TEXT(A6697, "mmmm")</f>
        <v>November</v>
      </c>
      <c r="C6697" s="46" t="s">
        <v>280</v>
      </c>
      <c r="F6697" s="366" t="s">
        <v>3383</v>
      </c>
      <c r="G6697" s="46" t="s">
        <v>83</v>
      </c>
      <c r="H6697" s="46">
        <v>1</v>
      </c>
      <c r="I6697" s="51">
        <v>8858.76</v>
      </c>
      <c r="J6697" s="281">
        <f>++Tabla4[[#This Row],[Precio Bruto]]*1.16</f>
        <v>10276.161599999999</v>
      </c>
      <c r="K6697" s="281">
        <f>+Tabla4[[#This Row],[Precio Unitario Neto]]*Tabla4[[#Headers],[20.85%]]</f>
        <v>2142.5796935999997</v>
      </c>
      <c r="L6697" s="282">
        <f>++Tabla4[[#This Row],[Precio Unitario Neto]]-Tabla4[[#This Row],[20.85%]]</f>
        <v>8133.5819063999998</v>
      </c>
      <c r="M6697" s="282" t="e">
        <f>(INDEX(Tabla6[#All],MATCH(Tabla4[[#This Row],[Producto]],Tabla6[[#All],[PRODUCTO]],0),MATCH(Tabla4[[#This Row],[Mes]],Tabla6[#Headers],0)))*(1+Catalogos!$L$2)</f>
        <v>#N/A</v>
      </c>
      <c r="N6697" s="283" t="e">
        <f>+(Tabla4[[#This Row],[Precio Descontado]]-Tabla4[[#This Row],[Precio Base]])*Tabla4[[#This Row],[Cantidad]]</f>
        <v>#N/A</v>
      </c>
      <c r="O6697" s="284" t="e">
        <f>++Tabla4[[#This Row],[Utilidad Total]]/Tabla4[[#This Row],[Total]]</f>
        <v>#N/A</v>
      </c>
      <c r="P6697" s="282">
        <f>++Tabla4[[#This Row],[Precio Descontado]]*Tabla4[[#This Row],[Cantidad]]</f>
        <v>8133.5819063999998</v>
      </c>
      <c r="Q6697" s="282" t="e">
        <f>(INDEX(Tabla6[#All],MATCH(Tabla4[[#This Row],[Producto]],Tabla6[[#All],[PRODUCTO]],0),MATCH(Tabla4[[#This Row],[Mes]],Tabla6[#Headers],0)))</f>
        <v>#N/A</v>
      </c>
      <c r="R6697" s="282" t="e">
        <f>++Tabla4[[#This Row],[Precio Unitario Neto]]-Tabla4[[#This Row],[20.85%]]-Tabla4[[#This Row],[Costo]]</f>
        <v>#N/A</v>
      </c>
      <c r="S6697" s="282" t="e">
        <f>++Tabla4[[#This Row],[U. Bruta Uni]]*Tabla4[[#This Row],[Cantidad]]</f>
        <v>#N/A</v>
      </c>
      <c r="T6697" s="369" t="str">
        <f>VLOOKUP(Tabla4[[#This Row],[Producto]],Tabla6[#All],14,FALSE)</f>
        <v>Termico Solar</v>
      </c>
      <c r="U6697" s="284" t="e">
        <f>(IF(Tabla4[[#This Row],[Familia]]="termico solar",Tabla4[[#This Row],[Utilidad Total]]*6%,Tabla4[[#This Row],[Utilidad Total]]*11.5%))/Tabla4[[#This Row],[Total]]</f>
        <v>#N/A</v>
      </c>
      <c r="V6697" s="282" t="e">
        <f>+Tabla4[[#This Row],[Comisión Calculada]]*Tabla4[[#This Row],[Total]]</f>
        <v>#N/A</v>
      </c>
    </row>
    <row r="6698" spans="1:22" hidden="1" x14ac:dyDescent="0.25">
      <c r="A6698" s="100">
        <v>45976</v>
      </c>
      <c r="B6698" t="str">
        <f t="shared" si="427"/>
        <v>November</v>
      </c>
      <c r="C6698" s="46" t="s">
        <v>280</v>
      </c>
      <c r="F6698" s="366" t="s">
        <v>3383</v>
      </c>
      <c r="G6698" s="46" t="s">
        <v>17</v>
      </c>
      <c r="H6698" s="46">
        <v>1</v>
      </c>
      <c r="I6698" s="51">
        <v>4622.28</v>
      </c>
      <c r="J6698" s="281">
        <f>++Tabla4[[#This Row],[Precio Bruto]]*1.16</f>
        <v>5361.8447999999989</v>
      </c>
      <c r="K6698" s="281">
        <f>+Tabla4[[#This Row],[Precio Unitario Neto]]*Tabla4[[#Headers],[20.85%]]</f>
        <v>1117.9446407999997</v>
      </c>
      <c r="L6698" s="282">
        <f>++Tabla4[[#This Row],[Precio Unitario Neto]]-Tabla4[[#This Row],[20.85%]]</f>
        <v>4243.9001591999995</v>
      </c>
      <c r="M6698" s="282" t="e">
        <f>(INDEX(Tabla6[#All],MATCH(Tabla4[[#This Row],[Producto]],Tabla6[[#All],[PRODUCTO]],0),MATCH(Tabla4[[#This Row],[Mes]],Tabla6[#Headers],0)))*(1+Catalogos!$L$2)</f>
        <v>#N/A</v>
      </c>
      <c r="N6698" s="283" t="e">
        <f>+(Tabla4[[#This Row],[Precio Descontado]]-Tabla4[[#This Row],[Precio Base]])*Tabla4[[#This Row],[Cantidad]]</f>
        <v>#N/A</v>
      </c>
      <c r="O6698" s="284" t="e">
        <f>++Tabla4[[#This Row],[Utilidad Total]]/Tabla4[[#This Row],[Total]]</f>
        <v>#N/A</v>
      </c>
      <c r="P6698" s="282">
        <f>++Tabla4[[#This Row],[Precio Descontado]]*Tabla4[[#This Row],[Cantidad]]</f>
        <v>4243.9001591999995</v>
      </c>
      <c r="Q6698" s="282" t="e">
        <f>(INDEX(Tabla6[#All],MATCH(Tabla4[[#This Row],[Producto]],Tabla6[[#All],[PRODUCTO]],0),MATCH(Tabla4[[#This Row],[Mes]],Tabla6[#Headers],0)))</f>
        <v>#N/A</v>
      </c>
      <c r="R6698" s="282" t="e">
        <f>++Tabla4[[#This Row],[Precio Unitario Neto]]-Tabla4[[#This Row],[20.85%]]-Tabla4[[#This Row],[Costo]]</f>
        <v>#N/A</v>
      </c>
      <c r="S6698" s="282" t="e">
        <f>++Tabla4[[#This Row],[U. Bruta Uni]]*Tabla4[[#This Row],[Cantidad]]</f>
        <v>#N/A</v>
      </c>
      <c r="T6698" s="369" t="str">
        <f>VLOOKUP(Tabla4[[#This Row],[Producto]],Tabla6[#All],14,FALSE)</f>
        <v>Termico Solar</v>
      </c>
      <c r="U6698" s="284" t="e">
        <f>(IF(Tabla4[[#This Row],[Familia]]="termico solar",Tabla4[[#This Row],[Utilidad Total]]*6%,Tabla4[[#This Row],[Utilidad Total]]*11.5%))/Tabla4[[#This Row],[Total]]</f>
        <v>#N/A</v>
      </c>
      <c r="V6698" s="282" t="e">
        <f>+Tabla4[[#This Row],[Comisión Calculada]]*Tabla4[[#This Row],[Total]]</f>
        <v>#N/A</v>
      </c>
    </row>
    <row r="6699" spans="1:22" hidden="1" x14ac:dyDescent="0.25">
      <c r="A6699" s="100">
        <v>45976</v>
      </c>
      <c r="B6699" t="str">
        <f t="shared" si="427"/>
        <v>November</v>
      </c>
      <c r="C6699" s="46" t="s">
        <v>280</v>
      </c>
      <c r="F6699" s="366" t="s">
        <v>3383</v>
      </c>
      <c r="G6699" s="46" t="s">
        <v>18</v>
      </c>
      <c r="H6699" s="46">
        <v>1</v>
      </c>
      <c r="I6699" s="51">
        <v>5367.65</v>
      </c>
      <c r="J6699" s="281">
        <f>++Tabla4[[#This Row],[Precio Bruto]]*1.16</f>
        <v>6226.4739999999993</v>
      </c>
      <c r="K6699" s="281">
        <f>+Tabla4[[#This Row],[Precio Unitario Neto]]*Tabla4[[#Headers],[20.85%]]</f>
        <v>1298.2198289999999</v>
      </c>
      <c r="L6699" s="282">
        <f>++Tabla4[[#This Row],[Precio Unitario Neto]]-Tabla4[[#This Row],[20.85%]]</f>
        <v>4928.2541709999996</v>
      </c>
      <c r="M6699" s="282" t="e">
        <f>(INDEX(Tabla6[#All],MATCH(Tabla4[[#This Row],[Producto]],Tabla6[[#All],[PRODUCTO]],0),MATCH(Tabla4[[#This Row],[Mes]],Tabla6[#Headers],0)))*(1+Catalogos!$L$2)</f>
        <v>#N/A</v>
      </c>
      <c r="N6699" s="283" t="e">
        <f>+(Tabla4[[#This Row],[Precio Descontado]]-Tabla4[[#This Row],[Precio Base]])*Tabla4[[#This Row],[Cantidad]]</f>
        <v>#N/A</v>
      </c>
      <c r="O6699" s="284" t="e">
        <f>++Tabla4[[#This Row],[Utilidad Total]]/Tabla4[[#This Row],[Total]]</f>
        <v>#N/A</v>
      </c>
      <c r="P6699" s="282">
        <f>++Tabla4[[#This Row],[Precio Descontado]]*Tabla4[[#This Row],[Cantidad]]</f>
        <v>4928.2541709999996</v>
      </c>
      <c r="Q6699" s="282" t="e">
        <f>(INDEX(Tabla6[#All],MATCH(Tabla4[[#This Row],[Producto]],Tabla6[[#All],[PRODUCTO]],0),MATCH(Tabla4[[#This Row],[Mes]],Tabla6[#Headers],0)))</f>
        <v>#N/A</v>
      </c>
      <c r="R6699" s="282" t="e">
        <f>++Tabla4[[#This Row],[Precio Unitario Neto]]-Tabla4[[#This Row],[20.85%]]-Tabla4[[#This Row],[Costo]]</f>
        <v>#N/A</v>
      </c>
      <c r="S6699" s="282" t="e">
        <f>++Tabla4[[#This Row],[U. Bruta Uni]]*Tabla4[[#This Row],[Cantidad]]</f>
        <v>#N/A</v>
      </c>
      <c r="T6699" s="369" t="str">
        <f>VLOOKUP(Tabla4[[#This Row],[Producto]],Tabla6[#All],14,FALSE)</f>
        <v>Termico Solar</v>
      </c>
      <c r="U6699" s="284" t="e">
        <f>(IF(Tabla4[[#This Row],[Familia]]="termico solar",Tabla4[[#This Row],[Utilidad Total]]*6%,Tabla4[[#This Row],[Utilidad Total]]*11.5%))/Tabla4[[#This Row],[Total]]</f>
        <v>#N/A</v>
      </c>
      <c r="V6699" s="282" t="e">
        <f>+Tabla4[[#This Row],[Comisión Calculada]]*Tabla4[[#This Row],[Total]]</f>
        <v>#N/A</v>
      </c>
    </row>
    <row r="6700" spans="1:22" hidden="1" x14ac:dyDescent="0.25">
      <c r="A6700" s="100">
        <v>45976</v>
      </c>
      <c r="B6700" t="str">
        <f t="shared" si="427"/>
        <v>November</v>
      </c>
      <c r="C6700" s="46" t="s">
        <v>280</v>
      </c>
      <c r="F6700" s="366" t="s">
        <v>3383</v>
      </c>
      <c r="G6700" s="46" t="s">
        <v>16</v>
      </c>
      <c r="H6700" s="46">
        <v>1</v>
      </c>
      <c r="I6700" s="51">
        <v>4103.8500000000004</v>
      </c>
      <c r="J6700" s="281">
        <f>++Tabla4[[#This Row],[Precio Bruto]]*1.16</f>
        <v>4760.4660000000003</v>
      </c>
      <c r="K6700" s="281">
        <f>+Tabla4[[#This Row],[Precio Unitario Neto]]*Tabla4[[#Headers],[20.85%]]</f>
        <v>992.55716100000006</v>
      </c>
      <c r="L6700" s="282">
        <f>++Tabla4[[#This Row],[Precio Unitario Neto]]-Tabla4[[#This Row],[20.85%]]</f>
        <v>3767.9088390000002</v>
      </c>
      <c r="M6700" s="282" t="e">
        <f>(INDEX(Tabla6[#All],MATCH(Tabla4[[#This Row],[Producto]],Tabla6[[#All],[PRODUCTO]],0),MATCH(Tabla4[[#This Row],[Mes]],Tabla6[#Headers],0)))*(1+Catalogos!$L$2)</f>
        <v>#N/A</v>
      </c>
      <c r="N6700" s="283" t="e">
        <f>+(Tabla4[[#This Row],[Precio Descontado]]-Tabla4[[#This Row],[Precio Base]])*Tabla4[[#This Row],[Cantidad]]</f>
        <v>#N/A</v>
      </c>
      <c r="O6700" s="284" t="e">
        <f>++Tabla4[[#This Row],[Utilidad Total]]/Tabla4[[#This Row],[Total]]</f>
        <v>#N/A</v>
      </c>
      <c r="P6700" s="282">
        <f>++Tabla4[[#This Row],[Precio Descontado]]*Tabla4[[#This Row],[Cantidad]]</f>
        <v>3767.9088390000002</v>
      </c>
      <c r="Q6700" s="282" t="e">
        <f>(INDEX(Tabla6[#All],MATCH(Tabla4[[#This Row],[Producto]],Tabla6[[#All],[PRODUCTO]],0),MATCH(Tabla4[[#This Row],[Mes]],Tabla6[#Headers],0)))</f>
        <v>#N/A</v>
      </c>
      <c r="R6700" s="282" t="e">
        <f>++Tabla4[[#This Row],[Precio Unitario Neto]]-Tabla4[[#This Row],[20.85%]]-Tabla4[[#This Row],[Costo]]</f>
        <v>#N/A</v>
      </c>
      <c r="S6700" s="282" t="e">
        <f>++Tabla4[[#This Row],[U. Bruta Uni]]*Tabla4[[#This Row],[Cantidad]]</f>
        <v>#N/A</v>
      </c>
      <c r="T6700" s="369" t="str">
        <f>VLOOKUP(Tabla4[[#This Row],[Producto]],Tabla6[#All],14,FALSE)</f>
        <v>Termico Solar</v>
      </c>
      <c r="U6700" s="284" t="e">
        <f>(IF(Tabla4[[#This Row],[Familia]]="termico solar",Tabla4[[#This Row],[Utilidad Total]]*6%,Tabla4[[#This Row],[Utilidad Total]]*11.5%))/Tabla4[[#This Row],[Total]]</f>
        <v>#N/A</v>
      </c>
      <c r="V6700" s="282" t="e">
        <f>+Tabla4[[#This Row],[Comisión Calculada]]*Tabla4[[#This Row],[Total]]</f>
        <v>#N/A</v>
      </c>
    </row>
    <row r="6701" spans="1:22" hidden="1" x14ac:dyDescent="0.25">
      <c r="A6701" s="100">
        <v>45976</v>
      </c>
      <c r="B6701" t="str">
        <f t="shared" si="427"/>
        <v>November</v>
      </c>
      <c r="C6701" s="46" t="s">
        <v>280</v>
      </c>
      <c r="F6701" s="366" t="s">
        <v>3383</v>
      </c>
      <c r="G6701" s="46" t="s">
        <v>208</v>
      </c>
      <c r="H6701" s="46">
        <v>1</v>
      </c>
      <c r="I6701" s="51">
        <v>189.75</v>
      </c>
      <c r="J6701" s="281">
        <f>++Tabla4[[#This Row],[Precio Bruto]]*1.16</f>
        <v>220.10999999999999</v>
      </c>
      <c r="K6701" s="281">
        <f>+Tabla4[[#This Row],[Precio Unitario Neto]]*Tabla4[[#Headers],[20.85%]]</f>
        <v>45.892934999999994</v>
      </c>
      <c r="L6701" s="282">
        <f>++Tabla4[[#This Row],[Precio Unitario Neto]]-Tabla4[[#This Row],[20.85%]]</f>
        <v>174.21706499999999</v>
      </c>
      <c r="M6701" s="282" t="e">
        <f>(INDEX(Tabla6[#All],MATCH(Tabla4[[#This Row],[Producto]],Tabla6[[#All],[PRODUCTO]],0),MATCH(Tabla4[[#This Row],[Mes]],Tabla6[#Headers],0)))*(1+Catalogos!$L$2)</f>
        <v>#N/A</v>
      </c>
      <c r="N6701" s="283" t="e">
        <f>+(Tabla4[[#This Row],[Precio Descontado]]-Tabla4[[#This Row],[Precio Base]])*Tabla4[[#This Row],[Cantidad]]</f>
        <v>#N/A</v>
      </c>
      <c r="O6701" s="284" t="e">
        <f>++Tabla4[[#This Row],[Utilidad Total]]/Tabla4[[#This Row],[Total]]</f>
        <v>#N/A</v>
      </c>
      <c r="P6701" s="282">
        <f>++Tabla4[[#This Row],[Precio Descontado]]*Tabla4[[#This Row],[Cantidad]]</f>
        <v>174.21706499999999</v>
      </c>
      <c r="Q6701" s="282" t="e">
        <f>(INDEX(Tabla6[#All],MATCH(Tabla4[[#This Row],[Producto]],Tabla6[[#All],[PRODUCTO]],0),MATCH(Tabla4[[#This Row],[Mes]],Tabla6[#Headers],0)))</f>
        <v>#N/A</v>
      </c>
      <c r="R6701" s="282" t="e">
        <f>++Tabla4[[#This Row],[Precio Unitario Neto]]-Tabla4[[#This Row],[20.85%]]-Tabla4[[#This Row],[Costo]]</f>
        <v>#N/A</v>
      </c>
      <c r="S6701" s="282" t="e">
        <f>++Tabla4[[#This Row],[U. Bruta Uni]]*Tabla4[[#This Row],[Cantidad]]</f>
        <v>#N/A</v>
      </c>
      <c r="T6701" s="369" t="str">
        <f>VLOOKUP(Tabla4[[#This Row],[Producto]],Tabla6[#All],14,FALSE)</f>
        <v>Termico Solar</v>
      </c>
      <c r="U6701" s="284" t="e">
        <f>(IF(Tabla4[[#This Row],[Familia]]="termico solar",Tabla4[[#This Row],[Utilidad Total]]*6%,Tabla4[[#This Row],[Utilidad Total]]*11.5%))/Tabla4[[#This Row],[Total]]</f>
        <v>#N/A</v>
      </c>
      <c r="V6701" s="282" t="e">
        <f>+Tabla4[[#This Row],[Comisión Calculada]]*Tabla4[[#This Row],[Total]]</f>
        <v>#N/A</v>
      </c>
    </row>
    <row r="6702" spans="1:22" hidden="1" x14ac:dyDescent="0.25">
      <c r="A6702" s="100">
        <v>45976</v>
      </c>
      <c r="B6702" t="str">
        <f t="shared" ref="B6702:B6703" si="428">TEXT(A6702, "mmmm")</f>
        <v>November</v>
      </c>
      <c r="C6702" s="46" t="s">
        <v>280</v>
      </c>
      <c r="F6702" s="366" t="s">
        <v>3384</v>
      </c>
      <c r="G6702" s="46" t="s">
        <v>17</v>
      </c>
      <c r="H6702" s="46">
        <v>1</v>
      </c>
      <c r="I6702" s="51">
        <v>4622.28</v>
      </c>
      <c r="J6702" s="281">
        <f>++Tabla4[[#This Row],[Precio Bruto]]*1.16</f>
        <v>5361.8447999999989</v>
      </c>
      <c r="K6702" s="281">
        <f>+Tabla4[[#This Row],[Precio Unitario Neto]]*Tabla4[[#Headers],[20.85%]]</f>
        <v>1117.9446407999997</v>
      </c>
      <c r="L6702" s="282">
        <f>++Tabla4[[#This Row],[Precio Unitario Neto]]-Tabla4[[#This Row],[20.85%]]</f>
        <v>4243.9001591999995</v>
      </c>
      <c r="M6702" s="282" t="e">
        <f>(INDEX(Tabla6[#All],MATCH(Tabla4[[#This Row],[Producto]],Tabla6[[#All],[PRODUCTO]],0),MATCH(Tabla4[[#This Row],[Mes]],Tabla6[#Headers],0)))*(1+Catalogos!$L$2)</f>
        <v>#N/A</v>
      </c>
      <c r="N6702" s="283" t="e">
        <f>+(Tabla4[[#This Row],[Precio Descontado]]-Tabla4[[#This Row],[Precio Base]])*Tabla4[[#This Row],[Cantidad]]</f>
        <v>#N/A</v>
      </c>
      <c r="O6702" s="284" t="e">
        <f>++Tabla4[[#This Row],[Utilidad Total]]/Tabla4[[#This Row],[Total]]</f>
        <v>#N/A</v>
      </c>
      <c r="P6702" s="282">
        <f>++Tabla4[[#This Row],[Precio Descontado]]*Tabla4[[#This Row],[Cantidad]]</f>
        <v>4243.9001591999995</v>
      </c>
      <c r="Q6702" s="282" t="e">
        <f>(INDEX(Tabla6[#All],MATCH(Tabla4[[#This Row],[Producto]],Tabla6[[#All],[PRODUCTO]],0),MATCH(Tabla4[[#This Row],[Mes]],Tabla6[#Headers],0)))</f>
        <v>#N/A</v>
      </c>
      <c r="R6702" s="282" t="e">
        <f>++Tabla4[[#This Row],[Precio Unitario Neto]]-Tabla4[[#This Row],[20.85%]]-Tabla4[[#This Row],[Costo]]</f>
        <v>#N/A</v>
      </c>
      <c r="S6702" s="282" t="e">
        <f>++Tabla4[[#This Row],[U. Bruta Uni]]*Tabla4[[#This Row],[Cantidad]]</f>
        <v>#N/A</v>
      </c>
      <c r="T6702" s="369" t="str">
        <f>VLOOKUP(Tabla4[[#This Row],[Producto]],Tabla6[#All],14,FALSE)</f>
        <v>Termico Solar</v>
      </c>
      <c r="U6702" s="284" t="e">
        <f>(IF(Tabla4[[#This Row],[Familia]]="termico solar",Tabla4[[#This Row],[Utilidad Total]]*6%,Tabla4[[#This Row],[Utilidad Total]]*11.5%))/Tabla4[[#This Row],[Total]]</f>
        <v>#N/A</v>
      </c>
      <c r="V6702" s="282" t="e">
        <f>+Tabla4[[#This Row],[Comisión Calculada]]*Tabla4[[#This Row],[Total]]</f>
        <v>#N/A</v>
      </c>
    </row>
    <row r="6703" spans="1:22" hidden="1" x14ac:dyDescent="0.25">
      <c r="A6703" s="100">
        <v>45976</v>
      </c>
      <c r="B6703" t="str">
        <f t="shared" si="428"/>
        <v>November</v>
      </c>
      <c r="C6703" s="46" t="s">
        <v>280</v>
      </c>
      <c r="F6703" s="366" t="s">
        <v>3384</v>
      </c>
      <c r="G6703" s="46" t="s">
        <v>566</v>
      </c>
      <c r="H6703" s="46">
        <v>1</v>
      </c>
      <c r="I6703" s="51">
        <v>2109.4499999999998</v>
      </c>
      <c r="J6703" s="281">
        <f>++Tabla4[[#This Row],[Precio Bruto]]*1.16</f>
        <v>2446.9619999999995</v>
      </c>
      <c r="K6703" s="281">
        <f>+Tabla4[[#This Row],[Precio Unitario Neto]]*Tabla4[[#Headers],[20.85%]]</f>
        <v>510.19157699999988</v>
      </c>
      <c r="L6703" s="282">
        <f>++Tabla4[[#This Row],[Precio Unitario Neto]]-Tabla4[[#This Row],[20.85%]]</f>
        <v>1936.7704229999997</v>
      </c>
      <c r="M6703" s="282" t="e">
        <f>(INDEX(Tabla6[#All],MATCH(Tabla4[[#This Row],[Producto]],Tabla6[[#All],[PRODUCTO]],0),MATCH(Tabla4[[#This Row],[Mes]],Tabla6[#Headers],0)))*(1+Catalogos!$L$2)</f>
        <v>#N/A</v>
      </c>
      <c r="N6703" s="283" t="e">
        <f>+(Tabla4[[#This Row],[Precio Descontado]]-Tabla4[[#This Row],[Precio Base]])*Tabla4[[#This Row],[Cantidad]]</f>
        <v>#N/A</v>
      </c>
      <c r="O6703" s="284" t="e">
        <f>++Tabla4[[#This Row],[Utilidad Total]]/Tabla4[[#This Row],[Total]]</f>
        <v>#N/A</v>
      </c>
      <c r="P6703" s="282">
        <f>++Tabla4[[#This Row],[Precio Descontado]]*Tabla4[[#This Row],[Cantidad]]</f>
        <v>1936.7704229999997</v>
      </c>
      <c r="Q6703" s="282" t="e">
        <f>(INDEX(Tabla6[#All],MATCH(Tabla4[[#This Row],[Producto]],Tabla6[[#All],[PRODUCTO]],0),MATCH(Tabla4[[#This Row],[Mes]],Tabla6[#Headers],0)))</f>
        <v>#N/A</v>
      </c>
      <c r="R6703" s="282" t="e">
        <f>++Tabla4[[#This Row],[Precio Unitario Neto]]-Tabla4[[#This Row],[20.85%]]-Tabla4[[#This Row],[Costo]]</f>
        <v>#N/A</v>
      </c>
      <c r="S6703" s="282" t="e">
        <f>++Tabla4[[#This Row],[U. Bruta Uni]]*Tabla4[[#This Row],[Cantidad]]</f>
        <v>#N/A</v>
      </c>
      <c r="T6703" s="369" t="str">
        <f>VLOOKUP(Tabla4[[#This Row],[Producto]],Tabla6[#All],14,FALSE)</f>
        <v>Termico Solar</v>
      </c>
      <c r="U6703" s="284" t="e">
        <f>(IF(Tabla4[[#This Row],[Familia]]="termico solar",Tabla4[[#This Row],[Utilidad Total]]*6%,Tabla4[[#This Row],[Utilidad Total]]*11.5%))/Tabla4[[#This Row],[Total]]</f>
        <v>#N/A</v>
      </c>
      <c r="V6703" s="282" t="e">
        <f>+Tabla4[[#This Row],[Comisión Calculada]]*Tabla4[[#This Row],[Total]]</f>
        <v>#N/A</v>
      </c>
    </row>
    <row r="6704" spans="1:22" hidden="1" x14ac:dyDescent="0.25">
      <c r="A6704" s="100">
        <v>45976</v>
      </c>
      <c r="B6704" t="str">
        <f t="shared" ref="B6704:B6706" si="429">TEXT(A6704, "mmmm")</f>
        <v>November</v>
      </c>
      <c r="C6704" s="46" t="s">
        <v>280</v>
      </c>
      <c r="F6704" s="366" t="s">
        <v>3385</v>
      </c>
      <c r="G6704" s="46" t="s">
        <v>17</v>
      </c>
      <c r="H6704" s="46">
        <v>3</v>
      </c>
      <c r="I6704" s="51">
        <v>4622.28</v>
      </c>
      <c r="J6704" s="281">
        <f>++Tabla4[[#This Row],[Precio Bruto]]*1.16</f>
        <v>5361.8447999999989</v>
      </c>
      <c r="K6704" s="281">
        <f>+Tabla4[[#This Row],[Precio Unitario Neto]]*Tabla4[[#Headers],[20.85%]]</f>
        <v>1117.9446407999997</v>
      </c>
      <c r="L6704" s="282">
        <f>++Tabla4[[#This Row],[Precio Unitario Neto]]-Tabla4[[#This Row],[20.85%]]</f>
        <v>4243.9001591999995</v>
      </c>
      <c r="M6704" s="282" t="e">
        <f>(INDEX(Tabla6[#All],MATCH(Tabla4[[#This Row],[Producto]],Tabla6[[#All],[PRODUCTO]],0),MATCH(Tabla4[[#This Row],[Mes]],Tabla6[#Headers],0)))*(1+Catalogos!$L$2)</f>
        <v>#N/A</v>
      </c>
      <c r="N6704" s="283" t="e">
        <f>+(Tabla4[[#This Row],[Precio Descontado]]-Tabla4[[#This Row],[Precio Base]])*Tabla4[[#This Row],[Cantidad]]</f>
        <v>#N/A</v>
      </c>
      <c r="O6704" s="284" t="e">
        <f>++Tabla4[[#This Row],[Utilidad Total]]/Tabla4[[#This Row],[Total]]</f>
        <v>#N/A</v>
      </c>
      <c r="P6704" s="282">
        <f>++Tabla4[[#This Row],[Precio Descontado]]*Tabla4[[#This Row],[Cantidad]]</f>
        <v>12731.700477599999</v>
      </c>
      <c r="Q6704" s="282" t="e">
        <f>(INDEX(Tabla6[#All],MATCH(Tabla4[[#This Row],[Producto]],Tabla6[[#All],[PRODUCTO]],0),MATCH(Tabla4[[#This Row],[Mes]],Tabla6[#Headers],0)))</f>
        <v>#N/A</v>
      </c>
      <c r="R6704" s="282" t="e">
        <f>++Tabla4[[#This Row],[Precio Unitario Neto]]-Tabla4[[#This Row],[20.85%]]-Tabla4[[#This Row],[Costo]]</f>
        <v>#N/A</v>
      </c>
      <c r="S6704" s="282" t="e">
        <f>++Tabla4[[#This Row],[U. Bruta Uni]]*Tabla4[[#This Row],[Cantidad]]</f>
        <v>#N/A</v>
      </c>
      <c r="T6704" s="369" t="str">
        <f>VLOOKUP(Tabla4[[#This Row],[Producto]],Tabla6[#All],14,FALSE)</f>
        <v>Termico Solar</v>
      </c>
      <c r="U6704" s="284" t="e">
        <f>(IF(Tabla4[[#This Row],[Familia]]="termico solar",Tabla4[[#This Row],[Utilidad Total]]*6%,Tabla4[[#This Row],[Utilidad Total]]*11.5%))/Tabla4[[#This Row],[Total]]</f>
        <v>#N/A</v>
      </c>
      <c r="V6704" s="282" t="e">
        <f>+Tabla4[[#This Row],[Comisión Calculada]]*Tabla4[[#This Row],[Total]]</f>
        <v>#N/A</v>
      </c>
    </row>
    <row r="6705" spans="1:22" hidden="1" x14ac:dyDescent="0.25">
      <c r="A6705" s="100">
        <v>45976</v>
      </c>
      <c r="B6705" t="str">
        <f t="shared" si="429"/>
        <v>November</v>
      </c>
      <c r="C6705" s="46" t="s">
        <v>280</v>
      </c>
      <c r="F6705" s="366" t="s">
        <v>3385</v>
      </c>
      <c r="G6705" s="46" t="s">
        <v>566</v>
      </c>
      <c r="H6705" s="46">
        <v>1</v>
      </c>
      <c r="I6705" s="51">
        <v>2109.4499999999998</v>
      </c>
      <c r="J6705" s="281">
        <f>++Tabla4[[#This Row],[Precio Bruto]]*1.16</f>
        <v>2446.9619999999995</v>
      </c>
      <c r="K6705" s="281">
        <f>+Tabla4[[#This Row],[Precio Unitario Neto]]*Tabla4[[#Headers],[20.85%]]</f>
        <v>510.19157699999988</v>
      </c>
      <c r="L6705" s="282">
        <f>++Tabla4[[#This Row],[Precio Unitario Neto]]-Tabla4[[#This Row],[20.85%]]</f>
        <v>1936.7704229999997</v>
      </c>
      <c r="M6705" s="282" t="e">
        <f>(INDEX(Tabla6[#All],MATCH(Tabla4[[#This Row],[Producto]],Tabla6[[#All],[PRODUCTO]],0),MATCH(Tabla4[[#This Row],[Mes]],Tabla6[#Headers],0)))*(1+Catalogos!$L$2)</f>
        <v>#N/A</v>
      </c>
      <c r="N6705" s="283" t="e">
        <f>+(Tabla4[[#This Row],[Precio Descontado]]-Tabla4[[#This Row],[Precio Base]])*Tabla4[[#This Row],[Cantidad]]</f>
        <v>#N/A</v>
      </c>
      <c r="O6705" s="284" t="e">
        <f>++Tabla4[[#This Row],[Utilidad Total]]/Tabla4[[#This Row],[Total]]</f>
        <v>#N/A</v>
      </c>
      <c r="P6705" s="282">
        <f>++Tabla4[[#This Row],[Precio Descontado]]*Tabla4[[#This Row],[Cantidad]]</f>
        <v>1936.7704229999997</v>
      </c>
      <c r="Q6705" s="282" t="e">
        <f>(INDEX(Tabla6[#All],MATCH(Tabla4[[#This Row],[Producto]],Tabla6[[#All],[PRODUCTO]],0),MATCH(Tabla4[[#This Row],[Mes]],Tabla6[#Headers],0)))</f>
        <v>#N/A</v>
      </c>
      <c r="R6705" s="282" t="e">
        <f>++Tabla4[[#This Row],[Precio Unitario Neto]]-Tabla4[[#This Row],[20.85%]]-Tabla4[[#This Row],[Costo]]</f>
        <v>#N/A</v>
      </c>
      <c r="S6705" s="282" t="e">
        <f>++Tabla4[[#This Row],[U. Bruta Uni]]*Tabla4[[#This Row],[Cantidad]]</f>
        <v>#N/A</v>
      </c>
      <c r="T6705" s="369" t="str">
        <f>VLOOKUP(Tabla4[[#This Row],[Producto]],Tabla6[#All],14,FALSE)</f>
        <v>Termico Solar</v>
      </c>
      <c r="U6705" s="284" t="e">
        <f>(IF(Tabla4[[#This Row],[Familia]]="termico solar",Tabla4[[#This Row],[Utilidad Total]]*6%,Tabla4[[#This Row],[Utilidad Total]]*11.5%))/Tabla4[[#This Row],[Total]]</f>
        <v>#N/A</v>
      </c>
      <c r="V6705" s="282" t="e">
        <f>+Tabla4[[#This Row],[Comisión Calculada]]*Tabla4[[#This Row],[Total]]</f>
        <v>#N/A</v>
      </c>
    </row>
    <row r="6706" spans="1:22" hidden="1" x14ac:dyDescent="0.25">
      <c r="A6706" s="100">
        <v>45976</v>
      </c>
      <c r="B6706" t="str">
        <f t="shared" si="429"/>
        <v>November</v>
      </c>
      <c r="C6706" s="46" t="s">
        <v>280</v>
      </c>
      <c r="F6706" s="366" t="s">
        <v>3385</v>
      </c>
      <c r="G6706" s="46" t="s">
        <v>16</v>
      </c>
      <c r="H6706" s="46">
        <v>2</v>
      </c>
      <c r="I6706" s="51">
        <v>4103.8500000000004</v>
      </c>
      <c r="J6706" s="281">
        <f>++Tabla4[[#This Row],[Precio Bruto]]*1.16</f>
        <v>4760.4660000000003</v>
      </c>
      <c r="K6706" s="281">
        <f>+Tabla4[[#This Row],[Precio Unitario Neto]]*Tabla4[[#Headers],[20.85%]]</f>
        <v>992.55716100000006</v>
      </c>
      <c r="L6706" s="282">
        <f>++Tabla4[[#This Row],[Precio Unitario Neto]]-Tabla4[[#This Row],[20.85%]]</f>
        <v>3767.9088390000002</v>
      </c>
      <c r="M6706" s="282" t="e">
        <f>(INDEX(Tabla6[#All],MATCH(Tabla4[[#This Row],[Producto]],Tabla6[[#All],[PRODUCTO]],0),MATCH(Tabla4[[#This Row],[Mes]],Tabla6[#Headers],0)))*(1+Catalogos!$L$2)</f>
        <v>#N/A</v>
      </c>
      <c r="N6706" s="283" t="e">
        <f>+(Tabla4[[#This Row],[Precio Descontado]]-Tabla4[[#This Row],[Precio Base]])*Tabla4[[#This Row],[Cantidad]]</f>
        <v>#N/A</v>
      </c>
      <c r="O6706" s="284" t="e">
        <f>++Tabla4[[#This Row],[Utilidad Total]]/Tabla4[[#This Row],[Total]]</f>
        <v>#N/A</v>
      </c>
      <c r="P6706" s="282">
        <f>++Tabla4[[#This Row],[Precio Descontado]]*Tabla4[[#This Row],[Cantidad]]</f>
        <v>7535.8176780000003</v>
      </c>
      <c r="Q6706" s="282" t="e">
        <f>(INDEX(Tabla6[#All],MATCH(Tabla4[[#This Row],[Producto]],Tabla6[[#All],[PRODUCTO]],0),MATCH(Tabla4[[#This Row],[Mes]],Tabla6[#Headers],0)))</f>
        <v>#N/A</v>
      </c>
      <c r="R6706" s="282" t="e">
        <f>++Tabla4[[#This Row],[Precio Unitario Neto]]-Tabla4[[#This Row],[20.85%]]-Tabla4[[#This Row],[Costo]]</f>
        <v>#N/A</v>
      </c>
      <c r="S6706" s="282" t="e">
        <f>++Tabla4[[#This Row],[U. Bruta Uni]]*Tabla4[[#This Row],[Cantidad]]</f>
        <v>#N/A</v>
      </c>
      <c r="T6706" s="369" t="str">
        <f>VLOOKUP(Tabla4[[#This Row],[Producto]],Tabla6[#All],14,FALSE)</f>
        <v>Termico Solar</v>
      </c>
      <c r="U6706" s="284" t="e">
        <f>(IF(Tabla4[[#This Row],[Familia]]="termico solar",Tabla4[[#This Row],[Utilidad Total]]*6%,Tabla4[[#This Row],[Utilidad Total]]*11.5%))/Tabla4[[#This Row],[Total]]</f>
        <v>#N/A</v>
      </c>
      <c r="V6706" s="282" t="e">
        <f>+Tabla4[[#This Row],[Comisión Calculada]]*Tabla4[[#This Row],[Total]]</f>
        <v>#N/A</v>
      </c>
    </row>
    <row r="6707" spans="1:22" hidden="1" x14ac:dyDescent="0.25">
      <c r="A6707" s="100">
        <v>45976</v>
      </c>
      <c r="B6707" t="str">
        <f t="shared" ref="B6707:B6709" si="430">TEXT(A6707, "mmmm")</f>
        <v>November</v>
      </c>
      <c r="C6707" s="46" t="s">
        <v>280</v>
      </c>
      <c r="F6707" s="366" t="s">
        <v>3386</v>
      </c>
      <c r="G6707" s="46" t="s">
        <v>83</v>
      </c>
      <c r="H6707" s="46">
        <v>1</v>
      </c>
      <c r="I6707" s="51">
        <v>8858.76</v>
      </c>
      <c r="J6707" s="281">
        <f>++Tabla4[[#This Row],[Precio Bruto]]*1.16</f>
        <v>10276.161599999999</v>
      </c>
      <c r="K6707" s="281">
        <f>+Tabla4[[#This Row],[Precio Unitario Neto]]*Tabla4[[#Headers],[20.85%]]</f>
        <v>2142.5796935999997</v>
      </c>
      <c r="L6707" s="282">
        <f>++Tabla4[[#This Row],[Precio Unitario Neto]]-Tabla4[[#This Row],[20.85%]]</f>
        <v>8133.5819063999998</v>
      </c>
      <c r="M6707" s="282" t="e">
        <f>(INDEX(Tabla6[#All],MATCH(Tabla4[[#This Row],[Producto]],Tabla6[[#All],[PRODUCTO]],0),MATCH(Tabla4[[#This Row],[Mes]],Tabla6[#Headers],0)))*(1+Catalogos!$L$2)</f>
        <v>#N/A</v>
      </c>
      <c r="N6707" s="283" t="e">
        <f>+(Tabla4[[#This Row],[Precio Descontado]]-Tabla4[[#This Row],[Precio Base]])*Tabla4[[#This Row],[Cantidad]]</f>
        <v>#N/A</v>
      </c>
      <c r="O6707" s="284" t="e">
        <f>++Tabla4[[#This Row],[Utilidad Total]]/Tabla4[[#This Row],[Total]]</f>
        <v>#N/A</v>
      </c>
      <c r="P6707" s="282">
        <f>++Tabla4[[#This Row],[Precio Descontado]]*Tabla4[[#This Row],[Cantidad]]</f>
        <v>8133.5819063999998</v>
      </c>
      <c r="Q6707" s="282" t="e">
        <f>(INDEX(Tabla6[#All],MATCH(Tabla4[[#This Row],[Producto]],Tabla6[[#All],[PRODUCTO]],0),MATCH(Tabla4[[#This Row],[Mes]],Tabla6[#Headers],0)))</f>
        <v>#N/A</v>
      </c>
      <c r="R6707" s="282" t="e">
        <f>++Tabla4[[#This Row],[Precio Unitario Neto]]-Tabla4[[#This Row],[20.85%]]-Tabla4[[#This Row],[Costo]]</f>
        <v>#N/A</v>
      </c>
      <c r="S6707" s="282" t="e">
        <f>++Tabla4[[#This Row],[U. Bruta Uni]]*Tabla4[[#This Row],[Cantidad]]</f>
        <v>#N/A</v>
      </c>
      <c r="T6707" s="369" t="str">
        <f>VLOOKUP(Tabla4[[#This Row],[Producto]],Tabla6[#All],14,FALSE)</f>
        <v>Termico Solar</v>
      </c>
      <c r="U6707" s="284" t="e">
        <f>(IF(Tabla4[[#This Row],[Familia]]="termico solar",Tabla4[[#This Row],[Utilidad Total]]*6%,Tabla4[[#This Row],[Utilidad Total]]*11.5%))/Tabla4[[#This Row],[Total]]</f>
        <v>#N/A</v>
      </c>
      <c r="V6707" s="282" t="e">
        <f>+Tabla4[[#This Row],[Comisión Calculada]]*Tabla4[[#This Row],[Total]]</f>
        <v>#N/A</v>
      </c>
    </row>
    <row r="6708" spans="1:22" hidden="1" x14ac:dyDescent="0.25">
      <c r="A6708" s="100">
        <v>45976</v>
      </c>
      <c r="B6708" t="str">
        <f t="shared" si="430"/>
        <v>November</v>
      </c>
      <c r="C6708" s="46" t="s">
        <v>280</v>
      </c>
      <c r="F6708" s="366" t="s">
        <v>3386</v>
      </c>
      <c r="G6708" s="46" t="s">
        <v>18</v>
      </c>
      <c r="H6708" s="46">
        <v>1</v>
      </c>
      <c r="I6708" s="51">
        <v>5367.65</v>
      </c>
      <c r="J6708" s="281">
        <f>++Tabla4[[#This Row],[Precio Bruto]]*1.16</f>
        <v>6226.4739999999993</v>
      </c>
      <c r="K6708" s="281">
        <f>+Tabla4[[#This Row],[Precio Unitario Neto]]*Tabla4[[#Headers],[20.85%]]</f>
        <v>1298.2198289999999</v>
      </c>
      <c r="L6708" s="282">
        <f>++Tabla4[[#This Row],[Precio Unitario Neto]]-Tabla4[[#This Row],[20.85%]]</f>
        <v>4928.2541709999996</v>
      </c>
      <c r="M6708" s="282" t="e">
        <f>(INDEX(Tabla6[#All],MATCH(Tabla4[[#This Row],[Producto]],Tabla6[[#All],[PRODUCTO]],0),MATCH(Tabla4[[#This Row],[Mes]],Tabla6[#Headers],0)))*(1+Catalogos!$L$2)</f>
        <v>#N/A</v>
      </c>
      <c r="N6708" s="283" t="e">
        <f>+(Tabla4[[#This Row],[Precio Descontado]]-Tabla4[[#This Row],[Precio Base]])*Tabla4[[#This Row],[Cantidad]]</f>
        <v>#N/A</v>
      </c>
      <c r="O6708" s="284" t="e">
        <f>++Tabla4[[#This Row],[Utilidad Total]]/Tabla4[[#This Row],[Total]]</f>
        <v>#N/A</v>
      </c>
      <c r="P6708" s="282">
        <f>++Tabla4[[#This Row],[Precio Descontado]]*Tabla4[[#This Row],[Cantidad]]</f>
        <v>4928.2541709999996</v>
      </c>
      <c r="Q6708" s="282" t="e">
        <f>(INDEX(Tabla6[#All],MATCH(Tabla4[[#This Row],[Producto]],Tabla6[[#All],[PRODUCTO]],0),MATCH(Tabla4[[#This Row],[Mes]],Tabla6[#Headers],0)))</f>
        <v>#N/A</v>
      </c>
      <c r="R6708" s="282" t="e">
        <f>++Tabla4[[#This Row],[Precio Unitario Neto]]-Tabla4[[#This Row],[20.85%]]-Tabla4[[#This Row],[Costo]]</f>
        <v>#N/A</v>
      </c>
      <c r="S6708" s="282" t="e">
        <f>++Tabla4[[#This Row],[U. Bruta Uni]]*Tabla4[[#This Row],[Cantidad]]</f>
        <v>#N/A</v>
      </c>
      <c r="T6708" s="369" t="str">
        <f>VLOOKUP(Tabla4[[#This Row],[Producto]],Tabla6[#All],14,FALSE)</f>
        <v>Termico Solar</v>
      </c>
      <c r="U6708" s="284" t="e">
        <f>(IF(Tabla4[[#This Row],[Familia]]="termico solar",Tabla4[[#This Row],[Utilidad Total]]*6%,Tabla4[[#This Row],[Utilidad Total]]*11.5%))/Tabla4[[#This Row],[Total]]</f>
        <v>#N/A</v>
      </c>
      <c r="V6708" s="282" t="e">
        <f>+Tabla4[[#This Row],[Comisión Calculada]]*Tabla4[[#This Row],[Total]]</f>
        <v>#N/A</v>
      </c>
    </row>
    <row r="6709" spans="1:22" hidden="1" x14ac:dyDescent="0.25">
      <c r="A6709" s="100">
        <v>45976</v>
      </c>
      <c r="B6709" t="str">
        <f t="shared" si="430"/>
        <v>November</v>
      </c>
      <c r="C6709" s="46" t="s">
        <v>280</v>
      </c>
      <c r="F6709" s="366" t="s">
        <v>3386</v>
      </c>
      <c r="G6709" s="46" t="s">
        <v>208</v>
      </c>
      <c r="H6709" s="46">
        <v>1</v>
      </c>
      <c r="I6709" s="51">
        <v>189.75</v>
      </c>
      <c r="J6709" s="281">
        <f>++Tabla4[[#This Row],[Precio Bruto]]*1.16</f>
        <v>220.10999999999999</v>
      </c>
      <c r="K6709" s="281">
        <f>+Tabla4[[#This Row],[Precio Unitario Neto]]*Tabla4[[#Headers],[20.85%]]</f>
        <v>45.892934999999994</v>
      </c>
      <c r="L6709" s="282">
        <f>++Tabla4[[#This Row],[Precio Unitario Neto]]-Tabla4[[#This Row],[20.85%]]</f>
        <v>174.21706499999999</v>
      </c>
      <c r="M6709" s="282" t="e">
        <f>(INDEX(Tabla6[#All],MATCH(Tabla4[[#This Row],[Producto]],Tabla6[[#All],[PRODUCTO]],0),MATCH(Tabla4[[#This Row],[Mes]],Tabla6[#Headers],0)))*(1+Catalogos!$L$2)</f>
        <v>#N/A</v>
      </c>
      <c r="N6709" s="283" t="e">
        <f>+(Tabla4[[#This Row],[Precio Descontado]]-Tabla4[[#This Row],[Precio Base]])*Tabla4[[#This Row],[Cantidad]]</f>
        <v>#N/A</v>
      </c>
      <c r="O6709" s="284" t="e">
        <f>++Tabla4[[#This Row],[Utilidad Total]]/Tabla4[[#This Row],[Total]]</f>
        <v>#N/A</v>
      </c>
      <c r="P6709" s="282">
        <f>++Tabla4[[#This Row],[Precio Descontado]]*Tabla4[[#This Row],[Cantidad]]</f>
        <v>174.21706499999999</v>
      </c>
      <c r="Q6709" s="282" t="e">
        <f>(INDEX(Tabla6[#All],MATCH(Tabla4[[#This Row],[Producto]],Tabla6[[#All],[PRODUCTO]],0),MATCH(Tabla4[[#This Row],[Mes]],Tabla6[#Headers],0)))</f>
        <v>#N/A</v>
      </c>
      <c r="R6709" s="282" t="e">
        <f>++Tabla4[[#This Row],[Precio Unitario Neto]]-Tabla4[[#This Row],[20.85%]]-Tabla4[[#This Row],[Costo]]</f>
        <v>#N/A</v>
      </c>
      <c r="S6709" s="282" t="e">
        <f>++Tabla4[[#This Row],[U. Bruta Uni]]*Tabla4[[#This Row],[Cantidad]]</f>
        <v>#N/A</v>
      </c>
      <c r="T6709" s="369" t="str">
        <f>VLOOKUP(Tabla4[[#This Row],[Producto]],Tabla6[#All],14,FALSE)</f>
        <v>Termico Solar</v>
      </c>
      <c r="U6709" s="284" t="e">
        <f>(IF(Tabla4[[#This Row],[Familia]]="termico solar",Tabla4[[#This Row],[Utilidad Total]]*6%,Tabla4[[#This Row],[Utilidad Total]]*11.5%))/Tabla4[[#This Row],[Total]]</f>
        <v>#N/A</v>
      </c>
      <c r="V6709" s="282" t="e">
        <f>+Tabla4[[#This Row],[Comisión Calculada]]*Tabla4[[#This Row],[Total]]</f>
        <v>#N/A</v>
      </c>
    </row>
    <row r="6710" spans="1:22" hidden="1" x14ac:dyDescent="0.25">
      <c r="A6710" s="100">
        <v>45976</v>
      </c>
      <c r="B6710" t="str">
        <f>TEXT(A6710, "mmmm")</f>
        <v>November</v>
      </c>
      <c r="C6710" s="46" t="s">
        <v>280</v>
      </c>
      <c r="F6710" s="366" t="s">
        <v>3387</v>
      </c>
      <c r="G6710" s="46" t="s">
        <v>17</v>
      </c>
      <c r="H6710" s="46">
        <v>1</v>
      </c>
      <c r="I6710" s="51">
        <v>4622.28</v>
      </c>
      <c r="J6710" s="281">
        <f>++Tabla4[[#This Row],[Precio Bruto]]*1.16</f>
        <v>5361.8447999999989</v>
      </c>
      <c r="K6710" s="281">
        <f>+Tabla4[[#This Row],[Precio Unitario Neto]]*Tabla4[[#Headers],[20.85%]]</f>
        <v>1117.9446407999997</v>
      </c>
      <c r="L6710" s="282">
        <f>++Tabla4[[#This Row],[Precio Unitario Neto]]-Tabla4[[#This Row],[20.85%]]</f>
        <v>4243.9001591999995</v>
      </c>
      <c r="M6710" s="282" t="e">
        <f>(INDEX(Tabla6[#All],MATCH(Tabla4[[#This Row],[Producto]],Tabla6[[#All],[PRODUCTO]],0),MATCH(Tabla4[[#This Row],[Mes]],Tabla6[#Headers],0)))*(1+Catalogos!$L$2)</f>
        <v>#N/A</v>
      </c>
      <c r="N6710" s="283" t="e">
        <f>+(Tabla4[[#This Row],[Precio Descontado]]-Tabla4[[#This Row],[Precio Base]])*Tabla4[[#This Row],[Cantidad]]</f>
        <v>#N/A</v>
      </c>
      <c r="O6710" s="284" t="e">
        <f>++Tabla4[[#This Row],[Utilidad Total]]/Tabla4[[#This Row],[Total]]</f>
        <v>#N/A</v>
      </c>
      <c r="P6710" s="282">
        <f>++Tabla4[[#This Row],[Precio Descontado]]*Tabla4[[#This Row],[Cantidad]]</f>
        <v>4243.9001591999995</v>
      </c>
      <c r="Q6710" s="282" t="e">
        <f>(INDEX(Tabla6[#All],MATCH(Tabla4[[#This Row],[Producto]],Tabla6[[#All],[PRODUCTO]],0),MATCH(Tabla4[[#This Row],[Mes]],Tabla6[#Headers],0)))</f>
        <v>#N/A</v>
      </c>
      <c r="R6710" s="282" t="e">
        <f>++Tabla4[[#This Row],[Precio Unitario Neto]]-Tabla4[[#This Row],[20.85%]]-Tabla4[[#This Row],[Costo]]</f>
        <v>#N/A</v>
      </c>
      <c r="S6710" s="282" t="e">
        <f>++Tabla4[[#This Row],[U. Bruta Uni]]*Tabla4[[#This Row],[Cantidad]]</f>
        <v>#N/A</v>
      </c>
      <c r="T6710" s="369" t="str">
        <f>VLOOKUP(Tabla4[[#This Row],[Producto]],Tabla6[#All],14,FALSE)</f>
        <v>Termico Solar</v>
      </c>
      <c r="U6710" s="284" t="e">
        <f>(IF(Tabla4[[#This Row],[Familia]]="termico solar",Tabla4[[#This Row],[Utilidad Total]]*6%,Tabla4[[#This Row],[Utilidad Total]]*11.5%))/Tabla4[[#This Row],[Total]]</f>
        <v>#N/A</v>
      </c>
      <c r="V6710" s="282" t="e">
        <f>+Tabla4[[#This Row],[Comisión Calculada]]*Tabla4[[#This Row],[Total]]</f>
        <v>#N/A</v>
      </c>
    </row>
    <row r="6711" spans="1:22" hidden="1" x14ac:dyDescent="0.25">
      <c r="A6711" s="100">
        <v>45976</v>
      </c>
      <c r="B6711" t="str">
        <f>TEXT(A6711, "mmmm")</f>
        <v>November</v>
      </c>
      <c r="C6711" s="46" t="s">
        <v>280</v>
      </c>
      <c r="F6711" s="366" t="s">
        <v>3388</v>
      </c>
      <c r="G6711" s="46" t="s">
        <v>83</v>
      </c>
      <c r="H6711" s="46">
        <v>1</v>
      </c>
      <c r="I6711" s="51">
        <v>8858.76</v>
      </c>
      <c r="J6711" s="281">
        <f>++Tabla4[[#This Row],[Precio Bruto]]*1.16</f>
        <v>10276.161599999999</v>
      </c>
      <c r="K6711" s="281">
        <f>+Tabla4[[#This Row],[Precio Unitario Neto]]*Tabla4[[#Headers],[20.85%]]</f>
        <v>2142.5796935999997</v>
      </c>
      <c r="L6711" s="282">
        <f>++Tabla4[[#This Row],[Precio Unitario Neto]]-Tabla4[[#This Row],[20.85%]]</f>
        <v>8133.5819063999998</v>
      </c>
      <c r="M6711" s="282" t="e">
        <f>(INDEX(Tabla6[#All],MATCH(Tabla4[[#This Row],[Producto]],Tabla6[[#All],[PRODUCTO]],0),MATCH(Tabla4[[#This Row],[Mes]],Tabla6[#Headers],0)))*(1+Catalogos!$L$2)</f>
        <v>#N/A</v>
      </c>
      <c r="N6711" s="283" t="e">
        <f>+(Tabla4[[#This Row],[Precio Descontado]]-Tabla4[[#This Row],[Precio Base]])*Tabla4[[#This Row],[Cantidad]]</f>
        <v>#N/A</v>
      </c>
      <c r="O6711" s="284" t="e">
        <f>++Tabla4[[#This Row],[Utilidad Total]]/Tabla4[[#This Row],[Total]]</f>
        <v>#N/A</v>
      </c>
      <c r="P6711" s="282">
        <f>++Tabla4[[#This Row],[Precio Descontado]]*Tabla4[[#This Row],[Cantidad]]</f>
        <v>8133.5819063999998</v>
      </c>
      <c r="Q6711" s="282" t="e">
        <f>(INDEX(Tabla6[#All],MATCH(Tabla4[[#This Row],[Producto]],Tabla6[[#All],[PRODUCTO]],0),MATCH(Tabla4[[#This Row],[Mes]],Tabla6[#Headers],0)))</f>
        <v>#N/A</v>
      </c>
      <c r="R6711" s="282" t="e">
        <f>++Tabla4[[#This Row],[Precio Unitario Neto]]-Tabla4[[#This Row],[20.85%]]-Tabla4[[#This Row],[Costo]]</f>
        <v>#N/A</v>
      </c>
      <c r="S6711" s="282" t="e">
        <f>++Tabla4[[#This Row],[U. Bruta Uni]]*Tabla4[[#This Row],[Cantidad]]</f>
        <v>#N/A</v>
      </c>
      <c r="T6711" s="369" t="str">
        <f>VLOOKUP(Tabla4[[#This Row],[Producto]],Tabla6[#All],14,FALSE)</f>
        <v>Termico Solar</v>
      </c>
      <c r="U6711" s="284" t="e">
        <f>(IF(Tabla4[[#This Row],[Familia]]="termico solar",Tabla4[[#This Row],[Utilidad Total]]*6%,Tabla4[[#This Row],[Utilidad Total]]*11.5%))/Tabla4[[#This Row],[Total]]</f>
        <v>#N/A</v>
      </c>
      <c r="V6711" s="282" t="e">
        <f>+Tabla4[[#This Row],[Comisión Calculada]]*Tabla4[[#This Row],[Total]]</f>
        <v>#N/A</v>
      </c>
    </row>
    <row r="6712" spans="1:22" hidden="1" x14ac:dyDescent="0.25">
      <c r="A6712" s="100">
        <v>45976</v>
      </c>
      <c r="B6712" t="str">
        <f t="shared" ref="B6712:B6713" si="431">TEXT(A6712, "mmmm")</f>
        <v>November</v>
      </c>
      <c r="C6712" s="46" t="s">
        <v>280</v>
      </c>
      <c r="F6712" s="366" t="s">
        <v>3389</v>
      </c>
      <c r="G6712" s="46" t="s">
        <v>566</v>
      </c>
      <c r="H6712" s="46">
        <v>1</v>
      </c>
      <c r="I6712" s="51">
        <v>2109.4499999999998</v>
      </c>
      <c r="J6712" s="281">
        <f>++Tabla4[[#This Row],[Precio Bruto]]*1.16</f>
        <v>2446.9619999999995</v>
      </c>
      <c r="K6712" s="281">
        <f>+Tabla4[[#This Row],[Precio Unitario Neto]]*Tabla4[[#Headers],[20.85%]]</f>
        <v>510.19157699999988</v>
      </c>
      <c r="L6712" s="282">
        <f>++Tabla4[[#This Row],[Precio Unitario Neto]]-Tabla4[[#This Row],[20.85%]]</f>
        <v>1936.7704229999997</v>
      </c>
      <c r="M6712" s="282" t="e">
        <f>(INDEX(Tabla6[#All],MATCH(Tabla4[[#This Row],[Producto]],Tabla6[[#All],[PRODUCTO]],0),MATCH(Tabla4[[#This Row],[Mes]],Tabla6[#Headers],0)))*(1+Catalogos!$L$2)</f>
        <v>#N/A</v>
      </c>
      <c r="N6712" s="283" t="e">
        <f>+(Tabla4[[#This Row],[Precio Descontado]]-Tabla4[[#This Row],[Precio Base]])*Tabla4[[#This Row],[Cantidad]]</f>
        <v>#N/A</v>
      </c>
      <c r="O6712" s="284" t="e">
        <f>++Tabla4[[#This Row],[Utilidad Total]]/Tabla4[[#This Row],[Total]]</f>
        <v>#N/A</v>
      </c>
      <c r="P6712" s="282">
        <f>++Tabla4[[#This Row],[Precio Descontado]]*Tabla4[[#This Row],[Cantidad]]</f>
        <v>1936.7704229999997</v>
      </c>
      <c r="Q6712" s="282" t="e">
        <f>(INDEX(Tabla6[#All],MATCH(Tabla4[[#This Row],[Producto]],Tabla6[[#All],[PRODUCTO]],0),MATCH(Tabla4[[#This Row],[Mes]],Tabla6[#Headers],0)))</f>
        <v>#N/A</v>
      </c>
      <c r="R6712" s="282" t="e">
        <f>++Tabla4[[#This Row],[Precio Unitario Neto]]-Tabla4[[#This Row],[20.85%]]-Tabla4[[#This Row],[Costo]]</f>
        <v>#N/A</v>
      </c>
      <c r="S6712" s="282" t="e">
        <f>++Tabla4[[#This Row],[U. Bruta Uni]]*Tabla4[[#This Row],[Cantidad]]</f>
        <v>#N/A</v>
      </c>
      <c r="T6712" s="369" t="str">
        <f>VLOOKUP(Tabla4[[#This Row],[Producto]],Tabla6[#All],14,FALSE)</f>
        <v>Termico Solar</v>
      </c>
      <c r="U6712" s="284" t="e">
        <f>(IF(Tabla4[[#This Row],[Familia]]="termico solar",Tabla4[[#This Row],[Utilidad Total]]*6%,Tabla4[[#This Row],[Utilidad Total]]*11.5%))/Tabla4[[#This Row],[Total]]</f>
        <v>#N/A</v>
      </c>
      <c r="V6712" s="282" t="e">
        <f>+Tabla4[[#This Row],[Comisión Calculada]]*Tabla4[[#This Row],[Total]]</f>
        <v>#N/A</v>
      </c>
    </row>
    <row r="6713" spans="1:22" hidden="1" x14ac:dyDescent="0.25">
      <c r="A6713" s="100">
        <v>45976</v>
      </c>
      <c r="B6713" t="str">
        <f t="shared" si="431"/>
        <v>November</v>
      </c>
      <c r="C6713" s="46" t="s">
        <v>280</v>
      </c>
      <c r="F6713" s="366" t="s">
        <v>3389</v>
      </c>
      <c r="G6713" s="46" t="s">
        <v>16</v>
      </c>
      <c r="H6713" s="46">
        <v>1</v>
      </c>
      <c r="I6713" s="51">
        <v>4103.8500000000004</v>
      </c>
      <c r="J6713" s="281">
        <f>++Tabla4[[#This Row],[Precio Bruto]]*1.16</f>
        <v>4760.4660000000003</v>
      </c>
      <c r="K6713" s="281">
        <f>+Tabla4[[#This Row],[Precio Unitario Neto]]*Tabla4[[#Headers],[20.85%]]</f>
        <v>992.55716100000006</v>
      </c>
      <c r="L6713" s="282">
        <f>++Tabla4[[#This Row],[Precio Unitario Neto]]-Tabla4[[#This Row],[20.85%]]</f>
        <v>3767.9088390000002</v>
      </c>
      <c r="M6713" s="282" t="e">
        <f>(INDEX(Tabla6[#All],MATCH(Tabla4[[#This Row],[Producto]],Tabla6[[#All],[PRODUCTO]],0),MATCH(Tabla4[[#This Row],[Mes]],Tabla6[#Headers],0)))*(1+Catalogos!$L$2)</f>
        <v>#N/A</v>
      </c>
      <c r="N6713" s="283" t="e">
        <f>+(Tabla4[[#This Row],[Precio Descontado]]-Tabla4[[#This Row],[Precio Base]])*Tabla4[[#This Row],[Cantidad]]</f>
        <v>#N/A</v>
      </c>
      <c r="O6713" s="284" t="e">
        <f>++Tabla4[[#This Row],[Utilidad Total]]/Tabla4[[#This Row],[Total]]</f>
        <v>#N/A</v>
      </c>
      <c r="P6713" s="282">
        <f>++Tabla4[[#This Row],[Precio Descontado]]*Tabla4[[#This Row],[Cantidad]]</f>
        <v>3767.9088390000002</v>
      </c>
      <c r="Q6713" s="282" t="e">
        <f>(INDEX(Tabla6[#All],MATCH(Tabla4[[#This Row],[Producto]],Tabla6[[#All],[PRODUCTO]],0),MATCH(Tabla4[[#This Row],[Mes]],Tabla6[#Headers],0)))</f>
        <v>#N/A</v>
      </c>
      <c r="R6713" s="282" t="e">
        <f>++Tabla4[[#This Row],[Precio Unitario Neto]]-Tabla4[[#This Row],[20.85%]]-Tabla4[[#This Row],[Costo]]</f>
        <v>#N/A</v>
      </c>
      <c r="S6713" s="282" t="e">
        <f>++Tabla4[[#This Row],[U. Bruta Uni]]*Tabla4[[#This Row],[Cantidad]]</f>
        <v>#N/A</v>
      </c>
      <c r="T6713" s="369" t="str">
        <f>VLOOKUP(Tabla4[[#This Row],[Producto]],Tabla6[#All],14,FALSE)</f>
        <v>Termico Solar</v>
      </c>
      <c r="U6713" s="284" t="e">
        <f>(IF(Tabla4[[#This Row],[Familia]]="termico solar",Tabla4[[#This Row],[Utilidad Total]]*6%,Tabla4[[#This Row],[Utilidad Total]]*11.5%))/Tabla4[[#This Row],[Total]]</f>
        <v>#N/A</v>
      </c>
      <c r="V6713" s="282" t="e">
        <f>+Tabla4[[#This Row],[Comisión Calculada]]*Tabla4[[#This Row],[Total]]</f>
        <v>#N/A</v>
      </c>
    </row>
    <row r="6714" spans="1:22" hidden="1" x14ac:dyDescent="0.25">
      <c r="A6714" s="100">
        <v>45976</v>
      </c>
      <c r="B6714" t="str">
        <f t="shared" ref="B6714:B6715" si="432">TEXT(A6714, "mmmm")</f>
        <v>November</v>
      </c>
      <c r="C6714" s="46" t="s">
        <v>280</v>
      </c>
      <c r="F6714" s="366" t="s">
        <v>3390</v>
      </c>
      <c r="G6714" s="46" t="s">
        <v>17</v>
      </c>
      <c r="H6714" s="46">
        <v>2</v>
      </c>
      <c r="I6714" s="51">
        <v>4622.28</v>
      </c>
      <c r="J6714" s="281">
        <f>++Tabla4[[#This Row],[Precio Bruto]]*1.16</f>
        <v>5361.8447999999989</v>
      </c>
      <c r="K6714" s="281">
        <f>+Tabla4[[#This Row],[Precio Unitario Neto]]*Tabla4[[#Headers],[20.85%]]</f>
        <v>1117.9446407999997</v>
      </c>
      <c r="L6714" s="282">
        <f>++Tabla4[[#This Row],[Precio Unitario Neto]]-Tabla4[[#This Row],[20.85%]]</f>
        <v>4243.9001591999995</v>
      </c>
      <c r="M6714" s="282" t="e">
        <f>(INDEX(Tabla6[#All],MATCH(Tabla4[[#This Row],[Producto]],Tabla6[[#All],[PRODUCTO]],0),MATCH(Tabla4[[#This Row],[Mes]],Tabla6[#Headers],0)))*(1+Catalogos!$L$2)</f>
        <v>#N/A</v>
      </c>
      <c r="N6714" s="283" t="e">
        <f>+(Tabla4[[#This Row],[Precio Descontado]]-Tabla4[[#This Row],[Precio Base]])*Tabla4[[#This Row],[Cantidad]]</f>
        <v>#N/A</v>
      </c>
      <c r="O6714" s="284" t="e">
        <f>++Tabla4[[#This Row],[Utilidad Total]]/Tabla4[[#This Row],[Total]]</f>
        <v>#N/A</v>
      </c>
      <c r="P6714" s="282">
        <f>++Tabla4[[#This Row],[Precio Descontado]]*Tabla4[[#This Row],[Cantidad]]</f>
        <v>8487.800318399999</v>
      </c>
      <c r="Q6714" s="282" t="e">
        <f>(INDEX(Tabla6[#All],MATCH(Tabla4[[#This Row],[Producto]],Tabla6[[#All],[PRODUCTO]],0),MATCH(Tabla4[[#This Row],[Mes]],Tabla6[#Headers],0)))</f>
        <v>#N/A</v>
      </c>
      <c r="R6714" s="282" t="e">
        <f>++Tabla4[[#This Row],[Precio Unitario Neto]]-Tabla4[[#This Row],[20.85%]]-Tabla4[[#This Row],[Costo]]</f>
        <v>#N/A</v>
      </c>
      <c r="S6714" s="282" t="e">
        <f>++Tabla4[[#This Row],[U. Bruta Uni]]*Tabla4[[#This Row],[Cantidad]]</f>
        <v>#N/A</v>
      </c>
      <c r="T6714" s="369" t="str">
        <f>VLOOKUP(Tabla4[[#This Row],[Producto]],Tabla6[#All],14,FALSE)</f>
        <v>Termico Solar</v>
      </c>
      <c r="U6714" s="284" t="e">
        <f>(IF(Tabla4[[#This Row],[Familia]]="termico solar",Tabla4[[#This Row],[Utilidad Total]]*6%,Tabla4[[#This Row],[Utilidad Total]]*11.5%))/Tabla4[[#This Row],[Total]]</f>
        <v>#N/A</v>
      </c>
      <c r="V6714" s="282" t="e">
        <f>+Tabla4[[#This Row],[Comisión Calculada]]*Tabla4[[#This Row],[Total]]</f>
        <v>#N/A</v>
      </c>
    </row>
    <row r="6715" spans="1:22" hidden="1" x14ac:dyDescent="0.25">
      <c r="A6715" s="100">
        <v>45976</v>
      </c>
      <c r="B6715" t="str">
        <f t="shared" si="432"/>
        <v>November</v>
      </c>
      <c r="C6715" s="46" t="s">
        <v>280</v>
      </c>
      <c r="F6715" s="366" t="s">
        <v>3390</v>
      </c>
      <c r="G6715" s="46" t="s">
        <v>18</v>
      </c>
      <c r="H6715" s="46">
        <v>1</v>
      </c>
      <c r="I6715" s="51">
        <v>5367.65</v>
      </c>
      <c r="J6715" s="281">
        <f>++Tabla4[[#This Row],[Precio Bruto]]*1.16</f>
        <v>6226.4739999999993</v>
      </c>
      <c r="K6715" s="281">
        <f>+Tabla4[[#This Row],[Precio Unitario Neto]]*Tabla4[[#Headers],[20.85%]]</f>
        <v>1298.2198289999999</v>
      </c>
      <c r="L6715" s="282">
        <f>++Tabla4[[#This Row],[Precio Unitario Neto]]-Tabla4[[#This Row],[20.85%]]</f>
        <v>4928.2541709999996</v>
      </c>
      <c r="M6715" s="282" t="e">
        <f>(INDEX(Tabla6[#All],MATCH(Tabla4[[#This Row],[Producto]],Tabla6[[#All],[PRODUCTO]],0),MATCH(Tabla4[[#This Row],[Mes]],Tabla6[#Headers],0)))*(1+Catalogos!$L$2)</f>
        <v>#N/A</v>
      </c>
      <c r="N6715" s="283" t="e">
        <f>+(Tabla4[[#This Row],[Precio Descontado]]-Tabla4[[#This Row],[Precio Base]])*Tabla4[[#This Row],[Cantidad]]</f>
        <v>#N/A</v>
      </c>
      <c r="O6715" s="284" t="e">
        <f>++Tabla4[[#This Row],[Utilidad Total]]/Tabla4[[#This Row],[Total]]</f>
        <v>#N/A</v>
      </c>
      <c r="P6715" s="282">
        <f>++Tabla4[[#This Row],[Precio Descontado]]*Tabla4[[#This Row],[Cantidad]]</f>
        <v>4928.2541709999996</v>
      </c>
      <c r="Q6715" s="282" t="e">
        <f>(INDEX(Tabla6[#All],MATCH(Tabla4[[#This Row],[Producto]],Tabla6[[#All],[PRODUCTO]],0),MATCH(Tabla4[[#This Row],[Mes]],Tabla6[#Headers],0)))</f>
        <v>#N/A</v>
      </c>
      <c r="R6715" s="282" t="e">
        <f>++Tabla4[[#This Row],[Precio Unitario Neto]]-Tabla4[[#This Row],[20.85%]]-Tabla4[[#This Row],[Costo]]</f>
        <v>#N/A</v>
      </c>
      <c r="S6715" s="282" t="e">
        <f>++Tabla4[[#This Row],[U. Bruta Uni]]*Tabla4[[#This Row],[Cantidad]]</f>
        <v>#N/A</v>
      </c>
      <c r="T6715" s="369" t="str">
        <f>VLOOKUP(Tabla4[[#This Row],[Producto]],Tabla6[#All],14,FALSE)</f>
        <v>Termico Solar</v>
      </c>
      <c r="U6715" s="284" t="e">
        <f>(IF(Tabla4[[#This Row],[Familia]]="termico solar",Tabla4[[#This Row],[Utilidad Total]]*6%,Tabla4[[#This Row],[Utilidad Total]]*11.5%))/Tabla4[[#This Row],[Total]]</f>
        <v>#N/A</v>
      </c>
      <c r="V6715" s="282" t="e">
        <f>+Tabla4[[#This Row],[Comisión Calculada]]*Tabla4[[#This Row],[Total]]</f>
        <v>#N/A</v>
      </c>
    </row>
    <row r="6716" spans="1:22" hidden="1" x14ac:dyDescent="0.25">
      <c r="A6716" s="100">
        <v>45976</v>
      </c>
      <c r="B6716" t="str">
        <f t="shared" ref="B6716:B6717" si="433">TEXT(A6716, "mmmm")</f>
        <v>November</v>
      </c>
      <c r="C6716" s="46" t="s">
        <v>280</v>
      </c>
      <c r="F6716" s="366" t="s">
        <v>3391</v>
      </c>
      <c r="G6716" s="46" t="s">
        <v>17</v>
      </c>
      <c r="H6716" s="46">
        <v>2</v>
      </c>
      <c r="I6716" s="51">
        <v>4622.28</v>
      </c>
      <c r="J6716" s="281">
        <f>++Tabla4[[#This Row],[Precio Bruto]]*1.16</f>
        <v>5361.8447999999989</v>
      </c>
      <c r="K6716" s="281">
        <f>+Tabla4[[#This Row],[Precio Unitario Neto]]*Tabla4[[#Headers],[20.85%]]</f>
        <v>1117.9446407999997</v>
      </c>
      <c r="L6716" s="282">
        <f>++Tabla4[[#This Row],[Precio Unitario Neto]]-Tabla4[[#This Row],[20.85%]]</f>
        <v>4243.9001591999995</v>
      </c>
      <c r="M6716" s="282" t="e">
        <f>(INDEX(Tabla6[#All],MATCH(Tabla4[[#This Row],[Producto]],Tabla6[[#All],[PRODUCTO]],0),MATCH(Tabla4[[#This Row],[Mes]],Tabla6[#Headers],0)))*(1+Catalogos!$L$2)</f>
        <v>#N/A</v>
      </c>
      <c r="N6716" s="283" t="e">
        <f>+(Tabla4[[#This Row],[Precio Descontado]]-Tabla4[[#This Row],[Precio Base]])*Tabla4[[#This Row],[Cantidad]]</f>
        <v>#N/A</v>
      </c>
      <c r="O6716" s="284" t="e">
        <f>++Tabla4[[#This Row],[Utilidad Total]]/Tabla4[[#This Row],[Total]]</f>
        <v>#N/A</v>
      </c>
      <c r="P6716" s="282">
        <f>++Tabla4[[#This Row],[Precio Descontado]]*Tabla4[[#This Row],[Cantidad]]</f>
        <v>8487.800318399999</v>
      </c>
      <c r="Q6716" s="282" t="e">
        <f>(INDEX(Tabla6[#All],MATCH(Tabla4[[#This Row],[Producto]],Tabla6[[#All],[PRODUCTO]],0),MATCH(Tabla4[[#This Row],[Mes]],Tabla6[#Headers],0)))</f>
        <v>#N/A</v>
      </c>
      <c r="R6716" s="282" t="e">
        <f>++Tabla4[[#This Row],[Precio Unitario Neto]]-Tabla4[[#This Row],[20.85%]]-Tabla4[[#This Row],[Costo]]</f>
        <v>#N/A</v>
      </c>
      <c r="S6716" s="282" t="e">
        <f>++Tabla4[[#This Row],[U. Bruta Uni]]*Tabla4[[#This Row],[Cantidad]]</f>
        <v>#N/A</v>
      </c>
      <c r="T6716" s="369" t="str">
        <f>VLOOKUP(Tabla4[[#This Row],[Producto]],Tabla6[#All],14,FALSE)</f>
        <v>Termico Solar</v>
      </c>
      <c r="U6716" s="284" t="e">
        <f>(IF(Tabla4[[#This Row],[Familia]]="termico solar",Tabla4[[#This Row],[Utilidad Total]]*6%,Tabla4[[#This Row],[Utilidad Total]]*11.5%))/Tabla4[[#This Row],[Total]]</f>
        <v>#N/A</v>
      </c>
      <c r="V6716" s="282" t="e">
        <f>+Tabla4[[#This Row],[Comisión Calculada]]*Tabla4[[#This Row],[Total]]</f>
        <v>#N/A</v>
      </c>
    </row>
    <row r="6717" spans="1:22" hidden="1" x14ac:dyDescent="0.25">
      <c r="A6717" s="100">
        <v>45976</v>
      </c>
      <c r="B6717" t="str">
        <f t="shared" si="433"/>
        <v>November</v>
      </c>
      <c r="C6717" s="46" t="s">
        <v>280</v>
      </c>
      <c r="F6717" s="366" t="s">
        <v>3391</v>
      </c>
      <c r="G6717" s="46" t="s">
        <v>18</v>
      </c>
      <c r="H6717" s="46">
        <v>2</v>
      </c>
      <c r="I6717" s="51">
        <v>5367.65</v>
      </c>
      <c r="J6717" s="281">
        <f>++Tabla4[[#This Row],[Precio Bruto]]*1.16</f>
        <v>6226.4739999999993</v>
      </c>
      <c r="K6717" s="281">
        <f>+Tabla4[[#This Row],[Precio Unitario Neto]]*Tabla4[[#Headers],[20.85%]]</f>
        <v>1298.2198289999999</v>
      </c>
      <c r="L6717" s="282">
        <f>++Tabla4[[#This Row],[Precio Unitario Neto]]-Tabla4[[#This Row],[20.85%]]</f>
        <v>4928.2541709999996</v>
      </c>
      <c r="M6717" s="282" t="e">
        <f>(INDEX(Tabla6[#All],MATCH(Tabla4[[#This Row],[Producto]],Tabla6[[#All],[PRODUCTO]],0),MATCH(Tabla4[[#This Row],[Mes]],Tabla6[#Headers],0)))*(1+Catalogos!$L$2)</f>
        <v>#N/A</v>
      </c>
      <c r="N6717" s="283" t="e">
        <f>+(Tabla4[[#This Row],[Precio Descontado]]-Tabla4[[#This Row],[Precio Base]])*Tabla4[[#This Row],[Cantidad]]</f>
        <v>#N/A</v>
      </c>
      <c r="O6717" s="284" t="e">
        <f>++Tabla4[[#This Row],[Utilidad Total]]/Tabla4[[#This Row],[Total]]</f>
        <v>#N/A</v>
      </c>
      <c r="P6717" s="282">
        <f>++Tabla4[[#This Row],[Precio Descontado]]*Tabla4[[#This Row],[Cantidad]]</f>
        <v>9856.5083419999992</v>
      </c>
      <c r="Q6717" s="282" t="e">
        <f>(INDEX(Tabla6[#All],MATCH(Tabla4[[#This Row],[Producto]],Tabla6[[#All],[PRODUCTO]],0),MATCH(Tabla4[[#This Row],[Mes]],Tabla6[#Headers],0)))</f>
        <v>#N/A</v>
      </c>
      <c r="R6717" s="282" t="e">
        <f>++Tabla4[[#This Row],[Precio Unitario Neto]]-Tabla4[[#This Row],[20.85%]]-Tabla4[[#This Row],[Costo]]</f>
        <v>#N/A</v>
      </c>
      <c r="S6717" s="282" t="e">
        <f>++Tabla4[[#This Row],[U. Bruta Uni]]*Tabla4[[#This Row],[Cantidad]]</f>
        <v>#N/A</v>
      </c>
      <c r="T6717" s="369" t="str">
        <f>VLOOKUP(Tabla4[[#This Row],[Producto]],Tabla6[#All],14,FALSE)</f>
        <v>Termico Solar</v>
      </c>
      <c r="U6717" s="284" t="e">
        <f>(IF(Tabla4[[#This Row],[Familia]]="termico solar",Tabla4[[#This Row],[Utilidad Total]]*6%,Tabla4[[#This Row],[Utilidad Total]]*11.5%))/Tabla4[[#This Row],[Total]]</f>
        <v>#N/A</v>
      </c>
      <c r="V6717" s="282" t="e">
        <f>+Tabla4[[#This Row],[Comisión Calculada]]*Tabla4[[#This Row],[Total]]</f>
        <v>#N/A</v>
      </c>
    </row>
    <row r="6718" spans="1:22" hidden="1" x14ac:dyDescent="0.25">
      <c r="A6718" s="100">
        <v>45976</v>
      </c>
      <c r="B6718" t="str">
        <f t="shared" ref="B6718:B6721" si="434">TEXT(A6718, "mmmm")</f>
        <v>November</v>
      </c>
      <c r="C6718" s="46" t="s">
        <v>280</v>
      </c>
      <c r="F6718" s="366" t="s">
        <v>3392</v>
      </c>
      <c r="G6718" s="46" t="s">
        <v>83</v>
      </c>
      <c r="H6718" s="46">
        <v>1</v>
      </c>
      <c r="I6718" s="51">
        <v>8858.76</v>
      </c>
      <c r="J6718" s="281">
        <f>++Tabla4[[#This Row],[Precio Bruto]]*1.16</f>
        <v>10276.161599999999</v>
      </c>
      <c r="K6718" s="281">
        <f>+Tabla4[[#This Row],[Precio Unitario Neto]]*Tabla4[[#Headers],[20.85%]]</f>
        <v>2142.5796935999997</v>
      </c>
      <c r="L6718" s="282">
        <f>++Tabla4[[#This Row],[Precio Unitario Neto]]-Tabla4[[#This Row],[20.85%]]</f>
        <v>8133.5819063999998</v>
      </c>
      <c r="M6718" s="282" t="e">
        <f>(INDEX(Tabla6[#All],MATCH(Tabla4[[#This Row],[Producto]],Tabla6[[#All],[PRODUCTO]],0),MATCH(Tabla4[[#This Row],[Mes]],Tabla6[#Headers],0)))*(1+Catalogos!$L$2)</f>
        <v>#N/A</v>
      </c>
      <c r="N6718" s="283" t="e">
        <f>+(Tabla4[[#This Row],[Precio Descontado]]-Tabla4[[#This Row],[Precio Base]])*Tabla4[[#This Row],[Cantidad]]</f>
        <v>#N/A</v>
      </c>
      <c r="O6718" s="284" t="e">
        <f>++Tabla4[[#This Row],[Utilidad Total]]/Tabla4[[#This Row],[Total]]</f>
        <v>#N/A</v>
      </c>
      <c r="P6718" s="282">
        <f>++Tabla4[[#This Row],[Precio Descontado]]*Tabla4[[#This Row],[Cantidad]]</f>
        <v>8133.5819063999998</v>
      </c>
      <c r="Q6718" s="282" t="e">
        <f>(INDEX(Tabla6[#All],MATCH(Tabla4[[#This Row],[Producto]],Tabla6[[#All],[PRODUCTO]],0),MATCH(Tabla4[[#This Row],[Mes]],Tabla6[#Headers],0)))</f>
        <v>#N/A</v>
      </c>
      <c r="R6718" s="282" t="e">
        <f>++Tabla4[[#This Row],[Precio Unitario Neto]]-Tabla4[[#This Row],[20.85%]]-Tabla4[[#This Row],[Costo]]</f>
        <v>#N/A</v>
      </c>
      <c r="S6718" s="282" t="e">
        <f>++Tabla4[[#This Row],[U. Bruta Uni]]*Tabla4[[#This Row],[Cantidad]]</f>
        <v>#N/A</v>
      </c>
      <c r="T6718" s="369" t="str">
        <f>VLOOKUP(Tabla4[[#This Row],[Producto]],Tabla6[#All],14,FALSE)</f>
        <v>Termico Solar</v>
      </c>
      <c r="U6718" s="284" t="e">
        <f>(IF(Tabla4[[#This Row],[Familia]]="termico solar",Tabla4[[#This Row],[Utilidad Total]]*6%,Tabla4[[#This Row],[Utilidad Total]]*11.5%))/Tabla4[[#This Row],[Total]]</f>
        <v>#N/A</v>
      </c>
      <c r="V6718" s="282" t="e">
        <f>+Tabla4[[#This Row],[Comisión Calculada]]*Tabla4[[#This Row],[Total]]</f>
        <v>#N/A</v>
      </c>
    </row>
    <row r="6719" spans="1:22" hidden="1" x14ac:dyDescent="0.25">
      <c r="A6719" s="100">
        <v>45976</v>
      </c>
      <c r="B6719" t="str">
        <f t="shared" si="434"/>
        <v>November</v>
      </c>
      <c r="C6719" s="46" t="s">
        <v>280</v>
      </c>
      <c r="F6719" s="366" t="s">
        <v>3392</v>
      </c>
      <c r="G6719" s="46" t="s">
        <v>17</v>
      </c>
      <c r="H6719" s="46">
        <v>1</v>
      </c>
      <c r="I6719" s="51">
        <v>4622.28</v>
      </c>
      <c r="J6719" s="281">
        <f>++Tabla4[[#This Row],[Precio Bruto]]*1.16</f>
        <v>5361.8447999999989</v>
      </c>
      <c r="K6719" s="281">
        <f>+Tabla4[[#This Row],[Precio Unitario Neto]]*Tabla4[[#Headers],[20.85%]]</f>
        <v>1117.9446407999997</v>
      </c>
      <c r="L6719" s="282">
        <f>++Tabla4[[#This Row],[Precio Unitario Neto]]-Tabla4[[#This Row],[20.85%]]</f>
        <v>4243.9001591999995</v>
      </c>
      <c r="M6719" s="282" t="e">
        <f>(INDEX(Tabla6[#All],MATCH(Tabla4[[#This Row],[Producto]],Tabla6[[#All],[PRODUCTO]],0),MATCH(Tabla4[[#This Row],[Mes]],Tabla6[#Headers],0)))*(1+Catalogos!$L$2)</f>
        <v>#N/A</v>
      </c>
      <c r="N6719" s="283" t="e">
        <f>+(Tabla4[[#This Row],[Precio Descontado]]-Tabla4[[#This Row],[Precio Base]])*Tabla4[[#This Row],[Cantidad]]</f>
        <v>#N/A</v>
      </c>
      <c r="O6719" s="284" t="e">
        <f>++Tabla4[[#This Row],[Utilidad Total]]/Tabla4[[#This Row],[Total]]</f>
        <v>#N/A</v>
      </c>
      <c r="P6719" s="282">
        <f>++Tabla4[[#This Row],[Precio Descontado]]*Tabla4[[#This Row],[Cantidad]]</f>
        <v>4243.9001591999995</v>
      </c>
      <c r="Q6719" s="282" t="e">
        <f>(INDEX(Tabla6[#All],MATCH(Tabla4[[#This Row],[Producto]],Tabla6[[#All],[PRODUCTO]],0),MATCH(Tabla4[[#This Row],[Mes]],Tabla6[#Headers],0)))</f>
        <v>#N/A</v>
      </c>
      <c r="R6719" s="282" t="e">
        <f>++Tabla4[[#This Row],[Precio Unitario Neto]]-Tabla4[[#This Row],[20.85%]]-Tabla4[[#This Row],[Costo]]</f>
        <v>#N/A</v>
      </c>
      <c r="S6719" s="282" t="e">
        <f>++Tabla4[[#This Row],[U. Bruta Uni]]*Tabla4[[#This Row],[Cantidad]]</f>
        <v>#N/A</v>
      </c>
      <c r="T6719" s="369" t="str">
        <f>VLOOKUP(Tabla4[[#This Row],[Producto]],Tabla6[#All],14,FALSE)</f>
        <v>Termico Solar</v>
      </c>
      <c r="U6719" s="284" t="e">
        <f>(IF(Tabla4[[#This Row],[Familia]]="termico solar",Tabla4[[#This Row],[Utilidad Total]]*6%,Tabla4[[#This Row],[Utilidad Total]]*11.5%))/Tabla4[[#This Row],[Total]]</f>
        <v>#N/A</v>
      </c>
      <c r="V6719" s="282" t="e">
        <f>+Tabla4[[#This Row],[Comisión Calculada]]*Tabla4[[#This Row],[Total]]</f>
        <v>#N/A</v>
      </c>
    </row>
    <row r="6720" spans="1:22" hidden="1" x14ac:dyDescent="0.25">
      <c r="A6720" s="100">
        <v>45976</v>
      </c>
      <c r="B6720" t="str">
        <f t="shared" si="434"/>
        <v>November</v>
      </c>
      <c r="C6720" s="46" t="s">
        <v>280</v>
      </c>
      <c r="F6720" s="366" t="s">
        <v>3392</v>
      </c>
      <c r="G6720" s="46" t="s">
        <v>16</v>
      </c>
      <c r="H6720" s="46">
        <v>1</v>
      </c>
      <c r="I6720" s="51">
        <v>4103.8500000000004</v>
      </c>
      <c r="J6720" s="281">
        <f>++Tabla4[[#This Row],[Precio Bruto]]*1.16</f>
        <v>4760.4660000000003</v>
      </c>
      <c r="K6720" s="281">
        <f>+Tabla4[[#This Row],[Precio Unitario Neto]]*Tabla4[[#Headers],[20.85%]]</f>
        <v>992.55716100000006</v>
      </c>
      <c r="L6720" s="282">
        <f>++Tabla4[[#This Row],[Precio Unitario Neto]]-Tabla4[[#This Row],[20.85%]]</f>
        <v>3767.9088390000002</v>
      </c>
      <c r="M6720" s="282" t="e">
        <f>(INDEX(Tabla6[#All],MATCH(Tabla4[[#This Row],[Producto]],Tabla6[[#All],[PRODUCTO]],0),MATCH(Tabla4[[#This Row],[Mes]],Tabla6[#Headers],0)))*(1+Catalogos!$L$2)</f>
        <v>#N/A</v>
      </c>
      <c r="N6720" s="283" t="e">
        <f>+(Tabla4[[#This Row],[Precio Descontado]]-Tabla4[[#This Row],[Precio Base]])*Tabla4[[#This Row],[Cantidad]]</f>
        <v>#N/A</v>
      </c>
      <c r="O6720" s="284" t="e">
        <f>++Tabla4[[#This Row],[Utilidad Total]]/Tabla4[[#This Row],[Total]]</f>
        <v>#N/A</v>
      </c>
      <c r="P6720" s="282">
        <f>++Tabla4[[#This Row],[Precio Descontado]]*Tabla4[[#This Row],[Cantidad]]</f>
        <v>3767.9088390000002</v>
      </c>
      <c r="Q6720" s="282" t="e">
        <f>(INDEX(Tabla6[#All],MATCH(Tabla4[[#This Row],[Producto]],Tabla6[[#All],[PRODUCTO]],0),MATCH(Tabla4[[#This Row],[Mes]],Tabla6[#Headers],0)))</f>
        <v>#N/A</v>
      </c>
      <c r="R6720" s="282" t="e">
        <f>++Tabla4[[#This Row],[Precio Unitario Neto]]-Tabla4[[#This Row],[20.85%]]-Tabla4[[#This Row],[Costo]]</f>
        <v>#N/A</v>
      </c>
      <c r="S6720" s="282" t="e">
        <f>++Tabla4[[#This Row],[U. Bruta Uni]]*Tabla4[[#This Row],[Cantidad]]</f>
        <v>#N/A</v>
      </c>
      <c r="T6720" s="369" t="str">
        <f>VLOOKUP(Tabla4[[#This Row],[Producto]],Tabla6[#All],14,FALSE)</f>
        <v>Termico Solar</v>
      </c>
      <c r="U6720" s="284" t="e">
        <f>(IF(Tabla4[[#This Row],[Familia]]="termico solar",Tabla4[[#This Row],[Utilidad Total]]*6%,Tabla4[[#This Row],[Utilidad Total]]*11.5%))/Tabla4[[#This Row],[Total]]</f>
        <v>#N/A</v>
      </c>
      <c r="V6720" s="282" t="e">
        <f>+Tabla4[[#This Row],[Comisión Calculada]]*Tabla4[[#This Row],[Total]]</f>
        <v>#N/A</v>
      </c>
    </row>
    <row r="6721" spans="1:22" hidden="1" x14ac:dyDescent="0.25">
      <c r="A6721" s="100">
        <v>45976</v>
      </c>
      <c r="B6721" t="str">
        <f t="shared" si="434"/>
        <v>November</v>
      </c>
      <c r="C6721" s="46" t="s">
        <v>280</v>
      </c>
      <c r="F6721" s="366" t="s">
        <v>3392</v>
      </c>
      <c r="G6721" s="46" t="s">
        <v>555</v>
      </c>
      <c r="H6721" s="46">
        <v>8</v>
      </c>
      <c r="I6721" s="51">
        <v>389.47</v>
      </c>
      <c r="J6721" s="281">
        <f>++Tabla4[[#This Row],[Precio Bruto]]*1.16</f>
        <v>451.78519999999997</v>
      </c>
      <c r="K6721" s="281">
        <f>+Tabla4[[#This Row],[Precio Unitario Neto]]*Tabla4[[#Headers],[20.85%]]</f>
        <v>94.197214199999991</v>
      </c>
      <c r="L6721" s="282">
        <f>++Tabla4[[#This Row],[Precio Unitario Neto]]-Tabla4[[#This Row],[20.85%]]</f>
        <v>357.58798579999996</v>
      </c>
      <c r="M6721" s="282" t="e">
        <f>(INDEX(Tabla6[#All],MATCH(Tabla4[[#This Row],[Producto]],Tabla6[[#All],[PRODUCTO]],0),MATCH(Tabla4[[#This Row],[Mes]],Tabla6[#Headers],0)))*(1+Catalogos!$L$2)</f>
        <v>#N/A</v>
      </c>
      <c r="N6721" s="283" t="e">
        <f>+(Tabla4[[#This Row],[Precio Descontado]]-Tabla4[[#This Row],[Precio Base]])*Tabla4[[#This Row],[Cantidad]]</f>
        <v>#N/A</v>
      </c>
      <c r="O6721" s="284" t="e">
        <f>++Tabla4[[#This Row],[Utilidad Total]]/Tabla4[[#This Row],[Total]]</f>
        <v>#N/A</v>
      </c>
      <c r="P6721" s="282">
        <f>++Tabla4[[#This Row],[Precio Descontado]]*Tabla4[[#This Row],[Cantidad]]</f>
        <v>2860.7038863999996</v>
      </c>
      <c r="Q6721" s="282" t="e">
        <f>(INDEX(Tabla6[#All],MATCH(Tabla4[[#This Row],[Producto]],Tabla6[[#All],[PRODUCTO]],0),MATCH(Tabla4[[#This Row],[Mes]],Tabla6[#Headers],0)))</f>
        <v>#N/A</v>
      </c>
      <c r="R6721" s="282" t="e">
        <f>++Tabla4[[#This Row],[Precio Unitario Neto]]-Tabla4[[#This Row],[20.85%]]-Tabla4[[#This Row],[Costo]]</f>
        <v>#N/A</v>
      </c>
      <c r="S6721" s="282" t="e">
        <f>++Tabla4[[#This Row],[U. Bruta Uni]]*Tabla4[[#This Row],[Cantidad]]</f>
        <v>#N/A</v>
      </c>
      <c r="T6721" s="369" t="str">
        <f>VLOOKUP(Tabla4[[#This Row],[Producto]],Tabla6[#All],14,FALSE)</f>
        <v>Termico Solar</v>
      </c>
      <c r="U6721" s="284" t="e">
        <f>(IF(Tabla4[[#This Row],[Familia]]="termico solar",Tabla4[[#This Row],[Utilidad Total]]*6%,Tabla4[[#This Row],[Utilidad Total]]*11.5%))/Tabla4[[#This Row],[Total]]</f>
        <v>#N/A</v>
      </c>
      <c r="V6721" s="282" t="e">
        <f>+Tabla4[[#This Row],[Comisión Calculada]]*Tabla4[[#This Row],[Total]]</f>
        <v>#N/A</v>
      </c>
    </row>
    <row r="6722" spans="1:22" hidden="1" x14ac:dyDescent="0.25">
      <c r="A6722" s="100">
        <v>45976</v>
      </c>
      <c r="B6722" t="str">
        <f>TEXT(A6722, "mmmm")</f>
        <v>November</v>
      </c>
      <c r="C6722" s="46" t="s">
        <v>280</v>
      </c>
      <c r="F6722" s="366" t="s">
        <v>3393</v>
      </c>
      <c r="G6722" s="46" t="s">
        <v>17</v>
      </c>
      <c r="H6722" s="46">
        <v>1</v>
      </c>
      <c r="I6722" s="51">
        <v>4622.28</v>
      </c>
      <c r="J6722" s="281">
        <f>++Tabla4[[#This Row],[Precio Bruto]]*1.16</f>
        <v>5361.8447999999989</v>
      </c>
      <c r="K6722" s="281">
        <f>+Tabla4[[#This Row],[Precio Unitario Neto]]*Tabla4[[#Headers],[20.85%]]</f>
        <v>1117.9446407999997</v>
      </c>
      <c r="L6722" s="282">
        <f>++Tabla4[[#This Row],[Precio Unitario Neto]]-Tabla4[[#This Row],[20.85%]]</f>
        <v>4243.9001591999995</v>
      </c>
      <c r="M6722" s="282" t="e">
        <f>(INDEX(Tabla6[#All],MATCH(Tabla4[[#This Row],[Producto]],Tabla6[[#All],[PRODUCTO]],0),MATCH(Tabla4[[#This Row],[Mes]],Tabla6[#Headers],0)))*(1+Catalogos!$L$2)</f>
        <v>#N/A</v>
      </c>
      <c r="N6722" s="283" t="e">
        <f>+(Tabla4[[#This Row],[Precio Descontado]]-Tabla4[[#This Row],[Precio Base]])*Tabla4[[#This Row],[Cantidad]]</f>
        <v>#N/A</v>
      </c>
      <c r="O6722" s="284" t="e">
        <f>++Tabla4[[#This Row],[Utilidad Total]]/Tabla4[[#This Row],[Total]]</f>
        <v>#N/A</v>
      </c>
      <c r="P6722" s="282">
        <f>++Tabla4[[#This Row],[Precio Descontado]]*Tabla4[[#This Row],[Cantidad]]</f>
        <v>4243.9001591999995</v>
      </c>
      <c r="Q6722" s="282" t="e">
        <f>(INDEX(Tabla6[#All],MATCH(Tabla4[[#This Row],[Producto]],Tabla6[[#All],[PRODUCTO]],0),MATCH(Tabla4[[#This Row],[Mes]],Tabla6[#Headers],0)))</f>
        <v>#N/A</v>
      </c>
      <c r="R6722" s="282" t="e">
        <f>++Tabla4[[#This Row],[Precio Unitario Neto]]-Tabla4[[#This Row],[20.85%]]-Tabla4[[#This Row],[Costo]]</f>
        <v>#N/A</v>
      </c>
      <c r="S6722" s="282" t="e">
        <f>++Tabla4[[#This Row],[U. Bruta Uni]]*Tabla4[[#This Row],[Cantidad]]</f>
        <v>#N/A</v>
      </c>
      <c r="T6722" s="369" t="str">
        <f>VLOOKUP(Tabla4[[#This Row],[Producto]],Tabla6[#All],14,FALSE)</f>
        <v>Termico Solar</v>
      </c>
      <c r="U6722" s="284" t="e">
        <f>(IF(Tabla4[[#This Row],[Familia]]="termico solar",Tabla4[[#This Row],[Utilidad Total]]*6%,Tabla4[[#This Row],[Utilidad Total]]*11.5%))/Tabla4[[#This Row],[Total]]</f>
        <v>#N/A</v>
      </c>
      <c r="V6722" s="282" t="e">
        <f>+Tabla4[[#This Row],[Comisión Calculada]]*Tabla4[[#This Row],[Total]]</f>
        <v>#N/A</v>
      </c>
    </row>
    <row r="6723" spans="1:22" hidden="1" x14ac:dyDescent="0.25">
      <c r="A6723" s="100">
        <v>45976</v>
      </c>
      <c r="B6723" t="str">
        <f t="shared" ref="B6723:B6725" si="435">TEXT(A6723, "mmmm")</f>
        <v>November</v>
      </c>
      <c r="C6723" s="46" t="s">
        <v>280</v>
      </c>
      <c r="F6723" s="366" t="s">
        <v>3394</v>
      </c>
      <c r="G6723" s="46" t="s">
        <v>83</v>
      </c>
      <c r="H6723" s="46">
        <v>1</v>
      </c>
      <c r="I6723" s="51">
        <v>8858.76</v>
      </c>
      <c r="J6723" s="281">
        <f>++Tabla4[[#This Row],[Precio Bruto]]*1.16</f>
        <v>10276.161599999999</v>
      </c>
      <c r="K6723" s="281">
        <f>+Tabla4[[#This Row],[Precio Unitario Neto]]*Tabla4[[#Headers],[20.85%]]</f>
        <v>2142.5796935999997</v>
      </c>
      <c r="L6723" s="282">
        <f>++Tabla4[[#This Row],[Precio Unitario Neto]]-Tabla4[[#This Row],[20.85%]]</f>
        <v>8133.5819063999998</v>
      </c>
      <c r="M6723" s="282" t="e">
        <f>(INDEX(Tabla6[#All],MATCH(Tabla4[[#This Row],[Producto]],Tabla6[[#All],[PRODUCTO]],0),MATCH(Tabla4[[#This Row],[Mes]],Tabla6[#Headers],0)))*(1+Catalogos!$L$2)</f>
        <v>#N/A</v>
      </c>
      <c r="N6723" s="283" t="e">
        <f>+(Tabla4[[#This Row],[Precio Descontado]]-Tabla4[[#This Row],[Precio Base]])*Tabla4[[#This Row],[Cantidad]]</f>
        <v>#N/A</v>
      </c>
      <c r="O6723" s="284" t="e">
        <f>++Tabla4[[#This Row],[Utilidad Total]]/Tabla4[[#This Row],[Total]]</f>
        <v>#N/A</v>
      </c>
      <c r="P6723" s="282">
        <f>++Tabla4[[#This Row],[Precio Descontado]]*Tabla4[[#This Row],[Cantidad]]</f>
        <v>8133.5819063999998</v>
      </c>
      <c r="Q6723" s="282" t="e">
        <f>(INDEX(Tabla6[#All],MATCH(Tabla4[[#This Row],[Producto]],Tabla6[[#All],[PRODUCTO]],0),MATCH(Tabla4[[#This Row],[Mes]],Tabla6[#Headers],0)))</f>
        <v>#N/A</v>
      </c>
      <c r="R6723" s="282" t="e">
        <f>++Tabla4[[#This Row],[Precio Unitario Neto]]-Tabla4[[#This Row],[20.85%]]-Tabla4[[#This Row],[Costo]]</f>
        <v>#N/A</v>
      </c>
      <c r="S6723" s="282" t="e">
        <f>++Tabla4[[#This Row],[U. Bruta Uni]]*Tabla4[[#This Row],[Cantidad]]</f>
        <v>#N/A</v>
      </c>
      <c r="T6723" s="369" t="str">
        <f>VLOOKUP(Tabla4[[#This Row],[Producto]],Tabla6[#All],14,FALSE)</f>
        <v>Termico Solar</v>
      </c>
      <c r="U6723" s="284" t="e">
        <f>(IF(Tabla4[[#This Row],[Familia]]="termico solar",Tabla4[[#This Row],[Utilidad Total]]*6%,Tabla4[[#This Row],[Utilidad Total]]*11.5%))/Tabla4[[#This Row],[Total]]</f>
        <v>#N/A</v>
      </c>
      <c r="V6723" s="282" t="e">
        <f>+Tabla4[[#This Row],[Comisión Calculada]]*Tabla4[[#This Row],[Total]]</f>
        <v>#N/A</v>
      </c>
    </row>
    <row r="6724" spans="1:22" hidden="1" x14ac:dyDescent="0.25">
      <c r="A6724" s="100">
        <v>45976</v>
      </c>
      <c r="B6724" t="str">
        <f t="shared" si="435"/>
        <v>November</v>
      </c>
      <c r="C6724" s="46" t="s">
        <v>280</v>
      </c>
      <c r="F6724" s="366" t="s">
        <v>3394</v>
      </c>
      <c r="G6724" s="46" t="s">
        <v>566</v>
      </c>
      <c r="H6724" s="46">
        <v>1</v>
      </c>
      <c r="I6724" s="51">
        <v>2109.4499999999998</v>
      </c>
      <c r="J6724" s="281">
        <f>++Tabla4[[#This Row],[Precio Bruto]]*1.16</f>
        <v>2446.9619999999995</v>
      </c>
      <c r="K6724" s="281">
        <f>+Tabla4[[#This Row],[Precio Unitario Neto]]*Tabla4[[#Headers],[20.85%]]</f>
        <v>510.19157699999988</v>
      </c>
      <c r="L6724" s="282">
        <f>++Tabla4[[#This Row],[Precio Unitario Neto]]-Tabla4[[#This Row],[20.85%]]</f>
        <v>1936.7704229999997</v>
      </c>
      <c r="M6724" s="282" t="e">
        <f>(INDEX(Tabla6[#All],MATCH(Tabla4[[#This Row],[Producto]],Tabla6[[#All],[PRODUCTO]],0),MATCH(Tabla4[[#This Row],[Mes]],Tabla6[#Headers],0)))*(1+Catalogos!$L$2)</f>
        <v>#N/A</v>
      </c>
      <c r="N6724" s="283" t="e">
        <f>+(Tabla4[[#This Row],[Precio Descontado]]-Tabla4[[#This Row],[Precio Base]])*Tabla4[[#This Row],[Cantidad]]</f>
        <v>#N/A</v>
      </c>
      <c r="O6724" s="284" t="e">
        <f>++Tabla4[[#This Row],[Utilidad Total]]/Tabla4[[#This Row],[Total]]</f>
        <v>#N/A</v>
      </c>
      <c r="P6724" s="282">
        <f>++Tabla4[[#This Row],[Precio Descontado]]*Tabla4[[#This Row],[Cantidad]]</f>
        <v>1936.7704229999997</v>
      </c>
      <c r="Q6724" s="282" t="e">
        <f>(INDEX(Tabla6[#All],MATCH(Tabla4[[#This Row],[Producto]],Tabla6[[#All],[PRODUCTO]],0),MATCH(Tabla4[[#This Row],[Mes]],Tabla6[#Headers],0)))</f>
        <v>#N/A</v>
      </c>
      <c r="R6724" s="282" t="e">
        <f>++Tabla4[[#This Row],[Precio Unitario Neto]]-Tabla4[[#This Row],[20.85%]]-Tabla4[[#This Row],[Costo]]</f>
        <v>#N/A</v>
      </c>
      <c r="S6724" s="282" t="e">
        <f>++Tabla4[[#This Row],[U. Bruta Uni]]*Tabla4[[#This Row],[Cantidad]]</f>
        <v>#N/A</v>
      </c>
      <c r="T6724" s="369" t="str">
        <f>VLOOKUP(Tabla4[[#This Row],[Producto]],Tabla6[#All],14,FALSE)</f>
        <v>Termico Solar</v>
      </c>
      <c r="U6724" s="284" t="e">
        <f>(IF(Tabla4[[#This Row],[Familia]]="termico solar",Tabla4[[#This Row],[Utilidad Total]]*6%,Tabla4[[#This Row],[Utilidad Total]]*11.5%))/Tabla4[[#This Row],[Total]]</f>
        <v>#N/A</v>
      </c>
      <c r="V6724" s="282" t="e">
        <f>+Tabla4[[#This Row],[Comisión Calculada]]*Tabla4[[#This Row],[Total]]</f>
        <v>#N/A</v>
      </c>
    </row>
    <row r="6725" spans="1:22" hidden="1" x14ac:dyDescent="0.25">
      <c r="A6725" s="100">
        <v>45976</v>
      </c>
      <c r="B6725" t="str">
        <f t="shared" si="435"/>
        <v>November</v>
      </c>
      <c r="C6725" s="46" t="s">
        <v>280</v>
      </c>
      <c r="F6725" s="366" t="s">
        <v>3394</v>
      </c>
      <c r="G6725" s="46" t="s">
        <v>208</v>
      </c>
      <c r="H6725" s="46">
        <v>1</v>
      </c>
      <c r="I6725" s="51">
        <v>189.75</v>
      </c>
      <c r="J6725" s="281">
        <f>++Tabla4[[#This Row],[Precio Bruto]]*1.16</f>
        <v>220.10999999999999</v>
      </c>
      <c r="K6725" s="281">
        <f>+Tabla4[[#This Row],[Precio Unitario Neto]]*Tabla4[[#Headers],[20.85%]]</f>
        <v>45.892934999999994</v>
      </c>
      <c r="L6725" s="282">
        <f>++Tabla4[[#This Row],[Precio Unitario Neto]]-Tabla4[[#This Row],[20.85%]]</f>
        <v>174.21706499999999</v>
      </c>
      <c r="M6725" s="282" t="e">
        <f>(INDEX(Tabla6[#All],MATCH(Tabla4[[#This Row],[Producto]],Tabla6[[#All],[PRODUCTO]],0),MATCH(Tabla4[[#This Row],[Mes]],Tabla6[#Headers],0)))*(1+Catalogos!$L$2)</f>
        <v>#N/A</v>
      </c>
      <c r="N6725" s="283" t="e">
        <f>+(Tabla4[[#This Row],[Precio Descontado]]-Tabla4[[#This Row],[Precio Base]])*Tabla4[[#This Row],[Cantidad]]</f>
        <v>#N/A</v>
      </c>
      <c r="O6725" s="284" t="e">
        <f>++Tabla4[[#This Row],[Utilidad Total]]/Tabla4[[#This Row],[Total]]</f>
        <v>#N/A</v>
      </c>
      <c r="P6725" s="282">
        <f>++Tabla4[[#This Row],[Precio Descontado]]*Tabla4[[#This Row],[Cantidad]]</f>
        <v>174.21706499999999</v>
      </c>
      <c r="Q6725" s="282" t="e">
        <f>(INDEX(Tabla6[#All],MATCH(Tabla4[[#This Row],[Producto]],Tabla6[[#All],[PRODUCTO]],0),MATCH(Tabla4[[#This Row],[Mes]],Tabla6[#Headers],0)))</f>
        <v>#N/A</v>
      </c>
      <c r="R6725" s="282" t="e">
        <f>++Tabla4[[#This Row],[Precio Unitario Neto]]-Tabla4[[#This Row],[20.85%]]-Tabla4[[#This Row],[Costo]]</f>
        <v>#N/A</v>
      </c>
      <c r="S6725" s="282" t="e">
        <f>++Tabla4[[#This Row],[U. Bruta Uni]]*Tabla4[[#This Row],[Cantidad]]</f>
        <v>#N/A</v>
      </c>
      <c r="T6725" s="369" t="str">
        <f>VLOOKUP(Tabla4[[#This Row],[Producto]],Tabla6[#All],14,FALSE)</f>
        <v>Termico Solar</v>
      </c>
      <c r="U6725" s="284" t="e">
        <f>(IF(Tabla4[[#This Row],[Familia]]="termico solar",Tabla4[[#This Row],[Utilidad Total]]*6%,Tabla4[[#This Row],[Utilidad Total]]*11.5%))/Tabla4[[#This Row],[Total]]</f>
        <v>#N/A</v>
      </c>
      <c r="V6725" s="282" t="e">
        <f>+Tabla4[[#This Row],[Comisión Calculada]]*Tabla4[[#This Row],[Total]]</f>
        <v>#N/A</v>
      </c>
    </row>
    <row r="6726" spans="1:22" hidden="1" x14ac:dyDescent="0.25">
      <c r="A6726" s="100">
        <v>45976</v>
      </c>
      <c r="B6726" t="str">
        <f>TEXT(A6726, "mmmm")</f>
        <v>November</v>
      </c>
      <c r="C6726" s="46" t="s">
        <v>280</v>
      </c>
      <c r="F6726" s="366" t="s">
        <v>3395</v>
      </c>
      <c r="G6726" s="46" t="s">
        <v>83</v>
      </c>
      <c r="H6726" s="46">
        <v>1</v>
      </c>
      <c r="I6726" s="51">
        <v>8858.76</v>
      </c>
      <c r="J6726" s="281">
        <f>++Tabla4[[#This Row],[Precio Bruto]]*1.16</f>
        <v>10276.161599999999</v>
      </c>
      <c r="K6726" s="281">
        <f>+Tabla4[[#This Row],[Precio Unitario Neto]]*Tabla4[[#Headers],[20.85%]]</f>
        <v>2142.5796935999997</v>
      </c>
      <c r="L6726" s="282">
        <f>++Tabla4[[#This Row],[Precio Unitario Neto]]-Tabla4[[#This Row],[20.85%]]</f>
        <v>8133.5819063999998</v>
      </c>
      <c r="M6726" s="282" t="e">
        <f>(INDEX(Tabla6[#All],MATCH(Tabla4[[#This Row],[Producto]],Tabla6[[#All],[PRODUCTO]],0),MATCH(Tabla4[[#This Row],[Mes]],Tabla6[#Headers],0)))*(1+Catalogos!$L$2)</f>
        <v>#N/A</v>
      </c>
      <c r="N6726" s="283" t="e">
        <f>+(Tabla4[[#This Row],[Precio Descontado]]-Tabla4[[#This Row],[Precio Base]])*Tabla4[[#This Row],[Cantidad]]</f>
        <v>#N/A</v>
      </c>
      <c r="O6726" s="284" t="e">
        <f>++Tabla4[[#This Row],[Utilidad Total]]/Tabla4[[#This Row],[Total]]</f>
        <v>#N/A</v>
      </c>
      <c r="P6726" s="282">
        <f>++Tabla4[[#This Row],[Precio Descontado]]*Tabla4[[#This Row],[Cantidad]]</f>
        <v>8133.5819063999998</v>
      </c>
      <c r="Q6726" s="282" t="e">
        <f>(INDEX(Tabla6[#All],MATCH(Tabla4[[#This Row],[Producto]],Tabla6[[#All],[PRODUCTO]],0),MATCH(Tabla4[[#This Row],[Mes]],Tabla6[#Headers],0)))</f>
        <v>#N/A</v>
      </c>
      <c r="R6726" s="282" t="e">
        <f>++Tabla4[[#This Row],[Precio Unitario Neto]]-Tabla4[[#This Row],[20.85%]]-Tabla4[[#This Row],[Costo]]</f>
        <v>#N/A</v>
      </c>
      <c r="S6726" s="282" t="e">
        <f>++Tabla4[[#This Row],[U. Bruta Uni]]*Tabla4[[#This Row],[Cantidad]]</f>
        <v>#N/A</v>
      </c>
      <c r="T6726" s="369" t="str">
        <f>VLOOKUP(Tabla4[[#This Row],[Producto]],Tabla6[#All],14,FALSE)</f>
        <v>Termico Solar</v>
      </c>
      <c r="U6726" s="284" t="e">
        <f>(IF(Tabla4[[#This Row],[Familia]]="termico solar",Tabla4[[#This Row],[Utilidad Total]]*6%,Tabla4[[#This Row],[Utilidad Total]]*11.5%))/Tabla4[[#This Row],[Total]]</f>
        <v>#N/A</v>
      </c>
      <c r="V6726" s="282" t="e">
        <f>+Tabla4[[#This Row],[Comisión Calculada]]*Tabla4[[#This Row],[Total]]</f>
        <v>#N/A</v>
      </c>
    </row>
    <row r="6727" spans="1:22" hidden="1" x14ac:dyDescent="0.25">
      <c r="A6727" s="100">
        <v>45976</v>
      </c>
      <c r="B6727" t="str">
        <f t="shared" ref="B6727:B6728" si="436">TEXT(A6727, "mmmm")</f>
        <v>November</v>
      </c>
      <c r="C6727" s="46" t="s">
        <v>280</v>
      </c>
      <c r="F6727" s="366" t="s">
        <v>3396</v>
      </c>
      <c r="G6727" s="46" t="s">
        <v>18</v>
      </c>
      <c r="H6727" s="46">
        <v>1</v>
      </c>
      <c r="I6727" s="51">
        <v>5367.65</v>
      </c>
      <c r="J6727" s="281">
        <f>++Tabla4[[#This Row],[Precio Bruto]]*1.16</f>
        <v>6226.4739999999993</v>
      </c>
      <c r="K6727" s="281">
        <f>+Tabla4[[#This Row],[Precio Unitario Neto]]*Tabla4[[#Headers],[20.85%]]</f>
        <v>1298.2198289999999</v>
      </c>
      <c r="L6727" s="282">
        <f>++Tabla4[[#This Row],[Precio Unitario Neto]]-Tabla4[[#This Row],[20.85%]]</f>
        <v>4928.2541709999996</v>
      </c>
      <c r="M6727" s="282" t="e">
        <f>(INDEX(Tabla6[#All],MATCH(Tabla4[[#This Row],[Producto]],Tabla6[[#All],[PRODUCTO]],0),MATCH(Tabla4[[#This Row],[Mes]],Tabla6[#Headers],0)))*(1+Catalogos!$L$2)</f>
        <v>#N/A</v>
      </c>
      <c r="N6727" s="283" t="e">
        <f>+(Tabla4[[#This Row],[Precio Descontado]]-Tabla4[[#This Row],[Precio Base]])*Tabla4[[#This Row],[Cantidad]]</f>
        <v>#N/A</v>
      </c>
      <c r="O6727" s="284" t="e">
        <f>++Tabla4[[#This Row],[Utilidad Total]]/Tabla4[[#This Row],[Total]]</f>
        <v>#N/A</v>
      </c>
      <c r="P6727" s="282">
        <f>++Tabla4[[#This Row],[Precio Descontado]]*Tabla4[[#This Row],[Cantidad]]</f>
        <v>4928.2541709999996</v>
      </c>
      <c r="Q6727" s="282" t="e">
        <f>(INDEX(Tabla6[#All],MATCH(Tabla4[[#This Row],[Producto]],Tabla6[[#All],[PRODUCTO]],0),MATCH(Tabla4[[#This Row],[Mes]],Tabla6[#Headers],0)))</f>
        <v>#N/A</v>
      </c>
      <c r="R6727" s="282" t="e">
        <f>++Tabla4[[#This Row],[Precio Unitario Neto]]-Tabla4[[#This Row],[20.85%]]-Tabla4[[#This Row],[Costo]]</f>
        <v>#N/A</v>
      </c>
      <c r="S6727" s="282" t="e">
        <f>++Tabla4[[#This Row],[U. Bruta Uni]]*Tabla4[[#This Row],[Cantidad]]</f>
        <v>#N/A</v>
      </c>
      <c r="T6727" s="369" t="str">
        <f>VLOOKUP(Tabla4[[#This Row],[Producto]],Tabla6[#All],14,FALSE)</f>
        <v>Termico Solar</v>
      </c>
      <c r="U6727" s="284" t="e">
        <f>(IF(Tabla4[[#This Row],[Familia]]="termico solar",Tabla4[[#This Row],[Utilidad Total]]*6%,Tabla4[[#This Row],[Utilidad Total]]*11.5%))/Tabla4[[#This Row],[Total]]</f>
        <v>#N/A</v>
      </c>
      <c r="V6727" s="282" t="e">
        <f>+Tabla4[[#This Row],[Comisión Calculada]]*Tabla4[[#This Row],[Total]]</f>
        <v>#N/A</v>
      </c>
    </row>
    <row r="6728" spans="1:22" hidden="1" x14ac:dyDescent="0.25">
      <c r="A6728" s="100">
        <v>45976</v>
      </c>
      <c r="B6728" t="str">
        <f t="shared" si="436"/>
        <v>November</v>
      </c>
      <c r="C6728" s="46" t="s">
        <v>280</v>
      </c>
      <c r="F6728" s="366" t="s">
        <v>3396</v>
      </c>
      <c r="G6728" s="46" t="s">
        <v>16</v>
      </c>
      <c r="H6728" s="46">
        <v>2</v>
      </c>
      <c r="I6728" s="51">
        <v>4103.8500000000004</v>
      </c>
      <c r="J6728" s="281">
        <f>++Tabla4[[#This Row],[Precio Bruto]]*1.16</f>
        <v>4760.4660000000003</v>
      </c>
      <c r="K6728" s="281">
        <f>+Tabla4[[#This Row],[Precio Unitario Neto]]*Tabla4[[#Headers],[20.85%]]</f>
        <v>992.55716100000006</v>
      </c>
      <c r="L6728" s="282">
        <f>++Tabla4[[#This Row],[Precio Unitario Neto]]-Tabla4[[#This Row],[20.85%]]</f>
        <v>3767.9088390000002</v>
      </c>
      <c r="M6728" s="282" t="e">
        <f>(INDEX(Tabla6[#All],MATCH(Tabla4[[#This Row],[Producto]],Tabla6[[#All],[PRODUCTO]],0),MATCH(Tabla4[[#This Row],[Mes]],Tabla6[#Headers],0)))*(1+Catalogos!$L$2)</f>
        <v>#N/A</v>
      </c>
      <c r="N6728" s="283" t="e">
        <f>+(Tabla4[[#This Row],[Precio Descontado]]-Tabla4[[#This Row],[Precio Base]])*Tabla4[[#This Row],[Cantidad]]</f>
        <v>#N/A</v>
      </c>
      <c r="O6728" s="284" t="e">
        <f>++Tabla4[[#This Row],[Utilidad Total]]/Tabla4[[#This Row],[Total]]</f>
        <v>#N/A</v>
      </c>
      <c r="P6728" s="282">
        <f>++Tabla4[[#This Row],[Precio Descontado]]*Tabla4[[#This Row],[Cantidad]]</f>
        <v>7535.8176780000003</v>
      </c>
      <c r="Q6728" s="282" t="e">
        <f>(INDEX(Tabla6[#All],MATCH(Tabla4[[#This Row],[Producto]],Tabla6[[#All],[PRODUCTO]],0),MATCH(Tabla4[[#This Row],[Mes]],Tabla6[#Headers],0)))</f>
        <v>#N/A</v>
      </c>
      <c r="R6728" s="282" t="e">
        <f>++Tabla4[[#This Row],[Precio Unitario Neto]]-Tabla4[[#This Row],[20.85%]]-Tabla4[[#This Row],[Costo]]</f>
        <v>#N/A</v>
      </c>
      <c r="S6728" s="282" t="e">
        <f>++Tabla4[[#This Row],[U. Bruta Uni]]*Tabla4[[#This Row],[Cantidad]]</f>
        <v>#N/A</v>
      </c>
      <c r="T6728" s="369" t="str">
        <f>VLOOKUP(Tabla4[[#This Row],[Producto]],Tabla6[#All],14,FALSE)</f>
        <v>Termico Solar</v>
      </c>
      <c r="U6728" s="284" t="e">
        <f>(IF(Tabla4[[#This Row],[Familia]]="termico solar",Tabla4[[#This Row],[Utilidad Total]]*6%,Tabla4[[#This Row],[Utilidad Total]]*11.5%))/Tabla4[[#This Row],[Total]]</f>
        <v>#N/A</v>
      </c>
      <c r="V6728" s="282" t="e">
        <f>+Tabla4[[#This Row],[Comisión Calculada]]*Tabla4[[#This Row],[Total]]</f>
        <v>#N/A</v>
      </c>
    </row>
    <row r="6729" spans="1:22" hidden="1" x14ac:dyDescent="0.25">
      <c r="A6729" s="100">
        <v>45976</v>
      </c>
      <c r="B6729" t="str">
        <f t="shared" ref="B6729:B6730" si="437">TEXT(A6729, "mmmm")</f>
        <v>November</v>
      </c>
      <c r="C6729" s="46" t="s">
        <v>280</v>
      </c>
      <c r="F6729" s="366" t="s">
        <v>3397</v>
      </c>
      <c r="G6729" s="46" t="s">
        <v>83</v>
      </c>
      <c r="H6729" s="46">
        <v>1</v>
      </c>
      <c r="I6729" s="51">
        <v>8858.76</v>
      </c>
      <c r="J6729" s="281">
        <f>++Tabla4[[#This Row],[Precio Bruto]]*1.16</f>
        <v>10276.161599999999</v>
      </c>
      <c r="K6729" s="281">
        <f>+Tabla4[[#This Row],[Precio Unitario Neto]]*Tabla4[[#Headers],[20.85%]]</f>
        <v>2142.5796935999997</v>
      </c>
      <c r="L6729" s="282">
        <f>++Tabla4[[#This Row],[Precio Unitario Neto]]-Tabla4[[#This Row],[20.85%]]</f>
        <v>8133.5819063999998</v>
      </c>
      <c r="M6729" s="282" t="e">
        <f>(INDEX(Tabla6[#All],MATCH(Tabla4[[#This Row],[Producto]],Tabla6[[#All],[PRODUCTO]],0),MATCH(Tabla4[[#This Row],[Mes]],Tabla6[#Headers],0)))*(1+Catalogos!$L$2)</f>
        <v>#N/A</v>
      </c>
      <c r="N6729" s="283" t="e">
        <f>+(Tabla4[[#This Row],[Precio Descontado]]-Tabla4[[#This Row],[Precio Base]])*Tabla4[[#This Row],[Cantidad]]</f>
        <v>#N/A</v>
      </c>
      <c r="O6729" s="284" t="e">
        <f>++Tabla4[[#This Row],[Utilidad Total]]/Tabla4[[#This Row],[Total]]</f>
        <v>#N/A</v>
      </c>
      <c r="P6729" s="282">
        <f>++Tabla4[[#This Row],[Precio Descontado]]*Tabla4[[#This Row],[Cantidad]]</f>
        <v>8133.5819063999998</v>
      </c>
      <c r="Q6729" s="282" t="e">
        <f>(INDEX(Tabla6[#All],MATCH(Tabla4[[#This Row],[Producto]],Tabla6[[#All],[PRODUCTO]],0),MATCH(Tabla4[[#This Row],[Mes]],Tabla6[#Headers],0)))</f>
        <v>#N/A</v>
      </c>
      <c r="R6729" s="282" t="e">
        <f>++Tabla4[[#This Row],[Precio Unitario Neto]]-Tabla4[[#This Row],[20.85%]]-Tabla4[[#This Row],[Costo]]</f>
        <v>#N/A</v>
      </c>
      <c r="S6729" s="282" t="e">
        <f>++Tabla4[[#This Row],[U. Bruta Uni]]*Tabla4[[#This Row],[Cantidad]]</f>
        <v>#N/A</v>
      </c>
      <c r="T6729" s="369" t="str">
        <f>VLOOKUP(Tabla4[[#This Row],[Producto]],Tabla6[#All],14,FALSE)</f>
        <v>Termico Solar</v>
      </c>
      <c r="U6729" s="284" t="e">
        <f>(IF(Tabla4[[#This Row],[Familia]]="termico solar",Tabla4[[#This Row],[Utilidad Total]]*6%,Tabla4[[#This Row],[Utilidad Total]]*11.5%))/Tabla4[[#This Row],[Total]]</f>
        <v>#N/A</v>
      </c>
      <c r="V6729" s="282" t="e">
        <f>+Tabla4[[#This Row],[Comisión Calculada]]*Tabla4[[#This Row],[Total]]</f>
        <v>#N/A</v>
      </c>
    </row>
    <row r="6730" spans="1:22" hidden="1" x14ac:dyDescent="0.25">
      <c r="A6730" s="100">
        <v>45976</v>
      </c>
      <c r="B6730" t="str">
        <f t="shared" si="437"/>
        <v>November</v>
      </c>
      <c r="C6730" s="46" t="s">
        <v>280</v>
      </c>
      <c r="F6730" s="366" t="s">
        <v>3397</v>
      </c>
      <c r="G6730" s="46" t="s">
        <v>566</v>
      </c>
      <c r="H6730" s="46">
        <v>2</v>
      </c>
      <c r="I6730" s="51">
        <v>2109.4499999999998</v>
      </c>
      <c r="J6730" s="281">
        <f>++Tabla4[[#This Row],[Precio Bruto]]*1.16</f>
        <v>2446.9619999999995</v>
      </c>
      <c r="K6730" s="281">
        <f>+Tabla4[[#This Row],[Precio Unitario Neto]]*Tabla4[[#Headers],[20.85%]]</f>
        <v>510.19157699999988</v>
      </c>
      <c r="L6730" s="282">
        <f>++Tabla4[[#This Row],[Precio Unitario Neto]]-Tabla4[[#This Row],[20.85%]]</f>
        <v>1936.7704229999997</v>
      </c>
      <c r="M6730" s="282" t="e">
        <f>(INDEX(Tabla6[#All],MATCH(Tabla4[[#This Row],[Producto]],Tabla6[[#All],[PRODUCTO]],0),MATCH(Tabla4[[#This Row],[Mes]],Tabla6[#Headers],0)))*(1+Catalogos!$L$2)</f>
        <v>#N/A</v>
      </c>
      <c r="N6730" s="283" t="e">
        <f>+(Tabla4[[#This Row],[Precio Descontado]]-Tabla4[[#This Row],[Precio Base]])*Tabla4[[#This Row],[Cantidad]]</f>
        <v>#N/A</v>
      </c>
      <c r="O6730" s="284" t="e">
        <f>++Tabla4[[#This Row],[Utilidad Total]]/Tabla4[[#This Row],[Total]]</f>
        <v>#N/A</v>
      </c>
      <c r="P6730" s="282">
        <f>++Tabla4[[#This Row],[Precio Descontado]]*Tabla4[[#This Row],[Cantidad]]</f>
        <v>3873.5408459999994</v>
      </c>
      <c r="Q6730" s="282" t="e">
        <f>(INDEX(Tabla6[#All],MATCH(Tabla4[[#This Row],[Producto]],Tabla6[[#All],[PRODUCTO]],0),MATCH(Tabla4[[#This Row],[Mes]],Tabla6[#Headers],0)))</f>
        <v>#N/A</v>
      </c>
      <c r="R6730" s="282" t="e">
        <f>++Tabla4[[#This Row],[Precio Unitario Neto]]-Tabla4[[#This Row],[20.85%]]-Tabla4[[#This Row],[Costo]]</f>
        <v>#N/A</v>
      </c>
      <c r="S6730" s="282" t="e">
        <f>++Tabla4[[#This Row],[U. Bruta Uni]]*Tabla4[[#This Row],[Cantidad]]</f>
        <v>#N/A</v>
      </c>
      <c r="T6730" s="369" t="str">
        <f>VLOOKUP(Tabla4[[#This Row],[Producto]],Tabla6[#All],14,FALSE)</f>
        <v>Termico Solar</v>
      </c>
      <c r="U6730" s="284" t="e">
        <f>(IF(Tabla4[[#This Row],[Familia]]="termico solar",Tabla4[[#This Row],[Utilidad Total]]*6%,Tabla4[[#This Row],[Utilidad Total]]*11.5%))/Tabla4[[#This Row],[Total]]</f>
        <v>#N/A</v>
      </c>
      <c r="V6730" s="282" t="e">
        <f>+Tabla4[[#This Row],[Comisión Calculada]]*Tabla4[[#This Row],[Total]]</f>
        <v>#N/A</v>
      </c>
    </row>
    <row r="6731" spans="1:22" hidden="1" x14ac:dyDescent="0.25">
      <c r="A6731" s="100">
        <v>45976</v>
      </c>
      <c r="B6731" t="str">
        <f t="shared" ref="B6731:B6733" si="438">TEXT(A6731, "mmmm")</f>
        <v>November</v>
      </c>
      <c r="C6731" s="46" t="s">
        <v>280</v>
      </c>
      <c r="F6731" s="366" t="s">
        <v>3398</v>
      </c>
      <c r="G6731" s="46" t="s">
        <v>18</v>
      </c>
      <c r="H6731" s="46">
        <v>1</v>
      </c>
      <c r="I6731" s="51">
        <v>5367.65</v>
      </c>
      <c r="J6731" s="281">
        <f>++Tabla4[[#This Row],[Precio Bruto]]*1.16</f>
        <v>6226.4739999999993</v>
      </c>
      <c r="K6731" s="281">
        <f>+Tabla4[[#This Row],[Precio Unitario Neto]]*Tabla4[[#Headers],[20.85%]]</f>
        <v>1298.2198289999999</v>
      </c>
      <c r="L6731" s="282">
        <f>++Tabla4[[#This Row],[Precio Unitario Neto]]-Tabla4[[#This Row],[20.85%]]</f>
        <v>4928.2541709999996</v>
      </c>
      <c r="M6731" s="282" t="e">
        <f>(INDEX(Tabla6[#All],MATCH(Tabla4[[#This Row],[Producto]],Tabla6[[#All],[PRODUCTO]],0),MATCH(Tabla4[[#This Row],[Mes]],Tabla6[#Headers],0)))*(1+Catalogos!$L$2)</f>
        <v>#N/A</v>
      </c>
      <c r="N6731" s="283" t="e">
        <f>+(Tabla4[[#This Row],[Precio Descontado]]-Tabla4[[#This Row],[Precio Base]])*Tabla4[[#This Row],[Cantidad]]</f>
        <v>#N/A</v>
      </c>
      <c r="O6731" s="284" t="e">
        <f>++Tabla4[[#This Row],[Utilidad Total]]/Tabla4[[#This Row],[Total]]</f>
        <v>#N/A</v>
      </c>
      <c r="P6731" s="282">
        <f>++Tabla4[[#This Row],[Precio Descontado]]*Tabla4[[#This Row],[Cantidad]]</f>
        <v>4928.2541709999996</v>
      </c>
      <c r="Q6731" s="282" t="e">
        <f>(INDEX(Tabla6[#All],MATCH(Tabla4[[#This Row],[Producto]],Tabla6[[#All],[PRODUCTO]],0),MATCH(Tabla4[[#This Row],[Mes]],Tabla6[#Headers],0)))</f>
        <v>#N/A</v>
      </c>
      <c r="R6731" s="282" t="e">
        <f>++Tabla4[[#This Row],[Precio Unitario Neto]]-Tabla4[[#This Row],[20.85%]]-Tabla4[[#This Row],[Costo]]</f>
        <v>#N/A</v>
      </c>
      <c r="S6731" s="282" t="e">
        <f>++Tabla4[[#This Row],[U. Bruta Uni]]*Tabla4[[#This Row],[Cantidad]]</f>
        <v>#N/A</v>
      </c>
      <c r="T6731" s="369" t="str">
        <f>VLOOKUP(Tabla4[[#This Row],[Producto]],Tabla6[#All],14,FALSE)</f>
        <v>Termico Solar</v>
      </c>
      <c r="U6731" s="284" t="e">
        <f>(IF(Tabla4[[#This Row],[Familia]]="termico solar",Tabla4[[#This Row],[Utilidad Total]]*6%,Tabla4[[#This Row],[Utilidad Total]]*11.5%))/Tabla4[[#This Row],[Total]]</f>
        <v>#N/A</v>
      </c>
      <c r="V6731" s="282" t="e">
        <f>+Tabla4[[#This Row],[Comisión Calculada]]*Tabla4[[#This Row],[Total]]</f>
        <v>#N/A</v>
      </c>
    </row>
    <row r="6732" spans="1:22" hidden="1" x14ac:dyDescent="0.25">
      <c r="A6732" s="100">
        <v>45976</v>
      </c>
      <c r="B6732" t="str">
        <f t="shared" si="438"/>
        <v>November</v>
      </c>
      <c r="C6732" s="46" t="s">
        <v>280</v>
      </c>
      <c r="F6732" s="366" t="s">
        <v>3398</v>
      </c>
      <c r="G6732" s="46" t="s">
        <v>566</v>
      </c>
      <c r="H6732" s="46">
        <v>3</v>
      </c>
      <c r="I6732" s="51">
        <v>2109.4500000000003</v>
      </c>
      <c r="J6732" s="281">
        <f>++Tabla4[[#This Row],[Precio Bruto]]*1.16</f>
        <v>2446.962</v>
      </c>
      <c r="K6732" s="281">
        <f>+Tabla4[[#This Row],[Precio Unitario Neto]]*Tabla4[[#Headers],[20.85%]]</f>
        <v>510.191577</v>
      </c>
      <c r="L6732" s="282">
        <f>++Tabla4[[#This Row],[Precio Unitario Neto]]-Tabla4[[#This Row],[20.85%]]</f>
        <v>1936.7704229999999</v>
      </c>
      <c r="M6732" s="282" t="e">
        <f>(INDEX(Tabla6[#All],MATCH(Tabla4[[#This Row],[Producto]],Tabla6[[#All],[PRODUCTO]],0),MATCH(Tabla4[[#This Row],[Mes]],Tabla6[#Headers],0)))*(1+Catalogos!$L$2)</f>
        <v>#N/A</v>
      </c>
      <c r="N6732" s="283" t="e">
        <f>+(Tabla4[[#This Row],[Precio Descontado]]-Tabla4[[#This Row],[Precio Base]])*Tabla4[[#This Row],[Cantidad]]</f>
        <v>#N/A</v>
      </c>
      <c r="O6732" s="284" t="e">
        <f>++Tabla4[[#This Row],[Utilidad Total]]/Tabla4[[#This Row],[Total]]</f>
        <v>#N/A</v>
      </c>
      <c r="P6732" s="282">
        <f>++Tabla4[[#This Row],[Precio Descontado]]*Tabla4[[#This Row],[Cantidad]]</f>
        <v>5810.3112689999998</v>
      </c>
      <c r="Q6732" s="282" t="e">
        <f>(INDEX(Tabla6[#All],MATCH(Tabla4[[#This Row],[Producto]],Tabla6[[#All],[PRODUCTO]],0),MATCH(Tabla4[[#This Row],[Mes]],Tabla6[#Headers],0)))</f>
        <v>#N/A</v>
      </c>
      <c r="R6732" s="282" t="e">
        <f>++Tabla4[[#This Row],[Precio Unitario Neto]]-Tabla4[[#This Row],[20.85%]]-Tabla4[[#This Row],[Costo]]</f>
        <v>#N/A</v>
      </c>
      <c r="S6732" s="282" t="e">
        <f>++Tabla4[[#This Row],[U. Bruta Uni]]*Tabla4[[#This Row],[Cantidad]]</f>
        <v>#N/A</v>
      </c>
      <c r="T6732" s="369" t="str">
        <f>VLOOKUP(Tabla4[[#This Row],[Producto]],Tabla6[#All],14,FALSE)</f>
        <v>Termico Solar</v>
      </c>
      <c r="U6732" s="284" t="e">
        <f>(IF(Tabla4[[#This Row],[Familia]]="termico solar",Tabla4[[#This Row],[Utilidad Total]]*6%,Tabla4[[#This Row],[Utilidad Total]]*11.5%))/Tabla4[[#This Row],[Total]]</f>
        <v>#N/A</v>
      </c>
      <c r="V6732" s="282" t="e">
        <f>+Tabla4[[#This Row],[Comisión Calculada]]*Tabla4[[#This Row],[Total]]</f>
        <v>#N/A</v>
      </c>
    </row>
    <row r="6733" spans="1:22" hidden="1" x14ac:dyDescent="0.25">
      <c r="A6733" s="100">
        <v>45976</v>
      </c>
      <c r="B6733" t="str">
        <f t="shared" si="438"/>
        <v>November</v>
      </c>
      <c r="C6733" s="46" t="s">
        <v>280</v>
      </c>
      <c r="F6733" s="366" t="s">
        <v>3398</v>
      </c>
      <c r="G6733" s="46" t="s">
        <v>208</v>
      </c>
      <c r="H6733" s="46">
        <v>1</v>
      </c>
      <c r="I6733" s="51">
        <v>189.75</v>
      </c>
      <c r="J6733" s="281">
        <f>++Tabla4[[#This Row],[Precio Bruto]]*1.16</f>
        <v>220.10999999999999</v>
      </c>
      <c r="K6733" s="281">
        <f>+Tabla4[[#This Row],[Precio Unitario Neto]]*Tabla4[[#Headers],[20.85%]]</f>
        <v>45.892934999999994</v>
      </c>
      <c r="L6733" s="282">
        <f>++Tabla4[[#This Row],[Precio Unitario Neto]]-Tabla4[[#This Row],[20.85%]]</f>
        <v>174.21706499999999</v>
      </c>
      <c r="M6733" s="282" t="e">
        <f>(INDEX(Tabla6[#All],MATCH(Tabla4[[#This Row],[Producto]],Tabla6[[#All],[PRODUCTO]],0),MATCH(Tabla4[[#This Row],[Mes]],Tabla6[#Headers],0)))*(1+Catalogos!$L$2)</f>
        <v>#N/A</v>
      </c>
      <c r="N6733" s="283" t="e">
        <f>+(Tabla4[[#This Row],[Precio Descontado]]-Tabla4[[#This Row],[Precio Base]])*Tabla4[[#This Row],[Cantidad]]</f>
        <v>#N/A</v>
      </c>
      <c r="O6733" s="284" t="e">
        <f>++Tabla4[[#This Row],[Utilidad Total]]/Tabla4[[#This Row],[Total]]</f>
        <v>#N/A</v>
      </c>
      <c r="P6733" s="282">
        <f>++Tabla4[[#This Row],[Precio Descontado]]*Tabla4[[#This Row],[Cantidad]]</f>
        <v>174.21706499999999</v>
      </c>
      <c r="Q6733" s="282" t="e">
        <f>(INDEX(Tabla6[#All],MATCH(Tabla4[[#This Row],[Producto]],Tabla6[[#All],[PRODUCTO]],0),MATCH(Tabla4[[#This Row],[Mes]],Tabla6[#Headers],0)))</f>
        <v>#N/A</v>
      </c>
      <c r="R6733" s="282" t="e">
        <f>++Tabla4[[#This Row],[Precio Unitario Neto]]-Tabla4[[#This Row],[20.85%]]-Tabla4[[#This Row],[Costo]]</f>
        <v>#N/A</v>
      </c>
      <c r="S6733" s="282" t="e">
        <f>++Tabla4[[#This Row],[U. Bruta Uni]]*Tabla4[[#This Row],[Cantidad]]</f>
        <v>#N/A</v>
      </c>
      <c r="T6733" s="369" t="str">
        <f>VLOOKUP(Tabla4[[#This Row],[Producto]],Tabla6[#All],14,FALSE)</f>
        <v>Termico Solar</v>
      </c>
      <c r="U6733" s="284" t="e">
        <f>(IF(Tabla4[[#This Row],[Familia]]="termico solar",Tabla4[[#This Row],[Utilidad Total]]*6%,Tabla4[[#This Row],[Utilidad Total]]*11.5%))/Tabla4[[#This Row],[Total]]</f>
        <v>#N/A</v>
      </c>
      <c r="V6733" s="282" t="e">
        <f>+Tabla4[[#This Row],[Comisión Calculada]]*Tabla4[[#This Row],[Total]]</f>
        <v>#N/A</v>
      </c>
    </row>
    <row r="6734" spans="1:22" hidden="1" x14ac:dyDescent="0.25">
      <c r="A6734" s="100">
        <v>45976</v>
      </c>
      <c r="B6734" t="str">
        <f t="shared" ref="B6734:B6737" si="439">TEXT(A6734, "mmmm")</f>
        <v>November</v>
      </c>
      <c r="C6734" s="46" t="s">
        <v>280</v>
      </c>
      <c r="F6734" s="366" t="s">
        <v>3399</v>
      </c>
      <c r="G6734" s="46" t="s">
        <v>83</v>
      </c>
      <c r="H6734" s="46">
        <v>1</v>
      </c>
      <c r="I6734" s="51">
        <v>8858.76</v>
      </c>
      <c r="J6734" s="281">
        <f>++Tabla4[[#This Row],[Precio Bruto]]*1.16</f>
        <v>10276.161599999999</v>
      </c>
      <c r="K6734" s="281">
        <f>+Tabla4[[#This Row],[Precio Unitario Neto]]*Tabla4[[#Headers],[20.85%]]</f>
        <v>2142.5796935999997</v>
      </c>
      <c r="L6734" s="282">
        <f>++Tabla4[[#This Row],[Precio Unitario Neto]]-Tabla4[[#This Row],[20.85%]]</f>
        <v>8133.5819063999998</v>
      </c>
      <c r="M6734" s="282" t="e">
        <f>(INDEX(Tabla6[#All],MATCH(Tabla4[[#This Row],[Producto]],Tabla6[[#All],[PRODUCTO]],0),MATCH(Tabla4[[#This Row],[Mes]],Tabla6[#Headers],0)))*(1+Catalogos!$L$2)</f>
        <v>#N/A</v>
      </c>
      <c r="N6734" s="283" t="e">
        <f>+(Tabla4[[#This Row],[Precio Descontado]]-Tabla4[[#This Row],[Precio Base]])*Tabla4[[#This Row],[Cantidad]]</f>
        <v>#N/A</v>
      </c>
      <c r="O6734" s="284" t="e">
        <f>++Tabla4[[#This Row],[Utilidad Total]]/Tabla4[[#This Row],[Total]]</f>
        <v>#N/A</v>
      </c>
      <c r="P6734" s="282">
        <f>++Tabla4[[#This Row],[Precio Descontado]]*Tabla4[[#This Row],[Cantidad]]</f>
        <v>8133.5819063999998</v>
      </c>
      <c r="Q6734" s="282" t="e">
        <f>(INDEX(Tabla6[#All],MATCH(Tabla4[[#This Row],[Producto]],Tabla6[[#All],[PRODUCTO]],0),MATCH(Tabla4[[#This Row],[Mes]],Tabla6[#Headers],0)))</f>
        <v>#N/A</v>
      </c>
      <c r="R6734" s="282" t="e">
        <f>++Tabla4[[#This Row],[Precio Unitario Neto]]-Tabla4[[#This Row],[20.85%]]-Tabla4[[#This Row],[Costo]]</f>
        <v>#N/A</v>
      </c>
      <c r="S6734" s="282" t="e">
        <f>++Tabla4[[#This Row],[U. Bruta Uni]]*Tabla4[[#This Row],[Cantidad]]</f>
        <v>#N/A</v>
      </c>
      <c r="T6734" s="369" t="str">
        <f>VLOOKUP(Tabla4[[#This Row],[Producto]],Tabla6[#All],14,FALSE)</f>
        <v>Termico Solar</v>
      </c>
      <c r="U6734" s="284" t="e">
        <f>(IF(Tabla4[[#This Row],[Familia]]="termico solar",Tabla4[[#This Row],[Utilidad Total]]*6%,Tabla4[[#This Row],[Utilidad Total]]*11.5%))/Tabla4[[#This Row],[Total]]</f>
        <v>#N/A</v>
      </c>
      <c r="V6734" s="282" t="e">
        <f>+Tabla4[[#This Row],[Comisión Calculada]]*Tabla4[[#This Row],[Total]]</f>
        <v>#N/A</v>
      </c>
    </row>
    <row r="6735" spans="1:22" hidden="1" x14ac:dyDescent="0.25">
      <c r="A6735" s="100">
        <v>45976</v>
      </c>
      <c r="B6735" t="str">
        <f t="shared" si="439"/>
        <v>November</v>
      </c>
      <c r="C6735" s="46" t="s">
        <v>280</v>
      </c>
      <c r="F6735" s="366" t="s">
        <v>3399</v>
      </c>
      <c r="G6735" s="46" t="s">
        <v>17</v>
      </c>
      <c r="H6735" s="46">
        <v>2</v>
      </c>
      <c r="I6735" s="51">
        <v>4622.28</v>
      </c>
      <c r="J6735" s="281">
        <f>++Tabla4[[#This Row],[Precio Bruto]]*1.16</f>
        <v>5361.8447999999989</v>
      </c>
      <c r="K6735" s="281">
        <f>+Tabla4[[#This Row],[Precio Unitario Neto]]*Tabla4[[#Headers],[20.85%]]</f>
        <v>1117.9446407999997</v>
      </c>
      <c r="L6735" s="282">
        <f>++Tabla4[[#This Row],[Precio Unitario Neto]]-Tabla4[[#This Row],[20.85%]]</f>
        <v>4243.9001591999995</v>
      </c>
      <c r="M6735" s="282" t="e">
        <f>(INDEX(Tabla6[#All],MATCH(Tabla4[[#This Row],[Producto]],Tabla6[[#All],[PRODUCTO]],0),MATCH(Tabla4[[#This Row],[Mes]],Tabla6[#Headers],0)))*(1+Catalogos!$L$2)</f>
        <v>#N/A</v>
      </c>
      <c r="N6735" s="283" t="e">
        <f>+(Tabla4[[#This Row],[Precio Descontado]]-Tabla4[[#This Row],[Precio Base]])*Tabla4[[#This Row],[Cantidad]]</f>
        <v>#N/A</v>
      </c>
      <c r="O6735" s="284" t="e">
        <f>++Tabla4[[#This Row],[Utilidad Total]]/Tabla4[[#This Row],[Total]]</f>
        <v>#N/A</v>
      </c>
      <c r="P6735" s="282">
        <f>++Tabla4[[#This Row],[Precio Descontado]]*Tabla4[[#This Row],[Cantidad]]</f>
        <v>8487.800318399999</v>
      </c>
      <c r="Q6735" s="282" t="e">
        <f>(INDEX(Tabla6[#All],MATCH(Tabla4[[#This Row],[Producto]],Tabla6[[#All],[PRODUCTO]],0),MATCH(Tabla4[[#This Row],[Mes]],Tabla6[#Headers],0)))</f>
        <v>#N/A</v>
      </c>
      <c r="R6735" s="282" t="e">
        <f>++Tabla4[[#This Row],[Precio Unitario Neto]]-Tabla4[[#This Row],[20.85%]]-Tabla4[[#This Row],[Costo]]</f>
        <v>#N/A</v>
      </c>
      <c r="S6735" s="282" t="e">
        <f>++Tabla4[[#This Row],[U. Bruta Uni]]*Tabla4[[#This Row],[Cantidad]]</f>
        <v>#N/A</v>
      </c>
      <c r="T6735" s="369" t="str">
        <f>VLOOKUP(Tabla4[[#This Row],[Producto]],Tabla6[#All],14,FALSE)</f>
        <v>Termico Solar</v>
      </c>
      <c r="U6735" s="284" t="e">
        <f>(IF(Tabla4[[#This Row],[Familia]]="termico solar",Tabla4[[#This Row],[Utilidad Total]]*6%,Tabla4[[#This Row],[Utilidad Total]]*11.5%))/Tabla4[[#This Row],[Total]]</f>
        <v>#N/A</v>
      </c>
      <c r="V6735" s="282" t="e">
        <f>+Tabla4[[#This Row],[Comisión Calculada]]*Tabla4[[#This Row],[Total]]</f>
        <v>#N/A</v>
      </c>
    </row>
    <row r="6736" spans="1:22" hidden="1" x14ac:dyDescent="0.25">
      <c r="A6736" s="100">
        <v>45976</v>
      </c>
      <c r="B6736" t="str">
        <f t="shared" si="439"/>
        <v>November</v>
      </c>
      <c r="C6736" s="46" t="s">
        <v>280</v>
      </c>
      <c r="F6736" s="366" t="s">
        <v>3399</v>
      </c>
      <c r="G6736" s="46" t="s">
        <v>566</v>
      </c>
      <c r="H6736" s="46">
        <v>2</v>
      </c>
      <c r="I6736" s="51">
        <v>2109.4499999999998</v>
      </c>
      <c r="J6736" s="281">
        <f>++Tabla4[[#This Row],[Precio Bruto]]*1.16</f>
        <v>2446.9619999999995</v>
      </c>
      <c r="K6736" s="281">
        <f>+Tabla4[[#This Row],[Precio Unitario Neto]]*Tabla4[[#Headers],[20.85%]]</f>
        <v>510.19157699999988</v>
      </c>
      <c r="L6736" s="282">
        <f>++Tabla4[[#This Row],[Precio Unitario Neto]]-Tabla4[[#This Row],[20.85%]]</f>
        <v>1936.7704229999997</v>
      </c>
      <c r="M6736" s="282" t="e">
        <f>(INDEX(Tabla6[#All],MATCH(Tabla4[[#This Row],[Producto]],Tabla6[[#All],[PRODUCTO]],0),MATCH(Tabla4[[#This Row],[Mes]],Tabla6[#Headers],0)))*(1+Catalogos!$L$2)</f>
        <v>#N/A</v>
      </c>
      <c r="N6736" s="283" t="e">
        <f>+(Tabla4[[#This Row],[Precio Descontado]]-Tabla4[[#This Row],[Precio Base]])*Tabla4[[#This Row],[Cantidad]]</f>
        <v>#N/A</v>
      </c>
      <c r="O6736" s="284" t="e">
        <f>++Tabla4[[#This Row],[Utilidad Total]]/Tabla4[[#This Row],[Total]]</f>
        <v>#N/A</v>
      </c>
      <c r="P6736" s="282">
        <f>++Tabla4[[#This Row],[Precio Descontado]]*Tabla4[[#This Row],[Cantidad]]</f>
        <v>3873.5408459999994</v>
      </c>
      <c r="Q6736" s="282" t="e">
        <f>(INDEX(Tabla6[#All],MATCH(Tabla4[[#This Row],[Producto]],Tabla6[[#All],[PRODUCTO]],0),MATCH(Tabla4[[#This Row],[Mes]],Tabla6[#Headers],0)))</f>
        <v>#N/A</v>
      </c>
      <c r="R6736" s="282" t="e">
        <f>++Tabla4[[#This Row],[Precio Unitario Neto]]-Tabla4[[#This Row],[20.85%]]-Tabla4[[#This Row],[Costo]]</f>
        <v>#N/A</v>
      </c>
      <c r="S6736" s="282" t="e">
        <f>++Tabla4[[#This Row],[U. Bruta Uni]]*Tabla4[[#This Row],[Cantidad]]</f>
        <v>#N/A</v>
      </c>
      <c r="T6736" s="369" t="str">
        <f>VLOOKUP(Tabla4[[#This Row],[Producto]],Tabla6[#All],14,FALSE)</f>
        <v>Termico Solar</v>
      </c>
      <c r="U6736" s="284" t="e">
        <f>(IF(Tabla4[[#This Row],[Familia]]="termico solar",Tabla4[[#This Row],[Utilidad Total]]*6%,Tabla4[[#This Row],[Utilidad Total]]*11.5%))/Tabla4[[#This Row],[Total]]</f>
        <v>#N/A</v>
      </c>
      <c r="V6736" s="282" t="e">
        <f>+Tabla4[[#This Row],[Comisión Calculada]]*Tabla4[[#This Row],[Total]]</f>
        <v>#N/A</v>
      </c>
    </row>
    <row r="6737" spans="1:22" hidden="1" x14ac:dyDescent="0.25">
      <c r="A6737" s="100">
        <v>45976</v>
      </c>
      <c r="B6737" t="str">
        <f t="shared" si="439"/>
        <v>November</v>
      </c>
      <c r="C6737" s="46" t="s">
        <v>280</v>
      </c>
      <c r="F6737" s="366" t="s">
        <v>3399</v>
      </c>
      <c r="G6737" s="46" t="s">
        <v>208</v>
      </c>
      <c r="H6737" s="46">
        <v>2</v>
      </c>
      <c r="I6737" s="51">
        <v>189.75</v>
      </c>
      <c r="J6737" s="281">
        <f>++Tabla4[[#This Row],[Precio Bruto]]*1.16</f>
        <v>220.10999999999999</v>
      </c>
      <c r="K6737" s="281">
        <f>+Tabla4[[#This Row],[Precio Unitario Neto]]*Tabla4[[#Headers],[20.85%]]</f>
        <v>45.892934999999994</v>
      </c>
      <c r="L6737" s="282">
        <f>++Tabla4[[#This Row],[Precio Unitario Neto]]-Tabla4[[#This Row],[20.85%]]</f>
        <v>174.21706499999999</v>
      </c>
      <c r="M6737" s="282" t="e">
        <f>(INDEX(Tabla6[#All],MATCH(Tabla4[[#This Row],[Producto]],Tabla6[[#All],[PRODUCTO]],0),MATCH(Tabla4[[#This Row],[Mes]],Tabla6[#Headers],0)))*(1+Catalogos!$L$2)</f>
        <v>#N/A</v>
      </c>
      <c r="N6737" s="283" t="e">
        <f>+(Tabla4[[#This Row],[Precio Descontado]]-Tabla4[[#This Row],[Precio Base]])*Tabla4[[#This Row],[Cantidad]]</f>
        <v>#N/A</v>
      </c>
      <c r="O6737" s="284" t="e">
        <f>++Tabla4[[#This Row],[Utilidad Total]]/Tabla4[[#This Row],[Total]]</f>
        <v>#N/A</v>
      </c>
      <c r="P6737" s="282">
        <f>++Tabla4[[#This Row],[Precio Descontado]]*Tabla4[[#This Row],[Cantidad]]</f>
        <v>348.43412999999998</v>
      </c>
      <c r="Q6737" s="282" t="e">
        <f>(INDEX(Tabla6[#All],MATCH(Tabla4[[#This Row],[Producto]],Tabla6[[#All],[PRODUCTO]],0),MATCH(Tabla4[[#This Row],[Mes]],Tabla6[#Headers],0)))</f>
        <v>#N/A</v>
      </c>
      <c r="R6737" s="282" t="e">
        <f>++Tabla4[[#This Row],[Precio Unitario Neto]]-Tabla4[[#This Row],[20.85%]]-Tabla4[[#This Row],[Costo]]</f>
        <v>#N/A</v>
      </c>
      <c r="S6737" s="282" t="e">
        <f>++Tabla4[[#This Row],[U. Bruta Uni]]*Tabla4[[#This Row],[Cantidad]]</f>
        <v>#N/A</v>
      </c>
      <c r="T6737" s="369" t="str">
        <f>VLOOKUP(Tabla4[[#This Row],[Producto]],Tabla6[#All],14,FALSE)</f>
        <v>Termico Solar</v>
      </c>
      <c r="U6737" s="284" t="e">
        <f>(IF(Tabla4[[#This Row],[Familia]]="termico solar",Tabla4[[#This Row],[Utilidad Total]]*6%,Tabla4[[#This Row],[Utilidad Total]]*11.5%))/Tabla4[[#This Row],[Total]]</f>
        <v>#N/A</v>
      </c>
      <c r="V6737" s="282" t="e">
        <f>+Tabla4[[#This Row],[Comisión Calculada]]*Tabla4[[#This Row],[Total]]</f>
        <v>#N/A</v>
      </c>
    </row>
    <row r="6738" spans="1:22" hidden="1" x14ac:dyDescent="0.25">
      <c r="A6738" s="100">
        <v>45976</v>
      </c>
      <c r="B6738" t="str">
        <f>TEXT(A6738, "mmmm")</f>
        <v>November</v>
      </c>
      <c r="C6738" s="46" t="s">
        <v>280</v>
      </c>
      <c r="F6738" s="366" t="s">
        <v>3400</v>
      </c>
      <c r="G6738" s="46" t="s">
        <v>18</v>
      </c>
      <c r="H6738" s="46">
        <v>1</v>
      </c>
      <c r="I6738" s="51">
        <v>5367.65</v>
      </c>
      <c r="J6738" s="281">
        <f>++Tabla4[[#This Row],[Precio Bruto]]*1.16</f>
        <v>6226.4739999999993</v>
      </c>
      <c r="K6738" s="281">
        <f>+Tabla4[[#This Row],[Precio Unitario Neto]]*Tabla4[[#Headers],[20.85%]]</f>
        <v>1298.2198289999999</v>
      </c>
      <c r="L6738" s="282">
        <f>++Tabla4[[#This Row],[Precio Unitario Neto]]-Tabla4[[#This Row],[20.85%]]</f>
        <v>4928.2541709999996</v>
      </c>
      <c r="M6738" s="282" t="e">
        <f>(INDEX(Tabla6[#All],MATCH(Tabla4[[#This Row],[Producto]],Tabla6[[#All],[PRODUCTO]],0),MATCH(Tabla4[[#This Row],[Mes]],Tabla6[#Headers],0)))*(1+Catalogos!$L$2)</f>
        <v>#N/A</v>
      </c>
      <c r="N6738" s="283" t="e">
        <f>+(Tabla4[[#This Row],[Precio Descontado]]-Tabla4[[#This Row],[Precio Base]])*Tabla4[[#This Row],[Cantidad]]</f>
        <v>#N/A</v>
      </c>
      <c r="O6738" s="284" t="e">
        <f>++Tabla4[[#This Row],[Utilidad Total]]/Tabla4[[#This Row],[Total]]</f>
        <v>#N/A</v>
      </c>
      <c r="P6738" s="282">
        <f>++Tabla4[[#This Row],[Precio Descontado]]*Tabla4[[#This Row],[Cantidad]]</f>
        <v>4928.2541709999996</v>
      </c>
      <c r="Q6738" s="282" t="e">
        <f>(INDEX(Tabla6[#All],MATCH(Tabla4[[#This Row],[Producto]],Tabla6[[#All],[PRODUCTO]],0),MATCH(Tabla4[[#This Row],[Mes]],Tabla6[#Headers],0)))</f>
        <v>#N/A</v>
      </c>
      <c r="R6738" s="282" t="e">
        <f>++Tabla4[[#This Row],[Precio Unitario Neto]]-Tabla4[[#This Row],[20.85%]]-Tabla4[[#This Row],[Costo]]</f>
        <v>#N/A</v>
      </c>
      <c r="S6738" s="282" t="e">
        <f>++Tabla4[[#This Row],[U. Bruta Uni]]*Tabla4[[#This Row],[Cantidad]]</f>
        <v>#N/A</v>
      </c>
      <c r="T6738" s="369" t="str">
        <f>VLOOKUP(Tabla4[[#This Row],[Producto]],Tabla6[#All],14,FALSE)</f>
        <v>Termico Solar</v>
      </c>
      <c r="U6738" s="284" t="e">
        <f>(IF(Tabla4[[#This Row],[Familia]]="termico solar",Tabla4[[#This Row],[Utilidad Total]]*6%,Tabla4[[#This Row],[Utilidad Total]]*11.5%))/Tabla4[[#This Row],[Total]]</f>
        <v>#N/A</v>
      </c>
      <c r="V6738" s="282" t="e">
        <f>+Tabla4[[#This Row],[Comisión Calculada]]*Tabla4[[#This Row],[Total]]</f>
        <v>#N/A</v>
      </c>
    </row>
    <row r="6739" spans="1:22" hidden="1" x14ac:dyDescent="0.25">
      <c r="A6739" s="100">
        <v>45976</v>
      </c>
      <c r="B6739" t="str">
        <f t="shared" ref="B6739:B6740" si="440">TEXT(A6739, "mmmm")</f>
        <v>November</v>
      </c>
      <c r="C6739" s="46" t="s">
        <v>280</v>
      </c>
      <c r="F6739" s="366" t="s">
        <v>3401</v>
      </c>
      <c r="G6739" s="46" t="s">
        <v>83</v>
      </c>
      <c r="H6739" s="46">
        <v>3</v>
      </c>
      <c r="I6739" s="51">
        <v>8858.76</v>
      </c>
      <c r="J6739" s="281">
        <f>++Tabla4[[#This Row],[Precio Bruto]]*1.16</f>
        <v>10276.161599999999</v>
      </c>
      <c r="K6739" s="281">
        <f>+Tabla4[[#This Row],[Precio Unitario Neto]]*Tabla4[[#Headers],[20.85%]]</f>
        <v>2142.5796935999997</v>
      </c>
      <c r="L6739" s="282">
        <f>++Tabla4[[#This Row],[Precio Unitario Neto]]-Tabla4[[#This Row],[20.85%]]</f>
        <v>8133.5819063999998</v>
      </c>
      <c r="M6739" s="282" t="e">
        <f>(INDEX(Tabla6[#All],MATCH(Tabla4[[#This Row],[Producto]],Tabla6[[#All],[PRODUCTO]],0),MATCH(Tabla4[[#This Row],[Mes]],Tabla6[#Headers],0)))*(1+Catalogos!$L$2)</f>
        <v>#N/A</v>
      </c>
      <c r="N6739" s="283" t="e">
        <f>+(Tabla4[[#This Row],[Precio Descontado]]-Tabla4[[#This Row],[Precio Base]])*Tabla4[[#This Row],[Cantidad]]</f>
        <v>#N/A</v>
      </c>
      <c r="O6739" s="284" t="e">
        <f>++Tabla4[[#This Row],[Utilidad Total]]/Tabla4[[#This Row],[Total]]</f>
        <v>#N/A</v>
      </c>
      <c r="P6739" s="282">
        <f>++Tabla4[[#This Row],[Precio Descontado]]*Tabla4[[#This Row],[Cantidad]]</f>
        <v>24400.7457192</v>
      </c>
      <c r="Q6739" s="282" t="e">
        <f>(INDEX(Tabla6[#All],MATCH(Tabla4[[#This Row],[Producto]],Tabla6[[#All],[PRODUCTO]],0),MATCH(Tabla4[[#This Row],[Mes]],Tabla6[#Headers],0)))</f>
        <v>#N/A</v>
      </c>
      <c r="R6739" s="282" t="e">
        <f>++Tabla4[[#This Row],[Precio Unitario Neto]]-Tabla4[[#This Row],[20.85%]]-Tabla4[[#This Row],[Costo]]</f>
        <v>#N/A</v>
      </c>
      <c r="S6739" s="282" t="e">
        <f>++Tabla4[[#This Row],[U. Bruta Uni]]*Tabla4[[#This Row],[Cantidad]]</f>
        <v>#N/A</v>
      </c>
      <c r="T6739" s="369" t="str">
        <f>VLOOKUP(Tabla4[[#This Row],[Producto]],Tabla6[#All],14,FALSE)</f>
        <v>Termico Solar</v>
      </c>
      <c r="U6739" s="284" t="e">
        <f>(IF(Tabla4[[#This Row],[Familia]]="termico solar",Tabla4[[#This Row],[Utilidad Total]]*6%,Tabla4[[#This Row],[Utilidad Total]]*11.5%))/Tabla4[[#This Row],[Total]]</f>
        <v>#N/A</v>
      </c>
      <c r="V6739" s="282" t="e">
        <f>+Tabla4[[#This Row],[Comisión Calculada]]*Tabla4[[#This Row],[Total]]</f>
        <v>#N/A</v>
      </c>
    </row>
    <row r="6740" spans="1:22" hidden="1" x14ac:dyDescent="0.25">
      <c r="A6740" s="100">
        <v>45976</v>
      </c>
      <c r="B6740" t="str">
        <f t="shared" si="440"/>
        <v>November</v>
      </c>
      <c r="C6740" s="46" t="s">
        <v>280</v>
      </c>
      <c r="F6740" s="366" t="s">
        <v>3401</v>
      </c>
      <c r="G6740" s="46" t="s">
        <v>208</v>
      </c>
      <c r="H6740" s="46">
        <v>5</v>
      </c>
      <c r="I6740" s="51">
        <v>189.75</v>
      </c>
      <c r="J6740" s="281">
        <f>++Tabla4[[#This Row],[Precio Bruto]]*1.16</f>
        <v>220.10999999999999</v>
      </c>
      <c r="K6740" s="281">
        <f>+Tabla4[[#This Row],[Precio Unitario Neto]]*Tabla4[[#Headers],[20.85%]]</f>
        <v>45.892934999999994</v>
      </c>
      <c r="L6740" s="282">
        <f>++Tabla4[[#This Row],[Precio Unitario Neto]]-Tabla4[[#This Row],[20.85%]]</f>
        <v>174.21706499999999</v>
      </c>
      <c r="M6740" s="282" t="e">
        <f>(INDEX(Tabla6[#All],MATCH(Tabla4[[#This Row],[Producto]],Tabla6[[#All],[PRODUCTO]],0),MATCH(Tabla4[[#This Row],[Mes]],Tabla6[#Headers],0)))*(1+Catalogos!$L$2)</f>
        <v>#N/A</v>
      </c>
      <c r="N6740" s="283" t="e">
        <f>+(Tabla4[[#This Row],[Precio Descontado]]-Tabla4[[#This Row],[Precio Base]])*Tabla4[[#This Row],[Cantidad]]</f>
        <v>#N/A</v>
      </c>
      <c r="O6740" s="284" t="e">
        <f>++Tabla4[[#This Row],[Utilidad Total]]/Tabla4[[#This Row],[Total]]</f>
        <v>#N/A</v>
      </c>
      <c r="P6740" s="282">
        <f>++Tabla4[[#This Row],[Precio Descontado]]*Tabla4[[#This Row],[Cantidad]]</f>
        <v>871.08532500000001</v>
      </c>
      <c r="Q6740" s="282" t="e">
        <f>(INDEX(Tabla6[#All],MATCH(Tabla4[[#This Row],[Producto]],Tabla6[[#All],[PRODUCTO]],0),MATCH(Tabla4[[#This Row],[Mes]],Tabla6[#Headers],0)))</f>
        <v>#N/A</v>
      </c>
      <c r="R6740" s="282" t="e">
        <f>++Tabla4[[#This Row],[Precio Unitario Neto]]-Tabla4[[#This Row],[20.85%]]-Tabla4[[#This Row],[Costo]]</f>
        <v>#N/A</v>
      </c>
      <c r="S6740" s="282" t="e">
        <f>++Tabla4[[#This Row],[U. Bruta Uni]]*Tabla4[[#This Row],[Cantidad]]</f>
        <v>#N/A</v>
      </c>
      <c r="T6740" s="369" t="str">
        <f>VLOOKUP(Tabla4[[#This Row],[Producto]],Tabla6[#All],14,FALSE)</f>
        <v>Termico Solar</v>
      </c>
      <c r="U6740" s="284" t="e">
        <f>(IF(Tabla4[[#This Row],[Familia]]="termico solar",Tabla4[[#This Row],[Utilidad Total]]*6%,Tabla4[[#This Row],[Utilidad Total]]*11.5%))/Tabla4[[#This Row],[Total]]</f>
        <v>#N/A</v>
      </c>
      <c r="V6740" s="282" t="e">
        <f>+Tabla4[[#This Row],[Comisión Calculada]]*Tabla4[[#This Row],[Total]]</f>
        <v>#N/A</v>
      </c>
    </row>
    <row r="6741" spans="1:22" hidden="1" x14ac:dyDescent="0.25">
      <c r="A6741" s="100">
        <v>45976</v>
      </c>
      <c r="B6741" t="str">
        <f t="shared" ref="B6741:B6742" si="441">TEXT(A6741, "mmmm")</f>
        <v>November</v>
      </c>
      <c r="C6741" s="46" t="s">
        <v>280</v>
      </c>
      <c r="F6741" s="366" t="s">
        <v>3402</v>
      </c>
      <c r="G6741" s="46" t="s">
        <v>16</v>
      </c>
      <c r="H6741" s="46">
        <v>1</v>
      </c>
      <c r="I6741" s="51">
        <v>4103.8500000000004</v>
      </c>
      <c r="J6741" s="281">
        <f>++Tabla4[[#This Row],[Precio Bruto]]*1.16</f>
        <v>4760.4660000000003</v>
      </c>
      <c r="K6741" s="281">
        <f>+Tabla4[[#This Row],[Precio Unitario Neto]]*Tabla4[[#Headers],[20.85%]]</f>
        <v>992.55716100000006</v>
      </c>
      <c r="L6741" s="282">
        <f>++Tabla4[[#This Row],[Precio Unitario Neto]]-Tabla4[[#This Row],[20.85%]]</f>
        <v>3767.9088390000002</v>
      </c>
      <c r="M6741" s="282" t="e">
        <f>(INDEX(Tabla6[#All],MATCH(Tabla4[[#This Row],[Producto]],Tabla6[[#All],[PRODUCTO]],0),MATCH(Tabla4[[#This Row],[Mes]],Tabla6[#Headers],0)))*(1+Catalogos!$L$2)</f>
        <v>#N/A</v>
      </c>
      <c r="N6741" s="283" t="e">
        <f>+(Tabla4[[#This Row],[Precio Descontado]]-Tabla4[[#This Row],[Precio Base]])*Tabla4[[#This Row],[Cantidad]]</f>
        <v>#N/A</v>
      </c>
      <c r="O6741" s="284" t="e">
        <f>++Tabla4[[#This Row],[Utilidad Total]]/Tabla4[[#This Row],[Total]]</f>
        <v>#N/A</v>
      </c>
      <c r="P6741" s="282">
        <f>++Tabla4[[#This Row],[Precio Descontado]]*Tabla4[[#This Row],[Cantidad]]</f>
        <v>3767.9088390000002</v>
      </c>
      <c r="Q6741" s="282" t="e">
        <f>(INDEX(Tabla6[#All],MATCH(Tabla4[[#This Row],[Producto]],Tabla6[[#All],[PRODUCTO]],0),MATCH(Tabla4[[#This Row],[Mes]],Tabla6[#Headers],0)))</f>
        <v>#N/A</v>
      </c>
      <c r="R6741" s="282" t="e">
        <f>++Tabla4[[#This Row],[Precio Unitario Neto]]-Tabla4[[#This Row],[20.85%]]-Tabla4[[#This Row],[Costo]]</f>
        <v>#N/A</v>
      </c>
      <c r="S6741" s="282" t="e">
        <f>++Tabla4[[#This Row],[U. Bruta Uni]]*Tabla4[[#This Row],[Cantidad]]</f>
        <v>#N/A</v>
      </c>
      <c r="T6741" s="369" t="str">
        <f>VLOOKUP(Tabla4[[#This Row],[Producto]],Tabla6[#All],14,FALSE)</f>
        <v>Termico Solar</v>
      </c>
      <c r="U6741" s="284" t="e">
        <f>(IF(Tabla4[[#This Row],[Familia]]="termico solar",Tabla4[[#This Row],[Utilidad Total]]*6%,Tabla4[[#This Row],[Utilidad Total]]*11.5%))/Tabla4[[#This Row],[Total]]</f>
        <v>#N/A</v>
      </c>
      <c r="V6741" s="282" t="e">
        <f>+Tabla4[[#This Row],[Comisión Calculada]]*Tabla4[[#This Row],[Total]]</f>
        <v>#N/A</v>
      </c>
    </row>
    <row r="6742" spans="1:22" hidden="1" x14ac:dyDescent="0.25">
      <c r="A6742" s="100">
        <v>45976</v>
      </c>
      <c r="B6742" t="str">
        <f t="shared" si="441"/>
        <v>November</v>
      </c>
      <c r="C6742" s="46" t="s">
        <v>280</v>
      </c>
      <c r="F6742" s="366" t="s">
        <v>3402</v>
      </c>
      <c r="G6742" s="46" t="s">
        <v>208</v>
      </c>
      <c r="H6742" s="46">
        <v>4</v>
      </c>
      <c r="I6742" s="51">
        <v>189.75</v>
      </c>
      <c r="J6742" s="281">
        <f>++Tabla4[[#This Row],[Precio Bruto]]*1.16</f>
        <v>220.10999999999999</v>
      </c>
      <c r="K6742" s="281">
        <f>+Tabla4[[#This Row],[Precio Unitario Neto]]*Tabla4[[#Headers],[20.85%]]</f>
        <v>45.892934999999994</v>
      </c>
      <c r="L6742" s="282">
        <f>++Tabla4[[#This Row],[Precio Unitario Neto]]-Tabla4[[#This Row],[20.85%]]</f>
        <v>174.21706499999999</v>
      </c>
      <c r="M6742" s="282" t="e">
        <f>(INDEX(Tabla6[#All],MATCH(Tabla4[[#This Row],[Producto]],Tabla6[[#All],[PRODUCTO]],0),MATCH(Tabla4[[#This Row],[Mes]],Tabla6[#Headers],0)))*(1+Catalogos!$L$2)</f>
        <v>#N/A</v>
      </c>
      <c r="N6742" s="283" t="e">
        <f>+(Tabla4[[#This Row],[Precio Descontado]]-Tabla4[[#This Row],[Precio Base]])*Tabla4[[#This Row],[Cantidad]]</f>
        <v>#N/A</v>
      </c>
      <c r="O6742" s="284" t="e">
        <f>++Tabla4[[#This Row],[Utilidad Total]]/Tabla4[[#This Row],[Total]]</f>
        <v>#N/A</v>
      </c>
      <c r="P6742" s="282">
        <f>++Tabla4[[#This Row],[Precio Descontado]]*Tabla4[[#This Row],[Cantidad]]</f>
        <v>696.86825999999996</v>
      </c>
      <c r="Q6742" s="282" t="e">
        <f>(INDEX(Tabla6[#All],MATCH(Tabla4[[#This Row],[Producto]],Tabla6[[#All],[PRODUCTO]],0),MATCH(Tabla4[[#This Row],[Mes]],Tabla6[#Headers],0)))</f>
        <v>#N/A</v>
      </c>
      <c r="R6742" s="282" t="e">
        <f>++Tabla4[[#This Row],[Precio Unitario Neto]]-Tabla4[[#This Row],[20.85%]]-Tabla4[[#This Row],[Costo]]</f>
        <v>#N/A</v>
      </c>
      <c r="S6742" s="282" t="e">
        <f>++Tabla4[[#This Row],[U. Bruta Uni]]*Tabla4[[#This Row],[Cantidad]]</f>
        <v>#N/A</v>
      </c>
      <c r="T6742" s="369" t="str">
        <f>VLOOKUP(Tabla4[[#This Row],[Producto]],Tabla6[#All],14,FALSE)</f>
        <v>Termico Solar</v>
      </c>
      <c r="U6742" s="284" t="e">
        <f>(IF(Tabla4[[#This Row],[Familia]]="termico solar",Tabla4[[#This Row],[Utilidad Total]]*6%,Tabla4[[#This Row],[Utilidad Total]]*11.5%))/Tabla4[[#This Row],[Total]]</f>
        <v>#N/A</v>
      </c>
      <c r="V6742" s="282" t="e">
        <f>+Tabla4[[#This Row],[Comisión Calculada]]*Tabla4[[#This Row],[Total]]</f>
        <v>#N/A</v>
      </c>
    </row>
    <row r="6743" spans="1:22" hidden="1" x14ac:dyDescent="0.25">
      <c r="A6743" s="100">
        <v>45976</v>
      </c>
      <c r="B6743" t="str">
        <f t="shared" ref="B6743:B6745" si="442">TEXT(A6743, "mmmm")</f>
        <v>November</v>
      </c>
      <c r="C6743" s="46" t="s">
        <v>280</v>
      </c>
      <c r="F6743" s="366" t="s">
        <v>3403</v>
      </c>
      <c r="G6743" s="46" t="s">
        <v>17</v>
      </c>
      <c r="H6743" s="46">
        <v>3</v>
      </c>
      <c r="I6743" s="51">
        <v>4622.28</v>
      </c>
      <c r="J6743" s="281">
        <f>++Tabla4[[#This Row],[Precio Bruto]]*1.16</f>
        <v>5361.8447999999989</v>
      </c>
      <c r="K6743" s="281">
        <f>+Tabla4[[#This Row],[Precio Unitario Neto]]*Tabla4[[#Headers],[20.85%]]</f>
        <v>1117.9446407999997</v>
      </c>
      <c r="L6743" s="282">
        <f>++Tabla4[[#This Row],[Precio Unitario Neto]]-Tabla4[[#This Row],[20.85%]]</f>
        <v>4243.9001591999995</v>
      </c>
      <c r="M6743" s="282" t="e">
        <f>(INDEX(Tabla6[#All],MATCH(Tabla4[[#This Row],[Producto]],Tabla6[[#All],[PRODUCTO]],0),MATCH(Tabla4[[#This Row],[Mes]],Tabla6[#Headers],0)))*(1+Catalogos!$L$2)</f>
        <v>#N/A</v>
      </c>
      <c r="N6743" s="283" t="e">
        <f>+(Tabla4[[#This Row],[Precio Descontado]]-Tabla4[[#This Row],[Precio Base]])*Tabla4[[#This Row],[Cantidad]]</f>
        <v>#N/A</v>
      </c>
      <c r="O6743" s="284" t="e">
        <f>++Tabla4[[#This Row],[Utilidad Total]]/Tabla4[[#This Row],[Total]]</f>
        <v>#N/A</v>
      </c>
      <c r="P6743" s="282">
        <f>++Tabla4[[#This Row],[Precio Descontado]]*Tabla4[[#This Row],[Cantidad]]</f>
        <v>12731.700477599999</v>
      </c>
      <c r="Q6743" s="282" t="e">
        <f>(INDEX(Tabla6[#All],MATCH(Tabla4[[#This Row],[Producto]],Tabla6[[#All],[PRODUCTO]],0),MATCH(Tabla4[[#This Row],[Mes]],Tabla6[#Headers],0)))</f>
        <v>#N/A</v>
      </c>
      <c r="R6743" s="282" t="e">
        <f>++Tabla4[[#This Row],[Precio Unitario Neto]]-Tabla4[[#This Row],[20.85%]]-Tabla4[[#This Row],[Costo]]</f>
        <v>#N/A</v>
      </c>
      <c r="S6743" s="282" t="e">
        <f>++Tabla4[[#This Row],[U. Bruta Uni]]*Tabla4[[#This Row],[Cantidad]]</f>
        <v>#N/A</v>
      </c>
      <c r="T6743" s="369" t="str">
        <f>VLOOKUP(Tabla4[[#This Row],[Producto]],Tabla6[#All],14,FALSE)</f>
        <v>Termico Solar</v>
      </c>
      <c r="U6743" s="284" t="e">
        <f>(IF(Tabla4[[#This Row],[Familia]]="termico solar",Tabla4[[#This Row],[Utilidad Total]]*6%,Tabla4[[#This Row],[Utilidad Total]]*11.5%))/Tabla4[[#This Row],[Total]]</f>
        <v>#N/A</v>
      </c>
      <c r="V6743" s="282" t="e">
        <f>+Tabla4[[#This Row],[Comisión Calculada]]*Tabla4[[#This Row],[Total]]</f>
        <v>#N/A</v>
      </c>
    </row>
    <row r="6744" spans="1:22" hidden="1" x14ac:dyDescent="0.25">
      <c r="A6744" s="100">
        <v>45976</v>
      </c>
      <c r="B6744" t="str">
        <f t="shared" si="442"/>
        <v>November</v>
      </c>
      <c r="C6744" s="46" t="s">
        <v>280</v>
      </c>
      <c r="F6744" s="366" t="s">
        <v>3403</v>
      </c>
      <c r="G6744" s="46" t="s">
        <v>18</v>
      </c>
      <c r="H6744" s="46">
        <v>3</v>
      </c>
      <c r="I6744" s="51">
        <v>5367.6500000000005</v>
      </c>
      <c r="J6744" s="281">
        <f>++Tabla4[[#This Row],[Precio Bruto]]*1.16</f>
        <v>6226.4740000000002</v>
      </c>
      <c r="K6744" s="281">
        <f>+Tabla4[[#This Row],[Precio Unitario Neto]]*Tabla4[[#Headers],[20.85%]]</f>
        <v>1298.2198289999999</v>
      </c>
      <c r="L6744" s="282">
        <f>++Tabla4[[#This Row],[Precio Unitario Neto]]-Tabla4[[#This Row],[20.85%]]</f>
        <v>4928.2541710000005</v>
      </c>
      <c r="M6744" s="282" t="e">
        <f>(INDEX(Tabla6[#All],MATCH(Tabla4[[#This Row],[Producto]],Tabla6[[#All],[PRODUCTO]],0),MATCH(Tabla4[[#This Row],[Mes]],Tabla6[#Headers],0)))*(1+Catalogos!$L$2)</f>
        <v>#N/A</v>
      </c>
      <c r="N6744" s="283" t="e">
        <f>+(Tabla4[[#This Row],[Precio Descontado]]-Tabla4[[#This Row],[Precio Base]])*Tabla4[[#This Row],[Cantidad]]</f>
        <v>#N/A</v>
      </c>
      <c r="O6744" s="284" t="e">
        <f>++Tabla4[[#This Row],[Utilidad Total]]/Tabla4[[#This Row],[Total]]</f>
        <v>#N/A</v>
      </c>
      <c r="P6744" s="282">
        <f>++Tabla4[[#This Row],[Precio Descontado]]*Tabla4[[#This Row],[Cantidad]]</f>
        <v>14784.762513000001</v>
      </c>
      <c r="Q6744" s="282" t="e">
        <f>(INDEX(Tabla6[#All],MATCH(Tabla4[[#This Row],[Producto]],Tabla6[[#All],[PRODUCTO]],0),MATCH(Tabla4[[#This Row],[Mes]],Tabla6[#Headers],0)))</f>
        <v>#N/A</v>
      </c>
      <c r="R6744" s="282" t="e">
        <f>++Tabla4[[#This Row],[Precio Unitario Neto]]-Tabla4[[#This Row],[20.85%]]-Tabla4[[#This Row],[Costo]]</f>
        <v>#N/A</v>
      </c>
      <c r="S6744" s="282" t="e">
        <f>++Tabla4[[#This Row],[U. Bruta Uni]]*Tabla4[[#This Row],[Cantidad]]</f>
        <v>#N/A</v>
      </c>
      <c r="T6744" s="369" t="str">
        <f>VLOOKUP(Tabla4[[#This Row],[Producto]],Tabla6[#All],14,FALSE)</f>
        <v>Termico Solar</v>
      </c>
      <c r="U6744" s="284" t="e">
        <f>(IF(Tabla4[[#This Row],[Familia]]="termico solar",Tabla4[[#This Row],[Utilidad Total]]*6%,Tabla4[[#This Row],[Utilidad Total]]*11.5%))/Tabla4[[#This Row],[Total]]</f>
        <v>#N/A</v>
      </c>
      <c r="V6744" s="282" t="e">
        <f>+Tabla4[[#This Row],[Comisión Calculada]]*Tabla4[[#This Row],[Total]]</f>
        <v>#N/A</v>
      </c>
    </row>
    <row r="6745" spans="1:22" hidden="1" x14ac:dyDescent="0.25">
      <c r="A6745" s="100">
        <v>45976</v>
      </c>
      <c r="B6745" t="str">
        <f t="shared" si="442"/>
        <v>November</v>
      </c>
      <c r="C6745" s="46" t="s">
        <v>280</v>
      </c>
      <c r="F6745" s="366" t="s">
        <v>3403</v>
      </c>
      <c r="G6745" s="46" t="s">
        <v>16</v>
      </c>
      <c r="H6745" s="46">
        <v>2</v>
      </c>
      <c r="I6745" s="51">
        <v>4103.8500000000004</v>
      </c>
      <c r="J6745" s="281">
        <f>++Tabla4[[#This Row],[Precio Bruto]]*1.16</f>
        <v>4760.4660000000003</v>
      </c>
      <c r="K6745" s="281">
        <f>+Tabla4[[#This Row],[Precio Unitario Neto]]*Tabla4[[#Headers],[20.85%]]</f>
        <v>992.55716100000006</v>
      </c>
      <c r="L6745" s="282">
        <f>++Tabla4[[#This Row],[Precio Unitario Neto]]-Tabla4[[#This Row],[20.85%]]</f>
        <v>3767.9088390000002</v>
      </c>
      <c r="M6745" s="282" t="e">
        <f>(INDEX(Tabla6[#All],MATCH(Tabla4[[#This Row],[Producto]],Tabla6[[#All],[PRODUCTO]],0),MATCH(Tabla4[[#This Row],[Mes]],Tabla6[#Headers],0)))*(1+Catalogos!$L$2)</f>
        <v>#N/A</v>
      </c>
      <c r="N6745" s="283" t="e">
        <f>+(Tabla4[[#This Row],[Precio Descontado]]-Tabla4[[#This Row],[Precio Base]])*Tabla4[[#This Row],[Cantidad]]</f>
        <v>#N/A</v>
      </c>
      <c r="O6745" s="284" t="e">
        <f>++Tabla4[[#This Row],[Utilidad Total]]/Tabla4[[#This Row],[Total]]</f>
        <v>#N/A</v>
      </c>
      <c r="P6745" s="282">
        <f>++Tabla4[[#This Row],[Precio Descontado]]*Tabla4[[#This Row],[Cantidad]]</f>
        <v>7535.8176780000003</v>
      </c>
      <c r="Q6745" s="282" t="e">
        <f>(INDEX(Tabla6[#All],MATCH(Tabla4[[#This Row],[Producto]],Tabla6[[#All],[PRODUCTO]],0),MATCH(Tabla4[[#This Row],[Mes]],Tabla6[#Headers],0)))</f>
        <v>#N/A</v>
      </c>
      <c r="R6745" s="282" t="e">
        <f>++Tabla4[[#This Row],[Precio Unitario Neto]]-Tabla4[[#This Row],[20.85%]]-Tabla4[[#This Row],[Costo]]</f>
        <v>#N/A</v>
      </c>
      <c r="S6745" s="282" t="e">
        <f>++Tabla4[[#This Row],[U. Bruta Uni]]*Tabla4[[#This Row],[Cantidad]]</f>
        <v>#N/A</v>
      </c>
      <c r="T6745" s="369" t="str">
        <f>VLOOKUP(Tabla4[[#This Row],[Producto]],Tabla6[#All],14,FALSE)</f>
        <v>Termico Solar</v>
      </c>
      <c r="U6745" s="284" t="e">
        <f>(IF(Tabla4[[#This Row],[Familia]]="termico solar",Tabla4[[#This Row],[Utilidad Total]]*6%,Tabla4[[#This Row],[Utilidad Total]]*11.5%))/Tabla4[[#This Row],[Total]]</f>
        <v>#N/A</v>
      </c>
      <c r="V6745" s="282" t="e">
        <f>+Tabla4[[#This Row],[Comisión Calculada]]*Tabla4[[#This Row],[Total]]</f>
        <v>#N/A</v>
      </c>
    </row>
    <row r="6746" spans="1:22" hidden="1" x14ac:dyDescent="0.25">
      <c r="A6746" s="100">
        <v>45976</v>
      </c>
      <c r="B6746" t="str">
        <f t="shared" ref="B6746:B6748" si="443">TEXT(A6746, "mmmm")</f>
        <v>November</v>
      </c>
      <c r="C6746" s="46" t="s">
        <v>280</v>
      </c>
      <c r="F6746" s="366" t="s">
        <v>3404</v>
      </c>
      <c r="G6746" s="46" t="s">
        <v>83</v>
      </c>
      <c r="H6746" s="46">
        <v>1</v>
      </c>
      <c r="I6746" s="51">
        <v>8858.76</v>
      </c>
      <c r="J6746" s="281">
        <f>++Tabla4[[#This Row],[Precio Bruto]]*1.16</f>
        <v>10276.161599999999</v>
      </c>
      <c r="K6746" s="281">
        <f>+Tabla4[[#This Row],[Precio Unitario Neto]]*Tabla4[[#Headers],[20.85%]]</f>
        <v>2142.5796935999997</v>
      </c>
      <c r="L6746" s="282">
        <f>++Tabla4[[#This Row],[Precio Unitario Neto]]-Tabla4[[#This Row],[20.85%]]</f>
        <v>8133.5819063999998</v>
      </c>
      <c r="M6746" s="282" t="e">
        <f>(INDEX(Tabla6[#All],MATCH(Tabla4[[#This Row],[Producto]],Tabla6[[#All],[PRODUCTO]],0),MATCH(Tabla4[[#This Row],[Mes]],Tabla6[#Headers],0)))*(1+Catalogos!$L$2)</f>
        <v>#N/A</v>
      </c>
      <c r="N6746" s="283" t="e">
        <f>+(Tabla4[[#This Row],[Precio Descontado]]-Tabla4[[#This Row],[Precio Base]])*Tabla4[[#This Row],[Cantidad]]</f>
        <v>#N/A</v>
      </c>
      <c r="O6746" s="284" t="e">
        <f>++Tabla4[[#This Row],[Utilidad Total]]/Tabla4[[#This Row],[Total]]</f>
        <v>#N/A</v>
      </c>
      <c r="P6746" s="282">
        <f>++Tabla4[[#This Row],[Precio Descontado]]*Tabla4[[#This Row],[Cantidad]]</f>
        <v>8133.5819063999998</v>
      </c>
      <c r="Q6746" s="282" t="e">
        <f>(INDEX(Tabla6[#All],MATCH(Tabla4[[#This Row],[Producto]],Tabla6[[#All],[PRODUCTO]],0),MATCH(Tabla4[[#This Row],[Mes]],Tabla6[#Headers],0)))</f>
        <v>#N/A</v>
      </c>
      <c r="R6746" s="282" t="e">
        <f>++Tabla4[[#This Row],[Precio Unitario Neto]]-Tabla4[[#This Row],[20.85%]]-Tabla4[[#This Row],[Costo]]</f>
        <v>#N/A</v>
      </c>
      <c r="S6746" s="282" t="e">
        <f>++Tabla4[[#This Row],[U. Bruta Uni]]*Tabla4[[#This Row],[Cantidad]]</f>
        <v>#N/A</v>
      </c>
      <c r="T6746" s="369" t="str">
        <f>VLOOKUP(Tabla4[[#This Row],[Producto]],Tabla6[#All],14,FALSE)</f>
        <v>Termico Solar</v>
      </c>
      <c r="U6746" s="284" t="e">
        <f>(IF(Tabla4[[#This Row],[Familia]]="termico solar",Tabla4[[#This Row],[Utilidad Total]]*6%,Tabla4[[#This Row],[Utilidad Total]]*11.5%))/Tabla4[[#This Row],[Total]]</f>
        <v>#N/A</v>
      </c>
      <c r="V6746" s="282" t="e">
        <f>+Tabla4[[#This Row],[Comisión Calculada]]*Tabla4[[#This Row],[Total]]</f>
        <v>#N/A</v>
      </c>
    </row>
    <row r="6747" spans="1:22" hidden="1" x14ac:dyDescent="0.25">
      <c r="A6747" s="100">
        <v>45976</v>
      </c>
      <c r="B6747" t="str">
        <f t="shared" si="443"/>
        <v>November</v>
      </c>
      <c r="C6747" s="46" t="s">
        <v>280</v>
      </c>
      <c r="F6747" s="366" t="s">
        <v>3404</v>
      </c>
      <c r="G6747" s="46" t="s">
        <v>18</v>
      </c>
      <c r="H6747" s="46">
        <v>1</v>
      </c>
      <c r="I6747" s="51">
        <v>5367.65</v>
      </c>
      <c r="J6747" s="281">
        <f>++Tabla4[[#This Row],[Precio Bruto]]*1.16</f>
        <v>6226.4739999999993</v>
      </c>
      <c r="K6747" s="281">
        <f>+Tabla4[[#This Row],[Precio Unitario Neto]]*Tabla4[[#Headers],[20.85%]]</f>
        <v>1298.2198289999999</v>
      </c>
      <c r="L6747" s="282">
        <f>++Tabla4[[#This Row],[Precio Unitario Neto]]-Tabla4[[#This Row],[20.85%]]</f>
        <v>4928.2541709999996</v>
      </c>
      <c r="M6747" s="282" t="e">
        <f>(INDEX(Tabla6[#All],MATCH(Tabla4[[#This Row],[Producto]],Tabla6[[#All],[PRODUCTO]],0),MATCH(Tabla4[[#This Row],[Mes]],Tabla6[#Headers],0)))*(1+Catalogos!$L$2)</f>
        <v>#N/A</v>
      </c>
      <c r="N6747" s="283" t="e">
        <f>+(Tabla4[[#This Row],[Precio Descontado]]-Tabla4[[#This Row],[Precio Base]])*Tabla4[[#This Row],[Cantidad]]</f>
        <v>#N/A</v>
      </c>
      <c r="O6747" s="284" t="e">
        <f>++Tabla4[[#This Row],[Utilidad Total]]/Tabla4[[#This Row],[Total]]</f>
        <v>#N/A</v>
      </c>
      <c r="P6747" s="282">
        <f>++Tabla4[[#This Row],[Precio Descontado]]*Tabla4[[#This Row],[Cantidad]]</f>
        <v>4928.2541709999996</v>
      </c>
      <c r="Q6747" s="282" t="e">
        <f>(INDEX(Tabla6[#All],MATCH(Tabla4[[#This Row],[Producto]],Tabla6[[#All],[PRODUCTO]],0),MATCH(Tabla4[[#This Row],[Mes]],Tabla6[#Headers],0)))</f>
        <v>#N/A</v>
      </c>
      <c r="R6747" s="282" t="e">
        <f>++Tabla4[[#This Row],[Precio Unitario Neto]]-Tabla4[[#This Row],[20.85%]]-Tabla4[[#This Row],[Costo]]</f>
        <v>#N/A</v>
      </c>
      <c r="S6747" s="282" t="e">
        <f>++Tabla4[[#This Row],[U. Bruta Uni]]*Tabla4[[#This Row],[Cantidad]]</f>
        <v>#N/A</v>
      </c>
      <c r="T6747" s="369" t="str">
        <f>VLOOKUP(Tabla4[[#This Row],[Producto]],Tabla6[#All],14,FALSE)</f>
        <v>Termico Solar</v>
      </c>
      <c r="U6747" s="284" t="e">
        <f>(IF(Tabla4[[#This Row],[Familia]]="termico solar",Tabla4[[#This Row],[Utilidad Total]]*6%,Tabla4[[#This Row],[Utilidad Total]]*11.5%))/Tabla4[[#This Row],[Total]]</f>
        <v>#N/A</v>
      </c>
      <c r="V6747" s="282" t="e">
        <f>+Tabla4[[#This Row],[Comisión Calculada]]*Tabla4[[#This Row],[Total]]</f>
        <v>#N/A</v>
      </c>
    </row>
    <row r="6748" spans="1:22" hidden="1" x14ac:dyDescent="0.25">
      <c r="A6748" s="100">
        <v>45976</v>
      </c>
      <c r="B6748" t="str">
        <f t="shared" si="443"/>
        <v>November</v>
      </c>
      <c r="C6748" s="46" t="s">
        <v>280</v>
      </c>
      <c r="F6748" s="366" t="s">
        <v>3404</v>
      </c>
      <c r="G6748" s="46" t="s">
        <v>208</v>
      </c>
      <c r="H6748" s="46">
        <v>1</v>
      </c>
      <c r="I6748" s="51">
        <v>189.75</v>
      </c>
      <c r="J6748" s="281">
        <f>++Tabla4[[#This Row],[Precio Bruto]]*1.16</f>
        <v>220.10999999999999</v>
      </c>
      <c r="K6748" s="281">
        <f>+Tabla4[[#This Row],[Precio Unitario Neto]]*Tabla4[[#Headers],[20.85%]]</f>
        <v>45.892934999999994</v>
      </c>
      <c r="L6748" s="282">
        <f>++Tabla4[[#This Row],[Precio Unitario Neto]]-Tabla4[[#This Row],[20.85%]]</f>
        <v>174.21706499999999</v>
      </c>
      <c r="M6748" s="282" t="e">
        <f>(INDEX(Tabla6[#All],MATCH(Tabla4[[#This Row],[Producto]],Tabla6[[#All],[PRODUCTO]],0),MATCH(Tabla4[[#This Row],[Mes]],Tabla6[#Headers],0)))*(1+Catalogos!$L$2)</f>
        <v>#N/A</v>
      </c>
      <c r="N6748" s="283" t="e">
        <f>+(Tabla4[[#This Row],[Precio Descontado]]-Tabla4[[#This Row],[Precio Base]])*Tabla4[[#This Row],[Cantidad]]</f>
        <v>#N/A</v>
      </c>
      <c r="O6748" s="284" t="e">
        <f>++Tabla4[[#This Row],[Utilidad Total]]/Tabla4[[#This Row],[Total]]</f>
        <v>#N/A</v>
      </c>
      <c r="P6748" s="282">
        <f>++Tabla4[[#This Row],[Precio Descontado]]*Tabla4[[#This Row],[Cantidad]]</f>
        <v>174.21706499999999</v>
      </c>
      <c r="Q6748" s="282" t="e">
        <f>(INDEX(Tabla6[#All],MATCH(Tabla4[[#This Row],[Producto]],Tabla6[[#All],[PRODUCTO]],0),MATCH(Tabla4[[#This Row],[Mes]],Tabla6[#Headers],0)))</f>
        <v>#N/A</v>
      </c>
      <c r="R6748" s="282" t="e">
        <f>++Tabla4[[#This Row],[Precio Unitario Neto]]-Tabla4[[#This Row],[20.85%]]-Tabla4[[#This Row],[Costo]]</f>
        <v>#N/A</v>
      </c>
      <c r="S6748" s="282" t="e">
        <f>++Tabla4[[#This Row],[U. Bruta Uni]]*Tabla4[[#This Row],[Cantidad]]</f>
        <v>#N/A</v>
      </c>
      <c r="T6748" s="369" t="str">
        <f>VLOOKUP(Tabla4[[#This Row],[Producto]],Tabla6[#All],14,FALSE)</f>
        <v>Termico Solar</v>
      </c>
      <c r="U6748" s="284" t="e">
        <f>(IF(Tabla4[[#This Row],[Familia]]="termico solar",Tabla4[[#This Row],[Utilidad Total]]*6%,Tabla4[[#This Row],[Utilidad Total]]*11.5%))/Tabla4[[#This Row],[Total]]</f>
        <v>#N/A</v>
      </c>
      <c r="V6748" s="282" t="e">
        <f>+Tabla4[[#This Row],[Comisión Calculada]]*Tabla4[[#This Row],[Total]]</f>
        <v>#N/A</v>
      </c>
    </row>
    <row r="6749" spans="1:22" hidden="1" x14ac:dyDescent="0.25">
      <c r="A6749" s="100">
        <v>45976</v>
      </c>
      <c r="B6749" t="str">
        <f>TEXT(A6749, "mmmm")</f>
        <v>November</v>
      </c>
      <c r="C6749" s="46" t="s">
        <v>280</v>
      </c>
      <c r="F6749" s="366" t="s">
        <v>3405</v>
      </c>
      <c r="G6749" s="46" t="s">
        <v>566</v>
      </c>
      <c r="H6749" s="46">
        <v>1</v>
      </c>
      <c r="I6749" s="51">
        <v>2109.4499999999998</v>
      </c>
      <c r="J6749" s="281">
        <f>++Tabla4[[#This Row],[Precio Bruto]]*1.16</f>
        <v>2446.9619999999995</v>
      </c>
      <c r="K6749" s="281">
        <f>+Tabla4[[#This Row],[Precio Unitario Neto]]*Tabla4[[#Headers],[20.85%]]</f>
        <v>510.19157699999988</v>
      </c>
      <c r="L6749" s="282">
        <f>++Tabla4[[#This Row],[Precio Unitario Neto]]-Tabla4[[#This Row],[20.85%]]</f>
        <v>1936.7704229999997</v>
      </c>
      <c r="M6749" s="282" t="e">
        <f>(INDEX(Tabla6[#All],MATCH(Tabla4[[#This Row],[Producto]],Tabla6[[#All],[PRODUCTO]],0),MATCH(Tabla4[[#This Row],[Mes]],Tabla6[#Headers],0)))*(1+Catalogos!$L$2)</f>
        <v>#N/A</v>
      </c>
      <c r="N6749" s="283" t="e">
        <f>+(Tabla4[[#This Row],[Precio Descontado]]-Tabla4[[#This Row],[Precio Base]])*Tabla4[[#This Row],[Cantidad]]</f>
        <v>#N/A</v>
      </c>
      <c r="O6749" s="284" t="e">
        <f>++Tabla4[[#This Row],[Utilidad Total]]/Tabla4[[#This Row],[Total]]</f>
        <v>#N/A</v>
      </c>
      <c r="P6749" s="282">
        <f>++Tabla4[[#This Row],[Precio Descontado]]*Tabla4[[#This Row],[Cantidad]]</f>
        <v>1936.7704229999997</v>
      </c>
      <c r="Q6749" s="282" t="e">
        <f>(INDEX(Tabla6[#All],MATCH(Tabla4[[#This Row],[Producto]],Tabla6[[#All],[PRODUCTO]],0),MATCH(Tabla4[[#This Row],[Mes]],Tabla6[#Headers],0)))</f>
        <v>#N/A</v>
      </c>
      <c r="R6749" s="282" t="e">
        <f>++Tabla4[[#This Row],[Precio Unitario Neto]]-Tabla4[[#This Row],[20.85%]]-Tabla4[[#This Row],[Costo]]</f>
        <v>#N/A</v>
      </c>
      <c r="S6749" s="282" t="e">
        <f>++Tabla4[[#This Row],[U. Bruta Uni]]*Tabla4[[#This Row],[Cantidad]]</f>
        <v>#N/A</v>
      </c>
      <c r="T6749" s="369" t="str">
        <f>VLOOKUP(Tabla4[[#This Row],[Producto]],Tabla6[#All],14,FALSE)</f>
        <v>Termico Solar</v>
      </c>
      <c r="U6749" s="284" t="e">
        <f>(IF(Tabla4[[#This Row],[Familia]]="termico solar",Tabla4[[#This Row],[Utilidad Total]]*6%,Tabla4[[#This Row],[Utilidad Total]]*11.5%))/Tabla4[[#This Row],[Total]]</f>
        <v>#N/A</v>
      </c>
      <c r="V6749" s="282" t="e">
        <f>+Tabla4[[#This Row],[Comisión Calculada]]*Tabla4[[#This Row],[Total]]</f>
        <v>#N/A</v>
      </c>
    </row>
    <row r="6750" spans="1:22" hidden="1" x14ac:dyDescent="0.25">
      <c r="A6750" s="100">
        <v>45976</v>
      </c>
      <c r="B6750" t="str">
        <f>TEXT(A6750, "mmmm")</f>
        <v>November</v>
      </c>
      <c r="C6750" s="46" t="s">
        <v>280</v>
      </c>
      <c r="F6750" s="366" t="s">
        <v>3406</v>
      </c>
      <c r="G6750" s="46" t="s">
        <v>18</v>
      </c>
      <c r="H6750" s="46">
        <v>1</v>
      </c>
      <c r="I6750" s="51">
        <v>5367.65</v>
      </c>
      <c r="J6750" s="281">
        <f>++Tabla4[[#This Row],[Precio Bruto]]*1.16</f>
        <v>6226.4739999999993</v>
      </c>
      <c r="K6750" s="281">
        <f>+Tabla4[[#This Row],[Precio Unitario Neto]]*Tabla4[[#Headers],[20.85%]]</f>
        <v>1298.2198289999999</v>
      </c>
      <c r="L6750" s="282">
        <f>++Tabla4[[#This Row],[Precio Unitario Neto]]-Tabla4[[#This Row],[20.85%]]</f>
        <v>4928.2541709999996</v>
      </c>
      <c r="M6750" s="282" t="e">
        <f>(INDEX(Tabla6[#All],MATCH(Tabla4[[#This Row],[Producto]],Tabla6[[#All],[PRODUCTO]],0),MATCH(Tabla4[[#This Row],[Mes]],Tabla6[#Headers],0)))*(1+Catalogos!$L$2)</f>
        <v>#N/A</v>
      </c>
      <c r="N6750" s="283" t="e">
        <f>+(Tabla4[[#This Row],[Precio Descontado]]-Tabla4[[#This Row],[Precio Base]])*Tabla4[[#This Row],[Cantidad]]</f>
        <v>#N/A</v>
      </c>
      <c r="O6750" s="284" t="e">
        <f>++Tabla4[[#This Row],[Utilidad Total]]/Tabla4[[#This Row],[Total]]</f>
        <v>#N/A</v>
      </c>
      <c r="P6750" s="282">
        <f>++Tabla4[[#This Row],[Precio Descontado]]*Tabla4[[#This Row],[Cantidad]]</f>
        <v>4928.2541709999996</v>
      </c>
      <c r="Q6750" s="282" t="e">
        <f>(INDEX(Tabla6[#All],MATCH(Tabla4[[#This Row],[Producto]],Tabla6[[#All],[PRODUCTO]],0),MATCH(Tabla4[[#This Row],[Mes]],Tabla6[#Headers],0)))</f>
        <v>#N/A</v>
      </c>
      <c r="R6750" s="282" t="e">
        <f>++Tabla4[[#This Row],[Precio Unitario Neto]]-Tabla4[[#This Row],[20.85%]]-Tabla4[[#This Row],[Costo]]</f>
        <v>#N/A</v>
      </c>
      <c r="S6750" s="282" t="e">
        <f>++Tabla4[[#This Row],[U. Bruta Uni]]*Tabla4[[#This Row],[Cantidad]]</f>
        <v>#N/A</v>
      </c>
      <c r="T6750" s="369" t="str">
        <f>VLOOKUP(Tabla4[[#This Row],[Producto]],Tabla6[#All],14,FALSE)</f>
        <v>Termico Solar</v>
      </c>
      <c r="U6750" s="284" t="e">
        <f>(IF(Tabla4[[#This Row],[Familia]]="termico solar",Tabla4[[#This Row],[Utilidad Total]]*6%,Tabla4[[#This Row],[Utilidad Total]]*11.5%))/Tabla4[[#This Row],[Total]]</f>
        <v>#N/A</v>
      </c>
      <c r="V6750" s="282" t="e">
        <f>+Tabla4[[#This Row],[Comisión Calculada]]*Tabla4[[#This Row],[Total]]</f>
        <v>#N/A</v>
      </c>
    </row>
    <row r="6751" spans="1:22" hidden="1" x14ac:dyDescent="0.25">
      <c r="A6751" s="100">
        <v>45976</v>
      </c>
      <c r="B6751" t="str">
        <f t="shared" ref="B6751:B6753" si="444">TEXT(A6751, "mmmm")</f>
        <v>November</v>
      </c>
      <c r="C6751" s="46" t="s">
        <v>280</v>
      </c>
      <c r="F6751" s="366" t="s">
        <v>3407</v>
      </c>
      <c r="G6751" s="46" t="s">
        <v>17</v>
      </c>
      <c r="H6751" s="46">
        <v>1</v>
      </c>
      <c r="I6751" s="51">
        <v>4622.28</v>
      </c>
      <c r="J6751" s="281">
        <f>++Tabla4[[#This Row],[Precio Bruto]]*1.16</f>
        <v>5361.8447999999989</v>
      </c>
      <c r="K6751" s="281">
        <f>+Tabla4[[#This Row],[Precio Unitario Neto]]*Tabla4[[#Headers],[20.85%]]</f>
        <v>1117.9446407999997</v>
      </c>
      <c r="L6751" s="282">
        <f>++Tabla4[[#This Row],[Precio Unitario Neto]]-Tabla4[[#This Row],[20.85%]]</f>
        <v>4243.9001591999995</v>
      </c>
      <c r="M6751" s="282" t="e">
        <f>(INDEX(Tabla6[#All],MATCH(Tabla4[[#This Row],[Producto]],Tabla6[[#All],[PRODUCTO]],0),MATCH(Tabla4[[#This Row],[Mes]],Tabla6[#Headers],0)))*(1+Catalogos!$L$2)</f>
        <v>#N/A</v>
      </c>
      <c r="N6751" s="283" t="e">
        <f>+(Tabla4[[#This Row],[Precio Descontado]]-Tabla4[[#This Row],[Precio Base]])*Tabla4[[#This Row],[Cantidad]]</f>
        <v>#N/A</v>
      </c>
      <c r="O6751" s="284" t="e">
        <f>++Tabla4[[#This Row],[Utilidad Total]]/Tabla4[[#This Row],[Total]]</f>
        <v>#N/A</v>
      </c>
      <c r="P6751" s="282">
        <f>++Tabla4[[#This Row],[Precio Descontado]]*Tabla4[[#This Row],[Cantidad]]</f>
        <v>4243.9001591999995</v>
      </c>
      <c r="Q6751" s="282" t="e">
        <f>(INDEX(Tabla6[#All],MATCH(Tabla4[[#This Row],[Producto]],Tabla6[[#All],[PRODUCTO]],0),MATCH(Tabla4[[#This Row],[Mes]],Tabla6[#Headers],0)))</f>
        <v>#N/A</v>
      </c>
      <c r="R6751" s="282" t="e">
        <f>++Tabla4[[#This Row],[Precio Unitario Neto]]-Tabla4[[#This Row],[20.85%]]-Tabla4[[#This Row],[Costo]]</f>
        <v>#N/A</v>
      </c>
      <c r="S6751" s="282" t="e">
        <f>++Tabla4[[#This Row],[U. Bruta Uni]]*Tabla4[[#This Row],[Cantidad]]</f>
        <v>#N/A</v>
      </c>
      <c r="T6751" s="369" t="str">
        <f>VLOOKUP(Tabla4[[#This Row],[Producto]],Tabla6[#All],14,FALSE)</f>
        <v>Termico Solar</v>
      </c>
      <c r="U6751" s="284" t="e">
        <f>(IF(Tabla4[[#This Row],[Familia]]="termico solar",Tabla4[[#This Row],[Utilidad Total]]*6%,Tabla4[[#This Row],[Utilidad Total]]*11.5%))/Tabla4[[#This Row],[Total]]</f>
        <v>#N/A</v>
      </c>
      <c r="V6751" s="282" t="e">
        <f>+Tabla4[[#This Row],[Comisión Calculada]]*Tabla4[[#This Row],[Total]]</f>
        <v>#N/A</v>
      </c>
    </row>
    <row r="6752" spans="1:22" hidden="1" x14ac:dyDescent="0.25">
      <c r="A6752" s="100">
        <v>45976</v>
      </c>
      <c r="B6752" t="str">
        <f t="shared" si="444"/>
        <v>November</v>
      </c>
      <c r="C6752" s="46" t="s">
        <v>280</v>
      </c>
      <c r="F6752" s="366" t="s">
        <v>3407</v>
      </c>
      <c r="G6752" s="46" t="s">
        <v>18</v>
      </c>
      <c r="H6752" s="46">
        <v>2</v>
      </c>
      <c r="I6752" s="51">
        <v>5367.65</v>
      </c>
      <c r="J6752" s="281">
        <f>++Tabla4[[#This Row],[Precio Bruto]]*1.16</f>
        <v>6226.4739999999993</v>
      </c>
      <c r="K6752" s="281">
        <f>+Tabla4[[#This Row],[Precio Unitario Neto]]*Tabla4[[#Headers],[20.85%]]</f>
        <v>1298.2198289999999</v>
      </c>
      <c r="L6752" s="282">
        <f>++Tabla4[[#This Row],[Precio Unitario Neto]]-Tabla4[[#This Row],[20.85%]]</f>
        <v>4928.2541709999996</v>
      </c>
      <c r="M6752" s="282" t="e">
        <f>(INDEX(Tabla6[#All],MATCH(Tabla4[[#This Row],[Producto]],Tabla6[[#All],[PRODUCTO]],0),MATCH(Tabla4[[#This Row],[Mes]],Tabla6[#Headers],0)))*(1+Catalogos!$L$2)</f>
        <v>#N/A</v>
      </c>
      <c r="N6752" s="283" t="e">
        <f>+(Tabla4[[#This Row],[Precio Descontado]]-Tabla4[[#This Row],[Precio Base]])*Tabla4[[#This Row],[Cantidad]]</f>
        <v>#N/A</v>
      </c>
      <c r="O6752" s="284" t="e">
        <f>++Tabla4[[#This Row],[Utilidad Total]]/Tabla4[[#This Row],[Total]]</f>
        <v>#N/A</v>
      </c>
      <c r="P6752" s="282">
        <f>++Tabla4[[#This Row],[Precio Descontado]]*Tabla4[[#This Row],[Cantidad]]</f>
        <v>9856.5083419999992</v>
      </c>
      <c r="Q6752" s="282" t="e">
        <f>(INDEX(Tabla6[#All],MATCH(Tabla4[[#This Row],[Producto]],Tabla6[[#All],[PRODUCTO]],0),MATCH(Tabla4[[#This Row],[Mes]],Tabla6[#Headers],0)))</f>
        <v>#N/A</v>
      </c>
      <c r="R6752" s="282" t="e">
        <f>++Tabla4[[#This Row],[Precio Unitario Neto]]-Tabla4[[#This Row],[20.85%]]-Tabla4[[#This Row],[Costo]]</f>
        <v>#N/A</v>
      </c>
      <c r="S6752" s="282" t="e">
        <f>++Tabla4[[#This Row],[U. Bruta Uni]]*Tabla4[[#This Row],[Cantidad]]</f>
        <v>#N/A</v>
      </c>
      <c r="T6752" s="369" t="str">
        <f>VLOOKUP(Tabla4[[#This Row],[Producto]],Tabla6[#All],14,FALSE)</f>
        <v>Termico Solar</v>
      </c>
      <c r="U6752" s="284" t="e">
        <f>(IF(Tabla4[[#This Row],[Familia]]="termico solar",Tabla4[[#This Row],[Utilidad Total]]*6%,Tabla4[[#This Row],[Utilidad Total]]*11.5%))/Tabla4[[#This Row],[Total]]</f>
        <v>#N/A</v>
      </c>
      <c r="V6752" s="282" t="e">
        <f>+Tabla4[[#This Row],[Comisión Calculada]]*Tabla4[[#This Row],[Total]]</f>
        <v>#N/A</v>
      </c>
    </row>
    <row r="6753" spans="1:22" hidden="1" x14ac:dyDescent="0.25">
      <c r="A6753" s="100">
        <v>45976</v>
      </c>
      <c r="B6753" t="str">
        <f t="shared" si="444"/>
        <v>November</v>
      </c>
      <c r="C6753" s="46" t="s">
        <v>280</v>
      </c>
      <c r="F6753" s="366" t="s">
        <v>3407</v>
      </c>
      <c r="G6753" s="46" t="s">
        <v>566</v>
      </c>
      <c r="H6753" s="46">
        <v>1</v>
      </c>
      <c r="I6753" s="51">
        <v>2109.4499999999998</v>
      </c>
      <c r="J6753" s="281">
        <f>++Tabla4[[#This Row],[Precio Bruto]]*1.16</f>
        <v>2446.9619999999995</v>
      </c>
      <c r="K6753" s="281">
        <f>+Tabla4[[#This Row],[Precio Unitario Neto]]*Tabla4[[#Headers],[20.85%]]</f>
        <v>510.19157699999988</v>
      </c>
      <c r="L6753" s="282">
        <f>++Tabla4[[#This Row],[Precio Unitario Neto]]-Tabla4[[#This Row],[20.85%]]</f>
        <v>1936.7704229999997</v>
      </c>
      <c r="M6753" s="282" t="e">
        <f>(INDEX(Tabla6[#All],MATCH(Tabla4[[#This Row],[Producto]],Tabla6[[#All],[PRODUCTO]],0),MATCH(Tabla4[[#This Row],[Mes]],Tabla6[#Headers],0)))*(1+Catalogos!$L$2)</f>
        <v>#N/A</v>
      </c>
      <c r="N6753" s="283" t="e">
        <f>+(Tabla4[[#This Row],[Precio Descontado]]-Tabla4[[#This Row],[Precio Base]])*Tabla4[[#This Row],[Cantidad]]</f>
        <v>#N/A</v>
      </c>
      <c r="O6753" s="284" t="e">
        <f>++Tabla4[[#This Row],[Utilidad Total]]/Tabla4[[#This Row],[Total]]</f>
        <v>#N/A</v>
      </c>
      <c r="P6753" s="282">
        <f>++Tabla4[[#This Row],[Precio Descontado]]*Tabla4[[#This Row],[Cantidad]]</f>
        <v>1936.7704229999997</v>
      </c>
      <c r="Q6753" s="282" t="e">
        <f>(INDEX(Tabla6[#All],MATCH(Tabla4[[#This Row],[Producto]],Tabla6[[#All],[PRODUCTO]],0),MATCH(Tabla4[[#This Row],[Mes]],Tabla6[#Headers],0)))</f>
        <v>#N/A</v>
      </c>
      <c r="R6753" s="282" t="e">
        <f>++Tabla4[[#This Row],[Precio Unitario Neto]]-Tabla4[[#This Row],[20.85%]]-Tabla4[[#This Row],[Costo]]</f>
        <v>#N/A</v>
      </c>
      <c r="S6753" s="282" t="e">
        <f>++Tabla4[[#This Row],[U. Bruta Uni]]*Tabla4[[#This Row],[Cantidad]]</f>
        <v>#N/A</v>
      </c>
      <c r="T6753" s="369" t="str">
        <f>VLOOKUP(Tabla4[[#This Row],[Producto]],Tabla6[#All],14,FALSE)</f>
        <v>Termico Solar</v>
      </c>
      <c r="U6753" s="284" t="e">
        <f>(IF(Tabla4[[#This Row],[Familia]]="termico solar",Tabla4[[#This Row],[Utilidad Total]]*6%,Tabla4[[#This Row],[Utilidad Total]]*11.5%))/Tabla4[[#This Row],[Total]]</f>
        <v>#N/A</v>
      </c>
      <c r="V6753" s="282" t="e">
        <f>+Tabla4[[#This Row],[Comisión Calculada]]*Tabla4[[#This Row],[Total]]</f>
        <v>#N/A</v>
      </c>
    </row>
    <row r="6754" spans="1:22" hidden="1" x14ac:dyDescent="0.25">
      <c r="A6754" s="100">
        <v>45976</v>
      </c>
      <c r="B6754" t="str">
        <f>TEXT(A6754, "mmmm")</f>
        <v>November</v>
      </c>
      <c r="C6754" s="46" t="s">
        <v>280</v>
      </c>
      <c r="F6754" s="366" t="s">
        <v>3408</v>
      </c>
      <c r="G6754" s="46" t="s">
        <v>83</v>
      </c>
      <c r="H6754" s="46">
        <v>1</v>
      </c>
      <c r="I6754" s="51">
        <v>8858.76</v>
      </c>
      <c r="J6754" s="281">
        <f>++Tabla4[[#This Row],[Precio Bruto]]*1.16</f>
        <v>10276.161599999999</v>
      </c>
      <c r="K6754" s="281">
        <f>+Tabla4[[#This Row],[Precio Unitario Neto]]*Tabla4[[#Headers],[20.85%]]</f>
        <v>2142.5796935999997</v>
      </c>
      <c r="L6754" s="282">
        <f>++Tabla4[[#This Row],[Precio Unitario Neto]]-Tabla4[[#This Row],[20.85%]]</f>
        <v>8133.5819063999998</v>
      </c>
      <c r="M6754" s="282" t="e">
        <f>(INDEX(Tabla6[#All],MATCH(Tabla4[[#This Row],[Producto]],Tabla6[[#All],[PRODUCTO]],0),MATCH(Tabla4[[#This Row],[Mes]],Tabla6[#Headers],0)))*(1+Catalogos!$L$2)</f>
        <v>#N/A</v>
      </c>
      <c r="N6754" s="283" t="e">
        <f>+(Tabla4[[#This Row],[Precio Descontado]]-Tabla4[[#This Row],[Precio Base]])*Tabla4[[#This Row],[Cantidad]]</f>
        <v>#N/A</v>
      </c>
      <c r="O6754" s="284" t="e">
        <f>++Tabla4[[#This Row],[Utilidad Total]]/Tabla4[[#This Row],[Total]]</f>
        <v>#N/A</v>
      </c>
      <c r="P6754" s="282">
        <f>++Tabla4[[#This Row],[Precio Descontado]]*Tabla4[[#This Row],[Cantidad]]</f>
        <v>8133.5819063999998</v>
      </c>
      <c r="Q6754" s="282" t="e">
        <f>(INDEX(Tabla6[#All],MATCH(Tabla4[[#This Row],[Producto]],Tabla6[[#All],[PRODUCTO]],0),MATCH(Tabla4[[#This Row],[Mes]],Tabla6[#Headers],0)))</f>
        <v>#N/A</v>
      </c>
      <c r="R6754" s="282" t="e">
        <f>++Tabla4[[#This Row],[Precio Unitario Neto]]-Tabla4[[#This Row],[20.85%]]-Tabla4[[#This Row],[Costo]]</f>
        <v>#N/A</v>
      </c>
      <c r="S6754" s="282" t="e">
        <f>++Tabla4[[#This Row],[U. Bruta Uni]]*Tabla4[[#This Row],[Cantidad]]</f>
        <v>#N/A</v>
      </c>
      <c r="T6754" s="369" t="str">
        <f>VLOOKUP(Tabla4[[#This Row],[Producto]],Tabla6[#All],14,FALSE)</f>
        <v>Termico Solar</v>
      </c>
      <c r="U6754" s="284" t="e">
        <f>(IF(Tabla4[[#This Row],[Familia]]="termico solar",Tabla4[[#This Row],[Utilidad Total]]*6%,Tabla4[[#This Row],[Utilidad Total]]*11.5%))/Tabla4[[#This Row],[Total]]</f>
        <v>#N/A</v>
      </c>
      <c r="V6754" s="282" t="e">
        <f>+Tabla4[[#This Row],[Comisión Calculada]]*Tabla4[[#This Row],[Total]]</f>
        <v>#N/A</v>
      </c>
    </row>
    <row r="6755" spans="1:22" hidden="1" x14ac:dyDescent="0.25">
      <c r="A6755" s="100">
        <v>45976</v>
      </c>
      <c r="B6755" t="str">
        <f t="shared" ref="B6755:B6758" si="445">TEXT(A6755, "mmmm")</f>
        <v>November</v>
      </c>
      <c r="C6755" s="46" t="s">
        <v>280</v>
      </c>
      <c r="F6755" s="366" t="s">
        <v>3409</v>
      </c>
      <c r="G6755" s="46" t="s">
        <v>83</v>
      </c>
      <c r="H6755" s="46">
        <v>1</v>
      </c>
      <c r="I6755" s="51">
        <v>8858.76</v>
      </c>
      <c r="J6755" s="281">
        <f>++Tabla4[[#This Row],[Precio Bruto]]*1.16</f>
        <v>10276.161599999999</v>
      </c>
      <c r="K6755" s="281">
        <f>+Tabla4[[#This Row],[Precio Unitario Neto]]*Tabla4[[#Headers],[20.85%]]</f>
        <v>2142.5796935999997</v>
      </c>
      <c r="L6755" s="282">
        <f>++Tabla4[[#This Row],[Precio Unitario Neto]]-Tabla4[[#This Row],[20.85%]]</f>
        <v>8133.5819063999998</v>
      </c>
      <c r="M6755" s="282" t="e">
        <f>(INDEX(Tabla6[#All],MATCH(Tabla4[[#This Row],[Producto]],Tabla6[[#All],[PRODUCTO]],0),MATCH(Tabla4[[#This Row],[Mes]],Tabla6[#Headers],0)))*(1+Catalogos!$L$2)</f>
        <v>#N/A</v>
      </c>
      <c r="N6755" s="283" t="e">
        <f>+(Tabla4[[#This Row],[Precio Descontado]]-Tabla4[[#This Row],[Precio Base]])*Tabla4[[#This Row],[Cantidad]]</f>
        <v>#N/A</v>
      </c>
      <c r="O6755" s="284" t="e">
        <f>++Tabla4[[#This Row],[Utilidad Total]]/Tabla4[[#This Row],[Total]]</f>
        <v>#N/A</v>
      </c>
      <c r="P6755" s="282">
        <f>++Tabla4[[#This Row],[Precio Descontado]]*Tabla4[[#This Row],[Cantidad]]</f>
        <v>8133.5819063999998</v>
      </c>
      <c r="Q6755" s="282" t="e">
        <f>(INDEX(Tabla6[#All],MATCH(Tabla4[[#This Row],[Producto]],Tabla6[[#All],[PRODUCTO]],0),MATCH(Tabla4[[#This Row],[Mes]],Tabla6[#Headers],0)))</f>
        <v>#N/A</v>
      </c>
      <c r="R6755" s="282" t="e">
        <f>++Tabla4[[#This Row],[Precio Unitario Neto]]-Tabla4[[#This Row],[20.85%]]-Tabla4[[#This Row],[Costo]]</f>
        <v>#N/A</v>
      </c>
      <c r="S6755" s="282" t="e">
        <f>++Tabla4[[#This Row],[U. Bruta Uni]]*Tabla4[[#This Row],[Cantidad]]</f>
        <v>#N/A</v>
      </c>
      <c r="T6755" s="369" t="str">
        <f>VLOOKUP(Tabla4[[#This Row],[Producto]],Tabla6[#All],14,FALSE)</f>
        <v>Termico Solar</v>
      </c>
      <c r="U6755" s="284" t="e">
        <f>(IF(Tabla4[[#This Row],[Familia]]="termico solar",Tabla4[[#This Row],[Utilidad Total]]*6%,Tabla4[[#This Row],[Utilidad Total]]*11.5%))/Tabla4[[#This Row],[Total]]</f>
        <v>#N/A</v>
      </c>
      <c r="V6755" s="282" t="e">
        <f>+Tabla4[[#This Row],[Comisión Calculada]]*Tabla4[[#This Row],[Total]]</f>
        <v>#N/A</v>
      </c>
    </row>
    <row r="6756" spans="1:22" hidden="1" x14ac:dyDescent="0.25">
      <c r="A6756" s="100">
        <v>45976</v>
      </c>
      <c r="B6756" t="str">
        <f t="shared" si="445"/>
        <v>November</v>
      </c>
      <c r="C6756" s="46" t="s">
        <v>280</v>
      </c>
      <c r="F6756" s="366" t="s">
        <v>3409</v>
      </c>
      <c r="G6756" s="46" t="s">
        <v>17</v>
      </c>
      <c r="H6756" s="46">
        <v>1</v>
      </c>
      <c r="I6756" s="51">
        <v>4622.28</v>
      </c>
      <c r="J6756" s="281">
        <f>++Tabla4[[#This Row],[Precio Bruto]]*1.16</f>
        <v>5361.8447999999989</v>
      </c>
      <c r="K6756" s="281">
        <f>+Tabla4[[#This Row],[Precio Unitario Neto]]*Tabla4[[#Headers],[20.85%]]</f>
        <v>1117.9446407999997</v>
      </c>
      <c r="L6756" s="282">
        <f>++Tabla4[[#This Row],[Precio Unitario Neto]]-Tabla4[[#This Row],[20.85%]]</f>
        <v>4243.9001591999995</v>
      </c>
      <c r="M6756" s="282" t="e">
        <f>(INDEX(Tabla6[#All],MATCH(Tabla4[[#This Row],[Producto]],Tabla6[[#All],[PRODUCTO]],0),MATCH(Tabla4[[#This Row],[Mes]],Tabla6[#Headers],0)))*(1+Catalogos!$L$2)</f>
        <v>#N/A</v>
      </c>
      <c r="N6756" s="283" t="e">
        <f>+(Tabla4[[#This Row],[Precio Descontado]]-Tabla4[[#This Row],[Precio Base]])*Tabla4[[#This Row],[Cantidad]]</f>
        <v>#N/A</v>
      </c>
      <c r="O6756" s="284" t="e">
        <f>++Tabla4[[#This Row],[Utilidad Total]]/Tabla4[[#This Row],[Total]]</f>
        <v>#N/A</v>
      </c>
      <c r="P6756" s="282">
        <f>++Tabla4[[#This Row],[Precio Descontado]]*Tabla4[[#This Row],[Cantidad]]</f>
        <v>4243.9001591999995</v>
      </c>
      <c r="Q6756" s="282" t="e">
        <f>(INDEX(Tabla6[#All],MATCH(Tabla4[[#This Row],[Producto]],Tabla6[[#All],[PRODUCTO]],0),MATCH(Tabla4[[#This Row],[Mes]],Tabla6[#Headers],0)))</f>
        <v>#N/A</v>
      </c>
      <c r="R6756" s="282" t="e">
        <f>++Tabla4[[#This Row],[Precio Unitario Neto]]-Tabla4[[#This Row],[20.85%]]-Tabla4[[#This Row],[Costo]]</f>
        <v>#N/A</v>
      </c>
      <c r="S6756" s="282" t="e">
        <f>++Tabla4[[#This Row],[U. Bruta Uni]]*Tabla4[[#This Row],[Cantidad]]</f>
        <v>#N/A</v>
      </c>
      <c r="T6756" s="369" t="str">
        <f>VLOOKUP(Tabla4[[#This Row],[Producto]],Tabla6[#All],14,FALSE)</f>
        <v>Termico Solar</v>
      </c>
      <c r="U6756" s="284" t="e">
        <f>(IF(Tabla4[[#This Row],[Familia]]="termico solar",Tabla4[[#This Row],[Utilidad Total]]*6%,Tabla4[[#This Row],[Utilidad Total]]*11.5%))/Tabla4[[#This Row],[Total]]</f>
        <v>#N/A</v>
      </c>
      <c r="V6756" s="282" t="e">
        <f>+Tabla4[[#This Row],[Comisión Calculada]]*Tabla4[[#This Row],[Total]]</f>
        <v>#N/A</v>
      </c>
    </row>
    <row r="6757" spans="1:22" hidden="1" x14ac:dyDescent="0.25">
      <c r="A6757" s="100">
        <v>45976</v>
      </c>
      <c r="B6757" t="str">
        <f t="shared" si="445"/>
        <v>November</v>
      </c>
      <c r="C6757" s="46" t="s">
        <v>280</v>
      </c>
      <c r="F6757" s="366" t="s">
        <v>3409</v>
      </c>
      <c r="G6757" s="46" t="s">
        <v>566</v>
      </c>
      <c r="H6757" s="46">
        <v>1</v>
      </c>
      <c r="I6757" s="51">
        <v>2109.4499999999998</v>
      </c>
      <c r="J6757" s="281">
        <f>++Tabla4[[#This Row],[Precio Bruto]]*1.16</f>
        <v>2446.9619999999995</v>
      </c>
      <c r="K6757" s="281">
        <f>+Tabla4[[#This Row],[Precio Unitario Neto]]*Tabla4[[#Headers],[20.85%]]</f>
        <v>510.19157699999988</v>
      </c>
      <c r="L6757" s="282">
        <f>++Tabla4[[#This Row],[Precio Unitario Neto]]-Tabla4[[#This Row],[20.85%]]</f>
        <v>1936.7704229999997</v>
      </c>
      <c r="M6757" s="282" t="e">
        <f>(INDEX(Tabla6[#All],MATCH(Tabla4[[#This Row],[Producto]],Tabla6[[#All],[PRODUCTO]],0),MATCH(Tabla4[[#This Row],[Mes]],Tabla6[#Headers],0)))*(1+Catalogos!$L$2)</f>
        <v>#N/A</v>
      </c>
      <c r="N6757" s="283" t="e">
        <f>+(Tabla4[[#This Row],[Precio Descontado]]-Tabla4[[#This Row],[Precio Base]])*Tabla4[[#This Row],[Cantidad]]</f>
        <v>#N/A</v>
      </c>
      <c r="O6757" s="284" t="e">
        <f>++Tabla4[[#This Row],[Utilidad Total]]/Tabla4[[#This Row],[Total]]</f>
        <v>#N/A</v>
      </c>
      <c r="P6757" s="282">
        <f>++Tabla4[[#This Row],[Precio Descontado]]*Tabla4[[#This Row],[Cantidad]]</f>
        <v>1936.7704229999997</v>
      </c>
      <c r="Q6757" s="282" t="e">
        <f>(INDEX(Tabla6[#All],MATCH(Tabla4[[#This Row],[Producto]],Tabla6[[#All],[PRODUCTO]],0),MATCH(Tabla4[[#This Row],[Mes]],Tabla6[#Headers],0)))</f>
        <v>#N/A</v>
      </c>
      <c r="R6757" s="282" t="e">
        <f>++Tabla4[[#This Row],[Precio Unitario Neto]]-Tabla4[[#This Row],[20.85%]]-Tabla4[[#This Row],[Costo]]</f>
        <v>#N/A</v>
      </c>
      <c r="S6757" s="282" t="e">
        <f>++Tabla4[[#This Row],[U. Bruta Uni]]*Tabla4[[#This Row],[Cantidad]]</f>
        <v>#N/A</v>
      </c>
      <c r="T6757" s="369" t="str">
        <f>VLOOKUP(Tabla4[[#This Row],[Producto]],Tabla6[#All],14,FALSE)</f>
        <v>Termico Solar</v>
      </c>
      <c r="U6757" s="284" t="e">
        <f>(IF(Tabla4[[#This Row],[Familia]]="termico solar",Tabla4[[#This Row],[Utilidad Total]]*6%,Tabla4[[#This Row],[Utilidad Total]]*11.5%))/Tabla4[[#This Row],[Total]]</f>
        <v>#N/A</v>
      </c>
      <c r="V6757" s="282" t="e">
        <f>+Tabla4[[#This Row],[Comisión Calculada]]*Tabla4[[#This Row],[Total]]</f>
        <v>#N/A</v>
      </c>
    </row>
    <row r="6758" spans="1:22" hidden="1" x14ac:dyDescent="0.25">
      <c r="A6758" s="100">
        <v>45976</v>
      </c>
      <c r="B6758" t="str">
        <f t="shared" si="445"/>
        <v>November</v>
      </c>
      <c r="C6758" s="46" t="s">
        <v>280</v>
      </c>
      <c r="F6758" s="366" t="s">
        <v>3409</v>
      </c>
      <c r="G6758" s="46" t="s">
        <v>16</v>
      </c>
      <c r="H6758" s="46">
        <v>1</v>
      </c>
      <c r="I6758" s="51">
        <v>4103.8500000000004</v>
      </c>
      <c r="J6758" s="281">
        <f>++Tabla4[[#This Row],[Precio Bruto]]*1.16</f>
        <v>4760.4660000000003</v>
      </c>
      <c r="K6758" s="281">
        <f>+Tabla4[[#This Row],[Precio Unitario Neto]]*Tabla4[[#Headers],[20.85%]]</f>
        <v>992.55716100000006</v>
      </c>
      <c r="L6758" s="282">
        <f>++Tabla4[[#This Row],[Precio Unitario Neto]]-Tabla4[[#This Row],[20.85%]]</f>
        <v>3767.9088390000002</v>
      </c>
      <c r="M6758" s="282" t="e">
        <f>(INDEX(Tabla6[#All],MATCH(Tabla4[[#This Row],[Producto]],Tabla6[[#All],[PRODUCTO]],0),MATCH(Tabla4[[#This Row],[Mes]],Tabla6[#Headers],0)))*(1+Catalogos!$L$2)</f>
        <v>#N/A</v>
      </c>
      <c r="N6758" s="283" t="e">
        <f>+(Tabla4[[#This Row],[Precio Descontado]]-Tabla4[[#This Row],[Precio Base]])*Tabla4[[#This Row],[Cantidad]]</f>
        <v>#N/A</v>
      </c>
      <c r="O6758" s="284" t="e">
        <f>++Tabla4[[#This Row],[Utilidad Total]]/Tabla4[[#This Row],[Total]]</f>
        <v>#N/A</v>
      </c>
      <c r="P6758" s="282">
        <f>++Tabla4[[#This Row],[Precio Descontado]]*Tabla4[[#This Row],[Cantidad]]</f>
        <v>3767.9088390000002</v>
      </c>
      <c r="Q6758" s="282" t="e">
        <f>(INDEX(Tabla6[#All],MATCH(Tabla4[[#This Row],[Producto]],Tabla6[[#All],[PRODUCTO]],0),MATCH(Tabla4[[#This Row],[Mes]],Tabla6[#Headers],0)))</f>
        <v>#N/A</v>
      </c>
      <c r="R6758" s="282" t="e">
        <f>++Tabla4[[#This Row],[Precio Unitario Neto]]-Tabla4[[#This Row],[20.85%]]-Tabla4[[#This Row],[Costo]]</f>
        <v>#N/A</v>
      </c>
      <c r="S6758" s="282" t="e">
        <f>++Tabla4[[#This Row],[U. Bruta Uni]]*Tabla4[[#This Row],[Cantidad]]</f>
        <v>#N/A</v>
      </c>
      <c r="T6758" s="369" t="str">
        <f>VLOOKUP(Tabla4[[#This Row],[Producto]],Tabla6[#All],14,FALSE)</f>
        <v>Termico Solar</v>
      </c>
      <c r="U6758" s="284" t="e">
        <f>(IF(Tabla4[[#This Row],[Familia]]="termico solar",Tabla4[[#This Row],[Utilidad Total]]*6%,Tabla4[[#This Row],[Utilidad Total]]*11.5%))/Tabla4[[#This Row],[Total]]</f>
        <v>#N/A</v>
      </c>
      <c r="V6758" s="282" t="e">
        <f>+Tabla4[[#This Row],[Comisión Calculada]]*Tabla4[[#This Row],[Total]]</f>
        <v>#N/A</v>
      </c>
    </row>
    <row r="6759" spans="1:22" hidden="1" x14ac:dyDescent="0.25">
      <c r="A6759" s="100">
        <v>45976</v>
      </c>
      <c r="B6759" t="str">
        <f t="shared" ref="B6759:B6760" si="446">TEXT(A6759, "mmmm")</f>
        <v>November</v>
      </c>
      <c r="C6759" s="46" t="s">
        <v>280</v>
      </c>
      <c r="F6759" s="366" t="s">
        <v>3410</v>
      </c>
      <c r="G6759" s="46" t="s">
        <v>17</v>
      </c>
      <c r="H6759" s="46">
        <v>1</v>
      </c>
      <c r="I6759" s="51">
        <v>4622.28</v>
      </c>
      <c r="J6759" s="281">
        <f>++Tabla4[[#This Row],[Precio Bruto]]*1.16</f>
        <v>5361.8447999999989</v>
      </c>
      <c r="K6759" s="281">
        <f>+Tabla4[[#This Row],[Precio Unitario Neto]]*Tabla4[[#Headers],[20.85%]]</f>
        <v>1117.9446407999997</v>
      </c>
      <c r="L6759" s="282">
        <f>++Tabla4[[#This Row],[Precio Unitario Neto]]-Tabla4[[#This Row],[20.85%]]</f>
        <v>4243.9001591999995</v>
      </c>
      <c r="M6759" s="282" t="e">
        <f>(INDEX(Tabla6[#All],MATCH(Tabla4[[#This Row],[Producto]],Tabla6[[#All],[PRODUCTO]],0),MATCH(Tabla4[[#This Row],[Mes]],Tabla6[#Headers],0)))*(1+Catalogos!$L$2)</f>
        <v>#N/A</v>
      </c>
      <c r="N6759" s="283" t="e">
        <f>+(Tabla4[[#This Row],[Precio Descontado]]-Tabla4[[#This Row],[Precio Base]])*Tabla4[[#This Row],[Cantidad]]</f>
        <v>#N/A</v>
      </c>
      <c r="O6759" s="284" t="e">
        <f>++Tabla4[[#This Row],[Utilidad Total]]/Tabla4[[#This Row],[Total]]</f>
        <v>#N/A</v>
      </c>
      <c r="P6759" s="282">
        <f>++Tabla4[[#This Row],[Precio Descontado]]*Tabla4[[#This Row],[Cantidad]]</f>
        <v>4243.9001591999995</v>
      </c>
      <c r="Q6759" s="282" t="e">
        <f>(INDEX(Tabla6[#All],MATCH(Tabla4[[#This Row],[Producto]],Tabla6[[#All],[PRODUCTO]],0),MATCH(Tabla4[[#This Row],[Mes]],Tabla6[#Headers],0)))</f>
        <v>#N/A</v>
      </c>
      <c r="R6759" s="282" t="e">
        <f>++Tabla4[[#This Row],[Precio Unitario Neto]]-Tabla4[[#This Row],[20.85%]]-Tabla4[[#This Row],[Costo]]</f>
        <v>#N/A</v>
      </c>
      <c r="S6759" s="282" t="e">
        <f>++Tabla4[[#This Row],[U. Bruta Uni]]*Tabla4[[#This Row],[Cantidad]]</f>
        <v>#N/A</v>
      </c>
      <c r="T6759" s="369" t="str">
        <f>VLOOKUP(Tabla4[[#This Row],[Producto]],Tabla6[#All],14,FALSE)</f>
        <v>Termico Solar</v>
      </c>
      <c r="U6759" s="284" t="e">
        <f>(IF(Tabla4[[#This Row],[Familia]]="termico solar",Tabla4[[#This Row],[Utilidad Total]]*6%,Tabla4[[#This Row],[Utilidad Total]]*11.5%))/Tabla4[[#This Row],[Total]]</f>
        <v>#N/A</v>
      </c>
      <c r="V6759" s="282" t="e">
        <f>+Tabla4[[#This Row],[Comisión Calculada]]*Tabla4[[#This Row],[Total]]</f>
        <v>#N/A</v>
      </c>
    </row>
    <row r="6760" spans="1:22" hidden="1" x14ac:dyDescent="0.25">
      <c r="A6760" s="100">
        <v>45976</v>
      </c>
      <c r="B6760" t="str">
        <f t="shared" si="446"/>
        <v>November</v>
      </c>
      <c r="C6760" s="46" t="s">
        <v>280</v>
      </c>
      <c r="F6760" s="366" t="s">
        <v>3410</v>
      </c>
      <c r="G6760" s="46" t="s">
        <v>412</v>
      </c>
      <c r="H6760" s="46">
        <v>1</v>
      </c>
      <c r="I6760" s="51">
        <v>3240.84</v>
      </c>
      <c r="J6760" s="281">
        <f>++Tabla4[[#This Row],[Precio Bruto]]*1.16</f>
        <v>3759.3743999999997</v>
      </c>
      <c r="K6760" s="281">
        <f>+Tabla4[[#This Row],[Precio Unitario Neto]]*Tabla4[[#Headers],[20.85%]]</f>
        <v>783.82956239999987</v>
      </c>
      <c r="L6760" s="282">
        <f>++Tabla4[[#This Row],[Precio Unitario Neto]]-Tabla4[[#This Row],[20.85%]]</f>
        <v>2975.5448375999999</v>
      </c>
      <c r="M6760" s="282" t="e">
        <f>(INDEX(Tabla6[#All],MATCH(Tabla4[[#This Row],[Producto]],Tabla6[[#All],[PRODUCTO]],0),MATCH(Tabla4[[#This Row],[Mes]],Tabla6[#Headers],0)))*(1+Catalogos!$L$2)</f>
        <v>#N/A</v>
      </c>
      <c r="N6760" s="283" t="e">
        <f>+(Tabla4[[#This Row],[Precio Descontado]]-Tabla4[[#This Row],[Precio Base]])*Tabla4[[#This Row],[Cantidad]]</f>
        <v>#N/A</v>
      </c>
      <c r="O6760" s="284" t="e">
        <f>++Tabla4[[#This Row],[Utilidad Total]]/Tabla4[[#This Row],[Total]]</f>
        <v>#N/A</v>
      </c>
      <c r="P6760" s="282">
        <f>++Tabla4[[#This Row],[Precio Descontado]]*Tabla4[[#This Row],[Cantidad]]</f>
        <v>2975.5448375999999</v>
      </c>
      <c r="Q6760" s="282" t="e">
        <f>(INDEX(Tabla6[#All],MATCH(Tabla4[[#This Row],[Producto]],Tabla6[[#All],[PRODUCTO]],0),MATCH(Tabla4[[#This Row],[Mes]],Tabla6[#Headers],0)))</f>
        <v>#N/A</v>
      </c>
      <c r="R6760" s="282" t="e">
        <f>++Tabla4[[#This Row],[Precio Unitario Neto]]-Tabla4[[#This Row],[20.85%]]-Tabla4[[#This Row],[Costo]]</f>
        <v>#N/A</v>
      </c>
      <c r="S6760" s="282" t="e">
        <f>++Tabla4[[#This Row],[U. Bruta Uni]]*Tabla4[[#This Row],[Cantidad]]</f>
        <v>#N/A</v>
      </c>
      <c r="T6760" s="369" t="str">
        <f>VLOOKUP(Tabla4[[#This Row],[Producto]],Tabla6[#All],14,FALSE)</f>
        <v>Termico Solar</v>
      </c>
      <c r="U6760" s="284" t="e">
        <f>(IF(Tabla4[[#This Row],[Familia]]="termico solar",Tabla4[[#This Row],[Utilidad Total]]*6%,Tabla4[[#This Row],[Utilidad Total]]*11.5%))/Tabla4[[#This Row],[Total]]</f>
        <v>#N/A</v>
      </c>
      <c r="V6760" s="282" t="e">
        <f>+Tabla4[[#This Row],[Comisión Calculada]]*Tabla4[[#This Row],[Total]]</f>
        <v>#N/A</v>
      </c>
    </row>
    <row r="6761" spans="1:22" hidden="1" x14ac:dyDescent="0.25">
      <c r="A6761" s="100">
        <v>45976</v>
      </c>
      <c r="B6761" t="str">
        <f>TEXT(A6761, "mmmm")</f>
        <v>November</v>
      </c>
      <c r="C6761" s="46" t="s">
        <v>280</v>
      </c>
      <c r="F6761" s="366" t="s">
        <v>3411</v>
      </c>
      <c r="G6761" s="46" t="s">
        <v>83</v>
      </c>
      <c r="H6761" s="46">
        <v>1</v>
      </c>
      <c r="I6761" s="51">
        <v>8858.76</v>
      </c>
      <c r="J6761" s="281">
        <f>++Tabla4[[#This Row],[Precio Bruto]]*1.16</f>
        <v>10276.161599999999</v>
      </c>
      <c r="K6761" s="281">
        <f>+Tabla4[[#This Row],[Precio Unitario Neto]]*Tabla4[[#Headers],[20.85%]]</f>
        <v>2142.5796935999997</v>
      </c>
      <c r="L6761" s="282">
        <f>++Tabla4[[#This Row],[Precio Unitario Neto]]-Tabla4[[#This Row],[20.85%]]</f>
        <v>8133.5819063999998</v>
      </c>
      <c r="M6761" s="282" t="e">
        <f>(INDEX(Tabla6[#All],MATCH(Tabla4[[#This Row],[Producto]],Tabla6[[#All],[PRODUCTO]],0),MATCH(Tabla4[[#This Row],[Mes]],Tabla6[#Headers],0)))*(1+Catalogos!$L$2)</f>
        <v>#N/A</v>
      </c>
      <c r="N6761" s="283" t="e">
        <f>+(Tabla4[[#This Row],[Precio Descontado]]-Tabla4[[#This Row],[Precio Base]])*Tabla4[[#This Row],[Cantidad]]</f>
        <v>#N/A</v>
      </c>
      <c r="O6761" s="284" t="e">
        <f>++Tabla4[[#This Row],[Utilidad Total]]/Tabla4[[#This Row],[Total]]</f>
        <v>#N/A</v>
      </c>
      <c r="P6761" s="282">
        <f>++Tabla4[[#This Row],[Precio Descontado]]*Tabla4[[#This Row],[Cantidad]]</f>
        <v>8133.5819063999998</v>
      </c>
      <c r="Q6761" s="282" t="e">
        <f>(INDEX(Tabla6[#All],MATCH(Tabla4[[#This Row],[Producto]],Tabla6[[#All],[PRODUCTO]],0),MATCH(Tabla4[[#This Row],[Mes]],Tabla6[#Headers],0)))</f>
        <v>#N/A</v>
      </c>
      <c r="R6761" s="282" t="e">
        <f>++Tabla4[[#This Row],[Precio Unitario Neto]]-Tabla4[[#This Row],[20.85%]]-Tabla4[[#This Row],[Costo]]</f>
        <v>#N/A</v>
      </c>
      <c r="S6761" s="282" t="e">
        <f>++Tabla4[[#This Row],[U. Bruta Uni]]*Tabla4[[#This Row],[Cantidad]]</f>
        <v>#N/A</v>
      </c>
      <c r="T6761" s="369" t="str">
        <f>VLOOKUP(Tabla4[[#This Row],[Producto]],Tabla6[#All],14,FALSE)</f>
        <v>Termico Solar</v>
      </c>
      <c r="U6761" s="284" t="e">
        <f>(IF(Tabla4[[#This Row],[Familia]]="termico solar",Tabla4[[#This Row],[Utilidad Total]]*6%,Tabla4[[#This Row],[Utilidad Total]]*11.5%))/Tabla4[[#This Row],[Total]]</f>
        <v>#N/A</v>
      </c>
      <c r="V6761" s="282" t="e">
        <f>+Tabla4[[#This Row],[Comisión Calculada]]*Tabla4[[#This Row],[Total]]</f>
        <v>#N/A</v>
      </c>
    </row>
    <row r="6762" spans="1:22" hidden="1" x14ac:dyDescent="0.25">
      <c r="A6762" s="100">
        <v>45976</v>
      </c>
      <c r="B6762" t="str">
        <f>TEXT(A6762, "mmmm")</f>
        <v>November</v>
      </c>
      <c r="C6762" s="46" t="s">
        <v>280</v>
      </c>
      <c r="F6762" s="366" t="s">
        <v>3412</v>
      </c>
      <c r="G6762" s="46" t="s">
        <v>83</v>
      </c>
      <c r="H6762" s="46">
        <v>12</v>
      </c>
      <c r="I6762" s="51">
        <v>8858.76</v>
      </c>
      <c r="J6762" s="281">
        <f>++Tabla4[[#This Row],[Precio Bruto]]*1.16</f>
        <v>10276.161599999999</v>
      </c>
      <c r="K6762" s="281">
        <f>+Tabla4[[#This Row],[Precio Unitario Neto]]*Tabla4[[#Headers],[20.85%]]</f>
        <v>2142.5796935999997</v>
      </c>
      <c r="L6762" s="282">
        <f>++Tabla4[[#This Row],[Precio Unitario Neto]]-Tabla4[[#This Row],[20.85%]]</f>
        <v>8133.5819063999998</v>
      </c>
      <c r="M6762" s="282" t="e">
        <f>(INDEX(Tabla6[#All],MATCH(Tabla4[[#This Row],[Producto]],Tabla6[[#All],[PRODUCTO]],0),MATCH(Tabla4[[#This Row],[Mes]],Tabla6[#Headers],0)))*(1+Catalogos!$L$2)</f>
        <v>#N/A</v>
      </c>
      <c r="N6762" s="283" t="e">
        <f>+(Tabla4[[#This Row],[Precio Descontado]]-Tabla4[[#This Row],[Precio Base]])*Tabla4[[#This Row],[Cantidad]]</f>
        <v>#N/A</v>
      </c>
      <c r="O6762" s="284" t="e">
        <f>++Tabla4[[#This Row],[Utilidad Total]]/Tabla4[[#This Row],[Total]]</f>
        <v>#N/A</v>
      </c>
      <c r="P6762" s="282">
        <f>++Tabla4[[#This Row],[Precio Descontado]]*Tabla4[[#This Row],[Cantidad]]</f>
        <v>97602.982876800001</v>
      </c>
      <c r="Q6762" s="282" t="e">
        <f>(INDEX(Tabla6[#All],MATCH(Tabla4[[#This Row],[Producto]],Tabla6[[#All],[PRODUCTO]],0),MATCH(Tabla4[[#This Row],[Mes]],Tabla6[#Headers],0)))</f>
        <v>#N/A</v>
      </c>
      <c r="R6762" s="282" t="e">
        <f>++Tabla4[[#This Row],[Precio Unitario Neto]]-Tabla4[[#This Row],[20.85%]]-Tabla4[[#This Row],[Costo]]</f>
        <v>#N/A</v>
      </c>
      <c r="S6762" s="282" t="e">
        <f>++Tabla4[[#This Row],[U. Bruta Uni]]*Tabla4[[#This Row],[Cantidad]]</f>
        <v>#N/A</v>
      </c>
      <c r="T6762" s="369" t="str">
        <f>VLOOKUP(Tabla4[[#This Row],[Producto]],Tabla6[#All],14,FALSE)</f>
        <v>Termico Solar</v>
      </c>
      <c r="U6762" s="284" t="e">
        <f>(IF(Tabla4[[#This Row],[Familia]]="termico solar",Tabla4[[#This Row],[Utilidad Total]]*6%,Tabla4[[#This Row],[Utilidad Total]]*11.5%))/Tabla4[[#This Row],[Total]]</f>
        <v>#N/A</v>
      </c>
      <c r="V6762" s="282" t="e">
        <f>+Tabla4[[#This Row],[Comisión Calculada]]*Tabla4[[#This Row],[Total]]</f>
        <v>#N/A</v>
      </c>
    </row>
    <row r="6763" spans="1:22" hidden="1" x14ac:dyDescent="0.25">
      <c r="A6763" s="100">
        <v>45976</v>
      </c>
      <c r="B6763" t="str">
        <f t="shared" ref="B6763:B6764" si="447">TEXT(A6763, "mmmm")</f>
        <v>November</v>
      </c>
      <c r="C6763" s="46" t="s">
        <v>280</v>
      </c>
      <c r="F6763" s="366" t="s">
        <v>3413</v>
      </c>
      <c r="G6763" s="46" t="s">
        <v>566</v>
      </c>
      <c r="H6763" s="46">
        <v>1</v>
      </c>
      <c r="I6763" s="51">
        <v>2109.4499999999998</v>
      </c>
      <c r="J6763" s="281">
        <f>++Tabla4[[#This Row],[Precio Bruto]]*1.16</f>
        <v>2446.9619999999995</v>
      </c>
      <c r="K6763" s="281">
        <f>+Tabla4[[#This Row],[Precio Unitario Neto]]*Tabla4[[#Headers],[20.85%]]</f>
        <v>510.19157699999988</v>
      </c>
      <c r="L6763" s="282">
        <f>++Tabla4[[#This Row],[Precio Unitario Neto]]-Tabla4[[#This Row],[20.85%]]</f>
        <v>1936.7704229999997</v>
      </c>
      <c r="M6763" s="282" t="e">
        <f>(INDEX(Tabla6[#All],MATCH(Tabla4[[#This Row],[Producto]],Tabla6[[#All],[PRODUCTO]],0),MATCH(Tabla4[[#This Row],[Mes]],Tabla6[#Headers],0)))*(1+Catalogos!$L$2)</f>
        <v>#N/A</v>
      </c>
      <c r="N6763" s="283" t="e">
        <f>+(Tabla4[[#This Row],[Precio Descontado]]-Tabla4[[#This Row],[Precio Base]])*Tabla4[[#This Row],[Cantidad]]</f>
        <v>#N/A</v>
      </c>
      <c r="O6763" s="284" t="e">
        <f>++Tabla4[[#This Row],[Utilidad Total]]/Tabla4[[#This Row],[Total]]</f>
        <v>#N/A</v>
      </c>
      <c r="P6763" s="282">
        <f>++Tabla4[[#This Row],[Precio Descontado]]*Tabla4[[#This Row],[Cantidad]]</f>
        <v>1936.7704229999997</v>
      </c>
      <c r="Q6763" s="282" t="e">
        <f>(INDEX(Tabla6[#All],MATCH(Tabla4[[#This Row],[Producto]],Tabla6[[#All],[PRODUCTO]],0),MATCH(Tabla4[[#This Row],[Mes]],Tabla6[#Headers],0)))</f>
        <v>#N/A</v>
      </c>
      <c r="R6763" s="282" t="e">
        <f>++Tabla4[[#This Row],[Precio Unitario Neto]]-Tabla4[[#This Row],[20.85%]]-Tabla4[[#This Row],[Costo]]</f>
        <v>#N/A</v>
      </c>
      <c r="S6763" s="282" t="e">
        <f>++Tabla4[[#This Row],[U. Bruta Uni]]*Tabla4[[#This Row],[Cantidad]]</f>
        <v>#N/A</v>
      </c>
      <c r="T6763" s="369" t="str">
        <f>VLOOKUP(Tabla4[[#This Row],[Producto]],Tabla6[#All],14,FALSE)</f>
        <v>Termico Solar</v>
      </c>
      <c r="U6763" s="284" t="e">
        <f>(IF(Tabla4[[#This Row],[Familia]]="termico solar",Tabla4[[#This Row],[Utilidad Total]]*6%,Tabla4[[#This Row],[Utilidad Total]]*11.5%))/Tabla4[[#This Row],[Total]]</f>
        <v>#N/A</v>
      </c>
      <c r="V6763" s="282" t="e">
        <f>+Tabla4[[#This Row],[Comisión Calculada]]*Tabla4[[#This Row],[Total]]</f>
        <v>#N/A</v>
      </c>
    </row>
    <row r="6764" spans="1:22" hidden="1" x14ac:dyDescent="0.25">
      <c r="A6764" s="100">
        <v>45976</v>
      </c>
      <c r="B6764" t="str">
        <f t="shared" si="447"/>
        <v>November</v>
      </c>
      <c r="C6764" s="46" t="s">
        <v>280</v>
      </c>
      <c r="F6764" s="366" t="s">
        <v>3413</v>
      </c>
      <c r="G6764" s="46" t="s">
        <v>16</v>
      </c>
      <c r="H6764" s="46">
        <v>1</v>
      </c>
      <c r="I6764" s="51">
        <v>4103.8500000000004</v>
      </c>
      <c r="J6764" s="281">
        <f>++Tabla4[[#This Row],[Precio Bruto]]*1.16</f>
        <v>4760.4660000000003</v>
      </c>
      <c r="K6764" s="281">
        <f>+Tabla4[[#This Row],[Precio Unitario Neto]]*Tabla4[[#Headers],[20.85%]]</f>
        <v>992.55716100000006</v>
      </c>
      <c r="L6764" s="282">
        <f>++Tabla4[[#This Row],[Precio Unitario Neto]]-Tabla4[[#This Row],[20.85%]]</f>
        <v>3767.9088390000002</v>
      </c>
      <c r="M6764" s="282" t="e">
        <f>(INDEX(Tabla6[#All],MATCH(Tabla4[[#This Row],[Producto]],Tabla6[[#All],[PRODUCTO]],0),MATCH(Tabla4[[#This Row],[Mes]],Tabla6[#Headers],0)))*(1+Catalogos!$L$2)</f>
        <v>#N/A</v>
      </c>
      <c r="N6764" s="283" t="e">
        <f>+(Tabla4[[#This Row],[Precio Descontado]]-Tabla4[[#This Row],[Precio Base]])*Tabla4[[#This Row],[Cantidad]]</f>
        <v>#N/A</v>
      </c>
      <c r="O6764" s="284" t="e">
        <f>++Tabla4[[#This Row],[Utilidad Total]]/Tabla4[[#This Row],[Total]]</f>
        <v>#N/A</v>
      </c>
      <c r="P6764" s="282">
        <f>++Tabla4[[#This Row],[Precio Descontado]]*Tabla4[[#This Row],[Cantidad]]</f>
        <v>3767.9088390000002</v>
      </c>
      <c r="Q6764" s="282" t="e">
        <f>(INDEX(Tabla6[#All],MATCH(Tabla4[[#This Row],[Producto]],Tabla6[[#All],[PRODUCTO]],0),MATCH(Tabla4[[#This Row],[Mes]],Tabla6[#Headers],0)))</f>
        <v>#N/A</v>
      </c>
      <c r="R6764" s="282" t="e">
        <f>++Tabla4[[#This Row],[Precio Unitario Neto]]-Tabla4[[#This Row],[20.85%]]-Tabla4[[#This Row],[Costo]]</f>
        <v>#N/A</v>
      </c>
      <c r="S6764" s="282" t="e">
        <f>++Tabla4[[#This Row],[U. Bruta Uni]]*Tabla4[[#This Row],[Cantidad]]</f>
        <v>#N/A</v>
      </c>
      <c r="T6764" s="369" t="str">
        <f>VLOOKUP(Tabla4[[#This Row],[Producto]],Tabla6[#All],14,FALSE)</f>
        <v>Termico Solar</v>
      </c>
      <c r="U6764" s="284" t="e">
        <f>(IF(Tabla4[[#This Row],[Familia]]="termico solar",Tabla4[[#This Row],[Utilidad Total]]*6%,Tabla4[[#This Row],[Utilidad Total]]*11.5%))/Tabla4[[#This Row],[Total]]</f>
        <v>#N/A</v>
      </c>
      <c r="V6764" s="282" t="e">
        <f>+Tabla4[[#This Row],[Comisión Calculada]]*Tabla4[[#This Row],[Total]]</f>
        <v>#N/A</v>
      </c>
    </row>
    <row r="6765" spans="1:22" hidden="1" x14ac:dyDescent="0.25">
      <c r="A6765" s="100">
        <v>45976</v>
      </c>
      <c r="B6765" t="str">
        <f>TEXT(A6765, "mmmm")</f>
        <v>November</v>
      </c>
      <c r="C6765" s="46" t="s">
        <v>280</v>
      </c>
      <c r="F6765" s="366" t="s">
        <v>3414</v>
      </c>
      <c r="G6765" s="46" t="s">
        <v>208</v>
      </c>
      <c r="H6765" s="46">
        <v>2</v>
      </c>
      <c r="I6765" s="51">
        <v>189.75</v>
      </c>
      <c r="J6765" s="281">
        <f>++Tabla4[[#This Row],[Precio Bruto]]*1.16</f>
        <v>220.10999999999999</v>
      </c>
      <c r="K6765" s="281">
        <f>+Tabla4[[#This Row],[Precio Unitario Neto]]*Tabla4[[#Headers],[20.85%]]</f>
        <v>45.892934999999994</v>
      </c>
      <c r="L6765" s="282">
        <f>++Tabla4[[#This Row],[Precio Unitario Neto]]-Tabla4[[#This Row],[20.85%]]</f>
        <v>174.21706499999999</v>
      </c>
      <c r="M6765" s="282" t="e">
        <f>(INDEX(Tabla6[#All],MATCH(Tabla4[[#This Row],[Producto]],Tabla6[[#All],[PRODUCTO]],0),MATCH(Tabla4[[#This Row],[Mes]],Tabla6[#Headers],0)))*(1+Catalogos!$L$2)</f>
        <v>#N/A</v>
      </c>
      <c r="N6765" s="283" t="e">
        <f>+(Tabla4[[#This Row],[Precio Descontado]]-Tabla4[[#This Row],[Precio Base]])*Tabla4[[#This Row],[Cantidad]]</f>
        <v>#N/A</v>
      </c>
      <c r="O6765" s="284" t="e">
        <f>++Tabla4[[#This Row],[Utilidad Total]]/Tabla4[[#This Row],[Total]]</f>
        <v>#N/A</v>
      </c>
      <c r="P6765" s="282">
        <f>++Tabla4[[#This Row],[Precio Descontado]]*Tabla4[[#This Row],[Cantidad]]</f>
        <v>348.43412999999998</v>
      </c>
      <c r="Q6765" s="282" t="e">
        <f>(INDEX(Tabla6[#All],MATCH(Tabla4[[#This Row],[Producto]],Tabla6[[#All],[PRODUCTO]],0),MATCH(Tabla4[[#This Row],[Mes]],Tabla6[#Headers],0)))</f>
        <v>#N/A</v>
      </c>
      <c r="R6765" s="282" t="e">
        <f>++Tabla4[[#This Row],[Precio Unitario Neto]]-Tabla4[[#This Row],[20.85%]]-Tabla4[[#This Row],[Costo]]</f>
        <v>#N/A</v>
      </c>
      <c r="S6765" s="282" t="e">
        <f>++Tabla4[[#This Row],[U. Bruta Uni]]*Tabla4[[#This Row],[Cantidad]]</f>
        <v>#N/A</v>
      </c>
      <c r="T6765" s="369" t="str">
        <f>VLOOKUP(Tabla4[[#This Row],[Producto]],Tabla6[#All],14,FALSE)</f>
        <v>Termico Solar</v>
      </c>
      <c r="U6765" s="284" t="e">
        <f>(IF(Tabla4[[#This Row],[Familia]]="termico solar",Tabla4[[#This Row],[Utilidad Total]]*6%,Tabla4[[#This Row],[Utilidad Total]]*11.5%))/Tabla4[[#This Row],[Total]]</f>
        <v>#N/A</v>
      </c>
      <c r="V6765" s="282" t="e">
        <f>+Tabla4[[#This Row],[Comisión Calculada]]*Tabla4[[#This Row],[Total]]</f>
        <v>#N/A</v>
      </c>
    </row>
    <row r="6766" spans="1:22" hidden="1" x14ac:dyDescent="0.25">
      <c r="A6766" s="100">
        <v>45976</v>
      </c>
      <c r="B6766" t="str">
        <f>TEXT(A6766, "mmmm")</f>
        <v>November</v>
      </c>
      <c r="C6766" s="46" t="s">
        <v>280</v>
      </c>
      <c r="F6766" s="366" t="s">
        <v>3415</v>
      </c>
      <c r="G6766" s="46" t="s">
        <v>17</v>
      </c>
      <c r="H6766" s="46">
        <v>2</v>
      </c>
      <c r="I6766" s="51">
        <v>4622.28</v>
      </c>
      <c r="J6766" s="281">
        <f>++Tabla4[[#This Row],[Precio Bruto]]*1.16</f>
        <v>5361.8447999999989</v>
      </c>
      <c r="K6766" s="281">
        <f>+Tabla4[[#This Row],[Precio Unitario Neto]]*Tabla4[[#Headers],[20.85%]]</f>
        <v>1117.9446407999997</v>
      </c>
      <c r="L6766" s="282">
        <f>++Tabla4[[#This Row],[Precio Unitario Neto]]-Tabla4[[#This Row],[20.85%]]</f>
        <v>4243.9001591999995</v>
      </c>
      <c r="M6766" s="282" t="e">
        <f>(INDEX(Tabla6[#All],MATCH(Tabla4[[#This Row],[Producto]],Tabla6[[#All],[PRODUCTO]],0),MATCH(Tabla4[[#This Row],[Mes]],Tabla6[#Headers],0)))*(1+Catalogos!$L$2)</f>
        <v>#N/A</v>
      </c>
      <c r="N6766" s="283" t="e">
        <f>+(Tabla4[[#This Row],[Precio Descontado]]-Tabla4[[#This Row],[Precio Base]])*Tabla4[[#This Row],[Cantidad]]</f>
        <v>#N/A</v>
      </c>
      <c r="O6766" s="284" t="e">
        <f>++Tabla4[[#This Row],[Utilidad Total]]/Tabla4[[#This Row],[Total]]</f>
        <v>#N/A</v>
      </c>
      <c r="P6766" s="282">
        <f>++Tabla4[[#This Row],[Precio Descontado]]*Tabla4[[#This Row],[Cantidad]]</f>
        <v>8487.800318399999</v>
      </c>
      <c r="Q6766" s="282" t="e">
        <f>(INDEX(Tabla6[#All],MATCH(Tabla4[[#This Row],[Producto]],Tabla6[[#All],[PRODUCTO]],0),MATCH(Tabla4[[#This Row],[Mes]],Tabla6[#Headers],0)))</f>
        <v>#N/A</v>
      </c>
      <c r="R6766" s="282" t="e">
        <f>++Tabla4[[#This Row],[Precio Unitario Neto]]-Tabla4[[#This Row],[20.85%]]-Tabla4[[#This Row],[Costo]]</f>
        <v>#N/A</v>
      </c>
      <c r="S6766" s="282" t="e">
        <f>++Tabla4[[#This Row],[U. Bruta Uni]]*Tabla4[[#This Row],[Cantidad]]</f>
        <v>#N/A</v>
      </c>
      <c r="T6766" s="369" t="str">
        <f>VLOOKUP(Tabla4[[#This Row],[Producto]],Tabla6[#All],14,FALSE)</f>
        <v>Termico Solar</v>
      </c>
      <c r="U6766" s="284" t="e">
        <f>(IF(Tabla4[[#This Row],[Familia]]="termico solar",Tabla4[[#This Row],[Utilidad Total]]*6%,Tabla4[[#This Row],[Utilidad Total]]*11.5%))/Tabla4[[#This Row],[Total]]</f>
        <v>#N/A</v>
      </c>
      <c r="V6766" s="282" t="e">
        <f>+Tabla4[[#This Row],[Comisión Calculada]]*Tabla4[[#This Row],[Total]]</f>
        <v>#N/A</v>
      </c>
    </row>
    <row r="6767" spans="1:22" hidden="1" x14ac:dyDescent="0.25">
      <c r="A6767" s="100">
        <v>45976</v>
      </c>
      <c r="B6767" t="str">
        <f>TEXT(A6767, "mmmm")</f>
        <v>November</v>
      </c>
      <c r="C6767" s="46" t="s">
        <v>280</v>
      </c>
      <c r="F6767" s="366" t="s">
        <v>3416</v>
      </c>
      <c r="G6767" s="46" t="s">
        <v>208</v>
      </c>
      <c r="H6767" s="46">
        <v>5</v>
      </c>
      <c r="I6767" s="51">
        <v>189.75</v>
      </c>
      <c r="J6767" s="281">
        <f>++Tabla4[[#This Row],[Precio Bruto]]*1.16</f>
        <v>220.10999999999999</v>
      </c>
      <c r="K6767" s="281">
        <f>+Tabla4[[#This Row],[Precio Unitario Neto]]*Tabla4[[#Headers],[20.85%]]</f>
        <v>45.892934999999994</v>
      </c>
      <c r="L6767" s="282">
        <f>++Tabla4[[#This Row],[Precio Unitario Neto]]-Tabla4[[#This Row],[20.85%]]</f>
        <v>174.21706499999999</v>
      </c>
      <c r="M6767" s="282" t="e">
        <f>(INDEX(Tabla6[#All],MATCH(Tabla4[[#This Row],[Producto]],Tabla6[[#All],[PRODUCTO]],0),MATCH(Tabla4[[#This Row],[Mes]],Tabla6[#Headers],0)))*(1+Catalogos!$L$2)</f>
        <v>#N/A</v>
      </c>
      <c r="N6767" s="283" t="e">
        <f>+(Tabla4[[#This Row],[Precio Descontado]]-Tabla4[[#This Row],[Precio Base]])*Tabla4[[#This Row],[Cantidad]]</f>
        <v>#N/A</v>
      </c>
      <c r="O6767" s="284" t="e">
        <f>++Tabla4[[#This Row],[Utilidad Total]]/Tabla4[[#This Row],[Total]]</f>
        <v>#N/A</v>
      </c>
      <c r="P6767" s="282">
        <f>++Tabla4[[#This Row],[Precio Descontado]]*Tabla4[[#This Row],[Cantidad]]</f>
        <v>871.08532500000001</v>
      </c>
      <c r="Q6767" s="282" t="e">
        <f>(INDEX(Tabla6[#All],MATCH(Tabla4[[#This Row],[Producto]],Tabla6[[#All],[PRODUCTO]],0),MATCH(Tabla4[[#This Row],[Mes]],Tabla6[#Headers],0)))</f>
        <v>#N/A</v>
      </c>
      <c r="R6767" s="282" t="e">
        <f>++Tabla4[[#This Row],[Precio Unitario Neto]]-Tabla4[[#This Row],[20.85%]]-Tabla4[[#This Row],[Costo]]</f>
        <v>#N/A</v>
      </c>
      <c r="S6767" s="282" t="e">
        <f>++Tabla4[[#This Row],[U. Bruta Uni]]*Tabla4[[#This Row],[Cantidad]]</f>
        <v>#N/A</v>
      </c>
      <c r="T6767" s="369" t="str">
        <f>VLOOKUP(Tabla4[[#This Row],[Producto]],Tabla6[#All],14,FALSE)</f>
        <v>Termico Solar</v>
      </c>
      <c r="U6767" s="284" t="e">
        <f>(IF(Tabla4[[#This Row],[Familia]]="termico solar",Tabla4[[#This Row],[Utilidad Total]]*6%,Tabla4[[#This Row],[Utilidad Total]]*11.5%))/Tabla4[[#This Row],[Total]]</f>
        <v>#N/A</v>
      </c>
      <c r="V6767" s="282" t="e">
        <f>+Tabla4[[#This Row],[Comisión Calculada]]*Tabla4[[#This Row],[Total]]</f>
        <v>#N/A</v>
      </c>
    </row>
    <row r="6768" spans="1:22" hidden="1" x14ac:dyDescent="0.25">
      <c r="A6768" s="100">
        <v>45976</v>
      </c>
      <c r="B6768" t="str">
        <f t="shared" ref="B6768:B6769" si="448">TEXT(A6768, "mmmm")</f>
        <v>November</v>
      </c>
      <c r="C6768" s="46" t="s">
        <v>280</v>
      </c>
      <c r="F6768" s="366" t="s">
        <v>3417</v>
      </c>
      <c r="G6768" s="46" t="s">
        <v>17</v>
      </c>
      <c r="H6768" s="46">
        <v>1</v>
      </c>
      <c r="I6768" s="51">
        <v>4622.28</v>
      </c>
      <c r="J6768" s="281">
        <f>++Tabla4[[#This Row],[Precio Bruto]]*1.16</f>
        <v>5361.8447999999989</v>
      </c>
      <c r="K6768" s="281">
        <f>+Tabla4[[#This Row],[Precio Unitario Neto]]*Tabla4[[#Headers],[20.85%]]</f>
        <v>1117.9446407999997</v>
      </c>
      <c r="L6768" s="282">
        <f>++Tabla4[[#This Row],[Precio Unitario Neto]]-Tabla4[[#This Row],[20.85%]]</f>
        <v>4243.9001591999995</v>
      </c>
      <c r="M6768" s="282" t="e">
        <f>(INDEX(Tabla6[#All],MATCH(Tabla4[[#This Row],[Producto]],Tabla6[[#All],[PRODUCTO]],0),MATCH(Tabla4[[#This Row],[Mes]],Tabla6[#Headers],0)))*(1+Catalogos!$L$2)</f>
        <v>#N/A</v>
      </c>
      <c r="N6768" s="283" t="e">
        <f>+(Tabla4[[#This Row],[Precio Descontado]]-Tabla4[[#This Row],[Precio Base]])*Tabla4[[#This Row],[Cantidad]]</f>
        <v>#N/A</v>
      </c>
      <c r="O6768" s="284" t="e">
        <f>++Tabla4[[#This Row],[Utilidad Total]]/Tabla4[[#This Row],[Total]]</f>
        <v>#N/A</v>
      </c>
      <c r="P6768" s="282">
        <f>++Tabla4[[#This Row],[Precio Descontado]]*Tabla4[[#This Row],[Cantidad]]</f>
        <v>4243.9001591999995</v>
      </c>
      <c r="Q6768" s="282" t="e">
        <f>(INDEX(Tabla6[#All],MATCH(Tabla4[[#This Row],[Producto]],Tabla6[[#All],[PRODUCTO]],0),MATCH(Tabla4[[#This Row],[Mes]],Tabla6[#Headers],0)))</f>
        <v>#N/A</v>
      </c>
      <c r="R6768" s="282" t="e">
        <f>++Tabla4[[#This Row],[Precio Unitario Neto]]-Tabla4[[#This Row],[20.85%]]-Tabla4[[#This Row],[Costo]]</f>
        <v>#N/A</v>
      </c>
      <c r="S6768" s="282" t="e">
        <f>++Tabla4[[#This Row],[U. Bruta Uni]]*Tabla4[[#This Row],[Cantidad]]</f>
        <v>#N/A</v>
      </c>
      <c r="T6768" s="369" t="str">
        <f>VLOOKUP(Tabla4[[#This Row],[Producto]],Tabla6[#All],14,FALSE)</f>
        <v>Termico Solar</v>
      </c>
      <c r="U6768" s="284" t="e">
        <f>(IF(Tabla4[[#This Row],[Familia]]="termico solar",Tabla4[[#This Row],[Utilidad Total]]*6%,Tabla4[[#This Row],[Utilidad Total]]*11.5%))/Tabla4[[#This Row],[Total]]</f>
        <v>#N/A</v>
      </c>
      <c r="V6768" s="282" t="e">
        <f>+Tabla4[[#This Row],[Comisión Calculada]]*Tabla4[[#This Row],[Total]]</f>
        <v>#N/A</v>
      </c>
    </row>
    <row r="6769" spans="1:22" hidden="1" x14ac:dyDescent="0.25">
      <c r="A6769" s="100">
        <v>45976</v>
      </c>
      <c r="B6769" t="str">
        <f t="shared" si="448"/>
        <v>November</v>
      </c>
      <c r="C6769" s="46" t="s">
        <v>280</v>
      </c>
      <c r="F6769" s="366" t="s">
        <v>3417</v>
      </c>
      <c r="G6769" s="46" t="s">
        <v>18</v>
      </c>
      <c r="H6769" s="46">
        <v>1</v>
      </c>
      <c r="I6769" s="51">
        <v>5367.65</v>
      </c>
      <c r="J6769" s="281">
        <f>++Tabla4[[#This Row],[Precio Bruto]]*1.16</f>
        <v>6226.4739999999993</v>
      </c>
      <c r="K6769" s="281">
        <f>+Tabla4[[#This Row],[Precio Unitario Neto]]*Tabla4[[#Headers],[20.85%]]</f>
        <v>1298.2198289999999</v>
      </c>
      <c r="L6769" s="282">
        <f>++Tabla4[[#This Row],[Precio Unitario Neto]]-Tabla4[[#This Row],[20.85%]]</f>
        <v>4928.2541709999996</v>
      </c>
      <c r="M6769" s="282" t="e">
        <f>(INDEX(Tabla6[#All],MATCH(Tabla4[[#This Row],[Producto]],Tabla6[[#All],[PRODUCTO]],0),MATCH(Tabla4[[#This Row],[Mes]],Tabla6[#Headers],0)))*(1+Catalogos!$L$2)</f>
        <v>#N/A</v>
      </c>
      <c r="N6769" s="283" t="e">
        <f>+(Tabla4[[#This Row],[Precio Descontado]]-Tabla4[[#This Row],[Precio Base]])*Tabla4[[#This Row],[Cantidad]]</f>
        <v>#N/A</v>
      </c>
      <c r="O6769" s="284" t="e">
        <f>++Tabla4[[#This Row],[Utilidad Total]]/Tabla4[[#This Row],[Total]]</f>
        <v>#N/A</v>
      </c>
      <c r="P6769" s="282">
        <f>++Tabla4[[#This Row],[Precio Descontado]]*Tabla4[[#This Row],[Cantidad]]</f>
        <v>4928.2541709999996</v>
      </c>
      <c r="Q6769" s="282" t="e">
        <f>(INDEX(Tabla6[#All],MATCH(Tabla4[[#This Row],[Producto]],Tabla6[[#All],[PRODUCTO]],0),MATCH(Tabla4[[#This Row],[Mes]],Tabla6[#Headers],0)))</f>
        <v>#N/A</v>
      </c>
      <c r="R6769" s="282" t="e">
        <f>++Tabla4[[#This Row],[Precio Unitario Neto]]-Tabla4[[#This Row],[20.85%]]-Tabla4[[#This Row],[Costo]]</f>
        <v>#N/A</v>
      </c>
      <c r="S6769" s="282" t="e">
        <f>++Tabla4[[#This Row],[U. Bruta Uni]]*Tabla4[[#This Row],[Cantidad]]</f>
        <v>#N/A</v>
      </c>
      <c r="T6769" s="369" t="str">
        <f>VLOOKUP(Tabla4[[#This Row],[Producto]],Tabla6[#All],14,FALSE)</f>
        <v>Termico Solar</v>
      </c>
      <c r="U6769" s="284" t="e">
        <f>(IF(Tabla4[[#This Row],[Familia]]="termico solar",Tabla4[[#This Row],[Utilidad Total]]*6%,Tabla4[[#This Row],[Utilidad Total]]*11.5%))/Tabla4[[#This Row],[Total]]</f>
        <v>#N/A</v>
      </c>
      <c r="V6769" s="282" t="e">
        <f>+Tabla4[[#This Row],[Comisión Calculada]]*Tabla4[[#This Row],[Total]]</f>
        <v>#N/A</v>
      </c>
    </row>
    <row r="6770" spans="1:22" hidden="1" x14ac:dyDescent="0.25">
      <c r="A6770" s="100">
        <v>45976</v>
      </c>
      <c r="B6770" t="str">
        <f t="shared" ref="B6770:B6771" si="449">TEXT(A6770, "mmmm")</f>
        <v>November</v>
      </c>
      <c r="C6770" s="46" t="s">
        <v>280</v>
      </c>
      <c r="F6770" s="366" t="s">
        <v>3418</v>
      </c>
      <c r="G6770" s="46" t="s">
        <v>555</v>
      </c>
      <c r="H6770" s="46">
        <v>8</v>
      </c>
      <c r="I6770" s="51">
        <v>389.47</v>
      </c>
      <c r="J6770" s="281">
        <f>++Tabla4[[#This Row],[Precio Bruto]]*1.16</f>
        <v>451.78519999999997</v>
      </c>
      <c r="K6770" s="281">
        <f>+Tabla4[[#This Row],[Precio Unitario Neto]]*Tabla4[[#Headers],[20.85%]]</f>
        <v>94.197214199999991</v>
      </c>
      <c r="L6770" s="282">
        <f>++Tabla4[[#This Row],[Precio Unitario Neto]]-Tabla4[[#This Row],[20.85%]]</f>
        <v>357.58798579999996</v>
      </c>
      <c r="M6770" s="282" t="e">
        <f>(INDEX(Tabla6[#All],MATCH(Tabla4[[#This Row],[Producto]],Tabla6[[#All],[PRODUCTO]],0),MATCH(Tabla4[[#This Row],[Mes]],Tabla6[#Headers],0)))*(1+Catalogos!$L$2)</f>
        <v>#N/A</v>
      </c>
      <c r="N6770" s="283" t="e">
        <f>+(Tabla4[[#This Row],[Precio Descontado]]-Tabla4[[#This Row],[Precio Base]])*Tabla4[[#This Row],[Cantidad]]</f>
        <v>#N/A</v>
      </c>
      <c r="O6770" s="284" t="e">
        <f>++Tabla4[[#This Row],[Utilidad Total]]/Tabla4[[#This Row],[Total]]</f>
        <v>#N/A</v>
      </c>
      <c r="P6770" s="282">
        <f>++Tabla4[[#This Row],[Precio Descontado]]*Tabla4[[#This Row],[Cantidad]]</f>
        <v>2860.7038863999996</v>
      </c>
      <c r="Q6770" s="282" t="e">
        <f>(INDEX(Tabla6[#All],MATCH(Tabla4[[#This Row],[Producto]],Tabla6[[#All],[PRODUCTO]],0),MATCH(Tabla4[[#This Row],[Mes]],Tabla6[#Headers],0)))</f>
        <v>#N/A</v>
      </c>
      <c r="R6770" s="282" t="e">
        <f>++Tabla4[[#This Row],[Precio Unitario Neto]]-Tabla4[[#This Row],[20.85%]]-Tabla4[[#This Row],[Costo]]</f>
        <v>#N/A</v>
      </c>
      <c r="S6770" s="282" t="e">
        <f>++Tabla4[[#This Row],[U. Bruta Uni]]*Tabla4[[#This Row],[Cantidad]]</f>
        <v>#N/A</v>
      </c>
      <c r="T6770" s="369" t="str">
        <f>VLOOKUP(Tabla4[[#This Row],[Producto]],Tabla6[#All],14,FALSE)</f>
        <v>Termico Solar</v>
      </c>
      <c r="U6770" s="284" t="e">
        <f>(IF(Tabla4[[#This Row],[Familia]]="termico solar",Tabla4[[#This Row],[Utilidad Total]]*6%,Tabla4[[#This Row],[Utilidad Total]]*11.5%))/Tabla4[[#This Row],[Total]]</f>
        <v>#N/A</v>
      </c>
      <c r="V6770" s="282" t="e">
        <f>+Tabla4[[#This Row],[Comisión Calculada]]*Tabla4[[#This Row],[Total]]</f>
        <v>#N/A</v>
      </c>
    </row>
    <row r="6771" spans="1:22" hidden="1" x14ac:dyDescent="0.25">
      <c r="A6771" s="100">
        <v>45976</v>
      </c>
      <c r="B6771" t="str">
        <f t="shared" si="449"/>
        <v>November</v>
      </c>
      <c r="C6771" s="46" t="s">
        <v>280</v>
      </c>
      <c r="F6771" s="366" t="s">
        <v>3418</v>
      </c>
      <c r="G6771" s="46" t="s">
        <v>208</v>
      </c>
      <c r="H6771" s="46">
        <v>5</v>
      </c>
      <c r="I6771" s="51">
        <v>189.75</v>
      </c>
      <c r="J6771" s="281">
        <f>++Tabla4[[#This Row],[Precio Bruto]]*1.16</f>
        <v>220.10999999999999</v>
      </c>
      <c r="K6771" s="281">
        <f>+Tabla4[[#This Row],[Precio Unitario Neto]]*Tabla4[[#Headers],[20.85%]]</f>
        <v>45.892934999999994</v>
      </c>
      <c r="L6771" s="282">
        <f>++Tabla4[[#This Row],[Precio Unitario Neto]]-Tabla4[[#This Row],[20.85%]]</f>
        <v>174.21706499999999</v>
      </c>
      <c r="M6771" s="282" t="e">
        <f>(INDEX(Tabla6[#All],MATCH(Tabla4[[#This Row],[Producto]],Tabla6[[#All],[PRODUCTO]],0),MATCH(Tabla4[[#This Row],[Mes]],Tabla6[#Headers],0)))*(1+Catalogos!$L$2)</f>
        <v>#N/A</v>
      </c>
      <c r="N6771" s="283" t="e">
        <f>+(Tabla4[[#This Row],[Precio Descontado]]-Tabla4[[#This Row],[Precio Base]])*Tabla4[[#This Row],[Cantidad]]</f>
        <v>#N/A</v>
      </c>
      <c r="O6771" s="284" t="e">
        <f>++Tabla4[[#This Row],[Utilidad Total]]/Tabla4[[#This Row],[Total]]</f>
        <v>#N/A</v>
      </c>
      <c r="P6771" s="282">
        <f>++Tabla4[[#This Row],[Precio Descontado]]*Tabla4[[#This Row],[Cantidad]]</f>
        <v>871.08532500000001</v>
      </c>
      <c r="Q6771" s="282" t="e">
        <f>(INDEX(Tabla6[#All],MATCH(Tabla4[[#This Row],[Producto]],Tabla6[[#All],[PRODUCTO]],0),MATCH(Tabla4[[#This Row],[Mes]],Tabla6[#Headers],0)))</f>
        <v>#N/A</v>
      </c>
      <c r="R6771" s="282" t="e">
        <f>++Tabla4[[#This Row],[Precio Unitario Neto]]-Tabla4[[#This Row],[20.85%]]-Tabla4[[#This Row],[Costo]]</f>
        <v>#N/A</v>
      </c>
      <c r="S6771" s="282" t="e">
        <f>++Tabla4[[#This Row],[U. Bruta Uni]]*Tabla4[[#This Row],[Cantidad]]</f>
        <v>#N/A</v>
      </c>
      <c r="T6771" s="369" t="str">
        <f>VLOOKUP(Tabla4[[#This Row],[Producto]],Tabla6[#All],14,FALSE)</f>
        <v>Termico Solar</v>
      </c>
      <c r="U6771" s="284" t="e">
        <f>(IF(Tabla4[[#This Row],[Familia]]="termico solar",Tabla4[[#This Row],[Utilidad Total]]*6%,Tabla4[[#This Row],[Utilidad Total]]*11.5%))/Tabla4[[#This Row],[Total]]</f>
        <v>#N/A</v>
      </c>
      <c r="V6771" s="282" t="e">
        <f>+Tabla4[[#This Row],[Comisión Calculada]]*Tabla4[[#This Row],[Total]]</f>
        <v>#N/A</v>
      </c>
    </row>
    <row r="6772" spans="1:22" hidden="1" x14ac:dyDescent="0.25">
      <c r="A6772" s="100">
        <v>45976</v>
      </c>
      <c r="B6772" t="str">
        <f>TEXT(A6772, "mmmm")</f>
        <v>November</v>
      </c>
      <c r="C6772" s="46" t="s">
        <v>280</v>
      </c>
      <c r="F6772" s="366" t="s">
        <v>3419</v>
      </c>
      <c r="G6772" s="46" t="s">
        <v>208</v>
      </c>
      <c r="H6772" s="46">
        <v>2</v>
      </c>
      <c r="I6772" s="51">
        <v>189.75</v>
      </c>
      <c r="J6772" s="281">
        <f>++Tabla4[[#This Row],[Precio Bruto]]*1.16</f>
        <v>220.10999999999999</v>
      </c>
      <c r="K6772" s="281">
        <f>+Tabla4[[#This Row],[Precio Unitario Neto]]*Tabla4[[#Headers],[20.85%]]</f>
        <v>45.892934999999994</v>
      </c>
      <c r="L6772" s="282">
        <f>++Tabla4[[#This Row],[Precio Unitario Neto]]-Tabla4[[#This Row],[20.85%]]</f>
        <v>174.21706499999999</v>
      </c>
      <c r="M6772" s="282" t="e">
        <f>(INDEX(Tabla6[#All],MATCH(Tabla4[[#This Row],[Producto]],Tabla6[[#All],[PRODUCTO]],0),MATCH(Tabla4[[#This Row],[Mes]],Tabla6[#Headers],0)))*(1+Catalogos!$L$2)</f>
        <v>#N/A</v>
      </c>
      <c r="N6772" s="283" t="e">
        <f>+(Tabla4[[#This Row],[Precio Descontado]]-Tabla4[[#This Row],[Precio Base]])*Tabla4[[#This Row],[Cantidad]]</f>
        <v>#N/A</v>
      </c>
      <c r="O6772" s="284" t="e">
        <f>++Tabla4[[#This Row],[Utilidad Total]]/Tabla4[[#This Row],[Total]]</f>
        <v>#N/A</v>
      </c>
      <c r="P6772" s="282">
        <f>++Tabla4[[#This Row],[Precio Descontado]]*Tabla4[[#This Row],[Cantidad]]</f>
        <v>348.43412999999998</v>
      </c>
      <c r="Q6772" s="282" t="e">
        <f>(INDEX(Tabla6[#All],MATCH(Tabla4[[#This Row],[Producto]],Tabla6[[#All],[PRODUCTO]],0),MATCH(Tabla4[[#This Row],[Mes]],Tabla6[#Headers],0)))</f>
        <v>#N/A</v>
      </c>
      <c r="R6772" s="282" t="e">
        <f>++Tabla4[[#This Row],[Precio Unitario Neto]]-Tabla4[[#This Row],[20.85%]]-Tabla4[[#This Row],[Costo]]</f>
        <v>#N/A</v>
      </c>
      <c r="S6772" s="282" t="e">
        <f>++Tabla4[[#This Row],[U. Bruta Uni]]*Tabla4[[#This Row],[Cantidad]]</f>
        <v>#N/A</v>
      </c>
      <c r="T6772" s="369" t="str">
        <f>VLOOKUP(Tabla4[[#This Row],[Producto]],Tabla6[#All],14,FALSE)</f>
        <v>Termico Solar</v>
      </c>
      <c r="U6772" s="284" t="e">
        <f>(IF(Tabla4[[#This Row],[Familia]]="termico solar",Tabla4[[#This Row],[Utilidad Total]]*6%,Tabla4[[#This Row],[Utilidad Total]]*11.5%))/Tabla4[[#This Row],[Total]]</f>
        <v>#N/A</v>
      </c>
      <c r="V6772" s="282" t="e">
        <f>+Tabla4[[#This Row],[Comisión Calculada]]*Tabla4[[#This Row],[Total]]</f>
        <v>#N/A</v>
      </c>
    </row>
    <row r="6773" spans="1:22" hidden="1" x14ac:dyDescent="0.25">
      <c r="A6773" s="100">
        <v>45976</v>
      </c>
      <c r="B6773" t="str">
        <f>TEXT(A6773, "mmmm")</f>
        <v>November</v>
      </c>
      <c r="C6773" s="46" t="s">
        <v>280</v>
      </c>
      <c r="F6773" s="366" t="s">
        <v>3420</v>
      </c>
      <c r="G6773" s="46" t="s">
        <v>566</v>
      </c>
      <c r="H6773" s="46">
        <v>1</v>
      </c>
      <c r="I6773" s="51">
        <v>2109.4499999999998</v>
      </c>
      <c r="J6773" s="281">
        <f>++Tabla4[[#This Row],[Precio Bruto]]*1.16</f>
        <v>2446.9619999999995</v>
      </c>
      <c r="K6773" s="281">
        <f>+Tabla4[[#This Row],[Precio Unitario Neto]]*Tabla4[[#Headers],[20.85%]]</f>
        <v>510.19157699999988</v>
      </c>
      <c r="L6773" s="282">
        <f>++Tabla4[[#This Row],[Precio Unitario Neto]]-Tabla4[[#This Row],[20.85%]]</f>
        <v>1936.7704229999997</v>
      </c>
      <c r="M6773" s="282" t="e">
        <f>(INDEX(Tabla6[#All],MATCH(Tabla4[[#This Row],[Producto]],Tabla6[[#All],[PRODUCTO]],0),MATCH(Tabla4[[#This Row],[Mes]],Tabla6[#Headers],0)))*(1+Catalogos!$L$2)</f>
        <v>#N/A</v>
      </c>
      <c r="N6773" s="283" t="e">
        <f>+(Tabla4[[#This Row],[Precio Descontado]]-Tabla4[[#This Row],[Precio Base]])*Tabla4[[#This Row],[Cantidad]]</f>
        <v>#N/A</v>
      </c>
      <c r="O6773" s="284" t="e">
        <f>++Tabla4[[#This Row],[Utilidad Total]]/Tabla4[[#This Row],[Total]]</f>
        <v>#N/A</v>
      </c>
      <c r="P6773" s="282">
        <f>++Tabla4[[#This Row],[Precio Descontado]]*Tabla4[[#This Row],[Cantidad]]</f>
        <v>1936.7704229999997</v>
      </c>
      <c r="Q6773" s="282" t="e">
        <f>(INDEX(Tabla6[#All],MATCH(Tabla4[[#This Row],[Producto]],Tabla6[[#All],[PRODUCTO]],0),MATCH(Tabla4[[#This Row],[Mes]],Tabla6[#Headers],0)))</f>
        <v>#N/A</v>
      </c>
      <c r="R6773" s="282" t="e">
        <f>++Tabla4[[#This Row],[Precio Unitario Neto]]-Tabla4[[#This Row],[20.85%]]-Tabla4[[#This Row],[Costo]]</f>
        <v>#N/A</v>
      </c>
      <c r="S6773" s="282" t="e">
        <f>++Tabla4[[#This Row],[U. Bruta Uni]]*Tabla4[[#This Row],[Cantidad]]</f>
        <v>#N/A</v>
      </c>
      <c r="T6773" s="369" t="str">
        <f>VLOOKUP(Tabla4[[#This Row],[Producto]],Tabla6[#All],14,FALSE)</f>
        <v>Termico Solar</v>
      </c>
      <c r="U6773" s="284" t="e">
        <f>(IF(Tabla4[[#This Row],[Familia]]="termico solar",Tabla4[[#This Row],[Utilidad Total]]*6%,Tabla4[[#This Row],[Utilidad Total]]*11.5%))/Tabla4[[#This Row],[Total]]</f>
        <v>#N/A</v>
      </c>
      <c r="V6773" s="282" t="e">
        <f>+Tabla4[[#This Row],[Comisión Calculada]]*Tabla4[[#This Row],[Total]]</f>
        <v>#N/A</v>
      </c>
    </row>
    <row r="6774" spans="1:22" hidden="1" x14ac:dyDescent="0.25">
      <c r="A6774" s="100">
        <v>45976</v>
      </c>
      <c r="B6774" t="str">
        <f>TEXT(A6774, "mmmm")</f>
        <v>November</v>
      </c>
      <c r="C6774" s="46" t="s">
        <v>280</v>
      </c>
      <c r="F6774" s="366" t="s">
        <v>3421</v>
      </c>
      <c r="G6774" s="46" t="s">
        <v>83</v>
      </c>
      <c r="H6774" s="46">
        <v>2</v>
      </c>
      <c r="I6774" s="51">
        <v>8858.76</v>
      </c>
      <c r="J6774" s="281">
        <f>++Tabla4[[#This Row],[Precio Bruto]]*1.16</f>
        <v>10276.161599999999</v>
      </c>
      <c r="K6774" s="281">
        <f>+Tabla4[[#This Row],[Precio Unitario Neto]]*Tabla4[[#Headers],[20.85%]]</f>
        <v>2142.5796935999997</v>
      </c>
      <c r="L6774" s="282">
        <f>++Tabla4[[#This Row],[Precio Unitario Neto]]-Tabla4[[#This Row],[20.85%]]</f>
        <v>8133.5819063999998</v>
      </c>
      <c r="M6774" s="282" t="e">
        <f>(INDEX(Tabla6[#All],MATCH(Tabla4[[#This Row],[Producto]],Tabla6[[#All],[PRODUCTO]],0),MATCH(Tabla4[[#This Row],[Mes]],Tabla6[#Headers],0)))*(1+Catalogos!$L$2)</f>
        <v>#N/A</v>
      </c>
      <c r="N6774" s="283" t="e">
        <f>+(Tabla4[[#This Row],[Precio Descontado]]-Tabla4[[#This Row],[Precio Base]])*Tabla4[[#This Row],[Cantidad]]</f>
        <v>#N/A</v>
      </c>
      <c r="O6774" s="284" t="e">
        <f>++Tabla4[[#This Row],[Utilidad Total]]/Tabla4[[#This Row],[Total]]</f>
        <v>#N/A</v>
      </c>
      <c r="P6774" s="282">
        <f>++Tabla4[[#This Row],[Precio Descontado]]*Tabla4[[#This Row],[Cantidad]]</f>
        <v>16267.1638128</v>
      </c>
      <c r="Q6774" s="282" t="e">
        <f>(INDEX(Tabla6[#All],MATCH(Tabla4[[#This Row],[Producto]],Tabla6[[#All],[PRODUCTO]],0),MATCH(Tabla4[[#This Row],[Mes]],Tabla6[#Headers],0)))</f>
        <v>#N/A</v>
      </c>
      <c r="R6774" s="282" t="e">
        <f>++Tabla4[[#This Row],[Precio Unitario Neto]]-Tabla4[[#This Row],[20.85%]]-Tabla4[[#This Row],[Costo]]</f>
        <v>#N/A</v>
      </c>
      <c r="S6774" s="282" t="e">
        <f>++Tabla4[[#This Row],[U. Bruta Uni]]*Tabla4[[#This Row],[Cantidad]]</f>
        <v>#N/A</v>
      </c>
      <c r="T6774" s="369" t="str">
        <f>VLOOKUP(Tabla4[[#This Row],[Producto]],Tabla6[#All],14,FALSE)</f>
        <v>Termico Solar</v>
      </c>
      <c r="U6774" s="284" t="e">
        <f>(IF(Tabla4[[#This Row],[Familia]]="termico solar",Tabla4[[#This Row],[Utilidad Total]]*6%,Tabla4[[#This Row],[Utilidad Total]]*11.5%))/Tabla4[[#This Row],[Total]]</f>
        <v>#N/A</v>
      </c>
      <c r="V6774" s="282" t="e">
        <f>+Tabla4[[#This Row],[Comisión Calculada]]*Tabla4[[#This Row],[Total]]</f>
        <v>#N/A</v>
      </c>
    </row>
    <row r="6775" spans="1:22" hidden="1" x14ac:dyDescent="0.25">
      <c r="A6775" s="100">
        <v>45976</v>
      </c>
      <c r="B6775" t="str">
        <f t="shared" ref="B6775:B6779" si="450">TEXT(A6775, "mmmm")</f>
        <v>November</v>
      </c>
      <c r="C6775" s="46" t="s">
        <v>280</v>
      </c>
      <c r="F6775" s="366" t="s">
        <v>3422</v>
      </c>
      <c r="G6775" s="46" t="s">
        <v>83</v>
      </c>
      <c r="H6775" s="46">
        <v>1</v>
      </c>
      <c r="I6775" s="51">
        <v>8858.76</v>
      </c>
      <c r="J6775" s="281">
        <f>++Tabla4[[#This Row],[Precio Bruto]]*1.16</f>
        <v>10276.161599999999</v>
      </c>
      <c r="K6775" s="281">
        <f>+Tabla4[[#This Row],[Precio Unitario Neto]]*Tabla4[[#Headers],[20.85%]]</f>
        <v>2142.5796935999997</v>
      </c>
      <c r="L6775" s="282">
        <f>++Tabla4[[#This Row],[Precio Unitario Neto]]-Tabla4[[#This Row],[20.85%]]</f>
        <v>8133.5819063999998</v>
      </c>
      <c r="M6775" s="282" t="e">
        <f>(INDEX(Tabla6[#All],MATCH(Tabla4[[#This Row],[Producto]],Tabla6[[#All],[PRODUCTO]],0),MATCH(Tabla4[[#This Row],[Mes]],Tabla6[#Headers],0)))*(1+Catalogos!$L$2)</f>
        <v>#N/A</v>
      </c>
      <c r="N6775" s="283" t="e">
        <f>+(Tabla4[[#This Row],[Precio Descontado]]-Tabla4[[#This Row],[Precio Base]])*Tabla4[[#This Row],[Cantidad]]</f>
        <v>#N/A</v>
      </c>
      <c r="O6775" s="284" t="e">
        <f>++Tabla4[[#This Row],[Utilidad Total]]/Tabla4[[#This Row],[Total]]</f>
        <v>#N/A</v>
      </c>
      <c r="P6775" s="282">
        <f>++Tabla4[[#This Row],[Precio Descontado]]*Tabla4[[#This Row],[Cantidad]]</f>
        <v>8133.5819063999998</v>
      </c>
      <c r="Q6775" s="282" t="e">
        <f>(INDEX(Tabla6[#All],MATCH(Tabla4[[#This Row],[Producto]],Tabla6[[#All],[PRODUCTO]],0),MATCH(Tabla4[[#This Row],[Mes]],Tabla6[#Headers],0)))</f>
        <v>#N/A</v>
      </c>
      <c r="R6775" s="282" t="e">
        <f>++Tabla4[[#This Row],[Precio Unitario Neto]]-Tabla4[[#This Row],[20.85%]]-Tabla4[[#This Row],[Costo]]</f>
        <v>#N/A</v>
      </c>
      <c r="S6775" s="282" t="e">
        <f>++Tabla4[[#This Row],[U. Bruta Uni]]*Tabla4[[#This Row],[Cantidad]]</f>
        <v>#N/A</v>
      </c>
      <c r="T6775" s="369" t="str">
        <f>VLOOKUP(Tabla4[[#This Row],[Producto]],Tabla6[#All],14,FALSE)</f>
        <v>Termico Solar</v>
      </c>
      <c r="U6775" s="284" t="e">
        <f>(IF(Tabla4[[#This Row],[Familia]]="termico solar",Tabla4[[#This Row],[Utilidad Total]]*6%,Tabla4[[#This Row],[Utilidad Total]]*11.5%))/Tabla4[[#This Row],[Total]]</f>
        <v>#N/A</v>
      </c>
      <c r="V6775" s="282" t="e">
        <f>+Tabla4[[#This Row],[Comisión Calculada]]*Tabla4[[#This Row],[Total]]</f>
        <v>#N/A</v>
      </c>
    </row>
    <row r="6776" spans="1:22" hidden="1" x14ac:dyDescent="0.25">
      <c r="A6776" s="100">
        <v>45976</v>
      </c>
      <c r="B6776" t="str">
        <f t="shared" si="450"/>
        <v>November</v>
      </c>
      <c r="C6776" s="46" t="s">
        <v>280</v>
      </c>
      <c r="F6776" s="366" t="s">
        <v>3422</v>
      </c>
      <c r="G6776" s="46" t="s">
        <v>18</v>
      </c>
      <c r="H6776" s="46">
        <v>1</v>
      </c>
      <c r="I6776" s="51">
        <v>5367.65</v>
      </c>
      <c r="J6776" s="281">
        <f>++Tabla4[[#This Row],[Precio Bruto]]*1.16</f>
        <v>6226.4739999999993</v>
      </c>
      <c r="K6776" s="281">
        <f>+Tabla4[[#This Row],[Precio Unitario Neto]]*Tabla4[[#Headers],[20.85%]]</f>
        <v>1298.2198289999999</v>
      </c>
      <c r="L6776" s="282">
        <f>++Tabla4[[#This Row],[Precio Unitario Neto]]-Tabla4[[#This Row],[20.85%]]</f>
        <v>4928.2541709999996</v>
      </c>
      <c r="M6776" s="282" t="e">
        <f>(INDEX(Tabla6[#All],MATCH(Tabla4[[#This Row],[Producto]],Tabla6[[#All],[PRODUCTO]],0),MATCH(Tabla4[[#This Row],[Mes]],Tabla6[#Headers],0)))*(1+Catalogos!$L$2)</f>
        <v>#N/A</v>
      </c>
      <c r="N6776" s="283" t="e">
        <f>+(Tabla4[[#This Row],[Precio Descontado]]-Tabla4[[#This Row],[Precio Base]])*Tabla4[[#This Row],[Cantidad]]</f>
        <v>#N/A</v>
      </c>
      <c r="O6776" s="284" t="e">
        <f>++Tabla4[[#This Row],[Utilidad Total]]/Tabla4[[#This Row],[Total]]</f>
        <v>#N/A</v>
      </c>
      <c r="P6776" s="282">
        <f>++Tabla4[[#This Row],[Precio Descontado]]*Tabla4[[#This Row],[Cantidad]]</f>
        <v>4928.2541709999996</v>
      </c>
      <c r="Q6776" s="282" t="e">
        <f>(INDEX(Tabla6[#All],MATCH(Tabla4[[#This Row],[Producto]],Tabla6[[#All],[PRODUCTO]],0),MATCH(Tabla4[[#This Row],[Mes]],Tabla6[#Headers],0)))</f>
        <v>#N/A</v>
      </c>
      <c r="R6776" s="282" t="e">
        <f>++Tabla4[[#This Row],[Precio Unitario Neto]]-Tabla4[[#This Row],[20.85%]]-Tabla4[[#This Row],[Costo]]</f>
        <v>#N/A</v>
      </c>
      <c r="S6776" s="282" t="e">
        <f>++Tabla4[[#This Row],[U. Bruta Uni]]*Tabla4[[#This Row],[Cantidad]]</f>
        <v>#N/A</v>
      </c>
      <c r="T6776" s="369" t="str">
        <f>VLOOKUP(Tabla4[[#This Row],[Producto]],Tabla6[#All],14,FALSE)</f>
        <v>Termico Solar</v>
      </c>
      <c r="U6776" s="284" t="e">
        <f>(IF(Tabla4[[#This Row],[Familia]]="termico solar",Tabla4[[#This Row],[Utilidad Total]]*6%,Tabla4[[#This Row],[Utilidad Total]]*11.5%))/Tabla4[[#This Row],[Total]]</f>
        <v>#N/A</v>
      </c>
      <c r="V6776" s="282" t="e">
        <f>+Tabla4[[#This Row],[Comisión Calculada]]*Tabla4[[#This Row],[Total]]</f>
        <v>#N/A</v>
      </c>
    </row>
    <row r="6777" spans="1:22" hidden="1" x14ac:dyDescent="0.25">
      <c r="A6777" s="100">
        <v>45976</v>
      </c>
      <c r="B6777" t="str">
        <f t="shared" si="450"/>
        <v>November</v>
      </c>
      <c r="C6777" s="46" t="s">
        <v>280</v>
      </c>
      <c r="F6777" s="366" t="s">
        <v>3422</v>
      </c>
      <c r="G6777" s="46" t="s">
        <v>566</v>
      </c>
      <c r="H6777" s="46">
        <v>1</v>
      </c>
      <c r="I6777" s="51">
        <v>2109.4499999999998</v>
      </c>
      <c r="J6777" s="281">
        <f>++Tabla4[[#This Row],[Precio Bruto]]*1.16</f>
        <v>2446.9619999999995</v>
      </c>
      <c r="K6777" s="281">
        <f>+Tabla4[[#This Row],[Precio Unitario Neto]]*Tabla4[[#Headers],[20.85%]]</f>
        <v>510.19157699999988</v>
      </c>
      <c r="L6777" s="282">
        <f>++Tabla4[[#This Row],[Precio Unitario Neto]]-Tabla4[[#This Row],[20.85%]]</f>
        <v>1936.7704229999997</v>
      </c>
      <c r="M6777" s="282" t="e">
        <f>(INDEX(Tabla6[#All],MATCH(Tabla4[[#This Row],[Producto]],Tabla6[[#All],[PRODUCTO]],0),MATCH(Tabla4[[#This Row],[Mes]],Tabla6[#Headers],0)))*(1+Catalogos!$L$2)</f>
        <v>#N/A</v>
      </c>
      <c r="N6777" s="283" t="e">
        <f>+(Tabla4[[#This Row],[Precio Descontado]]-Tabla4[[#This Row],[Precio Base]])*Tabla4[[#This Row],[Cantidad]]</f>
        <v>#N/A</v>
      </c>
      <c r="O6777" s="284" t="e">
        <f>++Tabla4[[#This Row],[Utilidad Total]]/Tabla4[[#This Row],[Total]]</f>
        <v>#N/A</v>
      </c>
      <c r="P6777" s="282">
        <f>++Tabla4[[#This Row],[Precio Descontado]]*Tabla4[[#This Row],[Cantidad]]</f>
        <v>1936.7704229999997</v>
      </c>
      <c r="Q6777" s="282" t="e">
        <f>(INDEX(Tabla6[#All],MATCH(Tabla4[[#This Row],[Producto]],Tabla6[[#All],[PRODUCTO]],0),MATCH(Tabla4[[#This Row],[Mes]],Tabla6[#Headers],0)))</f>
        <v>#N/A</v>
      </c>
      <c r="R6777" s="282" t="e">
        <f>++Tabla4[[#This Row],[Precio Unitario Neto]]-Tabla4[[#This Row],[20.85%]]-Tabla4[[#This Row],[Costo]]</f>
        <v>#N/A</v>
      </c>
      <c r="S6777" s="282" t="e">
        <f>++Tabla4[[#This Row],[U. Bruta Uni]]*Tabla4[[#This Row],[Cantidad]]</f>
        <v>#N/A</v>
      </c>
      <c r="T6777" s="369" t="str">
        <f>VLOOKUP(Tabla4[[#This Row],[Producto]],Tabla6[#All],14,FALSE)</f>
        <v>Termico Solar</v>
      </c>
      <c r="U6777" s="284" t="e">
        <f>(IF(Tabla4[[#This Row],[Familia]]="termico solar",Tabla4[[#This Row],[Utilidad Total]]*6%,Tabla4[[#This Row],[Utilidad Total]]*11.5%))/Tabla4[[#This Row],[Total]]</f>
        <v>#N/A</v>
      </c>
      <c r="V6777" s="282" t="e">
        <f>+Tabla4[[#This Row],[Comisión Calculada]]*Tabla4[[#This Row],[Total]]</f>
        <v>#N/A</v>
      </c>
    </row>
    <row r="6778" spans="1:22" hidden="1" x14ac:dyDescent="0.25">
      <c r="A6778" s="100">
        <v>45976</v>
      </c>
      <c r="B6778" t="str">
        <f t="shared" si="450"/>
        <v>November</v>
      </c>
      <c r="C6778" s="46" t="s">
        <v>280</v>
      </c>
      <c r="F6778" s="366" t="s">
        <v>3422</v>
      </c>
      <c r="G6778" s="46" t="s">
        <v>16</v>
      </c>
      <c r="H6778" s="46">
        <v>1</v>
      </c>
      <c r="I6778" s="51">
        <v>4103.8500000000004</v>
      </c>
      <c r="J6778" s="281">
        <f>++Tabla4[[#This Row],[Precio Bruto]]*1.16</f>
        <v>4760.4660000000003</v>
      </c>
      <c r="K6778" s="281">
        <f>+Tabla4[[#This Row],[Precio Unitario Neto]]*Tabla4[[#Headers],[20.85%]]</f>
        <v>992.55716100000006</v>
      </c>
      <c r="L6778" s="282">
        <f>++Tabla4[[#This Row],[Precio Unitario Neto]]-Tabla4[[#This Row],[20.85%]]</f>
        <v>3767.9088390000002</v>
      </c>
      <c r="M6778" s="282" t="e">
        <f>(INDEX(Tabla6[#All],MATCH(Tabla4[[#This Row],[Producto]],Tabla6[[#All],[PRODUCTO]],0),MATCH(Tabla4[[#This Row],[Mes]],Tabla6[#Headers],0)))*(1+Catalogos!$L$2)</f>
        <v>#N/A</v>
      </c>
      <c r="N6778" s="283" t="e">
        <f>+(Tabla4[[#This Row],[Precio Descontado]]-Tabla4[[#This Row],[Precio Base]])*Tabla4[[#This Row],[Cantidad]]</f>
        <v>#N/A</v>
      </c>
      <c r="O6778" s="284" t="e">
        <f>++Tabla4[[#This Row],[Utilidad Total]]/Tabla4[[#This Row],[Total]]</f>
        <v>#N/A</v>
      </c>
      <c r="P6778" s="282">
        <f>++Tabla4[[#This Row],[Precio Descontado]]*Tabla4[[#This Row],[Cantidad]]</f>
        <v>3767.9088390000002</v>
      </c>
      <c r="Q6778" s="282" t="e">
        <f>(INDEX(Tabla6[#All],MATCH(Tabla4[[#This Row],[Producto]],Tabla6[[#All],[PRODUCTO]],0),MATCH(Tabla4[[#This Row],[Mes]],Tabla6[#Headers],0)))</f>
        <v>#N/A</v>
      </c>
      <c r="R6778" s="282" t="e">
        <f>++Tabla4[[#This Row],[Precio Unitario Neto]]-Tabla4[[#This Row],[20.85%]]-Tabla4[[#This Row],[Costo]]</f>
        <v>#N/A</v>
      </c>
      <c r="S6778" s="282" t="e">
        <f>++Tabla4[[#This Row],[U. Bruta Uni]]*Tabla4[[#This Row],[Cantidad]]</f>
        <v>#N/A</v>
      </c>
      <c r="T6778" s="369" t="str">
        <f>VLOOKUP(Tabla4[[#This Row],[Producto]],Tabla6[#All],14,FALSE)</f>
        <v>Termico Solar</v>
      </c>
      <c r="U6778" s="284" t="e">
        <f>(IF(Tabla4[[#This Row],[Familia]]="termico solar",Tabla4[[#This Row],[Utilidad Total]]*6%,Tabla4[[#This Row],[Utilidad Total]]*11.5%))/Tabla4[[#This Row],[Total]]</f>
        <v>#N/A</v>
      </c>
      <c r="V6778" s="282" t="e">
        <f>+Tabla4[[#This Row],[Comisión Calculada]]*Tabla4[[#This Row],[Total]]</f>
        <v>#N/A</v>
      </c>
    </row>
    <row r="6779" spans="1:22" hidden="1" x14ac:dyDescent="0.25">
      <c r="A6779" s="100">
        <v>45976</v>
      </c>
      <c r="B6779" t="str">
        <f t="shared" si="450"/>
        <v>November</v>
      </c>
      <c r="C6779" s="46" t="s">
        <v>280</v>
      </c>
      <c r="F6779" s="366" t="s">
        <v>3422</v>
      </c>
      <c r="G6779" s="46" t="s">
        <v>208</v>
      </c>
      <c r="H6779" s="46">
        <v>1</v>
      </c>
      <c r="I6779" s="51">
        <v>189.75</v>
      </c>
      <c r="J6779" s="281">
        <f>++Tabla4[[#This Row],[Precio Bruto]]*1.16</f>
        <v>220.10999999999999</v>
      </c>
      <c r="K6779" s="281">
        <f>+Tabla4[[#This Row],[Precio Unitario Neto]]*Tabla4[[#Headers],[20.85%]]</f>
        <v>45.892934999999994</v>
      </c>
      <c r="L6779" s="282">
        <f>++Tabla4[[#This Row],[Precio Unitario Neto]]-Tabla4[[#This Row],[20.85%]]</f>
        <v>174.21706499999999</v>
      </c>
      <c r="M6779" s="282" t="e">
        <f>(INDEX(Tabla6[#All],MATCH(Tabla4[[#This Row],[Producto]],Tabla6[[#All],[PRODUCTO]],0),MATCH(Tabla4[[#This Row],[Mes]],Tabla6[#Headers],0)))*(1+Catalogos!$L$2)</f>
        <v>#N/A</v>
      </c>
      <c r="N6779" s="283" t="e">
        <f>+(Tabla4[[#This Row],[Precio Descontado]]-Tabla4[[#This Row],[Precio Base]])*Tabla4[[#This Row],[Cantidad]]</f>
        <v>#N/A</v>
      </c>
      <c r="O6779" s="284" t="e">
        <f>++Tabla4[[#This Row],[Utilidad Total]]/Tabla4[[#This Row],[Total]]</f>
        <v>#N/A</v>
      </c>
      <c r="P6779" s="282">
        <f>++Tabla4[[#This Row],[Precio Descontado]]*Tabla4[[#This Row],[Cantidad]]</f>
        <v>174.21706499999999</v>
      </c>
      <c r="Q6779" s="282" t="e">
        <f>(INDEX(Tabla6[#All],MATCH(Tabla4[[#This Row],[Producto]],Tabla6[[#All],[PRODUCTO]],0),MATCH(Tabla4[[#This Row],[Mes]],Tabla6[#Headers],0)))</f>
        <v>#N/A</v>
      </c>
      <c r="R6779" s="282" t="e">
        <f>++Tabla4[[#This Row],[Precio Unitario Neto]]-Tabla4[[#This Row],[20.85%]]-Tabla4[[#This Row],[Costo]]</f>
        <v>#N/A</v>
      </c>
      <c r="S6779" s="282" t="e">
        <f>++Tabla4[[#This Row],[U. Bruta Uni]]*Tabla4[[#This Row],[Cantidad]]</f>
        <v>#N/A</v>
      </c>
      <c r="T6779" s="369" t="str">
        <f>VLOOKUP(Tabla4[[#This Row],[Producto]],Tabla6[#All],14,FALSE)</f>
        <v>Termico Solar</v>
      </c>
      <c r="U6779" s="284" t="e">
        <f>(IF(Tabla4[[#This Row],[Familia]]="termico solar",Tabla4[[#This Row],[Utilidad Total]]*6%,Tabla4[[#This Row],[Utilidad Total]]*11.5%))/Tabla4[[#This Row],[Total]]</f>
        <v>#N/A</v>
      </c>
      <c r="V6779" s="282" t="e">
        <f>+Tabla4[[#This Row],[Comisión Calculada]]*Tabla4[[#This Row],[Total]]</f>
        <v>#N/A</v>
      </c>
    </row>
    <row r="6780" spans="1:22" hidden="1" x14ac:dyDescent="0.25">
      <c r="A6780" s="100">
        <v>45976</v>
      </c>
      <c r="B6780" t="str">
        <f t="shared" ref="B6780:B6784" si="451">TEXT(A6780, "mmmm")</f>
        <v>November</v>
      </c>
      <c r="C6780" s="46" t="s">
        <v>280</v>
      </c>
      <c r="F6780" s="366" t="s">
        <v>3423</v>
      </c>
      <c r="G6780" s="46" t="s">
        <v>83</v>
      </c>
      <c r="H6780" s="46">
        <v>1</v>
      </c>
      <c r="I6780" s="51">
        <v>8858.76</v>
      </c>
      <c r="J6780" s="281">
        <f>++Tabla4[[#This Row],[Precio Bruto]]*1.16</f>
        <v>10276.161599999999</v>
      </c>
      <c r="K6780" s="281">
        <f>+Tabla4[[#This Row],[Precio Unitario Neto]]*Tabla4[[#Headers],[20.85%]]</f>
        <v>2142.5796935999997</v>
      </c>
      <c r="L6780" s="282">
        <f>++Tabla4[[#This Row],[Precio Unitario Neto]]-Tabla4[[#This Row],[20.85%]]</f>
        <v>8133.5819063999998</v>
      </c>
      <c r="M6780" s="282" t="e">
        <f>(INDEX(Tabla6[#All],MATCH(Tabla4[[#This Row],[Producto]],Tabla6[[#All],[PRODUCTO]],0),MATCH(Tabla4[[#This Row],[Mes]],Tabla6[#Headers],0)))*(1+Catalogos!$L$2)</f>
        <v>#N/A</v>
      </c>
      <c r="N6780" s="283" t="e">
        <f>+(Tabla4[[#This Row],[Precio Descontado]]-Tabla4[[#This Row],[Precio Base]])*Tabla4[[#This Row],[Cantidad]]</f>
        <v>#N/A</v>
      </c>
      <c r="O6780" s="284" t="e">
        <f>++Tabla4[[#This Row],[Utilidad Total]]/Tabla4[[#This Row],[Total]]</f>
        <v>#N/A</v>
      </c>
      <c r="P6780" s="282">
        <f>++Tabla4[[#This Row],[Precio Descontado]]*Tabla4[[#This Row],[Cantidad]]</f>
        <v>8133.5819063999998</v>
      </c>
      <c r="Q6780" s="282" t="e">
        <f>(INDEX(Tabla6[#All],MATCH(Tabla4[[#This Row],[Producto]],Tabla6[[#All],[PRODUCTO]],0),MATCH(Tabla4[[#This Row],[Mes]],Tabla6[#Headers],0)))</f>
        <v>#N/A</v>
      </c>
      <c r="R6780" s="282" t="e">
        <f>++Tabla4[[#This Row],[Precio Unitario Neto]]-Tabla4[[#This Row],[20.85%]]-Tabla4[[#This Row],[Costo]]</f>
        <v>#N/A</v>
      </c>
      <c r="S6780" s="282" t="e">
        <f>++Tabla4[[#This Row],[U. Bruta Uni]]*Tabla4[[#This Row],[Cantidad]]</f>
        <v>#N/A</v>
      </c>
      <c r="T6780" s="369" t="str">
        <f>VLOOKUP(Tabla4[[#This Row],[Producto]],Tabla6[#All],14,FALSE)</f>
        <v>Termico Solar</v>
      </c>
      <c r="U6780" s="284" t="e">
        <f>(IF(Tabla4[[#This Row],[Familia]]="termico solar",Tabla4[[#This Row],[Utilidad Total]]*6%,Tabla4[[#This Row],[Utilidad Total]]*11.5%))/Tabla4[[#This Row],[Total]]</f>
        <v>#N/A</v>
      </c>
      <c r="V6780" s="282" t="e">
        <f>+Tabla4[[#This Row],[Comisión Calculada]]*Tabla4[[#This Row],[Total]]</f>
        <v>#N/A</v>
      </c>
    </row>
    <row r="6781" spans="1:22" hidden="1" x14ac:dyDescent="0.25">
      <c r="A6781" s="100">
        <v>45976</v>
      </c>
      <c r="B6781" t="str">
        <f t="shared" si="451"/>
        <v>November</v>
      </c>
      <c r="C6781" s="46" t="s">
        <v>280</v>
      </c>
      <c r="F6781" s="366" t="s">
        <v>3423</v>
      </c>
      <c r="G6781" s="46" t="s">
        <v>17</v>
      </c>
      <c r="H6781" s="46">
        <v>1</v>
      </c>
      <c r="I6781" s="51">
        <v>4622.28</v>
      </c>
      <c r="J6781" s="281">
        <f>++Tabla4[[#This Row],[Precio Bruto]]*1.16</f>
        <v>5361.8447999999989</v>
      </c>
      <c r="K6781" s="281">
        <f>+Tabla4[[#This Row],[Precio Unitario Neto]]*Tabla4[[#Headers],[20.85%]]</f>
        <v>1117.9446407999997</v>
      </c>
      <c r="L6781" s="282">
        <f>++Tabla4[[#This Row],[Precio Unitario Neto]]-Tabla4[[#This Row],[20.85%]]</f>
        <v>4243.9001591999995</v>
      </c>
      <c r="M6781" s="282" t="e">
        <f>(INDEX(Tabla6[#All],MATCH(Tabla4[[#This Row],[Producto]],Tabla6[[#All],[PRODUCTO]],0),MATCH(Tabla4[[#This Row],[Mes]],Tabla6[#Headers],0)))*(1+Catalogos!$L$2)</f>
        <v>#N/A</v>
      </c>
      <c r="N6781" s="283" t="e">
        <f>+(Tabla4[[#This Row],[Precio Descontado]]-Tabla4[[#This Row],[Precio Base]])*Tabla4[[#This Row],[Cantidad]]</f>
        <v>#N/A</v>
      </c>
      <c r="O6781" s="284" t="e">
        <f>++Tabla4[[#This Row],[Utilidad Total]]/Tabla4[[#This Row],[Total]]</f>
        <v>#N/A</v>
      </c>
      <c r="P6781" s="282">
        <f>++Tabla4[[#This Row],[Precio Descontado]]*Tabla4[[#This Row],[Cantidad]]</f>
        <v>4243.9001591999995</v>
      </c>
      <c r="Q6781" s="282" t="e">
        <f>(INDEX(Tabla6[#All],MATCH(Tabla4[[#This Row],[Producto]],Tabla6[[#All],[PRODUCTO]],0),MATCH(Tabla4[[#This Row],[Mes]],Tabla6[#Headers],0)))</f>
        <v>#N/A</v>
      </c>
      <c r="R6781" s="282" t="e">
        <f>++Tabla4[[#This Row],[Precio Unitario Neto]]-Tabla4[[#This Row],[20.85%]]-Tabla4[[#This Row],[Costo]]</f>
        <v>#N/A</v>
      </c>
      <c r="S6781" s="282" t="e">
        <f>++Tabla4[[#This Row],[U. Bruta Uni]]*Tabla4[[#This Row],[Cantidad]]</f>
        <v>#N/A</v>
      </c>
      <c r="T6781" s="369" t="str">
        <f>VLOOKUP(Tabla4[[#This Row],[Producto]],Tabla6[#All],14,FALSE)</f>
        <v>Termico Solar</v>
      </c>
      <c r="U6781" s="284" t="e">
        <f>(IF(Tabla4[[#This Row],[Familia]]="termico solar",Tabla4[[#This Row],[Utilidad Total]]*6%,Tabla4[[#This Row],[Utilidad Total]]*11.5%))/Tabla4[[#This Row],[Total]]</f>
        <v>#N/A</v>
      </c>
      <c r="V6781" s="282" t="e">
        <f>+Tabla4[[#This Row],[Comisión Calculada]]*Tabla4[[#This Row],[Total]]</f>
        <v>#N/A</v>
      </c>
    </row>
    <row r="6782" spans="1:22" hidden="1" x14ac:dyDescent="0.25">
      <c r="A6782" s="100">
        <v>45976</v>
      </c>
      <c r="B6782" t="str">
        <f t="shared" si="451"/>
        <v>November</v>
      </c>
      <c r="C6782" s="46" t="s">
        <v>280</v>
      </c>
      <c r="F6782" s="366" t="s">
        <v>3423</v>
      </c>
      <c r="G6782" s="46" t="s">
        <v>566</v>
      </c>
      <c r="H6782" s="46">
        <v>1</v>
      </c>
      <c r="I6782" s="51">
        <v>2109.4499999999998</v>
      </c>
      <c r="J6782" s="281">
        <f>++Tabla4[[#This Row],[Precio Bruto]]*1.16</f>
        <v>2446.9619999999995</v>
      </c>
      <c r="K6782" s="281">
        <f>+Tabla4[[#This Row],[Precio Unitario Neto]]*Tabla4[[#Headers],[20.85%]]</f>
        <v>510.19157699999988</v>
      </c>
      <c r="L6782" s="282">
        <f>++Tabla4[[#This Row],[Precio Unitario Neto]]-Tabla4[[#This Row],[20.85%]]</f>
        <v>1936.7704229999997</v>
      </c>
      <c r="M6782" s="282" t="e">
        <f>(INDEX(Tabla6[#All],MATCH(Tabla4[[#This Row],[Producto]],Tabla6[[#All],[PRODUCTO]],0),MATCH(Tabla4[[#This Row],[Mes]],Tabla6[#Headers],0)))*(1+Catalogos!$L$2)</f>
        <v>#N/A</v>
      </c>
      <c r="N6782" s="283" t="e">
        <f>+(Tabla4[[#This Row],[Precio Descontado]]-Tabla4[[#This Row],[Precio Base]])*Tabla4[[#This Row],[Cantidad]]</f>
        <v>#N/A</v>
      </c>
      <c r="O6782" s="284" t="e">
        <f>++Tabla4[[#This Row],[Utilidad Total]]/Tabla4[[#This Row],[Total]]</f>
        <v>#N/A</v>
      </c>
      <c r="P6782" s="282">
        <f>++Tabla4[[#This Row],[Precio Descontado]]*Tabla4[[#This Row],[Cantidad]]</f>
        <v>1936.7704229999997</v>
      </c>
      <c r="Q6782" s="282" t="e">
        <f>(INDEX(Tabla6[#All],MATCH(Tabla4[[#This Row],[Producto]],Tabla6[[#All],[PRODUCTO]],0),MATCH(Tabla4[[#This Row],[Mes]],Tabla6[#Headers],0)))</f>
        <v>#N/A</v>
      </c>
      <c r="R6782" s="282" t="e">
        <f>++Tabla4[[#This Row],[Precio Unitario Neto]]-Tabla4[[#This Row],[20.85%]]-Tabla4[[#This Row],[Costo]]</f>
        <v>#N/A</v>
      </c>
      <c r="S6782" s="282" t="e">
        <f>++Tabla4[[#This Row],[U. Bruta Uni]]*Tabla4[[#This Row],[Cantidad]]</f>
        <v>#N/A</v>
      </c>
      <c r="T6782" s="369" t="str">
        <f>VLOOKUP(Tabla4[[#This Row],[Producto]],Tabla6[#All],14,FALSE)</f>
        <v>Termico Solar</v>
      </c>
      <c r="U6782" s="284" t="e">
        <f>(IF(Tabla4[[#This Row],[Familia]]="termico solar",Tabla4[[#This Row],[Utilidad Total]]*6%,Tabla4[[#This Row],[Utilidad Total]]*11.5%))/Tabla4[[#This Row],[Total]]</f>
        <v>#N/A</v>
      </c>
      <c r="V6782" s="282" t="e">
        <f>+Tabla4[[#This Row],[Comisión Calculada]]*Tabla4[[#This Row],[Total]]</f>
        <v>#N/A</v>
      </c>
    </row>
    <row r="6783" spans="1:22" hidden="1" x14ac:dyDescent="0.25">
      <c r="A6783" s="100">
        <v>45976</v>
      </c>
      <c r="B6783" t="str">
        <f t="shared" si="451"/>
        <v>November</v>
      </c>
      <c r="C6783" s="46" t="s">
        <v>280</v>
      </c>
      <c r="F6783" s="366" t="s">
        <v>3423</v>
      </c>
      <c r="G6783" s="46" t="s">
        <v>16</v>
      </c>
      <c r="H6783" s="46">
        <v>2</v>
      </c>
      <c r="I6783" s="51">
        <v>4103.8500000000004</v>
      </c>
      <c r="J6783" s="281">
        <f>++Tabla4[[#This Row],[Precio Bruto]]*1.16</f>
        <v>4760.4660000000003</v>
      </c>
      <c r="K6783" s="281">
        <f>+Tabla4[[#This Row],[Precio Unitario Neto]]*Tabla4[[#Headers],[20.85%]]</f>
        <v>992.55716100000006</v>
      </c>
      <c r="L6783" s="282">
        <f>++Tabla4[[#This Row],[Precio Unitario Neto]]-Tabla4[[#This Row],[20.85%]]</f>
        <v>3767.9088390000002</v>
      </c>
      <c r="M6783" s="282" t="e">
        <f>(INDEX(Tabla6[#All],MATCH(Tabla4[[#This Row],[Producto]],Tabla6[[#All],[PRODUCTO]],0),MATCH(Tabla4[[#This Row],[Mes]],Tabla6[#Headers],0)))*(1+Catalogos!$L$2)</f>
        <v>#N/A</v>
      </c>
      <c r="N6783" s="283" t="e">
        <f>+(Tabla4[[#This Row],[Precio Descontado]]-Tabla4[[#This Row],[Precio Base]])*Tabla4[[#This Row],[Cantidad]]</f>
        <v>#N/A</v>
      </c>
      <c r="O6783" s="284" t="e">
        <f>++Tabla4[[#This Row],[Utilidad Total]]/Tabla4[[#This Row],[Total]]</f>
        <v>#N/A</v>
      </c>
      <c r="P6783" s="282">
        <f>++Tabla4[[#This Row],[Precio Descontado]]*Tabla4[[#This Row],[Cantidad]]</f>
        <v>7535.8176780000003</v>
      </c>
      <c r="Q6783" s="282" t="e">
        <f>(INDEX(Tabla6[#All],MATCH(Tabla4[[#This Row],[Producto]],Tabla6[[#All],[PRODUCTO]],0),MATCH(Tabla4[[#This Row],[Mes]],Tabla6[#Headers],0)))</f>
        <v>#N/A</v>
      </c>
      <c r="R6783" s="282" t="e">
        <f>++Tabla4[[#This Row],[Precio Unitario Neto]]-Tabla4[[#This Row],[20.85%]]-Tabla4[[#This Row],[Costo]]</f>
        <v>#N/A</v>
      </c>
      <c r="S6783" s="282" t="e">
        <f>++Tabla4[[#This Row],[U. Bruta Uni]]*Tabla4[[#This Row],[Cantidad]]</f>
        <v>#N/A</v>
      </c>
      <c r="T6783" s="369" t="str">
        <f>VLOOKUP(Tabla4[[#This Row],[Producto]],Tabla6[#All],14,FALSE)</f>
        <v>Termico Solar</v>
      </c>
      <c r="U6783" s="284" t="e">
        <f>(IF(Tabla4[[#This Row],[Familia]]="termico solar",Tabla4[[#This Row],[Utilidad Total]]*6%,Tabla4[[#This Row],[Utilidad Total]]*11.5%))/Tabla4[[#This Row],[Total]]</f>
        <v>#N/A</v>
      </c>
      <c r="V6783" s="282" t="e">
        <f>+Tabla4[[#This Row],[Comisión Calculada]]*Tabla4[[#This Row],[Total]]</f>
        <v>#N/A</v>
      </c>
    </row>
    <row r="6784" spans="1:22" hidden="1" x14ac:dyDescent="0.25">
      <c r="A6784" s="100">
        <v>45976</v>
      </c>
      <c r="B6784" t="str">
        <f t="shared" si="451"/>
        <v>November</v>
      </c>
      <c r="C6784" s="46" t="s">
        <v>280</v>
      </c>
      <c r="F6784" s="366" t="s">
        <v>3423</v>
      </c>
      <c r="G6784" s="46" t="s">
        <v>208</v>
      </c>
      <c r="H6784" s="46">
        <v>6</v>
      </c>
      <c r="I6784" s="51">
        <v>189.75</v>
      </c>
      <c r="J6784" s="281">
        <f>++Tabla4[[#This Row],[Precio Bruto]]*1.16</f>
        <v>220.10999999999999</v>
      </c>
      <c r="K6784" s="281">
        <f>+Tabla4[[#This Row],[Precio Unitario Neto]]*Tabla4[[#Headers],[20.85%]]</f>
        <v>45.892934999999994</v>
      </c>
      <c r="L6784" s="282">
        <f>++Tabla4[[#This Row],[Precio Unitario Neto]]-Tabla4[[#This Row],[20.85%]]</f>
        <v>174.21706499999999</v>
      </c>
      <c r="M6784" s="282" t="e">
        <f>(INDEX(Tabla6[#All],MATCH(Tabla4[[#This Row],[Producto]],Tabla6[[#All],[PRODUCTO]],0),MATCH(Tabla4[[#This Row],[Mes]],Tabla6[#Headers],0)))*(1+Catalogos!$L$2)</f>
        <v>#N/A</v>
      </c>
      <c r="N6784" s="283" t="e">
        <f>+(Tabla4[[#This Row],[Precio Descontado]]-Tabla4[[#This Row],[Precio Base]])*Tabla4[[#This Row],[Cantidad]]</f>
        <v>#N/A</v>
      </c>
      <c r="O6784" s="284" t="e">
        <f>++Tabla4[[#This Row],[Utilidad Total]]/Tabla4[[#This Row],[Total]]</f>
        <v>#N/A</v>
      </c>
      <c r="P6784" s="282">
        <f>++Tabla4[[#This Row],[Precio Descontado]]*Tabla4[[#This Row],[Cantidad]]</f>
        <v>1045.3023899999998</v>
      </c>
      <c r="Q6784" s="282" t="e">
        <f>(INDEX(Tabla6[#All],MATCH(Tabla4[[#This Row],[Producto]],Tabla6[[#All],[PRODUCTO]],0),MATCH(Tabla4[[#This Row],[Mes]],Tabla6[#Headers],0)))</f>
        <v>#N/A</v>
      </c>
      <c r="R6784" s="282" t="e">
        <f>++Tabla4[[#This Row],[Precio Unitario Neto]]-Tabla4[[#This Row],[20.85%]]-Tabla4[[#This Row],[Costo]]</f>
        <v>#N/A</v>
      </c>
      <c r="S6784" s="282" t="e">
        <f>++Tabla4[[#This Row],[U. Bruta Uni]]*Tabla4[[#This Row],[Cantidad]]</f>
        <v>#N/A</v>
      </c>
      <c r="T6784" s="369" t="str">
        <f>VLOOKUP(Tabla4[[#This Row],[Producto]],Tabla6[#All],14,FALSE)</f>
        <v>Termico Solar</v>
      </c>
      <c r="U6784" s="284" t="e">
        <f>(IF(Tabla4[[#This Row],[Familia]]="termico solar",Tabla4[[#This Row],[Utilidad Total]]*6%,Tabla4[[#This Row],[Utilidad Total]]*11.5%))/Tabla4[[#This Row],[Total]]</f>
        <v>#N/A</v>
      </c>
      <c r="V6784" s="282" t="e">
        <f>+Tabla4[[#This Row],[Comisión Calculada]]*Tabla4[[#This Row],[Total]]</f>
        <v>#N/A</v>
      </c>
    </row>
    <row r="6785" spans="1:22" hidden="1" x14ac:dyDescent="0.25">
      <c r="A6785" s="100">
        <v>45976</v>
      </c>
      <c r="B6785" t="str">
        <f>TEXT(A6785, "mmmm")</f>
        <v>November</v>
      </c>
      <c r="C6785" s="46" t="s">
        <v>280</v>
      </c>
      <c r="F6785" s="366" t="s">
        <v>3424</v>
      </c>
      <c r="G6785" s="46" t="s">
        <v>18</v>
      </c>
      <c r="H6785" s="46">
        <v>2</v>
      </c>
      <c r="I6785" s="51">
        <v>5367.65</v>
      </c>
      <c r="J6785" s="281">
        <f>++Tabla4[[#This Row],[Precio Bruto]]*1.16</f>
        <v>6226.4739999999993</v>
      </c>
      <c r="K6785" s="281">
        <f>+Tabla4[[#This Row],[Precio Unitario Neto]]*Tabla4[[#Headers],[20.85%]]</f>
        <v>1298.2198289999999</v>
      </c>
      <c r="L6785" s="282">
        <f>++Tabla4[[#This Row],[Precio Unitario Neto]]-Tabla4[[#This Row],[20.85%]]</f>
        <v>4928.2541709999996</v>
      </c>
      <c r="M6785" s="282" t="e">
        <f>(INDEX(Tabla6[#All],MATCH(Tabla4[[#This Row],[Producto]],Tabla6[[#All],[PRODUCTO]],0),MATCH(Tabla4[[#This Row],[Mes]],Tabla6[#Headers],0)))*(1+Catalogos!$L$2)</f>
        <v>#N/A</v>
      </c>
      <c r="N6785" s="283" t="e">
        <f>+(Tabla4[[#This Row],[Precio Descontado]]-Tabla4[[#This Row],[Precio Base]])*Tabla4[[#This Row],[Cantidad]]</f>
        <v>#N/A</v>
      </c>
      <c r="O6785" s="284" t="e">
        <f>++Tabla4[[#This Row],[Utilidad Total]]/Tabla4[[#This Row],[Total]]</f>
        <v>#N/A</v>
      </c>
      <c r="P6785" s="282">
        <f>++Tabla4[[#This Row],[Precio Descontado]]*Tabla4[[#This Row],[Cantidad]]</f>
        <v>9856.5083419999992</v>
      </c>
      <c r="Q6785" s="282" t="e">
        <f>(INDEX(Tabla6[#All],MATCH(Tabla4[[#This Row],[Producto]],Tabla6[[#All],[PRODUCTO]],0),MATCH(Tabla4[[#This Row],[Mes]],Tabla6[#Headers],0)))</f>
        <v>#N/A</v>
      </c>
      <c r="R6785" s="282" t="e">
        <f>++Tabla4[[#This Row],[Precio Unitario Neto]]-Tabla4[[#This Row],[20.85%]]-Tabla4[[#This Row],[Costo]]</f>
        <v>#N/A</v>
      </c>
      <c r="S6785" s="282" t="e">
        <f>++Tabla4[[#This Row],[U. Bruta Uni]]*Tabla4[[#This Row],[Cantidad]]</f>
        <v>#N/A</v>
      </c>
      <c r="T6785" s="369" t="str">
        <f>VLOOKUP(Tabla4[[#This Row],[Producto]],Tabla6[#All],14,FALSE)</f>
        <v>Termico Solar</v>
      </c>
      <c r="U6785" s="284" t="e">
        <f>(IF(Tabla4[[#This Row],[Familia]]="termico solar",Tabla4[[#This Row],[Utilidad Total]]*6%,Tabla4[[#This Row],[Utilidad Total]]*11.5%))/Tabla4[[#This Row],[Total]]</f>
        <v>#N/A</v>
      </c>
      <c r="V6785" s="282" t="e">
        <f>+Tabla4[[#This Row],[Comisión Calculada]]*Tabla4[[#This Row],[Total]]</f>
        <v>#N/A</v>
      </c>
    </row>
    <row r="6786" spans="1:22" hidden="1" x14ac:dyDescent="0.25">
      <c r="A6786" s="100">
        <v>45976</v>
      </c>
      <c r="B6786" t="str">
        <f t="shared" ref="B6786:B6787" si="452">TEXT(A6786, "mmmm")</f>
        <v>November</v>
      </c>
      <c r="C6786" s="46" t="s">
        <v>280</v>
      </c>
      <c r="F6786" s="366" t="s">
        <v>3425</v>
      </c>
      <c r="G6786" s="46" t="s">
        <v>17</v>
      </c>
      <c r="H6786" s="46">
        <v>1</v>
      </c>
      <c r="I6786" s="51">
        <v>4622.28</v>
      </c>
      <c r="J6786" s="281">
        <f>++Tabla4[[#This Row],[Precio Bruto]]*1.16</f>
        <v>5361.8447999999989</v>
      </c>
      <c r="K6786" s="281">
        <f>+Tabla4[[#This Row],[Precio Unitario Neto]]*Tabla4[[#Headers],[20.85%]]</f>
        <v>1117.9446407999997</v>
      </c>
      <c r="L6786" s="282">
        <f>++Tabla4[[#This Row],[Precio Unitario Neto]]-Tabla4[[#This Row],[20.85%]]</f>
        <v>4243.9001591999995</v>
      </c>
      <c r="M6786" s="282" t="e">
        <f>(INDEX(Tabla6[#All],MATCH(Tabla4[[#This Row],[Producto]],Tabla6[[#All],[PRODUCTO]],0),MATCH(Tabla4[[#This Row],[Mes]],Tabla6[#Headers],0)))*(1+Catalogos!$L$2)</f>
        <v>#N/A</v>
      </c>
      <c r="N6786" s="283" t="e">
        <f>+(Tabla4[[#This Row],[Precio Descontado]]-Tabla4[[#This Row],[Precio Base]])*Tabla4[[#This Row],[Cantidad]]</f>
        <v>#N/A</v>
      </c>
      <c r="O6786" s="284" t="e">
        <f>++Tabla4[[#This Row],[Utilidad Total]]/Tabla4[[#This Row],[Total]]</f>
        <v>#N/A</v>
      </c>
      <c r="P6786" s="282">
        <f>++Tabla4[[#This Row],[Precio Descontado]]*Tabla4[[#This Row],[Cantidad]]</f>
        <v>4243.9001591999995</v>
      </c>
      <c r="Q6786" s="282" t="e">
        <f>(INDEX(Tabla6[#All],MATCH(Tabla4[[#This Row],[Producto]],Tabla6[[#All],[PRODUCTO]],0),MATCH(Tabla4[[#This Row],[Mes]],Tabla6[#Headers],0)))</f>
        <v>#N/A</v>
      </c>
      <c r="R6786" s="282" t="e">
        <f>++Tabla4[[#This Row],[Precio Unitario Neto]]-Tabla4[[#This Row],[20.85%]]-Tabla4[[#This Row],[Costo]]</f>
        <v>#N/A</v>
      </c>
      <c r="S6786" s="282" t="e">
        <f>++Tabla4[[#This Row],[U. Bruta Uni]]*Tabla4[[#This Row],[Cantidad]]</f>
        <v>#N/A</v>
      </c>
      <c r="T6786" s="369" t="str">
        <f>VLOOKUP(Tabla4[[#This Row],[Producto]],Tabla6[#All],14,FALSE)</f>
        <v>Termico Solar</v>
      </c>
      <c r="U6786" s="284" t="e">
        <f>(IF(Tabla4[[#This Row],[Familia]]="termico solar",Tabla4[[#This Row],[Utilidad Total]]*6%,Tabla4[[#This Row],[Utilidad Total]]*11.5%))/Tabla4[[#This Row],[Total]]</f>
        <v>#N/A</v>
      </c>
      <c r="V6786" s="282" t="e">
        <f>+Tabla4[[#This Row],[Comisión Calculada]]*Tabla4[[#This Row],[Total]]</f>
        <v>#N/A</v>
      </c>
    </row>
    <row r="6787" spans="1:22" hidden="1" x14ac:dyDescent="0.25">
      <c r="A6787" s="100">
        <v>45976</v>
      </c>
      <c r="B6787" t="str">
        <f t="shared" si="452"/>
        <v>November</v>
      </c>
      <c r="C6787" s="46" t="s">
        <v>280</v>
      </c>
      <c r="F6787" s="366" t="s">
        <v>3425</v>
      </c>
      <c r="G6787" s="46" t="s">
        <v>18</v>
      </c>
      <c r="H6787" s="46">
        <v>3</v>
      </c>
      <c r="I6787" s="51">
        <v>5367.6500000000005</v>
      </c>
      <c r="J6787" s="281">
        <f>++Tabla4[[#This Row],[Precio Bruto]]*1.16</f>
        <v>6226.4740000000002</v>
      </c>
      <c r="K6787" s="281">
        <f>+Tabla4[[#This Row],[Precio Unitario Neto]]*Tabla4[[#Headers],[20.85%]]</f>
        <v>1298.2198289999999</v>
      </c>
      <c r="L6787" s="282">
        <f>++Tabla4[[#This Row],[Precio Unitario Neto]]-Tabla4[[#This Row],[20.85%]]</f>
        <v>4928.2541710000005</v>
      </c>
      <c r="M6787" s="282" t="e">
        <f>(INDEX(Tabla6[#All],MATCH(Tabla4[[#This Row],[Producto]],Tabla6[[#All],[PRODUCTO]],0),MATCH(Tabla4[[#This Row],[Mes]],Tabla6[#Headers],0)))*(1+Catalogos!$L$2)</f>
        <v>#N/A</v>
      </c>
      <c r="N6787" s="283" t="e">
        <f>+(Tabla4[[#This Row],[Precio Descontado]]-Tabla4[[#This Row],[Precio Base]])*Tabla4[[#This Row],[Cantidad]]</f>
        <v>#N/A</v>
      </c>
      <c r="O6787" s="284" t="e">
        <f>++Tabla4[[#This Row],[Utilidad Total]]/Tabla4[[#This Row],[Total]]</f>
        <v>#N/A</v>
      </c>
      <c r="P6787" s="282">
        <f>++Tabla4[[#This Row],[Precio Descontado]]*Tabla4[[#This Row],[Cantidad]]</f>
        <v>14784.762513000001</v>
      </c>
      <c r="Q6787" s="282" t="e">
        <f>(INDEX(Tabla6[#All],MATCH(Tabla4[[#This Row],[Producto]],Tabla6[[#All],[PRODUCTO]],0),MATCH(Tabla4[[#This Row],[Mes]],Tabla6[#Headers],0)))</f>
        <v>#N/A</v>
      </c>
      <c r="R6787" s="282" t="e">
        <f>++Tabla4[[#This Row],[Precio Unitario Neto]]-Tabla4[[#This Row],[20.85%]]-Tabla4[[#This Row],[Costo]]</f>
        <v>#N/A</v>
      </c>
      <c r="S6787" s="282" t="e">
        <f>++Tabla4[[#This Row],[U. Bruta Uni]]*Tabla4[[#This Row],[Cantidad]]</f>
        <v>#N/A</v>
      </c>
      <c r="T6787" s="369" t="str">
        <f>VLOOKUP(Tabla4[[#This Row],[Producto]],Tabla6[#All],14,FALSE)</f>
        <v>Termico Solar</v>
      </c>
      <c r="U6787" s="284" t="e">
        <f>(IF(Tabla4[[#This Row],[Familia]]="termico solar",Tabla4[[#This Row],[Utilidad Total]]*6%,Tabla4[[#This Row],[Utilidad Total]]*11.5%))/Tabla4[[#This Row],[Total]]</f>
        <v>#N/A</v>
      </c>
      <c r="V6787" s="282" t="e">
        <f>+Tabla4[[#This Row],[Comisión Calculada]]*Tabla4[[#This Row],[Total]]</f>
        <v>#N/A</v>
      </c>
    </row>
    <row r="6788" spans="1:22" hidden="1" x14ac:dyDescent="0.25">
      <c r="A6788" s="100">
        <v>45976</v>
      </c>
      <c r="B6788" t="str">
        <f>TEXT(A6788, "mmmm")</f>
        <v>November</v>
      </c>
      <c r="C6788" s="46" t="s">
        <v>280</v>
      </c>
      <c r="F6788" s="366" t="s">
        <v>3426</v>
      </c>
      <c r="G6788" s="46" t="s">
        <v>17</v>
      </c>
      <c r="H6788" s="46">
        <v>2</v>
      </c>
      <c r="I6788" s="51">
        <v>4622.28</v>
      </c>
      <c r="J6788" s="281">
        <f>++Tabla4[[#This Row],[Precio Bruto]]*1.16</f>
        <v>5361.8447999999989</v>
      </c>
      <c r="K6788" s="281">
        <f>+Tabla4[[#This Row],[Precio Unitario Neto]]*Tabla4[[#Headers],[20.85%]]</f>
        <v>1117.9446407999997</v>
      </c>
      <c r="L6788" s="282">
        <f>++Tabla4[[#This Row],[Precio Unitario Neto]]-Tabla4[[#This Row],[20.85%]]</f>
        <v>4243.9001591999995</v>
      </c>
      <c r="M6788" s="282" t="e">
        <f>(INDEX(Tabla6[#All],MATCH(Tabla4[[#This Row],[Producto]],Tabla6[[#All],[PRODUCTO]],0),MATCH(Tabla4[[#This Row],[Mes]],Tabla6[#Headers],0)))*(1+Catalogos!$L$2)</f>
        <v>#N/A</v>
      </c>
      <c r="N6788" s="283" t="e">
        <f>+(Tabla4[[#This Row],[Precio Descontado]]-Tabla4[[#This Row],[Precio Base]])*Tabla4[[#This Row],[Cantidad]]</f>
        <v>#N/A</v>
      </c>
      <c r="O6788" s="284" t="e">
        <f>++Tabla4[[#This Row],[Utilidad Total]]/Tabla4[[#This Row],[Total]]</f>
        <v>#N/A</v>
      </c>
      <c r="P6788" s="282">
        <f>++Tabla4[[#This Row],[Precio Descontado]]*Tabla4[[#This Row],[Cantidad]]</f>
        <v>8487.800318399999</v>
      </c>
      <c r="Q6788" s="282" t="e">
        <f>(INDEX(Tabla6[#All],MATCH(Tabla4[[#This Row],[Producto]],Tabla6[[#All],[PRODUCTO]],0),MATCH(Tabla4[[#This Row],[Mes]],Tabla6[#Headers],0)))</f>
        <v>#N/A</v>
      </c>
      <c r="R6788" s="282" t="e">
        <f>++Tabla4[[#This Row],[Precio Unitario Neto]]-Tabla4[[#This Row],[20.85%]]-Tabla4[[#This Row],[Costo]]</f>
        <v>#N/A</v>
      </c>
      <c r="S6788" s="282" t="e">
        <f>++Tabla4[[#This Row],[U. Bruta Uni]]*Tabla4[[#This Row],[Cantidad]]</f>
        <v>#N/A</v>
      </c>
      <c r="T6788" s="369" t="str">
        <f>VLOOKUP(Tabla4[[#This Row],[Producto]],Tabla6[#All],14,FALSE)</f>
        <v>Termico Solar</v>
      </c>
      <c r="U6788" s="284" t="e">
        <f>(IF(Tabla4[[#This Row],[Familia]]="termico solar",Tabla4[[#This Row],[Utilidad Total]]*6%,Tabla4[[#This Row],[Utilidad Total]]*11.5%))/Tabla4[[#This Row],[Total]]</f>
        <v>#N/A</v>
      </c>
      <c r="V6788" s="282" t="e">
        <f>+Tabla4[[#This Row],[Comisión Calculada]]*Tabla4[[#This Row],[Total]]</f>
        <v>#N/A</v>
      </c>
    </row>
    <row r="6789" spans="1:22" hidden="1" x14ac:dyDescent="0.25">
      <c r="A6789" s="100">
        <v>45976</v>
      </c>
      <c r="B6789" t="str">
        <f t="shared" ref="B6789:B6791" si="453">TEXT(A6789, "mmmm")</f>
        <v>November</v>
      </c>
      <c r="C6789" s="46" t="s">
        <v>280</v>
      </c>
      <c r="F6789" s="366" t="s">
        <v>3427</v>
      </c>
      <c r="G6789" s="46" t="s">
        <v>17</v>
      </c>
      <c r="H6789" s="46">
        <v>3</v>
      </c>
      <c r="I6789" s="51">
        <v>4622.28</v>
      </c>
      <c r="J6789" s="281">
        <f>++Tabla4[[#This Row],[Precio Bruto]]*1.16</f>
        <v>5361.8447999999989</v>
      </c>
      <c r="K6789" s="281">
        <f>+Tabla4[[#This Row],[Precio Unitario Neto]]*Tabla4[[#Headers],[20.85%]]</f>
        <v>1117.9446407999997</v>
      </c>
      <c r="L6789" s="282">
        <f>++Tabla4[[#This Row],[Precio Unitario Neto]]-Tabla4[[#This Row],[20.85%]]</f>
        <v>4243.9001591999995</v>
      </c>
      <c r="M6789" s="282" t="e">
        <f>(INDEX(Tabla6[#All],MATCH(Tabla4[[#This Row],[Producto]],Tabla6[[#All],[PRODUCTO]],0),MATCH(Tabla4[[#This Row],[Mes]],Tabla6[#Headers],0)))*(1+Catalogos!$L$2)</f>
        <v>#N/A</v>
      </c>
      <c r="N6789" s="283" t="e">
        <f>+(Tabla4[[#This Row],[Precio Descontado]]-Tabla4[[#This Row],[Precio Base]])*Tabla4[[#This Row],[Cantidad]]</f>
        <v>#N/A</v>
      </c>
      <c r="O6789" s="284" t="e">
        <f>++Tabla4[[#This Row],[Utilidad Total]]/Tabla4[[#This Row],[Total]]</f>
        <v>#N/A</v>
      </c>
      <c r="P6789" s="282">
        <f>++Tabla4[[#This Row],[Precio Descontado]]*Tabla4[[#This Row],[Cantidad]]</f>
        <v>12731.700477599999</v>
      </c>
      <c r="Q6789" s="282" t="e">
        <f>(INDEX(Tabla6[#All],MATCH(Tabla4[[#This Row],[Producto]],Tabla6[[#All],[PRODUCTO]],0),MATCH(Tabla4[[#This Row],[Mes]],Tabla6[#Headers],0)))</f>
        <v>#N/A</v>
      </c>
      <c r="R6789" s="282" t="e">
        <f>++Tabla4[[#This Row],[Precio Unitario Neto]]-Tabla4[[#This Row],[20.85%]]-Tabla4[[#This Row],[Costo]]</f>
        <v>#N/A</v>
      </c>
      <c r="S6789" s="282" t="e">
        <f>++Tabla4[[#This Row],[U. Bruta Uni]]*Tabla4[[#This Row],[Cantidad]]</f>
        <v>#N/A</v>
      </c>
      <c r="T6789" s="369" t="str">
        <f>VLOOKUP(Tabla4[[#This Row],[Producto]],Tabla6[#All],14,FALSE)</f>
        <v>Termico Solar</v>
      </c>
      <c r="U6789" s="284" t="e">
        <f>(IF(Tabla4[[#This Row],[Familia]]="termico solar",Tabla4[[#This Row],[Utilidad Total]]*6%,Tabla4[[#This Row],[Utilidad Total]]*11.5%))/Tabla4[[#This Row],[Total]]</f>
        <v>#N/A</v>
      </c>
      <c r="V6789" s="282" t="e">
        <f>+Tabla4[[#This Row],[Comisión Calculada]]*Tabla4[[#This Row],[Total]]</f>
        <v>#N/A</v>
      </c>
    </row>
    <row r="6790" spans="1:22" hidden="1" x14ac:dyDescent="0.25">
      <c r="A6790" s="100">
        <v>45976</v>
      </c>
      <c r="B6790" t="str">
        <f t="shared" si="453"/>
        <v>November</v>
      </c>
      <c r="C6790" s="46" t="s">
        <v>280</v>
      </c>
      <c r="F6790" s="366" t="s">
        <v>3427</v>
      </c>
      <c r="G6790" s="46" t="s">
        <v>18</v>
      </c>
      <c r="H6790" s="46">
        <v>1</v>
      </c>
      <c r="I6790" s="51">
        <v>5367.65</v>
      </c>
      <c r="J6790" s="281">
        <f>++Tabla4[[#This Row],[Precio Bruto]]*1.16</f>
        <v>6226.4739999999993</v>
      </c>
      <c r="K6790" s="281">
        <f>+Tabla4[[#This Row],[Precio Unitario Neto]]*Tabla4[[#Headers],[20.85%]]</f>
        <v>1298.2198289999999</v>
      </c>
      <c r="L6790" s="282">
        <f>++Tabla4[[#This Row],[Precio Unitario Neto]]-Tabla4[[#This Row],[20.85%]]</f>
        <v>4928.2541709999996</v>
      </c>
      <c r="M6790" s="282" t="e">
        <f>(INDEX(Tabla6[#All],MATCH(Tabla4[[#This Row],[Producto]],Tabla6[[#All],[PRODUCTO]],0),MATCH(Tabla4[[#This Row],[Mes]],Tabla6[#Headers],0)))*(1+Catalogos!$L$2)</f>
        <v>#N/A</v>
      </c>
      <c r="N6790" s="283" t="e">
        <f>+(Tabla4[[#This Row],[Precio Descontado]]-Tabla4[[#This Row],[Precio Base]])*Tabla4[[#This Row],[Cantidad]]</f>
        <v>#N/A</v>
      </c>
      <c r="O6790" s="284" t="e">
        <f>++Tabla4[[#This Row],[Utilidad Total]]/Tabla4[[#This Row],[Total]]</f>
        <v>#N/A</v>
      </c>
      <c r="P6790" s="282">
        <f>++Tabla4[[#This Row],[Precio Descontado]]*Tabla4[[#This Row],[Cantidad]]</f>
        <v>4928.2541709999996</v>
      </c>
      <c r="Q6790" s="282" t="e">
        <f>(INDEX(Tabla6[#All],MATCH(Tabla4[[#This Row],[Producto]],Tabla6[[#All],[PRODUCTO]],0),MATCH(Tabla4[[#This Row],[Mes]],Tabla6[#Headers],0)))</f>
        <v>#N/A</v>
      </c>
      <c r="R6790" s="282" t="e">
        <f>++Tabla4[[#This Row],[Precio Unitario Neto]]-Tabla4[[#This Row],[20.85%]]-Tabla4[[#This Row],[Costo]]</f>
        <v>#N/A</v>
      </c>
      <c r="S6790" s="282" t="e">
        <f>++Tabla4[[#This Row],[U. Bruta Uni]]*Tabla4[[#This Row],[Cantidad]]</f>
        <v>#N/A</v>
      </c>
      <c r="T6790" s="369" t="str">
        <f>VLOOKUP(Tabla4[[#This Row],[Producto]],Tabla6[#All],14,FALSE)</f>
        <v>Termico Solar</v>
      </c>
      <c r="U6790" s="284" t="e">
        <f>(IF(Tabla4[[#This Row],[Familia]]="termico solar",Tabla4[[#This Row],[Utilidad Total]]*6%,Tabla4[[#This Row],[Utilidad Total]]*11.5%))/Tabla4[[#This Row],[Total]]</f>
        <v>#N/A</v>
      </c>
      <c r="V6790" s="282" t="e">
        <f>+Tabla4[[#This Row],[Comisión Calculada]]*Tabla4[[#This Row],[Total]]</f>
        <v>#N/A</v>
      </c>
    </row>
    <row r="6791" spans="1:22" hidden="1" x14ac:dyDescent="0.25">
      <c r="A6791" s="100">
        <v>45976</v>
      </c>
      <c r="B6791" t="str">
        <f t="shared" si="453"/>
        <v>November</v>
      </c>
      <c r="C6791" s="46" t="s">
        <v>280</v>
      </c>
      <c r="F6791" s="366" t="s">
        <v>3427</v>
      </c>
      <c r="G6791" s="46" t="s">
        <v>16</v>
      </c>
      <c r="H6791" s="46">
        <v>1</v>
      </c>
      <c r="I6791" s="51">
        <v>4103.8500000000004</v>
      </c>
      <c r="J6791" s="281">
        <f>++Tabla4[[#This Row],[Precio Bruto]]*1.16</f>
        <v>4760.4660000000003</v>
      </c>
      <c r="K6791" s="281">
        <f>+Tabla4[[#This Row],[Precio Unitario Neto]]*Tabla4[[#Headers],[20.85%]]</f>
        <v>992.55716100000006</v>
      </c>
      <c r="L6791" s="282">
        <f>++Tabla4[[#This Row],[Precio Unitario Neto]]-Tabla4[[#This Row],[20.85%]]</f>
        <v>3767.9088390000002</v>
      </c>
      <c r="M6791" s="282" t="e">
        <f>(INDEX(Tabla6[#All],MATCH(Tabla4[[#This Row],[Producto]],Tabla6[[#All],[PRODUCTO]],0),MATCH(Tabla4[[#This Row],[Mes]],Tabla6[#Headers],0)))*(1+Catalogos!$L$2)</f>
        <v>#N/A</v>
      </c>
      <c r="N6791" s="283" t="e">
        <f>+(Tabla4[[#This Row],[Precio Descontado]]-Tabla4[[#This Row],[Precio Base]])*Tabla4[[#This Row],[Cantidad]]</f>
        <v>#N/A</v>
      </c>
      <c r="O6791" s="284" t="e">
        <f>++Tabla4[[#This Row],[Utilidad Total]]/Tabla4[[#This Row],[Total]]</f>
        <v>#N/A</v>
      </c>
      <c r="P6791" s="282">
        <f>++Tabla4[[#This Row],[Precio Descontado]]*Tabla4[[#This Row],[Cantidad]]</f>
        <v>3767.9088390000002</v>
      </c>
      <c r="Q6791" s="282" t="e">
        <f>(INDEX(Tabla6[#All],MATCH(Tabla4[[#This Row],[Producto]],Tabla6[[#All],[PRODUCTO]],0),MATCH(Tabla4[[#This Row],[Mes]],Tabla6[#Headers],0)))</f>
        <v>#N/A</v>
      </c>
      <c r="R6791" s="282" t="e">
        <f>++Tabla4[[#This Row],[Precio Unitario Neto]]-Tabla4[[#This Row],[20.85%]]-Tabla4[[#This Row],[Costo]]</f>
        <v>#N/A</v>
      </c>
      <c r="S6791" s="282" t="e">
        <f>++Tabla4[[#This Row],[U. Bruta Uni]]*Tabla4[[#This Row],[Cantidad]]</f>
        <v>#N/A</v>
      </c>
      <c r="T6791" s="369" t="str">
        <f>VLOOKUP(Tabla4[[#This Row],[Producto]],Tabla6[#All],14,FALSE)</f>
        <v>Termico Solar</v>
      </c>
      <c r="U6791" s="284" t="e">
        <f>(IF(Tabla4[[#This Row],[Familia]]="termico solar",Tabla4[[#This Row],[Utilidad Total]]*6%,Tabla4[[#This Row],[Utilidad Total]]*11.5%))/Tabla4[[#This Row],[Total]]</f>
        <v>#N/A</v>
      </c>
      <c r="V6791" s="282" t="e">
        <f>+Tabla4[[#This Row],[Comisión Calculada]]*Tabla4[[#This Row],[Total]]</f>
        <v>#N/A</v>
      </c>
    </row>
    <row r="6792" spans="1:22" hidden="1" x14ac:dyDescent="0.25">
      <c r="A6792" s="100">
        <v>45976</v>
      </c>
      <c r="B6792" t="str">
        <f t="shared" ref="B6792:B6794" si="454">TEXT(A6792, "mmmm")</f>
        <v>November</v>
      </c>
      <c r="C6792" s="46" t="s">
        <v>280</v>
      </c>
      <c r="F6792" s="366" t="s">
        <v>3428</v>
      </c>
      <c r="G6792" s="46" t="s">
        <v>83</v>
      </c>
      <c r="H6792" s="46">
        <v>3</v>
      </c>
      <c r="I6792" s="51">
        <v>8858.76</v>
      </c>
      <c r="J6792" s="281">
        <f>++Tabla4[[#This Row],[Precio Bruto]]*1.16</f>
        <v>10276.161599999999</v>
      </c>
      <c r="K6792" s="281">
        <f>+Tabla4[[#This Row],[Precio Unitario Neto]]*Tabla4[[#Headers],[20.85%]]</f>
        <v>2142.5796935999997</v>
      </c>
      <c r="L6792" s="282">
        <f>++Tabla4[[#This Row],[Precio Unitario Neto]]-Tabla4[[#This Row],[20.85%]]</f>
        <v>8133.5819063999998</v>
      </c>
      <c r="M6792" s="282" t="e">
        <f>(INDEX(Tabla6[#All],MATCH(Tabla4[[#This Row],[Producto]],Tabla6[[#All],[PRODUCTO]],0),MATCH(Tabla4[[#This Row],[Mes]],Tabla6[#Headers],0)))*(1+Catalogos!$L$2)</f>
        <v>#N/A</v>
      </c>
      <c r="N6792" s="283" t="e">
        <f>+(Tabla4[[#This Row],[Precio Descontado]]-Tabla4[[#This Row],[Precio Base]])*Tabla4[[#This Row],[Cantidad]]</f>
        <v>#N/A</v>
      </c>
      <c r="O6792" s="284" t="e">
        <f>++Tabla4[[#This Row],[Utilidad Total]]/Tabla4[[#This Row],[Total]]</f>
        <v>#N/A</v>
      </c>
      <c r="P6792" s="282">
        <f>++Tabla4[[#This Row],[Precio Descontado]]*Tabla4[[#This Row],[Cantidad]]</f>
        <v>24400.7457192</v>
      </c>
      <c r="Q6792" s="282" t="e">
        <f>(INDEX(Tabla6[#All],MATCH(Tabla4[[#This Row],[Producto]],Tabla6[[#All],[PRODUCTO]],0),MATCH(Tabla4[[#This Row],[Mes]],Tabla6[#Headers],0)))</f>
        <v>#N/A</v>
      </c>
      <c r="R6792" s="282" t="e">
        <f>++Tabla4[[#This Row],[Precio Unitario Neto]]-Tabla4[[#This Row],[20.85%]]-Tabla4[[#This Row],[Costo]]</f>
        <v>#N/A</v>
      </c>
      <c r="S6792" s="282" t="e">
        <f>++Tabla4[[#This Row],[U. Bruta Uni]]*Tabla4[[#This Row],[Cantidad]]</f>
        <v>#N/A</v>
      </c>
      <c r="T6792" s="369" t="str">
        <f>VLOOKUP(Tabla4[[#This Row],[Producto]],Tabla6[#All],14,FALSE)</f>
        <v>Termico Solar</v>
      </c>
      <c r="U6792" s="284" t="e">
        <f>(IF(Tabla4[[#This Row],[Familia]]="termico solar",Tabla4[[#This Row],[Utilidad Total]]*6%,Tabla4[[#This Row],[Utilidad Total]]*11.5%))/Tabla4[[#This Row],[Total]]</f>
        <v>#N/A</v>
      </c>
      <c r="V6792" s="282" t="e">
        <f>+Tabla4[[#This Row],[Comisión Calculada]]*Tabla4[[#This Row],[Total]]</f>
        <v>#N/A</v>
      </c>
    </row>
    <row r="6793" spans="1:22" hidden="1" x14ac:dyDescent="0.25">
      <c r="A6793" s="100">
        <v>45976</v>
      </c>
      <c r="B6793" t="str">
        <f t="shared" si="454"/>
        <v>November</v>
      </c>
      <c r="C6793" s="46" t="s">
        <v>280</v>
      </c>
      <c r="F6793" s="366" t="s">
        <v>3428</v>
      </c>
      <c r="G6793" s="46" t="s">
        <v>18</v>
      </c>
      <c r="H6793" s="46">
        <v>1</v>
      </c>
      <c r="I6793" s="51">
        <v>5367.65</v>
      </c>
      <c r="J6793" s="281">
        <f>++Tabla4[[#This Row],[Precio Bruto]]*1.16</f>
        <v>6226.4739999999993</v>
      </c>
      <c r="K6793" s="281">
        <f>+Tabla4[[#This Row],[Precio Unitario Neto]]*Tabla4[[#Headers],[20.85%]]</f>
        <v>1298.2198289999999</v>
      </c>
      <c r="L6793" s="282">
        <f>++Tabla4[[#This Row],[Precio Unitario Neto]]-Tabla4[[#This Row],[20.85%]]</f>
        <v>4928.2541709999996</v>
      </c>
      <c r="M6793" s="282" t="e">
        <f>(INDEX(Tabla6[#All],MATCH(Tabla4[[#This Row],[Producto]],Tabla6[[#All],[PRODUCTO]],0),MATCH(Tabla4[[#This Row],[Mes]],Tabla6[#Headers],0)))*(1+Catalogos!$L$2)</f>
        <v>#N/A</v>
      </c>
      <c r="N6793" s="283" t="e">
        <f>+(Tabla4[[#This Row],[Precio Descontado]]-Tabla4[[#This Row],[Precio Base]])*Tabla4[[#This Row],[Cantidad]]</f>
        <v>#N/A</v>
      </c>
      <c r="O6793" s="284" t="e">
        <f>++Tabla4[[#This Row],[Utilidad Total]]/Tabla4[[#This Row],[Total]]</f>
        <v>#N/A</v>
      </c>
      <c r="P6793" s="282">
        <f>++Tabla4[[#This Row],[Precio Descontado]]*Tabla4[[#This Row],[Cantidad]]</f>
        <v>4928.2541709999996</v>
      </c>
      <c r="Q6793" s="282" t="e">
        <f>(INDEX(Tabla6[#All],MATCH(Tabla4[[#This Row],[Producto]],Tabla6[[#All],[PRODUCTO]],0),MATCH(Tabla4[[#This Row],[Mes]],Tabla6[#Headers],0)))</f>
        <v>#N/A</v>
      </c>
      <c r="R6793" s="282" t="e">
        <f>++Tabla4[[#This Row],[Precio Unitario Neto]]-Tabla4[[#This Row],[20.85%]]-Tabla4[[#This Row],[Costo]]</f>
        <v>#N/A</v>
      </c>
      <c r="S6793" s="282" t="e">
        <f>++Tabla4[[#This Row],[U. Bruta Uni]]*Tabla4[[#This Row],[Cantidad]]</f>
        <v>#N/A</v>
      </c>
      <c r="T6793" s="369" t="str">
        <f>VLOOKUP(Tabla4[[#This Row],[Producto]],Tabla6[#All],14,FALSE)</f>
        <v>Termico Solar</v>
      </c>
      <c r="U6793" s="284" t="e">
        <f>(IF(Tabla4[[#This Row],[Familia]]="termico solar",Tabla4[[#This Row],[Utilidad Total]]*6%,Tabla4[[#This Row],[Utilidad Total]]*11.5%))/Tabla4[[#This Row],[Total]]</f>
        <v>#N/A</v>
      </c>
      <c r="V6793" s="282" t="e">
        <f>+Tabla4[[#This Row],[Comisión Calculada]]*Tabla4[[#This Row],[Total]]</f>
        <v>#N/A</v>
      </c>
    </row>
    <row r="6794" spans="1:22" hidden="1" x14ac:dyDescent="0.25">
      <c r="A6794" s="100">
        <v>45976</v>
      </c>
      <c r="B6794" t="str">
        <f t="shared" si="454"/>
        <v>November</v>
      </c>
      <c r="C6794" s="46" t="s">
        <v>280</v>
      </c>
      <c r="F6794" s="366" t="s">
        <v>3428</v>
      </c>
      <c r="G6794" s="46" t="s">
        <v>16</v>
      </c>
      <c r="H6794" s="46">
        <v>1</v>
      </c>
      <c r="I6794" s="51">
        <v>4103.8500000000004</v>
      </c>
      <c r="J6794" s="281">
        <f>++Tabla4[[#This Row],[Precio Bruto]]*1.16</f>
        <v>4760.4660000000003</v>
      </c>
      <c r="K6794" s="281">
        <f>+Tabla4[[#This Row],[Precio Unitario Neto]]*Tabla4[[#Headers],[20.85%]]</f>
        <v>992.55716100000006</v>
      </c>
      <c r="L6794" s="282">
        <f>++Tabla4[[#This Row],[Precio Unitario Neto]]-Tabla4[[#This Row],[20.85%]]</f>
        <v>3767.9088390000002</v>
      </c>
      <c r="M6794" s="282" t="e">
        <f>(INDEX(Tabla6[#All],MATCH(Tabla4[[#This Row],[Producto]],Tabla6[[#All],[PRODUCTO]],0),MATCH(Tabla4[[#This Row],[Mes]],Tabla6[#Headers],0)))*(1+Catalogos!$L$2)</f>
        <v>#N/A</v>
      </c>
      <c r="N6794" s="283" t="e">
        <f>+(Tabla4[[#This Row],[Precio Descontado]]-Tabla4[[#This Row],[Precio Base]])*Tabla4[[#This Row],[Cantidad]]</f>
        <v>#N/A</v>
      </c>
      <c r="O6794" s="284" t="e">
        <f>++Tabla4[[#This Row],[Utilidad Total]]/Tabla4[[#This Row],[Total]]</f>
        <v>#N/A</v>
      </c>
      <c r="P6794" s="282">
        <f>++Tabla4[[#This Row],[Precio Descontado]]*Tabla4[[#This Row],[Cantidad]]</f>
        <v>3767.9088390000002</v>
      </c>
      <c r="Q6794" s="282" t="e">
        <f>(INDEX(Tabla6[#All],MATCH(Tabla4[[#This Row],[Producto]],Tabla6[[#All],[PRODUCTO]],0),MATCH(Tabla4[[#This Row],[Mes]],Tabla6[#Headers],0)))</f>
        <v>#N/A</v>
      </c>
      <c r="R6794" s="282" t="e">
        <f>++Tabla4[[#This Row],[Precio Unitario Neto]]-Tabla4[[#This Row],[20.85%]]-Tabla4[[#This Row],[Costo]]</f>
        <v>#N/A</v>
      </c>
      <c r="S6794" s="282" t="e">
        <f>++Tabla4[[#This Row],[U. Bruta Uni]]*Tabla4[[#This Row],[Cantidad]]</f>
        <v>#N/A</v>
      </c>
      <c r="T6794" s="369" t="str">
        <f>VLOOKUP(Tabla4[[#This Row],[Producto]],Tabla6[#All],14,FALSE)</f>
        <v>Termico Solar</v>
      </c>
      <c r="U6794" s="284" t="e">
        <f>(IF(Tabla4[[#This Row],[Familia]]="termico solar",Tabla4[[#This Row],[Utilidad Total]]*6%,Tabla4[[#This Row],[Utilidad Total]]*11.5%))/Tabla4[[#This Row],[Total]]</f>
        <v>#N/A</v>
      </c>
      <c r="V6794" s="282" t="e">
        <f>+Tabla4[[#This Row],[Comisión Calculada]]*Tabla4[[#This Row],[Total]]</f>
        <v>#N/A</v>
      </c>
    </row>
    <row r="6795" spans="1:22" hidden="1" x14ac:dyDescent="0.25">
      <c r="A6795" s="100">
        <v>45976</v>
      </c>
      <c r="B6795" t="str">
        <f t="shared" ref="B6795:B6798" si="455">TEXT(A6795, "mmmm")</f>
        <v>November</v>
      </c>
      <c r="C6795" s="46" t="s">
        <v>280</v>
      </c>
      <c r="F6795" s="366" t="s">
        <v>3429</v>
      </c>
      <c r="G6795" s="46" t="s">
        <v>83</v>
      </c>
      <c r="H6795" s="46">
        <v>3</v>
      </c>
      <c r="I6795" s="51">
        <v>8858.76</v>
      </c>
      <c r="J6795" s="281">
        <f>++Tabla4[[#This Row],[Precio Bruto]]*1.16</f>
        <v>10276.161599999999</v>
      </c>
      <c r="K6795" s="281">
        <f>+Tabla4[[#This Row],[Precio Unitario Neto]]*Tabla4[[#Headers],[20.85%]]</f>
        <v>2142.5796935999997</v>
      </c>
      <c r="L6795" s="282">
        <f>++Tabla4[[#This Row],[Precio Unitario Neto]]-Tabla4[[#This Row],[20.85%]]</f>
        <v>8133.5819063999998</v>
      </c>
      <c r="M6795" s="282" t="e">
        <f>(INDEX(Tabla6[#All],MATCH(Tabla4[[#This Row],[Producto]],Tabla6[[#All],[PRODUCTO]],0),MATCH(Tabla4[[#This Row],[Mes]],Tabla6[#Headers],0)))*(1+Catalogos!$L$2)</f>
        <v>#N/A</v>
      </c>
      <c r="N6795" s="283" t="e">
        <f>+(Tabla4[[#This Row],[Precio Descontado]]-Tabla4[[#This Row],[Precio Base]])*Tabla4[[#This Row],[Cantidad]]</f>
        <v>#N/A</v>
      </c>
      <c r="O6795" s="284" t="e">
        <f>++Tabla4[[#This Row],[Utilidad Total]]/Tabla4[[#This Row],[Total]]</f>
        <v>#N/A</v>
      </c>
      <c r="P6795" s="282">
        <f>++Tabla4[[#This Row],[Precio Descontado]]*Tabla4[[#This Row],[Cantidad]]</f>
        <v>24400.7457192</v>
      </c>
      <c r="Q6795" s="282" t="e">
        <f>(INDEX(Tabla6[#All],MATCH(Tabla4[[#This Row],[Producto]],Tabla6[[#All],[PRODUCTO]],0),MATCH(Tabla4[[#This Row],[Mes]],Tabla6[#Headers],0)))</f>
        <v>#N/A</v>
      </c>
      <c r="R6795" s="282" t="e">
        <f>++Tabla4[[#This Row],[Precio Unitario Neto]]-Tabla4[[#This Row],[20.85%]]-Tabla4[[#This Row],[Costo]]</f>
        <v>#N/A</v>
      </c>
      <c r="S6795" s="282" t="e">
        <f>++Tabla4[[#This Row],[U. Bruta Uni]]*Tabla4[[#This Row],[Cantidad]]</f>
        <v>#N/A</v>
      </c>
      <c r="T6795" s="369" t="str">
        <f>VLOOKUP(Tabla4[[#This Row],[Producto]],Tabla6[#All],14,FALSE)</f>
        <v>Termico Solar</v>
      </c>
      <c r="U6795" s="284" t="e">
        <f>(IF(Tabla4[[#This Row],[Familia]]="termico solar",Tabla4[[#This Row],[Utilidad Total]]*6%,Tabla4[[#This Row],[Utilidad Total]]*11.5%))/Tabla4[[#This Row],[Total]]</f>
        <v>#N/A</v>
      </c>
      <c r="V6795" s="282" t="e">
        <f>+Tabla4[[#This Row],[Comisión Calculada]]*Tabla4[[#This Row],[Total]]</f>
        <v>#N/A</v>
      </c>
    </row>
    <row r="6796" spans="1:22" hidden="1" x14ac:dyDescent="0.25">
      <c r="A6796" s="100">
        <v>45976</v>
      </c>
      <c r="B6796" t="str">
        <f t="shared" si="455"/>
        <v>November</v>
      </c>
      <c r="C6796" s="46" t="s">
        <v>280</v>
      </c>
      <c r="F6796" s="366" t="s">
        <v>3429</v>
      </c>
      <c r="G6796" s="46" t="s">
        <v>17</v>
      </c>
      <c r="H6796" s="46">
        <v>4</v>
      </c>
      <c r="I6796" s="51">
        <v>4622.28</v>
      </c>
      <c r="J6796" s="281">
        <f>++Tabla4[[#This Row],[Precio Bruto]]*1.16</f>
        <v>5361.8447999999989</v>
      </c>
      <c r="K6796" s="281">
        <f>+Tabla4[[#This Row],[Precio Unitario Neto]]*Tabla4[[#Headers],[20.85%]]</f>
        <v>1117.9446407999997</v>
      </c>
      <c r="L6796" s="282">
        <f>++Tabla4[[#This Row],[Precio Unitario Neto]]-Tabla4[[#This Row],[20.85%]]</f>
        <v>4243.9001591999995</v>
      </c>
      <c r="M6796" s="282" t="e">
        <f>(INDEX(Tabla6[#All],MATCH(Tabla4[[#This Row],[Producto]],Tabla6[[#All],[PRODUCTO]],0),MATCH(Tabla4[[#This Row],[Mes]],Tabla6[#Headers],0)))*(1+Catalogos!$L$2)</f>
        <v>#N/A</v>
      </c>
      <c r="N6796" s="283" t="e">
        <f>+(Tabla4[[#This Row],[Precio Descontado]]-Tabla4[[#This Row],[Precio Base]])*Tabla4[[#This Row],[Cantidad]]</f>
        <v>#N/A</v>
      </c>
      <c r="O6796" s="284" t="e">
        <f>++Tabla4[[#This Row],[Utilidad Total]]/Tabla4[[#This Row],[Total]]</f>
        <v>#N/A</v>
      </c>
      <c r="P6796" s="282">
        <f>++Tabla4[[#This Row],[Precio Descontado]]*Tabla4[[#This Row],[Cantidad]]</f>
        <v>16975.600636799998</v>
      </c>
      <c r="Q6796" s="282" t="e">
        <f>(INDEX(Tabla6[#All],MATCH(Tabla4[[#This Row],[Producto]],Tabla6[[#All],[PRODUCTO]],0),MATCH(Tabla4[[#This Row],[Mes]],Tabla6[#Headers],0)))</f>
        <v>#N/A</v>
      </c>
      <c r="R6796" s="282" t="e">
        <f>++Tabla4[[#This Row],[Precio Unitario Neto]]-Tabla4[[#This Row],[20.85%]]-Tabla4[[#This Row],[Costo]]</f>
        <v>#N/A</v>
      </c>
      <c r="S6796" s="282" t="e">
        <f>++Tabla4[[#This Row],[U. Bruta Uni]]*Tabla4[[#This Row],[Cantidad]]</f>
        <v>#N/A</v>
      </c>
      <c r="T6796" s="369" t="str">
        <f>VLOOKUP(Tabla4[[#This Row],[Producto]],Tabla6[#All],14,FALSE)</f>
        <v>Termico Solar</v>
      </c>
      <c r="U6796" s="284" t="e">
        <f>(IF(Tabla4[[#This Row],[Familia]]="termico solar",Tabla4[[#This Row],[Utilidad Total]]*6%,Tabla4[[#This Row],[Utilidad Total]]*11.5%))/Tabla4[[#This Row],[Total]]</f>
        <v>#N/A</v>
      </c>
      <c r="V6796" s="282" t="e">
        <f>+Tabla4[[#This Row],[Comisión Calculada]]*Tabla4[[#This Row],[Total]]</f>
        <v>#N/A</v>
      </c>
    </row>
    <row r="6797" spans="1:22" hidden="1" x14ac:dyDescent="0.25">
      <c r="A6797" s="100">
        <v>45976</v>
      </c>
      <c r="B6797" t="str">
        <f t="shared" si="455"/>
        <v>November</v>
      </c>
      <c r="C6797" s="46" t="s">
        <v>280</v>
      </c>
      <c r="F6797" s="366" t="s">
        <v>3429</v>
      </c>
      <c r="G6797" s="46" t="s">
        <v>18</v>
      </c>
      <c r="H6797" s="46">
        <v>2</v>
      </c>
      <c r="I6797" s="51">
        <v>5367.65</v>
      </c>
      <c r="J6797" s="281">
        <f>++Tabla4[[#This Row],[Precio Bruto]]*1.16</f>
        <v>6226.4739999999993</v>
      </c>
      <c r="K6797" s="281">
        <f>+Tabla4[[#This Row],[Precio Unitario Neto]]*Tabla4[[#Headers],[20.85%]]</f>
        <v>1298.2198289999999</v>
      </c>
      <c r="L6797" s="282">
        <f>++Tabla4[[#This Row],[Precio Unitario Neto]]-Tabla4[[#This Row],[20.85%]]</f>
        <v>4928.2541709999996</v>
      </c>
      <c r="M6797" s="282" t="e">
        <f>(INDEX(Tabla6[#All],MATCH(Tabla4[[#This Row],[Producto]],Tabla6[[#All],[PRODUCTO]],0),MATCH(Tabla4[[#This Row],[Mes]],Tabla6[#Headers],0)))*(1+Catalogos!$L$2)</f>
        <v>#N/A</v>
      </c>
      <c r="N6797" s="283" t="e">
        <f>+(Tabla4[[#This Row],[Precio Descontado]]-Tabla4[[#This Row],[Precio Base]])*Tabla4[[#This Row],[Cantidad]]</f>
        <v>#N/A</v>
      </c>
      <c r="O6797" s="284" t="e">
        <f>++Tabla4[[#This Row],[Utilidad Total]]/Tabla4[[#This Row],[Total]]</f>
        <v>#N/A</v>
      </c>
      <c r="P6797" s="282">
        <f>++Tabla4[[#This Row],[Precio Descontado]]*Tabla4[[#This Row],[Cantidad]]</f>
        <v>9856.5083419999992</v>
      </c>
      <c r="Q6797" s="282" t="e">
        <f>(INDEX(Tabla6[#All],MATCH(Tabla4[[#This Row],[Producto]],Tabla6[[#All],[PRODUCTO]],0),MATCH(Tabla4[[#This Row],[Mes]],Tabla6[#Headers],0)))</f>
        <v>#N/A</v>
      </c>
      <c r="R6797" s="282" t="e">
        <f>++Tabla4[[#This Row],[Precio Unitario Neto]]-Tabla4[[#This Row],[20.85%]]-Tabla4[[#This Row],[Costo]]</f>
        <v>#N/A</v>
      </c>
      <c r="S6797" s="282" t="e">
        <f>++Tabla4[[#This Row],[U. Bruta Uni]]*Tabla4[[#This Row],[Cantidad]]</f>
        <v>#N/A</v>
      </c>
      <c r="T6797" s="369" t="str">
        <f>VLOOKUP(Tabla4[[#This Row],[Producto]],Tabla6[#All],14,FALSE)</f>
        <v>Termico Solar</v>
      </c>
      <c r="U6797" s="284" t="e">
        <f>(IF(Tabla4[[#This Row],[Familia]]="termico solar",Tabla4[[#This Row],[Utilidad Total]]*6%,Tabla4[[#This Row],[Utilidad Total]]*11.5%))/Tabla4[[#This Row],[Total]]</f>
        <v>#N/A</v>
      </c>
      <c r="V6797" s="282" t="e">
        <f>+Tabla4[[#This Row],[Comisión Calculada]]*Tabla4[[#This Row],[Total]]</f>
        <v>#N/A</v>
      </c>
    </row>
    <row r="6798" spans="1:22" hidden="1" x14ac:dyDescent="0.25">
      <c r="A6798" s="100">
        <v>45976</v>
      </c>
      <c r="B6798" t="str">
        <f t="shared" si="455"/>
        <v>November</v>
      </c>
      <c r="C6798" s="46" t="s">
        <v>280</v>
      </c>
      <c r="F6798" s="366" t="s">
        <v>3429</v>
      </c>
      <c r="G6798" s="46" t="s">
        <v>19</v>
      </c>
      <c r="H6798" s="46">
        <v>1</v>
      </c>
      <c r="I6798" s="51">
        <v>6412.03</v>
      </c>
      <c r="J6798" s="281">
        <f>++Tabla4[[#This Row],[Precio Bruto]]*1.16</f>
        <v>7437.9547999999995</v>
      </c>
      <c r="K6798" s="281">
        <f>+Tabla4[[#This Row],[Precio Unitario Neto]]*Tabla4[[#Headers],[20.85%]]</f>
        <v>1550.8135757999999</v>
      </c>
      <c r="L6798" s="282">
        <f>++Tabla4[[#This Row],[Precio Unitario Neto]]-Tabla4[[#This Row],[20.85%]]</f>
        <v>5887.1412241999997</v>
      </c>
      <c r="M6798" s="282" t="e">
        <f>(INDEX(Tabla6[#All],MATCH(Tabla4[[#This Row],[Producto]],Tabla6[[#All],[PRODUCTO]],0),MATCH(Tabla4[[#This Row],[Mes]],Tabla6[#Headers],0)))*(1+Catalogos!$L$2)</f>
        <v>#N/A</v>
      </c>
      <c r="N6798" s="283" t="e">
        <f>+(Tabla4[[#This Row],[Precio Descontado]]-Tabla4[[#This Row],[Precio Base]])*Tabla4[[#This Row],[Cantidad]]</f>
        <v>#N/A</v>
      </c>
      <c r="O6798" s="284" t="e">
        <f>++Tabla4[[#This Row],[Utilidad Total]]/Tabla4[[#This Row],[Total]]</f>
        <v>#N/A</v>
      </c>
      <c r="P6798" s="282">
        <f>++Tabla4[[#This Row],[Precio Descontado]]*Tabla4[[#This Row],[Cantidad]]</f>
        <v>5887.1412241999997</v>
      </c>
      <c r="Q6798" s="282" t="e">
        <f>(INDEX(Tabla6[#All],MATCH(Tabla4[[#This Row],[Producto]],Tabla6[[#All],[PRODUCTO]],0),MATCH(Tabla4[[#This Row],[Mes]],Tabla6[#Headers],0)))</f>
        <v>#N/A</v>
      </c>
      <c r="R6798" s="282" t="e">
        <f>++Tabla4[[#This Row],[Precio Unitario Neto]]-Tabla4[[#This Row],[20.85%]]-Tabla4[[#This Row],[Costo]]</f>
        <v>#N/A</v>
      </c>
      <c r="S6798" s="282" t="e">
        <f>++Tabla4[[#This Row],[U. Bruta Uni]]*Tabla4[[#This Row],[Cantidad]]</f>
        <v>#N/A</v>
      </c>
      <c r="T6798" s="369" t="str">
        <f>VLOOKUP(Tabla4[[#This Row],[Producto]],Tabla6[#All],14,FALSE)</f>
        <v>Termico Solar</v>
      </c>
      <c r="U6798" s="284" t="e">
        <f>(IF(Tabla4[[#This Row],[Familia]]="termico solar",Tabla4[[#This Row],[Utilidad Total]]*6%,Tabla4[[#This Row],[Utilidad Total]]*11.5%))/Tabla4[[#This Row],[Total]]</f>
        <v>#N/A</v>
      </c>
      <c r="V6798" s="282" t="e">
        <f>+Tabla4[[#This Row],[Comisión Calculada]]*Tabla4[[#This Row],[Total]]</f>
        <v>#N/A</v>
      </c>
    </row>
    <row r="6799" spans="1:22" hidden="1" x14ac:dyDescent="0.25">
      <c r="A6799" s="100">
        <v>45976</v>
      </c>
      <c r="B6799" t="str">
        <f t="shared" ref="B6799:B6800" si="456">TEXT(A6799, "mmmm")</f>
        <v>November</v>
      </c>
      <c r="C6799" s="46" t="s">
        <v>280</v>
      </c>
      <c r="F6799" s="366" t="s">
        <v>3430</v>
      </c>
      <c r="G6799" s="46" t="s">
        <v>566</v>
      </c>
      <c r="H6799" s="46">
        <v>1</v>
      </c>
      <c r="I6799" s="51">
        <v>2109.4499999999998</v>
      </c>
      <c r="J6799" s="281">
        <f>++Tabla4[[#This Row],[Precio Bruto]]*1.16</f>
        <v>2446.9619999999995</v>
      </c>
      <c r="K6799" s="281">
        <f>+Tabla4[[#This Row],[Precio Unitario Neto]]*Tabla4[[#Headers],[20.85%]]</f>
        <v>510.19157699999988</v>
      </c>
      <c r="L6799" s="282">
        <f>++Tabla4[[#This Row],[Precio Unitario Neto]]-Tabla4[[#This Row],[20.85%]]</f>
        <v>1936.7704229999997</v>
      </c>
      <c r="M6799" s="282" t="e">
        <f>(INDEX(Tabla6[#All],MATCH(Tabla4[[#This Row],[Producto]],Tabla6[[#All],[PRODUCTO]],0),MATCH(Tabla4[[#This Row],[Mes]],Tabla6[#Headers],0)))*(1+Catalogos!$L$2)</f>
        <v>#N/A</v>
      </c>
      <c r="N6799" s="283" t="e">
        <f>+(Tabla4[[#This Row],[Precio Descontado]]-Tabla4[[#This Row],[Precio Base]])*Tabla4[[#This Row],[Cantidad]]</f>
        <v>#N/A</v>
      </c>
      <c r="O6799" s="284" t="e">
        <f>++Tabla4[[#This Row],[Utilidad Total]]/Tabla4[[#This Row],[Total]]</f>
        <v>#N/A</v>
      </c>
      <c r="P6799" s="282">
        <f>++Tabla4[[#This Row],[Precio Descontado]]*Tabla4[[#This Row],[Cantidad]]</f>
        <v>1936.7704229999997</v>
      </c>
      <c r="Q6799" s="282" t="e">
        <f>(INDEX(Tabla6[#All],MATCH(Tabla4[[#This Row],[Producto]],Tabla6[[#All],[PRODUCTO]],0),MATCH(Tabla4[[#This Row],[Mes]],Tabla6[#Headers],0)))</f>
        <v>#N/A</v>
      </c>
      <c r="R6799" s="282" t="e">
        <f>++Tabla4[[#This Row],[Precio Unitario Neto]]-Tabla4[[#This Row],[20.85%]]-Tabla4[[#This Row],[Costo]]</f>
        <v>#N/A</v>
      </c>
      <c r="S6799" s="282" t="e">
        <f>++Tabla4[[#This Row],[U. Bruta Uni]]*Tabla4[[#This Row],[Cantidad]]</f>
        <v>#N/A</v>
      </c>
      <c r="T6799" s="369" t="str">
        <f>VLOOKUP(Tabla4[[#This Row],[Producto]],Tabla6[#All],14,FALSE)</f>
        <v>Termico Solar</v>
      </c>
      <c r="U6799" s="284" t="e">
        <f>(IF(Tabla4[[#This Row],[Familia]]="termico solar",Tabla4[[#This Row],[Utilidad Total]]*6%,Tabla4[[#This Row],[Utilidad Total]]*11.5%))/Tabla4[[#This Row],[Total]]</f>
        <v>#N/A</v>
      </c>
      <c r="V6799" s="282" t="e">
        <f>+Tabla4[[#This Row],[Comisión Calculada]]*Tabla4[[#This Row],[Total]]</f>
        <v>#N/A</v>
      </c>
    </row>
    <row r="6800" spans="1:22" hidden="1" x14ac:dyDescent="0.25">
      <c r="A6800" s="100">
        <v>45976</v>
      </c>
      <c r="B6800" t="str">
        <f t="shared" si="456"/>
        <v>November</v>
      </c>
      <c r="C6800" s="46" t="s">
        <v>280</v>
      </c>
      <c r="F6800" s="366" t="s">
        <v>3430</v>
      </c>
      <c r="G6800" s="46" t="s">
        <v>208</v>
      </c>
      <c r="H6800" s="46">
        <v>1</v>
      </c>
      <c r="I6800" s="51">
        <v>189.75</v>
      </c>
      <c r="J6800" s="281">
        <f>++Tabla4[[#This Row],[Precio Bruto]]*1.16</f>
        <v>220.10999999999999</v>
      </c>
      <c r="K6800" s="281">
        <f>+Tabla4[[#This Row],[Precio Unitario Neto]]*Tabla4[[#Headers],[20.85%]]</f>
        <v>45.892934999999994</v>
      </c>
      <c r="L6800" s="282">
        <f>++Tabla4[[#This Row],[Precio Unitario Neto]]-Tabla4[[#This Row],[20.85%]]</f>
        <v>174.21706499999999</v>
      </c>
      <c r="M6800" s="282" t="e">
        <f>(INDEX(Tabla6[#All],MATCH(Tabla4[[#This Row],[Producto]],Tabla6[[#All],[PRODUCTO]],0),MATCH(Tabla4[[#This Row],[Mes]],Tabla6[#Headers],0)))*(1+Catalogos!$L$2)</f>
        <v>#N/A</v>
      </c>
      <c r="N6800" s="283" t="e">
        <f>+(Tabla4[[#This Row],[Precio Descontado]]-Tabla4[[#This Row],[Precio Base]])*Tabla4[[#This Row],[Cantidad]]</f>
        <v>#N/A</v>
      </c>
      <c r="O6800" s="284" t="e">
        <f>++Tabla4[[#This Row],[Utilidad Total]]/Tabla4[[#This Row],[Total]]</f>
        <v>#N/A</v>
      </c>
      <c r="P6800" s="282">
        <f>++Tabla4[[#This Row],[Precio Descontado]]*Tabla4[[#This Row],[Cantidad]]</f>
        <v>174.21706499999999</v>
      </c>
      <c r="Q6800" s="282" t="e">
        <f>(INDEX(Tabla6[#All],MATCH(Tabla4[[#This Row],[Producto]],Tabla6[[#All],[PRODUCTO]],0),MATCH(Tabla4[[#This Row],[Mes]],Tabla6[#Headers],0)))</f>
        <v>#N/A</v>
      </c>
      <c r="R6800" s="282" t="e">
        <f>++Tabla4[[#This Row],[Precio Unitario Neto]]-Tabla4[[#This Row],[20.85%]]-Tabla4[[#This Row],[Costo]]</f>
        <v>#N/A</v>
      </c>
      <c r="S6800" s="282" t="e">
        <f>++Tabla4[[#This Row],[U. Bruta Uni]]*Tabla4[[#This Row],[Cantidad]]</f>
        <v>#N/A</v>
      </c>
      <c r="T6800" s="369" t="str">
        <f>VLOOKUP(Tabla4[[#This Row],[Producto]],Tabla6[#All],14,FALSE)</f>
        <v>Termico Solar</v>
      </c>
      <c r="U6800" s="284" t="e">
        <f>(IF(Tabla4[[#This Row],[Familia]]="termico solar",Tabla4[[#This Row],[Utilidad Total]]*6%,Tabla4[[#This Row],[Utilidad Total]]*11.5%))/Tabla4[[#This Row],[Total]]</f>
        <v>#N/A</v>
      </c>
      <c r="V6800" s="282" t="e">
        <f>+Tabla4[[#This Row],[Comisión Calculada]]*Tabla4[[#This Row],[Total]]</f>
        <v>#N/A</v>
      </c>
    </row>
    <row r="6801" spans="1:22" hidden="1" x14ac:dyDescent="0.25">
      <c r="A6801" s="100">
        <v>45976</v>
      </c>
      <c r="B6801" t="str">
        <f t="shared" ref="B6801:B6802" si="457">TEXT(A6801, "mmmm")</f>
        <v>November</v>
      </c>
      <c r="C6801" s="46" t="s">
        <v>280</v>
      </c>
      <c r="F6801" s="366" t="s">
        <v>3431</v>
      </c>
      <c r="G6801" s="46" t="s">
        <v>18</v>
      </c>
      <c r="H6801" s="46">
        <v>1</v>
      </c>
      <c r="I6801" s="51">
        <v>5367.65</v>
      </c>
      <c r="J6801" s="281">
        <f>++Tabla4[[#This Row],[Precio Bruto]]*1.16</f>
        <v>6226.4739999999993</v>
      </c>
      <c r="K6801" s="281">
        <f>+Tabla4[[#This Row],[Precio Unitario Neto]]*Tabla4[[#Headers],[20.85%]]</f>
        <v>1298.2198289999999</v>
      </c>
      <c r="L6801" s="282">
        <f>++Tabla4[[#This Row],[Precio Unitario Neto]]-Tabla4[[#This Row],[20.85%]]</f>
        <v>4928.2541709999996</v>
      </c>
      <c r="M6801" s="282" t="e">
        <f>(INDEX(Tabla6[#All],MATCH(Tabla4[[#This Row],[Producto]],Tabla6[[#All],[PRODUCTO]],0),MATCH(Tabla4[[#This Row],[Mes]],Tabla6[#Headers],0)))*(1+Catalogos!$L$2)</f>
        <v>#N/A</v>
      </c>
      <c r="N6801" s="283" t="e">
        <f>+(Tabla4[[#This Row],[Precio Descontado]]-Tabla4[[#This Row],[Precio Base]])*Tabla4[[#This Row],[Cantidad]]</f>
        <v>#N/A</v>
      </c>
      <c r="O6801" s="284" t="e">
        <f>++Tabla4[[#This Row],[Utilidad Total]]/Tabla4[[#This Row],[Total]]</f>
        <v>#N/A</v>
      </c>
      <c r="P6801" s="282">
        <f>++Tabla4[[#This Row],[Precio Descontado]]*Tabla4[[#This Row],[Cantidad]]</f>
        <v>4928.2541709999996</v>
      </c>
      <c r="Q6801" s="282" t="e">
        <f>(INDEX(Tabla6[#All],MATCH(Tabla4[[#This Row],[Producto]],Tabla6[[#All],[PRODUCTO]],0),MATCH(Tabla4[[#This Row],[Mes]],Tabla6[#Headers],0)))</f>
        <v>#N/A</v>
      </c>
      <c r="R6801" s="282" t="e">
        <f>++Tabla4[[#This Row],[Precio Unitario Neto]]-Tabla4[[#This Row],[20.85%]]-Tabla4[[#This Row],[Costo]]</f>
        <v>#N/A</v>
      </c>
      <c r="S6801" s="282" t="e">
        <f>++Tabla4[[#This Row],[U. Bruta Uni]]*Tabla4[[#This Row],[Cantidad]]</f>
        <v>#N/A</v>
      </c>
      <c r="T6801" s="369" t="str">
        <f>VLOOKUP(Tabla4[[#This Row],[Producto]],Tabla6[#All],14,FALSE)</f>
        <v>Termico Solar</v>
      </c>
      <c r="U6801" s="284" t="e">
        <f>(IF(Tabla4[[#This Row],[Familia]]="termico solar",Tabla4[[#This Row],[Utilidad Total]]*6%,Tabla4[[#This Row],[Utilidad Total]]*11.5%))/Tabla4[[#This Row],[Total]]</f>
        <v>#N/A</v>
      </c>
      <c r="V6801" s="282" t="e">
        <f>+Tabla4[[#This Row],[Comisión Calculada]]*Tabla4[[#This Row],[Total]]</f>
        <v>#N/A</v>
      </c>
    </row>
    <row r="6802" spans="1:22" hidden="1" x14ac:dyDescent="0.25">
      <c r="A6802" s="100">
        <v>45976</v>
      </c>
      <c r="B6802" t="str">
        <f t="shared" si="457"/>
        <v>November</v>
      </c>
      <c r="C6802" s="46" t="s">
        <v>280</v>
      </c>
      <c r="F6802" s="366" t="s">
        <v>3431</v>
      </c>
      <c r="G6802" s="46" t="s">
        <v>208</v>
      </c>
      <c r="H6802" s="46">
        <v>2</v>
      </c>
      <c r="I6802" s="51">
        <v>189.75</v>
      </c>
      <c r="J6802" s="281">
        <f>++Tabla4[[#This Row],[Precio Bruto]]*1.16</f>
        <v>220.10999999999999</v>
      </c>
      <c r="K6802" s="281">
        <f>+Tabla4[[#This Row],[Precio Unitario Neto]]*Tabla4[[#Headers],[20.85%]]</f>
        <v>45.892934999999994</v>
      </c>
      <c r="L6802" s="282">
        <f>++Tabla4[[#This Row],[Precio Unitario Neto]]-Tabla4[[#This Row],[20.85%]]</f>
        <v>174.21706499999999</v>
      </c>
      <c r="M6802" s="282" t="e">
        <f>(INDEX(Tabla6[#All],MATCH(Tabla4[[#This Row],[Producto]],Tabla6[[#All],[PRODUCTO]],0),MATCH(Tabla4[[#This Row],[Mes]],Tabla6[#Headers],0)))*(1+Catalogos!$L$2)</f>
        <v>#N/A</v>
      </c>
      <c r="N6802" s="283" t="e">
        <f>+(Tabla4[[#This Row],[Precio Descontado]]-Tabla4[[#This Row],[Precio Base]])*Tabla4[[#This Row],[Cantidad]]</f>
        <v>#N/A</v>
      </c>
      <c r="O6802" s="284" t="e">
        <f>++Tabla4[[#This Row],[Utilidad Total]]/Tabla4[[#This Row],[Total]]</f>
        <v>#N/A</v>
      </c>
      <c r="P6802" s="282">
        <f>++Tabla4[[#This Row],[Precio Descontado]]*Tabla4[[#This Row],[Cantidad]]</f>
        <v>348.43412999999998</v>
      </c>
      <c r="Q6802" s="282" t="e">
        <f>(INDEX(Tabla6[#All],MATCH(Tabla4[[#This Row],[Producto]],Tabla6[[#All],[PRODUCTO]],0),MATCH(Tabla4[[#This Row],[Mes]],Tabla6[#Headers],0)))</f>
        <v>#N/A</v>
      </c>
      <c r="R6802" s="282" t="e">
        <f>++Tabla4[[#This Row],[Precio Unitario Neto]]-Tabla4[[#This Row],[20.85%]]-Tabla4[[#This Row],[Costo]]</f>
        <v>#N/A</v>
      </c>
      <c r="S6802" s="282" t="e">
        <f>++Tabla4[[#This Row],[U. Bruta Uni]]*Tabla4[[#This Row],[Cantidad]]</f>
        <v>#N/A</v>
      </c>
      <c r="T6802" s="369" t="str">
        <f>VLOOKUP(Tabla4[[#This Row],[Producto]],Tabla6[#All],14,FALSE)</f>
        <v>Termico Solar</v>
      </c>
      <c r="U6802" s="284" t="e">
        <f>(IF(Tabla4[[#This Row],[Familia]]="termico solar",Tabla4[[#This Row],[Utilidad Total]]*6%,Tabla4[[#This Row],[Utilidad Total]]*11.5%))/Tabla4[[#This Row],[Total]]</f>
        <v>#N/A</v>
      </c>
      <c r="V6802" s="282" t="e">
        <f>+Tabla4[[#This Row],[Comisión Calculada]]*Tabla4[[#This Row],[Total]]</f>
        <v>#N/A</v>
      </c>
    </row>
    <row r="6803" spans="1:22" hidden="1" x14ac:dyDescent="0.25">
      <c r="A6803" s="100">
        <v>45976</v>
      </c>
      <c r="B6803" t="str">
        <f t="shared" ref="B6803:B6805" si="458">TEXT(A6803, "mmmm")</f>
        <v>November</v>
      </c>
      <c r="C6803" s="46" t="s">
        <v>280</v>
      </c>
      <c r="F6803" s="366" t="s">
        <v>3432</v>
      </c>
      <c r="G6803" s="46" t="s">
        <v>17</v>
      </c>
      <c r="H6803" s="46">
        <v>2</v>
      </c>
      <c r="I6803" s="51">
        <v>4622.28</v>
      </c>
      <c r="J6803" s="281">
        <f>++Tabla4[[#This Row],[Precio Bruto]]*1.16</f>
        <v>5361.8447999999989</v>
      </c>
      <c r="K6803" s="281">
        <f>+Tabla4[[#This Row],[Precio Unitario Neto]]*Tabla4[[#Headers],[20.85%]]</f>
        <v>1117.9446407999997</v>
      </c>
      <c r="L6803" s="282">
        <f>++Tabla4[[#This Row],[Precio Unitario Neto]]-Tabla4[[#This Row],[20.85%]]</f>
        <v>4243.9001591999995</v>
      </c>
      <c r="M6803" s="282" t="e">
        <f>(INDEX(Tabla6[#All],MATCH(Tabla4[[#This Row],[Producto]],Tabla6[[#All],[PRODUCTO]],0),MATCH(Tabla4[[#This Row],[Mes]],Tabla6[#Headers],0)))*(1+Catalogos!$L$2)</f>
        <v>#N/A</v>
      </c>
      <c r="N6803" s="283" t="e">
        <f>+(Tabla4[[#This Row],[Precio Descontado]]-Tabla4[[#This Row],[Precio Base]])*Tabla4[[#This Row],[Cantidad]]</f>
        <v>#N/A</v>
      </c>
      <c r="O6803" s="284" t="e">
        <f>++Tabla4[[#This Row],[Utilidad Total]]/Tabla4[[#This Row],[Total]]</f>
        <v>#N/A</v>
      </c>
      <c r="P6803" s="282">
        <f>++Tabla4[[#This Row],[Precio Descontado]]*Tabla4[[#This Row],[Cantidad]]</f>
        <v>8487.800318399999</v>
      </c>
      <c r="Q6803" s="282" t="e">
        <f>(INDEX(Tabla6[#All],MATCH(Tabla4[[#This Row],[Producto]],Tabla6[[#All],[PRODUCTO]],0),MATCH(Tabla4[[#This Row],[Mes]],Tabla6[#Headers],0)))</f>
        <v>#N/A</v>
      </c>
      <c r="R6803" s="282" t="e">
        <f>++Tabla4[[#This Row],[Precio Unitario Neto]]-Tabla4[[#This Row],[20.85%]]-Tabla4[[#This Row],[Costo]]</f>
        <v>#N/A</v>
      </c>
      <c r="S6803" s="282" t="e">
        <f>++Tabla4[[#This Row],[U. Bruta Uni]]*Tabla4[[#This Row],[Cantidad]]</f>
        <v>#N/A</v>
      </c>
      <c r="T6803" s="369" t="str">
        <f>VLOOKUP(Tabla4[[#This Row],[Producto]],Tabla6[#All],14,FALSE)</f>
        <v>Termico Solar</v>
      </c>
      <c r="U6803" s="284" t="e">
        <f>(IF(Tabla4[[#This Row],[Familia]]="termico solar",Tabla4[[#This Row],[Utilidad Total]]*6%,Tabla4[[#This Row],[Utilidad Total]]*11.5%))/Tabla4[[#This Row],[Total]]</f>
        <v>#N/A</v>
      </c>
      <c r="V6803" s="282" t="e">
        <f>+Tabla4[[#This Row],[Comisión Calculada]]*Tabla4[[#This Row],[Total]]</f>
        <v>#N/A</v>
      </c>
    </row>
    <row r="6804" spans="1:22" hidden="1" x14ac:dyDescent="0.25">
      <c r="A6804" s="100">
        <v>45976</v>
      </c>
      <c r="B6804" t="str">
        <f t="shared" si="458"/>
        <v>November</v>
      </c>
      <c r="C6804" s="46" t="s">
        <v>280</v>
      </c>
      <c r="F6804" s="366" t="s">
        <v>3432</v>
      </c>
      <c r="G6804" s="46" t="s">
        <v>18</v>
      </c>
      <c r="H6804" s="46">
        <v>1</v>
      </c>
      <c r="I6804" s="51">
        <v>5367.65</v>
      </c>
      <c r="J6804" s="281">
        <f>++Tabla4[[#This Row],[Precio Bruto]]*1.16</f>
        <v>6226.4739999999993</v>
      </c>
      <c r="K6804" s="281">
        <f>+Tabla4[[#This Row],[Precio Unitario Neto]]*Tabla4[[#Headers],[20.85%]]</f>
        <v>1298.2198289999999</v>
      </c>
      <c r="L6804" s="282">
        <f>++Tabla4[[#This Row],[Precio Unitario Neto]]-Tabla4[[#This Row],[20.85%]]</f>
        <v>4928.2541709999996</v>
      </c>
      <c r="M6804" s="282" t="e">
        <f>(INDEX(Tabla6[#All],MATCH(Tabla4[[#This Row],[Producto]],Tabla6[[#All],[PRODUCTO]],0),MATCH(Tabla4[[#This Row],[Mes]],Tabla6[#Headers],0)))*(1+Catalogos!$L$2)</f>
        <v>#N/A</v>
      </c>
      <c r="N6804" s="283" t="e">
        <f>+(Tabla4[[#This Row],[Precio Descontado]]-Tabla4[[#This Row],[Precio Base]])*Tabla4[[#This Row],[Cantidad]]</f>
        <v>#N/A</v>
      </c>
      <c r="O6804" s="284" t="e">
        <f>++Tabla4[[#This Row],[Utilidad Total]]/Tabla4[[#This Row],[Total]]</f>
        <v>#N/A</v>
      </c>
      <c r="P6804" s="282">
        <f>++Tabla4[[#This Row],[Precio Descontado]]*Tabla4[[#This Row],[Cantidad]]</f>
        <v>4928.2541709999996</v>
      </c>
      <c r="Q6804" s="282" t="e">
        <f>(INDEX(Tabla6[#All],MATCH(Tabla4[[#This Row],[Producto]],Tabla6[[#All],[PRODUCTO]],0),MATCH(Tabla4[[#This Row],[Mes]],Tabla6[#Headers],0)))</f>
        <v>#N/A</v>
      </c>
      <c r="R6804" s="282" t="e">
        <f>++Tabla4[[#This Row],[Precio Unitario Neto]]-Tabla4[[#This Row],[20.85%]]-Tabla4[[#This Row],[Costo]]</f>
        <v>#N/A</v>
      </c>
      <c r="S6804" s="282" t="e">
        <f>++Tabla4[[#This Row],[U. Bruta Uni]]*Tabla4[[#This Row],[Cantidad]]</f>
        <v>#N/A</v>
      </c>
      <c r="T6804" s="369" t="str">
        <f>VLOOKUP(Tabla4[[#This Row],[Producto]],Tabla6[#All],14,FALSE)</f>
        <v>Termico Solar</v>
      </c>
      <c r="U6804" s="284" t="e">
        <f>(IF(Tabla4[[#This Row],[Familia]]="termico solar",Tabla4[[#This Row],[Utilidad Total]]*6%,Tabla4[[#This Row],[Utilidad Total]]*11.5%))/Tabla4[[#This Row],[Total]]</f>
        <v>#N/A</v>
      </c>
      <c r="V6804" s="282" t="e">
        <f>+Tabla4[[#This Row],[Comisión Calculada]]*Tabla4[[#This Row],[Total]]</f>
        <v>#N/A</v>
      </c>
    </row>
    <row r="6805" spans="1:22" hidden="1" x14ac:dyDescent="0.25">
      <c r="A6805" s="100">
        <v>45976</v>
      </c>
      <c r="B6805" t="str">
        <f t="shared" si="458"/>
        <v>November</v>
      </c>
      <c r="C6805" s="46" t="s">
        <v>280</v>
      </c>
      <c r="F6805" s="366" t="s">
        <v>3432</v>
      </c>
      <c r="G6805" s="46" t="s">
        <v>16</v>
      </c>
      <c r="H6805" s="46">
        <v>1</v>
      </c>
      <c r="I6805" s="51">
        <v>4103.8500000000004</v>
      </c>
      <c r="J6805" s="281">
        <f>++Tabla4[[#This Row],[Precio Bruto]]*1.16</f>
        <v>4760.4660000000003</v>
      </c>
      <c r="K6805" s="281">
        <f>+Tabla4[[#This Row],[Precio Unitario Neto]]*Tabla4[[#Headers],[20.85%]]</f>
        <v>992.55716100000006</v>
      </c>
      <c r="L6805" s="282">
        <f>++Tabla4[[#This Row],[Precio Unitario Neto]]-Tabla4[[#This Row],[20.85%]]</f>
        <v>3767.9088390000002</v>
      </c>
      <c r="M6805" s="282" t="e">
        <f>(INDEX(Tabla6[#All],MATCH(Tabla4[[#This Row],[Producto]],Tabla6[[#All],[PRODUCTO]],0),MATCH(Tabla4[[#This Row],[Mes]],Tabla6[#Headers],0)))*(1+Catalogos!$L$2)</f>
        <v>#N/A</v>
      </c>
      <c r="N6805" s="283" t="e">
        <f>+(Tabla4[[#This Row],[Precio Descontado]]-Tabla4[[#This Row],[Precio Base]])*Tabla4[[#This Row],[Cantidad]]</f>
        <v>#N/A</v>
      </c>
      <c r="O6805" s="284" t="e">
        <f>++Tabla4[[#This Row],[Utilidad Total]]/Tabla4[[#This Row],[Total]]</f>
        <v>#N/A</v>
      </c>
      <c r="P6805" s="282">
        <f>++Tabla4[[#This Row],[Precio Descontado]]*Tabla4[[#This Row],[Cantidad]]</f>
        <v>3767.9088390000002</v>
      </c>
      <c r="Q6805" s="282" t="e">
        <f>(INDEX(Tabla6[#All],MATCH(Tabla4[[#This Row],[Producto]],Tabla6[[#All],[PRODUCTO]],0),MATCH(Tabla4[[#This Row],[Mes]],Tabla6[#Headers],0)))</f>
        <v>#N/A</v>
      </c>
      <c r="R6805" s="282" t="e">
        <f>++Tabla4[[#This Row],[Precio Unitario Neto]]-Tabla4[[#This Row],[20.85%]]-Tabla4[[#This Row],[Costo]]</f>
        <v>#N/A</v>
      </c>
      <c r="S6805" s="282" t="e">
        <f>++Tabla4[[#This Row],[U. Bruta Uni]]*Tabla4[[#This Row],[Cantidad]]</f>
        <v>#N/A</v>
      </c>
      <c r="T6805" s="369" t="str">
        <f>VLOOKUP(Tabla4[[#This Row],[Producto]],Tabla6[#All],14,FALSE)</f>
        <v>Termico Solar</v>
      </c>
      <c r="U6805" s="284" t="e">
        <f>(IF(Tabla4[[#This Row],[Familia]]="termico solar",Tabla4[[#This Row],[Utilidad Total]]*6%,Tabla4[[#This Row],[Utilidad Total]]*11.5%))/Tabla4[[#This Row],[Total]]</f>
        <v>#N/A</v>
      </c>
      <c r="V6805" s="282" t="e">
        <f>+Tabla4[[#This Row],[Comisión Calculada]]*Tabla4[[#This Row],[Total]]</f>
        <v>#N/A</v>
      </c>
    </row>
    <row r="6806" spans="1:22" hidden="1" x14ac:dyDescent="0.25">
      <c r="A6806" s="100">
        <v>45976</v>
      </c>
      <c r="B6806" t="str">
        <f t="shared" ref="B6806:B6808" si="459">TEXT(A6806, "mmmm")</f>
        <v>November</v>
      </c>
      <c r="C6806" s="46" t="s">
        <v>280</v>
      </c>
      <c r="F6806" s="366" t="s">
        <v>3433</v>
      </c>
      <c r="G6806" s="46" t="s">
        <v>18</v>
      </c>
      <c r="H6806" s="46">
        <v>2</v>
      </c>
      <c r="I6806" s="51">
        <v>5367.65</v>
      </c>
      <c r="J6806" s="281">
        <f>++Tabla4[[#This Row],[Precio Bruto]]*1.16</f>
        <v>6226.4739999999993</v>
      </c>
      <c r="K6806" s="281">
        <f>+Tabla4[[#This Row],[Precio Unitario Neto]]*Tabla4[[#Headers],[20.85%]]</f>
        <v>1298.2198289999999</v>
      </c>
      <c r="L6806" s="282">
        <f>++Tabla4[[#This Row],[Precio Unitario Neto]]-Tabla4[[#This Row],[20.85%]]</f>
        <v>4928.2541709999996</v>
      </c>
      <c r="M6806" s="282" t="e">
        <f>(INDEX(Tabla6[#All],MATCH(Tabla4[[#This Row],[Producto]],Tabla6[[#All],[PRODUCTO]],0),MATCH(Tabla4[[#This Row],[Mes]],Tabla6[#Headers],0)))*(1+Catalogos!$L$2)</f>
        <v>#N/A</v>
      </c>
      <c r="N6806" s="283" t="e">
        <f>+(Tabla4[[#This Row],[Precio Descontado]]-Tabla4[[#This Row],[Precio Base]])*Tabla4[[#This Row],[Cantidad]]</f>
        <v>#N/A</v>
      </c>
      <c r="O6806" s="284" t="e">
        <f>++Tabla4[[#This Row],[Utilidad Total]]/Tabla4[[#This Row],[Total]]</f>
        <v>#N/A</v>
      </c>
      <c r="P6806" s="282">
        <f>++Tabla4[[#This Row],[Precio Descontado]]*Tabla4[[#This Row],[Cantidad]]</f>
        <v>9856.5083419999992</v>
      </c>
      <c r="Q6806" s="282" t="e">
        <f>(INDEX(Tabla6[#All],MATCH(Tabla4[[#This Row],[Producto]],Tabla6[[#All],[PRODUCTO]],0),MATCH(Tabla4[[#This Row],[Mes]],Tabla6[#Headers],0)))</f>
        <v>#N/A</v>
      </c>
      <c r="R6806" s="282" t="e">
        <f>++Tabla4[[#This Row],[Precio Unitario Neto]]-Tabla4[[#This Row],[20.85%]]-Tabla4[[#This Row],[Costo]]</f>
        <v>#N/A</v>
      </c>
      <c r="S6806" s="282" t="e">
        <f>++Tabla4[[#This Row],[U. Bruta Uni]]*Tabla4[[#This Row],[Cantidad]]</f>
        <v>#N/A</v>
      </c>
      <c r="T6806" s="369" t="str">
        <f>VLOOKUP(Tabla4[[#This Row],[Producto]],Tabla6[#All],14,FALSE)</f>
        <v>Termico Solar</v>
      </c>
      <c r="U6806" s="284" t="e">
        <f>(IF(Tabla4[[#This Row],[Familia]]="termico solar",Tabla4[[#This Row],[Utilidad Total]]*6%,Tabla4[[#This Row],[Utilidad Total]]*11.5%))/Tabla4[[#This Row],[Total]]</f>
        <v>#N/A</v>
      </c>
      <c r="V6806" s="282" t="e">
        <f>+Tabla4[[#This Row],[Comisión Calculada]]*Tabla4[[#This Row],[Total]]</f>
        <v>#N/A</v>
      </c>
    </row>
    <row r="6807" spans="1:22" hidden="1" x14ac:dyDescent="0.25">
      <c r="A6807" s="100">
        <v>45976</v>
      </c>
      <c r="B6807" t="str">
        <f t="shared" si="459"/>
        <v>November</v>
      </c>
      <c r="C6807" s="46" t="s">
        <v>280</v>
      </c>
      <c r="F6807" s="366" t="s">
        <v>3433</v>
      </c>
      <c r="G6807" s="46" t="s">
        <v>555</v>
      </c>
      <c r="H6807" s="46">
        <v>8</v>
      </c>
      <c r="I6807" s="51">
        <v>389.47</v>
      </c>
      <c r="J6807" s="281">
        <f>++Tabla4[[#This Row],[Precio Bruto]]*1.16</f>
        <v>451.78519999999997</v>
      </c>
      <c r="K6807" s="281">
        <f>+Tabla4[[#This Row],[Precio Unitario Neto]]*Tabla4[[#Headers],[20.85%]]</f>
        <v>94.197214199999991</v>
      </c>
      <c r="L6807" s="282">
        <f>++Tabla4[[#This Row],[Precio Unitario Neto]]-Tabla4[[#This Row],[20.85%]]</f>
        <v>357.58798579999996</v>
      </c>
      <c r="M6807" s="282" t="e">
        <f>(INDEX(Tabla6[#All],MATCH(Tabla4[[#This Row],[Producto]],Tabla6[[#All],[PRODUCTO]],0),MATCH(Tabla4[[#This Row],[Mes]],Tabla6[#Headers],0)))*(1+Catalogos!$L$2)</f>
        <v>#N/A</v>
      </c>
      <c r="N6807" s="283" t="e">
        <f>+(Tabla4[[#This Row],[Precio Descontado]]-Tabla4[[#This Row],[Precio Base]])*Tabla4[[#This Row],[Cantidad]]</f>
        <v>#N/A</v>
      </c>
      <c r="O6807" s="284" t="e">
        <f>++Tabla4[[#This Row],[Utilidad Total]]/Tabla4[[#This Row],[Total]]</f>
        <v>#N/A</v>
      </c>
      <c r="P6807" s="282">
        <f>++Tabla4[[#This Row],[Precio Descontado]]*Tabla4[[#This Row],[Cantidad]]</f>
        <v>2860.7038863999996</v>
      </c>
      <c r="Q6807" s="282" t="e">
        <f>(INDEX(Tabla6[#All],MATCH(Tabla4[[#This Row],[Producto]],Tabla6[[#All],[PRODUCTO]],0),MATCH(Tabla4[[#This Row],[Mes]],Tabla6[#Headers],0)))</f>
        <v>#N/A</v>
      </c>
      <c r="R6807" s="282" t="e">
        <f>++Tabla4[[#This Row],[Precio Unitario Neto]]-Tabla4[[#This Row],[20.85%]]-Tabla4[[#This Row],[Costo]]</f>
        <v>#N/A</v>
      </c>
      <c r="S6807" s="282" t="e">
        <f>++Tabla4[[#This Row],[U. Bruta Uni]]*Tabla4[[#This Row],[Cantidad]]</f>
        <v>#N/A</v>
      </c>
      <c r="T6807" s="369" t="str">
        <f>VLOOKUP(Tabla4[[#This Row],[Producto]],Tabla6[#All],14,FALSE)</f>
        <v>Termico Solar</v>
      </c>
      <c r="U6807" s="284" t="e">
        <f>(IF(Tabla4[[#This Row],[Familia]]="termico solar",Tabla4[[#This Row],[Utilidad Total]]*6%,Tabla4[[#This Row],[Utilidad Total]]*11.5%))/Tabla4[[#This Row],[Total]]</f>
        <v>#N/A</v>
      </c>
      <c r="V6807" s="282" t="e">
        <f>+Tabla4[[#This Row],[Comisión Calculada]]*Tabla4[[#This Row],[Total]]</f>
        <v>#N/A</v>
      </c>
    </row>
    <row r="6808" spans="1:22" hidden="1" x14ac:dyDescent="0.25">
      <c r="A6808" s="100">
        <v>45976</v>
      </c>
      <c r="B6808" t="str">
        <f t="shared" si="459"/>
        <v>November</v>
      </c>
      <c r="C6808" s="46" t="s">
        <v>280</v>
      </c>
      <c r="F6808" s="366" t="s">
        <v>3433</v>
      </c>
      <c r="G6808" s="46" t="s">
        <v>208</v>
      </c>
      <c r="H6808" s="46">
        <v>2</v>
      </c>
      <c r="I6808" s="51">
        <v>189.75</v>
      </c>
      <c r="J6808" s="281">
        <f>++Tabla4[[#This Row],[Precio Bruto]]*1.16</f>
        <v>220.10999999999999</v>
      </c>
      <c r="K6808" s="281">
        <f>+Tabla4[[#This Row],[Precio Unitario Neto]]*Tabla4[[#Headers],[20.85%]]</f>
        <v>45.892934999999994</v>
      </c>
      <c r="L6808" s="282">
        <f>++Tabla4[[#This Row],[Precio Unitario Neto]]-Tabla4[[#This Row],[20.85%]]</f>
        <v>174.21706499999999</v>
      </c>
      <c r="M6808" s="282" t="e">
        <f>(INDEX(Tabla6[#All],MATCH(Tabla4[[#This Row],[Producto]],Tabla6[[#All],[PRODUCTO]],0),MATCH(Tabla4[[#This Row],[Mes]],Tabla6[#Headers],0)))*(1+Catalogos!$L$2)</f>
        <v>#N/A</v>
      </c>
      <c r="N6808" s="283" t="e">
        <f>+(Tabla4[[#This Row],[Precio Descontado]]-Tabla4[[#This Row],[Precio Base]])*Tabla4[[#This Row],[Cantidad]]</f>
        <v>#N/A</v>
      </c>
      <c r="O6808" s="284" t="e">
        <f>++Tabla4[[#This Row],[Utilidad Total]]/Tabla4[[#This Row],[Total]]</f>
        <v>#N/A</v>
      </c>
      <c r="P6808" s="282">
        <f>++Tabla4[[#This Row],[Precio Descontado]]*Tabla4[[#This Row],[Cantidad]]</f>
        <v>348.43412999999998</v>
      </c>
      <c r="Q6808" s="282" t="e">
        <f>(INDEX(Tabla6[#All],MATCH(Tabla4[[#This Row],[Producto]],Tabla6[[#All],[PRODUCTO]],0),MATCH(Tabla4[[#This Row],[Mes]],Tabla6[#Headers],0)))</f>
        <v>#N/A</v>
      </c>
      <c r="R6808" s="282" t="e">
        <f>++Tabla4[[#This Row],[Precio Unitario Neto]]-Tabla4[[#This Row],[20.85%]]-Tabla4[[#This Row],[Costo]]</f>
        <v>#N/A</v>
      </c>
      <c r="S6808" s="282" t="e">
        <f>++Tabla4[[#This Row],[U. Bruta Uni]]*Tabla4[[#This Row],[Cantidad]]</f>
        <v>#N/A</v>
      </c>
      <c r="T6808" s="369" t="str">
        <f>VLOOKUP(Tabla4[[#This Row],[Producto]],Tabla6[#All],14,FALSE)</f>
        <v>Termico Solar</v>
      </c>
      <c r="U6808" s="284" t="e">
        <f>(IF(Tabla4[[#This Row],[Familia]]="termico solar",Tabla4[[#This Row],[Utilidad Total]]*6%,Tabla4[[#This Row],[Utilidad Total]]*11.5%))/Tabla4[[#This Row],[Total]]</f>
        <v>#N/A</v>
      </c>
      <c r="V6808" s="282" t="e">
        <f>+Tabla4[[#This Row],[Comisión Calculada]]*Tabla4[[#This Row],[Total]]</f>
        <v>#N/A</v>
      </c>
    </row>
    <row r="6809" spans="1:22" hidden="1" x14ac:dyDescent="0.25">
      <c r="A6809" s="100">
        <v>45976</v>
      </c>
      <c r="B6809" t="str">
        <f t="shared" ref="B6809:B6812" si="460">TEXT(A6809, "mmmm")</f>
        <v>November</v>
      </c>
      <c r="C6809" s="46" t="s">
        <v>280</v>
      </c>
      <c r="F6809" s="366" t="s">
        <v>3434</v>
      </c>
      <c r="G6809" s="46" t="s">
        <v>83</v>
      </c>
      <c r="H6809" s="46">
        <v>1</v>
      </c>
      <c r="I6809" s="51">
        <v>8858.76</v>
      </c>
      <c r="J6809" s="281">
        <f>++Tabla4[[#This Row],[Precio Bruto]]*1.16</f>
        <v>10276.161599999999</v>
      </c>
      <c r="K6809" s="281">
        <f>+Tabla4[[#This Row],[Precio Unitario Neto]]*Tabla4[[#Headers],[20.85%]]</f>
        <v>2142.5796935999997</v>
      </c>
      <c r="L6809" s="282">
        <f>++Tabla4[[#This Row],[Precio Unitario Neto]]-Tabla4[[#This Row],[20.85%]]</f>
        <v>8133.5819063999998</v>
      </c>
      <c r="M6809" s="282" t="e">
        <f>(INDEX(Tabla6[#All],MATCH(Tabla4[[#This Row],[Producto]],Tabla6[[#All],[PRODUCTO]],0),MATCH(Tabla4[[#This Row],[Mes]],Tabla6[#Headers],0)))*(1+Catalogos!$L$2)</f>
        <v>#N/A</v>
      </c>
      <c r="N6809" s="283" t="e">
        <f>+(Tabla4[[#This Row],[Precio Descontado]]-Tabla4[[#This Row],[Precio Base]])*Tabla4[[#This Row],[Cantidad]]</f>
        <v>#N/A</v>
      </c>
      <c r="O6809" s="284" t="e">
        <f>++Tabla4[[#This Row],[Utilidad Total]]/Tabla4[[#This Row],[Total]]</f>
        <v>#N/A</v>
      </c>
      <c r="P6809" s="282">
        <f>++Tabla4[[#This Row],[Precio Descontado]]*Tabla4[[#This Row],[Cantidad]]</f>
        <v>8133.5819063999998</v>
      </c>
      <c r="Q6809" s="282" t="e">
        <f>(INDEX(Tabla6[#All],MATCH(Tabla4[[#This Row],[Producto]],Tabla6[[#All],[PRODUCTO]],0),MATCH(Tabla4[[#This Row],[Mes]],Tabla6[#Headers],0)))</f>
        <v>#N/A</v>
      </c>
      <c r="R6809" s="282" t="e">
        <f>++Tabla4[[#This Row],[Precio Unitario Neto]]-Tabla4[[#This Row],[20.85%]]-Tabla4[[#This Row],[Costo]]</f>
        <v>#N/A</v>
      </c>
      <c r="S6809" s="282" t="e">
        <f>++Tabla4[[#This Row],[U. Bruta Uni]]*Tabla4[[#This Row],[Cantidad]]</f>
        <v>#N/A</v>
      </c>
      <c r="T6809" s="369" t="str">
        <f>VLOOKUP(Tabla4[[#This Row],[Producto]],Tabla6[#All],14,FALSE)</f>
        <v>Termico Solar</v>
      </c>
      <c r="U6809" s="284" t="e">
        <f>(IF(Tabla4[[#This Row],[Familia]]="termico solar",Tabla4[[#This Row],[Utilidad Total]]*6%,Tabla4[[#This Row],[Utilidad Total]]*11.5%))/Tabla4[[#This Row],[Total]]</f>
        <v>#N/A</v>
      </c>
      <c r="V6809" s="282" t="e">
        <f>+Tabla4[[#This Row],[Comisión Calculada]]*Tabla4[[#This Row],[Total]]</f>
        <v>#N/A</v>
      </c>
    </row>
    <row r="6810" spans="1:22" hidden="1" x14ac:dyDescent="0.25">
      <c r="A6810" s="100">
        <v>45976</v>
      </c>
      <c r="B6810" t="str">
        <f t="shared" si="460"/>
        <v>November</v>
      </c>
      <c r="C6810" s="46" t="s">
        <v>280</v>
      </c>
      <c r="F6810" s="366" t="s">
        <v>3434</v>
      </c>
      <c r="G6810" s="46" t="s">
        <v>18</v>
      </c>
      <c r="H6810" s="46">
        <v>2</v>
      </c>
      <c r="I6810" s="51">
        <v>5367.65</v>
      </c>
      <c r="J6810" s="281">
        <f>++Tabla4[[#This Row],[Precio Bruto]]*1.16</f>
        <v>6226.4739999999993</v>
      </c>
      <c r="K6810" s="281">
        <f>+Tabla4[[#This Row],[Precio Unitario Neto]]*Tabla4[[#Headers],[20.85%]]</f>
        <v>1298.2198289999999</v>
      </c>
      <c r="L6810" s="282">
        <f>++Tabla4[[#This Row],[Precio Unitario Neto]]-Tabla4[[#This Row],[20.85%]]</f>
        <v>4928.2541709999996</v>
      </c>
      <c r="M6810" s="282" t="e">
        <f>(INDEX(Tabla6[#All],MATCH(Tabla4[[#This Row],[Producto]],Tabla6[[#All],[PRODUCTO]],0),MATCH(Tabla4[[#This Row],[Mes]],Tabla6[#Headers],0)))*(1+Catalogos!$L$2)</f>
        <v>#N/A</v>
      </c>
      <c r="N6810" s="283" t="e">
        <f>+(Tabla4[[#This Row],[Precio Descontado]]-Tabla4[[#This Row],[Precio Base]])*Tabla4[[#This Row],[Cantidad]]</f>
        <v>#N/A</v>
      </c>
      <c r="O6810" s="284" t="e">
        <f>++Tabla4[[#This Row],[Utilidad Total]]/Tabla4[[#This Row],[Total]]</f>
        <v>#N/A</v>
      </c>
      <c r="P6810" s="282">
        <f>++Tabla4[[#This Row],[Precio Descontado]]*Tabla4[[#This Row],[Cantidad]]</f>
        <v>9856.5083419999992</v>
      </c>
      <c r="Q6810" s="282" t="e">
        <f>(INDEX(Tabla6[#All],MATCH(Tabla4[[#This Row],[Producto]],Tabla6[[#All],[PRODUCTO]],0),MATCH(Tabla4[[#This Row],[Mes]],Tabla6[#Headers],0)))</f>
        <v>#N/A</v>
      </c>
      <c r="R6810" s="282" t="e">
        <f>++Tabla4[[#This Row],[Precio Unitario Neto]]-Tabla4[[#This Row],[20.85%]]-Tabla4[[#This Row],[Costo]]</f>
        <v>#N/A</v>
      </c>
      <c r="S6810" s="282" t="e">
        <f>++Tabla4[[#This Row],[U. Bruta Uni]]*Tabla4[[#This Row],[Cantidad]]</f>
        <v>#N/A</v>
      </c>
      <c r="T6810" s="369" t="str">
        <f>VLOOKUP(Tabla4[[#This Row],[Producto]],Tabla6[#All],14,FALSE)</f>
        <v>Termico Solar</v>
      </c>
      <c r="U6810" s="284" t="e">
        <f>(IF(Tabla4[[#This Row],[Familia]]="termico solar",Tabla4[[#This Row],[Utilidad Total]]*6%,Tabla4[[#This Row],[Utilidad Total]]*11.5%))/Tabla4[[#This Row],[Total]]</f>
        <v>#N/A</v>
      </c>
      <c r="V6810" s="282" t="e">
        <f>+Tabla4[[#This Row],[Comisión Calculada]]*Tabla4[[#This Row],[Total]]</f>
        <v>#N/A</v>
      </c>
    </row>
    <row r="6811" spans="1:22" hidden="1" x14ac:dyDescent="0.25">
      <c r="A6811" s="100">
        <v>45976</v>
      </c>
      <c r="B6811" t="str">
        <f t="shared" si="460"/>
        <v>November</v>
      </c>
      <c r="C6811" s="46" t="s">
        <v>280</v>
      </c>
      <c r="F6811" s="366" t="s">
        <v>3434</v>
      </c>
      <c r="G6811" s="46" t="s">
        <v>19</v>
      </c>
      <c r="H6811" s="46">
        <v>1</v>
      </c>
      <c r="I6811" s="51">
        <v>6412.03</v>
      </c>
      <c r="J6811" s="281">
        <f>++Tabla4[[#This Row],[Precio Bruto]]*1.16</f>
        <v>7437.9547999999995</v>
      </c>
      <c r="K6811" s="281">
        <f>+Tabla4[[#This Row],[Precio Unitario Neto]]*Tabla4[[#Headers],[20.85%]]</f>
        <v>1550.8135757999999</v>
      </c>
      <c r="L6811" s="282">
        <f>++Tabla4[[#This Row],[Precio Unitario Neto]]-Tabla4[[#This Row],[20.85%]]</f>
        <v>5887.1412241999997</v>
      </c>
      <c r="M6811" s="282" t="e">
        <f>(INDEX(Tabla6[#All],MATCH(Tabla4[[#This Row],[Producto]],Tabla6[[#All],[PRODUCTO]],0),MATCH(Tabla4[[#This Row],[Mes]],Tabla6[#Headers],0)))*(1+Catalogos!$L$2)</f>
        <v>#N/A</v>
      </c>
      <c r="N6811" s="283" t="e">
        <f>+(Tabla4[[#This Row],[Precio Descontado]]-Tabla4[[#This Row],[Precio Base]])*Tabla4[[#This Row],[Cantidad]]</f>
        <v>#N/A</v>
      </c>
      <c r="O6811" s="284" t="e">
        <f>++Tabla4[[#This Row],[Utilidad Total]]/Tabla4[[#This Row],[Total]]</f>
        <v>#N/A</v>
      </c>
      <c r="P6811" s="282">
        <f>++Tabla4[[#This Row],[Precio Descontado]]*Tabla4[[#This Row],[Cantidad]]</f>
        <v>5887.1412241999997</v>
      </c>
      <c r="Q6811" s="282" t="e">
        <f>(INDEX(Tabla6[#All],MATCH(Tabla4[[#This Row],[Producto]],Tabla6[[#All],[PRODUCTO]],0),MATCH(Tabla4[[#This Row],[Mes]],Tabla6[#Headers],0)))</f>
        <v>#N/A</v>
      </c>
      <c r="R6811" s="282" t="e">
        <f>++Tabla4[[#This Row],[Precio Unitario Neto]]-Tabla4[[#This Row],[20.85%]]-Tabla4[[#This Row],[Costo]]</f>
        <v>#N/A</v>
      </c>
      <c r="S6811" s="282" t="e">
        <f>++Tabla4[[#This Row],[U. Bruta Uni]]*Tabla4[[#This Row],[Cantidad]]</f>
        <v>#N/A</v>
      </c>
      <c r="T6811" s="369" t="str">
        <f>VLOOKUP(Tabla4[[#This Row],[Producto]],Tabla6[#All],14,FALSE)</f>
        <v>Termico Solar</v>
      </c>
      <c r="U6811" s="284" t="e">
        <f>(IF(Tabla4[[#This Row],[Familia]]="termico solar",Tabla4[[#This Row],[Utilidad Total]]*6%,Tabla4[[#This Row],[Utilidad Total]]*11.5%))/Tabla4[[#This Row],[Total]]</f>
        <v>#N/A</v>
      </c>
      <c r="V6811" s="282" t="e">
        <f>+Tabla4[[#This Row],[Comisión Calculada]]*Tabla4[[#This Row],[Total]]</f>
        <v>#N/A</v>
      </c>
    </row>
    <row r="6812" spans="1:22" hidden="1" x14ac:dyDescent="0.25">
      <c r="A6812" s="100">
        <v>45976</v>
      </c>
      <c r="B6812" t="str">
        <f t="shared" si="460"/>
        <v>November</v>
      </c>
      <c r="C6812" s="46" t="s">
        <v>280</v>
      </c>
      <c r="F6812" s="366" t="s">
        <v>3434</v>
      </c>
      <c r="G6812" s="46" t="s">
        <v>566</v>
      </c>
      <c r="H6812" s="46">
        <v>1</v>
      </c>
      <c r="I6812" s="51">
        <v>2109.4499999999998</v>
      </c>
      <c r="J6812" s="281">
        <f>++Tabla4[[#This Row],[Precio Bruto]]*1.16</f>
        <v>2446.9619999999995</v>
      </c>
      <c r="K6812" s="281">
        <f>+Tabla4[[#This Row],[Precio Unitario Neto]]*Tabla4[[#Headers],[20.85%]]</f>
        <v>510.19157699999988</v>
      </c>
      <c r="L6812" s="282">
        <f>++Tabla4[[#This Row],[Precio Unitario Neto]]-Tabla4[[#This Row],[20.85%]]</f>
        <v>1936.7704229999997</v>
      </c>
      <c r="M6812" s="282" t="e">
        <f>(INDEX(Tabla6[#All],MATCH(Tabla4[[#This Row],[Producto]],Tabla6[[#All],[PRODUCTO]],0),MATCH(Tabla4[[#This Row],[Mes]],Tabla6[#Headers],0)))*(1+Catalogos!$L$2)</f>
        <v>#N/A</v>
      </c>
      <c r="N6812" s="283" t="e">
        <f>+(Tabla4[[#This Row],[Precio Descontado]]-Tabla4[[#This Row],[Precio Base]])*Tabla4[[#This Row],[Cantidad]]</f>
        <v>#N/A</v>
      </c>
      <c r="O6812" s="284" t="e">
        <f>++Tabla4[[#This Row],[Utilidad Total]]/Tabla4[[#This Row],[Total]]</f>
        <v>#N/A</v>
      </c>
      <c r="P6812" s="282">
        <f>++Tabla4[[#This Row],[Precio Descontado]]*Tabla4[[#This Row],[Cantidad]]</f>
        <v>1936.7704229999997</v>
      </c>
      <c r="Q6812" s="282" t="e">
        <f>(INDEX(Tabla6[#All],MATCH(Tabla4[[#This Row],[Producto]],Tabla6[[#All],[PRODUCTO]],0),MATCH(Tabla4[[#This Row],[Mes]],Tabla6[#Headers],0)))</f>
        <v>#N/A</v>
      </c>
      <c r="R6812" s="282" t="e">
        <f>++Tabla4[[#This Row],[Precio Unitario Neto]]-Tabla4[[#This Row],[20.85%]]-Tabla4[[#This Row],[Costo]]</f>
        <v>#N/A</v>
      </c>
      <c r="S6812" s="282" t="e">
        <f>++Tabla4[[#This Row],[U. Bruta Uni]]*Tabla4[[#This Row],[Cantidad]]</f>
        <v>#N/A</v>
      </c>
      <c r="T6812" s="369" t="str">
        <f>VLOOKUP(Tabla4[[#This Row],[Producto]],Tabla6[#All],14,FALSE)</f>
        <v>Termico Solar</v>
      </c>
      <c r="U6812" s="284" t="e">
        <f>(IF(Tabla4[[#This Row],[Familia]]="termico solar",Tabla4[[#This Row],[Utilidad Total]]*6%,Tabla4[[#This Row],[Utilidad Total]]*11.5%))/Tabla4[[#This Row],[Total]]</f>
        <v>#N/A</v>
      </c>
      <c r="V6812" s="282" t="e">
        <f>+Tabla4[[#This Row],[Comisión Calculada]]*Tabla4[[#This Row],[Total]]</f>
        <v>#N/A</v>
      </c>
    </row>
    <row r="6813" spans="1:22" hidden="1" x14ac:dyDescent="0.25">
      <c r="A6813" s="100">
        <v>45976</v>
      </c>
      <c r="B6813" t="str">
        <f>TEXT(A6813, "mmmm")</f>
        <v>November</v>
      </c>
      <c r="C6813" s="46" t="s">
        <v>280</v>
      </c>
      <c r="F6813" s="366" t="s">
        <v>3435</v>
      </c>
      <c r="G6813" s="46" t="s">
        <v>208</v>
      </c>
      <c r="H6813" s="46">
        <v>2</v>
      </c>
      <c r="I6813" s="51">
        <v>189.75</v>
      </c>
      <c r="J6813" s="281">
        <f>++Tabla4[[#This Row],[Precio Bruto]]*1.16</f>
        <v>220.10999999999999</v>
      </c>
      <c r="K6813" s="281">
        <f>+Tabla4[[#This Row],[Precio Unitario Neto]]*Tabla4[[#Headers],[20.85%]]</f>
        <v>45.892934999999994</v>
      </c>
      <c r="L6813" s="282">
        <f>++Tabla4[[#This Row],[Precio Unitario Neto]]-Tabla4[[#This Row],[20.85%]]</f>
        <v>174.21706499999999</v>
      </c>
      <c r="M6813" s="282" t="e">
        <f>(INDEX(Tabla6[#All],MATCH(Tabla4[[#This Row],[Producto]],Tabla6[[#All],[PRODUCTO]],0),MATCH(Tabla4[[#This Row],[Mes]],Tabla6[#Headers],0)))*(1+Catalogos!$L$2)</f>
        <v>#N/A</v>
      </c>
      <c r="N6813" s="283" t="e">
        <f>+(Tabla4[[#This Row],[Precio Descontado]]-Tabla4[[#This Row],[Precio Base]])*Tabla4[[#This Row],[Cantidad]]</f>
        <v>#N/A</v>
      </c>
      <c r="O6813" s="284" t="e">
        <f>++Tabla4[[#This Row],[Utilidad Total]]/Tabla4[[#This Row],[Total]]</f>
        <v>#N/A</v>
      </c>
      <c r="P6813" s="282">
        <f>++Tabla4[[#This Row],[Precio Descontado]]*Tabla4[[#This Row],[Cantidad]]</f>
        <v>348.43412999999998</v>
      </c>
      <c r="Q6813" s="282" t="e">
        <f>(INDEX(Tabla6[#All],MATCH(Tabla4[[#This Row],[Producto]],Tabla6[[#All],[PRODUCTO]],0),MATCH(Tabla4[[#This Row],[Mes]],Tabla6[#Headers],0)))</f>
        <v>#N/A</v>
      </c>
      <c r="R6813" s="282" t="e">
        <f>++Tabla4[[#This Row],[Precio Unitario Neto]]-Tabla4[[#This Row],[20.85%]]-Tabla4[[#This Row],[Costo]]</f>
        <v>#N/A</v>
      </c>
      <c r="S6813" s="282" t="e">
        <f>++Tabla4[[#This Row],[U. Bruta Uni]]*Tabla4[[#This Row],[Cantidad]]</f>
        <v>#N/A</v>
      </c>
      <c r="T6813" s="369" t="str">
        <f>VLOOKUP(Tabla4[[#This Row],[Producto]],Tabla6[#All],14,FALSE)</f>
        <v>Termico Solar</v>
      </c>
      <c r="U6813" s="284" t="e">
        <f>(IF(Tabla4[[#This Row],[Familia]]="termico solar",Tabla4[[#This Row],[Utilidad Total]]*6%,Tabla4[[#This Row],[Utilidad Total]]*11.5%))/Tabla4[[#This Row],[Total]]</f>
        <v>#N/A</v>
      </c>
      <c r="V6813" s="282" t="e">
        <f>+Tabla4[[#This Row],[Comisión Calculada]]*Tabla4[[#This Row],[Total]]</f>
        <v>#N/A</v>
      </c>
    </row>
    <row r="6814" spans="1:22" hidden="1" x14ac:dyDescent="0.25">
      <c r="A6814" s="100">
        <v>45976</v>
      </c>
      <c r="B6814" t="str">
        <f t="shared" ref="B6814:B6816" si="461">TEXT(A6814, "mmmm")</f>
        <v>November</v>
      </c>
      <c r="C6814" s="46" t="s">
        <v>280</v>
      </c>
      <c r="F6814" s="366" t="s">
        <v>3436</v>
      </c>
      <c r="G6814" s="46" t="s">
        <v>83</v>
      </c>
      <c r="H6814" s="46">
        <v>1</v>
      </c>
      <c r="I6814" s="51">
        <v>8858.76</v>
      </c>
      <c r="J6814" s="281">
        <f>++Tabla4[[#This Row],[Precio Bruto]]*1.16</f>
        <v>10276.161599999999</v>
      </c>
      <c r="K6814" s="281">
        <f>+Tabla4[[#This Row],[Precio Unitario Neto]]*Tabla4[[#Headers],[20.85%]]</f>
        <v>2142.5796935999997</v>
      </c>
      <c r="L6814" s="282">
        <f>++Tabla4[[#This Row],[Precio Unitario Neto]]-Tabla4[[#This Row],[20.85%]]</f>
        <v>8133.5819063999998</v>
      </c>
      <c r="M6814" s="282" t="e">
        <f>(INDEX(Tabla6[#All],MATCH(Tabla4[[#This Row],[Producto]],Tabla6[[#All],[PRODUCTO]],0),MATCH(Tabla4[[#This Row],[Mes]],Tabla6[#Headers],0)))*(1+Catalogos!$L$2)</f>
        <v>#N/A</v>
      </c>
      <c r="N6814" s="283" t="e">
        <f>+(Tabla4[[#This Row],[Precio Descontado]]-Tabla4[[#This Row],[Precio Base]])*Tabla4[[#This Row],[Cantidad]]</f>
        <v>#N/A</v>
      </c>
      <c r="O6814" s="284" t="e">
        <f>++Tabla4[[#This Row],[Utilidad Total]]/Tabla4[[#This Row],[Total]]</f>
        <v>#N/A</v>
      </c>
      <c r="P6814" s="282">
        <f>++Tabla4[[#This Row],[Precio Descontado]]*Tabla4[[#This Row],[Cantidad]]</f>
        <v>8133.5819063999998</v>
      </c>
      <c r="Q6814" s="282" t="e">
        <f>(INDEX(Tabla6[#All],MATCH(Tabla4[[#This Row],[Producto]],Tabla6[[#All],[PRODUCTO]],0),MATCH(Tabla4[[#This Row],[Mes]],Tabla6[#Headers],0)))</f>
        <v>#N/A</v>
      </c>
      <c r="R6814" s="282" t="e">
        <f>++Tabla4[[#This Row],[Precio Unitario Neto]]-Tabla4[[#This Row],[20.85%]]-Tabla4[[#This Row],[Costo]]</f>
        <v>#N/A</v>
      </c>
      <c r="S6814" s="282" t="e">
        <f>++Tabla4[[#This Row],[U. Bruta Uni]]*Tabla4[[#This Row],[Cantidad]]</f>
        <v>#N/A</v>
      </c>
      <c r="T6814" s="369" t="str">
        <f>VLOOKUP(Tabla4[[#This Row],[Producto]],Tabla6[#All],14,FALSE)</f>
        <v>Termico Solar</v>
      </c>
      <c r="U6814" s="284" t="e">
        <f>(IF(Tabla4[[#This Row],[Familia]]="termico solar",Tabla4[[#This Row],[Utilidad Total]]*6%,Tabla4[[#This Row],[Utilidad Total]]*11.5%))/Tabla4[[#This Row],[Total]]</f>
        <v>#N/A</v>
      </c>
      <c r="V6814" s="282" t="e">
        <f>+Tabla4[[#This Row],[Comisión Calculada]]*Tabla4[[#This Row],[Total]]</f>
        <v>#N/A</v>
      </c>
    </row>
    <row r="6815" spans="1:22" hidden="1" x14ac:dyDescent="0.25">
      <c r="A6815" s="100">
        <v>45976</v>
      </c>
      <c r="B6815" t="str">
        <f t="shared" si="461"/>
        <v>November</v>
      </c>
      <c r="C6815" s="46" t="s">
        <v>280</v>
      </c>
      <c r="F6815" s="366" t="s">
        <v>3436</v>
      </c>
      <c r="G6815" s="46" t="s">
        <v>18</v>
      </c>
      <c r="H6815" s="46">
        <v>2</v>
      </c>
      <c r="I6815" s="51">
        <v>5367.65</v>
      </c>
      <c r="J6815" s="281">
        <f>++Tabla4[[#This Row],[Precio Bruto]]*1.16</f>
        <v>6226.4739999999993</v>
      </c>
      <c r="K6815" s="281">
        <f>+Tabla4[[#This Row],[Precio Unitario Neto]]*Tabla4[[#Headers],[20.85%]]</f>
        <v>1298.2198289999999</v>
      </c>
      <c r="L6815" s="282">
        <f>++Tabla4[[#This Row],[Precio Unitario Neto]]-Tabla4[[#This Row],[20.85%]]</f>
        <v>4928.2541709999996</v>
      </c>
      <c r="M6815" s="282" t="e">
        <f>(INDEX(Tabla6[#All],MATCH(Tabla4[[#This Row],[Producto]],Tabla6[[#All],[PRODUCTO]],0),MATCH(Tabla4[[#This Row],[Mes]],Tabla6[#Headers],0)))*(1+Catalogos!$L$2)</f>
        <v>#N/A</v>
      </c>
      <c r="N6815" s="283" t="e">
        <f>+(Tabla4[[#This Row],[Precio Descontado]]-Tabla4[[#This Row],[Precio Base]])*Tabla4[[#This Row],[Cantidad]]</f>
        <v>#N/A</v>
      </c>
      <c r="O6815" s="284" t="e">
        <f>++Tabla4[[#This Row],[Utilidad Total]]/Tabla4[[#This Row],[Total]]</f>
        <v>#N/A</v>
      </c>
      <c r="P6815" s="282">
        <f>++Tabla4[[#This Row],[Precio Descontado]]*Tabla4[[#This Row],[Cantidad]]</f>
        <v>9856.5083419999992</v>
      </c>
      <c r="Q6815" s="282" t="e">
        <f>(INDEX(Tabla6[#All],MATCH(Tabla4[[#This Row],[Producto]],Tabla6[[#All],[PRODUCTO]],0),MATCH(Tabla4[[#This Row],[Mes]],Tabla6[#Headers],0)))</f>
        <v>#N/A</v>
      </c>
      <c r="R6815" s="282" t="e">
        <f>++Tabla4[[#This Row],[Precio Unitario Neto]]-Tabla4[[#This Row],[20.85%]]-Tabla4[[#This Row],[Costo]]</f>
        <v>#N/A</v>
      </c>
      <c r="S6815" s="282" t="e">
        <f>++Tabla4[[#This Row],[U. Bruta Uni]]*Tabla4[[#This Row],[Cantidad]]</f>
        <v>#N/A</v>
      </c>
      <c r="T6815" s="369" t="str">
        <f>VLOOKUP(Tabla4[[#This Row],[Producto]],Tabla6[#All],14,FALSE)</f>
        <v>Termico Solar</v>
      </c>
      <c r="U6815" s="284" t="e">
        <f>(IF(Tabla4[[#This Row],[Familia]]="termico solar",Tabla4[[#This Row],[Utilidad Total]]*6%,Tabla4[[#This Row],[Utilidad Total]]*11.5%))/Tabla4[[#This Row],[Total]]</f>
        <v>#N/A</v>
      </c>
      <c r="V6815" s="282" t="e">
        <f>+Tabla4[[#This Row],[Comisión Calculada]]*Tabla4[[#This Row],[Total]]</f>
        <v>#N/A</v>
      </c>
    </row>
    <row r="6816" spans="1:22" hidden="1" x14ac:dyDescent="0.25">
      <c r="A6816" s="100">
        <v>45976</v>
      </c>
      <c r="B6816" t="str">
        <f t="shared" si="461"/>
        <v>November</v>
      </c>
      <c r="C6816" s="46" t="s">
        <v>280</v>
      </c>
      <c r="F6816" s="366" t="s">
        <v>3436</v>
      </c>
      <c r="G6816" s="46" t="s">
        <v>16</v>
      </c>
      <c r="H6816" s="46">
        <v>1</v>
      </c>
      <c r="I6816" s="51">
        <v>4103.8500000000004</v>
      </c>
      <c r="J6816" s="281">
        <f>++Tabla4[[#This Row],[Precio Bruto]]*1.16</f>
        <v>4760.4660000000003</v>
      </c>
      <c r="K6816" s="281">
        <f>+Tabla4[[#This Row],[Precio Unitario Neto]]*Tabla4[[#Headers],[20.85%]]</f>
        <v>992.55716100000006</v>
      </c>
      <c r="L6816" s="282">
        <f>++Tabla4[[#This Row],[Precio Unitario Neto]]-Tabla4[[#This Row],[20.85%]]</f>
        <v>3767.9088390000002</v>
      </c>
      <c r="M6816" s="282" t="e">
        <f>(INDEX(Tabla6[#All],MATCH(Tabla4[[#This Row],[Producto]],Tabla6[[#All],[PRODUCTO]],0),MATCH(Tabla4[[#This Row],[Mes]],Tabla6[#Headers],0)))*(1+Catalogos!$L$2)</f>
        <v>#N/A</v>
      </c>
      <c r="N6816" s="283" t="e">
        <f>+(Tabla4[[#This Row],[Precio Descontado]]-Tabla4[[#This Row],[Precio Base]])*Tabla4[[#This Row],[Cantidad]]</f>
        <v>#N/A</v>
      </c>
      <c r="O6816" s="284" t="e">
        <f>++Tabla4[[#This Row],[Utilidad Total]]/Tabla4[[#This Row],[Total]]</f>
        <v>#N/A</v>
      </c>
      <c r="P6816" s="282">
        <f>++Tabla4[[#This Row],[Precio Descontado]]*Tabla4[[#This Row],[Cantidad]]</f>
        <v>3767.9088390000002</v>
      </c>
      <c r="Q6816" s="282" t="e">
        <f>(INDEX(Tabla6[#All],MATCH(Tabla4[[#This Row],[Producto]],Tabla6[[#All],[PRODUCTO]],0),MATCH(Tabla4[[#This Row],[Mes]],Tabla6[#Headers],0)))</f>
        <v>#N/A</v>
      </c>
      <c r="R6816" s="282" t="e">
        <f>++Tabla4[[#This Row],[Precio Unitario Neto]]-Tabla4[[#This Row],[20.85%]]-Tabla4[[#This Row],[Costo]]</f>
        <v>#N/A</v>
      </c>
      <c r="S6816" s="282" t="e">
        <f>++Tabla4[[#This Row],[U. Bruta Uni]]*Tabla4[[#This Row],[Cantidad]]</f>
        <v>#N/A</v>
      </c>
      <c r="T6816" s="369" t="str">
        <f>VLOOKUP(Tabla4[[#This Row],[Producto]],Tabla6[#All],14,FALSE)</f>
        <v>Termico Solar</v>
      </c>
      <c r="U6816" s="284" t="e">
        <f>(IF(Tabla4[[#This Row],[Familia]]="termico solar",Tabla4[[#This Row],[Utilidad Total]]*6%,Tabla4[[#This Row],[Utilidad Total]]*11.5%))/Tabla4[[#This Row],[Total]]</f>
        <v>#N/A</v>
      </c>
      <c r="V6816" s="282" t="e">
        <f>+Tabla4[[#This Row],[Comisión Calculada]]*Tabla4[[#This Row],[Total]]</f>
        <v>#N/A</v>
      </c>
    </row>
    <row r="6817" spans="1:22" hidden="1" x14ac:dyDescent="0.25">
      <c r="A6817" s="100">
        <v>45976</v>
      </c>
      <c r="B6817" t="str">
        <f>TEXT(A6817, "mmmm")</f>
        <v>November</v>
      </c>
      <c r="C6817" s="46" t="s">
        <v>280</v>
      </c>
      <c r="F6817" s="366" t="s">
        <v>3437</v>
      </c>
      <c r="G6817" s="46" t="s">
        <v>566</v>
      </c>
      <c r="H6817" s="46">
        <v>1</v>
      </c>
      <c r="I6817" s="51">
        <v>2109.4499999999998</v>
      </c>
      <c r="J6817" s="281">
        <f>++Tabla4[[#This Row],[Precio Bruto]]*1.16</f>
        <v>2446.9619999999995</v>
      </c>
      <c r="K6817" s="281">
        <f>+Tabla4[[#This Row],[Precio Unitario Neto]]*Tabla4[[#Headers],[20.85%]]</f>
        <v>510.19157699999988</v>
      </c>
      <c r="L6817" s="282">
        <f>++Tabla4[[#This Row],[Precio Unitario Neto]]-Tabla4[[#This Row],[20.85%]]</f>
        <v>1936.7704229999997</v>
      </c>
      <c r="M6817" s="282" t="e">
        <f>(INDEX(Tabla6[#All],MATCH(Tabla4[[#This Row],[Producto]],Tabla6[[#All],[PRODUCTO]],0),MATCH(Tabla4[[#This Row],[Mes]],Tabla6[#Headers],0)))*(1+Catalogos!$L$2)</f>
        <v>#N/A</v>
      </c>
      <c r="N6817" s="283" t="e">
        <f>+(Tabla4[[#This Row],[Precio Descontado]]-Tabla4[[#This Row],[Precio Base]])*Tabla4[[#This Row],[Cantidad]]</f>
        <v>#N/A</v>
      </c>
      <c r="O6817" s="284" t="e">
        <f>++Tabla4[[#This Row],[Utilidad Total]]/Tabla4[[#This Row],[Total]]</f>
        <v>#N/A</v>
      </c>
      <c r="P6817" s="282">
        <f>++Tabla4[[#This Row],[Precio Descontado]]*Tabla4[[#This Row],[Cantidad]]</f>
        <v>1936.7704229999997</v>
      </c>
      <c r="Q6817" s="282" t="e">
        <f>(INDEX(Tabla6[#All],MATCH(Tabla4[[#This Row],[Producto]],Tabla6[[#All],[PRODUCTO]],0),MATCH(Tabla4[[#This Row],[Mes]],Tabla6[#Headers],0)))</f>
        <v>#N/A</v>
      </c>
      <c r="R6817" s="282" t="e">
        <f>++Tabla4[[#This Row],[Precio Unitario Neto]]-Tabla4[[#This Row],[20.85%]]-Tabla4[[#This Row],[Costo]]</f>
        <v>#N/A</v>
      </c>
      <c r="S6817" s="282" t="e">
        <f>++Tabla4[[#This Row],[U. Bruta Uni]]*Tabla4[[#This Row],[Cantidad]]</f>
        <v>#N/A</v>
      </c>
      <c r="T6817" s="369" t="str">
        <f>VLOOKUP(Tabla4[[#This Row],[Producto]],Tabla6[#All],14,FALSE)</f>
        <v>Termico Solar</v>
      </c>
      <c r="U6817" s="284" t="e">
        <f>(IF(Tabla4[[#This Row],[Familia]]="termico solar",Tabla4[[#This Row],[Utilidad Total]]*6%,Tabla4[[#This Row],[Utilidad Total]]*11.5%))/Tabla4[[#This Row],[Total]]</f>
        <v>#N/A</v>
      </c>
      <c r="V6817" s="282" t="e">
        <f>+Tabla4[[#This Row],[Comisión Calculada]]*Tabla4[[#This Row],[Total]]</f>
        <v>#N/A</v>
      </c>
    </row>
    <row r="6818" spans="1:22" hidden="1" x14ac:dyDescent="0.25">
      <c r="A6818" s="100">
        <v>45976</v>
      </c>
      <c r="B6818" t="str">
        <f t="shared" ref="B6818:B6821" si="462">TEXT(A6818, "mmmm")</f>
        <v>November</v>
      </c>
      <c r="C6818" s="46" t="s">
        <v>280</v>
      </c>
      <c r="F6818" s="366" t="s">
        <v>3438</v>
      </c>
      <c r="G6818" s="46" t="s">
        <v>17</v>
      </c>
      <c r="H6818" s="46">
        <v>3</v>
      </c>
      <c r="I6818" s="51">
        <v>4622.28</v>
      </c>
      <c r="J6818" s="281">
        <f>++Tabla4[[#This Row],[Precio Bruto]]*1.16</f>
        <v>5361.8447999999989</v>
      </c>
      <c r="K6818" s="281">
        <f>+Tabla4[[#This Row],[Precio Unitario Neto]]*Tabla4[[#Headers],[20.85%]]</f>
        <v>1117.9446407999997</v>
      </c>
      <c r="L6818" s="282">
        <f>++Tabla4[[#This Row],[Precio Unitario Neto]]-Tabla4[[#This Row],[20.85%]]</f>
        <v>4243.9001591999995</v>
      </c>
      <c r="M6818" s="282" t="e">
        <f>(INDEX(Tabla6[#All],MATCH(Tabla4[[#This Row],[Producto]],Tabla6[[#All],[PRODUCTO]],0),MATCH(Tabla4[[#This Row],[Mes]],Tabla6[#Headers],0)))*(1+Catalogos!$L$2)</f>
        <v>#N/A</v>
      </c>
      <c r="N6818" s="283" t="e">
        <f>+(Tabla4[[#This Row],[Precio Descontado]]-Tabla4[[#This Row],[Precio Base]])*Tabla4[[#This Row],[Cantidad]]</f>
        <v>#N/A</v>
      </c>
      <c r="O6818" s="284" t="e">
        <f>++Tabla4[[#This Row],[Utilidad Total]]/Tabla4[[#This Row],[Total]]</f>
        <v>#N/A</v>
      </c>
      <c r="P6818" s="282">
        <f>++Tabla4[[#This Row],[Precio Descontado]]*Tabla4[[#This Row],[Cantidad]]</f>
        <v>12731.700477599999</v>
      </c>
      <c r="Q6818" s="282" t="e">
        <f>(INDEX(Tabla6[#All],MATCH(Tabla4[[#This Row],[Producto]],Tabla6[[#All],[PRODUCTO]],0),MATCH(Tabla4[[#This Row],[Mes]],Tabla6[#Headers],0)))</f>
        <v>#N/A</v>
      </c>
      <c r="R6818" s="282" t="e">
        <f>++Tabla4[[#This Row],[Precio Unitario Neto]]-Tabla4[[#This Row],[20.85%]]-Tabla4[[#This Row],[Costo]]</f>
        <v>#N/A</v>
      </c>
      <c r="S6818" s="282" t="e">
        <f>++Tabla4[[#This Row],[U. Bruta Uni]]*Tabla4[[#This Row],[Cantidad]]</f>
        <v>#N/A</v>
      </c>
      <c r="T6818" s="369" t="str">
        <f>VLOOKUP(Tabla4[[#This Row],[Producto]],Tabla6[#All],14,FALSE)</f>
        <v>Termico Solar</v>
      </c>
      <c r="U6818" s="284" t="e">
        <f>(IF(Tabla4[[#This Row],[Familia]]="termico solar",Tabla4[[#This Row],[Utilidad Total]]*6%,Tabla4[[#This Row],[Utilidad Total]]*11.5%))/Tabla4[[#This Row],[Total]]</f>
        <v>#N/A</v>
      </c>
      <c r="V6818" s="282" t="e">
        <f>+Tabla4[[#This Row],[Comisión Calculada]]*Tabla4[[#This Row],[Total]]</f>
        <v>#N/A</v>
      </c>
    </row>
    <row r="6819" spans="1:22" hidden="1" x14ac:dyDescent="0.25">
      <c r="A6819" s="100">
        <v>45976</v>
      </c>
      <c r="B6819" t="str">
        <f t="shared" si="462"/>
        <v>November</v>
      </c>
      <c r="C6819" s="46" t="s">
        <v>280</v>
      </c>
      <c r="F6819" s="366" t="s">
        <v>3438</v>
      </c>
      <c r="G6819" s="46" t="s">
        <v>18</v>
      </c>
      <c r="H6819" s="46">
        <v>2</v>
      </c>
      <c r="I6819" s="51">
        <v>5367.65</v>
      </c>
      <c r="J6819" s="281">
        <f>++Tabla4[[#This Row],[Precio Bruto]]*1.16</f>
        <v>6226.4739999999993</v>
      </c>
      <c r="K6819" s="281">
        <f>+Tabla4[[#This Row],[Precio Unitario Neto]]*Tabla4[[#Headers],[20.85%]]</f>
        <v>1298.2198289999999</v>
      </c>
      <c r="L6819" s="282">
        <f>++Tabla4[[#This Row],[Precio Unitario Neto]]-Tabla4[[#This Row],[20.85%]]</f>
        <v>4928.2541709999996</v>
      </c>
      <c r="M6819" s="282" t="e">
        <f>(INDEX(Tabla6[#All],MATCH(Tabla4[[#This Row],[Producto]],Tabla6[[#All],[PRODUCTO]],0),MATCH(Tabla4[[#This Row],[Mes]],Tabla6[#Headers],0)))*(1+Catalogos!$L$2)</f>
        <v>#N/A</v>
      </c>
      <c r="N6819" s="283" t="e">
        <f>+(Tabla4[[#This Row],[Precio Descontado]]-Tabla4[[#This Row],[Precio Base]])*Tabla4[[#This Row],[Cantidad]]</f>
        <v>#N/A</v>
      </c>
      <c r="O6819" s="284" t="e">
        <f>++Tabla4[[#This Row],[Utilidad Total]]/Tabla4[[#This Row],[Total]]</f>
        <v>#N/A</v>
      </c>
      <c r="P6819" s="282">
        <f>++Tabla4[[#This Row],[Precio Descontado]]*Tabla4[[#This Row],[Cantidad]]</f>
        <v>9856.5083419999992</v>
      </c>
      <c r="Q6819" s="282" t="e">
        <f>(INDEX(Tabla6[#All],MATCH(Tabla4[[#This Row],[Producto]],Tabla6[[#All],[PRODUCTO]],0),MATCH(Tabla4[[#This Row],[Mes]],Tabla6[#Headers],0)))</f>
        <v>#N/A</v>
      </c>
      <c r="R6819" s="282" t="e">
        <f>++Tabla4[[#This Row],[Precio Unitario Neto]]-Tabla4[[#This Row],[20.85%]]-Tabla4[[#This Row],[Costo]]</f>
        <v>#N/A</v>
      </c>
      <c r="S6819" s="282" t="e">
        <f>++Tabla4[[#This Row],[U. Bruta Uni]]*Tabla4[[#This Row],[Cantidad]]</f>
        <v>#N/A</v>
      </c>
      <c r="T6819" s="369" t="str">
        <f>VLOOKUP(Tabla4[[#This Row],[Producto]],Tabla6[#All],14,FALSE)</f>
        <v>Termico Solar</v>
      </c>
      <c r="U6819" s="284" t="e">
        <f>(IF(Tabla4[[#This Row],[Familia]]="termico solar",Tabla4[[#This Row],[Utilidad Total]]*6%,Tabla4[[#This Row],[Utilidad Total]]*11.5%))/Tabla4[[#This Row],[Total]]</f>
        <v>#N/A</v>
      </c>
      <c r="V6819" s="282" t="e">
        <f>+Tabla4[[#This Row],[Comisión Calculada]]*Tabla4[[#This Row],[Total]]</f>
        <v>#N/A</v>
      </c>
    </row>
    <row r="6820" spans="1:22" hidden="1" x14ac:dyDescent="0.25">
      <c r="A6820" s="100">
        <v>45976</v>
      </c>
      <c r="B6820" t="str">
        <f t="shared" si="462"/>
        <v>November</v>
      </c>
      <c r="C6820" s="46" t="s">
        <v>280</v>
      </c>
      <c r="F6820" s="366" t="s">
        <v>3438</v>
      </c>
      <c r="G6820" s="46" t="s">
        <v>19</v>
      </c>
      <c r="H6820" s="46">
        <v>1</v>
      </c>
      <c r="I6820" s="51">
        <v>6412.03</v>
      </c>
      <c r="J6820" s="281">
        <f>++Tabla4[[#This Row],[Precio Bruto]]*1.16</f>
        <v>7437.9547999999995</v>
      </c>
      <c r="K6820" s="281">
        <f>+Tabla4[[#This Row],[Precio Unitario Neto]]*Tabla4[[#Headers],[20.85%]]</f>
        <v>1550.8135757999999</v>
      </c>
      <c r="L6820" s="282">
        <f>++Tabla4[[#This Row],[Precio Unitario Neto]]-Tabla4[[#This Row],[20.85%]]</f>
        <v>5887.1412241999997</v>
      </c>
      <c r="M6820" s="282" t="e">
        <f>(INDEX(Tabla6[#All],MATCH(Tabla4[[#This Row],[Producto]],Tabla6[[#All],[PRODUCTO]],0),MATCH(Tabla4[[#This Row],[Mes]],Tabla6[#Headers],0)))*(1+Catalogos!$L$2)</f>
        <v>#N/A</v>
      </c>
      <c r="N6820" s="283" t="e">
        <f>+(Tabla4[[#This Row],[Precio Descontado]]-Tabla4[[#This Row],[Precio Base]])*Tabla4[[#This Row],[Cantidad]]</f>
        <v>#N/A</v>
      </c>
      <c r="O6820" s="284" t="e">
        <f>++Tabla4[[#This Row],[Utilidad Total]]/Tabla4[[#This Row],[Total]]</f>
        <v>#N/A</v>
      </c>
      <c r="P6820" s="282">
        <f>++Tabla4[[#This Row],[Precio Descontado]]*Tabla4[[#This Row],[Cantidad]]</f>
        <v>5887.1412241999997</v>
      </c>
      <c r="Q6820" s="282" t="e">
        <f>(INDEX(Tabla6[#All],MATCH(Tabla4[[#This Row],[Producto]],Tabla6[[#All],[PRODUCTO]],0),MATCH(Tabla4[[#This Row],[Mes]],Tabla6[#Headers],0)))</f>
        <v>#N/A</v>
      </c>
      <c r="R6820" s="282" t="e">
        <f>++Tabla4[[#This Row],[Precio Unitario Neto]]-Tabla4[[#This Row],[20.85%]]-Tabla4[[#This Row],[Costo]]</f>
        <v>#N/A</v>
      </c>
      <c r="S6820" s="282" t="e">
        <f>++Tabla4[[#This Row],[U. Bruta Uni]]*Tabla4[[#This Row],[Cantidad]]</f>
        <v>#N/A</v>
      </c>
      <c r="T6820" s="369" t="str">
        <f>VLOOKUP(Tabla4[[#This Row],[Producto]],Tabla6[#All],14,FALSE)</f>
        <v>Termico Solar</v>
      </c>
      <c r="U6820" s="284" t="e">
        <f>(IF(Tabla4[[#This Row],[Familia]]="termico solar",Tabla4[[#This Row],[Utilidad Total]]*6%,Tabla4[[#This Row],[Utilidad Total]]*11.5%))/Tabla4[[#This Row],[Total]]</f>
        <v>#N/A</v>
      </c>
      <c r="V6820" s="282" t="e">
        <f>+Tabla4[[#This Row],[Comisión Calculada]]*Tabla4[[#This Row],[Total]]</f>
        <v>#N/A</v>
      </c>
    </row>
    <row r="6821" spans="1:22" hidden="1" x14ac:dyDescent="0.25">
      <c r="A6821" s="100">
        <v>45976</v>
      </c>
      <c r="B6821" t="str">
        <f t="shared" si="462"/>
        <v>November</v>
      </c>
      <c r="C6821" s="46" t="s">
        <v>280</v>
      </c>
      <c r="F6821" s="366" t="s">
        <v>3438</v>
      </c>
      <c r="G6821" s="46" t="s">
        <v>16</v>
      </c>
      <c r="H6821" s="46">
        <v>1</v>
      </c>
      <c r="I6821" s="51">
        <v>4103.8500000000004</v>
      </c>
      <c r="J6821" s="281">
        <f>++Tabla4[[#This Row],[Precio Bruto]]*1.16</f>
        <v>4760.4660000000003</v>
      </c>
      <c r="K6821" s="281">
        <f>+Tabla4[[#This Row],[Precio Unitario Neto]]*Tabla4[[#Headers],[20.85%]]</f>
        <v>992.55716100000006</v>
      </c>
      <c r="L6821" s="282">
        <f>++Tabla4[[#This Row],[Precio Unitario Neto]]-Tabla4[[#This Row],[20.85%]]</f>
        <v>3767.9088390000002</v>
      </c>
      <c r="M6821" s="282" t="e">
        <f>(INDEX(Tabla6[#All],MATCH(Tabla4[[#This Row],[Producto]],Tabla6[[#All],[PRODUCTO]],0),MATCH(Tabla4[[#This Row],[Mes]],Tabla6[#Headers],0)))*(1+Catalogos!$L$2)</f>
        <v>#N/A</v>
      </c>
      <c r="N6821" s="283" t="e">
        <f>+(Tabla4[[#This Row],[Precio Descontado]]-Tabla4[[#This Row],[Precio Base]])*Tabla4[[#This Row],[Cantidad]]</f>
        <v>#N/A</v>
      </c>
      <c r="O6821" s="284" t="e">
        <f>++Tabla4[[#This Row],[Utilidad Total]]/Tabla4[[#This Row],[Total]]</f>
        <v>#N/A</v>
      </c>
      <c r="P6821" s="282">
        <f>++Tabla4[[#This Row],[Precio Descontado]]*Tabla4[[#This Row],[Cantidad]]</f>
        <v>3767.9088390000002</v>
      </c>
      <c r="Q6821" s="282" t="e">
        <f>(INDEX(Tabla6[#All],MATCH(Tabla4[[#This Row],[Producto]],Tabla6[[#All],[PRODUCTO]],0),MATCH(Tabla4[[#This Row],[Mes]],Tabla6[#Headers],0)))</f>
        <v>#N/A</v>
      </c>
      <c r="R6821" s="282" t="e">
        <f>++Tabla4[[#This Row],[Precio Unitario Neto]]-Tabla4[[#This Row],[20.85%]]-Tabla4[[#This Row],[Costo]]</f>
        <v>#N/A</v>
      </c>
      <c r="S6821" s="282" t="e">
        <f>++Tabla4[[#This Row],[U. Bruta Uni]]*Tabla4[[#This Row],[Cantidad]]</f>
        <v>#N/A</v>
      </c>
      <c r="T6821" s="369" t="str">
        <f>VLOOKUP(Tabla4[[#This Row],[Producto]],Tabla6[#All],14,FALSE)</f>
        <v>Termico Solar</v>
      </c>
      <c r="U6821" s="284" t="e">
        <f>(IF(Tabla4[[#This Row],[Familia]]="termico solar",Tabla4[[#This Row],[Utilidad Total]]*6%,Tabla4[[#This Row],[Utilidad Total]]*11.5%))/Tabla4[[#This Row],[Total]]</f>
        <v>#N/A</v>
      </c>
      <c r="V6821" s="282" t="e">
        <f>+Tabla4[[#This Row],[Comisión Calculada]]*Tabla4[[#This Row],[Total]]</f>
        <v>#N/A</v>
      </c>
    </row>
    <row r="6822" spans="1:22" hidden="1" x14ac:dyDescent="0.25">
      <c r="A6822" s="100">
        <v>45976</v>
      </c>
      <c r="B6822" t="str">
        <f t="shared" ref="B6822:B6823" si="463">TEXT(A6822, "mmmm")</f>
        <v>November</v>
      </c>
      <c r="C6822" s="46" t="s">
        <v>280</v>
      </c>
      <c r="F6822" s="366" t="s">
        <v>3439</v>
      </c>
      <c r="G6822" s="46" t="s">
        <v>18</v>
      </c>
      <c r="H6822" s="46">
        <v>3</v>
      </c>
      <c r="I6822" s="51">
        <v>5367.6500000000005</v>
      </c>
      <c r="J6822" s="281">
        <f>++Tabla4[[#This Row],[Precio Bruto]]*1.16</f>
        <v>6226.4740000000002</v>
      </c>
      <c r="K6822" s="281">
        <f>+Tabla4[[#This Row],[Precio Unitario Neto]]*Tabla4[[#Headers],[20.85%]]</f>
        <v>1298.2198289999999</v>
      </c>
      <c r="L6822" s="282">
        <f>++Tabla4[[#This Row],[Precio Unitario Neto]]-Tabla4[[#This Row],[20.85%]]</f>
        <v>4928.2541710000005</v>
      </c>
      <c r="M6822" s="282" t="e">
        <f>(INDEX(Tabla6[#All],MATCH(Tabla4[[#This Row],[Producto]],Tabla6[[#All],[PRODUCTO]],0),MATCH(Tabla4[[#This Row],[Mes]],Tabla6[#Headers],0)))*(1+Catalogos!$L$2)</f>
        <v>#N/A</v>
      </c>
      <c r="N6822" s="283" t="e">
        <f>+(Tabla4[[#This Row],[Precio Descontado]]-Tabla4[[#This Row],[Precio Base]])*Tabla4[[#This Row],[Cantidad]]</f>
        <v>#N/A</v>
      </c>
      <c r="O6822" s="284" t="e">
        <f>++Tabla4[[#This Row],[Utilidad Total]]/Tabla4[[#This Row],[Total]]</f>
        <v>#N/A</v>
      </c>
      <c r="P6822" s="282">
        <f>++Tabla4[[#This Row],[Precio Descontado]]*Tabla4[[#This Row],[Cantidad]]</f>
        <v>14784.762513000001</v>
      </c>
      <c r="Q6822" s="282" t="e">
        <f>(INDEX(Tabla6[#All],MATCH(Tabla4[[#This Row],[Producto]],Tabla6[[#All],[PRODUCTO]],0),MATCH(Tabla4[[#This Row],[Mes]],Tabla6[#Headers],0)))</f>
        <v>#N/A</v>
      </c>
      <c r="R6822" s="282" t="e">
        <f>++Tabla4[[#This Row],[Precio Unitario Neto]]-Tabla4[[#This Row],[20.85%]]-Tabla4[[#This Row],[Costo]]</f>
        <v>#N/A</v>
      </c>
      <c r="S6822" s="282" t="e">
        <f>++Tabla4[[#This Row],[U. Bruta Uni]]*Tabla4[[#This Row],[Cantidad]]</f>
        <v>#N/A</v>
      </c>
      <c r="T6822" s="369" t="str">
        <f>VLOOKUP(Tabla4[[#This Row],[Producto]],Tabla6[#All],14,FALSE)</f>
        <v>Termico Solar</v>
      </c>
      <c r="U6822" s="284" t="e">
        <f>(IF(Tabla4[[#This Row],[Familia]]="termico solar",Tabla4[[#This Row],[Utilidad Total]]*6%,Tabla4[[#This Row],[Utilidad Total]]*11.5%))/Tabla4[[#This Row],[Total]]</f>
        <v>#N/A</v>
      </c>
      <c r="V6822" s="282" t="e">
        <f>+Tabla4[[#This Row],[Comisión Calculada]]*Tabla4[[#This Row],[Total]]</f>
        <v>#N/A</v>
      </c>
    </row>
    <row r="6823" spans="1:22" hidden="1" x14ac:dyDescent="0.25">
      <c r="A6823" s="100">
        <v>45976</v>
      </c>
      <c r="B6823" t="str">
        <f t="shared" si="463"/>
        <v>November</v>
      </c>
      <c r="C6823" s="46" t="s">
        <v>280</v>
      </c>
      <c r="F6823" s="366" t="s">
        <v>3439</v>
      </c>
      <c r="G6823" s="46" t="s">
        <v>16</v>
      </c>
      <c r="H6823" s="46">
        <v>1</v>
      </c>
      <c r="I6823" s="51">
        <v>4103.8500000000004</v>
      </c>
      <c r="J6823" s="281">
        <f>++Tabla4[[#This Row],[Precio Bruto]]*1.16</f>
        <v>4760.4660000000003</v>
      </c>
      <c r="K6823" s="281">
        <f>+Tabla4[[#This Row],[Precio Unitario Neto]]*Tabla4[[#Headers],[20.85%]]</f>
        <v>992.55716100000006</v>
      </c>
      <c r="L6823" s="282">
        <f>++Tabla4[[#This Row],[Precio Unitario Neto]]-Tabla4[[#This Row],[20.85%]]</f>
        <v>3767.9088390000002</v>
      </c>
      <c r="M6823" s="282" t="e">
        <f>(INDEX(Tabla6[#All],MATCH(Tabla4[[#This Row],[Producto]],Tabla6[[#All],[PRODUCTO]],0),MATCH(Tabla4[[#This Row],[Mes]],Tabla6[#Headers],0)))*(1+Catalogos!$L$2)</f>
        <v>#N/A</v>
      </c>
      <c r="N6823" s="283" t="e">
        <f>+(Tabla4[[#This Row],[Precio Descontado]]-Tabla4[[#This Row],[Precio Base]])*Tabla4[[#This Row],[Cantidad]]</f>
        <v>#N/A</v>
      </c>
      <c r="O6823" s="284" t="e">
        <f>++Tabla4[[#This Row],[Utilidad Total]]/Tabla4[[#This Row],[Total]]</f>
        <v>#N/A</v>
      </c>
      <c r="P6823" s="282">
        <f>++Tabla4[[#This Row],[Precio Descontado]]*Tabla4[[#This Row],[Cantidad]]</f>
        <v>3767.9088390000002</v>
      </c>
      <c r="Q6823" s="282" t="e">
        <f>(INDEX(Tabla6[#All],MATCH(Tabla4[[#This Row],[Producto]],Tabla6[[#All],[PRODUCTO]],0),MATCH(Tabla4[[#This Row],[Mes]],Tabla6[#Headers],0)))</f>
        <v>#N/A</v>
      </c>
      <c r="R6823" s="282" t="e">
        <f>++Tabla4[[#This Row],[Precio Unitario Neto]]-Tabla4[[#This Row],[20.85%]]-Tabla4[[#This Row],[Costo]]</f>
        <v>#N/A</v>
      </c>
      <c r="S6823" s="282" t="e">
        <f>++Tabla4[[#This Row],[U. Bruta Uni]]*Tabla4[[#This Row],[Cantidad]]</f>
        <v>#N/A</v>
      </c>
      <c r="T6823" s="369" t="str">
        <f>VLOOKUP(Tabla4[[#This Row],[Producto]],Tabla6[#All],14,FALSE)</f>
        <v>Termico Solar</v>
      </c>
      <c r="U6823" s="284" t="e">
        <f>(IF(Tabla4[[#This Row],[Familia]]="termico solar",Tabla4[[#This Row],[Utilidad Total]]*6%,Tabla4[[#This Row],[Utilidad Total]]*11.5%))/Tabla4[[#This Row],[Total]]</f>
        <v>#N/A</v>
      </c>
      <c r="V6823" s="282" t="e">
        <f>+Tabla4[[#This Row],[Comisión Calculada]]*Tabla4[[#This Row],[Total]]</f>
        <v>#N/A</v>
      </c>
    </row>
    <row r="6824" spans="1:22" hidden="1" x14ac:dyDescent="0.25">
      <c r="A6824" s="100">
        <v>45976</v>
      </c>
      <c r="B6824" t="str">
        <f t="shared" ref="B6824:B6825" si="464">TEXT(A6824, "mmmm")</f>
        <v>November</v>
      </c>
      <c r="C6824" s="46" t="s">
        <v>280</v>
      </c>
      <c r="F6824" s="366" t="s">
        <v>3440</v>
      </c>
      <c r="G6824" s="46" t="s">
        <v>566</v>
      </c>
      <c r="H6824" s="46">
        <v>1</v>
      </c>
      <c r="I6824" s="51">
        <v>2109.4499999999998</v>
      </c>
      <c r="J6824" s="281">
        <f>++Tabla4[[#This Row],[Precio Bruto]]*1.16</f>
        <v>2446.9619999999995</v>
      </c>
      <c r="K6824" s="281">
        <f>+Tabla4[[#This Row],[Precio Unitario Neto]]*Tabla4[[#Headers],[20.85%]]</f>
        <v>510.19157699999988</v>
      </c>
      <c r="L6824" s="282">
        <f>++Tabla4[[#This Row],[Precio Unitario Neto]]-Tabla4[[#This Row],[20.85%]]</f>
        <v>1936.7704229999997</v>
      </c>
      <c r="M6824" s="282" t="e">
        <f>(INDEX(Tabla6[#All],MATCH(Tabla4[[#This Row],[Producto]],Tabla6[[#All],[PRODUCTO]],0),MATCH(Tabla4[[#This Row],[Mes]],Tabla6[#Headers],0)))*(1+Catalogos!$L$2)</f>
        <v>#N/A</v>
      </c>
      <c r="N6824" s="283" t="e">
        <f>+(Tabla4[[#This Row],[Precio Descontado]]-Tabla4[[#This Row],[Precio Base]])*Tabla4[[#This Row],[Cantidad]]</f>
        <v>#N/A</v>
      </c>
      <c r="O6824" s="284" t="e">
        <f>++Tabla4[[#This Row],[Utilidad Total]]/Tabla4[[#This Row],[Total]]</f>
        <v>#N/A</v>
      </c>
      <c r="P6824" s="282">
        <f>++Tabla4[[#This Row],[Precio Descontado]]*Tabla4[[#This Row],[Cantidad]]</f>
        <v>1936.7704229999997</v>
      </c>
      <c r="Q6824" s="282" t="e">
        <f>(INDEX(Tabla6[#All],MATCH(Tabla4[[#This Row],[Producto]],Tabla6[[#All],[PRODUCTO]],0),MATCH(Tabla4[[#This Row],[Mes]],Tabla6[#Headers],0)))</f>
        <v>#N/A</v>
      </c>
      <c r="R6824" s="282" t="e">
        <f>++Tabla4[[#This Row],[Precio Unitario Neto]]-Tabla4[[#This Row],[20.85%]]-Tabla4[[#This Row],[Costo]]</f>
        <v>#N/A</v>
      </c>
      <c r="S6824" s="282" t="e">
        <f>++Tabla4[[#This Row],[U. Bruta Uni]]*Tabla4[[#This Row],[Cantidad]]</f>
        <v>#N/A</v>
      </c>
      <c r="T6824" s="369" t="str">
        <f>VLOOKUP(Tabla4[[#This Row],[Producto]],Tabla6[#All],14,FALSE)</f>
        <v>Termico Solar</v>
      </c>
      <c r="U6824" s="284" t="e">
        <f>(IF(Tabla4[[#This Row],[Familia]]="termico solar",Tabla4[[#This Row],[Utilidad Total]]*6%,Tabla4[[#This Row],[Utilidad Total]]*11.5%))/Tabla4[[#This Row],[Total]]</f>
        <v>#N/A</v>
      </c>
      <c r="V6824" s="282" t="e">
        <f>+Tabla4[[#This Row],[Comisión Calculada]]*Tabla4[[#This Row],[Total]]</f>
        <v>#N/A</v>
      </c>
    </row>
    <row r="6825" spans="1:22" hidden="1" x14ac:dyDescent="0.25">
      <c r="A6825" s="100">
        <v>45976</v>
      </c>
      <c r="B6825" t="str">
        <f t="shared" si="464"/>
        <v>November</v>
      </c>
      <c r="C6825" s="46" t="s">
        <v>280</v>
      </c>
      <c r="F6825" s="366" t="s">
        <v>3440</v>
      </c>
      <c r="G6825" s="46" t="s">
        <v>394</v>
      </c>
      <c r="H6825" s="46">
        <v>9</v>
      </c>
      <c r="I6825" s="51">
        <v>108.1</v>
      </c>
      <c r="J6825" s="281">
        <f>++Tabla4[[#This Row],[Precio Bruto]]*1.16</f>
        <v>125.39599999999999</v>
      </c>
      <c r="K6825" s="281">
        <f>+Tabla4[[#This Row],[Precio Unitario Neto]]*Tabla4[[#Headers],[20.85%]]</f>
        <v>26.145065999999996</v>
      </c>
      <c r="L6825" s="282">
        <f>++Tabla4[[#This Row],[Precio Unitario Neto]]-Tabla4[[#This Row],[20.85%]]</f>
        <v>99.250933999999987</v>
      </c>
      <c r="M6825" s="282" t="e">
        <f>(INDEX(Tabla6[#All],MATCH(Tabla4[[#This Row],[Producto]],Tabla6[[#All],[PRODUCTO]],0),MATCH(Tabla4[[#This Row],[Mes]],Tabla6[#Headers],0)))*(1+Catalogos!$L$2)</f>
        <v>#N/A</v>
      </c>
      <c r="N6825" s="283" t="e">
        <f>+(Tabla4[[#This Row],[Precio Descontado]]-Tabla4[[#This Row],[Precio Base]])*Tabla4[[#This Row],[Cantidad]]</f>
        <v>#N/A</v>
      </c>
      <c r="O6825" s="284" t="e">
        <f>++Tabla4[[#This Row],[Utilidad Total]]/Tabla4[[#This Row],[Total]]</f>
        <v>#N/A</v>
      </c>
      <c r="P6825" s="282">
        <f>++Tabla4[[#This Row],[Precio Descontado]]*Tabla4[[#This Row],[Cantidad]]</f>
        <v>893.25840599999992</v>
      </c>
      <c r="Q6825" s="282" t="e">
        <f>(INDEX(Tabla6[#All],MATCH(Tabla4[[#This Row],[Producto]],Tabla6[[#All],[PRODUCTO]],0),MATCH(Tabla4[[#This Row],[Mes]],Tabla6[#Headers],0)))</f>
        <v>#N/A</v>
      </c>
      <c r="R6825" s="282" t="e">
        <f>++Tabla4[[#This Row],[Precio Unitario Neto]]-Tabla4[[#This Row],[20.85%]]-Tabla4[[#This Row],[Costo]]</f>
        <v>#N/A</v>
      </c>
      <c r="S6825" s="282" t="e">
        <f>++Tabla4[[#This Row],[U. Bruta Uni]]*Tabla4[[#This Row],[Cantidad]]</f>
        <v>#N/A</v>
      </c>
      <c r="T6825" s="369" t="str">
        <f>VLOOKUP(Tabla4[[#This Row],[Producto]],Tabla6[#All],14,FALSE)</f>
        <v>Termico Solar</v>
      </c>
      <c r="U6825" s="284" t="e">
        <f>(IF(Tabla4[[#This Row],[Familia]]="termico solar",Tabla4[[#This Row],[Utilidad Total]]*6%,Tabla4[[#This Row],[Utilidad Total]]*11.5%))/Tabla4[[#This Row],[Total]]</f>
        <v>#N/A</v>
      </c>
      <c r="V6825" s="282" t="e">
        <f>+Tabla4[[#This Row],[Comisión Calculada]]*Tabla4[[#This Row],[Total]]</f>
        <v>#N/A</v>
      </c>
    </row>
    <row r="6826" spans="1:22" hidden="1" x14ac:dyDescent="0.25">
      <c r="A6826" s="100">
        <v>45976</v>
      </c>
      <c r="B6826" t="str">
        <f t="shared" ref="B6826:B6828" si="465">TEXT(A6826, "mmmm")</f>
        <v>November</v>
      </c>
      <c r="C6826" s="46" t="s">
        <v>280</v>
      </c>
      <c r="F6826" s="366" t="s">
        <v>3441</v>
      </c>
      <c r="G6826" s="46" t="s">
        <v>566</v>
      </c>
      <c r="H6826" s="46">
        <v>1</v>
      </c>
      <c r="I6826" s="51">
        <v>2109.4499999999998</v>
      </c>
      <c r="J6826" s="281">
        <f>++Tabla4[[#This Row],[Precio Bruto]]*1.16</f>
        <v>2446.9619999999995</v>
      </c>
      <c r="K6826" s="281">
        <f>+Tabla4[[#This Row],[Precio Unitario Neto]]*Tabla4[[#Headers],[20.85%]]</f>
        <v>510.19157699999988</v>
      </c>
      <c r="L6826" s="282">
        <f>++Tabla4[[#This Row],[Precio Unitario Neto]]-Tabla4[[#This Row],[20.85%]]</f>
        <v>1936.7704229999997</v>
      </c>
      <c r="M6826" s="282" t="e">
        <f>(INDEX(Tabla6[#All],MATCH(Tabla4[[#This Row],[Producto]],Tabla6[[#All],[PRODUCTO]],0),MATCH(Tabla4[[#This Row],[Mes]],Tabla6[#Headers],0)))*(1+Catalogos!$L$2)</f>
        <v>#N/A</v>
      </c>
      <c r="N6826" s="283" t="e">
        <f>+(Tabla4[[#This Row],[Precio Descontado]]-Tabla4[[#This Row],[Precio Base]])*Tabla4[[#This Row],[Cantidad]]</f>
        <v>#N/A</v>
      </c>
      <c r="O6826" s="284" t="e">
        <f>++Tabla4[[#This Row],[Utilidad Total]]/Tabla4[[#This Row],[Total]]</f>
        <v>#N/A</v>
      </c>
      <c r="P6826" s="282">
        <f>++Tabla4[[#This Row],[Precio Descontado]]*Tabla4[[#This Row],[Cantidad]]</f>
        <v>1936.7704229999997</v>
      </c>
      <c r="Q6826" s="282" t="e">
        <f>(INDEX(Tabla6[#All],MATCH(Tabla4[[#This Row],[Producto]],Tabla6[[#All],[PRODUCTO]],0),MATCH(Tabla4[[#This Row],[Mes]],Tabla6[#Headers],0)))</f>
        <v>#N/A</v>
      </c>
      <c r="R6826" s="282" t="e">
        <f>++Tabla4[[#This Row],[Precio Unitario Neto]]-Tabla4[[#This Row],[20.85%]]-Tabla4[[#This Row],[Costo]]</f>
        <v>#N/A</v>
      </c>
      <c r="S6826" s="282" t="e">
        <f>++Tabla4[[#This Row],[U. Bruta Uni]]*Tabla4[[#This Row],[Cantidad]]</f>
        <v>#N/A</v>
      </c>
      <c r="T6826" s="369" t="str">
        <f>VLOOKUP(Tabla4[[#This Row],[Producto]],Tabla6[#All],14,FALSE)</f>
        <v>Termico Solar</v>
      </c>
      <c r="U6826" s="284" t="e">
        <f>(IF(Tabla4[[#This Row],[Familia]]="termico solar",Tabla4[[#This Row],[Utilidad Total]]*6%,Tabla4[[#This Row],[Utilidad Total]]*11.5%))/Tabla4[[#This Row],[Total]]</f>
        <v>#N/A</v>
      </c>
      <c r="V6826" s="282" t="e">
        <f>+Tabla4[[#This Row],[Comisión Calculada]]*Tabla4[[#This Row],[Total]]</f>
        <v>#N/A</v>
      </c>
    </row>
    <row r="6827" spans="1:22" hidden="1" x14ac:dyDescent="0.25">
      <c r="A6827" s="100">
        <v>45976</v>
      </c>
      <c r="B6827" t="str">
        <f t="shared" si="465"/>
        <v>November</v>
      </c>
      <c r="C6827" s="46" t="s">
        <v>280</v>
      </c>
      <c r="F6827" s="366" t="s">
        <v>3441</v>
      </c>
      <c r="G6827" s="46" t="s">
        <v>412</v>
      </c>
      <c r="H6827" s="46">
        <v>1</v>
      </c>
      <c r="I6827" s="51">
        <v>3240.84</v>
      </c>
      <c r="J6827" s="281">
        <f>++Tabla4[[#This Row],[Precio Bruto]]*1.16</f>
        <v>3759.3743999999997</v>
      </c>
      <c r="K6827" s="281">
        <f>+Tabla4[[#This Row],[Precio Unitario Neto]]*Tabla4[[#Headers],[20.85%]]</f>
        <v>783.82956239999987</v>
      </c>
      <c r="L6827" s="282">
        <f>++Tabla4[[#This Row],[Precio Unitario Neto]]-Tabla4[[#This Row],[20.85%]]</f>
        <v>2975.5448375999999</v>
      </c>
      <c r="M6827" s="282" t="e">
        <f>(INDEX(Tabla6[#All],MATCH(Tabla4[[#This Row],[Producto]],Tabla6[[#All],[PRODUCTO]],0),MATCH(Tabla4[[#This Row],[Mes]],Tabla6[#Headers],0)))*(1+Catalogos!$L$2)</f>
        <v>#N/A</v>
      </c>
      <c r="N6827" s="283" t="e">
        <f>+(Tabla4[[#This Row],[Precio Descontado]]-Tabla4[[#This Row],[Precio Base]])*Tabla4[[#This Row],[Cantidad]]</f>
        <v>#N/A</v>
      </c>
      <c r="O6827" s="284" t="e">
        <f>++Tabla4[[#This Row],[Utilidad Total]]/Tabla4[[#This Row],[Total]]</f>
        <v>#N/A</v>
      </c>
      <c r="P6827" s="282">
        <f>++Tabla4[[#This Row],[Precio Descontado]]*Tabla4[[#This Row],[Cantidad]]</f>
        <v>2975.5448375999999</v>
      </c>
      <c r="Q6827" s="282" t="e">
        <f>(INDEX(Tabla6[#All],MATCH(Tabla4[[#This Row],[Producto]],Tabla6[[#All],[PRODUCTO]],0),MATCH(Tabla4[[#This Row],[Mes]],Tabla6[#Headers],0)))</f>
        <v>#N/A</v>
      </c>
      <c r="R6827" s="282" t="e">
        <f>++Tabla4[[#This Row],[Precio Unitario Neto]]-Tabla4[[#This Row],[20.85%]]-Tabla4[[#This Row],[Costo]]</f>
        <v>#N/A</v>
      </c>
      <c r="S6827" s="282" t="e">
        <f>++Tabla4[[#This Row],[U. Bruta Uni]]*Tabla4[[#This Row],[Cantidad]]</f>
        <v>#N/A</v>
      </c>
      <c r="T6827" s="369" t="str">
        <f>VLOOKUP(Tabla4[[#This Row],[Producto]],Tabla6[#All],14,FALSE)</f>
        <v>Termico Solar</v>
      </c>
      <c r="U6827" s="284" t="e">
        <f>(IF(Tabla4[[#This Row],[Familia]]="termico solar",Tabla4[[#This Row],[Utilidad Total]]*6%,Tabla4[[#This Row],[Utilidad Total]]*11.5%))/Tabla4[[#This Row],[Total]]</f>
        <v>#N/A</v>
      </c>
      <c r="V6827" s="282" t="e">
        <f>+Tabla4[[#This Row],[Comisión Calculada]]*Tabla4[[#This Row],[Total]]</f>
        <v>#N/A</v>
      </c>
    </row>
    <row r="6828" spans="1:22" hidden="1" x14ac:dyDescent="0.25">
      <c r="A6828" s="100">
        <v>45976</v>
      </c>
      <c r="B6828" t="str">
        <f t="shared" si="465"/>
        <v>November</v>
      </c>
      <c r="C6828" s="46" t="s">
        <v>280</v>
      </c>
      <c r="F6828" s="366" t="s">
        <v>3441</v>
      </c>
      <c r="G6828" s="46" t="s">
        <v>394</v>
      </c>
      <c r="H6828" s="46">
        <v>9</v>
      </c>
      <c r="I6828" s="51">
        <v>108.1</v>
      </c>
      <c r="J6828" s="281">
        <f>++Tabla4[[#This Row],[Precio Bruto]]*1.16</f>
        <v>125.39599999999999</v>
      </c>
      <c r="K6828" s="281">
        <f>+Tabla4[[#This Row],[Precio Unitario Neto]]*Tabla4[[#Headers],[20.85%]]</f>
        <v>26.145065999999996</v>
      </c>
      <c r="L6828" s="282">
        <f>++Tabla4[[#This Row],[Precio Unitario Neto]]-Tabla4[[#This Row],[20.85%]]</f>
        <v>99.250933999999987</v>
      </c>
      <c r="M6828" s="282" t="e">
        <f>(INDEX(Tabla6[#All],MATCH(Tabla4[[#This Row],[Producto]],Tabla6[[#All],[PRODUCTO]],0),MATCH(Tabla4[[#This Row],[Mes]],Tabla6[#Headers],0)))*(1+Catalogos!$L$2)</f>
        <v>#N/A</v>
      </c>
      <c r="N6828" s="283" t="e">
        <f>+(Tabla4[[#This Row],[Precio Descontado]]-Tabla4[[#This Row],[Precio Base]])*Tabla4[[#This Row],[Cantidad]]</f>
        <v>#N/A</v>
      </c>
      <c r="O6828" s="284" t="e">
        <f>++Tabla4[[#This Row],[Utilidad Total]]/Tabla4[[#This Row],[Total]]</f>
        <v>#N/A</v>
      </c>
      <c r="P6828" s="282">
        <f>++Tabla4[[#This Row],[Precio Descontado]]*Tabla4[[#This Row],[Cantidad]]</f>
        <v>893.25840599999992</v>
      </c>
      <c r="Q6828" s="282" t="e">
        <f>(INDEX(Tabla6[#All],MATCH(Tabla4[[#This Row],[Producto]],Tabla6[[#All],[PRODUCTO]],0),MATCH(Tabla4[[#This Row],[Mes]],Tabla6[#Headers],0)))</f>
        <v>#N/A</v>
      </c>
      <c r="R6828" s="282" t="e">
        <f>++Tabla4[[#This Row],[Precio Unitario Neto]]-Tabla4[[#This Row],[20.85%]]-Tabla4[[#This Row],[Costo]]</f>
        <v>#N/A</v>
      </c>
      <c r="S6828" s="282" t="e">
        <f>++Tabla4[[#This Row],[U. Bruta Uni]]*Tabla4[[#This Row],[Cantidad]]</f>
        <v>#N/A</v>
      </c>
      <c r="T6828" s="369" t="str">
        <f>VLOOKUP(Tabla4[[#This Row],[Producto]],Tabla6[#All],14,FALSE)</f>
        <v>Termico Solar</v>
      </c>
      <c r="U6828" s="284" t="e">
        <f>(IF(Tabla4[[#This Row],[Familia]]="termico solar",Tabla4[[#This Row],[Utilidad Total]]*6%,Tabla4[[#This Row],[Utilidad Total]]*11.5%))/Tabla4[[#This Row],[Total]]</f>
        <v>#N/A</v>
      </c>
      <c r="V6828" s="282" t="e">
        <f>+Tabla4[[#This Row],[Comisión Calculada]]*Tabla4[[#This Row],[Total]]</f>
        <v>#N/A</v>
      </c>
    </row>
    <row r="6829" spans="1:22" hidden="1" x14ac:dyDescent="0.25">
      <c r="A6829" s="100">
        <v>45976</v>
      </c>
      <c r="B6829" t="str">
        <f t="shared" ref="B6829:B6831" si="466">TEXT(A6829, "mmmm")</f>
        <v>November</v>
      </c>
      <c r="C6829" s="46" t="s">
        <v>280</v>
      </c>
      <c r="F6829" s="366" t="s">
        <v>3442</v>
      </c>
      <c r="G6829" s="46" t="s">
        <v>566</v>
      </c>
      <c r="H6829" s="46">
        <v>1</v>
      </c>
      <c r="I6829" s="51">
        <v>2109.4499999999998</v>
      </c>
      <c r="J6829" s="281">
        <f>++Tabla4[[#This Row],[Precio Bruto]]*1.16</f>
        <v>2446.9619999999995</v>
      </c>
      <c r="K6829" s="281">
        <f>+Tabla4[[#This Row],[Precio Unitario Neto]]*Tabla4[[#Headers],[20.85%]]</f>
        <v>510.19157699999988</v>
      </c>
      <c r="L6829" s="282">
        <f>++Tabla4[[#This Row],[Precio Unitario Neto]]-Tabla4[[#This Row],[20.85%]]</f>
        <v>1936.7704229999997</v>
      </c>
      <c r="M6829" s="282" t="e">
        <f>(INDEX(Tabla6[#All],MATCH(Tabla4[[#This Row],[Producto]],Tabla6[[#All],[PRODUCTO]],0),MATCH(Tabla4[[#This Row],[Mes]],Tabla6[#Headers],0)))*(1+Catalogos!$L$2)</f>
        <v>#N/A</v>
      </c>
      <c r="N6829" s="283" t="e">
        <f>+(Tabla4[[#This Row],[Precio Descontado]]-Tabla4[[#This Row],[Precio Base]])*Tabla4[[#This Row],[Cantidad]]</f>
        <v>#N/A</v>
      </c>
      <c r="O6829" s="284" t="e">
        <f>++Tabla4[[#This Row],[Utilidad Total]]/Tabla4[[#This Row],[Total]]</f>
        <v>#N/A</v>
      </c>
      <c r="P6829" s="282">
        <f>++Tabla4[[#This Row],[Precio Descontado]]*Tabla4[[#This Row],[Cantidad]]</f>
        <v>1936.7704229999997</v>
      </c>
      <c r="Q6829" s="282" t="e">
        <f>(INDEX(Tabla6[#All],MATCH(Tabla4[[#This Row],[Producto]],Tabla6[[#All],[PRODUCTO]],0),MATCH(Tabla4[[#This Row],[Mes]],Tabla6[#Headers],0)))</f>
        <v>#N/A</v>
      </c>
      <c r="R6829" s="282" t="e">
        <f>++Tabla4[[#This Row],[Precio Unitario Neto]]-Tabla4[[#This Row],[20.85%]]-Tabla4[[#This Row],[Costo]]</f>
        <v>#N/A</v>
      </c>
      <c r="S6829" s="282" t="e">
        <f>++Tabla4[[#This Row],[U. Bruta Uni]]*Tabla4[[#This Row],[Cantidad]]</f>
        <v>#N/A</v>
      </c>
      <c r="T6829" s="369" t="str">
        <f>VLOOKUP(Tabla4[[#This Row],[Producto]],Tabla6[#All],14,FALSE)</f>
        <v>Termico Solar</v>
      </c>
      <c r="U6829" s="284" t="e">
        <f>(IF(Tabla4[[#This Row],[Familia]]="termico solar",Tabla4[[#This Row],[Utilidad Total]]*6%,Tabla4[[#This Row],[Utilidad Total]]*11.5%))/Tabla4[[#This Row],[Total]]</f>
        <v>#N/A</v>
      </c>
      <c r="V6829" s="282" t="e">
        <f>+Tabla4[[#This Row],[Comisión Calculada]]*Tabla4[[#This Row],[Total]]</f>
        <v>#N/A</v>
      </c>
    </row>
    <row r="6830" spans="1:22" hidden="1" x14ac:dyDescent="0.25">
      <c r="A6830" s="100">
        <v>45976</v>
      </c>
      <c r="B6830" t="str">
        <f t="shared" si="466"/>
        <v>November</v>
      </c>
      <c r="C6830" s="46" t="s">
        <v>280</v>
      </c>
      <c r="F6830" s="366" t="s">
        <v>3442</v>
      </c>
      <c r="G6830" s="46" t="s">
        <v>412</v>
      </c>
      <c r="H6830" s="46">
        <v>1</v>
      </c>
      <c r="I6830" s="51">
        <v>3240.84</v>
      </c>
      <c r="J6830" s="281">
        <f>++Tabla4[[#This Row],[Precio Bruto]]*1.16</f>
        <v>3759.3743999999997</v>
      </c>
      <c r="K6830" s="281">
        <f>+Tabla4[[#This Row],[Precio Unitario Neto]]*Tabla4[[#Headers],[20.85%]]</f>
        <v>783.82956239999987</v>
      </c>
      <c r="L6830" s="282">
        <f>++Tabla4[[#This Row],[Precio Unitario Neto]]-Tabla4[[#This Row],[20.85%]]</f>
        <v>2975.5448375999999</v>
      </c>
      <c r="M6830" s="282" t="e">
        <f>(INDEX(Tabla6[#All],MATCH(Tabla4[[#This Row],[Producto]],Tabla6[[#All],[PRODUCTO]],0),MATCH(Tabla4[[#This Row],[Mes]],Tabla6[#Headers],0)))*(1+Catalogos!$L$2)</f>
        <v>#N/A</v>
      </c>
      <c r="N6830" s="283" t="e">
        <f>+(Tabla4[[#This Row],[Precio Descontado]]-Tabla4[[#This Row],[Precio Base]])*Tabla4[[#This Row],[Cantidad]]</f>
        <v>#N/A</v>
      </c>
      <c r="O6830" s="284" t="e">
        <f>++Tabla4[[#This Row],[Utilidad Total]]/Tabla4[[#This Row],[Total]]</f>
        <v>#N/A</v>
      </c>
      <c r="P6830" s="282">
        <f>++Tabla4[[#This Row],[Precio Descontado]]*Tabla4[[#This Row],[Cantidad]]</f>
        <v>2975.5448375999999</v>
      </c>
      <c r="Q6830" s="282" t="e">
        <f>(INDEX(Tabla6[#All],MATCH(Tabla4[[#This Row],[Producto]],Tabla6[[#All],[PRODUCTO]],0),MATCH(Tabla4[[#This Row],[Mes]],Tabla6[#Headers],0)))</f>
        <v>#N/A</v>
      </c>
      <c r="R6830" s="282" t="e">
        <f>++Tabla4[[#This Row],[Precio Unitario Neto]]-Tabla4[[#This Row],[20.85%]]-Tabla4[[#This Row],[Costo]]</f>
        <v>#N/A</v>
      </c>
      <c r="S6830" s="282" t="e">
        <f>++Tabla4[[#This Row],[U. Bruta Uni]]*Tabla4[[#This Row],[Cantidad]]</f>
        <v>#N/A</v>
      </c>
      <c r="T6830" s="369" t="str">
        <f>VLOOKUP(Tabla4[[#This Row],[Producto]],Tabla6[#All],14,FALSE)</f>
        <v>Termico Solar</v>
      </c>
      <c r="U6830" s="284" t="e">
        <f>(IF(Tabla4[[#This Row],[Familia]]="termico solar",Tabla4[[#This Row],[Utilidad Total]]*6%,Tabla4[[#This Row],[Utilidad Total]]*11.5%))/Tabla4[[#This Row],[Total]]</f>
        <v>#N/A</v>
      </c>
      <c r="V6830" s="282" t="e">
        <f>+Tabla4[[#This Row],[Comisión Calculada]]*Tabla4[[#This Row],[Total]]</f>
        <v>#N/A</v>
      </c>
    </row>
    <row r="6831" spans="1:22" hidden="1" x14ac:dyDescent="0.25">
      <c r="A6831" s="100">
        <v>45976</v>
      </c>
      <c r="B6831" t="str">
        <f t="shared" si="466"/>
        <v>November</v>
      </c>
      <c r="C6831" s="46" t="s">
        <v>280</v>
      </c>
      <c r="F6831" s="366" t="s">
        <v>3442</v>
      </c>
      <c r="G6831" s="46" t="s">
        <v>394</v>
      </c>
      <c r="H6831" s="46">
        <v>9</v>
      </c>
      <c r="I6831" s="51">
        <v>108.1</v>
      </c>
      <c r="J6831" s="281">
        <f>++Tabla4[[#This Row],[Precio Bruto]]*1.16</f>
        <v>125.39599999999999</v>
      </c>
      <c r="K6831" s="281">
        <f>+Tabla4[[#This Row],[Precio Unitario Neto]]*Tabla4[[#Headers],[20.85%]]</f>
        <v>26.145065999999996</v>
      </c>
      <c r="L6831" s="282">
        <f>++Tabla4[[#This Row],[Precio Unitario Neto]]-Tabla4[[#This Row],[20.85%]]</f>
        <v>99.250933999999987</v>
      </c>
      <c r="M6831" s="282" t="e">
        <f>(INDEX(Tabla6[#All],MATCH(Tabla4[[#This Row],[Producto]],Tabla6[[#All],[PRODUCTO]],0),MATCH(Tabla4[[#This Row],[Mes]],Tabla6[#Headers],0)))*(1+Catalogos!$L$2)</f>
        <v>#N/A</v>
      </c>
      <c r="N6831" s="283" t="e">
        <f>+(Tabla4[[#This Row],[Precio Descontado]]-Tabla4[[#This Row],[Precio Base]])*Tabla4[[#This Row],[Cantidad]]</f>
        <v>#N/A</v>
      </c>
      <c r="O6831" s="284" t="e">
        <f>++Tabla4[[#This Row],[Utilidad Total]]/Tabla4[[#This Row],[Total]]</f>
        <v>#N/A</v>
      </c>
      <c r="P6831" s="282">
        <f>++Tabla4[[#This Row],[Precio Descontado]]*Tabla4[[#This Row],[Cantidad]]</f>
        <v>893.25840599999992</v>
      </c>
      <c r="Q6831" s="282" t="e">
        <f>(INDEX(Tabla6[#All],MATCH(Tabla4[[#This Row],[Producto]],Tabla6[[#All],[PRODUCTO]],0),MATCH(Tabla4[[#This Row],[Mes]],Tabla6[#Headers],0)))</f>
        <v>#N/A</v>
      </c>
      <c r="R6831" s="282" t="e">
        <f>++Tabla4[[#This Row],[Precio Unitario Neto]]-Tabla4[[#This Row],[20.85%]]-Tabla4[[#This Row],[Costo]]</f>
        <v>#N/A</v>
      </c>
      <c r="S6831" s="282" t="e">
        <f>++Tabla4[[#This Row],[U. Bruta Uni]]*Tabla4[[#This Row],[Cantidad]]</f>
        <v>#N/A</v>
      </c>
      <c r="T6831" s="369" t="str">
        <f>VLOOKUP(Tabla4[[#This Row],[Producto]],Tabla6[#All],14,FALSE)</f>
        <v>Termico Solar</v>
      </c>
      <c r="U6831" s="284" t="e">
        <f>(IF(Tabla4[[#This Row],[Familia]]="termico solar",Tabla4[[#This Row],[Utilidad Total]]*6%,Tabla4[[#This Row],[Utilidad Total]]*11.5%))/Tabla4[[#This Row],[Total]]</f>
        <v>#N/A</v>
      </c>
      <c r="V6831" s="282" t="e">
        <f>+Tabla4[[#This Row],[Comisión Calculada]]*Tabla4[[#This Row],[Total]]</f>
        <v>#N/A</v>
      </c>
    </row>
    <row r="6832" spans="1:22" hidden="1" x14ac:dyDescent="0.25">
      <c r="A6832" s="100">
        <v>45976</v>
      </c>
      <c r="B6832" t="str">
        <f t="shared" ref="B6832:B6833" si="467">TEXT(A6832, "mmmm")</f>
        <v>November</v>
      </c>
      <c r="C6832" s="46" t="s">
        <v>280</v>
      </c>
      <c r="F6832" s="366" t="s">
        <v>3443</v>
      </c>
      <c r="G6832" s="46" t="s">
        <v>566</v>
      </c>
      <c r="H6832" s="46">
        <v>1</v>
      </c>
      <c r="I6832" s="51">
        <v>2109.4499999999998</v>
      </c>
      <c r="J6832" s="281">
        <f>++Tabla4[[#This Row],[Precio Bruto]]*1.16</f>
        <v>2446.9619999999995</v>
      </c>
      <c r="K6832" s="281">
        <f>+Tabla4[[#This Row],[Precio Unitario Neto]]*Tabla4[[#Headers],[20.85%]]</f>
        <v>510.19157699999988</v>
      </c>
      <c r="L6832" s="282">
        <f>++Tabla4[[#This Row],[Precio Unitario Neto]]-Tabla4[[#This Row],[20.85%]]</f>
        <v>1936.7704229999997</v>
      </c>
      <c r="M6832" s="282" t="e">
        <f>(INDEX(Tabla6[#All],MATCH(Tabla4[[#This Row],[Producto]],Tabla6[[#All],[PRODUCTO]],0),MATCH(Tabla4[[#This Row],[Mes]],Tabla6[#Headers],0)))*(1+Catalogos!$L$2)</f>
        <v>#N/A</v>
      </c>
      <c r="N6832" s="283" t="e">
        <f>+(Tabla4[[#This Row],[Precio Descontado]]-Tabla4[[#This Row],[Precio Base]])*Tabla4[[#This Row],[Cantidad]]</f>
        <v>#N/A</v>
      </c>
      <c r="O6832" s="284" t="e">
        <f>++Tabla4[[#This Row],[Utilidad Total]]/Tabla4[[#This Row],[Total]]</f>
        <v>#N/A</v>
      </c>
      <c r="P6832" s="282">
        <f>++Tabla4[[#This Row],[Precio Descontado]]*Tabla4[[#This Row],[Cantidad]]</f>
        <v>1936.7704229999997</v>
      </c>
      <c r="Q6832" s="282" t="e">
        <f>(INDEX(Tabla6[#All],MATCH(Tabla4[[#This Row],[Producto]],Tabla6[[#All],[PRODUCTO]],0),MATCH(Tabla4[[#This Row],[Mes]],Tabla6[#Headers],0)))</f>
        <v>#N/A</v>
      </c>
      <c r="R6832" s="282" t="e">
        <f>++Tabla4[[#This Row],[Precio Unitario Neto]]-Tabla4[[#This Row],[20.85%]]-Tabla4[[#This Row],[Costo]]</f>
        <v>#N/A</v>
      </c>
      <c r="S6832" s="282" t="e">
        <f>++Tabla4[[#This Row],[U. Bruta Uni]]*Tabla4[[#This Row],[Cantidad]]</f>
        <v>#N/A</v>
      </c>
      <c r="T6832" s="369" t="str">
        <f>VLOOKUP(Tabla4[[#This Row],[Producto]],Tabla6[#All],14,FALSE)</f>
        <v>Termico Solar</v>
      </c>
      <c r="U6832" s="284" t="e">
        <f>(IF(Tabla4[[#This Row],[Familia]]="termico solar",Tabla4[[#This Row],[Utilidad Total]]*6%,Tabla4[[#This Row],[Utilidad Total]]*11.5%))/Tabla4[[#This Row],[Total]]</f>
        <v>#N/A</v>
      </c>
      <c r="V6832" s="282" t="e">
        <f>+Tabla4[[#This Row],[Comisión Calculada]]*Tabla4[[#This Row],[Total]]</f>
        <v>#N/A</v>
      </c>
    </row>
    <row r="6833" spans="1:22" hidden="1" x14ac:dyDescent="0.25">
      <c r="A6833" s="100">
        <v>45976</v>
      </c>
      <c r="B6833" t="str">
        <f t="shared" si="467"/>
        <v>November</v>
      </c>
      <c r="C6833" s="46" t="s">
        <v>280</v>
      </c>
      <c r="F6833" s="366" t="s">
        <v>3443</v>
      </c>
      <c r="G6833" s="46" t="s">
        <v>555</v>
      </c>
      <c r="H6833" s="46">
        <v>8</v>
      </c>
      <c r="I6833" s="51">
        <v>389.47</v>
      </c>
      <c r="J6833" s="281">
        <f>++Tabla4[[#This Row],[Precio Bruto]]*1.16</f>
        <v>451.78519999999997</v>
      </c>
      <c r="K6833" s="281">
        <f>+Tabla4[[#This Row],[Precio Unitario Neto]]*Tabla4[[#Headers],[20.85%]]</f>
        <v>94.197214199999991</v>
      </c>
      <c r="L6833" s="282">
        <f>++Tabla4[[#This Row],[Precio Unitario Neto]]-Tabla4[[#This Row],[20.85%]]</f>
        <v>357.58798579999996</v>
      </c>
      <c r="M6833" s="282" t="e">
        <f>(INDEX(Tabla6[#All],MATCH(Tabla4[[#This Row],[Producto]],Tabla6[[#All],[PRODUCTO]],0),MATCH(Tabla4[[#This Row],[Mes]],Tabla6[#Headers],0)))*(1+Catalogos!$L$2)</f>
        <v>#N/A</v>
      </c>
      <c r="N6833" s="283" t="e">
        <f>+(Tabla4[[#This Row],[Precio Descontado]]-Tabla4[[#This Row],[Precio Base]])*Tabla4[[#This Row],[Cantidad]]</f>
        <v>#N/A</v>
      </c>
      <c r="O6833" s="284" t="e">
        <f>++Tabla4[[#This Row],[Utilidad Total]]/Tabla4[[#This Row],[Total]]</f>
        <v>#N/A</v>
      </c>
      <c r="P6833" s="282">
        <f>++Tabla4[[#This Row],[Precio Descontado]]*Tabla4[[#This Row],[Cantidad]]</f>
        <v>2860.7038863999996</v>
      </c>
      <c r="Q6833" s="282" t="e">
        <f>(INDEX(Tabla6[#All],MATCH(Tabla4[[#This Row],[Producto]],Tabla6[[#All],[PRODUCTO]],0),MATCH(Tabla4[[#This Row],[Mes]],Tabla6[#Headers],0)))</f>
        <v>#N/A</v>
      </c>
      <c r="R6833" s="282" t="e">
        <f>++Tabla4[[#This Row],[Precio Unitario Neto]]-Tabla4[[#This Row],[20.85%]]-Tabla4[[#This Row],[Costo]]</f>
        <v>#N/A</v>
      </c>
      <c r="S6833" s="282" t="e">
        <f>++Tabla4[[#This Row],[U. Bruta Uni]]*Tabla4[[#This Row],[Cantidad]]</f>
        <v>#N/A</v>
      </c>
      <c r="T6833" s="369" t="str">
        <f>VLOOKUP(Tabla4[[#This Row],[Producto]],Tabla6[#All],14,FALSE)</f>
        <v>Termico Solar</v>
      </c>
      <c r="U6833" s="284" t="e">
        <f>(IF(Tabla4[[#This Row],[Familia]]="termico solar",Tabla4[[#This Row],[Utilidad Total]]*6%,Tabla4[[#This Row],[Utilidad Total]]*11.5%))/Tabla4[[#This Row],[Total]]</f>
        <v>#N/A</v>
      </c>
      <c r="V6833" s="282" t="e">
        <f>+Tabla4[[#This Row],[Comisión Calculada]]*Tabla4[[#This Row],[Total]]</f>
        <v>#N/A</v>
      </c>
    </row>
    <row r="6834" spans="1:22" hidden="1" x14ac:dyDescent="0.25">
      <c r="A6834" s="100">
        <v>45976</v>
      </c>
      <c r="B6834" t="str">
        <f t="shared" ref="B6834:B6835" si="468">TEXT(A6834, "mmmm")</f>
        <v>November</v>
      </c>
      <c r="C6834" s="46" t="s">
        <v>280</v>
      </c>
      <c r="F6834" s="366" t="s">
        <v>3444</v>
      </c>
      <c r="G6834" s="46" t="s">
        <v>394</v>
      </c>
      <c r="H6834" s="46">
        <v>9</v>
      </c>
      <c r="I6834" s="51">
        <v>108.1</v>
      </c>
      <c r="J6834" s="281">
        <f>++Tabla4[[#This Row],[Precio Bruto]]*1.16</f>
        <v>125.39599999999999</v>
      </c>
      <c r="K6834" s="281">
        <f>+Tabla4[[#This Row],[Precio Unitario Neto]]*Tabla4[[#Headers],[20.85%]]</f>
        <v>26.145065999999996</v>
      </c>
      <c r="L6834" s="282">
        <f>++Tabla4[[#This Row],[Precio Unitario Neto]]-Tabla4[[#This Row],[20.85%]]</f>
        <v>99.250933999999987</v>
      </c>
      <c r="M6834" s="282" t="e">
        <f>(INDEX(Tabla6[#All],MATCH(Tabla4[[#This Row],[Producto]],Tabla6[[#All],[PRODUCTO]],0),MATCH(Tabla4[[#This Row],[Mes]],Tabla6[#Headers],0)))*(1+Catalogos!$L$2)</f>
        <v>#N/A</v>
      </c>
      <c r="N6834" s="283" t="e">
        <f>+(Tabla4[[#This Row],[Precio Descontado]]-Tabla4[[#This Row],[Precio Base]])*Tabla4[[#This Row],[Cantidad]]</f>
        <v>#N/A</v>
      </c>
      <c r="O6834" s="284" t="e">
        <f>++Tabla4[[#This Row],[Utilidad Total]]/Tabla4[[#This Row],[Total]]</f>
        <v>#N/A</v>
      </c>
      <c r="P6834" s="282">
        <f>++Tabla4[[#This Row],[Precio Descontado]]*Tabla4[[#This Row],[Cantidad]]</f>
        <v>893.25840599999992</v>
      </c>
      <c r="Q6834" s="282" t="e">
        <f>(INDEX(Tabla6[#All],MATCH(Tabla4[[#This Row],[Producto]],Tabla6[[#All],[PRODUCTO]],0),MATCH(Tabla4[[#This Row],[Mes]],Tabla6[#Headers],0)))</f>
        <v>#N/A</v>
      </c>
      <c r="R6834" s="282" t="e">
        <f>++Tabla4[[#This Row],[Precio Unitario Neto]]-Tabla4[[#This Row],[20.85%]]-Tabla4[[#This Row],[Costo]]</f>
        <v>#N/A</v>
      </c>
      <c r="S6834" s="282" t="e">
        <f>++Tabla4[[#This Row],[U. Bruta Uni]]*Tabla4[[#This Row],[Cantidad]]</f>
        <v>#N/A</v>
      </c>
      <c r="T6834" s="369" t="str">
        <f>VLOOKUP(Tabla4[[#This Row],[Producto]],Tabla6[#All],14,FALSE)</f>
        <v>Termico Solar</v>
      </c>
      <c r="U6834" s="284" t="e">
        <f>(IF(Tabla4[[#This Row],[Familia]]="termico solar",Tabla4[[#This Row],[Utilidad Total]]*6%,Tabla4[[#This Row],[Utilidad Total]]*11.5%))/Tabla4[[#This Row],[Total]]</f>
        <v>#N/A</v>
      </c>
      <c r="V6834" s="282" t="e">
        <f>+Tabla4[[#This Row],[Comisión Calculada]]*Tabla4[[#This Row],[Total]]</f>
        <v>#N/A</v>
      </c>
    </row>
    <row r="6835" spans="1:22" hidden="1" x14ac:dyDescent="0.25">
      <c r="A6835" s="100">
        <v>45976</v>
      </c>
      <c r="B6835" t="str">
        <f t="shared" si="468"/>
        <v>November</v>
      </c>
      <c r="C6835" s="46" t="s">
        <v>280</v>
      </c>
      <c r="F6835" s="366" t="s">
        <v>3444</v>
      </c>
      <c r="G6835" s="46" t="s">
        <v>208</v>
      </c>
      <c r="H6835" s="46">
        <v>1</v>
      </c>
      <c r="I6835" s="51">
        <v>189.75</v>
      </c>
      <c r="J6835" s="281">
        <f>++Tabla4[[#This Row],[Precio Bruto]]*1.16</f>
        <v>220.10999999999999</v>
      </c>
      <c r="K6835" s="281">
        <f>+Tabla4[[#This Row],[Precio Unitario Neto]]*Tabla4[[#Headers],[20.85%]]</f>
        <v>45.892934999999994</v>
      </c>
      <c r="L6835" s="282">
        <f>++Tabla4[[#This Row],[Precio Unitario Neto]]-Tabla4[[#This Row],[20.85%]]</f>
        <v>174.21706499999999</v>
      </c>
      <c r="M6835" s="282" t="e">
        <f>(INDEX(Tabla6[#All],MATCH(Tabla4[[#This Row],[Producto]],Tabla6[[#All],[PRODUCTO]],0),MATCH(Tabla4[[#This Row],[Mes]],Tabla6[#Headers],0)))*(1+Catalogos!$L$2)</f>
        <v>#N/A</v>
      </c>
      <c r="N6835" s="283" t="e">
        <f>+(Tabla4[[#This Row],[Precio Descontado]]-Tabla4[[#This Row],[Precio Base]])*Tabla4[[#This Row],[Cantidad]]</f>
        <v>#N/A</v>
      </c>
      <c r="O6835" s="284" t="e">
        <f>++Tabla4[[#This Row],[Utilidad Total]]/Tabla4[[#This Row],[Total]]</f>
        <v>#N/A</v>
      </c>
      <c r="P6835" s="282">
        <f>++Tabla4[[#This Row],[Precio Descontado]]*Tabla4[[#This Row],[Cantidad]]</f>
        <v>174.21706499999999</v>
      </c>
      <c r="Q6835" s="282" t="e">
        <f>(INDEX(Tabla6[#All],MATCH(Tabla4[[#This Row],[Producto]],Tabla6[[#All],[PRODUCTO]],0),MATCH(Tabla4[[#This Row],[Mes]],Tabla6[#Headers],0)))</f>
        <v>#N/A</v>
      </c>
      <c r="R6835" s="282" t="e">
        <f>++Tabla4[[#This Row],[Precio Unitario Neto]]-Tabla4[[#This Row],[20.85%]]-Tabla4[[#This Row],[Costo]]</f>
        <v>#N/A</v>
      </c>
      <c r="S6835" s="282" t="e">
        <f>++Tabla4[[#This Row],[U. Bruta Uni]]*Tabla4[[#This Row],[Cantidad]]</f>
        <v>#N/A</v>
      </c>
      <c r="T6835" s="369" t="str">
        <f>VLOOKUP(Tabla4[[#This Row],[Producto]],Tabla6[#All],14,FALSE)</f>
        <v>Termico Solar</v>
      </c>
      <c r="U6835" s="284" t="e">
        <f>(IF(Tabla4[[#This Row],[Familia]]="termico solar",Tabla4[[#This Row],[Utilidad Total]]*6%,Tabla4[[#This Row],[Utilidad Total]]*11.5%))/Tabla4[[#This Row],[Total]]</f>
        <v>#N/A</v>
      </c>
      <c r="V6835" s="282" t="e">
        <f>+Tabla4[[#This Row],[Comisión Calculada]]*Tabla4[[#This Row],[Total]]</f>
        <v>#N/A</v>
      </c>
    </row>
    <row r="6836" spans="1:22" hidden="1" x14ac:dyDescent="0.25">
      <c r="A6836" s="100">
        <v>45976</v>
      </c>
      <c r="B6836" t="str">
        <f>TEXT(A6836, "mmmm")</f>
        <v>November</v>
      </c>
      <c r="C6836" s="46" t="s">
        <v>280</v>
      </c>
      <c r="F6836" s="366" t="s">
        <v>3445</v>
      </c>
      <c r="G6836" s="46" t="s">
        <v>208</v>
      </c>
      <c r="H6836" s="46">
        <v>2</v>
      </c>
      <c r="I6836" s="51">
        <v>189.75</v>
      </c>
      <c r="J6836" s="281">
        <f>++Tabla4[[#This Row],[Precio Bruto]]*1.16</f>
        <v>220.10999999999999</v>
      </c>
      <c r="K6836" s="281">
        <f>+Tabla4[[#This Row],[Precio Unitario Neto]]*Tabla4[[#Headers],[20.85%]]</f>
        <v>45.892934999999994</v>
      </c>
      <c r="L6836" s="282">
        <f>++Tabla4[[#This Row],[Precio Unitario Neto]]-Tabla4[[#This Row],[20.85%]]</f>
        <v>174.21706499999999</v>
      </c>
      <c r="M6836" s="282" t="e">
        <f>(INDEX(Tabla6[#All],MATCH(Tabla4[[#This Row],[Producto]],Tabla6[[#All],[PRODUCTO]],0),MATCH(Tabla4[[#This Row],[Mes]],Tabla6[#Headers],0)))*(1+Catalogos!$L$2)</f>
        <v>#N/A</v>
      </c>
      <c r="N6836" s="283" t="e">
        <f>+(Tabla4[[#This Row],[Precio Descontado]]-Tabla4[[#This Row],[Precio Base]])*Tabla4[[#This Row],[Cantidad]]</f>
        <v>#N/A</v>
      </c>
      <c r="O6836" s="284" t="e">
        <f>++Tabla4[[#This Row],[Utilidad Total]]/Tabla4[[#This Row],[Total]]</f>
        <v>#N/A</v>
      </c>
      <c r="P6836" s="282">
        <f>++Tabla4[[#This Row],[Precio Descontado]]*Tabla4[[#This Row],[Cantidad]]</f>
        <v>348.43412999999998</v>
      </c>
      <c r="Q6836" s="282" t="e">
        <f>(INDEX(Tabla6[#All],MATCH(Tabla4[[#This Row],[Producto]],Tabla6[[#All],[PRODUCTO]],0),MATCH(Tabla4[[#This Row],[Mes]],Tabla6[#Headers],0)))</f>
        <v>#N/A</v>
      </c>
      <c r="R6836" s="282" t="e">
        <f>++Tabla4[[#This Row],[Precio Unitario Neto]]-Tabla4[[#This Row],[20.85%]]-Tabla4[[#This Row],[Costo]]</f>
        <v>#N/A</v>
      </c>
      <c r="S6836" s="282" t="e">
        <f>++Tabla4[[#This Row],[U. Bruta Uni]]*Tabla4[[#This Row],[Cantidad]]</f>
        <v>#N/A</v>
      </c>
      <c r="T6836" s="369" t="str">
        <f>VLOOKUP(Tabla4[[#This Row],[Producto]],Tabla6[#All],14,FALSE)</f>
        <v>Termico Solar</v>
      </c>
      <c r="U6836" s="284" t="e">
        <f>(IF(Tabla4[[#This Row],[Familia]]="termico solar",Tabla4[[#This Row],[Utilidad Total]]*6%,Tabla4[[#This Row],[Utilidad Total]]*11.5%))/Tabla4[[#This Row],[Total]]</f>
        <v>#N/A</v>
      </c>
      <c r="V6836" s="282" t="e">
        <f>+Tabla4[[#This Row],[Comisión Calculada]]*Tabla4[[#This Row],[Total]]</f>
        <v>#N/A</v>
      </c>
    </row>
    <row r="6837" spans="1:22" hidden="1" x14ac:dyDescent="0.25">
      <c r="A6837" s="100">
        <v>45976</v>
      </c>
      <c r="B6837" t="str">
        <f>TEXT(A6837, "mmmm")</f>
        <v>November</v>
      </c>
      <c r="C6837" s="46" t="s">
        <v>280</v>
      </c>
      <c r="F6837" s="366" t="s">
        <v>3446</v>
      </c>
      <c r="G6837" s="46" t="s">
        <v>18</v>
      </c>
      <c r="H6837" s="46">
        <v>1</v>
      </c>
      <c r="I6837" s="51">
        <v>5367.65</v>
      </c>
      <c r="J6837" s="281">
        <f>++Tabla4[[#This Row],[Precio Bruto]]*1.16</f>
        <v>6226.4739999999993</v>
      </c>
      <c r="K6837" s="281">
        <f>+Tabla4[[#This Row],[Precio Unitario Neto]]*Tabla4[[#Headers],[20.85%]]</f>
        <v>1298.2198289999999</v>
      </c>
      <c r="L6837" s="282">
        <f>++Tabla4[[#This Row],[Precio Unitario Neto]]-Tabla4[[#This Row],[20.85%]]</f>
        <v>4928.2541709999996</v>
      </c>
      <c r="M6837" s="282" t="e">
        <f>(INDEX(Tabla6[#All],MATCH(Tabla4[[#This Row],[Producto]],Tabla6[[#All],[PRODUCTO]],0),MATCH(Tabla4[[#This Row],[Mes]],Tabla6[#Headers],0)))*(1+Catalogos!$L$2)</f>
        <v>#N/A</v>
      </c>
      <c r="N6837" s="283" t="e">
        <f>+(Tabla4[[#This Row],[Precio Descontado]]-Tabla4[[#This Row],[Precio Base]])*Tabla4[[#This Row],[Cantidad]]</f>
        <v>#N/A</v>
      </c>
      <c r="O6837" s="284" t="e">
        <f>++Tabla4[[#This Row],[Utilidad Total]]/Tabla4[[#This Row],[Total]]</f>
        <v>#N/A</v>
      </c>
      <c r="P6837" s="282">
        <f>++Tabla4[[#This Row],[Precio Descontado]]*Tabla4[[#This Row],[Cantidad]]</f>
        <v>4928.2541709999996</v>
      </c>
      <c r="Q6837" s="282" t="e">
        <f>(INDEX(Tabla6[#All],MATCH(Tabla4[[#This Row],[Producto]],Tabla6[[#All],[PRODUCTO]],0),MATCH(Tabla4[[#This Row],[Mes]],Tabla6[#Headers],0)))</f>
        <v>#N/A</v>
      </c>
      <c r="R6837" s="282" t="e">
        <f>++Tabla4[[#This Row],[Precio Unitario Neto]]-Tabla4[[#This Row],[20.85%]]-Tabla4[[#This Row],[Costo]]</f>
        <v>#N/A</v>
      </c>
      <c r="S6837" s="282" t="e">
        <f>++Tabla4[[#This Row],[U. Bruta Uni]]*Tabla4[[#This Row],[Cantidad]]</f>
        <v>#N/A</v>
      </c>
      <c r="T6837" s="369" t="str">
        <f>VLOOKUP(Tabla4[[#This Row],[Producto]],Tabla6[#All],14,FALSE)</f>
        <v>Termico Solar</v>
      </c>
      <c r="U6837" s="284" t="e">
        <f>(IF(Tabla4[[#This Row],[Familia]]="termico solar",Tabla4[[#This Row],[Utilidad Total]]*6%,Tabla4[[#This Row],[Utilidad Total]]*11.5%))/Tabla4[[#This Row],[Total]]</f>
        <v>#N/A</v>
      </c>
      <c r="V6837" s="282" t="e">
        <f>+Tabla4[[#This Row],[Comisión Calculada]]*Tabla4[[#This Row],[Total]]</f>
        <v>#N/A</v>
      </c>
    </row>
    <row r="6838" spans="1:22" hidden="1" x14ac:dyDescent="0.25">
      <c r="A6838" s="100">
        <v>45976</v>
      </c>
      <c r="B6838" t="str">
        <f t="shared" ref="B6838:B6839" si="469">TEXT(A6838, "mmmm")</f>
        <v>November</v>
      </c>
      <c r="C6838" s="46" t="s">
        <v>280</v>
      </c>
      <c r="F6838" s="366" t="s">
        <v>3447</v>
      </c>
      <c r="G6838" s="46" t="s">
        <v>17</v>
      </c>
      <c r="H6838" s="46">
        <v>1</v>
      </c>
      <c r="I6838" s="51">
        <v>4622.28</v>
      </c>
      <c r="J6838" s="281">
        <f>++Tabla4[[#This Row],[Precio Bruto]]*1.16</f>
        <v>5361.8447999999989</v>
      </c>
      <c r="K6838" s="281">
        <f>+Tabla4[[#This Row],[Precio Unitario Neto]]*Tabla4[[#Headers],[20.85%]]</f>
        <v>1117.9446407999997</v>
      </c>
      <c r="L6838" s="282">
        <f>++Tabla4[[#This Row],[Precio Unitario Neto]]-Tabla4[[#This Row],[20.85%]]</f>
        <v>4243.9001591999995</v>
      </c>
      <c r="M6838" s="282" t="e">
        <f>(INDEX(Tabla6[#All],MATCH(Tabla4[[#This Row],[Producto]],Tabla6[[#All],[PRODUCTO]],0),MATCH(Tabla4[[#This Row],[Mes]],Tabla6[#Headers],0)))*(1+Catalogos!$L$2)</f>
        <v>#N/A</v>
      </c>
      <c r="N6838" s="283" t="e">
        <f>+(Tabla4[[#This Row],[Precio Descontado]]-Tabla4[[#This Row],[Precio Base]])*Tabla4[[#This Row],[Cantidad]]</f>
        <v>#N/A</v>
      </c>
      <c r="O6838" s="284" t="e">
        <f>++Tabla4[[#This Row],[Utilidad Total]]/Tabla4[[#This Row],[Total]]</f>
        <v>#N/A</v>
      </c>
      <c r="P6838" s="282">
        <f>++Tabla4[[#This Row],[Precio Descontado]]*Tabla4[[#This Row],[Cantidad]]</f>
        <v>4243.9001591999995</v>
      </c>
      <c r="Q6838" s="282" t="e">
        <f>(INDEX(Tabla6[#All],MATCH(Tabla4[[#This Row],[Producto]],Tabla6[[#All],[PRODUCTO]],0),MATCH(Tabla4[[#This Row],[Mes]],Tabla6[#Headers],0)))</f>
        <v>#N/A</v>
      </c>
      <c r="R6838" s="282" t="e">
        <f>++Tabla4[[#This Row],[Precio Unitario Neto]]-Tabla4[[#This Row],[20.85%]]-Tabla4[[#This Row],[Costo]]</f>
        <v>#N/A</v>
      </c>
      <c r="S6838" s="282" t="e">
        <f>++Tabla4[[#This Row],[U. Bruta Uni]]*Tabla4[[#This Row],[Cantidad]]</f>
        <v>#N/A</v>
      </c>
      <c r="T6838" s="369" t="str">
        <f>VLOOKUP(Tabla4[[#This Row],[Producto]],Tabla6[#All],14,FALSE)</f>
        <v>Termico Solar</v>
      </c>
      <c r="U6838" s="284" t="e">
        <f>(IF(Tabla4[[#This Row],[Familia]]="termico solar",Tabla4[[#This Row],[Utilidad Total]]*6%,Tabla4[[#This Row],[Utilidad Total]]*11.5%))/Tabla4[[#This Row],[Total]]</f>
        <v>#N/A</v>
      </c>
      <c r="V6838" s="282" t="e">
        <f>+Tabla4[[#This Row],[Comisión Calculada]]*Tabla4[[#This Row],[Total]]</f>
        <v>#N/A</v>
      </c>
    </row>
    <row r="6839" spans="1:22" hidden="1" x14ac:dyDescent="0.25">
      <c r="A6839" s="100">
        <v>45976</v>
      </c>
      <c r="B6839" t="str">
        <f t="shared" si="469"/>
        <v>November</v>
      </c>
      <c r="C6839" s="46" t="s">
        <v>280</v>
      </c>
      <c r="F6839" s="366" t="s">
        <v>3447</v>
      </c>
      <c r="G6839" s="46" t="s">
        <v>16</v>
      </c>
      <c r="H6839" s="46">
        <v>2</v>
      </c>
      <c r="I6839" s="51">
        <v>4103.8500000000004</v>
      </c>
      <c r="J6839" s="281">
        <f>++Tabla4[[#This Row],[Precio Bruto]]*1.16</f>
        <v>4760.4660000000003</v>
      </c>
      <c r="K6839" s="281">
        <f>+Tabla4[[#This Row],[Precio Unitario Neto]]*Tabla4[[#Headers],[20.85%]]</f>
        <v>992.55716100000006</v>
      </c>
      <c r="L6839" s="282">
        <f>++Tabla4[[#This Row],[Precio Unitario Neto]]-Tabla4[[#This Row],[20.85%]]</f>
        <v>3767.9088390000002</v>
      </c>
      <c r="M6839" s="282" t="e">
        <f>(INDEX(Tabla6[#All],MATCH(Tabla4[[#This Row],[Producto]],Tabla6[[#All],[PRODUCTO]],0),MATCH(Tabla4[[#This Row],[Mes]],Tabla6[#Headers],0)))*(1+Catalogos!$L$2)</f>
        <v>#N/A</v>
      </c>
      <c r="N6839" s="283" t="e">
        <f>+(Tabla4[[#This Row],[Precio Descontado]]-Tabla4[[#This Row],[Precio Base]])*Tabla4[[#This Row],[Cantidad]]</f>
        <v>#N/A</v>
      </c>
      <c r="O6839" s="284" t="e">
        <f>++Tabla4[[#This Row],[Utilidad Total]]/Tabla4[[#This Row],[Total]]</f>
        <v>#N/A</v>
      </c>
      <c r="P6839" s="282">
        <f>++Tabla4[[#This Row],[Precio Descontado]]*Tabla4[[#This Row],[Cantidad]]</f>
        <v>7535.8176780000003</v>
      </c>
      <c r="Q6839" s="282" t="e">
        <f>(INDEX(Tabla6[#All],MATCH(Tabla4[[#This Row],[Producto]],Tabla6[[#All],[PRODUCTO]],0),MATCH(Tabla4[[#This Row],[Mes]],Tabla6[#Headers],0)))</f>
        <v>#N/A</v>
      </c>
      <c r="R6839" s="282" t="e">
        <f>++Tabla4[[#This Row],[Precio Unitario Neto]]-Tabla4[[#This Row],[20.85%]]-Tabla4[[#This Row],[Costo]]</f>
        <v>#N/A</v>
      </c>
      <c r="S6839" s="282" t="e">
        <f>++Tabla4[[#This Row],[U. Bruta Uni]]*Tabla4[[#This Row],[Cantidad]]</f>
        <v>#N/A</v>
      </c>
      <c r="T6839" s="369" t="str">
        <f>VLOOKUP(Tabla4[[#This Row],[Producto]],Tabla6[#All],14,FALSE)</f>
        <v>Termico Solar</v>
      </c>
      <c r="U6839" s="284" t="e">
        <f>(IF(Tabla4[[#This Row],[Familia]]="termico solar",Tabla4[[#This Row],[Utilidad Total]]*6%,Tabla4[[#This Row],[Utilidad Total]]*11.5%))/Tabla4[[#This Row],[Total]]</f>
        <v>#N/A</v>
      </c>
      <c r="V6839" s="282" t="e">
        <f>+Tabla4[[#This Row],[Comisión Calculada]]*Tabla4[[#This Row],[Total]]</f>
        <v>#N/A</v>
      </c>
    </row>
    <row r="6840" spans="1:22" hidden="1" x14ac:dyDescent="0.25">
      <c r="A6840" s="100">
        <v>45976</v>
      </c>
      <c r="B6840" t="str">
        <f t="shared" ref="B6840:B6843" si="470">TEXT(A6840, "mmmm")</f>
        <v>November</v>
      </c>
      <c r="C6840" s="46" t="s">
        <v>280</v>
      </c>
      <c r="F6840" s="366" t="s">
        <v>3448</v>
      </c>
      <c r="G6840" s="46" t="s">
        <v>17</v>
      </c>
      <c r="H6840" s="46">
        <v>2</v>
      </c>
      <c r="I6840" s="51">
        <v>4622.28</v>
      </c>
      <c r="J6840" s="281">
        <f>++Tabla4[[#This Row],[Precio Bruto]]*1.16</f>
        <v>5361.8447999999989</v>
      </c>
      <c r="K6840" s="281">
        <f>+Tabla4[[#This Row],[Precio Unitario Neto]]*Tabla4[[#Headers],[20.85%]]</f>
        <v>1117.9446407999997</v>
      </c>
      <c r="L6840" s="282">
        <f>++Tabla4[[#This Row],[Precio Unitario Neto]]-Tabla4[[#This Row],[20.85%]]</f>
        <v>4243.9001591999995</v>
      </c>
      <c r="M6840" s="282" t="e">
        <f>(INDEX(Tabla6[#All],MATCH(Tabla4[[#This Row],[Producto]],Tabla6[[#All],[PRODUCTO]],0),MATCH(Tabla4[[#This Row],[Mes]],Tabla6[#Headers],0)))*(1+Catalogos!$L$2)</f>
        <v>#N/A</v>
      </c>
      <c r="N6840" s="283" t="e">
        <f>+(Tabla4[[#This Row],[Precio Descontado]]-Tabla4[[#This Row],[Precio Base]])*Tabla4[[#This Row],[Cantidad]]</f>
        <v>#N/A</v>
      </c>
      <c r="O6840" s="284" t="e">
        <f>++Tabla4[[#This Row],[Utilidad Total]]/Tabla4[[#This Row],[Total]]</f>
        <v>#N/A</v>
      </c>
      <c r="P6840" s="282">
        <f>++Tabla4[[#This Row],[Precio Descontado]]*Tabla4[[#This Row],[Cantidad]]</f>
        <v>8487.800318399999</v>
      </c>
      <c r="Q6840" s="282" t="e">
        <f>(INDEX(Tabla6[#All],MATCH(Tabla4[[#This Row],[Producto]],Tabla6[[#All],[PRODUCTO]],0),MATCH(Tabla4[[#This Row],[Mes]],Tabla6[#Headers],0)))</f>
        <v>#N/A</v>
      </c>
      <c r="R6840" s="282" t="e">
        <f>++Tabla4[[#This Row],[Precio Unitario Neto]]-Tabla4[[#This Row],[20.85%]]-Tabla4[[#This Row],[Costo]]</f>
        <v>#N/A</v>
      </c>
      <c r="S6840" s="282" t="e">
        <f>++Tabla4[[#This Row],[U. Bruta Uni]]*Tabla4[[#This Row],[Cantidad]]</f>
        <v>#N/A</v>
      </c>
      <c r="T6840" s="369" t="str">
        <f>VLOOKUP(Tabla4[[#This Row],[Producto]],Tabla6[#All],14,FALSE)</f>
        <v>Termico Solar</v>
      </c>
      <c r="U6840" s="284" t="e">
        <f>(IF(Tabla4[[#This Row],[Familia]]="termico solar",Tabla4[[#This Row],[Utilidad Total]]*6%,Tabla4[[#This Row],[Utilidad Total]]*11.5%))/Tabla4[[#This Row],[Total]]</f>
        <v>#N/A</v>
      </c>
      <c r="V6840" s="282" t="e">
        <f>+Tabla4[[#This Row],[Comisión Calculada]]*Tabla4[[#This Row],[Total]]</f>
        <v>#N/A</v>
      </c>
    </row>
    <row r="6841" spans="1:22" hidden="1" x14ac:dyDescent="0.25">
      <c r="A6841" s="100">
        <v>45976</v>
      </c>
      <c r="B6841" t="str">
        <f t="shared" si="470"/>
        <v>November</v>
      </c>
      <c r="C6841" s="46" t="s">
        <v>280</v>
      </c>
      <c r="F6841" s="366" t="s">
        <v>3448</v>
      </c>
      <c r="G6841" s="46" t="s">
        <v>18</v>
      </c>
      <c r="H6841" s="46">
        <v>3</v>
      </c>
      <c r="I6841" s="51">
        <v>5367.6500000000005</v>
      </c>
      <c r="J6841" s="281">
        <f>++Tabla4[[#This Row],[Precio Bruto]]*1.16</f>
        <v>6226.4740000000002</v>
      </c>
      <c r="K6841" s="281">
        <f>+Tabla4[[#This Row],[Precio Unitario Neto]]*Tabla4[[#Headers],[20.85%]]</f>
        <v>1298.2198289999999</v>
      </c>
      <c r="L6841" s="282">
        <f>++Tabla4[[#This Row],[Precio Unitario Neto]]-Tabla4[[#This Row],[20.85%]]</f>
        <v>4928.2541710000005</v>
      </c>
      <c r="M6841" s="282" t="e">
        <f>(INDEX(Tabla6[#All],MATCH(Tabla4[[#This Row],[Producto]],Tabla6[[#All],[PRODUCTO]],0),MATCH(Tabla4[[#This Row],[Mes]],Tabla6[#Headers],0)))*(1+Catalogos!$L$2)</f>
        <v>#N/A</v>
      </c>
      <c r="N6841" s="283" t="e">
        <f>+(Tabla4[[#This Row],[Precio Descontado]]-Tabla4[[#This Row],[Precio Base]])*Tabla4[[#This Row],[Cantidad]]</f>
        <v>#N/A</v>
      </c>
      <c r="O6841" s="284" t="e">
        <f>++Tabla4[[#This Row],[Utilidad Total]]/Tabla4[[#This Row],[Total]]</f>
        <v>#N/A</v>
      </c>
      <c r="P6841" s="282">
        <f>++Tabla4[[#This Row],[Precio Descontado]]*Tabla4[[#This Row],[Cantidad]]</f>
        <v>14784.762513000001</v>
      </c>
      <c r="Q6841" s="282" t="e">
        <f>(INDEX(Tabla6[#All],MATCH(Tabla4[[#This Row],[Producto]],Tabla6[[#All],[PRODUCTO]],0),MATCH(Tabla4[[#This Row],[Mes]],Tabla6[#Headers],0)))</f>
        <v>#N/A</v>
      </c>
      <c r="R6841" s="282" t="e">
        <f>++Tabla4[[#This Row],[Precio Unitario Neto]]-Tabla4[[#This Row],[20.85%]]-Tabla4[[#This Row],[Costo]]</f>
        <v>#N/A</v>
      </c>
      <c r="S6841" s="282" t="e">
        <f>++Tabla4[[#This Row],[U. Bruta Uni]]*Tabla4[[#This Row],[Cantidad]]</f>
        <v>#N/A</v>
      </c>
      <c r="T6841" s="369" t="str">
        <f>VLOOKUP(Tabla4[[#This Row],[Producto]],Tabla6[#All],14,FALSE)</f>
        <v>Termico Solar</v>
      </c>
      <c r="U6841" s="284" t="e">
        <f>(IF(Tabla4[[#This Row],[Familia]]="termico solar",Tabla4[[#This Row],[Utilidad Total]]*6%,Tabla4[[#This Row],[Utilidad Total]]*11.5%))/Tabla4[[#This Row],[Total]]</f>
        <v>#N/A</v>
      </c>
      <c r="V6841" s="282" t="e">
        <f>+Tabla4[[#This Row],[Comisión Calculada]]*Tabla4[[#This Row],[Total]]</f>
        <v>#N/A</v>
      </c>
    </row>
    <row r="6842" spans="1:22" hidden="1" x14ac:dyDescent="0.25">
      <c r="A6842" s="100">
        <v>45976</v>
      </c>
      <c r="B6842" t="str">
        <f t="shared" si="470"/>
        <v>November</v>
      </c>
      <c r="C6842" s="46" t="s">
        <v>280</v>
      </c>
      <c r="F6842" s="366" t="s">
        <v>3448</v>
      </c>
      <c r="G6842" s="46" t="s">
        <v>16</v>
      </c>
      <c r="H6842" s="46">
        <v>4</v>
      </c>
      <c r="I6842" s="51">
        <v>4103.8500000000004</v>
      </c>
      <c r="J6842" s="281">
        <f>++Tabla4[[#This Row],[Precio Bruto]]*1.16</f>
        <v>4760.4660000000003</v>
      </c>
      <c r="K6842" s="281">
        <f>+Tabla4[[#This Row],[Precio Unitario Neto]]*Tabla4[[#Headers],[20.85%]]</f>
        <v>992.55716100000006</v>
      </c>
      <c r="L6842" s="282">
        <f>++Tabla4[[#This Row],[Precio Unitario Neto]]-Tabla4[[#This Row],[20.85%]]</f>
        <v>3767.9088390000002</v>
      </c>
      <c r="M6842" s="282" t="e">
        <f>(INDEX(Tabla6[#All],MATCH(Tabla4[[#This Row],[Producto]],Tabla6[[#All],[PRODUCTO]],0),MATCH(Tabla4[[#This Row],[Mes]],Tabla6[#Headers],0)))*(1+Catalogos!$L$2)</f>
        <v>#N/A</v>
      </c>
      <c r="N6842" s="283" t="e">
        <f>+(Tabla4[[#This Row],[Precio Descontado]]-Tabla4[[#This Row],[Precio Base]])*Tabla4[[#This Row],[Cantidad]]</f>
        <v>#N/A</v>
      </c>
      <c r="O6842" s="284" t="e">
        <f>++Tabla4[[#This Row],[Utilidad Total]]/Tabla4[[#This Row],[Total]]</f>
        <v>#N/A</v>
      </c>
      <c r="P6842" s="282">
        <f>++Tabla4[[#This Row],[Precio Descontado]]*Tabla4[[#This Row],[Cantidad]]</f>
        <v>15071.635356000001</v>
      </c>
      <c r="Q6842" s="282" t="e">
        <f>(INDEX(Tabla6[#All],MATCH(Tabla4[[#This Row],[Producto]],Tabla6[[#All],[PRODUCTO]],0),MATCH(Tabla4[[#This Row],[Mes]],Tabla6[#Headers],0)))</f>
        <v>#N/A</v>
      </c>
      <c r="R6842" s="282" t="e">
        <f>++Tabla4[[#This Row],[Precio Unitario Neto]]-Tabla4[[#This Row],[20.85%]]-Tabla4[[#This Row],[Costo]]</f>
        <v>#N/A</v>
      </c>
      <c r="S6842" s="282" t="e">
        <f>++Tabla4[[#This Row],[U. Bruta Uni]]*Tabla4[[#This Row],[Cantidad]]</f>
        <v>#N/A</v>
      </c>
      <c r="T6842" s="369" t="str">
        <f>VLOOKUP(Tabla4[[#This Row],[Producto]],Tabla6[#All],14,FALSE)</f>
        <v>Termico Solar</v>
      </c>
      <c r="U6842" s="284" t="e">
        <f>(IF(Tabla4[[#This Row],[Familia]]="termico solar",Tabla4[[#This Row],[Utilidad Total]]*6%,Tabla4[[#This Row],[Utilidad Total]]*11.5%))/Tabla4[[#This Row],[Total]]</f>
        <v>#N/A</v>
      </c>
      <c r="V6842" s="282" t="e">
        <f>+Tabla4[[#This Row],[Comisión Calculada]]*Tabla4[[#This Row],[Total]]</f>
        <v>#N/A</v>
      </c>
    </row>
    <row r="6843" spans="1:22" hidden="1" x14ac:dyDescent="0.25">
      <c r="A6843" s="100">
        <v>45976</v>
      </c>
      <c r="B6843" t="str">
        <f t="shared" si="470"/>
        <v>November</v>
      </c>
      <c r="C6843" s="46" t="s">
        <v>280</v>
      </c>
      <c r="F6843" s="366" t="s">
        <v>3448</v>
      </c>
      <c r="G6843" s="46" t="s">
        <v>208</v>
      </c>
      <c r="H6843" s="46">
        <v>2</v>
      </c>
      <c r="I6843" s="51">
        <v>189.75</v>
      </c>
      <c r="J6843" s="281">
        <f>++Tabla4[[#This Row],[Precio Bruto]]*1.16</f>
        <v>220.10999999999999</v>
      </c>
      <c r="K6843" s="281">
        <f>+Tabla4[[#This Row],[Precio Unitario Neto]]*Tabla4[[#Headers],[20.85%]]</f>
        <v>45.892934999999994</v>
      </c>
      <c r="L6843" s="282">
        <f>++Tabla4[[#This Row],[Precio Unitario Neto]]-Tabla4[[#This Row],[20.85%]]</f>
        <v>174.21706499999999</v>
      </c>
      <c r="M6843" s="282" t="e">
        <f>(INDEX(Tabla6[#All],MATCH(Tabla4[[#This Row],[Producto]],Tabla6[[#All],[PRODUCTO]],0),MATCH(Tabla4[[#This Row],[Mes]],Tabla6[#Headers],0)))*(1+Catalogos!$L$2)</f>
        <v>#N/A</v>
      </c>
      <c r="N6843" s="283" t="e">
        <f>+(Tabla4[[#This Row],[Precio Descontado]]-Tabla4[[#This Row],[Precio Base]])*Tabla4[[#This Row],[Cantidad]]</f>
        <v>#N/A</v>
      </c>
      <c r="O6843" s="284" t="e">
        <f>++Tabla4[[#This Row],[Utilidad Total]]/Tabla4[[#This Row],[Total]]</f>
        <v>#N/A</v>
      </c>
      <c r="P6843" s="282">
        <f>++Tabla4[[#This Row],[Precio Descontado]]*Tabla4[[#This Row],[Cantidad]]</f>
        <v>348.43412999999998</v>
      </c>
      <c r="Q6843" s="282" t="e">
        <f>(INDEX(Tabla6[#All],MATCH(Tabla4[[#This Row],[Producto]],Tabla6[[#All],[PRODUCTO]],0),MATCH(Tabla4[[#This Row],[Mes]],Tabla6[#Headers],0)))</f>
        <v>#N/A</v>
      </c>
      <c r="R6843" s="282" t="e">
        <f>++Tabla4[[#This Row],[Precio Unitario Neto]]-Tabla4[[#This Row],[20.85%]]-Tabla4[[#This Row],[Costo]]</f>
        <v>#N/A</v>
      </c>
      <c r="S6843" s="282" t="e">
        <f>++Tabla4[[#This Row],[U. Bruta Uni]]*Tabla4[[#This Row],[Cantidad]]</f>
        <v>#N/A</v>
      </c>
      <c r="T6843" s="369" t="str">
        <f>VLOOKUP(Tabla4[[#This Row],[Producto]],Tabla6[#All],14,FALSE)</f>
        <v>Termico Solar</v>
      </c>
      <c r="U6843" s="284" t="e">
        <f>(IF(Tabla4[[#This Row],[Familia]]="termico solar",Tabla4[[#This Row],[Utilidad Total]]*6%,Tabla4[[#This Row],[Utilidad Total]]*11.5%))/Tabla4[[#This Row],[Total]]</f>
        <v>#N/A</v>
      </c>
      <c r="V6843" s="282" t="e">
        <f>+Tabla4[[#This Row],[Comisión Calculada]]*Tabla4[[#This Row],[Total]]</f>
        <v>#N/A</v>
      </c>
    </row>
    <row r="6844" spans="1:22" hidden="1" x14ac:dyDescent="0.25">
      <c r="A6844" s="100">
        <v>45976</v>
      </c>
      <c r="B6844" t="str">
        <f t="shared" ref="B6844:B6846" si="471">TEXT(A6844, "mmmm")</f>
        <v>November</v>
      </c>
      <c r="C6844" s="46" t="s">
        <v>280</v>
      </c>
      <c r="F6844" s="366" t="s">
        <v>3449</v>
      </c>
      <c r="G6844" s="46" t="s">
        <v>17</v>
      </c>
      <c r="H6844" s="46">
        <v>2</v>
      </c>
      <c r="I6844" s="51">
        <v>4622.28</v>
      </c>
      <c r="J6844" s="281">
        <f>++Tabla4[[#This Row],[Precio Bruto]]*1.16</f>
        <v>5361.8447999999989</v>
      </c>
      <c r="K6844" s="281">
        <f>+Tabla4[[#This Row],[Precio Unitario Neto]]*Tabla4[[#Headers],[20.85%]]</f>
        <v>1117.9446407999997</v>
      </c>
      <c r="L6844" s="282">
        <f>++Tabla4[[#This Row],[Precio Unitario Neto]]-Tabla4[[#This Row],[20.85%]]</f>
        <v>4243.9001591999995</v>
      </c>
      <c r="M6844" s="282" t="e">
        <f>(INDEX(Tabla6[#All],MATCH(Tabla4[[#This Row],[Producto]],Tabla6[[#All],[PRODUCTO]],0),MATCH(Tabla4[[#This Row],[Mes]],Tabla6[#Headers],0)))*(1+Catalogos!$L$2)</f>
        <v>#N/A</v>
      </c>
      <c r="N6844" s="283" t="e">
        <f>+(Tabla4[[#This Row],[Precio Descontado]]-Tabla4[[#This Row],[Precio Base]])*Tabla4[[#This Row],[Cantidad]]</f>
        <v>#N/A</v>
      </c>
      <c r="O6844" s="284" t="e">
        <f>++Tabla4[[#This Row],[Utilidad Total]]/Tabla4[[#This Row],[Total]]</f>
        <v>#N/A</v>
      </c>
      <c r="P6844" s="282">
        <f>++Tabla4[[#This Row],[Precio Descontado]]*Tabla4[[#This Row],[Cantidad]]</f>
        <v>8487.800318399999</v>
      </c>
      <c r="Q6844" s="282" t="e">
        <f>(INDEX(Tabla6[#All],MATCH(Tabla4[[#This Row],[Producto]],Tabla6[[#All],[PRODUCTO]],0),MATCH(Tabla4[[#This Row],[Mes]],Tabla6[#Headers],0)))</f>
        <v>#N/A</v>
      </c>
      <c r="R6844" s="282" t="e">
        <f>++Tabla4[[#This Row],[Precio Unitario Neto]]-Tabla4[[#This Row],[20.85%]]-Tabla4[[#This Row],[Costo]]</f>
        <v>#N/A</v>
      </c>
      <c r="S6844" s="282" t="e">
        <f>++Tabla4[[#This Row],[U. Bruta Uni]]*Tabla4[[#This Row],[Cantidad]]</f>
        <v>#N/A</v>
      </c>
      <c r="T6844" s="369" t="str">
        <f>VLOOKUP(Tabla4[[#This Row],[Producto]],Tabla6[#All],14,FALSE)</f>
        <v>Termico Solar</v>
      </c>
      <c r="U6844" s="284" t="e">
        <f>(IF(Tabla4[[#This Row],[Familia]]="termico solar",Tabla4[[#This Row],[Utilidad Total]]*6%,Tabla4[[#This Row],[Utilidad Total]]*11.5%))/Tabla4[[#This Row],[Total]]</f>
        <v>#N/A</v>
      </c>
      <c r="V6844" s="282" t="e">
        <f>+Tabla4[[#This Row],[Comisión Calculada]]*Tabla4[[#This Row],[Total]]</f>
        <v>#N/A</v>
      </c>
    </row>
    <row r="6845" spans="1:22" hidden="1" x14ac:dyDescent="0.25">
      <c r="A6845" s="100">
        <v>45976</v>
      </c>
      <c r="B6845" t="str">
        <f t="shared" si="471"/>
        <v>November</v>
      </c>
      <c r="C6845" s="46" t="s">
        <v>280</v>
      </c>
      <c r="F6845" s="366" t="s">
        <v>3449</v>
      </c>
      <c r="G6845" s="46" t="s">
        <v>18</v>
      </c>
      <c r="H6845" s="46">
        <v>6</v>
      </c>
      <c r="I6845" s="51">
        <v>5367.6500000000005</v>
      </c>
      <c r="J6845" s="281">
        <f>++Tabla4[[#This Row],[Precio Bruto]]*1.16</f>
        <v>6226.4740000000002</v>
      </c>
      <c r="K6845" s="281">
        <f>+Tabla4[[#This Row],[Precio Unitario Neto]]*Tabla4[[#Headers],[20.85%]]</f>
        <v>1298.2198289999999</v>
      </c>
      <c r="L6845" s="282">
        <f>++Tabla4[[#This Row],[Precio Unitario Neto]]-Tabla4[[#This Row],[20.85%]]</f>
        <v>4928.2541710000005</v>
      </c>
      <c r="M6845" s="282" t="e">
        <f>(INDEX(Tabla6[#All],MATCH(Tabla4[[#This Row],[Producto]],Tabla6[[#All],[PRODUCTO]],0),MATCH(Tabla4[[#This Row],[Mes]],Tabla6[#Headers],0)))*(1+Catalogos!$L$2)</f>
        <v>#N/A</v>
      </c>
      <c r="N6845" s="283" t="e">
        <f>+(Tabla4[[#This Row],[Precio Descontado]]-Tabla4[[#This Row],[Precio Base]])*Tabla4[[#This Row],[Cantidad]]</f>
        <v>#N/A</v>
      </c>
      <c r="O6845" s="284" t="e">
        <f>++Tabla4[[#This Row],[Utilidad Total]]/Tabla4[[#This Row],[Total]]</f>
        <v>#N/A</v>
      </c>
      <c r="P6845" s="282">
        <f>++Tabla4[[#This Row],[Precio Descontado]]*Tabla4[[#This Row],[Cantidad]]</f>
        <v>29569.525026000003</v>
      </c>
      <c r="Q6845" s="282" t="e">
        <f>(INDEX(Tabla6[#All],MATCH(Tabla4[[#This Row],[Producto]],Tabla6[[#All],[PRODUCTO]],0),MATCH(Tabla4[[#This Row],[Mes]],Tabla6[#Headers],0)))</f>
        <v>#N/A</v>
      </c>
      <c r="R6845" s="282" t="e">
        <f>++Tabla4[[#This Row],[Precio Unitario Neto]]-Tabla4[[#This Row],[20.85%]]-Tabla4[[#This Row],[Costo]]</f>
        <v>#N/A</v>
      </c>
      <c r="S6845" s="282" t="e">
        <f>++Tabla4[[#This Row],[U. Bruta Uni]]*Tabla4[[#This Row],[Cantidad]]</f>
        <v>#N/A</v>
      </c>
      <c r="T6845" s="369" t="str">
        <f>VLOOKUP(Tabla4[[#This Row],[Producto]],Tabla6[#All],14,FALSE)</f>
        <v>Termico Solar</v>
      </c>
      <c r="U6845" s="284" t="e">
        <f>(IF(Tabla4[[#This Row],[Familia]]="termico solar",Tabla4[[#This Row],[Utilidad Total]]*6%,Tabla4[[#This Row],[Utilidad Total]]*11.5%))/Tabla4[[#This Row],[Total]]</f>
        <v>#N/A</v>
      </c>
      <c r="V6845" s="282" t="e">
        <f>+Tabla4[[#This Row],[Comisión Calculada]]*Tabla4[[#This Row],[Total]]</f>
        <v>#N/A</v>
      </c>
    </row>
    <row r="6846" spans="1:22" hidden="1" x14ac:dyDescent="0.25">
      <c r="A6846" s="100">
        <v>45976</v>
      </c>
      <c r="B6846" t="str">
        <f t="shared" si="471"/>
        <v>November</v>
      </c>
      <c r="C6846" s="46" t="s">
        <v>280</v>
      </c>
      <c r="F6846" s="366" t="s">
        <v>3449</v>
      </c>
      <c r="G6846" s="46" t="s">
        <v>566</v>
      </c>
      <c r="H6846" s="46">
        <v>1</v>
      </c>
      <c r="I6846" s="51">
        <v>2109.4499999999998</v>
      </c>
      <c r="J6846" s="281">
        <f>++Tabla4[[#This Row],[Precio Bruto]]*1.16</f>
        <v>2446.9619999999995</v>
      </c>
      <c r="K6846" s="281">
        <f>+Tabla4[[#This Row],[Precio Unitario Neto]]*Tabla4[[#Headers],[20.85%]]</f>
        <v>510.19157699999988</v>
      </c>
      <c r="L6846" s="282">
        <f>++Tabla4[[#This Row],[Precio Unitario Neto]]-Tabla4[[#This Row],[20.85%]]</f>
        <v>1936.7704229999997</v>
      </c>
      <c r="M6846" s="282" t="e">
        <f>(INDEX(Tabla6[#All],MATCH(Tabla4[[#This Row],[Producto]],Tabla6[[#All],[PRODUCTO]],0),MATCH(Tabla4[[#This Row],[Mes]],Tabla6[#Headers],0)))*(1+Catalogos!$L$2)</f>
        <v>#N/A</v>
      </c>
      <c r="N6846" s="283" t="e">
        <f>+(Tabla4[[#This Row],[Precio Descontado]]-Tabla4[[#This Row],[Precio Base]])*Tabla4[[#This Row],[Cantidad]]</f>
        <v>#N/A</v>
      </c>
      <c r="O6846" s="284" t="e">
        <f>++Tabla4[[#This Row],[Utilidad Total]]/Tabla4[[#This Row],[Total]]</f>
        <v>#N/A</v>
      </c>
      <c r="P6846" s="282">
        <f>++Tabla4[[#This Row],[Precio Descontado]]*Tabla4[[#This Row],[Cantidad]]</f>
        <v>1936.7704229999997</v>
      </c>
      <c r="Q6846" s="282" t="e">
        <f>(INDEX(Tabla6[#All],MATCH(Tabla4[[#This Row],[Producto]],Tabla6[[#All],[PRODUCTO]],0),MATCH(Tabla4[[#This Row],[Mes]],Tabla6[#Headers],0)))</f>
        <v>#N/A</v>
      </c>
      <c r="R6846" s="282" t="e">
        <f>++Tabla4[[#This Row],[Precio Unitario Neto]]-Tabla4[[#This Row],[20.85%]]-Tabla4[[#This Row],[Costo]]</f>
        <v>#N/A</v>
      </c>
      <c r="S6846" s="282" t="e">
        <f>++Tabla4[[#This Row],[U. Bruta Uni]]*Tabla4[[#This Row],[Cantidad]]</f>
        <v>#N/A</v>
      </c>
      <c r="T6846" s="369" t="str">
        <f>VLOOKUP(Tabla4[[#This Row],[Producto]],Tabla6[#All],14,FALSE)</f>
        <v>Termico Solar</v>
      </c>
      <c r="U6846" s="284" t="e">
        <f>(IF(Tabla4[[#This Row],[Familia]]="termico solar",Tabla4[[#This Row],[Utilidad Total]]*6%,Tabla4[[#This Row],[Utilidad Total]]*11.5%))/Tabla4[[#This Row],[Total]]</f>
        <v>#N/A</v>
      </c>
      <c r="V6846" s="282" t="e">
        <f>+Tabla4[[#This Row],[Comisión Calculada]]*Tabla4[[#This Row],[Total]]</f>
        <v>#N/A</v>
      </c>
    </row>
    <row r="6847" spans="1:22" hidden="1" x14ac:dyDescent="0.25">
      <c r="A6847" s="100">
        <v>45976</v>
      </c>
      <c r="B6847" t="str">
        <f t="shared" ref="B6847:B6848" si="472">TEXT(A6847, "mmmm")</f>
        <v>November</v>
      </c>
      <c r="C6847" s="46" t="s">
        <v>280</v>
      </c>
      <c r="F6847" s="366" t="s">
        <v>3450</v>
      </c>
      <c r="G6847" s="46" t="s">
        <v>83</v>
      </c>
      <c r="H6847" s="46">
        <v>1</v>
      </c>
      <c r="I6847" s="51">
        <v>8858.76</v>
      </c>
      <c r="J6847" s="281">
        <f>++Tabla4[[#This Row],[Precio Bruto]]*1.16</f>
        <v>10276.161599999999</v>
      </c>
      <c r="K6847" s="281">
        <f>+Tabla4[[#This Row],[Precio Unitario Neto]]*Tabla4[[#Headers],[20.85%]]</f>
        <v>2142.5796935999997</v>
      </c>
      <c r="L6847" s="282">
        <f>++Tabla4[[#This Row],[Precio Unitario Neto]]-Tabla4[[#This Row],[20.85%]]</f>
        <v>8133.5819063999998</v>
      </c>
      <c r="M6847" s="282" t="e">
        <f>(INDEX(Tabla6[#All],MATCH(Tabla4[[#This Row],[Producto]],Tabla6[[#All],[PRODUCTO]],0),MATCH(Tabla4[[#This Row],[Mes]],Tabla6[#Headers],0)))*(1+Catalogos!$L$2)</f>
        <v>#N/A</v>
      </c>
      <c r="N6847" s="283" t="e">
        <f>+(Tabla4[[#This Row],[Precio Descontado]]-Tabla4[[#This Row],[Precio Base]])*Tabla4[[#This Row],[Cantidad]]</f>
        <v>#N/A</v>
      </c>
      <c r="O6847" s="284" t="e">
        <f>++Tabla4[[#This Row],[Utilidad Total]]/Tabla4[[#This Row],[Total]]</f>
        <v>#N/A</v>
      </c>
      <c r="P6847" s="282">
        <f>++Tabla4[[#This Row],[Precio Descontado]]*Tabla4[[#This Row],[Cantidad]]</f>
        <v>8133.5819063999998</v>
      </c>
      <c r="Q6847" s="282" t="e">
        <f>(INDEX(Tabla6[#All],MATCH(Tabla4[[#This Row],[Producto]],Tabla6[[#All],[PRODUCTO]],0),MATCH(Tabla4[[#This Row],[Mes]],Tabla6[#Headers],0)))</f>
        <v>#N/A</v>
      </c>
      <c r="R6847" s="282" t="e">
        <f>++Tabla4[[#This Row],[Precio Unitario Neto]]-Tabla4[[#This Row],[20.85%]]-Tabla4[[#This Row],[Costo]]</f>
        <v>#N/A</v>
      </c>
      <c r="S6847" s="282" t="e">
        <f>++Tabla4[[#This Row],[U. Bruta Uni]]*Tabla4[[#This Row],[Cantidad]]</f>
        <v>#N/A</v>
      </c>
      <c r="T6847" s="369" t="str">
        <f>VLOOKUP(Tabla4[[#This Row],[Producto]],Tabla6[#All],14,FALSE)</f>
        <v>Termico Solar</v>
      </c>
      <c r="U6847" s="284" t="e">
        <f>(IF(Tabla4[[#This Row],[Familia]]="termico solar",Tabla4[[#This Row],[Utilidad Total]]*6%,Tabla4[[#This Row],[Utilidad Total]]*11.5%))/Tabla4[[#This Row],[Total]]</f>
        <v>#N/A</v>
      </c>
      <c r="V6847" s="282" t="e">
        <f>+Tabla4[[#This Row],[Comisión Calculada]]*Tabla4[[#This Row],[Total]]</f>
        <v>#N/A</v>
      </c>
    </row>
    <row r="6848" spans="1:22" hidden="1" x14ac:dyDescent="0.25">
      <c r="A6848" s="100">
        <v>45976</v>
      </c>
      <c r="B6848" t="str">
        <f t="shared" si="472"/>
        <v>November</v>
      </c>
      <c r="C6848" s="46" t="s">
        <v>280</v>
      </c>
      <c r="F6848" s="366" t="s">
        <v>3450</v>
      </c>
      <c r="G6848" s="46" t="s">
        <v>208</v>
      </c>
      <c r="H6848" s="46">
        <v>5</v>
      </c>
      <c r="I6848" s="51">
        <v>189.75</v>
      </c>
      <c r="J6848" s="281">
        <f>++Tabla4[[#This Row],[Precio Bruto]]*1.16</f>
        <v>220.10999999999999</v>
      </c>
      <c r="K6848" s="281">
        <f>+Tabla4[[#This Row],[Precio Unitario Neto]]*Tabla4[[#Headers],[20.85%]]</f>
        <v>45.892934999999994</v>
      </c>
      <c r="L6848" s="282">
        <f>++Tabla4[[#This Row],[Precio Unitario Neto]]-Tabla4[[#This Row],[20.85%]]</f>
        <v>174.21706499999999</v>
      </c>
      <c r="M6848" s="282" t="e">
        <f>(INDEX(Tabla6[#All],MATCH(Tabla4[[#This Row],[Producto]],Tabla6[[#All],[PRODUCTO]],0),MATCH(Tabla4[[#This Row],[Mes]],Tabla6[#Headers],0)))*(1+Catalogos!$L$2)</f>
        <v>#N/A</v>
      </c>
      <c r="N6848" s="283" t="e">
        <f>+(Tabla4[[#This Row],[Precio Descontado]]-Tabla4[[#This Row],[Precio Base]])*Tabla4[[#This Row],[Cantidad]]</f>
        <v>#N/A</v>
      </c>
      <c r="O6848" s="284" t="e">
        <f>++Tabla4[[#This Row],[Utilidad Total]]/Tabla4[[#This Row],[Total]]</f>
        <v>#N/A</v>
      </c>
      <c r="P6848" s="282">
        <f>++Tabla4[[#This Row],[Precio Descontado]]*Tabla4[[#This Row],[Cantidad]]</f>
        <v>871.08532500000001</v>
      </c>
      <c r="Q6848" s="282" t="e">
        <f>(INDEX(Tabla6[#All],MATCH(Tabla4[[#This Row],[Producto]],Tabla6[[#All],[PRODUCTO]],0),MATCH(Tabla4[[#This Row],[Mes]],Tabla6[#Headers],0)))</f>
        <v>#N/A</v>
      </c>
      <c r="R6848" s="282" t="e">
        <f>++Tabla4[[#This Row],[Precio Unitario Neto]]-Tabla4[[#This Row],[20.85%]]-Tabla4[[#This Row],[Costo]]</f>
        <v>#N/A</v>
      </c>
      <c r="S6848" s="282" t="e">
        <f>++Tabla4[[#This Row],[U. Bruta Uni]]*Tabla4[[#This Row],[Cantidad]]</f>
        <v>#N/A</v>
      </c>
      <c r="T6848" s="369" t="str">
        <f>VLOOKUP(Tabla4[[#This Row],[Producto]],Tabla6[#All],14,FALSE)</f>
        <v>Termico Solar</v>
      </c>
      <c r="U6848" s="284" t="e">
        <f>(IF(Tabla4[[#This Row],[Familia]]="termico solar",Tabla4[[#This Row],[Utilidad Total]]*6%,Tabla4[[#This Row],[Utilidad Total]]*11.5%))/Tabla4[[#This Row],[Total]]</f>
        <v>#N/A</v>
      </c>
      <c r="V6848" s="282" t="e">
        <f>+Tabla4[[#This Row],[Comisión Calculada]]*Tabla4[[#This Row],[Total]]</f>
        <v>#N/A</v>
      </c>
    </row>
    <row r="6849" spans="1:22" hidden="1" x14ac:dyDescent="0.25">
      <c r="A6849" s="100">
        <v>45976</v>
      </c>
      <c r="B6849" t="str">
        <f t="shared" ref="B6849:B6852" si="473">TEXT(A6849, "mmmm")</f>
        <v>November</v>
      </c>
      <c r="C6849" s="46" t="s">
        <v>280</v>
      </c>
      <c r="F6849" s="366" t="s">
        <v>3451</v>
      </c>
      <c r="G6849" s="46" t="s">
        <v>17</v>
      </c>
      <c r="H6849" s="46">
        <v>1</v>
      </c>
      <c r="I6849" s="51">
        <v>4622.28</v>
      </c>
      <c r="J6849" s="281">
        <f>++Tabla4[[#This Row],[Precio Bruto]]*1.16</f>
        <v>5361.8447999999989</v>
      </c>
      <c r="K6849" s="281">
        <f>+Tabla4[[#This Row],[Precio Unitario Neto]]*Tabla4[[#Headers],[20.85%]]</f>
        <v>1117.9446407999997</v>
      </c>
      <c r="L6849" s="282">
        <f>++Tabla4[[#This Row],[Precio Unitario Neto]]-Tabla4[[#This Row],[20.85%]]</f>
        <v>4243.9001591999995</v>
      </c>
      <c r="M6849" s="282" t="e">
        <f>(INDEX(Tabla6[#All],MATCH(Tabla4[[#This Row],[Producto]],Tabla6[[#All],[PRODUCTO]],0),MATCH(Tabla4[[#This Row],[Mes]],Tabla6[#Headers],0)))*(1+Catalogos!$L$2)</f>
        <v>#N/A</v>
      </c>
      <c r="N6849" s="283" t="e">
        <f>+(Tabla4[[#This Row],[Precio Descontado]]-Tabla4[[#This Row],[Precio Base]])*Tabla4[[#This Row],[Cantidad]]</f>
        <v>#N/A</v>
      </c>
      <c r="O6849" s="284" t="e">
        <f>++Tabla4[[#This Row],[Utilidad Total]]/Tabla4[[#This Row],[Total]]</f>
        <v>#N/A</v>
      </c>
      <c r="P6849" s="282">
        <f>++Tabla4[[#This Row],[Precio Descontado]]*Tabla4[[#This Row],[Cantidad]]</f>
        <v>4243.9001591999995</v>
      </c>
      <c r="Q6849" s="282" t="e">
        <f>(INDEX(Tabla6[#All],MATCH(Tabla4[[#This Row],[Producto]],Tabla6[[#All],[PRODUCTO]],0),MATCH(Tabla4[[#This Row],[Mes]],Tabla6[#Headers],0)))</f>
        <v>#N/A</v>
      </c>
      <c r="R6849" s="282" t="e">
        <f>++Tabla4[[#This Row],[Precio Unitario Neto]]-Tabla4[[#This Row],[20.85%]]-Tabla4[[#This Row],[Costo]]</f>
        <v>#N/A</v>
      </c>
      <c r="S6849" s="282" t="e">
        <f>++Tabla4[[#This Row],[U. Bruta Uni]]*Tabla4[[#This Row],[Cantidad]]</f>
        <v>#N/A</v>
      </c>
      <c r="T6849" s="369" t="str">
        <f>VLOOKUP(Tabla4[[#This Row],[Producto]],Tabla6[#All],14,FALSE)</f>
        <v>Termico Solar</v>
      </c>
      <c r="U6849" s="284" t="e">
        <f>(IF(Tabla4[[#This Row],[Familia]]="termico solar",Tabla4[[#This Row],[Utilidad Total]]*6%,Tabla4[[#This Row],[Utilidad Total]]*11.5%))/Tabla4[[#This Row],[Total]]</f>
        <v>#N/A</v>
      </c>
      <c r="V6849" s="282" t="e">
        <f>+Tabla4[[#This Row],[Comisión Calculada]]*Tabla4[[#This Row],[Total]]</f>
        <v>#N/A</v>
      </c>
    </row>
    <row r="6850" spans="1:22" hidden="1" x14ac:dyDescent="0.25">
      <c r="A6850" s="100">
        <v>45976</v>
      </c>
      <c r="B6850" t="str">
        <f t="shared" si="473"/>
        <v>November</v>
      </c>
      <c r="C6850" s="46" t="s">
        <v>280</v>
      </c>
      <c r="F6850" s="366" t="s">
        <v>3451</v>
      </c>
      <c r="G6850" s="46" t="s">
        <v>18</v>
      </c>
      <c r="H6850" s="46">
        <v>2</v>
      </c>
      <c r="I6850" s="51">
        <v>5367.65</v>
      </c>
      <c r="J6850" s="281">
        <f>++Tabla4[[#This Row],[Precio Bruto]]*1.16</f>
        <v>6226.4739999999993</v>
      </c>
      <c r="K6850" s="281">
        <f>+Tabla4[[#This Row],[Precio Unitario Neto]]*Tabla4[[#Headers],[20.85%]]</f>
        <v>1298.2198289999999</v>
      </c>
      <c r="L6850" s="282">
        <f>++Tabla4[[#This Row],[Precio Unitario Neto]]-Tabla4[[#This Row],[20.85%]]</f>
        <v>4928.2541709999996</v>
      </c>
      <c r="M6850" s="282" t="e">
        <f>(INDEX(Tabla6[#All],MATCH(Tabla4[[#This Row],[Producto]],Tabla6[[#All],[PRODUCTO]],0),MATCH(Tabla4[[#This Row],[Mes]],Tabla6[#Headers],0)))*(1+Catalogos!$L$2)</f>
        <v>#N/A</v>
      </c>
      <c r="N6850" s="283" t="e">
        <f>+(Tabla4[[#This Row],[Precio Descontado]]-Tabla4[[#This Row],[Precio Base]])*Tabla4[[#This Row],[Cantidad]]</f>
        <v>#N/A</v>
      </c>
      <c r="O6850" s="284" t="e">
        <f>++Tabla4[[#This Row],[Utilidad Total]]/Tabla4[[#This Row],[Total]]</f>
        <v>#N/A</v>
      </c>
      <c r="P6850" s="282">
        <f>++Tabla4[[#This Row],[Precio Descontado]]*Tabla4[[#This Row],[Cantidad]]</f>
        <v>9856.5083419999992</v>
      </c>
      <c r="Q6850" s="282" t="e">
        <f>(INDEX(Tabla6[#All],MATCH(Tabla4[[#This Row],[Producto]],Tabla6[[#All],[PRODUCTO]],0),MATCH(Tabla4[[#This Row],[Mes]],Tabla6[#Headers],0)))</f>
        <v>#N/A</v>
      </c>
      <c r="R6850" s="282" t="e">
        <f>++Tabla4[[#This Row],[Precio Unitario Neto]]-Tabla4[[#This Row],[20.85%]]-Tabla4[[#This Row],[Costo]]</f>
        <v>#N/A</v>
      </c>
      <c r="S6850" s="282" t="e">
        <f>++Tabla4[[#This Row],[U. Bruta Uni]]*Tabla4[[#This Row],[Cantidad]]</f>
        <v>#N/A</v>
      </c>
      <c r="T6850" s="369" t="str">
        <f>VLOOKUP(Tabla4[[#This Row],[Producto]],Tabla6[#All],14,FALSE)</f>
        <v>Termico Solar</v>
      </c>
      <c r="U6850" s="284" t="e">
        <f>(IF(Tabla4[[#This Row],[Familia]]="termico solar",Tabla4[[#This Row],[Utilidad Total]]*6%,Tabla4[[#This Row],[Utilidad Total]]*11.5%))/Tabla4[[#This Row],[Total]]</f>
        <v>#N/A</v>
      </c>
      <c r="V6850" s="282" t="e">
        <f>+Tabla4[[#This Row],[Comisión Calculada]]*Tabla4[[#This Row],[Total]]</f>
        <v>#N/A</v>
      </c>
    </row>
    <row r="6851" spans="1:22" hidden="1" x14ac:dyDescent="0.25">
      <c r="A6851" s="100">
        <v>45976</v>
      </c>
      <c r="B6851" t="str">
        <f t="shared" si="473"/>
        <v>November</v>
      </c>
      <c r="C6851" s="46" t="s">
        <v>280</v>
      </c>
      <c r="F6851" s="366" t="s">
        <v>3451</v>
      </c>
      <c r="G6851" s="46" t="s">
        <v>16</v>
      </c>
      <c r="H6851" s="46">
        <v>1</v>
      </c>
      <c r="I6851" s="51">
        <v>4103.8500000000004</v>
      </c>
      <c r="J6851" s="281">
        <f>++Tabla4[[#This Row],[Precio Bruto]]*1.16</f>
        <v>4760.4660000000003</v>
      </c>
      <c r="K6851" s="281">
        <f>+Tabla4[[#This Row],[Precio Unitario Neto]]*Tabla4[[#Headers],[20.85%]]</f>
        <v>992.55716100000006</v>
      </c>
      <c r="L6851" s="282">
        <f>++Tabla4[[#This Row],[Precio Unitario Neto]]-Tabla4[[#This Row],[20.85%]]</f>
        <v>3767.9088390000002</v>
      </c>
      <c r="M6851" s="282" t="e">
        <f>(INDEX(Tabla6[#All],MATCH(Tabla4[[#This Row],[Producto]],Tabla6[[#All],[PRODUCTO]],0),MATCH(Tabla4[[#This Row],[Mes]],Tabla6[#Headers],0)))*(1+Catalogos!$L$2)</f>
        <v>#N/A</v>
      </c>
      <c r="N6851" s="283" t="e">
        <f>+(Tabla4[[#This Row],[Precio Descontado]]-Tabla4[[#This Row],[Precio Base]])*Tabla4[[#This Row],[Cantidad]]</f>
        <v>#N/A</v>
      </c>
      <c r="O6851" s="284" t="e">
        <f>++Tabla4[[#This Row],[Utilidad Total]]/Tabla4[[#This Row],[Total]]</f>
        <v>#N/A</v>
      </c>
      <c r="P6851" s="282">
        <f>++Tabla4[[#This Row],[Precio Descontado]]*Tabla4[[#This Row],[Cantidad]]</f>
        <v>3767.9088390000002</v>
      </c>
      <c r="Q6851" s="282" t="e">
        <f>(INDEX(Tabla6[#All],MATCH(Tabla4[[#This Row],[Producto]],Tabla6[[#All],[PRODUCTO]],0),MATCH(Tabla4[[#This Row],[Mes]],Tabla6[#Headers],0)))</f>
        <v>#N/A</v>
      </c>
      <c r="R6851" s="282" t="e">
        <f>++Tabla4[[#This Row],[Precio Unitario Neto]]-Tabla4[[#This Row],[20.85%]]-Tabla4[[#This Row],[Costo]]</f>
        <v>#N/A</v>
      </c>
      <c r="S6851" s="282" t="e">
        <f>++Tabla4[[#This Row],[U. Bruta Uni]]*Tabla4[[#This Row],[Cantidad]]</f>
        <v>#N/A</v>
      </c>
      <c r="T6851" s="369" t="str">
        <f>VLOOKUP(Tabla4[[#This Row],[Producto]],Tabla6[#All],14,FALSE)</f>
        <v>Termico Solar</v>
      </c>
      <c r="U6851" s="284" t="e">
        <f>(IF(Tabla4[[#This Row],[Familia]]="termico solar",Tabla4[[#This Row],[Utilidad Total]]*6%,Tabla4[[#This Row],[Utilidad Total]]*11.5%))/Tabla4[[#This Row],[Total]]</f>
        <v>#N/A</v>
      </c>
      <c r="V6851" s="282" t="e">
        <f>+Tabla4[[#This Row],[Comisión Calculada]]*Tabla4[[#This Row],[Total]]</f>
        <v>#N/A</v>
      </c>
    </row>
    <row r="6852" spans="1:22" hidden="1" x14ac:dyDescent="0.25">
      <c r="A6852" s="100">
        <v>45976</v>
      </c>
      <c r="B6852" t="str">
        <f t="shared" si="473"/>
        <v>November</v>
      </c>
      <c r="C6852" s="46" t="s">
        <v>280</v>
      </c>
      <c r="F6852" s="366" t="s">
        <v>3451</v>
      </c>
      <c r="G6852" s="46" t="s">
        <v>208</v>
      </c>
      <c r="H6852" s="46">
        <v>9</v>
      </c>
      <c r="I6852" s="51">
        <v>189.75</v>
      </c>
      <c r="J6852" s="281">
        <f>++Tabla4[[#This Row],[Precio Bruto]]*1.16</f>
        <v>220.10999999999999</v>
      </c>
      <c r="K6852" s="281">
        <f>+Tabla4[[#This Row],[Precio Unitario Neto]]*Tabla4[[#Headers],[20.85%]]</f>
        <v>45.892934999999994</v>
      </c>
      <c r="L6852" s="282">
        <f>++Tabla4[[#This Row],[Precio Unitario Neto]]-Tabla4[[#This Row],[20.85%]]</f>
        <v>174.21706499999999</v>
      </c>
      <c r="M6852" s="282" t="e">
        <f>(INDEX(Tabla6[#All],MATCH(Tabla4[[#This Row],[Producto]],Tabla6[[#All],[PRODUCTO]],0),MATCH(Tabla4[[#This Row],[Mes]],Tabla6[#Headers],0)))*(1+Catalogos!$L$2)</f>
        <v>#N/A</v>
      </c>
      <c r="N6852" s="283" t="e">
        <f>+(Tabla4[[#This Row],[Precio Descontado]]-Tabla4[[#This Row],[Precio Base]])*Tabla4[[#This Row],[Cantidad]]</f>
        <v>#N/A</v>
      </c>
      <c r="O6852" s="284" t="e">
        <f>++Tabla4[[#This Row],[Utilidad Total]]/Tabla4[[#This Row],[Total]]</f>
        <v>#N/A</v>
      </c>
      <c r="P6852" s="282">
        <f>++Tabla4[[#This Row],[Precio Descontado]]*Tabla4[[#This Row],[Cantidad]]</f>
        <v>1567.953585</v>
      </c>
      <c r="Q6852" s="282" t="e">
        <f>(INDEX(Tabla6[#All],MATCH(Tabla4[[#This Row],[Producto]],Tabla6[[#All],[PRODUCTO]],0),MATCH(Tabla4[[#This Row],[Mes]],Tabla6[#Headers],0)))</f>
        <v>#N/A</v>
      </c>
      <c r="R6852" s="282" t="e">
        <f>++Tabla4[[#This Row],[Precio Unitario Neto]]-Tabla4[[#This Row],[20.85%]]-Tabla4[[#This Row],[Costo]]</f>
        <v>#N/A</v>
      </c>
      <c r="S6852" s="282" t="e">
        <f>++Tabla4[[#This Row],[U. Bruta Uni]]*Tabla4[[#This Row],[Cantidad]]</f>
        <v>#N/A</v>
      </c>
      <c r="T6852" s="369" t="str">
        <f>VLOOKUP(Tabla4[[#This Row],[Producto]],Tabla6[#All],14,FALSE)</f>
        <v>Termico Solar</v>
      </c>
      <c r="U6852" s="284" t="e">
        <f>(IF(Tabla4[[#This Row],[Familia]]="termico solar",Tabla4[[#This Row],[Utilidad Total]]*6%,Tabla4[[#This Row],[Utilidad Total]]*11.5%))/Tabla4[[#This Row],[Total]]</f>
        <v>#N/A</v>
      </c>
      <c r="V6852" s="282" t="e">
        <f>+Tabla4[[#This Row],[Comisión Calculada]]*Tabla4[[#This Row],[Total]]</f>
        <v>#N/A</v>
      </c>
    </row>
    <row r="6853" spans="1:22" hidden="1" x14ac:dyDescent="0.25">
      <c r="A6853" s="100">
        <v>45976</v>
      </c>
      <c r="B6853" t="str">
        <f t="shared" ref="B6853:B6855" si="474">TEXT(A6853, "mmmm")</f>
        <v>November</v>
      </c>
      <c r="C6853" s="46" t="s">
        <v>280</v>
      </c>
      <c r="F6853" s="366" t="s">
        <v>3452</v>
      </c>
      <c r="G6853" s="46" t="s">
        <v>17</v>
      </c>
      <c r="H6853" s="46">
        <v>5</v>
      </c>
      <c r="I6853" s="51">
        <v>4622.2800000000007</v>
      </c>
      <c r="J6853" s="281">
        <f>++Tabla4[[#This Row],[Precio Bruto]]*1.16</f>
        <v>5361.8448000000008</v>
      </c>
      <c r="K6853" s="281">
        <f>+Tabla4[[#This Row],[Precio Unitario Neto]]*Tabla4[[#Headers],[20.85%]]</f>
        <v>1117.9446408000001</v>
      </c>
      <c r="L6853" s="282">
        <f>++Tabla4[[#This Row],[Precio Unitario Neto]]-Tabla4[[#This Row],[20.85%]]</f>
        <v>4243.9001592000004</v>
      </c>
      <c r="M6853" s="282" t="e">
        <f>(INDEX(Tabla6[#All],MATCH(Tabla4[[#This Row],[Producto]],Tabla6[[#All],[PRODUCTO]],0),MATCH(Tabla4[[#This Row],[Mes]],Tabla6[#Headers],0)))*(1+Catalogos!$L$2)</f>
        <v>#N/A</v>
      </c>
      <c r="N6853" s="283" t="e">
        <f>+(Tabla4[[#This Row],[Precio Descontado]]-Tabla4[[#This Row],[Precio Base]])*Tabla4[[#This Row],[Cantidad]]</f>
        <v>#N/A</v>
      </c>
      <c r="O6853" s="284" t="e">
        <f>++Tabla4[[#This Row],[Utilidad Total]]/Tabla4[[#This Row],[Total]]</f>
        <v>#N/A</v>
      </c>
      <c r="P6853" s="282">
        <f>++Tabla4[[#This Row],[Precio Descontado]]*Tabla4[[#This Row],[Cantidad]]</f>
        <v>21219.500796</v>
      </c>
      <c r="Q6853" s="282" t="e">
        <f>(INDEX(Tabla6[#All],MATCH(Tabla4[[#This Row],[Producto]],Tabla6[[#All],[PRODUCTO]],0),MATCH(Tabla4[[#This Row],[Mes]],Tabla6[#Headers],0)))</f>
        <v>#N/A</v>
      </c>
      <c r="R6853" s="282" t="e">
        <f>++Tabla4[[#This Row],[Precio Unitario Neto]]-Tabla4[[#This Row],[20.85%]]-Tabla4[[#This Row],[Costo]]</f>
        <v>#N/A</v>
      </c>
      <c r="S6853" s="282" t="e">
        <f>++Tabla4[[#This Row],[U. Bruta Uni]]*Tabla4[[#This Row],[Cantidad]]</f>
        <v>#N/A</v>
      </c>
      <c r="T6853" s="369" t="str">
        <f>VLOOKUP(Tabla4[[#This Row],[Producto]],Tabla6[#All],14,FALSE)</f>
        <v>Termico Solar</v>
      </c>
      <c r="U6853" s="284" t="e">
        <f>(IF(Tabla4[[#This Row],[Familia]]="termico solar",Tabla4[[#This Row],[Utilidad Total]]*6%,Tabla4[[#This Row],[Utilidad Total]]*11.5%))/Tabla4[[#This Row],[Total]]</f>
        <v>#N/A</v>
      </c>
      <c r="V6853" s="282" t="e">
        <f>+Tabla4[[#This Row],[Comisión Calculada]]*Tabla4[[#This Row],[Total]]</f>
        <v>#N/A</v>
      </c>
    </row>
    <row r="6854" spans="1:22" hidden="1" x14ac:dyDescent="0.25">
      <c r="A6854" s="100">
        <v>45976</v>
      </c>
      <c r="B6854" t="str">
        <f t="shared" si="474"/>
        <v>November</v>
      </c>
      <c r="C6854" s="46" t="s">
        <v>280</v>
      </c>
      <c r="F6854" s="366" t="s">
        <v>3452</v>
      </c>
      <c r="G6854" s="46" t="s">
        <v>18</v>
      </c>
      <c r="H6854" s="46">
        <v>1</v>
      </c>
      <c r="I6854" s="51">
        <v>5367.65</v>
      </c>
      <c r="J6854" s="281">
        <f>++Tabla4[[#This Row],[Precio Bruto]]*1.16</f>
        <v>6226.4739999999993</v>
      </c>
      <c r="K6854" s="281">
        <f>+Tabla4[[#This Row],[Precio Unitario Neto]]*Tabla4[[#Headers],[20.85%]]</f>
        <v>1298.2198289999999</v>
      </c>
      <c r="L6854" s="282">
        <f>++Tabla4[[#This Row],[Precio Unitario Neto]]-Tabla4[[#This Row],[20.85%]]</f>
        <v>4928.2541709999996</v>
      </c>
      <c r="M6854" s="282" t="e">
        <f>(INDEX(Tabla6[#All],MATCH(Tabla4[[#This Row],[Producto]],Tabla6[[#All],[PRODUCTO]],0),MATCH(Tabla4[[#This Row],[Mes]],Tabla6[#Headers],0)))*(1+Catalogos!$L$2)</f>
        <v>#N/A</v>
      </c>
      <c r="N6854" s="283" t="e">
        <f>+(Tabla4[[#This Row],[Precio Descontado]]-Tabla4[[#This Row],[Precio Base]])*Tabla4[[#This Row],[Cantidad]]</f>
        <v>#N/A</v>
      </c>
      <c r="O6854" s="284" t="e">
        <f>++Tabla4[[#This Row],[Utilidad Total]]/Tabla4[[#This Row],[Total]]</f>
        <v>#N/A</v>
      </c>
      <c r="P6854" s="282">
        <f>++Tabla4[[#This Row],[Precio Descontado]]*Tabla4[[#This Row],[Cantidad]]</f>
        <v>4928.2541709999996</v>
      </c>
      <c r="Q6854" s="282" t="e">
        <f>(INDEX(Tabla6[#All],MATCH(Tabla4[[#This Row],[Producto]],Tabla6[[#All],[PRODUCTO]],0),MATCH(Tabla4[[#This Row],[Mes]],Tabla6[#Headers],0)))</f>
        <v>#N/A</v>
      </c>
      <c r="R6854" s="282" t="e">
        <f>++Tabla4[[#This Row],[Precio Unitario Neto]]-Tabla4[[#This Row],[20.85%]]-Tabla4[[#This Row],[Costo]]</f>
        <v>#N/A</v>
      </c>
      <c r="S6854" s="282" t="e">
        <f>++Tabla4[[#This Row],[U. Bruta Uni]]*Tabla4[[#This Row],[Cantidad]]</f>
        <v>#N/A</v>
      </c>
      <c r="T6854" s="369" t="str">
        <f>VLOOKUP(Tabla4[[#This Row],[Producto]],Tabla6[#All],14,FALSE)</f>
        <v>Termico Solar</v>
      </c>
      <c r="U6854" s="284" t="e">
        <f>(IF(Tabla4[[#This Row],[Familia]]="termico solar",Tabla4[[#This Row],[Utilidad Total]]*6%,Tabla4[[#This Row],[Utilidad Total]]*11.5%))/Tabla4[[#This Row],[Total]]</f>
        <v>#N/A</v>
      </c>
      <c r="V6854" s="282" t="e">
        <f>+Tabla4[[#This Row],[Comisión Calculada]]*Tabla4[[#This Row],[Total]]</f>
        <v>#N/A</v>
      </c>
    </row>
    <row r="6855" spans="1:22" hidden="1" x14ac:dyDescent="0.25">
      <c r="A6855" s="100">
        <v>45976</v>
      </c>
      <c r="B6855" t="str">
        <f t="shared" si="474"/>
        <v>November</v>
      </c>
      <c r="C6855" s="46" t="s">
        <v>280</v>
      </c>
      <c r="F6855" s="366" t="s">
        <v>3452</v>
      </c>
      <c r="G6855" s="46" t="s">
        <v>208</v>
      </c>
      <c r="H6855" s="46">
        <v>1</v>
      </c>
      <c r="I6855" s="51">
        <v>189.75</v>
      </c>
      <c r="J6855" s="281">
        <f>++Tabla4[[#This Row],[Precio Bruto]]*1.16</f>
        <v>220.10999999999999</v>
      </c>
      <c r="K6855" s="281">
        <f>+Tabla4[[#This Row],[Precio Unitario Neto]]*Tabla4[[#Headers],[20.85%]]</f>
        <v>45.892934999999994</v>
      </c>
      <c r="L6855" s="282">
        <f>++Tabla4[[#This Row],[Precio Unitario Neto]]-Tabla4[[#This Row],[20.85%]]</f>
        <v>174.21706499999999</v>
      </c>
      <c r="M6855" s="282" t="e">
        <f>(INDEX(Tabla6[#All],MATCH(Tabla4[[#This Row],[Producto]],Tabla6[[#All],[PRODUCTO]],0),MATCH(Tabla4[[#This Row],[Mes]],Tabla6[#Headers],0)))*(1+Catalogos!$L$2)</f>
        <v>#N/A</v>
      </c>
      <c r="N6855" s="283" t="e">
        <f>+(Tabla4[[#This Row],[Precio Descontado]]-Tabla4[[#This Row],[Precio Base]])*Tabla4[[#This Row],[Cantidad]]</f>
        <v>#N/A</v>
      </c>
      <c r="O6855" s="284" t="e">
        <f>++Tabla4[[#This Row],[Utilidad Total]]/Tabla4[[#This Row],[Total]]</f>
        <v>#N/A</v>
      </c>
      <c r="P6855" s="282">
        <f>++Tabla4[[#This Row],[Precio Descontado]]*Tabla4[[#This Row],[Cantidad]]</f>
        <v>174.21706499999999</v>
      </c>
      <c r="Q6855" s="282" t="e">
        <f>(INDEX(Tabla6[#All],MATCH(Tabla4[[#This Row],[Producto]],Tabla6[[#All],[PRODUCTO]],0),MATCH(Tabla4[[#This Row],[Mes]],Tabla6[#Headers],0)))</f>
        <v>#N/A</v>
      </c>
      <c r="R6855" s="282" t="e">
        <f>++Tabla4[[#This Row],[Precio Unitario Neto]]-Tabla4[[#This Row],[20.85%]]-Tabla4[[#This Row],[Costo]]</f>
        <v>#N/A</v>
      </c>
      <c r="S6855" s="282" t="e">
        <f>++Tabla4[[#This Row],[U. Bruta Uni]]*Tabla4[[#This Row],[Cantidad]]</f>
        <v>#N/A</v>
      </c>
      <c r="T6855" s="369" t="str">
        <f>VLOOKUP(Tabla4[[#This Row],[Producto]],Tabla6[#All],14,FALSE)</f>
        <v>Termico Solar</v>
      </c>
      <c r="U6855" s="284" t="e">
        <f>(IF(Tabla4[[#This Row],[Familia]]="termico solar",Tabla4[[#This Row],[Utilidad Total]]*6%,Tabla4[[#This Row],[Utilidad Total]]*11.5%))/Tabla4[[#This Row],[Total]]</f>
        <v>#N/A</v>
      </c>
      <c r="V6855" s="282" t="e">
        <f>+Tabla4[[#This Row],[Comisión Calculada]]*Tabla4[[#This Row],[Total]]</f>
        <v>#N/A</v>
      </c>
    </row>
    <row r="6856" spans="1:22" hidden="1" x14ac:dyDescent="0.25">
      <c r="A6856" s="100">
        <v>45976</v>
      </c>
      <c r="B6856" t="str">
        <f t="shared" ref="B6856:B6857" si="475">TEXT(A6856, "mmmm")</f>
        <v>November</v>
      </c>
      <c r="C6856" s="46" t="s">
        <v>280</v>
      </c>
      <c r="F6856" s="366" t="s">
        <v>3453</v>
      </c>
      <c r="G6856" s="46" t="s">
        <v>18</v>
      </c>
      <c r="H6856" s="46">
        <v>2</v>
      </c>
      <c r="I6856" s="51">
        <v>5367.65</v>
      </c>
      <c r="J6856" s="281">
        <f>++Tabla4[[#This Row],[Precio Bruto]]*1.16</f>
        <v>6226.4739999999993</v>
      </c>
      <c r="K6856" s="281">
        <f>+Tabla4[[#This Row],[Precio Unitario Neto]]*Tabla4[[#Headers],[20.85%]]</f>
        <v>1298.2198289999999</v>
      </c>
      <c r="L6856" s="282">
        <f>++Tabla4[[#This Row],[Precio Unitario Neto]]-Tabla4[[#This Row],[20.85%]]</f>
        <v>4928.2541709999996</v>
      </c>
      <c r="M6856" s="282" t="e">
        <f>(INDEX(Tabla6[#All],MATCH(Tabla4[[#This Row],[Producto]],Tabla6[[#All],[PRODUCTO]],0),MATCH(Tabla4[[#This Row],[Mes]],Tabla6[#Headers],0)))*(1+Catalogos!$L$2)</f>
        <v>#N/A</v>
      </c>
      <c r="N6856" s="283" t="e">
        <f>+(Tabla4[[#This Row],[Precio Descontado]]-Tabla4[[#This Row],[Precio Base]])*Tabla4[[#This Row],[Cantidad]]</f>
        <v>#N/A</v>
      </c>
      <c r="O6856" s="284" t="e">
        <f>++Tabla4[[#This Row],[Utilidad Total]]/Tabla4[[#This Row],[Total]]</f>
        <v>#N/A</v>
      </c>
      <c r="P6856" s="282">
        <f>++Tabla4[[#This Row],[Precio Descontado]]*Tabla4[[#This Row],[Cantidad]]</f>
        <v>9856.5083419999992</v>
      </c>
      <c r="Q6856" s="282" t="e">
        <f>(INDEX(Tabla6[#All],MATCH(Tabla4[[#This Row],[Producto]],Tabla6[[#All],[PRODUCTO]],0),MATCH(Tabla4[[#This Row],[Mes]],Tabla6[#Headers],0)))</f>
        <v>#N/A</v>
      </c>
      <c r="R6856" s="282" t="e">
        <f>++Tabla4[[#This Row],[Precio Unitario Neto]]-Tabla4[[#This Row],[20.85%]]-Tabla4[[#This Row],[Costo]]</f>
        <v>#N/A</v>
      </c>
      <c r="S6856" s="282" t="e">
        <f>++Tabla4[[#This Row],[U. Bruta Uni]]*Tabla4[[#This Row],[Cantidad]]</f>
        <v>#N/A</v>
      </c>
      <c r="T6856" s="369" t="str">
        <f>VLOOKUP(Tabla4[[#This Row],[Producto]],Tabla6[#All],14,FALSE)</f>
        <v>Termico Solar</v>
      </c>
      <c r="U6856" s="284" t="e">
        <f>(IF(Tabla4[[#This Row],[Familia]]="termico solar",Tabla4[[#This Row],[Utilidad Total]]*6%,Tabla4[[#This Row],[Utilidad Total]]*11.5%))/Tabla4[[#This Row],[Total]]</f>
        <v>#N/A</v>
      </c>
      <c r="V6856" s="282" t="e">
        <f>+Tabla4[[#This Row],[Comisión Calculada]]*Tabla4[[#This Row],[Total]]</f>
        <v>#N/A</v>
      </c>
    </row>
    <row r="6857" spans="1:22" hidden="1" x14ac:dyDescent="0.25">
      <c r="A6857" s="100">
        <v>45976</v>
      </c>
      <c r="B6857" t="str">
        <f t="shared" si="475"/>
        <v>November</v>
      </c>
      <c r="C6857" s="46" t="s">
        <v>280</v>
      </c>
      <c r="F6857" s="366" t="s">
        <v>3453</v>
      </c>
      <c r="G6857" s="46" t="s">
        <v>566</v>
      </c>
      <c r="H6857" s="46">
        <v>1</v>
      </c>
      <c r="I6857" s="51">
        <v>2109.4499999999998</v>
      </c>
      <c r="J6857" s="281">
        <f>++Tabla4[[#This Row],[Precio Bruto]]*1.16</f>
        <v>2446.9619999999995</v>
      </c>
      <c r="K6857" s="281">
        <f>+Tabla4[[#This Row],[Precio Unitario Neto]]*Tabla4[[#Headers],[20.85%]]</f>
        <v>510.19157699999988</v>
      </c>
      <c r="L6857" s="282">
        <f>++Tabla4[[#This Row],[Precio Unitario Neto]]-Tabla4[[#This Row],[20.85%]]</f>
        <v>1936.7704229999997</v>
      </c>
      <c r="M6857" s="282" t="e">
        <f>(INDEX(Tabla6[#All],MATCH(Tabla4[[#This Row],[Producto]],Tabla6[[#All],[PRODUCTO]],0),MATCH(Tabla4[[#This Row],[Mes]],Tabla6[#Headers],0)))*(1+Catalogos!$L$2)</f>
        <v>#N/A</v>
      </c>
      <c r="N6857" s="283" t="e">
        <f>+(Tabla4[[#This Row],[Precio Descontado]]-Tabla4[[#This Row],[Precio Base]])*Tabla4[[#This Row],[Cantidad]]</f>
        <v>#N/A</v>
      </c>
      <c r="O6857" s="284" t="e">
        <f>++Tabla4[[#This Row],[Utilidad Total]]/Tabla4[[#This Row],[Total]]</f>
        <v>#N/A</v>
      </c>
      <c r="P6857" s="282">
        <f>++Tabla4[[#This Row],[Precio Descontado]]*Tabla4[[#This Row],[Cantidad]]</f>
        <v>1936.7704229999997</v>
      </c>
      <c r="Q6857" s="282" t="e">
        <f>(INDEX(Tabla6[#All],MATCH(Tabla4[[#This Row],[Producto]],Tabla6[[#All],[PRODUCTO]],0),MATCH(Tabla4[[#This Row],[Mes]],Tabla6[#Headers],0)))</f>
        <v>#N/A</v>
      </c>
      <c r="R6857" s="282" t="e">
        <f>++Tabla4[[#This Row],[Precio Unitario Neto]]-Tabla4[[#This Row],[20.85%]]-Tabla4[[#This Row],[Costo]]</f>
        <v>#N/A</v>
      </c>
      <c r="S6857" s="282" t="e">
        <f>++Tabla4[[#This Row],[U. Bruta Uni]]*Tabla4[[#This Row],[Cantidad]]</f>
        <v>#N/A</v>
      </c>
      <c r="T6857" s="369" t="str">
        <f>VLOOKUP(Tabla4[[#This Row],[Producto]],Tabla6[#All],14,FALSE)</f>
        <v>Termico Solar</v>
      </c>
      <c r="U6857" s="284" t="e">
        <f>(IF(Tabla4[[#This Row],[Familia]]="termico solar",Tabla4[[#This Row],[Utilidad Total]]*6%,Tabla4[[#This Row],[Utilidad Total]]*11.5%))/Tabla4[[#This Row],[Total]]</f>
        <v>#N/A</v>
      </c>
      <c r="V6857" s="282" t="e">
        <f>+Tabla4[[#This Row],[Comisión Calculada]]*Tabla4[[#This Row],[Total]]</f>
        <v>#N/A</v>
      </c>
    </row>
    <row r="6858" spans="1:22" hidden="1" x14ac:dyDescent="0.25">
      <c r="A6858" s="100">
        <v>45976</v>
      </c>
      <c r="B6858" t="str">
        <f t="shared" ref="B6858:B6859" si="476">TEXT(A6858, "mmmm")</f>
        <v>November</v>
      </c>
      <c r="C6858" s="46" t="s">
        <v>280</v>
      </c>
      <c r="F6858" s="366" t="s">
        <v>3454</v>
      </c>
      <c r="G6858" s="46" t="s">
        <v>17</v>
      </c>
      <c r="H6858" s="46">
        <v>2</v>
      </c>
      <c r="I6858" s="51">
        <v>4622.28</v>
      </c>
      <c r="J6858" s="281">
        <f>++Tabla4[[#This Row],[Precio Bruto]]*1.16</f>
        <v>5361.8447999999989</v>
      </c>
      <c r="K6858" s="281">
        <f>+Tabla4[[#This Row],[Precio Unitario Neto]]*Tabla4[[#Headers],[20.85%]]</f>
        <v>1117.9446407999997</v>
      </c>
      <c r="L6858" s="282">
        <f>++Tabla4[[#This Row],[Precio Unitario Neto]]-Tabla4[[#This Row],[20.85%]]</f>
        <v>4243.9001591999995</v>
      </c>
      <c r="M6858" s="282" t="e">
        <f>(INDEX(Tabla6[#All],MATCH(Tabla4[[#This Row],[Producto]],Tabla6[[#All],[PRODUCTO]],0),MATCH(Tabla4[[#This Row],[Mes]],Tabla6[#Headers],0)))*(1+Catalogos!$L$2)</f>
        <v>#N/A</v>
      </c>
      <c r="N6858" s="283" t="e">
        <f>+(Tabla4[[#This Row],[Precio Descontado]]-Tabla4[[#This Row],[Precio Base]])*Tabla4[[#This Row],[Cantidad]]</f>
        <v>#N/A</v>
      </c>
      <c r="O6858" s="284" t="e">
        <f>++Tabla4[[#This Row],[Utilidad Total]]/Tabla4[[#This Row],[Total]]</f>
        <v>#N/A</v>
      </c>
      <c r="P6858" s="282">
        <f>++Tabla4[[#This Row],[Precio Descontado]]*Tabla4[[#This Row],[Cantidad]]</f>
        <v>8487.800318399999</v>
      </c>
      <c r="Q6858" s="282" t="e">
        <f>(INDEX(Tabla6[#All],MATCH(Tabla4[[#This Row],[Producto]],Tabla6[[#All],[PRODUCTO]],0),MATCH(Tabla4[[#This Row],[Mes]],Tabla6[#Headers],0)))</f>
        <v>#N/A</v>
      </c>
      <c r="R6858" s="282" t="e">
        <f>++Tabla4[[#This Row],[Precio Unitario Neto]]-Tabla4[[#This Row],[20.85%]]-Tabla4[[#This Row],[Costo]]</f>
        <v>#N/A</v>
      </c>
      <c r="S6858" s="282" t="e">
        <f>++Tabla4[[#This Row],[U. Bruta Uni]]*Tabla4[[#This Row],[Cantidad]]</f>
        <v>#N/A</v>
      </c>
      <c r="T6858" s="369" t="str">
        <f>VLOOKUP(Tabla4[[#This Row],[Producto]],Tabla6[#All],14,FALSE)</f>
        <v>Termico Solar</v>
      </c>
      <c r="U6858" s="284" t="e">
        <f>(IF(Tabla4[[#This Row],[Familia]]="termico solar",Tabla4[[#This Row],[Utilidad Total]]*6%,Tabla4[[#This Row],[Utilidad Total]]*11.5%))/Tabla4[[#This Row],[Total]]</f>
        <v>#N/A</v>
      </c>
      <c r="V6858" s="282" t="e">
        <f>+Tabla4[[#This Row],[Comisión Calculada]]*Tabla4[[#This Row],[Total]]</f>
        <v>#N/A</v>
      </c>
    </row>
    <row r="6859" spans="1:22" hidden="1" x14ac:dyDescent="0.25">
      <c r="A6859" s="100">
        <v>45976</v>
      </c>
      <c r="B6859" t="str">
        <f t="shared" si="476"/>
        <v>November</v>
      </c>
      <c r="C6859" s="46" t="s">
        <v>280</v>
      </c>
      <c r="F6859" s="366" t="s">
        <v>3454</v>
      </c>
      <c r="G6859" s="46" t="s">
        <v>18</v>
      </c>
      <c r="H6859" s="46">
        <v>2</v>
      </c>
      <c r="I6859" s="51">
        <v>5367.65</v>
      </c>
      <c r="J6859" s="281">
        <f>++Tabla4[[#This Row],[Precio Bruto]]*1.16</f>
        <v>6226.4739999999993</v>
      </c>
      <c r="K6859" s="281">
        <f>+Tabla4[[#This Row],[Precio Unitario Neto]]*Tabla4[[#Headers],[20.85%]]</f>
        <v>1298.2198289999999</v>
      </c>
      <c r="L6859" s="282">
        <f>++Tabla4[[#This Row],[Precio Unitario Neto]]-Tabla4[[#This Row],[20.85%]]</f>
        <v>4928.2541709999996</v>
      </c>
      <c r="M6859" s="282" t="e">
        <f>(INDEX(Tabla6[#All],MATCH(Tabla4[[#This Row],[Producto]],Tabla6[[#All],[PRODUCTO]],0),MATCH(Tabla4[[#This Row],[Mes]],Tabla6[#Headers],0)))*(1+Catalogos!$L$2)</f>
        <v>#N/A</v>
      </c>
      <c r="N6859" s="283" t="e">
        <f>+(Tabla4[[#This Row],[Precio Descontado]]-Tabla4[[#This Row],[Precio Base]])*Tabla4[[#This Row],[Cantidad]]</f>
        <v>#N/A</v>
      </c>
      <c r="O6859" s="284" t="e">
        <f>++Tabla4[[#This Row],[Utilidad Total]]/Tabla4[[#This Row],[Total]]</f>
        <v>#N/A</v>
      </c>
      <c r="P6859" s="282">
        <f>++Tabla4[[#This Row],[Precio Descontado]]*Tabla4[[#This Row],[Cantidad]]</f>
        <v>9856.5083419999992</v>
      </c>
      <c r="Q6859" s="282" t="e">
        <f>(INDEX(Tabla6[#All],MATCH(Tabla4[[#This Row],[Producto]],Tabla6[[#All],[PRODUCTO]],0),MATCH(Tabla4[[#This Row],[Mes]],Tabla6[#Headers],0)))</f>
        <v>#N/A</v>
      </c>
      <c r="R6859" s="282" t="e">
        <f>++Tabla4[[#This Row],[Precio Unitario Neto]]-Tabla4[[#This Row],[20.85%]]-Tabla4[[#This Row],[Costo]]</f>
        <v>#N/A</v>
      </c>
      <c r="S6859" s="282" t="e">
        <f>++Tabla4[[#This Row],[U. Bruta Uni]]*Tabla4[[#This Row],[Cantidad]]</f>
        <v>#N/A</v>
      </c>
      <c r="T6859" s="369" t="str">
        <f>VLOOKUP(Tabla4[[#This Row],[Producto]],Tabla6[#All],14,FALSE)</f>
        <v>Termico Solar</v>
      </c>
      <c r="U6859" s="284" t="e">
        <f>(IF(Tabla4[[#This Row],[Familia]]="termico solar",Tabla4[[#This Row],[Utilidad Total]]*6%,Tabla4[[#This Row],[Utilidad Total]]*11.5%))/Tabla4[[#This Row],[Total]]</f>
        <v>#N/A</v>
      </c>
      <c r="V6859" s="282" t="e">
        <f>+Tabla4[[#This Row],[Comisión Calculada]]*Tabla4[[#This Row],[Total]]</f>
        <v>#N/A</v>
      </c>
    </row>
    <row r="6860" spans="1:22" hidden="1" x14ac:dyDescent="0.25">
      <c r="A6860" s="100">
        <v>45976</v>
      </c>
      <c r="B6860" t="str">
        <f t="shared" ref="B6860:B6861" si="477">TEXT(A6860, "mmmm")</f>
        <v>November</v>
      </c>
      <c r="C6860" s="46" t="s">
        <v>280</v>
      </c>
      <c r="F6860" s="366" t="s">
        <v>3455</v>
      </c>
      <c r="G6860" s="46" t="s">
        <v>17</v>
      </c>
      <c r="H6860" s="46">
        <v>3</v>
      </c>
      <c r="I6860" s="51">
        <v>4622.28</v>
      </c>
      <c r="J6860" s="281">
        <f>++Tabla4[[#This Row],[Precio Bruto]]*1.16</f>
        <v>5361.8447999999989</v>
      </c>
      <c r="K6860" s="281">
        <f>+Tabla4[[#This Row],[Precio Unitario Neto]]*Tabla4[[#Headers],[20.85%]]</f>
        <v>1117.9446407999997</v>
      </c>
      <c r="L6860" s="282">
        <f>++Tabla4[[#This Row],[Precio Unitario Neto]]-Tabla4[[#This Row],[20.85%]]</f>
        <v>4243.9001591999995</v>
      </c>
      <c r="M6860" s="282" t="e">
        <f>(INDEX(Tabla6[#All],MATCH(Tabla4[[#This Row],[Producto]],Tabla6[[#All],[PRODUCTO]],0),MATCH(Tabla4[[#This Row],[Mes]],Tabla6[#Headers],0)))*(1+Catalogos!$L$2)</f>
        <v>#N/A</v>
      </c>
      <c r="N6860" s="283" t="e">
        <f>+(Tabla4[[#This Row],[Precio Descontado]]-Tabla4[[#This Row],[Precio Base]])*Tabla4[[#This Row],[Cantidad]]</f>
        <v>#N/A</v>
      </c>
      <c r="O6860" s="284" t="e">
        <f>++Tabla4[[#This Row],[Utilidad Total]]/Tabla4[[#This Row],[Total]]</f>
        <v>#N/A</v>
      </c>
      <c r="P6860" s="282">
        <f>++Tabla4[[#This Row],[Precio Descontado]]*Tabla4[[#This Row],[Cantidad]]</f>
        <v>12731.700477599999</v>
      </c>
      <c r="Q6860" s="282" t="e">
        <f>(INDEX(Tabla6[#All],MATCH(Tabla4[[#This Row],[Producto]],Tabla6[[#All],[PRODUCTO]],0),MATCH(Tabla4[[#This Row],[Mes]],Tabla6[#Headers],0)))</f>
        <v>#N/A</v>
      </c>
      <c r="R6860" s="282" t="e">
        <f>++Tabla4[[#This Row],[Precio Unitario Neto]]-Tabla4[[#This Row],[20.85%]]-Tabla4[[#This Row],[Costo]]</f>
        <v>#N/A</v>
      </c>
      <c r="S6860" s="282" t="e">
        <f>++Tabla4[[#This Row],[U. Bruta Uni]]*Tabla4[[#This Row],[Cantidad]]</f>
        <v>#N/A</v>
      </c>
      <c r="T6860" s="369" t="str">
        <f>VLOOKUP(Tabla4[[#This Row],[Producto]],Tabla6[#All],14,FALSE)</f>
        <v>Termico Solar</v>
      </c>
      <c r="U6860" s="284" t="e">
        <f>(IF(Tabla4[[#This Row],[Familia]]="termico solar",Tabla4[[#This Row],[Utilidad Total]]*6%,Tabla4[[#This Row],[Utilidad Total]]*11.5%))/Tabla4[[#This Row],[Total]]</f>
        <v>#N/A</v>
      </c>
      <c r="V6860" s="282" t="e">
        <f>+Tabla4[[#This Row],[Comisión Calculada]]*Tabla4[[#This Row],[Total]]</f>
        <v>#N/A</v>
      </c>
    </row>
    <row r="6861" spans="1:22" hidden="1" x14ac:dyDescent="0.25">
      <c r="A6861" s="100">
        <v>45976</v>
      </c>
      <c r="B6861" t="str">
        <f t="shared" si="477"/>
        <v>November</v>
      </c>
      <c r="C6861" s="46" t="s">
        <v>280</v>
      </c>
      <c r="F6861" s="366" t="s">
        <v>3455</v>
      </c>
      <c r="G6861" s="46" t="s">
        <v>18</v>
      </c>
      <c r="H6861" s="46">
        <v>5</v>
      </c>
      <c r="I6861" s="51">
        <v>5367.65</v>
      </c>
      <c r="J6861" s="281">
        <f>++Tabla4[[#This Row],[Precio Bruto]]*1.16</f>
        <v>6226.4739999999993</v>
      </c>
      <c r="K6861" s="281">
        <f>+Tabla4[[#This Row],[Precio Unitario Neto]]*Tabla4[[#Headers],[20.85%]]</f>
        <v>1298.2198289999999</v>
      </c>
      <c r="L6861" s="282">
        <f>++Tabla4[[#This Row],[Precio Unitario Neto]]-Tabla4[[#This Row],[20.85%]]</f>
        <v>4928.2541709999996</v>
      </c>
      <c r="M6861" s="282" t="e">
        <f>(INDEX(Tabla6[#All],MATCH(Tabla4[[#This Row],[Producto]],Tabla6[[#All],[PRODUCTO]],0),MATCH(Tabla4[[#This Row],[Mes]],Tabla6[#Headers],0)))*(1+Catalogos!$L$2)</f>
        <v>#N/A</v>
      </c>
      <c r="N6861" s="283" t="e">
        <f>+(Tabla4[[#This Row],[Precio Descontado]]-Tabla4[[#This Row],[Precio Base]])*Tabla4[[#This Row],[Cantidad]]</f>
        <v>#N/A</v>
      </c>
      <c r="O6861" s="284" t="e">
        <f>++Tabla4[[#This Row],[Utilidad Total]]/Tabla4[[#This Row],[Total]]</f>
        <v>#N/A</v>
      </c>
      <c r="P6861" s="282">
        <f>++Tabla4[[#This Row],[Precio Descontado]]*Tabla4[[#This Row],[Cantidad]]</f>
        <v>24641.270854999999</v>
      </c>
      <c r="Q6861" s="282" t="e">
        <f>(INDEX(Tabla6[#All],MATCH(Tabla4[[#This Row],[Producto]],Tabla6[[#All],[PRODUCTO]],0),MATCH(Tabla4[[#This Row],[Mes]],Tabla6[#Headers],0)))</f>
        <v>#N/A</v>
      </c>
      <c r="R6861" s="282" t="e">
        <f>++Tabla4[[#This Row],[Precio Unitario Neto]]-Tabla4[[#This Row],[20.85%]]-Tabla4[[#This Row],[Costo]]</f>
        <v>#N/A</v>
      </c>
      <c r="S6861" s="282" t="e">
        <f>++Tabla4[[#This Row],[U. Bruta Uni]]*Tabla4[[#This Row],[Cantidad]]</f>
        <v>#N/A</v>
      </c>
      <c r="T6861" s="369" t="str">
        <f>VLOOKUP(Tabla4[[#This Row],[Producto]],Tabla6[#All],14,FALSE)</f>
        <v>Termico Solar</v>
      </c>
      <c r="U6861" s="284" t="e">
        <f>(IF(Tabla4[[#This Row],[Familia]]="termico solar",Tabla4[[#This Row],[Utilidad Total]]*6%,Tabla4[[#This Row],[Utilidad Total]]*11.5%))/Tabla4[[#This Row],[Total]]</f>
        <v>#N/A</v>
      </c>
      <c r="V6861" s="282" t="e">
        <f>+Tabla4[[#This Row],[Comisión Calculada]]*Tabla4[[#This Row],[Total]]</f>
        <v>#N/A</v>
      </c>
    </row>
    <row r="6862" spans="1:22" hidden="1" x14ac:dyDescent="0.25">
      <c r="A6862" s="100">
        <v>45976</v>
      </c>
      <c r="B6862" t="str">
        <f>TEXT(A6862, "mmmm")</f>
        <v>November</v>
      </c>
      <c r="C6862" s="46" t="s">
        <v>280</v>
      </c>
      <c r="F6862" s="366" t="s">
        <v>3456</v>
      </c>
      <c r="G6862" s="46" t="s">
        <v>208</v>
      </c>
      <c r="H6862" s="46">
        <v>1</v>
      </c>
      <c r="I6862" s="51">
        <v>189.75</v>
      </c>
      <c r="J6862" s="281">
        <f>++Tabla4[[#This Row],[Precio Bruto]]*1.16</f>
        <v>220.10999999999999</v>
      </c>
      <c r="K6862" s="281">
        <f>+Tabla4[[#This Row],[Precio Unitario Neto]]*Tabla4[[#Headers],[20.85%]]</f>
        <v>45.892934999999994</v>
      </c>
      <c r="L6862" s="282">
        <f>++Tabla4[[#This Row],[Precio Unitario Neto]]-Tabla4[[#This Row],[20.85%]]</f>
        <v>174.21706499999999</v>
      </c>
      <c r="M6862" s="282" t="e">
        <f>(INDEX(Tabla6[#All],MATCH(Tabla4[[#This Row],[Producto]],Tabla6[[#All],[PRODUCTO]],0),MATCH(Tabla4[[#This Row],[Mes]],Tabla6[#Headers],0)))*(1+Catalogos!$L$2)</f>
        <v>#N/A</v>
      </c>
      <c r="N6862" s="283" t="e">
        <f>+(Tabla4[[#This Row],[Precio Descontado]]-Tabla4[[#This Row],[Precio Base]])*Tabla4[[#This Row],[Cantidad]]</f>
        <v>#N/A</v>
      </c>
      <c r="O6862" s="284" t="e">
        <f>++Tabla4[[#This Row],[Utilidad Total]]/Tabla4[[#This Row],[Total]]</f>
        <v>#N/A</v>
      </c>
      <c r="P6862" s="282">
        <f>++Tabla4[[#This Row],[Precio Descontado]]*Tabla4[[#This Row],[Cantidad]]</f>
        <v>174.21706499999999</v>
      </c>
      <c r="Q6862" s="282" t="e">
        <f>(INDEX(Tabla6[#All],MATCH(Tabla4[[#This Row],[Producto]],Tabla6[[#All],[PRODUCTO]],0),MATCH(Tabla4[[#This Row],[Mes]],Tabla6[#Headers],0)))</f>
        <v>#N/A</v>
      </c>
      <c r="R6862" s="282" t="e">
        <f>++Tabla4[[#This Row],[Precio Unitario Neto]]-Tabla4[[#This Row],[20.85%]]-Tabla4[[#This Row],[Costo]]</f>
        <v>#N/A</v>
      </c>
      <c r="S6862" s="282" t="e">
        <f>++Tabla4[[#This Row],[U. Bruta Uni]]*Tabla4[[#This Row],[Cantidad]]</f>
        <v>#N/A</v>
      </c>
      <c r="T6862" s="369" t="str">
        <f>VLOOKUP(Tabla4[[#This Row],[Producto]],Tabla6[#All],14,FALSE)</f>
        <v>Termico Solar</v>
      </c>
      <c r="U6862" s="284" t="e">
        <f>(IF(Tabla4[[#This Row],[Familia]]="termico solar",Tabla4[[#This Row],[Utilidad Total]]*6%,Tabla4[[#This Row],[Utilidad Total]]*11.5%))/Tabla4[[#This Row],[Total]]</f>
        <v>#N/A</v>
      </c>
      <c r="V6862" s="282" t="e">
        <f>+Tabla4[[#This Row],[Comisión Calculada]]*Tabla4[[#This Row],[Total]]</f>
        <v>#N/A</v>
      </c>
    </row>
    <row r="6863" spans="1:22" hidden="1" x14ac:dyDescent="0.25">
      <c r="A6863" s="100">
        <v>45976</v>
      </c>
      <c r="B6863" t="str">
        <f>TEXT(A6863, "mmmm")</f>
        <v>November</v>
      </c>
      <c r="C6863" s="46" t="s">
        <v>280</v>
      </c>
      <c r="F6863" s="366" t="s">
        <v>3457</v>
      </c>
      <c r="G6863" s="46" t="s">
        <v>18</v>
      </c>
      <c r="H6863" s="46">
        <v>2</v>
      </c>
      <c r="I6863" s="51">
        <v>5367.65</v>
      </c>
      <c r="J6863" s="281">
        <f>++Tabla4[[#This Row],[Precio Bruto]]*1.16</f>
        <v>6226.4739999999993</v>
      </c>
      <c r="K6863" s="281">
        <f>+Tabla4[[#This Row],[Precio Unitario Neto]]*Tabla4[[#Headers],[20.85%]]</f>
        <v>1298.2198289999999</v>
      </c>
      <c r="L6863" s="282">
        <f>++Tabla4[[#This Row],[Precio Unitario Neto]]-Tabla4[[#This Row],[20.85%]]</f>
        <v>4928.2541709999996</v>
      </c>
      <c r="M6863" s="282" t="e">
        <f>(INDEX(Tabla6[#All],MATCH(Tabla4[[#This Row],[Producto]],Tabla6[[#All],[PRODUCTO]],0),MATCH(Tabla4[[#This Row],[Mes]],Tabla6[#Headers],0)))*(1+Catalogos!$L$2)</f>
        <v>#N/A</v>
      </c>
      <c r="N6863" s="283" t="e">
        <f>+(Tabla4[[#This Row],[Precio Descontado]]-Tabla4[[#This Row],[Precio Base]])*Tabla4[[#This Row],[Cantidad]]</f>
        <v>#N/A</v>
      </c>
      <c r="O6863" s="284" t="e">
        <f>++Tabla4[[#This Row],[Utilidad Total]]/Tabla4[[#This Row],[Total]]</f>
        <v>#N/A</v>
      </c>
      <c r="P6863" s="282">
        <f>++Tabla4[[#This Row],[Precio Descontado]]*Tabla4[[#This Row],[Cantidad]]</f>
        <v>9856.5083419999992</v>
      </c>
      <c r="Q6863" s="282" t="e">
        <f>(INDEX(Tabla6[#All],MATCH(Tabla4[[#This Row],[Producto]],Tabla6[[#All],[PRODUCTO]],0),MATCH(Tabla4[[#This Row],[Mes]],Tabla6[#Headers],0)))</f>
        <v>#N/A</v>
      </c>
      <c r="R6863" s="282" t="e">
        <f>++Tabla4[[#This Row],[Precio Unitario Neto]]-Tabla4[[#This Row],[20.85%]]-Tabla4[[#This Row],[Costo]]</f>
        <v>#N/A</v>
      </c>
      <c r="S6863" s="282" t="e">
        <f>++Tabla4[[#This Row],[U. Bruta Uni]]*Tabla4[[#This Row],[Cantidad]]</f>
        <v>#N/A</v>
      </c>
      <c r="T6863" s="369" t="str">
        <f>VLOOKUP(Tabla4[[#This Row],[Producto]],Tabla6[#All],14,FALSE)</f>
        <v>Termico Solar</v>
      </c>
      <c r="U6863" s="284" t="e">
        <f>(IF(Tabla4[[#This Row],[Familia]]="termico solar",Tabla4[[#This Row],[Utilidad Total]]*6%,Tabla4[[#This Row],[Utilidad Total]]*11.5%))/Tabla4[[#This Row],[Total]]</f>
        <v>#N/A</v>
      </c>
      <c r="V6863" s="282" t="e">
        <f>+Tabla4[[#This Row],[Comisión Calculada]]*Tabla4[[#This Row],[Total]]</f>
        <v>#N/A</v>
      </c>
    </row>
    <row r="6864" spans="1:22" hidden="1" x14ac:dyDescent="0.25">
      <c r="A6864" s="100">
        <v>45976</v>
      </c>
      <c r="B6864" t="str">
        <f t="shared" ref="B6864:B6865" si="478">TEXT(A6864, "mmmm")</f>
        <v>November</v>
      </c>
      <c r="C6864" s="46" t="s">
        <v>280</v>
      </c>
      <c r="F6864" s="366" t="s">
        <v>3458</v>
      </c>
      <c r="G6864" s="46" t="s">
        <v>16</v>
      </c>
      <c r="H6864" s="46">
        <v>1</v>
      </c>
      <c r="I6864" s="51">
        <v>4103.8500000000004</v>
      </c>
      <c r="J6864" s="281">
        <f>++Tabla4[[#This Row],[Precio Bruto]]*1.16</f>
        <v>4760.4660000000003</v>
      </c>
      <c r="K6864" s="281">
        <f>+Tabla4[[#This Row],[Precio Unitario Neto]]*Tabla4[[#Headers],[20.85%]]</f>
        <v>992.55716100000006</v>
      </c>
      <c r="L6864" s="282">
        <f>++Tabla4[[#This Row],[Precio Unitario Neto]]-Tabla4[[#This Row],[20.85%]]</f>
        <v>3767.9088390000002</v>
      </c>
      <c r="M6864" s="282" t="e">
        <f>(INDEX(Tabla6[#All],MATCH(Tabla4[[#This Row],[Producto]],Tabla6[[#All],[PRODUCTO]],0),MATCH(Tabla4[[#This Row],[Mes]],Tabla6[#Headers],0)))*(1+Catalogos!$L$2)</f>
        <v>#N/A</v>
      </c>
      <c r="N6864" s="283" t="e">
        <f>+(Tabla4[[#This Row],[Precio Descontado]]-Tabla4[[#This Row],[Precio Base]])*Tabla4[[#This Row],[Cantidad]]</f>
        <v>#N/A</v>
      </c>
      <c r="O6864" s="284" t="e">
        <f>++Tabla4[[#This Row],[Utilidad Total]]/Tabla4[[#This Row],[Total]]</f>
        <v>#N/A</v>
      </c>
      <c r="P6864" s="282">
        <f>++Tabla4[[#This Row],[Precio Descontado]]*Tabla4[[#This Row],[Cantidad]]</f>
        <v>3767.9088390000002</v>
      </c>
      <c r="Q6864" s="282" t="e">
        <f>(INDEX(Tabla6[#All],MATCH(Tabla4[[#This Row],[Producto]],Tabla6[[#All],[PRODUCTO]],0),MATCH(Tabla4[[#This Row],[Mes]],Tabla6[#Headers],0)))</f>
        <v>#N/A</v>
      </c>
      <c r="R6864" s="282" t="e">
        <f>++Tabla4[[#This Row],[Precio Unitario Neto]]-Tabla4[[#This Row],[20.85%]]-Tabla4[[#This Row],[Costo]]</f>
        <v>#N/A</v>
      </c>
      <c r="S6864" s="282" t="e">
        <f>++Tabla4[[#This Row],[U. Bruta Uni]]*Tabla4[[#This Row],[Cantidad]]</f>
        <v>#N/A</v>
      </c>
      <c r="T6864" s="369" t="str">
        <f>VLOOKUP(Tabla4[[#This Row],[Producto]],Tabla6[#All],14,FALSE)</f>
        <v>Termico Solar</v>
      </c>
      <c r="U6864" s="284" t="e">
        <f>(IF(Tabla4[[#This Row],[Familia]]="termico solar",Tabla4[[#This Row],[Utilidad Total]]*6%,Tabla4[[#This Row],[Utilidad Total]]*11.5%))/Tabla4[[#This Row],[Total]]</f>
        <v>#N/A</v>
      </c>
      <c r="V6864" s="282" t="e">
        <f>+Tabla4[[#This Row],[Comisión Calculada]]*Tabla4[[#This Row],[Total]]</f>
        <v>#N/A</v>
      </c>
    </row>
    <row r="6865" spans="1:22" hidden="1" x14ac:dyDescent="0.25">
      <c r="A6865" s="100">
        <v>45976</v>
      </c>
      <c r="B6865" t="str">
        <f t="shared" si="478"/>
        <v>November</v>
      </c>
      <c r="C6865" s="46" t="s">
        <v>280</v>
      </c>
      <c r="F6865" s="366" t="s">
        <v>3458</v>
      </c>
      <c r="G6865" s="46" t="s">
        <v>208</v>
      </c>
      <c r="H6865" s="46">
        <v>7</v>
      </c>
      <c r="I6865" s="51">
        <v>189.75</v>
      </c>
      <c r="J6865" s="281">
        <f>++Tabla4[[#This Row],[Precio Bruto]]*1.16</f>
        <v>220.10999999999999</v>
      </c>
      <c r="K6865" s="281">
        <f>+Tabla4[[#This Row],[Precio Unitario Neto]]*Tabla4[[#Headers],[20.85%]]</f>
        <v>45.892934999999994</v>
      </c>
      <c r="L6865" s="282">
        <f>++Tabla4[[#This Row],[Precio Unitario Neto]]-Tabla4[[#This Row],[20.85%]]</f>
        <v>174.21706499999999</v>
      </c>
      <c r="M6865" s="282" t="e">
        <f>(INDEX(Tabla6[#All],MATCH(Tabla4[[#This Row],[Producto]],Tabla6[[#All],[PRODUCTO]],0),MATCH(Tabla4[[#This Row],[Mes]],Tabla6[#Headers],0)))*(1+Catalogos!$L$2)</f>
        <v>#N/A</v>
      </c>
      <c r="N6865" s="283" t="e">
        <f>+(Tabla4[[#This Row],[Precio Descontado]]-Tabla4[[#This Row],[Precio Base]])*Tabla4[[#This Row],[Cantidad]]</f>
        <v>#N/A</v>
      </c>
      <c r="O6865" s="284" t="e">
        <f>++Tabla4[[#This Row],[Utilidad Total]]/Tabla4[[#This Row],[Total]]</f>
        <v>#N/A</v>
      </c>
      <c r="P6865" s="282">
        <f>++Tabla4[[#This Row],[Precio Descontado]]*Tabla4[[#This Row],[Cantidad]]</f>
        <v>1219.5194549999999</v>
      </c>
      <c r="Q6865" s="282" t="e">
        <f>(INDEX(Tabla6[#All],MATCH(Tabla4[[#This Row],[Producto]],Tabla6[[#All],[PRODUCTO]],0),MATCH(Tabla4[[#This Row],[Mes]],Tabla6[#Headers],0)))</f>
        <v>#N/A</v>
      </c>
      <c r="R6865" s="282" t="e">
        <f>++Tabla4[[#This Row],[Precio Unitario Neto]]-Tabla4[[#This Row],[20.85%]]-Tabla4[[#This Row],[Costo]]</f>
        <v>#N/A</v>
      </c>
      <c r="S6865" s="282" t="e">
        <f>++Tabla4[[#This Row],[U. Bruta Uni]]*Tabla4[[#This Row],[Cantidad]]</f>
        <v>#N/A</v>
      </c>
      <c r="T6865" s="369" t="str">
        <f>VLOOKUP(Tabla4[[#This Row],[Producto]],Tabla6[#All],14,FALSE)</f>
        <v>Termico Solar</v>
      </c>
      <c r="U6865" s="284" t="e">
        <f>(IF(Tabla4[[#This Row],[Familia]]="termico solar",Tabla4[[#This Row],[Utilidad Total]]*6%,Tabla4[[#This Row],[Utilidad Total]]*11.5%))/Tabla4[[#This Row],[Total]]</f>
        <v>#N/A</v>
      </c>
      <c r="V6865" s="282" t="e">
        <f>+Tabla4[[#This Row],[Comisión Calculada]]*Tabla4[[#This Row],[Total]]</f>
        <v>#N/A</v>
      </c>
    </row>
    <row r="6866" spans="1:22" hidden="1" x14ac:dyDescent="0.25">
      <c r="A6866" s="100">
        <v>45976</v>
      </c>
      <c r="B6866" t="str">
        <f>TEXT(A6866, "mmmm")</f>
        <v>November</v>
      </c>
      <c r="C6866" s="46" t="s">
        <v>280</v>
      </c>
      <c r="F6866" s="366" t="s">
        <v>3459</v>
      </c>
      <c r="G6866" s="46" t="s">
        <v>17</v>
      </c>
      <c r="H6866" s="46">
        <v>1</v>
      </c>
      <c r="I6866" s="51">
        <v>4622.28</v>
      </c>
      <c r="J6866" s="281">
        <f>++Tabla4[[#This Row],[Precio Bruto]]*1.16</f>
        <v>5361.8447999999989</v>
      </c>
      <c r="K6866" s="281">
        <f>+Tabla4[[#This Row],[Precio Unitario Neto]]*Tabla4[[#Headers],[20.85%]]</f>
        <v>1117.9446407999997</v>
      </c>
      <c r="L6866" s="282">
        <f>++Tabla4[[#This Row],[Precio Unitario Neto]]-Tabla4[[#This Row],[20.85%]]</f>
        <v>4243.9001591999995</v>
      </c>
      <c r="M6866" s="282" t="e">
        <f>(INDEX(Tabla6[#All],MATCH(Tabla4[[#This Row],[Producto]],Tabla6[[#All],[PRODUCTO]],0),MATCH(Tabla4[[#This Row],[Mes]],Tabla6[#Headers],0)))*(1+Catalogos!$L$2)</f>
        <v>#N/A</v>
      </c>
      <c r="N6866" s="283" t="e">
        <f>+(Tabla4[[#This Row],[Precio Descontado]]-Tabla4[[#This Row],[Precio Base]])*Tabla4[[#This Row],[Cantidad]]</f>
        <v>#N/A</v>
      </c>
      <c r="O6866" s="284" t="e">
        <f>++Tabla4[[#This Row],[Utilidad Total]]/Tabla4[[#This Row],[Total]]</f>
        <v>#N/A</v>
      </c>
      <c r="P6866" s="282">
        <f>++Tabla4[[#This Row],[Precio Descontado]]*Tabla4[[#This Row],[Cantidad]]</f>
        <v>4243.9001591999995</v>
      </c>
      <c r="Q6866" s="282" t="e">
        <f>(INDEX(Tabla6[#All],MATCH(Tabla4[[#This Row],[Producto]],Tabla6[[#All],[PRODUCTO]],0),MATCH(Tabla4[[#This Row],[Mes]],Tabla6[#Headers],0)))</f>
        <v>#N/A</v>
      </c>
      <c r="R6866" s="282" t="e">
        <f>++Tabla4[[#This Row],[Precio Unitario Neto]]-Tabla4[[#This Row],[20.85%]]-Tabla4[[#This Row],[Costo]]</f>
        <v>#N/A</v>
      </c>
      <c r="S6866" s="282" t="e">
        <f>++Tabla4[[#This Row],[U. Bruta Uni]]*Tabla4[[#This Row],[Cantidad]]</f>
        <v>#N/A</v>
      </c>
      <c r="T6866" s="369" t="str">
        <f>VLOOKUP(Tabla4[[#This Row],[Producto]],Tabla6[#All],14,FALSE)</f>
        <v>Termico Solar</v>
      </c>
      <c r="U6866" s="284" t="e">
        <f>(IF(Tabla4[[#This Row],[Familia]]="termico solar",Tabla4[[#This Row],[Utilidad Total]]*6%,Tabla4[[#This Row],[Utilidad Total]]*11.5%))/Tabla4[[#This Row],[Total]]</f>
        <v>#N/A</v>
      </c>
      <c r="V6866" s="282" t="e">
        <f>+Tabla4[[#This Row],[Comisión Calculada]]*Tabla4[[#This Row],[Total]]</f>
        <v>#N/A</v>
      </c>
    </row>
    <row r="6867" spans="1:22" hidden="1" x14ac:dyDescent="0.25">
      <c r="A6867" s="100">
        <v>45976</v>
      </c>
      <c r="B6867" t="str">
        <f t="shared" ref="B6867:B6868" si="479">TEXT(A6867, "mmmm")</f>
        <v>November</v>
      </c>
      <c r="C6867" s="46" t="s">
        <v>280</v>
      </c>
      <c r="F6867" s="366" t="s">
        <v>3460</v>
      </c>
      <c r="G6867" s="46" t="s">
        <v>83</v>
      </c>
      <c r="H6867" s="46">
        <v>1</v>
      </c>
      <c r="I6867" s="51">
        <v>8858.76</v>
      </c>
      <c r="J6867" s="281">
        <f>++Tabla4[[#This Row],[Precio Bruto]]*1.16</f>
        <v>10276.161599999999</v>
      </c>
      <c r="K6867" s="281">
        <f>+Tabla4[[#This Row],[Precio Unitario Neto]]*Tabla4[[#Headers],[20.85%]]</f>
        <v>2142.5796935999997</v>
      </c>
      <c r="L6867" s="282">
        <f>++Tabla4[[#This Row],[Precio Unitario Neto]]-Tabla4[[#This Row],[20.85%]]</f>
        <v>8133.5819063999998</v>
      </c>
      <c r="M6867" s="282" t="e">
        <f>(INDEX(Tabla6[#All],MATCH(Tabla4[[#This Row],[Producto]],Tabla6[[#All],[PRODUCTO]],0),MATCH(Tabla4[[#This Row],[Mes]],Tabla6[#Headers],0)))*(1+Catalogos!$L$2)</f>
        <v>#N/A</v>
      </c>
      <c r="N6867" s="283" t="e">
        <f>+(Tabla4[[#This Row],[Precio Descontado]]-Tabla4[[#This Row],[Precio Base]])*Tabla4[[#This Row],[Cantidad]]</f>
        <v>#N/A</v>
      </c>
      <c r="O6867" s="284" t="e">
        <f>++Tabla4[[#This Row],[Utilidad Total]]/Tabla4[[#This Row],[Total]]</f>
        <v>#N/A</v>
      </c>
      <c r="P6867" s="282">
        <f>++Tabla4[[#This Row],[Precio Descontado]]*Tabla4[[#This Row],[Cantidad]]</f>
        <v>8133.5819063999998</v>
      </c>
      <c r="Q6867" s="282" t="e">
        <f>(INDEX(Tabla6[#All],MATCH(Tabla4[[#This Row],[Producto]],Tabla6[[#All],[PRODUCTO]],0),MATCH(Tabla4[[#This Row],[Mes]],Tabla6[#Headers],0)))</f>
        <v>#N/A</v>
      </c>
      <c r="R6867" s="282" t="e">
        <f>++Tabla4[[#This Row],[Precio Unitario Neto]]-Tabla4[[#This Row],[20.85%]]-Tabla4[[#This Row],[Costo]]</f>
        <v>#N/A</v>
      </c>
      <c r="S6867" s="282" t="e">
        <f>++Tabla4[[#This Row],[U. Bruta Uni]]*Tabla4[[#This Row],[Cantidad]]</f>
        <v>#N/A</v>
      </c>
      <c r="T6867" s="369" t="str">
        <f>VLOOKUP(Tabla4[[#This Row],[Producto]],Tabla6[#All],14,FALSE)</f>
        <v>Termico Solar</v>
      </c>
      <c r="U6867" s="284" t="e">
        <f>(IF(Tabla4[[#This Row],[Familia]]="termico solar",Tabla4[[#This Row],[Utilidad Total]]*6%,Tabla4[[#This Row],[Utilidad Total]]*11.5%))/Tabla4[[#This Row],[Total]]</f>
        <v>#N/A</v>
      </c>
      <c r="V6867" s="282" t="e">
        <f>+Tabla4[[#This Row],[Comisión Calculada]]*Tabla4[[#This Row],[Total]]</f>
        <v>#N/A</v>
      </c>
    </row>
    <row r="6868" spans="1:22" hidden="1" x14ac:dyDescent="0.25">
      <c r="A6868" s="100">
        <v>45976</v>
      </c>
      <c r="B6868" t="str">
        <f t="shared" si="479"/>
        <v>November</v>
      </c>
      <c r="C6868" s="46" t="s">
        <v>280</v>
      </c>
      <c r="F6868" s="366" t="s">
        <v>3460</v>
      </c>
      <c r="G6868" s="46" t="s">
        <v>16</v>
      </c>
      <c r="H6868" s="46">
        <v>2</v>
      </c>
      <c r="I6868" s="51">
        <v>4103.8500000000004</v>
      </c>
      <c r="J6868" s="281">
        <f>++Tabla4[[#This Row],[Precio Bruto]]*1.16</f>
        <v>4760.4660000000003</v>
      </c>
      <c r="K6868" s="281">
        <f>+Tabla4[[#This Row],[Precio Unitario Neto]]*Tabla4[[#Headers],[20.85%]]</f>
        <v>992.55716100000006</v>
      </c>
      <c r="L6868" s="282">
        <f>++Tabla4[[#This Row],[Precio Unitario Neto]]-Tabla4[[#This Row],[20.85%]]</f>
        <v>3767.9088390000002</v>
      </c>
      <c r="M6868" s="282" t="e">
        <f>(INDEX(Tabla6[#All],MATCH(Tabla4[[#This Row],[Producto]],Tabla6[[#All],[PRODUCTO]],0),MATCH(Tabla4[[#This Row],[Mes]],Tabla6[#Headers],0)))*(1+Catalogos!$L$2)</f>
        <v>#N/A</v>
      </c>
      <c r="N6868" s="283" t="e">
        <f>+(Tabla4[[#This Row],[Precio Descontado]]-Tabla4[[#This Row],[Precio Base]])*Tabla4[[#This Row],[Cantidad]]</f>
        <v>#N/A</v>
      </c>
      <c r="O6868" s="284" t="e">
        <f>++Tabla4[[#This Row],[Utilidad Total]]/Tabla4[[#This Row],[Total]]</f>
        <v>#N/A</v>
      </c>
      <c r="P6868" s="282">
        <f>++Tabla4[[#This Row],[Precio Descontado]]*Tabla4[[#This Row],[Cantidad]]</f>
        <v>7535.8176780000003</v>
      </c>
      <c r="Q6868" s="282" t="e">
        <f>(INDEX(Tabla6[#All],MATCH(Tabla4[[#This Row],[Producto]],Tabla6[[#All],[PRODUCTO]],0),MATCH(Tabla4[[#This Row],[Mes]],Tabla6[#Headers],0)))</f>
        <v>#N/A</v>
      </c>
      <c r="R6868" s="282" t="e">
        <f>++Tabla4[[#This Row],[Precio Unitario Neto]]-Tabla4[[#This Row],[20.85%]]-Tabla4[[#This Row],[Costo]]</f>
        <v>#N/A</v>
      </c>
      <c r="S6868" s="282" t="e">
        <f>++Tabla4[[#This Row],[U. Bruta Uni]]*Tabla4[[#This Row],[Cantidad]]</f>
        <v>#N/A</v>
      </c>
      <c r="T6868" s="369" t="str">
        <f>VLOOKUP(Tabla4[[#This Row],[Producto]],Tabla6[#All],14,FALSE)</f>
        <v>Termico Solar</v>
      </c>
      <c r="U6868" s="284" t="e">
        <f>(IF(Tabla4[[#This Row],[Familia]]="termico solar",Tabla4[[#This Row],[Utilidad Total]]*6%,Tabla4[[#This Row],[Utilidad Total]]*11.5%))/Tabla4[[#This Row],[Total]]</f>
        <v>#N/A</v>
      </c>
      <c r="V6868" s="282" t="e">
        <f>+Tabla4[[#This Row],[Comisión Calculada]]*Tabla4[[#This Row],[Total]]</f>
        <v>#N/A</v>
      </c>
    </row>
    <row r="6869" spans="1:22" hidden="1" x14ac:dyDescent="0.25">
      <c r="A6869" s="100">
        <v>45976</v>
      </c>
      <c r="B6869" t="str">
        <f>TEXT(A6869, "mmmm")</f>
        <v>November</v>
      </c>
      <c r="C6869" s="46" t="s">
        <v>280</v>
      </c>
      <c r="F6869" s="366" t="s">
        <v>3461</v>
      </c>
      <c r="G6869" s="46" t="s">
        <v>16</v>
      </c>
      <c r="H6869" s="46">
        <v>1</v>
      </c>
      <c r="I6869" s="51">
        <v>4103.8500000000004</v>
      </c>
      <c r="J6869" s="281">
        <f>++Tabla4[[#This Row],[Precio Bruto]]*1.16</f>
        <v>4760.4660000000003</v>
      </c>
      <c r="K6869" s="281">
        <f>+Tabla4[[#This Row],[Precio Unitario Neto]]*Tabla4[[#Headers],[20.85%]]</f>
        <v>992.55716100000006</v>
      </c>
      <c r="L6869" s="282">
        <f>++Tabla4[[#This Row],[Precio Unitario Neto]]-Tabla4[[#This Row],[20.85%]]</f>
        <v>3767.9088390000002</v>
      </c>
      <c r="M6869" s="282" t="e">
        <f>(INDEX(Tabla6[#All],MATCH(Tabla4[[#This Row],[Producto]],Tabla6[[#All],[PRODUCTO]],0),MATCH(Tabla4[[#This Row],[Mes]],Tabla6[#Headers],0)))*(1+Catalogos!$L$2)</f>
        <v>#N/A</v>
      </c>
      <c r="N6869" s="283" t="e">
        <f>+(Tabla4[[#This Row],[Precio Descontado]]-Tabla4[[#This Row],[Precio Base]])*Tabla4[[#This Row],[Cantidad]]</f>
        <v>#N/A</v>
      </c>
      <c r="O6869" s="284" t="e">
        <f>++Tabla4[[#This Row],[Utilidad Total]]/Tabla4[[#This Row],[Total]]</f>
        <v>#N/A</v>
      </c>
      <c r="P6869" s="282">
        <f>++Tabla4[[#This Row],[Precio Descontado]]*Tabla4[[#This Row],[Cantidad]]</f>
        <v>3767.9088390000002</v>
      </c>
      <c r="Q6869" s="282" t="e">
        <f>(INDEX(Tabla6[#All],MATCH(Tabla4[[#This Row],[Producto]],Tabla6[[#All],[PRODUCTO]],0),MATCH(Tabla4[[#This Row],[Mes]],Tabla6[#Headers],0)))</f>
        <v>#N/A</v>
      </c>
      <c r="R6869" s="282" t="e">
        <f>++Tabla4[[#This Row],[Precio Unitario Neto]]-Tabla4[[#This Row],[20.85%]]-Tabla4[[#This Row],[Costo]]</f>
        <v>#N/A</v>
      </c>
      <c r="S6869" s="282" t="e">
        <f>++Tabla4[[#This Row],[U. Bruta Uni]]*Tabla4[[#This Row],[Cantidad]]</f>
        <v>#N/A</v>
      </c>
      <c r="T6869" s="369" t="str">
        <f>VLOOKUP(Tabla4[[#This Row],[Producto]],Tabla6[#All],14,FALSE)</f>
        <v>Termico Solar</v>
      </c>
      <c r="U6869" s="284" t="e">
        <f>(IF(Tabla4[[#This Row],[Familia]]="termico solar",Tabla4[[#This Row],[Utilidad Total]]*6%,Tabla4[[#This Row],[Utilidad Total]]*11.5%))/Tabla4[[#This Row],[Total]]</f>
        <v>#N/A</v>
      </c>
      <c r="V6869" s="282" t="e">
        <f>+Tabla4[[#This Row],[Comisión Calculada]]*Tabla4[[#This Row],[Total]]</f>
        <v>#N/A</v>
      </c>
    </row>
    <row r="6870" spans="1:22" hidden="1" x14ac:dyDescent="0.25">
      <c r="A6870" s="100">
        <v>45976</v>
      </c>
      <c r="B6870" t="str">
        <f t="shared" ref="B6870:B6872" si="480">TEXT(A6870, "mmmm")</f>
        <v>November</v>
      </c>
      <c r="C6870" s="46" t="s">
        <v>280</v>
      </c>
      <c r="F6870" s="366" t="s">
        <v>3462</v>
      </c>
      <c r="G6870" s="46" t="s">
        <v>17</v>
      </c>
      <c r="H6870" s="46">
        <v>1</v>
      </c>
      <c r="I6870" s="51">
        <v>4622.28</v>
      </c>
      <c r="J6870" s="281">
        <f>++Tabla4[[#This Row],[Precio Bruto]]*1.16</f>
        <v>5361.8447999999989</v>
      </c>
      <c r="K6870" s="281">
        <f>+Tabla4[[#This Row],[Precio Unitario Neto]]*Tabla4[[#Headers],[20.85%]]</f>
        <v>1117.9446407999997</v>
      </c>
      <c r="L6870" s="282">
        <f>++Tabla4[[#This Row],[Precio Unitario Neto]]-Tabla4[[#This Row],[20.85%]]</f>
        <v>4243.9001591999995</v>
      </c>
      <c r="M6870" s="282" t="e">
        <f>(INDEX(Tabla6[#All],MATCH(Tabla4[[#This Row],[Producto]],Tabla6[[#All],[PRODUCTO]],0),MATCH(Tabla4[[#This Row],[Mes]],Tabla6[#Headers],0)))*(1+Catalogos!$L$2)</f>
        <v>#N/A</v>
      </c>
      <c r="N6870" s="283" t="e">
        <f>+(Tabla4[[#This Row],[Precio Descontado]]-Tabla4[[#This Row],[Precio Base]])*Tabla4[[#This Row],[Cantidad]]</f>
        <v>#N/A</v>
      </c>
      <c r="O6870" s="284" t="e">
        <f>++Tabla4[[#This Row],[Utilidad Total]]/Tabla4[[#This Row],[Total]]</f>
        <v>#N/A</v>
      </c>
      <c r="P6870" s="282">
        <f>++Tabla4[[#This Row],[Precio Descontado]]*Tabla4[[#This Row],[Cantidad]]</f>
        <v>4243.9001591999995</v>
      </c>
      <c r="Q6870" s="282" t="e">
        <f>(INDEX(Tabla6[#All],MATCH(Tabla4[[#This Row],[Producto]],Tabla6[[#All],[PRODUCTO]],0),MATCH(Tabla4[[#This Row],[Mes]],Tabla6[#Headers],0)))</f>
        <v>#N/A</v>
      </c>
      <c r="R6870" s="282" t="e">
        <f>++Tabla4[[#This Row],[Precio Unitario Neto]]-Tabla4[[#This Row],[20.85%]]-Tabla4[[#This Row],[Costo]]</f>
        <v>#N/A</v>
      </c>
      <c r="S6870" s="282" t="e">
        <f>++Tabla4[[#This Row],[U. Bruta Uni]]*Tabla4[[#This Row],[Cantidad]]</f>
        <v>#N/A</v>
      </c>
      <c r="T6870" s="369" t="str">
        <f>VLOOKUP(Tabla4[[#This Row],[Producto]],Tabla6[#All],14,FALSE)</f>
        <v>Termico Solar</v>
      </c>
      <c r="U6870" s="284" t="e">
        <f>(IF(Tabla4[[#This Row],[Familia]]="termico solar",Tabla4[[#This Row],[Utilidad Total]]*6%,Tabla4[[#This Row],[Utilidad Total]]*11.5%))/Tabla4[[#This Row],[Total]]</f>
        <v>#N/A</v>
      </c>
      <c r="V6870" s="282" t="e">
        <f>+Tabla4[[#This Row],[Comisión Calculada]]*Tabla4[[#This Row],[Total]]</f>
        <v>#N/A</v>
      </c>
    </row>
    <row r="6871" spans="1:22" hidden="1" x14ac:dyDescent="0.25">
      <c r="A6871" s="100">
        <v>45976</v>
      </c>
      <c r="B6871" t="str">
        <f t="shared" si="480"/>
        <v>November</v>
      </c>
      <c r="C6871" s="46" t="s">
        <v>280</v>
      </c>
      <c r="F6871" s="366" t="s">
        <v>3462</v>
      </c>
      <c r="G6871" s="46" t="s">
        <v>18</v>
      </c>
      <c r="H6871" s="46">
        <v>1</v>
      </c>
      <c r="I6871" s="51">
        <v>5367.65</v>
      </c>
      <c r="J6871" s="281">
        <f>++Tabla4[[#This Row],[Precio Bruto]]*1.16</f>
        <v>6226.4739999999993</v>
      </c>
      <c r="K6871" s="281">
        <f>+Tabla4[[#This Row],[Precio Unitario Neto]]*Tabla4[[#Headers],[20.85%]]</f>
        <v>1298.2198289999999</v>
      </c>
      <c r="L6871" s="282">
        <f>++Tabla4[[#This Row],[Precio Unitario Neto]]-Tabla4[[#This Row],[20.85%]]</f>
        <v>4928.2541709999996</v>
      </c>
      <c r="M6871" s="282" t="e">
        <f>(INDEX(Tabla6[#All],MATCH(Tabla4[[#This Row],[Producto]],Tabla6[[#All],[PRODUCTO]],0),MATCH(Tabla4[[#This Row],[Mes]],Tabla6[#Headers],0)))*(1+Catalogos!$L$2)</f>
        <v>#N/A</v>
      </c>
      <c r="N6871" s="283" t="e">
        <f>+(Tabla4[[#This Row],[Precio Descontado]]-Tabla4[[#This Row],[Precio Base]])*Tabla4[[#This Row],[Cantidad]]</f>
        <v>#N/A</v>
      </c>
      <c r="O6871" s="284" t="e">
        <f>++Tabla4[[#This Row],[Utilidad Total]]/Tabla4[[#This Row],[Total]]</f>
        <v>#N/A</v>
      </c>
      <c r="P6871" s="282">
        <f>++Tabla4[[#This Row],[Precio Descontado]]*Tabla4[[#This Row],[Cantidad]]</f>
        <v>4928.2541709999996</v>
      </c>
      <c r="Q6871" s="282" t="e">
        <f>(INDEX(Tabla6[#All],MATCH(Tabla4[[#This Row],[Producto]],Tabla6[[#All],[PRODUCTO]],0),MATCH(Tabla4[[#This Row],[Mes]],Tabla6[#Headers],0)))</f>
        <v>#N/A</v>
      </c>
      <c r="R6871" s="282" t="e">
        <f>++Tabla4[[#This Row],[Precio Unitario Neto]]-Tabla4[[#This Row],[20.85%]]-Tabla4[[#This Row],[Costo]]</f>
        <v>#N/A</v>
      </c>
      <c r="S6871" s="282" t="e">
        <f>++Tabla4[[#This Row],[U. Bruta Uni]]*Tabla4[[#This Row],[Cantidad]]</f>
        <v>#N/A</v>
      </c>
      <c r="T6871" s="369" t="str">
        <f>VLOOKUP(Tabla4[[#This Row],[Producto]],Tabla6[#All],14,FALSE)</f>
        <v>Termico Solar</v>
      </c>
      <c r="U6871" s="284" t="e">
        <f>(IF(Tabla4[[#This Row],[Familia]]="termico solar",Tabla4[[#This Row],[Utilidad Total]]*6%,Tabla4[[#This Row],[Utilidad Total]]*11.5%))/Tabla4[[#This Row],[Total]]</f>
        <v>#N/A</v>
      </c>
      <c r="V6871" s="282" t="e">
        <f>+Tabla4[[#This Row],[Comisión Calculada]]*Tabla4[[#This Row],[Total]]</f>
        <v>#N/A</v>
      </c>
    </row>
    <row r="6872" spans="1:22" hidden="1" x14ac:dyDescent="0.25">
      <c r="A6872" s="100">
        <v>45976</v>
      </c>
      <c r="B6872" t="str">
        <f t="shared" si="480"/>
        <v>November</v>
      </c>
      <c r="C6872" s="46" t="s">
        <v>280</v>
      </c>
      <c r="F6872" s="366" t="s">
        <v>3462</v>
      </c>
      <c r="G6872" s="46" t="s">
        <v>566</v>
      </c>
      <c r="H6872" s="46">
        <v>1</v>
      </c>
      <c r="I6872" s="51">
        <v>2109.4499999999998</v>
      </c>
      <c r="J6872" s="281">
        <f>++Tabla4[[#This Row],[Precio Bruto]]*1.16</f>
        <v>2446.9619999999995</v>
      </c>
      <c r="K6872" s="281">
        <f>+Tabla4[[#This Row],[Precio Unitario Neto]]*Tabla4[[#Headers],[20.85%]]</f>
        <v>510.19157699999988</v>
      </c>
      <c r="L6872" s="282">
        <f>++Tabla4[[#This Row],[Precio Unitario Neto]]-Tabla4[[#This Row],[20.85%]]</f>
        <v>1936.7704229999997</v>
      </c>
      <c r="M6872" s="282" t="e">
        <f>(INDEX(Tabla6[#All],MATCH(Tabla4[[#This Row],[Producto]],Tabla6[[#All],[PRODUCTO]],0),MATCH(Tabla4[[#This Row],[Mes]],Tabla6[#Headers],0)))*(1+Catalogos!$L$2)</f>
        <v>#N/A</v>
      </c>
      <c r="N6872" s="283" t="e">
        <f>+(Tabla4[[#This Row],[Precio Descontado]]-Tabla4[[#This Row],[Precio Base]])*Tabla4[[#This Row],[Cantidad]]</f>
        <v>#N/A</v>
      </c>
      <c r="O6872" s="284" t="e">
        <f>++Tabla4[[#This Row],[Utilidad Total]]/Tabla4[[#This Row],[Total]]</f>
        <v>#N/A</v>
      </c>
      <c r="P6872" s="282">
        <f>++Tabla4[[#This Row],[Precio Descontado]]*Tabla4[[#This Row],[Cantidad]]</f>
        <v>1936.7704229999997</v>
      </c>
      <c r="Q6872" s="282" t="e">
        <f>(INDEX(Tabla6[#All],MATCH(Tabla4[[#This Row],[Producto]],Tabla6[[#All],[PRODUCTO]],0),MATCH(Tabla4[[#This Row],[Mes]],Tabla6[#Headers],0)))</f>
        <v>#N/A</v>
      </c>
      <c r="R6872" s="282" t="e">
        <f>++Tabla4[[#This Row],[Precio Unitario Neto]]-Tabla4[[#This Row],[20.85%]]-Tabla4[[#This Row],[Costo]]</f>
        <v>#N/A</v>
      </c>
      <c r="S6872" s="282" t="e">
        <f>++Tabla4[[#This Row],[U. Bruta Uni]]*Tabla4[[#This Row],[Cantidad]]</f>
        <v>#N/A</v>
      </c>
      <c r="T6872" s="369" t="str">
        <f>VLOOKUP(Tabla4[[#This Row],[Producto]],Tabla6[#All],14,FALSE)</f>
        <v>Termico Solar</v>
      </c>
      <c r="U6872" s="284" t="e">
        <f>(IF(Tabla4[[#This Row],[Familia]]="termico solar",Tabla4[[#This Row],[Utilidad Total]]*6%,Tabla4[[#This Row],[Utilidad Total]]*11.5%))/Tabla4[[#This Row],[Total]]</f>
        <v>#N/A</v>
      </c>
      <c r="V6872" s="282" t="e">
        <f>+Tabla4[[#This Row],[Comisión Calculada]]*Tabla4[[#This Row],[Total]]</f>
        <v>#N/A</v>
      </c>
    </row>
    <row r="6873" spans="1:22" hidden="1" x14ac:dyDescent="0.25">
      <c r="A6873" s="100">
        <v>45976</v>
      </c>
      <c r="B6873" t="str">
        <f t="shared" ref="B6873:B6874" si="481">TEXT(A6873, "mmmm")</f>
        <v>November</v>
      </c>
      <c r="C6873" s="46" t="s">
        <v>280</v>
      </c>
      <c r="F6873" s="366" t="s">
        <v>3463</v>
      </c>
      <c r="G6873" s="46" t="s">
        <v>18</v>
      </c>
      <c r="H6873" s="46">
        <v>1</v>
      </c>
      <c r="I6873" s="51">
        <v>5367.65</v>
      </c>
      <c r="J6873" s="281">
        <f>++Tabla4[[#This Row],[Precio Bruto]]*1.16</f>
        <v>6226.4739999999993</v>
      </c>
      <c r="K6873" s="281">
        <f>+Tabla4[[#This Row],[Precio Unitario Neto]]*Tabla4[[#Headers],[20.85%]]</f>
        <v>1298.2198289999999</v>
      </c>
      <c r="L6873" s="282">
        <f>++Tabla4[[#This Row],[Precio Unitario Neto]]-Tabla4[[#This Row],[20.85%]]</f>
        <v>4928.2541709999996</v>
      </c>
      <c r="M6873" s="282" t="e">
        <f>(INDEX(Tabla6[#All],MATCH(Tabla4[[#This Row],[Producto]],Tabla6[[#All],[PRODUCTO]],0),MATCH(Tabla4[[#This Row],[Mes]],Tabla6[#Headers],0)))*(1+Catalogos!$L$2)</f>
        <v>#N/A</v>
      </c>
      <c r="N6873" s="283" t="e">
        <f>+(Tabla4[[#This Row],[Precio Descontado]]-Tabla4[[#This Row],[Precio Base]])*Tabla4[[#This Row],[Cantidad]]</f>
        <v>#N/A</v>
      </c>
      <c r="O6873" s="284" t="e">
        <f>++Tabla4[[#This Row],[Utilidad Total]]/Tabla4[[#This Row],[Total]]</f>
        <v>#N/A</v>
      </c>
      <c r="P6873" s="282">
        <f>++Tabla4[[#This Row],[Precio Descontado]]*Tabla4[[#This Row],[Cantidad]]</f>
        <v>4928.2541709999996</v>
      </c>
      <c r="Q6873" s="282" t="e">
        <f>(INDEX(Tabla6[#All],MATCH(Tabla4[[#This Row],[Producto]],Tabla6[[#All],[PRODUCTO]],0),MATCH(Tabla4[[#This Row],[Mes]],Tabla6[#Headers],0)))</f>
        <v>#N/A</v>
      </c>
      <c r="R6873" s="282" t="e">
        <f>++Tabla4[[#This Row],[Precio Unitario Neto]]-Tabla4[[#This Row],[20.85%]]-Tabla4[[#This Row],[Costo]]</f>
        <v>#N/A</v>
      </c>
      <c r="S6873" s="282" t="e">
        <f>++Tabla4[[#This Row],[U. Bruta Uni]]*Tabla4[[#This Row],[Cantidad]]</f>
        <v>#N/A</v>
      </c>
      <c r="T6873" s="369" t="str">
        <f>VLOOKUP(Tabla4[[#This Row],[Producto]],Tabla6[#All],14,FALSE)</f>
        <v>Termico Solar</v>
      </c>
      <c r="U6873" s="284" t="e">
        <f>(IF(Tabla4[[#This Row],[Familia]]="termico solar",Tabla4[[#This Row],[Utilidad Total]]*6%,Tabla4[[#This Row],[Utilidad Total]]*11.5%))/Tabla4[[#This Row],[Total]]</f>
        <v>#N/A</v>
      </c>
      <c r="V6873" s="282" t="e">
        <f>+Tabla4[[#This Row],[Comisión Calculada]]*Tabla4[[#This Row],[Total]]</f>
        <v>#N/A</v>
      </c>
    </row>
    <row r="6874" spans="1:22" hidden="1" x14ac:dyDescent="0.25">
      <c r="A6874" s="100">
        <v>45976</v>
      </c>
      <c r="B6874" t="str">
        <f t="shared" si="481"/>
        <v>November</v>
      </c>
      <c r="C6874" s="46" t="s">
        <v>280</v>
      </c>
      <c r="F6874" s="366" t="s">
        <v>3463</v>
      </c>
      <c r="G6874" s="46" t="s">
        <v>208</v>
      </c>
      <c r="H6874" s="46">
        <v>2</v>
      </c>
      <c r="I6874" s="51">
        <v>189.75</v>
      </c>
      <c r="J6874" s="281">
        <f>++Tabla4[[#This Row],[Precio Bruto]]*1.16</f>
        <v>220.10999999999999</v>
      </c>
      <c r="K6874" s="281">
        <f>+Tabla4[[#This Row],[Precio Unitario Neto]]*Tabla4[[#Headers],[20.85%]]</f>
        <v>45.892934999999994</v>
      </c>
      <c r="L6874" s="282">
        <f>++Tabla4[[#This Row],[Precio Unitario Neto]]-Tabla4[[#This Row],[20.85%]]</f>
        <v>174.21706499999999</v>
      </c>
      <c r="M6874" s="282" t="e">
        <f>(INDEX(Tabla6[#All],MATCH(Tabla4[[#This Row],[Producto]],Tabla6[[#All],[PRODUCTO]],0),MATCH(Tabla4[[#This Row],[Mes]],Tabla6[#Headers],0)))*(1+Catalogos!$L$2)</f>
        <v>#N/A</v>
      </c>
      <c r="N6874" s="283" t="e">
        <f>+(Tabla4[[#This Row],[Precio Descontado]]-Tabla4[[#This Row],[Precio Base]])*Tabla4[[#This Row],[Cantidad]]</f>
        <v>#N/A</v>
      </c>
      <c r="O6874" s="284" t="e">
        <f>++Tabla4[[#This Row],[Utilidad Total]]/Tabla4[[#This Row],[Total]]</f>
        <v>#N/A</v>
      </c>
      <c r="P6874" s="282">
        <f>++Tabla4[[#This Row],[Precio Descontado]]*Tabla4[[#This Row],[Cantidad]]</f>
        <v>348.43412999999998</v>
      </c>
      <c r="Q6874" s="282" t="e">
        <f>(INDEX(Tabla6[#All],MATCH(Tabla4[[#This Row],[Producto]],Tabla6[[#All],[PRODUCTO]],0),MATCH(Tabla4[[#This Row],[Mes]],Tabla6[#Headers],0)))</f>
        <v>#N/A</v>
      </c>
      <c r="R6874" s="282" t="e">
        <f>++Tabla4[[#This Row],[Precio Unitario Neto]]-Tabla4[[#This Row],[20.85%]]-Tabla4[[#This Row],[Costo]]</f>
        <v>#N/A</v>
      </c>
      <c r="S6874" s="282" t="e">
        <f>++Tabla4[[#This Row],[U. Bruta Uni]]*Tabla4[[#This Row],[Cantidad]]</f>
        <v>#N/A</v>
      </c>
      <c r="T6874" s="369" t="str">
        <f>VLOOKUP(Tabla4[[#This Row],[Producto]],Tabla6[#All],14,FALSE)</f>
        <v>Termico Solar</v>
      </c>
      <c r="U6874" s="284" t="e">
        <f>(IF(Tabla4[[#This Row],[Familia]]="termico solar",Tabla4[[#This Row],[Utilidad Total]]*6%,Tabla4[[#This Row],[Utilidad Total]]*11.5%))/Tabla4[[#This Row],[Total]]</f>
        <v>#N/A</v>
      </c>
      <c r="V6874" s="282" t="e">
        <f>+Tabla4[[#This Row],[Comisión Calculada]]*Tabla4[[#This Row],[Total]]</f>
        <v>#N/A</v>
      </c>
    </row>
    <row r="6875" spans="1:22" hidden="1" x14ac:dyDescent="0.25">
      <c r="A6875" s="100">
        <v>45976</v>
      </c>
      <c r="B6875" t="str">
        <f t="shared" ref="B6875:B6876" si="482">TEXT(A6875, "mmmm")</f>
        <v>November</v>
      </c>
      <c r="C6875" s="46" t="s">
        <v>280</v>
      </c>
      <c r="F6875" s="366" t="s">
        <v>3464</v>
      </c>
      <c r="G6875" s="46" t="s">
        <v>18</v>
      </c>
      <c r="H6875" s="46">
        <v>3</v>
      </c>
      <c r="I6875" s="51">
        <v>5367.6500000000005</v>
      </c>
      <c r="J6875" s="281">
        <f>++Tabla4[[#This Row],[Precio Bruto]]*1.16</f>
        <v>6226.4740000000002</v>
      </c>
      <c r="K6875" s="281">
        <f>+Tabla4[[#This Row],[Precio Unitario Neto]]*Tabla4[[#Headers],[20.85%]]</f>
        <v>1298.2198289999999</v>
      </c>
      <c r="L6875" s="282">
        <f>++Tabla4[[#This Row],[Precio Unitario Neto]]-Tabla4[[#This Row],[20.85%]]</f>
        <v>4928.2541710000005</v>
      </c>
      <c r="M6875" s="282" t="e">
        <f>(INDEX(Tabla6[#All],MATCH(Tabla4[[#This Row],[Producto]],Tabla6[[#All],[PRODUCTO]],0),MATCH(Tabla4[[#This Row],[Mes]],Tabla6[#Headers],0)))*(1+Catalogos!$L$2)</f>
        <v>#N/A</v>
      </c>
      <c r="N6875" s="283" t="e">
        <f>+(Tabla4[[#This Row],[Precio Descontado]]-Tabla4[[#This Row],[Precio Base]])*Tabla4[[#This Row],[Cantidad]]</f>
        <v>#N/A</v>
      </c>
      <c r="O6875" s="284" t="e">
        <f>++Tabla4[[#This Row],[Utilidad Total]]/Tabla4[[#This Row],[Total]]</f>
        <v>#N/A</v>
      </c>
      <c r="P6875" s="282">
        <f>++Tabla4[[#This Row],[Precio Descontado]]*Tabla4[[#This Row],[Cantidad]]</f>
        <v>14784.762513000001</v>
      </c>
      <c r="Q6875" s="282" t="e">
        <f>(INDEX(Tabla6[#All],MATCH(Tabla4[[#This Row],[Producto]],Tabla6[[#All],[PRODUCTO]],0),MATCH(Tabla4[[#This Row],[Mes]],Tabla6[#Headers],0)))</f>
        <v>#N/A</v>
      </c>
      <c r="R6875" s="282" t="e">
        <f>++Tabla4[[#This Row],[Precio Unitario Neto]]-Tabla4[[#This Row],[20.85%]]-Tabla4[[#This Row],[Costo]]</f>
        <v>#N/A</v>
      </c>
      <c r="S6875" s="282" t="e">
        <f>++Tabla4[[#This Row],[U. Bruta Uni]]*Tabla4[[#This Row],[Cantidad]]</f>
        <v>#N/A</v>
      </c>
      <c r="T6875" s="369" t="str">
        <f>VLOOKUP(Tabla4[[#This Row],[Producto]],Tabla6[#All],14,FALSE)</f>
        <v>Termico Solar</v>
      </c>
      <c r="U6875" s="284" t="e">
        <f>(IF(Tabla4[[#This Row],[Familia]]="termico solar",Tabla4[[#This Row],[Utilidad Total]]*6%,Tabla4[[#This Row],[Utilidad Total]]*11.5%))/Tabla4[[#This Row],[Total]]</f>
        <v>#N/A</v>
      </c>
      <c r="V6875" s="282" t="e">
        <f>+Tabla4[[#This Row],[Comisión Calculada]]*Tabla4[[#This Row],[Total]]</f>
        <v>#N/A</v>
      </c>
    </row>
    <row r="6876" spans="1:22" hidden="1" x14ac:dyDescent="0.25">
      <c r="A6876" s="100">
        <v>45976</v>
      </c>
      <c r="B6876" t="str">
        <f t="shared" si="482"/>
        <v>November</v>
      </c>
      <c r="C6876" s="46" t="s">
        <v>280</v>
      </c>
      <c r="F6876" s="366" t="s">
        <v>3464</v>
      </c>
      <c r="G6876" s="46" t="s">
        <v>566</v>
      </c>
      <c r="H6876" s="46">
        <v>1</v>
      </c>
      <c r="I6876" s="51">
        <v>2109.4499999999998</v>
      </c>
      <c r="J6876" s="281">
        <f>++Tabla4[[#This Row],[Precio Bruto]]*1.16</f>
        <v>2446.9619999999995</v>
      </c>
      <c r="K6876" s="281">
        <f>+Tabla4[[#This Row],[Precio Unitario Neto]]*Tabla4[[#Headers],[20.85%]]</f>
        <v>510.19157699999988</v>
      </c>
      <c r="L6876" s="282">
        <f>++Tabla4[[#This Row],[Precio Unitario Neto]]-Tabla4[[#This Row],[20.85%]]</f>
        <v>1936.7704229999997</v>
      </c>
      <c r="M6876" s="282" t="e">
        <f>(INDEX(Tabla6[#All],MATCH(Tabla4[[#This Row],[Producto]],Tabla6[[#All],[PRODUCTO]],0),MATCH(Tabla4[[#This Row],[Mes]],Tabla6[#Headers],0)))*(1+Catalogos!$L$2)</f>
        <v>#N/A</v>
      </c>
      <c r="N6876" s="283" t="e">
        <f>+(Tabla4[[#This Row],[Precio Descontado]]-Tabla4[[#This Row],[Precio Base]])*Tabla4[[#This Row],[Cantidad]]</f>
        <v>#N/A</v>
      </c>
      <c r="O6876" s="284" t="e">
        <f>++Tabla4[[#This Row],[Utilidad Total]]/Tabla4[[#This Row],[Total]]</f>
        <v>#N/A</v>
      </c>
      <c r="P6876" s="282">
        <f>++Tabla4[[#This Row],[Precio Descontado]]*Tabla4[[#This Row],[Cantidad]]</f>
        <v>1936.7704229999997</v>
      </c>
      <c r="Q6876" s="282" t="e">
        <f>(INDEX(Tabla6[#All],MATCH(Tabla4[[#This Row],[Producto]],Tabla6[[#All],[PRODUCTO]],0),MATCH(Tabla4[[#This Row],[Mes]],Tabla6[#Headers],0)))</f>
        <v>#N/A</v>
      </c>
      <c r="R6876" s="282" t="e">
        <f>++Tabla4[[#This Row],[Precio Unitario Neto]]-Tabla4[[#This Row],[20.85%]]-Tabla4[[#This Row],[Costo]]</f>
        <v>#N/A</v>
      </c>
      <c r="S6876" s="282" t="e">
        <f>++Tabla4[[#This Row],[U. Bruta Uni]]*Tabla4[[#This Row],[Cantidad]]</f>
        <v>#N/A</v>
      </c>
      <c r="T6876" s="369" t="str">
        <f>VLOOKUP(Tabla4[[#This Row],[Producto]],Tabla6[#All],14,FALSE)</f>
        <v>Termico Solar</v>
      </c>
      <c r="U6876" s="284" t="e">
        <f>(IF(Tabla4[[#This Row],[Familia]]="termico solar",Tabla4[[#This Row],[Utilidad Total]]*6%,Tabla4[[#This Row],[Utilidad Total]]*11.5%))/Tabla4[[#This Row],[Total]]</f>
        <v>#N/A</v>
      </c>
      <c r="V6876" s="282" t="e">
        <f>+Tabla4[[#This Row],[Comisión Calculada]]*Tabla4[[#This Row],[Total]]</f>
        <v>#N/A</v>
      </c>
    </row>
    <row r="6877" spans="1:22" hidden="1" x14ac:dyDescent="0.25">
      <c r="A6877" s="100">
        <v>45976</v>
      </c>
      <c r="B6877" t="str">
        <f t="shared" ref="B6877:B6880" si="483">TEXT(A6877, "mmmm")</f>
        <v>November</v>
      </c>
      <c r="C6877" s="46" t="s">
        <v>280</v>
      </c>
      <c r="F6877" s="366" t="s">
        <v>3465</v>
      </c>
      <c r="G6877" s="46" t="s">
        <v>17</v>
      </c>
      <c r="H6877" s="46">
        <v>2</v>
      </c>
      <c r="I6877" s="51">
        <v>4622.28</v>
      </c>
      <c r="J6877" s="281">
        <f>++Tabla4[[#This Row],[Precio Bruto]]*1.16</f>
        <v>5361.8447999999989</v>
      </c>
      <c r="K6877" s="281">
        <f>+Tabla4[[#This Row],[Precio Unitario Neto]]*Tabla4[[#Headers],[20.85%]]</f>
        <v>1117.9446407999997</v>
      </c>
      <c r="L6877" s="282">
        <f>++Tabla4[[#This Row],[Precio Unitario Neto]]-Tabla4[[#This Row],[20.85%]]</f>
        <v>4243.9001591999995</v>
      </c>
      <c r="M6877" s="282" t="e">
        <f>(INDEX(Tabla6[#All],MATCH(Tabla4[[#This Row],[Producto]],Tabla6[[#All],[PRODUCTO]],0),MATCH(Tabla4[[#This Row],[Mes]],Tabla6[#Headers],0)))*(1+Catalogos!$L$2)</f>
        <v>#N/A</v>
      </c>
      <c r="N6877" s="283" t="e">
        <f>+(Tabla4[[#This Row],[Precio Descontado]]-Tabla4[[#This Row],[Precio Base]])*Tabla4[[#This Row],[Cantidad]]</f>
        <v>#N/A</v>
      </c>
      <c r="O6877" s="284" t="e">
        <f>++Tabla4[[#This Row],[Utilidad Total]]/Tabla4[[#This Row],[Total]]</f>
        <v>#N/A</v>
      </c>
      <c r="P6877" s="282">
        <f>++Tabla4[[#This Row],[Precio Descontado]]*Tabla4[[#This Row],[Cantidad]]</f>
        <v>8487.800318399999</v>
      </c>
      <c r="Q6877" s="282" t="e">
        <f>(INDEX(Tabla6[#All],MATCH(Tabla4[[#This Row],[Producto]],Tabla6[[#All],[PRODUCTO]],0),MATCH(Tabla4[[#This Row],[Mes]],Tabla6[#Headers],0)))</f>
        <v>#N/A</v>
      </c>
      <c r="R6877" s="282" t="e">
        <f>++Tabla4[[#This Row],[Precio Unitario Neto]]-Tabla4[[#This Row],[20.85%]]-Tabla4[[#This Row],[Costo]]</f>
        <v>#N/A</v>
      </c>
      <c r="S6877" s="282" t="e">
        <f>++Tabla4[[#This Row],[U. Bruta Uni]]*Tabla4[[#This Row],[Cantidad]]</f>
        <v>#N/A</v>
      </c>
      <c r="T6877" s="369" t="str">
        <f>VLOOKUP(Tabla4[[#This Row],[Producto]],Tabla6[#All],14,FALSE)</f>
        <v>Termico Solar</v>
      </c>
      <c r="U6877" s="284" t="e">
        <f>(IF(Tabla4[[#This Row],[Familia]]="termico solar",Tabla4[[#This Row],[Utilidad Total]]*6%,Tabla4[[#This Row],[Utilidad Total]]*11.5%))/Tabla4[[#This Row],[Total]]</f>
        <v>#N/A</v>
      </c>
      <c r="V6877" s="282" t="e">
        <f>+Tabla4[[#This Row],[Comisión Calculada]]*Tabla4[[#This Row],[Total]]</f>
        <v>#N/A</v>
      </c>
    </row>
    <row r="6878" spans="1:22" hidden="1" x14ac:dyDescent="0.25">
      <c r="A6878" s="100">
        <v>45976</v>
      </c>
      <c r="B6878" t="str">
        <f t="shared" si="483"/>
        <v>November</v>
      </c>
      <c r="C6878" s="46" t="s">
        <v>280</v>
      </c>
      <c r="F6878" s="366" t="s">
        <v>3465</v>
      </c>
      <c r="G6878" s="46" t="s">
        <v>18</v>
      </c>
      <c r="H6878" s="46">
        <v>1</v>
      </c>
      <c r="I6878" s="51">
        <v>5367.65</v>
      </c>
      <c r="J6878" s="281">
        <f>++Tabla4[[#This Row],[Precio Bruto]]*1.16</f>
        <v>6226.4739999999993</v>
      </c>
      <c r="K6878" s="281">
        <f>+Tabla4[[#This Row],[Precio Unitario Neto]]*Tabla4[[#Headers],[20.85%]]</f>
        <v>1298.2198289999999</v>
      </c>
      <c r="L6878" s="282">
        <f>++Tabla4[[#This Row],[Precio Unitario Neto]]-Tabla4[[#This Row],[20.85%]]</f>
        <v>4928.2541709999996</v>
      </c>
      <c r="M6878" s="282" t="e">
        <f>(INDEX(Tabla6[#All],MATCH(Tabla4[[#This Row],[Producto]],Tabla6[[#All],[PRODUCTO]],0),MATCH(Tabla4[[#This Row],[Mes]],Tabla6[#Headers],0)))*(1+Catalogos!$L$2)</f>
        <v>#N/A</v>
      </c>
      <c r="N6878" s="283" t="e">
        <f>+(Tabla4[[#This Row],[Precio Descontado]]-Tabla4[[#This Row],[Precio Base]])*Tabla4[[#This Row],[Cantidad]]</f>
        <v>#N/A</v>
      </c>
      <c r="O6878" s="284" t="e">
        <f>++Tabla4[[#This Row],[Utilidad Total]]/Tabla4[[#This Row],[Total]]</f>
        <v>#N/A</v>
      </c>
      <c r="P6878" s="282">
        <f>++Tabla4[[#This Row],[Precio Descontado]]*Tabla4[[#This Row],[Cantidad]]</f>
        <v>4928.2541709999996</v>
      </c>
      <c r="Q6878" s="282" t="e">
        <f>(INDEX(Tabla6[#All],MATCH(Tabla4[[#This Row],[Producto]],Tabla6[[#All],[PRODUCTO]],0),MATCH(Tabla4[[#This Row],[Mes]],Tabla6[#Headers],0)))</f>
        <v>#N/A</v>
      </c>
      <c r="R6878" s="282" t="e">
        <f>++Tabla4[[#This Row],[Precio Unitario Neto]]-Tabla4[[#This Row],[20.85%]]-Tabla4[[#This Row],[Costo]]</f>
        <v>#N/A</v>
      </c>
      <c r="S6878" s="282" t="e">
        <f>++Tabla4[[#This Row],[U. Bruta Uni]]*Tabla4[[#This Row],[Cantidad]]</f>
        <v>#N/A</v>
      </c>
      <c r="T6878" s="369" t="str">
        <f>VLOOKUP(Tabla4[[#This Row],[Producto]],Tabla6[#All],14,FALSE)</f>
        <v>Termico Solar</v>
      </c>
      <c r="U6878" s="284" t="e">
        <f>(IF(Tabla4[[#This Row],[Familia]]="termico solar",Tabla4[[#This Row],[Utilidad Total]]*6%,Tabla4[[#This Row],[Utilidad Total]]*11.5%))/Tabla4[[#This Row],[Total]]</f>
        <v>#N/A</v>
      </c>
      <c r="V6878" s="282" t="e">
        <f>+Tabla4[[#This Row],[Comisión Calculada]]*Tabla4[[#This Row],[Total]]</f>
        <v>#N/A</v>
      </c>
    </row>
    <row r="6879" spans="1:22" hidden="1" x14ac:dyDescent="0.25">
      <c r="A6879" s="100">
        <v>45976</v>
      </c>
      <c r="B6879" t="str">
        <f t="shared" si="483"/>
        <v>November</v>
      </c>
      <c r="C6879" s="46" t="s">
        <v>280</v>
      </c>
      <c r="F6879" s="366" t="s">
        <v>3465</v>
      </c>
      <c r="G6879" s="46" t="s">
        <v>566</v>
      </c>
      <c r="H6879" s="46">
        <v>1</v>
      </c>
      <c r="I6879" s="51">
        <v>2109.4499999999998</v>
      </c>
      <c r="J6879" s="281">
        <f>++Tabla4[[#This Row],[Precio Bruto]]*1.16</f>
        <v>2446.9619999999995</v>
      </c>
      <c r="K6879" s="281">
        <f>+Tabla4[[#This Row],[Precio Unitario Neto]]*Tabla4[[#Headers],[20.85%]]</f>
        <v>510.19157699999988</v>
      </c>
      <c r="L6879" s="282">
        <f>++Tabla4[[#This Row],[Precio Unitario Neto]]-Tabla4[[#This Row],[20.85%]]</f>
        <v>1936.7704229999997</v>
      </c>
      <c r="M6879" s="282" t="e">
        <f>(INDEX(Tabla6[#All],MATCH(Tabla4[[#This Row],[Producto]],Tabla6[[#All],[PRODUCTO]],0),MATCH(Tabla4[[#This Row],[Mes]],Tabla6[#Headers],0)))*(1+Catalogos!$L$2)</f>
        <v>#N/A</v>
      </c>
      <c r="N6879" s="283" t="e">
        <f>+(Tabla4[[#This Row],[Precio Descontado]]-Tabla4[[#This Row],[Precio Base]])*Tabla4[[#This Row],[Cantidad]]</f>
        <v>#N/A</v>
      </c>
      <c r="O6879" s="284" t="e">
        <f>++Tabla4[[#This Row],[Utilidad Total]]/Tabla4[[#This Row],[Total]]</f>
        <v>#N/A</v>
      </c>
      <c r="P6879" s="282">
        <f>++Tabla4[[#This Row],[Precio Descontado]]*Tabla4[[#This Row],[Cantidad]]</f>
        <v>1936.7704229999997</v>
      </c>
      <c r="Q6879" s="282" t="e">
        <f>(INDEX(Tabla6[#All],MATCH(Tabla4[[#This Row],[Producto]],Tabla6[[#All],[PRODUCTO]],0),MATCH(Tabla4[[#This Row],[Mes]],Tabla6[#Headers],0)))</f>
        <v>#N/A</v>
      </c>
      <c r="R6879" s="282" t="e">
        <f>++Tabla4[[#This Row],[Precio Unitario Neto]]-Tabla4[[#This Row],[20.85%]]-Tabla4[[#This Row],[Costo]]</f>
        <v>#N/A</v>
      </c>
      <c r="S6879" s="282" t="e">
        <f>++Tabla4[[#This Row],[U. Bruta Uni]]*Tabla4[[#This Row],[Cantidad]]</f>
        <v>#N/A</v>
      </c>
      <c r="T6879" s="369" t="str">
        <f>VLOOKUP(Tabla4[[#This Row],[Producto]],Tabla6[#All],14,FALSE)</f>
        <v>Termico Solar</v>
      </c>
      <c r="U6879" s="284" t="e">
        <f>(IF(Tabla4[[#This Row],[Familia]]="termico solar",Tabla4[[#This Row],[Utilidad Total]]*6%,Tabla4[[#This Row],[Utilidad Total]]*11.5%))/Tabla4[[#This Row],[Total]]</f>
        <v>#N/A</v>
      </c>
      <c r="V6879" s="282" t="e">
        <f>+Tabla4[[#This Row],[Comisión Calculada]]*Tabla4[[#This Row],[Total]]</f>
        <v>#N/A</v>
      </c>
    </row>
    <row r="6880" spans="1:22" hidden="1" x14ac:dyDescent="0.25">
      <c r="A6880" s="100">
        <v>45976</v>
      </c>
      <c r="B6880" t="str">
        <f t="shared" si="483"/>
        <v>November</v>
      </c>
      <c r="C6880" s="46" t="s">
        <v>280</v>
      </c>
      <c r="F6880" s="366" t="s">
        <v>3465</v>
      </c>
      <c r="G6880" s="46" t="s">
        <v>208</v>
      </c>
      <c r="H6880" s="46">
        <v>1</v>
      </c>
      <c r="I6880" s="51">
        <v>189.75</v>
      </c>
      <c r="J6880" s="281">
        <f>++Tabla4[[#This Row],[Precio Bruto]]*1.16</f>
        <v>220.10999999999999</v>
      </c>
      <c r="K6880" s="281">
        <f>+Tabla4[[#This Row],[Precio Unitario Neto]]*Tabla4[[#Headers],[20.85%]]</f>
        <v>45.892934999999994</v>
      </c>
      <c r="L6880" s="282">
        <f>++Tabla4[[#This Row],[Precio Unitario Neto]]-Tabla4[[#This Row],[20.85%]]</f>
        <v>174.21706499999999</v>
      </c>
      <c r="M6880" s="282" t="e">
        <f>(INDEX(Tabla6[#All],MATCH(Tabla4[[#This Row],[Producto]],Tabla6[[#All],[PRODUCTO]],0),MATCH(Tabla4[[#This Row],[Mes]],Tabla6[#Headers],0)))*(1+Catalogos!$L$2)</f>
        <v>#N/A</v>
      </c>
      <c r="N6880" s="283" t="e">
        <f>+(Tabla4[[#This Row],[Precio Descontado]]-Tabla4[[#This Row],[Precio Base]])*Tabla4[[#This Row],[Cantidad]]</f>
        <v>#N/A</v>
      </c>
      <c r="O6880" s="284" t="e">
        <f>++Tabla4[[#This Row],[Utilidad Total]]/Tabla4[[#This Row],[Total]]</f>
        <v>#N/A</v>
      </c>
      <c r="P6880" s="282">
        <f>++Tabla4[[#This Row],[Precio Descontado]]*Tabla4[[#This Row],[Cantidad]]</f>
        <v>174.21706499999999</v>
      </c>
      <c r="Q6880" s="282" t="e">
        <f>(INDEX(Tabla6[#All],MATCH(Tabla4[[#This Row],[Producto]],Tabla6[[#All],[PRODUCTO]],0),MATCH(Tabla4[[#This Row],[Mes]],Tabla6[#Headers],0)))</f>
        <v>#N/A</v>
      </c>
      <c r="R6880" s="282" t="e">
        <f>++Tabla4[[#This Row],[Precio Unitario Neto]]-Tabla4[[#This Row],[20.85%]]-Tabla4[[#This Row],[Costo]]</f>
        <v>#N/A</v>
      </c>
      <c r="S6880" s="282" t="e">
        <f>++Tabla4[[#This Row],[U. Bruta Uni]]*Tabla4[[#This Row],[Cantidad]]</f>
        <v>#N/A</v>
      </c>
      <c r="T6880" s="369" t="str">
        <f>VLOOKUP(Tabla4[[#This Row],[Producto]],Tabla6[#All],14,FALSE)</f>
        <v>Termico Solar</v>
      </c>
      <c r="U6880" s="284" t="e">
        <f>(IF(Tabla4[[#This Row],[Familia]]="termico solar",Tabla4[[#This Row],[Utilidad Total]]*6%,Tabla4[[#This Row],[Utilidad Total]]*11.5%))/Tabla4[[#This Row],[Total]]</f>
        <v>#N/A</v>
      </c>
      <c r="V6880" s="282" t="e">
        <f>+Tabla4[[#This Row],[Comisión Calculada]]*Tabla4[[#This Row],[Total]]</f>
        <v>#N/A</v>
      </c>
    </row>
    <row r="6881" spans="1:22" hidden="1" x14ac:dyDescent="0.25">
      <c r="A6881" s="100">
        <v>45976</v>
      </c>
      <c r="B6881" t="str">
        <f t="shared" ref="B6881:B6882" si="484">TEXT(A6881, "mmmm")</f>
        <v>November</v>
      </c>
      <c r="C6881" s="46" t="s">
        <v>280</v>
      </c>
      <c r="F6881" s="366" t="s">
        <v>3466</v>
      </c>
      <c r="G6881" s="46" t="s">
        <v>83</v>
      </c>
      <c r="H6881" s="46">
        <v>1</v>
      </c>
      <c r="I6881" s="51">
        <v>8858.76</v>
      </c>
      <c r="J6881" s="281">
        <f>++Tabla4[[#This Row],[Precio Bruto]]*1.16</f>
        <v>10276.161599999999</v>
      </c>
      <c r="K6881" s="281">
        <f>+Tabla4[[#This Row],[Precio Unitario Neto]]*Tabla4[[#Headers],[20.85%]]</f>
        <v>2142.5796935999997</v>
      </c>
      <c r="L6881" s="282">
        <f>++Tabla4[[#This Row],[Precio Unitario Neto]]-Tabla4[[#This Row],[20.85%]]</f>
        <v>8133.5819063999998</v>
      </c>
      <c r="M6881" s="282" t="e">
        <f>(INDEX(Tabla6[#All],MATCH(Tabla4[[#This Row],[Producto]],Tabla6[[#All],[PRODUCTO]],0),MATCH(Tabla4[[#This Row],[Mes]],Tabla6[#Headers],0)))*(1+Catalogos!$L$2)</f>
        <v>#N/A</v>
      </c>
      <c r="N6881" s="283" t="e">
        <f>+(Tabla4[[#This Row],[Precio Descontado]]-Tabla4[[#This Row],[Precio Base]])*Tabla4[[#This Row],[Cantidad]]</f>
        <v>#N/A</v>
      </c>
      <c r="O6881" s="284" t="e">
        <f>++Tabla4[[#This Row],[Utilidad Total]]/Tabla4[[#This Row],[Total]]</f>
        <v>#N/A</v>
      </c>
      <c r="P6881" s="282">
        <f>++Tabla4[[#This Row],[Precio Descontado]]*Tabla4[[#This Row],[Cantidad]]</f>
        <v>8133.5819063999998</v>
      </c>
      <c r="Q6881" s="282" t="e">
        <f>(INDEX(Tabla6[#All],MATCH(Tabla4[[#This Row],[Producto]],Tabla6[[#All],[PRODUCTO]],0),MATCH(Tabla4[[#This Row],[Mes]],Tabla6[#Headers],0)))</f>
        <v>#N/A</v>
      </c>
      <c r="R6881" s="282" t="e">
        <f>++Tabla4[[#This Row],[Precio Unitario Neto]]-Tabla4[[#This Row],[20.85%]]-Tabla4[[#This Row],[Costo]]</f>
        <v>#N/A</v>
      </c>
      <c r="S6881" s="282" t="e">
        <f>++Tabla4[[#This Row],[U. Bruta Uni]]*Tabla4[[#This Row],[Cantidad]]</f>
        <v>#N/A</v>
      </c>
      <c r="T6881" s="369" t="str">
        <f>VLOOKUP(Tabla4[[#This Row],[Producto]],Tabla6[#All],14,FALSE)</f>
        <v>Termico Solar</v>
      </c>
      <c r="U6881" s="284" t="e">
        <f>(IF(Tabla4[[#This Row],[Familia]]="termico solar",Tabla4[[#This Row],[Utilidad Total]]*6%,Tabla4[[#This Row],[Utilidad Total]]*11.5%))/Tabla4[[#This Row],[Total]]</f>
        <v>#N/A</v>
      </c>
      <c r="V6881" s="282" t="e">
        <f>+Tabla4[[#This Row],[Comisión Calculada]]*Tabla4[[#This Row],[Total]]</f>
        <v>#N/A</v>
      </c>
    </row>
    <row r="6882" spans="1:22" hidden="1" x14ac:dyDescent="0.25">
      <c r="A6882" s="100">
        <v>45976</v>
      </c>
      <c r="B6882" t="str">
        <f t="shared" si="484"/>
        <v>November</v>
      </c>
      <c r="C6882" s="46" t="s">
        <v>280</v>
      </c>
      <c r="F6882" s="366" t="s">
        <v>3466</v>
      </c>
      <c r="G6882" s="46" t="s">
        <v>17</v>
      </c>
      <c r="H6882" s="46">
        <v>1</v>
      </c>
      <c r="I6882" s="51">
        <v>4622.28</v>
      </c>
      <c r="J6882" s="281">
        <f>++Tabla4[[#This Row],[Precio Bruto]]*1.16</f>
        <v>5361.8447999999989</v>
      </c>
      <c r="K6882" s="281">
        <f>+Tabla4[[#This Row],[Precio Unitario Neto]]*Tabla4[[#Headers],[20.85%]]</f>
        <v>1117.9446407999997</v>
      </c>
      <c r="L6882" s="282">
        <f>++Tabla4[[#This Row],[Precio Unitario Neto]]-Tabla4[[#This Row],[20.85%]]</f>
        <v>4243.9001591999995</v>
      </c>
      <c r="M6882" s="282" t="e">
        <f>(INDEX(Tabla6[#All],MATCH(Tabla4[[#This Row],[Producto]],Tabla6[[#All],[PRODUCTO]],0),MATCH(Tabla4[[#This Row],[Mes]],Tabla6[#Headers],0)))*(1+Catalogos!$L$2)</f>
        <v>#N/A</v>
      </c>
      <c r="N6882" s="283" t="e">
        <f>+(Tabla4[[#This Row],[Precio Descontado]]-Tabla4[[#This Row],[Precio Base]])*Tabla4[[#This Row],[Cantidad]]</f>
        <v>#N/A</v>
      </c>
      <c r="O6882" s="284" t="e">
        <f>++Tabla4[[#This Row],[Utilidad Total]]/Tabla4[[#This Row],[Total]]</f>
        <v>#N/A</v>
      </c>
      <c r="P6882" s="282">
        <f>++Tabla4[[#This Row],[Precio Descontado]]*Tabla4[[#This Row],[Cantidad]]</f>
        <v>4243.9001591999995</v>
      </c>
      <c r="Q6882" s="282" t="e">
        <f>(INDEX(Tabla6[#All],MATCH(Tabla4[[#This Row],[Producto]],Tabla6[[#All],[PRODUCTO]],0),MATCH(Tabla4[[#This Row],[Mes]],Tabla6[#Headers],0)))</f>
        <v>#N/A</v>
      </c>
      <c r="R6882" s="282" t="e">
        <f>++Tabla4[[#This Row],[Precio Unitario Neto]]-Tabla4[[#This Row],[20.85%]]-Tabla4[[#This Row],[Costo]]</f>
        <v>#N/A</v>
      </c>
      <c r="S6882" s="282" t="e">
        <f>++Tabla4[[#This Row],[U. Bruta Uni]]*Tabla4[[#This Row],[Cantidad]]</f>
        <v>#N/A</v>
      </c>
      <c r="T6882" s="369" t="str">
        <f>VLOOKUP(Tabla4[[#This Row],[Producto]],Tabla6[#All],14,FALSE)</f>
        <v>Termico Solar</v>
      </c>
      <c r="U6882" s="284" t="e">
        <f>(IF(Tabla4[[#This Row],[Familia]]="termico solar",Tabla4[[#This Row],[Utilidad Total]]*6%,Tabla4[[#This Row],[Utilidad Total]]*11.5%))/Tabla4[[#This Row],[Total]]</f>
        <v>#N/A</v>
      </c>
      <c r="V6882" s="282" t="e">
        <f>+Tabla4[[#This Row],[Comisión Calculada]]*Tabla4[[#This Row],[Total]]</f>
        <v>#N/A</v>
      </c>
    </row>
    <row r="6883" spans="1:22" hidden="1" x14ac:dyDescent="0.25">
      <c r="A6883" s="100">
        <v>45976</v>
      </c>
      <c r="B6883" t="str">
        <f t="shared" ref="B6883:B6885" si="485">TEXT(A6883, "mmmm")</f>
        <v>November</v>
      </c>
      <c r="C6883" s="46" t="s">
        <v>280</v>
      </c>
      <c r="F6883" s="366" t="s">
        <v>3467</v>
      </c>
      <c r="G6883" s="46" t="s">
        <v>17</v>
      </c>
      <c r="H6883" s="46">
        <v>2</v>
      </c>
      <c r="I6883" s="51">
        <v>4622.28</v>
      </c>
      <c r="J6883" s="281">
        <f>++Tabla4[[#This Row],[Precio Bruto]]*1.16</f>
        <v>5361.8447999999989</v>
      </c>
      <c r="K6883" s="281">
        <f>+Tabla4[[#This Row],[Precio Unitario Neto]]*Tabla4[[#Headers],[20.85%]]</f>
        <v>1117.9446407999997</v>
      </c>
      <c r="L6883" s="282">
        <f>++Tabla4[[#This Row],[Precio Unitario Neto]]-Tabla4[[#This Row],[20.85%]]</f>
        <v>4243.9001591999995</v>
      </c>
      <c r="M6883" s="282" t="e">
        <f>(INDEX(Tabla6[#All],MATCH(Tabla4[[#This Row],[Producto]],Tabla6[[#All],[PRODUCTO]],0),MATCH(Tabla4[[#This Row],[Mes]],Tabla6[#Headers],0)))*(1+Catalogos!$L$2)</f>
        <v>#N/A</v>
      </c>
      <c r="N6883" s="283" t="e">
        <f>+(Tabla4[[#This Row],[Precio Descontado]]-Tabla4[[#This Row],[Precio Base]])*Tabla4[[#This Row],[Cantidad]]</f>
        <v>#N/A</v>
      </c>
      <c r="O6883" s="284" t="e">
        <f>++Tabla4[[#This Row],[Utilidad Total]]/Tabla4[[#This Row],[Total]]</f>
        <v>#N/A</v>
      </c>
      <c r="P6883" s="282">
        <f>++Tabla4[[#This Row],[Precio Descontado]]*Tabla4[[#This Row],[Cantidad]]</f>
        <v>8487.800318399999</v>
      </c>
      <c r="Q6883" s="282" t="e">
        <f>(INDEX(Tabla6[#All],MATCH(Tabla4[[#This Row],[Producto]],Tabla6[[#All],[PRODUCTO]],0),MATCH(Tabla4[[#This Row],[Mes]],Tabla6[#Headers],0)))</f>
        <v>#N/A</v>
      </c>
      <c r="R6883" s="282" t="e">
        <f>++Tabla4[[#This Row],[Precio Unitario Neto]]-Tabla4[[#This Row],[20.85%]]-Tabla4[[#This Row],[Costo]]</f>
        <v>#N/A</v>
      </c>
      <c r="S6883" s="282" t="e">
        <f>++Tabla4[[#This Row],[U. Bruta Uni]]*Tabla4[[#This Row],[Cantidad]]</f>
        <v>#N/A</v>
      </c>
      <c r="T6883" s="369" t="str">
        <f>VLOOKUP(Tabla4[[#This Row],[Producto]],Tabla6[#All],14,FALSE)</f>
        <v>Termico Solar</v>
      </c>
      <c r="U6883" s="284" t="e">
        <f>(IF(Tabla4[[#This Row],[Familia]]="termico solar",Tabla4[[#This Row],[Utilidad Total]]*6%,Tabla4[[#This Row],[Utilidad Total]]*11.5%))/Tabla4[[#This Row],[Total]]</f>
        <v>#N/A</v>
      </c>
      <c r="V6883" s="282" t="e">
        <f>+Tabla4[[#This Row],[Comisión Calculada]]*Tabla4[[#This Row],[Total]]</f>
        <v>#N/A</v>
      </c>
    </row>
    <row r="6884" spans="1:22" hidden="1" x14ac:dyDescent="0.25">
      <c r="A6884" s="100">
        <v>45976</v>
      </c>
      <c r="B6884" t="str">
        <f t="shared" si="485"/>
        <v>November</v>
      </c>
      <c r="C6884" s="46" t="s">
        <v>280</v>
      </c>
      <c r="F6884" s="366" t="s">
        <v>3467</v>
      </c>
      <c r="G6884" s="46" t="s">
        <v>18</v>
      </c>
      <c r="H6884" s="46">
        <v>2</v>
      </c>
      <c r="I6884" s="51">
        <v>5367.65</v>
      </c>
      <c r="J6884" s="281">
        <f>++Tabla4[[#This Row],[Precio Bruto]]*1.16</f>
        <v>6226.4739999999993</v>
      </c>
      <c r="K6884" s="281">
        <f>+Tabla4[[#This Row],[Precio Unitario Neto]]*Tabla4[[#Headers],[20.85%]]</f>
        <v>1298.2198289999999</v>
      </c>
      <c r="L6884" s="282">
        <f>++Tabla4[[#This Row],[Precio Unitario Neto]]-Tabla4[[#This Row],[20.85%]]</f>
        <v>4928.2541709999996</v>
      </c>
      <c r="M6884" s="282" t="e">
        <f>(INDEX(Tabla6[#All],MATCH(Tabla4[[#This Row],[Producto]],Tabla6[[#All],[PRODUCTO]],0),MATCH(Tabla4[[#This Row],[Mes]],Tabla6[#Headers],0)))*(1+Catalogos!$L$2)</f>
        <v>#N/A</v>
      </c>
      <c r="N6884" s="283" t="e">
        <f>+(Tabla4[[#This Row],[Precio Descontado]]-Tabla4[[#This Row],[Precio Base]])*Tabla4[[#This Row],[Cantidad]]</f>
        <v>#N/A</v>
      </c>
      <c r="O6884" s="284" t="e">
        <f>++Tabla4[[#This Row],[Utilidad Total]]/Tabla4[[#This Row],[Total]]</f>
        <v>#N/A</v>
      </c>
      <c r="P6884" s="282">
        <f>++Tabla4[[#This Row],[Precio Descontado]]*Tabla4[[#This Row],[Cantidad]]</f>
        <v>9856.5083419999992</v>
      </c>
      <c r="Q6884" s="282" t="e">
        <f>(INDEX(Tabla6[#All],MATCH(Tabla4[[#This Row],[Producto]],Tabla6[[#All],[PRODUCTO]],0),MATCH(Tabla4[[#This Row],[Mes]],Tabla6[#Headers],0)))</f>
        <v>#N/A</v>
      </c>
      <c r="R6884" s="282" t="e">
        <f>++Tabla4[[#This Row],[Precio Unitario Neto]]-Tabla4[[#This Row],[20.85%]]-Tabla4[[#This Row],[Costo]]</f>
        <v>#N/A</v>
      </c>
      <c r="S6884" s="282" t="e">
        <f>++Tabla4[[#This Row],[U. Bruta Uni]]*Tabla4[[#This Row],[Cantidad]]</f>
        <v>#N/A</v>
      </c>
      <c r="T6884" s="369" t="str">
        <f>VLOOKUP(Tabla4[[#This Row],[Producto]],Tabla6[#All],14,FALSE)</f>
        <v>Termico Solar</v>
      </c>
      <c r="U6884" s="284" t="e">
        <f>(IF(Tabla4[[#This Row],[Familia]]="termico solar",Tabla4[[#This Row],[Utilidad Total]]*6%,Tabla4[[#This Row],[Utilidad Total]]*11.5%))/Tabla4[[#This Row],[Total]]</f>
        <v>#N/A</v>
      </c>
      <c r="V6884" s="282" t="e">
        <f>+Tabla4[[#This Row],[Comisión Calculada]]*Tabla4[[#This Row],[Total]]</f>
        <v>#N/A</v>
      </c>
    </row>
    <row r="6885" spans="1:22" hidden="1" x14ac:dyDescent="0.25">
      <c r="A6885" s="100">
        <v>45976</v>
      </c>
      <c r="B6885" t="str">
        <f t="shared" si="485"/>
        <v>November</v>
      </c>
      <c r="C6885" s="46" t="s">
        <v>280</v>
      </c>
      <c r="F6885" s="366" t="s">
        <v>3467</v>
      </c>
      <c r="G6885" s="46" t="s">
        <v>566</v>
      </c>
      <c r="H6885" s="46">
        <v>2</v>
      </c>
      <c r="I6885" s="51">
        <v>2109.4499999999998</v>
      </c>
      <c r="J6885" s="281">
        <f>++Tabla4[[#This Row],[Precio Bruto]]*1.16</f>
        <v>2446.9619999999995</v>
      </c>
      <c r="K6885" s="281">
        <f>+Tabla4[[#This Row],[Precio Unitario Neto]]*Tabla4[[#Headers],[20.85%]]</f>
        <v>510.19157699999988</v>
      </c>
      <c r="L6885" s="282">
        <f>++Tabla4[[#This Row],[Precio Unitario Neto]]-Tabla4[[#This Row],[20.85%]]</f>
        <v>1936.7704229999997</v>
      </c>
      <c r="M6885" s="282" t="e">
        <f>(INDEX(Tabla6[#All],MATCH(Tabla4[[#This Row],[Producto]],Tabla6[[#All],[PRODUCTO]],0),MATCH(Tabla4[[#This Row],[Mes]],Tabla6[#Headers],0)))*(1+Catalogos!$L$2)</f>
        <v>#N/A</v>
      </c>
      <c r="N6885" s="283" t="e">
        <f>+(Tabla4[[#This Row],[Precio Descontado]]-Tabla4[[#This Row],[Precio Base]])*Tabla4[[#This Row],[Cantidad]]</f>
        <v>#N/A</v>
      </c>
      <c r="O6885" s="284" t="e">
        <f>++Tabla4[[#This Row],[Utilidad Total]]/Tabla4[[#This Row],[Total]]</f>
        <v>#N/A</v>
      </c>
      <c r="P6885" s="282">
        <f>++Tabla4[[#This Row],[Precio Descontado]]*Tabla4[[#This Row],[Cantidad]]</f>
        <v>3873.5408459999994</v>
      </c>
      <c r="Q6885" s="282" t="e">
        <f>(INDEX(Tabla6[#All],MATCH(Tabla4[[#This Row],[Producto]],Tabla6[[#All],[PRODUCTO]],0),MATCH(Tabla4[[#This Row],[Mes]],Tabla6[#Headers],0)))</f>
        <v>#N/A</v>
      </c>
      <c r="R6885" s="282" t="e">
        <f>++Tabla4[[#This Row],[Precio Unitario Neto]]-Tabla4[[#This Row],[20.85%]]-Tabla4[[#This Row],[Costo]]</f>
        <v>#N/A</v>
      </c>
      <c r="S6885" s="282" t="e">
        <f>++Tabla4[[#This Row],[U. Bruta Uni]]*Tabla4[[#This Row],[Cantidad]]</f>
        <v>#N/A</v>
      </c>
      <c r="T6885" s="369" t="str">
        <f>VLOOKUP(Tabla4[[#This Row],[Producto]],Tabla6[#All],14,FALSE)</f>
        <v>Termico Solar</v>
      </c>
      <c r="U6885" s="284" t="e">
        <f>(IF(Tabla4[[#This Row],[Familia]]="termico solar",Tabla4[[#This Row],[Utilidad Total]]*6%,Tabla4[[#This Row],[Utilidad Total]]*11.5%))/Tabla4[[#This Row],[Total]]</f>
        <v>#N/A</v>
      </c>
      <c r="V6885" s="282" t="e">
        <f>+Tabla4[[#This Row],[Comisión Calculada]]*Tabla4[[#This Row],[Total]]</f>
        <v>#N/A</v>
      </c>
    </row>
    <row r="6886" spans="1:22" hidden="1" x14ac:dyDescent="0.25">
      <c r="A6886" s="100">
        <v>45976</v>
      </c>
      <c r="B6886" t="str">
        <f t="shared" ref="B6886:B6890" si="486">TEXT(A6886, "mmmm")</f>
        <v>November</v>
      </c>
      <c r="C6886" s="46" t="s">
        <v>280</v>
      </c>
      <c r="F6886" s="366" t="s">
        <v>3468</v>
      </c>
      <c r="G6886" s="46" t="s">
        <v>17</v>
      </c>
      <c r="H6886" s="46">
        <v>2</v>
      </c>
      <c r="I6886" s="51">
        <v>4622.28</v>
      </c>
      <c r="J6886" s="281">
        <f>++Tabla4[[#This Row],[Precio Bruto]]*1.16</f>
        <v>5361.8447999999989</v>
      </c>
      <c r="K6886" s="281">
        <f>+Tabla4[[#This Row],[Precio Unitario Neto]]*Tabla4[[#Headers],[20.85%]]</f>
        <v>1117.9446407999997</v>
      </c>
      <c r="L6886" s="282">
        <f>++Tabla4[[#This Row],[Precio Unitario Neto]]-Tabla4[[#This Row],[20.85%]]</f>
        <v>4243.9001591999995</v>
      </c>
      <c r="M6886" s="282" t="e">
        <f>(INDEX(Tabla6[#All],MATCH(Tabla4[[#This Row],[Producto]],Tabla6[[#All],[PRODUCTO]],0),MATCH(Tabla4[[#This Row],[Mes]],Tabla6[#Headers],0)))*(1+Catalogos!$L$2)</f>
        <v>#N/A</v>
      </c>
      <c r="N6886" s="283" t="e">
        <f>+(Tabla4[[#This Row],[Precio Descontado]]-Tabla4[[#This Row],[Precio Base]])*Tabla4[[#This Row],[Cantidad]]</f>
        <v>#N/A</v>
      </c>
      <c r="O6886" s="284" t="e">
        <f>++Tabla4[[#This Row],[Utilidad Total]]/Tabla4[[#This Row],[Total]]</f>
        <v>#N/A</v>
      </c>
      <c r="P6886" s="282">
        <f>++Tabla4[[#This Row],[Precio Descontado]]*Tabla4[[#This Row],[Cantidad]]</f>
        <v>8487.800318399999</v>
      </c>
      <c r="Q6886" s="282" t="e">
        <f>(INDEX(Tabla6[#All],MATCH(Tabla4[[#This Row],[Producto]],Tabla6[[#All],[PRODUCTO]],0),MATCH(Tabla4[[#This Row],[Mes]],Tabla6[#Headers],0)))</f>
        <v>#N/A</v>
      </c>
      <c r="R6886" s="282" t="e">
        <f>++Tabla4[[#This Row],[Precio Unitario Neto]]-Tabla4[[#This Row],[20.85%]]-Tabla4[[#This Row],[Costo]]</f>
        <v>#N/A</v>
      </c>
      <c r="S6886" s="282" t="e">
        <f>++Tabla4[[#This Row],[U. Bruta Uni]]*Tabla4[[#This Row],[Cantidad]]</f>
        <v>#N/A</v>
      </c>
      <c r="T6886" s="369" t="str">
        <f>VLOOKUP(Tabla4[[#This Row],[Producto]],Tabla6[#All],14,FALSE)</f>
        <v>Termico Solar</v>
      </c>
      <c r="U6886" s="284" t="e">
        <f>(IF(Tabla4[[#This Row],[Familia]]="termico solar",Tabla4[[#This Row],[Utilidad Total]]*6%,Tabla4[[#This Row],[Utilidad Total]]*11.5%))/Tabla4[[#This Row],[Total]]</f>
        <v>#N/A</v>
      </c>
      <c r="V6886" s="282" t="e">
        <f>+Tabla4[[#This Row],[Comisión Calculada]]*Tabla4[[#This Row],[Total]]</f>
        <v>#N/A</v>
      </c>
    </row>
    <row r="6887" spans="1:22" hidden="1" x14ac:dyDescent="0.25">
      <c r="A6887" s="100">
        <v>45976</v>
      </c>
      <c r="B6887" t="str">
        <f t="shared" si="486"/>
        <v>November</v>
      </c>
      <c r="C6887" s="46" t="s">
        <v>280</v>
      </c>
      <c r="F6887" s="366" t="s">
        <v>3468</v>
      </c>
      <c r="G6887" s="46" t="s">
        <v>18</v>
      </c>
      <c r="H6887" s="46">
        <v>4</v>
      </c>
      <c r="I6887" s="51">
        <v>5367.65</v>
      </c>
      <c r="J6887" s="281">
        <f>++Tabla4[[#This Row],[Precio Bruto]]*1.16</f>
        <v>6226.4739999999993</v>
      </c>
      <c r="K6887" s="281">
        <f>+Tabla4[[#This Row],[Precio Unitario Neto]]*Tabla4[[#Headers],[20.85%]]</f>
        <v>1298.2198289999999</v>
      </c>
      <c r="L6887" s="282">
        <f>++Tabla4[[#This Row],[Precio Unitario Neto]]-Tabla4[[#This Row],[20.85%]]</f>
        <v>4928.2541709999996</v>
      </c>
      <c r="M6887" s="282" t="e">
        <f>(INDEX(Tabla6[#All],MATCH(Tabla4[[#This Row],[Producto]],Tabla6[[#All],[PRODUCTO]],0),MATCH(Tabla4[[#This Row],[Mes]],Tabla6[#Headers],0)))*(1+Catalogos!$L$2)</f>
        <v>#N/A</v>
      </c>
      <c r="N6887" s="283" t="e">
        <f>+(Tabla4[[#This Row],[Precio Descontado]]-Tabla4[[#This Row],[Precio Base]])*Tabla4[[#This Row],[Cantidad]]</f>
        <v>#N/A</v>
      </c>
      <c r="O6887" s="284" t="e">
        <f>++Tabla4[[#This Row],[Utilidad Total]]/Tabla4[[#This Row],[Total]]</f>
        <v>#N/A</v>
      </c>
      <c r="P6887" s="282">
        <f>++Tabla4[[#This Row],[Precio Descontado]]*Tabla4[[#This Row],[Cantidad]]</f>
        <v>19713.016683999998</v>
      </c>
      <c r="Q6887" s="282" t="e">
        <f>(INDEX(Tabla6[#All],MATCH(Tabla4[[#This Row],[Producto]],Tabla6[[#All],[PRODUCTO]],0),MATCH(Tabla4[[#This Row],[Mes]],Tabla6[#Headers],0)))</f>
        <v>#N/A</v>
      </c>
      <c r="R6887" s="282" t="e">
        <f>++Tabla4[[#This Row],[Precio Unitario Neto]]-Tabla4[[#This Row],[20.85%]]-Tabla4[[#This Row],[Costo]]</f>
        <v>#N/A</v>
      </c>
      <c r="S6887" s="282" t="e">
        <f>++Tabla4[[#This Row],[U. Bruta Uni]]*Tabla4[[#This Row],[Cantidad]]</f>
        <v>#N/A</v>
      </c>
      <c r="T6887" s="369" t="str">
        <f>VLOOKUP(Tabla4[[#This Row],[Producto]],Tabla6[#All],14,FALSE)</f>
        <v>Termico Solar</v>
      </c>
      <c r="U6887" s="284" t="e">
        <f>(IF(Tabla4[[#This Row],[Familia]]="termico solar",Tabla4[[#This Row],[Utilidad Total]]*6%,Tabla4[[#This Row],[Utilidad Total]]*11.5%))/Tabla4[[#This Row],[Total]]</f>
        <v>#N/A</v>
      </c>
      <c r="V6887" s="282" t="e">
        <f>+Tabla4[[#This Row],[Comisión Calculada]]*Tabla4[[#This Row],[Total]]</f>
        <v>#N/A</v>
      </c>
    </row>
    <row r="6888" spans="1:22" hidden="1" x14ac:dyDescent="0.25">
      <c r="A6888" s="100">
        <v>45976</v>
      </c>
      <c r="B6888" t="str">
        <f t="shared" si="486"/>
        <v>November</v>
      </c>
      <c r="C6888" s="46" t="s">
        <v>280</v>
      </c>
      <c r="F6888" s="366" t="s">
        <v>3468</v>
      </c>
      <c r="G6888" s="46" t="s">
        <v>19</v>
      </c>
      <c r="H6888" s="46">
        <v>2</v>
      </c>
      <c r="I6888" s="51">
        <v>6412.03</v>
      </c>
      <c r="J6888" s="281">
        <f>++Tabla4[[#This Row],[Precio Bruto]]*1.16</f>
        <v>7437.9547999999995</v>
      </c>
      <c r="K6888" s="281">
        <f>+Tabla4[[#This Row],[Precio Unitario Neto]]*Tabla4[[#Headers],[20.85%]]</f>
        <v>1550.8135757999999</v>
      </c>
      <c r="L6888" s="282">
        <f>++Tabla4[[#This Row],[Precio Unitario Neto]]-Tabla4[[#This Row],[20.85%]]</f>
        <v>5887.1412241999997</v>
      </c>
      <c r="M6888" s="282" t="e">
        <f>(INDEX(Tabla6[#All],MATCH(Tabla4[[#This Row],[Producto]],Tabla6[[#All],[PRODUCTO]],0),MATCH(Tabla4[[#This Row],[Mes]],Tabla6[#Headers],0)))*(1+Catalogos!$L$2)</f>
        <v>#N/A</v>
      </c>
      <c r="N6888" s="283" t="e">
        <f>+(Tabla4[[#This Row],[Precio Descontado]]-Tabla4[[#This Row],[Precio Base]])*Tabla4[[#This Row],[Cantidad]]</f>
        <v>#N/A</v>
      </c>
      <c r="O6888" s="284" t="e">
        <f>++Tabla4[[#This Row],[Utilidad Total]]/Tabla4[[#This Row],[Total]]</f>
        <v>#N/A</v>
      </c>
      <c r="P6888" s="282">
        <f>++Tabla4[[#This Row],[Precio Descontado]]*Tabla4[[#This Row],[Cantidad]]</f>
        <v>11774.282448399999</v>
      </c>
      <c r="Q6888" s="282" t="e">
        <f>(INDEX(Tabla6[#All],MATCH(Tabla4[[#This Row],[Producto]],Tabla6[[#All],[PRODUCTO]],0),MATCH(Tabla4[[#This Row],[Mes]],Tabla6[#Headers],0)))</f>
        <v>#N/A</v>
      </c>
      <c r="R6888" s="282" t="e">
        <f>++Tabla4[[#This Row],[Precio Unitario Neto]]-Tabla4[[#This Row],[20.85%]]-Tabla4[[#This Row],[Costo]]</f>
        <v>#N/A</v>
      </c>
      <c r="S6888" s="282" t="e">
        <f>++Tabla4[[#This Row],[U. Bruta Uni]]*Tabla4[[#This Row],[Cantidad]]</f>
        <v>#N/A</v>
      </c>
      <c r="T6888" s="369" t="str">
        <f>VLOOKUP(Tabla4[[#This Row],[Producto]],Tabla6[#All],14,FALSE)</f>
        <v>Termico Solar</v>
      </c>
      <c r="U6888" s="284" t="e">
        <f>(IF(Tabla4[[#This Row],[Familia]]="termico solar",Tabla4[[#This Row],[Utilidad Total]]*6%,Tabla4[[#This Row],[Utilidad Total]]*11.5%))/Tabla4[[#This Row],[Total]]</f>
        <v>#N/A</v>
      </c>
      <c r="V6888" s="282" t="e">
        <f>+Tabla4[[#This Row],[Comisión Calculada]]*Tabla4[[#This Row],[Total]]</f>
        <v>#N/A</v>
      </c>
    </row>
    <row r="6889" spans="1:22" hidden="1" x14ac:dyDescent="0.25">
      <c r="A6889" s="100">
        <v>45976</v>
      </c>
      <c r="B6889" t="str">
        <f t="shared" si="486"/>
        <v>November</v>
      </c>
      <c r="C6889" s="46" t="s">
        <v>280</v>
      </c>
      <c r="F6889" s="366" t="s">
        <v>3468</v>
      </c>
      <c r="G6889" s="46" t="s">
        <v>555</v>
      </c>
      <c r="H6889" s="46">
        <v>16</v>
      </c>
      <c r="I6889" s="51">
        <v>389.47</v>
      </c>
      <c r="J6889" s="281">
        <f>++Tabla4[[#This Row],[Precio Bruto]]*1.16</f>
        <v>451.78519999999997</v>
      </c>
      <c r="K6889" s="281">
        <f>+Tabla4[[#This Row],[Precio Unitario Neto]]*Tabla4[[#Headers],[20.85%]]</f>
        <v>94.197214199999991</v>
      </c>
      <c r="L6889" s="282">
        <f>++Tabla4[[#This Row],[Precio Unitario Neto]]-Tabla4[[#This Row],[20.85%]]</f>
        <v>357.58798579999996</v>
      </c>
      <c r="M6889" s="282" t="e">
        <f>(INDEX(Tabla6[#All],MATCH(Tabla4[[#This Row],[Producto]],Tabla6[[#All],[PRODUCTO]],0),MATCH(Tabla4[[#This Row],[Mes]],Tabla6[#Headers],0)))*(1+Catalogos!$L$2)</f>
        <v>#N/A</v>
      </c>
      <c r="N6889" s="283" t="e">
        <f>+(Tabla4[[#This Row],[Precio Descontado]]-Tabla4[[#This Row],[Precio Base]])*Tabla4[[#This Row],[Cantidad]]</f>
        <v>#N/A</v>
      </c>
      <c r="O6889" s="284" t="e">
        <f>++Tabla4[[#This Row],[Utilidad Total]]/Tabla4[[#This Row],[Total]]</f>
        <v>#N/A</v>
      </c>
      <c r="P6889" s="282">
        <f>++Tabla4[[#This Row],[Precio Descontado]]*Tabla4[[#This Row],[Cantidad]]</f>
        <v>5721.4077727999993</v>
      </c>
      <c r="Q6889" s="282" t="e">
        <f>(INDEX(Tabla6[#All],MATCH(Tabla4[[#This Row],[Producto]],Tabla6[[#All],[PRODUCTO]],0),MATCH(Tabla4[[#This Row],[Mes]],Tabla6[#Headers],0)))</f>
        <v>#N/A</v>
      </c>
      <c r="R6889" s="282" t="e">
        <f>++Tabla4[[#This Row],[Precio Unitario Neto]]-Tabla4[[#This Row],[20.85%]]-Tabla4[[#This Row],[Costo]]</f>
        <v>#N/A</v>
      </c>
      <c r="S6889" s="282" t="e">
        <f>++Tabla4[[#This Row],[U. Bruta Uni]]*Tabla4[[#This Row],[Cantidad]]</f>
        <v>#N/A</v>
      </c>
      <c r="T6889" s="369" t="str">
        <f>VLOOKUP(Tabla4[[#This Row],[Producto]],Tabla6[#All],14,FALSE)</f>
        <v>Termico Solar</v>
      </c>
      <c r="U6889" s="284" t="e">
        <f>(IF(Tabla4[[#This Row],[Familia]]="termico solar",Tabla4[[#This Row],[Utilidad Total]]*6%,Tabla4[[#This Row],[Utilidad Total]]*11.5%))/Tabla4[[#This Row],[Total]]</f>
        <v>#N/A</v>
      </c>
      <c r="V6889" s="282" t="e">
        <f>+Tabla4[[#This Row],[Comisión Calculada]]*Tabla4[[#This Row],[Total]]</f>
        <v>#N/A</v>
      </c>
    </row>
    <row r="6890" spans="1:22" hidden="1" x14ac:dyDescent="0.25">
      <c r="A6890" s="100">
        <v>45976</v>
      </c>
      <c r="B6890" t="str">
        <f t="shared" si="486"/>
        <v>November</v>
      </c>
      <c r="C6890" s="46" t="s">
        <v>280</v>
      </c>
      <c r="F6890" s="366" t="s">
        <v>3468</v>
      </c>
      <c r="G6890" s="46" t="s">
        <v>208</v>
      </c>
      <c r="H6890" s="46">
        <v>1</v>
      </c>
      <c r="I6890" s="51">
        <v>189.75</v>
      </c>
      <c r="J6890" s="281">
        <f>++Tabla4[[#This Row],[Precio Bruto]]*1.16</f>
        <v>220.10999999999999</v>
      </c>
      <c r="K6890" s="281">
        <f>+Tabla4[[#This Row],[Precio Unitario Neto]]*Tabla4[[#Headers],[20.85%]]</f>
        <v>45.892934999999994</v>
      </c>
      <c r="L6890" s="282">
        <f>++Tabla4[[#This Row],[Precio Unitario Neto]]-Tabla4[[#This Row],[20.85%]]</f>
        <v>174.21706499999999</v>
      </c>
      <c r="M6890" s="282" t="e">
        <f>(INDEX(Tabla6[#All],MATCH(Tabla4[[#This Row],[Producto]],Tabla6[[#All],[PRODUCTO]],0),MATCH(Tabla4[[#This Row],[Mes]],Tabla6[#Headers],0)))*(1+Catalogos!$L$2)</f>
        <v>#N/A</v>
      </c>
      <c r="N6890" s="283" t="e">
        <f>+(Tabla4[[#This Row],[Precio Descontado]]-Tabla4[[#This Row],[Precio Base]])*Tabla4[[#This Row],[Cantidad]]</f>
        <v>#N/A</v>
      </c>
      <c r="O6890" s="284" t="e">
        <f>++Tabla4[[#This Row],[Utilidad Total]]/Tabla4[[#This Row],[Total]]</f>
        <v>#N/A</v>
      </c>
      <c r="P6890" s="282">
        <f>++Tabla4[[#This Row],[Precio Descontado]]*Tabla4[[#This Row],[Cantidad]]</f>
        <v>174.21706499999999</v>
      </c>
      <c r="Q6890" s="282" t="e">
        <f>(INDEX(Tabla6[#All],MATCH(Tabla4[[#This Row],[Producto]],Tabla6[[#All],[PRODUCTO]],0),MATCH(Tabla4[[#This Row],[Mes]],Tabla6[#Headers],0)))</f>
        <v>#N/A</v>
      </c>
      <c r="R6890" s="282" t="e">
        <f>++Tabla4[[#This Row],[Precio Unitario Neto]]-Tabla4[[#This Row],[20.85%]]-Tabla4[[#This Row],[Costo]]</f>
        <v>#N/A</v>
      </c>
      <c r="S6890" s="282" t="e">
        <f>++Tabla4[[#This Row],[U. Bruta Uni]]*Tabla4[[#This Row],[Cantidad]]</f>
        <v>#N/A</v>
      </c>
      <c r="T6890" s="369" t="str">
        <f>VLOOKUP(Tabla4[[#This Row],[Producto]],Tabla6[#All],14,FALSE)</f>
        <v>Termico Solar</v>
      </c>
      <c r="U6890" s="284" t="e">
        <f>(IF(Tabla4[[#This Row],[Familia]]="termico solar",Tabla4[[#This Row],[Utilidad Total]]*6%,Tabla4[[#This Row],[Utilidad Total]]*11.5%))/Tabla4[[#This Row],[Total]]</f>
        <v>#N/A</v>
      </c>
      <c r="V6890" s="282" t="e">
        <f>+Tabla4[[#This Row],[Comisión Calculada]]*Tabla4[[#This Row],[Total]]</f>
        <v>#N/A</v>
      </c>
    </row>
    <row r="6891" spans="1:22" hidden="1" x14ac:dyDescent="0.25">
      <c r="A6891" s="100">
        <v>45976</v>
      </c>
      <c r="B6891" t="str">
        <f t="shared" ref="B6891:B6893" si="487">TEXT(A6891, "mmmm")</f>
        <v>November</v>
      </c>
      <c r="C6891" s="46" t="s">
        <v>280</v>
      </c>
      <c r="F6891" s="366" t="s">
        <v>3469</v>
      </c>
      <c r="G6891" s="46" t="s">
        <v>83</v>
      </c>
      <c r="H6891" s="46">
        <v>1</v>
      </c>
      <c r="I6891" s="51">
        <v>8858.76</v>
      </c>
      <c r="J6891" s="281">
        <f>++Tabla4[[#This Row],[Precio Bruto]]*1.16</f>
        <v>10276.161599999999</v>
      </c>
      <c r="K6891" s="281">
        <f>+Tabla4[[#This Row],[Precio Unitario Neto]]*Tabla4[[#Headers],[20.85%]]</f>
        <v>2142.5796935999997</v>
      </c>
      <c r="L6891" s="282">
        <f>++Tabla4[[#This Row],[Precio Unitario Neto]]-Tabla4[[#This Row],[20.85%]]</f>
        <v>8133.5819063999998</v>
      </c>
      <c r="M6891" s="282" t="e">
        <f>(INDEX(Tabla6[#All],MATCH(Tabla4[[#This Row],[Producto]],Tabla6[[#All],[PRODUCTO]],0),MATCH(Tabla4[[#This Row],[Mes]],Tabla6[#Headers],0)))*(1+Catalogos!$L$2)</f>
        <v>#N/A</v>
      </c>
      <c r="N6891" s="283" t="e">
        <f>+(Tabla4[[#This Row],[Precio Descontado]]-Tabla4[[#This Row],[Precio Base]])*Tabla4[[#This Row],[Cantidad]]</f>
        <v>#N/A</v>
      </c>
      <c r="O6891" s="284" t="e">
        <f>++Tabla4[[#This Row],[Utilidad Total]]/Tabla4[[#This Row],[Total]]</f>
        <v>#N/A</v>
      </c>
      <c r="P6891" s="282">
        <f>++Tabla4[[#This Row],[Precio Descontado]]*Tabla4[[#This Row],[Cantidad]]</f>
        <v>8133.5819063999998</v>
      </c>
      <c r="Q6891" s="282" t="e">
        <f>(INDEX(Tabla6[#All],MATCH(Tabla4[[#This Row],[Producto]],Tabla6[[#All],[PRODUCTO]],0),MATCH(Tabla4[[#This Row],[Mes]],Tabla6[#Headers],0)))</f>
        <v>#N/A</v>
      </c>
      <c r="R6891" s="282" t="e">
        <f>++Tabla4[[#This Row],[Precio Unitario Neto]]-Tabla4[[#This Row],[20.85%]]-Tabla4[[#This Row],[Costo]]</f>
        <v>#N/A</v>
      </c>
      <c r="S6891" s="282" t="e">
        <f>++Tabla4[[#This Row],[U. Bruta Uni]]*Tabla4[[#This Row],[Cantidad]]</f>
        <v>#N/A</v>
      </c>
      <c r="T6891" s="369" t="str">
        <f>VLOOKUP(Tabla4[[#This Row],[Producto]],Tabla6[#All],14,FALSE)</f>
        <v>Termico Solar</v>
      </c>
      <c r="U6891" s="284" t="e">
        <f>(IF(Tabla4[[#This Row],[Familia]]="termico solar",Tabla4[[#This Row],[Utilidad Total]]*6%,Tabla4[[#This Row],[Utilidad Total]]*11.5%))/Tabla4[[#This Row],[Total]]</f>
        <v>#N/A</v>
      </c>
      <c r="V6891" s="282" t="e">
        <f>+Tabla4[[#This Row],[Comisión Calculada]]*Tabla4[[#This Row],[Total]]</f>
        <v>#N/A</v>
      </c>
    </row>
    <row r="6892" spans="1:22" hidden="1" x14ac:dyDescent="0.25">
      <c r="A6892" s="100">
        <v>45976</v>
      </c>
      <c r="B6892" t="str">
        <f t="shared" si="487"/>
        <v>November</v>
      </c>
      <c r="C6892" s="46" t="s">
        <v>280</v>
      </c>
      <c r="F6892" s="366" t="s">
        <v>3469</v>
      </c>
      <c r="G6892" s="46" t="s">
        <v>18</v>
      </c>
      <c r="H6892" s="46">
        <v>1</v>
      </c>
      <c r="I6892" s="51">
        <v>5367.65</v>
      </c>
      <c r="J6892" s="281">
        <f>++Tabla4[[#This Row],[Precio Bruto]]*1.16</f>
        <v>6226.4739999999993</v>
      </c>
      <c r="K6892" s="281">
        <f>+Tabla4[[#This Row],[Precio Unitario Neto]]*Tabla4[[#Headers],[20.85%]]</f>
        <v>1298.2198289999999</v>
      </c>
      <c r="L6892" s="282">
        <f>++Tabla4[[#This Row],[Precio Unitario Neto]]-Tabla4[[#This Row],[20.85%]]</f>
        <v>4928.2541709999996</v>
      </c>
      <c r="M6892" s="282" t="e">
        <f>(INDEX(Tabla6[#All],MATCH(Tabla4[[#This Row],[Producto]],Tabla6[[#All],[PRODUCTO]],0),MATCH(Tabla4[[#This Row],[Mes]],Tabla6[#Headers],0)))*(1+Catalogos!$L$2)</f>
        <v>#N/A</v>
      </c>
      <c r="N6892" s="283" t="e">
        <f>+(Tabla4[[#This Row],[Precio Descontado]]-Tabla4[[#This Row],[Precio Base]])*Tabla4[[#This Row],[Cantidad]]</f>
        <v>#N/A</v>
      </c>
      <c r="O6892" s="284" t="e">
        <f>++Tabla4[[#This Row],[Utilidad Total]]/Tabla4[[#This Row],[Total]]</f>
        <v>#N/A</v>
      </c>
      <c r="P6892" s="282">
        <f>++Tabla4[[#This Row],[Precio Descontado]]*Tabla4[[#This Row],[Cantidad]]</f>
        <v>4928.2541709999996</v>
      </c>
      <c r="Q6892" s="282" t="e">
        <f>(INDEX(Tabla6[#All],MATCH(Tabla4[[#This Row],[Producto]],Tabla6[[#All],[PRODUCTO]],0),MATCH(Tabla4[[#This Row],[Mes]],Tabla6[#Headers],0)))</f>
        <v>#N/A</v>
      </c>
      <c r="R6892" s="282" t="e">
        <f>++Tabla4[[#This Row],[Precio Unitario Neto]]-Tabla4[[#This Row],[20.85%]]-Tabla4[[#This Row],[Costo]]</f>
        <v>#N/A</v>
      </c>
      <c r="S6892" s="282" t="e">
        <f>++Tabla4[[#This Row],[U. Bruta Uni]]*Tabla4[[#This Row],[Cantidad]]</f>
        <v>#N/A</v>
      </c>
      <c r="T6892" s="369" t="str">
        <f>VLOOKUP(Tabla4[[#This Row],[Producto]],Tabla6[#All],14,FALSE)</f>
        <v>Termico Solar</v>
      </c>
      <c r="U6892" s="284" t="e">
        <f>(IF(Tabla4[[#This Row],[Familia]]="termico solar",Tabla4[[#This Row],[Utilidad Total]]*6%,Tabla4[[#This Row],[Utilidad Total]]*11.5%))/Tabla4[[#This Row],[Total]]</f>
        <v>#N/A</v>
      </c>
      <c r="V6892" s="282" t="e">
        <f>+Tabla4[[#This Row],[Comisión Calculada]]*Tabla4[[#This Row],[Total]]</f>
        <v>#N/A</v>
      </c>
    </row>
    <row r="6893" spans="1:22" hidden="1" x14ac:dyDescent="0.25">
      <c r="A6893" s="100">
        <v>45976</v>
      </c>
      <c r="B6893" t="str">
        <f t="shared" si="487"/>
        <v>November</v>
      </c>
      <c r="C6893" s="46" t="s">
        <v>280</v>
      </c>
      <c r="F6893" s="366" t="s">
        <v>3469</v>
      </c>
      <c r="G6893" s="46" t="s">
        <v>208</v>
      </c>
      <c r="H6893" s="46">
        <v>1</v>
      </c>
      <c r="I6893" s="51">
        <v>189.75</v>
      </c>
      <c r="J6893" s="281">
        <f>++Tabla4[[#This Row],[Precio Bruto]]*1.16</f>
        <v>220.10999999999999</v>
      </c>
      <c r="K6893" s="281">
        <f>+Tabla4[[#This Row],[Precio Unitario Neto]]*Tabla4[[#Headers],[20.85%]]</f>
        <v>45.892934999999994</v>
      </c>
      <c r="L6893" s="282">
        <f>++Tabla4[[#This Row],[Precio Unitario Neto]]-Tabla4[[#This Row],[20.85%]]</f>
        <v>174.21706499999999</v>
      </c>
      <c r="M6893" s="282" t="e">
        <f>(INDEX(Tabla6[#All],MATCH(Tabla4[[#This Row],[Producto]],Tabla6[[#All],[PRODUCTO]],0),MATCH(Tabla4[[#This Row],[Mes]],Tabla6[#Headers],0)))*(1+Catalogos!$L$2)</f>
        <v>#N/A</v>
      </c>
      <c r="N6893" s="283" t="e">
        <f>+(Tabla4[[#This Row],[Precio Descontado]]-Tabla4[[#This Row],[Precio Base]])*Tabla4[[#This Row],[Cantidad]]</f>
        <v>#N/A</v>
      </c>
      <c r="O6893" s="284" t="e">
        <f>++Tabla4[[#This Row],[Utilidad Total]]/Tabla4[[#This Row],[Total]]</f>
        <v>#N/A</v>
      </c>
      <c r="P6893" s="282">
        <f>++Tabla4[[#This Row],[Precio Descontado]]*Tabla4[[#This Row],[Cantidad]]</f>
        <v>174.21706499999999</v>
      </c>
      <c r="Q6893" s="282" t="e">
        <f>(INDEX(Tabla6[#All],MATCH(Tabla4[[#This Row],[Producto]],Tabla6[[#All],[PRODUCTO]],0),MATCH(Tabla4[[#This Row],[Mes]],Tabla6[#Headers],0)))</f>
        <v>#N/A</v>
      </c>
      <c r="R6893" s="282" t="e">
        <f>++Tabla4[[#This Row],[Precio Unitario Neto]]-Tabla4[[#This Row],[20.85%]]-Tabla4[[#This Row],[Costo]]</f>
        <v>#N/A</v>
      </c>
      <c r="S6893" s="282" t="e">
        <f>++Tabla4[[#This Row],[U. Bruta Uni]]*Tabla4[[#This Row],[Cantidad]]</f>
        <v>#N/A</v>
      </c>
      <c r="T6893" s="369" t="str">
        <f>VLOOKUP(Tabla4[[#This Row],[Producto]],Tabla6[#All],14,FALSE)</f>
        <v>Termico Solar</v>
      </c>
      <c r="U6893" s="284" t="e">
        <f>(IF(Tabla4[[#This Row],[Familia]]="termico solar",Tabla4[[#This Row],[Utilidad Total]]*6%,Tabla4[[#This Row],[Utilidad Total]]*11.5%))/Tabla4[[#This Row],[Total]]</f>
        <v>#N/A</v>
      </c>
      <c r="V6893" s="282" t="e">
        <f>+Tabla4[[#This Row],[Comisión Calculada]]*Tabla4[[#This Row],[Total]]</f>
        <v>#N/A</v>
      </c>
    </row>
    <row r="6894" spans="1:22" hidden="1" x14ac:dyDescent="0.25">
      <c r="A6894" s="100">
        <v>45976</v>
      </c>
      <c r="B6894" t="str">
        <f>TEXT(A6894, "mmmm")</f>
        <v>November</v>
      </c>
      <c r="C6894" s="46" t="s">
        <v>280</v>
      </c>
      <c r="F6894" s="366" t="s">
        <v>3470</v>
      </c>
      <c r="G6894" s="46" t="s">
        <v>566</v>
      </c>
      <c r="H6894" s="46">
        <v>1</v>
      </c>
      <c r="I6894" s="51">
        <v>2109.4499999999998</v>
      </c>
      <c r="J6894" s="281">
        <f>++Tabla4[[#This Row],[Precio Bruto]]*1.16</f>
        <v>2446.9619999999995</v>
      </c>
      <c r="K6894" s="281">
        <f>+Tabla4[[#This Row],[Precio Unitario Neto]]*Tabla4[[#Headers],[20.85%]]</f>
        <v>510.19157699999988</v>
      </c>
      <c r="L6894" s="282">
        <f>++Tabla4[[#This Row],[Precio Unitario Neto]]-Tabla4[[#This Row],[20.85%]]</f>
        <v>1936.7704229999997</v>
      </c>
      <c r="M6894" s="282" t="e">
        <f>(INDEX(Tabla6[#All],MATCH(Tabla4[[#This Row],[Producto]],Tabla6[[#All],[PRODUCTO]],0),MATCH(Tabla4[[#This Row],[Mes]],Tabla6[#Headers],0)))*(1+Catalogos!$L$2)</f>
        <v>#N/A</v>
      </c>
      <c r="N6894" s="283" t="e">
        <f>+(Tabla4[[#This Row],[Precio Descontado]]-Tabla4[[#This Row],[Precio Base]])*Tabla4[[#This Row],[Cantidad]]</f>
        <v>#N/A</v>
      </c>
      <c r="O6894" s="284" t="e">
        <f>++Tabla4[[#This Row],[Utilidad Total]]/Tabla4[[#This Row],[Total]]</f>
        <v>#N/A</v>
      </c>
      <c r="P6894" s="282">
        <f>++Tabla4[[#This Row],[Precio Descontado]]*Tabla4[[#This Row],[Cantidad]]</f>
        <v>1936.7704229999997</v>
      </c>
      <c r="Q6894" s="282" t="e">
        <f>(INDEX(Tabla6[#All],MATCH(Tabla4[[#This Row],[Producto]],Tabla6[[#All],[PRODUCTO]],0),MATCH(Tabla4[[#This Row],[Mes]],Tabla6[#Headers],0)))</f>
        <v>#N/A</v>
      </c>
      <c r="R6894" s="282" t="e">
        <f>++Tabla4[[#This Row],[Precio Unitario Neto]]-Tabla4[[#This Row],[20.85%]]-Tabla4[[#This Row],[Costo]]</f>
        <v>#N/A</v>
      </c>
      <c r="S6894" s="282" t="e">
        <f>++Tabla4[[#This Row],[U. Bruta Uni]]*Tabla4[[#This Row],[Cantidad]]</f>
        <v>#N/A</v>
      </c>
      <c r="T6894" s="369" t="str">
        <f>VLOOKUP(Tabla4[[#This Row],[Producto]],Tabla6[#All],14,FALSE)</f>
        <v>Termico Solar</v>
      </c>
      <c r="U6894" s="284" t="e">
        <f>(IF(Tabla4[[#This Row],[Familia]]="termico solar",Tabla4[[#This Row],[Utilidad Total]]*6%,Tabla4[[#This Row],[Utilidad Total]]*11.5%))/Tabla4[[#This Row],[Total]]</f>
        <v>#N/A</v>
      </c>
      <c r="V6894" s="282" t="e">
        <f>+Tabla4[[#This Row],[Comisión Calculada]]*Tabla4[[#This Row],[Total]]</f>
        <v>#N/A</v>
      </c>
    </row>
    <row r="6895" spans="1:22" hidden="1" x14ac:dyDescent="0.25">
      <c r="A6895" s="100">
        <v>45976</v>
      </c>
      <c r="B6895" t="str">
        <f t="shared" ref="B6895:B6896" si="488">TEXT(A6895, "mmmm")</f>
        <v>November</v>
      </c>
      <c r="C6895" s="46" t="s">
        <v>280</v>
      </c>
      <c r="F6895" s="366" t="s">
        <v>3471</v>
      </c>
      <c r="G6895" s="46" t="s">
        <v>18</v>
      </c>
      <c r="H6895" s="46">
        <v>1</v>
      </c>
      <c r="I6895" s="51">
        <v>5367.65</v>
      </c>
      <c r="J6895" s="281">
        <f>++Tabla4[[#This Row],[Precio Bruto]]*1.16</f>
        <v>6226.4739999999993</v>
      </c>
      <c r="K6895" s="281">
        <f>+Tabla4[[#This Row],[Precio Unitario Neto]]*Tabla4[[#Headers],[20.85%]]</f>
        <v>1298.2198289999999</v>
      </c>
      <c r="L6895" s="282">
        <f>++Tabla4[[#This Row],[Precio Unitario Neto]]-Tabla4[[#This Row],[20.85%]]</f>
        <v>4928.2541709999996</v>
      </c>
      <c r="M6895" s="282" t="e">
        <f>(INDEX(Tabla6[#All],MATCH(Tabla4[[#This Row],[Producto]],Tabla6[[#All],[PRODUCTO]],0),MATCH(Tabla4[[#This Row],[Mes]],Tabla6[#Headers],0)))*(1+Catalogos!$L$2)</f>
        <v>#N/A</v>
      </c>
      <c r="N6895" s="283" t="e">
        <f>+(Tabla4[[#This Row],[Precio Descontado]]-Tabla4[[#This Row],[Precio Base]])*Tabla4[[#This Row],[Cantidad]]</f>
        <v>#N/A</v>
      </c>
      <c r="O6895" s="284" t="e">
        <f>++Tabla4[[#This Row],[Utilidad Total]]/Tabla4[[#This Row],[Total]]</f>
        <v>#N/A</v>
      </c>
      <c r="P6895" s="282">
        <f>++Tabla4[[#This Row],[Precio Descontado]]*Tabla4[[#This Row],[Cantidad]]</f>
        <v>4928.2541709999996</v>
      </c>
      <c r="Q6895" s="282" t="e">
        <f>(INDEX(Tabla6[#All],MATCH(Tabla4[[#This Row],[Producto]],Tabla6[[#All],[PRODUCTO]],0),MATCH(Tabla4[[#This Row],[Mes]],Tabla6[#Headers],0)))</f>
        <v>#N/A</v>
      </c>
      <c r="R6895" s="282" t="e">
        <f>++Tabla4[[#This Row],[Precio Unitario Neto]]-Tabla4[[#This Row],[20.85%]]-Tabla4[[#This Row],[Costo]]</f>
        <v>#N/A</v>
      </c>
      <c r="S6895" s="282" t="e">
        <f>++Tabla4[[#This Row],[U. Bruta Uni]]*Tabla4[[#This Row],[Cantidad]]</f>
        <v>#N/A</v>
      </c>
      <c r="T6895" s="369" t="str">
        <f>VLOOKUP(Tabla4[[#This Row],[Producto]],Tabla6[#All],14,FALSE)</f>
        <v>Termico Solar</v>
      </c>
      <c r="U6895" s="284" t="e">
        <f>(IF(Tabla4[[#This Row],[Familia]]="termico solar",Tabla4[[#This Row],[Utilidad Total]]*6%,Tabla4[[#This Row],[Utilidad Total]]*11.5%))/Tabla4[[#This Row],[Total]]</f>
        <v>#N/A</v>
      </c>
      <c r="V6895" s="282" t="e">
        <f>+Tabla4[[#This Row],[Comisión Calculada]]*Tabla4[[#This Row],[Total]]</f>
        <v>#N/A</v>
      </c>
    </row>
    <row r="6896" spans="1:22" hidden="1" x14ac:dyDescent="0.25">
      <c r="A6896" s="100">
        <v>45976</v>
      </c>
      <c r="B6896" t="str">
        <f t="shared" si="488"/>
        <v>November</v>
      </c>
      <c r="C6896" s="46" t="s">
        <v>280</v>
      </c>
      <c r="F6896" s="366" t="s">
        <v>3471</v>
      </c>
      <c r="G6896" s="46" t="s">
        <v>566</v>
      </c>
      <c r="H6896" s="46">
        <v>1</v>
      </c>
      <c r="I6896" s="51">
        <v>2109.4499999999998</v>
      </c>
      <c r="J6896" s="281">
        <f>++Tabla4[[#This Row],[Precio Bruto]]*1.16</f>
        <v>2446.9619999999995</v>
      </c>
      <c r="K6896" s="281">
        <f>+Tabla4[[#This Row],[Precio Unitario Neto]]*Tabla4[[#Headers],[20.85%]]</f>
        <v>510.19157699999988</v>
      </c>
      <c r="L6896" s="282">
        <f>++Tabla4[[#This Row],[Precio Unitario Neto]]-Tabla4[[#This Row],[20.85%]]</f>
        <v>1936.7704229999997</v>
      </c>
      <c r="M6896" s="282" t="e">
        <f>(INDEX(Tabla6[#All],MATCH(Tabla4[[#This Row],[Producto]],Tabla6[[#All],[PRODUCTO]],0),MATCH(Tabla4[[#This Row],[Mes]],Tabla6[#Headers],0)))*(1+Catalogos!$L$2)</f>
        <v>#N/A</v>
      </c>
      <c r="N6896" s="283" t="e">
        <f>+(Tabla4[[#This Row],[Precio Descontado]]-Tabla4[[#This Row],[Precio Base]])*Tabla4[[#This Row],[Cantidad]]</f>
        <v>#N/A</v>
      </c>
      <c r="O6896" s="284" t="e">
        <f>++Tabla4[[#This Row],[Utilidad Total]]/Tabla4[[#This Row],[Total]]</f>
        <v>#N/A</v>
      </c>
      <c r="P6896" s="282">
        <f>++Tabla4[[#This Row],[Precio Descontado]]*Tabla4[[#This Row],[Cantidad]]</f>
        <v>1936.7704229999997</v>
      </c>
      <c r="Q6896" s="282" t="e">
        <f>(INDEX(Tabla6[#All],MATCH(Tabla4[[#This Row],[Producto]],Tabla6[[#All],[PRODUCTO]],0),MATCH(Tabla4[[#This Row],[Mes]],Tabla6[#Headers],0)))</f>
        <v>#N/A</v>
      </c>
      <c r="R6896" s="282" t="e">
        <f>++Tabla4[[#This Row],[Precio Unitario Neto]]-Tabla4[[#This Row],[20.85%]]-Tabla4[[#This Row],[Costo]]</f>
        <v>#N/A</v>
      </c>
      <c r="S6896" s="282" t="e">
        <f>++Tabla4[[#This Row],[U. Bruta Uni]]*Tabla4[[#This Row],[Cantidad]]</f>
        <v>#N/A</v>
      </c>
      <c r="T6896" s="369" t="str">
        <f>VLOOKUP(Tabla4[[#This Row],[Producto]],Tabla6[#All],14,FALSE)</f>
        <v>Termico Solar</v>
      </c>
      <c r="U6896" s="284" t="e">
        <f>(IF(Tabla4[[#This Row],[Familia]]="termico solar",Tabla4[[#This Row],[Utilidad Total]]*6%,Tabla4[[#This Row],[Utilidad Total]]*11.5%))/Tabla4[[#This Row],[Total]]</f>
        <v>#N/A</v>
      </c>
      <c r="V6896" s="282" t="e">
        <f>+Tabla4[[#This Row],[Comisión Calculada]]*Tabla4[[#This Row],[Total]]</f>
        <v>#N/A</v>
      </c>
    </row>
    <row r="6897" spans="1:22" hidden="1" x14ac:dyDescent="0.25">
      <c r="A6897" s="100">
        <v>45976</v>
      </c>
      <c r="B6897" t="str">
        <f t="shared" ref="B6897:B6899" si="489">TEXT(A6897, "mmmm")</f>
        <v>November</v>
      </c>
      <c r="C6897" s="46" t="s">
        <v>280</v>
      </c>
      <c r="F6897" s="366" t="s">
        <v>3472</v>
      </c>
      <c r="G6897" s="46" t="s">
        <v>17</v>
      </c>
      <c r="H6897" s="46">
        <v>2</v>
      </c>
      <c r="I6897" s="51">
        <v>4622.28</v>
      </c>
      <c r="J6897" s="281">
        <f>++Tabla4[[#This Row],[Precio Bruto]]*1.16</f>
        <v>5361.8447999999989</v>
      </c>
      <c r="K6897" s="281">
        <f>+Tabla4[[#This Row],[Precio Unitario Neto]]*Tabla4[[#Headers],[20.85%]]</f>
        <v>1117.9446407999997</v>
      </c>
      <c r="L6897" s="282">
        <f>++Tabla4[[#This Row],[Precio Unitario Neto]]-Tabla4[[#This Row],[20.85%]]</f>
        <v>4243.9001591999995</v>
      </c>
      <c r="M6897" s="282" t="e">
        <f>(INDEX(Tabla6[#All],MATCH(Tabla4[[#This Row],[Producto]],Tabla6[[#All],[PRODUCTO]],0),MATCH(Tabla4[[#This Row],[Mes]],Tabla6[#Headers],0)))*(1+Catalogos!$L$2)</f>
        <v>#N/A</v>
      </c>
      <c r="N6897" s="283" t="e">
        <f>+(Tabla4[[#This Row],[Precio Descontado]]-Tabla4[[#This Row],[Precio Base]])*Tabla4[[#This Row],[Cantidad]]</f>
        <v>#N/A</v>
      </c>
      <c r="O6897" s="284" t="e">
        <f>++Tabla4[[#This Row],[Utilidad Total]]/Tabla4[[#This Row],[Total]]</f>
        <v>#N/A</v>
      </c>
      <c r="P6897" s="282">
        <f>++Tabla4[[#This Row],[Precio Descontado]]*Tabla4[[#This Row],[Cantidad]]</f>
        <v>8487.800318399999</v>
      </c>
      <c r="Q6897" s="282" t="e">
        <f>(INDEX(Tabla6[#All],MATCH(Tabla4[[#This Row],[Producto]],Tabla6[[#All],[PRODUCTO]],0),MATCH(Tabla4[[#This Row],[Mes]],Tabla6[#Headers],0)))</f>
        <v>#N/A</v>
      </c>
      <c r="R6897" s="282" t="e">
        <f>++Tabla4[[#This Row],[Precio Unitario Neto]]-Tabla4[[#This Row],[20.85%]]-Tabla4[[#This Row],[Costo]]</f>
        <v>#N/A</v>
      </c>
      <c r="S6897" s="282" t="e">
        <f>++Tabla4[[#This Row],[U. Bruta Uni]]*Tabla4[[#This Row],[Cantidad]]</f>
        <v>#N/A</v>
      </c>
      <c r="T6897" s="369" t="str">
        <f>VLOOKUP(Tabla4[[#This Row],[Producto]],Tabla6[#All],14,FALSE)</f>
        <v>Termico Solar</v>
      </c>
      <c r="U6897" s="284" t="e">
        <f>(IF(Tabla4[[#This Row],[Familia]]="termico solar",Tabla4[[#This Row],[Utilidad Total]]*6%,Tabla4[[#This Row],[Utilidad Total]]*11.5%))/Tabla4[[#This Row],[Total]]</f>
        <v>#N/A</v>
      </c>
      <c r="V6897" s="282" t="e">
        <f>+Tabla4[[#This Row],[Comisión Calculada]]*Tabla4[[#This Row],[Total]]</f>
        <v>#N/A</v>
      </c>
    </row>
    <row r="6898" spans="1:22" hidden="1" x14ac:dyDescent="0.25">
      <c r="A6898" s="100">
        <v>45976</v>
      </c>
      <c r="B6898" t="str">
        <f t="shared" si="489"/>
        <v>November</v>
      </c>
      <c r="C6898" s="46" t="s">
        <v>280</v>
      </c>
      <c r="F6898" s="366" t="s">
        <v>3472</v>
      </c>
      <c r="G6898" s="46" t="s">
        <v>18</v>
      </c>
      <c r="H6898" s="46">
        <v>2</v>
      </c>
      <c r="I6898" s="51">
        <v>5367.65</v>
      </c>
      <c r="J6898" s="281">
        <f>++Tabla4[[#This Row],[Precio Bruto]]*1.16</f>
        <v>6226.4739999999993</v>
      </c>
      <c r="K6898" s="281">
        <f>+Tabla4[[#This Row],[Precio Unitario Neto]]*Tabla4[[#Headers],[20.85%]]</f>
        <v>1298.2198289999999</v>
      </c>
      <c r="L6898" s="282">
        <f>++Tabla4[[#This Row],[Precio Unitario Neto]]-Tabla4[[#This Row],[20.85%]]</f>
        <v>4928.2541709999996</v>
      </c>
      <c r="M6898" s="282" t="e">
        <f>(INDEX(Tabla6[#All],MATCH(Tabla4[[#This Row],[Producto]],Tabla6[[#All],[PRODUCTO]],0),MATCH(Tabla4[[#This Row],[Mes]],Tabla6[#Headers],0)))*(1+Catalogos!$L$2)</f>
        <v>#N/A</v>
      </c>
      <c r="N6898" s="283" t="e">
        <f>+(Tabla4[[#This Row],[Precio Descontado]]-Tabla4[[#This Row],[Precio Base]])*Tabla4[[#This Row],[Cantidad]]</f>
        <v>#N/A</v>
      </c>
      <c r="O6898" s="284" t="e">
        <f>++Tabla4[[#This Row],[Utilidad Total]]/Tabla4[[#This Row],[Total]]</f>
        <v>#N/A</v>
      </c>
      <c r="P6898" s="282">
        <f>++Tabla4[[#This Row],[Precio Descontado]]*Tabla4[[#This Row],[Cantidad]]</f>
        <v>9856.5083419999992</v>
      </c>
      <c r="Q6898" s="282" t="e">
        <f>(INDEX(Tabla6[#All],MATCH(Tabla4[[#This Row],[Producto]],Tabla6[[#All],[PRODUCTO]],0),MATCH(Tabla4[[#This Row],[Mes]],Tabla6[#Headers],0)))</f>
        <v>#N/A</v>
      </c>
      <c r="R6898" s="282" t="e">
        <f>++Tabla4[[#This Row],[Precio Unitario Neto]]-Tabla4[[#This Row],[20.85%]]-Tabla4[[#This Row],[Costo]]</f>
        <v>#N/A</v>
      </c>
      <c r="S6898" s="282" t="e">
        <f>++Tabla4[[#This Row],[U. Bruta Uni]]*Tabla4[[#This Row],[Cantidad]]</f>
        <v>#N/A</v>
      </c>
      <c r="T6898" s="369" t="str">
        <f>VLOOKUP(Tabla4[[#This Row],[Producto]],Tabla6[#All],14,FALSE)</f>
        <v>Termico Solar</v>
      </c>
      <c r="U6898" s="284" t="e">
        <f>(IF(Tabla4[[#This Row],[Familia]]="termico solar",Tabla4[[#This Row],[Utilidad Total]]*6%,Tabla4[[#This Row],[Utilidad Total]]*11.5%))/Tabla4[[#This Row],[Total]]</f>
        <v>#N/A</v>
      </c>
      <c r="V6898" s="282" t="e">
        <f>+Tabla4[[#This Row],[Comisión Calculada]]*Tabla4[[#This Row],[Total]]</f>
        <v>#N/A</v>
      </c>
    </row>
    <row r="6899" spans="1:22" hidden="1" x14ac:dyDescent="0.25">
      <c r="A6899" s="100">
        <v>45976</v>
      </c>
      <c r="B6899" t="str">
        <f t="shared" si="489"/>
        <v>November</v>
      </c>
      <c r="C6899" s="46" t="s">
        <v>280</v>
      </c>
      <c r="F6899" s="366" t="s">
        <v>3472</v>
      </c>
      <c r="G6899" s="46" t="s">
        <v>16</v>
      </c>
      <c r="H6899" s="46">
        <v>1</v>
      </c>
      <c r="I6899" s="51">
        <v>4103.8500000000004</v>
      </c>
      <c r="J6899" s="281">
        <f>++Tabla4[[#This Row],[Precio Bruto]]*1.16</f>
        <v>4760.4660000000003</v>
      </c>
      <c r="K6899" s="281">
        <f>+Tabla4[[#This Row],[Precio Unitario Neto]]*Tabla4[[#Headers],[20.85%]]</f>
        <v>992.55716100000006</v>
      </c>
      <c r="L6899" s="282">
        <f>++Tabla4[[#This Row],[Precio Unitario Neto]]-Tabla4[[#This Row],[20.85%]]</f>
        <v>3767.9088390000002</v>
      </c>
      <c r="M6899" s="282" t="e">
        <f>(INDEX(Tabla6[#All],MATCH(Tabla4[[#This Row],[Producto]],Tabla6[[#All],[PRODUCTO]],0),MATCH(Tabla4[[#This Row],[Mes]],Tabla6[#Headers],0)))*(1+Catalogos!$L$2)</f>
        <v>#N/A</v>
      </c>
      <c r="N6899" s="283" t="e">
        <f>+(Tabla4[[#This Row],[Precio Descontado]]-Tabla4[[#This Row],[Precio Base]])*Tabla4[[#This Row],[Cantidad]]</f>
        <v>#N/A</v>
      </c>
      <c r="O6899" s="284" t="e">
        <f>++Tabla4[[#This Row],[Utilidad Total]]/Tabla4[[#This Row],[Total]]</f>
        <v>#N/A</v>
      </c>
      <c r="P6899" s="282">
        <f>++Tabla4[[#This Row],[Precio Descontado]]*Tabla4[[#This Row],[Cantidad]]</f>
        <v>3767.9088390000002</v>
      </c>
      <c r="Q6899" s="282" t="e">
        <f>(INDEX(Tabla6[#All],MATCH(Tabla4[[#This Row],[Producto]],Tabla6[[#All],[PRODUCTO]],0),MATCH(Tabla4[[#This Row],[Mes]],Tabla6[#Headers],0)))</f>
        <v>#N/A</v>
      </c>
      <c r="R6899" s="282" t="e">
        <f>++Tabla4[[#This Row],[Precio Unitario Neto]]-Tabla4[[#This Row],[20.85%]]-Tabla4[[#This Row],[Costo]]</f>
        <v>#N/A</v>
      </c>
      <c r="S6899" s="282" t="e">
        <f>++Tabla4[[#This Row],[U. Bruta Uni]]*Tabla4[[#This Row],[Cantidad]]</f>
        <v>#N/A</v>
      </c>
      <c r="T6899" s="369" t="str">
        <f>VLOOKUP(Tabla4[[#This Row],[Producto]],Tabla6[#All],14,FALSE)</f>
        <v>Termico Solar</v>
      </c>
      <c r="U6899" s="284" t="e">
        <f>(IF(Tabla4[[#This Row],[Familia]]="termico solar",Tabla4[[#This Row],[Utilidad Total]]*6%,Tabla4[[#This Row],[Utilidad Total]]*11.5%))/Tabla4[[#This Row],[Total]]</f>
        <v>#N/A</v>
      </c>
      <c r="V6899" s="282" t="e">
        <f>+Tabla4[[#This Row],[Comisión Calculada]]*Tabla4[[#This Row],[Total]]</f>
        <v>#N/A</v>
      </c>
    </row>
    <row r="6900" spans="1:22" hidden="1" x14ac:dyDescent="0.25">
      <c r="A6900" s="100">
        <v>45976</v>
      </c>
      <c r="B6900" t="str">
        <f t="shared" ref="B6900:B6902" si="490">TEXT(A6900, "mmmm")</f>
        <v>November</v>
      </c>
      <c r="C6900" s="46" t="s">
        <v>280</v>
      </c>
      <c r="F6900" s="366" t="s">
        <v>3473</v>
      </c>
      <c r="G6900" s="46" t="s">
        <v>17</v>
      </c>
      <c r="H6900" s="46">
        <v>1</v>
      </c>
      <c r="I6900" s="51">
        <v>4622.28</v>
      </c>
      <c r="J6900" s="281">
        <f>++Tabla4[[#This Row],[Precio Bruto]]*1.16</f>
        <v>5361.8447999999989</v>
      </c>
      <c r="K6900" s="281">
        <f>+Tabla4[[#This Row],[Precio Unitario Neto]]*Tabla4[[#Headers],[20.85%]]</f>
        <v>1117.9446407999997</v>
      </c>
      <c r="L6900" s="282">
        <f>++Tabla4[[#This Row],[Precio Unitario Neto]]-Tabla4[[#This Row],[20.85%]]</f>
        <v>4243.9001591999995</v>
      </c>
      <c r="M6900" s="282" t="e">
        <f>(INDEX(Tabla6[#All],MATCH(Tabla4[[#This Row],[Producto]],Tabla6[[#All],[PRODUCTO]],0),MATCH(Tabla4[[#This Row],[Mes]],Tabla6[#Headers],0)))*(1+Catalogos!$L$2)</f>
        <v>#N/A</v>
      </c>
      <c r="N6900" s="283" t="e">
        <f>+(Tabla4[[#This Row],[Precio Descontado]]-Tabla4[[#This Row],[Precio Base]])*Tabla4[[#This Row],[Cantidad]]</f>
        <v>#N/A</v>
      </c>
      <c r="O6900" s="284" t="e">
        <f>++Tabla4[[#This Row],[Utilidad Total]]/Tabla4[[#This Row],[Total]]</f>
        <v>#N/A</v>
      </c>
      <c r="P6900" s="282">
        <f>++Tabla4[[#This Row],[Precio Descontado]]*Tabla4[[#This Row],[Cantidad]]</f>
        <v>4243.9001591999995</v>
      </c>
      <c r="Q6900" s="282" t="e">
        <f>(INDEX(Tabla6[#All],MATCH(Tabla4[[#This Row],[Producto]],Tabla6[[#All],[PRODUCTO]],0),MATCH(Tabla4[[#This Row],[Mes]],Tabla6[#Headers],0)))</f>
        <v>#N/A</v>
      </c>
      <c r="R6900" s="282" t="e">
        <f>++Tabla4[[#This Row],[Precio Unitario Neto]]-Tabla4[[#This Row],[20.85%]]-Tabla4[[#This Row],[Costo]]</f>
        <v>#N/A</v>
      </c>
      <c r="S6900" s="282" t="e">
        <f>++Tabla4[[#This Row],[U. Bruta Uni]]*Tabla4[[#This Row],[Cantidad]]</f>
        <v>#N/A</v>
      </c>
      <c r="T6900" s="369" t="str">
        <f>VLOOKUP(Tabla4[[#This Row],[Producto]],Tabla6[#All],14,FALSE)</f>
        <v>Termico Solar</v>
      </c>
      <c r="U6900" s="284" t="e">
        <f>(IF(Tabla4[[#This Row],[Familia]]="termico solar",Tabla4[[#This Row],[Utilidad Total]]*6%,Tabla4[[#This Row],[Utilidad Total]]*11.5%))/Tabla4[[#This Row],[Total]]</f>
        <v>#N/A</v>
      </c>
      <c r="V6900" s="282" t="e">
        <f>+Tabla4[[#This Row],[Comisión Calculada]]*Tabla4[[#This Row],[Total]]</f>
        <v>#N/A</v>
      </c>
    </row>
    <row r="6901" spans="1:22" hidden="1" x14ac:dyDescent="0.25">
      <c r="A6901" s="100">
        <v>45976</v>
      </c>
      <c r="B6901" t="str">
        <f t="shared" si="490"/>
        <v>November</v>
      </c>
      <c r="C6901" s="46" t="s">
        <v>280</v>
      </c>
      <c r="F6901" s="366" t="s">
        <v>3473</v>
      </c>
      <c r="G6901" s="46" t="s">
        <v>566</v>
      </c>
      <c r="H6901" s="46">
        <v>1</v>
      </c>
      <c r="I6901" s="51">
        <v>2109.4499999999998</v>
      </c>
      <c r="J6901" s="281">
        <f>++Tabla4[[#This Row],[Precio Bruto]]*1.16</f>
        <v>2446.9619999999995</v>
      </c>
      <c r="K6901" s="281">
        <f>+Tabla4[[#This Row],[Precio Unitario Neto]]*Tabla4[[#Headers],[20.85%]]</f>
        <v>510.19157699999988</v>
      </c>
      <c r="L6901" s="282">
        <f>++Tabla4[[#This Row],[Precio Unitario Neto]]-Tabla4[[#This Row],[20.85%]]</f>
        <v>1936.7704229999997</v>
      </c>
      <c r="M6901" s="282" t="e">
        <f>(INDEX(Tabla6[#All],MATCH(Tabla4[[#This Row],[Producto]],Tabla6[[#All],[PRODUCTO]],0),MATCH(Tabla4[[#This Row],[Mes]],Tabla6[#Headers],0)))*(1+Catalogos!$L$2)</f>
        <v>#N/A</v>
      </c>
      <c r="N6901" s="283" t="e">
        <f>+(Tabla4[[#This Row],[Precio Descontado]]-Tabla4[[#This Row],[Precio Base]])*Tabla4[[#This Row],[Cantidad]]</f>
        <v>#N/A</v>
      </c>
      <c r="O6901" s="284" t="e">
        <f>++Tabla4[[#This Row],[Utilidad Total]]/Tabla4[[#This Row],[Total]]</f>
        <v>#N/A</v>
      </c>
      <c r="P6901" s="282">
        <f>++Tabla4[[#This Row],[Precio Descontado]]*Tabla4[[#This Row],[Cantidad]]</f>
        <v>1936.7704229999997</v>
      </c>
      <c r="Q6901" s="282" t="e">
        <f>(INDEX(Tabla6[#All],MATCH(Tabla4[[#This Row],[Producto]],Tabla6[[#All],[PRODUCTO]],0),MATCH(Tabla4[[#This Row],[Mes]],Tabla6[#Headers],0)))</f>
        <v>#N/A</v>
      </c>
      <c r="R6901" s="282" t="e">
        <f>++Tabla4[[#This Row],[Precio Unitario Neto]]-Tabla4[[#This Row],[20.85%]]-Tabla4[[#This Row],[Costo]]</f>
        <v>#N/A</v>
      </c>
      <c r="S6901" s="282" t="e">
        <f>++Tabla4[[#This Row],[U. Bruta Uni]]*Tabla4[[#This Row],[Cantidad]]</f>
        <v>#N/A</v>
      </c>
      <c r="T6901" s="369" t="str">
        <f>VLOOKUP(Tabla4[[#This Row],[Producto]],Tabla6[#All],14,FALSE)</f>
        <v>Termico Solar</v>
      </c>
      <c r="U6901" s="284" t="e">
        <f>(IF(Tabla4[[#This Row],[Familia]]="termico solar",Tabla4[[#This Row],[Utilidad Total]]*6%,Tabla4[[#This Row],[Utilidad Total]]*11.5%))/Tabla4[[#This Row],[Total]]</f>
        <v>#N/A</v>
      </c>
      <c r="V6901" s="282" t="e">
        <f>+Tabla4[[#This Row],[Comisión Calculada]]*Tabla4[[#This Row],[Total]]</f>
        <v>#N/A</v>
      </c>
    </row>
    <row r="6902" spans="1:22" hidden="1" x14ac:dyDescent="0.25">
      <c r="A6902" s="100">
        <v>45976</v>
      </c>
      <c r="B6902" t="str">
        <f t="shared" si="490"/>
        <v>November</v>
      </c>
      <c r="C6902" s="46" t="s">
        <v>280</v>
      </c>
      <c r="F6902" s="366" t="s">
        <v>3473</v>
      </c>
      <c r="G6902" s="46" t="s">
        <v>208</v>
      </c>
      <c r="H6902" s="46">
        <v>4</v>
      </c>
      <c r="I6902" s="51">
        <v>189.75</v>
      </c>
      <c r="J6902" s="281">
        <f>++Tabla4[[#This Row],[Precio Bruto]]*1.16</f>
        <v>220.10999999999999</v>
      </c>
      <c r="K6902" s="281">
        <f>+Tabla4[[#This Row],[Precio Unitario Neto]]*Tabla4[[#Headers],[20.85%]]</f>
        <v>45.892934999999994</v>
      </c>
      <c r="L6902" s="282">
        <f>++Tabla4[[#This Row],[Precio Unitario Neto]]-Tabla4[[#This Row],[20.85%]]</f>
        <v>174.21706499999999</v>
      </c>
      <c r="M6902" s="282" t="e">
        <f>(INDEX(Tabla6[#All],MATCH(Tabla4[[#This Row],[Producto]],Tabla6[[#All],[PRODUCTO]],0),MATCH(Tabla4[[#This Row],[Mes]],Tabla6[#Headers],0)))*(1+Catalogos!$L$2)</f>
        <v>#N/A</v>
      </c>
      <c r="N6902" s="283" t="e">
        <f>+(Tabla4[[#This Row],[Precio Descontado]]-Tabla4[[#This Row],[Precio Base]])*Tabla4[[#This Row],[Cantidad]]</f>
        <v>#N/A</v>
      </c>
      <c r="O6902" s="284" t="e">
        <f>++Tabla4[[#This Row],[Utilidad Total]]/Tabla4[[#This Row],[Total]]</f>
        <v>#N/A</v>
      </c>
      <c r="P6902" s="282">
        <f>++Tabla4[[#This Row],[Precio Descontado]]*Tabla4[[#This Row],[Cantidad]]</f>
        <v>696.86825999999996</v>
      </c>
      <c r="Q6902" s="282" t="e">
        <f>(INDEX(Tabla6[#All],MATCH(Tabla4[[#This Row],[Producto]],Tabla6[[#All],[PRODUCTO]],0),MATCH(Tabla4[[#This Row],[Mes]],Tabla6[#Headers],0)))</f>
        <v>#N/A</v>
      </c>
      <c r="R6902" s="282" t="e">
        <f>++Tabla4[[#This Row],[Precio Unitario Neto]]-Tabla4[[#This Row],[20.85%]]-Tabla4[[#This Row],[Costo]]</f>
        <v>#N/A</v>
      </c>
      <c r="S6902" s="282" t="e">
        <f>++Tabla4[[#This Row],[U. Bruta Uni]]*Tabla4[[#This Row],[Cantidad]]</f>
        <v>#N/A</v>
      </c>
      <c r="T6902" s="369" t="str">
        <f>VLOOKUP(Tabla4[[#This Row],[Producto]],Tabla6[#All],14,FALSE)</f>
        <v>Termico Solar</v>
      </c>
      <c r="U6902" s="284" t="e">
        <f>(IF(Tabla4[[#This Row],[Familia]]="termico solar",Tabla4[[#This Row],[Utilidad Total]]*6%,Tabla4[[#This Row],[Utilidad Total]]*11.5%))/Tabla4[[#This Row],[Total]]</f>
        <v>#N/A</v>
      </c>
      <c r="V6902" s="282" t="e">
        <f>+Tabla4[[#This Row],[Comisión Calculada]]*Tabla4[[#This Row],[Total]]</f>
        <v>#N/A</v>
      </c>
    </row>
    <row r="6903" spans="1:22" hidden="1" x14ac:dyDescent="0.25">
      <c r="A6903" s="100">
        <v>45976</v>
      </c>
      <c r="B6903" t="str">
        <f t="shared" ref="B6903:B6904" si="491">TEXT(A6903, "mmmm")</f>
        <v>November</v>
      </c>
      <c r="C6903" s="46" t="s">
        <v>280</v>
      </c>
      <c r="F6903" s="366" t="s">
        <v>3474</v>
      </c>
      <c r="G6903" s="46" t="s">
        <v>17</v>
      </c>
      <c r="H6903" s="46">
        <v>1</v>
      </c>
      <c r="I6903" s="51">
        <v>4622.28</v>
      </c>
      <c r="J6903" s="281">
        <f>++Tabla4[[#This Row],[Precio Bruto]]*1.16</f>
        <v>5361.8447999999989</v>
      </c>
      <c r="K6903" s="281">
        <f>+Tabla4[[#This Row],[Precio Unitario Neto]]*Tabla4[[#Headers],[20.85%]]</f>
        <v>1117.9446407999997</v>
      </c>
      <c r="L6903" s="282">
        <f>++Tabla4[[#This Row],[Precio Unitario Neto]]-Tabla4[[#This Row],[20.85%]]</f>
        <v>4243.9001591999995</v>
      </c>
      <c r="M6903" s="282" t="e">
        <f>(INDEX(Tabla6[#All],MATCH(Tabla4[[#This Row],[Producto]],Tabla6[[#All],[PRODUCTO]],0),MATCH(Tabla4[[#This Row],[Mes]],Tabla6[#Headers],0)))*(1+Catalogos!$L$2)</f>
        <v>#N/A</v>
      </c>
      <c r="N6903" s="283" t="e">
        <f>+(Tabla4[[#This Row],[Precio Descontado]]-Tabla4[[#This Row],[Precio Base]])*Tabla4[[#This Row],[Cantidad]]</f>
        <v>#N/A</v>
      </c>
      <c r="O6903" s="284" t="e">
        <f>++Tabla4[[#This Row],[Utilidad Total]]/Tabla4[[#This Row],[Total]]</f>
        <v>#N/A</v>
      </c>
      <c r="P6903" s="282">
        <f>++Tabla4[[#This Row],[Precio Descontado]]*Tabla4[[#This Row],[Cantidad]]</f>
        <v>4243.9001591999995</v>
      </c>
      <c r="Q6903" s="282" t="e">
        <f>(INDEX(Tabla6[#All],MATCH(Tabla4[[#This Row],[Producto]],Tabla6[[#All],[PRODUCTO]],0),MATCH(Tabla4[[#This Row],[Mes]],Tabla6[#Headers],0)))</f>
        <v>#N/A</v>
      </c>
      <c r="R6903" s="282" t="e">
        <f>++Tabla4[[#This Row],[Precio Unitario Neto]]-Tabla4[[#This Row],[20.85%]]-Tabla4[[#This Row],[Costo]]</f>
        <v>#N/A</v>
      </c>
      <c r="S6903" s="282" t="e">
        <f>++Tabla4[[#This Row],[U. Bruta Uni]]*Tabla4[[#This Row],[Cantidad]]</f>
        <v>#N/A</v>
      </c>
      <c r="T6903" s="369" t="str">
        <f>VLOOKUP(Tabla4[[#This Row],[Producto]],Tabla6[#All],14,FALSE)</f>
        <v>Termico Solar</v>
      </c>
      <c r="U6903" s="284" t="e">
        <f>(IF(Tabla4[[#This Row],[Familia]]="termico solar",Tabla4[[#This Row],[Utilidad Total]]*6%,Tabla4[[#This Row],[Utilidad Total]]*11.5%))/Tabla4[[#This Row],[Total]]</f>
        <v>#N/A</v>
      </c>
      <c r="V6903" s="282" t="e">
        <f>+Tabla4[[#This Row],[Comisión Calculada]]*Tabla4[[#This Row],[Total]]</f>
        <v>#N/A</v>
      </c>
    </row>
    <row r="6904" spans="1:22" hidden="1" x14ac:dyDescent="0.25">
      <c r="A6904" s="100">
        <v>45976</v>
      </c>
      <c r="B6904" t="str">
        <f t="shared" si="491"/>
        <v>November</v>
      </c>
      <c r="C6904" s="46" t="s">
        <v>280</v>
      </c>
      <c r="F6904" s="366" t="s">
        <v>3474</v>
      </c>
      <c r="G6904" s="46" t="s">
        <v>18</v>
      </c>
      <c r="H6904" s="46">
        <v>2</v>
      </c>
      <c r="I6904" s="51">
        <v>5367.65</v>
      </c>
      <c r="J6904" s="281">
        <f>++Tabla4[[#This Row],[Precio Bruto]]*1.16</f>
        <v>6226.4739999999993</v>
      </c>
      <c r="K6904" s="281">
        <f>+Tabla4[[#This Row],[Precio Unitario Neto]]*Tabla4[[#Headers],[20.85%]]</f>
        <v>1298.2198289999999</v>
      </c>
      <c r="L6904" s="282">
        <f>++Tabla4[[#This Row],[Precio Unitario Neto]]-Tabla4[[#This Row],[20.85%]]</f>
        <v>4928.2541709999996</v>
      </c>
      <c r="M6904" s="282" t="e">
        <f>(INDEX(Tabla6[#All],MATCH(Tabla4[[#This Row],[Producto]],Tabla6[[#All],[PRODUCTO]],0),MATCH(Tabla4[[#This Row],[Mes]],Tabla6[#Headers],0)))*(1+Catalogos!$L$2)</f>
        <v>#N/A</v>
      </c>
      <c r="N6904" s="283" t="e">
        <f>+(Tabla4[[#This Row],[Precio Descontado]]-Tabla4[[#This Row],[Precio Base]])*Tabla4[[#This Row],[Cantidad]]</f>
        <v>#N/A</v>
      </c>
      <c r="O6904" s="284" t="e">
        <f>++Tabla4[[#This Row],[Utilidad Total]]/Tabla4[[#This Row],[Total]]</f>
        <v>#N/A</v>
      </c>
      <c r="P6904" s="282">
        <f>++Tabla4[[#This Row],[Precio Descontado]]*Tabla4[[#This Row],[Cantidad]]</f>
        <v>9856.5083419999992</v>
      </c>
      <c r="Q6904" s="282" t="e">
        <f>(INDEX(Tabla6[#All],MATCH(Tabla4[[#This Row],[Producto]],Tabla6[[#All],[PRODUCTO]],0),MATCH(Tabla4[[#This Row],[Mes]],Tabla6[#Headers],0)))</f>
        <v>#N/A</v>
      </c>
      <c r="R6904" s="282" t="e">
        <f>++Tabla4[[#This Row],[Precio Unitario Neto]]-Tabla4[[#This Row],[20.85%]]-Tabla4[[#This Row],[Costo]]</f>
        <v>#N/A</v>
      </c>
      <c r="S6904" s="282" t="e">
        <f>++Tabla4[[#This Row],[U. Bruta Uni]]*Tabla4[[#This Row],[Cantidad]]</f>
        <v>#N/A</v>
      </c>
      <c r="T6904" s="369" t="str">
        <f>VLOOKUP(Tabla4[[#This Row],[Producto]],Tabla6[#All],14,FALSE)</f>
        <v>Termico Solar</v>
      </c>
      <c r="U6904" s="284" t="e">
        <f>(IF(Tabla4[[#This Row],[Familia]]="termico solar",Tabla4[[#This Row],[Utilidad Total]]*6%,Tabla4[[#This Row],[Utilidad Total]]*11.5%))/Tabla4[[#This Row],[Total]]</f>
        <v>#N/A</v>
      </c>
      <c r="V6904" s="282" t="e">
        <f>+Tabla4[[#This Row],[Comisión Calculada]]*Tabla4[[#This Row],[Total]]</f>
        <v>#N/A</v>
      </c>
    </row>
    <row r="6905" spans="1:22" hidden="1" x14ac:dyDescent="0.25">
      <c r="A6905" s="100">
        <v>45976</v>
      </c>
      <c r="B6905" t="str">
        <f t="shared" ref="B6905:B6908" si="492">TEXT(A6905, "mmmm")</f>
        <v>November</v>
      </c>
      <c r="C6905" s="46" t="s">
        <v>280</v>
      </c>
      <c r="F6905" s="366" t="s">
        <v>3475</v>
      </c>
      <c r="G6905" s="46" t="s">
        <v>18</v>
      </c>
      <c r="H6905" s="46">
        <v>1</v>
      </c>
      <c r="I6905" s="51">
        <v>5367.65</v>
      </c>
      <c r="J6905" s="281">
        <f>++Tabla4[[#This Row],[Precio Bruto]]*1.16</f>
        <v>6226.4739999999993</v>
      </c>
      <c r="K6905" s="281">
        <f>+Tabla4[[#This Row],[Precio Unitario Neto]]*Tabla4[[#Headers],[20.85%]]</f>
        <v>1298.2198289999999</v>
      </c>
      <c r="L6905" s="282">
        <f>++Tabla4[[#This Row],[Precio Unitario Neto]]-Tabla4[[#This Row],[20.85%]]</f>
        <v>4928.2541709999996</v>
      </c>
      <c r="M6905" s="282" t="e">
        <f>(INDEX(Tabla6[#All],MATCH(Tabla4[[#This Row],[Producto]],Tabla6[[#All],[PRODUCTO]],0),MATCH(Tabla4[[#This Row],[Mes]],Tabla6[#Headers],0)))*(1+Catalogos!$L$2)</f>
        <v>#N/A</v>
      </c>
      <c r="N6905" s="283" t="e">
        <f>+(Tabla4[[#This Row],[Precio Descontado]]-Tabla4[[#This Row],[Precio Base]])*Tabla4[[#This Row],[Cantidad]]</f>
        <v>#N/A</v>
      </c>
      <c r="O6905" s="284" t="e">
        <f>++Tabla4[[#This Row],[Utilidad Total]]/Tabla4[[#This Row],[Total]]</f>
        <v>#N/A</v>
      </c>
      <c r="P6905" s="282">
        <f>++Tabla4[[#This Row],[Precio Descontado]]*Tabla4[[#This Row],[Cantidad]]</f>
        <v>4928.2541709999996</v>
      </c>
      <c r="Q6905" s="282" t="e">
        <f>(INDEX(Tabla6[#All],MATCH(Tabla4[[#This Row],[Producto]],Tabla6[[#All],[PRODUCTO]],0),MATCH(Tabla4[[#This Row],[Mes]],Tabla6[#Headers],0)))</f>
        <v>#N/A</v>
      </c>
      <c r="R6905" s="282" t="e">
        <f>++Tabla4[[#This Row],[Precio Unitario Neto]]-Tabla4[[#This Row],[20.85%]]-Tabla4[[#This Row],[Costo]]</f>
        <v>#N/A</v>
      </c>
      <c r="S6905" s="282" t="e">
        <f>++Tabla4[[#This Row],[U. Bruta Uni]]*Tabla4[[#This Row],[Cantidad]]</f>
        <v>#N/A</v>
      </c>
      <c r="T6905" s="369" t="str">
        <f>VLOOKUP(Tabla4[[#This Row],[Producto]],Tabla6[#All],14,FALSE)</f>
        <v>Termico Solar</v>
      </c>
      <c r="U6905" s="284" t="e">
        <f>(IF(Tabla4[[#This Row],[Familia]]="termico solar",Tabla4[[#This Row],[Utilidad Total]]*6%,Tabla4[[#This Row],[Utilidad Total]]*11.5%))/Tabla4[[#This Row],[Total]]</f>
        <v>#N/A</v>
      </c>
      <c r="V6905" s="282" t="e">
        <f>+Tabla4[[#This Row],[Comisión Calculada]]*Tabla4[[#This Row],[Total]]</f>
        <v>#N/A</v>
      </c>
    </row>
    <row r="6906" spans="1:22" hidden="1" x14ac:dyDescent="0.25">
      <c r="A6906" s="100">
        <v>45976</v>
      </c>
      <c r="B6906" t="str">
        <f t="shared" si="492"/>
        <v>November</v>
      </c>
      <c r="C6906" s="46" t="s">
        <v>280</v>
      </c>
      <c r="F6906" s="366" t="s">
        <v>3475</v>
      </c>
      <c r="G6906" s="46" t="s">
        <v>19</v>
      </c>
      <c r="H6906" s="46">
        <v>3</v>
      </c>
      <c r="I6906" s="51">
        <v>6412.03</v>
      </c>
      <c r="J6906" s="281">
        <f>++Tabla4[[#This Row],[Precio Bruto]]*1.16</f>
        <v>7437.9547999999995</v>
      </c>
      <c r="K6906" s="281">
        <f>+Tabla4[[#This Row],[Precio Unitario Neto]]*Tabla4[[#Headers],[20.85%]]</f>
        <v>1550.8135757999999</v>
      </c>
      <c r="L6906" s="282">
        <f>++Tabla4[[#This Row],[Precio Unitario Neto]]-Tabla4[[#This Row],[20.85%]]</f>
        <v>5887.1412241999997</v>
      </c>
      <c r="M6906" s="282" t="e">
        <f>(INDEX(Tabla6[#All],MATCH(Tabla4[[#This Row],[Producto]],Tabla6[[#All],[PRODUCTO]],0),MATCH(Tabla4[[#This Row],[Mes]],Tabla6[#Headers],0)))*(1+Catalogos!$L$2)</f>
        <v>#N/A</v>
      </c>
      <c r="N6906" s="283" t="e">
        <f>+(Tabla4[[#This Row],[Precio Descontado]]-Tabla4[[#This Row],[Precio Base]])*Tabla4[[#This Row],[Cantidad]]</f>
        <v>#N/A</v>
      </c>
      <c r="O6906" s="284" t="e">
        <f>++Tabla4[[#This Row],[Utilidad Total]]/Tabla4[[#This Row],[Total]]</f>
        <v>#N/A</v>
      </c>
      <c r="P6906" s="282">
        <f>++Tabla4[[#This Row],[Precio Descontado]]*Tabla4[[#This Row],[Cantidad]]</f>
        <v>17661.423672599998</v>
      </c>
      <c r="Q6906" s="282" t="e">
        <f>(INDEX(Tabla6[#All],MATCH(Tabla4[[#This Row],[Producto]],Tabla6[[#All],[PRODUCTO]],0),MATCH(Tabla4[[#This Row],[Mes]],Tabla6[#Headers],0)))</f>
        <v>#N/A</v>
      </c>
      <c r="R6906" s="282" t="e">
        <f>++Tabla4[[#This Row],[Precio Unitario Neto]]-Tabla4[[#This Row],[20.85%]]-Tabla4[[#This Row],[Costo]]</f>
        <v>#N/A</v>
      </c>
      <c r="S6906" s="282" t="e">
        <f>++Tabla4[[#This Row],[U. Bruta Uni]]*Tabla4[[#This Row],[Cantidad]]</f>
        <v>#N/A</v>
      </c>
      <c r="T6906" s="369" t="str">
        <f>VLOOKUP(Tabla4[[#This Row],[Producto]],Tabla6[#All],14,FALSE)</f>
        <v>Termico Solar</v>
      </c>
      <c r="U6906" s="284" t="e">
        <f>(IF(Tabla4[[#This Row],[Familia]]="termico solar",Tabla4[[#This Row],[Utilidad Total]]*6%,Tabla4[[#This Row],[Utilidad Total]]*11.5%))/Tabla4[[#This Row],[Total]]</f>
        <v>#N/A</v>
      </c>
      <c r="V6906" s="282" t="e">
        <f>+Tabla4[[#This Row],[Comisión Calculada]]*Tabla4[[#This Row],[Total]]</f>
        <v>#N/A</v>
      </c>
    </row>
    <row r="6907" spans="1:22" hidden="1" x14ac:dyDescent="0.25">
      <c r="A6907" s="100">
        <v>45976</v>
      </c>
      <c r="B6907" t="str">
        <f t="shared" si="492"/>
        <v>November</v>
      </c>
      <c r="C6907" s="46" t="s">
        <v>280</v>
      </c>
      <c r="F6907" s="366" t="s">
        <v>3475</v>
      </c>
      <c r="G6907" s="46" t="s">
        <v>566</v>
      </c>
      <c r="H6907" s="46">
        <v>1</v>
      </c>
      <c r="I6907" s="51">
        <v>2109.4499999999998</v>
      </c>
      <c r="J6907" s="281">
        <f>++Tabla4[[#This Row],[Precio Bruto]]*1.16</f>
        <v>2446.9619999999995</v>
      </c>
      <c r="K6907" s="281">
        <f>+Tabla4[[#This Row],[Precio Unitario Neto]]*Tabla4[[#Headers],[20.85%]]</f>
        <v>510.19157699999988</v>
      </c>
      <c r="L6907" s="282">
        <f>++Tabla4[[#This Row],[Precio Unitario Neto]]-Tabla4[[#This Row],[20.85%]]</f>
        <v>1936.7704229999997</v>
      </c>
      <c r="M6907" s="282" t="e">
        <f>(INDEX(Tabla6[#All],MATCH(Tabla4[[#This Row],[Producto]],Tabla6[[#All],[PRODUCTO]],0),MATCH(Tabla4[[#This Row],[Mes]],Tabla6[#Headers],0)))*(1+Catalogos!$L$2)</f>
        <v>#N/A</v>
      </c>
      <c r="N6907" s="283" t="e">
        <f>+(Tabla4[[#This Row],[Precio Descontado]]-Tabla4[[#This Row],[Precio Base]])*Tabla4[[#This Row],[Cantidad]]</f>
        <v>#N/A</v>
      </c>
      <c r="O6907" s="284" t="e">
        <f>++Tabla4[[#This Row],[Utilidad Total]]/Tabla4[[#This Row],[Total]]</f>
        <v>#N/A</v>
      </c>
      <c r="P6907" s="282">
        <f>++Tabla4[[#This Row],[Precio Descontado]]*Tabla4[[#This Row],[Cantidad]]</f>
        <v>1936.7704229999997</v>
      </c>
      <c r="Q6907" s="282" t="e">
        <f>(INDEX(Tabla6[#All],MATCH(Tabla4[[#This Row],[Producto]],Tabla6[[#All],[PRODUCTO]],0),MATCH(Tabla4[[#This Row],[Mes]],Tabla6[#Headers],0)))</f>
        <v>#N/A</v>
      </c>
      <c r="R6907" s="282" t="e">
        <f>++Tabla4[[#This Row],[Precio Unitario Neto]]-Tabla4[[#This Row],[20.85%]]-Tabla4[[#This Row],[Costo]]</f>
        <v>#N/A</v>
      </c>
      <c r="S6907" s="282" t="e">
        <f>++Tabla4[[#This Row],[U. Bruta Uni]]*Tabla4[[#This Row],[Cantidad]]</f>
        <v>#N/A</v>
      </c>
      <c r="T6907" s="369" t="str">
        <f>VLOOKUP(Tabla4[[#This Row],[Producto]],Tabla6[#All],14,FALSE)</f>
        <v>Termico Solar</v>
      </c>
      <c r="U6907" s="284" t="e">
        <f>(IF(Tabla4[[#This Row],[Familia]]="termico solar",Tabla4[[#This Row],[Utilidad Total]]*6%,Tabla4[[#This Row],[Utilidad Total]]*11.5%))/Tabla4[[#This Row],[Total]]</f>
        <v>#N/A</v>
      </c>
      <c r="V6907" s="282" t="e">
        <f>+Tabla4[[#This Row],[Comisión Calculada]]*Tabla4[[#This Row],[Total]]</f>
        <v>#N/A</v>
      </c>
    </row>
    <row r="6908" spans="1:22" hidden="1" x14ac:dyDescent="0.25">
      <c r="A6908" s="100">
        <v>45976</v>
      </c>
      <c r="B6908" t="str">
        <f t="shared" si="492"/>
        <v>November</v>
      </c>
      <c r="C6908" s="46" t="s">
        <v>280</v>
      </c>
      <c r="F6908" s="366" t="s">
        <v>3475</v>
      </c>
      <c r="G6908" s="46" t="s">
        <v>208</v>
      </c>
      <c r="H6908" s="46">
        <v>1</v>
      </c>
      <c r="I6908" s="51">
        <v>189.75</v>
      </c>
      <c r="J6908" s="281">
        <f>++Tabla4[[#This Row],[Precio Bruto]]*1.16</f>
        <v>220.10999999999999</v>
      </c>
      <c r="K6908" s="281">
        <f>+Tabla4[[#This Row],[Precio Unitario Neto]]*Tabla4[[#Headers],[20.85%]]</f>
        <v>45.892934999999994</v>
      </c>
      <c r="L6908" s="282">
        <f>++Tabla4[[#This Row],[Precio Unitario Neto]]-Tabla4[[#This Row],[20.85%]]</f>
        <v>174.21706499999999</v>
      </c>
      <c r="M6908" s="282" t="e">
        <f>(INDEX(Tabla6[#All],MATCH(Tabla4[[#This Row],[Producto]],Tabla6[[#All],[PRODUCTO]],0),MATCH(Tabla4[[#This Row],[Mes]],Tabla6[#Headers],0)))*(1+Catalogos!$L$2)</f>
        <v>#N/A</v>
      </c>
      <c r="N6908" s="283" t="e">
        <f>+(Tabla4[[#This Row],[Precio Descontado]]-Tabla4[[#This Row],[Precio Base]])*Tabla4[[#This Row],[Cantidad]]</f>
        <v>#N/A</v>
      </c>
      <c r="O6908" s="284" t="e">
        <f>++Tabla4[[#This Row],[Utilidad Total]]/Tabla4[[#This Row],[Total]]</f>
        <v>#N/A</v>
      </c>
      <c r="P6908" s="282">
        <f>++Tabla4[[#This Row],[Precio Descontado]]*Tabla4[[#This Row],[Cantidad]]</f>
        <v>174.21706499999999</v>
      </c>
      <c r="Q6908" s="282" t="e">
        <f>(INDEX(Tabla6[#All],MATCH(Tabla4[[#This Row],[Producto]],Tabla6[[#All],[PRODUCTO]],0),MATCH(Tabla4[[#This Row],[Mes]],Tabla6[#Headers],0)))</f>
        <v>#N/A</v>
      </c>
      <c r="R6908" s="282" t="e">
        <f>++Tabla4[[#This Row],[Precio Unitario Neto]]-Tabla4[[#This Row],[20.85%]]-Tabla4[[#This Row],[Costo]]</f>
        <v>#N/A</v>
      </c>
      <c r="S6908" s="282" t="e">
        <f>++Tabla4[[#This Row],[U. Bruta Uni]]*Tabla4[[#This Row],[Cantidad]]</f>
        <v>#N/A</v>
      </c>
      <c r="T6908" s="369" t="str">
        <f>VLOOKUP(Tabla4[[#This Row],[Producto]],Tabla6[#All],14,FALSE)</f>
        <v>Termico Solar</v>
      </c>
      <c r="U6908" s="284" t="e">
        <f>(IF(Tabla4[[#This Row],[Familia]]="termico solar",Tabla4[[#This Row],[Utilidad Total]]*6%,Tabla4[[#This Row],[Utilidad Total]]*11.5%))/Tabla4[[#This Row],[Total]]</f>
        <v>#N/A</v>
      </c>
      <c r="V6908" s="282" t="e">
        <f>+Tabla4[[#This Row],[Comisión Calculada]]*Tabla4[[#This Row],[Total]]</f>
        <v>#N/A</v>
      </c>
    </row>
    <row r="6909" spans="1:22" hidden="1" x14ac:dyDescent="0.25">
      <c r="A6909" s="100">
        <v>45976</v>
      </c>
      <c r="B6909" t="str">
        <f t="shared" ref="B6909:B6910" si="493">TEXT(A6909, "mmmm")</f>
        <v>November</v>
      </c>
      <c r="C6909" s="46" t="s">
        <v>280</v>
      </c>
      <c r="F6909" s="366" t="s">
        <v>3476</v>
      </c>
      <c r="G6909" s="46" t="s">
        <v>18</v>
      </c>
      <c r="H6909" s="46">
        <v>6</v>
      </c>
      <c r="I6909" s="51">
        <v>5367.6500000000005</v>
      </c>
      <c r="J6909" s="281">
        <f>++Tabla4[[#This Row],[Precio Bruto]]*1.16</f>
        <v>6226.4740000000002</v>
      </c>
      <c r="K6909" s="281">
        <f>+Tabla4[[#This Row],[Precio Unitario Neto]]*Tabla4[[#Headers],[20.85%]]</f>
        <v>1298.2198289999999</v>
      </c>
      <c r="L6909" s="282">
        <f>++Tabla4[[#This Row],[Precio Unitario Neto]]-Tabla4[[#This Row],[20.85%]]</f>
        <v>4928.2541710000005</v>
      </c>
      <c r="M6909" s="282" t="e">
        <f>(INDEX(Tabla6[#All],MATCH(Tabla4[[#This Row],[Producto]],Tabla6[[#All],[PRODUCTO]],0),MATCH(Tabla4[[#This Row],[Mes]],Tabla6[#Headers],0)))*(1+Catalogos!$L$2)</f>
        <v>#N/A</v>
      </c>
      <c r="N6909" s="283" t="e">
        <f>+(Tabla4[[#This Row],[Precio Descontado]]-Tabla4[[#This Row],[Precio Base]])*Tabla4[[#This Row],[Cantidad]]</f>
        <v>#N/A</v>
      </c>
      <c r="O6909" s="284" t="e">
        <f>++Tabla4[[#This Row],[Utilidad Total]]/Tabla4[[#This Row],[Total]]</f>
        <v>#N/A</v>
      </c>
      <c r="P6909" s="282">
        <f>++Tabla4[[#This Row],[Precio Descontado]]*Tabla4[[#This Row],[Cantidad]]</f>
        <v>29569.525026000003</v>
      </c>
      <c r="Q6909" s="282" t="e">
        <f>(INDEX(Tabla6[#All],MATCH(Tabla4[[#This Row],[Producto]],Tabla6[[#All],[PRODUCTO]],0),MATCH(Tabla4[[#This Row],[Mes]],Tabla6[#Headers],0)))</f>
        <v>#N/A</v>
      </c>
      <c r="R6909" s="282" t="e">
        <f>++Tabla4[[#This Row],[Precio Unitario Neto]]-Tabla4[[#This Row],[20.85%]]-Tabla4[[#This Row],[Costo]]</f>
        <v>#N/A</v>
      </c>
      <c r="S6909" s="282" t="e">
        <f>++Tabla4[[#This Row],[U. Bruta Uni]]*Tabla4[[#This Row],[Cantidad]]</f>
        <v>#N/A</v>
      </c>
      <c r="T6909" s="369" t="str">
        <f>VLOOKUP(Tabla4[[#This Row],[Producto]],Tabla6[#All],14,FALSE)</f>
        <v>Termico Solar</v>
      </c>
      <c r="U6909" s="284" t="e">
        <f>(IF(Tabla4[[#This Row],[Familia]]="termico solar",Tabla4[[#This Row],[Utilidad Total]]*6%,Tabla4[[#This Row],[Utilidad Total]]*11.5%))/Tabla4[[#This Row],[Total]]</f>
        <v>#N/A</v>
      </c>
      <c r="V6909" s="282" t="e">
        <f>+Tabla4[[#This Row],[Comisión Calculada]]*Tabla4[[#This Row],[Total]]</f>
        <v>#N/A</v>
      </c>
    </row>
    <row r="6910" spans="1:22" hidden="1" x14ac:dyDescent="0.25">
      <c r="A6910" s="100">
        <v>45976</v>
      </c>
      <c r="B6910" t="str">
        <f t="shared" si="493"/>
        <v>November</v>
      </c>
      <c r="C6910" s="46" t="s">
        <v>280</v>
      </c>
      <c r="F6910" s="366" t="s">
        <v>3476</v>
      </c>
      <c r="G6910" s="46" t="s">
        <v>208</v>
      </c>
      <c r="H6910" s="46">
        <v>1</v>
      </c>
      <c r="I6910" s="51">
        <v>189.75</v>
      </c>
      <c r="J6910" s="281">
        <f>++Tabla4[[#This Row],[Precio Bruto]]*1.16</f>
        <v>220.10999999999999</v>
      </c>
      <c r="K6910" s="281">
        <f>+Tabla4[[#This Row],[Precio Unitario Neto]]*Tabla4[[#Headers],[20.85%]]</f>
        <v>45.892934999999994</v>
      </c>
      <c r="L6910" s="282">
        <f>++Tabla4[[#This Row],[Precio Unitario Neto]]-Tabla4[[#This Row],[20.85%]]</f>
        <v>174.21706499999999</v>
      </c>
      <c r="M6910" s="282" t="e">
        <f>(INDEX(Tabla6[#All],MATCH(Tabla4[[#This Row],[Producto]],Tabla6[[#All],[PRODUCTO]],0),MATCH(Tabla4[[#This Row],[Mes]],Tabla6[#Headers],0)))*(1+Catalogos!$L$2)</f>
        <v>#N/A</v>
      </c>
      <c r="N6910" s="283" t="e">
        <f>+(Tabla4[[#This Row],[Precio Descontado]]-Tabla4[[#This Row],[Precio Base]])*Tabla4[[#This Row],[Cantidad]]</f>
        <v>#N/A</v>
      </c>
      <c r="O6910" s="284" t="e">
        <f>++Tabla4[[#This Row],[Utilidad Total]]/Tabla4[[#This Row],[Total]]</f>
        <v>#N/A</v>
      </c>
      <c r="P6910" s="282">
        <f>++Tabla4[[#This Row],[Precio Descontado]]*Tabla4[[#This Row],[Cantidad]]</f>
        <v>174.21706499999999</v>
      </c>
      <c r="Q6910" s="282" t="e">
        <f>(INDEX(Tabla6[#All],MATCH(Tabla4[[#This Row],[Producto]],Tabla6[[#All],[PRODUCTO]],0),MATCH(Tabla4[[#This Row],[Mes]],Tabla6[#Headers],0)))</f>
        <v>#N/A</v>
      </c>
      <c r="R6910" s="282" t="e">
        <f>++Tabla4[[#This Row],[Precio Unitario Neto]]-Tabla4[[#This Row],[20.85%]]-Tabla4[[#This Row],[Costo]]</f>
        <v>#N/A</v>
      </c>
      <c r="S6910" s="282" t="e">
        <f>++Tabla4[[#This Row],[U. Bruta Uni]]*Tabla4[[#This Row],[Cantidad]]</f>
        <v>#N/A</v>
      </c>
      <c r="T6910" s="369" t="str">
        <f>VLOOKUP(Tabla4[[#This Row],[Producto]],Tabla6[#All],14,FALSE)</f>
        <v>Termico Solar</v>
      </c>
      <c r="U6910" s="284" t="e">
        <f>(IF(Tabla4[[#This Row],[Familia]]="termico solar",Tabla4[[#This Row],[Utilidad Total]]*6%,Tabla4[[#This Row],[Utilidad Total]]*11.5%))/Tabla4[[#This Row],[Total]]</f>
        <v>#N/A</v>
      </c>
      <c r="V6910" s="282" t="e">
        <f>+Tabla4[[#This Row],[Comisión Calculada]]*Tabla4[[#This Row],[Total]]</f>
        <v>#N/A</v>
      </c>
    </row>
    <row r="6911" spans="1:22" hidden="1" x14ac:dyDescent="0.25">
      <c r="A6911" s="100">
        <v>45976</v>
      </c>
      <c r="B6911" t="str">
        <f>TEXT(A6911, "mmmm")</f>
        <v>November</v>
      </c>
      <c r="C6911" s="46" t="s">
        <v>280</v>
      </c>
      <c r="F6911" s="366" t="s">
        <v>3477</v>
      </c>
      <c r="G6911" s="46" t="s">
        <v>208</v>
      </c>
      <c r="H6911" s="46">
        <v>2</v>
      </c>
      <c r="I6911" s="51">
        <v>189.75</v>
      </c>
      <c r="J6911" s="281">
        <f>++Tabla4[[#This Row],[Precio Bruto]]*1.16</f>
        <v>220.10999999999999</v>
      </c>
      <c r="K6911" s="281">
        <f>+Tabla4[[#This Row],[Precio Unitario Neto]]*Tabla4[[#Headers],[20.85%]]</f>
        <v>45.892934999999994</v>
      </c>
      <c r="L6911" s="282">
        <f>++Tabla4[[#This Row],[Precio Unitario Neto]]-Tabla4[[#This Row],[20.85%]]</f>
        <v>174.21706499999999</v>
      </c>
      <c r="M6911" s="282" t="e">
        <f>(INDEX(Tabla6[#All],MATCH(Tabla4[[#This Row],[Producto]],Tabla6[[#All],[PRODUCTO]],0),MATCH(Tabla4[[#This Row],[Mes]],Tabla6[#Headers],0)))*(1+Catalogos!$L$2)</f>
        <v>#N/A</v>
      </c>
      <c r="N6911" s="283" t="e">
        <f>+(Tabla4[[#This Row],[Precio Descontado]]-Tabla4[[#This Row],[Precio Base]])*Tabla4[[#This Row],[Cantidad]]</f>
        <v>#N/A</v>
      </c>
      <c r="O6911" s="284" t="e">
        <f>++Tabla4[[#This Row],[Utilidad Total]]/Tabla4[[#This Row],[Total]]</f>
        <v>#N/A</v>
      </c>
      <c r="P6911" s="282">
        <f>++Tabla4[[#This Row],[Precio Descontado]]*Tabla4[[#This Row],[Cantidad]]</f>
        <v>348.43412999999998</v>
      </c>
      <c r="Q6911" s="282" t="e">
        <f>(INDEX(Tabla6[#All],MATCH(Tabla4[[#This Row],[Producto]],Tabla6[[#All],[PRODUCTO]],0),MATCH(Tabla4[[#This Row],[Mes]],Tabla6[#Headers],0)))</f>
        <v>#N/A</v>
      </c>
      <c r="R6911" s="282" t="e">
        <f>++Tabla4[[#This Row],[Precio Unitario Neto]]-Tabla4[[#This Row],[20.85%]]-Tabla4[[#This Row],[Costo]]</f>
        <v>#N/A</v>
      </c>
      <c r="S6911" s="282" t="e">
        <f>++Tabla4[[#This Row],[U. Bruta Uni]]*Tabla4[[#This Row],[Cantidad]]</f>
        <v>#N/A</v>
      </c>
      <c r="T6911" s="369" t="str">
        <f>VLOOKUP(Tabla4[[#This Row],[Producto]],Tabla6[#All],14,FALSE)</f>
        <v>Termico Solar</v>
      </c>
      <c r="U6911" s="284" t="e">
        <f>(IF(Tabla4[[#This Row],[Familia]]="termico solar",Tabla4[[#This Row],[Utilidad Total]]*6%,Tabla4[[#This Row],[Utilidad Total]]*11.5%))/Tabla4[[#This Row],[Total]]</f>
        <v>#N/A</v>
      </c>
      <c r="V6911" s="282" t="e">
        <f>+Tabla4[[#This Row],[Comisión Calculada]]*Tabla4[[#This Row],[Total]]</f>
        <v>#N/A</v>
      </c>
    </row>
    <row r="6912" spans="1:22" hidden="1" x14ac:dyDescent="0.25">
      <c r="A6912" s="100">
        <v>45976</v>
      </c>
      <c r="B6912" t="str">
        <f t="shared" ref="B6912:B6913" si="494">TEXT(A6912, "mmmm")</f>
        <v>November</v>
      </c>
      <c r="C6912" s="46" t="s">
        <v>280</v>
      </c>
      <c r="F6912" s="366" t="s">
        <v>3478</v>
      </c>
      <c r="G6912" s="46" t="s">
        <v>19</v>
      </c>
      <c r="H6912" s="46">
        <v>1</v>
      </c>
      <c r="I6912" s="51">
        <v>6412.03</v>
      </c>
      <c r="J6912" s="281">
        <f>++Tabla4[[#This Row],[Precio Bruto]]*1.16</f>
        <v>7437.9547999999995</v>
      </c>
      <c r="K6912" s="281">
        <f>+Tabla4[[#This Row],[Precio Unitario Neto]]*Tabla4[[#Headers],[20.85%]]</f>
        <v>1550.8135757999999</v>
      </c>
      <c r="L6912" s="282">
        <f>++Tabla4[[#This Row],[Precio Unitario Neto]]-Tabla4[[#This Row],[20.85%]]</f>
        <v>5887.1412241999997</v>
      </c>
      <c r="M6912" s="282" t="e">
        <f>(INDEX(Tabla6[#All],MATCH(Tabla4[[#This Row],[Producto]],Tabla6[[#All],[PRODUCTO]],0),MATCH(Tabla4[[#This Row],[Mes]],Tabla6[#Headers],0)))*(1+Catalogos!$L$2)</f>
        <v>#N/A</v>
      </c>
      <c r="N6912" s="283" t="e">
        <f>+(Tabla4[[#This Row],[Precio Descontado]]-Tabla4[[#This Row],[Precio Base]])*Tabla4[[#This Row],[Cantidad]]</f>
        <v>#N/A</v>
      </c>
      <c r="O6912" s="284" t="e">
        <f>++Tabla4[[#This Row],[Utilidad Total]]/Tabla4[[#This Row],[Total]]</f>
        <v>#N/A</v>
      </c>
      <c r="P6912" s="282">
        <f>++Tabla4[[#This Row],[Precio Descontado]]*Tabla4[[#This Row],[Cantidad]]</f>
        <v>5887.1412241999997</v>
      </c>
      <c r="Q6912" s="282" t="e">
        <f>(INDEX(Tabla6[#All],MATCH(Tabla4[[#This Row],[Producto]],Tabla6[[#All],[PRODUCTO]],0),MATCH(Tabla4[[#This Row],[Mes]],Tabla6[#Headers],0)))</f>
        <v>#N/A</v>
      </c>
      <c r="R6912" s="282" t="e">
        <f>++Tabla4[[#This Row],[Precio Unitario Neto]]-Tabla4[[#This Row],[20.85%]]-Tabla4[[#This Row],[Costo]]</f>
        <v>#N/A</v>
      </c>
      <c r="S6912" s="282" t="e">
        <f>++Tabla4[[#This Row],[U. Bruta Uni]]*Tabla4[[#This Row],[Cantidad]]</f>
        <v>#N/A</v>
      </c>
      <c r="T6912" s="369" t="str">
        <f>VLOOKUP(Tabla4[[#This Row],[Producto]],Tabla6[#All],14,FALSE)</f>
        <v>Termico Solar</v>
      </c>
      <c r="U6912" s="284" t="e">
        <f>(IF(Tabla4[[#This Row],[Familia]]="termico solar",Tabla4[[#This Row],[Utilidad Total]]*6%,Tabla4[[#This Row],[Utilidad Total]]*11.5%))/Tabla4[[#This Row],[Total]]</f>
        <v>#N/A</v>
      </c>
      <c r="V6912" s="282" t="e">
        <f>+Tabla4[[#This Row],[Comisión Calculada]]*Tabla4[[#This Row],[Total]]</f>
        <v>#N/A</v>
      </c>
    </row>
    <row r="6913" spans="1:22" hidden="1" x14ac:dyDescent="0.25">
      <c r="A6913" s="100">
        <v>45976</v>
      </c>
      <c r="B6913" t="str">
        <f t="shared" si="494"/>
        <v>November</v>
      </c>
      <c r="C6913" s="46" t="s">
        <v>280</v>
      </c>
      <c r="F6913" s="366" t="s">
        <v>3478</v>
      </c>
      <c r="G6913" s="46" t="s">
        <v>208</v>
      </c>
      <c r="H6913" s="46">
        <v>5</v>
      </c>
      <c r="I6913" s="51">
        <v>189.75</v>
      </c>
      <c r="J6913" s="281">
        <f>++Tabla4[[#This Row],[Precio Bruto]]*1.16</f>
        <v>220.10999999999999</v>
      </c>
      <c r="K6913" s="281">
        <f>+Tabla4[[#This Row],[Precio Unitario Neto]]*Tabla4[[#Headers],[20.85%]]</f>
        <v>45.892934999999994</v>
      </c>
      <c r="L6913" s="282">
        <f>++Tabla4[[#This Row],[Precio Unitario Neto]]-Tabla4[[#This Row],[20.85%]]</f>
        <v>174.21706499999999</v>
      </c>
      <c r="M6913" s="282" t="e">
        <f>(INDEX(Tabla6[#All],MATCH(Tabla4[[#This Row],[Producto]],Tabla6[[#All],[PRODUCTO]],0),MATCH(Tabla4[[#This Row],[Mes]],Tabla6[#Headers],0)))*(1+Catalogos!$L$2)</f>
        <v>#N/A</v>
      </c>
      <c r="N6913" s="283" t="e">
        <f>+(Tabla4[[#This Row],[Precio Descontado]]-Tabla4[[#This Row],[Precio Base]])*Tabla4[[#This Row],[Cantidad]]</f>
        <v>#N/A</v>
      </c>
      <c r="O6913" s="284" t="e">
        <f>++Tabla4[[#This Row],[Utilidad Total]]/Tabla4[[#This Row],[Total]]</f>
        <v>#N/A</v>
      </c>
      <c r="P6913" s="282">
        <f>++Tabla4[[#This Row],[Precio Descontado]]*Tabla4[[#This Row],[Cantidad]]</f>
        <v>871.08532500000001</v>
      </c>
      <c r="Q6913" s="282" t="e">
        <f>(INDEX(Tabla6[#All],MATCH(Tabla4[[#This Row],[Producto]],Tabla6[[#All],[PRODUCTO]],0),MATCH(Tabla4[[#This Row],[Mes]],Tabla6[#Headers],0)))</f>
        <v>#N/A</v>
      </c>
      <c r="R6913" s="282" t="e">
        <f>++Tabla4[[#This Row],[Precio Unitario Neto]]-Tabla4[[#This Row],[20.85%]]-Tabla4[[#This Row],[Costo]]</f>
        <v>#N/A</v>
      </c>
      <c r="S6913" s="282" t="e">
        <f>++Tabla4[[#This Row],[U. Bruta Uni]]*Tabla4[[#This Row],[Cantidad]]</f>
        <v>#N/A</v>
      </c>
      <c r="T6913" s="369" t="str">
        <f>VLOOKUP(Tabla4[[#This Row],[Producto]],Tabla6[#All],14,FALSE)</f>
        <v>Termico Solar</v>
      </c>
      <c r="U6913" s="284" t="e">
        <f>(IF(Tabla4[[#This Row],[Familia]]="termico solar",Tabla4[[#This Row],[Utilidad Total]]*6%,Tabla4[[#This Row],[Utilidad Total]]*11.5%))/Tabla4[[#This Row],[Total]]</f>
        <v>#N/A</v>
      </c>
      <c r="V6913" s="282" t="e">
        <f>+Tabla4[[#This Row],[Comisión Calculada]]*Tabla4[[#This Row],[Total]]</f>
        <v>#N/A</v>
      </c>
    </row>
    <row r="6914" spans="1:22" hidden="1" x14ac:dyDescent="0.25">
      <c r="A6914" s="100">
        <v>45976</v>
      </c>
      <c r="B6914" t="str">
        <f t="shared" ref="B6914:B6915" si="495">TEXT(A6914, "mmmm")</f>
        <v>November</v>
      </c>
      <c r="C6914" s="46" t="s">
        <v>280</v>
      </c>
      <c r="F6914" s="366" t="s">
        <v>3479</v>
      </c>
      <c r="G6914" s="46" t="s">
        <v>83</v>
      </c>
      <c r="H6914" s="46">
        <v>1</v>
      </c>
      <c r="I6914" s="51">
        <v>8858.76</v>
      </c>
      <c r="J6914" s="281">
        <f>++Tabla4[[#This Row],[Precio Bruto]]*1.16</f>
        <v>10276.161599999999</v>
      </c>
      <c r="K6914" s="281">
        <f>+Tabla4[[#This Row],[Precio Unitario Neto]]*Tabla4[[#Headers],[20.85%]]</f>
        <v>2142.5796935999997</v>
      </c>
      <c r="L6914" s="282">
        <f>++Tabla4[[#This Row],[Precio Unitario Neto]]-Tabla4[[#This Row],[20.85%]]</f>
        <v>8133.5819063999998</v>
      </c>
      <c r="M6914" s="282" t="e">
        <f>(INDEX(Tabla6[#All],MATCH(Tabla4[[#This Row],[Producto]],Tabla6[[#All],[PRODUCTO]],0),MATCH(Tabla4[[#This Row],[Mes]],Tabla6[#Headers],0)))*(1+Catalogos!$L$2)</f>
        <v>#N/A</v>
      </c>
      <c r="N6914" s="283" t="e">
        <f>+(Tabla4[[#This Row],[Precio Descontado]]-Tabla4[[#This Row],[Precio Base]])*Tabla4[[#This Row],[Cantidad]]</f>
        <v>#N/A</v>
      </c>
      <c r="O6914" s="284" t="e">
        <f>++Tabla4[[#This Row],[Utilidad Total]]/Tabla4[[#This Row],[Total]]</f>
        <v>#N/A</v>
      </c>
      <c r="P6914" s="282">
        <f>++Tabla4[[#This Row],[Precio Descontado]]*Tabla4[[#This Row],[Cantidad]]</f>
        <v>8133.5819063999998</v>
      </c>
      <c r="Q6914" s="282" t="e">
        <f>(INDEX(Tabla6[#All],MATCH(Tabla4[[#This Row],[Producto]],Tabla6[[#All],[PRODUCTO]],0),MATCH(Tabla4[[#This Row],[Mes]],Tabla6[#Headers],0)))</f>
        <v>#N/A</v>
      </c>
      <c r="R6914" s="282" t="e">
        <f>++Tabla4[[#This Row],[Precio Unitario Neto]]-Tabla4[[#This Row],[20.85%]]-Tabla4[[#This Row],[Costo]]</f>
        <v>#N/A</v>
      </c>
      <c r="S6914" s="282" t="e">
        <f>++Tabla4[[#This Row],[U. Bruta Uni]]*Tabla4[[#This Row],[Cantidad]]</f>
        <v>#N/A</v>
      </c>
      <c r="T6914" s="369" t="str">
        <f>VLOOKUP(Tabla4[[#This Row],[Producto]],Tabla6[#All],14,FALSE)</f>
        <v>Termico Solar</v>
      </c>
      <c r="U6914" s="284" t="e">
        <f>(IF(Tabla4[[#This Row],[Familia]]="termico solar",Tabla4[[#This Row],[Utilidad Total]]*6%,Tabla4[[#This Row],[Utilidad Total]]*11.5%))/Tabla4[[#This Row],[Total]]</f>
        <v>#N/A</v>
      </c>
      <c r="V6914" s="282" t="e">
        <f>+Tabla4[[#This Row],[Comisión Calculada]]*Tabla4[[#This Row],[Total]]</f>
        <v>#N/A</v>
      </c>
    </row>
    <row r="6915" spans="1:22" hidden="1" x14ac:dyDescent="0.25">
      <c r="A6915" s="100">
        <v>45976</v>
      </c>
      <c r="B6915" t="str">
        <f t="shared" si="495"/>
        <v>November</v>
      </c>
      <c r="C6915" s="46" t="s">
        <v>280</v>
      </c>
      <c r="F6915" s="366" t="s">
        <v>3479</v>
      </c>
      <c r="G6915" s="46" t="s">
        <v>17</v>
      </c>
      <c r="H6915" s="46">
        <v>2</v>
      </c>
      <c r="I6915" s="51">
        <v>4622.28</v>
      </c>
      <c r="J6915" s="281">
        <f>++Tabla4[[#This Row],[Precio Bruto]]*1.16</f>
        <v>5361.8447999999989</v>
      </c>
      <c r="K6915" s="281">
        <f>+Tabla4[[#This Row],[Precio Unitario Neto]]*Tabla4[[#Headers],[20.85%]]</f>
        <v>1117.9446407999997</v>
      </c>
      <c r="L6915" s="282">
        <f>++Tabla4[[#This Row],[Precio Unitario Neto]]-Tabla4[[#This Row],[20.85%]]</f>
        <v>4243.9001591999995</v>
      </c>
      <c r="M6915" s="282" t="e">
        <f>(INDEX(Tabla6[#All],MATCH(Tabla4[[#This Row],[Producto]],Tabla6[[#All],[PRODUCTO]],0),MATCH(Tabla4[[#This Row],[Mes]],Tabla6[#Headers],0)))*(1+Catalogos!$L$2)</f>
        <v>#N/A</v>
      </c>
      <c r="N6915" s="283" t="e">
        <f>+(Tabla4[[#This Row],[Precio Descontado]]-Tabla4[[#This Row],[Precio Base]])*Tabla4[[#This Row],[Cantidad]]</f>
        <v>#N/A</v>
      </c>
      <c r="O6915" s="284" t="e">
        <f>++Tabla4[[#This Row],[Utilidad Total]]/Tabla4[[#This Row],[Total]]</f>
        <v>#N/A</v>
      </c>
      <c r="P6915" s="282">
        <f>++Tabla4[[#This Row],[Precio Descontado]]*Tabla4[[#This Row],[Cantidad]]</f>
        <v>8487.800318399999</v>
      </c>
      <c r="Q6915" s="282" t="e">
        <f>(INDEX(Tabla6[#All],MATCH(Tabla4[[#This Row],[Producto]],Tabla6[[#All],[PRODUCTO]],0),MATCH(Tabla4[[#This Row],[Mes]],Tabla6[#Headers],0)))</f>
        <v>#N/A</v>
      </c>
      <c r="R6915" s="282" t="e">
        <f>++Tabla4[[#This Row],[Precio Unitario Neto]]-Tabla4[[#This Row],[20.85%]]-Tabla4[[#This Row],[Costo]]</f>
        <v>#N/A</v>
      </c>
      <c r="S6915" s="282" t="e">
        <f>++Tabla4[[#This Row],[U. Bruta Uni]]*Tabla4[[#This Row],[Cantidad]]</f>
        <v>#N/A</v>
      </c>
      <c r="T6915" s="369" t="str">
        <f>VLOOKUP(Tabla4[[#This Row],[Producto]],Tabla6[#All],14,FALSE)</f>
        <v>Termico Solar</v>
      </c>
      <c r="U6915" s="284" t="e">
        <f>(IF(Tabla4[[#This Row],[Familia]]="termico solar",Tabla4[[#This Row],[Utilidad Total]]*6%,Tabla4[[#This Row],[Utilidad Total]]*11.5%))/Tabla4[[#This Row],[Total]]</f>
        <v>#N/A</v>
      </c>
      <c r="V6915" s="282" t="e">
        <f>+Tabla4[[#This Row],[Comisión Calculada]]*Tabla4[[#This Row],[Total]]</f>
        <v>#N/A</v>
      </c>
    </row>
    <row r="6916" spans="1:22" hidden="1" x14ac:dyDescent="0.25">
      <c r="A6916" s="100">
        <v>45976</v>
      </c>
      <c r="B6916" t="str">
        <f>TEXT(A6916, "mmmm")</f>
        <v>November</v>
      </c>
      <c r="C6916" s="46" t="s">
        <v>280</v>
      </c>
      <c r="F6916" s="366" t="s">
        <v>3480</v>
      </c>
      <c r="G6916" s="46" t="s">
        <v>18</v>
      </c>
      <c r="H6916" s="46">
        <v>2</v>
      </c>
      <c r="I6916" s="51">
        <v>5367.65</v>
      </c>
      <c r="J6916" s="281">
        <f>++Tabla4[[#This Row],[Precio Bruto]]*1.16</f>
        <v>6226.4739999999993</v>
      </c>
      <c r="K6916" s="281">
        <f>+Tabla4[[#This Row],[Precio Unitario Neto]]*Tabla4[[#Headers],[20.85%]]</f>
        <v>1298.2198289999999</v>
      </c>
      <c r="L6916" s="282">
        <f>++Tabla4[[#This Row],[Precio Unitario Neto]]-Tabla4[[#This Row],[20.85%]]</f>
        <v>4928.2541709999996</v>
      </c>
      <c r="M6916" s="282" t="e">
        <f>(INDEX(Tabla6[#All],MATCH(Tabla4[[#This Row],[Producto]],Tabla6[[#All],[PRODUCTO]],0),MATCH(Tabla4[[#This Row],[Mes]],Tabla6[#Headers],0)))*(1+Catalogos!$L$2)</f>
        <v>#N/A</v>
      </c>
      <c r="N6916" s="283" t="e">
        <f>+(Tabla4[[#This Row],[Precio Descontado]]-Tabla4[[#This Row],[Precio Base]])*Tabla4[[#This Row],[Cantidad]]</f>
        <v>#N/A</v>
      </c>
      <c r="O6916" s="284" t="e">
        <f>++Tabla4[[#This Row],[Utilidad Total]]/Tabla4[[#This Row],[Total]]</f>
        <v>#N/A</v>
      </c>
      <c r="P6916" s="282">
        <f>++Tabla4[[#This Row],[Precio Descontado]]*Tabla4[[#This Row],[Cantidad]]</f>
        <v>9856.5083419999992</v>
      </c>
      <c r="Q6916" s="282" t="e">
        <f>(INDEX(Tabla6[#All],MATCH(Tabla4[[#This Row],[Producto]],Tabla6[[#All],[PRODUCTO]],0),MATCH(Tabla4[[#This Row],[Mes]],Tabla6[#Headers],0)))</f>
        <v>#N/A</v>
      </c>
      <c r="R6916" s="282" t="e">
        <f>++Tabla4[[#This Row],[Precio Unitario Neto]]-Tabla4[[#This Row],[20.85%]]-Tabla4[[#This Row],[Costo]]</f>
        <v>#N/A</v>
      </c>
      <c r="S6916" s="282" t="e">
        <f>++Tabla4[[#This Row],[U. Bruta Uni]]*Tabla4[[#This Row],[Cantidad]]</f>
        <v>#N/A</v>
      </c>
      <c r="T6916" s="369" t="str">
        <f>VLOOKUP(Tabla4[[#This Row],[Producto]],Tabla6[#All],14,FALSE)</f>
        <v>Termico Solar</v>
      </c>
      <c r="U6916" s="284" t="e">
        <f>(IF(Tabla4[[#This Row],[Familia]]="termico solar",Tabla4[[#This Row],[Utilidad Total]]*6%,Tabla4[[#This Row],[Utilidad Total]]*11.5%))/Tabla4[[#This Row],[Total]]</f>
        <v>#N/A</v>
      </c>
      <c r="V6916" s="282" t="e">
        <f>+Tabla4[[#This Row],[Comisión Calculada]]*Tabla4[[#This Row],[Total]]</f>
        <v>#N/A</v>
      </c>
    </row>
    <row r="6917" spans="1:22" hidden="1" x14ac:dyDescent="0.25">
      <c r="A6917" s="100">
        <v>45976</v>
      </c>
      <c r="B6917" t="str">
        <f t="shared" ref="B6917:B6918" si="496">TEXT(A6917, "mmmm")</f>
        <v>November</v>
      </c>
      <c r="C6917" s="46" t="s">
        <v>280</v>
      </c>
      <c r="F6917" s="366" t="s">
        <v>3481</v>
      </c>
      <c r="G6917" s="46" t="s">
        <v>394</v>
      </c>
      <c r="H6917" s="46">
        <v>16</v>
      </c>
      <c r="I6917" s="51">
        <v>224.29</v>
      </c>
      <c r="J6917" s="281">
        <f>++Tabla4[[#This Row],[Precio Bruto]]*1.16</f>
        <v>260.1764</v>
      </c>
      <c r="K6917" s="281">
        <f>+Tabla4[[#This Row],[Precio Unitario Neto]]*Tabla4[[#Headers],[20.85%]]</f>
        <v>54.246779400000001</v>
      </c>
      <c r="L6917" s="282">
        <f>++Tabla4[[#This Row],[Precio Unitario Neto]]-Tabla4[[#This Row],[20.85%]]</f>
        <v>205.92962059999999</v>
      </c>
      <c r="M6917" s="282" t="e">
        <f>(INDEX(Tabla6[#All],MATCH(Tabla4[[#This Row],[Producto]],Tabla6[[#All],[PRODUCTO]],0),MATCH(Tabla4[[#This Row],[Mes]],Tabla6[#Headers],0)))*(1+Catalogos!$L$2)</f>
        <v>#N/A</v>
      </c>
      <c r="N6917" s="283" t="e">
        <f>+(Tabla4[[#This Row],[Precio Descontado]]-Tabla4[[#This Row],[Precio Base]])*Tabla4[[#This Row],[Cantidad]]</f>
        <v>#N/A</v>
      </c>
      <c r="O6917" s="284" t="e">
        <f>++Tabla4[[#This Row],[Utilidad Total]]/Tabla4[[#This Row],[Total]]</f>
        <v>#N/A</v>
      </c>
      <c r="P6917" s="282">
        <f>++Tabla4[[#This Row],[Precio Descontado]]*Tabla4[[#This Row],[Cantidad]]</f>
        <v>3294.8739295999999</v>
      </c>
      <c r="Q6917" s="282" t="e">
        <f>(INDEX(Tabla6[#All],MATCH(Tabla4[[#This Row],[Producto]],Tabla6[[#All],[PRODUCTO]],0),MATCH(Tabla4[[#This Row],[Mes]],Tabla6[#Headers],0)))</f>
        <v>#N/A</v>
      </c>
      <c r="R6917" s="282" t="e">
        <f>++Tabla4[[#This Row],[Precio Unitario Neto]]-Tabla4[[#This Row],[20.85%]]-Tabla4[[#This Row],[Costo]]</f>
        <v>#N/A</v>
      </c>
      <c r="S6917" s="282" t="e">
        <f>++Tabla4[[#This Row],[U. Bruta Uni]]*Tabla4[[#This Row],[Cantidad]]</f>
        <v>#N/A</v>
      </c>
      <c r="T6917" s="369" t="str">
        <f>VLOOKUP(Tabla4[[#This Row],[Producto]],Tabla6[#All],14,FALSE)</f>
        <v>Termico Solar</v>
      </c>
      <c r="U6917" s="284" t="e">
        <f>(IF(Tabla4[[#This Row],[Familia]]="termico solar",Tabla4[[#This Row],[Utilidad Total]]*6%,Tabla4[[#This Row],[Utilidad Total]]*11.5%))/Tabla4[[#This Row],[Total]]</f>
        <v>#N/A</v>
      </c>
      <c r="V6917" s="282" t="e">
        <f>+Tabla4[[#This Row],[Comisión Calculada]]*Tabla4[[#This Row],[Total]]</f>
        <v>#N/A</v>
      </c>
    </row>
    <row r="6918" spans="1:22" hidden="1" x14ac:dyDescent="0.25">
      <c r="A6918" s="100">
        <v>45976</v>
      </c>
      <c r="B6918" t="str">
        <f t="shared" si="496"/>
        <v>November</v>
      </c>
      <c r="C6918" s="46" t="s">
        <v>280</v>
      </c>
      <c r="F6918" s="366" t="s">
        <v>3481</v>
      </c>
      <c r="G6918" s="46" t="s">
        <v>208</v>
      </c>
      <c r="H6918" s="46">
        <v>1</v>
      </c>
      <c r="I6918" s="51">
        <v>189.75</v>
      </c>
      <c r="J6918" s="281">
        <f>++Tabla4[[#This Row],[Precio Bruto]]*1.16</f>
        <v>220.10999999999999</v>
      </c>
      <c r="K6918" s="281">
        <f>+Tabla4[[#This Row],[Precio Unitario Neto]]*Tabla4[[#Headers],[20.85%]]</f>
        <v>45.892934999999994</v>
      </c>
      <c r="L6918" s="282">
        <f>++Tabla4[[#This Row],[Precio Unitario Neto]]-Tabla4[[#This Row],[20.85%]]</f>
        <v>174.21706499999999</v>
      </c>
      <c r="M6918" s="282" t="e">
        <f>(INDEX(Tabla6[#All],MATCH(Tabla4[[#This Row],[Producto]],Tabla6[[#All],[PRODUCTO]],0),MATCH(Tabla4[[#This Row],[Mes]],Tabla6[#Headers],0)))*(1+Catalogos!$L$2)</f>
        <v>#N/A</v>
      </c>
      <c r="N6918" s="283" t="e">
        <f>+(Tabla4[[#This Row],[Precio Descontado]]-Tabla4[[#This Row],[Precio Base]])*Tabla4[[#This Row],[Cantidad]]</f>
        <v>#N/A</v>
      </c>
      <c r="O6918" s="284" t="e">
        <f>++Tabla4[[#This Row],[Utilidad Total]]/Tabla4[[#This Row],[Total]]</f>
        <v>#N/A</v>
      </c>
      <c r="P6918" s="282">
        <f>++Tabla4[[#This Row],[Precio Descontado]]*Tabla4[[#This Row],[Cantidad]]</f>
        <v>174.21706499999999</v>
      </c>
      <c r="Q6918" s="282" t="e">
        <f>(INDEX(Tabla6[#All],MATCH(Tabla4[[#This Row],[Producto]],Tabla6[[#All],[PRODUCTO]],0),MATCH(Tabla4[[#This Row],[Mes]],Tabla6[#Headers],0)))</f>
        <v>#N/A</v>
      </c>
      <c r="R6918" s="282" t="e">
        <f>++Tabla4[[#This Row],[Precio Unitario Neto]]-Tabla4[[#This Row],[20.85%]]-Tabla4[[#This Row],[Costo]]</f>
        <v>#N/A</v>
      </c>
      <c r="S6918" s="282" t="e">
        <f>++Tabla4[[#This Row],[U. Bruta Uni]]*Tabla4[[#This Row],[Cantidad]]</f>
        <v>#N/A</v>
      </c>
      <c r="T6918" s="369" t="str">
        <f>VLOOKUP(Tabla4[[#This Row],[Producto]],Tabla6[#All],14,FALSE)</f>
        <v>Termico Solar</v>
      </c>
      <c r="U6918" s="284" t="e">
        <f>(IF(Tabla4[[#This Row],[Familia]]="termico solar",Tabla4[[#This Row],[Utilidad Total]]*6%,Tabla4[[#This Row],[Utilidad Total]]*11.5%))/Tabla4[[#This Row],[Total]]</f>
        <v>#N/A</v>
      </c>
      <c r="V6918" s="282" t="e">
        <f>+Tabla4[[#This Row],[Comisión Calculada]]*Tabla4[[#This Row],[Total]]</f>
        <v>#N/A</v>
      </c>
    </row>
    <row r="6919" spans="1:22" hidden="1" x14ac:dyDescent="0.25">
      <c r="A6919" s="100">
        <v>45976</v>
      </c>
      <c r="B6919" t="str">
        <f>TEXT(A6919, "mmmm")</f>
        <v>November</v>
      </c>
      <c r="C6919" s="46" t="s">
        <v>280</v>
      </c>
      <c r="F6919" s="366" t="s">
        <v>3482</v>
      </c>
      <c r="G6919" s="46" t="s">
        <v>208</v>
      </c>
      <c r="H6919" s="46">
        <v>1</v>
      </c>
      <c r="I6919" s="51">
        <v>189.75</v>
      </c>
      <c r="J6919" s="281">
        <f>++Tabla4[[#This Row],[Precio Bruto]]*1.16</f>
        <v>220.10999999999999</v>
      </c>
      <c r="K6919" s="281">
        <f>+Tabla4[[#This Row],[Precio Unitario Neto]]*Tabla4[[#Headers],[20.85%]]</f>
        <v>45.892934999999994</v>
      </c>
      <c r="L6919" s="282">
        <f>++Tabla4[[#This Row],[Precio Unitario Neto]]-Tabla4[[#This Row],[20.85%]]</f>
        <v>174.21706499999999</v>
      </c>
      <c r="M6919" s="282" t="e">
        <f>(INDEX(Tabla6[#All],MATCH(Tabla4[[#This Row],[Producto]],Tabla6[[#All],[PRODUCTO]],0),MATCH(Tabla4[[#This Row],[Mes]],Tabla6[#Headers],0)))*(1+Catalogos!$L$2)</f>
        <v>#N/A</v>
      </c>
      <c r="N6919" s="283" t="e">
        <f>+(Tabla4[[#This Row],[Precio Descontado]]-Tabla4[[#This Row],[Precio Base]])*Tabla4[[#This Row],[Cantidad]]</f>
        <v>#N/A</v>
      </c>
      <c r="O6919" s="284" t="e">
        <f>++Tabla4[[#This Row],[Utilidad Total]]/Tabla4[[#This Row],[Total]]</f>
        <v>#N/A</v>
      </c>
      <c r="P6919" s="282">
        <f>++Tabla4[[#This Row],[Precio Descontado]]*Tabla4[[#This Row],[Cantidad]]</f>
        <v>174.21706499999999</v>
      </c>
      <c r="Q6919" s="282" t="e">
        <f>(INDEX(Tabla6[#All],MATCH(Tabla4[[#This Row],[Producto]],Tabla6[[#All],[PRODUCTO]],0),MATCH(Tabla4[[#This Row],[Mes]],Tabla6[#Headers],0)))</f>
        <v>#N/A</v>
      </c>
      <c r="R6919" s="282" t="e">
        <f>++Tabla4[[#This Row],[Precio Unitario Neto]]-Tabla4[[#This Row],[20.85%]]-Tabla4[[#This Row],[Costo]]</f>
        <v>#N/A</v>
      </c>
      <c r="S6919" s="282" t="e">
        <f>++Tabla4[[#This Row],[U. Bruta Uni]]*Tabla4[[#This Row],[Cantidad]]</f>
        <v>#N/A</v>
      </c>
      <c r="T6919" s="369" t="str">
        <f>VLOOKUP(Tabla4[[#This Row],[Producto]],Tabla6[#All],14,FALSE)</f>
        <v>Termico Solar</v>
      </c>
      <c r="U6919" s="284" t="e">
        <f>(IF(Tabla4[[#This Row],[Familia]]="termico solar",Tabla4[[#This Row],[Utilidad Total]]*6%,Tabla4[[#This Row],[Utilidad Total]]*11.5%))/Tabla4[[#This Row],[Total]]</f>
        <v>#N/A</v>
      </c>
      <c r="V6919" s="282" t="e">
        <f>+Tabla4[[#This Row],[Comisión Calculada]]*Tabla4[[#This Row],[Total]]</f>
        <v>#N/A</v>
      </c>
    </row>
    <row r="6920" spans="1:22" hidden="1" x14ac:dyDescent="0.25">
      <c r="A6920" s="100">
        <v>45976</v>
      </c>
      <c r="B6920" t="str">
        <f>TEXT(A6920, "mmmm")</f>
        <v>November</v>
      </c>
      <c r="C6920" s="46" t="s">
        <v>280</v>
      </c>
      <c r="F6920" s="366" t="s">
        <v>3483</v>
      </c>
      <c r="G6920" s="46" t="s">
        <v>18</v>
      </c>
      <c r="H6920" s="46">
        <v>1</v>
      </c>
      <c r="I6920" s="51">
        <v>5367.65</v>
      </c>
      <c r="J6920" s="281">
        <f>++Tabla4[[#This Row],[Precio Bruto]]*1.16</f>
        <v>6226.4739999999993</v>
      </c>
      <c r="K6920" s="281">
        <f>+Tabla4[[#This Row],[Precio Unitario Neto]]*Tabla4[[#Headers],[20.85%]]</f>
        <v>1298.2198289999999</v>
      </c>
      <c r="L6920" s="282">
        <f>++Tabla4[[#This Row],[Precio Unitario Neto]]-Tabla4[[#This Row],[20.85%]]</f>
        <v>4928.2541709999996</v>
      </c>
      <c r="M6920" s="282" t="e">
        <f>(INDEX(Tabla6[#All],MATCH(Tabla4[[#This Row],[Producto]],Tabla6[[#All],[PRODUCTO]],0),MATCH(Tabla4[[#This Row],[Mes]],Tabla6[#Headers],0)))*(1+Catalogos!$L$2)</f>
        <v>#N/A</v>
      </c>
      <c r="N6920" s="283" t="e">
        <f>+(Tabla4[[#This Row],[Precio Descontado]]-Tabla4[[#This Row],[Precio Base]])*Tabla4[[#This Row],[Cantidad]]</f>
        <v>#N/A</v>
      </c>
      <c r="O6920" s="284" t="e">
        <f>++Tabla4[[#This Row],[Utilidad Total]]/Tabla4[[#This Row],[Total]]</f>
        <v>#N/A</v>
      </c>
      <c r="P6920" s="282">
        <f>++Tabla4[[#This Row],[Precio Descontado]]*Tabla4[[#This Row],[Cantidad]]</f>
        <v>4928.2541709999996</v>
      </c>
      <c r="Q6920" s="282" t="e">
        <f>(INDEX(Tabla6[#All],MATCH(Tabla4[[#This Row],[Producto]],Tabla6[[#All],[PRODUCTO]],0),MATCH(Tabla4[[#This Row],[Mes]],Tabla6[#Headers],0)))</f>
        <v>#N/A</v>
      </c>
      <c r="R6920" s="282" t="e">
        <f>++Tabla4[[#This Row],[Precio Unitario Neto]]-Tabla4[[#This Row],[20.85%]]-Tabla4[[#This Row],[Costo]]</f>
        <v>#N/A</v>
      </c>
      <c r="S6920" s="282" t="e">
        <f>++Tabla4[[#This Row],[U. Bruta Uni]]*Tabla4[[#This Row],[Cantidad]]</f>
        <v>#N/A</v>
      </c>
      <c r="T6920" s="369" t="str">
        <f>VLOOKUP(Tabla4[[#This Row],[Producto]],Tabla6[#All],14,FALSE)</f>
        <v>Termico Solar</v>
      </c>
      <c r="U6920" s="284" t="e">
        <f>(IF(Tabla4[[#This Row],[Familia]]="termico solar",Tabla4[[#This Row],[Utilidad Total]]*6%,Tabla4[[#This Row],[Utilidad Total]]*11.5%))/Tabla4[[#This Row],[Total]]</f>
        <v>#N/A</v>
      </c>
      <c r="V6920" s="282" t="e">
        <f>+Tabla4[[#This Row],[Comisión Calculada]]*Tabla4[[#This Row],[Total]]</f>
        <v>#N/A</v>
      </c>
    </row>
    <row r="6921" spans="1:22" hidden="1" x14ac:dyDescent="0.25">
      <c r="A6921" s="100">
        <v>45976</v>
      </c>
      <c r="B6921" t="str">
        <f>TEXT(A6921, "mmmm")</f>
        <v>November</v>
      </c>
      <c r="C6921" s="46" t="s">
        <v>280</v>
      </c>
      <c r="F6921" s="366" t="s">
        <v>3484</v>
      </c>
      <c r="G6921" s="46" t="s">
        <v>208</v>
      </c>
      <c r="H6921" s="46">
        <v>5</v>
      </c>
      <c r="I6921" s="51">
        <v>189.75</v>
      </c>
      <c r="J6921" s="281">
        <f>++Tabla4[[#This Row],[Precio Bruto]]*1.16</f>
        <v>220.10999999999999</v>
      </c>
      <c r="K6921" s="281">
        <f>+Tabla4[[#This Row],[Precio Unitario Neto]]*Tabla4[[#Headers],[20.85%]]</f>
        <v>45.892934999999994</v>
      </c>
      <c r="L6921" s="282">
        <f>++Tabla4[[#This Row],[Precio Unitario Neto]]-Tabla4[[#This Row],[20.85%]]</f>
        <v>174.21706499999999</v>
      </c>
      <c r="M6921" s="282" t="e">
        <f>(INDEX(Tabla6[#All],MATCH(Tabla4[[#This Row],[Producto]],Tabla6[[#All],[PRODUCTO]],0),MATCH(Tabla4[[#This Row],[Mes]],Tabla6[#Headers],0)))*(1+Catalogos!$L$2)</f>
        <v>#N/A</v>
      </c>
      <c r="N6921" s="283" t="e">
        <f>+(Tabla4[[#This Row],[Precio Descontado]]-Tabla4[[#This Row],[Precio Base]])*Tabla4[[#This Row],[Cantidad]]</f>
        <v>#N/A</v>
      </c>
      <c r="O6921" s="284" t="e">
        <f>++Tabla4[[#This Row],[Utilidad Total]]/Tabla4[[#This Row],[Total]]</f>
        <v>#N/A</v>
      </c>
      <c r="P6921" s="282">
        <f>++Tabla4[[#This Row],[Precio Descontado]]*Tabla4[[#This Row],[Cantidad]]</f>
        <v>871.08532500000001</v>
      </c>
      <c r="Q6921" s="282" t="e">
        <f>(INDEX(Tabla6[#All],MATCH(Tabla4[[#This Row],[Producto]],Tabla6[[#All],[PRODUCTO]],0),MATCH(Tabla4[[#This Row],[Mes]],Tabla6[#Headers],0)))</f>
        <v>#N/A</v>
      </c>
      <c r="R6921" s="282" t="e">
        <f>++Tabla4[[#This Row],[Precio Unitario Neto]]-Tabla4[[#This Row],[20.85%]]-Tabla4[[#This Row],[Costo]]</f>
        <v>#N/A</v>
      </c>
      <c r="S6921" s="282" t="e">
        <f>++Tabla4[[#This Row],[U. Bruta Uni]]*Tabla4[[#This Row],[Cantidad]]</f>
        <v>#N/A</v>
      </c>
      <c r="T6921" s="369" t="str">
        <f>VLOOKUP(Tabla4[[#This Row],[Producto]],Tabla6[#All],14,FALSE)</f>
        <v>Termico Solar</v>
      </c>
      <c r="U6921" s="284" t="e">
        <f>(IF(Tabla4[[#This Row],[Familia]]="termico solar",Tabla4[[#This Row],[Utilidad Total]]*6%,Tabla4[[#This Row],[Utilidad Total]]*11.5%))/Tabla4[[#This Row],[Total]]</f>
        <v>#N/A</v>
      </c>
      <c r="V6921" s="282" t="e">
        <f>+Tabla4[[#This Row],[Comisión Calculada]]*Tabla4[[#This Row],[Total]]</f>
        <v>#N/A</v>
      </c>
    </row>
    <row r="6922" spans="1:22" hidden="1" x14ac:dyDescent="0.25">
      <c r="A6922" s="100">
        <v>45976</v>
      </c>
      <c r="B6922" t="str">
        <f t="shared" ref="B6922:B6923" si="497">TEXT(A6922, "mmmm")</f>
        <v>November</v>
      </c>
      <c r="C6922" s="46" t="s">
        <v>280</v>
      </c>
      <c r="F6922" s="366" t="s">
        <v>3485</v>
      </c>
      <c r="G6922" s="46" t="s">
        <v>566</v>
      </c>
      <c r="H6922" s="46">
        <v>2</v>
      </c>
      <c r="I6922" s="51">
        <v>2109.4499999999998</v>
      </c>
      <c r="J6922" s="281">
        <f>++Tabla4[[#This Row],[Precio Bruto]]*1.16</f>
        <v>2446.9619999999995</v>
      </c>
      <c r="K6922" s="281">
        <f>+Tabla4[[#This Row],[Precio Unitario Neto]]*Tabla4[[#Headers],[20.85%]]</f>
        <v>510.19157699999988</v>
      </c>
      <c r="L6922" s="282">
        <f>++Tabla4[[#This Row],[Precio Unitario Neto]]-Tabla4[[#This Row],[20.85%]]</f>
        <v>1936.7704229999997</v>
      </c>
      <c r="M6922" s="282" t="e">
        <f>(INDEX(Tabla6[#All],MATCH(Tabla4[[#This Row],[Producto]],Tabla6[[#All],[PRODUCTO]],0),MATCH(Tabla4[[#This Row],[Mes]],Tabla6[#Headers],0)))*(1+Catalogos!$L$2)</f>
        <v>#N/A</v>
      </c>
      <c r="N6922" s="283" t="e">
        <f>+(Tabla4[[#This Row],[Precio Descontado]]-Tabla4[[#This Row],[Precio Base]])*Tabla4[[#This Row],[Cantidad]]</f>
        <v>#N/A</v>
      </c>
      <c r="O6922" s="284" t="e">
        <f>++Tabla4[[#This Row],[Utilidad Total]]/Tabla4[[#This Row],[Total]]</f>
        <v>#N/A</v>
      </c>
      <c r="P6922" s="282">
        <f>++Tabla4[[#This Row],[Precio Descontado]]*Tabla4[[#This Row],[Cantidad]]</f>
        <v>3873.5408459999994</v>
      </c>
      <c r="Q6922" s="282" t="e">
        <f>(INDEX(Tabla6[#All],MATCH(Tabla4[[#This Row],[Producto]],Tabla6[[#All],[PRODUCTO]],0),MATCH(Tabla4[[#This Row],[Mes]],Tabla6[#Headers],0)))</f>
        <v>#N/A</v>
      </c>
      <c r="R6922" s="282" t="e">
        <f>++Tabla4[[#This Row],[Precio Unitario Neto]]-Tabla4[[#This Row],[20.85%]]-Tabla4[[#This Row],[Costo]]</f>
        <v>#N/A</v>
      </c>
      <c r="S6922" s="282" t="e">
        <f>++Tabla4[[#This Row],[U. Bruta Uni]]*Tabla4[[#This Row],[Cantidad]]</f>
        <v>#N/A</v>
      </c>
      <c r="T6922" s="369" t="str">
        <f>VLOOKUP(Tabla4[[#This Row],[Producto]],Tabla6[#All],14,FALSE)</f>
        <v>Termico Solar</v>
      </c>
      <c r="U6922" s="284" t="e">
        <f>(IF(Tabla4[[#This Row],[Familia]]="termico solar",Tabla4[[#This Row],[Utilidad Total]]*6%,Tabla4[[#This Row],[Utilidad Total]]*11.5%))/Tabla4[[#This Row],[Total]]</f>
        <v>#N/A</v>
      </c>
      <c r="V6922" s="282" t="e">
        <f>+Tabla4[[#This Row],[Comisión Calculada]]*Tabla4[[#This Row],[Total]]</f>
        <v>#N/A</v>
      </c>
    </row>
    <row r="6923" spans="1:22" hidden="1" x14ac:dyDescent="0.25">
      <c r="A6923" s="100">
        <v>45976</v>
      </c>
      <c r="B6923" t="str">
        <f t="shared" si="497"/>
        <v>November</v>
      </c>
      <c r="C6923" s="46" t="s">
        <v>280</v>
      </c>
      <c r="F6923" s="366" t="s">
        <v>3485</v>
      </c>
      <c r="G6923" s="46" t="s">
        <v>208</v>
      </c>
      <c r="H6923" s="46">
        <v>1</v>
      </c>
      <c r="I6923" s="51">
        <v>189.75</v>
      </c>
      <c r="J6923" s="281">
        <f>++Tabla4[[#This Row],[Precio Bruto]]*1.16</f>
        <v>220.10999999999999</v>
      </c>
      <c r="K6923" s="281">
        <f>+Tabla4[[#This Row],[Precio Unitario Neto]]*Tabla4[[#Headers],[20.85%]]</f>
        <v>45.892934999999994</v>
      </c>
      <c r="L6923" s="282">
        <f>++Tabla4[[#This Row],[Precio Unitario Neto]]-Tabla4[[#This Row],[20.85%]]</f>
        <v>174.21706499999999</v>
      </c>
      <c r="M6923" s="282" t="e">
        <f>(INDEX(Tabla6[#All],MATCH(Tabla4[[#This Row],[Producto]],Tabla6[[#All],[PRODUCTO]],0),MATCH(Tabla4[[#This Row],[Mes]],Tabla6[#Headers],0)))*(1+Catalogos!$L$2)</f>
        <v>#N/A</v>
      </c>
      <c r="N6923" s="283" t="e">
        <f>+(Tabla4[[#This Row],[Precio Descontado]]-Tabla4[[#This Row],[Precio Base]])*Tabla4[[#This Row],[Cantidad]]</f>
        <v>#N/A</v>
      </c>
      <c r="O6923" s="284" t="e">
        <f>++Tabla4[[#This Row],[Utilidad Total]]/Tabla4[[#This Row],[Total]]</f>
        <v>#N/A</v>
      </c>
      <c r="P6923" s="282">
        <f>++Tabla4[[#This Row],[Precio Descontado]]*Tabla4[[#This Row],[Cantidad]]</f>
        <v>174.21706499999999</v>
      </c>
      <c r="Q6923" s="282" t="e">
        <f>(INDEX(Tabla6[#All],MATCH(Tabla4[[#This Row],[Producto]],Tabla6[[#All],[PRODUCTO]],0),MATCH(Tabla4[[#This Row],[Mes]],Tabla6[#Headers],0)))</f>
        <v>#N/A</v>
      </c>
      <c r="R6923" s="282" t="e">
        <f>++Tabla4[[#This Row],[Precio Unitario Neto]]-Tabla4[[#This Row],[20.85%]]-Tabla4[[#This Row],[Costo]]</f>
        <v>#N/A</v>
      </c>
      <c r="S6923" s="282" t="e">
        <f>++Tabla4[[#This Row],[U. Bruta Uni]]*Tabla4[[#This Row],[Cantidad]]</f>
        <v>#N/A</v>
      </c>
      <c r="T6923" s="369" t="str">
        <f>VLOOKUP(Tabla4[[#This Row],[Producto]],Tabla6[#All],14,FALSE)</f>
        <v>Termico Solar</v>
      </c>
      <c r="U6923" s="284" t="e">
        <f>(IF(Tabla4[[#This Row],[Familia]]="termico solar",Tabla4[[#This Row],[Utilidad Total]]*6%,Tabla4[[#This Row],[Utilidad Total]]*11.5%))/Tabla4[[#This Row],[Total]]</f>
        <v>#N/A</v>
      </c>
      <c r="V6923" s="282" t="e">
        <f>+Tabla4[[#This Row],[Comisión Calculada]]*Tabla4[[#This Row],[Total]]</f>
        <v>#N/A</v>
      </c>
    </row>
    <row r="6924" spans="1:22" hidden="1" x14ac:dyDescent="0.25">
      <c r="A6924" s="100">
        <v>45976</v>
      </c>
      <c r="B6924" t="str">
        <f t="shared" ref="B6924:B6925" si="498">TEXT(A6924, "mmmm")</f>
        <v>November</v>
      </c>
      <c r="C6924" s="46" t="s">
        <v>280</v>
      </c>
      <c r="F6924" s="366" t="s">
        <v>3486</v>
      </c>
      <c r="G6924" s="46" t="s">
        <v>18</v>
      </c>
      <c r="H6924" s="46">
        <v>5</v>
      </c>
      <c r="I6924" s="51">
        <v>5367.65</v>
      </c>
      <c r="J6924" s="281">
        <f>++Tabla4[[#This Row],[Precio Bruto]]*1.16</f>
        <v>6226.4739999999993</v>
      </c>
      <c r="K6924" s="281">
        <f>+Tabla4[[#This Row],[Precio Unitario Neto]]*Tabla4[[#Headers],[20.85%]]</f>
        <v>1298.2198289999999</v>
      </c>
      <c r="L6924" s="282">
        <f>++Tabla4[[#This Row],[Precio Unitario Neto]]-Tabla4[[#This Row],[20.85%]]</f>
        <v>4928.2541709999996</v>
      </c>
      <c r="M6924" s="282" t="e">
        <f>(INDEX(Tabla6[#All],MATCH(Tabla4[[#This Row],[Producto]],Tabla6[[#All],[PRODUCTO]],0),MATCH(Tabla4[[#This Row],[Mes]],Tabla6[#Headers],0)))*(1+Catalogos!$L$2)</f>
        <v>#N/A</v>
      </c>
      <c r="N6924" s="283" t="e">
        <f>+(Tabla4[[#This Row],[Precio Descontado]]-Tabla4[[#This Row],[Precio Base]])*Tabla4[[#This Row],[Cantidad]]</f>
        <v>#N/A</v>
      </c>
      <c r="O6924" s="284" t="e">
        <f>++Tabla4[[#This Row],[Utilidad Total]]/Tabla4[[#This Row],[Total]]</f>
        <v>#N/A</v>
      </c>
      <c r="P6924" s="282">
        <f>++Tabla4[[#This Row],[Precio Descontado]]*Tabla4[[#This Row],[Cantidad]]</f>
        <v>24641.270854999999</v>
      </c>
      <c r="Q6924" s="282" t="e">
        <f>(INDEX(Tabla6[#All],MATCH(Tabla4[[#This Row],[Producto]],Tabla6[[#All],[PRODUCTO]],0),MATCH(Tabla4[[#This Row],[Mes]],Tabla6[#Headers],0)))</f>
        <v>#N/A</v>
      </c>
      <c r="R6924" s="282" t="e">
        <f>++Tabla4[[#This Row],[Precio Unitario Neto]]-Tabla4[[#This Row],[20.85%]]-Tabla4[[#This Row],[Costo]]</f>
        <v>#N/A</v>
      </c>
      <c r="S6924" s="282" t="e">
        <f>++Tabla4[[#This Row],[U. Bruta Uni]]*Tabla4[[#This Row],[Cantidad]]</f>
        <v>#N/A</v>
      </c>
      <c r="T6924" s="369" t="str">
        <f>VLOOKUP(Tabla4[[#This Row],[Producto]],Tabla6[#All],14,FALSE)</f>
        <v>Termico Solar</v>
      </c>
      <c r="U6924" s="284" t="e">
        <f>(IF(Tabla4[[#This Row],[Familia]]="termico solar",Tabla4[[#This Row],[Utilidad Total]]*6%,Tabla4[[#This Row],[Utilidad Total]]*11.5%))/Tabla4[[#This Row],[Total]]</f>
        <v>#N/A</v>
      </c>
      <c r="V6924" s="282" t="e">
        <f>+Tabla4[[#This Row],[Comisión Calculada]]*Tabla4[[#This Row],[Total]]</f>
        <v>#N/A</v>
      </c>
    </row>
    <row r="6925" spans="1:22" hidden="1" x14ac:dyDescent="0.25">
      <c r="A6925" s="100">
        <v>45976</v>
      </c>
      <c r="B6925" t="str">
        <f t="shared" si="498"/>
        <v>November</v>
      </c>
      <c r="C6925" s="46" t="s">
        <v>280</v>
      </c>
      <c r="F6925" s="366" t="s">
        <v>3486</v>
      </c>
      <c r="G6925" s="46" t="s">
        <v>394</v>
      </c>
      <c r="H6925" s="46">
        <v>9</v>
      </c>
      <c r="I6925" s="51">
        <v>108.1</v>
      </c>
      <c r="J6925" s="281">
        <f>++Tabla4[[#This Row],[Precio Bruto]]*1.16</f>
        <v>125.39599999999999</v>
      </c>
      <c r="K6925" s="281">
        <f>+Tabla4[[#This Row],[Precio Unitario Neto]]*Tabla4[[#Headers],[20.85%]]</f>
        <v>26.145065999999996</v>
      </c>
      <c r="L6925" s="282">
        <f>++Tabla4[[#This Row],[Precio Unitario Neto]]-Tabla4[[#This Row],[20.85%]]</f>
        <v>99.250933999999987</v>
      </c>
      <c r="M6925" s="282" t="e">
        <f>(INDEX(Tabla6[#All],MATCH(Tabla4[[#This Row],[Producto]],Tabla6[[#All],[PRODUCTO]],0),MATCH(Tabla4[[#This Row],[Mes]],Tabla6[#Headers],0)))*(1+Catalogos!$L$2)</f>
        <v>#N/A</v>
      </c>
      <c r="N6925" s="283" t="e">
        <f>+(Tabla4[[#This Row],[Precio Descontado]]-Tabla4[[#This Row],[Precio Base]])*Tabla4[[#This Row],[Cantidad]]</f>
        <v>#N/A</v>
      </c>
      <c r="O6925" s="284" t="e">
        <f>++Tabla4[[#This Row],[Utilidad Total]]/Tabla4[[#This Row],[Total]]</f>
        <v>#N/A</v>
      </c>
      <c r="P6925" s="282">
        <f>++Tabla4[[#This Row],[Precio Descontado]]*Tabla4[[#This Row],[Cantidad]]</f>
        <v>893.25840599999992</v>
      </c>
      <c r="Q6925" s="282" t="e">
        <f>(INDEX(Tabla6[#All],MATCH(Tabla4[[#This Row],[Producto]],Tabla6[[#All],[PRODUCTO]],0),MATCH(Tabla4[[#This Row],[Mes]],Tabla6[#Headers],0)))</f>
        <v>#N/A</v>
      </c>
      <c r="R6925" s="282" t="e">
        <f>++Tabla4[[#This Row],[Precio Unitario Neto]]-Tabla4[[#This Row],[20.85%]]-Tabla4[[#This Row],[Costo]]</f>
        <v>#N/A</v>
      </c>
      <c r="S6925" s="282" t="e">
        <f>++Tabla4[[#This Row],[U. Bruta Uni]]*Tabla4[[#This Row],[Cantidad]]</f>
        <v>#N/A</v>
      </c>
      <c r="T6925" s="369" t="str">
        <f>VLOOKUP(Tabla4[[#This Row],[Producto]],Tabla6[#All],14,FALSE)</f>
        <v>Termico Solar</v>
      </c>
      <c r="U6925" s="284" t="e">
        <f>(IF(Tabla4[[#This Row],[Familia]]="termico solar",Tabla4[[#This Row],[Utilidad Total]]*6%,Tabla4[[#This Row],[Utilidad Total]]*11.5%))/Tabla4[[#This Row],[Total]]</f>
        <v>#N/A</v>
      </c>
      <c r="V6925" s="282" t="e">
        <f>+Tabla4[[#This Row],[Comisión Calculada]]*Tabla4[[#This Row],[Total]]</f>
        <v>#N/A</v>
      </c>
    </row>
    <row r="6926" spans="1:22" hidden="1" x14ac:dyDescent="0.25">
      <c r="A6926" s="100">
        <v>45976</v>
      </c>
      <c r="B6926" t="str">
        <f t="shared" ref="B6926:B6928" si="499">TEXT(A6926, "mmmm")</f>
        <v>November</v>
      </c>
      <c r="C6926" s="46" t="s">
        <v>280</v>
      </c>
      <c r="F6926" s="366" t="s">
        <v>3487</v>
      </c>
      <c r="G6926" s="46" t="s">
        <v>83</v>
      </c>
      <c r="H6926" s="46">
        <v>1</v>
      </c>
      <c r="I6926" s="51">
        <v>8858.76</v>
      </c>
      <c r="J6926" s="281">
        <f>++Tabla4[[#This Row],[Precio Bruto]]*1.16</f>
        <v>10276.161599999999</v>
      </c>
      <c r="K6926" s="281">
        <f>+Tabla4[[#This Row],[Precio Unitario Neto]]*Tabla4[[#Headers],[20.85%]]</f>
        <v>2142.5796935999997</v>
      </c>
      <c r="L6926" s="282">
        <f>++Tabla4[[#This Row],[Precio Unitario Neto]]-Tabla4[[#This Row],[20.85%]]</f>
        <v>8133.5819063999998</v>
      </c>
      <c r="M6926" s="282" t="e">
        <f>(INDEX(Tabla6[#All],MATCH(Tabla4[[#This Row],[Producto]],Tabla6[[#All],[PRODUCTO]],0),MATCH(Tabla4[[#This Row],[Mes]],Tabla6[#Headers],0)))*(1+Catalogos!$L$2)</f>
        <v>#N/A</v>
      </c>
      <c r="N6926" s="283" t="e">
        <f>+(Tabla4[[#This Row],[Precio Descontado]]-Tabla4[[#This Row],[Precio Base]])*Tabla4[[#This Row],[Cantidad]]</f>
        <v>#N/A</v>
      </c>
      <c r="O6926" s="284" t="e">
        <f>++Tabla4[[#This Row],[Utilidad Total]]/Tabla4[[#This Row],[Total]]</f>
        <v>#N/A</v>
      </c>
      <c r="P6926" s="282">
        <f>++Tabla4[[#This Row],[Precio Descontado]]*Tabla4[[#This Row],[Cantidad]]</f>
        <v>8133.5819063999998</v>
      </c>
      <c r="Q6926" s="282" t="e">
        <f>(INDEX(Tabla6[#All],MATCH(Tabla4[[#This Row],[Producto]],Tabla6[[#All],[PRODUCTO]],0),MATCH(Tabla4[[#This Row],[Mes]],Tabla6[#Headers],0)))</f>
        <v>#N/A</v>
      </c>
      <c r="R6926" s="282" t="e">
        <f>++Tabla4[[#This Row],[Precio Unitario Neto]]-Tabla4[[#This Row],[20.85%]]-Tabla4[[#This Row],[Costo]]</f>
        <v>#N/A</v>
      </c>
      <c r="S6926" s="282" t="e">
        <f>++Tabla4[[#This Row],[U. Bruta Uni]]*Tabla4[[#This Row],[Cantidad]]</f>
        <v>#N/A</v>
      </c>
      <c r="T6926" s="369" t="str">
        <f>VLOOKUP(Tabla4[[#This Row],[Producto]],Tabla6[#All],14,FALSE)</f>
        <v>Termico Solar</v>
      </c>
      <c r="U6926" s="284" t="e">
        <f>(IF(Tabla4[[#This Row],[Familia]]="termico solar",Tabla4[[#This Row],[Utilidad Total]]*6%,Tabla4[[#This Row],[Utilidad Total]]*11.5%))/Tabla4[[#This Row],[Total]]</f>
        <v>#N/A</v>
      </c>
      <c r="V6926" s="282" t="e">
        <f>+Tabla4[[#This Row],[Comisión Calculada]]*Tabla4[[#This Row],[Total]]</f>
        <v>#N/A</v>
      </c>
    </row>
    <row r="6927" spans="1:22" hidden="1" x14ac:dyDescent="0.25">
      <c r="A6927" s="100">
        <v>45976</v>
      </c>
      <c r="B6927" t="str">
        <f t="shared" si="499"/>
        <v>November</v>
      </c>
      <c r="C6927" s="46" t="s">
        <v>280</v>
      </c>
      <c r="F6927" s="366" t="s">
        <v>3487</v>
      </c>
      <c r="G6927" s="46" t="s">
        <v>18</v>
      </c>
      <c r="H6927" s="46">
        <v>1</v>
      </c>
      <c r="I6927" s="51">
        <v>5367.65</v>
      </c>
      <c r="J6927" s="281">
        <f>++Tabla4[[#This Row],[Precio Bruto]]*1.16</f>
        <v>6226.4739999999993</v>
      </c>
      <c r="K6927" s="281">
        <f>+Tabla4[[#This Row],[Precio Unitario Neto]]*Tabla4[[#Headers],[20.85%]]</f>
        <v>1298.2198289999999</v>
      </c>
      <c r="L6927" s="282">
        <f>++Tabla4[[#This Row],[Precio Unitario Neto]]-Tabla4[[#This Row],[20.85%]]</f>
        <v>4928.2541709999996</v>
      </c>
      <c r="M6927" s="282" t="e">
        <f>(INDEX(Tabla6[#All],MATCH(Tabla4[[#This Row],[Producto]],Tabla6[[#All],[PRODUCTO]],0),MATCH(Tabla4[[#This Row],[Mes]],Tabla6[#Headers],0)))*(1+Catalogos!$L$2)</f>
        <v>#N/A</v>
      </c>
      <c r="N6927" s="283" t="e">
        <f>+(Tabla4[[#This Row],[Precio Descontado]]-Tabla4[[#This Row],[Precio Base]])*Tabla4[[#This Row],[Cantidad]]</f>
        <v>#N/A</v>
      </c>
      <c r="O6927" s="284" t="e">
        <f>++Tabla4[[#This Row],[Utilidad Total]]/Tabla4[[#This Row],[Total]]</f>
        <v>#N/A</v>
      </c>
      <c r="P6927" s="282">
        <f>++Tabla4[[#This Row],[Precio Descontado]]*Tabla4[[#This Row],[Cantidad]]</f>
        <v>4928.2541709999996</v>
      </c>
      <c r="Q6927" s="282" t="e">
        <f>(INDEX(Tabla6[#All],MATCH(Tabla4[[#This Row],[Producto]],Tabla6[[#All],[PRODUCTO]],0),MATCH(Tabla4[[#This Row],[Mes]],Tabla6[#Headers],0)))</f>
        <v>#N/A</v>
      </c>
      <c r="R6927" s="282" t="e">
        <f>++Tabla4[[#This Row],[Precio Unitario Neto]]-Tabla4[[#This Row],[20.85%]]-Tabla4[[#This Row],[Costo]]</f>
        <v>#N/A</v>
      </c>
      <c r="S6927" s="282" t="e">
        <f>++Tabla4[[#This Row],[U. Bruta Uni]]*Tabla4[[#This Row],[Cantidad]]</f>
        <v>#N/A</v>
      </c>
      <c r="T6927" s="369" t="str">
        <f>VLOOKUP(Tabla4[[#This Row],[Producto]],Tabla6[#All],14,FALSE)</f>
        <v>Termico Solar</v>
      </c>
      <c r="U6927" s="284" t="e">
        <f>(IF(Tabla4[[#This Row],[Familia]]="termico solar",Tabla4[[#This Row],[Utilidad Total]]*6%,Tabla4[[#This Row],[Utilidad Total]]*11.5%))/Tabla4[[#This Row],[Total]]</f>
        <v>#N/A</v>
      </c>
      <c r="V6927" s="282" t="e">
        <f>+Tabla4[[#This Row],[Comisión Calculada]]*Tabla4[[#This Row],[Total]]</f>
        <v>#N/A</v>
      </c>
    </row>
    <row r="6928" spans="1:22" hidden="1" x14ac:dyDescent="0.25">
      <c r="A6928" s="100">
        <v>45976</v>
      </c>
      <c r="B6928" t="str">
        <f t="shared" si="499"/>
        <v>November</v>
      </c>
      <c r="C6928" s="46" t="s">
        <v>280</v>
      </c>
      <c r="F6928" s="366" t="s">
        <v>3487</v>
      </c>
      <c r="G6928" s="46" t="s">
        <v>208</v>
      </c>
      <c r="H6928" s="46">
        <v>2</v>
      </c>
      <c r="I6928" s="51">
        <v>189.75</v>
      </c>
      <c r="J6928" s="281">
        <f>++Tabla4[[#This Row],[Precio Bruto]]*1.16</f>
        <v>220.10999999999999</v>
      </c>
      <c r="K6928" s="281">
        <f>+Tabla4[[#This Row],[Precio Unitario Neto]]*Tabla4[[#Headers],[20.85%]]</f>
        <v>45.892934999999994</v>
      </c>
      <c r="L6928" s="282">
        <f>++Tabla4[[#This Row],[Precio Unitario Neto]]-Tabla4[[#This Row],[20.85%]]</f>
        <v>174.21706499999999</v>
      </c>
      <c r="M6928" s="282" t="e">
        <f>(INDEX(Tabla6[#All],MATCH(Tabla4[[#This Row],[Producto]],Tabla6[[#All],[PRODUCTO]],0),MATCH(Tabla4[[#This Row],[Mes]],Tabla6[#Headers],0)))*(1+Catalogos!$L$2)</f>
        <v>#N/A</v>
      </c>
      <c r="N6928" s="283" t="e">
        <f>+(Tabla4[[#This Row],[Precio Descontado]]-Tabla4[[#This Row],[Precio Base]])*Tabla4[[#This Row],[Cantidad]]</f>
        <v>#N/A</v>
      </c>
      <c r="O6928" s="284" t="e">
        <f>++Tabla4[[#This Row],[Utilidad Total]]/Tabla4[[#This Row],[Total]]</f>
        <v>#N/A</v>
      </c>
      <c r="P6928" s="282">
        <f>++Tabla4[[#This Row],[Precio Descontado]]*Tabla4[[#This Row],[Cantidad]]</f>
        <v>348.43412999999998</v>
      </c>
      <c r="Q6928" s="282" t="e">
        <f>(INDEX(Tabla6[#All],MATCH(Tabla4[[#This Row],[Producto]],Tabla6[[#All],[PRODUCTO]],0),MATCH(Tabla4[[#This Row],[Mes]],Tabla6[#Headers],0)))</f>
        <v>#N/A</v>
      </c>
      <c r="R6928" s="282" t="e">
        <f>++Tabla4[[#This Row],[Precio Unitario Neto]]-Tabla4[[#This Row],[20.85%]]-Tabla4[[#This Row],[Costo]]</f>
        <v>#N/A</v>
      </c>
      <c r="S6928" s="282" t="e">
        <f>++Tabla4[[#This Row],[U. Bruta Uni]]*Tabla4[[#This Row],[Cantidad]]</f>
        <v>#N/A</v>
      </c>
      <c r="T6928" s="369" t="str">
        <f>VLOOKUP(Tabla4[[#This Row],[Producto]],Tabla6[#All],14,FALSE)</f>
        <v>Termico Solar</v>
      </c>
      <c r="U6928" s="284" t="e">
        <f>(IF(Tabla4[[#This Row],[Familia]]="termico solar",Tabla4[[#This Row],[Utilidad Total]]*6%,Tabla4[[#This Row],[Utilidad Total]]*11.5%))/Tabla4[[#This Row],[Total]]</f>
        <v>#N/A</v>
      </c>
      <c r="V6928" s="282" t="e">
        <f>+Tabla4[[#This Row],[Comisión Calculada]]*Tabla4[[#This Row],[Total]]</f>
        <v>#N/A</v>
      </c>
    </row>
    <row r="6929" spans="1:22" hidden="1" x14ac:dyDescent="0.25">
      <c r="A6929" s="100">
        <v>45976</v>
      </c>
      <c r="B6929" t="str">
        <f t="shared" ref="B6929:B6930" si="500">TEXT(A6929, "mmmm")</f>
        <v>November</v>
      </c>
      <c r="C6929" s="46" t="s">
        <v>280</v>
      </c>
      <c r="F6929" s="366" t="s">
        <v>3488</v>
      </c>
      <c r="G6929" s="46" t="s">
        <v>17</v>
      </c>
      <c r="H6929" s="46">
        <v>2</v>
      </c>
      <c r="I6929" s="51">
        <v>4622.28</v>
      </c>
      <c r="J6929" s="281">
        <f>++Tabla4[[#This Row],[Precio Bruto]]*1.16</f>
        <v>5361.8447999999989</v>
      </c>
      <c r="K6929" s="281">
        <f>+Tabla4[[#This Row],[Precio Unitario Neto]]*Tabla4[[#Headers],[20.85%]]</f>
        <v>1117.9446407999997</v>
      </c>
      <c r="L6929" s="282">
        <f>++Tabla4[[#This Row],[Precio Unitario Neto]]-Tabla4[[#This Row],[20.85%]]</f>
        <v>4243.9001591999995</v>
      </c>
      <c r="M6929" s="282" t="e">
        <f>(INDEX(Tabla6[#All],MATCH(Tabla4[[#This Row],[Producto]],Tabla6[[#All],[PRODUCTO]],0),MATCH(Tabla4[[#This Row],[Mes]],Tabla6[#Headers],0)))*(1+Catalogos!$L$2)</f>
        <v>#N/A</v>
      </c>
      <c r="N6929" s="283" t="e">
        <f>+(Tabla4[[#This Row],[Precio Descontado]]-Tabla4[[#This Row],[Precio Base]])*Tabla4[[#This Row],[Cantidad]]</f>
        <v>#N/A</v>
      </c>
      <c r="O6929" s="284" t="e">
        <f>++Tabla4[[#This Row],[Utilidad Total]]/Tabla4[[#This Row],[Total]]</f>
        <v>#N/A</v>
      </c>
      <c r="P6929" s="282">
        <f>++Tabla4[[#This Row],[Precio Descontado]]*Tabla4[[#This Row],[Cantidad]]</f>
        <v>8487.800318399999</v>
      </c>
      <c r="Q6929" s="282" t="e">
        <f>(INDEX(Tabla6[#All],MATCH(Tabla4[[#This Row],[Producto]],Tabla6[[#All],[PRODUCTO]],0),MATCH(Tabla4[[#This Row],[Mes]],Tabla6[#Headers],0)))</f>
        <v>#N/A</v>
      </c>
      <c r="R6929" s="282" t="e">
        <f>++Tabla4[[#This Row],[Precio Unitario Neto]]-Tabla4[[#This Row],[20.85%]]-Tabla4[[#This Row],[Costo]]</f>
        <v>#N/A</v>
      </c>
      <c r="S6929" s="282" t="e">
        <f>++Tabla4[[#This Row],[U. Bruta Uni]]*Tabla4[[#This Row],[Cantidad]]</f>
        <v>#N/A</v>
      </c>
      <c r="T6929" s="369" t="str">
        <f>VLOOKUP(Tabla4[[#This Row],[Producto]],Tabla6[#All],14,FALSE)</f>
        <v>Termico Solar</v>
      </c>
      <c r="U6929" s="284" t="e">
        <f>(IF(Tabla4[[#This Row],[Familia]]="termico solar",Tabla4[[#This Row],[Utilidad Total]]*6%,Tabla4[[#This Row],[Utilidad Total]]*11.5%))/Tabla4[[#This Row],[Total]]</f>
        <v>#N/A</v>
      </c>
      <c r="V6929" s="282" t="e">
        <f>+Tabla4[[#This Row],[Comisión Calculada]]*Tabla4[[#This Row],[Total]]</f>
        <v>#N/A</v>
      </c>
    </row>
    <row r="6930" spans="1:22" hidden="1" x14ac:dyDescent="0.25">
      <c r="A6930" s="100">
        <v>45976</v>
      </c>
      <c r="B6930" t="str">
        <f t="shared" si="500"/>
        <v>November</v>
      </c>
      <c r="C6930" s="46" t="s">
        <v>280</v>
      </c>
      <c r="F6930" s="366" t="s">
        <v>3488</v>
      </c>
      <c r="G6930" s="46" t="s">
        <v>18</v>
      </c>
      <c r="H6930" s="46">
        <v>1</v>
      </c>
      <c r="I6930" s="51">
        <v>5367.65</v>
      </c>
      <c r="J6930" s="281">
        <f>++Tabla4[[#This Row],[Precio Bruto]]*1.16</f>
        <v>6226.4739999999993</v>
      </c>
      <c r="K6930" s="281">
        <f>+Tabla4[[#This Row],[Precio Unitario Neto]]*Tabla4[[#Headers],[20.85%]]</f>
        <v>1298.2198289999999</v>
      </c>
      <c r="L6930" s="282">
        <f>++Tabla4[[#This Row],[Precio Unitario Neto]]-Tabla4[[#This Row],[20.85%]]</f>
        <v>4928.2541709999996</v>
      </c>
      <c r="M6930" s="282" t="e">
        <f>(INDEX(Tabla6[#All],MATCH(Tabla4[[#This Row],[Producto]],Tabla6[[#All],[PRODUCTO]],0),MATCH(Tabla4[[#This Row],[Mes]],Tabla6[#Headers],0)))*(1+Catalogos!$L$2)</f>
        <v>#N/A</v>
      </c>
      <c r="N6930" s="283" t="e">
        <f>+(Tabla4[[#This Row],[Precio Descontado]]-Tabla4[[#This Row],[Precio Base]])*Tabla4[[#This Row],[Cantidad]]</f>
        <v>#N/A</v>
      </c>
      <c r="O6930" s="284" t="e">
        <f>++Tabla4[[#This Row],[Utilidad Total]]/Tabla4[[#This Row],[Total]]</f>
        <v>#N/A</v>
      </c>
      <c r="P6930" s="282">
        <f>++Tabla4[[#This Row],[Precio Descontado]]*Tabla4[[#This Row],[Cantidad]]</f>
        <v>4928.2541709999996</v>
      </c>
      <c r="Q6930" s="282" t="e">
        <f>(INDEX(Tabla6[#All],MATCH(Tabla4[[#This Row],[Producto]],Tabla6[[#All],[PRODUCTO]],0),MATCH(Tabla4[[#This Row],[Mes]],Tabla6[#Headers],0)))</f>
        <v>#N/A</v>
      </c>
      <c r="R6930" s="282" t="e">
        <f>++Tabla4[[#This Row],[Precio Unitario Neto]]-Tabla4[[#This Row],[20.85%]]-Tabla4[[#This Row],[Costo]]</f>
        <v>#N/A</v>
      </c>
      <c r="S6930" s="282" t="e">
        <f>++Tabla4[[#This Row],[U. Bruta Uni]]*Tabla4[[#This Row],[Cantidad]]</f>
        <v>#N/A</v>
      </c>
      <c r="T6930" s="369" t="str">
        <f>VLOOKUP(Tabla4[[#This Row],[Producto]],Tabla6[#All],14,FALSE)</f>
        <v>Termico Solar</v>
      </c>
      <c r="U6930" s="284" t="e">
        <f>(IF(Tabla4[[#This Row],[Familia]]="termico solar",Tabla4[[#This Row],[Utilidad Total]]*6%,Tabla4[[#This Row],[Utilidad Total]]*11.5%))/Tabla4[[#This Row],[Total]]</f>
        <v>#N/A</v>
      </c>
      <c r="V6930" s="282" t="e">
        <f>+Tabla4[[#This Row],[Comisión Calculada]]*Tabla4[[#This Row],[Total]]</f>
        <v>#N/A</v>
      </c>
    </row>
    <row r="6931" spans="1:22" hidden="1" x14ac:dyDescent="0.25">
      <c r="A6931" s="100">
        <v>45976</v>
      </c>
      <c r="B6931" t="str">
        <f t="shared" ref="B6931:B6933" si="501">TEXT(A6931, "mmmm")</f>
        <v>November</v>
      </c>
      <c r="C6931" s="46" t="s">
        <v>280</v>
      </c>
      <c r="F6931" s="366" t="s">
        <v>3489</v>
      </c>
      <c r="G6931" s="46" t="s">
        <v>17</v>
      </c>
      <c r="H6931" s="46">
        <v>1</v>
      </c>
      <c r="I6931" s="51">
        <v>4622.28</v>
      </c>
      <c r="J6931" s="281">
        <f>++Tabla4[[#This Row],[Precio Bruto]]*1.16</f>
        <v>5361.8447999999989</v>
      </c>
      <c r="K6931" s="281">
        <f>+Tabla4[[#This Row],[Precio Unitario Neto]]*Tabla4[[#Headers],[20.85%]]</f>
        <v>1117.9446407999997</v>
      </c>
      <c r="L6931" s="282">
        <f>++Tabla4[[#This Row],[Precio Unitario Neto]]-Tabla4[[#This Row],[20.85%]]</f>
        <v>4243.9001591999995</v>
      </c>
      <c r="M6931" s="282" t="e">
        <f>(INDEX(Tabla6[#All],MATCH(Tabla4[[#This Row],[Producto]],Tabla6[[#All],[PRODUCTO]],0),MATCH(Tabla4[[#This Row],[Mes]],Tabla6[#Headers],0)))*(1+Catalogos!$L$2)</f>
        <v>#N/A</v>
      </c>
      <c r="N6931" s="283" t="e">
        <f>+(Tabla4[[#This Row],[Precio Descontado]]-Tabla4[[#This Row],[Precio Base]])*Tabla4[[#This Row],[Cantidad]]</f>
        <v>#N/A</v>
      </c>
      <c r="O6931" s="284" t="e">
        <f>++Tabla4[[#This Row],[Utilidad Total]]/Tabla4[[#This Row],[Total]]</f>
        <v>#N/A</v>
      </c>
      <c r="P6931" s="282">
        <f>++Tabla4[[#This Row],[Precio Descontado]]*Tabla4[[#This Row],[Cantidad]]</f>
        <v>4243.9001591999995</v>
      </c>
      <c r="Q6931" s="282" t="e">
        <f>(INDEX(Tabla6[#All],MATCH(Tabla4[[#This Row],[Producto]],Tabla6[[#All],[PRODUCTO]],0),MATCH(Tabla4[[#This Row],[Mes]],Tabla6[#Headers],0)))</f>
        <v>#N/A</v>
      </c>
      <c r="R6931" s="282" t="e">
        <f>++Tabla4[[#This Row],[Precio Unitario Neto]]-Tabla4[[#This Row],[20.85%]]-Tabla4[[#This Row],[Costo]]</f>
        <v>#N/A</v>
      </c>
      <c r="S6931" s="282" t="e">
        <f>++Tabla4[[#This Row],[U. Bruta Uni]]*Tabla4[[#This Row],[Cantidad]]</f>
        <v>#N/A</v>
      </c>
      <c r="T6931" s="369" t="str">
        <f>VLOOKUP(Tabla4[[#This Row],[Producto]],Tabla6[#All],14,FALSE)</f>
        <v>Termico Solar</v>
      </c>
      <c r="U6931" s="284" t="e">
        <f>(IF(Tabla4[[#This Row],[Familia]]="termico solar",Tabla4[[#This Row],[Utilidad Total]]*6%,Tabla4[[#This Row],[Utilidad Total]]*11.5%))/Tabla4[[#This Row],[Total]]</f>
        <v>#N/A</v>
      </c>
      <c r="V6931" s="282" t="e">
        <f>+Tabla4[[#This Row],[Comisión Calculada]]*Tabla4[[#This Row],[Total]]</f>
        <v>#N/A</v>
      </c>
    </row>
    <row r="6932" spans="1:22" hidden="1" x14ac:dyDescent="0.25">
      <c r="A6932" s="100">
        <v>45976</v>
      </c>
      <c r="B6932" t="str">
        <f t="shared" si="501"/>
        <v>November</v>
      </c>
      <c r="C6932" s="46" t="s">
        <v>280</v>
      </c>
      <c r="F6932" s="366" t="s">
        <v>3489</v>
      </c>
      <c r="G6932" s="46" t="s">
        <v>18</v>
      </c>
      <c r="H6932" s="46">
        <v>4</v>
      </c>
      <c r="I6932" s="51">
        <v>5367.65</v>
      </c>
      <c r="J6932" s="281">
        <f>++Tabla4[[#This Row],[Precio Bruto]]*1.16</f>
        <v>6226.4739999999993</v>
      </c>
      <c r="K6932" s="281">
        <f>+Tabla4[[#This Row],[Precio Unitario Neto]]*Tabla4[[#Headers],[20.85%]]</f>
        <v>1298.2198289999999</v>
      </c>
      <c r="L6932" s="282">
        <f>++Tabla4[[#This Row],[Precio Unitario Neto]]-Tabla4[[#This Row],[20.85%]]</f>
        <v>4928.2541709999996</v>
      </c>
      <c r="M6932" s="282" t="e">
        <f>(INDEX(Tabla6[#All],MATCH(Tabla4[[#This Row],[Producto]],Tabla6[[#All],[PRODUCTO]],0),MATCH(Tabla4[[#This Row],[Mes]],Tabla6[#Headers],0)))*(1+Catalogos!$L$2)</f>
        <v>#N/A</v>
      </c>
      <c r="N6932" s="283" t="e">
        <f>+(Tabla4[[#This Row],[Precio Descontado]]-Tabla4[[#This Row],[Precio Base]])*Tabla4[[#This Row],[Cantidad]]</f>
        <v>#N/A</v>
      </c>
      <c r="O6932" s="284" t="e">
        <f>++Tabla4[[#This Row],[Utilidad Total]]/Tabla4[[#This Row],[Total]]</f>
        <v>#N/A</v>
      </c>
      <c r="P6932" s="282">
        <f>++Tabla4[[#This Row],[Precio Descontado]]*Tabla4[[#This Row],[Cantidad]]</f>
        <v>19713.016683999998</v>
      </c>
      <c r="Q6932" s="282" t="e">
        <f>(INDEX(Tabla6[#All],MATCH(Tabla4[[#This Row],[Producto]],Tabla6[[#All],[PRODUCTO]],0),MATCH(Tabla4[[#This Row],[Mes]],Tabla6[#Headers],0)))</f>
        <v>#N/A</v>
      </c>
      <c r="R6932" s="282" t="e">
        <f>++Tabla4[[#This Row],[Precio Unitario Neto]]-Tabla4[[#This Row],[20.85%]]-Tabla4[[#This Row],[Costo]]</f>
        <v>#N/A</v>
      </c>
      <c r="S6932" s="282" t="e">
        <f>++Tabla4[[#This Row],[U. Bruta Uni]]*Tabla4[[#This Row],[Cantidad]]</f>
        <v>#N/A</v>
      </c>
      <c r="T6932" s="369" t="str">
        <f>VLOOKUP(Tabla4[[#This Row],[Producto]],Tabla6[#All],14,FALSE)</f>
        <v>Termico Solar</v>
      </c>
      <c r="U6932" s="284" t="e">
        <f>(IF(Tabla4[[#This Row],[Familia]]="termico solar",Tabla4[[#This Row],[Utilidad Total]]*6%,Tabla4[[#This Row],[Utilidad Total]]*11.5%))/Tabla4[[#This Row],[Total]]</f>
        <v>#N/A</v>
      </c>
      <c r="V6932" s="282" t="e">
        <f>+Tabla4[[#This Row],[Comisión Calculada]]*Tabla4[[#This Row],[Total]]</f>
        <v>#N/A</v>
      </c>
    </row>
    <row r="6933" spans="1:22" hidden="1" x14ac:dyDescent="0.25">
      <c r="A6933" s="100">
        <v>45976</v>
      </c>
      <c r="B6933" t="str">
        <f t="shared" si="501"/>
        <v>November</v>
      </c>
      <c r="C6933" s="46" t="s">
        <v>280</v>
      </c>
      <c r="F6933" s="366" t="s">
        <v>3489</v>
      </c>
      <c r="G6933" s="46" t="s">
        <v>19</v>
      </c>
      <c r="H6933" s="46">
        <v>1</v>
      </c>
      <c r="I6933" s="51">
        <v>6412.03</v>
      </c>
      <c r="J6933" s="281">
        <f>++Tabla4[[#This Row],[Precio Bruto]]*1.16</f>
        <v>7437.9547999999995</v>
      </c>
      <c r="K6933" s="281">
        <f>+Tabla4[[#This Row],[Precio Unitario Neto]]*Tabla4[[#Headers],[20.85%]]</f>
        <v>1550.8135757999999</v>
      </c>
      <c r="L6933" s="282">
        <f>++Tabla4[[#This Row],[Precio Unitario Neto]]-Tabla4[[#This Row],[20.85%]]</f>
        <v>5887.1412241999997</v>
      </c>
      <c r="M6933" s="282" t="e">
        <f>(INDEX(Tabla6[#All],MATCH(Tabla4[[#This Row],[Producto]],Tabla6[[#All],[PRODUCTO]],0),MATCH(Tabla4[[#This Row],[Mes]],Tabla6[#Headers],0)))*(1+Catalogos!$L$2)</f>
        <v>#N/A</v>
      </c>
      <c r="N6933" s="283" t="e">
        <f>+(Tabla4[[#This Row],[Precio Descontado]]-Tabla4[[#This Row],[Precio Base]])*Tabla4[[#This Row],[Cantidad]]</f>
        <v>#N/A</v>
      </c>
      <c r="O6933" s="284" t="e">
        <f>++Tabla4[[#This Row],[Utilidad Total]]/Tabla4[[#This Row],[Total]]</f>
        <v>#N/A</v>
      </c>
      <c r="P6933" s="282">
        <f>++Tabla4[[#This Row],[Precio Descontado]]*Tabla4[[#This Row],[Cantidad]]</f>
        <v>5887.1412241999997</v>
      </c>
      <c r="Q6933" s="282" t="e">
        <f>(INDEX(Tabla6[#All],MATCH(Tabla4[[#This Row],[Producto]],Tabla6[[#All],[PRODUCTO]],0),MATCH(Tabla4[[#This Row],[Mes]],Tabla6[#Headers],0)))</f>
        <v>#N/A</v>
      </c>
      <c r="R6933" s="282" t="e">
        <f>++Tabla4[[#This Row],[Precio Unitario Neto]]-Tabla4[[#This Row],[20.85%]]-Tabla4[[#This Row],[Costo]]</f>
        <v>#N/A</v>
      </c>
      <c r="S6933" s="282" t="e">
        <f>++Tabla4[[#This Row],[U. Bruta Uni]]*Tabla4[[#This Row],[Cantidad]]</f>
        <v>#N/A</v>
      </c>
      <c r="T6933" s="369" t="str">
        <f>VLOOKUP(Tabla4[[#This Row],[Producto]],Tabla6[#All],14,FALSE)</f>
        <v>Termico Solar</v>
      </c>
      <c r="U6933" s="284" t="e">
        <f>(IF(Tabla4[[#This Row],[Familia]]="termico solar",Tabla4[[#This Row],[Utilidad Total]]*6%,Tabla4[[#This Row],[Utilidad Total]]*11.5%))/Tabla4[[#This Row],[Total]]</f>
        <v>#N/A</v>
      </c>
      <c r="V6933" s="282" t="e">
        <f>+Tabla4[[#This Row],[Comisión Calculada]]*Tabla4[[#This Row],[Total]]</f>
        <v>#N/A</v>
      </c>
    </row>
    <row r="6934" spans="1:22" hidden="1" x14ac:dyDescent="0.25">
      <c r="A6934" s="100">
        <v>45976</v>
      </c>
      <c r="B6934" t="str">
        <f t="shared" ref="B6934:B6935" si="502">TEXT(A6934, "mmmm")</f>
        <v>November</v>
      </c>
      <c r="C6934" s="46" t="s">
        <v>280</v>
      </c>
      <c r="F6934" s="366" t="s">
        <v>3490</v>
      </c>
      <c r="G6934" s="46" t="s">
        <v>555</v>
      </c>
      <c r="H6934" s="46">
        <v>8</v>
      </c>
      <c r="I6934" s="51">
        <v>389.47</v>
      </c>
      <c r="J6934" s="281">
        <f>++Tabla4[[#This Row],[Precio Bruto]]*1.16</f>
        <v>451.78519999999997</v>
      </c>
      <c r="K6934" s="281">
        <f>+Tabla4[[#This Row],[Precio Unitario Neto]]*Tabla4[[#Headers],[20.85%]]</f>
        <v>94.197214199999991</v>
      </c>
      <c r="L6934" s="282">
        <f>++Tabla4[[#This Row],[Precio Unitario Neto]]-Tabla4[[#This Row],[20.85%]]</f>
        <v>357.58798579999996</v>
      </c>
      <c r="M6934" s="282" t="e">
        <f>(INDEX(Tabla6[#All],MATCH(Tabla4[[#This Row],[Producto]],Tabla6[[#All],[PRODUCTO]],0),MATCH(Tabla4[[#This Row],[Mes]],Tabla6[#Headers],0)))*(1+Catalogos!$L$2)</f>
        <v>#N/A</v>
      </c>
      <c r="N6934" s="283" t="e">
        <f>+(Tabla4[[#This Row],[Precio Descontado]]-Tabla4[[#This Row],[Precio Base]])*Tabla4[[#This Row],[Cantidad]]</f>
        <v>#N/A</v>
      </c>
      <c r="O6934" s="284" t="e">
        <f>++Tabla4[[#This Row],[Utilidad Total]]/Tabla4[[#This Row],[Total]]</f>
        <v>#N/A</v>
      </c>
      <c r="P6934" s="282">
        <f>++Tabla4[[#This Row],[Precio Descontado]]*Tabla4[[#This Row],[Cantidad]]</f>
        <v>2860.7038863999996</v>
      </c>
      <c r="Q6934" s="282" t="e">
        <f>(INDEX(Tabla6[#All],MATCH(Tabla4[[#This Row],[Producto]],Tabla6[[#All],[PRODUCTO]],0),MATCH(Tabla4[[#This Row],[Mes]],Tabla6[#Headers],0)))</f>
        <v>#N/A</v>
      </c>
      <c r="R6934" s="282" t="e">
        <f>++Tabla4[[#This Row],[Precio Unitario Neto]]-Tabla4[[#This Row],[20.85%]]-Tabla4[[#This Row],[Costo]]</f>
        <v>#N/A</v>
      </c>
      <c r="S6934" s="282" t="e">
        <f>++Tabla4[[#This Row],[U. Bruta Uni]]*Tabla4[[#This Row],[Cantidad]]</f>
        <v>#N/A</v>
      </c>
      <c r="T6934" s="369" t="str">
        <f>VLOOKUP(Tabla4[[#This Row],[Producto]],Tabla6[#All],14,FALSE)</f>
        <v>Termico Solar</v>
      </c>
      <c r="U6934" s="284" t="e">
        <f>(IF(Tabla4[[#This Row],[Familia]]="termico solar",Tabla4[[#This Row],[Utilidad Total]]*6%,Tabla4[[#This Row],[Utilidad Total]]*11.5%))/Tabla4[[#This Row],[Total]]</f>
        <v>#N/A</v>
      </c>
      <c r="V6934" s="282" t="e">
        <f>+Tabla4[[#This Row],[Comisión Calculada]]*Tabla4[[#This Row],[Total]]</f>
        <v>#N/A</v>
      </c>
    </row>
    <row r="6935" spans="1:22" hidden="1" x14ac:dyDescent="0.25">
      <c r="A6935" s="100">
        <v>45976</v>
      </c>
      <c r="B6935" t="str">
        <f t="shared" si="502"/>
        <v>November</v>
      </c>
      <c r="C6935" s="46" t="s">
        <v>280</v>
      </c>
      <c r="F6935" s="366" t="s">
        <v>3490</v>
      </c>
      <c r="G6935" s="46" t="s">
        <v>208</v>
      </c>
      <c r="H6935" s="46">
        <v>3</v>
      </c>
      <c r="I6935" s="51">
        <v>189.75</v>
      </c>
      <c r="J6935" s="281">
        <f>++Tabla4[[#This Row],[Precio Bruto]]*1.16</f>
        <v>220.10999999999999</v>
      </c>
      <c r="K6935" s="281">
        <f>+Tabla4[[#This Row],[Precio Unitario Neto]]*Tabla4[[#Headers],[20.85%]]</f>
        <v>45.892934999999994</v>
      </c>
      <c r="L6935" s="282">
        <f>++Tabla4[[#This Row],[Precio Unitario Neto]]-Tabla4[[#This Row],[20.85%]]</f>
        <v>174.21706499999999</v>
      </c>
      <c r="M6935" s="282" t="e">
        <f>(INDEX(Tabla6[#All],MATCH(Tabla4[[#This Row],[Producto]],Tabla6[[#All],[PRODUCTO]],0),MATCH(Tabla4[[#This Row],[Mes]],Tabla6[#Headers],0)))*(1+Catalogos!$L$2)</f>
        <v>#N/A</v>
      </c>
      <c r="N6935" s="283" t="e">
        <f>+(Tabla4[[#This Row],[Precio Descontado]]-Tabla4[[#This Row],[Precio Base]])*Tabla4[[#This Row],[Cantidad]]</f>
        <v>#N/A</v>
      </c>
      <c r="O6935" s="284" t="e">
        <f>++Tabla4[[#This Row],[Utilidad Total]]/Tabla4[[#This Row],[Total]]</f>
        <v>#N/A</v>
      </c>
      <c r="P6935" s="282">
        <f>++Tabla4[[#This Row],[Precio Descontado]]*Tabla4[[#This Row],[Cantidad]]</f>
        <v>522.65119499999992</v>
      </c>
      <c r="Q6935" s="282" t="e">
        <f>(INDEX(Tabla6[#All],MATCH(Tabla4[[#This Row],[Producto]],Tabla6[[#All],[PRODUCTO]],0),MATCH(Tabla4[[#This Row],[Mes]],Tabla6[#Headers],0)))</f>
        <v>#N/A</v>
      </c>
      <c r="R6935" s="282" t="e">
        <f>++Tabla4[[#This Row],[Precio Unitario Neto]]-Tabla4[[#This Row],[20.85%]]-Tabla4[[#This Row],[Costo]]</f>
        <v>#N/A</v>
      </c>
      <c r="S6935" s="282" t="e">
        <f>++Tabla4[[#This Row],[U. Bruta Uni]]*Tabla4[[#This Row],[Cantidad]]</f>
        <v>#N/A</v>
      </c>
      <c r="T6935" s="369" t="str">
        <f>VLOOKUP(Tabla4[[#This Row],[Producto]],Tabla6[#All],14,FALSE)</f>
        <v>Termico Solar</v>
      </c>
      <c r="U6935" s="284" t="e">
        <f>(IF(Tabla4[[#This Row],[Familia]]="termico solar",Tabla4[[#This Row],[Utilidad Total]]*6%,Tabla4[[#This Row],[Utilidad Total]]*11.5%))/Tabla4[[#This Row],[Total]]</f>
        <v>#N/A</v>
      </c>
      <c r="V6935" s="282" t="e">
        <f>+Tabla4[[#This Row],[Comisión Calculada]]*Tabla4[[#This Row],[Total]]</f>
        <v>#N/A</v>
      </c>
    </row>
    <row r="6936" spans="1:22" hidden="1" x14ac:dyDescent="0.25">
      <c r="A6936" s="100">
        <v>45976</v>
      </c>
      <c r="B6936" t="str">
        <f t="shared" ref="B6936:B6937" si="503">TEXT(A6936, "mmmm")</f>
        <v>November</v>
      </c>
      <c r="C6936" s="46" t="s">
        <v>280</v>
      </c>
      <c r="F6936" s="366" t="s">
        <v>3491</v>
      </c>
      <c r="G6936" s="46" t="s">
        <v>18</v>
      </c>
      <c r="H6936" s="46">
        <v>1</v>
      </c>
      <c r="I6936" s="51">
        <v>5367.65</v>
      </c>
      <c r="J6936" s="281">
        <f>++Tabla4[[#This Row],[Precio Bruto]]*1.16</f>
        <v>6226.4739999999993</v>
      </c>
      <c r="K6936" s="281">
        <f>+Tabla4[[#This Row],[Precio Unitario Neto]]*Tabla4[[#Headers],[20.85%]]</f>
        <v>1298.2198289999999</v>
      </c>
      <c r="L6936" s="282">
        <f>++Tabla4[[#This Row],[Precio Unitario Neto]]-Tabla4[[#This Row],[20.85%]]</f>
        <v>4928.2541709999996</v>
      </c>
      <c r="M6936" s="282" t="e">
        <f>(INDEX(Tabla6[#All],MATCH(Tabla4[[#This Row],[Producto]],Tabla6[[#All],[PRODUCTO]],0),MATCH(Tabla4[[#This Row],[Mes]],Tabla6[#Headers],0)))*(1+Catalogos!$L$2)</f>
        <v>#N/A</v>
      </c>
      <c r="N6936" s="283" t="e">
        <f>+(Tabla4[[#This Row],[Precio Descontado]]-Tabla4[[#This Row],[Precio Base]])*Tabla4[[#This Row],[Cantidad]]</f>
        <v>#N/A</v>
      </c>
      <c r="O6936" s="284" t="e">
        <f>++Tabla4[[#This Row],[Utilidad Total]]/Tabla4[[#This Row],[Total]]</f>
        <v>#N/A</v>
      </c>
      <c r="P6936" s="282">
        <f>++Tabla4[[#This Row],[Precio Descontado]]*Tabla4[[#This Row],[Cantidad]]</f>
        <v>4928.2541709999996</v>
      </c>
      <c r="Q6936" s="282" t="e">
        <f>(INDEX(Tabla6[#All],MATCH(Tabla4[[#This Row],[Producto]],Tabla6[[#All],[PRODUCTO]],0),MATCH(Tabla4[[#This Row],[Mes]],Tabla6[#Headers],0)))</f>
        <v>#N/A</v>
      </c>
      <c r="R6936" s="282" t="e">
        <f>++Tabla4[[#This Row],[Precio Unitario Neto]]-Tabla4[[#This Row],[20.85%]]-Tabla4[[#This Row],[Costo]]</f>
        <v>#N/A</v>
      </c>
      <c r="S6936" s="282" t="e">
        <f>++Tabla4[[#This Row],[U. Bruta Uni]]*Tabla4[[#This Row],[Cantidad]]</f>
        <v>#N/A</v>
      </c>
      <c r="T6936" s="369" t="str">
        <f>VLOOKUP(Tabla4[[#This Row],[Producto]],Tabla6[#All],14,FALSE)</f>
        <v>Termico Solar</v>
      </c>
      <c r="U6936" s="284" t="e">
        <f>(IF(Tabla4[[#This Row],[Familia]]="termico solar",Tabla4[[#This Row],[Utilidad Total]]*6%,Tabla4[[#This Row],[Utilidad Total]]*11.5%))/Tabla4[[#This Row],[Total]]</f>
        <v>#N/A</v>
      </c>
      <c r="V6936" s="282" t="e">
        <f>+Tabla4[[#This Row],[Comisión Calculada]]*Tabla4[[#This Row],[Total]]</f>
        <v>#N/A</v>
      </c>
    </row>
    <row r="6937" spans="1:22" hidden="1" x14ac:dyDescent="0.25">
      <c r="A6937" s="100">
        <v>45976</v>
      </c>
      <c r="B6937" t="str">
        <f t="shared" si="503"/>
        <v>November</v>
      </c>
      <c r="C6937" s="46" t="s">
        <v>280</v>
      </c>
      <c r="F6937" s="366" t="s">
        <v>3491</v>
      </c>
      <c r="G6937" s="46" t="s">
        <v>208</v>
      </c>
      <c r="H6937" s="46">
        <v>2</v>
      </c>
      <c r="I6937" s="51">
        <v>189.75</v>
      </c>
      <c r="J6937" s="281">
        <f>++Tabla4[[#This Row],[Precio Bruto]]*1.16</f>
        <v>220.10999999999999</v>
      </c>
      <c r="K6937" s="281">
        <f>+Tabla4[[#This Row],[Precio Unitario Neto]]*Tabla4[[#Headers],[20.85%]]</f>
        <v>45.892934999999994</v>
      </c>
      <c r="L6937" s="282">
        <f>++Tabla4[[#This Row],[Precio Unitario Neto]]-Tabla4[[#This Row],[20.85%]]</f>
        <v>174.21706499999999</v>
      </c>
      <c r="M6937" s="282" t="e">
        <f>(INDEX(Tabla6[#All],MATCH(Tabla4[[#This Row],[Producto]],Tabla6[[#All],[PRODUCTO]],0),MATCH(Tabla4[[#This Row],[Mes]],Tabla6[#Headers],0)))*(1+Catalogos!$L$2)</f>
        <v>#N/A</v>
      </c>
      <c r="N6937" s="283" t="e">
        <f>+(Tabla4[[#This Row],[Precio Descontado]]-Tabla4[[#This Row],[Precio Base]])*Tabla4[[#This Row],[Cantidad]]</f>
        <v>#N/A</v>
      </c>
      <c r="O6937" s="284" t="e">
        <f>++Tabla4[[#This Row],[Utilidad Total]]/Tabla4[[#This Row],[Total]]</f>
        <v>#N/A</v>
      </c>
      <c r="P6937" s="282">
        <f>++Tabla4[[#This Row],[Precio Descontado]]*Tabla4[[#This Row],[Cantidad]]</f>
        <v>348.43412999999998</v>
      </c>
      <c r="Q6937" s="282" t="e">
        <f>(INDEX(Tabla6[#All],MATCH(Tabla4[[#This Row],[Producto]],Tabla6[[#All],[PRODUCTO]],0),MATCH(Tabla4[[#This Row],[Mes]],Tabla6[#Headers],0)))</f>
        <v>#N/A</v>
      </c>
      <c r="R6937" s="282" t="e">
        <f>++Tabla4[[#This Row],[Precio Unitario Neto]]-Tabla4[[#This Row],[20.85%]]-Tabla4[[#This Row],[Costo]]</f>
        <v>#N/A</v>
      </c>
      <c r="S6937" s="282" t="e">
        <f>++Tabla4[[#This Row],[U. Bruta Uni]]*Tabla4[[#This Row],[Cantidad]]</f>
        <v>#N/A</v>
      </c>
      <c r="T6937" s="369" t="str">
        <f>VLOOKUP(Tabla4[[#This Row],[Producto]],Tabla6[#All],14,FALSE)</f>
        <v>Termico Solar</v>
      </c>
      <c r="U6937" s="284" t="e">
        <f>(IF(Tabla4[[#This Row],[Familia]]="termico solar",Tabla4[[#This Row],[Utilidad Total]]*6%,Tabla4[[#This Row],[Utilidad Total]]*11.5%))/Tabla4[[#This Row],[Total]]</f>
        <v>#N/A</v>
      </c>
      <c r="V6937" s="282" t="e">
        <f>+Tabla4[[#This Row],[Comisión Calculada]]*Tabla4[[#This Row],[Total]]</f>
        <v>#N/A</v>
      </c>
    </row>
    <row r="6938" spans="1:22" hidden="1" x14ac:dyDescent="0.25">
      <c r="A6938" s="100">
        <v>45976</v>
      </c>
      <c r="B6938" t="str">
        <f t="shared" ref="B6938:B6939" si="504">TEXT(A6938, "mmmm")</f>
        <v>November</v>
      </c>
      <c r="C6938" s="46" t="s">
        <v>280</v>
      </c>
      <c r="F6938" s="366" t="s">
        <v>3492</v>
      </c>
      <c r="G6938" s="46" t="s">
        <v>17</v>
      </c>
      <c r="H6938" s="46">
        <v>3</v>
      </c>
      <c r="I6938" s="51">
        <v>4622.28</v>
      </c>
      <c r="J6938" s="281">
        <f>++Tabla4[[#This Row],[Precio Bruto]]*1.16</f>
        <v>5361.8447999999989</v>
      </c>
      <c r="K6938" s="281">
        <f>+Tabla4[[#This Row],[Precio Unitario Neto]]*Tabla4[[#Headers],[20.85%]]</f>
        <v>1117.9446407999997</v>
      </c>
      <c r="L6938" s="282">
        <f>++Tabla4[[#This Row],[Precio Unitario Neto]]-Tabla4[[#This Row],[20.85%]]</f>
        <v>4243.9001591999995</v>
      </c>
      <c r="M6938" s="282" t="e">
        <f>(INDEX(Tabla6[#All],MATCH(Tabla4[[#This Row],[Producto]],Tabla6[[#All],[PRODUCTO]],0),MATCH(Tabla4[[#This Row],[Mes]],Tabla6[#Headers],0)))*(1+Catalogos!$L$2)</f>
        <v>#N/A</v>
      </c>
      <c r="N6938" s="283" t="e">
        <f>+(Tabla4[[#This Row],[Precio Descontado]]-Tabla4[[#This Row],[Precio Base]])*Tabla4[[#This Row],[Cantidad]]</f>
        <v>#N/A</v>
      </c>
      <c r="O6938" s="284" t="e">
        <f>++Tabla4[[#This Row],[Utilidad Total]]/Tabla4[[#This Row],[Total]]</f>
        <v>#N/A</v>
      </c>
      <c r="P6938" s="282">
        <f>++Tabla4[[#This Row],[Precio Descontado]]*Tabla4[[#This Row],[Cantidad]]</f>
        <v>12731.700477599999</v>
      </c>
      <c r="Q6938" s="282" t="e">
        <f>(INDEX(Tabla6[#All],MATCH(Tabla4[[#This Row],[Producto]],Tabla6[[#All],[PRODUCTO]],0),MATCH(Tabla4[[#This Row],[Mes]],Tabla6[#Headers],0)))</f>
        <v>#N/A</v>
      </c>
      <c r="R6938" s="282" t="e">
        <f>++Tabla4[[#This Row],[Precio Unitario Neto]]-Tabla4[[#This Row],[20.85%]]-Tabla4[[#This Row],[Costo]]</f>
        <v>#N/A</v>
      </c>
      <c r="S6938" s="282" t="e">
        <f>++Tabla4[[#This Row],[U. Bruta Uni]]*Tabla4[[#This Row],[Cantidad]]</f>
        <v>#N/A</v>
      </c>
      <c r="T6938" s="369" t="str">
        <f>VLOOKUP(Tabla4[[#This Row],[Producto]],Tabla6[#All],14,FALSE)</f>
        <v>Termico Solar</v>
      </c>
      <c r="U6938" s="284" t="e">
        <f>(IF(Tabla4[[#This Row],[Familia]]="termico solar",Tabla4[[#This Row],[Utilidad Total]]*6%,Tabla4[[#This Row],[Utilidad Total]]*11.5%))/Tabla4[[#This Row],[Total]]</f>
        <v>#N/A</v>
      </c>
      <c r="V6938" s="282" t="e">
        <f>+Tabla4[[#This Row],[Comisión Calculada]]*Tabla4[[#This Row],[Total]]</f>
        <v>#N/A</v>
      </c>
    </row>
    <row r="6939" spans="1:22" hidden="1" x14ac:dyDescent="0.25">
      <c r="A6939" s="100">
        <v>45976</v>
      </c>
      <c r="B6939" t="str">
        <f t="shared" si="504"/>
        <v>November</v>
      </c>
      <c r="C6939" s="46" t="s">
        <v>280</v>
      </c>
      <c r="F6939" s="366" t="s">
        <v>3492</v>
      </c>
      <c r="G6939" s="46" t="s">
        <v>16</v>
      </c>
      <c r="H6939" s="46">
        <v>1</v>
      </c>
      <c r="I6939" s="51">
        <v>4103.8500000000004</v>
      </c>
      <c r="J6939" s="281">
        <f>++Tabla4[[#This Row],[Precio Bruto]]*1.16</f>
        <v>4760.4660000000003</v>
      </c>
      <c r="K6939" s="281">
        <f>+Tabla4[[#This Row],[Precio Unitario Neto]]*Tabla4[[#Headers],[20.85%]]</f>
        <v>992.55716100000006</v>
      </c>
      <c r="L6939" s="282">
        <f>++Tabla4[[#This Row],[Precio Unitario Neto]]-Tabla4[[#This Row],[20.85%]]</f>
        <v>3767.9088390000002</v>
      </c>
      <c r="M6939" s="282" t="e">
        <f>(INDEX(Tabla6[#All],MATCH(Tabla4[[#This Row],[Producto]],Tabla6[[#All],[PRODUCTO]],0),MATCH(Tabla4[[#This Row],[Mes]],Tabla6[#Headers],0)))*(1+Catalogos!$L$2)</f>
        <v>#N/A</v>
      </c>
      <c r="N6939" s="283" t="e">
        <f>+(Tabla4[[#This Row],[Precio Descontado]]-Tabla4[[#This Row],[Precio Base]])*Tabla4[[#This Row],[Cantidad]]</f>
        <v>#N/A</v>
      </c>
      <c r="O6939" s="284" t="e">
        <f>++Tabla4[[#This Row],[Utilidad Total]]/Tabla4[[#This Row],[Total]]</f>
        <v>#N/A</v>
      </c>
      <c r="P6939" s="282">
        <f>++Tabla4[[#This Row],[Precio Descontado]]*Tabla4[[#This Row],[Cantidad]]</f>
        <v>3767.9088390000002</v>
      </c>
      <c r="Q6939" s="282" t="e">
        <f>(INDEX(Tabla6[#All],MATCH(Tabla4[[#This Row],[Producto]],Tabla6[[#All],[PRODUCTO]],0),MATCH(Tabla4[[#This Row],[Mes]],Tabla6[#Headers],0)))</f>
        <v>#N/A</v>
      </c>
      <c r="R6939" s="282" t="e">
        <f>++Tabla4[[#This Row],[Precio Unitario Neto]]-Tabla4[[#This Row],[20.85%]]-Tabla4[[#This Row],[Costo]]</f>
        <v>#N/A</v>
      </c>
      <c r="S6939" s="282" t="e">
        <f>++Tabla4[[#This Row],[U. Bruta Uni]]*Tabla4[[#This Row],[Cantidad]]</f>
        <v>#N/A</v>
      </c>
      <c r="T6939" s="369" t="str">
        <f>VLOOKUP(Tabla4[[#This Row],[Producto]],Tabla6[#All],14,FALSE)</f>
        <v>Termico Solar</v>
      </c>
      <c r="U6939" s="284" t="e">
        <f>(IF(Tabla4[[#This Row],[Familia]]="termico solar",Tabla4[[#This Row],[Utilidad Total]]*6%,Tabla4[[#This Row],[Utilidad Total]]*11.5%))/Tabla4[[#This Row],[Total]]</f>
        <v>#N/A</v>
      </c>
      <c r="V6939" s="282" t="e">
        <f>+Tabla4[[#This Row],[Comisión Calculada]]*Tabla4[[#This Row],[Total]]</f>
        <v>#N/A</v>
      </c>
    </row>
    <row r="6940" spans="1:22" hidden="1" x14ac:dyDescent="0.25">
      <c r="A6940" s="100">
        <v>45976</v>
      </c>
      <c r="B6940" t="str">
        <f t="shared" ref="B6940:B6942" si="505">TEXT(A6940, "mmmm")</f>
        <v>November</v>
      </c>
      <c r="C6940" s="46" t="s">
        <v>280</v>
      </c>
      <c r="F6940" s="366" t="s">
        <v>3493</v>
      </c>
      <c r="G6940" s="46" t="s">
        <v>19</v>
      </c>
      <c r="H6940" s="46">
        <v>3</v>
      </c>
      <c r="I6940" s="51">
        <v>6412.03</v>
      </c>
      <c r="J6940" s="281">
        <f>++Tabla4[[#This Row],[Precio Bruto]]*1.16</f>
        <v>7437.9547999999995</v>
      </c>
      <c r="K6940" s="281">
        <f>+Tabla4[[#This Row],[Precio Unitario Neto]]*Tabla4[[#Headers],[20.85%]]</f>
        <v>1550.8135757999999</v>
      </c>
      <c r="L6940" s="282">
        <f>++Tabla4[[#This Row],[Precio Unitario Neto]]-Tabla4[[#This Row],[20.85%]]</f>
        <v>5887.1412241999997</v>
      </c>
      <c r="M6940" s="282" t="e">
        <f>(INDEX(Tabla6[#All],MATCH(Tabla4[[#This Row],[Producto]],Tabla6[[#All],[PRODUCTO]],0),MATCH(Tabla4[[#This Row],[Mes]],Tabla6[#Headers],0)))*(1+Catalogos!$L$2)</f>
        <v>#N/A</v>
      </c>
      <c r="N6940" s="283" t="e">
        <f>+(Tabla4[[#This Row],[Precio Descontado]]-Tabla4[[#This Row],[Precio Base]])*Tabla4[[#This Row],[Cantidad]]</f>
        <v>#N/A</v>
      </c>
      <c r="O6940" s="284" t="e">
        <f>++Tabla4[[#This Row],[Utilidad Total]]/Tabla4[[#This Row],[Total]]</f>
        <v>#N/A</v>
      </c>
      <c r="P6940" s="282">
        <f>++Tabla4[[#This Row],[Precio Descontado]]*Tabla4[[#This Row],[Cantidad]]</f>
        <v>17661.423672599998</v>
      </c>
      <c r="Q6940" s="282" t="e">
        <f>(INDEX(Tabla6[#All],MATCH(Tabla4[[#This Row],[Producto]],Tabla6[[#All],[PRODUCTO]],0),MATCH(Tabla4[[#This Row],[Mes]],Tabla6[#Headers],0)))</f>
        <v>#N/A</v>
      </c>
      <c r="R6940" s="282" t="e">
        <f>++Tabla4[[#This Row],[Precio Unitario Neto]]-Tabla4[[#This Row],[20.85%]]-Tabla4[[#This Row],[Costo]]</f>
        <v>#N/A</v>
      </c>
      <c r="S6940" s="282" t="e">
        <f>++Tabla4[[#This Row],[U. Bruta Uni]]*Tabla4[[#This Row],[Cantidad]]</f>
        <v>#N/A</v>
      </c>
      <c r="T6940" s="369" t="str">
        <f>VLOOKUP(Tabla4[[#This Row],[Producto]],Tabla6[#All],14,FALSE)</f>
        <v>Termico Solar</v>
      </c>
      <c r="U6940" s="284" t="e">
        <f>(IF(Tabla4[[#This Row],[Familia]]="termico solar",Tabla4[[#This Row],[Utilidad Total]]*6%,Tabla4[[#This Row],[Utilidad Total]]*11.5%))/Tabla4[[#This Row],[Total]]</f>
        <v>#N/A</v>
      </c>
      <c r="V6940" s="282" t="e">
        <f>+Tabla4[[#This Row],[Comisión Calculada]]*Tabla4[[#This Row],[Total]]</f>
        <v>#N/A</v>
      </c>
    </row>
    <row r="6941" spans="1:22" hidden="1" x14ac:dyDescent="0.25">
      <c r="A6941" s="100">
        <v>45976</v>
      </c>
      <c r="B6941" t="str">
        <f t="shared" si="505"/>
        <v>November</v>
      </c>
      <c r="C6941" s="46" t="s">
        <v>280</v>
      </c>
      <c r="F6941" s="366" t="s">
        <v>3493</v>
      </c>
      <c r="G6941" s="46" t="s">
        <v>16</v>
      </c>
      <c r="H6941" s="46">
        <v>1</v>
      </c>
      <c r="I6941" s="51">
        <v>4103.8500000000004</v>
      </c>
      <c r="J6941" s="281">
        <f>++Tabla4[[#This Row],[Precio Bruto]]*1.16</f>
        <v>4760.4660000000003</v>
      </c>
      <c r="K6941" s="281">
        <f>+Tabla4[[#This Row],[Precio Unitario Neto]]*Tabla4[[#Headers],[20.85%]]</f>
        <v>992.55716100000006</v>
      </c>
      <c r="L6941" s="282">
        <f>++Tabla4[[#This Row],[Precio Unitario Neto]]-Tabla4[[#This Row],[20.85%]]</f>
        <v>3767.9088390000002</v>
      </c>
      <c r="M6941" s="282" t="e">
        <f>(INDEX(Tabla6[#All],MATCH(Tabla4[[#This Row],[Producto]],Tabla6[[#All],[PRODUCTO]],0),MATCH(Tabla4[[#This Row],[Mes]],Tabla6[#Headers],0)))*(1+Catalogos!$L$2)</f>
        <v>#N/A</v>
      </c>
      <c r="N6941" s="283" t="e">
        <f>+(Tabla4[[#This Row],[Precio Descontado]]-Tabla4[[#This Row],[Precio Base]])*Tabla4[[#This Row],[Cantidad]]</f>
        <v>#N/A</v>
      </c>
      <c r="O6941" s="284" t="e">
        <f>++Tabla4[[#This Row],[Utilidad Total]]/Tabla4[[#This Row],[Total]]</f>
        <v>#N/A</v>
      </c>
      <c r="P6941" s="282">
        <f>++Tabla4[[#This Row],[Precio Descontado]]*Tabla4[[#This Row],[Cantidad]]</f>
        <v>3767.9088390000002</v>
      </c>
      <c r="Q6941" s="282" t="e">
        <f>(INDEX(Tabla6[#All],MATCH(Tabla4[[#This Row],[Producto]],Tabla6[[#All],[PRODUCTO]],0),MATCH(Tabla4[[#This Row],[Mes]],Tabla6[#Headers],0)))</f>
        <v>#N/A</v>
      </c>
      <c r="R6941" s="282" t="e">
        <f>++Tabla4[[#This Row],[Precio Unitario Neto]]-Tabla4[[#This Row],[20.85%]]-Tabla4[[#This Row],[Costo]]</f>
        <v>#N/A</v>
      </c>
      <c r="S6941" s="282" t="e">
        <f>++Tabla4[[#This Row],[U. Bruta Uni]]*Tabla4[[#This Row],[Cantidad]]</f>
        <v>#N/A</v>
      </c>
      <c r="T6941" s="369" t="str">
        <f>VLOOKUP(Tabla4[[#This Row],[Producto]],Tabla6[#All],14,FALSE)</f>
        <v>Termico Solar</v>
      </c>
      <c r="U6941" s="284" t="e">
        <f>(IF(Tabla4[[#This Row],[Familia]]="termico solar",Tabla4[[#This Row],[Utilidad Total]]*6%,Tabla4[[#This Row],[Utilidad Total]]*11.5%))/Tabla4[[#This Row],[Total]]</f>
        <v>#N/A</v>
      </c>
      <c r="V6941" s="282" t="e">
        <f>+Tabla4[[#This Row],[Comisión Calculada]]*Tabla4[[#This Row],[Total]]</f>
        <v>#N/A</v>
      </c>
    </row>
    <row r="6942" spans="1:22" hidden="1" x14ac:dyDescent="0.25">
      <c r="A6942" s="100">
        <v>45976</v>
      </c>
      <c r="B6942" t="str">
        <f t="shared" si="505"/>
        <v>November</v>
      </c>
      <c r="C6942" s="46" t="s">
        <v>280</v>
      </c>
      <c r="F6942" s="366" t="s">
        <v>3493</v>
      </c>
      <c r="G6942" s="46" t="s">
        <v>208</v>
      </c>
      <c r="H6942" s="46">
        <v>6</v>
      </c>
      <c r="I6942" s="51">
        <v>189.75</v>
      </c>
      <c r="J6942" s="281">
        <f>++Tabla4[[#This Row],[Precio Bruto]]*1.16</f>
        <v>220.10999999999999</v>
      </c>
      <c r="K6942" s="281">
        <f>+Tabla4[[#This Row],[Precio Unitario Neto]]*Tabla4[[#Headers],[20.85%]]</f>
        <v>45.892934999999994</v>
      </c>
      <c r="L6942" s="282">
        <f>++Tabla4[[#This Row],[Precio Unitario Neto]]-Tabla4[[#This Row],[20.85%]]</f>
        <v>174.21706499999999</v>
      </c>
      <c r="M6942" s="282" t="e">
        <f>(INDEX(Tabla6[#All],MATCH(Tabla4[[#This Row],[Producto]],Tabla6[[#All],[PRODUCTO]],0),MATCH(Tabla4[[#This Row],[Mes]],Tabla6[#Headers],0)))*(1+Catalogos!$L$2)</f>
        <v>#N/A</v>
      </c>
      <c r="N6942" s="283" t="e">
        <f>+(Tabla4[[#This Row],[Precio Descontado]]-Tabla4[[#This Row],[Precio Base]])*Tabla4[[#This Row],[Cantidad]]</f>
        <v>#N/A</v>
      </c>
      <c r="O6942" s="284" t="e">
        <f>++Tabla4[[#This Row],[Utilidad Total]]/Tabla4[[#This Row],[Total]]</f>
        <v>#N/A</v>
      </c>
      <c r="P6942" s="282">
        <f>++Tabla4[[#This Row],[Precio Descontado]]*Tabla4[[#This Row],[Cantidad]]</f>
        <v>1045.3023899999998</v>
      </c>
      <c r="Q6942" s="282" t="e">
        <f>(INDEX(Tabla6[#All],MATCH(Tabla4[[#This Row],[Producto]],Tabla6[[#All],[PRODUCTO]],0),MATCH(Tabla4[[#This Row],[Mes]],Tabla6[#Headers],0)))</f>
        <v>#N/A</v>
      </c>
      <c r="R6942" s="282" t="e">
        <f>++Tabla4[[#This Row],[Precio Unitario Neto]]-Tabla4[[#This Row],[20.85%]]-Tabla4[[#This Row],[Costo]]</f>
        <v>#N/A</v>
      </c>
      <c r="S6942" s="282" t="e">
        <f>++Tabla4[[#This Row],[U. Bruta Uni]]*Tabla4[[#This Row],[Cantidad]]</f>
        <v>#N/A</v>
      </c>
      <c r="T6942" s="369" t="str">
        <f>VLOOKUP(Tabla4[[#This Row],[Producto]],Tabla6[#All],14,FALSE)</f>
        <v>Termico Solar</v>
      </c>
      <c r="U6942" s="284" t="e">
        <f>(IF(Tabla4[[#This Row],[Familia]]="termico solar",Tabla4[[#This Row],[Utilidad Total]]*6%,Tabla4[[#This Row],[Utilidad Total]]*11.5%))/Tabla4[[#This Row],[Total]]</f>
        <v>#N/A</v>
      </c>
      <c r="V6942" s="282" t="e">
        <f>+Tabla4[[#This Row],[Comisión Calculada]]*Tabla4[[#This Row],[Total]]</f>
        <v>#N/A</v>
      </c>
    </row>
    <row r="6943" spans="1:22" hidden="1" x14ac:dyDescent="0.25">
      <c r="A6943" s="100">
        <v>45976</v>
      </c>
      <c r="B6943" t="str">
        <f>TEXT(A6943, "mmmm")</f>
        <v>November</v>
      </c>
      <c r="C6943" s="46" t="s">
        <v>280</v>
      </c>
      <c r="F6943" s="366" t="s">
        <v>3494</v>
      </c>
      <c r="G6943" s="46" t="s">
        <v>83</v>
      </c>
      <c r="H6943" s="46">
        <v>3</v>
      </c>
      <c r="I6943" s="51">
        <v>8858.76</v>
      </c>
      <c r="J6943" s="281">
        <f>++Tabla4[[#This Row],[Precio Bruto]]*1.16</f>
        <v>10276.161599999999</v>
      </c>
      <c r="K6943" s="281">
        <f>+Tabla4[[#This Row],[Precio Unitario Neto]]*Tabla4[[#Headers],[20.85%]]</f>
        <v>2142.5796935999997</v>
      </c>
      <c r="L6943" s="282">
        <f>++Tabla4[[#This Row],[Precio Unitario Neto]]-Tabla4[[#This Row],[20.85%]]</f>
        <v>8133.5819063999998</v>
      </c>
      <c r="M6943" s="282" t="e">
        <f>(INDEX(Tabla6[#All],MATCH(Tabla4[[#This Row],[Producto]],Tabla6[[#All],[PRODUCTO]],0),MATCH(Tabla4[[#This Row],[Mes]],Tabla6[#Headers],0)))*(1+Catalogos!$L$2)</f>
        <v>#N/A</v>
      </c>
      <c r="N6943" s="283" t="e">
        <f>+(Tabla4[[#This Row],[Precio Descontado]]-Tabla4[[#This Row],[Precio Base]])*Tabla4[[#This Row],[Cantidad]]</f>
        <v>#N/A</v>
      </c>
      <c r="O6943" s="284" t="e">
        <f>++Tabla4[[#This Row],[Utilidad Total]]/Tabla4[[#This Row],[Total]]</f>
        <v>#N/A</v>
      </c>
      <c r="P6943" s="282">
        <f>++Tabla4[[#This Row],[Precio Descontado]]*Tabla4[[#This Row],[Cantidad]]</f>
        <v>24400.7457192</v>
      </c>
      <c r="Q6943" s="282" t="e">
        <f>(INDEX(Tabla6[#All],MATCH(Tabla4[[#This Row],[Producto]],Tabla6[[#All],[PRODUCTO]],0),MATCH(Tabla4[[#This Row],[Mes]],Tabla6[#Headers],0)))</f>
        <v>#N/A</v>
      </c>
      <c r="R6943" s="282" t="e">
        <f>++Tabla4[[#This Row],[Precio Unitario Neto]]-Tabla4[[#This Row],[20.85%]]-Tabla4[[#This Row],[Costo]]</f>
        <v>#N/A</v>
      </c>
      <c r="S6943" s="282" t="e">
        <f>++Tabla4[[#This Row],[U. Bruta Uni]]*Tabla4[[#This Row],[Cantidad]]</f>
        <v>#N/A</v>
      </c>
      <c r="T6943" s="369" t="str">
        <f>VLOOKUP(Tabla4[[#This Row],[Producto]],Tabla6[#All],14,FALSE)</f>
        <v>Termico Solar</v>
      </c>
      <c r="U6943" s="284" t="e">
        <f>(IF(Tabla4[[#This Row],[Familia]]="termico solar",Tabla4[[#This Row],[Utilidad Total]]*6%,Tabla4[[#This Row],[Utilidad Total]]*11.5%))/Tabla4[[#This Row],[Total]]</f>
        <v>#N/A</v>
      </c>
      <c r="V6943" s="282" t="e">
        <f>+Tabla4[[#This Row],[Comisión Calculada]]*Tabla4[[#This Row],[Total]]</f>
        <v>#N/A</v>
      </c>
    </row>
    <row r="6944" spans="1:22" hidden="1" x14ac:dyDescent="0.25">
      <c r="A6944" s="100">
        <v>45976</v>
      </c>
      <c r="B6944" t="str">
        <f t="shared" ref="B6944:B6946" si="506">TEXT(A6944, "mmmm")</f>
        <v>November</v>
      </c>
      <c r="C6944" s="46" t="s">
        <v>280</v>
      </c>
      <c r="F6944" s="366" t="s">
        <v>3495</v>
      </c>
      <c r="G6944" s="46" t="s">
        <v>18</v>
      </c>
      <c r="H6944" s="46">
        <v>4</v>
      </c>
      <c r="I6944" s="51">
        <v>5367.65</v>
      </c>
      <c r="J6944" s="281">
        <f>++Tabla4[[#This Row],[Precio Bruto]]*1.16</f>
        <v>6226.4739999999993</v>
      </c>
      <c r="K6944" s="281">
        <f>+Tabla4[[#This Row],[Precio Unitario Neto]]*Tabla4[[#Headers],[20.85%]]</f>
        <v>1298.2198289999999</v>
      </c>
      <c r="L6944" s="282">
        <f>++Tabla4[[#This Row],[Precio Unitario Neto]]-Tabla4[[#This Row],[20.85%]]</f>
        <v>4928.2541709999996</v>
      </c>
      <c r="M6944" s="282" t="e">
        <f>(INDEX(Tabla6[#All],MATCH(Tabla4[[#This Row],[Producto]],Tabla6[[#All],[PRODUCTO]],0),MATCH(Tabla4[[#This Row],[Mes]],Tabla6[#Headers],0)))*(1+Catalogos!$L$2)</f>
        <v>#N/A</v>
      </c>
      <c r="N6944" s="283" t="e">
        <f>+(Tabla4[[#This Row],[Precio Descontado]]-Tabla4[[#This Row],[Precio Base]])*Tabla4[[#This Row],[Cantidad]]</f>
        <v>#N/A</v>
      </c>
      <c r="O6944" s="284" t="e">
        <f>++Tabla4[[#This Row],[Utilidad Total]]/Tabla4[[#This Row],[Total]]</f>
        <v>#N/A</v>
      </c>
      <c r="P6944" s="282">
        <f>++Tabla4[[#This Row],[Precio Descontado]]*Tabla4[[#This Row],[Cantidad]]</f>
        <v>19713.016683999998</v>
      </c>
      <c r="Q6944" s="282" t="e">
        <f>(INDEX(Tabla6[#All],MATCH(Tabla4[[#This Row],[Producto]],Tabla6[[#All],[PRODUCTO]],0),MATCH(Tabla4[[#This Row],[Mes]],Tabla6[#Headers],0)))</f>
        <v>#N/A</v>
      </c>
      <c r="R6944" s="282" t="e">
        <f>++Tabla4[[#This Row],[Precio Unitario Neto]]-Tabla4[[#This Row],[20.85%]]-Tabla4[[#This Row],[Costo]]</f>
        <v>#N/A</v>
      </c>
      <c r="S6944" s="282" t="e">
        <f>++Tabla4[[#This Row],[U. Bruta Uni]]*Tabla4[[#This Row],[Cantidad]]</f>
        <v>#N/A</v>
      </c>
      <c r="T6944" s="369" t="str">
        <f>VLOOKUP(Tabla4[[#This Row],[Producto]],Tabla6[#All],14,FALSE)</f>
        <v>Termico Solar</v>
      </c>
      <c r="U6944" s="284" t="e">
        <f>(IF(Tabla4[[#This Row],[Familia]]="termico solar",Tabla4[[#This Row],[Utilidad Total]]*6%,Tabla4[[#This Row],[Utilidad Total]]*11.5%))/Tabla4[[#This Row],[Total]]</f>
        <v>#N/A</v>
      </c>
      <c r="V6944" s="282" t="e">
        <f>+Tabla4[[#This Row],[Comisión Calculada]]*Tabla4[[#This Row],[Total]]</f>
        <v>#N/A</v>
      </c>
    </row>
    <row r="6945" spans="1:22" hidden="1" x14ac:dyDescent="0.25">
      <c r="A6945" s="100">
        <v>45976</v>
      </c>
      <c r="B6945" t="str">
        <f t="shared" si="506"/>
        <v>November</v>
      </c>
      <c r="C6945" s="46" t="s">
        <v>280</v>
      </c>
      <c r="F6945" s="366" t="s">
        <v>3495</v>
      </c>
      <c r="G6945" s="46" t="s">
        <v>19</v>
      </c>
      <c r="H6945" s="46">
        <v>1</v>
      </c>
      <c r="I6945" s="51">
        <v>6412.03</v>
      </c>
      <c r="J6945" s="281">
        <f>++Tabla4[[#This Row],[Precio Bruto]]*1.16</f>
        <v>7437.9547999999995</v>
      </c>
      <c r="K6945" s="281">
        <f>+Tabla4[[#This Row],[Precio Unitario Neto]]*Tabla4[[#Headers],[20.85%]]</f>
        <v>1550.8135757999999</v>
      </c>
      <c r="L6945" s="282">
        <f>++Tabla4[[#This Row],[Precio Unitario Neto]]-Tabla4[[#This Row],[20.85%]]</f>
        <v>5887.1412241999997</v>
      </c>
      <c r="M6945" s="282" t="e">
        <f>(INDEX(Tabla6[#All],MATCH(Tabla4[[#This Row],[Producto]],Tabla6[[#All],[PRODUCTO]],0),MATCH(Tabla4[[#This Row],[Mes]],Tabla6[#Headers],0)))*(1+Catalogos!$L$2)</f>
        <v>#N/A</v>
      </c>
      <c r="N6945" s="283" t="e">
        <f>+(Tabla4[[#This Row],[Precio Descontado]]-Tabla4[[#This Row],[Precio Base]])*Tabla4[[#This Row],[Cantidad]]</f>
        <v>#N/A</v>
      </c>
      <c r="O6945" s="284" t="e">
        <f>++Tabla4[[#This Row],[Utilidad Total]]/Tabla4[[#This Row],[Total]]</f>
        <v>#N/A</v>
      </c>
      <c r="P6945" s="282">
        <f>++Tabla4[[#This Row],[Precio Descontado]]*Tabla4[[#This Row],[Cantidad]]</f>
        <v>5887.1412241999997</v>
      </c>
      <c r="Q6945" s="282" t="e">
        <f>(INDEX(Tabla6[#All],MATCH(Tabla4[[#This Row],[Producto]],Tabla6[[#All],[PRODUCTO]],0),MATCH(Tabla4[[#This Row],[Mes]],Tabla6[#Headers],0)))</f>
        <v>#N/A</v>
      </c>
      <c r="R6945" s="282" t="e">
        <f>++Tabla4[[#This Row],[Precio Unitario Neto]]-Tabla4[[#This Row],[20.85%]]-Tabla4[[#This Row],[Costo]]</f>
        <v>#N/A</v>
      </c>
      <c r="S6945" s="282" t="e">
        <f>++Tabla4[[#This Row],[U. Bruta Uni]]*Tabla4[[#This Row],[Cantidad]]</f>
        <v>#N/A</v>
      </c>
      <c r="T6945" s="369" t="str">
        <f>VLOOKUP(Tabla4[[#This Row],[Producto]],Tabla6[#All],14,FALSE)</f>
        <v>Termico Solar</v>
      </c>
      <c r="U6945" s="284" t="e">
        <f>(IF(Tabla4[[#This Row],[Familia]]="termico solar",Tabla4[[#This Row],[Utilidad Total]]*6%,Tabla4[[#This Row],[Utilidad Total]]*11.5%))/Tabla4[[#This Row],[Total]]</f>
        <v>#N/A</v>
      </c>
      <c r="V6945" s="282" t="e">
        <f>+Tabla4[[#This Row],[Comisión Calculada]]*Tabla4[[#This Row],[Total]]</f>
        <v>#N/A</v>
      </c>
    </row>
    <row r="6946" spans="1:22" hidden="1" x14ac:dyDescent="0.25">
      <c r="A6946" s="100">
        <v>45976</v>
      </c>
      <c r="B6946" t="str">
        <f t="shared" si="506"/>
        <v>November</v>
      </c>
      <c r="C6946" s="46" t="s">
        <v>280</v>
      </c>
      <c r="F6946" s="366" t="s">
        <v>3495</v>
      </c>
      <c r="G6946" s="46" t="s">
        <v>208</v>
      </c>
      <c r="H6946" s="46">
        <v>14</v>
      </c>
      <c r="I6946" s="51">
        <v>189.75</v>
      </c>
      <c r="J6946" s="281">
        <f>++Tabla4[[#This Row],[Precio Bruto]]*1.16</f>
        <v>220.10999999999999</v>
      </c>
      <c r="K6946" s="281">
        <f>+Tabla4[[#This Row],[Precio Unitario Neto]]*Tabla4[[#Headers],[20.85%]]</f>
        <v>45.892934999999994</v>
      </c>
      <c r="L6946" s="282">
        <f>++Tabla4[[#This Row],[Precio Unitario Neto]]-Tabla4[[#This Row],[20.85%]]</f>
        <v>174.21706499999999</v>
      </c>
      <c r="M6946" s="282" t="e">
        <f>(INDEX(Tabla6[#All],MATCH(Tabla4[[#This Row],[Producto]],Tabla6[[#All],[PRODUCTO]],0),MATCH(Tabla4[[#This Row],[Mes]],Tabla6[#Headers],0)))*(1+Catalogos!$L$2)</f>
        <v>#N/A</v>
      </c>
      <c r="N6946" s="283" t="e">
        <f>+(Tabla4[[#This Row],[Precio Descontado]]-Tabla4[[#This Row],[Precio Base]])*Tabla4[[#This Row],[Cantidad]]</f>
        <v>#N/A</v>
      </c>
      <c r="O6946" s="284" t="e">
        <f>++Tabla4[[#This Row],[Utilidad Total]]/Tabla4[[#This Row],[Total]]</f>
        <v>#N/A</v>
      </c>
      <c r="P6946" s="282">
        <f>++Tabla4[[#This Row],[Precio Descontado]]*Tabla4[[#This Row],[Cantidad]]</f>
        <v>2439.0389099999998</v>
      </c>
      <c r="Q6946" s="282" t="e">
        <f>(INDEX(Tabla6[#All],MATCH(Tabla4[[#This Row],[Producto]],Tabla6[[#All],[PRODUCTO]],0),MATCH(Tabla4[[#This Row],[Mes]],Tabla6[#Headers],0)))</f>
        <v>#N/A</v>
      </c>
      <c r="R6946" s="282" t="e">
        <f>++Tabla4[[#This Row],[Precio Unitario Neto]]-Tabla4[[#This Row],[20.85%]]-Tabla4[[#This Row],[Costo]]</f>
        <v>#N/A</v>
      </c>
      <c r="S6946" s="282" t="e">
        <f>++Tabla4[[#This Row],[U. Bruta Uni]]*Tabla4[[#This Row],[Cantidad]]</f>
        <v>#N/A</v>
      </c>
      <c r="T6946" s="369" t="str">
        <f>VLOOKUP(Tabla4[[#This Row],[Producto]],Tabla6[#All],14,FALSE)</f>
        <v>Termico Solar</v>
      </c>
      <c r="U6946" s="284" t="e">
        <f>(IF(Tabla4[[#This Row],[Familia]]="termico solar",Tabla4[[#This Row],[Utilidad Total]]*6%,Tabla4[[#This Row],[Utilidad Total]]*11.5%))/Tabla4[[#This Row],[Total]]</f>
        <v>#N/A</v>
      </c>
      <c r="V6946" s="282" t="e">
        <f>+Tabla4[[#This Row],[Comisión Calculada]]*Tabla4[[#This Row],[Total]]</f>
        <v>#N/A</v>
      </c>
    </row>
    <row r="6947" spans="1:22" hidden="1" x14ac:dyDescent="0.25">
      <c r="A6947" s="100">
        <v>45976</v>
      </c>
      <c r="B6947" t="str">
        <f t="shared" ref="B6947:B6948" si="507">TEXT(A6947, "mmmm")</f>
        <v>November</v>
      </c>
      <c r="C6947" s="46" t="s">
        <v>280</v>
      </c>
      <c r="F6947" s="366" t="s">
        <v>3496</v>
      </c>
      <c r="G6947" s="46" t="s">
        <v>17</v>
      </c>
      <c r="H6947" s="46">
        <v>1</v>
      </c>
      <c r="I6947" s="51">
        <v>4622.28</v>
      </c>
      <c r="J6947" s="281">
        <f>++Tabla4[[#This Row],[Precio Bruto]]*1.16</f>
        <v>5361.8447999999989</v>
      </c>
      <c r="K6947" s="281">
        <f>+Tabla4[[#This Row],[Precio Unitario Neto]]*Tabla4[[#Headers],[20.85%]]</f>
        <v>1117.9446407999997</v>
      </c>
      <c r="L6947" s="282">
        <f>++Tabla4[[#This Row],[Precio Unitario Neto]]-Tabla4[[#This Row],[20.85%]]</f>
        <v>4243.9001591999995</v>
      </c>
      <c r="M6947" s="282" t="e">
        <f>(INDEX(Tabla6[#All],MATCH(Tabla4[[#This Row],[Producto]],Tabla6[[#All],[PRODUCTO]],0),MATCH(Tabla4[[#This Row],[Mes]],Tabla6[#Headers],0)))*(1+Catalogos!$L$2)</f>
        <v>#N/A</v>
      </c>
      <c r="N6947" s="283" t="e">
        <f>+(Tabla4[[#This Row],[Precio Descontado]]-Tabla4[[#This Row],[Precio Base]])*Tabla4[[#This Row],[Cantidad]]</f>
        <v>#N/A</v>
      </c>
      <c r="O6947" s="284" t="e">
        <f>++Tabla4[[#This Row],[Utilidad Total]]/Tabla4[[#This Row],[Total]]</f>
        <v>#N/A</v>
      </c>
      <c r="P6947" s="282">
        <f>++Tabla4[[#This Row],[Precio Descontado]]*Tabla4[[#This Row],[Cantidad]]</f>
        <v>4243.9001591999995</v>
      </c>
      <c r="Q6947" s="282" t="e">
        <f>(INDEX(Tabla6[#All],MATCH(Tabla4[[#This Row],[Producto]],Tabla6[[#All],[PRODUCTO]],0),MATCH(Tabla4[[#This Row],[Mes]],Tabla6[#Headers],0)))</f>
        <v>#N/A</v>
      </c>
      <c r="R6947" s="282" t="e">
        <f>++Tabla4[[#This Row],[Precio Unitario Neto]]-Tabla4[[#This Row],[20.85%]]-Tabla4[[#This Row],[Costo]]</f>
        <v>#N/A</v>
      </c>
      <c r="S6947" s="282" t="e">
        <f>++Tabla4[[#This Row],[U. Bruta Uni]]*Tabla4[[#This Row],[Cantidad]]</f>
        <v>#N/A</v>
      </c>
      <c r="T6947" s="369" t="str">
        <f>VLOOKUP(Tabla4[[#This Row],[Producto]],Tabla6[#All],14,FALSE)</f>
        <v>Termico Solar</v>
      </c>
      <c r="U6947" s="284" t="e">
        <f>(IF(Tabla4[[#This Row],[Familia]]="termico solar",Tabla4[[#This Row],[Utilidad Total]]*6%,Tabla4[[#This Row],[Utilidad Total]]*11.5%))/Tabla4[[#This Row],[Total]]</f>
        <v>#N/A</v>
      </c>
      <c r="V6947" s="282" t="e">
        <f>+Tabla4[[#This Row],[Comisión Calculada]]*Tabla4[[#This Row],[Total]]</f>
        <v>#N/A</v>
      </c>
    </row>
    <row r="6948" spans="1:22" hidden="1" x14ac:dyDescent="0.25">
      <c r="A6948" s="100">
        <v>45976</v>
      </c>
      <c r="B6948" t="str">
        <f t="shared" si="507"/>
        <v>November</v>
      </c>
      <c r="C6948" s="46" t="s">
        <v>280</v>
      </c>
      <c r="F6948" s="366" t="s">
        <v>3496</v>
      </c>
      <c r="G6948" s="46" t="s">
        <v>18</v>
      </c>
      <c r="H6948" s="46">
        <v>1</v>
      </c>
      <c r="I6948" s="51">
        <v>5367.65</v>
      </c>
      <c r="J6948" s="281">
        <f>++Tabla4[[#This Row],[Precio Bruto]]*1.16</f>
        <v>6226.4739999999993</v>
      </c>
      <c r="K6948" s="281">
        <f>+Tabla4[[#This Row],[Precio Unitario Neto]]*Tabla4[[#Headers],[20.85%]]</f>
        <v>1298.2198289999999</v>
      </c>
      <c r="L6948" s="282">
        <f>++Tabla4[[#This Row],[Precio Unitario Neto]]-Tabla4[[#This Row],[20.85%]]</f>
        <v>4928.2541709999996</v>
      </c>
      <c r="M6948" s="282" t="e">
        <f>(INDEX(Tabla6[#All],MATCH(Tabla4[[#This Row],[Producto]],Tabla6[[#All],[PRODUCTO]],0),MATCH(Tabla4[[#This Row],[Mes]],Tabla6[#Headers],0)))*(1+Catalogos!$L$2)</f>
        <v>#N/A</v>
      </c>
      <c r="N6948" s="283" t="e">
        <f>+(Tabla4[[#This Row],[Precio Descontado]]-Tabla4[[#This Row],[Precio Base]])*Tabla4[[#This Row],[Cantidad]]</f>
        <v>#N/A</v>
      </c>
      <c r="O6948" s="284" t="e">
        <f>++Tabla4[[#This Row],[Utilidad Total]]/Tabla4[[#This Row],[Total]]</f>
        <v>#N/A</v>
      </c>
      <c r="P6948" s="282">
        <f>++Tabla4[[#This Row],[Precio Descontado]]*Tabla4[[#This Row],[Cantidad]]</f>
        <v>4928.2541709999996</v>
      </c>
      <c r="Q6948" s="282" t="e">
        <f>(INDEX(Tabla6[#All],MATCH(Tabla4[[#This Row],[Producto]],Tabla6[[#All],[PRODUCTO]],0),MATCH(Tabla4[[#This Row],[Mes]],Tabla6[#Headers],0)))</f>
        <v>#N/A</v>
      </c>
      <c r="R6948" s="282" t="e">
        <f>++Tabla4[[#This Row],[Precio Unitario Neto]]-Tabla4[[#This Row],[20.85%]]-Tabla4[[#This Row],[Costo]]</f>
        <v>#N/A</v>
      </c>
      <c r="S6948" s="282" t="e">
        <f>++Tabla4[[#This Row],[U. Bruta Uni]]*Tabla4[[#This Row],[Cantidad]]</f>
        <v>#N/A</v>
      </c>
      <c r="T6948" s="369" t="str">
        <f>VLOOKUP(Tabla4[[#This Row],[Producto]],Tabla6[#All],14,FALSE)</f>
        <v>Termico Solar</v>
      </c>
      <c r="U6948" s="284" t="e">
        <f>(IF(Tabla4[[#This Row],[Familia]]="termico solar",Tabla4[[#This Row],[Utilidad Total]]*6%,Tabla4[[#This Row],[Utilidad Total]]*11.5%))/Tabla4[[#This Row],[Total]]</f>
        <v>#N/A</v>
      </c>
      <c r="V6948" s="282" t="e">
        <f>+Tabla4[[#This Row],[Comisión Calculada]]*Tabla4[[#This Row],[Total]]</f>
        <v>#N/A</v>
      </c>
    </row>
    <row r="6949" spans="1:22" hidden="1" x14ac:dyDescent="0.25">
      <c r="A6949" s="100">
        <v>45976</v>
      </c>
      <c r="B6949" t="str">
        <f t="shared" ref="B6949:B6951" si="508">TEXT(A6949, "mmmm")</f>
        <v>November</v>
      </c>
      <c r="C6949" s="46" t="s">
        <v>280</v>
      </c>
      <c r="F6949" s="366" t="s">
        <v>3497</v>
      </c>
      <c r="G6949" s="46" t="s">
        <v>17</v>
      </c>
      <c r="H6949" s="46">
        <v>3</v>
      </c>
      <c r="I6949" s="51">
        <v>4622.28</v>
      </c>
      <c r="J6949" s="281">
        <f>++Tabla4[[#This Row],[Precio Bruto]]*1.16</f>
        <v>5361.8447999999989</v>
      </c>
      <c r="K6949" s="281">
        <f>+Tabla4[[#This Row],[Precio Unitario Neto]]*Tabla4[[#Headers],[20.85%]]</f>
        <v>1117.9446407999997</v>
      </c>
      <c r="L6949" s="282">
        <f>++Tabla4[[#This Row],[Precio Unitario Neto]]-Tabla4[[#This Row],[20.85%]]</f>
        <v>4243.9001591999995</v>
      </c>
      <c r="M6949" s="282" t="e">
        <f>(INDEX(Tabla6[#All],MATCH(Tabla4[[#This Row],[Producto]],Tabla6[[#All],[PRODUCTO]],0),MATCH(Tabla4[[#This Row],[Mes]],Tabla6[#Headers],0)))*(1+Catalogos!$L$2)</f>
        <v>#N/A</v>
      </c>
      <c r="N6949" s="283" t="e">
        <f>+(Tabla4[[#This Row],[Precio Descontado]]-Tabla4[[#This Row],[Precio Base]])*Tabla4[[#This Row],[Cantidad]]</f>
        <v>#N/A</v>
      </c>
      <c r="O6949" s="284" t="e">
        <f>++Tabla4[[#This Row],[Utilidad Total]]/Tabla4[[#This Row],[Total]]</f>
        <v>#N/A</v>
      </c>
      <c r="P6949" s="282">
        <f>++Tabla4[[#This Row],[Precio Descontado]]*Tabla4[[#This Row],[Cantidad]]</f>
        <v>12731.700477599999</v>
      </c>
      <c r="Q6949" s="282" t="e">
        <f>(INDEX(Tabla6[#All],MATCH(Tabla4[[#This Row],[Producto]],Tabla6[[#All],[PRODUCTO]],0),MATCH(Tabla4[[#This Row],[Mes]],Tabla6[#Headers],0)))</f>
        <v>#N/A</v>
      </c>
      <c r="R6949" s="282" t="e">
        <f>++Tabla4[[#This Row],[Precio Unitario Neto]]-Tabla4[[#This Row],[20.85%]]-Tabla4[[#This Row],[Costo]]</f>
        <v>#N/A</v>
      </c>
      <c r="S6949" s="282" t="e">
        <f>++Tabla4[[#This Row],[U. Bruta Uni]]*Tabla4[[#This Row],[Cantidad]]</f>
        <v>#N/A</v>
      </c>
      <c r="T6949" s="369" t="str">
        <f>VLOOKUP(Tabla4[[#This Row],[Producto]],Tabla6[#All],14,FALSE)</f>
        <v>Termico Solar</v>
      </c>
      <c r="U6949" s="284" t="e">
        <f>(IF(Tabla4[[#This Row],[Familia]]="termico solar",Tabla4[[#This Row],[Utilidad Total]]*6%,Tabla4[[#This Row],[Utilidad Total]]*11.5%))/Tabla4[[#This Row],[Total]]</f>
        <v>#N/A</v>
      </c>
      <c r="V6949" s="282" t="e">
        <f>+Tabla4[[#This Row],[Comisión Calculada]]*Tabla4[[#This Row],[Total]]</f>
        <v>#N/A</v>
      </c>
    </row>
    <row r="6950" spans="1:22" hidden="1" x14ac:dyDescent="0.25">
      <c r="A6950" s="100">
        <v>45976</v>
      </c>
      <c r="B6950" t="str">
        <f t="shared" si="508"/>
        <v>November</v>
      </c>
      <c r="C6950" s="46" t="s">
        <v>280</v>
      </c>
      <c r="F6950" s="366" t="s">
        <v>3497</v>
      </c>
      <c r="G6950" s="46" t="s">
        <v>18</v>
      </c>
      <c r="H6950" s="46">
        <v>1</v>
      </c>
      <c r="I6950" s="51">
        <v>5367.65</v>
      </c>
      <c r="J6950" s="281">
        <f>++Tabla4[[#This Row],[Precio Bruto]]*1.16</f>
        <v>6226.4739999999993</v>
      </c>
      <c r="K6950" s="281">
        <f>+Tabla4[[#This Row],[Precio Unitario Neto]]*Tabla4[[#Headers],[20.85%]]</f>
        <v>1298.2198289999999</v>
      </c>
      <c r="L6950" s="282">
        <f>++Tabla4[[#This Row],[Precio Unitario Neto]]-Tabla4[[#This Row],[20.85%]]</f>
        <v>4928.2541709999996</v>
      </c>
      <c r="M6950" s="282" t="e">
        <f>(INDEX(Tabla6[#All],MATCH(Tabla4[[#This Row],[Producto]],Tabla6[[#All],[PRODUCTO]],0),MATCH(Tabla4[[#This Row],[Mes]],Tabla6[#Headers],0)))*(1+Catalogos!$L$2)</f>
        <v>#N/A</v>
      </c>
      <c r="N6950" s="283" t="e">
        <f>+(Tabla4[[#This Row],[Precio Descontado]]-Tabla4[[#This Row],[Precio Base]])*Tabla4[[#This Row],[Cantidad]]</f>
        <v>#N/A</v>
      </c>
      <c r="O6950" s="284" t="e">
        <f>++Tabla4[[#This Row],[Utilidad Total]]/Tabla4[[#This Row],[Total]]</f>
        <v>#N/A</v>
      </c>
      <c r="P6950" s="282">
        <f>++Tabla4[[#This Row],[Precio Descontado]]*Tabla4[[#This Row],[Cantidad]]</f>
        <v>4928.2541709999996</v>
      </c>
      <c r="Q6950" s="282" t="e">
        <f>(INDEX(Tabla6[#All],MATCH(Tabla4[[#This Row],[Producto]],Tabla6[[#All],[PRODUCTO]],0),MATCH(Tabla4[[#This Row],[Mes]],Tabla6[#Headers],0)))</f>
        <v>#N/A</v>
      </c>
      <c r="R6950" s="282" t="e">
        <f>++Tabla4[[#This Row],[Precio Unitario Neto]]-Tabla4[[#This Row],[20.85%]]-Tabla4[[#This Row],[Costo]]</f>
        <v>#N/A</v>
      </c>
      <c r="S6950" s="282" t="e">
        <f>++Tabla4[[#This Row],[U. Bruta Uni]]*Tabla4[[#This Row],[Cantidad]]</f>
        <v>#N/A</v>
      </c>
      <c r="T6950" s="369" t="str">
        <f>VLOOKUP(Tabla4[[#This Row],[Producto]],Tabla6[#All],14,FALSE)</f>
        <v>Termico Solar</v>
      </c>
      <c r="U6950" s="284" t="e">
        <f>(IF(Tabla4[[#This Row],[Familia]]="termico solar",Tabla4[[#This Row],[Utilidad Total]]*6%,Tabla4[[#This Row],[Utilidad Total]]*11.5%))/Tabla4[[#This Row],[Total]]</f>
        <v>#N/A</v>
      </c>
      <c r="V6950" s="282" t="e">
        <f>+Tabla4[[#This Row],[Comisión Calculada]]*Tabla4[[#This Row],[Total]]</f>
        <v>#N/A</v>
      </c>
    </row>
    <row r="6951" spans="1:22" hidden="1" x14ac:dyDescent="0.25">
      <c r="A6951" s="100">
        <v>45976</v>
      </c>
      <c r="B6951" t="str">
        <f t="shared" si="508"/>
        <v>November</v>
      </c>
      <c r="C6951" s="46" t="s">
        <v>280</v>
      </c>
      <c r="F6951" s="366" t="s">
        <v>3497</v>
      </c>
      <c r="G6951" s="46" t="s">
        <v>566</v>
      </c>
      <c r="H6951" s="46">
        <v>2</v>
      </c>
      <c r="I6951" s="51">
        <v>2109.4499999999998</v>
      </c>
      <c r="J6951" s="281">
        <f>++Tabla4[[#This Row],[Precio Bruto]]*1.16</f>
        <v>2446.9619999999995</v>
      </c>
      <c r="K6951" s="281">
        <f>+Tabla4[[#This Row],[Precio Unitario Neto]]*Tabla4[[#Headers],[20.85%]]</f>
        <v>510.19157699999988</v>
      </c>
      <c r="L6951" s="282">
        <f>++Tabla4[[#This Row],[Precio Unitario Neto]]-Tabla4[[#This Row],[20.85%]]</f>
        <v>1936.7704229999997</v>
      </c>
      <c r="M6951" s="282" t="e">
        <f>(INDEX(Tabla6[#All],MATCH(Tabla4[[#This Row],[Producto]],Tabla6[[#All],[PRODUCTO]],0),MATCH(Tabla4[[#This Row],[Mes]],Tabla6[#Headers],0)))*(1+Catalogos!$L$2)</f>
        <v>#N/A</v>
      </c>
      <c r="N6951" s="283" t="e">
        <f>+(Tabla4[[#This Row],[Precio Descontado]]-Tabla4[[#This Row],[Precio Base]])*Tabla4[[#This Row],[Cantidad]]</f>
        <v>#N/A</v>
      </c>
      <c r="O6951" s="284" t="e">
        <f>++Tabla4[[#This Row],[Utilidad Total]]/Tabla4[[#This Row],[Total]]</f>
        <v>#N/A</v>
      </c>
      <c r="P6951" s="282">
        <f>++Tabla4[[#This Row],[Precio Descontado]]*Tabla4[[#This Row],[Cantidad]]</f>
        <v>3873.5408459999994</v>
      </c>
      <c r="Q6951" s="282" t="e">
        <f>(INDEX(Tabla6[#All],MATCH(Tabla4[[#This Row],[Producto]],Tabla6[[#All],[PRODUCTO]],0),MATCH(Tabla4[[#This Row],[Mes]],Tabla6[#Headers],0)))</f>
        <v>#N/A</v>
      </c>
      <c r="R6951" s="282" t="e">
        <f>++Tabla4[[#This Row],[Precio Unitario Neto]]-Tabla4[[#This Row],[20.85%]]-Tabla4[[#This Row],[Costo]]</f>
        <v>#N/A</v>
      </c>
      <c r="S6951" s="282" t="e">
        <f>++Tabla4[[#This Row],[U. Bruta Uni]]*Tabla4[[#This Row],[Cantidad]]</f>
        <v>#N/A</v>
      </c>
      <c r="T6951" s="369" t="str">
        <f>VLOOKUP(Tabla4[[#This Row],[Producto]],Tabla6[#All],14,FALSE)</f>
        <v>Termico Solar</v>
      </c>
      <c r="U6951" s="284" t="e">
        <f>(IF(Tabla4[[#This Row],[Familia]]="termico solar",Tabla4[[#This Row],[Utilidad Total]]*6%,Tabla4[[#This Row],[Utilidad Total]]*11.5%))/Tabla4[[#This Row],[Total]]</f>
        <v>#N/A</v>
      </c>
      <c r="V6951" s="282" t="e">
        <f>+Tabla4[[#This Row],[Comisión Calculada]]*Tabla4[[#This Row],[Total]]</f>
        <v>#N/A</v>
      </c>
    </row>
    <row r="6952" spans="1:22" hidden="1" x14ac:dyDescent="0.25">
      <c r="A6952" s="100">
        <v>45976</v>
      </c>
      <c r="B6952" t="str">
        <f>TEXT(A6952, "mmmm")</f>
        <v>November</v>
      </c>
      <c r="C6952" s="46" t="s">
        <v>280</v>
      </c>
      <c r="F6952" s="366" t="s">
        <v>3498</v>
      </c>
      <c r="G6952" s="46" t="s">
        <v>17</v>
      </c>
      <c r="H6952" s="46">
        <v>1</v>
      </c>
      <c r="I6952" s="51">
        <v>4622.28</v>
      </c>
      <c r="J6952" s="281">
        <f>++Tabla4[[#This Row],[Precio Bruto]]*1.16</f>
        <v>5361.8447999999989</v>
      </c>
      <c r="K6952" s="281">
        <f>+Tabla4[[#This Row],[Precio Unitario Neto]]*Tabla4[[#Headers],[20.85%]]</f>
        <v>1117.9446407999997</v>
      </c>
      <c r="L6952" s="282">
        <f>++Tabla4[[#This Row],[Precio Unitario Neto]]-Tabla4[[#This Row],[20.85%]]</f>
        <v>4243.9001591999995</v>
      </c>
      <c r="M6952" s="282" t="e">
        <f>(INDEX(Tabla6[#All],MATCH(Tabla4[[#This Row],[Producto]],Tabla6[[#All],[PRODUCTO]],0),MATCH(Tabla4[[#This Row],[Mes]],Tabla6[#Headers],0)))*(1+Catalogos!$L$2)</f>
        <v>#N/A</v>
      </c>
      <c r="N6952" s="283" t="e">
        <f>+(Tabla4[[#This Row],[Precio Descontado]]-Tabla4[[#This Row],[Precio Base]])*Tabla4[[#This Row],[Cantidad]]</f>
        <v>#N/A</v>
      </c>
      <c r="O6952" s="284" t="e">
        <f>++Tabla4[[#This Row],[Utilidad Total]]/Tabla4[[#This Row],[Total]]</f>
        <v>#N/A</v>
      </c>
      <c r="P6952" s="282">
        <f>++Tabla4[[#This Row],[Precio Descontado]]*Tabla4[[#This Row],[Cantidad]]</f>
        <v>4243.9001591999995</v>
      </c>
      <c r="Q6952" s="282" t="e">
        <f>(INDEX(Tabla6[#All],MATCH(Tabla4[[#This Row],[Producto]],Tabla6[[#All],[PRODUCTO]],0),MATCH(Tabla4[[#This Row],[Mes]],Tabla6[#Headers],0)))</f>
        <v>#N/A</v>
      </c>
      <c r="R6952" s="282" t="e">
        <f>++Tabla4[[#This Row],[Precio Unitario Neto]]-Tabla4[[#This Row],[20.85%]]-Tabla4[[#This Row],[Costo]]</f>
        <v>#N/A</v>
      </c>
      <c r="S6952" s="282" t="e">
        <f>++Tabla4[[#This Row],[U. Bruta Uni]]*Tabla4[[#This Row],[Cantidad]]</f>
        <v>#N/A</v>
      </c>
      <c r="T6952" s="369" t="str">
        <f>VLOOKUP(Tabla4[[#This Row],[Producto]],Tabla6[#All],14,FALSE)</f>
        <v>Termico Solar</v>
      </c>
      <c r="U6952" s="284" t="e">
        <f>(IF(Tabla4[[#This Row],[Familia]]="termico solar",Tabla4[[#This Row],[Utilidad Total]]*6%,Tabla4[[#This Row],[Utilidad Total]]*11.5%))/Tabla4[[#This Row],[Total]]</f>
        <v>#N/A</v>
      </c>
      <c r="V6952" s="282" t="e">
        <f>+Tabla4[[#This Row],[Comisión Calculada]]*Tabla4[[#This Row],[Total]]</f>
        <v>#N/A</v>
      </c>
    </row>
    <row r="6953" spans="1:22" hidden="1" x14ac:dyDescent="0.25">
      <c r="A6953" s="100">
        <v>45976</v>
      </c>
      <c r="B6953" t="str">
        <f t="shared" ref="B6953:B6955" si="509">TEXT(A6953, "mmmm")</f>
        <v>November</v>
      </c>
      <c r="C6953" s="46" t="s">
        <v>280</v>
      </c>
      <c r="F6953" s="366" t="s">
        <v>3499</v>
      </c>
      <c r="G6953" s="46" t="s">
        <v>18</v>
      </c>
      <c r="H6953" s="46">
        <v>1</v>
      </c>
      <c r="I6953" s="51">
        <v>5367.65</v>
      </c>
      <c r="J6953" s="281">
        <f>++Tabla4[[#This Row],[Precio Bruto]]*1.16</f>
        <v>6226.4739999999993</v>
      </c>
      <c r="K6953" s="281">
        <f>+Tabla4[[#This Row],[Precio Unitario Neto]]*Tabla4[[#Headers],[20.85%]]</f>
        <v>1298.2198289999999</v>
      </c>
      <c r="L6953" s="282">
        <f>++Tabla4[[#This Row],[Precio Unitario Neto]]-Tabla4[[#This Row],[20.85%]]</f>
        <v>4928.2541709999996</v>
      </c>
      <c r="M6953" s="282" t="e">
        <f>(INDEX(Tabla6[#All],MATCH(Tabla4[[#This Row],[Producto]],Tabla6[[#All],[PRODUCTO]],0),MATCH(Tabla4[[#This Row],[Mes]],Tabla6[#Headers],0)))*(1+Catalogos!$L$2)</f>
        <v>#N/A</v>
      </c>
      <c r="N6953" s="283" t="e">
        <f>+(Tabla4[[#This Row],[Precio Descontado]]-Tabla4[[#This Row],[Precio Base]])*Tabla4[[#This Row],[Cantidad]]</f>
        <v>#N/A</v>
      </c>
      <c r="O6953" s="284" t="e">
        <f>++Tabla4[[#This Row],[Utilidad Total]]/Tabla4[[#This Row],[Total]]</f>
        <v>#N/A</v>
      </c>
      <c r="P6953" s="282">
        <f>++Tabla4[[#This Row],[Precio Descontado]]*Tabla4[[#This Row],[Cantidad]]</f>
        <v>4928.2541709999996</v>
      </c>
      <c r="Q6953" s="282" t="e">
        <f>(INDEX(Tabla6[#All],MATCH(Tabla4[[#This Row],[Producto]],Tabla6[[#All],[PRODUCTO]],0),MATCH(Tabla4[[#This Row],[Mes]],Tabla6[#Headers],0)))</f>
        <v>#N/A</v>
      </c>
      <c r="R6953" s="282" t="e">
        <f>++Tabla4[[#This Row],[Precio Unitario Neto]]-Tabla4[[#This Row],[20.85%]]-Tabla4[[#This Row],[Costo]]</f>
        <v>#N/A</v>
      </c>
      <c r="S6953" s="282" t="e">
        <f>++Tabla4[[#This Row],[U. Bruta Uni]]*Tabla4[[#This Row],[Cantidad]]</f>
        <v>#N/A</v>
      </c>
      <c r="T6953" s="369" t="str">
        <f>VLOOKUP(Tabla4[[#This Row],[Producto]],Tabla6[#All],14,FALSE)</f>
        <v>Termico Solar</v>
      </c>
      <c r="U6953" s="284" t="e">
        <f>(IF(Tabla4[[#This Row],[Familia]]="termico solar",Tabla4[[#This Row],[Utilidad Total]]*6%,Tabla4[[#This Row],[Utilidad Total]]*11.5%))/Tabla4[[#This Row],[Total]]</f>
        <v>#N/A</v>
      </c>
      <c r="V6953" s="282" t="e">
        <f>+Tabla4[[#This Row],[Comisión Calculada]]*Tabla4[[#This Row],[Total]]</f>
        <v>#N/A</v>
      </c>
    </row>
    <row r="6954" spans="1:22" hidden="1" x14ac:dyDescent="0.25">
      <c r="A6954" s="100">
        <v>45976</v>
      </c>
      <c r="B6954" t="str">
        <f t="shared" si="509"/>
        <v>November</v>
      </c>
      <c r="C6954" s="46" t="s">
        <v>280</v>
      </c>
      <c r="F6954" s="366" t="s">
        <v>3499</v>
      </c>
      <c r="G6954" s="46" t="s">
        <v>19</v>
      </c>
      <c r="H6954" s="46">
        <v>1</v>
      </c>
      <c r="I6954" s="51">
        <v>6412.03</v>
      </c>
      <c r="J6954" s="281">
        <f>++Tabla4[[#This Row],[Precio Bruto]]*1.16</f>
        <v>7437.9547999999995</v>
      </c>
      <c r="K6954" s="281">
        <f>+Tabla4[[#This Row],[Precio Unitario Neto]]*Tabla4[[#Headers],[20.85%]]</f>
        <v>1550.8135757999999</v>
      </c>
      <c r="L6954" s="282">
        <f>++Tabla4[[#This Row],[Precio Unitario Neto]]-Tabla4[[#This Row],[20.85%]]</f>
        <v>5887.1412241999997</v>
      </c>
      <c r="M6954" s="282" t="e">
        <f>(INDEX(Tabla6[#All],MATCH(Tabla4[[#This Row],[Producto]],Tabla6[[#All],[PRODUCTO]],0),MATCH(Tabla4[[#This Row],[Mes]],Tabla6[#Headers],0)))*(1+Catalogos!$L$2)</f>
        <v>#N/A</v>
      </c>
      <c r="N6954" s="283" t="e">
        <f>+(Tabla4[[#This Row],[Precio Descontado]]-Tabla4[[#This Row],[Precio Base]])*Tabla4[[#This Row],[Cantidad]]</f>
        <v>#N/A</v>
      </c>
      <c r="O6954" s="284" t="e">
        <f>++Tabla4[[#This Row],[Utilidad Total]]/Tabla4[[#This Row],[Total]]</f>
        <v>#N/A</v>
      </c>
      <c r="P6954" s="282">
        <f>++Tabla4[[#This Row],[Precio Descontado]]*Tabla4[[#This Row],[Cantidad]]</f>
        <v>5887.1412241999997</v>
      </c>
      <c r="Q6954" s="282" t="e">
        <f>(INDEX(Tabla6[#All],MATCH(Tabla4[[#This Row],[Producto]],Tabla6[[#All],[PRODUCTO]],0),MATCH(Tabla4[[#This Row],[Mes]],Tabla6[#Headers],0)))</f>
        <v>#N/A</v>
      </c>
      <c r="R6954" s="282" t="e">
        <f>++Tabla4[[#This Row],[Precio Unitario Neto]]-Tabla4[[#This Row],[20.85%]]-Tabla4[[#This Row],[Costo]]</f>
        <v>#N/A</v>
      </c>
      <c r="S6954" s="282" t="e">
        <f>++Tabla4[[#This Row],[U. Bruta Uni]]*Tabla4[[#This Row],[Cantidad]]</f>
        <v>#N/A</v>
      </c>
      <c r="T6954" s="369" t="str">
        <f>VLOOKUP(Tabla4[[#This Row],[Producto]],Tabla6[#All],14,FALSE)</f>
        <v>Termico Solar</v>
      </c>
      <c r="U6954" s="284" t="e">
        <f>(IF(Tabla4[[#This Row],[Familia]]="termico solar",Tabla4[[#This Row],[Utilidad Total]]*6%,Tabla4[[#This Row],[Utilidad Total]]*11.5%))/Tabla4[[#This Row],[Total]]</f>
        <v>#N/A</v>
      </c>
      <c r="V6954" s="282" t="e">
        <f>+Tabla4[[#This Row],[Comisión Calculada]]*Tabla4[[#This Row],[Total]]</f>
        <v>#N/A</v>
      </c>
    </row>
    <row r="6955" spans="1:22" hidden="1" x14ac:dyDescent="0.25">
      <c r="A6955" s="100">
        <v>45976</v>
      </c>
      <c r="B6955" t="str">
        <f t="shared" si="509"/>
        <v>November</v>
      </c>
      <c r="C6955" s="46" t="s">
        <v>280</v>
      </c>
      <c r="F6955" s="366" t="s">
        <v>3499</v>
      </c>
      <c r="G6955" s="46" t="s">
        <v>208</v>
      </c>
      <c r="H6955" s="46">
        <v>4</v>
      </c>
      <c r="I6955" s="51">
        <v>189.75</v>
      </c>
      <c r="J6955" s="281">
        <f>++Tabla4[[#This Row],[Precio Bruto]]*1.16</f>
        <v>220.10999999999999</v>
      </c>
      <c r="K6955" s="281">
        <f>+Tabla4[[#This Row],[Precio Unitario Neto]]*Tabla4[[#Headers],[20.85%]]</f>
        <v>45.892934999999994</v>
      </c>
      <c r="L6955" s="282">
        <f>++Tabla4[[#This Row],[Precio Unitario Neto]]-Tabla4[[#This Row],[20.85%]]</f>
        <v>174.21706499999999</v>
      </c>
      <c r="M6955" s="282" t="e">
        <f>(INDEX(Tabla6[#All],MATCH(Tabla4[[#This Row],[Producto]],Tabla6[[#All],[PRODUCTO]],0),MATCH(Tabla4[[#This Row],[Mes]],Tabla6[#Headers],0)))*(1+Catalogos!$L$2)</f>
        <v>#N/A</v>
      </c>
      <c r="N6955" s="283" t="e">
        <f>+(Tabla4[[#This Row],[Precio Descontado]]-Tabla4[[#This Row],[Precio Base]])*Tabla4[[#This Row],[Cantidad]]</f>
        <v>#N/A</v>
      </c>
      <c r="O6955" s="284" t="e">
        <f>++Tabla4[[#This Row],[Utilidad Total]]/Tabla4[[#This Row],[Total]]</f>
        <v>#N/A</v>
      </c>
      <c r="P6955" s="282">
        <f>++Tabla4[[#This Row],[Precio Descontado]]*Tabla4[[#This Row],[Cantidad]]</f>
        <v>696.86825999999996</v>
      </c>
      <c r="Q6955" s="282" t="e">
        <f>(INDEX(Tabla6[#All],MATCH(Tabla4[[#This Row],[Producto]],Tabla6[[#All],[PRODUCTO]],0),MATCH(Tabla4[[#This Row],[Mes]],Tabla6[#Headers],0)))</f>
        <v>#N/A</v>
      </c>
      <c r="R6955" s="282" t="e">
        <f>++Tabla4[[#This Row],[Precio Unitario Neto]]-Tabla4[[#This Row],[20.85%]]-Tabla4[[#This Row],[Costo]]</f>
        <v>#N/A</v>
      </c>
      <c r="S6955" s="282" t="e">
        <f>++Tabla4[[#This Row],[U. Bruta Uni]]*Tabla4[[#This Row],[Cantidad]]</f>
        <v>#N/A</v>
      </c>
      <c r="T6955" s="369" t="str">
        <f>VLOOKUP(Tabla4[[#This Row],[Producto]],Tabla6[#All],14,FALSE)</f>
        <v>Termico Solar</v>
      </c>
      <c r="U6955" s="284" t="e">
        <f>(IF(Tabla4[[#This Row],[Familia]]="termico solar",Tabla4[[#This Row],[Utilidad Total]]*6%,Tabla4[[#This Row],[Utilidad Total]]*11.5%))/Tabla4[[#This Row],[Total]]</f>
        <v>#N/A</v>
      </c>
      <c r="V6955" s="282" t="e">
        <f>+Tabla4[[#This Row],[Comisión Calculada]]*Tabla4[[#This Row],[Total]]</f>
        <v>#N/A</v>
      </c>
    </row>
    <row r="6956" spans="1:22" hidden="1" x14ac:dyDescent="0.25">
      <c r="A6956" s="100">
        <v>45976</v>
      </c>
      <c r="B6956" t="str">
        <f t="shared" ref="B6956:B6959" si="510">TEXT(A6956, "mmmm")</f>
        <v>November</v>
      </c>
      <c r="C6956" s="46" t="s">
        <v>280</v>
      </c>
      <c r="F6956" s="366" t="s">
        <v>3500</v>
      </c>
      <c r="G6956" s="46" t="s">
        <v>17</v>
      </c>
      <c r="H6956" s="46">
        <v>4</v>
      </c>
      <c r="I6956" s="51">
        <v>4622.28</v>
      </c>
      <c r="J6956" s="281">
        <f>++Tabla4[[#This Row],[Precio Bruto]]*1.16</f>
        <v>5361.8447999999989</v>
      </c>
      <c r="K6956" s="281">
        <f>+Tabla4[[#This Row],[Precio Unitario Neto]]*Tabla4[[#Headers],[20.85%]]</f>
        <v>1117.9446407999997</v>
      </c>
      <c r="L6956" s="282">
        <f>++Tabla4[[#This Row],[Precio Unitario Neto]]-Tabla4[[#This Row],[20.85%]]</f>
        <v>4243.9001591999995</v>
      </c>
      <c r="M6956" s="282" t="e">
        <f>(INDEX(Tabla6[#All],MATCH(Tabla4[[#This Row],[Producto]],Tabla6[[#All],[PRODUCTO]],0),MATCH(Tabla4[[#This Row],[Mes]],Tabla6[#Headers],0)))*(1+Catalogos!$L$2)</f>
        <v>#N/A</v>
      </c>
      <c r="N6956" s="283" t="e">
        <f>+(Tabla4[[#This Row],[Precio Descontado]]-Tabla4[[#This Row],[Precio Base]])*Tabla4[[#This Row],[Cantidad]]</f>
        <v>#N/A</v>
      </c>
      <c r="O6956" s="284" t="e">
        <f>++Tabla4[[#This Row],[Utilidad Total]]/Tabla4[[#This Row],[Total]]</f>
        <v>#N/A</v>
      </c>
      <c r="P6956" s="282">
        <f>++Tabla4[[#This Row],[Precio Descontado]]*Tabla4[[#This Row],[Cantidad]]</f>
        <v>16975.600636799998</v>
      </c>
      <c r="Q6956" s="282" t="e">
        <f>(INDEX(Tabla6[#All],MATCH(Tabla4[[#This Row],[Producto]],Tabla6[[#All],[PRODUCTO]],0),MATCH(Tabla4[[#This Row],[Mes]],Tabla6[#Headers],0)))</f>
        <v>#N/A</v>
      </c>
      <c r="R6956" s="282" t="e">
        <f>++Tabla4[[#This Row],[Precio Unitario Neto]]-Tabla4[[#This Row],[20.85%]]-Tabla4[[#This Row],[Costo]]</f>
        <v>#N/A</v>
      </c>
      <c r="S6956" s="282" t="e">
        <f>++Tabla4[[#This Row],[U. Bruta Uni]]*Tabla4[[#This Row],[Cantidad]]</f>
        <v>#N/A</v>
      </c>
      <c r="T6956" s="369" t="str">
        <f>VLOOKUP(Tabla4[[#This Row],[Producto]],Tabla6[#All],14,FALSE)</f>
        <v>Termico Solar</v>
      </c>
      <c r="U6956" s="284" t="e">
        <f>(IF(Tabla4[[#This Row],[Familia]]="termico solar",Tabla4[[#This Row],[Utilidad Total]]*6%,Tabla4[[#This Row],[Utilidad Total]]*11.5%))/Tabla4[[#This Row],[Total]]</f>
        <v>#N/A</v>
      </c>
      <c r="V6956" s="282" t="e">
        <f>+Tabla4[[#This Row],[Comisión Calculada]]*Tabla4[[#This Row],[Total]]</f>
        <v>#N/A</v>
      </c>
    </row>
    <row r="6957" spans="1:22" hidden="1" x14ac:dyDescent="0.25">
      <c r="A6957" s="100">
        <v>45976</v>
      </c>
      <c r="B6957" t="str">
        <f t="shared" si="510"/>
        <v>November</v>
      </c>
      <c r="C6957" s="46" t="s">
        <v>280</v>
      </c>
      <c r="F6957" s="366" t="s">
        <v>3500</v>
      </c>
      <c r="G6957" s="46" t="s">
        <v>18</v>
      </c>
      <c r="H6957" s="46">
        <v>2</v>
      </c>
      <c r="I6957" s="51">
        <v>5367.65</v>
      </c>
      <c r="J6957" s="281">
        <f>++Tabla4[[#This Row],[Precio Bruto]]*1.16</f>
        <v>6226.4739999999993</v>
      </c>
      <c r="K6957" s="281">
        <f>+Tabla4[[#This Row],[Precio Unitario Neto]]*Tabla4[[#Headers],[20.85%]]</f>
        <v>1298.2198289999999</v>
      </c>
      <c r="L6957" s="282">
        <f>++Tabla4[[#This Row],[Precio Unitario Neto]]-Tabla4[[#This Row],[20.85%]]</f>
        <v>4928.2541709999996</v>
      </c>
      <c r="M6957" s="282" t="e">
        <f>(INDEX(Tabla6[#All],MATCH(Tabla4[[#This Row],[Producto]],Tabla6[[#All],[PRODUCTO]],0),MATCH(Tabla4[[#This Row],[Mes]],Tabla6[#Headers],0)))*(1+Catalogos!$L$2)</f>
        <v>#N/A</v>
      </c>
      <c r="N6957" s="283" t="e">
        <f>+(Tabla4[[#This Row],[Precio Descontado]]-Tabla4[[#This Row],[Precio Base]])*Tabla4[[#This Row],[Cantidad]]</f>
        <v>#N/A</v>
      </c>
      <c r="O6957" s="284" t="e">
        <f>++Tabla4[[#This Row],[Utilidad Total]]/Tabla4[[#This Row],[Total]]</f>
        <v>#N/A</v>
      </c>
      <c r="P6957" s="282">
        <f>++Tabla4[[#This Row],[Precio Descontado]]*Tabla4[[#This Row],[Cantidad]]</f>
        <v>9856.5083419999992</v>
      </c>
      <c r="Q6957" s="282" t="e">
        <f>(INDEX(Tabla6[#All],MATCH(Tabla4[[#This Row],[Producto]],Tabla6[[#All],[PRODUCTO]],0),MATCH(Tabla4[[#This Row],[Mes]],Tabla6[#Headers],0)))</f>
        <v>#N/A</v>
      </c>
      <c r="R6957" s="282" t="e">
        <f>++Tabla4[[#This Row],[Precio Unitario Neto]]-Tabla4[[#This Row],[20.85%]]-Tabla4[[#This Row],[Costo]]</f>
        <v>#N/A</v>
      </c>
      <c r="S6957" s="282" t="e">
        <f>++Tabla4[[#This Row],[U. Bruta Uni]]*Tabla4[[#This Row],[Cantidad]]</f>
        <v>#N/A</v>
      </c>
      <c r="T6957" s="369" t="str">
        <f>VLOOKUP(Tabla4[[#This Row],[Producto]],Tabla6[#All],14,FALSE)</f>
        <v>Termico Solar</v>
      </c>
      <c r="U6957" s="284" t="e">
        <f>(IF(Tabla4[[#This Row],[Familia]]="termico solar",Tabla4[[#This Row],[Utilidad Total]]*6%,Tabla4[[#This Row],[Utilidad Total]]*11.5%))/Tabla4[[#This Row],[Total]]</f>
        <v>#N/A</v>
      </c>
      <c r="V6957" s="282" t="e">
        <f>+Tabla4[[#This Row],[Comisión Calculada]]*Tabla4[[#This Row],[Total]]</f>
        <v>#N/A</v>
      </c>
    </row>
    <row r="6958" spans="1:22" hidden="1" x14ac:dyDescent="0.25">
      <c r="A6958" s="100">
        <v>45976</v>
      </c>
      <c r="B6958" t="str">
        <f t="shared" si="510"/>
        <v>November</v>
      </c>
      <c r="C6958" s="46" t="s">
        <v>280</v>
      </c>
      <c r="F6958" s="366" t="s">
        <v>3500</v>
      </c>
      <c r="G6958" s="46" t="s">
        <v>566</v>
      </c>
      <c r="H6958" s="46">
        <v>1</v>
      </c>
      <c r="I6958" s="51">
        <v>2109.4499999999998</v>
      </c>
      <c r="J6958" s="281">
        <f>++Tabla4[[#This Row],[Precio Bruto]]*1.16</f>
        <v>2446.9619999999995</v>
      </c>
      <c r="K6958" s="281">
        <f>+Tabla4[[#This Row],[Precio Unitario Neto]]*Tabla4[[#Headers],[20.85%]]</f>
        <v>510.19157699999988</v>
      </c>
      <c r="L6958" s="282">
        <f>++Tabla4[[#This Row],[Precio Unitario Neto]]-Tabla4[[#This Row],[20.85%]]</f>
        <v>1936.7704229999997</v>
      </c>
      <c r="M6958" s="282" t="e">
        <f>(INDEX(Tabla6[#All],MATCH(Tabla4[[#This Row],[Producto]],Tabla6[[#All],[PRODUCTO]],0),MATCH(Tabla4[[#This Row],[Mes]],Tabla6[#Headers],0)))*(1+Catalogos!$L$2)</f>
        <v>#N/A</v>
      </c>
      <c r="N6958" s="283" t="e">
        <f>+(Tabla4[[#This Row],[Precio Descontado]]-Tabla4[[#This Row],[Precio Base]])*Tabla4[[#This Row],[Cantidad]]</f>
        <v>#N/A</v>
      </c>
      <c r="O6958" s="284" t="e">
        <f>++Tabla4[[#This Row],[Utilidad Total]]/Tabla4[[#This Row],[Total]]</f>
        <v>#N/A</v>
      </c>
      <c r="P6958" s="282">
        <f>++Tabla4[[#This Row],[Precio Descontado]]*Tabla4[[#This Row],[Cantidad]]</f>
        <v>1936.7704229999997</v>
      </c>
      <c r="Q6958" s="282" t="e">
        <f>(INDEX(Tabla6[#All],MATCH(Tabla4[[#This Row],[Producto]],Tabla6[[#All],[PRODUCTO]],0),MATCH(Tabla4[[#This Row],[Mes]],Tabla6[#Headers],0)))</f>
        <v>#N/A</v>
      </c>
      <c r="R6958" s="282" t="e">
        <f>++Tabla4[[#This Row],[Precio Unitario Neto]]-Tabla4[[#This Row],[20.85%]]-Tabla4[[#This Row],[Costo]]</f>
        <v>#N/A</v>
      </c>
      <c r="S6958" s="282" t="e">
        <f>++Tabla4[[#This Row],[U. Bruta Uni]]*Tabla4[[#This Row],[Cantidad]]</f>
        <v>#N/A</v>
      </c>
      <c r="T6958" s="369" t="str">
        <f>VLOOKUP(Tabla4[[#This Row],[Producto]],Tabla6[#All],14,FALSE)</f>
        <v>Termico Solar</v>
      </c>
      <c r="U6958" s="284" t="e">
        <f>(IF(Tabla4[[#This Row],[Familia]]="termico solar",Tabla4[[#This Row],[Utilidad Total]]*6%,Tabla4[[#This Row],[Utilidad Total]]*11.5%))/Tabla4[[#This Row],[Total]]</f>
        <v>#N/A</v>
      </c>
      <c r="V6958" s="282" t="e">
        <f>+Tabla4[[#This Row],[Comisión Calculada]]*Tabla4[[#This Row],[Total]]</f>
        <v>#N/A</v>
      </c>
    </row>
    <row r="6959" spans="1:22" hidden="1" x14ac:dyDescent="0.25">
      <c r="A6959" s="100">
        <v>45976</v>
      </c>
      <c r="B6959" t="str">
        <f t="shared" si="510"/>
        <v>November</v>
      </c>
      <c r="C6959" s="46" t="s">
        <v>280</v>
      </c>
      <c r="F6959" s="366" t="s">
        <v>3500</v>
      </c>
      <c r="G6959" s="46" t="s">
        <v>16</v>
      </c>
      <c r="H6959" s="46">
        <v>1</v>
      </c>
      <c r="I6959" s="51">
        <v>4103.8500000000004</v>
      </c>
      <c r="J6959" s="281">
        <f>++Tabla4[[#This Row],[Precio Bruto]]*1.16</f>
        <v>4760.4660000000003</v>
      </c>
      <c r="K6959" s="281">
        <f>+Tabla4[[#This Row],[Precio Unitario Neto]]*Tabla4[[#Headers],[20.85%]]</f>
        <v>992.55716100000006</v>
      </c>
      <c r="L6959" s="282">
        <f>++Tabla4[[#This Row],[Precio Unitario Neto]]-Tabla4[[#This Row],[20.85%]]</f>
        <v>3767.9088390000002</v>
      </c>
      <c r="M6959" s="282" t="e">
        <f>(INDEX(Tabla6[#All],MATCH(Tabla4[[#This Row],[Producto]],Tabla6[[#All],[PRODUCTO]],0),MATCH(Tabla4[[#This Row],[Mes]],Tabla6[#Headers],0)))*(1+Catalogos!$L$2)</f>
        <v>#N/A</v>
      </c>
      <c r="N6959" s="283" t="e">
        <f>+(Tabla4[[#This Row],[Precio Descontado]]-Tabla4[[#This Row],[Precio Base]])*Tabla4[[#This Row],[Cantidad]]</f>
        <v>#N/A</v>
      </c>
      <c r="O6959" s="284" t="e">
        <f>++Tabla4[[#This Row],[Utilidad Total]]/Tabla4[[#This Row],[Total]]</f>
        <v>#N/A</v>
      </c>
      <c r="P6959" s="282">
        <f>++Tabla4[[#This Row],[Precio Descontado]]*Tabla4[[#This Row],[Cantidad]]</f>
        <v>3767.9088390000002</v>
      </c>
      <c r="Q6959" s="282" t="e">
        <f>(INDEX(Tabla6[#All],MATCH(Tabla4[[#This Row],[Producto]],Tabla6[[#All],[PRODUCTO]],0),MATCH(Tabla4[[#This Row],[Mes]],Tabla6[#Headers],0)))</f>
        <v>#N/A</v>
      </c>
      <c r="R6959" s="282" t="e">
        <f>++Tabla4[[#This Row],[Precio Unitario Neto]]-Tabla4[[#This Row],[20.85%]]-Tabla4[[#This Row],[Costo]]</f>
        <v>#N/A</v>
      </c>
      <c r="S6959" s="282" t="e">
        <f>++Tabla4[[#This Row],[U. Bruta Uni]]*Tabla4[[#This Row],[Cantidad]]</f>
        <v>#N/A</v>
      </c>
      <c r="T6959" s="369" t="str">
        <f>VLOOKUP(Tabla4[[#This Row],[Producto]],Tabla6[#All],14,FALSE)</f>
        <v>Termico Solar</v>
      </c>
      <c r="U6959" s="284" t="e">
        <f>(IF(Tabla4[[#This Row],[Familia]]="termico solar",Tabla4[[#This Row],[Utilidad Total]]*6%,Tabla4[[#This Row],[Utilidad Total]]*11.5%))/Tabla4[[#This Row],[Total]]</f>
        <v>#N/A</v>
      </c>
      <c r="V6959" s="282" t="e">
        <f>+Tabla4[[#This Row],[Comisión Calculada]]*Tabla4[[#This Row],[Total]]</f>
        <v>#N/A</v>
      </c>
    </row>
    <row r="6960" spans="1:22" hidden="1" x14ac:dyDescent="0.25">
      <c r="A6960" s="100">
        <v>45976</v>
      </c>
      <c r="B6960" t="str">
        <f>TEXT(A6960, "mmmm")</f>
        <v>November</v>
      </c>
      <c r="C6960" s="46" t="s">
        <v>280</v>
      </c>
      <c r="F6960" s="366" t="s">
        <v>3501</v>
      </c>
      <c r="G6960" s="46" t="s">
        <v>18</v>
      </c>
      <c r="H6960" s="46">
        <v>2</v>
      </c>
      <c r="I6960" s="51">
        <v>5367.65</v>
      </c>
      <c r="J6960" s="281">
        <f>++Tabla4[[#This Row],[Precio Bruto]]*1.16</f>
        <v>6226.4739999999993</v>
      </c>
      <c r="K6960" s="281">
        <f>+Tabla4[[#This Row],[Precio Unitario Neto]]*Tabla4[[#Headers],[20.85%]]</f>
        <v>1298.2198289999999</v>
      </c>
      <c r="L6960" s="282">
        <f>++Tabla4[[#This Row],[Precio Unitario Neto]]-Tabla4[[#This Row],[20.85%]]</f>
        <v>4928.2541709999996</v>
      </c>
      <c r="M6960" s="282" t="e">
        <f>(INDEX(Tabla6[#All],MATCH(Tabla4[[#This Row],[Producto]],Tabla6[[#All],[PRODUCTO]],0),MATCH(Tabla4[[#This Row],[Mes]],Tabla6[#Headers],0)))*(1+Catalogos!$L$2)</f>
        <v>#N/A</v>
      </c>
      <c r="N6960" s="283" t="e">
        <f>+(Tabla4[[#This Row],[Precio Descontado]]-Tabla4[[#This Row],[Precio Base]])*Tabla4[[#This Row],[Cantidad]]</f>
        <v>#N/A</v>
      </c>
      <c r="O6960" s="284" t="e">
        <f>++Tabla4[[#This Row],[Utilidad Total]]/Tabla4[[#This Row],[Total]]</f>
        <v>#N/A</v>
      </c>
      <c r="P6960" s="282">
        <f>++Tabla4[[#This Row],[Precio Descontado]]*Tabla4[[#This Row],[Cantidad]]</f>
        <v>9856.5083419999992</v>
      </c>
      <c r="Q6960" s="282" t="e">
        <f>(INDEX(Tabla6[#All],MATCH(Tabla4[[#This Row],[Producto]],Tabla6[[#All],[PRODUCTO]],0),MATCH(Tabla4[[#This Row],[Mes]],Tabla6[#Headers],0)))</f>
        <v>#N/A</v>
      </c>
      <c r="R6960" s="282" t="e">
        <f>++Tabla4[[#This Row],[Precio Unitario Neto]]-Tabla4[[#This Row],[20.85%]]-Tabla4[[#This Row],[Costo]]</f>
        <v>#N/A</v>
      </c>
      <c r="S6960" s="282" t="e">
        <f>++Tabla4[[#This Row],[U. Bruta Uni]]*Tabla4[[#This Row],[Cantidad]]</f>
        <v>#N/A</v>
      </c>
      <c r="T6960" s="369" t="str">
        <f>VLOOKUP(Tabla4[[#This Row],[Producto]],Tabla6[#All],14,FALSE)</f>
        <v>Termico Solar</v>
      </c>
      <c r="U6960" s="284" t="e">
        <f>(IF(Tabla4[[#This Row],[Familia]]="termico solar",Tabla4[[#This Row],[Utilidad Total]]*6%,Tabla4[[#This Row],[Utilidad Total]]*11.5%))/Tabla4[[#This Row],[Total]]</f>
        <v>#N/A</v>
      </c>
      <c r="V6960" s="282" t="e">
        <f>+Tabla4[[#This Row],[Comisión Calculada]]*Tabla4[[#This Row],[Total]]</f>
        <v>#N/A</v>
      </c>
    </row>
    <row r="6961" spans="1:22" hidden="1" x14ac:dyDescent="0.25">
      <c r="A6961" s="100">
        <v>45976</v>
      </c>
      <c r="B6961" t="str">
        <f t="shared" ref="B6961:B6962" si="511">TEXT(A6961, "mmmm")</f>
        <v>November</v>
      </c>
      <c r="C6961" s="46" t="s">
        <v>280</v>
      </c>
      <c r="F6961" s="366" t="s">
        <v>3502</v>
      </c>
      <c r="G6961" s="46" t="s">
        <v>83</v>
      </c>
      <c r="H6961" s="46">
        <v>2</v>
      </c>
      <c r="I6961" s="51">
        <v>8858.76</v>
      </c>
      <c r="J6961" s="281">
        <f>++Tabla4[[#This Row],[Precio Bruto]]*1.16</f>
        <v>10276.161599999999</v>
      </c>
      <c r="K6961" s="281">
        <f>+Tabla4[[#This Row],[Precio Unitario Neto]]*Tabla4[[#Headers],[20.85%]]</f>
        <v>2142.5796935999997</v>
      </c>
      <c r="L6961" s="282">
        <f>++Tabla4[[#This Row],[Precio Unitario Neto]]-Tabla4[[#This Row],[20.85%]]</f>
        <v>8133.5819063999998</v>
      </c>
      <c r="M6961" s="282" t="e">
        <f>(INDEX(Tabla6[#All],MATCH(Tabla4[[#This Row],[Producto]],Tabla6[[#All],[PRODUCTO]],0),MATCH(Tabla4[[#This Row],[Mes]],Tabla6[#Headers],0)))*(1+Catalogos!$L$2)</f>
        <v>#N/A</v>
      </c>
      <c r="N6961" s="283" t="e">
        <f>+(Tabla4[[#This Row],[Precio Descontado]]-Tabla4[[#This Row],[Precio Base]])*Tabla4[[#This Row],[Cantidad]]</f>
        <v>#N/A</v>
      </c>
      <c r="O6961" s="284" t="e">
        <f>++Tabla4[[#This Row],[Utilidad Total]]/Tabla4[[#This Row],[Total]]</f>
        <v>#N/A</v>
      </c>
      <c r="P6961" s="282">
        <f>++Tabla4[[#This Row],[Precio Descontado]]*Tabla4[[#This Row],[Cantidad]]</f>
        <v>16267.1638128</v>
      </c>
      <c r="Q6961" s="282" t="e">
        <f>(INDEX(Tabla6[#All],MATCH(Tabla4[[#This Row],[Producto]],Tabla6[[#All],[PRODUCTO]],0),MATCH(Tabla4[[#This Row],[Mes]],Tabla6[#Headers],0)))</f>
        <v>#N/A</v>
      </c>
      <c r="R6961" s="282" t="e">
        <f>++Tabla4[[#This Row],[Precio Unitario Neto]]-Tabla4[[#This Row],[20.85%]]-Tabla4[[#This Row],[Costo]]</f>
        <v>#N/A</v>
      </c>
      <c r="S6961" s="282" t="e">
        <f>++Tabla4[[#This Row],[U. Bruta Uni]]*Tabla4[[#This Row],[Cantidad]]</f>
        <v>#N/A</v>
      </c>
      <c r="T6961" s="369" t="str">
        <f>VLOOKUP(Tabla4[[#This Row],[Producto]],Tabla6[#All],14,FALSE)</f>
        <v>Termico Solar</v>
      </c>
      <c r="U6961" s="284" t="e">
        <f>(IF(Tabla4[[#This Row],[Familia]]="termico solar",Tabla4[[#This Row],[Utilidad Total]]*6%,Tabla4[[#This Row],[Utilidad Total]]*11.5%))/Tabla4[[#This Row],[Total]]</f>
        <v>#N/A</v>
      </c>
      <c r="V6961" s="282" t="e">
        <f>+Tabla4[[#This Row],[Comisión Calculada]]*Tabla4[[#This Row],[Total]]</f>
        <v>#N/A</v>
      </c>
    </row>
    <row r="6962" spans="1:22" hidden="1" x14ac:dyDescent="0.25">
      <c r="A6962" s="100">
        <v>45976</v>
      </c>
      <c r="B6962" t="str">
        <f t="shared" si="511"/>
        <v>November</v>
      </c>
      <c r="C6962" s="46" t="s">
        <v>280</v>
      </c>
      <c r="F6962" s="366" t="s">
        <v>3502</v>
      </c>
      <c r="G6962" s="46" t="s">
        <v>17</v>
      </c>
      <c r="H6962" s="46">
        <v>2</v>
      </c>
      <c r="I6962" s="51">
        <v>4622.28</v>
      </c>
      <c r="J6962" s="281">
        <f>++Tabla4[[#This Row],[Precio Bruto]]*1.16</f>
        <v>5361.8447999999989</v>
      </c>
      <c r="K6962" s="281">
        <f>+Tabla4[[#This Row],[Precio Unitario Neto]]*Tabla4[[#Headers],[20.85%]]</f>
        <v>1117.9446407999997</v>
      </c>
      <c r="L6962" s="282">
        <f>++Tabla4[[#This Row],[Precio Unitario Neto]]-Tabla4[[#This Row],[20.85%]]</f>
        <v>4243.9001591999995</v>
      </c>
      <c r="M6962" s="282" t="e">
        <f>(INDEX(Tabla6[#All],MATCH(Tabla4[[#This Row],[Producto]],Tabla6[[#All],[PRODUCTO]],0),MATCH(Tabla4[[#This Row],[Mes]],Tabla6[#Headers],0)))*(1+Catalogos!$L$2)</f>
        <v>#N/A</v>
      </c>
      <c r="N6962" s="283" t="e">
        <f>+(Tabla4[[#This Row],[Precio Descontado]]-Tabla4[[#This Row],[Precio Base]])*Tabla4[[#This Row],[Cantidad]]</f>
        <v>#N/A</v>
      </c>
      <c r="O6962" s="284" t="e">
        <f>++Tabla4[[#This Row],[Utilidad Total]]/Tabla4[[#This Row],[Total]]</f>
        <v>#N/A</v>
      </c>
      <c r="P6962" s="282">
        <f>++Tabla4[[#This Row],[Precio Descontado]]*Tabla4[[#This Row],[Cantidad]]</f>
        <v>8487.800318399999</v>
      </c>
      <c r="Q6962" s="282" t="e">
        <f>(INDEX(Tabla6[#All],MATCH(Tabla4[[#This Row],[Producto]],Tabla6[[#All],[PRODUCTO]],0),MATCH(Tabla4[[#This Row],[Mes]],Tabla6[#Headers],0)))</f>
        <v>#N/A</v>
      </c>
      <c r="R6962" s="282" t="e">
        <f>++Tabla4[[#This Row],[Precio Unitario Neto]]-Tabla4[[#This Row],[20.85%]]-Tabla4[[#This Row],[Costo]]</f>
        <v>#N/A</v>
      </c>
      <c r="S6962" s="282" t="e">
        <f>++Tabla4[[#This Row],[U. Bruta Uni]]*Tabla4[[#This Row],[Cantidad]]</f>
        <v>#N/A</v>
      </c>
      <c r="T6962" s="369" t="str">
        <f>VLOOKUP(Tabla4[[#This Row],[Producto]],Tabla6[#All],14,FALSE)</f>
        <v>Termico Solar</v>
      </c>
      <c r="U6962" s="284" t="e">
        <f>(IF(Tabla4[[#This Row],[Familia]]="termico solar",Tabla4[[#This Row],[Utilidad Total]]*6%,Tabla4[[#This Row],[Utilidad Total]]*11.5%))/Tabla4[[#This Row],[Total]]</f>
        <v>#N/A</v>
      </c>
      <c r="V6962" s="282" t="e">
        <f>+Tabla4[[#This Row],[Comisión Calculada]]*Tabla4[[#This Row],[Total]]</f>
        <v>#N/A</v>
      </c>
    </row>
    <row r="6963" spans="1:22" hidden="1" x14ac:dyDescent="0.25">
      <c r="A6963" s="100">
        <v>45976</v>
      </c>
      <c r="B6963" t="str">
        <f>TEXT(A6963, "mmmm")</f>
        <v>November</v>
      </c>
      <c r="C6963" s="46" t="s">
        <v>280</v>
      </c>
      <c r="F6963" s="366" t="s">
        <v>3503</v>
      </c>
      <c r="G6963" s="46" t="s">
        <v>16</v>
      </c>
      <c r="H6963" s="46">
        <v>2</v>
      </c>
      <c r="I6963" s="51">
        <v>4103.8500000000004</v>
      </c>
      <c r="J6963" s="281">
        <f>++Tabla4[[#This Row],[Precio Bruto]]*1.16</f>
        <v>4760.4660000000003</v>
      </c>
      <c r="K6963" s="281">
        <f>+Tabla4[[#This Row],[Precio Unitario Neto]]*Tabla4[[#Headers],[20.85%]]</f>
        <v>992.55716100000006</v>
      </c>
      <c r="L6963" s="282">
        <f>++Tabla4[[#This Row],[Precio Unitario Neto]]-Tabla4[[#This Row],[20.85%]]</f>
        <v>3767.9088390000002</v>
      </c>
      <c r="M6963" s="282" t="e">
        <f>(INDEX(Tabla6[#All],MATCH(Tabla4[[#This Row],[Producto]],Tabla6[[#All],[PRODUCTO]],0),MATCH(Tabla4[[#This Row],[Mes]],Tabla6[#Headers],0)))*(1+Catalogos!$L$2)</f>
        <v>#N/A</v>
      </c>
      <c r="N6963" s="283" t="e">
        <f>+(Tabla4[[#This Row],[Precio Descontado]]-Tabla4[[#This Row],[Precio Base]])*Tabla4[[#This Row],[Cantidad]]</f>
        <v>#N/A</v>
      </c>
      <c r="O6963" s="284" t="e">
        <f>++Tabla4[[#This Row],[Utilidad Total]]/Tabla4[[#This Row],[Total]]</f>
        <v>#N/A</v>
      </c>
      <c r="P6963" s="282">
        <f>++Tabla4[[#This Row],[Precio Descontado]]*Tabla4[[#This Row],[Cantidad]]</f>
        <v>7535.8176780000003</v>
      </c>
      <c r="Q6963" s="282" t="e">
        <f>(INDEX(Tabla6[#All],MATCH(Tabla4[[#This Row],[Producto]],Tabla6[[#All],[PRODUCTO]],0),MATCH(Tabla4[[#This Row],[Mes]],Tabla6[#Headers],0)))</f>
        <v>#N/A</v>
      </c>
      <c r="R6963" s="282" t="e">
        <f>++Tabla4[[#This Row],[Precio Unitario Neto]]-Tabla4[[#This Row],[20.85%]]-Tabla4[[#This Row],[Costo]]</f>
        <v>#N/A</v>
      </c>
      <c r="S6963" s="282" t="e">
        <f>++Tabla4[[#This Row],[U. Bruta Uni]]*Tabla4[[#This Row],[Cantidad]]</f>
        <v>#N/A</v>
      </c>
      <c r="T6963" s="369" t="str">
        <f>VLOOKUP(Tabla4[[#This Row],[Producto]],Tabla6[#All],14,FALSE)</f>
        <v>Termico Solar</v>
      </c>
      <c r="U6963" s="284" t="e">
        <f>(IF(Tabla4[[#This Row],[Familia]]="termico solar",Tabla4[[#This Row],[Utilidad Total]]*6%,Tabla4[[#This Row],[Utilidad Total]]*11.5%))/Tabla4[[#This Row],[Total]]</f>
        <v>#N/A</v>
      </c>
      <c r="V6963" s="282" t="e">
        <f>+Tabla4[[#This Row],[Comisión Calculada]]*Tabla4[[#This Row],[Total]]</f>
        <v>#N/A</v>
      </c>
    </row>
    <row r="6964" spans="1:22" hidden="1" x14ac:dyDescent="0.25">
      <c r="A6964" s="100">
        <v>45976</v>
      </c>
      <c r="B6964" t="str">
        <f t="shared" ref="B6964:B6965" si="512">TEXT(A6964, "mmmm")</f>
        <v>November</v>
      </c>
      <c r="C6964" s="46" t="s">
        <v>280</v>
      </c>
      <c r="F6964" s="366" t="s">
        <v>3504</v>
      </c>
      <c r="G6964" s="46" t="s">
        <v>17</v>
      </c>
      <c r="H6964" s="46">
        <v>3</v>
      </c>
      <c r="I6964" s="51">
        <v>4622.28</v>
      </c>
      <c r="J6964" s="281">
        <f>++Tabla4[[#This Row],[Precio Bruto]]*1.16</f>
        <v>5361.8447999999989</v>
      </c>
      <c r="K6964" s="281">
        <f>+Tabla4[[#This Row],[Precio Unitario Neto]]*Tabla4[[#Headers],[20.85%]]</f>
        <v>1117.9446407999997</v>
      </c>
      <c r="L6964" s="282">
        <f>++Tabla4[[#This Row],[Precio Unitario Neto]]-Tabla4[[#This Row],[20.85%]]</f>
        <v>4243.9001591999995</v>
      </c>
      <c r="M6964" s="282" t="e">
        <f>(INDEX(Tabla6[#All],MATCH(Tabla4[[#This Row],[Producto]],Tabla6[[#All],[PRODUCTO]],0),MATCH(Tabla4[[#This Row],[Mes]],Tabla6[#Headers],0)))*(1+Catalogos!$L$2)</f>
        <v>#N/A</v>
      </c>
      <c r="N6964" s="283" t="e">
        <f>+(Tabla4[[#This Row],[Precio Descontado]]-Tabla4[[#This Row],[Precio Base]])*Tabla4[[#This Row],[Cantidad]]</f>
        <v>#N/A</v>
      </c>
      <c r="O6964" s="284" t="e">
        <f>++Tabla4[[#This Row],[Utilidad Total]]/Tabla4[[#This Row],[Total]]</f>
        <v>#N/A</v>
      </c>
      <c r="P6964" s="282">
        <f>++Tabla4[[#This Row],[Precio Descontado]]*Tabla4[[#This Row],[Cantidad]]</f>
        <v>12731.700477599999</v>
      </c>
      <c r="Q6964" s="282" t="e">
        <f>(INDEX(Tabla6[#All],MATCH(Tabla4[[#This Row],[Producto]],Tabla6[[#All],[PRODUCTO]],0),MATCH(Tabla4[[#This Row],[Mes]],Tabla6[#Headers],0)))</f>
        <v>#N/A</v>
      </c>
      <c r="R6964" s="282" t="e">
        <f>++Tabla4[[#This Row],[Precio Unitario Neto]]-Tabla4[[#This Row],[20.85%]]-Tabla4[[#This Row],[Costo]]</f>
        <v>#N/A</v>
      </c>
      <c r="S6964" s="282" t="e">
        <f>++Tabla4[[#This Row],[U. Bruta Uni]]*Tabla4[[#This Row],[Cantidad]]</f>
        <v>#N/A</v>
      </c>
      <c r="T6964" s="369" t="str">
        <f>VLOOKUP(Tabla4[[#This Row],[Producto]],Tabla6[#All],14,FALSE)</f>
        <v>Termico Solar</v>
      </c>
      <c r="U6964" s="284" t="e">
        <f>(IF(Tabla4[[#This Row],[Familia]]="termico solar",Tabla4[[#This Row],[Utilidad Total]]*6%,Tabla4[[#This Row],[Utilidad Total]]*11.5%))/Tabla4[[#This Row],[Total]]</f>
        <v>#N/A</v>
      </c>
      <c r="V6964" s="282" t="e">
        <f>+Tabla4[[#This Row],[Comisión Calculada]]*Tabla4[[#This Row],[Total]]</f>
        <v>#N/A</v>
      </c>
    </row>
    <row r="6965" spans="1:22" hidden="1" x14ac:dyDescent="0.25">
      <c r="A6965" s="100">
        <v>45976</v>
      </c>
      <c r="B6965" t="str">
        <f t="shared" si="512"/>
        <v>November</v>
      </c>
      <c r="C6965" s="46" t="s">
        <v>280</v>
      </c>
      <c r="F6965" s="366" t="s">
        <v>3504</v>
      </c>
      <c r="G6965" s="46" t="s">
        <v>208</v>
      </c>
      <c r="H6965" s="46">
        <v>3</v>
      </c>
      <c r="I6965" s="51">
        <v>189.75</v>
      </c>
      <c r="J6965" s="281">
        <f>++Tabla4[[#This Row],[Precio Bruto]]*1.16</f>
        <v>220.10999999999999</v>
      </c>
      <c r="K6965" s="281">
        <f>+Tabla4[[#This Row],[Precio Unitario Neto]]*Tabla4[[#Headers],[20.85%]]</f>
        <v>45.892934999999994</v>
      </c>
      <c r="L6965" s="282">
        <f>++Tabla4[[#This Row],[Precio Unitario Neto]]-Tabla4[[#This Row],[20.85%]]</f>
        <v>174.21706499999999</v>
      </c>
      <c r="M6965" s="282" t="e">
        <f>(INDEX(Tabla6[#All],MATCH(Tabla4[[#This Row],[Producto]],Tabla6[[#All],[PRODUCTO]],0),MATCH(Tabla4[[#This Row],[Mes]],Tabla6[#Headers],0)))*(1+Catalogos!$L$2)</f>
        <v>#N/A</v>
      </c>
      <c r="N6965" s="283" t="e">
        <f>+(Tabla4[[#This Row],[Precio Descontado]]-Tabla4[[#This Row],[Precio Base]])*Tabla4[[#This Row],[Cantidad]]</f>
        <v>#N/A</v>
      </c>
      <c r="O6965" s="284" t="e">
        <f>++Tabla4[[#This Row],[Utilidad Total]]/Tabla4[[#This Row],[Total]]</f>
        <v>#N/A</v>
      </c>
      <c r="P6965" s="282">
        <f>++Tabla4[[#This Row],[Precio Descontado]]*Tabla4[[#This Row],[Cantidad]]</f>
        <v>522.65119499999992</v>
      </c>
      <c r="Q6965" s="282" t="e">
        <f>(INDEX(Tabla6[#All],MATCH(Tabla4[[#This Row],[Producto]],Tabla6[[#All],[PRODUCTO]],0),MATCH(Tabla4[[#This Row],[Mes]],Tabla6[#Headers],0)))</f>
        <v>#N/A</v>
      </c>
      <c r="R6965" s="282" t="e">
        <f>++Tabla4[[#This Row],[Precio Unitario Neto]]-Tabla4[[#This Row],[20.85%]]-Tabla4[[#This Row],[Costo]]</f>
        <v>#N/A</v>
      </c>
      <c r="S6965" s="282" t="e">
        <f>++Tabla4[[#This Row],[U. Bruta Uni]]*Tabla4[[#This Row],[Cantidad]]</f>
        <v>#N/A</v>
      </c>
      <c r="T6965" s="369" t="str">
        <f>VLOOKUP(Tabla4[[#This Row],[Producto]],Tabla6[#All],14,FALSE)</f>
        <v>Termico Solar</v>
      </c>
      <c r="U6965" s="284" t="e">
        <f>(IF(Tabla4[[#This Row],[Familia]]="termico solar",Tabla4[[#This Row],[Utilidad Total]]*6%,Tabla4[[#This Row],[Utilidad Total]]*11.5%))/Tabla4[[#This Row],[Total]]</f>
        <v>#N/A</v>
      </c>
      <c r="V6965" s="282" t="e">
        <f>+Tabla4[[#This Row],[Comisión Calculada]]*Tabla4[[#This Row],[Total]]</f>
        <v>#N/A</v>
      </c>
    </row>
    <row r="6966" spans="1:22" hidden="1" x14ac:dyDescent="0.25">
      <c r="A6966" s="100">
        <v>45976</v>
      </c>
      <c r="B6966" t="str">
        <f t="shared" ref="B6966:B6968" si="513">TEXT(A6966, "mmmm")</f>
        <v>November</v>
      </c>
      <c r="C6966" s="46" t="s">
        <v>280</v>
      </c>
      <c r="F6966" s="366" t="s">
        <v>3505</v>
      </c>
      <c r="G6966" s="46" t="s">
        <v>17</v>
      </c>
      <c r="H6966" s="46">
        <v>6</v>
      </c>
      <c r="I6966" s="51">
        <v>4622.28</v>
      </c>
      <c r="J6966" s="281">
        <f>++Tabla4[[#This Row],[Precio Bruto]]*1.16</f>
        <v>5361.8447999999989</v>
      </c>
      <c r="K6966" s="281">
        <f>+Tabla4[[#This Row],[Precio Unitario Neto]]*Tabla4[[#Headers],[20.85%]]</f>
        <v>1117.9446407999997</v>
      </c>
      <c r="L6966" s="282">
        <f>++Tabla4[[#This Row],[Precio Unitario Neto]]-Tabla4[[#This Row],[20.85%]]</f>
        <v>4243.9001591999995</v>
      </c>
      <c r="M6966" s="282" t="e">
        <f>(INDEX(Tabla6[#All],MATCH(Tabla4[[#This Row],[Producto]],Tabla6[[#All],[PRODUCTO]],0),MATCH(Tabla4[[#This Row],[Mes]],Tabla6[#Headers],0)))*(1+Catalogos!$L$2)</f>
        <v>#N/A</v>
      </c>
      <c r="N6966" s="283" t="e">
        <f>+(Tabla4[[#This Row],[Precio Descontado]]-Tabla4[[#This Row],[Precio Base]])*Tabla4[[#This Row],[Cantidad]]</f>
        <v>#N/A</v>
      </c>
      <c r="O6966" s="284" t="e">
        <f>++Tabla4[[#This Row],[Utilidad Total]]/Tabla4[[#This Row],[Total]]</f>
        <v>#N/A</v>
      </c>
      <c r="P6966" s="282">
        <f>++Tabla4[[#This Row],[Precio Descontado]]*Tabla4[[#This Row],[Cantidad]]</f>
        <v>25463.400955199999</v>
      </c>
      <c r="Q6966" s="282" t="e">
        <f>(INDEX(Tabla6[#All],MATCH(Tabla4[[#This Row],[Producto]],Tabla6[[#All],[PRODUCTO]],0),MATCH(Tabla4[[#This Row],[Mes]],Tabla6[#Headers],0)))</f>
        <v>#N/A</v>
      </c>
      <c r="R6966" s="282" t="e">
        <f>++Tabla4[[#This Row],[Precio Unitario Neto]]-Tabla4[[#This Row],[20.85%]]-Tabla4[[#This Row],[Costo]]</f>
        <v>#N/A</v>
      </c>
      <c r="S6966" s="282" t="e">
        <f>++Tabla4[[#This Row],[U. Bruta Uni]]*Tabla4[[#This Row],[Cantidad]]</f>
        <v>#N/A</v>
      </c>
      <c r="T6966" s="369" t="str">
        <f>VLOOKUP(Tabla4[[#This Row],[Producto]],Tabla6[#All],14,FALSE)</f>
        <v>Termico Solar</v>
      </c>
      <c r="U6966" s="284" t="e">
        <f>(IF(Tabla4[[#This Row],[Familia]]="termico solar",Tabla4[[#This Row],[Utilidad Total]]*6%,Tabla4[[#This Row],[Utilidad Total]]*11.5%))/Tabla4[[#This Row],[Total]]</f>
        <v>#N/A</v>
      </c>
      <c r="V6966" s="282" t="e">
        <f>+Tabla4[[#This Row],[Comisión Calculada]]*Tabla4[[#This Row],[Total]]</f>
        <v>#N/A</v>
      </c>
    </row>
    <row r="6967" spans="1:22" hidden="1" x14ac:dyDescent="0.25">
      <c r="A6967" s="100">
        <v>45976</v>
      </c>
      <c r="B6967" t="str">
        <f t="shared" si="513"/>
        <v>November</v>
      </c>
      <c r="C6967" s="46" t="s">
        <v>280</v>
      </c>
      <c r="F6967" s="366" t="s">
        <v>3505</v>
      </c>
      <c r="G6967" s="46" t="s">
        <v>18</v>
      </c>
      <c r="H6967" s="46">
        <v>1</v>
      </c>
      <c r="I6967" s="51">
        <v>5367.65</v>
      </c>
      <c r="J6967" s="281">
        <f>++Tabla4[[#This Row],[Precio Bruto]]*1.16</f>
        <v>6226.4739999999993</v>
      </c>
      <c r="K6967" s="281">
        <f>+Tabla4[[#This Row],[Precio Unitario Neto]]*Tabla4[[#Headers],[20.85%]]</f>
        <v>1298.2198289999999</v>
      </c>
      <c r="L6967" s="282">
        <f>++Tabla4[[#This Row],[Precio Unitario Neto]]-Tabla4[[#This Row],[20.85%]]</f>
        <v>4928.2541709999996</v>
      </c>
      <c r="M6967" s="282" t="e">
        <f>(INDEX(Tabla6[#All],MATCH(Tabla4[[#This Row],[Producto]],Tabla6[[#All],[PRODUCTO]],0),MATCH(Tabla4[[#This Row],[Mes]],Tabla6[#Headers],0)))*(1+Catalogos!$L$2)</f>
        <v>#N/A</v>
      </c>
      <c r="N6967" s="283" t="e">
        <f>+(Tabla4[[#This Row],[Precio Descontado]]-Tabla4[[#This Row],[Precio Base]])*Tabla4[[#This Row],[Cantidad]]</f>
        <v>#N/A</v>
      </c>
      <c r="O6967" s="284" t="e">
        <f>++Tabla4[[#This Row],[Utilidad Total]]/Tabla4[[#This Row],[Total]]</f>
        <v>#N/A</v>
      </c>
      <c r="P6967" s="282">
        <f>++Tabla4[[#This Row],[Precio Descontado]]*Tabla4[[#This Row],[Cantidad]]</f>
        <v>4928.2541709999996</v>
      </c>
      <c r="Q6967" s="282" t="e">
        <f>(INDEX(Tabla6[#All],MATCH(Tabla4[[#This Row],[Producto]],Tabla6[[#All],[PRODUCTO]],0),MATCH(Tabla4[[#This Row],[Mes]],Tabla6[#Headers],0)))</f>
        <v>#N/A</v>
      </c>
      <c r="R6967" s="282" t="e">
        <f>++Tabla4[[#This Row],[Precio Unitario Neto]]-Tabla4[[#This Row],[20.85%]]-Tabla4[[#This Row],[Costo]]</f>
        <v>#N/A</v>
      </c>
      <c r="S6967" s="282" t="e">
        <f>++Tabla4[[#This Row],[U. Bruta Uni]]*Tabla4[[#This Row],[Cantidad]]</f>
        <v>#N/A</v>
      </c>
      <c r="T6967" s="369" t="str">
        <f>VLOOKUP(Tabla4[[#This Row],[Producto]],Tabla6[#All],14,FALSE)</f>
        <v>Termico Solar</v>
      </c>
      <c r="U6967" s="284" t="e">
        <f>(IF(Tabla4[[#This Row],[Familia]]="termico solar",Tabla4[[#This Row],[Utilidad Total]]*6%,Tabla4[[#This Row],[Utilidad Total]]*11.5%))/Tabla4[[#This Row],[Total]]</f>
        <v>#N/A</v>
      </c>
      <c r="V6967" s="282" t="e">
        <f>+Tabla4[[#This Row],[Comisión Calculada]]*Tabla4[[#This Row],[Total]]</f>
        <v>#N/A</v>
      </c>
    </row>
    <row r="6968" spans="1:22" hidden="1" x14ac:dyDescent="0.25">
      <c r="A6968" s="100">
        <v>45976</v>
      </c>
      <c r="B6968" t="str">
        <f t="shared" si="513"/>
        <v>November</v>
      </c>
      <c r="C6968" s="46" t="s">
        <v>280</v>
      </c>
      <c r="F6968" s="366" t="s">
        <v>3505</v>
      </c>
      <c r="G6968" s="46" t="s">
        <v>16</v>
      </c>
      <c r="H6968" s="46">
        <v>1</v>
      </c>
      <c r="I6968" s="51">
        <v>4103.8500000000004</v>
      </c>
      <c r="J6968" s="281">
        <f>++Tabla4[[#This Row],[Precio Bruto]]*1.16</f>
        <v>4760.4660000000003</v>
      </c>
      <c r="K6968" s="281">
        <f>+Tabla4[[#This Row],[Precio Unitario Neto]]*Tabla4[[#Headers],[20.85%]]</f>
        <v>992.55716100000006</v>
      </c>
      <c r="L6968" s="282">
        <f>++Tabla4[[#This Row],[Precio Unitario Neto]]-Tabla4[[#This Row],[20.85%]]</f>
        <v>3767.9088390000002</v>
      </c>
      <c r="M6968" s="282" t="e">
        <f>(INDEX(Tabla6[#All],MATCH(Tabla4[[#This Row],[Producto]],Tabla6[[#All],[PRODUCTO]],0),MATCH(Tabla4[[#This Row],[Mes]],Tabla6[#Headers],0)))*(1+Catalogos!$L$2)</f>
        <v>#N/A</v>
      </c>
      <c r="N6968" s="283" t="e">
        <f>+(Tabla4[[#This Row],[Precio Descontado]]-Tabla4[[#This Row],[Precio Base]])*Tabla4[[#This Row],[Cantidad]]</f>
        <v>#N/A</v>
      </c>
      <c r="O6968" s="284" t="e">
        <f>++Tabla4[[#This Row],[Utilidad Total]]/Tabla4[[#This Row],[Total]]</f>
        <v>#N/A</v>
      </c>
      <c r="P6968" s="282">
        <f>++Tabla4[[#This Row],[Precio Descontado]]*Tabla4[[#This Row],[Cantidad]]</f>
        <v>3767.9088390000002</v>
      </c>
      <c r="Q6968" s="282" t="e">
        <f>(INDEX(Tabla6[#All],MATCH(Tabla4[[#This Row],[Producto]],Tabla6[[#All],[PRODUCTO]],0),MATCH(Tabla4[[#This Row],[Mes]],Tabla6[#Headers],0)))</f>
        <v>#N/A</v>
      </c>
      <c r="R6968" s="282" t="e">
        <f>++Tabla4[[#This Row],[Precio Unitario Neto]]-Tabla4[[#This Row],[20.85%]]-Tabla4[[#This Row],[Costo]]</f>
        <v>#N/A</v>
      </c>
      <c r="S6968" s="282" t="e">
        <f>++Tabla4[[#This Row],[U. Bruta Uni]]*Tabla4[[#This Row],[Cantidad]]</f>
        <v>#N/A</v>
      </c>
      <c r="T6968" s="369" t="str">
        <f>VLOOKUP(Tabla4[[#This Row],[Producto]],Tabla6[#All],14,FALSE)</f>
        <v>Termico Solar</v>
      </c>
      <c r="U6968" s="284" t="e">
        <f>(IF(Tabla4[[#This Row],[Familia]]="termico solar",Tabla4[[#This Row],[Utilidad Total]]*6%,Tabla4[[#This Row],[Utilidad Total]]*11.5%))/Tabla4[[#This Row],[Total]]</f>
        <v>#N/A</v>
      </c>
      <c r="V6968" s="282" t="e">
        <f>+Tabla4[[#This Row],[Comisión Calculada]]*Tabla4[[#This Row],[Total]]</f>
        <v>#N/A</v>
      </c>
    </row>
    <row r="6969" spans="1:22" hidden="1" x14ac:dyDescent="0.25">
      <c r="A6969" s="100">
        <v>45976</v>
      </c>
      <c r="B6969" t="str">
        <f>TEXT(A6969, "mmmm")</f>
        <v>November</v>
      </c>
      <c r="C6969" s="46" t="s">
        <v>280</v>
      </c>
      <c r="F6969" s="366" t="s">
        <v>3506</v>
      </c>
      <c r="G6969" s="46" t="s">
        <v>17</v>
      </c>
      <c r="H6969" s="46">
        <v>1</v>
      </c>
      <c r="I6969" s="51">
        <v>4622.28</v>
      </c>
      <c r="J6969" s="281">
        <f>++Tabla4[[#This Row],[Precio Bruto]]*1.16</f>
        <v>5361.8447999999989</v>
      </c>
      <c r="K6969" s="281">
        <f>+Tabla4[[#This Row],[Precio Unitario Neto]]*Tabla4[[#Headers],[20.85%]]</f>
        <v>1117.9446407999997</v>
      </c>
      <c r="L6969" s="282">
        <f>++Tabla4[[#This Row],[Precio Unitario Neto]]-Tabla4[[#This Row],[20.85%]]</f>
        <v>4243.9001591999995</v>
      </c>
      <c r="M6969" s="282" t="e">
        <f>(INDEX(Tabla6[#All],MATCH(Tabla4[[#This Row],[Producto]],Tabla6[[#All],[PRODUCTO]],0),MATCH(Tabla4[[#This Row],[Mes]],Tabla6[#Headers],0)))*(1+Catalogos!$L$2)</f>
        <v>#N/A</v>
      </c>
      <c r="N6969" s="283" t="e">
        <f>+(Tabla4[[#This Row],[Precio Descontado]]-Tabla4[[#This Row],[Precio Base]])*Tabla4[[#This Row],[Cantidad]]</f>
        <v>#N/A</v>
      </c>
      <c r="O6969" s="284" t="e">
        <f>++Tabla4[[#This Row],[Utilidad Total]]/Tabla4[[#This Row],[Total]]</f>
        <v>#N/A</v>
      </c>
      <c r="P6969" s="282">
        <f>++Tabla4[[#This Row],[Precio Descontado]]*Tabla4[[#This Row],[Cantidad]]</f>
        <v>4243.9001591999995</v>
      </c>
      <c r="Q6969" s="282" t="e">
        <f>(INDEX(Tabla6[#All],MATCH(Tabla4[[#This Row],[Producto]],Tabla6[[#All],[PRODUCTO]],0),MATCH(Tabla4[[#This Row],[Mes]],Tabla6[#Headers],0)))</f>
        <v>#N/A</v>
      </c>
      <c r="R6969" s="282" t="e">
        <f>++Tabla4[[#This Row],[Precio Unitario Neto]]-Tabla4[[#This Row],[20.85%]]-Tabla4[[#This Row],[Costo]]</f>
        <v>#N/A</v>
      </c>
      <c r="S6969" s="282" t="e">
        <f>++Tabla4[[#This Row],[U. Bruta Uni]]*Tabla4[[#This Row],[Cantidad]]</f>
        <v>#N/A</v>
      </c>
      <c r="T6969" s="369" t="str">
        <f>VLOOKUP(Tabla4[[#This Row],[Producto]],Tabla6[#All],14,FALSE)</f>
        <v>Termico Solar</v>
      </c>
      <c r="U6969" s="284" t="e">
        <f>(IF(Tabla4[[#This Row],[Familia]]="termico solar",Tabla4[[#This Row],[Utilidad Total]]*6%,Tabla4[[#This Row],[Utilidad Total]]*11.5%))/Tabla4[[#This Row],[Total]]</f>
        <v>#N/A</v>
      </c>
      <c r="V6969" s="282" t="e">
        <f>+Tabla4[[#This Row],[Comisión Calculada]]*Tabla4[[#This Row],[Total]]</f>
        <v>#N/A</v>
      </c>
    </row>
    <row r="6970" spans="1:22" hidden="1" x14ac:dyDescent="0.25">
      <c r="A6970" s="100">
        <v>45976</v>
      </c>
      <c r="B6970" t="str">
        <f>TEXT(A6970, "mmmm")</f>
        <v>November</v>
      </c>
      <c r="C6970" s="46" t="s">
        <v>280</v>
      </c>
      <c r="F6970" s="366" t="s">
        <v>3507</v>
      </c>
      <c r="G6970" s="46" t="s">
        <v>83</v>
      </c>
      <c r="H6970" s="46">
        <v>2</v>
      </c>
      <c r="I6970" s="51">
        <v>8858.76</v>
      </c>
      <c r="J6970" s="281">
        <f>++Tabla4[[#This Row],[Precio Bruto]]*1.16</f>
        <v>10276.161599999999</v>
      </c>
      <c r="K6970" s="281">
        <f>+Tabla4[[#This Row],[Precio Unitario Neto]]*Tabla4[[#Headers],[20.85%]]</f>
        <v>2142.5796935999997</v>
      </c>
      <c r="L6970" s="282">
        <f>++Tabla4[[#This Row],[Precio Unitario Neto]]-Tabla4[[#This Row],[20.85%]]</f>
        <v>8133.5819063999998</v>
      </c>
      <c r="M6970" s="282" t="e">
        <f>(INDEX(Tabla6[#All],MATCH(Tabla4[[#This Row],[Producto]],Tabla6[[#All],[PRODUCTO]],0),MATCH(Tabla4[[#This Row],[Mes]],Tabla6[#Headers],0)))*(1+Catalogos!$L$2)</f>
        <v>#N/A</v>
      </c>
      <c r="N6970" s="283" t="e">
        <f>+(Tabla4[[#This Row],[Precio Descontado]]-Tabla4[[#This Row],[Precio Base]])*Tabla4[[#This Row],[Cantidad]]</f>
        <v>#N/A</v>
      </c>
      <c r="O6970" s="284" t="e">
        <f>++Tabla4[[#This Row],[Utilidad Total]]/Tabla4[[#This Row],[Total]]</f>
        <v>#N/A</v>
      </c>
      <c r="P6970" s="282">
        <f>++Tabla4[[#This Row],[Precio Descontado]]*Tabla4[[#This Row],[Cantidad]]</f>
        <v>16267.1638128</v>
      </c>
      <c r="Q6970" s="282" t="e">
        <f>(INDEX(Tabla6[#All],MATCH(Tabla4[[#This Row],[Producto]],Tabla6[[#All],[PRODUCTO]],0),MATCH(Tabla4[[#This Row],[Mes]],Tabla6[#Headers],0)))</f>
        <v>#N/A</v>
      </c>
      <c r="R6970" s="282" t="e">
        <f>++Tabla4[[#This Row],[Precio Unitario Neto]]-Tabla4[[#This Row],[20.85%]]-Tabla4[[#This Row],[Costo]]</f>
        <v>#N/A</v>
      </c>
      <c r="S6970" s="282" t="e">
        <f>++Tabla4[[#This Row],[U. Bruta Uni]]*Tabla4[[#This Row],[Cantidad]]</f>
        <v>#N/A</v>
      </c>
      <c r="T6970" s="369" t="str">
        <f>VLOOKUP(Tabla4[[#This Row],[Producto]],Tabla6[#All],14,FALSE)</f>
        <v>Termico Solar</v>
      </c>
      <c r="U6970" s="284" t="e">
        <f>(IF(Tabla4[[#This Row],[Familia]]="termico solar",Tabla4[[#This Row],[Utilidad Total]]*6%,Tabla4[[#This Row],[Utilidad Total]]*11.5%))/Tabla4[[#This Row],[Total]]</f>
        <v>#N/A</v>
      </c>
      <c r="V6970" s="282" t="e">
        <f>+Tabla4[[#This Row],[Comisión Calculada]]*Tabla4[[#This Row],[Total]]</f>
        <v>#N/A</v>
      </c>
    </row>
    <row r="6971" spans="1:22" hidden="1" x14ac:dyDescent="0.25">
      <c r="A6971" s="100">
        <v>45976</v>
      </c>
      <c r="B6971" t="str">
        <f t="shared" ref="B6971:B6972" si="514">TEXT(A6971, "mmmm")</f>
        <v>November</v>
      </c>
      <c r="C6971" s="46" t="s">
        <v>280</v>
      </c>
      <c r="F6971" s="366" t="s">
        <v>3508</v>
      </c>
      <c r="G6971" s="46" t="s">
        <v>19</v>
      </c>
      <c r="H6971" s="46">
        <v>1</v>
      </c>
      <c r="I6971" s="51">
        <v>6412.03</v>
      </c>
      <c r="J6971" s="281">
        <f>++Tabla4[[#This Row],[Precio Bruto]]*1.16</f>
        <v>7437.9547999999995</v>
      </c>
      <c r="K6971" s="281">
        <f>+Tabla4[[#This Row],[Precio Unitario Neto]]*Tabla4[[#Headers],[20.85%]]</f>
        <v>1550.8135757999999</v>
      </c>
      <c r="L6971" s="282">
        <f>++Tabla4[[#This Row],[Precio Unitario Neto]]-Tabla4[[#This Row],[20.85%]]</f>
        <v>5887.1412241999997</v>
      </c>
      <c r="M6971" s="282" t="e">
        <f>(INDEX(Tabla6[#All],MATCH(Tabla4[[#This Row],[Producto]],Tabla6[[#All],[PRODUCTO]],0),MATCH(Tabla4[[#This Row],[Mes]],Tabla6[#Headers],0)))*(1+Catalogos!$L$2)</f>
        <v>#N/A</v>
      </c>
      <c r="N6971" s="283" t="e">
        <f>+(Tabla4[[#This Row],[Precio Descontado]]-Tabla4[[#This Row],[Precio Base]])*Tabla4[[#This Row],[Cantidad]]</f>
        <v>#N/A</v>
      </c>
      <c r="O6971" s="284" t="e">
        <f>++Tabla4[[#This Row],[Utilidad Total]]/Tabla4[[#This Row],[Total]]</f>
        <v>#N/A</v>
      </c>
      <c r="P6971" s="282">
        <f>++Tabla4[[#This Row],[Precio Descontado]]*Tabla4[[#This Row],[Cantidad]]</f>
        <v>5887.1412241999997</v>
      </c>
      <c r="Q6971" s="282" t="e">
        <f>(INDEX(Tabla6[#All],MATCH(Tabla4[[#This Row],[Producto]],Tabla6[[#All],[PRODUCTO]],0),MATCH(Tabla4[[#This Row],[Mes]],Tabla6[#Headers],0)))</f>
        <v>#N/A</v>
      </c>
      <c r="R6971" s="282" t="e">
        <f>++Tabla4[[#This Row],[Precio Unitario Neto]]-Tabla4[[#This Row],[20.85%]]-Tabla4[[#This Row],[Costo]]</f>
        <v>#N/A</v>
      </c>
      <c r="S6971" s="282" t="e">
        <f>++Tabla4[[#This Row],[U. Bruta Uni]]*Tabla4[[#This Row],[Cantidad]]</f>
        <v>#N/A</v>
      </c>
      <c r="T6971" s="369" t="str">
        <f>VLOOKUP(Tabla4[[#This Row],[Producto]],Tabla6[#All],14,FALSE)</f>
        <v>Termico Solar</v>
      </c>
      <c r="U6971" s="284" t="e">
        <f>(IF(Tabla4[[#This Row],[Familia]]="termico solar",Tabla4[[#This Row],[Utilidad Total]]*6%,Tabla4[[#This Row],[Utilidad Total]]*11.5%))/Tabla4[[#This Row],[Total]]</f>
        <v>#N/A</v>
      </c>
      <c r="V6971" s="282" t="e">
        <f>+Tabla4[[#This Row],[Comisión Calculada]]*Tabla4[[#This Row],[Total]]</f>
        <v>#N/A</v>
      </c>
    </row>
    <row r="6972" spans="1:22" hidden="1" x14ac:dyDescent="0.25">
      <c r="A6972" s="100">
        <v>45976</v>
      </c>
      <c r="B6972" t="str">
        <f t="shared" si="514"/>
        <v>November</v>
      </c>
      <c r="C6972" s="46" t="s">
        <v>280</v>
      </c>
      <c r="F6972" s="366" t="s">
        <v>3508</v>
      </c>
      <c r="G6972" s="46" t="s">
        <v>394</v>
      </c>
      <c r="H6972" s="46">
        <v>16</v>
      </c>
      <c r="I6972" s="51">
        <v>224.29</v>
      </c>
      <c r="J6972" s="281">
        <f>++Tabla4[[#This Row],[Precio Bruto]]*1.16</f>
        <v>260.1764</v>
      </c>
      <c r="K6972" s="281">
        <f>+Tabla4[[#This Row],[Precio Unitario Neto]]*Tabla4[[#Headers],[20.85%]]</f>
        <v>54.246779400000001</v>
      </c>
      <c r="L6972" s="282">
        <f>++Tabla4[[#This Row],[Precio Unitario Neto]]-Tabla4[[#This Row],[20.85%]]</f>
        <v>205.92962059999999</v>
      </c>
      <c r="M6972" s="282" t="e">
        <f>(INDEX(Tabla6[#All],MATCH(Tabla4[[#This Row],[Producto]],Tabla6[[#All],[PRODUCTO]],0),MATCH(Tabla4[[#This Row],[Mes]],Tabla6[#Headers],0)))*(1+Catalogos!$L$2)</f>
        <v>#N/A</v>
      </c>
      <c r="N6972" s="283" t="e">
        <f>+(Tabla4[[#This Row],[Precio Descontado]]-Tabla4[[#This Row],[Precio Base]])*Tabla4[[#This Row],[Cantidad]]</f>
        <v>#N/A</v>
      </c>
      <c r="O6972" s="284" t="e">
        <f>++Tabla4[[#This Row],[Utilidad Total]]/Tabla4[[#This Row],[Total]]</f>
        <v>#N/A</v>
      </c>
      <c r="P6972" s="282">
        <f>++Tabla4[[#This Row],[Precio Descontado]]*Tabla4[[#This Row],[Cantidad]]</f>
        <v>3294.8739295999999</v>
      </c>
      <c r="Q6972" s="282" t="e">
        <f>(INDEX(Tabla6[#All],MATCH(Tabla4[[#This Row],[Producto]],Tabla6[[#All],[PRODUCTO]],0),MATCH(Tabla4[[#This Row],[Mes]],Tabla6[#Headers],0)))</f>
        <v>#N/A</v>
      </c>
      <c r="R6972" s="282" t="e">
        <f>++Tabla4[[#This Row],[Precio Unitario Neto]]-Tabla4[[#This Row],[20.85%]]-Tabla4[[#This Row],[Costo]]</f>
        <v>#N/A</v>
      </c>
      <c r="S6972" s="282" t="e">
        <f>++Tabla4[[#This Row],[U. Bruta Uni]]*Tabla4[[#This Row],[Cantidad]]</f>
        <v>#N/A</v>
      </c>
      <c r="T6972" s="369" t="str">
        <f>VLOOKUP(Tabla4[[#This Row],[Producto]],Tabla6[#All],14,FALSE)</f>
        <v>Termico Solar</v>
      </c>
      <c r="U6972" s="284" t="e">
        <f>(IF(Tabla4[[#This Row],[Familia]]="termico solar",Tabla4[[#This Row],[Utilidad Total]]*6%,Tabla4[[#This Row],[Utilidad Total]]*11.5%))/Tabla4[[#This Row],[Total]]</f>
        <v>#N/A</v>
      </c>
      <c r="V6972" s="282" t="e">
        <f>+Tabla4[[#This Row],[Comisión Calculada]]*Tabla4[[#This Row],[Total]]</f>
        <v>#N/A</v>
      </c>
    </row>
    <row r="6973" spans="1:22" hidden="1" x14ac:dyDescent="0.25">
      <c r="A6973" s="100">
        <v>45976</v>
      </c>
      <c r="B6973" t="str">
        <f>TEXT(A6973, "mmmm")</f>
        <v>November</v>
      </c>
      <c r="C6973" s="46" t="s">
        <v>280</v>
      </c>
      <c r="F6973" s="366" t="s">
        <v>3509</v>
      </c>
      <c r="G6973" s="46" t="s">
        <v>208</v>
      </c>
      <c r="H6973" s="46">
        <v>5</v>
      </c>
      <c r="I6973" s="51">
        <v>189.75</v>
      </c>
      <c r="J6973" s="281">
        <f>++Tabla4[[#This Row],[Precio Bruto]]*1.16</f>
        <v>220.10999999999999</v>
      </c>
      <c r="K6973" s="281">
        <f>+Tabla4[[#This Row],[Precio Unitario Neto]]*Tabla4[[#Headers],[20.85%]]</f>
        <v>45.892934999999994</v>
      </c>
      <c r="L6973" s="282">
        <f>++Tabla4[[#This Row],[Precio Unitario Neto]]-Tabla4[[#This Row],[20.85%]]</f>
        <v>174.21706499999999</v>
      </c>
      <c r="M6973" s="282" t="e">
        <f>(INDEX(Tabla6[#All],MATCH(Tabla4[[#This Row],[Producto]],Tabla6[[#All],[PRODUCTO]],0),MATCH(Tabla4[[#This Row],[Mes]],Tabla6[#Headers],0)))*(1+Catalogos!$L$2)</f>
        <v>#N/A</v>
      </c>
      <c r="N6973" s="283" t="e">
        <f>+(Tabla4[[#This Row],[Precio Descontado]]-Tabla4[[#This Row],[Precio Base]])*Tabla4[[#This Row],[Cantidad]]</f>
        <v>#N/A</v>
      </c>
      <c r="O6973" s="284" t="e">
        <f>++Tabla4[[#This Row],[Utilidad Total]]/Tabla4[[#This Row],[Total]]</f>
        <v>#N/A</v>
      </c>
      <c r="P6973" s="282">
        <f>++Tabla4[[#This Row],[Precio Descontado]]*Tabla4[[#This Row],[Cantidad]]</f>
        <v>871.08532500000001</v>
      </c>
      <c r="Q6973" s="282" t="e">
        <f>(INDEX(Tabla6[#All],MATCH(Tabla4[[#This Row],[Producto]],Tabla6[[#All],[PRODUCTO]],0),MATCH(Tabla4[[#This Row],[Mes]],Tabla6[#Headers],0)))</f>
        <v>#N/A</v>
      </c>
      <c r="R6973" s="282" t="e">
        <f>++Tabla4[[#This Row],[Precio Unitario Neto]]-Tabla4[[#This Row],[20.85%]]-Tabla4[[#This Row],[Costo]]</f>
        <v>#N/A</v>
      </c>
      <c r="S6973" s="282" t="e">
        <f>++Tabla4[[#This Row],[U. Bruta Uni]]*Tabla4[[#This Row],[Cantidad]]</f>
        <v>#N/A</v>
      </c>
      <c r="T6973" s="369" t="str">
        <f>VLOOKUP(Tabla4[[#This Row],[Producto]],Tabla6[#All],14,FALSE)</f>
        <v>Termico Solar</v>
      </c>
      <c r="U6973" s="284" t="e">
        <f>(IF(Tabla4[[#This Row],[Familia]]="termico solar",Tabla4[[#This Row],[Utilidad Total]]*6%,Tabla4[[#This Row],[Utilidad Total]]*11.5%))/Tabla4[[#This Row],[Total]]</f>
        <v>#N/A</v>
      </c>
      <c r="V6973" s="282" t="e">
        <f>+Tabla4[[#This Row],[Comisión Calculada]]*Tabla4[[#This Row],[Total]]</f>
        <v>#N/A</v>
      </c>
    </row>
    <row r="6974" spans="1:22" hidden="1" x14ac:dyDescent="0.25">
      <c r="A6974" s="100">
        <v>45976</v>
      </c>
      <c r="B6974" t="str">
        <f t="shared" ref="B6974:B6976" si="515">TEXT(A6974, "mmmm")</f>
        <v>November</v>
      </c>
      <c r="C6974" s="46" t="s">
        <v>280</v>
      </c>
      <c r="F6974" s="366" t="s">
        <v>3510</v>
      </c>
      <c r="G6974" s="46" t="s">
        <v>17</v>
      </c>
      <c r="H6974" s="46">
        <v>2</v>
      </c>
      <c r="I6974" s="51">
        <v>4622.28</v>
      </c>
      <c r="J6974" s="281">
        <f>++Tabla4[[#This Row],[Precio Bruto]]*1.16</f>
        <v>5361.8447999999989</v>
      </c>
      <c r="K6974" s="281">
        <f>+Tabla4[[#This Row],[Precio Unitario Neto]]*Tabla4[[#Headers],[20.85%]]</f>
        <v>1117.9446407999997</v>
      </c>
      <c r="L6974" s="282">
        <f>++Tabla4[[#This Row],[Precio Unitario Neto]]-Tabla4[[#This Row],[20.85%]]</f>
        <v>4243.9001591999995</v>
      </c>
      <c r="M6974" s="282" t="e">
        <f>(INDEX(Tabla6[#All],MATCH(Tabla4[[#This Row],[Producto]],Tabla6[[#All],[PRODUCTO]],0),MATCH(Tabla4[[#This Row],[Mes]],Tabla6[#Headers],0)))*(1+Catalogos!$L$2)</f>
        <v>#N/A</v>
      </c>
      <c r="N6974" s="283" t="e">
        <f>+(Tabla4[[#This Row],[Precio Descontado]]-Tabla4[[#This Row],[Precio Base]])*Tabla4[[#This Row],[Cantidad]]</f>
        <v>#N/A</v>
      </c>
      <c r="O6974" s="284" t="e">
        <f>++Tabla4[[#This Row],[Utilidad Total]]/Tabla4[[#This Row],[Total]]</f>
        <v>#N/A</v>
      </c>
      <c r="P6974" s="282">
        <f>++Tabla4[[#This Row],[Precio Descontado]]*Tabla4[[#This Row],[Cantidad]]</f>
        <v>8487.800318399999</v>
      </c>
      <c r="Q6974" s="282" t="e">
        <f>(INDEX(Tabla6[#All],MATCH(Tabla4[[#This Row],[Producto]],Tabla6[[#All],[PRODUCTO]],0),MATCH(Tabla4[[#This Row],[Mes]],Tabla6[#Headers],0)))</f>
        <v>#N/A</v>
      </c>
      <c r="R6974" s="282" t="e">
        <f>++Tabla4[[#This Row],[Precio Unitario Neto]]-Tabla4[[#This Row],[20.85%]]-Tabla4[[#This Row],[Costo]]</f>
        <v>#N/A</v>
      </c>
      <c r="S6974" s="282" t="e">
        <f>++Tabla4[[#This Row],[U. Bruta Uni]]*Tabla4[[#This Row],[Cantidad]]</f>
        <v>#N/A</v>
      </c>
      <c r="T6974" s="369" t="str">
        <f>VLOOKUP(Tabla4[[#This Row],[Producto]],Tabla6[#All],14,FALSE)</f>
        <v>Termico Solar</v>
      </c>
      <c r="U6974" s="284" t="e">
        <f>(IF(Tabla4[[#This Row],[Familia]]="termico solar",Tabla4[[#This Row],[Utilidad Total]]*6%,Tabla4[[#This Row],[Utilidad Total]]*11.5%))/Tabla4[[#This Row],[Total]]</f>
        <v>#N/A</v>
      </c>
      <c r="V6974" s="282" t="e">
        <f>+Tabla4[[#This Row],[Comisión Calculada]]*Tabla4[[#This Row],[Total]]</f>
        <v>#N/A</v>
      </c>
    </row>
    <row r="6975" spans="1:22" hidden="1" x14ac:dyDescent="0.25">
      <c r="A6975" s="100">
        <v>45976</v>
      </c>
      <c r="B6975" t="str">
        <f t="shared" si="515"/>
        <v>November</v>
      </c>
      <c r="C6975" s="46" t="s">
        <v>280</v>
      </c>
      <c r="F6975" s="366" t="s">
        <v>3510</v>
      </c>
      <c r="G6975" s="46" t="s">
        <v>18</v>
      </c>
      <c r="H6975" s="46">
        <v>7</v>
      </c>
      <c r="I6975" s="51">
        <v>5367.6500000000005</v>
      </c>
      <c r="J6975" s="281">
        <f>++Tabla4[[#This Row],[Precio Bruto]]*1.16</f>
        <v>6226.4740000000002</v>
      </c>
      <c r="K6975" s="281">
        <f>+Tabla4[[#This Row],[Precio Unitario Neto]]*Tabla4[[#Headers],[20.85%]]</f>
        <v>1298.2198289999999</v>
      </c>
      <c r="L6975" s="282">
        <f>++Tabla4[[#This Row],[Precio Unitario Neto]]-Tabla4[[#This Row],[20.85%]]</f>
        <v>4928.2541710000005</v>
      </c>
      <c r="M6975" s="282" t="e">
        <f>(INDEX(Tabla6[#All],MATCH(Tabla4[[#This Row],[Producto]],Tabla6[[#All],[PRODUCTO]],0),MATCH(Tabla4[[#This Row],[Mes]],Tabla6[#Headers],0)))*(1+Catalogos!$L$2)</f>
        <v>#N/A</v>
      </c>
      <c r="N6975" s="283" t="e">
        <f>+(Tabla4[[#This Row],[Precio Descontado]]-Tabla4[[#This Row],[Precio Base]])*Tabla4[[#This Row],[Cantidad]]</f>
        <v>#N/A</v>
      </c>
      <c r="O6975" s="284" t="e">
        <f>++Tabla4[[#This Row],[Utilidad Total]]/Tabla4[[#This Row],[Total]]</f>
        <v>#N/A</v>
      </c>
      <c r="P6975" s="282">
        <f>++Tabla4[[#This Row],[Precio Descontado]]*Tabla4[[#This Row],[Cantidad]]</f>
        <v>34497.779197000003</v>
      </c>
      <c r="Q6975" s="282" t="e">
        <f>(INDEX(Tabla6[#All],MATCH(Tabla4[[#This Row],[Producto]],Tabla6[[#All],[PRODUCTO]],0),MATCH(Tabla4[[#This Row],[Mes]],Tabla6[#Headers],0)))</f>
        <v>#N/A</v>
      </c>
      <c r="R6975" s="282" t="e">
        <f>++Tabla4[[#This Row],[Precio Unitario Neto]]-Tabla4[[#This Row],[20.85%]]-Tabla4[[#This Row],[Costo]]</f>
        <v>#N/A</v>
      </c>
      <c r="S6975" s="282" t="e">
        <f>++Tabla4[[#This Row],[U. Bruta Uni]]*Tabla4[[#This Row],[Cantidad]]</f>
        <v>#N/A</v>
      </c>
      <c r="T6975" s="369" t="str">
        <f>VLOOKUP(Tabla4[[#This Row],[Producto]],Tabla6[#All],14,FALSE)</f>
        <v>Termico Solar</v>
      </c>
      <c r="U6975" s="284" t="e">
        <f>(IF(Tabla4[[#This Row],[Familia]]="termico solar",Tabla4[[#This Row],[Utilidad Total]]*6%,Tabla4[[#This Row],[Utilidad Total]]*11.5%))/Tabla4[[#This Row],[Total]]</f>
        <v>#N/A</v>
      </c>
      <c r="V6975" s="282" t="e">
        <f>+Tabla4[[#This Row],[Comisión Calculada]]*Tabla4[[#This Row],[Total]]</f>
        <v>#N/A</v>
      </c>
    </row>
    <row r="6976" spans="1:22" hidden="1" x14ac:dyDescent="0.25">
      <c r="A6976" s="100">
        <v>45976</v>
      </c>
      <c r="B6976" t="str">
        <f t="shared" si="515"/>
        <v>November</v>
      </c>
      <c r="C6976" s="46" t="s">
        <v>280</v>
      </c>
      <c r="F6976" s="366" t="s">
        <v>3510</v>
      </c>
      <c r="G6976" s="46" t="s">
        <v>555</v>
      </c>
      <c r="H6976" s="46">
        <v>8</v>
      </c>
      <c r="I6976" s="51">
        <v>389.47</v>
      </c>
      <c r="J6976" s="281">
        <f>++Tabla4[[#This Row],[Precio Bruto]]*1.16</f>
        <v>451.78519999999997</v>
      </c>
      <c r="K6976" s="281">
        <f>+Tabla4[[#This Row],[Precio Unitario Neto]]*Tabla4[[#Headers],[20.85%]]</f>
        <v>94.197214199999991</v>
      </c>
      <c r="L6976" s="282">
        <f>++Tabla4[[#This Row],[Precio Unitario Neto]]-Tabla4[[#This Row],[20.85%]]</f>
        <v>357.58798579999996</v>
      </c>
      <c r="M6976" s="282" t="e">
        <f>(INDEX(Tabla6[#All],MATCH(Tabla4[[#This Row],[Producto]],Tabla6[[#All],[PRODUCTO]],0),MATCH(Tabla4[[#This Row],[Mes]],Tabla6[#Headers],0)))*(1+Catalogos!$L$2)</f>
        <v>#N/A</v>
      </c>
      <c r="N6976" s="283" t="e">
        <f>+(Tabla4[[#This Row],[Precio Descontado]]-Tabla4[[#This Row],[Precio Base]])*Tabla4[[#This Row],[Cantidad]]</f>
        <v>#N/A</v>
      </c>
      <c r="O6976" s="284" t="e">
        <f>++Tabla4[[#This Row],[Utilidad Total]]/Tabla4[[#This Row],[Total]]</f>
        <v>#N/A</v>
      </c>
      <c r="P6976" s="282">
        <f>++Tabla4[[#This Row],[Precio Descontado]]*Tabla4[[#This Row],[Cantidad]]</f>
        <v>2860.7038863999996</v>
      </c>
      <c r="Q6976" s="282" t="e">
        <f>(INDEX(Tabla6[#All],MATCH(Tabla4[[#This Row],[Producto]],Tabla6[[#All],[PRODUCTO]],0),MATCH(Tabla4[[#This Row],[Mes]],Tabla6[#Headers],0)))</f>
        <v>#N/A</v>
      </c>
      <c r="R6976" s="282" t="e">
        <f>++Tabla4[[#This Row],[Precio Unitario Neto]]-Tabla4[[#This Row],[20.85%]]-Tabla4[[#This Row],[Costo]]</f>
        <v>#N/A</v>
      </c>
      <c r="S6976" s="282" t="e">
        <f>++Tabla4[[#This Row],[U. Bruta Uni]]*Tabla4[[#This Row],[Cantidad]]</f>
        <v>#N/A</v>
      </c>
      <c r="T6976" s="369" t="str">
        <f>VLOOKUP(Tabla4[[#This Row],[Producto]],Tabla6[#All],14,FALSE)</f>
        <v>Termico Solar</v>
      </c>
      <c r="U6976" s="284" t="e">
        <f>(IF(Tabla4[[#This Row],[Familia]]="termico solar",Tabla4[[#This Row],[Utilidad Total]]*6%,Tabla4[[#This Row],[Utilidad Total]]*11.5%))/Tabla4[[#This Row],[Total]]</f>
        <v>#N/A</v>
      </c>
      <c r="V6976" s="282" t="e">
        <f>+Tabla4[[#This Row],[Comisión Calculada]]*Tabla4[[#This Row],[Total]]</f>
        <v>#N/A</v>
      </c>
    </row>
    <row r="6977" spans="1:22" hidden="1" x14ac:dyDescent="0.25">
      <c r="A6977" s="100">
        <v>45976</v>
      </c>
      <c r="B6977" t="str">
        <f t="shared" ref="B6977:B6978" si="516">TEXT(A6977, "mmmm")</f>
        <v>November</v>
      </c>
      <c r="C6977" s="46" t="s">
        <v>280</v>
      </c>
      <c r="F6977" s="366" t="s">
        <v>3511</v>
      </c>
      <c r="G6977" s="46" t="s">
        <v>566</v>
      </c>
      <c r="H6977" s="46">
        <v>1</v>
      </c>
      <c r="I6977" s="51">
        <v>2109.4499999999998</v>
      </c>
      <c r="J6977" s="281">
        <f>++Tabla4[[#This Row],[Precio Bruto]]*1.16</f>
        <v>2446.9619999999995</v>
      </c>
      <c r="K6977" s="281">
        <f>+Tabla4[[#This Row],[Precio Unitario Neto]]*Tabla4[[#Headers],[20.85%]]</f>
        <v>510.19157699999988</v>
      </c>
      <c r="L6977" s="282">
        <f>++Tabla4[[#This Row],[Precio Unitario Neto]]-Tabla4[[#This Row],[20.85%]]</f>
        <v>1936.7704229999997</v>
      </c>
      <c r="M6977" s="282" t="e">
        <f>(INDEX(Tabla6[#All],MATCH(Tabla4[[#This Row],[Producto]],Tabla6[[#All],[PRODUCTO]],0),MATCH(Tabla4[[#This Row],[Mes]],Tabla6[#Headers],0)))*(1+Catalogos!$L$2)</f>
        <v>#N/A</v>
      </c>
      <c r="N6977" s="283" t="e">
        <f>+(Tabla4[[#This Row],[Precio Descontado]]-Tabla4[[#This Row],[Precio Base]])*Tabla4[[#This Row],[Cantidad]]</f>
        <v>#N/A</v>
      </c>
      <c r="O6977" s="284" t="e">
        <f>++Tabla4[[#This Row],[Utilidad Total]]/Tabla4[[#This Row],[Total]]</f>
        <v>#N/A</v>
      </c>
      <c r="P6977" s="282">
        <f>++Tabla4[[#This Row],[Precio Descontado]]*Tabla4[[#This Row],[Cantidad]]</f>
        <v>1936.7704229999997</v>
      </c>
      <c r="Q6977" s="282" t="e">
        <f>(INDEX(Tabla6[#All],MATCH(Tabla4[[#This Row],[Producto]],Tabla6[[#All],[PRODUCTO]],0),MATCH(Tabla4[[#This Row],[Mes]],Tabla6[#Headers],0)))</f>
        <v>#N/A</v>
      </c>
      <c r="R6977" s="282" t="e">
        <f>++Tabla4[[#This Row],[Precio Unitario Neto]]-Tabla4[[#This Row],[20.85%]]-Tabla4[[#This Row],[Costo]]</f>
        <v>#N/A</v>
      </c>
      <c r="S6977" s="282" t="e">
        <f>++Tabla4[[#This Row],[U. Bruta Uni]]*Tabla4[[#This Row],[Cantidad]]</f>
        <v>#N/A</v>
      </c>
      <c r="T6977" s="369" t="str">
        <f>VLOOKUP(Tabla4[[#This Row],[Producto]],Tabla6[#All],14,FALSE)</f>
        <v>Termico Solar</v>
      </c>
      <c r="U6977" s="284" t="e">
        <f>(IF(Tabla4[[#This Row],[Familia]]="termico solar",Tabla4[[#This Row],[Utilidad Total]]*6%,Tabla4[[#This Row],[Utilidad Total]]*11.5%))/Tabla4[[#This Row],[Total]]</f>
        <v>#N/A</v>
      </c>
      <c r="V6977" s="282" t="e">
        <f>+Tabla4[[#This Row],[Comisión Calculada]]*Tabla4[[#This Row],[Total]]</f>
        <v>#N/A</v>
      </c>
    </row>
    <row r="6978" spans="1:22" hidden="1" x14ac:dyDescent="0.25">
      <c r="A6978" s="100">
        <v>45976</v>
      </c>
      <c r="B6978" t="str">
        <f t="shared" si="516"/>
        <v>November</v>
      </c>
      <c r="C6978" s="46" t="s">
        <v>280</v>
      </c>
      <c r="F6978" s="366" t="s">
        <v>3511</v>
      </c>
      <c r="G6978" s="46" t="s">
        <v>16</v>
      </c>
      <c r="H6978" s="46">
        <v>1</v>
      </c>
      <c r="I6978" s="51">
        <v>4103.8500000000004</v>
      </c>
      <c r="J6978" s="281">
        <f>++Tabla4[[#This Row],[Precio Bruto]]*1.16</f>
        <v>4760.4660000000003</v>
      </c>
      <c r="K6978" s="281">
        <f>+Tabla4[[#This Row],[Precio Unitario Neto]]*Tabla4[[#Headers],[20.85%]]</f>
        <v>992.55716100000006</v>
      </c>
      <c r="L6978" s="282">
        <f>++Tabla4[[#This Row],[Precio Unitario Neto]]-Tabla4[[#This Row],[20.85%]]</f>
        <v>3767.9088390000002</v>
      </c>
      <c r="M6978" s="282" t="e">
        <f>(INDEX(Tabla6[#All],MATCH(Tabla4[[#This Row],[Producto]],Tabla6[[#All],[PRODUCTO]],0),MATCH(Tabla4[[#This Row],[Mes]],Tabla6[#Headers],0)))*(1+Catalogos!$L$2)</f>
        <v>#N/A</v>
      </c>
      <c r="N6978" s="283" t="e">
        <f>+(Tabla4[[#This Row],[Precio Descontado]]-Tabla4[[#This Row],[Precio Base]])*Tabla4[[#This Row],[Cantidad]]</f>
        <v>#N/A</v>
      </c>
      <c r="O6978" s="284" t="e">
        <f>++Tabla4[[#This Row],[Utilidad Total]]/Tabla4[[#This Row],[Total]]</f>
        <v>#N/A</v>
      </c>
      <c r="P6978" s="282">
        <f>++Tabla4[[#This Row],[Precio Descontado]]*Tabla4[[#This Row],[Cantidad]]</f>
        <v>3767.9088390000002</v>
      </c>
      <c r="Q6978" s="282" t="e">
        <f>(INDEX(Tabla6[#All],MATCH(Tabla4[[#This Row],[Producto]],Tabla6[[#All],[PRODUCTO]],0),MATCH(Tabla4[[#This Row],[Mes]],Tabla6[#Headers],0)))</f>
        <v>#N/A</v>
      </c>
      <c r="R6978" s="282" t="e">
        <f>++Tabla4[[#This Row],[Precio Unitario Neto]]-Tabla4[[#This Row],[20.85%]]-Tabla4[[#This Row],[Costo]]</f>
        <v>#N/A</v>
      </c>
      <c r="S6978" s="282" t="e">
        <f>++Tabla4[[#This Row],[U. Bruta Uni]]*Tabla4[[#This Row],[Cantidad]]</f>
        <v>#N/A</v>
      </c>
      <c r="T6978" s="369" t="str">
        <f>VLOOKUP(Tabla4[[#This Row],[Producto]],Tabla6[#All],14,FALSE)</f>
        <v>Termico Solar</v>
      </c>
      <c r="U6978" s="284" t="e">
        <f>(IF(Tabla4[[#This Row],[Familia]]="termico solar",Tabla4[[#This Row],[Utilidad Total]]*6%,Tabla4[[#This Row],[Utilidad Total]]*11.5%))/Tabla4[[#This Row],[Total]]</f>
        <v>#N/A</v>
      </c>
      <c r="V6978" s="282" t="e">
        <f>+Tabla4[[#This Row],[Comisión Calculada]]*Tabla4[[#This Row],[Total]]</f>
        <v>#N/A</v>
      </c>
    </row>
    <row r="6979" spans="1:22" hidden="1" x14ac:dyDescent="0.25">
      <c r="A6979" s="100">
        <v>45976</v>
      </c>
      <c r="B6979" t="str">
        <f>TEXT(A6979, "mmmm")</f>
        <v>November</v>
      </c>
      <c r="C6979" s="46" t="s">
        <v>280</v>
      </c>
      <c r="F6979" s="366" t="s">
        <v>3512</v>
      </c>
      <c r="G6979" s="46" t="s">
        <v>566</v>
      </c>
      <c r="H6979" s="46">
        <v>1</v>
      </c>
      <c r="I6979" s="51">
        <v>2109.4499999999998</v>
      </c>
      <c r="J6979" s="281">
        <f>++Tabla4[[#This Row],[Precio Bruto]]*1.16</f>
        <v>2446.9619999999995</v>
      </c>
      <c r="K6979" s="281">
        <f>+Tabla4[[#This Row],[Precio Unitario Neto]]*Tabla4[[#Headers],[20.85%]]</f>
        <v>510.19157699999988</v>
      </c>
      <c r="L6979" s="282">
        <f>++Tabla4[[#This Row],[Precio Unitario Neto]]-Tabla4[[#This Row],[20.85%]]</f>
        <v>1936.7704229999997</v>
      </c>
      <c r="M6979" s="282" t="e">
        <f>(INDEX(Tabla6[#All],MATCH(Tabla4[[#This Row],[Producto]],Tabla6[[#All],[PRODUCTO]],0),MATCH(Tabla4[[#This Row],[Mes]],Tabla6[#Headers],0)))*(1+Catalogos!$L$2)</f>
        <v>#N/A</v>
      </c>
      <c r="N6979" s="283" t="e">
        <f>+(Tabla4[[#This Row],[Precio Descontado]]-Tabla4[[#This Row],[Precio Base]])*Tabla4[[#This Row],[Cantidad]]</f>
        <v>#N/A</v>
      </c>
      <c r="O6979" s="284" t="e">
        <f>++Tabla4[[#This Row],[Utilidad Total]]/Tabla4[[#This Row],[Total]]</f>
        <v>#N/A</v>
      </c>
      <c r="P6979" s="282">
        <f>++Tabla4[[#This Row],[Precio Descontado]]*Tabla4[[#This Row],[Cantidad]]</f>
        <v>1936.7704229999997</v>
      </c>
      <c r="Q6979" s="282" t="e">
        <f>(INDEX(Tabla6[#All],MATCH(Tabla4[[#This Row],[Producto]],Tabla6[[#All],[PRODUCTO]],0),MATCH(Tabla4[[#This Row],[Mes]],Tabla6[#Headers],0)))</f>
        <v>#N/A</v>
      </c>
      <c r="R6979" s="282" t="e">
        <f>++Tabla4[[#This Row],[Precio Unitario Neto]]-Tabla4[[#This Row],[20.85%]]-Tabla4[[#This Row],[Costo]]</f>
        <v>#N/A</v>
      </c>
      <c r="S6979" s="282" t="e">
        <f>++Tabla4[[#This Row],[U. Bruta Uni]]*Tabla4[[#This Row],[Cantidad]]</f>
        <v>#N/A</v>
      </c>
      <c r="T6979" s="369" t="str">
        <f>VLOOKUP(Tabla4[[#This Row],[Producto]],Tabla6[#All],14,FALSE)</f>
        <v>Termico Solar</v>
      </c>
      <c r="U6979" s="284" t="e">
        <f>(IF(Tabla4[[#This Row],[Familia]]="termico solar",Tabla4[[#This Row],[Utilidad Total]]*6%,Tabla4[[#This Row],[Utilidad Total]]*11.5%))/Tabla4[[#This Row],[Total]]</f>
        <v>#N/A</v>
      </c>
      <c r="V6979" s="282" t="e">
        <f>+Tabla4[[#This Row],[Comisión Calculada]]*Tabla4[[#This Row],[Total]]</f>
        <v>#N/A</v>
      </c>
    </row>
    <row r="6980" spans="1:22" hidden="1" x14ac:dyDescent="0.25">
      <c r="A6980" s="100">
        <v>45976</v>
      </c>
      <c r="B6980" t="str">
        <f t="shared" ref="B6980:B6982" si="517">TEXT(A6980, "mmmm")</f>
        <v>November</v>
      </c>
      <c r="C6980" s="46" t="s">
        <v>280</v>
      </c>
      <c r="F6980" s="366" t="s">
        <v>3513</v>
      </c>
      <c r="G6980" s="46" t="s">
        <v>18</v>
      </c>
      <c r="H6980" s="46">
        <v>7</v>
      </c>
      <c r="I6980" s="51">
        <v>5367.6500000000005</v>
      </c>
      <c r="J6980" s="281">
        <f>++Tabla4[[#This Row],[Precio Bruto]]*1.16</f>
        <v>6226.4740000000002</v>
      </c>
      <c r="K6980" s="281">
        <f>+Tabla4[[#This Row],[Precio Unitario Neto]]*Tabla4[[#Headers],[20.85%]]</f>
        <v>1298.2198289999999</v>
      </c>
      <c r="L6980" s="282">
        <f>++Tabla4[[#This Row],[Precio Unitario Neto]]-Tabla4[[#This Row],[20.85%]]</f>
        <v>4928.2541710000005</v>
      </c>
      <c r="M6980" s="282" t="e">
        <f>(INDEX(Tabla6[#All],MATCH(Tabla4[[#This Row],[Producto]],Tabla6[[#All],[PRODUCTO]],0),MATCH(Tabla4[[#This Row],[Mes]],Tabla6[#Headers],0)))*(1+Catalogos!$L$2)</f>
        <v>#N/A</v>
      </c>
      <c r="N6980" s="283" t="e">
        <f>+(Tabla4[[#This Row],[Precio Descontado]]-Tabla4[[#This Row],[Precio Base]])*Tabla4[[#This Row],[Cantidad]]</f>
        <v>#N/A</v>
      </c>
      <c r="O6980" s="284" t="e">
        <f>++Tabla4[[#This Row],[Utilidad Total]]/Tabla4[[#This Row],[Total]]</f>
        <v>#N/A</v>
      </c>
      <c r="P6980" s="282">
        <f>++Tabla4[[#This Row],[Precio Descontado]]*Tabla4[[#This Row],[Cantidad]]</f>
        <v>34497.779197000003</v>
      </c>
      <c r="Q6980" s="282" t="e">
        <f>(INDEX(Tabla6[#All],MATCH(Tabla4[[#This Row],[Producto]],Tabla6[[#All],[PRODUCTO]],0),MATCH(Tabla4[[#This Row],[Mes]],Tabla6[#Headers],0)))</f>
        <v>#N/A</v>
      </c>
      <c r="R6980" s="282" t="e">
        <f>++Tabla4[[#This Row],[Precio Unitario Neto]]-Tabla4[[#This Row],[20.85%]]-Tabla4[[#This Row],[Costo]]</f>
        <v>#N/A</v>
      </c>
      <c r="S6980" s="282" t="e">
        <f>++Tabla4[[#This Row],[U. Bruta Uni]]*Tabla4[[#This Row],[Cantidad]]</f>
        <v>#N/A</v>
      </c>
      <c r="T6980" s="369" t="str">
        <f>VLOOKUP(Tabla4[[#This Row],[Producto]],Tabla6[#All],14,FALSE)</f>
        <v>Termico Solar</v>
      </c>
      <c r="U6980" s="284" t="e">
        <f>(IF(Tabla4[[#This Row],[Familia]]="termico solar",Tabla4[[#This Row],[Utilidad Total]]*6%,Tabla4[[#This Row],[Utilidad Total]]*11.5%))/Tabla4[[#This Row],[Total]]</f>
        <v>#N/A</v>
      </c>
      <c r="V6980" s="282" t="e">
        <f>+Tabla4[[#This Row],[Comisión Calculada]]*Tabla4[[#This Row],[Total]]</f>
        <v>#N/A</v>
      </c>
    </row>
    <row r="6981" spans="1:22" hidden="1" x14ac:dyDescent="0.25">
      <c r="A6981" s="100">
        <v>45976</v>
      </c>
      <c r="B6981" t="str">
        <f t="shared" si="517"/>
        <v>November</v>
      </c>
      <c r="C6981" s="46" t="s">
        <v>280</v>
      </c>
      <c r="F6981" s="366" t="s">
        <v>3513</v>
      </c>
      <c r="G6981" s="46" t="s">
        <v>19</v>
      </c>
      <c r="H6981" s="46">
        <v>1</v>
      </c>
      <c r="I6981" s="51">
        <v>6412.03</v>
      </c>
      <c r="J6981" s="281">
        <f>++Tabla4[[#This Row],[Precio Bruto]]*1.16</f>
        <v>7437.9547999999995</v>
      </c>
      <c r="K6981" s="281">
        <f>+Tabla4[[#This Row],[Precio Unitario Neto]]*Tabla4[[#Headers],[20.85%]]</f>
        <v>1550.8135757999999</v>
      </c>
      <c r="L6981" s="282">
        <f>++Tabla4[[#This Row],[Precio Unitario Neto]]-Tabla4[[#This Row],[20.85%]]</f>
        <v>5887.1412241999997</v>
      </c>
      <c r="M6981" s="282" t="e">
        <f>(INDEX(Tabla6[#All],MATCH(Tabla4[[#This Row],[Producto]],Tabla6[[#All],[PRODUCTO]],0),MATCH(Tabla4[[#This Row],[Mes]],Tabla6[#Headers],0)))*(1+Catalogos!$L$2)</f>
        <v>#N/A</v>
      </c>
      <c r="N6981" s="283" t="e">
        <f>+(Tabla4[[#This Row],[Precio Descontado]]-Tabla4[[#This Row],[Precio Base]])*Tabla4[[#This Row],[Cantidad]]</f>
        <v>#N/A</v>
      </c>
      <c r="O6981" s="284" t="e">
        <f>++Tabla4[[#This Row],[Utilidad Total]]/Tabla4[[#This Row],[Total]]</f>
        <v>#N/A</v>
      </c>
      <c r="P6981" s="282">
        <f>++Tabla4[[#This Row],[Precio Descontado]]*Tabla4[[#This Row],[Cantidad]]</f>
        <v>5887.1412241999997</v>
      </c>
      <c r="Q6981" s="282" t="e">
        <f>(INDEX(Tabla6[#All],MATCH(Tabla4[[#This Row],[Producto]],Tabla6[[#All],[PRODUCTO]],0),MATCH(Tabla4[[#This Row],[Mes]],Tabla6[#Headers],0)))</f>
        <v>#N/A</v>
      </c>
      <c r="R6981" s="282" t="e">
        <f>++Tabla4[[#This Row],[Precio Unitario Neto]]-Tabla4[[#This Row],[20.85%]]-Tabla4[[#This Row],[Costo]]</f>
        <v>#N/A</v>
      </c>
      <c r="S6981" s="282" t="e">
        <f>++Tabla4[[#This Row],[U. Bruta Uni]]*Tabla4[[#This Row],[Cantidad]]</f>
        <v>#N/A</v>
      </c>
      <c r="T6981" s="369" t="str">
        <f>VLOOKUP(Tabla4[[#This Row],[Producto]],Tabla6[#All],14,FALSE)</f>
        <v>Termico Solar</v>
      </c>
      <c r="U6981" s="284" t="e">
        <f>(IF(Tabla4[[#This Row],[Familia]]="termico solar",Tabla4[[#This Row],[Utilidad Total]]*6%,Tabla4[[#This Row],[Utilidad Total]]*11.5%))/Tabla4[[#This Row],[Total]]</f>
        <v>#N/A</v>
      </c>
      <c r="V6981" s="282" t="e">
        <f>+Tabla4[[#This Row],[Comisión Calculada]]*Tabla4[[#This Row],[Total]]</f>
        <v>#N/A</v>
      </c>
    </row>
    <row r="6982" spans="1:22" hidden="1" x14ac:dyDescent="0.25">
      <c r="A6982" s="100">
        <v>45976</v>
      </c>
      <c r="B6982" t="str">
        <f t="shared" si="517"/>
        <v>November</v>
      </c>
      <c r="C6982" s="46" t="s">
        <v>280</v>
      </c>
      <c r="F6982" s="366" t="s">
        <v>3513</v>
      </c>
      <c r="G6982" s="46" t="s">
        <v>412</v>
      </c>
      <c r="H6982" s="46">
        <v>1</v>
      </c>
      <c r="I6982" s="51">
        <v>3240.84</v>
      </c>
      <c r="J6982" s="281">
        <f>++Tabla4[[#This Row],[Precio Bruto]]*1.16</f>
        <v>3759.3743999999997</v>
      </c>
      <c r="K6982" s="281">
        <f>+Tabla4[[#This Row],[Precio Unitario Neto]]*Tabla4[[#Headers],[20.85%]]</f>
        <v>783.82956239999987</v>
      </c>
      <c r="L6982" s="282">
        <f>++Tabla4[[#This Row],[Precio Unitario Neto]]-Tabla4[[#This Row],[20.85%]]</f>
        <v>2975.5448375999999</v>
      </c>
      <c r="M6982" s="282" t="e">
        <f>(INDEX(Tabla6[#All],MATCH(Tabla4[[#This Row],[Producto]],Tabla6[[#All],[PRODUCTO]],0),MATCH(Tabla4[[#This Row],[Mes]],Tabla6[#Headers],0)))*(1+Catalogos!$L$2)</f>
        <v>#N/A</v>
      </c>
      <c r="N6982" s="283" t="e">
        <f>+(Tabla4[[#This Row],[Precio Descontado]]-Tabla4[[#This Row],[Precio Base]])*Tabla4[[#This Row],[Cantidad]]</f>
        <v>#N/A</v>
      </c>
      <c r="O6982" s="284" t="e">
        <f>++Tabla4[[#This Row],[Utilidad Total]]/Tabla4[[#This Row],[Total]]</f>
        <v>#N/A</v>
      </c>
      <c r="P6982" s="282">
        <f>++Tabla4[[#This Row],[Precio Descontado]]*Tabla4[[#This Row],[Cantidad]]</f>
        <v>2975.5448375999999</v>
      </c>
      <c r="Q6982" s="282" t="e">
        <f>(INDEX(Tabla6[#All],MATCH(Tabla4[[#This Row],[Producto]],Tabla6[[#All],[PRODUCTO]],0),MATCH(Tabla4[[#This Row],[Mes]],Tabla6[#Headers],0)))</f>
        <v>#N/A</v>
      </c>
      <c r="R6982" s="282" t="e">
        <f>++Tabla4[[#This Row],[Precio Unitario Neto]]-Tabla4[[#This Row],[20.85%]]-Tabla4[[#This Row],[Costo]]</f>
        <v>#N/A</v>
      </c>
      <c r="S6982" s="282" t="e">
        <f>++Tabla4[[#This Row],[U. Bruta Uni]]*Tabla4[[#This Row],[Cantidad]]</f>
        <v>#N/A</v>
      </c>
      <c r="T6982" s="369" t="str">
        <f>VLOOKUP(Tabla4[[#This Row],[Producto]],Tabla6[#All],14,FALSE)</f>
        <v>Termico Solar</v>
      </c>
      <c r="U6982" s="284" t="e">
        <f>(IF(Tabla4[[#This Row],[Familia]]="termico solar",Tabla4[[#This Row],[Utilidad Total]]*6%,Tabla4[[#This Row],[Utilidad Total]]*11.5%))/Tabla4[[#This Row],[Total]]</f>
        <v>#N/A</v>
      </c>
      <c r="V6982" s="282" t="e">
        <f>+Tabla4[[#This Row],[Comisión Calculada]]*Tabla4[[#This Row],[Total]]</f>
        <v>#N/A</v>
      </c>
    </row>
    <row r="6983" spans="1:22" hidden="1" x14ac:dyDescent="0.25">
      <c r="A6983" s="100">
        <v>45976</v>
      </c>
      <c r="B6983" t="str">
        <f t="shared" ref="B6983:B6984" si="518">TEXT(A6983, "mmmm")</f>
        <v>November</v>
      </c>
      <c r="C6983" s="46" t="s">
        <v>280</v>
      </c>
      <c r="F6983" s="366" t="s">
        <v>3514</v>
      </c>
      <c r="G6983" s="46" t="s">
        <v>17</v>
      </c>
      <c r="H6983" s="46">
        <v>7</v>
      </c>
      <c r="I6983" s="51">
        <v>4622.28</v>
      </c>
      <c r="J6983" s="281">
        <f>++Tabla4[[#This Row],[Precio Bruto]]*1.16</f>
        <v>5361.8447999999989</v>
      </c>
      <c r="K6983" s="281">
        <f>+Tabla4[[#This Row],[Precio Unitario Neto]]*Tabla4[[#Headers],[20.85%]]</f>
        <v>1117.9446407999997</v>
      </c>
      <c r="L6983" s="282">
        <f>++Tabla4[[#This Row],[Precio Unitario Neto]]-Tabla4[[#This Row],[20.85%]]</f>
        <v>4243.9001591999995</v>
      </c>
      <c r="M6983" s="282" t="e">
        <f>(INDEX(Tabla6[#All],MATCH(Tabla4[[#This Row],[Producto]],Tabla6[[#All],[PRODUCTO]],0),MATCH(Tabla4[[#This Row],[Mes]],Tabla6[#Headers],0)))*(1+Catalogos!$L$2)</f>
        <v>#N/A</v>
      </c>
      <c r="N6983" s="283" t="e">
        <f>+(Tabla4[[#This Row],[Precio Descontado]]-Tabla4[[#This Row],[Precio Base]])*Tabla4[[#This Row],[Cantidad]]</f>
        <v>#N/A</v>
      </c>
      <c r="O6983" s="284" t="e">
        <f>++Tabla4[[#This Row],[Utilidad Total]]/Tabla4[[#This Row],[Total]]</f>
        <v>#N/A</v>
      </c>
      <c r="P6983" s="282">
        <f>++Tabla4[[#This Row],[Precio Descontado]]*Tabla4[[#This Row],[Cantidad]]</f>
        <v>29707.301114399997</v>
      </c>
      <c r="Q6983" s="282" t="e">
        <f>(INDEX(Tabla6[#All],MATCH(Tabla4[[#This Row],[Producto]],Tabla6[[#All],[PRODUCTO]],0),MATCH(Tabla4[[#This Row],[Mes]],Tabla6[#Headers],0)))</f>
        <v>#N/A</v>
      </c>
      <c r="R6983" s="282" t="e">
        <f>++Tabla4[[#This Row],[Precio Unitario Neto]]-Tabla4[[#This Row],[20.85%]]-Tabla4[[#This Row],[Costo]]</f>
        <v>#N/A</v>
      </c>
      <c r="S6983" s="282" t="e">
        <f>++Tabla4[[#This Row],[U. Bruta Uni]]*Tabla4[[#This Row],[Cantidad]]</f>
        <v>#N/A</v>
      </c>
      <c r="T6983" s="369" t="str">
        <f>VLOOKUP(Tabla4[[#This Row],[Producto]],Tabla6[#All],14,FALSE)</f>
        <v>Termico Solar</v>
      </c>
      <c r="U6983" s="284" t="e">
        <f>(IF(Tabla4[[#This Row],[Familia]]="termico solar",Tabla4[[#This Row],[Utilidad Total]]*6%,Tabla4[[#This Row],[Utilidad Total]]*11.5%))/Tabla4[[#This Row],[Total]]</f>
        <v>#N/A</v>
      </c>
      <c r="V6983" s="282" t="e">
        <f>+Tabla4[[#This Row],[Comisión Calculada]]*Tabla4[[#This Row],[Total]]</f>
        <v>#N/A</v>
      </c>
    </row>
    <row r="6984" spans="1:22" hidden="1" x14ac:dyDescent="0.25">
      <c r="A6984" s="100">
        <v>45976</v>
      </c>
      <c r="B6984" t="str">
        <f t="shared" si="518"/>
        <v>November</v>
      </c>
      <c r="C6984" s="46" t="s">
        <v>280</v>
      </c>
      <c r="F6984" s="366" t="s">
        <v>3514</v>
      </c>
      <c r="G6984" s="46" t="s">
        <v>16</v>
      </c>
      <c r="H6984" s="46">
        <v>1</v>
      </c>
      <c r="I6984" s="51">
        <v>4103.8500000000004</v>
      </c>
      <c r="J6984" s="281">
        <f>++Tabla4[[#This Row],[Precio Bruto]]*1.16</f>
        <v>4760.4660000000003</v>
      </c>
      <c r="K6984" s="281">
        <f>+Tabla4[[#This Row],[Precio Unitario Neto]]*Tabla4[[#Headers],[20.85%]]</f>
        <v>992.55716100000006</v>
      </c>
      <c r="L6984" s="282">
        <f>++Tabla4[[#This Row],[Precio Unitario Neto]]-Tabla4[[#This Row],[20.85%]]</f>
        <v>3767.9088390000002</v>
      </c>
      <c r="M6984" s="282" t="e">
        <f>(INDEX(Tabla6[#All],MATCH(Tabla4[[#This Row],[Producto]],Tabla6[[#All],[PRODUCTO]],0),MATCH(Tabla4[[#This Row],[Mes]],Tabla6[#Headers],0)))*(1+Catalogos!$L$2)</f>
        <v>#N/A</v>
      </c>
      <c r="N6984" s="283" t="e">
        <f>+(Tabla4[[#This Row],[Precio Descontado]]-Tabla4[[#This Row],[Precio Base]])*Tabla4[[#This Row],[Cantidad]]</f>
        <v>#N/A</v>
      </c>
      <c r="O6984" s="284" t="e">
        <f>++Tabla4[[#This Row],[Utilidad Total]]/Tabla4[[#This Row],[Total]]</f>
        <v>#N/A</v>
      </c>
      <c r="P6984" s="282">
        <f>++Tabla4[[#This Row],[Precio Descontado]]*Tabla4[[#This Row],[Cantidad]]</f>
        <v>3767.9088390000002</v>
      </c>
      <c r="Q6984" s="282" t="e">
        <f>(INDEX(Tabla6[#All],MATCH(Tabla4[[#This Row],[Producto]],Tabla6[[#All],[PRODUCTO]],0),MATCH(Tabla4[[#This Row],[Mes]],Tabla6[#Headers],0)))</f>
        <v>#N/A</v>
      </c>
      <c r="R6984" s="282" t="e">
        <f>++Tabla4[[#This Row],[Precio Unitario Neto]]-Tabla4[[#This Row],[20.85%]]-Tabla4[[#This Row],[Costo]]</f>
        <v>#N/A</v>
      </c>
      <c r="S6984" s="282" t="e">
        <f>++Tabla4[[#This Row],[U. Bruta Uni]]*Tabla4[[#This Row],[Cantidad]]</f>
        <v>#N/A</v>
      </c>
      <c r="T6984" s="369" t="str">
        <f>VLOOKUP(Tabla4[[#This Row],[Producto]],Tabla6[#All],14,FALSE)</f>
        <v>Termico Solar</v>
      </c>
      <c r="U6984" s="284" t="e">
        <f>(IF(Tabla4[[#This Row],[Familia]]="termico solar",Tabla4[[#This Row],[Utilidad Total]]*6%,Tabla4[[#This Row],[Utilidad Total]]*11.5%))/Tabla4[[#This Row],[Total]]</f>
        <v>#N/A</v>
      </c>
      <c r="V6984" s="282" t="e">
        <f>+Tabla4[[#This Row],[Comisión Calculada]]*Tabla4[[#This Row],[Total]]</f>
        <v>#N/A</v>
      </c>
    </row>
    <row r="6985" spans="1:22" hidden="1" x14ac:dyDescent="0.25">
      <c r="A6985" s="100">
        <v>45976</v>
      </c>
      <c r="B6985" t="str">
        <f>TEXT(A6985, "mmmm")</f>
        <v>November</v>
      </c>
      <c r="C6985" s="46" t="s">
        <v>280</v>
      </c>
      <c r="F6985" s="366" t="s">
        <v>3515</v>
      </c>
      <c r="G6985" s="46" t="s">
        <v>566</v>
      </c>
      <c r="H6985" s="46">
        <v>1</v>
      </c>
      <c r="I6985" s="51">
        <v>2109.4499999999998</v>
      </c>
      <c r="J6985" s="281">
        <f>++Tabla4[[#This Row],[Precio Bruto]]*1.16</f>
        <v>2446.9619999999995</v>
      </c>
      <c r="K6985" s="281">
        <f>+Tabla4[[#This Row],[Precio Unitario Neto]]*Tabla4[[#Headers],[20.85%]]</f>
        <v>510.19157699999988</v>
      </c>
      <c r="L6985" s="282">
        <f>++Tabla4[[#This Row],[Precio Unitario Neto]]-Tabla4[[#This Row],[20.85%]]</f>
        <v>1936.7704229999997</v>
      </c>
      <c r="M6985" s="282" t="e">
        <f>(INDEX(Tabla6[#All],MATCH(Tabla4[[#This Row],[Producto]],Tabla6[[#All],[PRODUCTO]],0),MATCH(Tabla4[[#This Row],[Mes]],Tabla6[#Headers],0)))*(1+Catalogos!$L$2)</f>
        <v>#N/A</v>
      </c>
      <c r="N6985" s="283" t="e">
        <f>+(Tabla4[[#This Row],[Precio Descontado]]-Tabla4[[#This Row],[Precio Base]])*Tabla4[[#This Row],[Cantidad]]</f>
        <v>#N/A</v>
      </c>
      <c r="O6985" s="284" t="e">
        <f>++Tabla4[[#This Row],[Utilidad Total]]/Tabla4[[#This Row],[Total]]</f>
        <v>#N/A</v>
      </c>
      <c r="P6985" s="282">
        <f>++Tabla4[[#This Row],[Precio Descontado]]*Tabla4[[#This Row],[Cantidad]]</f>
        <v>1936.7704229999997</v>
      </c>
      <c r="Q6985" s="282" t="e">
        <f>(INDEX(Tabla6[#All],MATCH(Tabla4[[#This Row],[Producto]],Tabla6[[#All],[PRODUCTO]],0),MATCH(Tabla4[[#This Row],[Mes]],Tabla6[#Headers],0)))</f>
        <v>#N/A</v>
      </c>
      <c r="R6985" s="282" t="e">
        <f>++Tabla4[[#This Row],[Precio Unitario Neto]]-Tabla4[[#This Row],[20.85%]]-Tabla4[[#This Row],[Costo]]</f>
        <v>#N/A</v>
      </c>
      <c r="S6985" s="282" t="e">
        <f>++Tabla4[[#This Row],[U. Bruta Uni]]*Tabla4[[#This Row],[Cantidad]]</f>
        <v>#N/A</v>
      </c>
      <c r="T6985" s="369" t="str">
        <f>VLOOKUP(Tabla4[[#This Row],[Producto]],Tabla6[#All],14,FALSE)</f>
        <v>Termico Solar</v>
      </c>
      <c r="U6985" s="284" t="e">
        <f>(IF(Tabla4[[#This Row],[Familia]]="termico solar",Tabla4[[#This Row],[Utilidad Total]]*6%,Tabla4[[#This Row],[Utilidad Total]]*11.5%))/Tabla4[[#This Row],[Total]]</f>
        <v>#N/A</v>
      </c>
      <c r="V6985" s="282" t="e">
        <f>+Tabla4[[#This Row],[Comisión Calculada]]*Tabla4[[#This Row],[Total]]</f>
        <v>#N/A</v>
      </c>
    </row>
    <row r="6986" spans="1:22" hidden="1" x14ac:dyDescent="0.25">
      <c r="A6986" s="100">
        <v>45976</v>
      </c>
      <c r="B6986" t="str">
        <f t="shared" ref="B6986:B6989" si="519">TEXT(A6986, "mmmm")</f>
        <v>November</v>
      </c>
      <c r="C6986" s="46" t="s">
        <v>280</v>
      </c>
      <c r="F6986" s="366" t="s">
        <v>3516</v>
      </c>
      <c r="G6986" s="46" t="s">
        <v>83</v>
      </c>
      <c r="H6986" s="46">
        <v>4</v>
      </c>
      <c r="I6986" s="51">
        <v>8858.76</v>
      </c>
      <c r="J6986" s="281">
        <f>++Tabla4[[#This Row],[Precio Bruto]]*1.16</f>
        <v>10276.161599999999</v>
      </c>
      <c r="K6986" s="281">
        <f>+Tabla4[[#This Row],[Precio Unitario Neto]]*Tabla4[[#Headers],[20.85%]]</f>
        <v>2142.5796935999997</v>
      </c>
      <c r="L6986" s="282">
        <f>++Tabla4[[#This Row],[Precio Unitario Neto]]-Tabla4[[#This Row],[20.85%]]</f>
        <v>8133.5819063999998</v>
      </c>
      <c r="M6986" s="282" t="e">
        <f>(INDEX(Tabla6[#All],MATCH(Tabla4[[#This Row],[Producto]],Tabla6[[#All],[PRODUCTO]],0),MATCH(Tabla4[[#This Row],[Mes]],Tabla6[#Headers],0)))*(1+Catalogos!$L$2)</f>
        <v>#N/A</v>
      </c>
      <c r="N6986" s="283" t="e">
        <f>+(Tabla4[[#This Row],[Precio Descontado]]-Tabla4[[#This Row],[Precio Base]])*Tabla4[[#This Row],[Cantidad]]</f>
        <v>#N/A</v>
      </c>
      <c r="O6986" s="284" t="e">
        <f>++Tabla4[[#This Row],[Utilidad Total]]/Tabla4[[#This Row],[Total]]</f>
        <v>#N/A</v>
      </c>
      <c r="P6986" s="282">
        <f>++Tabla4[[#This Row],[Precio Descontado]]*Tabla4[[#This Row],[Cantidad]]</f>
        <v>32534.327625599999</v>
      </c>
      <c r="Q6986" s="282" t="e">
        <f>(INDEX(Tabla6[#All],MATCH(Tabla4[[#This Row],[Producto]],Tabla6[[#All],[PRODUCTO]],0),MATCH(Tabla4[[#This Row],[Mes]],Tabla6[#Headers],0)))</f>
        <v>#N/A</v>
      </c>
      <c r="R6986" s="282" t="e">
        <f>++Tabla4[[#This Row],[Precio Unitario Neto]]-Tabla4[[#This Row],[20.85%]]-Tabla4[[#This Row],[Costo]]</f>
        <v>#N/A</v>
      </c>
      <c r="S6986" s="282" t="e">
        <f>++Tabla4[[#This Row],[U. Bruta Uni]]*Tabla4[[#This Row],[Cantidad]]</f>
        <v>#N/A</v>
      </c>
      <c r="T6986" s="369" t="str">
        <f>VLOOKUP(Tabla4[[#This Row],[Producto]],Tabla6[#All],14,FALSE)</f>
        <v>Termico Solar</v>
      </c>
      <c r="U6986" s="284" t="e">
        <f>(IF(Tabla4[[#This Row],[Familia]]="termico solar",Tabla4[[#This Row],[Utilidad Total]]*6%,Tabla4[[#This Row],[Utilidad Total]]*11.5%))/Tabla4[[#This Row],[Total]]</f>
        <v>#N/A</v>
      </c>
      <c r="V6986" s="282" t="e">
        <f>+Tabla4[[#This Row],[Comisión Calculada]]*Tabla4[[#This Row],[Total]]</f>
        <v>#N/A</v>
      </c>
    </row>
    <row r="6987" spans="1:22" hidden="1" x14ac:dyDescent="0.25">
      <c r="A6987" s="100">
        <v>45976</v>
      </c>
      <c r="B6987" t="str">
        <f t="shared" si="519"/>
        <v>November</v>
      </c>
      <c r="C6987" s="46" t="s">
        <v>280</v>
      </c>
      <c r="F6987" s="366" t="s">
        <v>3516</v>
      </c>
      <c r="G6987" s="46" t="s">
        <v>18</v>
      </c>
      <c r="H6987" s="46">
        <v>1</v>
      </c>
      <c r="I6987" s="51">
        <v>5367.65</v>
      </c>
      <c r="J6987" s="281">
        <f>++Tabla4[[#This Row],[Precio Bruto]]*1.16</f>
        <v>6226.4739999999993</v>
      </c>
      <c r="K6987" s="281">
        <f>+Tabla4[[#This Row],[Precio Unitario Neto]]*Tabla4[[#Headers],[20.85%]]</f>
        <v>1298.2198289999999</v>
      </c>
      <c r="L6987" s="282">
        <f>++Tabla4[[#This Row],[Precio Unitario Neto]]-Tabla4[[#This Row],[20.85%]]</f>
        <v>4928.2541709999996</v>
      </c>
      <c r="M6987" s="282" t="e">
        <f>(INDEX(Tabla6[#All],MATCH(Tabla4[[#This Row],[Producto]],Tabla6[[#All],[PRODUCTO]],0),MATCH(Tabla4[[#This Row],[Mes]],Tabla6[#Headers],0)))*(1+Catalogos!$L$2)</f>
        <v>#N/A</v>
      </c>
      <c r="N6987" s="283" t="e">
        <f>+(Tabla4[[#This Row],[Precio Descontado]]-Tabla4[[#This Row],[Precio Base]])*Tabla4[[#This Row],[Cantidad]]</f>
        <v>#N/A</v>
      </c>
      <c r="O6987" s="284" t="e">
        <f>++Tabla4[[#This Row],[Utilidad Total]]/Tabla4[[#This Row],[Total]]</f>
        <v>#N/A</v>
      </c>
      <c r="P6987" s="282">
        <f>++Tabla4[[#This Row],[Precio Descontado]]*Tabla4[[#This Row],[Cantidad]]</f>
        <v>4928.2541709999996</v>
      </c>
      <c r="Q6987" s="282" t="e">
        <f>(INDEX(Tabla6[#All],MATCH(Tabla4[[#This Row],[Producto]],Tabla6[[#All],[PRODUCTO]],0),MATCH(Tabla4[[#This Row],[Mes]],Tabla6[#Headers],0)))</f>
        <v>#N/A</v>
      </c>
      <c r="R6987" s="282" t="e">
        <f>++Tabla4[[#This Row],[Precio Unitario Neto]]-Tabla4[[#This Row],[20.85%]]-Tabla4[[#This Row],[Costo]]</f>
        <v>#N/A</v>
      </c>
      <c r="S6987" s="282" t="e">
        <f>++Tabla4[[#This Row],[U. Bruta Uni]]*Tabla4[[#This Row],[Cantidad]]</f>
        <v>#N/A</v>
      </c>
      <c r="T6987" s="369" t="str">
        <f>VLOOKUP(Tabla4[[#This Row],[Producto]],Tabla6[#All],14,FALSE)</f>
        <v>Termico Solar</v>
      </c>
      <c r="U6987" s="284" t="e">
        <f>(IF(Tabla4[[#This Row],[Familia]]="termico solar",Tabla4[[#This Row],[Utilidad Total]]*6%,Tabla4[[#This Row],[Utilidad Total]]*11.5%))/Tabla4[[#This Row],[Total]]</f>
        <v>#N/A</v>
      </c>
      <c r="V6987" s="282" t="e">
        <f>+Tabla4[[#This Row],[Comisión Calculada]]*Tabla4[[#This Row],[Total]]</f>
        <v>#N/A</v>
      </c>
    </row>
    <row r="6988" spans="1:22" hidden="1" x14ac:dyDescent="0.25">
      <c r="A6988" s="100">
        <v>45976</v>
      </c>
      <c r="B6988" t="str">
        <f t="shared" si="519"/>
        <v>November</v>
      </c>
      <c r="C6988" s="46" t="s">
        <v>280</v>
      </c>
      <c r="F6988" s="366" t="s">
        <v>3516</v>
      </c>
      <c r="G6988" s="46" t="s">
        <v>19</v>
      </c>
      <c r="H6988" s="46">
        <v>1</v>
      </c>
      <c r="I6988" s="51">
        <v>6412.03</v>
      </c>
      <c r="J6988" s="281">
        <f>++Tabla4[[#This Row],[Precio Bruto]]*1.16</f>
        <v>7437.9547999999995</v>
      </c>
      <c r="K6988" s="281">
        <f>+Tabla4[[#This Row],[Precio Unitario Neto]]*Tabla4[[#Headers],[20.85%]]</f>
        <v>1550.8135757999999</v>
      </c>
      <c r="L6988" s="282">
        <f>++Tabla4[[#This Row],[Precio Unitario Neto]]-Tabla4[[#This Row],[20.85%]]</f>
        <v>5887.1412241999997</v>
      </c>
      <c r="M6988" s="282" t="e">
        <f>(INDEX(Tabla6[#All],MATCH(Tabla4[[#This Row],[Producto]],Tabla6[[#All],[PRODUCTO]],0),MATCH(Tabla4[[#This Row],[Mes]],Tabla6[#Headers],0)))*(1+Catalogos!$L$2)</f>
        <v>#N/A</v>
      </c>
      <c r="N6988" s="283" t="e">
        <f>+(Tabla4[[#This Row],[Precio Descontado]]-Tabla4[[#This Row],[Precio Base]])*Tabla4[[#This Row],[Cantidad]]</f>
        <v>#N/A</v>
      </c>
      <c r="O6988" s="284" t="e">
        <f>++Tabla4[[#This Row],[Utilidad Total]]/Tabla4[[#This Row],[Total]]</f>
        <v>#N/A</v>
      </c>
      <c r="P6988" s="282">
        <f>++Tabla4[[#This Row],[Precio Descontado]]*Tabla4[[#This Row],[Cantidad]]</f>
        <v>5887.1412241999997</v>
      </c>
      <c r="Q6988" s="282" t="e">
        <f>(INDEX(Tabla6[#All],MATCH(Tabla4[[#This Row],[Producto]],Tabla6[[#All],[PRODUCTO]],0),MATCH(Tabla4[[#This Row],[Mes]],Tabla6[#Headers],0)))</f>
        <v>#N/A</v>
      </c>
      <c r="R6988" s="282" t="e">
        <f>++Tabla4[[#This Row],[Precio Unitario Neto]]-Tabla4[[#This Row],[20.85%]]-Tabla4[[#This Row],[Costo]]</f>
        <v>#N/A</v>
      </c>
      <c r="S6988" s="282" t="e">
        <f>++Tabla4[[#This Row],[U. Bruta Uni]]*Tabla4[[#This Row],[Cantidad]]</f>
        <v>#N/A</v>
      </c>
      <c r="T6988" s="369" t="str">
        <f>VLOOKUP(Tabla4[[#This Row],[Producto]],Tabla6[#All],14,FALSE)</f>
        <v>Termico Solar</v>
      </c>
      <c r="U6988" s="284" t="e">
        <f>(IF(Tabla4[[#This Row],[Familia]]="termico solar",Tabla4[[#This Row],[Utilidad Total]]*6%,Tabla4[[#This Row],[Utilidad Total]]*11.5%))/Tabla4[[#This Row],[Total]]</f>
        <v>#N/A</v>
      </c>
      <c r="V6988" s="282" t="e">
        <f>+Tabla4[[#This Row],[Comisión Calculada]]*Tabla4[[#This Row],[Total]]</f>
        <v>#N/A</v>
      </c>
    </row>
    <row r="6989" spans="1:22" hidden="1" x14ac:dyDescent="0.25">
      <c r="A6989" s="100">
        <v>45976</v>
      </c>
      <c r="B6989" t="str">
        <f t="shared" si="519"/>
        <v>November</v>
      </c>
      <c r="C6989" s="46" t="s">
        <v>280</v>
      </c>
      <c r="F6989" s="366" t="s">
        <v>3516</v>
      </c>
      <c r="G6989" s="46" t="s">
        <v>566</v>
      </c>
      <c r="H6989" s="46">
        <v>1</v>
      </c>
      <c r="I6989" s="51">
        <v>2109.4499999999998</v>
      </c>
      <c r="J6989" s="281">
        <f>++Tabla4[[#This Row],[Precio Bruto]]*1.16</f>
        <v>2446.9619999999995</v>
      </c>
      <c r="K6989" s="281">
        <f>+Tabla4[[#This Row],[Precio Unitario Neto]]*Tabla4[[#Headers],[20.85%]]</f>
        <v>510.19157699999988</v>
      </c>
      <c r="L6989" s="282">
        <f>++Tabla4[[#This Row],[Precio Unitario Neto]]-Tabla4[[#This Row],[20.85%]]</f>
        <v>1936.7704229999997</v>
      </c>
      <c r="M6989" s="282" t="e">
        <f>(INDEX(Tabla6[#All],MATCH(Tabla4[[#This Row],[Producto]],Tabla6[[#All],[PRODUCTO]],0),MATCH(Tabla4[[#This Row],[Mes]],Tabla6[#Headers],0)))*(1+Catalogos!$L$2)</f>
        <v>#N/A</v>
      </c>
      <c r="N6989" s="283" t="e">
        <f>+(Tabla4[[#This Row],[Precio Descontado]]-Tabla4[[#This Row],[Precio Base]])*Tabla4[[#This Row],[Cantidad]]</f>
        <v>#N/A</v>
      </c>
      <c r="O6989" s="284" t="e">
        <f>++Tabla4[[#This Row],[Utilidad Total]]/Tabla4[[#This Row],[Total]]</f>
        <v>#N/A</v>
      </c>
      <c r="P6989" s="282">
        <f>++Tabla4[[#This Row],[Precio Descontado]]*Tabla4[[#This Row],[Cantidad]]</f>
        <v>1936.7704229999997</v>
      </c>
      <c r="Q6989" s="282" t="e">
        <f>(INDEX(Tabla6[#All],MATCH(Tabla4[[#This Row],[Producto]],Tabla6[[#All],[PRODUCTO]],0),MATCH(Tabla4[[#This Row],[Mes]],Tabla6[#Headers],0)))</f>
        <v>#N/A</v>
      </c>
      <c r="R6989" s="282" t="e">
        <f>++Tabla4[[#This Row],[Precio Unitario Neto]]-Tabla4[[#This Row],[20.85%]]-Tabla4[[#This Row],[Costo]]</f>
        <v>#N/A</v>
      </c>
      <c r="S6989" s="282" t="e">
        <f>++Tabla4[[#This Row],[U. Bruta Uni]]*Tabla4[[#This Row],[Cantidad]]</f>
        <v>#N/A</v>
      </c>
      <c r="T6989" s="369" t="str">
        <f>VLOOKUP(Tabla4[[#This Row],[Producto]],Tabla6[#All],14,FALSE)</f>
        <v>Termico Solar</v>
      </c>
      <c r="U6989" s="284" t="e">
        <f>(IF(Tabla4[[#This Row],[Familia]]="termico solar",Tabla4[[#This Row],[Utilidad Total]]*6%,Tabla4[[#This Row],[Utilidad Total]]*11.5%))/Tabla4[[#This Row],[Total]]</f>
        <v>#N/A</v>
      </c>
      <c r="V6989" s="282" t="e">
        <f>+Tabla4[[#This Row],[Comisión Calculada]]*Tabla4[[#This Row],[Total]]</f>
        <v>#N/A</v>
      </c>
    </row>
    <row r="6990" spans="1:22" hidden="1" x14ac:dyDescent="0.25">
      <c r="A6990" s="100">
        <v>45976</v>
      </c>
      <c r="B6990" t="str">
        <f t="shared" ref="B6990:B6992" si="520">TEXT(A6990, "mmmm")</f>
        <v>November</v>
      </c>
      <c r="C6990" s="46" t="s">
        <v>280</v>
      </c>
      <c r="F6990" s="366" t="s">
        <v>3517</v>
      </c>
      <c r="G6990" s="46" t="s">
        <v>19</v>
      </c>
      <c r="H6990" s="46">
        <v>1</v>
      </c>
      <c r="I6990" s="51">
        <v>6412.03</v>
      </c>
      <c r="J6990" s="281">
        <f>++Tabla4[[#This Row],[Precio Bruto]]*1.16</f>
        <v>7437.9547999999995</v>
      </c>
      <c r="K6990" s="281">
        <f>+Tabla4[[#This Row],[Precio Unitario Neto]]*Tabla4[[#Headers],[20.85%]]</f>
        <v>1550.8135757999999</v>
      </c>
      <c r="L6990" s="282">
        <f>++Tabla4[[#This Row],[Precio Unitario Neto]]-Tabla4[[#This Row],[20.85%]]</f>
        <v>5887.1412241999997</v>
      </c>
      <c r="M6990" s="282" t="e">
        <f>(INDEX(Tabla6[#All],MATCH(Tabla4[[#This Row],[Producto]],Tabla6[[#All],[PRODUCTO]],0),MATCH(Tabla4[[#This Row],[Mes]],Tabla6[#Headers],0)))*(1+Catalogos!$L$2)</f>
        <v>#N/A</v>
      </c>
      <c r="N6990" s="283" t="e">
        <f>+(Tabla4[[#This Row],[Precio Descontado]]-Tabla4[[#This Row],[Precio Base]])*Tabla4[[#This Row],[Cantidad]]</f>
        <v>#N/A</v>
      </c>
      <c r="O6990" s="284" t="e">
        <f>++Tabla4[[#This Row],[Utilidad Total]]/Tabla4[[#This Row],[Total]]</f>
        <v>#N/A</v>
      </c>
      <c r="P6990" s="282">
        <f>++Tabla4[[#This Row],[Precio Descontado]]*Tabla4[[#This Row],[Cantidad]]</f>
        <v>5887.1412241999997</v>
      </c>
      <c r="Q6990" s="282" t="e">
        <f>(INDEX(Tabla6[#All],MATCH(Tabla4[[#This Row],[Producto]],Tabla6[[#All],[PRODUCTO]],0),MATCH(Tabla4[[#This Row],[Mes]],Tabla6[#Headers],0)))</f>
        <v>#N/A</v>
      </c>
      <c r="R6990" s="282" t="e">
        <f>++Tabla4[[#This Row],[Precio Unitario Neto]]-Tabla4[[#This Row],[20.85%]]-Tabla4[[#This Row],[Costo]]</f>
        <v>#N/A</v>
      </c>
      <c r="S6990" s="282" t="e">
        <f>++Tabla4[[#This Row],[U. Bruta Uni]]*Tabla4[[#This Row],[Cantidad]]</f>
        <v>#N/A</v>
      </c>
      <c r="T6990" s="369" t="str">
        <f>VLOOKUP(Tabla4[[#This Row],[Producto]],Tabla6[#All],14,FALSE)</f>
        <v>Termico Solar</v>
      </c>
      <c r="U6990" s="284" t="e">
        <f>(IF(Tabla4[[#This Row],[Familia]]="termico solar",Tabla4[[#This Row],[Utilidad Total]]*6%,Tabla4[[#This Row],[Utilidad Total]]*11.5%))/Tabla4[[#This Row],[Total]]</f>
        <v>#N/A</v>
      </c>
      <c r="V6990" s="282" t="e">
        <f>+Tabla4[[#This Row],[Comisión Calculada]]*Tabla4[[#This Row],[Total]]</f>
        <v>#N/A</v>
      </c>
    </row>
    <row r="6991" spans="1:22" hidden="1" x14ac:dyDescent="0.25">
      <c r="A6991" s="100">
        <v>45976</v>
      </c>
      <c r="B6991" t="str">
        <f t="shared" si="520"/>
        <v>November</v>
      </c>
      <c r="C6991" s="46" t="s">
        <v>280</v>
      </c>
      <c r="F6991" s="366" t="s">
        <v>3517</v>
      </c>
      <c r="G6991" s="46" t="s">
        <v>566</v>
      </c>
      <c r="H6991" s="46">
        <v>1</v>
      </c>
      <c r="I6991" s="51">
        <v>2109.4499999999998</v>
      </c>
      <c r="J6991" s="281">
        <f>++Tabla4[[#This Row],[Precio Bruto]]*1.16</f>
        <v>2446.9619999999995</v>
      </c>
      <c r="K6991" s="281">
        <f>+Tabla4[[#This Row],[Precio Unitario Neto]]*Tabla4[[#Headers],[20.85%]]</f>
        <v>510.19157699999988</v>
      </c>
      <c r="L6991" s="282">
        <f>++Tabla4[[#This Row],[Precio Unitario Neto]]-Tabla4[[#This Row],[20.85%]]</f>
        <v>1936.7704229999997</v>
      </c>
      <c r="M6991" s="282" t="e">
        <f>(INDEX(Tabla6[#All],MATCH(Tabla4[[#This Row],[Producto]],Tabla6[[#All],[PRODUCTO]],0),MATCH(Tabla4[[#This Row],[Mes]],Tabla6[#Headers],0)))*(1+Catalogos!$L$2)</f>
        <v>#N/A</v>
      </c>
      <c r="N6991" s="283" t="e">
        <f>+(Tabla4[[#This Row],[Precio Descontado]]-Tabla4[[#This Row],[Precio Base]])*Tabla4[[#This Row],[Cantidad]]</f>
        <v>#N/A</v>
      </c>
      <c r="O6991" s="284" t="e">
        <f>++Tabla4[[#This Row],[Utilidad Total]]/Tabla4[[#This Row],[Total]]</f>
        <v>#N/A</v>
      </c>
      <c r="P6991" s="282">
        <f>++Tabla4[[#This Row],[Precio Descontado]]*Tabla4[[#This Row],[Cantidad]]</f>
        <v>1936.7704229999997</v>
      </c>
      <c r="Q6991" s="282" t="e">
        <f>(INDEX(Tabla6[#All],MATCH(Tabla4[[#This Row],[Producto]],Tabla6[[#All],[PRODUCTO]],0),MATCH(Tabla4[[#This Row],[Mes]],Tabla6[#Headers],0)))</f>
        <v>#N/A</v>
      </c>
      <c r="R6991" s="282" t="e">
        <f>++Tabla4[[#This Row],[Precio Unitario Neto]]-Tabla4[[#This Row],[20.85%]]-Tabla4[[#This Row],[Costo]]</f>
        <v>#N/A</v>
      </c>
      <c r="S6991" s="282" t="e">
        <f>++Tabla4[[#This Row],[U. Bruta Uni]]*Tabla4[[#This Row],[Cantidad]]</f>
        <v>#N/A</v>
      </c>
      <c r="T6991" s="369" t="str">
        <f>VLOOKUP(Tabla4[[#This Row],[Producto]],Tabla6[#All],14,FALSE)</f>
        <v>Termico Solar</v>
      </c>
      <c r="U6991" s="284" t="e">
        <f>(IF(Tabla4[[#This Row],[Familia]]="termico solar",Tabla4[[#This Row],[Utilidad Total]]*6%,Tabla4[[#This Row],[Utilidad Total]]*11.5%))/Tabla4[[#This Row],[Total]]</f>
        <v>#N/A</v>
      </c>
      <c r="V6991" s="282" t="e">
        <f>+Tabla4[[#This Row],[Comisión Calculada]]*Tabla4[[#This Row],[Total]]</f>
        <v>#N/A</v>
      </c>
    </row>
    <row r="6992" spans="1:22" hidden="1" x14ac:dyDescent="0.25">
      <c r="A6992" s="100">
        <v>45976</v>
      </c>
      <c r="B6992" t="str">
        <f t="shared" si="520"/>
        <v>November</v>
      </c>
      <c r="C6992" s="46" t="s">
        <v>280</v>
      </c>
      <c r="F6992" s="366" t="s">
        <v>3517</v>
      </c>
      <c r="G6992" s="46" t="s">
        <v>208</v>
      </c>
      <c r="H6992" s="46">
        <v>3</v>
      </c>
      <c r="I6992" s="51">
        <v>189.75</v>
      </c>
      <c r="J6992" s="281">
        <f>++Tabla4[[#This Row],[Precio Bruto]]*1.16</f>
        <v>220.10999999999999</v>
      </c>
      <c r="K6992" s="281">
        <f>+Tabla4[[#This Row],[Precio Unitario Neto]]*Tabla4[[#Headers],[20.85%]]</f>
        <v>45.892934999999994</v>
      </c>
      <c r="L6992" s="282">
        <f>++Tabla4[[#This Row],[Precio Unitario Neto]]-Tabla4[[#This Row],[20.85%]]</f>
        <v>174.21706499999999</v>
      </c>
      <c r="M6992" s="282" t="e">
        <f>(INDEX(Tabla6[#All],MATCH(Tabla4[[#This Row],[Producto]],Tabla6[[#All],[PRODUCTO]],0),MATCH(Tabla4[[#This Row],[Mes]],Tabla6[#Headers],0)))*(1+Catalogos!$L$2)</f>
        <v>#N/A</v>
      </c>
      <c r="N6992" s="283" t="e">
        <f>+(Tabla4[[#This Row],[Precio Descontado]]-Tabla4[[#This Row],[Precio Base]])*Tabla4[[#This Row],[Cantidad]]</f>
        <v>#N/A</v>
      </c>
      <c r="O6992" s="284" t="e">
        <f>++Tabla4[[#This Row],[Utilidad Total]]/Tabla4[[#This Row],[Total]]</f>
        <v>#N/A</v>
      </c>
      <c r="P6992" s="282">
        <f>++Tabla4[[#This Row],[Precio Descontado]]*Tabla4[[#This Row],[Cantidad]]</f>
        <v>522.65119499999992</v>
      </c>
      <c r="Q6992" s="282" t="e">
        <f>(INDEX(Tabla6[#All],MATCH(Tabla4[[#This Row],[Producto]],Tabla6[[#All],[PRODUCTO]],0),MATCH(Tabla4[[#This Row],[Mes]],Tabla6[#Headers],0)))</f>
        <v>#N/A</v>
      </c>
      <c r="R6992" s="282" t="e">
        <f>++Tabla4[[#This Row],[Precio Unitario Neto]]-Tabla4[[#This Row],[20.85%]]-Tabla4[[#This Row],[Costo]]</f>
        <v>#N/A</v>
      </c>
      <c r="S6992" s="282" t="e">
        <f>++Tabla4[[#This Row],[U. Bruta Uni]]*Tabla4[[#This Row],[Cantidad]]</f>
        <v>#N/A</v>
      </c>
      <c r="T6992" s="369" t="str">
        <f>VLOOKUP(Tabla4[[#This Row],[Producto]],Tabla6[#All],14,FALSE)</f>
        <v>Termico Solar</v>
      </c>
      <c r="U6992" s="284" t="e">
        <f>(IF(Tabla4[[#This Row],[Familia]]="termico solar",Tabla4[[#This Row],[Utilidad Total]]*6%,Tabla4[[#This Row],[Utilidad Total]]*11.5%))/Tabla4[[#This Row],[Total]]</f>
        <v>#N/A</v>
      </c>
      <c r="V6992" s="282" t="e">
        <f>+Tabla4[[#This Row],[Comisión Calculada]]*Tabla4[[#This Row],[Total]]</f>
        <v>#N/A</v>
      </c>
    </row>
    <row r="6993" spans="1:22" hidden="1" x14ac:dyDescent="0.25">
      <c r="A6993" s="100">
        <v>45976</v>
      </c>
      <c r="B6993" t="str">
        <f t="shared" ref="B6993:B6994" si="521">TEXT(A6993, "mmmm")</f>
        <v>November</v>
      </c>
      <c r="C6993" s="46" t="s">
        <v>280</v>
      </c>
      <c r="F6993" s="366" t="s">
        <v>3518</v>
      </c>
      <c r="G6993" s="46" t="s">
        <v>17</v>
      </c>
      <c r="H6993" s="46">
        <v>2</v>
      </c>
      <c r="I6993" s="51">
        <v>4622.28</v>
      </c>
      <c r="J6993" s="281">
        <f>++Tabla4[[#This Row],[Precio Bruto]]*1.16</f>
        <v>5361.8447999999989</v>
      </c>
      <c r="K6993" s="281">
        <f>+Tabla4[[#This Row],[Precio Unitario Neto]]*Tabla4[[#Headers],[20.85%]]</f>
        <v>1117.9446407999997</v>
      </c>
      <c r="L6993" s="282">
        <f>++Tabla4[[#This Row],[Precio Unitario Neto]]-Tabla4[[#This Row],[20.85%]]</f>
        <v>4243.9001591999995</v>
      </c>
      <c r="M6993" s="282" t="e">
        <f>(INDEX(Tabla6[#All],MATCH(Tabla4[[#This Row],[Producto]],Tabla6[[#All],[PRODUCTO]],0),MATCH(Tabla4[[#This Row],[Mes]],Tabla6[#Headers],0)))*(1+Catalogos!$L$2)</f>
        <v>#N/A</v>
      </c>
      <c r="N6993" s="283" t="e">
        <f>+(Tabla4[[#This Row],[Precio Descontado]]-Tabla4[[#This Row],[Precio Base]])*Tabla4[[#This Row],[Cantidad]]</f>
        <v>#N/A</v>
      </c>
      <c r="O6993" s="284" t="e">
        <f>++Tabla4[[#This Row],[Utilidad Total]]/Tabla4[[#This Row],[Total]]</f>
        <v>#N/A</v>
      </c>
      <c r="P6993" s="282">
        <f>++Tabla4[[#This Row],[Precio Descontado]]*Tabla4[[#This Row],[Cantidad]]</f>
        <v>8487.800318399999</v>
      </c>
      <c r="Q6993" s="282" t="e">
        <f>(INDEX(Tabla6[#All],MATCH(Tabla4[[#This Row],[Producto]],Tabla6[[#All],[PRODUCTO]],0),MATCH(Tabla4[[#This Row],[Mes]],Tabla6[#Headers],0)))</f>
        <v>#N/A</v>
      </c>
      <c r="R6993" s="282" t="e">
        <f>++Tabla4[[#This Row],[Precio Unitario Neto]]-Tabla4[[#This Row],[20.85%]]-Tabla4[[#This Row],[Costo]]</f>
        <v>#N/A</v>
      </c>
      <c r="S6993" s="282" t="e">
        <f>++Tabla4[[#This Row],[U. Bruta Uni]]*Tabla4[[#This Row],[Cantidad]]</f>
        <v>#N/A</v>
      </c>
      <c r="T6993" s="369" t="str">
        <f>VLOOKUP(Tabla4[[#This Row],[Producto]],Tabla6[#All],14,FALSE)</f>
        <v>Termico Solar</v>
      </c>
      <c r="U6993" s="284" t="e">
        <f>(IF(Tabla4[[#This Row],[Familia]]="termico solar",Tabla4[[#This Row],[Utilidad Total]]*6%,Tabla4[[#This Row],[Utilidad Total]]*11.5%))/Tabla4[[#This Row],[Total]]</f>
        <v>#N/A</v>
      </c>
      <c r="V6993" s="282" t="e">
        <f>+Tabla4[[#This Row],[Comisión Calculada]]*Tabla4[[#This Row],[Total]]</f>
        <v>#N/A</v>
      </c>
    </row>
    <row r="6994" spans="1:22" hidden="1" x14ac:dyDescent="0.25">
      <c r="A6994" s="100">
        <v>45976</v>
      </c>
      <c r="B6994" t="str">
        <f t="shared" si="521"/>
        <v>November</v>
      </c>
      <c r="C6994" s="46" t="s">
        <v>280</v>
      </c>
      <c r="F6994" s="366" t="s">
        <v>3518</v>
      </c>
      <c r="G6994" s="46" t="s">
        <v>208</v>
      </c>
      <c r="H6994" s="46">
        <v>5</v>
      </c>
      <c r="I6994" s="51">
        <v>189.75</v>
      </c>
      <c r="J6994" s="281">
        <f>++Tabla4[[#This Row],[Precio Bruto]]*1.16</f>
        <v>220.10999999999999</v>
      </c>
      <c r="K6994" s="281">
        <f>+Tabla4[[#This Row],[Precio Unitario Neto]]*Tabla4[[#Headers],[20.85%]]</f>
        <v>45.892934999999994</v>
      </c>
      <c r="L6994" s="282">
        <f>++Tabla4[[#This Row],[Precio Unitario Neto]]-Tabla4[[#This Row],[20.85%]]</f>
        <v>174.21706499999999</v>
      </c>
      <c r="M6994" s="282" t="e">
        <f>(INDEX(Tabla6[#All],MATCH(Tabla4[[#This Row],[Producto]],Tabla6[[#All],[PRODUCTO]],0),MATCH(Tabla4[[#This Row],[Mes]],Tabla6[#Headers],0)))*(1+Catalogos!$L$2)</f>
        <v>#N/A</v>
      </c>
      <c r="N6994" s="283" t="e">
        <f>+(Tabla4[[#This Row],[Precio Descontado]]-Tabla4[[#This Row],[Precio Base]])*Tabla4[[#This Row],[Cantidad]]</f>
        <v>#N/A</v>
      </c>
      <c r="O6994" s="284" t="e">
        <f>++Tabla4[[#This Row],[Utilidad Total]]/Tabla4[[#This Row],[Total]]</f>
        <v>#N/A</v>
      </c>
      <c r="P6994" s="282">
        <f>++Tabla4[[#This Row],[Precio Descontado]]*Tabla4[[#This Row],[Cantidad]]</f>
        <v>871.08532500000001</v>
      </c>
      <c r="Q6994" s="282" t="e">
        <f>(INDEX(Tabla6[#All],MATCH(Tabla4[[#This Row],[Producto]],Tabla6[[#All],[PRODUCTO]],0),MATCH(Tabla4[[#This Row],[Mes]],Tabla6[#Headers],0)))</f>
        <v>#N/A</v>
      </c>
      <c r="R6994" s="282" t="e">
        <f>++Tabla4[[#This Row],[Precio Unitario Neto]]-Tabla4[[#This Row],[20.85%]]-Tabla4[[#This Row],[Costo]]</f>
        <v>#N/A</v>
      </c>
      <c r="S6994" s="282" t="e">
        <f>++Tabla4[[#This Row],[U. Bruta Uni]]*Tabla4[[#This Row],[Cantidad]]</f>
        <v>#N/A</v>
      </c>
      <c r="T6994" s="369" t="str">
        <f>VLOOKUP(Tabla4[[#This Row],[Producto]],Tabla6[#All],14,FALSE)</f>
        <v>Termico Solar</v>
      </c>
      <c r="U6994" s="284" t="e">
        <f>(IF(Tabla4[[#This Row],[Familia]]="termico solar",Tabla4[[#This Row],[Utilidad Total]]*6%,Tabla4[[#This Row],[Utilidad Total]]*11.5%))/Tabla4[[#This Row],[Total]]</f>
        <v>#N/A</v>
      </c>
      <c r="V6994" s="282" t="e">
        <f>+Tabla4[[#This Row],[Comisión Calculada]]*Tabla4[[#This Row],[Total]]</f>
        <v>#N/A</v>
      </c>
    </row>
    <row r="6995" spans="1:22" hidden="1" x14ac:dyDescent="0.25">
      <c r="A6995" s="100">
        <v>45976</v>
      </c>
      <c r="B6995" t="str">
        <f>TEXT(A6995, "mmmm")</f>
        <v>November</v>
      </c>
      <c r="C6995" s="46" t="s">
        <v>280</v>
      </c>
      <c r="F6995" s="366" t="s">
        <v>3519</v>
      </c>
      <c r="G6995" s="46" t="s">
        <v>16</v>
      </c>
      <c r="H6995" s="46">
        <v>1</v>
      </c>
      <c r="I6995" s="51">
        <v>4103.8500000000004</v>
      </c>
      <c r="J6995" s="281">
        <f>++Tabla4[[#This Row],[Precio Bruto]]*1.16</f>
        <v>4760.4660000000003</v>
      </c>
      <c r="K6995" s="281">
        <f>+Tabla4[[#This Row],[Precio Unitario Neto]]*Tabla4[[#Headers],[20.85%]]</f>
        <v>992.55716100000006</v>
      </c>
      <c r="L6995" s="282">
        <f>++Tabla4[[#This Row],[Precio Unitario Neto]]-Tabla4[[#This Row],[20.85%]]</f>
        <v>3767.9088390000002</v>
      </c>
      <c r="M6995" s="282" t="e">
        <f>(INDEX(Tabla6[#All],MATCH(Tabla4[[#This Row],[Producto]],Tabla6[[#All],[PRODUCTO]],0),MATCH(Tabla4[[#This Row],[Mes]],Tabla6[#Headers],0)))*(1+Catalogos!$L$2)</f>
        <v>#N/A</v>
      </c>
      <c r="N6995" s="283" t="e">
        <f>+(Tabla4[[#This Row],[Precio Descontado]]-Tabla4[[#This Row],[Precio Base]])*Tabla4[[#This Row],[Cantidad]]</f>
        <v>#N/A</v>
      </c>
      <c r="O6995" s="284" t="e">
        <f>++Tabla4[[#This Row],[Utilidad Total]]/Tabla4[[#This Row],[Total]]</f>
        <v>#N/A</v>
      </c>
      <c r="P6995" s="282">
        <f>++Tabla4[[#This Row],[Precio Descontado]]*Tabla4[[#This Row],[Cantidad]]</f>
        <v>3767.9088390000002</v>
      </c>
      <c r="Q6995" s="282" t="e">
        <f>(INDEX(Tabla6[#All],MATCH(Tabla4[[#This Row],[Producto]],Tabla6[[#All],[PRODUCTO]],0),MATCH(Tabla4[[#This Row],[Mes]],Tabla6[#Headers],0)))</f>
        <v>#N/A</v>
      </c>
      <c r="R6995" s="282" t="e">
        <f>++Tabla4[[#This Row],[Precio Unitario Neto]]-Tabla4[[#This Row],[20.85%]]-Tabla4[[#This Row],[Costo]]</f>
        <v>#N/A</v>
      </c>
      <c r="S6995" s="282" t="e">
        <f>++Tabla4[[#This Row],[U. Bruta Uni]]*Tabla4[[#This Row],[Cantidad]]</f>
        <v>#N/A</v>
      </c>
      <c r="T6995" s="369" t="str">
        <f>VLOOKUP(Tabla4[[#This Row],[Producto]],Tabla6[#All],14,FALSE)</f>
        <v>Termico Solar</v>
      </c>
      <c r="U6995" s="284" t="e">
        <f>(IF(Tabla4[[#This Row],[Familia]]="termico solar",Tabla4[[#This Row],[Utilidad Total]]*6%,Tabla4[[#This Row],[Utilidad Total]]*11.5%))/Tabla4[[#This Row],[Total]]</f>
        <v>#N/A</v>
      </c>
      <c r="V6995" s="282" t="e">
        <f>+Tabla4[[#This Row],[Comisión Calculada]]*Tabla4[[#This Row],[Total]]</f>
        <v>#N/A</v>
      </c>
    </row>
    <row r="6996" spans="1:22" hidden="1" x14ac:dyDescent="0.25">
      <c r="A6996" s="100">
        <v>45976</v>
      </c>
      <c r="B6996" t="str">
        <f t="shared" ref="B6996:B6997" si="522">TEXT(A6996, "mmmm")</f>
        <v>November</v>
      </c>
      <c r="C6996" s="46" t="s">
        <v>280</v>
      </c>
      <c r="F6996" s="366" t="s">
        <v>3520</v>
      </c>
      <c r="G6996" s="46" t="s">
        <v>18</v>
      </c>
      <c r="H6996" s="46">
        <v>5</v>
      </c>
      <c r="I6996" s="51">
        <v>5367.65</v>
      </c>
      <c r="J6996" s="281">
        <f>++Tabla4[[#This Row],[Precio Bruto]]*1.16</f>
        <v>6226.4739999999993</v>
      </c>
      <c r="K6996" s="281">
        <f>+Tabla4[[#This Row],[Precio Unitario Neto]]*Tabla4[[#Headers],[20.85%]]</f>
        <v>1298.2198289999999</v>
      </c>
      <c r="L6996" s="282">
        <f>++Tabla4[[#This Row],[Precio Unitario Neto]]-Tabla4[[#This Row],[20.85%]]</f>
        <v>4928.2541709999996</v>
      </c>
      <c r="M6996" s="282" t="e">
        <f>(INDEX(Tabla6[#All],MATCH(Tabla4[[#This Row],[Producto]],Tabla6[[#All],[PRODUCTO]],0),MATCH(Tabla4[[#This Row],[Mes]],Tabla6[#Headers],0)))*(1+Catalogos!$L$2)</f>
        <v>#N/A</v>
      </c>
      <c r="N6996" s="283" t="e">
        <f>+(Tabla4[[#This Row],[Precio Descontado]]-Tabla4[[#This Row],[Precio Base]])*Tabla4[[#This Row],[Cantidad]]</f>
        <v>#N/A</v>
      </c>
      <c r="O6996" s="284" t="e">
        <f>++Tabla4[[#This Row],[Utilidad Total]]/Tabla4[[#This Row],[Total]]</f>
        <v>#N/A</v>
      </c>
      <c r="P6996" s="282">
        <f>++Tabla4[[#This Row],[Precio Descontado]]*Tabla4[[#This Row],[Cantidad]]</f>
        <v>24641.270854999999</v>
      </c>
      <c r="Q6996" s="282" t="e">
        <f>(INDEX(Tabla6[#All],MATCH(Tabla4[[#This Row],[Producto]],Tabla6[[#All],[PRODUCTO]],0),MATCH(Tabla4[[#This Row],[Mes]],Tabla6[#Headers],0)))</f>
        <v>#N/A</v>
      </c>
      <c r="R6996" s="282" t="e">
        <f>++Tabla4[[#This Row],[Precio Unitario Neto]]-Tabla4[[#This Row],[20.85%]]-Tabla4[[#This Row],[Costo]]</f>
        <v>#N/A</v>
      </c>
      <c r="S6996" s="282" t="e">
        <f>++Tabla4[[#This Row],[U. Bruta Uni]]*Tabla4[[#This Row],[Cantidad]]</f>
        <v>#N/A</v>
      </c>
      <c r="T6996" s="369" t="str">
        <f>VLOOKUP(Tabla4[[#This Row],[Producto]],Tabla6[#All],14,FALSE)</f>
        <v>Termico Solar</v>
      </c>
      <c r="U6996" s="284" t="e">
        <f>(IF(Tabla4[[#This Row],[Familia]]="termico solar",Tabla4[[#This Row],[Utilidad Total]]*6%,Tabla4[[#This Row],[Utilidad Total]]*11.5%))/Tabla4[[#This Row],[Total]]</f>
        <v>#N/A</v>
      </c>
      <c r="V6996" s="282" t="e">
        <f>+Tabla4[[#This Row],[Comisión Calculada]]*Tabla4[[#This Row],[Total]]</f>
        <v>#N/A</v>
      </c>
    </row>
    <row r="6997" spans="1:22" hidden="1" x14ac:dyDescent="0.25">
      <c r="A6997" s="100">
        <v>45976</v>
      </c>
      <c r="B6997" t="str">
        <f t="shared" si="522"/>
        <v>November</v>
      </c>
      <c r="C6997" s="46" t="s">
        <v>280</v>
      </c>
      <c r="F6997" s="366" t="s">
        <v>3520</v>
      </c>
      <c r="G6997" s="46" t="s">
        <v>16</v>
      </c>
      <c r="H6997" s="46">
        <v>1</v>
      </c>
      <c r="I6997" s="51">
        <v>4103.8500000000004</v>
      </c>
      <c r="J6997" s="281">
        <f>++Tabla4[[#This Row],[Precio Bruto]]*1.16</f>
        <v>4760.4660000000003</v>
      </c>
      <c r="K6997" s="281">
        <f>+Tabla4[[#This Row],[Precio Unitario Neto]]*Tabla4[[#Headers],[20.85%]]</f>
        <v>992.55716100000006</v>
      </c>
      <c r="L6997" s="282">
        <f>++Tabla4[[#This Row],[Precio Unitario Neto]]-Tabla4[[#This Row],[20.85%]]</f>
        <v>3767.9088390000002</v>
      </c>
      <c r="M6997" s="282" t="e">
        <f>(INDEX(Tabla6[#All],MATCH(Tabla4[[#This Row],[Producto]],Tabla6[[#All],[PRODUCTO]],0),MATCH(Tabla4[[#This Row],[Mes]],Tabla6[#Headers],0)))*(1+Catalogos!$L$2)</f>
        <v>#N/A</v>
      </c>
      <c r="N6997" s="283" t="e">
        <f>+(Tabla4[[#This Row],[Precio Descontado]]-Tabla4[[#This Row],[Precio Base]])*Tabla4[[#This Row],[Cantidad]]</f>
        <v>#N/A</v>
      </c>
      <c r="O6997" s="284" t="e">
        <f>++Tabla4[[#This Row],[Utilidad Total]]/Tabla4[[#This Row],[Total]]</f>
        <v>#N/A</v>
      </c>
      <c r="P6997" s="282">
        <f>++Tabla4[[#This Row],[Precio Descontado]]*Tabla4[[#This Row],[Cantidad]]</f>
        <v>3767.9088390000002</v>
      </c>
      <c r="Q6997" s="282" t="e">
        <f>(INDEX(Tabla6[#All],MATCH(Tabla4[[#This Row],[Producto]],Tabla6[[#All],[PRODUCTO]],0),MATCH(Tabla4[[#This Row],[Mes]],Tabla6[#Headers],0)))</f>
        <v>#N/A</v>
      </c>
      <c r="R6997" s="282" t="e">
        <f>++Tabla4[[#This Row],[Precio Unitario Neto]]-Tabla4[[#This Row],[20.85%]]-Tabla4[[#This Row],[Costo]]</f>
        <v>#N/A</v>
      </c>
      <c r="S6997" s="282" t="e">
        <f>++Tabla4[[#This Row],[U. Bruta Uni]]*Tabla4[[#This Row],[Cantidad]]</f>
        <v>#N/A</v>
      </c>
      <c r="T6997" s="369" t="str">
        <f>VLOOKUP(Tabla4[[#This Row],[Producto]],Tabla6[#All],14,FALSE)</f>
        <v>Termico Solar</v>
      </c>
      <c r="U6997" s="284" t="e">
        <f>(IF(Tabla4[[#This Row],[Familia]]="termico solar",Tabla4[[#This Row],[Utilidad Total]]*6%,Tabla4[[#This Row],[Utilidad Total]]*11.5%))/Tabla4[[#This Row],[Total]]</f>
        <v>#N/A</v>
      </c>
      <c r="V6997" s="282" t="e">
        <f>+Tabla4[[#This Row],[Comisión Calculada]]*Tabla4[[#This Row],[Total]]</f>
        <v>#N/A</v>
      </c>
    </row>
    <row r="6998" spans="1:22" hidden="1" x14ac:dyDescent="0.25">
      <c r="A6998" s="100">
        <v>45976</v>
      </c>
      <c r="B6998" t="str">
        <f>TEXT(A6998, "mmmm")</f>
        <v>November</v>
      </c>
      <c r="C6998" s="46" t="s">
        <v>280</v>
      </c>
      <c r="F6998" s="366" t="s">
        <v>3521</v>
      </c>
      <c r="G6998" s="46" t="s">
        <v>19</v>
      </c>
      <c r="H6998" s="46">
        <v>1</v>
      </c>
      <c r="I6998" s="51">
        <v>6412.03</v>
      </c>
      <c r="J6998" s="281">
        <f>++Tabla4[[#This Row],[Precio Bruto]]*1.16</f>
        <v>7437.9547999999995</v>
      </c>
      <c r="K6998" s="281">
        <f>+Tabla4[[#This Row],[Precio Unitario Neto]]*Tabla4[[#Headers],[20.85%]]</f>
        <v>1550.8135757999999</v>
      </c>
      <c r="L6998" s="282">
        <f>++Tabla4[[#This Row],[Precio Unitario Neto]]-Tabla4[[#This Row],[20.85%]]</f>
        <v>5887.1412241999997</v>
      </c>
      <c r="M6998" s="282" t="e">
        <f>(INDEX(Tabla6[#All],MATCH(Tabla4[[#This Row],[Producto]],Tabla6[[#All],[PRODUCTO]],0),MATCH(Tabla4[[#This Row],[Mes]],Tabla6[#Headers],0)))*(1+Catalogos!$L$2)</f>
        <v>#N/A</v>
      </c>
      <c r="N6998" s="283" t="e">
        <f>+(Tabla4[[#This Row],[Precio Descontado]]-Tabla4[[#This Row],[Precio Base]])*Tabla4[[#This Row],[Cantidad]]</f>
        <v>#N/A</v>
      </c>
      <c r="O6998" s="284" t="e">
        <f>++Tabla4[[#This Row],[Utilidad Total]]/Tabla4[[#This Row],[Total]]</f>
        <v>#N/A</v>
      </c>
      <c r="P6998" s="282">
        <f>++Tabla4[[#This Row],[Precio Descontado]]*Tabla4[[#This Row],[Cantidad]]</f>
        <v>5887.1412241999997</v>
      </c>
      <c r="Q6998" s="282" t="e">
        <f>(INDEX(Tabla6[#All],MATCH(Tabla4[[#This Row],[Producto]],Tabla6[[#All],[PRODUCTO]],0),MATCH(Tabla4[[#This Row],[Mes]],Tabla6[#Headers],0)))</f>
        <v>#N/A</v>
      </c>
      <c r="R6998" s="282" t="e">
        <f>++Tabla4[[#This Row],[Precio Unitario Neto]]-Tabla4[[#This Row],[20.85%]]-Tabla4[[#This Row],[Costo]]</f>
        <v>#N/A</v>
      </c>
      <c r="S6998" s="282" t="e">
        <f>++Tabla4[[#This Row],[U. Bruta Uni]]*Tabla4[[#This Row],[Cantidad]]</f>
        <v>#N/A</v>
      </c>
      <c r="T6998" s="369" t="str">
        <f>VLOOKUP(Tabla4[[#This Row],[Producto]],Tabla6[#All],14,FALSE)</f>
        <v>Termico Solar</v>
      </c>
      <c r="U6998" s="284" t="e">
        <f>(IF(Tabla4[[#This Row],[Familia]]="termico solar",Tabla4[[#This Row],[Utilidad Total]]*6%,Tabla4[[#This Row],[Utilidad Total]]*11.5%))/Tabla4[[#This Row],[Total]]</f>
        <v>#N/A</v>
      </c>
      <c r="V6998" s="282" t="e">
        <f>+Tabla4[[#This Row],[Comisión Calculada]]*Tabla4[[#This Row],[Total]]</f>
        <v>#N/A</v>
      </c>
    </row>
    <row r="6999" spans="1:22" hidden="1" x14ac:dyDescent="0.25">
      <c r="A6999" s="100">
        <v>45976</v>
      </c>
      <c r="B6999" t="str">
        <f t="shared" ref="B6999:B7002" si="523">TEXT(A6999, "mmmm")</f>
        <v>November</v>
      </c>
      <c r="C6999" s="46" t="s">
        <v>280</v>
      </c>
      <c r="F6999" s="366" t="s">
        <v>3522</v>
      </c>
      <c r="G6999" s="46" t="s">
        <v>83</v>
      </c>
      <c r="H6999" s="46">
        <v>1</v>
      </c>
      <c r="I6999" s="51">
        <v>8858.76</v>
      </c>
      <c r="J6999" s="281">
        <f>++Tabla4[[#This Row],[Precio Bruto]]*1.16</f>
        <v>10276.161599999999</v>
      </c>
      <c r="K6999" s="281">
        <f>+Tabla4[[#This Row],[Precio Unitario Neto]]*Tabla4[[#Headers],[20.85%]]</f>
        <v>2142.5796935999997</v>
      </c>
      <c r="L6999" s="282">
        <f>++Tabla4[[#This Row],[Precio Unitario Neto]]-Tabla4[[#This Row],[20.85%]]</f>
        <v>8133.5819063999998</v>
      </c>
      <c r="M6999" s="282" t="e">
        <f>(INDEX(Tabla6[#All],MATCH(Tabla4[[#This Row],[Producto]],Tabla6[[#All],[PRODUCTO]],0),MATCH(Tabla4[[#This Row],[Mes]],Tabla6[#Headers],0)))*(1+Catalogos!$L$2)</f>
        <v>#N/A</v>
      </c>
      <c r="N6999" s="283" t="e">
        <f>+(Tabla4[[#This Row],[Precio Descontado]]-Tabla4[[#This Row],[Precio Base]])*Tabla4[[#This Row],[Cantidad]]</f>
        <v>#N/A</v>
      </c>
      <c r="O6999" s="284" t="e">
        <f>++Tabla4[[#This Row],[Utilidad Total]]/Tabla4[[#This Row],[Total]]</f>
        <v>#N/A</v>
      </c>
      <c r="P6999" s="282">
        <f>++Tabla4[[#This Row],[Precio Descontado]]*Tabla4[[#This Row],[Cantidad]]</f>
        <v>8133.5819063999998</v>
      </c>
      <c r="Q6999" s="282" t="e">
        <f>(INDEX(Tabla6[#All],MATCH(Tabla4[[#This Row],[Producto]],Tabla6[[#All],[PRODUCTO]],0),MATCH(Tabla4[[#This Row],[Mes]],Tabla6[#Headers],0)))</f>
        <v>#N/A</v>
      </c>
      <c r="R6999" s="282" t="e">
        <f>++Tabla4[[#This Row],[Precio Unitario Neto]]-Tabla4[[#This Row],[20.85%]]-Tabla4[[#This Row],[Costo]]</f>
        <v>#N/A</v>
      </c>
      <c r="S6999" s="282" t="e">
        <f>++Tabla4[[#This Row],[U. Bruta Uni]]*Tabla4[[#This Row],[Cantidad]]</f>
        <v>#N/A</v>
      </c>
      <c r="T6999" s="369" t="str">
        <f>VLOOKUP(Tabla4[[#This Row],[Producto]],Tabla6[#All],14,FALSE)</f>
        <v>Termico Solar</v>
      </c>
      <c r="U6999" s="284" t="e">
        <f>(IF(Tabla4[[#This Row],[Familia]]="termico solar",Tabla4[[#This Row],[Utilidad Total]]*6%,Tabla4[[#This Row],[Utilidad Total]]*11.5%))/Tabla4[[#This Row],[Total]]</f>
        <v>#N/A</v>
      </c>
      <c r="V6999" s="282" t="e">
        <f>+Tabla4[[#This Row],[Comisión Calculada]]*Tabla4[[#This Row],[Total]]</f>
        <v>#N/A</v>
      </c>
    </row>
    <row r="7000" spans="1:22" hidden="1" x14ac:dyDescent="0.25">
      <c r="A7000" s="100">
        <v>45976</v>
      </c>
      <c r="B7000" t="str">
        <f t="shared" si="523"/>
        <v>November</v>
      </c>
      <c r="C7000" s="46" t="s">
        <v>280</v>
      </c>
      <c r="F7000" s="366" t="s">
        <v>3522</v>
      </c>
      <c r="G7000" s="46" t="s">
        <v>17</v>
      </c>
      <c r="H7000" s="46">
        <v>1</v>
      </c>
      <c r="I7000" s="51">
        <v>4622.28</v>
      </c>
      <c r="J7000" s="281">
        <f>++Tabla4[[#This Row],[Precio Bruto]]*1.16</f>
        <v>5361.8447999999989</v>
      </c>
      <c r="K7000" s="281">
        <f>+Tabla4[[#This Row],[Precio Unitario Neto]]*Tabla4[[#Headers],[20.85%]]</f>
        <v>1117.9446407999997</v>
      </c>
      <c r="L7000" s="282">
        <f>++Tabla4[[#This Row],[Precio Unitario Neto]]-Tabla4[[#This Row],[20.85%]]</f>
        <v>4243.9001591999995</v>
      </c>
      <c r="M7000" s="282" t="e">
        <f>(INDEX(Tabla6[#All],MATCH(Tabla4[[#This Row],[Producto]],Tabla6[[#All],[PRODUCTO]],0),MATCH(Tabla4[[#This Row],[Mes]],Tabla6[#Headers],0)))*(1+Catalogos!$L$2)</f>
        <v>#N/A</v>
      </c>
      <c r="N7000" s="283" t="e">
        <f>+(Tabla4[[#This Row],[Precio Descontado]]-Tabla4[[#This Row],[Precio Base]])*Tabla4[[#This Row],[Cantidad]]</f>
        <v>#N/A</v>
      </c>
      <c r="O7000" s="284" t="e">
        <f>++Tabla4[[#This Row],[Utilidad Total]]/Tabla4[[#This Row],[Total]]</f>
        <v>#N/A</v>
      </c>
      <c r="P7000" s="282">
        <f>++Tabla4[[#This Row],[Precio Descontado]]*Tabla4[[#This Row],[Cantidad]]</f>
        <v>4243.9001591999995</v>
      </c>
      <c r="Q7000" s="282" t="e">
        <f>(INDEX(Tabla6[#All],MATCH(Tabla4[[#This Row],[Producto]],Tabla6[[#All],[PRODUCTO]],0),MATCH(Tabla4[[#This Row],[Mes]],Tabla6[#Headers],0)))</f>
        <v>#N/A</v>
      </c>
      <c r="R7000" s="282" t="e">
        <f>++Tabla4[[#This Row],[Precio Unitario Neto]]-Tabla4[[#This Row],[20.85%]]-Tabla4[[#This Row],[Costo]]</f>
        <v>#N/A</v>
      </c>
      <c r="S7000" s="282" t="e">
        <f>++Tabla4[[#This Row],[U. Bruta Uni]]*Tabla4[[#This Row],[Cantidad]]</f>
        <v>#N/A</v>
      </c>
      <c r="T7000" s="369" t="str">
        <f>VLOOKUP(Tabla4[[#This Row],[Producto]],Tabla6[#All],14,FALSE)</f>
        <v>Termico Solar</v>
      </c>
      <c r="U7000" s="284" t="e">
        <f>(IF(Tabla4[[#This Row],[Familia]]="termico solar",Tabla4[[#This Row],[Utilidad Total]]*6%,Tabla4[[#This Row],[Utilidad Total]]*11.5%))/Tabla4[[#This Row],[Total]]</f>
        <v>#N/A</v>
      </c>
      <c r="V7000" s="282" t="e">
        <f>+Tabla4[[#This Row],[Comisión Calculada]]*Tabla4[[#This Row],[Total]]</f>
        <v>#N/A</v>
      </c>
    </row>
    <row r="7001" spans="1:22" hidden="1" x14ac:dyDescent="0.25">
      <c r="A7001" s="100">
        <v>45976</v>
      </c>
      <c r="B7001" t="str">
        <f t="shared" si="523"/>
        <v>November</v>
      </c>
      <c r="C7001" s="46" t="s">
        <v>280</v>
      </c>
      <c r="F7001" s="366" t="s">
        <v>3522</v>
      </c>
      <c r="G7001" s="46" t="s">
        <v>566</v>
      </c>
      <c r="H7001" s="46">
        <v>1</v>
      </c>
      <c r="I7001" s="51">
        <v>2109.4499999999998</v>
      </c>
      <c r="J7001" s="281">
        <f>++Tabla4[[#This Row],[Precio Bruto]]*1.16</f>
        <v>2446.9619999999995</v>
      </c>
      <c r="K7001" s="281">
        <f>+Tabla4[[#This Row],[Precio Unitario Neto]]*Tabla4[[#Headers],[20.85%]]</f>
        <v>510.19157699999988</v>
      </c>
      <c r="L7001" s="282">
        <f>++Tabla4[[#This Row],[Precio Unitario Neto]]-Tabla4[[#This Row],[20.85%]]</f>
        <v>1936.7704229999997</v>
      </c>
      <c r="M7001" s="282" t="e">
        <f>(INDEX(Tabla6[#All],MATCH(Tabla4[[#This Row],[Producto]],Tabla6[[#All],[PRODUCTO]],0),MATCH(Tabla4[[#This Row],[Mes]],Tabla6[#Headers],0)))*(1+Catalogos!$L$2)</f>
        <v>#N/A</v>
      </c>
      <c r="N7001" s="283" t="e">
        <f>+(Tabla4[[#This Row],[Precio Descontado]]-Tabla4[[#This Row],[Precio Base]])*Tabla4[[#This Row],[Cantidad]]</f>
        <v>#N/A</v>
      </c>
      <c r="O7001" s="284" t="e">
        <f>++Tabla4[[#This Row],[Utilidad Total]]/Tabla4[[#This Row],[Total]]</f>
        <v>#N/A</v>
      </c>
      <c r="P7001" s="282">
        <f>++Tabla4[[#This Row],[Precio Descontado]]*Tabla4[[#This Row],[Cantidad]]</f>
        <v>1936.7704229999997</v>
      </c>
      <c r="Q7001" s="282" t="e">
        <f>(INDEX(Tabla6[#All],MATCH(Tabla4[[#This Row],[Producto]],Tabla6[[#All],[PRODUCTO]],0),MATCH(Tabla4[[#This Row],[Mes]],Tabla6[#Headers],0)))</f>
        <v>#N/A</v>
      </c>
      <c r="R7001" s="282" t="e">
        <f>++Tabla4[[#This Row],[Precio Unitario Neto]]-Tabla4[[#This Row],[20.85%]]-Tabla4[[#This Row],[Costo]]</f>
        <v>#N/A</v>
      </c>
      <c r="S7001" s="282" t="e">
        <f>++Tabla4[[#This Row],[U. Bruta Uni]]*Tabla4[[#This Row],[Cantidad]]</f>
        <v>#N/A</v>
      </c>
      <c r="T7001" s="369" t="str">
        <f>VLOOKUP(Tabla4[[#This Row],[Producto]],Tabla6[#All],14,FALSE)</f>
        <v>Termico Solar</v>
      </c>
      <c r="U7001" s="284" t="e">
        <f>(IF(Tabla4[[#This Row],[Familia]]="termico solar",Tabla4[[#This Row],[Utilidad Total]]*6%,Tabla4[[#This Row],[Utilidad Total]]*11.5%))/Tabla4[[#This Row],[Total]]</f>
        <v>#N/A</v>
      </c>
      <c r="V7001" s="282" t="e">
        <f>+Tabla4[[#This Row],[Comisión Calculada]]*Tabla4[[#This Row],[Total]]</f>
        <v>#N/A</v>
      </c>
    </row>
    <row r="7002" spans="1:22" hidden="1" x14ac:dyDescent="0.25">
      <c r="A7002" s="100">
        <v>45976</v>
      </c>
      <c r="B7002" t="str">
        <f t="shared" si="523"/>
        <v>November</v>
      </c>
      <c r="C7002" s="46" t="s">
        <v>280</v>
      </c>
      <c r="F7002" s="366" t="s">
        <v>3522</v>
      </c>
      <c r="G7002" s="46" t="s">
        <v>16</v>
      </c>
      <c r="H7002" s="46">
        <v>1</v>
      </c>
      <c r="I7002" s="51">
        <v>4103.8500000000004</v>
      </c>
      <c r="J7002" s="281">
        <f>++Tabla4[[#This Row],[Precio Bruto]]*1.16</f>
        <v>4760.4660000000003</v>
      </c>
      <c r="K7002" s="281">
        <f>+Tabla4[[#This Row],[Precio Unitario Neto]]*Tabla4[[#Headers],[20.85%]]</f>
        <v>992.55716100000006</v>
      </c>
      <c r="L7002" s="282">
        <f>++Tabla4[[#This Row],[Precio Unitario Neto]]-Tabla4[[#This Row],[20.85%]]</f>
        <v>3767.9088390000002</v>
      </c>
      <c r="M7002" s="282" t="e">
        <f>(INDEX(Tabla6[#All],MATCH(Tabla4[[#This Row],[Producto]],Tabla6[[#All],[PRODUCTO]],0),MATCH(Tabla4[[#This Row],[Mes]],Tabla6[#Headers],0)))*(1+Catalogos!$L$2)</f>
        <v>#N/A</v>
      </c>
      <c r="N7002" s="283" t="e">
        <f>+(Tabla4[[#This Row],[Precio Descontado]]-Tabla4[[#This Row],[Precio Base]])*Tabla4[[#This Row],[Cantidad]]</f>
        <v>#N/A</v>
      </c>
      <c r="O7002" s="284" t="e">
        <f>++Tabla4[[#This Row],[Utilidad Total]]/Tabla4[[#This Row],[Total]]</f>
        <v>#N/A</v>
      </c>
      <c r="P7002" s="282">
        <f>++Tabla4[[#This Row],[Precio Descontado]]*Tabla4[[#This Row],[Cantidad]]</f>
        <v>3767.9088390000002</v>
      </c>
      <c r="Q7002" s="282" t="e">
        <f>(INDEX(Tabla6[#All],MATCH(Tabla4[[#This Row],[Producto]],Tabla6[[#All],[PRODUCTO]],0),MATCH(Tabla4[[#This Row],[Mes]],Tabla6[#Headers],0)))</f>
        <v>#N/A</v>
      </c>
      <c r="R7002" s="282" t="e">
        <f>++Tabla4[[#This Row],[Precio Unitario Neto]]-Tabla4[[#This Row],[20.85%]]-Tabla4[[#This Row],[Costo]]</f>
        <v>#N/A</v>
      </c>
      <c r="S7002" s="282" t="e">
        <f>++Tabla4[[#This Row],[U. Bruta Uni]]*Tabla4[[#This Row],[Cantidad]]</f>
        <v>#N/A</v>
      </c>
      <c r="T7002" s="369" t="str">
        <f>VLOOKUP(Tabla4[[#This Row],[Producto]],Tabla6[#All],14,FALSE)</f>
        <v>Termico Solar</v>
      </c>
      <c r="U7002" s="284" t="e">
        <f>(IF(Tabla4[[#This Row],[Familia]]="termico solar",Tabla4[[#This Row],[Utilidad Total]]*6%,Tabla4[[#This Row],[Utilidad Total]]*11.5%))/Tabla4[[#This Row],[Total]]</f>
        <v>#N/A</v>
      </c>
      <c r="V7002" s="282" t="e">
        <f>+Tabla4[[#This Row],[Comisión Calculada]]*Tabla4[[#This Row],[Total]]</f>
        <v>#N/A</v>
      </c>
    </row>
    <row r="7003" spans="1:22" hidden="1" x14ac:dyDescent="0.25">
      <c r="A7003" s="100">
        <v>45976</v>
      </c>
      <c r="B7003" t="str">
        <f t="shared" ref="B7003:B7007" si="524">TEXT(A7003, "mmmm")</f>
        <v>November</v>
      </c>
      <c r="C7003" s="46" t="s">
        <v>280</v>
      </c>
      <c r="F7003" s="366" t="s">
        <v>3523</v>
      </c>
      <c r="G7003" s="46" t="s">
        <v>83</v>
      </c>
      <c r="H7003" s="46">
        <v>3</v>
      </c>
      <c r="I7003" s="51">
        <v>8858.76</v>
      </c>
      <c r="J7003" s="281">
        <f>++Tabla4[[#This Row],[Precio Bruto]]*1.16</f>
        <v>10276.161599999999</v>
      </c>
      <c r="K7003" s="281">
        <f>+Tabla4[[#This Row],[Precio Unitario Neto]]*Tabla4[[#Headers],[20.85%]]</f>
        <v>2142.5796935999997</v>
      </c>
      <c r="L7003" s="282">
        <f>++Tabla4[[#This Row],[Precio Unitario Neto]]-Tabla4[[#This Row],[20.85%]]</f>
        <v>8133.5819063999998</v>
      </c>
      <c r="M7003" s="282" t="e">
        <f>(INDEX(Tabla6[#All],MATCH(Tabla4[[#This Row],[Producto]],Tabla6[[#All],[PRODUCTO]],0),MATCH(Tabla4[[#This Row],[Mes]],Tabla6[#Headers],0)))*(1+Catalogos!$L$2)</f>
        <v>#N/A</v>
      </c>
      <c r="N7003" s="283" t="e">
        <f>+(Tabla4[[#This Row],[Precio Descontado]]-Tabla4[[#This Row],[Precio Base]])*Tabla4[[#This Row],[Cantidad]]</f>
        <v>#N/A</v>
      </c>
      <c r="O7003" s="284" t="e">
        <f>++Tabla4[[#This Row],[Utilidad Total]]/Tabla4[[#This Row],[Total]]</f>
        <v>#N/A</v>
      </c>
      <c r="P7003" s="282">
        <f>++Tabla4[[#This Row],[Precio Descontado]]*Tabla4[[#This Row],[Cantidad]]</f>
        <v>24400.7457192</v>
      </c>
      <c r="Q7003" s="282" t="e">
        <f>(INDEX(Tabla6[#All],MATCH(Tabla4[[#This Row],[Producto]],Tabla6[[#All],[PRODUCTO]],0),MATCH(Tabla4[[#This Row],[Mes]],Tabla6[#Headers],0)))</f>
        <v>#N/A</v>
      </c>
      <c r="R7003" s="282" t="e">
        <f>++Tabla4[[#This Row],[Precio Unitario Neto]]-Tabla4[[#This Row],[20.85%]]-Tabla4[[#This Row],[Costo]]</f>
        <v>#N/A</v>
      </c>
      <c r="S7003" s="282" t="e">
        <f>++Tabla4[[#This Row],[U. Bruta Uni]]*Tabla4[[#This Row],[Cantidad]]</f>
        <v>#N/A</v>
      </c>
      <c r="T7003" s="369" t="str">
        <f>VLOOKUP(Tabla4[[#This Row],[Producto]],Tabla6[#All],14,FALSE)</f>
        <v>Termico Solar</v>
      </c>
      <c r="U7003" s="284" t="e">
        <f>(IF(Tabla4[[#This Row],[Familia]]="termico solar",Tabla4[[#This Row],[Utilidad Total]]*6%,Tabla4[[#This Row],[Utilidad Total]]*11.5%))/Tabla4[[#This Row],[Total]]</f>
        <v>#N/A</v>
      </c>
      <c r="V7003" s="282" t="e">
        <f>+Tabla4[[#This Row],[Comisión Calculada]]*Tabla4[[#This Row],[Total]]</f>
        <v>#N/A</v>
      </c>
    </row>
    <row r="7004" spans="1:22" hidden="1" x14ac:dyDescent="0.25">
      <c r="A7004" s="100">
        <v>45976</v>
      </c>
      <c r="B7004" t="str">
        <f t="shared" si="524"/>
        <v>November</v>
      </c>
      <c r="C7004" s="46" t="s">
        <v>280</v>
      </c>
      <c r="F7004" s="366" t="s">
        <v>3523</v>
      </c>
      <c r="G7004" s="46" t="s">
        <v>18</v>
      </c>
      <c r="H7004" s="46">
        <v>1</v>
      </c>
      <c r="I7004" s="51">
        <v>5367.65</v>
      </c>
      <c r="J7004" s="281">
        <f>++Tabla4[[#This Row],[Precio Bruto]]*1.16</f>
        <v>6226.4739999999993</v>
      </c>
      <c r="K7004" s="281">
        <f>+Tabla4[[#This Row],[Precio Unitario Neto]]*Tabla4[[#Headers],[20.85%]]</f>
        <v>1298.2198289999999</v>
      </c>
      <c r="L7004" s="282">
        <f>++Tabla4[[#This Row],[Precio Unitario Neto]]-Tabla4[[#This Row],[20.85%]]</f>
        <v>4928.2541709999996</v>
      </c>
      <c r="M7004" s="282" t="e">
        <f>(INDEX(Tabla6[#All],MATCH(Tabla4[[#This Row],[Producto]],Tabla6[[#All],[PRODUCTO]],0),MATCH(Tabla4[[#This Row],[Mes]],Tabla6[#Headers],0)))*(1+Catalogos!$L$2)</f>
        <v>#N/A</v>
      </c>
      <c r="N7004" s="283" t="e">
        <f>+(Tabla4[[#This Row],[Precio Descontado]]-Tabla4[[#This Row],[Precio Base]])*Tabla4[[#This Row],[Cantidad]]</f>
        <v>#N/A</v>
      </c>
      <c r="O7004" s="284" t="e">
        <f>++Tabla4[[#This Row],[Utilidad Total]]/Tabla4[[#This Row],[Total]]</f>
        <v>#N/A</v>
      </c>
      <c r="P7004" s="282">
        <f>++Tabla4[[#This Row],[Precio Descontado]]*Tabla4[[#This Row],[Cantidad]]</f>
        <v>4928.2541709999996</v>
      </c>
      <c r="Q7004" s="282" t="e">
        <f>(INDEX(Tabla6[#All],MATCH(Tabla4[[#This Row],[Producto]],Tabla6[[#All],[PRODUCTO]],0),MATCH(Tabla4[[#This Row],[Mes]],Tabla6[#Headers],0)))</f>
        <v>#N/A</v>
      </c>
      <c r="R7004" s="282" t="e">
        <f>++Tabla4[[#This Row],[Precio Unitario Neto]]-Tabla4[[#This Row],[20.85%]]-Tabla4[[#This Row],[Costo]]</f>
        <v>#N/A</v>
      </c>
      <c r="S7004" s="282" t="e">
        <f>++Tabla4[[#This Row],[U. Bruta Uni]]*Tabla4[[#This Row],[Cantidad]]</f>
        <v>#N/A</v>
      </c>
      <c r="T7004" s="369" t="str">
        <f>VLOOKUP(Tabla4[[#This Row],[Producto]],Tabla6[#All],14,FALSE)</f>
        <v>Termico Solar</v>
      </c>
      <c r="U7004" s="284" t="e">
        <f>(IF(Tabla4[[#This Row],[Familia]]="termico solar",Tabla4[[#This Row],[Utilidad Total]]*6%,Tabla4[[#This Row],[Utilidad Total]]*11.5%))/Tabla4[[#This Row],[Total]]</f>
        <v>#N/A</v>
      </c>
      <c r="V7004" s="282" t="e">
        <f>+Tabla4[[#This Row],[Comisión Calculada]]*Tabla4[[#This Row],[Total]]</f>
        <v>#N/A</v>
      </c>
    </row>
    <row r="7005" spans="1:22" hidden="1" x14ac:dyDescent="0.25">
      <c r="A7005" s="100">
        <v>45976</v>
      </c>
      <c r="B7005" t="str">
        <f t="shared" si="524"/>
        <v>November</v>
      </c>
      <c r="C7005" s="46" t="s">
        <v>280</v>
      </c>
      <c r="F7005" s="366" t="s">
        <v>3523</v>
      </c>
      <c r="G7005" s="46" t="s">
        <v>19</v>
      </c>
      <c r="H7005" s="46">
        <v>1</v>
      </c>
      <c r="I7005" s="51">
        <v>6412.03</v>
      </c>
      <c r="J7005" s="281">
        <f>++Tabla4[[#This Row],[Precio Bruto]]*1.16</f>
        <v>7437.9547999999995</v>
      </c>
      <c r="K7005" s="281">
        <f>+Tabla4[[#This Row],[Precio Unitario Neto]]*Tabla4[[#Headers],[20.85%]]</f>
        <v>1550.8135757999999</v>
      </c>
      <c r="L7005" s="282">
        <f>++Tabla4[[#This Row],[Precio Unitario Neto]]-Tabla4[[#This Row],[20.85%]]</f>
        <v>5887.1412241999997</v>
      </c>
      <c r="M7005" s="282" t="e">
        <f>(INDEX(Tabla6[#All],MATCH(Tabla4[[#This Row],[Producto]],Tabla6[[#All],[PRODUCTO]],0),MATCH(Tabla4[[#This Row],[Mes]],Tabla6[#Headers],0)))*(1+Catalogos!$L$2)</f>
        <v>#N/A</v>
      </c>
      <c r="N7005" s="283" t="e">
        <f>+(Tabla4[[#This Row],[Precio Descontado]]-Tabla4[[#This Row],[Precio Base]])*Tabla4[[#This Row],[Cantidad]]</f>
        <v>#N/A</v>
      </c>
      <c r="O7005" s="284" t="e">
        <f>++Tabla4[[#This Row],[Utilidad Total]]/Tabla4[[#This Row],[Total]]</f>
        <v>#N/A</v>
      </c>
      <c r="P7005" s="282">
        <f>++Tabla4[[#This Row],[Precio Descontado]]*Tabla4[[#This Row],[Cantidad]]</f>
        <v>5887.1412241999997</v>
      </c>
      <c r="Q7005" s="282" t="e">
        <f>(INDEX(Tabla6[#All],MATCH(Tabla4[[#This Row],[Producto]],Tabla6[[#All],[PRODUCTO]],0),MATCH(Tabla4[[#This Row],[Mes]],Tabla6[#Headers],0)))</f>
        <v>#N/A</v>
      </c>
      <c r="R7005" s="282" t="e">
        <f>++Tabla4[[#This Row],[Precio Unitario Neto]]-Tabla4[[#This Row],[20.85%]]-Tabla4[[#This Row],[Costo]]</f>
        <v>#N/A</v>
      </c>
      <c r="S7005" s="282" t="e">
        <f>++Tabla4[[#This Row],[U. Bruta Uni]]*Tabla4[[#This Row],[Cantidad]]</f>
        <v>#N/A</v>
      </c>
      <c r="T7005" s="369" t="str">
        <f>VLOOKUP(Tabla4[[#This Row],[Producto]],Tabla6[#All],14,FALSE)</f>
        <v>Termico Solar</v>
      </c>
      <c r="U7005" s="284" t="e">
        <f>(IF(Tabla4[[#This Row],[Familia]]="termico solar",Tabla4[[#This Row],[Utilidad Total]]*6%,Tabla4[[#This Row],[Utilidad Total]]*11.5%))/Tabla4[[#This Row],[Total]]</f>
        <v>#N/A</v>
      </c>
      <c r="V7005" s="282" t="e">
        <f>+Tabla4[[#This Row],[Comisión Calculada]]*Tabla4[[#This Row],[Total]]</f>
        <v>#N/A</v>
      </c>
    </row>
    <row r="7006" spans="1:22" hidden="1" x14ac:dyDescent="0.25">
      <c r="A7006" s="100">
        <v>45976</v>
      </c>
      <c r="B7006" t="str">
        <f t="shared" si="524"/>
        <v>November</v>
      </c>
      <c r="C7006" s="46" t="s">
        <v>280</v>
      </c>
      <c r="F7006" s="366" t="s">
        <v>3523</v>
      </c>
      <c r="G7006" s="46" t="s">
        <v>16</v>
      </c>
      <c r="H7006" s="46">
        <v>3</v>
      </c>
      <c r="I7006" s="51">
        <v>4103.8499999999995</v>
      </c>
      <c r="J7006" s="281">
        <f>++Tabla4[[#This Row],[Precio Bruto]]*1.16</f>
        <v>4760.4659999999994</v>
      </c>
      <c r="K7006" s="281">
        <f>+Tabla4[[#This Row],[Precio Unitario Neto]]*Tabla4[[#Headers],[20.85%]]</f>
        <v>992.55716099999984</v>
      </c>
      <c r="L7006" s="282">
        <f>++Tabla4[[#This Row],[Precio Unitario Neto]]-Tabla4[[#This Row],[20.85%]]</f>
        <v>3767.9088389999997</v>
      </c>
      <c r="M7006" s="282" t="e">
        <f>(INDEX(Tabla6[#All],MATCH(Tabla4[[#This Row],[Producto]],Tabla6[[#All],[PRODUCTO]],0),MATCH(Tabla4[[#This Row],[Mes]],Tabla6[#Headers],0)))*(1+Catalogos!$L$2)</f>
        <v>#N/A</v>
      </c>
      <c r="N7006" s="283" t="e">
        <f>+(Tabla4[[#This Row],[Precio Descontado]]-Tabla4[[#This Row],[Precio Base]])*Tabla4[[#This Row],[Cantidad]]</f>
        <v>#N/A</v>
      </c>
      <c r="O7006" s="284" t="e">
        <f>++Tabla4[[#This Row],[Utilidad Total]]/Tabla4[[#This Row],[Total]]</f>
        <v>#N/A</v>
      </c>
      <c r="P7006" s="282">
        <f>++Tabla4[[#This Row],[Precio Descontado]]*Tabla4[[#This Row],[Cantidad]]</f>
        <v>11303.726516999999</v>
      </c>
      <c r="Q7006" s="282" t="e">
        <f>(INDEX(Tabla6[#All],MATCH(Tabla4[[#This Row],[Producto]],Tabla6[[#All],[PRODUCTO]],0),MATCH(Tabla4[[#This Row],[Mes]],Tabla6[#Headers],0)))</f>
        <v>#N/A</v>
      </c>
      <c r="R7006" s="282" t="e">
        <f>++Tabla4[[#This Row],[Precio Unitario Neto]]-Tabla4[[#This Row],[20.85%]]-Tabla4[[#This Row],[Costo]]</f>
        <v>#N/A</v>
      </c>
      <c r="S7006" s="282" t="e">
        <f>++Tabla4[[#This Row],[U. Bruta Uni]]*Tabla4[[#This Row],[Cantidad]]</f>
        <v>#N/A</v>
      </c>
      <c r="T7006" s="369" t="str">
        <f>VLOOKUP(Tabla4[[#This Row],[Producto]],Tabla6[#All],14,FALSE)</f>
        <v>Termico Solar</v>
      </c>
      <c r="U7006" s="284" t="e">
        <f>(IF(Tabla4[[#This Row],[Familia]]="termico solar",Tabla4[[#This Row],[Utilidad Total]]*6%,Tabla4[[#This Row],[Utilidad Total]]*11.5%))/Tabla4[[#This Row],[Total]]</f>
        <v>#N/A</v>
      </c>
      <c r="V7006" s="282" t="e">
        <f>+Tabla4[[#This Row],[Comisión Calculada]]*Tabla4[[#This Row],[Total]]</f>
        <v>#N/A</v>
      </c>
    </row>
    <row r="7007" spans="1:22" hidden="1" x14ac:dyDescent="0.25">
      <c r="A7007" s="100">
        <v>45976</v>
      </c>
      <c r="B7007" t="str">
        <f t="shared" si="524"/>
        <v>November</v>
      </c>
      <c r="C7007" s="46" t="s">
        <v>280</v>
      </c>
      <c r="F7007" s="366" t="s">
        <v>3523</v>
      </c>
      <c r="G7007" s="46" t="s">
        <v>208</v>
      </c>
      <c r="H7007" s="46">
        <v>1</v>
      </c>
      <c r="I7007" s="51">
        <v>189.75</v>
      </c>
      <c r="J7007" s="281">
        <f>++Tabla4[[#This Row],[Precio Bruto]]*1.16</f>
        <v>220.10999999999999</v>
      </c>
      <c r="K7007" s="281">
        <f>+Tabla4[[#This Row],[Precio Unitario Neto]]*Tabla4[[#Headers],[20.85%]]</f>
        <v>45.892934999999994</v>
      </c>
      <c r="L7007" s="282">
        <f>++Tabla4[[#This Row],[Precio Unitario Neto]]-Tabla4[[#This Row],[20.85%]]</f>
        <v>174.21706499999999</v>
      </c>
      <c r="M7007" s="282" t="e">
        <f>(INDEX(Tabla6[#All],MATCH(Tabla4[[#This Row],[Producto]],Tabla6[[#All],[PRODUCTO]],0),MATCH(Tabla4[[#This Row],[Mes]],Tabla6[#Headers],0)))*(1+Catalogos!$L$2)</f>
        <v>#N/A</v>
      </c>
      <c r="N7007" s="283" t="e">
        <f>+(Tabla4[[#This Row],[Precio Descontado]]-Tabla4[[#This Row],[Precio Base]])*Tabla4[[#This Row],[Cantidad]]</f>
        <v>#N/A</v>
      </c>
      <c r="O7007" s="284" t="e">
        <f>++Tabla4[[#This Row],[Utilidad Total]]/Tabla4[[#This Row],[Total]]</f>
        <v>#N/A</v>
      </c>
      <c r="P7007" s="282">
        <f>++Tabla4[[#This Row],[Precio Descontado]]*Tabla4[[#This Row],[Cantidad]]</f>
        <v>174.21706499999999</v>
      </c>
      <c r="Q7007" s="282" t="e">
        <f>(INDEX(Tabla6[#All],MATCH(Tabla4[[#This Row],[Producto]],Tabla6[[#All],[PRODUCTO]],0),MATCH(Tabla4[[#This Row],[Mes]],Tabla6[#Headers],0)))</f>
        <v>#N/A</v>
      </c>
      <c r="R7007" s="282" t="e">
        <f>++Tabla4[[#This Row],[Precio Unitario Neto]]-Tabla4[[#This Row],[20.85%]]-Tabla4[[#This Row],[Costo]]</f>
        <v>#N/A</v>
      </c>
      <c r="S7007" s="282" t="e">
        <f>++Tabla4[[#This Row],[U. Bruta Uni]]*Tabla4[[#This Row],[Cantidad]]</f>
        <v>#N/A</v>
      </c>
      <c r="T7007" s="369" t="str">
        <f>VLOOKUP(Tabla4[[#This Row],[Producto]],Tabla6[#All],14,FALSE)</f>
        <v>Termico Solar</v>
      </c>
      <c r="U7007" s="284" t="e">
        <f>(IF(Tabla4[[#This Row],[Familia]]="termico solar",Tabla4[[#This Row],[Utilidad Total]]*6%,Tabla4[[#This Row],[Utilidad Total]]*11.5%))/Tabla4[[#This Row],[Total]]</f>
        <v>#N/A</v>
      </c>
      <c r="V7007" s="282" t="e">
        <f>+Tabla4[[#This Row],[Comisión Calculada]]*Tabla4[[#This Row],[Total]]</f>
        <v>#N/A</v>
      </c>
    </row>
    <row r="7008" spans="1:22" hidden="1" x14ac:dyDescent="0.25">
      <c r="A7008" s="100">
        <v>45976</v>
      </c>
      <c r="B7008" t="str">
        <f>TEXT(A7008, "mmmm")</f>
        <v>November</v>
      </c>
      <c r="C7008" s="46" t="s">
        <v>280</v>
      </c>
      <c r="F7008" s="366" t="s">
        <v>3524</v>
      </c>
      <c r="G7008" s="46" t="s">
        <v>208</v>
      </c>
      <c r="H7008" s="46">
        <v>2</v>
      </c>
      <c r="I7008" s="51">
        <v>189.75</v>
      </c>
      <c r="J7008" s="281">
        <f>++Tabla4[[#This Row],[Precio Bruto]]*1.16</f>
        <v>220.10999999999999</v>
      </c>
      <c r="K7008" s="281">
        <f>+Tabla4[[#This Row],[Precio Unitario Neto]]*Tabla4[[#Headers],[20.85%]]</f>
        <v>45.892934999999994</v>
      </c>
      <c r="L7008" s="282">
        <f>++Tabla4[[#This Row],[Precio Unitario Neto]]-Tabla4[[#This Row],[20.85%]]</f>
        <v>174.21706499999999</v>
      </c>
      <c r="M7008" s="282" t="e">
        <f>(INDEX(Tabla6[#All],MATCH(Tabla4[[#This Row],[Producto]],Tabla6[[#All],[PRODUCTO]],0),MATCH(Tabla4[[#This Row],[Mes]],Tabla6[#Headers],0)))*(1+Catalogos!$L$2)</f>
        <v>#N/A</v>
      </c>
      <c r="N7008" s="283" t="e">
        <f>+(Tabla4[[#This Row],[Precio Descontado]]-Tabla4[[#This Row],[Precio Base]])*Tabla4[[#This Row],[Cantidad]]</f>
        <v>#N/A</v>
      </c>
      <c r="O7008" s="284" t="e">
        <f>++Tabla4[[#This Row],[Utilidad Total]]/Tabla4[[#This Row],[Total]]</f>
        <v>#N/A</v>
      </c>
      <c r="P7008" s="282">
        <f>++Tabla4[[#This Row],[Precio Descontado]]*Tabla4[[#This Row],[Cantidad]]</f>
        <v>348.43412999999998</v>
      </c>
      <c r="Q7008" s="282" t="e">
        <f>(INDEX(Tabla6[#All],MATCH(Tabla4[[#This Row],[Producto]],Tabla6[[#All],[PRODUCTO]],0),MATCH(Tabla4[[#This Row],[Mes]],Tabla6[#Headers],0)))</f>
        <v>#N/A</v>
      </c>
      <c r="R7008" s="282" t="e">
        <f>++Tabla4[[#This Row],[Precio Unitario Neto]]-Tabla4[[#This Row],[20.85%]]-Tabla4[[#This Row],[Costo]]</f>
        <v>#N/A</v>
      </c>
      <c r="S7008" s="282" t="e">
        <f>++Tabla4[[#This Row],[U. Bruta Uni]]*Tabla4[[#This Row],[Cantidad]]</f>
        <v>#N/A</v>
      </c>
      <c r="T7008" s="369" t="str">
        <f>VLOOKUP(Tabla4[[#This Row],[Producto]],Tabla6[#All],14,FALSE)</f>
        <v>Termico Solar</v>
      </c>
      <c r="U7008" s="284" t="e">
        <f>(IF(Tabla4[[#This Row],[Familia]]="termico solar",Tabla4[[#This Row],[Utilidad Total]]*6%,Tabla4[[#This Row],[Utilidad Total]]*11.5%))/Tabla4[[#This Row],[Total]]</f>
        <v>#N/A</v>
      </c>
      <c r="V7008" s="282" t="e">
        <f>+Tabla4[[#This Row],[Comisión Calculada]]*Tabla4[[#This Row],[Total]]</f>
        <v>#N/A</v>
      </c>
    </row>
    <row r="7009" spans="1:22" hidden="1" x14ac:dyDescent="0.25">
      <c r="A7009" s="100">
        <v>45976</v>
      </c>
      <c r="B7009" t="str">
        <f t="shared" ref="B7009:B7010" si="525">TEXT(A7009, "mmmm")</f>
        <v>November</v>
      </c>
      <c r="C7009" s="46" t="s">
        <v>280</v>
      </c>
      <c r="F7009" s="366" t="s">
        <v>3525</v>
      </c>
      <c r="G7009" s="46" t="s">
        <v>17</v>
      </c>
      <c r="H7009" s="46">
        <v>2</v>
      </c>
      <c r="I7009" s="51">
        <v>4622.28</v>
      </c>
      <c r="J7009" s="281">
        <f>++Tabla4[[#This Row],[Precio Bruto]]*1.16</f>
        <v>5361.8447999999989</v>
      </c>
      <c r="K7009" s="281">
        <f>+Tabla4[[#This Row],[Precio Unitario Neto]]*Tabla4[[#Headers],[20.85%]]</f>
        <v>1117.9446407999997</v>
      </c>
      <c r="L7009" s="282">
        <f>++Tabla4[[#This Row],[Precio Unitario Neto]]-Tabla4[[#This Row],[20.85%]]</f>
        <v>4243.9001591999995</v>
      </c>
      <c r="M7009" s="282" t="e">
        <f>(INDEX(Tabla6[#All],MATCH(Tabla4[[#This Row],[Producto]],Tabla6[[#All],[PRODUCTO]],0),MATCH(Tabla4[[#This Row],[Mes]],Tabla6[#Headers],0)))*(1+Catalogos!$L$2)</f>
        <v>#N/A</v>
      </c>
      <c r="N7009" s="283" t="e">
        <f>+(Tabla4[[#This Row],[Precio Descontado]]-Tabla4[[#This Row],[Precio Base]])*Tabla4[[#This Row],[Cantidad]]</f>
        <v>#N/A</v>
      </c>
      <c r="O7009" s="284" t="e">
        <f>++Tabla4[[#This Row],[Utilidad Total]]/Tabla4[[#This Row],[Total]]</f>
        <v>#N/A</v>
      </c>
      <c r="P7009" s="282">
        <f>++Tabla4[[#This Row],[Precio Descontado]]*Tabla4[[#This Row],[Cantidad]]</f>
        <v>8487.800318399999</v>
      </c>
      <c r="Q7009" s="282" t="e">
        <f>(INDEX(Tabla6[#All],MATCH(Tabla4[[#This Row],[Producto]],Tabla6[[#All],[PRODUCTO]],0),MATCH(Tabla4[[#This Row],[Mes]],Tabla6[#Headers],0)))</f>
        <v>#N/A</v>
      </c>
      <c r="R7009" s="282" t="e">
        <f>++Tabla4[[#This Row],[Precio Unitario Neto]]-Tabla4[[#This Row],[20.85%]]-Tabla4[[#This Row],[Costo]]</f>
        <v>#N/A</v>
      </c>
      <c r="S7009" s="282" t="e">
        <f>++Tabla4[[#This Row],[U. Bruta Uni]]*Tabla4[[#This Row],[Cantidad]]</f>
        <v>#N/A</v>
      </c>
      <c r="T7009" s="369" t="str">
        <f>VLOOKUP(Tabla4[[#This Row],[Producto]],Tabla6[#All],14,FALSE)</f>
        <v>Termico Solar</v>
      </c>
      <c r="U7009" s="284" t="e">
        <f>(IF(Tabla4[[#This Row],[Familia]]="termico solar",Tabla4[[#This Row],[Utilidad Total]]*6%,Tabla4[[#This Row],[Utilidad Total]]*11.5%))/Tabla4[[#This Row],[Total]]</f>
        <v>#N/A</v>
      </c>
      <c r="V7009" s="282" t="e">
        <f>+Tabla4[[#This Row],[Comisión Calculada]]*Tabla4[[#This Row],[Total]]</f>
        <v>#N/A</v>
      </c>
    </row>
    <row r="7010" spans="1:22" hidden="1" x14ac:dyDescent="0.25">
      <c r="A7010" s="100">
        <v>45976</v>
      </c>
      <c r="B7010" t="str">
        <f t="shared" si="525"/>
        <v>November</v>
      </c>
      <c r="C7010" s="46" t="s">
        <v>280</v>
      </c>
      <c r="F7010" s="366" t="s">
        <v>3525</v>
      </c>
      <c r="G7010" s="46" t="s">
        <v>16</v>
      </c>
      <c r="H7010" s="46">
        <v>1</v>
      </c>
      <c r="I7010" s="51">
        <v>4103.8500000000004</v>
      </c>
      <c r="J7010" s="281">
        <f>++Tabla4[[#This Row],[Precio Bruto]]*1.16</f>
        <v>4760.4660000000003</v>
      </c>
      <c r="K7010" s="281">
        <f>+Tabla4[[#This Row],[Precio Unitario Neto]]*Tabla4[[#Headers],[20.85%]]</f>
        <v>992.55716100000006</v>
      </c>
      <c r="L7010" s="282">
        <f>++Tabla4[[#This Row],[Precio Unitario Neto]]-Tabla4[[#This Row],[20.85%]]</f>
        <v>3767.9088390000002</v>
      </c>
      <c r="M7010" s="282" t="e">
        <f>(INDEX(Tabla6[#All],MATCH(Tabla4[[#This Row],[Producto]],Tabla6[[#All],[PRODUCTO]],0),MATCH(Tabla4[[#This Row],[Mes]],Tabla6[#Headers],0)))*(1+Catalogos!$L$2)</f>
        <v>#N/A</v>
      </c>
      <c r="N7010" s="283" t="e">
        <f>+(Tabla4[[#This Row],[Precio Descontado]]-Tabla4[[#This Row],[Precio Base]])*Tabla4[[#This Row],[Cantidad]]</f>
        <v>#N/A</v>
      </c>
      <c r="O7010" s="284" t="e">
        <f>++Tabla4[[#This Row],[Utilidad Total]]/Tabla4[[#This Row],[Total]]</f>
        <v>#N/A</v>
      </c>
      <c r="P7010" s="282">
        <f>++Tabla4[[#This Row],[Precio Descontado]]*Tabla4[[#This Row],[Cantidad]]</f>
        <v>3767.9088390000002</v>
      </c>
      <c r="Q7010" s="282" t="e">
        <f>(INDEX(Tabla6[#All],MATCH(Tabla4[[#This Row],[Producto]],Tabla6[[#All],[PRODUCTO]],0),MATCH(Tabla4[[#This Row],[Mes]],Tabla6[#Headers],0)))</f>
        <v>#N/A</v>
      </c>
      <c r="R7010" s="282" t="e">
        <f>++Tabla4[[#This Row],[Precio Unitario Neto]]-Tabla4[[#This Row],[20.85%]]-Tabla4[[#This Row],[Costo]]</f>
        <v>#N/A</v>
      </c>
      <c r="S7010" s="282" t="e">
        <f>++Tabla4[[#This Row],[U. Bruta Uni]]*Tabla4[[#This Row],[Cantidad]]</f>
        <v>#N/A</v>
      </c>
      <c r="T7010" s="369" t="str">
        <f>VLOOKUP(Tabla4[[#This Row],[Producto]],Tabla6[#All],14,FALSE)</f>
        <v>Termico Solar</v>
      </c>
      <c r="U7010" s="284" t="e">
        <f>(IF(Tabla4[[#This Row],[Familia]]="termico solar",Tabla4[[#This Row],[Utilidad Total]]*6%,Tabla4[[#This Row],[Utilidad Total]]*11.5%))/Tabla4[[#This Row],[Total]]</f>
        <v>#N/A</v>
      </c>
      <c r="V7010" s="282" t="e">
        <f>+Tabla4[[#This Row],[Comisión Calculada]]*Tabla4[[#This Row],[Total]]</f>
        <v>#N/A</v>
      </c>
    </row>
    <row r="7011" spans="1:22" hidden="1" x14ac:dyDescent="0.25">
      <c r="A7011" s="100">
        <v>45976</v>
      </c>
      <c r="B7011" t="str">
        <f t="shared" ref="B7011:B7013" si="526">TEXT(A7011, "mmmm")</f>
        <v>November</v>
      </c>
      <c r="C7011" s="46" t="s">
        <v>280</v>
      </c>
      <c r="F7011" s="366" t="s">
        <v>3526</v>
      </c>
      <c r="G7011" s="46" t="s">
        <v>18</v>
      </c>
      <c r="H7011" s="46">
        <v>2</v>
      </c>
      <c r="I7011" s="51">
        <v>5367.65</v>
      </c>
      <c r="J7011" s="281">
        <f>++Tabla4[[#This Row],[Precio Bruto]]*1.16</f>
        <v>6226.4739999999993</v>
      </c>
      <c r="K7011" s="281">
        <f>+Tabla4[[#This Row],[Precio Unitario Neto]]*Tabla4[[#Headers],[20.85%]]</f>
        <v>1298.2198289999999</v>
      </c>
      <c r="L7011" s="282">
        <f>++Tabla4[[#This Row],[Precio Unitario Neto]]-Tabla4[[#This Row],[20.85%]]</f>
        <v>4928.2541709999996</v>
      </c>
      <c r="M7011" s="282" t="e">
        <f>(INDEX(Tabla6[#All],MATCH(Tabla4[[#This Row],[Producto]],Tabla6[[#All],[PRODUCTO]],0),MATCH(Tabla4[[#This Row],[Mes]],Tabla6[#Headers],0)))*(1+Catalogos!$L$2)</f>
        <v>#N/A</v>
      </c>
      <c r="N7011" s="283" t="e">
        <f>+(Tabla4[[#This Row],[Precio Descontado]]-Tabla4[[#This Row],[Precio Base]])*Tabla4[[#This Row],[Cantidad]]</f>
        <v>#N/A</v>
      </c>
      <c r="O7011" s="284" t="e">
        <f>++Tabla4[[#This Row],[Utilidad Total]]/Tabla4[[#This Row],[Total]]</f>
        <v>#N/A</v>
      </c>
      <c r="P7011" s="282">
        <f>++Tabla4[[#This Row],[Precio Descontado]]*Tabla4[[#This Row],[Cantidad]]</f>
        <v>9856.5083419999992</v>
      </c>
      <c r="Q7011" s="282" t="e">
        <f>(INDEX(Tabla6[#All],MATCH(Tabla4[[#This Row],[Producto]],Tabla6[[#All],[PRODUCTO]],0),MATCH(Tabla4[[#This Row],[Mes]],Tabla6[#Headers],0)))</f>
        <v>#N/A</v>
      </c>
      <c r="R7011" s="282" t="e">
        <f>++Tabla4[[#This Row],[Precio Unitario Neto]]-Tabla4[[#This Row],[20.85%]]-Tabla4[[#This Row],[Costo]]</f>
        <v>#N/A</v>
      </c>
      <c r="S7011" s="282" t="e">
        <f>++Tabla4[[#This Row],[U. Bruta Uni]]*Tabla4[[#This Row],[Cantidad]]</f>
        <v>#N/A</v>
      </c>
      <c r="T7011" s="369" t="str">
        <f>VLOOKUP(Tabla4[[#This Row],[Producto]],Tabla6[#All],14,FALSE)</f>
        <v>Termico Solar</v>
      </c>
      <c r="U7011" s="284" t="e">
        <f>(IF(Tabla4[[#This Row],[Familia]]="termico solar",Tabla4[[#This Row],[Utilidad Total]]*6%,Tabla4[[#This Row],[Utilidad Total]]*11.5%))/Tabla4[[#This Row],[Total]]</f>
        <v>#N/A</v>
      </c>
      <c r="V7011" s="282" t="e">
        <f>+Tabla4[[#This Row],[Comisión Calculada]]*Tabla4[[#This Row],[Total]]</f>
        <v>#N/A</v>
      </c>
    </row>
    <row r="7012" spans="1:22" hidden="1" x14ac:dyDescent="0.25">
      <c r="A7012" s="100">
        <v>45976</v>
      </c>
      <c r="B7012" t="str">
        <f t="shared" si="526"/>
        <v>November</v>
      </c>
      <c r="C7012" s="46" t="s">
        <v>280</v>
      </c>
      <c r="F7012" s="366" t="s">
        <v>3526</v>
      </c>
      <c r="G7012" s="46" t="s">
        <v>19</v>
      </c>
      <c r="H7012" s="46">
        <v>2</v>
      </c>
      <c r="I7012" s="51">
        <v>6412.03</v>
      </c>
      <c r="J7012" s="281">
        <f>++Tabla4[[#This Row],[Precio Bruto]]*1.16</f>
        <v>7437.9547999999995</v>
      </c>
      <c r="K7012" s="281">
        <f>+Tabla4[[#This Row],[Precio Unitario Neto]]*Tabla4[[#Headers],[20.85%]]</f>
        <v>1550.8135757999999</v>
      </c>
      <c r="L7012" s="282">
        <f>++Tabla4[[#This Row],[Precio Unitario Neto]]-Tabla4[[#This Row],[20.85%]]</f>
        <v>5887.1412241999997</v>
      </c>
      <c r="M7012" s="282" t="e">
        <f>(INDEX(Tabla6[#All],MATCH(Tabla4[[#This Row],[Producto]],Tabla6[[#All],[PRODUCTO]],0),MATCH(Tabla4[[#This Row],[Mes]],Tabla6[#Headers],0)))*(1+Catalogos!$L$2)</f>
        <v>#N/A</v>
      </c>
      <c r="N7012" s="283" t="e">
        <f>+(Tabla4[[#This Row],[Precio Descontado]]-Tabla4[[#This Row],[Precio Base]])*Tabla4[[#This Row],[Cantidad]]</f>
        <v>#N/A</v>
      </c>
      <c r="O7012" s="284" t="e">
        <f>++Tabla4[[#This Row],[Utilidad Total]]/Tabla4[[#This Row],[Total]]</f>
        <v>#N/A</v>
      </c>
      <c r="P7012" s="282">
        <f>++Tabla4[[#This Row],[Precio Descontado]]*Tabla4[[#This Row],[Cantidad]]</f>
        <v>11774.282448399999</v>
      </c>
      <c r="Q7012" s="282" t="e">
        <f>(INDEX(Tabla6[#All],MATCH(Tabla4[[#This Row],[Producto]],Tabla6[[#All],[PRODUCTO]],0),MATCH(Tabla4[[#This Row],[Mes]],Tabla6[#Headers],0)))</f>
        <v>#N/A</v>
      </c>
      <c r="R7012" s="282" t="e">
        <f>++Tabla4[[#This Row],[Precio Unitario Neto]]-Tabla4[[#This Row],[20.85%]]-Tabla4[[#This Row],[Costo]]</f>
        <v>#N/A</v>
      </c>
      <c r="S7012" s="282" t="e">
        <f>++Tabla4[[#This Row],[U. Bruta Uni]]*Tabla4[[#This Row],[Cantidad]]</f>
        <v>#N/A</v>
      </c>
      <c r="T7012" s="369" t="str">
        <f>VLOOKUP(Tabla4[[#This Row],[Producto]],Tabla6[#All],14,FALSE)</f>
        <v>Termico Solar</v>
      </c>
      <c r="U7012" s="284" t="e">
        <f>(IF(Tabla4[[#This Row],[Familia]]="termico solar",Tabla4[[#This Row],[Utilidad Total]]*6%,Tabla4[[#This Row],[Utilidad Total]]*11.5%))/Tabla4[[#This Row],[Total]]</f>
        <v>#N/A</v>
      </c>
      <c r="V7012" s="282" t="e">
        <f>+Tabla4[[#This Row],[Comisión Calculada]]*Tabla4[[#This Row],[Total]]</f>
        <v>#N/A</v>
      </c>
    </row>
    <row r="7013" spans="1:22" hidden="1" x14ac:dyDescent="0.25">
      <c r="A7013" s="100">
        <v>45976</v>
      </c>
      <c r="B7013" t="str">
        <f t="shared" si="526"/>
        <v>November</v>
      </c>
      <c r="C7013" s="46" t="s">
        <v>280</v>
      </c>
      <c r="F7013" s="366" t="s">
        <v>3526</v>
      </c>
      <c r="G7013" s="46" t="s">
        <v>16</v>
      </c>
      <c r="H7013" s="46">
        <v>4</v>
      </c>
      <c r="I7013" s="51">
        <v>4103.8500000000004</v>
      </c>
      <c r="J7013" s="281">
        <f>++Tabla4[[#This Row],[Precio Bruto]]*1.16</f>
        <v>4760.4660000000003</v>
      </c>
      <c r="K7013" s="281">
        <f>+Tabla4[[#This Row],[Precio Unitario Neto]]*Tabla4[[#Headers],[20.85%]]</f>
        <v>992.55716100000006</v>
      </c>
      <c r="L7013" s="282">
        <f>++Tabla4[[#This Row],[Precio Unitario Neto]]-Tabla4[[#This Row],[20.85%]]</f>
        <v>3767.9088390000002</v>
      </c>
      <c r="M7013" s="282" t="e">
        <f>(INDEX(Tabla6[#All],MATCH(Tabla4[[#This Row],[Producto]],Tabla6[[#All],[PRODUCTO]],0),MATCH(Tabla4[[#This Row],[Mes]],Tabla6[#Headers],0)))*(1+Catalogos!$L$2)</f>
        <v>#N/A</v>
      </c>
      <c r="N7013" s="283" t="e">
        <f>+(Tabla4[[#This Row],[Precio Descontado]]-Tabla4[[#This Row],[Precio Base]])*Tabla4[[#This Row],[Cantidad]]</f>
        <v>#N/A</v>
      </c>
      <c r="O7013" s="284" t="e">
        <f>++Tabla4[[#This Row],[Utilidad Total]]/Tabla4[[#This Row],[Total]]</f>
        <v>#N/A</v>
      </c>
      <c r="P7013" s="282">
        <f>++Tabla4[[#This Row],[Precio Descontado]]*Tabla4[[#This Row],[Cantidad]]</f>
        <v>15071.635356000001</v>
      </c>
      <c r="Q7013" s="282" t="e">
        <f>(INDEX(Tabla6[#All],MATCH(Tabla4[[#This Row],[Producto]],Tabla6[[#All],[PRODUCTO]],0),MATCH(Tabla4[[#This Row],[Mes]],Tabla6[#Headers],0)))</f>
        <v>#N/A</v>
      </c>
      <c r="R7013" s="282" t="e">
        <f>++Tabla4[[#This Row],[Precio Unitario Neto]]-Tabla4[[#This Row],[20.85%]]-Tabla4[[#This Row],[Costo]]</f>
        <v>#N/A</v>
      </c>
      <c r="S7013" s="282" t="e">
        <f>++Tabla4[[#This Row],[U. Bruta Uni]]*Tabla4[[#This Row],[Cantidad]]</f>
        <v>#N/A</v>
      </c>
      <c r="T7013" s="369" t="str">
        <f>VLOOKUP(Tabla4[[#This Row],[Producto]],Tabla6[#All],14,FALSE)</f>
        <v>Termico Solar</v>
      </c>
      <c r="U7013" s="284" t="e">
        <f>(IF(Tabla4[[#This Row],[Familia]]="termico solar",Tabla4[[#This Row],[Utilidad Total]]*6%,Tabla4[[#This Row],[Utilidad Total]]*11.5%))/Tabla4[[#This Row],[Total]]</f>
        <v>#N/A</v>
      </c>
      <c r="V7013" s="282" t="e">
        <f>+Tabla4[[#This Row],[Comisión Calculada]]*Tabla4[[#This Row],[Total]]</f>
        <v>#N/A</v>
      </c>
    </row>
    <row r="7014" spans="1:22" hidden="1" x14ac:dyDescent="0.25">
      <c r="A7014" s="100">
        <v>45976</v>
      </c>
      <c r="B7014" t="str">
        <f>TEXT(A7014, "mmmm")</f>
        <v>November</v>
      </c>
      <c r="C7014" s="46" t="s">
        <v>280</v>
      </c>
      <c r="F7014" s="366" t="s">
        <v>3527</v>
      </c>
      <c r="G7014" s="46" t="s">
        <v>18</v>
      </c>
      <c r="H7014" s="46">
        <v>1</v>
      </c>
      <c r="I7014" s="51">
        <v>5367.65</v>
      </c>
      <c r="J7014" s="281">
        <f>++Tabla4[[#This Row],[Precio Bruto]]*1.16</f>
        <v>6226.4739999999993</v>
      </c>
      <c r="K7014" s="281">
        <f>+Tabla4[[#This Row],[Precio Unitario Neto]]*Tabla4[[#Headers],[20.85%]]</f>
        <v>1298.2198289999999</v>
      </c>
      <c r="L7014" s="282">
        <f>++Tabla4[[#This Row],[Precio Unitario Neto]]-Tabla4[[#This Row],[20.85%]]</f>
        <v>4928.2541709999996</v>
      </c>
      <c r="M7014" s="282" t="e">
        <f>(INDEX(Tabla6[#All],MATCH(Tabla4[[#This Row],[Producto]],Tabla6[[#All],[PRODUCTO]],0),MATCH(Tabla4[[#This Row],[Mes]],Tabla6[#Headers],0)))*(1+Catalogos!$L$2)</f>
        <v>#N/A</v>
      </c>
      <c r="N7014" s="283" t="e">
        <f>+(Tabla4[[#This Row],[Precio Descontado]]-Tabla4[[#This Row],[Precio Base]])*Tabla4[[#This Row],[Cantidad]]</f>
        <v>#N/A</v>
      </c>
      <c r="O7014" s="284" t="e">
        <f>++Tabla4[[#This Row],[Utilidad Total]]/Tabla4[[#This Row],[Total]]</f>
        <v>#N/A</v>
      </c>
      <c r="P7014" s="282">
        <f>++Tabla4[[#This Row],[Precio Descontado]]*Tabla4[[#This Row],[Cantidad]]</f>
        <v>4928.2541709999996</v>
      </c>
      <c r="Q7014" s="282" t="e">
        <f>(INDEX(Tabla6[#All],MATCH(Tabla4[[#This Row],[Producto]],Tabla6[[#All],[PRODUCTO]],0),MATCH(Tabla4[[#This Row],[Mes]],Tabla6[#Headers],0)))</f>
        <v>#N/A</v>
      </c>
      <c r="R7014" s="282" t="e">
        <f>++Tabla4[[#This Row],[Precio Unitario Neto]]-Tabla4[[#This Row],[20.85%]]-Tabla4[[#This Row],[Costo]]</f>
        <v>#N/A</v>
      </c>
      <c r="S7014" s="282" t="e">
        <f>++Tabla4[[#This Row],[U. Bruta Uni]]*Tabla4[[#This Row],[Cantidad]]</f>
        <v>#N/A</v>
      </c>
      <c r="T7014" s="369" t="str">
        <f>VLOOKUP(Tabla4[[#This Row],[Producto]],Tabla6[#All],14,FALSE)</f>
        <v>Termico Solar</v>
      </c>
      <c r="U7014" s="284" t="e">
        <f>(IF(Tabla4[[#This Row],[Familia]]="termico solar",Tabla4[[#This Row],[Utilidad Total]]*6%,Tabla4[[#This Row],[Utilidad Total]]*11.5%))/Tabla4[[#This Row],[Total]]</f>
        <v>#N/A</v>
      </c>
      <c r="V7014" s="282" t="e">
        <f>+Tabla4[[#This Row],[Comisión Calculada]]*Tabla4[[#This Row],[Total]]</f>
        <v>#N/A</v>
      </c>
    </row>
    <row r="7015" spans="1:22" hidden="1" x14ac:dyDescent="0.25">
      <c r="A7015" s="100">
        <v>45976</v>
      </c>
      <c r="B7015" t="str">
        <f t="shared" ref="B7015:B7017" si="527">TEXT(A7015, "mmmm")</f>
        <v>November</v>
      </c>
      <c r="C7015" s="46" t="s">
        <v>280</v>
      </c>
      <c r="F7015" s="366" t="s">
        <v>3528</v>
      </c>
      <c r="G7015" s="46" t="s">
        <v>83</v>
      </c>
      <c r="H7015" s="46">
        <v>1</v>
      </c>
      <c r="I7015" s="51">
        <v>8858.76</v>
      </c>
      <c r="J7015" s="281">
        <f>++Tabla4[[#This Row],[Precio Bruto]]*1.16</f>
        <v>10276.161599999999</v>
      </c>
      <c r="K7015" s="281">
        <f>+Tabla4[[#This Row],[Precio Unitario Neto]]*Tabla4[[#Headers],[20.85%]]</f>
        <v>2142.5796935999997</v>
      </c>
      <c r="L7015" s="282">
        <f>++Tabla4[[#This Row],[Precio Unitario Neto]]-Tabla4[[#This Row],[20.85%]]</f>
        <v>8133.5819063999998</v>
      </c>
      <c r="M7015" s="282" t="e">
        <f>(INDEX(Tabla6[#All],MATCH(Tabla4[[#This Row],[Producto]],Tabla6[[#All],[PRODUCTO]],0),MATCH(Tabla4[[#This Row],[Mes]],Tabla6[#Headers],0)))*(1+Catalogos!$L$2)</f>
        <v>#N/A</v>
      </c>
      <c r="N7015" s="283" t="e">
        <f>+(Tabla4[[#This Row],[Precio Descontado]]-Tabla4[[#This Row],[Precio Base]])*Tabla4[[#This Row],[Cantidad]]</f>
        <v>#N/A</v>
      </c>
      <c r="O7015" s="284" t="e">
        <f>++Tabla4[[#This Row],[Utilidad Total]]/Tabla4[[#This Row],[Total]]</f>
        <v>#N/A</v>
      </c>
      <c r="P7015" s="282">
        <f>++Tabla4[[#This Row],[Precio Descontado]]*Tabla4[[#This Row],[Cantidad]]</f>
        <v>8133.5819063999998</v>
      </c>
      <c r="Q7015" s="282" t="e">
        <f>(INDEX(Tabla6[#All],MATCH(Tabla4[[#This Row],[Producto]],Tabla6[[#All],[PRODUCTO]],0),MATCH(Tabla4[[#This Row],[Mes]],Tabla6[#Headers],0)))</f>
        <v>#N/A</v>
      </c>
      <c r="R7015" s="282" t="e">
        <f>++Tabla4[[#This Row],[Precio Unitario Neto]]-Tabla4[[#This Row],[20.85%]]-Tabla4[[#This Row],[Costo]]</f>
        <v>#N/A</v>
      </c>
      <c r="S7015" s="282" t="e">
        <f>++Tabla4[[#This Row],[U. Bruta Uni]]*Tabla4[[#This Row],[Cantidad]]</f>
        <v>#N/A</v>
      </c>
      <c r="T7015" s="369" t="str">
        <f>VLOOKUP(Tabla4[[#This Row],[Producto]],Tabla6[#All],14,FALSE)</f>
        <v>Termico Solar</v>
      </c>
      <c r="U7015" s="284" t="e">
        <f>(IF(Tabla4[[#This Row],[Familia]]="termico solar",Tabla4[[#This Row],[Utilidad Total]]*6%,Tabla4[[#This Row],[Utilidad Total]]*11.5%))/Tabla4[[#This Row],[Total]]</f>
        <v>#N/A</v>
      </c>
      <c r="V7015" s="282" t="e">
        <f>+Tabla4[[#This Row],[Comisión Calculada]]*Tabla4[[#This Row],[Total]]</f>
        <v>#N/A</v>
      </c>
    </row>
    <row r="7016" spans="1:22" hidden="1" x14ac:dyDescent="0.25">
      <c r="A7016" s="100">
        <v>45976</v>
      </c>
      <c r="B7016" t="str">
        <f t="shared" si="527"/>
        <v>November</v>
      </c>
      <c r="C7016" s="46" t="s">
        <v>280</v>
      </c>
      <c r="F7016" s="366" t="s">
        <v>3528</v>
      </c>
      <c r="G7016" s="46" t="s">
        <v>17</v>
      </c>
      <c r="H7016" s="46">
        <v>3</v>
      </c>
      <c r="I7016" s="51">
        <v>4622.28</v>
      </c>
      <c r="J7016" s="281">
        <f>++Tabla4[[#This Row],[Precio Bruto]]*1.16</f>
        <v>5361.8447999999989</v>
      </c>
      <c r="K7016" s="281">
        <f>+Tabla4[[#This Row],[Precio Unitario Neto]]*Tabla4[[#Headers],[20.85%]]</f>
        <v>1117.9446407999997</v>
      </c>
      <c r="L7016" s="282">
        <f>++Tabla4[[#This Row],[Precio Unitario Neto]]-Tabla4[[#This Row],[20.85%]]</f>
        <v>4243.9001591999995</v>
      </c>
      <c r="M7016" s="282" t="e">
        <f>(INDEX(Tabla6[#All],MATCH(Tabla4[[#This Row],[Producto]],Tabla6[[#All],[PRODUCTO]],0),MATCH(Tabla4[[#This Row],[Mes]],Tabla6[#Headers],0)))*(1+Catalogos!$L$2)</f>
        <v>#N/A</v>
      </c>
      <c r="N7016" s="283" t="e">
        <f>+(Tabla4[[#This Row],[Precio Descontado]]-Tabla4[[#This Row],[Precio Base]])*Tabla4[[#This Row],[Cantidad]]</f>
        <v>#N/A</v>
      </c>
      <c r="O7016" s="284" t="e">
        <f>++Tabla4[[#This Row],[Utilidad Total]]/Tabla4[[#This Row],[Total]]</f>
        <v>#N/A</v>
      </c>
      <c r="P7016" s="282">
        <f>++Tabla4[[#This Row],[Precio Descontado]]*Tabla4[[#This Row],[Cantidad]]</f>
        <v>12731.700477599999</v>
      </c>
      <c r="Q7016" s="282" t="e">
        <f>(INDEX(Tabla6[#All],MATCH(Tabla4[[#This Row],[Producto]],Tabla6[[#All],[PRODUCTO]],0),MATCH(Tabla4[[#This Row],[Mes]],Tabla6[#Headers],0)))</f>
        <v>#N/A</v>
      </c>
      <c r="R7016" s="282" t="e">
        <f>++Tabla4[[#This Row],[Precio Unitario Neto]]-Tabla4[[#This Row],[20.85%]]-Tabla4[[#This Row],[Costo]]</f>
        <v>#N/A</v>
      </c>
      <c r="S7016" s="282" t="e">
        <f>++Tabla4[[#This Row],[U. Bruta Uni]]*Tabla4[[#This Row],[Cantidad]]</f>
        <v>#N/A</v>
      </c>
      <c r="T7016" s="369" t="str">
        <f>VLOOKUP(Tabla4[[#This Row],[Producto]],Tabla6[#All],14,FALSE)</f>
        <v>Termico Solar</v>
      </c>
      <c r="U7016" s="284" t="e">
        <f>(IF(Tabla4[[#This Row],[Familia]]="termico solar",Tabla4[[#This Row],[Utilidad Total]]*6%,Tabla4[[#This Row],[Utilidad Total]]*11.5%))/Tabla4[[#This Row],[Total]]</f>
        <v>#N/A</v>
      </c>
      <c r="V7016" s="282" t="e">
        <f>+Tabla4[[#This Row],[Comisión Calculada]]*Tabla4[[#This Row],[Total]]</f>
        <v>#N/A</v>
      </c>
    </row>
    <row r="7017" spans="1:22" hidden="1" x14ac:dyDescent="0.25">
      <c r="A7017" s="100">
        <v>45976</v>
      </c>
      <c r="B7017" t="str">
        <f t="shared" si="527"/>
        <v>November</v>
      </c>
      <c r="C7017" s="46" t="s">
        <v>280</v>
      </c>
      <c r="F7017" s="366" t="s">
        <v>3528</v>
      </c>
      <c r="G7017" s="46" t="s">
        <v>208</v>
      </c>
      <c r="H7017" s="46">
        <v>2</v>
      </c>
      <c r="I7017" s="51">
        <v>189.75</v>
      </c>
      <c r="J7017" s="281">
        <f>++Tabla4[[#This Row],[Precio Bruto]]*1.16</f>
        <v>220.10999999999999</v>
      </c>
      <c r="K7017" s="281">
        <f>+Tabla4[[#This Row],[Precio Unitario Neto]]*Tabla4[[#Headers],[20.85%]]</f>
        <v>45.892934999999994</v>
      </c>
      <c r="L7017" s="282">
        <f>++Tabla4[[#This Row],[Precio Unitario Neto]]-Tabla4[[#This Row],[20.85%]]</f>
        <v>174.21706499999999</v>
      </c>
      <c r="M7017" s="282" t="e">
        <f>(INDEX(Tabla6[#All],MATCH(Tabla4[[#This Row],[Producto]],Tabla6[[#All],[PRODUCTO]],0),MATCH(Tabla4[[#This Row],[Mes]],Tabla6[#Headers],0)))*(1+Catalogos!$L$2)</f>
        <v>#N/A</v>
      </c>
      <c r="N7017" s="283" t="e">
        <f>+(Tabla4[[#This Row],[Precio Descontado]]-Tabla4[[#This Row],[Precio Base]])*Tabla4[[#This Row],[Cantidad]]</f>
        <v>#N/A</v>
      </c>
      <c r="O7017" s="284" t="e">
        <f>++Tabla4[[#This Row],[Utilidad Total]]/Tabla4[[#This Row],[Total]]</f>
        <v>#N/A</v>
      </c>
      <c r="P7017" s="282">
        <f>++Tabla4[[#This Row],[Precio Descontado]]*Tabla4[[#This Row],[Cantidad]]</f>
        <v>348.43412999999998</v>
      </c>
      <c r="Q7017" s="282" t="e">
        <f>(INDEX(Tabla6[#All],MATCH(Tabla4[[#This Row],[Producto]],Tabla6[[#All],[PRODUCTO]],0),MATCH(Tabla4[[#This Row],[Mes]],Tabla6[#Headers],0)))</f>
        <v>#N/A</v>
      </c>
      <c r="R7017" s="282" t="e">
        <f>++Tabla4[[#This Row],[Precio Unitario Neto]]-Tabla4[[#This Row],[20.85%]]-Tabla4[[#This Row],[Costo]]</f>
        <v>#N/A</v>
      </c>
      <c r="S7017" s="282" t="e">
        <f>++Tabla4[[#This Row],[U. Bruta Uni]]*Tabla4[[#This Row],[Cantidad]]</f>
        <v>#N/A</v>
      </c>
      <c r="T7017" s="369" t="str">
        <f>VLOOKUP(Tabla4[[#This Row],[Producto]],Tabla6[#All],14,FALSE)</f>
        <v>Termico Solar</v>
      </c>
      <c r="U7017" s="284" t="e">
        <f>(IF(Tabla4[[#This Row],[Familia]]="termico solar",Tabla4[[#This Row],[Utilidad Total]]*6%,Tabla4[[#This Row],[Utilidad Total]]*11.5%))/Tabla4[[#This Row],[Total]]</f>
        <v>#N/A</v>
      </c>
      <c r="V7017" s="282" t="e">
        <f>+Tabla4[[#This Row],[Comisión Calculada]]*Tabla4[[#This Row],[Total]]</f>
        <v>#N/A</v>
      </c>
    </row>
    <row r="7018" spans="1:22" hidden="1" x14ac:dyDescent="0.25">
      <c r="A7018" s="100">
        <v>45991</v>
      </c>
      <c r="B7018" t="str">
        <f t="shared" ref="B7018:B7020" si="528">TEXT(A7018, "mmmm")</f>
        <v>November</v>
      </c>
      <c r="C7018" s="46" t="s">
        <v>280</v>
      </c>
      <c r="F7018" s="366" t="s">
        <v>3530</v>
      </c>
      <c r="G7018" s="46" t="s">
        <v>18</v>
      </c>
      <c r="H7018" s="46">
        <v>2</v>
      </c>
      <c r="I7018" s="51">
        <v>5367.65</v>
      </c>
      <c r="J7018" s="281">
        <f>++Tabla4[[#This Row],[Precio Bruto]]*1.16</f>
        <v>6226.4739999999993</v>
      </c>
      <c r="K7018" s="281">
        <f>+Tabla4[[#This Row],[Precio Unitario Neto]]*Tabla4[[#Headers],[20.85%]]</f>
        <v>1298.2198289999999</v>
      </c>
      <c r="L7018" s="282">
        <f>++Tabla4[[#This Row],[Precio Unitario Neto]]-Tabla4[[#This Row],[20.85%]]</f>
        <v>4928.2541709999996</v>
      </c>
      <c r="M7018" s="282" t="e">
        <f>(INDEX(Tabla6[#All],MATCH(Tabla4[[#This Row],[Producto]],Tabla6[[#All],[PRODUCTO]],0),MATCH(Tabla4[[#This Row],[Mes]],Tabla6[#Headers],0)))*(1+Catalogos!$L$2)</f>
        <v>#N/A</v>
      </c>
      <c r="N7018" s="283" t="e">
        <f>+(Tabla4[[#This Row],[Precio Descontado]]-Tabla4[[#This Row],[Precio Base]])*Tabla4[[#This Row],[Cantidad]]</f>
        <v>#N/A</v>
      </c>
      <c r="O7018" s="284" t="e">
        <f>++Tabla4[[#This Row],[Utilidad Total]]/Tabla4[[#This Row],[Total]]</f>
        <v>#N/A</v>
      </c>
      <c r="P7018" s="282">
        <f>++Tabla4[[#This Row],[Precio Descontado]]*Tabla4[[#This Row],[Cantidad]]</f>
        <v>9856.5083419999992</v>
      </c>
      <c r="Q7018" s="282" t="e">
        <f>(INDEX(Tabla6[#All],MATCH(Tabla4[[#This Row],[Producto]],Tabla6[[#All],[PRODUCTO]],0),MATCH(Tabla4[[#This Row],[Mes]],Tabla6[#Headers],0)))</f>
        <v>#N/A</v>
      </c>
      <c r="R7018" s="282" t="e">
        <f>++Tabla4[[#This Row],[Precio Unitario Neto]]-Tabla4[[#This Row],[20.85%]]-Tabla4[[#This Row],[Costo]]</f>
        <v>#N/A</v>
      </c>
      <c r="S7018" s="282" t="e">
        <f>++Tabla4[[#This Row],[U. Bruta Uni]]*Tabla4[[#This Row],[Cantidad]]</f>
        <v>#N/A</v>
      </c>
      <c r="T7018" s="369" t="str">
        <f>VLOOKUP(Tabla4[[#This Row],[Producto]],Tabla6[#All],14,FALSE)</f>
        <v>Termico Solar</v>
      </c>
      <c r="U7018" s="284" t="e">
        <f>(IF(Tabla4[[#This Row],[Familia]]="termico solar",Tabla4[[#This Row],[Utilidad Total]]*6%,Tabla4[[#This Row],[Utilidad Total]]*11.5%))/Tabla4[[#This Row],[Total]]</f>
        <v>#N/A</v>
      </c>
      <c r="V7018" s="282" t="e">
        <f>+Tabla4[[#This Row],[Comisión Calculada]]*Tabla4[[#This Row],[Total]]</f>
        <v>#N/A</v>
      </c>
    </row>
    <row r="7019" spans="1:22" hidden="1" x14ac:dyDescent="0.25">
      <c r="A7019" s="100">
        <v>45991</v>
      </c>
      <c r="B7019" t="str">
        <f t="shared" si="528"/>
        <v>November</v>
      </c>
      <c r="C7019" s="46" t="s">
        <v>280</v>
      </c>
      <c r="F7019" s="366" t="s">
        <v>3530</v>
      </c>
      <c r="G7019" s="46" t="s">
        <v>566</v>
      </c>
      <c r="H7019" s="46">
        <v>1</v>
      </c>
      <c r="I7019" s="51">
        <v>2109.4499999999998</v>
      </c>
      <c r="J7019" s="281">
        <f>++Tabla4[[#This Row],[Precio Bruto]]*1.16</f>
        <v>2446.9619999999995</v>
      </c>
      <c r="K7019" s="281">
        <f>+Tabla4[[#This Row],[Precio Unitario Neto]]*Tabla4[[#Headers],[20.85%]]</f>
        <v>510.19157699999988</v>
      </c>
      <c r="L7019" s="282">
        <f>++Tabla4[[#This Row],[Precio Unitario Neto]]-Tabla4[[#This Row],[20.85%]]</f>
        <v>1936.7704229999997</v>
      </c>
      <c r="M7019" s="282" t="e">
        <f>(INDEX(Tabla6[#All],MATCH(Tabla4[[#This Row],[Producto]],Tabla6[[#All],[PRODUCTO]],0),MATCH(Tabla4[[#This Row],[Mes]],Tabla6[#Headers],0)))*(1+Catalogos!$L$2)</f>
        <v>#N/A</v>
      </c>
      <c r="N7019" s="283" t="e">
        <f>+(Tabla4[[#This Row],[Precio Descontado]]-Tabla4[[#This Row],[Precio Base]])*Tabla4[[#This Row],[Cantidad]]</f>
        <v>#N/A</v>
      </c>
      <c r="O7019" s="284" t="e">
        <f>++Tabla4[[#This Row],[Utilidad Total]]/Tabla4[[#This Row],[Total]]</f>
        <v>#N/A</v>
      </c>
      <c r="P7019" s="282">
        <f>++Tabla4[[#This Row],[Precio Descontado]]*Tabla4[[#This Row],[Cantidad]]</f>
        <v>1936.7704229999997</v>
      </c>
      <c r="Q7019" s="282" t="e">
        <f>(INDEX(Tabla6[#All],MATCH(Tabla4[[#This Row],[Producto]],Tabla6[[#All],[PRODUCTO]],0),MATCH(Tabla4[[#This Row],[Mes]],Tabla6[#Headers],0)))</f>
        <v>#N/A</v>
      </c>
      <c r="R7019" s="282" t="e">
        <f>++Tabla4[[#This Row],[Precio Unitario Neto]]-Tabla4[[#This Row],[20.85%]]-Tabla4[[#This Row],[Costo]]</f>
        <v>#N/A</v>
      </c>
      <c r="S7019" s="282" t="e">
        <f>++Tabla4[[#This Row],[U. Bruta Uni]]*Tabla4[[#This Row],[Cantidad]]</f>
        <v>#N/A</v>
      </c>
      <c r="T7019" s="369" t="str">
        <f>VLOOKUP(Tabla4[[#This Row],[Producto]],Tabla6[#All],14,FALSE)</f>
        <v>Termico Solar</v>
      </c>
      <c r="U7019" s="284" t="e">
        <f>(IF(Tabla4[[#This Row],[Familia]]="termico solar",Tabla4[[#This Row],[Utilidad Total]]*6%,Tabla4[[#This Row],[Utilidad Total]]*11.5%))/Tabla4[[#This Row],[Total]]</f>
        <v>#N/A</v>
      </c>
      <c r="V7019" s="282" t="e">
        <f>+Tabla4[[#This Row],[Comisión Calculada]]*Tabla4[[#This Row],[Total]]</f>
        <v>#N/A</v>
      </c>
    </row>
    <row r="7020" spans="1:22" hidden="1" x14ac:dyDescent="0.25">
      <c r="A7020" s="100">
        <v>45991</v>
      </c>
      <c r="B7020" t="str">
        <f t="shared" si="528"/>
        <v>November</v>
      </c>
      <c r="C7020" s="46" t="s">
        <v>280</v>
      </c>
      <c r="F7020" s="366" t="s">
        <v>3530</v>
      </c>
      <c r="G7020" s="46" t="s">
        <v>208</v>
      </c>
      <c r="H7020" s="46">
        <v>3</v>
      </c>
      <c r="I7020" s="51">
        <v>189.75</v>
      </c>
      <c r="J7020" s="281">
        <f>++Tabla4[[#This Row],[Precio Bruto]]*1.16</f>
        <v>220.10999999999999</v>
      </c>
      <c r="K7020" s="281">
        <f>+Tabla4[[#This Row],[Precio Unitario Neto]]*Tabla4[[#Headers],[20.85%]]</f>
        <v>45.892934999999994</v>
      </c>
      <c r="L7020" s="282">
        <f>++Tabla4[[#This Row],[Precio Unitario Neto]]-Tabla4[[#This Row],[20.85%]]</f>
        <v>174.21706499999999</v>
      </c>
      <c r="M7020" s="282" t="e">
        <f>(INDEX(Tabla6[#All],MATCH(Tabla4[[#This Row],[Producto]],Tabla6[[#All],[PRODUCTO]],0),MATCH(Tabla4[[#This Row],[Mes]],Tabla6[#Headers],0)))*(1+Catalogos!$L$2)</f>
        <v>#N/A</v>
      </c>
      <c r="N7020" s="283" t="e">
        <f>+(Tabla4[[#This Row],[Precio Descontado]]-Tabla4[[#This Row],[Precio Base]])*Tabla4[[#This Row],[Cantidad]]</f>
        <v>#N/A</v>
      </c>
      <c r="O7020" s="284" t="e">
        <f>++Tabla4[[#This Row],[Utilidad Total]]/Tabla4[[#This Row],[Total]]</f>
        <v>#N/A</v>
      </c>
      <c r="P7020" s="282">
        <f>++Tabla4[[#This Row],[Precio Descontado]]*Tabla4[[#This Row],[Cantidad]]</f>
        <v>522.65119499999992</v>
      </c>
      <c r="Q7020" s="282" t="e">
        <f>(INDEX(Tabla6[#All],MATCH(Tabla4[[#This Row],[Producto]],Tabla6[[#All],[PRODUCTO]],0),MATCH(Tabla4[[#This Row],[Mes]],Tabla6[#Headers],0)))</f>
        <v>#N/A</v>
      </c>
      <c r="R7020" s="282" t="e">
        <f>++Tabla4[[#This Row],[Precio Unitario Neto]]-Tabla4[[#This Row],[20.85%]]-Tabla4[[#This Row],[Costo]]</f>
        <v>#N/A</v>
      </c>
      <c r="S7020" s="282" t="e">
        <f>++Tabla4[[#This Row],[U. Bruta Uni]]*Tabla4[[#This Row],[Cantidad]]</f>
        <v>#N/A</v>
      </c>
      <c r="T7020" s="369" t="str">
        <f>VLOOKUP(Tabla4[[#This Row],[Producto]],Tabla6[#All],14,FALSE)</f>
        <v>Termico Solar</v>
      </c>
      <c r="U7020" s="284" t="e">
        <f>(IF(Tabla4[[#This Row],[Familia]]="termico solar",Tabla4[[#This Row],[Utilidad Total]]*6%,Tabla4[[#This Row],[Utilidad Total]]*11.5%))/Tabla4[[#This Row],[Total]]</f>
        <v>#N/A</v>
      </c>
      <c r="V7020" s="282" t="e">
        <f>+Tabla4[[#This Row],[Comisión Calculada]]*Tabla4[[#This Row],[Total]]</f>
        <v>#N/A</v>
      </c>
    </row>
    <row r="7021" spans="1:22" hidden="1" x14ac:dyDescent="0.25">
      <c r="A7021" s="100">
        <v>45991</v>
      </c>
      <c r="B7021" t="str">
        <f>TEXT(A7021, "mmmm")</f>
        <v>November</v>
      </c>
      <c r="C7021" s="46" t="s">
        <v>280</v>
      </c>
      <c r="F7021" s="366" t="s">
        <v>3531</v>
      </c>
      <c r="G7021" s="46" t="s">
        <v>208</v>
      </c>
      <c r="H7021" s="46">
        <v>2</v>
      </c>
      <c r="I7021" s="51">
        <v>189.75</v>
      </c>
      <c r="J7021" s="281">
        <f>++Tabla4[[#This Row],[Precio Bruto]]*1.16</f>
        <v>220.10999999999999</v>
      </c>
      <c r="K7021" s="281">
        <f>+Tabla4[[#This Row],[Precio Unitario Neto]]*Tabla4[[#Headers],[20.85%]]</f>
        <v>45.892934999999994</v>
      </c>
      <c r="L7021" s="282">
        <f>++Tabla4[[#This Row],[Precio Unitario Neto]]-Tabla4[[#This Row],[20.85%]]</f>
        <v>174.21706499999999</v>
      </c>
      <c r="M7021" s="282" t="e">
        <f>(INDEX(Tabla6[#All],MATCH(Tabla4[[#This Row],[Producto]],Tabla6[[#All],[PRODUCTO]],0),MATCH(Tabla4[[#This Row],[Mes]],Tabla6[#Headers],0)))*(1+Catalogos!$L$2)</f>
        <v>#N/A</v>
      </c>
      <c r="N7021" s="283" t="e">
        <f>+(Tabla4[[#This Row],[Precio Descontado]]-Tabla4[[#This Row],[Precio Base]])*Tabla4[[#This Row],[Cantidad]]</f>
        <v>#N/A</v>
      </c>
      <c r="O7021" s="284" t="e">
        <f>++Tabla4[[#This Row],[Utilidad Total]]/Tabla4[[#This Row],[Total]]</f>
        <v>#N/A</v>
      </c>
      <c r="P7021" s="282">
        <f>++Tabla4[[#This Row],[Precio Descontado]]*Tabla4[[#This Row],[Cantidad]]</f>
        <v>348.43412999999998</v>
      </c>
      <c r="Q7021" s="282" t="e">
        <f>(INDEX(Tabla6[#All],MATCH(Tabla4[[#This Row],[Producto]],Tabla6[[#All],[PRODUCTO]],0),MATCH(Tabla4[[#This Row],[Mes]],Tabla6[#Headers],0)))</f>
        <v>#N/A</v>
      </c>
      <c r="R7021" s="282" t="e">
        <f>++Tabla4[[#This Row],[Precio Unitario Neto]]-Tabla4[[#This Row],[20.85%]]-Tabla4[[#This Row],[Costo]]</f>
        <v>#N/A</v>
      </c>
      <c r="S7021" s="282" t="e">
        <f>++Tabla4[[#This Row],[U. Bruta Uni]]*Tabla4[[#This Row],[Cantidad]]</f>
        <v>#N/A</v>
      </c>
      <c r="T7021" s="369" t="str">
        <f>VLOOKUP(Tabla4[[#This Row],[Producto]],Tabla6[#All],14,FALSE)</f>
        <v>Termico Solar</v>
      </c>
      <c r="U7021" s="284" t="e">
        <f>(IF(Tabla4[[#This Row],[Familia]]="termico solar",Tabla4[[#This Row],[Utilidad Total]]*6%,Tabla4[[#This Row],[Utilidad Total]]*11.5%))/Tabla4[[#This Row],[Total]]</f>
        <v>#N/A</v>
      </c>
      <c r="V7021" s="282" t="e">
        <f>+Tabla4[[#This Row],[Comisión Calculada]]*Tabla4[[#This Row],[Total]]</f>
        <v>#N/A</v>
      </c>
    </row>
    <row r="7022" spans="1:22" hidden="1" x14ac:dyDescent="0.25">
      <c r="A7022" s="100">
        <v>45991</v>
      </c>
      <c r="B7022" t="str">
        <f t="shared" ref="B7022:B7023" si="529">TEXT(A7022, "mmmm")</f>
        <v>November</v>
      </c>
      <c r="C7022" s="46" t="s">
        <v>280</v>
      </c>
      <c r="F7022" s="366" t="s">
        <v>3532</v>
      </c>
      <c r="G7022" s="46" t="s">
        <v>17</v>
      </c>
      <c r="H7022" s="46">
        <v>1</v>
      </c>
      <c r="I7022" s="51">
        <v>4622.28</v>
      </c>
      <c r="J7022" s="281">
        <f>++Tabla4[[#This Row],[Precio Bruto]]*1.16</f>
        <v>5361.8447999999989</v>
      </c>
      <c r="K7022" s="281">
        <f>+Tabla4[[#This Row],[Precio Unitario Neto]]*Tabla4[[#Headers],[20.85%]]</f>
        <v>1117.9446407999997</v>
      </c>
      <c r="L7022" s="282">
        <f>++Tabla4[[#This Row],[Precio Unitario Neto]]-Tabla4[[#This Row],[20.85%]]</f>
        <v>4243.9001591999995</v>
      </c>
      <c r="M7022" s="282" t="e">
        <f>(INDEX(Tabla6[#All],MATCH(Tabla4[[#This Row],[Producto]],Tabla6[[#All],[PRODUCTO]],0),MATCH(Tabla4[[#This Row],[Mes]],Tabla6[#Headers],0)))*(1+Catalogos!$L$2)</f>
        <v>#N/A</v>
      </c>
      <c r="N7022" s="283" t="e">
        <f>+(Tabla4[[#This Row],[Precio Descontado]]-Tabla4[[#This Row],[Precio Base]])*Tabla4[[#This Row],[Cantidad]]</f>
        <v>#N/A</v>
      </c>
      <c r="O7022" s="284" t="e">
        <f>++Tabla4[[#This Row],[Utilidad Total]]/Tabla4[[#This Row],[Total]]</f>
        <v>#N/A</v>
      </c>
      <c r="P7022" s="282">
        <f>++Tabla4[[#This Row],[Precio Descontado]]*Tabla4[[#This Row],[Cantidad]]</f>
        <v>4243.9001591999995</v>
      </c>
      <c r="Q7022" s="282" t="e">
        <f>(INDEX(Tabla6[#All],MATCH(Tabla4[[#This Row],[Producto]],Tabla6[[#All],[PRODUCTO]],0),MATCH(Tabla4[[#This Row],[Mes]],Tabla6[#Headers],0)))</f>
        <v>#N/A</v>
      </c>
      <c r="R7022" s="282" t="e">
        <f>++Tabla4[[#This Row],[Precio Unitario Neto]]-Tabla4[[#This Row],[20.85%]]-Tabla4[[#This Row],[Costo]]</f>
        <v>#N/A</v>
      </c>
      <c r="S7022" s="282" t="e">
        <f>++Tabla4[[#This Row],[U. Bruta Uni]]*Tabla4[[#This Row],[Cantidad]]</f>
        <v>#N/A</v>
      </c>
      <c r="T7022" s="369" t="str">
        <f>VLOOKUP(Tabla4[[#This Row],[Producto]],Tabla6[#All],14,FALSE)</f>
        <v>Termico Solar</v>
      </c>
      <c r="U7022" s="284" t="e">
        <f>(IF(Tabla4[[#This Row],[Familia]]="termico solar",Tabla4[[#This Row],[Utilidad Total]]*6%,Tabla4[[#This Row],[Utilidad Total]]*11.5%))/Tabla4[[#This Row],[Total]]</f>
        <v>#N/A</v>
      </c>
      <c r="V7022" s="282" t="e">
        <f>+Tabla4[[#This Row],[Comisión Calculada]]*Tabla4[[#This Row],[Total]]</f>
        <v>#N/A</v>
      </c>
    </row>
    <row r="7023" spans="1:22" hidden="1" x14ac:dyDescent="0.25">
      <c r="A7023" s="100">
        <v>45991</v>
      </c>
      <c r="B7023" t="str">
        <f t="shared" si="529"/>
        <v>November</v>
      </c>
      <c r="C7023" s="46" t="s">
        <v>280</v>
      </c>
      <c r="F7023" s="366" t="s">
        <v>3532</v>
      </c>
      <c r="G7023" s="46" t="s">
        <v>18</v>
      </c>
      <c r="H7023" s="46">
        <v>2</v>
      </c>
      <c r="I7023" s="51">
        <v>5367.65</v>
      </c>
      <c r="J7023" s="281">
        <f>++Tabla4[[#This Row],[Precio Bruto]]*1.16</f>
        <v>6226.4739999999993</v>
      </c>
      <c r="K7023" s="281">
        <f>+Tabla4[[#This Row],[Precio Unitario Neto]]*Tabla4[[#Headers],[20.85%]]</f>
        <v>1298.2198289999999</v>
      </c>
      <c r="L7023" s="282">
        <f>++Tabla4[[#This Row],[Precio Unitario Neto]]-Tabla4[[#This Row],[20.85%]]</f>
        <v>4928.2541709999996</v>
      </c>
      <c r="M7023" s="282" t="e">
        <f>(INDEX(Tabla6[#All],MATCH(Tabla4[[#This Row],[Producto]],Tabla6[[#All],[PRODUCTO]],0),MATCH(Tabla4[[#This Row],[Mes]],Tabla6[#Headers],0)))*(1+Catalogos!$L$2)</f>
        <v>#N/A</v>
      </c>
      <c r="N7023" s="283" t="e">
        <f>+(Tabla4[[#This Row],[Precio Descontado]]-Tabla4[[#This Row],[Precio Base]])*Tabla4[[#This Row],[Cantidad]]</f>
        <v>#N/A</v>
      </c>
      <c r="O7023" s="284" t="e">
        <f>++Tabla4[[#This Row],[Utilidad Total]]/Tabla4[[#This Row],[Total]]</f>
        <v>#N/A</v>
      </c>
      <c r="P7023" s="282">
        <f>++Tabla4[[#This Row],[Precio Descontado]]*Tabla4[[#This Row],[Cantidad]]</f>
        <v>9856.5083419999992</v>
      </c>
      <c r="Q7023" s="282" t="e">
        <f>(INDEX(Tabla6[#All],MATCH(Tabla4[[#This Row],[Producto]],Tabla6[[#All],[PRODUCTO]],0),MATCH(Tabla4[[#This Row],[Mes]],Tabla6[#Headers],0)))</f>
        <v>#N/A</v>
      </c>
      <c r="R7023" s="282" t="e">
        <f>++Tabla4[[#This Row],[Precio Unitario Neto]]-Tabla4[[#This Row],[20.85%]]-Tabla4[[#This Row],[Costo]]</f>
        <v>#N/A</v>
      </c>
      <c r="S7023" s="282" t="e">
        <f>++Tabla4[[#This Row],[U. Bruta Uni]]*Tabla4[[#This Row],[Cantidad]]</f>
        <v>#N/A</v>
      </c>
      <c r="T7023" s="369" t="str">
        <f>VLOOKUP(Tabla4[[#This Row],[Producto]],Tabla6[#All],14,FALSE)</f>
        <v>Termico Solar</v>
      </c>
      <c r="U7023" s="284" t="e">
        <f>(IF(Tabla4[[#This Row],[Familia]]="termico solar",Tabla4[[#This Row],[Utilidad Total]]*6%,Tabla4[[#This Row],[Utilidad Total]]*11.5%))/Tabla4[[#This Row],[Total]]</f>
        <v>#N/A</v>
      </c>
      <c r="V7023" s="282" t="e">
        <f>+Tabla4[[#This Row],[Comisión Calculada]]*Tabla4[[#This Row],[Total]]</f>
        <v>#N/A</v>
      </c>
    </row>
    <row r="7024" spans="1:22" hidden="1" x14ac:dyDescent="0.25">
      <c r="A7024" s="100">
        <v>45991</v>
      </c>
      <c r="B7024" t="str">
        <f t="shared" ref="B7024:B7025" si="530">TEXT(A7024, "mmmm")</f>
        <v>November</v>
      </c>
      <c r="C7024" s="46" t="s">
        <v>280</v>
      </c>
      <c r="F7024" s="366" t="s">
        <v>3533</v>
      </c>
      <c r="G7024" s="46" t="s">
        <v>17</v>
      </c>
      <c r="H7024" s="46">
        <v>2</v>
      </c>
      <c r="I7024" s="51">
        <v>4622.28</v>
      </c>
      <c r="J7024" s="281">
        <f>++Tabla4[[#This Row],[Precio Bruto]]*1.16</f>
        <v>5361.8447999999989</v>
      </c>
      <c r="K7024" s="281">
        <f>+Tabla4[[#This Row],[Precio Unitario Neto]]*Tabla4[[#Headers],[20.85%]]</f>
        <v>1117.9446407999997</v>
      </c>
      <c r="L7024" s="282">
        <f>++Tabla4[[#This Row],[Precio Unitario Neto]]-Tabla4[[#This Row],[20.85%]]</f>
        <v>4243.9001591999995</v>
      </c>
      <c r="M7024" s="282" t="e">
        <f>(INDEX(Tabla6[#All],MATCH(Tabla4[[#This Row],[Producto]],Tabla6[[#All],[PRODUCTO]],0),MATCH(Tabla4[[#This Row],[Mes]],Tabla6[#Headers],0)))*(1+Catalogos!$L$2)</f>
        <v>#N/A</v>
      </c>
      <c r="N7024" s="283" t="e">
        <f>+(Tabla4[[#This Row],[Precio Descontado]]-Tabla4[[#This Row],[Precio Base]])*Tabla4[[#This Row],[Cantidad]]</f>
        <v>#N/A</v>
      </c>
      <c r="O7024" s="284" t="e">
        <f>++Tabla4[[#This Row],[Utilidad Total]]/Tabla4[[#This Row],[Total]]</f>
        <v>#N/A</v>
      </c>
      <c r="P7024" s="282">
        <f>++Tabla4[[#This Row],[Precio Descontado]]*Tabla4[[#This Row],[Cantidad]]</f>
        <v>8487.800318399999</v>
      </c>
      <c r="Q7024" s="282" t="e">
        <f>(INDEX(Tabla6[#All],MATCH(Tabla4[[#This Row],[Producto]],Tabla6[[#All],[PRODUCTO]],0),MATCH(Tabla4[[#This Row],[Mes]],Tabla6[#Headers],0)))</f>
        <v>#N/A</v>
      </c>
      <c r="R7024" s="282" t="e">
        <f>++Tabla4[[#This Row],[Precio Unitario Neto]]-Tabla4[[#This Row],[20.85%]]-Tabla4[[#This Row],[Costo]]</f>
        <v>#N/A</v>
      </c>
      <c r="S7024" s="282" t="e">
        <f>++Tabla4[[#This Row],[U. Bruta Uni]]*Tabla4[[#This Row],[Cantidad]]</f>
        <v>#N/A</v>
      </c>
      <c r="T7024" s="369" t="str">
        <f>VLOOKUP(Tabla4[[#This Row],[Producto]],Tabla6[#All],14,FALSE)</f>
        <v>Termico Solar</v>
      </c>
      <c r="U7024" s="284" t="e">
        <f>(IF(Tabla4[[#This Row],[Familia]]="termico solar",Tabla4[[#This Row],[Utilidad Total]]*6%,Tabla4[[#This Row],[Utilidad Total]]*11.5%))/Tabla4[[#This Row],[Total]]</f>
        <v>#N/A</v>
      </c>
      <c r="V7024" s="282" t="e">
        <f>+Tabla4[[#This Row],[Comisión Calculada]]*Tabla4[[#This Row],[Total]]</f>
        <v>#N/A</v>
      </c>
    </row>
    <row r="7025" spans="1:22" hidden="1" x14ac:dyDescent="0.25">
      <c r="A7025" s="100">
        <v>45991</v>
      </c>
      <c r="B7025" t="str">
        <f t="shared" si="530"/>
        <v>November</v>
      </c>
      <c r="C7025" s="46" t="s">
        <v>280</v>
      </c>
      <c r="F7025" s="366" t="s">
        <v>3533</v>
      </c>
      <c r="G7025" s="46" t="s">
        <v>18</v>
      </c>
      <c r="H7025" s="46">
        <v>2</v>
      </c>
      <c r="I7025" s="51">
        <v>5367.65</v>
      </c>
      <c r="J7025" s="281">
        <f>++Tabla4[[#This Row],[Precio Bruto]]*1.16</f>
        <v>6226.4739999999993</v>
      </c>
      <c r="K7025" s="281">
        <f>+Tabla4[[#This Row],[Precio Unitario Neto]]*Tabla4[[#Headers],[20.85%]]</f>
        <v>1298.2198289999999</v>
      </c>
      <c r="L7025" s="282">
        <f>++Tabla4[[#This Row],[Precio Unitario Neto]]-Tabla4[[#This Row],[20.85%]]</f>
        <v>4928.2541709999996</v>
      </c>
      <c r="M7025" s="282" t="e">
        <f>(INDEX(Tabla6[#All],MATCH(Tabla4[[#This Row],[Producto]],Tabla6[[#All],[PRODUCTO]],0),MATCH(Tabla4[[#This Row],[Mes]],Tabla6[#Headers],0)))*(1+Catalogos!$L$2)</f>
        <v>#N/A</v>
      </c>
      <c r="N7025" s="283" t="e">
        <f>+(Tabla4[[#This Row],[Precio Descontado]]-Tabla4[[#This Row],[Precio Base]])*Tabla4[[#This Row],[Cantidad]]</f>
        <v>#N/A</v>
      </c>
      <c r="O7025" s="284" t="e">
        <f>++Tabla4[[#This Row],[Utilidad Total]]/Tabla4[[#This Row],[Total]]</f>
        <v>#N/A</v>
      </c>
      <c r="P7025" s="282">
        <f>++Tabla4[[#This Row],[Precio Descontado]]*Tabla4[[#This Row],[Cantidad]]</f>
        <v>9856.5083419999992</v>
      </c>
      <c r="Q7025" s="282" t="e">
        <f>(INDEX(Tabla6[#All],MATCH(Tabla4[[#This Row],[Producto]],Tabla6[[#All],[PRODUCTO]],0),MATCH(Tabla4[[#This Row],[Mes]],Tabla6[#Headers],0)))</f>
        <v>#N/A</v>
      </c>
      <c r="R7025" s="282" t="e">
        <f>++Tabla4[[#This Row],[Precio Unitario Neto]]-Tabla4[[#This Row],[20.85%]]-Tabla4[[#This Row],[Costo]]</f>
        <v>#N/A</v>
      </c>
      <c r="S7025" s="282" t="e">
        <f>++Tabla4[[#This Row],[U. Bruta Uni]]*Tabla4[[#This Row],[Cantidad]]</f>
        <v>#N/A</v>
      </c>
      <c r="T7025" s="369" t="str">
        <f>VLOOKUP(Tabla4[[#This Row],[Producto]],Tabla6[#All],14,FALSE)</f>
        <v>Termico Solar</v>
      </c>
      <c r="U7025" s="284" t="e">
        <f>(IF(Tabla4[[#This Row],[Familia]]="termico solar",Tabla4[[#This Row],[Utilidad Total]]*6%,Tabla4[[#This Row],[Utilidad Total]]*11.5%))/Tabla4[[#This Row],[Total]]</f>
        <v>#N/A</v>
      </c>
      <c r="V7025" s="282" t="e">
        <f>+Tabla4[[#This Row],[Comisión Calculada]]*Tabla4[[#This Row],[Total]]</f>
        <v>#N/A</v>
      </c>
    </row>
    <row r="7026" spans="1:22" hidden="1" x14ac:dyDescent="0.25">
      <c r="A7026" s="100">
        <v>45991</v>
      </c>
      <c r="B7026" t="str">
        <f t="shared" ref="B7026:B7027" si="531">TEXT(A7026, "mmmm")</f>
        <v>November</v>
      </c>
      <c r="C7026" s="46" t="s">
        <v>280</v>
      </c>
      <c r="F7026" s="366" t="s">
        <v>3534</v>
      </c>
      <c r="G7026" s="46" t="s">
        <v>17</v>
      </c>
      <c r="H7026" s="46">
        <v>1</v>
      </c>
      <c r="I7026" s="51">
        <v>4622.28</v>
      </c>
      <c r="J7026" s="281">
        <f>++Tabla4[[#This Row],[Precio Bruto]]*1.16</f>
        <v>5361.8447999999989</v>
      </c>
      <c r="K7026" s="281">
        <f>+Tabla4[[#This Row],[Precio Unitario Neto]]*Tabla4[[#Headers],[20.85%]]</f>
        <v>1117.9446407999997</v>
      </c>
      <c r="L7026" s="282">
        <f>++Tabla4[[#This Row],[Precio Unitario Neto]]-Tabla4[[#This Row],[20.85%]]</f>
        <v>4243.9001591999995</v>
      </c>
      <c r="M7026" s="282" t="e">
        <f>(INDEX(Tabla6[#All],MATCH(Tabla4[[#This Row],[Producto]],Tabla6[[#All],[PRODUCTO]],0),MATCH(Tabla4[[#This Row],[Mes]],Tabla6[#Headers],0)))*(1+Catalogos!$L$2)</f>
        <v>#N/A</v>
      </c>
      <c r="N7026" s="283" t="e">
        <f>+(Tabla4[[#This Row],[Precio Descontado]]-Tabla4[[#This Row],[Precio Base]])*Tabla4[[#This Row],[Cantidad]]</f>
        <v>#N/A</v>
      </c>
      <c r="O7026" s="284" t="e">
        <f>++Tabla4[[#This Row],[Utilidad Total]]/Tabla4[[#This Row],[Total]]</f>
        <v>#N/A</v>
      </c>
      <c r="P7026" s="282">
        <f>++Tabla4[[#This Row],[Precio Descontado]]*Tabla4[[#This Row],[Cantidad]]</f>
        <v>4243.9001591999995</v>
      </c>
      <c r="Q7026" s="282" t="e">
        <f>(INDEX(Tabla6[#All],MATCH(Tabla4[[#This Row],[Producto]],Tabla6[[#All],[PRODUCTO]],0),MATCH(Tabla4[[#This Row],[Mes]],Tabla6[#Headers],0)))</f>
        <v>#N/A</v>
      </c>
      <c r="R7026" s="282" t="e">
        <f>++Tabla4[[#This Row],[Precio Unitario Neto]]-Tabla4[[#This Row],[20.85%]]-Tabla4[[#This Row],[Costo]]</f>
        <v>#N/A</v>
      </c>
      <c r="S7026" s="282" t="e">
        <f>++Tabla4[[#This Row],[U. Bruta Uni]]*Tabla4[[#This Row],[Cantidad]]</f>
        <v>#N/A</v>
      </c>
      <c r="T7026" s="369" t="str">
        <f>VLOOKUP(Tabla4[[#This Row],[Producto]],Tabla6[#All],14,FALSE)</f>
        <v>Termico Solar</v>
      </c>
      <c r="U7026" s="284" t="e">
        <f>(IF(Tabla4[[#This Row],[Familia]]="termico solar",Tabla4[[#This Row],[Utilidad Total]]*6%,Tabla4[[#This Row],[Utilidad Total]]*11.5%))/Tabla4[[#This Row],[Total]]</f>
        <v>#N/A</v>
      </c>
      <c r="V7026" s="282" t="e">
        <f>+Tabla4[[#This Row],[Comisión Calculada]]*Tabla4[[#This Row],[Total]]</f>
        <v>#N/A</v>
      </c>
    </row>
    <row r="7027" spans="1:22" hidden="1" x14ac:dyDescent="0.25">
      <c r="A7027" s="100">
        <v>45991</v>
      </c>
      <c r="B7027" t="str">
        <f t="shared" si="531"/>
        <v>November</v>
      </c>
      <c r="C7027" s="46" t="s">
        <v>280</v>
      </c>
      <c r="F7027" s="366" t="s">
        <v>3534</v>
      </c>
      <c r="G7027" s="46" t="s">
        <v>18</v>
      </c>
      <c r="H7027" s="46">
        <v>1</v>
      </c>
      <c r="I7027" s="51">
        <v>5367.65</v>
      </c>
      <c r="J7027" s="281">
        <f>++Tabla4[[#This Row],[Precio Bruto]]*1.16</f>
        <v>6226.4739999999993</v>
      </c>
      <c r="K7027" s="281">
        <f>+Tabla4[[#This Row],[Precio Unitario Neto]]*Tabla4[[#Headers],[20.85%]]</f>
        <v>1298.2198289999999</v>
      </c>
      <c r="L7027" s="282">
        <f>++Tabla4[[#This Row],[Precio Unitario Neto]]-Tabla4[[#This Row],[20.85%]]</f>
        <v>4928.2541709999996</v>
      </c>
      <c r="M7027" s="282" t="e">
        <f>(INDEX(Tabla6[#All],MATCH(Tabla4[[#This Row],[Producto]],Tabla6[[#All],[PRODUCTO]],0),MATCH(Tabla4[[#This Row],[Mes]],Tabla6[#Headers],0)))*(1+Catalogos!$L$2)</f>
        <v>#N/A</v>
      </c>
      <c r="N7027" s="283" t="e">
        <f>+(Tabla4[[#This Row],[Precio Descontado]]-Tabla4[[#This Row],[Precio Base]])*Tabla4[[#This Row],[Cantidad]]</f>
        <v>#N/A</v>
      </c>
      <c r="O7027" s="284" t="e">
        <f>++Tabla4[[#This Row],[Utilidad Total]]/Tabla4[[#This Row],[Total]]</f>
        <v>#N/A</v>
      </c>
      <c r="P7027" s="282">
        <f>++Tabla4[[#This Row],[Precio Descontado]]*Tabla4[[#This Row],[Cantidad]]</f>
        <v>4928.2541709999996</v>
      </c>
      <c r="Q7027" s="282" t="e">
        <f>(INDEX(Tabla6[#All],MATCH(Tabla4[[#This Row],[Producto]],Tabla6[[#All],[PRODUCTO]],0),MATCH(Tabla4[[#This Row],[Mes]],Tabla6[#Headers],0)))</f>
        <v>#N/A</v>
      </c>
      <c r="R7027" s="282" t="e">
        <f>++Tabla4[[#This Row],[Precio Unitario Neto]]-Tabla4[[#This Row],[20.85%]]-Tabla4[[#This Row],[Costo]]</f>
        <v>#N/A</v>
      </c>
      <c r="S7027" s="282" t="e">
        <f>++Tabla4[[#This Row],[U. Bruta Uni]]*Tabla4[[#This Row],[Cantidad]]</f>
        <v>#N/A</v>
      </c>
      <c r="T7027" s="369" t="str">
        <f>VLOOKUP(Tabla4[[#This Row],[Producto]],Tabla6[#All],14,FALSE)</f>
        <v>Termico Solar</v>
      </c>
      <c r="U7027" s="284" t="e">
        <f>(IF(Tabla4[[#This Row],[Familia]]="termico solar",Tabla4[[#This Row],[Utilidad Total]]*6%,Tabla4[[#This Row],[Utilidad Total]]*11.5%))/Tabla4[[#This Row],[Total]]</f>
        <v>#N/A</v>
      </c>
      <c r="V7027" s="282" t="e">
        <f>+Tabla4[[#This Row],[Comisión Calculada]]*Tabla4[[#This Row],[Total]]</f>
        <v>#N/A</v>
      </c>
    </row>
    <row r="7028" spans="1:22" hidden="1" x14ac:dyDescent="0.25">
      <c r="A7028" s="100">
        <v>45991</v>
      </c>
      <c r="B7028" t="str">
        <f t="shared" ref="B7028:B7030" si="532">TEXT(A7028, "mmmm")</f>
        <v>November</v>
      </c>
      <c r="C7028" s="46" t="s">
        <v>280</v>
      </c>
      <c r="F7028" s="366" t="s">
        <v>3535</v>
      </c>
      <c r="G7028" s="46" t="s">
        <v>83</v>
      </c>
      <c r="H7028" s="46">
        <v>2</v>
      </c>
      <c r="I7028" s="51">
        <v>8858.76</v>
      </c>
      <c r="J7028" s="281">
        <f>++Tabla4[[#This Row],[Precio Bruto]]*1.16</f>
        <v>10276.161599999999</v>
      </c>
      <c r="K7028" s="281">
        <f>+Tabla4[[#This Row],[Precio Unitario Neto]]*Tabla4[[#Headers],[20.85%]]</f>
        <v>2142.5796935999997</v>
      </c>
      <c r="L7028" s="282">
        <f>++Tabla4[[#This Row],[Precio Unitario Neto]]-Tabla4[[#This Row],[20.85%]]</f>
        <v>8133.5819063999998</v>
      </c>
      <c r="M7028" s="282" t="e">
        <f>(INDEX(Tabla6[#All],MATCH(Tabla4[[#This Row],[Producto]],Tabla6[[#All],[PRODUCTO]],0),MATCH(Tabla4[[#This Row],[Mes]],Tabla6[#Headers],0)))*(1+Catalogos!$L$2)</f>
        <v>#N/A</v>
      </c>
      <c r="N7028" s="283" t="e">
        <f>+(Tabla4[[#This Row],[Precio Descontado]]-Tabla4[[#This Row],[Precio Base]])*Tabla4[[#This Row],[Cantidad]]</f>
        <v>#N/A</v>
      </c>
      <c r="O7028" s="284" t="e">
        <f>++Tabla4[[#This Row],[Utilidad Total]]/Tabla4[[#This Row],[Total]]</f>
        <v>#N/A</v>
      </c>
      <c r="P7028" s="282">
        <f>++Tabla4[[#This Row],[Precio Descontado]]*Tabla4[[#This Row],[Cantidad]]</f>
        <v>16267.1638128</v>
      </c>
      <c r="Q7028" s="282" t="e">
        <f>(INDEX(Tabla6[#All],MATCH(Tabla4[[#This Row],[Producto]],Tabla6[[#All],[PRODUCTO]],0),MATCH(Tabla4[[#This Row],[Mes]],Tabla6[#Headers],0)))</f>
        <v>#N/A</v>
      </c>
      <c r="R7028" s="282" t="e">
        <f>++Tabla4[[#This Row],[Precio Unitario Neto]]-Tabla4[[#This Row],[20.85%]]-Tabla4[[#This Row],[Costo]]</f>
        <v>#N/A</v>
      </c>
      <c r="S7028" s="282" t="e">
        <f>++Tabla4[[#This Row],[U. Bruta Uni]]*Tabla4[[#This Row],[Cantidad]]</f>
        <v>#N/A</v>
      </c>
      <c r="T7028" s="369" t="str">
        <f>VLOOKUP(Tabla4[[#This Row],[Producto]],Tabla6[#All],14,FALSE)</f>
        <v>Termico Solar</v>
      </c>
      <c r="U7028" s="284" t="e">
        <f>(IF(Tabla4[[#This Row],[Familia]]="termico solar",Tabla4[[#This Row],[Utilidad Total]]*6%,Tabla4[[#This Row],[Utilidad Total]]*11.5%))/Tabla4[[#This Row],[Total]]</f>
        <v>#N/A</v>
      </c>
      <c r="V7028" s="282" t="e">
        <f>+Tabla4[[#This Row],[Comisión Calculada]]*Tabla4[[#This Row],[Total]]</f>
        <v>#N/A</v>
      </c>
    </row>
    <row r="7029" spans="1:22" hidden="1" x14ac:dyDescent="0.25">
      <c r="A7029" s="100">
        <v>45991</v>
      </c>
      <c r="B7029" t="str">
        <f t="shared" si="532"/>
        <v>November</v>
      </c>
      <c r="C7029" s="46" t="s">
        <v>280</v>
      </c>
      <c r="F7029" s="366" t="s">
        <v>3535</v>
      </c>
      <c r="G7029" s="46" t="s">
        <v>16</v>
      </c>
      <c r="H7029" s="46">
        <v>1</v>
      </c>
      <c r="I7029" s="51">
        <v>4103.8500000000004</v>
      </c>
      <c r="J7029" s="281">
        <f>++Tabla4[[#This Row],[Precio Bruto]]*1.16</f>
        <v>4760.4660000000003</v>
      </c>
      <c r="K7029" s="281">
        <f>+Tabla4[[#This Row],[Precio Unitario Neto]]*Tabla4[[#Headers],[20.85%]]</f>
        <v>992.55716100000006</v>
      </c>
      <c r="L7029" s="282">
        <f>++Tabla4[[#This Row],[Precio Unitario Neto]]-Tabla4[[#This Row],[20.85%]]</f>
        <v>3767.9088390000002</v>
      </c>
      <c r="M7029" s="282" t="e">
        <f>(INDEX(Tabla6[#All],MATCH(Tabla4[[#This Row],[Producto]],Tabla6[[#All],[PRODUCTO]],0),MATCH(Tabla4[[#This Row],[Mes]],Tabla6[#Headers],0)))*(1+Catalogos!$L$2)</f>
        <v>#N/A</v>
      </c>
      <c r="N7029" s="283" t="e">
        <f>+(Tabla4[[#This Row],[Precio Descontado]]-Tabla4[[#This Row],[Precio Base]])*Tabla4[[#This Row],[Cantidad]]</f>
        <v>#N/A</v>
      </c>
      <c r="O7029" s="284" t="e">
        <f>++Tabla4[[#This Row],[Utilidad Total]]/Tabla4[[#This Row],[Total]]</f>
        <v>#N/A</v>
      </c>
      <c r="P7029" s="282">
        <f>++Tabla4[[#This Row],[Precio Descontado]]*Tabla4[[#This Row],[Cantidad]]</f>
        <v>3767.9088390000002</v>
      </c>
      <c r="Q7029" s="282" t="e">
        <f>(INDEX(Tabla6[#All],MATCH(Tabla4[[#This Row],[Producto]],Tabla6[[#All],[PRODUCTO]],0),MATCH(Tabla4[[#This Row],[Mes]],Tabla6[#Headers],0)))</f>
        <v>#N/A</v>
      </c>
      <c r="R7029" s="282" t="e">
        <f>++Tabla4[[#This Row],[Precio Unitario Neto]]-Tabla4[[#This Row],[20.85%]]-Tabla4[[#This Row],[Costo]]</f>
        <v>#N/A</v>
      </c>
      <c r="S7029" s="282" t="e">
        <f>++Tabla4[[#This Row],[U. Bruta Uni]]*Tabla4[[#This Row],[Cantidad]]</f>
        <v>#N/A</v>
      </c>
      <c r="T7029" s="369" t="str">
        <f>VLOOKUP(Tabla4[[#This Row],[Producto]],Tabla6[#All],14,FALSE)</f>
        <v>Termico Solar</v>
      </c>
      <c r="U7029" s="284" t="e">
        <f>(IF(Tabla4[[#This Row],[Familia]]="termico solar",Tabla4[[#This Row],[Utilidad Total]]*6%,Tabla4[[#This Row],[Utilidad Total]]*11.5%))/Tabla4[[#This Row],[Total]]</f>
        <v>#N/A</v>
      </c>
      <c r="V7029" s="282" t="e">
        <f>+Tabla4[[#This Row],[Comisión Calculada]]*Tabla4[[#This Row],[Total]]</f>
        <v>#N/A</v>
      </c>
    </row>
    <row r="7030" spans="1:22" hidden="1" x14ac:dyDescent="0.25">
      <c r="A7030" s="100">
        <v>45991</v>
      </c>
      <c r="B7030" t="str">
        <f t="shared" si="532"/>
        <v>November</v>
      </c>
      <c r="C7030" s="46" t="s">
        <v>280</v>
      </c>
      <c r="F7030" s="366" t="s">
        <v>3535</v>
      </c>
      <c r="G7030" s="46" t="s">
        <v>394</v>
      </c>
      <c r="H7030" s="46">
        <v>16</v>
      </c>
      <c r="I7030" s="51">
        <v>224.29</v>
      </c>
      <c r="J7030" s="281">
        <f>++Tabla4[[#This Row],[Precio Bruto]]*1.16</f>
        <v>260.1764</v>
      </c>
      <c r="K7030" s="281">
        <f>+Tabla4[[#This Row],[Precio Unitario Neto]]*Tabla4[[#Headers],[20.85%]]</f>
        <v>54.246779400000001</v>
      </c>
      <c r="L7030" s="282">
        <f>++Tabla4[[#This Row],[Precio Unitario Neto]]-Tabla4[[#This Row],[20.85%]]</f>
        <v>205.92962059999999</v>
      </c>
      <c r="M7030" s="282" t="e">
        <f>(INDEX(Tabla6[#All],MATCH(Tabla4[[#This Row],[Producto]],Tabla6[[#All],[PRODUCTO]],0),MATCH(Tabla4[[#This Row],[Mes]],Tabla6[#Headers],0)))*(1+Catalogos!$L$2)</f>
        <v>#N/A</v>
      </c>
      <c r="N7030" s="283" t="e">
        <f>+(Tabla4[[#This Row],[Precio Descontado]]-Tabla4[[#This Row],[Precio Base]])*Tabla4[[#This Row],[Cantidad]]</f>
        <v>#N/A</v>
      </c>
      <c r="O7030" s="284" t="e">
        <f>++Tabla4[[#This Row],[Utilidad Total]]/Tabla4[[#This Row],[Total]]</f>
        <v>#N/A</v>
      </c>
      <c r="P7030" s="282">
        <f>++Tabla4[[#This Row],[Precio Descontado]]*Tabla4[[#This Row],[Cantidad]]</f>
        <v>3294.8739295999999</v>
      </c>
      <c r="Q7030" s="282" t="e">
        <f>(INDEX(Tabla6[#All],MATCH(Tabla4[[#This Row],[Producto]],Tabla6[[#All],[PRODUCTO]],0),MATCH(Tabla4[[#This Row],[Mes]],Tabla6[#Headers],0)))</f>
        <v>#N/A</v>
      </c>
      <c r="R7030" s="282" t="e">
        <f>++Tabla4[[#This Row],[Precio Unitario Neto]]-Tabla4[[#This Row],[20.85%]]-Tabla4[[#This Row],[Costo]]</f>
        <v>#N/A</v>
      </c>
      <c r="S7030" s="282" t="e">
        <f>++Tabla4[[#This Row],[U. Bruta Uni]]*Tabla4[[#This Row],[Cantidad]]</f>
        <v>#N/A</v>
      </c>
      <c r="T7030" s="369" t="str">
        <f>VLOOKUP(Tabla4[[#This Row],[Producto]],Tabla6[#All],14,FALSE)</f>
        <v>Termico Solar</v>
      </c>
      <c r="U7030" s="284" t="e">
        <f>(IF(Tabla4[[#This Row],[Familia]]="termico solar",Tabla4[[#This Row],[Utilidad Total]]*6%,Tabla4[[#This Row],[Utilidad Total]]*11.5%))/Tabla4[[#This Row],[Total]]</f>
        <v>#N/A</v>
      </c>
      <c r="V7030" s="282" t="e">
        <f>+Tabla4[[#This Row],[Comisión Calculada]]*Tabla4[[#This Row],[Total]]</f>
        <v>#N/A</v>
      </c>
    </row>
    <row r="7031" spans="1:22" hidden="1" x14ac:dyDescent="0.25">
      <c r="A7031" s="100">
        <v>45991</v>
      </c>
      <c r="B7031" t="str">
        <f t="shared" ref="B7031:B7033" si="533">TEXT(A7031, "mmmm")</f>
        <v>November</v>
      </c>
      <c r="C7031" s="46" t="s">
        <v>280</v>
      </c>
      <c r="F7031" s="366" t="s">
        <v>3536</v>
      </c>
      <c r="G7031" s="46" t="s">
        <v>17</v>
      </c>
      <c r="H7031" s="46">
        <v>2</v>
      </c>
      <c r="I7031" s="51">
        <v>4622.28</v>
      </c>
      <c r="J7031" s="281">
        <f>++Tabla4[[#This Row],[Precio Bruto]]*1.16</f>
        <v>5361.8447999999989</v>
      </c>
      <c r="K7031" s="281">
        <f>+Tabla4[[#This Row],[Precio Unitario Neto]]*Tabla4[[#Headers],[20.85%]]</f>
        <v>1117.9446407999997</v>
      </c>
      <c r="L7031" s="282">
        <f>++Tabla4[[#This Row],[Precio Unitario Neto]]-Tabla4[[#This Row],[20.85%]]</f>
        <v>4243.9001591999995</v>
      </c>
      <c r="M7031" s="282" t="e">
        <f>(INDEX(Tabla6[#All],MATCH(Tabla4[[#This Row],[Producto]],Tabla6[[#All],[PRODUCTO]],0),MATCH(Tabla4[[#This Row],[Mes]],Tabla6[#Headers],0)))*(1+Catalogos!$L$2)</f>
        <v>#N/A</v>
      </c>
      <c r="N7031" s="283" t="e">
        <f>+(Tabla4[[#This Row],[Precio Descontado]]-Tabla4[[#This Row],[Precio Base]])*Tabla4[[#This Row],[Cantidad]]</f>
        <v>#N/A</v>
      </c>
      <c r="O7031" s="284" t="e">
        <f>++Tabla4[[#This Row],[Utilidad Total]]/Tabla4[[#This Row],[Total]]</f>
        <v>#N/A</v>
      </c>
      <c r="P7031" s="282">
        <f>++Tabla4[[#This Row],[Precio Descontado]]*Tabla4[[#This Row],[Cantidad]]</f>
        <v>8487.800318399999</v>
      </c>
      <c r="Q7031" s="282" t="e">
        <f>(INDEX(Tabla6[#All],MATCH(Tabla4[[#This Row],[Producto]],Tabla6[[#All],[PRODUCTO]],0),MATCH(Tabla4[[#This Row],[Mes]],Tabla6[#Headers],0)))</f>
        <v>#N/A</v>
      </c>
      <c r="R7031" s="282" t="e">
        <f>++Tabla4[[#This Row],[Precio Unitario Neto]]-Tabla4[[#This Row],[20.85%]]-Tabla4[[#This Row],[Costo]]</f>
        <v>#N/A</v>
      </c>
      <c r="S7031" s="282" t="e">
        <f>++Tabla4[[#This Row],[U. Bruta Uni]]*Tabla4[[#This Row],[Cantidad]]</f>
        <v>#N/A</v>
      </c>
      <c r="T7031" s="369" t="str">
        <f>VLOOKUP(Tabla4[[#This Row],[Producto]],Tabla6[#All],14,FALSE)</f>
        <v>Termico Solar</v>
      </c>
      <c r="U7031" s="284" t="e">
        <f>(IF(Tabla4[[#This Row],[Familia]]="termico solar",Tabla4[[#This Row],[Utilidad Total]]*6%,Tabla4[[#This Row],[Utilidad Total]]*11.5%))/Tabla4[[#This Row],[Total]]</f>
        <v>#N/A</v>
      </c>
      <c r="V7031" s="282" t="e">
        <f>+Tabla4[[#This Row],[Comisión Calculada]]*Tabla4[[#This Row],[Total]]</f>
        <v>#N/A</v>
      </c>
    </row>
    <row r="7032" spans="1:22" hidden="1" x14ac:dyDescent="0.25">
      <c r="A7032" s="100">
        <v>45991</v>
      </c>
      <c r="B7032" t="str">
        <f t="shared" si="533"/>
        <v>November</v>
      </c>
      <c r="C7032" s="46" t="s">
        <v>280</v>
      </c>
      <c r="F7032" s="366" t="s">
        <v>3536</v>
      </c>
      <c r="G7032" s="46" t="s">
        <v>18</v>
      </c>
      <c r="H7032" s="46">
        <v>3</v>
      </c>
      <c r="I7032" s="51">
        <v>5367.6500000000005</v>
      </c>
      <c r="J7032" s="281">
        <f>++Tabla4[[#This Row],[Precio Bruto]]*1.16</f>
        <v>6226.4740000000002</v>
      </c>
      <c r="K7032" s="281">
        <f>+Tabla4[[#This Row],[Precio Unitario Neto]]*Tabla4[[#Headers],[20.85%]]</f>
        <v>1298.2198289999999</v>
      </c>
      <c r="L7032" s="282">
        <f>++Tabla4[[#This Row],[Precio Unitario Neto]]-Tabla4[[#This Row],[20.85%]]</f>
        <v>4928.2541710000005</v>
      </c>
      <c r="M7032" s="282" t="e">
        <f>(INDEX(Tabla6[#All],MATCH(Tabla4[[#This Row],[Producto]],Tabla6[[#All],[PRODUCTO]],0),MATCH(Tabla4[[#This Row],[Mes]],Tabla6[#Headers],0)))*(1+Catalogos!$L$2)</f>
        <v>#N/A</v>
      </c>
      <c r="N7032" s="283" t="e">
        <f>+(Tabla4[[#This Row],[Precio Descontado]]-Tabla4[[#This Row],[Precio Base]])*Tabla4[[#This Row],[Cantidad]]</f>
        <v>#N/A</v>
      </c>
      <c r="O7032" s="284" t="e">
        <f>++Tabla4[[#This Row],[Utilidad Total]]/Tabla4[[#This Row],[Total]]</f>
        <v>#N/A</v>
      </c>
      <c r="P7032" s="282">
        <f>++Tabla4[[#This Row],[Precio Descontado]]*Tabla4[[#This Row],[Cantidad]]</f>
        <v>14784.762513000001</v>
      </c>
      <c r="Q7032" s="282" t="e">
        <f>(INDEX(Tabla6[#All],MATCH(Tabla4[[#This Row],[Producto]],Tabla6[[#All],[PRODUCTO]],0),MATCH(Tabla4[[#This Row],[Mes]],Tabla6[#Headers],0)))</f>
        <v>#N/A</v>
      </c>
      <c r="R7032" s="282" t="e">
        <f>++Tabla4[[#This Row],[Precio Unitario Neto]]-Tabla4[[#This Row],[20.85%]]-Tabla4[[#This Row],[Costo]]</f>
        <v>#N/A</v>
      </c>
      <c r="S7032" s="282" t="e">
        <f>++Tabla4[[#This Row],[U. Bruta Uni]]*Tabla4[[#This Row],[Cantidad]]</f>
        <v>#N/A</v>
      </c>
      <c r="T7032" s="369" t="str">
        <f>VLOOKUP(Tabla4[[#This Row],[Producto]],Tabla6[#All],14,FALSE)</f>
        <v>Termico Solar</v>
      </c>
      <c r="U7032" s="284" t="e">
        <f>(IF(Tabla4[[#This Row],[Familia]]="termico solar",Tabla4[[#This Row],[Utilidad Total]]*6%,Tabla4[[#This Row],[Utilidad Total]]*11.5%))/Tabla4[[#This Row],[Total]]</f>
        <v>#N/A</v>
      </c>
      <c r="V7032" s="282" t="e">
        <f>+Tabla4[[#This Row],[Comisión Calculada]]*Tabla4[[#This Row],[Total]]</f>
        <v>#N/A</v>
      </c>
    </row>
    <row r="7033" spans="1:22" hidden="1" x14ac:dyDescent="0.25">
      <c r="A7033" s="100">
        <v>45991</v>
      </c>
      <c r="B7033" t="str">
        <f t="shared" si="533"/>
        <v>November</v>
      </c>
      <c r="C7033" s="46" t="s">
        <v>280</v>
      </c>
      <c r="F7033" s="366" t="s">
        <v>3536</v>
      </c>
      <c r="G7033" s="46" t="s">
        <v>16</v>
      </c>
      <c r="H7033" s="46">
        <v>1</v>
      </c>
      <c r="I7033" s="51">
        <v>4103.8500000000004</v>
      </c>
      <c r="J7033" s="281">
        <f>++Tabla4[[#This Row],[Precio Bruto]]*1.16</f>
        <v>4760.4660000000003</v>
      </c>
      <c r="K7033" s="281">
        <f>+Tabla4[[#This Row],[Precio Unitario Neto]]*Tabla4[[#Headers],[20.85%]]</f>
        <v>992.55716100000006</v>
      </c>
      <c r="L7033" s="282">
        <f>++Tabla4[[#This Row],[Precio Unitario Neto]]-Tabla4[[#This Row],[20.85%]]</f>
        <v>3767.9088390000002</v>
      </c>
      <c r="M7033" s="282" t="e">
        <f>(INDEX(Tabla6[#All],MATCH(Tabla4[[#This Row],[Producto]],Tabla6[[#All],[PRODUCTO]],0),MATCH(Tabla4[[#This Row],[Mes]],Tabla6[#Headers],0)))*(1+Catalogos!$L$2)</f>
        <v>#N/A</v>
      </c>
      <c r="N7033" s="283" t="e">
        <f>+(Tabla4[[#This Row],[Precio Descontado]]-Tabla4[[#This Row],[Precio Base]])*Tabla4[[#This Row],[Cantidad]]</f>
        <v>#N/A</v>
      </c>
      <c r="O7033" s="284" t="e">
        <f>++Tabla4[[#This Row],[Utilidad Total]]/Tabla4[[#This Row],[Total]]</f>
        <v>#N/A</v>
      </c>
      <c r="P7033" s="282">
        <f>++Tabla4[[#This Row],[Precio Descontado]]*Tabla4[[#This Row],[Cantidad]]</f>
        <v>3767.9088390000002</v>
      </c>
      <c r="Q7033" s="282" t="e">
        <f>(INDEX(Tabla6[#All],MATCH(Tabla4[[#This Row],[Producto]],Tabla6[[#All],[PRODUCTO]],0),MATCH(Tabla4[[#This Row],[Mes]],Tabla6[#Headers],0)))</f>
        <v>#N/A</v>
      </c>
      <c r="R7033" s="282" t="e">
        <f>++Tabla4[[#This Row],[Precio Unitario Neto]]-Tabla4[[#This Row],[20.85%]]-Tabla4[[#This Row],[Costo]]</f>
        <v>#N/A</v>
      </c>
      <c r="S7033" s="282" t="e">
        <f>++Tabla4[[#This Row],[U. Bruta Uni]]*Tabla4[[#This Row],[Cantidad]]</f>
        <v>#N/A</v>
      </c>
      <c r="T7033" s="369" t="str">
        <f>VLOOKUP(Tabla4[[#This Row],[Producto]],Tabla6[#All],14,FALSE)</f>
        <v>Termico Solar</v>
      </c>
      <c r="U7033" s="284" t="e">
        <f>(IF(Tabla4[[#This Row],[Familia]]="termico solar",Tabla4[[#This Row],[Utilidad Total]]*6%,Tabla4[[#This Row],[Utilidad Total]]*11.5%))/Tabla4[[#This Row],[Total]]</f>
        <v>#N/A</v>
      </c>
      <c r="V7033" s="282" t="e">
        <f>+Tabla4[[#This Row],[Comisión Calculada]]*Tabla4[[#This Row],[Total]]</f>
        <v>#N/A</v>
      </c>
    </row>
    <row r="7034" spans="1:22" hidden="1" x14ac:dyDescent="0.25">
      <c r="A7034" s="100">
        <v>45991</v>
      </c>
      <c r="B7034" t="str">
        <f t="shared" ref="B7034:B7036" si="534">TEXT(A7034, "mmmm")</f>
        <v>November</v>
      </c>
      <c r="C7034" s="46" t="s">
        <v>280</v>
      </c>
      <c r="F7034" s="366" t="s">
        <v>3537</v>
      </c>
      <c r="G7034" s="46" t="s">
        <v>17</v>
      </c>
      <c r="H7034" s="46">
        <v>1</v>
      </c>
      <c r="I7034" s="51">
        <v>4622.28</v>
      </c>
      <c r="J7034" s="281">
        <f>++Tabla4[[#This Row],[Precio Bruto]]*1.16</f>
        <v>5361.8447999999989</v>
      </c>
      <c r="K7034" s="281">
        <f>+Tabla4[[#This Row],[Precio Unitario Neto]]*Tabla4[[#Headers],[20.85%]]</f>
        <v>1117.9446407999997</v>
      </c>
      <c r="L7034" s="282">
        <f>++Tabla4[[#This Row],[Precio Unitario Neto]]-Tabla4[[#This Row],[20.85%]]</f>
        <v>4243.9001591999995</v>
      </c>
      <c r="M7034" s="282" t="e">
        <f>(INDEX(Tabla6[#All],MATCH(Tabla4[[#This Row],[Producto]],Tabla6[[#All],[PRODUCTO]],0),MATCH(Tabla4[[#This Row],[Mes]],Tabla6[#Headers],0)))*(1+Catalogos!$L$2)</f>
        <v>#N/A</v>
      </c>
      <c r="N7034" s="283" t="e">
        <f>+(Tabla4[[#This Row],[Precio Descontado]]-Tabla4[[#This Row],[Precio Base]])*Tabla4[[#This Row],[Cantidad]]</f>
        <v>#N/A</v>
      </c>
      <c r="O7034" s="284" t="e">
        <f>++Tabla4[[#This Row],[Utilidad Total]]/Tabla4[[#This Row],[Total]]</f>
        <v>#N/A</v>
      </c>
      <c r="P7034" s="282">
        <f>++Tabla4[[#This Row],[Precio Descontado]]*Tabla4[[#This Row],[Cantidad]]</f>
        <v>4243.9001591999995</v>
      </c>
      <c r="Q7034" s="282" t="e">
        <f>(INDEX(Tabla6[#All],MATCH(Tabla4[[#This Row],[Producto]],Tabla6[[#All],[PRODUCTO]],0),MATCH(Tabla4[[#This Row],[Mes]],Tabla6[#Headers],0)))</f>
        <v>#N/A</v>
      </c>
      <c r="R7034" s="282" t="e">
        <f>++Tabla4[[#This Row],[Precio Unitario Neto]]-Tabla4[[#This Row],[20.85%]]-Tabla4[[#This Row],[Costo]]</f>
        <v>#N/A</v>
      </c>
      <c r="S7034" s="282" t="e">
        <f>++Tabla4[[#This Row],[U. Bruta Uni]]*Tabla4[[#This Row],[Cantidad]]</f>
        <v>#N/A</v>
      </c>
      <c r="T7034" s="369" t="str">
        <f>VLOOKUP(Tabla4[[#This Row],[Producto]],Tabla6[#All],14,FALSE)</f>
        <v>Termico Solar</v>
      </c>
      <c r="U7034" s="284" t="e">
        <f>(IF(Tabla4[[#This Row],[Familia]]="termico solar",Tabla4[[#This Row],[Utilidad Total]]*6%,Tabla4[[#This Row],[Utilidad Total]]*11.5%))/Tabla4[[#This Row],[Total]]</f>
        <v>#N/A</v>
      </c>
      <c r="V7034" s="282" t="e">
        <f>+Tabla4[[#This Row],[Comisión Calculada]]*Tabla4[[#This Row],[Total]]</f>
        <v>#N/A</v>
      </c>
    </row>
    <row r="7035" spans="1:22" hidden="1" x14ac:dyDescent="0.25">
      <c r="A7035" s="100">
        <v>45991</v>
      </c>
      <c r="B7035" t="str">
        <f t="shared" si="534"/>
        <v>November</v>
      </c>
      <c r="C7035" s="46" t="s">
        <v>280</v>
      </c>
      <c r="F7035" s="366" t="s">
        <v>3537</v>
      </c>
      <c r="G7035" s="46" t="s">
        <v>16</v>
      </c>
      <c r="H7035" s="46">
        <v>1</v>
      </c>
      <c r="I7035" s="51">
        <v>4103.8500000000004</v>
      </c>
      <c r="J7035" s="281">
        <f>++Tabla4[[#This Row],[Precio Bruto]]*1.16</f>
        <v>4760.4660000000003</v>
      </c>
      <c r="K7035" s="281">
        <f>+Tabla4[[#This Row],[Precio Unitario Neto]]*Tabla4[[#Headers],[20.85%]]</f>
        <v>992.55716100000006</v>
      </c>
      <c r="L7035" s="282">
        <f>++Tabla4[[#This Row],[Precio Unitario Neto]]-Tabla4[[#This Row],[20.85%]]</f>
        <v>3767.9088390000002</v>
      </c>
      <c r="M7035" s="282" t="e">
        <f>(INDEX(Tabla6[#All],MATCH(Tabla4[[#This Row],[Producto]],Tabla6[[#All],[PRODUCTO]],0),MATCH(Tabla4[[#This Row],[Mes]],Tabla6[#Headers],0)))*(1+Catalogos!$L$2)</f>
        <v>#N/A</v>
      </c>
      <c r="N7035" s="283" t="e">
        <f>+(Tabla4[[#This Row],[Precio Descontado]]-Tabla4[[#This Row],[Precio Base]])*Tabla4[[#This Row],[Cantidad]]</f>
        <v>#N/A</v>
      </c>
      <c r="O7035" s="284" t="e">
        <f>++Tabla4[[#This Row],[Utilidad Total]]/Tabla4[[#This Row],[Total]]</f>
        <v>#N/A</v>
      </c>
      <c r="P7035" s="282">
        <f>++Tabla4[[#This Row],[Precio Descontado]]*Tabla4[[#This Row],[Cantidad]]</f>
        <v>3767.9088390000002</v>
      </c>
      <c r="Q7035" s="282" t="e">
        <f>(INDEX(Tabla6[#All],MATCH(Tabla4[[#This Row],[Producto]],Tabla6[[#All],[PRODUCTO]],0),MATCH(Tabla4[[#This Row],[Mes]],Tabla6[#Headers],0)))</f>
        <v>#N/A</v>
      </c>
      <c r="R7035" s="282" t="e">
        <f>++Tabla4[[#This Row],[Precio Unitario Neto]]-Tabla4[[#This Row],[20.85%]]-Tabla4[[#This Row],[Costo]]</f>
        <v>#N/A</v>
      </c>
      <c r="S7035" s="282" t="e">
        <f>++Tabla4[[#This Row],[U. Bruta Uni]]*Tabla4[[#This Row],[Cantidad]]</f>
        <v>#N/A</v>
      </c>
      <c r="T7035" s="369" t="str">
        <f>VLOOKUP(Tabla4[[#This Row],[Producto]],Tabla6[#All],14,FALSE)</f>
        <v>Termico Solar</v>
      </c>
      <c r="U7035" s="284" t="e">
        <f>(IF(Tabla4[[#This Row],[Familia]]="termico solar",Tabla4[[#This Row],[Utilidad Total]]*6%,Tabla4[[#This Row],[Utilidad Total]]*11.5%))/Tabla4[[#This Row],[Total]]</f>
        <v>#N/A</v>
      </c>
      <c r="V7035" s="282" t="e">
        <f>+Tabla4[[#This Row],[Comisión Calculada]]*Tabla4[[#This Row],[Total]]</f>
        <v>#N/A</v>
      </c>
    </row>
    <row r="7036" spans="1:22" hidden="1" x14ac:dyDescent="0.25">
      <c r="A7036" s="100">
        <v>45991</v>
      </c>
      <c r="B7036" t="str">
        <f t="shared" si="534"/>
        <v>November</v>
      </c>
      <c r="C7036" s="46" t="s">
        <v>280</v>
      </c>
      <c r="F7036" s="366" t="s">
        <v>3537</v>
      </c>
      <c r="G7036" s="46" t="s">
        <v>208</v>
      </c>
      <c r="H7036" s="46">
        <v>2</v>
      </c>
      <c r="I7036" s="51">
        <v>189.75</v>
      </c>
      <c r="J7036" s="281">
        <f>++Tabla4[[#This Row],[Precio Bruto]]*1.16</f>
        <v>220.10999999999999</v>
      </c>
      <c r="K7036" s="281">
        <f>+Tabla4[[#This Row],[Precio Unitario Neto]]*Tabla4[[#Headers],[20.85%]]</f>
        <v>45.892934999999994</v>
      </c>
      <c r="L7036" s="282">
        <f>++Tabla4[[#This Row],[Precio Unitario Neto]]-Tabla4[[#This Row],[20.85%]]</f>
        <v>174.21706499999999</v>
      </c>
      <c r="M7036" s="282" t="e">
        <f>(INDEX(Tabla6[#All],MATCH(Tabla4[[#This Row],[Producto]],Tabla6[[#All],[PRODUCTO]],0),MATCH(Tabla4[[#This Row],[Mes]],Tabla6[#Headers],0)))*(1+Catalogos!$L$2)</f>
        <v>#N/A</v>
      </c>
      <c r="N7036" s="283" t="e">
        <f>+(Tabla4[[#This Row],[Precio Descontado]]-Tabla4[[#This Row],[Precio Base]])*Tabla4[[#This Row],[Cantidad]]</f>
        <v>#N/A</v>
      </c>
      <c r="O7036" s="284" t="e">
        <f>++Tabla4[[#This Row],[Utilidad Total]]/Tabla4[[#This Row],[Total]]</f>
        <v>#N/A</v>
      </c>
      <c r="P7036" s="282">
        <f>++Tabla4[[#This Row],[Precio Descontado]]*Tabla4[[#This Row],[Cantidad]]</f>
        <v>348.43412999999998</v>
      </c>
      <c r="Q7036" s="282" t="e">
        <f>(INDEX(Tabla6[#All],MATCH(Tabla4[[#This Row],[Producto]],Tabla6[[#All],[PRODUCTO]],0),MATCH(Tabla4[[#This Row],[Mes]],Tabla6[#Headers],0)))</f>
        <v>#N/A</v>
      </c>
      <c r="R7036" s="282" t="e">
        <f>++Tabla4[[#This Row],[Precio Unitario Neto]]-Tabla4[[#This Row],[20.85%]]-Tabla4[[#This Row],[Costo]]</f>
        <v>#N/A</v>
      </c>
      <c r="S7036" s="282" t="e">
        <f>++Tabla4[[#This Row],[U. Bruta Uni]]*Tabla4[[#This Row],[Cantidad]]</f>
        <v>#N/A</v>
      </c>
      <c r="T7036" s="369" t="str">
        <f>VLOOKUP(Tabla4[[#This Row],[Producto]],Tabla6[#All],14,FALSE)</f>
        <v>Termico Solar</v>
      </c>
      <c r="U7036" s="284" t="e">
        <f>(IF(Tabla4[[#This Row],[Familia]]="termico solar",Tabla4[[#This Row],[Utilidad Total]]*6%,Tabla4[[#This Row],[Utilidad Total]]*11.5%))/Tabla4[[#This Row],[Total]]</f>
        <v>#N/A</v>
      </c>
      <c r="V7036" s="282" t="e">
        <f>+Tabla4[[#This Row],[Comisión Calculada]]*Tabla4[[#This Row],[Total]]</f>
        <v>#N/A</v>
      </c>
    </row>
    <row r="7037" spans="1:22" hidden="1" x14ac:dyDescent="0.25">
      <c r="A7037" s="100">
        <v>45991</v>
      </c>
      <c r="B7037" t="str">
        <f t="shared" ref="B7037:B7040" si="535">TEXT(A7037, "mmmm")</f>
        <v>November</v>
      </c>
      <c r="C7037" s="46" t="s">
        <v>280</v>
      </c>
      <c r="F7037" s="366" t="s">
        <v>3538</v>
      </c>
      <c r="G7037" s="46" t="s">
        <v>18</v>
      </c>
      <c r="H7037" s="46">
        <v>1</v>
      </c>
      <c r="I7037" s="51">
        <v>5367.65</v>
      </c>
      <c r="J7037" s="281">
        <f>++Tabla4[[#This Row],[Precio Bruto]]*1.16</f>
        <v>6226.4739999999993</v>
      </c>
      <c r="K7037" s="281">
        <f>+Tabla4[[#This Row],[Precio Unitario Neto]]*Tabla4[[#Headers],[20.85%]]</f>
        <v>1298.2198289999999</v>
      </c>
      <c r="L7037" s="282">
        <f>++Tabla4[[#This Row],[Precio Unitario Neto]]-Tabla4[[#This Row],[20.85%]]</f>
        <v>4928.2541709999996</v>
      </c>
      <c r="M7037" s="282" t="e">
        <f>(INDEX(Tabla6[#All],MATCH(Tabla4[[#This Row],[Producto]],Tabla6[[#All],[PRODUCTO]],0),MATCH(Tabla4[[#This Row],[Mes]],Tabla6[#Headers],0)))*(1+Catalogos!$L$2)</f>
        <v>#N/A</v>
      </c>
      <c r="N7037" s="283" t="e">
        <f>+(Tabla4[[#This Row],[Precio Descontado]]-Tabla4[[#This Row],[Precio Base]])*Tabla4[[#This Row],[Cantidad]]</f>
        <v>#N/A</v>
      </c>
      <c r="O7037" s="284" t="e">
        <f>++Tabla4[[#This Row],[Utilidad Total]]/Tabla4[[#This Row],[Total]]</f>
        <v>#N/A</v>
      </c>
      <c r="P7037" s="282">
        <f>++Tabla4[[#This Row],[Precio Descontado]]*Tabla4[[#This Row],[Cantidad]]</f>
        <v>4928.2541709999996</v>
      </c>
      <c r="Q7037" s="282" t="e">
        <f>(INDEX(Tabla6[#All],MATCH(Tabla4[[#This Row],[Producto]],Tabla6[[#All],[PRODUCTO]],0),MATCH(Tabla4[[#This Row],[Mes]],Tabla6[#Headers],0)))</f>
        <v>#N/A</v>
      </c>
      <c r="R7037" s="282" t="e">
        <f>++Tabla4[[#This Row],[Precio Unitario Neto]]-Tabla4[[#This Row],[20.85%]]-Tabla4[[#This Row],[Costo]]</f>
        <v>#N/A</v>
      </c>
      <c r="S7037" s="282" t="e">
        <f>++Tabla4[[#This Row],[U. Bruta Uni]]*Tabla4[[#This Row],[Cantidad]]</f>
        <v>#N/A</v>
      </c>
      <c r="T7037" s="369" t="str">
        <f>VLOOKUP(Tabla4[[#This Row],[Producto]],Tabla6[#All],14,FALSE)</f>
        <v>Termico Solar</v>
      </c>
      <c r="U7037" s="284" t="e">
        <f>(IF(Tabla4[[#This Row],[Familia]]="termico solar",Tabla4[[#This Row],[Utilidad Total]]*6%,Tabla4[[#This Row],[Utilidad Total]]*11.5%))/Tabla4[[#This Row],[Total]]</f>
        <v>#N/A</v>
      </c>
      <c r="V7037" s="282" t="e">
        <f>+Tabla4[[#This Row],[Comisión Calculada]]*Tabla4[[#This Row],[Total]]</f>
        <v>#N/A</v>
      </c>
    </row>
    <row r="7038" spans="1:22" hidden="1" x14ac:dyDescent="0.25">
      <c r="A7038" s="100">
        <v>45991</v>
      </c>
      <c r="B7038" t="str">
        <f t="shared" si="535"/>
        <v>November</v>
      </c>
      <c r="C7038" s="46" t="s">
        <v>280</v>
      </c>
      <c r="F7038" s="366" t="s">
        <v>3538</v>
      </c>
      <c r="G7038" s="46" t="s">
        <v>566</v>
      </c>
      <c r="H7038" s="46">
        <v>1</v>
      </c>
      <c r="I7038" s="51">
        <v>2109.4499999999998</v>
      </c>
      <c r="J7038" s="281">
        <f>++Tabla4[[#This Row],[Precio Bruto]]*1.16</f>
        <v>2446.9619999999995</v>
      </c>
      <c r="K7038" s="281">
        <f>+Tabla4[[#This Row],[Precio Unitario Neto]]*Tabla4[[#Headers],[20.85%]]</f>
        <v>510.19157699999988</v>
      </c>
      <c r="L7038" s="282">
        <f>++Tabla4[[#This Row],[Precio Unitario Neto]]-Tabla4[[#This Row],[20.85%]]</f>
        <v>1936.7704229999997</v>
      </c>
      <c r="M7038" s="282" t="e">
        <f>(INDEX(Tabla6[#All],MATCH(Tabla4[[#This Row],[Producto]],Tabla6[[#All],[PRODUCTO]],0),MATCH(Tabla4[[#This Row],[Mes]],Tabla6[#Headers],0)))*(1+Catalogos!$L$2)</f>
        <v>#N/A</v>
      </c>
      <c r="N7038" s="283" t="e">
        <f>+(Tabla4[[#This Row],[Precio Descontado]]-Tabla4[[#This Row],[Precio Base]])*Tabla4[[#This Row],[Cantidad]]</f>
        <v>#N/A</v>
      </c>
      <c r="O7038" s="284" t="e">
        <f>++Tabla4[[#This Row],[Utilidad Total]]/Tabla4[[#This Row],[Total]]</f>
        <v>#N/A</v>
      </c>
      <c r="P7038" s="282">
        <f>++Tabla4[[#This Row],[Precio Descontado]]*Tabla4[[#This Row],[Cantidad]]</f>
        <v>1936.7704229999997</v>
      </c>
      <c r="Q7038" s="282" t="e">
        <f>(INDEX(Tabla6[#All],MATCH(Tabla4[[#This Row],[Producto]],Tabla6[[#All],[PRODUCTO]],0),MATCH(Tabla4[[#This Row],[Mes]],Tabla6[#Headers],0)))</f>
        <v>#N/A</v>
      </c>
      <c r="R7038" s="282" t="e">
        <f>++Tabla4[[#This Row],[Precio Unitario Neto]]-Tabla4[[#This Row],[20.85%]]-Tabla4[[#This Row],[Costo]]</f>
        <v>#N/A</v>
      </c>
      <c r="S7038" s="282" t="e">
        <f>++Tabla4[[#This Row],[U. Bruta Uni]]*Tabla4[[#This Row],[Cantidad]]</f>
        <v>#N/A</v>
      </c>
      <c r="T7038" s="369" t="str">
        <f>VLOOKUP(Tabla4[[#This Row],[Producto]],Tabla6[#All],14,FALSE)</f>
        <v>Termico Solar</v>
      </c>
      <c r="U7038" s="284" t="e">
        <f>(IF(Tabla4[[#This Row],[Familia]]="termico solar",Tabla4[[#This Row],[Utilidad Total]]*6%,Tabla4[[#This Row],[Utilidad Total]]*11.5%))/Tabla4[[#This Row],[Total]]</f>
        <v>#N/A</v>
      </c>
      <c r="V7038" s="282" t="e">
        <f>+Tabla4[[#This Row],[Comisión Calculada]]*Tabla4[[#This Row],[Total]]</f>
        <v>#N/A</v>
      </c>
    </row>
    <row r="7039" spans="1:22" hidden="1" x14ac:dyDescent="0.25">
      <c r="A7039" s="100">
        <v>45991</v>
      </c>
      <c r="B7039" t="str">
        <f t="shared" si="535"/>
        <v>November</v>
      </c>
      <c r="C7039" s="46" t="s">
        <v>280</v>
      </c>
      <c r="F7039" s="366" t="s">
        <v>3538</v>
      </c>
      <c r="G7039" s="46" t="s">
        <v>412</v>
      </c>
      <c r="H7039" s="46">
        <v>1</v>
      </c>
      <c r="I7039" s="51">
        <v>3240.84</v>
      </c>
      <c r="J7039" s="281">
        <f>++Tabla4[[#This Row],[Precio Bruto]]*1.16</f>
        <v>3759.3743999999997</v>
      </c>
      <c r="K7039" s="281">
        <f>+Tabla4[[#This Row],[Precio Unitario Neto]]*Tabla4[[#Headers],[20.85%]]</f>
        <v>783.82956239999987</v>
      </c>
      <c r="L7039" s="282">
        <f>++Tabla4[[#This Row],[Precio Unitario Neto]]-Tabla4[[#This Row],[20.85%]]</f>
        <v>2975.5448375999999</v>
      </c>
      <c r="M7039" s="282" t="e">
        <f>(INDEX(Tabla6[#All],MATCH(Tabla4[[#This Row],[Producto]],Tabla6[[#All],[PRODUCTO]],0),MATCH(Tabla4[[#This Row],[Mes]],Tabla6[#Headers],0)))*(1+Catalogos!$L$2)</f>
        <v>#N/A</v>
      </c>
      <c r="N7039" s="283" t="e">
        <f>+(Tabla4[[#This Row],[Precio Descontado]]-Tabla4[[#This Row],[Precio Base]])*Tabla4[[#This Row],[Cantidad]]</f>
        <v>#N/A</v>
      </c>
      <c r="O7039" s="284" t="e">
        <f>++Tabla4[[#This Row],[Utilidad Total]]/Tabla4[[#This Row],[Total]]</f>
        <v>#N/A</v>
      </c>
      <c r="P7039" s="282">
        <f>++Tabla4[[#This Row],[Precio Descontado]]*Tabla4[[#This Row],[Cantidad]]</f>
        <v>2975.5448375999999</v>
      </c>
      <c r="Q7039" s="282" t="e">
        <f>(INDEX(Tabla6[#All],MATCH(Tabla4[[#This Row],[Producto]],Tabla6[[#All],[PRODUCTO]],0),MATCH(Tabla4[[#This Row],[Mes]],Tabla6[#Headers],0)))</f>
        <v>#N/A</v>
      </c>
      <c r="R7039" s="282" t="e">
        <f>++Tabla4[[#This Row],[Precio Unitario Neto]]-Tabla4[[#This Row],[20.85%]]-Tabla4[[#This Row],[Costo]]</f>
        <v>#N/A</v>
      </c>
      <c r="S7039" s="282" t="e">
        <f>++Tabla4[[#This Row],[U. Bruta Uni]]*Tabla4[[#This Row],[Cantidad]]</f>
        <v>#N/A</v>
      </c>
      <c r="T7039" s="369" t="str">
        <f>VLOOKUP(Tabla4[[#This Row],[Producto]],Tabla6[#All],14,FALSE)</f>
        <v>Termico Solar</v>
      </c>
      <c r="U7039" s="284" t="e">
        <f>(IF(Tabla4[[#This Row],[Familia]]="termico solar",Tabla4[[#This Row],[Utilidad Total]]*6%,Tabla4[[#This Row],[Utilidad Total]]*11.5%))/Tabla4[[#This Row],[Total]]</f>
        <v>#N/A</v>
      </c>
      <c r="V7039" s="282" t="e">
        <f>+Tabla4[[#This Row],[Comisión Calculada]]*Tabla4[[#This Row],[Total]]</f>
        <v>#N/A</v>
      </c>
    </row>
    <row r="7040" spans="1:22" hidden="1" x14ac:dyDescent="0.25">
      <c r="A7040" s="100">
        <v>45991</v>
      </c>
      <c r="B7040" t="str">
        <f t="shared" si="535"/>
        <v>November</v>
      </c>
      <c r="C7040" s="46" t="s">
        <v>280</v>
      </c>
      <c r="F7040" s="366" t="s">
        <v>3538</v>
      </c>
      <c r="G7040" s="46" t="s">
        <v>555</v>
      </c>
      <c r="H7040" s="46">
        <v>8</v>
      </c>
      <c r="I7040" s="51">
        <v>389.47</v>
      </c>
      <c r="J7040" s="281">
        <f>++Tabla4[[#This Row],[Precio Bruto]]*1.16</f>
        <v>451.78519999999997</v>
      </c>
      <c r="K7040" s="281">
        <f>+Tabla4[[#This Row],[Precio Unitario Neto]]*Tabla4[[#Headers],[20.85%]]</f>
        <v>94.197214199999991</v>
      </c>
      <c r="L7040" s="282">
        <f>++Tabla4[[#This Row],[Precio Unitario Neto]]-Tabla4[[#This Row],[20.85%]]</f>
        <v>357.58798579999996</v>
      </c>
      <c r="M7040" s="282" t="e">
        <f>(INDEX(Tabla6[#All],MATCH(Tabla4[[#This Row],[Producto]],Tabla6[[#All],[PRODUCTO]],0),MATCH(Tabla4[[#This Row],[Mes]],Tabla6[#Headers],0)))*(1+Catalogos!$L$2)</f>
        <v>#N/A</v>
      </c>
      <c r="N7040" s="283" t="e">
        <f>+(Tabla4[[#This Row],[Precio Descontado]]-Tabla4[[#This Row],[Precio Base]])*Tabla4[[#This Row],[Cantidad]]</f>
        <v>#N/A</v>
      </c>
      <c r="O7040" s="284" t="e">
        <f>++Tabla4[[#This Row],[Utilidad Total]]/Tabla4[[#This Row],[Total]]</f>
        <v>#N/A</v>
      </c>
      <c r="P7040" s="282">
        <f>++Tabla4[[#This Row],[Precio Descontado]]*Tabla4[[#This Row],[Cantidad]]</f>
        <v>2860.7038863999996</v>
      </c>
      <c r="Q7040" s="282" t="e">
        <f>(INDEX(Tabla6[#All],MATCH(Tabla4[[#This Row],[Producto]],Tabla6[[#All],[PRODUCTO]],0),MATCH(Tabla4[[#This Row],[Mes]],Tabla6[#Headers],0)))</f>
        <v>#N/A</v>
      </c>
      <c r="R7040" s="282" t="e">
        <f>++Tabla4[[#This Row],[Precio Unitario Neto]]-Tabla4[[#This Row],[20.85%]]-Tabla4[[#This Row],[Costo]]</f>
        <v>#N/A</v>
      </c>
      <c r="S7040" s="282" t="e">
        <f>++Tabla4[[#This Row],[U. Bruta Uni]]*Tabla4[[#This Row],[Cantidad]]</f>
        <v>#N/A</v>
      </c>
      <c r="T7040" s="369" t="str">
        <f>VLOOKUP(Tabla4[[#This Row],[Producto]],Tabla6[#All],14,FALSE)</f>
        <v>Termico Solar</v>
      </c>
      <c r="U7040" s="284" t="e">
        <f>(IF(Tabla4[[#This Row],[Familia]]="termico solar",Tabla4[[#This Row],[Utilidad Total]]*6%,Tabla4[[#This Row],[Utilidad Total]]*11.5%))/Tabla4[[#This Row],[Total]]</f>
        <v>#N/A</v>
      </c>
      <c r="V7040" s="282" t="e">
        <f>+Tabla4[[#This Row],[Comisión Calculada]]*Tabla4[[#This Row],[Total]]</f>
        <v>#N/A</v>
      </c>
    </row>
    <row r="7041" spans="1:22" hidden="1" x14ac:dyDescent="0.25">
      <c r="A7041" s="100">
        <v>45991</v>
      </c>
      <c r="B7041" t="str">
        <f>TEXT(A7041, "mmmm")</f>
        <v>November</v>
      </c>
      <c r="C7041" s="46" t="s">
        <v>280</v>
      </c>
      <c r="F7041" s="366" t="s">
        <v>3539</v>
      </c>
      <c r="G7041" s="46" t="s">
        <v>208</v>
      </c>
      <c r="H7041" s="46">
        <v>2</v>
      </c>
      <c r="I7041" s="51">
        <v>189.75</v>
      </c>
      <c r="J7041" s="281">
        <f>++Tabla4[[#This Row],[Precio Bruto]]*1.16</f>
        <v>220.10999999999999</v>
      </c>
      <c r="K7041" s="281">
        <f>+Tabla4[[#This Row],[Precio Unitario Neto]]*Tabla4[[#Headers],[20.85%]]</f>
        <v>45.892934999999994</v>
      </c>
      <c r="L7041" s="282">
        <f>++Tabla4[[#This Row],[Precio Unitario Neto]]-Tabla4[[#This Row],[20.85%]]</f>
        <v>174.21706499999999</v>
      </c>
      <c r="M7041" s="282" t="e">
        <f>(INDEX(Tabla6[#All],MATCH(Tabla4[[#This Row],[Producto]],Tabla6[[#All],[PRODUCTO]],0),MATCH(Tabla4[[#This Row],[Mes]],Tabla6[#Headers],0)))*(1+Catalogos!$L$2)</f>
        <v>#N/A</v>
      </c>
      <c r="N7041" s="283" t="e">
        <f>+(Tabla4[[#This Row],[Precio Descontado]]-Tabla4[[#This Row],[Precio Base]])*Tabla4[[#This Row],[Cantidad]]</f>
        <v>#N/A</v>
      </c>
      <c r="O7041" s="284" t="e">
        <f>++Tabla4[[#This Row],[Utilidad Total]]/Tabla4[[#This Row],[Total]]</f>
        <v>#N/A</v>
      </c>
      <c r="P7041" s="282">
        <f>++Tabla4[[#This Row],[Precio Descontado]]*Tabla4[[#This Row],[Cantidad]]</f>
        <v>348.43412999999998</v>
      </c>
      <c r="Q7041" s="282" t="e">
        <f>(INDEX(Tabla6[#All],MATCH(Tabla4[[#This Row],[Producto]],Tabla6[[#All],[PRODUCTO]],0),MATCH(Tabla4[[#This Row],[Mes]],Tabla6[#Headers],0)))</f>
        <v>#N/A</v>
      </c>
      <c r="R7041" s="282" t="e">
        <f>++Tabla4[[#This Row],[Precio Unitario Neto]]-Tabla4[[#This Row],[20.85%]]-Tabla4[[#This Row],[Costo]]</f>
        <v>#N/A</v>
      </c>
      <c r="S7041" s="282" t="e">
        <f>++Tabla4[[#This Row],[U. Bruta Uni]]*Tabla4[[#This Row],[Cantidad]]</f>
        <v>#N/A</v>
      </c>
      <c r="T7041" s="369" t="str">
        <f>VLOOKUP(Tabla4[[#This Row],[Producto]],Tabla6[#All],14,FALSE)</f>
        <v>Termico Solar</v>
      </c>
      <c r="U7041" s="284" t="e">
        <f>(IF(Tabla4[[#This Row],[Familia]]="termico solar",Tabla4[[#This Row],[Utilidad Total]]*6%,Tabla4[[#This Row],[Utilidad Total]]*11.5%))/Tabla4[[#This Row],[Total]]</f>
        <v>#N/A</v>
      </c>
      <c r="V7041" s="282" t="e">
        <f>+Tabla4[[#This Row],[Comisión Calculada]]*Tabla4[[#This Row],[Total]]</f>
        <v>#N/A</v>
      </c>
    </row>
    <row r="7042" spans="1:22" hidden="1" x14ac:dyDescent="0.25">
      <c r="A7042" s="100">
        <v>45991</v>
      </c>
      <c r="B7042" t="str">
        <f>TEXT(A7042, "mmmm")</f>
        <v>November</v>
      </c>
      <c r="C7042" s="46" t="s">
        <v>280</v>
      </c>
      <c r="F7042" s="366" t="s">
        <v>3540</v>
      </c>
      <c r="G7042" s="46" t="s">
        <v>208</v>
      </c>
      <c r="H7042" s="46">
        <v>1</v>
      </c>
      <c r="I7042" s="51">
        <v>189.75</v>
      </c>
      <c r="J7042" s="281">
        <f>++Tabla4[[#This Row],[Precio Bruto]]*1.16</f>
        <v>220.10999999999999</v>
      </c>
      <c r="K7042" s="281">
        <f>+Tabla4[[#This Row],[Precio Unitario Neto]]*Tabla4[[#Headers],[20.85%]]</f>
        <v>45.892934999999994</v>
      </c>
      <c r="L7042" s="282">
        <f>++Tabla4[[#This Row],[Precio Unitario Neto]]-Tabla4[[#This Row],[20.85%]]</f>
        <v>174.21706499999999</v>
      </c>
      <c r="M7042" s="282" t="e">
        <f>(INDEX(Tabla6[#All],MATCH(Tabla4[[#This Row],[Producto]],Tabla6[[#All],[PRODUCTO]],0),MATCH(Tabla4[[#This Row],[Mes]],Tabla6[#Headers],0)))*(1+Catalogos!$L$2)</f>
        <v>#N/A</v>
      </c>
      <c r="N7042" s="283" t="e">
        <f>+(Tabla4[[#This Row],[Precio Descontado]]-Tabla4[[#This Row],[Precio Base]])*Tabla4[[#This Row],[Cantidad]]</f>
        <v>#N/A</v>
      </c>
      <c r="O7042" s="284" t="e">
        <f>++Tabla4[[#This Row],[Utilidad Total]]/Tabla4[[#This Row],[Total]]</f>
        <v>#N/A</v>
      </c>
      <c r="P7042" s="282">
        <f>++Tabla4[[#This Row],[Precio Descontado]]*Tabla4[[#This Row],[Cantidad]]</f>
        <v>174.21706499999999</v>
      </c>
      <c r="Q7042" s="282" t="e">
        <f>(INDEX(Tabla6[#All],MATCH(Tabla4[[#This Row],[Producto]],Tabla6[[#All],[PRODUCTO]],0),MATCH(Tabla4[[#This Row],[Mes]],Tabla6[#Headers],0)))</f>
        <v>#N/A</v>
      </c>
      <c r="R7042" s="282" t="e">
        <f>++Tabla4[[#This Row],[Precio Unitario Neto]]-Tabla4[[#This Row],[20.85%]]-Tabla4[[#This Row],[Costo]]</f>
        <v>#N/A</v>
      </c>
      <c r="S7042" s="282" t="e">
        <f>++Tabla4[[#This Row],[U. Bruta Uni]]*Tabla4[[#This Row],[Cantidad]]</f>
        <v>#N/A</v>
      </c>
      <c r="T7042" s="369" t="str">
        <f>VLOOKUP(Tabla4[[#This Row],[Producto]],Tabla6[#All],14,FALSE)</f>
        <v>Termico Solar</v>
      </c>
      <c r="U7042" s="284" t="e">
        <f>(IF(Tabla4[[#This Row],[Familia]]="termico solar",Tabla4[[#This Row],[Utilidad Total]]*6%,Tabla4[[#This Row],[Utilidad Total]]*11.5%))/Tabla4[[#This Row],[Total]]</f>
        <v>#N/A</v>
      </c>
      <c r="V7042" s="282" t="e">
        <f>+Tabla4[[#This Row],[Comisión Calculada]]*Tabla4[[#This Row],[Total]]</f>
        <v>#N/A</v>
      </c>
    </row>
    <row r="7043" spans="1:22" hidden="1" x14ac:dyDescent="0.25">
      <c r="A7043" s="100">
        <v>45991</v>
      </c>
      <c r="B7043" t="str">
        <f t="shared" ref="B7043:B7044" si="536">TEXT(A7043, "mmmm")</f>
        <v>November</v>
      </c>
      <c r="C7043" s="46" t="s">
        <v>280</v>
      </c>
      <c r="F7043" s="366" t="s">
        <v>3541</v>
      </c>
      <c r="G7043" s="46" t="s">
        <v>566</v>
      </c>
      <c r="H7043" s="46">
        <v>1</v>
      </c>
      <c r="I7043" s="51">
        <v>2109.4499999999998</v>
      </c>
      <c r="J7043" s="281">
        <f>++Tabla4[[#This Row],[Precio Bruto]]*1.16</f>
        <v>2446.9619999999995</v>
      </c>
      <c r="K7043" s="281">
        <f>+Tabla4[[#This Row],[Precio Unitario Neto]]*Tabla4[[#Headers],[20.85%]]</f>
        <v>510.19157699999988</v>
      </c>
      <c r="L7043" s="282">
        <f>++Tabla4[[#This Row],[Precio Unitario Neto]]-Tabla4[[#This Row],[20.85%]]</f>
        <v>1936.7704229999997</v>
      </c>
      <c r="M7043" s="282" t="e">
        <f>(INDEX(Tabla6[#All],MATCH(Tabla4[[#This Row],[Producto]],Tabla6[[#All],[PRODUCTO]],0),MATCH(Tabla4[[#This Row],[Mes]],Tabla6[#Headers],0)))*(1+Catalogos!$L$2)</f>
        <v>#N/A</v>
      </c>
      <c r="N7043" s="283" t="e">
        <f>+(Tabla4[[#This Row],[Precio Descontado]]-Tabla4[[#This Row],[Precio Base]])*Tabla4[[#This Row],[Cantidad]]</f>
        <v>#N/A</v>
      </c>
      <c r="O7043" s="284" t="e">
        <f>++Tabla4[[#This Row],[Utilidad Total]]/Tabla4[[#This Row],[Total]]</f>
        <v>#N/A</v>
      </c>
      <c r="P7043" s="282">
        <f>++Tabla4[[#This Row],[Precio Descontado]]*Tabla4[[#This Row],[Cantidad]]</f>
        <v>1936.7704229999997</v>
      </c>
      <c r="Q7043" s="282" t="e">
        <f>(INDEX(Tabla6[#All],MATCH(Tabla4[[#This Row],[Producto]],Tabla6[[#All],[PRODUCTO]],0),MATCH(Tabla4[[#This Row],[Mes]],Tabla6[#Headers],0)))</f>
        <v>#N/A</v>
      </c>
      <c r="R7043" s="282" t="e">
        <f>++Tabla4[[#This Row],[Precio Unitario Neto]]-Tabla4[[#This Row],[20.85%]]-Tabla4[[#This Row],[Costo]]</f>
        <v>#N/A</v>
      </c>
      <c r="S7043" s="282" t="e">
        <f>++Tabla4[[#This Row],[U. Bruta Uni]]*Tabla4[[#This Row],[Cantidad]]</f>
        <v>#N/A</v>
      </c>
      <c r="T7043" s="369" t="str">
        <f>VLOOKUP(Tabla4[[#This Row],[Producto]],Tabla6[#All],14,FALSE)</f>
        <v>Termico Solar</v>
      </c>
      <c r="U7043" s="284" t="e">
        <f>(IF(Tabla4[[#This Row],[Familia]]="termico solar",Tabla4[[#This Row],[Utilidad Total]]*6%,Tabla4[[#This Row],[Utilidad Total]]*11.5%))/Tabla4[[#This Row],[Total]]</f>
        <v>#N/A</v>
      </c>
      <c r="V7043" s="282" t="e">
        <f>+Tabla4[[#This Row],[Comisión Calculada]]*Tabla4[[#This Row],[Total]]</f>
        <v>#N/A</v>
      </c>
    </row>
    <row r="7044" spans="1:22" hidden="1" x14ac:dyDescent="0.25">
      <c r="A7044" s="100">
        <v>45991</v>
      </c>
      <c r="B7044" t="str">
        <f t="shared" si="536"/>
        <v>November</v>
      </c>
      <c r="C7044" s="46" t="s">
        <v>280</v>
      </c>
      <c r="F7044" s="366" t="s">
        <v>3541</v>
      </c>
      <c r="G7044" s="46" t="s">
        <v>412</v>
      </c>
      <c r="H7044" s="46">
        <v>1</v>
      </c>
      <c r="I7044" s="51">
        <v>3240.84</v>
      </c>
      <c r="J7044" s="281">
        <f>++Tabla4[[#This Row],[Precio Bruto]]*1.16</f>
        <v>3759.3743999999997</v>
      </c>
      <c r="K7044" s="281">
        <f>+Tabla4[[#This Row],[Precio Unitario Neto]]*Tabla4[[#Headers],[20.85%]]</f>
        <v>783.82956239999987</v>
      </c>
      <c r="L7044" s="282">
        <f>++Tabla4[[#This Row],[Precio Unitario Neto]]-Tabla4[[#This Row],[20.85%]]</f>
        <v>2975.5448375999999</v>
      </c>
      <c r="M7044" s="282" t="e">
        <f>(INDEX(Tabla6[#All],MATCH(Tabla4[[#This Row],[Producto]],Tabla6[[#All],[PRODUCTO]],0),MATCH(Tabla4[[#This Row],[Mes]],Tabla6[#Headers],0)))*(1+Catalogos!$L$2)</f>
        <v>#N/A</v>
      </c>
      <c r="N7044" s="283" t="e">
        <f>+(Tabla4[[#This Row],[Precio Descontado]]-Tabla4[[#This Row],[Precio Base]])*Tabla4[[#This Row],[Cantidad]]</f>
        <v>#N/A</v>
      </c>
      <c r="O7044" s="284" t="e">
        <f>++Tabla4[[#This Row],[Utilidad Total]]/Tabla4[[#This Row],[Total]]</f>
        <v>#N/A</v>
      </c>
      <c r="P7044" s="282">
        <f>++Tabla4[[#This Row],[Precio Descontado]]*Tabla4[[#This Row],[Cantidad]]</f>
        <v>2975.5448375999999</v>
      </c>
      <c r="Q7044" s="282" t="e">
        <f>(INDEX(Tabla6[#All],MATCH(Tabla4[[#This Row],[Producto]],Tabla6[[#All],[PRODUCTO]],0),MATCH(Tabla4[[#This Row],[Mes]],Tabla6[#Headers],0)))</f>
        <v>#N/A</v>
      </c>
      <c r="R7044" s="282" t="e">
        <f>++Tabla4[[#This Row],[Precio Unitario Neto]]-Tabla4[[#This Row],[20.85%]]-Tabla4[[#This Row],[Costo]]</f>
        <v>#N/A</v>
      </c>
      <c r="S7044" s="282" t="e">
        <f>++Tabla4[[#This Row],[U. Bruta Uni]]*Tabla4[[#This Row],[Cantidad]]</f>
        <v>#N/A</v>
      </c>
      <c r="T7044" s="369" t="str">
        <f>VLOOKUP(Tabla4[[#This Row],[Producto]],Tabla6[#All],14,FALSE)</f>
        <v>Termico Solar</v>
      </c>
      <c r="U7044" s="284" t="e">
        <f>(IF(Tabla4[[#This Row],[Familia]]="termico solar",Tabla4[[#This Row],[Utilidad Total]]*6%,Tabla4[[#This Row],[Utilidad Total]]*11.5%))/Tabla4[[#This Row],[Total]]</f>
        <v>#N/A</v>
      </c>
      <c r="V7044" s="282" t="e">
        <f>+Tabla4[[#This Row],[Comisión Calculada]]*Tabla4[[#This Row],[Total]]</f>
        <v>#N/A</v>
      </c>
    </row>
    <row r="7045" spans="1:22" hidden="1" x14ac:dyDescent="0.25">
      <c r="A7045" s="100">
        <v>45991</v>
      </c>
      <c r="B7045" t="str">
        <f t="shared" ref="B7045:B7047" si="537">TEXT(A7045, "mmmm")</f>
        <v>November</v>
      </c>
      <c r="C7045" s="46" t="s">
        <v>280</v>
      </c>
      <c r="F7045" s="366" t="s">
        <v>3542</v>
      </c>
      <c r="G7045" s="46" t="s">
        <v>17</v>
      </c>
      <c r="H7045" s="46">
        <v>1</v>
      </c>
      <c r="I7045" s="51">
        <v>4622.28</v>
      </c>
      <c r="J7045" s="281">
        <f>++Tabla4[[#This Row],[Precio Bruto]]*1.16</f>
        <v>5361.8447999999989</v>
      </c>
      <c r="K7045" s="281">
        <f>+Tabla4[[#This Row],[Precio Unitario Neto]]*Tabla4[[#Headers],[20.85%]]</f>
        <v>1117.9446407999997</v>
      </c>
      <c r="L7045" s="282">
        <f>++Tabla4[[#This Row],[Precio Unitario Neto]]-Tabla4[[#This Row],[20.85%]]</f>
        <v>4243.9001591999995</v>
      </c>
      <c r="M7045" s="282" t="e">
        <f>(INDEX(Tabla6[#All],MATCH(Tabla4[[#This Row],[Producto]],Tabla6[[#All],[PRODUCTO]],0),MATCH(Tabla4[[#This Row],[Mes]],Tabla6[#Headers],0)))*(1+Catalogos!$L$2)</f>
        <v>#N/A</v>
      </c>
      <c r="N7045" s="283" t="e">
        <f>+(Tabla4[[#This Row],[Precio Descontado]]-Tabla4[[#This Row],[Precio Base]])*Tabla4[[#This Row],[Cantidad]]</f>
        <v>#N/A</v>
      </c>
      <c r="O7045" s="284" t="e">
        <f>++Tabla4[[#This Row],[Utilidad Total]]/Tabla4[[#This Row],[Total]]</f>
        <v>#N/A</v>
      </c>
      <c r="P7045" s="282">
        <f>++Tabla4[[#This Row],[Precio Descontado]]*Tabla4[[#This Row],[Cantidad]]</f>
        <v>4243.9001591999995</v>
      </c>
      <c r="Q7045" s="282" t="e">
        <f>(INDEX(Tabla6[#All],MATCH(Tabla4[[#This Row],[Producto]],Tabla6[[#All],[PRODUCTO]],0),MATCH(Tabla4[[#This Row],[Mes]],Tabla6[#Headers],0)))</f>
        <v>#N/A</v>
      </c>
      <c r="R7045" s="282" t="e">
        <f>++Tabla4[[#This Row],[Precio Unitario Neto]]-Tabla4[[#This Row],[20.85%]]-Tabla4[[#This Row],[Costo]]</f>
        <v>#N/A</v>
      </c>
      <c r="S7045" s="282" t="e">
        <f>++Tabla4[[#This Row],[U. Bruta Uni]]*Tabla4[[#This Row],[Cantidad]]</f>
        <v>#N/A</v>
      </c>
      <c r="T7045" s="369" t="str">
        <f>VLOOKUP(Tabla4[[#This Row],[Producto]],Tabla6[#All],14,FALSE)</f>
        <v>Termico Solar</v>
      </c>
      <c r="U7045" s="284" t="e">
        <f>(IF(Tabla4[[#This Row],[Familia]]="termico solar",Tabla4[[#This Row],[Utilidad Total]]*6%,Tabla4[[#This Row],[Utilidad Total]]*11.5%))/Tabla4[[#This Row],[Total]]</f>
        <v>#N/A</v>
      </c>
      <c r="V7045" s="282" t="e">
        <f>+Tabla4[[#This Row],[Comisión Calculada]]*Tabla4[[#This Row],[Total]]</f>
        <v>#N/A</v>
      </c>
    </row>
    <row r="7046" spans="1:22" hidden="1" x14ac:dyDescent="0.25">
      <c r="A7046" s="100">
        <v>45991</v>
      </c>
      <c r="B7046" t="str">
        <f t="shared" si="537"/>
        <v>November</v>
      </c>
      <c r="C7046" s="46" t="s">
        <v>280</v>
      </c>
      <c r="F7046" s="366" t="s">
        <v>3542</v>
      </c>
      <c r="G7046" s="46" t="s">
        <v>555</v>
      </c>
      <c r="H7046" s="46">
        <v>8</v>
      </c>
      <c r="I7046" s="51">
        <v>389.47</v>
      </c>
      <c r="J7046" s="281">
        <f>++Tabla4[[#This Row],[Precio Bruto]]*1.16</f>
        <v>451.78519999999997</v>
      </c>
      <c r="K7046" s="281">
        <f>+Tabla4[[#This Row],[Precio Unitario Neto]]*Tabla4[[#Headers],[20.85%]]</f>
        <v>94.197214199999991</v>
      </c>
      <c r="L7046" s="282">
        <f>++Tabla4[[#This Row],[Precio Unitario Neto]]-Tabla4[[#This Row],[20.85%]]</f>
        <v>357.58798579999996</v>
      </c>
      <c r="M7046" s="282" t="e">
        <f>(INDEX(Tabla6[#All],MATCH(Tabla4[[#This Row],[Producto]],Tabla6[[#All],[PRODUCTO]],0),MATCH(Tabla4[[#This Row],[Mes]],Tabla6[#Headers],0)))*(1+Catalogos!$L$2)</f>
        <v>#N/A</v>
      </c>
      <c r="N7046" s="283" t="e">
        <f>+(Tabla4[[#This Row],[Precio Descontado]]-Tabla4[[#This Row],[Precio Base]])*Tabla4[[#This Row],[Cantidad]]</f>
        <v>#N/A</v>
      </c>
      <c r="O7046" s="284" t="e">
        <f>++Tabla4[[#This Row],[Utilidad Total]]/Tabla4[[#This Row],[Total]]</f>
        <v>#N/A</v>
      </c>
      <c r="P7046" s="282">
        <f>++Tabla4[[#This Row],[Precio Descontado]]*Tabla4[[#This Row],[Cantidad]]</f>
        <v>2860.7038863999996</v>
      </c>
      <c r="Q7046" s="282" t="e">
        <f>(INDEX(Tabla6[#All],MATCH(Tabla4[[#This Row],[Producto]],Tabla6[[#All],[PRODUCTO]],0),MATCH(Tabla4[[#This Row],[Mes]],Tabla6[#Headers],0)))</f>
        <v>#N/A</v>
      </c>
      <c r="R7046" s="282" t="e">
        <f>++Tabla4[[#This Row],[Precio Unitario Neto]]-Tabla4[[#This Row],[20.85%]]-Tabla4[[#This Row],[Costo]]</f>
        <v>#N/A</v>
      </c>
      <c r="S7046" s="282" t="e">
        <f>++Tabla4[[#This Row],[U. Bruta Uni]]*Tabla4[[#This Row],[Cantidad]]</f>
        <v>#N/A</v>
      </c>
      <c r="T7046" s="369" t="str">
        <f>VLOOKUP(Tabla4[[#This Row],[Producto]],Tabla6[#All],14,FALSE)</f>
        <v>Termico Solar</v>
      </c>
      <c r="U7046" s="284" t="e">
        <f>(IF(Tabla4[[#This Row],[Familia]]="termico solar",Tabla4[[#This Row],[Utilidad Total]]*6%,Tabla4[[#This Row],[Utilidad Total]]*11.5%))/Tabla4[[#This Row],[Total]]</f>
        <v>#N/A</v>
      </c>
      <c r="V7046" s="282" t="e">
        <f>+Tabla4[[#This Row],[Comisión Calculada]]*Tabla4[[#This Row],[Total]]</f>
        <v>#N/A</v>
      </c>
    </row>
    <row r="7047" spans="1:22" hidden="1" x14ac:dyDescent="0.25">
      <c r="A7047" s="100">
        <v>45991</v>
      </c>
      <c r="B7047" t="str">
        <f t="shared" si="537"/>
        <v>November</v>
      </c>
      <c r="C7047" s="46" t="s">
        <v>280</v>
      </c>
      <c r="F7047" s="366" t="s">
        <v>3542</v>
      </c>
      <c r="G7047" s="46" t="s">
        <v>208</v>
      </c>
      <c r="H7047" s="46">
        <v>3</v>
      </c>
      <c r="I7047" s="51">
        <v>189.75</v>
      </c>
      <c r="J7047" s="281">
        <f>++Tabla4[[#This Row],[Precio Bruto]]*1.16</f>
        <v>220.10999999999999</v>
      </c>
      <c r="K7047" s="281">
        <f>+Tabla4[[#This Row],[Precio Unitario Neto]]*Tabla4[[#Headers],[20.85%]]</f>
        <v>45.892934999999994</v>
      </c>
      <c r="L7047" s="282">
        <f>++Tabla4[[#This Row],[Precio Unitario Neto]]-Tabla4[[#This Row],[20.85%]]</f>
        <v>174.21706499999999</v>
      </c>
      <c r="M7047" s="282" t="e">
        <f>(INDEX(Tabla6[#All],MATCH(Tabla4[[#This Row],[Producto]],Tabla6[[#All],[PRODUCTO]],0),MATCH(Tabla4[[#This Row],[Mes]],Tabla6[#Headers],0)))*(1+Catalogos!$L$2)</f>
        <v>#N/A</v>
      </c>
      <c r="N7047" s="283" t="e">
        <f>+(Tabla4[[#This Row],[Precio Descontado]]-Tabla4[[#This Row],[Precio Base]])*Tabla4[[#This Row],[Cantidad]]</f>
        <v>#N/A</v>
      </c>
      <c r="O7047" s="284" t="e">
        <f>++Tabla4[[#This Row],[Utilidad Total]]/Tabla4[[#This Row],[Total]]</f>
        <v>#N/A</v>
      </c>
      <c r="P7047" s="282">
        <f>++Tabla4[[#This Row],[Precio Descontado]]*Tabla4[[#This Row],[Cantidad]]</f>
        <v>522.65119499999992</v>
      </c>
      <c r="Q7047" s="282" t="e">
        <f>(INDEX(Tabla6[#All],MATCH(Tabla4[[#This Row],[Producto]],Tabla6[[#All],[PRODUCTO]],0),MATCH(Tabla4[[#This Row],[Mes]],Tabla6[#Headers],0)))</f>
        <v>#N/A</v>
      </c>
      <c r="R7047" s="282" t="e">
        <f>++Tabla4[[#This Row],[Precio Unitario Neto]]-Tabla4[[#This Row],[20.85%]]-Tabla4[[#This Row],[Costo]]</f>
        <v>#N/A</v>
      </c>
      <c r="S7047" s="282" t="e">
        <f>++Tabla4[[#This Row],[U. Bruta Uni]]*Tabla4[[#This Row],[Cantidad]]</f>
        <v>#N/A</v>
      </c>
      <c r="T7047" s="369" t="str">
        <f>VLOOKUP(Tabla4[[#This Row],[Producto]],Tabla6[#All],14,FALSE)</f>
        <v>Termico Solar</v>
      </c>
      <c r="U7047" s="284" t="e">
        <f>(IF(Tabla4[[#This Row],[Familia]]="termico solar",Tabla4[[#This Row],[Utilidad Total]]*6%,Tabla4[[#This Row],[Utilidad Total]]*11.5%))/Tabla4[[#This Row],[Total]]</f>
        <v>#N/A</v>
      </c>
      <c r="V7047" s="282" t="e">
        <f>+Tabla4[[#This Row],[Comisión Calculada]]*Tabla4[[#This Row],[Total]]</f>
        <v>#N/A</v>
      </c>
    </row>
    <row r="7048" spans="1:22" hidden="1" x14ac:dyDescent="0.25">
      <c r="A7048" s="100">
        <v>45991</v>
      </c>
      <c r="B7048" t="str">
        <f t="shared" ref="B7048:B7049" si="538">TEXT(A7048, "mmmm")</f>
        <v>November</v>
      </c>
      <c r="C7048" s="46" t="s">
        <v>280</v>
      </c>
      <c r="F7048" s="366" t="s">
        <v>3543</v>
      </c>
      <c r="G7048" s="46" t="s">
        <v>83</v>
      </c>
      <c r="H7048" s="46">
        <v>1</v>
      </c>
      <c r="I7048" s="51">
        <v>8858.76</v>
      </c>
      <c r="J7048" s="281">
        <f>++Tabla4[[#This Row],[Precio Bruto]]*1.16</f>
        <v>10276.161599999999</v>
      </c>
      <c r="K7048" s="281">
        <f>+Tabla4[[#This Row],[Precio Unitario Neto]]*Tabla4[[#Headers],[20.85%]]</f>
        <v>2142.5796935999997</v>
      </c>
      <c r="L7048" s="282">
        <f>++Tabla4[[#This Row],[Precio Unitario Neto]]-Tabla4[[#This Row],[20.85%]]</f>
        <v>8133.5819063999998</v>
      </c>
      <c r="M7048" s="282" t="e">
        <f>(INDEX(Tabla6[#All],MATCH(Tabla4[[#This Row],[Producto]],Tabla6[[#All],[PRODUCTO]],0),MATCH(Tabla4[[#This Row],[Mes]],Tabla6[#Headers],0)))*(1+Catalogos!$L$2)</f>
        <v>#N/A</v>
      </c>
      <c r="N7048" s="283" t="e">
        <f>+(Tabla4[[#This Row],[Precio Descontado]]-Tabla4[[#This Row],[Precio Base]])*Tabla4[[#This Row],[Cantidad]]</f>
        <v>#N/A</v>
      </c>
      <c r="O7048" s="284" t="e">
        <f>++Tabla4[[#This Row],[Utilidad Total]]/Tabla4[[#This Row],[Total]]</f>
        <v>#N/A</v>
      </c>
      <c r="P7048" s="282">
        <f>++Tabla4[[#This Row],[Precio Descontado]]*Tabla4[[#This Row],[Cantidad]]</f>
        <v>8133.5819063999998</v>
      </c>
      <c r="Q7048" s="282" t="e">
        <f>(INDEX(Tabla6[#All],MATCH(Tabla4[[#This Row],[Producto]],Tabla6[[#All],[PRODUCTO]],0),MATCH(Tabla4[[#This Row],[Mes]],Tabla6[#Headers],0)))</f>
        <v>#N/A</v>
      </c>
      <c r="R7048" s="282" t="e">
        <f>++Tabla4[[#This Row],[Precio Unitario Neto]]-Tabla4[[#This Row],[20.85%]]-Tabla4[[#This Row],[Costo]]</f>
        <v>#N/A</v>
      </c>
      <c r="S7048" s="282" t="e">
        <f>++Tabla4[[#This Row],[U. Bruta Uni]]*Tabla4[[#This Row],[Cantidad]]</f>
        <v>#N/A</v>
      </c>
      <c r="T7048" s="369" t="str">
        <f>VLOOKUP(Tabla4[[#This Row],[Producto]],Tabla6[#All],14,FALSE)</f>
        <v>Termico Solar</v>
      </c>
      <c r="U7048" s="284" t="e">
        <f>(IF(Tabla4[[#This Row],[Familia]]="termico solar",Tabla4[[#This Row],[Utilidad Total]]*6%,Tabla4[[#This Row],[Utilidad Total]]*11.5%))/Tabla4[[#This Row],[Total]]</f>
        <v>#N/A</v>
      </c>
      <c r="V7048" s="282" t="e">
        <f>+Tabla4[[#This Row],[Comisión Calculada]]*Tabla4[[#This Row],[Total]]</f>
        <v>#N/A</v>
      </c>
    </row>
    <row r="7049" spans="1:22" hidden="1" x14ac:dyDescent="0.25">
      <c r="A7049" s="100">
        <v>45991</v>
      </c>
      <c r="B7049" t="str">
        <f t="shared" si="538"/>
        <v>November</v>
      </c>
      <c r="C7049" s="46" t="s">
        <v>280</v>
      </c>
      <c r="F7049" s="366" t="s">
        <v>3543</v>
      </c>
      <c r="G7049" s="46" t="s">
        <v>412</v>
      </c>
      <c r="H7049" s="46">
        <v>1</v>
      </c>
      <c r="I7049" s="51">
        <v>3240.84</v>
      </c>
      <c r="J7049" s="281">
        <f>++Tabla4[[#This Row],[Precio Bruto]]*1.16</f>
        <v>3759.3743999999997</v>
      </c>
      <c r="K7049" s="281">
        <f>+Tabla4[[#This Row],[Precio Unitario Neto]]*Tabla4[[#Headers],[20.85%]]</f>
        <v>783.82956239999987</v>
      </c>
      <c r="L7049" s="282">
        <f>++Tabla4[[#This Row],[Precio Unitario Neto]]-Tabla4[[#This Row],[20.85%]]</f>
        <v>2975.5448375999999</v>
      </c>
      <c r="M7049" s="282" t="e">
        <f>(INDEX(Tabla6[#All],MATCH(Tabla4[[#This Row],[Producto]],Tabla6[[#All],[PRODUCTO]],0),MATCH(Tabla4[[#This Row],[Mes]],Tabla6[#Headers],0)))*(1+Catalogos!$L$2)</f>
        <v>#N/A</v>
      </c>
      <c r="N7049" s="283" t="e">
        <f>+(Tabla4[[#This Row],[Precio Descontado]]-Tabla4[[#This Row],[Precio Base]])*Tabla4[[#This Row],[Cantidad]]</f>
        <v>#N/A</v>
      </c>
      <c r="O7049" s="284" t="e">
        <f>++Tabla4[[#This Row],[Utilidad Total]]/Tabla4[[#This Row],[Total]]</f>
        <v>#N/A</v>
      </c>
      <c r="P7049" s="282">
        <f>++Tabla4[[#This Row],[Precio Descontado]]*Tabla4[[#This Row],[Cantidad]]</f>
        <v>2975.5448375999999</v>
      </c>
      <c r="Q7049" s="282" t="e">
        <f>(INDEX(Tabla6[#All],MATCH(Tabla4[[#This Row],[Producto]],Tabla6[[#All],[PRODUCTO]],0),MATCH(Tabla4[[#This Row],[Mes]],Tabla6[#Headers],0)))</f>
        <v>#N/A</v>
      </c>
      <c r="R7049" s="282" t="e">
        <f>++Tabla4[[#This Row],[Precio Unitario Neto]]-Tabla4[[#This Row],[20.85%]]-Tabla4[[#This Row],[Costo]]</f>
        <v>#N/A</v>
      </c>
      <c r="S7049" s="282" t="e">
        <f>++Tabla4[[#This Row],[U. Bruta Uni]]*Tabla4[[#This Row],[Cantidad]]</f>
        <v>#N/A</v>
      </c>
      <c r="T7049" s="369" t="str">
        <f>VLOOKUP(Tabla4[[#This Row],[Producto]],Tabla6[#All],14,FALSE)</f>
        <v>Termico Solar</v>
      </c>
      <c r="U7049" s="284" t="e">
        <f>(IF(Tabla4[[#This Row],[Familia]]="termico solar",Tabla4[[#This Row],[Utilidad Total]]*6%,Tabla4[[#This Row],[Utilidad Total]]*11.5%))/Tabla4[[#This Row],[Total]]</f>
        <v>#N/A</v>
      </c>
      <c r="V7049" s="282" t="e">
        <f>+Tabla4[[#This Row],[Comisión Calculada]]*Tabla4[[#This Row],[Total]]</f>
        <v>#N/A</v>
      </c>
    </row>
    <row r="7050" spans="1:22" hidden="1" x14ac:dyDescent="0.25">
      <c r="A7050" s="100">
        <v>45991</v>
      </c>
      <c r="B7050" t="str">
        <f>TEXT(A7050, "mmmm")</f>
        <v>November</v>
      </c>
      <c r="C7050" s="46" t="s">
        <v>280</v>
      </c>
      <c r="F7050" s="366" t="s">
        <v>3544</v>
      </c>
      <c r="G7050" s="46" t="s">
        <v>208</v>
      </c>
      <c r="H7050" s="46">
        <v>1</v>
      </c>
      <c r="I7050" s="51">
        <v>189.75</v>
      </c>
      <c r="J7050" s="281">
        <f>++Tabla4[[#This Row],[Precio Bruto]]*1.16</f>
        <v>220.10999999999999</v>
      </c>
      <c r="K7050" s="281">
        <f>+Tabla4[[#This Row],[Precio Unitario Neto]]*Tabla4[[#Headers],[20.85%]]</f>
        <v>45.892934999999994</v>
      </c>
      <c r="L7050" s="282">
        <f>++Tabla4[[#This Row],[Precio Unitario Neto]]-Tabla4[[#This Row],[20.85%]]</f>
        <v>174.21706499999999</v>
      </c>
      <c r="M7050" s="282" t="e">
        <f>(INDEX(Tabla6[#All],MATCH(Tabla4[[#This Row],[Producto]],Tabla6[[#All],[PRODUCTO]],0),MATCH(Tabla4[[#This Row],[Mes]],Tabla6[#Headers],0)))*(1+Catalogos!$L$2)</f>
        <v>#N/A</v>
      </c>
      <c r="N7050" s="283" t="e">
        <f>+(Tabla4[[#This Row],[Precio Descontado]]-Tabla4[[#This Row],[Precio Base]])*Tabla4[[#This Row],[Cantidad]]</f>
        <v>#N/A</v>
      </c>
      <c r="O7050" s="284" t="e">
        <f>++Tabla4[[#This Row],[Utilidad Total]]/Tabla4[[#This Row],[Total]]</f>
        <v>#N/A</v>
      </c>
      <c r="P7050" s="282">
        <f>++Tabla4[[#This Row],[Precio Descontado]]*Tabla4[[#This Row],[Cantidad]]</f>
        <v>174.21706499999999</v>
      </c>
      <c r="Q7050" s="282" t="e">
        <f>(INDEX(Tabla6[#All],MATCH(Tabla4[[#This Row],[Producto]],Tabla6[[#All],[PRODUCTO]],0),MATCH(Tabla4[[#This Row],[Mes]],Tabla6[#Headers],0)))</f>
        <v>#N/A</v>
      </c>
      <c r="R7050" s="282" t="e">
        <f>++Tabla4[[#This Row],[Precio Unitario Neto]]-Tabla4[[#This Row],[20.85%]]-Tabla4[[#This Row],[Costo]]</f>
        <v>#N/A</v>
      </c>
      <c r="S7050" s="282" t="e">
        <f>++Tabla4[[#This Row],[U. Bruta Uni]]*Tabla4[[#This Row],[Cantidad]]</f>
        <v>#N/A</v>
      </c>
      <c r="T7050" s="369" t="str">
        <f>VLOOKUP(Tabla4[[#This Row],[Producto]],Tabla6[#All],14,FALSE)</f>
        <v>Termico Solar</v>
      </c>
      <c r="U7050" s="284" t="e">
        <f>(IF(Tabla4[[#This Row],[Familia]]="termico solar",Tabla4[[#This Row],[Utilidad Total]]*6%,Tabla4[[#This Row],[Utilidad Total]]*11.5%))/Tabla4[[#This Row],[Total]]</f>
        <v>#N/A</v>
      </c>
      <c r="V7050" s="282" t="e">
        <f>+Tabla4[[#This Row],[Comisión Calculada]]*Tabla4[[#This Row],[Total]]</f>
        <v>#N/A</v>
      </c>
    </row>
    <row r="7051" spans="1:22" hidden="1" x14ac:dyDescent="0.25">
      <c r="A7051" s="100">
        <v>45991</v>
      </c>
      <c r="B7051" t="str">
        <f>TEXT(A7051, "mmmm")</f>
        <v>November</v>
      </c>
      <c r="C7051" s="46" t="s">
        <v>280</v>
      </c>
      <c r="F7051" s="366" t="s">
        <v>3545</v>
      </c>
      <c r="G7051" s="46" t="s">
        <v>208</v>
      </c>
      <c r="H7051" s="46">
        <v>2</v>
      </c>
      <c r="I7051" s="51">
        <v>189.75</v>
      </c>
      <c r="J7051" s="281">
        <f>++Tabla4[[#This Row],[Precio Bruto]]*1.16</f>
        <v>220.10999999999999</v>
      </c>
      <c r="K7051" s="281">
        <f>+Tabla4[[#This Row],[Precio Unitario Neto]]*Tabla4[[#Headers],[20.85%]]</f>
        <v>45.892934999999994</v>
      </c>
      <c r="L7051" s="282">
        <f>++Tabla4[[#This Row],[Precio Unitario Neto]]-Tabla4[[#This Row],[20.85%]]</f>
        <v>174.21706499999999</v>
      </c>
      <c r="M7051" s="282" t="e">
        <f>(INDEX(Tabla6[#All],MATCH(Tabla4[[#This Row],[Producto]],Tabla6[[#All],[PRODUCTO]],0),MATCH(Tabla4[[#This Row],[Mes]],Tabla6[#Headers],0)))*(1+Catalogos!$L$2)</f>
        <v>#N/A</v>
      </c>
      <c r="N7051" s="283" t="e">
        <f>+(Tabla4[[#This Row],[Precio Descontado]]-Tabla4[[#This Row],[Precio Base]])*Tabla4[[#This Row],[Cantidad]]</f>
        <v>#N/A</v>
      </c>
      <c r="O7051" s="284" t="e">
        <f>++Tabla4[[#This Row],[Utilidad Total]]/Tabla4[[#This Row],[Total]]</f>
        <v>#N/A</v>
      </c>
      <c r="P7051" s="282">
        <f>++Tabla4[[#This Row],[Precio Descontado]]*Tabla4[[#This Row],[Cantidad]]</f>
        <v>348.43412999999998</v>
      </c>
      <c r="Q7051" s="282" t="e">
        <f>(INDEX(Tabla6[#All],MATCH(Tabla4[[#This Row],[Producto]],Tabla6[[#All],[PRODUCTO]],0),MATCH(Tabla4[[#This Row],[Mes]],Tabla6[#Headers],0)))</f>
        <v>#N/A</v>
      </c>
      <c r="R7051" s="282" t="e">
        <f>++Tabla4[[#This Row],[Precio Unitario Neto]]-Tabla4[[#This Row],[20.85%]]-Tabla4[[#This Row],[Costo]]</f>
        <v>#N/A</v>
      </c>
      <c r="S7051" s="282" t="e">
        <f>++Tabla4[[#This Row],[U. Bruta Uni]]*Tabla4[[#This Row],[Cantidad]]</f>
        <v>#N/A</v>
      </c>
      <c r="T7051" s="369" t="str">
        <f>VLOOKUP(Tabla4[[#This Row],[Producto]],Tabla6[#All],14,FALSE)</f>
        <v>Termico Solar</v>
      </c>
      <c r="U7051" s="284" t="e">
        <f>(IF(Tabla4[[#This Row],[Familia]]="termico solar",Tabla4[[#This Row],[Utilidad Total]]*6%,Tabla4[[#This Row],[Utilidad Total]]*11.5%))/Tabla4[[#This Row],[Total]]</f>
        <v>#N/A</v>
      </c>
      <c r="V7051" s="282" t="e">
        <f>+Tabla4[[#This Row],[Comisión Calculada]]*Tabla4[[#This Row],[Total]]</f>
        <v>#N/A</v>
      </c>
    </row>
    <row r="7052" spans="1:22" hidden="1" x14ac:dyDescent="0.25">
      <c r="A7052" s="100">
        <v>45991</v>
      </c>
      <c r="B7052" t="str">
        <f>TEXT(A7052, "mmmm")</f>
        <v>November</v>
      </c>
      <c r="C7052" s="46" t="s">
        <v>280</v>
      </c>
      <c r="F7052" s="366" t="s">
        <v>3546</v>
      </c>
      <c r="G7052" s="46" t="s">
        <v>16</v>
      </c>
      <c r="H7052" s="46">
        <v>2</v>
      </c>
      <c r="I7052" s="51">
        <v>4103.8500000000004</v>
      </c>
      <c r="J7052" s="281">
        <f>++Tabla4[[#This Row],[Precio Bruto]]*1.16</f>
        <v>4760.4660000000003</v>
      </c>
      <c r="K7052" s="281">
        <f>+Tabla4[[#This Row],[Precio Unitario Neto]]*Tabla4[[#Headers],[20.85%]]</f>
        <v>992.55716100000006</v>
      </c>
      <c r="L7052" s="282">
        <f>++Tabla4[[#This Row],[Precio Unitario Neto]]-Tabla4[[#This Row],[20.85%]]</f>
        <v>3767.9088390000002</v>
      </c>
      <c r="M7052" s="282" t="e">
        <f>(INDEX(Tabla6[#All],MATCH(Tabla4[[#This Row],[Producto]],Tabla6[[#All],[PRODUCTO]],0),MATCH(Tabla4[[#This Row],[Mes]],Tabla6[#Headers],0)))*(1+Catalogos!$L$2)</f>
        <v>#N/A</v>
      </c>
      <c r="N7052" s="283" t="e">
        <f>+(Tabla4[[#This Row],[Precio Descontado]]-Tabla4[[#This Row],[Precio Base]])*Tabla4[[#This Row],[Cantidad]]</f>
        <v>#N/A</v>
      </c>
      <c r="O7052" s="284" t="e">
        <f>++Tabla4[[#This Row],[Utilidad Total]]/Tabla4[[#This Row],[Total]]</f>
        <v>#N/A</v>
      </c>
      <c r="P7052" s="282">
        <f>++Tabla4[[#This Row],[Precio Descontado]]*Tabla4[[#This Row],[Cantidad]]</f>
        <v>7535.8176780000003</v>
      </c>
      <c r="Q7052" s="282" t="e">
        <f>(INDEX(Tabla6[#All],MATCH(Tabla4[[#This Row],[Producto]],Tabla6[[#All],[PRODUCTO]],0),MATCH(Tabla4[[#This Row],[Mes]],Tabla6[#Headers],0)))</f>
        <v>#N/A</v>
      </c>
      <c r="R7052" s="282" t="e">
        <f>++Tabla4[[#This Row],[Precio Unitario Neto]]-Tabla4[[#This Row],[20.85%]]-Tabla4[[#This Row],[Costo]]</f>
        <v>#N/A</v>
      </c>
      <c r="S7052" s="282" t="e">
        <f>++Tabla4[[#This Row],[U. Bruta Uni]]*Tabla4[[#This Row],[Cantidad]]</f>
        <v>#N/A</v>
      </c>
      <c r="T7052" s="369" t="str">
        <f>VLOOKUP(Tabla4[[#This Row],[Producto]],Tabla6[#All],14,FALSE)</f>
        <v>Termico Solar</v>
      </c>
      <c r="U7052" s="284" t="e">
        <f>(IF(Tabla4[[#This Row],[Familia]]="termico solar",Tabla4[[#This Row],[Utilidad Total]]*6%,Tabla4[[#This Row],[Utilidad Total]]*11.5%))/Tabla4[[#This Row],[Total]]</f>
        <v>#N/A</v>
      </c>
      <c r="V7052" s="282" t="e">
        <f>+Tabla4[[#This Row],[Comisión Calculada]]*Tabla4[[#This Row],[Total]]</f>
        <v>#N/A</v>
      </c>
    </row>
    <row r="7053" spans="1:22" hidden="1" x14ac:dyDescent="0.25">
      <c r="A7053" s="100">
        <v>45991</v>
      </c>
      <c r="B7053" t="str">
        <f>TEXT(A7053, "mmmm")</f>
        <v>November</v>
      </c>
      <c r="C7053" s="46" t="s">
        <v>280</v>
      </c>
      <c r="F7053" s="366" t="s">
        <v>3547</v>
      </c>
      <c r="G7053" s="46" t="s">
        <v>16</v>
      </c>
      <c r="H7053" s="46">
        <v>1</v>
      </c>
      <c r="I7053" s="51">
        <v>4103.8500000000004</v>
      </c>
      <c r="J7053" s="281">
        <f>++Tabla4[[#This Row],[Precio Bruto]]*1.16</f>
        <v>4760.4660000000003</v>
      </c>
      <c r="K7053" s="281">
        <f>+Tabla4[[#This Row],[Precio Unitario Neto]]*Tabla4[[#Headers],[20.85%]]</f>
        <v>992.55716100000006</v>
      </c>
      <c r="L7053" s="282">
        <f>++Tabla4[[#This Row],[Precio Unitario Neto]]-Tabla4[[#This Row],[20.85%]]</f>
        <v>3767.9088390000002</v>
      </c>
      <c r="M7053" s="282" t="e">
        <f>(INDEX(Tabla6[#All],MATCH(Tabla4[[#This Row],[Producto]],Tabla6[[#All],[PRODUCTO]],0),MATCH(Tabla4[[#This Row],[Mes]],Tabla6[#Headers],0)))*(1+Catalogos!$L$2)</f>
        <v>#N/A</v>
      </c>
      <c r="N7053" s="283" t="e">
        <f>+(Tabla4[[#This Row],[Precio Descontado]]-Tabla4[[#This Row],[Precio Base]])*Tabla4[[#This Row],[Cantidad]]</f>
        <v>#N/A</v>
      </c>
      <c r="O7053" s="284" t="e">
        <f>++Tabla4[[#This Row],[Utilidad Total]]/Tabla4[[#This Row],[Total]]</f>
        <v>#N/A</v>
      </c>
      <c r="P7053" s="282">
        <f>++Tabla4[[#This Row],[Precio Descontado]]*Tabla4[[#This Row],[Cantidad]]</f>
        <v>3767.9088390000002</v>
      </c>
      <c r="Q7053" s="282" t="e">
        <f>(INDEX(Tabla6[#All],MATCH(Tabla4[[#This Row],[Producto]],Tabla6[[#All],[PRODUCTO]],0),MATCH(Tabla4[[#This Row],[Mes]],Tabla6[#Headers],0)))</f>
        <v>#N/A</v>
      </c>
      <c r="R7053" s="282" t="e">
        <f>++Tabla4[[#This Row],[Precio Unitario Neto]]-Tabla4[[#This Row],[20.85%]]-Tabla4[[#This Row],[Costo]]</f>
        <v>#N/A</v>
      </c>
      <c r="S7053" s="282" t="e">
        <f>++Tabla4[[#This Row],[U. Bruta Uni]]*Tabla4[[#This Row],[Cantidad]]</f>
        <v>#N/A</v>
      </c>
      <c r="T7053" s="369" t="str">
        <f>VLOOKUP(Tabla4[[#This Row],[Producto]],Tabla6[#All],14,FALSE)</f>
        <v>Termico Solar</v>
      </c>
      <c r="U7053" s="284" t="e">
        <f>(IF(Tabla4[[#This Row],[Familia]]="termico solar",Tabla4[[#This Row],[Utilidad Total]]*6%,Tabla4[[#This Row],[Utilidad Total]]*11.5%))/Tabla4[[#This Row],[Total]]</f>
        <v>#N/A</v>
      </c>
      <c r="V7053" s="282" t="e">
        <f>+Tabla4[[#This Row],[Comisión Calculada]]*Tabla4[[#This Row],[Total]]</f>
        <v>#N/A</v>
      </c>
    </row>
    <row r="7054" spans="1:22" hidden="1" x14ac:dyDescent="0.25">
      <c r="A7054" s="100">
        <v>45991</v>
      </c>
      <c r="B7054" t="str">
        <f t="shared" ref="B7054:B7055" si="539">TEXT(A7054, "mmmm")</f>
        <v>November</v>
      </c>
      <c r="C7054" s="46" t="s">
        <v>280</v>
      </c>
      <c r="F7054" s="366" t="s">
        <v>3548</v>
      </c>
      <c r="G7054" s="46" t="s">
        <v>17</v>
      </c>
      <c r="H7054" s="46">
        <v>1</v>
      </c>
      <c r="I7054" s="51">
        <v>4622.28</v>
      </c>
      <c r="J7054" s="281">
        <f>++Tabla4[[#This Row],[Precio Bruto]]*1.16</f>
        <v>5361.8447999999989</v>
      </c>
      <c r="K7054" s="281">
        <f>+Tabla4[[#This Row],[Precio Unitario Neto]]*Tabla4[[#Headers],[20.85%]]</f>
        <v>1117.9446407999997</v>
      </c>
      <c r="L7054" s="282">
        <f>++Tabla4[[#This Row],[Precio Unitario Neto]]-Tabla4[[#This Row],[20.85%]]</f>
        <v>4243.9001591999995</v>
      </c>
      <c r="M7054" s="282" t="e">
        <f>(INDEX(Tabla6[#All],MATCH(Tabla4[[#This Row],[Producto]],Tabla6[[#All],[PRODUCTO]],0),MATCH(Tabla4[[#This Row],[Mes]],Tabla6[#Headers],0)))*(1+Catalogos!$L$2)</f>
        <v>#N/A</v>
      </c>
      <c r="N7054" s="283" t="e">
        <f>+(Tabla4[[#This Row],[Precio Descontado]]-Tabla4[[#This Row],[Precio Base]])*Tabla4[[#This Row],[Cantidad]]</f>
        <v>#N/A</v>
      </c>
      <c r="O7054" s="284" t="e">
        <f>++Tabla4[[#This Row],[Utilidad Total]]/Tabla4[[#This Row],[Total]]</f>
        <v>#N/A</v>
      </c>
      <c r="P7054" s="282">
        <f>++Tabla4[[#This Row],[Precio Descontado]]*Tabla4[[#This Row],[Cantidad]]</f>
        <v>4243.9001591999995</v>
      </c>
      <c r="Q7054" s="282" t="e">
        <f>(INDEX(Tabla6[#All],MATCH(Tabla4[[#This Row],[Producto]],Tabla6[[#All],[PRODUCTO]],0),MATCH(Tabla4[[#This Row],[Mes]],Tabla6[#Headers],0)))</f>
        <v>#N/A</v>
      </c>
      <c r="R7054" s="282" t="e">
        <f>++Tabla4[[#This Row],[Precio Unitario Neto]]-Tabla4[[#This Row],[20.85%]]-Tabla4[[#This Row],[Costo]]</f>
        <v>#N/A</v>
      </c>
      <c r="S7054" s="282" t="e">
        <f>++Tabla4[[#This Row],[U. Bruta Uni]]*Tabla4[[#This Row],[Cantidad]]</f>
        <v>#N/A</v>
      </c>
      <c r="T7054" s="369" t="str">
        <f>VLOOKUP(Tabla4[[#This Row],[Producto]],Tabla6[#All],14,FALSE)</f>
        <v>Termico Solar</v>
      </c>
      <c r="U7054" s="284" t="e">
        <f>(IF(Tabla4[[#This Row],[Familia]]="termico solar",Tabla4[[#This Row],[Utilidad Total]]*6%,Tabla4[[#This Row],[Utilidad Total]]*11.5%))/Tabla4[[#This Row],[Total]]</f>
        <v>#N/A</v>
      </c>
      <c r="V7054" s="282" t="e">
        <f>+Tabla4[[#This Row],[Comisión Calculada]]*Tabla4[[#This Row],[Total]]</f>
        <v>#N/A</v>
      </c>
    </row>
    <row r="7055" spans="1:22" hidden="1" x14ac:dyDescent="0.25">
      <c r="A7055" s="100">
        <v>45991</v>
      </c>
      <c r="B7055" t="str">
        <f t="shared" si="539"/>
        <v>November</v>
      </c>
      <c r="C7055" s="46" t="s">
        <v>280</v>
      </c>
      <c r="F7055" s="366" t="s">
        <v>3548</v>
      </c>
      <c r="G7055" s="46" t="s">
        <v>18</v>
      </c>
      <c r="H7055" s="46">
        <v>1</v>
      </c>
      <c r="I7055" s="51">
        <v>5367.65</v>
      </c>
      <c r="J7055" s="281">
        <f>++Tabla4[[#This Row],[Precio Bruto]]*1.16</f>
        <v>6226.4739999999993</v>
      </c>
      <c r="K7055" s="281">
        <f>+Tabla4[[#This Row],[Precio Unitario Neto]]*Tabla4[[#Headers],[20.85%]]</f>
        <v>1298.2198289999999</v>
      </c>
      <c r="L7055" s="282">
        <f>++Tabla4[[#This Row],[Precio Unitario Neto]]-Tabla4[[#This Row],[20.85%]]</f>
        <v>4928.2541709999996</v>
      </c>
      <c r="M7055" s="282" t="e">
        <f>(INDEX(Tabla6[#All],MATCH(Tabla4[[#This Row],[Producto]],Tabla6[[#All],[PRODUCTO]],0),MATCH(Tabla4[[#This Row],[Mes]],Tabla6[#Headers],0)))*(1+Catalogos!$L$2)</f>
        <v>#N/A</v>
      </c>
      <c r="N7055" s="283" t="e">
        <f>+(Tabla4[[#This Row],[Precio Descontado]]-Tabla4[[#This Row],[Precio Base]])*Tabla4[[#This Row],[Cantidad]]</f>
        <v>#N/A</v>
      </c>
      <c r="O7055" s="284" t="e">
        <f>++Tabla4[[#This Row],[Utilidad Total]]/Tabla4[[#This Row],[Total]]</f>
        <v>#N/A</v>
      </c>
      <c r="P7055" s="282">
        <f>++Tabla4[[#This Row],[Precio Descontado]]*Tabla4[[#This Row],[Cantidad]]</f>
        <v>4928.2541709999996</v>
      </c>
      <c r="Q7055" s="282" t="e">
        <f>(INDEX(Tabla6[#All],MATCH(Tabla4[[#This Row],[Producto]],Tabla6[[#All],[PRODUCTO]],0),MATCH(Tabla4[[#This Row],[Mes]],Tabla6[#Headers],0)))</f>
        <v>#N/A</v>
      </c>
      <c r="R7055" s="282" t="e">
        <f>++Tabla4[[#This Row],[Precio Unitario Neto]]-Tabla4[[#This Row],[20.85%]]-Tabla4[[#This Row],[Costo]]</f>
        <v>#N/A</v>
      </c>
      <c r="S7055" s="282" t="e">
        <f>++Tabla4[[#This Row],[U. Bruta Uni]]*Tabla4[[#This Row],[Cantidad]]</f>
        <v>#N/A</v>
      </c>
      <c r="T7055" s="369" t="str">
        <f>VLOOKUP(Tabla4[[#This Row],[Producto]],Tabla6[#All],14,FALSE)</f>
        <v>Termico Solar</v>
      </c>
      <c r="U7055" s="284" t="e">
        <f>(IF(Tabla4[[#This Row],[Familia]]="termico solar",Tabla4[[#This Row],[Utilidad Total]]*6%,Tabla4[[#This Row],[Utilidad Total]]*11.5%))/Tabla4[[#This Row],[Total]]</f>
        <v>#N/A</v>
      </c>
      <c r="V7055" s="282" t="e">
        <f>+Tabla4[[#This Row],[Comisión Calculada]]*Tabla4[[#This Row],[Total]]</f>
        <v>#N/A</v>
      </c>
    </row>
    <row r="7056" spans="1:22" hidden="1" x14ac:dyDescent="0.25">
      <c r="A7056" s="100">
        <v>45991</v>
      </c>
      <c r="B7056" t="str">
        <f>TEXT(A7056, "mmmm")</f>
        <v>November</v>
      </c>
      <c r="C7056" s="46" t="s">
        <v>280</v>
      </c>
      <c r="F7056" s="366" t="s">
        <v>3549</v>
      </c>
      <c r="G7056" s="46" t="s">
        <v>17</v>
      </c>
      <c r="H7056" s="46">
        <v>1</v>
      </c>
      <c r="I7056" s="51">
        <v>4622.28</v>
      </c>
      <c r="J7056" s="281">
        <f>++Tabla4[[#This Row],[Precio Bruto]]*1.16</f>
        <v>5361.8447999999989</v>
      </c>
      <c r="K7056" s="281">
        <f>+Tabla4[[#This Row],[Precio Unitario Neto]]*Tabla4[[#Headers],[20.85%]]</f>
        <v>1117.9446407999997</v>
      </c>
      <c r="L7056" s="282">
        <f>++Tabla4[[#This Row],[Precio Unitario Neto]]-Tabla4[[#This Row],[20.85%]]</f>
        <v>4243.9001591999995</v>
      </c>
      <c r="M7056" s="282" t="e">
        <f>(INDEX(Tabla6[#All],MATCH(Tabla4[[#This Row],[Producto]],Tabla6[[#All],[PRODUCTO]],0),MATCH(Tabla4[[#This Row],[Mes]],Tabla6[#Headers],0)))*(1+Catalogos!$L$2)</f>
        <v>#N/A</v>
      </c>
      <c r="N7056" s="283" t="e">
        <f>+(Tabla4[[#This Row],[Precio Descontado]]-Tabla4[[#This Row],[Precio Base]])*Tabla4[[#This Row],[Cantidad]]</f>
        <v>#N/A</v>
      </c>
      <c r="O7056" s="284" t="e">
        <f>++Tabla4[[#This Row],[Utilidad Total]]/Tabla4[[#This Row],[Total]]</f>
        <v>#N/A</v>
      </c>
      <c r="P7056" s="282">
        <f>++Tabla4[[#This Row],[Precio Descontado]]*Tabla4[[#This Row],[Cantidad]]</f>
        <v>4243.9001591999995</v>
      </c>
      <c r="Q7056" s="282" t="e">
        <f>(INDEX(Tabla6[#All],MATCH(Tabla4[[#This Row],[Producto]],Tabla6[[#All],[PRODUCTO]],0),MATCH(Tabla4[[#This Row],[Mes]],Tabla6[#Headers],0)))</f>
        <v>#N/A</v>
      </c>
      <c r="R7056" s="282" t="e">
        <f>++Tabla4[[#This Row],[Precio Unitario Neto]]-Tabla4[[#This Row],[20.85%]]-Tabla4[[#This Row],[Costo]]</f>
        <v>#N/A</v>
      </c>
      <c r="S7056" s="282" t="e">
        <f>++Tabla4[[#This Row],[U. Bruta Uni]]*Tabla4[[#This Row],[Cantidad]]</f>
        <v>#N/A</v>
      </c>
      <c r="T7056" s="369" t="str">
        <f>VLOOKUP(Tabla4[[#This Row],[Producto]],Tabla6[#All],14,FALSE)</f>
        <v>Termico Solar</v>
      </c>
      <c r="U7056" s="284" t="e">
        <f>(IF(Tabla4[[#This Row],[Familia]]="termico solar",Tabla4[[#This Row],[Utilidad Total]]*6%,Tabla4[[#This Row],[Utilidad Total]]*11.5%))/Tabla4[[#This Row],[Total]]</f>
        <v>#N/A</v>
      </c>
      <c r="V7056" s="282" t="e">
        <f>+Tabla4[[#This Row],[Comisión Calculada]]*Tabla4[[#This Row],[Total]]</f>
        <v>#N/A</v>
      </c>
    </row>
    <row r="7057" spans="1:22" hidden="1" x14ac:dyDescent="0.25">
      <c r="A7057" s="100">
        <v>45991</v>
      </c>
      <c r="B7057" t="str">
        <f>TEXT(A7057, "mmmm")</f>
        <v>November</v>
      </c>
      <c r="C7057" s="46" t="s">
        <v>280</v>
      </c>
      <c r="F7057" s="366" t="s">
        <v>3550</v>
      </c>
      <c r="G7057" s="46" t="s">
        <v>208</v>
      </c>
      <c r="H7057" s="46">
        <v>2</v>
      </c>
      <c r="I7057" s="51">
        <v>189.75</v>
      </c>
      <c r="J7057" s="281">
        <f>++Tabla4[[#This Row],[Precio Bruto]]*1.16</f>
        <v>220.10999999999999</v>
      </c>
      <c r="K7057" s="281">
        <f>+Tabla4[[#This Row],[Precio Unitario Neto]]*Tabla4[[#Headers],[20.85%]]</f>
        <v>45.892934999999994</v>
      </c>
      <c r="L7057" s="282">
        <f>++Tabla4[[#This Row],[Precio Unitario Neto]]-Tabla4[[#This Row],[20.85%]]</f>
        <v>174.21706499999999</v>
      </c>
      <c r="M7057" s="282" t="e">
        <f>(INDEX(Tabla6[#All],MATCH(Tabla4[[#This Row],[Producto]],Tabla6[[#All],[PRODUCTO]],0),MATCH(Tabla4[[#This Row],[Mes]],Tabla6[#Headers],0)))*(1+Catalogos!$L$2)</f>
        <v>#N/A</v>
      </c>
      <c r="N7057" s="283" t="e">
        <f>+(Tabla4[[#This Row],[Precio Descontado]]-Tabla4[[#This Row],[Precio Base]])*Tabla4[[#This Row],[Cantidad]]</f>
        <v>#N/A</v>
      </c>
      <c r="O7057" s="284" t="e">
        <f>++Tabla4[[#This Row],[Utilidad Total]]/Tabla4[[#This Row],[Total]]</f>
        <v>#N/A</v>
      </c>
      <c r="P7057" s="282">
        <f>++Tabla4[[#This Row],[Precio Descontado]]*Tabla4[[#This Row],[Cantidad]]</f>
        <v>348.43412999999998</v>
      </c>
      <c r="Q7057" s="282" t="e">
        <f>(INDEX(Tabla6[#All],MATCH(Tabla4[[#This Row],[Producto]],Tabla6[[#All],[PRODUCTO]],0),MATCH(Tabla4[[#This Row],[Mes]],Tabla6[#Headers],0)))</f>
        <v>#N/A</v>
      </c>
      <c r="R7057" s="282" t="e">
        <f>++Tabla4[[#This Row],[Precio Unitario Neto]]-Tabla4[[#This Row],[20.85%]]-Tabla4[[#This Row],[Costo]]</f>
        <v>#N/A</v>
      </c>
      <c r="S7057" s="282" t="e">
        <f>++Tabla4[[#This Row],[U. Bruta Uni]]*Tabla4[[#This Row],[Cantidad]]</f>
        <v>#N/A</v>
      </c>
      <c r="T7057" s="369" t="str">
        <f>VLOOKUP(Tabla4[[#This Row],[Producto]],Tabla6[#All],14,FALSE)</f>
        <v>Termico Solar</v>
      </c>
      <c r="U7057" s="284" t="e">
        <f>(IF(Tabla4[[#This Row],[Familia]]="termico solar",Tabla4[[#This Row],[Utilidad Total]]*6%,Tabla4[[#This Row],[Utilidad Total]]*11.5%))/Tabla4[[#This Row],[Total]]</f>
        <v>#N/A</v>
      </c>
      <c r="V7057" s="282" t="e">
        <f>+Tabla4[[#This Row],[Comisión Calculada]]*Tabla4[[#This Row],[Total]]</f>
        <v>#N/A</v>
      </c>
    </row>
    <row r="7058" spans="1:22" hidden="1" x14ac:dyDescent="0.25">
      <c r="A7058" s="100">
        <v>45991</v>
      </c>
      <c r="B7058" t="str">
        <f>TEXT(A7058, "mmmm")</f>
        <v>November</v>
      </c>
      <c r="C7058" s="46" t="s">
        <v>280</v>
      </c>
      <c r="F7058" s="366" t="s">
        <v>3551</v>
      </c>
      <c r="G7058" s="46" t="s">
        <v>208</v>
      </c>
      <c r="H7058" s="46">
        <v>1</v>
      </c>
      <c r="I7058" s="51">
        <v>189.75</v>
      </c>
      <c r="J7058" s="281">
        <f>++Tabla4[[#This Row],[Precio Bruto]]*1.16</f>
        <v>220.10999999999999</v>
      </c>
      <c r="K7058" s="281">
        <f>+Tabla4[[#This Row],[Precio Unitario Neto]]*Tabla4[[#Headers],[20.85%]]</f>
        <v>45.892934999999994</v>
      </c>
      <c r="L7058" s="282">
        <f>++Tabla4[[#This Row],[Precio Unitario Neto]]-Tabla4[[#This Row],[20.85%]]</f>
        <v>174.21706499999999</v>
      </c>
      <c r="M7058" s="282" t="e">
        <f>(INDEX(Tabla6[#All],MATCH(Tabla4[[#This Row],[Producto]],Tabla6[[#All],[PRODUCTO]],0),MATCH(Tabla4[[#This Row],[Mes]],Tabla6[#Headers],0)))*(1+Catalogos!$L$2)</f>
        <v>#N/A</v>
      </c>
      <c r="N7058" s="283" t="e">
        <f>+(Tabla4[[#This Row],[Precio Descontado]]-Tabla4[[#This Row],[Precio Base]])*Tabla4[[#This Row],[Cantidad]]</f>
        <v>#N/A</v>
      </c>
      <c r="O7058" s="284" t="e">
        <f>++Tabla4[[#This Row],[Utilidad Total]]/Tabla4[[#This Row],[Total]]</f>
        <v>#N/A</v>
      </c>
      <c r="P7058" s="282">
        <f>++Tabla4[[#This Row],[Precio Descontado]]*Tabla4[[#This Row],[Cantidad]]</f>
        <v>174.21706499999999</v>
      </c>
      <c r="Q7058" s="282" t="e">
        <f>(INDEX(Tabla6[#All],MATCH(Tabla4[[#This Row],[Producto]],Tabla6[[#All],[PRODUCTO]],0),MATCH(Tabla4[[#This Row],[Mes]],Tabla6[#Headers],0)))</f>
        <v>#N/A</v>
      </c>
      <c r="R7058" s="282" t="e">
        <f>++Tabla4[[#This Row],[Precio Unitario Neto]]-Tabla4[[#This Row],[20.85%]]-Tabla4[[#This Row],[Costo]]</f>
        <v>#N/A</v>
      </c>
      <c r="S7058" s="282" t="e">
        <f>++Tabla4[[#This Row],[U. Bruta Uni]]*Tabla4[[#This Row],[Cantidad]]</f>
        <v>#N/A</v>
      </c>
      <c r="T7058" s="369" t="str">
        <f>VLOOKUP(Tabla4[[#This Row],[Producto]],Tabla6[#All],14,FALSE)</f>
        <v>Termico Solar</v>
      </c>
      <c r="U7058" s="284" t="e">
        <f>(IF(Tabla4[[#This Row],[Familia]]="termico solar",Tabla4[[#This Row],[Utilidad Total]]*6%,Tabla4[[#This Row],[Utilidad Total]]*11.5%))/Tabla4[[#This Row],[Total]]</f>
        <v>#N/A</v>
      </c>
      <c r="V7058" s="282" t="e">
        <f>+Tabla4[[#This Row],[Comisión Calculada]]*Tabla4[[#This Row],[Total]]</f>
        <v>#N/A</v>
      </c>
    </row>
    <row r="7059" spans="1:22" hidden="1" x14ac:dyDescent="0.25">
      <c r="A7059" s="100">
        <v>45991</v>
      </c>
      <c r="B7059" t="str">
        <f t="shared" ref="B7059:B7061" si="540">TEXT(A7059, "mmmm")</f>
        <v>November</v>
      </c>
      <c r="C7059" s="46" t="s">
        <v>280</v>
      </c>
      <c r="F7059" s="366" t="s">
        <v>3552</v>
      </c>
      <c r="G7059" s="46" t="s">
        <v>19</v>
      </c>
      <c r="H7059" s="46">
        <v>1</v>
      </c>
      <c r="I7059" s="51">
        <v>6412.03</v>
      </c>
      <c r="J7059" s="281">
        <f>++Tabla4[[#This Row],[Precio Bruto]]*1.16</f>
        <v>7437.9547999999995</v>
      </c>
      <c r="K7059" s="281">
        <f>+Tabla4[[#This Row],[Precio Unitario Neto]]*Tabla4[[#Headers],[20.85%]]</f>
        <v>1550.8135757999999</v>
      </c>
      <c r="L7059" s="282">
        <f>++Tabla4[[#This Row],[Precio Unitario Neto]]-Tabla4[[#This Row],[20.85%]]</f>
        <v>5887.1412241999997</v>
      </c>
      <c r="M7059" s="282" t="e">
        <f>(INDEX(Tabla6[#All],MATCH(Tabla4[[#This Row],[Producto]],Tabla6[[#All],[PRODUCTO]],0),MATCH(Tabla4[[#This Row],[Mes]],Tabla6[#Headers],0)))*(1+Catalogos!$L$2)</f>
        <v>#N/A</v>
      </c>
      <c r="N7059" s="283" t="e">
        <f>+(Tabla4[[#This Row],[Precio Descontado]]-Tabla4[[#This Row],[Precio Base]])*Tabla4[[#This Row],[Cantidad]]</f>
        <v>#N/A</v>
      </c>
      <c r="O7059" s="284" t="e">
        <f>++Tabla4[[#This Row],[Utilidad Total]]/Tabla4[[#This Row],[Total]]</f>
        <v>#N/A</v>
      </c>
      <c r="P7059" s="282">
        <f>++Tabla4[[#This Row],[Precio Descontado]]*Tabla4[[#This Row],[Cantidad]]</f>
        <v>5887.1412241999997</v>
      </c>
      <c r="Q7059" s="282" t="e">
        <f>(INDEX(Tabla6[#All],MATCH(Tabla4[[#This Row],[Producto]],Tabla6[[#All],[PRODUCTO]],0),MATCH(Tabla4[[#This Row],[Mes]],Tabla6[#Headers],0)))</f>
        <v>#N/A</v>
      </c>
      <c r="R7059" s="282" t="e">
        <f>++Tabla4[[#This Row],[Precio Unitario Neto]]-Tabla4[[#This Row],[20.85%]]-Tabla4[[#This Row],[Costo]]</f>
        <v>#N/A</v>
      </c>
      <c r="S7059" s="282" t="e">
        <f>++Tabla4[[#This Row],[U. Bruta Uni]]*Tabla4[[#This Row],[Cantidad]]</f>
        <v>#N/A</v>
      </c>
      <c r="T7059" s="369" t="str">
        <f>VLOOKUP(Tabla4[[#This Row],[Producto]],Tabla6[#All],14,FALSE)</f>
        <v>Termico Solar</v>
      </c>
      <c r="U7059" s="284" t="e">
        <f>(IF(Tabla4[[#This Row],[Familia]]="termico solar",Tabla4[[#This Row],[Utilidad Total]]*6%,Tabla4[[#This Row],[Utilidad Total]]*11.5%))/Tabla4[[#This Row],[Total]]</f>
        <v>#N/A</v>
      </c>
      <c r="V7059" s="282" t="e">
        <f>+Tabla4[[#This Row],[Comisión Calculada]]*Tabla4[[#This Row],[Total]]</f>
        <v>#N/A</v>
      </c>
    </row>
    <row r="7060" spans="1:22" hidden="1" x14ac:dyDescent="0.25">
      <c r="A7060" s="100">
        <v>45991</v>
      </c>
      <c r="B7060" t="str">
        <f t="shared" si="540"/>
        <v>November</v>
      </c>
      <c r="C7060" s="46" t="s">
        <v>280</v>
      </c>
      <c r="F7060" s="366" t="s">
        <v>3552</v>
      </c>
      <c r="G7060" s="46" t="s">
        <v>566</v>
      </c>
      <c r="H7060" s="46">
        <v>3</v>
      </c>
      <c r="I7060" s="51">
        <v>2109.4500000000003</v>
      </c>
      <c r="J7060" s="281">
        <f>++Tabla4[[#This Row],[Precio Bruto]]*1.16</f>
        <v>2446.962</v>
      </c>
      <c r="K7060" s="281">
        <f>+Tabla4[[#This Row],[Precio Unitario Neto]]*Tabla4[[#Headers],[20.85%]]</f>
        <v>510.191577</v>
      </c>
      <c r="L7060" s="282">
        <f>++Tabla4[[#This Row],[Precio Unitario Neto]]-Tabla4[[#This Row],[20.85%]]</f>
        <v>1936.7704229999999</v>
      </c>
      <c r="M7060" s="282" t="e">
        <f>(INDEX(Tabla6[#All],MATCH(Tabla4[[#This Row],[Producto]],Tabla6[[#All],[PRODUCTO]],0),MATCH(Tabla4[[#This Row],[Mes]],Tabla6[#Headers],0)))*(1+Catalogos!$L$2)</f>
        <v>#N/A</v>
      </c>
      <c r="N7060" s="283" t="e">
        <f>+(Tabla4[[#This Row],[Precio Descontado]]-Tabla4[[#This Row],[Precio Base]])*Tabla4[[#This Row],[Cantidad]]</f>
        <v>#N/A</v>
      </c>
      <c r="O7060" s="284" t="e">
        <f>++Tabla4[[#This Row],[Utilidad Total]]/Tabla4[[#This Row],[Total]]</f>
        <v>#N/A</v>
      </c>
      <c r="P7060" s="282">
        <f>++Tabla4[[#This Row],[Precio Descontado]]*Tabla4[[#This Row],[Cantidad]]</f>
        <v>5810.3112689999998</v>
      </c>
      <c r="Q7060" s="282" t="e">
        <f>(INDEX(Tabla6[#All],MATCH(Tabla4[[#This Row],[Producto]],Tabla6[[#All],[PRODUCTO]],0),MATCH(Tabla4[[#This Row],[Mes]],Tabla6[#Headers],0)))</f>
        <v>#N/A</v>
      </c>
      <c r="R7060" s="282" t="e">
        <f>++Tabla4[[#This Row],[Precio Unitario Neto]]-Tabla4[[#This Row],[20.85%]]-Tabla4[[#This Row],[Costo]]</f>
        <v>#N/A</v>
      </c>
      <c r="S7060" s="282" t="e">
        <f>++Tabla4[[#This Row],[U. Bruta Uni]]*Tabla4[[#This Row],[Cantidad]]</f>
        <v>#N/A</v>
      </c>
      <c r="T7060" s="369" t="str">
        <f>VLOOKUP(Tabla4[[#This Row],[Producto]],Tabla6[#All],14,FALSE)</f>
        <v>Termico Solar</v>
      </c>
      <c r="U7060" s="284" t="e">
        <f>(IF(Tabla4[[#This Row],[Familia]]="termico solar",Tabla4[[#This Row],[Utilidad Total]]*6%,Tabla4[[#This Row],[Utilidad Total]]*11.5%))/Tabla4[[#This Row],[Total]]</f>
        <v>#N/A</v>
      </c>
      <c r="V7060" s="282" t="e">
        <f>+Tabla4[[#This Row],[Comisión Calculada]]*Tabla4[[#This Row],[Total]]</f>
        <v>#N/A</v>
      </c>
    </row>
    <row r="7061" spans="1:22" hidden="1" x14ac:dyDescent="0.25">
      <c r="A7061" s="100">
        <v>45991</v>
      </c>
      <c r="B7061" t="str">
        <f t="shared" si="540"/>
        <v>November</v>
      </c>
      <c r="C7061" s="46" t="s">
        <v>280</v>
      </c>
      <c r="F7061" s="366" t="s">
        <v>3552</v>
      </c>
      <c r="G7061" s="46" t="s">
        <v>16</v>
      </c>
      <c r="H7061" s="46">
        <v>2</v>
      </c>
      <c r="I7061" s="51">
        <v>4103.8500000000004</v>
      </c>
      <c r="J7061" s="281">
        <f>++Tabla4[[#This Row],[Precio Bruto]]*1.16</f>
        <v>4760.4660000000003</v>
      </c>
      <c r="K7061" s="281">
        <f>+Tabla4[[#This Row],[Precio Unitario Neto]]*Tabla4[[#Headers],[20.85%]]</f>
        <v>992.55716100000006</v>
      </c>
      <c r="L7061" s="282">
        <f>++Tabla4[[#This Row],[Precio Unitario Neto]]-Tabla4[[#This Row],[20.85%]]</f>
        <v>3767.9088390000002</v>
      </c>
      <c r="M7061" s="282" t="e">
        <f>(INDEX(Tabla6[#All],MATCH(Tabla4[[#This Row],[Producto]],Tabla6[[#All],[PRODUCTO]],0),MATCH(Tabla4[[#This Row],[Mes]],Tabla6[#Headers],0)))*(1+Catalogos!$L$2)</f>
        <v>#N/A</v>
      </c>
      <c r="N7061" s="283" t="e">
        <f>+(Tabla4[[#This Row],[Precio Descontado]]-Tabla4[[#This Row],[Precio Base]])*Tabla4[[#This Row],[Cantidad]]</f>
        <v>#N/A</v>
      </c>
      <c r="O7061" s="284" t="e">
        <f>++Tabla4[[#This Row],[Utilidad Total]]/Tabla4[[#This Row],[Total]]</f>
        <v>#N/A</v>
      </c>
      <c r="P7061" s="282">
        <f>++Tabla4[[#This Row],[Precio Descontado]]*Tabla4[[#This Row],[Cantidad]]</f>
        <v>7535.8176780000003</v>
      </c>
      <c r="Q7061" s="282" t="e">
        <f>(INDEX(Tabla6[#All],MATCH(Tabla4[[#This Row],[Producto]],Tabla6[[#All],[PRODUCTO]],0),MATCH(Tabla4[[#This Row],[Mes]],Tabla6[#Headers],0)))</f>
        <v>#N/A</v>
      </c>
      <c r="R7061" s="282" t="e">
        <f>++Tabla4[[#This Row],[Precio Unitario Neto]]-Tabla4[[#This Row],[20.85%]]-Tabla4[[#This Row],[Costo]]</f>
        <v>#N/A</v>
      </c>
      <c r="S7061" s="282" t="e">
        <f>++Tabla4[[#This Row],[U. Bruta Uni]]*Tabla4[[#This Row],[Cantidad]]</f>
        <v>#N/A</v>
      </c>
      <c r="T7061" s="369" t="str">
        <f>VLOOKUP(Tabla4[[#This Row],[Producto]],Tabla6[#All],14,FALSE)</f>
        <v>Termico Solar</v>
      </c>
      <c r="U7061" s="284" t="e">
        <f>(IF(Tabla4[[#This Row],[Familia]]="termico solar",Tabla4[[#This Row],[Utilidad Total]]*6%,Tabla4[[#This Row],[Utilidad Total]]*11.5%))/Tabla4[[#This Row],[Total]]</f>
        <v>#N/A</v>
      </c>
      <c r="V7061" s="282" t="e">
        <f>+Tabla4[[#This Row],[Comisión Calculada]]*Tabla4[[#This Row],[Total]]</f>
        <v>#N/A</v>
      </c>
    </row>
    <row r="7062" spans="1:22" hidden="1" x14ac:dyDescent="0.25">
      <c r="A7062" s="100">
        <v>45991</v>
      </c>
      <c r="B7062" t="str">
        <f t="shared" ref="B7062:B7063" si="541">TEXT(A7062, "mmmm")</f>
        <v>November</v>
      </c>
      <c r="C7062" s="46" t="s">
        <v>280</v>
      </c>
      <c r="F7062" s="366" t="s">
        <v>3553</v>
      </c>
      <c r="G7062" s="46" t="s">
        <v>17</v>
      </c>
      <c r="H7062" s="46">
        <v>2</v>
      </c>
      <c r="I7062" s="51">
        <v>4622.28</v>
      </c>
      <c r="J7062" s="281">
        <f>++Tabla4[[#This Row],[Precio Bruto]]*1.16</f>
        <v>5361.8447999999989</v>
      </c>
      <c r="K7062" s="281">
        <f>+Tabla4[[#This Row],[Precio Unitario Neto]]*Tabla4[[#Headers],[20.85%]]</f>
        <v>1117.9446407999997</v>
      </c>
      <c r="L7062" s="282">
        <f>++Tabla4[[#This Row],[Precio Unitario Neto]]-Tabla4[[#This Row],[20.85%]]</f>
        <v>4243.9001591999995</v>
      </c>
      <c r="M7062" s="282" t="e">
        <f>(INDEX(Tabla6[#All],MATCH(Tabla4[[#This Row],[Producto]],Tabla6[[#All],[PRODUCTO]],0),MATCH(Tabla4[[#This Row],[Mes]],Tabla6[#Headers],0)))*(1+Catalogos!$L$2)</f>
        <v>#N/A</v>
      </c>
      <c r="N7062" s="283" t="e">
        <f>+(Tabla4[[#This Row],[Precio Descontado]]-Tabla4[[#This Row],[Precio Base]])*Tabla4[[#This Row],[Cantidad]]</f>
        <v>#N/A</v>
      </c>
      <c r="O7062" s="284" t="e">
        <f>++Tabla4[[#This Row],[Utilidad Total]]/Tabla4[[#This Row],[Total]]</f>
        <v>#N/A</v>
      </c>
      <c r="P7062" s="282">
        <f>++Tabla4[[#This Row],[Precio Descontado]]*Tabla4[[#This Row],[Cantidad]]</f>
        <v>8487.800318399999</v>
      </c>
      <c r="Q7062" s="282" t="e">
        <f>(INDEX(Tabla6[#All],MATCH(Tabla4[[#This Row],[Producto]],Tabla6[[#All],[PRODUCTO]],0),MATCH(Tabla4[[#This Row],[Mes]],Tabla6[#Headers],0)))</f>
        <v>#N/A</v>
      </c>
      <c r="R7062" s="282" t="e">
        <f>++Tabla4[[#This Row],[Precio Unitario Neto]]-Tabla4[[#This Row],[20.85%]]-Tabla4[[#This Row],[Costo]]</f>
        <v>#N/A</v>
      </c>
      <c r="S7062" s="282" t="e">
        <f>++Tabla4[[#This Row],[U. Bruta Uni]]*Tabla4[[#This Row],[Cantidad]]</f>
        <v>#N/A</v>
      </c>
      <c r="T7062" s="369" t="str">
        <f>VLOOKUP(Tabla4[[#This Row],[Producto]],Tabla6[#All],14,FALSE)</f>
        <v>Termico Solar</v>
      </c>
      <c r="U7062" s="284" t="e">
        <f>(IF(Tabla4[[#This Row],[Familia]]="termico solar",Tabla4[[#This Row],[Utilidad Total]]*6%,Tabla4[[#This Row],[Utilidad Total]]*11.5%))/Tabla4[[#This Row],[Total]]</f>
        <v>#N/A</v>
      </c>
      <c r="V7062" s="282" t="e">
        <f>+Tabla4[[#This Row],[Comisión Calculada]]*Tabla4[[#This Row],[Total]]</f>
        <v>#N/A</v>
      </c>
    </row>
    <row r="7063" spans="1:22" hidden="1" x14ac:dyDescent="0.25">
      <c r="A7063" s="100">
        <v>45991</v>
      </c>
      <c r="B7063" t="str">
        <f t="shared" si="541"/>
        <v>November</v>
      </c>
      <c r="C7063" s="46" t="s">
        <v>280</v>
      </c>
      <c r="F7063" s="366" t="s">
        <v>3553</v>
      </c>
      <c r="G7063" s="46" t="s">
        <v>208</v>
      </c>
      <c r="H7063" s="46">
        <v>6</v>
      </c>
      <c r="I7063" s="51">
        <v>189.75</v>
      </c>
      <c r="J7063" s="281">
        <f>++Tabla4[[#This Row],[Precio Bruto]]*1.16</f>
        <v>220.10999999999999</v>
      </c>
      <c r="K7063" s="281">
        <f>+Tabla4[[#This Row],[Precio Unitario Neto]]*Tabla4[[#Headers],[20.85%]]</f>
        <v>45.892934999999994</v>
      </c>
      <c r="L7063" s="282">
        <f>++Tabla4[[#This Row],[Precio Unitario Neto]]-Tabla4[[#This Row],[20.85%]]</f>
        <v>174.21706499999999</v>
      </c>
      <c r="M7063" s="282" t="e">
        <f>(INDEX(Tabla6[#All],MATCH(Tabla4[[#This Row],[Producto]],Tabla6[[#All],[PRODUCTO]],0),MATCH(Tabla4[[#This Row],[Mes]],Tabla6[#Headers],0)))*(1+Catalogos!$L$2)</f>
        <v>#N/A</v>
      </c>
      <c r="N7063" s="283" t="e">
        <f>+(Tabla4[[#This Row],[Precio Descontado]]-Tabla4[[#This Row],[Precio Base]])*Tabla4[[#This Row],[Cantidad]]</f>
        <v>#N/A</v>
      </c>
      <c r="O7063" s="284" t="e">
        <f>++Tabla4[[#This Row],[Utilidad Total]]/Tabla4[[#This Row],[Total]]</f>
        <v>#N/A</v>
      </c>
      <c r="P7063" s="282">
        <f>++Tabla4[[#This Row],[Precio Descontado]]*Tabla4[[#This Row],[Cantidad]]</f>
        <v>1045.3023899999998</v>
      </c>
      <c r="Q7063" s="282" t="e">
        <f>(INDEX(Tabla6[#All],MATCH(Tabla4[[#This Row],[Producto]],Tabla6[[#All],[PRODUCTO]],0),MATCH(Tabla4[[#This Row],[Mes]],Tabla6[#Headers],0)))</f>
        <v>#N/A</v>
      </c>
      <c r="R7063" s="282" t="e">
        <f>++Tabla4[[#This Row],[Precio Unitario Neto]]-Tabla4[[#This Row],[20.85%]]-Tabla4[[#This Row],[Costo]]</f>
        <v>#N/A</v>
      </c>
      <c r="S7063" s="282" t="e">
        <f>++Tabla4[[#This Row],[U. Bruta Uni]]*Tabla4[[#This Row],[Cantidad]]</f>
        <v>#N/A</v>
      </c>
      <c r="T7063" s="369" t="str">
        <f>VLOOKUP(Tabla4[[#This Row],[Producto]],Tabla6[#All],14,FALSE)</f>
        <v>Termico Solar</v>
      </c>
      <c r="U7063" s="284" t="e">
        <f>(IF(Tabla4[[#This Row],[Familia]]="termico solar",Tabla4[[#This Row],[Utilidad Total]]*6%,Tabla4[[#This Row],[Utilidad Total]]*11.5%))/Tabla4[[#This Row],[Total]]</f>
        <v>#N/A</v>
      </c>
      <c r="V7063" s="282" t="e">
        <f>+Tabla4[[#This Row],[Comisión Calculada]]*Tabla4[[#This Row],[Total]]</f>
        <v>#N/A</v>
      </c>
    </row>
    <row r="7064" spans="1:22" hidden="1" x14ac:dyDescent="0.25">
      <c r="A7064" s="100">
        <v>45991</v>
      </c>
      <c r="B7064" t="str">
        <f t="shared" ref="B7064:B7065" si="542">TEXT(A7064, "mmmm")</f>
        <v>November</v>
      </c>
      <c r="C7064" s="46" t="s">
        <v>280</v>
      </c>
      <c r="F7064" s="366" t="s">
        <v>3554</v>
      </c>
      <c r="G7064" s="46" t="s">
        <v>17</v>
      </c>
      <c r="H7064" s="46">
        <v>1</v>
      </c>
      <c r="I7064" s="51">
        <v>4622.28</v>
      </c>
      <c r="J7064" s="281">
        <f>++Tabla4[[#This Row],[Precio Bruto]]*1.16</f>
        <v>5361.8447999999989</v>
      </c>
      <c r="K7064" s="281">
        <f>+Tabla4[[#This Row],[Precio Unitario Neto]]*Tabla4[[#Headers],[20.85%]]</f>
        <v>1117.9446407999997</v>
      </c>
      <c r="L7064" s="282">
        <f>++Tabla4[[#This Row],[Precio Unitario Neto]]-Tabla4[[#This Row],[20.85%]]</f>
        <v>4243.9001591999995</v>
      </c>
      <c r="M7064" s="282" t="e">
        <f>(INDEX(Tabla6[#All],MATCH(Tabla4[[#This Row],[Producto]],Tabla6[[#All],[PRODUCTO]],0),MATCH(Tabla4[[#This Row],[Mes]],Tabla6[#Headers],0)))*(1+Catalogos!$L$2)</f>
        <v>#N/A</v>
      </c>
      <c r="N7064" s="283" t="e">
        <f>+(Tabla4[[#This Row],[Precio Descontado]]-Tabla4[[#This Row],[Precio Base]])*Tabla4[[#This Row],[Cantidad]]</f>
        <v>#N/A</v>
      </c>
      <c r="O7064" s="284" t="e">
        <f>++Tabla4[[#This Row],[Utilidad Total]]/Tabla4[[#This Row],[Total]]</f>
        <v>#N/A</v>
      </c>
      <c r="P7064" s="282">
        <f>++Tabla4[[#This Row],[Precio Descontado]]*Tabla4[[#This Row],[Cantidad]]</f>
        <v>4243.9001591999995</v>
      </c>
      <c r="Q7064" s="282" t="e">
        <f>(INDEX(Tabla6[#All],MATCH(Tabla4[[#This Row],[Producto]],Tabla6[[#All],[PRODUCTO]],0),MATCH(Tabla4[[#This Row],[Mes]],Tabla6[#Headers],0)))</f>
        <v>#N/A</v>
      </c>
      <c r="R7064" s="282" t="e">
        <f>++Tabla4[[#This Row],[Precio Unitario Neto]]-Tabla4[[#This Row],[20.85%]]-Tabla4[[#This Row],[Costo]]</f>
        <v>#N/A</v>
      </c>
      <c r="S7064" s="282" t="e">
        <f>++Tabla4[[#This Row],[U. Bruta Uni]]*Tabla4[[#This Row],[Cantidad]]</f>
        <v>#N/A</v>
      </c>
      <c r="T7064" s="369" t="str">
        <f>VLOOKUP(Tabla4[[#This Row],[Producto]],Tabla6[#All],14,FALSE)</f>
        <v>Termico Solar</v>
      </c>
      <c r="U7064" s="284" t="e">
        <f>(IF(Tabla4[[#This Row],[Familia]]="termico solar",Tabla4[[#This Row],[Utilidad Total]]*6%,Tabla4[[#This Row],[Utilidad Total]]*11.5%))/Tabla4[[#This Row],[Total]]</f>
        <v>#N/A</v>
      </c>
      <c r="V7064" s="282" t="e">
        <f>+Tabla4[[#This Row],[Comisión Calculada]]*Tabla4[[#This Row],[Total]]</f>
        <v>#N/A</v>
      </c>
    </row>
    <row r="7065" spans="1:22" hidden="1" x14ac:dyDescent="0.25">
      <c r="A7065" s="100">
        <v>45991</v>
      </c>
      <c r="B7065" t="str">
        <f t="shared" si="542"/>
        <v>November</v>
      </c>
      <c r="C7065" s="46" t="s">
        <v>280</v>
      </c>
      <c r="F7065" s="366" t="s">
        <v>3554</v>
      </c>
      <c r="G7065" s="46" t="s">
        <v>566</v>
      </c>
      <c r="H7065" s="46">
        <v>3</v>
      </c>
      <c r="I7065" s="51">
        <v>2109.4500000000003</v>
      </c>
      <c r="J7065" s="281">
        <f>++Tabla4[[#This Row],[Precio Bruto]]*1.16</f>
        <v>2446.962</v>
      </c>
      <c r="K7065" s="281">
        <f>+Tabla4[[#This Row],[Precio Unitario Neto]]*Tabla4[[#Headers],[20.85%]]</f>
        <v>510.191577</v>
      </c>
      <c r="L7065" s="282">
        <f>++Tabla4[[#This Row],[Precio Unitario Neto]]-Tabla4[[#This Row],[20.85%]]</f>
        <v>1936.7704229999999</v>
      </c>
      <c r="M7065" s="282" t="e">
        <f>(INDEX(Tabla6[#All],MATCH(Tabla4[[#This Row],[Producto]],Tabla6[[#All],[PRODUCTO]],0),MATCH(Tabla4[[#This Row],[Mes]],Tabla6[#Headers],0)))*(1+Catalogos!$L$2)</f>
        <v>#N/A</v>
      </c>
      <c r="N7065" s="283" t="e">
        <f>+(Tabla4[[#This Row],[Precio Descontado]]-Tabla4[[#This Row],[Precio Base]])*Tabla4[[#This Row],[Cantidad]]</f>
        <v>#N/A</v>
      </c>
      <c r="O7065" s="284" t="e">
        <f>++Tabla4[[#This Row],[Utilidad Total]]/Tabla4[[#This Row],[Total]]</f>
        <v>#N/A</v>
      </c>
      <c r="P7065" s="282">
        <f>++Tabla4[[#This Row],[Precio Descontado]]*Tabla4[[#This Row],[Cantidad]]</f>
        <v>5810.3112689999998</v>
      </c>
      <c r="Q7065" s="282" t="e">
        <f>(INDEX(Tabla6[#All],MATCH(Tabla4[[#This Row],[Producto]],Tabla6[[#All],[PRODUCTO]],0),MATCH(Tabla4[[#This Row],[Mes]],Tabla6[#Headers],0)))</f>
        <v>#N/A</v>
      </c>
      <c r="R7065" s="282" t="e">
        <f>++Tabla4[[#This Row],[Precio Unitario Neto]]-Tabla4[[#This Row],[20.85%]]-Tabla4[[#This Row],[Costo]]</f>
        <v>#N/A</v>
      </c>
      <c r="S7065" s="282" t="e">
        <f>++Tabla4[[#This Row],[U. Bruta Uni]]*Tabla4[[#This Row],[Cantidad]]</f>
        <v>#N/A</v>
      </c>
      <c r="T7065" s="369" t="str">
        <f>VLOOKUP(Tabla4[[#This Row],[Producto]],Tabla6[#All],14,FALSE)</f>
        <v>Termico Solar</v>
      </c>
      <c r="U7065" s="284" t="e">
        <f>(IF(Tabla4[[#This Row],[Familia]]="termico solar",Tabla4[[#This Row],[Utilidad Total]]*6%,Tabla4[[#This Row],[Utilidad Total]]*11.5%))/Tabla4[[#This Row],[Total]]</f>
        <v>#N/A</v>
      </c>
      <c r="V7065" s="282" t="e">
        <f>+Tabla4[[#This Row],[Comisión Calculada]]*Tabla4[[#This Row],[Total]]</f>
        <v>#N/A</v>
      </c>
    </row>
    <row r="7066" spans="1:22" hidden="1" x14ac:dyDescent="0.25">
      <c r="A7066" s="100">
        <v>45991</v>
      </c>
      <c r="B7066" t="str">
        <f t="shared" ref="B7066:B7067" si="543">TEXT(A7066, "mmmm")</f>
        <v>November</v>
      </c>
      <c r="C7066" s="46" t="s">
        <v>280</v>
      </c>
      <c r="F7066" s="366" t="s">
        <v>3555</v>
      </c>
      <c r="G7066" s="46" t="s">
        <v>19</v>
      </c>
      <c r="H7066" s="46">
        <v>1</v>
      </c>
      <c r="I7066" s="51">
        <v>6412.03</v>
      </c>
      <c r="J7066" s="281">
        <f>++Tabla4[[#This Row],[Precio Bruto]]*1.16</f>
        <v>7437.9547999999995</v>
      </c>
      <c r="K7066" s="281">
        <f>+Tabla4[[#This Row],[Precio Unitario Neto]]*Tabla4[[#Headers],[20.85%]]</f>
        <v>1550.8135757999999</v>
      </c>
      <c r="L7066" s="282">
        <f>++Tabla4[[#This Row],[Precio Unitario Neto]]-Tabla4[[#This Row],[20.85%]]</f>
        <v>5887.1412241999997</v>
      </c>
      <c r="M7066" s="282" t="e">
        <f>(INDEX(Tabla6[#All],MATCH(Tabla4[[#This Row],[Producto]],Tabla6[[#All],[PRODUCTO]],0),MATCH(Tabla4[[#This Row],[Mes]],Tabla6[#Headers],0)))*(1+Catalogos!$L$2)</f>
        <v>#N/A</v>
      </c>
      <c r="N7066" s="283" t="e">
        <f>+(Tabla4[[#This Row],[Precio Descontado]]-Tabla4[[#This Row],[Precio Base]])*Tabla4[[#This Row],[Cantidad]]</f>
        <v>#N/A</v>
      </c>
      <c r="O7066" s="284" t="e">
        <f>++Tabla4[[#This Row],[Utilidad Total]]/Tabla4[[#This Row],[Total]]</f>
        <v>#N/A</v>
      </c>
      <c r="P7066" s="282">
        <f>++Tabla4[[#This Row],[Precio Descontado]]*Tabla4[[#This Row],[Cantidad]]</f>
        <v>5887.1412241999997</v>
      </c>
      <c r="Q7066" s="282" t="e">
        <f>(INDEX(Tabla6[#All],MATCH(Tabla4[[#This Row],[Producto]],Tabla6[[#All],[PRODUCTO]],0),MATCH(Tabla4[[#This Row],[Mes]],Tabla6[#Headers],0)))</f>
        <v>#N/A</v>
      </c>
      <c r="R7066" s="282" t="e">
        <f>++Tabla4[[#This Row],[Precio Unitario Neto]]-Tabla4[[#This Row],[20.85%]]-Tabla4[[#This Row],[Costo]]</f>
        <v>#N/A</v>
      </c>
      <c r="S7066" s="282" t="e">
        <f>++Tabla4[[#This Row],[U. Bruta Uni]]*Tabla4[[#This Row],[Cantidad]]</f>
        <v>#N/A</v>
      </c>
      <c r="T7066" s="369" t="str">
        <f>VLOOKUP(Tabla4[[#This Row],[Producto]],Tabla6[#All],14,FALSE)</f>
        <v>Termico Solar</v>
      </c>
      <c r="U7066" s="284" t="e">
        <f>(IF(Tabla4[[#This Row],[Familia]]="termico solar",Tabla4[[#This Row],[Utilidad Total]]*6%,Tabla4[[#This Row],[Utilidad Total]]*11.5%))/Tabla4[[#This Row],[Total]]</f>
        <v>#N/A</v>
      </c>
      <c r="V7066" s="282" t="e">
        <f>+Tabla4[[#This Row],[Comisión Calculada]]*Tabla4[[#This Row],[Total]]</f>
        <v>#N/A</v>
      </c>
    </row>
    <row r="7067" spans="1:22" hidden="1" x14ac:dyDescent="0.25">
      <c r="A7067" s="100">
        <v>45991</v>
      </c>
      <c r="B7067" t="str">
        <f t="shared" si="543"/>
        <v>November</v>
      </c>
      <c r="C7067" s="46" t="s">
        <v>280</v>
      </c>
      <c r="F7067" s="366" t="s">
        <v>3555</v>
      </c>
      <c r="G7067" s="46" t="s">
        <v>208</v>
      </c>
      <c r="H7067" s="46">
        <v>2</v>
      </c>
      <c r="I7067" s="51">
        <v>189.75</v>
      </c>
      <c r="J7067" s="281">
        <f>++Tabla4[[#This Row],[Precio Bruto]]*1.16</f>
        <v>220.10999999999999</v>
      </c>
      <c r="K7067" s="281">
        <f>+Tabla4[[#This Row],[Precio Unitario Neto]]*Tabla4[[#Headers],[20.85%]]</f>
        <v>45.892934999999994</v>
      </c>
      <c r="L7067" s="282">
        <f>++Tabla4[[#This Row],[Precio Unitario Neto]]-Tabla4[[#This Row],[20.85%]]</f>
        <v>174.21706499999999</v>
      </c>
      <c r="M7067" s="282" t="e">
        <f>(INDEX(Tabla6[#All],MATCH(Tabla4[[#This Row],[Producto]],Tabla6[[#All],[PRODUCTO]],0),MATCH(Tabla4[[#This Row],[Mes]],Tabla6[#Headers],0)))*(1+Catalogos!$L$2)</f>
        <v>#N/A</v>
      </c>
      <c r="N7067" s="283" t="e">
        <f>+(Tabla4[[#This Row],[Precio Descontado]]-Tabla4[[#This Row],[Precio Base]])*Tabla4[[#This Row],[Cantidad]]</f>
        <v>#N/A</v>
      </c>
      <c r="O7067" s="284" t="e">
        <f>++Tabla4[[#This Row],[Utilidad Total]]/Tabla4[[#This Row],[Total]]</f>
        <v>#N/A</v>
      </c>
      <c r="P7067" s="282">
        <f>++Tabla4[[#This Row],[Precio Descontado]]*Tabla4[[#This Row],[Cantidad]]</f>
        <v>348.43412999999998</v>
      </c>
      <c r="Q7067" s="282" t="e">
        <f>(INDEX(Tabla6[#All],MATCH(Tabla4[[#This Row],[Producto]],Tabla6[[#All],[PRODUCTO]],0),MATCH(Tabla4[[#This Row],[Mes]],Tabla6[#Headers],0)))</f>
        <v>#N/A</v>
      </c>
      <c r="R7067" s="282" t="e">
        <f>++Tabla4[[#This Row],[Precio Unitario Neto]]-Tabla4[[#This Row],[20.85%]]-Tabla4[[#This Row],[Costo]]</f>
        <v>#N/A</v>
      </c>
      <c r="S7067" s="282" t="e">
        <f>++Tabla4[[#This Row],[U. Bruta Uni]]*Tabla4[[#This Row],[Cantidad]]</f>
        <v>#N/A</v>
      </c>
      <c r="T7067" s="369" t="str">
        <f>VLOOKUP(Tabla4[[#This Row],[Producto]],Tabla6[#All],14,FALSE)</f>
        <v>Termico Solar</v>
      </c>
      <c r="U7067" s="284" t="e">
        <f>(IF(Tabla4[[#This Row],[Familia]]="termico solar",Tabla4[[#This Row],[Utilidad Total]]*6%,Tabla4[[#This Row],[Utilidad Total]]*11.5%))/Tabla4[[#This Row],[Total]]</f>
        <v>#N/A</v>
      </c>
      <c r="V7067" s="282" t="e">
        <f>+Tabla4[[#This Row],[Comisión Calculada]]*Tabla4[[#This Row],[Total]]</f>
        <v>#N/A</v>
      </c>
    </row>
    <row r="7068" spans="1:22" hidden="1" x14ac:dyDescent="0.25">
      <c r="A7068" s="100">
        <v>45991</v>
      </c>
      <c r="B7068" t="str">
        <f t="shared" ref="B7068:B7069" si="544">TEXT(A7068, "mmmm")</f>
        <v>November</v>
      </c>
      <c r="C7068" s="46" t="s">
        <v>280</v>
      </c>
      <c r="F7068" s="366" t="s">
        <v>3556</v>
      </c>
      <c r="G7068" s="46" t="s">
        <v>394</v>
      </c>
      <c r="H7068" s="46">
        <v>16</v>
      </c>
      <c r="I7068" s="51">
        <v>224.29</v>
      </c>
      <c r="J7068" s="281">
        <f>++Tabla4[[#This Row],[Precio Bruto]]*1.16</f>
        <v>260.1764</v>
      </c>
      <c r="K7068" s="281">
        <f>+Tabla4[[#This Row],[Precio Unitario Neto]]*Tabla4[[#Headers],[20.85%]]</f>
        <v>54.246779400000001</v>
      </c>
      <c r="L7068" s="282">
        <f>++Tabla4[[#This Row],[Precio Unitario Neto]]-Tabla4[[#This Row],[20.85%]]</f>
        <v>205.92962059999999</v>
      </c>
      <c r="M7068" s="282" t="e">
        <f>(INDEX(Tabla6[#All],MATCH(Tabla4[[#This Row],[Producto]],Tabla6[[#All],[PRODUCTO]],0),MATCH(Tabla4[[#This Row],[Mes]],Tabla6[#Headers],0)))*(1+Catalogos!$L$2)</f>
        <v>#N/A</v>
      </c>
      <c r="N7068" s="283" t="e">
        <f>+(Tabla4[[#This Row],[Precio Descontado]]-Tabla4[[#This Row],[Precio Base]])*Tabla4[[#This Row],[Cantidad]]</f>
        <v>#N/A</v>
      </c>
      <c r="O7068" s="284" t="e">
        <f>++Tabla4[[#This Row],[Utilidad Total]]/Tabla4[[#This Row],[Total]]</f>
        <v>#N/A</v>
      </c>
      <c r="P7068" s="282">
        <f>++Tabla4[[#This Row],[Precio Descontado]]*Tabla4[[#This Row],[Cantidad]]</f>
        <v>3294.8739295999999</v>
      </c>
      <c r="Q7068" s="282" t="e">
        <f>(INDEX(Tabla6[#All],MATCH(Tabla4[[#This Row],[Producto]],Tabla6[[#All],[PRODUCTO]],0),MATCH(Tabla4[[#This Row],[Mes]],Tabla6[#Headers],0)))</f>
        <v>#N/A</v>
      </c>
      <c r="R7068" s="282" t="e">
        <f>++Tabla4[[#This Row],[Precio Unitario Neto]]-Tabla4[[#This Row],[20.85%]]-Tabla4[[#This Row],[Costo]]</f>
        <v>#N/A</v>
      </c>
      <c r="S7068" s="282" t="e">
        <f>++Tabla4[[#This Row],[U. Bruta Uni]]*Tabla4[[#This Row],[Cantidad]]</f>
        <v>#N/A</v>
      </c>
      <c r="T7068" s="369" t="str">
        <f>VLOOKUP(Tabla4[[#This Row],[Producto]],Tabla6[#All],14,FALSE)</f>
        <v>Termico Solar</v>
      </c>
      <c r="U7068" s="284" t="e">
        <f>(IF(Tabla4[[#This Row],[Familia]]="termico solar",Tabla4[[#This Row],[Utilidad Total]]*6%,Tabla4[[#This Row],[Utilidad Total]]*11.5%))/Tabla4[[#This Row],[Total]]</f>
        <v>#N/A</v>
      </c>
      <c r="V7068" s="282" t="e">
        <f>+Tabla4[[#This Row],[Comisión Calculada]]*Tabla4[[#This Row],[Total]]</f>
        <v>#N/A</v>
      </c>
    </row>
    <row r="7069" spans="1:22" hidden="1" x14ac:dyDescent="0.25">
      <c r="A7069" s="100">
        <v>45991</v>
      </c>
      <c r="B7069" t="str">
        <f t="shared" si="544"/>
        <v>November</v>
      </c>
      <c r="C7069" s="46" t="s">
        <v>280</v>
      </c>
      <c r="F7069" s="366" t="s">
        <v>3556</v>
      </c>
      <c r="G7069" s="46" t="s">
        <v>208</v>
      </c>
      <c r="H7069" s="46">
        <v>3</v>
      </c>
      <c r="I7069" s="51">
        <v>189.75</v>
      </c>
      <c r="J7069" s="281">
        <f>++Tabla4[[#This Row],[Precio Bruto]]*1.16</f>
        <v>220.10999999999999</v>
      </c>
      <c r="K7069" s="281">
        <f>+Tabla4[[#This Row],[Precio Unitario Neto]]*Tabla4[[#Headers],[20.85%]]</f>
        <v>45.892934999999994</v>
      </c>
      <c r="L7069" s="282">
        <f>++Tabla4[[#This Row],[Precio Unitario Neto]]-Tabla4[[#This Row],[20.85%]]</f>
        <v>174.21706499999999</v>
      </c>
      <c r="M7069" s="282" t="e">
        <f>(INDEX(Tabla6[#All],MATCH(Tabla4[[#This Row],[Producto]],Tabla6[[#All],[PRODUCTO]],0),MATCH(Tabla4[[#This Row],[Mes]],Tabla6[#Headers],0)))*(1+Catalogos!$L$2)</f>
        <v>#N/A</v>
      </c>
      <c r="N7069" s="283" t="e">
        <f>+(Tabla4[[#This Row],[Precio Descontado]]-Tabla4[[#This Row],[Precio Base]])*Tabla4[[#This Row],[Cantidad]]</f>
        <v>#N/A</v>
      </c>
      <c r="O7069" s="284" t="e">
        <f>++Tabla4[[#This Row],[Utilidad Total]]/Tabla4[[#This Row],[Total]]</f>
        <v>#N/A</v>
      </c>
      <c r="P7069" s="282">
        <f>++Tabla4[[#This Row],[Precio Descontado]]*Tabla4[[#This Row],[Cantidad]]</f>
        <v>522.65119499999992</v>
      </c>
      <c r="Q7069" s="282" t="e">
        <f>(INDEX(Tabla6[#All],MATCH(Tabla4[[#This Row],[Producto]],Tabla6[[#All],[PRODUCTO]],0),MATCH(Tabla4[[#This Row],[Mes]],Tabla6[#Headers],0)))</f>
        <v>#N/A</v>
      </c>
      <c r="R7069" s="282" t="e">
        <f>++Tabla4[[#This Row],[Precio Unitario Neto]]-Tabla4[[#This Row],[20.85%]]-Tabla4[[#This Row],[Costo]]</f>
        <v>#N/A</v>
      </c>
      <c r="S7069" s="282" t="e">
        <f>++Tabla4[[#This Row],[U. Bruta Uni]]*Tabla4[[#This Row],[Cantidad]]</f>
        <v>#N/A</v>
      </c>
      <c r="T7069" s="369" t="str">
        <f>VLOOKUP(Tabla4[[#This Row],[Producto]],Tabla6[#All],14,FALSE)</f>
        <v>Termico Solar</v>
      </c>
      <c r="U7069" s="284" t="e">
        <f>(IF(Tabla4[[#This Row],[Familia]]="termico solar",Tabla4[[#This Row],[Utilidad Total]]*6%,Tabla4[[#This Row],[Utilidad Total]]*11.5%))/Tabla4[[#This Row],[Total]]</f>
        <v>#N/A</v>
      </c>
      <c r="V7069" s="282" t="e">
        <f>+Tabla4[[#This Row],[Comisión Calculada]]*Tabla4[[#This Row],[Total]]</f>
        <v>#N/A</v>
      </c>
    </row>
    <row r="7070" spans="1:22" hidden="1" x14ac:dyDescent="0.25">
      <c r="A7070" s="100">
        <v>45991</v>
      </c>
      <c r="B7070" t="str">
        <f t="shared" ref="B7070:B7071" si="545">TEXT(A7070, "mmmm")</f>
        <v>November</v>
      </c>
      <c r="C7070" s="46" t="s">
        <v>280</v>
      </c>
      <c r="F7070" s="366" t="s">
        <v>3557</v>
      </c>
      <c r="G7070" s="46" t="s">
        <v>83</v>
      </c>
      <c r="H7070" s="46">
        <v>1</v>
      </c>
      <c r="I7070" s="51">
        <v>8858.76</v>
      </c>
      <c r="J7070" s="281">
        <f>++Tabla4[[#This Row],[Precio Bruto]]*1.16</f>
        <v>10276.161599999999</v>
      </c>
      <c r="K7070" s="281">
        <f>+Tabla4[[#This Row],[Precio Unitario Neto]]*Tabla4[[#Headers],[20.85%]]</f>
        <v>2142.5796935999997</v>
      </c>
      <c r="L7070" s="282">
        <f>++Tabla4[[#This Row],[Precio Unitario Neto]]-Tabla4[[#This Row],[20.85%]]</f>
        <v>8133.5819063999998</v>
      </c>
      <c r="M7070" s="282" t="e">
        <f>(INDEX(Tabla6[#All],MATCH(Tabla4[[#This Row],[Producto]],Tabla6[[#All],[PRODUCTO]],0),MATCH(Tabla4[[#This Row],[Mes]],Tabla6[#Headers],0)))*(1+Catalogos!$L$2)</f>
        <v>#N/A</v>
      </c>
      <c r="N7070" s="283" t="e">
        <f>+(Tabla4[[#This Row],[Precio Descontado]]-Tabla4[[#This Row],[Precio Base]])*Tabla4[[#This Row],[Cantidad]]</f>
        <v>#N/A</v>
      </c>
      <c r="O7070" s="284" t="e">
        <f>++Tabla4[[#This Row],[Utilidad Total]]/Tabla4[[#This Row],[Total]]</f>
        <v>#N/A</v>
      </c>
      <c r="P7070" s="282">
        <f>++Tabla4[[#This Row],[Precio Descontado]]*Tabla4[[#This Row],[Cantidad]]</f>
        <v>8133.5819063999998</v>
      </c>
      <c r="Q7070" s="282" t="e">
        <f>(INDEX(Tabla6[#All],MATCH(Tabla4[[#This Row],[Producto]],Tabla6[[#All],[PRODUCTO]],0),MATCH(Tabla4[[#This Row],[Mes]],Tabla6[#Headers],0)))</f>
        <v>#N/A</v>
      </c>
      <c r="R7070" s="282" t="e">
        <f>++Tabla4[[#This Row],[Precio Unitario Neto]]-Tabla4[[#This Row],[20.85%]]-Tabla4[[#This Row],[Costo]]</f>
        <v>#N/A</v>
      </c>
      <c r="S7070" s="282" t="e">
        <f>++Tabla4[[#This Row],[U. Bruta Uni]]*Tabla4[[#This Row],[Cantidad]]</f>
        <v>#N/A</v>
      </c>
      <c r="T7070" s="369" t="str">
        <f>VLOOKUP(Tabla4[[#This Row],[Producto]],Tabla6[#All],14,FALSE)</f>
        <v>Termico Solar</v>
      </c>
      <c r="U7070" s="284" t="e">
        <f>(IF(Tabla4[[#This Row],[Familia]]="termico solar",Tabla4[[#This Row],[Utilidad Total]]*6%,Tabla4[[#This Row],[Utilidad Total]]*11.5%))/Tabla4[[#This Row],[Total]]</f>
        <v>#N/A</v>
      </c>
      <c r="V7070" s="282" t="e">
        <f>+Tabla4[[#This Row],[Comisión Calculada]]*Tabla4[[#This Row],[Total]]</f>
        <v>#N/A</v>
      </c>
    </row>
    <row r="7071" spans="1:22" hidden="1" x14ac:dyDescent="0.25">
      <c r="A7071" s="100">
        <v>45991</v>
      </c>
      <c r="B7071" t="str">
        <f t="shared" si="545"/>
        <v>November</v>
      </c>
      <c r="C7071" s="46" t="s">
        <v>280</v>
      </c>
      <c r="F7071" s="366" t="s">
        <v>3557</v>
      </c>
      <c r="G7071" s="46" t="s">
        <v>208</v>
      </c>
      <c r="H7071" s="46">
        <v>4</v>
      </c>
      <c r="I7071" s="51">
        <v>189.75</v>
      </c>
      <c r="J7071" s="281">
        <f>++Tabla4[[#This Row],[Precio Bruto]]*1.16</f>
        <v>220.10999999999999</v>
      </c>
      <c r="K7071" s="281">
        <f>+Tabla4[[#This Row],[Precio Unitario Neto]]*Tabla4[[#Headers],[20.85%]]</f>
        <v>45.892934999999994</v>
      </c>
      <c r="L7071" s="282">
        <f>++Tabla4[[#This Row],[Precio Unitario Neto]]-Tabla4[[#This Row],[20.85%]]</f>
        <v>174.21706499999999</v>
      </c>
      <c r="M7071" s="282" t="e">
        <f>(INDEX(Tabla6[#All],MATCH(Tabla4[[#This Row],[Producto]],Tabla6[[#All],[PRODUCTO]],0),MATCH(Tabla4[[#This Row],[Mes]],Tabla6[#Headers],0)))*(1+Catalogos!$L$2)</f>
        <v>#N/A</v>
      </c>
      <c r="N7071" s="283" t="e">
        <f>+(Tabla4[[#This Row],[Precio Descontado]]-Tabla4[[#This Row],[Precio Base]])*Tabla4[[#This Row],[Cantidad]]</f>
        <v>#N/A</v>
      </c>
      <c r="O7071" s="284" t="e">
        <f>++Tabla4[[#This Row],[Utilidad Total]]/Tabla4[[#This Row],[Total]]</f>
        <v>#N/A</v>
      </c>
      <c r="P7071" s="282">
        <f>++Tabla4[[#This Row],[Precio Descontado]]*Tabla4[[#This Row],[Cantidad]]</f>
        <v>696.86825999999996</v>
      </c>
      <c r="Q7071" s="282" t="e">
        <f>(INDEX(Tabla6[#All],MATCH(Tabla4[[#This Row],[Producto]],Tabla6[[#All],[PRODUCTO]],0),MATCH(Tabla4[[#This Row],[Mes]],Tabla6[#Headers],0)))</f>
        <v>#N/A</v>
      </c>
      <c r="R7071" s="282" t="e">
        <f>++Tabla4[[#This Row],[Precio Unitario Neto]]-Tabla4[[#This Row],[20.85%]]-Tabla4[[#This Row],[Costo]]</f>
        <v>#N/A</v>
      </c>
      <c r="S7071" s="282" t="e">
        <f>++Tabla4[[#This Row],[U. Bruta Uni]]*Tabla4[[#This Row],[Cantidad]]</f>
        <v>#N/A</v>
      </c>
      <c r="T7071" s="369" t="str">
        <f>VLOOKUP(Tabla4[[#This Row],[Producto]],Tabla6[#All],14,FALSE)</f>
        <v>Termico Solar</v>
      </c>
      <c r="U7071" s="284" t="e">
        <f>(IF(Tabla4[[#This Row],[Familia]]="termico solar",Tabla4[[#This Row],[Utilidad Total]]*6%,Tabla4[[#This Row],[Utilidad Total]]*11.5%))/Tabla4[[#This Row],[Total]]</f>
        <v>#N/A</v>
      </c>
      <c r="V7071" s="282" t="e">
        <f>+Tabla4[[#This Row],[Comisión Calculada]]*Tabla4[[#This Row],[Total]]</f>
        <v>#N/A</v>
      </c>
    </row>
    <row r="7072" spans="1:22" hidden="1" x14ac:dyDescent="0.25">
      <c r="A7072" s="100">
        <v>45991</v>
      </c>
      <c r="B7072" t="str">
        <f>TEXT(A7072, "mmmm")</f>
        <v>November</v>
      </c>
      <c r="C7072" s="46" t="s">
        <v>280</v>
      </c>
      <c r="F7072" s="366" t="s">
        <v>3558</v>
      </c>
      <c r="G7072" s="46" t="s">
        <v>18</v>
      </c>
      <c r="H7072" s="46">
        <v>2</v>
      </c>
      <c r="I7072" s="51">
        <v>5367.65</v>
      </c>
      <c r="J7072" s="281">
        <f>++Tabla4[[#This Row],[Precio Bruto]]*1.16</f>
        <v>6226.4739999999993</v>
      </c>
      <c r="K7072" s="281">
        <f>+Tabla4[[#This Row],[Precio Unitario Neto]]*Tabla4[[#Headers],[20.85%]]</f>
        <v>1298.2198289999999</v>
      </c>
      <c r="L7072" s="282">
        <f>++Tabla4[[#This Row],[Precio Unitario Neto]]-Tabla4[[#This Row],[20.85%]]</f>
        <v>4928.2541709999996</v>
      </c>
      <c r="M7072" s="282" t="e">
        <f>(INDEX(Tabla6[#All],MATCH(Tabla4[[#This Row],[Producto]],Tabla6[[#All],[PRODUCTO]],0),MATCH(Tabla4[[#This Row],[Mes]],Tabla6[#Headers],0)))*(1+Catalogos!$L$2)</f>
        <v>#N/A</v>
      </c>
      <c r="N7072" s="283" t="e">
        <f>+(Tabla4[[#This Row],[Precio Descontado]]-Tabla4[[#This Row],[Precio Base]])*Tabla4[[#This Row],[Cantidad]]</f>
        <v>#N/A</v>
      </c>
      <c r="O7072" s="284" t="e">
        <f>++Tabla4[[#This Row],[Utilidad Total]]/Tabla4[[#This Row],[Total]]</f>
        <v>#N/A</v>
      </c>
      <c r="P7072" s="282">
        <f>++Tabla4[[#This Row],[Precio Descontado]]*Tabla4[[#This Row],[Cantidad]]</f>
        <v>9856.5083419999992</v>
      </c>
      <c r="Q7072" s="282" t="e">
        <f>(INDEX(Tabla6[#All],MATCH(Tabla4[[#This Row],[Producto]],Tabla6[[#All],[PRODUCTO]],0),MATCH(Tabla4[[#This Row],[Mes]],Tabla6[#Headers],0)))</f>
        <v>#N/A</v>
      </c>
      <c r="R7072" s="282" t="e">
        <f>++Tabla4[[#This Row],[Precio Unitario Neto]]-Tabla4[[#This Row],[20.85%]]-Tabla4[[#This Row],[Costo]]</f>
        <v>#N/A</v>
      </c>
      <c r="S7072" s="282" t="e">
        <f>++Tabla4[[#This Row],[U. Bruta Uni]]*Tabla4[[#This Row],[Cantidad]]</f>
        <v>#N/A</v>
      </c>
      <c r="T7072" s="369" t="str">
        <f>VLOOKUP(Tabla4[[#This Row],[Producto]],Tabla6[#All],14,FALSE)</f>
        <v>Termico Solar</v>
      </c>
      <c r="U7072" s="284" t="e">
        <f>(IF(Tabla4[[#This Row],[Familia]]="termico solar",Tabla4[[#This Row],[Utilidad Total]]*6%,Tabla4[[#This Row],[Utilidad Total]]*11.5%))/Tabla4[[#This Row],[Total]]</f>
        <v>#N/A</v>
      </c>
      <c r="V7072" s="282" t="e">
        <f>+Tabla4[[#This Row],[Comisión Calculada]]*Tabla4[[#This Row],[Total]]</f>
        <v>#N/A</v>
      </c>
    </row>
    <row r="7073" spans="1:22" hidden="1" x14ac:dyDescent="0.25">
      <c r="A7073" s="100">
        <v>45991</v>
      </c>
      <c r="B7073" t="str">
        <f t="shared" ref="B7073:B7075" si="546">TEXT(A7073, "mmmm")</f>
        <v>November</v>
      </c>
      <c r="C7073" s="46" t="s">
        <v>280</v>
      </c>
      <c r="F7073" s="366" t="s">
        <v>3559</v>
      </c>
      <c r="G7073" s="46" t="s">
        <v>17</v>
      </c>
      <c r="H7073" s="46">
        <v>2</v>
      </c>
      <c r="I7073" s="51">
        <v>4622.28</v>
      </c>
      <c r="J7073" s="281">
        <f>++Tabla4[[#This Row],[Precio Bruto]]*1.16</f>
        <v>5361.8447999999989</v>
      </c>
      <c r="K7073" s="281">
        <f>+Tabla4[[#This Row],[Precio Unitario Neto]]*Tabla4[[#Headers],[20.85%]]</f>
        <v>1117.9446407999997</v>
      </c>
      <c r="L7073" s="282">
        <f>++Tabla4[[#This Row],[Precio Unitario Neto]]-Tabla4[[#This Row],[20.85%]]</f>
        <v>4243.9001591999995</v>
      </c>
      <c r="M7073" s="282" t="e">
        <f>(INDEX(Tabla6[#All],MATCH(Tabla4[[#This Row],[Producto]],Tabla6[[#All],[PRODUCTO]],0),MATCH(Tabla4[[#This Row],[Mes]],Tabla6[#Headers],0)))*(1+Catalogos!$L$2)</f>
        <v>#N/A</v>
      </c>
      <c r="N7073" s="283" t="e">
        <f>+(Tabla4[[#This Row],[Precio Descontado]]-Tabla4[[#This Row],[Precio Base]])*Tabla4[[#This Row],[Cantidad]]</f>
        <v>#N/A</v>
      </c>
      <c r="O7073" s="284" t="e">
        <f>++Tabla4[[#This Row],[Utilidad Total]]/Tabla4[[#This Row],[Total]]</f>
        <v>#N/A</v>
      </c>
      <c r="P7073" s="282">
        <f>++Tabla4[[#This Row],[Precio Descontado]]*Tabla4[[#This Row],[Cantidad]]</f>
        <v>8487.800318399999</v>
      </c>
      <c r="Q7073" s="282" t="e">
        <f>(INDEX(Tabla6[#All],MATCH(Tabla4[[#This Row],[Producto]],Tabla6[[#All],[PRODUCTO]],0),MATCH(Tabla4[[#This Row],[Mes]],Tabla6[#Headers],0)))</f>
        <v>#N/A</v>
      </c>
      <c r="R7073" s="282" t="e">
        <f>++Tabla4[[#This Row],[Precio Unitario Neto]]-Tabla4[[#This Row],[20.85%]]-Tabla4[[#This Row],[Costo]]</f>
        <v>#N/A</v>
      </c>
      <c r="S7073" s="282" t="e">
        <f>++Tabla4[[#This Row],[U. Bruta Uni]]*Tabla4[[#This Row],[Cantidad]]</f>
        <v>#N/A</v>
      </c>
      <c r="T7073" s="369" t="str">
        <f>VLOOKUP(Tabla4[[#This Row],[Producto]],Tabla6[#All],14,FALSE)</f>
        <v>Termico Solar</v>
      </c>
      <c r="U7073" s="284" t="e">
        <f>(IF(Tabla4[[#This Row],[Familia]]="termico solar",Tabla4[[#This Row],[Utilidad Total]]*6%,Tabla4[[#This Row],[Utilidad Total]]*11.5%))/Tabla4[[#This Row],[Total]]</f>
        <v>#N/A</v>
      </c>
      <c r="V7073" s="282" t="e">
        <f>+Tabla4[[#This Row],[Comisión Calculada]]*Tabla4[[#This Row],[Total]]</f>
        <v>#N/A</v>
      </c>
    </row>
    <row r="7074" spans="1:22" hidden="1" x14ac:dyDescent="0.25">
      <c r="A7074" s="100">
        <v>45991</v>
      </c>
      <c r="B7074" t="str">
        <f t="shared" si="546"/>
        <v>November</v>
      </c>
      <c r="C7074" s="46" t="s">
        <v>280</v>
      </c>
      <c r="F7074" s="366" t="s">
        <v>3559</v>
      </c>
      <c r="G7074" s="46" t="s">
        <v>18</v>
      </c>
      <c r="H7074" s="46">
        <v>2</v>
      </c>
      <c r="I7074" s="51">
        <v>5367.65</v>
      </c>
      <c r="J7074" s="281">
        <f>++Tabla4[[#This Row],[Precio Bruto]]*1.16</f>
        <v>6226.4739999999993</v>
      </c>
      <c r="K7074" s="281">
        <f>+Tabla4[[#This Row],[Precio Unitario Neto]]*Tabla4[[#Headers],[20.85%]]</f>
        <v>1298.2198289999999</v>
      </c>
      <c r="L7074" s="282">
        <f>++Tabla4[[#This Row],[Precio Unitario Neto]]-Tabla4[[#This Row],[20.85%]]</f>
        <v>4928.2541709999996</v>
      </c>
      <c r="M7074" s="282" t="e">
        <f>(INDEX(Tabla6[#All],MATCH(Tabla4[[#This Row],[Producto]],Tabla6[[#All],[PRODUCTO]],0),MATCH(Tabla4[[#This Row],[Mes]],Tabla6[#Headers],0)))*(1+Catalogos!$L$2)</f>
        <v>#N/A</v>
      </c>
      <c r="N7074" s="283" t="e">
        <f>+(Tabla4[[#This Row],[Precio Descontado]]-Tabla4[[#This Row],[Precio Base]])*Tabla4[[#This Row],[Cantidad]]</f>
        <v>#N/A</v>
      </c>
      <c r="O7074" s="284" t="e">
        <f>++Tabla4[[#This Row],[Utilidad Total]]/Tabla4[[#This Row],[Total]]</f>
        <v>#N/A</v>
      </c>
      <c r="P7074" s="282">
        <f>++Tabla4[[#This Row],[Precio Descontado]]*Tabla4[[#This Row],[Cantidad]]</f>
        <v>9856.5083419999992</v>
      </c>
      <c r="Q7074" s="282" t="e">
        <f>(INDEX(Tabla6[#All],MATCH(Tabla4[[#This Row],[Producto]],Tabla6[[#All],[PRODUCTO]],0),MATCH(Tabla4[[#This Row],[Mes]],Tabla6[#Headers],0)))</f>
        <v>#N/A</v>
      </c>
      <c r="R7074" s="282" t="e">
        <f>++Tabla4[[#This Row],[Precio Unitario Neto]]-Tabla4[[#This Row],[20.85%]]-Tabla4[[#This Row],[Costo]]</f>
        <v>#N/A</v>
      </c>
      <c r="S7074" s="282" t="e">
        <f>++Tabla4[[#This Row],[U. Bruta Uni]]*Tabla4[[#This Row],[Cantidad]]</f>
        <v>#N/A</v>
      </c>
      <c r="T7074" s="369" t="str">
        <f>VLOOKUP(Tabla4[[#This Row],[Producto]],Tabla6[#All],14,FALSE)</f>
        <v>Termico Solar</v>
      </c>
      <c r="U7074" s="284" t="e">
        <f>(IF(Tabla4[[#This Row],[Familia]]="termico solar",Tabla4[[#This Row],[Utilidad Total]]*6%,Tabla4[[#This Row],[Utilidad Total]]*11.5%))/Tabla4[[#This Row],[Total]]</f>
        <v>#N/A</v>
      </c>
      <c r="V7074" s="282" t="e">
        <f>+Tabla4[[#This Row],[Comisión Calculada]]*Tabla4[[#This Row],[Total]]</f>
        <v>#N/A</v>
      </c>
    </row>
    <row r="7075" spans="1:22" hidden="1" x14ac:dyDescent="0.25">
      <c r="A7075" s="100">
        <v>45991</v>
      </c>
      <c r="B7075" t="str">
        <f t="shared" si="546"/>
        <v>November</v>
      </c>
      <c r="C7075" s="46" t="s">
        <v>280</v>
      </c>
      <c r="F7075" s="366" t="s">
        <v>3559</v>
      </c>
      <c r="G7075" s="46" t="s">
        <v>19</v>
      </c>
      <c r="H7075" s="46">
        <v>1</v>
      </c>
      <c r="I7075" s="51">
        <v>6412.03</v>
      </c>
      <c r="J7075" s="281">
        <f>++Tabla4[[#This Row],[Precio Bruto]]*1.16</f>
        <v>7437.9547999999995</v>
      </c>
      <c r="K7075" s="281">
        <f>+Tabla4[[#This Row],[Precio Unitario Neto]]*Tabla4[[#Headers],[20.85%]]</f>
        <v>1550.8135757999999</v>
      </c>
      <c r="L7075" s="282">
        <f>++Tabla4[[#This Row],[Precio Unitario Neto]]-Tabla4[[#This Row],[20.85%]]</f>
        <v>5887.1412241999997</v>
      </c>
      <c r="M7075" s="282" t="e">
        <f>(INDEX(Tabla6[#All],MATCH(Tabla4[[#This Row],[Producto]],Tabla6[[#All],[PRODUCTO]],0),MATCH(Tabla4[[#This Row],[Mes]],Tabla6[#Headers],0)))*(1+Catalogos!$L$2)</f>
        <v>#N/A</v>
      </c>
      <c r="N7075" s="283" t="e">
        <f>+(Tabla4[[#This Row],[Precio Descontado]]-Tabla4[[#This Row],[Precio Base]])*Tabla4[[#This Row],[Cantidad]]</f>
        <v>#N/A</v>
      </c>
      <c r="O7075" s="284" t="e">
        <f>++Tabla4[[#This Row],[Utilidad Total]]/Tabla4[[#This Row],[Total]]</f>
        <v>#N/A</v>
      </c>
      <c r="P7075" s="282">
        <f>++Tabla4[[#This Row],[Precio Descontado]]*Tabla4[[#This Row],[Cantidad]]</f>
        <v>5887.1412241999997</v>
      </c>
      <c r="Q7075" s="282" t="e">
        <f>(INDEX(Tabla6[#All],MATCH(Tabla4[[#This Row],[Producto]],Tabla6[[#All],[PRODUCTO]],0),MATCH(Tabla4[[#This Row],[Mes]],Tabla6[#Headers],0)))</f>
        <v>#N/A</v>
      </c>
      <c r="R7075" s="282" t="e">
        <f>++Tabla4[[#This Row],[Precio Unitario Neto]]-Tabla4[[#This Row],[20.85%]]-Tabla4[[#This Row],[Costo]]</f>
        <v>#N/A</v>
      </c>
      <c r="S7075" s="282" t="e">
        <f>++Tabla4[[#This Row],[U. Bruta Uni]]*Tabla4[[#This Row],[Cantidad]]</f>
        <v>#N/A</v>
      </c>
      <c r="T7075" s="369" t="str">
        <f>VLOOKUP(Tabla4[[#This Row],[Producto]],Tabla6[#All],14,FALSE)</f>
        <v>Termico Solar</v>
      </c>
      <c r="U7075" s="284" t="e">
        <f>(IF(Tabla4[[#This Row],[Familia]]="termico solar",Tabla4[[#This Row],[Utilidad Total]]*6%,Tabla4[[#This Row],[Utilidad Total]]*11.5%))/Tabla4[[#This Row],[Total]]</f>
        <v>#N/A</v>
      </c>
      <c r="V7075" s="282" t="e">
        <f>+Tabla4[[#This Row],[Comisión Calculada]]*Tabla4[[#This Row],[Total]]</f>
        <v>#N/A</v>
      </c>
    </row>
    <row r="7076" spans="1:22" hidden="1" x14ac:dyDescent="0.25">
      <c r="A7076" s="100">
        <v>45991</v>
      </c>
      <c r="B7076" t="str">
        <f t="shared" ref="B7076:B7078" si="547">TEXT(A7076, "mmmm")</f>
        <v>November</v>
      </c>
      <c r="C7076" s="46" t="s">
        <v>280</v>
      </c>
      <c r="F7076" s="366" t="s">
        <v>3560</v>
      </c>
      <c r="G7076" s="46" t="s">
        <v>17</v>
      </c>
      <c r="H7076" s="46">
        <v>2</v>
      </c>
      <c r="I7076" s="51">
        <v>4622.28</v>
      </c>
      <c r="J7076" s="281">
        <f>++Tabla4[[#This Row],[Precio Bruto]]*1.16</f>
        <v>5361.8447999999989</v>
      </c>
      <c r="K7076" s="281">
        <f>+Tabla4[[#This Row],[Precio Unitario Neto]]*Tabla4[[#Headers],[20.85%]]</f>
        <v>1117.9446407999997</v>
      </c>
      <c r="L7076" s="282">
        <f>++Tabla4[[#This Row],[Precio Unitario Neto]]-Tabla4[[#This Row],[20.85%]]</f>
        <v>4243.9001591999995</v>
      </c>
      <c r="M7076" s="282" t="e">
        <f>(INDEX(Tabla6[#All],MATCH(Tabla4[[#This Row],[Producto]],Tabla6[[#All],[PRODUCTO]],0),MATCH(Tabla4[[#This Row],[Mes]],Tabla6[#Headers],0)))*(1+Catalogos!$L$2)</f>
        <v>#N/A</v>
      </c>
      <c r="N7076" s="283" t="e">
        <f>+(Tabla4[[#This Row],[Precio Descontado]]-Tabla4[[#This Row],[Precio Base]])*Tabla4[[#This Row],[Cantidad]]</f>
        <v>#N/A</v>
      </c>
      <c r="O7076" s="284" t="e">
        <f>++Tabla4[[#This Row],[Utilidad Total]]/Tabla4[[#This Row],[Total]]</f>
        <v>#N/A</v>
      </c>
      <c r="P7076" s="282">
        <f>++Tabla4[[#This Row],[Precio Descontado]]*Tabla4[[#This Row],[Cantidad]]</f>
        <v>8487.800318399999</v>
      </c>
      <c r="Q7076" s="282" t="e">
        <f>(INDEX(Tabla6[#All],MATCH(Tabla4[[#This Row],[Producto]],Tabla6[[#All],[PRODUCTO]],0),MATCH(Tabla4[[#This Row],[Mes]],Tabla6[#Headers],0)))</f>
        <v>#N/A</v>
      </c>
      <c r="R7076" s="282" t="e">
        <f>++Tabla4[[#This Row],[Precio Unitario Neto]]-Tabla4[[#This Row],[20.85%]]-Tabla4[[#This Row],[Costo]]</f>
        <v>#N/A</v>
      </c>
      <c r="S7076" s="282" t="e">
        <f>++Tabla4[[#This Row],[U. Bruta Uni]]*Tabla4[[#This Row],[Cantidad]]</f>
        <v>#N/A</v>
      </c>
      <c r="T7076" s="369" t="str">
        <f>VLOOKUP(Tabla4[[#This Row],[Producto]],Tabla6[#All],14,FALSE)</f>
        <v>Termico Solar</v>
      </c>
      <c r="U7076" s="284" t="e">
        <f>(IF(Tabla4[[#This Row],[Familia]]="termico solar",Tabla4[[#This Row],[Utilidad Total]]*6%,Tabla4[[#This Row],[Utilidad Total]]*11.5%))/Tabla4[[#This Row],[Total]]</f>
        <v>#N/A</v>
      </c>
      <c r="V7076" s="282" t="e">
        <f>+Tabla4[[#This Row],[Comisión Calculada]]*Tabla4[[#This Row],[Total]]</f>
        <v>#N/A</v>
      </c>
    </row>
    <row r="7077" spans="1:22" hidden="1" x14ac:dyDescent="0.25">
      <c r="A7077" s="100">
        <v>45991</v>
      </c>
      <c r="B7077" t="str">
        <f t="shared" si="547"/>
        <v>November</v>
      </c>
      <c r="C7077" s="46" t="s">
        <v>280</v>
      </c>
      <c r="F7077" s="366" t="s">
        <v>3560</v>
      </c>
      <c r="G7077" s="46" t="s">
        <v>19</v>
      </c>
      <c r="H7077" s="46">
        <v>1</v>
      </c>
      <c r="I7077" s="51">
        <v>6412.03</v>
      </c>
      <c r="J7077" s="281">
        <f>++Tabla4[[#This Row],[Precio Bruto]]*1.16</f>
        <v>7437.9547999999995</v>
      </c>
      <c r="K7077" s="281">
        <f>+Tabla4[[#This Row],[Precio Unitario Neto]]*Tabla4[[#Headers],[20.85%]]</f>
        <v>1550.8135757999999</v>
      </c>
      <c r="L7077" s="282">
        <f>++Tabla4[[#This Row],[Precio Unitario Neto]]-Tabla4[[#This Row],[20.85%]]</f>
        <v>5887.1412241999997</v>
      </c>
      <c r="M7077" s="282" t="e">
        <f>(INDEX(Tabla6[#All],MATCH(Tabla4[[#This Row],[Producto]],Tabla6[[#All],[PRODUCTO]],0),MATCH(Tabla4[[#This Row],[Mes]],Tabla6[#Headers],0)))*(1+Catalogos!$L$2)</f>
        <v>#N/A</v>
      </c>
      <c r="N7077" s="283" t="e">
        <f>+(Tabla4[[#This Row],[Precio Descontado]]-Tabla4[[#This Row],[Precio Base]])*Tabla4[[#This Row],[Cantidad]]</f>
        <v>#N/A</v>
      </c>
      <c r="O7077" s="284" t="e">
        <f>++Tabla4[[#This Row],[Utilidad Total]]/Tabla4[[#This Row],[Total]]</f>
        <v>#N/A</v>
      </c>
      <c r="P7077" s="282">
        <f>++Tabla4[[#This Row],[Precio Descontado]]*Tabla4[[#This Row],[Cantidad]]</f>
        <v>5887.1412241999997</v>
      </c>
      <c r="Q7077" s="282" t="e">
        <f>(INDEX(Tabla6[#All],MATCH(Tabla4[[#This Row],[Producto]],Tabla6[[#All],[PRODUCTO]],0),MATCH(Tabla4[[#This Row],[Mes]],Tabla6[#Headers],0)))</f>
        <v>#N/A</v>
      </c>
      <c r="R7077" s="282" t="e">
        <f>++Tabla4[[#This Row],[Precio Unitario Neto]]-Tabla4[[#This Row],[20.85%]]-Tabla4[[#This Row],[Costo]]</f>
        <v>#N/A</v>
      </c>
      <c r="S7077" s="282" t="e">
        <f>++Tabla4[[#This Row],[U. Bruta Uni]]*Tabla4[[#This Row],[Cantidad]]</f>
        <v>#N/A</v>
      </c>
      <c r="T7077" s="369" t="str">
        <f>VLOOKUP(Tabla4[[#This Row],[Producto]],Tabla6[#All],14,FALSE)</f>
        <v>Termico Solar</v>
      </c>
      <c r="U7077" s="284" t="e">
        <f>(IF(Tabla4[[#This Row],[Familia]]="termico solar",Tabla4[[#This Row],[Utilidad Total]]*6%,Tabla4[[#This Row],[Utilidad Total]]*11.5%))/Tabla4[[#This Row],[Total]]</f>
        <v>#N/A</v>
      </c>
      <c r="V7077" s="282" t="e">
        <f>+Tabla4[[#This Row],[Comisión Calculada]]*Tabla4[[#This Row],[Total]]</f>
        <v>#N/A</v>
      </c>
    </row>
    <row r="7078" spans="1:22" hidden="1" x14ac:dyDescent="0.25">
      <c r="A7078" s="100">
        <v>45991</v>
      </c>
      <c r="B7078" t="str">
        <f t="shared" si="547"/>
        <v>November</v>
      </c>
      <c r="C7078" s="46" t="s">
        <v>280</v>
      </c>
      <c r="F7078" s="366" t="s">
        <v>3560</v>
      </c>
      <c r="G7078" s="46" t="s">
        <v>208</v>
      </c>
      <c r="H7078" s="46">
        <v>9</v>
      </c>
      <c r="I7078" s="51">
        <v>189.75</v>
      </c>
      <c r="J7078" s="281">
        <f>++Tabla4[[#This Row],[Precio Bruto]]*1.16</f>
        <v>220.10999999999999</v>
      </c>
      <c r="K7078" s="281">
        <f>+Tabla4[[#This Row],[Precio Unitario Neto]]*Tabla4[[#Headers],[20.85%]]</f>
        <v>45.892934999999994</v>
      </c>
      <c r="L7078" s="282">
        <f>++Tabla4[[#This Row],[Precio Unitario Neto]]-Tabla4[[#This Row],[20.85%]]</f>
        <v>174.21706499999999</v>
      </c>
      <c r="M7078" s="282" t="e">
        <f>(INDEX(Tabla6[#All],MATCH(Tabla4[[#This Row],[Producto]],Tabla6[[#All],[PRODUCTO]],0),MATCH(Tabla4[[#This Row],[Mes]],Tabla6[#Headers],0)))*(1+Catalogos!$L$2)</f>
        <v>#N/A</v>
      </c>
      <c r="N7078" s="283" t="e">
        <f>+(Tabla4[[#This Row],[Precio Descontado]]-Tabla4[[#This Row],[Precio Base]])*Tabla4[[#This Row],[Cantidad]]</f>
        <v>#N/A</v>
      </c>
      <c r="O7078" s="284" t="e">
        <f>++Tabla4[[#This Row],[Utilidad Total]]/Tabla4[[#This Row],[Total]]</f>
        <v>#N/A</v>
      </c>
      <c r="P7078" s="282">
        <f>++Tabla4[[#This Row],[Precio Descontado]]*Tabla4[[#This Row],[Cantidad]]</f>
        <v>1567.953585</v>
      </c>
      <c r="Q7078" s="282" t="e">
        <f>(INDEX(Tabla6[#All],MATCH(Tabla4[[#This Row],[Producto]],Tabla6[[#All],[PRODUCTO]],0),MATCH(Tabla4[[#This Row],[Mes]],Tabla6[#Headers],0)))</f>
        <v>#N/A</v>
      </c>
      <c r="R7078" s="282" t="e">
        <f>++Tabla4[[#This Row],[Precio Unitario Neto]]-Tabla4[[#This Row],[20.85%]]-Tabla4[[#This Row],[Costo]]</f>
        <v>#N/A</v>
      </c>
      <c r="S7078" s="282" t="e">
        <f>++Tabla4[[#This Row],[U. Bruta Uni]]*Tabla4[[#This Row],[Cantidad]]</f>
        <v>#N/A</v>
      </c>
      <c r="T7078" s="369" t="str">
        <f>VLOOKUP(Tabla4[[#This Row],[Producto]],Tabla6[#All],14,FALSE)</f>
        <v>Termico Solar</v>
      </c>
      <c r="U7078" s="284" t="e">
        <f>(IF(Tabla4[[#This Row],[Familia]]="termico solar",Tabla4[[#This Row],[Utilidad Total]]*6%,Tabla4[[#This Row],[Utilidad Total]]*11.5%))/Tabla4[[#This Row],[Total]]</f>
        <v>#N/A</v>
      </c>
      <c r="V7078" s="282" t="e">
        <f>+Tabla4[[#This Row],[Comisión Calculada]]*Tabla4[[#This Row],[Total]]</f>
        <v>#N/A</v>
      </c>
    </row>
    <row r="7079" spans="1:22" hidden="1" x14ac:dyDescent="0.25">
      <c r="A7079" s="100">
        <v>45991</v>
      </c>
      <c r="B7079" t="str">
        <f t="shared" ref="B7079:B7080" si="548">TEXT(A7079, "mmmm")</f>
        <v>November</v>
      </c>
      <c r="C7079" s="46" t="s">
        <v>280</v>
      </c>
      <c r="F7079" s="366" t="s">
        <v>3561</v>
      </c>
      <c r="G7079" s="46" t="s">
        <v>19</v>
      </c>
      <c r="H7079" s="46">
        <v>2</v>
      </c>
      <c r="I7079" s="51">
        <v>6412.03</v>
      </c>
      <c r="J7079" s="281">
        <f>++Tabla4[[#This Row],[Precio Bruto]]*1.16</f>
        <v>7437.9547999999995</v>
      </c>
      <c r="K7079" s="281">
        <f>+Tabla4[[#This Row],[Precio Unitario Neto]]*Tabla4[[#Headers],[20.85%]]</f>
        <v>1550.8135757999999</v>
      </c>
      <c r="L7079" s="282">
        <f>++Tabla4[[#This Row],[Precio Unitario Neto]]-Tabla4[[#This Row],[20.85%]]</f>
        <v>5887.1412241999997</v>
      </c>
      <c r="M7079" s="282" t="e">
        <f>(INDEX(Tabla6[#All],MATCH(Tabla4[[#This Row],[Producto]],Tabla6[[#All],[PRODUCTO]],0),MATCH(Tabla4[[#This Row],[Mes]],Tabla6[#Headers],0)))*(1+Catalogos!$L$2)</f>
        <v>#N/A</v>
      </c>
      <c r="N7079" s="283" t="e">
        <f>+(Tabla4[[#This Row],[Precio Descontado]]-Tabla4[[#This Row],[Precio Base]])*Tabla4[[#This Row],[Cantidad]]</f>
        <v>#N/A</v>
      </c>
      <c r="O7079" s="284" t="e">
        <f>++Tabla4[[#This Row],[Utilidad Total]]/Tabla4[[#This Row],[Total]]</f>
        <v>#N/A</v>
      </c>
      <c r="P7079" s="282">
        <f>++Tabla4[[#This Row],[Precio Descontado]]*Tabla4[[#This Row],[Cantidad]]</f>
        <v>11774.282448399999</v>
      </c>
      <c r="Q7079" s="282" t="e">
        <f>(INDEX(Tabla6[#All],MATCH(Tabla4[[#This Row],[Producto]],Tabla6[[#All],[PRODUCTO]],0),MATCH(Tabla4[[#This Row],[Mes]],Tabla6[#Headers],0)))</f>
        <v>#N/A</v>
      </c>
      <c r="R7079" s="282" t="e">
        <f>++Tabla4[[#This Row],[Precio Unitario Neto]]-Tabla4[[#This Row],[20.85%]]-Tabla4[[#This Row],[Costo]]</f>
        <v>#N/A</v>
      </c>
      <c r="S7079" s="282" t="e">
        <f>++Tabla4[[#This Row],[U. Bruta Uni]]*Tabla4[[#This Row],[Cantidad]]</f>
        <v>#N/A</v>
      </c>
      <c r="T7079" s="369" t="str">
        <f>VLOOKUP(Tabla4[[#This Row],[Producto]],Tabla6[#All],14,FALSE)</f>
        <v>Termico Solar</v>
      </c>
      <c r="U7079" s="284" t="e">
        <f>(IF(Tabla4[[#This Row],[Familia]]="termico solar",Tabla4[[#This Row],[Utilidad Total]]*6%,Tabla4[[#This Row],[Utilidad Total]]*11.5%))/Tabla4[[#This Row],[Total]]</f>
        <v>#N/A</v>
      </c>
      <c r="V7079" s="282" t="e">
        <f>+Tabla4[[#This Row],[Comisión Calculada]]*Tabla4[[#This Row],[Total]]</f>
        <v>#N/A</v>
      </c>
    </row>
    <row r="7080" spans="1:22" hidden="1" x14ac:dyDescent="0.25">
      <c r="A7080" s="100">
        <v>45991</v>
      </c>
      <c r="B7080" t="str">
        <f t="shared" si="548"/>
        <v>November</v>
      </c>
      <c r="C7080" s="46" t="s">
        <v>280</v>
      </c>
      <c r="F7080" s="366" t="s">
        <v>3561</v>
      </c>
      <c r="G7080" s="46" t="s">
        <v>16</v>
      </c>
      <c r="H7080" s="46">
        <v>1</v>
      </c>
      <c r="I7080" s="51">
        <v>4103.8500000000004</v>
      </c>
      <c r="J7080" s="281">
        <f>++Tabla4[[#This Row],[Precio Bruto]]*1.16</f>
        <v>4760.4660000000003</v>
      </c>
      <c r="K7080" s="281">
        <f>+Tabla4[[#This Row],[Precio Unitario Neto]]*Tabla4[[#Headers],[20.85%]]</f>
        <v>992.55716100000006</v>
      </c>
      <c r="L7080" s="282">
        <f>++Tabla4[[#This Row],[Precio Unitario Neto]]-Tabla4[[#This Row],[20.85%]]</f>
        <v>3767.9088390000002</v>
      </c>
      <c r="M7080" s="282" t="e">
        <f>(INDEX(Tabla6[#All],MATCH(Tabla4[[#This Row],[Producto]],Tabla6[[#All],[PRODUCTO]],0),MATCH(Tabla4[[#This Row],[Mes]],Tabla6[#Headers],0)))*(1+Catalogos!$L$2)</f>
        <v>#N/A</v>
      </c>
      <c r="N7080" s="283" t="e">
        <f>+(Tabla4[[#This Row],[Precio Descontado]]-Tabla4[[#This Row],[Precio Base]])*Tabla4[[#This Row],[Cantidad]]</f>
        <v>#N/A</v>
      </c>
      <c r="O7080" s="284" t="e">
        <f>++Tabla4[[#This Row],[Utilidad Total]]/Tabla4[[#This Row],[Total]]</f>
        <v>#N/A</v>
      </c>
      <c r="P7080" s="282">
        <f>++Tabla4[[#This Row],[Precio Descontado]]*Tabla4[[#This Row],[Cantidad]]</f>
        <v>3767.9088390000002</v>
      </c>
      <c r="Q7080" s="282" t="e">
        <f>(INDEX(Tabla6[#All],MATCH(Tabla4[[#This Row],[Producto]],Tabla6[[#All],[PRODUCTO]],0),MATCH(Tabla4[[#This Row],[Mes]],Tabla6[#Headers],0)))</f>
        <v>#N/A</v>
      </c>
      <c r="R7080" s="282" t="e">
        <f>++Tabla4[[#This Row],[Precio Unitario Neto]]-Tabla4[[#This Row],[20.85%]]-Tabla4[[#This Row],[Costo]]</f>
        <v>#N/A</v>
      </c>
      <c r="S7080" s="282" t="e">
        <f>++Tabla4[[#This Row],[U. Bruta Uni]]*Tabla4[[#This Row],[Cantidad]]</f>
        <v>#N/A</v>
      </c>
      <c r="T7080" s="369" t="str">
        <f>VLOOKUP(Tabla4[[#This Row],[Producto]],Tabla6[#All],14,FALSE)</f>
        <v>Termico Solar</v>
      </c>
      <c r="U7080" s="284" t="e">
        <f>(IF(Tabla4[[#This Row],[Familia]]="termico solar",Tabla4[[#This Row],[Utilidad Total]]*6%,Tabla4[[#This Row],[Utilidad Total]]*11.5%))/Tabla4[[#This Row],[Total]]</f>
        <v>#N/A</v>
      </c>
      <c r="V7080" s="282" t="e">
        <f>+Tabla4[[#This Row],[Comisión Calculada]]*Tabla4[[#This Row],[Total]]</f>
        <v>#N/A</v>
      </c>
    </row>
    <row r="7081" spans="1:22" hidden="1" x14ac:dyDescent="0.25">
      <c r="A7081" s="100">
        <v>45991</v>
      </c>
      <c r="B7081" t="str">
        <f t="shared" ref="B7081:B7085" si="549">TEXT(A7081, "mmmm")</f>
        <v>November</v>
      </c>
      <c r="C7081" s="46" t="s">
        <v>280</v>
      </c>
      <c r="F7081" s="366" t="s">
        <v>3562</v>
      </c>
      <c r="G7081" s="46" t="s">
        <v>17</v>
      </c>
      <c r="H7081" s="46">
        <v>2</v>
      </c>
      <c r="I7081" s="51">
        <v>4622.28</v>
      </c>
      <c r="J7081" s="281">
        <f>++Tabla4[[#This Row],[Precio Bruto]]*1.16</f>
        <v>5361.8447999999989</v>
      </c>
      <c r="K7081" s="281">
        <f>+Tabla4[[#This Row],[Precio Unitario Neto]]*Tabla4[[#Headers],[20.85%]]</f>
        <v>1117.9446407999997</v>
      </c>
      <c r="L7081" s="282">
        <f>++Tabla4[[#This Row],[Precio Unitario Neto]]-Tabla4[[#This Row],[20.85%]]</f>
        <v>4243.9001591999995</v>
      </c>
      <c r="M7081" s="282" t="e">
        <f>(INDEX(Tabla6[#All],MATCH(Tabla4[[#This Row],[Producto]],Tabla6[[#All],[PRODUCTO]],0),MATCH(Tabla4[[#This Row],[Mes]],Tabla6[#Headers],0)))*(1+Catalogos!$L$2)</f>
        <v>#N/A</v>
      </c>
      <c r="N7081" s="283" t="e">
        <f>+(Tabla4[[#This Row],[Precio Descontado]]-Tabla4[[#This Row],[Precio Base]])*Tabla4[[#This Row],[Cantidad]]</f>
        <v>#N/A</v>
      </c>
      <c r="O7081" s="284" t="e">
        <f>++Tabla4[[#This Row],[Utilidad Total]]/Tabla4[[#This Row],[Total]]</f>
        <v>#N/A</v>
      </c>
      <c r="P7081" s="282">
        <f>++Tabla4[[#This Row],[Precio Descontado]]*Tabla4[[#This Row],[Cantidad]]</f>
        <v>8487.800318399999</v>
      </c>
      <c r="Q7081" s="282" t="e">
        <f>(INDEX(Tabla6[#All],MATCH(Tabla4[[#This Row],[Producto]],Tabla6[[#All],[PRODUCTO]],0),MATCH(Tabla4[[#This Row],[Mes]],Tabla6[#Headers],0)))</f>
        <v>#N/A</v>
      </c>
      <c r="R7081" s="282" t="e">
        <f>++Tabla4[[#This Row],[Precio Unitario Neto]]-Tabla4[[#This Row],[20.85%]]-Tabla4[[#This Row],[Costo]]</f>
        <v>#N/A</v>
      </c>
      <c r="S7081" s="282" t="e">
        <f>++Tabla4[[#This Row],[U. Bruta Uni]]*Tabla4[[#This Row],[Cantidad]]</f>
        <v>#N/A</v>
      </c>
      <c r="T7081" s="369" t="str">
        <f>VLOOKUP(Tabla4[[#This Row],[Producto]],Tabla6[#All],14,FALSE)</f>
        <v>Termico Solar</v>
      </c>
      <c r="U7081" s="284" t="e">
        <f>(IF(Tabla4[[#This Row],[Familia]]="termico solar",Tabla4[[#This Row],[Utilidad Total]]*6%,Tabla4[[#This Row],[Utilidad Total]]*11.5%))/Tabla4[[#This Row],[Total]]</f>
        <v>#N/A</v>
      </c>
      <c r="V7081" s="282" t="e">
        <f>+Tabla4[[#This Row],[Comisión Calculada]]*Tabla4[[#This Row],[Total]]</f>
        <v>#N/A</v>
      </c>
    </row>
    <row r="7082" spans="1:22" hidden="1" x14ac:dyDescent="0.25">
      <c r="A7082" s="100">
        <v>45991</v>
      </c>
      <c r="B7082" t="str">
        <f t="shared" si="549"/>
        <v>November</v>
      </c>
      <c r="C7082" s="46" t="s">
        <v>280</v>
      </c>
      <c r="F7082" s="366" t="s">
        <v>3562</v>
      </c>
      <c r="G7082" s="46" t="s">
        <v>18</v>
      </c>
      <c r="H7082" s="46">
        <v>1</v>
      </c>
      <c r="I7082" s="51">
        <v>5367.65</v>
      </c>
      <c r="J7082" s="281">
        <f>++Tabla4[[#This Row],[Precio Bruto]]*1.16</f>
        <v>6226.4739999999993</v>
      </c>
      <c r="K7082" s="281">
        <f>+Tabla4[[#This Row],[Precio Unitario Neto]]*Tabla4[[#Headers],[20.85%]]</f>
        <v>1298.2198289999999</v>
      </c>
      <c r="L7082" s="282">
        <f>++Tabla4[[#This Row],[Precio Unitario Neto]]-Tabla4[[#This Row],[20.85%]]</f>
        <v>4928.2541709999996</v>
      </c>
      <c r="M7082" s="282" t="e">
        <f>(INDEX(Tabla6[#All],MATCH(Tabla4[[#This Row],[Producto]],Tabla6[[#All],[PRODUCTO]],0),MATCH(Tabla4[[#This Row],[Mes]],Tabla6[#Headers],0)))*(1+Catalogos!$L$2)</f>
        <v>#N/A</v>
      </c>
      <c r="N7082" s="283" t="e">
        <f>+(Tabla4[[#This Row],[Precio Descontado]]-Tabla4[[#This Row],[Precio Base]])*Tabla4[[#This Row],[Cantidad]]</f>
        <v>#N/A</v>
      </c>
      <c r="O7082" s="284" t="e">
        <f>++Tabla4[[#This Row],[Utilidad Total]]/Tabla4[[#This Row],[Total]]</f>
        <v>#N/A</v>
      </c>
      <c r="P7082" s="282">
        <f>++Tabla4[[#This Row],[Precio Descontado]]*Tabla4[[#This Row],[Cantidad]]</f>
        <v>4928.2541709999996</v>
      </c>
      <c r="Q7082" s="282" t="e">
        <f>(INDEX(Tabla6[#All],MATCH(Tabla4[[#This Row],[Producto]],Tabla6[[#All],[PRODUCTO]],0),MATCH(Tabla4[[#This Row],[Mes]],Tabla6[#Headers],0)))</f>
        <v>#N/A</v>
      </c>
      <c r="R7082" s="282" t="e">
        <f>++Tabla4[[#This Row],[Precio Unitario Neto]]-Tabla4[[#This Row],[20.85%]]-Tabla4[[#This Row],[Costo]]</f>
        <v>#N/A</v>
      </c>
      <c r="S7082" s="282" t="e">
        <f>++Tabla4[[#This Row],[U. Bruta Uni]]*Tabla4[[#This Row],[Cantidad]]</f>
        <v>#N/A</v>
      </c>
      <c r="T7082" s="369" t="str">
        <f>VLOOKUP(Tabla4[[#This Row],[Producto]],Tabla6[#All],14,FALSE)</f>
        <v>Termico Solar</v>
      </c>
      <c r="U7082" s="284" t="e">
        <f>(IF(Tabla4[[#This Row],[Familia]]="termico solar",Tabla4[[#This Row],[Utilidad Total]]*6%,Tabla4[[#This Row],[Utilidad Total]]*11.5%))/Tabla4[[#This Row],[Total]]</f>
        <v>#N/A</v>
      </c>
      <c r="V7082" s="282" t="e">
        <f>+Tabla4[[#This Row],[Comisión Calculada]]*Tabla4[[#This Row],[Total]]</f>
        <v>#N/A</v>
      </c>
    </row>
    <row r="7083" spans="1:22" hidden="1" x14ac:dyDescent="0.25">
      <c r="A7083" s="100">
        <v>45991</v>
      </c>
      <c r="B7083" t="str">
        <f t="shared" si="549"/>
        <v>November</v>
      </c>
      <c r="C7083" s="46" t="s">
        <v>280</v>
      </c>
      <c r="F7083" s="366" t="s">
        <v>3562</v>
      </c>
      <c r="G7083" s="46" t="s">
        <v>566</v>
      </c>
      <c r="H7083" s="46">
        <v>1</v>
      </c>
      <c r="I7083" s="51">
        <v>2109.4499999999998</v>
      </c>
      <c r="J7083" s="281">
        <f>++Tabla4[[#This Row],[Precio Bruto]]*1.16</f>
        <v>2446.9619999999995</v>
      </c>
      <c r="K7083" s="281">
        <f>+Tabla4[[#This Row],[Precio Unitario Neto]]*Tabla4[[#Headers],[20.85%]]</f>
        <v>510.19157699999988</v>
      </c>
      <c r="L7083" s="282">
        <f>++Tabla4[[#This Row],[Precio Unitario Neto]]-Tabla4[[#This Row],[20.85%]]</f>
        <v>1936.7704229999997</v>
      </c>
      <c r="M7083" s="282" t="e">
        <f>(INDEX(Tabla6[#All],MATCH(Tabla4[[#This Row],[Producto]],Tabla6[[#All],[PRODUCTO]],0),MATCH(Tabla4[[#This Row],[Mes]],Tabla6[#Headers],0)))*(1+Catalogos!$L$2)</f>
        <v>#N/A</v>
      </c>
      <c r="N7083" s="283" t="e">
        <f>+(Tabla4[[#This Row],[Precio Descontado]]-Tabla4[[#This Row],[Precio Base]])*Tabla4[[#This Row],[Cantidad]]</f>
        <v>#N/A</v>
      </c>
      <c r="O7083" s="284" t="e">
        <f>++Tabla4[[#This Row],[Utilidad Total]]/Tabla4[[#This Row],[Total]]</f>
        <v>#N/A</v>
      </c>
      <c r="P7083" s="282">
        <f>++Tabla4[[#This Row],[Precio Descontado]]*Tabla4[[#This Row],[Cantidad]]</f>
        <v>1936.7704229999997</v>
      </c>
      <c r="Q7083" s="282" t="e">
        <f>(INDEX(Tabla6[#All],MATCH(Tabla4[[#This Row],[Producto]],Tabla6[[#All],[PRODUCTO]],0),MATCH(Tabla4[[#This Row],[Mes]],Tabla6[#Headers],0)))</f>
        <v>#N/A</v>
      </c>
      <c r="R7083" s="282" t="e">
        <f>++Tabla4[[#This Row],[Precio Unitario Neto]]-Tabla4[[#This Row],[20.85%]]-Tabla4[[#This Row],[Costo]]</f>
        <v>#N/A</v>
      </c>
      <c r="S7083" s="282" t="e">
        <f>++Tabla4[[#This Row],[U. Bruta Uni]]*Tabla4[[#This Row],[Cantidad]]</f>
        <v>#N/A</v>
      </c>
      <c r="T7083" s="369" t="str">
        <f>VLOOKUP(Tabla4[[#This Row],[Producto]],Tabla6[#All],14,FALSE)</f>
        <v>Termico Solar</v>
      </c>
      <c r="U7083" s="284" t="e">
        <f>(IF(Tabla4[[#This Row],[Familia]]="termico solar",Tabla4[[#This Row],[Utilidad Total]]*6%,Tabla4[[#This Row],[Utilidad Total]]*11.5%))/Tabla4[[#This Row],[Total]]</f>
        <v>#N/A</v>
      </c>
      <c r="V7083" s="282" t="e">
        <f>+Tabla4[[#This Row],[Comisión Calculada]]*Tabla4[[#This Row],[Total]]</f>
        <v>#N/A</v>
      </c>
    </row>
    <row r="7084" spans="1:22" hidden="1" x14ac:dyDescent="0.25">
      <c r="A7084" s="100">
        <v>45991</v>
      </c>
      <c r="B7084" t="str">
        <f t="shared" si="549"/>
        <v>November</v>
      </c>
      <c r="C7084" s="46" t="s">
        <v>280</v>
      </c>
      <c r="F7084" s="366" t="s">
        <v>3562</v>
      </c>
      <c r="G7084" s="46" t="s">
        <v>16</v>
      </c>
      <c r="H7084" s="46">
        <v>1</v>
      </c>
      <c r="I7084" s="51">
        <v>4103.8500000000004</v>
      </c>
      <c r="J7084" s="281">
        <f>++Tabla4[[#This Row],[Precio Bruto]]*1.16</f>
        <v>4760.4660000000003</v>
      </c>
      <c r="K7084" s="281">
        <f>+Tabla4[[#This Row],[Precio Unitario Neto]]*Tabla4[[#Headers],[20.85%]]</f>
        <v>992.55716100000006</v>
      </c>
      <c r="L7084" s="282">
        <f>++Tabla4[[#This Row],[Precio Unitario Neto]]-Tabla4[[#This Row],[20.85%]]</f>
        <v>3767.9088390000002</v>
      </c>
      <c r="M7084" s="282" t="e">
        <f>(INDEX(Tabla6[#All],MATCH(Tabla4[[#This Row],[Producto]],Tabla6[[#All],[PRODUCTO]],0),MATCH(Tabla4[[#This Row],[Mes]],Tabla6[#Headers],0)))*(1+Catalogos!$L$2)</f>
        <v>#N/A</v>
      </c>
      <c r="N7084" s="283" t="e">
        <f>+(Tabla4[[#This Row],[Precio Descontado]]-Tabla4[[#This Row],[Precio Base]])*Tabla4[[#This Row],[Cantidad]]</f>
        <v>#N/A</v>
      </c>
      <c r="O7084" s="284" t="e">
        <f>++Tabla4[[#This Row],[Utilidad Total]]/Tabla4[[#This Row],[Total]]</f>
        <v>#N/A</v>
      </c>
      <c r="P7084" s="282">
        <f>++Tabla4[[#This Row],[Precio Descontado]]*Tabla4[[#This Row],[Cantidad]]</f>
        <v>3767.9088390000002</v>
      </c>
      <c r="Q7084" s="282" t="e">
        <f>(INDEX(Tabla6[#All],MATCH(Tabla4[[#This Row],[Producto]],Tabla6[[#All],[PRODUCTO]],0),MATCH(Tabla4[[#This Row],[Mes]],Tabla6[#Headers],0)))</f>
        <v>#N/A</v>
      </c>
      <c r="R7084" s="282" t="e">
        <f>++Tabla4[[#This Row],[Precio Unitario Neto]]-Tabla4[[#This Row],[20.85%]]-Tabla4[[#This Row],[Costo]]</f>
        <v>#N/A</v>
      </c>
      <c r="S7084" s="282" t="e">
        <f>++Tabla4[[#This Row],[U. Bruta Uni]]*Tabla4[[#This Row],[Cantidad]]</f>
        <v>#N/A</v>
      </c>
      <c r="T7084" s="369" t="str">
        <f>VLOOKUP(Tabla4[[#This Row],[Producto]],Tabla6[#All],14,FALSE)</f>
        <v>Termico Solar</v>
      </c>
      <c r="U7084" s="284" t="e">
        <f>(IF(Tabla4[[#This Row],[Familia]]="termico solar",Tabla4[[#This Row],[Utilidad Total]]*6%,Tabla4[[#This Row],[Utilidad Total]]*11.5%))/Tabla4[[#This Row],[Total]]</f>
        <v>#N/A</v>
      </c>
      <c r="V7084" s="282" t="e">
        <f>+Tabla4[[#This Row],[Comisión Calculada]]*Tabla4[[#This Row],[Total]]</f>
        <v>#N/A</v>
      </c>
    </row>
    <row r="7085" spans="1:22" hidden="1" x14ac:dyDescent="0.25">
      <c r="A7085" s="100">
        <v>45991</v>
      </c>
      <c r="B7085" t="str">
        <f t="shared" si="549"/>
        <v>November</v>
      </c>
      <c r="C7085" s="46" t="s">
        <v>280</v>
      </c>
      <c r="F7085" s="366" t="s">
        <v>3562</v>
      </c>
      <c r="G7085" s="46" t="s">
        <v>208</v>
      </c>
      <c r="H7085" s="46">
        <v>4</v>
      </c>
      <c r="I7085" s="51">
        <v>189.75</v>
      </c>
      <c r="J7085" s="281">
        <f>++Tabla4[[#This Row],[Precio Bruto]]*1.16</f>
        <v>220.10999999999999</v>
      </c>
      <c r="K7085" s="281">
        <f>+Tabla4[[#This Row],[Precio Unitario Neto]]*Tabla4[[#Headers],[20.85%]]</f>
        <v>45.892934999999994</v>
      </c>
      <c r="L7085" s="282">
        <f>++Tabla4[[#This Row],[Precio Unitario Neto]]-Tabla4[[#This Row],[20.85%]]</f>
        <v>174.21706499999999</v>
      </c>
      <c r="M7085" s="282" t="e">
        <f>(INDEX(Tabla6[#All],MATCH(Tabla4[[#This Row],[Producto]],Tabla6[[#All],[PRODUCTO]],0),MATCH(Tabla4[[#This Row],[Mes]],Tabla6[#Headers],0)))*(1+Catalogos!$L$2)</f>
        <v>#N/A</v>
      </c>
      <c r="N7085" s="283" t="e">
        <f>+(Tabla4[[#This Row],[Precio Descontado]]-Tabla4[[#This Row],[Precio Base]])*Tabla4[[#This Row],[Cantidad]]</f>
        <v>#N/A</v>
      </c>
      <c r="O7085" s="284" t="e">
        <f>++Tabla4[[#This Row],[Utilidad Total]]/Tabla4[[#This Row],[Total]]</f>
        <v>#N/A</v>
      </c>
      <c r="P7085" s="282">
        <f>++Tabla4[[#This Row],[Precio Descontado]]*Tabla4[[#This Row],[Cantidad]]</f>
        <v>696.86825999999996</v>
      </c>
      <c r="Q7085" s="282" t="e">
        <f>(INDEX(Tabla6[#All],MATCH(Tabla4[[#This Row],[Producto]],Tabla6[[#All],[PRODUCTO]],0),MATCH(Tabla4[[#This Row],[Mes]],Tabla6[#Headers],0)))</f>
        <v>#N/A</v>
      </c>
      <c r="R7085" s="282" t="e">
        <f>++Tabla4[[#This Row],[Precio Unitario Neto]]-Tabla4[[#This Row],[20.85%]]-Tabla4[[#This Row],[Costo]]</f>
        <v>#N/A</v>
      </c>
      <c r="S7085" s="282" t="e">
        <f>++Tabla4[[#This Row],[U. Bruta Uni]]*Tabla4[[#This Row],[Cantidad]]</f>
        <v>#N/A</v>
      </c>
      <c r="T7085" s="369" t="str">
        <f>VLOOKUP(Tabla4[[#This Row],[Producto]],Tabla6[#All],14,FALSE)</f>
        <v>Termico Solar</v>
      </c>
      <c r="U7085" s="284" t="e">
        <f>(IF(Tabla4[[#This Row],[Familia]]="termico solar",Tabla4[[#This Row],[Utilidad Total]]*6%,Tabla4[[#This Row],[Utilidad Total]]*11.5%))/Tabla4[[#This Row],[Total]]</f>
        <v>#N/A</v>
      </c>
      <c r="V7085" s="282" t="e">
        <f>+Tabla4[[#This Row],[Comisión Calculada]]*Tabla4[[#This Row],[Total]]</f>
        <v>#N/A</v>
      </c>
    </row>
    <row r="7086" spans="1:22" hidden="1" x14ac:dyDescent="0.25">
      <c r="A7086" s="100">
        <v>45991</v>
      </c>
      <c r="B7086" t="str">
        <f t="shared" ref="B7086:B7087" si="550">TEXT(A7086, "mmmm")</f>
        <v>November</v>
      </c>
      <c r="C7086" s="46" t="s">
        <v>280</v>
      </c>
      <c r="F7086" s="366" t="s">
        <v>3563</v>
      </c>
      <c r="G7086" s="46" t="s">
        <v>17</v>
      </c>
      <c r="H7086" s="46">
        <v>1</v>
      </c>
      <c r="I7086" s="51">
        <v>4622.28</v>
      </c>
      <c r="J7086" s="281">
        <f>++Tabla4[[#This Row],[Precio Bruto]]*1.16</f>
        <v>5361.8447999999989</v>
      </c>
      <c r="K7086" s="281">
        <f>+Tabla4[[#This Row],[Precio Unitario Neto]]*Tabla4[[#Headers],[20.85%]]</f>
        <v>1117.9446407999997</v>
      </c>
      <c r="L7086" s="282">
        <f>++Tabla4[[#This Row],[Precio Unitario Neto]]-Tabla4[[#This Row],[20.85%]]</f>
        <v>4243.9001591999995</v>
      </c>
      <c r="M7086" s="282" t="e">
        <f>(INDEX(Tabla6[#All],MATCH(Tabla4[[#This Row],[Producto]],Tabla6[[#All],[PRODUCTO]],0),MATCH(Tabla4[[#This Row],[Mes]],Tabla6[#Headers],0)))*(1+Catalogos!$L$2)</f>
        <v>#N/A</v>
      </c>
      <c r="N7086" s="283" t="e">
        <f>+(Tabla4[[#This Row],[Precio Descontado]]-Tabla4[[#This Row],[Precio Base]])*Tabla4[[#This Row],[Cantidad]]</f>
        <v>#N/A</v>
      </c>
      <c r="O7086" s="284" t="e">
        <f>++Tabla4[[#This Row],[Utilidad Total]]/Tabla4[[#This Row],[Total]]</f>
        <v>#N/A</v>
      </c>
      <c r="P7086" s="282">
        <f>++Tabla4[[#This Row],[Precio Descontado]]*Tabla4[[#This Row],[Cantidad]]</f>
        <v>4243.9001591999995</v>
      </c>
      <c r="Q7086" s="282" t="e">
        <f>(INDEX(Tabla6[#All],MATCH(Tabla4[[#This Row],[Producto]],Tabla6[[#All],[PRODUCTO]],0),MATCH(Tabla4[[#This Row],[Mes]],Tabla6[#Headers],0)))</f>
        <v>#N/A</v>
      </c>
      <c r="R7086" s="282" t="e">
        <f>++Tabla4[[#This Row],[Precio Unitario Neto]]-Tabla4[[#This Row],[20.85%]]-Tabla4[[#This Row],[Costo]]</f>
        <v>#N/A</v>
      </c>
      <c r="S7086" s="282" t="e">
        <f>++Tabla4[[#This Row],[U. Bruta Uni]]*Tabla4[[#This Row],[Cantidad]]</f>
        <v>#N/A</v>
      </c>
      <c r="T7086" s="369" t="str">
        <f>VLOOKUP(Tabla4[[#This Row],[Producto]],Tabla6[#All],14,FALSE)</f>
        <v>Termico Solar</v>
      </c>
      <c r="U7086" s="284" t="e">
        <f>(IF(Tabla4[[#This Row],[Familia]]="termico solar",Tabla4[[#This Row],[Utilidad Total]]*6%,Tabla4[[#This Row],[Utilidad Total]]*11.5%))/Tabla4[[#This Row],[Total]]</f>
        <v>#N/A</v>
      </c>
      <c r="V7086" s="282" t="e">
        <f>+Tabla4[[#This Row],[Comisión Calculada]]*Tabla4[[#This Row],[Total]]</f>
        <v>#N/A</v>
      </c>
    </row>
    <row r="7087" spans="1:22" hidden="1" x14ac:dyDescent="0.25">
      <c r="A7087" s="100">
        <v>45991</v>
      </c>
      <c r="B7087" t="str">
        <f t="shared" si="550"/>
        <v>November</v>
      </c>
      <c r="C7087" s="46" t="s">
        <v>280</v>
      </c>
      <c r="F7087" s="366" t="s">
        <v>3563</v>
      </c>
      <c r="G7087" s="46" t="s">
        <v>208</v>
      </c>
      <c r="H7087" s="46">
        <v>1</v>
      </c>
      <c r="I7087" s="51">
        <v>189.75</v>
      </c>
      <c r="J7087" s="281">
        <f>++Tabla4[[#This Row],[Precio Bruto]]*1.16</f>
        <v>220.10999999999999</v>
      </c>
      <c r="K7087" s="281">
        <f>+Tabla4[[#This Row],[Precio Unitario Neto]]*Tabla4[[#Headers],[20.85%]]</f>
        <v>45.892934999999994</v>
      </c>
      <c r="L7087" s="282">
        <f>++Tabla4[[#This Row],[Precio Unitario Neto]]-Tabla4[[#This Row],[20.85%]]</f>
        <v>174.21706499999999</v>
      </c>
      <c r="M7087" s="282" t="e">
        <f>(INDEX(Tabla6[#All],MATCH(Tabla4[[#This Row],[Producto]],Tabla6[[#All],[PRODUCTO]],0),MATCH(Tabla4[[#This Row],[Mes]],Tabla6[#Headers],0)))*(1+Catalogos!$L$2)</f>
        <v>#N/A</v>
      </c>
      <c r="N7087" s="283" t="e">
        <f>+(Tabla4[[#This Row],[Precio Descontado]]-Tabla4[[#This Row],[Precio Base]])*Tabla4[[#This Row],[Cantidad]]</f>
        <v>#N/A</v>
      </c>
      <c r="O7087" s="284" t="e">
        <f>++Tabla4[[#This Row],[Utilidad Total]]/Tabla4[[#This Row],[Total]]</f>
        <v>#N/A</v>
      </c>
      <c r="P7087" s="282">
        <f>++Tabla4[[#This Row],[Precio Descontado]]*Tabla4[[#This Row],[Cantidad]]</f>
        <v>174.21706499999999</v>
      </c>
      <c r="Q7087" s="282" t="e">
        <f>(INDEX(Tabla6[#All],MATCH(Tabla4[[#This Row],[Producto]],Tabla6[[#All],[PRODUCTO]],0),MATCH(Tabla4[[#This Row],[Mes]],Tabla6[#Headers],0)))</f>
        <v>#N/A</v>
      </c>
      <c r="R7087" s="282" t="e">
        <f>++Tabla4[[#This Row],[Precio Unitario Neto]]-Tabla4[[#This Row],[20.85%]]-Tabla4[[#This Row],[Costo]]</f>
        <v>#N/A</v>
      </c>
      <c r="S7087" s="282" t="e">
        <f>++Tabla4[[#This Row],[U. Bruta Uni]]*Tabla4[[#This Row],[Cantidad]]</f>
        <v>#N/A</v>
      </c>
      <c r="T7087" s="369" t="str">
        <f>VLOOKUP(Tabla4[[#This Row],[Producto]],Tabla6[#All],14,FALSE)</f>
        <v>Termico Solar</v>
      </c>
      <c r="U7087" s="284" t="e">
        <f>(IF(Tabla4[[#This Row],[Familia]]="termico solar",Tabla4[[#This Row],[Utilidad Total]]*6%,Tabla4[[#This Row],[Utilidad Total]]*11.5%))/Tabla4[[#This Row],[Total]]</f>
        <v>#N/A</v>
      </c>
      <c r="V7087" s="282" t="e">
        <f>+Tabla4[[#This Row],[Comisión Calculada]]*Tabla4[[#This Row],[Total]]</f>
        <v>#N/A</v>
      </c>
    </row>
    <row r="7088" spans="1:22" hidden="1" x14ac:dyDescent="0.25">
      <c r="A7088" s="100">
        <v>45991</v>
      </c>
      <c r="B7088" t="str">
        <f t="shared" ref="B7088:B7089" si="551">TEXT(A7088, "mmmm")</f>
        <v>November</v>
      </c>
      <c r="C7088" s="46" t="s">
        <v>280</v>
      </c>
      <c r="F7088" s="366" t="s">
        <v>3564</v>
      </c>
      <c r="G7088" s="46" t="s">
        <v>17</v>
      </c>
      <c r="H7088" s="46">
        <v>3</v>
      </c>
      <c r="I7088" s="51">
        <v>4622.28</v>
      </c>
      <c r="J7088" s="281">
        <f>++Tabla4[[#This Row],[Precio Bruto]]*1.16</f>
        <v>5361.8447999999989</v>
      </c>
      <c r="K7088" s="281">
        <f>+Tabla4[[#This Row],[Precio Unitario Neto]]*Tabla4[[#Headers],[20.85%]]</f>
        <v>1117.9446407999997</v>
      </c>
      <c r="L7088" s="282">
        <f>++Tabla4[[#This Row],[Precio Unitario Neto]]-Tabla4[[#This Row],[20.85%]]</f>
        <v>4243.9001591999995</v>
      </c>
      <c r="M7088" s="282" t="e">
        <f>(INDEX(Tabla6[#All],MATCH(Tabla4[[#This Row],[Producto]],Tabla6[[#All],[PRODUCTO]],0),MATCH(Tabla4[[#This Row],[Mes]],Tabla6[#Headers],0)))*(1+Catalogos!$L$2)</f>
        <v>#N/A</v>
      </c>
      <c r="N7088" s="283" t="e">
        <f>+(Tabla4[[#This Row],[Precio Descontado]]-Tabla4[[#This Row],[Precio Base]])*Tabla4[[#This Row],[Cantidad]]</f>
        <v>#N/A</v>
      </c>
      <c r="O7088" s="284" t="e">
        <f>++Tabla4[[#This Row],[Utilidad Total]]/Tabla4[[#This Row],[Total]]</f>
        <v>#N/A</v>
      </c>
      <c r="P7088" s="282">
        <f>++Tabla4[[#This Row],[Precio Descontado]]*Tabla4[[#This Row],[Cantidad]]</f>
        <v>12731.700477599999</v>
      </c>
      <c r="Q7088" s="282" t="e">
        <f>(INDEX(Tabla6[#All],MATCH(Tabla4[[#This Row],[Producto]],Tabla6[[#All],[PRODUCTO]],0),MATCH(Tabla4[[#This Row],[Mes]],Tabla6[#Headers],0)))</f>
        <v>#N/A</v>
      </c>
      <c r="R7088" s="282" t="e">
        <f>++Tabla4[[#This Row],[Precio Unitario Neto]]-Tabla4[[#This Row],[20.85%]]-Tabla4[[#This Row],[Costo]]</f>
        <v>#N/A</v>
      </c>
      <c r="S7088" s="282" t="e">
        <f>++Tabla4[[#This Row],[U. Bruta Uni]]*Tabla4[[#This Row],[Cantidad]]</f>
        <v>#N/A</v>
      </c>
      <c r="T7088" s="369" t="str">
        <f>VLOOKUP(Tabla4[[#This Row],[Producto]],Tabla6[#All],14,FALSE)</f>
        <v>Termico Solar</v>
      </c>
      <c r="U7088" s="284" t="e">
        <f>(IF(Tabla4[[#This Row],[Familia]]="termico solar",Tabla4[[#This Row],[Utilidad Total]]*6%,Tabla4[[#This Row],[Utilidad Total]]*11.5%))/Tabla4[[#This Row],[Total]]</f>
        <v>#N/A</v>
      </c>
      <c r="V7088" s="282" t="e">
        <f>+Tabla4[[#This Row],[Comisión Calculada]]*Tabla4[[#This Row],[Total]]</f>
        <v>#N/A</v>
      </c>
    </row>
    <row r="7089" spans="1:22" hidden="1" x14ac:dyDescent="0.25">
      <c r="A7089" s="100">
        <v>45991</v>
      </c>
      <c r="B7089" t="str">
        <f t="shared" si="551"/>
        <v>November</v>
      </c>
      <c r="C7089" s="46" t="s">
        <v>280</v>
      </c>
      <c r="F7089" s="366" t="s">
        <v>3564</v>
      </c>
      <c r="G7089" s="46" t="s">
        <v>208</v>
      </c>
      <c r="H7089" s="46">
        <v>7</v>
      </c>
      <c r="I7089" s="51">
        <v>189.75</v>
      </c>
      <c r="J7089" s="281">
        <f>++Tabla4[[#This Row],[Precio Bruto]]*1.16</f>
        <v>220.10999999999999</v>
      </c>
      <c r="K7089" s="281">
        <f>+Tabla4[[#This Row],[Precio Unitario Neto]]*Tabla4[[#Headers],[20.85%]]</f>
        <v>45.892934999999994</v>
      </c>
      <c r="L7089" s="282">
        <f>++Tabla4[[#This Row],[Precio Unitario Neto]]-Tabla4[[#This Row],[20.85%]]</f>
        <v>174.21706499999999</v>
      </c>
      <c r="M7089" s="282" t="e">
        <f>(INDEX(Tabla6[#All],MATCH(Tabla4[[#This Row],[Producto]],Tabla6[[#All],[PRODUCTO]],0),MATCH(Tabla4[[#This Row],[Mes]],Tabla6[#Headers],0)))*(1+Catalogos!$L$2)</f>
        <v>#N/A</v>
      </c>
      <c r="N7089" s="283" t="e">
        <f>+(Tabla4[[#This Row],[Precio Descontado]]-Tabla4[[#This Row],[Precio Base]])*Tabla4[[#This Row],[Cantidad]]</f>
        <v>#N/A</v>
      </c>
      <c r="O7089" s="284" t="e">
        <f>++Tabla4[[#This Row],[Utilidad Total]]/Tabla4[[#This Row],[Total]]</f>
        <v>#N/A</v>
      </c>
      <c r="P7089" s="282">
        <f>++Tabla4[[#This Row],[Precio Descontado]]*Tabla4[[#This Row],[Cantidad]]</f>
        <v>1219.5194549999999</v>
      </c>
      <c r="Q7089" s="282" t="e">
        <f>(INDEX(Tabla6[#All],MATCH(Tabla4[[#This Row],[Producto]],Tabla6[[#All],[PRODUCTO]],0),MATCH(Tabla4[[#This Row],[Mes]],Tabla6[#Headers],0)))</f>
        <v>#N/A</v>
      </c>
      <c r="R7089" s="282" t="e">
        <f>++Tabla4[[#This Row],[Precio Unitario Neto]]-Tabla4[[#This Row],[20.85%]]-Tabla4[[#This Row],[Costo]]</f>
        <v>#N/A</v>
      </c>
      <c r="S7089" s="282" t="e">
        <f>++Tabla4[[#This Row],[U. Bruta Uni]]*Tabla4[[#This Row],[Cantidad]]</f>
        <v>#N/A</v>
      </c>
      <c r="T7089" s="369" t="str">
        <f>VLOOKUP(Tabla4[[#This Row],[Producto]],Tabla6[#All],14,FALSE)</f>
        <v>Termico Solar</v>
      </c>
      <c r="U7089" s="284" t="e">
        <f>(IF(Tabla4[[#This Row],[Familia]]="termico solar",Tabla4[[#This Row],[Utilidad Total]]*6%,Tabla4[[#This Row],[Utilidad Total]]*11.5%))/Tabla4[[#This Row],[Total]]</f>
        <v>#N/A</v>
      </c>
      <c r="V7089" s="282" t="e">
        <f>+Tabla4[[#This Row],[Comisión Calculada]]*Tabla4[[#This Row],[Total]]</f>
        <v>#N/A</v>
      </c>
    </row>
    <row r="7090" spans="1:22" hidden="1" x14ac:dyDescent="0.25">
      <c r="A7090" s="100">
        <v>45991</v>
      </c>
      <c r="B7090" t="str">
        <f t="shared" ref="B7090:B7091" si="552">TEXT(A7090, "mmmm")</f>
        <v>November</v>
      </c>
      <c r="C7090" s="46" t="s">
        <v>280</v>
      </c>
      <c r="F7090" s="366" t="s">
        <v>3565</v>
      </c>
      <c r="G7090" s="46" t="s">
        <v>19</v>
      </c>
      <c r="H7090" s="46">
        <v>1</v>
      </c>
      <c r="I7090" s="51">
        <v>6412.03</v>
      </c>
      <c r="J7090" s="281">
        <f>++Tabla4[[#This Row],[Precio Bruto]]*1.16</f>
        <v>7437.9547999999995</v>
      </c>
      <c r="K7090" s="281">
        <f>+Tabla4[[#This Row],[Precio Unitario Neto]]*Tabla4[[#Headers],[20.85%]]</f>
        <v>1550.8135757999999</v>
      </c>
      <c r="L7090" s="282">
        <f>++Tabla4[[#This Row],[Precio Unitario Neto]]-Tabla4[[#This Row],[20.85%]]</f>
        <v>5887.1412241999997</v>
      </c>
      <c r="M7090" s="282" t="e">
        <f>(INDEX(Tabla6[#All],MATCH(Tabla4[[#This Row],[Producto]],Tabla6[[#All],[PRODUCTO]],0),MATCH(Tabla4[[#This Row],[Mes]],Tabla6[#Headers],0)))*(1+Catalogos!$L$2)</f>
        <v>#N/A</v>
      </c>
      <c r="N7090" s="283" t="e">
        <f>+(Tabla4[[#This Row],[Precio Descontado]]-Tabla4[[#This Row],[Precio Base]])*Tabla4[[#This Row],[Cantidad]]</f>
        <v>#N/A</v>
      </c>
      <c r="O7090" s="284" t="e">
        <f>++Tabla4[[#This Row],[Utilidad Total]]/Tabla4[[#This Row],[Total]]</f>
        <v>#N/A</v>
      </c>
      <c r="P7090" s="282">
        <f>++Tabla4[[#This Row],[Precio Descontado]]*Tabla4[[#This Row],[Cantidad]]</f>
        <v>5887.1412241999997</v>
      </c>
      <c r="Q7090" s="282" t="e">
        <f>(INDEX(Tabla6[#All],MATCH(Tabla4[[#This Row],[Producto]],Tabla6[[#All],[PRODUCTO]],0),MATCH(Tabla4[[#This Row],[Mes]],Tabla6[#Headers],0)))</f>
        <v>#N/A</v>
      </c>
      <c r="R7090" s="282" t="e">
        <f>++Tabla4[[#This Row],[Precio Unitario Neto]]-Tabla4[[#This Row],[20.85%]]-Tabla4[[#This Row],[Costo]]</f>
        <v>#N/A</v>
      </c>
      <c r="S7090" s="282" t="e">
        <f>++Tabla4[[#This Row],[U. Bruta Uni]]*Tabla4[[#This Row],[Cantidad]]</f>
        <v>#N/A</v>
      </c>
      <c r="T7090" s="369" t="str">
        <f>VLOOKUP(Tabla4[[#This Row],[Producto]],Tabla6[#All],14,FALSE)</f>
        <v>Termico Solar</v>
      </c>
      <c r="U7090" s="284" t="e">
        <f>(IF(Tabla4[[#This Row],[Familia]]="termico solar",Tabla4[[#This Row],[Utilidad Total]]*6%,Tabla4[[#This Row],[Utilidad Total]]*11.5%))/Tabla4[[#This Row],[Total]]</f>
        <v>#N/A</v>
      </c>
      <c r="V7090" s="282" t="e">
        <f>+Tabla4[[#This Row],[Comisión Calculada]]*Tabla4[[#This Row],[Total]]</f>
        <v>#N/A</v>
      </c>
    </row>
    <row r="7091" spans="1:22" hidden="1" x14ac:dyDescent="0.25">
      <c r="A7091" s="100">
        <v>45991</v>
      </c>
      <c r="B7091" t="str">
        <f t="shared" si="552"/>
        <v>November</v>
      </c>
      <c r="C7091" s="46" t="s">
        <v>280</v>
      </c>
      <c r="F7091" s="366" t="s">
        <v>3565</v>
      </c>
      <c r="G7091" s="46" t="s">
        <v>208</v>
      </c>
      <c r="H7091" s="46">
        <v>1</v>
      </c>
      <c r="I7091" s="51">
        <v>189.75</v>
      </c>
      <c r="J7091" s="281">
        <f>++Tabla4[[#This Row],[Precio Bruto]]*1.16</f>
        <v>220.10999999999999</v>
      </c>
      <c r="K7091" s="281">
        <f>+Tabla4[[#This Row],[Precio Unitario Neto]]*Tabla4[[#Headers],[20.85%]]</f>
        <v>45.892934999999994</v>
      </c>
      <c r="L7091" s="282">
        <f>++Tabla4[[#This Row],[Precio Unitario Neto]]-Tabla4[[#This Row],[20.85%]]</f>
        <v>174.21706499999999</v>
      </c>
      <c r="M7091" s="282" t="e">
        <f>(INDEX(Tabla6[#All],MATCH(Tabla4[[#This Row],[Producto]],Tabla6[[#All],[PRODUCTO]],0),MATCH(Tabla4[[#This Row],[Mes]],Tabla6[#Headers],0)))*(1+Catalogos!$L$2)</f>
        <v>#N/A</v>
      </c>
      <c r="N7091" s="283" t="e">
        <f>+(Tabla4[[#This Row],[Precio Descontado]]-Tabla4[[#This Row],[Precio Base]])*Tabla4[[#This Row],[Cantidad]]</f>
        <v>#N/A</v>
      </c>
      <c r="O7091" s="284" t="e">
        <f>++Tabla4[[#This Row],[Utilidad Total]]/Tabla4[[#This Row],[Total]]</f>
        <v>#N/A</v>
      </c>
      <c r="P7091" s="282">
        <f>++Tabla4[[#This Row],[Precio Descontado]]*Tabla4[[#This Row],[Cantidad]]</f>
        <v>174.21706499999999</v>
      </c>
      <c r="Q7091" s="282" t="e">
        <f>(INDEX(Tabla6[#All],MATCH(Tabla4[[#This Row],[Producto]],Tabla6[[#All],[PRODUCTO]],0),MATCH(Tabla4[[#This Row],[Mes]],Tabla6[#Headers],0)))</f>
        <v>#N/A</v>
      </c>
      <c r="R7091" s="282" t="e">
        <f>++Tabla4[[#This Row],[Precio Unitario Neto]]-Tabla4[[#This Row],[20.85%]]-Tabla4[[#This Row],[Costo]]</f>
        <v>#N/A</v>
      </c>
      <c r="S7091" s="282" t="e">
        <f>++Tabla4[[#This Row],[U. Bruta Uni]]*Tabla4[[#This Row],[Cantidad]]</f>
        <v>#N/A</v>
      </c>
      <c r="T7091" s="369" t="str">
        <f>VLOOKUP(Tabla4[[#This Row],[Producto]],Tabla6[#All],14,FALSE)</f>
        <v>Termico Solar</v>
      </c>
      <c r="U7091" s="284" t="e">
        <f>(IF(Tabla4[[#This Row],[Familia]]="termico solar",Tabla4[[#This Row],[Utilidad Total]]*6%,Tabla4[[#This Row],[Utilidad Total]]*11.5%))/Tabla4[[#This Row],[Total]]</f>
        <v>#N/A</v>
      </c>
      <c r="V7091" s="282" t="e">
        <f>+Tabla4[[#This Row],[Comisión Calculada]]*Tabla4[[#This Row],[Total]]</f>
        <v>#N/A</v>
      </c>
    </row>
    <row r="7092" spans="1:22" hidden="1" x14ac:dyDescent="0.25">
      <c r="A7092" s="100">
        <v>45991</v>
      </c>
      <c r="B7092" t="str">
        <f t="shared" ref="B7092:B7094" si="553">TEXT(A7092, "mmmm")</f>
        <v>November</v>
      </c>
      <c r="C7092" s="46" t="s">
        <v>280</v>
      </c>
      <c r="F7092" s="366" t="s">
        <v>3566</v>
      </c>
      <c r="G7092" s="46" t="s">
        <v>566</v>
      </c>
      <c r="H7092" s="46">
        <v>1</v>
      </c>
      <c r="I7092" s="51">
        <v>2109.4499999999998</v>
      </c>
      <c r="J7092" s="281">
        <f>++Tabla4[[#This Row],[Precio Bruto]]*1.16</f>
        <v>2446.9619999999995</v>
      </c>
      <c r="K7092" s="281">
        <f>+Tabla4[[#This Row],[Precio Unitario Neto]]*Tabla4[[#Headers],[20.85%]]</f>
        <v>510.19157699999988</v>
      </c>
      <c r="L7092" s="282">
        <f>++Tabla4[[#This Row],[Precio Unitario Neto]]-Tabla4[[#This Row],[20.85%]]</f>
        <v>1936.7704229999997</v>
      </c>
      <c r="M7092" s="282" t="e">
        <f>(INDEX(Tabla6[#All],MATCH(Tabla4[[#This Row],[Producto]],Tabla6[[#All],[PRODUCTO]],0),MATCH(Tabla4[[#This Row],[Mes]],Tabla6[#Headers],0)))*(1+Catalogos!$L$2)</f>
        <v>#N/A</v>
      </c>
      <c r="N7092" s="283" t="e">
        <f>+(Tabla4[[#This Row],[Precio Descontado]]-Tabla4[[#This Row],[Precio Base]])*Tabla4[[#This Row],[Cantidad]]</f>
        <v>#N/A</v>
      </c>
      <c r="O7092" s="284" t="e">
        <f>++Tabla4[[#This Row],[Utilidad Total]]/Tabla4[[#This Row],[Total]]</f>
        <v>#N/A</v>
      </c>
      <c r="P7092" s="282">
        <f>++Tabla4[[#This Row],[Precio Descontado]]*Tabla4[[#This Row],[Cantidad]]</f>
        <v>1936.7704229999997</v>
      </c>
      <c r="Q7092" s="282" t="e">
        <f>(INDEX(Tabla6[#All],MATCH(Tabla4[[#This Row],[Producto]],Tabla6[[#All],[PRODUCTO]],0),MATCH(Tabla4[[#This Row],[Mes]],Tabla6[#Headers],0)))</f>
        <v>#N/A</v>
      </c>
      <c r="R7092" s="282" t="e">
        <f>++Tabla4[[#This Row],[Precio Unitario Neto]]-Tabla4[[#This Row],[20.85%]]-Tabla4[[#This Row],[Costo]]</f>
        <v>#N/A</v>
      </c>
      <c r="S7092" s="282" t="e">
        <f>++Tabla4[[#This Row],[U. Bruta Uni]]*Tabla4[[#This Row],[Cantidad]]</f>
        <v>#N/A</v>
      </c>
      <c r="T7092" s="369" t="str">
        <f>VLOOKUP(Tabla4[[#This Row],[Producto]],Tabla6[#All],14,FALSE)</f>
        <v>Termico Solar</v>
      </c>
      <c r="U7092" s="284" t="e">
        <f>(IF(Tabla4[[#This Row],[Familia]]="termico solar",Tabla4[[#This Row],[Utilidad Total]]*6%,Tabla4[[#This Row],[Utilidad Total]]*11.5%))/Tabla4[[#This Row],[Total]]</f>
        <v>#N/A</v>
      </c>
      <c r="V7092" s="282" t="e">
        <f>+Tabla4[[#This Row],[Comisión Calculada]]*Tabla4[[#This Row],[Total]]</f>
        <v>#N/A</v>
      </c>
    </row>
    <row r="7093" spans="1:22" hidden="1" x14ac:dyDescent="0.25">
      <c r="A7093" s="100">
        <v>45991</v>
      </c>
      <c r="B7093" t="str">
        <f t="shared" si="553"/>
        <v>November</v>
      </c>
      <c r="C7093" s="46" t="s">
        <v>280</v>
      </c>
      <c r="F7093" s="366" t="s">
        <v>3566</v>
      </c>
      <c r="G7093" s="46" t="s">
        <v>16</v>
      </c>
      <c r="H7093" s="46">
        <v>1</v>
      </c>
      <c r="I7093" s="51">
        <v>4103.8500000000004</v>
      </c>
      <c r="J7093" s="281">
        <f>++Tabla4[[#This Row],[Precio Bruto]]*1.16</f>
        <v>4760.4660000000003</v>
      </c>
      <c r="K7093" s="281">
        <f>+Tabla4[[#This Row],[Precio Unitario Neto]]*Tabla4[[#Headers],[20.85%]]</f>
        <v>992.55716100000006</v>
      </c>
      <c r="L7093" s="282">
        <f>++Tabla4[[#This Row],[Precio Unitario Neto]]-Tabla4[[#This Row],[20.85%]]</f>
        <v>3767.9088390000002</v>
      </c>
      <c r="M7093" s="282" t="e">
        <f>(INDEX(Tabla6[#All],MATCH(Tabla4[[#This Row],[Producto]],Tabla6[[#All],[PRODUCTO]],0),MATCH(Tabla4[[#This Row],[Mes]],Tabla6[#Headers],0)))*(1+Catalogos!$L$2)</f>
        <v>#N/A</v>
      </c>
      <c r="N7093" s="283" t="e">
        <f>+(Tabla4[[#This Row],[Precio Descontado]]-Tabla4[[#This Row],[Precio Base]])*Tabla4[[#This Row],[Cantidad]]</f>
        <v>#N/A</v>
      </c>
      <c r="O7093" s="284" t="e">
        <f>++Tabla4[[#This Row],[Utilidad Total]]/Tabla4[[#This Row],[Total]]</f>
        <v>#N/A</v>
      </c>
      <c r="P7093" s="282">
        <f>++Tabla4[[#This Row],[Precio Descontado]]*Tabla4[[#This Row],[Cantidad]]</f>
        <v>3767.9088390000002</v>
      </c>
      <c r="Q7093" s="282" t="e">
        <f>(INDEX(Tabla6[#All],MATCH(Tabla4[[#This Row],[Producto]],Tabla6[[#All],[PRODUCTO]],0),MATCH(Tabla4[[#This Row],[Mes]],Tabla6[#Headers],0)))</f>
        <v>#N/A</v>
      </c>
      <c r="R7093" s="282" t="e">
        <f>++Tabla4[[#This Row],[Precio Unitario Neto]]-Tabla4[[#This Row],[20.85%]]-Tabla4[[#This Row],[Costo]]</f>
        <v>#N/A</v>
      </c>
      <c r="S7093" s="282" t="e">
        <f>++Tabla4[[#This Row],[U. Bruta Uni]]*Tabla4[[#This Row],[Cantidad]]</f>
        <v>#N/A</v>
      </c>
      <c r="T7093" s="369" t="str">
        <f>VLOOKUP(Tabla4[[#This Row],[Producto]],Tabla6[#All],14,FALSE)</f>
        <v>Termico Solar</v>
      </c>
      <c r="U7093" s="284" t="e">
        <f>(IF(Tabla4[[#This Row],[Familia]]="termico solar",Tabla4[[#This Row],[Utilidad Total]]*6%,Tabla4[[#This Row],[Utilidad Total]]*11.5%))/Tabla4[[#This Row],[Total]]</f>
        <v>#N/A</v>
      </c>
      <c r="V7093" s="282" t="e">
        <f>+Tabla4[[#This Row],[Comisión Calculada]]*Tabla4[[#This Row],[Total]]</f>
        <v>#N/A</v>
      </c>
    </row>
    <row r="7094" spans="1:22" hidden="1" x14ac:dyDescent="0.25">
      <c r="A7094" s="100">
        <v>45991</v>
      </c>
      <c r="B7094" t="str">
        <f t="shared" si="553"/>
        <v>November</v>
      </c>
      <c r="C7094" s="46" t="s">
        <v>280</v>
      </c>
      <c r="F7094" s="366" t="s">
        <v>3566</v>
      </c>
      <c r="G7094" s="46" t="s">
        <v>208</v>
      </c>
      <c r="H7094" s="46">
        <v>5</v>
      </c>
      <c r="I7094" s="51">
        <v>189.75</v>
      </c>
      <c r="J7094" s="281">
        <f>++Tabla4[[#This Row],[Precio Bruto]]*1.16</f>
        <v>220.10999999999999</v>
      </c>
      <c r="K7094" s="281">
        <f>+Tabla4[[#This Row],[Precio Unitario Neto]]*Tabla4[[#Headers],[20.85%]]</f>
        <v>45.892934999999994</v>
      </c>
      <c r="L7094" s="282">
        <f>++Tabla4[[#This Row],[Precio Unitario Neto]]-Tabla4[[#This Row],[20.85%]]</f>
        <v>174.21706499999999</v>
      </c>
      <c r="M7094" s="282" t="e">
        <f>(INDEX(Tabla6[#All],MATCH(Tabla4[[#This Row],[Producto]],Tabla6[[#All],[PRODUCTO]],0),MATCH(Tabla4[[#This Row],[Mes]],Tabla6[#Headers],0)))*(1+Catalogos!$L$2)</f>
        <v>#N/A</v>
      </c>
      <c r="N7094" s="283" t="e">
        <f>+(Tabla4[[#This Row],[Precio Descontado]]-Tabla4[[#This Row],[Precio Base]])*Tabla4[[#This Row],[Cantidad]]</f>
        <v>#N/A</v>
      </c>
      <c r="O7094" s="284" t="e">
        <f>++Tabla4[[#This Row],[Utilidad Total]]/Tabla4[[#This Row],[Total]]</f>
        <v>#N/A</v>
      </c>
      <c r="P7094" s="282">
        <f>++Tabla4[[#This Row],[Precio Descontado]]*Tabla4[[#This Row],[Cantidad]]</f>
        <v>871.08532500000001</v>
      </c>
      <c r="Q7094" s="282" t="e">
        <f>(INDEX(Tabla6[#All],MATCH(Tabla4[[#This Row],[Producto]],Tabla6[[#All],[PRODUCTO]],0),MATCH(Tabla4[[#This Row],[Mes]],Tabla6[#Headers],0)))</f>
        <v>#N/A</v>
      </c>
      <c r="R7094" s="282" t="e">
        <f>++Tabla4[[#This Row],[Precio Unitario Neto]]-Tabla4[[#This Row],[20.85%]]-Tabla4[[#This Row],[Costo]]</f>
        <v>#N/A</v>
      </c>
      <c r="S7094" s="282" t="e">
        <f>++Tabla4[[#This Row],[U. Bruta Uni]]*Tabla4[[#This Row],[Cantidad]]</f>
        <v>#N/A</v>
      </c>
      <c r="T7094" s="369" t="str">
        <f>VLOOKUP(Tabla4[[#This Row],[Producto]],Tabla6[#All],14,FALSE)</f>
        <v>Termico Solar</v>
      </c>
      <c r="U7094" s="284" t="e">
        <f>(IF(Tabla4[[#This Row],[Familia]]="termico solar",Tabla4[[#This Row],[Utilidad Total]]*6%,Tabla4[[#This Row],[Utilidad Total]]*11.5%))/Tabla4[[#This Row],[Total]]</f>
        <v>#N/A</v>
      </c>
      <c r="V7094" s="282" t="e">
        <f>+Tabla4[[#This Row],[Comisión Calculada]]*Tabla4[[#This Row],[Total]]</f>
        <v>#N/A</v>
      </c>
    </row>
    <row r="7095" spans="1:22" hidden="1" x14ac:dyDescent="0.25">
      <c r="A7095" s="100">
        <v>45991</v>
      </c>
      <c r="B7095" t="str">
        <f t="shared" ref="B7095:B7096" si="554">TEXT(A7095, "mmmm")</f>
        <v>November</v>
      </c>
      <c r="C7095" s="46" t="s">
        <v>280</v>
      </c>
      <c r="F7095" s="366" t="s">
        <v>3567</v>
      </c>
      <c r="G7095" s="46" t="s">
        <v>17</v>
      </c>
      <c r="H7095" s="46">
        <v>1</v>
      </c>
      <c r="I7095" s="51">
        <v>4622.28</v>
      </c>
      <c r="J7095" s="281">
        <f>++Tabla4[[#This Row],[Precio Bruto]]*1.16</f>
        <v>5361.8447999999989</v>
      </c>
      <c r="K7095" s="281">
        <f>+Tabla4[[#This Row],[Precio Unitario Neto]]*Tabla4[[#Headers],[20.85%]]</f>
        <v>1117.9446407999997</v>
      </c>
      <c r="L7095" s="282">
        <f>++Tabla4[[#This Row],[Precio Unitario Neto]]-Tabla4[[#This Row],[20.85%]]</f>
        <v>4243.9001591999995</v>
      </c>
      <c r="M7095" s="282" t="e">
        <f>(INDEX(Tabla6[#All],MATCH(Tabla4[[#This Row],[Producto]],Tabla6[[#All],[PRODUCTO]],0),MATCH(Tabla4[[#This Row],[Mes]],Tabla6[#Headers],0)))*(1+Catalogos!$L$2)</f>
        <v>#N/A</v>
      </c>
      <c r="N7095" s="283" t="e">
        <f>+(Tabla4[[#This Row],[Precio Descontado]]-Tabla4[[#This Row],[Precio Base]])*Tabla4[[#This Row],[Cantidad]]</f>
        <v>#N/A</v>
      </c>
      <c r="O7095" s="284" t="e">
        <f>++Tabla4[[#This Row],[Utilidad Total]]/Tabla4[[#This Row],[Total]]</f>
        <v>#N/A</v>
      </c>
      <c r="P7095" s="282">
        <f>++Tabla4[[#This Row],[Precio Descontado]]*Tabla4[[#This Row],[Cantidad]]</f>
        <v>4243.9001591999995</v>
      </c>
      <c r="Q7095" s="282" t="e">
        <f>(INDEX(Tabla6[#All],MATCH(Tabla4[[#This Row],[Producto]],Tabla6[[#All],[PRODUCTO]],0),MATCH(Tabla4[[#This Row],[Mes]],Tabla6[#Headers],0)))</f>
        <v>#N/A</v>
      </c>
      <c r="R7095" s="282" t="e">
        <f>++Tabla4[[#This Row],[Precio Unitario Neto]]-Tabla4[[#This Row],[20.85%]]-Tabla4[[#This Row],[Costo]]</f>
        <v>#N/A</v>
      </c>
      <c r="S7095" s="282" t="e">
        <f>++Tabla4[[#This Row],[U. Bruta Uni]]*Tabla4[[#This Row],[Cantidad]]</f>
        <v>#N/A</v>
      </c>
      <c r="T7095" s="369" t="str">
        <f>VLOOKUP(Tabla4[[#This Row],[Producto]],Tabla6[#All],14,FALSE)</f>
        <v>Termico Solar</v>
      </c>
      <c r="U7095" s="284" t="e">
        <f>(IF(Tabla4[[#This Row],[Familia]]="termico solar",Tabla4[[#This Row],[Utilidad Total]]*6%,Tabla4[[#This Row],[Utilidad Total]]*11.5%))/Tabla4[[#This Row],[Total]]</f>
        <v>#N/A</v>
      </c>
      <c r="V7095" s="282" t="e">
        <f>+Tabla4[[#This Row],[Comisión Calculada]]*Tabla4[[#This Row],[Total]]</f>
        <v>#N/A</v>
      </c>
    </row>
    <row r="7096" spans="1:22" hidden="1" x14ac:dyDescent="0.25">
      <c r="A7096" s="100">
        <v>45991</v>
      </c>
      <c r="B7096" t="str">
        <f t="shared" si="554"/>
        <v>November</v>
      </c>
      <c r="C7096" s="46" t="s">
        <v>280</v>
      </c>
      <c r="F7096" s="366" t="s">
        <v>3567</v>
      </c>
      <c r="G7096" s="46" t="s">
        <v>208</v>
      </c>
      <c r="H7096" s="46">
        <v>15</v>
      </c>
      <c r="I7096" s="51">
        <v>189.75</v>
      </c>
      <c r="J7096" s="281">
        <f>++Tabla4[[#This Row],[Precio Bruto]]*1.16</f>
        <v>220.10999999999999</v>
      </c>
      <c r="K7096" s="281">
        <f>+Tabla4[[#This Row],[Precio Unitario Neto]]*Tabla4[[#Headers],[20.85%]]</f>
        <v>45.892934999999994</v>
      </c>
      <c r="L7096" s="282">
        <f>++Tabla4[[#This Row],[Precio Unitario Neto]]-Tabla4[[#This Row],[20.85%]]</f>
        <v>174.21706499999999</v>
      </c>
      <c r="M7096" s="282" t="e">
        <f>(INDEX(Tabla6[#All],MATCH(Tabla4[[#This Row],[Producto]],Tabla6[[#All],[PRODUCTO]],0),MATCH(Tabla4[[#This Row],[Mes]],Tabla6[#Headers],0)))*(1+Catalogos!$L$2)</f>
        <v>#N/A</v>
      </c>
      <c r="N7096" s="283" t="e">
        <f>+(Tabla4[[#This Row],[Precio Descontado]]-Tabla4[[#This Row],[Precio Base]])*Tabla4[[#This Row],[Cantidad]]</f>
        <v>#N/A</v>
      </c>
      <c r="O7096" s="284" t="e">
        <f>++Tabla4[[#This Row],[Utilidad Total]]/Tabla4[[#This Row],[Total]]</f>
        <v>#N/A</v>
      </c>
      <c r="P7096" s="282">
        <f>++Tabla4[[#This Row],[Precio Descontado]]*Tabla4[[#This Row],[Cantidad]]</f>
        <v>2613.255975</v>
      </c>
      <c r="Q7096" s="282" t="e">
        <f>(INDEX(Tabla6[#All],MATCH(Tabla4[[#This Row],[Producto]],Tabla6[[#All],[PRODUCTO]],0),MATCH(Tabla4[[#This Row],[Mes]],Tabla6[#Headers],0)))</f>
        <v>#N/A</v>
      </c>
      <c r="R7096" s="282" t="e">
        <f>++Tabla4[[#This Row],[Precio Unitario Neto]]-Tabla4[[#This Row],[20.85%]]-Tabla4[[#This Row],[Costo]]</f>
        <v>#N/A</v>
      </c>
      <c r="S7096" s="282" t="e">
        <f>++Tabla4[[#This Row],[U. Bruta Uni]]*Tabla4[[#This Row],[Cantidad]]</f>
        <v>#N/A</v>
      </c>
      <c r="T7096" s="369" t="str">
        <f>VLOOKUP(Tabla4[[#This Row],[Producto]],Tabla6[#All],14,FALSE)</f>
        <v>Termico Solar</v>
      </c>
      <c r="U7096" s="284" t="e">
        <f>(IF(Tabla4[[#This Row],[Familia]]="termico solar",Tabla4[[#This Row],[Utilidad Total]]*6%,Tabla4[[#This Row],[Utilidad Total]]*11.5%))/Tabla4[[#This Row],[Total]]</f>
        <v>#N/A</v>
      </c>
      <c r="V7096" s="282" t="e">
        <f>+Tabla4[[#This Row],[Comisión Calculada]]*Tabla4[[#This Row],[Total]]</f>
        <v>#N/A</v>
      </c>
    </row>
    <row r="7097" spans="1:22" hidden="1" x14ac:dyDescent="0.25">
      <c r="A7097" s="100">
        <v>45991</v>
      </c>
      <c r="B7097" t="str">
        <f t="shared" ref="B7097:B7098" si="555">TEXT(A7097, "mmmm")</f>
        <v>November</v>
      </c>
      <c r="C7097" s="46" t="s">
        <v>280</v>
      </c>
      <c r="F7097" s="366" t="s">
        <v>3568</v>
      </c>
      <c r="G7097" s="46" t="s">
        <v>17</v>
      </c>
      <c r="H7097" s="46">
        <v>2</v>
      </c>
      <c r="I7097" s="51">
        <v>4622.28</v>
      </c>
      <c r="J7097" s="281">
        <f>++Tabla4[[#This Row],[Precio Bruto]]*1.16</f>
        <v>5361.8447999999989</v>
      </c>
      <c r="K7097" s="281">
        <f>+Tabla4[[#This Row],[Precio Unitario Neto]]*Tabla4[[#Headers],[20.85%]]</f>
        <v>1117.9446407999997</v>
      </c>
      <c r="L7097" s="282">
        <f>++Tabla4[[#This Row],[Precio Unitario Neto]]-Tabla4[[#This Row],[20.85%]]</f>
        <v>4243.9001591999995</v>
      </c>
      <c r="M7097" s="282" t="e">
        <f>(INDEX(Tabla6[#All],MATCH(Tabla4[[#This Row],[Producto]],Tabla6[[#All],[PRODUCTO]],0),MATCH(Tabla4[[#This Row],[Mes]],Tabla6[#Headers],0)))*(1+Catalogos!$L$2)</f>
        <v>#N/A</v>
      </c>
      <c r="N7097" s="283" t="e">
        <f>+(Tabla4[[#This Row],[Precio Descontado]]-Tabla4[[#This Row],[Precio Base]])*Tabla4[[#This Row],[Cantidad]]</f>
        <v>#N/A</v>
      </c>
      <c r="O7097" s="284" t="e">
        <f>++Tabla4[[#This Row],[Utilidad Total]]/Tabla4[[#This Row],[Total]]</f>
        <v>#N/A</v>
      </c>
      <c r="P7097" s="282">
        <f>++Tabla4[[#This Row],[Precio Descontado]]*Tabla4[[#This Row],[Cantidad]]</f>
        <v>8487.800318399999</v>
      </c>
      <c r="Q7097" s="282" t="e">
        <f>(INDEX(Tabla6[#All],MATCH(Tabla4[[#This Row],[Producto]],Tabla6[[#All],[PRODUCTO]],0),MATCH(Tabla4[[#This Row],[Mes]],Tabla6[#Headers],0)))</f>
        <v>#N/A</v>
      </c>
      <c r="R7097" s="282" t="e">
        <f>++Tabla4[[#This Row],[Precio Unitario Neto]]-Tabla4[[#This Row],[20.85%]]-Tabla4[[#This Row],[Costo]]</f>
        <v>#N/A</v>
      </c>
      <c r="S7097" s="282" t="e">
        <f>++Tabla4[[#This Row],[U. Bruta Uni]]*Tabla4[[#This Row],[Cantidad]]</f>
        <v>#N/A</v>
      </c>
      <c r="T7097" s="369" t="str">
        <f>VLOOKUP(Tabla4[[#This Row],[Producto]],Tabla6[#All],14,FALSE)</f>
        <v>Termico Solar</v>
      </c>
      <c r="U7097" s="284" t="e">
        <f>(IF(Tabla4[[#This Row],[Familia]]="termico solar",Tabla4[[#This Row],[Utilidad Total]]*6%,Tabla4[[#This Row],[Utilidad Total]]*11.5%))/Tabla4[[#This Row],[Total]]</f>
        <v>#N/A</v>
      </c>
      <c r="V7097" s="282" t="e">
        <f>+Tabla4[[#This Row],[Comisión Calculada]]*Tabla4[[#This Row],[Total]]</f>
        <v>#N/A</v>
      </c>
    </row>
    <row r="7098" spans="1:22" hidden="1" x14ac:dyDescent="0.25">
      <c r="A7098" s="100">
        <v>45991</v>
      </c>
      <c r="B7098" t="str">
        <f t="shared" si="555"/>
        <v>November</v>
      </c>
      <c r="C7098" s="46" t="s">
        <v>280</v>
      </c>
      <c r="F7098" s="366" t="s">
        <v>3568</v>
      </c>
      <c r="G7098" s="46" t="s">
        <v>208</v>
      </c>
      <c r="H7098" s="46">
        <v>1</v>
      </c>
      <c r="I7098" s="51">
        <v>189.75</v>
      </c>
      <c r="J7098" s="281">
        <f>++Tabla4[[#This Row],[Precio Bruto]]*1.16</f>
        <v>220.10999999999999</v>
      </c>
      <c r="K7098" s="281">
        <f>+Tabla4[[#This Row],[Precio Unitario Neto]]*Tabla4[[#Headers],[20.85%]]</f>
        <v>45.892934999999994</v>
      </c>
      <c r="L7098" s="282">
        <f>++Tabla4[[#This Row],[Precio Unitario Neto]]-Tabla4[[#This Row],[20.85%]]</f>
        <v>174.21706499999999</v>
      </c>
      <c r="M7098" s="282" t="e">
        <f>(INDEX(Tabla6[#All],MATCH(Tabla4[[#This Row],[Producto]],Tabla6[[#All],[PRODUCTO]],0),MATCH(Tabla4[[#This Row],[Mes]],Tabla6[#Headers],0)))*(1+Catalogos!$L$2)</f>
        <v>#N/A</v>
      </c>
      <c r="N7098" s="283" t="e">
        <f>+(Tabla4[[#This Row],[Precio Descontado]]-Tabla4[[#This Row],[Precio Base]])*Tabla4[[#This Row],[Cantidad]]</f>
        <v>#N/A</v>
      </c>
      <c r="O7098" s="284" t="e">
        <f>++Tabla4[[#This Row],[Utilidad Total]]/Tabla4[[#This Row],[Total]]</f>
        <v>#N/A</v>
      </c>
      <c r="P7098" s="282">
        <f>++Tabla4[[#This Row],[Precio Descontado]]*Tabla4[[#This Row],[Cantidad]]</f>
        <v>174.21706499999999</v>
      </c>
      <c r="Q7098" s="282" t="e">
        <f>(INDEX(Tabla6[#All],MATCH(Tabla4[[#This Row],[Producto]],Tabla6[[#All],[PRODUCTO]],0),MATCH(Tabla4[[#This Row],[Mes]],Tabla6[#Headers],0)))</f>
        <v>#N/A</v>
      </c>
      <c r="R7098" s="282" t="e">
        <f>++Tabla4[[#This Row],[Precio Unitario Neto]]-Tabla4[[#This Row],[20.85%]]-Tabla4[[#This Row],[Costo]]</f>
        <v>#N/A</v>
      </c>
      <c r="S7098" s="282" t="e">
        <f>++Tabla4[[#This Row],[U. Bruta Uni]]*Tabla4[[#This Row],[Cantidad]]</f>
        <v>#N/A</v>
      </c>
      <c r="T7098" s="369" t="str">
        <f>VLOOKUP(Tabla4[[#This Row],[Producto]],Tabla6[#All],14,FALSE)</f>
        <v>Termico Solar</v>
      </c>
      <c r="U7098" s="284" t="e">
        <f>(IF(Tabla4[[#This Row],[Familia]]="termico solar",Tabla4[[#This Row],[Utilidad Total]]*6%,Tabla4[[#This Row],[Utilidad Total]]*11.5%))/Tabla4[[#This Row],[Total]]</f>
        <v>#N/A</v>
      </c>
      <c r="V7098" s="282" t="e">
        <f>+Tabla4[[#This Row],[Comisión Calculada]]*Tabla4[[#This Row],[Total]]</f>
        <v>#N/A</v>
      </c>
    </row>
    <row r="7099" spans="1:22" hidden="1" x14ac:dyDescent="0.25">
      <c r="A7099" s="100">
        <v>45991</v>
      </c>
      <c r="B7099" t="str">
        <f t="shared" ref="B7099:B7100" si="556">TEXT(A7099, "mmmm")</f>
        <v>November</v>
      </c>
      <c r="C7099" s="46" t="s">
        <v>280</v>
      </c>
      <c r="F7099" s="366" t="s">
        <v>3569</v>
      </c>
      <c r="G7099" s="46" t="s">
        <v>17</v>
      </c>
      <c r="H7099" s="46">
        <v>1</v>
      </c>
      <c r="I7099" s="51">
        <v>4622.28</v>
      </c>
      <c r="J7099" s="281">
        <f>++Tabla4[[#This Row],[Precio Bruto]]*1.16</f>
        <v>5361.8447999999989</v>
      </c>
      <c r="K7099" s="281">
        <f>+Tabla4[[#This Row],[Precio Unitario Neto]]*Tabla4[[#Headers],[20.85%]]</f>
        <v>1117.9446407999997</v>
      </c>
      <c r="L7099" s="282">
        <f>++Tabla4[[#This Row],[Precio Unitario Neto]]-Tabla4[[#This Row],[20.85%]]</f>
        <v>4243.9001591999995</v>
      </c>
      <c r="M7099" s="282" t="e">
        <f>(INDEX(Tabla6[#All],MATCH(Tabla4[[#This Row],[Producto]],Tabla6[[#All],[PRODUCTO]],0),MATCH(Tabla4[[#This Row],[Mes]],Tabla6[#Headers],0)))*(1+Catalogos!$L$2)</f>
        <v>#N/A</v>
      </c>
      <c r="N7099" s="283" t="e">
        <f>+(Tabla4[[#This Row],[Precio Descontado]]-Tabla4[[#This Row],[Precio Base]])*Tabla4[[#This Row],[Cantidad]]</f>
        <v>#N/A</v>
      </c>
      <c r="O7099" s="284" t="e">
        <f>++Tabla4[[#This Row],[Utilidad Total]]/Tabla4[[#This Row],[Total]]</f>
        <v>#N/A</v>
      </c>
      <c r="P7099" s="282">
        <f>++Tabla4[[#This Row],[Precio Descontado]]*Tabla4[[#This Row],[Cantidad]]</f>
        <v>4243.9001591999995</v>
      </c>
      <c r="Q7099" s="282" t="e">
        <f>(INDEX(Tabla6[#All],MATCH(Tabla4[[#This Row],[Producto]],Tabla6[[#All],[PRODUCTO]],0),MATCH(Tabla4[[#This Row],[Mes]],Tabla6[#Headers],0)))</f>
        <v>#N/A</v>
      </c>
      <c r="R7099" s="282" t="e">
        <f>++Tabla4[[#This Row],[Precio Unitario Neto]]-Tabla4[[#This Row],[20.85%]]-Tabla4[[#This Row],[Costo]]</f>
        <v>#N/A</v>
      </c>
      <c r="S7099" s="282" t="e">
        <f>++Tabla4[[#This Row],[U. Bruta Uni]]*Tabla4[[#This Row],[Cantidad]]</f>
        <v>#N/A</v>
      </c>
      <c r="T7099" s="369" t="str">
        <f>VLOOKUP(Tabla4[[#This Row],[Producto]],Tabla6[#All],14,FALSE)</f>
        <v>Termico Solar</v>
      </c>
      <c r="U7099" s="284" t="e">
        <f>(IF(Tabla4[[#This Row],[Familia]]="termico solar",Tabla4[[#This Row],[Utilidad Total]]*6%,Tabla4[[#This Row],[Utilidad Total]]*11.5%))/Tabla4[[#This Row],[Total]]</f>
        <v>#N/A</v>
      </c>
      <c r="V7099" s="282" t="e">
        <f>+Tabla4[[#This Row],[Comisión Calculada]]*Tabla4[[#This Row],[Total]]</f>
        <v>#N/A</v>
      </c>
    </row>
    <row r="7100" spans="1:22" hidden="1" x14ac:dyDescent="0.25">
      <c r="A7100" s="100">
        <v>45991</v>
      </c>
      <c r="B7100" t="str">
        <f t="shared" si="556"/>
        <v>November</v>
      </c>
      <c r="C7100" s="46" t="s">
        <v>280</v>
      </c>
      <c r="F7100" s="366" t="s">
        <v>3569</v>
      </c>
      <c r="G7100" s="46" t="s">
        <v>19</v>
      </c>
      <c r="H7100" s="46">
        <v>1</v>
      </c>
      <c r="I7100" s="51">
        <v>6412.03</v>
      </c>
      <c r="J7100" s="281">
        <f>++Tabla4[[#This Row],[Precio Bruto]]*1.16</f>
        <v>7437.9547999999995</v>
      </c>
      <c r="K7100" s="281">
        <f>+Tabla4[[#This Row],[Precio Unitario Neto]]*Tabla4[[#Headers],[20.85%]]</f>
        <v>1550.8135757999999</v>
      </c>
      <c r="L7100" s="282">
        <f>++Tabla4[[#This Row],[Precio Unitario Neto]]-Tabla4[[#This Row],[20.85%]]</f>
        <v>5887.1412241999997</v>
      </c>
      <c r="M7100" s="282" t="e">
        <f>(INDEX(Tabla6[#All],MATCH(Tabla4[[#This Row],[Producto]],Tabla6[[#All],[PRODUCTO]],0),MATCH(Tabla4[[#This Row],[Mes]],Tabla6[#Headers],0)))*(1+Catalogos!$L$2)</f>
        <v>#N/A</v>
      </c>
      <c r="N7100" s="283" t="e">
        <f>+(Tabla4[[#This Row],[Precio Descontado]]-Tabla4[[#This Row],[Precio Base]])*Tabla4[[#This Row],[Cantidad]]</f>
        <v>#N/A</v>
      </c>
      <c r="O7100" s="284" t="e">
        <f>++Tabla4[[#This Row],[Utilidad Total]]/Tabla4[[#This Row],[Total]]</f>
        <v>#N/A</v>
      </c>
      <c r="P7100" s="282">
        <f>++Tabla4[[#This Row],[Precio Descontado]]*Tabla4[[#This Row],[Cantidad]]</f>
        <v>5887.1412241999997</v>
      </c>
      <c r="Q7100" s="282" t="e">
        <f>(INDEX(Tabla6[#All],MATCH(Tabla4[[#This Row],[Producto]],Tabla6[[#All],[PRODUCTO]],0),MATCH(Tabla4[[#This Row],[Mes]],Tabla6[#Headers],0)))</f>
        <v>#N/A</v>
      </c>
      <c r="R7100" s="282" t="e">
        <f>++Tabla4[[#This Row],[Precio Unitario Neto]]-Tabla4[[#This Row],[20.85%]]-Tabla4[[#This Row],[Costo]]</f>
        <v>#N/A</v>
      </c>
      <c r="S7100" s="282" t="e">
        <f>++Tabla4[[#This Row],[U. Bruta Uni]]*Tabla4[[#This Row],[Cantidad]]</f>
        <v>#N/A</v>
      </c>
      <c r="T7100" s="369" t="str">
        <f>VLOOKUP(Tabla4[[#This Row],[Producto]],Tabla6[#All],14,FALSE)</f>
        <v>Termico Solar</v>
      </c>
      <c r="U7100" s="284" t="e">
        <f>(IF(Tabla4[[#This Row],[Familia]]="termico solar",Tabla4[[#This Row],[Utilidad Total]]*6%,Tabla4[[#This Row],[Utilidad Total]]*11.5%))/Tabla4[[#This Row],[Total]]</f>
        <v>#N/A</v>
      </c>
      <c r="V7100" s="282" t="e">
        <f>+Tabla4[[#This Row],[Comisión Calculada]]*Tabla4[[#This Row],[Total]]</f>
        <v>#N/A</v>
      </c>
    </row>
    <row r="7101" spans="1:22" hidden="1" x14ac:dyDescent="0.25">
      <c r="A7101" s="100">
        <v>45991</v>
      </c>
      <c r="B7101" t="str">
        <f t="shared" ref="B7101:B7102" si="557">TEXT(A7101, "mmmm")</f>
        <v>November</v>
      </c>
      <c r="C7101" s="46" t="s">
        <v>280</v>
      </c>
      <c r="F7101" s="366" t="s">
        <v>3570</v>
      </c>
      <c r="G7101" s="46" t="s">
        <v>18</v>
      </c>
      <c r="H7101" s="46">
        <v>2</v>
      </c>
      <c r="I7101" s="51">
        <v>5367.65</v>
      </c>
      <c r="J7101" s="281">
        <f>++Tabla4[[#This Row],[Precio Bruto]]*1.16</f>
        <v>6226.4739999999993</v>
      </c>
      <c r="K7101" s="281">
        <f>+Tabla4[[#This Row],[Precio Unitario Neto]]*Tabla4[[#Headers],[20.85%]]</f>
        <v>1298.2198289999999</v>
      </c>
      <c r="L7101" s="282">
        <f>++Tabla4[[#This Row],[Precio Unitario Neto]]-Tabla4[[#This Row],[20.85%]]</f>
        <v>4928.2541709999996</v>
      </c>
      <c r="M7101" s="282" t="e">
        <f>(INDEX(Tabla6[#All],MATCH(Tabla4[[#This Row],[Producto]],Tabla6[[#All],[PRODUCTO]],0),MATCH(Tabla4[[#This Row],[Mes]],Tabla6[#Headers],0)))*(1+Catalogos!$L$2)</f>
        <v>#N/A</v>
      </c>
      <c r="N7101" s="283" t="e">
        <f>+(Tabla4[[#This Row],[Precio Descontado]]-Tabla4[[#This Row],[Precio Base]])*Tabla4[[#This Row],[Cantidad]]</f>
        <v>#N/A</v>
      </c>
      <c r="O7101" s="284" t="e">
        <f>++Tabla4[[#This Row],[Utilidad Total]]/Tabla4[[#This Row],[Total]]</f>
        <v>#N/A</v>
      </c>
      <c r="P7101" s="282">
        <f>++Tabla4[[#This Row],[Precio Descontado]]*Tabla4[[#This Row],[Cantidad]]</f>
        <v>9856.5083419999992</v>
      </c>
      <c r="Q7101" s="282" t="e">
        <f>(INDEX(Tabla6[#All],MATCH(Tabla4[[#This Row],[Producto]],Tabla6[[#All],[PRODUCTO]],0),MATCH(Tabla4[[#This Row],[Mes]],Tabla6[#Headers],0)))</f>
        <v>#N/A</v>
      </c>
      <c r="R7101" s="282" t="e">
        <f>++Tabla4[[#This Row],[Precio Unitario Neto]]-Tabla4[[#This Row],[20.85%]]-Tabla4[[#This Row],[Costo]]</f>
        <v>#N/A</v>
      </c>
      <c r="S7101" s="282" t="e">
        <f>++Tabla4[[#This Row],[U. Bruta Uni]]*Tabla4[[#This Row],[Cantidad]]</f>
        <v>#N/A</v>
      </c>
      <c r="T7101" s="369" t="str">
        <f>VLOOKUP(Tabla4[[#This Row],[Producto]],Tabla6[#All],14,FALSE)</f>
        <v>Termico Solar</v>
      </c>
      <c r="U7101" s="284" t="e">
        <f>(IF(Tabla4[[#This Row],[Familia]]="termico solar",Tabla4[[#This Row],[Utilidad Total]]*6%,Tabla4[[#This Row],[Utilidad Total]]*11.5%))/Tabla4[[#This Row],[Total]]</f>
        <v>#N/A</v>
      </c>
      <c r="V7101" s="282" t="e">
        <f>+Tabla4[[#This Row],[Comisión Calculada]]*Tabla4[[#This Row],[Total]]</f>
        <v>#N/A</v>
      </c>
    </row>
    <row r="7102" spans="1:22" hidden="1" x14ac:dyDescent="0.25">
      <c r="A7102" s="100">
        <v>45991</v>
      </c>
      <c r="B7102" t="str">
        <f t="shared" si="557"/>
        <v>November</v>
      </c>
      <c r="C7102" s="46" t="s">
        <v>280</v>
      </c>
      <c r="F7102" s="366" t="s">
        <v>3570</v>
      </c>
      <c r="G7102" s="46" t="s">
        <v>394</v>
      </c>
      <c r="H7102" s="46">
        <v>16</v>
      </c>
      <c r="I7102" s="51">
        <v>224.29</v>
      </c>
      <c r="J7102" s="281">
        <f>++Tabla4[[#This Row],[Precio Bruto]]*1.16</f>
        <v>260.1764</v>
      </c>
      <c r="K7102" s="281">
        <f>+Tabla4[[#This Row],[Precio Unitario Neto]]*Tabla4[[#Headers],[20.85%]]</f>
        <v>54.246779400000001</v>
      </c>
      <c r="L7102" s="282">
        <f>++Tabla4[[#This Row],[Precio Unitario Neto]]-Tabla4[[#This Row],[20.85%]]</f>
        <v>205.92962059999999</v>
      </c>
      <c r="M7102" s="282" t="e">
        <f>(INDEX(Tabla6[#All],MATCH(Tabla4[[#This Row],[Producto]],Tabla6[[#All],[PRODUCTO]],0),MATCH(Tabla4[[#This Row],[Mes]],Tabla6[#Headers],0)))*(1+Catalogos!$L$2)</f>
        <v>#N/A</v>
      </c>
      <c r="N7102" s="283" t="e">
        <f>+(Tabla4[[#This Row],[Precio Descontado]]-Tabla4[[#This Row],[Precio Base]])*Tabla4[[#This Row],[Cantidad]]</f>
        <v>#N/A</v>
      </c>
      <c r="O7102" s="284" t="e">
        <f>++Tabla4[[#This Row],[Utilidad Total]]/Tabla4[[#This Row],[Total]]</f>
        <v>#N/A</v>
      </c>
      <c r="P7102" s="282">
        <f>++Tabla4[[#This Row],[Precio Descontado]]*Tabla4[[#This Row],[Cantidad]]</f>
        <v>3294.8739295999999</v>
      </c>
      <c r="Q7102" s="282" t="e">
        <f>(INDEX(Tabla6[#All],MATCH(Tabla4[[#This Row],[Producto]],Tabla6[[#All],[PRODUCTO]],0),MATCH(Tabla4[[#This Row],[Mes]],Tabla6[#Headers],0)))</f>
        <v>#N/A</v>
      </c>
      <c r="R7102" s="282" t="e">
        <f>++Tabla4[[#This Row],[Precio Unitario Neto]]-Tabla4[[#This Row],[20.85%]]-Tabla4[[#This Row],[Costo]]</f>
        <v>#N/A</v>
      </c>
      <c r="S7102" s="282" t="e">
        <f>++Tabla4[[#This Row],[U. Bruta Uni]]*Tabla4[[#This Row],[Cantidad]]</f>
        <v>#N/A</v>
      </c>
      <c r="T7102" s="369" t="str">
        <f>VLOOKUP(Tabla4[[#This Row],[Producto]],Tabla6[#All],14,FALSE)</f>
        <v>Termico Solar</v>
      </c>
      <c r="U7102" s="284" t="e">
        <f>(IF(Tabla4[[#This Row],[Familia]]="termico solar",Tabla4[[#This Row],[Utilidad Total]]*6%,Tabla4[[#This Row],[Utilidad Total]]*11.5%))/Tabla4[[#This Row],[Total]]</f>
        <v>#N/A</v>
      </c>
      <c r="V7102" s="282" t="e">
        <f>+Tabla4[[#This Row],[Comisión Calculada]]*Tabla4[[#This Row],[Total]]</f>
        <v>#N/A</v>
      </c>
    </row>
    <row r="7103" spans="1:22" hidden="1" x14ac:dyDescent="0.25">
      <c r="A7103" s="100">
        <v>45991</v>
      </c>
      <c r="B7103" t="str">
        <f t="shared" ref="B7103:B7105" si="558">TEXT(A7103, "mmmm")</f>
        <v>November</v>
      </c>
      <c r="C7103" s="46" t="s">
        <v>280</v>
      </c>
      <c r="F7103" s="366" t="s">
        <v>3571</v>
      </c>
      <c r="G7103" s="46" t="s">
        <v>19</v>
      </c>
      <c r="H7103" s="46">
        <v>1</v>
      </c>
      <c r="I7103" s="51">
        <v>6412.03</v>
      </c>
      <c r="J7103" s="281">
        <f>++Tabla4[[#This Row],[Precio Bruto]]*1.16</f>
        <v>7437.9547999999995</v>
      </c>
      <c r="K7103" s="281">
        <f>+Tabla4[[#This Row],[Precio Unitario Neto]]*Tabla4[[#Headers],[20.85%]]</f>
        <v>1550.8135757999999</v>
      </c>
      <c r="L7103" s="282">
        <f>++Tabla4[[#This Row],[Precio Unitario Neto]]-Tabla4[[#This Row],[20.85%]]</f>
        <v>5887.1412241999997</v>
      </c>
      <c r="M7103" s="282" t="e">
        <f>(INDEX(Tabla6[#All],MATCH(Tabla4[[#This Row],[Producto]],Tabla6[[#All],[PRODUCTO]],0),MATCH(Tabla4[[#This Row],[Mes]],Tabla6[#Headers],0)))*(1+Catalogos!$L$2)</f>
        <v>#N/A</v>
      </c>
      <c r="N7103" s="283" t="e">
        <f>+(Tabla4[[#This Row],[Precio Descontado]]-Tabla4[[#This Row],[Precio Base]])*Tabla4[[#This Row],[Cantidad]]</f>
        <v>#N/A</v>
      </c>
      <c r="O7103" s="284" t="e">
        <f>++Tabla4[[#This Row],[Utilidad Total]]/Tabla4[[#This Row],[Total]]</f>
        <v>#N/A</v>
      </c>
      <c r="P7103" s="282">
        <f>++Tabla4[[#This Row],[Precio Descontado]]*Tabla4[[#This Row],[Cantidad]]</f>
        <v>5887.1412241999997</v>
      </c>
      <c r="Q7103" s="282" t="e">
        <f>(INDEX(Tabla6[#All],MATCH(Tabla4[[#This Row],[Producto]],Tabla6[[#All],[PRODUCTO]],0),MATCH(Tabla4[[#This Row],[Mes]],Tabla6[#Headers],0)))</f>
        <v>#N/A</v>
      </c>
      <c r="R7103" s="282" t="e">
        <f>++Tabla4[[#This Row],[Precio Unitario Neto]]-Tabla4[[#This Row],[20.85%]]-Tabla4[[#This Row],[Costo]]</f>
        <v>#N/A</v>
      </c>
      <c r="S7103" s="282" t="e">
        <f>++Tabla4[[#This Row],[U. Bruta Uni]]*Tabla4[[#This Row],[Cantidad]]</f>
        <v>#N/A</v>
      </c>
      <c r="T7103" s="369" t="str">
        <f>VLOOKUP(Tabla4[[#This Row],[Producto]],Tabla6[#All],14,FALSE)</f>
        <v>Termico Solar</v>
      </c>
      <c r="U7103" s="284" t="e">
        <f>(IF(Tabla4[[#This Row],[Familia]]="termico solar",Tabla4[[#This Row],[Utilidad Total]]*6%,Tabla4[[#This Row],[Utilidad Total]]*11.5%))/Tabla4[[#This Row],[Total]]</f>
        <v>#N/A</v>
      </c>
      <c r="V7103" s="282" t="e">
        <f>+Tabla4[[#This Row],[Comisión Calculada]]*Tabla4[[#This Row],[Total]]</f>
        <v>#N/A</v>
      </c>
    </row>
    <row r="7104" spans="1:22" hidden="1" x14ac:dyDescent="0.25">
      <c r="A7104" s="100">
        <v>45991</v>
      </c>
      <c r="B7104" t="str">
        <f t="shared" si="558"/>
        <v>November</v>
      </c>
      <c r="C7104" s="46" t="s">
        <v>280</v>
      </c>
      <c r="F7104" s="366" t="s">
        <v>3571</v>
      </c>
      <c r="G7104" s="46" t="s">
        <v>16</v>
      </c>
      <c r="H7104" s="46">
        <v>1</v>
      </c>
      <c r="I7104" s="51">
        <v>4103.8500000000004</v>
      </c>
      <c r="J7104" s="281">
        <f>++Tabla4[[#This Row],[Precio Bruto]]*1.16</f>
        <v>4760.4660000000003</v>
      </c>
      <c r="K7104" s="281">
        <f>+Tabla4[[#This Row],[Precio Unitario Neto]]*Tabla4[[#Headers],[20.85%]]</f>
        <v>992.55716100000006</v>
      </c>
      <c r="L7104" s="282">
        <f>++Tabla4[[#This Row],[Precio Unitario Neto]]-Tabla4[[#This Row],[20.85%]]</f>
        <v>3767.9088390000002</v>
      </c>
      <c r="M7104" s="282" t="e">
        <f>(INDEX(Tabla6[#All],MATCH(Tabla4[[#This Row],[Producto]],Tabla6[[#All],[PRODUCTO]],0),MATCH(Tabla4[[#This Row],[Mes]],Tabla6[#Headers],0)))*(1+Catalogos!$L$2)</f>
        <v>#N/A</v>
      </c>
      <c r="N7104" s="283" t="e">
        <f>+(Tabla4[[#This Row],[Precio Descontado]]-Tabla4[[#This Row],[Precio Base]])*Tabla4[[#This Row],[Cantidad]]</f>
        <v>#N/A</v>
      </c>
      <c r="O7104" s="284" t="e">
        <f>++Tabla4[[#This Row],[Utilidad Total]]/Tabla4[[#This Row],[Total]]</f>
        <v>#N/A</v>
      </c>
      <c r="P7104" s="282">
        <f>++Tabla4[[#This Row],[Precio Descontado]]*Tabla4[[#This Row],[Cantidad]]</f>
        <v>3767.9088390000002</v>
      </c>
      <c r="Q7104" s="282" t="e">
        <f>(INDEX(Tabla6[#All],MATCH(Tabla4[[#This Row],[Producto]],Tabla6[[#All],[PRODUCTO]],0),MATCH(Tabla4[[#This Row],[Mes]],Tabla6[#Headers],0)))</f>
        <v>#N/A</v>
      </c>
      <c r="R7104" s="282" t="e">
        <f>++Tabla4[[#This Row],[Precio Unitario Neto]]-Tabla4[[#This Row],[20.85%]]-Tabla4[[#This Row],[Costo]]</f>
        <v>#N/A</v>
      </c>
      <c r="S7104" s="282" t="e">
        <f>++Tabla4[[#This Row],[U. Bruta Uni]]*Tabla4[[#This Row],[Cantidad]]</f>
        <v>#N/A</v>
      </c>
      <c r="T7104" s="369" t="str">
        <f>VLOOKUP(Tabla4[[#This Row],[Producto]],Tabla6[#All],14,FALSE)</f>
        <v>Termico Solar</v>
      </c>
      <c r="U7104" s="284" t="e">
        <f>(IF(Tabla4[[#This Row],[Familia]]="termico solar",Tabla4[[#This Row],[Utilidad Total]]*6%,Tabla4[[#This Row],[Utilidad Total]]*11.5%))/Tabla4[[#This Row],[Total]]</f>
        <v>#N/A</v>
      </c>
      <c r="V7104" s="282" t="e">
        <f>+Tabla4[[#This Row],[Comisión Calculada]]*Tabla4[[#This Row],[Total]]</f>
        <v>#N/A</v>
      </c>
    </row>
    <row r="7105" spans="1:22" hidden="1" x14ac:dyDescent="0.25">
      <c r="A7105" s="100">
        <v>45991</v>
      </c>
      <c r="B7105" t="str">
        <f t="shared" si="558"/>
        <v>November</v>
      </c>
      <c r="C7105" s="46" t="s">
        <v>280</v>
      </c>
      <c r="F7105" s="366" t="s">
        <v>3571</v>
      </c>
      <c r="G7105" s="46" t="s">
        <v>208</v>
      </c>
      <c r="H7105" s="46">
        <v>2</v>
      </c>
      <c r="I7105" s="51">
        <v>189.75</v>
      </c>
      <c r="J7105" s="281">
        <f>++Tabla4[[#This Row],[Precio Bruto]]*1.16</f>
        <v>220.10999999999999</v>
      </c>
      <c r="K7105" s="281">
        <f>+Tabla4[[#This Row],[Precio Unitario Neto]]*Tabla4[[#Headers],[20.85%]]</f>
        <v>45.892934999999994</v>
      </c>
      <c r="L7105" s="282">
        <f>++Tabla4[[#This Row],[Precio Unitario Neto]]-Tabla4[[#This Row],[20.85%]]</f>
        <v>174.21706499999999</v>
      </c>
      <c r="M7105" s="282" t="e">
        <f>(INDEX(Tabla6[#All],MATCH(Tabla4[[#This Row],[Producto]],Tabla6[[#All],[PRODUCTO]],0),MATCH(Tabla4[[#This Row],[Mes]],Tabla6[#Headers],0)))*(1+Catalogos!$L$2)</f>
        <v>#N/A</v>
      </c>
      <c r="N7105" s="283" t="e">
        <f>+(Tabla4[[#This Row],[Precio Descontado]]-Tabla4[[#This Row],[Precio Base]])*Tabla4[[#This Row],[Cantidad]]</f>
        <v>#N/A</v>
      </c>
      <c r="O7105" s="284" t="e">
        <f>++Tabla4[[#This Row],[Utilidad Total]]/Tabla4[[#This Row],[Total]]</f>
        <v>#N/A</v>
      </c>
      <c r="P7105" s="282">
        <f>++Tabla4[[#This Row],[Precio Descontado]]*Tabla4[[#This Row],[Cantidad]]</f>
        <v>348.43412999999998</v>
      </c>
      <c r="Q7105" s="282" t="e">
        <f>(INDEX(Tabla6[#All],MATCH(Tabla4[[#This Row],[Producto]],Tabla6[[#All],[PRODUCTO]],0),MATCH(Tabla4[[#This Row],[Mes]],Tabla6[#Headers],0)))</f>
        <v>#N/A</v>
      </c>
      <c r="R7105" s="282" t="e">
        <f>++Tabla4[[#This Row],[Precio Unitario Neto]]-Tabla4[[#This Row],[20.85%]]-Tabla4[[#This Row],[Costo]]</f>
        <v>#N/A</v>
      </c>
      <c r="S7105" s="282" t="e">
        <f>++Tabla4[[#This Row],[U. Bruta Uni]]*Tabla4[[#This Row],[Cantidad]]</f>
        <v>#N/A</v>
      </c>
      <c r="T7105" s="369" t="str">
        <f>VLOOKUP(Tabla4[[#This Row],[Producto]],Tabla6[#All],14,FALSE)</f>
        <v>Termico Solar</v>
      </c>
      <c r="U7105" s="284" t="e">
        <f>(IF(Tabla4[[#This Row],[Familia]]="termico solar",Tabla4[[#This Row],[Utilidad Total]]*6%,Tabla4[[#This Row],[Utilidad Total]]*11.5%))/Tabla4[[#This Row],[Total]]</f>
        <v>#N/A</v>
      </c>
      <c r="V7105" s="282" t="e">
        <f>+Tabla4[[#This Row],[Comisión Calculada]]*Tabla4[[#This Row],[Total]]</f>
        <v>#N/A</v>
      </c>
    </row>
    <row r="7106" spans="1:22" hidden="1" x14ac:dyDescent="0.25">
      <c r="A7106" s="100">
        <v>45991</v>
      </c>
      <c r="B7106" t="str">
        <f>TEXT(A7106, "mmmm")</f>
        <v>November</v>
      </c>
      <c r="C7106" s="46" t="s">
        <v>280</v>
      </c>
      <c r="F7106" s="366" t="s">
        <v>3572</v>
      </c>
      <c r="G7106" s="46" t="s">
        <v>17</v>
      </c>
      <c r="H7106" s="46">
        <v>1</v>
      </c>
      <c r="I7106" s="51">
        <v>4622.28</v>
      </c>
      <c r="J7106" s="281">
        <f>++Tabla4[[#This Row],[Precio Bruto]]*1.16</f>
        <v>5361.8447999999989</v>
      </c>
      <c r="K7106" s="281">
        <f>+Tabla4[[#This Row],[Precio Unitario Neto]]*Tabla4[[#Headers],[20.85%]]</f>
        <v>1117.9446407999997</v>
      </c>
      <c r="L7106" s="282">
        <f>++Tabla4[[#This Row],[Precio Unitario Neto]]-Tabla4[[#This Row],[20.85%]]</f>
        <v>4243.9001591999995</v>
      </c>
      <c r="M7106" s="282" t="e">
        <f>(INDEX(Tabla6[#All],MATCH(Tabla4[[#This Row],[Producto]],Tabla6[[#All],[PRODUCTO]],0),MATCH(Tabla4[[#This Row],[Mes]],Tabla6[#Headers],0)))*(1+Catalogos!$L$2)</f>
        <v>#N/A</v>
      </c>
      <c r="N7106" s="283" t="e">
        <f>+(Tabla4[[#This Row],[Precio Descontado]]-Tabla4[[#This Row],[Precio Base]])*Tabla4[[#This Row],[Cantidad]]</f>
        <v>#N/A</v>
      </c>
      <c r="O7106" s="284" t="e">
        <f>++Tabla4[[#This Row],[Utilidad Total]]/Tabla4[[#This Row],[Total]]</f>
        <v>#N/A</v>
      </c>
      <c r="P7106" s="282">
        <f>++Tabla4[[#This Row],[Precio Descontado]]*Tabla4[[#This Row],[Cantidad]]</f>
        <v>4243.9001591999995</v>
      </c>
      <c r="Q7106" s="282" t="e">
        <f>(INDEX(Tabla6[#All],MATCH(Tabla4[[#This Row],[Producto]],Tabla6[[#All],[PRODUCTO]],0),MATCH(Tabla4[[#This Row],[Mes]],Tabla6[#Headers],0)))</f>
        <v>#N/A</v>
      </c>
      <c r="R7106" s="282" t="e">
        <f>++Tabla4[[#This Row],[Precio Unitario Neto]]-Tabla4[[#This Row],[20.85%]]-Tabla4[[#This Row],[Costo]]</f>
        <v>#N/A</v>
      </c>
      <c r="S7106" s="282" t="e">
        <f>++Tabla4[[#This Row],[U. Bruta Uni]]*Tabla4[[#This Row],[Cantidad]]</f>
        <v>#N/A</v>
      </c>
      <c r="T7106" s="369" t="str">
        <f>VLOOKUP(Tabla4[[#This Row],[Producto]],Tabla6[#All],14,FALSE)</f>
        <v>Termico Solar</v>
      </c>
      <c r="U7106" s="284" t="e">
        <f>(IF(Tabla4[[#This Row],[Familia]]="termico solar",Tabla4[[#This Row],[Utilidad Total]]*6%,Tabla4[[#This Row],[Utilidad Total]]*11.5%))/Tabla4[[#This Row],[Total]]</f>
        <v>#N/A</v>
      </c>
      <c r="V7106" s="282" t="e">
        <f>+Tabla4[[#This Row],[Comisión Calculada]]*Tabla4[[#This Row],[Total]]</f>
        <v>#N/A</v>
      </c>
    </row>
    <row r="7107" spans="1:22" hidden="1" x14ac:dyDescent="0.25">
      <c r="A7107" s="100">
        <v>45991</v>
      </c>
      <c r="B7107" t="str">
        <f t="shared" ref="B7107:B7108" si="559">TEXT(A7107, "mmmm")</f>
        <v>November</v>
      </c>
      <c r="C7107" s="46" t="s">
        <v>280</v>
      </c>
      <c r="F7107" s="366" t="s">
        <v>3573</v>
      </c>
      <c r="G7107" s="46" t="s">
        <v>17</v>
      </c>
      <c r="H7107" s="46">
        <v>1</v>
      </c>
      <c r="I7107" s="51">
        <v>4622.28</v>
      </c>
      <c r="J7107" s="281">
        <f>++Tabla4[[#This Row],[Precio Bruto]]*1.16</f>
        <v>5361.8447999999989</v>
      </c>
      <c r="K7107" s="281">
        <f>+Tabla4[[#This Row],[Precio Unitario Neto]]*Tabla4[[#Headers],[20.85%]]</f>
        <v>1117.9446407999997</v>
      </c>
      <c r="L7107" s="282">
        <f>++Tabla4[[#This Row],[Precio Unitario Neto]]-Tabla4[[#This Row],[20.85%]]</f>
        <v>4243.9001591999995</v>
      </c>
      <c r="M7107" s="282" t="e">
        <f>(INDEX(Tabla6[#All],MATCH(Tabla4[[#This Row],[Producto]],Tabla6[[#All],[PRODUCTO]],0),MATCH(Tabla4[[#This Row],[Mes]],Tabla6[#Headers],0)))*(1+Catalogos!$L$2)</f>
        <v>#N/A</v>
      </c>
      <c r="N7107" s="283" t="e">
        <f>+(Tabla4[[#This Row],[Precio Descontado]]-Tabla4[[#This Row],[Precio Base]])*Tabla4[[#This Row],[Cantidad]]</f>
        <v>#N/A</v>
      </c>
      <c r="O7107" s="284" t="e">
        <f>++Tabla4[[#This Row],[Utilidad Total]]/Tabla4[[#This Row],[Total]]</f>
        <v>#N/A</v>
      </c>
      <c r="P7107" s="282">
        <f>++Tabla4[[#This Row],[Precio Descontado]]*Tabla4[[#This Row],[Cantidad]]</f>
        <v>4243.9001591999995</v>
      </c>
      <c r="Q7107" s="282" t="e">
        <f>(INDEX(Tabla6[#All],MATCH(Tabla4[[#This Row],[Producto]],Tabla6[[#All],[PRODUCTO]],0),MATCH(Tabla4[[#This Row],[Mes]],Tabla6[#Headers],0)))</f>
        <v>#N/A</v>
      </c>
      <c r="R7107" s="282" t="e">
        <f>++Tabla4[[#This Row],[Precio Unitario Neto]]-Tabla4[[#This Row],[20.85%]]-Tabla4[[#This Row],[Costo]]</f>
        <v>#N/A</v>
      </c>
      <c r="S7107" s="282" t="e">
        <f>++Tabla4[[#This Row],[U. Bruta Uni]]*Tabla4[[#This Row],[Cantidad]]</f>
        <v>#N/A</v>
      </c>
      <c r="T7107" s="369" t="str">
        <f>VLOOKUP(Tabla4[[#This Row],[Producto]],Tabla6[#All],14,FALSE)</f>
        <v>Termico Solar</v>
      </c>
      <c r="U7107" s="284" t="e">
        <f>(IF(Tabla4[[#This Row],[Familia]]="termico solar",Tabla4[[#This Row],[Utilidad Total]]*6%,Tabla4[[#This Row],[Utilidad Total]]*11.5%))/Tabla4[[#This Row],[Total]]</f>
        <v>#N/A</v>
      </c>
      <c r="V7107" s="282" t="e">
        <f>+Tabla4[[#This Row],[Comisión Calculada]]*Tabla4[[#This Row],[Total]]</f>
        <v>#N/A</v>
      </c>
    </row>
    <row r="7108" spans="1:22" hidden="1" x14ac:dyDescent="0.25">
      <c r="A7108" s="100">
        <v>45991</v>
      </c>
      <c r="B7108" t="str">
        <f t="shared" si="559"/>
        <v>November</v>
      </c>
      <c r="C7108" s="46" t="s">
        <v>280</v>
      </c>
      <c r="F7108" s="366" t="s">
        <v>3573</v>
      </c>
      <c r="G7108" s="46" t="s">
        <v>18</v>
      </c>
      <c r="H7108" s="46">
        <v>1</v>
      </c>
      <c r="I7108" s="51">
        <v>5367.65</v>
      </c>
      <c r="J7108" s="281">
        <f>++Tabla4[[#This Row],[Precio Bruto]]*1.16</f>
        <v>6226.4739999999993</v>
      </c>
      <c r="K7108" s="281">
        <f>+Tabla4[[#This Row],[Precio Unitario Neto]]*Tabla4[[#Headers],[20.85%]]</f>
        <v>1298.2198289999999</v>
      </c>
      <c r="L7108" s="282">
        <f>++Tabla4[[#This Row],[Precio Unitario Neto]]-Tabla4[[#This Row],[20.85%]]</f>
        <v>4928.2541709999996</v>
      </c>
      <c r="M7108" s="282" t="e">
        <f>(INDEX(Tabla6[#All],MATCH(Tabla4[[#This Row],[Producto]],Tabla6[[#All],[PRODUCTO]],0),MATCH(Tabla4[[#This Row],[Mes]],Tabla6[#Headers],0)))*(1+Catalogos!$L$2)</f>
        <v>#N/A</v>
      </c>
      <c r="N7108" s="283" t="e">
        <f>+(Tabla4[[#This Row],[Precio Descontado]]-Tabla4[[#This Row],[Precio Base]])*Tabla4[[#This Row],[Cantidad]]</f>
        <v>#N/A</v>
      </c>
      <c r="O7108" s="284" t="e">
        <f>++Tabla4[[#This Row],[Utilidad Total]]/Tabla4[[#This Row],[Total]]</f>
        <v>#N/A</v>
      </c>
      <c r="P7108" s="282">
        <f>++Tabla4[[#This Row],[Precio Descontado]]*Tabla4[[#This Row],[Cantidad]]</f>
        <v>4928.2541709999996</v>
      </c>
      <c r="Q7108" s="282" t="e">
        <f>(INDEX(Tabla6[#All],MATCH(Tabla4[[#This Row],[Producto]],Tabla6[[#All],[PRODUCTO]],0),MATCH(Tabla4[[#This Row],[Mes]],Tabla6[#Headers],0)))</f>
        <v>#N/A</v>
      </c>
      <c r="R7108" s="282" t="e">
        <f>++Tabla4[[#This Row],[Precio Unitario Neto]]-Tabla4[[#This Row],[20.85%]]-Tabla4[[#This Row],[Costo]]</f>
        <v>#N/A</v>
      </c>
      <c r="S7108" s="282" t="e">
        <f>++Tabla4[[#This Row],[U. Bruta Uni]]*Tabla4[[#This Row],[Cantidad]]</f>
        <v>#N/A</v>
      </c>
      <c r="T7108" s="369" t="str">
        <f>VLOOKUP(Tabla4[[#This Row],[Producto]],Tabla6[#All],14,FALSE)</f>
        <v>Termico Solar</v>
      </c>
      <c r="U7108" s="284" t="e">
        <f>(IF(Tabla4[[#This Row],[Familia]]="termico solar",Tabla4[[#This Row],[Utilidad Total]]*6%,Tabla4[[#This Row],[Utilidad Total]]*11.5%))/Tabla4[[#This Row],[Total]]</f>
        <v>#N/A</v>
      </c>
      <c r="V7108" s="282" t="e">
        <f>+Tabla4[[#This Row],[Comisión Calculada]]*Tabla4[[#This Row],[Total]]</f>
        <v>#N/A</v>
      </c>
    </row>
    <row r="7109" spans="1:22" hidden="1" x14ac:dyDescent="0.25">
      <c r="A7109" s="100">
        <v>45991</v>
      </c>
      <c r="B7109" t="str">
        <f t="shared" ref="B7109:B7111" si="560">TEXT(A7109, "mmmm")</f>
        <v>November</v>
      </c>
      <c r="C7109" s="46" t="s">
        <v>280</v>
      </c>
      <c r="F7109" s="366" t="s">
        <v>3574</v>
      </c>
      <c r="G7109" s="46" t="s">
        <v>17</v>
      </c>
      <c r="H7109" s="46">
        <v>12</v>
      </c>
      <c r="I7109" s="51">
        <v>4622.28</v>
      </c>
      <c r="J7109" s="281">
        <f>++Tabla4[[#This Row],[Precio Bruto]]*1.16</f>
        <v>5361.8447999999989</v>
      </c>
      <c r="K7109" s="281">
        <f>+Tabla4[[#This Row],[Precio Unitario Neto]]*Tabla4[[#Headers],[20.85%]]</f>
        <v>1117.9446407999997</v>
      </c>
      <c r="L7109" s="282">
        <f>++Tabla4[[#This Row],[Precio Unitario Neto]]-Tabla4[[#This Row],[20.85%]]</f>
        <v>4243.9001591999995</v>
      </c>
      <c r="M7109" s="282" t="e">
        <f>(INDEX(Tabla6[#All],MATCH(Tabla4[[#This Row],[Producto]],Tabla6[[#All],[PRODUCTO]],0),MATCH(Tabla4[[#This Row],[Mes]],Tabla6[#Headers],0)))*(1+Catalogos!$L$2)</f>
        <v>#N/A</v>
      </c>
      <c r="N7109" s="283" t="e">
        <f>+(Tabla4[[#This Row],[Precio Descontado]]-Tabla4[[#This Row],[Precio Base]])*Tabla4[[#This Row],[Cantidad]]</f>
        <v>#N/A</v>
      </c>
      <c r="O7109" s="284" t="e">
        <f>++Tabla4[[#This Row],[Utilidad Total]]/Tabla4[[#This Row],[Total]]</f>
        <v>#N/A</v>
      </c>
      <c r="P7109" s="282">
        <f>++Tabla4[[#This Row],[Precio Descontado]]*Tabla4[[#This Row],[Cantidad]]</f>
        <v>50926.801910399998</v>
      </c>
      <c r="Q7109" s="282" t="e">
        <f>(INDEX(Tabla6[#All],MATCH(Tabla4[[#This Row],[Producto]],Tabla6[[#All],[PRODUCTO]],0),MATCH(Tabla4[[#This Row],[Mes]],Tabla6[#Headers],0)))</f>
        <v>#N/A</v>
      </c>
      <c r="R7109" s="282" t="e">
        <f>++Tabla4[[#This Row],[Precio Unitario Neto]]-Tabla4[[#This Row],[20.85%]]-Tabla4[[#This Row],[Costo]]</f>
        <v>#N/A</v>
      </c>
      <c r="S7109" s="282" t="e">
        <f>++Tabla4[[#This Row],[U. Bruta Uni]]*Tabla4[[#This Row],[Cantidad]]</f>
        <v>#N/A</v>
      </c>
      <c r="T7109" s="369" t="str">
        <f>VLOOKUP(Tabla4[[#This Row],[Producto]],Tabla6[#All],14,FALSE)</f>
        <v>Termico Solar</v>
      </c>
      <c r="U7109" s="284" t="e">
        <f>(IF(Tabla4[[#This Row],[Familia]]="termico solar",Tabla4[[#This Row],[Utilidad Total]]*6%,Tabla4[[#This Row],[Utilidad Total]]*11.5%))/Tabla4[[#This Row],[Total]]</f>
        <v>#N/A</v>
      </c>
      <c r="V7109" s="282" t="e">
        <f>+Tabla4[[#This Row],[Comisión Calculada]]*Tabla4[[#This Row],[Total]]</f>
        <v>#N/A</v>
      </c>
    </row>
    <row r="7110" spans="1:22" hidden="1" x14ac:dyDescent="0.25">
      <c r="A7110" s="100">
        <v>45991</v>
      </c>
      <c r="B7110" t="str">
        <f t="shared" si="560"/>
        <v>November</v>
      </c>
      <c r="C7110" s="46" t="s">
        <v>280</v>
      </c>
      <c r="F7110" s="366" t="s">
        <v>3574</v>
      </c>
      <c r="G7110" s="46" t="s">
        <v>18</v>
      </c>
      <c r="H7110" s="46">
        <v>8</v>
      </c>
      <c r="I7110" s="51">
        <v>5367.65</v>
      </c>
      <c r="J7110" s="281">
        <f>++Tabla4[[#This Row],[Precio Bruto]]*1.16</f>
        <v>6226.4739999999993</v>
      </c>
      <c r="K7110" s="281">
        <f>+Tabla4[[#This Row],[Precio Unitario Neto]]*Tabla4[[#Headers],[20.85%]]</f>
        <v>1298.2198289999999</v>
      </c>
      <c r="L7110" s="282">
        <f>++Tabla4[[#This Row],[Precio Unitario Neto]]-Tabla4[[#This Row],[20.85%]]</f>
        <v>4928.2541709999996</v>
      </c>
      <c r="M7110" s="282" t="e">
        <f>(INDEX(Tabla6[#All],MATCH(Tabla4[[#This Row],[Producto]],Tabla6[[#All],[PRODUCTO]],0),MATCH(Tabla4[[#This Row],[Mes]],Tabla6[#Headers],0)))*(1+Catalogos!$L$2)</f>
        <v>#N/A</v>
      </c>
      <c r="N7110" s="283" t="e">
        <f>+(Tabla4[[#This Row],[Precio Descontado]]-Tabla4[[#This Row],[Precio Base]])*Tabla4[[#This Row],[Cantidad]]</f>
        <v>#N/A</v>
      </c>
      <c r="O7110" s="284" t="e">
        <f>++Tabla4[[#This Row],[Utilidad Total]]/Tabla4[[#This Row],[Total]]</f>
        <v>#N/A</v>
      </c>
      <c r="P7110" s="282">
        <f>++Tabla4[[#This Row],[Precio Descontado]]*Tabla4[[#This Row],[Cantidad]]</f>
        <v>39426.033367999997</v>
      </c>
      <c r="Q7110" s="282" t="e">
        <f>(INDEX(Tabla6[#All],MATCH(Tabla4[[#This Row],[Producto]],Tabla6[[#All],[PRODUCTO]],0),MATCH(Tabla4[[#This Row],[Mes]],Tabla6[#Headers],0)))</f>
        <v>#N/A</v>
      </c>
      <c r="R7110" s="282" t="e">
        <f>++Tabla4[[#This Row],[Precio Unitario Neto]]-Tabla4[[#This Row],[20.85%]]-Tabla4[[#This Row],[Costo]]</f>
        <v>#N/A</v>
      </c>
      <c r="S7110" s="282" t="e">
        <f>++Tabla4[[#This Row],[U. Bruta Uni]]*Tabla4[[#This Row],[Cantidad]]</f>
        <v>#N/A</v>
      </c>
      <c r="T7110" s="369" t="str">
        <f>VLOOKUP(Tabla4[[#This Row],[Producto]],Tabla6[#All],14,FALSE)</f>
        <v>Termico Solar</v>
      </c>
      <c r="U7110" s="284" t="e">
        <f>(IF(Tabla4[[#This Row],[Familia]]="termico solar",Tabla4[[#This Row],[Utilidad Total]]*6%,Tabla4[[#This Row],[Utilidad Total]]*11.5%))/Tabla4[[#This Row],[Total]]</f>
        <v>#N/A</v>
      </c>
      <c r="V7110" s="282" t="e">
        <f>+Tabla4[[#This Row],[Comisión Calculada]]*Tabla4[[#This Row],[Total]]</f>
        <v>#N/A</v>
      </c>
    </row>
    <row r="7111" spans="1:22" hidden="1" x14ac:dyDescent="0.25">
      <c r="A7111" s="100">
        <v>45991</v>
      </c>
      <c r="B7111" t="str">
        <f t="shared" si="560"/>
        <v>November</v>
      </c>
      <c r="C7111" s="46" t="s">
        <v>280</v>
      </c>
      <c r="F7111" s="366" t="s">
        <v>3574</v>
      </c>
      <c r="G7111" s="46" t="s">
        <v>16</v>
      </c>
      <c r="H7111" s="46">
        <v>2</v>
      </c>
      <c r="I7111" s="51">
        <v>4103.8500000000004</v>
      </c>
      <c r="J7111" s="281">
        <f>++Tabla4[[#This Row],[Precio Bruto]]*1.16</f>
        <v>4760.4660000000003</v>
      </c>
      <c r="K7111" s="281">
        <f>+Tabla4[[#This Row],[Precio Unitario Neto]]*Tabla4[[#Headers],[20.85%]]</f>
        <v>992.55716100000006</v>
      </c>
      <c r="L7111" s="282">
        <f>++Tabla4[[#This Row],[Precio Unitario Neto]]-Tabla4[[#This Row],[20.85%]]</f>
        <v>3767.9088390000002</v>
      </c>
      <c r="M7111" s="282" t="e">
        <f>(INDEX(Tabla6[#All],MATCH(Tabla4[[#This Row],[Producto]],Tabla6[[#All],[PRODUCTO]],0),MATCH(Tabla4[[#This Row],[Mes]],Tabla6[#Headers],0)))*(1+Catalogos!$L$2)</f>
        <v>#N/A</v>
      </c>
      <c r="N7111" s="283" t="e">
        <f>+(Tabla4[[#This Row],[Precio Descontado]]-Tabla4[[#This Row],[Precio Base]])*Tabla4[[#This Row],[Cantidad]]</f>
        <v>#N/A</v>
      </c>
      <c r="O7111" s="284" t="e">
        <f>++Tabla4[[#This Row],[Utilidad Total]]/Tabla4[[#This Row],[Total]]</f>
        <v>#N/A</v>
      </c>
      <c r="P7111" s="282">
        <f>++Tabla4[[#This Row],[Precio Descontado]]*Tabla4[[#This Row],[Cantidad]]</f>
        <v>7535.8176780000003</v>
      </c>
      <c r="Q7111" s="282" t="e">
        <f>(INDEX(Tabla6[#All],MATCH(Tabla4[[#This Row],[Producto]],Tabla6[[#All],[PRODUCTO]],0),MATCH(Tabla4[[#This Row],[Mes]],Tabla6[#Headers],0)))</f>
        <v>#N/A</v>
      </c>
      <c r="R7111" s="282" t="e">
        <f>++Tabla4[[#This Row],[Precio Unitario Neto]]-Tabla4[[#This Row],[20.85%]]-Tabla4[[#This Row],[Costo]]</f>
        <v>#N/A</v>
      </c>
      <c r="S7111" s="282" t="e">
        <f>++Tabla4[[#This Row],[U. Bruta Uni]]*Tabla4[[#This Row],[Cantidad]]</f>
        <v>#N/A</v>
      </c>
      <c r="T7111" s="369" t="str">
        <f>VLOOKUP(Tabla4[[#This Row],[Producto]],Tabla6[#All],14,FALSE)</f>
        <v>Termico Solar</v>
      </c>
      <c r="U7111" s="284" t="e">
        <f>(IF(Tabla4[[#This Row],[Familia]]="termico solar",Tabla4[[#This Row],[Utilidad Total]]*6%,Tabla4[[#This Row],[Utilidad Total]]*11.5%))/Tabla4[[#This Row],[Total]]</f>
        <v>#N/A</v>
      </c>
      <c r="V7111" s="282" t="e">
        <f>+Tabla4[[#This Row],[Comisión Calculada]]*Tabla4[[#This Row],[Total]]</f>
        <v>#N/A</v>
      </c>
    </row>
    <row r="7112" spans="1:22" hidden="1" x14ac:dyDescent="0.25">
      <c r="A7112" s="100">
        <v>45991</v>
      </c>
      <c r="B7112" t="str">
        <f>TEXT(A7112, "mmmm")</f>
        <v>November</v>
      </c>
      <c r="C7112" s="46" t="s">
        <v>280</v>
      </c>
      <c r="F7112" s="366" t="s">
        <v>3575</v>
      </c>
      <c r="G7112" s="46" t="s">
        <v>83</v>
      </c>
      <c r="H7112" s="46">
        <v>2</v>
      </c>
      <c r="I7112" s="51">
        <v>8858.76</v>
      </c>
      <c r="J7112" s="281">
        <f>++Tabla4[[#This Row],[Precio Bruto]]*1.16</f>
        <v>10276.161599999999</v>
      </c>
      <c r="K7112" s="281">
        <f>+Tabla4[[#This Row],[Precio Unitario Neto]]*Tabla4[[#Headers],[20.85%]]</f>
        <v>2142.5796935999997</v>
      </c>
      <c r="L7112" s="282">
        <f>++Tabla4[[#This Row],[Precio Unitario Neto]]-Tabla4[[#This Row],[20.85%]]</f>
        <v>8133.5819063999998</v>
      </c>
      <c r="M7112" s="282" t="e">
        <f>(INDEX(Tabla6[#All],MATCH(Tabla4[[#This Row],[Producto]],Tabla6[[#All],[PRODUCTO]],0),MATCH(Tabla4[[#This Row],[Mes]],Tabla6[#Headers],0)))*(1+Catalogos!$L$2)</f>
        <v>#N/A</v>
      </c>
      <c r="N7112" s="283" t="e">
        <f>+(Tabla4[[#This Row],[Precio Descontado]]-Tabla4[[#This Row],[Precio Base]])*Tabla4[[#This Row],[Cantidad]]</f>
        <v>#N/A</v>
      </c>
      <c r="O7112" s="284" t="e">
        <f>++Tabla4[[#This Row],[Utilidad Total]]/Tabla4[[#This Row],[Total]]</f>
        <v>#N/A</v>
      </c>
      <c r="P7112" s="282">
        <f>++Tabla4[[#This Row],[Precio Descontado]]*Tabla4[[#This Row],[Cantidad]]</f>
        <v>16267.1638128</v>
      </c>
      <c r="Q7112" s="282" t="e">
        <f>(INDEX(Tabla6[#All],MATCH(Tabla4[[#This Row],[Producto]],Tabla6[[#All],[PRODUCTO]],0),MATCH(Tabla4[[#This Row],[Mes]],Tabla6[#Headers],0)))</f>
        <v>#N/A</v>
      </c>
      <c r="R7112" s="282" t="e">
        <f>++Tabla4[[#This Row],[Precio Unitario Neto]]-Tabla4[[#This Row],[20.85%]]-Tabla4[[#This Row],[Costo]]</f>
        <v>#N/A</v>
      </c>
      <c r="S7112" s="282" t="e">
        <f>++Tabla4[[#This Row],[U. Bruta Uni]]*Tabla4[[#This Row],[Cantidad]]</f>
        <v>#N/A</v>
      </c>
      <c r="T7112" s="369" t="str">
        <f>VLOOKUP(Tabla4[[#This Row],[Producto]],Tabla6[#All],14,FALSE)</f>
        <v>Termico Solar</v>
      </c>
      <c r="U7112" s="284" t="e">
        <f>(IF(Tabla4[[#This Row],[Familia]]="termico solar",Tabla4[[#This Row],[Utilidad Total]]*6%,Tabla4[[#This Row],[Utilidad Total]]*11.5%))/Tabla4[[#This Row],[Total]]</f>
        <v>#N/A</v>
      </c>
      <c r="V7112" s="282" t="e">
        <f>+Tabla4[[#This Row],[Comisión Calculada]]*Tabla4[[#This Row],[Total]]</f>
        <v>#N/A</v>
      </c>
    </row>
    <row r="7113" spans="1:22" hidden="1" x14ac:dyDescent="0.25">
      <c r="A7113" s="100">
        <v>45991</v>
      </c>
      <c r="B7113" t="str">
        <f>TEXT(A7113, "mmmm")</f>
        <v>November</v>
      </c>
      <c r="C7113" s="46" t="s">
        <v>280</v>
      </c>
      <c r="F7113" s="366" t="s">
        <v>3576</v>
      </c>
      <c r="G7113" s="46" t="s">
        <v>83</v>
      </c>
      <c r="H7113" s="46">
        <v>2</v>
      </c>
      <c r="I7113" s="51">
        <v>8858.76</v>
      </c>
      <c r="J7113" s="281">
        <f>++Tabla4[[#This Row],[Precio Bruto]]*1.16</f>
        <v>10276.161599999999</v>
      </c>
      <c r="K7113" s="281">
        <f>+Tabla4[[#This Row],[Precio Unitario Neto]]*Tabla4[[#Headers],[20.85%]]</f>
        <v>2142.5796935999997</v>
      </c>
      <c r="L7113" s="282">
        <f>++Tabla4[[#This Row],[Precio Unitario Neto]]-Tabla4[[#This Row],[20.85%]]</f>
        <v>8133.5819063999998</v>
      </c>
      <c r="M7113" s="282" t="e">
        <f>(INDEX(Tabla6[#All],MATCH(Tabla4[[#This Row],[Producto]],Tabla6[[#All],[PRODUCTO]],0),MATCH(Tabla4[[#This Row],[Mes]],Tabla6[#Headers],0)))*(1+Catalogos!$L$2)</f>
        <v>#N/A</v>
      </c>
      <c r="N7113" s="283" t="e">
        <f>+(Tabla4[[#This Row],[Precio Descontado]]-Tabla4[[#This Row],[Precio Base]])*Tabla4[[#This Row],[Cantidad]]</f>
        <v>#N/A</v>
      </c>
      <c r="O7113" s="284" t="e">
        <f>++Tabla4[[#This Row],[Utilidad Total]]/Tabla4[[#This Row],[Total]]</f>
        <v>#N/A</v>
      </c>
      <c r="P7113" s="282">
        <f>++Tabla4[[#This Row],[Precio Descontado]]*Tabla4[[#This Row],[Cantidad]]</f>
        <v>16267.1638128</v>
      </c>
      <c r="Q7113" s="282" t="e">
        <f>(INDEX(Tabla6[#All],MATCH(Tabla4[[#This Row],[Producto]],Tabla6[[#All],[PRODUCTO]],0),MATCH(Tabla4[[#This Row],[Mes]],Tabla6[#Headers],0)))</f>
        <v>#N/A</v>
      </c>
      <c r="R7113" s="282" t="e">
        <f>++Tabla4[[#This Row],[Precio Unitario Neto]]-Tabla4[[#This Row],[20.85%]]-Tabla4[[#This Row],[Costo]]</f>
        <v>#N/A</v>
      </c>
      <c r="S7113" s="282" t="e">
        <f>++Tabla4[[#This Row],[U. Bruta Uni]]*Tabla4[[#This Row],[Cantidad]]</f>
        <v>#N/A</v>
      </c>
      <c r="T7113" s="369" t="str">
        <f>VLOOKUP(Tabla4[[#This Row],[Producto]],Tabla6[#All],14,FALSE)</f>
        <v>Termico Solar</v>
      </c>
      <c r="U7113" s="284" t="e">
        <f>(IF(Tabla4[[#This Row],[Familia]]="termico solar",Tabla4[[#This Row],[Utilidad Total]]*6%,Tabla4[[#This Row],[Utilidad Total]]*11.5%))/Tabla4[[#This Row],[Total]]</f>
        <v>#N/A</v>
      </c>
      <c r="V7113" s="282" t="e">
        <f>+Tabla4[[#This Row],[Comisión Calculada]]*Tabla4[[#This Row],[Total]]</f>
        <v>#N/A</v>
      </c>
    </row>
    <row r="7114" spans="1:22" hidden="1" x14ac:dyDescent="0.25">
      <c r="A7114" s="100">
        <v>45991</v>
      </c>
      <c r="B7114" t="str">
        <f t="shared" ref="B7114:B7118" si="561">TEXT(A7114, "mmmm")</f>
        <v>November</v>
      </c>
      <c r="C7114" s="46" t="s">
        <v>280</v>
      </c>
      <c r="F7114" s="366" t="s">
        <v>3577</v>
      </c>
      <c r="G7114" s="46" t="s">
        <v>83</v>
      </c>
      <c r="H7114" s="46">
        <v>4</v>
      </c>
      <c r="I7114" s="51">
        <v>8858.76</v>
      </c>
      <c r="J7114" s="281">
        <f>++Tabla4[[#This Row],[Precio Bruto]]*1.16</f>
        <v>10276.161599999999</v>
      </c>
      <c r="K7114" s="281">
        <f>+Tabla4[[#This Row],[Precio Unitario Neto]]*Tabla4[[#Headers],[20.85%]]</f>
        <v>2142.5796935999997</v>
      </c>
      <c r="L7114" s="282">
        <f>++Tabla4[[#This Row],[Precio Unitario Neto]]-Tabla4[[#This Row],[20.85%]]</f>
        <v>8133.5819063999998</v>
      </c>
      <c r="M7114" s="282" t="e">
        <f>(INDEX(Tabla6[#All],MATCH(Tabla4[[#This Row],[Producto]],Tabla6[[#All],[PRODUCTO]],0),MATCH(Tabla4[[#This Row],[Mes]],Tabla6[#Headers],0)))*(1+Catalogos!$L$2)</f>
        <v>#N/A</v>
      </c>
      <c r="N7114" s="283" t="e">
        <f>+(Tabla4[[#This Row],[Precio Descontado]]-Tabla4[[#This Row],[Precio Base]])*Tabla4[[#This Row],[Cantidad]]</f>
        <v>#N/A</v>
      </c>
      <c r="O7114" s="284" t="e">
        <f>++Tabla4[[#This Row],[Utilidad Total]]/Tabla4[[#This Row],[Total]]</f>
        <v>#N/A</v>
      </c>
      <c r="P7114" s="282">
        <f>++Tabla4[[#This Row],[Precio Descontado]]*Tabla4[[#This Row],[Cantidad]]</f>
        <v>32534.327625599999</v>
      </c>
      <c r="Q7114" s="282" t="e">
        <f>(INDEX(Tabla6[#All],MATCH(Tabla4[[#This Row],[Producto]],Tabla6[[#All],[PRODUCTO]],0),MATCH(Tabla4[[#This Row],[Mes]],Tabla6[#Headers],0)))</f>
        <v>#N/A</v>
      </c>
      <c r="R7114" s="282" t="e">
        <f>++Tabla4[[#This Row],[Precio Unitario Neto]]-Tabla4[[#This Row],[20.85%]]-Tabla4[[#This Row],[Costo]]</f>
        <v>#N/A</v>
      </c>
      <c r="S7114" s="282" t="e">
        <f>++Tabla4[[#This Row],[U. Bruta Uni]]*Tabla4[[#This Row],[Cantidad]]</f>
        <v>#N/A</v>
      </c>
      <c r="T7114" s="369" t="str">
        <f>VLOOKUP(Tabla4[[#This Row],[Producto]],Tabla6[#All],14,FALSE)</f>
        <v>Termico Solar</v>
      </c>
      <c r="U7114" s="284" t="e">
        <f>(IF(Tabla4[[#This Row],[Familia]]="termico solar",Tabla4[[#This Row],[Utilidad Total]]*6%,Tabla4[[#This Row],[Utilidad Total]]*11.5%))/Tabla4[[#This Row],[Total]]</f>
        <v>#N/A</v>
      </c>
      <c r="V7114" s="282" t="e">
        <f>+Tabla4[[#This Row],[Comisión Calculada]]*Tabla4[[#This Row],[Total]]</f>
        <v>#N/A</v>
      </c>
    </row>
    <row r="7115" spans="1:22" hidden="1" x14ac:dyDescent="0.25">
      <c r="A7115" s="100">
        <v>45991</v>
      </c>
      <c r="B7115" t="str">
        <f t="shared" si="561"/>
        <v>November</v>
      </c>
      <c r="C7115" s="46" t="s">
        <v>280</v>
      </c>
      <c r="F7115" s="366" t="s">
        <v>3577</v>
      </c>
      <c r="G7115" s="46" t="s">
        <v>17</v>
      </c>
      <c r="H7115" s="46">
        <v>3</v>
      </c>
      <c r="I7115" s="51">
        <v>4622.28</v>
      </c>
      <c r="J7115" s="281">
        <f>++Tabla4[[#This Row],[Precio Bruto]]*1.16</f>
        <v>5361.8447999999989</v>
      </c>
      <c r="K7115" s="281">
        <f>+Tabla4[[#This Row],[Precio Unitario Neto]]*Tabla4[[#Headers],[20.85%]]</f>
        <v>1117.9446407999997</v>
      </c>
      <c r="L7115" s="282">
        <f>++Tabla4[[#This Row],[Precio Unitario Neto]]-Tabla4[[#This Row],[20.85%]]</f>
        <v>4243.9001591999995</v>
      </c>
      <c r="M7115" s="282" t="e">
        <f>(INDEX(Tabla6[#All],MATCH(Tabla4[[#This Row],[Producto]],Tabla6[[#All],[PRODUCTO]],0),MATCH(Tabla4[[#This Row],[Mes]],Tabla6[#Headers],0)))*(1+Catalogos!$L$2)</f>
        <v>#N/A</v>
      </c>
      <c r="N7115" s="283" t="e">
        <f>+(Tabla4[[#This Row],[Precio Descontado]]-Tabla4[[#This Row],[Precio Base]])*Tabla4[[#This Row],[Cantidad]]</f>
        <v>#N/A</v>
      </c>
      <c r="O7115" s="284" t="e">
        <f>++Tabla4[[#This Row],[Utilidad Total]]/Tabla4[[#This Row],[Total]]</f>
        <v>#N/A</v>
      </c>
      <c r="P7115" s="282">
        <f>++Tabla4[[#This Row],[Precio Descontado]]*Tabla4[[#This Row],[Cantidad]]</f>
        <v>12731.700477599999</v>
      </c>
      <c r="Q7115" s="282" t="e">
        <f>(INDEX(Tabla6[#All],MATCH(Tabla4[[#This Row],[Producto]],Tabla6[[#All],[PRODUCTO]],0),MATCH(Tabla4[[#This Row],[Mes]],Tabla6[#Headers],0)))</f>
        <v>#N/A</v>
      </c>
      <c r="R7115" s="282" t="e">
        <f>++Tabla4[[#This Row],[Precio Unitario Neto]]-Tabla4[[#This Row],[20.85%]]-Tabla4[[#This Row],[Costo]]</f>
        <v>#N/A</v>
      </c>
      <c r="S7115" s="282" t="e">
        <f>++Tabla4[[#This Row],[U. Bruta Uni]]*Tabla4[[#This Row],[Cantidad]]</f>
        <v>#N/A</v>
      </c>
      <c r="T7115" s="369" t="str">
        <f>VLOOKUP(Tabla4[[#This Row],[Producto]],Tabla6[#All],14,FALSE)</f>
        <v>Termico Solar</v>
      </c>
      <c r="U7115" s="284" t="e">
        <f>(IF(Tabla4[[#This Row],[Familia]]="termico solar",Tabla4[[#This Row],[Utilidad Total]]*6%,Tabla4[[#This Row],[Utilidad Total]]*11.5%))/Tabla4[[#This Row],[Total]]</f>
        <v>#N/A</v>
      </c>
      <c r="V7115" s="282" t="e">
        <f>+Tabla4[[#This Row],[Comisión Calculada]]*Tabla4[[#This Row],[Total]]</f>
        <v>#N/A</v>
      </c>
    </row>
    <row r="7116" spans="1:22" hidden="1" x14ac:dyDescent="0.25">
      <c r="A7116" s="100">
        <v>45991</v>
      </c>
      <c r="B7116" t="str">
        <f t="shared" si="561"/>
        <v>November</v>
      </c>
      <c r="C7116" s="46" t="s">
        <v>280</v>
      </c>
      <c r="F7116" s="366" t="s">
        <v>3577</v>
      </c>
      <c r="G7116" s="46" t="s">
        <v>18</v>
      </c>
      <c r="H7116" s="46">
        <v>1</v>
      </c>
      <c r="I7116" s="51">
        <v>5367.65</v>
      </c>
      <c r="J7116" s="281">
        <f>++Tabla4[[#This Row],[Precio Bruto]]*1.16</f>
        <v>6226.4739999999993</v>
      </c>
      <c r="K7116" s="281">
        <f>+Tabla4[[#This Row],[Precio Unitario Neto]]*Tabla4[[#Headers],[20.85%]]</f>
        <v>1298.2198289999999</v>
      </c>
      <c r="L7116" s="282">
        <f>++Tabla4[[#This Row],[Precio Unitario Neto]]-Tabla4[[#This Row],[20.85%]]</f>
        <v>4928.2541709999996</v>
      </c>
      <c r="M7116" s="282" t="e">
        <f>(INDEX(Tabla6[#All],MATCH(Tabla4[[#This Row],[Producto]],Tabla6[[#All],[PRODUCTO]],0),MATCH(Tabla4[[#This Row],[Mes]],Tabla6[#Headers],0)))*(1+Catalogos!$L$2)</f>
        <v>#N/A</v>
      </c>
      <c r="N7116" s="283" t="e">
        <f>+(Tabla4[[#This Row],[Precio Descontado]]-Tabla4[[#This Row],[Precio Base]])*Tabla4[[#This Row],[Cantidad]]</f>
        <v>#N/A</v>
      </c>
      <c r="O7116" s="284" t="e">
        <f>++Tabla4[[#This Row],[Utilidad Total]]/Tabla4[[#This Row],[Total]]</f>
        <v>#N/A</v>
      </c>
      <c r="P7116" s="282">
        <f>++Tabla4[[#This Row],[Precio Descontado]]*Tabla4[[#This Row],[Cantidad]]</f>
        <v>4928.2541709999996</v>
      </c>
      <c r="Q7116" s="282" t="e">
        <f>(INDEX(Tabla6[#All],MATCH(Tabla4[[#This Row],[Producto]],Tabla6[[#All],[PRODUCTO]],0),MATCH(Tabla4[[#This Row],[Mes]],Tabla6[#Headers],0)))</f>
        <v>#N/A</v>
      </c>
      <c r="R7116" s="282" t="e">
        <f>++Tabla4[[#This Row],[Precio Unitario Neto]]-Tabla4[[#This Row],[20.85%]]-Tabla4[[#This Row],[Costo]]</f>
        <v>#N/A</v>
      </c>
      <c r="S7116" s="282" t="e">
        <f>++Tabla4[[#This Row],[U. Bruta Uni]]*Tabla4[[#This Row],[Cantidad]]</f>
        <v>#N/A</v>
      </c>
      <c r="T7116" s="369" t="str">
        <f>VLOOKUP(Tabla4[[#This Row],[Producto]],Tabla6[#All],14,FALSE)</f>
        <v>Termico Solar</v>
      </c>
      <c r="U7116" s="284" t="e">
        <f>(IF(Tabla4[[#This Row],[Familia]]="termico solar",Tabla4[[#This Row],[Utilidad Total]]*6%,Tabla4[[#This Row],[Utilidad Total]]*11.5%))/Tabla4[[#This Row],[Total]]</f>
        <v>#N/A</v>
      </c>
      <c r="V7116" s="282" t="e">
        <f>+Tabla4[[#This Row],[Comisión Calculada]]*Tabla4[[#This Row],[Total]]</f>
        <v>#N/A</v>
      </c>
    </row>
    <row r="7117" spans="1:22" hidden="1" x14ac:dyDescent="0.25">
      <c r="A7117" s="100">
        <v>45991</v>
      </c>
      <c r="B7117" t="str">
        <f t="shared" si="561"/>
        <v>November</v>
      </c>
      <c r="C7117" s="46" t="s">
        <v>280</v>
      </c>
      <c r="F7117" s="366" t="s">
        <v>3577</v>
      </c>
      <c r="G7117" s="46" t="s">
        <v>16</v>
      </c>
      <c r="H7117" s="46">
        <v>1</v>
      </c>
      <c r="I7117" s="51">
        <v>4103.8500000000004</v>
      </c>
      <c r="J7117" s="281">
        <f>++Tabla4[[#This Row],[Precio Bruto]]*1.16</f>
        <v>4760.4660000000003</v>
      </c>
      <c r="K7117" s="281">
        <f>+Tabla4[[#This Row],[Precio Unitario Neto]]*Tabla4[[#Headers],[20.85%]]</f>
        <v>992.55716100000006</v>
      </c>
      <c r="L7117" s="282">
        <f>++Tabla4[[#This Row],[Precio Unitario Neto]]-Tabla4[[#This Row],[20.85%]]</f>
        <v>3767.9088390000002</v>
      </c>
      <c r="M7117" s="282" t="e">
        <f>(INDEX(Tabla6[#All],MATCH(Tabla4[[#This Row],[Producto]],Tabla6[[#All],[PRODUCTO]],0),MATCH(Tabla4[[#This Row],[Mes]],Tabla6[#Headers],0)))*(1+Catalogos!$L$2)</f>
        <v>#N/A</v>
      </c>
      <c r="N7117" s="283" t="e">
        <f>+(Tabla4[[#This Row],[Precio Descontado]]-Tabla4[[#This Row],[Precio Base]])*Tabla4[[#This Row],[Cantidad]]</f>
        <v>#N/A</v>
      </c>
      <c r="O7117" s="284" t="e">
        <f>++Tabla4[[#This Row],[Utilidad Total]]/Tabla4[[#This Row],[Total]]</f>
        <v>#N/A</v>
      </c>
      <c r="P7117" s="282">
        <f>++Tabla4[[#This Row],[Precio Descontado]]*Tabla4[[#This Row],[Cantidad]]</f>
        <v>3767.9088390000002</v>
      </c>
      <c r="Q7117" s="282" t="e">
        <f>(INDEX(Tabla6[#All],MATCH(Tabla4[[#This Row],[Producto]],Tabla6[[#All],[PRODUCTO]],0),MATCH(Tabla4[[#This Row],[Mes]],Tabla6[#Headers],0)))</f>
        <v>#N/A</v>
      </c>
      <c r="R7117" s="282" t="e">
        <f>++Tabla4[[#This Row],[Precio Unitario Neto]]-Tabla4[[#This Row],[20.85%]]-Tabla4[[#This Row],[Costo]]</f>
        <v>#N/A</v>
      </c>
      <c r="S7117" s="282" t="e">
        <f>++Tabla4[[#This Row],[U. Bruta Uni]]*Tabla4[[#This Row],[Cantidad]]</f>
        <v>#N/A</v>
      </c>
      <c r="T7117" s="369" t="str">
        <f>VLOOKUP(Tabla4[[#This Row],[Producto]],Tabla6[#All],14,FALSE)</f>
        <v>Termico Solar</v>
      </c>
      <c r="U7117" s="284" t="e">
        <f>(IF(Tabla4[[#This Row],[Familia]]="termico solar",Tabla4[[#This Row],[Utilidad Total]]*6%,Tabla4[[#This Row],[Utilidad Total]]*11.5%))/Tabla4[[#This Row],[Total]]</f>
        <v>#N/A</v>
      </c>
      <c r="V7117" s="282" t="e">
        <f>+Tabla4[[#This Row],[Comisión Calculada]]*Tabla4[[#This Row],[Total]]</f>
        <v>#N/A</v>
      </c>
    </row>
    <row r="7118" spans="1:22" hidden="1" x14ac:dyDescent="0.25">
      <c r="A7118" s="100">
        <v>45991</v>
      </c>
      <c r="B7118" t="str">
        <f t="shared" si="561"/>
        <v>November</v>
      </c>
      <c r="C7118" s="46" t="s">
        <v>280</v>
      </c>
      <c r="F7118" s="366" t="s">
        <v>3577</v>
      </c>
      <c r="G7118" s="46" t="s">
        <v>208</v>
      </c>
      <c r="H7118" s="46">
        <v>8</v>
      </c>
      <c r="I7118" s="51">
        <v>189.75</v>
      </c>
      <c r="J7118" s="281">
        <f>++Tabla4[[#This Row],[Precio Bruto]]*1.16</f>
        <v>220.10999999999999</v>
      </c>
      <c r="K7118" s="281">
        <f>+Tabla4[[#This Row],[Precio Unitario Neto]]*Tabla4[[#Headers],[20.85%]]</f>
        <v>45.892934999999994</v>
      </c>
      <c r="L7118" s="282">
        <f>++Tabla4[[#This Row],[Precio Unitario Neto]]-Tabla4[[#This Row],[20.85%]]</f>
        <v>174.21706499999999</v>
      </c>
      <c r="M7118" s="282" t="e">
        <f>(INDEX(Tabla6[#All],MATCH(Tabla4[[#This Row],[Producto]],Tabla6[[#All],[PRODUCTO]],0),MATCH(Tabla4[[#This Row],[Mes]],Tabla6[#Headers],0)))*(1+Catalogos!$L$2)</f>
        <v>#N/A</v>
      </c>
      <c r="N7118" s="283" t="e">
        <f>+(Tabla4[[#This Row],[Precio Descontado]]-Tabla4[[#This Row],[Precio Base]])*Tabla4[[#This Row],[Cantidad]]</f>
        <v>#N/A</v>
      </c>
      <c r="O7118" s="284" t="e">
        <f>++Tabla4[[#This Row],[Utilidad Total]]/Tabla4[[#This Row],[Total]]</f>
        <v>#N/A</v>
      </c>
      <c r="P7118" s="282">
        <f>++Tabla4[[#This Row],[Precio Descontado]]*Tabla4[[#This Row],[Cantidad]]</f>
        <v>1393.7365199999999</v>
      </c>
      <c r="Q7118" s="282" t="e">
        <f>(INDEX(Tabla6[#All],MATCH(Tabla4[[#This Row],[Producto]],Tabla6[[#All],[PRODUCTO]],0),MATCH(Tabla4[[#This Row],[Mes]],Tabla6[#Headers],0)))</f>
        <v>#N/A</v>
      </c>
      <c r="R7118" s="282" t="e">
        <f>++Tabla4[[#This Row],[Precio Unitario Neto]]-Tabla4[[#This Row],[20.85%]]-Tabla4[[#This Row],[Costo]]</f>
        <v>#N/A</v>
      </c>
      <c r="S7118" s="282" t="e">
        <f>++Tabla4[[#This Row],[U. Bruta Uni]]*Tabla4[[#This Row],[Cantidad]]</f>
        <v>#N/A</v>
      </c>
      <c r="T7118" s="369" t="str">
        <f>VLOOKUP(Tabla4[[#This Row],[Producto]],Tabla6[#All],14,FALSE)</f>
        <v>Termico Solar</v>
      </c>
      <c r="U7118" s="284" t="e">
        <f>(IF(Tabla4[[#This Row],[Familia]]="termico solar",Tabla4[[#This Row],[Utilidad Total]]*6%,Tabla4[[#This Row],[Utilidad Total]]*11.5%))/Tabla4[[#This Row],[Total]]</f>
        <v>#N/A</v>
      </c>
      <c r="V7118" s="282" t="e">
        <f>+Tabla4[[#This Row],[Comisión Calculada]]*Tabla4[[#This Row],[Total]]</f>
        <v>#N/A</v>
      </c>
    </row>
    <row r="7119" spans="1:22" hidden="1" x14ac:dyDescent="0.25">
      <c r="A7119" s="100">
        <v>45991</v>
      </c>
      <c r="B7119" t="str">
        <f t="shared" ref="B7119:B7120" si="562">TEXT(A7119, "mmmm")</f>
        <v>November</v>
      </c>
      <c r="C7119" s="46" t="s">
        <v>280</v>
      </c>
      <c r="F7119" s="366" t="s">
        <v>3578</v>
      </c>
      <c r="G7119" s="46" t="s">
        <v>17</v>
      </c>
      <c r="H7119" s="46">
        <v>3</v>
      </c>
      <c r="I7119" s="51">
        <v>4622.28</v>
      </c>
      <c r="J7119" s="281">
        <f>++Tabla4[[#This Row],[Precio Bruto]]*1.16</f>
        <v>5361.8447999999989</v>
      </c>
      <c r="K7119" s="281">
        <f>+Tabla4[[#This Row],[Precio Unitario Neto]]*Tabla4[[#Headers],[20.85%]]</f>
        <v>1117.9446407999997</v>
      </c>
      <c r="L7119" s="282">
        <f>++Tabla4[[#This Row],[Precio Unitario Neto]]-Tabla4[[#This Row],[20.85%]]</f>
        <v>4243.9001591999995</v>
      </c>
      <c r="M7119" s="282" t="e">
        <f>(INDEX(Tabla6[#All],MATCH(Tabla4[[#This Row],[Producto]],Tabla6[[#All],[PRODUCTO]],0),MATCH(Tabla4[[#This Row],[Mes]],Tabla6[#Headers],0)))*(1+Catalogos!$L$2)</f>
        <v>#N/A</v>
      </c>
      <c r="N7119" s="283" t="e">
        <f>+(Tabla4[[#This Row],[Precio Descontado]]-Tabla4[[#This Row],[Precio Base]])*Tabla4[[#This Row],[Cantidad]]</f>
        <v>#N/A</v>
      </c>
      <c r="O7119" s="284" t="e">
        <f>++Tabla4[[#This Row],[Utilidad Total]]/Tabla4[[#This Row],[Total]]</f>
        <v>#N/A</v>
      </c>
      <c r="P7119" s="282">
        <f>++Tabla4[[#This Row],[Precio Descontado]]*Tabla4[[#This Row],[Cantidad]]</f>
        <v>12731.700477599999</v>
      </c>
      <c r="Q7119" s="282" t="e">
        <f>(INDEX(Tabla6[#All],MATCH(Tabla4[[#This Row],[Producto]],Tabla6[[#All],[PRODUCTO]],0),MATCH(Tabla4[[#This Row],[Mes]],Tabla6[#Headers],0)))</f>
        <v>#N/A</v>
      </c>
      <c r="R7119" s="282" t="e">
        <f>++Tabla4[[#This Row],[Precio Unitario Neto]]-Tabla4[[#This Row],[20.85%]]-Tabla4[[#This Row],[Costo]]</f>
        <v>#N/A</v>
      </c>
      <c r="S7119" s="282" t="e">
        <f>++Tabla4[[#This Row],[U. Bruta Uni]]*Tabla4[[#This Row],[Cantidad]]</f>
        <v>#N/A</v>
      </c>
      <c r="T7119" s="369" t="str">
        <f>VLOOKUP(Tabla4[[#This Row],[Producto]],Tabla6[#All],14,FALSE)</f>
        <v>Termico Solar</v>
      </c>
      <c r="U7119" s="284" t="e">
        <f>(IF(Tabla4[[#This Row],[Familia]]="termico solar",Tabla4[[#This Row],[Utilidad Total]]*6%,Tabla4[[#This Row],[Utilidad Total]]*11.5%))/Tabla4[[#This Row],[Total]]</f>
        <v>#N/A</v>
      </c>
      <c r="V7119" s="282" t="e">
        <f>+Tabla4[[#This Row],[Comisión Calculada]]*Tabla4[[#This Row],[Total]]</f>
        <v>#N/A</v>
      </c>
    </row>
    <row r="7120" spans="1:22" hidden="1" x14ac:dyDescent="0.25">
      <c r="A7120" s="100">
        <v>45991</v>
      </c>
      <c r="B7120" t="str">
        <f t="shared" si="562"/>
        <v>November</v>
      </c>
      <c r="C7120" s="46" t="s">
        <v>280</v>
      </c>
      <c r="F7120" s="366" t="s">
        <v>3578</v>
      </c>
      <c r="G7120" s="46" t="s">
        <v>208</v>
      </c>
      <c r="H7120" s="46">
        <v>4</v>
      </c>
      <c r="I7120" s="51">
        <v>189.75</v>
      </c>
      <c r="J7120" s="281">
        <f>++Tabla4[[#This Row],[Precio Bruto]]*1.16</f>
        <v>220.10999999999999</v>
      </c>
      <c r="K7120" s="281">
        <f>+Tabla4[[#This Row],[Precio Unitario Neto]]*Tabla4[[#Headers],[20.85%]]</f>
        <v>45.892934999999994</v>
      </c>
      <c r="L7120" s="282">
        <f>++Tabla4[[#This Row],[Precio Unitario Neto]]-Tabla4[[#This Row],[20.85%]]</f>
        <v>174.21706499999999</v>
      </c>
      <c r="M7120" s="282" t="e">
        <f>(INDEX(Tabla6[#All],MATCH(Tabla4[[#This Row],[Producto]],Tabla6[[#All],[PRODUCTO]],0),MATCH(Tabla4[[#This Row],[Mes]],Tabla6[#Headers],0)))*(1+Catalogos!$L$2)</f>
        <v>#N/A</v>
      </c>
      <c r="N7120" s="283" t="e">
        <f>+(Tabla4[[#This Row],[Precio Descontado]]-Tabla4[[#This Row],[Precio Base]])*Tabla4[[#This Row],[Cantidad]]</f>
        <v>#N/A</v>
      </c>
      <c r="O7120" s="284" t="e">
        <f>++Tabla4[[#This Row],[Utilidad Total]]/Tabla4[[#This Row],[Total]]</f>
        <v>#N/A</v>
      </c>
      <c r="P7120" s="282">
        <f>++Tabla4[[#This Row],[Precio Descontado]]*Tabla4[[#This Row],[Cantidad]]</f>
        <v>696.86825999999996</v>
      </c>
      <c r="Q7120" s="282" t="e">
        <f>(INDEX(Tabla6[#All],MATCH(Tabla4[[#This Row],[Producto]],Tabla6[[#All],[PRODUCTO]],0),MATCH(Tabla4[[#This Row],[Mes]],Tabla6[#Headers],0)))</f>
        <v>#N/A</v>
      </c>
      <c r="R7120" s="282" t="e">
        <f>++Tabla4[[#This Row],[Precio Unitario Neto]]-Tabla4[[#This Row],[20.85%]]-Tabla4[[#This Row],[Costo]]</f>
        <v>#N/A</v>
      </c>
      <c r="S7120" s="282" t="e">
        <f>++Tabla4[[#This Row],[U. Bruta Uni]]*Tabla4[[#This Row],[Cantidad]]</f>
        <v>#N/A</v>
      </c>
      <c r="T7120" s="369" t="str">
        <f>VLOOKUP(Tabla4[[#This Row],[Producto]],Tabla6[#All],14,FALSE)</f>
        <v>Termico Solar</v>
      </c>
      <c r="U7120" s="284" t="e">
        <f>(IF(Tabla4[[#This Row],[Familia]]="termico solar",Tabla4[[#This Row],[Utilidad Total]]*6%,Tabla4[[#This Row],[Utilidad Total]]*11.5%))/Tabla4[[#This Row],[Total]]</f>
        <v>#N/A</v>
      </c>
      <c r="V7120" s="282" t="e">
        <f>+Tabla4[[#This Row],[Comisión Calculada]]*Tabla4[[#This Row],[Total]]</f>
        <v>#N/A</v>
      </c>
    </row>
    <row r="7121" spans="1:22" hidden="1" x14ac:dyDescent="0.25">
      <c r="A7121" s="100">
        <v>45991</v>
      </c>
      <c r="B7121" t="str">
        <f>TEXT(A7121, "mmmm")</f>
        <v>November</v>
      </c>
      <c r="C7121" s="46" t="s">
        <v>280</v>
      </c>
      <c r="F7121" s="366" t="s">
        <v>3579</v>
      </c>
      <c r="G7121" s="46" t="s">
        <v>208</v>
      </c>
      <c r="H7121" s="46">
        <v>8</v>
      </c>
      <c r="I7121" s="51">
        <v>189.75</v>
      </c>
      <c r="J7121" s="281">
        <f>++Tabla4[[#This Row],[Precio Bruto]]*1.16</f>
        <v>220.10999999999999</v>
      </c>
      <c r="K7121" s="281">
        <f>+Tabla4[[#This Row],[Precio Unitario Neto]]*Tabla4[[#Headers],[20.85%]]</f>
        <v>45.892934999999994</v>
      </c>
      <c r="L7121" s="282">
        <f>++Tabla4[[#This Row],[Precio Unitario Neto]]-Tabla4[[#This Row],[20.85%]]</f>
        <v>174.21706499999999</v>
      </c>
      <c r="M7121" s="282" t="e">
        <f>(INDEX(Tabla6[#All],MATCH(Tabla4[[#This Row],[Producto]],Tabla6[[#All],[PRODUCTO]],0),MATCH(Tabla4[[#This Row],[Mes]],Tabla6[#Headers],0)))*(1+Catalogos!$L$2)</f>
        <v>#N/A</v>
      </c>
      <c r="N7121" s="283" t="e">
        <f>+(Tabla4[[#This Row],[Precio Descontado]]-Tabla4[[#This Row],[Precio Base]])*Tabla4[[#This Row],[Cantidad]]</f>
        <v>#N/A</v>
      </c>
      <c r="O7121" s="284" t="e">
        <f>++Tabla4[[#This Row],[Utilidad Total]]/Tabla4[[#This Row],[Total]]</f>
        <v>#N/A</v>
      </c>
      <c r="P7121" s="282">
        <f>++Tabla4[[#This Row],[Precio Descontado]]*Tabla4[[#This Row],[Cantidad]]</f>
        <v>1393.7365199999999</v>
      </c>
      <c r="Q7121" s="282" t="e">
        <f>(INDEX(Tabla6[#All],MATCH(Tabla4[[#This Row],[Producto]],Tabla6[[#All],[PRODUCTO]],0),MATCH(Tabla4[[#This Row],[Mes]],Tabla6[#Headers],0)))</f>
        <v>#N/A</v>
      </c>
      <c r="R7121" s="282" t="e">
        <f>++Tabla4[[#This Row],[Precio Unitario Neto]]-Tabla4[[#This Row],[20.85%]]-Tabla4[[#This Row],[Costo]]</f>
        <v>#N/A</v>
      </c>
      <c r="S7121" s="282" t="e">
        <f>++Tabla4[[#This Row],[U. Bruta Uni]]*Tabla4[[#This Row],[Cantidad]]</f>
        <v>#N/A</v>
      </c>
      <c r="T7121" s="369" t="str">
        <f>VLOOKUP(Tabla4[[#This Row],[Producto]],Tabla6[#All],14,FALSE)</f>
        <v>Termico Solar</v>
      </c>
      <c r="U7121" s="284" t="e">
        <f>(IF(Tabla4[[#This Row],[Familia]]="termico solar",Tabla4[[#This Row],[Utilidad Total]]*6%,Tabla4[[#This Row],[Utilidad Total]]*11.5%))/Tabla4[[#This Row],[Total]]</f>
        <v>#N/A</v>
      </c>
      <c r="V7121" s="282" t="e">
        <f>+Tabla4[[#This Row],[Comisión Calculada]]*Tabla4[[#This Row],[Total]]</f>
        <v>#N/A</v>
      </c>
    </row>
    <row r="7122" spans="1:22" hidden="1" x14ac:dyDescent="0.25">
      <c r="A7122" s="100">
        <v>45991</v>
      </c>
      <c r="B7122" t="str">
        <f t="shared" ref="B7122:B7124" si="563">TEXT(A7122, "mmmm")</f>
        <v>November</v>
      </c>
      <c r="C7122" s="46" t="s">
        <v>280</v>
      </c>
      <c r="F7122" s="366" t="s">
        <v>3580</v>
      </c>
      <c r="G7122" s="46" t="s">
        <v>17</v>
      </c>
      <c r="H7122" s="46">
        <v>1</v>
      </c>
      <c r="I7122" s="51">
        <v>4622.28</v>
      </c>
      <c r="J7122" s="281">
        <f>++Tabla4[[#This Row],[Precio Bruto]]*1.16</f>
        <v>5361.8447999999989</v>
      </c>
      <c r="K7122" s="281">
        <f>+Tabla4[[#This Row],[Precio Unitario Neto]]*Tabla4[[#Headers],[20.85%]]</f>
        <v>1117.9446407999997</v>
      </c>
      <c r="L7122" s="282">
        <f>++Tabla4[[#This Row],[Precio Unitario Neto]]-Tabla4[[#This Row],[20.85%]]</f>
        <v>4243.9001591999995</v>
      </c>
      <c r="M7122" s="282" t="e">
        <f>(INDEX(Tabla6[#All],MATCH(Tabla4[[#This Row],[Producto]],Tabla6[[#All],[PRODUCTO]],0),MATCH(Tabla4[[#This Row],[Mes]],Tabla6[#Headers],0)))*(1+Catalogos!$L$2)</f>
        <v>#N/A</v>
      </c>
      <c r="N7122" s="283" t="e">
        <f>+(Tabla4[[#This Row],[Precio Descontado]]-Tabla4[[#This Row],[Precio Base]])*Tabla4[[#This Row],[Cantidad]]</f>
        <v>#N/A</v>
      </c>
      <c r="O7122" s="284" t="e">
        <f>++Tabla4[[#This Row],[Utilidad Total]]/Tabla4[[#This Row],[Total]]</f>
        <v>#N/A</v>
      </c>
      <c r="P7122" s="282">
        <f>++Tabla4[[#This Row],[Precio Descontado]]*Tabla4[[#This Row],[Cantidad]]</f>
        <v>4243.9001591999995</v>
      </c>
      <c r="Q7122" s="282" t="e">
        <f>(INDEX(Tabla6[#All],MATCH(Tabla4[[#This Row],[Producto]],Tabla6[[#All],[PRODUCTO]],0),MATCH(Tabla4[[#This Row],[Mes]],Tabla6[#Headers],0)))</f>
        <v>#N/A</v>
      </c>
      <c r="R7122" s="282" t="e">
        <f>++Tabla4[[#This Row],[Precio Unitario Neto]]-Tabla4[[#This Row],[20.85%]]-Tabla4[[#This Row],[Costo]]</f>
        <v>#N/A</v>
      </c>
      <c r="S7122" s="282" t="e">
        <f>++Tabla4[[#This Row],[U. Bruta Uni]]*Tabla4[[#This Row],[Cantidad]]</f>
        <v>#N/A</v>
      </c>
      <c r="T7122" s="369" t="str">
        <f>VLOOKUP(Tabla4[[#This Row],[Producto]],Tabla6[#All],14,FALSE)</f>
        <v>Termico Solar</v>
      </c>
      <c r="U7122" s="284" t="e">
        <f>(IF(Tabla4[[#This Row],[Familia]]="termico solar",Tabla4[[#This Row],[Utilidad Total]]*6%,Tabla4[[#This Row],[Utilidad Total]]*11.5%))/Tabla4[[#This Row],[Total]]</f>
        <v>#N/A</v>
      </c>
      <c r="V7122" s="282" t="e">
        <f>+Tabla4[[#This Row],[Comisión Calculada]]*Tabla4[[#This Row],[Total]]</f>
        <v>#N/A</v>
      </c>
    </row>
    <row r="7123" spans="1:22" hidden="1" x14ac:dyDescent="0.25">
      <c r="A7123" s="100">
        <v>45991</v>
      </c>
      <c r="B7123" t="str">
        <f t="shared" si="563"/>
        <v>November</v>
      </c>
      <c r="C7123" s="46" t="s">
        <v>280</v>
      </c>
      <c r="F7123" s="366" t="s">
        <v>3580</v>
      </c>
      <c r="G7123" s="46" t="s">
        <v>19</v>
      </c>
      <c r="H7123" s="46">
        <v>1</v>
      </c>
      <c r="I7123" s="51">
        <v>6412.03</v>
      </c>
      <c r="J7123" s="281">
        <f>++Tabla4[[#This Row],[Precio Bruto]]*1.16</f>
        <v>7437.9547999999995</v>
      </c>
      <c r="K7123" s="281">
        <f>+Tabla4[[#This Row],[Precio Unitario Neto]]*Tabla4[[#Headers],[20.85%]]</f>
        <v>1550.8135757999999</v>
      </c>
      <c r="L7123" s="282">
        <f>++Tabla4[[#This Row],[Precio Unitario Neto]]-Tabla4[[#This Row],[20.85%]]</f>
        <v>5887.1412241999997</v>
      </c>
      <c r="M7123" s="282" t="e">
        <f>(INDEX(Tabla6[#All],MATCH(Tabla4[[#This Row],[Producto]],Tabla6[[#All],[PRODUCTO]],0),MATCH(Tabla4[[#This Row],[Mes]],Tabla6[#Headers],0)))*(1+Catalogos!$L$2)</f>
        <v>#N/A</v>
      </c>
      <c r="N7123" s="283" t="e">
        <f>+(Tabla4[[#This Row],[Precio Descontado]]-Tabla4[[#This Row],[Precio Base]])*Tabla4[[#This Row],[Cantidad]]</f>
        <v>#N/A</v>
      </c>
      <c r="O7123" s="284" t="e">
        <f>++Tabla4[[#This Row],[Utilidad Total]]/Tabla4[[#This Row],[Total]]</f>
        <v>#N/A</v>
      </c>
      <c r="P7123" s="282">
        <f>++Tabla4[[#This Row],[Precio Descontado]]*Tabla4[[#This Row],[Cantidad]]</f>
        <v>5887.1412241999997</v>
      </c>
      <c r="Q7123" s="282" t="e">
        <f>(INDEX(Tabla6[#All],MATCH(Tabla4[[#This Row],[Producto]],Tabla6[[#All],[PRODUCTO]],0),MATCH(Tabla4[[#This Row],[Mes]],Tabla6[#Headers],0)))</f>
        <v>#N/A</v>
      </c>
      <c r="R7123" s="282" t="e">
        <f>++Tabla4[[#This Row],[Precio Unitario Neto]]-Tabla4[[#This Row],[20.85%]]-Tabla4[[#This Row],[Costo]]</f>
        <v>#N/A</v>
      </c>
      <c r="S7123" s="282" t="e">
        <f>++Tabla4[[#This Row],[U. Bruta Uni]]*Tabla4[[#This Row],[Cantidad]]</f>
        <v>#N/A</v>
      </c>
      <c r="T7123" s="369" t="str">
        <f>VLOOKUP(Tabla4[[#This Row],[Producto]],Tabla6[#All],14,FALSE)</f>
        <v>Termico Solar</v>
      </c>
      <c r="U7123" s="284" t="e">
        <f>(IF(Tabla4[[#This Row],[Familia]]="termico solar",Tabla4[[#This Row],[Utilidad Total]]*6%,Tabla4[[#This Row],[Utilidad Total]]*11.5%))/Tabla4[[#This Row],[Total]]</f>
        <v>#N/A</v>
      </c>
      <c r="V7123" s="282" t="e">
        <f>+Tabla4[[#This Row],[Comisión Calculada]]*Tabla4[[#This Row],[Total]]</f>
        <v>#N/A</v>
      </c>
    </row>
    <row r="7124" spans="1:22" hidden="1" x14ac:dyDescent="0.25">
      <c r="A7124" s="100">
        <v>45991</v>
      </c>
      <c r="B7124" t="str">
        <f t="shared" si="563"/>
        <v>November</v>
      </c>
      <c r="C7124" s="46" t="s">
        <v>280</v>
      </c>
      <c r="F7124" s="366" t="s">
        <v>3580</v>
      </c>
      <c r="G7124" s="46" t="s">
        <v>208</v>
      </c>
      <c r="H7124" s="46">
        <v>9</v>
      </c>
      <c r="I7124" s="51">
        <v>189.75</v>
      </c>
      <c r="J7124" s="281">
        <f>++Tabla4[[#This Row],[Precio Bruto]]*1.16</f>
        <v>220.10999999999999</v>
      </c>
      <c r="K7124" s="281">
        <f>+Tabla4[[#This Row],[Precio Unitario Neto]]*Tabla4[[#Headers],[20.85%]]</f>
        <v>45.892934999999994</v>
      </c>
      <c r="L7124" s="282">
        <f>++Tabla4[[#This Row],[Precio Unitario Neto]]-Tabla4[[#This Row],[20.85%]]</f>
        <v>174.21706499999999</v>
      </c>
      <c r="M7124" s="282" t="e">
        <f>(INDEX(Tabla6[#All],MATCH(Tabla4[[#This Row],[Producto]],Tabla6[[#All],[PRODUCTO]],0),MATCH(Tabla4[[#This Row],[Mes]],Tabla6[#Headers],0)))*(1+Catalogos!$L$2)</f>
        <v>#N/A</v>
      </c>
      <c r="N7124" s="283" t="e">
        <f>+(Tabla4[[#This Row],[Precio Descontado]]-Tabla4[[#This Row],[Precio Base]])*Tabla4[[#This Row],[Cantidad]]</f>
        <v>#N/A</v>
      </c>
      <c r="O7124" s="284" t="e">
        <f>++Tabla4[[#This Row],[Utilidad Total]]/Tabla4[[#This Row],[Total]]</f>
        <v>#N/A</v>
      </c>
      <c r="P7124" s="282">
        <f>++Tabla4[[#This Row],[Precio Descontado]]*Tabla4[[#This Row],[Cantidad]]</f>
        <v>1567.953585</v>
      </c>
      <c r="Q7124" s="282" t="e">
        <f>(INDEX(Tabla6[#All],MATCH(Tabla4[[#This Row],[Producto]],Tabla6[[#All],[PRODUCTO]],0),MATCH(Tabla4[[#This Row],[Mes]],Tabla6[#Headers],0)))</f>
        <v>#N/A</v>
      </c>
      <c r="R7124" s="282" t="e">
        <f>++Tabla4[[#This Row],[Precio Unitario Neto]]-Tabla4[[#This Row],[20.85%]]-Tabla4[[#This Row],[Costo]]</f>
        <v>#N/A</v>
      </c>
      <c r="S7124" s="282" t="e">
        <f>++Tabla4[[#This Row],[U. Bruta Uni]]*Tabla4[[#This Row],[Cantidad]]</f>
        <v>#N/A</v>
      </c>
      <c r="T7124" s="369" t="str">
        <f>VLOOKUP(Tabla4[[#This Row],[Producto]],Tabla6[#All],14,FALSE)</f>
        <v>Termico Solar</v>
      </c>
      <c r="U7124" s="284" t="e">
        <f>(IF(Tabla4[[#This Row],[Familia]]="termico solar",Tabla4[[#This Row],[Utilidad Total]]*6%,Tabla4[[#This Row],[Utilidad Total]]*11.5%))/Tabla4[[#This Row],[Total]]</f>
        <v>#N/A</v>
      </c>
      <c r="V7124" s="282" t="e">
        <f>+Tabla4[[#This Row],[Comisión Calculada]]*Tabla4[[#This Row],[Total]]</f>
        <v>#N/A</v>
      </c>
    </row>
    <row r="7125" spans="1:22" hidden="1" x14ac:dyDescent="0.25">
      <c r="A7125" s="100">
        <v>45991</v>
      </c>
      <c r="B7125" t="str">
        <f t="shared" ref="B7125:B7126" si="564">TEXT(A7125, "mmmm")</f>
        <v>November</v>
      </c>
      <c r="C7125" s="46" t="s">
        <v>280</v>
      </c>
      <c r="F7125" s="366" t="s">
        <v>3581</v>
      </c>
      <c r="G7125" s="46" t="s">
        <v>17</v>
      </c>
      <c r="H7125" s="46">
        <v>1</v>
      </c>
      <c r="I7125" s="51">
        <v>4622.28</v>
      </c>
      <c r="J7125" s="281">
        <f>++Tabla4[[#This Row],[Precio Bruto]]*1.16</f>
        <v>5361.8447999999989</v>
      </c>
      <c r="K7125" s="281">
        <f>+Tabla4[[#This Row],[Precio Unitario Neto]]*Tabla4[[#Headers],[20.85%]]</f>
        <v>1117.9446407999997</v>
      </c>
      <c r="L7125" s="282">
        <f>++Tabla4[[#This Row],[Precio Unitario Neto]]-Tabla4[[#This Row],[20.85%]]</f>
        <v>4243.9001591999995</v>
      </c>
      <c r="M7125" s="282" t="e">
        <f>(INDEX(Tabla6[#All],MATCH(Tabla4[[#This Row],[Producto]],Tabla6[[#All],[PRODUCTO]],0),MATCH(Tabla4[[#This Row],[Mes]],Tabla6[#Headers],0)))*(1+Catalogos!$L$2)</f>
        <v>#N/A</v>
      </c>
      <c r="N7125" s="283" t="e">
        <f>+(Tabla4[[#This Row],[Precio Descontado]]-Tabla4[[#This Row],[Precio Base]])*Tabla4[[#This Row],[Cantidad]]</f>
        <v>#N/A</v>
      </c>
      <c r="O7125" s="284" t="e">
        <f>++Tabla4[[#This Row],[Utilidad Total]]/Tabla4[[#This Row],[Total]]</f>
        <v>#N/A</v>
      </c>
      <c r="P7125" s="282">
        <f>++Tabla4[[#This Row],[Precio Descontado]]*Tabla4[[#This Row],[Cantidad]]</f>
        <v>4243.9001591999995</v>
      </c>
      <c r="Q7125" s="282" t="e">
        <f>(INDEX(Tabla6[#All],MATCH(Tabla4[[#This Row],[Producto]],Tabla6[[#All],[PRODUCTO]],0),MATCH(Tabla4[[#This Row],[Mes]],Tabla6[#Headers],0)))</f>
        <v>#N/A</v>
      </c>
      <c r="R7125" s="282" t="e">
        <f>++Tabla4[[#This Row],[Precio Unitario Neto]]-Tabla4[[#This Row],[20.85%]]-Tabla4[[#This Row],[Costo]]</f>
        <v>#N/A</v>
      </c>
      <c r="S7125" s="282" t="e">
        <f>++Tabla4[[#This Row],[U. Bruta Uni]]*Tabla4[[#This Row],[Cantidad]]</f>
        <v>#N/A</v>
      </c>
      <c r="T7125" s="369" t="str">
        <f>VLOOKUP(Tabla4[[#This Row],[Producto]],Tabla6[#All],14,FALSE)</f>
        <v>Termico Solar</v>
      </c>
      <c r="U7125" s="284" t="e">
        <f>(IF(Tabla4[[#This Row],[Familia]]="termico solar",Tabla4[[#This Row],[Utilidad Total]]*6%,Tabla4[[#This Row],[Utilidad Total]]*11.5%))/Tabla4[[#This Row],[Total]]</f>
        <v>#N/A</v>
      </c>
      <c r="V7125" s="282" t="e">
        <f>+Tabla4[[#This Row],[Comisión Calculada]]*Tabla4[[#This Row],[Total]]</f>
        <v>#N/A</v>
      </c>
    </row>
    <row r="7126" spans="1:22" hidden="1" x14ac:dyDescent="0.25">
      <c r="A7126" s="100">
        <v>45991</v>
      </c>
      <c r="B7126" t="str">
        <f t="shared" si="564"/>
        <v>November</v>
      </c>
      <c r="C7126" s="46" t="s">
        <v>280</v>
      </c>
      <c r="F7126" s="366" t="s">
        <v>3581</v>
      </c>
      <c r="G7126" s="46" t="s">
        <v>208</v>
      </c>
      <c r="H7126" s="46">
        <v>3</v>
      </c>
      <c r="I7126" s="51">
        <v>189.75</v>
      </c>
      <c r="J7126" s="281">
        <f>++Tabla4[[#This Row],[Precio Bruto]]*1.16</f>
        <v>220.10999999999999</v>
      </c>
      <c r="K7126" s="281">
        <f>+Tabla4[[#This Row],[Precio Unitario Neto]]*Tabla4[[#Headers],[20.85%]]</f>
        <v>45.892934999999994</v>
      </c>
      <c r="L7126" s="282">
        <f>++Tabla4[[#This Row],[Precio Unitario Neto]]-Tabla4[[#This Row],[20.85%]]</f>
        <v>174.21706499999999</v>
      </c>
      <c r="M7126" s="282" t="e">
        <f>(INDEX(Tabla6[#All],MATCH(Tabla4[[#This Row],[Producto]],Tabla6[[#All],[PRODUCTO]],0),MATCH(Tabla4[[#This Row],[Mes]],Tabla6[#Headers],0)))*(1+Catalogos!$L$2)</f>
        <v>#N/A</v>
      </c>
      <c r="N7126" s="283" t="e">
        <f>+(Tabla4[[#This Row],[Precio Descontado]]-Tabla4[[#This Row],[Precio Base]])*Tabla4[[#This Row],[Cantidad]]</f>
        <v>#N/A</v>
      </c>
      <c r="O7126" s="284" t="e">
        <f>++Tabla4[[#This Row],[Utilidad Total]]/Tabla4[[#This Row],[Total]]</f>
        <v>#N/A</v>
      </c>
      <c r="P7126" s="282">
        <f>++Tabla4[[#This Row],[Precio Descontado]]*Tabla4[[#This Row],[Cantidad]]</f>
        <v>522.65119499999992</v>
      </c>
      <c r="Q7126" s="282" t="e">
        <f>(INDEX(Tabla6[#All],MATCH(Tabla4[[#This Row],[Producto]],Tabla6[[#All],[PRODUCTO]],0),MATCH(Tabla4[[#This Row],[Mes]],Tabla6[#Headers],0)))</f>
        <v>#N/A</v>
      </c>
      <c r="R7126" s="282" t="e">
        <f>++Tabla4[[#This Row],[Precio Unitario Neto]]-Tabla4[[#This Row],[20.85%]]-Tabla4[[#This Row],[Costo]]</f>
        <v>#N/A</v>
      </c>
      <c r="S7126" s="282" t="e">
        <f>++Tabla4[[#This Row],[U. Bruta Uni]]*Tabla4[[#This Row],[Cantidad]]</f>
        <v>#N/A</v>
      </c>
      <c r="T7126" s="369" t="str">
        <f>VLOOKUP(Tabla4[[#This Row],[Producto]],Tabla6[#All],14,FALSE)</f>
        <v>Termico Solar</v>
      </c>
      <c r="U7126" s="284" t="e">
        <f>(IF(Tabla4[[#This Row],[Familia]]="termico solar",Tabla4[[#This Row],[Utilidad Total]]*6%,Tabla4[[#This Row],[Utilidad Total]]*11.5%))/Tabla4[[#This Row],[Total]]</f>
        <v>#N/A</v>
      </c>
      <c r="V7126" s="282" t="e">
        <f>+Tabla4[[#This Row],[Comisión Calculada]]*Tabla4[[#This Row],[Total]]</f>
        <v>#N/A</v>
      </c>
    </row>
    <row r="7127" spans="1:22" hidden="1" x14ac:dyDescent="0.25">
      <c r="A7127" s="100">
        <v>45991</v>
      </c>
      <c r="B7127" t="str">
        <f t="shared" ref="B7127:B7128" si="565">TEXT(A7127, "mmmm")</f>
        <v>November</v>
      </c>
      <c r="C7127" s="46" t="s">
        <v>280</v>
      </c>
      <c r="F7127" s="366" t="s">
        <v>3582</v>
      </c>
      <c r="G7127" s="46" t="s">
        <v>17</v>
      </c>
      <c r="H7127" s="46">
        <v>1</v>
      </c>
      <c r="I7127" s="51">
        <v>4622.28</v>
      </c>
      <c r="J7127" s="281">
        <f>++Tabla4[[#This Row],[Precio Bruto]]*1.16</f>
        <v>5361.8447999999989</v>
      </c>
      <c r="K7127" s="281">
        <f>+Tabla4[[#This Row],[Precio Unitario Neto]]*Tabla4[[#Headers],[20.85%]]</f>
        <v>1117.9446407999997</v>
      </c>
      <c r="L7127" s="282">
        <f>++Tabla4[[#This Row],[Precio Unitario Neto]]-Tabla4[[#This Row],[20.85%]]</f>
        <v>4243.9001591999995</v>
      </c>
      <c r="M7127" s="282" t="e">
        <f>(INDEX(Tabla6[#All],MATCH(Tabla4[[#This Row],[Producto]],Tabla6[[#All],[PRODUCTO]],0),MATCH(Tabla4[[#This Row],[Mes]],Tabla6[#Headers],0)))*(1+Catalogos!$L$2)</f>
        <v>#N/A</v>
      </c>
      <c r="N7127" s="283" t="e">
        <f>+(Tabla4[[#This Row],[Precio Descontado]]-Tabla4[[#This Row],[Precio Base]])*Tabla4[[#This Row],[Cantidad]]</f>
        <v>#N/A</v>
      </c>
      <c r="O7127" s="284" t="e">
        <f>++Tabla4[[#This Row],[Utilidad Total]]/Tabla4[[#This Row],[Total]]</f>
        <v>#N/A</v>
      </c>
      <c r="P7127" s="282">
        <f>++Tabla4[[#This Row],[Precio Descontado]]*Tabla4[[#This Row],[Cantidad]]</f>
        <v>4243.9001591999995</v>
      </c>
      <c r="Q7127" s="282" t="e">
        <f>(INDEX(Tabla6[#All],MATCH(Tabla4[[#This Row],[Producto]],Tabla6[[#All],[PRODUCTO]],0),MATCH(Tabla4[[#This Row],[Mes]],Tabla6[#Headers],0)))</f>
        <v>#N/A</v>
      </c>
      <c r="R7127" s="282" t="e">
        <f>++Tabla4[[#This Row],[Precio Unitario Neto]]-Tabla4[[#This Row],[20.85%]]-Tabla4[[#This Row],[Costo]]</f>
        <v>#N/A</v>
      </c>
      <c r="S7127" s="282" t="e">
        <f>++Tabla4[[#This Row],[U. Bruta Uni]]*Tabla4[[#This Row],[Cantidad]]</f>
        <v>#N/A</v>
      </c>
      <c r="T7127" s="369" t="str">
        <f>VLOOKUP(Tabla4[[#This Row],[Producto]],Tabla6[#All],14,FALSE)</f>
        <v>Termico Solar</v>
      </c>
      <c r="U7127" s="284" t="e">
        <f>(IF(Tabla4[[#This Row],[Familia]]="termico solar",Tabla4[[#This Row],[Utilidad Total]]*6%,Tabla4[[#This Row],[Utilidad Total]]*11.5%))/Tabla4[[#This Row],[Total]]</f>
        <v>#N/A</v>
      </c>
      <c r="V7127" s="282" t="e">
        <f>+Tabla4[[#This Row],[Comisión Calculada]]*Tabla4[[#This Row],[Total]]</f>
        <v>#N/A</v>
      </c>
    </row>
    <row r="7128" spans="1:22" hidden="1" x14ac:dyDescent="0.25">
      <c r="A7128" s="100">
        <v>45991</v>
      </c>
      <c r="B7128" t="str">
        <f t="shared" si="565"/>
        <v>November</v>
      </c>
      <c r="C7128" s="46" t="s">
        <v>280</v>
      </c>
      <c r="F7128" s="366" t="s">
        <v>3582</v>
      </c>
      <c r="G7128" s="46" t="s">
        <v>18</v>
      </c>
      <c r="H7128" s="46">
        <v>1</v>
      </c>
      <c r="I7128" s="51">
        <v>5367.65</v>
      </c>
      <c r="J7128" s="281">
        <f>++Tabla4[[#This Row],[Precio Bruto]]*1.16</f>
        <v>6226.4739999999993</v>
      </c>
      <c r="K7128" s="281">
        <f>+Tabla4[[#This Row],[Precio Unitario Neto]]*Tabla4[[#Headers],[20.85%]]</f>
        <v>1298.2198289999999</v>
      </c>
      <c r="L7128" s="282">
        <f>++Tabla4[[#This Row],[Precio Unitario Neto]]-Tabla4[[#This Row],[20.85%]]</f>
        <v>4928.2541709999996</v>
      </c>
      <c r="M7128" s="282" t="e">
        <f>(INDEX(Tabla6[#All],MATCH(Tabla4[[#This Row],[Producto]],Tabla6[[#All],[PRODUCTO]],0),MATCH(Tabla4[[#This Row],[Mes]],Tabla6[#Headers],0)))*(1+Catalogos!$L$2)</f>
        <v>#N/A</v>
      </c>
      <c r="N7128" s="283" t="e">
        <f>+(Tabla4[[#This Row],[Precio Descontado]]-Tabla4[[#This Row],[Precio Base]])*Tabla4[[#This Row],[Cantidad]]</f>
        <v>#N/A</v>
      </c>
      <c r="O7128" s="284" t="e">
        <f>++Tabla4[[#This Row],[Utilidad Total]]/Tabla4[[#This Row],[Total]]</f>
        <v>#N/A</v>
      </c>
      <c r="P7128" s="282">
        <f>++Tabla4[[#This Row],[Precio Descontado]]*Tabla4[[#This Row],[Cantidad]]</f>
        <v>4928.2541709999996</v>
      </c>
      <c r="Q7128" s="282" t="e">
        <f>(INDEX(Tabla6[#All],MATCH(Tabla4[[#This Row],[Producto]],Tabla6[[#All],[PRODUCTO]],0),MATCH(Tabla4[[#This Row],[Mes]],Tabla6[#Headers],0)))</f>
        <v>#N/A</v>
      </c>
      <c r="R7128" s="282" t="e">
        <f>++Tabla4[[#This Row],[Precio Unitario Neto]]-Tabla4[[#This Row],[20.85%]]-Tabla4[[#This Row],[Costo]]</f>
        <v>#N/A</v>
      </c>
      <c r="S7128" s="282" t="e">
        <f>++Tabla4[[#This Row],[U. Bruta Uni]]*Tabla4[[#This Row],[Cantidad]]</f>
        <v>#N/A</v>
      </c>
      <c r="T7128" s="369" t="str">
        <f>VLOOKUP(Tabla4[[#This Row],[Producto]],Tabla6[#All],14,FALSE)</f>
        <v>Termico Solar</v>
      </c>
      <c r="U7128" s="284" t="e">
        <f>(IF(Tabla4[[#This Row],[Familia]]="termico solar",Tabla4[[#This Row],[Utilidad Total]]*6%,Tabla4[[#This Row],[Utilidad Total]]*11.5%))/Tabla4[[#This Row],[Total]]</f>
        <v>#N/A</v>
      </c>
      <c r="V7128" s="282" t="e">
        <f>+Tabla4[[#This Row],[Comisión Calculada]]*Tabla4[[#This Row],[Total]]</f>
        <v>#N/A</v>
      </c>
    </row>
    <row r="7129" spans="1:22" hidden="1" x14ac:dyDescent="0.25">
      <c r="A7129" s="100">
        <v>45991</v>
      </c>
      <c r="B7129" t="str">
        <f t="shared" ref="B7129:B7130" si="566">TEXT(A7129, "mmmm")</f>
        <v>November</v>
      </c>
      <c r="C7129" s="46" t="s">
        <v>280</v>
      </c>
      <c r="F7129" s="366" t="s">
        <v>3583</v>
      </c>
      <c r="G7129" s="46" t="s">
        <v>17</v>
      </c>
      <c r="H7129" s="46">
        <v>1</v>
      </c>
      <c r="I7129" s="51">
        <v>4622.28</v>
      </c>
      <c r="J7129" s="281">
        <f>++Tabla4[[#This Row],[Precio Bruto]]*1.16</f>
        <v>5361.8447999999989</v>
      </c>
      <c r="K7129" s="281">
        <f>+Tabla4[[#This Row],[Precio Unitario Neto]]*Tabla4[[#Headers],[20.85%]]</f>
        <v>1117.9446407999997</v>
      </c>
      <c r="L7129" s="282">
        <f>++Tabla4[[#This Row],[Precio Unitario Neto]]-Tabla4[[#This Row],[20.85%]]</f>
        <v>4243.9001591999995</v>
      </c>
      <c r="M7129" s="282" t="e">
        <f>(INDEX(Tabla6[#All],MATCH(Tabla4[[#This Row],[Producto]],Tabla6[[#All],[PRODUCTO]],0),MATCH(Tabla4[[#This Row],[Mes]],Tabla6[#Headers],0)))*(1+Catalogos!$L$2)</f>
        <v>#N/A</v>
      </c>
      <c r="N7129" s="283" t="e">
        <f>+(Tabla4[[#This Row],[Precio Descontado]]-Tabla4[[#This Row],[Precio Base]])*Tabla4[[#This Row],[Cantidad]]</f>
        <v>#N/A</v>
      </c>
      <c r="O7129" s="284" t="e">
        <f>++Tabla4[[#This Row],[Utilidad Total]]/Tabla4[[#This Row],[Total]]</f>
        <v>#N/A</v>
      </c>
      <c r="P7129" s="282">
        <f>++Tabla4[[#This Row],[Precio Descontado]]*Tabla4[[#This Row],[Cantidad]]</f>
        <v>4243.9001591999995</v>
      </c>
      <c r="Q7129" s="282" t="e">
        <f>(INDEX(Tabla6[#All],MATCH(Tabla4[[#This Row],[Producto]],Tabla6[[#All],[PRODUCTO]],0),MATCH(Tabla4[[#This Row],[Mes]],Tabla6[#Headers],0)))</f>
        <v>#N/A</v>
      </c>
      <c r="R7129" s="282" t="e">
        <f>++Tabla4[[#This Row],[Precio Unitario Neto]]-Tabla4[[#This Row],[20.85%]]-Tabla4[[#This Row],[Costo]]</f>
        <v>#N/A</v>
      </c>
      <c r="S7129" s="282" t="e">
        <f>++Tabla4[[#This Row],[U. Bruta Uni]]*Tabla4[[#This Row],[Cantidad]]</f>
        <v>#N/A</v>
      </c>
      <c r="T7129" s="369" t="str">
        <f>VLOOKUP(Tabla4[[#This Row],[Producto]],Tabla6[#All],14,FALSE)</f>
        <v>Termico Solar</v>
      </c>
      <c r="U7129" s="284" t="e">
        <f>(IF(Tabla4[[#This Row],[Familia]]="termico solar",Tabla4[[#This Row],[Utilidad Total]]*6%,Tabla4[[#This Row],[Utilidad Total]]*11.5%))/Tabla4[[#This Row],[Total]]</f>
        <v>#N/A</v>
      </c>
      <c r="V7129" s="282" t="e">
        <f>+Tabla4[[#This Row],[Comisión Calculada]]*Tabla4[[#This Row],[Total]]</f>
        <v>#N/A</v>
      </c>
    </row>
    <row r="7130" spans="1:22" hidden="1" x14ac:dyDescent="0.25">
      <c r="A7130" s="100">
        <v>45991</v>
      </c>
      <c r="B7130" t="str">
        <f t="shared" si="566"/>
        <v>November</v>
      </c>
      <c r="C7130" s="46" t="s">
        <v>280</v>
      </c>
      <c r="F7130" s="366" t="s">
        <v>3583</v>
      </c>
      <c r="G7130" s="46" t="s">
        <v>18</v>
      </c>
      <c r="H7130" s="46">
        <v>1</v>
      </c>
      <c r="I7130" s="51">
        <v>5367.65</v>
      </c>
      <c r="J7130" s="281">
        <f>++Tabla4[[#This Row],[Precio Bruto]]*1.16</f>
        <v>6226.4739999999993</v>
      </c>
      <c r="K7130" s="281">
        <f>+Tabla4[[#This Row],[Precio Unitario Neto]]*Tabla4[[#Headers],[20.85%]]</f>
        <v>1298.2198289999999</v>
      </c>
      <c r="L7130" s="282">
        <f>++Tabla4[[#This Row],[Precio Unitario Neto]]-Tabla4[[#This Row],[20.85%]]</f>
        <v>4928.2541709999996</v>
      </c>
      <c r="M7130" s="282" t="e">
        <f>(INDEX(Tabla6[#All],MATCH(Tabla4[[#This Row],[Producto]],Tabla6[[#All],[PRODUCTO]],0),MATCH(Tabla4[[#This Row],[Mes]],Tabla6[#Headers],0)))*(1+Catalogos!$L$2)</f>
        <v>#N/A</v>
      </c>
      <c r="N7130" s="283" t="e">
        <f>+(Tabla4[[#This Row],[Precio Descontado]]-Tabla4[[#This Row],[Precio Base]])*Tabla4[[#This Row],[Cantidad]]</f>
        <v>#N/A</v>
      </c>
      <c r="O7130" s="284" t="e">
        <f>++Tabla4[[#This Row],[Utilidad Total]]/Tabla4[[#This Row],[Total]]</f>
        <v>#N/A</v>
      </c>
      <c r="P7130" s="282">
        <f>++Tabla4[[#This Row],[Precio Descontado]]*Tabla4[[#This Row],[Cantidad]]</f>
        <v>4928.2541709999996</v>
      </c>
      <c r="Q7130" s="282" t="e">
        <f>(INDEX(Tabla6[#All],MATCH(Tabla4[[#This Row],[Producto]],Tabla6[[#All],[PRODUCTO]],0),MATCH(Tabla4[[#This Row],[Mes]],Tabla6[#Headers],0)))</f>
        <v>#N/A</v>
      </c>
      <c r="R7130" s="282" t="e">
        <f>++Tabla4[[#This Row],[Precio Unitario Neto]]-Tabla4[[#This Row],[20.85%]]-Tabla4[[#This Row],[Costo]]</f>
        <v>#N/A</v>
      </c>
      <c r="S7130" s="282" t="e">
        <f>++Tabla4[[#This Row],[U. Bruta Uni]]*Tabla4[[#This Row],[Cantidad]]</f>
        <v>#N/A</v>
      </c>
      <c r="T7130" s="369" t="str">
        <f>VLOOKUP(Tabla4[[#This Row],[Producto]],Tabla6[#All],14,FALSE)</f>
        <v>Termico Solar</v>
      </c>
      <c r="U7130" s="284" t="e">
        <f>(IF(Tabla4[[#This Row],[Familia]]="termico solar",Tabla4[[#This Row],[Utilidad Total]]*6%,Tabla4[[#This Row],[Utilidad Total]]*11.5%))/Tabla4[[#This Row],[Total]]</f>
        <v>#N/A</v>
      </c>
      <c r="V7130" s="282" t="e">
        <f>+Tabla4[[#This Row],[Comisión Calculada]]*Tabla4[[#This Row],[Total]]</f>
        <v>#N/A</v>
      </c>
    </row>
    <row r="7131" spans="1:22" hidden="1" x14ac:dyDescent="0.25">
      <c r="A7131" s="100">
        <v>45991</v>
      </c>
      <c r="B7131" t="str">
        <f>TEXT(A7131, "mmmm")</f>
        <v>November</v>
      </c>
      <c r="C7131" s="46" t="s">
        <v>280</v>
      </c>
      <c r="F7131" s="366" t="s">
        <v>3584</v>
      </c>
      <c r="G7131" s="46" t="s">
        <v>17</v>
      </c>
      <c r="H7131" s="46">
        <v>1</v>
      </c>
      <c r="I7131" s="51">
        <v>4622.28</v>
      </c>
      <c r="J7131" s="281">
        <f>++Tabla4[[#This Row],[Precio Bruto]]*1.16</f>
        <v>5361.8447999999989</v>
      </c>
      <c r="K7131" s="281">
        <f>+Tabla4[[#This Row],[Precio Unitario Neto]]*Tabla4[[#Headers],[20.85%]]</f>
        <v>1117.9446407999997</v>
      </c>
      <c r="L7131" s="282">
        <f>++Tabla4[[#This Row],[Precio Unitario Neto]]-Tabla4[[#This Row],[20.85%]]</f>
        <v>4243.9001591999995</v>
      </c>
      <c r="M7131" s="282" t="e">
        <f>(INDEX(Tabla6[#All],MATCH(Tabla4[[#This Row],[Producto]],Tabla6[[#All],[PRODUCTO]],0),MATCH(Tabla4[[#This Row],[Mes]],Tabla6[#Headers],0)))*(1+Catalogos!$L$2)</f>
        <v>#N/A</v>
      </c>
      <c r="N7131" s="283" t="e">
        <f>+(Tabla4[[#This Row],[Precio Descontado]]-Tabla4[[#This Row],[Precio Base]])*Tabla4[[#This Row],[Cantidad]]</f>
        <v>#N/A</v>
      </c>
      <c r="O7131" s="284" t="e">
        <f>++Tabla4[[#This Row],[Utilidad Total]]/Tabla4[[#This Row],[Total]]</f>
        <v>#N/A</v>
      </c>
      <c r="P7131" s="282">
        <f>++Tabla4[[#This Row],[Precio Descontado]]*Tabla4[[#This Row],[Cantidad]]</f>
        <v>4243.9001591999995</v>
      </c>
      <c r="Q7131" s="282" t="e">
        <f>(INDEX(Tabla6[#All],MATCH(Tabla4[[#This Row],[Producto]],Tabla6[[#All],[PRODUCTO]],0),MATCH(Tabla4[[#This Row],[Mes]],Tabla6[#Headers],0)))</f>
        <v>#N/A</v>
      </c>
      <c r="R7131" s="282" t="e">
        <f>++Tabla4[[#This Row],[Precio Unitario Neto]]-Tabla4[[#This Row],[20.85%]]-Tabla4[[#This Row],[Costo]]</f>
        <v>#N/A</v>
      </c>
      <c r="S7131" s="282" t="e">
        <f>++Tabla4[[#This Row],[U. Bruta Uni]]*Tabla4[[#This Row],[Cantidad]]</f>
        <v>#N/A</v>
      </c>
      <c r="T7131" s="369" t="str">
        <f>VLOOKUP(Tabla4[[#This Row],[Producto]],Tabla6[#All],14,FALSE)</f>
        <v>Termico Solar</v>
      </c>
      <c r="U7131" s="284" t="e">
        <f>(IF(Tabla4[[#This Row],[Familia]]="termico solar",Tabla4[[#This Row],[Utilidad Total]]*6%,Tabla4[[#This Row],[Utilidad Total]]*11.5%))/Tabla4[[#This Row],[Total]]</f>
        <v>#N/A</v>
      </c>
      <c r="V7131" s="282" t="e">
        <f>+Tabla4[[#This Row],[Comisión Calculada]]*Tabla4[[#This Row],[Total]]</f>
        <v>#N/A</v>
      </c>
    </row>
    <row r="7132" spans="1:22" hidden="1" x14ac:dyDescent="0.25">
      <c r="A7132" s="100">
        <v>45991</v>
      </c>
      <c r="B7132" t="str">
        <f>TEXT(A7132, "mmmm")</f>
        <v>November</v>
      </c>
      <c r="C7132" s="46" t="s">
        <v>280</v>
      </c>
      <c r="F7132" s="366" t="s">
        <v>3585</v>
      </c>
      <c r="G7132" s="46" t="s">
        <v>566</v>
      </c>
      <c r="H7132" s="46">
        <v>1</v>
      </c>
      <c r="I7132" s="51">
        <v>2109.4499999999998</v>
      </c>
      <c r="J7132" s="281">
        <f>++Tabla4[[#This Row],[Precio Bruto]]*1.16</f>
        <v>2446.9619999999995</v>
      </c>
      <c r="K7132" s="281">
        <f>+Tabla4[[#This Row],[Precio Unitario Neto]]*Tabla4[[#Headers],[20.85%]]</f>
        <v>510.19157699999988</v>
      </c>
      <c r="L7132" s="282">
        <f>++Tabla4[[#This Row],[Precio Unitario Neto]]-Tabla4[[#This Row],[20.85%]]</f>
        <v>1936.7704229999997</v>
      </c>
      <c r="M7132" s="282" t="e">
        <f>(INDEX(Tabla6[#All],MATCH(Tabla4[[#This Row],[Producto]],Tabla6[[#All],[PRODUCTO]],0),MATCH(Tabla4[[#This Row],[Mes]],Tabla6[#Headers],0)))*(1+Catalogos!$L$2)</f>
        <v>#N/A</v>
      </c>
      <c r="N7132" s="283" t="e">
        <f>+(Tabla4[[#This Row],[Precio Descontado]]-Tabla4[[#This Row],[Precio Base]])*Tabla4[[#This Row],[Cantidad]]</f>
        <v>#N/A</v>
      </c>
      <c r="O7132" s="284" t="e">
        <f>++Tabla4[[#This Row],[Utilidad Total]]/Tabla4[[#This Row],[Total]]</f>
        <v>#N/A</v>
      </c>
      <c r="P7132" s="282">
        <f>++Tabla4[[#This Row],[Precio Descontado]]*Tabla4[[#This Row],[Cantidad]]</f>
        <v>1936.7704229999997</v>
      </c>
      <c r="Q7132" s="282" t="e">
        <f>(INDEX(Tabla6[#All],MATCH(Tabla4[[#This Row],[Producto]],Tabla6[[#All],[PRODUCTO]],0),MATCH(Tabla4[[#This Row],[Mes]],Tabla6[#Headers],0)))</f>
        <v>#N/A</v>
      </c>
      <c r="R7132" s="282" t="e">
        <f>++Tabla4[[#This Row],[Precio Unitario Neto]]-Tabla4[[#This Row],[20.85%]]-Tabla4[[#This Row],[Costo]]</f>
        <v>#N/A</v>
      </c>
      <c r="S7132" s="282" t="e">
        <f>++Tabla4[[#This Row],[U. Bruta Uni]]*Tabla4[[#This Row],[Cantidad]]</f>
        <v>#N/A</v>
      </c>
      <c r="T7132" s="369" t="str">
        <f>VLOOKUP(Tabla4[[#This Row],[Producto]],Tabla6[#All],14,FALSE)</f>
        <v>Termico Solar</v>
      </c>
      <c r="U7132" s="284" t="e">
        <f>(IF(Tabla4[[#This Row],[Familia]]="termico solar",Tabla4[[#This Row],[Utilidad Total]]*6%,Tabla4[[#This Row],[Utilidad Total]]*11.5%))/Tabla4[[#This Row],[Total]]</f>
        <v>#N/A</v>
      </c>
      <c r="V7132" s="282" t="e">
        <f>+Tabla4[[#This Row],[Comisión Calculada]]*Tabla4[[#This Row],[Total]]</f>
        <v>#N/A</v>
      </c>
    </row>
    <row r="7133" spans="1:22" hidden="1" x14ac:dyDescent="0.25">
      <c r="A7133" s="100">
        <v>45991</v>
      </c>
      <c r="B7133" t="str">
        <f t="shared" ref="B7133:B7134" si="567">TEXT(A7133, "mmmm")</f>
        <v>November</v>
      </c>
      <c r="C7133" s="46" t="s">
        <v>280</v>
      </c>
      <c r="F7133" s="366" t="s">
        <v>3586</v>
      </c>
      <c r="G7133" s="46" t="s">
        <v>83</v>
      </c>
      <c r="H7133" s="46">
        <v>3</v>
      </c>
      <c r="I7133" s="51">
        <v>8858.76</v>
      </c>
      <c r="J7133" s="281">
        <f>++Tabla4[[#This Row],[Precio Bruto]]*1.16</f>
        <v>10276.161599999999</v>
      </c>
      <c r="K7133" s="281">
        <f>+Tabla4[[#This Row],[Precio Unitario Neto]]*Tabla4[[#Headers],[20.85%]]</f>
        <v>2142.5796935999997</v>
      </c>
      <c r="L7133" s="282">
        <f>++Tabla4[[#This Row],[Precio Unitario Neto]]-Tabla4[[#This Row],[20.85%]]</f>
        <v>8133.5819063999998</v>
      </c>
      <c r="M7133" s="282" t="e">
        <f>(INDEX(Tabla6[#All],MATCH(Tabla4[[#This Row],[Producto]],Tabla6[[#All],[PRODUCTO]],0),MATCH(Tabla4[[#This Row],[Mes]],Tabla6[#Headers],0)))*(1+Catalogos!$L$2)</f>
        <v>#N/A</v>
      </c>
      <c r="N7133" s="283" t="e">
        <f>+(Tabla4[[#This Row],[Precio Descontado]]-Tabla4[[#This Row],[Precio Base]])*Tabla4[[#This Row],[Cantidad]]</f>
        <v>#N/A</v>
      </c>
      <c r="O7133" s="284" t="e">
        <f>++Tabla4[[#This Row],[Utilidad Total]]/Tabla4[[#This Row],[Total]]</f>
        <v>#N/A</v>
      </c>
      <c r="P7133" s="282">
        <f>++Tabla4[[#This Row],[Precio Descontado]]*Tabla4[[#This Row],[Cantidad]]</f>
        <v>24400.7457192</v>
      </c>
      <c r="Q7133" s="282" t="e">
        <f>(INDEX(Tabla6[#All],MATCH(Tabla4[[#This Row],[Producto]],Tabla6[[#All],[PRODUCTO]],0),MATCH(Tabla4[[#This Row],[Mes]],Tabla6[#Headers],0)))</f>
        <v>#N/A</v>
      </c>
      <c r="R7133" s="282" t="e">
        <f>++Tabla4[[#This Row],[Precio Unitario Neto]]-Tabla4[[#This Row],[20.85%]]-Tabla4[[#This Row],[Costo]]</f>
        <v>#N/A</v>
      </c>
      <c r="S7133" s="282" t="e">
        <f>++Tabla4[[#This Row],[U. Bruta Uni]]*Tabla4[[#This Row],[Cantidad]]</f>
        <v>#N/A</v>
      </c>
      <c r="T7133" s="369" t="str">
        <f>VLOOKUP(Tabla4[[#This Row],[Producto]],Tabla6[#All],14,FALSE)</f>
        <v>Termico Solar</v>
      </c>
      <c r="U7133" s="284" t="e">
        <f>(IF(Tabla4[[#This Row],[Familia]]="termico solar",Tabla4[[#This Row],[Utilidad Total]]*6%,Tabla4[[#This Row],[Utilidad Total]]*11.5%))/Tabla4[[#This Row],[Total]]</f>
        <v>#N/A</v>
      </c>
      <c r="V7133" s="282" t="e">
        <f>+Tabla4[[#This Row],[Comisión Calculada]]*Tabla4[[#This Row],[Total]]</f>
        <v>#N/A</v>
      </c>
    </row>
    <row r="7134" spans="1:22" hidden="1" x14ac:dyDescent="0.25">
      <c r="A7134" s="100">
        <v>45991</v>
      </c>
      <c r="B7134" t="str">
        <f t="shared" si="567"/>
        <v>November</v>
      </c>
      <c r="C7134" s="46" t="s">
        <v>280</v>
      </c>
      <c r="F7134" s="366" t="s">
        <v>3586</v>
      </c>
      <c r="G7134" s="46" t="s">
        <v>18</v>
      </c>
      <c r="H7134" s="46">
        <v>1</v>
      </c>
      <c r="I7134" s="51">
        <v>5367.65</v>
      </c>
      <c r="J7134" s="281">
        <f>++Tabla4[[#This Row],[Precio Bruto]]*1.16</f>
        <v>6226.4739999999993</v>
      </c>
      <c r="K7134" s="281">
        <f>+Tabla4[[#This Row],[Precio Unitario Neto]]*Tabla4[[#Headers],[20.85%]]</f>
        <v>1298.2198289999999</v>
      </c>
      <c r="L7134" s="282">
        <f>++Tabla4[[#This Row],[Precio Unitario Neto]]-Tabla4[[#This Row],[20.85%]]</f>
        <v>4928.2541709999996</v>
      </c>
      <c r="M7134" s="282" t="e">
        <f>(INDEX(Tabla6[#All],MATCH(Tabla4[[#This Row],[Producto]],Tabla6[[#All],[PRODUCTO]],0),MATCH(Tabla4[[#This Row],[Mes]],Tabla6[#Headers],0)))*(1+Catalogos!$L$2)</f>
        <v>#N/A</v>
      </c>
      <c r="N7134" s="283" t="e">
        <f>+(Tabla4[[#This Row],[Precio Descontado]]-Tabla4[[#This Row],[Precio Base]])*Tabla4[[#This Row],[Cantidad]]</f>
        <v>#N/A</v>
      </c>
      <c r="O7134" s="284" t="e">
        <f>++Tabla4[[#This Row],[Utilidad Total]]/Tabla4[[#This Row],[Total]]</f>
        <v>#N/A</v>
      </c>
      <c r="P7134" s="282">
        <f>++Tabla4[[#This Row],[Precio Descontado]]*Tabla4[[#This Row],[Cantidad]]</f>
        <v>4928.2541709999996</v>
      </c>
      <c r="Q7134" s="282" t="e">
        <f>(INDEX(Tabla6[#All],MATCH(Tabla4[[#This Row],[Producto]],Tabla6[[#All],[PRODUCTO]],0),MATCH(Tabla4[[#This Row],[Mes]],Tabla6[#Headers],0)))</f>
        <v>#N/A</v>
      </c>
      <c r="R7134" s="282" t="e">
        <f>++Tabla4[[#This Row],[Precio Unitario Neto]]-Tabla4[[#This Row],[20.85%]]-Tabla4[[#This Row],[Costo]]</f>
        <v>#N/A</v>
      </c>
      <c r="S7134" s="282" t="e">
        <f>++Tabla4[[#This Row],[U. Bruta Uni]]*Tabla4[[#This Row],[Cantidad]]</f>
        <v>#N/A</v>
      </c>
      <c r="T7134" s="369" t="str">
        <f>VLOOKUP(Tabla4[[#This Row],[Producto]],Tabla6[#All],14,FALSE)</f>
        <v>Termico Solar</v>
      </c>
      <c r="U7134" s="284" t="e">
        <f>(IF(Tabla4[[#This Row],[Familia]]="termico solar",Tabla4[[#This Row],[Utilidad Total]]*6%,Tabla4[[#This Row],[Utilidad Total]]*11.5%))/Tabla4[[#This Row],[Total]]</f>
        <v>#N/A</v>
      </c>
      <c r="V7134" s="282" t="e">
        <f>+Tabla4[[#This Row],[Comisión Calculada]]*Tabla4[[#This Row],[Total]]</f>
        <v>#N/A</v>
      </c>
    </row>
    <row r="7135" spans="1:22" hidden="1" x14ac:dyDescent="0.25">
      <c r="A7135" s="100">
        <v>45991</v>
      </c>
      <c r="B7135" t="str">
        <f t="shared" ref="B7135:B7137" si="568">TEXT(A7135, "mmmm")</f>
        <v>November</v>
      </c>
      <c r="C7135" s="46" t="s">
        <v>280</v>
      </c>
      <c r="F7135" s="366" t="s">
        <v>3587</v>
      </c>
      <c r="G7135" s="46" t="s">
        <v>83</v>
      </c>
      <c r="H7135" s="46">
        <v>1</v>
      </c>
      <c r="I7135" s="51">
        <v>8858.76</v>
      </c>
      <c r="J7135" s="281">
        <f>++Tabla4[[#This Row],[Precio Bruto]]*1.16</f>
        <v>10276.161599999999</v>
      </c>
      <c r="K7135" s="281">
        <f>+Tabla4[[#This Row],[Precio Unitario Neto]]*Tabla4[[#Headers],[20.85%]]</f>
        <v>2142.5796935999997</v>
      </c>
      <c r="L7135" s="282">
        <f>++Tabla4[[#This Row],[Precio Unitario Neto]]-Tabla4[[#This Row],[20.85%]]</f>
        <v>8133.5819063999998</v>
      </c>
      <c r="M7135" s="282" t="e">
        <f>(INDEX(Tabla6[#All],MATCH(Tabla4[[#This Row],[Producto]],Tabla6[[#All],[PRODUCTO]],0),MATCH(Tabla4[[#This Row],[Mes]],Tabla6[#Headers],0)))*(1+Catalogos!$L$2)</f>
        <v>#N/A</v>
      </c>
      <c r="N7135" s="283" t="e">
        <f>+(Tabla4[[#This Row],[Precio Descontado]]-Tabla4[[#This Row],[Precio Base]])*Tabla4[[#This Row],[Cantidad]]</f>
        <v>#N/A</v>
      </c>
      <c r="O7135" s="284" t="e">
        <f>++Tabla4[[#This Row],[Utilidad Total]]/Tabla4[[#This Row],[Total]]</f>
        <v>#N/A</v>
      </c>
      <c r="P7135" s="282">
        <f>++Tabla4[[#This Row],[Precio Descontado]]*Tabla4[[#This Row],[Cantidad]]</f>
        <v>8133.5819063999998</v>
      </c>
      <c r="Q7135" s="282" t="e">
        <f>(INDEX(Tabla6[#All],MATCH(Tabla4[[#This Row],[Producto]],Tabla6[[#All],[PRODUCTO]],0),MATCH(Tabla4[[#This Row],[Mes]],Tabla6[#Headers],0)))</f>
        <v>#N/A</v>
      </c>
      <c r="R7135" s="282" t="e">
        <f>++Tabla4[[#This Row],[Precio Unitario Neto]]-Tabla4[[#This Row],[20.85%]]-Tabla4[[#This Row],[Costo]]</f>
        <v>#N/A</v>
      </c>
      <c r="S7135" s="282" t="e">
        <f>++Tabla4[[#This Row],[U. Bruta Uni]]*Tabla4[[#This Row],[Cantidad]]</f>
        <v>#N/A</v>
      </c>
      <c r="T7135" s="369" t="str">
        <f>VLOOKUP(Tabla4[[#This Row],[Producto]],Tabla6[#All],14,FALSE)</f>
        <v>Termico Solar</v>
      </c>
      <c r="U7135" s="284" t="e">
        <f>(IF(Tabla4[[#This Row],[Familia]]="termico solar",Tabla4[[#This Row],[Utilidad Total]]*6%,Tabla4[[#This Row],[Utilidad Total]]*11.5%))/Tabla4[[#This Row],[Total]]</f>
        <v>#N/A</v>
      </c>
      <c r="V7135" s="282" t="e">
        <f>+Tabla4[[#This Row],[Comisión Calculada]]*Tabla4[[#This Row],[Total]]</f>
        <v>#N/A</v>
      </c>
    </row>
    <row r="7136" spans="1:22" hidden="1" x14ac:dyDescent="0.25">
      <c r="A7136" s="100">
        <v>45991</v>
      </c>
      <c r="B7136" t="str">
        <f t="shared" si="568"/>
        <v>November</v>
      </c>
      <c r="C7136" s="46" t="s">
        <v>280</v>
      </c>
      <c r="F7136" s="366" t="s">
        <v>3587</v>
      </c>
      <c r="G7136" s="46" t="s">
        <v>17</v>
      </c>
      <c r="H7136" s="46">
        <v>1</v>
      </c>
      <c r="I7136" s="51">
        <v>4622.28</v>
      </c>
      <c r="J7136" s="281">
        <f>++Tabla4[[#This Row],[Precio Bruto]]*1.16</f>
        <v>5361.8447999999989</v>
      </c>
      <c r="K7136" s="281">
        <f>+Tabla4[[#This Row],[Precio Unitario Neto]]*Tabla4[[#Headers],[20.85%]]</f>
        <v>1117.9446407999997</v>
      </c>
      <c r="L7136" s="282">
        <f>++Tabla4[[#This Row],[Precio Unitario Neto]]-Tabla4[[#This Row],[20.85%]]</f>
        <v>4243.9001591999995</v>
      </c>
      <c r="M7136" s="282" t="e">
        <f>(INDEX(Tabla6[#All],MATCH(Tabla4[[#This Row],[Producto]],Tabla6[[#All],[PRODUCTO]],0),MATCH(Tabla4[[#This Row],[Mes]],Tabla6[#Headers],0)))*(1+Catalogos!$L$2)</f>
        <v>#N/A</v>
      </c>
      <c r="N7136" s="283" t="e">
        <f>+(Tabla4[[#This Row],[Precio Descontado]]-Tabla4[[#This Row],[Precio Base]])*Tabla4[[#This Row],[Cantidad]]</f>
        <v>#N/A</v>
      </c>
      <c r="O7136" s="284" t="e">
        <f>++Tabla4[[#This Row],[Utilidad Total]]/Tabla4[[#This Row],[Total]]</f>
        <v>#N/A</v>
      </c>
      <c r="P7136" s="282">
        <f>++Tabla4[[#This Row],[Precio Descontado]]*Tabla4[[#This Row],[Cantidad]]</f>
        <v>4243.9001591999995</v>
      </c>
      <c r="Q7136" s="282" t="e">
        <f>(INDEX(Tabla6[#All],MATCH(Tabla4[[#This Row],[Producto]],Tabla6[[#All],[PRODUCTO]],0),MATCH(Tabla4[[#This Row],[Mes]],Tabla6[#Headers],0)))</f>
        <v>#N/A</v>
      </c>
      <c r="R7136" s="282" t="e">
        <f>++Tabla4[[#This Row],[Precio Unitario Neto]]-Tabla4[[#This Row],[20.85%]]-Tabla4[[#This Row],[Costo]]</f>
        <v>#N/A</v>
      </c>
      <c r="S7136" s="282" t="e">
        <f>++Tabla4[[#This Row],[U. Bruta Uni]]*Tabla4[[#This Row],[Cantidad]]</f>
        <v>#N/A</v>
      </c>
      <c r="T7136" s="369" t="str">
        <f>VLOOKUP(Tabla4[[#This Row],[Producto]],Tabla6[#All],14,FALSE)</f>
        <v>Termico Solar</v>
      </c>
      <c r="U7136" s="284" t="e">
        <f>(IF(Tabla4[[#This Row],[Familia]]="termico solar",Tabla4[[#This Row],[Utilidad Total]]*6%,Tabla4[[#This Row],[Utilidad Total]]*11.5%))/Tabla4[[#This Row],[Total]]</f>
        <v>#N/A</v>
      </c>
      <c r="V7136" s="282" t="e">
        <f>+Tabla4[[#This Row],[Comisión Calculada]]*Tabla4[[#This Row],[Total]]</f>
        <v>#N/A</v>
      </c>
    </row>
    <row r="7137" spans="1:22" hidden="1" x14ac:dyDescent="0.25">
      <c r="A7137" s="100">
        <v>45991</v>
      </c>
      <c r="B7137" t="str">
        <f t="shared" si="568"/>
        <v>November</v>
      </c>
      <c r="C7137" s="46" t="s">
        <v>280</v>
      </c>
      <c r="F7137" s="366" t="s">
        <v>3587</v>
      </c>
      <c r="G7137" s="46" t="s">
        <v>208</v>
      </c>
      <c r="H7137" s="46">
        <v>4</v>
      </c>
      <c r="I7137" s="51">
        <v>189.75</v>
      </c>
      <c r="J7137" s="281">
        <f>++Tabla4[[#This Row],[Precio Bruto]]*1.16</f>
        <v>220.10999999999999</v>
      </c>
      <c r="K7137" s="281">
        <f>+Tabla4[[#This Row],[Precio Unitario Neto]]*Tabla4[[#Headers],[20.85%]]</f>
        <v>45.892934999999994</v>
      </c>
      <c r="L7137" s="282">
        <f>++Tabla4[[#This Row],[Precio Unitario Neto]]-Tabla4[[#This Row],[20.85%]]</f>
        <v>174.21706499999999</v>
      </c>
      <c r="M7137" s="282" t="e">
        <f>(INDEX(Tabla6[#All],MATCH(Tabla4[[#This Row],[Producto]],Tabla6[[#All],[PRODUCTO]],0),MATCH(Tabla4[[#This Row],[Mes]],Tabla6[#Headers],0)))*(1+Catalogos!$L$2)</f>
        <v>#N/A</v>
      </c>
      <c r="N7137" s="283" t="e">
        <f>+(Tabla4[[#This Row],[Precio Descontado]]-Tabla4[[#This Row],[Precio Base]])*Tabla4[[#This Row],[Cantidad]]</f>
        <v>#N/A</v>
      </c>
      <c r="O7137" s="284" t="e">
        <f>++Tabla4[[#This Row],[Utilidad Total]]/Tabla4[[#This Row],[Total]]</f>
        <v>#N/A</v>
      </c>
      <c r="P7137" s="282">
        <f>++Tabla4[[#This Row],[Precio Descontado]]*Tabla4[[#This Row],[Cantidad]]</f>
        <v>696.86825999999996</v>
      </c>
      <c r="Q7137" s="282" t="e">
        <f>(INDEX(Tabla6[#All],MATCH(Tabla4[[#This Row],[Producto]],Tabla6[[#All],[PRODUCTO]],0),MATCH(Tabla4[[#This Row],[Mes]],Tabla6[#Headers],0)))</f>
        <v>#N/A</v>
      </c>
      <c r="R7137" s="282" t="e">
        <f>++Tabla4[[#This Row],[Precio Unitario Neto]]-Tabla4[[#This Row],[20.85%]]-Tabla4[[#This Row],[Costo]]</f>
        <v>#N/A</v>
      </c>
      <c r="S7137" s="282" t="e">
        <f>++Tabla4[[#This Row],[U. Bruta Uni]]*Tabla4[[#This Row],[Cantidad]]</f>
        <v>#N/A</v>
      </c>
      <c r="T7137" s="369" t="str">
        <f>VLOOKUP(Tabla4[[#This Row],[Producto]],Tabla6[#All],14,FALSE)</f>
        <v>Termico Solar</v>
      </c>
      <c r="U7137" s="284" t="e">
        <f>(IF(Tabla4[[#This Row],[Familia]]="termico solar",Tabla4[[#This Row],[Utilidad Total]]*6%,Tabla4[[#This Row],[Utilidad Total]]*11.5%))/Tabla4[[#This Row],[Total]]</f>
        <v>#N/A</v>
      </c>
      <c r="V7137" s="282" t="e">
        <f>+Tabla4[[#This Row],[Comisión Calculada]]*Tabla4[[#This Row],[Total]]</f>
        <v>#N/A</v>
      </c>
    </row>
    <row r="7138" spans="1:22" hidden="1" x14ac:dyDescent="0.25">
      <c r="A7138" s="100">
        <v>45991</v>
      </c>
      <c r="B7138" t="str">
        <f>TEXT(A7138, "mmmm")</f>
        <v>November</v>
      </c>
      <c r="C7138" s="46" t="s">
        <v>280</v>
      </c>
      <c r="F7138" s="366" t="s">
        <v>3588</v>
      </c>
      <c r="G7138" s="46" t="s">
        <v>83</v>
      </c>
      <c r="H7138" s="46">
        <v>3</v>
      </c>
      <c r="I7138" s="51">
        <v>8858.76</v>
      </c>
      <c r="J7138" s="281">
        <f>++Tabla4[[#This Row],[Precio Bruto]]*1.16</f>
        <v>10276.161599999999</v>
      </c>
      <c r="K7138" s="281">
        <f>+Tabla4[[#This Row],[Precio Unitario Neto]]*Tabla4[[#Headers],[20.85%]]</f>
        <v>2142.5796935999997</v>
      </c>
      <c r="L7138" s="282">
        <f>++Tabla4[[#This Row],[Precio Unitario Neto]]-Tabla4[[#This Row],[20.85%]]</f>
        <v>8133.5819063999998</v>
      </c>
      <c r="M7138" s="282" t="e">
        <f>(INDEX(Tabla6[#All],MATCH(Tabla4[[#This Row],[Producto]],Tabla6[[#All],[PRODUCTO]],0),MATCH(Tabla4[[#This Row],[Mes]],Tabla6[#Headers],0)))*(1+Catalogos!$L$2)</f>
        <v>#N/A</v>
      </c>
      <c r="N7138" s="283" t="e">
        <f>+(Tabla4[[#This Row],[Precio Descontado]]-Tabla4[[#This Row],[Precio Base]])*Tabla4[[#This Row],[Cantidad]]</f>
        <v>#N/A</v>
      </c>
      <c r="O7138" s="284" t="e">
        <f>++Tabla4[[#This Row],[Utilidad Total]]/Tabla4[[#This Row],[Total]]</f>
        <v>#N/A</v>
      </c>
      <c r="P7138" s="282">
        <f>++Tabla4[[#This Row],[Precio Descontado]]*Tabla4[[#This Row],[Cantidad]]</f>
        <v>24400.7457192</v>
      </c>
      <c r="Q7138" s="282" t="e">
        <f>(INDEX(Tabla6[#All],MATCH(Tabla4[[#This Row],[Producto]],Tabla6[[#All],[PRODUCTO]],0),MATCH(Tabla4[[#This Row],[Mes]],Tabla6[#Headers],0)))</f>
        <v>#N/A</v>
      </c>
      <c r="R7138" s="282" t="e">
        <f>++Tabla4[[#This Row],[Precio Unitario Neto]]-Tabla4[[#This Row],[20.85%]]-Tabla4[[#This Row],[Costo]]</f>
        <v>#N/A</v>
      </c>
      <c r="S7138" s="282" t="e">
        <f>++Tabla4[[#This Row],[U. Bruta Uni]]*Tabla4[[#This Row],[Cantidad]]</f>
        <v>#N/A</v>
      </c>
      <c r="T7138" s="369" t="str">
        <f>VLOOKUP(Tabla4[[#This Row],[Producto]],Tabla6[#All],14,FALSE)</f>
        <v>Termico Solar</v>
      </c>
      <c r="U7138" s="284" t="e">
        <f>(IF(Tabla4[[#This Row],[Familia]]="termico solar",Tabla4[[#This Row],[Utilidad Total]]*6%,Tabla4[[#This Row],[Utilidad Total]]*11.5%))/Tabla4[[#This Row],[Total]]</f>
        <v>#N/A</v>
      </c>
      <c r="V7138" s="282" t="e">
        <f>+Tabla4[[#This Row],[Comisión Calculada]]*Tabla4[[#This Row],[Total]]</f>
        <v>#N/A</v>
      </c>
    </row>
    <row r="7139" spans="1:22" hidden="1" x14ac:dyDescent="0.25">
      <c r="A7139" s="100">
        <v>45991</v>
      </c>
      <c r="B7139" t="str">
        <f>TEXT(A7139, "mmmm")</f>
        <v>November</v>
      </c>
      <c r="C7139" s="46" t="s">
        <v>280</v>
      </c>
      <c r="F7139" s="366" t="s">
        <v>3589</v>
      </c>
      <c r="G7139" s="46" t="s">
        <v>16</v>
      </c>
      <c r="H7139" s="46">
        <v>2</v>
      </c>
      <c r="I7139" s="51">
        <v>4103.8500000000004</v>
      </c>
      <c r="J7139" s="281">
        <f>++Tabla4[[#This Row],[Precio Bruto]]*1.16</f>
        <v>4760.4660000000003</v>
      </c>
      <c r="K7139" s="281">
        <f>+Tabla4[[#This Row],[Precio Unitario Neto]]*Tabla4[[#Headers],[20.85%]]</f>
        <v>992.55716100000006</v>
      </c>
      <c r="L7139" s="282">
        <f>++Tabla4[[#This Row],[Precio Unitario Neto]]-Tabla4[[#This Row],[20.85%]]</f>
        <v>3767.9088390000002</v>
      </c>
      <c r="M7139" s="282" t="e">
        <f>(INDEX(Tabla6[#All],MATCH(Tabla4[[#This Row],[Producto]],Tabla6[[#All],[PRODUCTO]],0),MATCH(Tabla4[[#This Row],[Mes]],Tabla6[#Headers],0)))*(1+Catalogos!$L$2)</f>
        <v>#N/A</v>
      </c>
      <c r="N7139" s="283" t="e">
        <f>+(Tabla4[[#This Row],[Precio Descontado]]-Tabla4[[#This Row],[Precio Base]])*Tabla4[[#This Row],[Cantidad]]</f>
        <v>#N/A</v>
      </c>
      <c r="O7139" s="284" t="e">
        <f>++Tabla4[[#This Row],[Utilidad Total]]/Tabla4[[#This Row],[Total]]</f>
        <v>#N/A</v>
      </c>
      <c r="P7139" s="282">
        <f>++Tabla4[[#This Row],[Precio Descontado]]*Tabla4[[#This Row],[Cantidad]]</f>
        <v>7535.8176780000003</v>
      </c>
      <c r="Q7139" s="282" t="e">
        <f>(INDEX(Tabla6[#All],MATCH(Tabla4[[#This Row],[Producto]],Tabla6[[#All],[PRODUCTO]],0),MATCH(Tabla4[[#This Row],[Mes]],Tabla6[#Headers],0)))</f>
        <v>#N/A</v>
      </c>
      <c r="R7139" s="282" t="e">
        <f>++Tabla4[[#This Row],[Precio Unitario Neto]]-Tabla4[[#This Row],[20.85%]]-Tabla4[[#This Row],[Costo]]</f>
        <v>#N/A</v>
      </c>
      <c r="S7139" s="282" t="e">
        <f>++Tabla4[[#This Row],[U. Bruta Uni]]*Tabla4[[#This Row],[Cantidad]]</f>
        <v>#N/A</v>
      </c>
      <c r="T7139" s="369" t="str">
        <f>VLOOKUP(Tabla4[[#This Row],[Producto]],Tabla6[#All],14,FALSE)</f>
        <v>Termico Solar</v>
      </c>
      <c r="U7139" s="284" t="e">
        <f>(IF(Tabla4[[#This Row],[Familia]]="termico solar",Tabla4[[#This Row],[Utilidad Total]]*6%,Tabla4[[#This Row],[Utilidad Total]]*11.5%))/Tabla4[[#This Row],[Total]]</f>
        <v>#N/A</v>
      </c>
      <c r="V7139" s="282" t="e">
        <f>+Tabla4[[#This Row],[Comisión Calculada]]*Tabla4[[#This Row],[Total]]</f>
        <v>#N/A</v>
      </c>
    </row>
    <row r="7140" spans="1:22" hidden="1" x14ac:dyDescent="0.25">
      <c r="A7140" s="100">
        <v>45991</v>
      </c>
      <c r="B7140" t="str">
        <f t="shared" ref="B7140:B7142" si="569">TEXT(A7140, "mmmm")</f>
        <v>November</v>
      </c>
      <c r="C7140" s="46" t="s">
        <v>280</v>
      </c>
      <c r="F7140" s="366" t="s">
        <v>3590</v>
      </c>
      <c r="G7140" s="46" t="s">
        <v>83</v>
      </c>
      <c r="H7140" s="46">
        <v>4</v>
      </c>
      <c r="I7140" s="51">
        <v>8858.76</v>
      </c>
      <c r="J7140" s="281">
        <f>++Tabla4[[#This Row],[Precio Bruto]]*1.16</f>
        <v>10276.161599999999</v>
      </c>
      <c r="K7140" s="281">
        <f>+Tabla4[[#This Row],[Precio Unitario Neto]]*Tabla4[[#Headers],[20.85%]]</f>
        <v>2142.5796935999997</v>
      </c>
      <c r="L7140" s="282">
        <f>++Tabla4[[#This Row],[Precio Unitario Neto]]-Tabla4[[#This Row],[20.85%]]</f>
        <v>8133.5819063999998</v>
      </c>
      <c r="M7140" s="282" t="e">
        <f>(INDEX(Tabla6[#All],MATCH(Tabla4[[#This Row],[Producto]],Tabla6[[#All],[PRODUCTO]],0),MATCH(Tabla4[[#This Row],[Mes]],Tabla6[#Headers],0)))*(1+Catalogos!$L$2)</f>
        <v>#N/A</v>
      </c>
      <c r="N7140" s="283" t="e">
        <f>+(Tabla4[[#This Row],[Precio Descontado]]-Tabla4[[#This Row],[Precio Base]])*Tabla4[[#This Row],[Cantidad]]</f>
        <v>#N/A</v>
      </c>
      <c r="O7140" s="284" t="e">
        <f>++Tabla4[[#This Row],[Utilidad Total]]/Tabla4[[#This Row],[Total]]</f>
        <v>#N/A</v>
      </c>
      <c r="P7140" s="282">
        <f>++Tabla4[[#This Row],[Precio Descontado]]*Tabla4[[#This Row],[Cantidad]]</f>
        <v>32534.327625599999</v>
      </c>
      <c r="Q7140" s="282" t="e">
        <f>(INDEX(Tabla6[#All],MATCH(Tabla4[[#This Row],[Producto]],Tabla6[[#All],[PRODUCTO]],0),MATCH(Tabla4[[#This Row],[Mes]],Tabla6[#Headers],0)))</f>
        <v>#N/A</v>
      </c>
      <c r="R7140" s="282" t="e">
        <f>++Tabla4[[#This Row],[Precio Unitario Neto]]-Tabla4[[#This Row],[20.85%]]-Tabla4[[#This Row],[Costo]]</f>
        <v>#N/A</v>
      </c>
      <c r="S7140" s="282" t="e">
        <f>++Tabla4[[#This Row],[U. Bruta Uni]]*Tabla4[[#This Row],[Cantidad]]</f>
        <v>#N/A</v>
      </c>
      <c r="T7140" s="369" t="str">
        <f>VLOOKUP(Tabla4[[#This Row],[Producto]],Tabla6[#All],14,FALSE)</f>
        <v>Termico Solar</v>
      </c>
      <c r="U7140" s="284" t="e">
        <f>(IF(Tabla4[[#This Row],[Familia]]="termico solar",Tabla4[[#This Row],[Utilidad Total]]*6%,Tabla4[[#This Row],[Utilidad Total]]*11.5%))/Tabla4[[#This Row],[Total]]</f>
        <v>#N/A</v>
      </c>
      <c r="V7140" s="282" t="e">
        <f>+Tabla4[[#This Row],[Comisión Calculada]]*Tabla4[[#This Row],[Total]]</f>
        <v>#N/A</v>
      </c>
    </row>
    <row r="7141" spans="1:22" hidden="1" x14ac:dyDescent="0.25">
      <c r="A7141" s="100">
        <v>45991</v>
      </c>
      <c r="B7141" t="str">
        <f t="shared" si="569"/>
        <v>November</v>
      </c>
      <c r="C7141" s="46" t="s">
        <v>280</v>
      </c>
      <c r="F7141" s="366" t="s">
        <v>3590</v>
      </c>
      <c r="G7141" s="46" t="s">
        <v>17</v>
      </c>
      <c r="H7141" s="46">
        <v>4</v>
      </c>
      <c r="I7141" s="51">
        <v>4622.28</v>
      </c>
      <c r="J7141" s="281">
        <f>++Tabla4[[#This Row],[Precio Bruto]]*1.16</f>
        <v>5361.8447999999989</v>
      </c>
      <c r="K7141" s="281">
        <f>+Tabla4[[#This Row],[Precio Unitario Neto]]*Tabla4[[#Headers],[20.85%]]</f>
        <v>1117.9446407999997</v>
      </c>
      <c r="L7141" s="282">
        <f>++Tabla4[[#This Row],[Precio Unitario Neto]]-Tabla4[[#This Row],[20.85%]]</f>
        <v>4243.9001591999995</v>
      </c>
      <c r="M7141" s="282" t="e">
        <f>(INDEX(Tabla6[#All],MATCH(Tabla4[[#This Row],[Producto]],Tabla6[[#All],[PRODUCTO]],0),MATCH(Tabla4[[#This Row],[Mes]],Tabla6[#Headers],0)))*(1+Catalogos!$L$2)</f>
        <v>#N/A</v>
      </c>
      <c r="N7141" s="283" t="e">
        <f>+(Tabla4[[#This Row],[Precio Descontado]]-Tabla4[[#This Row],[Precio Base]])*Tabla4[[#This Row],[Cantidad]]</f>
        <v>#N/A</v>
      </c>
      <c r="O7141" s="284" t="e">
        <f>++Tabla4[[#This Row],[Utilidad Total]]/Tabla4[[#This Row],[Total]]</f>
        <v>#N/A</v>
      </c>
      <c r="P7141" s="282">
        <f>++Tabla4[[#This Row],[Precio Descontado]]*Tabla4[[#This Row],[Cantidad]]</f>
        <v>16975.600636799998</v>
      </c>
      <c r="Q7141" s="282" t="e">
        <f>(INDEX(Tabla6[#All],MATCH(Tabla4[[#This Row],[Producto]],Tabla6[[#All],[PRODUCTO]],0),MATCH(Tabla4[[#This Row],[Mes]],Tabla6[#Headers],0)))</f>
        <v>#N/A</v>
      </c>
      <c r="R7141" s="282" t="e">
        <f>++Tabla4[[#This Row],[Precio Unitario Neto]]-Tabla4[[#This Row],[20.85%]]-Tabla4[[#This Row],[Costo]]</f>
        <v>#N/A</v>
      </c>
      <c r="S7141" s="282" t="e">
        <f>++Tabla4[[#This Row],[U. Bruta Uni]]*Tabla4[[#This Row],[Cantidad]]</f>
        <v>#N/A</v>
      </c>
      <c r="T7141" s="369" t="str">
        <f>VLOOKUP(Tabla4[[#This Row],[Producto]],Tabla6[#All],14,FALSE)</f>
        <v>Termico Solar</v>
      </c>
      <c r="U7141" s="284" t="e">
        <f>(IF(Tabla4[[#This Row],[Familia]]="termico solar",Tabla4[[#This Row],[Utilidad Total]]*6%,Tabla4[[#This Row],[Utilidad Total]]*11.5%))/Tabla4[[#This Row],[Total]]</f>
        <v>#N/A</v>
      </c>
      <c r="V7141" s="282" t="e">
        <f>+Tabla4[[#This Row],[Comisión Calculada]]*Tabla4[[#This Row],[Total]]</f>
        <v>#N/A</v>
      </c>
    </row>
    <row r="7142" spans="1:22" hidden="1" x14ac:dyDescent="0.25">
      <c r="A7142" s="100">
        <v>45991</v>
      </c>
      <c r="B7142" t="str">
        <f t="shared" si="569"/>
        <v>November</v>
      </c>
      <c r="C7142" s="46" t="s">
        <v>280</v>
      </c>
      <c r="F7142" s="366" t="s">
        <v>3590</v>
      </c>
      <c r="G7142" s="46" t="s">
        <v>18</v>
      </c>
      <c r="H7142" s="46">
        <v>5</v>
      </c>
      <c r="I7142" s="51">
        <v>5367.65</v>
      </c>
      <c r="J7142" s="281">
        <f>++Tabla4[[#This Row],[Precio Bruto]]*1.16</f>
        <v>6226.4739999999993</v>
      </c>
      <c r="K7142" s="281">
        <f>+Tabla4[[#This Row],[Precio Unitario Neto]]*Tabla4[[#Headers],[20.85%]]</f>
        <v>1298.2198289999999</v>
      </c>
      <c r="L7142" s="282">
        <f>++Tabla4[[#This Row],[Precio Unitario Neto]]-Tabla4[[#This Row],[20.85%]]</f>
        <v>4928.2541709999996</v>
      </c>
      <c r="M7142" s="282" t="e">
        <f>(INDEX(Tabla6[#All],MATCH(Tabla4[[#This Row],[Producto]],Tabla6[[#All],[PRODUCTO]],0),MATCH(Tabla4[[#This Row],[Mes]],Tabla6[#Headers],0)))*(1+Catalogos!$L$2)</f>
        <v>#N/A</v>
      </c>
      <c r="N7142" s="283" t="e">
        <f>+(Tabla4[[#This Row],[Precio Descontado]]-Tabla4[[#This Row],[Precio Base]])*Tabla4[[#This Row],[Cantidad]]</f>
        <v>#N/A</v>
      </c>
      <c r="O7142" s="284" t="e">
        <f>++Tabla4[[#This Row],[Utilidad Total]]/Tabla4[[#This Row],[Total]]</f>
        <v>#N/A</v>
      </c>
      <c r="P7142" s="282">
        <f>++Tabla4[[#This Row],[Precio Descontado]]*Tabla4[[#This Row],[Cantidad]]</f>
        <v>24641.270854999999</v>
      </c>
      <c r="Q7142" s="282" t="e">
        <f>(INDEX(Tabla6[#All],MATCH(Tabla4[[#This Row],[Producto]],Tabla6[[#All],[PRODUCTO]],0),MATCH(Tabla4[[#This Row],[Mes]],Tabla6[#Headers],0)))</f>
        <v>#N/A</v>
      </c>
      <c r="R7142" s="282" t="e">
        <f>++Tabla4[[#This Row],[Precio Unitario Neto]]-Tabla4[[#This Row],[20.85%]]-Tabla4[[#This Row],[Costo]]</f>
        <v>#N/A</v>
      </c>
      <c r="S7142" s="282" t="e">
        <f>++Tabla4[[#This Row],[U. Bruta Uni]]*Tabla4[[#This Row],[Cantidad]]</f>
        <v>#N/A</v>
      </c>
      <c r="T7142" s="369" t="str">
        <f>VLOOKUP(Tabla4[[#This Row],[Producto]],Tabla6[#All],14,FALSE)</f>
        <v>Termico Solar</v>
      </c>
      <c r="U7142" s="284" t="e">
        <f>(IF(Tabla4[[#This Row],[Familia]]="termico solar",Tabla4[[#This Row],[Utilidad Total]]*6%,Tabla4[[#This Row],[Utilidad Total]]*11.5%))/Tabla4[[#This Row],[Total]]</f>
        <v>#N/A</v>
      </c>
      <c r="V7142" s="282" t="e">
        <f>+Tabla4[[#This Row],[Comisión Calculada]]*Tabla4[[#This Row],[Total]]</f>
        <v>#N/A</v>
      </c>
    </row>
    <row r="7143" spans="1:22" hidden="1" x14ac:dyDescent="0.25">
      <c r="A7143" s="100">
        <v>45991</v>
      </c>
      <c r="B7143" t="str">
        <f>TEXT(A7143, "mmmm")</f>
        <v>November</v>
      </c>
      <c r="C7143" s="46" t="s">
        <v>280</v>
      </c>
      <c r="F7143" s="366" t="s">
        <v>3591</v>
      </c>
      <c r="G7143" s="46" t="s">
        <v>83</v>
      </c>
      <c r="H7143" s="46">
        <v>1</v>
      </c>
      <c r="I7143" s="51">
        <v>8858.76</v>
      </c>
      <c r="J7143" s="281">
        <f>++Tabla4[[#This Row],[Precio Bruto]]*1.16</f>
        <v>10276.161599999999</v>
      </c>
      <c r="K7143" s="281">
        <f>+Tabla4[[#This Row],[Precio Unitario Neto]]*Tabla4[[#Headers],[20.85%]]</f>
        <v>2142.5796935999997</v>
      </c>
      <c r="L7143" s="282">
        <f>++Tabla4[[#This Row],[Precio Unitario Neto]]-Tabla4[[#This Row],[20.85%]]</f>
        <v>8133.5819063999998</v>
      </c>
      <c r="M7143" s="282" t="e">
        <f>(INDEX(Tabla6[#All],MATCH(Tabla4[[#This Row],[Producto]],Tabla6[[#All],[PRODUCTO]],0),MATCH(Tabla4[[#This Row],[Mes]],Tabla6[#Headers],0)))*(1+Catalogos!$L$2)</f>
        <v>#N/A</v>
      </c>
      <c r="N7143" s="283" t="e">
        <f>+(Tabla4[[#This Row],[Precio Descontado]]-Tabla4[[#This Row],[Precio Base]])*Tabla4[[#This Row],[Cantidad]]</f>
        <v>#N/A</v>
      </c>
      <c r="O7143" s="284" t="e">
        <f>++Tabla4[[#This Row],[Utilidad Total]]/Tabla4[[#This Row],[Total]]</f>
        <v>#N/A</v>
      </c>
      <c r="P7143" s="282">
        <f>++Tabla4[[#This Row],[Precio Descontado]]*Tabla4[[#This Row],[Cantidad]]</f>
        <v>8133.5819063999998</v>
      </c>
      <c r="Q7143" s="282" t="e">
        <f>(INDEX(Tabla6[#All],MATCH(Tabla4[[#This Row],[Producto]],Tabla6[[#All],[PRODUCTO]],0),MATCH(Tabla4[[#This Row],[Mes]],Tabla6[#Headers],0)))</f>
        <v>#N/A</v>
      </c>
      <c r="R7143" s="282" t="e">
        <f>++Tabla4[[#This Row],[Precio Unitario Neto]]-Tabla4[[#This Row],[20.85%]]-Tabla4[[#This Row],[Costo]]</f>
        <v>#N/A</v>
      </c>
      <c r="S7143" s="282" t="e">
        <f>++Tabla4[[#This Row],[U. Bruta Uni]]*Tabla4[[#This Row],[Cantidad]]</f>
        <v>#N/A</v>
      </c>
      <c r="T7143" s="369" t="str">
        <f>VLOOKUP(Tabla4[[#This Row],[Producto]],Tabla6[#All],14,FALSE)</f>
        <v>Termico Solar</v>
      </c>
      <c r="U7143" s="284" t="e">
        <f>(IF(Tabla4[[#This Row],[Familia]]="termico solar",Tabla4[[#This Row],[Utilidad Total]]*6%,Tabla4[[#This Row],[Utilidad Total]]*11.5%))/Tabla4[[#This Row],[Total]]</f>
        <v>#N/A</v>
      </c>
      <c r="V7143" s="282" t="e">
        <f>+Tabla4[[#This Row],[Comisión Calculada]]*Tabla4[[#This Row],[Total]]</f>
        <v>#N/A</v>
      </c>
    </row>
    <row r="7144" spans="1:22" hidden="1" x14ac:dyDescent="0.25">
      <c r="A7144" s="100">
        <v>45991</v>
      </c>
      <c r="B7144" t="str">
        <f>TEXT(A7144, "mmmm")</f>
        <v>November</v>
      </c>
      <c r="C7144" s="46" t="s">
        <v>280</v>
      </c>
      <c r="F7144" s="366" t="s">
        <v>3592</v>
      </c>
      <c r="G7144" s="46" t="s">
        <v>20</v>
      </c>
      <c r="H7144" s="46">
        <v>2</v>
      </c>
      <c r="I7144" s="51">
        <v>7751.98</v>
      </c>
      <c r="J7144" s="281">
        <f>++Tabla4[[#This Row],[Precio Bruto]]*1.16</f>
        <v>8992.2967999999983</v>
      </c>
      <c r="K7144" s="281">
        <f>+Tabla4[[#This Row],[Precio Unitario Neto]]*Tabla4[[#Headers],[20.85%]]</f>
        <v>1874.8938827999996</v>
      </c>
      <c r="L7144" s="282">
        <f>++Tabla4[[#This Row],[Precio Unitario Neto]]-Tabla4[[#This Row],[20.85%]]</f>
        <v>7117.4029171999991</v>
      </c>
      <c r="M7144" s="282" t="e">
        <f>(INDEX(Tabla6[#All],MATCH(Tabla4[[#This Row],[Producto]],Tabla6[[#All],[PRODUCTO]],0),MATCH(Tabla4[[#This Row],[Mes]],Tabla6[#Headers],0)))*(1+Catalogos!$L$2)</f>
        <v>#N/A</v>
      </c>
      <c r="N7144" s="283" t="e">
        <f>+(Tabla4[[#This Row],[Precio Descontado]]-Tabla4[[#This Row],[Precio Base]])*Tabla4[[#This Row],[Cantidad]]</f>
        <v>#N/A</v>
      </c>
      <c r="O7144" s="284" t="e">
        <f>++Tabla4[[#This Row],[Utilidad Total]]/Tabla4[[#This Row],[Total]]</f>
        <v>#N/A</v>
      </c>
      <c r="P7144" s="282">
        <f>++Tabla4[[#This Row],[Precio Descontado]]*Tabla4[[#This Row],[Cantidad]]</f>
        <v>14234.805834399998</v>
      </c>
      <c r="Q7144" s="282" t="e">
        <f>(INDEX(Tabla6[#All],MATCH(Tabla4[[#This Row],[Producto]],Tabla6[[#All],[PRODUCTO]],0),MATCH(Tabla4[[#This Row],[Mes]],Tabla6[#Headers],0)))</f>
        <v>#N/A</v>
      </c>
      <c r="R7144" s="282" t="e">
        <f>++Tabla4[[#This Row],[Precio Unitario Neto]]-Tabla4[[#This Row],[20.85%]]-Tabla4[[#This Row],[Costo]]</f>
        <v>#N/A</v>
      </c>
      <c r="S7144" s="282" t="e">
        <f>++Tabla4[[#This Row],[U. Bruta Uni]]*Tabla4[[#This Row],[Cantidad]]</f>
        <v>#N/A</v>
      </c>
      <c r="T7144" s="369" t="str">
        <f>VLOOKUP(Tabla4[[#This Row],[Producto]],Tabla6[#All],14,FALSE)</f>
        <v>Termico Solar</v>
      </c>
      <c r="U7144" s="284" t="e">
        <f>(IF(Tabla4[[#This Row],[Familia]]="termico solar",Tabla4[[#This Row],[Utilidad Total]]*6%,Tabla4[[#This Row],[Utilidad Total]]*11.5%))/Tabla4[[#This Row],[Total]]</f>
        <v>#N/A</v>
      </c>
      <c r="V7144" s="282" t="e">
        <f>+Tabla4[[#This Row],[Comisión Calculada]]*Tabla4[[#This Row],[Total]]</f>
        <v>#N/A</v>
      </c>
    </row>
    <row r="7145" spans="1:22" hidden="1" x14ac:dyDescent="0.25">
      <c r="A7145" s="100">
        <v>45991</v>
      </c>
      <c r="B7145" t="str">
        <f>TEXT(A7145, "mmmm")</f>
        <v>November</v>
      </c>
      <c r="C7145" s="46" t="s">
        <v>280</v>
      </c>
      <c r="F7145" s="366" t="s">
        <v>3593</v>
      </c>
      <c r="G7145" s="46" t="s">
        <v>208</v>
      </c>
      <c r="H7145" s="46">
        <v>3</v>
      </c>
      <c r="I7145" s="51">
        <v>189.75</v>
      </c>
      <c r="J7145" s="281">
        <f>++Tabla4[[#This Row],[Precio Bruto]]*1.16</f>
        <v>220.10999999999999</v>
      </c>
      <c r="K7145" s="281">
        <f>+Tabla4[[#This Row],[Precio Unitario Neto]]*Tabla4[[#Headers],[20.85%]]</f>
        <v>45.892934999999994</v>
      </c>
      <c r="L7145" s="282">
        <f>++Tabla4[[#This Row],[Precio Unitario Neto]]-Tabla4[[#This Row],[20.85%]]</f>
        <v>174.21706499999999</v>
      </c>
      <c r="M7145" s="282" t="e">
        <f>(INDEX(Tabla6[#All],MATCH(Tabla4[[#This Row],[Producto]],Tabla6[[#All],[PRODUCTO]],0),MATCH(Tabla4[[#This Row],[Mes]],Tabla6[#Headers],0)))*(1+Catalogos!$L$2)</f>
        <v>#N/A</v>
      </c>
      <c r="N7145" s="283" t="e">
        <f>+(Tabla4[[#This Row],[Precio Descontado]]-Tabla4[[#This Row],[Precio Base]])*Tabla4[[#This Row],[Cantidad]]</f>
        <v>#N/A</v>
      </c>
      <c r="O7145" s="284" t="e">
        <f>++Tabla4[[#This Row],[Utilidad Total]]/Tabla4[[#This Row],[Total]]</f>
        <v>#N/A</v>
      </c>
      <c r="P7145" s="282">
        <f>++Tabla4[[#This Row],[Precio Descontado]]*Tabla4[[#This Row],[Cantidad]]</f>
        <v>522.65119499999992</v>
      </c>
      <c r="Q7145" s="282" t="e">
        <f>(INDEX(Tabla6[#All],MATCH(Tabla4[[#This Row],[Producto]],Tabla6[[#All],[PRODUCTO]],0),MATCH(Tabla4[[#This Row],[Mes]],Tabla6[#Headers],0)))</f>
        <v>#N/A</v>
      </c>
      <c r="R7145" s="282" t="e">
        <f>++Tabla4[[#This Row],[Precio Unitario Neto]]-Tabla4[[#This Row],[20.85%]]-Tabla4[[#This Row],[Costo]]</f>
        <v>#N/A</v>
      </c>
      <c r="S7145" s="282" t="e">
        <f>++Tabla4[[#This Row],[U. Bruta Uni]]*Tabla4[[#This Row],[Cantidad]]</f>
        <v>#N/A</v>
      </c>
      <c r="T7145" s="369" t="str">
        <f>VLOOKUP(Tabla4[[#This Row],[Producto]],Tabla6[#All],14,FALSE)</f>
        <v>Termico Solar</v>
      </c>
      <c r="U7145" s="284" t="e">
        <f>(IF(Tabla4[[#This Row],[Familia]]="termico solar",Tabla4[[#This Row],[Utilidad Total]]*6%,Tabla4[[#This Row],[Utilidad Total]]*11.5%))/Tabla4[[#This Row],[Total]]</f>
        <v>#N/A</v>
      </c>
      <c r="V7145" s="282" t="e">
        <f>+Tabla4[[#This Row],[Comisión Calculada]]*Tabla4[[#This Row],[Total]]</f>
        <v>#N/A</v>
      </c>
    </row>
    <row r="7146" spans="1:22" hidden="1" x14ac:dyDescent="0.25">
      <c r="A7146" s="100">
        <v>45991</v>
      </c>
      <c r="B7146" t="str">
        <f t="shared" ref="B7146" si="570">TEXT(A7146, "mmmm")</f>
        <v>November</v>
      </c>
      <c r="C7146" s="46" t="s">
        <v>280</v>
      </c>
      <c r="F7146" s="366" t="s">
        <v>3594</v>
      </c>
      <c r="G7146" s="46" t="s">
        <v>394</v>
      </c>
      <c r="H7146" s="46">
        <v>16</v>
      </c>
      <c r="I7146" s="51">
        <v>224.29</v>
      </c>
      <c r="J7146" s="281">
        <f>++Tabla4[[#This Row],[Precio Bruto]]*1.16</f>
        <v>260.1764</v>
      </c>
      <c r="K7146" s="281">
        <f>+Tabla4[[#This Row],[Precio Unitario Neto]]*Tabla4[[#Headers],[20.85%]]</f>
        <v>54.246779400000001</v>
      </c>
      <c r="L7146" s="282">
        <f>++Tabla4[[#This Row],[Precio Unitario Neto]]-Tabla4[[#This Row],[20.85%]]</f>
        <v>205.92962059999999</v>
      </c>
      <c r="M7146" s="282" t="e">
        <f>(INDEX(Tabla6[#All],MATCH(Tabla4[[#This Row],[Producto]],Tabla6[[#All],[PRODUCTO]],0),MATCH(Tabla4[[#This Row],[Mes]],Tabla6[#Headers],0)))*(1+Catalogos!$L$2)</f>
        <v>#N/A</v>
      </c>
      <c r="N7146" s="283" t="e">
        <f>+(Tabla4[[#This Row],[Precio Descontado]]-Tabla4[[#This Row],[Precio Base]])*Tabla4[[#This Row],[Cantidad]]</f>
        <v>#N/A</v>
      </c>
      <c r="O7146" s="284" t="e">
        <f>++Tabla4[[#This Row],[Utilidad Total]]/Tabla4[[#This Row],[Total]]</f>
        <v>#N/A</v>
      </c>
      <c r="P7146" s="282">
        <f>++Tabla4[[#This Row],[Precio Descontado]]*Tabla4[[#This Row],[Cantidad]]</f>
        <v>3294.8739295999999</v>
      </c>
      <c r="Q7146" s="282" t="e">
        <f>(INDEX(Tabla6[#All],MATCH(Tabla4[[#This Row],[Producto]],Tabla6[[#All],[PRODUCTO]],0),MATCH(Tabla4[[#This Row],[Mes]],Tabla6[#Headers],0)))</f>
        <v>#N/A</v>
      </c>
      <c r="R7146" s="282" t="e">
        <f>++Tabla4[[#This Row],[Precio Unitario Neto]]-Tabla4[[#This Row],[20.85%]]-Tabla4[[#This Row],[Costo]]</f>
        <v>#N/A</v>
      </c>
      <c r="S7146" s="282" t="e">
        <f>++Tabla4[[#This Row],[U. Bruta Uni]]*Tabla4[[#This Row],[Cantidad]]</f>
        <v>#N/A</v>
      </c>
      <c r="T7146" s="369" t="str">
        <f>VLOOKUP(Tabla4[[#This Row],[Producto]],Tabla6[#All],14,FALSE)</f>
        <v>Termico Solar</v>
      </c>
      <c r="U7146" s="284" t="e">
        <f>(IF(Tabla4[[#This Row],[Familia]]="termico solar",Tabla4[[#This Row],[Utilidad Total]]*6%,Tabla4[[#This Row],[Utilidad Total]]*11.5%))/Tabla4[[#This Row],[Total]]</f>
        <v>#N/A</v>
      </c>
      <c r="V7146" s="282" t="e">
        <f>+Tabla4[[#This Row],[Comisión Calculada]]*Tabla4[[#This Row],[Total]]</f>
        <v>#N/A</v>
      </c>
    </row>
    <row r="7147" spans="1:22" hidden="1" x14ac:dyDescent="0.25">
      <c r="A7147" s="100">
        <v>45991</v>
      </c>
      <c r="B7147" t="str">
        <f t="shared" ref="B7147:B7149" si="571">TEXT(A7147, "mmmm")</f>
        <v>November</v>
      </c>
      <c r="C7147" s="46" t="s">
        <v>280</v>
      </c>
      <c r="F7147" s="366" t="s">
        <v>3595</v>
      </c>
      <c r="G7147" s="46" t="s">
        <v>17</v>
      </c>
      <c r="H7147" s="46">
        <v>1</v>
      </c>
      <c r="I7147" s="51">
        <v>4622.28</v>
      </c>
      <c r="J7147" s="281">
        <f>++Tabla4[[#This Row],[Precio Bruto]]*1.16</f>
        <v>5361.8447999999989</v>
      </c>
      <c r="K7147" s="281">
        <f>+Tabla4[[#This Row],[Precio Unitario Neto]]*Tabla4[[#Headers],[20.85%]]</f>
        <v>1117.9446407999997</v>
      </c>
      <c r="L7147" s="282">
        <f>++Tabla4[[#This Row],[Precio Unitario Neto]]-Tabla4[[#This Row],[20.85%]]</f>
        <v>4243.9001591999995</v>
      </c>
      <c r="M7147" s="282" t="e">
        <f>(INDEX(Tabla6[#All],MATCH(Tabla4[[#This Row],[Producto]],Tabla6[[#All],[PRODUCTO]],0),MATCH(Tabla4[[#This Row],[Mes]],Tabla6[#Headers],0)))*(1+Catalogos!$L$2)</f>
        <v>#N/A</v>
      </c>
      <c r="N7147" s="283" t="e">
        <f>+(Tabla4[[#This Row],[Precio Descontado]]-Tabla4[[#This Row],[Precio Base]])*Tabla4[[#This Row],[Cantidad]]</f>
        <v>#N/A</v>
      </c>
      <c r="O7147" s="284" t="e">
        <f>++Tabla4[[#This Row],[Utilidad Total]]/Tabla4[[#This Row],[Total]]</f>
        <v>#N/A</v>
      </c>
      <c r="P7147" s="282">
        <f>++Tabla4[[#This Row],[Precio Descontado]]*Tabla4[[#This Row],[Cantidad]]</f>
        <v>4243.9001591999995</v>
      </c>
      <c r="Q7147" s="282" t="e">
        <f>(INDEX(Tabla6[#All],MATCH(Tabla4[[#This Row],[Producto]],Tabla6[[#All],[PRODUCTO]],0),MATCH(Tabla4[[#This Row],[Mes]],Tabla6[#Headers],0)))</f>
        <v>#N/A</v>
      </c>
      <c r="R7147" s="282" t="e">
        <f>++Tabla4[[#This Row],[Precio Unitario Neto]]-Tabla4[[#This Row],[20.85%]]-Tabla4[[#This Row],[Costo]]</f>
        <v>#N/A</v>
      </c>
      <c r="S7147" s="282" t="e">
        <f>++Tabla4[[#This Row],[U. Bruta Uni]]*Tabla4[[#This Row],[Cantidad]]</f>
        <v>#N/A</v>
      </c>
      <c r="T7147" s="369" t="str">
        <f>VLOOKUP(Tabla4[[#This Row],[Producto]],Tabla6[#All],14,FALSE)</f>
        <v>Termico Solar</v>
      </c>
      <c r="U7147" s="284" t="e">
        <f>(IF(Tabla4[[#This Row],[Familia]]="termico solar",Tabla4[[#This Row],[Utilidad Total]]*6%,Tabla4[[#This Row],[Utilidad Total]]*11.5%))/Tabla4[[#This Row],[Total]]</f>
        <v>#N/A</v>
      </c>
      <c r="V7147" s="282" t="e">
        <f>+Tabla4[[#This Row],[Comisión Calculada]]*Tabla4[[#This Row],[Total]]</f>
        <v>#N/A</v>
      </c>
    </row>
    <row r="7148" spans="1:22" hidden="1" x14ac:dyDescent="0.25">
      <c r="A7148" s="100">
        <v>45991</v>
      </c>
      <c r="B7148" t="str">
        <f t="shared" si="571"/>
        <v>November</v>
      </c>
      <c r="C7148" s="46" t="s">
        <v>280</v>
      </c>
      <c r="F7148" s="366" t="s">
        <v>3595</v>
      </c>
      <c r="G7148" s="46" t="s">
        <v>18</v>
      </c>
      <c r="H7148" s="46">
        <v>1</v>
      </c>
      <c r="I7148" s="51">
        <v>5367.65</v>
      </c>
      <c r="J7148" s="281">
        <f>++Tabla4[[#This Row],[Precio Bruto]]*1.16</f>
        <v>6226.4739999999993</v>
      </c>
      <c r="K7148" s="281">
        <f>+Tabla4[[#This Row],[Precio Unitario Neto]]*Tabla4[[#Headers],[20.85%]]</f>
        <v>1298.2198289999999</v>
      </c>
      <c r="L7148" s="282">
        <f>++Tabla4[[#This Row],[Precio Unitario Neto]]-Tabla4[[#This Row],[20.85%]]</f>
        <v>4928.2541709999996</v>
      </c>
      <c r="M7148" s="282" t="e">
        <f>(INDEX(Tabla6[#All],MATCH(Tabla4[[#This Row],[Producto]],Tabla6[[#All],[PRODUCTO]],0),MATCH(Tabla4[[#This Row],[Mes]],Tabla6[#Headers],0)))*(1+Catalogos!$L$2)</f>
        <v>#N/A</v>
      </c>
      <c r="N7148" s="283" t="e">
        <f>+(Tabla4[[#This Row],[Precio Descontado]]-Tabla4[[#This Row],[Precio Base]])*Tabla4[[#This Row],[Cantidad]]</f>
        <v>#N/A</v>
      </c>
      <c r="O7148" s="284" t="e">
        <f>++Tabla4[[#This Row],[Utilidad Total]]/Tabla4[[#This Row],[Total]]</f>
        <v>#N/A</v>
      </c>
      <c r="P7148" s="282">
        <f>++Tabla4[[#This Row],[Precio Descontado]]*Tabla4[[#This Row],[Cantidad]]</f>
        <v>4928.2541709999996</v>
      </c>
      <c r="Q7148" s="282" t="e">
        <f>(INDEX(Tabla6[#All],MATCH(Tabla4[[#This Row],[Producto]],Tabla6[[#All],[PRODUCTO]],0),MATCH(Tabla4[[#This Row],[Mes]],Tabla6[#Headers],0)))</f>
        <v>#N/A</v>
      </c>
      <c r="R7148" s="282" t="e">
        <f>++Tabla4[[#This Row],[Precio Unitario Neto]]-Tabla4[[#This Row],[20.85%]]-Tabla4[[#This Row],[Costo]]</f>
        <v>#N/A</v>
      </c>
      <c r="S7148" s="282" t="e">
        <f>++Tabla4[[#This Row],[U. Bruta Uni]]*Tabla4[[#This Row],[Cantidad]]</f>
        <v>#N/A</v>
      </c>
      <c r="T7148" s="369" t="str">
        <f>VLOOKUP(Tabla4[[#This Row],[Producto]],Tabla6[#All],14,FALSE)</f>
        <v>Termico Solar</v>
      </c>
      <c r="U7148" s="284" t="e">
        <f>(IF(Tabla4[[#This Row],[Familia]]="termico solar",Tabla4[[#This Row],[Utilidad Total]]*6%,Tabla4[[#This Row],[Utilidad Total]]*11.5%))/Tabla4[[#This Row],[Total]]</f>
        <v>#N/A</v>
      </c>
      <c r="V7148" s="282" t="e">
        <f>+Tabla4[[#This Row],[Comisión Calculada]]*Tabla4[[#This Row],[Total]]</f>
        <v>#N/A</v>
      </c>
    </row>
    <row r="7149" spans="1:22" hidden="1" x14ac:dyDescent="0.25">
      <c r="A7149" s="100">
        <v>45991</v>
      </c>
      <c r="B7149" t="str">
        <f t="shared" si="571"/>
        <v>November</v>
      </c>
      <c r="C7149" s="46" t="s">
        <v>280</v>
      </c>
      <c r="F7149" s="366" t="s">
        <v>3595</v>
      </c>
      <c r="G7149" s="46" t="s">
        <v>16</v>
      </c>
      <c r="H7149" s="46">
        <v>2</v>
      </c>
      <c r="I7149" s="51">
        <v>4103.8500000000004</v>
      </c>
      <c r="J7149" s="281">
        <f>++Tabla4[[#This Row],[Precio Bruto]]*1.16</f>
        <v>4760.4660000000003</v>
      </c>
      <c r="K7149" s="281">
        <f>+Tabla4[[#This Row],[Precio Unitario Neto]]*Tabla4[[#Headers],[20.85%]]</f>
        <v>992.55716100000006</v>
      </c>
      <c r="L7149" s="282">
        <f>++Tabla4[[#This Row],[Precio Unitario Neto]]-Tabla4[[#This Row],[20.85%]]</f>
        <v>3767.9088390000002</v>
      </c>
      <c r="M7149" s="282" t="e">
        <f>(INDEX(Tabla6[#All],MATCH(Tabla4[[#This Row],[Producto]],Tabla6[[#All],[PRODUCTO]],0),MATCH(Tabla4[[#This Row],[Mes]],Tabla6[#Headers],0)))*(1+Catalogos!$L$2)</f>
        <v>#N/A</v>
      </c>
      <c r="N7149" s="283" t="e">
        <f>+(Tabla4[[#This Row],[Precio Descontado]]-Tabla4[[#This Row],[Precio Base]])*Tabla4[[#This Row],[Cantidad]]</f>
        <v>#N/A</v>
      </c>
      <c r="O7149" s="284" t="e">
        <f>++Tabla4[[#This Row],[Utilidad Total]]/Tabla4[[#This Row],[Total]]</f>
        <v>#N/A</v>
      </c>
      <c r="P7149" s="282">
        <f>++Tabla4[[#This Row],[Precio Descontado]]*Tabla4[[#This Row],[Cantidad]]</f>
        <v>7535.8176780000003</v>
      </c>
      <c r="Q7149" s="282" t="e">
        <f>(INDEX(Tabla6[#All],MATCH(Tabla4[[#This Row],[Producto]],Tabla6[[#All],[PRODUCTO]],0),MATCH(Tabla4[[#This Row],[Mes]],Tabla6[#Headers],0)))</f>
        <v>#N/A</v>
      </c>
      <c r="R7149" s="282" t="e">
        <f>++Tabla4[[#This Row],[Precio Unitario Neto]]-Tabla4[[#This Row],[20.85%]]-Tabla4[[#This Row],[Costo]]</f>
        <v>#N/A</v>
      </c>
      <c r="S7149" s="282" t="e">
        <f>++Tabla4[[#This Row],[U. Bruta Uni]]*Tabla4[[#This Row],[Cantidad]]</f>
        <v>#N/A</v>
      </c>
      <c r="T7149" s="369" t="str">
        <f>VLOOKUP(Tabla4[[#This Row],[Producto]],Tabla6[#All],14,FALSE)</f>
        <v>Termico Solar</v>
      </c>
      <c r="U7149" s="284" t="e">
        <f>(IF(Tabla4[[#This Row],[Familia]]="termico solar",Tabla4[[#This Row],[Utilidad Total]]*6%,Tabla4[[#This Row],[Utilidad Total]]*11.5%))/Tabla4[[#This Row],[Total]]</f>
        <v>#N/A</v>
      </c>
      <c r="V7149" s="282" t="e">
        <f>+Tabla4[[#This Row],[Comisión Calculada]]*Tabla4[[#This Row],[Total]]</f>
        <v>#N/A</v>
      </c>
    </row>
    <row r="7150" spans="1:22" hidden="1" x14ac:dyDescent="0.25">
      <c r="A7150" s="100">
        <v>45991</v>
      </c>
      <c r="B7150" t="str">
        <f t="shared" ref="B7150:B7151" si="572">TEXT(A7150, "mmmm")</f>
        <v>November</v>
      </c>
      <c r="C7150" s="46" t="s">
        <v>280</v>
      </c>
      <c r="F7150" s="366" t="s">
        <v>3596</v>
      </c>
      <c r="G7150" s="46" t="s">
        <v>412</v>
      </c>
      <c r="H7150" s="46">
        <v>1</v>
      </c>
      <c r="I7150" s="51">
        <v>3240.84</v>
      </c>
      <c r="J7150" s="281">
        <f>++Tabla4[[#This Row],[Precio Bruto]]*1.16</f>
        <v>3759.3743999999997</v>
      </c>
      <c r="K7150" s="281">
        <f>+Tabla4[[#This Row],[Precio Unitario Neto]]*Tabla4[[#Headers],[20.85%]]</f>
        <v>783.82956239999987</v>
      </c>
      <c r="L7150" s="282">
        <f>++Tabla4[[#This Row],[Precio Unitario Neto]]-Tabla4[[#This Row],[20.85%]]</f>
        <v>2975.5448375999999</v>
      </c>
      <c r="M7150" s="282" t="e">
        <f>(INDEX(Tabla6[#All],MATCH(Tabla4[[#This Row],[Producto]],Tabla6[[#All],[PRODUCTO]],0),MATCH(Tabla4[[#This Row],[Mes]],Tabla6[#Headers],0)))*(1+Catalogos!$L$2)</f>
        <v>#N/A</v>
      </c>
      <c r="N7150" s="283" t="e">
        <f>+(Tabla4[[#This Row],[Precio Descontado]]-Tabla4[[#This Row],[Precio Base]])*Tabla4[[#This Row],[Cantidad]]</f>
        <v>#N/A</v>
      </c>
      <c r="O7150" s="284" t="e">
        <f>++Tabla4[[#This Row],[Utilidad Total]]/Tabla4[[#This Row],[Total]]</f>
        <v>#N/A</v>
      </c>
      <c r="P7150" s="282">
        <f>++Tabla4[[#This Row],[Precio Descontado]]*Tabla4[[#This Row],[Cantidad]]</f>
        <v>2975.5448375999999</v>
      </c>
      <c r="Q7150" s="282" t="e">
        <f>(INDEX(Tabla6[#All],MATCH(Tabla4[[#This Row],[Producto]],Tabla6[[#All],[PRODUCTO]],0),MATCH(Tabla4[[#This Row],[Mes]],Tabla6[#Headers],0)))</f>
        <v>#N/A</v>
      </c>
      <c r="R7150" s="282" t="e">
        <f>++Tabla4[[#This Row],[Precio Unitario Neto]]-Tabla4[[#This Row],[20.85%]]-Tabla4[[#This Row],[Costo]]</f>
        <v>#N/A</v>
      </c>
      <c r="S7150" s="282" t="e">
        <f>++Tabla4[[#This Row],[U. Bruta Uni]]*Tabla4[[#This Row],[Cantidad]]</f>
        <v>#N/A</v>
      </c>
      <c r="T7150" s="369" t="str">
        <f>VLOOKUP(Tabla4[[#This Row],[Producto]],Tabla6[#All],14,FALSE)</f>
        <v>Termico Solar</v>
      </c>
      <c r="U7150" s="284" t="e">
        <f>(IF(Tabla4[[#This Row],[Familia]]="termico solar",Tabla4[[#This Row],[Utilidad Total]]*6%,Tabla4[[#This Row],[Utilidad Total]]*11.5%))/Tabla4[[#This Row],[Total]]</f>
        <v>#N/A</v>
      </c>
      <c r="V7150" s="282" t="e">
        <f>+Tabla4[[#This Row],[Comisión Calculada]]*Tabla4[[#This Row],[Total]]</f>
        <v>#N/A</v>
      </c>
    </row>
    <row r="7151" spans="1:22" hidden="1" x14ac:dyDescent="0.25">
      <c r="A7151" s="100">
        <v>45991</v>
      </c>
      <c r="B7151" t="str">
        <f t="shared" si="572"/>
        <v>November</v>
      </c>
      <c r="C7151" s="46" t="s">
        <v>280</v>
      </c>
      <c r="F7151" s="366" t="s">
        <v>3596</v>
      </c>
      <c r="G7151" s="46" t="s">
        <v>208</v>
      </c>
      <c r="H7151" s="46">
        <v>1</v>
      </c>
      <c r="I7151" s="51">
        <v>189.75</v>
      </c>
      <c r="J7151" s="281">
        <f>++Tabla4[[#This Row],[Precio Bruto]]*1.16</f>
        <v>220.10999999999999</v>
      </c>
      <c r="K7151" s="281">
        <f>+Tabla4[[#This Row],[Precio Unitario Neto]]*Tabla4[[#Headers],[20.85%]]</f>
        <v>45.892934999999994</v>
      </c>
      <c r="L7151" s="282">
        <f>++Tabla4[[#This Row],[Precio Unitario Neto]]-Tabla4[[#This Row],[20.85%]]</f>
        <v>174.21706499999999</v>
      </c>
      <c r="M7151" s="282" t="e">
        <f>(INDEX(Tabla6[#All],MATCH(Tabla4[[#This Row],[Producto]],Tabla6[[#All],[PRODUCTO]],0),MATCH(Tabla4[[#This Row],[Mes]],Tabla6[#Headers],0)))*(1+Catalogos!$L$2)</f>
        <v>#N/A</v>
      </c>
      <c r="N7151" s="283" t="e">
        <f>+(Tabla4[[#This Row],[Precio Descontado]]-Tabla4[[#This Row],[Precio Base]])*Tabla4[[#This Row],[Cantidad]]</f>
        <v>#N/A</v>
      </c>
      <c r="O7151" s="284" t="e">
        <f>++Tabla4[[#This Row],[Utilidad Total]]/Tabla4[[#This Row],[Total]]</f>
        <v>#N/A</v>
      </c>
      <c r="P7151" s="282">
        <f>++Tabla4[[#This Row],[Precio Descontado]]*Tabla4[[#This Row],[Cantidad]]</f>
        <v>174.21706499999999</v>
      </c>
      <c r="Q7151" s="282" t="e">
        <f>(INDEX(Tabla6[#All],MATCH(Tabla4[[#This Row],[Producto]],Tabla6[[#All],[PRODUCTO]],0),MATCH(Tabla4[[#This Row],[Mes]],Tabla6[#Headers],0)))</f>
        <v>#N/A</v>
      </c>
      <c r="R7151" s="282" t="e">
        <f>++Tabla4[[#This Row],[Precio Unitario Neto]]-Tabla4[[#This Row],[20.85%]]-Tabla4[[#This Row],[Costo]]</f>
        <v>#N/A</v>
      </c>
      <c r="S7151" s="282" t="e">
        <f>++Tabla4[[#This Row],[U. Bruta Uni]]*Tabla4[[#This Row],[Cantidad]]</f>
        <v>#N/A</v>
      </c>
      <c r="T7151" s="369" t="str">
        <f>VLOOKUP(Tabla4[[#This Row],[Producto]],Tabla6[#All],14,FALSE)</f>
        <v>Termico Solar</v>
      </c>
      <c r="U7151" s="284" t="e">
        <f>(IF(Tabla4[[#This Row],[Familia]]="termico solar",Tabla4[[#This Row],[Utilidad Total]]*6%,Tabla4[[#This Row],[Utilidad Total]]*11.5%))/Tabla4[[#This Row],[Total]]</f>
        <v>#N/A</v>
      </c>
      <c r="V7151" s="282" t="e">
        <f>+Tabla4[[#This Row],[Comisión Calculada]]*Tabla4[[#This Row],[Total]]</f>
        <v>#N/A</v>
      </c>
    </row>
    <row r="7152" spans="1:22" hidden="1" x14ac:dyDescent="0.25">
      <c r="A7152" s="100">
        <v>45991</v>
      </c>
      <c r="B7152" t="str">
        <f t="shared" ref="B7152:B7153" si="573">TEXT(A7152, "mmmm")</f>
        <v>November</v>
      </c>
      <c r="C7152" s="46" t="s">
        <v>280</v>
      </c>
      <c r="F7152" s="366" t="s">
        <v>3597</v>
      </c>
      <c r="G7152" s="46" t="s">
        <v>17</v>
      </c>
      <c r="H7152" s="46">
        <v>2</v>
      </c>
      <c r="I7152" s="51">
        <v>4622.28</v>
      </c>
      <c r="J7152" s="281">
        <f>++Tabla4[[#This Row],[Precio Bruto]]*1.16</f>
        <v>5361.8447999999989</v>
      </c>
      <c r="K7152" s="281">
        <f>+Tabla4[[#This Row],[Precio Unitario Neto]]*Tabla4[[#Headers],[20.85%]]</f>
        <v>1117.9446407999997</v>
      </c>
      <c r="L7152" s="282">
        <f>++Tabla4[[#This Row],[Precio Unitario Neto]]-Tabla4[[#This Row],[20.85%]]</f>
        <v>4243.9001591999995</v>
      </c>
      <c r="M7152" s="282" t="e">
        <f>(INDEX(Tabla6[#All],MATCH(Tabla4[[#This Row],[Producto]],Tabla6[[#All],[PRODUCTO]],0),MATCH(Tabla4[[#This Row],[Mes]],Tabla6[#Headers],0)))*(1+Catalogos!$L$2)</f>
        <v>#N/A</v>
      </c>
      <c r="N7152" s="283" t="e">
        <f>+(Tabla4[[#This Row],[Precio Descontado]]-Tabla4[[#This Row],[Precio Base]])*Tabla4[[#This Row],[Cantidad]]</f>
        <v>#N/A</v>
      </c>
      <c r="O7152" s="284" t="e">
        <f>++Tabla4[[#This Row],[Utilidad Total]]/Tabla4[[#This Row],[Total]]</f>
        <v>#N/A</v>
      </c>
      <c r="P7152" s="282">
        <f>++Tabla4[[#This Row],[Precio Descontado]]*Tabla4[[#This Row],[Cantidad]]</f>
        <v>8487.800318399999</v>
      </c>
      <c r="Q7152" s="282" t="e">
        <f>(INDEX(Tabla6[#All],MATCH(Tabla4[[#This Row],[Producto]],Tabla6[[#All],[PRODUCTO]],0),MATCH(Tabla4[[#This Row],[Mes]],Tabla6[#Headers],0)))</f>
        <v>#N/A</v>
      </c>
      <c r="R7152" s="282" t="e">
        <f>++Tabla4[[#This Row],[Precio Unitario Neto]]-Tabla4[[#This Row],[20.85%]]-Tabla4[[#This Row],[Costo]]</f>
        <v>#N/A</v>
      </c>
      <c r="S7152" s="282" t="e">
        <f>++Tabla4[[#This Row],[U. Bruta Uni]]*Tabla4[[#This Row],[Cantidad]]</f>
        <v>#N/A</v>
      </c>
      <c r="T7152" s="369" t="str">
        <f>VLOOKUP(Tabla4[[#This Row],[Producto]],Tabla6[#All],14,FALSE)</f>
        <v>Termico Solar</v>
      </c>
      <c r="U7152" s="284" t="e">
        <f>(IF(Tabla4[[#This Row],[Familia]]="termico solar",Tabla4[[#This Row],[Utilidad Total]]*6%,Tabla4[[#This Row],[Utilidad Total]]*11.5%))/Tabla4[[#This Row],[Total]]</f>
        <v>#N/A</v>
      </c>
      <c r="V7152" s="282" t="e">
        <f>+Tabla4[[#This Row],[Comisión Calculada]]*Tabla4[[#This Row],[Total]]</f>
        <v>#N/A</v>
      </c>
    </row>
    <row r="7153" spans="1:22" hidden="1" x14ac:dyDescent="0.25">
      <c r="A7153" s="100">
        <v>45991</v>
      </c>
      <c r="B7153" t="str">
        <f t="shared" si="573"/>
        <v>November</v>
      </c>
      <c r="C7153" s="46" t="s">
        <v>280</v>
      </c>
      <c r="F7153" s="366" t="s">
        <v>3597</v>
      </c>
      <c r="G7153" s="46" t="s">
        <v>18</v>
      </c>
      <c r="H7153" s="46">
        <v>2</v>
      </c>
      <c r="I7153" s="51">
        <v>5367.65</v>
      </c>
      <c r="J7153" s="281">
        <f>++Tabla4[[#This Row],[Precio Bruto]]*1.16</f>
        <v>6226.4739999999993</v>
      </c>
      <c r="K7153" s="281">
        <f>+Tabla4[[#This Row],[Precio Unitario Neto]]*Tabla4[[#Headers],[20.85%]]</f>
        <v>1298.2198289999999</v>
      </c>
      <c r="L7153" s="282">
        <f>++Tabla4[[#This Row],[Precio Unitario Neto]]-Tabla4[[#This Row],[20.85%]]</f>
        <v>4928.2541709999996</v>
      </c>
      <c r="M7153" s="282" t="e">
        <f>(INDEX(Tabla6[#All],MATCH(Tabla4[[#This Row],[Producto]],Tabla6[[#All],[PRODUCTO]],0),MATCH(Tabla4[[#This Row],[Mes]],Tabla6[#Headers],0)))*(1+Catalogos!$L$2)</f>
        <v>#N/A</v>
      </c>
      <c r="N7153" s="283" t="e">
        <f>+(Tabla4[[#This Row],[Precio Descontado]]-Tabla4[[#This Row],[Precio Base]])*Tabla4[[#This Row],[Cantidad]]</f>
        <v>#N/A</v>
      </c>
      <c r="O7153" s="284" t="e">
        <f>++Tabla4[[#This Row],[Utilidad Total]]/Tabla4[[#This Row],[Total]]</f>
        <v>#N/A</v>
      </c>
      <c r="P7153" s="282">
        <f>++Tabla4[[#This Row],[Precio Descontado]]*Tabla4[[#This Row],[Cantidad]]</f>
        <v>9856.5083419999992</v>
      </c>
      <c r="Q7153" s="282" t="e">
        <f>(INDEX(Tabla6[#All],MATCH(Tabla4[[#This Row],[Producto]],Tabla6[[#All],[PRODUCTO]],0),MATCH(Tabla4[[#This Row],[Mes]],Tabla6[#Headers],0)))</f>
        <v>#N/A</v>
      </c>
      <c r="R7153" s="282" t="e">
        <f>++Tabla4[[#This Row],[Precio Unitario Neto]]-Tabla4[[#This Row],[20.85%]]-Tabla4[[#This Row],[Costo]]</f>
        <v>#N/A</v>
      </c>
      <c r="S7153" s="282" t="e">
        <f>++Tabla4[[#This Row],[U. Bruta Uni]]*Tabla4[[#This Row],[Cantidad]]</f>
        <v>#N/A</v>
      </c>
      <c r="T7153" s="369" t="str">
        <f>VLOOKUP(Tabla4[[#This Row],[Producto]],Tabla6[#All],14,FALSE)</f>
        <v>Termico Solar</v>
      </c>
      <c r="U7153" s="284" t="e">
        <f>(IF(Tabla4[[#This Row],[Familia]]="termico solar",Tabla4[[#This Row],[Utilidad Total]]*6%,Tabla4[[#This Row],[Utilidad Total]]*11.5%))/Tabla4[[#This Row],[Total]]</f>
        <v>#N/A</v>
      </c>
      <c r="V7153" s="282" t="e">
        <f>+Tabla4[[#This Row],[Comisión Calculada]]*Tabla4[[#This Row],[Total]]</f>
        <v>#N/A</v>
      </c>
    </row>
    <row r="7154" spans="1:22" hidden="1" x14ac:dyDescent="0.25">
      <c r="A7154" s="100">
        <v>45991</v>
      </c>
      <c r="B7154" t="str">
        <f>TEXT(A7154, "mmmm")</f>
        <v>November</v>
      </c>
      <c r="C7154" s="46" t="s">
        <v>280</v>
      </c>
      <c r="F7154" s="366" t="s">
        <v>3598</v>
      </c>
      <c r="G7154" s="46" t="s">
        <v>83</v>
      </c>
      <c r="H7154" s="46">
        <v>1</v>
      </c>
      <c r="I7154" s="51">
        <v>8858.76</v>
      </c>
      <c r="J7154" s="281">
        <f>++Tabla4[[#This Row],[Precio Bruto]]*1.16</f>
        <v>10276.161599999999</v>
      </c>
      <c r="K7154" s="281">
        <f>+Tabla4[[#This Row],[Precio Unitario Neto]]*Tabla4[[#Headers],[20.85%]]</f>
        <v>2142.5796935999997</v>
      </c>
      <c r="L7154" s="282">
        <f>++Tabla4[[#This Row],[Precio Unitario Neto]]-Tabla4[[#This Row],[20.85%]]</f>
        <v>8133.5819063999998</v>
      </c>
      <c r="M7154" s="282" t="e">
        <f>(INDEX(Tabla6[#All],MATCH(Tabla4[[#This Row],[Producto]],Tabla6[[#All],[PRODUCTO]],0),MATCH(Tabla4[[#This Row],[Mes]],Tabla6[#Headers],0)))*(1+Catalogos!$L$2)</f>
        <v>#N/A</v>
      </c>
      <c r="N7154" s="283" t="e">
        <f>+(Tabla4[[#This Row],[Precio Descontado]]-Tabla4[[#This Row],[Precio Base]])*Tabla4[[#This Row],[Cantidad]]</f>
        <v>#N/A</v>
      </c>
      <c r="O7154" s="284" t="e">
        <f>++Tabla4[[#This Row],[Utilidad Total]]/Tabla4[[#This Row],[Total]]</f>
        <v>#N/A</v>
      </c>
      <c r="P7154" s="282">
        <f>++Tabla4[[#This Row],[Precio Descontado]]*Tabla4[[#This Row],[Cantidad]]</f>
        <v>8133.5819063999998</v>
      </c>
      <c r="Q7154" s="282" t="e">
        <f>(INDEX(Tabla6[#All],MATCH(Tabla4[[#This Row],[Producto]],Tabla6[[#All],[PRODUCTO]],0),MATCH(Tabla4[[#This Row],[Mes]],Tabla6[#Headers],0)))</f>
        <v>#N/A</v>
      </c>
      <c r="R7154" s="282" t="e">
        <f>++Tabla4[[#This Row],[Precio Unitario Neto]]-Tabla4[[#This Row],[20.85%]]-Tabla4[[#This Row],[Costo]]</f>
        <v>#N/A</v>
      </c>
      <c r="S7154" s="282" t="e">
        <f>++Tabla4[[#This Row],[U. Bruta Uni]]*Tabla4[[#This Row],[Cantidad]]</f>
        <v>#N/A</v>
      </c>
      <c r="T7154" s="369" t="str">
        <f>VLOOKUP(Tabla4[[#This Row],[Producto]],Tabla6[#All],14,FALSE)</f>
        <v>Termico Solar</v>
      </c>
      <c r="U7154" s="284" t="e">
        <f>(IF(Tabla4[[#This Row],[Familia]]="termico solar",Tabla4[[#This Row],[Utilidad Total]]*6%,Tabla4[[#This Row],[Utilidad Total]]*11.5%))/Tabla4[[#This Row],[Total]]</f>
        <v>#N/A</v>
      </c>
      <c r="V7154" s="282" t="e">
        <f>+Tabla4[[#This Row],[Comisión Calculada]]*Tabla4[[#This Row],[Total]]</f>
        <v>#N/A</v>
      </c>
    </row>
    <row r="7155" spans="1:22" hidden="1" x14ac:dyDescent="0.25">
      <c r="A7155" s="100">
        <v>45991</v>
      </c>
      <c r="B7155" t="str">
        <f>TEXT(A7155, "mmmm")</f>
        <v>November</v>
      </c>
      <c r="C7155" s="46" t="s">
        <v>280</v>
      </c>
      <c r="F7155" s="366" t="s">
        <v>3599</v>
      </c>
      <c r="G7155" s="46" t="s">
        <v>566</v>
      </c>
      <c r="H7155" s="46">
        <v>1</v>
      </c>
      <c r="I7155" s="51">
        <v>2109.4499999999998</v>
      </c>
      <c r="J7155" s="281">
        <f>++Tabla4[[#This Row],[Precio Bruto]]*1.16</f>
        <v>2446.9619999999995</v>
      </c>
      <c r="K7155" s="281">
        <f>+Tabla4[[#This Row],[Precio Unitario Neto]]*Tabla4[[#Headers],[20.85%]]</f>
        <v>510.19157699999988</v>
      </c>
      <c r="L7155" s="282">
        <f>++Tabla4[[#This Row],[Precio Unitario Neto]]-Tabla4[[#This Row],[20.85%]]</f>
        <v>1936.7704229999997</v>
      </c>
      <c r="M7155" s="282" t="e">
        <f>(INDEX(Tabla6[#All],MATCH(Tabla4[[#This Row],[Producto]],Tabla6[[#All],[PRODUCTO]],0),MATCH(Tabla4[[#This Row],[Mes]],Tabla6[#Headers],0)))*(1+Catalogos!$L$2)</f>
        <v>#N/A</v>
      </c>
      <c r="N7155" s="283" t="e">
        <f>+(Tabla4[[#This Row],[Precio Descontado]]-Tabla4[[#This Row],[Precio Base]])*Tabla4[[#This Row],[Cantidad]]</f>
        <v>#N/A</v>
      </c>
      <c r="O7155" s="284" t="e">
        <f>++Tabla4[[#This Row],[Utilidad Total]]/Tabla4[[#This Row],[Total]]</f>
        <v>#N/A</v>
      </c>
      <c r="P7155" s="282">
        <f>++Tabla4[[#This Row],[Precio Descontado]]*Tabla4[[#This Row],[Cantidad]]</f>
        <v>1936.7704229999997</v>
      </c>
      <c r="Q7155" s="282" t="e">
        <f>(INDEX(Tabla6[#All],MATCH(Tabla4[[#This Row],[Producto]],Tabla6[[#All],[PRODUCTO]],0),MATCH(Tabla4[[#This Row],[Mes]],Tabla6[#Headers],0)))</f>
        <v>#N/A</v>
      </c>
      <c r="R7155" s="282" t="e">
        <f>++Tabla4[[#This Row],[Precio Unitario Neto]]-Tabla4[[#This Row],[20.85%]]-Tabla4[[#This Row],[Costo]]</f>
        <v>#N/A</v>
      </c>
      <c r="S7155" s="282" t="e">
        <f>++Tabla4[[#This Row],[U. Bruta Uni]]*Tabla4[[#This Row],[Cantidad]]</f>
        <v>#N/A</v>
      </c>
      <c r="T7155" s="369" t="str">
        <f>VLOOKUP(Tabla4[[#This Row],[Producto]],Tabla6[#All],14,FALSE)</f>
        <v>Termico Solar</v>
      </c>
      <c r="U7155" s="284" t="e">
        <f>(IF(Tabla4[[#This Row],[Familia]]="termico solar",Tabla4[[#This Row],[Utilidad Total]]*6%,Tabla4[[#This Row],[Utilidad Total]]*11.5%))/Tabla4[[#This Row],[Total]]</f>
        <v>#N/A</v>
      </c>
      <c r="V7155" s="282" t="e">
        <f>+Tabla4[[#This Row],[Comisión Calculada]]*Tabla4[[#This Row],[Total]]</f>
        <v>#N/A</v>
      </c>
    </row>
    <row r="7156" spans="1:22" hidden="1" x14ac:dyDescent="0.25">
      <c r="A7156" s="100">
        <v>45991</v>
      </c>
      <c r="B7156" t="str">
        <f t="shared" ref="B7156:B7158" si="574">TEXT(A7156, "mmmm")</f>
        <v>November</v>
      </c>
      <c r="C7156" s="46" t="s">
        <v>280</v>
      </c>
      <c r="F7156" s="366" t="s">
        <v>3600</v>
      </c>
      <c r="G7156" s="46" t="s">
        <v>83</v>
      </c>
      <c r="H7156" s="46">
        <v>3</v>
      </c>
      <c r="I7156" s="51">
        <v>8858.76</v>
      </c>
      <c r="J7156" s="281">
        <f>++Tabla4[[#This Row],[Precio Bruto]]*1.16</f>
        <v>10276.161599999999</v>
      </c>
      <c r="K7156" s="281">
        <f>+Tabla4[[#This Row],[Precio Unitario Neto]]*Tabla4[[#Headers],[20.85%]]</f>
        <v>2142.5796935999997</v>
      </c>
      <c r="L7156" s="282">
        <f>++Tabla4[[#This Row],[Precio Unitario Neto]]-Tabla4[[#This Row],[20.85%]]</f>
        <v>8133.5819063999998</v>
      </c>
      <c r="M7156" s="282" t="e">
        <f>(INDEX(Tabla6[#All],MATCH(Tabla4[[#This Row],[Producto]],Tabla6[[#All],[PRODUCTO]],0),MATCH(Tabla4[[#This Row],[Mes]],Tabla6[#Headers],0)))*(1+Catalogos!$L$2)</f>
        <v>#N/A</v>
      </c>
      <c r="N7156" s="283" t="e">
        <f>+(Tabla4[[#This Row],[Precio Descontado]]-Tabla4[[#This Row],[Precio Base]])*Tabla4[[#This Row],[Cantidad]]</f>
        <v>#N/A</v>
      </c>
      <c r="O7156" s="284" t="e">
        <f>++Tabla4[[#This Row],[Utilidad Total]]/Tabla4[[#This Row],[Total]]</f>
        <v>#N/A</v>
      </c>
      <c r="P7156" s="282">
        <f>++Tabla4[[#This Row],[Precio Descontado]]*Tabla4[[#This Row],[Cantidad]]</f>
        <v>24400.7457192</v>
      </c>
      <c r="Q7156" s="282" t="e">
        <f>(INDEX(Tabla6[#All],MATCH(Tabla4[[#This Row],[Producto]],Tabla6[[#All],[PRODUCTO]],0),MATCH(Tabla4[[#This Row],[Mes]],Tabla6[#Headers],0)))</f>
        <v>#N/A</v>
      </c>
      <c r="R7156" s="282" t="e">
        <f>++Tabla4[[#This Row],[Precio Unitario Neto]]-Tabla4[[#This Row],[20.85%]]-Tabla4[[#This Row],[Costo]]</f>
        <v>#N/A</v>
      </c>
      <c r="S7156" s="282" t="e">
        <f>++Tabla4[[#This Row],[U. Bruta Uni]]*Tabla4[[#This Row],[Cantidad]]</f>
        <v>#N/A</v>
      </c>
      <c r="T7156" s="369" t="str">
        <f>VLOOKUP(Tabla4[[#This Row],[Producto]],Tabla6[#All],14,FALSE)</f>
        <v>Termico Solar</v>
      </c>
      <c r="U7156" s="284" t="e">
        <f>(IF(Tabla4[[#This Row],[Familia]]="termico solar",Tabla4[[#This Row],[Utilidad Total]]*6%,Tabla4[[#This Row],[Utilidad Total]]*11.5%))/Tabla4[[#This Row],[Total]]</f>
        <v>#N/A</v>
      </c>
      <c r="V7156" s="282" t="e">
        <f>+Tabla4[[#This Row],[Comisión Calculada]]*Tabla4[[#This Row],[Total]]</f>
        <v>#N/A</v>
      </c>
    </row>
    <row r="7157" spans="1:22" hidden="1" x14ac:dyDescent="0.25">
      <c r="A7157" s="100">
        <v>45991</v>
      </c>
      <c r="B7157" t="str">
        <f t="shared" si="574"/>
        <v>November</v>
      </c>
      <c r="C7157" s="46" t="s">
        <v>280</v>
      </c>
      <c r="F7157" s="366" t="s">
        <v>3600</v>
      </c>
      <c r="G7157" s="46" t="s">
        <v>17</v>
      </c>
      <c r="H7157" s="46">
        <v>2</v>
      </c>
      <c r="I7157" s="51">
        <v>4622.28</v>
      </c>
      <c r="J7157" s="281">
        <f>++Tabla4[[#This Row],[Precio Bruto]]*1.16</f>
        <v>5361.8447999999989</v>
      </c>
      <c r="K7157" s="281">
        <f>+Tabla4[[#This Row],[Precio Unitario Neto]]*Tabla4[[#Headers],[20.85%]]</f>
        <v>1117.9446407999997</v>
      </c>
      <c r="L7157" s="282">
        <f>++Tabla4[[#This Row],[Precio Unitario Neto]]-Tabla4[[#This Row],[20.85%]]</f>
        <v>4243.9001591999995</v>
      </c>
      <c r="M7157" s="282" t="e">
        <f>(INDEX(Tabla6[#All],MATCH(Tabla4[[#This Row],[Producto]],Tabla6[[#All],[PRODUCTO]],0),MATCH(Tabla4[[#This Row],[Mes]],Tabla6[#Headers],0)))*(1+Catalogos!$L$2)</f>
        <v>#N/A</v>
      </c>
      <c r="N7157" s="283" t="e">
        <f>+(Tabla4[[#This Row],[Precio Descontado]]-Tabla4[[#This Row],[Precio Base]])*Tabla4[[#This Row],[Cantidad]]</f>
        <v>#N/A</v>
      </c>
      <c r="O7157" s="284" t="e">
        <f>++Tabla4[[#This Row],[Utilidad Total]]/Tabla4[[#This Row],[Total]]</f>
        <v>#N/A</v>
      </c>
      <c r="P7157" s="282">
        <f>++Tabla4[[#This Row],[Precio Descontado]]*Tabla4[[#This Row],[Cantidad]]</f>
        <v>8487.800318399999</v>
      </c>
      <c r="Q7157" s="282" t="e">
        <f>(INDEX(Tabla6[#All],MATCH(Tabla4[[#This Row],[Producto]],Tabla6[[#All],[PRODUCTO]],0),MATCH(Tabla4[[#This Row],[Mes]],Tabla6[#Headers],0)))</f>
        <v>#N/A</v>
      </c>
      <c r="R7157" s="282" t="e">
        <f>++Tabla4[[#This Row],[Precio Unitario Neto]]-Tabla4[[#This Row],[20.85%]]-Tabla4[[#This Row],[Costo]]</f>
        <v>#N/A</v>
      </c>
      <c r="S7157" s="282" t="e">
        <f>++Tabla4[[#This Row],[U. Bruta Uni]]*Tabla4[[#This Row],[Cantidad]]</f>
        <v>#N/A</v>
      </c>
      <c r="T7157" s="369" t="str">
        <f>VLOOKUP(Tabla4[[#This Row],[Producto]],Tabla6[#All],14,FALSE)</f>
        <v>Termico Solar</v>
      </c>
      <c r="U7157" s="284" t="e">
        <f>(IF(Tabla4[[#This Row],[Familia]]="termico solar",Tabla4[[#This Row],[Utilidad Total]]*6%,Tabla4[[#This Row],[Utilidad Total]]*11.5%))/Tabla4[[#This Row],[Total]]</f>
        <v>#N/A</v>
      </c>
      <c r="V7157" s="282" t="e">
        <f>+Tabla4[[#This Row],[Comisión Calculada]]*Tabla4[[#This Row],[Total]]</f>
        <v>#N/A</v>
      </c>
    </row>
    <row r="7158" spans="1:22" hidden="1" x14ac:dyDescent="0.25">
      <c r="A7158" s="100">
        <v>45991</v>
      </c>
      <c r="B7158" t="str">
        <f t="shared" si="574"/>
        <v>November</v>
      </c>
      <c r="C7158" s="46" t="s">
        <v>280</v>
      </c>
      <c r="F7158" s="366" t="s">
        <v>3600</v>
      </c>
      <c r="G7158" s="46" t="s">
        <v>18</v>
      </c>
      <c r="H7158" s="46">
        <v>1</v>
      </c>
      <c r="I7158" s="51">
        <v>5367.65</v>
      </c>
      <c r="J7158" s="281">
        <f>++Tabla4[[#This Row],[Precio Bruto]]*1.16</f>
        <v>6226.4739999999993</v>
      </c>
      <c r="K7158" s="281">
        <f>+Tabla4[[#This Row],[Precio Unitario Neto]]*Tabla4[[#Headers],[20.85%]]</f>
        <v>1298.2198289999999</v>
      </c>
      <c r="L7158" s="282">
        <f>++Tabla4[[#This Row],[Precio Unitario Neto]]-Tabla4[[#This Row],[20.85%]]</f>
        <v>4928.2541709999996</v>
      </c>
      <c r="M7158" s="282" t="e">
        <f>(INDEX(Tabla6[#All],MATCH(Tabla4[[#This Row],[Producto]],Tabla6[[#All],[PRODUCTO]],0),MATCH(Tabla4[[#This Row],[Mes]],Tabla6[#Headers],0)))*(1+Catalogos!$L$2)</f>
        <v>#N/A</v>
      </c>
      <c r="N7158" s="283" t="e">
        <f>+(Tabla4[[#This Row],[Precio Descontado]]-Tabla4[[#This Row],[Precio Base]])*Tabla4[[#This Row],[Cantidad]]</f>
        <v>#N/A</v>
      </c>
      <c r="O7158" s="284" t="e">
        <f>++Tabla4[[#This Row],[Utilidad Total]]/Tabla4[[#This Row],[Total]]</f>
        <v>#N/A</v>
      </c>
      <c r="P7158" s="282">
        <f>++Tabla4[[#This Row],[Precio Descontado]]*Tabla4[[#This Row],[Cantidad]]</f>
        <v>4928.2541709999996</v>
      </c>
      <c r="Q7158" s="282" t="e">
        <f>(INDEX(Tabla6[#All],MATCH(Tabla4[[#This Row],[Producto]],Tabla6[[#All],[PRODUCTO]],0),MATCH(Tabla4[[#This Row],[Mes]],Tabla6[#Headers],0)))</f>
        <v>#N/A</v>
      </c>
      <c r="R7158" s="282" t="e">
        <f>++Tabla4[[#This Row],[Precio Unitario Neto]]-Tabla4[[#This Row],[20.85%]]-Tabla4[[#This Row],[Costo]]</f>
        <v>#N/A</v>
      </c>
      <c r="S7158" s="282" t="e">
        <f>++Tabla4[[#This Row],[U. Bruta Uni]]*Tabla4[[#This Row],[Cantidad]]</f>
        <v>#N/A</v>
      </c>
      <c r="T7158" s="369" t="str">
        <f>VLOOKUP(Tabla4[[#This Row],[Producto]],Tabla6[#All],14,FALSE)</f>
        <v>Termico Solar</v>
      </c>
      <c r="U7158" s="284" t="e">
        <f>(IF(Tabla4[[#This Row],[Familia]]="termico solar",Tabla4[[#This Row],[Utilidad Total]]*6%,Tabla4[[#This Row],[Utilidad Total]]*11.5%))/Tabla4[[#This Row],[Total]]</f>
        <v>#N/A</v>
      </c>
      <c r="V7158" s="282" t="e">
        <f>+Tabla4[[#This Row],[Comisión Calculada]]*Tabla4[[#This Row],[Total]]</f>
        <v>#N/A</v>
      </c>
    </row>
    <row r="7159" spans="1:22" hidden="1" x14ac:dyDescent="0.25">
      <c r="A7159" s="100">
        <v>45991</v>
      </c>
      <c r="B7159" t="str">
        <f>TEXT(A7159, "mmmm")</f>
        <v>November</v>
      </c>
      <c r="C7159" s="46" t="s">
        <v>280</v>
      </c>
      <c r="F7159" s="366" t="s">
        <v>3601</v>
      </c>
      <c r="G7159" s="46" t="s">
        <v>208</v>
      </c>
      <c r="H7159" s="46">
        <v>1</v>
      </c>
      <c r="I7159" s="51">
        <v>189.75</v>
      </c>
      <c r="J7159" s="281">
        <f>++Tabla4[[#This Row],[Precio Bruto]]*1.16</f>
        <v>220.10999999999999</v>
      </c>
      <c r="K7159" s="281">
        <f>+Tabla4[[#This Row],[Precio Unitario Neto]]*Tabla4[[#Headers],[20.85%]]</f>
        <v>45.892934999999994</v>
      </c>
      <c r="L7159" s="282">
        <f>++Tabla4[[#This Row],[Precio Unitario Neto]]-Tabla4[[#This Row],[20.85%]]</f>
        <v>174.21706499999999</v>
      </c>
      <c r="M7159" s="282" t="e">
        <f>(INDEX(Tabla6[#All],MATCH(Tabla4[[#This Row],[Producto]],Tabla6[[#All],[PRODUCTO]],0),MATCH(Tabla4[[#This Row],[Mes]],Tabla6[#Headers],0)))*(1+Catalogos!$L$2)</f>
        <v>#N/A</v>
      </c>
      <c r="N7159" s="283" t="e">
        <f>+(Tabla4[[#This Row],[Precio Descontado]]-Tabla4[[#This Row],[Precio Base]])*Tabla4[[#This Row],[Cantidad]]</f>
        <v>#N/A</v>
      </c>
      <c r="O7159" s="284" t="e">
        <f>++Tabla4[[#This Row],[Utilidad Total]]/Tabla4[[#This Row],[Total]]</f>
        <v>#N/A</v>
      </c>
      <c r="P7159" s="282">
        <f>++Tabla4[[#This Row],[Precio Descontado]]*Tabla4[[#This Row],[Cantidad]]</f>
        <v>174.21706499999999</v>
      </c>
      <c r="Q7159" s="282" t="e">
        <f>(INDEX(Tabla6[#All],MATCH(Tabla4[[#This Row],[Producto]],Tabla6[[#All],[PRODUCTO]],0),MATCH(Tabla4[[#This Row],[Mes]],Tabla6[#Headers],0)))</f>
        <v>#N/A</v>
      </c>
      <c r="R7159" s="282" t="e">
        <f>++Tabla4[[#This Row],[Precio Unitario Neto]]-Tabla4[[#This Row],[20.85%]]-Tabla4[[#This Row],[Costo]]</f>
        <v>#N/A</v>
      </c>
      <c r="S7159" s="282" t="e">
        <f>++Tabla4[[#This Row],[U. Bruta Uni]]*Tabla4[[#This Row],[Cantidad]]</f>
        <v>#N/A</v>
      </c>
      <c r="T7159" s="369" t="str">
        <f>VLOOKUP(Tabla4[[#This Row],[Producto]],Tabla6[#All],14,FALSE)</f>
        <v>Termico Solar</v>
      </c>
      <c r="U7159" s="284" t="e">
        <f>(IF(Tabla4[[#This Row],[Familia]]="termico solar",Tabla4[[#This Row],[Utilidad Total]]*6%,Tabla4[[#This Row],[Utilidad Total]]*11.5%))/Tabla4[[#This Row],[Total]]</f>
        <v>#N/A</v>
      </c>
      <c r="V7159" s="282" t="e">
        <f>+Tabla4[[#This Row],[Comisión Calculada]]*Tabla4[[#This Row],[Total]]</f>
        <v>#N/A</v>
      </c>
    </row>
    <row r="7160" spans="1:22" hidden="1" x14ac:dyDescent="0.25">
      <c r="A7160" s="100">
        <v>45991</v>
      </c>
      <c r="B7160" t="str">
        <f t="shared" ref="B7160:B7161" si="575">TEXT(A7160, "mmmm")</f>
        <v>November</v>
      </c>
      <c r="C7160" s="46" t="s">
        <v>280</v>
      </c>
      <c r="F7160" s="366" t="s">
        <v>3602</v>
      </c>
      <c r="G7160" s="46" t="s">
        <v>17</v>
      </c>
      <c r="H7160" s="46">
        <v>1</v>
      </c>
      <c r="I7160" s="51">
        <v>4622.28</v>
      </c>
      <c r="J7160" s="281">
        <f>++Tabla4[[#This Row],[Precio Bruto]]*1.16</f>
        <v>5361.8447999999989</v>
      </c>
      <c r="K7160" s="281">
        <f>+Tabla4[[#This Row],[Precio Unitario Neto]]*Tabla4[[#Headers],[20.85%]]</f>
        <v>1117.9446407999997</v>
      </c>
      <c r="L7160" s="282">
        <f>++Tabla4[[#This Row],[Precio Unitario Neto]]-Tabla4[[#This Row],[20.85%]]</f>
        <v>4243.9001591999995</v>
      </c>
      <c r="M7160" s="282" t="e">
        <f>(INDEX(Tabla6[#All],MATCH(Tabla4[[#This Row],[Producto]],Tabla6[[#All],[PRODUCTO]],0),MATCH(Tabla4[[#This Row],[Mes]],Tabla6[#Headers],0)))*(1+Catalogos!$L$2)</f>
        <v>#N/A</v>
      </c>
      <c r="N7160" s="283" t="e">
        <f>+(Tabla4[[#This Row],[Precio Descontado]]-Tabla4[[#This Row],[Precio Base]])*Tabla4[[#This Row],[Cantidad]]</f>
        <v>#N/A</v>
      </c>
      <c r="O7160" s="284" t="e">
        <f>++Tabla4[[#This Row],[Utilidad Total]]/Tabla4[[#This Row],[Total]]</f>
        <v>#N/A</v>
      </c>
      <c r="P7160" s="282">
        <f>++Tabla4[[#This Row],[Precio Descontado]]*Tabla4[[#This Row],[Cantidad]]</f>
        <v>4243.9001591999995</v>
      </c>
      <c r="Q7160" s="282" t="e">
        <f>(INDEX(Tabla6[#All],MATCH(Tabla4[[#This Row],[Producto]],Tabla6[[#All],[PRODUCTO]],0),MATCH(Tabla4[[#This Row],[Mes]],Tabla6[#Headers],0)))</f>
        <v>#N/A</v>
      </c>
      <c r="R7160" s="282" t="e">
        <f>++Tabla4[[#This Row],[Precio Unitario Neto]]-Tabla4[[#This Row],[20.85%]]-Tabla4[[#This Row],[Costo]]</f>
        <v>#N/A</v>
      </c>
      <c r="S7160" s="282" t="e">
        <f>++Tabla4[[#This Row],[U. Bruta Uni]]*Tabla4[[#This Row],[Cantidad]]</f>
        <v>#N/A</v>
      </c>
      <c r="T7160" s="369" t="str">
        <f>VLOOKUP(Tabla4[[#This Row],[Producto]],Tabla6[#All],14,FALSE)</f>
        <v>Termico Solar</v>
      </c>
      <c r="U7160" s="284" t="e">
        <f>(IF(Tabla4[[#This Row],[Familia]]="termico solar",Tabla4[[#This Row],[Utilidad Total]]*6%,Tabla4[[#This Row],[Utilidad Total]]*11.5%))/Tabla4[[#This Row],[Total]]</f>
        <v>#N/A</v>
      </c>
      <c r="V7160" s="282" t="e">
        <f>+Tabla4[[#This Row],[Comisión Calculada]]*Tabla4[[#This Row],[Total]]</f>
        <v>#N/A</v>
      </c>
    </row>
    <row r="7161" spans="1:22" hidden="1" x14ac:dyDescent="0.25">
      <c r="A7161" s="100">
        <v>45991</v>
      </c>
      <c r="B7161" t="str">
        <f t="shared" si="575"/>
        <v>November</v>
      </c>
      <c r="C7161" s="46" t="s">
        <v>280</v>
      </c>
      <c r="F7161" s="366" t="s">
        <v>3602</v>
      </c>
      <c r="G7161" s="46" t="s">
        <v>19</v>
      </c>
      <c r="H7161" s="46">
        <v>1</v>
      </c>
      <c r="I7161" s="51">
        <v>6412.03</v>
      </c>
      <c r="J7161" s="281">
        <f>++Tabla4[[#This Row],[Precio Bruto]]*1.16</f>
        <v>7437.9547999999995</v>
      </c>
      <c r="K7161" s="281">
        <f>+Tabla4[[#This Row],[Precio Unitario Neto]]*Tabla4[[#Headers],[20.85%]]</f>
        <v>1550.8135757999999</v>
      </c>
      <c r="L7161" s="282">
        <f>++Tabla4[[#This Row],[Precio Unitario Neto]]-Tabla4[[#This Row],[20.85%]]</f>
        <v>5887.1412241999997</v>
      </c>
      <c r="M7161" s="282" t="e">
        <f>(INDEX(Tabla6[#All],MATCH(Tabla4[[#This Row],[Producto]],Tabla6[[#All],[PRODUCTO]],0),MATCH(Tabla4[[#This Row],[Mes]],Tabla6[#Headers],0)))*(1+Catalogos!$L$2)</f>
        <v>#N/A</v>
      </c>
      <c r="N7161" s="283" t="e">
        <f>+(Tabla4[[#This Row],[Precio Descontado]]-Tabla4[[#This Row],[Precio Base]])*Tabla4[[#This Row],[Cantidad]]</f>
        <v>#N/A</v>
      </c>
      <c r="O7161" s="284" t="e">
        <f>++Tabla4[[#This Row],[Utilidad Total]]/Tabla4[[#This Row],[Total]]</f>
        <v>#N/A</v>
      </c>
      <c r="P7161" s="282">
        <f>++Tabla4[[#This Row],[Precio Descontado]]*Tabla4[[#This Row],[Cantidad]]</f>
        <v>5887.1412241999997</v>
      </c>
      <c r="Q7161" s="282" t="e">
        <f>(INDEX(Tabla6[#All],MATCH(Tabla4[[#This Row],[Producto]],Tabla6[[#All],[PRODUCTO]],0),MATCH(Tabla4[[#This Row],[Mes]],Tabla6[#Headers],0)))</f>
        <v>#N/A</v>
      </c>
      <c r="R7161" s="282" t="e">
        <f>++Tabla4[[#This Row],[Precio Unitario Neto]]-Tabla4[[#This Row],[20.85%]]-Tabla4[[#This Row],[Costo]]</f>
        <v>#N/A</v>
      </c>
      <c r="S7161" s="282" t="e">
        <f>++Tabla4[[#This Row],[U. Bruta Uni]]*Tabla4[[#This Row],[Cantidad]]</f>
        <v>#N/A</v>
      </c>
      <c r="T7161" s="369" t="str">
        <f>VLOOKUP(Tabla4[[#This Row],[Producto]],Tabla6[#All],14,FALSE)</f>
        <v>Termico Solar</v>
      </c>
      <c r="U7161" s="284" t="e">
        <f>(IF(Tabla4[[#This Row],[Familia]]="termico solar",Tabla4[[#This Row],[Utilidad Total]]*6%,Tabla4[[#This Row],[Utilidad Total]]*11.5%))/Tabla4[[#This Row],[Total]]</f>
        <v>#N/A</v>
      </c>
      <c r="V7161" s="282" t="e">
        <f>+Tabla4[[#This Row],[Comisión Calculada]]*Tabla4[[#This Row],[Total]]</f>
        <v>#N/A</v>
      </c>
    </row>
    <row r="7162" spans="1:22" hidden="1" x14ac:dyDescent="0.25">
      <c r="A7162" s="100">
        <v>45991</v>
      </c>
      <c r="B7162" t="str">
        <f t="shared" ref="B7162:B7164" si="576">TEXT(A7162, "mmmm")</f>
        <v>November</v>
      </c>
      <c r="C7162" s="46" t="s">
        <v>280</v>
      </c>
      <c r="F7162" s="366" t="s">
        <v>3603</v>
      </c>
      <c r="G7162" s="46" t="s">
        <v>394</v>
      </c>
      <c r="H7162" s="46">
        <v>16</v>
      </c>
      <c r="I7162" s="51">
        <v>224.29</v>
      </c>
      <c r="J7162" s="281">
        <f>++Tabla4[[#This Row],[Precio Bruto]]*1.16</f>
        <v>260.1764</v>
      </c>
      <c r="K7162" s="281">
        <f>+Tabla4[[#This Row],[Precio Unitario Neto]]*Tabla4[[#Headers],[20.85%]]</f>
        <v>54.246779400000001</v>
      </c>
      <c r="L7162" s="282">
        <f>++Tabla4[[#This Row],[Precio Unitario Neto]]-Tabla4[[#This Row],[20.85%]]</f>
        <v>205.92962059999999</v>
      </c>
      <c r="M7162" s="282" t="e">
        <f>(INDEX(Tabla6[#All],MATCH(Tabla4[[#This Row],[Producto]],Tabla6[[#All],[PRODUCTO]],0),MATCH(Tabla4[[#This Row],[Mes]],Tabla6[#Headers],0)))*(1+Catalogos!$L$2)</f>
        <v>#N/A</v>
      </c>
      <c r="N7162" s="283" t="e">
        <f>+(Tabla4[[#This Row],[Precio Descontado]]-Tabla4[[#This Row],[Precio Base]])*Tabla4[[#This Row],[Cantidad]]</f>
        <v>#N/A</v>
      </c>
      <c r="O7162" s="284" t="e">
        <f>++Tabla4[[#This Row],[Utilidad Total]]/Tabla4[[#This Row],[Total]]</f>
        <v>#N/A</v>
      </c>
      <c r="P7162" s="282">
        <f>++Tabla4[[#This Row],[Precio Descontado]]*Tabla4[[#This Row],[Cantidad]]</f>
        <v>3294.8739295999999</v>
      </c>
      <c r="Q7162" s="282" t="e">
        <f>(INDEX(Tabla6[#All],MATCH(Tabla4[[#This Row],[Producto]],Tabla6[[#All],[PRODUCTO]],0),MATCH(Tabla4[[#This Row],[Mes]],Tabla6[#Headers],0)))</f>
        <v>#N/A</v>
      </c>
      <c r="R7162" s="282" t="e">
        <f>++Tabla4[[#This Row],[Precio Unitario Neto]]-Tabla4[[#This Row],[20.85%]]-Tabla4[[#This Row],[Costo]]</f>
        <v>#N/A</v>
      </c>
      <c r="S7162" s="282" t="e">
        <f>++Tabla4[[#This Row],[U. Bruta Uni]]*Tabla4[[#This Row],[Cantidad]]</f>
        <v>#N/A</v>
      </c>
      <c r="T7162" s="369" t="str">
        <f>VLOOKUP(Tabla4[[#This Row],[Producto]],Tabla6[#All],14,FALSE)</f>
        <v>Termico Solar</v>
      </c>
      <c r="U7162" s="284" t="e">
        <f>(IF(Tabla4[[#This Row],[Familia]]="termico solar",Tabla4[[#This Row],[Utilidad Total]]*6%,Tabla4[[#This Row],[Utilidad Total]]*11.5%))/Tabla4[[#This Row],[Total]]</f>
        <v>#N/A</v>
      </c>
      <c r="V7162" s="282" t="e">
        <f>+Tabla4[[#This Row],[Comisión Calculada]]*Tabla4[[#This Row],[Total]]</f>
        <v>#N/A</v>
      </c>
    </row>
    <row r="7163" spans="1:22" hidden="1" x14ac:dyDescent="0.25">
      <c r="A7163" s="100">
        <v>45991</v>
      </c>
      <c r="B7163" t="str">
        <f t="shared" si="576"/>
        <v>November</v>
      </c>
      <c r="C7163" s="46" t="s">
        <v>280</v>
      </c>
      <c r="F7163" s="366" t="s">
        <v>3603</v>
      </c>
      <c r="G7163" s="46" t="s">
        <v>555</v>
      </c>
      <c r="H7163" s="46">
        <v>8</v>
      </c>
      <c r="I7163" s="51">
        <v>389.47</v>
      </c>
      <c r="J7163" s="281">
        <f>++Tabla4[[#This Row],[Precio Bruto]]*1.16</f>
        <v>451.78519999999997</v>
      </c>
      <c r="K7163" s="281">
        <f>+Tabla4[[#This Row],[Precio Unitario Neto]]*Tabla4[[#Headers],[20.85%]]</f>
        <v>94.197214199999991</v>
      </c>
      <c r="L7163" s="282">
        <f>++Tabla4[[#This Row],[Precio Unitario Neto]]-Tabla4[[#This Row],[20.85%]]</f>
        <v>357.58798579999996</v>
      </c>
      <c r="M7163" s="282" t="e">
        <f>(INDEX(Tabla6[#All],MATCH(Tabla4[[#This Row],[Producto]],Tabla6[[#All],[PRODUCTO]],0),MATCH(Tabla4[[#This Row],[Mes]],Tabla6[#Headers],0)))*(1+Catalogos!$L$2)</f>
        <v>#N/A</v>
      </c>
      <c r="N7163" s="283" t="e">
        <f>+(Tabla4[[#This Row],[Precio Descontado]]-Tabla4[[#This Row],[Precio Base]])*Tabla4[[#This Row],[Cantidad]]</f>
        <v>#N/A</v>
      </c>
      <c r="O7163" s="284" t="e">
        <f>++Tabla4[[#This Row],[Utilidad Total]]/Tabla4[[#This Row],[Total]]</f>
        <v>#N/A</v>
      </c>
      <c r="P7163" s="282">
        <f>++Tabla4[[#This Row],[Precio Descontado]]*Tabla4[[#This Row],[Cantidad]]</f>
        <v>2860.7038863999996</v>
      </c>
      <c r="Q7163" s="282" t="e">
        <f>(INDEX(Tabla6[#All],MATCH(Tabla4[[#This Row],[Producto]],Tabla6[[#All],[PRODUCTO]],0),MATCH(Tabla4[[#This Row],[Mes]],Tabla6[#Headers],0)))</f>
        <v>#N/A</v>
      </c>
      <c r="R7163" s="282" t="e">
        <f>++Tabla4[[#This Row],[Precio Unitario Neto]]-Tabla4[[#This Row],[20.85%]]-Tabla4[[#This Row],[Costo]]</f>
        <v>#N/A</v>
      </c>
      <c r="S7163" s="282" t="e">
        <f>++Tabla4[[#This Row],[U. Bruta Uni]]*Tabla4[[#This Row],[Cantidad]]</f>
        <v>#N/A</v>
      </c>
      <c r="T7163" s="369" t="str">
        <f>VLOOKUP(Tabla4[[#This Row],[Producto]],Tabla6[#All],14,FALSE)</f>
        <v>Termico Solar</v>
      </c>
      <c r="U7163" s="284" t="e">
        <f>(IF(Tabla4[[#This Row],[Familia]]="termico solar",Tabla4[[#This Row],[Utilidad Total]]*6%,Tabla4[[#This Row],[Utilidad Total]]*11.5%))/Tabla4[[#This Row],[Total]]</f>
        <v>#N/A</v>
      </c>
      <c r="V7163" s="282" t="e">
        <f>+Tabla4[[#This Row],[Comisión Calculada]]*Tabla4[[#This Row],[Total]]</f>
        <v>#N/A</v>
      </c>
    </row>
    <row r="7164" spans="1:22" hidden="1" x14ac:dyDescent="0.25">
      <c r="A7164" s="100">
        <v>45991</v>
      </c>
      <c r="B7164" t="str">
        <f t="shared" si="576"/>
        <v>November</v>
      </c>
      <c r="C7164" s="46" t="s">
        <v>280</v>
      </c>
      <c r="F7164" s="366" t="s">
        <v>3603</v>
      </c>
      <c r="G7164" s="46" t="s">
        <v>208</v>
      </c>
      <c r="H7164" s="46">
        <v>3</v>
      </c>
      <c r="I7164" s="51">
        <v>189.75</v>
      </c>
      <c r="J7164" s="281">
        <f>++Tabla4[[#This Row],[Precio Bruto]]*1.16</f>
        <v>220.10999999999999</v>
      </c>
      <c r="K7164" s="281">
        <f>+Tabla4[[#This Row],[Precio Unitario Neto]]*Tabla4[[#Headers],[20.85%]]</f>
        <v>45.892934999999994</v>
      </c>
      <c r="L7164" s="282">
        <f>++Tabla4[[#This Row],[Precio Unitario Neto]]-Tabla4[[#This Row],[20.85%]]</f>
        <v>174.21706499999999</v>
      </c>
      <c r="M7164" s="282" t="e">
        <f>(INDEX(Tabla6[#All],MATCH(Tabla4[[#This Row],[Producto]],Tabla6[[#All],[PRODUCTO]],0),MATCH(Tabla4[[#This Row],[Mes]],Tabla6[#Headers],0)))*(1+Catalogos!$L$2)</f>
        <v>#N/A</v>
      </c>
      <c r="N7164" s="283" t="e">
        <f>+(Tabla4[[#This Row],[Precio Descontado]]-Tabla4[[#This Row],[Precio Base]])*Tabla4[[#This Row],[Cantidad]]</f>
        <v>#N/A</v>
      </c>
      <c r="O7164" s="284" t="e">
        <f>++Tabla4[[#This Row],[Utilidad Total]]/Tabla4[[#This Row],[Total]]</f>
        <v>#N/A</v>
      </c>
      <c r="P7164" s="282">
        <f>++Tabla4[[#This Row],[Precio Descontado]]*Tabla4[[#This Row],[Cantidad]]</f>
        <v>522.65119499999992</v>
      </c>
      <c r="Q7164" s="282" t="e">
        <f>(INDEX(Tabla6[#All],MATCH(Tabla4[[#This Row],[Producto]],Tabla6[[#All],[PRODUCTO]],0),MATCH(Tabla4[[#This Row],[Mes]],Tabla6[#Headers],0)))</f>
        <v>#N/A</v>
      </c>
      <c r="R7164" s="282" t="e">
        <f>++Tabla4[[#This Row],[Precio Unitario Neto]]-Tabla4[[#This Row],[20.85%]]-Tabla4[[#This Row],[Costo]]</f>
        <v>#N/A</v>
      </c>
      <c r="S7164" s="282" t="e">
        <f>++Tabla4[[#This Row],[U. Bruta Uni]]*Tabla4[[#This Row],[Cantidad]]</f>
        <v>#N/A</v>
      </c>
      <c r="T7164" s="369" t="str">
        <f>VLOOKUP(Tabla4[[#This Row],[Producto]],Tabla6[#All],14,FALSE)</f>
        <v>Termico Solar</v>
      </c>
      <c r="U7164" s="284" t="e">
        <f>(IF(Tabla4[[#This Row],[Familia]]="termico solar",Tabla4[[#This Row],[Utilidad Total]]*6%,Tabla4[[#This Row],[Utilidad Total]]*11.5%))/Tabla4[[#This Row],[Total]]</f>
        <v>#N/A</v>
      </c>
      <c r="V7164" s="282" t="e">
        <f>+Tabla4[[#This Row],[Comisión Calculada]]*Tabla4[[#This Row],[Total]]</f>
        <v>#N/A</v>
      </c>
    </row>
    <row r="7165" spans="1:22" hidden="1" x14ac:dyDescent="0.25">
      <c r="A7165" s="100">
        <v>45991</v>
      </c>
      <c r="B7165" t="str">
        <f t="shared" ref="B7165:B7169" si="577">TEXT(A7165, "mmmm")</f>
        <v>November</v>
      </c>
      <c r="C7165" s="46" t="s">
        <v>280</v>
      </c>
      <c r="F7165" s="366" t="s">
        <v>3604</v>
      </c>
      <c r="G7165" s="46" t="s">
        <v>17</v>
      </c>
      <c r="H7165" s="46">
        <v>2</v>
      </c>
      <c r="I7165" s="51">
        <v>4622.28</v>
      </c>
      <c r="J7165" s="281">
        <f>++Tabla4[[#This Row],[Precio Bruto]]*1.16</f>
        <v>5361.8447999999989</v>
      </c>
      <c r="K7165" s="281">
        <f>+Tabla4[[#This Row],[Precio Unitario Neto]]*Tabla4[[#Headers],[20.85%]]</f>
        <v>1117.9446407999997</v>
      </c>
      <c r="L7165" s="282">
        <f>++Tabla4[[#This Row],[Precio Unitario Neto]]-Tabla4[[#This Row],[20.85%]]</f>
        <v>4243.9001591999995</v>
      </c>
      <c r="M7165" s="282" t="e">
        <f>(INDEX(Tabla6[#All],MATCH(Tabla4[[#This Row],[Producto]],Tabla6[[#All],[PRODUCTO]],0),MATCH(Tabla4[[#This Row],[Mes]],Tabla6[#Headers],0)))*(1+Catalogos!$L$2)</f>
        <v>#N/A</v>
      </c>
      <c r="N7165" s="283" t="e">
        <f>+(Tabla4[[#This Row],[Precio Descontado]]-Tabla4[[#This Row],[Precio Base]])*Tabla4[[#This Row],[Cantidad]]</f>
        <v>#N/A</v>
      </c>
      <c r="O7165" s="284" t="e">
        <f>++Tabla4[[#This Row],[Utilidad Total]]/Tabla4[[#This Row],[Total]]</f>
        <v>#N/A</v>
      </c>
      <c r="P7165" s="282">
        <f>++Tabla4[[#This Row],[Precio Descontado]]*Tabla4[[#This Row],[Cantidad]]</f>
        <v>8487.800318399999</v>
      </c>
      <c r="Q7165" s="282" t="e">
        <f>(INDEX(Tabla6[#All],MATCH(Tabla4[[#This Row],[Producto]],Tabla6[[#All],[PRODUCTO]],0),MATCH(Tabla4[[#This Row],[Mes]],Tabla6[#Headers],0)))</f>
        <v>#N/A</v>
      </c>
      <c r="R7165" s="282" t="e">
        <f>++Tabla4[[#This Row],[Precio Unitario Neto]]-Tabla4[[#This Row],[20.85%]]-Tabla4[[#This Row],[Costo]]</f>
        <v>#N/A</v>
      </c>
      <c r="S7165" s="282" t="e">
        <f>++Tabla4[[#This Row],[U. Bruta Uni]]*Tabla4[[#This Row],[Cantidad]]</f>
        <v>#N/A</v>
      </c>
      <c r="T7165" s="369" t="str">
        <f>VLOOKUP(Tabla4[[#This Row],[Producto]],Tabla6[#All],14,FALSE)</f>
        <v>Termico Solar</v>
      </c>
      <c r="U7165" s="284" t="e">
        <f>(IF(Tabla4[[#This Row],[Familia]]="termico solar",Tabla4[[#This Row],[Utilidad Total]]*6%,Tabla4[[#This Row],[Utilidad Total]]*11.5%))/Tabla4[[#This Row],[Total]]</f>
        <v>#N/A</v>
      </c>
      <c r="V7165" s="282" t="e">
        <f>+Tabla4[[#This Row],[Comisión Calculada]]*Tabla4[[#This Row],[Total]]</f>
        <v>#N/A</v>
      </c>
    </row>
    <row r="7166" spans="1:22" hidden="1" x14ac:dyDescent="0.25">
      <c r="A7166" s="100">
        <v>45991</v>
      </c>
      <c r="B7166" t="str">
        <f t="shared" si="577"/>
        <v>November</v>
      </c>
      <c r="C7166" s="46" t="s">
        <v>280</v>
      </c>
      <c r="F7166" s="366" t="s">
        <v>3604</v>
      </c>
      <c r="G7166" s="46" t="s">
        <v>16</v>
      </c>
      <c r="H7166" s="46">
        <v>2</v>
      </c>
      <c r="I7166" s="51">
        <v>4103.8500000000004</v>
      </c>
      <c r="J7166" s="281">
        <f>++Tabla4[[#This Row],[Precio Bruto]]*1.16</f>
        <v>4760.4660000000003</v>
      </c>
      <c r="K7166" s="281">
        <f>+Tabla4[[#This Row],[Precio Unitario Neto]]*Tabla4[[#Headers],[20.85%]]</f>
        <v>992.55716100000006</v>
      </c>
      <c r="L7166" s="282">
        <f>++Tabla4[[#This Row],[Precio Unitario Neto]]-Tabla4[[#This Row],[20.85%]]</f>
        <v>3767.9088390000002</v>
      </c>
      <c r="M7166" s="282" t="e">
        <f>(INDEX(Tabla6[#All],MATCH(Tabla4[[#This Row],[Producto]],Tabla6[[#All],[PRODUCTO]],0),MATCH(Tabla4[[#This Row],[Mes]],Tabla6[#Headers],0)))*(1+Catalogos!$L$2)</f>
        <v>#N/A</v>
      </c>
      <c r="N7166" s="283" t="e">
        <f>+(Tabla4[[#This Row],[Precio Descontado]]-Tabla4[[#This Row],[Precio Base]])*Tabla4[[#This Row],[Cantidad]]</f>
        <v>#N/A</v>
      </c>
      <c r="O7166" s="284" t="e">
        <f>++Tabla4[[#This Row],[Utilidad Total]]/Tabla4[[#This Row],[Total]]</f>
        <v>#N/A</v>
      </c>
      <c r="P7166" s="282">
        <f>++Tabla4[[#This Row],[Precio Descontado]]*Tabla4[[#This Row],[Cantidad]]</f>
        <v>7535.8176780000003</v>
      </c>
      <c r="Q7166" s="282" t="e">
        <f>(INDEX(Tabla6[#All],MATCH(Tabla4[[#This Row],[Producto]],Tabla6[[#All],[PRODUCTO]],0),MATCH(Tabla4[[#This Row],[Mes]],Tabla6[#Headers],0)))</f>
        <v>#N/A</v>
      </c>
      <c r="R7166" s="282" t="e">
        <f>++Tabla4[[#This Row],[Precio Unitario Neto]]-Tabla4[[#This Row],[20.85%]]-Tabla4[[#This Row],[Costo]]</f>
        <v>#N/A</v>
      </c>
      <c r="S7166" s="282" t="e">
        <f>++Tabla4[[#This Row],[U. Bruta Uni]]*Tabla4[[#This Row],[Cantidad]]</f>
        <v>#N/A</v>
      </c>
      <c r="T7166" s="369" t="str">
        <f>VLOOKUP(Tabla4[[#This Row],[Producto]],Tabla6[#All],14,FALSE)</f>
        <v>Termico Solar</v>
      </c>
      <c r="U7166" s="284" t="e">
        <f>(IF(Tabla4[[#This Row],[Familia]]="termico solar",Tabla4[[#This Row],[Utilidad Total]]*6%,Tabla4[[#This Row],[Utilidad Total]]*11.5%))/Tabla4[[#This Row],[Total]]</f>
        <v>#N/A</v>
      </c>
      <c r="V7166" s="282" t="e">
        <f>+Tabla4[[#This Row],[Comisión Calculada]]*Tabla4[[#This Row],[Total]]</f>
        <v>#N/A</v>
      </c>
    </row>
    <row r="7167" spans="1:22" hidden="1" x14ac:dyDescent="0.25">
      <c r="A7167" s="100">
        <v>45991</v>
      </c>
      <c r="B7167" t="str">
        <f t="shared" si="577"/>
        <v>November</v>
      </c>
      <c r="C7167" s="46" t="s">
        <v>280</v>
      </c>
      <c r="F7167" s="366" t="s">
        <v>3604</v>
      </c>
      <c r="G7167" s="46" t="s">
        <v>394</v>
      </c>
      <c r="H7167" s="46">
        <v>16</v>
      </c>
      <c r="I7167" s="51">
        <v>224.29</v>
      </c>
      <c r="J7167" s="281">
        <f>++Tabla4[[#This Row],[Precio Bruto]]*1.16</f>
        <v>260.1764</v>
      </c>
      <c r="K7167" s="281">
        <f>+Tabla4[[#This Row],[Precio Unitario Neto]]*Tabla4[[#Headers],[20.85%]]</f>
        <v>54.246779400000001</v>
      </c>
      <c r="L7167" s="282">
        <f>++Tabla4[[#This Row],[Precio Unitario Neto]]-Tabla4[[#This Row],[20.85%]]</f>
        <v>205.92962059999999</v>
      </c>
      <c r="M7167" s="282" t="e">
        <f>(INDEX(Tabla6[#All],MATCH(Tabla4[[#This Row],[Producto]],Tabla6[[#All],[PRODUCTO]],0),MATCH(Tabla4[[#This Row],[Mes]],Tabla6[#Headers],0)))*(1+Catalogos!$L$2)</f>
        <v>#N/A</v>
      </c>
      <c r="N7167" s="283" t="e">
        <f>+(Tabla4[[#This Row],[Precio Descontado]]-Tabla4[[#This Row],[Precio Base]])*Tabla4[[#This Row],[Cantidad]]</f>
        <v>#N/A</v>
      </c>
      <c r="O7167" s="284" t="e">
        <f>++Tabla4[[#This Row],[Utilidad Total]]/Tabla4[[#This Row],[Total]]</f>
        <v>#N/A</v>
      </c>
      <c r="P7167" s="282">
        <f>++Tabla4[[#This Row],[Precio Descontado]]*Tabla4[[#This Row],[Cantidad]]</f>
        <v>3294.8739295999999</v>
      </c>
      <c r="Q7167" s="282" t="e">
        <f>(INDEX(Tabla6[#All],MATCH(Tabla4[[#This Row],[Producto]],Tabla6[[#All],[PRODUCTO]],0),MATCH(Tabla4[[#This Row],[Mes]],Tabla6[#Headers],0)))</f>
        <v>#N/A</v>
      </c>
      <c r="R7167" s="282" t="e">
        <f>++Tabla4[[#This Row],[Precio Unitario Neto]]-Tabla4[[#This Row],[20.85%]]-Tabla4[[#This Row],[Costo]]</f>
        <v>#N/A</v>
      </c>
      <c r="S7167" s="282" t="e">
        <f>++Tabla4[[#This Row],[U. Bruta Uni]]*Tabla4[[#This Row],[Cantidad]]</f>
        <v>#N/A</v>
      </c>
      <c r="T7167" s="369" t="str">
        <f>VLOOKUP(Tabla4[[#This Row],[Producto]],Tabla6[#All],14,FALSE)</f>
        <v>Termico Solar</v>
      </c>
      <c r="U7167" s="284" t="e">
        <f>(IF(Tabla4[[#This Row],[Familia]]="termico solar",Tabla4[[#This Row],[Utilidad Total]]*6%,Tabla4[[#This Row],[Utilidad Total]]*11.5%))/Tabla4[[#This Row],[Total]]</f>
        <v>#N/A</v>
      </c>
      <c r="V7167" s="282" t="e">
        <f>+Tabla4[[#This Row],[Comisión Calculada]]*Tabla4[[#This Row],[Total]]</f>
        <v>#N/A</v>
      </c>
    </row>
    <row r="7168" spans="1:22" hidden="1" x14ac:dyDescent="0.25">
      <c r="A7168" s="100">
        <v>45991</v>
      </c>
      <c r="B7168" t="str">
        <f t="shared" si="577"/>
        <v>November</v>
      </c>
      <c r="C7168" s="46" t="s">
        <v>280</v>
      </c>
      <c r="F7168" s="366" t="s">
        <v>3604</v>
      </c>
      <c r="G7168" s="46" t="s">
        <v>555</v>
      </c>
      <c r="H7168" s="46">
        <v>8</v>
      </c>
      <c r="I7168" s="51">
        <v>389.47</v>
      </c>
      <c r="J7168" s="281">
        <f>++Tabla4[[#This Row],[Precio Bruto]]*1.16</f>
        <v>451.78519999999997</v>
      </c>
      <c r="K7168" s="281">
        <f>+Tabla4[[#This Row],[Precio Unitario Neto]]*Tabla4[[#Headers],[20.85%]]</f>
        <v>94.197214199999991</v>
      </c>
      <c r="L7168" s="282">
        <f>++Tabla4[[#This Row],[Precio Unitario Neto]]-Tabla4[[#This Row],[20.85%]]</f>
        <v>357.58798579999996</v>
      </c>
      <c r="M7168" s="282" t="e">
        <f>(INDEX(Tabla6[#All],MATCH(Tabla4[[#This Row],[Producto]],Tabla6[[#All],[PRODUCTO]],0),MATCH(Tabla4[[#This Row],[Mes]],Tabla6[#Headers],0)))*(1+Catalogos!$L$2)</f>
        <v>#N/A</v>
      </c>
      <c r="N7168" s="283" t="e">
        <f>+(Tabla4[[#This Row],[Precio Descontado]]-Tabla4[[#This Row],[Precio Base]])*Tabla4[[#This Row],[Cantidad]]</f>
        <v>#N/A</v>
      </c>
      <c r="O7168" s="284" t="e">
        <f>++Tabla4[[#This Row],[Utilidad Total]]/Tabla4[[#This Row],[Total]]</f>
        <v>#N/A</v>
      </c>
      <c r="P7168" s="282">
        <f>++Tabla4[[#This Row],[Precio Descontado]]*Tabla4[[#This Row],[Cantidad]]</f>
        <v>2860.7038863999996</v>
      </c>
      <c r="Q7168" s="282" t="e">
        <f>(INDEX(Tabla6[#All],MATCH(Tabla4[[#This Row],[Producto]],Tabla6[[#All],[PRODUCTO]],0),MATCH(Tabla4[[#This Row],[Mes]],Tabla6[#Headers],0)))</f>
        <v>#N/A</v>
      </c>
      <c r="R7168" s="282" t="e">
        <f>++Tabla4[[#This Row],[Precio Unitario Neto]]-Tabla4[[#This Row],[20.85%]]-Tabla4[[#This Row],[Costo]]</f>
        <v>#N/A</v>
      </c>
      <c r="S7168" s="282" t="e">
        <f>++Tabla4[[#This Row],[U. Bruta Uni]]*Tabla4[[#This Row],[Cantidad]]</f>
        <v>#N/A</v>
      </c>
      <c r="T7168" s="369" t="str">
        <f>VLOOKUP(Tabla4[[#This Row],[Producto]],Tabla6[#All],14,FALSE)</f>
        <v>Termico Solar</v>
      </c>
      <c r="U7168" s="284" t="e">
        <f>(IF(Tabla4[[#This Row],[Familia]]="termico solar",Tabla4[[#This Row],[Utilidad Total]]*6%,Tabla4[[#This Row],[Utilidad Total]]*11.5%))/Tabla4[[#This Row],[Total]]</f>
        <v>#N/A</v>
      </c>
      <c r="V7168" s="282" t="e">
        <f>+Tabla4[[#This Row],[Comisión Calculada]]*Tabla4[[#This Row],[Total]]</f>
        <v>#N/A</v>
      </c>
    </row>
    <row r="7169" spans="1:22" hidden="1" x14ac:dyDescent="0.25">
      <c r="A7169" s="100">
        <v>45991</v>
      </c>
      <c r="B7169" t="str">
        <f t="shared" si="577"/>
        <v>November</v>
      </c>
      <c r="C7169" s="46" t="s">
        <v>280</v>
      </c>
      <c r="F7169" s="366" t="s">
        <v>3604</v>
      </c>
      <c r="G7169" s="46" t="s">
        <v>208</v>
      </c>
      <c r="H7169" s="46">
        <v>3</v>
      </c>
      <c r="I7169" s="51">
        <v>189.75</v>
      </c>
      <c r="J7169" s="281">
        <f>++Tabla4[[#This Row],[Precio Bruto]]*1.16</f>
        <v>220.10999999999999</v>
      </c>
      <c r="K7169" s="281">
        <f>+Tabla4[[#This Row],[Precio Unitario Neto]]*Tabla4[[#Headers],[20.85%]]</f>
        <v>45.892934999999994</v>
      </c>
      <c r="L7169" s="282">
        <f>++Tabla4[[#This Row],[Precio Unitario Neto]]-Tabla4[[#This Row],[20.85%]]</f>
        <v>174.21706499999999</v>
      </c>
      <c r="M7169" s="282" t="e">
        <f>(INDEX(Tabla6[#All],MATCH(Tabla4[[#This Row],[Producto]],Tabla6[[#All],[PRODUCTO]],0),MATCH(Tabla4[[#This Row],[Mes]],Tabla6[#Headers],0)))*(1+Catalogos!$L$2)</f>
        <v>#N/A</v>
      </c>
      <c r="N7169" s="283" t="e">
        <f>+(Tabla4[[#This Row],[Precio Descontado]]-Tabla4[[#This Row],[Precio Base]])*Tabla4[[#This Row],[Cantidad]]</f>
        <v>#N/A</v>
      </c>
      <c r="O7169" s="284" t="e">
        <f>++Tabla4[[#This Row],[Utilidad Total]]/Tabla4[[#This Row],[Total]]</f>
        <v>#N/A</v>
      </c>
      <c r="P7169" s="282">
        <f>++Tabla4[[#This Row],[Precio Descontado]]*Tabla4[[#This Row],[Cantidad]]</f>
        <v>522.65119499999992</v>
      </c>
      <c r="Q7169" s="282" t="e">
        <f>(INDEX(Tabla6[#All],MATCH(Tabla4[[#This Row],[Producto]],Tabla6[[#All],[PRODUCTO]],0),MATCH(Tabla4[[#This Row],[Mes]],Tabla6[#Headers],0)))</f>
        <v>#N/A</v>
      </c>
      <c r="R7169" s="282" t="e">
        <f>++Tabla4[[#This Row],[Precio Unitario Neto]]-Tabla4[[#This Row],[20.85%]]-Tabla4[[#This Row],[Costo]]</f>
        <v>#N/A</v>
      </c>
      <c r="S7169" s="282" t="e">
        <f>++Tabla4[[#This Row],[U. Bruta Uni]]*Tabla4[[#This Row],[Cantidad]]</f>
        <v>#N/A</v>
      </c>
      <c r="T7169" s="369" t="str">
        <f>VLOOKUP(Tabla4[[#This Row],[Producto]],Tabla6[#All],14,FALSE)</f>
        <v>Termico Solar</v>
      </c>
      <c r="U7169" s="284" t="e">
        <f>(IF(Tabla4[[#This Row],[Familia]]="termico solar",Tabla4[[#This Row],[Utilidad Total]]*6%,Tabla4[[#This Row],[Utilidad Total]]*11.5%))/Tabla4[[#This Row],[Total]]</f>
        <v>#N/A</v>
      </c>
      <c r="V7169" s="282" t="e">
        <f>+Tabla4[[#This Row],[Comisión Calculada]]*Tabla4[[#This Row],[Total]]</f>
        <v>#N/A</v>
      </c>
    </row>
    <row r="7170" spans="1:22" hidden="1" x14ac:dyDescent="0.25">
      <c r="A7170" s="100">
        <v>45991</v>
      </c>
      <c r="B7170" t="str">
        <f t="shared" ref="B7170:B7171" si="578">TEXT(A7170, "mmmm")</f>
        <v>November</v>
      </c>
      <c r="C7170" s="46" t="s">
        <v>280</v>
      </c>
      <c r="F7170" s="366" t="s">
        <v>3605</v>
      </c>
      <c r="G7170" s="46" t="s">
        <v>566</v>
      </c>
      <c r="H7170" s="46">
        <v>1</v>
      </c>
      <c r="I7170" s="51">
        <v>2109.4499999999998</v>
      </c>
      <c r="J7170" s="281">
        <f>++Tabla4[[#This Row],[Precio Bruto]]*1.16</f>
        <v>2446.9619999999995</v>
      </c>
      <c r="K7170" s="281">
        <f>+Tabla4[[#This Row],[Precio Unitario Neto]]*Tabla4[[#Headers],[20.85%]]</f>
        <v>510.19157699999988</v>
      </c>
      <c r="L7170" s="282">
        <f>++Tabla4[[#This Row],[Precio Unitario Neto]]-Tabla4[[#This Row],[20.85%]]</f>
        <v>1936.7704229999997</v>
      </c>
      <c r="M7170" s="282" t="e">
        <f>(INDEX(Tabla6[#All],MATCH(Tabla4[[#This Row],[Producto]],Tabla6[[#All],[PRODUCTO]],0),MATCH(Tabla4[[#This Row],[Mes]],Tabla6[#Headers],0)))*(1+Catalogos!$L$2)</f>
        <v>#N/A</v>
      </c>
      <c r="N7170" s="283" t="e">
        <f>+(Tabla4[[#This Row],[Precio Descontado]]-Tabla4[[#This Row],[Precio Base]])*Tabla4[[#This Row],[Cantidad]]</f>
        <v>#N/A</v>
      </c>
      <c r="O7170" s="284" t="e">
        <f>++Tabla4[[#This Row],[Utilidad Total]]/Tabla4[[#This Row],[Total]]</f>
        <v>#N/A</v>
      </c>
      <c r="P7170" s="282">
        <f>++Tabla4[[#This Row],[Precio Descontado]]*Tabla4[[#This Row],[Cantidad]]</f>
        <v>1936.7704229999997</v>
      </c>
      <c r="Q7170" s="282" t="e">
        <f>(INDEX(Tabla6[#All],MATCH(Tabla4[[#This Row],[Producto]],Tabla6[[#All],[PRODUCTO]],0),MATCH(Tabla4[[#This Row],[Mes]],Tabla6[#Headers],0)))</f>
        <v>#N/A</v>
      </c>
      <c r="R7170" s="282" t="e">
        <f>++Tabla4[[#This Row],[Precio Unitario Neto]]-Tabla4[[#This Row],[20.85%]]-Tabla4[[#This Row],[Costo]]</f>
        <v>#N/A</v>
      </c>
      <c r="S7170" s="282" t="e">
        <f>++Tabla4[[#This Row],[U. Bruta Uni]]*Tabla4[[#This Row],[Cantidad]]</f>
        <v>#N/A</v>
      </c>
      <c r="T7170" s="369" t="str">
        <f>VLOOKUP(Tabla4[[#This Row],[Producto]],Tabla6[#All],14,FALSE)</f>
        <v>Termico Solar</v>
      </c>
      <c r="U7170" s="284" t="e">
        <f>(IF(Tabla4[[#This Row],[Familia]]="termico solar",Tabla4[[#This Row],[Utilidad Total]]*6%,Tabla4[[#This Row],[Utilidad Total]]*11.5%))/Tabla4[[#This Row],[Total]]</f>
        <v>#N/A</v>
      </c>
      <c r="V7170" s="282" t="e">
        <f>+Tabla4[[#This Row],[Comisión Calculada]]*Tabla4[[#This Row],[Total]]</f>
        <v>#N/A</v>
      </c>
    </row>
    <row r="7171" spans="1:22" hidden="1" x14ac:dyDescent="0.25">
      <c r="A7171" s="100">
        <v>45991</v>
      </c>
      <c r="B7171" t="str">
        <f t="shared" si="578"/>
        <v>November</v>
      </c>
      <c r="C7171" s="46" t="s">
        <v>280</v>
      </c>
      <c r="F7171" s="366" t="s">
        <v>3605</v>
      </c>
      <c r="G7171" s="46" t="s">
        <v>412</v>
      </c>
      <c r="H7171" s="46">
        <v>1</v>
      </c>
      <c r="I7171" s="51">
        <v>3240.84</v>
      </c>
      <c r="J7171" s="281">
        <f>++Tabla4[[#This Row],[Precio Bruto]]*1.16</f>
        <v>3759.3743999999997</v>
      </c>
      <c r="K7171" s="281">
        <f>+Tabla4[[#This Row],[Precio Unitario Neto]]*Tabla4[[#Headers],[20.85%]]</f>
        <v>783.82956239999987</v>
      </c>
      <c r="L7171" s="282">
        <f>++Tabla4[[#This Row],[Precio Unitario Neto]]-Tabla4[[#This Row],[20.85%]]</f>
        <v>2975.5448375999999</v>
      </c>
      <c r="M7171" s="282" t="e">
        <f>(INDEX(Tabla6[#All],MATCH(Tabla4[[#This Row],[Producto]],Tabla6[[#All],[PRODUCTO]],0),MATCH(Tabla4[[#This Row],[Mes]],Tabla6[#Headers],0)))*(1+Catalogos!$L$2)</f>
        <v>#N/A</v>
      </c>
      <c r="N7171" s="283" t="e">
        <f>+(Tabla4[[#This Row],[Precio Descontado]]-Tabla4[[#This Row],[Precio Base]])*Tabla4[[#This Row],[Cantidad]]</f>
        <v>#N/A</v>
      </c>
      <c r="O7171" s="284" t="e">
        <f>++Tabla4[[#This Row],[Utilidad Total]]/Tabla4[[#This Row],[Total]]</f>
        <v>#N/A</v>
      </c>
      <c r="P7171" s="282">
        <f>++Tabla4[[#This Row],[Precio Descontado]]*Tabla4[[#This Row],[Cantidad]]</f>
        <v>2975.5448375999999</v>
      </c>
      <c r="Q7171" s="282" t="e">
        <f>(INDEX(Tabla6[#All],MATCH(Tabla4[[#This Row],[Producto]],Tabla6[[#All],[PRODUCTO]],0),MATCH(Tabla4[[#This Row],[Mes]],Tabla6[#Headers],0)))</f>
        <v>#N/A</v>
      </c>
      <c r="R7171" s="282" t="e">
        <f>++Tabla4[[#This Row],[Precio Unitario Neto]]-Tabla4[[#This Row],[20.85%]]-Tabla4[[#This Row],[Costo]]</f>
        <v>#N/A</v>
      </c>
      <c r="S7171" s="282" t="e">
        <f>++Tabla4[[#This Row],[U. Bruta Uni]]*Tabla4[[#This Row],[Cantidad]]</f>
        <v>#N/A</v>
      </c>
      <c r="T7171" s="369" t="str">
        <f>VLOOKUP(Tabla4[[#This Row],[Producto]],Tabla6[#All],14,FALSE)</f>
        <v>Termico Solar</v>
      </c>
      <c r="U7171" s="284" t="e">
        <f>(IF(Tabla4[[#This Row],[Familia]]="termico solar",Tabla4[[#This Row],[Utilidad Total]]*6%,Tabla4[[#This Row],[Utilidad Total]]*11.5%))/Tabla4[[#This Row],[Total]]</f>
        <v>#N/A</v>
      </c>
      <c r="V7171" s="282" t="e">
        <f>+Tabla4[[#This Row],[Comisión Calculada]]*Tabla4[[#This Row],[Total]]</f>
        <v>#N/A</v>
      </c>
    </row>
    <row r="7172" spans="1:22" hidden="1" x14ac:dyDescent="0.25">
      <c r="A7172" s="100">
        <v>45991</v>
      </c>
      <c r="B7172" t="str">
        <f t="shared" ref="B7172:B7173" si="579">TEXT(A7172, "mmmm")</f>
        <v>November</v>
      </c>
      <c r="C7172" s="46" t="s">
        <v>280</v>
      </c>
      <c r="F7172" s="366" t="s">
        <v>3606</v>
      </c>
      <c r="G7172" s="46" t="s">
        <v>17</v>
      </c>
      <c r="H7172" s="46">
        <v>1</v>
      </c>
      <c r="I7172" s="51">
        <v>4622.28</v>
      </c>
      <c r="J7172" s="281">
        <f>++Tabla4[[#This Row],[Precio Bruto]]*1.16</f>
        <v>5361.8447999999989</v>
      </c>
      <c r="K7172" s="281">
        <f>+Tabla4[[#This Row],[Precio Unitario Neto]]*Tabla4[[#Headers],[20.85%]]</f>
        <v>1117.9446407999997</v>
      </c>
      <c r="L7172" s="282">
        <f>++Tabla4[[#This Row],[Precio Unitario Neto]]-Tabla4[[#This Row],[20.85%]]</f>
        <v>4243.9001591999995</v>
      </c>
      <c r="M7172" s="282" t="e">
        <f>(INDEX(Tabla6[#All],MATCH(Tabla4[[#This Row],[Producto]],Tabla6[[#All],[PRODUCTO]],0),MATCH(Tabla4[[#This Row],[Mes]],Tabla6[#Headers],0)))*(1+Catalogos!$L$2)</f>
        <v>#N/A</v>
      </c>
      <c r="N7172" s="283" t="e">
        <f>+(Tabla4[[#This Row],[Precio Descontado]]-Tabla4[[#This Row],[Precio Base]])*Tabla4[[#This Row],[Cantidad]]</f>
        <v>#N/A</v>
      </c>
      <c r="O7172" s="284" t="e">
        <f>++Tabla4[[#This Row],[Utilidad Total]]/Tabla4[[#This Row],[Total]]</f>
        <v>#N/A</v>
      </c>
      <c r="P7172" s="282">
        <f>++Tabla4[[#This Row],[Precio Descontado]]*Tabla4[[#This Row],[Cantidad]]</f>
        <v>4243.9001591999995</v>
      </c>
      <c r="Q7172" s="282" t="e">
        <f>(INDEX(Tabla6[#All],MATCH(Tabla4[[#This Row],[Producto]],Tabla6[[#All],[PRODUCTO]],0),MATCH(Tabla4[[#This Row],[Mes]],Tabla6[#Headers],0)))</f>
        <v>#N/A</v>
      </c>
      <c r="R7172" s="282" t="e">
        <f>++Tabla4[[#This Row],[Precio Unitario Neto]]-Tabla4[[#This Row],[20.85%]]-Tabla4[[#This Row],[Costo]]</f>
        <v>#N/A</v>
      </c>
      <c r="S7172" s="282" t="e">
        <f>++Tabla4[[#This Row],[U. Bruta Uni]]*Tabla4[[#This Row],[Cantidad]]</f>
        <v>#N/A</v>
      </c>
      <c r="T7172" s="369" t="str">
        <f>VLOOKUP(Tabla4[[#This Row],[Producto]],Tabla6[#All],14,FALSE)</f>
        <v>Termico Solar</v>
      </c>
      <c r="U7172" s="284" t="e">
        <f>(IF(Tabla4[[#This Row],[Familia]]="termico solar",Tabla4[[#This Row],[Utilidad Total]]*6%,Tabla4[[#This Row],[Utilidad Total]]*11.5%))/Tabla4[[#This Row],[Total]]</f>
        <v>#N/A</v>
      </c>
      <c r="V7172" s="282" t="e">
        <f>+Tabla4[[#This Row],[Comisión Calculada]]*Tabla4[[#This Row],[Total]]</f>
        <v>#N/A</v>
      </c>
    </row>
    <row r="7173" spans="1:22" hidden="1" x14ac:dyDescent="0.25">
      <c r="A7173" s="100">
        <v>45991</v>
      </c>
      <c r="B7173" t="str">
        <f t="shared" si="579"/>
        <v>November</v>
      </c>
      <c r="C7173" s="46" t="s">
        <v>280</v>
      </c>
      <c r="F7173" s="366" t="s">
        <v>3606</v>
      </c>
      <c r="G7173" s="46" t="s">
        <v>16</v>
      </c>
      <c r="H7173" s="46">
        <v>1</v>
      </c>
      <c r="I7173" s="51">
        <v>4103.8500000000004</v>
      </c>
      <c r="J7173" s="281">
        <f>++Tabla4[[#This Row],[Precio Bruto]]*1.16</f>
        <v>4760.4660000000003</v>
      </c>
      <c r="K7173" s="281">
        <f>+Tabla4[[#This Row],[Precio Unitario Neto]]*Tabla4[[#Headers],[20.85%]]</f>
        <v>992.55716100000006</v>
      </c>
      <c r="L7173" s="282">
        <f>++Tabla4[[#This Row],[Precio Unitario Neto]]-Tabla4[[#This Row],[20.85%]]</f>
        <v>3767.9088390000002</v>
      </c>
      <c r="M7173" s="282" t="e">
        <f>(INDEX(Tabla6[#All],MATCH(Tabla4[[#This Row],[Producto]],Tabla6[[#All],[PRODUCTO]],0),MATCH(Tabla4[[#This Row],[Mes]],Tabla6[#Headers],0)))*(1+Catalogos!$L$2)</f>
        <v>#N/A</v>
      </c>
      <c r="N7173" s="283" t="e">
        <f>+(Tabla4[[#This Row],[Precio Descontado]]-Tabla4[[#This Row],[Precio Base]])*Tabla4[[#This Row],[Cantidad]]</f>
        <v>#N/A</v>
      </c>
      <c r="O7173" s="284" t="e">
        <f>++Tabla4[[#This Row],[Utilidad Total]]/Tabla4[[#This Row],[Total]]</f>
        <v>#N/A</v>
      </c>
      <c r="P7173" s="282">
        <f>++Tabla4[[#This Row],[Precio Descontado]]*Tabla4[[#This Row],[Cantidad]]</f>
        <v>3767.9088390000002</v>
      </c>
      <c r="Q7173" s="282" t="e">
        <f>(INDEX(Tabla6[#All],MATCH(Tabla4[[#This Row],[Producto]],Tabla6[[#All],[PRODUCTO]],0),MATCH(Tabla4[[#This Row],[Mes]],Tabla6[#Headers],0)))</f>
        <v>#N/A</v>
      </c>
      <c r="R7173" s="282" t="e">
        <f>++Tabla4[[#This Row],[Precio Unitario Neto]]-Tabla4[[#This Row],[20.85%]]-Tabla4[[#This Row],[Costo]]</f>
        <v>#N/A</v>
      </c>
      <c r="S7173" s="282" t="e">
        <f>++Tabla4[[#This Row],[U. Bruta Uni]]*Tabla4[[#This Row],[Cantidad]]</f>
        <v>#N/A</v>
      </c>
      <c r="T7173" s="369" t="str">
        <f>VLOOKUP(Tabla4[[#This Row],[Producto]],Tabla6[#All],14,FALSE)</f>
        <v>Termico Solar</v>
      </c>
      <c r="U7173" s="284" t="e">
        <f>(IF(Tabla4[[#This Row],[Familia]]="termico solar",Tabla4[[#This Row],[Utilidad Total]]*6%,Tabla4[[#This Row],[Utilidad Total]]*11.5%))/Tabla4[[#This Row],[Total]]</f>
        <v>#N/A</v>
      </c>
      <c r="V7173" s="282" t="e">
        <f>+Tabla4[[#This Row],[Comisión Calculada]]*Tabla4[[#This Row],[Total]]</f>
        <v>#N/A</v>
      </c>
    </row>
    <row r="7174" spans="1:22" hidden="1" x14ac:dyDescent="0.25">
      <c r="A7174" s="100">
        <v>45991</v>
      </c>
      <c r="B7174" t="str">
        <f t="shared" ref="B7174:B7175" si="580">TEXT(A7174, "mmmm")</f>
        <v>November</v>
      </c>
      <c r="C7174" s="46" t="s">
        <v>280</v>
      </c>
      <c r="F7174" s="366" t="s">
        <v>3607</v>
      </c>
      <c r="G7174" s="46" t="s">
        <v>555</v>
      </c>
      <c r="H7174" s="46">
        <v>8</v>
      </c>
      <c r="I7174" s="51">
        <v>389.47</v>
      </c>
      <c r="J7174" s="281">
        <f>++Tabla4[[#This Row],[Precio Bruto]]*1.16</f>
        <v>451.78519999999997</v>
      </c>
      <c r="K7174" s="281">
        <f>+Tabla4[[#This Row],[Precio Unitario Neto]]*Tabla4[[#Headers],[20.85%]]</f>
        <v>94.197214199999991</v>
      </c>
      <c r="L7174" s="282">
        <f>++Tabla4[[#This Row],[Precio Unitario Neto]]-Tabla4[[#This Row],[20.85%]]</f>
        <v>357.58798579999996</v>
      </c>
      <c r="M7174" s="282" t="e">
        <f>(INDEX(Tabla6[#All],MATCH(Tabla4[[#This Row],[Producto]],Tabla6[[#All],[PRODUCTO]],0),MATCH(Tabla4[[#This Row],[Mes]],Tabla6[#Headers],0)))*(1+Catalogos!$L$2)</f>
        <v>#N/A</v>
      </c>
      <c r="N7174" s="283" t="e">
        <f>+(Tabla4[[#This Row],[Precio Descontado]]-Tabla4[[#This Row],[Precio Base]])*Tabla4[[#This Row],[Cantidad]]</f>
        <v>#N/A</v>
      </c>
      <c r="O7174" s="284" t="e">
        <f>++Tabla4[[#This Row],[Utilidad Total]]/Tabla4[[#This Row],[Total]]</f>
        <v>#N/A</v>
      </c>
      <c r="P7174" s="282">
        <f>++Tabla4[[#This Row],[Precio Descontado]]*Tabla4[[#This Row],[Cantidad]]</f>
        <v>2860.7038863999996</v>
      </c>
      <c r="Q7174" s="282" t="e">
        <f>(INDEX(Tabla6[#All],MATCH(Tabla4[[#This Row],[Producto]],Tabla6[[#All],[PRODUCTO]],0),MATCH(Tabla4[[#This Row],[Mes]],Tabla6[#Headers],0)))</f>
        <v>#N/A</v>
      </c>
      <c r="R7174" s="282" t="e">
        <f>++Tabla4[[#This Row],[Precio Unitario Neto]]-Tabla4[[#This Row],[20.85%]]-Tabla4[[#This Row],[Costo]]</f>
        <v>#N/A</v>
      </c>
      <c r="S7174" s="282" t="e">
        <f>++Tabla4[[#This Row],[U. Bruta Uni]]*Tabla4[[#This Row],[Cantidad]]</f>
        <v>#N/A</v>
      </c>
      <c r="T7174" s="369" t="str">
        <f>VLOOKUP(Tabla4[[#This Row],[Producto]],Tabla6[#All],14,FALSE)</f>
        <v>Termico Solar</v>
      </c>
      <c r="U7174" s="284" t="e">
        <f>(IF(Tabla4[[#This Row],[Familia]]="termico solar",Tabla4[[#This Row],[Utilidad Total]]*6%,Tabla4[[#This Row],[Utilidad Total]]*11.5%))/Tabla4[[#This Row],[Total]]</f>
        <v>#N/A</v>
      </c>
      <c r="V7174" s="282" t="e">
        <f>+Tabla4[[#This Row],[Comisión Calculada]]*Tabla4[[#This Row],[Total]]</f>
        <v>#N/A</v>
      </c>
    </row>
    <row r="7175" spans="1:22" hidden="1" x14ac:dyDescent="0.25">
      <c r="A7175" s="100">
        <v>45991</v>
      </c>
      <c r="B7175" t="str">
        <f t="shared" si="580"/>
        <v>November</v>
      </c>
      <c r="C7175" s="46" t="s">
        <v>280</v>
      </c>
      <c r="F7175" s="366" t="s">
        <v>3607</v>
      </c>
      <c r="G7175" s="46" t="s">
        <v>208</v>
      </c>
      <c r="H7175" s="46">
        <v>2</v>
      </c>
      <c r="I7175" s="51">
        <v>189.75</v>
      </c>
      <c r="J7175" s="281">
        <f>++Tabla4[[#This Row],[Precio Bruto]]*1.16</f>
        <v>220.10999999999999</v>
      </c>
      <c r="K7175" s="281">
        <f>+Tabla4[[#This Row],[Precio Unitario Neto]]*Tabla4[[#Headers],[20.85%]]</f>
        <v>45.892934999999994</v>
      </c>
      <c r="L7175" s="282">
        <f>++Tabla4[[#This Row],[Precio Unitario Neto]]-Tabla4[[#This Row],[20.85%]]</f>
        <v>174.21706499999999</v>
      </c>
      <c r="M7175" s="282" t="e">
        <f>(INDEX(Tabla6[#All],MATCH(Tabla4[[#This Row],[Producto]],Tabla6[[#All],[PRODUCTO]],0),MATCH(Tabla4[[#This Row],[Mes]],Tabla6[#Headers],0)))*(1+Catalogos!$L$2)</f>
        <v>#N/A</v>
      </c>
      <c r="N7175" s="283" t="e">
        <f>+(Tabla4[[#This Row],[Precio Descontado]]-Tabla4[[#This Row],[Precio Base]])*Tabla4[[#This Row],[Cantidad]]</f>
        <v>#N/A</v>
      </c>
      <c r="O7175" s="284" t="e">
        <f>++Tabla4[[#This Row],[Utilidad Total]]/Tabla4[[#This Row],[Total]]</f>
        <v>#N/A</v>
      </c>
      <c r="P7175" s="282">
        <f>++Tabla4[[#This Row],[Precio Descontado]]*Tabla4[[#This Row],[Cantidad]]</f>
        <v>348.43412999999998</v>
      </c>
      <c r="Q7175" s="282" t="e">
        <f>(INDEX(Tabla6[#All],MATCH(Tabla4[[#This Row],[Producto]],Tabla6[[#All],[PRODUCTO]],0),MATCH(Tabla4[[#This Row],[Mes]],Tabla6[#Headers],0)))</f>
        <v>#N/A</v>
      </c>
      <c r="R7175" s="282" t="e">
        <f>++Tabla4[[#This Row],[Precio Unitario Neto]]-Tabla4[[#This Row],[20.85%]]-Tabla4[[#This Row],[Costo]]</f>
        <v>#N/A</v>
      </c>
      <c r="S7175" s="282" t="e">
        <f>++Tabla4[[#This Row],[U. Bruta Uni]]*Tabla4[[#This Row],[Cantidad]]</f>
        <v>#N/A</v>
      </c>
      <c r="T7175" s="369" t="str">
        <f>VLOOKUP(Tabla4[[#This Row],[Producto]],Tabla6[#All],14,FALSE)</f>
        <v>Termico Solar</v>
      </c>
      <c r="U7175" s="284" t="e">
        <f>(IF(Tabla4[[#This Row],[Familia]]="termico solar",Tabla4[[#This Row],[Utilidad Total]]*6%,Tabla4[[#This Row],[Utilidad Total]]*11.5%))/Tabla4[[#This Row],[Total]]</f>
        <v>#N/A</v>
      </c>
      <c r="V7175" s="282" t="e">
        <f>+Tabla4[[#This Row],[Comisión Calculada]]*Tabla4[[#This Row],[Total]]</f>
        <v>#N/A</v>
      </c>
    </row>
    <row r="7176" spans="1:22" hidden="1" x14ac:dyDescent="0.25">
      <c r="A7176" s="100">
        <v>45991</v>
      </c>
      <c r="B7176" t="str">
        <f t="shared" ref="B7176:B7177" si="581">TEXT(A7176, "mmmm")</f>
        <v>November</v>
      </c>
      <c r="C7176" s="46" t="s">
        <v>280</v>
      </c>
      <c r="F7176" s="366" t="s">
        <v>3608</v>
      </c>
      <c r="G7176" s="46" t="s">
        <v>394</v>
      </c>
      <c r="H7176" s="46">
        <v>16</v>
      </c>
      <c r="I7176" s="51">
        <v>224.29</v>
      </c>
      <c r="J7176" s="281">
        <f>++Tabla4[[#This Row],[Precio Bruto]]*1.16</f>
        <v>260.1764</v>
      </c>
      <c r="K7176" s="281">
        <f>+Tabla4[[#This Row],[Precio Unitario Neto]]*Tabla4[[#Headers],[20.85%]]</f>
        <v>54.246779400000001</v>
      </c>
      <c r="L7176" s="282">
        <f>++Tabla4[[#This Row],[Precio Unitario Neto]]-Tabla4[[#This Row],[20.85%]]</f>
        <v>205.92962059999999</v>
      </c>
      <c r="M7176" s="282" t="e">
        <f>(INDEX(Tabla6[#All],MATCH(Tabla4[[#This Row],[Producto]],Tabla6[[#All],[PRODUCTO]],0),MATCH(Tabla4[[#This Row],[Mes]],Tabla6[#Headers],0)))*(1+Catalogos!$L$2)</f>
        <v>#N/A</v>
      </c>
      <c r="N7176" s="283" t="e">
        <f>+(Tabla4[[#This Row],[Precio Descontado]]-Tabla4[[#This Row],[Precio Base]])*Tabla4[[#This Row],[Cantidad]]</f>
        <v>#N/A</v>
      </c>
      <c r="O7176" s="284" t="e">
        <f>++Tabla4[[#This Row],[Utilidad Total]]/Tabla4[[#This Row],[Total]]</f>
        <v>#N/A</v>
      </c>
      <c r="P7176" s="282">
        <f>++Tabla4[[#This Row],[Precio Descontado]]*Tabla4[[#This Row],[Cantidad]]</f>
        <v>3294.8739295999999</v>
      </c>
      <c r="Q7176" s="282" t="e">
        <f>(INDEX(Tabla6[#All],MATCH(Tabla4[[#This Row],[Producto]],Tabla6[[#All],[PRODUCTO]],0),MATCH(Tabla4[[#This Row],[Mes]],Tabla6[#Headers],0)))</f>
        <v>#N/A</v>
      </c>
      <c r="R7176" s="282" t="e">
        <f>++Tabla4[[#This Row],[Precio Unitario Neto]]-Tabla4[[#This Row],[20.85%]]-Tabla4[[#This Row],[Costo]]</f>
        <v>#N/A</v>
      </c>
      <c r="S7176" s="282" t="e">
        <f>++Tabla4[[#This Row],[U. Bruta Uni]]*Tabla4[[#This Row],[Cantidad]]</f>
        <v>#N/A</v>
      </c>
      <c r="T7176" s="369" t="str">
        <f>VLOOKUP(Tabla4[[#This Row],[Producto]],Tabla6[#All],14,FALSE)</f>
        <v>Termico Solar</v>
      </c>
      <c r="U7176" s="284" t="e">
        <f>(IF(Tabla4[[#This Row],[Familia]]="termico solar",Tabla4[[#This Row],[Utilidad Total]]*6%,Tabla4[[#This Row],[Utilidad Total]]*11.5%))/Tabla4[[#This Row],[Total]]</f>
        <v>#N/A</v>
      </c>
      <c r="V7176" s="282" t="e">
        <f>+Tabla4[[#This Row],[Comisión Calculada]]*Tabla4[[#This Row],[Total]]</f>
        <v>#N/A</v>
      </c>
    </row>
    <row r="7177" spans="1:22" hidden="1" x14ac:dyDescent="0.25">
      <c r="A7177" s="100">
        <v>45991</v>
      </c>
      <c r="B7177" t="str">
        <f t="shared" si="581"/>
        <v>November</v>
      </c>
      <c r="C7177" s="46" t="s">
        <v>280</v>
      </c>
      <c r="F7177" s="366" t="s">
        <v>3608</v>
      </c>
      <c r="G7177" s="46" t="s">
        <v>555</v>
      </c>
      <c r="H7177" s="46">
        <v>8</v>
      </c>
      <c r="I7177" s="51">
        <v>389.47</v>
      </c>
      <c r="J7177" s="281">
        <f>++Tabla4[[#This Row],[Precio Bruto]]*1.16</f>
        <v>451.78519999999997</v>
      </c>
      <c r="K7177" s="281">
        <f>+Tabla4[[#This Row],[Precio Unitario Neto]]*Tabla4[[#Headers],[20.85%]]</f>
        <v>94.197214199999991</v>
      </c>
      <c r="L7177" s="282">
        <f>++Tabla4[[#This Row],[Precio Unitario Neto]]-Tabla4[[#This Row],[20.85%]]</f>
        <v>357.58798579999996</v>
      </c>
      <c r="M7177" s="282" t="e">
        <f>(INDEX(Tabla6[#All],MATCH(Tabla4[[#This Row],[Producto]],Tabla6[[#All],[PRODUCTO]],0),MATCH(Tabla4[[#This Row],[Mes]],Tabla6[#Headers],0)))*(1+Catalogos!$L$2)</f>
        <v>#N/A</v>
      </c>
      <c r="N7177" s="283" t="e">
        <f>+(Tabla4[[#This Row],[Precio Descontado]]-Tabla4[[#This Row],[Precio Base]])*Tabla4[[#This Row],[Cantidad]]</f>
        <v>#N/A</v>
      </c>
      <c r="O7177" s="284" t="e">
        <f>++Tabla4[[#This Row],[Utilidad Total]]/Tabla4[[#This Row],[Total]]</f>
        <v>#N/A</v>
      </c>
      <c r="P7177" s="282">
        <f>++Tabla4[[#This Row],[Precio Descontado]]*Tabla4[[#This Row],[Cantidad]]</f>
        <v>2860.7038863999996</v>
      </c>
      <c r="Q7177" s="282" t="e">
        <f>(INDEX(Tabla6[#All],MATCH(Tabla4[[#This Row],[Producto]],Tabla6[[#All],[PRODUCTO]],0),MATCH(Tabla4[[#This Row],[Mes]],Tabla6[#Headers],0)))</f>
        <v>#N/A</v>
      </c>
      <c r="R7177" s="282" t="e">
        <f>++Tabla4[[#This Row],[Precio Unitario Neto]]-Tabla4[[#This Row],[20.85%]]-Tabla4[[#This Row],[Costo]]</f>
        <v>#N/A</v>
      </c>
      <c r="S7177" s="282" t="e">
        <f>++Tabla4[[#This Row],[U. Bruta Uni]]*Tabla4[[#This Row],[Cantidad]]</f>
        <v>#N/A</v>
      </c>
      <c r="T7177" s="369" t="str">
        <f>VLOOKUP(Tabla4[[#This Row],[Producto]],Tabla6[#All],14,FALSE)</f>
        <v>Termico Solar</v>
      </c>
      <c r="U7177" s="284" t="e">
        <f>(IF(Tabla4[[#This Row],[Familia]]="termico solar",Tabla4[[#This Row],[Utilidad Total]]*6%,Tabla4[[#This Row],[Utilidad Total]]*11.5%))/Tabla4[[#This Row],[Total]]</f>
        <v>#N/A</v>
      </c>
      <c r="V7177" s="282" t="e">
        <f>+Tabla4[[#This Row],[Comisión Calculada]]*Tabla4[[#This Row],[Total]]</f>
        <v>#N/A</v>
      </c>
    </row>
    <row r="7178" spans="1:22" hidden="1" x14ac:dyDescent="0.25">
      <c r="A7178" s="100">
        <v>45991</v>
      </c>
      <c r="B7178" t="str">
        <f t="shared" ref="B7178:B7181" si="582">TEXT(A7178, "mmmm")</f>
        <v>November</v>
      </c>
      <c r="C7178" s="46" t="s">
        <v>280</v>
      </c>
      <c r="F7178" s="366" t="s">
        <v>3609</v>
      </c>
      <c r="G7178" s="46" t="s">
        <v>83</v>
      </c>
      <c r="H7178" s="46">
        <v>1</v>
      </c>
      <c r="I7178" s="51">
        <v>8858.76</v>
      </c>
      <c r="J7178" s="281">
        <f>++Tabla4[[#This Row],[Precio Bruto]]*1.16</f>
        <v>10276.161599999999</v>
      </c>
      <c r="K7178" s="281">
        <f>+Tabla4[[#This Row],[Precio Unitario Neto]]*Tabla4[[#Headers],[20.85%]]</f>
        <v>2142.5796935999997</v>
      </c>
      <c r="L7178" s="282">
        <f>++Tabla4[[#This Row],[Precio Unitario Neto]]-Tabla4[[#This Row],[20.85%]]</f>
        <v>8133.5819063999998</v>
      </c>
      <c r="M7178" s="282" t="e">
        <f>(INDEX(Tabla6[#All],MATCH(Tabla4[[#This Row],[Producto]],Tabla6[[#All],[PRODUCTO]],0),MATCH(Tabla4[[#This Row],[Mes]],Tabla6[#Headers],0)))*(1+Catalogos!$L$2)</f>
        <v>#N/A</v>
      </c>
      <c r="N7178" s="283" t="e">
        <f>+(Tabla4[[#This Row],[Precio Descontado]]-Tabla4[[#This Row],[Precio Base]])*Tabla4[[#This Row],[Cantidad]]</f>
        <v>#N/A</v>
      </c>
      <c r="O7178" s="284" t="e">
        <f>++Tabla4[[#This Row],[Utilidad Total]]/Tabla4[[#This Row],[Total]]</f>
        <v>#N/A</v>
      </c>
      <c r="P7178" s="282">
        <f>++Tabla4[[#This Row],[Precio Descontado]]*Tabla4[[#This Row],[Cantidad]]</f>
        <v>8133.5819063999998</v>
      </c>
      <c r="Q7178" s="282" t="e">
        <f>(INDEX(Tabla6[#All],MATCH(Tabla4[[#This Row],[Producto]],Tabla6[[#All],[PRODUCTO]],0),MATCH(Tabla4[[#This Row],[Mes]],Tabla6[#Headers],0)))</f>
        <v>#N/A</v>
      </c>
      <c r="R7178" s="282" t="e">
        <f>++Tabla4[[#This Row],[Precio Unitario Neto]]-Tabla4[[#This Row],[20.85%]]-Tabla4[[#This Row],[Costo]]</f>
        <v>#N/A</v>
      </c>
      <c r="S7178" s="282" t="e">
        <f>++Tabla4[[#This Row],[U. Bruta Uni]]*Tabla4[[#This Row],[Cantidad]]</f>
        <v>#N/A</v>
      </c>
      <c r="T7178" s="369" t="str">
        <f>VLOOKUP(Tabla4[[#This Row],[Producto]],Tabla6[#All],14,FALSE)</f>
        <v>Termico Solar</v>
      </c>
      <c r="U7178" s="284" t="e">
        <f>(IF(Tabla4[[#This Row],[Familia]]="termico solar",Tabla4[[#This Row],[Utilidad Total]]*6%,Tabla4[[#This Row],[Utilidad Total]]*11.5%))/Tabla4[[#This Row],[Total]]</f>
        <v>#N/A</v>
      </c>
      <c r="V7178" s="282" t="e">
        <f>+Tabla4[[#This Row],[Comisión Calculada]]*Tabla4[[#This Row],[Total]]</f>
        <v>#N/A</v>
      </c>
    </row>
    <row r="7179" spans="1:22" hidden="1" x14ac:dyDescent="0.25">
      <c r="A7179" s="100">
        <v>45991</v>
      </c>
      <c r="B7179" t="str">
        <f t="shared" si="582"/>
        <v>November</v>
      </c>
      <c r="C7179" s="46" t="s">
        <v>280</v>
      </c>
      <c r="F7179" s="366" t="s">
        <v>3609</v>
      </c>
      <c r="G7179" s="46" t="s">
        <v>18</v>
      </c>
      <c r="H7179" s="46">
        <v>3</v>
      </c>
      <c r="I7179" s="51">
        <v>5367.6500000000005</v>
      </c>
      <c r="J7179" s="281">
        <f>++Tabla4[[#This Row],[Precio Bruto]]*1.16</f>
        <v>6226.4740000000002</v>
      </c>
      <c r="K7179" s="281">
        <f>+Tabla4[[#This Row],[Precio Unitario Neto]]*Tabla4[[#Headers],[20.85%]]</f>
        <v>1298.2198289999999</v>
      </c>
      <c r="L7179" s="282">
        <f>++Tabla4[[#This Row],[Precio Unitario Neto]]-Tabla4[[#This Row],[20.85%]]</f>
        <v>4928.2541710000005</v>
      </c>
      <c r="M7179" s="282" t="e">
        <f>(INDEX(Tabla6[#All],MATCH(Tabla4[[#This Row],[Producto]],Tabla6[[#All],[PRODUCTO]],0),MATCH(Tabla4[[#This Row],[Mes]],Tabla6[#Headers],0)))*(1+Catalogos!$L$2)</f>
        <v>#N/A</v>
      </c>
      <c r="N7179" s="283" t="e">
        <f>+(Tabla4[[#This Row],[Precio Descontado]]-Tabla4[[#This Row],[Precio Base]])*Tabla4[[#This Row],[Cantidad]]</f>
        <v>#N/A</v>
      </c>
      <c r="O7179" s="284" t="e">
        <f>++Tabla4[[#This Row],[Utilidad Total]]/Tabla4[[#This Row],[Total]]</f>
        <v>#N/A</v>
      </c>
      <c r="P7179" s="282">
        <f>++Tabla4[[#This Row],[Precio Descontado]]*Tabla4[[#This Row],[Cantidad]]</f>
        <v>14784.762513000001</v>
      </c>
      <c r="Q7179" s="282" t="e">
        <f>(INDEX(Tabla6[#All],MATCH(Tabla4[[#This Row],[Producto]],Tabla6[[#All],[PRODUCTO]],0),MATCH(Tabla4[[#This Row],[Mes]],Tabla6[#Headers],0)))</f>
        <v>#N/A</v>
      </c>
      <c r="R7179" s="282" t="e">
        <f>++Tabla4[[#This Row],[Precio Unitario Neto]]-Tabla4[[#This Row],[20.85%]]-Tabla4[[#This Row],[Costo]]</f>
        <v>#N/A</v>
      </c>
      <c r="S7179" s="282" t="e">
        <f>++Tabla4[[#This Row],[U. Bruta Uni]]*Tabla4[[#This Row],[Cantidad]]</f>
        <v>#N/A</v>
      </c>
      <c r="T7179" s="369" t="str">
        <f>VLOOKUP(Tabla4[[#This Row],[Producto]],Tabla6[#All],14,FALSE)</f>
        <v>Termico Solar</v>
      </c>
      <c r="U7179" s="284" t="e">
        <f>(IF(Tabla4[[#This Row],[Familia]]="termico solar",Tabla4[[#This Row],[Utilidad Total]]*6%,Tabla4[[#This Row],[Utilidad Total]]*11.5%))/Tabla4[[#This Row],[Total]]</f>
        <v>#N/A</v>
      </c>
      <c r="V7179" s="282" t="e">
        <f>+Tabla4[[#This Row],[Comisión Calculada]]*Tabla4[[#This Row],[Total]]</f>
        <v>#N/A</v>
      </c>
    </row>
    <row r="7180" spans="1:22" hidden="1" x14ac:dyDescent="0.25">
      <c r="A7180" s="100">
        <v>45991</v>
      </c>
      <c r="B7180" t="str">
        <f t="shared" si="582"/>
        <v>November</v>
      </c>
      <c r="C7180" s="46" t="s">
        <v>280</v>
      </c>
      <c r="F7180" s="366" t="s">
        <v>3609</v>
      </c>
      <c r="G7180" s="46" t="s">
        <v>566</v>
      </c>
      <c r="H7180" s="46">
        <v>1</v>
      </c>
      <c r="I7180" s="51">
        <v>2109.4499999999998</v>
      </c>
      <c r="J7180" s="281">
        <f>++Tabla4[[#This Row],[Precio Bruto]]*1.16</f>
        <v>2446.9619999999995</v>
      </c>
      <c r="K7180" s="281">
        <f>+Tabla4[[#This Row],[Precio Unitario Neto]]*Tabla4[[#Headers],[20.85%]]</f>
        <v>510.19157699999988</v>
      </c>
      <c r="L7180" s="282">
        <f>++Tabla4[[#This Row],[Precio Unitario Neto]]-Tabla4[[#This Row],[20.85%]]</f>
        <v>1936.7704229999997</v>
      </c>
      <c r="M7180" s="282" t="e">
        <f>(INDEX(Tabla6[#All],MATCH(Tabla4[[#This Row],[Producto]],Tabla6[[#All],[PRODUCTO]],0),MATCH(Tabla4[[#This Row],[Mes]],Tabla6[#Headers],0)))*(1+Catalogos!$L$2)</f>
        <v>#N/A</v>
      </c>
      <c r="N7180" s="283" t="e">
        <f>+(Tabla4[[#This Row],[Precio Descontado]]-Tabla4[[#This Row],[Precio Base]])*Tabla4[[#This Row],[Cantidad]]</f>
        <v>#N/A</v>
      </c>
      <c r="O7180" s="284" t="e">
        <f>++Tabla4[[#This Row],[Utilidad Total]]/Tabla4[[#This Row],[Total]]</f>
        <v>#N/A</v>
      </c>
      <c r="P7180" s="282">
        <f>++Tabla4[[#This Row],[Precio Descontado]]*Tabla4[[#This Row],[Cantidad]]</f>
        <v>1936.7704229999997</v>
      </c>
      <c r="Q7180" s="282" t="e">
        <f>(INDEX(Tabla6[#All],MATCH(Tabla4[[#This Row],[Producto]],Tabla6[[#All],[PRODUCTO]],0),MATCH(Tabla4[[#This Row],[Mes]],Tabla6[#Headers],0)))</f>
        <v>#N/A</v>
      </c>
      <c r="R7180" s="282" t="e">
        <f>++Tabla4[[#This Row],[Precio Unitario Neto]]-Tabla4[[#This Row],[20.85%]]-Tabla4[[#This Row],[Costo]]</f>
        <v>#N/A</v>
      </c>
      <c r="S7180" s="282" t="e">
        <f>++Tabla4[[#This Row],[U. Bruta Uni]]*Tabla4[[#This Row],[Cantidad]]</f>
        <v>#N/A</v>
      </c>
      <c r="T7180" s="369" t="str">
        <f>VLOOKUP(Tabla4[[#This Row],[Producto]],Tabla6[#All],14,FALSE)</f>
        <v>Termico Solar</v>
      </c>
      <c r="U7180" s="284" t="e">
        <f>(IF(Tabla4[[#This Row],[Familia]]="termico solar",Tabla4[[#This Row],[Utilidad Total]]*6%,Tabla4[[#This Row],[Utilidad Total]]*11.5%))/Tabla4[[#This Row],[Total]]</f>
        <v>#N/A</v>
      </c>
      <c r="V7180" s="282" t="e">
        <f>+Tabla4[[#This Row],[Comisión Calculada]]*Tabla4[[#This Row],[Total]]</f>
        <v>#N/A</v>
      </c>
    </row>
    <row r="7181" spans="1:22" hidden="1" x14ac:dyDescent="0.25">
      <c r="A7181" s="100">
        <v>45991</v>
      </c>
      <c r="B7181" t="str">
        <f t="shared" si="582"/>
        <v>November</v>
      </c>
      <c r="C7181" s="46" t="s">
        <v>280</v>
      </c>
      <c r="F7181" s="366" t="s">
        <v>3609</v>
      </c>
      <c r="G7181" s="46" t="s">
        <v>16</v>
      </c>
      <c r="H7181" s="46">
        <v>2</v>
      </c>
      <c r="I7181" s="51">
        <v>4103.8500000000004</v>
      </c>
      <c r="J7181" s="281">
        <f>++Tabla4[[#This Row],[Precio Bruto]]*1.16</f>
        <v>4760.4660000000003</v>
      </c>
      <c r="K7181" s="281">
        <f>+Tabla4[[#This Row],[Precio Unitario Neto]]*Tabla4[[#Headers],[20.85%]]</f>
        <v>992.55716100000006</v>
      </c>
      <c r="L7181" s="282">
        <f>++Tabla4[[#This Row],[Precio Unitario Neto]]-Tabla4[[#This Row],[20.85%]]</f>
        <v>3767.9088390000002</v>
      </c>
      <c r="M7181" s="282" t="e">
        <f>(INDEX(Tabla6[#All],MATCH(Tabla4[[#This Row],[Producto]],Tabla6[[#All],[PRODUCTO]],0),MATCH(Tabla4[[#This Row],[Mes]],Tabla6[#Headers],0)))*(1+Catalogos!$L$2)</f>
        <v>#N/A</v>
      </c>
      <c r="N7181" s="283" t="e">
        <f>+(Tabla4[[#This Row],[Precio Descontado]]-Tabla4[[#This Row],[Precio Base]])*Tabla4[[#This Row],[Cantidad]]</f>
        <v>#N/A</v>
      </c>
      <c r="O7181" s="284" t="e">
        <f>++Tabla4[[#This Row],[Utilidad Total]]/Tabla4[[#This Row],[Total]]</f>
        <v>#N/A</v>
      </c>
      <c r="P7181" s="282">
        <f>++Tabla4[[#This Row],[Precio Descontado]]*Tabla4[[#This Row],[Cantidad]]</f>
        <v>7535.8176780000003</v>
      </c>
      <c r="Q7181" s="282" t="e">
        <f>(INDEX(Tabla6[#All],MATCH(Tabla4[[#This Row],[Producto]],Tabla6[[#All],[PRODUCTO]],0),MATCH(Tabla4[[#This Row],[Mes]],Tabla6[#Headers],0)))</f>
        <v>#N/A</v>
      </c>
      <c r="R7181" s="282" t="e">
        <f>++Tabla4[[#This Row],[Precio Unitario Neto]]-Tabla4[[#This Row],[20.85%]]-Tabla4[[#This Row],[Costo]]</f>
        <v>#N/A</v>
      </c>
      <c r="S7181" s="282" t="e">
        <f>++Tabla4[[#This Row],[U. Bruta Uni]]*Tabla4[[#This Row],[Cantidad]]</f>
        <v>#N/A</v>
      </c>
      <c r="T7181" s="369" t="str">
        <f>VLOOKUP(Tabla4[[#This Row],[Producto]],Tabla6[#All],14,FALSE)</f>
        <v>Termico Solar</v>
      </c>
      <c r="U7181" s="284" t="e">
        <f>(IF(Tabla4[[#This Row],[Familia]]="termico solar",Tabla4[[#This Row],[Utilidad Total]]*6%,Tabla4[[#This Row],[Utilidad Total]]*11.5%))/Tabla4[[#This Row],[Total]]</f>
        <v>#N/A</v>
      </c>
      <c r="V7181" s="282" t="e">
        <f>+Tabla4[[#This Row],[Comisión Calculada]]*Tabla4[[#This Row],[Total]]</f>
        <v>#N/A</v>
      </c>
    </row>
    <row r="7182" spans="1:22" hidden="1" x14ac:dyDescent="0.25">
      <c r="A7182" s="100">
        <v>45991</v>
      </c>
      <c r="B7182" t="str">
        <f>TEXT(A7182, "mmmm")</f>
        <v>November</v>
      </c>
      <c r="C7182" s="46" t="s">
        <v>280</v>
      </c>
      <c r="F7182" s="366" t="s">
        <v>3610</v>
      </c>
      <c r="G7182" s="46" t="s">
        <v>17</v>
      </c>
      <c r="H7182" s="46">
        <v>2</v>
      </c>
      <c r="I7182" s="51">
        <v>4622.28</v>
      </c>
      <c r="J7182" s="281">
        <f>++Tabla4[[#This Row],[Precio Bruto]]*1.16</f>
        <v>5361.8447999999989</v>
      </c>
      <c r="K7182" s="281">
        <f>+Tabla4[[#This Row],[Precio Unitario Neto]]*Tabla4[[#Headers],[20.85%]]</f>
        <v>1117.9446407999997</v>
      </c>
      <c r="L7182" s="282">
        <f>++Tabla4[[#This Row],[Precio Unitario Neto]]-Tabla4[[#This Row],[20.85%]]</f>
        <v>4243.9001591999995</v>
      </c>
      <c r="M7182" s="282" t="e">
        <f>(INDEX(Tabla6[#All],MATCH(Tabla4[[#This Row],[Producto]],Tabla6[[#All],[PRODUCTO]],0),MATCH(Tabla4[[#This Row],[Mes]],Tabla6[#Headers],0)))*(1+Catalogos!$L$2)</f>
        <v>#N/A</v>
      </c>
      <c r="N7182" s="283" t="e">
        <f>+(Tabla4[[#This Row],[Precio Descontado]]-Tabla4[[#This Row],[Precio Base]])*Tabla4[[#This Row],[Cantidad]]</f>
        <v>#N/A</v>
      </c>
      <c r="O7182" s="284" t="e">
        <f>++Tabla4[[#This Row],[Utilidad Total]]/Tabla4[[#This Row],[Total]]</f>
        <v>#N/A</v>
      </c>
      <c r="P7182" s="282">
        <f>++Tabla4[[#This Row],[Precio Descontado]]*Tabla4[[#This Row],[Cantidad]]</f>
        <v>8487.800318399999</v>
      </c>
      <c r="Q7182" s="282" t="e">
        <f>(INDEX(Tabla6[#All],MATCH(Tabla4[[#This Row],[Producto]],Tabla6[[#All],[PRODUCTO]],0),MATCH(Tabla4[[#This Row],[Mes]],Tabla6[#Headers],0)))</f>
        <v>#N/A</v>
      </c>
      <c r="R7182" s="282" t="e">
        <f>++Tabla4[[#This Row],[Precio Unitario Neto]]-Tabla4[[#This Row],[20.85%]]-Tabla4[[#This Row],[Costo]]</f>
        <v>#N/A</v>
      </c>
      <c r="S7182" s="282" t="e">
        <f>++Tabla4[[#This Row],[U. Bruta Uni]]*Tabla4[[#This Row],[Cantidad]]</f>
        <v>#N/A</v>
      </c>
      <c r="T7182" s="369" t="str">
        <f>VLOOKUP(Tabla4[[#This Row],[Producto]],Tabla6[#All],14,FALSE)</f>
        <v>Termico Solar</v>
      </c>
      <c r="U7182" s="284" t="e">
        <f>(IF(Tabla4[[#This Row],[Familia]]="termico solar",Tabla4[[#This Row],[Utilidad Total]]*6%,Tabla4[[#This Row],[Utilidad Total]]*11.5%))/Tabla4[[#This Row],[Total]]</f>
        <v>#N/A</v>
      </c>
      <c r="V7182" s="282" t="e">
        <f>+Tabla4[[#This Row],[Comisión Calculada]]*Tabla4[[#This Row],[Total]]</f>
        <v>#N/A</v>
      </c>
    </row>
    <row r="7183" spans="1:22" hidden="1" x14ac:dyDescent="0.25">
      <c r="A7183" s="100">
        <v>45991</v>
      </c>
      <c r="B7183" t="str">
        <f>TEXT(A7183, "mmmm")</f>
        <v>November</v>
      </c>
      <c r="C7183" s="46" t="s">
        <v>280</v>
      </c>
      <c r="F7183" s="366" t="s">
        <v>3611</v>
      </c>
      <c r="G7183" s="46" t="s">
        <v>17</v>
      </c>
      <c r="H7183" s="46">
        <v>2</v>
      </c>
      <c r="I7183" s="51">
        <v>4622.28</v>
      </c>
      <c r="J7183" s="281">
        <f>++Tabla4[[#This Row],[Precio Bruto]]*1.16</f>
        <v>5361.8447999999989</v>
      </c>
      <c r="K7183" s="281">
        <f>+Tabla4[[#This Row],[Precio Unitario Neto]]*Tabla4[[#Headers],[20.85%]]</f>
        <v>1117.9446407999997</v>
      </c>
      <c r="L7183" s="282">
        <f>++Tabla4[[#This Row],[Precio Unitario Neto]]-Tabla4[[#This Row],[20.85%]]</f>
        <v>4243.9001591999995</v>
      </c>
      <c r="M7183" s="282" t="e">
        <f>(INDEX(Tabla6[#All],MATCH(Tabla4[[#This Row],[Producto]],Tabla6[[#All],[PRODUCTO]],0),MATCH(Tabla4[[#This Row],[Mes]],Tabla6[#Headers],0)))*(1+Catalogos!$L$2)</f>
        <v>#N/A</v>
      </c>
      <c r="N7183" s="283" t="e">
        <f>+(Tabla4[[#This Row],[Precio Descontado]]-Tabla4[[#This Row],[Precio Base]])*Tabla4[[#This Row],[Cantidad]]</f>
        <v>#N/A</v>
      </c>
      <c r="O7183" s="284" t="e">
        <f>++Tabla4[[#This Row],[Utilidad Total]]/Tabla4[[#This Row],[Total]]</f>
        <v>#N/A</v>
      </c>
      <c r="P7183" s="282">
        <f>++Tabla4[[#This Row],[Precio Descontado]]*Tabla4[[#This Row],[Cantidad]]</f>
        <v>8487.800318399999</v>
      </c>
      <c r="Q7183" s="282" t="e">
        <f>(INDEX(Tabla6[#All],MATCH(Tabla4[[#This Row],[Producto]],Tabla6[[#All],[PRODUCTO]],0),MATCH(Tabla4[[#This Row],[Mes]],Tabla6[#Headers],0)))</f>
        <v>#N/A</v>
      </c>
      <c r="R7183" s="282" t="e">
        <f>++Tabla4[[#This Row],[Precio Unitario Neto]]-Tabla4[[#This Row],[20.85%]]-Tabla4[[#This Row],[Costo]]</f>
        <v>#N/A</v>
      </c>
      <c r="S7183" s="282" t="e">
        <f>++Tabla4[[#This Row],[U. Bruta Uni]]*Tabla4[[#This Row],[Cantidad]]</f>
        <v>#N/A</v>
      </c>
      <c r="T7183" s="369" t="str">
        <f>VLOOKUP(Tabla4[[#This Row],[Producto]],Tabla6[#All],14,FALSE)</f>
        <v>Termico Solar</v>
      </c>
      <c r="U7183" s="284" t="e">
        <f>(IF(Tabla4[[#This Row],[Familia]]="termico solar",Tabla4[[#This Row],[Utilidad Total]]*6%,Tabla4[[#This Row],[Utilidad Total]]*11.5%))/Tabla4[[#This Row],[Total]]</f>
        <v>#N/A</v>
      </c>
      <c r="V7183" s="282" t="e">
        <f>+Tabla4[[#This Row],[Comisión Calculada]]*Tabla4[[#This Row],[Total]]</f>
        <v>#N/A</v>
      </c>
    </row>
    <row r="7184" spans="1:22" hidden="1" x14ac:dyDescent="0.25">
      <c r="A7184" s="100">
        <v>45991</v>
      </c>
      <c r="B7184" t="str">
        <f>TEXT(A7184, "mmmm")</f>
        <v>November</v>
      </c>
      <c r="C7184" s="46" t="s">
        <v>280</v>
      </c>
      <c r="F7184" s="366" t="s">
        <v>3612</v>
      </c>
      <c r="G7184" s="46" t="s">
        <v>83</v>
      </c>
      <c r="H7184" s="46">
        <v>2</v>
      </c>
      <c r="I7184" s="51">
        <v>8858.76</v>
      </c>
      <c r="J7184" s="281">
        <f>++Tabla4[[#This Row],[Precio Bruto]]*1.16</f>
        <v>10276.161599999999</v>
      </c>
      <c r="K7184" s="281">
        <f>+Tabla4[[#This Row],[Precio Unitario Neto]]*Tabla4[[#Headers],[20.85%]]</f>
        <v>2142.5796935999997</v>
      </c>
      <c r="L7184" s="282">
        <f>++Tabla4[[#This Row],[Precio Unitario Neto]]-Tabla4[[#This Row],[20.85%]]</f>
        <v>8133.5819063999998</v>
      </c>
      <c r="M7184" s="282" t="e">
        <f>(INDEX(Tabla6[#All],MATCH(Tabla4[[#This Row],[Producto]],Tabla6[[#All],[PRODUCTO]],0),MATCH(Tabla4[[#This Row],[Mes]],Tabla6[#Headers],0)))*(1+Catalogos!$L$2)</f>
        <v>#N/A</v>
      </c>
      <c r="N7184" s="283" t="e">
        <f>+(Tabla4[[#This Row],[Precio Descontado]]-Tabla4[[#This Row],[Precio Base]])*Tabla4[[#This Row],[Cantidad]]</f>
        <v>#N/A</v>
      </c>
      <c r="O7184" s="284" t="e">
        <f>++Tabla4[[#This Row],[Utilidad Total]]/Tabla4[[#This Row],[Total]]</f>
        <v>#N/A</v>
      </c>
      <c r="P7184" s="282">
        <f>++Tabla4[[#This Row],[Precio Descontado]]*Tabla4[[#This Row],[Cantidad]]</f>
        <v>16267.1638128</v>
      </c>
      <c r="Q7184" s="282" t="e">
        <f>(INDEX(Tabla6[#All],MATCH(Tabla4[[#This Row],[Producto]],Tabla6[[#All],[PRODUCTO]],0),MATCH(Tabla4[[#This Row],[Mes]],Tabla6[#Headers],0)))</f>
        <v>#N/A</v>
      </c>
      <c r="R7184" s="282" t="e">
        <f>++Tabla4[[#This Row],[Precio Unitario Neto]]-Tabla4[[#This Row],[20.85%]]-Tabla4[[#This Row],[Costo]]</f>
        <v>#N/A</v>
      </c>
      <c r="S7184" s="282" t="e">
        <f>++Tabla4[[#This Row],[U. Bruta Uni]]*Tabla4[[#This Row],[Cantidad]]</f>
        <v>#N/A</v>
      </c>
      <c r="T7184" s="369" t="str">
        <f>VLOOKUP(Tabla4[[#This Row],[Producto]],Tabla6[#All],14,FALSE)</f>
        <v>Termico Solar</v>
      </c>
      <c r="U7184" s="284" t="e">
        <f>(IF(Tabla4[[#This Row],[Familia]]="termico solar",Tabla4[[#This Row],[Utilidad Total]]*6%,Tabla4[[#This Row],[Utilidad Total]]*11.5%))/Tabla4[[#This Row],[Total]]</f>
        <v>#N/A</v>
      </c>
      <c r="V7184" s="282" t="e">
        <f>+Tabla4[[#This Row],[Comisión Calculada]]*Tabla4[[#This Row],[Total]]</f>
        <v>#N/A</v>
      </c>
    </row>
    <row r="7185" spans="1:22" hidden="1" x14ac:dyDescent="0.25">
      <c r="A7185" s="100">
        <v>45991</v>
      </c>
      <c r="B7185" t="str">
        <f>TEXT(A7185, "mmmm")</f>
        <v>November</v>
      </c>
      <c r="C7185" s="46" t="s">
        <v>280</v>
      </c>
      <c r="F7185" s="366" t="s">
        <v>3613</v>
      </c>
      <c r="G7185" s="46" t="s">
        <v>208</v>
      </c>
      <c r="H7185" s="46">
        <v>2</v>
      </c>
      <c r="I7185" s="51">
        <v>189.75</v>
      </c>
      <c r="J7185" s="281">
        <f>++Tabla4[[#This Row],[Precio Bruto]]*1.16</f>
        <v>220.10999999999999</v>
      </c>
      <c r="K7185" s="281">
        <f>+Tabla4[[#This Row],[Precio Unitario Neto]]*Tabla4[[#Headers],[20.85%]]</f>
        <v>45.892934999999994</v>
      </c>
      <c r="L7185" s="282">
        <f>++Tabla4[[#This Row],[Precio Unitario Neto]]-Tabla4[[#This Row],[20.85%]]</f>
        <v>174.21706499999999</v>
      </c>
      <c r="M7185" s="282" t="e">
        <f>(INDEX(Tabla6[#All],MATCH(Tabla4[[#This Row],[Producto]],Tabla6[[#All],[PRODUCTO]],0),MATCH(Tabla4[[#This Row],[Mes]],Tabla6[#Headers],0)))*(1+Catalogos!$L$2)</f>
        <v>#N/A</v>
      </c>
      <c r="N7185" s="283" t="e">
        <f>+(Tabla4[[#This Row],[Precio Descontado]]-Tabla4[[#This Row],[Precio Base]])*Tabla4[[#This Row],[Cantidad]]</f>
        <v>#N/A</v>
      </c>
      <c r="O7185" s="284" t="e">
        <f>++Tabla4[[#This Row],[Utilidad Total]]/Tabla4[[#This Row],[Total]]</f>
        <v>#N/A</v>
      </c>
      <c r="P7185" s="282">
        <f>++Tabla4[[#This Row],[Precio Descontado]]*Tabla4[[#This Row],[Cantidad]]</f>
        <v>348.43412999999998</v>
      </c>
      <c r="Q7185" s="282" t="e">
        <f>(INDEX(Tabla6[#All],MATCH(Tabla4[[#This Row],[Producto]],Tabla6[[#All],[PRODUCTO]],0),MATCH(Tabla4[[#This Row],[Mes]],Tabla6[#Headers],0)))</f>
        <v>#N/A</v>
      </c>
      <c r="R7185" s="282" t="e">
        <f>++Tabla4[[#This Row],[Precio Unitario Neto]]-Tabla4[[#This Row],[20.85%]]-Tabla4[[#This Row],[Costo]]</f>
        <v>#N/A</v>
      </c>
      <c r="S7185" s="282" t="e">
        <f>++Tabla4[[#This Row],[U. Bruta Uni]]*Tabla4[[#This Row],[Cantidad]]</f>
        <v>#N/A</v>
      </c>
      <c r="T7185" s="369" t="str">
        <f>VLOOKUP(Tabla4[[#This Row],[Producto]],Tabla6[#All],14,FALSE)</f>
        <v>Termico Solar</v>
      </c>
      <c r="U7185" s="284" t="e">
        <f>(IF(Tabla4[[#This Row],[Familia]]="termico solar",Tabla4[[#This Row],[Utilidad Total]]*6%,Tabla4[[#This Row],[Utilidad Total]]*11.5%))/Tabla4[[#This Row],[Total]]</f>
        <v>#N/A</v>
      </c>
      <c r="V7185" s="282" t="e">
        <f>+Tabla4[[#This Row],[Comisión Calculada]]*Tabla4[[#This Row],[Total]]</f>
        <v>#N/A</v>
      </c>
    </row>
    <row r="7186" spans="1:22" hidden="1" x14ac:dyDescent="0.25">
      <c r="A7186" s="100">
        <v>45991</v>
      </c>
      <c r="B7186" t="str">
        <f t="shared" ref="B7186:B7189" si="583">TEXT(A7186, "mmmm")</f>
        <v>November</v>
      </c>
      <c r="C7186" s="46" t="s">
        <v>280</v>
      </c>
      <c r="F7186" s="366" t="s">
        <v>3614</v>
      </c>
      <c r="G7186" s="46" t="s">
        <v>18</v>
      </c>
      <c r="H7186" s="46">
        <v>1</v>
      </c>
      <c r="I7186" s="51">
        <v>5367.65</v>
      </c>
      <c r="J7186" s="281">
        <f>++Tabla4[[#This Row],[Precio Bruto]]*1.16</f>
        <v>6226.4739999999993</v>
      </c>
      <c r="K7186" s="281">
        <f>+Tabla4[[#This Row],[Precio Unitario Neto]]*Tabla4[[#Headers],[20.85%]]</f>
        <v>1298.2198289999999</v>
      </c>
      <c r="L7186" s="282">
        <f>++Tabla4[[#This Row],[Precio Unitario Neto]]-Tabla4[[#This Row],[20.85%]]</f>
        <v>4928.2541709999996</v>
      </c>
      <c r="M7186" s="282" t="e">
        <f>(INDEX(Tabla6[#All],MATCH(Tabla4[[#This Row],[Producto]],Tabla6[[#All],[PRODUCTO]],0),MATCH(Tabla4[[#This Row],[Mes]],Tabla6[#Headers],0)))*(1+Catalogos!$L$2)</f>
        <v>#N/A</v>
      </c>
      <c r="N7186" s="283" t="e">
        <f>+(Tabla4[[#This Row],[Precio Descontado]]-Tabla4[[#This Row],[Precio Base]])*Tabla4[[#This Row],[Cantidad]]</f>
        <v>#N/A</v>
      </c>
      <c r="O7186" s="284" t="e">
        <f>++Tabla4[[#This Row],[Utilidad Total]]/Tabla4[[#This Row],[Total]]</f>
        <v>#N/A</v>
      </c>
      <c r="P7186" s="282">
        <f>++Tabla4[[#This Row],[Precio Descontado]]*Tabla4[[#This Row],[Cantidad]]</f>
        <v>4928.2541709999996</v>
      </c>
      <c r="Q7186" s="282" t="e">
        <f>(INDEX(Tabla6[#All],MATCH(Tabla4[[#This Row],[Producto]],Tabla6[[#All],[PRODUCTO]],0),MATCH(Tabla4[[#This Row],[Mes]],Tabla6[#Headers],0)))</f>
        <v>#N/A</v>
      </c>
      <c r="R7186" s="282" t="e">
        <f>++Tabla4[[#This Row],[Precio Unitario Neto]]-Tabla4[[#This Row],[20.85%]]-Tabla4[[#This Row],[Costo]]</f>
        <v>#N/A</v>
      </c>
      <c r="S7186" s="282" t="e">
        <f>++Tabla4[[#This Row],[U. Bruta Uni]]*Tabla4[[#This Row],[Cantidad]]</f>
        <v>#N/A</v>
      </c>
      <c r="T7186" s="369" t="str">
        <f>VLOOKUP(Tabla4[[#This Row],[Producto]],Tabla6[#All],14,FALSE)</f>
        <v>Termico Solar</v>
      </c>
      <c r="U7186" s="284" t="e">
        <f>(IF(Tabla4[[#This Row],[Familia]]="termico solar",Tabla4[[#This Row],[Utilidad Total]]*6%,Tabla4[[#This Row],[Utilidad Total]]*11.5%))/Tabla4[[#This Row],[Total]]</f>
        <v>#N/A</v>
      </c>
      <c r="V7186" s="282" t="e">
        <f>+Tabla4[[#This Row],[Comisión Calculada]]*Tabla4[[#This Row],[Total]]</f>
        <v>#N/A</v>
      </c>
    </row>
    <row r="7187" spans="1:22" hidden="1" x14ac:dyDescent="0.25">
      <c r="A7187" s="100">
        <v>45991</v>
      </c>
      <c r="B7187" t="str">
        <f t="shared" si="583"/>
        <v>November</v>
      </c>
      <c r="C7187" s="46" t="s">
        <v>280</v>
      </c>
      <c r="F7187" s="366" t="s">
        <v>3614</v>
      </c>
      <c r="G7187" s="46" t="s">
        <v>566</v>
      </c>
      <c r="H7187" s="46">
        <v>1</v>
      </c>
      <c r="I7187" s="51">
        <v>2109.4499999999998</v>
      </c>
      <c r="J7187" s="281">
        <f>++Tabla4[[#This Row],[Precio Bruto]]*1.16</f>
        <v>2446.9619999999995</v>
      </c>
      <c r="K7187" s="281">
        <f>+Tabla4[[#This Row],[Precio Unitario Neto]]*Tabla4[[#Headers],[20.85%]]</f>
        <v>510.19157699999988</v>
      </c>
      <c r="L7187" s="282">
        <f>++Tabla4[[#This Row],[Precio Unitario Neto]]-Tabla4[[#This Row],[20.85%]]</f>
        <v>1936.7704229999997</v>
      </c>
      <c r="M7187" s="282" t="e">
        <f>(INDEX(Tabla6[#All],MATCH(Tabla4[[#This Row],[Producto]],Tabla6[[#All],[PRODUCTO]],0),MATCH(Tabla4[[#This Row],[Mes]],Tabla6[#Headers],0)))*(1+Catalogos!$L$2)</f>
        <v>#N/A</v>
      </c>
      <c r="N7187" s="283" t="e">
        <f>+(Tabla4[[#This Row],[Precio Descontado]]-Tabla4[[#This Row],[Precio Base]])*Tabla4[[#This Row],[Cantidad]]</f>
        <v>#N/A</v>
      </c>
      <c r="O7187" s="284" t="e">
        <f>++Tabla4[[#This Row],[Utilidad Total]]/Tabla4[[#This Row],[Total]]</f>
        <v>#N/A</v>
      </c>
      <c r="P7187" s="282">
        <f>++Tabla4[[#This Row],[Precio Descontado]]*Tabla4[[#This Row],[Cantidad]]</f>
        <v>1936.7704229999997</v>
      </c>
      <c r="Q7187" s="282" t="e">
        <f>(INDEX(Tabla6[#All],MATCH(Tabla4[[#This Row],[Producto]],Tabla6[[#All],[PRODUCTO]],0),MATCH(Tabla4[[#This Row],[Mes]],Tabla6[#Headers],0)))</f>
        <v>#N/A</v>
      </c>
      <c r="R7187" s="282" t="e">
        <f>++Tabla4[[#This Row],[Precio Unitario Neto]]-Tabla4[[#This Row],[20.85%]]-Tabla4[[#This Row],[Costo]]</f>
        <v>#N/A</v>
      </c>
      <c r="S7187" s="282" t="e">
        <f>++Tabla4[[#This Row],[U. Bruta Uni]]*Tabla4[[#This Row],[Cantidad]]</f>
        <v>#N/A</v>
      </c>
      <c r="T7187" s="369" t="str">
        <f>VLOOKUP(Tabla4[[#This Row],[Producto]],Tabla6[#All],14,FALSE)</f>
        <v>Termico Solar</v>
      </c>
      <c r="U7187" s="284" t="e">
        <f>(IF(Tabla4[[#This Row],[Familia]]="termico solar",Tabla4[[#This Row],[Utilidad Total]]*6%,Tabla4[[#This Row],[Utilidad Total]]*11.5%))/Tabla4[[#This Row],[Total]]</f>
        <v>#N/A</v>
      </c>
      <c r="V7187" s="282" t="e">
        <f>+Tabla4[[#This Row],[Comisión Calculada]]*Tabla4[[#This Row],[Total]]</f>
        <v>#N/A</v>
      </c>
    </row>
    <row r="7188" spans="1:22" hidden="1" x14ac:dyDescent="0.25">
      <c r="A7188" s="100">
        <v>45991</v>
      </c>
      <c r="B7188" t="str">
        <f t="shared" si="583"/>
        <v>November</v>
      </c>
      <c r="C7188" s="46" t="s">
        <v>280</v>
      </c>
      <c r="F7188" s="366" t="s">
        <v>3614</v>
      </c>
      <c r="G7188" s="46" t="s">
        <v>412</v>
      </c>
      <c r="H7188" s="46">
        <v>1</v>
      </c>
      <c r="I7188" s="51">
        <v>3240.84</v>
      </c>
      <c r="J7188" s="281">
        <f>++Tabla4[[#This Row],[Precio Bruto]]*1.16</f>
        <v>3759.3743999999997</v>
      </c>
      <c r="K7188" s="281">
        <f>+Tabla4[[#This Row],[Precio Unitario Neto]]*Tabla4[[#Headers],[20.85%]]</f>
        <v>783.82956239999987</v>
      </c>
      <c r="L7188" s="282">
        <f>++Tabla4[[#This Row],[Precio Unitario Neto]]-Tabla4[[#This Row],[20.85%]]</f>
        <v>2975.5448375999999</v>
      </c>
      <c r="M7188" s="282" t="e">
        <f>(INDEX(Tabla6[#All],MATCH(Tabla4[[#This Row],[Producto]],Tabla6[[#All],[PRODUCTO]],0),MATCH(Tabla4[[#This Row],[Mes]],Tabla6[#Headers],0)))*(1+Catalogos!$L$2)</f>
        <v>#N/A</v>
      </c>
      <c r="N7188" s="283" t="e">
        <f>+(Tabla4[[#This Row],[Precio Descontado]]-Tabla4[[#This Row],[Precio Base]])*Tabla4[[#This Row],[Cantidad]]</f>
        <v>#N/A</v>
      </c>
      <c r="O7188" s="284" t="e">
        <f>++Tabla4[[#This Row],[Utilidad Total]]/Tabla4[[#This Row],[Total]]</f>
        <v>#N/A</v>
      </c>
      <c r="P7188" s="282">
        <f>++Tabla4[[#This Row],[Precio Descontado]]*Tabla4[[#This Row],[Cantidad]]</f>
        <v>2975.5448375999999</v>
      </c>
      <c r="Q7188" s="282" t="e">
        <f>(INDEX(Tabla6[#All],MATCH(Tabla4[[#This Row],[Producto]],Tabla6[[#All],[PRODUCTO]],0),MATCH(Tabla4[[#This Row],[Mes]],Tabla6[#Headers],0)))</f>
        <v>#N/A</v>
      </c>
      <c r="R7188" s="282" t="e">
        <f>++Tabla4[[#This Row],[Precio Unitario Neto]]-Tabla4[[#This Row],[20.85%]]-Tabla4[[#This Row],[Costo]]</f>
        <v>#N/A</v>
      </c>
      <c r="S7188" s="282" t="e">
        <f>++Tabla4[[#This Row],[U. Bruta Uni]]*Tabla4[[#This Row],[Cantidad]]</f>
        <v>#N/A</v>
      </c>
      <c r="T7188" s="369" t="str">
        <f>VLOOKUP(Tabla4[[#This Row],[Producto]],Tabla6[#All],14,FALSE)</f>
        <v>Termico Solar</v>
      </c>
      <c r="U7188" s="284" t="e">
        <f>(IF(Tabla4[[#This Row],[Familia]]="termico solar",Tabla4[[#This Row],[Utilidad Total]]*6%,Tabla4[[#This Row],[Utilidad Total]]*11.5%))/Tabla4[[#This Row],[Total]]</f>
        <v>#N/A</v>
      </c>
      <c r="V7188" s="282" t="e">
        <f>+Tabla4[[#This Row],[Comisión Calculada]]*Tabla4[[#This Row],[Total]]</f>
        <v>#N/A</v>
      </c>
    </row>
    <row r="7189" spans="1:22" hidden="1" x14ac:dyDescent="0.25">
      <c r="A7189" s="100">
        <v>45991</v>
      </c>
      <c r="B7189" t="str">
        <f t="shared" si="583"/>
        <v>November</v>
      </c>
      <c r="C7189" s="46" t="s">
        <v>280</v>
      </c>
      <c r="F7189" s="366" t="s">
        <v>3614</v>
      </c>
      <c r="G7189" s="46" t="s">
        <v>394</v>
      </c>
      <c r="H7189" s="46">
        <v>9</v>
      </c>
      <c r="I7189" s="51">
        <v>108.1</v>
      </c>
      <c r="J7189" s="281">
        <f>++Tabla4[[#This Row],[Precio Bruto]]*1.16</f>
        <v>125.39599999999999</v>
      </c>
      <c r="K7189" s="281">
        <f>+Tabla4[[#This Row],[Precio Unitario Neto]]*Tabla4[[#Headers],[20.85%]]</f>
        <v>26.145065999999996</v>
      </c>
      <c r="L7189" s="282">
        <f>++Tabla4[[#This Row],[Precio Unitario Neto]]-Tabla4[[#This Row],[20.85%]]</f>
        <v>99.250933999999987</v>
      </c>
      <c r="M7189" s="282" t="e">
        <f>(INDEX(Tabla6[#All],MATCH(Tabla4[[#This Row],[Producto]],Tabla6[[#All],[PRODUCTO]],0),MATCH(Tabla4[[#This Row],[Mes]],Tabla6[#Headers],0)))*(1+Catalogos!$L$2)</f>
        <v>#N/A</v>
      </c>
      <c r="N7189" s="283" t="e">
        <f>+(Tabla4[[#This Row],[Precio Descontado]]-Tabla4[[#This Row],[Precio Base]])*Tabla4[[#This Row],[Cantidad]]</f>
        <v>#N/A</v>
      </c>
      <c r="O7189" s="284" t="e">
        <f>++Tabla4[[#This Row],[Utilidad Total]]/Tabla4[[#This Row],[Total]]</f>
        <v>#N/A</v>
      </c>
      <c r="P7189" s="282">
        <f>++Tabla4[[#This Row],[Precio Descontado]]*Tabla4[[#This Row],[Cantidad]]</f>
        <v>893.25840599999992</v>
      </c>
      <c r="Q7189" s="282" t="e">
        <f>(INDEX(Tabla6[#All],MATCH(Tabla4[[#This Row],[Producto]],Tabla6[[#All],[PRODUCTO]],0),MATCH(Tabla4[[#This Row],[Mes]],Tabla6[#Headers],0)))</f>
        <v>#N/A</v>
      </c>
      <c r="R7189" s="282" t="e">
        <f>++Tabla4[[#This Row],[Precio Unitario Neto]]-Tabla4[[#This Row],[20.85%]]-Tabla4[[#This Row],[Costo]]</f>
        <v>#N/A</v>
      </c>
      <c r="S7189" s="282" t="e">
        <f>++Tabla4[[#This Row],[U. Bruta Uni]]*Tabla4[[#This Row],[Cantidad]]</f>
        <v>#N/A</v>
      </c>
      <c r="T7189" s="369" t="str">
        <f>VLOOKUP(Tabla4[[#This Row],[Producto]],Tabla6[#All],14,FALSE)</f>
        <v>Termico Solar</v>
      </c>
      <c r="U7189" s="284" t="e">
        <f>(IF(Tabla4[[#This Row],[Familia]]="termico solar",Tabla4[[#This Row],[Utilidad Total]]*6%,Tabla4[[#This Row],[Utilidad Total]]*11.5%))/Tabla4[[#This Row],[Total]]</f>
        <v>#N/A</v>
      </c>
      <c r="V7189" s="282" t="e">
        <f>+Tabla4[[#This Row],[Comisión Calculada]]*Tabla4[[#This Row],[Total]]</f>
        <v>#N/A</v>
      </c>
    </row>
    <row r="7190" spans="1:22" hidden="1" x14ac:dyDescent="0.25">
      <c r="A7190" s="100">
        <v>45991</v>
      </c>
      <c r="B7190" t="str">
        <f>TEXT(A7190, "mmmm")</f>
        <v>November</v>
      </c>
      <c r="C7190" s="46" t="s">
        <v>280</v>
      </c>
      <c r="F7190" s="366" t="s">
        <v>3615</v>
      </c>
      <c r="G7190" s="46" t="s">
        <v>17</v>
      </c>
      <c r="H7190" s="46">
        <v>3</v>
      </c>
      <c r="I7190" s="51">
        <v>4622.28</v>
      </c>
      <c r="J7190" s="281">
        <f>++Tabla4[[#This Row],[Precio Bruto]]*1.16</f>
        <v>5361.8447999999989</v>
      </c>
      <c r="K7190" s="281">
        <f>+Tabla4[[#This Row],[Precio Unitario Neto]]*Tabla4[[#Headers],[20.85%]]</f>
        <v>1117.9446407999997</v>
      </c>
      <c r="L7190" s="282">
        <f>++Tabla4[[#This Row],[Precio Unitario Neto]]-Tabla4[[#This Row],[20.85%]]</f>
        <v>4243.9001591999995</v>
      </c>
      <c r="M7190" s="282" t="e">
        <f>(INDEX(Tabla6[#All],MATCH(Tabla4[[#This Row],[Producto]],Tabla6[[#All],[PRODUCTO]],0),MATCH(Tabla4[[#This Row],[Mes]],Tabla6[#Headers],0)))*(1+Catalogos!$L$2)</f>
        <v>#N/A</v>
      </c>
      <c r="N7190" s="283" t="e">
        <f>+(Tabla4[[#This Row],[Precio Descontado]]-Tabla4[[#This Row],[Precio Base]])*Tabla4[[#This Row],[Cantidad]]</f>
        <v>#N/A</v>
      </c>
      <c r="O7190" s="284" t="e">
        <f>++Tabla4[[#This Row],[Utilidad Total]]/Tabla4[[#This Row],[Total]]</f>
        <v>#N/A</v>
      </c>
      <c r="P7190" s="282">
        <f>++Tabla4[[#This Row],[Precio Descontado]]*Tabla4[[#This Row],[Cantidad]]</f>
        <v>12731.700477599999</v>
      </c>
      <c r="Q7190" s="282" t="e">
        <f>(INDEX(Tabla6[#All],MATCH(Tabla4[[#This Row],[Producto]],Tabla6[[#All],[PRODUCTO]],0),MATCH(Tabla4[[#This Row],[Mes]],Tabla6[#Headers],0)))</f>
        <v>#N/A</v>
      </c>
      <c r="R7190" s="282" t="e">
        <f>++Tabla4[[#This Row],[Precio Unitario Neto]]-Tabla4[[#This Row],[20.85%]]-Tabla4[[#This Row],[Costo]]</f>
        <v>#N/A</v>
      </c>
      <c r="S7190" s="282" t="e">
        <f>++Tabla4[[#This Row],[U. Bruta Uni]]*Tabla4[[#This Row],[Cantidad]]</f>
        <v>#N/A</v>
      </c>
      <c r="T7190" s="369" t="str">
        <f>VLOOKUP(Tabla4[[#This Row],[Producto]],Tabla6[#All],14,FALSE)</f>
        <v>Termico Solar</v>
      </c>
      <c r="U7190" s="284" t="e">
        <f>(IF(Tabla4[[#This Row],[Familia]]="termico solar",Tabla4[[#This Row],[Utilidad Total]]*6%,Tabla4[[#This Row],[Utilidad Total]]*11.5%))/Tabla4[[#This Row],[Total]]</f>
        <v>#N/A</v>
      </c>
      <c r="V7190" s="282" t="e">
        <f>+Tabla4[[#This Row],[Comisión Calculada]]*Tabla4[[#This Row],[Total]]</f>
        <v>#N/A</v>
      </c>
    </row>
    <row r="7191" spans="1:22" hidden="1" x14ac:dyDescent="0.25">
      <c r="A7191" s="100">
        <v>45991</v>
      </c>
      <c r="B7191" t="str">
        <f>TEXT(A7191, "mmmm")</f>
        <v>November</v>
      </c>
      <c r="C7191" s="46" t="s">
        <v>280</v>
      </c>
      <c r="F7191" s="366" t="s">
        <v>3616</v>
      </c>
      <c r="G7191" s="46" t="s">
        <v>18</v>
      </c>
      <c r="H7191" s="46">
        <v>6</v>
      </c>
      <c r="I7191" s="51">
        <v>5367.6500000000005</v>
      </c>
      <c r="J7191" s="281">
        <f>++Tabla4[[#This Row],[Precio Bruto]]*1.16</f>
        <v>6226.4740000000002</v>
      </c>
      <c r="K7191" s="281">
        <f>+Tabla4[[#This Row],[Precio Unitario Neto]]*Tabla4[[#Headers],[20.85%]]</f>
        <v>1298.2198289999999</v>
      </c>
      <c r="L7191" s="282">
        <f>++Tabla4[[#This Row],[Precio Unitario Neto]]-Tabla4[[#This Row],[20.85%]]</f>
        <v>4928.2541710000005</v>
      </c>
      <c r="M7191" s="282" t="e">
        <f>(INDEX(Tabla6[#All],MATCH(Tabla4[[#This Row],[Producto]],Tabla6[[#All],[PRODUCTO]],0),MATCH(Tabla4[[#This Row],[Mes]],Tabla6[#Headers],0)))*(1+Catalogos!$L$2)</f>
        <v>#N/A</v>
      </c>
      <c r="N7191" s="283" t="e">
        <f>+(Tabla4[[#This Row],[Precio Descontado]]-Tabla4[[#This Row],[Precio Base]])*Tabla4[[#This Row],[Cantidad]]</f>
        <v>#N/A</v>
      </c>
      <c r="O7191" s="284" t="e">
        <f>++Tabla4[[#This Row],[Utilidad Total]]/Tabla4[[#This Row],[Total]]</f>
        <v>#N/A</v>
      </c>
      <c r="P7191" s="282">
        <f>++Tabla4[[#This Row],[Precio Descontado]]*Tabla4[[#This Row],[Cantidad]]</f>
        <v>29569.525026000003</v>
      </c>
      <c r="Q7191" s="282" t="e">
        <f>(INDEX(Tabla6[#All],MATCH(Tabla4[[#This Row],[Producto]],Tabla6[[#All],[PRODUCTO]],0),MATCH(Tabla4[[#This Row],[Mes]],Tabla6[#Headers],0)))</f>
        <v>#N/A</v>
      </c>
      <c r="R7191" s="282" t="e">
        <f>++Tabla4[[#This Row],[Precio Unitario Neto]]-Tabla4[[#This Row],[20.85%]]-Tabla4[[#This Row],[Costo]]</f>
        <v>#N/A</v>
      </c>
      <c r="S7191" s="282" t="e">
        <f>++Tabla4[[#This Row],[U. Bruta Uni]]*Tabla4[[#This Row],[Cantidad]]</f>
        <v>#N/A</v>
      </c>
      <c r="T7191" s="369" t="str">
        <f>VLOOKUP(Tabla4[[#This Row],[Producto]],Tabla6[#All],14,FALSE)</f>
        <v>Termico Solar</v>
      </c>
      <c r="U7191" s="284" t="e">
        <f>(IF(Tabla4[[#This Row],[Familia]]="termico solar",Tabla4[[#This Row],[Utilidad Total]]*6%,Tabla4[[#This Row],[Utilidad Total]]*11.5%))/Tabla4[[#This Row],[Total]]</f>
        <v>#N/A</v>
      </c>
      <c r="V7191" s="282" t="e">
        <f>+Tabla4[[#This Row],[Comisión Calculada]]*Tabla4[[#This Row],[Total]]</f>
        <v>#N/A</v>
      </c>
    </row>
    <row r="7192" spans="1:22" hidden="1" x14ac:dyDescent="0.25">
      <c r="A7192" s="100">
        <v>45991</v>
      </c>
      <c r="B7192" t="str">
        <f>TEXT(A7192, "mmmm")</f>
        <v>November</v>
      </c>
      <c r="C7192" s="46" t="s">
        <v>280</v>
      </c>
      <c r="F7192" s="366" t="s">
        <v>3617</v>
      </c>
      <c r="G7192" s="46" t="s">
        <v>16</v>
      </c>
      <c r="H7192" s="46">
        <v>1</v>
      </c>
      <c r="I7192" s="51">
        <v>4103.8500000000004</v>
      </c>
      <c r="J7192" s="281">
        <f>++Tabla4[[#This Row],[Precio Bruto]]*1.16</f>
        <v>4760.4660000000003</v>
      </c>
      <c r="K7192" s="281">
        <f>+Tabla4[[#This Row],[Precio Unitario Neto]]*Tabla4[[#Headers],[20.85%]]</f>
        <v>992.55716100000006</v>
      </c>
      <c r="L7192" s="282">
        <f>++Tabla4[[#This Row],[Precio Unitario Neto]]-Tabla4[[#This Row],[20.85%]]</f>
        <v>3767.9088390000002</v>
      </c>
      <c r="M7192" s="282" t="e">
        <f>(INDEX(Tabla6[#All],MATCH(Tabla4[[#This Row],[Producto]],Tabla6[[#All],[PRODUCTO]],0),MATCH(Tabla4[[#This Row],[Mes]],Tabla6[#Headers],0)))*(1+Catalogos!$L$2)</f>
        <v>#N/A</v>
      </c>
      <c r="N7192" s="283" t="e">
        <f>+(Tabla4[[#This Row],[Precio Descontado]]-Tabla4[[#This Row],[Precio Base]])*Tabla4[[#This Row],[Cantidad]]</f>
        <v>#N/A</v>
      </c>
      <c r="O7192" s="284" t="e">
        <f>++Tabla4[[#This Row],[Utilidad Total]]/Tabla4[[#This Row],[Total]]</f>
        <v>#N/A</v>
      </c>
      <c r="P7192" s="282">
        <f>++Tabla4[[#This Row],[Precio Descontado]]*Tabla4[[#This Row],[Cantidad]]</f>
        <v>3767.9088390000002</v>
      </c>
      <c r="Q7192" s="282" t="e">
        <f>(INDEX(Tabla6[#All],MATCH(Tabla4[[#This Row],[Producto]],Tabla6[[#All],[PRODUCTO]],0),MATCH(Tabla4[[#This Row],[Mes]],Tabla6[#Headers],0)))</f>
        <v>#N/A</v>
      </c>
      <c r="R7192" s="282" t="e">
        <f>++Tabla4[[#This Row],[Precio Unitario Neto]]-Tabla4[[#This Row],[20.85%]]-Tabla4[[#This Row],[Costo]]</f>
        <v>#N/A</v>
      </c>
      <c r="S7192" s="282" t="e">
        <f>++Tabla4[[#This Row],[U. Bruta Uni]]*Tabla4[[#This Row],[Cantidad]]</f>
        <v>#N/A</v>
      </c>
      <c r="T7192" s="369" t="str">
        <f>VLOOKUP(Tabla4[[#This Row],[Producto]],Tabla6[#All],14,FALSE)</f>
        <v>Termico Solar</v>
      </c>
      <c r="U7192" s="284" t="e">
        <f>(IF(Tabla4[[#This Row],[Familia]]="termico solar",Tabla4[[#This Row],[Utilidad Total]]*6%,Tabla4[[#This Row],[Utilidad Total]]*11.5%))/Tabla4[[#This Row],[Total]]</f>
        <v>#N/A</v>
      </c>
      <c r="V7192" s="282" t="e">
        <f>+Tabla4[[#This Row],[Comisión Calculada]]*Tabla4[[#This Row],[Total]]</f>
        <v>#N/A</v>
      </c>
    </row>
    <row r="7193" spans="1:22" hidden="1" x14ac:dyDescent="0.25">
      <c r="A7193" s="100">
        <v>45991</v>
      </c>
      <c r="B7193" t="str">
        <f t="shared" ref="B7193:B7194" si="584">TEXT(A7193, "mmmm")</f>
        <v>November</v>
      </c>
      <c r="C7193" s="46" t="s">
        <v>280</v>
      </c>
      <c r="F7193" s="366" t="s">
        <v>3618</v>
      </c>
      <c r="G7193" s="46" t="s">
        <v>17</v>
      </c>
      <c r="H7193" s="46">
        <v>2</v>
      </c>
      <c r="I7193" s="51">
        <v>4622.28</v>
      </c>
      <c r="J7193" s="281">
        <f>++Tabla4[[#This Row],[Precio Bruto]]*1.16</f>
        <v>5361.8447999999989</v>
      </c>
      <c r="K7193" s="281">
        <f>+Tabla4[[#This Row],[Precio Unitario Neto]]*Tabla4[[#Headers],[20.85%]]</f>
        <v>1117.9446407999997</v>
      </c>
      <c r="L7193" s="282">
        <f>++Tabla4[[#This Row],[Precio Unitario Neto]]-Tabla4[[#This Row],[20.85%]]</f>
        <v>4243.9001591999995</v>
      </c>
      <c r="M7193" s="282" t="e">
        <f>(INDEX(Tabla6[#All],MATCH(Tabla4[[#This Row],[Producto]],Tabla6[[#All],[PRODUCTO]],0),MATCH(Tabla4[[#This Row],[Mes]],Tabla6[#Headers],0)))*(1+Catalogos!$L$2)</f>
        <v>#N/A</v>
      </c>
      <c r="N7193" s="283" t="e">
        <f>+(Tabla4[[#This Row],[Precio Descontado]]-Tabla4[[#This Row],[Precio Base]])*Tabla4[[#This Row],[Cantidad]]</f>
        <v>#N/A</v>
      </c>
      <c r="O7193" s="284" t="e">
        <f>++Tabla4[[#This Row],[Utilidad Total]]/Tabla4[[#This Row],[Total]]</f>
        <v>#N/A</v>
      </c>
      <c r="P7193" s="282">
        <f>++Tabla4[[#This Row],[Precio Descontado]]*Tabla4[[#This Row],[Cantidad]]</f>
        <v>8487.800318399999</v>
      </c>
      <c r="Q7193" s="282" t="e">
        <f>(INDEX(Tabla6[#All],MATCH(Tabla4[[#This Row],[Producto]],Tabla6[[#All],[PRODUCTO]],0),MATCH(Tabla4[[#This Row],[Mes]],Tabla6[#Headers],0)))</f>
        <v>#N/A</v>
      </c>
      <c r="R7193" s="282" t="e">
        <f>++Tabla4[[#This Row],[Precio Unitario Neto]]-Tabla4[[#This Row],[20.85%]]-Tabla4[[#This Row],[Costo]]</f>
        <v>#N/A</v>
      </c>
      <c r="S7193" s="282" t="e">
        <f>++Tabla4[[#This Row],[U. Bruta Uni]]*Tabla4[[#This Row],[Cantidad]]</f>
        <v>#N/A</v>
      </c>
      <c r="T7193" s="369" t="str">
        <f>VLOOKUP(Tabla4[[#This Row],[Producto]],Tabla6[#All],14,FALSE)</f>
        <v>Termico Solar</v>
      </c>
      <c r="U7193" s="284" t="e">
        <f>(IF(Tabla4[[#This Row],[Familia]]="termico solar",Tabla4[[#This Row],[Utilidad Total]]*6%,Tabla4[[#This Row],[Utilidad Total]]*11.5%))/Tabla4[[#This Row],[Total]]</f>
        <v>#N/A</v>
      </c>
      <c r="V7193" s="282" t="e">
        <f>+Tabla4[[#This Row],[Comisión Calculada]]*Tabla4[[#This Row],[Total]]</f>
        <v>#N/A</v>
      </c>
    </row>
    <row r="7194" spans="1:22" hidden="1" x14ac:dyDescent="0.25">
      <c r="A7194" s="100">
        <v>45991</v>
      </c>
      <c r="B7194" t="str">
        <f t="shared" si="584"/>
        <v>November</v>
      </c>
      <c r="C7194" s="46" t="s">
        <v>280</v>
      </c>
      <c r="F7194" s="366" t="s">
        <v>3618</v>
      </c>
      <c r="G7194" s="46" t="s">
        <v>19</v>
      </c>
      <c r="H7194" s="46">
        <v>2</v>
      </c>
      <c r="I7194" s="51">
        <v>6412.03</v>
      </c>
      <c r="J7194" s="281">
        <f>++Tabla4[[#This Row],[Precio Bruto]]*1.16</f>
        <v>7437.9547999999995</v>
      </c>
      <c r="K7194" s="281">
        <f>+Tabla4[[#This Row],[Precio Unitario Neto]]*Tabla4[[#Headers],[20.85%]]</f>
        <v>1550.8135757999999</v>
      </c>
      <c r="L7194" s="282">
        <f>++Tabla4[[#This Row],[Precio Unitario Neto]]-Tabla4[[#This Row],[20.85%]]</f>
        <v>5887.1412241999997</v>
      </c>
      <c r="M7194" s="282" t="e">
        <f>(INDEX(Tabla6[#All],MATCH(Tabla4[[#This Row],[Producto]],Tabla6[[#All],[PRODUCTO]],0),MATCH(Tabla4[[#This Row],[Mes]],Tabla6[#Headers],0)))*(1+Catalogos!$L$2)</f>
        <v>#N/A</v>
      </c>
      <c r="N7194" s="283" t="e">
        <f>+(Tabla4[[#This Row],[Precio Descontado]]-Tabla4[[#This Row],[Precio Base]])*Tabla4[[#This Row],[Cantidad]]</f>
        <v>#N/A</v>
      </c>
      <c r="O7194" s="284" t="e">
        <f>++Tabla4[[#This Row],[Utilidad Total]]/Tabla4[[#This Row],[Total]]</f>
        <v>#N/A</v>
      </c>
      <c r="P7194" s="282">
        <f>++Tabla4[[#This Row],[Precio Descontado]]*Tabla4[[#This Row],[Cantidad]]</f>
        <v>11774.282448399999</v>
      </c>
      <c r="Q7194" s="282" t="e">
        <f>(INDEX(Tabla6[#All],MATCH(Tabla4[[#This Row],[Producto]],Tabla6[[#All],[PRODUCTO]],0),MATCH(Tabla4[[#This Row],[Mes]],Tabla6[#Headers],0)))</f>
        <v>#N/A</v>
      </c>
      <c r="R7194" s="282" t="e">
        <f>++Tabla4[[#This Row],[Precio Unitario Neto]]-Tabla4[[#This Row],[20.85%]]-Tabla4[[#This Row],[Costo]]</f>
        <v>#N/A</v>
      </c>
      <c r="S7194" s="282" t="e">
        <f>++Tabla4[[#This Row],[U. Bruta Uni]]*Tabla4[[#This Row],[Cantidad]]</f>
        <v>#N/A</v>
      </c>
      <c r="T7194" s="369" t="str">
        <f>VLOOKUP(Tabla4[[#This Row],[Producto]],Tabla6[#All],14,FALSE)</f>
        <v>Termico Solar</v>
      </c>
      <c r="U7194" s="284" t="e">
        <f>(IF(Tabla4[[#This Row],[Familia]]="termico solar",Tabla4[[#This Row],[Utilidad Total]]*6%,Tabla4[[#This Row],[Utilidad Total]]*11.5%))/Tabla4[[#This Row],[Total]]</f>
        <v>#N/A</v>
      </c>
      <c r="V7194" s="282" t="e">
        <f>+Tabla4[[#This Row],[Comisión Calculada]]*Tabla4[[#This Row],[Total]]</f>
        <v>#N/A</v>
      </c>
    </row>
    <row r="7195" spans="1:22" hidden="1" x14ac:dyDescent="0.25">
      <c r="A7195" s="100">
        <v>45991</v>
      </c>
      <c r="B7195" t="str">
        <f t="shared" ref="B7195:B7196" si="585">TEXT(A7195, "mmmm")</f>
        <v>November</v>
      </c>
      <c r="C7195" s="46" t="s">
        <v>280</v>
      </c>
      <c r="F7195" s="366" t="s">
        <v>3619</v>
      </c>
      <c r="G7195" s="46" t="s">
        <v>17</v>
      </c>
      <c r="H7195" s="46">
        <v>2</v>
      </c>
      <c r="I7195" s="51">
        <v>4622.28</v>
      </c>
      <c r="J7195" s="281">
        <f>++Tabla4[[#This Row],[Precio Bruto]]*1.16</f>
        <v>5361.8447999999989</v>
      </c>
      <c r="K7195" s="281">
        <f>+Tabla4[[#This Row],[Precio Unitario Neto]]*Tabla4[[#Headers],[20.85%]]</f>
        <v>1117.9446407999997</v>
      </c>
      <c r="L7195" s="282">
        <f>++Tabla4[[#This Row],[Precio Unitario Neto]]-Tabla4[[#This Row],[20.85%]]</f>
        <v>4243.9001591999995</v>
      </c>
      <c r="M7195" s="282" t="e">
        <f>(INDEX(Tabla6[#All],MATCH(Tabla4[[#This Row],[Producto]],Tabla6[[#All],[PRODUCTO]],0),MATCH(Tabla4[[#This Row],[Mes]],Tabla6[#Headers],0)))*(1+Catalogos!$L$2)</f>
        <v>#N/A</v>
      </c>
      <c r="N7195" s="283" t="e">
        <f>+(Tabla4[[#This Row],[Precio Descontado]]-Tabla4[[#This Row],[Precio Base]])*Tabla4[[#This Row],[Cantidad]]</f>
        <v>#N/A</v>
      </c>
      <c r="O7195" s="284" t="e">
        <f>++Tabla4[[#This Row],[Utilidad Total]]/Tabla4[[#This Row],[Total]]</f>
        <v>#N/A</v>
      </c>
      <c r="P7195" s="282">
        <f>++Tabla4[[#This Row],[Precio Descontado]]*Tabla4[[#This Row],[Cantidad]]</f>
        <v>8487.800318399999</v>
      </c>
      <c r="Q7195" s="282" t="e">
        <f>(INDEX(Tabla6[#All],MATCH(Tabla4[[#This Row],[Producto]],Tabla6[[#All],[PRODUCTO]],0),MATCH(Tabla4[[#This Row],[Mes]],Tabla6[#Headers],0)))</f>
        <v>#N/A</v>
      </c>
      <c r="R7195" s="282" t="e">
        <f>++Tabla4[[#This Row],[Precio Unitario Neto]]-Tabla4[[#This Row],[20.85%]]-Tabla4[[#This Row],[Costo]]</f>
        <v>#N/A</v>
      </c>
      <c r="S7195" s="282" t="e">
        <f>++Tabla4[[#This Row],[U. Bruta Uni]]*Tabla4[[#This Row],[Cantidad]]</f>
        <v>#N/A</v>
      </c>
      <c r="T7195" s="369" t="str">
        <f>VLOOKUP(Tabla4[[#This Row],[Producto]],Tabla6[#All],14,FALSE)</f>
        <v>Termico Solar</v>
      </c>
      <c r="U7195" s="284" t="e">
        <f>(IF(Tabla4[[#This Row],[Familia]]="termico solar",Tabla4[[#This Row],[Utilidad Total]]*6%,Tabla4[[#This Row],[Utilidad Total]]*11.5%))/Tabla4[[#This Row],[Total]]</f>
        <v>#N/A</v>
      </c>
      <c r="V7195" s="282" t="e">
        <f>+Tabla4[[#This Row],[Comisión Calculada]]*Tabla4[[#This Row],[Total]]</f>
        <v>#N/A</v>
      </c>
    </row>
    <row r="7196" spans="1:22" hidden="1" x14ac:dyDescent="0.25">
      <c r="A7196" s="100">
        <v>45991</v>
      </c>
      <c r="B7196" t="str">
        <f t="shared" si="585"/>
        <v>November</v>
      </c>
      <c r="C7196" s="46" t="s">
        <v>280</v>
      </c>
      <c r="F7196" s="366" t="s">
        <v>3619</v>
      </c>
      <c r="G7196" s="46" t="s">
        <v>16</v>
      </c>
      <c r="H7196" s="46">
        <v>1</v>
      </c>
      <c r="I7196" s="51">
        <v>4103.8500000000004</v>
      </c>
      <c r="J7196" s="281">
        <f>++Tabla4[[#This Row],[Precio Bruto]]*1.16</f>
        <v>4760.4660000000003</v>
      </c>
      <c r="K7196" s="281">
        <f>+Tabla4[[#This Row],[Precio Unitario Neto]]*Tabla4[[#Headers],[20.85%]]</f>
        <v>992.55716100000006</v>
      </c>
      <c r="L7196" s="282">
        <f>++Tabla4[[#This Row],[Precio Unitario Neto]]-Tabla4[[#This Row],[20.85%]]</f>
        <v>3767.9088390000002</v>
      </c>
      <c r="M7196" s="282" t="e">
        <f>(INDEX(Tabla6[#All],MATCH(Tabla4[[#This Row],[Producto]],Tabla6[[#All],[PRODUCTO]],0),MATCH(Tabla4[[#This Row],[Mes]],Tabla6[#Headers],0)))*(1+Catalogos!$L$2)</f>
        <v>#N/A</v>
      </c>
      <c r="N7196" s="283" t="e">
        <f>+(Tabla4[[#This Row],[Precio Descontado]]-Tabla4[[#This Row],[Precio Base]])*Tabla4[[#This Row],[Cantidad]]</f>
        <v>#N/A</v>
      </c>
      <c r="O7196" s="284" t="e">
        <f>++Tabla4[[#This Row],[Utilidad Total]]/Tabla4[[#This Row],[Total]]</f>
        <v>#N/A</v>
      </c>
      <c r="P7196" s="282">
        <f>++Tabla4[[#This Row],[Precio Descontado]]*Tabla4[[#This Row],[Cantidad]]</f>
        <v>3767.9088390000002</v>
      </c>
      <c r="Q7196" s="282" t="e">
        <f>(INDEX(Tabla6[#All],MATCH(Tabla4[[#This Row],[Producto]],Tabla6[[#All],[PRODUCTO]],0),MATCH(Tabla4[[#This Row],[Mes]],Tabla6[#Headers],0)))</f>
        <v>#N/A</v>
      </c>
      <c r="R7196" s="282" t="e">
        <f>++Tabla4[[#This Row],[Precio Unitario Neto]]-Tabla4[[#This Row],[20.85%]]-Tabla4[[#This Row],[Costo]]</f>
        <v>#N/A</v>
      </c>
      <c r="S7196" s="282" t="e">
        <f>++Tabla4[[#This Row],[U. Bruta Uni]]*Tabla4[[#This Row],[Cantidad]]</f>
        <v>#N/A</v>
      </c>
      <c r="T7196" s="369" t="str">
        <f>VLOOKUP(Tabla4[[#This Row],[Producto]],Tabla6[#All],14,FALSE)</f>
        <v>Termico Solar</v>
      </c>
      <c r="U7196" s="284" t="e">
        <f>(IF(Tabla4[[#This Row],[Familia]]="termico solar",Tabla4[[#This Row],[Utilidad Total]]*6%,Tabla4[[#This Row],[Utilidad Total]]*11.5%))/Tabla4[[#This Row],[Total]]</f>
        <v>#N/A</v>
      </c>
      <c r="V7196" s="282" t="e">
        <f>+Tabla4[[#This Row],[Comisión Calculada]]*Tabla4[[#This Row],[Total]]</f>
        <v>#N/A</v>
      </c>
    </row>
    <row r="7197" spans="1:22" hidden="1" x14ac:dyDescent="0.25">
      <c r="A7197" s="100">
        <v>45991</v>
      </c>
      <c r="B7197" t="str">
        <f>TEXT(A7197, "mmmm")</f>
        <v>November</v>
      </c>
      <c r="C7197" s="46" t="s">
        <v>280</v>
      </c>
      <c r="F7197" s="366" t="s">
        <v>3620</v>
      </c>
      <c r="G7197" s="46" t="s">
        <v>17</v>
      </c>
      <c r="H7197" s="46">
        <v>1</v>
      </c>
      <c r="I7197" s="51">
        <v>4622.28</v>
      </c>
      <c r="J7197" s="281">
        <f>++Tabla4[[#This Row],[Precio Bruto]]*1.16</f>
        <v>5361.8447999999989</v>
      </c>
      <c r="K7197" s="281">
        <f>+Tabla4[[#This Row],[Precio Unitario Neto]]*Tabla4[[#Headers],[20.85%]]</f>
        <v>1117.9446407999997</v>
      </c>
      <c r="L7197" s="282">
        <f>++Tabla4[[#This Row],[Precio Unitario Neto]]-Tabla4[[#This Row],[20.85%]]</f>
        <v>4243.9001591999995</v>
      </c>
      <c r="M7197" s="282" t="e">
        <f>(INDEX(Tabla6[#All],MATCH(Tabla4[[#This Row],[Producto]],Tabla6[[#All],[PRODUCTO]],0),MATCH(Tabla4[[#This Row],[Mes]],Tabla6[#Headers],0)))*(1+Catalogos!$L$2)</f>
        <v>#N/A</v>
      </c>
      <c r="N7197" s="283" t="e">
        <f>+(Tabla4[[#This Row],[Precio Descontado]]-Tabla4[[#This Row],[Precio Base]])*Tabla4[[#This Row],[Cantidad]]</f>
        <v>#N/A</v>
      </c>
      <c r="O7197" s="284" t="e">
        <f>++Tabla4[[#This Row],[Utilidad Total]]/Tabla4[[#This Row],[Total]]</f>
        <v>#N/A</v>
      </c>
      <c r="P7197" s="282">
        <f>++Tabla4[[#This Row],[Precio Descontado]]*Tabla4[[#This Row],[Cantidad]]</f>
        <v>4243.9001591999995</v>
      </c>
      <c r="Q7197" s="282" t="e">
        <f>(INDEX(Tabla6[#All],MATCH(Tabla4[[#This Row],[Producto]],Tabla6[[#All],[PRODUCTO]],0),MATCH(Tabla4[[#This Row],[Mes]],Tabla6[#Headers],0)))</f>
        <v>#N/A</v>
      </c>
      <c r="R7197" s="282" t="e">
        <f>++Tabla4[[#This Row],[Precio Unitario Neto]]-Tabla4[[#This Row],[20.85%]]-Tabla4[[#This Row],[Costo]]</f>
        <v>#N/A</v>
      </c>
      <c r="S7197" s="282" t="e">
        <f>++Tabla4[[#This Row],[U. Bruta Uni]]*Tabla4[[#This Row],[Cantidad]]</f>
        <v>#N/A</v>
      </c>
      <c r="T7197" s="369" t="str">
        <f>VLOOKUP(Tabla4[[#This Row],[Producto]],Tabla6[#All],14,FALSE)</f>
        <v>Termico Solar</v>
      </c>
      <c r="U7197" s="284" t="e">
        <f>(IF(Tabla4[[#This Row],[Familia]]="termico solar",Tabla4[[#This Row],[Utilidad Total]]*6%,Tabla4[[#This Row],[Utilidad Total]]*11.5%))/Tabla4[[#This Row],[Total]]</f>
        <v>#N/A</v>
      </c>
      <c r="V7197" s="282" t="e">
        <f>+Tabla4[[#This Row],[Comisión Calculada]]*Tabla4[[#This Row],[Total]]</f>
        <v>#N/A</v>
      </c>
    </row>
    <row r="7198" spans="1:22" hidden="1" x14ac:dyDescent="0.25">
      <c r="A7198" s="100">
        <v>45991</v>
      </c>
      <c r="B7198" t="str">
        <f t="shared" ref="B7198:B7200" si="586">TEXT(A7198, "mmmm")</f>
        <v>November</v>
      </c>
      <c r="C7198" s="46" t="s">
        <v>280</v>
      </c>
      <c r="F7198" s="366" t="s">
        <v>3621</v>
      </c>
      <c r="G7198" s="46" t="s">
        <v>83</v>
      </c>
      <c r="H7198" s="46">
        <v>8</v>
      </c>
      <c r="I7198" s="51">
        <v>8858.76</v>
      </c>
      <c r="J7198" s="281">
        <f>++Tabla4[[#This Row],[Precio Bruto]]*1.16</f>
        <v>10276.161599999999</v>
      </c>
      <c r="K7198" s="281">
        <f>+Tabla4[[#This Row],[Precio Unitario Neto]]*Tabla4[[#Headers],[20.85%]]</f>
        <v>2142.5796935999997</v>
      </c>
      <c r="L7198" s="282">
        <f>++Tabla4[[#This Row],[Precio Unitario Neto]]-Tabla4[[#This Row],[20.85%]]</f>
        <v>8133.5819063999998</v>
      </c>
      <c r="M7198" s="282" t="e">
        <f>(INDEX(Tabla6[#All],MATCH(Tabla4[[#This Row],[Producto]],Tabla6[[#All],[PRODUCTO]],0),MATCH(Tabla4[[#This Row],[Mes]],Tabla6[#Headers],0)))*(1+Catalogos!$L$2)</f>
        <v>#N/A</v>
      </c>
      <c r="N7198" s="283" t="e">
        <f>+(Tabla4[[#This Row],[Precio Descontado]]-Tabla4[[#This Row],[Precio Base]])*Tabla4[[#This Row],[Cantidad]]</f>
        <v>#N/A</v>
      </c>
      <c r="O7198" s="284" t="e">
        <f>++Tabla4[[#This Row],[Utilidad Total]]/Tabla4[[#This Row],[Total]]</f>
        <v>#N/A</v>
      </c>
      <c r="P7198" s="282">
        <f>++Tabla4[[#This Row],[Precio Descontado]]*Tabla4[[#This Row],[Cantidad]]</f>
        <v>65068.655251199998</v>
      </c>
      <c r="Q7198" s="282" t="e">
        <f>(INDEX(Tabla6[#All],MATCH(Tabla4[[#This Row],[Producto]],Tabla6[[#All],[PRODUCTO]],0),MATCH(Tabla4[[#This Row],[Mes]],Tabla6[#Headers],0)))</f>
        <v>#N/A</v>
      </c>
      <c r="R7198" s="282" t="e">
        <f>++Tabla4[[#This Row],[Precio Unitario Neto]]-Tabla4[[#This Row],[20.85%]]-Tabla4[[#This Row],[Costo]]</f>
        <v>#N/A</v>
      </c>
      <c r="S7198" s="282" t="e">
        <f>++Tabla4[[#This Row],[U. Bruta Uni]]*Tabla4[[#This Row],[Cantidad]]</f>
        <v>#N/A</v>
      </c>
      <c r="T7198" s="369" t="str">
        <f>VLOOKUP(Tabla4[[#This Row],[Producto]],Tabla6[#All],14,FALSE)</f>
        <v>Termico Solar</v>
      </c>
      <c r="U7198" s="284" t="e">
        <f>(IF(Tabla4[[#This Row],[Familia]]="termico solar",Tabla4[[#This Row],[Utilidad Total]]*6%,Tabla4[[#This Row],[Utilidad Total]]*11.5%))/Tabla4[[#This Row],[Total]]</f>
        <v>#N/A</v>
      </c>
      <c r="V7198" s="282" t="e">
        <f>+Tabla4[[#This Row],[Comisión Calculada]]*Tabla4[[#This Row],[Total]]</f>
        <v>#N/A</v>
      </c>
    </row>
    <row r="7199" spans="1:22" hidden="1" x14ac:dyDescent="0.25">
      <c r="A7199" s="100">
        <v>45991</v>
      </c>
      <c r="B7199" t="str">
        <f t="shared" si="586"/>
        <v>November</v>
      </c>
      <c r="C7199" s="46" t="s">
        <v>280</v>
      </c>
      <c r="F7199" s="366" t="s">
        <v>3621</v>
      </c>
      <c r="G7199" s="46" t="s">
        <v>17</v>
      </c>
      <c r="H7199" s="46">
        <v>9</v>
      </c>
      <c r="I7199" s="51">
        <v>4622.28</v>
      </c>
      <c r="J7199" s="281">
        <f>++Tabla4[[#This Row],[Precio Bruto]]*1.16</f>
        <v>5361.8447999999989</v>
      </c>
      <c r="K7199" s="281">
        <f>+Tabla4[[#This Row],[Precio Unitario Neto]]*Tabla4[[#Headers],[20.85%]]</f>
        <v>1117.9446407999997</v>
      </c>
      <c r="L7199" s="282">
        <f>++Tabla4[[#This Row],[Precio Unitario Neto]]-Tabla4[[#This Row],[20.85%]]</f>
        <v>4243.9001591999995</v>
      </c>
      <c r="M7199" s="282" t="e">
        <f>(INDEX(Tabla6[#All],MATCH(Tabla4[[#This Row],[Producto]],Tabla6[[#All],[PRODUCTO]],0),MATCH(Tabla4[[#This Row],[Mes]],Tabla6[#Headers],0)))*(1+Catalogos!$L$2)</f>
        <v>#N/A</v>
      </c>
      <c r="N7199" s="283" t="e">
        <f>+(Tabla4[[#This Row],[Precio Descontado]]-Tabla4[[#This Row],[Precio Base]])*Tabla4[[#This Row],[Cantidad]]</f>
        <v>#N/A</v>
      </c>
      <c r="O7199" s="284" t="e">
        <f>++Tabla4[[#This Row],[Utilidad Total]]/Tabla4[[#This Row],[Total]]</f>
        <v>#N/A</v>
      </c>
      <c r="P7199" s="282">
        <f>++Tabla4[[#This Row],[Precio Descontado]]*Tabla4[[#This Row],[Cantidad]]</f>
        <v>38195.101432799995</v>
      </c>
      <c r="Q7199" s="282" t="e">
        <f>(INDEX(Tabla6[#All],MATCH(Tabla4[[#This Row],[Producto]],Tabla6[[#All],[PRODUCTO]],0),MATCH(Tabla4[[#This Row],[Mes]],Tabla6[#Headers],0)))</f>
        <v>#N/A</v>
      </c>
      <c r="R7199" s="282" t="e">
        <f>++Tabla4[[#This Row],[Precio Unitario Neto]]-Tabla4[[#This Row],[20.85%]]-Tabla4[[#This Row],[Costo]]</f>
        <v>#N/A</v>
      </c>
      <c r="S7199" s="282" t="e">
        <f>++Tabla4[[#This Row],[U. Bruta Uni]]*Tabla4[[#This Row],[Cantidad]]</f>
        <v>#N/A</v>
      </c>
      <c r="T7199" s="369" t="str">
        <f>VLOOKUP(Tabla4[[#This Row],[Producto]],Tabla6[#All],14,FALSE)</f>
        <v>Termico Solar</v>
      </c>
      <c r="U7199" s="284" t="e">
        <f>(IF(Tabla4[[#This Row],[Familia]]="termico solar",Tabla4[[#This Row],[Utilidad Total]]*6%,Tabla4[[#This Row],[Utilidad Total]]*11.5%))/Tabla4[[#This Row],[Total]]</f>
        <v>#N/A</v>
      </c>
      <c r="V7199" s="282" t="e">
        <f>+Tabla4[[#This Row],[Comisión Calculada]]*Tabla4[[#This Row],[Total]]</f>
        <v>#N/A</v>
      </c>
    </row>
    <row r="7200" spans="1:22" hidden="1" x14ac:dyDescent="0.25">
      <c r="A7200" s="100">
        <v>45991</v>
      </c>
      <c r="B7200" t="str">
        <f t="shared" si="586"/>
        <v>November</v>
      </c>
      <c r="C7200" s="46" t="s">
        <v>280</v>
      </c>
      <c r="F7200" s="366" t="s">
        <v>3621</v>
      </c>
      <c r="G7200" s="46" t="s">
        <v>18</v>
      </c>
      <c r="H7200" s="46">
        <v>9</v>
      </c>
      <c r="I7200" s="51">
        <v>5367.65</v>
      </c>
      <c r="J7200" s="281">
        <f>++Tabla4[[#This Row],[Precio Bruto]]*1.16</f>
        <v>6226.4739999999993</v>
      </c>
      <c r="K7200" s="281">
        <f>+Tabla4[[#This Row],[Precio Unitario Neto]]*Tabla4[[#Headers],[20.85%]]</f>
        <v>1298.2198289999999</v>
      </c>
      <c r="L7200" s="282">
        <f>++Tabla4[[#This Row],[Precio Unitario Neto]]-Tabla4[[#This Row],[20.85%]]</f>
        <v>4928.2541709999996</v>
      </c>
      <c r="M7200" s="282" t="e">
        <f>(INDEX(Tabla6[#All],MATCH(Tabla4[[#This Row],[Producto]],Tabla6[[#All],[PRODUCTO]],0),MATCH(Tabla4[[#This Row],[Mes]],Tabla6[#Headers],0)))*(1+Catalogos!$L$2)</f>
        <v>#N/A</v>
      </c>
      <c r="N7200" s="283" t="e">
        <f>+(Tabla4[[#This Row],[Precio Descontado]]-Tabla4[[#This Row],[Precio Base]])*Tabla4[[#This Row],[Cantidad]]</f>
        <v>#N/A</v>
      </c>
      <c r="O7200" s="284" t="e">
        <f>++Tabla4[[#This Row],[Utilidad Total]]/Tabla4[[#This Row],[Total]]</f>
        <v>#N/A</v>
      </c>
      <c r="P7200" s="282">
        <f>++Tabla4[[#This Row],[Precio Descontado]]*Tabla4[[#This Row],[Cantidad]]</f>
        <v>44354.287538999997</v>
      </c>
      <c r="Q7200" s="282" t="e">
        <f>(INDEX(Tabla6[#All],MATCH(Tabla4[[#This Row],[Producto]],Tabla6[[#All],[PRODUCTO]],0),MATCH(Tabla4[[#This Row],[Mes]],Tabla6[#Headers],0)))</f>
        <v>#N/A</v>
      </c>
      <c r="R7200" s="282" t="e">
        <f>++Tabla4[[#This Row],[Precio Unitario Neto]]-Tabla4[[#This Row],[20.85%]]-Tabla4[[#This Row],[Costo]]</f>
        <v>#N/A</v>
      </c>
      <c r="S7200" s="282" t="e">
        <f>++Tabla4[[#This Row],[U. Bruta Uni]]*Tabla4[[#This Row],[Cantidad]]</f>
        <v>#N/A</v>
      </c>
      <c r="T7200" s="369" t="str">
        <f>VLOOKUP(Tabla4[[#This Row],[Producto]],Tabla6[#All],14,FALSE)</f>
        <v>Termico Solar</v>
      </c>
      <c r="U7200" s="284" t="e">
        <f>(IF(Tabla4[[#This Row],[Familia]]="termico solar",Tabla4[[#This Row],[Utilidad Total]]*6%,Tabla4[[#This Row],[Utilidad Total]]*11.5%))/Tabla4[[#This Row],[Total]]</f>
        <v>#N/A</v>
      </c>
      <c r="V7200" s="282" t="e">
        <f>+Tabla4[[#This Row],[Comisión Calculada]]*Tabla4[[#This Row],[Total]]</f>
        <v>#N/A</v>
      </c>
    </row>
    <row r="7201" spans="1:22" hidden="1" x14ac:dyDescent="0.25">
      <c r="A7201" s="100">
        <v>45991</v>
      </c>
      <c r="B7201" t="str">
        <f>TEXT(A7201, "mmmm")</f>
        <v>November</v>
      </c>
      <c r="C7201" s="46" t="s">
        <v>280</v>
      </c>
      <c r="F7201" s="366" t="s">
        <v>3622</v>
      </c>
      <c r="G7201" s="46" t="s">
        <v>18</v>
      </c>
      <c r="H7201" s="46">
        <v>3</v>
      </c>
      <c r="I7201" s="51">
        <v>5367.6500000000005</v>
      </c>
      <c r="J7201" s="281">
        <f>++Tabla4[[#This Row],[Precio Bruto]]*1.16</f>
        <v>6226.4740000000002</v>
      </c>
      <c r="K7201" s="281">
        <f>+Tabla4[[#This Row],[Precio Unitario Neto]]*Tabla4[[#Headers],[20.85%]]</f>
        <v>1298.2198289999999</v>
      </c>
      <c r="L7201" s="282">
        <f>++Tabla4[[#This Row],[Precio Unitario Neto]]-Tabla4[[#This Row],[20.85%]]</f>
        <v>4928.2541710000005</v>
      </c>
      <c r="M7201" s="282" t="e">
        <f>(INDEX(Tabla6[#All],MATCH(Tabla4[[#This Row],[Producto]],Tabla6[[#All],[PRODUCTO]],0),MATCH(Tabla4[[#This Row],[Mes]],Tabla6[#Headers],0)))*(1+Catalogos!$L$2)</f>
        <v>#N/A</v>
      </c>
      <c r="N7201" s="283" t="e">
        <f>+(Tabla4[[#This Row],[Precio Descontado]]-Tabla4[[#This Row],[Precio Base]])*Tabla4[[#This Row],[Cantidad]]</f>
        <v>#N/A</v>
      </c>
      <c r="O7201" s="284" t="e">
        <f>++Tabla4[[#This Row],[Utilidad Total]]/Tabla4[[#This Row],[Total]]</f>
        <v>#N/A</v>
      </c>
      <c r="P7201" s="282">
        <f>++Tabla4[[#This Row],[Precio Descontado]]*Tabla4[[#This Row],[Cantidad]]</f>
        <v>14784.762513000001</v>
      </c>
      <c r="Q7201" s="282" t="e">
        <f>(INDEX(Tabla6[#All],MATCH(Tabla4[[#This Row],[Producto]],Tabla6[[#All],[PRODUCTO]],0),MATCH(Tabla4[[#This Row],[Mes]],Tabla6[#Headers],0)))</f>
        <v>#N/A</v>
      </c>
      <c r="R7201" s="282" t="e">
        <f>++Tabla4[[#This Row],[Precio Unitario Neto]]-Tabla4[[#This Row],[20.85%]]-Tabla4[[#This Row],[Costo]]</f>
        <v>#N/A</v>
      </c>
      <c r="S7201" s="282" t="e">
        <f>++Tabla4[[#This Row],[U. Bruta Uni]]*Tabla4[[#This Row],[Cantidad]]</f>
        <v>#N/A</v>
      </c>
      <c r="T7201" s="369" t="str">
        <f>VLOOKUP(Tabla4[[#This Row],[Producto]],Tabla6[#All],14,FALSE)</f>
        <v>Termico Solar</v>
      </c>
      <c r="U7201" s="284" t="e">
        <f>(IF(Tabla4[[#This Row],[Familia]]="termico solar",Tabla4[[#This Row],[Utilidad Total]]*6%,Tabla4[[#This Row],[Utilidad Total]]*11.5%))/Tabla4[[#This Row],[Total]]</f>
        <v>#N/A</v>
      </c>
      <c r="V7201" s="282" t="e">
        <f>+Tabla4[[#This Row],[Comisión Calculada]]*Tabla4[[#This Row],[Total]]</f>
        <v>#N/A</v>
      </c>
    </row>
    <row r="7202" spans="1:22" hidden="1" x14ac:dyDescent="0.25">
      <c r="A7202" s="100">
        <v>45991</v>
      </c>
      <c r="B7202" t="str">
        <f t="shared" ref="B7202:B7203" si="587">TEXT(A7202, "mmmm")</f>
        <v>November</v>
      </c>
      <c r="C7202" s="46" t="s">
        <v>280</v>
      </c>
      <c r="F7202" s="366" t="s">
        <v>3623</v>
      </c>
      <c r="G7202" s="46" t="s">
        <v>18</v>
      </c>
      <c r="H7202" s="46">
        <v>1</v>
      </c>
      <c r="I7202" s="51">
        <v>5367.65</v>
      </c>
      <c r="J7202" s="281">
        <f>++Tabla4[[#This Row],[Precio Bruto]]*1.16</f>
        <v>6226.4739999999993</v>
      </c>
      <c r="K7202" s="281">
        <f>+Tabla4[[#This Row],[Precio Unitario Neto]]*Tabla4[[#Headers],[20.85%]]</f>
        <v>1298.2198289999999</v>
      </c>
      <c r="L7202" s="282">
        <f>++Tabla4[[#This Row],[Precio Unitario Neto]]-Tabla4[[#This Row],[20.85%]]</f>
        <v>4928.2541709999996</v>
      </c>
      <c r="M7202" s="282" t="e">
        <f>(INDEX(Tabla6[#All],MATCH(Tabla4[[#This Row],[Producto]],Tabla6[[#All],[PRODUCTO]],0),MATCH(Tabla4[[#This Row],[Mes]],Tabla6[#Headers],0)))*(1+Catalogos!$L$2)</f>
        <v>#N/A</v>
      </c>
      <c r="N7202" s="283" t="e">
        <f>+(Tabla4[[#This Row],[Precio Descontado]]-Tabla4[[#This Row],[Precio Base]])*Tabla4[[#This Row],[Cantidad]]</f>
        <v>#N/A</v>
      </c>
      <c r="O7202" s="284" t="e">
        <f>++Tabla4[[#This Row],[Utilidad Total]]/Tabla4[[#This Row],[Total]]</f>
        <v>#N/A</v>
      </c>
      <c r="P7202" s="282">
        <f>++Tabla4[[#This Row],[Precio Descontado]]*Tabla4[[#This Row],[Cantidad]]</f>
        <v>4928.2541709999996</v>
      </c>
      <c r="Q7202" s="282" t="e">
        <f>(INDEX(Tabla6[#All],MATCH(Tabla4[[#This Row],[Producto]],Tabla6[[#All],[PRODUCTO]],0),MATCH(Tabla4[[#This Row],[Mes]],Tabla6[#Headers],0)))</f>
        <v>#N/A</v>
      </c>
      <c r="R7202" s="282" t="e">
        <f>++Tabla4[[#This Row],[Precio Unitario Neto]]-Tabla4[[#This Row],[20.85%]]-Tabla4[[#This Row],[Costo]]</f>
        <v>#N/A</v>
      </c>
      <c r="S7202" s="282" t="e">
        <f>++Tabla4[[#This Row],[U. Bruta Uni]]*Tabla4[[#This Row],[Cantidad]]</f>
        <v>#N/A</v>
      </c>
      <c r="T7202" s="369" t="str">
        <f>VLOOKUP(Tabla4[[#This Row],[Producto]],Tabla6[#All],14,FALSE)</f>
        <v>Termico Solar</v>
      </c>
      <c r="U7202" s="284" t="e">
        <f>(IF(Tabla4[[#This Row],[Familia]]="termico solar",Tabla4[[#This Row],[Utilidad Total]]*6%,Tabla4[[#This Row],[Utilidad Total]]*11.5%))/Tabla4[[#This Row],[Total]]</f>
        <v>#N/A</v>
      </c>
      <c r="V7202" s="282" t="e">
        <f>+Tabla4[[#This Row],[Comisión Calculada]]*Tabla4[[#This Row],[Total]]</f>
        <v>#N/A</v>
      </c>
    </row>
    <row r="7203" spans="1:22" hidden="1" x14ac:dyDescent="0.25">
      <c r="A7203" s="100">
        <v>45991</v>
      </c>
      <c r="B7203" t="str">
        <f t="shared" si="587"/>
        <v>November</v>
      </c>
      <c r="C7203" s="46" t="s">
        <v>280</v>
      </c>
      <c r="F7203" s="366" t="s">
        <v>3623</v>
      </c>
      <c r="G7203" s="46" t="s">
        <v>208</v>
      </c>
      <c r="H7203" s="46">
        <v>4</v>
      </c>
      <c r="I7203" s="51">
        <v>189.75</v>
      </c>
      <c r="J7203" s="281">
        <f>++Tabla4[[#This Row],[Precio Bruto]]*1.16</f>
        <v>220.10999999999999</v>
      </c>
      <c r="K7203" s="281">
        <f>+Tabla4[[#This Row],[Precio Unitario Neto]]*Tabla4[[#Headers],[20.85%]]</f>
        <v>45.892934999999994</v>
      </c>
      <c r="L7203" s="282">
        <f>++Tabla4[[#This Row],[Precio Unitario Neto]]-Tabla4[[#This Row],[20.85%]]</f>
        <v>174.21706499999999</v>
      </c>
      <c r="M7203" s="282" t="e">
        <f>(INDEX(Tabla6[#All],MATCH(Tabla4[[#This Row],[Producto]],Tabla6[[#All],[PRODUCTO]],0),MATCH(Tabla4[[#This Row],[Mes]],Tabla6[#Headers],0)))*(1+Catalogos!$L$2)</f>
        <v>#N/A</v>
      </c>
      <c r="N7203" s="283" t="e">
        <f>+(Tabla4[[#This Row],[Precio Descontado]]-Tabla4[[#This Row],[Precio Base]])*Tabla4[[#This Row],[Cantidad]]</f>
        <v>#N/A</v>
      </c>
      <c r="O7203" s="284" t="e">
        <f>++Tabla4[[#This Row],[Utilidad Total]]/Tabla4[[#This Row],[Total]]</f>
        <v>#N/A</v>
      </c>
      <c r="P7203" s="282">
        <f>++Tabla4[[#This Row],[Precio Descontado]]*Tabla4[[#This Row],[Cantidad]]</f>
        <v>696.86825999999996</v>
      </c>
      <c r="Q7203" s="282" t="e">
        <f>(INDEX(Tabla6[#All],MATCH(Tabla4[[#This Row],[Producto]],Tabla6[[#All],[PRODUCTO]],0),MATCH(Tabla4[[#This Row],[Mes]],Tabla6[#Headers],0)))</f>
        <v>#N/A</v>
      </c>
      <c r="R7203" s="282" t="e">
        <f>++Tabla4[[#This Row],[Precio Unitario Neto]]-Tabla4[[#This Row],[20.85%]]-Tabla4[[#This Row],[Costo]]</f>
        <v>#N/A</v>
      </c>
      <c r="S7203" s="282" t="e">
        <f>++Tabla4[[#This Row],[U. Bruta Uni]]*Tabla4[[#This Row],[Cantidad]]</f>
        <v>#N/A</v>
      </c>
      <c r="T7203" s="369" t="str">
        <f>VLOOKUP(Tabla4[[#This Row],[Producto]],Tabla6[#All],14,FALSE)</f>
        <v>Termico Solar</v>
      </c>
      <c r="U7203" s="284" t="e">
        <f>(IF(Tabla4[[#This Row],[Familia]]="termico solar",Tabla4[[#This Row],[Utilidad Total]]*6%,Tabla4[[#This Row],[Utilidad Total]]*11.5%))/Tabla4[[#This Row],[Total]]</f>
        <v>#N/A</v>
      </c>
      <c r="V7203" s="282" t="e">
        <f>+Tabla4[[#This Row],[Comisión Calculada]]*Tabla4[[#This Row],[Total]]</f>
        <v>#N/A</v>
      </c>
    </row>
    <row r="7204" spans="1:22" hidden="1" x14ac:dyDescent="0.25">
      <c r="A7204" s="100">
        <v>45991</v>
      </c>
      <c r="B7204" t="str">
        <f t="shared" ref="B7204:B7206" si="588">TEXT(A7204, "mmmm")</f>
        <v>November</v>
      </c>
      <c r="C7204" s="46" t="s">
        <v>280</v>
      </c>
      <c r="F7204" s="366" t="s">
        <v>3624</v>
      </c>
      <c r="G7204" s="46" t="s">
        <v>17</v>
      </c>
      <c r="H7204" s="46">
        <v>1</v>
      </c>
      <c r="I7204" s="51">
        <v>4622.28</v>
      </c>
      <c r="J7204" s="281">
        <f>++Tabla4[[#This Row],[Precio Bruto]]*1.16</f>
        <v>5361.8447999999989</v>
      </c>
      <c r="K7204" s="281">
        <f>+Tabla4[[#This Row],[Precio Unitario Neto]]*Tabla4[[#Headers],[20.85%]]</f>
        <v>1117.9446407999997</v>
      </c>
      <c r="L7204" s="282">
        <f>++Tabla4[[#This Row],[Precio Unitario Neto]]-Tabla4[[#This Row],[20.85%]]</f>
        <v>4243.9001591999995</v>
      </c>
      <c r="M7204" s="282" t="e">
        <f>(INDEX(Tabla6[#All],MATCH(Tabla4[[#This Row],[Producto]],Tabla6[[#All],[PRODUCTO]],0),MATCH(Tabla4[[#This Row],[Mes]],Tabla6[#Headers],0)))*(1+Catalogos!$L$2)</f>
        <v>#N/A</v>
      </c>
      <c r="N7204" s="283" t="e">
        <f>+(Tabla4[[#This Row],[Precio Descontado]]-Tabla4[[#This Row],[Precio Base]])*Tabla4[[#This Row],[Cantidad]]</f>
        <v>#N/A</v>
      </c>
      <c r="O7204" s="284" t="e">
        <f>++Tabla4[[#This Row],[Utilidad Total]]/Tabla4[[#This Row],[Total]]</f>
        <v>#N/A</v>
      </c>
      <c r="P7204" s="282">
        <f>++Tabla4[[#This Row],[Precio Descontado]]*Tabla4[[#This Row],[Cantidad]]</f>
        <v>4243.9001591999995</v>
      </c>
      <c r="Q7204" s="282" t="e">
        <f>(INDEX(Tabla6[#All],MATCH(Tabla4[[#This Row],[Producto]],Tabla6[[#All],[PRODUCTO]],0),MATCH(Tabla4[[#This Row],[Mes]],Tabla6[#Headers],0)))</f>
        <v>#N/A</v>
      </c>
      <c r="R7204" s="282" t="e">
        <f>++Tabla4[[#This Row],[Precio Unitario Neto]]-Tabla4[[#This Row],[20.85%]]-Tabla4[[#This Row],[Costo]]</f>
        <v>#N/A</v>
      </c>
      <c r="S7204" s="282" t="e">
        <f>++Tabla4[[#This Row],[U. Bruta Uni]]*Tabla4[[#This Row],[Cantidad]]</f>
        <v>#N/A</v>
      </c>
      <c r="T7204" s="369" t="str">
        <f>VLOOKUP(Tabla4[[#This Row],[Producto]],Tabla6[#All],14,FALSE)</f>
        <v>Termico Solar</v>
      </c>
      <c r="U7204" s="284" t="e">
        <f>(IF(Tabla4[[#This Row],[Familia]]="termico solar",Tabla4[[#This Row],[Utilidad Total]]*6%,Tabla4[[#This Row],[Utilidad Total]]*11.5%))/Tabla4[[#This Row],[Total]]</f>
        <v>#N/A</v>
      </c>
      <c r="V7204" s="282" t="e">
        <f>+Tabla4[[#This Row],[Comisión Calculada]]*Tabla4[[#This Row],[Total]]</f>
        <v>#N/A</v>
      </c>
    </row>
    <row r="7205" spans="1:22" hidden="1" x14ac:dyDescent="0.25">
      <c r="A7205" s="100">
        <v>45991</v>
      </c>
      <c r="B7205" t="str">
        <f t="shared" si="588"/>
        <v>November</v>
      </c>
      <c r="C7205" s="46" t="s">
        <v>280</v>
      </c>
      <c r="F7205" s="366" t="s">
        <v>3624</v>
      </c>
      <c r="G7205" s="46" t="s">
        <v>18</v>
      </c>
      <c r="H7205" s="46">
        <v>1</v>
      </c>
      <c r="I7205" s="51">
        <v>5367.65</v>
      </c>
      <c r="J7205" s="281">
        <f>++Tabla4[[#This Row],[Precio Bruto]]*1.16</f>
        <v>6226.4739999999993</v>
      </c>
      <c r="K7205" s="281">
        <f>+Tabla4[[#This Row],[Precio Unitario Neto]]*Tabla4[[#Headers],[20.85%]]</f>
        <v>1298.2198289999999</v>
      </c>
      <c r="L7205" s="282">
        <f>++Tabla4[[#This Row],[Precio Unitario Neto]]-Tabla4[[#This Row],[20.85%]]</f>
        <v>4928.2541709999996</v>
      </c>
      <c r="M7205" s="282" t="e">
        <f>(INDEX(Tabla6[#All],MATCH(Tabla4[[#This Row],[Producto]],Tabla6[[#All],[PRODUCTO]],0),MATCH(Tabla4[[#This Row],[Mes]],Tabla6[#Headers],0)))*(1+Catalogos!$L$2)</f>
        <v>#N/A</v>
      </c>
      <c r="N7205" s="283" t="e">
        <f>+(Tabla4[[#This Row],[Precio Descontado]]-Tabla4[[#This Row],[Precio Base]])*Tabla4[[#This Row],[Cantidad]]</f>
        <v>#N/A</v>
      </c>
      <c r="O7205" s="284" t="e">
        <f>++Tabla4[[#This Row],[Utilidad Total]]/Tabla4[[#This Row],[Total]]</f>
        <v>#N/A</v>
      </c>
      <c r="P7205" s="282">
        <f>++Tabla4[[#This Row],[Precio Descontado]]*Tabla4[[#This Row],[Cantidad]]</f>
        <v>4928.2541709999996</v>
      </c>
      <c r="Q7205" s="282" t="e">
        <f>(INDEX(Tabla6[#All],MATCH(Tabla4[[#This Row],[Producto]],Tabla6[[#All],[PRODUCTO]],0),MATCH(Tabla4[[#This Row],[Mes]],Tabla6[#Headers],0)))</f>
        <v>#N/A</v>
      </c>
      <c r="R7205" s="282" t="e">
        <f>++Tabla4[[#This Row],[Precio Unitario Neto]]-Tabla4[[#This Row],[20.85%]]-Tabla4[[#This Row],[Costo]]</f>
        <v>#N/A</v>
      </c>
      <c r="S7205" s="282" t="e">
        <f>++Tabla4[[#This Row],[U. Bruta Uni]]*Tabla4[[#This Row],[Cantidad]]</f>
        <v>#N/A</v>
      </c>
      <c r="T7205" s="369" t="str">
        <f>VLOOKUP(Tabla4[[#This Row],[Producto]],Tabla6[#All],14,FALSE)</f>
        <v>Termico Solar</v>
      </c>
      <c r="U7205" s="284" t="e">
        <f>(IF(Tabla4[[#This Row],[Familia]]="termico solar",Tabla4[[#This Row],[Utilidad Total]]*6%,Tabla4[[#This Row],[Utilidad Total]]*11.5%))/Tabla4[[#This Row],[Total]]</f>
        <v>#N/A</v>
      </c>
      <c r="V7205" s="282" t="e">
        <f>+Tabla4[[#This Row],[Comisión Calculada]]*Tabla4[[#This Row],[Total]]</f>
        <v>#N/A</v>
      </c>
    </row>
    <row r="7206" spans="1:22" hidden="1" x14ac:dyDescent="0.25">
      <c r="A7206" s="100">
        <v>45991</v>
      </c>
      <c r="B7206" t="str">
        <f t="shared" si="588"/>
        <v>November</v>
      </c>
      <c r="C7206" s="46" t="s">
        <v>280</v>
      </c>
      <c r="F7206" s="366" t="s">
        <v>3624</v>
      </c>
      <c r="G7206" s="46" t="s">
        <v>16</v>
      </c>
      <c r="H7206" s="46">
        <v>1</v>
      </c>
      <c r="I7206" s="51">
        <v>4103.8500000000004</v>
      </c>
      <c r="J7206" s="281">
        <f>++Tabla4[[#This Row],[Precio Bruto]]*1.16</f>
        <v>4760.4660000000003</v>
      </c>
      <c r="K7206" s="281">
        <f>+Tabla4[[#This Row],[Precio Unitario Neto]]*Tabla4[[#Headers],[20.85%]]</f>
        <v>992.55716100000006</v>
      </c>
      <c r="L7206" s="282">
        <f>++Tabla4[[#This Row],[Precio Unitario Neto]]-Tabla4[[#This Row],[20.85%]]</f>
        <v>3767.9088390000002</v>
      </c>
      <c r="M7206" s="282" t="e">
        <f>(INDEX(Tabla6[#All],MATCH(Tabla4[[#This Row],[Producto]],Tabla6[[#All],[PRODUCTO]],0),MATCH(Tabla4[[#This Row],[Mes]],Tabla6[#Headers],0)))*(1+Catalogos!$L$2)</f>
        <v>#N/A</v>
      </c>
      <c r="N7206" s="283" t="e">
        <f>+(Tabla4[[#This Row],[Precio Descontado]]-Tabla4[[#This Row],[Precio Base]])*Tabla4[[#This Row],[Cantidad]]</f>
        <v>#N/A</v>
      </c>
      <c r="O7206" s="284" t="e">
        <f>++Tabla4[[#This Row],[Utilidad Total]]/Tabla4[[#This Row],[Total]]</f>
        <v>#N/A</v>
      </c>
      <c r="P7206" s="282">
        <f>++Tabla4[[#This Row],[Precio Descontado]]*Tabla4[[#This Row],[Cantidad]]</f>
        <v>3767.9088390000002</v>
      </c>
      <c r="Q7206" s="282" t="e">
        <f>(INDEX(Tabla6[#All],MATCH(Tabla4[[#This Row],[Producto]],Tabla6[[#All],[PRODUCTO]],0),MATCH(Tabla4[[#This Row],[Mes]],Tabla6[#Headers],0)))</f>
        <v>#N/A</v>
      </c>
      <c r="R7206" s="282" t="e">
        <f>++Tabla4[[#This Row],[Precio Unitario Neto]]-Tabla4[[#This Row],[20.85%]]-Tabla4[[#This Row],[Costo]]</f>
        <v>#N/A</v>
      </c>
      <c r="S7206" s="282" t="e">
        <f>++Tabla4[[#This Row],[U. Bruta Uni]]*Tabla4[[#This Row],[Cantidad]]</f>
        <v>#N/A</v>
      </c>
      <c r="T7206" s="369" t="str">
        <f>VLOOKUP(Tabla4[[#This Row],[Producto]],Tabla6[#All],14,FALSE)</f>
        <v>Termico Solar</v>
      </c>
      <c r="U7206" s="284" t="e">
        <f>(IF(Tabla4[[#This Row],[Familia]]="termico solar",Tabla4[[#This Row],[Utilidad Total]]*6%,Tabla4[[#This Row],[Utilidad Total]]*11.5%))/Tabla4[[#This Row],[Total]]</f>
        <v>#N/A</v>
      </c>
      <c r="V7206" s="282" t="e">
        <f>+Tabla4[[#This Row],[Comisión Calculada]]*Tabla4[[#This Row],[Total]]</f>
        <v>#N/A</v>
      </c>
    </row>
    <row r="7207" spans="1:22" hidden="1" x14ac:dyDescent="0.25">
      <c r="A7207" s="100">
        <v>45991</v>
      </c>
      <c r="B7207" t="str">
        <f t="shared" ref="B7207:B7209" si="589">TEXT(A7207, "mmmm")</f>
        <v>November</v>
      </c>
      <c r="C7207" s="46" t="s">
        <v>280</v>
      </c>
      <c r="F7207" s="366" t="s">
        <v>3625</v>
      </c>
      <c r="G7207" s="46" t="s">
        <v>18</v>
      </c>
      <c r="H7207" s="46">
        <v>1</v>
      </c>
      <c r="I7207" s="51">
        <v>5367.65</v>
      </c>
      <c r="J7207" s="281">
        <f>++Tabla4[[#This Row],[Precio Bruto]]*1.16</f>
        <v>6226.4739999999993</v>
      </c>
      <c r="K7207" s="281">
        <f>+Tabla4[[#This Row],[Precio Unitario Neto]]*Tabla4[[#Headers],[20.85%]]</f>
        <v>1298.2198289999999</v>
      </c>
      <c r="L7207" s="282">
        <f>++Tabla4[[#This Row],[Precio Unitario Neto]]-Tabla4[[#This Row],[20.85%]]</f>
        <v>4928.2541709999996</v>
      </c>
      <c r="M7207" s="282" t="e">
        <f>(INDEX(Tabla6[#All],MATCH(Tabla4[[#This Row],[Producto]],Tabla6[[#All],[PRODUCTO]],0),MATCH(Tabla4[[#This Row],[Mes]],Tabla6[#Headers],0)))*(1+Catalogos!$L$2)</f>
        <v>#N/A</v>
      </c>
      <c r="N7207" s="283" t="e">
        <f>+(Tabla4[[#This Row],[Precio Descontado]]-Tabla4[[#This Row],[Precio Base]])*Tabla4[[#This Row],[Cantidad]]</f>
        <v>#N/A</v>
      </c>
      <c r="O7207" s="284" t="e">
        <f>++Tabla4[[#This Row],[Utilidad Total]]/Tabla4[[#This Row],[Total]]</f>
        <v>#N/A</v>
      </c>
      <c r="P7207" s="282">
        <f>++Tabla4[[#This Row],[Precio Descontado]]*Tabla4[[#This Row],[Cantidad]]</f>
        <v>4928.2541709999996</v>
      </c>
      <c r="Q7207" s="282" t="e">
        <f>(INDEX(Tabla6[#All],MATCH(Tabla4[[#This Row],[Producto]],Tabla6[[#All],[PRODUCTO]],0),MATCH(Tabla4[[#This Row],[Mes]],Tabla6[#Headers],0)))</f>
        <v>#N/A</v>
      </c>
      <c r="R7207" s="282" t="e">
        <f>++Tabla4[[#This Row],[Precio Unitario Neto]]-Tabla4[[#This Row],[20.85%]]-Tabla4[[#This Row],[Costo]]</f>
        <v>#N/A</v>
      </c>
      <c r="S7207" s="282" t="e">
        <f>++Tabla4[[#This Row],[U. Bruta Uni]]*Tabla4[[#This Row],[Cantidad]]</f>
        <v>#N/A</v>
      </c>
      <c r="T7207" s="369" t="str">
        <f>VLOOKUP(Tabla4[[#This Row],[Producto]],Tabla6[#All],14,FALSE)</f>
        <v>Termico Solar</v>
      </c>
      <c r="U7207" s="284" t="e">
        <f>(IF(Tabla4[[#This Row],[Familia]]="termico solar",Tabla4[[#This Row],[Utilidad Total]]*6%,Tabla4[[#This Row],[Utilidad Total]]*11.5%))/Tabla4[[#This Row],[Total]]</f>
        <v>#N/A</v>
      </c>
      <c r="V7207" s="282" t="e">
        <f>+Tabla4[[#This Row],[Comisión Calculada]]*Tabla4[[#This Row],[Total]]</f>
        <v>#N/A</v>
      </c>
    </row>
    <row r="7208" spans="1:22" hidden="1" x14ac:dyDescent="0.25">
      <c r="A7208" s="100">
        <v>45991</v>
      </c>
      <c r="B7208" t="str">
        <f t="shared" si="589"/>
        <v>November</v>
      </c>
      <c r="C7208" s="46" t="s">
        <v>280</v>
      </c>
      <c r="F7208" s="366" t="s">
        <v>3625</v>
      </c>
      <c r="G7208" s="46" t="s">
        <v>16</v>
      </c>
      <c r="H7208" s="46">
        <v>1</v>
      </c>
      <c r="I7208" s="51">
        <v>4103.8500000000004</v>
      </c>
      <c r="J7208" s="281">
        <f>++Tabla4[[#This Row],[Precio Bruto]]*1.16</f>
        <v>4760.4660000000003</v>
      </c>
      <c r="K7208" s="281">
        <f>+Tabla4[[#This Row],[Precio Unitario Neto]]*Tabla4[[#Headers],[20.85%]]</f>
        <v>992.55716100000006</v>
      </c>
      <c r="L7208" s="282">
        <f>++Tabla4[[#This Row],[Precio Unitario Neto]]-Tabla4[[#This Row],[20.85%]]</f>
        <v>3767.9088390000002</v>
      </c>
      <c r="M7208" s="282" t="e">
        <f>(INDEX(Tabla6[#All],MATCH(Tabla4[[#This Row],[Producto]],Tabla6[[#All],[PRODUCTO]],0),MATCH(Tabla4[[#This Row],[Mes]],Tabla6[#Headers],0)))*(1+Catalogos!$L$2)</f>
        <v>#N/A</v>
      </c>
      <c r="N7208" s="283" t="e">
        <f>+(Tabla4[[#This Row],[Precio Descontado]]-Tabla4[[#This Row],[Precio Base]])*Tabla4[[#This Row],[Cantidad]]</f>
        <v>#N/A</v>
      </c>
      <c r="O7208" s="284" t="e">
        <f>++Tabla4[[#This Row],[Utilidad Total]]/Tabla4[[#This Row],[Total]]</f>
        <v>#N/A</v>
      </c>
      <c r="P7208" s="282">
        <f>++Tabla4[[#This Row],[Precio Descontado]]*Tabla4[[#This Row],[Cantidad]]</f>
        <v>3767.9088390000002</v>
      </c>
      <c r="Q7208" s="282" t="e">
        <f>(INDEX(Tabla6[#All],MATCH(Tabla4[[#This Row],[Producto]],Tabla6[[#All],[PRODUCTO]],0),MATCH(Tabla4[[#This Row],[Mes]],Tabla6[#Headers],0)))</f>
        <v>#N/A</v>
      </c>
      <c r="R7208" s="282" t="e">
        <f>++Tabla4[[#This Row],[Precio Unitario Neto]]-Tabla4[[#This Row],[20.85%]]-Tabla4[[#This Row],[Costo]]</f>
        <v>#N/A</v>
      </c>
      <c r="S7208" s="282" t="e">
        <f>++Tabla4[[#This Row],[U. Bruta Uni]]*Tabla4[[#This Row],[Cantidad]]</f>
        <v>#N/A</v>
      </c>
      <c r="T7208" s="369" t="str">
        <f>VLOOKUP(Tabla4[[#This Row],[Producto]],Tabla6[#All],14,FALSE)</f>
        <v>Termico Solar</v>
      </c>
      <c r="U7208" s="284" t="e">
        <f>(IF(Tabla4[[#This Row],[Familia]]="termico solar",Tabla4[[#This Row],[Utilidad Total]]*6%,Tabla4[[#This Row],[Utilidad Total]]*11.5%))/Tabla4[[#This Row],[Total]]</f>
        <v>#N/A</v>
      </c>
      <c r="V7208" s="282" t="e">
        <f>+Tabla4[[#This Row],[Comisión Calculada]]*Tabla4[[#This Row],[Total]]</f>
        <v>#N/A</v>
      </c>
    </row>
    <row r="7209" spans="1:22" hidden="1" x14ac:dyDescent="0.25">
      <c r="A7209" s="100">
        <v>45991</v>
      </c>
      <c r="B7209" t="str">
        <f t="shared" si="589"/>
        <v>November</v>
      </c>
      <c r="C7209" s="46" t="s">
        <v>280</v>
      </c>
      <c r="F7209" s="366" t="s">
        <v>3625</v>
      </c>
      <c r="G7209" s="46" t="s">
        <v>208</v>
      </c>
      <c r="H7209" s="46">
        <v>8</v>
      </c>
      <c r="I7209" s="51">
        <v>189.75</v>
      </c>
      <c r="J7209" s="281">
        <f>++Tabla4[[#This Row],[Precio Bruto]]*1.16</f>
        <v>220.10999999999999</v>
      </c>
      <c r="K7209" s="281">
        <f>+Tabla4[[#This Row],[Precio Unitario Neto]]*Tabla4[[#Headers],[20.85%]]</f>
        <v>45.892934999999994</v>
      </c>
      <c r="L7209" s="282">
        <f>++Tabla4[[#This Row],[Precio Unitario Neto]]-Tabla4[[#This Row],[20.85%]]</f>
        <v>174.21706499999999</v>
      </c>
      <c r="M7209" s="282" t="e">
        <f>(INDEX(Tabla6[#All],MATCH(Tabla4[[#This Row],[Producto]],Tabla6[[#All],[PRODUCTO]],0),MATCH(Tabla4[[#This Row],[Mes]],Tabla6[#Headers],0)))*(1+Catalogos!$L$2)</f>
        <v>#N/A</v>
      </c>
      <c r="N7209" s="283" t="e">
        <f>+(Tabla4[[#This Row],[Precio Descontado]]-Tabla4[[#This Row],[Precio Base]])*Tabla4[[#This Row],[Cantidad]]</f>
        <v>#N/A</v>
      </c>
      <c r="O7209" s="284" t="e">
        <f>++Tabla4[[#This Row],[Utilidad Total]]/Tabla4[[#This Row],[Total]]</f>
        <v>#N/A</v>
      </c>
      <c r="P7209" s="282">
        <f>++Tabla4[[#This Row],[Precio Descontado]]*Tabla4[[#This Row],[Cantidad]]</f>
        <v>1393.7365199999999</v>
      </c>
      <c r="Q7209" s="282" t="e">
        <f>(INDEX(Tabla6[#All],MATCH(Tabla4[[#This Row],[Producto]],Tabla6[[#All],[PRODUCTO]],0),MATCH(Tabla4[[#This Row],[Mes]],Tabla6[#Headers],0)))</f>
        <v>#N/A</v>
      </c>
      <c r="R7209" s="282" t="e">
        <f>++Tabla4[[#This Row],[Precio Unitario Neto]]-Tabla4[[#This Row],[20.85%]]-Tabla4[[#This Row],[Costo]]</f>
        <v>#N/A</v>
      </c>
      <c r="S7209" s="282" t="e">
        <f>++Tabla4[[#This Row],[U. Bruta Uni]]*Tabla4[[#This Row],[Cantidad]]</f>
        <v>#N/A</v>
      </c>
      <c r="T7209" s="369" t="str">
        <f>VLOOKUP(Tabla4[[#This Row],[Producto]],Tabla6[#All],14,FALSE)</f>
        <v>Termico Solar</v>
      </c>
      <c r="U7209" s="284" t="e">
        <f>(IF(Tabla4[[#This Row],[Familia]]="termico solar",Tabla4[[#This Row],[Utilidad Total]]*6%,Tabla4[[#This Row],[Utilidad Total]]*11.5%))/Tabla4[[#This Row],[Total]]</f>
        <v>#N/A</v>
      </c>
      <c r="V7209" s="282" t="e">
        <f>+Tabla4[[#This Row],[Comisión Calculada]]*Tabla4[[#This Row],[Total]]</f>
        <v>#N/A</v>
      </c>
    </row>
    <row r="7210" spans="1:22" hidden="1" x14ac:dyDescent="0.25">
      <c r="A7210" s="100">
        <v>45991</v>
      </c>
      <c r="B7210" t="str">
        <f t="shared" ref="B7210:B7214" si="590">TEXT(A7210, "mmmm")</f>
        <v>November</v>
      </c>
      <c r="C7210" s="46" t="s">
        <v>280</v>
      </c>
      <c r="F7210" s="366" t="s">
        <v>3626</v>
      </c>
      <c r="G7210" s="46" t="s">
        <v>83</v>
      </c>
      <c r="H7210" s="46">
        <v>9</v>
      </c>
      <c r="I7210" s="51">
        <v>8858.76</v>
      </c>
      <c r="J7210" s="281">
        <f>++Tabla4[[#This Row],[Precio Bruto]]*1.16</f>
        <v>10276.161599999999</v>
      </c>
      <c r="K7210" s="281">
        <f>+Tabla4[[#This Row],[Precio Unitario Neto]]*Tabla4[[#Headers],[20.85%]]</f>
        <v>2142.5796935999997</v>
      </c>
      <c r="L7210" s="282">
        <f>++Tabla4[[#This Row],[Precio Unitario Neto]]-Tabla4[[#This Row],[20.85%]]</f>
        <v>8133.5819063999998</v>
      </c>
      <c r="M7210" s="282" t="e">
        <f>(INDEX(Tabla6[#All],MATCH(Tabla4[[#This Row],[Producto]],Tabla6[[#All],[PRODUCTO]],0),MATCH(Tabla4[[#This Row],[Mes]],Tabla6[#Headers],0)))*(1+Catalogos!$L$2)</f>
        <v>#N/A</v>
      </c>
      <c r="N7210" s="283" t="e">
        <f>+(Tabla4[[#This Row],[Precio Descontado]]-Tabla4[[#This Row],[Precio Base]])*Tabla4[[#This Row],[Cantidad]]</f>
        <v>#N/A</v>
      </c>
      <c r="O7210" s="284" t="e">
        <f>++Tabla4[[#This Row],[Utilidad Total]]/Tabla4[[#This Row],[Total]]</f>
        <v>#N/A</v>
      </c>
      <c r="P7210" s="282">
        <f>++Tabla4[[#This Row],[Precio Descontado]]*Tabla4[[#This Row],[Cantidad]]</f>
        <v>73202.237157600001</v>
      </c>
      <c r="Q7210" s="282" t="e">
        <f>(INDEX(Tabla6[#All],MATCH(Tabla4[[#This Row],[Producto]],Tabla6[[#All],[PRODUCTO]],0),MATCH(Tabla4[[#This Row],[Mes]],Tabla6[#Headers],0)))</f>
        <v>#N/A</v>
      </c>
      <c r="R7210" s="282" t="e">
        <f>++Tabla4[[#This Row],[Precio Unitario Neto]]-Tabla4[[#This Row],[20.85%]]-Tabla4[[#This Row],[Costo]]</f>
        <v>#N/A</v>
      </c>
      <c r="S7210" s="282" t="e">
        <f>++Tabla4[[#This Row],[U. Bruta Uni]]*Tabla4[[#This Row],[Cantidad]]</f>
        <v>#N/A</v>
      </c>
      <c r="T7210" s="369" t="str">
        <f>VLOOKUP(Tabla4[[#This Row],[Producto]],Tabla6[#All],14,FALSE)</f>
        <v>Termico Solar</v>
      </c>
      <c r="U7210" s="284" t="e">
        <f>(IF(Tabla4[[#This Row],[Familia]]="termico solar",Tabla4[[#This Row],[Utilidad Total]]*6%,Tabla4[[#This Row],[Utilidad Total]]*11.5%))/Tabla4[[#This Row],[Total]]</f>
        <v>#N/A</v>
      </c>
      <c r="V7210" s="282" t="e">
        <f>+Tabla4[[#This Row],[Comisión Calculada]]*Tabla4[[#This Row],[Total]]</f>
        <v>#N/A</v>
      </c>
    </row>
    <row r="7211" spans="1:22" hidden="1" x14ac:dyDescent="0.25">
      <c r="A7211" s="100">
        <v>45991</v>
      </c>
      <c r="B7211" t="str">
        <f t="shared" si="590"/>
        <v>November</v>
      </c>
      <c r="C7211" s="46" t="s">
        <v>280</v>
      </c>
      <c r="F7211" s="366" t="s">
        <v>3626</v>
      </c>
      <c r="G7211" s="46" t="s">
        <v>17</v>
      </c>
      <c r="H7211" s="46">
        <v>1</v>
      </c>
      <c r="I7211" s="51">
        <v>4622.28</v>
      </c>
      <c r="J7211" s="281">
        <f>++Tabla4[[#This Row],[Precio Bruto]]*1.16</f>
        <v>5361.8447999999989</v>
      </c>
      <c r="K7211" s="281">
        <f>+Tabla4[[#This Row],[Precio Unitario Neto]]*Tabla4[[#Headers],[20.85%]]</f>
        <v>1117.9446407999997</v>
      </c>
      <c r="L7211" s="282">
        <f>++Tabla4[[#This Row],[Precio Unitario Neto]]-Tabla4[[#This Row],[20.85%]]</f>
        <v>4243.9001591999995</v>
      </c>
      <c r="M7211" s="282" t="e">
        <f>(INDEX(Tabla6[#All],MATCH(Tabla4[[#This Row],[Producto]],Tabla6[[#All],[PRODUCTO]],0),MATCH(Tabla4[[#This Row],[Mes]],Tabla6[#Headers],0)))*(1+Catalogos!$L$2)</f>
        <v>#N/A</v>
      </c>
      <c r="N7211" s="283" t="e">
        <f>+(Tabla4[[#This Row],[Precio Descontado]]-Tabla4[[#This Row],[Precio Base]])*Tabla4[[#This Row],[Cantidad]]</f>
        <v>#N/A</v>
      </c>
      <c r="O7211" s="284" t="e">
        <f>++Tabla4[[#This Row],[Utilidad Total]]/Tabla4[[#This Row],[Total]]</f>
        <v>#N/A</v>
      </c>
      <c r="P7211" s="282">
        <f>++Tabla4[[#This Row],[Precio Descontado]]*Tabla4[[#This Row],[Cantidad]]</f>
        <v>4243.9001591999995</v>
      </c>
      <c r="Q7211" s="282" t="e">
        <f>(INDEX(Tabla6[#All],MATCH(Tabla4[[#This Row],[Producto]],Tabla6[[#All],[PRODUCTO]],0),MATCH(Tabla4[[#This Row],[Mes]],Tabla6[#Headers],0)))</f>
        <v>#N/A</v>
      </c>
      <c r="R7211" s="282" t="e">
        <f>++Tabla4[[#This Row],[Precio Unitario Neto]]-Tabla4[[#This Row],[20.85%]]-Tabla4[[#This Row],[Costo]]</f>
        <v>#N/A</v>
      </c>
      <c r="S7211" s="282" t="e">
        <f>++Tabla4[[#This Row],[U. Bruta Uni]]*Tabla4[[#This Row],[Cantidad]]</f>
        <v>#N/A</v>
      </c>
      <c r="T7211" s="369" t="str">
        <f>VLOOKUP(Tabla4[[#This Row],[Producto]],Tabla6[#All],14,FALSE)</f>
        <v>Termico Solar</v>
      </c>
      <c r="U7211" s="284" t="e">
        <f>(IF(Tabla4[[#This Row],[Familia]]="termico solar",Tabla4[[#This Row],[Utilidad Total]]*6%,Tabla4[[#This Row],[Utilidad Total]]*11.5%))/Tabla4[[#This Row],[Total]]</f>
        <v>#N/A</v>
      </c>
      <c r="V7211" s="282" t="e">
        <f>+Tabla4[[#This Row],[Comisión Calculada]]*Tabla4[[#This Row],[Total]]</f>
        <v>#N/A</v>
      </c>
    </row>
    <row r="7212" spans="1:22" hidden="1" x14ac:dyDescent="0.25">
      <c r="A7212" s="100">
        <v>45991</v>
      </c>
      <c r="B7212" t="str">
        <f t="shared" si="590"/>
        <v>November</v>
      </c>
      <c r="C7212" s="46" t="s">
        <v>280</v>
      </c>
      <c r="F7212" s="366" t="s">
        <v>3626</v>
      </c>
      <c r="G7212" s="46" t="s">
        <v>18</v>
      </c>
      <c r="H7212" s="46">
        <v>2</v>
      </c>
      <c r="I7212" s="51">
        <v>5367.65</v>
      </c>
      <c r="J7212" s="281">
        <f>++Tabla4[[#This Row],[Precio Bruto]]*1.16</f>
        <v>6226.4739999999993</v>
      </c>
      <c r="K7212" s="281">
        <f>+Tabla4[[#This Row],[Precio Unitario Neto]]*Tabla4[[#Headers],[20.85%]]</f>
        <v>1298.2198289999999</v>
      </c>
      <c r="L7212" s="282">
        <f>++Tabla4[[#This Row],[Precio Unitario Neto]]-Tabla4[[#This Row],[20.85%]]</f>
        <v>4928.2541709999996</v>
      </c>
      <c r="M7212" s="282" t="e">
        <f>(INDEX(Tabla6[#All],MATCH(Tabla4[[#This Row],[Producto]],Tabla6[[#All],[PRODUCTO]],0),MATCH(Tabla4[[#This Row],[Mes]],Tabla6[#Headers],0)))*(1+Catalogos!$L$2)</f>
        <v>#N/A</v>
      </c>
      <c r="N7212" s="283" t="e">
        <f>+(Tabla4[[#This Row],[Precio Descontado]]-Tabla4[[#This Row],[Precio Base]])*Tabla4[[#This Row],[Cantidad]]</f>
        <v>#N/A</v>
      </c>
      <c r="O7212" s="284" t="e">
        <f>++Tabla4[[#This Row],[Utilidad Total]]/Tabla4[[#This Row],[Total]]</f>
        <v>#N/A</v>
      </c>
      <c r="P7212" s="282">
        <f>++Tabla4[[#This Row],[Precio Descontado]]*Tabla4[[#This Row],[Cantidad]]</f>
        <v>9856.5083419999992</v>
      </c>
      <c r="Q7212" s="282" t="e">
        <f>(INDEX(Tabla6[#All],MATCH(Tabla4[[#This Row],[Producto]],Tabla6[[#All],[PRODUCTO]],0),MATCH(Tabla4[[#This Row],[Mes]],Tabla6[#Headers],0)))</f>
        <v>#N/A</v>
      </c>
      <c r="R7212" s="282" t="e">
        <f>++Tabla4[[#This Row],[Precio Unitario Neto]]-Tabla4[[#This Row],[20.85%]]-Tabla4[[#This Row],[Costo]]</f>
        <v>#N/A</v>
      </c>
      <c r="S7212" s="282" t="e">
        <f>++Tabla4[[#This Row],[U. Bruta Uni]]*Tabla4[[#This Row],[Cantidad]]</f>
        <v>#N/A</v>
      </c>
      <c r="T7212" s="369" t="str">
        <f>VLOOKUP(Tabla4[[#This Row],[Producto]],Tabla6[#All],14,FALSE)</f>
        <v>Termico Solar</v>
      </c>
      <c r="U7212" s="284" t="e">
        <f>(IF(Tabla4[[#This Row],[Familia]]="termico solar",Tabla4[[#This Row],[Utilidad Total]]*6%,Tabla4[[#This Row],[Utilidad Total]]*11.5%))/Tabla4[[#This Row],[Total]]</f>
        <v>#N/A</v>
      </c>
      <c r="V7212" s="282" t="e">
        <f>+Tabla4[[#This Row],[Comisión Calculada]]*Tabla4[[#This Row],[Total]]</f>
        <v>#N/A</v>
      </c>
    </row>
    <row r="7213" spans="1:22" hidden="1" x14ac:dyDescent="0.25">
      <c r="A7213" s="100">
        <v>45991</v>
      </c>
      <c r="B7213" t="str">
        <f t="shared" si="590"/>
        <v>November</v>
      </c>
      <c r="C7213" s="46" t="s">
        <v>280</v>
      </c>
      <c r="F7213" s="366" t="s">
        <v>3626</v>
      </c>
      <c r="G7213" s="46" t="s">
        <v>16</v>
      </c>
      <c r="H7213" s="46">
        <v>1</v>
      </c>
      <c r="I7213" s="51">
        <v>4103.8500000000004</v>
      </c>
      <c r="J7213" s="281">
        <f>++Tabla4[[#This Row],[Precio Bruto]]*1.16</f>
        <v>4760.4660000000003</v>
      </c>
      <c r="K7213" s="281">
        <f>+Tabla4[[#This Row],[Precio Unitario Neto]]*Tabla4[[#Headers],[20.85%]]</f>
        <v>992.55716100000006</v>
      </c>
      <c r="L7213" s="282">
        <f>++Tabla4[[#This Row],[Precio Unitario Neto]]-Tabla4[[#This Row],[20.85%]]</f>
        <v>3767.9088390000002</v>
      </c>
      <c r="M7213" s="282" t="e">
        <f>(INDEX(Tabla6[#All],MATCH(Tabla4[[#This Row],[Producto]],Tabla6[[#All],[PRODUCTO]],0),MATCH(Tabla4[[#This Row],[Mes]],Tabla6[#Headers],0)))*(1+Catalogos!$L$2)</f>
        <v>#N/A</v>
      </c>
      <c r="N7213" s="283" t="e">
        <f>+(Tabla4[[#This Row],[Precio Descontado]]-Tabla4[[#This Row],[Precio Base]])*Tabla4[[#This Row],[Cantidad]]</f>
        <v>#N/A</v>
      </c>
      <c r="O7213" s="284" t="e">
        <f>++Tabla4[[#This Row],[Utilidad Total]]/Tabla4[[#This Row],[Total]]</f>
        <v>#N/A</v>
      </c>
      <c r="P7213" s="282">
        <f>++Tabla4[[#This Row],[Precio Descontado]]*Tabla4[[#This Row],[Cantidad]]</f>
        <v>3767.9088390000002</v>
      </c>
      <c r="Q7213" s="282" t="e">
        <f>(INDEX(Tabla6[#All],MATCH(Tabla4[[#This Row],[Producto]],Tabla6[[#All],[PRODUCTO]],0),MATCH(Tabla4[[#This Row],[Mes]],Tabla6[#Headers],0)))</f>
        <v>#N/A</v>
      </c>
      <c r="R7213" s="282" t="e">
        <f>++Tabla4[[#This Row],[Precio Unitario Neto]]-Tabla4[[#This Row],[20.85%]]-Tabla4[[#This Row],[Costo]]</f>
        <v>#N/A</v>
      </c>
      <c r="S7213" s="282" t="e">
        <f>++Tabla4[[#This Row],[U. Bruta Uni]]*Tabla4[[#This Row],[Cantidad]]</f>
        <v>#N/A</v>
      </c>
      <c r="T7213" s="369" t="str">
        <f>VLOOKUP(Tabla4[[#This Row],[Producto]],Tabla6[#All],14,FALSE)</f>
        <v>Termico Solar</v>
      </c>
      <c r="U7213" s="284" t="e">
        <f>(IF(Tabla4[[#This Row],[Familia]]="termico solar",Tabla4[[#This Row],[Utilidad Total]]*6%,Tabla4[[#This Row],[Utilidad Total]]*11.5%))/Tabla4[[#This Row],[Total]]</f>
        <v>#N/A</v>
      </c>
      <c r="V7213" s="282" t="e">
        <f>+Tabla4[[#This Row],[Comisión Calculada]]*Tabla4[[#This Row],[Total]]</f>
        <v>#N/A</v>
      </c>
    </row>
    <row r="7214" spans="1:22" hidden="1" x14ac:dyDescent="0.25">
      <c r="A7214" s="100">
        <v>45991</v>
      </c>
      <c r="B7214" t="str">
        <f t="shared" si="590"/>
        <v>November</v>
      </c>
      <c r="C7214" s="46" t="s">
        <v>280</v>
      </c>
      <c r="F7214" s="366" t="s">
        <v>3626</v>
      </c>
      <c r="G7214" s="46" t="s">
        <v>208</v>
      </c>
      <c r="H7214" s="46">
        <v>9</v>
      </c>
      <c r="I7214" s="51">
        <v>189.75</v>
      </c>
      <c r="J7214" s="281">
        <f>++Tabla4[[#This Row],[Precio Bruto]]*1.16</f>
        <v>220.10999999999999</v>
      </c>
      <c r="K7214" s="281">
        <f>+Tabla4[[#This Row],[Precio Unitario Neto]]*Tabla4[[#Headers],[20.85%]]</f>
        <v>45.892934999999994</v>
      </c>
      <c r="L7214" s="282">
        <f>++Tabla4[[#This Row],[Precio Unitario Neto]]-Tabla4[[#This Row],[20.85%]]</f>
        <v>174.21706499999999</v>
      </c>
      <c r="M7214" s="282" t="e">
        <f>(INDEX(Tabla6[#All],MATCH(Tabla4[[#This Row],[Producto]],Tabla6[[#All],[PRODUCTO]],0),MATCH(Tabla4[[#This Row],[Mes]],Tabla6[#Headers],0)))*(1+Catalogos!$L$2)</f>
        <v>#N/A</v>
      </c>
      <c r="N7214" s="283" t="e">
        <f>+(Tabla4[[#This Row],[Precio Descontado]]-Tabla4[[#This Row],[Precio Base]])*Tabla4[[#This Row],[Cantidad]]</f>
        <v>#N/A</v>
      </c>
      <c r="O7214" s="284" t="e">
        <f>++Tabla4[[#This Row],[Utilidad Total]]/Tabla4[[#This Row],[Total]]</f>
        <v>#N/A</v>
      </c>
      <c r="P7214" s="282">
        <f>++Tabla4[[#This Row],[Precio Descontado]]*Tabla4[[#This Row],[Cantidad]]</f>
        <v>1567.953585</v>
      </c>
      <c r="Q7214" s="282" t="e">
        <f>(INDEX(Tabla6[#All],MATCH(Tabla4[[#This Row],[Producto]],Tabla6[[#All],[PRODUCTO]],0),MATCH(Tabla4[[#This Row],[Mes]],Tabla6[#Headers],0)))</f>
        <v>#N/A</v>
      </c>
      <c r="R7214" s="282" t="e">
        <f>++Tabla4[[#This Row],[Precio Unitario Neto]]-Tabla4[[#This Row],[20.85%]]-Tabla4[[#This Row],[Costo]]</f>
        <v>#N/A</v>
      </c>
      <c r="S7214" s="282" t="e">
        <f>++Tabla4[[#This Row],[U. Bruta Uni]]*Tabla4[[#This Row],[Cantidad]]</f>
        <v>#N/A</v>
      </c>
      <c r="T7214" s="369" t="str">
        <f>VLOOKUP(Tabla4[[#This Row],[Producto]],Tabla6[#All],14,FALSE)</f>
        <v>Termico Solar</v>
      </c>
      <c r="U7214" s="284" t="e">
        <f>(IF(Tabla4[[#This Row],[Familia]]="termico solar",Tabla4[[#This Row],[Utilidad Total]]*6%,Tabla4[[#This Row],[Utilidad Total]]*11.5%))/Tabla4[[#This Row],[Total]]</f>
        <v>#N/A</v>
      </c>
      <c r="V7214" s="282" t="e">
        <f>+Tabla4[[#This Row],[Comisión Calculada]]*Tabla4[[#This Row],[Total]]</f>
        <v>#N/A</v>
      </c>
    </row>
    <row r="7215" spans="1:22" hidden="1" x14ac:dyDescent="0.25">
      <c r="A7215" s="100">
        <v>45991</v>
      </c>
      <c r="B7215" t="str">
        <f t="shared" ref="B7215:B7216" si="591">TEXT(A7215, "mmmm")</f>
        <v>November</v>
      </c>
      <c r="C7215" s="46" t="s">
        <v>280</v>
      </c>
      <c r="F7215" s="366" t="s">
        <v>3627</v>
      </c>
      <c r="G7215" s="46" t="s">
        <v>17</v>
      </c>
      <c r="H7215" s="46">
        <v>4</v>
      </c>
      <c r="I7215" s="51">
        <v>4622.28</v>
      </c>
      <c r="J7215" s="281">
        <f>++Tabla4[[#This Row],[Precio Bruto]]*1.16</f>
        <v>5361.8447999999989</v>
      </c>
      <c r="K7215" s="281">
        <f>+Tabla4[[#This Row],[Precio Unitario Neto]]*Tabla4[[#Headers],[20.85%]]</f>
        <v>1117.9446407999997</v>
      </c>
      <c r="L7215" s="282">
        <f>++Tabla4[[#This Row],[Precio Unitario Neto]]-Tabla4[[#This Row],[20.85%]]</f>
        <v>4243.9001591999995</v>
      </c>
      <c r="M7215" s="282" t="e">
        <f>(INDEX(Tabla6[#All],MATCH(Tabla4[[#This Row],[Producto]],Tabla6[[#All],[PRODUCTO]],0),MATCH(Tabla4[[#This Row],[Mes]],Tabla6[#Headers],0)))*(1+Catalogos!$L$2)</f>
        <v>#N/A</v>
      </c>
      <c r="N7215" s="283" t="e">
        <f>+(Tabla4[[#This Row],[Precio Descontado]]-Tabla4[[#This Row],[Precio Base]])*Tabla4[[#This Row],[Cantidad]]</f>
        <v>#N/A</v>
      </c>
      <c r="O7215" s="284" t="e">
        <f>++Tabla4[[#This Row],[Utilidad Total]]/Tabla4[[#This Row],[Total]]</f>
        <v>#N/A</v>
      </c>
      <c r="P7215" s="282">
        <f>++Tabla4[[#This Row],[Precio Descontado]]*Tabla4[[#This Row],[Cantidad]]</f>
        <v>16975.600636799998</v>
      </c>
      <c r="Q7215" s="282" t="e">
        <f>(INDEX(Tabla6[#All],MATCH(Tabla4[[#This Row],[Producto]],Tabla6[[#All],[PRODUCTO]],0),MATCH(Tabla4[[#This Row],[Mes]],Tabla6[#Headers],0)))</f>
        <v>#N/A</v>
      </c>
      <c r="R7215" s="282" t="e">
        <f>++Tabla4[[#This Row],[Precio Unitario Neto]]-Tabla4[[#This Row],[20.85%]]-Tabla4[[#This Row],[Costo]]</f>
        <v>#N/A</v>
      </c>
      <c r="S7215" s="282" t="e">
        <f>++Tabla4[[#This Row],[U. Bruta Uni]]*Tabla4[[#This Row],[Cantidad]]</f>
        <v>#N/A</v>
      </c>
      <c r="T7215" s="369" t="str">
        <f>VLOOKUP(Tabla4[[#This Row],[Producto]],Tabla6[#All],14,FALSE)</f>
        <v>Termico Solar</v>
      </c>
      <c r="U7215" s="284" t="e">
        <f>(IF(Tabla4[[#This Row],[Familia]]="termico solar",Tabla4[[#This Row],[Utilidad Total]]*6%,Tabla4[[#This Row],[Utilidad Total]]*11.5%))/Tabla4[[#This Row],[Total]]</f>
        <v>#N/A</v>
      </c>
      <c r="V7215" s="282" t="e">
        <f>+Tabla4[[#This Row],[Comisión Calculada]]*Tabla4[[#This Row],[Total]]</f>
        <v>#N/A</v>
      </c>
    </row>
    <row r="7216" spans="1:22" hidden="1" x14ac:dyDescent="0.25">
      <c r="A7216" s="100">
        <v>45991</v>
      </c>
      <c r="B7216" t="str">
        <f t="shared" si="591"/>
        <v>November</v>
      </c>
      <c r="C7216" s="46" t="s">
        <v>280</v>
      </c>
      <c r="F7216" s="366" t="s">
        <v>3627</v>
      </c>
      <c r="G7216" s="46" t="s">
        <v>208</v>
      </c>
      <c r="H7216" s="46">
        <v>8</v>
      </c>
      <c r="I7216" s="51">
        <v>189.75</v>
      </c>
      <c r="J7216" s="281">
        <f>++Tabla4[[#This Row],[Precio Bruto]]*1.16</f>
        <v>220.10999999999999</v>
      </c>
      <c r="K7216" s="281">
        <f>+Tabla4[[#This Row],[Precio Unitario Neto]]*Tabla4[[#Headers],[20.85%]]</f>
        <v>45.892934999999994</v>
      </c>
      <c r="L7216" s="282">
        <f>++Tabla4[[#This Row],[Precio Unitario Neto]]-Tabla4[[#This Row],[20.85%]]</f>
        <v>174.21706499999999</v>
      </c>
      <c r="M7216" s="282" t="e">
        <f>(INDEX(Tabla6[#All],MATCH(Tabla4[[#This Row],[Producto]],Tabla6[[#All],[PRODUCTO]],0),MATCH(Tabla4[[#This Row],[Mes]],Tabla6[#Headers],0)))*(1+Catalogos!$L$2)</f>
        <v>#N/A</v>
      </c>
      <c r="N7216" s="283" t="e">
        <f>+(Tabla4[[#This Row],[Precio Descontado]]-Tabla4[[#This Row],[Precio Base]])*Tabla4[[#This Row],[Cantidad]]</f>
        <v>#N/A</v>
      </c>
      <c r="O7216" s="284" t="e">
        <f>++Tabla4[[#This Row],[Utilidad Total]]/Tabla4[[#This Row],[Total]]</f>
        <v>#N/A</v>
      </c>
      <c r="P7216" s="282">
        <f>++Tabla4[[#This Row],[Precio Descontado]]*Tabla4[[#This Row],[Cantidad]]</f>
        <v>1393.7365199999999</v>
      </c>
      <c r="Q7216" s="282" t="e">
        <f>(INDEX(Tabla6[#All],MATCH(Tabla4[[#This Row],[Producto]],Tabla6[[#All],[PRODUCTO]],0),MATCH(Tabla4[[#This Row],[Mes]],Tabla6[#Headers],0)))</f>
        <v>#N/A</v>
      </c>
      <c r="R7216" s="282" t="e">
        <f>++Tabla4[[#This Row],[Precio Unitario Neto]]-Tabla4[[#This Row],[20.85%]]-Tabla4[[#This Row],[Costo]]</f>
        <v>#N/A</v>
      </c>
      <c r="S7216" s="282" t="e">
        <f>++Tabla4[[#This Row],[U. Bruta Uni]]*Tabla4[[#This Row],[Cantidad]]</f>
        <v>#N/A</v>
      </c>
      <c r="T7216" s="369" t="str">
        <f>VLOOKUP(Tabla4[[#This Row],[Producto]],Tabla6[#All],14,FALSE)</f>
        <v>Termico Solar</v>
      </c>
      <c r="U7216" s="284" t="e">
        <f>(IF(Tabla4[[#This Row],[Familia]]="termico solar",Tabla4[[#This Row],[Utilidad Total]]*6%,Tabla4[[#This Row],[Utilidad Total]]*11.5%))/Tabla4[[#This Row],[Total]]</f>
        <v>#N/A</v>
      </c>
      <c r="V7216" s="282" t="e">
        <f>+Tabla4[[#This Row],[Comisión Calculada]]*Tabla4[[#This Row],[Total]]</f>
        <v>#N/A</v>
      </c>
    </row>
    <row r="7217" spans="1:22" hidden="1" x14ac:dyDescent="0.25">
      <c r="A7217" s="100">
        <v>45991</v>
      </c>
      <c r="B7217" t="str">
        <f t="shared" ref="B7217:B7219" si="592">TEXT(A7217, "mmmm")</f>
        <v>November</v>
      </c>
      <c r="C7217" s="46" t="s">
        <v>280</v>
      </c>
      <c r="F7217" s="366" t="s">
        <v>3628</v>
      </c>
      <c r="G7217" s="46" t="s">
        <v>17</v>
      </c>
      <c r="H7217" s="46">
        <v>10</v>
      </c>
      <c r="I7217" s="51">
        <v>4622.2800000000007</v>
      </c>
      <c r="J7217" s="281">
        <f>++Tabla4[[#This Row],[Precio Bruto]]*1.16</f>
        <v>5361.8448000000008</v>
      </c>
      <c r="K7217" s="281">
        <f>+Tabla4[[#This Row],[Precio Unitario Neto]]*Tabla4[[#Headers],[20.85%]]</f>
        <v>1117.9446408000001</v>
      </c>
      <c r="L7217" s="282">
        <f>++Tabla4[[#This Row],[Precio Unitario Neto]]-Tabla4[[#This Row],[20.85%]]</f>
        <v>4243.9001592000004</v>
      </c>
      <c r="M7217" s="282" t="e">
        <f>(INDEX(Tabla6[#All],MATCH(Tabla4[[#This Row],[Producto]],Tabla6[[#All],[PRODUCTO]],0),MATCH(Tabla4[[#This Row],[Mes]],Tabla6[#Headers],0)))*(1+Catalogos!$L$2)</f>
        <v>#N/A</v>
      </c>
      <c r="N7217" s="283" t="e">
        <f>+(Tabla4[[#This Row],[Precio Descontado]]-Tabla4[[#This Row],[Precio Base]])*Tabla4[[#This Row],[Cantidad]]</f>
        <v>#N/A</v>
      </c>
      <c r="O7217" s="284" t="e">
        <f>++Tabla4[[#This Row],[Utilidad Total]]/Tabla4[[#This Row],[Total]]</f>
        <v>#N/A</v>
      </c>
      <c r="P7217" s="282">
        <f>++Tabla4[[#This Row],[Precio Descontado]]*Tabla4[[#This Row],[Cantidad]]</f>
        <v>42439.001592000001</v>
      </c>
      <c r="Q7217" s="282" t="e">
        <f>(INDEX(Tabla6[#All],MATCH(Tabla4[[#This Row],[Producto]],Tabla6[[#All],[PRODUCTO]],0),MATCH(Tabla4[[#This Row],[Mes]],Tabla6[#Headers],0)))</f>
        <v>#N/A</v>
      </c>
      <c r="R7217" s="282" t="e">
        <f>++Tabla4[[#This Row],[Precio Unitario Neto]]-Tabla4[[#This Row],[20.85%]]-Tabla4[[#This Row],[Costo]]</f>
        <v>#N/A</v>
      </c>
      <c r="S7217" s="282" t="e">
        <f>++Tabla4[[#This Row],[U. Bruta Uni]]*Tabla4[[#This Row],[Cantidad]]</f>
        <v>#N/A</v>
      </c>
      <c r="T7217" s="369" t="str">
        <f>VLOOKUP(Tabla4[[#This Row],[Producto]],Tabla6[#All],14,FALSE)</f>
        <v>Termico Solar</v>
      </c>
      <c r="U7217" s="284" t="e">
        <f>(IF(Tabla4[[#This Row],[Familia]]="termico solar",Tabla4[[#This Row],[Utilidad Total]]*6%,Tabla4[[#This Row],[Utilidad Total]]*11.5%))/Tabla4[[#This Row],[Total]]</f>
        <v>#N/A</v>
      </c>
      <c r="V7217" s="282" t="e">
        <f>+Tabla4[[#This Row],[Comisión Calculada]]*Tabla4[[#This Row],[Total]]</f>
        <v>#N/A</v>
      </c>
    </row>
    <row r="7218" spans="1:22" hidden="1" x14ac:dyDescent="0.25">
      <c r="A7218" s="100">
        <v>45991</v>
      </c>
      <c r="B7218" t="str">
        <f t="shared" si="592"/>
        <v>November</v>
      </c>
      <c r="C7218" s="46" t="s">
        <v>280</v>
      </c>
      <c r="F7218" s="366" t="s">
        <v>3628</v>
      </c>
      <c r="G7218" s="46" t="s">
        <v>18</v>
      </c>
      <c r="H7218" s="46">
        <v>18</v>
      </c>
      <c r="I7218" s="51">
        <v>5367.65</v>
      </c>
      <c r="J7218" s="281">
        <f>++Tabla4[[#This Row],[Precio Bruto]]*1.16</f>
        <v>6226.4739999999993</v>
      </c>
      <c r="K7218" s="281">
        <f>+Tabla4[[#This Row],[Precio Unitario Neto]]*Tabla4[[#Headers],[20.85%]]</f>
        <v>1298.2198289999999</v>
      </c>
      <c r="L7218" s="282">
        <f>++Tabla4[[#This Row],[Precio Unitario Neto]]-Tabla4[[#This Row],[20.85%]]</f>
        <v>4928.2541709999996</v>
      </c>
      <c r="M7218" s="282" t="e">
        <f>(INDEX(Tabla6[#All],MATCH(Tabla4[[#This Row],[Producto]],Tabla6[[#All],[PRODUCTO]],0),MATCH(Tabla4[[#This Row],[Mes]],Tabla6[#Headers],0)))*(1+Catalogos!$L$2)</f>
        <v>#N/A</v>
      </c>
      <c r="N7218" s="283" t="e">
        <f>+(Tabla4[[#This Row],[Precio Descontado]]-Tabla4[[#This Row],[Precio Base]])*Tabla4[[#This Row],[Cantidad]]</f>
        <v>#N/A</v>
      </c>
      <c r="O7218" s="284" t="e">
        <f>++Tabla4[[#This Row],[Utilidad Total]]/Tabla4[[#This Row],[Total]]</f>
        <v>#N/A</v>
      </c>
      <c r="P7218" s="282">
        <f>++Tabla4[[#This Row],[Precio Descontado]]*Tabla4[[#This Row],[Cantidad]]</f>
        <v>88708.575077999994</v>
      </c>
      <c r="Q7218" s="282" t="e">
        <f>(INDEX(Tabla6[#All],MATCH(Tabla4[[#This Row],[Producto]],Tabla6[[#All],[PRODUCTO]],0),MATCH(Tabla4[[#This Row],[Mes]],Tabla6[#Headers],0)))</f>
        <v>#N/A</v>
      </c>
      <c r="R7218" s="282" t="e">
        <f>++Tabla4[[#This Row],[Precio Unitario Neto]]-Tabla4[[#This Row],[20.85%]]-Tabla4[[#This Row],[Costo]]</f>
        <v>#N/A</v>
      </c>
      <c r="S7218" s="282" t="e">
        <f>++Tabla4[[#This Row],[U. Bruta Uni]]*Tabla4[[#This Row],[Cantidad]]</f>
        <v>#N/A</v>
      </c>
      <c r="T7218" s="369" t="str">
        <f>VLOOKUP(Tabla4[[#This Row],[Producto]],Tabla6[#All],14,FALSE)</f>
        <v>Termico Solar</v>
      </c>
      <c r="U7218" s="284" t="e">
        <f>(IF(Tabla4[[#This Row],[Familia]]="termico solar",Tabla4[[#This Row],[Utilidad Total]]*6%,Tabla4[[#This Row],[Utilidad Total]]*11.5%))/Tabla4[[#This Row],[Total]]</f>
        <v>#N/A</v>
      </c>
      <c r="V7218" s="282" t="e">
        <f>+Tabla4[[#This Row],[Comisión Calculada]]*Tabla4[[#This Row],[Total]]</f>
        <v>#N/A</v>
      </c>
    </row>
    <row r="7219" spans="1:22" hidden="1" x14ac:dyDescent="0.25">
      <c r="A7219" s="100">
        <v>45991</v>
      </c>
      <c r="B7219" t="str">
        <f t="shared" si="592"/>
        <v>November</v>
      </c>
      <c r="C7219" s="46" t="s">
        <v>280</v>
      </c>
      <c r="F7219" s="366" t="s">
        <v>3628</v>
      </c>
      <c r="G7219" s="46" t="s">
        <v>16</v>
      </c>
      <c r="H7219" s="46">
        <v>4</v>
      </c>
      <c r="I7219" s="51">
        <v>4103.8500000000004</v>
      </c>
      <c r="J7219" s="281">
        <f>++Tabla4[[#This Row],[Precio Bruto]]*1.16</f>
        <v>4760.4660000000003</v>
      </c>
      <c r="K7219" s="281">
        <f>+Tabla4[[#This Row],[Precio Unitario Neto]]*Tabla4[[#Headers],[20.85%]]</f>
        <v>992.55716100000006</v>
      </c>
      <c r="L7219" s="282">
        <f>++Tabla4[[#This Row],[Precio Unitario Neto]]-Tabla4[[#This Row],[20.85%]]</f>
        <v>3767.9088390000002</v>
      </c>
      <c r="M7219" s="282" t="e">
        <f>(INDEX(Tabla6[#All],MATCH(Tabla4[[#This Row],[Producto]],Tabla6[[#All],[PRODUCTO]],0),MATCH(Tabla4[[#This Row],[Mes]],Tabla6[#Headers],0)))*(1+Catalogos!$L$2)</f>
        <v>#N/A</v>
      </c>
      <c r="N7219" s="283" t="e">
        <f>+(Tabla4[[#This Row],[Precio Descontado]]-Tabla4[[#This Row],[Precio Base]])*Tabla4[[#This Row],[Cantidad]]</f>
        <v>#N/A</v>
      </c>
      <c r="O7219" s="284" t="e">
        <f>++Tabla4[[#This Row],[Utilidad Total]]/Tabla4[[#This Row],[Total]]</f>
        <v>#N/A</v>
      </c>
      <c r="P7219" s="282">
        <f>++Tabla4[[#This Row],[Precio Descontado]]*Tabla4[[#This Row],[Cantidad]]</f>
        <v>15071.635356000001</v>
      </c>
      <c r="Q7219" s="282" t="e">
        <f>(INDEX(Tabla6[#All],MATCH(Tabla4[[#This Row],[Producto]],Tabla6[[#All],[PRODUCTO]],0),MATCH(Tabla4[[#This Row],[Mes]],Tabla6[#Headers],0)))</f>
        <v>#N/A</v>
      </c>
      <c r="R7219" s="282" t="e">
        <f>++Tabla4[[#This Row],[Precio Unitario Neto]]-Tabla4[[#This Row],[20.85%]]-Tabla4[[#This Row],[Costo]]</f>
        <v>#N/A</v>
      </c>
      <c r="S7219" s="282" t="e">
        <f>++Tabla4[[#This Row],[U. Bruta Uni]]*Tabla4[[#This Row],[Cantidad]]</f>
        <v>#N/A</v>
      </c>
      <c r="T7219" s="369" t="str">
        <f>VLOOKUP(Tabla4[[#This Row],[Producto]],Tabla6[#All],14,FALSE)</f>
        <v>Termico Solar</v>
      </c>
      <c r="U7219" s="284" t="e">
        <f>(IF(Tabla4[[#This Row],[Familia]]="termico solar",Tabla4[[#This Row],[Utilidad Total]]*6%,Tabla4[[#This Row],[Utilidad Total]]*11.5%))/Tabla4[[#This Row],[Total]]</f>
        <v>#N/A</v>
      </c>
      <c r="V7219" s="282" t="e">
        <f>+Tabla4[[#This Row],[Comisión Calculada]]*Tabla4[[#This Row],[Total]]</f>
        <v>#N/A</v>
      </c>
    </row>
    <row r="7220" spans="1:22" hidden="1" x14ac:dyDescent="0.25">
      <c r="A7220" s="100">
        <v>45991</v>
      </c>
      <c r="B7220" t="str">
        <f t="shared" ref="B7220:B7222" si="593">TEXT(A7220, "mmmm")</f>
        <v>November</v>
      </c>
      <c r="C7220" s="46" t="s">
        <v>280</v>
      </c>
      <c r="F7220" s="366" t="s">
        <v>3629</v>
      </c>
      <c r="G7220" s="46" t="s">
        <v>83</v>
      </c>
      <c r="H7220" s="46">
        <v>2</v>
      </c>
      <c r="I7220" s="51">
        <v>8858.76</v>
      </c>
      <c r="J7220" s="281">
        <f>++Tabla4[[#This Row],[Precio Bruto]]*1.16</f>
        <v>10276.161599999999</v>
      </c>
      <c r="K7220" s="281">
        <f>+Tabla4[[#This Row],[Precio Unitario Neto]]*Tabla4[[#Headers],[20.85%]]</f>
        <v>2142.5796935999997</v>
      </c>
      <c r="L7220" s="282">
        <f>++Tabla4[[#This Row],[Precio Unitario Neto]]-Tabla4[[#This Row],[20.85%]]</f>
        <v>8133.5819063999998</v>
      </c>
      <c r="M7220" s="282" t="e">
        <f>(INDEX(Tabla6[#All],MATCH(Tabla4[[#This Row],[Producto]],Tabla6[[#All],[PRODUCTO]],0),MATCH(Tabla4[[#This Row],[Mes]],Tabla6[#Headers],0)))*(1+Catalogos!$L$2)</f>
        <v>#N/A</v>
      </c>
      <c r="N7220" s="283" t="e">
        <f>+(Tabla4[[#This Row],[Precio Descontado]]-Tabla4[[#This Row],[Precio Base]])*Tabla4[[#This Row],[Cantidad]]</f>
        <v>#N/A</v>
      </c>
      <c r="O7220" s="284" t="e">
        <f>++Tabla4[[#This Row],[Utilidad Total]]/Tabla4[[#This Row],[Total]]</f>
        <v>#N/A</v>
      </c>
      <c r="P7220" s="282">
        <f>++Tabla4[[#This Row],[Precio Descontado]]*Tabla4[[#This Row],[Cantidad]]</f>
        <v>16267.1638128</v>
      </c>
      <c r="Q7220" s="282" t="e">
        <f>(INDEX(Tabla6[#All],MATCH(Tabla4[[#This Row],[Producto]],Tabla6[[#All],[PRODUCTO]],0),MATCH(Tabla4[[#This Row],[Mes]],Tabla6[#Headers],0)))</f>
        <v>#N/A</v>
      </c>
      <c r="R7220" s="282" t="e">
        <f>++Tabla4[[#This Row],[Precio Unitario Neto]]-Tabla4[[#This Row],[20.85%]]-Tabla4[[#This Row],[Costo]]</f>
        <v>#N/A</v>
      </c>
      <c r="S7220" s="282" t="e">
        <f>++Tabla4[[#This Row],[U. Bruta Uni]]*Tabla4[[#This Row],[Cantidad]]</f>
        <v>#N/A</v>
      </c>
      <c r="T7220" s="369" t="str">
        <f>VLOOKUP(Tabla4[[#This Row],[Producto]],Tabla6[#All],14,FALSE)</f>
        <v>Termico Solar</v>
      </c>
      <c r="U7220" s="284" t="e">
        <f>(IF(Tabla4[[#This Row],[Familia]]="termico solar",Tabla4[[#This Row],[Utilidad Total]]*6%,Tabla4[[#This Row],[Utilidad Total]]*11.5%))/Tabla4[[#This Row],[Total]]</f>
        <v>#N/A</v>
      </c>
      <c r="V7220" s="282" t="e">
        <f>+Tabla4[[#This Row],[Comisión Calculada]]*Tabla4[[#This Row],[Total]]</f>
        <v>#N/A</v>
      </c>
    </row>
    <row r="7221" spans="1:22" hidden="1" x14ac:dyDescent="0.25">
      <c r="A7221" s="100">
        <v>45991</v>
      </c>
      <c r="B7221" t="str">
        <f t="shared" si="593"/>
        <v>November</v>
      </c>
      <c r="C7221" s="46" t="s">
        <v>280</v>
      </c>
      <c r="F7221" s="366" t="s">
        <v>3629</v>
      </c>
      <c r="G7221" s="46" t="s">
        <v>17</v>
      </c>
      <c r="H7221" s="46">
        <v>3</v>
      </c>
      <c r="I7221" s="51">
        <v>4622.28</v>
      </c>
      <c r="J7221" s="281">
        <f>++Tabla4[[#This Row],[Precio Bruto]]*1.16</f>
        <v>5361.8447999999989</v>
      </c>
      <c r="K7221" s="281">
        <f>+Tabla4[[#This Row],[Precio Unitario Neto]]*Tabla4[[#Headers],[20.85%]]</f>
        <v>1117.9446407999997</v>
      </c>
      <c r="L7221" s="282">
        <f>++Tabla4[[#This Row],[Precio Unitario Neto]]-Tabla4[[#This Row],[20.85%]]</f>
        <v>4243.9001591999995</v>
      </c>
      <c r="M7221" s="282" t="e">
        <f>(INDEX(Tabla6[#All],MATCH(Tabla4[[#This Row],[Producto]],Tabla6[[#All],[PRODUCTO]],0),MATCH(Tabla4[[#This Row],[Mes]],Tabla6[#Headers],0)))*(1+Catalogos!$L$2)</f>
        <v>#N/A</v>
      </c>
      <c r="N7221" s="283" t="e">
        <f>+(Tabla4[[#This Row],[Precio Descontado]]-Tabla4[[#This Row],[Precio Base]])*Tabla4[[#This Row],[Cantidad]]</f>
        <v>#N/A</v>
      </c>
      <c r="O7221" s="284" t="e">
        <f>++Tabla4[[#This Row],[Utilidad Total]]/Tabla4[[#This Row],[Total]]</f>
        <v>#N/A</v>
      </c>
      <c r="P7221" s="282">
        <f>++Tabla4[[#This Row],[Precio Descontado]]*Tabla4[[#This Row],[Cantidad]]</f>
        <v>12731.700477599999</v>
      </c>
      <c r="Q7221" s="282" t="e">
        <f>(INDEX(Tabla6[#All],MATCH(Tabla4[[#This Row],[Producto]],Tabla6[[#All],[PRODUCTO]],0),MATCH(Tabla4[[#This Row],[Mes]],Tabla6[#Headers],0)))</f>
        <v>#N/A</v>
      </c>
      <c r="R7221" s="282" t="e">
        <f>++Tabla4[[#This Row],[Precio Unitario Neto]]-Tabla4[[#This Row],[20.85%]]-Tabla4[[#This Row],[Costo]]</f>
        <v>#N/A</v>
      </c>
      <c r="S7221" s="282" t="e">
        <f>++Tabla4[[#This Row],[U. Bruta Uni]]*Tabla4[[#This Row],[Cantidad]]</f>
        <v>#N/A</v>
      </c>
      <c r="T7221" s="369" t="str">
        <f>VLOOKUP(Tabla4[[#This Row],[Producto]],Tabla6[#All],14,FALSE)</f>
        <v>Termico Solar</v>
      </c>
      <c r="U7221" s="284" t="e">
        <f>(IF(Tabla4[[#This Row],[Familia]]="termico solar",Tabla4[[#This Row],[Utilidad Total]]*6%,Tabla4[[#This Row],[Utilidad Total]]*11.5%))/Tabla4[[#This Row],[Total]]</f>
        <v>#N/A</v>
      </c>
      <c r="V7221" s="282" t="e">
        <f>+Tabla4[[#This Row],[Comisión Calculada]]*Tabla4[[#This Row],[Total]]</f>
        <v>#N/A</v>
      </c>
    </row>
    <row r="7222" spans="1:22" hidden="1" x14ac:dyDescent="0.25">
      <c r="A7222" s="100">
        <v>45991</v>
      </c>
      <c r="B7222" t="str">
        <f t="shared" si="593"/>
        <v>November</v>
      </c>
      <c r="C7222" s="46" t="s">
        <v>280</v>
      </c>
      <c r="F7222" s="366" t="s">
        <v>3629</v>
      </c>
      <c r="G7222" s="46" t="s">
        <v>16</v>
      </c>
      <c r="H7222" s="46">
        <v>7</v>
      </c>
      <c r="I7222" s="51">
        <v>4103.8500000000004</v>
      </c>
      <c r="J7222" s="281">
        <f>++Tabla4[[#This Row],[Precio Bruto]]*1.16</f>
        <v>4760.4660000000003</v>
      </c>
      <c r="K7222" s="281">
        <f>+Tabla4[[#This Row],[Precio Unitario Neto]]*Tabla4[[#Headers],[20.85%]]</f>
        <v>992.55716100000006</v>
      </c>
      <c r="L7222" s="282">
        <f>++Tabla4[[#This Row],[Precio Unitario Neto]]-Tabla4[[#This Row],[20.85%]]</f>
        <v>3767.9088390000002</v>
      </c>
      <c r="M7222" s="282" t="e">
        <f>(INDEX(Tabla6[#All],MATCH(Tabla4[[#This Row],[Producto]],Tabla6[[#All],[PRODUCTO]],0),MATCH(Tabla4[[#This Row],[Mes]],Tabla6[#Headers],0)))*(1+Catalogos!$L$2)</f>
        <v>#N/A</v>
      </c>
      <c r="N7222" s="283" t="e">
        <f>+(Tabla4[[#This Row],[Precio Descontado]]-Tabla4[[#This Row],[Precio Base]])*Tabla4[[#This Row],[Cantidad]]</f>
        <v>#N/A</v>
      </c>
      <c r="O7222" s="284" t="e">
        <f>++Tabla4[[#This Row],[Utilidad Total]]/Tabla4[[#This Row],[Total]]</f>
        <v>#N/A</v>
      </c>
      <c r="P7222" s="282">
        <f>++Tabla4[[#This Row],[Precio Descontado]]*Tabla4[[#This Row],[Cantidad]]</f>
        <v>26375.361873000002</v>
      </c>
      <c r="Q7222" s="282" t="e">
        <f>(INDEX(Tabla6[#All],MATCH(Tabla4[[#This Row],[Producto]],Tabla6[[#All],[PRODUCTO]],0),MATCH(Tabla4[[#This Row],[Mes]],Tabla6[#Headers],0)))</f>
        <v>#N/A</v>
      </c>
      <c r="R7222" s="282" t="e">
        <f>++Tabla4[[#This Row],[Precio Unitario Neto]]-Tabla4[[#This Row],[20.85%]]-Tabla4[[#This Row],[Costo]]</f>
        <v>#N/A</v>
      </c>
      <c r="S7222" s="282" t="e">
        <f>++Tabla4[[#This Row],[U. Bruta Uni]]*Tabla4[[#This Row],[Cantidad]]</f>
        <v>#N/A</v>
      </c>
      <c r="T7222" s="369" t="str">
        <f>VLOOKUP(Tabla4[[#This Row],[Producto]],Tabla6[#All],14,FALSE)</f>
        <v>Termico Solar</v>
      </c>
      <c r="U7222" s="284" t="e">
        <f>(IF(Tabla4[[#This Row],[Familia]]="termico solar",Tabla4[[#This Row],[Utilidad Total]]*6%,Tabla4[[#This Row],[Utilidad Total]]*11.5%))/Tabla4[[#This Row],[Total]]</f>
        <v>#N/A</v>
      </c>
      <c r="V7222" s="282" t="e">
        <f>+Tabla4[[#This Row],[Comisión Calculada]]*Tabla4[[#This Row],[Total]]</f>
        <v>#N/A</v>
      </c>
    </row>
    <row r="7223" spans="1:22" hidden="1" x14ac:dyDescent="0.25">
      <c r="A7223" s="100">
        <v>45991</v>
      </c>
      <c r="B7223" t="str">
        <f>TEXT(A7223, "mmmm")</f>
        <v>November</v>
      </c>
      <c r="C7223" s="46" t="s">
        <v>280</v>
      </c>
      <c r="F7223" s="366" t="s">
        <v>3630</v>
      </c>
      <c r="G7223" s="46" t="s">
        <v>208</v>
      </c>
      <c r="H7223" s="46">
        <v>18</v>
      </c>
      <c r="I7223" s="51">
        <v>189.75</v>
      </c>
      <c r="J7223" s="281">
        <f>++Tabla4[[#This Row],[Precio Bruto]]*1.16</f>
        <v>220.10999999999999</v>
      </c>
      <c r="K7223" s="281">
        <f>+Tabla4[[#This Row],[Precio Unitario Neto]]*Tabla4[[#Headers],[20.85%]]</f>
        <v>45.892934999999994</v>
      </c>
      <c r="L7223" s="282">
        <f>++Tabla4[[#This Row],[Precio Unitario Neto]]-Tabla4[[#This Row],[20.85%]]</f>
        <v>174.21706499999999</v>
      </c>
      <c r="M7223" s="282" t="e">
        <f>(INDEX(Tabla6[#All],MATCH(Tabla4[[#This Row],[Producto]],Tabla6[[#All],[PRODUCTO]],0),MATCH(Tabla4[[#This Row],[Mes]],Tabla6[#Headers],0)))*(1+Catalogos!$L$2)</f>
        <v>#N/A</v>
      </c>
      <c r="N7223" s="283" t="e">
        <f>+(Tabla4[[#This Row],[Precio Descontado]]-Tabla4[[#This Row],[Precio Base]])*Tabla4[[#This Row],[Cantidad]]</f>
        <v>#N/A</v>
      </c>
      <c r="O7223" s="284" t="e">
        <f>++Tabla4[[#This Row],[Utilidad Total]]/Tabla4[[#This Row],[Total]]</f>
        <v>#N/A</v>
      </c>
      <c r="P7223" s="282">
        <f>++Tabla4[[#This Row],[Precio Descontado]]*Tabla4[[#This Row],[Cantidad]]</f>
        <v>3135.90717</v>
      </c>
      <c r="Q7223" s="282" t="e">
        <f>(INDEX(Tabla6[#All],MATCH(Tabla4[[#This Row],[Producto]],Tabla6[[#All],[PRODUCTO]],0),MATCH(Tabla4[[#This Row],[Mes]],Tabla6[#Headers],0)))</f>
        <v>#N/A</v>
      </c>
      <c r="R7223" s="282" t="e">
        <f>++Tabla4[[#This Row],[Precio Unitario Neto]]-Tabla4[[#This Row],[20.85%]]-Tabla4[[#This Row],[Costo]]</f>
        <v>#N/A</v>
      </c>
      <c r="S7223" s="282" t="e">
        <f>++Tabla4[[#This Row],[U. Bruta Uni]]*Tabla4[[#This Row],[Cantidad]]</f>
        <v>#N/A</v>
      </c>
      <c r="T7223" s="369" t="str">
        <f>VLOOKUP(Tabla4[[#This Row],[Producto]],Tabla6[#All],14,FALSE)</f>
        <v>Termico Solar</v>
      </c>
      <c r="U7223" s="284" t="e">
        <f>(IF(Tabla4[[#This Row],[Familia]]="termico solar",Tabla4[[#This Row],[Utilidad Total]]*6%,Tabla4[[#This Row],[Utilidad Total]]*11.5%))/Tabla4[[#This Row],[Total]]</f>
        <v>#N/A</v>
      </c>
      <c r="V7223" s="282" t="e">
        <f>+Tabla4[[#This Row],[Comisión Calculada]]*Tabla4[[#This Row],[Total]]</f>
        <v>#N/A</v>
      </c>
    </row>
    <row r="7224" spans="1:22" hidden="1" x14ac:dyDescent="0.25">
      <c r="A7224" s="100">
        <v>45991</v>
      </c>
      <c r="B7224" t="str">
        <f>TEXT(A7224, "mmmm")</f>
        <v>November</v>
      </c>
      <c r="C7224" s="46" t="s">
        <v>280</v>
      </c>
      <c r="F7224" s="366" t="s">
        <v>3631</v>
      </c>
      <c r="G7224" s="46" t="s">
        <v>18</v>
      </c>
      <c r="H7224" s="46">
        <v>1</v>
      </c>
      <c r="I7224" s="51">
        <v>5367.65</v>
      </c>
      <c r="J7224" s="281">
        <f>++Tabla4[[#This Row],[Precio Bruto]]*1.16</f>
        <v>6226.4739999999993</v>
      </c>
      <c r="K7224" s="281">
        <f>+Tabla4[[#This Row],[Precio Unitario Neto]]*Tabla4[[#Headers],[20.85%]]</f>
        <v>1298.2198289999999</v>
      </c>
      <c r="L7224" s="282">
        <f>++Tabla4[[#This Row],[Precio Unitario Neto]]-Tabla4[[#This Row],[20.85%]]</f>
        <v>4928.2541709999996</v>
      </c>
      <c r="M7224" s="282" t="e">
        <f>(INDEX(Tabla6[#All],MATCH(Tabla4[[#This Row],[Producto]],Tabla6[[#All],[PRODUCTO]],0),MATCH(Tabla4[[#This Row],[Mes]],Tabla6[#Headers],0)))*(1+Catalogos!$L$2)</f>
        <v>#N/A</v>
      </c>
      <c r="N7224" s="283" t="e">
        <f>+(Tabla4[[#This Row],[Precio Descontado]]-Tabla4[[#This Row],[Precio Base]])*Tabla4[[#This Row],[Cantidad]]</f>
        <v>#N/A</v>
      </c>
      <c r="O7224" s="284" t="e">
        <f>++Tabla4[[#This Row],[Utilidad Total]]/Tabla4[[#This Row],[Total]]</f>
        <v>#N/A</v>
      </c>
      <c r="P7224" s="282">
        <f>++Tabla4[[#This Row],[Precio Descontado]]*Tabla4[[#This Row],[Cantidad]]</f>
        <v>4928.2541709999996</v>
      </c>
      <c r="Q7224" s="282" t="e">
        <f>(INDEX(Tabla6[#All],MATCH(Tabla4[[#This Row],[Producto]],Tabla6[[#All],[PRODUCTO]],0),MATCH(Tabla4[[#This Row],[Mes]],Tabla6[#Headers],0)))</f>
        <v>#N/A</v>
      </c>
      <c r="R7224" s="282" t="e">
        <f>++Tabla4[[#This Row],[Precio Unitario Neto]]-Tabla4[[#This Row],[20.85%]]-Tabla4[[#This Row],[Costo]]</f>
        <v>#N/A</v>
      </c>
      <c r="S7224" s="282" t="e">
        <f>++Tabla4[[#This Row],[U. Bruta Uni]]*Tabla4[[#This Row],[Cantidad]]</f>
        <v>#N/A</v>
      </c>
      <c r="T7224" s="369" t="str">
        <f>VLOOKUP(Tabla4[[#This Row],[Producto]],Tabla6[#All],14,FALSE)</f>
        <v>Termico Solar</v>
      </c>
      <c r="U7224" s="284" t="e">
        <f>(IF(Tabla4[[#This Row],[Familia]]="termico solar",Tabla4[[#This Row],[Utilidad Total]]*6%,Tabla4[[#This Row],[Utilidad Total]]*11.5%))/Tabla4[[#This Row],[Total]]</f>
        <v>#N/A</v>
      </c>
      <c r="V7224" s="282" t="e">
        <f>+Tabla4[[#This Row],[Comisión Calculada]]*Tabla4[[#This Row],[Total]]</f>
        <v>#N/A</v>
      </c>
    </row>
    <row r="7225" spans="1:22" hidden="1" x14ac:dyDescent="0.25">
      <c r="A7225" s="100">
        <v>45991</v>
      </c>
      <c r="B7225" t="str">
        <f t="shared" ref="B7225:B7227" si="594">TEXT(A7225, "mmmm")</f>
        <v>November</v>
      </c>
      <c r="C7225" s="46" t="s">
        <v>280</v>
      </c>
      <c r="F7225" s="366" t="s">
        <v>3632</v>
      </c>
      <c r="G7225" s="46" t="s">
        <v>208</v>
      </c>
      <c r="H7225" s="46">
        <v>15</v>
      </c>
      <c r="I7225" s="51">
        <v>140.63</v>
      </c>
      <c r="J7225" s="281">
        <f>++Tabla4[[#This Row],[Precio Bruto]]*1.16</f>
        <v>163.13079999999999</v>
      </c>
      <c r="K7225" s="281">
        <f>+Tabla4[[#This Row],[Precio Unitario Neto]]*Tabla4[[#Headers],[20.85%]]</f>
        <v>34.012771799999996</v>
      </c>
      <c r="L7225" s="282">
        <f>++Tabla4[[#This Row],[Precio Unitario Neto]]-Tabla4[[#This Row],[20.85%]]</f>
        <v>129.1180282</v>
      </c>
      <c r="M7225" s="282" t="e">
        <f>(INDEX(Tabla6[#All],MATCH(Tabla4[[#This Row],[Producto]],Tabla6[[#All],[PRODUCTO]],0),MATCH(Tabla4[[#This Row],[Mes]],Tabla6[#Headers],0)))*(1+Catalogos!$L$2)</f>
        <v>#N/A</v>
      </c>
      <c r="N7225" s="283" t="e">
        <f>+(Tabla4[[#This Row],[Precio Descontado]]-Tabla4[[#This Row],[Precio Base]])*Tabla4[[#This Row],[Cantidad]]</f>
        <v>#N/A</v>
      </c>
      <c r="O7225" s="284" t="e">
        <f>++Tabla4[[#This Row],[Utilidad Total]]/Tabla4[[#This Row],[Total]]</f>
        <v>#N/A</v>
      </c>
      <c r="P7225" s="282">
        <f>++Tabla4[[#This Row],[Precio Descontado]]*Tabla4[[#This Row],[Cantidad]]</f>
        <v>1936.7704229999999</v>
      </c>
      <c r="Q7225" s="282" t="e">
        <f>(INDEX(Tabla6[#All],MATCH(Tabla4[[#This Row],[Producto]],Tabla6[[#All],[PRODUCTO]],0),MATCH(Tabla4[[#This Row],[Mes]],Tabla6[#Headers],0)))</f>
        <v>#N/A</v>
      </c>
      <c r="R7225" s="282" t="e">
        <f>++Tabla4[[#This Row],[Precio Unitario Neto]]-Tabla4[[#This Row],[20.85%]]-Tabla4[[#This Row],[Costo]]</f>
        <v>#N/A</v>
      </c>
      <c r="S7225" s="282" t="e">
        <f>++Tabla4[[#This Row],[U. Bruta Uni]]*Tabla4[[#This Row],[Cantidad]]</f>
        <v>#N/A</v>
      </c>
      <c r="T7225" s="369" t="str">
        <f>VLOOKUP(Tabla4[[#This Row],[Producto]],Tabla6[#All],14,FALSE)</f>
        <v>Termico Solar</v>
      </c>
      <c r="U7225" s="284" t="e">
        <f>(IF(Tabla4[[#This Row],[Familia]]="termico solar",Tabla4[[#This Row],[Utilidad Total]]*6%,Tabla4[[#This Row],[Utilidad Total]]*11.5%))/Tabla4[[#This Row],[Total]]</f>
        <v>#N/A</v>
      </c>
      <c r="V7225" s="282" t="e">
        <f>+Tabla4[[#This Row],[Comisión Calculada]]*Tabla4[[#This Row],[Total]]</f>
        <v>#N/A</v>
      </c>
    </row>
    <row r="7226" spans="1:22" hidden="1" x14ac:dyDescent="0.25">
      <c r="A7226" s="100">
        <v>45991</v>
      </c>
      <c r="B7226" t="str">
        <f t="shared" si="594"/>
        <v>November</v>
      </c>
      <c r="C7226" s="46" t="s">
        <v>280</v>
      </c>
      <c r="F7226" s="366" t="s">
        <v>3632</v>
      </c>
      <c r="G7226" s="46" t="s">
        <v>16</v>
      </c>
      <c r="H7226" s="46">
        <v>1</v>
      </c>
      <c r="I7226" s="51">
        <v>4103.8500000000004</v>
      </c>
      <c r="J7226" s="281">
        <f>++Tabla4[[#This Row],[Precio Bruto]]*1.16</f>
        <v>4760.4660000000003</v>
      </c>
      <c r="K7226" s="281">
        <f>+Tabla4[[#This Row],[Precio Unitario Neto]]*Tabla4[[#Headers],[20.85%]]</f>
        <v>992.55716100000006</v>
      </c>
      <c r="L7226" s="282">
        <f>++Tabla4[[#This Row],[Precio Unitario Neto]]-Tabla4[[#This Row],[20.85%]]</f>
        <v>3767.9088390000002</v>
      </c>
      <c r="M7226" s="282" t="e">
        <f>(INDEX(Tabla6[#All],MATCH(Tabla4[[#This Row],[Producto]],Tabla6[[#All],[PRODUCTO]],0),MATCH(Tabla4[[#This Row],[Mes]],Tabla6[#Headers],0)))*(1+Catalogos!$L$2)</f>
        <v>#N/A</v>
      </c>
      <c r="N7226" s="283" t="e">
        <f>+(Tabla4[[#This Row],[Precio Descontado]]-Tabla4[[#This Row],[Precio Base]])*Tabla4[[#This Row],[Cantidad]]</f>
        <v>#N/A</v>
      </c>
      <c r="O7226" s="284" t="e">
        <f>++Tabla4[[#This Row],[Utilidad Total]]/Tabla4[[#This Row],[Total]]</f>
        <v>#N/A</v>
      </c>
      <c r="P7226" s="282">
        <f>++Tabla4[[#This Row],[Precio Descontado]]*Tabla4[[#This Row],[Cantidad]]</f>
        <v>3767.9088390000002</v>
      </c>
      <c r="Q7226" s="282" t="e">
        <f>(INDEX(Tabla6[#All],MATCH(Tabla4[[#This Row],[Producto]],Tabla6[[#All],[PRODUCTO]],0),MATCH(Tabla4[[#This Row],[Mes]],Tabla6[#Headers],0)))</f>
        <v>#N/A</v>
      </c>
      <c r="R7226" s="282" t="e">
        <f>++Tabla4[[#This Row],[Precio Unitario Neto]]-Tabla4[[#This Row],[20.85%]]-Tabla4[[#This Row],[Costo]]</f>
        <v>#N/A</v>
      </c>
      <c r="S7226" s="282" t="e">
        <f>++Tabla4[[#This Row],[U. Bruta Uni]]*Tabla4[[#This Row],[Cantidad]]</f>
        <v>#N/A</v>
      </c>
      <c r="T7226" s="369" t="str">
        <f>VLOOKUP(Tabla4[[#This Row],[Producto]],Tabla6[#All],14,FALSE)</f>
        <v>Termico Solar</v>
      </c>
      <c r="U7226" s="284" t="e">
        <f>(IF(Tabla4[[#This Row],[Familia]]="termico solar",Tabla4[[#This Row],[Utilidad Total]]*6%,Tabla4[[#This Row],[Utilidad Total]]*11.5%))/Tabla4[[#This Row],[Total]]</f>
        <v>#N/A</v>
      </c>
      <c r="V7226" s="282" t="e">
        <f>+Tabla4[[#This Row],[Comisión Calculada]]*Tabla4[[#This Row],[Total]]</f>
        <v>#N/A</v>
      </c>
    </row>
    <row r="7227" spans="1:22" hidden="1" x14ac:dyDescent="0.25">
      <c r="A7227" s="100">
        <v>45991</v>
      </c>
      <c r="B7227" t="str">
        <f t="shared" si="594"/>
        <v>November</v>
      </c>
      <c r="C7227" s="46" t="s">
        <v>280</v>
      </c>
      <c r="F7227" s="366" t="s">
        <v>3632</v>
      </c>
      <c r="G7227" s="46" t="s">
        <v>208</v>
      </c>
      <c r="H7227" s="46">
        <v>1</v>
      </c>
      <c r="I7227" s="51">
        <v>189.75</v>
      </c>
      <c r="J7227" s="281">
        <f>++Tabla4[[#This Row],[Precio Bruto]]*1.16</f>
        <v>220.10999999999999</v>
      </c>
      <c r="K7227" s="281">
        <f>+Tabla4[[#This Row],[Precio Unitario Neto]]*Tabla4[[#Headers],[20.85%]]</f>
        <v>45.892934999999994</v>
      </c>
      <c r="L7227" s="282">
        <f>++Tabla4[[#This Row],[Precio Unitario Neto]]-Tabla4[[#This Row],[20.85%]]</f>
        <v>174.21706499999999</v>
      </c>
      <c r="M7227" s="282" t="e">
        <f>(INDEX(Tabla6[#All],MATCH(Tabla4[[#This Row],[Producto]],Tabla6[[#All],[PRODUCTO]],0),MATCH(Tabla4[[#This Row],[Mes]],Tabla6[#Headers],0)))*(1+Catalogos!$L$2)</f>
        <v>#N/A</v>
      </c>
      <c r="N7227" s="283" t="e">
        <f>+(Tabla4[[#This Row],[Precio Descontado]]-Tabla4[[#This Row],[Precio Base]])*Tabla4[[#This Row],[Cantidad]]</f>
        <v>#N/A</v>
      </c>
      <c r="O7227" s="284" t="e">
        <f>++Tabla4[[#This Row],[Utilidad Total]]/Tabla4[[#This Row],[Total]]</f>
        <v>#N/A</v>
      </c>
      <c r="P7227" s="282">
        <f>++Tabla4[[#This Row],[Precio Descontado]]*Tabla4[[#This Row],[Cantidad]]</f>
        <v>174.21706499999999</v>
      </c>
      <c r="Q7227" s="282" t="e">
        <f>(INDEX(Tabla6[#All],MATCH(Tabla4[[#This Row],[Producto]],Tabla6[[#All],[PRODUCTO]],0),MATCH(Tabla4[[#This Row],[Mes]],Tabla6[#Headers],0)))</f>
        <v>#N/A</v>
      </c>
      <c r="R7227" s="282" t="e">
        <f>++Tabla4[[#This Row],[Precio Unitario Neto]]-Tabla4[[#This Row],[20.85%]]-Tabla4[[#This Row],[Costo]]</f>
        <v>#N/A</v>
      </c>
      <c r="S7227" s="282" t="e">
        <f>++Tabla4[[#This Row],[U. Bruta Uni]]*Tabla4[[#This Row],[Cantidad]]</f>
        <v>#N/A</v>
      </c>
      <c r="T7227" s="369" t="str">
        <f>VLOOKUP(Tabla4[[#This Row],[Producto]],Tabla6[#All],14,FALSE)</f>
        <v>Termico Solar</v>
      </c>
      <c r="U7227" s="284" t="e">
        <f>(IF(Tabla4[[#This Row],[Familia]]="termico solar",Tabla4[[#This Row],[Utilidad Total]]*6%,Tabla4[[#This Row],[Utilidad Total]]*11.5%))/Tabla4[[#This Row],[Total]]</f>
        <v>#N/A</v>
      </c>
      <c r="V7227" s="282" t="e">
        <f>+Tabla4[[#This Row],[Comisión Calculada]]*Tabla4[[#This Row],[Total]]</f>
        <v>#N/A</v>
      </c>
    </row>
    <row r="7228" spans="1:22" hidden="1" x14ac:dyDescent="0.25">
      <c r="A7228" s="100">
        <v>45991</v>
      </c>
      <c r="B7228" t="str">
        <f t="shared" ref="B7228:B7229" si="595">TEXT(A7228, "mmmm")</f>
        <v>November</v>
      </c>
      <c r="C7228" s="46" t="s">
        <v>280</v>
      </c>
      <c r="F7228" s="366" t="s">
        <v>3633</v>
      </c>
      <c r="G7228" s="46" t="s">
        <v>16</v>
      </c>
      <c r="H7228" s="46">
        <v>1</v>
      </c>
      <c r="I7228" s="51">
        <v>4103.8500000000004</v>
      </c>
      <c r="J7228" s="281">
        <f>++Tabla4[[#This Row],[Precio Bruto]]*1.16</f>
        <v>4760.4660000000003</v>
      </c>
      <c r="K7228" s="281">
        <f>+Tabla4[[#This Row],[Precio Unitario Neto]]*Tabla4[[#Headers],[20.85%]]</f>
        <v>992.55716100000006</v>
      </c>
      <c r="L7228" s="282">
        <f>++Tabla4[[#This Row],[Precio Unitario Neto]]-Tabla4[[#This Row],[20.85%]]</f>
        <v>3767.9088390000002</v>
      </c>
      <c r="M7228" s="282" t="e">
        <f>(INDEX(Tabla6[#All],MATCH(Tabla4[[#This Row],[Producto]],Tabla6[[#All],[PRODUCTO]],0),MATCH(Tabla4[[#This Row],[Mes]],Tabla6[#Headers],0)))*(1+Catalogos!$L$2)</f>
        <v>#N/A</v>
      </c>
      <c r="N7228" s="283" t="e">
        <f>+(Tabla4[[#This Row],[Precio Descontado]]-Tabla4[[#This Row],[Precio Base]])*Tabla4[[#This Row],[Cantidad]]</f>
        <v>#N/A</v>
      </c>
      <c r="O7228" s="284" t="e">
        <f>++Tabla4[[#This Row],[Utilidad Total]]/Tabla4[[#This Row],[Total]]</f>
        <v>#N/A</v>
      </c>
      <c r="P7228" s="282">
        <f>++Tabla4[[#This Row],[Precio Descontado]]*Tabla4[[#This Row],[Cantidad]]</f>
        <v>3767.9088390000002</v>
      </c>
      <c r="Q7228" s="282" t="e">
        <f>(INDEX(Tabla6[#All],MATCH(Tabla4[[#This Row],[Producto]],Tabla6[[#All],[PRODUCTO]],0),MATCH(Tabla4[[#This Row],[Mes]],Tabla6[#Headers],0)))</f>
        <v>#N/A</v>
      </c>
      <c r="R7228" s="282" t="e">
        <f>++Tabla4[[#This Row],[Precio Unitario Neto]]-Tabla4[[#This Row],[20.85%]]-Tabla4[[#This Row],[Costo]]</f>
        <v>#N/A</v>
      </c>
      <c r="S7228" s="282" t="e">
        <f>++Tabla4[[#This Row],[U. Bruta Uni]]*Tabla4[[#This Row],[Cantidad]]</f>
        <v>#N/A</v>
      </c>
      <c r="T7228" s="369" t="str">
        <f>VLOOKUP(Tabla4[[#This Row],[Producto]],Tabla6[#All],14,FALSE)</f>
        <v>Termico Solar</v>
      </c>
      <c r="U7228" s="284" t="e">
        <f>(IF(Tabla4[[#This Row],[Familia]]="termico solar",Tabla4[[#This Row],[Utilidad Total]]*6%,Tabla4[[#This Row],[Utilidad Total]]*11.5%))/Tabla4[[#This Row],[Total]]</f>
        <v>#N/A</v>
      </c>
      <c r="V7228" s="282" t="e">
        <f>+Tabla4[[#This Row],[Comisión Calculada]]*Tabla4[[#This Row],[Total]]</f>
        <v>#N/A</v>
      </c>
    </row>
    <row r="7229" spans="1:22" hidden="1" x14ac:dyDescent="0.25">
      <c r="A7229" s="100">
        <v>45991</v>
      </c>
      <c r="B7229" t="str">
        <f t="shared" si="595"/>
        <v>November</v>
      </c>
      <c r="C7229" s="46" t="s">
        <v>280</v>
      </c>
      <c r="F7229" s="366" t="s">
        <v>3633</v>
      </c>
      <c r="G7229" s="46" t="s">
        <v>208</v>
      </c>
      <c r="H7229" s="46">
        <v>2</v>
      </c>
      <c r="I7229" s="51">
        <v>189.75</v>
      </c>
      <c r="J7229" s="281">
        <f>++Tabla4[[#This Row],[Precio Bruto]]*1.16</f>
        <v>220.10999999999999</v>
      </c>
      <c r="K7229" s="281">
        <f>+Tabla4[[#This Row],[Precio Unitario Neto]]*Tabla4[[#Headers],[20.85%]]</f>
        <v>45.892934999999994</v>
      </c>
      <c r="L7229" s="282">
        <f>++Tabla4[[#This Row],[Precio Unitario Neto]]-Tabla4[[#This Row],[20.85%]]</f>
        <v>174.21706499999999</v>
      </c>
      <c r="M7229" s="282" t="e">
        <f>(INDEX(Tabla6[#All],MATCH(Tabla4[[#This Row],[Producto]],Tabla6[[#All],[PRODUCTO]],0),MATCH(Tabla4[[#This Row],[Mes]],Tabla6[#Headers],0)))*(1+Catalogos!$L$2)</f>
        <v>#N/A</v>
      </c>
      <c r="N7229" s="283" t="e">
        <f>+(Tabla4[[#This Row],[Precio Descontado]]-Tabla4[[#This Row],[Precio Base]])*Tabla4[[#This Row],[Cantidad]]</f>
        <v>#N/A</v>
      </c>
      <c r="O7229" s="284" t="e">
        <f>++Tabla4[[#This Row],[Utilidad Total]]/Tabla4[[#This Row],[Total]]</f>
        <v>#N/A</v>
      </c>
      <c r="P7229" s="282">
        <f>++Tabla4[[#This Row],[Precio Descontado]]*Tabla4[[#This Row],[Cantidad]]</f>
        <v>348.43412999999998</v>
      </c>
      <c r="Q7229" s="282" t="e">
        <f>(INDEX(Tabla6[#All],MATCH(Tabla4[[#This Row],[Producto]],Tabla6[[#All],[PRODUCTO]],0),MATCH(Tabla4[[#This Row],[Mes]],Tabla6[#Headers],0)))</f>
        <v>#N/A</v>
      </c>
      <c r="R7229" s="282" t="e">
        <f>++Tabla4[[#This Row],[Precio Unitario Neto]]-Tabla4[[#This Row],[20.85%]]-Tabla4[[#This Row],[Costo]]</f>
        <v>#N/A</v>
      </c>
      <c r="S7229" s="282" t="e">
        <f>++Tabla4[[#This Row],[U. Bruta Uni]]*Tabla4[[#This Row],[Cantidad]]</f>
        <v>#N/A</v>
      </c>
      <c r="T7229" s="369" t="str">
        <f>VLOOKUP(Tabla4[[#This Row],[Producto]],Tabla6[#All],14,FALSE)</f>
        <v>Termico Solar</v>
      </c>
      <c r="U7229" s="284" t="e">
        <f>(IF(Tabla4[[#This Row],[Familia]]="termico solar",Tabla4[[#This Row],[Utilidad Total]]*6%,Tabla4[[#This Row],[Utilidad Total]]*11.5%))/Tabla4[[#This Row],[Total]]</f>
        <v>#N/A</v>
      </c>
      <c r="V7229" s="282" t="e">
        <f>+Tabla4[[#This Row],[Comisión Calculada]]*Tabla4[[#This Row],[Total]]</f>
        <v>#N/A</v>
      </c>
    </row>
    <row r="7230" spans="1:22" hidden="1" x14ac:dyDescent="0.25">
      <c r="A7230" s="100">
        <v>45991</v>
      </c>
      <c r="B7230" t="str">
        <f t="shared" ref="B7230:B7231" si="596">TEXT(A7230, "mmmm")</f>
        <v>November</v>
      </c>
      <c r="C7230" s="46" t="s">
        <v>280</v>
      </c>
      <c r="F7230" s="366" t="s">
        <v>3634</v>
      </c>
      <c r="G7230" s="46" t="s">
        <v>17</v>
      </c>
      <c r="H7230" s="46">
        <v>7</v>
      </c>
      <c r="I7230" s="51">
        <v>4622.28</v>
      </c>
      <c r="J7230" s="281">
        <f>++Tabla4[[#This Row],[Precio Bruto]]*1.16</f>
        <v>5361.8447999999989</v>
      </c>
      <c r="K7230" s="281">
        <f>+Tabla4[[#This Row],[Precio Unitario Neto]]*Tabla4[[#Headers],[20.85%]]</f>
        <v>1117.9446407999997</v>
      </c>
      <c r="L7230" s="282">
        <f>++Tabla4[[#This Row],[Precio Unitario Neto]]-Tabla4[[#This Row],[20.85%]]</f>
        <v>4243.9001591999995</v>
      </c>
      <c r="M7230" s="282" t="e">
        <f>(INDEX(Tabla6[#All],MATCH(Tabla4[[#This Row],[Producto]],Tabla6[[#All],[PRODUCTO]],0),MATCH(Tabla4[[#This Row],[Mes]],Tabla6[#Headers],0)))*(1+Catalogos!$L$2)</f>
        <v>#N/A</v>
      </c>
      <c r="N7230" s="283" t="e">
        <f>+(Tabla4[[#This Row],[Precio Descontado]]-Tabla4[[#This Row],[Precio Base]])*Tabla4[[#This Row],[Cantidad]]</f>
        <v>#N/A</v>
      </c>
      <c r="O7230" s="284" t="e">
        <f>++Tabla4[[#This Row],[Utilidad Total]]/Tabla4[[#This Row],[Total]]</f>
        <v>#N/A</v>
      </c>
      <c r="P7230" s="282">
        <f>++Tabla4[[#This Row],[Precio Descontado]]*Tabla4[[#This Row],[Cantidad]]</f>
        <v>29707.301114399997</v>
      </c>
      <c r="Q7230" s="282" t="e">
        <f>(INDEX(Tabla6[#All],MATCH(Tabla4[[#This Row],[Producto]],Tabla6[[#All],[PRODUCTO]],0),MATCH(Tabla4[[#This Row],[Mes]],Tabla6[#Headers],0)))</f>
        <v>#N/A</v>
      </c>
      <c r="R7230" s="282" t="e">
        <f>++Tabla4[[#This Row],[Precio Unitario Neto]]-Tabla4[[#This Row],[20.85%]]-Tabla4[[#This Row],[Costo]]</f>
        <v>#N/A</v>
      </c>
      <c r="S7230" s="282" t="e">
        <f>++Tabla4[[#This Row],[U. Bruta Uni]]*Tabla4[[#This Row],[Cantidad]]</f>
        <v>#N/A</v>
      </c>
      <c r="T7230" s="369" t="str">
        <f>VLOOKUP(Tabla4[[#This Row],[Producto]],Tabla6[#All],14,FALSE)</f>
        <v>Termico Solar</v>
      </c>
      <c r="U7230" s="284" t="e">
        <f>(IF(Tabla4[[#This Row],[Familia]]="termico solar",Tabla4[[#This Row],[Utilidad Total]]*6%,Tabla4[[#This Row],[Utilidad Total]]*11.5%))/Tabla4[[#This Row],[Total]]</f>
        <v>#N/A</v>
      </c>
      <c r="V7230" s="282" t="e">
        <f>+Tabla4[[#This Row],[Comisión Calculada]]*Tabla4[[#This Row],[Total]]</f>
        <v>#N/A</v>
      </c>
    </row>
    <row r="7231" spans="1:22" hidden="1" x14ac:dyDescent="0.25">
      <c r="A7231" s="100">
        <v>45991</v>
      </c>
      <c r="B7231" t="str">
        <f t="shared" si="596"/>
        <v>November</v>
      </c>
      <c r="C7231" s="46" t="s">
        <v>280</v>
      </c>
      <c r="F7231" s="366" t="s">
        <v>3634</v>
      </c>
      <c r="G7231" s="46" t="s">
        <v>18</v>
      </c>
      <c r="H7231" s="46">
        <v>1</v>
      </c>
      <c r="I7231" s="51">
        <v>5367.65</v>
      </c>
      <c r="J7231" s="281">
        <f>++Tabla4[[#This Row],[Precio Bruto]]*1.16</f>
        <v>6226.4739999999993</v>
      </c>
      <c r="K7231" s="281">
        <f>+Tabla4[[#This Row],[Precio Unitario Neto]]*Tabla4[[#Headers],[20.85%]]</f>
        <v>1298.2198289999999</v>
      </c>
      <c r="L7231" s="282">
        <f>++Tabla4[[#This Row],[Precio Unitario Neto]]-Tabla4[[#This Row],[20.85%]]</f>
        <v>4928.2541709999996</v>
      </c>
      <c r="M7231" s="282" t="e">
        <f>(INDEX(Tabla6[#All],MATCH(Tabla4[[#This Row],[Producto]],Tabla6[[#All],[PRODUCTO]],0),MATCH(Tabla4[[#This Row],[Mes]],Tabla6[#Headers],0)))*(1+Catalogos!$L$2)</f>
        <v>#N/A</v>
      </c>
      <c r="N7231" s="283" t="e">
        <f>+(Tabla4[[#This Row],[Precio Descontado]]-Tabla4[[#This Row],[Precio Base]])*Tabla4[[#This Row],[Cantidad]]</f>
        <v>#N/A</v>
      </c>
      <c r="O7231" s="284" t="e">
        <f>++Tabla4[[#This Row],[Utilidad Total]]/Tabla4[[#This Row],[Total]]</f>
        <v>#N/A</v>
      </c>
      <c r="P7231" s="282">
        <f>++Tabla4[[#This Row],[Precio Descontado]]*Tabla4[[#This Row],[Cantidad]]</f>
        <v>4928.2541709999996</v>
      </c>
      <c r="Q7231" s="282" t="e">
        <f>(INDEX(Tabla6[#All],MATCH(Tabla4[[#This Row],[Producto]],Tabla6[[#All],[PRODUCTO]],0),MATCH(Tabla4[[#This Row],[Mes]],Tabla6[#Headers],0)))</f>
        <v>#N/A</v>
      </c>
      <c r="R7231" s="282" t="e">
        <f>++Tabla4[[#This Row],[Precio Unitario Neto]]-Tabla4[[#This Row],[20.85%]]-Tabla4[[#This Row],[Costo]]</f>
        <v>#N/A</v>
      </c>
      <c r="S7231" s="282" t="e">
        <f>++Tabla4[[#This Row],[U. Bruta Uni]]*Tabla4[[#This Row],[Cantidad]]</f>
        <v>#N/A</v>
      </c>
      <c r="T7231" s="369" t="str">
        <f>VLOOKUP(Tabla4[[#This Row],[Producto]],Tabla6[#All],14,FALSE)</f>
        <v>Termico Solar</v>
      </c>
      <c r="U7231" s="284" t="e">
        <f>(IF(Tabla4[[#This Row],[Familia]]="termico solar",Tabla4[[#This Row],[Utilidad Total]]*6%,Tabla4[[#This Row],[Utilidad Total]]*11.5%))/Tabla4[[#This Row],[Total]]</f>
        <v>#N/A</v>
      </c>
      <c r="V7231" s="282" t="e">
        <f>+Tabla4[[#This Row],[Comisión Calculada]]*Tabla4[[#This Row],[Total]]</f>
        <v>#N/A</v>
      </c>
    </row>
    <row r="7232" spans="1:22" hidden="1" x14ac:dyDescent="0.25">
      <c r="A7232" s="100">
        <v>45991</v>
      </c>
      <c r="B7232" t="str">
        <f t="shared" ref="B7232:B7233" si="597">TEXT(A7232, "mmmm")</f>
        <v>November</v>
      </c>
      <c r="C7232" s="46" t="s">
        <v>280</v>
      </c>
      <c r="F7232" s="366" t="s">
        <v>3635</v>
      </c>
      <c r="G7232" s="46" t="s">
        <v>208</v>
      </c>
      <c r="H7232" s="46">
        <v>8</v>
      </c>
      <c r="I7232" s="51">
        <v>189.75</v>
      </c>
      <c r="J7232" s="281">
        <f>++Tabla4[[#This Row],[Precio Bruto]]*1.16</f>
        <v>220.10999999999999</v>
      </c>
      <c r="K7232" s="281">
        <f>+Tabla4[[#This Row],[Precio Unitario Neto]]*Tabla4[[#Headers],[20.85%]]</f>
        <v>45.892934999999994</v>
      </c>
      <c r="L7232" s="282">
        <f>++Tabla4[[#This Row],[Precio Unitario Neto]]-Tabla4[[#This Row],[20.85%]]</f>
        <v>174.21706499999999</v>
      </c>
      <c r="M7232" s="282" t="e">
        <f>(INDEX(Tabla6[#All],MATCH(Tabla4[[#This Row],[Producto]],Tabla6[[#All],[PRODUCTO]],0),MATCH(Tabla4[[#This Row],[Mes]],Tabla6[#Headers],0)))*(1+Catalogos!$L$2)</f>
        <v>#N/A</v>
      </c>
      <c r="N7232" s="283" t="e">
        <f>+(Tabla4[[#This Row],[Precio Descontado]]-Tabla4[[#This Row],[Precio Base]])*Tabla4[[#This Row],[Cantidad]]</f>
        <v>#N/A</v>
      </c>
      <c r="O7232" s="284" t="e">
        <f>++Tabla4[[#This Row],[Utilidad Total]]/Tabla4[[#This Row],[Total]]</f>
        <v>#N/A</v>
      </c>
      <c r="P7232" s="282">
        <f>++Tabla4[[#This Row],[Precio Descontado]]*Tabla4[[#This Row],[Cantidad]]</f>
        <v>1393.7365199999999</v>
      </c>
      <c r="Q7232" s="282" t="e">
        <f>(INDEX(Tabla6[#All],MATCH(Tabla4[[#This Row],[Producto]],Tabla6[[#All],[PRODUCTO]],0),MATCH(Tabla4[[#This Row],[Mes]],Tabla6[#Headers],0)))</f>
        <v>#N/A</v>
      </c>
      <c r="R7232" s="282" t="e">
        <f>++Tabla4[[#This Row],[Precio Unitario Neto]]-Tabla4[[#This Row],[20.85%]]-Tabla4[[#This Row],[Costo]]</f>
        <v>#N/A</v>
      </c>
      <c r="S7232" s="282" t="e">
        <f>++Tabla4[[#This Row],[U. Bruta Uni]]*Tabla4[[#This Row],[Cantidad]]</f>
        <v>#N/A</v>
      </c>
      <c r="T7232" s="369" t="str">
        <f>VLOOKUP(Tabla4[[#This Row],[Producto]],Tabla6[#All],14,FALSE)</f>
        <v>Termico Solar</v>
      </c>
      <c r="U7232" s="284" t="e">
        <f>(IF(Tabla4[[#This Row],[Familia]]="termico solar",Tabla4[[#This Row],[Utilidad Total]]*6%,Tabla4[[#This Row],[Utilidad Total]]*11.5%))/Tabla4[[#This Row],[Total]]</f>
        <v>#N/A</v>
      </c>
      <c r="V7232" s="282" t="e">
        <f>+Tabla4[[#This Row],[Comisión Calculada]]*Tabla4[[#This Row],[Total]]</f>
        <v>#N/A</v>
      </c>
    </row>
    <row r="7233" spans="1:22" hidden="1" x14ac:dyDescent="0.25">
      <c r="A7233" s="100">
        <v>45991</v>
      </c>
      <c r="B7233" t="str">
        <f t="shared" si="597"/>
        <v>November</v>
      </c>
      <c r="C7233" s="46" t="s">
        <v>280</v>
      </c>
      <c r="F7233" s="366" t="s">
        <v>3635</v>
      </c>
      <c r="G7233" s="46" t="s">
        <v>17</v>
      </c>
      <c r="H7233" s="46">
        <v>4</v>
      </c>
      <c r="I7233" s="51">
        <v>4622.28</v>
      </c>
      <c r="J7233" s="281">
        <f>++Tabla4[[#This Row],[Precio Bruto]]*1.16</f>
        <v>5361.8447999999989</v>
      </c>
      <c r="K7233" s="281">
        <f>+Tabla4[[#This Row],[Precio Unitario Neto]]*Tabla4[[#Headers],[20.85%]]</f>
        <v>1117.9446407999997</v>
      </c>
      <c r="L7233" s="282">
        <f>++Tabla4[[#This Row],[Precio Unitario Neto]]-Tabla4[[#This Row],[20.85%]]</f>
        <v>4243.9001591999995</v>
      </c>
      <c r="M7233" s="282" t="e">
        <f>(INDEX(Tabla6[#All],MATCH(Tabla4[[#This Row],[Producto]],Tabla6[[#All],[PRODUCTO]],0),MATCH(Tabla4[[#This Row],[Mes]],Tabla6[#Headers],0)))*(1+Catalogos!$L$2)</f>
        <v>#N/A</v>
      </c>
      <c r="N7233" s="283" t="e">
        <f>+(Tabla4[[#This Row],[Precio Descontado]]-Tabla4[[#This Row],[Precio Base]])*Tabla4[[#This Row],[Cantidad]]</f>
        <v>#N/A</v>
      </c>
      <c r="O7233" s="284" t="e">
        <f>++Tabla4[[#This Row],[Utilidad Total]]/Tabla4[[#This Row],[Total]]</f>
        <v>#N/A</v>
      </c>
      <c r="P7233" s="282">
        <f>++Tabla4[[#This Row],[Precio Descontado]]*Tabla4[[#This Row],[Cantidad]]</f>
        <v>16975.600636799998</v>
      </c>
      <c r="Q7233" s="282" t="e">
        <f>(INDEX(Tabla6[#All],MATCH(Tabla4[[#This Row],[Producto]],Tabla6[[#All],[PRODUCTO]],0),MATCH(Tabla4[[#This Row],[Mes]],Tabla6[#Headers],0)))</f>
        <v>#N/A</v>
      </c>
      <c r="R7233" s="282" t="e">
        <f>++Tabla4[[#This Row],[Precio Unitario Neto]]-Tabla4[[#This Row],[20.85%]]-Tabla4[[#This Row],[Costo]]</f>
        <v>#N/A</v>
      </c>
      <c r="S7233" s="282" t="e">
        <f>++Tabla4[[#This Row],[U. Bruta Uni]]*Tabla4[[#This Row],[Cantidad]]</f>
        <v>#N/A</v>
      </c>
      <c r="T7233" s="369" t="str">
        <f>VLOOKUP(Tabla4[[#This Row],[Producto]],Tabla6[#All],14,FALSE)</f>
        <v>Termico Solar</v>
      </c>
      <c r="U7233" s="284" t="e">
        <f>(IF(Tabla4[[#This Row],[Familia]]="termico solar",Tabla4[[#This Row],[Utilidad Total]]*6%,Tabla4[[#This Row],[Utilidad Total]]*11.5%))/Tabla4[[#This Row],[Total]]</f>
        <v>#N/A</v>
      </c>
      <c r="V7233" s="282" t="e">
        <f>+Tabla4[[#This Row],[Comisión Calculada]]*Tabla4[[#This Row],[Total]]</f>
        <v>#N/A</v>
      </c>
    </row>
    <row r="7234" spans="1:22" x14ac:dyDescent="0.25">
      <c r="A7234" s="100">
        <v>46006</v>
      </c>
      <c r="B7234" t="str">
        <f t="shared" ref="B7234:B7237" si="598">TEXT(A7234, "mmmm")</f>
        <v>December</v>
      </c>
      <c r="C7234" s="46" t="s">
        <v>280</v>
      </c>
      <c r="F7234" s="366" t="s">
        <v>3650</v>
      </c>
      <c r="G7234" s="46" t="s">
        <v>566</v>
      </c>
      <c r="H7234" s="46">
        <v>1</v>
      </c>
      <c r="I7234" s="51">
        <v>2109.4499999999998</v>
      </c>
      <c r="J7234" s="281">
        <f>++Tabla4[[#This Row],[Precio Bruto]]*1.16</f>
        <v>2446.9619999999995</v>
      </c>
      <c r="K7234" s="281">
        <f>+Tabla4[[#This Row],[Precio Unitario Neto]]*Tabla4[[#Headers],[20.85%]]</f>
        <v>510.19157699999988</v>
      </c>
      <c r="L7234" s="282">
        <f>++Tabla4[[#This Row],[Precio Unitario Neto]]-Tabla4[[#This Row],[20.85%]]</f>
        <v>1936.7704229999997</v>
      </c>
      <c r="M7234" s="282" t="e">
        <f>(INDEX(Tabla6[#All],MATCH(Tabla4[[#This Row],[Producto]],Tabla6[[#All],[PRODUCTO]],0),MATCH(Tabla4[[#This Row],[Mes]],Tabla6[#Headers],0)))*(1+Catalogos!$L$2)</f>
        <v>#N/A</v>
      </c>
      <c r="N7234" s="283" t="e">
        <f>+(Tabla4[[#This Row],[Precio Descontado]]-Tabla4[[#This Row],[Precio Base]])*Tabla4[[#This Row],[Cantidad]]</f>
        <v>#N/A</v>
      </c>
      <c r="O7234" s="284" t="e">
        <f>++Tabla4[[#This Row],[Utilidad Total]]/Tabla4[[#This Row],[Total]]</f>
        <v>#N/A</v>
      </c>
      <c r="P7234" s="282">
        <f>++Tabla4[[#This Row],[Precio Descontado]]*Tabla4[[#This Row],[Cantidad]]</f>
        <v>1936.7704229999997</v>
      </c>
      <c r="Q7234" s="282" t="e">
        <f>(INDEX(Tabla6[#All],MATCH(Tabla4[[#This Row],[Producto]],Tabla6[[#All],[PRODUCTO]],0),MATCH(Tabla4[[#This Row],[Mes]],Tabla6[#Headers],0)))</f>
        <v>#N/A</v>
      </c>
      <c r="R7234" s="282" t="e">
        <f>++Tabla4[[#This Row],[Precio Unitario Neto]]-Tabla4[[#This Row],[20.85%]]-Tabla4[[#This Row],[Costo]]</f>
        <v>#N/A</v>
      </c>
      <c r="S7234" s="282" t="e">
        <f>++Tabla4[[#This Row],[U. Bruta Uni]]*Tabla4[[#This Row],[Cantidad]]</f>
        <v>#N/A</v>
      </c>
      <c r="T7234" s="369" t="str">
        <f>VLOOKUP(Tabla4[[#This Row],[Producto]],Tabla6[#All],14,FALSE)</f>
        <v>Termico Solar</v>
      </c>
      <c r="U7234" s="284" t="e">
        <f>(IF(Tabla4[[#This Row],[Familia]]="termico solar",Tabla4[[#This Row],[Utilidad Total]]*6%,Tabla4[[#This Row],[Utilidad Total]]*11.5%))/Tabla4[[#This Row],[Total]]</f>
        <v>#N/A</v>
      </c>
      <c r="V7234" s="282" t="e">
        <f>+Tabla4[[#This Row],[Comisión Calculada]]*Tabla4[[#This Row],[Total]]</f>
        <v>#N/A</v>
      </c>
    </row>
    <row r="7235" spans="1:22" x14ac:dyDescent="0.25">
      <c r="A7235" s="100">
        <v>46006</v>
      </c>
      <c r="B7235" t="str">
        <f t="shared" si="598"/>
        <v>December</v>
      </c>
      <c r="C7235" s="46" t="s">
        <v>280</v>
      </c>
      <c r="F7235" s="366" t="s">
        <v>3650</v>
      </c>
      <c r="G7235" s="46" t="s">
        <v>412</v>
      </c>
      <c r="H7235" s="46">
        <v>1</v>
      </c>
      <c r="I7235" s="51">
        <v>3240.84</v>
      </c>
      <c r="J7235" s="281">
        <f>++Tabla4[[#This Row],[Precio Bruto]]*1.16</f>
        <v>3759.3743999999997</v>
      </c>
      <c r="K7235" s="281">
        <f>+Tabla4[[#This Row],[Precio Unitario Neto]]*Tabla4[[#Headers],[20.85%]]</f>
        <v>783.82956239999987</v>
      </c>
      <c r="L7235" s="282">
        <f>++Tabla4[[#This Row],[Precio Unitario Neto]]-Tabla4[[#This Row],[20.85%]]</f>
        <v>2975.5448375999999</v>
      </c>
      <c r="M7235" s="282" t="e">
        <f>(INDEX(Tabla6[#All],MATCH(Tabla4[[#This Row],[Producto]],Tabla6[[#All],[PRODUCTO]],0),MATCH(Tabla4[[#This Row],[Mes]],Tabla6[#Headers],0)))*(1+Catalogos!$L$2)</f>
        <v>#N/A</v>
      </c>
      <c r="N7235" s="283" t="e">
        <f>+(Tabla4[[#This Row],[Precio Descontado]]-Tabla4[[#This Row],[Precio Base]])*Tabla4[[#This Row],[Cantidad]]</f>
        <v>#N/A</v>
      </c>
      <c r="O7235" s="284" t="e">
        <f>++Tabla4[[#This Row],[Utilidad Total]]/Tabla4[[#This Row],[Total]]</f>
        <v>#N/A</v>
      </c>
      <c r="P7235" s="282">
        <f>++Tabla4[[#This Row],[Precio Descontado]]*Tabla4[[#This Row],[Cantidad]]</f>
        <v>2975.5448375999999</v>
      </c>
      <c r="Q7235" s="282" t="e">
        <f>(INDEX(Tabla6[#All],MATCH(Tabla4[[#This Row],[Producto]],Tabla6[[#All],[PRODUCTO]],0),MATCH(Tabla4[[#This Row],[Mes]],Tabla6[#Headers],0)))</f>
        <v>#N/A</v>
      </c>
      <c r="R7235" s="282" t="e">
        <f>++Tabla4[[#This Row],[Precio Unitario Neto]]-Tabla4[[#This Row],[20.85%]]-Tabla4[[#This Row],[Costo]]</f>
        <v>#N/A</v>
      </c>
      <c r="S7235" s="282" t="e">
        <f>++Tabla4[[#This Row],[U. Bruta Uni]]*Tabla4[[#This Row],[Cantidad]]</f>
        <v>#N/A</v>
      </c>
      <c r="T7235" s="369" t="str">
        <f>VLOOKUP(Tabla4[[#This Row],[Producto]],Tabla6[#All],14,FALSE)</f>
        <v>Termico Solar</v>
      </c>
      <c r="U7235" s="284" t="e">
        <f>(IF(Tabla4[[#This Row],[Familia]]="termico solar",Tabla4[[#This Row],[Utilidad Total]]*6%,Tabla4[[#This Row],[Utilidad Total]]*11.5%))/Tabla4[[#This Row],[Total]]</f>
        <v>#N/A</v>
      </c>
      <c r="V7235" s="282" t="e">
        <f>+Tabla4[[#This Row],[Comisión Calculada]]*Tabla4[[#This Row],[Total]]</f>
        <v>#N/A</v>
      </c>
    </row>
    <row r="7236" spans="1:22" x14ac:dyDescent="0.25">
      <c r="A7236" s="100">
        <v>46006</v>
      </c>
      <c r="B7236" t="str">
        <f t="shared" si="598"/>
        <v>December</v>
      </c>
      <c r="C7236" s="46" t="s">
        <v>280</v>
      </c>
      <c r="F7236" s="366" t="s">
        <v>3650</v>
      </c>
      <c r="G7236" s="46" t="s">
        <v>394</v>
      </c>
      <c r="H7236" s="46">
        <v>16</v>
      </c>
      <c r="I7236" s="51">
        <v>224.29</v>
      </c>
      <c r="J7236" s="281">
        <f>++Tabla4[[#This Row],[Precio Bruto]]*1.16</f>
        <v>260.1764</v>
      </c>
      <c r="K7236" s="281">
        <f>+Tabla4[[#This Row],[Precio Unitario Neto]]*Tabla4[[#Headers],[20.85%]]</f>
        <v>54.246779400000001</v>
      </c>
      <c r="L7236" s="282">
        <f>++Tabla4[[#This Row],[Precio Unitario Neto]]-Tabla4[[#This Row],[20.85%]]</f>
        <v>205.92962059999999</v>
      </c>
      <c r="M7236" s="282" t="e">
        <f>(INDEX(Tabla6[#All],MATCH(Tabla4[[#This Row],[Producto]],Tabla6[[#All],[PRODUCTO]],0),MATCH(Tabla4[[#This Row],[Mes]],Tabla6[#Headers],0)))*(1+Catalogos!$L$2)</f>
        <v>#N/A</v>
      </c>
      <c r="N7236" s="283" t="e">
        <f>+(Tabla4[[#This Row],[Precio Descontado]]-Tabla4[[#This Row],[Precio Base]])*Tabla4[[#This Row],[Cantidad]]</f>
        <v>#N/A</v>
      </c>
      <c r="O7236" s="284" t="e">
        <f>++Tabla4[[#This Row],[Utilidad Total]]/Tabla4[[#This Row],[Total]]</f>
        <v>#N/A</v>
      </c>
      <c r="P7236" s="282">
        <f>++Tabla4[[#This Row],[Precio Descontado]]*Tabla4[[#This Row],[Cantidad]]</f>
        <v>3294.8739295999999</v>
      </c>
      <c r="Q7236" s="282" t="e">
        <f>(INDEX(Tabla6[#All],MATCH(Tabla4[[#This Row],[Producto]],Tabla6[[#All],[PRODUCTO]],0),MATCH(Tabla4[[#This Row],[Mes]],Tabla6[#Headers],0)))</f>
        <v>#N/A</v>
      </c>
      <c r="R7236" s="282" t="e">
        <f>++Tabla4[[#This Row],[Precio Unitario Neto]]-Tabla4[[#This Row],[20.85%]]-Tabla4[[#This Row],[Costo]]</f>
        <v>#N/A</v>
      </c>
      <c r="S7236" s="282" t="e">
        <f>++Tabla4[[#This Row],[U. Bruta Uni]]*Tabla4[[#This Row],[Cantidad]]</f>
        <v>#N/A</v>
      </c>
      <c r="T7236" s="369" t="str">
        <f>VLOOKUP(Tabla4[[#This Row],[Producto]],Tabla6[#All],14,FALSE)</f>
        <v>Termico Solar</v>
      </c>
      <c r="U7236" s="284" t="e">
        <f>(IF(Tabla4[[#This Row],[Familia]]="termico solar",Tabla4[[#This Row],[Utilidad Total]]*6%,Tabla4[[#This Row],[Utilidad Total]]*11.5%))/Tabla4[[#This Row],[Total]]</f>
        <v>#N/A</v>
      </c>
      <c r="V7236" s="282" t="e">
        <f>+Tabla4[[#This Row],[Comisión Calculada]]*Tabla4[[#This Row],[Total]]</f>
        <v>#N/A</v>
      </c>
    </row>
    <row r="7237" spans="1:22" x14ac:dyDescent="0.25">
      <c r="A7237" s="100">
        <v>46006</v>
      </c>
      <c r="B7237" t="str">
        <f t="shared" si="598"/>
        <v>December</v>
      </c>
      <c r="C7237" s="46" t="s">
        <v>280</v>
      </c>
      <c r="F7237" s="366" t="s">
        <v>3650</v>
      </c>
      <c r="G7237" s="46" t="s">
        <v>208</v>
      </c>
      <c r="H7237" s="46">
        <v>2</v>
      </c>
      <c r="I7237" s="51">
        <v>189.75</v>
      </c>
      <c r="J7237" s="281">
        <f>++Tabla4[[#This Row],[Precio Bruto]]*1.16</f>
        <v>220.10999999999999</v>
      </c>
      <c r="K7237" s="281">
        <f>+Tabla4[[#This Row],[Precio Unitario Neto]]*Tabla4[[#Headers],[20.85%]]</f>
        <v>45.892934999999994</v>
      </c>
      <c r="L7237" s="282">
        <f>++Tabla4[[#This Row],[Precio Unitario Neto]]-Tabla4[[#This Row],[20.85%]]</f>
        <v>174.21706499999999</v>
      </c>
      <c r="M7237" s="282" t="e">
        <f>(INDEX(Tabla6[#All],MATCH(Tabla4[[#This Row],[Producto]],Tabla6[[#All],[PRODUCTO]],0),MATCH(Tabla4[[#This Row],[Mes]],Tabla6[#Headers],0)))*(1+Catalogos!$L$2)</f>
        <v>#N/A</v>
      </c>
      <c r="N7237" s="283" t="e">
        <f>+(Tabla4[[#This Row],[Precio Descontado]]-Tabla4[[#This Row],[Precio Base]])*Tabla4[[#This Row],[Cantidad]]</f>
        <v>#N/A</v>
      </c>
      <c r="O7237" s="284" t="e">
        <f>++Tabla4[[#This Row],[Utilidad Total]]/Tabla4[[#This Row],[Total]]</f>
        <v>#N/A</v>
      </c>
      <c r="P7237" s="282">
        <f>++Tabla4[[#This Row],[Precio Descontado]]*Tabla4[[#This Row],[Cantidad]]</f>
        <v>348.43412999999998</v>
      </c>
      <c r="Q7237" s="282" t="e">
        <f>(INDEX(Tabla6[#All],MATCH(Tabla4[[#This Row],[Producto]],Tabla6[[#All],[PRODUCTO]],0),MATCH(Tabla4[[#This Row],[Mes]],Tabla6[#Headers],0)))</f>
        <v>#N/A</v>
      </c>
      <c r="R7237" s="282" t="e">
        <f>++Tabla4[[#This Row],[Precio Unitario Neto]]-Tabla4[[#This Row],[20.85%]]-Tabla4[[#This Row],[Costo]]</f>
        <v>#N/A</v>
      </c>
      <c r="S7237" s="282" t="e">
        <f>++Tabla4[[#This Row],[U. Bruta Uni]]*Tabla4[[#This Row],[Cantidad]]</f>
        <v>#N/A</v>
      </c>
      <c r="T7237" s="369" t="str">
        <f>VLOOKUP(Tabla4[[#This Row],[Producto]],Tabla6[#All],14,FALSE)</f>
        <v>Termico Solar</v>
      </c>
      <c r="U7237" s="284" t="e">
        <f>(IF(Tabla4[[#This Row],[Familia]]="termico solar",Tabla4[[#This Row],[Utilidad Total]]*6%,Tabla4[[#This Row],[Utilidad Total]]*11.5%))/Tabla4[[#This Row],[Total]]</f>
        <v>#N/A</v>
      </c>
      <c r="V7237" s="282" t="e">
        <f>+Tabla4[[#This Row],[Comisión Calculada]]*Tabla4[[#This Row],[Total]]</f>
        <v>#N/A</v>
      </c>
    </row>
    <row r="7238" spans="1:22" x14ac:dyDescent="0.25">
      <c r="A7238" s="100">
        <v>46006</v>
      </c>
      <c r="B7238" t="str">
        <f t="shared" ref="B7238:B7248" si="599">TEXT(A7238, "mmmm")</f>
        <v>December</v>
      </c>
      <c r="C7238" s="46" t="s">
        <v>280</v>
      </c>
      <c r="F7238" s="366" t="s">
        <v>3651</v>
      </c>
      <c r="G7238" s="46" t="s">
        <v>83</v>
      </c>
      <c r="H7238" s="46">
        <v>1</v>
      </c>
      <c r="I7238" s="51">
        <v>8858.76</v>
      </c>
      <c r="J7238" s="281">
        <f>++Tabla4[[#This Row],[Precio Bruto]]*1.16</f>
        <v>10276.161599999999</v>
      </c>
      <c r="K7238" s="281">
        <f>+Tabla4[[#This Row],[Precio Unitario Neto]]*Tabla4[[#Headers],[20.85%]]</f>
        <v>2142.5796935999997</v>
      </c>
      <c r="L7238" s="282">
        <f>++Tabla4[[#This Row],[Precio Unitario Neto]]-Tabla4[[#This Row],[20.85%]]</f>
        <v>8133.5819063999998</v>
      </c>
      <c r="M7238" s="282" t="e">
        <f>(INDEX(Tabla6[#All],MATCH(Tabla4[[#This Row],[Producto]],Tabla6[[#All],[PRODUCTO]],0),MATCH(Tabla4[[#This Row],[Mes]],Tabla6[#Headers],0)))*(1+Catalogos!$L$2)</f>
        <v>#N/A</v>
      </c>
      <c r="N7238" s="283" t="e">
        <f>+(Tabla4[[#This Row],[Precio Descontado]]-Tabla4[[#This Row],[Precio Base]])*Tabla4[[#This Row],[Cantidad]]</f>
        <v>#N/A</v>
      </c>
      <c r="O7238" s="284" t="e">
        <f>++Tabla4[[#This Row],[Utilidad Total]]/Tabla4[[#This Row],[Total]]</f>
        <v>#N/A</v>
      </c>
      <c r="P7238" s="282">
        <f>++Tabla4[[#This Row],[Precio Descontado]]*Tabla4[[#This Row],[Cantidad]]</f>
        <v>8133.5819063999998</v>
      </c>
      <c r="Q7238" s="282" t="e">
        <f>(INDEX(Tabla6[#All],MATCH(Tabla4[[#This Row],[Producto]],Tabla6[[#All],[PRODUCTO]],0),MATCH(Tabla4[[#This Row],[Mes]],Tabla6[#Headers],0)))</f>
        <v>#N/A</v>
      </c>
      <c r="R7238" s="282" t="e">
        <f>++Tabla4[[#This Row],[Precio Unitario Neto]]-Tabla4[[#This Row],[20.85%]]-Tabla4[[#This Row],[Costo]]</f>
        <v>#N/A</v>
      </c>
      <c r="S7238" s="282" t="e">
        <f>++Tabla4[[#This Row],[U. Bruta Uni]]*Tabla4[[#This Row],[Cantidad]]</f>
        <v>#N/A</v>
      </c>
      <c r="T7238" s="369" t="str">
        <f>VLOOKUP(Tabla4[[#This Row],[Producto]],Tabla6[#All],14,FALSE)</f>
        <v>Termico Solar</v>
      </c>
      <c r="U7238" s="284" t="e">
        <f>(IF(Tabla4[[#This Row],[Familia]]="termico solar",Tabla4[[#This Row],[Utilidad Total]]*6%,Tabla4[[#This Row],[Utilidad Total]]*11.5%))/Tabla4[[#This Row],[Total]]</f>
        <v>#N/A</v>
      </c>
      <c r="V7238" s="282" t="e">
        <f>+Tabla4[[#This Row],[Comisión Calculada]]*Tabla4[[#This Row],[Total]]</f>
        <v>#N/A</v>
      </c>
    </row>
    <row r="7239" spans="1:22" x14ac:dyDescent="0.25">
      <c r="A7239" s="100">
        <v>46006</v>
      </c>
      <c r="B7239" t="str">
        <f t="shared" si="599"/>
        <v>December</v>
      </c>
      <c r="C7239" s="46" t="s">
        <v>280</v>
      </c>
      <c r="F7239" s="366" t="s">
        <v>3651</v>
      </c>
      <c r="G7239" s="46" t="s">
        <v>17</v>
      </c>
      <c r="H7239" s="46">
        <v>7</v>
      </c>
      <c r="I7239" s="51">
        <v>4622.28</v>
      </c>
      <c r="J7239" s="281">
        <f>++Tabla4[[#This Row],[Precio Bruto]]*1.16</f>
        <v>5361.8447999999989</v>
      </c>
      <c r="K7239" s="281">
        <f>+Tabla4[[#This Row],[Precio Unitario Neto]]*Tabla4[[#Headers],[20.85%]]</f>
        <v>1117.9446407999997</v>
      </c>
      <c r="L7239" s="282">
        <f>++Tabla4[[#This Row],[Precio Unitario Neto]]-Tabla4[[#This Row],[20.85%]]</f>
        <v>4243.9001591999995</v>
      </c>
      <c r="M7239" s="282" t="e">
        <f>(INDEX(Tabla6[#All],MATCH(Tabla4[[#This Row],[Producto]],Tabla6[[#All],[PRODUCTO]],0),MATCH(Tabla4[[#This Row],[Mes]],Tabla6[#Headers],0)))*(1+Catalogos!$L$2)</f>
        <v>#N/A</v>
      </c>
      <c r="N7239" s="283" t="e">
        <f>+(Tabla4[[#This Row],[Precio Descontado]]-Tabla4[[#This Row],[Precio Base]])*Tabla4[[#This Row],[Cantidad]]</f>
        <v>#N/A</v>
      </c>
      <c r="O7239" s="284" t="e">
        <f>++Tabla4[[#This Row],[Utilidad Total]]/Tabla4[[#This Row],[Total]]</f>
        <v>#N/A</v>
      </c>
      <c r="P7239" s="282">
        <f>++Tabla4[[#This Row],[Precio Descontado]]*Tabla4[[#This Row],[Cantidad]]</f>
        <v>29707.301114399997</v>
      </c>
      <c r="Q7239" s="282" t="e">
        <f>(INDEX(Tabla6[#All],MATCH(Tabla4[[#This Row],[Producto]],Tabla6[[#All],[PRODUCTO]],0),MATCH(Tabla4[[#This Row],[Mes]],Tabla6[#Headers],0)))</f>
        <v>#N/A</v>
      </c>
      <c r="R7239" s="282" t="e">
        <f>++Tabla4[[#This Row],[Precio Unitario Neto]]-Tabla4[[#This Row],[20.85%]]-Tabla4[[#This Row],[Costo]]</f>
        <v>#N/A</v>
      </c>
      <c r="S7239" s="282" t="e">
        <f>++Tabla4[[#This Row],[U. Bruta Uni]]*Tabla4[[#This Row],[Cantidad]]</f>
        <v>#N/A</v>
      </c>
      <c r="T7239" s="369" t="str">
        <f>VLOOKUP(Tabla4[[#This Row],[Producto]],Tabla6[#All],14,FALSE)</f>
        <v>Termico Solar</v>
      </c>
      <c r="U7239" s="284" t="e">
        <f>(IF(Tabla4[[#This Row],[Familia]]="termico solar",Tabla4[[#This Row],[Utilidad Total]]*6%,Tabla4[[#This Row],[Utilidad Total]]*11.5%))/Tabla4[[#This Row],[Total]]</f>
        <v>#N/A</v>
      </c>
      <c r="V7239" s="282" t="e">
        <f>+Tabla4[[#This Row],[Comisión Calculada]]*Tabla4[[#This Row],[Total]]</f>
        <v>#N/A</v>
      </c>
    </row>
    <row r="7240" spans="1:22" x14ac:dyDescent="0.25">
      <c r="A7240" s="100">
        <v>46006</v>
      </c>
      <c r="B7240" t="str">
        <f t="shared" si="599"/>
        <v>December</v>
      </c>
      <c r="C7240" s="46" t="s">
        <v>280</v>
      </c>
      <c r="F7240" s="366" t="s">
        <v>3651</v>
      </c>
      <c r="G7240" s="46" t="s">
        <v>19</v>
      </c>
      <c r="H7240" s="46">
        <v>3</v>
      </c>
      <c r="I7240" s="51">
        <v>6412.03</v>
      </c>
      <c r="J7240" s="281">
        <f>++Tabla4[[#This Row],[Precio Bruto]]*1.16</f>
        <v>7437.9547999999995</v>
      </c>
      <c r="K7240" s="281">
        <f>+Tabla4[[#This Row],[Precio Unitario Neto]]*Tabla4[[#Headers],[20.85%]]</f>
        <v>1550.8135757999999</v>
      </c>
      <c r="L7240" s="282">
        <f>++Tabla4[[#This Row],[Precio Unitario Neto]]-Tabla4[[#This Row],[20.85%]]</f>
        <v>5887.1412241999997</v>
      </c>
      <c r="M7240" s="282" t="e">
        <f>(INDEX(Tabla6[#All],MATCH(Tabla4[[#This Row],[Producto]],Tabla6[[#All],[PRODUCTO]],0),MATCH(Tabla4[[#This Row],[Mes]],Tabla6[#Headers],0)))*(1+Catalogos!$L$2)</f>
        <v>#N/A</v>
      </c>
      <c r="N7240" s="283" t="e">
        <f>+(Tabla4[[#This Row],[Precio Descontado]]-Tabla4[[#This Row],[Precio Base]])*Tabla4[[#This Row],[Cantidad]]</f>
        <v>#N/A</v>
      </c>
      <c r="O7240" s="284" t="e">
        <f>++Tabla4[[#This Row],[Utilidad Total]]/Tabla4[[#This Row],[Total]]</f>
        <v>#N/A</v>
      </c>
      <c r="P7240" s="282">
        <f>++Tabla4[[#This Row],[Precio Descontado]]*Tabla4[[#This Row],[Cantidad]]</f>
        <v>17661.423672599998</v>
      </c>
      <c r="Q7240" s="282" t="e">
        <f>(INDEX(Tabla6[#All],MATCH(Tabla4[[#This Row],[Producto]],Tabla6[[#All],[PRODUCTO]],0),MATCH(Tabla4[[#This Row],[Mes]],Tabla6[#Headers],0)))</f>
        <v>#N/A</v>
      </c>
      <c r="R7240" s="282" t="e">
        <f>++Tabla4[[#This Row],[Precio Unitario Neto]]-Tabla4[[#This Row],[20.85%]]-Tabla4[[#This Row],[Costo]]</f>
        <v>#N/A</v>
      </c>
      <c r="S7240" s="282" t="e">
        <f>++Tabla4[[#This Row],[U. Bruta Uni]]*Tabla4[[#This Row],[Cantidad]]</f>
        <v>#N/A</v>
      </c>
      <c r="T7240" s="369" t="str">
        <f>VLOOKUP(Tabla4[[#This Row],[Producto]],Tabla6[#All],14,FALSE)</f>
        <v>Termico Solar</v>
      </c>
      <c r="U7240" s="284" t="e">
        <f>(IF(Tabla4[[#This Row],[Familia]]="termico solar",Tabla4[[#This Row],[Utilidad Total]]*6%,Tabla4[[#This Row],[Utilidad Total]]*11.5%))/Tabla4[[#This Row],[Total]]</f>
        <v>#N/A</v>
      </c>
      <c r="V7240" s="282" t="e">
        <f>+Tabla4[[#This Row],[Comisión Calculada]]*Tabla4[[#This Row],[Total]]</f>
        <v>#N/A</v>
      </c>
    </row>
    <row r="7241" spans="1:22" x14ac:dyDescent="0.25">
      <c r="A7241" s="100">
        <v>46006</v>
      </c>
      <c r="B7241" t="str">
        <f t="shared" si="599"/>
        <v>December</v>
      </c>
      <c r="C7241" s="46" t="s">
        <v>280</v>
      </c>
      <c r="F7241" s="366" t="s">
        <v>3651</v>
      </c>
      <c r="G7241" s="46" t="s">
        <v>21</v>
      </c>
      <c r="H7241" s="46">
        <v>4</v>
      </c>
      <c r="I7241" s="51">
        <v>9282.19</v>
      </c>
      <c r="J7241" s="281">
        <f>++Tabla4[[#This Row],[Precio Bruto]]*1.16</f>
        <v>10767.340399999999</v>
      </c>
      <c r="K7241" s="281">
        <f>+Tabla4[[#This Row],[Precio Unitario Neto]]*Tabla4[[#Headers],[20.85%]]</f>
        <v>2244.9904733999997</v>
      </c>
      <c r="L7241" s="282">
        <f>++Tabla4[[#This Row],[Precio Unitario Neto]]-Tabla4[[#This Row],[20.85%]]</f>
        <v>8522.3499265999999</v>
      </c>
      <c r="M7241" s="282" t="e">
        <f>(INDEX(Tabla6[#All],MATCH(Tabla4[[#This Row],[Producto]],Tabla6[[#All],[PRODUCTO]],0),MATCH(Tabla4[[#This Row],[Mes]],Tabla6[#Headers],0)))*(1+Catalogos!$L$2)</f>
        <v>#N/A</v>
      </c>
      <c r="N7241" s="283" t="e">
        <f>+(Tabla4[[#This Row],[Precio Descontado]]-Tabla4[[#This Row],[Precio Base]])*Tabla4[[#This Row],[Cantidad]]</f>
        <v>#N/A</v>
      </c>
      <c r="O7241" s="284" t="e">
        <f>++Tabla4[[#This Row],[Utilidad Total]]/Tabla4[[#This Row],[Total]]</f>
        <v>#N/A</v>
      </c>
      <c r="P7241" s="282">
        <f>++Tabla4[[#This Row],[Precio Descontado]]*Tabla4[[#This Row],[Cantidad]]</f>
        <v>34089.3997064</v>
      </c>
      <c r="Q7241" s="282" t="e">
        <f>(INDEX(Tabla6[#All],MATCH(Tabla4[[#This Row],[Producto]],Tabla6[[#All],[PRODUCTO]],0),MATCH(Tabla4[[#This Row],[Mes]],Tabla6[#Headers],0)))</f>
        <v>#N/A</v>
      </c>
      <c r="R7241" s="282" t="e">
        <f>++Tabla4[[#This Row],[Precio Unitario Neto]]-Tabla4[[#This Row],[20.85%]]-Tabla4[[#This Row],[Costo]]</f>
        <v>#N/A</v>
      </c>
      <c r="S7241" s="282" t="e">
        <f>++Tabla4[[#This Row],[U. Bruta Uni]]*Tabla4[[#This Row],[Cantidad]]</f>
        <v>#N/A</v>
      </c>
      <c r="T7241" s="369" t="str">
        <f>VLOOKUP(Tabla4[[#This Row],[Producto]],Tabla6[#All],14,FALSE)</f>
        <v>Termico Solar</v>
      </c>
      <c r="U7241" s="284" t="e">
        <f>(IF(Tabla4[[#This Row],[Familia]]="termico solar",Tabla4[[#This Row],[Utilidad Total]]*6%,Tabla4[[#This Row],[Utilidad Total]]*11.5%))/Tabla4[[#This Row],[Total]]</f>
        <v>#N/A</v>
      </c>
      <c r="V7241" s="282" t="e">
        <f>+Tabla4[[#This Row],[Comisión Calculada]]*Tabla4[[#This Row],[Total]]</f>
        <v>#N/A</v>
      </c>
    </row>
    <row r="7242" spans="1:22" x14ac:dyDescent="0.25">
      <c r="A7242" s="100">
        <v>46006</v>
      </c>
      <c r="B7242" t="str">
        <f t="shared" si="599"/>
        <v>December</v>
      </c>
      <c r="C7242" s="46" t="s">
        <v>280</v>
      </c>
      <c r="F7242" s="366" t="s">
        <v>3651</v>
      </c>
      <c r="G7242" s="46" t="s">
        <v>22</v>
      </c>
      <c r="H7242" s="46">
        <v>6</v>
      </c>
      <c r="I7242" s="51">
        <v>13355.75</v>
      </c>
      <c r="J7242" s="281">
        <f>++Tabla4[[#This Row],[Precio Bruto]]*1.16</f>
        <v>15492.669999999998</v>
      </c>
      <c r="K7242" s="281">
        <f>+Tabla4[[#This Row],[Precio Unitario Neto]]*Tabla4[[#Headers],[20.85%]]</f>
        <v>3230.2216949999993</v>
      </c>
      <c r="L7242" s="282">
        <f>++Tabla4[[#This Row],[Precio Unitario Neto]]-Tabla4[[#This Row],[20.85%]]</f>
        <v>12262.448304999998</v>
      </c>
      <c r="M7242" s="282" t="e">
        <f>(INDEX(Tabla6[#All],MATCH(Tabla4[[#This Row],[Producto]],Tabla6[[#All],[PRODUCTO]],0),MATCH(Tabla4[[#This Row],[Mes]],Tabla6[#Headers],0)))*(1+Catalogos!$L$2)</f>
        <v>#N/A</v>
      </c>
      <c r="N7242" s="283" t="e">
        <f>+(Tabla4[[#This Row],[Precio Descontado]]-Tabla4[[#This Row],[Precio Base]])*Tabla4[[#This Row],[Cantidad]]</f>
        <v>#N/A</v>
      </c>
      <c r="O7242" s="284" t="e">
        <f>++Tabla4[[#This Row],[Utilidad Total]]/Tabla4[[#This Row],[Total]]</f>
        <v>#N/A</v>
      </c>
      <c r="P7242" s="282">
        <f>++Tabla4[[#This Row],[Precio Descontado]]*Tabla4[[#This Row],[Cantidad]]</f>
        <v>73574.689829999988</v>
      </c>
      <c r="Q7242" s="282" t="e">
        <f>(INDEX(Tabla6[#All],MATCH(Tabla4[[#This Row],[Producto]],Tabla6[[#All],[PRODUCTO]],0),MATCH(Tabla4[[#This Row],[Mes]],Tabla6[#Headers],0)))</f>
        <v>#N/A</v>
      </c>
      <c r="R7242" s="282" t="e">
        <f>++Tabla4[[#This Row],[Precio Unitario Neto]]-Tabla4[[#This Row],[20.85%]]-Tabla4[[#This Row],[Costo]]</f>
        <v>#N/A</v>
      </c>
      <c r="S7242" s="282" t="e">
        <f>++Tabla4[[#This Row],[U. Bruta Uni]]*Tabla4[[#This Row],[Cantidad]]</f>
        <v>#N/A</v>
      </c>
      <c r="T7242" s="369" t="str">
        <f>VLOOKUP(Tabla4[[#This Row],[Producto]],Tabla6[#All],14,FALSE)</f>
        <v>Termico Solar</v>
      </c>
      <c r="U7242" s="284" t="e">
        <f>(IF(Tabla4[[#This Row],[Familia]]="termico solar",Tabla4[[#This Row],[Utilidad Total]]*6%,Tabla4[[#This Row],[Utilidad Total]]*11.5%))/Tabla4[[#This Row],[Total]]</f>
        <v>#N/A</v>
      </c>
      <c r="V7242" s="282" t="e">
        <f>+Tabla4[[#This Row],[Comisión Calculada]]*Tabla4[[#This Row],[Total]]</f>
        <v>#N/A</v>
      </c>
    </row>
    <row r="7243" spans="1:22" x14ac:dyDescent="0.25">
      <c r="A7243" s="100">
        <v>46006</v>
      </c>
      <c r="B7243" t="str">
        <f t="shared" si="599"/>
        <v>December</v>
      </c>
      <c r="C7243" s="46" t="s">
        <v>280</v>
      </c>
      <c r="F7243" s="366" t="s">
        <v>3651</v>
      </c>
      <c r="G7243" s="46" t="s">
        <v>84</v>
      </c>
      <c r="H7243" s="46">
        <v>1</v>
      </c>
      <c r="I7243" s="51">
        <v>16601.830000000002</v>
      </c>
      <c r="J7243" s="281">
        <f>++Tabla4[[#This Row],[Precio Bruto]]*1.16</f>
        <v>19258.122800000001</v>
      </c>
      <c r="K7243" s="281">
        <f>+Tabla4[[#This Row],[Precio Unitario Neto]]*Tabla4[[#Headers],[20.85%]]</f>
        <v>4015.3186037999999</v>
      </c>
      <c r="L7243" s="282">
        <f>++Tabla4[[#This Row],[Precio Unitario Neto]]-Tabla4[[#This Row],[20.85%]]</f>
        <v>15242.804196200001</v>
      </c>
      <c r="M7243" s="282" t="e">
        <f>(INDEX(Tabla6[#All],MATCH(Tabla4[[#This Row],[Producto]],Tabla6[[#All],[PRODUCTO]],0),MATCH(Tabla4[[#This Row],[Mes]],Tabla6[#Headers],0)))*(1+Catalogos!$L$2)</f>
        <v>#N/A</v>
      </c>
      <c r="N7243" s="283" t="e">
        <f>+(Tabla4[[#This Row],[Precio Descontado]]-Tabla4[[#This Row],[Precio Base]])*Tabla4[[#This Row],[Cantidad]]</f>
        <v>#N/A</v>
      </c>
      <c r="O7243" s="284" t="e">
        <f>++Tabla4[[#This Row],[Utilidad Total]]/Tabla4[[#This Row],[Total]]</f>
        <v>#N/A</v>
      </c>
      <c r="P7243" s="282">
        <f>++Tabla4[[#This Row],[Precio Descontado]]*Tabla4[[#This Row],[Cantidad]]</f>
        <v>15242.804196200001</v>
      </c>
      <c r="Q7243" s="282" t="e">
        <f>(INDEX(Tabla6[#All],MATCH(Tabla4[[#This Row],[Producto]],Tabla6[[#All],[PRODUCTO]],0),MATCH(Tabla4[[#This Row],[Mes]],Tabla6[#Headers],0)))</f>
        <v>#N/A</v>
      </c>
      <c r="R7243" s="282" t="e">
        <f>++Tabla4[[#This Row],[Precio Unitario Neto]]-Tabla4[[#This Row],[20.85%]]-Tabla4[[#This Row],[Costo]]</f>
        <v>#N/A</v>
      </c>
      <c r="S7243" s="282" t="e">
        <f>++Tabla4[[#This Row],[U. Bruta Uni]]*Tabla4[[#This Row],[Cantidad]]</f>
        <v>#N/A</v>
      </c>
      <c r="T7243" s="369" t="str">
        <f>VLOOKUP(Tabla4[[#This Row],[Producto]],Tabla6[#All],14,FALSE)</f>
        <v>Termico Solar</v>
      </c>
      <c r="U7243" s="284" t="e">
        <f>(IF(Tabla4[[#This Row],[Familia]]="termico solar",Tabla4[[#This Row],[Utilidad Total]]*6%,Tabla4[[#This Row],[Utilidad Total]]*11.5%))/Tabla4[[#This Row],[Total]]</f>
        <v>#N/A</v>
      </c>
      <c r="V7243" s="282" t="e">
        <f>+Tabla4[[#This Row],[Comisión Calculada]]*Tabla4[[#This Row],[Total]]</f>
        <v>#N/A</v>
      </c>
    </row>
    <row r="7244" spans="1:22" x14ac:dyDescent="0.25">
      <c r="A7244" s="100">
        <v>46006</v>
      </c>
      <c r="B7244" t="str">
        <f t="shared" si="599"/>
        <v>December</v>
      </c>
      <c r="C7244" s="46" t="s">
        <v>280</v>
      </c>
      <c r="F7244" s="366" t="s">
        <v>3651</v>
      </c>
      <c r="G7244" s="46" t="s">
        <v>566</v>
      </c>
      <c r="H7244" s="46">
        <v>1</v>
      </c>
      <c r="I7244" s="51">
        <v>2109.4499999999998</v>
      </c>
      <c r="J7244" s="281">
        <f>++Tabla4[[#This Row],[Precio Bruto]]*1.16</f>
        <v>2446.9619999999995</v>
      </c>
      <c r="K7244" s="281">
        <f>+Tabla4[[#This Row],[Precio Unitario Neto]]*Tabla4[[#Headers],[20.85%]]</f>
        <v>510.19157699999988</v>
      </c>
      <c r="L7244" s="282">
        <f>++Tabla4[[#This Row],[Precio Unitario Neto]]-Tabla4[[#This Row],[20.85%]]</f>
        <v>1936.7704229999997</v>
      </c>
      <c r="M7244" s="282" t="e">
        <f>(INDEX(Tabla6[#All],MATCH(Tabla4[[#This Row],[Producto]],Tabla6[[#All],[PRODUCTO]],0),MATCH(Tabla4[[#This Row],[Mes]],Tabla6[#Headers],0)))*(1+Catalogos!$L$2)</f>
        <v>#N/A</v>
      </c>
      <c r="N7244" s="283" t="e">
        <f>+(Tabla4[[#This Row],[Precio Descontado]]-Tabla4[[#This Row],[Precio Base]])*Tabla4[[#This Row],[Cantidad]]</f>
        <v>#N/A</v>
      </c>
      <c r="O7244" s="284" t="e">
        <f>++Tabla4[[#This Row],[Utilidad Total]]/Tabla4[[#This Row],[Total]]</f>
        <v>#N/A</v>
      </c>
      <c r="P7244" s="282">
        <f>++Tabla4[[#This Row],[Precio Descontado]]*Tabla4[[#This Row],[Cantidad]]</f>
        <v>1936.7704229999997</v>
      </c>
      <c r="Q7244" s="282" t="e">
        <f>(INDEX(Tabla6[#All],MATCH(Tabla4[[#This Row],[Producto]],Tabla6[[#All],[PRODUCTO]],0),MATCH(Tabla4[[#This Row],[Mes]],Tabla6[#Headers],0)))</f>
        <v>#N/A</v>
      </c>
      <c r="R7244" s="282" t="e">
        <f>++Tabla4[[#This Row],[Precio Unitario Neto]]-Tabla4[[#This Row],[20.85%]]-Tabla4[[#This Row],[Costo]]</f>
        <v>#N/A</v>
      </c>
      <c r="S7244" s="282" t="e">
        <f>++Tabla4[[#This Row],[U. Bruta Uni]]*Tabla4[[#This Row],[Cantidad]]</f>
        <v>#N/A</v>
      </c>
      <c r="T7244" s="369" t="str">
        <f>VLOOKUP(Tabla4[[#This Row],[Producto]],Tabla6[#All],14,FALSE)</f>
        <v>Termico Solar</v>
      </c>
      <c r="U7244" s="284" t="e">
        <f>(IF(Tabla4[[#This Row],[Familia]]="termico solar",Tabla4[[#This Row],[Utilidad Total]]*6%,Tabla4[[#This Row],[Utilidad Total]]*11.5%))/Tabla4[[#This Row],[Total]]</f>
        <v>#N/A</v>
      </c>
      <c r="V7244" s="282" t="e">
        <f>+Tabla4[[#This Row],[Comisión Calculada]]*Tabla4[[#This Row],[Total]]</f>
        <v>#N/A</v>
      </c>
    </row>
    <row r="7245" spans="1:22" x14ac:dyDescent="0.25">
      <c r="A7245" s="100">
        <v>46006</v>
      </c>
      <c r="B7245" t="str">
        <f t="shared" si="599"/>
        <v>December</v>
      </c>
      <c r="C7245" s="46" t="s">
        <v>280</v>
      </c>
      <c r="F7245" s="366" t="s">
        <v>3651</v>
      </c>
      <c r="G7245" s="46" t="s">
        <v>16</v>
      </c>
      <c r="H7245" s="46">
        <v>1</v>
      </c>
      <c r="I7245" s="51">
        <v>4103.8500000000004</v>
      </c>
      <c r="J7245" s="281">
        <f>++Tabla4[[#This Row],[Precio Bruto]]*1.16</f>
        <v>4760.4660000000003</v>
      </c>
      <c r="K7245" s="281">
        <f>+Tabla4[[#This Row],[Precio Unitario Neto]]*Tabla4[[#Headers],[20.85%]]</f>
        <v>992.55716100000006</v>
      </c>
      <c r="L7245" s="282">
        <f>++Tabla4[[#This Row],[Precio Unitario Neto]]-Tabla4[[#This Row],[20.85%]]</f>
        <v>3767.9088390000002</v>
      </c>
      <c r="M7245" s="282" t="e">
        <f>(INDEX(Tabla6[#All],MATCH(Tabla4[[#This Row],[Producto]],Tabla6[[#All],[PRODUCTO]],0),MATCH(Tabla4[[#This Row],[Mes]],Tabla6[#Headers],0)))*(1+Catalogos!$L$2)</f>
        <v>#N/A</v>
      </c>
      <c r="N7245" s="283" t="e">
        <f>+(Tabla4[[#This Row],[Precio Descontado]]-Tabla4[[#This Row],[Precio Base]])*Tabla4[[#This Row],[Cantidad]]</f>
        <v>#N/A</v>
      </c>
      <c r="O7245" s="284" t="e">
        <f>++Tabla4[[#This Row],[Utilidad Total]]/Tabla4[[#This Row],[Total]]</f>
        <v>#N/A</v>
      </c>
      <c r="P7245" s="282">
        <f>++Tabla4[[#This Row],[Precio Descontado]]*Tabla4[[#This Row],[Cantidad]]</f>
        <v>3767.9088390000002</v>
      </c>
      <c r="Q7245" s="282" t="e">
        <f>(INDEX(Tabla6[#All],MATCH(Tabla4[[#This Row],[Producto]],Tabla6[[#All],[PRODUCTO]],0),MATCH(Tabla4[[#This Row],[Mes]],Tabla6[#Headers],0)))</f>
        <v>#N/A</v>
      </c>
      <c r="R7245" s="282" t="e">
        <f>++Tabla4[[#This Row],[Precio Unitario Neto]]-Tabla4[[#This Row],[20.85%]]-Tabla4[[#This Row],[Costo]]</f>
        <v>#N/A</v>
      </c>
      <c r="S7245" s="282" t="e">
        <f>++Tabla4[[#This Row],[U. Bruta Uni]]*Tabla4[[#This Row],[Cantidad]]</f>
        <v>#N/A</v>
      </c>
      <c r="T7245" s="369" t="str">
        <f>VLOOKUP(Tabla4[[#This Row],[Producto]],Tabla6[#All],14,FALSE)</f>
        <v>Termico Solar</v>
      </c>
      <c r="U7245" s="284" t="e">
        <f>(IF(Tabla4[[#This Row],[Familia]]="termico solar",Tabla4[[#This Row],[Utilidad Total]]*6%,Tabla4[[#This Row],[Utilidad Total]]*11.5%))/Tabla4[[#This Row],[Total]]</f>
        <v>#N/A</v>
      </c>
      <c r="V7245" s="282" t="e">
        <f>+Tabla4[[#This Row],[Comisión Calculada]]*Tabla4[[#This Row],[Total]]</f>
        <v>#N/A</v>
      </c>
    </row>
    <row r="7246" spans="1:22" x14ac:dyDescent="0.25">
      <c r="A7246" s="100">
        <v>46006</v>
      </c>
      <c r="B7246" t="str">
        <f t="shared" si="599"/>
        <v>December</v>
      </c>
      <c r="C7246" s="46" t="s">
        <v>280</v>
      </c>
      <c r="F7246" s="366" t="s">
        <v>3651</v>
      </c>
      <c r="G7246" s="46" t="s">
        <v>394</v>
      </c>
      <c r="H7246" s="46">
        <v>48</v>
      </c>
      <c r="I7246" s="51">
        <v>224.29</v>
      </c>
      <c r="J7246" s="281">
        <f>++Tabla4[[#This Row],[Precio Bruto]]*1.16</f>
        <v>260.1764</v>
      </c>
      <c r="K7246" s="281">
        <f>+Tabla4[[#This Row],[Precio Unitario Neto]]*Tabla4[[#Headers],[20.85%]]</f>
        <v>54.246779400000001</v>
      </c>
      <c r="L7246" s="282">
        <f>++Tabla4[[#This Row],[Precio Unitario Neto]]-Tabla4[[#This Row],[20.85%]]</f>
        <v>205.92962059999999</v>
      </c>
      <c r="M7246" s="282" t="e">
        <f>(INDEX(Tabla6[#All],MATCH(Tabla4[[#This Row],[Producto]],Tabla6[[#All],[PRODUCTO]],0),MATCH(Tabla4[[#This Row],[Mes]],Tabla6[#Headers],0)))*(1+Catalogos!$L$2)</f>
        <v>#N/A</v>
      </c>
      <c r="N7246" s="283" t="e">
        <f>+(Tabla4[[#This Row],[Precio Descontado]]-Tabla4[[#This Row],[Precio Base]])*Tabla4[[#This Row],[Cantidad]]</f>
        <v>#N/A</v>
      </c>
      <c r="O7246" s="284" t="e">
        <f>++Tabla4[[#This Row],[Utilidad Total]]/Tabla4[[#This Row],[Total]]</f>
        <v>#N/A</v>
      </c>
      <c r="P7246" s="282">
        <f>++Tabla4[[#This Row],[Precio Descontado]]*Tabla4[[#This Row],[Cantidad]]</f>
        <v>9884.6217887999992</v>
      </c>
      <c r="Q7246" s="282" t="e">
        <f>(INDEX(Tabla6[#All],MATCH(Tabla4[[#This Row],[Producto]],Tabla6[[#All],[PRODUCTO]],0),MATCH(Tabla4[[#This Row],[Mes]],Tabla6[#Headers],0)))</f>
        <v>#N/A</v>
      </c>
      <c r="R7246" s="282" t="e">
        <f>++Tabla4[[#This Row],[Precio Unitario Neto]]-Tabla4[[#This Row],[20.85%]]-Tabla4[[#This Row],[Costo]]</f>
        <v>#N/A</v>
      </c>
      <c r="S7246" s="282" t="e">
        <f>++Tabla4[[#This Row],[U. Bruta Uni]]*Tabla4[[#This Row],[Cantidad]]</f>
        <v>#N/A</v>
      </c>
      <c r="T7246" s="369" t="str">
        <f>VLOOKUP(Tabla4[[#This Row],[Producto]],Tabla6[#All],14,FALSE)</f>
        <v>Termico Solar</v>
      </c>
      <c r="U7246" s="284" t="e">
        <f>(IF(Tabla4[[#This Row],[Familia]]="termico solar",Tabla4[[#This Row],[Utilidad Total]]*6%,Tabla4[[#This Row],[Utilidad Total]]*11.5%))/Tabla4[[#This Row],[Total]]</f>
        <v>#N/A</v>
      </c>
      <c r="V7246" s="282" t="e">
        <f>+Tabla4[[#This Row],[Comisión Calculada]]*Tabla4[[#This Row],[Total]]</f>
        <v>#N/A</v>
      </c>
    </row>
    <row r="7247" spans="1:22" x14ac:dyDescent="0.25">
      <c r="A7247" s="100">
        <v>46006</v>
      </c>
      <c r="B7247" t="str">
        <f t="shared" si="599"/>
        <v>December</v>
      </c>
      <c r="C7247" s="46" t="s">
        <v>280</v>
      </c>
      <c r="F7247" s="366" t="s">
        <v>3651</v>
      </c>
      <c r="G7247" s="46" t="s">
        <v>555</v>
      </c>
      <c r="H7247" s="46">
        <v>24</v>
      </c>
      <c r="I7247" s="51">
        <v>389.47</v>
      </c>
      <c r="J7247" s="281">
        <f>++Tabla4[[#This Row],[Precio Bruto]]*1.16</f>
        <v>451.78519999999997</v>
      </c>
      <c r="K7247" s="281">
        <f>+Tabla4[[#This Row],[Precio Unitario Neto]]*Tabla4[[#Headers],[20.85%]]</f>
        <v>94.197214199999991</v>
      </c>
      <c r="L7247" s="282">
        <f>++Tabla4[[#This Row],[Precio Unitario Neto]]-Tabla4[[#This Row],[20.85%]]</f>
        <v>357.58798579999996</v>
      </c>
      <c r="M7247" s="282" t="e">
        <f>(INDEX(Tabla6[#All],MATCH(Tabla4[[#This Row],[Producto]],Tabla6[[#All],[PRODUCTO]],0),MATCH(Tabla4[[#This Row],[Mes]],Tabla6[#Headers],0)))*(1+Catalogos!$L$2)</f>
        <v>#N/A</v>
      </c>
      <c r="N7247" s="283" t="e">
        <f>+(Tabla4[[#This Row],[Precio Descontado]]-Tabla4[[#This Row],[Precio Base]])*Tabla4[[#This Row],[Cantidad]]</f>
        <v>#N/A</v>
      </c>
      <c r="O7247" s="284" t="e">
        <f>++Tabla4[[#This Row],[Utilidad Total]]/Tabla4[[#This Row],[Total]]</f>
        <v>#N/A</v>
      </c>
      <c r="P7247" s="282">
        <f>++Tabla4[[#This Row],[Precio Descontado]]*Tabla4[[#This Row],[Cantidad]]</f>
        <v>8582.1116591999998</v>
      </c>
      <c r="Q7247" s="282" t="e">
        <f>(INDEX(Tabla6[#All],MATCH(Tabla4[[#This Row],[Producto]],Tabla6[[#All],[PRODUCTO]],0),MATCH(Tabla4[[#This Row],[Mes]],Tabla6[#Headers],0)))</f>
        <v>#N/A</v>
      </c>
      <c r="R7247" s="282" t="e">
        <f>++Tabla4[[#This Row],[Precio Unitario Neto]]-Tabla4[[#This Row],[20.85%]]-Tabla4[[#This Row],[Costo]]</f>
        <v>#N/A</v>
      </c>
      <c r="S7247" s="282" t="e">
        <f>++Tabla4[[#This Row],[U. Bruta Uni]]*Tabla4[[#This Row],[Cantidad]]</f>
        <v>#N/A</v>
      </c>
      <c r="T7247" s="369" t="str">
        <f>VLOOKUP(Tabla4[[#This Row],[Producto]],Tabla6[#All],14,FALSE)</f>
        <v>Termico Solar</v>
      </c>
      <c r="U7247" s="284" t="e">
        <f>(IF(Tabla4[[#This Row],[Familia]]="termico solar",Tabla4[[#This Row],[Utilidad Total]]*6%,Tabla4[[#This Row],[Utilidad Total]]*11.5%))/Tabla4[[#This Row],[Total]]</f>
        <v>#N/A</v>
      </c>
      <c r="V7247" s="282" t="e">
        <f>+Tabla4[[#This Row],[Comisión Calculada]]*Tabla4[[#This Row],[Total]]</f>
        <v>#N/A</v>
      </c>
    </row>
    <row r="7248" spans="1:22" x14ac:dyDescent="0.25">
      <c r="A7248" s="100">
        <v>46006</v>
      </c>
      <c r="B7248" t="str">
        <f t="shared" si="599"/>
        <v>December</v>
      </c>
      <c r="C7248" s="46" t="s">
        <v>280</v>
      </c>
      <c r="F7248" s="366" t="s">
        <v>3651</v>
      </c>
      <c r="G7248" s="46" t="s">
        <v>208</v>
      </c>
      <c r="H7248" s="46">
        <v>9</v>
      </c>
      <c r="I7248" s="51">
        <v>189.75</v>
      </c>
      <c r="J7248" s="281">
        <f>++Tabla4[[#This Row],[Precio Bruto]]*1.16</f>
        <v>220.10999999999999</v>
      </c>
      <c r="K7248" s="281">
        <f>+Tabla4[[#This Row],[Precio Unitario Neto]]*Tabla4[[#Headers],[20.85%]]</f>
        <v>45.892934999999994</v>
      </c>
      <c r="L7248" s="282">
        <f>++Tabla4[[#This Row],[Precio Unitario Neto]]-Tabla4[[#This Row],[20.85%]]</f>
        <v>174.21706499999999</v>
      </c>
      <c r="M7248" s="282" t="e">
        <f>(INDEX(Tabla6[#All],MATCH(Tabla4[[#This Row],[Producto]],Tabla6[[#All],[PRODUCTO]],0),MATCH(Tabla4[[#This Row],[Mes]],Tabla6[#Headers],0)))*(1+Catalogos!$L$2)</f>
        <v>#N/A</v>
      </c>
      <c r="N7248" s="283" t="e">
        <f>+(Tabla4[[#This Row],[Precio Descontado]]-Tabla4[[#This Row],[Precio Base]])*Tabla4[[#This Row],[Cantidad]]</f>
        <v>#N/A</v>
      </c>
      <c r="O7248" s="284" t="e">
        <f>++Tabla4[[#This Row],[Utilidad Total]]/Tabla4[[#This Row],[Total]]</f>
        <v>#N/A</v>
      </c>
      <c r="P7248" s="282">
        <f>++Tabla4[[#This Row],[Precio Descontado]]*Tabla4[[#This Row],[Cantidad]]</f>
        <v>1567.953585</v>
      </c>
      <c r="Q7248" s="282" t="e">
        <f>(INDEX(Tabla6[#All],MATCH(Tabla4[[#This Row],[Producto]],Tabla6[[#All],[PRODUCTO]],0),MATCH(Tabla4[[#This Row],[Mes]],Tabla6[#Headers],0)))</f>
        <v>#N/A</v>
      </c>
      <c r="R7248" s="282" t="e">
        <f>++Tabla4[[#This Row],[Precio Unitario Neto]]-Tabla4[[#This Row],[20.85%]]-Tabla4[[#This Row],[Costo]]</f>
        <v>#N/A</v>
      </c>
      <c r="S7248" s="282" t="e">
        <f>++Tabla4[[#This Row],[U. Bruta Uni]]*Tabla4[[#This Row],[Cantidad]]</f>
        <v>#N/A</v>
      </c>
      <c r="T7248" s="369" t="str">
        <f>VLOOKUP(Tabla4[[#This Row],[Producto]],Tabla6[#All],14,FALSE)</f>
        <v>Termico Solar</v>
      </c>
      <c r="U7248" s="284" t="e">
        <f>(IF(Tabla4[[#This Row],[Familia]]="termico solar",Tabla4[[#This Row],[Utilidad Total]]*6%,Tabla4[[#This Row],[Utilidad Total]]*11.5%))/Tabla4[[#This Row],[Total]]</f>
        <v>#N/A</v>
      </c>
      <c r="V7248" s="282" t="e">
        <f>+Tabla4[[#This Row],[Comisión Calculada]]*Tabla4[[#This Row],[Total]]</f>
        <v>#N/A</v>
      </c>
    </row>
    <row r="7249" spans="1:22" x14ac:dyDescent="0.25">
      <c r="A7249" s="100">
        <v>46006</v>
      </c>
      <c r="B7249" t="str">
        <f t="shared" ref="B7249:B7252" si="600">TEXT(A7249, "mmmm")</f>
        <v>December</v>
      </c>
      <c r="C7249" s="46" t="s">
        <v>280</v>
      </c>
      <c r="F7249" s="366" t="s">
        <v>3652</v>
      </c>
      <c r="G7249" s="46" t="s">
        <v>21</v>
      </c>
      <c r="H7249" s="46">
        <v>2</v>
      </c>
      <c r="I7249" s="51">
        <v>9282.19</v>
      </c>
      <c r="J7249" s="281">
        <f>++Tabla4[[#This Row],[Precio Bruto]]*1.16</f>
        <v>10767.340399999999</v>
      </c>
      <c r="K7249" s="281">
        <f>+Tabla4[[#This Row],[Precio Unitario Neto]]*Tabla4[[#Headers],[20.85%]]</f>
        <v>2244.9904733999997</v>
      </c>
      <c r="L7249" s="282">
        <f>++Tabla4[[#This Row],[Precio Unitario Neto]]-Tabla4[[#This Row],[20.85%]]</f>
        <v>8522.3499265999999</v>
      </c>
      <c r="M7249" s="282" t="e">
        <f>(INDEX(Tabla6[#All],MATCH(Tabla4[[#This Row],[Producto]],Tabla6[[#All],[PRODUCTO]],0),MATCH(Tabla4[[#This Row],[Mes]],Tabla6[#Headers],0)))*(1+Catalogos!$L$2)</f>
        <v>#N/A</v>
      </c>
      <c r="N7249" s="283" t="e">
        <f>+(Tabla4[[#This Row],[Precio Descontado]]-Tabla4[[#This Row],[Precio Base]])*Tabla4[[#This Row],[Cantidad]]</f>
        <v>#N/A</v>
      </c>
      <c r="O7249" s="284" t="e">
        <f>++Tabla4[[#This Row],[Utilidad Total]]/Tabla4[[#This Row],[Total]]</f>
        <v>#N/A</v>
      </c>
      <c r="P7249" s="282">
        <f>++Tabla4[[#This Row],[Precio Descontado]]*Tabla4[[#This Row],[Cantidad]]</f>
        <v>17044.6998532</v>
      </c>
      <c r="Q7249" s="282" t="e">
        <f>(INDEX(Tabla6[#All],MATCH(Tabla4[[#This Row],[Producto]],Tabla6[[#All],[PRODUCTO]],0),MATCH(Tabla4[[#This Row],[Mes]],Tabla6[#Headers],0)))</f>
        <v>#N/A</v>
      </c>
      <c r="R7249" s="282" t="e">
        <f>++Tabla4[[#This Row],[Precio Unitario Neto]]-Tabla4[[#This Row],[20.85%]]-Tabla4[[#This Row],[Costo]]</f>
        <v>#N/A</v>
      </c>
      <c r="S7249" s="282" t="e">
        <f>++Tabla4[[#This Row],[U. Bruta Uni]]*Tabla4[[#This Row],[Cantidad]]</f>
        <v>#N/A</v>
      </c>
      <c r="T7249" s="369" t="str">
        <f>VLOOKUP(Tabla4[[#This Row],[Producto]],Tabla6[#All],14,FALSE)</f>
        <v>Termico Solar</v>
      </c>
      <c r="U7249" s="284" t="e">
        <f>(IF(Tabla4[[#This Row],[Familia]]="termico solar",Tabla4[[#This Row],[Utilidad Total]]*6%,Tabla4[[#This Row],[Utilidad Total]]*11.5%))/Tabla4[[#This Row],[Total]]</f>
        <v>#N/A</v>
      </c>
      <c r="V7249" s="282" t="e">
        <f>+Tabla4[[#This Row],[Comisión Calculada]]*Tabla4[[#This Row],[Total]]</f>
        <v>#N/A</v>
      </c>
    </row>
    <row r="7250" spans="1:22" x14ac:dyDescent="0.25">
      <c r="A7250" s="100">
        <v>46006</v>
      </c>
      <c r="B7250" t="str">
        <f t="shared" si="600"/>
        <v>December</v>
      </c>
      <c r="C7250" s="46" t="s">
        <v>280</v>
      </c>
      <c r="F7250" s="366" t="s">
        <v>3652</v>
      </c>
      <c r="G7250" s="46" t="s">
        <v>566</v>
      </c>
      <c r="H7250" s="46">
        <v>1</v>
      </c>
      <c r="I7250" s="51">
        <v>2109.4499999999998</v>
      </c>
      <c r="J7250" s="281">
        <f>++Tabla4[[#This Row],[Precio Bruto]]*1.16</f>
        <v>2446.9619999999995</v>
      </c>
      <c r="K7250" s="281">
        <f>+Tabla4[[#This Row],[Precio Unitario Neto]]*Tabla4[[#Headers],[20.85%]]</f>
        <v>510.19157699999988</v>
      </c>
      <c r="L7250" s="282">
        <f>++Tabla4[[#This Row],[Precio Unitario Neto]]-Tabla4[[#This Row],[20.85%]]</f>
        <v>1936.7704229999997</v>
      </c>
      <c r="M7250" s="282" t="e">
        <f>(INDEX(Tabla6[#All],MATCH(Tabla4[[#This Row],[Producto]],Tabla6[[#All],[PRODUCTO]],0),MATCH(Tabla4[[#This Row],[Mes]],Tabla6[#Headers],0)))*(1+Catalogos!$L$2)</f>
        <v>#N/A</v>
      </c>
      <c r="N7250" s="283" t="e">
        <f>+(Tabla4[[#This Row],[Precio Descontado]]-Tabla4[[#This Row],[Precio Base]])*Tabla4[[#This Row],[Cantidad]]</f>
        <v>#N/A</v>
      </c>
      <c r="O7250" s="284" t="e">
        <f>++Tabla4[[#This Row],[Utilidad Total]]/Tabla4[[#This Row],[Total]]</f>
        <v>#N/A</v>
      </c>
      <c r="P7250" s="282">
        <f>++Tabla4[[#This Row],[Precio Descontado]]*Tabla4[[#This Row],[Cantidad]]</f>
        <v>1936.7704229999997</v>
      </c>
      <c r="Q7250" s="282" t="e">
        <f>(INDEX(Tabla6[#All],MATCH(Tabla4[[#This Row],[Producto]],Tabla6[[#All],[PRODUCTO]],0),MATCH(Tabla4[[#This Row],[Mes]],Tabla6[#Headers],0)))</f>
        <v>#N/A</v>
      </c>
      <c r="R7250" s="282" t="e">
        <f>++Tabla4[[#This Row],[Precio Unitario Neto]]-Tabla4[[#This Row],[20.85%]]-Tabla4[[#This Row],[Costo]]</f>
        <v>#N/A</v>
      </c>
      <c r="S7250" s="282" t="e">
        <f>++Tabla4[[#This Row],[U. Bruta Uni]]*Tabla4[[#This Row],[Cantidad]]</f>
        <v>#N/A</v>
      </c>
      <c r="T7250" s="369" t="str">
        <f>VLOOKUP(Tabla4[[#This Row],[Producto]],Tabla6[#All],14,FALSE)</f>
        <v>Termico Solar</v>
      </c>
      <c r="U7250" s="284" t="e">
        <f>(IF(Tabla4[[#This Row],[Familia]]="termico solar",Tabla4[[#This Row],[Utilidad Total]]*6%,Tabla4[[#This Row],[Utilidad Total]]*11.5%))/Tabla4[[#This Row],[Total]]</f>
        <v>#N/A</v>
      </c>
      <c r="V7250" s="282" t="e">
        <f>+Tabla4[[#This Row],[Comisión Calculada]]*Tabla4[[#This Row],[Total]]</f>
        <v>#N/A</v>
      </c>
    </row>
    <row r="7251" spans="1:22" x14ac:dyDescent="0.25">
      <c r="A7251" s="100">
        <v>46006</v>
      </c>
      <c r="B7251" t="str">
        <f t="shared" si="600"/>
        <v>December</v>
      </c>
      <c r="C7251" s="46" t="s">
        <v>280</v>
      </c>
      <c r="F7251" s="366" t="s">
        <v>3652</v>
      </c>
      <c r="G7251" s="46" t="s">
        <v>412</v>
      </c>
      <c r="H7251" s="46">
        <v>1</v>
      </c>
      <c r="I7251" s="51">
        <v>3240.84</v>
      </c>
      <c r="J7251" s="281">
        <f>++Tabla4[[#This Row],[Precio Bruto]]*1.16</f>
        <v>3759.3743999999997</v>
      </c>
      <c r="K7251" s="281">
        <f>+Tabla4[[#This Row],[Precio Unitario Neto]]*Tabla4[[#Headers],[20.85%]]</f>
        <v>783.82956239999987</v>
      </c>
      <c r="L7251" s="282">
        <f>++Tabla4[[#This Row],[Precio Unitario Neto]]-Tabla4[[#This Row],[20.85%]]</f>
        <v>2975.5448375999999</v>
      </c>
      <c r="M7251" s="282" t="e">
        <f>(INDEX(Tabla6[#All],MATCH(Tabla4[[#This Row],[Producto]],Tabla6[[#All],[PRODUCTO]],0),MATCH(Tabla4[[#This Row],[Mes]],Tabla6[#Headers],0)))*(1+Catalogos!$L$2)</f>
        <v>#N/A</v>
      </c>
      <c r="N7251" s="283" t="e">
        <f>+(Tabla4[[#This Row],[Precio Descontado]]-Tabla4[[#This Row],[Precio Base]])*Tabla4[[#This Row],[Cantidad]]</f>
        <v>#N/A</v>
      </c>
      <c r="O7251" s="284" t="e">
        <f>++Tabla4[[#This Row],[Utilidad Total]]/Tabla4[[#This Row],[Total]]</f>
        <v>#N/A</v>
      </c>
      <c r="P7251" s="282">
        <f>++Tabla4[[#This Row],[Precio Descontado]]*Tabla4[[#This Row],[Cantidad]]</f>
        <v>2975.5448375999999</v>
      </c>
      <c r="Q7251" s="282" t="e">
        <f>(INDEX(Tabla6[#All],MATCH(Tabla4[[#This Row],[Producto]],Tabla6[[#All],[PRODUCTO]],0),MATCH(Tabla4[[#This Row],[Mes]],Tabla6[#Headers],0)))</f>
        <v>#N/A</v>
      </c>
      <c r="R7251" s="282" t="e">
        <f>++Tabla4[[#This Row],[Precio Unitario Neto]]-Tabla4[[#This Row],[20.85%]]-Tabla4[[#This Row],[Costo]]</f>
        <v>#N/A</v>
      </c>
      <c r="S7251" s="282" t="e">
        <f>++Tabla4[[#This Row],[U. Bruta Uni]]*Tabla4[[#This Row],[Cantidad]]</f>
        <v>#N/A</v>
      </c>
      <c r="T7251" s="369" t="str">
        <f>VLOOKUP(Tabla4[[#This Row],[Producto]],Tabla6[#All],14,FALSE)</f>
        <v>Termico Solar</v>
      </c>
      <c r="U7251" s="284" t="e">
        <f>(IF(Tabla4[[#This Row],[Familia]]="termico solar",Tabla4[[#This Row],[Utilidad Total]]*6%,Tabla4[[#This Row],[Utilidad Total]]*11.5%))/Tabla4[[#This Row],[Total]]</f>
        <v>#N/A</v>
      </c>
      <c r="V7251" s="282" t="e">
        <f>+Tabla4[[#This Row],[Comisión Calculada]]*Tabla4[[#This Row],[Total]]</f>
        <v>#N/A</v>
      </c>
    </row>
    <row r="7252" spans="1:22" x14ac:dyDescent="0.25">
      <c r="A7252" s="100">
        <v>46006</v>
      </c>
      <c r="B7252" t="str">
        <f t="shared" si="600"/>
        <v>December</v>
      </c>
      <c r="C7252" s="46" t="s">
        <v>280</v>
      </c>
      <c r="F7252" s="366" t="s">
        <v>3652</v>
      </c>
      <c r="G7252" s="46" t="s">
        <v>394</v>
      </c>
      <c r="H7252" s="46">
        <v>32</v>
      </c>
      <c r="I7252" s="51">
        <v>224.29</v>
      </c>
      <c r="J7252" s="281">
        <f>++Tabla4[[#This Row],[Precio Bruto]]*1.16</f>
        <v>260.1764</v>
      </c>
      <c r="K7252" s="281">
        <f>+Tabla4[[#This Row],[Precio Unitario Neto]]*Tabla4[[#Headers],[20.85%]]</f>
        <v>54.246779400000001</v>
      </c>
      <c r="L7252" s="282">
        <f>++Tabla4[[#This Row],[Precio Unitario Neto]]-Tabla4[[#This Row],[20.85%]]</f>
        <v>205.92962059999999</v>
      </c>
      <c r="M7252" s="282" t="e">
        <f>(INDEX(Tabla6[#All],MATCH(Tabla4[[#This Row],[Producto]],Tabla6[[#All],[PRODUCTO]],0),MATCH(Tabla4[[#This Row],[Mes]],Tabla6[#Headers],0)))*(1+Catalogos!$L$2)</f>
        <v>#N/A</v>
      </c>
      <c r="N7252" s="283" t="e">
        <f>+(Tabla4[[#This Row],[Precio Descontado]]-Tabla4[[#This Row],[Precio Base]])*Tabla4[[#This Row],[Cantidad]]</f>
        <v>#N/A</v>
      </c>
      <c r="O7252" s="284" t="e">
        <f>++Tabla4[[#This Row],[Utilidad Total]]/Tabla4[[#This Row],[Total]]</f>
        <v>#N/A</v>
      </c>
      <c r="P7252" s="282">
        <f>++Tabla4[[#This Row],[Precio Descontado]]*Tabla4[[#This Row],[Cantidad]]</f>
        <v>6589.7478591999998</v>
      </c>
      <c r="Q7252" s="282" t="e">
        <f>(INDEX(Tabla6[#All],MATCH(Tabla4[[#This Row],[Producto]],Tabla6[[#All],[PRODUCTO]],0),MATCH(Tabla4[[#This Row],[Mes]],Tabla6[#Headers],0)))</f>
        <v>#N/A</v>
      </c>
      <c r="R7252" s="282" t="e">
        <f>++Tabla4[[#This Row],[Precio Unitario Neto]]-Tabla4[[#This Row],[20.85%]]-Tabla4[[#This Row],[Costo]]</f>
        <v>#N/A</v>
      </c>
      <c r="S7252" s="282" t="e">
        <f>++Tabla4[[#This Row],[U. Bruta Uni]]*Tabla4[[#This Row],[Cantidad]]</f>
        <v>#N/A</v>
      </c>
      <c r="T7252" s="369" t="str">
        <f>VLOOKUP(Tabla4[[#This Row],[Producto]],Tabla6[#All],14,FALSE)</f>
        <v>Termico Solar</v>
      </c>
      <c r="U7252" s="284" t="e">
        <f>(IF(Tabla4[[#This Row],[Familia]]="termico solar",Tabla4[[#This Row],[Utilidad Total]]*6%,Tabla4[[#This Row],[Utilidad Total]]*11.5%))/Tabla4[[#This Row],[Total]]</f>
        <v>#N/A</v>
      </c>
      <c r="V7252" s="282" t="e">
        <f>+Tabla4[[#This Row],[Comisión Calculada]]*Tabla4[[#This Row],[Total]]</f>
        <v>#N/A</v>
      </c>
    </row>
    <row r="7253" spans="1:22" x14ac:dyDescent="0.25">
      <c r="A7253" s="100">
        <v>46006</v>
      </c>
      <c r="B7253" t="str">
        <f>TEXT(A7253, "mmmm")</f>
        <v>December</v>
      </c>
      <c r="C7253" s="46" t="s">
        <v>280</v>
      </c>
      <c r="F7253" s="366" t="s">
        <v>3653</v>
      </c>
      <c r="G7253" s="46" t="s">
        <v>21</v>
      </c>
      <c r="H7253" s="46">
        <v>6</v>
      </c>
      <c r="I7253" s="51">
        <v>9282.19</v>
      </c>
      <c r="J7253" s="281">
        <f>++Tabla4[[#This Row],[Precio Bruto]]*1.16</f>
        <v>10767.340399999999</v>
      </c>
      <c r="K7253" s="281">
        <f>+Tabla4[[#This Row],[Precio Unitario Neto]]*Tabla4[[#Headers],[20.85%]]</f>
        <v>2244.9904733999997</v>
      </c>
      <c r="L7253" s="282">
        <f>++Tabla4[[#This Row],[Precio Unitario Neto]]-Tabla4[[#This Row],[20.85%]]</f>
        <v>8522.3499265999999</v>
      </c>
      <c r="M7253" s="282" t="e">
        <f>(INDEX(Tabla6[#All],MATCH(Tabla4[[#This Row],[Producto]],Tabla6[[#All],[PRODUCTO]],0),MATCH(Tabla4[[#This Row],[Mes]],Tabla6[#Headers],0)))*(1+Catalogos!$L$2)</f>
        <v>#N/A</v>
      </c>
      <c r="N7253" s="283" t="e">
        <f>+(Tabla4[[#This Row],[Precio Descontado]]-Tabla4[[#This Row],[Precio Base]])*Tabla4[[#This Row],[Cantidad]]</f>
        <v>#N/A</v>
      </c>
      <c r="O7253" s="284" t="e">
        <f>++Tabla4[[#This Row],[Utilidad Total]]/Tabla4[[#This Row],[Total]]</f>
        <v>#N/A</v>
      </c>
      <c r="P7253" s="282">
        <f>++Tabla4[[#This Row],[Precio Descontado]]*Tabla4[[#This Row],[Cantidad]]</f>
        <v>51134.099559599999</v>
      </c>
      <c r="Q7253" s="282" t="e">
        <f>(INDEX(Tabla6[#All],MATCH(Tabla4[[#This Row],[Producto]],Tabla6[[#All],[PRODUCTO]],0),MATCH(Tabla4[[#This Row],[Mes]],Tabla6[#Headers],0)))</f>
        <v>#N/A</v>
      </c>
      <c r="R7253" s="282" t="e">
        <f>++Tabla4[[#This Row],[Precio Unitario Neto]]-Tabla4[[#This Row],[20.85%]]-Tabla4[[#This Row],[Costo]]</f>
        <v>#N/A</v>
      </c>
      <c r="S7253" s="282" t="e">
        <f>++Tabla4[[#This Row],[U. Bruta Uni]]*Tabla4[[#This Row],[Cantidad]]</f>
        <v>#N/A</v>
      </c>
      <c r="T7253" s="369" t="str">
        <f>VLOOKUP(Tabla4[[#This Row],[Producto]],Tabla6[#All],14,FALSE)</f>
        <v>Termico Solar</v>
      </c>
      <c r="U7253" s="284" t="e">
        <f>(IF(Tabla4[[#This Row],[Familia]]="termico solar",Tabla4[[#This Row],[Utilidad Total]]*6%,Tabla4[[#This Row],[Utilidad Total]]*11.5%))/Tabla4[[#This Row],[Total]]</f>
        <v>#N/A</v>
      </c>
      <c r="V7253" s="282" t="e">
        <f>+Tabla4[[#This Row],[Comisión Calculada]]*Tabla4[[#This Row],[Total]]</f>
        <v>#N/A</v>
      </c>
    </row>
    <row r="7254" spans="1:22" x14ac:dyDescent="0.25">
      <c r="A7254" s="100">
        <v>46006</v>
      </c>
      <c r="B7254" t="str">
        <f t="shared" ref="B7254:B7255" si="601">TEXT(A7254, "mmmm")</f>
        <v>December</v>
      </c>
      <c r="C7254" s="46" t="s">
        <v>280</v>
      </c>
      <c r="F7254" s="366" t="s">
        <v>3654</v>
      </c>
      <c r="G7254" s="46" t="s">
        <v>18</v>
      </c>
      <c r="H7254" s="46">
        <v>1</v>
      </c>
      <c r="I7254" s="51">
        <v>5367.65</v>
      </c>
      <c r="J7254" s="281">
        <f>++Tabla4[[#This Row],[Precio Bruto]]*1.16</f>
        <v>6226.4739999999993</v>
      </c>
      <c r="K7254" s="281">
        <f>+Tabla4[[#This Row],[Precio Unitario Neto]]*Tabla4[[#Headers],[20.85%]]</f>
        <v>1298.2198289999999</v>
      </c>
      <c r="L7254" s="282">
        <f>++Tabla4[[#This Row],[Precio Unitario Neto]]-Tabla4[[#This Row],[20.85%]]</f>
        <v>4928.2541709999996</v>
      </c>
      <c r="M7254" s="282" t="e">
        <f>(INDEX(Tabla6[#All],MATCH(Tabla4[[#This Row],[Producto]],Tabla6[[#All],[PRODUCTO]],0),MATCH(Tabla4[[#This Row],[Mes]],Tabla6[#Headers],0)))*(1+Catalogos!$L$2)</f>
        <v>#N/A</v>
      </c>
      <c r="N7254" s="283" t="e">
        <f>+(Tabla4[[#This Row],[Precio Descontado]]-Tabla4[[#This Row],[Precio Base]])*Tabla4[[#This Row],[Cantidad]]</f>
        <v>#N/A</v>
      </c>
      <c r="O7254" s="284" t="e">
        <f>++Tabla4[[#This Row],[Utilidad Total]]/Tabla4[[#This Row],[Total]]</f>
        <v>#N/A</v>
      </c>
      <c r="P7254" s="282">
        <f>++Tabla4[[#This Row],[Precio Descontado]]*Tabla4[[#This Row],[Cantidad]]</f>
        <v>4928.2541709999996</v>
      </c>
      <c r="Q7254" s="282" t="e">
        <f>(INDEX(Tabla6[#All],MATCH(Tabla4[[#This Row],[Producto]],Tabla6[[#All],[PRODUCTO]],0),MATCH(Tabla4[[#This Row],[Mes]],Tabla6[#Headers],0)))</f>
        <v>#N/A</v>
      </c>
      <c r="R7254" s="282" t="e">
        <f>++Tabla4[[#This Row],[Precio Unitario Neto]]-Tabla4[[#This Row],[20.85%]]-Tabla4[[#This Row],[Costo]]</f>
        <v>#N/A</v>
      </c>
      <c r="S7254" s="282" t="e">
        <f>++Tabla4[[#This Row],[U. Bruta Uni]]*Tabla4[[#This Row],[Cantidad]]</f>
        <v>#N/A</v>
      </c>
      <c r="T7254" s="369" t="str">
        <f>VLOOKUP(Tabla4[[#This Row],[Producto]],Tabla6[#All],14,FALSE)</f>
        <v>Termico Solar</v>
      </c>
      <c r="U7254" s="284" t="e">
        <f>(IF(Tabla4[[#This Row],[Familia]]="termico solar",Tabla4[[#This Row],[Utilidad Total]]*6%,Tabla4[[#This Row],[Utilidad Total]]*11.5%))/Tabla4[[#This Row],[Total]]</f>
        <v>#N/A</v>
      </c>
      <c r="V7254" s="282" t="e">
        <f>+Tabla4[[#This Row],[Comisión Calculada]]*Tabla4[[#This Row],[Total]]</f>
        <v>#N/A</v>
      </c>
    </row>
    <row r="7255" spans="1:22" x14ac:dyDescent="0.25">
      <c r="A7255" s="100">
        <v>46006</v>
      </c>
      <c r="B7255" t="str">
        <f t="shared" si="601"/>
        <v>December</v>
      </c>
      <c r="C7255" s="46" t="s">
        <v>280</v>
      </c>
      <c r="F7255" s="366" t="s">
        <v>3654</v>
      </c>
      <c r="G7255" s="46" t="s">
        <v>208</v>
      </c>
      <c r="H7255" s="46">
        <v>1</v>
      </c>
      <c r="I7255" s="51">
        <v>189.75</v>
      </c>
      <c r="J7255" s="281">
        <f>++Tabla4[[#This Row],[Precio Bruto]]*1.16</f>
        <v>220.10999999999999</v>
      </c>
      <c r="K7255" s="281">
        <f>+Tabla4[[#This Row],[Precio Unitario Neto]]*Tabla4[[#Headers],[20.85%]]</f>
        <v>45.892934999999994</v>
      </c>
      <c r="L7255" s="282">
        <f>++Tabla4[[#This Row],[Precio Unitario Neto]]-Tabla4[[#This Row],[20.85%]]</f>
        <v>174.21706499999999</v>
      </c>
      <c r="M7255" s="282" t="e">
        <f>(INDEX(Tabla6[#All],MATCH(Tabla4[[#This Row],[Producto]],Tabla6[[#All],[PRODUCTO]],0),MATCH(Tabla4[[#This Row],[Mes]],Tabla6[#Headers],0)))*(1+Catalogos!$L$2)</f>
        <v>#N/A</v>
      </c>
      <c r="N7255" s="283" t="e">
        <f>+(Tabla4[[#This Row],[Precio Descontado]]-Tabla4[[#This Row],[Precio Base]])*Tabla4[[#This Row],[Cantidad]]</f>
        <v>#N/A</v>
      </c>
      <c r="O7255" s="284" t="e">
        <f>++Tabla4[[#This Row],[Utilidad Total]]/Tabla4[[#This Row],[Total]]</f>
        <v>#N/A</v>
      </c>
      <c r="P7255" s="282">
        <f>++Tabla4[[#This Row],[Precio Descontado]]*Tabla4[[#This Row],[Cantidad]]</f>
        <v>174.21706499999999</v>
      </c>
      <c r="Q7255" s="282" t="e">
        <f>(INDEX(Tabla6[#All],MATCH(Tabla4[[#This Row],[Producto]],Tabla6[[#All],[PRODUCTO]],0),MATCH(Tabla4[[#This Row],[Mes]],Tabla6[#Headers],0)))</f>
        <v>#N/A</v>
      </c>
      <c r="R7255" s="282" t="e">
        <f>++Tabla4[[#This Row],[Precio Unitario Neto]]-Tabla4[[#This Row],[20.85%]]-Tabla4[[#This Row],[Costo]]</f>
        <v>#N/A</v>
      </c>
      <c r="S7255" s="282" t="e">
        <f>++Tabla4[[#This Row],[U. Bruta Uni]]*Tabla4[[#This Row],[Cantidad]]</f>
        <v>#N/A</v>
      </c>
      <c r="T7255" s="369" t="str">
        <f>VLOOKUP(Tabla4[[#This Row],[Producto]],Tabla6[#All],14,FALSE)</f>
        <v>Termico Solar</v>
      </c>
      <c r="U7255" s="284" t="e">
        <f>(IF(Tabla4[[#This Row],[Familia]]="termico solar",Tabla4[[#This Row],[Utilidad Total]]*6%,Tabla4[[#This Row],[Utilidad Total]]*11.5%))/Tabla4[[#This Row],[Total]]</f>
        <v>#N/A</v>
      </c>
      <c r="V7255" s="282" t="e">
        <f>+Tabla4[[#This Row],[Comisión Calculada]]*Tabla4[[#This Row],[Total]]</f>
        <v>#N/A</v>
      </c>
    </row>
    <row r="7256" spans="1:22" x14ac:dyDescent="0.25">
      <c r="A7256" s="100">
        <v>46006</v>
      </c>
      <c r="B7256" t="str">
        <f>TEXT(A7256, "mmmm")</f>
        <v>December</v>
      </c>
      <c r="C7256" s="46" t="s">
        <v>280</v>
      </c>
      <c r="F7256" s="366" t="s">
        <v>3655</v>
      </c>
      <c r="G7256" s="46" t="s">
        <v>16</v>
      </c>
      <c r="H7256" s="46">
        <v>1</v>
      </c>
      <c r="I7256" s="51">
        <v>4103.8500000000004</v>
      </c>
      <c r="J7256" s="281">
        <f>++Tabla4[[#This Row],[Precio Bruto]]*1.16</f>
        <v>4760.4660000000003</v>
      </c>
      <c r="K7256" s="281">
        <f>+Tabla4[[#This Row],[Precio Unitario Neto]]*Tabla4[[#Headers],[20.85%]]</f>
        <v>992.55716100000006</v>
      </c>
      <c r="L7256" s="282">
        <f>++Tabla4[[#This Row],[Precio Unitario Neto]]-Tabla4[[#This Row],[20.85%]]</f>
        <v>3767.9088390000002</v>
      </c>
      <c r="M7256" s="282" t="e">
        <f>(INDEX(Tabla6[#All],MATCH(Tabla4[[#This Row],[Producto]],Tabla6[[#All],[PRODUCTO]],0),MATCH(Tabla4[[#This Row],[Mes]],Tabla6[#Headers],0)))*(1+Catalogos!$L$2)</f>
        <v>#N/A</v>
      </c>
      <c r="N7256" s="283" t="e">
        <f>+(Tabla4[[#This Row],[Precio Descontado]]-Tabla4[[#This Row],[Precio Base]])*Tabla4[[#This Row],[Cantidad]]</f>
        <v>#N/A</v>
      </c>
      <c r="O7256" s="284" t="e">
        <f>++Tabla4[[#This Row],[Utilidad Total]]/Tabla4[[#This Row],[Total]]</f>
        <v>#N/A</v>
      </c>
      <c r="P7256" s="282">
        <f>++Tabla4[[#This Row],[Precio Descontado]]*Tabla4[[#This Row],[Cantidad]]</f>
        <v>3767.9088390000002</v>
      </c>
      <c r="Q7256" s="282" t="e">
        <f>(INDEX(Tabla6[#All],MATCH(Tabla4[[#This Row],[Producto]],Tabla6[[#All],[PRODUCTO]],0),MATCH(Tabla4[[#This Row],[Mes]],Tabla6[#Headers],0)))</f>
        <v>#N/A</v>
      </c>
      <c r="R7256" s="282" t="e">
        <f>++Tabla4[[#This Row],[Precio Unitario Neto]]-Tabla4[[#This Row],[20.85%]]-Tabla4[[#This Row],[Costo]]</f>
        <v>#N/A</v>
      </c>
      <c r="S7256" s="282" t="e">
        <f>++Tabla4[[#This Row],[U. Bruta Uni]]*Tabla4[[#This Row],[Cantidad]]</f>
        <v>#N/A</v>
      </c>
      <c r="T7256" s="369" t="str">
        <f>VLOOKUP(Tabla4[[#This Row],[Producto]],Tabla6[#All],14,FALSE)</f>
        <v>Termico Solar</v>
      </c>
      <c r="U7256" s="284" t="e">
        <f>(IF(Tabla4[[#This Row],[Familia]]="termico solar",Tabla4[[#This Row],[Utilidad Total]]*6%,Tabla4[[#This Row],[Utilidad Total]]*11.5%))/Tabla4[[#This Row],[Total]]</f>
        <v>#N/A</v>
      </c>
      <c r="V7256" s="282" t="e">
        <f>+Tabla4[[#This Row],[Comisión Calculada]]*Tabla4[[#This Row],[Total]]</f>
        <v>#N/A</v>
      </c>
    </row>
    <row r="7257" spans="1:22" x14ac:dyDescent="0.25">
      <c r="A7257" s="100">
        <v>46006</v>
      </c>
      <c r="B7257" t="str">
        <f t="shared" ref="B7257:B7258" si="602">TEXT(A7257, "mmmm")</f>
        <v>December</v>
      </c>
      <c r="C7257" s="46" t="s">
        <v>280</v>
      </c>
      <c r="F7257" s="366" t="s">
        <v>3656</v>
      </c>
      <c r="G7257" s="46" t="s">
        <v>18</v>
      </c>
      <c r="H7257" s="46">
        <v>1</v>
      </c>
      <c r="I7257" s="51">
        <v>5367.65</v>
      </c>
      <c r="J7257" s="281">
        <f>++Tabla4[[#This Row],[Precio Bruto]]*1.16</f>
        <v>6226.4739999999993</v>
      </c>
      <c r="K7257" s="281">
        <f>+Tabla4[[#This Row],[Precio Unitario Neto]]*Tabla4[[#Headers],[20.85%]]</f>
        <v>1298.2198289999999</v>
      </c>
      <c r="L7257" s="282">
        <f>++Tabla4[[#This Row],[Precio Unitario Neto]]-Tabla4[[#This Row],[20.85%]]</f>
        <v>4928.2541709999996</v>
      </c>
      <c r="M7257" s="282" t="e">
        <f>(INDEX(Tabla6[#All],MATCH(Tabla4[[#This Row],[Producto]],Tabla6[[#All],[PRODUCTO]],0),MATCH(Tabla4[[#This Row],[Mes]],Tabla6[#Headers],0)))*(1+Catalogos!$L$2)</f>
        <v>#N/A</v>
      </c>
      <c r="N7257" s="283" t="e">
        <f>+(Tabla4[[#This Row],[Precio Descontado]]-Tabla4[[#This Row],[Precio Base]])*Tabla4[[#This Row],[Cantidad]]</f>
        <v>#N/A</v>
      </c>
      <c r="O7257" s="284" t="e">
        <f>++Tabla4[[#This Row],[Utilidad Total]]/Tabla4[[#This Row],[Total]]</f>
        <v>#N/A</v>
      </c>
      <c r="P7257" s="282">
        <f>++Tabla4[[#This Row],[Precio Descontado]]*Tabla4[[#This Row],[Cantidad]]</f>
        <v>4928.2541709999996</v>
      </c>
      <c r="Q7257" s="282" t="e">
        <f>(INDEX(Tabla6[#All],MATCH(Tabla4[[#This Row],[Producto]],Tabla6[[#All],[PRODUCTO]],0),MATCH(Tabla4[[#This Row],[Mes]],Tabla6[#Headers],0)))</f>
        <v>#N/A</v>
      </c>
      <c r="R7257" s="282" t="e">
        <f>++Tabla4[[#This Row],[Precio Unitario Neto]]-Tabla4[[#This Row],[20.85%]]-Tabla4[[#This Row],[Costo]]</f>
        <v>#N/A</v>
      </c>
      <c r="S7257" s="282" t="e">
        <f>++Tabla4[[#This Row],[U. Bruta Uni]]*Tabla4[[#This Row],[Cantidad]]</f>
        <v>#N/A</v>
      </c>
      <c r="T7257" s="369" t="str">
        <f>VLOOKUP(Tabla4[[#This Row],[Producto]],Tabla6[#All],14,FALSE)</f>
        <v>Termico Solar</v>
      </c>
      <c r="U7257" s="284" t="e">
        <f>(IF(Tabla4[[#This Row],[Familia]]="termico solar",Tabla4[[#This Row],[Utilidad Total]]*6%,Tabla4[[#This Row],[Utilidad Total]]*11.5%))/Tabla4[[#This Row],[Total]]</f>
        <v>#N/A</v>
      </c>
      <c r="V7257" s="282" t="e">
        <f>+Tabla4[[#This Row],[Comisión Calculada]]*Tabla4[[#This Row],[Total]]</f>
        <v>#N/A</v>
      </c>
    </row>
    <row r="7258" spans="1:22" x14ac:dyDescent="0.25">
      <c r="A7258" s="100">
        <v>46006</v>
      </c>
      <c r="B7258" t="str">
        <f t="shared" si="602"/>
        <v>December</v>
      </c>
      <c r="C7258" s="46" t="s">
        <v>280</v>
      </c>
      <c r="F7258" s="366" t="s">
        <v>3656</v>
      </c>
      <c r="G7258" s="46" t="s">
        <v>16</v>
      </c>
      <c r="H7258" s="46">
        <v>1</v>
      </c>
      <c r="I7258" s="51">
        <v>4103.8500000000004</v>
      </c>
      <c r="J7258" s="281">
        <f>++Tabla4[[#This Row],[Precio Bruto]]*1.16</f>
        <v>4760.4660000000003</v>
      </c>
      <c r="K7258" s="281">
        <f>+Tabla4[[#This Row],[Precio Unitario Neto]]*Tabla4[[#Headers],[20.85%]]</f>
        <v>992.55716100000006</v>
      </c>
      <c r="L7258" s="282">
        <f>++Tabla4[[#This Row],[Precio Unitario Neto]]-Tabla4[[#This Row],[20.85%]]</f>
        <v>3767.9088390000002</v>
      </c>
      <c r="M7258" s="282" t="e">
        <f>(INDEX(Tabla6[#All],MATCH(Tabla4[[#This Row],[Producto]],Tabla6[[#All],[PRODUCTO]],0),MATCH(Tabla4[[#This Row],[Mes]],Tabla6[#Headers],0)))*(1+Catalogos!$L$2)</f>
        <v>#N/A</v>
      </c>
      <c r="N7258" s="283" t="e">
        <f>+(Tabla4[[#This Row],[Precio Descontado]]-Tabla4[[#This Row],[Precio Base]])*Tabla4[[#This Row],[Cantidad]]</f>
        <v>#N/A</v>
      </c>
      <c r="O7258" s="284" t="e">
        <f>++Tabla4[[#This Row],[Utilidad Total]]/Tabla4[[#This Row],[Total]]</f>
        <v>#N/A</v>
      </c>
      <c r="P7258" s="282">
        <f>++Tabla4[[#This Row],[Precio Descontado]]*Tabla4[[#This Row],[Cantidad]]</f>
        <v>3767.9088390000002</v>
      </c>
      <c r="Q7258" s="282" t="e">
        <f>(INDEX(Tabla6[#All],MATCH(Tabla4[[#This Row],[Producto]],Tabla6[[#All],[PRODUCTO]],0),MATCH(Tabla4[[#This Row],[Mes]],Tabla6[#Headers],0)))</f>
        <v>#N/A</v>
      </c>
      <c r="R7258" s="282" t="e">
        <f>++Tabla4[[#This Row],[Precio Unitario Neto]]-Tabla4[[#This Row],[20.85%]]-Tabla4[[#This Row],[Costo]]</f>
        <v>#N/A</v>
      </c>
      <c r="S7258" s="282" t="e">
        <f>++Tabla4[[#This Row],[U. Bruta Uni]]*Tabla4[[#This Row],[Cantidad]]</f>
        <v>#N/A</v>
      </c>
      <c r="T7258" s="369" t="str">
        <f>VLOOKUP(Tabla4[[#This Row],[Producto]],Tabla6[#All],14,FALSE)</f>
        <v>Termico Solar</v>
      </c>
      <c r="U7258" s="284" t="e">
        <f>(IF(Tabla4[[#This Row],[Familia]]="termico solar",Tabla4[[#This Row],[Utilidad Total]]*6%,Tabla4[[#This Row],[Utilidad Total]]*11.5%))/Tabla4[[#This Row],[Total]]</f>
        <v>#N/A</v>
      </c>
      <c r="V7258" s="282" t="e">
        <f>+Tabla4[[#This Row],[Comisión Calculada]]*Tabla4[[#This Row],[Total]]</f>
        <v>#N/A</v>
      </c>
    </row>
    <row r="7259" spans="1:22" x14ac:dyDescent="0.25">
      <c r="A7259" s="100">
        <v>46006</v>
      </c>
      <c r="B7259" t="str">
        <f t="shared" ref="B7259:B7260" si="603">TEXT(A7259, "mmmm")</f>
        <v>December</v>
      </c>
      <c r="C7259" s="46" t="s">
        <v>280</v>
      </c>
      <c r="F7259" s="366" t="s">
        <v>3657</v>
      </c>
      <c r="G7259" s="46" t="s">
        <v>394</v>
      </c>
      <c r="H7259" s="46">
        <v>9</v>
      </c>
      <c r="I7259" s="51">
        <v>108.1</v>
      </c>
      <c r="J7259" s="281">
        <f>++Tabla4[[#This Row],[Precio Bruto]]*1.16</f>
        <v>125.39599999999999</v>
      </c>
      <c r="K7259" s="281">
        <f>+Tabla4[[#This Row],[Precio Unitario Neto]]*Tabla4[[#Headers],[20.85%]]</f>
        <v>26.145065999999996</v>
      </c>
      <c r="L7259" s="282">
        <f>++Tabla4[[#This Row],[Precio Unitario Neto]]-Tabla4[[#This Row],[20.85%]]</f>
        <v>99.250933999999987</v>
      </c>
      <c r="M7259" s="282" t="e">
        <f>(INDEX(Tabla6[#All],MATCH(Tabla4[[#This Row],[Producto]],Tabla6[[#All],[PRODUCTO]],0),MATCH(Tabla4[[#This Row],[Mes]],Tabla6[#Headers],0)))*(1+Catalogos!$L$2)</f>
        <v>#N/A</v>
      </c>
      <c r="N7259" s="283" t="e">
        <f>+(Tabla4[[#This Row],[Precio Descontado]]-Tabla4[[#This Row],[Precio Base]])*Tabla4[[#This Row],[Cantidad]]</f>
        <v>#N/A</v>
      </c>
      <c r="O7259" s="284" t="e">
        <f>++Tabla4[[#This Row],[Utilidad Total]]/Tabla4[[#This Row],[Total]]</f>
        <v>#N/A</v>
      </c>
      <c r="P7259" s="282">
        <f>++Tabla4[[#This Row],[Precio Descontado]]*Tabla4[[#This Row],[Cantidad]]</f>
        <v>893.25840599999992</v>
      </c>
      <c r="Q7259" s="282" t="e">
        <f>(INDEX(Tabla6[#All],MATCH(Tabla4[[#This Row],[Producto]],Tabla6[[#All],[PRODUCTO]],0),MATCH(Tabla4[[#This Row],[Mes]],Tabla6[#Headers],0)))</f>
        <v>#N/A</v>
      </c>
      <c r="R7259" s="282" t="e">
        <f>++Tabla4[[#This Row],[Precio Unitario Neto]]-Tabla4[[#This Row],[20.85%]]-Tabla4[[#This Row],[Costo]]</f>
        <v>#N/A</v>
      </c>
      <c r="S7259" s="282" t="e">
        <f>++Tabla4[[#This Row],[U. Bruta Uni]]*Tabla4[[#This Row],[Cantidad]]</f>
        <v>#N/A</v>
      </c>
      <c r="T7259" s="369" t="str">
        <f>VLOOKUP(Tabla4[[#This Row],[Producto]],Tabla6[#All],14,FALSE)</f>
        <v>Termico Solar</v>
      </c>
      <c r="U7259" s="284" t="e">
        <f>(IF(Tabla4[[#This Row],[Familia]]="termico solar",Tabla4[[#This Row],[Utilidad Total]]*6%,Tabla4[[#This Row],[Utilidad Total]]*11.5%))/Tabla4[[#This Row],[Total]]</f>
        <v>#N/A</v>
      </c>
      <c r="V7259" s="282" t="e">
        <f>+Tabla4[[#This Row],[Comisión Calculada]]*Tabla4[[#This Row],[Total]]</f>
        <v>#N/A</v>
      </c>
    </row>
    <row r="7260" spans="1:22" x14ac:dyDescent="0.25">
      <c r="A7260" s="100">
        <v>46006</v>
      </c>
      <c r="B7260" t="str">
        <f t="shared" si="603"/>
        <v>December</v>
      </c>
      <c r="C7260" s="46" t="s">
        <v>280</v>
      </c>
      <c r="F7260" s="366" t="s">
        <v>3657</v>
      </c>
      <c r="G7260" s="46" t="s">
        <v>208</v>
      </c>
      <c r="H7260" s="46">
        <v>3</v>
      </c>
      <c r="I7260" s="51">
        <v>189.75</v>
      </c>
      <c r="J7260" s="281">
        <f>++Tabla4[[#This Row],[Precio Bruto]]*1.16</f>
        <v>220.10999999999999</v>
      </c>
      <c r="K7260" s="281">
        <f>+Tabla4[[#This Row],[Precio Unitario Neto]]*Tabla4[[#Headers],[20.85%]]</f>
        <v>45.892934999999994</v>
      </c>
      <c r="L7260" s="282">
        <f>++Tabla4[[#This Row],[Precio Unitario Neto]]-Tabla4[[#This Row],[20.85%]]</f>
        <v>174.21706499999999</v>
      </c>
      <c r="M7260" s="282" t="e">
        <f>(INDEX(Tabla6[#All],MATCH(Tabla4[[#This Row],[Producto]],Tabla6[[#All],[PRODUCTO]],0),MATCH(Tabla4[[#This Row],[Mes]],Tabla6[#Headers],0)))*(1+Catalogos!$L$2)</f>
        <v>#N/A</v>
      </c>
      <c r="N7260" s="283" t="e">
        <f>+(Tabla4[[#This Row],[Precio Descontado]]-Tabla4[[#This Row],[Precio Base]])*Tabla4[[#This Row],[Cantidad]]</f>
        <v>#N/A</v>
      </c>
      <c r="O7260" s="284" t="e">
        <f>++Tabla4[[#This Row],[Utilidad Total]]/Tabla4[[#This Row],[Total]]</f>
        <v>#N/A</v>
      </c>
      <c r="P7260" s="282">
        <f>++Tabla4[[#This Row],[Precio Descontado]]*Tabla4[[#This Row],[Cantidad]]</f>
        <v>522.65119499999992</v>
      </c>
      <c r="Q7260" s="282" t="e">
        <f>(INDEX(Tabla6[#All],MATCH(Tabla4[[#This Row],[Producto]],Tabla6[[#All],[PRODUCTO]],0),MATCH(Tabla4[[#This Row],[Mes]],Tabla6[#Headers],0)))</f>
        <v>#N/A</v>
      </c>
      <c r="R7260" s="282" t="e">
        <f>++Tabla4[[#This Row],[Precio Unitario Neto]]-Tabla4[[#This Row],[20.85%]]-Tabla4[[#This Row],[Costo]]</f>
        <v>#N/A</v>
      </c>
      <c r="S7260" s="282" t="e">
        <f>++Tabla4[[#This Row],[U. Bruta Uni]]*Tabla4[[#This Row],[Cantidad]]</f>
        <v>#N/A</v>
      </c>
      <c r="T7260" s="369" t="str">
        <f>VLOOKUP(Tabla4[[#This Row],[Producto]],Tabla6[#All],14,FALSE)</f>
        <v>Termico Solar</v>
      </c>
      <c r="U7260" s="284" t="e">
        <f>(IF(Tabla4[[#This Row],[Familia]]="termico solar",Tabla4[[#This Row],[Utilidad Total]]*6%,Tabla4[[#This Row],[Utilidad Total]]*11.5%))/Tabla4[[#This Row],[Total]]</f>
        <v>#N/A</v>
      </c>
      <c r="V7260" s="282" t="e">
        <f>+Tabla4[[#This Row],[Comisión Calculada]]*Tabla4[[#This Row],[Total]]</f>
        <v>#N/A</v>
      </c>
    </row>
    <row r="7261" spans="1:22" x14ac:dyDescent="0.25">
      <c r="A7261" s="100">
        <v>46006</v>
      </c>
      <c r="B7261" t="str">
        <f t="shared" ref="B7261:B7262" si="604">TEXT(A7261, "mmmm")</f>
        <v>December</v>
      </c>
      <c r="C7261" s="46" t="s">
        <v>280</v>
      </c>
      <c r="F7261" s="366" t="s">
        <v>3658</v>
      </c>
      <c r="G7261" s="46" t="s">
        <v>18</v>
      </c>
      <c r="H7261" s="46">
        <v>1</v>
      </c>
      <c r="I7261" s="51">
        <v>5367.65</v>
      </c>
      <c r="J7261" s="281">
        <f>++Tabla4[[#This Row],[Precio Bruto]]*1.16</f>
        <v>6226.4739999999993</v>
      </c>
      <c r="K7261" s="281">
        <f>+Tabla4[[#This Row],[Precio Unitario Neto]]*Tabla4[[#Headers],[20.85%]]</f>
        <v>1298.2198289999999</v>
      </c>
      <c r="L7261" s="282">
        <f>++Tabla4[[#This Row],[Precio Unitario Neto]]-Tabla4[[#This Row],[20.85%]]</f>
        <v>4928.2541709999996</v>
      </c>
      <c r="M7261" s="282" t="e">
        <f>(INDEX(Tabla6[#All],MATCH(Tabla4[[#This Row],[Producto]],Tabla6[[#All],[PRODUCTO]],0),MATCH(Tabla4[[#This Row],[Mes]],Tabla6[#Headers],0)))*(1+Catalogos!$L$2)</f>
        <v>#N/A</v>
      </c>
      <c r="N7261" s="283" t="e">
        <f>+(Tabla4[[#This Row],[Precio Descontado]]-Tabla4[[#This Row],[Precio Base]])*Tabla4[[#This Row],[Cantidad]]</f>
        <v>#N/A</v>
      </c>
      <c r="O7261" s="284" t="e">
        <f>++Tabla4[[#This Row],[Utilidad Total]]/Tabla4[[#This Row],[Total]]</f>
        <v>#N/A</v>
      </c>
      <c r="P7261" s="282">
        <f>++Tabla4[[#This Row],[Precio Descontado]]*Tabla4[[#This Row],[Cantidad]]</f>
        <v>4928.2541709999996</v>
      </c>
      <c r="Q7261" s="282" t="e">
        <f>(INDEX(Tabla6[#All],MATCH(Tabla4[[#This Row],[Producto]],Tabla6[[#All],[PRODUCTO]],0),MATCH(Tabla4[[#This Row],[Mes]],Tabla6[#Headers],0)))</f>
        <v>#N/A</v>
      </c>
      <c r="R7261" s="282" t="e">
        <f>++Tabla4[[#This Row],[Precio Unitario Neto]]-Tabla4[[#This Row],[20.85%]]-Tabla4[[#This Row],[Costo]]</f>
        <v>#N/A</v>
      </c>
      <c r="S7261" s="282" t="e">
        <f>++Tabla4[[#This Row],[U. Bruta Uni]]*Tabla4[[#This Row],[Cantidad]]</f>
        <v>#N/A</v>
      </c>
      <c r="T7261" s="369" t="str">
        <f>VLOOKUP(Tabla4[[#This Row],[Producto]],Tabla6[#All],14,FALSE)</f>
        <v>Termico Solar</v>
      </c>
      <c r="U7261" s="284" t="e">
        <f>(IF(Tabla4[[#This Row],[Familia]]="termico solar",Tabla4[[#This Row],[Utilidad Total]]*6%,Tabla4[[#This Row],[Utilidad Total]]*11.5%))/Tabla4[[#This Row],[Total]]</f>
        <v>#N/A</v>
      </c>
      <c r="V7261" s="282" t="e">
        <f>+Tabla4[[#This Row],[Comisión Calculada]]*Tabla4[[#This Row],[Total]]</f>
        <v>#N/A</v>
      </c>
    </row>
    <row r="7262" spans="1:22" x14ac:dyDescent="0.25">
      <c r="A7262" s="100">
        <v>46006</v>
      </c>
      <c r="B7262" t="str">
        <f t="shared" si="604"/>
        <v>December</v>
      </c>
      <c r="C7262" s="46" t="s">
        <v>280</v>
      </c>
      <c r="F7262" s="366" t="s">
        <v>3658</v>
      </c>
      <c r="G7262" s="46" t="s">
        <v>16</v>
      </c>
      <c r="H7262" s="46">
        <v>1</v>
      </c>
      <c r="I7262" s="51">
        <v>4103.8500000000004</v>
      </c>
      <c r="J7262" s="281">
        <f>++Tabla4[[#This Row],[Precio Bruto]]*1.16</f>
        <v>4760.4660000000003</v>
      </c>
      <c r="K7262" s="281">
        <f>+Tabla4[[#This Row],[Precio Unitario Neto]]*Tabla4[[#Headers],[20.85%]]</f>
        <v>992.55716100000006</v>
      </c>
      <c r="L7262" s="282">
        <f>++Tabla4[[#This Row],[Precio Unitario Neto]]-Tabla4[[#This Row],[20.85%]]</f>
        <v>3767.9088390000002</v>
      </c>
      <c r="M7262" s="282" t="e">
        <f>(INDEX(Tabla6[#All],MATCH(Tabla4[[#This Row],[Producto]],Tabla6[[#All],[PRODUCTO]],0),MATCH(Tabla4[[#This Row],[Mes]],Tabla6[#Headers],0)))*(1+Catalogos!$L$2)</f>
        <v>#N/A</v>
      </c>
      <c r="N7262" s="283" t="e">
        <f>+(Tabla4[[#This Row],[Precio Descontado]]-Tabla4[[#This Row],[Precio Base]])*Tabla4[[#This Row],[Cantidad]]</f>
        <v>#N/A</v>
      </c>
      <c r="O7262" s="284" t="e">
        <f>++Tabla4[[#This Row],[Utilidad Total]]/Tabla4[[#This Row],[Total]]</f>
        <v>#N/A</v>
      </c>
      <c r="P7262" s="282">
        <f>++Tabla4[[#This Row],[Precio Descontado]]*Tabla4[[#This Row],[Cantidad]]</f>
        <v>3767.9088390000002</v>
      </c>
      <c r="Q7262" s="282" t="e">
        <f>(INDEX(Tabla6[#All],MATCH(Tabla4[[#This Row],[Producto]],Tabla6[[#All],[PRODUCTO]],0),MATCH(Tabla4[[#This Row],[Mes]],Tabla6[#Headers],0)))</f>
        <v>#N/A</v>
      </c>
      <c r="R7262" s="282" t="e">
        <f>++Tabla4[[#This Row],[Precio Unitario Neto]]-Tabla4[[#This Row],[20.85%]]-Tabla4[[#This Row],[Costo]]</f>
        <v>#N/A</v>
      </c>
      <c r="S7262" s="282" t="e">
        <f>++Tabla4[[#This Row],[U. Bruta Uni]]*Tabla4[[#This Row],[Cantidad]]</f>
        <v>#N/A</v>
      </c>
      <c r="T7262" s="369" t="str">
        <f>VLOOKUP(Tabla4[[#This Row],[Producto]],Tabla6[#All],14,FALSE)</f>
        <v>Termico Solar</v>
      </c>
      <c r="U7262" s="284" t="e">
        <f>(IF(Tabla4[[#This Row],[Familia]]="termico solar",Tabla4[[#This Row],[Utilidad Total]]*6%,Tabla4[[#This Row],[Utilidad Total]]*11.5%))/Tabla4[[#This Row],[Total]]</f>
        <v>#N/A</v>
      </c>
      <c r="V7262" s="282" t="e">
        <f>+Tabla4[[#This Row],[Comisión Calculada]]*Tabla4[[#This Row],[Total]]</f>
        <v>#N/A</v>
      </c>
    </row>
    <row r="7263" spans="1:22" x14ac:dyDescent="0.25">
      <c r="A7263" s="100">
        <v>46006</v>
      </c>
      <c r="B7263" t="str">
        <f t="shared" ref="B7263:B7264" si="605">TEXT(A7263, "mmmm")</f>
        <v>December</v>
      </c>
      <c r="C7263" s="46" t="s">
        <v>280</v>
      </c>
      <c r="F7263" s="366" t="s">
        <v>3659</v>
      </c>
      <c r="G7263" s="46" t="s">
        <v>18</v>
      </c>
      <c r="H7263" s="46">
        <v>1</v>
      </c>
      <c r="I7263" s="51">
        <v>5367.65</v>
      </c>
      <c r="J7263" s="281">
        <f>++Tabla4[[#This Row],[Precio Bruto]]*1.16</f>
        <v>6226.4739999999993</v>
      </c>
      <c r="K7263" s="281">
        <f>+Tabla4[[#This Row],[Precio Unitario Neto]]*Tabla4[[#Headers],[20.85%]]</f>
        <v>1298.2198289999999</v>
      </c>
      <c r="L7263" s="282">
        <f>++Tabla4[[#This Row],[Precio Unitario Neto]]-Tabla4[[#This Row],[20.85%]]</f>
        <v>4928.2541709999996</v>
      </c>
      <c r="M7263" s="282" t="e">
        <f>(INDEX(Tabla6[#All],MATCH(Tabla4[[#This Row],[Producto]],Tabla6[[#All],[PRODUCTO]],0),MATCH(Tabla4[[#This Row],[Mes]],Tabla6[#Headers],0)))*(1+Catalogos!$L$2)</f>
        <v>#N/A</v>
      </c>
      <c r="N7263" s="283" t="e">
        <f>+(Tabla4[[#This Row],[Precio Descontado]]-Tabla4[[#This Row],[Precio Base]])*Tabla4[[#This Row],[Cantidad]]</f>
        <v>#N/A</v>
      </c>
      <c r="O7263" s="284" t="e">
        <f>++Tabla4[[#This Row],[Utilidad Total]]/Tabla4[[#This Row],[Total]]</f>
        <v>#N/A</v>
      </c>
      <c r="P7263" s="282">
        <f>++Tabla4[[#This Row],[Precio Descontado]]*Tabla4[[#This Row],[Cantidad]]</f>
        <v>4928.2541709999996</v>
      </c>
      <c r="Q7263" s="282" t="e">
        <f>(INDEX(Tabla6[#All],MATCH(Tabla4[[#This Row],[Producto]],Tabla6[[#All],[PRODUCTO]],0),MATCH(Tabla4[[#This Row],[Mes]],Tabla6[#Headers],0)))</f>
        <v>#N/A</v>
      </c>
      <c r="R7263" s="282" t="e">
        <f>++Tabla4[[#This Row],[Precio Unitario Neto]]-Tabla4[[#This Row],[20.85%]]-Tabla4[[#This Row],[Costo]]</f>
        <v>#N/A</v>
      </c>
      <c r="S7263" s="282" t="e">
        <f>++Tabla4[[#This Row],[U. Bruta Uni]]*Tabla4[[#This Row],[Cantidad]]</f>
        <v>#N/A</v>
      </c>
      <c r="T7263" s="369" t="str">
        <f>VLOOKUP(Tabla4[[#This Row],[Producto]],Tabla6[#All],14,FALSE)</f>
        <v>Termico Solar</v>
      </c>
      <c r="U7263" s="284" t="e">
        <f>(IF(Tabla4[[#This Row],[Familia]]="termico solar",Tabla4[[#This Row],[Utilidad Total]]*6%,Tabla4[[#This Row],[Utilidad Total]]*11.5%))/Tabla4[[#This Row],[Total]]</f>
        <v>#N/A</v>
      </c>
      <c r="V7263" s="282" t="e">
        <f>+Tabla4[[#This Row],[Comisión Calculada]]*Tabla4[[#This Row],[Total]]</f>
        <v>#N/A</v>
      </c>
    </row>
    <row r="7264" spans="1:22" x14ac:dyDescent="0.25">
      <c r="A7264" s="100">
        <v>46006</v>
      </c>
      <c r="B7264" t="str">
        <f t="shared" si="605"/>
        <v>December</v>
      </c>
      <c r="C7264" s="46" t="s">
        <v>280</v>
      </c>
      <c r="F7264" s="366" t="s">
        <v>3659</v>
      </c>
      <c r="G7264" s="46" t="s">
        <v>16</v>
      </c>
      <c r="H7264" s="46">
        <v>1</v>
      </c>
      <c r="I7264" s="51">
        <v>4103.8500000000004</v>
      </c>
      <c r="J7264" s="281">
        <f>++Tabla4[[#This Row],[Precio Bruto]]*1.16</f>
        <v>4760.4660000000003</v>
      </c>
      <c r="K7264" s="281">
        <f>+Tabla4[[#This Row],[Precio Unitario Neto]]*Tabla4[[#Headers],[20.85%]]</f>
        <v>992.55716100000006</v>
      </c>
      <c r="L7264" s="282">
        <f>++Tabla4[[#This Row],[Precio Unitario Neto]]-Tabla4[[#This Row],[20.85%]]</f>
        <v>3767.9088390000002</v>
      </c>
      <c r="M7264" s="282" t="e">
        <f>(INDEX(Tabla6[#All],MATCH(Tabla4[[#This Row],[Producto]],Tabla6[[#All],[PRODUCTO]],0),MATCH(Tabla4[[#This Row],[Mes]],Tabla6[#Headers],0)))*(1+Catalogos!$L$2)</f>
        <v>#N/A</v>
      </c>
      <c r="N7264" s="283" t="e">
        <f>+(Tabla4[[#This Row],[Precio Descontado]]-Tabla4[[#This Row],[Precio Base]])*Tabla4[[#This Row],[Cantidad]]</f>
        <v>#N/A</v>
      </c>
      <c r="O7264" s="284" t="e">
        <f>++Tabla4[[#This Row],[Utilidad Total]]/Tabla4[[#This Row],[Total]]</f>
        <v>#N/A</v>
      </c>
      <c r="P7264" s="282">
        <f>++Tabla4[[#This Row],[Precio Descontado]]*Tabla4[[#This Row],[Cantidad]]</f>
        <v>3767.9088390000002</v>
      </c>
      <c r="Q7264" s="282" t="e">
        <f>(INDEX(Tabla6[#All],MATCH(Tabla4[[#This Row],[Producto]],Tabla6[[#All],[PRODUCTO]],0),MATCH(Tabla4[[#This Row],[Mes]],Tabla6[#Headers],0)))</f>
        <v>#N/A</v>
      </c>
      <c r="R7264" s="282" t="e">
        <f>++Tabla4[[#This Row],[Precio Unitario Neto]]-Tabla4[[#This Row],[20.85%]]-Tabla4[[#This Row],[Costo]]</f>
        <v>#N/A</v>
      </c>
      <c r="S7264" s="282" t="e">
        <f>++Tabla4[[#This Row],[U. Bruta Uni]]*Tabla4[[#This Row],[Cantidad]]</f>
        <v>#N/A</v>
      </c>
      <c r="T7264" s="369" t="str">
        <f>VLOOKUP(Tabla4[[#This Row],[Producto]],Tabla6[#All],14,FALSE)</f>
        <v>Termico Solar</v>
      </c>
      <c r="U7264" s="284" t="e">
        <f>(IF(Tabla4[[#This Row],[Familia]]="termico solar",Tabla4[[#This Row],[Utilidad Total]]*6%,Tabla4[[#This Row],[Utilidad Total]]*11.5%))/Tabla4[[#This Row],[Total]]</f>
        <v>#N/A</v>
      </c>
      <c r="V7264" s="282" t="e">
        <f>+Tabla4[[#This Row],[Comisión Calculada]]*Tabla4[[#This Row],[Total]]</f>
        <v>#N/A</v>
      </c>
    </row>
    <row r="7265" spans="1:22" x14ac:dyDescent="0.25">
      <c r="A7265" s="100">
        <v>46006</v>
      </c>
      <c r="B7265" t="str">
        <f t="shared" ref="B7265:B7267" si="606">TEXT(A7265, "mmmm")</f>
        <v>December</v>
      </c>
      <c r="C7265" s="46" t="s">
        <v>280</v>
      </c>
      <c r="F7265" s="366" t="s">
        <v>3660</v>
      </c>
      <c r="G7265" s="46" t="s">
        <v>83</v>
      </c>
      <c r="H7265" s="46">
        <v>3</v>
      </c>
      <c r="I7265" s="51">
        <v>8858.76</v>
      </c>
      <c r="J7265" s="281">
        <f>++Tabla4[[#This Row],[Precio Bruto]]*1.16</f>
        <v>10276.161599999999</v>
      </c>
      <c r="K7265" s="281">
        <f>+Tabla4[[#This Row],[Precio Unitario Neto]]*Tabla4[[#Headers],[20.85%]]</f>
        <v>2142.5796935999997</v>
      </c>
      <c r="L7265" s="282">
        <f>++Tabla4[[#This Row],[Precio Unitario Neto]]-Tabla4[[#This Row],[20.85%]]</f>
        <v>8133.5819063999998</v>
      </c>
      <c r="M7265" s="282" t="e">
        <f>(INDEX(Tabla6[#All],MATCH(Tabla4[[#This Row],[Producto]],Tabla6[[#All],[PRODUCTO]],0),MATCH(Tabla4[[#This Row],[Mes]],Tabla6[#Headers],0)))*(1+Catalogos!$L$2)</f>
        <v>#N/A</v>
      </c>
      <c r="N7265" s="283" t="e">
        <f>+(Tabla4[[#This Row],[Precio Descontado]]-Tabla4[[#This Row],[Precio Base]])*Tabla4[[#This Row],[Cantidad]]</f>
        <v>#N/A</v>
      </c>
      <c r="O7265" s="284" t="e">
        <f>++Tabla4[[#This Row],[Utilidad Total]]/Tabla4[[#This Row],[Total]]</f>
        <v>#N/A</v>
      </c>
      <c r="P7265" s="282">
        <f>++Tabla4[[#This Row],[Precio Descontado]]*Tabla4[[#This Row],[Cantidad]]</f>
        <v>24400.7457192</v>
      </c>
      <c r="Q7265" s="282" t="e">
        <f>(INDEX(Tabla6[#All],MATCH(Tabla4[[#This Row],[Producto]],Tabla6[[#All],[PRODUCTO]],0),MATCH(Tabla4[[#This Row],[Mes]],Tabla6[#Headers],0)))</f>
        <v>#N/A</v>
      </c>
      <c r="R7265" s="282" t="e">
        <f>++Tabla4[[#This Row],[Precio Unitario Neto]]-Tabla4[[#This Row],[20.85%]]-Tabla4[[#This Row],[Costo]]</f>
        <v>#N/A</v>
      </c>
      <c r="S7265" s="282" t="e">
        <f>++Tabla4[[#This Row],[U. Bruta Uni]]*Tabla4[[#This Row],[Cantidad]]</f>
        <v>#N/A</v>
      </c>
      <c r="T7265" s="369" t="str">
        <f>VLOOKUP(Tabla4[[#This Row],[Producto]],Tabla6[#All],14,FALSE)</f>
        <v>Termico Solar</v>
      </c>
      <c r="U7265" s="284" t="e">
        <f>(IF(Tabla4[[#This Row],[Familia]]="termico solar",Tabla4[[#This Row],[Utilidad Total]]*6%,Tabla4[[#This Row],[Utilidad Total]]*11.5%))/Tabla4[[#This Row],[Total]]</f>
        <v>#N/A</v>
      </c>
      <c r="V7265" s="282" t="e">
        <f>+Tabla4[[#This Row],[Comisión Calculada]]*Tabla4[[#This Row],[Total]]</f>
        <v>#N/A</v>
      </c>
    </row>
    <row r="7266" spans="1:22" x14ac:dyDescent="0.25">
      <c r="A7266" s="100">
        <v>46006</v>
      </c>
      <c r="B7266" t="str">
        <f t="shared" si="606"/>
        <v>December</v>
      </c>
      <c r="C7266" s="46" t="s">
        <v>280</v>
      </c>
      <c r="F7266" s="366" t="s">
        <v>3660</v>
      </c>
      <c r="G7266" s="46" t="s">
        <v>17</v>
      </c>
      <c r="H7266" s="46">
        <v>1</v>
      </c>
      <c r="I7266" s="51">
        <v>4622.28</v>
      </c>
      <c r="J7266" s="281">
        <f>++Tabla4[[#This Row],[Precio Bruto]]*1.16</f>
        <v>5361.8447999999989</v>
      </c>
      <c r="K7266" s="281">
        <f>+Tabla4[[#This Row],[Precio Unitario Neto]]*Tabla4[[#Headers],[20.85%]]</f>
        <v>1117.9446407999997</v>
      </c>
      <c r="L7266" s="282">
        <f>++Tabla4[[#This Row],[Precio Unitario Neto]]-Tabla4[[#This Row],[20.85%]]</f>
        <v>4243.9001591999995</v>
      </c>
      <c r="M7266" s="282" t="e">
        <f>(INDEX(Tabla6[#All],MATCH(Tabla4[[#This Row],[Producto]],Tabla6[[#All],[PRODUCTO]],0),MATCH(Tabla4[[#This Row],[Mes]],Tabla6[#Headers],0)))*(1+Catalogos!$L$2)</f>
        <v>#N/A</v>
      </c>
      <c r="N7266" s="283" t="e">
        <f>+(Tabla4[[#This Row],[Precio Descontado]]-Tabla4[[#This Row],[Precio Base]])*Tabla4[[#This Row],[Cantidad]]</f>
        <v>#N/A</v>
      </c>
      <c r="O7266" s="284" t="e">
        <f>++Tabla4[[#This Row],[Utilidad Total]]/Tabla4[[#This Row],[Total]]</f>
        <v>#N/A</v>
      </c>
      <c r="P7266" s="282">
        <f>++Tabla4[[#This Row],[Precio Descontado]]*Tabla4[[#This Row],[Cantidad]]</f>
        <v>4243.9001591999995</v>
      </c>
      <c r="Q7266" s="282" t="e">
        <f>(INDEX(Tabla6[#All],MATCH(Tabla4[[#This Row],[Producto]],Tabla6[[#All],[PRODUCTO]],0),MATCH(Tabla4[[#This Row],[Mes]],Tabla6[#Headers],0)))</f>
        <v>#N/A</v>
      </c>
      <c r="R7266" s="282" t="e">
        <f>++Tabla4[[#This Row],[Precio Unitario Neto]]-Tabla4[[#This Row],[20.85%]]-Tabla4[[#This Row],[Costo]]</f>
        <v>#N/A</v>
      </c>
      <c r="S7266" s="282" t="e">
        <f>++Tabla4[[#This Row],[U. Bruta Uni]]*Tabla4[[#This Row],[Cantidad]]</f>
        <v>#N/A</v>
      </c>
      <c r="T7266" s="369" t="str">
        <f>VLOOKUP(Tabla4[[#This Row],[Producto]],Tabla6[#All],14,FALSE)</f>
        <v>Termico Solar</v>
      </c>
      <c r="U7266" s="284" t="e">
        <f>(IF(Tabla4[[#This Row],[Familia]]="termico solar",Tabla4[[#This Row],[Utilidad Total]]*6%,Tabla4[[#This Row],[Utilidad Total]]*11.5%))/Tabla4[[#This Row],[Total]]</f>
        <v>#N/A</v>
      </c>
      <c r="V7266" s="282" t="e">
        <f>+Tabla4[[#This Row],[Comisión Calculada]]*Tabla4[[#This Row],[Total]]</f>
        <v>#N/A</v>
      </c>
    </row>
    <row r="7267" spans="1:22" x14ac:dyDescent="0.25">
      <c r="A7267" s="100">
        <v>46006</v>
      </c>
      <c r="B7267" t="str">
        <f t="shared" si="606"/>
        <v>December</v>
      </c>
      <c r="C7267" s="46" t="s">
        <v>280</v>
      </c>
      <c r="F7267" s="366" t="s">
        <v>3660</v>
      </c>
      <c r="G7267" s="46" t="s">
        <v>18</v>
      </c>
      <c r="H7267" s="46">
        <v>1</v>
      </c>
      <c r="I7267" s="51">
        <v>5367.65</v>
      </c>
      <c r="J7267" s="281">
        <f>++Tabla4[[#This Row],[Precio Bruto]]*1.16</f>
        <v>6226.4739999999993</v>
      </c>
      <c r="K7267" s="281">
        <f>+Tabla4[[#This Row],[Precio Unitario Neto]]*Tabla4[[#Headers],[20.85%]]</f>
        <v>1298.2198289999999</v>
      </c>
      <c r="L7267" s="282">
        <f>++Tabla4[[#This Row],[Precio Unitario Neto]]-Tabla4[[#This Row],[20.85%]]</f>
        <v>4928.2541709999996</v>
      </c>
      <c r="M7267" s="282" t="e">
        <f>(INDEX(Tabla6[#All],MATCH(Tabla4[[#This Row],[Producto]],Tabla6[[#All],[PRODUCTO]],0),MATCH(Tabla4[[#This Row],[Mes]],Tabla6[#Headers],0)))*(1+Catalogos!$L$2)</f>
        <v>#N/A</v>
      </c>
      <c r="N7267" s="283" t="e">
        <f>+(Tabla4[[#This Row],[Precio Descontado]]-Tabla4[[#This Row],[Precio Base]])*Tabla4[[#This Row],[Cantidad]]</f>
        <v>#N/A</v>
      </c>
      <c r="O7267" s="284" t="e">
        <f>++Tabla4[[#This Row],[Utilidad Total]]/Tabla4[[#This Row],[Total]]</f>
        <v>#N/A</v>
      </c>
      <c r="P7267" s="282">
        <f>++Tabla4[[#This Row],[Precio Descontado]]*Tabla4[[#This Row],[Cantidad]]</f>
        <v>4928.2541709999996</v>
      </c>
      <c r="Q7267" s="282" t="e">
        <f>(INDEX(Tabla6[#All],MATCH(Tabla4[[#This Row],[Producto]],Tabla6[[#All],[PRODUCTO]],0),MATCH(Tabla4[[#This Row],[Mes]],Tabla6[#Headers],0)))</f>
        <v>#N/A</v>
      </c>
      <c r="R7267" s="282" t="e">
        <f>++Tabla4[[#This Row],[Precio Unitario Neto]]-Tabla4[[#This Row],[20.85%]]-Tabla4[[#This Row],[Costo]]</f>
        <v>#N/A</v>
      </c>
      <c r="S7267" s="282" t="e">
        <f>++Tabla4[[#This Row],[U. Bruta Uni]]*Tabla4[[#This Row],[Cantidad]]</f>
        <v>#N/A</v>
      </c>
      <c r="T7267" s="369" t="str">
        <f>VLOOKUP(Tabla4[[#This Row],[Producto]],Tabla6[#All],14,FALSE)</f>
        <v>Termico Solar</v>
      </c>
      <c r="U7267" s="284" t="e">
        <f>(IF(Tabla4[[#This Row],[Familia]]="termico solar",Tabla4[[#This Row],[Utilidad Total]]*6%,Tabla4[[#This Row],[Utilidad Total]]*11.5%))/Tabla4[[#This Row],[Total]]</f>
        <v>#N/A</v>
      </c>
      <c r="V7267" s="282" t="e">
        <f>+Tabla4[[#This Row],[Comisión Calculada]]*Tabla4[[#This Row],[Total]]</f>
        <v>#N/A</v>
      </c>
    </row>
    <row r="7268" spans="1:22" x14ac:dyDescent="0.25">
      <c r="A7268" s="100">
        <v>46006</v>
      </c>
      <c r="B7268" t="str">
        <f>TEXT(A7268, "mmmm")</f>
        <v>December</v>
      </c>
      <c r="C7268" s="46" t="s">
        <v>280</v>
      </c>
      <c r="F7268" s="366" t="s">
        <v>3661</v>
      </c>
      <c r="G7268" s="46" t="s">
        <v>18</v>
      </c>
      <c r="H7268" s="46">
        <v>1</v>
      </c>
      <c r="I7268" s="51">
        <v>5367.65</v>
      </c>
      <c r="J7268" s="281">
        <f>++Tabla4[[#This Row],[Precio Bruto]]*1.16</f>
        <v>6226.4739999999993</v>
      </c>
      <c r="K7268" s="281">
        <f>+Tabla4[[#This Row],[Precio Unitario Neto]]*Tabla4[[#Headers],[20.85%]]</f>
        <v>1298.2198289999999</v>
      </c>
      <c r="L7268" s="282">
        <f>++Tabla4[[#This Row],[Precio Unitario Neto]]-Tabla4[[#This Row],[20.85%]]</f>
        <v>4928.2541709999996</v>
      </c>
      <c r="M7268" s="282" t="e">
        <f>(INDEX(Tabla6[#All],MATCH(Tabla4[[#This Row],[Producto]],Tabla6[[#All],[PRODUCTO]],0),MATCH(Tabla4[[#This Row],[Mes]],Tabla6[#Headers],0)))*(1+Catalogos!$L$2)</f>
        <v>#N/A</v>
      </c>
      <c r="N7268" s="283" t="e">
        <f>+(Tabla4[[#This Row],[Precio Descontado]]-Tabla4[[#This Row],[Precio Base]])*Tabla4[[#This Row],[Cantidad]]</f>
        <v>#N/A</v>
      </c>
      <c r="O7268" s="284" t="e">
        <f>++Tabla4[[#This Row],[Utilidad Total]]/Tabla4[[#This Row],[Total]]</f>
        <v>#N/A</v>
      </c>
      <c r="P7268" s="282">
        <f>++Tabla4[[#This Row],[Precio Descontado]]*Tabla4[[#This Row],[Cantidad]]</f>
        <v>4928.2541709999996</v>
      </c>
      <c r="Q7268" s="282" t="e">
        <f>(INDEX(Tabla6[#All],MATCH(Tabla4[[#This Row],[Producto]],Tabla6[[#All],[PRODUCTO]],0),MATCH(Tabla4[[#This Row],[Mes]],Tabla6[#Headers],0)))</f>
        <v>#N/A</v>
      </c>
      <c r="R7268" s="282" t="e">
        <f>++Tabla4[[#This Row],[Precio Unitario Neto]]-Tabla4[[#This Row],[20.85%]]-Tabla4[[#This Row],[Costo]]</f>
        <v>#N/A</v>
      </c>
      <c r="S7268" s="282" t="e">
        <f>++Tabla4[[#This Row],[U. Bruta Uni]]*Tabla4[[#This Row],[Cantidad]]</f>
        <v>#N/A</v>
      </c>
      <c r="T7268" s="369" t="str">
        <f>VLOOKUP(Tabla4[[#This Row],[Producto]],Tabla6[#All],14,FALSE)</f>
        <v>Termico Solar</v>
      </c>
      <c r="U7268" s="284" t="e">
        <f>(IF(Tabla4[[#This Row],[Familia]]="termico solar",Tabla4[[#This Row],[Utilidad Total]]*6%,Tabla4[[#This Row],[Utilidad Total]]*11.5%))/Tabla4[[#This Row],[Total]]</f>
        <v>#N/A</v>
      </c>
      <c r="V7268" s="282" t="e">
        <f>+Tabla4[[#This Row],[Comisión Calculada]]*Tabla4[[#This Row],[Total]]</f>
        <v>#N/A</v>
      </c>
    </row>
    <row r="7269" spans="1:22" x14ac:dyDescent="0.25">
      <c r="A7269" s="100">
        <v>46006</v>
      </c>
      <c r="B7269" t="str">
        <f>TEXT(A7269, "mmmm")</f>
        <v>December</v>
      </c>
      <c r="C7269" s="46" t="s">
        <v>280</v>
      </c>
      <c r="F7269" s="366" t="s">
        <v>3662</v>
      </c>
      <c r="G7269" s="46" t="s">
        <v>18</v>
      </c>
      <c r="H7269" s="46">
        <v>2</v>
      </c>
      <c r="I7269" s="51">
        <v>5367.65</v>
      </c>
      <c r="J7269" s="281">
        <f>++Tabla4[[#This Row],[Precio Bruto]]*1.16</f>
        <v>6226.4739999999993</v>
      </c>
      <c r="K7269" s="281">
        <f>+Tabla4[[#This Row],[Precio Unitario Neto]]*Tabla4[[#Headers],[20.85%]]</f>
        <v>1298.2198289999999</v>
      </c>
      <c r="L7269" s="282">
        <f>++Tabla4[[#This Row],[Precio Unitario Neto]]-Tabla4[[#This Row],[20.85%]]</f>
        <v>4928.2541709999996</v>
      </c>
      <c r="M7269" s="282" t="e">
        <f>(INDEX(Tabla6[#All],MATCH(Tabla4[[#This Row],[Producto]],Tabla6[[#All],[PRODUCTO]],0),MATCH(Tabla4[[#This Row],[Mes]],Tabla6[#Headers],0)))*(1+Catalogos!$L$2)</f>
        <v>#N/A</v>
      </c>
      <c r="N7269" s="283" t="e">
        <f>+(Tabla4[[#This Row],[Precio Descontado]]-Tabla4[[#This Row],[Precio Base]])*Tabla4[[#This Row],[Cantidad]]</f>
        <v>#N/A</v>
      </c>
      <c r="O7269" s="284" t="e">
        <f>++Tabla4[[#This Row],[Utilidad Total]]/Tabla4[[#This Row],[Total]]</f>
        <v>#N/A</v>
      </c>
      <c r="P7269" s="282">
        <f>++Tabla4[[#This Row],[Precio Descontado]]*Tabla4[[#This Row],[Cantidad]]</f>
        <v>9856.5083419999992</v>
      </c>
      <c r="Q7269" s="282" t="e">
        <f>(INDEX(Tabla6[#All],MATCH(Tabla4[[#This Row],[Producto]],Tabla6[[#All],[PRODUCTO]],0),MATCH(Tabla4[[#This Row],[Mes]],Tabla6[#Headers],0)))</f>
        <v>#N/A</v>
      </c>
      <c r="R7269" s="282" t="e">
        <f>++Tabla4[[#This Row],[Precio Unitario Neto]]-Tabla4[[#This Row],[20.85%]]-Tabla4[[#This Row],[Costo]]</f>
        <v>#N/A</v>
      </c>
      <c r="S7269" s="282" t="e">
        <f>++Tabla4[[#This Row],[U. Bruta Uni]]*Tabla4[[#This Row],[Cantidad]]</f>
        <v>#N/A</v>
      </c>
      <c r="T7269" s="369" t="str">
        <f>VLOOKUP(Tabla4[[#This Row],[Producto]],Tabla6[#All],14,FALSE)</f>
        <v>Termico Solar</v>
      </c>
      <c r="U7269" s="284" t="e">
        <f>(IF(Tabla4[[#This Row],[Familia]]="termico solar",Tabla4[[#This Row],[Utilidad Total]]*6%,Tabla4[[#This Row],[Utilidad Total]]*11.5%))/Tabla4[[#This Row],[Total]]</f>
        <v>#N/A</v>
      </c>
      <c r="V7269" s="282" t="e">
        <f>+Tabla4[[#This Row],[Comisión Calculada]]*Tabla4[[#This Row],[Total]]</f>
        <v>#N/A</v>
      </c>
    </row>
    <row r="7270" spans="1:22" x14ac:dyDescent="0.25">
      <c r="A7270" s="100">
        <v>46006</v>
      </c>
      <c r="B7270" t="str">
        <f>TEXT(A7270, "mmmm")</f>
        <v>December</v>
      </c>
      <c r="C7270" s="46" t="s">
        <v>280</v>
      </c>
      <c r="F7270" s="366" t="s">
        <v>3663</v>
      </c>
      <c r="G7270" s="46" t="s">
        <v>83</v>
      </c>
      <c r="H7270" s="46">
        <v>1</v>
      </c>
      <c r="I7270" s="51">
        <v>8858.76</v>
      </c>
      <c r="J7270" s="281">
        <f>++Tabla4[[#This Row],[Precio Bruto]]*1.16</f>
        <v>10276.161599999999</v>
      </c>
      <c r="K7270" s="281">
        <f>+Tabla4[[#This Row],[Precio Unitario Neto]]*Tabla4[[#Headers],[20.85%]]</f>
        <v>2142.5796935999997</v>
      </c>
      <c r="L7270" s="282">
        <f>++Tabla4[[#This Row],[Precio Unitario Neto]]-Tabla4[[#This Row],[20.85%]]</f>
        <v>8133.5819063999998</v>
      </c>
      <c r="M7270" s="282" t="e">
        <f>(INDEX(Tabla6[#All],MATCH(Tabla4[[#This Row],[Producto]],Tabla6[[#All],[PRODUCTO]],0),MATCH(Tabla4[[#This Row],[Mes]],Tabla6[#Headers],0)))*(1+Catalogos!$L$2)</f>
        <v>#N/A</v>
      </c>
      <c r="N7270" s="283" t="e">
        <f>+(Tabla4[[#This Row],[Precio Descontado]]-Tabla4[[#This Row],[Precio Base]])*Tabla4[[#This Row],[Cantidad]]</f>
        <v>#N/A</v>
      </c>
      <c r="O7270" s="284" t="e">
        <f>++Tabla4[[#This Row],[Utilidad Total]]/Tabla4[[#This Row],[Total]]</f>
        <v>#N/A</v>
      </c>
      <c r="P7270" s="282">
        <f>++Tabla4[[#This Row],[Precio Descontado]]*Tabla4[[#This Row],[Cantidad]]</f>
        <v>8133.5819063999998</v>
      </c>
      <c r="Q7270" s="282" t="e">
        <f>(INDEX(Tabla6[#All],MATCH(Tabla4[[#This Row],[Producto]],Tabla6[[#All],[PRODUCTO]],0),MATCH(Tabla4[[#This Row],[Mes]],Tabla6[#Headers],0)))</f>
        <v>#N/A</v>
      </c>
      <c r="R7270" s="282" t="e">
        <f>++Tabla4[[#This Row],[Precio Unitario Neto]]-Tabla4[[#This Row],[20.85%]]-Tabla4[[#This Row],[Costo]]</f>
        <v>#N/A</v>
      </c>
      <c r="S7270" s="282" t="e">
        <f>++Tabla4[[#This Row],[U. Bruta Uni]]*Tabla4[[#This Row],[Cantidad]]</f>
        <v>#N/A</v>
      </c>
      <c r="T7270" s="369" t="str">
        <f>VLOOKUP(Tabla4[[#This Row],[Producto]],Tabla6[#All],14,FALSE)</f>
        <v>Termico Solar</v>
      </c>
      <c r="U7270" s="284" t="e">
        <f>(IF(Tabla4[[#This Row],[Familia]]="termico solar",Tabla4[[#This Row],[Utilidad Total]]*6%,Tabla4[[#This Row],[Utilidad Total]]*11.5%))/Tabla4[[#This Row],[Total]]</f>
        <v>#N/A</v>
      </c>
      <c r="V7270" s="282" t="e">
        <f>+Tabla4[[#This Row],[Comisión Calculada]]*Tabla4[[#This Row],[Total]]</f>
        <v>#N/A</v>
      </c>
    </row>
    <row r="7271" spans="1:22" x14ac:dyDescent="0.25">
      <c r="A7271" s="100">
        <v>46006</v>
      </c>
      <c r="B7271" t="str">
        <f>TEXT(A7271, "mmmm")</f>
        <v>December</v>
      </c>
      <c r="C7271" s="46" t="s">
        <v>280</v>
      </c>
      <c r="F7271" s="366" t="s">
        <v>3664</v>
      </c>
      <c r="G7271" s="46" t="s">
        <v>18</v>
      </c>
      <c r="H7271" s="46">
        <v>1</v>
      </c>
      <c r="I7271" s="51">
        <v>5367.65</v>
      </c>
      <c r="J7271" s="281">
        <f>++Tabla4[[#This Row],[Precio Bruto]]*1.16</f>
        <v>6226.4739999999993</v>
      </c>
      <c r="K7271" s="281">
        <f>+Tabla4[[#This Row],[Precio Unitario Neto]]*Tabla4[[#Headers],[20.85%]]</f>
        <v>1298.2198289999999</v>
      </c>
      <c r="L7271" s="282">
        <f>++Tabla4[[#This Row],[Precio Unitario Neto]]-Tabla4[[#This Row],[20.85%]]</f>
        <v>4928.2541709999996</v>
      </c>
      <c r="M7271" s="282" t="e">
        <f>(INDEX(Tabla6[#All],MATCH(Tabla4[[#This Row],[Producto]],Tabla6[[#All],[PRODUCTO]],0),MATCH(Tabla4[[#This Row],[Mes]],Tabla6[#Headers],0)))*(1+Catalogos!$L$2)</f>
        <v>#N/A</v>
      </c>
      <c r="N7271" s="283" t="e">
        <f>+(Tabla4[[#This Row],[Precio Descontado]]-Tabla4[[#This Row],[Precio Base]])*Tabla4[[#This Row],[Cantidad]]</f>
        <v>#N/A</v>
      </c>
      <c r="O7271" s="284" t="e">
        <f>++Tabla4[[#This Row],[Utilidad Total]]/Tabla4[[#This Row],[Total]]</f>
        <v>#N/A</v>
      </c>
      <c r="P7271" s="282">
        <f>++Tabla4[[#This Row],[Precio Descontado]]*Tabla4[[#This Row],[Cantidad]]</f>
        <v>4928.2541709999996</v>
      </c>
      <c r="Q7271" s="282" t="e">
        <f>(INDEX(Tabla6[#All],MATCH(Tabla4[[#This Row],[Producto]],Tabla6[[#All],[PRODUCTO]],0),MATCH(Tabla4[[#This Row],[Mes]],Tabla6[#Headers],0)))</f>
        <v>#N/A</v>
      </c>
      <c r="R7271" s="282" t="e">
        <f>++Tabla4[[#This Row],[Precio Unitario Neto]]-Tabla4[[#This Row],[20.85%]]-Tabla4[[#This Row],[Costo]]</f>
        <v>#N/A</v>
      </c>
      <c r="S7271" s="282" t="e">
        <f>++Tabla4[[#This Row],[U. Bruta Uni]]*Tabla4[[#This Row],[Cantidad]]</f>
        <v>#N/A</v>
      </c>
      <c r="T7271" s="369" t="str">
        <f>VLOOKUP(Tabla4[[#This Row],[Producto]],Tabla6[#All],14,FALSE)</f>
        <v>Termico Solar</v>
      </c>
      <c r="U7271" s="284" t="e">
        <f>(IF(Tabla4[[#This Row],[Familia]]="termico solar",Tabla4[[#This Row],[Utilidad Total]]*6%,Tabla4[[#This Row],[Utilidad Total]]*11.5%))/Tabla4[[#This Row],[Total]]</f>
        <v>#N/A</v>
      </c>
      <c r="V7271" s="282" t="e">
        <f>+Tabla4[[#This Row],[Comisión Calculada]]*Tabla4[[#This Row],[Total]]</f>
        <v>#N/A</v>
      </c>
    </row>
    <row r="7272" spans="1:22" x14ac:dyDescent="0.25">
      <c r="A7272" s="100">
        <v>46006</v>
      </c>
      <c r="B7272" t="str">
        <f t="shared" ref="B7272:B7273" si="607">TEXT(A7272, "mmmm")</f>
        <v>December</v>
      </c>
      <c r="C7272" s="46" t="s">
        <v>280</v>
      </c>
      <c r="F7272" s="366" t="s">
        <v>3665</v>
      </c>
      <c r="G7272" s="46" t="s">
        <v>17</v>
      </c>
      <c r="H7272" s="46">
        <v>1</v>
      </c>
      <c r="I7272" s="51">
        <v>4622.28</v>
      </c>
      <c r="J7272" s="281">
        <f>++Tabla4[[#This Row],[Precio Bruto]]*1.16</f>
        <v>5361.8447999999989</v>
      </c>
      <c r="K7272" s="281">
        <f>+Tabla4[[#This Row],[Precio Unitario Neto]]*Tabla4[[#Headers],[20.85%]]</f>
        <v>1117.9446407999997</v>
      </c>
      <c r="L7272" s="282">
        <f>++Tabla4[[#This Row],[Precio Unitario Neto]]-Tabla4[[#This Row],[20.85%]]</f>
        <v>4243.9001591999995</v>
      </c>
      <c r="M7272" s="282" t="e">
        <f>(INDEX(Tabla6[#All],MATCH(Tabla4[[#This Row],[Producto]],Tabla6[[#All],[PRODUCTO]],0),MATCH(Tabla4[[#This Row],[Mes]],Tabla6[#Headers],0)))*(1+Catalogos!$L$2)</f>
        <v>#N/A</v>
      </c>
      <c r="N7272" s="283" t="e">
        <f>+(Tabla4[[#This Row],[Precio Descontado]]-Tabla4[[#This Row],[Precio Base]])*Tabla4[[#This Row],[Cantidad]]</f>
        <v>#N/A</v>
      </c>
      <c r="O7272" s="284" t="e">
        <f>++Tabla4[[#This Row],[Utilidad Total]]/Tabla4[[#This Row],[Total]]</f>
        <v>#N/A</v>
      </c>
      <c r="P7272" s="282">
        <f>++Tabla4[[#This Row],[Precio Descontado]]*Tabla4[[#This Row],[Cantidad]]</f>
        <v>4243.9001591999995</v>
      </c>
      <c r="Q7272" s="282" t="e">
        <f>(INDEX(Tabla6[#All],MATCH(Tabla4[[#This Row],[Producto]],Tabla6[[#All],[PRODUCTO]],0),MATCH(Tabla4[[#This Row],[Mes]],Tabla6[#Headers],0)))</f>
        <v>#N/A</v>
      </c>
      <c r="R7272" s="282" t="e">
        <f>++Tabla4[[#This Row],[Precio Unitario Neto]]-Tabla4[[#This Row],[20.85%]]-Tabla4[[#This Row],[Costo]]</f>
        <v>#N/A</v>
      </c>
      <c r="S7272" s="282" t="e">
        <f>++Tabla4[[#This Row],[U. Bruta Uni]]*Tabla4[[#This Row],[Cantidad]]</f>
        <v>#N/A</v>
      </c>
      <c r="T7272" s="369" t="str">
        <f>VLOOKUP(Tabla4[[#This Row],[Producto]],Tabla6[#All],14,FALSE)</f>
        <v>Termico Solar</v>
      </c>
      <c r="U7272" s="284" t="e">
        <f>(IF(Tabla4[[#This Row],[Familia]]="termico solar",Tabla4[[#This Row],[Utilidad Total]]*6%,Tabla4[[#This Row],[Utilidad Total]]*11.5%))/Tabla4[[#This Row],[Total]]</f>
        <v>#N/A</v>
      </c>
      <c r="V7272" s="282" t="e">
        <f>+Tabla4[[#This Row],[Comisión Calculada]]*Tabla4[[#This Row],[Total]]</f>
        <v>#N/A</v>
      </c>
    </row>
    <row r="7273" spans="1:22" x14ac:dyDescent="0.25">
      <c r="A7273" s="100">
        <v>46006</v>
      </c>
      <c r="B7273" t="str">
        <f t="shared" si="607"/>
        <v>December</v>
      </c>
      <c r="C7273" s="46" t="s">
        <v>280</v>
      </c>
      <c r="F7273" s="366" t="s">
        <v>3665</v>
      </c>
      <c r="G7273" s="46" t="s">
        <v>18</v>
      </c>
      <c r="H7273" s="46">
        <v>1</v>
      </c>
      <c r="I7273" s="51">
        <v>5367.65</v>
      </c>
      <c r="J7273" s="281">
        <f>++Tabla4[[#This Row],[Precio Bruto]]*1.16</f>
        <v>6226.4739999999993</v>
      </c>
      <c r="K7273" s="281">
        <f>+Tabla4[[#This Row],[Precio Unitario Neto]]*Tabla4[[#Headers],[20.85%]]</f>
        <v>1298.2198289999999</v>
      </c>
      <c r="L7273" s="282">
        <f>++Tabla4[[#This Row],[Precio Unitario Neto]]-Tabla4[[#This Row],[20.85%]]</f>
        <v>4928.2541709999996</v>
      </c>
      <c r="M7273" s="282" t="e">
        <f>(INDEX(Tabla6[#All],MATCH(Tabla4[[#This Row],[Producto]],Tabla6[[#All],[PRODUCTO]],0),MATCH(Tabla4[[#This Row],[Mes]],Tabla6[#Headers],0)))*(1+Catalogos!$L$2)</f>
        <v>#N/A</v>
      </c>
      <c r="N7273" s="283" t="e">
        <f>+(Tabla4[[#This Row],[Precio Descontado]]-Tabla4[[#This Row],[Precio Base]])*Tabla4[[#This Row],[Cantidad]]</f>
        <v>#N/A</v>
      </c>
      <c r="O7273" s="284" t="e">
        <f>++Tabla4[[#This Row],[Utilidad Total]]/Tabla4[[#This Row],[Total]]</f>
        <v>#N/A</v>
      </c>
      <c r="P7273" s="282">
        <f>++Tabla4[[#This Row],[Precio Descontado]]*Tabla4[[#This Row],[Cantidad]]</f>
        <v>4928.2541709999996</v>
      </c>
      <c r="Q7273" s="282" t="e">
        <f>(INDEX(Tabla6[#All],MATCH(Tabla4[[#This Row],[Producto]],Tabla6[[#All],[PRODUCTO]],0),MATCH(Tabla4[[#This Row],[Mes]],Tabla6[#Headers],0)))</f>
        <v>#N/A</v>
      </c>
      <c r="R7273" s="282" t="e">
        <f>++Tabla4[[#This Row],[Precio Unitario Neto]]-Tabla4[[#This Row],[20.85%]]-Tabla4[[#This Row],[Costo]]</f>
        <v>#N/A</v>
      </c>
      <c r="S7273" s="282" t="e">
        <f>++Tabla4[[#This Row],[U. Bruta Uni]]*Tabla4[[#This Row],[Cantidad]]</f>
        <v>#N/A</v>
      </c>
      <c r="T7273" s="369" t="str">
        <f>VLOOKUP(Tabla4[[#This Row],[Producto]],Tabla6[#All],14,FALSE)</f>
        <v>Termico Solar</v>
      </c>
      <c r="U7273" s="284" t="e">
        <f>(IF(Tabla4[[#This Row],[Familia]]="termico solar",Tabla4[[#This Row],[Utilidad Total]]*6%,Tabla4[[#This Row],[Utilidad Total]]*11.5%))/Tabla4[[#This Row],[Total]]</f>
        <v>#N/A</v>
      </c>
      <c r="V7273" s="282" t="e">
        <f>+Tabla4[[#This Row],[Comisión Calculada]]*Tabla4[[#This Row],[Total]]</f>
        <v>#N/A</v>
      </c>
    </row>
    <row r="7274" spans="1:22" x14ac:dyDescent="0.25">
      <c r="A7274" s="100">
        <v>46006</v>
      </c>
      <c r="B7274" t="str">
        <f>TEXT(A7274, "mmmm")</f>
        <v>December</v>
      </c>
      <c r="C7274" s="46" t="s">
        <v>280</v>
      </c>
      <c r="F7274" s="366" t="s">
        <v>3666</v>
      </c>
      <c r="G7274" s="46" t="s">
        <v>18</v>
      </c>
      <c r="H7274" s="46">
        <v>1</v>
      </c>
      <c r="I7274" s="51">
        <v>5367.65</v>
      </c>
      <c r="J7274" s="281">
        <f>++Tabla4[[#This Row],[Precio Bruto]]*1.16</f>
        <v>6226.4739999999993</v>
      </c>
      <c r="K7274" s="281">
        <f>+Tabla4[[#This Row],[Precio Unitario Neto]]*Tabla4[[#Headers],[20.85%]]</f>
        <v>1298.2198289999999</v>
      </c>
      <c r="L7274" s="282">
        <f>++Tabla4[[#This Row],[Precio Unitario Neto]]-Tabla4[[#This Row],[20.85%]]</f>
        <v>4928.2541709999996</v>
      </c>
      <c r="M7274" s="282" t="e">
        <f>(INDEX(Tabla6[#All],MATCH(Tabla4[[#This Row],[Producto]],Tabla6[[#All],[PRODUCTO]],0),MATCH(Tabla4[[#This Row],[Mes]],Tabla6[#Headers],0)))*(1+Catalogos!$L$2)</f>
        <v>#N/A</v>
      </c>
      <c r="N7274" s="283" t="e">
        <f>+(Tabla4[[#This Row],[Precio Descontado]]-Tabla4[[#This Row],[Precio Base]])*Tabla4[[#This Row],[Cantidad]]</f>
        <v>#N/A</v>
      </c>
      <c r="O7274" s="284" t="e">
        <f>++Tabla4[[#This Row],[Utilidad Total]]/Tabla4[[#This Row],[Total]]</f>
        <v>#N/A</v>
      </c>
      <c r="P7274" s="282">
        <f>++Tabla4[[#This Row],[Precio Descontado]]*Tabla4[[#This Row],[Cantidad]]</f>
        <v>4928.2541709999996</v>
      </c>
      <c r="Q7274" s="282" t="e">
        <f>(INDEX(Tabla6[#All],MATCH(Tabla4[[#This Row],[Producto]],Tabla6[[#All],[PRODUCTO]],0),MATCH(Tabla4[[#This Row],[Mes]],Tabla6[#Headers],0)))</f>
        <v>#N/A</v>
      </c>
      <c r="R7274" s="282" t="e">
        <f>++Tabla4[[#This Row],[Precio Unitario Neto]]-Tabla4[[#This Row],[20.85%]]-Tabla4[[#This Row],[Costo]]</f>
        <v>#N/A</v>
      </c>
      <c r="S7274" s="282" t="e">
        <f>++Tabla4[[#This Row],[U. Bruta Uni]]*Tabla4[[#This Row],[Cantidad]]</f>
        <v>#N/A</v>
      </c>
      <c r="T7274" s="369" t="str">
        <f>VLOOKUP(Tabla4[[#This Row],[Producto]],Tabla6[#All],14,FALSE)</f>
        <v>Termico Solar</v>
      </c>
      <c r="U7274" s="284" t="e">
        <f>(IF(Tabla4[[#This Row],[Familia]]="termico solar",Tabla4[[#This Row],[Utilidad Total]]*6%,Tabla4[[#This Row],[Utilidad Total]]*11.5%))/Tabla4[[#This Row],[Total]]</f>
        <v>#N/A</v>
      </c>
      <c r="V7274" s="282" t="e">
        <f>+Tabla4[[#This Row],[Comisión Calculada]]*Tabla4[[#This Row],[Total]]</f>
        <v>#N/A</v>
      </c>
    </row>
    <row r="7275" spans="1:22" x14ac:dyDescent="0.25">
      <c r="A7275" s="100">
        <v>46006</v>
      </c>
      <c r="B7275" t="str">
        <f t="shared" ref="B7275:B7277" si="608">TEXT(A7275, "mmmm")</f>
        <v>December</v>
      </c>
      <c r="C7275" s="46" t="s">
        <v>280</v>
      </c>
      <c r="F7275" s="366" t="s">
        <v>3667</v>
      </c>
      <c r="G7275" s="46" t="s">
        <v>17</v>
      </c>
      <c r="H7275" s="46">
        <v>1</v>
      </c>
      <c r="I7275" s="51">
        <v>4622.28</v>
      </c>
      <c r="J7275" s="281">
        <f>++Tabla4[[#This Row],[Precio Bruto]]*1.16</f>
        <v>5361.8447999999989</v>
      </c>
      <c r="K7275" s="281">
        <f>+Tabla4[[#This Row],[Precio Unitario Neto]]*Tabla4[[#Headers],[20.85%]]</f>
        <v>1117.9446407999997</v>
      </c>
      <c r="L7275" s="282">
        <f>++Tabla4[[#This Row],[Precio Unitario Neto]]-Tabla4[[#This Row],[20.85%]]</f>
        <v>4243.9001591999995</v>
      </c>
      <c r="M7275" s="282" t="e">
        <f>(INDEX(Tabla6[#All],MATCH(Tabla4[[#This Row],[Producto]],Tabla6[[#All],[PRODUCTO]],0),MATCH(Tabla4[[#This Row],[Mes]],Tabla6[#Headers],0)))*(1+Catalogos!$L$2)</f>
        <v>#N/A</v>
      </c>
      <c r="N7275" s="283" t="e">
        <f>+(Tabla4[[#This Row],[Precio Descontado]]-Tabla4[[#This Row],[Precio Base]])*Tabla4[[#This Row],[Cantidad]]</f>
        <v>#N/A</v>
      </c>
      <c r="O7275" s="284" t="e">
        <f>++Tabla4[[#This Row],[Utilidad Total]]/Tabla4[[#This Row],[Total]]</f>
        <v>#N/A</v>
      </c>
      <c r="P7275" s="282">
        <f>++Tabla4[[#This Row],[Precio Descontado]]*Tabla4[[#This Row],[Cantidad]]</f>
        <v>4243.9001591999995</v>
      </c>
      <c r="Q7275" s="282" t="e">
        <f>(INDEX(Tabla6[#All],MATCH(Tabla4[[#This Row],[Producto]],Tabla6[[#All],[PRODUCTO]],0),MATCH(Tabla4[[#This Row],[Mes]],Tabla6[#Headers],0)))</f>
        <v>#N/A</v>
      </c>
      <c r="R7275" s="282" t="e">
        <f>++Tabla4[[#This Row],[Precio Unitario Neto]]-Tabla4[[#This Row],[20.85%]]-Tabla4[[#This Row],[Costo]]</f>
        <v>#N/A</v>
      </c>
      <c r="S7275" s="282" t="e">
        <f>++Tabla4[[#This Row],[U. Bruta Uni]]*Tabla4[[#This Row],[Cantidad]]</f>
        <v>#N/A</v>
      </c>
      <c r="T7275" s="369" t="str">
        <f>VLOOKUP(Tabla4[[#This Row],[Producto]],Tabla6[#All],14,FALSE)</f>
        <v>Termico Solar</v>
      </c>
      <c r="U7275" s="284" t="e">
        <f>(IF(Tabla4[[#This Row],[Familia]]="termico solar",Tabla4[[#This Row],[Utilidad Total]]*6%,Tabla4[[#This Row],[Utilidad Total]]*11.5%))/Tabla4[[#This Row],[Total]]</f>
        <v>#N/A</v>
      </c>
      <c r="V7275" s="282" t="e">
        <f>+Tabla4[[#This Row],[Comisión Calculada]]*Tabla4[[#This Row],[Total]]</f>
        <v>#N/A</v>
      </c>
    </row>
    <row r="7276" spans="1:22" x14ac:dyDescent="0.25">
      <c r="A7276" s="100">
        <v>46006</v>
      </c>
      <c r="B7276" t="str">
        <f t="shared" si="608"/>
        <v>December</v>
      </c>
      <c r="C7276" s="46" t="s">
        <v>280</v>
      </c>
      <c r="F7276" s="366" t="s">
        <v>3667</v>
      </c>
      <c r="G7276" s="46" t="s">
        <v>566</v>
      </c>
      <c r="H7276" s="46">
        <v>1</v>
      </c>
      <c r="I7276" s="51">
        <v>2109.4499999999998</v>
      </c>
      <c r="J7276" s="281">
        <f>++Tabla4[[#This Row],[Precio Bruto]]*1.16</f>
        <v>2446.9619999999995</v>
      </c>
      <c r="K7276" s="281">
        <f>+Tabla4[[#This Row],[Precio Unitario Neto]]*Tabla4[[#Headers],[20.85%]]</f>
        <v>510.19157699999988</v>
      </c>
      <c r="L7276" s="282">
        <f>++Tabla4[[#This Row],[Precio Unitario Neto]]-Tabla4[[#This Row],[20.85%]]</f>
        <v>1936.7704229999997</v>
      </c>
      <c r="M7276" s="282" t="e">
        <f>(INDEX(Tabla6[#All],MATCH(Tabla4[[#This Row],[Producto]],Tabla6[[#All],[PRODUCTO]],0),MATCH(Tabla4[[#This Row],[Mes]],Tabla6[#Headers],0)))*(1+Catalogos!$L$2)</f>
        <v>#N/A</v>
      </c>
      <c r="N7276" s="283" t="e">
        <f>+(Tabla4[[#This Row],[Precio Descontado]]-Tabla4[[#This Row],[Precio Base]])*Tabla4[[#This Row],[Cantidad]]</f>
        <v>#N/A</v>
      </c>
      <c r="O7276" s="284" t="e">
        <f>++Tabla4[[#This Row],[Utilidad Total]]/Tabla4[[#This Row],[Total]]</f>
        <v>#N/A</v>
      </c>
      <c r="P7276" s="282">
        <f>++Tabla4[[#This Row],[Precio Descontado]]*Tabla4[[#This Row],[Cantidad]]</f>
        <v>1936.7704229999997</v>
      </c>
      <c r="Q7276" s="282" t="e">
        <f>(INDEX(Tabla6[#All],MATCH(Tabla4[[#This Row],[Producto]],Tabla6[[#All],[PRODUCTO]],0),MATCH(Tabla4[[#This Row],[Mes]],Tabla6[#Headers],0)))</f>
        <v>#N/A</v>
      </c>
      <c r="R7276" s="282" t="e">
        <f>++Tabla4[[#This Row],[Precio Unitario Neto]]-Tabla4[[#This Row],[20.85%]]-Tabla4[[#This Row],[Costo]]</f>
        <v>#N/A</v>
      </c>
      <c r="S7276" s="282" t="e">
        <f>++Tabla4[[#This Row],[U. Bruta Uni]]*Tabla4[[#This Row],[Cantidad]]</f>
        <v>#N/A</v>
      </c>
      <c r="T7276" s="369" t="str">
        <f>VLOOKUP(Tabla4[[#This Row],[Producto]],Tabla6[#All],14,FALSE)</f>
        <v>Termico Solar</v>
      </c>
      <c r="U7276" s="284" t="e">
        <f>(IF(Tabla4[[#This Row],[Familia]]="termico solar",Tabla4[[#This Row],[Utilidad Total]]*6%,Tabla4[[#This Row],[Utilidad Total]]*11.5%))/Tabla4[[#This Row],[Total]]</f>
        <v>#N/A</v>
      </c>
      <c r="V7276" s="282" t="e">
        <f>+Tabla4[[#This Row],[Comisión Calculada]]*Tabla4[[#This Row],[Total]]</f>
        <v>#N/A</v>
      </c>
    </row>
    <row r="7277" spans="1:22" x14ac:dyDescent="0.25">
      <c r="A7277" s="100">
        <v>46006</v>
      </c>
      <c r="B7277" t="str">
        <f t="shared" si="608"/>
        <v>December</v>
      </c>
      <c r="C7277" s="46" t="s">
        <v>280</v>
      </c>
      <c r="F7277" s="366" t="s">
        <v>3667</v>
      </c>
      <c r="G7277" s="46" t="s">
        <v>16</v>
      </c>
      <c r="H7277" s="46">
        <v>2</v>
      </c>
      <c r="I7277" s="51">
        <v>4103.8500000000004</v>
      </c>
      <c r="J7277" s="281">
        <f>++Tabla4[[#This Row],[Precio Bruto]]*1.16</f>
        <v>4760.4660000000003</v>
      </c>
      <c r="K7277" s="281">
        <f>+Tabla4[[#This Row],[Precio Unitario Neto]]*Tabla4[[#Headers],[20.85%]]</f>
        <v>992.55716100000006</v>
      </c>
      <c r="L7277" s="282">
        <f>++Tabla4[[#This Row],[Precio Unitario Neto]]-Tabla4[[#This Row],[20.85%]]</f>
        <v>3767.9088390000002</v>
      </c>
      <c r="M7277" s="282" t="e">
        <f>(INDEX(Tabla6[#All],MATCH(Tabla4[[#This Row],[Producto]],Tabla6[[#All],[PRODUCTO]],0),MATCH(Tabla4[[#This Row],[Mes]],Tabla6[#Headers],0)))*(1+Catalogos!$L$2)</f>
        <v>#N/A</v>
      </c>
      <c r="N7277" s="283" t="e">
        <f>+(Tabla4[[#This Row],[Precio Descontado]]-Tabla4[[#This Row],[Precio Base]])*Tabla4[[#This Row],[Cantidad]]</f>
        <v>#N/A</v>
      </c>
      <c r="O7277" s="284" t="e">
        <f>++Tabla4[[#This Row],[Utilidad Total]]/Tabla4[[#This Row],[Total]]</f>
        <v>#N/A</v>
      </c>
      <c r="P7277" s="282">
        <f>++Tabla4[[#This Row],[Precio Descontado]]*Tabla4[[#This Row],[Cantidad]]</f>
        <v>7535.8176780000003</v>
      </c>
      <c r="Q7277" s="282" t="e">
        <f>(INDEX(Tabla6[#All],MATCH(Tabla4[[#This Row],[Producto]],Tabla6[[#All],[PRODUCTO]],0),MATCH(Tabla4[[#This Row],[Mes]],Tabla6[#Headers],0)))</f>
        <v>#N/A</v>
      </c>
      <c r="R7277" s="282" t="e">
        <f>++Tabla4[[#This Row],[Precio Unitario Neto]]-Tabla4[[#This Row],[20.85%]]-Tabla4[[#This Row],[Costo]]</f>
        <v>#N/A</v>
      </c>
      <c r="S7277" s="282" t="e">
        <f>++Tabla4[[#This Row],[U. Bruta Uni]]*Tabla4[[#This Row],[Cantidad]]</f>
        <v>#N/A</v>
      </c>
      <c r="T7277" s="369" t="str">
        <f>VLOOKUP(Tabla4[[#This Row],[Producto]],Tabla6[#All],14,FALSE)</f>
        <v>Termico Solar</v>
      </c>
      <c r="U7277" s="284" t="e">
        <f>(IF(Tabla4[[#This Row],[Familia]]="termico solar",Tabla4[[#This Row],[Utilidad Total]]*6%,Tabla4[[#This Row],[Utilidad Total]]*11.5%))/Tabla4[[#This Row],[Total]]</f>
        <v>#N/A</v>
      </c>
      <c r="V7277" s="282" t="e">
        <f>+Tabla4[[#This Row],[Comisión Calculada]]*Tabla4[[#This Row],[Total]]</f>
        <v>#N/A</v>
      </c>
    </row>
    <row r="7278" spans="1:22" x14ac:dyDescent="0.25">
      <c r="A7278" s="100">
        <v>46006</v>
      </c>
      <c r="B7278" t="str">
        <f t="shared" ref="B7278:B7280" si="609">TEXT(A7278, "mmmm")</f>
        <v>December</v>
      </c>
      <c r="C7278" s="46" t="s">
        <v>280</v>
      </c>
      <c r="F7278" s="366" t="s">
        <v>3668</v>
      </c>
      <c r="G7278" s="46" t="s">
        <v>17</v>
      </c>
      <c r="H7278" s="46">
        <v>3</v>
      </c>
      <c r="I7278" s="51">
        <v>4622.28</v>
      </c>
      <c r="J7278" s="281">
        <f>++Tabla4[[#This Row],[Precio Bruto]]*1.16</f>
        <v>5361.8447999999989</v>
      </c>
      <c r="K7278" s="281">
        <f>+Tabla4[[#This Row],[Precio Unitario Neto]]*Tabla4[[#Headers],[20.85%]]</f>
        <v>1117.9446407999997</v>
      </c>
      <c r="L7278" s="282">
        <f>++Tabla4[[#This Row],[Precio Unitario Neto]]-Tabla4[[#This Row],[20.85%]]</f>
        <v>4243.9001591999995</v>
      </c>
      <c r="M7278" s="282" t="e">
        <f>(INDEX(Tabla6[#All],MATCH(Tabla4[[#This Row],[Producto]],Tabla6[[#All],[PRODUCTO]],0),MATCH(Tabla4[[#This Row],[Mes]],Tabla6[#Headers],0)))*(1+Catalogos!$L$2)</f>
        <v>#N/A</v>
      </c>
      <c r="N7278" s="283" t="e">
        <f>+(Tabla4[[#This Row],[Precio Descontado]]-Tabla4[[#This Row],[Precio Base]])*Tabla4[[#This Row],[Cantidad]]</f>
        <v>#N/A</v>
      </c>
      <c r="O7278" s="284" t="e">
        <f>++Tabla4[[#This Row],[Utilidad Total]]/Tabla4[[#This Row],[Total]]</f>
        <v>#N/A</v>
      </c>
      <c r="P7278" s="282">
        <f>++Tabla4[[#This Row],[Precio Descontado]]*Tabla4[[#This Row],[Cantidad]]</f>
        <v>12731.700477599999</v>
      </c>
      <c r="Q7278" s="282" t="e">
        <f>(INDEX(Tabla6[#All],MATCH(Tabla4[[#This Row],[Producto]],Tabla6[[#All],[PRODUCTO]],0),MATCH(Tabla4[[#This Row],[Mes]],Tabla6[#Headers],0)))</f>
        <v>#N/A</v>
      </c>
      <c r="R7278" s="282" t="e">
        <f>++Tabla4[[#This Row],[Precio Unitario Neto]]-Tabla4[[#This Row],[20.85%]]-Tabla4[[#This Row],[Costo]]</f>
        <v>#N/A</v>
      </c>
      <c r="S7278" s="282" t="e">
        <f>++Tabla4[[#This Row],[U. Bruta Uni]]*Tabla4[[#This Row],[Cantidad]]</f>
        <v>#N/A</v>
      </c>
      <c r="T7278" s="369" t="str">
        <f>VLOOKUP(Tabla4[[#This Row],[Producto]],Tabla6[#All],14,FALSE)</f>
        <v>Termico Solar</v>
      </c>
      <c r="U7278" s="284" t="e">
        <f>(IF(Tabla4[[#This Row],[Familia]]="termico solar",Tabla4[[#This Row],[Utilidad Total]]*6%,Tabla4[[#This Row],[Utilidad Total]]*11.5%))/Tabla4[[#This Row],[Total]]</f>
        <v>#N/A</v>
      </c>
      <c r="V7278" s="282" t="e">
        <f>+Tabla4[[#This Row],[Comisión Calculada]]*Tabla4[[#This Row],[Total]]</f>
        <v>#N/A</v>
      </c>
    </row>
    <row r="7279" spans="1:22" x14ac:dyDescent="0.25">
      <c r="A7279" s="100">
        <v>46006</v>
      </c>
      <c r="B7279" t="str">
        <f t="shared" si="609"/>
        <v>December</v>
      </c>
      <c r="C7279" s="46" t="s">
        <v>280</v>
      </c>
      <c r="F7279" s="366" t="s">
        <v>3668</v>
      </c>
      <c r="G7279" s="46" t="s">
        <v>18</v>
      </c>
      <c r="H7279" s="46">
        <v>1</v>
      </c>
      <c r="I7279" s="51">
        <v>5367.65</v>
      </c>
      <c r="J7279" s="281">
        <f>++Tabla4[[#This Row],[Precio Bruto]]*1.16</f>
        <v>6226.4739999999993</v>
      </c>
      <c r="K7279" s="281">
        <f>+Tabla4[[#This Row],[Precio Unitario Neto]]*Tabla4[[#Headers],[20.85%]]</f>
        <v>1298.2198289999999</v>
      </c>
      <c r="L7279" s="282">
        <f>++Tabla4[[#This Row],[Precio Unitario Neto]]-Tabla4[[#This Row],[20.85%]]</f>
        <v>4928.2541709999996</v>
      </c>
      <c r="M7279" s="282" t="e">
        <f>(INDEX(Tabla6[#All],MATCH(Tabla4[[#This Row],[Producto]],Tabla6[[#All],[PRODUCTO]],0),MATCH(Tabla4[[#This Row],[Mes]],Tabla6[#Headers],0)))*(1+Catalogos!$L$2)</f>
        <v>#N/A</v>
      </c>
      <c r="N7279" s="283" t="e">
        <f>+(Tabla4[[#This Row],[Precio Descontado]]-Tabla4[[#This Row],[Precio Base]])*Tabla4[[#This Row],[Cantidad]]</f>
        <v>#N/A</v>
      </c>
      <c r="O7279" s="284" t="e">
        <f>++Tabla4[[#This Row],[Utilidad Total]]/Tabla4[[#This Row],[Total]]</f>
        <v>#N/A</v>
      </c>
      <c r="P7279" s="282">
        <f>++Tabla4[[#This Row],[Precio Descontado]]*Tabla4[[#This Row],[Cantidad]]</f>
        <v>4928.2541709999996</v>
      </c>
      <c r="Q7279" s="282" t="e">
        <f>(INDEX(Tabla6[#All],MATCH(Tabla4[[#This Row],[Producto]],Tabla6[[#All],[PRODUCTO]],0),MATCH(Tabla4[[#This Row],[Mes]],Tabla6[#Headers],0)))</f>
        <v>#N/A</v>
      </c>
      <c r="R7279" s="282" t="e">
        <f>++Tabla4[[#This Row],[Precio Unitario Neto]]-Tabla4[[#This Row],[20.85%]]-Tabla4[[#This Row],[Costo]]</f>
        <v>#N/A</v>
      </c>
      <c r="S7279" s="282" t="e">
        <f>++Tabla4[[#This Row],[U. Bruta Uni]]*Tabla4[[#This Row],[Cantidad]]</f>
        <v>#N/A</v>
      </c>
      <c r="T7279" s="369" t="str">
        <f>VLOOKUP(Tabla4[[#This Row],[Producto]],Tabla6[#All],14,FALSE)</f>
        <v>Termico Solar</v>
      </c>
      <c r="U7279" s="284" t="e">
        <f>(IF(Tabla4[[#This Row],[Familia]]="termico solar",Tabla4[[#This Row],[Utilidad Total]]*6%,Tabla4[[#This Row],[Utilidad Total]]*11.5%))/Tabla4[[#This Row],[Total]]</f>
        <v>#N/A</v>
      </c>
      <c r="V7279" s="282" t="e">
        <f>+Tabla4[[#This Row],[Comisión Calculada]]*Tabla4[[#This Row],[Total]]</f>
        <v>#N/A</v>
      </c>
    </row>
    <row r="7280" spans="1:22" x14ac:dyDescent="0.25">
      <c r="A7280" s="100">
        <v>46006</v>
      </c>
      <c r="B7280" t="str">
        <f t="shared" si="609"/>
        <v>December</v>
      </c>
      <c r="C7280" s="46" t="s">
        <v>280</v>
      </c>
      <c r="F7280" s="366" t="s">
        <v>3668</v>
      </c>
      <c r="G7280" s="46" t="s">
        <v>208</v>
      </c>
      <c r="H7280" s="46">
        <v>9</v>
      </c>
      <c r="I7280" s="51">
        <v>189.75</v>
      </c>
      <c r="J7280" s="281">
        <f>++Tabla4[[#This Row],[Precio Bruto]]*1.16</f>
        <v>220.10999999999999</v>
      </c>
      <c r="K7280" s="281">
        <f>+Tabla4[[#This Row],[Precio Unitario Neto]]*Tabla4[[#Headers],[20.85%]]</f>
        <v>45.892934999999994</v>
      </c>
      <c r="L7280" s="282">
        <f>++Tabla4[[#This Row],[Precio Unitario Neto]]-Tabla4[[#This Row],[20.85%]]</f>
        <v>174.21706499999999</v>
      </c>
      <c r="M7280" s="282" t="e">
        <f>(INDEX(Tabla6[#All],MATCH(Tabla4[[#This Row],[Producto]],Tabla6[[#All],[PRODUCTO]],0),MATCH(Tabla4[[#This Row],[Mes]],Tabla6[#Headers],0)))*(1+Catalogos!$L$2)</f>
        <v>#N/A</v>
      </c>
      <c r="N7280" s="283" t="e">
        <f>+(Tabla4[[#This Row],[Precio Descontado]]-Tabla4[[#This Row],[Precio Base]])*Tabla4[[#This Row],[Cantidad]]</f>
        <v>#N/A</v>
      </c>
      <c r="O7280" s="284" t="e">
        <f>++Tabla4[[#This Row],[Utilidad Total]]/Tabla4[[#This Row],[Total]]</f>
        <v>#N/A</v>
      </c>
      <c r="P7280" s="282">
        <f>++Tabla4[[#This Row],[Precio Descontado]]*Tabla4[[#This Row],[Cantidad]]</f>
        <v>1567.953585</v>
      </c>
      <c r="Q7280" s="282" t="e">
        <f>(INDEX(Tabla6[#All],MATCH(Tabla4[[#This Row],[Producto]],Tabla6[[#All],[PRODUCTO]],0),MATCH(Tabla4[[#This Row],[Mes]],Tabla6[#Headers],0)))</f>
        <v>#N/A</v>
      </c>
      <c r="R7280" s="282" t="e">
        <f>++Tabla4[[#This Row],[Precio Unitario Neto]]-Tabla4[[#This Row],[20.85%]]-Tabla4[[#This Row],[Costo]]</f>
        <v>#N/A</v>
      </c>
      <c r="S7280" s="282" t="e">
        <f>++Tabla4[[#This Row],[U. Bruta Uni]]*Tabla4[[#This Row],[Cantidad]]</f>
        <v>#N/A</v>
      </c>
      <c r="T7280" s="369" t="str">
        <f>VLOOKUP(Tabla4[[#This Row],[Producto]],Tabla6[#All],14,FALSE)</f>
        <v>Termico Solar</v>
      </c>
      <c r="U7280" s="284" t="e">
        <f>(IF(Tabla4[[#This Row],[Familia]]="termico solar",Tabla4[[#This Row],[Utilidad Total]]*6%,Tabla4[[#This Row],[Utilidad Total]]*11.5%))/Tabla4[[#This Row],[Total]]</f>
        <v>#N/A</v>
      </c>
      <c r="V7280" s="282" t="e">
        <f>+Tabla4[[#This Row],[Comisión Calculada]]*Tabla4[[#This Row],[Total]]</f>
        <v>#N/A</v>
      </c>
    </row>
    <row r="7281" spans="1:22" x14ac:dyDescent="0.25">
      <c r="A7281" s="100">
        <v>46006</v>
      </c>
      <c r="B7281" t="str">
        <f t="shared" ref="B7281:B7283" si="610">TEXT(A7281, "mmmm")</f>
        <v>December</v>
      </c>
      <c r="C7281" s="46" t="s">
        <v>280</v>
      </c>
      <c r="F7281" s="366" t="s">
        <v>3669</v>
      </c>
      <c r="G7281" s="46" t="s">
        <v>566</v>
      </c>
      <c r="H7281" s="46">
        <v>1</v>
      </c>
      <c r="I7281" s="51">
        <v>2109.4499999999998</v>
      </c>
      <c r="J7281" s="281">
        <f>++Tabla4[[#This Row],[Precio Bruto]]*1.16</f>
        <v>2446.9619999999995</v>
      </c>
      <c r="K7281" s="281">
        <f>+Tabla4[[#This Row],[Precio Unitario Neto]]*Tabla4[[#Headers],[20.85%]]</f>
        <v>510.19157699999988</v>
      </c>
      <c r="L7281" s="282">
        <f>++Tabla4[[#This Row],[Precio Unitario Neto]]-Tabla4[[#This Row],[20.85%]]</f>
        <v>1936.7704229999997</v>
      </c>
      <c r="M7281" s="282" t="e">
        <f>(INDEX(Tabla6[#All],MATCH(Tabla4[[#This Row],[Producto]],Tabla6[[#All],[PRODUCTO]],0),MATCH(Tabla4[[#This Row],[Mes]],Tabla6[#Headers],0)))*(1+Catalogos!$L$2)</f>
        <v>#N/A</v>
      </c>
      <c r="N7281" s="283" t="e">
        <f>+(Tabla4[[#This Row],[Precio Descontado]]-Tabla4[[#This Row],[Precio Base]])*Tabla4[[#This Row],[Cantidad]]</f>
        <v>#N/A</v>
      </c>
      <c r="O7281" s="284" t="e">
        <f>++Tabla4[[#This Row],[Utilidad Total]]/Tabla4[[#This Row],[Total]]</f>
        <v>#N/A</v>
      </c>
      <c r="P7281" s="282">
        <f>++Tabla4[[#This Row],[Precio Descontado]]*Tabla4[[#This Row],[Cantidad]]</f>
        <v>1936.7704229999997</v>
      </c>
      <c r="Q7281" s="282" t="e">
        <f>(INDEX(Tabla6[#All],MATCH(Tabla4[[#This Row],[Producto]],Tabla6[[#All],[PRODUCTO]],0),MATCH(Tabla4[[#This Row],[Mes]],Tabla6[#Headers],0)))</f>
        <v>#N/A</v>
      </c>
      <c r="R7281" s="282" t="e">
        <f>++Tabla4[[#This Row],[Precio Unitario Neto]]-Tabla4[[#This Row],[20.85%]]-Tabla4[[#This Row],[Costo]]</f>
        <v>#N/A</v>
      </c>
      <c r="S7281" s="282" t="e">
        <f>++Tabla4[[#This Row],[U. Bruta Uni]]*Tabla4[[#This Row],[Cantidad]]</f>
        <v>#N/A</v>
      </c>
      <c r="T7281" s="369" t="str">
        <f>VLOOKUP(Tabla4[[#This Row],[Producto]],Tabla6[#All],14,FALSE)</f>
        <v>Termico Solar</v>
      </c>
      <c r="U7281" s="284" t="e">
        <f>(IF(Tabla4[[#This Row],[Familia]]="termico solar",Tabla4[[#This Row],[Utilidad Total]]*6%,Tabla4[[#This Row],[Utilidad Total]]*11.5%))/Tabla4[[#This Row],[Total]]</f>
        <v>#N/A</v>
      </c>
      <c r="V7281" s="282" t="e">
        <f>+Tabla4[[#This Row],[Comisión Calculada]]*Tabla4[[#This Row],[Total]]</f>
        <v>#N/A</v>
      </c>
    </row>
    <row r="7282" spans="1:22" x14ac:dyDescent="0.25">
      <c r="A7282" s="100">
        <v>46006</v>
      </c>
      <c r="B7282" t="str">
        <f t="shared" si="610"/>
        <v>December</v>
      </c>
      <c r="C7282" s="46" t="s">
        <v>280</v>
      </c>
      <c r="F7282" s="366" t="s">
        <v>3669</v>
      </c>
      <c r="G7282" s="46" t="s">
        <v>17</v>
      </c>
      <c r="H7282" s="46">
        <v>1</v>
      </c>
      <c r="I7282" s="51">
        <v>4622.28</v>
      </c>
      <c r="J7282" s="281">
        <f>++Tabla4[[#This Row],[Precio Bruto]]*1.16</f>
        <v>5361.8447999999989</v>
      </c>
      <c r="K7282" s="281">
        <f>+Tabla4[[#This Row],[Precio Unitario Neto]]*Tabla4[[#Headers],[20.85%]]</f>
        <v>1117.9446407999997</v>
      </c>
      <c r="L7282" s="282">
        <f>++Tabla4[[#This Row],[Precio Unitario Neto]]-Tabla4[[#This Row],[20.85%]]</f>
        <v>4243.9001591999995</v>
      </c>
      <c r="M7282" s="282" t="e">
        <f>(INDEX(Tabla6[#All],MATCH(Tabla4[[#This Row],[Producto]],Tabla6[[#All],[PRODUCTO]],0),MATCH(Tabla4[[#This Row],[Mes]],Tabla6[#Headers],0)))*(1+Catalogos!$L$2)</f>
        <v>#N/A</v>
      </c>
      <c r="N7282" s="283" t="e">
        <f>+(Tabla4[[#This Row],[Precio Descontado]]-Tabla4[[#This Row],[Precio Base]])*Tabla4[[#This Row],[Cantidad]]</f>
        <v>#N/A</v>
      </c>
      <c r="O7282" s="284" t="e">
        <f>++Tabla4[[#This Row],[Utilidad Total]]/Tabla4[[#This Row],[Total]]</f>
        <v>#N/A</v>
      </c>
      <c r="P7282" s="282">
        <f>++Tabla4[[#This Row],[Precio Descontado]]*Tabla4[[#This Row],[Cantidad]]</f>
        <v>4243.9001591999995</v>
      </c>
      <c r="Q7282" s="282" t="e">
        <f>(INDEX(Tabla6[#All],MATCH(Tabla4[[#This Row],[Producto]],Tabla6[[#All],[PRODUCTO]],0),MATCH(Tabla4[[#This Row],[Mes]],Tabla6[#Headers],0)))</f>
        <v>#N/A</v>
      </c>
      <c r="R7282" s="282" t="e">
        <f>++Tabla4[[#This Row],[Precio Unitario Neto]]-Tabla4[[#This Row],[20.85%]]-Tabla4[[#This Row],[Costo]]</f>
        <v>#N/A</v>
      </c>
      <c r="S7282" s="282" t="e">
        <f>++Tabla4[[#This Row],[U. Bruta Uni]]*Tabla4[[#This Row],[Cantidad]]</f>
        <v>#N/A</v>
      </c>
      <c r="T7282" s="369" t="str">
        <f>VLOOKUP(Tabla4[[#This Row],[Producto]],Tabla6[#All],14,FALSE)</f>
        <v>Termico Solar</v>
      </c>
      <c r="U7282" s="284" t="e">
        <f>(IF(Tabla4[[#This Row],[Familia]]="termico solar",Tabla4[[#This Row],[Utilidad Total]]*6%,Tabla4[[#This Row],[Utilidad Total]]*11.5%))/Tabla4[[#This Row],[Total]]</f>
        <v>#N/A</v>
      </c>
      <c r="V7282" s="282" t="e">
        <f>+Tabla4[[#This Row],[Comisión Calculada]]*Tabla4[[#This Row],[Total]]</f>
        <v>#N/A</v>
      </c>
    </row>
    <row r="7283" spans="1:22" x14ac:dyDescent="0.25">
      <c r="A7283" s="100">
        <v>46006</v>
      </c>
      <c r="B7283" t="str">
        <f t="shared" si="610"/>
        <v>December</v>
      </c>
      <c r="C7283" s="46" t="s">
        <v>280</v>
      </c>
      <c r="F7283" s="366" t="s">
        <v>3669</v>
      </c>
      <c r="G7283" s="46" t="s">
        <v>83</v>
      </c>
      <c r="H7283" s="46">
        <v>2</v>
      </c>
      <c r="I7283" s="51">
        <v>8858.76</v>
      </c>
      <c r="J7283" s="281">
        <f>++Tabla4[[#This Row],[Precio Bruto]]*1.16</f>
        <v>10276.161599999999</v>
      </c>
      <c r="K7283" s="281">
        <f>+Tabla4[[#This Row],[Precio Unitario Neto]]*Tabla4[[#Headers],[20.85%]]</f>
        <v>2142.5796935999997</v>
      </c>
      <c r="L7283" s="282">
        <f>++Tabla4[[#This Row],[Precio Unitario Neto]]-Tabla4[[#This Row],[20.85%]]</f>
        <v>8133.5819063999998</v>
      </c>
      <c r="M7283" s="282" t="e">
        <f>(INDEX(Tabla6[#All],MATCH(Tabla4[[#This Row],[Producto]],Tabla6[[#All],[PRODUCTO]],0),MATCH(Tabla4[[#This Row],[Mes]],Tabla6[#Headers],0)))*(1+Catalogos!$L$2)</f>
        <v>#N/A</v>
      </c>
      <c r="N7283" s="283" t="e">
        <f>+(Tabla4[[#This Row],[Precio Descontado]]-Tabla4[[#This Row],[Precio Base]])*Tabla4[[#This Row],[Cantidad]]</f>
        <v>#N/A</v>
      </c>
      <c r="O7283" s="284" t="e">
        <f>++Tabla4[[#This Row],[Utilidad Total]]/Tabla4[[#This Row],[Total]]</f>
        <v>#N/A</v>
      </c>
      <c r="P7283" s="282">
        <f>++Tabla4[[#This Row],[Precio Descontado]]*Tabla4[[#This Row],[Cantidad]]</f>
        <v>16267.1638128</v>
      </c>
      <c r="Q7283" s="282" t="e">
        <f>(INDEX(Tabla6[#All],MATCH(Tabla4[[#This Row],[Producto]],Tabla6[[#All],[PRODUCTO]],0),MATCH(Tabla4[[#This Row],[Mes]],Tabla6[#Headers],0)))</f>
        <v>#N/A</v>
      </c>
      <c r="R7283" s="282" t="e">
        <f>++Tabla4[[#This Row],[Precio Unitario Neto]]-Tabla4[[#This Row],[20.85%]]-Tabla4[[#This Row],[Costo]]</f>
        <v>#N/A</v>
      </c>
      <c r="S7283" s="282" t="e">
        <f>++Tabla4[[#This Row],[U. Bruta Uni]]*Tabla4[[#This Row],[Cantidad]]</f>
        <v>#N/A</v>
      </c>
      <c r="T7283" s="369" t="str">
        <f>VLOOKUP(Tabla4[[#This Row],[Producto]],Tabla6[#All],14,FALSE)</f>
        <v>Termico Solar</v>
      </c>
      <c r="U7283" s="284" t="e">
        <f>(IF(Tabla4[[#This Row],[Familia]]="termico solar",Tabla4[[#This Row],[Utilidad Total]]*6%,Tabla4[[#This Row],[Utilidad Total]]*11.5%))/Tabla4[[#This Row],[Total]]</f>
        <v>#N/A</v>
      </c>
      <c r="V7283" s="282" t="e">
        <f>+Tabla4[[#This Row],[Comisión Calculada]]*Tabla4[[#This Row],[Total]]</f>
        <v>#N/A</v>
      </c>
    </row>
    <row r="7284" spans="1:22" x14ac:dyDescent="0.25">
      <c r="A7284" s="100">
        <v>46006</v>
      </c>
      <c r="B7284" t="str">
        <f>TEXT(A7284, "mmmm")</f>
        <v>December</v>
      </c>
      <c r="C7284" s="46" t="s">
        <v>280</v>
      </c>
      <c r="F7284" s="366" t="s">
        <v>3670</v>
      </c>
      <c r="G7284" s="46" t="s">
        <v>22</v>
      </c>
      <c r="H7284" s="46">
        <v>1</v>
      </c>
      <c r="I7284" s="51">
        <v>13355.75</v>
      </c>
      <c r="J7284" s="281">
        <f>++Tabla4[[#This Row],[Precio Bruto]]*1.16</f>
        <v>15492.669999999998</v>
      </c>
      <c r="K7284" s="281">
        <f>+Tabla4[[#This Row],[Precio Unitario Neto]]*Tabla4[[#Headers],[20.85%]]</f>
        <v>3230.2216949999993</v>
      </c>
      <c r="L7284" s="282">
        <f>++Tabla4[[#This Row],[Precio Unitario Neto]]-Tabla4[[#This Row],[20.85%]]</f>
        <v>12262.448304999998</v>
      </c>
      <c r="M7284" s="282" t="e">
        <f>(INDEX(Tabla6[#All],MATCH(Tabla4[[#This Row],[Producto]],Tabla6[[#All],[PRODUCTO]],0),MATCH(Tabla4[[#This Row],[Mes]],Tabla6[#Headers],0)))*(1+Catalogos!$L$2)</f>
        <v>#N/A</v>
      </c>
      <c r="N7284" s="283" t="e">
        <f>+(Tabla4[[#This Row],[Precio Descontado]]-Tabla4[[#This Row],[Precio Base]])*Tabla4[[#This Row],[Cantidad]]</f>
        <v>#N/A</v>
      </c>
      <c r="O7284" s="284" t="e">
        <f>++Tabla4[[#This Row],[Utilidad Total]]/Tabla4[[#This Row],[Total]]</f>
        <v>#N/A</v>
      </c>
      <c r="P7284" s="282">
        <f>++Tabla4[[#This Row],[Precio Descontado]]*Tabla4[[#This Row],[Cantidad]]</f>
        <v>12262.448304999998</v>
      </c>
      <c r="Q7284" s="282" t="e">
        <f>(INDEX(Tabla6[#All],MATCH(Tabla4[[#This Row],[Producto]],Tabla6[[#All],[PRODUCTO]],0),MATCH(Tabla4[[#This Row],[Mes]],Tabla6[#Headers],0)))</f>
        <v>#N/A</v>
      </c>
      <c r="R7284" s="282" t="e">
        <f>++Tabla4[[#This Row],[Precio Unitario Neto]]-Tabla4[[#This Row],[20.85%]]-Tabla4[[#This Row],[Costo]]</f>
        <v>#N/A</v>
      </c>
      <c r="S7284" s="282" t="e">
        <f>++Tabla4[[#This Row],[U. Bruta Uni]]*Tabla4[[#This Row],[Cantidad]]</f>
        <v>#N/A</v>
      </c>
      <c r="T7284" s="369" t="str">
        <f>VLOOKUP(Tabla4[[#This Row],[Producto]],Tabla6[#All],14,FALSE)</f>
        <v>Termico Solar</v>
      </c>
      <c r="U7284" s="284" t="e">
        <f>(IF(Tabla4[[#This Row],[Familia]]="termico solar",Tabla4[[#This Row],[Utilidad Total]]*6%,Tabla4[[#This Row],[Utilidad Total]]*11.5%))/Tabla4[[#This Row],[Total]]</f>
        <v>#N/A</v>
      </c>
      <c r="V7284" s="282" t="e">
        <f>+Tabla4[[#This Row],[Comisión Calculada]]*Tabla4[[#This Row],[Total]]</f>
        <v>#N/A</v>
      </c>
    </row>
    <row r="7285" spans="1:22" x14ac:dyDescent="0.25">
      <c r="A7285" s="100">
        <v>46006</v>
      </c>
      <c r="B7285" t="str">
        <f t="shared" ref="B7285" si="611">TEXT(A7285, "mmmm")</f>
        <v>December</v>
      </c>
      <c r="C7285" s="46" t="s">
        <v>280</v>
      </c>
      <c r="F7285" s="366" t="s">
        <v>3671</v>
      </c>
      <c r="G7285" s="46" t="s">
        <v>208</v>
      </c>
      <c r="H7285" s="46">
        <v>4</v>
      </c>
      <c r="I7285" s="51">
        <v>189.75</v>
      </c>
      <c r="J7285" s="281">
        <f>++Tabla4[[#This Row],[Precio Bruto]]*1.16</f>
        <v>220.10999999999999</v>
      </c>
      <c r="K7285" s="281">
        <f>+Tabla4[[#This Row],[Precio Unitario Neto]]*Tabla4[[#Headers],[20.85%]]</f>
        <v>45.892934999999994</v>
      </c>
      <c r="L7285" s="282">
        <f>++Tabla4[[#This Row],[Precio Unitario Neto]]-Tabla4[[#This Row],[20.85%]]</f>
        <v>174.21706499999999</v>
      </c>
      <c r="M7285" s="282" t="e">
        <f>(INDEX(Tabla6[#All],MATCH(Tabla4[[#This Row],[Producto]],Tabla6[[#All],[PRODUCTO]],0),MATCH(Tabla4[[#This Row],[Mes]],Tabla6[#Headers],0)))*(1+Catalogos!$L$2)</f>
        <v>#N/A</v>
      </c>
      <c r="N7285" s="283" t="e">
        <f>+(Tabla4[[#This Row],[Precio Descontado]]-Tabla4[[#This Row],[Precio Base]])*Tabla4[[#This Row],[Cantidad]]</f>
        <v>#N/A</v>
      </c>
      <c r="O7285" s="284" t="e">
        <f>++Tabla4[[#This Row],[Utilidad Total]]/Tabla4[[#This Row],[Total]]</f>
        <v>#N/A</v>
      </c>
      <c r="P7285" s="282">
        <f>++Tabla4[[#This Row],[Precio Descontado]]*Tabla4[[#This Row],[Cantidad]]</f>
        <v>696.86825999999996</v>
      </c>
      <c r="Q7285" s="282" t="e">
        <f>(INDEX(Tabla6[#All],MATCH(Tabla4[[#This Row],[Producto]],Tabla6[[#All],[PRODUCTO]],0),MATCH(Tabla4[[#This Row],[Mes]],Tabla6[#Headers],0)))</f>
        <v>#N/A</v>
      </c>
      <c r="R7285" s="282" t="e">
        <f>++Tabla4[[#This Row],[Precio Unitario Neto]]-Tabla4[[#This Row],[20.85%]]-Tabla4[[#This Row],[Costo]]</f>
        <v>#N/A</v>
      </c>
      <c r="S7285" s="282" t="e">
        <f>++Tabla4[[#This Row],[U. Bruta Uni]]*Tabla4[[#This Row],[Cantidad]]</f>
        <v>#N/A</v>
      </c>
      <c r="T7285" s="369" t="str">
        <f>VLOOKUP(Tabla4[[#This Row],[Producto]],Tabla6[#All],14,FALSE)</f>
        <v>Termico Solar</v>
      </c>
      <c r="U7285" s="284" t="e">
        <f>(IF(Tabla4[[#This Row],[Familia]]="termico solar",Tabla4[[#This Row],[Utilidad Total]]*6%,Tabla4[[#This Row],[Utilidad Total]]*11.5%))/Tabla4[[#This Row],[Total]]</f>
        <v>#N/A</v>
      </c>
      <c r="V7285" s="282" t="e">
        <f>+Tabla4[[#This Row],[Comisión Calculada]]*Tabla4[[#This Row],[Total]]</f>
        <v>#N/A</v>
      </c>
    </row>
    <row r="7286" spans="1:22" x14ac:dyDescent="0.25">
      <c r="A7286" s="100">
        <v>46006</v>
      </c>
      <c r="B7286" t="str">
        <f t="shared" ref="B7286:B7289" si="612">TEXT(A7286, "mmmm")</f>
        <v>December</v>
      </c>
      <c r="C7286" s="46" t="s">
        <v>280</v>
      </c>
      <c r="F7286" s="366" t="s">
        <v>3672</v>
      </c>
      <c r="G7286" s="46" t="s">
        <v>83</v>
      </c>
      <c r="H7286" s="46">
        <v>7</v>
      </c>
      <c r="I7286" s="51">
        <v>8858.76</v>
      </c>
      <c r="J7286" s="281">
        <f>++Tabla4[[#This Row],[Precio Bruto]]*1.16</f>
        <v>10276.161599999999</v>
      </c>
      <c r="K7286" s="281">
        <f>+Tabla4[[#This Row],[Precio Unitario Neto]]*Tabla4[[#Headers],[20.85%]]</f>
        <v>2142.5796935999997</v>
      </c>
      <c r="L7286" s="282">
        <f>++Tabla4[[#This Row],[Precio Unitario Neto]]-Tabla4[[#This Row],[20.85%]]</f>
        <v>8133.5819063999998</v>
      </c>
      <c r="M7286" s="282" t="e">
        <f>(INDEX(Tabla6[#All],MATCH(Tabla4[[#This Row],[Producto]],Tabla6[[#All],[PRODUCTO]],0),MATCH(Tabla4[[#This Row],[Mes]],Tabla6[#Headers],0)))*(1+Catalogos!$L$2)</f>
        <v>#N/A</v>
      </c>
      <c r="N7286" s="283" t="e">
        <f>+(Tabla4[[#This Row],[Precio Descontado]]-Tabla4[[#This Row],[Precio Base]])*Tabla4[[#This Row],[Cantidad]]</f>
        <v>#N/A</v>
      </c>
      <c r="O7286" s="284" t="e">
        <f>++Tabla4[[#This Row],[Utilidad Total]]/Tabla4[[#This Row],[Total]]</f>
        <v>#N/A</v>
      </c>
      <c r="P7286" s="282">
        <f>++Tabla4[[#This Row],[Precio Descontado]]*Tabla4[[#This Row],[Cantidad]]</f>
        <v>56935.073344799996</v>
      </c>
      <c r="Q7286" s="282" t="e">
        <f>(INDEX(Tabla6[#All],MATCH(Tabla4[[#This Row],[Producto]],Tabla6[[#All],[PRODUCTO]],0),MATCH(Tabla4[[#This Row],[Mes]],Tabla6[#Headers],0)))</f>
        <v>#N/A</v>
      </c>
      <c r="R7286" s="282" t="e">
        <f>++Tabla4[[#This Row],[Precio Unitario Neto]]-Tabla4[[#This Row],[20.85%]]-Tabla4[[#This Row],[Costo]]</f>
        <v>#N/A</v>
      </c>
      <c r="S7286" s="282" t="e">
        <f>++Tabla4[[#This Row],[U. Bruta Uni]]*Tabla4[[#This Row],[Cantidad]]</f>
        <v>#N/A</v>
      </c>
      <c r="T7286" s="369" t="str">
        <f>VLOOKUP(Tabla4[[#This Row],[Producto]],Tabla6[#All],14,FALSE)</f>
        <v>Termico Solar</v>
      </c>
      <c r="U7286" s="284" t="e">
        <f>(IF(Tabla4[[#This Row],[Familia]]="termico solar",Tabla4[[#This Row],[Utilidad Total]]*6%,Tabla4[[#This Row],[Utilidad Total]]*11.5%))/Tabla4[[#This Row],[Total]]</f>
        <v>#N/A</v>
      </c>
      <c r="V7286" s="282" t="e">
        <f>+Tabla4[[#This Row],[Comisión Calculada]]*Tabla4[[#This Row],[Total]]</f>
        <v>#N/A</v>
      </c>
    </row>
    <row r="7287" spans="1:22" x14ac:dyDescent="0.25">
      <c r="A7287" s="100">
        <v>46006</v>
      </c>
      <c r="B7287" t="str">
        <f t="shared" si="612"/>
        <v>December</v>
      </c>
      <c r="C7287" s="46" t="s">
        <v>280</v>
      </c>
      <c r="F7287" s="366" t="s">
        <v>3672</v>
      </c>
      <c r="G7287" s="46" t="s">
        <v>566</v>
      </c>
      <c r="H7287" s="46">
        <v>1</v>
      </c>
      <c r="I7287" s="51">
        <v>2109.4499999999998</v>
      </c>
      <c r="J7287" s="281">
        <f>++Tabla4[[#This Row],[Precio Bruto]]*1.16</f>
        <v>2446.9619999999995</v>
      </c>
      <c r="K7287" s="281">
        <f>+Tabla4[[#This Row],[Precio Unitario Neto]]*Tabla4[[#Headers],[20.85%]]</f>
        <v>510.19157699999988</v>
      </c>
      <c r="L7287" s="282">
        <f>++Tabla4[[#This Row],[Precio Unitario Neto]]-Tabla4[[#This Row],[20.85%]]</f>
        <v>1936.7704229999997</v>
      </c>
      <c r="M7287" s="282" t="e">
        <f>(INDEX(Tabla6[#All],MATCH(Tabla4[[#This Row],[Producto]],Tabla6[[#All],[PRODUCTO]],0),MATCH(Tabla4[[#This Row],[Mes]],Tabla6[#Headers],0)))*(1+Catalogos!$L$2)</f>
        <v>#N/A</v>
      </c>
      <c r="N7287" s="283" t="e">
        <f>+(Tabla4[[#This Row],[Precio Descontado]]-Tabla4[[#This Row],[Precio Base]])*Tabla4[[#This Row],[Cantidad]]</f>
        <v>#N/A</v>
      </c>
      <c r="O7287" s="284" t="e">
        <f>++Tabla4[[#This Row],[Utilidad Total]]/Tabla4[[#This Row],[Total]]</f>
        <v>#N/A</v>
      </c>
      <c r="P7287" s="282">
        <f>++Tabla4[[#This Row],[Precio Descontado]]*Tabla4[[#This Row],[Cantidad]]</f>
        <v>1936.7704229999997</v>
      </c>
      <c r="Q7287" s="282" t="e">
        <f>(INDEX(Tabla6[#All],MATCH(Tabla4[[#This Row],[Producto]],Tabla6[[#All],[PRODUCTO]],0),MATCH(Tabla4[[#This Row],[Mes]],Tabla6[#Headers],0)))</f>
        <v>#N/A</v>
      </c>
      <c r="R7287" s="282" t="e">
        <f>++Tabla4[[#This Row],[Precio Unitario Neto]]-Tabla4[[#This Row],[20.85%]]-Tabla4[[#This Row],[Costo]]</f>
        <v>#N/A</v>
      </c>
      <c r="S7287" s="282" t="e">
        <f>++Tabla4[[#This Row],[U. Bruta Uni]]*Tabla4[[#This Row],[Cantidad]]</f>
        <v>#N/A</v>
      </c>
      <c r="T7287" s="369" t="str">
        <f>VLOOKUP(Tabla4[[#This Row],[Producto]],Tabla6[#All],14,FALSE)</f>
        <v>Termico Solar</v>
      </c>
      <c r="U7287" s="284" t="e">
        <f>(IF(Tabla4[[#This Row],[Familia]]="termico solar",Tabla4[[#This Row],[Utilidad Total]]*6%,Tabla4[[#This Row],[Utilidad Total]]*11.5%))/Tabla4[[#This Row],[Total]]</f>
        <v>#N/A</v>
      </c>
      <c r="V7287" s="282" t="e">
        <f>+Tabla4[[#This Row],[Comisión Calculada]]*Tabla4[[#This Row],[Total]]</f>
        <v>#N/A</v>
      </c>
    </row>
    <row r="7288" spans="1:22" x14ac:dyDescent="0.25">
      <c r="A7288" s="100">
        <v>46006</v>
      </c>
      <c r="B7288" t="str">
        <f t="shared" si="612"/>
        <v>December</v>
      </c>
      <c r="C7288" s="46" t="s">
        <v>280</v>
      </c>
      <c r="F7288" s="366" t="s">
        <v>3672</v>
      </c>
      <c r="G7288" s="46" t="s">
        <v>394</v>
      </c>
      <c r="H7288" s="46">
        <v>9</v>
      </c>
      <c r="I7288" s="51">
        <v>108.1</v>
      </c>
      <c r="J7288" s="281">
        <f>++Tabla4[[#This Row],[Precio Bruto]]*1.16</f>
        <v>125.39599999999999</v>
      </c>
      <c r="K7288" s="281">
        <f>+Tabla4[[#This Row],[Precio Unitario Neto]]*Tabla4[[#Headers],[20.85%]]</f>
        <v>26.145065999999996</v>
      </c>
      <c r="L7288" s="282">
        <f>++Tabla4[[#This Row],[Precio Unitario Neto]]-Tabla4[[#This Row],[20.85%]]</f>
        <v>99.250933999999987</v>
      </c>
      <c r="M7288" s="282" t="e">
        <f>(INDEX(Tabla6[#All],MATCH(Tabla4[[#This Row],[Producto]],Tabla6[[#All],[PRODUCTO]],0),MATCH(Tabla4[[#This Row],[Mes]],Tabla6[#Headers],0)))*(1+Catalogos!$L$2)</f>
        <v>#N/A</v>
      </c>
      <c r="N7288" s="283" t="e">
        <f>+(Tabla4[[#This Row],[Precio Descontado]]-Tabla4[[#This Row],[Precio Base]])*Tabla4[[#This Row],[Cantidad]]</f>
        <v>#N/A</v>
      </c>
      <c r="O7288" s="284" t="e">
        <f>++Tabla4[[#This Row],[Utilidad Total]]/Tabla4[[#This Row],[Total]]</f>
        <v>#N/A</v>
      </c>
      <c r="P7288" s="282">
        <f>++Tabla4[[#This Row],[Precio Descontado]]*Tabla4[[#This Row],[Cantidad]]</f>
        <v>893.25840599999992</v>
      </c>
      <c r="Q7288" s="282" t="e">
        <f>(INDEX(Tabla6[#All],MATCH(Tabla4[[#This Row],[Producto]],Tabla6[[#All],[PRODUCTO]],0),MATCH(Tabla4[[#This Row],[Mes]],Tabla6[#Headers],0)))</f>
        <v>#N/A</v>
      </c>
      <c r="R7288" s="282" t="e">
        <f>++Tabla4[[#This Row],[Precio Unitario Neto]]-Tabla4[[#This Row],[20.85%]]-Tabla4[[#This Row],[Costo]]</f>
        <v>#N/A</v>
      </c>
      <c r="S7288" s="282" t="e">
        <f>++Tabla4[[#This Row],[U. Bruta Uni]]*Tabla4[[#This Row],[Cantidad]]</f>
        <v>#N/A</v>
      </c>
      <c r="T7288" s="369" t="str">
        <f>VLOOKUP(Tabla4[[#This Row],[Producto]],Tabla6[#All],14,FALSE)</f>
        <v>Termico Solar</v>
      </c>
      <c r="U7288" s="284" t="e">
        <f>(IF(Tabla4[[#This Row],[Familia]]="termico solar",Tabla4[[#This Row],[Utilidad Total]]*6%,Tabla4[[#This Row],[Utilidad Total]]*11.5%))/Tabla4[[#This Row],[Total]]</f>
        <v>#N/A</v>
      </c>
      <c r="V7288" s="282" t="e">
        <f>+Tabla4[[#This Row],[Comisión Calculada]]*Tabla4[[#This Row],[Total]]</f>
        <v>#N/A</v>
      </c>
    </row>
    <row r="7289" spans="1:22" x14ac:dyDescent="0.25">
      <c r="A7289" s="100">
        <v>46006</v>
      </c>
      <c r="B7289" t="str">
        <f t="shared" si="612"/>
        <v>December</v>
      </c>
      <c r="C7289" s="46" t="s">
        <v>280</v>
      </c>
      <c r="F7289" s="366" t="s">
        <v>3672</v>
      </c>
      <c r="G7289" s="46" t="s">
        <v>208</v>
      </c>
      <c r="H7289" s="46">
        <v>5</v>
      </c>
      <c r="I7289" s="51">
        <v>189.75</v>
      </c>
      <c r="J7289" s="281">
        <f>++Tabla4[[#This Row],[Precio Bruto]]*1.16</f>
        <v>220.10999999999999</v>
      </c>
      <c r="K7289" s="281">
        <f>+Tabla4[[#This Row],[Precio Unitario Neto]]*Tabla4[[#Headers],[20.85%]]</f>
        <v>45.892934999999994</v>
      </c>
      <c r="L7289" s="282">
        <f>++Tabla4[[#This Row],[Precio Unitario Neto]]-Tabla4[[#This Row],[20.85%]]</f>
        <v>174.21706499999999</v>
      </c>
      <c r="M7289" s="282" t="e">
        <f>(INDEX(Tabla6[#All],MATCH(Tabla4[[#This Row],[Producto]],Tabla6[[#All],[PRODUCTO]],0),MATCH(Tabla4[[#This Row],[Mes]],Tabla6[#Headers],0)))*(1+Catalogos!$L$2)</f>
        <v>#N/A</v>
      </c>
      <c r="N7289" s="283" t="e">
        <f>+(Tabla4[[#This Row],[Precio Descontado]]-Tabla4[[#This Row],[Precio Base]])*Tabla4[[#This Row],[Cantidad]]</f>
        <v>#N/A</v>
      </c>
      <c r="O7289" s="284" t="e">
        <f>++Tabla4[[#This Row],[Utilidad Total]]/Tabla4[[#This Row],[Total]]</f>
        <v>#N/A</v>
      </c>
      <c r="P7289" s="282">
        <f>++Tabla4[[#This Row],[Precio Descontado]]*Tabla4[[#This Row],[Cantidad]]</f>
        <v>871.08532500000001</v>
      </c>
      <c r="Q7289" s="282" t="e">
        <f>(INDEX(Tabla6[#All],MATCH(Tabla4[[#This Row],[Producto]],Tabla6[[#All],[PRODUCTO]],0),MATCH(Tabla4[[#This Row],[Mes]],Tabla6[#Headers],0)))</f>
        <v>#N/A</v>
      </c>
      <c r="R7289" s="282" t="e">
        <f>++Tabla4[[#This Row],[Precio Unitario Neto]]-Tabla4[[#This Row],[20.85%]]-Tabla4[[#This Row],[Costo]]</f>
        <v>#N/A</v>
      </c>
      <c r="S7289" s="282" t="e">
        <f>++Tabla4[[#This Row],[U. Bruta Uni]]*Tabla4[[#This Row],[Cantidad]]</f>
        <v>#N/A</v>
      </c>
      <c r="T7289" s="369" t="str">
        <f>VLOOKUP(Tabla4[[#This Row],[Producto]],Tabla6[#All],14,FALSE)</f>
        <v>Termico Solar</v>
      </c>
      <c r="U7289" s="284" t="e">
        <f>(IF(Tabla4[[#This Row],[Familia]]="termico solar",Tabla4[[#This Row],[Utilidad Total]]*6%,Tabla4[[#This Row],[Utilidad Total]]*11.5%))/Tabla4[[#This Row],[Total]]</f>
        <v>#N/A</v>
      </c>
      <c r="V7289" s="282" t="e">
        <f>+Tabla4[[#This Row],[Comisión Calculada]]*Tabla4[[#This Row],[Total]]</f>
        <v>#N/A</v>
      </c>
    </row>
    <row r="7290" spans="1:22" x14ac:dyDescent="0.25">
      <c r="A7290" s="100">
        <v>46006</v>
      </c>
      <c r="B7290" t="str">
        <f t="shared" ref="B7290:B7291" si="613">TEXT(A7290, "mmmm")</f>
        <v>December</v>
      </c>
      <c r="C7290" s="46" t="s">
        <v>280</v>
      </c>
      <c r="F7290" s="366" t="s">
        <v>3673</v>
      </c>
      <c r="G7290" s="46" t="s">
        <v>16</v>
      </c>
      <c r="H7290" s="46">
        <v>1</v>
      </c>
      <c r="I7290" s="51">
        <v>4103.8500000000004</v>
      </c>
      <c r="J7290" s="281">
        <f>++Tabla4[[#This Row],[Precio Bruto]]*1.16</f>
        <v>4760.4660000000003</v>
      </c>
      <c r="K7290" s="281">
        <f>+Tabla4[[#This Row],[Precio Unitario Neto]]*Tabla4[[#Headers],[20.85%]]</f>
        <v>992.55716100000006</v>
      </c>
      <c r="L7290" s="282">
        <f>++Tabla4[[#This Row],[Precio Unitario Neto]]-Tabla4[[#This Row],[20.85%]]</f>
        <v>3767.9088390000002</v>
      </c>
      <c r="M7290" s="282" t="e">
        <f>(INDEX(Tabla6[#All],MATCH(Tabla4[[#This Row],[Producto]],Tabla6[[#All],[PRODUCTO]],0),MATCH(Tabla4[[#This Row],[Mes]],Tabla6[#Headers],0)))*(1+Catalogos!$L$2)</f>
        <v>#N/A</v>
      </c>
      <c r="N7290" s="283" t="e">
        <f>+(Tabla4[[#This Row],[Precio Descontado]]-Tabla4[[#This Row],[Precio Base]])*Tabla4[[#This Row],[Cantidad]]</f>
        <v>#N/A</v>
      </c>
      <c r="O7290" s="284" t="e">
        <f>++Tabla4[[#This Row],[Utilidad Total]]/Tabla4[[#This Row],[Total]]</f>
        <v>#N/A</v>
      </c>
      <c r="P7290" s="282">
        <f>++Tabla4[[#This Row],[Precio Descontado]]*Tabla4[[#This Row],[Cantidad]]</f>
        <v>3767.9088390000002</v>
      </c>
      <c r="Q7290" s="282" t="e">
        <f>(INDEX(Tabla6[#All],MATCH(Tabla4[[#This Row],[Producto]],Tabla6[[#All],[PRODUCTO]],0),MATCH(Tabla4[[#This Row],[Mes]],Tabla6[#Headers],0)))</f>
        <v>#N/A</v>
      </c>
      <c r="R7290" s="282" t="e">
        <f>++Tabla4[[#This Row],[Precio Unitario Neto]]-Tabla4[[#This Row],[20.85%]]-Tabla4[[#This Row],[Costo]]</f>
        <v>#N/A</v>
      </c>
      <c r="S7290" s="282" t="e">
        <f>++Tabla4[[#This Row],[U. Bruta Uni]]*Tabla4[[#This Row],[Cantidad]]</f>
        <v>#N/A</v>
      </c>
      <c r="T7290" s="369" t="str">
        <f>VLOOKUP(Tabla4[[#This Row],[Producto]],Tabla6[#All],14,FALSE)</f>
        <v>Termico Solar</v>
      </c>
      <c r="U7290" s="284" t="e">
        <f>(IF(Tabla4[[#This Row],[Familia]]="termico solar",Tabla4[[#This Row],[Utilidad Total]]*6%,Tabla4[[#This Row],[Utilidad Total]]*11.5%))/Tabla4[[#This Row],[Total]]</f>
        <v>#N/A</v>
      </c>
      <c r="V7290" s="282" t="e">
        <f>+Tabla4[[#This Row],[Comisión Calculada]]*Tabla4[[#This Row],[Total]]</f>
        <v>#N/A</v>
      </c>
    </row>
    <row r="7291" spans="1:22" x14ac:dyDescent="0.25">
      <c r="A7291" s="100">
        <v>46006</v>
      </c>
      <c r="B7291" t="str">
        <f t="shared" si="613"/>
        <v>December</v>
      </c>
      <c r="C7291" s="46" t="s">
        <v>280</v>
      </c>
      <c r="F7291" s="366" t="s">
        <v>3673</v>
      </c>
      <c r="G7291" s="46" t="s">
        <v>208</v>
      </c>
      <c r="H7291" s="46">
        <v>2</v>
      </c>
      <c r="I7291" s="51">
        <v>189.75</v>
      </c>
      <c r="J7291" s="281">
        <f>++Tabla4[[#This Row],[Precio Bruto]]*1.16</f>
        <v>220.10999999999999</v>
      </c>
      <c r="K7291" s="281">
        <f>+Tabla4[[#This Row],[Precio Unitario Neto]]*Tabla4[[#Headers],[20.85%]]</f>
        <v>45.892934999999994</v>
      </c>
      <c r="L7291" s="282">
        <f>++Tabla4[[#This Row],[Precio Unitario Neto]]-Tabla4[[#This Row],[20.85%]]</f>
        <v>174.21706499999999</v>
      </c>
      <c r="M7291" s="282" t="e">
        <f>(INDEX(Tabla6[#All],MATCH(Tabla4[[#This Row],[Producto]],Tabla6[[#All],[PRODUCTO]],0),MATCH(Tabla4[[#This Row],[Mes]],Tabla6[#Headers],0)))*(1+Catalogos!$L$2)</f>
        <v>#N/A</v>
      </c>
      <c r="N7291" s="283" t="e">
        <f>+(Tabla4[[#This Row],[Precio Descontado]]-Tabla4[[#This Row],[Precio Base]])*Tabla4[[#This Row],[Cantidad]]</f>
        <v>#N/A</v>
      </c>
      <c r="O7291" s="284" t="e">
        <f>++Tabla4[[#This Row],[Utilidad Total]]/Tabla4[[#This Row],[Total]]</f>
        <v>#N/A</v>
      </c>
      <c r="P7291" s="282">
        <f>++Tabla4[[#This Row],[Precio Descontado]]*Tabla4[[#This Row],[Cantidad]]</f>
        <v>348.43412999999998</v>
      </c>
      <c r="Q7291" s="282" t="e">
        <f>(INDEX(Tabla6[#All],MATCH(Tabla4[[#This Row],[Producto]],Tabla6[[#All],[PRODUCTO]],0),MATCH(Tabla4[[#This Row],[Mes]],Tabla6[#Headers],0)))</f>
        <v>#N/A</v>
      </c>
      <c r="R7291" s="282" t="e">
        <f>++Tabla4[[#This Row],[Precio Unitario Neto]]-Tabla4[[#This Row],[20.85%]]-Tabla4[[#This Row],[Costo]]</f>
        <v>#N/A</v>
      </c>
      <c r="S7291" s="282" t="e">
        <f>++Tabla4[[#This Row],[U. Bruta Uni]]*Tabla4[[#This Row],[Cantidad]]</f>
        <v>#N/A</v>
      </c>
      <c r="T7291" s="369" t="str">
        <f>VLOOKUP(Tabla4[[#This Row],[Producto]],Tabla6[#All],14,FALSE)</f>
        <v>Termico Solar</v>
      </c>
      <c r="U7291" s="284" t="e">
        <f>(IF(Tabla4[[#This Row],[Familia]]="termico solar",Tabla4[[#This Row],[Utilidad Total]]*6%,Tabla4[[#This Row],[Utilidad Total]]*11.5%))/Tabla4[[#This Row],[Total]]</f>
        <v>#N/A</v>
      </c>
      <c r="V7291" s="282" t="e">
        <f>+Tabla4[[#This Row],[Comisión Calculada]]*Tabla4[[#This Row],[Total]]</f>
        <v>#N/A</v>
      </c>
    </row>
    <row r="7292" spans="1:22" x14ac:dyDescent="0.25">
      <c r="A7292" s="100">
        <v>46006</v>
      </c>
      <c r="B7292" t="str">
        <f t="shared" ref="B7292:B7294" si="614">TEXT(A7292, "mmmm")</f>
        <v>December</v>
      </c>
      <c r="C7292" s="46" t="s">
        <v>280</v>
      </c>
      <c r="F7292" s="366" t="s">
        <v>3674</v>
      </c>
      <c r="G7292" s="46" t="s">
        <v>17</v>
      </c>
      <c r="H7292" s="46">
        <v>4</v>
      </c>
      <c r="I7292" s="51">
        <v>4622.28</v>
      </c>
      <c r="J7292" s="281">
        <f>++Tabla4[[#This Row],[Precio Bruto]]*1.16</f>
        <v>5361.8447999999989</v>
      </c>
      <c r="K7292" s="281">
        <f>+Tabla4[[#This Row],[Precio Unitario Neto]]*Tabla4[[#Headers],[20.85%]]</f>
        <v>1117.9446407999997</v>
      </c>
      <c r="L7292" s="282">
        <f>++Tabla4[[#This Row],[Precio Unitario Neto]]-Tabla4[[#This Row],[20.85%]]</f>
        <v>4243.9001591999995</v>
      </c>
      <c r="M7292" s="282" t="e">
        <f>(INDEX(Tabla6[#All],MATCH(Tabla4[[#This Row],[Producto]],Tabla6[[#All],[PRODUCTO]],0),MATCH(Tabla4[[#This Row],[Mes]],Tabla6[#Headers],0)))*(1+Catalogos!$L$2)</f>
        <v>#N/A</v>
      </c>
      <c r="N7292" s="283" t="e">
        <f>+(Tabla4[[#This Row],[Precio Descontado]]-Tabla4[[#This Row],[Precio Base]])*Tabla4[[#This Row],[Cantidad]]</f>
        <v>#N/A</v>
      </c>
      <c r="O7292" s="284" t="e">
        <f>++Tabla4[[#This Row],[Utilidad Total]]/Tabla4[[#This Row],[Total]]</f>
        <v>#N/A</v>
      </c>
      <c r="P7292" s="282">
        <f>++Tabla4[[#This Row],[Precio Descontado]]*Tabla4[[#This Row],[Cantidad]]</f>
        <v>16975.600636799998</v>
      </c>
      <c r="Q7292" s="282" t="e">
        <f>(INDEX(Tabla6[#All],MATCH(Tabla4[[#This Row],[Producto]],Tabla6[[#All],[PRODUCTO]],0),MATCH(Tabla4[[#This Row],[Mes]],Tabla6[#Headers],0)))</f>
        <v>#N/A</v>
      </c>
      <c r="R7292" s="282" t="e">
        <f>++Tabla4[[#This Row],[Precio Unitario Neto]]-Tabla4[[#This Row],[20.85%]]-Tabla4[[#This Row],[Costo]]</f>
        <v>#N/A</v>
      </c>
      <c r="S7292" s="282" t="e">
        <f>++Tabla4[[#This Row],[U. Bruta Uni]]*Tabla4[[#This Row],[Cantidad]]</f>
        <v>#N/A</v>
      </c>
      <c r="T7292" s="369" t="str">
        <f>VLOOKUP(Tabla4[[#This Row],[Producto]],Tabla6[#All],14,FALSE)</f>
        <v>Termico Solar</v>
      </c>
      <c r="U7292" s="284" t="e">
        <f>(IF(Tabla4[[#This Row],[Familia]]="termico solar",Tabla4[[#This Row],[Utilidad Total]]*6%,Tabla4[[#This Row],[Utilidad Total]]*11.5%))/Tabla4[[#This Row],[Total]]</f>
        <v>#N/A</v>
      </c>
      <c r="V7292" s="282" t="e">
        <f>+Tabla4[[#This Row],[Comisión Calculada]]*Tabla4[[#This Row],[Total]]</f>
        <v>#N/A</v>
      </c>
    </row>
    <row r="7293" spans="1:22" x14ac:dyDescent="0.25">
      <c r="A7293" s="100">
        <v>46006</v>
      </c>
      <c r="B7293" t="str">
        <f t="shared" si="614"/>
        <v>December</v>
      </c>
      <c r="C7293" s="46" t="s">
        <v>280</v>
      </c>
      <c r="F7293" s="366" t="s">
        <v>3674</v>
      </c>
      <c r="G7293" s="46" t="s">
        <v>566</v>
      </c>
      <c r="H7293" s="46">
        <v>1</v>
      </c>
      <c r="I7293" s="51">
        <v>2109.4499999999998</v>
      </c>
      <c r="J7293" s="281">
        <f>++Tabla4[[#This Row],[Precio Bruto]]*1.16</f>
        <v>2446.9619999999995</v>
      </c>
      <c r="K7293" s="281">
        <f>+Tabla4[[#This Row],[Precio Unitario Neto]]*Tabla4[[#Headers],[20.85%]]</f>
        <v>510.19157699999988</v>
      </c>
      <c r="L7293" s="282">
        <f>++Tabla4[[#This Row],[Precio Unitario Neto]]-Tabla4[[#This Row],[20.85%]]</f>
        <v>1936.7704229999997</v>
      </c>
      <c r="M7293" s="282" t="e">
        <f>(INDEX(Tabla6[#All],MATCH(Tabla4[[#This Row],[Producto]],Tabla6[[#All],[PRODUCTO]],0),MATCH(Tabla4[[#This Row],[Mes]],Tabla6[#Headers],0)))*(1+Catalogos!$L$2)</f>
        <v>#N/A</v>
      </c>
      <c r="N7293" s="283" t="e">
        <f>+(Tabla4[[#This Row],[Precio Descontado]]-Tabla4[[#This Row],[Precio Base]])*Tabla4[[#This Row],[Cantidad]]</f>
        <v>#N/A</v>
      </c>
      <c r="O7293" s="284" t="e">
        <f>++Tabla4[[#This Row],[Utilidad Total]]/Tabla4[[#This Row],[Total]]</f>
        <v>#N/A</v>
      </c>
      <c r="P7293" s="282">
        <f>++Tabla4[[#This Row],[Precio Descontado]]*Tabla4[[#This Row],[Cantidad]]</f>
        <v>1936.7704229999997</v>
      </c>
      <c r="Q7293" s="282" t="e">
        <f>(INDEX(Tabla6[#All],MATCH(Tabla4[[#This Row],[Producto]],Tabla6[[#All],[PRODUCTO]],0),MATCH(Tabla4[[#This Row],[Mes]],Tabla6[#Headers],0)))</f>
        <v>#N/A</v>
      </c>
      <c r="R7293" s="282" t="e">
        <f>++Tabla4[[#This Row],[Precio Unitario Neto]]-Tabla4[[#This Row],[20.85%]]-Tabla4[[#This Row],[Costo]]</f>
        <v>#N/A</v>
      </c>
      <c r="S7293" s="282" t="e">
        <f>++Tabla4[[#This Row],[U. Bruta Uni]]*Tabla4[[#This Row],[Cantidad]]</f>
        <v>#N/A</v>
      </c>
      <c r="T7293" s="369" t="str">
        <f>VLOOKUP(Tabla4[[#This Row],[Producto]],Tabla6[#All],14,FALSE)</f>
        <v>Termico Solar</v>
      </c>
      <c r="U7293" s="284" t="e">
        <f>(IF(Tabla4[[#This Row],[Familia]]="termico solar",Tabla4[[#This Row],[Utilidad Total]]*6%,Tabla4[[#This Row],[Utilidad Total]]*11.5%))/Tabla4[[#This Row],[Total]]</f>
        <v>#N/A</v>
      </c>
      <c r="V7293" s="282" t="e">
        <f>+Tabla4[[#This Row],[Comisión Calculada]]*Tabla4[[#This Row],[Total]]</f>
        <v>#N/A</v>
      </c>
    </row>
    <row r="7294" spans="1:22" x14ac:dyDescent="0.25">
      <c r="A7294" s="100">
        <v>46006</v>
      </c>
      <c r="B7294" t="str">
        <f t="shared" si="614"/>
        <v>December</v>
      </c>
      <c r="C7294" s="46" t="s">
        <v>280</v>
      </c>
      <c r="F7294" s="366" t="s">
        <v>3674</v>
      </c>
      <c r="G7294" s="46" t="s">
        <v>16</v>
      </c>
      <c r="H7294" s="46">
        <v>1</v>
      </c>
      <c r="I7294" s="51">
        <v>4103.8500000000004</v>
      </c>
      <c r="J7294" s="281">
        <f>++Tabla4[[#This Row],[Precio Bruto]]*1.16</f>
        <v>4760.4660000000003</v>
      </c>
      <c r="K7294" s="281">
        <f>+Tabla4[[#This Row],[Precio Unitario Neto]]*Tabla4[[#Headers],[20.85%]]</f>
        <v>992.55716100000006</v>
      </c>
      <c r="L7294" s="282">
        <f>++Tabla4[[#This Row],[Precio Unitario Neto]]-Tabla4[[#This Row],[20.85%]]</f>
        <v>3767.9088390000002</v>
      </c>
      <c r="M7294" s="282" t="e">
        <f>(INDEX(Tabla6[#All],MATCH(Tabla4[[#This Row],[Producto]],Tabla6[[#All],[PRODUCTO]],0),MATCH(Tabla4[[#This Row],[Mes]],Tabla6[#Headers],0)))*(1+Catalogos!$L$2)</f>
        <v>#N/A</v>
      </c>
      <c r="N7294" s="283" t="e">
        <f>+(Tabla4[[#This Row],[Precio Descontado]]-Tabla4[[#This Row],[Precio Base]])*Tabla4[[#This Row],[Cantidad]]</f>
        <v>#N/A</v>
      </c>
      <c r="O7294" s="284" t="e">
        <f>++Tabla4[[#This Row],[Utilidad Total]]/Tabla4[[#This Row],[Total]]</f>
        <v>#N/A</v>
      </c>
      <c r="P7294" s="282">
        <f>++Tabla4[[#This Row],[Precio Descontado]]*Tabla4[[#This Row],[Cantidad]]</f>
        <v>3767.9088390000002</v>
      </c>
      <c r="Q7294" s="282" t="e">
        <f>(INDEX(Tabla6[#All],MATCH(Tabla4[[#This Row],[Producto]],Tabla6[[#All],[PRODUCTO]],0),MATCH(Tabla4[[#This Row],[Mes]],Tabla6[#Headers],0)))</f>
        <v>#N/A</v>
      </c>
      <c r="R7294" s="282" t="e">
        <f>++Tabla4[[#This Row],[Precio Unitario Neto]]-Tabla4[[#This Row],[20.85%]]-Tabla4[[#This Row],[Costo]]</f>
        <v>#N/A</v>
      </c>
      <c r="S7294" s="282" t="e">
        <f>++Tabla4[[#This Row],[U. Bruta Uni]]*Tabla4[[#This Row],[Cantidad]]</f>
        <v>#N/A</v>
      </c>
      <c r="T7294" s="369" t="str">
        <f>VLOOKUP(Tabla4[[#This Row],[Producto]],Tabla6[#All],14,FALSE)</f>
        <v>Termico Solar</v>
      </c>
      <c r="U7294" s="284" t="e">
        <f>(IF(Tabla4[[#This Row],[Familia]]="termico solar",Tabla4[[#This Row],[Utilidad Total]]*6%,Tabla4[[#This Row],[Utilidad Total]]*11.5%))/Tabla4[[#This Row],[Total]]</f>
        <v>#N/A</v>
      </c>
      <c r="V7294" s="282" t="e">
        <f>+Tabla4[[#This Row],[Comisión Calculada]]*Tabla4[[#This Row],[Total]]</f>
        <v>#N/A</v>
      </c>
    </row>
    <row r="7295" spans="1:22" x14ac:dyDescent="0.25">
      <c r="A7295" s="100">
        <v>46006</v>
      </c>
      <c r="B7295" t="str">
        <f t="shared" ref="B7295:B7296" si="615">TEXT(A7295, "mmmm")</f>
        <v>December</v>
      </c>
      <c r="C7295" s="46" t="s">
        <v>280</v>
      </c>
      <c r="F7295" s="366" t="s">
        <v>3675</v>
      </c>
      <c r="G7295" s="46" t="s">
        <v>19</v>
      </c>
      <c r="H7295" s="46">
        <v>1</v>
      </c>
      <c r="I7295" s="51">
        <v>6412.03</v>
      </c>
      <c r="J7295" s="281">
        <f>++Tabla4[[#This Row],[Precio Bruto]]*1.16</f>
        <v>7437.9547999999995</v>
      </c>
      <c r="K7295" s="281">
        <f>+Tabla4[[#This Row],[Precio Unitario Neto]]*Tabla4[[#Headers],[20.85%]]</f>
        <v>1550.8135757999999</v>
      </c>
      <c r="L7295" s="282">
        <f>++Tabla4[[#This Row],[Precio Unitario Neto]]-Tabla4[[#This Row],[20.85%]]</f>
        <v>5887.1412241999997</v>
      </c>
      <c r="M7295" s="282" t="e">
        <f>(INDEX(Tabla6[#All],MATCH(Tabla4[[#This Row],[Producto]],Tabla6[[#All],[PRODUCTO]],0),MATCH(Tabla4[[#This Row],[Mes]],Tabla6[#Headers],0)))*(1+Catalogos!$L$2)</f>
        <v>#N/A</v>
      </c>
      <c r="N7295" s="283" t="e">
        <f>+(Tabla4[[#This Row],[Precio Descontado]]-Tabla4[[#This Row],[Precio Base]])*Tabla4[[#This Row],[Cantidad]]</f>
        <v>#N/A</v>
      </c>
      <c r="O7295" s="284" t="e">
        <f>++Tabla4[[#This Row],[Utilidad Total]]/Tabla4[[#This Row],[Total]]</f>
        <v>#N/A</v>
      </c>
      <c r="P7295" s="282">
        <f>++Tabla4[[#This Row],[Precio Descontado]]*Tabla4[[#This Row],[Cantidad]]</f>
        <v>5887.1412241999997</v>
      </c>
      <c r="Q7295" s="282" t="e">
        <f>(INDEX(Tabla6[#All],MATCH(Tabla4[[#This Row],[Producto]],Tabla6[[#All],[PRODUCTO]],0),MATCH(Tabla4[[#This Row],[Mes]],Tabla6[#Headers],0)))</f>
        <v>#N/A</v>
      </c>
      <c r="R7295" s="282" t="e">
        <f>++Tabla4[[#This Row],[Precio Unitario Neto]]-Tabla4[[#This Row],[20.85%]]-Tabla4[[#This Row],[Costo]]</f>
        <v>#N/A</v>
      </c>
      <c r="S7295" s="282" t="e">
        <f>++Tabla4[[#This Row],[U. Bruta Uni]]*Tabla4[[#This Row],[Cantidad]]</f>
        <v>#N/A</v>
      </c>
      <c r="T7295" s="369" t="str">
        <f>VLOOKUP(Tabla4[[#This Row],[Producto]],Tabla6[#All],14,FALSE)</f>
        <v>Termico Solar</v>
      </c>
      <c r="U7295" s="284" t="e">
        <f>(IF(Tabla4[[#This Row],[Familia]]="termico solar",Tabla4[[#This Row],[Utilidad Total]]*6%,Tabla4[[#This Row],[Utilidad Total]]*11.5%))/Tabla4[[#This Row],[Total]]</f>
        <v>#N/A</v>
      </c>
      <c r="V7295" s="282" t="e">
        <f>+Tabla4[[#This Row],[Comisión Calculada]]*Tabla4[[#This Row],[Total]]</f>
        <v>#N/A</v>
      </c>
    </row>
    <row r="7296" spans="1:22" x14ac:dyDescent="0.25">
      <c r="A7296" s="100">
        <v>46006</v>
      </c>
      <c r="B7296" t="str">
        <f t="shared" si="615"/>
        <v>December</v>
      </c>
      <c r="C7296" s="46" t="s">
        <v>280</v>
      </c>
      <c r="F7296" s="366" t="s">
        <v>3675</v>
      </c>
      <c r="G7296" s="46" t="s">
        <v>16</v>
      </c>
      <c r="H7296" s="46">
        <v>1</v>
      </c>
      <c r="I7296" s="51">
        <v>4103.8500000000004</v>
      </c>
      <c r="J7296" s="281">
        <f>++Tabla4[[#This Row],[Precio Bruto]]*1.16</f>
        <v>4760.4660000000003</v>
      </c>
      <c r="K7296" s="281">
        <f>+Tabla4[[#This Row],[Precio Unitario Neto]]*Tabla4[[#Headers],[20.85%]]</f>
        <v>992.55716100000006</v>
      </c>
      <c r="L7296" s="282">
        <f>++Tabla4[[#This Row],[Precio Unitario Neto]]-Tabla4[[#This Row],[20.85%]]</f>
        <v>3767.9088390000002</v>
      </c>
      <c r="M7296" s="282" t="e">
        <f>(INDEX(Tabla6[#All],MATCH(Tabla4[[#This Row],[Producto]],Tabla6[[#All],[PRODUCTO]],0),MATCH(Tabla4[[#This Row],[Mes]],Tabla6[#Headers],0)))*(1+Catalogos!$L$2)</f>
        <v>#N/A</v>
      </c>
      <c r="N7296" s="283" t="e">
        <f>+(Tabla4[[#This Row],[Precio Descontado]]-Tabla4[[#This Row],[Precio Base]])*Tabla4[[#This Row],[Cantidad]]</f>
        <v>#N/A</v>
      </c>
      <c r="O7296" s="284" t="e">
        <f>++Tabla4[[#This Row],[Utilidad Total]]/Tabla4[[#This Row],[Total]]</f>
        <v>#N/A</v>
      </c>
      <c r="P7296" s="282">
        <f>++Tabla4[[#This Row],[Precio Descontado]]*Tabla4[[#This Row],[Cantidad]]</f>
        <v>3767.9088390000002</v>
      </c>
      <c r="Q7296" s="282" t="e">
        <f>(INDEX(Tabla6[#All],MATCH(Tabla4[[#This Row],[Producto]],Tabla6[[#All],[PRODUCTO]],0),MATCH(Tabla4[[#This Row],[Mes]],Tabla6[#Headers],0)))</f>
        <v>#N/A</v>
      </c>
      <c r="R7296" s="282" t="e">
        <f>++Tabla4[[#This Row],[Precio Unitario Neto]]-Tabla4[[#This Row],[20.85%]]-Tabla4[[#This Row],[Costo]]</f>
        <v>#N/A</v>
      </c>
      <c r="S7296" s="282" t="e">
        <f>++Tabla4[[#This Row],[U. Bruta Uni]]*Tabla4[[#This Row],[Cantidad]]</f>
        <v>#N/A</v>
      </c>
      <c r="T7296" s="369" t="str">
        <f>VLOOKUP(Tabla4[[#This Row],[Producto]],Tabla6[#All],14,FALSE)</f>
        <v>Termico Solar</v>
      </c>
      <c r="U7296" s="284" t="e">
        <f>(IF(Tabla4[[#This Row],[Familia]]="termico solar",Tabla4[[#This Row],[Utilidad Total]]*6%,Tabla4[[#This Row],[Utilidad Total]]*11.5%))/Tabla4[[#This Row],[Total]]</f>
        <v>#N/A</v>
      </c>
      <c r="V7296" s="282" t="e">
        <f>+Tabla4[[#This Row],[Comisión Calculada]]*Tabla4[[#This Row],[Total]]</f>
        <v>#N/A</v>
      </c>
    </row>
    <row r="7297" spans="1:22" x14ac:dyDescent="0.25">
      <c r="A7297" s="100">
        <v>46006</v>
      </c>
      <c r="B7297" t="str">
        <f t="shared" ref="B7297:B7298" si="616">TEXT(A7297, "mmmm")</f>
        <v>December</v>
      </c>
      <c r="C7297" s="46" t="s">
        <v>280</v>
      </c>
      <c r="F7297" s="366" t="s">
        <v>3676</v>
      </c>
      <c r="G7297" s="46" t="s">
        <v>17</v>
      </c>
      <c r="H7297" s="46">
        <v>3</v>
      </c>
      <c r="I7297" s="51">
        <v>4622.28</v>
      </c>
      <c r="J7297" s="281">
        <f>++Tabla4[[#This Row],[Precio Bruto]]*1.16</f>
        <v>5361.8447999999989</v>
      </c>
      <c r="K7297" s="281">
        <f>+Tabla4[[#This Row],[Precio Unitario Neto]]*Tabla4[[#Headers],[20.85%]]</f>
        <v>1117.9446407999997</v>
      </c>
      <c r="L7297" s="282">
        <f>++Tabla4[[#This Row],[Precio Unitario Neto]]-Tabla4[[#This Row],[20.85%]]</f>
        <v>4243.9001591999995</v>
      </c>
      <c r="M7297" s="282" t="e">
        <f>(INDEX(Tabla6[#All],MATCH(Tabla4[[#This Row],[Producto]],Tabla6[[#All],[PRODUCTO]],0),MATCH(Tabla4[[#This Row],[Mes]],Tabla6[#Headers],0)))*(1+Catalogos!$L$2)</f>
        <v>#N/A</v>
      </c>
      <c r="N7297" s="283" t="e">
        <f>+(Tabla4[[#This Row],[Precio Descontado]]-Tabla4[[#This Row],[Precio Base]])*Tabla4[[#This Row],[Cantidad]]</f>
        <v>#N/A</v>
      </c>
      <c r="O7297" s="284" t="e">
        <f>++Tabla4[[#This Row],[Utilidad Total]]/Tabla4[[#This Row],[Total]]</f>
        <v>#N/A</v>
      </c>
      <c r="P7297" s="282">
        <f>++Tabla4[[#This Row],[Precio Descontado]]*Tabla4[[#This Row],[Cantidad]]</f>
        <v>12731.700477599999</v>
      </c>
      <c r="Q7297" s="282" t="e">
        <f>(INDEX(Tabla6[#All],MATCH(Tabla4[[#This Row],[Producto]],Tabla6[[#All],[PRODUCTO]],0),MATCH(Tabla4[[#This Row],[Mes]],Tabla6[#Headers],0)))</f>
        <v>#N/A</v>
      </c>
      <c r="R7297" s="282" t="e">
        <f>++Tabla4[[#This Row],[Precio Unitario Neto]]-Tabla4[[#This Row],[20.85%]]-Tabla4[[#This Row],[Costo]]</f>
        <v>#N/A</v>
      </c>
      <c r="S7297" s="282" t="e">
        <f>++Tabla4[[#This Row],[U. Bruta Uni]]*Tabla4[[#This Row],[Cantidad]]</f>
        <v>#N/A</v>
      </c>
      <c r="T7297" s="369" t="str">
        <f>VLOOKUP(Tabla4[[#This Row],[Producto]],Tabla6[#All],14,FALSE)</f>
        <v>Termico Solar</v>
      </c>
      <c r="U7297" s="284" t="e">
        <f>(IF(Tabla4[[#This Row],[Familia]]="termico solar",Tabla4[[#This Row],[Utilidad Total]]*6%,Tabla4[[#This Row],[Utilidad Total]]*11.5%))/Tabla4[[#This Row],[Total]]</f>
        <v>#N/A</v>
      </c>
      <c r="V7297" s="282" t="e">
        <f>+Tabla4[[#This Row],[Comisión Calculada]]*Tabla4[[#This Row],[Total]]</f>
        <v>#N/A</v>
      </c>
    </row>
    <row r="7298" spans="1:22" x14ac:dyDescent="0.25">
      <c r="A7298" s="100">
        <v>46006</v>
      </c>
      <c r="B7298" t="str">
        <f t="shared" si="616"/>
        <v>December</v>
      </c>
      <c r="C7298" s="46" t="s">
        <v>280</v>
      </c>
      <c r="F7298" s="366" t="s">
        <v>3676</v>
      </c>
      <c r="G7298" s="46" t="s">
        <v>16</v>
      </c>
      <c r="H7298" s="46">
        <v>2</v>
      </c>
      <c r="I7298" s="51">
        <v>4103.8500000000004</v>
      </c>
      <c r="J7298" s="281">
        <f>++Tabla4[[#This Row],[Precio Bruto]]*1.16</f>
        <v>4760.4660000000003</v>
      </c>
      <c r="K7298" s="281">
        <f>+Tabla4[[#This Row],[Precio Unitario Neto]]*Tabla4[[#Headers],[20.85%]]</f>
        <v>992.55716100000006</v>
      </c>
      <c r="L7298" s="282">
        <f>++Tabla4[[#This Row],[Precio Unitario Neto]]-Tabla4[[#This Row],[20.85%]]</f>
        <v>3767.9088390000002</v>
      </c>
      <c r="M7298" s="282" t="e">
        <f>(INDEX(Tabla6[#All],MATCH(Tabla4[[#This Row],[Producto]],Tabla6[[#All],[PRODUCTO]],0),MATCH(Tabla4[[#This Row],[Mes]],Tabla6[#Headers],0)))*(1+Catalogos!$L$2)</f>
        <v>#N/A</v>
      </c>
      <c r="N7298" s="283" t="e">
        <f>+(Tabla4[[#This Row],[Precio Descontado]]-Tabla4[[#This Row],[Precio Base]])*Tabla4[[#This Row],[Cantidad]]</f>
        <v>#N/A</v>
      </c>
      <c r="O7298" s="284" t="e">
        <f>++Tabla4[[#This Row],[Utilidad Total]]/Tabla4[[#This Row],[Total]]</f>
        <v>#N/A</v>
      </c>
      <c r="P7298" s="282">
        <f>++Tabla4[[#This Row],[Precio Descontado]]*Tabla4[[#This Row],[Cantidad]]</f>
        <v>7535.8176780000003</v>
      </c>
      <c r="Q7298" s="282" t="e">
        <f>(INDEX(Tabla6[#All],MATCH(Tabla4[[#This Row],[Producto]],Tabla6[[#All],[PRODUCTO]],0),MATCH(Tabla4[[#This Row],[Mes]],Tabla6[#Headers],0)))</f>
        <v>#N/A</v>
      </c>
      <c r="R7298" s="282" t="e">
        <f>++Tabla4[[#This Row],[Precio Unitario Neto]]-Tabla4[[#This Row],[20.85%]]-Tabla4[[#This Row],[Costo]]</f>
        <v>#N/A</v>
      </c>
      <c r="S7298" s="282" t="e">
        <f>++Tabla4[[#This Row],[U. Bruta Uni]]*Tabla4[[#This Row],[Cantidad]]</f>
        <v>#N/A</v>
      </c>
      <c r="T7298" s="369" t="str">
        <f>VLOOKUP(Tabla4[[#This Row],[Producto]],Tabla6[#All],14,FALSE)</f>
        <v>Termico Solar</v>
      </c>
      <c r="U7298" s="284" t="e">
        <f>(IF(Tabla4[[#This Row],[Familia]]="termico solar",Tabla4[[#This Row],[Utilidad Total]]*6%,Tabla4[[#This Row],[Utilidad Total]]*11.5%))/Tabla4[[#This Row],[Total]]</f>
        <v>#N/A</v>
      </c>
      <c r="V7298" s="282" t="e">
        <f>+Tabla4[[#This Row],[Comisión Calculada]]*Tabla4[[#This Row],[Total]]</f>
        <v>#N/A</v>
      </c>
    </row>
    <row r="7299" spans="1:22" x14ac:dyDescent="0.25">
      <c r="A7299" s="100">
        <v>46006</v>
      </c>
      <c r="B7299" t="str">
        <f>TEXT(A7299, "mmmm")</f>
        <v>December</v>
      </c>
      <c r="C7299" s="46" t="s">
        <v>280</v>
      </c>
      <c r="F7299" s="366" t="s">
        <v>3677</v>
      </c>
      <c r="G7299" s="46" t="s">
        <v>18</v>
      </c>
      <c r="H7299" s="46">
        <v>1</v>
      </c>
      <c r="I7299" s="51">
        <v>5367.65</v>
      </c>
      <c r="J7299" s="281">
        <f>++Tabla4[[#This Row],[Precio Bruto]]*1.16</f>
        <v>6226.4739999999993</v>
      </c>
      <c r="K7299" s="281">
        <f>+Tabla4[[#This Row],[Precio Unitario Neto]]*Tabla4[[#Headers],[20.85%]]</f>
        <v>1298.2198289999999</v>
      </c>
      <c r="L7299" s="282">
        <f>++Tabla4[[#This Row],[Precio Unitario Neto]]-Tabla4[[#This Row],[20.85%]]</f>
        <v>4928.2541709999996</v>
      </c>
      <c r="M7299" s="282" t="e">
        <f>(INDEX(Tabla6[#All],MATCH(Tabla4[[#This Row],[Producto]],Tabla6[[#All],[PRODUCTO]],0),MATCH(Tabla4[[#This Row],[Mes]],Tabla6[#Headers],0)))*(1+Catalogos!$L$2)</f>
        <v>#N/A</v>
      </c>
      <c r="N7299" s="283" t="e">
        <f>+(Tabla4[[#This Row],[Precio Descontado]]-Tabla4[[#This Row],[Precio Base]])*Tabla4[[#This Row],[Cantidad]]</f>
        <v>#N/A</v>
      </c>
      <c r="O7299" s="284" t="e">
        <f>++Tabla4[[#This Row],[Utilidad Total]]/Tabla4[[#This Row],[Total]]</f>
        <v>#N/A</v>
      </c>
      <c r="P7299" s="282">
        <f>++Tabla4[[#This Row],[Precio Descontado]]*Tabla4[[#This Row],[Cantidad]]</f>
        <v>4928.2541709999996</v>
      </c>
      <c r="Q7299" s="282" t="e">
        <f>(INDEX(Tabla6[#All],MATCH(Tabla4[[#This Row],[Producto]],Tabla6[[#All],[PRODUCTO]],0),MATCH(Tabla4[[#This Row],[Mes]],Tabla6[#Headers],0)))</f>
        <v>#N/A</v>
      </c>
      <c r="R7299" s="282" t="e">
        <f>++Tabla4[[#This Row],[Precio Unitario Neto]]-Tabla4[[#This Row],[20.85%]]-Tabla4[[#This Row],[Costo]]</f>
        <v>#N/A</v>
      </c>
      <c r="S7299" s="282" t="e">
        <f>++Tabla4[[#This Row],[U. Bruta Uni]]*Tabla4[[#This Row],[Cantidad]]</f>
        <v>#N/A</v>
      </c>
      <c r="T7299" s="369" t="str">
        <f>VLOOKUP(Tabla4[[#This Row],[Producto]],Tabla6[#All],14,FALSE)</f>
        <v>Termico Solar</v>
      </c>
      <c r="U7299" s="284" t="e">
        <f>(IF(Tabla4[[#This Row],[Familia]]="termico solar",Tabla4[[#This Row],[Utilidad Total]]*6%,Tabla4[[#This Row],[Utilidad Total]]*11.5%))/Tabla4[[#This Row],[Total]]</f>
        <v>#N/A</v>
      </c>
      <c r="V7299" s="282" t="e">
        <f>+Tabla4[[#This Row],[Comisión Calculada]]*Tabla4[[#This Row],[Total]]</f>
        <v>#N/A</v>
      </c>
    </row>
    <row r="7300" spans="1:22" x14ac:dyDescent="0.25">
      <c r="A7300" s="100">
        <v>46006</v>
      </c>
      <c r="B7300" t="str">
        <f t="shared" ref="B7300:B7301" si="617">TEXT(A7300, "mmmm")</f>
        <v>December</v>
      </c>
      <c r="C7300" s="46" t="s">
        <v>280</v>
      </c>
      <c r="F7300" s="366" t="s">
        <v>3678</v>
      </c>
      <c r="G7300" s="46" t="s">
        <v>83</v>
      </c>
      <c r="H7300" s="46">
        <v>3</v>
      </c>
      <c r="I7300" s="51">
        <v>8858.76</v>
      </c>
      <c r="J7300" s="281">
        <f>++Tabla4[[#This Row],[Precio Bruto]]*1.16</f>
        <v>10276.161599999999</v>
      </c>
      <c r="K7300" s="281">
        <f>+Tabla4[[#This Row],[Precio Unitario Neto]]*Tabla4[[#Headers],[20.85%]]</f>
        <v>2142.5796935999997</v>
      </c>
      <c r="L7300" s="282">
        <f>++Tabla4[[#This Row],[Precio Unitario Neto]]-Tabla4[[#This Row],[20.85%]]</f>
        <v>8133.5819063999998</v>
      </c>
      <c r="M7300" s="282" t="e">
        <f>(INDEX(Tabla6[#All],MATCH(Tabla4[[#This Row],[Producto]],Tabla6[[#All],[PRODUCTO]],0),MATCH(Tabla4[[#This Row],[Mes]],Tabla6[#Headers],0)))*(1+Catalogos!$L$2)</f>
        <v>#N/A</v>
      </c>
      <c r="N7300" s="283" t="e">
        <f>+(Tabla4[[#This Row],[Precio Descontado]]-Tabla4[[#This Row],[Precio Base]])*Tabla4[[#This Row],[Cantidad]]</f>
        <v>#N/A</v>
      </c>
      <c r="O7300" s="284" t="e">
        <f>++Tabla4[[#This Row],[Utilidad Total]]/Tabla4[[#This Row],[Total]]</f>
        <v>#N/A</v>
      </c>
      <c r="P7300" s="282">
        <f>++Tabla4[[#This Row],[Precio Descontado]]*Tabla4[[#This Row],[Cantidad]]</f>
        <v>24400.7457192</v>
      </c>
      <c r="Q7300" s="282" t="e">
        <f>(INDEX(Tabla6[#All],MATCH(Tabla4[[#This Row],[Producto]],Tabla6[[#All],[PRODUCTO]],0),MATCH(Tabla4[[#This Row],[Mes]],Tabla6[#Headers],0)))</f>
        <v>#N/A</v>
      </c>
      <c r="R7300" s="282" t="e">
        <f>++Tabla4[[#This Row],[Precio Unitario Neto]]-Tabla4[[#This Row],[20.85%]]-Tabla4[[#This Row],[Costo]]</f>
        <v>#N/A</v>
      </c>
      <c r="S7300" s="282" t="e">
        <f>++Tabla4[[#This Row],[U. Bruta Uni]]*Tabla4[[#This Row],[Cantidad]]</f>
        <v>#N/A</v>
      </c>
      <c r="T7300" s="369" t="str">
        <f>VLOOKUP(Tabla4[[#This Row],[Producto]],Tabla6[#All],14,FALSE)</f>
        <v>Termico Solar</v>
      </c>
      <c r="U7300" s="284" t="e">
        <f>(IF(Tabla4[[#This Row],[Familia]]="termico solar",Tabla4[[#This Row],[Utilidad Total]]*6%,Tabla4[[#This Row],[Utilidad Total]]*11.5%))/Tabla4[[#This Row],[Total]]</f>
        <v>#N/A</v>
      </c>
      <c r="V7300" s="282" t="e">
        <f>+Tabla4[[#This Row],[Comisión Calculada]]*Tabla4[[#This Row],[Total]]</f>
        <v>#N/A</v>
      </c>
    </row>
    <row r="7301" spans="1:22" x14ac:dyDescent="0.25">
      <c r="A7301" s="100">
        <v>46006</v>
      </c>
      <c r="B7301" t="str">
        <f t="shared" si="617"/>
        <v>December</v>
      </c>
      <c r="C7301" s="46" t="s">
        <v>280</v>
      </c>
      <c r="F7301" s="366" t="s">
        <v>3678</v>
      </c>
      <c r="G7301" s="46" t="s">
        <v>208</v>
      </c>
      <c r="H7301" s="46">
        <v>9</v>
      </c>
      <c r="I7301" s="51">
        <v>189.75</v>
      </c>
      <c r="J7301" s="281">
        <f>++Tabla4[[#This Row],[Precio Bruto]]*1.16</f>
        <v>220.10999999999999</v>
      </c>
      <c r="K7301" s="281">
        <f>+Tabla4[[#This Row],[Precio Unitario Neto]]*Tabla4[[#Headers],[20.85%]]</f>
        <v>45.892934999999994</v>
      </c>
      <c r="L7301" s="282">
        <f>++Tabla4[[#This Row],[Precio Unitario Neto]]-Tabla4[[#This Row],[20.85%]]</f>
        <v>174.21706499999999</v>
      </c>
      <c r="M7301" s="282" t="e">
        <f>(INDEX(Tabla6[#All],MATCH(Tabla4[[#This Row],[Producto]],Tabla6[[#All],[PRODUCTO]],0),MATCH(Tabla4[[#This Row],[Mes]],Tabla6[#Headers],0)))*(1+Catalogos!$L$2)</f>
        <v>#N/A</v>
      </c>
      <c r="N7301" s="283" t="e">
        <f>+(Tabla4[[#This Row],[Precio Descontado]]-Tabla4[[#This Row],[Precio Base]])*Tabla4[[#This Row],[Cantidad]]</f>
        <v>#N/A</v>
      </c>
      <c r="O7301" s="284" t="e">
        <f>++Tabla4[[#This Row],[Utilidad Total]]/Tabla4[[#This Row],[Total]]</f>
        <v>#N/A</v>
      </c>
      <c r="P7301" s="282">
        <f>++Tabla4[[#This Row],[Precio Descontado]]*Tabla4[[#This Row],[Cantidad]]</f>
        <v>1567.953585</v>
      </c>
      <c r="Q7301" s="282" t="e">
        <f>(INDEX(Tabla6[#All],MATCH(Tabla4[[#This Row],[Producto]],Tabla6[[#All],[PRODUCTO]],0),MATCH(Tabla4[[#This Row],[Mes]],Tabla6[#Headers],0)))</f>
        <v>#N/A</v>
      </c>
      <c r="R7301" s="282" t="e">
        <f>++Tabla4[[#This Row],[Precio Unitario Neto]]-Tabla4[[#This Row],[20.85%]]-Tabla4[[#This Row],[Costo]]</f>
        <v>#N/A</v>
      </c>
      <c r="S7301" s="282" t="e">
        <f>++Tabla4[[#This Row],[U. Bruta Uni]]*Tabla4[[#This Row],[Cantidad]]</f>
        <v>#N/A</v>
      </c>
      <c r="T7301" s="369" t="str">
        <f>VLOOKUP(Tabla4[[#This Row],[Producto]],Tabla6[#All],14,FALSE)</f>
        <v>Termico Solar</v>
      </c>
      <c r="U7301" s="284" t="e">
        <f>(IF(Tabla4[[#This Row],[Familia]]="termico solar",Tabla4[[#This Row],[Utilidad Total]]*6%,Tabla4[[#This Row],[Utilidad Total]]*11.5%))/Tabla4[[#This Row],[Total]]</f>
        <v>#N/A</v>
      </c>
      <c r="V7301" s="282" t="e">
        <f>+Tabla4[[#This Row],[Comisión Calculada]]*Tabla4[[#This Row],[Total]]</f>
        <v>#N/A</v>
      </c>
    </row>
    <row r="7302" spans="1:22" x14ac:dyDescent="0.25">
      <c r="A7302" s="100">
        <v>46006</v>
      </c>
      <c r="B7302" t="str">
        <f t="shared" ref="B7302:B7303" si="618">TEXT(A7302, "mmmm")</f>
        <v>December</v>
      </c>
      <c r="C7302" s="46" t="s">
        <v>280</v>
      </c>
      <c r="F7302" s="366" t="s">
        <v>3679</v>
      </c>
      <c r="G7302" s="46" t="s">
        <v>17</v>
      </c>
      <c r="H7302" s="46">
        <v>2</v>
      </c>
      <c r="I7302" s="51">
        <v>4622.28</v>
      </c>
      <c r="J7302" s="281">
        <f>++Tabla4[[#This Row],[Precio Bruto]]*1.16</f>
        <v>5361.8447999999989</v>
      </c>
      <c r="K7302" s="281">
        <f>+Tabla4[[#This Row],[Precio Unitario Neto]]*Tabla4[[#Headers],[20.85%]]</f>
        <v>1117.9446407999997</v>
      </c>
      <c r="L7302" s="282">
        <f>++Tabla4[[#This Row],[Precio Unitario Neto]]-Tabla4[[#This Row],[20.85%]]</f>
        <v>4243.9001591999995</v>
      </c>
      <c r="M7302" s="282" t="e">
        <f>(INDEX(Tabla6[#All],MATCH(Tabla4[[#This Row],[Producto]],Tabla6[[#All],[PRODUCTO]],0),MATCH(Tabla4[[#This Row],[Mes]],Tabla6[#Headers],0)))*(1+Catalogos!$L$2)</f>
        <v>#N/A</v>
      </c>
      <c r="N7302" s="283" t="e">
        <f>+(Tabla4[[#This Row],[Precio Descontado]]-Tabla4[[#This Row],[Precio Base]])*Tabla4[[#This Row],[Cantidad]]</f>
        <v>#N/A</v>
      </c>
      <c r="O7302" s="284" t="e">
        <f>++Tabla4[[#This Row],[Utilidad Total]]/Tabla4[[#This Row],[Total]]</f>
        <v>#N/A</v>
      </c>
      <c r="P7302" s="282">
        <f>++Tabla4[[#This Row],[Precio Descontado]]*Tabla4[[#This Row],[Cantidad]]</f>
        <v>8487.800318399999</v>
      </c>
      <c r="Q7302" s="282" t="e">
        <f>(INDEX(Tabla6[#All],MATCH(Tabla4[[#This Row],[Producto]],Tabla6[[#All],[PRODUCTO]],0),MATCH(Tabla4[[#This Row],[Mes]],Tabla6[#Headers],0)))</f>
        <v>#N/A</v>
      </c>
      <c r="R7302" s="282" t="e">
        <f>++Tabla4[[#This Row],[Precio Unitario Neto]]-Tabla4[[#This Row],[20.85%]]-Tabla4[[#This Row],[Costo]]</f>
        <v>#N/A</v>
      </c>
      <c r="S7302" s="282" t="e">
        <f>++Tabla4[[#This Row],[U. Bruta Uni]]*Tabla4[[#This Row],[Cantidad]]</f>
        <v>#N/A</v>
      </c>
      <c r="T7302" s="369" t="str">
        <f>VLOOKUP(Tabla4[[#This Row],[Producto]],Tabla6[#All],14,FALSE)</f>
        <v>Termico Solar</v>
      </c>
      <c r="U7302" s="284" t="e">
        <f>(IF(Tabla4[[#This Row],[Familia]]="termico solar",Tabla4[[#This Row],[Utilidad Total]]*6%,Tabla4[[#This Row],[Utilidad Total]]*11.5%))/Tabla4[[#This Row],[Total]]</f>
        <v>#N/A</v>
      </c>
      <c r="V7302" s="282" t="e">
        <f>+Tabla4[[#This Row],[Comisión Calculada]]*Tabla4[[#This Row],[Total]]</f>
        <v>#N/A</v>
      </c>
    </row>
    <row r="7303" spans="1:22" x14ac:dyDescent="0.25">
      <c r="A7303" s="100">
        <v>46006</v>
      </c>
      <c r="B7303" t="str">
        <f t="shared" si="618"/>
        <v>December</v>
      </c>
      <c r="C7303" s="46" t="s">
        <v>280</v>
      </c>
      <c r="F7303" s="366" t="s">
        <v>3679</v>
      </c>
      <c r="G7303" s="46" t="s">
        <v>83</v>
      </c>
      <c r="H7303" s="46">
        <v>3</v>
      </c>
      <c r="I7303" s="51">
        <v>8858.76</v>
      </c>
      <c r="J7303" s="281">
        <f>++Tabla4[[#This Row],[Precio Bruto]]*1.16</f>
        <v>10276.161599999999</v>
      </c>
      <c r="K7303" s="281">
        <f>+Tabla4[[#This Row],[Precio Unitario Neto]]*Tabla4[[#Headers],[20.85%]]</f>
        <v>2142.5796935999997</v>
      </c>
      <c r="L7303" s="282">
        <f>++Tabla4[[#This Row],[Precio Unitario Neto]]-Tabla4[[#This Row],[20.85%]]</f>
        <v>8133.5819063999998</v>
      </c>
      <c r="M7303" s="282" t="e">
        <f>(INDEX(Tabla6[#All],MATCH(Tabla4[[#This Row],[Producto]],Tabla6[[#All],[PRODUCTO]],0),MATCH(Tabla4[[#This Row],[Mes]],Tabla6[#Headers],0)))*(1+Catalogos!$L$2)</f>
        <v>#N/A</v>
      </c>
      <c r="N7303" s="283" t="e">
        <f>+(Tabla4[[#This Row],[Precio Descontado]]-Tabla4[[#This Row],[Precio Base]])*Tabla4[[#This Row],[Cantidad]]</f>
        <v>#N/A</v>
      </c>
      <c r="O7303" s="284" t="e">
        <f>++Tabla4[[#This Row],[Utilidad Total]]/Tabla4[[#This Row],[Total]]</f>
        <v>#N/A</v>
      </c>
      <c r="P7303" s="282">
        <f>++Tabla4[[#This Row],[Precio Descontado]]*Tabla4[[#This Row],[Cantidad]]</f>
        <v>24400.7457192</v>
      </c>
      <c r="Q7303" s="282" t="e">
        <f>(INDEX(Tabla6[#All],MATCH(Tabla4[[#This Row],[Producto]],Tabla6[[#All],[PRODUCTO]],0),MATCH(Tabla4[[#This Row],[Mes]],Tabla6[#Headers],0)))</f>
        <v>#N/A</v>
      </c>
      <c r="R7303" s="282" t="e">
        <f>++Tabla4[[#This Row],[Precio Unitario Neto]]-Tabla4[[#This Row],[20.85%]]-Tabla4[[#This Row],[Costo]]</f>
        <v>#N/A</v>
      </c>
      <c r="S7303" s="282" t="e">
        <f>++Tabla4[[#This Row],[U. Bruta Uni]]*Tabla4[[#This Row],[Cantidad]]</f>
        <v>#N/A</v>
      </c>
      <c r="T7303" s="369" t="str">
        <f>VLOOKUP(Tabla4[[#This Row],[Producto]],Tabla6[#All],14,FALSE)</f>
        <v>Termico Solar</v>
      </c>
      <c r="U7303" s="284" t="e">
        <f>(IF(Tabla4[[#This Row],[Familia]]="termico solar",Tabla4[[#This Row],[Utilidad Total]]*6%,Tabla4[[#This Row],[Utilidad Total]]*11.5%))/Tabla4[[#This Row],[Total]]</f>
        <v>#N/A</v>
      </c>
      <c r="V7303" s="282" t="e">
        <f>+Tabla4[[#This Row],[Comisión Calculada]]*Tabla4[[#This Row],[Total]]</f>
        <v>#N/A</v>
      </c>
    </row>
    <row r="7304" spans="1:22" x14ac:dyDescent="0.25">
      <c r="A7304" s="100">
        <v>46006</v>
      </c>
      <c r="B7304" t="str">
        <f t="shared" ref="B7304:B7307" si="619">TEXT(A7304, "mmmm")</f>
        <v>December</v>
      </c>
      <c r="C7304" s="46" t="s">
        <v>280</v>
      </c>
      <c r="F7304" s="366" t="s">
        <v>3680</v>
      </c>
      <c r="G7304" s="46" t="s">
        <v>17</v>
      </c>
      <c r="H7304" s="46">
        <v>6</v>
      </c>
      <c r="I7304" s="51">
        <v>4622.28</v>
      </c>
      <c r="J7304" s="281">
        <f>++Tabla4[[#This Row],[Precio Bruto]]*1.16</f>
        <v>5361.8447999999989</v>
      </c>
      <c r="K7304" s="281">
        <f>+Tabla4[[#This Row],[Precio Unitario Neto]]*Tabla4[[#Headers],[20.85%]]</f>
        <v>1117.9446407999997</v>
      </c>
      <c r="L7304" s="282">
        <f>++Tabla4[[#This Row],[Precio Unitario Neto]]-Tabla4[[#This Row],[20.85%]]</f>
        <v>4243.9001591999995</v>
      </c>
      <c r="M7304" s="282" t="e">
        <f>(INDEX(Tabla6[#All],MATCH(Tabla4[[#This Row],[Producto]],Tabla6[[#All],[PRODUCTO]],0),MATCH(Tabla4[[#This Row],[Mes]],Tabla6[#Headers],0)))*(1+Catalogos!$L$2)</f>
        <v>#N/A</v>
      </c>
      <c r="N7304" s="283" t="e">
        <f>+(Tabla4[[#This Row],[Precio Descontado]]-Tabla4[[#This Row],[Precio Base]])*Tabla4[[#This Row],[Cantidad]]</f>
        <v>#N/A</v>
      </c>
      <c r="O7304" s="284" t="e">
        <f>++Tabla4[[#This Row],[Utilidad Total]]/Tabla4[[#This Row],[Total]]</f>
        <v>#N/A</v>
      </c>
      <c r="P7304" s="282">
        <f>++Tabla4[[#This Row],[Precio Descontado]]*Tabla4[[#This Row],[Cantidad]]</f>
        <v>25463.400955199999</v>
      </c>
      <c r="Q7304" s="282" t="e">
        <f>(INDEX(Tabla6[#All],MATCH(Tabla4[[#This Row],[Producto]],Tabla6[[#All],[PRODUCTO]],0),MATCH(Tabla4[[#This Row],[Mes]],Tabla6[#Headers],0)))</f>
        <v>#N/A</v>
      </c>
      <c r="R7304" s="282" t="e">
        <f>++Tabla4[[#This Row],[Precio Unitario Neto]]-Tabla4[[#This Row],[20.85%]]-Tabla4[[#This Row],[Costo]]</f>
        <v>#N/A</v>
      </c>
      <c r="S7304" s="282" t="e">
        <f>++Tabla4[[#This Row],[U. Bruta Uni]]*Tabla4[[#This Row],[Cantidad]]</f>
        <v>#N/A</v>
      </c>
      <c r="T7304" s="369" t="str">
        <f>VLOOKUP(Tabla4[[#This Row],[Producto]],Tabla6[#All],14,FALSE)</f>
        <v>Termico Solar</v>
      </c>
      <c r="U7304" s="284" t="e">
        <f>(IF(Tabla4[[#This Row],[Familia]]="termico solar",Tabla4[[#This Row],[Utilidad Total]]*6%,Tabla4[[#This Row],[Utilidad Total]]*11.5%))/Tabla4[[#This Row],[Total]]</f>
        <v>#N/A</v>
      </c>
      <c r="V7304" s="282" t="e">
        <f>+Tabla4[[#This Row],[Comisión Calculada]]*Tabla4[[#This Row],[Total]]</f>
        <v>#N/A</v>
      </c>
    </row>
    <row r="7305" spans="1:22" x14ac:dyDescent="0.25">
      <c r="A7305" s="100">
        <v>46006</v>
      </c>
      <c r="B7305" t="str">
        <f t="shared" si="619"/>
        <v>December</v>
      </c>
      <c r="C7305" s="46" t="s">
        <v>280</v>
      </c>
      <c r="F7305" s="366" t="s">
        <v>3680</v>
      </c>
      <c r="G7305" s="46" t="s">
        <v>18</v>
      </c>
      <c r="H7305" s="46">
        <v>1</v>
      </c>
      <c r="I7305" s="51">
        <v>5367.65</v>
      </c>
      <c r="J7305" s="281">
        <f>++Tabla4[[#This Row],[Precio Bruto]]*1.16</f>
        <v>6226.4739999999993</v>
      </c>
      <c r="K7305" s="281">
        <f>+Tabla4[[#This Row],[Precio Unitario Neto]]*Tabla4[[#Headers],[20.85%]]</f>
        <v>1298.2198289999999</v>
      </c>
      <c r="L7305" s="282">
        <f>++Tabla4[[#This Row],[Precio Unitario Neto]]-Tabla4[[#This Row],[20.85%]]</f>
        <v>4928.2541709999996</v>
      </c>
      <c r="M7305" s="282" t="e">
        <f>(INDEX(Tabla6[#All],MATCH(Tabla4[[#This Row],[Producto]],Tabla6[[#All],[PRODUCTO]],0),MATCH(Tabla4[[#This Row],[Mes]],Tabla6[#Headers],0)))*(1+Catalogos!$L$2)</f>
        <v>#N/A</v>
      </c>
      <c r="N7305" s="283" t="e">
        <f>+(Tabla4[[#This Row],[Precio Descontado]]-Tabla4[[#This Row],[Precio Base]])*Tabla4[[#This Row],[Cantidad]]</f>
        <v>#N/A</v>
      </c>
      <c r="O7305" s="284" t="e">
        <f>++Tabla4[[#This Row],[Utilidad Total]]/Tabla4[[#This Row],[Total]]</f>
        <v>#N/A</v>
      </c>
      <c r="P7305" s="282">
        <f>++Tabla4[[#This Row],[Precio Descontado]]*Tabla4[[#This Row],[Cantidad]]</f>
        <v>4928.2541709999996</v>
      </c>
      <c r="Q7305" s="282" t="e">
        <f>(INDEX(Tabla6[#All],MATCH(Tabla4[[#This Row],[Producto]],Tabla6[[#All],[PRODUCTO]],0),MATCH(Tabla4[[#This Row],[Mes]],Tabla6[#Headers],0)))</f>
        <v>#N/A</v>
      </c>
      <c r="R7305" s="282" t="e">
        <f>++Tabla4[[#This Row],[Precio Unitario Neto]]-Tabla4[[#This Row],[20.85%]]-Tabla4[[#This Row],[Costo]]</f>
        <v>#N/A</v>
      </c>
      <c r="S7305" s="282" t="e">
        <f>++Tabla4[[#This Row],[U. Bruta Uni]]*Tabla4[[#This Row],[Cantidad]]</f>
        <v>#N/A</v>
      </c>
      <c r="T7305" s="369" t="str">
        <f>VLOOKUP(Tabla4[[#This Row],[Producto]],Tabla6[#All],14,FALSE)</f>
        <v>Termico Solar</v>
      </c>
      <c r="U7305" s="284" t="e">
        <f>(IF(Tabla4[[#This Row],[Familia]]="termico solar",Tabla4[[#This Row],[Utilidad Total]]*6%,Tabla4[[#This Row],[Utilidad Total]]*11.5%))/Tabla4[[#This Row],[Total]]</f>
        <v>#N/A</v>
      </c>
      <c r="V7305" s="282" t="e">
        <f>+Tabla4[[#This Row],[Comisión Calculada]]*Tabla4[[#This Row],[Total]]</f>
        <v>#N/A</v>
      </c>
    </row>
    <row r="7306" spans="1:22" x14ac:dyDescent="0.25">
      <c r="A7306" s="100">
        <v>46006</v>
      </c>
      <c r="B7306" t="str">
        <f t="shared" si="619"/>
        <v>December</v>
      </c>
      <c r="C7306" s="46" t="s">
        <v>280</v>
      </c>
      <c r="F7306" s="366" t="s">
        <v>3680</v>
      </c>
      <c r="G7306" s="46" t="s">
        <v>412</v>
      </c>
      <c r="H7306" s="46">
        <v>1</v>
      </c>
      <c r="I7306" s="51">
        <v>3240.84</v>
      </c>
      <c r="J7306" s="281">
        <f>++Tabla4[[#This Row],[Precio Bruto]]*1.16</f>
        <v>3759.3743999999997</v>
      </c>
      <c r="K7306" s="281">
        <f>+Tabla4[[#This Row],[Precio Unitario Neto]]*Tabla4[[#Headers],[20.85%]]</f>
        <v>783.82956239999987</v>
      </c>
      <c r="L7306" s="282">
        <f>++Tabla4[[#This Row],[Precio Unitario Neto]]-Tabla4[[#This Row],[20.85%]]</f>
        <v>2975.5448375999999</v>
      </c>
      <c r="M7306" s="282" t="e">
        <f>(INDEX(Tabla6[#All],MATCH(Tabla4[[#This Row],[Producto]],Tabla6[[#All],[PRODUCTO]],0),MATCH(Tabla4[[#This Row],[Mes]],Tabla6[#Headers],0)))*(1+Catalogos!$L$2)</f>
        <v>#N/A</v>
      </c>
      <c r="N7306" s="283" t="e">
        <f>+(Tabla4[[#This Row],[Precio Descontado]]-Tabla4[[#This Row],[Precio Base]])*Tabla4[[#This Row],[Cantidad]]</f>
        <v>#N/A</v>
      </c>
      <c r="O7306" s="284" t="e">
        <f>++Tabla4[[#This Row],[Utilidad Total]]/Tabla4[[#This Row],[Total]]</f>
        <v>#N/A</v>
      </c>
      <c r="P7306" s="282">
        <f>++Tabla4[[#This Row],[Precio Descontado]]*Tabla4[[#This Row],[Cantidad]]</f>
        <v>2975.5448375999999</v>
      </c>
      <c r="Q7306" s="282" t="e">
        <f>(INDEX(Tabla6[#All],MATCH(Tabla4[[#This Row],[Producto]],Tabla6[[#All],[PRODUCTO]],0),MATCH(Tabla4[[#This Row],[Mes]],Tabla6[#Headers],0)))</f>
        <v>#N/A</v>
      </c>
      <c r="R7306" s="282" t="e">
        <f>++Tabla4[[#This Row],[Precio Unitario Neto]]-Tabla4[[#This Row],[20.85%]]-Tabla4[[#This Row],[Costo]]</f>
        <v>#N/A</v>
      </c>
      <c r="S7306" s="282" t="e">
        <f>++Tabla4[[#This Row],[U. Bruta Uni]]*Tabla4[[#This Row],[Cantidad]]</f>
        <v>#N/A</v>
      </c>
      <c r="T7306" s="369" t="str">
        <f>VLOOKUP(Tabla4[[#This Row],[Producto]],Tabla6[#All],14,FALSE)</f>
        <v>Termico Solar</v>
      </c>
      <c r="U7306" s="284" t="e">
        <f>(IF(Tabla4[[#This Row],[Familia]]="termico solar",Tabla4[[#This Row],[Utilidad Total]]*6%,Tabla4[[#This Row],[Utilidad Total]]*11.5%))/Tabla4[[#This Row],[Total]]</f>
        <v>#N/A</v>
      </c>
      <c r="V7306" s="282" t="e">
        <f>+Tabla4[[#This Row],[Comisión Calculada]]*Tabla4[[#This Row],[Total]]</f>
        <v>#N/A</v>
      </c>
    </row>
    <row r="7307" spans="1:22" x14ac:dyDescent="0.25">
      <c r="A7307" s="100">
        <v>46006</v>
      </c>
      <c r="B7307" t="str">
        <f t="shared" si="619"/>
        <v>December</v>
      </c>
      <c r="C7307" s="46" t="s">
        <v>280</v>
      </c>
      <c r="F7307" s="366" t="s">
        <v>3680</v>
      </c>
      <c r="G7307" s="46" t="s">
        <v>394</v>
      </c>
      <c r="H7307" s="46">
        <v>9</v>
      </c>
      <c r="I7307" s="51">
        <v>108.1</v>
      </c>
      <c r="J7307" s="281">
        <f>++Tabla4[[#This Row],[Precio Bruto]]*1.16</f>
        <v>125.39599999999999</v>
      </c>
      <c r="K7307" s="281">
        <f>+Tabla4[[#This Row],[Precio Unitario Neto]]*Tabla4[[#Headers],[20.85%]]</f>
        <v>26.145065999999996</v>
      </c>
      <c r="L7307" s="282">
        <f>++Tabla4[[#This Row],[Precio Unitario Neto]]-Tabla4[[#This Row],[20.85%]]</f>
        <v>99.250933999999987</v>
      </c>
      <c r="M7307" s="282" t="e">
        <f>(INDEX(Tabla6[#All],MATCH(Tabla4[[#This Row],[Producto]],Tabla6[[#All],[PRODUCTO]],0),MATCH(Tabla4[[#This Row],[Mes]],Tabla6[#Headers],0)))*(1+Catalogos!$L$2)</f>
        <v>#N/A</v>
      </c>
      <c r="N7307" s="283" t="e">
        <f>+(Tabla4[[#This Row],[Precio Descontado]]-Tabla4[[#This Row],[Precio Base]])*Tabla4[[#This Row],[Cantidad]]</f>
        <v>#N/A</v>
      </c>
      <c r="O7307" s="284" t="e">
        <f>++Tabla4[[#This Row],[Utilidad Total]]/Tabla4[[#This Row],[Total]]</f>
        <v>#N/A</v>
      </c>
      <c r="P7307" s="282">
        <f>++Tabla4[[#This Row],[Precio Descontado]]*Tabla4[[#This Row],[Cantidad]]</f>
        <v>893.25840599999992</v>
      </c>
      <c r="Q7307" s="282" t="e">
        <f>(INDEX(Tabla6[#All],MATCH(Tabla4[[#This Row],[Producto]],Tabla6[[#All],[PRODUCTO]],0),MATCH(Tabla4[[#This Row],[Mes]],Tabla6[#Headers],0)))</f>
        <v>#N/A</v>
      </c>
      <c r="R7307" s="282" t="e">
        <f>++Tabla4[[#This Row],[Precio Unitario Neto]]-Tabla4[[#This Row],[20.85%]]-Tabla4[[#This Row],[Costo]]</f>
        <v>#N/A</v>
      </c>
      <c r="S7307" s="282" t="e">
        <f>++Tabla4[[#This Row],[U. Bruta Uni]]*Tabla4[[#This Row],[Cantidad]]</f>
        <v>#N/A</v>
      </c>
      <c r="T7307" s="369" t="str">
        <f>VLOOKUP(Tabla4[[#This Row],[Producto]],Tabla6[#All],14,FALSE)</f>
        <v>Termico Solar</v>
      </c>
      <c r="U7307" s="284" t="e">
        <f>(IF(Tabla4[[#This Row],[Familia]]="termico solar",Tabla4[[#This Row],[Utilidad Total]]*6%,Tabla4[[#This Row],[Utilidad Total]]*11.5%))/Tabla4[[#This Row],[Total]]</f>
        <v>#N/A</v>
      </c>
      <c r="V7307" s="282" t="e">
        <f>+Tabla4[[#This Row],[Comisión Calculada]]*Tabla4[[#This Row],[Total]]</f>
        <v>#N/A</v>
      </c>
    </row>
    <row r="7308" spans="1:22" x14ac:dyDescent="0.25">
      <c r="A7308" s="100">
        <v>46006</v>
      </c>
      <c r="B7308" t="str">
        <f>TEXT(A7308, "mmmm")</f>
        <v>December</v>
      </c>
      <c r="C7308" s="46" t="s">
        <v>280</v>
      </c>
      <c r="F7308" s="366" t="s">
        <v>3681</v>
      </c>
      <c r="G7308" s="46" t="s">
        <v>83</v>
      </c>
      <c r="H7308" s="46">
        <v>1</v>
      </c>
      <c r="I7308" s="51">
        <v>8858.76</v>
      </c>
      <c r="J7308" s="281">
        <f>++Tabla4[[#This Row],[Precio Bruto]]*1.16</f>
        <v>10276.161599999999</v>
      </c>
      <c r="K7308" s="281">
        <f>+Tabla4[[#This Row],[Precio Unitario Neto]]*Tabla4[[#Headers],[20.85%]]</f>
        <v>2142.5796935999997</v>
      </c>
      <c r="L7308" s="282">
        <f>++Tabla4[[#This Row],[Precio Unitario Neto]]-Tabla4[[#This Row],[20.85%]]</f>
        <v>8133.5819063999998</v>
      </c>
      <c r="M7308" s="282" t="e">
        <f>(INDEX(Tabla6[#All],MATCH(Tabla4[[#This Row],[Producto]],Tabla6[[#All],[PRODUCTO]],0),MATCH(Tabla4[[#This Row],[Mes]],Tabla6[#Headers],0)))*(1+Catalogos!$L$2)</f>
        <v>#N/A</v>
      </c>
      <c r="N7308" s="283" t="e">
        <f>+(Tabla4[[#This Row],[Precio Descontado]]-Tabla4[[#This Row],[Precio Base]])*Tabla4[[#This Row],[Cantidad]]</f>
        <v>#N/A</v>
      </c>
      <c r="O7308" s="284" t="e">
        <f>++Tabla4[[#This Row],[Utilidad Total]]/Tabla4[[#This Row],[Total]]</f>
        <v>#N/A</v>
      </c>
      <c r="P7308" s="282">
        <f>++Tabla4[[#This Row],[Precio Descontado]]*Tabla4[[#This Row],[Cantidad]]</f>
        <v>8133.5819063999998</v>
      </c>
      <c r="Q7308" s="282" t="e">
        <f>(INDEX(Tabla6[#All],MATCH(Tabla4[[#This Row],[Producto]],Tabla6[[#All],[PRODUCTO]],0),MATCH(Tabla4[[#This Row],[Mes]],Tabla6[#Headers],0)))</f>
        <v>#N/A</v>
      </c>
      <c r="R7308" s="282" t="e">
        <f>++Tabla4[[#This Row],[Precio Unitario Neto]]-Tabla4[[#This Row],[20.85%]]-Tabla4[[#This Row],[Costo]]</f>
        <v>#N/A</v>
      </c>
      <c r="S7308" s="282" t="e">
        <f>++Tabla4[[#This Row],[U. Bruta Uni]]*Tabla4[[#This Row],[Cantidad]]</f>
        <v>#N/A</v>
      </c>
      <c r="T7308" s="369" t="str">
        <f>VLOOKUP(Tabla4[[#This Row],[Producto]],Tabla6[#All],14,FALSE)</f>
        <v>Termico Solar</v>
      </c>
      <c r="U7308" s="284" t="e">
        <f>(IF(Tabla4[[#This Row],[Familia]]="termico solar",Tabla4[[#This Row],[Utilidad Total]]*6%,Tabla4[[#This Row],[Utilidad Total]]*11.5%))/Tabla4[[#This Row],[Total]]</f>
        <v>#N/A</v>
      </c>
      <c r="V7308" s="282" t="e">
        <f>+Tabla4[[#This Row],[Comisión Calculada]]*Tabla4[[#This Row],[Total]]</f>
        <v>#N/A</v>
      </c>
    </row>
    <row r="7309" spans="1:22" x14ac:dyDescent="0.25">
      <c r="A7309" s="100">
        <v>46006</v>
      </c>
      <c r="B7309" t="str">
        <f t="shared" ref="B7309:B7310" si="620">TEXT(A7309, "mmmm")</f>
        <v>December</v>
      </c>
      <c r="C7309" s="46" t="s">
        <v>280</v>
      </c>
      <c r="F7309" s="366" t="s">
        <v>3682</v>
      </c>
      <c r="G7309" s="46" t="s">
        <v>83</v>
      </c>
      <c r="H7309" s="46">
        <v>2</v>
      </c>
      <c r="I7309" s="51">
        <v>8858.76</v>
      </c>
      <c r="J7309" s="281">
        <f>++Tabla4[[#This Row],[Precio Bruto]]*1.16</f>
        <v>10276.161599999999</v>
      </c>
      <c r="K7309" s="281">
        <f>+Tabla4[[#This Row],[Precio Unitario Neto]]*Tabla4[[#Headers],[20.85%]]</f>
        <v>2142.5796935999997</v>
      </c>
      <c r="L7309" s="282">
        <f>++Tabla4[[#This Row],[Precio Unitario Neto]]-Tabla4[[#This Row],[20.85%]]</f>
        <v>8133.5819063999998</v>
      </c>
      <c r="M7309" s="282" t="e">
        <f>(INDEX(Tabla6[#All],MATCH(Tabla4[[#This Row],[Producto]],Tabla6[[#All],[PRODUCTO]],0),MATCH(Tabla4[[#This Row],[Mes]],Tabla6[#Headers],0)))*(1+Catalogos!$L$2)</f>
        <v>#N/A</v>
      </c>
      <c r="N7309" s="283" t="e">
        <f>+(Tabla4[[#This Row],[Precio Descontado]]-Tabla4[[#This Row],[Precio Base]])*Tabla4[[#This Row],[Cantidad]]</f>
        <v>#N/A</v>
      </c>
      <c r="O7309" s="284" t="e">
        <f>++Tabla4[[#This Row],[Utilidad Total]]/Tabla4[[#This Row],[Total]]</f>
        <v>#N/A</v>
      </c>
      <c r="P7309" s="282">
        <f>++Tabla4[[#This Row],[Precio Descontado]]*Tabla4[[#This Row],[Cantidad]]</f>
        <v>16267.1638128</v>
      </c>
      <c r="Q7309" s="282" t="e">
        <f>(INDEX(Tabla6[#All],MATCH(Tabla4[[#This Row],[Producto]],Tabla6[[#All],[PRODUCTO]],0),MATCH(Tabla4[[#This Row],[Mes]],Tabla6[#Headers],0)))</f>
        <v>#N/A</v>
      </c>
      <c r="R7309" s="282" t="e">
        <f>++Tabla4[[#This Row],[Precio Unitario Neto]]-Tabla4[[#This Row],[20.85%]]-Tabla4[[#This Row],[Costo]]</f>
        <v>#N/A</v>
      </c>
      <c r="S7309" s="282" t="e">
        <f>++Tabla4[[#This Row],[U. Bruta Uni]]*Tabla4[[#This Row],[Cantidad]]</f>
        <v>#N/A</v>
      </c>
      <c r="T7309" s="369" t="str">
        <f>VLOOKUP(Tabla4[[#This Row],[Producto]],Tabla6[#All],14,FALSE)</f>
        <v>Termico Solar</v>
      </c>
      <c r="U7309" s="284" t="e">
        <f>(IF(Tabla4[[#This Row],[Familia]]="termico solar",Tabla4[[#This Row],[Utilidad Total]]*6%,Tabla4[[#This Row],[Utilidad Total]]*11.5%))/Tabla4[[#This Row],[Total]]</f>
        <v>#N/A</v>
      </c>
      <c r="V7309" s="282" t="e">
        <f>+Tabla4[[#This Row],[Comisión Calculada]]*Tabla4[[#This Row],[Total]]</f>
        <v>#N/A</v>
      </c>
    </row>
    <row r="7310" spans="1:22" x14ac:dyDescent="0.25">
      <c r="A7310" s="100">
        <v>46006</v>
      </c>
      <c r="B7310" t="str">
        <f t="shared" si="620"/>
        <v>December</v>
      </c>
      <c r="C7310" s="46" t="s">
        <v>280</v>
      </c>
      <c r="F7310" s="366" t="s">
        <v>3682</v>
      </c>
      <c r="G7310" s="46" t="s">
        <v>17</v>
      </c>
      <c r="H7310" s="46">
        <v>1</v>
      </c>
      <c r="I7310" s="51">
        <v>4622.28</v>
      </c>
      <c r="J7310" s="281">
        <f>++Tabla4[[#This Row],[Precio Bruto]]*1.16</f>
        <v>5361.8447999999989</v>
      </c>
      <c r="K7310" s="281">
        <f>+Tabla4[[#This Row],[Precio Unitario Neto]]*Tabla4[[#Headers],[20.85%]]</f>
        <v>1117.9446407999997</v>
      </c>
      <c r="L7310" s="282">
        <f>++Tabla4[[#This Row],[Precio Unitario Neto]]-Tabla4[[#This Row],[20.85%]]</f>
        <v>4243.9001591999995</v>
      </c>
      <c r="M7310" s="282" t="e">
        <f>(INDEX(Tabla6[#All],MATCH(Tabla4[[#This Row],[Producto]],Tabla6[[#All],[PRODUCTO]],0),MATCH(Tabla4[[#This Row],[Mes]],Tabla6[#Headers],0)))*(1+Catalogos!$L$2)</f>
        <v>#N/A</v>
      </c>
      <c r="N7310" s="283" t="e">
        <f>+(Tabla4[[#This Row],[Precio Descontado]]-Tabla4[[#This Row],[Precio Base]])*Tabla4[[#This Row],[Cantidad]]</f>
        <v>#N/A</v>
      </c>
      <c r="O7310" s="284" t="e">
        <f>++Tabla4[[#This Row],[Utilidad Total]]/Tabla4[[#This Row],[Total]]</f>
        <v>#N/A</v>
      </c>
      <c r="P7310" s="282">
        <f>++Tabla4[[#This Row],[Precio Descontado]]*Tabla4[[#This Row],[Cantidad]]</f>
        <v>4243.9001591999995</v>
      </c>
      <c r="Q7310" s="282" t="e">
        <f>(INDEX(Tabla6[#All],MATCH(Tabla4[[#This Row],[Producto]],Tabla6[[#All],[PRODUCTO]],0),MATCH(Tabla4[[#This Row],[Mes]],Tabla6[#Headers],0)))</f>
        <v>#N/A</v>
      </c>
      <c r="R7310" s="282" t="e">
        <f>++Tabla4[[#This Row],[Precio Unitario Neto]]-Tabla4[[#This Row],[20.85%]]-Tabla4[[#This Row],[Costo]]</f>
        <v>#N/A</v>
      </c>
      <c r="S7310" s="282" t="e">
        <f>++Tabla4[[#This Row],[U. Bruta Uni]]*Tabla4[[#This Row],[Cantidad]]</f>
        <v>#N/A</v>
      </c>
      <c r="T7310" s="369" t="str">
        <f>VLOOKUP(Tabla4[[#This Row],[Producto]],Tabla6[#All],14,FALSE)</f>
        <v>Termico Solar</v>
      </c>
      <c r="U7310" s="284" t="e">
        <f>(IF(Tabla4[[#This Row],[Familia]]="termico solar",Tabla4[[#This Row],[Utilidad Total]]*6%,Tabla4[[#This Row],[Utilidad Total]]*11.5%))/Tabla4[[#This Row],[Total]]</f>
        <v>#N/A</v>
      </c>
      <c r="V7310" s="282" t="e">
        <f>+Tabla4[[#This Row],[Comisión Calculada]]*Tabla4[[#This Row],[Total]]</f>
        <v>#N/A</v>
      </c>
    </row>
    <row r="7311" spans="1:22" x14ac:dyDescent="0.25">
      <c r="A7311" s="100">
        <v>46006</v>
      </c>
      <c r="B7311" t="str">
        <f>TEXT(A7311, "mmmm")</f>
        <v>December</v>
      </c>
      <c r="C7311" s="46" t="s">
        <v>280</v>
      </c>
      <c r="F7311" s="366" t="s">
        <v>3683</v>
      </c>
      <c r="G7311" s="46" t="s">
        <v>555</v>
      </c>
      <c r="H7311" s="46">
        <v>8</v>
      </c>
      <c r="I7311" s="51">
        <v>389.47</v>
      </c>
      <c r="J7311" s="281">
        <f>++Tabla4[[#This Row],[Precio Bruto]]*1.16</f>
        <v>451.78519999999997</v>
      </c>
      <c r="K7311" s="281">
        <f>+Tabla4[[#This Row],[Precio Unitario Neto]]*Tabla4[[#Headers],[20.85%]]</f>
        <v>94.197214199999991</v>
      </c>
      <c r="L7311" s="282">
        <f>++Tabla4[[#This Row],[Precio Unitario Neto]]-Tabla4[[#This Row],[20.85%]]</f>
        <v>357.58798579999996</v>
      </c>
      <c r="M7311" s="282" t="e">
        <f>(INDEX(Tabla6[#All],MATCH(Tabla4[[#This Row],[Producto]],Tabla6[[#All],[PRODUCTO]],0),MATCH(Tabla4[[#This Row],[Mes]],Tabla6[#Headers],0)))*(1+Catalogos!$L$2)</f>
        <v>#N/A</v>
      </c>
      <c r="N7311" s="283" t="e">
        <f>+(Tabla4[[#This Row],[Precio Descontado]]-Tabla4[[#This Row],[Precio Base]])*Tabla4[[#This Row],[Cantidad]]</f>
        <v>#N/A</v>
      </c>
      <c r="O7311" s="284" t="e">
        <f>++Tabla4[[#This Row],[Utilidad Total]]/Tabla4[[#This Row],[Total]]</f>
        <v>#N/A</v>
      </c>
      <c r="P7311" s="282">
        <f>++Tabla4[[#This Row],[Precio Descontado]]*Tabla4[[#This Row],[Cantidad]]</f>
        <v>2860.7038863999996</v>
      </c>
      <c r="Q7311" s="282" t="e">
        <f>(INDEX(Tabla6[#All],MATCH(Tabla4[[#This Row],[Producto]],Tabla6[[#All],[PRODUCTO]],0),MATCH(Tabla4[[#This Row],[Mes]],Tabla6[#Headers],0)))</f>
        <v>#N/A</v>
      </c>
      <c r="R7311" s="282" t="e">
        <f>++Tabla4[[#This Row],[Precio Unitario Neto]]-Tabla4[[#This Row],[20.85%]]-Tabla4[[#This Row],[Costo]]</f>
        <v>#N/A</v>
      </c>
      <c r="S7311" s="282" t="e">
        <f>++Tabla4[[#This Row],[U. Bruta Uni]]*Tabla4[[#This Row],[Cantidad]]</f>
        <v>#N/A</v>
      </c>
      <c r="T7311" s="369" t="str">
        <f>VLOOKUP(Tabla4[[#This Row],[Producto]],Tabla6[#All],14,FALSE)</f>
        <v>Termico Solar</v>
      </c>
      <c r="U7311" s="284" t="e">
        <f>(IF(Tabla4[[#This Row],[Familia]]="termico solar",Tabla4[[#This Row],[Utilidad Total]]*6%,Tabla4[[#This Row],[Utilidad Total]]*11.5%))/Tabla4[[#This Row],[Total]]</f>
        <v>#N/A</v>
      </c>
      <c r="V7311" s="282" t="e">
        <f>+Tabla4[[#This Row],[Comisión Calculada]]*Tabla4[[#This Row],[Total]]</f>
        <v>#N/A</v>
      </c>
    </row>
    <row r="7312" spans="1:22" x14ac:dyDescent="0.25">
      <c r="A7312" s="100">
        <v>46006</v>
      </c>
      <c r="B7312" t="str">
        <f>TEXT(A7312, "mmmm")</f>
        <v>December</v>
      </c>
      <c r="C7312" s="46" t="s">
        <v>280</v>
      </c>
      <c r="F7312" s="366" t="s">
        <v>3684</v>
      </c>
      <c r="G7312" s="46" t="s">
        <v>83</v>
      </c>
      <c r="H7312" s="46">
        <v>1</v>
      </c>
      <c r="I7312" s="51">
        <v>8858.76</v>
      </c>
      <c r="J7312" s="281">
        <f>++Tabla4[[#This Row],[Precio Bruto]]*1.16</f>
        <v>10276.161599999999</v>
      </c>
      <c r="K7312" s="281">
        <f>+Tabla4[[#This Row],[Precio Unitario Neto]]*Tabla4[[#Headers],[20.85%]]</f>
        <v>2142.5796935999997</v>
      </c>
      <c r="L7312" s="282">
        <f>++Tabla4[[#This Row],[Precio Unitario Neto]]-Tabla4[[#This Row],[20.85%]]</f>
        <v>8133.5819063999998</v>
      </c>
      <c r="M7312" s="282" t="e">
        <f>(INDEX(Tabla6[#All],MATCH(Tabla4[[#This Row],[Producto]],Tabla6[[#All],[PRODUCTO]],0),MATCH(Tabla4[[#This Row],[Mes]],Tabla6[#Headers],0)))*(1+Catalogos!$L$2)</f>
        <v>#N/A</v>
      </c>
      <c r="N7312" s="283" t="e">
        <f>+(Tabla4[[#This Row],[Precio Descontado]]-Tabla4[[#This Row],[Precio Base]])*Tabla4[[#This Row],[Cantidad]]</f>
        <v>#N/A</v>
      </c>
      <c r="O7312" s="284" t="e">
        <f>++Tabla4[[#This Row],[Utilidad Total]]/Tabla4[[#This Row],[Total]]</f>
        <v>#N/A</v>
      </c>
      <c r="P7312" s="282">
        <f>++Tabla4[[#This Row],[Precio Descontado]]*Tabla4[[#This Row],[Cantidad]]</f>
        <v>8133.5819063999998</v>
      </c>
      <c r="Q7312" s="282" t="e">
        <f>(INDEX(Tabla6[#All],MATCH(Tabla4[[#This Row],[Producto]],Tabla6[[#All],[PRODUCTO]],0),MATCH(Tabla4[[#This Row],[Mes]],Tabla6[#Headers],0)))</f>
        <v>#N/A</v>
      </c>
      <c r="R7312" s="282" t="e">
        <f>++Tabla4[[#This Row],[Precio Unitario Neto]]-Tabla4[[#This Row],[20.85%]]-Tabla4[[#This Row],[Costo]]</f>
        <v>#N/A</v>
      </c>
      <c r="S7312" s="282" t="e">
        <f>++Tabla4[[#This Row],[U. Bruta Uni]]*Tabla4[[#This Row],[Cantidad]]</f>
        <v>#N/A</v>
      </c>
      <c r="T7312" s="369" t="str">
        <f>VLOOKUP(Tabla4[[#This Row],[Producto]],Tabla6[#All],14,FALSE)</f>
        <v>Termico Solar</v>
      </c>
      <c r="U7312" s="284" t="e">
        <f>(IF(Tabla4[[#This Row],[Familia]]="termico solar",Tabla4[[#This Row],[Utilidad Total]]*6%,Tabla4[[#This Row],[Utilidad Total]]*11.5%))/Tabla4[[#This Row],[Total]]</f>
        <v>#N/A</v>
      </c>
      <c r="V7312" s="282" t="e">
        <f>+Tabla4[[#This Row],[Comisión Calculada]]*Tabla4[[#This Row],[Total]]</f>
        <v>#N/A</v>
      </c>
    </row>
    <row r="7313" spans="1:22" x14ac:dyDescent="0.25">
      <c r="A7313" s="100">
        <v>46006</v>
      </c>
      <c r="B7313" t="str">
        <f t="shared" ref="B7313:B7315" si="621">TEXT(A7313, "mmmm")</f>
        <v>December</v>
      </c>
      <c r="C7313" s="46" t="s">
        <v>280</v>
      </c>
      <c r="F7313" s="366" t="s">
        <v>3685</v>
      </c>
      <c r="G7313" s="46" t="s">
        <v>17</v>
      </c>
      <c r="H7313" s="46">
        <v>3</v>
      </c>
      <c r="I7313" s="51">
        <v>4622.28</v>
      </c>
      <c r="J7313" s="281">
        <f>++Tabla4[[#This Row],[Precio Bruto]]*1.16</f>
        <v>5361.8447999999989</v>
      </c>
      <c r="K7313" s="281">
        <f>+Tabla4[[#This Row],[Precio Unitario Neto]]*Tabla4[[#Headers],[20.85%]]</f>
        <v>1117.9446407999997</v>
      </c>
      <c r="L7313" s="282">
        <f>++Tabla4[[#This Row],[Precio Unitario Neto]]-Tabla4[[#This Row],[20.85%]]</f>
        <v>4243.9001591999995</v>
      </c>
      <c r="M7313" s="282" t="e">
        <f>(INDEX(Tabla6[#All],MATCH(Tabla4[[#This Row],[Producto]],Tabla6[[#All],[PRODUCTO]],0),MATCH(Tabla4[[#This Row],[Mes]],Tabla6[#Headers],0)))*(1+Catalogos!$L$2)</f>
        <v>#N/A</v>
      </c>
      <c r="N7313" s="283" t="e">
        <f>+(Tabla4[[#This Row],[Precio Descontado]]-Tabla4[[#This Row],[Precio Base]])*Tabla4[[#This Row],[Cantidad]]</f>
        <v>#N/A</v>
      </c>
      <c r="O7313" s="284" t="e">
        <f>++Tabla4[[#This Row],[Utilidad Total]]/Tabla4[[#This Row],[Total]]</f>
        <v>#N/A</v>
      </c>
      <c r="P7313" s="282">
        <f>++Tabla4[[#This Row],[Precio Descontado]]*Tabla4[[#This Row],[Cantidad]]</f>
        <v>12731.700477599999</v>
      </c>
      <c r="Q7313" s="282" t="e">
        <f>(INDEX(Tabla6[#All],MATCH(Tabla4[[#This Row],[Producto]],Tabla6[[#All],[PRODUCTO]],0),MATCH(Tabla4[[#This Row],[Mes]],Tabla6[#Headers],0)))</f>
        <v>#N/A</v>
      </c>
      <c r="R7313" s="282" t="e">
        <f>++Tabla4[[#This Row],[Precio Unitario Neto]]-Tabla4[[#This Row],[20.85%]]-Tabla4[[#This Row],[Costo]]</f>
        <v>#N/A</v>
      </c>
      <c r="S7313" s="282" t="e">
        <f>++Tabla4[[#This Row],[U. Bruta Uni]]*Tabla4[[#This Row],[Cantidad]]</f>
        <v>#N/A</v>
      </c>
      <c r="T7313" s="369" t="str">
        <f>VLOOKUP(Tabla4[[#This Row],[Producto]],Tabla6[#All],14,FALSE)</f>
        <v>Termico Solar</v>
      </c>
      <c r="U7313" s="284" t="e">
        <f>(IF(Tabla4[[#This Row],[Familia]]="termico solar",Tabla4[[#This Row],[Utilidad Total]]*6%,Tabla4[[#This Row],[Utilidad Total]]*11.5%))/Tabla4[[#This Row],[Total]]</f>
        <v>#N/A</v>
      </c>
      <c r="V7313" s="282" t="e">
        <f>+Tabla4[[#This Row],[Comisión Calculada]]*Tabla4[[#This Row],[Total]]</f>
        <v>#N/A</v>
      </c>
    </row>
    <row r="7314" spans="1:22" x14ac:dyDescent="0.25">
      <c r="A7314" s="100">
        <v>46006</v>
      </c>
      <c r="B7314" t="str">
        <f t="shared" si="621"/>
        <v>December</v>
      </c>
      <c r="C7314" s="46" t="s">
        <v>280</v>
      </c>
      <c r="F7314" s="366" t="s">
        <v>3685</v>
      </c>
      <c r="G7314" s="46" t="s">
        <v>18</v>
      </c>
      <c r="H7314" s="46">
        <v>2</v>
      </c>
      <c r="I7314" s="51">
        <v>5367.65</v>
      </c>
      <c r="J7314" s="281">
        <f>++Tabla4[[#This Row],[Precio Bruto]]*1.16</f>
        <v>6226.4739999999993</v>
      </c>
      <c r="K7314" s="281">
        <f>+Tabla4[[#This Row],[Precio Unitario Neto]]*Tabla4[[#Headers],[20.85%]]</f>
        <v>1298.2198289999999</v>
      </c>
      <c r="L7314" s="282">
        <f>++Tabla4[[#This Row],[Precio Unitario Neto]]-Tabla4[[#This Row],[20.85%]]</f>
        <v>4928.2541709999996</v>
      </c>
      <c r="M7314" s="282" t="e">
        <f>(INDEX(Tabla6[#All],MATCH(Tabla4[[#This Row],[Producto]],Tabla6[[#All],[PRODUCTO]],0),MATCH(Tabla4[[#This Row],[Mes]],Tabla6[#Headers],0)))*(1+Catalogos!$L$2)</f>
        <v>#N/A</v>
      </c>
      <c r="N7314" s="283" t="e">
        <f>+(Tabla4[[#This Row],[Precio Descontado]]-Tabla4[[#This Row],[Precio Base]])*Tabla4[[#This Row],[Cantidad]]</f>
        <v>#N/A</v>
      </c>
      <c r="O7314" s="284" t="e">
        <f>++Tabla4[[#This Row],[Utilidad Total]]/Tabla4[[#This Row],[Total]]</f>
        <v>#N/A</v>
      </c>
      <c r="P7314" s="282">
        <f>++Tabla4[[#This Row],[Precio Descontado]]*Tabla4[[#This Row],[Cantidad]]</f>
        <v>9856.5083419999992</v>
      </c>
      <c r="Q7314" s="282" t="e">
        <f>(INDEX(Tabla6[#All],MATCH(Tabla4[[#This Row],[Producto]],Tabla6[[#All],[PRODUCTO]],0),MATCH(Tabla4[[#This Row],[Mes]],Tabla6[#Headers],0)))</f>
        <v>#N/A</v>
      </c>
      <c r="R7314" s="282" t="e">
        <f>++Tabla4[[#This Row],[Precio Unitario Neto]]-Tabla4[[#This Row],[20.85%]]-Tabla4[[#This Row],[Costo]]</f>
        <v>#N/A</v>
      </c>
      <c r="S7314" s="282" t="e">
        <f>++Tabla4[[#This Row],[U. Bruta Uni]]*Tabla4[[#This Row],[Cantidad]]</f>
        <v>#N/A</v>
      </c>
      <c r="T7314" s="369" t="str">
        <f>VLOOKUP(Tabla4[[#This Row],[Producto]],Tabla6[#All],14,FALSE)</f>
        <v>Termico Solar</v>
      </c>
      <c r="U7314" s="284" t="e">
        <f>(IF(Tabla4[[#This Row],[Familia]]="termico solar",Tabla4[[#This Row],[Utilidad Total]]*6%,Tabla4[[#This Row],[Utilidad Total]]*11.5%))/Tabla4[[#This Row],[Total]]</f>
        <v>#N/A</v>
      </c>
      <c r="V7314" s="282" t="e">
        <f>+Tabla4[[#This Row],[Comisión Calculada]]*Tabla4[[#This Row],[Total]]</f>
        <v>#N/A</v>
      </c>
    </row>
    <row r="7315" spans="1:22" x14ac:dyDescent="0.25">
      <c r="A7315" s="100">
        <v>46006</v>
      </c>
      <c r="B7315" t="str">
        <f t="shared" si="621"/>
        <v>December</v>
      </c>
      <c r="C7315" s="46" t="s">
        <v>280</v>
      </c>
      <c r="F7315" s="366" t="s">
        <v>3685</v>
      </c>
      <c r="G7315" s="46" t="s">
        <v>566</v>
      </c>
      <c r="H7315" s="46">
        <v>1</v>
      </c>
      <c r="I7315" s="51">
        <v>2109.4499999999998</v>
      </c>
      <c r="J7315" s="281">
        <f>++Tabla4[[#This Row],[Precio Bruto]]*1.16</f>
        <v>2446.9619999999995</v>
      </c>
      <c r="K7315" s="281">
        <f>+Tabla4[[#This Row],[Precio Unitario Neto]]*Tabla4[[#Headers],[20.85%]]</f>
        <v>510.19157699999988</v>
      </c>
      <c r="L7315" s="282">
        <f>++Tabla4[[#This Row],[Precio Unitario Neto]]-Tabla4[[#This Row],[20.85%]]</f>
        <v>1936.7704229999997</v>
      </c>
      <c r="M7315" s="282" t="e">
        <f>(INDEX(Tabla6[#All],MATCH(Tabla4[[#This Row],[Producto]],Tabla6[[#All],[PRODUCTO]],0),MATCH(Tabla4[[#This Row],[Mes]],Tabla6[#Headers],0)))*(1+Catalogos!$L$2)</f>
        <v>#N/A</v>
      </c>
      <c r="N7315" s="283" t="e">
        <f>+(Tabla4[[#This Row],[Precio Descontado]]-Tabla4[[#This Row],[Precio Base]])*Tabla4[[#This Row],[Cantidad]]</f>
        <v>#N/A</v>
      </c>
      <c r="O7315" s="284" t="e">
        <f>++Tabla4[[#This Row],[Utilidad Total]]/Tabla4[[#This Row],[Total]]</f>
        <v>#N/A</v>
      </c>
      <c r="P7315" s="282">
        <f>++Tabla4[[#This Row],[Precio Descontado]]*Tabla4[[#This Row],[Cantidad]]</f>
        <v>1936.7704229999997</v>
      </c>
      <c r="Q7315" s="282" t="e">
        <f>(INDEX(Tabla6[#All],MATCH(Tabla4[[#This Row],[Producto]],Tabla6[[#All],[PRODUCTO]],0),MATCH(Tabla4[[#This Row],[Mes]],Tabla6[#Headers],0)))</f>
        <v>#N/A</v>
      </c>
      <c r="R7315" s="282" t="e">
        <f>++Tabla4[[#This Row],[Precio Unitario Neto]]-Tabla4[[#This Row],[20.85%]]-Tabla4[[#This Row],[Costo]]</f>
        <v>#N/A</v>
      </c>
      <c r="S7315" s="282" t="e">
        <f>++Tabla4[[#This Row],[U. Bruta Uni]]*Tabla4[[#This Row],[Cantidad]]</f>
        <v>#N/A</v>
      </c>
      <c r="T7315" s="369" t="str">
        <f>VLOOKUP(Tabla4[[#This Row],[Producto]],Tabla6[#All],14,FALSE)</f>
        <v>Termico Solar</v>
      </c>
      <c r="U7315" s="284" t="e">
        <f>(IF(Tabla4[[#This Row],[Familia]]="termico solar",Tabla4[[#This Row],[Utilidad Total]]*6%,Tabla4[[#This Row],[Utilidad Total]]*11.5%))/Tabla4[[#This Row],[Total]]</f>
        <v>#N/A</v>
      </c>
      <c r="V7315" s="282" t="e">
        <f>+Tabla4[[#This Row],[Comisión Calculada]]*Tabla4[[#This Row],[Total]]</f>
        <v>#N/A</v>
      </c>
    </row>
    <row r="7316" spans="1:22" x14ac:dyDescent="0.25">
      <c r="A7316" s="100">
        <v>46006</v>
      </c>
      <c r="B7316" t="str">
        <f t="shared" ref="B7316:B7317" si="622">TEXT(A7316, "mmmm")</f>
        <v>December</v>
      </c>
      <c r="C7316" s="46" t="s">
        <v>280</v>
      </c>
      <c r="F7316" s="366" t="s">
        <v>3686</v>
      </c>
      <c r="G7316" s="46" t="s">
        <v>18</v>
      </c>
      <c r="H7316" s="46">
        <v>5</v>
      </c>
      <c r="I7316" s="51">
        <v>5367.65</v>
      </c>
      <c r="J7316" s="281">
        <f>++Tabla4[[#This Row],[Precio Bruto]]*1.16</f>
        <v>6226.4739999999993</v>
      </c>
      <c r="K7316" s="281">
        <f>+Tabla4[[#This Row],[Precio Unitario Neto]]*Tabla4[[#Headers],[20.85%]]</f>
        <v>1298.2198289999999</v>
      </c>
      <c r="L7316" s="282">
        <f>++Tabla4[[#This Row],[Precio Unitario Neto]]-Tabla4[[#This Row],[20.85%]]</f>
        <v>4928.2541709999996</v>
      </c>
      <c r="M7316" s="282" t="e">
        <f>(INDEX(Tabla6[#All],MATCH(Tabla4[[#This Row],[Producto]],Tabla6[[#All],[PRODUCTO]],0),MATCH(Tabla4[[#This Row],[Mes]],Tabla6[#Headers],0)))*(1+Catalogos!$L$2)</f>
        <v>#N/A</v>
      </c>
      <c r="N7316" s="283" t="e">
        <f>+(Tabla4[[#This Row],[Precio Descontado]]-Tabla4[[#This Row],[Precio Base]])*Tabla4[[#This Row],[Cantidad]]</f>
        <v>#N/A</v>
      </c>
      <c r="O7316" s="284" t="e">
        <f>++Tabla4[[#This Row],[Utilidad Total]]/Tabla4[[#This Row],[Total]]</f>
        <v>#N/A</v>
      </c>
      <c r="P7316" s="282">
        <f>++Tabla4[[#This Row],[Precio Descontado]]*Tabla4[[#This Row],[Cantidad]]</f>
        <v>24641.270854999999</v>
      </c>
      <c r="Q7316" s="282" t="e">
        <f>(INDEX(Tabla6[#All],MATCH(Tabla4[[#This Row],[Producto]],Tabla6[[#All],[PRODUCTO]],0),MATCH(Tabla4[[#This Row],[Mes]],Tabla6[#Headers],0)))</f>
        <v>#N/A</v>
      </c>
      <c r="R7316" s="282" t="e">
        <f>++Tabla4[[#This Row],[Precio Unitario Neto]]-Tabla4[[#This Row],[20.85%]]-Tabla4[[#This Row],[Costo]]</f>
        <v>#N/A</v>
      </c>
      <c r="S7316" s="282" t="e">
        <f>++Tabla4[[#This Row],[U. Bruta Uni]]*Tabla4[[#This Row],[Cantidad]]</f>
        <v>#N/A</v>
      </c>
      <c r="T7316" s="369" t="str">
        <f>VLOOKUP(Tabla4[[#This Row],[Producto]],Tabla6[#All],14,FALSE)</f>
        <v>Termico Solar</v>
      </c>
      <c r="U7316" s="284" t="e">
        <f>(IF(Tabla4[[#This Row],[Familia]]="termico solar",Tabla4[[#This Row],[Utilidad Total]]*6%,Tabla4[[#This Row],[Utilidad Total]]*11.5%))/Tabla4[[#This Row],[Total]]</f>
        <v>#N/A</v>
      </c>
      <c r="V7316" s="282" t="e">
        <f>+Tabla4[[#This Row],[Comisión Calculada]]*Tabla4[[#This Row],[Total]]</f>
        <v>#N/A</v>
      </c>
    </row>
    <row r="7317" spans="1:22" x14ac:dyDescent="0.25">
      <c r="A7317" s="100">
        <v>46006</v>
      </c>
      <c r="B7317" t="str">
        <f t="shared" si="622"/>
        <v>December</v>
      </c>
      <c r="C7317" s="46" t="s">
        <v>280</v>
      </c>
      <c r="F7317" s="366" t="s">
        <v>3686</v>
      </c>
      <c r="G7317" s="46" t="s">
        <v>412</v>
      </c>
      <c r="H7317" s="46">
        <v>1</v>
      </c>
      <c r="I7317" s="51">
        <v>3240.84</v>
      </c>
      <c r="J7317" s="281">
        <f>++Tabla4[[#This Row],[Precio Bruto]]*1.16</f>
        <v>3759.3743999999997</v>
      </c>
      <c r="K7317" s="281">
        <f>+Tabla4[[#This Row],[Precio Unitario Neto]]*Tabla4[[#Headers],[20.85%]]</f>
        <v>783.82956239999987</v>
      </c>
      <c r="L7317" s="282">
        <f>++Tabla4[[#This Row],[Precio Unitario Neto]]-Tabla4[[#This Row],[20.85%]]</f>
        <v>2975.5448375999999</v>
      </c>
      <c r="M7317" s="282" t="e">
        <f>(INDEX(Tabla6[#All],MATCH(Tabla4[[#This Row],[Producto]],Tabla6[[#All],[PRODUCTO]],0),MATCH(Tabla4[[#This Row],[Mes]],Tabla6[#Headers],0)))*(1+Catalogos!$L$2)</f>
        <v>#N/A</v>
      </c>
      <c r="N7317" s="283" t="e">
        <f>+(Tabla4[[#This Row],[Precio Descontado]]-Tabla4[[#This Row],[Precio Base]])*Tabla4[[#This Row],[Cantidad]]</f>
        <v>#N/A</v>
      </c>
      <c r="O7317" s="284" t="e">
        <f>++Tabla4[[#This Row],[Utilidad Total]]/Tabla4[[#This Row],[Total]]</f>
        <v>#N/A</v>
      </c>
      <c r="P7317" s="282">
        <f>++Tabla4[[#This Row],[Precio Descontado]]*Tabla4[[#This Row],[Cantidad]]</f>
        <v>2975.5448375999999</v>
      </c>
      <c r="Q7317" s="282" t="e">
        <f>(INDEX(Tabla6[#All],MATCH(Tabla4[[#This Row],[Producto]],Tabla6[[#All],[PRODUCTO]],0),MATCH(Tabla4[[#This Row],[Mes]],Tabla6[#Headers],0)))</f>
        <v>#N/A</v>
      </c>
      <c r="R7317" s="282" t="e">
        <f>++Tabla4[[#This Row],[Precio Unitario Neto]]-Tabla4[[#This Row],[20.85%]]-Tabla4[[#This Row],[Costo]]</f>
        <v>#N/A</v>
      </c>
      <c r="S7317" s="282" t="e">
        <f>++Tabla4[[#This Row],[U. Bruta Uni]]*Tabla4[[#This Row],[Cantidad]]</f>
        <v>#N/A</v>
      </c>
      <c r="T7317" s="369" t="str">
        <f>VLOOKUP(Tabla4[[#This Row],[Producto]],Tabla6[#All],14,FALSE)</f>
        <v>Termico Solar</v>
      </c>
      <c r="U7317" s="284" t="e">
        <f>(IF(Tabla4[[#This Row],[Familia]]="termico solar",Tabla4[[#This Row],[Utilidad Total]]*6%,Tabla4[[#This Row],[Utilidad Total]]*11.5%))/Tabla4[[#This Row],[Total]]</f>
        <v>#N/A</v>
      </c>
      <c r="V7317" s="282" t="e">
        <f>+Tabla4[[#This Row],[Comisión Calculada]]*Tabla4[[#This Row],[Total]]</f>
        <v>#N/A</v>
      </c>
    </row>
    <row r="7318" spans="1:22" x14ac:dyDescent="0.25">
      <c r="A7318" s="100">
        <v>46006</v>
      </c>
      <c r="B7318" t="str">
        <f>TEXT(A7318, "mmmm")</f>
        <v>December</v>
      </c>
      <c r="C7318" s="46" t="s">
        <v>280</v>
      </c>
      <c r="F7318" s="366" t="s">
        <v>3687</v>
      </c>
      <c r="G7318" s="46" t="s">
        <v>83</v>
      </c>
      <c r="H7318" s="46">
        <v>2</v>
      </c>
      <c r="I7318" s="51">
        <v>8858.76</v>
      </c>
      <c r="J7318" s="281">
        <f>++Tabla4[[#This Row],[Precio Bruto]]*1.16</f>
        <v>10276.161599999999</v>
      </c>
      <c r="K7318" s="281">
        <f>+Tabla4[[#This Row],[Precio Unitario Neto]]*Tabla4[[#Headers],[20.85%]]</f>
        <v>2142.5796935999997</v>
      </c>
      <c r="L7318" s="282">
        <f>++Tabla4[[#This Row],[Precio Unitario Neto]]-Tabla4[[#This Row],[20.85%]]</f>
        <v>8133.5819063999998</v>
      </c>
      <c r="M7318" s="282" t="e">
        <f>(INDEX(Tabla6[#All],MATCH(Tabla4[[#This Row],[Producto]],Tabla6[[#All],[PRODUCTO]],0),MATCH(Tabla4[[#This Row],[Mes]],Tabla6[#Headers],0)))*(1+Catalogos!$L$2)</f>
        <v>#N/A</v>
      </c>
      <c r="N7318" s="283" t="e">
        <f>+(Tabla4[[#This Row],[Precio Descontado]]-Tabla4[[#This Row],[Precio Base]])*Tabla4[[#This Row],[Cantidad]]</f>
        <v>#N/A</v>
      </c>
      <c r="O7318" s="284" t="e">
        <f>++Tabla4[[#This Row],[Utilidad Total]]/Tabla4[[#This Row],[Total]]</f>
        <v>#N/A</v>
      </c>
      <c r="P7318" s="282">
        <f>++Tabla4[[#This Row],[Precio Descontado]]*Tabla4[[#This Row],[Cantidad]]</f>
        <v>16267.1638128</v>
      </c>
      <c r="Q7318" s="282" t="e">
        <f>(INDEX(Tabla6[#All],MATCH(Tabla4[[#This Row],[Producto]],Tabla6[[#All],[PRODUCTO]],0),MATCH(Tabla4[[#This Row],[Mes]],Tabla6[#Headers],0)))</f>
        <v>#N/A</v>
      </c>
      <c r="R7318" s="282" t="e">
        <f>++Tabla4[[#This Row],[Precio Unitario Neto]]-Tabla4[[#This Row],[20.85%]]-Tabla4[[#This Row],[Costo]]</f>
        <v>#N/A</v>
      </c>
      <c r="S7318" s="282" t="e">
        <f>++Tabla4[[#This Row],[U. Bruta Uni]]*Tabla4[[#This Row],[Cantidad]]</f>
        <v>#N/A</v>
      </c>
      <c r="T7318" s="369" t="str">
        <f>VLOOKUP(Tabla4[[#This Row],[Producto]],Tabla6[#All],14,FALSE)</f>
        <v>Termico Solar</v>
      </c>
      <c r="U7318" s="284" t="e">
        <f>(IF(Tabla4[[#This Row],[Familia]]="termico solar",Tabla4[[#This Row],[Utilidad Total]]*6%,Tabla4[[#This Row],[Utilidad Total]]*11.5%))/Tabla4[[#This Row],[Total]]</f>
        <v>#N/A</v>
      </c>
      <c r="V7318" s="282" t="e">
        <f>+Tabla4[[#This Row],[Comisión Calculada]]*Tabla4[[#This Row],[Total]]</f>
        <v>#N/A</v>
      </c>
    </row>
    <row r="7319" spans="1:22" x14ac:dyDescent="0.25">
      <c r="A7319" s="100">
        <v>46006</v>
      </c>
      <c r="B7319" t="str">
        <f t="shared" ref="B7319:B7320" si="623">TEXT(A7319, "mmmm")</f>
        <v>December</v>
      </c>
      <c r="C7319" s="46" t="s">
        <v>280</v>
      </c>
      <c r="F7319" s="366" t="s">
        <v>3688</v>
      </c>
      <c r="G7319" s="46" t="s">
        <v>17</v>
      </c>
      <c r="H7319" s="46">
        <v>9</v>
      </c>
      <c r="I7319" s="51">
        <v>4622.28</v>
      </c>
      <c r="J7319" s="281">
        <f>++Tabla4[[#This Row],[Precio Bruto]]*1.16</f>
        <v>5361.8447999999989</v>
      </c>
      <c r="K7319" s="281">
        <f>+Tabla4[[#This Row],[Precio Unitario Neto]]*Tabla4[[#Headers],[20.85%]]</f>
        <v>1117.9446407999997</v>
      </c>
      <c r="L7319" s="282">
        <f>++Tabla4[[#This Row],[Precio Unitario Neto]]-Tabla4[[#This Row],[20.85%]]</f>
        <v>4243.9001591999995</v>
      </c>
      <c r="M7319" s="282" t="e">
        <f>(INDEX(Tabla6[#All],MATCH(Tabla4[[#This Row],[Producto]],Tabla6[[#All],[PRODUCTO]],0),MATCH(Tabla4[[#This Row],[Mes]],Tabla6[#Headers],0)))*(1+Catalogos!$L$2)</f>
        <v>#N/A</v>
      </c>
      <c r="N7319" s="283" t="e">
        <f>+(Tabla4[[#This Row],[Precio Descontado]]-Tabla4[[#This Row],[Precio Base]])*Tabla4[[#This Row],[Cantidad]]</f>
        <v>#N/A</v>
      </c>
      <c r="O7319" s="284" t="e">
        <f>++Tabla4[[#This Row],[Utilidad Total]]/Tabla4[[#This Row],[Total]]</f>
        <v>#N/A</v>
      </c>
      <c r="P7319" s="282">
        <f>++Tabla4[[#This Row],[Precio Descontado]]*Tabla4[[#This Row],[Cantidad]]</f>
        <v>38195.101432799995</v>
      </c>
      <c r="Q7319" s="282" t="e">
        <f>(INDEX(Tabla6[#All],MATCH(Tabla4[[#This Row],[Producto]],Tabla6[[#All],[PRODUCTO]],0),MATCH(Tabla4[[#This Row],[Mes]],Tabla6[#Headers],0)))</f>
        <v>#N/A</v>
      </c>
      <c r="R7319" s="282" t="e">
        <f>++Tabla4[[#This Row],[Precio Unitario Neto]]-Tabla4[[#This Row],[20.85%]]-Tabla4[[#This Row],[Costo]]</f>
        <v>#N/A</v>
      </c>
      <c r="S7319" s="282" t="e">
        <f>++Tabla4[[#This Row],[U. Bruta Uni]]*Tabla4[[#This Row],[Cantidad]]</f>
        <v>#N/A</v>
      </c>
      <c r="T7319" s="369" t="str">
        <f>VLOOKUP(Tabla4[[#This Row],[Producto]],Tabla6[#All],14,FALSE)</f>
        <v>Termico Solar</v>
      </c>
      <c r="U7319" s="284" t="e">
        <f>(IF(Tabla4[[#This Row],[Familia]]="termico solar",Tabla4[[#This Row],[Utilidad Total]]*6%,Tabla4[[#This Row],[Utilidad Total]]*11.5%))/Tabla4[[#This Row],[Total]]</f>
        <v>#N/A</v>
      </c>
      <c r="V7319" s="282" t="e">
        <f>+Tabla4[[#This Row],[Comisión Calculada]]*Tabla4[[#This Row],[Total]]</f>
        <v>#N/A</v>
      </c>
    </row>
    <row r="7320" spans="1:22" x14ac:dyDescent="0.25">
      <c r="A7320" s="100">
        <v>46006</v>
      </c>
      <c r="B7320" t="str">
        <f t="shared" si="623"/>
        <v>December</v>
      </c>
      <c r="C7320" s="46" t="s">
        <v>280</v>
      </c>
      <c r="F7320" s="366" t="s">
        <v>3688</v>
      </c>
      <c r="G7320" s="46" t="s">
        <v>18</v>
      </c>
      <c r="H7320" s="46">
        <v>3</v>
      </c>
      <c r="I7320" s="51">
        <v>5367.6500000000005</v>
      </c>
      <c r="J7320" s="281">
        <f>++Tabla4[[#This Row],[Precio Bruto]]*1.16</f>
        <v>6226.4740000000002</v>
      </c>
      <c r="K7320" s="281">
        <f>+Tabla4[[#This Row],[Precio Unitario Neto]]*Tabla4[[#Headers],[20.85%]]</f>
        <v>1298.2198289999999</v>
      </c>
      <c r="L7320" s="282">
        <f>++Tabla4[[#This Row],[Precio Unitario Neto]]-Tabla4[[#This Row],[20.85%]]</f>
        <v>4928.2541710000005</v>
      </c>
      <c r="M7320" s="282" t="e">
        <f>(INDEX(Tabla6[#All],MATCH(Tabla4[[#This Row],[Producto]],Tabla6[[#All],[PRODUCTO]],0),MATCH(Tabla4[[#This Row],[Mes]],Tabla6[#Headers],0)))*(1+Catalogos!$L$2)</f>
        <v>#N/A</v>
      </c>
      <c r="N7320" s="283" t="e">
        <f>+(Tabla4[[#This Row],[Precio Descontado]]-Tabla4[[#This Row],[Precio Base]])*Tabla4[[#This Row],[Cantidad]]</f>
        <v>#N/A</v>
      </c>
      <c r="O7320" s="284" t="e">
        <f>++Tabla4[[#This Row],[Utilidad Total]]/Tabla4[[#This Row],[Total]]</f>
        <v>#N/A</v>
      </c>
      <c r="P7320" s="282">
        <f>++Tabla4[[#This Row],[Precio Descontado]]*Tabla4[[#This Row],[Cantidad]]</f>
        <v>14784.762513000001</v>
      </c>
      <c r="Q7320" s="282" t="e">
        <f>(INDEX(Tabla6[#All],MATCH(Tabla4[[#This Row],[Producto]],Tabla6[[#All],[PRODUCTO]],0),MATCH(Tabla4[[#This Row],[Mes]],Tabla6[#Headers],0)))</f>
        <v>#N/A</v>
      </c>
      <c r="R7320" s="282" t="e">
        <f>++Tabla4[[#This Row],[Precio Unitario Neto]]-Tabla4[[#This Row],[20.85%]]-Tabla4[[#This Row],[Costo]]</f>
        <v>#N/A</v>
      </c>
      <c r="S7320" s="282" t="e">
        <f>++Tabla4[[#This Row],[U. Bruta Uni]]*Tabla4[[#This Row],[Cantidad]]</f>
        <v>#N/A</v>
      </c>
      <c r="T7320" s="369" t="str">
        <f>VLOOKUP(Tabla4[[#This Row],[Producto]],Tabla6[#All],14,FALSE)</f>
        <v>Termico Solar</v>
      </c>
      <c r="U7320" s="284" t="e">
        <f>(IF(Tabla4[[#This Row],[Familia]]="termico solar",Tabla4[[#This Row],[Utilidad Total]]*6%,Tabla4[[#This Row],[Utilidad Total]]*11.5%))/Tabla4[[#This Row],[Total]]</f>
        <v>#N/A</v>
      </c>
      <c r="V7320" s="282" t="e">
        <f>+Tabla4[[#This Row],[Comisión Calculada]]*Tabla4[[#This Row],[Total]]</f>
        <v>#N/A</v>
      </c>
    </row>
    <row r="7321" spans="1:22" x14ac:dyDescent="0.25">
      <c r="A7321" s="100">
        <v>46006</v>
      </c>
      <c r="B7321" t="str">
        <f>TEXT(A7321, "mmmm")</f>
        <v>December</v>
      </c>
      <c r="C7321" s="46" t="s">
        <v>280</v>
      </c>
      <c r="F7321" s="366" t="s">
        <v>3689</v>
      </c>
      <c r="G7321" s="46" t="s">
        <v>83</v>
      </c>
      <c r="H7321" s="46">
        <v>11</v>
      </c>
      <c r="I7321" s="51">
        <v>8858.76</v>
      </c>
      <c r="J7321" s="281">
        <f>++Tabla4[[#This Row],[Precio Bruto]]*1.16</f>
        <v>10276.161599999999</v>
      </c>
      <c r="K7321" s="281">
        <f>+Tabla4[[#This Row],[Precio Unitario Neto]]*Tabla4[[#Headers],[20.85%]]</f>
        <v>2142.5796935999997</v>
      </c>
      <c r="L7321" s="282">
        <f>++Tabla4[[#This Row],[Precio Unitario Neto]]-Tabla4[[#This Row],[20.85%]]</f>
        <v>8133.5819063999998</v>
      </c>
      <c r="M7321" s="282" t="e">
        <f>(INDEX(Tabla6[#All],MATCH(Tabla4[[#This Row],[Producto]],Tabla6[[#All],[PRODUCTO]],0),MATCH(Tabla4[[#This Row],[Mes]],Tabla6[#Headers],0)))*(1+Catalogos!$L$2)</f>
        <v>#N/A</v>
      </c>
      <c r="N7321" s="283" t="e">
        <f>+(Tabla4[[#This Row],[Precio Descontado]]-Tabla4[[#This Row],[Precio Base]])*Tabla4[[#This Row],[Cantidad]]</f>
        <v>#N/A</v>
      </c>
      <c r="O7321" s="284" t="e">
        <f>++Tabla4[[#This Row],[Utilidad Total]]/Tabla4[[#This Row],[Total]]</f>
        <v>#N/A</v>
      </c>
      <c r="P7321" s="282">
        <f>++Tabla4[[#This Row],[Precio Descontado]]*Tabla4[[#This Row],[Cantidad]]</f>
        <v>89469.400970399991</v>
      </c>
      <c r="Q7321" s="282" t="e">
        <f>(INDEX(Tabla6[#All],MATCH(Tabla4[[#This Row],[Producto]],Tabla6[[#All],[PRODUCTO]],0),MATCH(Tabla4[[#This Row],[Mes]],Tabla6[#Headers],0)))</f>
        <v>#N/A</v>
      </c>
      <c r="R7321" s="282" t="e">
        <f>++Tabla4[[#This Row],[Precio Unitario Neto]]-Tabla4[[#This Row],[20.85%]]-Tabla4[[#This Row],[Costo]]</f>
        <v>#N/A</v>
      </c>
      <c r="S7321" s="282" t="e">
        <f>++Tabla4[[#This Row],[U. Bruta Uni]]*Tabla4[[#This Row],[Cantidad]]</f>
        <v>#N/A</v>
      </c>
      <c r="T7321" s="369" t="str">
        <f>VLOOKUP(Tabla4[[#This Row],[Producto]],Tabla6[#All],14,FALSE)</f>
        <v>Termico Solar</v>
      </c>
      <c r="U7321" s="284" t="e">
        <f>(IF(Tabla4[[#This Row],[Familia]]="termico solar",Tabla4[[#This Row],[Utilidad Total]]*6%,Tabla4[[#This Row],[Utilidad Total]]*11.5%))/Tabla4[[#This Row],[Total]]</f>
        <v>#N/A</v>
      </c>
      <c r="V7321" s="282" t="e">
        <f>+Tabla4[[#This Row],[Comisión Calculada]]*Tabla4[[#This Row],[Total]]</f>
        <v>#N/A</v>
      </c>
    </row>
    <row r="7322" spans="1:22" x14ac:dyDescent="0.25">
      <c r="A7322" s="100">
        <v>46006</v>
      </c>
      <c r="B7322" t="str">
        <f>TEXT(A7322, "mmmm")</f>
        <v>December</v>
      </c>
      <c r="C7322" s="46" t="s">
        <v>280</v>
      </c>
      <c r="F7322" s="366" t="s">
        <v>3690</v>
      </c>
      <c r="G7322" s="46" t="s">
        <v>83</v>
      </c>
      <c r="H7322" s="46">
        <v>3</v>
      </c>
      <c r="I7322" s="51">
        <v>8858.76</v>
      </c>
      <c r="J7322" s="281">
        <f>++Tabla4[[#This Row],[Precio Bruto]]*1.16</f>
        <v>10276.161599999999</v>
      </c>
      <c r="K7322" s="281">
        <f>+Tabla4[[#This Row],[Precio Unitario Neto]]*Tabla4[[#Headers],[20.85%]]</f>
        <v>2142.5796935999997</v>
      </c>
      <c r="L7322" s="282">
        <f>++Tabla4[[#This Row],[Precio Unitario Neto]]-Tabla4[[#This Row],[20.85%]]</f>
        <v>8133.5819063999998</v>
      </c>
      <c r="M7322" s="282" t="e">
        <f>(INDEX(Tabla6[#All],MATCH(Tabla4[[#This Row],[Producto]],Tabla6[[#All],[PRODUCTO]],0),MATCH(Tabla4[[#This Row],[Mes]],Tabla6[#Headers],0)))*(1+Catalogos!$L$2)</f>
        <v>#N/A</v>
      </c>
      <c r="N7322" s="283" t="e">
        <f>+(Tabla4[[#This Row],[Precio Descontado]]-Tabla4[[#This Row],[Precio Base]])*Tabla4[[#This Row],[Cantidad]]</f>
        <v>#N/A</v>
      </c>
      <c r="O7322" s="284" t="e">
        <f>++Tabla4[[#This Row],[Utilidad Total]]/Tabla4[[#This Row],[Total]]</f>
        <v>#N/A</v>
      </c>
      <c r="P7322" s="282">
        <f>++Tabla4[[#This Row],[Precio Descontado]]*Tabla4[[#This Row],[Cantidad]]</f>
        <v>24400.7457192</v>
      </c>
      <c r="Q7322" s="282" t="e">
        <f>(INDEX(Tabla6[#All],MATCH(Tabla4[[#This Row],[Producto]],Tabla6[[#All],[PRODUCTO]],0),MATCH(Tabla4[[#This Row],[Mes]],Tabla6[#Headers],0)))</f>
        <v>#N/A</v>
      </c>
      <c r="R7322" s="282" t="e">
        <f>++Tabla4[[#This Row],[Precio Unitario Neto]]-Tabla4[[#This Row],[20.85%]]-Tabla4[[#This Row],[Costo]]</f>
        <v>#N/A</v>
      </c>
      <c r="S7322" s="282" t="e">
        <f>++Tabla4[[#This Row],[U. Bruta Uni]]*Tabla4[[#This Row],[Cantidad]]</f>
        <v>#N/A</v>
      </c>
      <c r="T7322" s="369" t="str">
        <f>VLOOKUP(Tabla4[[#This Row],[Producto]],Tabla6[#All],14,FALSE)</f>
        <v>Termico Solar</v>
      </c>
      <c r="U7322" s="284" t="e">
        <f>(IF(Tabla4[[#This Row],[Familia]]="termico solar",Tabla4[[#This Row],[Utilidad Total]]*6%,Tabla4[[#This Row],[Utilidad Total]]*11.5%))/Tabla4[[#This Row],[Total]]</f>
        <v>#N/A</v>
      </c>
      <c r="V7322" s="282" t="e">
        <f>+Tabla4[[#This Row],[Comisión Calculada]]*Tabla4[[#This Row],[Total]]</f>
        <v>#N/A</v>
      </c>
    </row>
    <row r="7323" spans="1:22" x14ac:dyDescent="0.25">
      <c r="A7323" s="100">
        <v>46006</v>
      </c>
      <c r="B7323" t="str">
        <f t="shared" ref="B7323:B7324" si="624">TEXT(A7323, "mmmm")</f>
        <v>December</v>
      </c>
      <c r="C7323" s="46" t="s">
        <v>280</v>
      </c>
      <c r="F7323" s="366" t="s">
        <v>3691</v>
      </c>
      <c r="G7323" s="46" t="s">
        <v>18</v>
      </c>
      <c r="H7323" s="46">
        <v>2</v>
      </c>
      <c r="I7323" s="51">
        <v>5367.65</v>
      </c>
      <c r="J7323" s="281">
        <f>++Tabla4[[#This Row],[Precio Bruto]]*1.16</f>
        <v>6226.4739999999993</v>
      </c>
      <c r="K7323" s="281">
        <f>+Tabla4[[#This Row],[Precio Unitario Neto]]*Tabla4[[#Headers],[20.85%]]</f>
        <v>1298.2198289999999</v>
      </c>
      <c r="L7323" s="282">
        <f>++Tabla4[[#This Row],[Precio Unitario Neto]]-Tabla4[[#This Row],[20.85%]]</f>
        <v>4928.2541709999996</v>
      </c>
      <c r="M7323" s="282" t="e">
        <f>(INDEX(Tabla6[#All],MATCH(Tabla4[[#This Row],[Producto]],Tabla6[[#All],[PRODUCTO]],0),MATCH(Tabla4[[#This Row],[Mes]],Tabla6[#Headers],0)))*(1+Catalogos!$L$2)</f>
        <v>#N/A</v>
      </c>
      <c r="N7323" s="283" t="e">
        <f>+(Tabla4[[#This Row],[Precio Descontado]]-Tabla4[[#This Row],[Precio Base]])*Tabla4[[#This Row],[Cantidad]]</f>
        <v>#N/A</v>
      </c>
      <c r="O7323" s="284" t="e">
        <f>++Tabla4[[#This Row],[Utilidad Total]]/Tabla4[[#This Row],[Total]]</f>
        <v>#N/A</v>
      </c>
      <c r="P7323" s="282">
        <f>++Tabla4[[#This Row],[Precio Descontado]]*Tabla4[[#This Row],[Cantidad]]</f>
        <v>9856.5083419999992</v>
      </c>
      <c r="Q7323" s="282" t="e">
        <f>(INDEX(Tabla6[#All],MATCH(Tabla4[[#This Row],[Producto]],Tabla6[[#All],[PRODUCTO]],0),MATCH(Tabla4[[#This Row],[Mes]],Tabla6[#Headers],0)))</f>
        <v>#N/A</v>
      </c>
      <c r="R7323" s="282" t="e">
        <f>++Tabla4[[#This Row],[Precio Unitario Neto]]-Tabla4[[#This Row],[20.85%]]-Tabla4[[#This Row],[Costo]]</f>
        <v>#N/A</v>
      </c>
      <c r="S7323" s="282" t="e">
        <f>++Tabla4[[#This Row],[U. Bruta Uni]]*Tabla4[[#This Row],[Cantidad]]</f>
        <v>#N/A</v>
      </c>
      <c r="T7323" s="369" t="str">
        <f>VLOOKUP(Tabla4[[#This Row],[Producto]],Tabla6[#All],14,FALSE)</f>
        <v>Termico Solar</v>
      </c>
      <c r="U7323" s="284" t="e">
        <f>(IF(Tabla4[[#This Row],[Familia]]="termico solar",Tabla4[[#This Row],[Utilidad Total]]*6%,Tabla4[[#This Row],[Utilidad Total]]*11.5%))/Tabla4[[#This Row],[Total]]</f>
        <v>#N/A</v>
      </c>
      <c r="V7323" s="282" t="e">
        <f>+Tabla4[[#This Row],[Comisión Calculada]]*Tabla4[[#This Row],[Total]]</f>
        <v>#N/A</v>
      </c>
    </row>
    <row r="7324" spans="1:22" x14ac:dyDescent="0.25">
      <c r="A7324" s="100">
        <v>46006</v>
      </c>
      <c r="B7324" t="str">
        <f t="shared" si="624"/>
        <v>December</v>
      </c>
      <c r="C7324" s="46" t="s">
        <v>280</v>
      </c>
      <c r="F7324" s="366" t="s">
        <v>3691</v>
      </c>
      <c r="G7324" s="46" t="s">
        <v>208</v>
      </c>
      <c r="H7324" s="46">
        <v>3</v>
      </c>
      <c r="I7324" s="51">
        <v>189.75</v>
      </c>
      <c r="J7324" s="281">
        <f>++Tabla4[[#This Row],[Precio Bruto]]*1.16</f>
        <v>220.10999999999999</v>
      </c>
      <c r="K7324" s="281">
        <f>+Tabla4[[#This Row],[Precio Unitario Neto]]*Tabla4[[#Headers],[20.85%]]</f>
        <v>45.892934999999994</v>
      </c>
      <c r="L7324" s="282">
        <f>++Tabla4[[#This Row],[Precio Unitario Neto]]-Tabla4[[#This Row],[20.85%]]</f>
        <v>174.21706499999999</v>
      </c>
      <c r="M7324" s="282" t="e">
        <f>(INDEX(Tabla6[#All],MATCH(Tabla4[[#This Row],[Producto]],Tabla6[[#All],[PRODUCTO]],0),MATCH(Tabla4[[#This Row],[Mes]],Tabla6[#Headers],0)))*(1+Catalogos!$L$2)</f>
        <v>#N/A</v>
      </c>
      <c r="N7324" s="283" t="e">
        <f>+(Tabla4[[#This Row],[Precio Descontado]]-Tabla4[[#This Row],[Precio Base]])*Tabla4[[#This Row],[Cantidad]]</f>
        <v>#N/A</v>
      </c>
      <c r="O7324" s="284" t="e">
        <f>++Tabla4[[#This Row],[Utilidad Total]]/Tabla4[[#This Row],[Total]]</f>
        <v>#N/A</v>
      </c>
      <c r="P7324" s="282">
        <f>++Tabla4[[#This Row],[Precio Descontado]]*Tabla4[[#This Row],[Cantidad]]</f>
        <v>522.65119499999992</v>
      </c>
      <c r="Q7324" s="282" t="e">
        <f>(INDEX(Tabla6[#All],MATCH(Tabla4[[#This Row],[Producto]],Tabla6[[#All],[PRODUCTO]],0),MATCH(Tabla4[[#This Row],[Mes]],Tabla6[#Headers],0)))</f>
        <v>#N/A</v>
      </c>
      <c r="R7324" s="282" t="e">
        <f>++Tabla4[[#This Row],[Precio Unitario Neto]]-Tabla4[[#This Row],[20.85%]]-Tabla4[[#This Row],[Costo]]</f>
        <v>#N/A</v>
      </c>
      <c r="S7324" s="282" t="e">
        <f>++Tabla4[[#This Row],[U. Bruta Uni]]*Tabla4[[#This Row],[Cantidad]]</f>
        <v>#N/A</v>
      </c>
      <c r="T7324" s="369" t="str">
        <f>VLOOKUP(Tabla4[[#This Row],[Producto]],Tabla6[#All],14,FALSE)</f>
        <v>Termico Solar</v>
      </c>
      <c r="U7324" s="284" t="e">
        <f>(IF(Tabla4[[#This Row],[Familia]]="termico solar",Tabla4[[#This Row],[Utilidad Total]]*6%,Tabla4[[#This Row],[Utilidad Total]]*11.5%))/Tabla4[[#This Row],[Total]]</f>
        <v>#N/A</v>
      </c>
      <c r="V7324" s="282" t="e">
        <f>+Tabla4[[#This Row],[Comisión Calculada]]*Tabla4[[#This Row],[Total]]</f>
        <v>#N/A</v>
      </c>
    </row>
    <row r="7325" spans="1:22" x14ac:dyDescent="0.25">
      <c r="A7325" s="100">
        <v>46006</v>
      </c>
      <c r="B7325" t="str">
        <f t="shared" ref="B7325:B7329" si="625">TEXT(A7325, "mmmm")</f>
        <v>December</v>
      </c>
      <c r="C7325" s="46" t="s">
        <v>280</v>
      </c>
      <c r="F7325" s="366" t="s">
        <v>3692</v>
      </c>
      <c r="G7325" s="46" t="s">
        <v>83</v>
      </c>
      <c r="H7325" s="46">
        <v>1</v>
      </c>
      <c r="I7325" s="51">
        <v>8858.76</v>
      </c>
      <c r="J7325" s="281">
        <f>++Tabla4[[#This Row],[Precio Bruto]]*1.16</f>
        <v>10276.161599999999</v>
      </c>
      <c r="K7325" s="281">
        <f>+Tabla4[[#This Row],[Precio Unitario Neto]]*Tabla4[[#Headers],[20.85%]]</f>
        <v>2142.5796935999997</v>
      </c>
      <c r="L7325" s="282">
        <f>++Tabla4[[#This Row],[Precio Unitario Neto]]-Tabla4[[#This Row],[20.85%]]</f>
        <v>8133.5819063999998</v>
      </c>
      <c r="M7325" s="282" t="e">
        <f>(INDEX(Tabla6[#All],MATCH(Tabla4[[#This Row],[Producto]],Tabla6[[#All],[PRODUCTO]],0),MATCH(Tabla4[[#This Row],[Mes]],Tabla6[#Headers],0)))*(1+Catalogos!$L$2)</f>
        <v>#N/A</v>
      </c>
      <c r="N7325" s="283" t="e">
        <f>+(Tabla4[[#This Row],[Precio Descontado]]-Tabla4[[#This Row],[Precio Base]])*Tabla4[[#This Row],[Cantidad]]</f>
        <v>#N/A</v>
      </c>
      <c r="O7325" s="284" t="e">
        <f>++Tabla4[[#This Row],[Utilidad Total]]/Tabla4[[#This Row],[Total]]</f>
        <v>#N/A</v>
      </c>
      <c r="P7325" s="282">
        <f>++Tabla4[[#This Row],[Precio Descontado]]*Tabla4[[#This Row],[Cantidad]]</f>
        <v>8133.5819063999998</v>
      </c>
      <c r="Q7325" s="282" t="e">
        <f>(INDEX(Tabla6[#All],MATCH(Tabla4[[#This Row],[Producto]],Tabla6[[#All],[PRODUCTO]],0),MATCH(Tabla4[[#This Row],[Mes]],Tabla6[#Headers],0)))</f>
        <v>#N/A</v>
      </c>
      <c r="R7325" s="282" t="e">
        <f>++Tabla4[[#This Row],[Precio Unitario Neto]]-Tabla4[[#This Row],[20.85%]]-Tabla4[[#This Row],[Costo]]</f>
        <v>#N/A</v>
      </c>
      <c r="S7325" s="282" t="e">
        <f>++Tabla4[[#This Row],[U. Bruta Uni]]*Tabla4[[#This Row],[Cantidad]]</f>
        <v>#N/A</v>
      </c>
      <c r="T7325" s="369" t="str">
        <f>VLOOKUP(Tabla4[[#This Row],[Producto]],Tabla6[#All],14,FALSE)</f>
        <v>Termico Solar</v>
      </c>
      <c r="U7325" s="284" t="e">
        <f>(IF(Tabla4[[#This Row],[Familia]]="termico solar",Tabla4[[#This Row],[Utilidad Total]]*6%,Tabla4[[#This Row],[Utilidad Total]]*11.5%))/Tabla4[[#This Row],[Total]]</f>
        <v>#N/A</v>
      </c>
      <c r="V7325" s="282" t="e">
        <f>+Tabla4[[#This Row],[Comisión Calculada]]*Tabla4[[#This Row],[Total]]</f>
        <v>#N/A</v>
      </c>
    </row>
    <row r="7326" spans="1:22" x14ac:dyDescent="0.25">
      <c r="A7326" s="100">
        <v>46006</v>
      </c>
      <c r="B7326" t="str">
        <f t="shared" si="625"/>
        <v>December</v>
      </c>
      <c r="C7326" s="46" t="s">
        <v>280</v>
      </c>
      <c r="F7326" s="366" t="s">
        <v>3692</v>
      </c>
      <c r="G7326" s="46" t="s">
        <v>17</v>
      </c>
      <c r="H7326" s="46">
        <v>2</v>
      </c>
      <c r="I7326" s="51">
        <v>4622.28</v>
      </c>
      <c r="J7326" s="281">
        <f>++Tabla4[[#This Row],[Precio Bruto]]*1.16</f>
        <v>5361.8447999999989</v>
      </c>
      <c r="K7326" s="281">
        <f>+Tabla4[[#This Row],[Precio Unitario Neto]]*Tabla4[[#Headers],[20.85%]]</f>
        <v>1117.9446407999997</v>
      </c>
      <c r="L7326" s="282">
        <f>++Tabla4[[#This Row],[Precio Unitario Neto]]-Tabla4[[#This Row],[20.85%]]</f>
        <v>4243.9001591999995</v>
      </c>
      <c r="M7326" s="282" t="e">
        <f>(INDEX(Tabla6[#All],MATCH(Tabla4[[#This Row],[Producto]],Tabla6[[#All],[PRODUCTO]],0),MATCH(Tabla4[[#This Row],[Mes]],Tabla6[#Headers],0)))*(1+Catalogos!$L$2)</f>
        <v>#N/A</v>
      </c>
      <c r="N7326" s="283" t="e">
        <f>+(Tabla4[[#This Row],[Precio Descontado]]-Tabla4[[#This Row],[Precio Base]])*Tabla4[[#This Row],[Cantidad]]</f>
        <v>#N/A</v>
      </c>
      <c r="O7326" s="284" t="e">
        <f>++Tabla4[[#This Row],[Utilidad Total]]/Tabla4[[#This Row],[Total]]</f>
        <v>#N/A</v>
      </c>
      <c r="P7326" s="282">
        <f>++Tabla4[[#This Row],[Precio Descontado]]*Tabla4[[#This Row],[Cantidad]]</f>
        <v>8487.800318399999</v>
      </c>
      <c r="Q7326" s="282" t="e">
        <f>(INDEX(Tabla6[#All],MATCH(Tabla4[[#This Row],[Producto]],Tabla6[[#All],[PRODUCTO]],0),MATCH(Tabla4[[#This Row],[Mes]],Tabla6[#Headers],0)))</f>
        <v>#N/A</v>
      </c>
      <c r="R7326" s="282" t="e">
        <f>++Tabla4[[#This Row],[Precio Unitario Neto]]-Tabla4[[#This Row],[20.85%]]-Tabla4[[#This Row],[Costo]]</f>
        <v>#N/A</v>
      </c>
      <c r="S7326" s="282" t="e">
        <f>++Tabla4[[#This Row],[U. Bruta Uni]]*Tabla4[[#This Row],[Cantidad]]</f>
        <v>#N/A</v>
      </c>
      <c r="T7326" s="369" t="str">
        <f>VLOOKUP(Tabla4[[#This Row],[Producto]],Tabla6[#All],14,FALSE)</f>
        <v>Termico Solar</v>
      </c>
      <c r="U7326" s="284" t="e">
        <f>(IF(Tabla4[[#This Row],[Familia]]="termico solar",Tabla4[[#This Row],[Utilidad Total]]*6%,Tabla4[[#This Row],[Utilidad Total]]*11.5%))/Tabla4[[#This Row],[Total]]</f>
        <v>#N/A</v>
      </c>
      <c r="V7326" s="282" t="e">
        <f>+Tabla4[[#This Row],[Comisión Calculada]]*Tabla4[[#This Row],[Total]]</f>
        <v>#N/A</v>
      </c>
    </row>
    <row r="7327" spans="1:22" x14ac:dyDescent="0.25">
      <c r="A7327" s="100">
        <v>46006</v>
      </c>
      <c r="B7327" t="str">
        <f t="shared" si="625"/>
        <v>December</v>
      </c>
      <c r="C7327" s="46" t="s">
        <v>280</v>
      </c>
      <c r="F7327" s="366" t="s">
        <v>3692</v>
      </c>
      <c r="G7327" s="46" t="s">
        <v>18</v>
      </c>
      <c r="H7327" s="46">
        <v>2</v>
      </c>
      <c r="I7327" s="51">
        <v>5367.65</v>
      </c>
      <c r="J7327" s="281">
        <f>++Tabla4[[#This Row],[Precio Bruto]]*1.16</f>
        <v>6226.4739999999993</v>
      </c>
      <c r="K7327" s="281">
        <f>+Tabla4[[#This Row],[Precio Unitario Neto]]*Tabla4[[#Headers],[20.85%]]</f>
        <v>1298.2198289999999</v>
      </c>
      <c r="L7327" s="282">
        <f>++Tabla4[[#This Row],[Precio Unitario Neto]]-Tabla4[[#This Row],[20.85%]]</f>
        <v>4928.2541709999996</v>
      </c>
      <c r="M7327" s="282" t="e">
        <f>(INDEX(Tabla6[#All],MATCH(Tabla4[[#This Row],[Producto]],Tabla6[[#All],[PRODUCTO]],0),MATCH(Tabla4[[#This Row],[Mes]],Tabla6[#Headers],0)))*(1+Catalogos!$L$2)</f>
        <v>#N/A</v>
      </c>
      <c r="N7327" s="283" t="e">
        <f>+(Tabla4[[#This Row],[Precio Descontado]]-Tabla4[[#This Row],[Precio Base]])*Tabla4[[#This Row],[Cantidad]]</f>
        <v>#N/A</v>
      </c>
      <c r="O7327" s="284" t="e">
        <f>++Tabla4[[#This Row],[Utilidad Total]]/Tabla4[[#This Row],[Total]]</f>
        <v>#N/A</v>
      </c>
      <c r="P7327" s="282">
        <f>++Tabla4[[#This Row],[Precio Descontado]]*Tabla4[[#This Row],[Cantidad]]</f>
        <v>9856.5083419999992</v>
      </c>
      <c r="Q7327" s="282" t="e">
        <f>(INDEX(Tabla6[#All],MATCH(Tabla4[[#This Row],[Producto]],Tabla6[[#All],[PRODUCTO]],0),MATCH(Tabla4[[#This Row],[Mes]],Tabla6[#Headers],0)))</f>
        <v>#N/A</v>
      </c>
      <c r="R7327" s="282" t="e">
        <f>++Tabla4[[#This Row],[Precio Unitario Neto]]-Tabla4[[#This Row],[20.85%]]-Tabla4[[#This Row],[Costo]]</f>
        <v>#N/A</v>
      </c>
      <c r="S7327" s="282" t="e">
        <f>++Tabla4[[#This Row],[U. Bruta Uni]]*Tabla4[[#This Row],[Cantidad]]</f>
        <v>#N/A</v>
      </c>
      <c r="T7327" s="369" t="str">
        <f>VLOOKUP(Tabla4[[#This Row],[Producto]],Tabla6[#All],14,FALSE)</f>
        <v>Termico Solar</v>
      </c>
      <c r="U7327" s="284" t="e">
        <f>(IF(Tabla4[[#This Row],[Familia]]="termico solar",Tabla4[[#This Row],[Utilidad Total]]*6%,Tabla4[[#This Row],[Utilidad Total]]*11.5%))/Tabla4[[#This Row],[Total]]</f>
        <v>#N/A</v>
      </c>
      <c r="V7327" s="282" t="e">
        <f>+Tabla4[[#This Row],[Comisión Calculada]]*Tabla4[[#This Row],[Total]]</f>
        <v>#N/A</v>
      </c>
    </row>
    <row r="7328" spans="1:22" x14ac:dyDescent="0.25">
      <c r="A7328" s="100">
        <v>46006</v>
      </c>
      <c r="B7328" t="str">
        <f t="shared" si="625"/>
        <v>December</v>
      </c>
      <c r="C7328" s="46" t="s">
        <v>280</v>
      </c>
      <c r="F7328" s="366" t="s">
        <v>3692</v>
      </c>
      <c r="G7328" s="46" t="s">
        <v>16</v>
      </c>
      <c r="H7328" s="46">
        <v>1</v>
      </c>
      <c r="I7328" s="51">
        <v>4103.8500000000004</v>
      </c>
      <c r="J7328" s="281">
        <f>++Tabla4[[#This Row],[Precio Bruto]]*1.16</f>
        <v>4760.4660000000003</v>
      </c>
      <c r="K7328" s="281">
        <f>+Tabla4[[#This Row],[Precio Unitario Neto]]*Tabla4[[#Headers],[20.85%]]</f>
        <v>992.55716100000006</v>
      </c>
      <c r="L7328" s="282">
        <f>++Tabla4[[#This Row],[Precio Unitario Neto]]-Tabla4[[#This Row],[20.85%]]</f>
        <v>3767.9088390000002</v>
      </c>
      <c r="M7328" s="282" t="e">
        <f>(INDEX(Tabla6[#All],MATCH(Tabla4[[#This Row],[Producto]],Tabla6[[#All],[PRODUCTO]],0),MATCH(Tabla4[[#This Row],[Mes]],Tabla6[#Headers],0)))*(1+Catalogos!$L$2)</f>
        <v>#N/A</v>
      </c>
      <c r="N7328" s="283" t="e">
        <f>+(Tabla4[[#This Row],[Precio Descontado]]-Tabla4[[#This Row],[Precio Base]])*Tabla4[[#This Row],[Cantidad]]</f>
        <v>#N/A</v>
      </c>
      <c r="O7328" s="284" t="e">
        <f>++Tabla4[[#This Row],[Utilidad Total]]/Tabla4[[#This Row],[Total]]</f>
        <v>#N/A</v>
      </c>
      <c r="P7328" s="282">
        <f>++Tabla4[[#This Row],[Precio Descontado]]*Tabla4[[#This Row],[Cantidad]]</f>
        <v>3767.9088390000002</v>
      </c>
      <c r="Q7328" s="282" t="e">
        <f>(INDEX(Tabla6[#All],MATCH(Tabla4[[#This Row],[Producto]],Tabla6[[#All],[PRODUCTO]],0),MATCH(Tabla4[[#This Row],[Mes]],Tabla6[#Headers],0)))</f>
        <v>#N/A</v>
      </c>
      <c r="R7328" s="282" t="e">
        <f>++Tabla4[[#This Row],[Precio Unitario Neto]]-Tabla4[[#This Row],[20.85%]]-Tabla4[[#This Row],[Costo]]</f>
        <v>#N/A</v>
      </c>
      <c r="S7328" s="282" t="e">
        <f>++Tabla4[[#This Row],[U. Bruta Uni]]*Tabla4[[#This Row],[Cantidad]]</f>
        <v>#N/A</v>
      </c>
      <c r="T7328" s="369" t="str">
        <f>VLOOKUP(Tabla4[[#This Row],[Producto]],Tabla6[#All],14,FALSE)</f>
        <v>Termico Solar</v>
      </c>
      <c r="U7328" s="284" t="e">
        <f>(IF(Tabla4[[#This Row],[Familia]]="termico solar",Tabla4[[#This Row],[Utilidad Total]]*6%,Tabla4[[#This Row],[Utilidad Total]]*11.5%))/Tabla4[[#This Row],[Total]]</f>
        <v>#N/A</v>
      </c>
      <c r="V7328" s="282" t="e">
        <f>+Tabla4[[#This Row],[Comisión Calculada]]*Tabla4[[#This Row],[Total]]</f>
        <v>#N/A</v>
      </c>
    </row>
    <row r="7329" spans="1:22" x14ac:dyDescent="0.25">
      <c r="A7329" s="100">
        <v>46006</v>
      </c>
      <c r="B7329" t="str">
        <f t="shared" si="625"/>
        <v>December</v>
      </c>
      <c r="C7329" s="46" t="s">
        <v>280</v>
      </c>
      <c r="F7329" s="366" t="s">
        <v>3692</v>
      </c>
      <c r="G7329" s="46" t="s">
        <v>394</v>
      </c>
      <c r="H7329" s="46">
        <v>16</v>
      </c>
      <c r="I7329" s="51">
        <v>224.29</v>
      </c>
      <c r="J7329" s="281">
        <f>++Tabla4[[#This Row],[Precio Bruto]]*1.16</f>
        <v>260.1764</v>
      </c>
      <c r="K7329" s="281">
        <f>+Tabla4[[#This Row],[Precio Unitario Neto]]*Tabla4[[#Headers],[20.85%]]</f>
        <v>54.246779400000001</v>
      </c>
      <c r="L7329" s="282">
        <f>++Tabla4[[#This Row],[Precio Unitario Neto]]-Tabla4[[#This Row],[20.85%]]</f>
        <v>205.92962059999999</v>
      </c>
      <c r="M7329" s="282" t="e">
        <f>(INDEX(Tabla6[#All],MATCH(Tabla4[[#This Row],[Producto]],Tabla6[[#All],[PRODUCTO]],0),MATCH(Tabla4[[#This Row],[Mes]],Tabla6[#Headers],0)))*(1+Catalogos!$L$2)</f>
        <v>#N/A</v>
      </c>
      <c r="N7329" s="283" t="e">
        <f>+(Tabla4[[#This Row],[Precio Descontado]]-Tabla4[[#This Row],[Precio Base]])*Tabla4[[#This Row],[Cantidad]]</f>
        <v>#N/A</v>
      </c>
      <c r="O7329" s="284" t="e">
        <f>++Tabla4[[#This Row],[Utilidad Total]]/Tabla4[[#This Row],[Total]]</f>
        <v>#N/A</v>
      </c>
      <c r="P7329" s="282">
        <f>++Tabla4[[#This Row],[Precio Descontado]]*Tabla4[[#This Row],[Cantidad]]</f>
        <v>3294.8739295999999</v>
      </c>
      <c r="Q7329" s="282" t="e">
        <f>(INDEX(Tabla6[#All],MATCH(Tabla4[[#This Row],[Producto]],Tabla6[[#All],[PRODUCTO]],0),MATCH(Tabla4[[#This Row],[Mes]],Tabla6[#Headers],0)))</f>
        <v>#N/A</v>
      </c>
      <c r="R7329" s="282" t="e">
        <f>++Tabla4[[#This Row],[Precio Unitario Neto]]-Tabla4[[#This Row],[20.85%]]-Tabla4[[#This Row],[Costo]]</f>
        <v>#N/A</v>
      </c>
      <c r="S7329" s="282" t="e">
        <f>++Tabla4[[#This Row],[U. Bruta Uni]]*Tabla4[[#This Row],[Cantidad]]</f>
        <v>#N/A</v>
      </c>
      <c r="T7329" s="369" t="str">
        <f>VLOOKUP(Tabla4[[#This Row],[Producto]],Tabla6[#All],14,FALSE)</f>
        <v>Termico Solar</v>
      </c>
      <c r="U7329" s="284" t="e">
        <f>(IF(Tabla4[[#This Row],[Familia]]="termico solar",Tabla4[[#This Row],[Utilidad Total]]*6%,Tabla4[[#This Row],[Utilidad Total]]*11.5%))/Tabla4[[#This Row],[Total]]</f>
        <v>#N/A</v>
      </c>
      <c r="V7329" s="282" t="e">
        <f>+Tabla4[[#This Row],[Comisión Calculada]]*Tabla4[[#This Row],[Total]]</f>
        <v>#N/A</v>
      </c>
    </row>
    <row r="7330" spans="1:22" x14ac:dyDescent="0.25">
      <c r="A7330" s="100">
        <v>46006</v>
      </c>
      <c r="B7330" t="str">
        <f t="shared" ref="B7330:B7331" si="626">TEXT(A7330, "mmmm")</f>
        <v>December</v>
      </c>
      <c r="C7330" s="46" t="s">
        <v>280</v>
      </c>
      <c r="F7330" s="366" t="s">
        <v>3693</v>
      </c>
      <c r="G7330" s="46" t="s">
        <v>17</v>
      </c>
      <c r="H7330" s="46">
        <v>1</v>
      </c>
      <c r="I7330" s="51">
        <v>4622.28</v>
      </c>
      <c r="J7330" s="281">
        <f>++Tabla4[[#This Row],[Precio Bruto]]*1.16</f>
        <v>5361.8447999999989</v>
      </c>
      <c r="K7330" s="281">
        <f>+Tabla4[[#This Row],[Precio Unitario Neto]]*Tabla4[[#Headers],[20.85%]]</f>
        <v>1117.9446407999997</v>
      </c>
      <c r="L7330" s="282">
        <f>++Tabla4[[#This Row],[Precio Unitario Neto]]-Tabla4[[#This Row],[20.85%]]</f>
        <v>4243.9001591999995</v>
      </c>
      <c r="M7330" s="282" t="e">
        <f>(INDEX(Tabla6[#All],MATCH(Tabla4[[#This Row],[Producto]],Tabla6[[#All],[PRODUCTO]],0),MATCH(Tabla4[[#This Row],[Mes]],Tabla6[#Headers],0)))*(1+Catalogos!$L$2)</f>
        <v>#N/A</v>
      </c>
      <c r="N7330" s="283" t="e">
        <f>+(Tabla4[[#This Row],[Precio Descontado]]-Tabla4[[#This Row],[Precio Base]])*Tabla4[[#This Row],[Cantidad]]</f>
        <v>#N/A</v>
      </c>
      <c r="O7330" s="284" t="e">
        <f>++Tabla4[[#This Row],[Utilidad Total]]/Tabla4[[#This Row],[Total]]</f>
        <v>#N/A</v>
      </c>
      <c r="P7330" s="282">
        <f>++Tabla4[[#This Row],[Precio Descontado]]*Tabla4[[#This Row],[Cantidad]]</f>
        <v>4243.9001591999995</v>
      </c>
      <c r="Q7330" s="282" t="e">
        <f>(INDEX(Tabla6[#All],MATCH(Tabla4[[#This Row],[Producto]],Tabla6[[#All],[PRODUCTO]],0),MATCH(Tabla4[[#This Row],[Mes]],Tabla6[#Headers],0)))</f>
        <v>#N/A</v>
      </c>
      <c r="R7330" s="282" t="e">
        <f>++Tabla4[[#This Row],[Precio Unitario Neto]]-Tabla4[[#This Row],[20.85%]]-Tabla4[[#This Row],[Costo]]</f>
        <v>#N/A</v>
      </c>
      <c r="S7330" s="282" t="e">
        <f>++Tabla4[[#This Row],[U. Bruta Uni]]*Tabla4[[#This Row],[Cantidad]]</f>
        <v>#N/A</v>
      </c>
      <c r="T7330" s="369" t="str">
        <f>VLOOKUP(Tabla4[[#This Row],[Producto]],Tabla6[#All],14,FALSE)</f>
        <v>Termico Solar</v>
      </c>
      <c r="U7330" s="284" t="e">
        <f>(IF(Tabla4[[#This Row],[Familia]]="termico solar",Tabla4[[#This Row],[Utilidad Total]]*6%,Tabla4[[#This Row],[Utilidad Total]]*11.5%))/Tabla4[[#This Row],[Total]]</f>
        <v>#N/A</v>
      </c>
      <c r="V7330" s="282" t="e">
        <f>+Tabla4[[#This Row],[Comisión Calculada]]*Tabla4[[#This Row],[Total]]</f>
        <v>#N/A</v>
      </c>
    </row>
    <row r="7331" spans="1:22" x14ac:dyDescent="0.25">
      <c r="A7331" s="100">
        <v>46006</v>
      </c>
      <c r="B7331" t="str">
        <f t="shared" si="626"/>
        <v>December</v>
      </c>
      <c r="C7331" s="46" t="s">
        <v>280</v>
      </c>
      <c r="F7331" s="366" t="s">
        <v>3693</v>
      </c>
      <c r="G7331" s="46" t="s">
        <v>18</v>
      </c>
      <c r="H7331" s="46">
        <v>1</v>
      </c>
      <c r="I7331" s="51">
        <v>5367.65</v>
      </c>
      <c r="J7331" s="281">
        <f>++Tabla4[[#This Row],[Precio Bruto]]*1.16</f>
        <v>6226.4739999999993</v>
      </c>
      <c r="K7331" s="281">
        <f>+Tabla4[[#This Row],[Precio Unitario Neto]]*Tabla4[[#Headers],[20.85%]]</f>
        <v>1298.2198289999999</v>
      </c>
      <c r="L7331" s="282">
        <f>++Tabla4[[#This Row],[Precio Unitario Neto]]-Tabla4[[#This Row],[20.85%]]</f>
        <v>4928.2541709999996</v>
      </c>
      <c r="M7331" s="282" t="e">
        <f>(INDEX(Tabla6[#All],MATCH(Tabla4[[#This Row],[Producto]],Tabla6[[#All],[PRODUCTO]],0),MATCH(Tabla4[[#This Row],[Mes]],Tabla6[#Headers],0)))*(1+Catalogos!$L$2)</f>
        <v>#N/A</v>
      </c>
      <c r="N7331" s="283" t="e">
        <f>+(Tabla4[[#This Row],[Precio Descontado]]-Tabla4[[#This Row],[Precio Base]])*Tabla4[[#This Row],[Cantidad]]</f>
        <v>#N/A</v>
      </c>
      <c r="O7331" s="284" t="e">
        <f>++Tabla4[[#This Row],[Utilidad Total]]/Tabla4[[#This Row],[Total]]</f>
        <v>#N/A</v>
      </c>
      <c r="P7331" s="282">
        <f>++Tabla4[[#This Row],[Precio Descontado]]*Tabla4[[#This Row],[Cantidad]]</f>
        <v>4928.2541709999996</v>
      </c>
      <c r="Q7331" s="282" t="e">
        <f>(INDEX(Tabla6[#All],MATCH(Tabla4[[#This Row],[Producto]],Tabla6[[#All],[PRODUCTO]],0),MATCH(Tabla4[[#This Row],[Mes]],Tabla6[#Headers],0)))</f>
        <v>#N/A</v>
      </c>
      <c r="R7331" s="282" t="e">
        <f>++Tabla4[[#This Row],[Precio Unitario Neto]]-Tabla4[[#This Row],[20.85%]]-Tabla4[[#This Row],[Costo]]</f>
        <v>#N/A</v>
      </c>
      <c r="S7331" s="282" t="e">
        <f>++Tabla4[[#This Row],[U. Bruta Uni]]*Tabla4[[#This Row],[Cantidad]]</f>
        <v>#N/A</v>
      </c>
      <c r="T7331" s="369" t="str">
        <f>VLOOKUP(Tabla4[[#This Row],[Producto]],Tabla6[#All],14,FALSE)</f>
        <v>Termico Solar</v>
      </c>
      <c r="U7331" s="284" t="e">
        <f>(IF(Tabla4[[#This Row],[Familia]]="termico solar",Tabla4[[#This Row],[Utilidad Total]]*6%,Tabla4[[#This Row],[Utilidad Total]]*11.5%))/Tabla4[[#This Row],[Total]]</f>
        <v>#N/A</v>
      </c>
      <c r="V7331" s="282" t="e">
        <f>+Tabla4[[#This Row],[Comisión Calculada]]*Tabla4[[#This Row],[Total]]</f>
        <v>#N/A</v>
      </c>
    </row>
    <row r="7332" spans="1:22" x14ac:dyDescent="0.25">
      <c r="A7332" s="100">
        <v>46006</v>
      </c>
      <c r="B7332" t="str">
        <f t="shared" ref="B7332:B7334" si="627">TEXT(A7332, "mmmm")</f>
        <v>December</v>
      </c>
      <c r="C7332" s="46" t="s">
        <v>280</v>
      </c>
      <c r="F7332" s="366" t="s">
        <v>3694</v>
      </c>
      <c r="G7332" s="46" t="s">
        <v>18</v>
      </c>
      <c r="H7332" s="46">
        <v>2</v>
      </c>
      <c r="I7332" s="51">
        <v>5367.65</v>
      </c>
      <c r="J7332" s="281">
        <f>++Tabla4[[#This Row],[Precio Bruto]]*1.16</f>
        <v>6226.4739999999993</v>
      </c>
      <c r="K7332" s="281">
        <f>+Tabla4[[#This Row],[Precio Unitario Neto]]*Tabla4[[#Headers],[20.85%]]</f>
        <v>1298.2198289999999</v>
      </c>
      <c r="L7332" s="282">
        <f>++Tabla4[[#This Row],[Precio Unitario Neto]]-Tabla4[[#This Row],[20.85%]]</f>
        <v>4928.2541709999996</v>
      </c>
      <c r="M7332" s="282" t="e">
        <f>(INDEX(Tabla6[#All],MATCH(Tabla4[[#This Row],[Producto]],Tabla6[[#All],[PRODUCTO]],0),MATCH(Tabla4[[#This Row],[Mes]],Tabla6[#Headers],0)))*(1+Catalogos!$L$2)</f>
        <v>#N/A</v>
      </c>
      <c r="N7332" s="283" t="e">
        <f>+(Tabla4[[#This Row],[Precio Descontado]]-Tabla4[[#This Row],[Precio Base]])*Tabla4[[#This Row],[Cantidad]]</f>
        <v>#N/A</v>
      </c>
      <c r="O7332" s="284" t="e">
        <f>++Tabla4[[#This Row],[Utilidad Total]]/Tabla4[[#This Row],[Total]]</f>
        <v>#N/A</v>
      </c>
      <c r="P7332" s="282">
        <f>++Tabla4[[#This Row],[Precio Descontado]]*Tabla4[[#This Row],[Cantidad]]</f>
        <v>9856.5083419999992</v>
      </c>
      <c r="Q7332" s="282" t="e">
        <f>(INDEX(Tabla6[#All],MATCH(Tabla4[[#This Row],[Producto]],Tabla6[[#All],[PRODUCTO]],0),MATCH(Tabla4[[#This Row],[Mes]],Tabla6[#Headers],0)))</f>
        <v>#N/A</v>
      </c>
      <c r="R7332" s="282" t="e">
        <f>++Tabla4[[#This Row],[Precio Unitario Neto]]-Tabla4[[#This Row],[20.85%]]-Tabla4[[#This Row],[Costo]]</f>
        <v>#N/A</v>
      </c>
      <c r="S7332" s="282" t="e">
        <f>++Tabla4[[#This Row],[U. Bruta Uni]]*Tabla4[[#This Row],[Cantidad]]</f>
        <v>#N/A</v>
      </c>
      <c r="T7332" s="369" t="str">
        <f>VLOOKUP(Tabla4[[#This Row],[Producto]],Tabla6[#All],14,FALSE)</f>
        <v>Termico Solar</v>
      </c>
      <c r="U7332" s="284" t="e">
        <f>(IF(Tabla4[[#This Row],[Familia]]="termico solar",Tabla4[[#This Row],[Utilidad Total]]*6%,Tabla4[[#This Row],[Utilidad Total]]*11.5%))/Tabla4[[#This Row],[Total]]</f>
        <v>#N/A</v>
      </c>
      <c r="V7332" s="282" t="e">
        <f>+Tabla4[[#This Row],[Comisión Calculada]]*Tabla4[[#This Row],[Total]]</f>
        <v>#N/A</v>
      </c>
    </row>
    <row r="7333" spans="1:22" x14ac:dyDescent="0.25">
      <c r="A7333" s="100">
        <v>46006</v>
      </c>
      <c r="B7333" t="str">
        <f t="shared" si="627"/>
        <v>December</v>
      </c>
      <c r="C7333" s="46" t="s">
        <v>280</v>
      </c>
      <c r="F7333" s="366" t="s">
        <v>3694</v>
      </c>
      <c r="G7333" s="46" t="s">
        <v>16</v>
      </c>
      <c r="H7333" s="46">
        <v>1</v>
      </c>
      <c r="I7333" s="51">
        <v>4103.8500000000004</v>
      </c>
      <c r="J7333" s="281">
        <f>++Tabla4[[#This Row],[Precio Bruto]]*1.16</f>
        <v>4760.4660000000003</v>
      </c>
      <c r="K7333" s="281">
        <f>+Tabla4[[#This Row],[Precio Unitario Neto]]*Tabla4[[#Headers],[20.85%]]</f>
        <v>992.55716100000006</v>
      </c>
      <c r="L7333" s="282">
        <f>++Tabla4[[#This Row],[Precio Unitario Neto]]-Tabla4[[#This Row],[20.85%]]</f>
        <v>3767.9088390000002</v>
      </c>
      <c r="M7333" s="282" t="e">
        <f>(INDEX(Tabla6[#All],MATCH(Tabla4[[#This Row],[Producto]],Tabla6[[#All],[PRODUCTO]],0),MATCH(Tabla4[[#This Row],[Mes]],Tabla6[#Headers],0)))*(1+Catalogos!$L$2)</f>
        <v>#N/A</v>
      </c>
      <c r="N7333" s="283" t="e">
        <f>+(Tabla4[[#This Row],[Precio Descontado]]-Tabla4[[#This Row],[Precio Base]])*Tabla4[[#This Row],[Cantidad]]</f>
        <v>#N/A</v>
      </c>
      <c r="O7333" s="284" t="e">
        <f>++Tabla4[[#This Row],[Utilidad Total]]/Tabla4[[#This Row],[Total]]</f>
        <v>#N/A</v>
      </c>
      <c r="P7333" s="282">
        <f>++Tabla4[[#This Row],[Precio Descontado]]*Tabla4[[#This Row],[Cantidad]]</f>
        <v>3767.9088390000002</v>
      </c>
      <c r="Q7333" s="282" t="e">
        <f>(INDEX(Tabla6[#All],MATCH(Tabla4[[#This Row],[Producto]],Tabla6[[#All],[PRODUCTO]],0),MATCH(Tabla4[[#This Row],[Mes]],Tabla6[#Headers],0)))</f>
        <v>#N/A</v>
      </c>
      <c r="R7333" s="282" t="e">
        <f>++Tabla4[[#This Row],[Precio Unitario Neto]]-Tabla4[[#This Row],[20.85%]]-Tabla4[[#This Row],[Costo]]</f>
        <v>#N/A</v>
      </c>
      <c r="S7333" s="282" t="e">
        <f>++Tabla4[[#This Row],[U. Bruta Uni]]*Tabla4[[#This Row],[Cantidad]]</f>
        <v>#N/A</v>
      </c>
      <c r="T7333" s="369" t="str">
        <f>VLOOKUP(Tabla4[[#This Row],[Producto]],Tabla6[#All],14,FALSE)</f>
        <v>Termico Solar</v>
      </c>
      <c r="U7333" s="284" t="e">
        <f>(IF(Tabla4[[#This Row],[Familia]]="termico solar",Tabla4[[#This Row],[Utilidad Total]]*6%,Tabla4[[#This Row],[Utilidad Total]]*11.5%))/Tabla4[[#This Row],[Total]]</f>
        <v>#N/A</v>
      </c>
      <c r="V7333" s="282" t="e">
        <f>+Tabla4[[#This Row],[Comisión Calculada]]*Tabla4[[#This Row],[Total]]</f>
        <v>#N/A</v>
      </c>
    </row>
    <row r="7334" spans="1:22" x14ac:dyDescent="0.25">
      <c r="A7334" s="100">
        <v>46006</v>
      </c>
      <c r="B7334" t="str">
        <f t="shared" si="627"/>
        <v>December</v>
      </c>
      <c r="C7334" s="46" t="s">
        <v>280</v>
      </c>
      <c r="F7334" s="366" t="s">
        <v>3694</v>
      </c>
      <c r="G7334" s="46" t="s">
        <v>208</v>
      </c>
      <c r="H7334" s="46">
        <v>1</v>
      </c>
      <c r="I7334" s="51">
        <v>189.75</v>
      </c>
      <c r="J7334" s="281">
        <f>++Tabla4[[#This Row],[Precio Bruto]]*1.16</f>
        <v>220.10999999999999</v>
      </c>
      <c r="K7334" s="281">
        <f>+Tabla4[[#This Row],[Precio Unitario Neto]]*Tabla4[[#Headers],[20.85%]]</f>
        <v>45.892934999999994</v>
      </c>
      <c r="L7334" s="282">
        <f>++Tabla4[[#This Row],[Precio Unitario Neto]]-Tabla4[[#This Row],[20.85%]]</f>
        <v>174.21706499999999</v>
      </c>
      <c r="M7334" s="282" t="e">
        <f>(INDEX(Tabla6[#All],MATCH(Tabla4[[#This Row],[Producto]],Tabla6[[#All],[PRODUCTO]],0),MATCH(Tabla4[[#This Row],[Mes]],Tabla6[#Headers],0)))*(1+Catalogos!$L$2)</f>
        <v>#N/A</v>
      </c>
      <c r="N7334" s="283" t="e">
        <f>+(Tabla4[[#This Row],[Precio Descontado]]-Tabla4[[#This Row],[Precio Base]])*Tabla4[[#This Row],[Cantidad]]</f>
        <v>#N/A</v>
      </c>
      <c r="O7334" s="284" t="e">
        <f>++Tabla4[[#This Row],[Utilidad Total]]/Tabla4[[#This Row],[Total]]</f>
        <v>#N/A</v>
      </c>
      <c r="P7334" s="282">
        <f>++Tabla4[[#This Row],[Precio Descontado]]*Tabla4[[#This Row],[Cantidad]]</f>
        <v>174.21706499999999</v>
      </c>
      <c r="Q7334" s="282" t="e">
        <f>(INDEX(Tabla6[#All],MATCH(Tabla4[[#This Row],[Producto]],Tabla6[[#All],[PRODUCTO]],0),MATCH(Tabla4[[#This Row],[Mes]],Tabla6[#Headers],0)))</f>
        <v>#N/A</v>
      </c>
      <c r="R7334" s="282" t="e">
        <f>++Tabla4[[#This Row],[Precio Unitario Neto]]-Tabla4[[#This Row],[20.85%]]-Tabla4[[#This Row],[Costo]]</f>
        <v>#N/A</v>
      </c>
      <c r="S7334" s="282" t="e">
        <f>++Tabla4[[#This Row],[U. Bruta Uni]]*Tabla4[[#This Row],[Cantidad]]</f>
        <v>#N/A</v>
      </c>
      <c r="T7334" s="369" t="str">
        <f>VLOOKUP(Tabla4[[#This Row],[Producto]],Tabla6[#All],14,FALSE)</f>
        <v>Termico Solar</v>
      </c>
      <c r="U7334" s="284" t="e">
        <f>(IF(Tabla4[[#This Row],[Familia]]="termico solar",Tabla4[[#This Row],[Utilidad Total]]*6%,Tabla4[[#This Row],[Utilidad Total]]*11.5%))/Tabla4[[#This Row],[Total]]</f>
        <v>#N/A</v>
      </c>
      <c r="V7334" s="282" t="e">
        <f>+Tabla4[[#This Row],[Comisión Calculada]]*Tabla4[[#This Row],[Total]]</f>
        <v>#N/A</v>
      </c>
    </row>
    <row r="7335" spans="1:22" x14ac:dyDescent="0.25">
      <c r="A7335" s="100">
        <v>46006</v>
      </c>
      <c r="B7335" t="str">
        <f>TEXT(A7335, "mmmm")</f>
        <v>December</v>
      </c>
      <c r="C7335" s="46" t="s">
        <v>280</v>
      </c>
      <c r="F7335" s="366" t="s">
        <v>3695</v>
      </c>
      <c r="G7335" s="46" t="s">
        <v>22</v>
      </c>
      <c r="H7335" s="46">
        <v>2</v>
      </c>
      <c r="I7335" s="51">
        <v>13355.75</v>
      </c>
      <c r="J7335" s="281">
        <f>++Tabla4[[#This Row],[Precio Bruto]]*1.16</f>
        <v>15492.669999999998</v>
      </c>
      <c r="K7335" s="281">
        <f>+Tabla4[[#This Row],[Precio Unitario Neto]]*Tabla4[[#Headers],[20.85%]]</f>
        <v>3230.2216949999993</v>
      </c>
      <c r="L7335" s="282">
        <f>++Tabla4[[#This Row],[Precio Unitario Neto]]-Tabla4[[#This Row],[20.85%]]</f>
        <v>12262.448304999998</v>
      </c>
      <c r="M7335" s="282" t="e">
        <f>(INDEX(Tabla6[#All],MATCH(Tabla4[[#This Row],[Producto]],Tabla6[[#All],[PRODUCTO]],0),MATCH(Tabla4[[#This Row],[Mes]],Tabla6[#Headers],0)))*(1+Catalogos!$L$2)</f>
        <v>#N/A</v>
      </c>
      <c r="N7335" s="283" t="e">
        <f>+(Tabla4[[#This Row],[Precio Descontado]]-Tabla4[[#This Row],[Precio Base]])*Tabla4[[#This Row],[Cantidad]]</f>
        <v>#N/A</v>
      </c>
      <c r="O7335" s="284" t="e">
        <f>++Tabla4[[#This Row],[Utilidad Total]]/Tabla4[[#This Row],[Total]]</f>
        <v>#N/A</v>
      </c>
      <c r="P7335" s="282">
        <f>++Tabla4[[#This Row],[Precio Descontado]]*Tabla4[[#This Row],[Cantidad]]</f>
        <v>24524.896609999996</v>
      </c>
      <c r="Q7335" s="282" t="e">
        <f>(INDEX(Tabla6[#All],MATCH(Tabla4[[#This Row],[Producto]],Tabla6[[#All],[PRODUCTO]],0),MATCH(Tabla4[[#This Row],[Mes]],Tabla6[#Headers],0)))</f>
        <v>#N/A</v>
      </c>
      <c r="R7335" s="282" t="e">
        <f>++Tabla4[[#This Row],[Precio Unitario Neto]]-Tabla4[[#This Row],[20.85%]]-Tabla4[[#This Row],[Costo]]</f>
        <v>#N/A</v>
      </c>
      <c r="S7335" s="282" t="e">
        <f>++Tabla4[[#This Row],[U. Bruta Uni]]*Tabla4[[#This Row],[Cantidad]]</f>
        <v>#N/A</v>
      </c>
      <c r="T7335" s="369" t="str">
        <f>VLOOKUP(Tabla4[[#This Row],[Producto]],Tabla6[#All],14,FALSE)</f>
        <v>Termico Solar</v>
      </c>
      <c r="U7335" s="284" t="e">
        <f>(IF(Tabla4[[#This Row],[Familia]]="termico solar",Tabla4[[#This Row],[Utilidad Total]]*6%,Tabla4[[#This Row],[Utilidad Total]]*11.5%))/Tabla4[[#This Row],[Total]]</f>
        <v>#N/A</v>
      </c>
      <c r="V7335" s="282" t="e">
        <f>+Tabla4[[#This Row],[Comisión Calculada]]*Tabla4[[#This Row],[Total]]</f>
        <v>#N/A</v>
      </c>
    </row>
    <row r="7336" spans="1:22" x14ac:dyDescent="0.25">
      <c r="A7336" s="100">
        <v>46006</v>
      </c>
      <c r="B7336" t="str">
        <f t="shared" ref="B7336:B7339" si="628">TEXT(A7336, "mmmm")</f>
        <v>December</v>
      </c>
      <c r="C7336" s="46" t="s">
        <v>280</v>
      </c>
      <c r="F7336" s="366" t="s">
        <v>3696</v>
      </c>
      <c r="G7336" s="46" t="s">
        <v>18</v>
      </c>
      <c r="H7336" s="46">
        <v>1</v>
      </c>
      <c r="I7336" s="51">
        <v>5367.65</v>
      </c>
      <c r="J7336" s="281">
        <f>++Tabla4[[#This Row],[Precio Bruto]]*1.16</f>
        <v>6226.4739999999993</v>
      </c>
      <c r="K7336" s="281">
        <f>+Tabla4[[#This Row],[Precio Unitario Neto]]*Tabla4[[#Headers],[20.85%]]</f>
        <v>1298.2198289999999</v>
      </c>
      <c r="L7336" s="282">
        <f>++Tabla4[[#This Row],[Precio Unitario Neto]]-Tabla4[[#This Row],[20.85%]]</f>
        <v>4928.2541709999996</v>
      </c>
      <c r="M7336" s="282" t="e">
        <f>(INDEX(Tabla6[#All],MATCH(Tabla4[[#This Row],[Producto]],Tabla6[[#All],[PRODUCTO]],0),MATCH(Tabla4[[#This Row],[Mes]],Tabla6[#Headers],0)))*(1+Catalogos!$L$2)</f>
        <v>#N/A</v>
      </c>
      <c r="N7336" s="283" t="e">
        <f>+(Tabla4[[#This Row],[Precio Descontado]]-Tabla4[[#This Row],[Precio Base]])*Tabla4[[#This Row],[Cantidad]]</f>
        <v>#N/A</v>
      </c>
      <c r="O7336" s="284" t="e">
        <f>++Tabla4[[#This Row],[Utilidad Total]]/Tabla4[[#This Row],[Total]]</f>
        <v>#N/A</v>
      </c>
      <c r="P7336" s="282">
        <f>++Tabla4[[#This Row],[Precio Descontado]]*Tabla4[[#This Row],[Cantidad]]</f>
        <v>4928.2541709999996</v>
      </c>
      <c r="Q7336" s="282" t="e">
        <f>(INDEX(Tabla6[#All],MATCH(Tabla4[[#This Row],[Producto]],Tabla6[[#All],[PRODUCTO]],0),MATCH(Tabla4[[#This Row],[Mes]],Tabla6[#Headers],0)))</f>
        <v>#N/A</v>
      </c>
      <c r="R7336" s="282" t="e">
        <f>++Tabla4[[#This Row],[Precio Unitario Neto]]-Tabla4[[#This Row],[20.85%]]-Tabla4[[#This Row],[Costo]]</f>
        <v>#N/A</v>
      </c>
      <c r="S7336" s="282" t="e">
        <f>++Tabla4[[#This Row],[U. Bruta Uni]]*Tabla4[[#This Row],[Cantidad]]</f>
        <v>#N/A</v>
      </c>
      <c r="T7336" s="369" t="str">
        <f>VLOOKUP(Tabla4[[#This Row],[Producto]],Tabla6[#All],14,FALSE)</f>
        <v>Termico Solar</v>
      </c>
      <c r="U7336" s="284" t="e">
        <f>(IF(Tabla4[[#This Row],[Familia]]="termico solar",Tabla4[[#This Row],[Utilidad Total]]*6%,Tabla4[[#This Row],[Utilidad Total]]*11.5%))/Tabla4[[#This Row],[Total]]</f>
        <v>#N/A</v>
      </c>
      <c r="V7336" s="282" t="e">
        <f>+Tabla4[[#This Row],[Comisión Calculada]]*Tabla4[[#This Row],[Total]]</f>
        <v>#N/A</v>
      </c>
    </row>
    <row r="7337" spans="1:22" x14ac:dyDescent="0.25">
      <c r="A7337" s="100">
        <v>46006</v>
      </c>
      <c r="B7337" t="str">
        <f t="shared" si="628"/>
        <v>December</v>
      </c>
      <c r="C7337" s="46" t="s">
        <v>280</v>
      </c>
      <c r="F7337" s="366" t="s">
        <v>3696</v>
      </c>
      <c r="G7337" s="46" t="s">
        <v>566</v>
      </c>
      <c r="H7337" s="46">
        <v>2</v>
      </c>
      <c r="I7337" s="51">
        <v>2109.4499999999998</v>
      </c>
      <c r="J7337" s="281">
        <f>++Tabla4[[#This Row],[Precio Bruto]]*1.16</f>
        <v>2446.9619999999995</v>
      </c>
      <c r="K7337" s="281">
        <f>+Tabla4[[#This Row],[Precio Unitario Neto]]*Tabla4[[#Headers],[20.85%]]</f>
        <v>510.19157699999988</v>
      </c>
      <c r="L7337" s="282">
        <f>++Tabla4[[#This Row],[Precio Unitario Neto]]-Tabla4[[#This Row],[20.85%]]</f>
        <v>1936.7704229999997</v>
      </c>
      <c r="M7337" s="282" t="e">
        <f>(INDEX(Tabla6[#All],MATCH(Tabla4[[#This Row],[Producto]],Tabla6[[#All],[PRODUCTO]],0),MATCH(Tabla4[[#This Row],[Mes]],Tabla6[#Headers],0)))*(1+Catalogos!$L$2)</f>
        <v>#N/A</v>
      </c>
      <c r="N7337" s="283" t="e">
        <f>+(Tabla4[[#This Row],[Precio Descontado]]-Tabla4[[#This Row],[Precio Base]])*Tabla4[[#This Row],[Cantidad]]</f>
        <v>#N/A</v>
      </c>
      <c r="O7337" s="284" t="e">
        <f>++Tabla4[[#This Row],[Utilidad Total]]/Tabla4[[#This Row],[Total]]</f>
        <v>#N/A</v>
      </c>
      <c r="P7337" s="282">
        <f>++Tabla4[[#This Row],[Precio Descontado]]*Tabla4[[#This Row],[Cantidad]]</f>
        <v>3873.5408459999994</v>
      </c>
      <c r="Q7337" s="282" t="e">
        <f>(INDEX(Tabla6[#All],MATCH(Tabla4[[#This Row],[Producto]],Tabla6[[#All],[PRODUCTO]],0),MATCH(Tabla4[[#This Row],[Mes]],Tabla6[#Headers],0)))</f>
        <v>#N/A</v>
      </c>
      <c r="R7337" s="282" t="e">
        <f>++Tabla4[[#This Row],[Precio Unitario Neto]]-Tabla4[[#This Row],[20.85%]]-Tabla4[[#This Row],[Costo]]</f>
        <v>#N/A</v>
      </c>
      <c r="S7337" s="282" t="e">
        <f>++Tabla4[[#This Row],[U. Bruta Uni]]*Tabla4[[#This Row],[Cantidad]]</f>
        <v>#N/A</v>
      </c>
      <c r="T7337" s="369" t="str">
        <f>VLOOKUP(Tabla4[[#This Row],[Producto]],Tabla6[#All],14,FALSE)</f>
        <v>Termico Solar</v>
      </c>
      <c r="U7337" s="284" t="e">
        <f>(IF(Tabla4[[#This Row],[Familia]]="termico solar",Tabla4[[#This Row],[Utilidad Total]]*6%,Tabla4[[#This Row],[Utilidad Total]]*11.5%))/Tabla4[[#This Row],[Total]]</f>
        <v>#N/A</v>
      </c>
      <c r="V7337" s="282" t="e">
        <f>+Tabla4[[#This Row],[Comisión Calculada]]*Tabla4[[#This Row],[Total]]</f>
        <v>#N/A</v>
      </c>
    </row>
    <row r="7338" spans="1:22" x14ac:dyDescent="0.25">
      <c r="A7338" s="100">
        <v>46006</v>
      </c>
      <c r="B7338" t="str">
        <f t="shared" si="628"/>
        <v>December</v>
      </c>
      <c r="C7338" s="46" t="s">
        <v>280</v>
      </c>
      <c r="F7338" s="366" t="s">
        <v>3696</v>
      </c>
      <c r="G7338" s="46" t="s">
        <v>555</v>
      </c>
      <c r="H7338" s="46">
        <v>8</v>
      </c>
      <c r="I7338" s="51">
        <v>389.47</v>
      </c>
      <c r="J7338" s="281">
        <f>++Tabla4[[#This Row],[Precio Bruto]]*1.16</f>
        <v>451.78519999999997</v>
      </c>
      <c r="K7338" s="281">
        <f>+Tabla4[[#This Row],[Precio Unitario Neto]]*Tabla4[[#Headers],[20.85%]]</f>
        <v>94.197214199999991</v>
      </c>
      <c r="L7338" s="282">
        <f>++Tabla4[[#This Row],[Precio Unitario Neto]]-Tabla4[[#This Row],[20.85%]]</f>
        <v>357.58798579999996</v>
      </c>
      <c r="M7338" s="282" t="e">
        <f>(INDEX(Tabla6[#All],MATCH(Tabla4[[#This Row],[Producto]],Tabla6[[#All],[PRODUCTO]],0),MATCH(Tabla4[[#This Row],[Mes]],Tabla6[#Headers],0)))*(1+Catalogos!$L$2)</f>
        <v>#N/A</v>
      </c>
      <c r="N7338" s="283" t="e">
        <f>+(Tabla4[[#This Row],[Precio Descontado]]-Tabla4[[#This Row],[Precio Base]])*Tabla4[[#This Row],[Cantidad]]</f>
        <v>#N/A</v>
      </c>
      <c r="O7338" s="284" t="e">
        <f>++Tabla4[[#This Row],[Utilidad Total]]/Tabla4[[#This Row],[Total]]</f>
        <v>#N/A</v>
      </c>
      <c r="P7338" s="282">
        <f>++Tabla4[[#This Row],[Precio Descontado]]*Tabla4[[#This Row],[Cantidad]]</f>
        <v>2860.7038863999996</v>
      </c>
      <c r="Q7338" s="282" t="e">
        <f>(INDEX(Tabla6[#All],MATCH(Tabla4[[#This Row],[Producto]],Tabla6[[#All],[PRODUCTO]],0),MATCH(Tabla4[[#This Row],[Mes]],Tabla6[#Headers],0)))</f>
        <v>#N/A</v>
      </c>
      <c r="R7338" s="282" t="e">
        <f>++Tabla4[[#This Row],[Precio Unitario Neto]]-Tabla4[[#This Row],[20.85%]]-Tabla4[[#This Row],[Costo]]</f>
        <v>#N/A</v>
      </c>
      <c r="S7338" s="282" t="e">
        <f>++Tabla4[[#This Row],[U. Bruta Uni]]*Tabla4[[#This Row],[Cantidad]]</f>
        <v>#N/A</v>
      </c>
      <c r="T7338" s="369" t="str">
        <f>VLOOKUP(Tabla4[[#This Row],[Producto]],Tabla6[#All],14,FALSE)</f>
        <v>Termico Solar</v>
      </c>
      <c r="U7338" s="284" t="e">
        <f>(IF(Tabla4[[#This Row],[Familia]]="termico solar",Tabla4[[#This Row],[Utilidad Total]]*6%,Tabla4[[#This Row],[Utilidad Total]]*11.5%))/Tabla4[[#This Row],[Total]]</f>
        <v>#N/A</v>
      </c>
      <c r="V7338" s="282" t="e">
        <f>+Tabla4[[#This Row],[Comisión Calculada]]*Tabla4[[#This Row],[Total]]</f>
        <v>#N/A</v>
      </c>
    </row>
    <row r="7339" spans="1:22" x14ac:dyDescent="0.25">
      <c r="A7339" s="100">
        <v>46006</v>
      </c>
      <c r="B7339" t="str">
        <f t="shared" si="628"/>
        <v>December</v>
      </c>
      <c r="C7339" s="46" t="s">
        <v>280</v>
      </c>
      <c r="F7339" s="366" t="s">
        <v>3696</v>
      </c>
      <c r="G7339" s="46" t="s">
        <v>394</v>
      </c>
      <c r="H7339" s="46">
        <v>9</v>
      </c>
      <c r="I7339" s="51">
        <v>108.1</v>
      </c>
      <c r="J7339" s="281">
        <f>++Tabla4[[#This Row],[Precio Bruto]]*1.16</f>
        <v>125.39599999999999</v>
      </c>
      <c r="K7339" s="281">
        <f>+Tabla4[[#This Row],[Precio Unitario Neto]]*Tabla4[[#Headers],[20.85%]]</f>
        <v>26.145065999999996</v>
      </c>
      <c r="L7339" s="282">
        <f>++Tabla4[[#This Row],[Precio Unitario Neto]]-Tabla4[[#This Row],[20.85%]]</f>
        <v>99.250933999999987</v>
      </c>
      <c r="M7339" s="282" t="e">
        <f>(INDEX(Tabla6[#All],MATCH(Tabla4[[#This Row],[Producto]],Tabla6[[#All],[PRODUCTO]],0),MATCH(Tabla4[[#This Row],[Mes]],Tabla6[#Headers],0)))*(1+Catalogos!$L$2)</f>
        <v>#N/A</v>
      </c>
      <c r="N7339" s="283" t="e">
        <f>+(Tabla4[[#This Row],[Precio Descontado]]-Tabla4[[#This Row],[Precio Base]])*Tabla4[[#This Row],[Cantidad]]</f>
        <v>#N/A</v>
      </c>
      <c r="O7339" s="284" t="e">
        <f>++Tabla4[[#This Row],[Utilidad Total]]/Tabla4[[#This Row],[Total]]</f>
        <v>#N/A</v>
      </c>
      <c r="P7339" s="282">
        <f>++Tabla4[[#This Row],[Precio Descontado]]*Tabla4[[#This Row],[Cantidad]]</f>
        <v>893.25840599999992</v>
      </c>
      <c r="Q7339" s="282" t="e">
        <f>(INDEX(Tabla6[#All],MATCH(Tabla4[[#This Row],[Producto]],Tabla6[[#All],[PRODUCTO]],0),MATCH(Tabla4[[#This Row],[Mes]],Tabla6[#Headers],0)))</f>
        <v>#N/A</v>
      </c>
      <c r="R7339" s="282" t="e">
        <f>++Tabla4[[#This Row],[Precio Unitario Neto]]-Tabla4[[#This Row],[20.85%]]-Tabla4[[#This Row],[Costo]]</f>
        <v>#N/A</v>
      </c>
      <c r="S7339" s="282" t="e">
        <f>++Tabla4[[#This Row],[U. Bruta Uni]]*Tabla4[[#This Row],[Cantidad]]</f>
        <v>#N/A</v>
      </c>
      <c r="T7339" s="369" t="str">
        <f>VLOOKUP(Tabla4[[#This Row],[Producto]],Tabla6[#All],14,FALSE)</f>
        <v>Termico Solar</v>
      </c>
      <c r="U7339" s="284" t="e">
        <f>(IF(Tabla4[[#This Row],[Familia]]="termico solar",Tabla4[[#This Row],[Utilidad Total]]*6%,Tabla4[[#This Row],[Utilidad Total]]*11.5%))/Tabla4[[#This Row],[Total]]</f>
        <v>#N/A</v>
      </c>
      <c r="V7339" s="282" t="e">
        <f>+Tabla4[[#This Row],[Comisión Calculada]]*Tabla4[[#This Row],[Total]]</f>
        <v>#N/A</v>
      </c>
    </row>
    <row r="7340" spans="1:22" x14ac:dyDescent="0.25">
      <c r="A7340" s="100">
        <v>46006</v>
      </c>
      <c r="B7340" t="str">
        <f t="shared" ref="B7340:B7342" si="629">TEXT(A7340, "mmmm")</f>
        <v>December</v>
      </c>
      <c r="C7340" s="46" t="s">
        <v>280</v>
      </c>
      <c r="F7340" s="366" t="s">
        <v>3697</v>
      </c>
      <c r="G7340" s="46" t="s">
        <v>17</v>
      </c>
      <c r="H7340" s="46">
        <v>1</v>
      </c>
      <c r="I7340" s="51">
        <v>4622.28</v>
      </c>
      <c r="J7340" s="281">
        <f>++Tabla4[[#This Row],[Precio Bruto]]*1.16</f>
        <v>5361.8447999999989</v>
      </c>
      <c r="K7340" s="281">
        <f>+Tabla4[[#This Row],[Precio Unitario Neto]]*Tabla4[[#Headers],[20.85%]]</f>
        <v>1117.9446407999997</v>
      </c>
      <c r="L7340" s="282">
        <f>++Tabla4[[#This Row],[Precio Unitario Neto]]-Tabla4[[#This Row],[20.85%]]</f>
        <v>4243.9001591999995</v>
      </c>
      <c r="M7340" s="282" t="e">
        <f>(INDEX(Tabla6[#All],MATCH(Tabla4[[#This Row],[Producto]],Tabla6[[#All],[PRODUCTO]],0),MATCH(Tabla4[[#This Row],[Mes]],Tabla6[#Headers],0)))*(1+Catalogos!$L$2)</f>
        <v>#N/A</v>
      </c>
      <c r="N7340" s="283" t="e">
        <f>+(Tabla4[[#This Row],[Precio Descontado]]-Tabla4[[#This Row],[Precio Base]])*Tabla4[[#This Row],[Cantidad]]</f>
        <v>#N/A</v>
      </c>
      <c r="O7340" s="284" t="e">
        <f>++Tabla4[[#This Row],[Utilidad Total]]/Tabla4[[#This Row],[Total]]</f>
        <v>#N/A</v>
      </c>
      <c r="P7340" s="282">
        <f>++Tabla4[[#This Row],[Precio Descontado]]*Tabla4[[#This Row],[Cantidad]]</f>
        <v>4243.9001591999995</v>
      </c>
      <c r="Q7340" s="282" t="e">
        <f>(INDEX(Tabla6[#All],MATCH(Tabla4[[#This Row],[Producto]],Tabla6[[#All],[PRODUCTO]],0),MATCH(Tabla4[[#This Row],[Mes]],Tabla6[#Headers],0)))</f>
        <v>#N/A</v>
      </c>
      <c r="R7340" s="282" t="e">
        <f>++Tabla4[[#This Row],[Precio Unitario Neto]]-Tabla4[[#This Row],[20.85%]]-Tabla4[[#This Row],[Costo]]</f>
        <v>#N/A</v>
      </c>
      <c r="S7340" s="282" t="e">
        <f>++Tabla4[[#This Row],[U. Bruta Uni]]*Tabla4[[#This Row],[Cantidad]]</f>
        <v>#N/A</v>
      </c>
      <c r="T7340" s="369" t="str">
        <f>VLOOKUP(Tabla4[[#This Row],[Producto]],Tabla6[#All],14,FALSE)</f>
        <v>Termico Solar</v>
      </c>
      <c r="U7340" s="284" t="e">
        <f>(IF(Tabla4[[#This Row],[Familia]]="termico solar",Tabla4[[#This Row],[Utilidad Total]]*6%,Tabla4[[#This Row],[Utilidad Total]]*11.5%))/Tabla4[[#This Row],[Total]]</f>
        <v>#N/A</v>
      </c>
      <c r="V7340" s="282" t="e">
        <f>+Tabla4[[#This Row],[Comisión Calculada]]*Tabla4[[#This Row],[Total]]</f>
        <v>#N/A</v>
      </c>
    </row>
    <row r="7341" spans="1:22" x14ac:dyDescent="0.25">
      <c r="A7341" s="100">
        <v>46006</v>
      </c>
      <c r="B7341" t="str">
        <f t="shared" si="629"/>
        <v>December</v>
      </c>
      <c r="C7341" s="46" t="s">
        <v>280</v>
      </c>
      <c r="F7341" s="366" t="s">
        <v>3697</v>
      </c>
      <c r="G7341" s="46" t="s">
        <v>566</v>
      </c>
      <c r="H7341" s="46">
        <v>1</v>
      </c>
      <c r="I7341" s="51">
        <v>2109.4499999999998</v>
      </c>
      <c r="J7341" s="281">
        <f>++Tabla4[[#This Row],[Precio Bruto]]*1.16</f>
        <v>2446.9619999999995</v>
      </c>
      <c r="K7341" s="281">
        <f>+Tabla4[[#This Row],[Precio Unitario Neto]]*Tabla4[[#Headers],[20.85%]]</f>
        <v>510.19157699999988</v>
      </c>
      <c r="L7341" s="282">
        <f>++Tabla4[[#This Row],[Precio Unitario Neto]]-Tabla4[[#This Row],[20.85%]]</f>
        <v>1936.7704229999997</v>
      </c>
      <c r="M7341" s="282" t="e">
        <f>(INDEX(Tabla6[#All],MATCH(Tabla4[[#This Row],[Producto]],Tabla6[[#All],[PRODUCTO]],0),MATCH(Tabla4[[#This Row],[Mes]],Tabla6[#Headers],0)))*(1+Catalogos!$L$2)</f>
        <v>#N/A</v>
      </c>
      <c r="N7341" s="283" t="e">
        <f>+(Tabla4[[#This Row],[Precio Descontado]]-Tabla4[[#This Row],[Precio Base]])*Tabla4[[#This Row],[Cantidad]]</f>
        <v>#N/A</v>
      </c>
      <c r="O7341" s="284" t="e">
        <f>++Tabla4[[#This Row],[Utilidad Total]]/Tabla4[[#This Row],[Total]]</f>
        <v>#N/A</v>
      </c>
      <c r="P7341" s="282">
        <f>++Tabla4[[#This Row],[Precio Descontado]]*Tabla4[[#This Row],[Cantidad]]</f>
        <v>1936.7704229999997</v>
      </c>
      <c r="Q7341" s="282" t="e">
        <f>(INDEX(Tabla6[#All],MATCH(Tabla4[[#This Row],[Producto]],Tabla6[[#All],[PRODUCTO]],0),MATCH(Tabla4[[#This Row],[Mes]],Tabla6[#Headers],0)))</f>
        <v>#N/A</v>
      </c>
      <c r="R7341" s="282" t="e">
        <f>++Tabla4[[#This Row],[Precio Unitario Neto]]-Tabla4[[#This Row],[20.85%]]-Tabla4[[#This Row],[Costo]]</f>
        <v>#N/A</v>
      </c>
      <c r="S7341" s="282" t="e">
        <f>++Tabla4[[#This Row],[U. Bruta Uni]]*Tabla4[[#This Row],[Cantidad]]</f>
        <v>#N/A</v>
      </c>
      <c r="T7341" s="369" t="str">
        <f>VLOOKUP(Tabla4[[#This Row],[Producto]],Tabla6[#All],14,FALSE)</f>
        <v>Termico Solar</v>
      </c>
      <c r="U7341" s="284" t="e">
        <f>(IF(Tabla4[[#This Row],[Familia]]="termico solar",Tabla4[[#This Row],[Utilidad Total]]*6%,Tabla4[[#This Row],[Utilidad Total]]*11.5%))/Tabla4[[#This Row],[Total]]</f>
        <v>#N/A</v>
      </c>
      <c r="V7341" s="282" t="e">
        <f>+Tabla4[[#This Row],[Comisión Calculada]]*Tabla4[[#This Row],[Total]]</f>
        <v>#N/A</v>
      </c>
    </row>
    <row r="7342" spans="1:22" x14ac:dyDescent="0.25">
      <c r="A7342" s="100">
        <v>46006</v>
      </c>
      <c r="B7342" t="str">
        <f t="shared" si="629"/>
        <v>December</v>
      </c>
      <c r="C7342" s="46" t="s">
        <v>280</v>
      </c>
      <c r="F7342" s="366" t="s">
        <v>3697</v>
      </c>
      <c r="G7342" s="46" t="s">
        <v>16</v>
      </c>
      <c r="H7342" s="46">
        <v>1</v>
      </c>
      <c r="I7342" s="51">
        <v>4103.8500000000004</v>
      </c>
      <c r="J7342" s="281">
        <f>++Tabla4[[#This Row],[Precio Bruto]]*1.16</f>
        <v>4760.4660000000003</v>
      </c>
      <c r="K7342" s="281">
        <f>+Tabla4[[#This Row],[Precio Unitario Neto]]*Tabla4[[#Headers],[20.85%]]</f>
        <v>992.55716100000006</v>
      </c>
      <c r="L7342" s="282">
        <f>++Tabla4[[#This Row],[Precio Unitario Neto]]-Tabla4[[#This Row],[20.85%]]</f>
        <v>3767.9088390000002</v>
      </c>
      <c r="M7342" s="282" t="e">
        <f>(INDEX(Tabla6[#All],MATCH(Tabla4[[#This Row],[Producto]],Tabla6[[#All],[PRODUCTO]],0),MATCH(Tabla4[[#This Row],[Mes]],Tabla6[#Headers],0)))*(1+Catalogos!$L$2)</f>
        <v>#N/A</v>
      </c>
      <c r="N7342" s="283" t="e">
        <f>+(Tabla4[[#This Row],[Precio Descontado]]-Tabla4[[#This Row],[Precio Base]])*Tabla4[[#This Row],[Cantidad]]</f>
        <v>#N/A</v>
      </c>
      <c r="O7342" s="284" t="e">
        <f>++Tabla4[[#This Row],[Utilidad Total]]/Tabla4[[#This Row],[Total]]</f>
        <v>#N/A</v>
      </c>
      <c r="P7342" s="282">
        <f>++Tabla4[[#This Row],[Precio Descontado]]*Tabla4[[#This Row],[Cantidad]]</f>
        <v>3767.9088390000002</v>
      </c>
      <c r="Q7342" s="282" t="e">
        <f>(INDEX(Tabla6[#All],MATCH(Tabla4[[#This Row],[Producto]],Tabla6[[#All],[PRODUCTO]],0),MATCH(Tabla4[[#This Row],[Mes]],Tabla6[#Headers],0)))</f>
        <v>#N/A</v>
      </c>
      <c r="R7342" s="282" t="e">
        <f>++Tabla4[[#This Row],[Precio Unitario Neto]]-Tabla4[[#This Row],[20.85%]]-Tabla4[[#This Row],[Costo]]</f>
        <v>#N/A</v>
      </c>
      <c r="S7342" s="282" t="e">
        <f>++Tabla4[[#This Row],[U. Bruta Uni]]*Tabla4[[#This Row],[Cantidad]]</f>
        <v>#N/A</v>
      </c>
      <c r="T7342" s="369" t="str">
        <f>VLOOKUP(Tabla4[[#This Row],[Producto]],Tabla6[#All],14,FALSE)</f>
        <v>Termico Solar</v>
      </c>
      <c r="U7342" s="284" t="e">
        <f>(IF(Tabla4[[#This Row],[Familia]]="termico solar",Tabla4[[#This Row],[Utilidad Total]]*6%,Tabla4[[#This Row],[Utilidad Total]]*11.5%))/Tabla4[[#This Row],[Total]]</f>
        <v>#N/A</v>
      </c>
      <c r="V7342" s="282" t="e">
        <f>+Tabla4[[#This Row],[Comisión Calculada]]*Tabla4[[#This Row],[Total]]</f>
        <v>#N/A</v>
      </c>
    </row>
    <row r="7343" spans="1:22" x14ac:dyDescent="0.25">
      <c r="A7343" s="100">
        <v>46006</v>
      </c>
      <c r="B7343" t="str">
        <f t="shared" ref="B7343" si="630">TEXT(A7343, "mmmm")</f>
        <v>December</v>
      </c>
      <c r="C7343" s="46" t="s">
        <v>280</v>
      </c>
      <c r="F7343" s="366" t="s">
        <v>3698</v>
      </c>
      <c r="G7343" s="46" t="s">
        <v>394</v>
      </c>
      <c r="H7343" s="46">
        <v>16</v>
      </c>
      <c r="I7343" s="51">
        <v>224.29</v>
      </c>
      <c r="J7343" s="281">
        <f>++Tabla4[[#This Row],[Precio Bruto]]*1.16</f>
        <v>260.1764</v>
      </c>
      <c r="K7343" s="281">
        <f>+Tabla4[[#This Row],[Precio Unitario Neto]]*Tabla4[[#Headers],[20.85%]]</f>
        <v>54.246779400000001</v>
      </c>
      <c r="L7343" s="282">
        <f>++Tabla4[[#This Row],[Precio Unitario Neto]]-Tabla4[[#This Row],[20.85%]]</f>
        <v>205.92962059999999</v>
      </c>
      <c r="M7343" s="282" t="e">
        <f>(INDEX(Tabla6[#All],MATCH(Tabla4[[#This Row],[Producto]],Tabla6[[#All],[PRODUCTO]],0),MATCH(Tabla4[[#This Row],[Mes]],Tabla6[#Headers],0)))*(1+Catalogos!$L$2)</f>
        <v>#N/A</v>
      </c>
      <c r="N7343" s="283" t="e">
        <f>+(Tabla4[[#This Row],[Precio Descontado]]-Tabla4[[#This Row],[Precio Base]])*Tabla4[[#This Row],[Cantidad]]</f>
        <v>#N/A</v>
      </c>
      <c r="O7343" s="284" t="e">
        <f>++Tabla4[[#This Row],[Utilidad Total]]/Tabla4[[#This Row],[Total]]</f>
        <v>#N/A</v>
      </c>
      <c r="P7343" s="282">
        <f>++Tabla4[[#This Row],[Precio Descontado]]*Tabla4[[#This Row],[Cantidad]]</f>
        <v>3294.8739295999999</v>
      </c>
      <c r="Q7343" s="282" t="e">
        <f>(INDEX(Tabla6[#All],MATCH(Tabla4[[#This Row],[Producto]],Tabla6[[#All],[PRODUCTO]],0),MATCH(Tabla4[[#This Row],[Mes]],Tabla6[#Headers],0)))</f>
        <v>#N/A</v>
      </c>
      <c r="R7343" s="282" t="e">
        <f>++Tabla4[[#This Row],[Precio Unitario Neto]]-Tabla4[[#This Row],[20.85%]]-Tabla4[[#This Row],[Costo]]</f>
        <v>#N/A</v>
      </c>
      <c r="S7343" s="282" t="e">
        <f>++Tabla4[[#This Row],[U. Bruta Uni]]*Tabla4[[#This Row],[Cantidad]]</f>
        <v>#N/A</v>
      </c>
      <c r="T7343" s="369" t="str">
        <f>VLOOKUP(Tabla4[[#This Row],[Producto]],Tabla6[#All],14,FALSE)</f>
        <v>Termico Solar</v>
      </c>
      <c r="U7343" s="284" t="e">
        <f>(IF(Tabla4[[#This Row],[Familia]]="termico solar",Tabla4[[#This Row],[Utilidad Total]]*6%,Tabla4[[#This Row],[Utilidad Total]]*11.5%))/Tabla4[[#This Row],[Total]]</f>
        <v>#N/A</v>
      </c>
      <c r="V7343" s="282" t="e">
        <f>+Tabla4[[#This Row],[Comisión Calculada]]*Tabla4[[#This Row],[Total]]</f>
        <v>#N/A</v>
      </c>
    </row>
    <row r="7344" spans="1:22" x14ac:dyDescent="0.25">
      <c r="A7344" s="100">
        <v>46006</v>
      </c>
      <c r="B7344" t="str">
        <f t="shared" ref="B7344:B7345" si="631">TEXT(A7344, "mmmm")</f>
        <v>December</v>
      </c>
      <c r="C7344" s="46" t="s">
        <v>280</v>
      </c>
      <c r="F7344" s="366" t="s">
        <v>3699</v>
      </c>
      <c r="G7344" s="46" t="s">
        <v>394</v>
      </c>
      <c r="H7344" s="46">
        <v>16</v>
      </c>
      <c r="I7344" s="51">
        <v>224.29</v>
      </c>
      <c r="J7344" s="281">
        <f>++Tabla4[[#This Row],[Precio Bruto]]*1.16</f>
        <v>260.1764</v>
      </c>
      <c r="K7344" s="281">
        <f>+Tabla4[[#This Row],[Precio Unitario Neto]]*Tabla4[[#Headers],[20.85%]]</f>
        <v>54.246779400000001</v>
      </c>
      <c r="L7344" s="282">
        <f>++Tabla4[[#This Row],[Precio Unitario Neto]]-Tabla4[[#This Row],[20.85%]]</f>
        <v>205.92962059999999</v>
      </c>
      <c r="M7344" s="282" t="e">
        <f>(INDEX(Tabla6[#All],MATCH(Tabla4[[#This Row],[Producto]],Tabla6[[#All],[PRODUCTO]],0),MATCH(Tabla4[[#This Row],[Mes]],Tabla6[#Headers],0)))*(1+Catalogos!$L$2)</f>
        <v>#N/A</v>
      </c>
      <c r="N7344" s="283" t="e">
        <f>+(Tabla4[[#This Row],[Precio Descontado]]-Tabla4[[#This Row],[Precio Base]])*Tabla4[[#This Row],[Cantidad]]</f>
        <v>#N/A</v>
      </c>
      <c r="O7344" s="284" t="e">
        <f>++Tabla4[[#This Row],[Utilidad Total]]/Tabla4[[#This Row],[Total]]</f>
        <v>#N/A</v>
      </c>
      <c r="P7344" s="282">
        <f>++Tabla4[[#This Row],[Precio Descontado]]*Tabla4[[#This Row],[Cantidad]]</f>
        <v>3294.8739295999999</v>
      </c>
      <c r="Q7344" s="282" t="e">
        <f>(INDEX(Tabla6[#All],MATCH(Tabla4[[#This Row],[Producto]],Tabla6[[#All],[PRODUCTO]],0),MATCH(Tabla4[[#This Row],[Mes]],Tabla6[#Headers],0)))</f>
        <v>#N/A</v>
      </c>
      <c r="R7344" s="282" t="e">
        <f>++Tabla4[[#This Row],[Precio Unitario Neto]]-Tabla4[[#This Row],[20.85%]]-Tabla4[[#This Row],[Costo]]</f>
        <v>#N/A</v>
      </c>
      <c r="S7344" s="282" t="e">
        <f>++Tabla4[[#This Row],[U. Bruta Uni]]*Tabla4[[#This Row],[Cantidad]]</f>
        <v>#N/A</v>
      </c>
      <c r="T7344" s="369" t="str">
        <f>VLOOKUP(Tabla4[[#This Row],[Producto]],Tabla6[#All],14,FALSE)</f>
        <v>Termico Solar</v>
      </c>
      <c r="U7344" s="284" t="e">
        <f>(IF(Tabla4[[#This Row],[Familia]]="termico solar",Tabla4[[#This Row],[Utilidad Total]]*6%,Tabla4[[#This Row],[Utilidad Total]]*11.5%))/Tabla4[[#This Row],[Total]]</f>
        <v>#N/A</v>
      </c>
      <c r="V7344" s="282" t="e">
        <f>+Tabla4[[#This Row],[Comisión Calculada]]*Tabla4[[#This Row],[Total]]</f>
        <v>#N/A</v>
      </c>
    </row>
    <row r="7345" spans="1:22" x14ac:dyDescent="0.25">
      <c r="A7345" s="100">
        <v>46006</v>
      </c>
      <c r="B7345" t="str">
        <f t="shared" si="631"/>
        <v>December</v>
      </c>
      <c r="C7345" s="46" t="s">
        <v>280</v>
      </c>
      <c r="F7345" s="366" t="s">
        <v>3699</v>
      </c>
      <c r="G7345" s="46" t="s">
        <v>208</v>
      </c>
      <c r="H7345" s="46">
        <v>8</v>
      </c>
      <c r="I7345" s="51">
        <v>189.75</v>
      </c>
      <c r="J7345" s="281">
        <f>++Tabla4[[#This Row],[Precio Bruto]]*1.16</f>
        <v>220.10999999999999</v>
      </c>
      <c r="K7345" s="281">
        <f>+Tabla4[[#This Row],[Precio Unitario Neto]]*Tabla4[[#Headers],[20.85%]]</f>
        <v>45.892934999999994</v>
      </c>
      <c r="L7345" s="282">
        <f>++Tabla4[[#This Row],[Precio Unitario Neto]]-Tabla4[[#This Row],[20.85%]]</f>
        <v>174.21706499999999</v>
      </c>
      <c r="M7345" s="282" t="e">
        <f>(INDEX(Tabla6[#All],MATCH(Tabla4[[#This Row],[Producto]],Tabla6[[#All],[PRODUCTO]],0),MATCH(Tabla4[[#This Row],[Mes]],Tabla6[#Headers],0)))*(1+Catalogos!$L$2)</f>
        <v>#N/A</v>
      </c>
      <c r="N7345" s="283" t="e">
        <f>+(Tabla4[[#This Row],[Precio Descontado]]-Tabla4[[#This Row],[Precio Base]])*Tabla4[[#This Row],[Cantidad]]</f>
        <v>#N/A</v>
      </c>
      <c r="O7345" s="284" t="e">
        <f>++Tabla4[[#This Row],[Utilidad Total]]/Tabla4[[#This Row],[Total]]</f>
        <v>#N/A</v>
      </c>
      <c r="P7345" s="282">
        <f>++Tabla4[[#This Row],[Precio Descontado]]*Tabla4[[#This Row],[Cantidad]]</f>
        <v>1393.7365199999999</v>
      </c>
      <c r="Q7345" s="282" t="e">
        <f>(INDEX(Tabla6[#All],MATCH(Tabla4[[#This Row],[Producto]],Tabla6[[#All],[PRODUCTO]],0),MATCH(Tabla4[[#This Row],[Mes]],Tabla6[#Headers],0)))</f>
        <v>#N/A</v>
      </c>
      <c r="R7345" s="282" t="e">
        <f>++Tabla4[[#This Row],[Precio Unitario Neto]]-Tabla4[[#This Row],[20.85%]]-Tabla4[[#This Row],[Costo]]</f>
        <v>#N/A</v>
      </c>
      <c r="S7345" s="282" t="e">
        <f>++Tabla4[[#This Row],[U. Bruta Uni]]*Tabla4[[#This Row],[Cantidad]]</f>
        <v>#N/A</v>
      </c>
      <c r="T7345" s="369" t="str">
        <f>VLOOKUP(Tabla4[[#This Row],[Producto]],Tabla6[#All],14,FALSE)</f>
        <v>Termico Solar</v>
      </c>
      <c r="U7345" s="284" t="e">
        <f>(IF(Tabla4[[#This Row],[Familia]]="termico solar",Tabla4[[#This Row],[Utilidad Total]]*6%,Tabla4[[#This Row],[Utilidad Total]]*11.5%))/Tabla4[[#This Row],[Total]]</f>
        <v>#N/A</v>
      </c>
      <c r="V7345" s="282" t="e">
        <f>+Tabla4[[#This Row],[Comisión Calculada]]*Tabla4[[#This Row],[Total]]</f>
        <v>#N/A</v>
      </c>
    </row>
    <row r="7346" spans="1:22" x14ac:dyDescent="0.25">
      <c r="A7346" s="100">
        <v>46006</v>
      </c>
      <c r="B7346" t="str">
        <f>TEXT(A7346, "mmmm")</f>
        <v>December</v>
      </c>
      <c r="C7346" s="46" t="s">
        <v>280</v>
      </c>
      <c r="F7346" s="366" t="s">
        <v>3700</v>
      </c>
      <c r="G7346" s="46" t="s">
        <v>18</v>
      </c>
      <c r="H7346" s="46">
        <v>4</v>
      </c>
      <c r="I7346" s="51">
        <v>5367.65</v>
      </c>
      <c r="J7346" s="281">
        <f>++Tabla4[[#This Row],[Precio Bruto]]*1.16</f>
        <v>6226.4739999999993</v>
      </c>
      <c r="K7346" s="281">
        <f>+Tabla4[[#This Row],[Precio Unitario Neto]]*Tabla4[[#Headers],[20.85%]]</f>
        <v>1298.2198289999999</v>
      </c>
      <c r="L7346" s="282">
        <f>++Tabla4[[#This Row],[Precio Unitario Neto]]-Tabla4[[#This Row],[20.85%]]</f>
        <v>4928.2541709999996</v>
      </c>
      <c r="M7346" s="282" t="e">
        <f>(INDEX(Tabla6[#All],MATCH(Tabla4[[#This Row],[Producto]],Tabla6[[#All],[PRODUCTO]],0),MATCH(Tabla4[[#This Row],[Mes]],Tabla6[#Headers],0)))*(1+Catalogos!$L$2)</f>
        <v>#N/A</v>
      </c>
      <c r="N7346" s="283" t="e">
        <f>+(Tabla4[[#This Row],[Precio Descontado]]-Tabla4[[#This Row],[Precio Base]])*Tabla4[[#This Row],[Cantidad]]</f>
        <v>#N/A</v>
      </c>
      <c r="O7346" s="284" t="e">
        <f>++Tabla4[[#This Row],[Utilidad Total]]/Tabla4[[#This Row],[Total]]</f>
        <v>#N/A</v>
      </c>
      <c r="P7346" s="282">
        <f>++Tabla4[[#This Row],[Precio Descontado]]*Tabla4[[#This Row],[Cantidad]]</f>
        <v>19713.016683999998</v>
      </c>
      <c r="Q7346" s="282" t="e">
        <f>(INDEX(Tabla6[#All],MATCH(Tabla4[[#This Row],[Producto]],Tabla6[[#All],[PRODUCTO]],0),MATCH(Tabla4[[#This Row],[Mes]],Tabla6[#Headers],0)))</f>
        <v>#N/A</v>
      </c>
      <c r="R7346" s="282" t="e">
        <f>++Tabla4[[#This Row],[Precio Unitario Neto]]-Tabla4[[#This Row],[20.85%]]-Tabla4[[#This Row],[Costo]]</f>
        <v>#N/A</v>
      </c>
      <c r="S7346" s="282" t="e">
        <f>++Tabla4[[#This Row],[U. Bruta Uni]]*Tabla4[[#This Row],[Cantidad]]</f>
        <v>#N/A</v>
      </c>
      <c r="T7346" s="369" t="str">
        <f>VLOOKUP(Tabla4[[#This Row],[Producto]],Tabla6[#All],14,FALSE)</f>
        <v>Termico Solar</v>
      </c>
      <c r="U7346" s="284" t="e">
        <f>(IF(Tabla4[[#This Row],[Familia]]="termico solar",Tabla4[[#This Row],[Utilidad Total]]*6%,Tabla4[[#This Row],[Utilidad Total]]*11.5%))/Tabla4[[#This Row],[Total]]</f>
        <v>#N/A</v>
      </c>
      <c r="V7346" s="282" t="e">
        <f>+Tabla4[[#This Row],[Comisión Calculada]]*Tabla4[[#This Row],[Total]]</f>
        <v>#N/A</v>
      </c>
    </row>
    <row r="7347" spans="1:22" x14ac:dyDescent="0.25">
      <c r="A7347" s="100">
        <v>46006</v>
      </c>
      <c r="B7347" t="str">
        <f t="shared" ref="B7347:B7350" si="632">TEXT(A7347, "mmmm")</f>
        <v>December</v>
      </c>
      <c r="C7347" s="46" t="s">
        <v>280</v>
      </c>
      <c r="F7347" s="366" t="s">
        <v>3701</v>
      </c>
      <c r="G7347" s="46" t="s">
        <v>17</v>
      </c>
      <c r="H7347" s="46">
        <v>7</v>
      </c>
      <c r="I7347" s="51">
        <v>4622.28</v>
      </c>
      <c r="J7347" s="281">
        <f>++Tabla4[[#This Row],[Precio Bruto]]*1.16</f>
        <v>5361.8447999999989</v>
      </c>
      <c r="K7347" s="281">
        <f>+Tabla4[[#This Row],[Precio Unitario Neto]]*Tabla4[[#Headers],[20.85%]]</f>
        <v>1117.9446407999997</v>
      </c>
      <c r="L7347" s="282">
        <f>++Tabla4[[#This Row],[Precio Unitario Neto]]-Tabla4[[#This Row],[20.85%]]</f>
        <v>4243.9001591999995</v>
      </c>
      <c r="M7347" s="282" t="e">
        <f>(INDEX(Tabla6[#All],MATCH(Tabla4[[#This Row],[Producto]],Tabla6[[#All],[PRODUCTO]],0),MATCH(Tabla4[[#This Row],[Mes]],Tabla6[#Headers],0)))*(1+Catalogos!$L$2)</f>
        <v>#N/A</v>
      </c>
      <c r="N7347" s="283" t="e">
        <f>+(Tabla4[[#This Row],[Precio Descontado]]-Tabla4[[#This Row],[Precio Base]])*Tabla4[[#This Row],[Cantidad]]</f>
        <v>#N/A</v>
      </c>
      <c r="O7347" s="284" t="e">
        <f>++Tabla4[[#This Row],[Utilidad Total]]/Tabla4[[#This Row],[Total]]</f>
        <v>#N/A</v>
      </c>
      <c r="P7347" s="282">
        <f>++Tabla4[[#This Row],[Precio Descontado]]*Tabla4[[#This Row],[Cantidad]]</f>
        <v>29707.301114399997</v>
      </c>
      <c r="Q7347" s="282" t="e">
        <f>(INDEX(Tabla6[#All],MATCH(Tabla4[[#This Row],[Producto]],Tabla6[[#All],[PRODUCTO]],0),MATCH(Tabla4[[#This Row],[Mes]],Tabla6[#Headers],0)))</f>
        <v>#N/A</v>
      </c>
      <c r="R7347" s="282" t="e">
        <f>++Tabla4[[#This Row],[Precio Unitario Neto]]-Tabla4[[#This Row],[20.85%]]-Tabla4[[#This Row],[Costo]]</f>
        <v>#N/A</v>
      </c>
      <c r="S7347" s="282" t="e">
        <f>++Tabla4[[#This Row],[U. Bruta Uni]]*Tabla4[[#This Row],[Cantidad]]</f>
        <v>#N/A</v>
      </c>
      <c r="T7347" s="369" t="str">
        <f>VLOOKUP(Tabla4[[#This Row],[Producto]],Tabla6[#All],14,FALSE)</f>
        <v>Termico Solar</v>
      </c>
      <c r="U7347" s="284" t="e">
        <f>(IF(Tabla4[[#This Row],[Familia]]="termico solar",Tabla4[[#This Row],[Utilidad Total]]*6%,Tabla4[[#This Row],[Utilidad Total]]*11.5%))/Tabla4[[#This Row],[Total]]</f>
        <v>#N/A</v>
      </c>
      <c r="V7347" s="282" t="e">
        <f>+Tabla4[[#This Row],[Comisión Calculada]]*Tabla4[[#This Row],[Total]]</f>
        <v>#N/A</v>
      </c>
    </row>
    <row r="7348" spans="1:22" x14ac:dyDescent="0.25">
      <c r="A7348" s="100">
        <v>46006</v>
      </c>
      <c r="B7348" t="str">
        <f t="shared" si="632"/>
        <v>December</v>
      </c>
      <c r="C7348" s="46" t="s">
        <v>280</v>
      </c>
      <c r="F7348" s="366" t="s">
        <v>3701</v>
      </c>
      <c r="G7348" s="46" t="s">
        <v>18</v>
      </c>
      <c r="H7348" s="46">
        <v>2</v>
      </c>
      <c r="I7348" s="51">
        <v>5367.65</v>
      </c>
      <c r="J7348" s="281">
        <f>++Tabla4[[#This Row],[Precio Bruto]]*1.16</f>
        <v>6226.4739999999993</v>
      </c>
      <c r="K7348" s="281">
        <f>+Tabla4[[#This Row],[Precio Unitario Neto]]*Tabla4[[#Headers],[20.85%]]</f>
        <v>1298.2198289999999</v>
      </c>
      <c r="L7348" s="282">
        <f>++Tabla4[[#This Row],[Precio Unitario Neto]]-Tabla4[[#This Row],[20.85%]]</f>
        <v>4928.2541709999996</v>
      </c>
      <c r="M7348" s="282" t="e">
        <f>(INDEX(Tabla6[#All],MATCH(Tabla4[[#This Row],[Producto]],Tabla6[[#All],[PRODUCTO]],0),MATCH(Tabla4[[#This Row],[Mes]],Tabla6[#Headers],0)))*(1+Catalogos!$L$2)</f>
        <v>#N/A</v>
      </c>
      <c r="N7348" s="283" t="e">
        <f>+(Tabla4[[#This Row],[Precio Descontado]]-Tabla4[[#This Row],[Precio Base]])*Tabla4[[#This Row],[Cantidad]]</f>
        <v>#N/A</v>
      </c>
      <c r="O7348" s="284" t="e">
        <f>++Tabla4[[#This Row],[Utilidad Total]]/Tabla4[[#This Row],[Total]]</f>
        <v>#N/A</v>
      </c>
      <c r="P7348" s="282">
        <f>++Tabla4[[#This Row],[Precio Descontado]]*Tabla4[[#This Row],[Cantidad]]</f>
        <v>9856.5083419999992</v>
      </c>
      <c r="Q7348" s="282" t="e">
        <f>(INDEX(Tabla6[#All],MATCH(Tabla4[[#This Row],[Producto]],Tabla6[[#All],[PRODUCTO]],0),MATCH(Tabla4[[#This Row],[Mes]],Tabla6[#Headers],0)))</f>
        <v>#N/A</v>
      </c>
      <c r="R7348" s="282" t="e">
        <f>++Tabla4[[#This Row],[Precio Unitario Neto]]-Tabla4[[#This Row],[20.85%]]-Tabla4[[#This Row],[Costo]]</f>
        <v>#N/A</v>
      </c>
      <c r="S7348" s="282" t="e">
        <f>++Tabla4[[#This Row],[U. Bruta Uni]]*Tabla4[[#This Row],[Cantidad]]</f>
        <v>#N/A</v>
      </c>
      <c r="T7348" s="369" t="str">
        <f>VLOOKUP(Tabla4[[#This Row],[Producto]],Tabla6[#All],14,FALSE)</f>
        <v>Termico Solar</v>
      </c>
      <c r="U7348" s="284" t="e">
        <f>(IF(Tabla4[[#This Row],[Familia]]="termico solar",Tabla4[[#This Row],[Utilidad Total]]*6%,Tabla4[[#This Row],[Utilidad Total]]*11.5%))/Tabla4[[#This Row],[Total]]</f>
        <v>#N/A</v>
      </c>
      <c r="V7348" s="282" t="e">
        <f>+Tabla4[[#This Row],[Comisión Calculada]]*Tabla4[[#This Row],[Total]]</f>
        <v>#N/A</v>
      </c>
    </row>
    <row r="7349" spans="1:22" x14ac:dyDescent="0.25">
      <c r="A7349" s="100">
        <v>46006</v>
      </c>
      <c r="B7349" t="str">
        <f t="shared" si="632"/>
        <v>December</v>
      </c>
      <c r="C7349" s="46" t="s">
        <v>280</v>
      </c>
      <c r="F7349" s="366" t="s">
        <v>3701</v>
      </c>
      <c r="G7349" s="46" t="s">
        <v>16</v>
      </c>
      <c r="H7349" s="46">
        <v>3</v>
      </c>
      <c r="I7349" s="51">
        <v>4103.8499999999995</v>
      </c>
      <c r="J7349" s="281">
        <f>++Tabla4[[#This Row],[Precio Bruto]]*1.16</f>
        <v>4760.4659999999994</v>
      </c>
      <c r="K7349" s="281">
        <f>+Tabla4[[#This Row],[Precio Unitario Neto]]*Tabla4[[#Headers],[20.85%]]</f>
        <v>992.55716099999984</v>
      </c>
      <c r="L7349" s="282">
        <f>++Tabla4[[#This Row],[Precio Unitario Neto]]-Tabla4[[#This Row],[20.85%]]</f>
        <v>3767.9088389999997</v>
      </c>
      <c r="M7349" s="282" t="e">
        <f>(INDEX(Tabla6[#All],MATCH(Tabla4[[#This Row],[Producto]],Tabla6[[#All],[PRODUCTO]],0),MATCH(Tabla4[[#This Row],[Mes]],Tabla6[#Headers],0)))*(1+Catalogos!$L$2)</f>
        <v>#N/A</v>
      </c>
      <c r="N7349" s="283" t="e">
        <f>+(Tabla4[[#This Row],[Precio Descontado]]-Tabla4[[#This Row],[Precio Base]])*Tabla4[[#This Row],[Cantidad]]</f>
        <v>#N/A</v>
      </c>
      <c r="O7349" s="284" t="e">
        <f>++Tabla4[[#This Row],[Utilidad Total]]/Tabla4[[#This Row],[Total]]</f>
        <v>#N/A</v>
      </c>
      <c r="P7349" s="282">
        <f>++Tabla4[[#This Row],[Precio Descontado]]*Tabla4[[#This Row],[Cantidad]]</f>
        <v>11303.726516999999</v>
      </c>
      <c r="Q7349" s="282" t="e">
        <f>(INDEX(Tabla6[#All],MATCH(Tabla4[[#This Row],[Producto]],Tabla6[[#All],[PRODUCTO]],0),MATCH(Tabla4[[#This Row],[Mes]],Tabla6[#Headers],0)))</f>
        <v>#N/A</v>
      </c>
      <c r="R7349" s="282" t="e">
        <f>++Tabla4[[#This Row],[Precio Unitario Neto]]-Tabla4[[#This Row],[20.85%]]-Tabla4[[#This Row],[Costo]]</f>
        <v>#N/A</v>
      </c>
      <c r="S7349" s="282" t="e">
        <f>++Tabla4[[#This Row],[U. Bruta Uni]]*Tabla4[[#This Row],[Cantidad]]</f>
        <v>#N/A</v>
      </c>
      <c r="T7349" s="369" t="str">
        <f>VLOOKUP(Tabla4[[#This Row],[Producto]],Tabla6[#All],14,FALSE)</f>
        <v>Termico Solar</v>
      </c>
      <c r="U7349" s="284" t="e">
        <f>(IF(Tabla4[[#This Row],[Familia]]="termico solar",Tabla4[[#This Row],[Utilidad Total]]*6%,Tabla4[[#This Row],[Utilidad Total]]*11.5%))/Tabla4[[#This Row],[Total]]</f>
        <v>#N/A</v>
      </c>
      <c r="V7349" s="282" t="e">
        <f>+Tabla4[[#This Row],[Comisión Calculada]]*Tabla4[[#This Row],[Total]]</f>
        <v>#N/A</v>
      </c>
    </row>
    <row r="7350" spans="1:22" x14ac:dyDescent="0.25">
      <c r="A7350" s="100">
        <v>46006</v>
      </c>
      <c r="B7350" t="str">
        <f t="shared" si="632"/>
        <v>December</v>
      </c>
      <c r="C7350" s="46" t="s">
        <v>280</v>
      </c>
      <c r="F7350" s="366" t="s">
        <v>3701</v>
      </c>
      <c r="G7350" s="46" t="s">
        <v>208</v>
      </c>
      <c r="H7350" s="46">
        <v>6</v>
      </c>
      <c r="I7350" s="51">
        <v>189.75</v>
      </c>
      <c r="J7350" s="281">
        <f>++Tabla4[[#This Row],[Precio Bruto]]*1.16</f>
        <v>220.10999999999999</v>
      </c>
      <c r="K7350" s="281">
        <f>+Tabla4[[#This Row],[Precio Unitario Neto]]*Tabla4[[#Headers],[20.85%]]</f>
        <v>45.892934999999994</v>
      </c>
      <c r="L7350" s="282">
        <f>++Tabla4[[#This Row],[Precio Unitario Neto]]-Tabla4[[#This Row],[20.85%]]</f>
        <v>174.21706499999999</v>
      </c>
      <c r="M7350" s="282" t="e">
        <f>(INDEX(Tabla6[#All],MATCH(Tabla4[[#This Row],[Producto]],Tabla6[[#All],[PRODUCTO]],0),MATCH(Tabla4[[#This Row],[Mes]],Tabla6[#Headers],0)))*(1+Catalogos!$L$2)</f>
        <v>#N/A</v>
      </c>
      <c r="N7350" s="283" t="e">
        <f>+(Tabla4[[#This Row],[Precio Descontado]]-Tabla4[[#This Row],[Precio Base]])*Tabla4[[#This Row],[Cantidad]]</f>
        <v>#N/A</v>
      </c>
      <c r="O7350" s="284" t="e">
        <f>++Tabla4[[#This Row],[Utilidad Total]]/Tabla4[[#This Row],[Total]]</f>
        <v>#N/A</v>
      </c>
      <c r="P7350" s="282">
        <f>++Tabla4[[#This Row],[Precio Descontado]]*Tabla4[[#This Row],[Cantidad]]</f>
        <v>1045.3023899999998</v>
      </c>
      <c r="Q7350" s="282" t="e">
        <f>(INDEX(Tabla6[#All],MATCH(Tabla4[[#This Row],[Producto]],Tabla6[[#All],[PRODUCTO]],0),MATCH(Tabla4[[#This Row],[Mes]],Tabla6[#Headers],0)))</f>
        <v>#N/A</v>
      </c>
      <c r="R7350" s="282" t="e">
        <f>++Tabla4[[#This Row],[Precio Unitario Neto]]-Tabla4[[#This Row],[20.85%]]-Tabla4[[#This Row],[Costo]]</f>
        <v>#N/A</v>
      </c>
      <c r="S7350" s="282" t="e">
        <f>++Tabla4[[#This Row],[U. Bruta Uni]]*Tabla4[[#This Row],[Cantidad]]</f>
        <v>#N/A</v>
      </c>
      <c r="T7350" s="369" t="str">
        <f>VLOOKUP(Tabla4[[#This Row],[Producto]],Tabla6[#All],14,FALSE)</f>
        <v>Termico Solar</v>
      </c>
      <c r="U7350" s="284" t="e">
        <f>(IF(Tabla4[[#This Row],[Familia]]="termico solar",Tabla4[[#This Row],[Utilidad Total]]*6%,Tabla4[[#This Row],[Utilidad Total]]*11.5%))/Tabla4[[#This Row],[Total]]</f>
        <v>#N/A</v>
      </c>
      <c r="V7350" s="282" t="e">
        <f>+Tabla4[[#This Row],[Comisión Calculada]]*Tabla4[[#This Row],[Total]]</f>
        <v>#N/A</v>
      </c>
    </row>
    <row r="7351" spans="1:22" x14ac:dyDescent="0.25">
      <c r="A7351" s="100">
        <v>46006</v>
      </c>
      <c r="B7351" t="str">
        <f t="shared" ref="B7351:B7352" si="633">TEXT(A7351, "mmmm")</f>
        <v>December</v>
      </c>
      <c r="C7351" s="46" t="s">
        <v>280</v>
      </c>
      <c r="F7351" s="366" t="s">
        <v>3702</v>
      </c>
      <c r="G7351" s="46" t="s">
        <v>83</v>
      </c>
      <c r="H7351" s="46">
        <v>1</v>
      </c>
      <c r="I7351" s="51">
        <v>8858.76</v>
      </c>
      <c r="J7351" s="281">
        <f>++Tabla4[[#This Row],[Precio Bruto]]*1.16</f>
        <v>10276.161599999999</v>
      </c>
      <c r="K7351" s="281">
        <f>+Tabla4[[#This Row],[Precio Unitario Neto]]*Tabla4[[#Headers],[20.85%]]</f>
        <v>2142.5796935999997</v>
      </c>
      <c r="L7351" s="282">
        <f>++Tabla4[[#This Row],[Precio Unitario Neto]]-Tabla4[[#This Row],[20.85%]]</f>
        <v>8133.5819063999998</v>
      </c>
      <c r="M7351" s="282" t="e">
        <f>(INDEX(Tabla6[#All],MATCH(Tabla4[[#This Row],[Producto]],Tabla6[[#All],[PRODUCTO]],0),MATCH(Tabla4[[#This Row],[Mes]],Tabla6[#Headers],0)))*(1+Catalogos!$L$2)</f>
        <v>#N/A</v>
      </c>
      <c r="N7351" s="283" t="e">
        <f>+(Tabla4[[#This Row],[Precio Descontado]]-Tabla4[[#This Row],[Precio Base]])*Tabla4[[#This Row],[Cantidad]]</f>
        <v>#N/A</v>
      </c>
      <c r="O7351" s="284" t="e">
        <f>++Tabla4[[#This Row],[Utilidad Total]]/Tabla4[[#This Row],[Total]]</f>
        <v>#N/A</v>
      </c>
      <c r="P7351" s="282">
        <f>++Tabla4[[#This Row],[Precio Descontado]]*Tabla4[[#This Row],[Cantidad]]</f>
        <v>8133.5819063999998</v>
      </c>
      <c r="Q7351" s="282" t="e">
        <f>(INDEX(Tabla6[#All],MATCH(Tabla4[[#This Row],[Producto]],Tabla6[[#All],[PRODUCTO]],0),MATCH(Tabla4[[#This Row],[Mes]],Tabla6[#Headers],0)))</f>
        <v>#N/A</v>
      </c>
      <c r="R7351" s="282" t="e">
        <f>++Tabla4[[#This Row],[Precio Unitario Neto]]-Tabla4[[#This Row],[20.85%]]-Tabla4[[#This Row],[Costo]]</f>
        <v>#N/A</v>
      </c>
      <c r="S7351" s="282" t="e">
        <f>++Tabla4[[#This Row],[U. Bruta Uni]]*Tabla4[[#This Row],[Cantidad]]</f>
        <v>#N/A</v>
      </c>
      <c r="T7351" s="369" t="str">
        <f>VLOOKUP(Tabla4[[#This Row],[Producto]],Tabla6[#All],14,FALSE)</f>
        <v>Termico Solar</v>
      </c>
      <c r="U7351" s="284" t="e">
        <f>(IF(Tabla4[[#This Row],[Familia]]="termico solar",Tabla4[[#This Row],[Utilidad Total]]*6%,Tabla4[[#This Row],[Utilidad Total]]*11.5%))/Tabla4[[#This Row],[Total]]</f>
        <v>#N/A</v>
      </c>
      <c r="V7351" s="282" t="e">
        <f>+Tabla4[[#This Row],[Comisión Calculada]]*Tabla4[[#This Row],[Total]]</f>
        <v>#N/A</v>
      </c>
    </row>
    <row r="7352" spans="1:22" x14ac:dyDescent="0.25">
      <c r="A7352" s="100">
        <v>46006</v>
      </c>
      <c r="B7352" t="str">
        <f t="shared" si="633"/>
        <v>December</v>
      </c>
      <c r="C7352" s="46" t="s">
        <v>280</v>
      </c>
      <c r="F7352" s="366" t="s">
        <v>3702</v>
      </c>
      <c r="G7352" s="46" t="s">
        <v>18</v>
      </c>
      <c r="H7352" s="46">
        <v>1</v>
      </c>
      <c r="I7352" s="51">
        <v>5367.65</v>
      </c>
      <c r="J7352" s="281">
        <f>++Tabla4[[#This Row],[Precio Bruto]]*1.16</f>
        <v>6226.4739999999993</v>
      </c>
      <c r="K7352" s="281">
        <f>+Tabla4[[#This Row],[Precio Unitario Neto]]*Tabla4[[#Headers],[20.85%]]</f>
        <v>1298.2198289999999</v>
      </c>
      <c r="L7352" s="282">
        <f>++Tabla4[[#This Row],[Precio Unitario Neto]]-Tabla4[[#This Row],[20.85%]]</f>
        <v>4928.2541709999996</v>
      </c>
      <c r="M7352" s="282" t="e">
        <f>(INDEX(Tabla6[#All],MATCH(Tabla4[[#This Row],[Producto]],Tabla6[[#All],[PRODUCTO]],0),MATCH(Tabla4[[#This Row],[Mes]],Tabla6[#Headers],0)))*(1+Catalogos!$L$2)</f>
        <v>#N/A</v>
      </c>
      <c r="N7352" s="283" t="e">
        <f>+(Tabla4[[#This Row],[Precio Descontado]]-Tabla4[[#This Row],[Precio Base]])*Tabla4[[#This Row],[Cantidad]]</f>
        <v>#N/A</v>
      </c>
      <c r="O7352" s="284" t="e">
        <f>++Tabla4[[#This Row],[Utilidad Total]]/Tabla4[[#This Row],[Total]]</f>
        <v>#N/A</v>
      </c>
      <c r="P7352" s="282">
        <f>++Tabla4[[#This Row],[Precio Descontado]]*Tabla4[[#This Row],[Cantidad]]</f>
        <v>4928.2541709999996</v>
      </c>
      <c r="Q7352" s="282" t="e">
        <f>(INDEX(Tabla6[#All],MATCH(Tabla4[[#This Row],[Producto]],Tabla6[[#All],[PRODUCTO]],0),MATCH(Tabla4[[#This Row],[Mes]],Tabla6[#Headers],0)))</f>
        <v>#N/A</v>
      </c>
      <c r="R7352" s="282" t="e">
        <f>++Tabla4[[#This Row],[Precio Unitario Neto]]-Tabla4[[#This Row],[20.85%]]-Tabla4[[#This Row],[Costo]]</f>
        <v>#N/A</v>
      </c>
      <c r="S7352" s="282" t="e">
        <f>++Tabla4[[#This Row],[U. Bruta Uni]]*Tabla4[[#This Row],[Cantidad]]</f>
        <v>#N/A</v>
      </c>
      <c r="T7352" s="369" t="str">
        <f>VLOOKUP(Tabla4[[#This Row],[Producto]],Tabla6[#All],14,FALSE)</f>
        <v>Termico Solar</v>
      </c>
      <c r="U7352" s="284" t="e">
        <f>(IF(Tabla4[[#This Row],[Familia]]="termico solar",Tabla4[[#This Row],[Utilidad Total]]*6%,Tabla4[[#This Row],[Utilidad Total]]*11.5%))/Tabla4[[#This Row],[Total]]</f>
        <v>#N/A</v>
      </c>
      <c r="V7352" s="282" t="e">
        <f>+Tabla4[[#This Row],[Comisión Calculada]]*Tabla4[[#This Row],[Total]]</f>
        <v>#N/A</v>
      </c>
    </row>
    <row r="7353" spans="1:22" x14ac:dyDescent="0.25">
      <c r="A7353" s="100">
        <v>46006</v>
      </c>
      <c r="B7353" t="str">
        <f t="shared" ref="B7353:B7356" si="634">TEXT(A7353, "mmmm")</f>
        <v>December</v>
      </c>
      <c r="C7353" s="46" t="s">
        <v>280</v>
      </c>
      <c r="F7353" s="366" t="s">
        <v>3703</v>
      </c>
      <c r="G7353" s="46" t="s">
        <v>83</v>
      </c>
      <c r="H7353" s="46">
        <v>2</v>
      </c>
      <c r="I7353" s="51">
        <v>8858.76</v>
      </c>
      <c r="J7353" s="281">
        <f>++Tabla4[[#This Row],[Precio Bruto]]*1.16</f>
        <v>10276.161599999999</v>
      </c>
      <c r="K7353" s="281">
        <f>+Tabla4[[#This Row],[Precio Unitario Neto]]*Tabla4[[#Headers],[20.85%]]</f>
        <v>2142.5796935999997</v>
      </c>
      <c r="L7353" s="282">
        <f>++Tabla4[[#This Row],[Precio Unitario Neto]]-Tabla4[[#This Row],[20.85%]]</f>
        <v>8133.5819063999998</v>
      </c>
      <c r="M7353" s="282" t="e">
        <f>(INDEX(Tabla6[#All],MATCH(Tabla4[[#This Row],[Producto]],Tabla6[[#All],[PRODUCTO]],0),MATCH(Tabla4[[#This Row],[Mes]],Tabla6[#Headers],0)))*(1+Catalogos!$L$2)</f>
        <v>#N/A</v>
      </c>
      <c r="N7353" s="283" t="e">
        <f>+(Tabla4[[#This Row],[Precio Descontado]]-Tabla4[[#This Row],[Precio Base]])*Tabla4[[#This Row],[Cantidad]]</f>
        <v>#N/A</v>
      </c>
      <c r="O7353" s="284" t="e">
        <f>++Tabla4[[#This Row],[Utilidad Total]]/Tabla4[[#This Row],[Total]]</f>
        <v>#N/A</v>
      </c>
      <c r="P7353" s="282">
        <f>++Tabla4[[#This Row],[Precio Descontado]]*Tabla4[[#This Row],[Cantidad]]</f>
        <v>16267.1638128</v>
      </c>
      <c r="Q7353" s="282" t="e">
        <f>(INDEX(Tabla6[#All],MATCH(Tabla4[[#This Row],[Producto]],Tabla6[[#All],[PRODUCTO]],0),MATCH(Tabla4[[#This Row],[Mes]],Tabla6[#Headers],0)))</f>
        <v>#N/A</v>
      </c>
      <c r="R7353" s="282" t="e">
        <f>++Tabla4[[#This Row],[Precio Unitario Neto]]-Tabla4[[#This Row],[20.85%]]-Tabla4[[#This Row],[Costo]]</f>
        <v>#N/A</v>
      </c>
      <c r="S7353" s="282" t="e">
        <f>++Tabla4[[#This Row],[U. Bruta Uni]]*Tabla4[[#This Row],[Cantidad]]</f>
        <v>#N/A</v>
      </c>
      <c r="T7353" s="369" t="str">
        <f>VLOOKUP(Tabla4[[#This Row],[Producto]],Tabla6[#All],14,FALSE)</f>
        <v>Termico Solar</v>
      </c>
      <c r="U7353" s="284" t="e">
        <f>(IF(Tabla4[[#This Row],[Familia]]="termico solar",Tabla4[[#This Row],[Utilidad Total]]*6%,Tabla4[[#This Row],[Utilidad Total]]*11.5%))/Tabla4[[#This Row],[Total]]</f>
        <v>#N/A</v>
      </c>
      <c r="V7353" s="282" t="e">
        <f>+Tabla4[[#This Row],[Comisión Calculada]]*Tabla4[[#This Row],[Total]]</f>
        <v>#N/A</v>
      </c>
    </row>
    <row r="7354" spans="1:22" x14ac:dyDescent="0.25">
      <c r="A7354" s="100">
        <v>46006</v>
      </c>
      <c r="B7354" t="str">
        <f t="shared" si="634"/>
        <v>December</v>
      </c>
      <c r="C7354" s="46" t="s">
        <v>280</v>
      </c>
      <c r="F7354" s="366" t="s">
        <v>3703</v>
      </c>
      <c r="G7354" s="46" t="s">
        <v>17</v>
      </c>
      <c r="H7354" s="46">
        <v>2</v>
      </c>
      <c r="I7354" s="51">
        <v>4622.28</v>
      </c>
      <c r="J7354" s="281">
        <f>++Tabla4[[#This Row],[Precio Bruto]]*1.16</f>
        <v>5361.8447999999989</v>
      </c>
      <c r="K7354" s="281">
        <f>+Tabla4[[#This Row],[Precio Unitario Neto]]*Tabla4[[#Headers],[20.85%]]</f>
        <v>1117.9446407999997</v>
      </c>
      <c r="L7354" s="282">
        <f>++Tabla4[[#This Row],[Precio Unitario Neto]]-Tabla4[[#This Row],[20.85%]]</f>
        <v>4243.9001591999995</v>
      </c>
      <c r="M7354" s="282" t="e">
        <f>(INDEX(Tabla6[#All],MATCH(Tabla4[[#This Row],[Producto]],Tabla6[[#All],[PRODUCTO]],0),MATCH(Tabla4[[#This Row],[Mes]],Tabla6[#Headers],0)))*(1+Catalogos!$L$2)</f>
        <v>#N/A</v>
      </c>
      <c r="N7354" s="283" t="e">
        <f>+(Tabla4[[#This Row],[Precio Descontado]]-Tabla4[[#This Row],[Precio Base]])*Tabla4[[#This Row],[Cantidad]]</f>
        <v>#N/A</v>
      </c>
      <c r="O7354" s="284" t="e">
        <f>++Tabla4[[#This Row],[Utilidad Total]]/Tabla4[[#This Row],[Total]]</f>
        <v>#N/A</v>
      </c>
      <c r="P7354" s="282">
        <f>++Tabla4[[#This Row],[Precio Descontado]]*Tabla4[[#This Row],[Cantidad]]</f>
        <v>8487.800318399999</v>
      </c>
      <c r="Q7354" s="282" t="e">
        <f>(INDEX(Tabla6[#All],MATCH(Tabla4[[#This Row],[Producto]],Tabla6[[#All],[PRODUCTO]],0),MATCH(Tabla4[[#This Row],[Mes]],Tabla6[#Headers],0)))</f>
        <v>#N/A</v>
      </c>
      <c r="R7354" s="282" t="e">
        <f>++Tabla4[[#This Row],[Precio Unitario Neto]]-Tabla4[[#This Row],[20.85%]]-Tabla4[[#This Row],[Costo]]</f>
        <v>#N/A</v>
      </c>
      <c r="S7354" s="282" t="e">
        <f>++Tabla4[[#This Row],[U. Bruta Uni]]*Tabla4[[#This Row],[Cantidad]]</f>
        <v>#N/A</v>
      </c>
      <c r="T7354" s="369" t="str">
        <f>VLOOKUP(Tabla4[[#This Row],[Producto]],Tabla6[#All],14,FALSE)</f>
        <v>Termico Solar</v>
      </c>
      <c r="U7354" s="284" t="e">
        <f>(IF(Tabla4[[#This Row],[Familia]]="termico solar",Tabla4[[#This Row],[Utilidad Total]]*6%,Tabla4[[#This Row],[Utilidad Total]]*11.5%))/Tabla4[[#This Row],[Total]]</f>
        <v>#N/A</v>
      </c>
      <c r="V7354" s="282" t="e">
        <f>+Tabla4[[#This Row],[Comisión Calculada]]*Tabla4[[#This Row],[Total]]</f>
        <v>#N/A</v>
      </c>
    </row>
    <row r="7355" spans="1:22" x14ac:dyDescent="0.25">
      <c r="A7355" s="100">
        <v>46006</v>
      </c>
      <c r="B7355" t="str">
        <f t="shared" si="634"/>
        <v>December</v>
      </c>
      <c r="C7355" s="46" t="s">
        <v>280</v>
      </c>
      <c r="F7355" s="366" t="s">
        <v>3703</v>
      </c>
      <c r="G7355" s="46" t="s">
        <v>18</v>
      </c>
      <c r="H7355" s="46">
        <v>1</v>
      </c>
      <c r="I7355" s="51">
        <v>5367.65</v>
      </c>
      <c r="J7355" s="281">
        <f>++Tabla4[[#This Row],[Precio Bruto]]*1.16</f>
        <v>6226.4739999999993</v>
      </c>
      <c r="K7355" s="281">
        <f>+Tabla4[[#This Row],[Precio Unitario Neto]]*Tabla4[[#Headers],[20.85%]]</f>
        <v>1298.2198289999999</v>
      </c>
      <c r="L7355" s="282">
        <f>++Tabla4[[#This Row],[Precio Unitario Neto]]-Tabla4[[#This Row],[20.85%]]</f>
        <v>4928.2541709999996</v>
      </c>
      <c r="M7355" s="282" t="e">
        <f>(INDEX(Tabla6[#All],MATCH(Tabla4[[#This Row],[Producto]],Tabla6[[#All],[PRODUCTO]],0),MATCH(Tabla4[[#This Row],[Mes]],Tabla6[#Headers],0)))*(1+Catalogos!$L$2)</f>
        <v>#N/A</v>
      </c>
      <c r="N7355" s="283" t="e">
        <f>+(Tabla4[[#This Row],[Precio Descontado]]-Tabla4[[#This Row],[Precio Base]])*Tabla4[[#This Row],[Cantidad]]</f>
        <v>#N/A</v>
      </c>
      <c r="O7355" s="284" t="e">
        <f>++Tabla4[[#This Row],[Utilidad Total]]/Tabla4[[#This Row],[Total]]</f>
        <v>#N/A</v>
      </c>
      <c r="P7355" s="282">
        <f>++Tabla4[[#This Row],[Precio Descontado]]*Tabla4[[#This Row],[Cantidad]]</f>
        <v>4928.2541709999996</v>
      </c>
      <c r="Q7355" s="282" t="e">
        <f>(INDEX(Tabla6[#All],MATCH(Tabla4[[#This Row],[Producto]],Tabla6[[#All],[PRODUCTO]],0),MATCH(Tabla4[[#This Row],[Mes]],Tabla6[#Headers],0)))</f>
        <v>#N/A</v>
      </c>
      <c r="R7355" s="282" t="e">
        <f>++Tabla4[[#This Row],[Precio Unitario Neto]]-Tabla4[[#This Row],[20.85%]]-Tabla4[[#This Row],[Costo]]</f>
        <v>#N/A</v>
      </c>
      <c r="S7355" s="282" t="e">
        <f>++Tabla4[[#This Row],[U. Bruta Uni]]*Tabla4[[#This Row],[Cantidad]]</f>
        <v>#N/A</v>
      </c>
      <c r="T7355" s="369" t="str">
        <f>VLOOKUP(Tabla4[[#This Row],[Producto]],Tabla6[#All],14,FALSE)</f>
        <v>Termico Solar</v>
      </c>
      <c r="U7355" s="284" t="e">
        <f>(IF(Tabla4[[#This Row],[Familia]]="termico solar",Tabla4[[#This Row],[Utilidad Total]]*6%,Tabla4[[#This Row],[Utilidad Total]]*11.5%))/Tabla4[[#This Row],[Total]]</f>
        <v>#N/A</v>
      </c>
      <c r="V7355" s="282" t="e">
        <f>+Tabla4[[#This Row],[Comisión Calculada]]*Tabla4[[#This Row],[Total]]</f>
        <v>#N/A</v>
      </c>
    </row>
    <row r="7356" spans="1:22" x14ac:dyDescent="0.25">
      <c r="A7356" s="100">
        <v>46006</v>
      </c>
      <c r="B7356" t="str">
        <f t="shared" si="634"/>
        <v>December</v>
      </c>
      <c r="C7356" s="46" t="s">
        <v>280</v>
      </c>
      <c r="F7356" s="366" t="s">
        <v>3703</v>
      </c>
      <c r="G7356" s="46" t="s">
        <v>553</v>
      </c>
      <c r="H7356" s="46">
        <v>9</v>
      </c>
      <c r="I7356" s="51">
        <v>108.1</v>
      </c>
      <c r="J7356" s="281">
        <f>++Tabla4[[#This Row],[Precio Bruto]]*1.16</f>
        <v>125.39599999999999</v>
      </c>
      <c r="K7356" s="281">
        <f>+Tabla4[[#This Row],[Precio Unitario Neto]]*Tabla4[[#Headers],[20.85%]]</f>
        <v>26.145065999999996</v>
      </c>
      <c r="L7356" s="282">
        <f>++Tabla4[[#This Row],[Precio Unitario Neto]]-Tabla4[[#This Row],[20.85%]]</f>
        <v>99.250933999999987</v>
      </c>
      <c r="M7356" s="282" t="e">
        <f>(INDEX(Tabla6[#All],MATCH(Tabla4[[#This Row],[Producto]],Tabla6[[#All],[PRODUCTO]],0),MATCH(Tabla4[[#This Row],[Mes]],Tabla6[#Headers],0)))*(1+Catalogos!$L$2)</f>
        <v>#N/A</v>
      </c>
      <c r="N7356" s="283" t="e">
        <f>+(Tabla4[[#This Row],[Precio Descontado]]-Tabla4[[#This Row],[Precio Base]])*Tabla4[[#This Row],[Cantidad]]</f>
        <v>#N/A</v>
      </c>
      <c r="O7356" s="284" t="e">
        <f>++Tabla4[[#This Row],[Utilidad Total]]/Tabla4[[#This Row],[Total]]</f>
        <v>#N/A</v>
      </c>
      <c r="P7356" s="282">
        <f>++Tabla4[[#This Row],[Precio Descontado]]*Tabla4[[#This Row],[Cantidad]]</f>
        <v>893.25840599999992</v>
      </c>
      <c r="Q7356" s="282" t="e">
        <f>(INDEX(Tabla6[#All],MATCH(Tabla4[[#This Row],[Producto]],Tabla6[[#All],[PRODUCTO]],0),MATCH(Tabla4[[#This Row],[Mes]],Tabla6[#Headers],0)))</f>
        <v>#N/A</v>
      </c>
      <c r="R7356" s="282" t="e">
        <f>++Tabla4[[#This Row],[Precio Unitario Neto]]-Tabla4[[#This Row],[20.85%]]-Tabla4[[#This Row],[Costo]]</f>
        <v>#N/A</v>
      </c>
      <c r="S7356" s="282" t="e">
        <f>++Tabla4[[#This Row],[U. Bruta Uni]]*Tabla4[[#This Row],[Cantidad]]</f>
        <v>#N/A</v>
      </c>
      <c r="T7356" s="369" t="str">
        <f>VLOOKUP(Tabla4[[#This Row],[Producto]],Tabla6[#All],14,FALSE)</f>
        <v>Termico Solar</v>
      </c>
      <c r="U7356" s="284" t="e">
        <f>(IF(Tabla4[[#This Row],[Familia]]="termico solar",Tabla4[[#This Row],[Utilidad Total]]*6%,Tabla4[[#This Row],[Utilidad Total]]*11.5%))/Tabla4[[#This Row],[Total]]</f>
        <v>#N/A</v>
      </c>
      <c r="V7356" s="282" t="e">
        <f>+Tabla4[[#This Row],[Comisión Calculada]]*Tabla4[[#This Row],[Total]]</f>
        <v>#N/A</v>
      </c>
    </row>
    <row r="7357" spans="1:22" x14ac:dyDescent="0.25">
      <c r="A7357" s="100">
        <v>46006</v>
      </c>
      <c r="B7357" t="str">
        <f t="shared" ref="B7357:B7358" si="635">TEXT(A7357, "mmmm")</f>
        <v>December</v>
      </c>
      <c r="C7357" s="46" t="s">
        <v>280</v>
      </c>
      <c r="F7357" s="366" t="s">
        <v>3704</v>
      </c>
      <c r="G7357" s="46" t="s">
        <v>83</v>
      </c>
      <c r="H7357" s="46">
        <v>5</v>
      </c>
      <c r="I7357" s="51">
        <v>8858.76</v>
      </c>
      <c r="J7357" s="281">
        <f>++Tabla4[[#This Row],[Precio Bruto]]*1.16</f>
        <v>10276.161599999999</v>
      </c>
      <c r="K7357" s="281">
        <f>+Tabla4[[#This Row],[Precio Unitario Neto]]*Tabla4[[#Headers],[20.85%]]</f>
        <v>2142.5796935999997</v>
      </c>
      <c r="L7357" s="282">
        <f>++Tabla4[[#This Row],[Precio Unitario Neto]]-Tabla4[[#This Row],[20.85%]]</f>
        <v>8133.5819063999998</v>
      </c>
      <c r="M7357" s="282" t="e">
        <f>(INDEX(Tabla6[#All],MATCH(Tabla4[[#This Row],[Producto]],Tabla6[[#All],[PRODUCTO]],0),MATCH(Tabla4[[#This Row],[Mes]],Tabla6[#Headers],0)))*(1+Catalogos!$L$2)</f>
        <v>#N/A</v>
      </c>
      <c r="N7357" s="283" t="e">
        <f>+(Tabla4[[#This Row],[Precio Descontado]]-Tabla4[[#This Row],[Precio Base]])*Tabla4[[#This Row],[Cantidad]]</f>
        <v>#N/A</v>
      </c>
      <c r="O7357" s="284" t="e">
        <f>++Tabla4[[#This Row],[Utilidad Total]]/Tabla4[[#This Row],[Total]]</f>
        <v>#N/A</v>
      </c>
      <c r="P7357" s="282">
        <f>++Tabla4[[#This Row],[Precio Descontado]]*Tabla4[[#This Row],[Cantidad]]</f>
        <v>40667.909531999998</v>
      </c>
      <c r="Q7357" s="282" t="e">
        <f>(INDEX(Tabla6[#All],MATCH(Tabla4[[#This Row],[Producto]],Tabla6[[#All],[PRODUCTO]],0),MATCH(Tabla4[[#This Row],[Mes]],Tabla6[#Headers],0)))</f>
        <v>#N/A</v>
      </c>
      <c r="R7357" s="282" t="e">
        <f>++Tabla4[[#This Row],[Precio Unitario Neto]]-Tabla4[[#This Row],[20.85%]]-Tabla4[[#This Row],[Costo]]</f>
        <v>#N/A</v>
      </c>
      <c r="S7357" s="282" t="e">
        <f>++Tabla4[[#This Row],[U. Bruta Uni]]*Tabla4[[#This Row],[Cantidad]]</f>
        <v>#N/A</v>
      </c>
      <c r="T7357" s="369" t="str">
        <f>VLOOKUP(Tabla4[[#This Row],[Producto]],Tabla6[#All],14,FALSE)</f>
        <v>Termico Solar</v>
      </c>
      <c r="U7357" s="284" t="e">
        <f>(IF(Tabla4[[#This Row],[Familia]]="termico solar",Tabla4[[#This Row],[Utilidad Total]]*6%,Tabla4[[#This Row],[Utilidad Total]]*11.5%))/Tabla4[[#This Row],[Total]]</f>
        <v>#N/A</v>
      </c>
      <c r="V7357" s="282" t="e">
        <f>+Tabla4[[#This Row],[Comisión Calculada]]*Tabla4[[#This Row],[Total]]</f>
        <v>#N/A</v>
      </c>
    </row>
    <row r="7358" spans="1:22" x14ac:dyDescent="0.25">
      <c r="A7358" s="100">
        <v>46006</v>
      </c>
      <c r="B7358" t="str">
        <f t="shared" si="635"/>
        <v>December</v>
      </c>
      <c r="C7358" s="46" t="s">
        <v>280</v>
      </c>
      <c r="F7358" s="366" t="s">
        <v>3704</v>
      </c>
      <c r="G7358" s="46" t="s">
        <v>208</v>
      </c>
      <c r="H7358" s="46">
        <v>9</v>
      </c>
      <c r="I7358" s="51">
        <v>189.75</v>
      </c>
      <c r="J7358" s="281">
        <f>++Tabla4[[#This Row],[Precio Bruto]]*1.16</f>
        <v>220.10999999999999</v>
      </c>
      <c r="K7358" s="281">
        <f>+Tabla4[[#This Row],[Precio Unitario Neto]]*Tabla4[[#Headers],[20.85%]]</f>
        <v>45.892934999999994</v>
      </c>
      <c r="L7358" s="282">
        <f>++Tabla4[[#This Row],[Precio Unitario Neto]]-Tabla4[[#This Row],[20.85%]]</f>
        <v>174.21706499999999</v>
      </c>
      <c r="M7358" s="282" t="e">
        <f>(INDEX(Tabla6[#All],MATCH(Tabla4[[#This Row],[Producto]],Tabla6[[#All],[PRODUCTO]],0),MATCH(Tabla4[[#This Row],[Mes]],Tabla6[#Headers],0)))*(1+Catalogos!$L$2)</f>
        <v>#N/A</v>
      </c>
      <c r="N7358" s="283" t="e">
        <f>+(Tabla4[[#This Row],[Precio Descontado]]-Tabla4[[#This Row],[Precio Base]])*Tabla4[[#This Row],[Cantidad]]</f>
        <v>#N/A</v>
      </c>
      <c r="O7358" s="284" t="e">
        <f>++Tabla4[[#This Row],[Utilidad Total]]/Tabla4[[#This Row],[Total]]</f>
        <v>#N/A</v>
      </c>
      <c r="P7358" s="282">
        <f>++Tabla4[[#This Row],[Precio Descontado]]*Tabla4[[#This Row],[Cantidad]]</f>
        <v>1567.953585</v>
      </c>
      <c r="Q7358" s="282" t="e">
        <f>(INDEX(Tabla6[#All],MATCH(Tabla4[[#This Row],[Producto]],Tabla6[[#All],[PRODUCTO]],0),MATCH(Tabla4[[#This Row],[Mes]],Tabla6[#Headers],0)))</f>
        <v>#N/A</v>
      </c>
      <c r="R7358" s="282" t="e">
        <f>++Tabla4[[#This Row],[Precio Unitario Neto]]-Tabla4[[#This Row],[20.85%]]-Tabla4[[#This Row],[Costo]]</f>
        <v>#N/A</v>
      </c>
      <c r="S7358" s="282" t="e">
        <f>++Tabla4[[#This Row],[U. Bruta Uni]]*Tabla4[[#This Row],[Cantidad]]</f>
        <v>#N/A</v>
      </c>
      <c r="T7358" s="369" t="str">
        <f>VLOOKUP(Tabla4[[#This Row],[Producto]],Tabla6[#All],14,FALSE)</f>
        <v>Termico Solar</v>
      </c>
      <c r="U7358" s="284" t="e">
        <f>(IF(Tabla4[[#This Row],[Familia]]="termico solar",Tabla4[[#This Row],[Utilidad Total]]*6%,Tabla4[[#This Row],[Utilidad Total]]*11.5%))/Tabla4[[#This Row],[Total]]</f>
        <v>#N/A</v>
      </c>
      <c r="V7358" s="282" t="e">
        <f>+Tabla4[[#This Row],[Comisión Calculada]]*Tabla4[[#This Row],[Total]]</f>
        <v>#N/A</v>
      </c>
    </row>
    <row r="7359" spans="1:22" x14ac:dyDescent="0.25">
      <c r="A7359" s="100">
        <v>46006</v>
      </c>
      <c r="B7359" t="str">
        <f>TEXT(A7359, "mmmm")</f>
        <v>December</v>
      </c>
      <c r="C7359" s="46" t="s">
        <v>280</v>
      </c>
      <c r="F7359" s="366" t="s">
        <v>3705</v>
      </c>
      <c r="G7359" s="46" t="s">
        <v>18</v>
      </c>
      <c r="H7359" s="46">
        <v>2</v>
      </c>
      <c r="I7359" s="51">
        <v>5367.65</v>
      </c>
      <c r="J7359" s="281">
        <f>++Tabla4[[#This Row],[Precio Bruto]]*1.16</f>
        <v>6226.4739999999993</v>
      </c>
      <c r="K7359" s="281">
        <f>+Tabla4[[#This Row],[Precio Unitario Neto]]*Tabla4[[#Headers],[20.85%]]</f>
        <v>1298.2198289999999</v>
      </c>
      <c r="L7359" s="282">
        <f>++Tabla4[[#This Row],[Precio Unitario Neto]]-Tabla4[[#This Row],[20.85%]]</f>
        <v>4928.2541709999996</v>
      </c>
      <c r="M7359" s="282" t="e">
        <f>(INDEX(Tabla6[#All],MATCH(Tabla4[[#This Row],[Producto]],Tabla6[[#All],[PRODUCTO]],0),MATCH(Tabla4[[#This Row],[Mes]],Tabla6[#Headers],0)))*(1+Catalogos!$L$2)</f>
        <v>#N/A</v>
      </c>
      <c r="N7359" s="283" t="e">
        <f>+(Tabla4[[#This Row],[Precio Descontado]]-Tabla4[[#This Row],[Precio Base]])*Tabla4[[#This Row],[Cantidad]]</f>
        <v>#N/A</v>
      </c>
      <c r="O7359" s="284" t="e">
        <f>++Tabla4[[#This Row],[Utilidad Total]]/Tabla4[[#This Row],[Total]]</f>
        <v>#N/A</v>
      </c>
      <c r="P7359" s="282">
        <f>++Tabla4[[#This Row],[Precio Descontado]]*Tabla4[[#This Row],[Cantidad]]</f>
        <v>9856.5083419999992</v>
      </c>
      <c r="Q7359" s="282" t="e">
        <f>(INDEX(Tabla6[#All],MATCH(Tabla4[[#This Row],[Producto]],Tabla6[[#All],[PRODUCTO]],0),MATCH(Tabla4[[#This Row],[Mes]],Tabla6[#Headers],0)))</f>
        <v>#N/A</v>
      </c>
      <c r="R7359" s="282" t="e">
        <f>++Tabla4[[#This Row],[Precio Unitario Neto]]-Tabla4[[#This Row],[20.85%]]-Tabla4[[#This Row],[Costo]]</f>
        <v>#N/A</v>
      </c>
      <c r="S7359" s="282" t="e">
        <f>++Tabla4[[#This Row],[U. Bruta Uni]]*Tabla4[[#This Row],[Cantidad]]</f>
        <v>#N/A</v>
      </c>
      <c r="T7359" s="369" t="str">
        <f>VLOOKUP(Tabla4[[#This Row],[Producto]],Tabla6[#All],14,FALSE)</f>
        <v>Termico Solar</v>
      </c>
      <c r="U7359" s="284" t="e">
        <f>(IF(Tabla4[[#This Row],[Familia]]="termico solar",Tabla4[[#This Row],[Utilidad Total]]*6%,Tabla4[[#This Row],[Utilidad Total]]*11.5%))/Tabla4[[#This Row],[Total]]</f>
        <v>#N/A</v>
      </c>
      <c r="V7359" s="282" t="e">
        <f>+Tabla4[[#This Row],[Comisión Calculada]]*Tabla4[[#This Row],[Total]]</f>
        <v>#N/A</v>
      </c>
    </row>
    <row r="7360" spans="1:22" x14ac:dyDescent="0.25">
      <c r="A7360" s="100">
        <v>46006</v>
      </c>
      <c r="B7360" t="str">
        <f t="shared" ref="B7360:B7364" si="636">TEXT(A7360, "mmmm")</f>
        <v>December</v>
      </c>
      <c r="C7360" s="46" t="s">
        <v>280</v>
      </c>
      <c r="F7360" s="366" t="s">
        <v>3706</v>
      </c>
      <c r="G7360" s="46" t="s">
        <v>83</v>
      </c>
      <c r="H7360" s="46">
        <v>5</v>
      </c>
      <c r="I7360" s="51">
        <v>8858.76</v>
      </c>
      <c r="J7360" s="281">
        <f>++Tabla4[[#This Row],[Precio Bruto]]*1.16</f>
        <v>10276.161599999999</v>
      </c>
      <c r="K7360" s="281">
        <f>+Tabla4[[#This Row],[Precio Unitario Neto]]*Tabla4[[#Headers],[20.85%]]</f>
        <v>2142.5796935999997</v>
      </c>
      <c r="L7360" s="282">
        <f>++Tabla4[[#This Row],[Precio Unitario Neto]]-Tabla4[[#This Row],[20.85%]]</f>
        <v>8133.5819063999998</v>
      </c>
      <c r="M7360" s="282" t="e">
        <f>(INDEX(Tabla6[#All],MATCH(Tabla4[[#This Row],[Producto]],Tabla6[[#All],[PRODUCTO]],0),MATCH(Tabla4[[#This Row],[Mes]],Tabla6[#Headers],0)))*(1+Catalogos!$L$2)</f>
        <v>#N/A</v>
      </c>
      <c r="N7360" s="283" t="e">
        <f>+(Tabla4[[#This Row],[Precio Descontado]]-Tabla4[[#This Row],[Precio Base]])*Tabla4[[#This Row],[Cantidad]]</f>
        <v>#N/A</v>
      </c>
      <c r="O7360" s="284" t="e">
        <f>++Tabla4[[#This Row],[Utilidad Total]]/Tabla4[[#This Row],[Total]]</f>
        <v>#N/A</v>
      </c>
      <c r="P7360" s="282">
        <f>++Tabla4[[#This Row],[Precio Descontado]]*Tabla4[[#This Row],[Cantidad]]</f>
        <v>40667.909531999998</v>
      </c>
      <c r="Q7360" s="282" t="e">
        <f>(INDEX(Tabla6[#All],MATCH(Tabla4[[#This Row],[Producto]],Tabla6[[#All],[PRODUCTO]],0),MATCH(Tabla4[[#This Row],[Mes]],Tabla6[#Headers],0)))</f>
        <v>#N/A</v>
      </c>
      <c r="R7360" s="282" t="e">
        <f>++Tabla4[[#This Row],[Precio Unitario Neto]]-Tabla4[[#This Row],[20.85%]]-Tabla4[[#This Row],[Costo]]</f>
        <v>#N/A</v>
      </c>
      <c r="S7360" s="282" t="e">
        <f>++Tabla4[[#This Row],[U. Bruta Uni]]*Tabla4[[#This Row],[Cantidad]]</f>
        <v>#N/A</v>
      </c>
      <c r="T7360" s="369" t="str">
        <f>VLOOKUP(Tabla4[[#This Row],[Producto]],Tabla6[#All],14,FALSE)</f>
        <v>Termico Solar</v>
      </c>
      <c r="U7360" s="284" t="e">
        <f>(IF(Tabla4[[#This Row],[Familia]]="termico solar",Tabla4[[#This Row],[Utilidad Total]]*6%,Tabla4[[#This Row],[Utilidad Total]]*11.5%))/Tabla4[[#This Row],[Total]]</f>
        <v>#N/A</v>
      </c>
      <c r="V7360" s="282" t="e">
        <f>+Tabla4[[#This Row],[Comisión Calculada]]*Tabla4[[#This Row],[Total]]</f>
        <v>#N/A</v>
      </c>
    </row>
    <row r="7361" spans="1:22" x14ac:dyDescent="0.25">
      <c r="A7361" s="100">
        <v>46006</v>
      </c>
      <c r="B7361" t="str">
        <f t="shared" si="636"/>
        <v>December</v>
      </c>
      <c r="C7361" s="46" t="s">
        <v>280</v>
      </c>
      <c r="F7361" s="366" t="s">
        <v>3706</v>
      </c>
      <c r="G7361" s="46" t="s">
        <v>17</v>
      </c>
      <c r="H7361" s="46">
        <v>1</v>
      </c>
      <c r="I7361" s="51">
        <v>4622.28</v>
      </c>
      <c r="J7361" s="281">
        <f>++Tabla4[[#This Row],[Precio Bruto]]*1.16</f>
        <v>5361.8447999999989</v>
      </c>
      <c r="K7361" s="281">
        <f>+Tabla4[[#This Row],[Precio Unitario Neto]]*Tabla4[[#Headers],[20.85%]]</f>
        <v>1117.9446407999997</v>
      </c>
      <c r="L7361" s="282">
        <f>++Tabla4[[#This Row],[Precio Unitario Neto]]-Tabla4[[#This Row],[20.85%]]</f>
        <v>4243.9001591999995</v>
      </c>
      <c r="M7361" s="282" t="e">
        <f>(INDEX(Tabla6[#All],MATCH(Tabla4[[#This Row],[Producto]],Tabla6[[#All],[PRODUCTO]],0),MATCH(Tabla4[[#This Row],[Mes]],Tabla6[#Headers],0)))*(1+Catalogos!$L$2)</f>
        <v>#N/A</v>
      </c>
      <c r="N7361" s="283" t="e">
        <f>+(Tabla4[[#This Row],[Precio Descontado]]-Tabla4[[#This Row],[Precio Base]])*Tabla4[[#This Row],[Cantidad]]</f>
        <v>#N/A</v>
      </c>
      <c r="O7361" s="284" t="e">
        <f>++Tabla4[[#This Row],[Utilidad Total]]/Tabla4[[#This Row],[Total]]</f>
        <v>#N/A</v>
      </c>
      <c r="P7361" s="282">
        <f>++Tabla4[[#This Row],[Precio Descontado]]*Tabla4[[#This Row],[Cantidad]]</f>
        <v>4243.9001591999995</v>
      </c>
      <c r="Q7361" s="282" t="e">
        <f>(INDEX(Tabla6[#All],MATCH(Tabla4[[#This Row],[Producto]],Tabla6[[#All],[PRODUCTO]],0),MATCH(Tabla4[[#This Row],[Mes]],Tabla6[#Headers],0)))</f>
        <v>#N/A</v>
      </c>
      <c r="R7361" s="282" t="e">
        <f>++Tabla4[[#This Row],[Precio Unitario Neto]]-Tabla4[[#This Row],[20.85%]]-Tabla4[[#This Row],[Costo]]</f>
        <v>#N/A</v>
      </c>
      <c r="S7361" s="282" t="e">
        <f>++Tabla4[[#This Row],[U. Bruta Uni]]*Tabla4[[#This Row],[Cantidad]]</f>
        <v>#N/A</v>
      </c>
      <c r="T7361" s="369" t="str">
        <f>VLOOKUP(Tabla4[[#This Row],[Producto]],Tabla6[#All],14,FALSE)</f>
        <v>Termico Solar</v>
      </c>
      <c r="U7361" s="284" t="e">
        <f>(IF(Tabla4[[#This Row],[Familia]]="termico solar",Tabla4[[#This Row],[Utilidad Total]]*6%,Tabla4[[#This Row],[Utilidad Total]]*11.5%))/Tabla4[[#This Row],[Total]]</f>
        <v>#N/A</v>
      </c>
      <c r="V7361" s="282" t="e">
        <f>+Tabla4[[#This Row],[Comisión Calculada]]*Tabla4[[#This Row],[Total]]</f>
        <v>#N/A</v>
      </c>
    </row>
    <row r="7362" spans="1:22" x14ac:dyDescent="0.25">
      <c r="A7362" s="100">
        <v>46006</v>
      </c>
      <c r="B7362" t="str">
        <f t="shared" si="636"/>
        <v>December</v>
      </c>
      <c r="C7362" s="46" t="s">
        <v>280</v>
      </c>
      <c r="F7362" s="366" t="s">
        <v>3706</v>
      </c>
      <c r="G7362" s="46" t="s">
        <v>566</v>
      </c>
      <c r="H7362" s="46">
        <v>1</v>
      </c>
      <c r="I7362" s="51">
        <v>2109.4499999999998</v>
      </c>
      <c r="J7362" s="281">
        <f>++Tabla4[[#This Row],[Precio Bruto]]*1.16</f>
        <v>2446.9619999999995</v>
      </c>
      <c r="K7362" s="281">
        <f>+Tabla4[[#This Row],[Precio Unitario Neto]]*Tabla4[[#Headers],[20.85%]]</f>
        <v>510.19157699999988</v>
      </c>
      <c r="L7362" s="282">
        <f>++Tabla4[[#This Row],[Precio Unitario Neto]]-Tabla4[[#This Row],[20.85%]]</f>
        <v>1936.7704229999997</v>
      </c>
      <c r="M7362" s="282" t="e">
        <f>(INDEX(Tabla6[#All],MATCH(Tabla4[[#This Row],[Producto]],Tabla6[[#All],[PRODUCTO]],0),MATCH(Tabla4[[#This Row],[Mes]],Tabla6[#Headers],0)))*(1+Catalogos!$L$2)</f>
        <v>#N/A</v>
      </c>
      <c r="N7362" s="283" t="e">
        <f>+(Tabla4[[#This Row],[Precio Descontado]]-Tabla4[[#This Row],[Precio Base]])*Tabla4[[#This Row],[Cantidad]]</f>
        <v>#N/A</v>
      </c>
      <c r="O7362" s="284" t="e">
        <f>++Tabla4[[#This Row],[Utilidad Total]]/Tabla4[[#This Row],[Total]]</f>
        <v>#N/A</v>
      </c>
      <c r="P7362" s="282">
        <f>++Tabla4[[#This Row],[Precio Descontado]]*Tabla4[[#This Row],[Cantidad]]</f>
        <v>1936.7704229999997</v>
      </c>
      <c r="Q7362" s="282" t="e">
        <f>(INDEX(Tabla6[#All],MATCH(Tabla4[[#This Row],[Producto]],Tabla6[[#All],[PRODUCTO]],0),MATCH(Tabla4[[#This Row],[Mes]],Tabla6[#Headers],0)))</f>
        <v>#N/A</v>
      </c>
      <c r="R7362" s="282" t="e">
        <f>++Tabla4[[#This Row],[Precio Unitario Neto]]-Tabla4[[#This Row],[20.85%]]-Tabla4[[#This Row],[Costo]]</f>
        <v>#N/A</v>
      </c>
      <c r="S7362" s="282" t="e">
        <f>++Tabla4[[#This Row],[U. Bruta Uni]]*Tabla4[[#This Row],[Cantidad]]</f>
        <v>#N/A</v>
      </c>
      <c r="T7362" s="369" t="str">
        <f>VLOOKUP(Tabla4[[#This Row],[Producto]],Tabla6[#All],14,FALSE)</f>
        <v>Termico Solar</v>
      </c>
      <c r="U7362" s="284" t="e">
        <f>(IF(Tabla4[[#This Row],[Familia]]="termico solar",Tabla4[[#This Row],[Utilidad Total]]*6%,Tabla4[[#This Row],[Utilidad Total]]*11.5%))/Tabla4[[#This Row],[Total]]</f>
        <v>#N/A</v>
      </c>
      <c r="V7362" s="282" t="e">
        <f>+Tabla4[[#This Row],[Comisión Calculada]]*Tabla4[[#This Row],[Total]]</f>
        <v>#N/A</v>
      </c>
    </row>
    <row r="7363" spans="1:22" x14ac:dyDescent="0.25">
      <c r="A7363" s="100">
        <v>46006</v>
      </c>
      <c r="B7363" t="str">
        <f t="shared" si="636"/>
        <v>December</v>
      </c>
      <c r="C7363" s="46" t="s">
        <v>280</v>
      </c>
      <c r="F7363" s="366" t="s">
        <v>3706</v>
      </c>
      <c r="G7363" s="46" t="s">
        <v>394</v>
      </c>
      <c r="H7363" s="46">
        <v>9</v>
      </c>
      <c r="I7363" s="51">
        <v>108.1</v>
      </c>
      <c r="J7363" s="281">
        <f>++Tabla4[[#This Row],[Precio Bruto]]*1.16</f>
        <v>125.39599999999999</v>
      </c>
      <c r="K7363" s="281">
        <f>+Tabla4[[#This Row],[Precio Unitario Neto]]*Tabla4[[#Headers],[20.85%]]</f>
        <v>26.145065999999996</v>
      </c>
      <c r="L7363" s="282">
        <f>++Tabla4[[#This Row],[Precio Unitario Neto]]-Tabla4[[#This Row],[20.85%]]</f>
        <v>99.250933999999987</v>
      </c>
      <c r="M7363" s="282" t="e">
        <f>(INDEX(Tabla6[#All],MATCH(Tabla4[[#This Row],[Producto]],Tabla6[[#All],[PRODUCTO]],0),MATCH(Tabla4[[#This Row],[Mes]],Tabla6[#Headers],0)))*(1+Catalogos!$L$2)</f>
        <v>#N/A</v>
      </c>
      <c r="N7363" s="283" t="e">
        <f>+(Tabla4[[#This Row],[Precio Descontado]]-Tabla4[[#This Row],[Precio Base]])*Tabla4[[#This Row],[Cantidad]]</f>
        <v>#N/A</v>
      </c>
      <c r="O7363" s="284" t="e">
        <f>++Tabla4[[#This Row],[Utilidad Total]]/Tabla4[[#This Row],[Total]]</f>
        <v>#N/A</v>
      </c>
      <c r="P7363" s="282">
        <f>++Tabla4[[#This Row],[Precio Descontado]]*Tabla4[[#This Row],[Cantidad]]</f>
        <v>893.25840599999992</v>
      </c>
      <c r="Q7363" s="282" t="e">
        <f>(INDEX(Tabla6[#All],MATCH(Tabla4[[#This Row],[Producto]],Tabla6[[#All],[PRODUCTO]],0),MATCH(Tabla4[[#This Row],[Mes]],Tabla6[#Headers],0)))</f>
        <v>#N/A</v>
      </c>
      <c r="R7363" s="282" t="e">
        <f>++Tabla4[[#This Row],[Precio Unitario Neto]]-Tabla4[[#This Row],[20.85%]]-Tabla4[[#This Row],[Costo]]</f>
        <v>#N/A</v>
      </c>
      <c r="S7363" s="282" t="e">
        <f>++Tabla4[[#This Row],[U. Bruta Uni]]*Tabla4[[#This Row],[Cantidad]]</f>
        <v>#N/A</v>
      </c>
      <c r="T7363" s="369" t="str">
        <f>VLOOKUP(Tabla4[[#This Row],[Producto]],Tabla6[#All],14,FALSE)</f>
        <v>Termico Solar</v>
      </c>
      <c r="U7363" s="284" t="e">
        <f>(IF(Tabla4[[#This Row],[Familia]]="termico solar",Tabla4[[#This Row],[Utilidad Total]]*6%,Tabla4[[#This Row],[Utilidad Total]]*11.5%))/Tabla4[[#This Row],[Total]]</f>
        <v>#N/A</v>
      </c>
      <c r="V7363" s="282" t="e">
        <f>+Tabla4[[#This Row],[Comisión Calculada]]*Tabla4[[#This Row],[Total]]</f>
        <v>#N/A</v>
      </c>
    </row>
    <row r="7364" spans="1:22" x14ac:dyDescent="0.25">
      <c r="A7364" s="100">
        <v>46006</v>
      </c>
      <c r="B7364" t="str">
        <f t="shared" si="636"/>
        <v>December</v>
      </c>
      <c r="C7364" s="46" t="s">
        <v>280</v>
      </c>
      <c r="F7364" s="366" t="s">
        <v>3706</v>
      </c>
      <c r="G7364" s="46" t="s">
        <v>208</v>
      </c>
      <c r="H7364" s="46">
        <v>3</v>
      </c>
      <c r="I7364" s="51">
        <v>189.75</v>
      </c>
      <c r="J7364" s="281">
        <f>++Tabla4[[#This Row],[Precio Bruto]]*1.16</f>
        <v>220.10999999999999</v>
      </c>
      <c r="K7364" s="281">
        <f>+Tabla4[[#This Row],[Precio Unitario Neto]]*Tabla4[[#Headers],[20.85%]]</f>
        <v>45.892934999999994</v>
      </c>
      <c r="L7364" s="282">
        <f>++Tabla4[[#This Row],[Precio Unitario Neto]]-Tabla4[[#This Row],[20.85%]]</f>
        <v>174.21706499999999</v>
      </c>
      <c r="M7364" s="282" t="e">
        <f>(INDEX(Tabla6[#All],MATCH(Tabla4[[#This Row],[Producto]],Tabla6[[#All],[PRODUCTO]],0),MATCH(Tabla4[[#This Row],[Mes]],Tabla6[#Headers],0)))*(1+Catalogos!$L$2)</f>
        <v>#N/A</v>
      </c>
      <c r="N7364" s="283" t="e">
        <f>+(Tabla4[[#This Row],[Precio Descontado]]-Tabla4[[#This Row],[Precio Base]])*Tabla4[[#This Row],[Cantidad]]</f>
        <v>#N/A</v>
      </c>
      <c r="O7364" s="284" t="e">
        <f>++Tabla4[[#This Row],[Utilidad Total]]/Tabla4[[#This Row],[Total]]</f>
        <v>#N/A</v>
      </c>
      <c r="P7364" s="282">
        <f>++Tabla4[[#This Row],[Precio Descontado]]*Tabla4[[#This Row],[Cantidad]]</f>
        <v>522.65119499999992</v>
      </c>
      <c r="Q7364" s="282" t="e">
        <f>(INDEX(Tabla6[#All],MATCH(Tabla4[[#This Row],[Producto]],Tabla6[[#All],[PRODUCTO]],0),MATCH(Tabla4[[#This Row],[Mes]],Tabla6[#Headers],0)))</f>
        <v>#N/A</v>
      </c>
      <c r="R7364" s="282" t="e">
        <f>++Tabla4[[#This Row],[Precio Unitario Neto]]-Tabla4[[#This Row],[20.85%]]-Tabla4[[#This Row],[Costo]]</f>
        <v>#N/A</v>
      </c>
      <c r="S7364" s="282" t="e">
        <f>++Tabla4[[#This Row],[U. Bruta Uni]]*Tabla4[[#This Row],[Cantidad]]</f>
        <v>#N/A</v>
      </c>
      <c r="T7364" s="369" t="str">
        <f>VLOOKUP(Tabla4[[#This Row],[Producto]],Tabla6[#All],14,FALSE)</f>
        <v>Termico Solar</v>
      </c>
      <c r="U7364" s="284" t="e">
        <f>(IF(Tabla4[[#This Row],[Familia]]="termico solar",Tabla4[[#This Row],[Utilidad Total]]*6%,Tabla4[[#This Row],[Utilidad Total]]*11.5%))/Tabla4[[#This Row],[Total]]</f>
        <v>#N/A</v>
      </c>
      <c r="V7364" s="282" t="e">
        <f>+Tabla4[[#This Row],[Comisión Calculada]]*Tabla4[[#This Row],[Total]]</f>
        <v>#N/A</v>
      </c>
    </row>
    <row r="7365" spans="1:22" x14ac:dyDescent="0.25">
      <c r="A7365" s="100">
        <v>46006</v>
      </c>
      <c r="B7365" t="str">
        <f>TEXT(A7365, "mmmm")</f>
        <v>December</v>
      </c>
      <c r="C7365" s="46" t="s">
        <v>280</v>
      </c>
      <c r="F7365" s="366" t="s">
        <v>3707</v>
      </c>
      <c r="G7365" s="46" t="s">
        <v>16</v>
      </c>
      <c r="H7365" s="46">
        <v>1</v>
      </c>
      <c r="I7365" s="51">
        <v>4103.8500000000004</v>
      </c>
      <c r="J7365" s="281">
        <f>++Tabla4[[#This Row],[Precio Bruto]]*1.16</f>
        <v>4760.4660000000003</v>
      </c>
      <c r="K7365" s="281">
        <f>+Tabla4[[#This Row],[Precio Unitario Neto]]*Tabla4[[#Headers],[20.85%]]</f>
        <v>992.55716100000006</v>
      </c>
      <c r="L7365" s="282">
        <f>++Tabla4[[#This Row],[Precio Unitario Neto]]-Tabla4[[#This Row],[20.85%]]</f>
        <v>3767.9088390000002</v>
      </c>
      <c r="M7365" s="282" t="e">
        <f>(INDEX(Tabla6[#All],MATCH(Tabla4[[#This Row],[Producto]],Tabla6[[#All],[PRODUCTO]],0),MATCH(Tabla4[[#This Row],[Mes]],Tabla6[#Headers],0)))*(1+Catalogos!$L$2)</f>
        <v>#N/A</v>
      </c>
      <c r="N7365" s="283" t="e">
        <f>+(Tabla4[[#This Row],[Precio Descontado]]-Tabla4[[#This Row],[Precio Base]])*Tabla4[[#This Row],[Cantidad]]</f>
        <v>#N/A</v>
      </c>
      <c r="O7365" s="284" t="e">
        <f>++Tabla4[[#This Row],[Utilidad Total]]/Tabla4[[#This Row],[Total]]</f>
        <v>#N/A</v>
      </c>
      <c r="P7365" s="282">
        <f>++Tabla4[[#This Row],[Precio Descontado]]*Tabla4[[#This Row],[Cantidad]]</f>
        <v>3767.9088390000002</v>
      </c>
      <c r="Q7365" s="282" t="e">
        <f>(INDEX(Tabla6[#All],MATCH(Tabla4[[#This Row],[Producto]],Tabla6[[#All],[PRODUCTO]],0),MATCH(Tabla4[[#This Row],[Mes]],Tabla6[#Headers],0)))</f>
        <v>#N/A</v>
      </c>
      <c r="R7365" s="282" t="e">
        <f>++Tabla4[[#This Row],[Precio Unitario Neto]]-Tabla4[[#This Row],[20.85%]]-Tabla4[[#This Row],[Costo]]</f>
        <v>#N/A</v>
      </c>
      <c r="S7365" s="282" t="e">
        <f>++Tabla4[[#This Row],[U. Bruta Uni]]*Tabla4[[#This Row],[Cantidad]]</f>
        <v>#N/A</v>
      </c>
      <c r="T7365" s="369" t="str">
        <f>VLOOKUP(Tabla4[[#This Row],[Producto]],Tabla6[#All],14,FALSE)</f>
        <v>Termico Solar</v>
      </c>
      <c r="U7365" s="284" t="e">
        <f>(IF(Tabla4[[#This Row],[Familia]]="termico solar",Tabla4[[#This Row],[Utilidad Total]]*6%,Tabla4[[#This Row],[Utilidad Total]]*11.5%))/Tabla4[[#This Row],[Total]]</f>
        <v>#N/A</v>
      </c>
      <c r="V7365" s="282" t="e">
        <f>+Tabla4[[#This Row],[Comisión Calculada]]*Tabla4[[#This Row],[Total]]</f>
        <v>#N/A</v>
      </c>
    </row>
    <row r="7366" spans="1:22" x14ac:dyDescent="0.25">
      <c r="A7366" s="100">
        <v>46006</v>
      </c>
      <c r="B7366" t="str">
        <f>TEXT(A7366, "mmmm")</f>
        <v>December</v>
      </c>
      <c r="C7366" s="46" t="s">
        <v>280</v>
      </c>
      <c r="F7366" s="366" t="s">
        <v>3708</v>
      </c>
      <c r="G7366" s="46" t="s">
        <v>208</v>
      </c>
      <c r="H7366" s="46">
        <v>1</v>
      </c>
      <c r="I7366" s="51">
        <v>189.75</v>
      </c>
      <c r="J7366" s="281">
        <f>++Tabla4[[#This Row],[Precio Bruto]]*1.16</f>
        <v>220.10999999999999</v>
      </c>
      <c r="K7366" s="281">
        <f>+Tabla4[[#This Row],[Precio Unitario Neto]]*Tabla4[[#Headers],[20.85%]]</f>
        <v>45.892934999999994</v>
      </c>
      <c r="L7366" s="282">
        <f>++Tabla4[[#This Row],[Precio Unitario Neto]]-Tabla4[[#This Row],[20.85%]]</f>
        <v>174.21706499999999</v>
      </c>
      <c r="M7366" s="282" t="e">
        <f>(INDEX(Tabla6[#All],MATCH(Tabla4[[#This Row],[Producto]],Tabla6[[#All],[PRODUCTO]],0),MATCH(Tabla4[[#This Row],[Mes]],Tabla6[#Headers],0)))*(1+Catalogos!$L$2)</f>
        <v>#N/A</v>
      </c>
      <c r="N7366" s="283" t="e">
        <f>+(Tabla4[[#This Row],[Precio Descontado]]-Tabla4[[#This Row],[Precio Base]])*Tabla4[[#This Row],[Cantidad]]</f>
        <v>#N/A</v>
      </c>
      <c r="O7366" s="284" t="e">
        <f>++Tabla4[[#This Row],[Utilidad Total]]/Tabla4[[#This Row],[Total]]</f>
        <v>#N/A</v>
      </c>
      <c r="P7366" s="282">
        <f>++Tabla4[[#This Row],[Precio Descontado]]*Tabla4[[#This Row],[Cantidad]]</f>
        <v>174.21706499999999</v>
      </c>
      <c r="Q7366" s="282" t="e">
        <f>(INDEX(Tabla6[#All],MATCH(Tabla4[[#This Row],[Producto]],Tabla6[[#All],[PRODUCTO]],0),MATCH(Tabla4[[#This Row],[Mes]],Tabla6[#Headers],0)))</f>
        <v>#N/A</v>
      </c>
      <c r="R7366" s="282" t="e">
        <f>++Tabla4[[#This Row],[Precio Unitario Neto]]-Tabla4[[#This Row],[20.85%]]-Tabla4[[#This Row],[Costo]]</f>
        <v>#N/A</v>
      </c>
      <c r="S7366" s="282" t="e">
        <f>++Tabla4[[#This Row],[U. Bruta Uni]]*Tabla4[[#This Row],[Cantidad]]</f>
        <v>#N/A</v>
      </c>
      <c r="T7366" s="369" t="str">
        <f>VLOOKUP(Tabla4[[#This Row],[Producto]],Tabla6[#All],14,FALSE)</f>
        <v>Termico Solar</v>
      </c>
      <c r="U7366" s="284" t="e">
        <f>(IF(Tabla4[[#This Row],[Familia]]="termico solar",Tabla4[[#This Row],[Utilidad Total]]*6%,Tabla4[[#This Row],[Utilidad Total]]*11.5%))/Tabla4[[#This Row],[Total]]</f>
        <v>#N/A</v>
      </c>
      <c r="V7366" s="282" t="e">
        <f>+Tabla4[[#This Row],[Comisión Calculada]]*Tabla4[[#This Row],[Total]]</f>
        <v>#N/A</v>
      </c>
    </row>
    <row r="7367" spans="1:22" x14ac:dyDescent="0.25">
      <c r="A7367" s="100">
        <v>46006</v>
      </c>
      <c r="B7367" t="str">
        <f>TEXT(A7367, "mmmm")</f>
        <v>December</v>
      </c>
      <c r="C7367" s="46" t="s">
        <v>280</v>
      </c>
      <c r="F7367" s="366" t="s">
        <v>3709</v>
      </c>
      <c r="G7367" s="46" t="s">
        <v>83</v>
      </c>
      <c r="H7367" s="46">
        <v>1</v>
      </c>
      <c r="I7367" s="51">
        <v>8858.76</v>
      </c>
      <c r="J7367" s="281">
        <f>++Tabla4[[#This Row],[Precio Bruto]]*1.16</f>
        <v>10276.161599999999</v>
      </c>
      <c r="K7367" s="281">
        <f>+Tabla4[[#This Row],[Precio Unitario Neto]]*Tabla4[[#Headers],[20.85%]]</f>
        <v>2142.5796935999997</v>
      </c>
      <c r="L7367" s="282">
        <f>++Tabla4[[#This Row],[Precio Unitario Neto]]-Tabla4[[#This Row],[20.85%]]</f>
        <v>8133.5819063999998</v>
      </c>
      <c r="M7367" s="282" t="e">
        <f>(INDEX(Tabla6[#All],MATCH(Tabla4[[#This Row],[Producto]],Tabla6[[#All],[PRODUCTO]],0),MATCH(Tabla4[[#This Row],[Mes]],Tabla6[#Headers],0)))*(1+Catalogos!$L$2)</f>
        <v>#N/A</v>
      </c>
      <c r="N7367" s="283" t="e">
        <f>+(Tabla4[[#This Row],[Precio Descontado]]-Tabla4[[#This Row],[Precio Base]])*Tabla4[[#This Row],[Cantidad]]</f>
        <v>#N/A</v>
      </c>
      <c r="O7367" s="284" t="e">
        <f>++Tabla4[[#This Row],[Utilidad Total]]/Tabla4[[#This Row],[Total]]</f>
        <v>#N/A</v>
      </c>
      <c r="P7367" s="282">
        <f>++Tabla4[[#This Row],[Precio Descontado]]*Tabla4[[#This Row],[Cantidad]]</f>
        <v>8133.5819063999998</v>
      </c>
      <c r="Q7367" s="282" t="e">
        <f>(INDEX(Tabla6[#All],MATCH(Tabla4[[#This Row],[Producto]],Tabla6[[#All],[PRODUCTO]],0),MATCH(Tabla4[[#This Row],[Mes]],Tabla6[#Headers],0)))</f>
        <v>#N/A</v>
      </c>
      <c r="R7367" s="282" t="e">
        <f>++Tabla4[[#This Row],[Precio Unitario Neto]]-Tabla4[[#This Row],[20.85%]]-Tabla4[[#This Row],[Costo]]</f>
        <v>#N/A</v>
      </c>
      <c r="S7367" s="282" t="e">
        <f>++Tabla4[[#This Row],[U. Bruta Uni]]*Tabla4[[#This Row],[Cantidad]]</f>
        <v>#N/A</v>
      </c>
      <c r="T7367" s="369" t="str">
        <f>VLOOKUP(Tabla4[[#This Row],[Producto]],Tabla6[#All],14,FALSE)</f>
        <v>Termico Solar</v>
      </c>
      <c r="U7367" s="284" t="e">
        <f>(IF(Tabla4[[#This Row],[Familia]]="termico solar",Tabla4[[#This Row],[Utilidad Total]]*6%,Tabla4[[#This Row],[Utilidad Total]]*11.5%))/Tabla4[[#This Row],[Total]]</f>
        <v>#N/A</v>
      </c>
      <c r="V7367" s="282" t="e">
        <f>+Tabla4[[#This Row],[Comisión Calculada]]*Tabla4[[#This Row],[Total]]</f>
        <v>#N/A</v>
      </c>
    </row>
    <row r="7368" spans="1:22" x14ac:dyDescent="0.25">
      <c r="A7368" s="100">
        <v>46006</v>
      </c>
      <c r="B7368" t="str">
        <f>TEXT(A7368, "mmmm")</f>
        <v>December</v>
      </c>
      <c r="C7368" s="46" t="s">
        <v>280</v>
      </c>
      <c r="F7368" s="366" t="s">
        <v>3710</v>
      </c>
      <c r="G7368" s="46" t="s">
        <v>18</v>
      </c>
      <c r="H7368" s="46">
        <v>1</v>
      </c>
      <c r="I7368" s="51">
        <v>5367.65</v>
      </c>
      <c r="J7368" s="281">
        <f>++Tabla4[[#This Row],[Precio Bruto]]*1.16</f>
        <v>6226.4739999999993</v>
      </c>
      <c r="K7368" s="281">
        <f>+Tabla4[[#This Row],[Precio Unitario Neto]]*Tabla4[[#Headers],[20.85%]]</f>
        <v>1298.2198289999999</v>
      </c>
      <c r="L7368" s="282">
        <f>++Tabla4[[#This Row],[Precio Unitario Neto]]-Tabla4[[#This Row],[20.85%]]</f>
        <v>4928.2541709999996</v>
      </c>
      <c r="M7368" s="282" t="e">
        <f>(INDEX(Tabla6[#All],MATCH(Tabla4[[#This Row],[Producto]],Tabla6[[#All],[PRODUCTO]],0),MATCH(Tabla4[[#This Row],[Mes]],Tabla6[#Headers],0)))*(1+Catalogos!$L$2)</f>
        <v>#N/A</v>
      </c>
      <c r="N7368" s="283" t="e">
        <f>+(Tabla4[[#This Row],[Precio Descontado]]-Tabla4[[#This Row],[Precio Base]])*Tabla4[[#This Row],[Cantidad]]</f>
        <v>#N/A</v>
      </c>
      <c r="O7368" s="284" t="e">
        <f>++Tabla4[[#This Row],[Utilidad Total]]/Tabla4[[#This Row],[Total]]</f>
        <v>#N/A</v>
      </c>
      <c r="P7368" s="282">
        <f>++Tabla4[[#This Row],[Precio Descontado]]*Tabla4[[#This Row],[Cantidad]]</f>
        <v>4928.2541709999996</v>
      </c>
      <c r="Q7368" s="282" t="e">
        <f>(INDEX(Tabla6[#All],MATCH(Tabla4[[#This Row],[Producto]],Tabla6[[#All],[PRODUCTO]],0),MATCH(Tabla4[[#This Row],[Mes]],Tabla6[#Headers],0)))</f>
        <v>#N/A</v>
      </c>
      <c r="R7368" s="282" t="e">
        <f>++Tabla4[[#This Row],[Precio Unitario Neto]]-Tabla4[[#This Row],[20.85%]]-Tabla4[[#This Row],[Costo]]</f>
        <v>#N/A</v>
      </c>
      <c r="S7368" s="282" t="e">
        <f>++Tabla4[[#This Row],[U. Bruta Uni]]*Tabla4[[#This Row],[Cantidad]]</f>
        <v>#N/A</v>
      </c>
      <c r="T7368" s="369" t="str">
        <f>VLOOKUP(Tabla4[[#This Row],[Producto]],Tabla6[#All],14,FALSE)</f>
        <v>Termico Solar</v>
      </c>
      <c r="U7368" s="284" t="e">
        <f>(IF(Tabla4[[#This Row],[Familia]]="termico solar",Tabla4[[#This Row],[Utilidad Total]]*6%,Tabla4[[#This Row],[Utilidad Total]]*11.5%))/Tabla4[[#This Row],[Total]]</f>
        <v>#N/A</v>
      </c>
      <c r="V7368" s="282" t="e">
        <f>+Tabla4[[#This Row],[Comisión Calculada]]*Tabla4[[#This Row],[Total]]</f>
        <v>#N/A</v>
      </c>
    </row>
    <row r="7369" spans="1:22" x14ac:dyDescent="0.25">
      <c r="A7369" s="100">
        <v>46006</v>
      </c>
      <c r="B7369" t="str">
        <f>TEXT(A7369, "mmmm")</f>
        <v>December</v>
      </c>
      <c r="C7369" s="46" t="s">
        <v>280</v>
      </c>
      <c r="F7369" s="366" t="s">
        <v>3711</v>
      </c>
      <c r="G7369" s="46" t="s">
        <v>208</v>
      </c>
      <c r="H7369" s="46">
        <v>2</v>
      </c>
      <c r="I7369" s="51">
        <v>189.75</v>
      </c>
      <c r="J7369" s="281">
        <f>++Tabla4[[#This Row],[Precio Bruto]]*1.16</f>
        <v>220.10999999999999</v>
      </c>
      <c r="K7369" s="281">
        <f>+Tabla4[[#This Row],[Precio Unitario Neto]]*Tabla4[[#Headers],[20.85%]]</f>
        <v>45.892934999999994</v>
      </c>
      <c r="L7369" s="282">
        <f>++Tabla4[[#This Row],[Precio Unitario Neto]]-Tabla4[[#This Row],[20.85%]]</f>
        <v>174.21706499999999</v>
      </c>
      <c r="M7369" s="282" t="e">
        <f>(INDEX(Tabla6[#All],MATCH(Tabla4[[#This Row],[Producto]],Tabla6[[#All],[PRODUCTO]],0),MATCH(Tabla4[[#This Row],[Mes]],Tabla6[#Headers],0)))*(1+Catalogos!$L$2)</f>
        <v>#N/A</v>
      </c>
      <c r="N7369" s="283" t="e">
        <f>+(Tabla4[[#This Row],[Precio Descontado]]-Tabla4[[#This Row],[Precio Base]])*Tabla4[[#This Row],[Cantidad]]</f>
        <v>#N/A</v>
      </c>
      <c r="O7369" s="284" t="e">
        <f>++Tabla4[[#This Row],[Utilidad Total]]/Tabla4[[#This Row],[Total]]</f>
        <v>#N/A</v>
      </c>
      <c r="P7369" s="282">
        <f>++Tabla4[[#This Row],[Precio Descontado]]*Tabla4[[#This Row],[Cantidad]]</f>
        <v>348.43412999999998</v>
      </c>
      <c r="Q7369" s="282" t="e">
        <f>(INDEX(Tabla6[#All],MATCH(Tabla4[[#This Row],[Producto]],Tabla6[[#All],[PRODUCTO]],0),MATCH(Tabla4[[#This Row],[Mes]],Tabla6[#Headers],0)))</f>
        <v>#N/A</v>
      </c>
      <c r="R7369" s="282" t="e">
        <f>++Tabla4[[#This Row],[Precio Unitario Neto]]-Tabla4[[#This Row],[20.85%]]-Tabla4[[#This Row],[Costo]]</f>
        <v>#N/A</v>
      </c>
      <c r="S7369" s="282" t="e">
        <f>++Tabla4[[#This Row],[U. Bruta Uni]]*Tabla4[[#This Row],[Cantidad]]</f>
        <v>#N/A</v>
      </c>
      <c r="T7369" s="369" t="str">
        <f>VLOOKUP(Tabla4[[#This Row],[Producto]],Tabla6[#All],14,FALSE)</f>
        <v>Termico Solar</v>
      </c>
      <c r="U7369" s="284" t="e">
        <f>(IF(Tabla4[[#This Row],[Familia]]="termico solar",Tabla4[[#This Row],[Utilidad Total]]*6%,Tabla4[[#This Row],[Utilidad Total]]*11.5%))/Tabla4[[#This Row],[Total]]</f>
        <v>#N/A</v>
      </c>
      <c r="V7369" s="282" t="e">
        <f>+Tabla4[[#This Row],[Comisión Calculada]]*Tabla4[[#This Row],[Total]]</f>
        <v>#N/A</v>
      </c>
    </row>
    <row r="7370" spans="1:22" x14ac:dyDescent="0.25">
      <c r="A7370" s="100">
        <v>46006</v>
      </c>
      <c r="B7370" t="str">
        <f t="shared" ref="B7370:B7371" si="637">TEXT(A7370, "mmmm")</f>
        <v>December</v>
      </c>
      <c r="C7370" s="46" t="s">
        <v>280</v>
      </c>
      <c r="F7370" s="366" t="s">
        <v>3712</v>
      </c>
      <c r="G7370" s="46" t="s">
        <v>17</v>
      </c>
      <c r="H7370" s="46">
        <v>2</v>
      </c>
      <c r="I7370" s="51">
        <v>4622.28</v>
      </c>
      <c r="J7370" s="281">
        <f>++Tabla4[[#This Row],[Precio Bruto]]*1.16</f>
        <v>5361.8447999999989</v>
      </c>
      <c r="K7370" s="281">
        <f>+Tabla4[[#This Row],[Precio Unitario Neto]]*Tabla4[[#Headers],[20.85%]]</f>
        <v>1117.9446407999997</v>
      </c>
      <c r="L7370" s="282">
        <f>++Tabla4[[#This Row],[Precio Unitario Neto]]-Tabla4[[#This Row],[20.85%]]</f>
        <v>4243.9001591999995</v>
      </c>
      <c r="M7370" s="282" t="e">
        <f>(INDEX(Tabla6[#All],MATCH(Tabla4[[#This Row],[Producto]],Tabla6[[#All],[PRODUCTO]],0),MATCH(Tabla4[[#This Row],[Mes]],Tabla6[#Headers],0)))*(1+Catalogos!$L$2)</f>
        <v>#N/A</v>
      </c>
      <c r="N7370" s="283" t="e">
        <f>+(Tabla4[[#This Row],[Precio Descontado]]-Tabla4[[#This Row],[Precio Base]])*Tabla4[[#This Row],[Cantidad]]</f>
        <v>#N/A</v>
      </c>
      <c r="O7370" s="284" t="e">
        <f>++Tabla4[[#This Row],[Utilidad Total]]/Tabla4[[#This Row],[Total]]</f>
        <v>#N/A</v>
      </c>
      <c r="P7370" s="282">
        <f>++Tabla4[[#This Row],[Precio Descontado]]*Tabla4[[#This Row],[Cantidad]]</f>
        <v>8487.800318399999</v>
      </c>
      <c r="Q7370" s="282" t="e">
        <f>(INDEX(Tabla6[#All],MATCH(Tabla4[[#This Row],[Producto]],Tabla6[[#All],[PRODUCTO]],0),MATCH(Tabla4[[#This Row],[Mes]],Tabla6[#Headers],0)))</f>
        <v>#N/A</v>
      </c>
      <c r="R7370" s="282" t="e">
        <f>++Tabla4[[#This Row],[Precio Unitario Neto]]-Tabla4[[#This Row],[20.85%]]-Tabla4[[#This Row],[Costo]]</f>
        <v>#N/A</v>
      </c>
      <c r="S7370" s="282" t="e">
        <f>++Tabla4[[#This Row],[U. Bruta Uni]]*Tabla4[[#This Row],[Cantidad]]</f>
        <v>#N/A</v>
      </c>
      <c r="T7370" s="369" t="str">
        <f>VLOOKUP(Tabla4[[#This Row],[Producto]],Tabla6[#All],14,FALSE)</f>
        <v>Termico Solar</v>
      </c>
      <c r="U7370" s="284" t="e">
        <f>(IF(Tabla4[[#This Row],[Familia]]="termico solar",Tabla4[[#This Row],[Utilidad Total]]*6%,Tabla4[[#This Row],[Utilidad Total]]*11.5%))/Tabla4[[#This Row],[Total]]</f>
        <v>#N/A</v>
      </c>
      <c r="V7370" s="282" t="e">
        <f>+Tabla4[[#This Row],[Comisión Calculada]]*Tabla4[[#This Row],[Total]]</f>
        <v>#N/A</v>
      </c>
    </row>
    <row r="7371" spans="1:22" x14ac:dyDescent="0.25">
      <c r="A7371" s="100">
        <v>46006</v>
      </c>
      <c r="B7371" t="str">
        <f t="shared" si="637"/>
        <v>December</v>
      </c>
      <c r="C7371" s="46" t="s">
        <v>280</v>
      </c>
      <c r="F7371" s="366" t="s">
        <v>3712</v>
      </c>
      <c r="G7371" s="46" t="s">
        <v>16</v>
      </c>
      <c r="H7371" s="46">
        <v>1</v>
      </c>
      <c r="I7371" s="51">
        <v>4103.8500000000004</v>
      </c>
      <c r="J7371" s="281">
        <f>++Tabla4[[#This Row],[Precio Bruto]]*1.16</f>
        <v>4760.4660000000003</v>
      </c>
      <c r="K7371" s="281">
        <f>+Tabla4[[#This Row],[Precio Unitario Neto]]*Tabla4[[#Headers],[20.85%]]</f>
        <v>992.55716100000006</v>
      </c>
      <c r="L7371" s="282">
        <f>++Tabla4[[#This Row],[Precio Unitario Neto]]-Tabla4[[#This Row],[20.85%]]</f>
        <v>3767.9088390000002</v>
      </c>
      <c r="M7371" s="282" t="e">
        <f>(INDEX(Tabla6[#All],MATCH(Tabla4[[#This Row],[Producto]],Tabla6[[#All],[PRODUCTO]],0),MATCH(Tabla4[[#This Row],[Mes]],Tabla6[#Headers],0)))*(1+Catalogos!$L$2)</f>
        <v>#N/A</v>
      </c>
      <c r="N7371" s="283" t="e">
        <f>+(Tabla4[[#This Row],[Precio Descontado]]-Tabla4[[#This Row],[Precio Base]])*Tabla4[[#This Row],[Cantidad]]</f>
        <v>#N/A</v>
      </c>
      <c r="O7371" s="284" t="e">
        <f>++Tabla4[[#This Row],[Utilidad Total]]/Tabla4[[#This Row],[Total]]</f>
        <v>#N/A</v>
      </c>
      <c r="P7371" s="282">
        <f>++Tabla4[[#This Row],[Precio Descontado]]*Tabla4[[#This Row],[Cantidad]]</f>
        <v>3767.9088390000002</v>
      </c>
      <c r="Q7371" s="282" t="e">
        <f>(INDEX(Tabla6[#All],MATCH(Tabla4[[#This Row],[Producto]],Tabla6[[#All],[PRODUCTO]],0),MATCH(Tabla4[[#This Row],[Mes]],Tabla6[#Headers],0)))</f>
        <v>#N/A</v>
      </c>
      <c r="R7371" s="282" t="e">
        <f>++Tabla4[[#This Row],[Precio Unitario Neto]]-Tabla4[[#This Row],[20.85%]]-Tabla4[[#This Row],[Costo]]</f>
        <v>#N/A</v>
      </c>
      <c r="S7371" s="282" t="e">
        <f>++Tabla4[[#This Row],[U. Bruta Uni]]*Tabla4[[#This Row],[Cantidad]]</f>
        <v>#N/A</v>
      </c>
      <c r="T7371" s="369" t="str">
        <f>VLOOKUP(Tabla4[[#This Row],[Producto]],Tabla6[#All],14,FALSE)</f>
        <v>Termico Solar</v>
      </c>
      <c r="U7371" s="284" t="e">
        <f>(IF(Tabla4[[#This Row],[Familia]]="termico solar",Tabla4[[#This Row],[Utilidad Total]]*6%,Tabla4[[#This Row],[Utilidad Total]]*11.5%))/Tabla4[[#This Row],[Total]]</f>
        <v>#N/A</v>
      </c>
      <c r="V7371" s="282" t="e">
        <f>+Tabla4[[#This Row],[Comisión Calculada]]*Tabla4[[#This Row],[Total]]</f>
        <v>#N/A</v>
      </c>
    </row>
    <row r="7372" spans="1:22" x14ac:dyDescent="0.25">
      <c r="A7372" s="100">
        <v>46006</v>
      </c>
      <c r="B7372" t="str">
        <f>TEXT(A7372, "mmmm")</f>
        <v>December</v>
      </c>
      <c r="C7372" s="46" t="s">
        <v>280</v>
      </c>
      <c r="F7372" s="366" t="s">
        <v>3713</v>
      </c>
      <c r="G7372" s="46" t="s">
        <v>83</v>
      </c>
      <c r="H7372" s="46">
        <v>1</v>
      </c>
      <c r="I7372" s="51">
        <v>8858.76</v>
      </c>
      <c r="J7372" s="281">
        <f>++Tabla4[[#This Row],[Precio Bruto]]*1.16</f>
        <v>10276.161599999999</v>
      </c>
      <c r="K7372" s="281">
        <f>+Tabla4[[#This Row],[Precio Unitario Neto]]*Tabla4[[#Headers],[20.85%]]</f>
        <v>2142.5796935999997</v>
      </c>
      <c r="L7372" s="282">
        <f>++Tabla4[[#This Row],[Precio Unitario Neto]]-Tabla4[[#This Row],[20.85%]]</f>
        <v>8133.5819063999998</v>
      </c>
      <c r="M7372" s="282" t="e">
        <f>(INDEX(Tabla6[#All],MATCH(Tabla4[[#This Row],[Producto]],Tabla6[[#All],[PRODUCTO]],0),MATCH(Tabla4[[#This Row],[Mes]],Tabla6[#Headers],0)))*(1+Catalogos!$L$2)</f>
        <v>#N/A</v>
      </c>
      <c r="N7372" s="283" t="e">
        <f>+(Tabla4[[#This Row],[Precio Descontado]]-Tabla4[[#This Row],[Precio Base]])*Tabla4[[#This Row],[Cantidad]]</f>
        <v>#N/A</v>
      </c>
      <c r="O7372" s="284" t="e">
        <f>++Tabla4[[#This Row],[Utilidad Total]]/Tabla4[[#This Row],[Total]]</f>
        <v>#N/A</v>
      </c>
      <c r="P7372" s="282">
        <f>++Tabla4[[#This Row],[Precio Descontado]]*Tabla4[[#This Row],[Cantidad]]</f>
        <v>8133.5819063999998</v>
      </c>
      <c r="Q7372" s="282" t="e">
        <f>(INDEX(Tabla6[#All],MATCH(Tabla4[[#This Row],[Producto]],Tabla6[[#All],[PRODUCTO]],0),MATCH(Tabla4[[#This Row],[Mes]],Tabla6[#Headers],0)))</f>
        <v>#N/A</v>
      </c>
      <c r="R7372" s="282" t="e">
        <f>++Tabla4[[#This Row],[Precio Unitario Neto]]-Tabla4[[#This Row],[20.85%]]-Tabla4[[#This Row],[Costo]]</f>
        <v>#N/A</v>
      </c>
      <c r="S7372" s="282" t="e">
        <f>++Tabla4[[#This Row],[U. Bruta Uni]]*Tabla4[[#This Row],[Cantidad]]</f>
        <v>#N/A</v>
      </c>
      <c r="T7372" s="369" t="str">
        <f>VLOOKUP(Tabla4[[#This Row],[Producto]],Tabla6[#All],14,FALSE)</f>
        <v>Termico Solar</v>
      </c>
      <c r="U7372" s="284" t="e">
        <f>(IF(Tabla4[[#This Row],[Familia]]="termico solar",Tabla4[[#This Row],[Utilidad Total]]*6%,Tabla4[[#This Row],[Utilidad Total]]*11.5%))/Tabla4[[#This Row],[Total]]</f>
        <v>#N/A</v>
      </c>
      <c r="V7372" s="282" t="e">
        <f>+Tabla4[[#This Row],[Comisión Calculada]]*Tabla4[[#This Row],[Total]]</f>
        <v>#N/A</v>
      </c>
    </row>
    <row r="7373" spans="1:22" x14ac:dyDescent="0.25">
      <c r="A7373" s="100">
        <v>46006</v>
      </c>
      <c r="B7373" t="str">
        <f t="shared" ref="B7373:B7374" si="638">TEXT(A7373, "mmmm")</f>
        <v>December</v>
      </c>
      <c r="C7373" s="46" t="s">
        <v>280</v>
      </c>
      <c r="F7373" s="366" t="s">
        <v>3714</v>
      </c>
      <c r="G7373" s="46" t="s">
        <v>83</v>
      </c>
      <c r="H7373" s="46">
        <v>1</v>
      </c>
      <c r="I7373" s="51">
        <v>8858.76</v>
      </c>
      <c r="J7373" s="281">
        <f>++Tabla4[[#This Row],[Precio Bruto]]*1.16</f>
        <v>10276.161599999999</v>
      </c>
      <c r="K7373" s="281">
        <f>+Tabla4[[#This Row],[Precio Unitario Neto]]*Tabla4[[#Headers],[20.85%]]</f>
        <v>2142.5796935999997</v>
      </c>
      <c r="L7373" s="282">
        <f>++Tabla4[[#This Row],[Precio Unitario Neto]]-Tabla4[[#This Row],[20.85%]]</f>
        <v>8133.5819063999998</v>
      </c>
      <c r="M7373" s="282" t="e">
        <f>(INDEX(Tabla6[#All],MATCH(Tabla4[[#This Row],[Producto]],Tabla6[[#All],[PRODUCTO]],0),MATCH(Tabla4[[#This Row],[Mes]],Tabla6[#Headers],0)))*(1+Catalogos!$L$2)</f>
        <v>#N/A</v>
      </c>
      <c r="N7373" s="283" t="e">
        <f>+(Tabla4[[#This Row],[Precio Descontado]]-Tabla4[[#This Row],[Precio Base]])*Tabla4[[#This Row],[Cantidad]]</f>
        <v>#N/A</v>
      </c>
      <c r="O7373" s="284" t="e">
        <f>++Tabla4[[#This Row],[Utilidad Total]]/Tabla4[[#This Row],[Total]]</f>
        <v>#N/A</v>
      </c>
      <c r="P7373" s="282">
        <f>++Tabla4[[#This Row],[Precio Descontado]]*Tabla4[[#This Row],[Cantidad]]</f>
        <v>8133.5819063999998</v>
      </c>
      <c r="Q7373" s="282" t="e">
        <f>(INDEX(Tabla6[#All],MATCH(Tabla4[[#This Row],[Producto]],Tabla6[[#All],[PRODUCTO]],0),MATCH(Tabla4[[#This Row],[Mes]],Tabla6[#Headers],0)))</f>
        <v>#N/A</v>
      </c>
      <c r="R7373" s="282" t="e">
        <f>++Tabla4[[#This Row],[Precio Unitario Neto]]-Tabla4[[#This Row],[20.85%]]-Tabla4[[#This Row],[Costo]]</f>
        <v>#N/A</v>
      </c>
      <c r="S7373" s="282" t="e">
        <f>++Tabla4[[#This Row],[U. Bruta Uni]]*Tabla4[[#This Row],[Cantidad]]</f>
        <v>#N/A</v>
      </c>
      <c r="T7373" s="369" t="str">
        <f>VLOOKUP(Tabla4[[#This Row],[Producto]],Tabla6[#All],14,FALSE)</f>
        <v>Termico Solar</v>
      </c>
      <c r="U7373" s="284" t="e">
        <f>(IF(Tabla4[[#This Row],[Familia]]="termico solar",Tabla4[[#This Row],[Utilidad Total]]*6%,Tabla4[[#This Row],[Utilidad Total]]*11.5%))/Tabla4[[#This Row],[Total]]</f>
        <v>#N/A</v>
      </c>
      <c r="V7373" s="282" t="e">
        <f>+Tabla4[[#This Row],[Comisión Calculada]]*Tabla4[[#This Row],[Total]]</f>
        <v>#N/A</v>
      </c>
    </row>
    <row r="7374" spans="1:22" x14ac:dyDescent="0.25">
      <c r="A7374" s="100">
        <v>46006</v>
      </c>
      <c r="B7374" t="str">
        <f t="shared" si="638"/>
        <v>December</v>
      </c>
      <c r="C7374" s="46" t="s">
        <v>280</v>
      </c>
      <c r="F7374" s="366" t="s">
        <v>3714</v>
      </c>
      <c r="G7374" s="46" t="s">
        <v>18</v>
      </c>
      <c r="H7374" s="46">
        <v>1</v>
      </c>
      <c r="I7374" s="51">
        <v>5367.65</v>
      </c>
      <c r="J7374" s="281">
        <f>++Tabla4[[#This Row],[Precio Bruto]]*1.16</f>
        <v>6226.4739999999993</v>
      </c>
      <c r="K7374" s="281">
        <f>+Tabla4[[#This Row],[Precio Unitario Neto]]*Tabla4[[#Headers],[20.85%]]</f>
        <v>1298.2198289999999</v>
      </c>
      <c r="L7374" s="282">
        <f>++Tabla4[[#This Row],[Precio Unitario Neto]]-Tabla4[[#This Row],[20.85%]]</f>
        <v>4928.2541709999996</v>
      </c>
      <c r="M7374" s="282" t="e">
        <f>(INDEX(Tabla6[#All],MATCH(Tabla4[[#This Row],[Producto]],Tabla6[[#All],[PRODUCTO]],0),MATCH(Tabla4[[#This Row],[Mes]],Tabla6[#Headers],0)))*(1+Catalogos!$L$2)</f>
        <v>#N/A</v>
      </c>
      <c r="N7374" s="283" t="e">
        <f>+(Tabla4[[#This Row],[Precio Descontado]]-Tabla4[[#This Row],[Precio Base]])*Tabla4[[#This Row],[Cantidad]]</f>
        <v>#N/A</v>
      </c>
      <c r="O7374" s="284" t="e">
        <f>++Tabla4[[#This Row],[Utilidad Total]]/Tabla4[[#This Row],[Total]]</f>
        <v>#N/A</v>
      </c>
      <c r="P7374" s="282">
        <f>++Tabla4[[#This Row],[Precio Descontado]]*Tabla4[[#This Row],[Cantidad]]</f>
        <v>4928.2541709999996</v>
      </c>
      <c r="Q7374" s="282" t="e">
        <f>(INDEX(Tabla6[#All],MATCH(Tabla4[[#This Row],[Producto]],Tabla6[[#All],[PRODUCTO]],0),MATCH(Tabla4[[#This Row],[Mes]],Tabla6[#Headers],0)))</f>
        <v>#N/A</v>
      </c>
      <c r="R7374" s="282" t="e">
        <f>++Tabla4[[#This Row],[Precio Unitario Neto]]-Tabla4[[#This Row],[20.85%]]-Tabla4[[#This Row],[Costo]]</f>
        <v>#N/A</v>
      </c>
      <c r="S7374" s="282" t="e">
        <f>++Tabla4[[#This Row],[U. Bruta Uni]]*Tabla4[[#This Row],[Cantidad]]</f>
        <v>#N/A</v>
      </c>
      <c r="T7374" s="369" t="str">
        <f>VLOOKUP(Tabla4[[#This Row],[Producto]],Tabla6[#All],14,FALSE)</f>
        <v>Termico Solar</v>
      </c>
      <c r="U7374" s="284" t="e">
        <f>(IF(Tabla4[[#This Row],[Familia]]="termico solar",Tabla4[[#This Row],[Utilidad Total]]*6%,Tabla4[[#This Row],[Utilidad Total]]*11.5%))/Tabla4[[#This Row],[Total]]</f>
        <v>#N/A</v>
      </c>
      <c r="V7374" s="282" t="e">
        <f>+Tabla4[[#This Row],[Comisión Calculada]]*Tabla4[[#This Row],[Total]]</f>
        <v>#N/A</v>
      </c>
    </row>
    <row r="7375" spans="1:22" x14ac:dyDescent="0.25">
      <c r="A7375" s="100">
        <v>46006</v>
      </c>
      <c r="B7375" t="str">
        <f>TEXT(A7375, "mmmm")</f>
        <v>December</v>
      </c>
      <c r="C7375" s="46" t="s">
        <v>280</v>
      </c>
      <c r="F7375" s="366" t="s">
        <v>3715</v>
      </c>
      <c r="G7375" s="46" t="s">
        <v>18</v>
      </c>
      <c r="H7375" s="46">
        <v>1</v>
      </c>
      <c r="I7375" s="51">
        <v>5367.65</v>
      </c>
      <c r="J7375" s="281">
        <f>++Tabla4[[#This Row],[Precio Bruto]]*1.16</f>
        <v>6226.4739999999993</v>
      </c>
      <c r="K7375" s="281">
        <f>+Tabla4[[#This Row],[Precio Unitario Neto]]*Tabla4[[#Headers],[20.85%]]</f>
        <v>1298.2198289999999</v>
      </c>
      <c r="L7375" s="282">
        <f>++Tabla4[[#This Row],[Precio Unitario Neto]]-Tabla4[[#This Row],[20.85%]]</f>
        <v>4928.2541709999996</v>
      </c>
      <c r="M7375" s="282" t="e">
        <f>(INDEX(Tabla6[#All],MATCH(Tabla4[[#This Row],[Producto]],Tabla6[[#All],[PRODUCTO]],0),MATCH(Tabla4[[#This Row],[Mes]],Tabla6[#Headers],0)))*(1+Catalogos!$L$2)</f>
        <v>#N/A</v>
      </c>
      <c r="N7375" s="283" t="e">
        <f>+(Tabla4[[#This Row],[Precio Descontado]]-Tabla4[[#This Row],[Precio Base]])*Tabla4[[#This Row],[Cantidad]]</f>
        <v>#N/A</v>
      </c>
      <c r="O7375" s="284" t="e">
        <f>++Tabla4[[#This Row],[Utilidad Total]]/Tabla4[[#This Row],[Total]]</f>
        <v>#N/A</v>
      </c>
      <c r="P7375" s="282">
        <f>++Tabla4[[#This Row],[Precio Descontado]]*Tabla4[[#This Row],[Cantidad]]</f>
        <v>4928.2541709999996</v>
      </c>
      <c r="Q7375" s="282" t="e">
        <f>(INDEX(Tabla6[#All],MATCH(Tabla4[[#This Row],[Producto]],Tabla6[[#All],[PRODUCTO]],0),MATCH(Tabla4[[#This Row],[Mes]],Tabla6[#Headers],0)))</f>
        <v>#N/A</v>
      </c>
      <c r="R7375" s="282" t="e">
        <f>++Tabla4[[#This Row],[Precio Unitario Neto]]-Tabla4[[#This Row],[20.85%]]-Tabla4[[#This Row],[Costo]]</f>
        <v>#N/A</v>
      </c>
      <c r="S7375" s="282" t="e">
        <f>++Tabla4[[#This Row],[U. Bruta Uni]]*Tabla4[[#This Row],[Cantidad]]</f>
        <v>#N/A</v>
      </c>
      <c r="T7375" s="369" t="str">
        <f>VLOOKUP(Tabla4[[#This Row],[Producto]],Tabla6[#All],14,FALSE)</f>
        <v>Termico Solar</v>
      </c>
      <c r="U7375" s="284" t="e">
        <f>(IF(Tabla4[[#This Row],[Familia]]="termico solar",Tabla4[[#This Row],[Utilidad Total]]*6%,Tabla4[[#This Row],[Utilidad Total]]*11.5%))/Tabla4[[#This Row],[Total]]</f>
        <v>#N/A</v>
      </c>
      <c r="V7375" s="282" t="e">
        <f>+Tabla4[[#This Row],[Comisión Calculada]]*Tabla4[[#This Row],[Total]]</f>
        <v>#N/A</v>
      </c>
    </row>
    <row r="7376" spans="1:22" x14ac:dyDescent="0.25">
      <c r="A7376" s="100">
        <v>46006</v>
      </c>
      <c r="B7376" t="str">
        <f>TEXT(A7376, "mmmm")</f>
        <v>December</v>
      </c>
      <c r="C7376" s="46" t="s">
        <v>280</v>
      </c>
      <c r="F7376" s="366" t="s">
        <v>3716</v>
      </c>
      <c r="G7376" s="46" t="s">
        <v>83</v>
      </c>
      <c r="H7376" s="46">
        <v>1</v>
      </c>
      <c r="I7376" s="51">
        <v>8858.76</v>
      </c>
      <c r="J7376" s="281">
        <f>++Tabla4[[#This Row],[Precio Bruto]]*1.16</f>
        <v>10276.161599999999</v>
      </c>
      <c r="K7376" s="281">
        <f>+Tabla4[[#This Row],[Precio Unitario Neto]]*Tabla4[[#Headers],[20.85%]]</f>
        <v>2142.5796935999997</v>
      </c>
      <c r="L7376" s="282">
        <f>++Tabla4[[#This Row],[Precio Unitario Neto]]-Tabla4[[#This Row],[20.85%]]</f>
        <v>8133.5819063999998</v>
      </c>
      <c r="M7376" s="282" t="e">
        <f>(INDEX(Tabla6[#All],MATCH(Tabla4[[#This Row],[Producto]],Tabla6[[#All],[PRODUCTO]],0),MATCH(Tabla4[[#This Row],[Mes]],Tabla6[#Headers],0)))*(1+Catalogos!$L$2)</f>
        <v>#N/A</v>
      </c>
      <c r="N7376" s="283" t="e">
        <f>+(Tabla4[[#This Row],[Precio Descontado]]-Tabla4[[#This Row],[Precio Base]])*Tabla4[[#This Row],[Cantidad]]</f>
        <v>#N/A</v>
      </c>
      <c r="O7376" s="284" t="e">
        <f>++Tabla4[[#This Row],[Utilidad Total]]/Tabla4[[#This Row],[Total]]</f>
        <v>#N/A</v>
      </c>
      <c r="P7376" s="282">
        <f>++Tabla4[[#This Row],[Precio Descontado]]*Tabla4[[#This Row],[Cantidad]]</f>
        <v>8133.5819063999998</v>
      </c>
      <c r="Q7376" s="282" t="e">
        <f>(INDEX(Tabla6[#All],MATCH(Tabla4[[#This Row],[Producto]],Tabla6[[#All],[PRODUCTO]],0),MATCH(Tabla4[[#This Row],[Mes]],Tabla6[#Headers],0)))</f>
        <v>#N/A</v>
      </c>
      <c r="R7376" s="282" t="e">
        <f>++Tabla4[[#This Row],[Precio Unitario Neto]]-Tabla4[[#This Row],[20.85%]]-Tabla4[[#This Row],[Costo]]</f>
        <v>#N/A</v>
      </c>
      <c r="S7376" s="282" t="e">
        <f>++Tabla4[[#This Row],[U. Bruta Uni]]*Tabla4[[#This Row],[Cantidad]]</f>
        <v>#N/A</v>
      </c>
      <c r="T7376" s="369" t="str">
        <f>VLOOKUP(Tabla4[[#This Row],[Producto]],Tabla6[#All],14,FALSE)</f>
        <v>Termico Solar</v>
      </c>
      <c r="U7376" s="284" t="e">
        <f>(IF(Tabla4[[#This Row],[Familia]]="termico solar",Tabla4[[#This Row],[Utilidad Total]]*6%,Tabla4[[#This Row],[Utilidad Total]]*11.5%))/Tabla4[[#This Row],[Total]]</f>
        <v>#N/A</v>
      </c>
      <c r="V7376" s="282" t="e">
        <f>+Tabla4[[#This Row],[Comisión Calculada]]*Tabla4[[#This Row],[Total]]</f>
        <v>#N/A</v>
      </c>
    </row>
    <row r="7377" spans="1:22" x14ac:dyDescent="0.25">
      <c r="A7377" s="100">
        <v>46006</v>
      </c>
      <c r="B7377" t="str">
        <f>TEXT(A7377, "mmmm")</f>
        <v>December</v>
      </c>
      <c r="C7377" s="46" t="s">
        <v>280</v>
      </c>
      <c r="F7377" s="366" t="s">
        <v>3717</v>
      </c>
      <c r="G7377" s="46" t="s">
        <v>83</v>
      </c>
      <c r="H7377" s="46">
        <v>1</v>
      </c>
      <c r="I7377" s="51">
        <v>8858.76</v>
      </c>
      <c r="J7377" s="281">
        <f>++Tabla4[[#This Row],[Precio Bruto]]*1.16</f>
        <v>10276.161599999999</v>
      </c>
      <c r="K7377" s="281">
        <f>+Tabla4[[#This Row],[Precio Unitario Neto]]*Tabla4[[#Headers],[20.85%]]</f>
        <v>2142.5796935999997</v>
      </c>
      <c r="L7377" s="282">
        <f>++Tabla4[[#This Row],[Precio Unitario Neto]]-Tabla4[[#This Row],[20.85%]]</f>
        <v>8133.5819063999998</v>
      </c>
      <c r="M7377" s="282" t="e">
        <f>(INDEX(Tabla6[#All],MATCH(Tabla4[[#This Row],[Producto]],Tabla6[[#All],[PRODUCTO]],0),MATCH(Tabla4[[#This Row],[Mes]],Tabla6[#Headers],0)))*(1+Catalogos!$L$2)</f>
        <v>#N/A</v>
      </c>
      <c r="N7377" s="283" t="e">
        <f>+(Tabla4[[#This Row],[Precio Descontado]]-Tabla4[[#This Row],[Precio Base]])*Tabla4[[#This Row],[Cantidad]]</f>
        <v>#N/A</v>
      </c>
      <c r="O7377" s="284" t="e">
        <f>++Tabla4[[#This Row],[Utilidad Total]]/Tabla4[[#This Row],[Total]]</f>
        <v>#N/A</v>
      </c>
      <c r="P7377" s="282">
        <f>++Tabla4[[#This Row],[Precio Descontado]]*Tabla4[[#This Row],[Cantidad]]</f>
        <v>8133.5819063999998</v>
      </c>
      <c r="Q7377" s="282" t="e">
        <f>(INDEX(Tabla6[#All],MATCH(Tabla4[[#This Row],[Producto]],Tabla6[[#All],[PRODUCTO]],0),MATCH(Tabla4[[#This Row],[Mes]],Tabla6[#Headers],0)))</f>
        <v>#N/A</v>
      </c>
      <c r="R7377" s="282" t="e">
        <f>++Tabla4[[#This Row],[Precio Unitario Neto]]-Tabla4[[#This Row],[20.85%]]-Tabla4[[#This Row],[Costo]]</f>
        <v>#N/A</v>
      </c>
      <c r="S7377" s="282" t="e">
        <f>++Tabla4[[#This Row],[U. Bruta Uni]]*Tabla4[[#This Row],[Cantidad]]</f>
        <v>#N/A</v>
      </c>
      <c r="T7377" s="369" t="str">
        <f>VLOOKUP(Tabla4[[#This Row],[Producto]],Tabla6[#All],14,FALSE)</f>
        <v>Termico Solar</v>
      </c>
      <c r="U7377" s="284" t="e">
        <f>(IF(Tabla4[[#This Row],[Familia]]="termico solar",Tabla4[[#This Row],[Utilidad Total]]*6%,Tabla4[[#This Row],[Utilidad Total]]*11.5%))/Tabla4[[#This Row],[Total]]</f>
        <v>#N/A</v>
      </c>
      <c r="V7377" s="282" t="e">
        <f>+Tabla4[[#This Row],[Comisión Calculada]]*Tabla4[[#This Row],[Total]]</f>
        <v>#N/A</v>
      </c>
    </row>
    <row r="7378" spans="1:22" x14ac:dyDescent="0.25">
      <c r="A7378" s="100">
        <v>46006</v>
      </c>
      <c r="B7378" t="str">
        <f>TEXT(A7378, "mmmm")</f>
        <v>December</v>
      </c>
      <c r="C7378" s="46" t="s">
        <v>280</v>
      </c>
      <c r="F7378" s="366" t="s">
        <v>3718</v>
      </c>
      <c r="G7378" s="46" t="s">
        <v>208</v>
      </c>
      <c r="H7378" s="46">
        <v>1</v>
      </c>
      <c r="I7378" s="51">
        <v>189.75</v>
      </c>
      <c r="J7378" s="281">
        <f>++Tabla4[[#This Row],[Precio Bruto]]*1.16</f>
        <v>220.10999999999999</v>
      </c>
      <c r="K7378" s="281">
        <f>+Tabla4[[#This Row],[Precio Unitario Neto]]*Tabla4[[#Headers],[20.85%]]</f>
        <v>45.892934999999994</v>
      </c>
      <c r="L7378" s="282">
        <f>++Tabla4[[#This Row],[Precio Unitario Neto]]-Tabla4[[#This Row],[20.85%]]</f>
        <v>174.21706499999999</v>
      </c>
      <c r="M7378" s="282" t="e">
        <f>(INDEX(Tabla6[#All],MATCH(Tabla4[[#This Row],[Producto]],Tabla6[[#All],[PRODUCTO]],0),MATCH(Tabla4[[#This Row],[Mes]],Tabla6[#Headers],0)))*(1+Catalogos!$L$2)</f>
        <v>#N/A</v>
      </c>
      <c r="N7378" s="283" t="e">
        <f>+(Tabla4[[#This Row],[Precio Descontado]]-Tabla4[[#This Row],[Precio Base]])*Tabla4[[#This Row],[Cantidad]]</f>
        <v>#N/A</v>
      </c>
      <c r="O7378" s="284" t="e">
        <f>++Tabla4[[#This Row],[Utilidad Total]]/Tabla4[[#This Row],[Total]]</f>
        <v>#N/A</v>
      </c>
      <c r="P7378" s="282">
        <f>++Tabla4[[#This Row],[Precio Descontado]]*Tabla4[[#This Row],[Cantidad]]</f>
        <v>174.21706499999999</v>
      </c>
      <c r="Q7378" s="282" t="e">
        <f>(INDEX(Tabla6[#All],MATCH(Tabla4[[#This Row],[Producto]],Tabla6[[#All],[PRODUCTO]],0),MATCH(Tabla4[[#This Row],[Mes]],Tabla6[#Headers],0)))</f>
        <v>#N/A</v>
      </c>
      <c r="R7378" s="282" t="e">
        <f>++Tabla4[[#This Row],[Precio Unitario Neto]]-Tabla4[[#This Row],[20.85%]]-Tabla4[[#This Row],[Costo]]</f>
        <v>#N/A</v>
      </c>
      <c r="S7378" s="282" t="e">
        <f>++Tabla4[[#This Row],[U. Bruta Uni]]*Tabla4[[#This Row],[Cantidad]]</f>
        <v>#N/A</v>
      </c>
      <c r="T7378" s="369" t="str">
        <f>VLOOKUP(Tabla4[[#This Row],[Producto]],Tabla6[#All],14,FALSE)</f>
        <v>Termico Solar</v>
      </c>
      <c r="U7378" s="284" t="e">
        <f>(IF(Tabla4[[#This Row],[Familia]]="termico solar",Tabla4[[#This Row],[Utilidad Total]]*6%,Tabla4[[#This Row],[Utilidad Total]]*11.5%))/Tabla4[[#This Row],[Total]]</f>
        <v>#N/A</v>
      </c>
      <c r="V7378" s="282" t="e">
        <f>+Tabla4[[#This Row],[Comisión Calculada]]*Tabla4[[#This Row],[Total]]</f>
        <v>#N/A</v>
      </c>
    </row>
    <row r="7379" spans="1:22" x14ac:dyDescent="0.25">
      <c r="A7379" s="100">
        <v>46006</v>
      </c>
      <c r="B7379" t="str">
        <f t="shared" ref="B7379:B7380" si="639">TEXT(A7379, "mmmm")</f>
        <v>December</v>
      </c>
      <c r="C7379" s="46" t="s">
        <v>280</v>
      </c>
      <c r="F7379" s="366" t="s">
        <v>3719</v>
      </c>
      <c r="G7379" s="46" t="s">
        <v>83</v>
      </c>
      <c r="H7379" s="46">
        <v>1</v>
      </c>
      <c r="I7379" s="51">
        <v>8858.76</v>
      </c>
      <c r="J7379" s="281">
        <f>++Tabla4[[#This Row],[Precio Bruto]]*1.16</f>
        <v>10276.161599999999</v>
      </c>
      <c r="K7379" s="281">
        <f>+Tabla4[[#This Row],[Precio Unitario Neto]]*Tabla4[[#Headers],[20.85%]]</f>
        <v>2142.5796935999997</v>
      </c>
      <c r="L7379" s="282">
        <f>++Tabla4[[#This Row],[Precio Unitario Neto]]-Tabla4[[#This Row],[20.85%]]</f>
        <v>8133.5819063999998</v>
      </c>
      <c r="M7379" s="282" t="e">
        <f>(INDEX(Tabla6[#All],MATCH(Tabla4[[#This Row],[Producto]],Tabla6[[#All],[PRODUCTO]],0),MATCH(Tabla4[[#This Row],[Mes]],Tabla6[#Headers],0)))*(1+Catalogos!$L$2)</f>
        <v>#N/A</v>
      </c>
      <c r="N7379" s="283" t="e">
        <f>+(Tabla4[[#This Row],[Precio Descontado]]-Tabla4[[#This Row],[Precio Base]])*Tabla4[[#This Row],[Cantidad]]</f>
        <v>#N/A</v>
      </c>
      <c r="O7379" s="284" t="e">
        <f>++Tabla4[[#This Row],[Utilidad Total]]/Tabla4[[#This Row],[Total]]</f>
        <v>#N/A</v>
      </c>
      <c r="P7379" s="282">
        <f>++Tabla4[[#This Row],[Precio Descontado]]*Tabla4[[#This Row],[Cantidad]]</f>
        <v>8133.5819063999998</v>
      </c>
      <c r="Q7379" s="282" t="e">
        <f>(INDEX(Tabla6[#All],MATCH(Tabla4[[#This Row],[Producto]],Tabla6[[#All],[PRODUCTO]],0),MATCH(Tabla4[[#This Row],[Mes]],Tabla6[#Headers],0)))</f>
        <v>#N/A</v>
      </c>
      <c r="R7379" s="282" t="e">
        <f>++Tabla4[[#This Row],[Precio Unitario Neto]]-Tabla4[[#This Row],[20.85%]]-Tabla4[[#This Row],[Costo]]</f>
        <v>#N/A</v>
      </c>
      <c r="S7379" s="282" t="e">
        <f>++Tabla4[[#This Row],[U. Bruta Uni]]*Tabla4[[#This Row],[Cantidad]]</f>
        <v>#N/A</v>
      </c>
      <c r="T7379" s="369" t="str">
        <f>VLOOKUP(Tabla4[[#This Row],[Producto]],Tabla6[#All],14,FALSE)</f>
        <v>Termico Solar</v>
      </c>
      <c r="U7379" s="284" t="e">
        <f>(IF(Tabla4[[#This Row],[Familia]]="termico solar",Tabla4[[#This Row],[Utilidad Total]]*6%,Tabla4[[#This Row],[Utilidad Total]]*11.5%))/Tabla4[[#This Row],[Total]]</f>
        <v>#N/A</v>
      </c>
      <c r="V7379" s="282" t="e">
        <f>+Tabla4[[#This Row],[Comisión Calculada]]*Tabla4[[#This Row],[Total]]</f>
        <v>#N/A</v>
      </c>
    </row>
    <row r="7380" spans="1:22" x14ac:dyDescent="0.25">
      <c r="A7380" s="100">
        <v>46006</v>
      </c>
      <c r="B7380" t="str">
        <f t="shared" si="639"/>
        <v>December</v>
      </c>
      <c r="C7380" s="46" t="s">
        <v>280</v>
      </c>
      <c r="F7380" s="366" t="s">
        <v>3719</v>
      </c>
      <c r="G7380" s="46" t="s">
        <v>394</v>
      </c>
      <c r="H7380" s="46">
        <v>9</v>
      </c>
      <c r="I7380" s="51">
        <v>108.1</v>
      </c>
      <c r="J7380" s="281">
        <f>++Tabla4[[#This Row],[Precio Bruto]]*1.16</f>
        <v>125.39599999999999</v>
      </c>
      <c r="K7380" s="281">
        <f>+Tabla4[[#This Row],[Precio Unitario Neto]]*Tabla4[[#Headers],[20.85%]]</f>
        <v>26.145065999999996</v>
      </c>
      <c r="L7380" s="282">
        <f>++Tabla4[[#This Row],[Precio Unitario Neto]]-Tabla4[[#This Row],[20.85%]]</f>
        <v>99.250933999999987</v>
      </c>
      <c r="M7380" s="282" t="e">
        <f>(INDEX(Tabla6[#All],MATCH(Tabla4[[#This Row],[Producto]],Tabla6[[#All],[PRODUCTO]],0),MATCH(Tabla4[[#This Row],[Mes]],Tabla6[#Headers],0)))*(1+Catalogos!$L$2)</f>
        <v>#N/A</v>
      </c>
      <c r="N7380" s="283" t="e">
        <f>+(Tabla4[[#This Row],[Precio Descontado]]-Tabla4[[#This Row],[Precio Base]])*Tabla4[[#This Row],[Cantidad]]</f>
        <v>#N/A</v>
      </c>
      <c r="O7380" s="284" t="e">
        <f>++Tabla4[[#This Row],[Utilidad Total]]/Tabla4[[#This Row],[Total]]</f>
        <v>#N/A</v>
      </c>
      <c r="P7380" s="282">
        <f>++Tabla4[[#This Row],[Precio Descontado]]*Tabla4[[#This Row],[Cantidad]]</f>
        <v>893.25840599999992</v>
      </c>
      <c r="Q7380" s="282" t="e">
        <f>(INDEX(Tabla6[#All],MATCH(Tabla4[[#This Row],[Producto]],Tabla6[[#All],[PRODUCTO]],0),MATCH(Tabla4[[#This Row],[Mes]],Tabla6[#Headers],0)))</f>
        <v>#N/A</v>
      </c>
      <c r="R7380" s="282" t="e">
        <f>++Tabla4[[#This Row],[Precio Unitario Neto]]-Tabla4[[#This Row],[20.85%]]-Tabla4[[#This Row],[Costo]]</f>
        <v>#N/A</v>
      </c>
      <c r="S7380" s="282" t="e">
        <f>++Tabla4[[#This Row],[U. Bruta Uni]]*Tabla4[[#This Row],[Cantidad]]</f>
        <v>#N/A</v>
      </c>
      <c r="T7380" s="369" t="str">
        <f>VLOOKUP(Tabla4[[#This Row],[Producto]],Tabla6[#All],14,FALSE)</f>
        <v>Termico Solar</v>
      </c>
      <c r="U7380" s="284" t="e">
        <f>(IF(Tabla4[[#This Row],[Familia]]="termico solar",Tabla4[[#This Row],[Utilidad Total]]*6%,Tabla4[[#This Row],[Utilidad Total]]*11.5%))/Tabla4[[#This Row],[Total]]</f>
        <v>#N/A</v>
      </c>
      <c r="V7380" s="282" t="e">
        <f>+Tabla4[[#This Row],[Comisión Calculada]]*Tabla4[[#This Row],[Total]]</f>
        <v>#N/A</v>
      </c>
    </row>
    <row r="7381" spans="1:22" x14ac:dyDescent="0.25">
      <c r="A7381" s="100">
        <v>46006</v>
      </c>
      <c r="B7381" t="str">
        <f>TEXT(A7381, "mmmm")</f>
        <v>December</v>
      </c>
      <c r="C7381" s="46" t="s">
        <v>280</v>
      </c>
      <c r="F7381" s="366" t="s">
        <v>3720</v>
      </c>
      <c r="G7381" s="46" t="s">
        <v>17</v>
      </c>
      <c r="H7381" s="46">
        <v>1</v>
      </c>
      <c r="I7381" s="51">
        <v>4622.28</v>
      </c>
      <c r="J7381" s="281">
        <f>++Tabla4[[#This Row],[Precio Bruto]]*1.16</f>
        <v>5361.8447999999989</v>
      </c>
      <c r="K7381" s="281">
        <f>+Tabla4[[#This Row],[Precio Unitario Neto]]*Tabla4[[#Headers],[20.85%]]</f>
        <v>1117.9446407999997</v>
      </c>
      <c r="L7381" s="282">
        <f>++Tabla4[[#This Row],[Precio Unitario Neto]]-Tabla4[[#This Row],[20.85%]]</f>
        <v>4243.9001591999995</v>
      </c>
      <c r="M7381" s="282" t="e">
        <f>(INDEX(Tabla6[#All],MATCH(Tabla4[[#This Row],[Producto]],Tabla6[[#All],[PRODUCTO]],0),MATCH(Tabla4[[#This Row],[Mes]],Tabla6[#Headers],0)))*(1+Catalogos!$L$2)</f>
        <v>#N/A</v>
      </c>
      <c r="N7381" s="283" t="e">
        <f>+(Tabla4[[#This Row],[Precio Descontado]]-Tabla4[[#This Row],[Precio Base]])*Tabla4[[#This Row],[Cantidad]]</f>
        <v>#N/A</v>
      </c>
      <c r="O7381" s="284" t="e">
        <f>++Tabla4[[#This Row],[Utilidad Total]]/Tabla4[[#This Row],[Total]]</f>
        <v>#N/A</v>
      </c>
      <c r="P7381" s="282">
        <f>++Tabla4[[#This Row],[Precio Descontado]]*Tabla4[[#This Row],[Cantidad]]</f>
        <v>4243.9001591999995</v>
      </c>
      <c r="Q7381" s="282" t="e">
        <f>(INDEX(Tabla6[#All],MATCH(Tabla4[[#This Row],[Producto]],Tabla6[[#All],[PRODUCTO]],0),MATCH(Tabla4[[#This Row],[Mes]],Tabla6[#Headers],0)))</f>
        <v>#N/A</v>
      </c>
      <c r="R7381" s="282" t="e">
        <f>++Tabla4[[#This Row],[Precio Unitario Neto]]-Tabla4[[#This Row],[20.85%]]-Tabla4[[#This Row],[Costo]]</f>
        <v>#N/A</v>
      </c>
      <c r="S7381" s="282" t="e">
        <f>++Tabla4[[#This Row],[U. Bruta Uni]]*Tabla4[[#This Row],[Cantidad]]</f>
        <v>#N/A</v>
      </c>
      <c r="T7381" s="369" t="str">
        <f>VLOOKUP(Tabla4[[#This Row],[Producto]],Tabla6[#All],14,FALSE)</f>
        <v>Termico Solar</v>
      </c>
      <c r="U7381" s="284" t="e">
        <f>(IF(Tabla4[[#This Row],[Familia]]="termico solar",Tabla4[[#This Row],[Utilidad Total]]*6%,Tabla4[[#This Row],[Utilidad Total]]*11.5%))/Tabla4[[#This Row],[Total]]</f>
        <v>#N/A</v>
      </c>
      <c r="V7381" s="282" t="e">
        <f>+Tabla4[[#This Row],[Comisión Calculada]]*Tabla4[[#This Row],[Total]]</f>
        <v>#N/A</v>
      </c>
    </row>
    <row r="7382" spans="1:22" x14ac:dyDescent="0.25">
      <c r="A7382" s="100">
        <v>46006</v>
      </c>
      <c r="B7382" t="str">
        <f t="shared" ref="B7382:B7383" si="640">TEXT(A7382, "mmmm")</f>
        <v>December</v>
      </c>
      <c r="C7382" s="46" t="s">
        <v>280</v>
      </c>
      <c r="F7382" s="366" t="s">
        <v>3721</v>
      </c>
      <c r="G7382" s="46" t="s">
        <v>83</v>
      </c>
      <c r="H7382" s="46">
        <v>1</v>
      </c>
      <c r="I7382" s="51">
        <v>8858.76</v>
      </c>
      <c r="J7382" s="281">
        <f>++Tabla4[[#This Row],[Precio Bruto]]*1.16</f>
        <v>10276.161599999999</v>
      </c>
      <c r="K7382" s="281">
        <f>+Tabla4[[#This Row],[Precio Unitario Neto]]*Tabla4[[#Headers],[20.85%]]</f>
        <v>2142.5796935999997</v>
      </c>
      <c r="L7382" s="282">
        <f>++Tabla4[[#This Row],[Precio Unitario Neto]]-Tabla4[[#This Row],[20.85%]]</f>
        <v>8133.5819063999998</v>
      </c>
      <c r="M7382" s="282" t="e">
        <f>(INDEX(Tabla6[#All],MATCH(Tabla4[[#This Row],[Producto]],Tabla6[[#All],[PRODUCTO]],0),MATCH(Tabla4[[#This Row],[Mes]],Tabla6[#Headers],0)))*(1+Catalogos!$L$2)</f>
        <v>#N/A</v>
      </c>
      <c r="N7382" s="283" t="e">
        <f>+(Tabla4[[#This Row],[Precio Descontado]]-Tabla4[[#This Row],[Precio Base]])*Tabla4[[#This Row],[Cantidad]]</f>
        <v>#N/A</v>
      </c>
      <c r="O7382" s="284" t="e">
        <f>++Tabla4[[#This Row],[Utilidad Total]]/Tabla4[[#This Row],[Total]]</f>
        <v>#N/A</v>
      </c>
      <c r="P7382" s="282">
        <f>++Tabla4[[#This Row],[Precio Descontado]]*Tabla4[[#This Row],[Cantidad]]</f>
        <v>8133.5819063999998</v>
      </c>
      <c r="Q7382" s="282" t="e">
        <f>(INDEX(Tabla6[#All],MATCH(Tabla4[[#This Row],[Producto]],Tabla6[[#All],[PRODUCTO]],0),MATCH(Tabla4[[#This Row],[Mes]],Tabla6[#Headers],0)))</f>
        <v>#N/A</v>
      </c>
      <c r="R7382" s="282" t="e">
        <f>++Tabla4[[#This Row],[Precio Unitario Neto]]-Tabla4[[#This Row],[20.85%]]-Tabla4[[#This Row],[Costo]]</f>
        <v>#N/A</v>
      </c>
      <c r="S7382" s="282" t="e">
        <f>++Tabla4[[#This Row],[U. Bruta Uni]]*Tabla4[[#This Row],[Cantidad]]</f>
        <v>#N/A</v>
      </c>
      <c r="T7382" s="369" t="str">
        <f>VLOOKUP(Tabla4[[#This Row],[Producto]],Tabla6[#All],14,FALSE)</f>
        <v>Termico Solar</v>
      </c>
      <c r="U7382" s="284" t="e">
        <f>(IF(Tabla4[[#This Row],[Familia]]="termico solar",Tabla4[[#This Row],[Utilidad Total]]*6%,Tabla4[[#This Row],[Utilidad Total]]*11.5%))/Tabla4[[#This Row],[Total]]</f>
        <v>#N/A</v>
      </c>
      <c r="V7382" s="282" t="e">
        <f>+Tabla4[[#This Row],[Comisión Calculada]]*Tabla4[[#This Row],[Total]]</f>
        <v>#N/A</v>
      </c>
    </row>
    <row r="7383" spans="1:22" x14ac:dyDescent="0.25">
      <c r="A7383" s="100">
        <v>46006</v>
      </c>
      <c r="B7383" t="str">
        <f t="shared" si="640"/>
        <v>December</v>
      </c>
      <c r="C7383" s="46" t="s">
        <v>280</v>
      </c>
      <c r="F7383" s="366" t="s">
        <v>3721</v>
      </c>
      <c r="G7383" s="46" t="s">
        <v>16</v>
      </c>
      <c r="H7383" s="46">
        <v>1</v>
      </c>
      <c r="I7383" s="51">
        <v>4103.8500000000004</v>
      </c>
      <c r="J7383" s="281">
        <f>++Tabla4[[#This Row],[Precio Bruto]]*1.16</f>
        <v>4760.4660000000003</v>
      </c>
      <c r="K7383" s="281">
        <f>+Tabla4[[#This Row],[Precio Unitario Neto]]*Tabla4[[#Headers],[20.85%]]</f>
        <v>992.55716100000006</v>
      </c>
      <c r="L7383" s="282">
        <f>++Tabla4[[#This Row],[Precio Unitario Neto]]-Tabla4[[#This Row],[20.85%]]</f>
        <v>3767.9088390000002</v>
      </c>
      <c r="M7383" s="282" t="e">
        <f>(INDEX(Tabla6[#All],MATCH(Tabla4[[#This Row],[Producto]],Tabla6[[#All],[PRODUCTO]],0),MATCH(Tabla4[[#This Row],[Mes]],Tabla6[#Headers],0)))*(1+Catalogos!$L$2)</f>
        <v>#N/A</v>
      </c>
      <c r="N7383" s="283" t="e">
        <f>+(Tabla4[[#This Row],[Precio Descontado]]-Tabla4[[#This Row],[Precio Base]])*Tabla4[[#This Row],[Cantidad]]</f>
        <v>#N/A</v>
      </c>
      <c r="O7383" s="284" t="e">
        <f>++Tabla4[[#This Row],[Utilidad Total]]/Tabla4[[#This Row],[Total]]</f>
        <v>#N/A</v>
      </c>
      <c r="P7383" s="282">
        <f>++Tabla4[[#This Row],[Precio Descontado]]*Tabla4[[#This Row],[Cantidad]]</f>
        <v>3767.9088390000002</v>
      </c>
      <c r="Q7383" s="282" t="e">
        <f>(INDEX(Tabla6[#All],MATCH(Tabla4[[#This Row],[Producto]],Tabla6[[#All],[PRODUCTO]],0),MATCH(Tabla4[[#This Row],[Mes]],Tabla6[#Headers],0)))</f>
        <v>#N/A</v>
      </c>
      <c r="R7383" s="282" t="e">
        <f>++Tabla4[[#This Row],[Precio Unitario Neto]]-Tabla4[[#This Row],[20.85%]]-Tabla4[[#This Row],[Costo]]</f>
        <v>#N/A</v>
      </c>
      <c r="S7383" s="282" t="e">
        <f>++Tabla4[[#This Row],[U. Bruta Uni]]*Tabla4[[#This Row],[Cantidad]]</f>
        <v>#N/A</v>
      </c>
      <c r="T7383" s="369" t="str">
        <f>VLOOKUP(Tabla4[[#This Row],[Producto]],Tabla6[#All],14,FALSE)</f>
        <v>Termico Solar</v>
      </c>
      <c r="U7383" s="284" t="e">
        <f>(IF(Tabla4[[#This Row],[Familia]]="termico solar",Tabla4[[#This Row],[Utilidad Total]]*6%,Tabla4[[#This Row],[Utilidad Total]]*11.5%))/Tabla4[[#This Row],[Total]]</f>
        <v>#N/A</v>
      </c>
      <c r="V7383" s="282" t="e">
        <f>+Tabla4[[#This Row],[Comisión Calculada]]*Tabla4[[#This Row],[Total]]</f>
        <v>#N/A</v>
      </c>
    </row>
    <row r="7384" spans="1:22" x14ac:dyDescent="0.25">
      <c r="A7384" s="100">
        <v>46006</v>
      </c>
      <c r="B7384" t="str">
        <f>TEXT(A7384, "mmmm")</f>
        <v>December</v>
      </c>
      <c r="C7384" s="46" t="s">
        <v>280</v>
      </c>
      <c r="F7384" s="366" t="s">
        <v>3722</v>
      </c>
      <c r="G7384" s="46" t="s">
        <v>16</v>
      </c>
      <c r="H7384" s="46">
        <v>1</v>
      </c>
      <c r="I7384" s="51">
        <v>4103.8500000000004</v>
      </c>
      <c r="J7384" s="281">
        <f>++Tabla4[[#This Row],[Precio Bruto]]*1.16</f>
        <v>4760.4660000000003</v>
      </c>
      <c r="K7384" s="281">
        <f>+Tabla4[[#This Row],[Precio Unitario Neto]]*Tabla4[[#Headers],[20.85%]]</f>
        <v>992.55716100000006</v>
      </c>
      <c r="L7384" s="282">
        <f>++Tabla4[[#This Row],[Precio Unitario Neto]]-Tabla4[[#This Row],[20.85%]]</f>
        <v>3767.9088390000002</v>
      </c>
      <c r="M7384" s="282" t="e">
        <f>(INDEX(Tabla6[#All],MATCH(Tabla4[[#This Row],[Producto]],Tabla6[[#All],[PRODUCTO]],0),MATCH(Tabla4[[#This Row],[Mes]],Tabla6[#Headers],0)))*(1+Catalogos!$L$2)</f>
        <v>#N/A</v>
      </c>
      <c r="N7384" s="283" t="e">
        <f>+(Tabla4[[#This Row],[Precio Descontado]]-Tabla4[[#This Row],[Precio Base]])*Tabla4[[#This Row],[Cantidad]]</f>
        <v>#N/A</v>
      </c>
      <c r="O7384" s="284" t="e">
        <f>++Tabla4[[#This Row],[Utilidad Total]]/Tabla4[[#This Row],[Total]]</f>
        <v>#N/A</v>
      </c>
      <c r="P7384" s="282">
        <f>++Tabla4[[#This Row],[Precio Descontado]]*Tabla4[[#This Row],[Cantidad]]</f>
        <v>3767.9088390000002</v>
      </c>
      <c r="Q7384" s="282" t="e">
        <f>(INDEX(Tabla6[#All],MATCH(Tabla4[[#This Row],[Producto]],Tabla6[[#All],[PRODUCTO]],0),MATCH(Tabla4[[#This Row],[Mes]],Tabla6[#Headers],0)))</f>
        <v>#N/A</v>
      </c>
      <c r="R7384" s="282" t="e">
        <f>++Tabla4[[#This Row],[Precio Unitario Neto]]-Tabla4[[#This Row],[20.85%]]-Tabla4[[#This Row],[Costo]]</f>
        <v>#N/A</v>
      </c>
      <c r="S7384" s="282" t="e">
        <f>++Tabla4[[#This Row],[U. Bruta Uni]]*Tabla4[[#This Row],[Cantidad]]</f>
        <v>#N/A</v>
      </c>
      <c r="T7384" s="369" t="str">
        <f>VLOOKUP(Tabla4[[#This Row],[Producto]],Tabla6[#All],14,FALSE)</f>
        <v>Termico Solar</v>
      </c>
      <c r="U7384" s="284" t="e">
        <f>(IF(Tabla4[[#This Row],[Familia]]="termico solar",Tabla4[[#This Row],[Utilidad Total]]*6%,Tabla4[[#This Row],[Utilidad Total]]*11.5%))/Tabla4[[#This Row],[Total]]</f>
        <v>#N/A</v>
      </c>
      <c r="V7384" s="282" t="e">
        <f>+Tabla4[[#This Row],[Comisión Calculada]]*Tabla4[[#This Row],[Total]]</f>
        <v>#N/A</v>
      </c>
    </row>
    <row r="7385" spans="1:22" x14ac:dyDescent="0.25">
      <c r="A7385" s="100">
        <v>46006</v>
      </c>
      <c r="B7385" t="str">
        <f t="shared" ref="B7385:B7386" si="641">TEXT(A7385, "mmmm")</f>
        <v>December</v>
      </c>
      <c r="C7385" s="46" t="s">
        <v>280</v>
      </c>
      <c r="F7385" s="366" t="s">
        <v>3723</v>
      </c>
      <c r="G7385" s="46" t="s">
        <v>412</v>
      </c>
      <c r="H7385" s="46">
        <v>1</v>
      </c>
      <c r="I7385" s="51">
        <v>3240.84</v>
      </c>
      <c r="J7385" s="281">
        <f>++Tabla4[[#This Row],[Precio Bruto]]*1.16</f>
        <v>3759.3743999999997</v>
      </c>
      <c r="K7385" s="281">
        <f>+Tabla4[[#This Row],[Precio Unitario Neto]]*Tabla4[[#Headers],[20.85%]]</f>
        <v>783.82956239999987</v>
      </c>
      <c r="L7385" s="282">
        <f>++Tabla4[[#This Row],[Precio Unitario Neto]]-Tabla4[[#This Row],[20.85%]]</f>
        <v>2975.5448375999999</v>
      </c>
      <c r="M7385" s="282" t="e">
        <f>(INDEX(Tabla6[#All],MATCH(Tabla4[[#This Row],[Producto]],Tabla6[[#All],[PRODUCTO]],0),MATCH(Tabla4[[#This Row],[Mes]],Tabla6[#Headers],0)))*(1+Catalogos!$L$2)</f>
        <v>#N/A</v>
      </c>
      <c r="N7385" s="283" t="e">
        <f>+(Tabla4[[#This Row],[Precio Descontado]]-Tabla4[[#This Row],[Precio Base]])*Tabla4[[#This Row],[Cantidad]]</f>
        <v>#N/A</v>
      </c>
      <c r="O7385" s="284" t="e">
        <f>++Tabla4[[#This Row],[Utilidad Total]]/Tabla4[[#This Row],[Total]]</f>
        <v>#N/A</v>
      </c>
      <c r="P7385" s="282">
        <f>++Tabla4[[#This Row],[Precio Descontado]]*Tabla4[[#This Row],[Cantidad]]</f>
        <v>2975.5448375999999</v>
      </c>
      <c r="Q7385" s="282" t="e">
        <f>(INDEX(Tabla6[#All],MATCH(Tabla4[[#This Row],[Producto]],Tabla6[[#All],[PRODUCTO]],0),MATCH(Tabla4[[#This Row],[Mes]],Tabla6[#Headers],0)))</f>
        <v>#N/A</v>
      </c>
      <c r="R7385" s="282" t="e">
        <f>++Tabla4[[#This Row],[Precio Unitario Neto]]-Tabla4[[#This Row],[20.85%]]-Tabla4[[#This Row],[Costo]]</f>
        <v>#N/A</v>
      </c>
      <c r="S7385" s="282" t="e">
        <f>++Tabla4[[#This Row],[U. Bruta Uni]]*Tabla4[[#This Row],[Cantidad]]</f>
        <v>#N/A</v>
      </c>
      <c r="T7385" s="369" t="str">
        <f>VLOOKUP(Tabla4[[#This Row],[Producto]],Tabla6[#All],14,FALSE)</f>
        <v>Termico Solar</v>
      </c>
      <c r="U7385" s="284" t="e">
        <f>(IF(Tabla4[[#This Row],[Familia]]="termico solar",Tabla4[[#This Row],[Utilidad Total]]*6%,Tabla4[[#This Row],[Utilidad Total]]*11.5%))/Tabla4[[#This Row],[Total]]</f>
        <v>#N/A</v>
      </c>
      <c r="V7385" s="282" t="e">
        <f>+Tabla4[[#This Row],[Comisión Calculada]]*Tabla4[[#This Row],[Total]]</f>
        <v>#N/A</v>
      </c>
    </row>
    <row r="7386" spans="1:22" x14ac:dyDescent="0.25">
      <c r="A7386" s="100">
        <v>46006</v>
      </c>
      <c r="B7386" t="str">
        <f t="shared" si="641"/>
        <v>December</v>
      </c>
      <c r="C7386" s="46" t="s">
        <v>280</v>
      </c>
      <c r="F7386" s="366" t="s">
        <v>3723</v>
      </c>
      <c r="G7386" s="46" t="s">
        <v>16</v>
      </c>
      <c r="H7386" s="46">
        <v>1</v>
      </c>
      <c r="I7386" s="51">
        <v>4103.8500000000004</v>
      </c>
      <c r="J7386" s="281">
        <f>++Tabla4[[#This Row],[Precio Bruto]]*1.16</f>
        <v>4760.4660000000003</v>
      </c>
      <c r="K7386" s="281">
        <f>+Tabla4[[#This Row],[Precio Unitario Neto]]*Tabla4[[#Headers],[20.85%]]</f>
        <v>992.55716100000006</v>
      </c>
      <c r="L7386" s="282">
        <f>++Tabla4[[#This Row],[Precio Unitario Neto]]-Tabla4[[#This Row],[20.85%]]</f>
        <v>3767.9088390000002</v>
      </c>
      <c r="M7386" s="282" t="e">
        <f>(INDEX(Tabla6[#All],MATCH(Tabla4[[#This Row],[Producto]],Tabla6[[#All],[PRODUCTO]],0),MATCH(Tabla4[[#This Row],[Mes]],Tabla6[#Headers],0)))*(1+Catalogos!$L$2)</f>
        <v>#N/A</v>
      </c>
      <c r="N7386" s="283" t="e">
        <f>+(Tabla4[[#This Row],[Precio Descontado]]-Tabla4[[#This Row],[Precio Base]])*Tabla4[[#This Row],[Cantidad]]</f>
        <v>#N/A</v>
      </c>
      <c r="O7386" s="284" t="e">
        <f>++Tabla4[[#This Row],[Utilidad Total]]/Tabla4[[#This Row],[Total]]</f>
        <v>#N/A</v>
      </c>
      <c r="P7386" s="282">
        <f>++Tabla4[[#This Row],[Precio Descontado]]*Tabla4[[#This Row],[Cantidad]]</f>
        <v>3767.9088390000002</v>
      </c>
      <c r="Q7386" s="282" t="e">
        <f>(INDEX(Tabla6[#All],MATCH(Tabla4[[#This Row],[Producto]],Tabla6[[#All],[PRODUCTO]],0),MATCH(Tabla4[[#This Row],[Mes]],Tabla6[#Headers],0)))</f>
        <v>#N/A</v>
      </c>
      <c r="R7386" s="282" t="e">
        <f>++Tabla4[[#This Row],[Precio Unitario Neto]]-Tabla4[[#This Row],[20.85%]]-Tabla4[[#This Row],[Costo]]</f>
        <v>#N/A</v>
      </c>
      <c r="S7386" s="282" t="e">
        <f>++Tabla4[[#This Row],[U. Bruta Uni]]*Tabla4[[#This Row],[Cantidad]]</f>
        <v>#N/A</v>
      </c>
      <c r="T7386" s="369" t="str">
        <f>VLOOKUP(Tabla4[[#This Row],[Producto]],Tabla6[#All],14,FALSE)</f>
        <v>Termico Solar</v>
      </c>
      <c r="U7386" s="284" t="e">
        <f>(IF(Tabla4[[#This Row],[Familia]]="termico solar",Tabla4[[#This Row],[Utilidad Total]]*6%,Tabla4[[#This Row],[Utilidad Total]]*11.5%))/Tabla4[[#This Row],[Total]]</f>
        <v>#N/A</v>
      </c>
      <c r="V7386" s="282" t="e">
        <f>+Tabla4[[#This Row],[Comisión Calculada]]*Tabla4[[#This Row],[Total]]</f>
        <v>#N/A</v>
      </c>
    </row>
    <row r="7387" spans="1:22" x14ac:dyDescent="0.25">
      <c r="A7387" s="100">
        <v>46006</v>
      </c>
      <c r="B7387" t="str">
        <f t="shared" ref="B7387:B7392" si="642">TEXT(A7387, "mmmm")</f>
        <v>December</v>
      </c>
      <c r="C7387" s="46" t="s">
        <v>280</v>
      </c>
      <c r="F7387" s="366" t="s">
        <v>3724</v>
      </c>
      <c r="G7387" s="46" t="s">
        <v>83</v>
      </c>
      <c r="H7387" s="46">
        <v>1</v>
      </c>
      <c r="I7387" s="51">
        <v>8858.76</v>
      </c>
      <c r="J7387" s="281">
        <f>++Tabla4[[#This Row],[Precio Bruto]]*1.16</f>
        <v>10276.161599999999</v>
      </c>
      <c r="K7387" s="281">
        <f>+Tabla4[[#This Row],[Precio Unitario Neto]]*Tabla4[[#Headers],[20.85%]]</f>
        <v>2142.5796935999997</v>
      </c>
      <c r="L7387" s="282">
        <f>++Tabla4[[#This Row],[Precio Unitario Neto]]-Tabla4[[#This Row],[20.85%]]</f>
        <v>8133.5819063999998</v>
      </c>
      <c r="M7387" s="282" t="e">
        <f>(INDEX(Tabla6[#All],MATCH(Tabla4[[#This Row],[Producto]],Tabla6[[#All],[PRODUCTO]],0),MATCH(Tabla4[[#This Row],[Mes]],Tabla6[#Headers],0)))*(1+Catalogos!$L$2)</f>
        <v>#N/A</v>
      </c>
      <c r="N7387" s="283" t="e">
        <f>+(Tabla4[[#This Row],[Precio Descontado]]-Tabla4[[#This Row],[Precio Base]])*Tabla4[[#This Row],[Cantidad]]</f>
        <v>#N/A</v>
      </c>
      <c r="O7387" s="284" t="e">
        <f>++Tabla4[[#This Row],[Utilidad Total]]/Tabla4[[#This Row],[Total]]</f>
        <v>#N/A</v>
      </c>
      <c r="P7387" s="282">
        <f>++Tabla4[[#This Row],[Precio Descontado]]*Tabla4[[#This Row],[Cantidad]]</f>
        <v>8133.5819063999998</v>
      </c>
      <c r="Q7387" s="282" t="e">
        <f>(INDEX(Tabla6[#All],MATCH(Tabla4[[#This Row],[Producto]],Tabla6[[#All],[PRODUCTO]],0),MATCH(Tabla4[[#This Row],[Mes]],Tabla6[#Headers],0)))</f>
        <v>#N/A</v>
      </c>
      <c r="R7387" s="282" t="e">
        <f>++Tabla4[[#This Row],[Precio Unitario Neto]]-Tabla4[[#This Row],[20.85%]]-Tabla4[[#This Row],[Costo]]</f>
        <v>#N/A</v>
      </c>
      <c r="S7387" s="282" t="e">
        <f>++Tabla4[[#This Row],[U. Bruta Uni]]*Tabla4[[#This Row],[Cantidad]]</f>
        <v>#N/A</v>
      </c>
      <c r="T7387" s="369" t="str">
        <f>VLOOKUP(Tabla4[[#This Row],[Producto]],Tabla6[#All],14,FALSE)</f>
        <v>Termico Solar</v>
      </c>
      <c r="U7387" s="284" t="e">
        <f>(IF(Tabla4[[#This Row],[Familia]]="termico solar",Tabla4[[#This Row],[Utilidad Total]]*6%,Tabla4[[#This Row],[Utilidad Total]]*11.5%))/Tabla4[[#This Row],[Total]]</f>
        <v>#N/A</v>
      </c>
      <c r="V7387" s="282" t="e">
        <f>+Tabla4[[#This Row],[Comisión Calculada]]*Tabla4[[#This Row],[Total]]</f>
        <v>#N/A</v>
      </c>
    </row>
    <row r="7388" spans="1:22" x14ac:dyDescent="0.25">
      <c r="A7388" s="100">
        <v>46006</v>
      </c>
      <c r="B7388" t="str">
        <f t="shared" si="642"/>
        <v>December</v>
      </c>
      <c r="C7388" s="46" t="s">
        <v>280</v>
      </c>
      <c r="F7388" s="366" t="s">
        <v>3725</v>
      </c>
      <c r="G7388" s="46" t="s">
        <v>208</v>
      </c>
      <c r="H7388" s="46">
        <v>1</v>
      </c>
      <c r="I7388" s="51">
        <v>189.75</v>
      </c>
      <c r="J7388" s="281">
        <f>++Tabla4[[#This Row],[Precio Bruto]]*1.16</f>
        <v>220.10999999999999</v>
      </c>
      <c r="K7388" s="281">
        <f>+Tabla4[[#This Row],[Precio Unitario Neto]]*Tabla4[[#Headers],[20.85%]]</f>
        <v>45.892934999999994</v>
      </c>
      <c r="L7388" s="282">
        <f>++Tabla4[[#This Row],[Precio Unitario Neto]]-Tabla4[[#This Row],[20.85%]]</f>
        <v>174.21706499999999</v>
      </c>
      <c r="M7388" s="282" t="e">
        <f>(INDEX(Tabla6[#All],MATCH(Tabla4[[#This Row],[Producto]],Tabla6[[#All],[PRODUCTO]],0),MATCH(Tabla4[[#This Row],[Mes]],Tabla6[#Headers],0)))*(1+Catalogos!$L$2)</f>
        <v>#N/A</v>
      </c>
      <c r="N7388" s="283" t="e">
        <f>+(Tabla4[[#This Row],[Precio Descontado]]-Tabla4[[#This Row],[Precio Base]])*Tabla4[[#This Row],[Cantidad]]</f>
        <v>#N/A</v>
      </c>
      <c r="O7388" s="284" t="e">
        <f>++Tabla4[[#This Row],[Utilidad Total]]/Tabla4[[#This Row],[Total]]</f>
        <v>#N/A</v>
      </c>
      <c r="P7388" s="282">
        <f>++Tabla4[[#This Row],[Precio Descontado]]*Tabla4[[#This Row],[Cantidad]]</f>
        <v>174.21706499999999</v>
      </c>
      <c r="Q7388" s="282" t="e">
        <f>(INDEX(Tabla6[#All],MATCH(Tabla4[[#This Row],[Producto]],Tabla6[[#All],[PRODUCTO]],0),MATCH(Tabla4[[#This Row],[Mes]],Tabla6[#Headers],0)))</f>
        <v>#N/A</v>
      </c>
      <c r="R7388" s="282" t="e">
        <f>++Tabla4[[#This Row],[Precio Unitario Neto]]-Tabla4[[#This Row],[20.85%]]-Tabla4[[#This Row],[Costo]]</f>
        <v>#N/A</v>
      </c>
      <c r="S7388" s="282" t="e">
        <f>++Tabla4[[#This Row],[U. Bruta Uni]]*Tabla4[[#This Row],[Cantidad]]</f>
        <v>#N/A</v>
      </c>
      <c r="T7388" s="369" t="str">
        <f>VLOOKUP(Tabla4[[#This Row],[Producto]],Tabla6[#All],14,FALSE)</f>
        <v>Termico Solar</v>
      </c>
      <c r="U7388" s="284" t="e">
        <f>(IF(Tabla4[[#This Row],[Familia]]="termico solar",Tabla4[[#This Row],[Utilidad Total]]*6%,Tabla4[[#This Row],[Utilidad Total]]*11.5%))/Tabla4[[#This Row],[Total]]</f>
        <v>#N/A</v>
      </c>
      <c r="V7388" s="282" t="e">
        <f>+Tabla4[[#This Row],[Comisión Calculada]]*Tabla4[[#This Row],[Total]]</f>
        <v>#N/A</v>
      </c>
    </row>
    <row r="7389" spans="1:22" x14ac:dyDescent="0.25">
      <c r="A7389" s="100">
        <v>46006</v>
      </c>
      <c r="B7389" t="str">
        <f t="shared" si="642"/>
        <v>December</v>
      </c>
      <c r="C7389" s="46" t="s">
        <v>280</v>
      </c>
      <c r="F7389" s="366" t="s">
        <v>3726</v>
      </c>
      <c r="G7389" s="46" t="s">
        <v>18</v>
      </c>
      <c r="H7389" s="46">
        <v>1</v>
      </c>
      <c r="I7389" s="51">
        <v>5367.65</v>
      </c>
      <c r="J7389" s="281">
        <f>++Tabla4[[#This Row],[Precio Bruto]]*1.16</f>
        <v>6226.4739999999993</v>
      </c>
      <c r="K7389" s="281">
        <f>+Tabla4[[#This Row],[Precio Unitario Neto]]*Tabla4[[#Headers],[20.85%]]</f>
        <v>1298.2198289999999</v>
      </c>
      <c r="L7389" s="282">
        <f>++Tabla4[[#This Row],[Precio Unitario Neto]]-Tabla4[[#This Row],[20.85%]]</f>
        <v>4928.2541709999996</v>
      </c>
      <c r="M7389" s="282" t="e">
        <f>(INDEX(Tabla6[#All],MATCH(Tabla4[[#This Row],[Producto]],Tabla6[[#All],[PRODUCTO]],0),MATCH(Tabla4[[#This Row],[Mes]],Tabla6[#Headers],0)))*(1+Catalogos!$L$2)</f>
        <v>#N/A</v>
      </c>
      <c r="N7389" s="283" t="e">
        <f>+(Tabla4[[#This Row],[Precio Descontado]]-Tabla4[[#This Row],[Precio Base]])*Tabla4[[#This Row],[Cantidad]]</f>
        <v>#N/A</v>
      </c>
      <c r="O7389" s="284" t="e">
        <f>++Tabla4[[#This Row],[Utilidad Total]]/Tabla4[[#This Row],[Total]]</f>
        <v>#N/A</v>
      </c>
      <c r="P7389" s="282">
        <f>++Tabla4[[#This Row],[Precio Descontado]]*Tabla4[[#This Row],[Cantidad]]</f>
        <v>4928.2541709999996</v>
      </c>
      <c r="Q7389" s="282" t="e">
        <f>(INDEX(Tabla6[#All],MATCH(Tabla4[[#This Row],[Producto]],Tabla6[[#All],[PRODUCTO]],0),MATCH(Tabla4[[#This Row],[Mes]],Tabla6[#Headers],0)))</f>
        <v>#N/A</v>
      </c>
      <c r="R7389" s="282" t="e">
        <f>++Tabla4[[#This Row],[Precio Unitario Neto]]-Tabla4[[#This Row],[20.85%]]-Tabla4[[#This Row],[Costo]]</f>
        <v>#N/A</v>
      </c>
      <c r="S7389" s="282" t="e">
        <f>++Tabla4[[#This Row],[U. Bruta Uni]]*Tabla4[[#This Row],[Cantidad]]</f>
        <v>#N/A</v>
      </c>
      <c r="T7389" s="369" t="str">
        <f>VLOOKUP(Tabla4[[#This Row],[Producto]],Tabla6[#All],14,FALSE)</f>
        <v>Termico Solar</v>
      </c>
      <c r="U7389" s="284" t="e">
        <f>(IF(Tabla4[[#This Row],[Familia]]="termico solar",Tabla4[[#This Row],[Utilidad Total]]*6%,Tabla4[[#This Row],[Utilidad Total]]*11.5%))/Tabla4[[#This Row],[Total]]</f>
        <v>#N/A</v>
      </c>
      <c r="V7389" s="282" t="e">
        <f>+Tabla4[[#This Row],[Comisión Calculada]]*Tabla4[[#This Row],[Total]]</f>
        <v>#N/A</v>
      </c>
    </row>
    <row r="7390" spans="1:22" x14ac:dyDescent="0.25">
      <c r="A7390" s="100">
        <v>46006</v>
      </c>
      <c r="B7390" t="str">
        <f t="shared" si="642"/>
        <v>December</v>
      </c>
      <c r="C7390" s="46" t="s">
        <v>280</v>
      </c>
      <c r="F7390" s="366" t="s">
        <v>3727</v>
      </c>
      <c r="G7390" s="46" t="s">
        <v>208</v>
      </c>
      <c r="H7390" s="46">
        <v>2</v>
      </c>
      <c r="I7390" s="51">
        <v>189.75</v>
      </c>
      <c r="J7390" s="281">
        <f>++Tabla4[[#This Row],[Precio Bruto]]*1.16</f>
        <v>220.10999999999999</v>
      </c>
      <c r="K7390" s="281">
        <f>+Tabla4[[#This Row],[Precio Unitario Neto]]*Tabla4[[#Headers],[20.85%]]</f>
        <v>45.892934999999994</v>
      </c>
      <c r="L7390" s="282">
        <f>++Tabla4[[#This Row],[Precio Unitario Neto]]-Tabla4[[#This Row],[20.85%]]</f>
        <v>174.21706499999999</v>
      </c>
      <c r="M7390" s="282" t="e">
        <f>(INDEX(Tabla6[#All],MATCH(Tabla4[[#This Row],[Producto]],Tabla6[[#All],[PRODUCTO]],0),MATCH(Tabla4[[#This Row],[Mes]],Tabla6[#Headers],0)))*(1+Catalogos!$L$2)</f>
        <v>#N/A</v>
      </c>
      <c r="N7390" s="283" t="e">
        <f>+(Tabla4[[#This Row],[Precio Descontado]]-Tabla4[[#This Row],[Precio Base]])*Tabla4[[#This Row],[Cantidad]]</f>
        <v>#N/A</v>
      </c>
      <c r="O7390" s="284" t="e">
        <f>++Tabla4[[#This Row],[Utilidad Total]]/Tabla4[[#This Row],[Total]]</f>
        <v>#N/A</v>
      </c>
      <c r="P7390" s="282">
        <f>++Tabla4[[#This Row],[Precio Descontado]]*Tabla4[[#This Row],[Cantidad]]</f>
        <v>348.43412999999998</v>
      </c>
      <c r="Q7390" s="282" t="e">
        <f>(INDEX(Tabla6[#All],MATCH(Tabla4[[#This Row],[Producto]],Tabla6[[#All],[PRODUCTO]],0),MATCH(Tabla4[[#This Row],[Mes]],Tabla6[#Headers],0)))</f>
        <v>#N/A</v>
      </c>
      <c r="R7390" s="282" t="e">
        <f>++Tabla4[[#This Row],[Precio Unitario Neto]]-Tabla4[[#This Row],[20.85%]]-Tabla4[[#This Row],[Costo]]</f>
        <v>#N/A</v>
      </c>
      <c r="S7390" s="282" t="e">
        <f>++Tabla4[[#This Row],[U. Bruta Uni]]*Tabla4[[#This Row],[Cantidad]]</f>
        <v>#N/A</v>
      </c>
      <c r="T7390" s="369" t="str">
        <f>VLOOKUP(Tabla4[[#This Row],[Producto]],Tabla6[#All],14,FALSE)</f>
        <v>Termico Solar</v>
      </c>
      <c r="U7390" s="284" t="e">
        <f>(IF(Tabla4[[#This Row],[Familia]]="termico solar",Tabla4[[#This Row],[Utilidad Total]]*6%,Tabla4[[#This Row],[Utilidad Total]]*11.5%))/Tabla4[[#This Row],[Total]]</f>
        <v>#N/A</v>
      </c>
      <c r="V7390" s="282" t="e">
        <f>+Tabla4[[#This Row],[Comisión Calculada]]*Tabla4[[#This Row],[Total]]</f>
        <v>#N/A</v>
      </c>
    </row>
    <row r="7391" spans="1:22" x14ac:dyDescent="0.25">
      <c r="A7391" s="100">
        <v>46006</v>
      </c>
      <c r="B7391" t="str">
        <f t="shared" si="642"/>
        <v>December</v>
      </c>
      <c r="C7391" s="46" t="s">
        <v>280</v>
      </c>
      <c r="F7391" s="366" t="s">
        <v>3728</v>
      </c>
      <c r="G7391" s="46" t="s">
        <v>17</v>
      </c>
      <c r="H7391" s="46">
        <v>2</v>
      </c>
      <c r="I7391" s="51">
        <v>4622.28</v>
      </c>
      <c r="J7391" s="281">
        <f>++Tabla4[[#This Row],[Precio Bruto]]*1.16</f>
        <v>5361.8447999999989</v>
      </c>
      <c r="K7391" s="281">
        <f>+Tabla4[[#This Row],[Precio Unitario Neto]]*Tabla4[[#Headers],[20.85%]]</f>
        <v>1117.9446407999997</v>
      </c>
      <c r="L7391" s="282">
        <f>++Tabla4[[#This Row],[Precio Unitario Neto]]-Tabla4[[#This Row],[20.85%]]</f>
        <v>4243.9001591999995</v>
      </c>
      <c r="M7391" s="282" t="e">
        <f>(INDEX(Tabla6[#All],MATCH(Tabla4[[#This Row],[Producto]],Tabla6[[#All],[PRODUCTO]],0),MATCH(Tabla4[[#This Row],[Mes]],Tabla6[#Headers],0)))*(1+Catalogos!$L$2)</f>
        <v>#N/A</v>
      </c>
      <c r="N7391" s="283" t="e">
        <f>+(Tabla4[[#This Row],[Precio Descontado]]-Tabla4[[#This Row],[Precio Base]])*Tabla4[[#This Row],[Cantidad]]</f>
        <v>#N/A</v>
      </c>
      <c r="O7391" s="284" t="e">
        <f>++Tabla4[[#This Row],[Utilidad Total]]/Tabla4[[#This Row],[Total]]</f>
        <v>#N/A</v>
      </c>
      <c r="P7391" s="282">
        <f>++Tabla4[[#This Row],[Precio Descontado]]*Tabla4[[#This Row],[Cantidad]]</f>
        <v>8487.800318399999</v>
      </c>
      <c r="Q7391" s="282" t="e">
        <f>(INDEX(Tabla6[#All],MATCH(Tabla4[[#This Row],[Producto]],Tabla6[[#All],[PRODUCTO]],0),MATCH(Tabla4[[#This Row],[Mes]],Tabla6[#Headers],0)))</f>
        <v>#N/A</v>
      </c>
      <c r="R7391" s="282" t="e">
        <f>++Tabla4[[#This Row],[Precio Unitario Neto]]-Tabla4[[#This Row],[20.85%]]-Tabla4[[#This Row],[Costo]]</f>
        <v>#N/A</v>
      </c>
      <c r="S7391" s="282" t="e">
        <f>++Tabla4[[#This Row],[U. Bruta Uni]]*Tabla4[[#This Row],[Cantidad]]</f>
        <v>#N/A</v>
      </c>
      <c r="T7391" s="369" t="str">
        <f>VLOOKUP(Tabla4[[#This Row],[Producto]],Tabla6[#All],14,FALSE)</f>
        <v>Termico Solar</v>
      </c>
      <c r="U7391" s="284" t="e">
        <f>(IF(Tabla4[[#This Row],[Familia]]="termico solar",Tabla4[[#This Row],[Utilidad Total]]*6%,Tabla4[[#This Row],[Utilidad Total]]*11.5%))/Tabla4[[#This Row],[Total]]</f>
        <v>#N/A</v>
      </c>
      <c r="V7391" s="282" t="e">
        <f>+Tabla4[[#This Row],[Comisión Calculada]]*Tabla4[[#This Row],[Total]]</f>
        <v>#N/A</v>
      </c>
    </row>
    <row r="7392" spans="1:22" x14ac:dyDescent="0.25">
      <c r="A7392" s="100">
        <v>46006</v>
      </c>
      <c r="B7392" t="str">
        <f t="shared" si="642"/>
        <v>December</v>
      </c>
      <c r="C7392" s="46" t="s">
        <v>280</v>
      </c>
      <c r="F7392" s="366" t="s">
        <v>3729</v>
      </c>
      <c r="G7392" s="46" t="s">
        <v>83</v>
      </c>
      <c r="H7392" s="46">
        <v>2</v>
      </c>
      <c r="I7392" s="51">
        <v>8858.76</v>
      </c>
      <c r="J7392" s="281">
        <f>++Tabla4[[#This Row],[Precio Bruto]]*1.16</f>
        <v>10276.161599999999</v>
      </c>
      <c r="K7392" s="281">
        <f>+Tabla4[[#This Row],[Precio Unitario Neto]]*Tabla4[[#Headers],[20.85%]]</f>
        <v>2142.5796935999997</v>
      </c>
      <c r="L7392" s="282">
        <f>++Tabla4[[#This Row],[Precio Unitario Neto]]-Tabla4[[#This Row],[20.85%]]</f>
        <v>8133.5819063999998</v>
      </c>
      <c r="M7392" s="282" t="e">
        <f>(INDEX(Tabla6[#All],MATCH(Tabla4[[#This Row],[Producto]],Tabla6[[#All],[PRODUCTO]],0),MATCH(Tabla4[[#This Row],[Mes]],Tabla6[#Headers],0)))*(1+Catalogos!$L$2)</f>
        <v>#N/A</v>
      </c>
      <c r="N7392" s="283" t="e">
        <f>+(Tabla4[[#This Row],[Precio Descontado]]-Tabla4[[#This Row],[Precio Base]])*Tabla4[[#This Row],[Cantidad]]</f>
        <v>#N/A</v>
      </c>
      <c r="O7392" s="284" t="e">
        <f>++Tabla4[[#This Row],[Utilidad Total]]/Tabla4[[#This Row],[Total]]</f>
        <v>#N/A</v>
      </c>
      <c r="P7392" s="282">
        <f>++Tabla4[[#This Row],[Precio Descontado]]*Tabla4[[#This Row],[Cantidad]]</f>
        <v>16267.1638128</v>
      </c>
      <c r="Q7392" s="282" t="e">
        <f>(INDEX(Tabla6[#All],MATCH(Tabla4[[#This Row],[Producto]],Tabla6[[#All],[PRODUCTO]],0),MATCH(Tabla4[[#This Row],[Mes]],Tabla6[#Headers],0)))</f>
        <v>#N/A</v>
      </c>
      <c r="R7392" s="282" t="e">
        <f>++Tabla4[[#This Row],[Precio Unitario Neto]]-Tabla4[[#This Row],[20.85%]]-Tabla4[[#This Row],[Costo]]</f>
        <v>#N/A</v>
      </c>
      <c r="S7392" s="282" t="e">
        <f>++Tabla4[[#This Row],[U. Bruta Uni]]*Tabla4[[#This Row],[Cantidad]]</f>
        <v>#N/A</v>
      </c>
      <c r="T7392" s="369" t="str">
        <f>VLOOKUP(Tabla4[[#This Row],[Producto]],Tabla6[#All],14,FALSE)</f>
        <v>Termico Solar</v>
      </c>
      <c r="U7392" s="284" t="e">
        <f>(IF(Tabla4[[#This Row],[Familia]]="termico solar",Tabla4[[#This Row],[Utilidad Total]]*6%,Tabla4[[#This Row],[Utilidad Total]]*11.5%))/Tabla4[[#This Row],[Total]]</f>
        <v>#N/A</v>
      </c>
      <c r="V7392" s="282" t="e">
        <f>+Tabla4[[#This Row],[Comisión Calculada]]*Tabla4[[#This Row],[Total]]</f>
        <v>#N/A</v>
      </c>
    </row>
    <row r="7393" spans="1:22" x14ac:dyDescent="0.25">
      <c r="A7393" s="100">
        <v>46006</v>
      </c>
      <c r="B7393" t="str">
        <f t="shared" ref="B7393:B7394" si="643">TEXT(A7393, "mmmm")</f>
        <v>December</v>
      </c>
      <c r="C7393" s="46" t="s">
        <v>280</v>
      </c>
      <c r="F7393" s="366" t="s">
        <v>3730</v>
      </c>
      <c r="G7393" s="46" t="s">
        <v>83</v>
      </c>
      <c r="H7393" s="46">
        <v>1</v>
      </c>
      <c r="I7393" s="51">
        <v>8858.76</v>
      </c>
      <c r="J7393" s="281">
        <f>++Tabla4[[#This Row],[Precio Bruto]]*1.16</f>
        <v>10276.161599999999</v>
      </c>
      <c r="K7393" s="281">
        <f>+Tabla4[[#This Row],[Precio Unitario Neto]]*Tabla4[[#Headers],[20.85%]]</f>
        <v>2142.5796935999997</v>
      </c>
      <c r="L7393" s="282">
        <f>++Tabla4[[#This Row],[Precio Unitario Neto]]-Tabla4[[#This Row],[20.85%]]</f>
        <v>8133.5819063999998</v>
      </c>
      <c r="M7393" s="282" t="e">
        <f>(INDEX(Tabla6[#All],MATCH(Tabla4[[#This Row],[Producto]],Tabla6[[#All],[PRODUCTO]],0),MATCH(Tabla4[[#This Row],[Mes]],Tabla6[#Headers],0)))*(1+Catalogos!$L$2)</f>
        <v>#N/A</v>
      </c>
      <c r="N7393" s="283" t="e">
        <f>+(Tabla4[[#This Row],[Precio Descontado]]-Tabla4[[#This Row],[Precio Base]])*Tabla4[[#This Row],[Cantidad]]</f>
        <v>#N/A</v>
      </c>
      <c r="O7393" s="284" t="e">
        <f>++Tabla4[[#This Row],[Utilidad Total]]/Tabla4[[#This Row],[Total]]</f>
        <v>#N/A</v>
      </c>
      <c r="P7393" s="282">
        <f>++Tabla4[[#This Row],[Precio Descontado]]*Tabla4[[#This Row],[Cantidad]]</f>
        <v>8133.5819063999998</v>
      </c>
      <c r="Q7393" s="282" t="e">
        <f>(INDEX(Tabla6[#All],MATCH(Tabla4[[#This Row],[Producto]],Tabla6[[#All],[PRODUCTO]],0),MATCH(Tabla4[[#This Row],[Mes]],Tabla6[#Headers],0)))</f>
        <v>#N/A</v>
      </c>
      <c r="R7393" s="282" t="e">
        <f>++Tabla4[[#This Row],[Precio Unitario Neto]]-Tabla4[[#This Row],[20.85%]]-Tabla4[[#This Row],[Costo]]</f>
        <v>#N/A</v>
      </c>
      <c r="S7393" s="282" t="e">
        <f>++Tabla4[[#This Row],[U. Bruta Uni]]*Tabla4[[#This Row],[Cantidad]]</f>
        <v>#N/A</v>
      </c>
      <c r="T7393" s="369" t="str">
        <f>VLOOKUP(Tabla4[[#This Row],[Producto]],Tabla6[#All],14,FALSE)</f>
        <v>Termico Solar</v>
      </c>
      <c r="U7393" s="284" t="e">
        <f>(IF(Tabla4[[#This Row],[Familia]]="termico solar",Tabla4[[#This Row],[Utilidad Total]]*6%,Tabla4[[#This Row],[Utilidad Total]]*11.5%))/Tabla4[[#This Row],[Total]]</f>
        <v>#N/A</v>
      </c>
      <c r="V7393" s="282" t="e">
        <f>+Tabla4[[#This Row],[Comisión Calculada]]*Tabla4[[#This Row],[Total]]</f>
        <v>#N/A</v>
      </c>
    </row>
    <row r="7394" spans="1:22" x14ac:dyDescent="0.25">
      <c r="A7394" s="100">
        <v>46006</v>
      </c>
      <c r="B7394" t="str">
        <f t="shared" si="643"/>
        <v>December</v>
      </c>
      <c r="C7394" s="46" t="s">
        <v>280</v>
      </c>
      <c r="F7394" s="366" t="s">
        <v>3730</v>
      </c>
      <c r="G7394" s="46" t="s">
        <v>18</v>
      </c>
      <c r="H7394" s="46">
        <v>3</v>
      </c>
      <c r="I7394" s="51">
        <v>5367.6500000000005</v>
      </c>
      <c r="J7394" s="281">
        <f>++Tabla4[[#This Row],[Precio Bruto]]*1.16</f>
        <v>6226.4740000000002</v>
      </c>
      <c r="K7394" s="281">
        <f>+Tabla4[[#This Row],[Precio Unitario Neto]]*Tabla4[[#Headers],[20.85%]]</f>
        <v>1298.2198289999999</v>
      </c>
      <c r="L7394" s="282">
        <f>++Tabla4[[#This Row],[Precio Unitario Neto]]-Tabla4[[#This Row],[20.85%]]</f>
        <v>4928.2541710000005</v>
      </c>
      <c r="M7394" s="282" t="e">
        <f>(INDEX(Tabla6[#All],MATCH(Tabla4[[#This Row],[Producto]],Tabla6[[#All],[PRODUCTO]],0),MATCH(Tabla4[[#This Row],[Mes]],Tabla6[#Headers],0)))*(1+Catalogos!$L$2)</f>
        <v>#N/A</v>
      </c>
      <c r="N7394" s="283" t="e">
        <f>+(Tabla4[[#This Row],[Precio Descontado]]-Tabla4[[#This Row],[Precio Base]])*Tabla4[[#This Row],[Cantidad]]</f>
        <v>#N/A</v>
      </c>
      <c r="O7394" s="284" t="e">
        <f>++Tabla4[[#This Row],[Utilidad Total]]/Tabla4[[#This Row],[Total]]</f>
        <v>#N/A</v>
      </c>
      <c r="P7394" s="282">
        <f>++Tabla4[[#This Row],[Precio Descontado]]*Tabla4[[#This Row],[Cantidad]]</f>
        <v>14784.762513000001</v>
      </c>
      <c r="Q7394" s="282" t="e">
        <f>(INDEX(Tabla6[#All],MATCH(Tabla4[[#This Row],[Producto]],Tabla6[[#All],[PRODUCTO]],0),MATCH(Tabla4[[#This Row],[Mes]],Tabla6[#Headers],0)))</f>
        <v>#N/A</v>
      </c>
      <c r="R7394" s="282" t="e">
        <f>++Tabla4[[#This Row],[Precio Unitario Neto]]-Tabla4[[#This Row],[20.85%]]-Tabla4[[#This Row],[Costo]]</f>
        <v>#N/A</v>
      </c>
      <c r="S7394" s="282" t="e">
        <f>++Tabla4[[#This Row],[U. Bruta Uni]]*Tabla4[[#This Row],[Cantidad]]</f>
        <v>#N/A</v>
      </c>
      <c r="T7394" s="369" t="str">
        <f>VLOOKUP(Tabla4[[#This Row],[Producto]],Tabla6[#All],14,FALSE)</f>
        <v>Termico Solar</v>
      </c>
      <c r="U7394" s="284" t="e">
        <f>(IF(Tabla4[[#This Row],[Familia]]="termico solar",Tabla4[[#This Row],[Utilidad Total]]*6%,Tabla4[[#This Row],[Utilidad Total]]*11.5%))/Tabla4[[#This Row],[Total]]</f>
        <v>#N/A</v>
      </c>
      <c r="V7394" s="282" t="e">
        <f>+Tabla4[[#This Row],[Comisión Calculada]]*Tabla4[[#This Row],[Total]]</f>
        <v>#N/A</v>
      </c>
    </row>
    <row r="7395" spans="1:22" x14ac:dyDescent="0.25">
      <c r="A7395" s="100">
        <v>46006</v>
      </c>
      <c r="B7395" t="str">
        <f t="shared" ref="B7395:B7396" si="644">TEXT(A7395, "mmmm")</f>
        <v>December</v>
      </c>
      <c r="C7395" s="46" t="s">
        <v>280</v>
      </c>
      <c r="F7395" s="366" t="s">
        <v>3731</v>
      </c>
      <c r="G7395" s="46" t="s">
        <v>17</v>
      </c>
      <c r="H7395" s="46">
        <v>1</v>
      </c>
      <c r="I7395" s="51">
        <v>4622.28</v>
      </c>
      <c r="J7395" s="281">
        <f>++Tabla4[[#This Row],[Precio Bruto]]*1.16</f>
        <v>5361.8447999999989</v>
      </c>
      <c r="K7395" s="281">
        <f>+Tabla4[[#This Row],[Precio Unitario Neto]]*Tabla4[[#Headers],[20.85%]]</f>
        <v>1117.9446407999997</v>
      </c>
      <c r="L7395" s="282">
        <f>++Tabla4[[#This Row],[Precio Unitario Neto]]-Tabla4[[#This Row],[20.85%]]</f>
        <v>4243.9001591999995</v>
      </c>
      <c r="M7395" s="282" t="e">
        <f>(INDEX(Tabla6[#All],MATCH(Tabla4[[#This Row],[Producto]],Tabla6[[#All],[PRODUCTO]],0),MATCH(Tabla4[[#This Row],[Mes]],Tabla6[#Headers],0)))*(1+Catalogos!$L$2)</f>
        <v>#N/A</v>
      </c>
      <c r="N7395" s="283" t="e">
        <f>+(Tabla4[[#This Row],[Precio Descontado]]-Tabla4[[#This Row],[Precio Base]])*Tabla4[[#This Row],[Cantidad]]</f>
        <v>#N/A</v>
      </c>
      <c r="O7395" s="284" t="e">
        <f>++Tabla4[[#This Row],[Utilidad Total]]/Tabla4[[#This Row],[Total]]</f>
        <v>#N/A</v>
      </c>
      <c r="P7395" s="282">
        <f>++Tabla4[[#This Row],[Precio Descontado]]*Tabla4[[#This Row],[Cantidad]]</f>
        <v>4243.9001591999995</v>
      </c>
      <c r="Q7395" s="282" t="e">
        <f>(INDEX(Tabla6[#All],MATCH(Tabla4[[#This Row],[Producto]],Tabla6[[#All],[PRODUCTO]],0),MATCH(Tabla4[[#This Row],[Mes]],Tabla6[#Headers],0)))</f>
        <v>#N/A</v>
      </c>
      <c r="R7395" s="282" t="e">
        <f>++Tabla4[[#This Row],[Precio Unitario Neto]]-Tabla4[[#This Row],[20.85%]]-Tabla4[[#This Row],[Costo]]</f>
        <v>#N/A</v>
      </c>
      <c r="S7395" s="282" t="e">
        <f>++Tabla4[[#This Row],[U. Bruta Uni]]*Tabla4[[#This Row],[Cantidad]]</f>
        <v>#N/A</v>
      </c>
      <c r="T7395" s="369" t="str">
        <f>VLOOKUP(Tabla4[[#This Row],[Producto]],Tabla6[#All],14,FALSE)</f>
        <v>Termico Solar</v>
      </c>
      <c r="U7395" s="284" t="e">
        <f>(IF(Tabla4[[#This Row],[Familia]]="termico solar",Tabla4[[#This Row],[Utilidad Total]]*6%,Tabla4[[#This Row],[Utilidad Total]]*11.5%))/Tabla4[[#This Row],[Total]]</f>
        <v>#N/A</v>
      </c>
      <c r="V7395" s="282" t="e">
        <f>+Tabla4[[#This Row],[Comisión Calculada]]*Tabla4[[#This Row],[Total]]</f>
        <v>#N/A</v>
      </c>
    </row>
    <row r="7396" spans="1:22" x14ac:dyDescent="0.25">
      <c r="A7396" s="100">
        <v>46006</v>
      </c>
      <c r="B7396" t="str">
        <f t="shared" si="644"/>
        <v>December</v>
      </c>
      <c r="C7396" s="46" t="s">
        <v>280</v>
      </c>
      <c r="F7396" s="366" t="s">
        <v>3731</v>
      </c>
      <c r="G7396" s="46" t="s">
        <v>16</v>
      </c>
      <c r="H7396" s="46">
        <v>2</v>
      </c>
      <c r="I7396" s="51">
        <v>4103.8500000000004</v>
      </c>
      <c r="J7396" s="281">
        <f>++Tabla4[[#This Row],[Precio Bruto]]*1.16</f>
        <v>4760.4660000000003</v>
      </c>
      <c r="K7396" s="281">
        <f>+Tabla4[[#This Row],[Precio Unitario Neto]]*Tabla4[[#Headers],[20.85%]]</f>
        <v>992.55716100000006</v>
      </c>
      <c r="L7396" s="282">
        <f>++Tabla4[[#This Row],[Precio Unitario Neto]]-Tabla4[[#This Row],[20.85%]]</f>
        <v>3767.9088390000002</v>
      </c>
      <c r="M7396" s="282" t="e">
        <f>(INDEX(Tabla6[#All],MATCH(Tabla4[[#This Row],[Producto]],Tabla6[[#All],[PRODUCTO]],0),MATCH(Tabla4[[#This Row],[Mes]],Tabla6[#Headers],0)))*(1+Catalogos!$L$2)</f>
        <v>#N/A</v>
      </c>
      <c r="N7396" s="283" t="e">
        <f>+(Tabla4[[#This Row],[Precio Descontado]]-Tabla4[[#This Row],[Precio Base]])*Tabla4[[#This Row],[Cantidad]]</f>
        <v>#N/A</v>
      </c>
      <c r="O7396" s="284" t="e">
        <f>++Tabla4[[#This Row],[Utilidad Total]]/Tabla4[[#This Row],[Total]]</f>
        <v>#N/A</v>
      </c>
      <c r="P7396" s="282">
        <f>++Tabla4[[#This Row],[Precio Descontado]]*Tabla4[[#This Row],[Cantidad]]</f>
        <v>7535.8176780000003</v>
      </c>
      <c r="Q7396" s="282" t="e">
        <f>(INDEX(Tabla6[#All],MATCH(Tabla4[[#This Row],[Producto]],Tabla6[[#All],[PRODUCTO]],0),MATCH(Tabla4[[#This Row],[Mes]],Tabla6[#Headers],0)))</f>
        <v>#N/A</v>
      </c>
      <c r="R7396" s="282" t="e">
        <f>++Tabla4[[#This Row],[Precio Unitario Neto]]-Tabla4[[#This Row],[20.85%]]-Tabla4[[#This Row],[Costo]]</f>
        <v>#N/A</v>
      </c>
      <c r="S7396" s="282" t="e">
        <f>++Tabla4[[#This Row],[U. Bruta Uni]]*Tabla4[[#This Row],[Cantidad]]</f>
        <v>#N/A</v>
      </c>
      <c r="T7396" s="369" t="str">
        <f>VLOOKUP(Tabla4[[#This Row],[Producto]],Tabla6[#All],14,FALSE)</f>
        <v>Termico Solar</v>
      </c>
      <c r="U7396" s="284" t="e">
        <f>(IF(Tabla4[[#This Row],[Familia]]="termico solar",Tabla4[[#This Row],[Utilidad Total]]*6%,Tabla4[[#This Row],[Utilidad Total]]*11.5%))/Tabla4[[#This Row],[Total]]</f>
        <v>#N/A</v>
      </c>
      <c r="V7396" s="282" t="e">
        <f>+Tabla4[[#This Row],[Comisión Calculada]]*Tabla4[[#This Row],[Total]]</f>
        <v>#N/A</v>
      </c>
    </row>
    <row r="7397" spans="1:22" x14ac:dyDescent="0.25">
      <c r="A7397" s="100">
        <v>46006</v>
      </c>
      <c r="B7397" t="str">
        <f>TEXT(A7397, "mmmm")</f>
        <v>December</v>
      </c>
      <c r="C7397" s="46" t="s">
        <v>280</v>
      </c>
      <c r="F7397" s="366" t="s">
        <v>3732</v>
      </c>
      <c r="G7397" s="46" t="s">
        <v>208</v>
      </c>
      <c r="H7397" s="46">
        <v>1</v>
      </c>
      <c r="I7397" s="51">
        <v>189.75</v>
      </c>
      <c r="J7397" s="281">
        <f>++Tabla4[[#This Row],[Precio Bruto]]*1.16</f>
        <v>220.10999999999999</v>
      </c>
      <c r="K7397" s="281">
        <f>+Tabla4[[#This Row],[Precio Unitario Neto]]*Tabla4[[#Headers],[20.85%]]</f>
        <v>45.892934999999994</v>
      </c>
      <c r="L7397" s="282">
        <f>++Tabla4[[#This Row],[Precio Unitario Neto]]-Tabla4[[#This Row],[20.85%]]</f>
        <v>174.21706499999999</v>
      </c>
      <c r="M7397" s="282" t="e">
        <f>(INDEX(Tabla6[#All],MATCH(Tabla4[[#This Row],[Producto]],Tabla6[[#All],[PRODUCTO]],0),MATCH(Tabla4[[#This Row],[Mes]],Tabla6[#Headers],0)))*(1+Catalogos!$L$2)</f>
        <v>#N/A</v>
      </c>
      <c r="N7397" s="283" t="e">
        <f>+(Tabla4[[#This Row],[Precio Descontado]]-Tabla4[[#This Row],[Precio Base]])*Tabla4[[#This Row],[Cantidad]]</f>
        <v>#N/A</v>
      </c>
      <c r="O7397" s="284" t="e">
        <f>++Tabla4[[#This Row],[Utilidad Total]]/Tabla4[[#This Row],[Total]]</f>
        <v>#N/A</v>
      </c>
      <c r="P7397" s="282">
        <f>++Tabla4[[#This Row],[Precio Descontado]]*Tabla4[[#This Row],[Cantidad]]</f>
        <v>174.21706499999999</v>
      </c>
      <c r="Q7397" s="282" t="e">
        <f>(INDEX(Tabla6[#All],MATCH(Tabla4[[#This Row],[Producto]],Tabla6[[#All],[PRODUCTO]],0),MATCH(Tabla4[[#This Row],[Mes]],Tabla6[#Headers],0)))</f>
        <v>#N/A</v>
      </c>
      <c r="R7397" s="282" t="e">
        <f>++Tabla4[[#This Row],[Precio Unitario Neto]]-Tabla4[[#This Row],[20.85%]]-Tabla4[[#This Row],[Costo]]</f>
        <v>#N/A</v>
      </c>
      <c r="S7397" s="282" t="e">
        <f>++Tabla4[[#This Row],[U. Bruta Uni]]*Tabla4[[#This Row],[Cantidad]]</f>
        <v>#N/A</v>
      </c>
      <c r="T7397" s="369" t="str">
        <f>VLOOKUP(Tabla4[[#This Row],[Producto]],Tabla6[#All],14,FALSE)</f>
        <v>Termico Solar</v>
      </c>
      <c r="U7397" s="284" t="e">
        <f>(IF(Tabla4[[#This Row],[Familia]]="termico solar",Tabla4[[#This Row],[Utilidad Total]]*6%,Tabla4[[#This Row],[Utilidad Total]]*11.5%))/Tabla4[[#This Row],[Total]]</f>
        <v>#N/A</v>
      </c>
      <c r="V7397" s="282" t="e">
        <f>+Tabla4[[#This Row],[Comisión Calculada]]*Tabla4[[#This Row],[Total]]</f>
        <v>#N/A</v>
      </c>
    </row>
    <row r="7398" spans="1:22" x14ac:dyDescent="0.25">
      <c r="A7398" s="100">
        <v>46006</v>
      </c>
      <c r="B7398" t="str">
        <f>TEXT(A7398, "mmmm")</f>
        <v>December</v>
      </c>
      <c r="C7398" s="46" t="s">
        <v>280</v>
      </c>
      <c r="F7398" s="366" t="s">
        <v>3733</v>
      </c>
      <c r="G7398" s="46" t="s">
        <v>17</v>
      </c>
      <c r="H7398" s="46">
        <v>1</v>
      </c>
      <c r="I7398" s="51">
        <v>4622.28</v>
      </c>
      <c r="J7398" s="281">
        <f>++Tabla4[[#This Row],[Precio Bruto]]*1.16</f>
        <v>5361.8447999999989</v>
      </c>
      <c r="K7398" s="281">
        <f>+Tabla4[[#This Row],[Precio Unitario Neto]]*Tabla4[[#Headers],[20.85%]]</f>
        <v>1117.9446407999997</v>
      </c>
      <c r="L7398" s="282">
        <f>++Tabla4[[#This Row],[Precio Unitario Neto]]-Tabla4[[#This Row],[20.85%]]</f>
        <v>4243.9001591999995</v>
      </c>
      <c r="M7398" s="282" t="e">
        <f>(INDEX(Tabla6[#All],MATCH(Tabla4[[#This Row],[Producto]],Tabla6[[#All],[PRODUCTO]],0),MATCH(Tabla4[[#This Row],[Mes]],Tabla6[#Headers],0)))*(1+Catalogos!$L$2)</f>
        <v>#N/A</v>
      </c>
      <c r="N7398" s="283" t="e">
        <f>+(Tabla4[[#This Row],[Precio Descontado]]-Tabla4[[#This Row],[Precio Base]])*Tabla4[[#This Row],[Cantidad]]</f>
        <v>#N/A</v>
      </c>
      <c r="O7398" s="284" t="e">
        <f>++Tabla4[[#This Row],[Utilidad Total]]/Tabla4[[#This Row],[Total]]</f>
        <v>#N/A</v>
      </c>
      <c r="P7398" s="282">
        <f>++Tabla4[[#This Row],[Precio Descontado]]*Tabla4[[#This Row],[Cantidad]]</f>
        <v>4243.9001591999995</v>
      </c>
      <c r="Q7398" s="282" t="e">
        <f>(INDEX(Tabla6[#All],MATCH(Tabla4[[#This Row],[Producto]],Tabla6[[#All],[PRODUCTO]],0),MATCH(Tabla4[[#This Row],[Mes]],Tabla6[#Headers],0)))</f>
        <v>#N/A</v>
      </c>
      <c r="R7398" s="282" t="e">
        <f>++Tabla4[[#This Row],[Precio Unitario Neto]]-Tabla4[[#This Row],[20.85%]]-Tabla4[[#This Row],[Costo]]</f>
        <v>#N/A</v>
      </c>
      <c r="S7398" s="282" t="e">
        <f>++Tabla4[[#This Row],[U. Bruta Uni]]*Tabla4[[#This Row],[Cantidad]]</f>
        <v>#N/A</v>
      </c>
      <c r="T7398" s="369" t="str">
        <f>VLOOKUP(Tabla4[[#This Row],[Producto]],Tabla6[#All],14,FALSE)</f>
        <v>Termico Solar</v>
      </c>
      <c r="U7398" s="284" t="e">
        <f>(IF(Tabla4[[#This Row],[Familia]]="termico solar",Tabla4[[#This Row],[Utilidad Total]]*6%,Tabla4[[#This Row],[Utilidad Total]]*11.5%))/Tabla4[[#This Row],[Total]]</f>
        <v>#N/A</v>
      </c>
      <c r="V7398" s="282" t="e">
        <f>+Tabla4[[#This Row],[Comisión Calculada]]*Tabla4[[#This Row],[Total]]</f>
        <v>#N/A</v>
      </c>
    </row>
    <row r="7399" spans="1:22" x14ac:dyDescent="0.25">
      <c r="A7399" s="100">
        <v>46006</v>
      </c>
      <c r="B7399" t="str">
        <f t="shared" ref="B7399:B7400" si="645">TEXT(A7399, "mmmm")</f>
        <v>December</v>
      </c>
      <c r="C7399" s="46" t="s">
        <v>280</v>
      </c>
      <c r="F7399" s="366" t="s">
        <v>3734</v>
      </c>
      <c r="G7399" s="46" t="s">
        <v>83</v>
      </c>
      <c r="H7399" s="46">
        <v>1</v>
      </c>
      <c r="I7399" s="51">
        <v>8858.76</v>
      </c>
      <c r="J7399" s="281">
        <f>++Tabla4[[#This Row],[Precio Bruto]]*1.16</f>
        <v>10276.161599999999</v>
      </c>
      <c r="K7399" s="281">
        <f>+Tabla4[[#This Row],[Precio Unitario Neto]]*Tabla4[[#Headers],[20.85%]]</f>
        <v>2142.5796935999997</v>
      </c>
      <c r="L7399" s="282">
        <f>++Tabla4[[#This Row],[Precio Unitario Neto]]-Tabla4[[#This Row],[20.85%]]</f>
        <v>8133.5819063999998</v>
      </c>
      <c r="M7399" s="282" t="e">
        <f>(INDEX(Tabla6[#All],MATCH(Tabla4[[#This Row],[Producto]],Tabla6[[#All],[PRODUCTO]],0),MATCH(Tabla4[[#This Row],[Mes]],Tabla6[#Headers],0)))*(1+Catalogos!$L$2)</f>
        <v>#N/A</v>
      </c>
      <c r="N7399" s="283" t="e">
        <f>+(Tabla4[[#This Row],[Precio Descontado]]-Tabla4[[#This Row],[Precio Base]])*Tabla4[[#This Row],[Cantidad]]</f>
        <v>#N/A</v>
      </c>
      <c r="O7399" s="284" t="e">
        <f>++Tabla4[[#This Row],[Utilidad Total]]/Tabla4[[#This Row],[Total]]</f>
        <v>#N/A</v>
      </c>
      <c r="P7399" s="282">
        <f>++Tabla4[[#This Row],[Precio Descontado]]*Tabla4[[#This Row],[Cantidad]]</f>
        <v>8133.5819063999998</v>
      </c>
      <c r="Q7399" s="282" t="e">
        <f>(INDEX(Tabla6[#All],MATCH(Tabla4[[#This Row],[Producto]],Tabla6[[#All],[PRODUCTO]],0),MATCH(Tabla4[[#This Row],[Mes]],Tabla6[#Headers],0)))</f>
        <v>#N/A</v>
      </c>
      <c r="R7399" s="282" t="e">
        <f>++Tabla4[[#This Row],[Precio Unitario Neto]]-Tabla4[[#This Row],[20.85%]]-Tabla4[[#This Row],[Costo]]</f>
        <v>#N/A</v>
      </c>
      <c r="S7399" s="282" t="e">
        <f>++Tabla4[[#This Row],[U. Bruta Uni]]*Tabla4[[#This Row],[Cantidad]]</f>
        <v>#N/A</v>
      </c>
      <c r="T7399" s="369" t="str">
        <f>VLOOKUP(Tabla4[[#This Row],[Producto]],Tabla6[#All],14,FALSE)</f>
        <v>Termico Solar</v>
      </c>
      <c r="U7399" s="284" t="e">
        <f>(IF(Tabla4[[#This Row],[Familia]]="termico solar",Tabla4[[#This Row],[Utilidad Total]]*6%,Tabla4[[#This Row],[Utilidad Total]]*11.5%))/Tabla4[[#This Row],[Total]]</f>
        <v>#N/A</v>
      </c>
      <c r="V7399" s="282" t="e">
        <f>+Tabla4[[#This Row],[Comisión Calculada]]*Tabla4[[#This Row],[Total]]</f>
        <v>#N/A</v>
      </c>
    </row>
    <row r="7400" spans="1:22" x14ac:dyDescent="0.25">
      <c r="A7400" s="100">
        <v>46006</v>
      </c>
      <c r="B7400" t="str">
        <f t="shared" si="645"/>
        <v>December</v>
      </c>
      <c r="C7400" s="46" t="s">
        <v>280</v>
      </c>
      <c r="F7400" s="366" t="s">
        <v>3734</v>
      </c>
      <c r="G7400" s="46" t="s">
        <v>18</v>
      </c>
      <c r="H7400" s="46">
        <v>4</v>
      </c>
      <c r="I7400" s="51">
        <v>5367.65</v>
      </c>
      <c r="J7400" s="281">
        <f>++Tabla4[[#This Row],[Precio Bruto]]*1.16</f>
        <v>6226.4739999999993</v>
      </c>
      <c r="K7400" s="281">
        <f>+Tabla4[[#This Row],[Precio Unitario Neto]]*Tabla4[[#Headers],[20.85%]]</f>
        <v>1298.2198289999999</v>
      </c>
      <c r="L7400" s="282">
        <f>++Tabla4[[#This Row],[Precio Unitario Neto]]-Tabla4[[#This Row],[20.85%]]</f>
        <v>4928.2541709999996</v>
      </c>
      <c r="M7400" s="282" t="e">
        <f>(INDEX(Tabla6[#All],MATCH(Tabla4[[#This Row],[Producto]],Tabla6[[#All],[PRODUCTO]],0),MATCH(Tabla4[[#This Row],[Mes]],Tabla6[#Headers],0)))*(1+Catalogos!$L$2)</f>
        <v>#N/A</v>
      </c>
      <c r="N7400" s="283" t="e">
        <f>+(Tabla4[[#This Row],[Precio Descontado]]-Tabla4[[#This Row],[Precio Base]])*Tabla4[[#This Row],[Cantidad]]</f>
        <v>#N/A</v>
      </c>
      <c r="O7400" s="284" t="e">
        <f>++Tabla4[[#This Row],[Utilidad Total]]/Tabla4[[#This Row],[Total]]</f>
        <v>#N/A</v>
      </c>
      <c r="P7400" s="282">
        <f>++Tabla4[[#This Row],[Precio Descontado]]*Tabla4[[#This Row],[Cantidad]]</f>
        <v>19713.016683999998</v>
      </c>
      <c r="Q7400" s="282" t="e">
        <f>(INDEX(Tabla6[#All],MATCH(Tabla4[[#This Row],[Producto]],Tabla6[[#All],[PRODUCTO]],0),MATCH(Tabla4[[#This Row],[Mes]],Tabla6[#Headers],0)))</f>
        <v>#N/A</v>
      </c>
      <c r="R7400" s="282" t="e">
        <f>++Tabla4[[#This Row],[Precio Unitario Neto]]-Tabla4[[#This Row],[20.85%]]-Tabla4[[#This Row],[Costo]]</f>
        <v>#N/A</v>
      </c>
      <c r="S7400" s="282" t="e">
        <f>++Tabla4[[#This Row],[U. Bruta Uni]]*Tabla4[[#This Row],[Cantidad]]</f>
        <v>#N/A</v>
      </c>
      <c r="T7400" s="369" t="str">
        <f>VLOOKUP(Tabla4[[#This Row],[Producto]],Tabla6[#All],14,FALSE)</f>
        <v>Termico Solar</v>
      </c>
      <c r="U7400" s="284" t="e">
        <f>(IF(Tabla4[[#This Row],[Familia]]="termico solar",Tabla4[[#This Row],[Utilidad Total]]*6%,Tabla4[[#This Row],[Utilidad Total]]*11.5%))/Tabla4[[#This Row],[Total]]</f>
        <v>#N/A</v>
      </c>
      <c r="V7400" s="282" t="e">
        <f>+Tabla4[[#This Row],[Comisión Calculada]]*Tabla4[[#This Row],[Total]]</f>
        <v>#N/A</v>
      </c>
    </row>
    <row r="7401" spans="1:22" x14ac:dyDescent="0.25">
      <c r="A7401" s="100">
        <v>46006</v>
      </c>
      <c r="B7401" t="str">
        <f>TEXT(A7401, "mmmm")</f>
        <v>December</v>
      </c>
      <c r="C7401" s="46" t="s">
        <v>280</v>
      </c>
      <c r="F7401" s="366" t="s">
        <v>3735</v>
      </c>
      <c r="G7401" s="46" t="s">
        <v>83</v>
      </c>
      <c r="H7401" s="46">
        <v>1</v>
      </c>
      <c r="I7401" s="51">
        <v>8858.76</v>
      </c>
      <c r="J7401" s="281">
        <f>++Tabla4[[#This Row],[Precio Bruto]]*1.16</f>
        <v>10276.161599999999</v>
      </c>
      <c r="K7401" s="281">
        <f>+Tabla4[[#This Row],[Precio Unitario Neto]]*Tabla4[[#Headers],[20.85%]]</f>
        <v>2142.5796935999997</v>
      </c>
      <c r="L7401" s="282">
        <f>++Tabla4[[#This Row],[Precio Unitario Neto]]-Tabla4[[#This Row],[20.85%]]</f>
        <v>8133.5819063999998</v>
      </c>
      <c r="M7401" s="282" t="e">
        <f>(INDEX(Tabla6[#All],MATCH(Tabla4[[#This Row],[Producto]],Tabla6[[#All],[PRODUCTO]],0),MATCH(Tabla4[[#This Row],[Mes]],Tabla6[#Headers],0)))*(1+Catalogos!$L$2)</f>
        <v>#N/A</v>
      </c>
      <c r="N7401" s="283" t="e">
        <f>+(Tabla4[[#This Row],[Precio Descontado]]-Tabla4[[#This Row],[Precio Base]])*Tabla4[[#This Row],[Cantidad]]</f>
        <v>#N/A</v>
      </c>
      <c r="O7401" s="284" t="e">
        <f>++Tabla4[[#This Row],[Utilidad Total]]/Tabla4[[#This Row],[Total]]</f>
        <v>#N/A</v>
      </c>
      <c r="P7401" s="282">
        <f>++Tabla4[[#This Row],[Precio Descontado]]*Tabla4[[#This Row],[Cantidad]]</f>
        <v>8133.5819063999998</v>
      </c>
      <c r="Q7401" s="282" t="e">
        <f>(INDEX(Tabla6[#All],MATCH(Tabla4[[#This Row],[Producto]],Tabla6[[#All],[PRODUCTO]],0),MATCH(Tabla4[[#This Row],[Mes]],Tabla6[#Headers],0)))</f>
        <v>#N/A</v>
      </c>
      <c r="R7401" s="282" t="e">
        <f>++Tabla4[[#This Row],[Precio Unitario Neto]]-Tabla4[[#This Row],[20.85%]]-Tabla4[[#This Row],[Costo]]</f>
        <v>#N/A</v>
      </c>
      <c r="S7401" s="282" t="e">
        <f>++Tabla4[[#This Row],[U. Bruta Uni]]*Tabla4[[#This Row],[Cantidad]]</f>
        <v>#N/A</v>
      </c>
      <c r="T7401" s="369" t="str">
        <f>VLOOKUP(Tabla4[[#This Row],[Producto]],Tabla6[#All],14,FALSE)</f>
        <v>Termico Solar</v>
      </c>
      <c r="U7401" s="284" t="e">
        <f>(IF(Tabla4[[#This Row],[Familia]]="termico solar",Tabla4[[#This Row],[Utilidad Total]]*6%,Tabla4[[#This Row],[Utilidad Total]]*11.5%))/Tabla4[[#This Row],[Total]]</f>
        <v>#N/A</v>
      </c>
      <c r="V7401" s="282" t="e">
        <f>+Tabla4[[#This Row],[Comisión Calculada]]*Tabla4[[#This Row],[Total]]</f>
        <v>#N/A</v>
      </c>
    </row>
    <row r="7402" spans="1:22" x14ac:dyDescent="0.25">
      <c r="A7402" s="100">
        <v>46006</v>
      </c>
      <c r="B7402" t="str">
        <f>TEXT(A7402, "mmmm")</f>
        <v>December</v>
      </c>
      <c r="C7402" s="46" t="s">
        <v>280</v>
      </c>
      <c r="F7402" s="366" t="s">
        <v>3736</v>
      </c>
      <c r="G7402" s="46" t="s">
        <v>17</v>
      </c>
      <c r="H7402" s="46">
        <v>1</v>
      </c>
      <c r="I7402" s="51">
        <v>4622.28</v>
      </c>
      <c r="J7402" s="281">
        <f>++Tabla4[[#This Row],[Precio Bruto]]*1.16</f>
        <v>5361.8447999999989</v>
      </c>
      <c r="K7402" s="281">
        <f>+Tabla4[[#This Row],[Precio Unitario Neto]]*Tabla4[[#Headers],[20.85%]]</f>
        <v>1117.9446407999997</v>
      </c>
      <c r="L7402" s="282">
        <f>++Tabla4[[#This Row],[Precio Unitario Neto]]-Tabla4[[#This Row],[20.85%]]</f>
        <v>4243.9001591999995</v>
      </c>
      <c r="M7402" s="282" t="e">
        <f>(INDEX(Tabla6[#All],MATCH(Tabla4[[#This Row],[Producto]],Tabla6[[#All],[PRODUCTO]],0),MATCH(Tabla4[[#This Row],[Mes]],Tabla6[#Headers],0)))*(1+Catalogos!$L$2)</f>
        <v>#N/A</v>
      </c>
      <c r="N7402" s="283" t="e">
        <f>+(Tabla4[[#This Row],[Precio Descontado]]-Tabla4[[#This Row],[Precio Base]])*Tabla4[[#This Row],[Cantidad]]</f>
        <v>#N/A</v>
      </c>
      <c r="O7402" s="284" t="e">
        <f>++Tabla4[[#This Row],[Utilidad Total]]/Tabla4[[#This Row],[Total]]</f>
        <v>#N/A</v>
      </c>
      <c r="P7402" s="282">
        <f>++Tabla4[[#This Row],[Precio Descontado]]*Tabla4[[#This Row],[Cantidad]]</f>
        <v>4243.9001591999995</v>
      </c>
      <c r="Q7402" s="282" t="e">
        <f>(INDEX(Tabla6[#All],MATCH(Tabla4[[#This Row],[Producto]],Tabla6[[#All],[PRODUCTO]],0),MATCH(Tabla4[[#This Row],[Mes]],Tabla6[#Headers],0)))</f>
        <v>#N/A</v>
      </c>
      <c r="R7402" s="282" t="e">
        <f>++Tabla4[[#This Row],[Precio Unitario Neto]]-Tabla4[[#This Row],[20.85%]]-Tabla4[[#This Row],[Costo]]</f>
        <v>#N/A</v>
      </c>
      <c r="S7402" s="282" t="e">
        <f>++Tabla4[[#This Row],[U. Bruta Uni]]*Tabla4[[#This Row],[Cantidad]]</f>
        <v>#N/A</v>
      </c>
      <c r="T7402" s="369" t="str">
        <f>VLOOKUP(Tabla4[[#This Row],[Producto]],Tabla6[#All],14,FALSE)</f>
        <v>Termico Solar</v>
      </c>
      <c r="U7402" s="284" t="e">
        <f>(IF(Tabla4[[#This Row],[Familia]]="termico solar",Tabla4[[#This Row],[Utilidad Total]]*6%,Tabla4[[#This Row],[Utilidad Total]]*11.5%))/Tabla4[[#This Row],[Total]]</f>
        <v>#N/A</v>
      </c>
      <c r="V7402" s="282" t="e">
        <f>+Tabla4[[#This Row],[Comisión Calculada]]*Tabla4[[#This Row],[Total]]</f>
        <v>#N/A</v>
      </c>
    </row>
    <row r="7403" spans="1:22" x14ac:dyDescent="0.25">
      <c r="A7403" s="100">
        <v>46006</v>
      </c>
      <c r="B7403" t="str">
        <f t="shared" ref="B7403:B7404" si="646">TEXT(A7403, "mmmm")</f>
        <v>December</v>
      </c>
      <c r="C7403" s="46" t="s">
        <v>280</v>
      </c>
      <c r="F7403" s="366" t="s">
        <v>3737</v>
      </c>
      <c r="G7403" s="46" t="s">
        <v>83</v>
      </c>
      <c r="H7403" s="46">
        <v>1</v>
      </c>
      <c r="I7403" s="51">
        <v>8858.76</v>
      </c>
      <c r="J7403" s="281">
        <f>++Tabla4[[#This Row],[Precio Bruto]]*1.16</f>
        <v>10276.161599999999</v>
      </c>
      <c r="K7403" s="281">
        <f>+Tabla4[[#This Row],[Precio Unitario Neto]]*Tabla4[[#Headers],[20.85%]]</f>
        <v>2142.5796935999997</v>
      </c>
      <c r="L7403" s="282">
        <f>++Tabla4[[#This Row],[Precio Unitario Neto]]-Tabla4[[#This Row],[20.85%]]</f>
        <v>8133.5819063999998</v>
      </c>
      <c r="M7403" s="282" t="e">
        <f>(INDEX(Tabla6[#All],MATCH(Tabla4[[#This Row],[Producto]],Tabla6[[#All],[PRODUCTO]],0),MATCH(Tabla4[[#This Row],[Mes]],Tabla6[#Headers],0)))*(1+Catalogos!$L$2)</f>
        <v>#N/A</v>
      </c>
      <c r="N7403" s="283" t="e">
        <f>+(Tabla4[[#This Row],[Precio Descontado]]-Tabla4[[#This Row],[Precio Base]])*Tabla4[[#This Row],[Cantidad]]</f>
        <v>#N/A</v>
      </c>
      <c r="O7403" s="284" t="e">
        <f>++Tabla4[[#This Row],[Utilidad Total]]/Tabla4[[#This Row],[Total]]</f>
        <v>#N/A</v>
      </c>
      <c r="P7403" s="282">
        <f>++Tabla4[[#This Row],[Precio Descontado]]*Tabla4[[#This Row],[Cantidad]]</f>
        <v>8133.5819063999998</v>
      </c>
      <c r="Q7403" s="282" t="e">
        <f>(INDEX(Tabla6[#All],MATCH(Tabla4[[#This Row],[Producto]],Tabla6[[#All],[PRODUCTO]],0),MATCH(Tabla4[[#This Row],[Mes]],Tabla6[#Headers],0)))</f>
        <v>#N/A</v>
      </c>
      <c r="R7403" s="282" t="e">
        <f>++Tabla4[[#This Row],[Precio Unitario Neto]]-Tabla4[[#This Row],[20.85%]]-Tabla4[[#This Row],[Costo]]</f>
        <v>#N/A</v>
      </c>
      <c r="S7403" s="282" t="e">
        <f>++Tabla4[[#This Row],[U. Bruta Uni]]*Tabla4[[#This Row],[Cantidad]]</f>
        <v>#N/A</v>
      </c>
      <c r="T7403" s="369" t="str">
        <f>VLOOKUP(Tabla4[[#This Row],[Producto]],Tabla6[#All],14,FALSE)</f>
        <v>Termico Solar</v>
      </c>
      <c r="U7403" s="284" t="e">
        <f>(IF(Tabla4[[#This Row],[Familia]]="termico solar",Tabla4[[#This Row],[Utilidad Total]]*6%,Tabla4[[#This Row],[Utilidad Total]]*11.5%))/Tabla4[[#This Row],[Total]]</f>
        <v>#N/A</v>
      </c>
      <c r="V7403" s="282" t="e">
        <f>+Tabla4[[#This Row],[Comisión Calculada]]*Tabla4[[#This Row],[Total]]</f>
        <v>#N/A</v>
      </c>
    </row>
    <row r="7404" spans="1:22" x14ac:dyDescent="0.25">
      <c r="A7404" s="100">
        <v>46006</v>
      </c>
      <c r="B7404" t="str">
        <f t="shared" si="646"/>
        <v>December</v>
      </c>
      <c r="C7404" s="46" t="s">
        <v>280</v>
      </c>
      <c r="F7404" s="366" t="s">
        <v>3737</v>
      </c>
      <c r="G7404" s="46" t="s">
        <v>208</v>
      </c>
      <c r="H7404" s="46">
        <v>1</v>
      </c>
      <c r="I7404" s="51">
        <v>189.75</v>
      </c>
      <c r="J7404" s="281">
        <f>++Tabla4[[#This Row],[Precio Bruto]]*1.16</f>
        <v>220.10999999999999</v>
      </c>
      <c r="K7404" s="281">
        <f>+Tabla4[[#This Row],[Precio Unitario Neto]]*Tabla4[[#Headers],[20.85%]]</f>
        <v>45.892934999999994</v>
      </c>
      <c r="L7404" s="282">
        <f>++Tabla4[[#This Row],[Precio Unitario Neto]]-Tabla4[[#This Row],[20.85%]]</f>
        <v>174.21706499999999</v>
      </c>
      <c r="M7404" s="282" t="e">
        <f>(INDEX(Tabla6[#All],MATCH(Tabla4[[#This Row],[Producto]],Tabla6[[#All],[PRODUCTO]],0),MATCH(Tabla4[[#This Row],[Mes]],Tabla6[#Headers],0)))*(1+Catalogos!$L$2)</f>
        <v>#N/A</v>
      </c>
      <c r="N7404" s="283" t="e">
        <f>+(Tabla4[[#This Row],[Precio Descontado]]-Tabla4[[#This Row],[Precio Base]])*Tabla4[[#This Row],[Cantidad]]</f>
        <v>#N/A</v>
      </c>
      <c r="O7404" s="284" t="e">
        <f>++Tabla4[[#This Row],[Utilidad Total]]/Tabla4[[#This Row],[Total]]</f>
        <v>#N/A</v>
      </c>
      <c r="P7404" s="282">
        <f>++Tabla4[[#This Row],[Precio Descontado]]*Tabla4[[#This Row],[Cantidad]]</f>
        <v>174.21706499999999</v>
      </c>
      <c r="Q7404" s="282" t="e">
        <f>(INDEX(Tabla6[#All],MATCH(Tabla4[[#This Row],[Producto]],Tabla6[[#All],[PRODUCTO]],0),MATCH(Tabla4[[#This Row],[Mes]],Tabla6[#Headers],0)))</f>
        <v>#N/A</v>
      </c>
      <c r="R7404" s="282" t="e">
        <f>++Tabla4[[#This Row],[Precio Unitario Neto]]-Tabla4[[#This Row],[20.85%]]-Tabla4[[#This Row],[Costo]]</f>
        <v>#N/A</v>
      </c>
      <c r="S7404" s="282" t="e">
        <f>++Tabla4[[#This Row],[U. Bruta Uni]]*Tabla4[[#This Row],[Cantidad]]</f>
        <v>#N/A</v>
      </c>
      <c r="T7404" s="369" t="str">
        <f>VLOOKUP(Tabla4[[#This Row],[Producto]],Tabla6[#All],14,FALSE)</f>
        <v>Termico Solar</v>
      </c>
      <c r="U7404" s="284" t="e">
        <f>(IF(Tabla4[[#This Row],[Familia]]="termico solar",Tabla4[[#This Row],[Utilidad Total]]*6%,Tabla4[[#This Row],[Utilidad Total]]*11.5%))/Tabla4[[#This Row],[Total]]</f>
        <v>#N/A</v>
      </c>
      <c r="V7404" s="282" t="e">
        <f>+Tabla4[[#This Row],[Comisión Calculada]]*Tabla4[[#This Row],[Total]]</f>
        <v>#N/A</v>
      </c>
    </row>
    <row r="7405" spans="1:22" x14ac:dyDescent="0.25">
      <c r="A7405" s="100">
        <v>46006</v>
      </c>
      <c r="B7405" t="str">
        <f>TEXT(A7405, "mmmm")</f>
        <v>December</v>
      </c>
      <c r="C7405" s="46" t="s">
        <v>280</v>
      </c>
      <c r="F7405" s="366" t="s">
        <v>3738</v>
      </c>
      <c r="G7405" s="46" t="s">
        <v>208</v>
      </c>
      <c r="H7405" s="46">
        <v>2</v>
      </c>
      <c r="I7405" s="51">
        <v>189.75</v>
      </c>
      <c r="J7405" s="281">
        <f>++Tabla4[[#This Row],[Precio Bruto]]*1.16</f>
        <v>220.10999999999999</v>
      </c>
      <c r="K7405" s="281">
        <f>+Tabla4[[#This Row],[Precio Unitario Neto]]*Tabla4[[#Headers],[20.85%]]</f>
        <v>45.892934999999994</v>
      </c>
      <c r="L7405" s="282">
        <f>++Tabla4[[#This Row],[Precio Unitario Neto]]-Tabla4[[#This Row],[20.85%]]</f>
        <v>174.21706499999999</v>
      </c>
      <c r="M7405" s="282" t="e">
        <f>(INDEX(Tabla6[#All],MATCH(Tabla4[[#This Row],[Producto]],Tabla6[[#All],[PRODUCTO]],0),MATCH(Tabla4[[#This Row],[Mes]],Tabla6[#Headers],0)))*(1+Catalogos!$L$2)</f>
        <v>#N/A</v>
      </c>
      <c r="N7405" s="283" t="e">
        <f>+(Tabla4[[#This Row],[Precio Descontado]]-Tabla4[[#This Row],[Precio Base]])*Tabla4[[#This Row],[Cantidad]]</f>
        <v>#N/A</v>
      </c>
      <c r="O7405" s="284" t="e">
        <f>++Tabla4[[#This Row],[Utilidad Total]]/Tabla4[[#This Row],[Total]]</f>
        <v>#N/A</v>
      </c>
      <c r="P7405" s="282">
        <f>++Tabla4[[#This Row],[Precio Descontado]]*Tabla4[[#This Row],[Cantidad]]</f>
        <v>348.43412999999998</v>
      </c>
      <c r="Q7405" s="282" t="e">
        <f>(INDEX(Tabla6[#All],MATCH(Tabla4[[#This Row],[Producto]],Tabla6[[#All],[PRODUCTO]],0),MATCH(Tabla4[[#This Row],[Mes]],Tabla6[#Headers],0)))</f>
        <v>#N/A</v>
      </c>
      <c r="R7405" s="282" t="e">
        <f>++Tabla4[[#This Row],[Precio Unitario Neto]]-Tabla4[[#This Row],[20.85%]]-Tabla4[[#This Row],[Costo]]</f>
        <v>#N/A</v>
      </c>
      <c r="S7405" s="282" t="e">
        <f>++Tabla4[[#This Row],[U. Bruta Uni]]*Tabla4[[#This Row],[Cantidad]]</f>
        <v>#N/A</v>
      </c>
      <c r="T7405" s="369" t="str">
        <f>VLOOKUP(Tabla4[[#This Row],[Producto]],Tabla6[#All],14,FALSE)</f>
        <v>Termico Solar</v>
      </c>
      <c r="U7405" s="284" t="e">
        <f>(IF(Tabla4[[#This Row],[Familia]]="termico solar",Tabla4[[#This Row],[Utilidad Total]]*6%,Tabla4[[#This Row],[Utilidad Total]]*11.5%))/Tabla4[[#This Row],[Total]]</f>
        <v>#N/A</v>
      </c>
      <c r="V7405" s="282" t="e">
        <f>+Tabla4[[#This Row],[Comisión Calculada]]*Tabla4[[#This Row],[Total]]</f>
        <v>#N/A</v>
      </c>
    </row>
    <row r="7406" spans="1:22" x14ac:dyDescent="0.25">
      <c r="A7406" s="100">
        <v>46006</v>
      </c>
      <c r="B7406" t="str">
        <f>TEXT(A7406, "mmmm")</f>
        <v>December</v>
      </c>
      <c r="C7406" s="46" t="s">
        <v>280</v>
      </c>
      <c r="F7406" s="366" t="s">
        <v>3739</v>
      </c>
      <c r="G7406" s="46" t="s">
        <v>83</v>
      </c>
      <c r="H7406" s="46">
        <v>1</v>
      </c>
      <c r="I7406" s="51">
        <v>8858.76</v>
      </c>
      <c r="J7406" s="281">
        <f>++Tabla4[[#This Row],[Precio Bruto]]*1.16</f>
        <v>10276.161599999999</v>
      </c>
      <c r="K7406" s="281">
        <f>+Tabla4[[#This Row],[Precio Unitario Neto]]*Tabla4[[#Headers],[20.85%]]</f>
        <v>2142.5796935999997</v>
      </c>
      <c r="L7406" s="282">
        <f>++Tabla4[[#This Row],[Precio Unitario Neto]]-Tabla4[[#This Row],[20.85%]]</f>
        <v>8133.5819063999998</v>
      </c>
      <c r="M7406" s="282" t="e">
        <f>(INDEX(Tabla6[#All],MATCH(Tabla4[[#This Row],[Producto]],Tabla6[[#All],[PRODUCTO]],0),MATCH(Tabla4[[#This Row],[Mes]],Tabla6[#Headers],0)))*(1+Catalogos!$L$2)</f>
        <v>#N/A</v>
      </c>
      <c r="N7406" s="283" t="e">
        <f>+(Tabla4[[#This Row],[Precio Descontado]]-Tabla4[[#This Row],[Precio Base]])*Tabla4[[#This Row],[Cantidad]]</f>
        <v>#N/A</v>
      </c>
      <c r="O7406" s="284" t="e">
        <f>++Tabla4[[#This Row],[Utilidad Total]]/Tabla4[[#This Row],[Total]]</f>
        <v>#N/A</v>
      </c>
      <c r="P7406" s="282">
        <f>++Tabla4[[#This Row],[Precio Descontado]]*Tabla4[[#This Row],[Cantidad]]</f>
        <v>8133.5819063999998</v>
      </c>
      <c r="Q7406" s="282" t="e">
        <f>(INDEX(Tabla6[#All],MATCH(Tabla4[[#This Row],[Producto]],Tabla6[[#All],[PRODUCTO]],0),MATCH(Tabla4[[#This Row],[Mes]],Tabla6[#Headers],0)))</f>
        <v>#N/A</v>
      </c>
      <c r="R7406" s="282" t="e">
        <f>++Tabla4[[#This Row],[Precio Unitario Neto]]-Tabla4[[#This Row],[20.85%]]-Tabla4[[#This Row],[Costo]]</f>
        <v>#N/A</v>
      </c>
      <c r="S7406" s="282" t="e">
        <f>++Tabla4[[#This Row],[U. Bruta Uni]]*Tabla4[[#This Row],[Cantidad]]</f>
        <v>#N/A</v>
      </c>
      <c r="T7406" s="369" t="str">
        <f>VLOOKUP(Tabla4[[#This Row],[Producto]],Tabla6[#All],14,FALSE)</f>
        <v>Termico Solar</v>
      </c>
      <c r="U7406" s="284" t="e">
        <f>(IF(Tabla4[[#This Row],[Familia]]="termico solar",Tabla4[[#This Row],[Utilidad Total]]*6%,Tabla4[[#This Row],[Utilidad Total]]*11.5%))/Tabla4[[#This Row],[Total]]</f>
        <v>#N/A</v>
      </c>
      <c r="V7406" s="282" t="e">
        <f>+Tabla4[[#This Row],[Comisión Calculada]]*Tabla4[[#This Row],[Total]]</f>
        <v>#N/A</v>
      </c>
    </row>
    <row r="7407" spans="1:22" x14ac:dyDescent="0.25">
      <c r="A7407" s="100">
        <v>46006</v>
      </c>
      <c r="B7407" t="str">
        <f t="shared" ref="B7407:B7408" si="647">TEXT(A7407, "mmmm")</f>
        <v>December</v>
      </c>
      <c r="C7407" s="46" t="s">
        <v>280</v>
      </c>
      <c r="F7407" s="366" t="s">
        <v>3740</v>
      </c>
      <c r="G7407" s="46" t="s">
        <v>17</v>
      </c>
      <c r="H7407" s="46">
        <v>1</v>
      </c>
      <c r="I7407" s="51">
        <v>4622.28</v>
      </c>
      <c r="J7407" s="281">
        <f>++Tabla4[[#This Row],[Precio Bruto]]*1.16</f>
        <v>5361.8447999999989</v>
      </c>
      <c r="K7407" s="281">
        <f>+Tabla4[[#This Row],[Precio Unitario Neto]]*Tabla4[[#Headers],[20.85%]]</f>
        <v>1117.9446407999997</v>
      </c>
      <c r="L7407" s="282">
        <f>++Tabla4[[#This Row],[Precio Unitario Neto]]-Tabla4[[#This Row],[20.85%]]</f>
        <v>4243.9001591999995</v>
      </c>
      <c r="M7407" s="282" t="e">
        <f>(INDEX(Tabla6[#All],MATCH(Tabla4[[#This Row],[Producto]],Tabla6[[#All],[PRODUCTO]],0),MATCH(Tabla4[[#This Row],[Mes]],Tabla6[#Headers],0)))*(1+Catalogos!$L$2)</f>
        <v>#N/A</v>
      </c>
      <c r="N7407" s="283" t="e">
        <f>+(Tabla4[[#This Row],[Precio Descontado]]-Tabla4[[#This Row],[Precio Base]])*Tabla4[[#This Row],[Cantidad]]</f>
        <v>#N/A</v>
      </c>
      <c r="O7407" s="284" t="e">
        <f>++Tabla4[[#This Row],[Utilidad Total]]/Tabla4[[#This Row],[Total]]</f>
        <v>#N/A</v>
      </c>
      <c r="P7407" s="282">
        <f>++Tabla4[[#This Row],[Precio Descontado]]*Tabla4[[#This Row],[Cantidad]]</f>
        <v>4243.9001591999995</v>
      </c>
      <c r="Q7407" s="282" t="e">
        <f>(INDEX(Tabla6[#All],MATCH(Tabla4[[#This Row],[Producto]],Tabla6[[#All],[PRODUCTO]],0),MATCH(Tabla4[[#This Row],[Mes]],Tabla6[#Headers],0)))</f>
        <v>#N/A</v>
      </c>
      <c r="R7407" s="282" t="e">
        <f>++Tabla4[[#This Row],[Precio Unitario Neto]]-Tabla4[[#This Row],[20.85%]]-Tabla4[[#This Row],[Costo]]</f>
        <v>#N/A</v>
      </c>
      <c r="S7407" s="282" t="e">
        <f>++Tabla4[[#This Row],[U. Bruta Uni]]*Tabla4[[#This Row],[Cantidad]]</f>
        <v>#N/A</v>
      </c>
      <c r="T7407" s="369" t="str">
        <f>VLOOKUP(Tabla4[[#This Row],[Producto]],Tabla6[#All],14,FALSE)</f>
        <v>Termico Solar</v>
      </c>
      <c r="U7407" s="284" t="e">
        <f>(IF(Tabla4[[#This Row],[Familia]]="termico solar",Tabla4[[#This Row],[Utilidad Total]]*6%,Tabla4[[#This Row],[Utilidad Total]]*11.5%))/Tabla4[[#This Row],[Total]]</f>
        <v>#N/A</v>
      </c>
      <c r="V7407" s="282" t="e">
        <f>+Tabla4[[#This Row],[Comisión Calculada]]*Tabla4[[#This Row],[Total]]</f>
        <v>#N/A</v>
      </c>
    </row>
    <row r="7408" spans="1:22" x14ac:dyDescent="0.25">
      <c r="A7408" s="100">
        <v>46006</v>
      </c>
      <c r="B7408" t="str">
        <f t="shared" si="647"/>
        <v>December</v>
      </c>
      <c r="C7408" s="46" t="s">
        <v>280</v>
      </c>
      <c r="F7408" s="366" t="s">
        <v>3740</v>
      </c>
      <c r="G7408" s="46" t="s">
        <v>16</v>
      </c>
      <c r="H7408" s="46">
        <v>1</v>
      </c>
      <c r="I7408" s="51">
        <v>4103.8500000000004</v>
      </c>
      <c r="J7408" s="281">
        <f>++Tabla4[[#This Row],[Precio Bruto]]*1.16</f>
        <v>4760.4660000000003</v>
      </c>
      <c r="K7408" s="281">
        <f>+Tabla4[[#This Row],[Precio Unitario Neto]]*Tabla4[[#Headers],[20.85%]]</f>
        <v>992.55716100000006</v>
      </c>
      <c r="L7408" s="282">
        <f>++Tabla4[[#This Row],[Precio Unitario Neto]]-Tabla4[[#This Row],[20.85%]]</f>
        <v>3767.9088390000002</v>
      </c>
      <c r="M7408" s="282" t="e">
        <f>(INDEX(Tabla6[#All],MATCH(Tabla4[[#This Row],[Producto]],Tabla6[[#All],[PRODUCTO]],0),MATCH(Tabla4[[#This Row],[Mes]],Tabla6[#Headers],0)))*(1+Catalogos!$L$2)</f>
        <v>#N/A</v>
      </c>
      <c r="N7408" s="283" t="e">
        <f>+(Tabla4[[#This Row],[Precio Descontado]]-Tabla4[[#This Row],[Precio Base]])*Tabla4[[#This Row],[Cantidad]]</f>
        <v>#N/A</v>
      </c>
      <c r="O7408" s="284" t="e">
        <f>++Tabla4[[#This Row],[Utilidad Total]]/Tabla4[[#This Row],[Total]]</f>
        <v>#N/A</v>
      </c>
      <c r="P7408" s="282">
        <f>++Tabla4[[#This Row],[Precio Descontado]]*Tabla4[[#This Row],[Cantidad]]</f>
        <v>3767.9088390000002</v>
      </c>
      <c r="Q7408" s="282" t="e">
        <f>(INDEX(Tabla6[#All],MATCH(Tabla4[[#This Row],[Producto]],Tabla6[[#All],[PRODUCTO]],0),MATCH(Tabla4[[#This Row],[Mes]],Tabla6[#Headers],0)))</f>
        <v>#N/A</v>
      </c>
      <c r="R7408" s="282" t="e">
        <f>++Tabla4[[#This Row],[Precio Unitario Neto]]-Tabla4[[#This Row],[20.85%]]-Tabla4[[#This Row],[Costo]]</f>
        <v>#N/A</v>
      </c>
      <c r="S7408" s="282" t="e">
        <f>++Tabla4[[#This Row],[U. Bruta Uni]]*Tabla4[[#This Row],[Cantidad]]</f>
        <v>#N/A</v>
      </c>
      <c r="T7408" s="369" t="str">
        <f>VLOOKUP(Tabla4[[#This Row],[Producto]],Tabla6[#All],14,FALSE)</f>
        <v>Termico Solar</v>
      </c>
      <c r="U7408" s="284" t="e">
        <f>(IF(Tabla4[[#This Row],[Familia]]="termico solar",Tabla4[[#This Row],[Utilidad Total]]*6%,Tabla4[[#This Row],[Utilidad Total]]*11.5%))/Tabla4[[#This Row],[Total]]</f>
        <v>#N/A</v>
      </c>
      <c r="V7408" s="282" t="e">
        <f>+Tabla4[[#This Row],[Comisión Calculada]]*Tabla4[[#This Row],[Total]]</f>
        <v>#N/A</v>
      </c>
    </row>
    <row r="7409" spans="1:22" x14ac:dyDescent="0.25">
      <c r="A7409" s="100">
        <v>46006</v>
      </c>
      <c r="B7409" t="str">
        <f>TEXT(A7409, "mmmm")</f>
        <v>December</v>
      </c>
      <c r="C7409" s="46" t="s">
        <v>280</v>
      </c>
      <c r="F7409" s="366" t="s">
        <v>3741</v>
      </c>
      <c r="G7409" s="46" t="s">
        <v>208</v>
      </c>
      <c r="H7409" s="46">
        <v>1</v>
      </c>
      <c r="I7409" s="51">
        <v>189.75</v>
      </c>
      <c r="J7409" s="281">
        <f>++Tabla4[[#This Row],[Precio Bruto]]*1.16</f>
        <v>220.10999999999999</v>
      </c>
      <c r="K7409" s="281">
        <f>+Tabla4[[#This Row],[Precio Unitario Neto]]*Tabla4[[#Headers],[20.85%]]</f>
        <v>45.892934999999994</v>
      </c>
      <c r="L7409" s="282">
        <f>++Tabla4[[#This Row],[Precio Unitario Neto]]-Tabla4[[#This Row],[20.85%]]</f>
        <v>174.21706499999999</v>
      </c>
      <c r="M7409" s="282" t="e">
        <f>(INDEX(Tabla6[#All],MATCH(Tabla4[[#This Row],[Producto]],Tabla6[[#All],[PRODUCTO]],0),MATCH(Tabla4[[#This Row],[Mes]],Tabla6[#Headers],0)))*(1+Catalogos!$L$2)</f>
        <v>#N/A</v>
      </c>
      <c r="N7409" s="283" t="e">
        <f>+(Tabla4[[#This Row],[Precio Descontado]]-Tabla4[[#This Row],[Precio Base]])*Tabla4[[#This Row],[Cantidad]]</f>
        <v>#N/A</v>
      </c>
      <c r="O7409" s="284" t="e">
        <f>++Tabla4[[#This Row],[Utilidad Total]]/Tabla4[[#This Row],[Total]]</f>
        <v>#N/A</v>
      </c>
      <c r="P7409" s="282">
        <f>++Tabla4[[#This Row],[Precio Descontado]]*Tabla4[[#This Row],[Cantidad]]</f>
        <v>174.21706499999999</v>
      </c>
      <c r="Q7409" s="282" t="e">
        <f>(INDEX(Tabla6[#All],MATCH(Tabla4[[#This Row],[Producto]],Tabla6[[#All],[PRODUCTO]],0),MATCH(Tabla4[[#This Row],[Mes]],Tabla6[#Headers],0)))</f>
        <v>#N/A</v>
      </c>
      <c r="R7409" s="282" t="e">
        <f>++Tabla4[[#This Row],[Precio Unitario Neto]]-Tabla4[[#This Row],[20.85%]]-Tabla4[[#This Row],[Costo]]</f>
        <v>#N/A</v>
      </c>
      <c r="S7409" s="282" t="e">
        <f>++Tabla4[[#This Row],[U. Bruta Uni]]*Tabla4[[#This Row],[Cantidad]]</f>
        <v>#N/A</v>
      </c>
      <c r="T7409" s="369" t="str">
        <f>VLOOKUP(Tabla4[[#This Row],[Producto]],Tabla6[#All],14,FALSE)</f>
        <v>Termico Solar</v>
      </c>
      <c r="U7409" s="284" t="e">
        <f>(IF(Tabla4[[#This Row],[Familia]]="termico solar",Tabla4[[#This Row],[Utilidad Total]]*6%,Tabla4[[#This Row],[Utilidad Total]]*11.5%))/Tabla4[[#This Row],[Total]]</f>
        <v>#N/A</v>
      </c>
      <c r="V7409" s="282" t="e">
        <f>+Tabla4[[#This Row],[Comisión Calculada]]*Tabla4[[#This Row],[Total]]</f>
        <v>#N/A</v>
      </c>
    </row>
    <row r="7410" spans="1:22" x14ac:dyDescent="0.25">
      <c r="A7410" s="100">
        <v>46006</v>
      </c>
      <c r="B7410" t="str">
        <f>TEXT(A7410, "mmmm")</f>
        <v>December</v>
      </c>
      <c r="C7410" s="46" t="s">
        <v>280</v>
      </c>
      <c r="F7410" s="366" t="s">
        <v>3742</v>
      </c>
      <c r="G7410" s="46" t="s">
        <v>18</v>
      </c>
      <c r="H7410" s="46">
        <v>3</v>
      </c>
      <c r="I7410" s="51">
        <v>5367.6500000000005</v>
      </c>
      <c r="J7410" s="281">
        <f>++Tabla4[[#This Row],[Precio Bruto]]*1.16</f>
        <v>6226.4740000000002</v>
      </c>
      <c r="K7410" s="281">
        <f>+Tabla4[[#This Row],[Precio Unitario Neto]]*Tabla4[[#Headers],[20.85%]]</f>
        <v>1298.2198289999999</v>
      </c>
      <c r="L7410" s="282">
        <f>++Tabla4[[#This Row],[Precio Unitario Neto]]-Tabla4[[#This Row],[20.85%]]</f>
        <v>4928.2541710000005</v>
      </c>
      <c r="M7410" s="282" t="e">
        <f>(INDEX(Tabla6[#All],MATCH(Tabla4[[#This Row],[Producto]],Tabla6[[#All],[PRODUCTO]],0),MATCH(Tabla4[[#This Row],[Mes]],Tabla6[#Headers],0)))*(1+Catalogos!$L$2)</f>
        <v>#N/A</v>
      </c>
      <c r="N7410" s="283" t="e">
        <f>+(Tabla4[[#This Row],[Precio Descontado]]-Tabla4[[#This Row],[Precio Base]])*Tabla4[[#This Row],[Cantidad]]</f>
        <v>#N/A</v>
      </c>
      <c r="O7410" s="284" t="e">
        <f>++Tabla4[[#This Row],[Utilidad Total]]/Tabla4[[#This Row],[Total]]</f>
        <v>#N/A</v>
      </c>
      <c r="P7410" s="282">
        <f>++Tabla4[[#This Row],[Precio Descontado]]*Tabla4[[#This Row],[Cantidad]]</f>
        <v>14784.762513000001</v>
      </c>
      <c r="Q7410" s="282" t="e">
        <f>(INDEX(Tabla6[#All],MATCH(Tabla4[[#This Row],[Producto]],Tabla6[[#All],[PRODUCTO]],0),MATCH(Tabla4[[#This Row],[Mes]],Tabla6[#Headers],0)))</f>
        <v>#N/A</v>
      </c>
      <c r="R7410" s="282" t="e">
        <f>++Tabla4[[#This Row],[Precio Unitario Neto]]-Tabla4[[#This Row],[20.85%]]-Tabla4[[#This Row],[Costo]]</f>
        <v>#N/A</v>
      </c>
      <c r="S7410" s="282" t="e">
        <f>++Tabla4[[#This Row],[U. Bruta Uni]]*Tabla4[[#This Row],[Cantidad]]</f>
        <v>#N/A</v>
      </c>
      <c r="T7410" s="369" t="str">
        <f>VLOOKUP(Tabla4[[#This Row],[Producto]],Tabla6[#All],14,FALSE)</f>
        <v>Termico Solar</v>
      </c>
      <c r="U7410" s="284" t="e">
        <f>(IF(Tabla4[[#This Row],[Familia]]="termico solar",Tabla4[[#This Row],[Utilidad Total]]*6%,Tabla4[[#This Row],[Utilidad Total]]*11.5%))/Tabla4[[#This Row],[Total]]</f>
        <v>#N/A</v>
      </c>
      <c r="V7410" s="282" t="e">
        <f>+Tabla4[[#This Row],[Comisión Calculada]]*Tabla4[[#This Row],[Total]]</f>
        <v>#N/A</v>
      </c>
    </row>
    <row r="7411" spans="1:22" x14ac:dyDescent="0.25">
      <c r="A7411" s="100">
        <v>46006</v>
      </c>
      <c r="B7411" t="str">
        <f>TEXT(A7411, "mmmm")</f>
        <v>December</v>
      </c>
      <c r="C7411" s="46" t="s">
        <v>280</v>
      </c>
      <c r="F7411" s="366" t="s">
        <v>3743</v>
      </c>
      <c r="G7411" s="46" t="s">
        <v>16</v>
      </c>
      <c r="H7411" s="46">
        <v>3</v>
      </c>
      <c r="I7411" s="51">
        <v>4103.8499999999995</v>
      </c>
      <c r="J7411" s="281">
        <f>++Tabla4[[#This Row],[Precio Bruto]]*1.16</f>
        <v>4760.4659999999994</v>
      </c>
      <c r="K7411" s="281">
        <f>+Tabla4[[#This Row],[Precio Unitario Neto]]*Tabla4[[#Headers],[20.85%]]</f>
        <v>992.55716099999984</v>
      </c>
      <c r="L7411" s="282">
        <f>++Tabla4[[#This Row],[Precio Unitario Neto]]-Tabla4[[#This Row],[20.85%]]</f>
        <v>3767.9088389999997</v>
      </c>
      <c r="M7411" s="282" t="e">
        <f>(INDEX(Tabla6[#All],MATCH(Tabla4[[#This Row],[Producto]],Tabla6[[#All],[PRODUCTO]],0),MATCH(Tabla4[[#This Row],[Mes]],Tabla6[#Headers],0)))*(1+Catalogos!$L$2)</f>
        <v>#N/A</v>
      </c>
      <c r="N7411" s="283" t="e">
        <f>+(Tabla4[[#This Row],[Precio Descontado]]-Tabla4[[#This Row],[Precio Base]])*Tabla4[[#This Row],[Cantidad]]</f>
        <v>#N/A</v>
      </c>
      <c r="O7411" s="284" t="e">
        <f>++Tabla4[[#This Row],[Utilidad Total]]/Tabla4[[#This Row],[Total]]</f>
        <v>#N/A</v>
      </c>
      <c r="P7411" s="282">
        <f>++Tabla4[[#This Row],[Precio Descontado]]*Tabla4[[#This Row],[Cantidad]]</f>
        <v>11303.726516999999</v>
      </c>
      <c r="Q7411" s="282" t="e">
        <f>(INDEX(Tabla6[#All],MATCH(Tabla4[[#This Row],[Producto]],Tabla6[[#All],[PRODUCTO]],0),MATCH(Tabla4[[#This Row],[Mes]],Tabla6[#Headers],0)))</f>
        <v>#N/A</v>
      </c>
      <c r="R7411" s="282" t="e">
        <f>++Tabla4[[#This Row],[Precio Unitario Neto]]-Tabla4[[#This Row],[20.85%]]-Tabla4[[#This Row],[Costo]]</f>
        <v>#N/A</v>
      </c>
      <c r="S7411" s="282" t="e">
        <f>++Tabla4[[#This Row],[U. Bruta Uni]]*Tabla4[[#This Row],[Cantidad]]</f>
        <v>#N/A</v>
      </c>
      <c r="T7411" s="369" t="str">
        <f>VLOOKUP(Tabla4[[#This Row],[Producto]],Tabla6[#All],14,FALSE)</f>
        <v>Termico Solar</v>
      </c>
      <c r="U7411" s="284" t="e">
        <f>(IF(Tabla4[[#This Row],[Familia]]="termico solar",Tabla4[[#This Row],[Utilidad Total]]*6%,Tabla4[[#This Row],[Utilidad Total]]*11.5%))/Tabla4[[#This Row],[Total]]</f>
        <v>#N/A</v>
      </c>
      <c r="V7411" s="282" t="e">
        <f>+Tabla4[[#This Row],[Comisión Calculada]]*Tabla4[[#This Row],[Total]]</f>
        <v>#N/A</v>
      </c>
    </row>
    <row r="7412" spans="1:22" x14ac:dyDescent="0.25">
      <c r="A7412" s="100">
        <v>46006</v>
      </c>
      <c r="B7412" t="str">
        <f t="shared" ref="B7412:B7413" si="648">TEXT(A7412, "mmmm")</f>
        <v>December</v>
      </c>
      <c r="C7412" s="46" t="s">
        <v>280</v>
      </c>
      <c r="F7412" s="366" t="s">
        <v>3744</v>
      </c>
      <c r="G7412" s="46" t="s">
        <v>16</v>
      </c>
      <c r="H7412" s="46">
        <v>1</v>
      </c>
      <c r="I7412" s="51">
        <v>4103.8500000000004</v>
      </c>
      <c r="J7412" s="281">
        <f>++Tabla4[[#This Row],[Precio Bruto]]*1.16</f>
        <v>4760.4660000000003</v>
      </c>
      <c r="K7412" s="281">
        <f>+Tabla4[[#This Row],[Precio Unitario Neto]]*Tabla4[[#Headers],[20.85%]]</f>
        <v>992.55716100000006</v>
      </c>
      <c r="L7412" s="282">
        <f>++Tabla4[[#This Row],[Precio Unitario Neto]]-Tabla4[[#This Row],[20.85%]]</f>
        <v>3767.9088390000002</v>
      </c>
      <c r="M7412" s="282" t="e">
        <f>(INDEX(Tabla6[#All],MATCH(Tabla4[[#This Row],[Producto]],Tabla6[[#All],[PRODUCTO]],0),MATCH(Tabla4[[#This Row],[Mes]],Tabla6[#Headers],0)))*(1+Catalogos!$L$2)</f>
        <v>#N/A</v>
      </c>
      <c r="N7412" s="283" t="e">
        <f>+(Tabla4[[#This Row],[Precio Descontado]]-Tabla4[[#This Row],[Precio Base]])*Tabla4[[#This Row],[Cantidad]]</f>
        <v>#N/A</v>
      </c>
      <c r="O7412" s="284" t="e">
        <f>++Tabla4[[#This Row],[Utilidad Total]]/Tabla4[[#This Row],[Total]]</f>
        <v>#N/A</v>
      </c>
      <c r="P7412" s="282">
        <f>++Tabla4[[#This Row],[Precio Descontado]]*Tabla4[[#This Row],[Cantidad]]</f>
        <v>3767.9088390000002</v>
      </c>
      <c r="Q7412" s="282" t="e">
        <f>(INDEX(Tabla6[#All],MATCH(Tabla4[[#This Row],[Producto]],Tabla6[[#All],[PRODUCTO]],0),MATCH(Tabla4[[#This Row],[Mes]],Tabla6[#Headers],0)))</f>
        <v>#N/A</v>
      </c>
      <c r="R7412" s="282" t="e">
        <f>++Tabla4[[#This Row],[Precio Unitario Neto]]-Tabla4[[#This Row],[20.85%]]-Tabla4[[#This Row],[Costo]]</f>
        <v>#N/A</v>
      </c>
      <c r="S7412" s="282" t="e">
        <f>++Tabla4[[#This Row],[U. Bruta Uni]]*Tabla4[[#This Row],[Cantidad]]</f>
        <v>#N/A</v>
      </c>
      <c r="T7412" s="369" t="str">
        <f>VLOOKUP(Tabla4[[#This Row],[Producto]],Tabla6[#All],14,FALSE)</f>
        <v>Termico Solar</v>
      </c>
      <c r="U7412" s="284" t="e">
        <f>(IF(Tabla4[[#This Row],[Familia]]="termico solar",Tabla4[[#This Row],[Utilidad Total]]*6%,Tabla4[[#This Row],[Utilidad Total]]*11.5%))/Tabla4[[#This Row],[Total]]</f>
        <v>#N/A</v>
      </c>
      <c r="V7412" s="282" t="e">
        <f>+Tabla4[[#This Row],[Comisión Calculada]]*Tabla4[[#This Row],[Total]]</f>
        <v>#N/A</v>
      </c>
    </row>
    <row r="7413" spans="1:22" x14ac:dyDescent="0.25">
      <c r="A7413" s="100">
        <v>46006</v>
      </c>
      <c r="B7413" t="str">
        <f t="shared" si="648"/>
        <v>December</v>
      </c>
      <c r="C7413" s="46" t="s">
        <v>280</v>
      </c>
      <c r="F7413" s="366" t="s">
        <v>3744</v>
      </c>
      <c r="G7413" s="46" t="s">
        <v>208</v>
      </c>
      <c r="H7413" s="46">
        <v>8</v>
      </c>
      <c r="I7413" s="51">
        <v>189.75</v>
      </c>
      <c r="J7413" s="281">
        <f>++Tabla4[[#This Row],[Precio Bruto]]*1.16</f>
        <v>220.10999999999999</v>
      </c>
      <c r="K7413" s="281">
        <f>+Tabla4[[#This Row],[Precio Unitario Neto]]*Tabla4[[#Headers],[20.85%]]</f>
        <v>45.892934999999994</v>
      </c>
      <c r="L7413" s="282">
        <f>++Tabla4[[#This Row],[Precio Unitario Neto]]-Tabla4[[#This Row],[20.85%]]</f>
        <v>174.21706499999999</v>
      </c>
      <c r="M7413" s="282" t="e">
        <f>(INDEX(Tabla6[#All],MATCH(Tabla4[[#This Row],[Producto]],Tabla6[[#All],[PRODUCTO]],0),MATCH(Tabla4[[#This Row],[Mes]],Tabla6[#Headers],0)))*(1+Catalogos!$L$2)</f>
        <v>#N/A</v>
      </c>
      <c r="N7413" s="283" t="e">
        <f>+(Tabla4[[#This Row],[Precio Descontado]]-Tabla4[[#This Row],[Precio Base]])*Tabla4[[#This Row],[Cantidad]]</f>
        <v>#N/A</v>
      </c>
      <c r="O7413" s="284" t="e">
        <f>++Tabla4[[#This Row],[Utilidad Total]]/Tabla4[[#This Row],[Total]]</f>
        <v>#N/A</v>
      </c>
      <c r="P7413" s="282">
        <f>++Tabla4[[#This Row],[Precio Descontado]]*Tabla4[[#This Row],[Cantidad]]</f>
        <v>1393.7365199999999</v>
      </c>
      <c r="Q7413" s="282" t="e">
        <f>(INDEX(Tabla6[#All],MATCH(Tabla4[[#This Row],[Producto]],Tabla6[[#All],[PRODUCTO]],0),MATCH(Tabla4[[#This Row],[Mes]],Tabla6[#Headers],0)))</f>
        <v>#N/A</v>
      </c>
      <c r="R7413" s="282" t="e">
        <f>++Tabla4[[#This Row],[Precio Unitario Neto]]-Tabla4[[#This Row],[20.85%]]-Tabla4[[#This Row],[Costo]]</f>
        <v>#N/A</v>
      </c>
      <c r="S7413" s="282" t="e">
        <f>++Tabla4[[#This Row],[U. Bruta Uni]]*Tabla4[[#This Row],[Cantidad]]</f>
        <v>#N/A</v>
      </c>
      <c r="T7413" s="369" t="str">
        <f>VLOOKUP(Tabla4[[#This Row],[Producto]],Tabla6[#All],14,FALSE)</f>
        <v>Termico Solar</v>
      </c>
      <c r="U7413" s="284" t="e">
        <f>(IF(Tabla4[[#This Row],[Familia]]="termico solar",Tabla4[[#This Row],[Utilidad Total]]*6%,Tabla4[[#This Row],[Utilidad Total]]*11.5%))/Tabla4[[#This Row],[Total]]</f>
        <v>#N/A</v>
      </c>
      <c r="V7413" s="282" t="e">
        <f>+Tabla4[[#This Row],[Comisión Calculada]]*Tabla4[[#This Row],[Total]]</f>
        <v>#N/A</v>
      </c>
    </row>
    <row r="7414" spans="1:22" x14ac:dyDescent="0.25">
      <c r="A7414" s="100">
        <v>46006</v>
      </c>
      <c r="B7414" t="str">
        <f t="shared" ref="B7414:B7416" si="649">TEXT(A7414, "mmmm")</f>
        <v>December</v>
      </c>
      <c r="C7414" s="46" t="s">
        <v>280</v>
      </c>
      <c r="F7414" s="366" t="s">
        <v>3745</v>
      </c>
      <c r="G7414" s="46" t="s">
        <v>18</v>
      </c>
      <c r="H7414" s="46">
        <v>1</v>
      </c>
      <c r="I7414" s="51">
        <v>5367.65</v>
      </c>
      <c r="J7414" s="281">
        <f>++Tabla4[[#This Row],[Precio Bruto]]*1.16</f>
        <v>6226.4739999999993</v>
      </c>
      <c r="K7414" s="281">
        <f>+Tabla4[[#This Row],[Precio Unitario Neto]]*Tabla4[[#Headers],[20.85%]]</f>
        <v>1298.2198289999999</v>
      </c>
      <c r="L7414" s="282">
        <f>++Tabla4[[#This Row],[Precio Unitario Neto]]-Tabla4[[#This Row],[20.85%]]</f>
        <v>4928.2541709999996</v>
      </c>
      <c r="M7414" s="282" t="e">
        <f>(INDEX(Tabla6[#All],MATCH(Tabla4[[#This Row],[Producto]],Tabla6[[#All],[PRODUCTO]],0),MATCH(Tabla4[[#This Row],[Mes]],Tabla6[#Headers],0)))*(1+Catalogos!$L$2)</f>
        <v>#N/A</v>
      </c>
      <c r="N7414" s="283" t="e">
        <f>+(Tabla4[[#This Row],[Precio Descontado]]-Tabla4[[#This Row],[Precio Base]])*Tabla4[[#This Row],[Cantidad]]</f>
        <v>#N/A</v>
      </c>
      <c r="O7414" s="284" t="e">
        <f>++Tabla4[[#This Row],[Utilidad Total]]/Tabla4[[#This Row],[Total]]</f>
        <v>#N/A</v>
      </c>
      <c r="P7414" s="282">
        <f>++Tabla4[[#This Row],[Precio Descontado]]*Tabla4[[#This Row],[Cantidad]]</f>
        <v>4928.2541709999996</v>
      </c>
      <c r="Q7414" s="282" t="e">
        <f>(INDEX(Tabla6[#All],MATCH(Tabla4[[#This Row],[Producto]],Tabla6[[#All],[PRODUCTO]],0),MATCH(Tabla4[[#This Row],[Mes]],Tabla6[#Headers],0)))</f>
        <v>#N/A</v>
      </c>
      <c r="R7414" s="282" t="e">
        <f>++Tabla4[[#This Row],[Precio Unitario Neto]]-Tabla4[[#This Row],[20.85%]]-Tabla4[[#This Row],[Costo]]</f>
        <v>#N/A</v>
      </c>
      <c r="S7414" s="282" t="e">
        <f>++Tabla4[[#This Row],[U. Bruta Uni]]*Tabla4[[#This Row],[Cantidad]]</f>
        <v>#N/A</v>
      </c>
      <c r="T7414" s="369" t="str">
        <f>VLOOKUP(Tabla4[[#This Row],[Producto]],Tabla6[#All],14,FALSE)</f>
        <v>Termico Solar</v>
      </c>
      <c r="U7414" s="284" t="e">
        <f>(IF(Tabla4[[#This Row],[Familia]]="termico solar",Tabla4[[#This Row],[Utilidad Total]]*6%,Tabla4[[#This Row],[Utilidad Total]]*11.5%))/Tabla4[[#This Row],[Total]]</f>
        <v>#N/A</v>
      </c>
      <c r="V7414" s="282" t="e">
        <f>+Tabla4[[#This Row],[Comisión Calculada]]*Tabla4[[#This Row],[Total]]</f>
        <v>#N/A</v>
      </c>
    </row>
    <row r="7415" spans="1:22" x14ac:dyDescent="0.25">
      <c r="A7415" s="100">
        <v>46006</v>
      </c>
      <c r="B7415" t="str">
        <f t="shared" si="649"/>
        <v>December</v>
      </c>
      <c r="C7415" s="46" t="s">
        <v>280</v>
      </c>
      <c r="F7415" s="366" t="s">
        <v>3745</v>
      </c>
      <c r="G7415" s="46" t="s">
        <v>16</v>
      </c>
      <c r="H7415" s="46">
        <v>1</v>
      </c>
      <c r="I7415" s="51">
        <v>4103.8500000000004</v>
      </c>
      <c r="J7415" s="281">
        <f>++Tabla4[[#This Row],[Precio Bruto]]*1.16</f>
        <v>4760.4660000000003</v>
      </c>
      <c r="K7415" s="281">
        <f>+Tabla4[[#This Row],[Precio Unitario Neto]]*Tabla4[[#Headers],[20.85%]]</f>
        <v>992.55716100000006</v>
      </c>
      <c r="L7415" s="282">
        <f>++Tabla4[[#This Row],[Precio Unitario Neto]]-Tabla4[[#This Row],[20.85%]]</f>
        <v>3767.9088390000002</v>
      </c>
      <c r="M7415" s="282" t="e">
        <f>(INDEX(Tabla6[#All],MATCH(Tabla4[[#This Row],[Producto]],Tabla6[[#All],[PRODUCTO]],0),MATCH(Tabla4[[#This Row],[Mes]],Tabla6[#Headers],0)))*(1+Catalogos!$L$2)</f>
        <v>#N/A</v>
      </c>
      <c r="N7415" s="283" t="e">
        <f>+(Tabla4[[#This Row],[Precio Descontado]]-Tabla4[[#This Row],[Precio Base]])*Tabla4[[#This Row],[Cantidad]]</f>
        <v>#N/A</v>
      </c>
      <c r="O7415" s="284" t="e">
        <f>++Tabla4[[#This Row],[Utilidad Total]]/Tabla4[[#This Row],[Total]]</f>
        <v>#N/A</v>
      </c>
      <c r="P7415" s="282">
        <f>++Tabla4[[#This Row],[Precio Descontado]]*Tabla4[[#This Row],[Cantidad]]</f>
        <v>3767.9088390000002</v>
      </c>
      <c r="Q7415" s="282" t="e">
        <f>(INDEX(Tabla6[#All],MATCH(Tabla4[[#This Row],[Producto]],Tabla6[[#All],[PRODUCTO]],0),MATCH(Tabla4[[#This Row],[Mes]],Tabla6[#Headers],0)))</f>
        <v>#N/A</v>
      </c>
      <c r="R7415" s="282" t="e">
        <f>++Tabla4[[#This Row],[Precio Unitario Neto]]-Tabla4[[#This Row],[20.85%]]-Tabla4[[#This Row],[Costo]]</f>
        <v>#N/A</v>
      </c>
      <c r="S7415" s="282" t="e">
        <f>++Tabla4[[#This Row],[U. Bruta Uni]]*Tabla4[[#This Row],[Cantidad]]</f>
        <v>#N/A</v>
      </c>
      <c r="T7415" s="369" t="str">
        <f>VLOOKUP(Tabla4[[#This Row],[Producto]],Tabla6[#All],14,FALSE)</f>
        <v>Termico Solar</v>
      </c>
      <c r="U7415" s="284" t="e">
        <f>(IF(Tabla4[[#This Row],[Familia]]="termico solar",Tabla4[[#This Row],[Utilidad Total]]*6%,Tabla4[[#This Row],[Utilidad Total]]*11.5%))/Tabla4[[#This Row],[Total]]</f>
        <v>#N/A</v>
      </c>
      <c r="V7415" s="282" t="e">
        <f>+Tabla4[[#This Row],[Comisión Calculada]]*Tabla4[[#This Row],[Total]]</f>
        <v>#N/A</v>
      </c>
    </row>
    <row r="7416" spans="1:22" x14ac:dyDescent="0.25">
      <c r="A7416" s="100">
        <v>46006</v>
      </c>
      <c r="B7416" t="str">
        <f t="shared" si="649"/>
        <v>December</v>
      </c>
      <c r="C7416" s="46" t="s">
        <v>280</v>
      </c>
      <c r="F7416" s="366" t="s">
        <v>3745</v>
      </c>
      <c r="G7416" s="46" t="s">
        <v>208</v>
      </c>
      <c r="H7416" s="46">
        <v>1</v>
      </c>
      <c r="I7416" s="51">
        <v>189.75</v>
      </c>
      <c r="J7416" s="281">
        <f>++Tabla4[[#This Row],[Precio Bruto]]*1.16</f>
        <v>220.10999999999999</v>
      </c>
      <c r="K7416" s="281">
        <f>+Tabla4[[#This Row],[Precio Unitario Neto]]*Tabla4[[#Headers],[20.85%]]</f>
        <v>45.892934999999994</v>
      </c>
      <c r="L7416" s="282">
        <f>++Tabla4[[#This Row],[Precio Unitario Neto]]-Tabla4[[#This Row],[20.85%]]</f>
        <v>174.21706499999999</v>
      </c>
      <c r="M7416" s="282" t="e">
        <f>(INDEX(Tabla6[#All],MATCH(Tabla4[[#This Row],[Producto]],Tabla6[[#All],[PRODUCTO]],0),MATCH(Tabla4[[#This Row],[Mes]],Tabla6[#Headers],0)))*(1+Catalogos!$L$2)</f>
        <v>#N/A</v>
      </c>
      <c r="N7416" s="283" t="e">
        <f>+(Tabla4[[#This Row],[Precio Descontado]]-Tabla4[[#This Row],[Precio Base]])*Tabla4[[#This Row],[Cantidad]]</f>
        <v>#N/A</v>
      </c>
      <c r="O7416" s="284" t="e">
        <f>++Tabla4[[#This Row],[Utilidad Total]]/Tabla4[[#This Row],[Total]]</f>
        <v>#N/A</v>
      </c>
      <c r="P7416" s="282">
        <f>++Tabla4[[#This Row],[Precio Descontado]]*Tabla4[[#This Row],[Cantidad]]</f>
        <v>174.21706499999999</v>
      </c>
      <c r="Q7416" s="282" t="e">
        <f>(INDEX(Tabla6[#All],MATCH(Tabla4[[#This Row],[Producto]],Tabla6[[#All],[PRODUCTO]],0),MATCH(Tabla4[[#This Row],[Mes]],Tabla6[#Headers],0)))</f>
        <v>#N/A</v>
      </c>
      <c r="R7416" s="282" t="e">
        <f>++Tabla4[[#This Row],[Precio Unitario Neto]]-Tabla4[[#This Row],[20.85%]]-Tabla4[[#This Row],[Costo]]</f>
        <v>#N/A</v>
      </c>
      <c r="S7416" s="282" t="e">
        <f>++Tabla4[[#This Row],[U. Bruta Uni]]*Tabla4[[#This Row],[Cantidad]]</f>
        <v>#N/A</v>
      </c>
      <c r="T7416" s="369" t="str">
        <f>VLOOKUP(Tabla4[[#This Row],[Producto]],Tabla6[#All],14,FALSE)</f>
        <v>Termico Solar</v>
      </c>
      <c r="U7416" s="284" t="e">
        <f>(IF(Tabla4[[#This Row],[Familia]]="termico solar",Tabla4[[#This Row],[Utilidad Total]]*6%,Tabla4[[#This Row],[Utilidad Total]]*11.5%))/Tabla4[[#This Row],[Total]]</f>
        <v>#N/A</v>
      </c>
      <c r="V7416" s="282" t="e">
        <f>+Tabla4[[#This Row],[Comisión Calculada]]*Tabla4[[#This Row],[Total]]</f>
        <v>#N/A</v>
      </c>
    </row>
    <row r="7417" spans="1:22" x14ac:dyDescent="0.25">
      <c r="A7417" s="100">
        <v>46006</v>
      </c>
      <c r="B7417" t="str">
        <f t="shared" ref="B7417:B7420" si="650">TEXT(A7417, "mmmm")</f>
        <v>December</v>
      </c>
      <c r="C7417" s="46" t="s">
        <v>280</v>
      </c>
      <c r="F7417" s="366" t="s">
        <v>3746</v>
      </c>
      <c r="G7417" s="46" t="s">
        <v>83</v>
      </c>
      <c r="H7417" s="46">
        <v>6</v>
      </c>
      <c r="I7417" s="51">
        <v>8858.76</v>
      </c>
      <c r="J7417" s="281">
        <f>++Tabla4[[#This Row],[Precio Bruto]]*1.16</f>
        <v>10276.161599999999</v>
      </c>
      <c r="K7417" s="281">
        <f>+Tabla4[[#This Row],[Precio Unitario Neto]]*Tabla4[[#Headers],[20.85%]]</f>
        <v>2142.5796935999997</v>
      </c>
      <c r="L7417" s="282">
        <f>++Tabla4[[#This Row],[Precio Unitario Neto]]-Tabla4[[#This Row],[20.85%]]</f>
        <v>8133.5819063999998</v>
      </c>
      <c r="M7417" s="282" t="e">
        <f>(INDEX(Tabla6[#All],MATCH(Tabla4[[#This Row],[Producto]],Tabla6[[#All],[PRODUCTO]],0),MATCH(Tabla4[[#This Row],[Mes]],Tabla6[#Headers],0)))*(1+Catalogos!$L$2)</f>
        <v>#N/A</v>
      </c>
      <c r="N7417" s="283" t="e">
        <f>+(Tabla4[[#This Row],[Precio Descontado]]-Tabla4[[#This Row],[Precio Base]])*Tabla4[[#This Row],[Cantidad]]</f>
        <v>#N/A</v>
      </c>
      <c r="O7417" s="284" t="e">
        <f>++Tabla4[[#This Row],[Utilidad Total]]/Tabla4[[#This Row],[Total]]</f>
        <v>#N/A</v>
      </c>
      <c r="P7417" s="282">
        <f>++Tabla4[[#This Row],[Precio Descontado]]*Tabla4[[#This Row],[Cantidad]]</f>
        <v>48801.4914384</v>
      </c>
      <c r="Q7417" s="282" t="e">
        <f>(INDEX(Tabla6[#All],MATCH(Tabla4[[#This Row],[Producto]],Tabla6[[#All],[PRODUCTO]],0),MATCH(Tabla4[[#This Row],[Mes]],Tabla6[#Headers],0)))</f>
        <v>#N/A</v>
      </c>
      <c r="R7417" s="282" t="e">
        <f>++Tabla4[[#This Row],[Precio Unitario Neto]]-Tabla4[[#This Row],[20.85%]]-Tabla4[[#This Row],[Costo]]</f>
        <v>#N/A</v>
      </c>
      <c r="S7417" s="282" t="e">
        <f>++Tabla4[[#This Row],[U. Bruta Uni]]*Tabla4[[#This Row],[Cantidad]]</f>
        <v>#N/A</v>
      </c>
      <c r="T7417" s="369" t="str">
        <f>VLOOKUP(Tabla4[[#This Row],[Producto]],Tabla6[#All],14,FALSE)</f>
        <v>Termico Solar</v>
      </c>
      <c r="U7417" s="284" t="e">
        <f>(IF(Tabla4[[#This Row],[Familia]]="termico solar",Tabla4[[#This Row],[Utilidad Total]]*6%,Tabla4[[#This Row],[Utilidad Total]]*11.5%))/Tabla4[[#This Row],[Total]]</f>
        <v>#N/A</v>
      </c>
      <c r="V7417" s="282" t="e">
        <f>+Tabla4[[#This Row],[Comisión Calculada]]*Tabla4[[#This Row],[Total]]</f>
        <v>#N/A</v>
      </c>
    </row>
    <row r="7418" spans="1:22" x14ac:dyDescent="0.25">
      <c r="A7418" s="100">
        <v>46006</v>
      </c>
      <c r="B7418" t="str">
        <f t="shared" si="650"/>
        <v>December</v>
      </c>
      <c r="C7418" s="46" t="s">
        <v>280</v>
      </c>
      <c r="F7418" s="366" t="s">
        <v>3746</v>
      </c>
      <c r="G7418" s="46" t="s">
        <v>18</v>
      </c>
      <c r="H7418" s="46">
        <v>1</v>
      </c>
      <c r="I7418" s="51">
        <v>5367.65</v>
      </c>
      <c r="J7418" s="281">
        <f>++Tabla4[[#This Row],[Precio Bruto]]*1.16</f>
        <v>6226.4739999999993</v>
      </c>
      <c r="K7418" s="281">
        <f>+Tabla4[[#This Row],[Precio Unitario Neto]]*Tabla4[[#Headers],[20.85%]]</f>
        <v>1298.2198289999999</v>
      </c>
      <c r="L7418" s="282">
        <f>++Tabla4[[#This Row],[Precio Unitario Neto]]-Tabla4[[#This Row],[20.85%]]</f>
        <v>4928.2541709999996</v>
      </c>
      <c r="M7418" s="282" t="e">
        <f>(INDEX(Tabla6[#All],MATCH(Tabla4[[#This Row],[Producto]],Tabla6[[#All],[PRODUCTO]],0),MATCH(Tabla4[[#This Row],[Mes]],Tabla6[#Headers],0)))*(1+Catalogos!$L$2)</f>
        <v>#N/A</v>
      </c>
      <c r="N7418" s="283" t="e">
        <f>+(Tabla4[[#This Row],[Precio Descontado]]-Tabla4[[#This Row],[Precio Base]])*Tabla4[[#This Row],[Cantidad]]</f>
        <v>#N/A</v>
      </c>
      <c r="O7418" s="284" t="e">
        <f>++Tabla4[[#This Row],[Utilidad Total]]/Tabla4[[#This Row],[Total]]</f>
        <v>#N/A</v>
      </c>
      <c r="P7418" s="282">
        <f>++Tabla4[[#This Row],[Precio Descontado]]*Tabla4[[#This Row],[Cantidad]]</f>
        <v>4928.2541709999996</v>
      </c>
      <c r="Q7418" s="282" t="e">
        <f>(INDEX(Tabla6[#All],MATCH(Tabla4[[#This Row],[Producto]],Tabla6[[#All],[PRODUCTO]],0),MATCH(Tabla4[[#This Row],[Mes]],Tabla6[#Headers],0)))</f>
        <v>#N/A</v>
      </c>
      <c r="R7418" s="282" t="e">
        <f>++Tabla4[[#This Row],[Precio Unitario Neto]]-Tabla4[[#This Row],[20.85%]]-Tabla4[[#This Row],[Costo]]</f>
        <v>#N/A</v>
      </c>
      <c r="S7418" s="282" t="e">
        <f>++Tabla4[[#This Row],[U. Bruta Uni]]*Tabla4[[#This Row],[Cantidad]]</f>
        <v>#N/A</v>
      </c>
      <c r="T7418" s="369" t="str">
        <f>VLOOKUP(Tabla4[[#This Row],[Producto]],Tabla6[#All],14,FALSE)</f>
        <v>Termico Solar</v>
      </c>
      <c r="U7418" s="284" t="e">
        <f>(IF(Tabla4[[#This Row],[Familia]]="termico solar",Tabla4[[#This Row],[Utilidad Total]]*6%,Tabla4[[#This Row],[Utilidad Total]]*11.5%))/Tabla4[[#This Row],[Total]]</f>
        <v>#N/A</v>
      </c>
      <c r="V7418" s="282" t="e">
        <f>+Tabla4[[#This Row],[Comisión Calculada]]*Tabla4[[#This Row],[Total]]</f>
        <v>#N/A</v>
      </c>
    </row>
    <row r="7419" spans="1:22" x14ac:dyDescent="0.25">
      <c r="A7419" s="100">
        <v>46006</v>
      </c>
      <c r="B7419" t="str">
        <f t="shared" si="650"/>
        <v>December</v>
      </c>
      <c r="C7419" s="46" t="s">
        <v>280</v>
      </c>
      <c r="F7419" s="366" t="s">
        <v>3746</v>
      </c>
      <c r="G7419" s="46" t="s">
        <v>16</v>
      </c>
      <c r="H7419" s="46">
        <v>2</v>
      </c>
      <c r="I7419" s="51">
        <v>4103.8500000000004</v>
      </c>
      <c r="J7419" s="281">
        <f>++Tabla4[[#This Row],[Precio Bruto]]*1.16</f>
        <v>4760.4660000000003</v>
      </c>
      <c r="K7419" s="281">
        <f>+Tabla4[[#This Row],[Precio Unitario Neto]]*Tabla4[[#Headers],[20.85%]]</f>
        <v>992.55716100000006</v>
      </c>
      <c r="L7419" s="282">
        <f>++Tabla4[[#This Row],[Precio Unitario Neto]]-Tabla4[[#This Row],[20.85%]]</f>
        <v>3767.9088390000002</v>
      </c>
      <c r="M7419" s="282" t="e">
        <f>(INDEX(Tabla6[#All],MATCH(Tabla4[[#This Row],[Producto]],Tabla6[[#All],[PRODUCTO]],0),MATCH(Tabla4[[#This Row],[Mes]],Tabla6[#Headers],0)))*(1+Catalogos!$L$2)</f>
        <v>#N/A</v>
      </c>
      <c r="N7419" s="283" t="e">
        <f>+(Tabla4[[#This Row],[Precio Descontado]]-Tabla4[[#This Row],[Precio Base]])*Tabla4[[#This Row],[Cantidad]]</f>
        <v>#N/A</v>
      </c>
      <c r="O7419" s="284" t="e">
        <f>++Tabla4[[#This Row],[Utilidad Total]]/Tabla4[[#This Row],[Total]]</f>
        <v>#N/A</v>
      </c>
      <c r="P7419" s="282">
        <f>++Tabla4[[#This Row],[Precio Descontado]]*Tabla4[[#This Row],[Cantidad]]</f>
        <v>7535.8176780000003</v>
      </c>
      <c r="Q7419" s="282" t="e">
        <f>(INDEX(Tabla6[#All],MATCH(Tabla4[[#This Row],[Producto]],Tabla6[[#All],[PRODUCTO]],0),MATCH(Tabla4[[#This Row],[Mes]],Tabla6[#Headers],0)))</f>
        <v>#N/A</v>
      </c>
      <c r="R7419" s="282" t="e">
        <f>++Tabla4[[#This Row],[Precio Unitario Neto]]-Tabla4[[#This Row],[20.85%]]-Tabla4[[#This Row],[Costo]]</f>
        <v>#N/A</v>
      </c>
      <c r="S7419" s="282" t="e">
        <f>++Tabla4[[#This Row],[U. Bruta Uni]]*Tabla4[[#This Row],[Cantidad]]</f>
        <v>#N/A</v>
      </c>
      <c r="T7419" s="369" t="str">
        <f>VLOOKUP(Tabla4[[#This Row],[Producto]],Tabla6[#All],14,FALSE)</f>
        <v>Termico Solar</v>
      </c>
      <c r="U7419" s="284" t="e">
        <f>(IF(Tabla4[[#This Row],[Familia]]="termico solar",Tabla4[[#This Row],[Utilidad Total]]*6%,Tabla4[[#This Row],[Utilidad Total]]*11.5%))/Tabla4[[#This Row],[Total]]</f>
        <v>#N/A</v>
      </c>
      <c r="V7419" s="282" t="e">
        <f>+Tabla4[[#This Row],[Comisión Calculada]]*Tabla4[[#This Row],[Total]]</f>
        <v>#N/A</v>
      </c>
    </row>
    <row r="7420" spans="1:22" x14ac:dyDescent="0.25">
      <c r="A7420" s="100">
        <v>46006</v>
      </c>
      <c r="B7420" t="str">
        <f t="shared" si="650"/>
        <v>December</v>
      </c>
      <c r="C7420" s="46" t="s">
        <v>280</v>
      </c>
      <c r="F7420" s="366" t="s">
        <v>3746</v>
      </c>
      <c r="G7420" s="46" t="s">
        <v>208</v>
      </c>
      <c r="H7420" s="46">
        <v>7</v>
      </c>
      <c r="I7420" s="51">
        <v>189.75</v>
      </c>
      <c r="J7420" s="281">
        <f>++Tabla4[[#This Row],[Precio Bruto]]*1.16</f>
        <v>220.10999999999999</v>
      </c>
      <c r="K7420" s="281">
        <f>+Tabla4[[#This Row],[Precio Unitario Neto]]*Tabla4[[#Headers],[20.85%]]</f>
        <v>45.892934999999994</v>
      </c>
      <c r="L7420" s="282">
        <f>++Tabla4[[#This Row],[Precio Unitario Neto]]-Tabla4[[#This Row],[20.85%]]</f>
        <v>174.21706499999999</v>
      </c>
      <c r="M7420" s="282" t="e">
        <f>(INDEX(Tabla6[#All],MATCH(Tabla4[[#This Row],[Producto]],Tabla6[[#All],[PRODUCTO]],0),MATCH(Tabla4[[#This Row],[Mes]],Tabla6[#Headers],0)))*(1+Catalogos!$L$2)</f>
        <v>#N/A</v>
      </c>
      <c r="N7420" s="283" t="e">
        <f>+(Tabla4[[#This Row],[Precio Descontado]]-Tabla4[[#This Row],[Precio Base]])*Tabla4[[#This Row],[Cantidad]]</f>
        <v>#N/A</v>
      </c>
      <c r="O7420" s="284" t="e">
        <f>++Tabla4[[#This Row],[Utilidad Total]]/Tabla4[[#This Row],[Total]]</f>
        <v>#N/A</v>
      </c>
      <c r="P7420" s="282">
        <f>++Tabla4[[#This Row],[Precio Descontado]]*Tabla4[[#This Row],[Cantidad]]</f>
        <v>1219.5194549999999</v>
      </c>
      <c r="Q7420" s="282" t="e">
        <f>(INDEX(Tabla6[#All],MATCH(Tabla4[[#This Row],[Producto]],Tabla6[[#All],[PRODUCTO]],0),MATCH(Tabla4[[#This Row],[Mes]],Tabla6[#Headers],0)))</f>
        <v>#N/A</v>
      </c>
      <c r="R7420" s="282" t="e">
        <f>++Tabla4[[#This Row],[Precio Unitario Neto]]-Tabla4[[#This Row],[20.85%]]-Tabla4[[#This Row],[Costo]]</f>
        <v>#N/A</v>
      </c>
      <c r="S7420" s="282" t="e">
        <f>++Tabla4[[#This Row],[U. Bruta Uni]]*Tabla4[[#This Row],[Cantidad]]</f>
        <v>#N/A</v>
      </c>
      <c r="T7420" s="369" t="str">
        <f>VLOOKUP(Tabla4[[#This Row],[Producto]],Tabla6[#All],14,FALSE)</f>
        <v>Termico Solar</v>
      </c>
      <c r="U7420" s="284" t="e">
        <f>(IF(Tabla4[[#This Row],[Familia]]="termico solar",Tabla4[[#This Row],[Utilidad Total]]*6%,Tabla4[[#This Row],[Utilidad Total]]*11.5%))/Tabla4[[#This Row],[Total]]</f>
        <v>#N/A</v>
      </c>
      <c r="V7420" s="282" t="e">
        <f>+Tabla4[[#This Row],[Comisión Calculada]]*Tabla4[[#This Row],[Total]]</f>
        <v>#N/A</v>
      </c>
    </row>
    <row r="7421" spans="1:22" x14ac:dyDescent="0.25">
      <c r="A7421" s="100">
        <v>46006</v>
      </c>
      <c r="B7421" t="str">
        <f>TEXT(A7421, "mmmm")</f>
        <v>December</v>
      </c>
      <c r="C7421" s="46" t="s">
        <v>280</v>
      </c>
      <c r="F7421" s="366" t="s">
        <v>3747</v>
      </c>
      <c r="G7421" s="46" t="s">
        <v>83</v>
      </c>
      <c r="H7421" s="46">
        <v>2</v>
      </c>
      <c r="I7421" s="51">
        <v>8858.76</v>
      </c>
      <c r="J7421" s="281">
        <f>++Tabla4[[#This Row],[Precio Bruto]]*1.16</f>
        <v>10276.161599999999</v>
      </c>
      <c r="K7421" s="281">
        <f>+Tabla4[[#This Row],[Precio Unitario Neto]]*Tabla4[[#Headers],[20.85%]]</f>
        <v>2142.5796935999997</v>
      </c>
      <c r="L7421" s="282">
        <f>++Tabla4[[#This Row],[Precio Unitario Neto]]-Tabla4[[#This Row],[20.85%]]</f>
        <v>8133.5819063999998</v>
      </c>
      <c r="M7421" s="282" t="e">
        <f>(INDEX(Tabla6[#All],MATCH(Tabla4[[#This Row],[Producto]],Tabla6[[#All],[PRODUCTO]],0),MATCH(Tabla4[[#This Row],[Mes]],Tabla6[#Headers],0)))*(1+Catalogos!$L$2)</f>
        <v>#N/A</v>
      </c>
      <c r="N7421" s="283" t="e">
        <f>+(Tabla4[[#This Row],[Precio Descontado]]-Tabla4[[#This Row],[Precio Base]])*Tabla4[[#This Row],[Cantidad]]</f>
        <v>#N/A</v>
      </c>
      <c r="O7421" s="284" t="e">
        <f>++Tabla4[[#This Row],[Utilidad Total]]/Tabla4[[#This Row],[Total]]</f>
        <v>#N/A</v>
      </c>
      <c r="P7421" s="282">
        <f>++Tabla4[[#This Row],[Precio Descontado]]*Tabla4[[#This Row],[Cantidad]]</f>
        <v>16267.1638128</v>
      </c>
      <c r="Q7421" s="282" t="e">
        <f>(INDEX(Tabla6[#All],MATCH(Tabla4[[#This Row],[Producto]],Tabla6[[#All],[PRODUCTO]],0),MATCH(Tabla4[[#This Row],[Mes]],Tabla6[#Headers],0)))</f>
        <v>#N/A</v>
      </c>
      <c r="R7421" s="282" t="e">
        <f>++Tabla4[[#This Row],[Precio Unitario Neto]]-Tabla4[[#This Row],[20.85%]]-Tabla4[[#This Row],[Costo]]</f>
        <v>#N/A</v>
      </c>
      <c r="S7421" s="282" t="e">
        <f>++Tabla4[[#This Row],[U. Bruta Uni]]*Tabla4[[#This Row],[Cantidad]]</f>
        <v>#N/A</v>
      </c>
      <c r="T7421" s="369" t="str">
        <f>VLOOKUP(Tabla4[[#This Row],[Producto]],Tabla6[#All],14,FALSE)</f>
        <v>Termico Solar</v>
      </c>
      <c r="U7421" s="284" t="e">
        <f>(IF(Tabla4[[#This Row],[Familia]]="termico solar",Tabla4[[#This Row],[Utilidad Total]]*6%,Tabla4[[#This Row],[Utilidad Total]]*11.5%))/Tabla4[[#This Row],[Total]]</f>
        <v>#N/A</v>
      </c>
      <c r="V7421" s="282" t="e">
        <f>+Tabla4[[#This Row],[Comisión Calculada]]*Tabla4[[#This Row],[Total]]</f>
        <v>#N/A</v>
      </c>
    </row>
    <row r="7422" spans="1:22" x14ac:dyDescent="0.25">
      <c r="A7422" s="100">
        <v>46006</v>
      </c>
      <c r="B7422" t="str">
        <f>TEXT(A7422, "mmmm")</f>
        <v>December</v>
      </c>
      <c r="C7422" s="46" t="s">
        <v>280</v>
      </c>
      <c r="F7422" s="366" t="s">
        <v>3748</v>
      </c>
      <c r="G7422" s="46" t="s">
        <v>83</v>
      </c>
      <c r="H7422" s="46">
        <v>3</v>
      </c>
      <c r="I7422" s="51">
        <v>8858.76</v>
      </c>
      <c r="J7422" s="281">
        <f>++Tabla4[[#This Row],[Precio Bruto]]*1.16</f>
        <v>10276.161599999999</v>
      </c>
      <c r="K7422" s="281">
        <f>+Tabla4[[#This Row],[Precio Unitario Neto]]*Tabla4[[#Headers],[20.85%]]</f>
        <v>2142.5796935999997</v>
      </c>
      <c r="L7422" s="282">
        <f>++Tabla4[[#This Row],[Precio Unitario Neto]]-Tabla4[[#This Row],[20.85%]]</f>
        <v>8133.5819063999998</v>
      </c>
      <c r="M7422" s="282" t="e">
        <f>(INDEX(Tabla6[#All],MATCH(Tabla4[[#This Row],[Producto]],Tabla6[[#All],[PRODUCTO]],0),MATCH(Tabla4[[#This Row],[Mes]],Tabla6[#Headers],0)))*(1+Catalogos!$L$2)</f>
        <v>#N/A</v>
      </c>
      <c r="N7422" s="283" t="e">
        <f>+(Tabla4[[#This Row],[Precio Descontado]]-Tabla4[[#This Row],[Precio Base]])*Tabla4[[#This Row],[Cantidad]]</f>
        <v>#N/A</v>
      </c>
      <c r="O7422" s="284" t="e">
        <f>++Tabla4[[#This Row],[Utilidad Total]]/Tabla4[[#This Row],[Total]]</f>
        <v>#N/A</v>
      </c>
      <c r="P7422" s="282">
        <f>++Tabla4[[#This Row],[Precio Descontado]]*Tabla4[[#This Row],[Cantidad]]</f>
        <v>24400.7457192</v>
      </c>
      <c r="Q7422" s="282" t="e">
        <f>(INDEX(Tabla6[#All],MATCH(Tabla4[[#This Row],[Producto]],Tabla6[[#All],[PRODUCTO]],0),MATCH(Tabla4[[#This Row],[Mes]],Tabla6[#Headers],0)))</f>
        <v>#N/A</v>
      </c>
      <c r="R7422" s="282" t="e">
        <f>++Tabla4[[#This Row],[Precio Unitario Neto]]-Tabla4[[#This Row],[20.85%]]-Tabla4[[#This Row],[Costo]]</f>
        <v>#N/A</v>
      </c>
      <c r="S7422" s="282" t="e">
        <f>++Tabla4[[#This Row],[U. Bruta Uni]]*Tabla4[[#This Row],[Cantidad]]</f>
        <v>#N/A</v>
      </c>
      <c r="T7422" s="369" t="str">
        <f>VLOOKUP(Tabla4[[#This Row],[Producto]],Tabla6[#All],14,FALSE)</f>
        <v>Termico Solar</v>
      </c>
      <c r="U7422" s="284" t="e">
        <f>(IF(Tabla4[[#This Row],[Familia]]="termico solar",Tabla4[[#This Row],[Utilidad Total]]*6%,Tabla4[[#This Row],[Utilidad Total]]*11.5%))/Tabla4[[#This Row],[Total]]</f>
        <v>#N/A</v>
      </c>
      <c r="V7422" s="282" t="e">
        <f>+Tabla4[[#This Row],[Comisión Calculada]]*Tabla4[[#This Row],[Total]]</f>
        <v>#N/A</v>
      </c>
    </row>
    <row r="7423" spans="1:22" x14ac:dyDescent="0.25">
      <c r="A7423" s="100">
        <v>46006</v>
      </c>
      <c r="B7423" t="str">
        <f t="shared" ref="B7423:B7424" si="651">TEXT(A7423, "mmmm")</f>
        <v>December</v>
      </c>
      <c r="C7423" s="46" t="s">
        <v>280</v>
      </c>
      <c r="F7423" s="366" t="s">
        <v>3749</v>
      </c>
      <c r="G7423" s="46" t="s">
        <v>566</v>
      </c>
      <c r="H7423" s="46">
        <v>1</v>
      </c>
      <c r="I7423" s="51">
        <v>2109.4499999999998</v>
      </c>
      <c r="J7423" s="281">
        <f>++Tabla4[[#This Row],[Precio Bruto]]*1.16</f>
        <v>2446.9619999999995</v>
      </c>
      <c r="K7423" s="281">
        <f>+Tabla4[[#This Row],[Precio Unitario Neto]]*Tabla4[[#Headers],[20.85%]]</f>
        <v>510.19157699999988</v>
      </c>
      <c r="L7423" s="282">
        <f>++Tabla4[[#This Row],[Precio Unitario Neto]]-Tabla4[[#This Row],[20.85%]]</f>
        <v>1936.7704229999997</v>
      </c>
      <c r="M7423" s="282" t="e">
        <f>(INDEX(Tabla6[#All],MATCH(Tabla4[[#This Row],[Producto]],Tabla6[[#All],[PRODUCTO]],0),MATCH(Tabla4[[#This Row],[Mes]],Tabla6[#Headers],0)))*(1+Catalogos!$L$2)</f>
        <v>#N/A</v>
      </c>
      <c r="N7423" s="283" t="e">
        <f>+(Tabla4[[#This Row],[Precio Descontado]]-Tabla4[[#This Row],[Precio Base]])*Tabla4[[#This Row],[Cantidad]]</f>
        <v>#N/A</v>
      </c>
      <c r="O7423" s="284" t="e">
        <f>++Tabla4[[#This Row],[Utilidad Total]]/Tabla4[[#This Row],[Total]]</f>
        <v>#N/A</v>
      </c>
      <c r="P7423" s="282">
        <f>++Tabla4[[#This Row],[Precio Descontado]]*Tabla4[[#This Row],[Cantidad]]</f>
        <v>1936.7704229999997</v>
      </c>
      <c r="Q7423" s="282" t="e">
        <f>(INDEX(Tabla6[#All],MATCH(Tabla4[[#This Row],[Producto]],Tabla6[[#All],[PRODUCTO]],0),MATCH(Tabla4[[#This Row],[Mes]],Tabla6[#Headers],0)))</f>
        <v>#N/A</v>
      </c>
      <c r="R7423" s="282" t="e">
        <f>++Tabla4[[#This Row],[Precio Unitario Neto]]-Tabla4[[#This Row],[20.85%]]-Tabla4[[#This Row],[Costo]]</f>
        <v>#N/A</v>
      </c>
      <c r="S7423" s="282" t="e">
        <f>++Tabla4[[#This Row],[U. Bruta Uni]]*Tabla4[[#This Row],[Cantidad]]</f>
        <v>#N/A</v>
      </c>
      <c r="T7423" s="369" t="str">
        <f>VLOOKUP(Tabla4[[#This Row],[Producto]],Tabla6[#All],14,FALSE)</f>
        <v>Termico Solar</v>
      </c>
      <c r="U7423" s="284" t="e">
        <f>(IF(Tabla4[[#This Row],[Familia]]="termico solar",Tabla4[[#This Row],[Utilidad Total]]*6%,Tabla4[[#This Row],[Utilidad Total]]*11.5%))/Tabla4[[#This Row],[Total]]</f>
        <v>#N/A</v>
      </c>
      <c r="V7423" s="282" t="e">
        <f>+Tabla4[[#This Row],[Comisión Calculada]]*Tabla4[[#This Row],[Total]]</f>
        <v>#N/A</v>
      </c>
    </row>
    <row r="7424" spans="1:22" x14ac:dyDescent="0.25">
      <c r="A7424" s="100">
        <v>46006</v>
      </c>
      <c r="B7424" t="str">
        <f t="shared" si="651"/>
        <v>December</v>
      </c>
      <c r="C7424" s="46" t="s">
        <v>280</v>
      </c>
      <c r="F7424" s="366" t="s">
        <v>3749</v>
      </c>
      <c r="G7424" s="46" t="s">
        <v>17</v>
      </c>
      <c r="H7424" s="46">
        <v>1</v>
      </c>
      <c r="I7424" s="51">
        <v>4622.28</v>
      </c>
      <c r="J7424" s="281">
        <f>++Tabla4[[#This Row],[Precio Bruto]]*1.16</f>
        <v>5361.8447999999989</v>
      </c>
      <c r="K7424" s="281">
        <f>+Tabla4[[#This Row],[Precio Unitario Neto]]*Tabla4[[#Headers],[20.85%]]</f>
        <v>1117.9446407999997</v>
      </c>
      <c r="L7424" s="282">
        <f>++Tabla4[[#This Row],[Precio Unitario Neto]]-Tabla4[[#This Row],[20.85%]]</f>
        <v>4243.9001591999995</v>
      </c>
      <c r="M7424" s="282" t="e">
        <f>(INDEX(Tabla6[#All],MATCH(Tabla4[[#This Row],[Producto]],Tabla6[[#All],[PRODUCTO]],0),MATCH(Tabla4[[#This Row],[Mes]],Tabla6[#Headers],0)))*(1+Catalogos!$L$2)</f>
        <v>#N/A</v>
      </c>
      <c r="N7424" s="283" t="e">
        <f>+(Tabla4[[#This Row],[Precio Descontado]]-Tabla4[[#This Row],[Precio Base]])*Tabla4[[#This Row],[Cantidad]]</f>
        <v>#N/A</v>
      </c>
      <c r="O7424" s="284" t="e">
        <f>++Tabla4[[#This Row],[Utilidad Total]]/Tabla4[[#This Row],[Total]]</f>
        <v>#N/A</v>
      </c>
      <c r="P7424" s="282">
        <f>++Tabla4[[#This Row],[Precio Descontado]]*Tabla4[[#This Row],[Cantidad]]</f>
        <v>4243.9001591999995</v>
      </c>
      <c r="Q7424" s="282" t="e">
        <f>(INDEX(Tabla6[#All],MATCH(Tabla4[[#This Row],[Producto]],Tabla6[[#All],[PRODUCTO]],0),MATCH(Tabla4[[#This Row],[Mes]],Tabla6[#Headers],0)))</f>
        <v>#N/A</v>
      </c>
      <c r="R7424" s="282" t="e">
        <f>++Tabla4[[#This Row],[Precio Unitario Neto]]-Tabla4[[#This Row],[20.85%]]-Tabla4[[#This Row],[Costo]]</f>
        <v>#N/A</v>
      </c>
      <c r="S7424" s="282" t="e">
        <f>++Tabla4[[#This Row],[U. Bruta Uni]]*Tabla4[[#This Row],[Cantidad]]</f>
        <v>#N/A</v>
      </c>
      <c r="T7424" s="369" t="str">
        <f>VLOOKUP(Tabla4[[#This Row],[Producto]],Tabla6[#All],14,FALSE)</f>
        <v>Termico Solar</v>
      </c>
      <c r="U7424" s="284" t="e">
        <f>(IF(Tabla4[[#This Row],[Familia]]="termico solar",Tabla4[[#This Row],[Utilidad Total]]*6%,Tabla4[[#This Row],[Utilidad Total]]*11.5%))/Tabla4[[#This Row],[Total]]</f>
        <v>#N/A</v>
      </c>
      <c r="V7424" s="282" t="e">
        <f>+Tabla4[[#This Row],[Comisión Calculada]]*Tabla4[[#This Row],[Total]]</f>
        <v>#N/A</v>
      </c>
    </row>
    <row r="7425" spans="1:22" x14ac:dyDescent="0.25">
      <c r="A7425" s="100">
        <v>46006</v>
      </c>
      <c r="B7425" t="str">
        <f t="shared" ref="B7425:B7427" si="652">TEXT(A7425, "mmmm")</f>
        <v>December</v>
      </c>
      <c r="C7425" s="46" t="s">
        <v>280</v>
      </c>
      <c r="F7425" s="366" t="s">
        <v>3750</v>
      </c>
      <c r="G7425" s="46" t="s">
        <v>83</v>
      </c>
      <c r="H7425" s="46">
        <v>5</v>
      </c>
      <c r="I7425" s="51">
        <v>8858.76</v>
      </c>
      <c r="J7425" s="281">
        <f>++Tabla4[[#This Row],[Precio Bruto]]*1.16</f>
        <v>10276.161599999999</v>
      </c>
      <c r="K7425" s="281">
        <f>+Tabla4[[#This Row],[Precio Unitario Neto]]*Tabla4[[#Headers],[20.85%]]</f>
        <v>2142.5796935999997</v>
      </c>
      <c r="L7425" s="282">
        <f>++Tabla4[[#This Row],[Precio Unitario Neto]]-Tabla4[[#This Row],[20.85%]]</f>
        <v>8133.5819063999998</v>
      </c>
      <c r="M7425" s="282" t="e">
        <f>(INDEX(Tabla6[#All],MATCH(Tabla4[[#This Row],[Producto]],Tabla6[[#All],[PRODUCTO]],0),MATCH(Tabla4[[#This Row],[Mes]],Tabla6[#Headers],0)))*(1+Catalogos!$L$2)</f>
        <v>#N/A</v>
      </c>
      <c r="N7425" s="283" t="e">
        <f>+(Tabla4[[#This Row],[Precio Descontado]]-Tabla4[[#This Row],[Precio Base]])*Tabla4[[#This Row],[Cantidad]]</f>
        <v>#N/A</v>
      </c>
      <c r="O7425" s="284" t="e">
        <f>++Tabla4[[#This Row],[Utilidad Total]]/Tabla4[[#This Row],[Total]]</f>
        <v>#N/A</v>
      </c>
      <c r="P7425" s="282">
        <f>++Tabla4[[#This Row],[Precio Descontado]]*Tabla4[[#This Row],[Cantidad]]</f>
        <v>40667.909531999998</v>
      </c>
      <c r="Q7425" s="282" t="e">
        <f>(INDEX(Tabla6[#All],MATCH(Tabla4[[#This Row],[Producto]],Tabla6[[#All],[PRODUCTO]],0),MATCH(Tabla4[[#This Row],[Mes]],Tabla6[#Headers],0)))</f>
        <v>#N/A</v>
      </c>
      <c r="R7425" s="282" t="e">
        <f>++Tabla4[[#This Row],[Precio Unitario Neto]]-Tabla4[[#This Row],[20.85%]]-Tabla4[[#This Row],[Costo]]</f>
        <v>#N/A</v>
      </c>
      <c r="S7425" s="282" t="e">
        <f>++Tabla4[[#This Row],[U. Bruta Uni]]*Tabla4[[#This Row],[Cantidad]]</f>
        <v>#N/A</v>
      </c>
      <c r="T7425" s="369" t="str">
        <f>VLOOKUP(Tabla4[[#This Row],[Producto]],Tabla6[#All],14,FALSE)</f>
        <v>Termico Solar</v>
      </c>
      <c r="U7425" s="284" t="e">
        <f>(IF(Tabla4[[#This Row],[Familia]]="termico solar",Tabla4[[#This Row],[Utilidad Total]]*6%,Tabla4[[#This Row],[Utilidad Total]]*11.5%))/Tabla4[[#This Row],[Total]]</f>
        <v>#N/A</v>
      </c>
      <c r="V7425" s="282" t="e">
        <f>+Tabla4[[#This Row],[Comisión Calculada]]*Tabla4[[#This Row],[Total]]</f>
        <v>#N/A</v>
      </c>
    </row>
    <row r="7426" spans="1:22" x14ac:dyDescent="0.25">
      <c r="A7426" s="100">
        <v>46006</v>
      </c>
      <c r="B7426" t="str">
        <f t="shared" si="652"/>
        <v>December</v>
      </c>
      <c r="C7426" s="46" t="s">
        <v>280</v>
      </c>
      <c r="F7426" s="366" t="s">
        <v>3750</v>
      </c>
      <c r="G7426" s="46" t="s">
        <v>17</v>
      </c>
      <c r="H7426" s="46">
        <v>2</v>
      </c>
      <c r="I7426" s="51">
        <v>4622.28</v>
      </c>
      <c r="J7426" s="281">
        <f>++Tabla4[[#This Row],[Precio Bruto]]*1.16</f>
        <v>5361.8447999999989</v>
      </c>
      <c r="K7426" s="281">
        <f>+Tabla4[[#This Row],[Precio Unitario Neto]]*Tabla4[[#Headers],[20.85%]]</f>
        <v>1117.9446407999997</v>
      </c>
      <c r="L7426" s="282">
        <f>++Tabla4[[#This Row],[Precio Unitario Neto]]-Tabla4[[#This Row],[20.85%]]</f>
        <v>4243.9001591999995</v>
      </c>
      <c r="M7426" s="282" t="e">
        <f>(INDEX(Tabla6[#All],MATCH(Tabla4[[#This Row],[Producto]],Tabla6[[#All],[PRODUCTO]],0),MATCH(Tabla4[[#This Row],[Mes]],Tabla6[#Headers],0)))*(1+Catalogos!$L$2)</f>
        <v>#N/A</v>
      </c>
      <c r="N7426" s="283" t="e">
        <f>+(Tabla4[[#This Row],[Precio Descontado]]-Tabla4[[#This Row],[Precio Base]])*Tabla4[[#This Row],[Cantidad]]</f>
        <v>#N/A</v>
      </c>
      <c r="O7426" s="284" t="e">
        <f>++Tabla4[[#This Row],[Utilidad Total]]/Tabla4[[#This Row],[Total]]</f>
        <v>#N/A</v>
      </c>
      <c r="P7426" s="282">
        <f>++Tabla4[[#This Row],[Precio Descontado]]*Tabla4[[#This Row],[Cantidad]]</f>
        <v>8487.800318399999</v>
      </c>
      <c r="Q7426" s="282" t="e">
        <f>(INDEX(Tabla6[#All],MATCH(Tabla4[[#This Row],[Producto]],Tabla6[[#All],[PRODUCTO]],0),MATCH(Tabla4[[#This Row],[Mes]],Tabla6[#Headers],0)))</f>
        <v>#N/A</v>
      </c>
      <c r="R7426" s="282" t="e">
        <f>++Tabla4[[#This Row],[Precio Unitario Neto]]-Tabla4[[#This Row],[20.85%]]-Tabla4[[#This Row],[Costo]]</f>
        <v>#N/A</v>
      </c>
      <c r="S7426" s="282" t="e">
        <f>++Tabla4[[#This Row],[U. Bruta Uni]]*Tabla4[[#This Row],[Cantidad]]</f>
        <v>#N/A</v>
      </c>
      <c r="T7426" s="369" t="str">
        <f>VLOOKUP(Tabla4[[#This Row],[Producto]],Tabla6[#All],14,FALSE)</f>
        <v>Termico Solar</v>
      </c>
      <c r="U7426" s="284" t="e">
        <f>(IF(Tabla4[[#This Row],[Familia]]="termico solar",Tabla4[[#This Row],[Utilidad Total]]*6%,Tabla4[[#This Row],[Utilidad Total]]*11.5%))/Tabla4[[#This Row],[Total]]</f>
        <v>#N/A</v>
      </c>
      <c r="V7426" s="282" t="e">
        <f>+Tabla4[[#This Row],[Comisión Calculada]]*Tabla4[[#This Row],[Total]]</f>
        <v>#N/A</v>
      </c>
    </row>
    <row r="7427" spans="1:22" x14ac:dyDescent="0.25">
      <c r="A7427" s="100">
        <v>46006</v>
      </c>
      <c r="B7427" t="str">
        <f t="shared" si="652"/>
        <v>December</v>
      </c>
      <c r="C7427" s="46" t="s">
        <v>280</v>
      </c>
      <c r="F7427" s="366" t="s">
        <v>3750</v>
      </c>
      <c r="G7427" s="46" t="s">
        <v>16</v>
      </c>
      <c r="H7427" s="46">
        <v>1</v>
      </c>
      <c r="I7427" s="51">
        <v>4103.8500000000004</v>
      </c>
      <c r="J7427" s="281">
        <f>++Tabla4[[#This Row],[Precio Bruto]]*1.16</f>
        <v>4760.4660000000003</v>
      </c>
      <c r="K7427" s="281">
        <f>+Tabla4[[#This Row],[Precio Unitario Neto]]*Tabla4[[#Headers],[20.85%]]</f>
        <v>992.55716100000006</v>
      </c>
      <c r="L7427" s="282">
        <f>++Tabla4[[#This Row],[Precio Unitario Neto]]-Tabla4[[#This Row],[20.85%]]</f>
        <v>3767.9088390000002</v>
      </c>
      <c r="M7427" s="282" t="e">
        <f>(INDEX(Tabla6[#All],MATCH(Tabla4[[#This Row],[Producto]],Tabla6[[#All],[PRODUCTO]],0),MATCH(Tabla4[[#This Row],[Mes]],Tabla6[#Headers],0)))*(1+Catalogos!$L$2)</f>
        <v>#N/A</v>
      </c>
      <c r="N7427" s="283" t="e">
        <f>+(Tabla4[[#This Row],[Precio Descontado]]-Tabla4[[#This Row],[Precio Base]])*Tabla4[[#This Row],[Cantidad]]</f>
        <v>#N/A</v>
      </c>
      <c r="O7427" s="284" t="e">
        <f>++Tabla4[[#This Row],[Utilidad Total]]/Tabla4[[#This Row],[Total]]</f>
        <v>#N/A</v>
      </c>
      <c r="P7427" s="282">
        <f>++Tabla4[[#This Row],[Precio Descontado]]*Tabla4[[#This Row],[Cantidad]]</f>
        <v>3767.9088390000002</v>
      </c>
      <c r="Q7427" s="282" t="e">
        <f>(INDEX(Tabla6[#All],MATCH(Tabla4[[#This Row],[Producto]],Tabla6[[#All],[PRODUCTO]],0),MATCH(Tabla4[[#This Row],[Mes]],Tabla6[#Headers],0)))</f>
        <v>#N/A</v>
      </c>
      <c r="R7427" s="282" t="e">
        <f>++Tabla4[[#This Row],[Precio Unitario Neto]]-Tabla4[[#This Row],[20.85%]]-Tabla4[[#This Row],[Costo]]</f>
        <v>#N/A</v>
      </c>
      <c r="S7427" s="282" t="e">
        <f>++Tabla4[[#This Row],[U. Bruta Uni]]*Tabla4[[#This Row],[Cantidad]]</f>
        <v>#N/A</v>
      </c>
      <c r="T7427" s="369" t="str">
        <f>VLOOKUP(Tabla4[[#This Row],[Producto]],Tabla6[#All],14,FALSE)</f>
        <v>Termico Solar</v>
      </c>
      <c r="U7427" s="284" t="e">
        <f>(IF(Tabla4[[#This Row],[Familia]]="termico solar",Tabla4[[#This Row],[Utilidad Total]]*6%,Tabla4[[#This Row],[Utilidad Total]]*11.5%))/Tabla4[[#This Row],[Total]]</f>
        <v>#N/A</v>
      </c>
      <c r="V7427" s="282" t="e">
        <f>+Tabla4[[#This Row],[Comisión Calculada]]*Tabla4[[#This Row],[Total]]</f>
        <v>#N/A</v>
      </c>
    </row>
    <row r="7428" spans="1:22" x14ac:dyDescent="0.25">
      <c r="A7428" s="100">
        <v>46006</v>
      </c>
      <c r="B7428" t="str">
        <f t="shared" ref="B7428:B7429" si="653">TEXT(A7428, "mmmm")</f>
        <v>December</v>
      </c>
      <c r="C7428" s="46" t="s">
        <v>280</v>
      </c>
      <c r="F7428" s="366" t="s">
        <v>3751</v>
      </c>
      <c r="G7428" s="46" t="s">
        <v>83</v>
      </c>
      <c r="H7428" s="46">
        <v>4</v>
      </c>
      <c r="I7428" s="51">
        <v>8858.76</v>
      </c>
      <c r="J7428" s="281">
        <f>++Tabla4[[#This Row],[Precio Bruto]]*1.16</f>
        <v>10276.161599999999</v>
      </c>
      <c r="K7428" s="281">
        <f>+Tabla4[[#This Row],[Precio Unitario Neto]]*Tabla4[[#Headers],[20.85%]]</f>
        <v>2142.5796935999997</v>
      </c>
      <c r="L7428" s="282">
        <f>++Tabla4[[#This Row],[Precio Unitario Neto]]-Tabla4[[#This Row],[20.85%]]</f>
        <v>8133.5819063999998</v>
      </c>
      <c r="M7428" s="282" t="e">
        <f>(INDEX(Tabla6[#All],MATCH(Tabla4[[#This Row],[Producto]],Tabla6[[#All],[PRODUCTO]],0),MATCH(Tabla4[[#This Row],[Mes]],Tabla6[#Headers],0)))*(1+Catalogos!$L$2)</f>
        <v>#N/A</v>
      </c>
      <c r="N7428" s="283" t="e">
        <f>+(Tabla4[[#This Row],[Precio Descontado]]-Tabla4[[#This Row],[Precio Base]])*Tabla4[[#This Row],[Cantidad]]</f>
        <v>#N/A</v>
      </c>
      <c r="O7428" s="284" t="e">
        <f>++Tabla4[[#This Row],[Utilidad Total]]/Tabla4[[#This Row],[Total]]</f>
        <v>#N/A</v>
      </c>
      <c r="P7428" s="282">
        <f>++Tabla4[[#This Row],[Precio Descontado]]*Tabla4[[#This Row],[Cantidad]]</f>
        <v>32534.327625599999</v>
      </c>
      <c r="Q7428" s="282" t="e">
        <f>(INDEX(Tabla6[#All],MATCH(Tabla4[[#This Row],[Producto]],Tabla6[[#All],[PRODUCTO]],0),MATCH(Tabla4[[#This Row],[Mes]],Tabla6[#Headers],0)))</f>
        <v>#N/A</v>
      </c>
      <c r="R7428" s="282" t="e">
        <f>++Tabla4[[#This Row],[Precio Unitario Neto]]-Tabla4[[#This Row],[20.85%]]-Tabla4[[#This Row],[Costo]]</f>
        <v>#N/A</v>
      </c>
      <c r="S7428" s="282" t="e">
        <f>++Tabla4[[#This Row],[U. Bruta Uni]]*Tabla4[[#This Row],[Cantidad]]</f>
        <v>#N/A</v>
      </c>
      <c r="T7428" s="369" t="str">
        <f>VLOOKUP(Tabla4[[#This Row],[Producto]],Tabla6[#All],14,FALSE)</f>
        <v>Termico Solar</v>
      </c>
      <c r="U7428" s="284" t="e">
        <f>(IF(Tabla4[[#This Row],[Familia]]="termico solar",Tabla4[[#This Row],[Utilidad Total]]*6%,Tabla4[[#This Row],[Utilidad Total]]*11.5%))/Tabla4[[#This Row],[Total]]</f>
        <v>#N/A</v>
      </c>
      <c r="V7428" s="282" t="e">
        <f>+Tabla4[[#This Row],[Comisión Calculada]]*Tabla4[[#This Row],[Total]]</f>
        <v>#N/A</v>
      </c>
    </row>
    <row r="7429" spans="1:22" x14ac:dyDescent="0.25">
      <c r="A7429" s="100">
        <v>46006</v>
      </c>
      <c r="B7429" t="str">
        <f t="shared" si="653"/>
        <v>December</v>
      </c>
      <c r="C7429" s="46" t="s">
        <v>280</v>
      </c>
      <c r="F7429" s="366" t="s">
        <v>3751</v>
      </c>
      <c r="G7429" s="46" t="s">
        <v>18</v>
      </c>
      <c r="H7429" s="46">
        <v>4</v>
      </c>
      <c r="I7429" s="51">
        <v>5367.65</v>
      </c>
      <c r="J7429" s="281">
        <f>++Tabla4[[#This Row],[Precio Bruto]]*1.16</f>
        <v>6226.4739999999993</v>
      </c>
      <c r="K7429" s="281">
        <f>+Tabla4[[#This Row],[Precio Unitario Neto]]*Tabla4[[#Headers],[20.85%]]</f>
        <v>1298.2198289999999</v>
      </c>
      <c r="L7429" s="282">
        <f>++Tabla4[[#This Row],[Precio Unitario Neto]]-Tabla4[[#This Row],[20.85%]]</f>
        <v>4928.2541709999996</v>
      </c>
      <c r="M7429" s="282" t="e">
        <f>(INDEX(Tabla6[#All],MATCH(Tabla4[[#This Row],[Producto]],Tabla6[[#All],[PRODUCTO]],0),MATCH(Tabla4[[#This Row],[Mes]],Tabla6[#Headers],0)))*(1+Catalogos!$L$2)</f>
        <v>#N/A</v>
      </c>
      <c r="N7429" s="283" t="e">
        <f>+(Tabla4[[#This Row],[Precio Descontado]]-Tabla4[[#This Row],[Precio Base]])*Tabla4[[#This Row],[Cantidad]]</f>
        <v>#N/A</v>
      </c>
      <c r="O7429" s="284" t="e">
        <f>++Tabla4[[#This Row],[Utilidad Total]]/Tabla4[[#This Row],[Total]]</f>
        <v>#N/A</v>
      </c>
      <c r="P7429" s="282">
        <f>++Tabla4[[#This Row],[Precio Descontado]]*Tabla4[[#This Row],[Cantidad]]</f>
        <v>19713.016683999998</v>
      </c>
      <c r="Q7429" s="282" t="e">
        <f>(INDEX(Tabla6[#All],MATCH(Tabla4[[#This Row],[Producto]],Tabla6[[#All],[PRODUCTO]],0),MATCH(Tabla4[[#This Row],[Mes]],Tabla6[#Headers],0)))</f>
        <v>#N/A</v>
      </c>
      <c r="R7429" s="282" t="e">
        <f>++Tabla4[[#This Row],[Precio Unitario Neto]]-Tabla4[[#This Row],[20.85%]]-Tabla4[[#This Row],[Costo]]</f>
        <v>#N/A</v>
      </c>
      <c r="S7429" s="282" t="e">
        <f>++Tabla4[[#This Row],[U. Bruta Uni]]*Tabla4[[#This Row],[Cantidad]]</f>
        <v>#N/A</v>
      </c>
      <c r="T7429" s="369" t="str">
        <f>VLOOKUP(Tabla4[[#This Row],[Producto]],Tabla6[#All],14,FALSE)</f>
        <v>Termico Solar</v>
      </c>
      <c r="U7429" s="284" t="e">
        <f>(IF(Tabla4[[#This Row],[Familia]]="termico solar",Tabla4[[#This Row],[Utilidad Total]]*6%,Tabla4[[#This Row],[Utilidad Total]]*11.5%))/Tabla4[[#This Row],[Total]]</f>
        <v>#N/A</v>
      </c>
      <c r="V7429" s="282" t="e">
        <f>+Tabla4[[#This Row],[Comisión Calculada]]*Tabla4[[#This Row],[Total]]</f>
        <v>#N/A</v>
      </c>
    </row>
    <row r="7430" spans="1:22" x14ac:dyDescent="0.25">
      <c r="A7430" s="100">
        <v>46006</v>
      </c>
      <c r="B7430" t="str">
        <f t="shared" ref="B7430:B7431" si="654">TEXT(A7430, "mmmm")</f>
        <v>December</v>
      </c>
      <c r="C7430" s="46" t="s">
        <v>280</v>
      </c>
      <c r="F7430" s="366" t="s">
        <v>3752</v>
      </c>
      <c r="G7430" s="46" t="s">
        <v>83</v>
      </c>
      <c r="H7430" s="46">
        <v>4</v>
      </c>
      <c r="I7430" s="51">
        <v>8858.76</v>
      </c>
      <c r="J7430" s="281">
        <f>++Tabla4[[#This Row],[Precio Bruto]]*1.16</f>
        <v>10276.161599999999</v>
      </c>
      <c r="K7430" s="281">
        <f>+Tabla4[[#This Row],[Precio Unitario Neto]]*Tabla4[[#Headers],[20.85%]]</f>
        <v>2142.5796935999997</v>
      </c>
      <c r="L7430" s="282">
        <f>++Tabla4[[#This Row],[Precio Unitario Neto]]-Tabla4[[#This Row],[20.85%]]</f>
        <v>8133.5819063999998</v>
      </c>
      <c r="M7430" s="282" t="e">
        <f>(INDEX(Tabla6[#All],MATCH(Tabla4[[#This Row],[Producto]],Tabla6[[#All],[PRODUCTO]],0),MATCH(Tabla4[[#This Row],[Mes]],Tabla6[#Headers],0)))*(1+Catalogos!$L$2)</f>
        <v>#N/A</v>
      </c>
      <c r="N7430" s="283" t="e">
        <f>+(Tabla4[[#This Row],[Precio Descontado]]-Tabla4[[#This Row],[Precio Base]])*Tabla4[[#This Row],[Cantidad]]</f>
        <v>#N/A</v>
      </c>
      <c r="O7430" s="284" t="e">
        <f>++Tabla4[[#This Row],[Utilidad Total]]/Tabla4[[#This Row],[Total]]</f>
        <v>#N/A</v>
      </c>
      <c r="P7430" s="282">
        <f>++Tabla4[[#This Row],[Precio Descontado]]*Tabla4[[#This Row],[Cantidad]]</f>
        <v>32534.327625599999</v>
      </c>
      <c r="Q7430" s="282" t="e">
        <f>(INDEX(Tabla6[#All],MATCH(Tabla4[[#This Row],[Producto]],Tabla6[[#All],[PRODUCTO]],0),MATCH(Tabla4[[#This Row],[Mes]],Tabla6[#Headers],0)))</f>
        <v>#N/A</v>
      </c>
      <c r="R7430" s="282" t="e">
        <f>++Tabla4[[#This Row],[Precio Unitario Neto]]-Tabla4[[#This Row],[20.85%]]-Tabla4[[#This Row],[Costo]]</f>
        <v>#N/A</v>
      </c>
      <c r="S7430" s="282" t="e">
        <f>++Tabla4[[#This Row],[U. Bruta Uni]]*Tabla4[[#This Row],[Cantidad]]</f>
        <v>#N/A</v>
      </c>
      <c r="T7430" s="369" t="str">
        <f>VLOOKUP(Tabla4[[#This Row],[Producto]],Tabla6[#All],14,FALSE)</f>
        <v>Termico Solar</v>
      </c>
      <c r="U7430" s="284" t="e">
        <f>(IF(Tabla4[[#This Row],[Familia]]="termico solar",Tabla4[[#This Row],[Utilidad Total]]*6%,Tabla4[[#This Row],[Utilidad Total]]*11.5%))/Tabla4[[#This Row],[Total]]</f>
        <v>#N/A</v>
      </c>
      <c r="V7430" s="282" t="e">
        <f>+Tabla4[[#This Row],[Comisión Calculada]]*Tabla4[[#This Row],[Total]]</f>
        <v>#N/A</v>
      </c>
    </row>
    <row r="7431" spans="1:22" x14ac:dyDescent="0.25">
      <c r="A7431" s="100">
        <v>46006</v>
      </c>
      <c r="B7431" t="str">
        <f t="shared" si="654"/>
        <v>December</v>
      </c>
      <c r="C7431" s="46" t="s">
        <v>280</v>
      </c>
      <c r="F7431" s="366" t="s">
        <v>3752</v>
      </c>
      <c r="G7431" s="46" t="s">
        <v>208</v>
      </c>
      <c r="H7431" s="46">
        <v>2</v>
      </c>
      <c r="I7431" s="51">
        <v>189.75</v>
      </c>
      <c r="J7431" s="281">
        <f>++Tabla4[[#This Row],[Precio Bruto]]*1.16</f>
        <v>220.10999999999999</v>
      </c>
      <c r="K7431" s="281">
        <f>+Tabla4[[#This Row],[Precio Unitario Neto]]*Tabla4[[#Headers],[20.85%]]</f>
        <v>45.892934999999994</v>
      </c>
      <c r="L7431" s="282">
        <f>++Tabla4[[#This Row],[Precio Unitario Neto]]-Tabla4[[#This Row],[20.85%]]</f>
        <v>174.21706499999999</v>
      </c>
      <c r="M7431" s="282" t="e">
        <f>(INDEX(Tabla6[#All],MATCH(Tabla4[[#This Row],[Producto]],Tabla6[[#All],[PRODUCTO]],0),MATCH(Tabla4[[#This Row],[Mes]],Tabla6[#Headers],0)))*(1+Catalogos!$L$2)</f>
        <v>#N/A</v>
      </c>
      <c r="N7431" s="283" t="e">
        <f>+(Tabla4[[#This Row],[Precio Descontado]]-Tabla4[[#This Row],[Precio Base]])*Tabla4[[#This Row],[Cantidad]]</f>
        <v>#N/A</v>
      </c>
      <c r="O7431" s="284" t="e">
        <f>++Tabla4[[#This Row],[Utilidad Total]]/Tabla4[[#This Row],[Total]]</f>
        <v>#N/A</v>
      </c>
      <c r="P7431" s="282">
        <f>++Tabla4[[#This Row],[Precio Descontado]]*Tabla4[[#This Row],[Cantidad]]</f>
        <v>348.43412999999998</v>
      </c>
      <c r="Q7431" s="282" t="e">
        <f>(INDEX(Tabla6[#All],MATCH(Tabla4[[#This Row],[Producto]],Tabla6[[#All],[PRODUCTO]],0),MATCH(Tabla4[[#This Row],[Mes]],Tabla6[#Headers],0)))</f>
        <v>#N/A</v>
      </c>
      <c r="R7431" s="282" t="e">
        <f>++Tabla4[[#This Row],[Precio Unitario Neto]]-Tabla4[[#This Row],[20.85%]]-Tabla4[[#This Row],[Costo]]</f>
        <v>#N/A</v>
      </c>
      <c r="S7431" s="282" t="e">
        <f>++Tabla4[[#This Row],[U. Bruta Uni]]*Tabla4[[#This Row],[Cantidad]]</f>
        <v>#N/A</v>
      </c>
      <c r="T7431" s="369" t="str">
        <f>VLOOKUP(Tabla4[[#This Row],[Producto]],Tabla6[#All],14,FALSE)</f>
        <v>Termico Solar</v>
      </c>
      <c r="U7431" s="284" t="e">
        <f>(IF(Tabla4[[#This Row],[Familia]]="termico solar",Tabla4[[#This Row],[Utilidad Total]]*6%,Tabla4[[#This Row],[Utilidad Total]]*11.5%))/Tabla4[[#This Row],[Total]]</f>
        <v>#N/A</v>
      </c>
      <c r="V7431" s="282" t="e">
        <f>+Tabla4[[#This Row],[Comisión Calculada]]*Tabla4[[#This Row],[Total]]</f>
        <v>#N/A</v>
      </c>
    </row>
    <row r="7432" spans="1:22" x14ac:dyDescent="0.25">
      <c r="A7432" s="100">
        <v>46006</v>
      </c>
      <c r="B7432" t="str">
        <f t="shared" ref="B7432:B7433" si="655">TEXT(A7432, "mmmm")</f>
        <v>December</v>
      </c>
      <c r="C7432" s="46" t="s">
        <v>280</v>
      </c>
      <c r="F7432" s="366" t="s">
        <v>3753</v>
      </c>
      <c r="G7432" s="46" t="s">
        <v>17</v>
      </c>
      <c r="H7432" s="46">
        <v>3</v>
      </c>
      <c r="I7432" s="51">
        <v>4622.28</v>
      </c>
      <c r="J7432" s="281">
        <f>++Tabla4[[#This Row],[Precio Bruto]]*1.16</f>
        <v>5361.8447999999989</v>
      </c>
      <c r="K7432" s="281">
        <f>+Tabla4[[#This Row],[Precio Unitario Neto]]*Tabla4[[#Headers],[20.85%]]</f>
        <v>1117.9446407999997</v>
      </c>
      <c r="L7432" s="282">
        <f>++Tabla4[[#This Row],[Precio Unitario Neto]]-Tabla4[[#This Row],[20.85%]]</f>
        <v>4243.9001591999995</v>
      </c>
      <c r="M7432" s="282" t="e">
        <f>(INDEX(Tabla6[#All],MATCH(Tabla4[[#This Row],[Producto]],Tabla6[[#All],[PRODUCTO]],0),MATCH(Tabla4[[#This Row],[Mes]],Tabla6[#Headers],0)))*(1+Catalogos!$L$2)</f>
        <v>#N/A</v>
      </c>
      <c r="N7432" s="283" t="e">
        <f>+(Tabla4[[#This Row],[Precio Descontado]]-Tabla4[[#This Row],[Precio Base]])*Tabla4[[#This Row],[Cantidad]]</f>
        <v>#N/A</v>
      </c>
      <c r="O7432" s="284" t="e">
        <f>++Tabla4[[#This Row],[Utilidad Total]]/Tabla4[[#This Row],[Total]]</f>
        <v>#N/A</v>
      </c>
      <c r="P7432" s="282">
        <f>++Tabla4[[#This Row],[Precio Descontado]]*Tabla4[[#This Row],[Cantidad]]</f>
        <v>12731.700477599999</v>
      </c>
      <c r="Q7432" s="282" t="e">
        <f>(INDEX(Tabla6[#All],MATCH(Tabla4[[#This Row],[Producto]],Tabla6[[#All],[PRODUCTO]],0),MATCH(Tabla4[[#This Row],[Mes]],Tabla6[#Headers],0)))</f>
        <v>#N/A</v>
      </c>
      <c r="R7432" s="282" t="e">
        <f>++Tabla4[[#This Row],[Precio Unitario Neto]]-Tabla4[[#This Row],[20.85%]]-Tabla4[[#This Row],[Costo]]</f>
        <v>#N/A</v>
      </c>
      <c r="S7432" s="282" t="e">
        <f>++Tabla4[[#This Row],[U. Bruta Uni]]*Tabla4[[#This Row],[Cantidad]]</f>
        <v>#N/A</v>
      </c>
      <c r="T7432" s="369" t="str">
        <f>VLOOKUP(Tabla4[[#This Row],[Producto]],Tabla6[#All],14,FALSE)</f>
        <v>Termico Solar</v>
      </c>
      <c r="U7432" s="284" t="e">
        <f>(IF(Tabla4[[#This Row],[Familia]]="termico solar",Tabla4[[#This Row],[Utilidad Total]]*6%,Tabla4[[#This Row],[Utilidad Total]]*11.5%))/Tabla4[[#This Row],[Total]]</f>
        <v>#N/A</v>
      </c>
      <c r="V7432" s="282" t="e">
        <f>+Tabla4[[#This Row],[Comisión Calculada]]*Tabla4[[#This Row],[Total]]</f>
        <v>#N/A</v>
      </c>
    </row>
    <row r="7433" spans="1:22" x14ac:dyDescent="0.25">
      <c r="A7433" s="100">
        <v>46006</v>
      </c>
      <c r="B7433" t="str">
        <f t="shared" si="655"/>
        <v>December</v>
      </c>
      <c r="C7433" s="46" t="s">
        <v>280</v>
      </c>
      <c r="F7433" s="366" t="s">
        <v>3753</v>
      </c>
      <c r="G7433" s="46" t="s">
        <v>16</v>
      </c>
      <c r="H7433" s="46">
        <v>1</v>
      </c>
      <c r="I7433" s="51">
        <v>4103.8500000000004</v>
      </c>
      <c r="J7433" s="281">
        <f>++Tabla4[[#This Row],[Precio Bruto]]*1.16</f>
        <v>4760.4660000000003</v>
      </c>
      <c r="K7433" s="281">
        <f>+Tabla4[[#This Row],[Precio Unitario Neto]]*Tabla4[[#Headers],[20.85%]]</f>
        <v>992.55716100000006</v>
      </c>
      <c r="L7433" s="282">
        <f>++Tabla4[[#This Row],[Precio Unitario Neto]]-Tabla4[[#This Row],[20.85%]]</f>
        <v>3767.9088390000002</v>
      </c>
      <c r="M7433" s="282" t="e">
        <f>(INDEX(Tabla6[#All],MATCH(Tabla4[[#This Row],[Producto]],Tabla6[[#All],[PRODUCTO]],0),MATCH(Tabla4[[#This Row],[Mes]],Tabla6[#Headers],0)))*(1+Catalogos!$L$2)</f>
        <v>#N/A</v>
      </c>
      <c r="N7433" s="283" t="e">
        <f>+(Tabla4[[#This Row],[Precio Descontado]]-Tabla4[[#This Row],[Precio Base]])*Tabla4[[#This Row],[Cantidad]]</f>
        <v>#N/A</v>
      </c>
      <c r="O7433" s="284" t="e">
        <f>++Tabla4[[#This Row],[Utilidad Total]]/Tabla4[[#This Row],[Total]]</f>
        <v>#N/A</v>
      </c>
      <c r="P7433" s="282">
        <f>++Tabla4[[#This Row],[Precio Descontado]]*Tabla4[[#This Row],[Cantidad]]</f>
        <v>3767.9088390000002</v>
      </c>
      <c r="Q7433" s="282" t="e">
        <f>(INDEX(Tabla6[#All],MATCH(Tabla4[[#This Row],[Producto]],Tabla6[[#All],[PRODUCTO]],0),MATCH(Tabla4[[#This Row],[Mes]],Tabla6[#Headers],0)))</f>
        <v>#N/A</v>
      </c>
      <c r="R7433" s="282" t="e">
        <f>++Tabla4[[#This Row],[Precio Unitario Neto]]-Tabla4[[#This Row],[20.85%]]-Tabla4[[#This Row],[Costo]]</f>
        <v>#N/A</v>
      </c>
      <c r="S7433" s="282" t="e">
        <f>++Tabla4[[#This Row],[U. Bruta Uni]]*Tabla4[[#This Row],[Cantidad]]</f>
        <v>#N/A</v>
      </c>
      <c r="T7433" s="369" t="str">
        <f>VLOOKUP(Tabla4[[#This Row],[Producto]],Tabla6[#All],14,FALSE)</f>
        <v>Termico Solar</v>
      </c>
      <c r="U7433" s="284" t="e">
        <f>(IF(Tabla4[[#This Row],[Familia]]="termico solar",Tabla4[[#This Row],[Utilidad Total]]*6%,Tabla4[[#This Row],[Utilidad Total]]*11.5%))/Tabla4[[#This Row],[Total]]</f>
        <v>#N/A</v>
      </c>
      <c r="V7433" s="282" t="e">
        <f>+Tabla4[[#This Row],[Comisión Calculada]]*Tabla4[[#This Row],[Total]]</f>
        <v>#N/A</v>
      </c>
    </row>
    <row r="7434" spans="1:22" x14ac:dyDescent="0.25">
      <c r="A7434" s="100">
        <v>46006</v>
      </c>
      <c r="B7434" t="str">
        <f t="shared" ref="B7434:B7436" si="656">TEXT(A7434, "mmmm")</f>
        <v>December</v>
      </c>
      <c r="C7434" s="46" t="s">
        <v>280</v>
      </c>
      <c r="F7434" s="366" t="s">
        <v>3754</v>
      </c>
      <c r="G7434" s="46" t="s">
        <v>83</v>
      </c>
      <c r="H7434" s="46">
        <v>1</v>
      </c>
      <c r="I7434" s="51">
        <v>8858.76</v>
      </c>
      <c r="J7434" s="281">
        <f>++Tabla4[[#This Row],[Precio Bruto]]*1.16</f>
        <v>10276.161599999999</v>
      </c>
      <c r="K7434" s="281">
        <f>+Tabla4[[#This Row],[Precio Unitario Neto]]*Tabla4[[#Headers],[20.85%]]</f>
        <v>2142.5796935999997</v>
      </c>
      <c r="L7434" s="282">
        <f>++Tabla4[[#This Row],[Precio Unitario Neto]]-Tabla4[[#This Row],[20.85%]]</f>
        <v>8133.5819063999998</v>
      </c>
      <c r="M7434" s="282" t="e">
        <f>(INDEX(Tabla6[#All],MATCH(Tabla4[[#This Row],[Producto]],Tabla6[[#All],[PRODUCTO]],0),MATCH(Tabla4[[#This Row],[Mes]],Tabla6[#Headers],0)))*(1+Catalogos!$L$2)</f>
        <v>#N/A</v>
      </c>
      <c r="N7434" s="283" t="e">
        <f>+(Tabla4[[#This Row],[Precio Descontado]]-Tabla4[[#This Row],[Precio Base]])*Tabla4[[#This Row],[Cantidad]]</f>
        <v>#N/A</v>
      </c>
      <c r="O7434" s="284" t="e">
        <f>++Tabla4[[#This Row],[Utilidad Total]]/Tabla4[[#This Row],[Total]]</f>
        <v>#N/A</v>
      </c>
      <c r="P7434" s="282">
        <f>++Tabla4[[#This Row],[Precio Descontado]]*Tabla4[[#This Row],[Cantidad]]</f>
        <v>8133.5819063999998</v>
      </c>
      <c r="Q7434" s="282" t="e">
        <f>(INDEX(Tabla6[#All],MATCH(Tabla4[[#This Row],[Producto]],Tabla6[[#All],[PRODUCTO]],0),MATCH(Tabla4[[#This Row],[Mes]],Tabla6[#Headers],0)))</f>
        <v>#N/A</v>
      </c>
      <c r="R7434" s="282" t="e">
        <f>++Tabla4[[#This Row],[Precio Unitario Neto]]-Tabla4[[#This Row],[20.85%]]-Tabla4[[#This Row],[Costo]]</f>
        <v>#N/A</v>
      </c>
      <c r="S7434" s="282" t="e">
        <f>++Tabla4[[#This Row],[U. Bruta Uni]]*Tabla4[[#This Row],[Cantidad]]</f>
        <v>#N/A</v>
      </c>
      <c r="T7434" s="369" t="str">
        <f>VLOOKUP(Tabla4[[#This Row],[Producto]],Tabla6[#All],14,FALSE)</f>
        <v>Termico Solar</v>
      </c>
      <c r="U7434" s="284" t="e">
        <f>(IF(Tabla4[[#This Row],[Familia]]="termico solar",Tabla4[[#This Row],[Utilidad Total]]*6%,Tabla4[[#This Row],[Utilidad Total]]*11.5%))/Tabla4[[#This Row],[Total]]</f>
        <v>#N/A</v>
      </c>
      <c r="V7434" s="282" t="e">
        <f>+Tabla4[[#This Row],[Comisión Calculada]]*Tabla4[[#This Row],[Total]]</f>
        <v>#N/A</v>
      </c>
    </row>
    <row r="7435" spans="1:22" x14ac:dyDescent="0.25">
      <c r="A7435" s="100">
        <v>46006</v>
      </c>
      <c r="B7435" t="str">
        <f t="shared" si="656"/>
        <v>December</v>
      </c>
      <c r="C7435" s="46" t="s">
        <v>280</v>
      </c>
      <c r="F7435" s="366" t="s">
        <v>3754</v>
      </c>
      <c r="G7435" s="46" t="s">
        <v>17</v>
      </c>
      <c r="H7435" s="46">
        <v>1</v>
      </c>
      <c r="I7435" s="51">
        <v>4622.28</v>
      </c>
      <c r="J7435" s="281">
        <f>++Tabla4[[#This Row],[Precio Bruto]]*1.16</f>
        <v>5361.8447999999989</v>
      </c>
      <c r="K7435" s="281">
        <f>+Tabla4[[#This Row],[Precio Unitario Neto]]*Tabla4[[#Headers],[20.85%]]</f>
        <v>1117.9446407999997</v>
      </c>
      <c r="L7435" s="282">
        <f>++Tabla4[[#This Row],[Precio Unitario Neto]]-Tabla4[[#This Row],[20.85%]]</f>
        <v>4243.9001591999995</v>
      </c>
      <c r="M7435" s="282" t="e">
        <f>(INDEX(Tabla6[#All],MATCH(Tabla4[[#This Row],[Producto]],Tabla6[[#All],[PRODUCTO]],0),MATCH(Tabla4[[#This Row],[Mes]],Tabla6[#Headers],0)))*(1+Catalogos!$L$2)</f>
        <v>#N/A</v>
      </c>
      <c r="N7435" s="283" t="e">
        <f>+(Tabla4[[#This Row],[Precio Descontado]]-Tabla4[[#This Row],[Precio Base]])*Tabla4[[#This Row],[Cantidad]]</f>
        <v>#N/A</v>
      </c>
      <c r="O7435" s="284" t="e">
        <f>++Tabla4[[#This Row],[Utilidad Total]]/Tabla4[[#This Row],[Total]]</f>
        <v>#N/A</v>
      </c>
      <c r="P7435" s="282">
        <f>++Tabla4[[#This Row],[Precio Descontado]]*Tabla4[[#This Row],[Cantidad]]</f>
        <v>4243.9001591999995</v>
      </c>
      <c r="Q7435" s="282" t="e">
        <f>(INDEX(Tabla6[#All],MATCH(Tabla4[[#This Row],[Producto]],Tabla6[[#All],[PRODUCTO]],0),MATCH(Tabla4[[#This Row],[Mes]],Tabla6[#Headers],0)))</f>
        <v>#N/A</v>
      </c>
      <c r="R7435" s="282" t="e">
        <f>++Tabla4[[#This Row],[Precio Unitario Neto]]-Tabla4[[#This Row],[20.85%]]-Tabla4[[#This Row],[Costo]]</f>
        <v>#N/A</v>
      </c>
      <c r="S7435" s="282" t="e">
        <f>++Tabla4[[#This Row],[U. Bruta Uni]]*Tabla4[[#This Row],[Cantidad]]</f>
        <v>#N/A</v>
      </c>
      <c r="T7435" s="369" t="str">
        <f>VLOOKUP(Tabla4[[#This Row],[Producto]],Tabla6[#All],14,FALSE)</f>
        <v>Termico Solar</v>
      </c>
      <c r="U7435" s="284" t="e">
        <f>(IF(Tabla4[[#This Row],[Familia]]="termico solar",Tabla4[[#This Row],[Utilidad Total]]*6%,Tabla4[[#This Row],[Utilidad Total]]*11.5%))/Tabla4[[#This Row],[Total]]</f>
        <v>#N/A</v>
      </c>
      <c r="V7435" s="282" t="e">
        <f>+Tabla4[[#This Row],[Comisión Calculada]]*Tabla4[[#This Row],[Total]]</f>
        <v>#N/A</v>
      </c>
    </row>
    <row r="7436" spans="1:22" x14ac:dyDescent="0.25">
      <c r="A7436" s="100">
        <v>46006</v>
      </c>
      <c r="B7436" t="str">
        <f t="shared" si="656"/>
        <v>December</v>
      </c>
      <c r="C7436" s="46" t="s">
        <v>280</v>
      </c>
      <c r="F7436" s="366" t="s">
        <v>3754</v>
      </c>
      <c r="G7436" s="46" t="s">
        <v>208</v>
      </c>
      <c r="H7436" s="46">
        <v>3</v>
      </c>
      <c r="I7436" s="51">
        <v>189.75</v>
      </c>
      <c r="J7436" s="281">
        <f>++Tabla4[[#This Row],[Precio Bruto]]*1.16</f>
        <v>220.10999999999999</v>
      </c>
      <c r="K7436" s="281">
        <f>+Tabla4[[#This Row],[Precio Unitario Neto]]*Tabla4[[#Headers],[20.85%]]</f>
        <v>45.892934999999994</v>
      </c>
      <c r="L7436" s="282">
        <f>++Tabla4[[#This Row],[Precio Unitario Neto]]-Tabla4[[#This Row],[20.85%]]</f>
        <v>174.21706499999999</v>
      </c>
      <c r="M7436" s="282" t="e">
        <f>(INDEX(Tabla6[#All],MATCH(Tabla4[[#This Row],[Producto]],Tabla6[[#All],[PRODUCTO]],0),MATCH(Tabla4[[#This Row],[Mes]],Tabla6[#Headers],0)))*(1+Catalogos!$L$2)</f>
        <v>#N/A</v>
      </c>
      <c r="N7436" s="283" t="e">
        <f>+(Tabla4[[#This Row],[Precio Descontado]]-Tabla4[[#This Row],[Precio Base]])*Tabla4[[#This Row],[Cantidad]]</f>
        <v>#N/A</v>
      </c>
      <c r="O7436" s="284" t="e">
        <f>++Tabla4[[#This Row],[Utilidad Total]]/Tabla4[[#This Row],[Total]]</f>
        <v>#N/A</v>
      </c>
      <c r="P7436" s="282">
        <f>++Tabla4[[#This Row],[Precio Descontado]]*Tabla4[[#This Row],[Cantidad]]</f>
        <v>522.65119499999992</v>
      </c>
      <c r="Q7436" s="282" t="e">
        <f>(INDEX(Tabla6[#All],MATCH(Tabla4[[#This Row],[Producto]],Tabla6[[#All],[PRODUCTO]],0),MATCH(Tabla4[[#This Row],[Mes]],Tabla6[#Headers],0)))</f>
        <v>#N/A</v>
      </c>
      <c r="R7436" s="282" t="e">
        <f>++Tabla4[[#This Row],[Precio Unitario Neto]]-Tabla4[[#This Row],[20.85%]]-Tabla4[[#This Row],[Costo]]</f>
        <v>#N/A</v>
      </c>
      <c r="S7436" s="282" t="e">
        <f>++Tabla4[[#This Row],[U. Bruta Uni]]*Tabla4[[#This Row],[Cantidad]]</f>
        <v>#N/A</v>
      </c>
      <c r="T7436" s="369" t="str">
        <f>VLOOKUP(Tabla4[[#This Row],[Producto]],Tabla6[#All],14,FALSE)</f>
        <v>Termico Solar</v>
      </c>
      <c r="U7436" s="284" t="e">
        <f>(IF(Tabla4[[#This Row],[Familia]]="termico solar",Tabla4[[#This Row],[Utilidad Total]]*6%,Tabla4[[#This Row],[Utilidad Total]]*11.5%))/Tabla4[[#This Row],[Total]]</f>
        <v>#N/A</v>
      </c>
      <c r="V7436" s="282" t="e">
        <f>+Tabla4[[#This Row],[Comisión Calculada]]*Tabla4[[#This Row],[Total]]</f>
        <v>#N/A</v>
      </c>
    </row>
    <row r="7437" spans="1:22" x14ac:dyDescent="0.25">
      <c r="A7437" s="100">
        <v>46006</v>
      </c>
      <c r="B7437" t="str">
        <f t="shared" ref="B7437:B7441" si="657">TEXT(A7437, "mmmm")</f>
        <v>December</v>
      </c>
      <c r="C7437" s="46" t="s">
        <v>280</v>
      </c>
      <c r="F7437" s="366" t="s">
        <v>3755</v>
      </c>
      <c r="G7437" s="46" t="s">
        <v>83</v>
      </c>
      <c r="H7437" s="46">
        <v>2</v>
      </c>
      <c r="I7437" s="51">
        <v>8858.76</v>
      </c>
      <c r="J7437" s="281">
        <f>++Tabla4[[#This Row],[Precio Bruto]]*1.16</f>
        <v>10276.161599999999</v>
      </c>
      <c r="K7437" s="281">
        <f>+Tabla4[[#This Row],[Precio Unitario Neto]]*Tabla4[[#Headers],[20.85%]]</f>
        <v>2142.5796935999997</v>
      </c>
      <c r="L7437" s="282">
        <f>++Tabla4[[#This Row],[Precio Unitario Neto]]-Tabla4[[#This Row],[20.85%]]</f>
        <v>8133.5819063999998</v>
      </c>
      <c r="M7437" s="282" t="e">
        <f>(INDEX(Tabla6[#All],MATCH(Tabla4[[#This Row],[Producto]],Tabla6[[#All],[PRODUCTO]],0),MATCH(Tabla4[[#This Row],[Mes]],Tabla6[#Headers],0)))*(1+Catalogos!$L$2)</f>
        <v>#N/A</v>
      </c>
      <c r="N7437" s="283" t="e">
        <f>+(Tabla4[[#This Row],[Precio Descontado]]-Tabla4[[#This Row],[Precio Base]])*Tabla4[[#This Row],[Cantidad]]</f>
        <v>#N/A</v>
      </c>
      <c r="O7437" s="284" t="e">
        <f>++Tabla4[[#This Row],[Utilidad Total]]/Tabla4[[#This Row],[Total]]</f>
        <v>#N/A</v>
      </c>
      <c r="P7437" s="282">
        <f>++Tabla4[[#This Row],[Precio Descontado]]*Tabla4[[#This Row],[Cantidad]]</f>
        <v>16267.1638128</v>
      </c>
      <c r="Q7437" s="282" t="e">
        <f>(INDEX(Tabla6[#All],MATCH(Tabla4[[#This Row],[Producto]],Tabla6[[#All],[PRODUCTO]],0),MATCH(Tabla4[[#This Row],[Mes]],Tabla6[#Headers],0)))</f>
        <v>#N/A</v>
      </c>
      <c r="R7437" s="282" t="e">
        <f>++Tabla4[[#This Row],[Precio Unitario Neto]]-Tabla4[[#This Row],[20.85%]]-Tabla4[[#This Row],[Costo]]</f>
        <v>#N/A</v>
      </c>
      <c r="S7437" s="282" t="e">
        <f>++Tabla4[[#This Row],[U. Bruta Uni]]*Tabla4[[#This Row],[Cantidad]]</f>
        <v>#N/A</v>
      </c>
      <c r="T7437" s="369" t="str">
        <f>VLOOKUP(Tabla4[[#This Row],[Producto]],Tabla6[#All],14,FALSE)</f>
        <v>Termico Solar</v>
      </c>
      <c r="U7437" s="284" t="e">
        <f>(IF(Tabla4[[#This Row],[Familia]]="termico solar",Tabla4[[#This Row],[Utilidad Total]]*6%,Tabla4[[#This Row],[Utilidad Total]]*11.5%))/Tabla4[[#This Row],[Total]]</f>
        <v>#N/A</v>
      </c>
      <c r="V7437" s="282" t="e">
        <f>+Tabla4[[#This Row],[Comisión Calculada]]*Tabla4[[#This Row],[Total]]</f>
        <v>#N/A</v>
      </c>
    </row>
    <row r="7438" spans="1:22" x14ac:dyDescent="0.25">
      <c r="A7438" s="100">
        <v>46006</v>
      </c>
      <c r="B7438" t="str">
        <f t="shared" si="657"/>
        <v>December</v>
      </c>
      <c r="C7438" s="46" t="s">
        <v>280</v>
      </c>
      <c r="F7438" s="366" t="s">
        <v>3755</v>
      </c>
      <c r="G7438" s="46" t="s">
        <v>17</v>
      </c>
      <c r="H7438" s="46">
        <v>2</v>
      </c>
      <c r="I7438" s="51">
        <v>4622.28</v>
      </c>
      <c r="J7438" s="281">
        <f>++Tabla4[[#This Row],[Precio Bruto]]*1.16</f>
        <v>5361.8447999999989</v>
      </c>
      <c r="K7438" s="281">
        <f>+Tabla4[[#This Row],[Precio Unitario Neto]]*Tabla4[[#Headers],[20.85%]]</f>
        <v>1117.9446407999997</v>
      </c>
      <c r="L7438" s="282">
        <f>++Tabla4[[#This Row],[Precio Unitario Neto]]-Tabla4[[#This Row],[20.85%]]</f>
        <v>4243.9001591999995</v>
      </c>
      <c r="M7438" s="282" t="e">
        <f>(INDEX(Tabla6[#All],MATCH(Tabla4[[#This Row],[Producto]],Tabla6[[#All],[PRODUCTO]],0),MATCH(Tabla4[[#This Row],[Mes]],Tabla6[#Headers],0)))*(1+Catalogos!$L$2)</f>
        <v>#N/A</v>
      </c>
      <c r="N7438" s="283" t="e">
        <f>+(Tabla4[[#This Row],[Precio Descontado]]-Tabla4[[#This Row],[Precio Base]])*Tabla4[[#This Row],[Cantidad]]</f>
        <v>#N/A</v>
      </c>
      <c r="O7438" s="284" t="e">
        <f>++Tabla4[[#This Row],[Utilidad Total]]/Tabla4[[#This Row],[Total]]</f>
        <v>#N/A</v>
      </c>
      <c r="P7438" s="282">
        <f>++Tabla4[[#This Row],[Precio Descontado]]*Tabla4[[#This Row],[Cantidad]]</f>
        <v>8487.800318399999</v>
      </c>
      <c r="Q7438" s="282" t="e">
        <f>(INDEX(Tabla6[#All],MATCH(Tabla4[[#This Row],[Producto]],Tabla6[[#All],[PRODUCTO]],0),MATCH(Tabla4[[#This Row],[Mes]],Tabla6[#Headers],0)))</f>
        <v>#N/A</v>
      </c>
      <c r="R7438" s="282" t="e">
        <f>++Tabla4[[#This Row],[Precio Unitario Neto]]-Tabla4[[#This Row],[20.85%]]-Tabla4[[#This Row],[Costo]]</f>
        <v>#N/A</v>
      </c>
      <c r="S7438" s="282" t="e">
        <f>++Tabla4[[#This Row],[U. Bruta Uni]]*Tabla4[[#This Row],[Cantidad]]</f>
        <v>#N/A</v>
      </c>
      <c r="T7438" s="369" t="str">
        <f>VLOOKUP(Tabla4[[#This Row],[Producto]],Tabla6[#All],14,FALSE)</f>
        <v>Termico Solar</v>
      </c>
      <c r="U7438" s="284" t="e">
        <f>(IF(Tabla4[[#This Row],[Familia]]="termico solar",Tabla4[[#This Row],[Utilidad Total]]*6%,Tabla4[[#This Row],[Utilidad Total]]*11.5%))/Tabla4[[#This Row],[Total]]</f>
        <v>#N/A</v>
      </c>
      <c r="V7438" s="282" t="e">
        <f>+Tabla4[[#This Row],[Comisión Calculada]]*Tabla4[[#This Row],[Total]]</f>
        <v>#N/A</v>
      </c>
    </row>
    <row r="7439" spans="1:22" x14ac:dyDescent="0.25">
      <c r="A7439" s="100">
        <v>46006</v>
      </c>
      <c r="B7439" t="str">
        <f t="shared" si="657"/>
        <v>December</v>
      </c>
      <c r="C7439" s="46" t="s">
        <v>280</v>
      </c>
      <c r="F7439" s="366" t="s">
        <v>3755</v>
      </c>
      <c r="G7439" s="46" t="s">
        <v>18</v>
      </c>
      <c r="H7439" s="46">
        <v>2</v>
      </c>
      <c r="I7439" s="51">
        <v>5367.65</v>
      </c>
      <c r="J7439" s="281">
        <f>++Tabla4[[#This Row],[Precio Bruto]]*1.16</f>
        <v>6226.4739999999993</v>
      </c>
      <c r="K7439" s="281">
        <f>+Tabla4[[#This Row],[Precio Unitario Neto]]*Tabla4[[#Headers],[20.85%]]</f>
        <v>1298.2198289999999</v>
      </c>
      <c r="L7439" s="282">
        <f>++Tabla4[[#This Row],[Precio Unitario Neto]]-Tabla4[[#This Row],[20.85%]]</f>
        <v>4928.2541709999996</v>
      </c>
      <c r="M7439" s="282" t="e">
        <f>(INDEX(Tabla6[#All],MATCH(Tabla4[[#This Row],[Producto]],Tabla6[[#All],[PRODUCTO]],0),MATCH(Tabla4[[#This Row],[Mes]],Tabla6[#Headers],0)))*(1+Catalogos!$L$2)</f>
        <v>#N/A</v>
      </c>
      <c r="N7439" s="283" t="e">
        <f>+(Tabla4[[#This Row],[Precio Descontado]]-Tabla4[[#This Row],[Precio Base]])*Tabla4[[#This Row],[Cantidad]]</f>
        <v>#N/A</v>
      </c>
      <c r="O7439" s="284" t="e">
        <f>++Tabla4[[#This Row],[Utilidad Total]]/Tabla4[[#This Row],[Total]]</f>
        <v>#N/A</v>
      </c>
      <c r="P7439" s="282">
        <f>++Tabla4[[#This Row],[Precio Descontado]]*Tabla4[[#This Row],[Cantidad]]</f>
        <v>9856.5083419999992</v>
      </c>
      <c r="Q7439" s="282" t="e">
        <f>(INDEX(Tabla6[#All],MATCH(Tabla4[[#This Row],[Producto]],Tabla6[[#All],[PRODUCTO]],0),MATCH(Tabla4[[#This Row],[Mes]],Tabla6[#Headers],0)))</f>
        <v>#N/A</v>
      </c>
      <c r="R7439" s="282" t="e">
        <f>++Tabla4[[#This Row],[Precio Unitario Neto]]-Tabla4[[#This Row],[20.85%]]-Tabla4[[#This Row],[Costo]]</f>
        <v>#N/A</v>
      </c>
      <c r="S7439" s="282" t="e">
        <f>++Tabla4[[#This Row],[U. Bruta Uni]]*Tabla4[[#This Row],[Cantidad]]</f>
        <v>#N/A</v>
      </c>
      <c r="T7439" s="369" t="str">
        <f>VLOOKUP(Tabla4[[#This Row],[Producto]],Tabla6[#All],14,FALSE)</f>
        <v>Termico Solar</v>
      </c>
      <c r="U7439" s="284" t="e">
        <f>(IF(Tabla4[[#This Row],[Familia]]="termico solar",Tabla4[[#This Row],[Utilidad Total]]*6%,Tabla4[[#This Row],[Utilidad Total]]*11.5%))/Tabla4[[#This Row],[Total]]</f>
        <v>#N/A</v>
      </c>
      <c r="V7439" s="282" t="e">
        <f>+Tabla4[[#This Row],[Comisión Calculada]]*Tabla4[[#This Row],[Total]]</f>
        <v>#N/A</v>
      </c>
    </row>
    <row r="7440" spans="1:22" x14ac:dyDescent="0.25">
      <c r="A7440" s="100">
        <v>46006</v>
      </c>
      <c r="B7440" t="str">
        <f t="shared" si="657"/>
        <v>December</v>
      </c>
      <c r="C7440" s="46" t="s">
        <v>280</v>
      </c>
      <c r="F7440" s="366" t="s">
        <v>3755</v>
      </c>
      <c r="G7440" s="46" t="s">
        <v>566</v>
      </c>
      <c r="H7440" s="46">
        <v>1</v>
      </c>
      <c r="I7440" s="51">
        <v>2109.4499999999998</v>
      </c>
      <c r="J7440" s="281">
        <f>++Tabla4[[#This Row],[Precio Bruto]]*1.16</f>
        <v>2446.9619999999995</v>
      </c>
      <c r="K7440" s="281">
        <f>+Tabla4[[#This Row],[Precio Unitario Neto]]*Tabla4[[#Headers],[20.85%]]</f>
        <v>510.19157699999988</v>
      </c>
      <c r="L7440" s="282">
        <f>++Tabla4[[#This Row],[Precio Unitario Neto]]-Tabla4[[#This Row],[20.85%]]</f>
        <v>1936.7704229999997</v>
      </c>
      <c r="M7440" s="282" t="e">
        <f>(INDEX(Tabla6[#All],MATCH(Tabla4[[#This Row],[Producto]],Tabla6[[#All],[PRODUCTO]],0),MATCH(Tabla4[[#This Row],[Mes]],Tabla6[#Headers],0)))*(1+Catalogos!$L$2)</f>
        <v>#N/A</v>
      </c>
      <c r="N7440" s="283" t="e">
        <f>+(Tabla4[[#This Row],[Precio Descontado]]-Tabla4[[#This Row],[Precio Base]])*Tabla4[[#This Row],[Cantidad]]</f>
        <v>#N/A</v>
      </c>
      <c r="O7440" s="284" t="e">
        <f>++Tabla4[[#This Row],[Utilidad Total]]/Tabla4[[#This Row],[Total]]</f>
        <v>#N/A</v>
      </c>
      <c r="P7440" s="282">
        <f>++Tabla4[[#This Row],[Precio Descontado]]*Tabla4[[#This Row],[Cantidad]]</f>
        <v>1936.7704229999997</v>
      </c>
      <c r="Q7440" s="282" t="e">
        <f>(INDEX(Tabla6[#All],MATCH(Tabla4[[#This Row],[Producto]],Tabla6[[#All],[PRODUCTO]],0),MATCH(Tabla4[[#This Row],[Mes]],Tabla6[#Headers],0)))</f>
        <v>#N/A</v>
      </c>
      <c r="R7440" s="282" t="e">
        <f>++Tabla4[[#This Row],[Precio Unitario Neto]]-Tabla4[[#This Row],[20.85%]]-Tabla4[[#This Row],[Costo]]</f>
        <v>#N/A</v>
      </c>
      <c r="S7440" s="282" t="e">
        <f>++Tabla4[[#This Row],[U. Bruta Uni]]*Tabla4[[#This Row],[Cantidad]]</f>
        <v>#N/A</v>
      </c>
      <c r="T7440" s="369" t="str">
        <f>VLOOKUP(Tabla4[[#This Row],[Producto]],Tabla6[#All],14,FALSE)</f>
        <v>Termico Solar</v>
      </c>
      <c r="U7440" s="284" t="e">
        <f>(IF(Tabla4[[#This Row],[Familia]]="termico solar",Tabla4[[#This Row],[Utilidad Total]]*6%,Tabla4[[#This Row],[Utilidad Total]]*11.5%))/Tabla4[[#This Row],[Total]]</f>
        <v>#N/A</v>
      </c>
      <c r="V7440" s="282" t="e">
        <f>+Tabla4[[#This Row],[Comisión Calculada]]*Tabla4[[#This Row],[Total]]</f>
        <v>#N/A</v>
      </c>
    </row>
    <row r="7441" spans="1:22" x14ac:dyDescent="0.25">
      <c r="A7441" s="100">
        <v>46006</v>
      </c>
      <c r="B7441" t="str">
        <f t="shared" si="657"/>
        <v>December</v>
      </c>
      <c r="C7441" s="46" t="s">
        <v>280</v>
      </c>
      <c r="F7441" s="366" t="s">
        <v>3755</v>
      </c>
      <c r="G7441" s="46" t="s">
        <v>16</v>
      </c>
      <c r="H7441" s="46">
        <v>1</v>
      </c>
      <c r="I7441" s="51">
        <v>4103.8500000000004</v>
      </c>
      <c r="J7441" s="281">
        <f>++Tabla4[[#This Row],[Precio Bruto]]*1.16</f>
        <v>4760.4660000000003</v>
      </c>
      <c r="K7441" s="281">
        <f>+Tabla4[[#This Row],[Precio Unitario Neto]]*Tabla4[[#Headers],[20.85%]]</f>
        <v>992.55716100000006</v>
      </c>
      <c r="L7441" s="282">
        <f>++Tabla4[[#This Row],[Precio Unitario Neto]]-Tabla4[[#This Row],[20.85%]]</f>
        <v>3767.9088390000002</v>
      </c>
      <c r="M7441" s="282" t="e">
        <f>(INDEX(Tabla6[#All],MATCH(Tabla4[[#This Row],[Producto]],Tabla6[[#All],[PRODUCTO]],0),MATCH(Tabla4[[#This Row],[Mes]],Tabla6[#Headers],0)))*(1+Catalogos!$L$2)</f>
        <v>#N/A</v>
      </c>
      <c r="N7441" s="283" t="e">
        <f>+(Tabla4[[#This Row],[Precio Descontado]]-Tabla4[[#This Row],[Precio Base]])*Tabla4[[#This Row],[Cantidad]]</f>
        <v>#N/A</v>
      </c>
      <c r="O7441" s="284" t="e">
        <f>++Tabla4[[#This Row],[Utilidad Total]]/Tabla4[[#This Row],[Total]]</f>
        <v>#N/A</v>
      </c>
      <c r="P7441" s="282">
        <f>++Tabla4[[#This Row],[Precio Descontado]]*Tabla4[[#This Row],[Cantidad]]</f>
        <v>3767.9088390000002</v>
      </c>
      <c r="Q7441" s="282" t="e">
        <f>(INDEX(Tabla6[#All],MATCH(Tabla4[[#This Row],[Producto]],Tabla6[[#All],[PRODUCTO]],0),MATCH(Tabla4[[#This Row],[Mes]],Tabla6[#Headers],0)))</f>
        <v>#N/A</v>
      </c>
      <c r="R7441" s="282" t="e">
        <f>++Tabla4[[#This Row],[Precio Unitario Neto]]-Tabla4[[#This Row],[20.85%]]-Tabla4[[#This Row],[Costo]]</f>
        <v>#N/A</v>
      </c>
      <c r="S7441" s="282" t="e">
        <f>++Tabla4[[#This Row],[U. Bruta Uni]]*Tabla4[[#This Row],[Cantidad]]</f>
        <v>#N/A</v>
      </c>
      <c r="T7441" s="369" t="str">
        <f>VLOOKUP(Tabla4[[#This Row],[Producto]],Tabla6[#All],14,FALSE)</f>
        <v>Termico Solar</v>
      </c>
      <c r="U7441" s="284" t="e">
        <f>(IF(Tabla4[[#This Row],[Familia]]="termico solar",Tabla4[[#This Row],[Utilidad Total]]*6%,Tabla4[[#This Row],[Utilidad Total]]*11.5%))/Tabla4[[#This Row],[Total]]</f>
        <v>#N/A</v>
      </c>
      <c r="V7441" s="282" t="e">
        <f>+Tabla4[[#This Row],[Comisión Calculada]]*Tabla4[[#This Row],[Total]]</f>
        <v>#N/A</v>
      </c>
    </row>
    <row r="7442" spans="1:22" x14ac:dyDescent="0.25">
      <c r="A7442" s="100">
        <v>46006</v>
      </c>
      <c r="B7442" t="str">
        <f t="shared" ref="B7442:B7444" si="658">TEXT(A7442, "mmmm")</f>
        <v>December</v>
      </c>
      <c r="C7442" s="46" t="s">
        <v>280</v>
      </c>
      <c r="F7442" s="366" t="s">
        <v>3756</v>
      </c>
      <c r="G7442" s="46" t="s">
        <v>17</v>
      </c>
      <c r="H7442" s="46">
        <v>1</v>
      </c>
      <c r="I7442" s="51">
        <v>4622.28</v>
      </c>
      <c r="J7442" s="281">
        <f>++Tabla4[[#This Row],[Precio Bruto]]*1.16</f>
        <v>5361.8447999999989</v>
      </c>
      <c r="K7442" s="281">
        <f>+Tabla4[[#This Row],[Precio Unitario Neto]]*Tabla4[[#Headers],[20.85%]]</f>
        <v>1117.9446407999997</v>
      </c>
      <c r="L7442" s="282">
        <f>++Tabla4[[#This Row],[Precio Unitario Neto]]-Tabla4[[#This Row],[20.85%]]</f>
        <v>4243.9001591999995</v>
      </c>
      <c r="M7442" s="282" t="e">
        <f>(INDEX(Tabla6[#All],MATCH(Tabla4[[#This Row],[Producto]],Tabla6[[#All],[PRODUCTO]],0),MATCH(Tabla4[[#This Row],[Mes]],Tabla6[#Headers],0)))*(1+Catalogos!$L$2)</f>
        <v>#N/A</v>
      </c>
      <c r="N7442" s="283" t="e">
        <f>+(Tabla4[[#This Row],[Precio Descontado]]-Tabla4[[#This Row],[Precio Base]])*Tabla4[[#This Row],[Cantidad]]</f>
        <v>#N/A</v>
      </c>
      <c r="O7442" s="284" t="e">
        <f>++Tabla4[[#This Row],[Utilidad Total]]/Tabla4[[#This Row],[Total]]</f>
        <v>#N/A</v>
      </c>
      <c r="P7442" s="282">
        <f>++Tabla4[[#This Row],[Precio Descontado]]*Tabla4[[#This Row],[Cantidad]]</f>
        <v>4243.9001591999995</v>
      </c>
      <c r="Q7442" s="282" t="e">
        <f>(INDEX(Tabla6[#All],MATCH(Tabla4[[#This Row],[Producto]],Tabla6[[#All],[PRODUCTO]],0),MATCH(Tabla4[[#This Row],[Mes]],Tabla6[#Headers],0)))</f>
        <v>#N/A</v>
      </c>
      <c r="R7442" s="282" t="e">
        <f>++Tabla4[[#This Row],[Precio Unitario Neto]]-Tabla4[[#This Row],[20.85%]]-Tabla4[[#This Row],[Costo]]</f>
        <v>#N/A</v>
      </c>
      <c r="S7442" s="282" t="e">
        <f>++Tabla4[[#This Row],[U. Bruta Uni]]*Tabla4[[#This Row],[Cantidad]]</f>
        <v>#N/A</v>
      </c>
      <c r="T7442" s="369" t="str">
        <f>VLOOKUP(Tabla4[[#This Row],[Producto]],Tabla6[#All],14,FALSE)</f>
        <v>Termico Solar</v>
      </c>
      <c r="U7442" s="284" t="e">
        <f>(IF(Tabla4[[#This Row],[Familia]]="termico solar",Tabla4[[#This Row],[Utilidad Total]]*6%,Tabla4[[#This Row],[Utilidad Total]]*11.5%))/Tabla4[[#This Row],[Total]]</f>
        <v>#N/A</v>
      </c>
      <c r="V7442" s="282" t="e">
        <f>+Tabla4[[#This Row],[Comisión Calculada]]*Tabla4[[#This Row],[Total]]</f>
        <v>#N/A</v>
      </c>
    </row>
    <row r="7443" spans="1:22" x14ac:dyDescent="0.25">
      <c r="A7443" s="100">
        <v>46006</v>
      </c>
      <c r="B7443" t="str">
        <f t="shared" si="658"/>
        <v>December</v>
      </c>
      <c r="C7443" s="46" t="s">
        <v>280</v>
      </c>
      <c r="F7443" s="366" t="s">
        <v>3756</v>
      </c>
      <c r="G7443" s="46" t="s">
        <v>16</v>
      </c>
      <c r="H7443" s="46">
        <v>1</v>
      </c>
      <c r="I7443" s="51">
        <v>4103.8500000000004</v>
      </c>
      <c r="J7443" s="281">
        <f>++Tabla4[[#This Row],[Precio Bruto]]*1.16</f>
        <v>4760.4660000000003</v>
      </c>
      <c r="K7443" s="281">
        <f>+Tabla4[[#This Row],[Precio Unitario Neto]]*Tabla4[[#Headers],[20.85%]]</f>
        <v>992.55716100000006</v>
      </c>
      <c r="L7443" s="282">
        <f>++Tabla4[[#This Row],[Precio Unitario Neto]]-Tabla4[[#This Row],[20.85%]]</f>
        <v>3767.9088390000002</v>
      </c>
      <c r="M7443" s="282" t="e">
        <f>(INDEX(Tabla6[#All],MATCH(Tabla4[[#This Row],[Producto]],Tabla6[[#All],[PRODUCTO]],0),MATCH(Tabla4[[#This Row],[Mes]],Tabla6[#Headers],0)))*(1+Catalogos!$L$2)</f>
        <v>#N/A</v>
      </c>
      <c r="N7443" s="283" t="e">
        <f>+(Tabla4[[#This Row],[Precio Descontado]]-Tabla4[[#This Row],[Precio Base]])*Tabla4[[#This Row],[Cantidad]]</f>
        <v>#N/A</v>
      </c>
      <c r="O7443" s="284" t="e">
        <f>++Tabla4[[#This Row],[Utilidad Total]]/Tabla4[[#This Row],[Total]]</f>
        <v>#N/A</v>
      </c>
      <c r="P7443" s="282">
        <f>++Tabla4[[#This Row],[Precio Descontado]]*Tabla4[[#This Row],[Cantidad]]</f>
        <v>3767.9088390000002</v>
      </c>
      <c r="Q7443" s="282" t="e">
        <f>(INDEX(Tabla6[#All],MATCH(Tabla4[[#This Row],[Producto]],Tabla6[[#All],[PRODUCTO]],0),MATCH(Tabla4[[#This Row],[Mes]],Tabla6[#Headers],0)))</f>
        <v>#N/A</v>
      </c>
      <c r="R7443" s="282" t="e">
        <f>++Tabla4[[#This Row],[Precio Unitario Neto]]-Tabla4[[#This Row],[20.85%]]-Tabla4[[#This Row],[Costo]]</f>
        <v>#N/A</v>
      </c>
      <c r="S7443" s="282" t="e">
        <f>++Tabla4[[#This Row],[U. Bruta Uni]]*Tabla4[[#This Row],[Cantidad]]</f>
        <v>#N/A</v>
      </c>
      <c r="T7443" s="369" t="str">
        <f>VLOOKUP(Tabla4[[#This Row],[Producto]],Tabla6[#All],14,FALSE)</f>
        <v>Termico Solar</v>
      </c>
      <c r="U7443" s="284" t="e">
        <f>(IF(Tabla4[[#This Row],[Familia]]="termico solar",Tabla4[[#This Row],[Utilidad Total]]*6%,Tabla4[[#This Row],[Utilidad Total]]*11.5%))/Tabla4[[#This Row],[Total]]</f>
        <v>#N/A</v>
      </c>
      <c r="V7443" s="282" t="e">
        <f>+Tabla4[[#This Row],[Comisión Calculada]]*Tabla4[[#This Row],[Total]]</f>
        <v>#N/A</v>
      </c>
    </row>
    <row r="7444" spans="1:22" x14ac:dyDescent="0.25">
      <c r="A7444" s="100">
        <v>46006</v>
      </c>
      <c r="B7444" t="str">
        <f t="shared" si="658"/>
        <v>December</v>
      </c>
      <c r="C7444" s="46" t="s">
        <v>280</v>
      </c>
      <c r="F7444" s="366" t="s">
        <v>3756</v>
      </c>
      <c r="G7444" s="46" t="s">
        <v>208</v>
      </c>
      <c r="H7444" s="46">
        <v>5</v>
      </c>
      <c r="I7444" s="51">
        <v>189.75</v>
      </c>
      <c r="J7444" s="281">
        <f>++Tabla4[[#This Row],[Precio Bruto]]*1.16</f>
        <v>220.10999999999999</v>
      </c>
      <c r="K7444" s="281">
        <f>+Tabla4[[#This Row],[Precio Unitario Neto]]*Tabla4[[#Headers],[20.85%]]</f>
        <v>45.892934999999994</v>
      </c>
      <c r="L7444" s="282">
        <f>++Tabla4[[#This Row],[Precio Unitario Neto]]-Tabla4[[#This Row],[20.85%]]</f>
        <v>174.21706499999999</v>
      </c>
      <c r="M7444" s="282" t="e">
        <f>(INDEX(Tabla6[#All],MATCH(Tabla4[[#This Row],[Producto]],Tabla6[[#All],[PRODUCTO]],0),MATCH(Tabla4[[#This Row],[Mes]],Tabla6[#Headers],0)))*(1+Catalogos!$L$2)</f>
        <v>#N/A</v>
      </c>
      <c r="N7444" s="283" t="e">
        <f>+(Tabla4[[#This Row],[Precio Descontado]]-Tabla4[[#This Row],[Precio Base]])*Tabla4[[#This Row],[Cantidad]]</f>
        <v>#N/A</v>
      </c>
      <c r="O7444" s="284" t="e">
        <f>++Tabla4[[#This Row],[Utilidad Total]]/Tabla4[[#This Row],[Total]]</f>
        <v>#N/A</v>
      </c>
      <c r="P7444" s="282">
        <f>++Tabla4[[#This Row],[Precio Descontado]]*Tabla4[[#This Row],[Cantidad]]</f>
        <v>871.08532500000001</v>
      </c>
      <c r="Q7444" s="282" t="e">
        <f>(INDEX(Tabla6[#All],MATCH(Tabla4[[#This Row],[Producto]],Tabla6[[#All],[PRODUCTO]],0),MATCH(Tabla4[[#This Row],[Mes]],Tabla6[#Headers],0)))</f>
        <v>#N/A</v>
      </c>
      <c r="R7444" s="282" t="e">
        <f>++Tabla4[[#This Row],[Precio Unitario Neto]]-Tabla4[[#This Row],[20.85%]]-Tabla4[[#This Row],[Costo]]</f>
        <v>#N/A</v>
      </c>
      <c r="S7444" s="282" t="e">
        <f>++Tabla4[[#This Row],[U. Bruta Uni]]*Tabla4[[#This Row],[Cantidad]]</f>
        <v>#N/A</v>
      </c>
      <c r="T7444" s="369" t="str">
        <f>VLOOKUP(Tabla4[[#This Row],[Producto]],Tabla6[#All],14,FALSE)</f>
        <v>Termico Solar</v>
      </c>
      <c r="U7444" s="284" t="e">
        <f>(IF(Tabla4[[#This Row],[Familia]]="termico solar",Tabla4[[#This Row],[Utilidad Total]]*6%,Tabla4[[#This Row],[Utilidad Total]]*11.5%))/Tabla4[[#This Row],[Total]]</f>
        <v>#N/A</v>
      </c>
      <c r="V7444" s="282" t="e">
        <f>+Tabla4[[#This Row],[Comisión Calculada]]*Tabla4[[#This Row],[Total]]</f>
        <v>#N/A</v>
      </c>
    </row>
    <row r="7445" spans="1:22" x14ac:dyDescent="0.25">
      <c r="A7445" s="100">
        <v>46006</v>
      </c>
      <c r="B7445" t="str">
        <f>TEXT(A7445, "mmmm")</f>
        <v>December</v>
      </c>
      <c r="C7445" s="46" t="s">
        <v>280</v>
      </c>
      <c r="F7445" s="366" t="s">
        <v>3757</v>
      </c>
      <c r="G7445" s="46" t="s">
        <v>83</v>
      </c>
      <c r="H7445" s="46">
        <v>3</v>
      </c>
      <c r="I7445" s="51">
        <v>8858.76</v>
      </c>
      <c r="J7445" s="281">
        <f>++Tabla4[[#This Row],[Precio Bruto]]*1.16</f>
        <v>10276.161599999999</v>
      </c>
      <c r="K7445" s="281">
        <f>+Tabla4[[#This Row],[Precio Unitario Neto]]*Tabla4[[#Headers],[20.85%]]</f>
        <v>2142.5796935999997</v>
      </c>
      <c r="L7445" s="282">
        <f>++Tabla4[[#This Row],[Precio Unitario Neto]]-Tabla4[[#This Row],[20.85%]]</f>
        <v>8133.5819063999998</v>
      </c>
      <c r="M7445" s="282" t="e">
        <f>(INDEX(Tabla6[#All],MATCH(Tabla4[[#This Row],[Producto]],Tabla6[[#All],[PRODUCTO]],0),MATCH(Tabla4[[#This Row],[Mes]],Tabla6[#Headers],0)))*(1+Catalogos!$L$2)</f>
        <v>#N/A</v>
      </c>
      <c r="N7445" s="283" t="e">
        <f>+(Tabla4[[#This Row],[Precio Descontado]]-Tabla4[[#This Row],[Precio Base]])*Tabla4[[#This Row],[Cantidad]]</f>
        <v>#N/A</v>
      </c>
      <c r="O7445" s="284" t="e">
        <f>++Tabla4[[#This Row],[Utilidad Total]]/Tabla4[[#This Row],[Total]]</f>
        <v>#N/A</v>
      </c>
      <c r="P7445" s="282">
        <f>++Tabla4[[#This Row],[Precio Descontado]]*Tabla4[[#This Row],[Cantidad]]</f>
        <v>24400.7457192</v>
      </c>
      <c r="Q7445" s="282" t="e">
        <f>(INDEX(Tabla6[#All],MATCH(Tabla4[[#This Row],[Producto]],Tabla6[[#All],[PRODUCTO]],0),MATCH(Tabla4[[#This Row],[Mes]],Tabla6[#Headers],0)))</f>
        <v>#N/A</v>
      </c>
      <c r="R7445" s="282" t="e">
        <f>++Tabla4[[#This Row],[Precio Unitario Neto]]-Tabla4[[#This Row],[20.85%]]-Tabla4[[#This Row],[Costo]]</f>
        <v>#N/A</v>
      </c>
      <c r="S7445" s="282" t="e">
        <f>++Tabla4[[#This Row],[U. Bruta Uni]]*Tabla4[[#This Row],[Cantidad]]</f>
        <v>#N/A</v>
      </c>
      <c r="T7445" s="369" t="str">
        <f>VLOOKUP(Tabla4[[#This Row],[Producto]],Tabla6[#All],14,FALSE)</f>
        <v>Termico Solar</v>
      </c>
      <c r="U7445" s="284" t="e">
        <f>(IF(Tabla4[[#This Row],[Familia]]="termico solar",Tabla4[[#This Row],[Utilidad Total]]*6%,Tabla4[[#This Row],[Utilidad Total]]*11.5%))/Tabla4[[#This Row],[Total]]</f>
        <v>#N/A</v>
      </c>
      <c r="V7445" s="282" t="e">
        <f>+Tabla4[[#This Row],[Comisión Calculada]]*Tabla4[[#This Row],[Total]]</f>
        <v>#N/A</v>
      </c>
    </row>
    <row r="7446" spans="1:22" x14ac:dyDescent="0.25">
      <c r="A7446" s="100">
        <v>46006</v>
      </c>
      <c r="B7446" t="str">
        <f t="shared" ref="B7446:B7448" si="659">TEXT(A7446, "mmmm")</f>
        <v>December</v>
      </c>
      <c r="C7446" s="46" t="s">
        <v>280</v>
      </c>
      <c r="F7446" s="366" t="s">
        <v>3758</v>
      </c>
      <c r="G7446" s="46" t="s">
        <v>83</v>
      </c>
      <c r="H7446" s="46">
        <v>3</v>
      </c>
      <c r="I7446" s="51">
        <v>8858.76</v>
      </c>
      <c r="J7446" s="281">
        <f>++Tabla4[[#This Row],[Precio Bruto]]*1.16</f>
        <v>10276.161599999999</v>
      </c>
      <c r="K7446" s="281">
        <f>+Tabla4[[#This Row],[Precio Unitario Neto]]*Tabla4[[#Headers],[20.85%]]</f>
        <v>2142.5796935999997</v>
      </c>
      <c r="L7446" s="282">
        <f>++Tabla4[[#This Row],[Precio Unitario Neto]]-Tabla4[[#This Row],[20.85%]]</f>
        <v>8133.5819063999998</v>
      </c>
      <c r="M7446" s="282" t="e">
        <f>(INDEX(Tabla6[#All],MATCH(Tabla4[[#This Row],[Producto]],Tabla6[[#All],[PRODUCTO]],0),MATCH(Tabla4[[#This Row],[Mes]],Tabla6[#Headers],0)))*(1+Catalogos!$L$2)</f>
        <v>#N/A</v>
      </c>
      <c r="N7446" s="283" t="e">
        <f>+(Tabla4[[#This Row],[Precio Descontado]]-Tabla4[[#This Row],[Precio Base]])*Tabla4[[#This Row],[Cantidad]]</f>
        <v>#N/A</v>
      </c>
      <c r="O7446" s="284" t="e">
        <f>++Tabla4[[#This Row],[Utilidad Total]]/Tabla4[[#This Row],[Total]]</f>
        <v>#N/A</v>
      </c>
      <c r="P7446" s="282">
        <f>++Tabla4[[#This Row],[Precio Descontado]]*Tabla4[[#This Row],[Cantidad]]</f>
        <v>24400.7457192</v>
      </c>
      <c r="Q7446" s="282" t="e">
        <f>(INDEX(Tabla6[#All],MATCH(Tabla4[[#This Row],[Producto]],Tabla6[[#All],[PRODUCTO]],0),MATCH(Tabla4[[#This Row],[Mes]],Tabla6[#Headers],0)))</f>
        <v>#N/A</v>
      </c>
      <c r="R7446" s="282" t="e">
        <f>++Tabla4[[#This Row],[Precio Unitario Neto]]-Tabla4[[#This Row],[20.85%]]-Tabla4[[#This Row],[Costo]]</f>
        <v>#N/A</v>
      </c>
      <c r="S7446" s="282" t="e">
        <f>++Tabla4[[#This Row],[U. Bruta Uni]]*Tabla4[[#This Row],[Cantidad]]</f>
        <v>#N/A</v>
      </c>
      <c r="T7446" s="369" t="str">
        <f>VLOOKUP(Tabla4[[#This Row],[Producto]],Tabla6[#All],14,FALSE)</f>
        <v>Termico Solar</v>
      </c>
      <c r="U7446" s="284" t="e">
        <f>(IF(Tabla4[[#This Row],[Familia]]="termico solar",Tabla4[[#This Row],[Utilidad Total]]*6%,Tabla4[[#This Row],[Utilidad Total]]*11.5%))/Tabla4[[#This Row],[Total]]</f>
        <v>#N/A</v>
      </c>
      <c r="V7446" s="282" t="e">
        <f>+Tabla4[[#This Row],[Comisión Calculada]]*Tabla4[[#This Row],[Total]]</f>
        <v>#N/A</v>
      </c>
    </row>
    <row r="7447" spans="1:22" x14ac:dyDescent="0.25">
      <c r="A7447" s="100">
        <v>46006</v>
      </c>
      <c r="B7447" t="str">
        <f t="shared" si="659"/>
        <v>December</v>
      </c>
      <c r="C7447" s="46" t="s">
        <v>280</v>
      </c>
      <c r="F7447" s="366" t="s">
        <v>3758</v>
      </c>
      <c r="G7447" s="46" t="s">
        <v>17</v>
      </c>
      <c r="H7447" s="46">
        <v>3</v>
      </c>
      <c r="I7447" s="51">
        <v>4622.28</v>
      </c>
      <c r="J7447" s="281">
        <f>++Tabla4[[#This Row],[Precio Bruto]]*1.16</f>
        <v>5361.8447999999989</v>
      </c>
      <c r="K7447" s="281">
        <f>+Tabla4[[#This Row],[Precio Unitario Neto]]*Tabla4[[#Headers],[20.85%]]</f>
        <v>1117.9446407999997</v>
      </c>
      <c r="L7447" s="282">
        <f>++Tabla4[[#This Row],[Precio Unitario Neto]]-Tabla4[[#This Row],[20.85%]]</f>
        <v>4243.9001591999995</v>
      </c>
      <c r="M7447" s="282" t="e">
        <f>(INDEX(Tabla6[#All],MATCH(Tabla4[[#This Row],[Producto]],Tabla6[[#All],[PRODUCTO]],0),MATCH(Tabla4[[#This Row],[Mes]],Tabla6[#Headers],0)))*(1+Catalogos!$L$2)</f>
        <v>#N/A</v>
      </c>
      <c r="N7447" s="283" t="e">
        <f>+(Tabla4[[#This Row],[Precio Descontado]]-Tabla4[[#This Row],[Precio Base]])*Tabla4[[#This Row],[Cantidad]]</f>
        <v>#N/A</v>
      </c>
      <c r="O7447" s="284" t="e">
        <f>++Tabla4[[#This Row],[Utilidad Total]]/Tabla4[[#This Row],[Total]]</f>
        <v>#N/A</v>
      </c>
      <c r="P7447" s="282">
        <f>++Tabla4[[#This Row],[Precio Descontado]]*Tabla4[[#This Row],[Cantidad]]</f>
        <v>12731.700477599999</v>
      </c>
      <c r="Q7447" s="282" t="e">
        <f>(INDEX(Tabla6[#All],MATCH(Tabla4[[#This Row],[Producto]],Tabla6[[#All],[PRODUCTO]],0),MATCH(Tabla4[[#This Row],[Mes]],Tabla6[#Headers],0)))</f>
        <v>#N/A</v>
      </c>
      <c r="R7447" s="282" t="e">
        <f>++Tabla4[[#This Row],[Precio Unitario Neto]]-Tabla4[[#This Row],[20.85%]]-Tabla4[[#This Row],[Costo]]</f>
        <v>#N/A</v>
      </c>
      <c r="S7447" s="282" t="e">
        <f>++Tabla4[[#This Row],[U. Bruta Uni]]*Tabla4[[#This Row],[Cantidad]]</f>
        <v>#N/A</v>
      </c>
      <c r="T7447" s="369" t="str">
        <f>VLOOKUP(Tabla4[[#This Row],[Producto]],Tabla6[#All],14,FALSE)</f>
        <v>Termico Solar</v>
      </c>
      <c r="U7447" s="284" t="e">
        <f>(IF(Tabla4[[#This Row],[Familia]]="termico solar",Tabla4[[#This Row],[Utilidad Total]]*6%,Tabla4[[#This Row],[Utilidad Total]]*11.5%))/Tabla4[[#This Row],[Total]]</f>
        <v>#N/A</v>
      </c>
      <c r="V7447" s="282" t="e">
        <f>+Tabla4[[#This Row],[Comisión Calculada]]*Tabla4[[#This Row],[Total]]</f>
        <v>#N/A</v>
      </c>
    </row>
    <row r="7448" spans="1:22" x14ac:dyDescent="0.25">
      <c r="A7448" s="100">
        <v>46006</v>
      </c>
      <c r="B7448" t="str">
        <f t="shared" si="659"/>
        <v>December</v>
      </c>
      <c r="C7448" s="46" t="s">
        <v>280</v>
      </c>
      <c r="F7448" s="366" t="s">
        <v>3758</v>
      </c>
      <c r="G7448" s="46" t="s">
        <v>208</v>
      </c>
      <c r="H7448" s="46">
        <v>6</v>
      </c>
      <c r="I7448" s="51">
        <v>189.75</v>
      </c>
      <c r="J7448" s="281">
        <f>++Tabla4[[#This Row],[Precio Bruto]]*1.16</f>
        <v>220.10999999999999</v>
      </c>
      <c r="K7448" s="281">
        <f>+Tabla4[[#This Row],[Precio Unitario Neto]]*Tabla4[[#Headers],[20.85%]]</f>
        <v>45.892934999999994</v>
      </c>
      <c r="L7448" s="282">
        <f>++Tabla4[[#This Row],[Precio Unitario Neto]]-Tabla4[[#This Row],[20.85%]]</f>
        <v>174.21706499999999</v>
      </c>
      <c r="M7448" s="282" t="e">
        <f>(INDEX(Tabla6[#All],MATCH(Tabla4[[#This Row],[Producto]],Tabla6[[#All],[PRODUCTO]],0),MATCH(Tabla4[[#This Row],[Mes]],Tabla6[#Headers],0)))*(1+Catalogos!$L$2)</f>
        <v>#N/A</v>
      </c>
      <c r="N7448" s="283" t="e">
        <f>+(Tabla4[[#This Row],[Precio Descontado]]-Tabla4[[#This Row],[Precio Base]])*Tabla4[[#This Row],[Cantidad]]</f>
        <v>#N/A</v>
      </c>
      <c r="O7448" s="284" t="e">
        <f>++Tabla4[[#This Row],[Utilidad Total]]/Tabla4[[#This Row],[Total]]</f>
        <v>#N/A</v>
      </c>
      <c r="P7448" s="282">
        <f>++Tabla4[[#This Row],[Precio Descontado]]*Tabla4[[#This Row],[Cantidad]]</f>
        <v>1045.3023899999998</v>
      </c>
      <c r="Q7448" s="282" t="e">
        <f>(INDEX(Tabla6[#All],MATCH(Tabla4[[#This Row],[Producto]],Tabla6[[#All],[PRODUCTO]],0),MATCH(Tabla4[[#This Row],[Mes]],Tabla6[#Headers],0)))</f>
        <v>#N/A</v>
      </c>
      <c r="R7448" s="282" t="e">
        <f>++Tabla4[[#This Row],[Precio Unitario Neto]]-Tabla4[[#This Row],[20.85%]]-Tabla4[[#This Row],[Costo]]</f>
        <v>#N/A</v>
      </c>
      <c r="S7448" s="282" t="e">
        <f>++Tabla4[[#This Row],[U. Bruta Uni]]*Tabla4[[#This Row],[Cantidad]]</f>
        <v>#N/A</v>
      </c>
      <c r="T7448" s="369" t="str">
        <f>VLOOKUP(Tabla4[[#This Row],[Producto]],Tabla6[#All],14,FALSE)</f>
        <v>Termico Solar</v>
      </c>
      <c r="U7448" s="284" t="e">
        <f>(IF(Tabla4[[#This Row],[Familia]]="termico solar",Tabla4[[#This Row],[Utilidad Total]]*6%,Tabla4[[#This Row],[Utilidad Total]]*11.5%))/Tabla4[[#This Row],[Total]]</f>
        <v>#N/A</v>
      </c>
      <c r="V7448" s="282" t="e">
        <f>+Tabla4[[#This Row],[Comisión Calculada]]*Tabla4[[#This Row],[Total]]</f>
        <v>#N/A</v>
      </c>
    </row>
    <row r="7449" spans="1:22" x14ac:dyDescent="0.25">
      <c r="A7449" s="100">
        <v>46006</v>
      </c>
      <c r="B7449" t="str">
        <f t="shared" ref="B7449:B7451" si="660">TEXT(A7449, "mmmm")</f>
        <v>December</v>
      </c>
      <c r="C7449" s="46" t="s">
        <v>280</v>
      </c>
      <c r="F7449" s="366" t="s">
        <v>3759</v>
      </c>
      <c r="G7449" s="46" t="s">
        <v>83</v>
      </c>
      <c r="H7449" s="46">
        <v>2</v>
      </c>
      <c r="I7449" s="51">
        <v>8858.76</v>
      </c>
      <c r="J7449" s="281">
        <f>++Tabla4[[#This Row],[Precio Bruto]]*1.16</f>
        <v>10276.161599999999</v>
      </c>
      <c r="K7449" s="281">
        <f>+Tabla4[[#This Row],[Precio Unitario Neto]]*Tabla4[[#Headers],[20.85%]]</f>
        <v>2142.5796935999997</v>
      </c>
      <c r="L7449" s="282">
        <f>++Tabla4[[#This Row],[Precio Unitario Neto]]-Tabla4[[#This Row],[20.85%]]</f>
        <v>8133.5819063999998</v>
      </c>
      <c r="M7449" s="282" t="e">
        <f>(INDEX(Tabla6[#All],MATCH(Tabla4[[#This Row],[Producto]],Tabla6[[#All],[PRODUCTO]],0),MATCH(Tabla4[[#This Row],[Mes]],Tabla6[#Headers],0)))*(1+Catalogos!$L$2)</f>
        <v>#N/A</v>
      </c>
      <c r="N7449" s="283" t="e">
        <f>+(Tabla4[[#This Row],[Precio Descontado]]-Tabla4[[#This Row],[Precio Base]])*Tabla4[[#This Row],[Cantidad]]</f>
        <v>#N/A</v>
      </c>
      <c r="O7449" s="284" t="e">
        <f>++Tabla4[[#This Row],[Utilidad Total]]/Tabla4[[#This Row],[Total]]</f>
        <v>#N/A</v>
      </c>
      <c r="P7449" s="282">
        <f>++Tabla4[[#This Row],[Precio Descontado]]*Tabla4[[#This Row],[Cantidad]]</f>
        <v>16267.1638128</v>
      </c>
      <c r="Q7449" s="282" t="e">
        <f>(INDEX(Tabla6[#All],MATCH(Tabla4[[#This Row],[Producto]],Tabla6[[#All],[PRODUCTO]],0),MATCH(Tabla4[[#This Row],[Mes]],Tabla6[#Headers],0)))</f>
        <v>#N/A</v>
      </c>
      <c r="R7449" s="282" t="e">
        <f>++Tabla4[[#This Row],[Precio Unitario Neto]]-Tabla4[[#This Row],[20.85%]]-Tabla4[[#This Row],[Costo]]</f>
        <v>#N/A</v>
      </c>
      <c r="S7449" s="282" t="e">
        <f>++Tabla4[[#This Row],[U. Bruta Uni]]*Tabla4[[#This Row],[Cantidad]]</f>
        <v>#N/A</v>
      </c>
      <c r="T7449" s="369" t="str">
        <f>VLOOKUP(Tabla4[[#This Row],[Producto]],Tabla6[#All],14,FALSE)</f>
        <v>Termico Solar</v>
      </c>
      <c r="U7449" s="284" t="e">
        <f>(IF(Tabla4[[#This Row],[Familia]]="termico solar",Tabla4[[#This Row],[Utilidad Total]]*6%,Tabla4[[#This Row],[Utilidad Total]]*11.5%))/Tabla4[[#This Row],[Total]]</f>
        <v>#N/A</v>
      </c>
      <c r="V7449" s="282" t="e">
        <f>+Tabla4[[#This Row],[Comisión Calculada]]*Tabla4[[#This Row],[Total]]</f>
        <v>#N/A</v>
      </c>
    </row>
    <row r="7450" spans="1:22" x14ac:dyDescent="0.25">
      <c r="A7450" s="100">
        <v>46006</v>
      </c>
      <c r="B7450" t="str">
        <f t="shared" si="660"/>
        <v>December</v>
      </c>
      <c r="C7450" s="46" t="s">
        <v>280</v>
      </c>
      <c r="F7450" s="366" t="s">
        <v>3759</v>
      </c>
      <c r="G7450" s="46" t="s">
        <v>17</v>
      </c>
      <c r="H7450" s="46">
        <v>1</v>
      </c>
      <c r="I7450" s="51">
        <v>4622.28</v>
      </c>
      <c r="J7450" s="281">
        <f>++Tabla4[[#This Row],[Precio Bruto]]*1.16</f>
        <v>5361.8447999999989</v>
      </c>
      <c r="K7450" s="281">
        <f>+Tabla4[[#This Row],[Precio Unitario Neto]]*Tabla4[[#Headers],[20.85%]]</f>
        <v>1117.9446407999997</v>
      </c>
      <c r="L7450" s="282">
        <f>++Tabla4[[#This Row],[Precio Unitario Neto]]-Tabla4[[#This Row],[20.85%]]</f>
        <v>4243.9001591999995</v>
      </c>
      <c r="M7450" s="282" t="e">
        <f>(INDEX(Tabla6[#All],MATCH(Tabla4[[#This Row],[Producto]],Tabla6[[#All],[PRODUCTO]],0),MATCH(Tabla4[[#This Row],[Mes]],Tabla6[#Headers],0)))*(1+Catalogos!$L$2)</f>
        <v>#N/A</v>
      </c>
      <c r="N7450" s="283" t="e">
        <f>+(Tabla4[[#This Row],[Precio Descontado]]-Tabla4[[#This Row],[Precio Base]])*Tabla4[[#This Row],[Cantidad]]</f>
        <v>#N/A</v>
      </c>
      <c r="O7450" s="284" t="e">
        <f>++Tabla4[[#This Row],[Utilidad Total]]/Tabla4[[#This Row],[Total]]</f>
        <v>#N/A</v>
      </c>
      <c r="P7450" s="282">
        <f>++Tabla4[[#This Row],[Precio Descontado]]*Tabla4[[#This Row],[Cantidad]]</f>
        <v>4243.9001591999995</v>
      </c>
      <c r="Q7450" s="282" t="e">
        <f>(INDEX(Tabla6[#All],MATCH(Tabla4[[#This Row],[Producto]],Tabla6[[#All],[PRODUCTO]],0),MATCH(Tabla4[[#This Row],[Mes]],Tabla6[#Headers],0)))</f>
        <v>#N/A</v>
      </c>
      <c r="R7450" s="282" t="e">
        <f>++Tabla4[[#This Row],[Precio Unitario Neto]]-Tabla4[[#This Row],[20.85%]]-Tabla4[[#This Row],[Costo]]</f>
        <v>#N/A</v>
      </c>
      <c r="S7450" s="282" t="e">
        <f>++Tabla4[[#This Row],[U. Bruta Uni]]*Tabla4[[#This Row],[Cantidad]]</f>
        <v>#N/A</v>
      </c>
      <c r="T7450" s="369" t="str">
        <f>VLOOKUP(Tabla4[[#This Row],[Producto]],Tabla6[#All],14,FALSE)</f>
        <v>Termico Solar</v>
      </c>
      <c r="U7450" s="284" t="e">
        <f>(IF(Tabla4[[#This Row],[Familia]]="termico solar",Tabla4[[#This Row],[Utilidad Total]]*6%,Tabla4[[#This Row],[Utilidad Total]]*11.5%))/Tabla4[[#This Row],[Total]]</f>
        <v>#N/A</v>
      </c>
      <c r="V7450" s="282" t="e">
        <f>+Tabla4[[#This Row],[Comisión Calculada]]*Tabla4[[#This Row],[Total]]</f>
        <v>#N/A</v>
      </c>
    </row>
    <row r="7451" spans="1:22" x14ac:dyDescent="0.25">
      <c r="A7451" s="100">
        <v>46006</v>
      </c>
      <c r="B7451" t="str">
        <f t="shared" si="660"/>
        <v>December</v>
      </c>
      <c r="C7451" s="46" t="s">
        <v>280</v>
      </c>
      <c r="F7451" s="366" t="s">
        <v>3759</v>
      </c>
      <c r="G7451" s="46" t="s">
        <v>18</v>
      </c>
      <c r="H7451" s="46">
        <v>1</v>
      </c>
      <c r="I7451" s="51">
        <v>5367.65</v>
      </c>
      <c r="J7451" s="281">
        <f>++Tabla4[[#This Row],[Precio Bruto]]*1.16</f>
        <v>6226.4739999999993</v>
      </c>
      <c r="K7451" s="281">
        <f>+Tabla4[[#This Row],[Precio Unitario Neto]]*Tabla4[[#Headers],[20.85%]]</f>
        <v>1298.2198289999999</v>
      </c>
      <c r="L7451" s="282">
        <f>++Tabla4[[#This Row],[Precio Unitario Neto]]-Tabla4[[#This Row],[20.85%]]</f>
        <v>4928.2541709999996</v>
      </c>
      <c r="M7451" s="282" t="e">
        <f>(INDEX(Tabla6[#All],MATCH(Tabla4[[#This Row],[Producto]],Tabla6[[#All],[PRODUCTO]],0),MATCH(Tabla4[[#This Row],[Mes]],Tabla6[#Headers],0)))*(1+Catalogos!$L$2)</f>
        <v>#N/A</v>
      </c>
      <c r="N7451" s="283" t="e">
        <f>+(Tabla4[[#This Row],[Precio Descontado]]-Tabla4[[#This Row],[Precio Base]])*Tabla4[[#This Row],[Cantidad]]</f>
        <v>#N/A</v>
      </c>
      <c r="O7451" s="284" t="e">
        <f>++Tabla4[[#This Row],[Utilidad Total]]/Tabla4[[#This Row],[Total]]</f>
        <v>#N/A</v>
      </c>
      <c r="P7451" s="282">
        <f>++Tabla4[[#This Row],[Precio Descontado]]*Tabla4[[#This Row],[Cantidad]]</f>
        <v>4928.2541709999996</v>
      </c>
      <c r="Q7451" s="282" t="e">
        <f>(INDEX(Tabla6[#All],MATCH(Tabla4[[#This Row],[Producto]],Tabla6[[#All],[PRODUCTO]],0),MATCH(Tabla4[[#This Row],[Mes]],Tabla6[#Headers],0)))</f>
        <v>#N/A</v>
      </c>
      <c r="R7451" s="282" t="e">
        <f>++Tabla4[[#This Row],[Precio Unitario Neto]]-Tabla4[[#This Row],[20.85%]]-Tabla4[[#This Row],[Costo]]</f>
        <v>#N/A</v>
      </c>
      <c r="S7451" s="282" t="e">
        <f>++Tabla4[[#This Row],[U. Bruta Uni]]*Tabla4[[#This Row],[Cantidad]]</f>
        <v>#N/A</v>
      </c>
      <c r="T7451" s="369" t="str">
        <f>VLOOKUP(Tabla4[[#This Row],[Producto]],Tabla6[#All],14,FALSE)</f>
        <v>Termico Solar</v>
      </c>
      <c r="U7451" s="284" t="e">
        <f>(IF(Tabla4[[#This Row],[Familia]]="termico solar",Tabla4[[#This Row],[Utilidad Total]]*6%,Tabla4[[#This Row],[Utilidad Total]]*11.5%))/Tabla4[[#This Row],[Total]]</f>
        <v>#N/A</v>
      </c>
      <c r="V7451" s="282" t="e">
        <f>+Tabla4[[#This Row],[Comisión Calculada]]*Tabla4[[#This Row],[Total]]</f>
        <v>#N/A</v>
      </c>
    </row>
    <row r="7452" spans="1:22" x14ac:dyDescent="0.25">
      <c r="A7452" s="100">
        <v>46006</v>
      </c>
      <c r="B7452" t="str">
        <f>TEXT(A7452, "mmmm")</f>
        <v>December</v>
      </c>
      <c r="C7452" s="46" t="s">
        <v>280</v>
      </c>
      <c r="F7452" s="366" t="s">
        <v>3760</v>
      </c>
      <c r="G7452" s="46" t="s">
        <v>566</v>
      </c>
      <c r="H7452" s="46">
        <v>1</v>
      </c>
      <c r="I7452" s="51">
        <v>2109.4499999999998</v>
      </c>
      <c r="J7452" s="281">
        <f>++Tabla4[[#This Row],[Precio Bruto]]*1.16</f>
        <v>2446.9619999999995</v>
      </c>
      <c r="K7452" s="281">
        <f>+Tabla4[[#This Row],[Precio Unitario Neto]]*Tabla4[[#Headers],[20.85%]]</f>
        <v>510.19157699999988</v>
      </c>
      <c r="L7452" s="282">
        <f>++Tabla4[[#This Row],[Precio Unitario Neto]]-Tabla4[[#This Row],[20.85%]]</f>
        <v>1936.7704229999997</v>
      </c>
      <c r="M7452" s="282" t="e">
        <f>(INDEX(Tabla6[#All],MATCH(Tabla4[[#This Row],[Producto]],Tabla6[[#All],[PRODUCTO]],0),MATCH(Tabla4[[#This Row],[Mes]],Tabla6[#Headers],0)))*(1+Catalogos!$L$2)</f>
        <v>#N/A</v>
      </c>
      <c r="N7452" s="283" t="e">
        <f>+(Tabla4[[#This Row],[Precio Descontado]]-Tabla4[[#This Row],[Precio Base]])*Tabla4[[#This Row],[Cantidad]]</f>
        <v>#N/A</v>
      </c>
      <c r="O7452" s="284" t="e">
        <f>++Tabla4[[#This Row],[Utilidad Total]]/Tabla4[[#This Row],[Total]]</f>
        <v>#N/A</v>
      </c>
      <c r="P7452" s="282">
        <f>++Tabla4[[#This Row],[Precio Descontado]]*Tabla4[[#This Row],[Cantidad]]</f>
        <v>1936.7704229999997</v>
      </c>
      <c r="Q7452" s="282" t="e">
        <f>(INDEX(Tabla6[#All],MATCH(Tabla4[[#This Row],[Producto]],Tabla6[[#All],[PRODUCTO]],0),MATCH(Tabla4[[#This Row],[Mes]],Tabla6[#Headers],0)))</f>
        <v>#N/A</v>
      </c>
      <c r="R7452" s="282" t="e">
        <f>++Tabla4[[#This Row],[Precio Unitario Neto]]-Tabla4[[#This Row],[20.85%]]-Tabla4[[#This Row],[Costo]]</f>
        <v>#N/A</v>
      </c>
      <c r="S7452" s="282" t="e">
        <f>++Tabla4[[#This Row],[U. Bruta Uni]]*Tabla4[[#This Row],[Cantidad]]</f>
        <v>#N/A</v>
      </c>
      <c r="T7452" s="369" t="str">
        <f>VLOOKUP(Tabla4[[#This Row],[Producto]],Tabla6[#All],14,FALSE)</f>
        <v>Termico Solar</v>
      </c>
      <c r="U7452" s="284" t="e">
        <f>(IF(Tabla4[[#This Row],[Familia]]="termico solar",Tabla4[[#This Row],[Utilidad Total]]*6%,Tabla4[[#This Row],[Utilidad Total]]*11.5%))/Tabla4[[#This Row],[Total]]</f>
        <v>#N/A</v>
      </c>
      <c r="V7452" s="282" t="e">
        <f>+Tabla4[[#This Row],[Comisión Calculada]]*Tabla4[[#This Row],[Total]]</f>
        <v>#N/A</v>
      </c>
    </row>
    <row r="7453" spans="1:22" x14ac:dyDescent="0.25">
      <c r="A7453" s="100">
        <v>46006</v>
      </c>
      <c r="B7453" t="str">
        <f t="shared" ref="B7453:B7456" si="661">TEXT(A7453, "mmmm")</f>
        <v>December</v>
      </c>
      <c r="C7453" s="46" t="s">
        <v>280</v>
      </c>
      <c r="F7453" s="366" t="s">
        <v>3761</v>
      </c>
      <c r="G7453" s="46" t="s">
        <v>83</v>
      </c>
      <c r="H7453" s="46">
        <v>1</v>
      </c>
      <c r="I7453" s="51">
        <v>8858.76</v>
      </c>
      <c r="J7453" s="281">
        <f>++Tabla4[[#This Row],[Precio Bruto]]*1.16</f>
        <v>10276.161599999999</v>
      </c>
      <c r="K7453" s="281">
        <f>+Tabla4[[#This Row],[Precio Unitario Neto]]*Tabla4[[#Headers],[20.85%]]</f>
        <v>2142.5796935999997</v>
      </c>
      <c r="L7453" s="282">
        <f>++Tabla4[[#This Row],[Precio Unitario Neto]]-Tabla4[[#This Row],[20.85%]]</f>
        <v>8133.5819063999998</v>
      </c>
      <c r="M7453" s="282" t="e">
        <f>(INDEX(Tabla6[#All],MATCH(Tabla4[[#This Row],[Producto]],Tabla6[[#All],[PRODUCTO]],0),MATCH(Tabla4[[#This Row],[Mes]],Tabla6[#Headers],0)))*(1+Catalogos!$L$2)</f>
        <v>#N/A</v>
      </c>
      <c r="N7453" s="283" t="e">
        <f>+(Tabla4[[#This Row],[Precio Descontado]]-Tabla4[[#This Row],[Precio Base]])*Tabla4[[#This Row],[Cantidad]]</f>
        <v>#N/A</v>
      </c>
      <c r="O7453" s="284" t="e">
        <f>++Tabla4[[#This Row],[Utilidad Total]]/Tabla4[[#This Row],[Total]]</f>
        <v>#N/A</v>
      </c>
      <c r="P7453" s="282">
        <f>++Tabla4[[#This Row],[Precio Descontado]]*Tabla4[[#This Row],[Cantidad]]</f>
        <v>8133.5819063999998</v>
      </c>
      <c r="Q7453" s="282" t="e">
        <f>(INDEX(Tabla6[#All],MATCH(Tabla4[[#This Row],[Producto]],Tabla6[[#All],[PRODUCTO]],0),MATCH(Tabla4[[#This Row],[Mes]],Tabla6[#Headers],0)))</f>
        <v>#N/A</v>
      </c>
      <c r="R7453" s="282" t="e">
        <f>++Tabla4[[#This Row],[Precio Unitario Neto]]-Tabla4[[#This Row],[20.85%]]-Tabla4[[#This Row],[Costo]]</f>
        <v>#N/A</v>
      </c>
      <c r="S7453" s="282" t="e">
        <f>++Tabla4[[#This Row],[U. Bruta Uni]]*Tabla4[[#This Row],[Cantidad]]</f>
        <v>#N/A</v>
      </c>
      <c r="T7453" s="369" t="str">
        <f>VLOOKUP(Tabla4[[#This Row],[Producto]],Tabla6[#All],14,FALSE)</f>
        <v>Termico Solar</v>
      </c>
      <c r="U7453" s="284" t="e">
        <f>(IF(Tabla4[[#This Row],[Familia]]="termico solar",Tabla4[[#This Row],[Utilidad Total]]*6%,Tabla4[[#This Row],[Utilidad Total]]*11.5%))/Tabla4[[#This Row],[Total]]</f>
        <v>#N/A</v>
      </c>
      <c r="V7453" s="282" t="e">
        <f>+Tabla4[[#This Row],[Comisión Calculada]]*Tabla4[[#This Row],[Total]]</f>
        <v>#N/A</v>
      </c>
    </row>
    <row r="7454" spans="1:22" x14ac:dyDescent="0.25">
      <c r="A7454" s="100">
        <v>46006</v>
      </c>
      <c r="B7454" t="str">
        <f t="shared" si="661"/>
        <v>December</v>
      </c>
      <c r="C7454" s="46" t="s">
        <v>280</v>
      </c>
      <c r="F7454" s="366" t="s">
        <v>3761</v>
      </c>
      <c r="G7454" s="46" t="s">
        <v>17</v>
      </c>
      <c r="H7454" s="46">
        <v>3</v>
      </c>
      <c r="I7454" s="51">
        <v>4622.28</v>
      </c>
      <c r="J7454" s="281">
        <f>++Tabla4[[#This Row],[Precio Bruto]]*1.16</f>
        <v>5361.8447999999989</v>
      </c>
      <c r="K7454" s="281">
        <f>+Tabla4[[#This Row],[Precio Unitario Neto]]*Tabla4[[#Headers],[20.85%]]</f>
        <v>1117.9446407999997</v>
      </c>
      <c r="L7454" s="282">
        <f>++Tabla4[[#This Row],[Precio Unitario Neto]]-Tabla4[[#This Row],[20.85%]]</f>
        <v>4243.9001591999995</v>
      </c>
      <c r="M7454" s="282" t="e">
        <f>(INDEX(Tabla6[#All],MATCH(Tabla4[[#This Row],[Producto]],Tabla6[[#All],[PRODUCTO]],0),MATCH(Tabla4[[#This Row],[Mes]],Tabla6[#Headers],0)))*(1+Catalogos!$L$2)</f>
        <v>#N/A</v>
      </c>
      <c r="N7454" s="283" t="e">
        <f>+(Tabla4[[#This Row],[Precio Descontado]]-Tabla4[[#This Row],[Precio Base]])*Tabla4[[#This Row],[Cantidad]]</f>
        <v>#N/A</v>
      </c>
      <c r="O7454" s="284" t="e">
        <f>++Tabla4[[#This Row],[Utilidad Total]]/Tabla4[[#This Row],[Total]]</f>
        <v>#N/A</v>
      </c>
      <c r="P7454" s="282">
        <f>++Tabla4[[#This Row],[Precio Descontado]]*Tabla4[[#This Row],[Cantidad]]</f>
        <v>12731.700477599999</v>
      </c>
      <c r="Q7454" s="282" t="e">
        <f>(INDEX(Tabla6[#All],MATCH(Tabla4[[#This Row],[Producto]],Tabla6[[#All],[PRODUCTO]],0),MATCH(Tabla4[[#This Row],[Mes]],Tabla6[#Headers],0)))</f>
        <v>#N/A</v>
      </c>
      <c r="R7454" s="282" t="e">
        <f>++Tabla4[[#This Row],[Precio Unitario Neto]]-Tabla4[[#This Row],[20.85%]]-Tabla4[[#This Row],[Costo]]</f>
        <v>#N/A</v>
      </c>
      <c r="S7454" s="282" t="e">
        <f>++Tabla4[[#This Row],[U. Bruta Uni]]*Tabla4[[#This Row],[Cantidad]]</f>
        <v>#N/A</v>
      </c>
      <c r="T7454" s="369" t="str">
        <f>VLOOKUP(Tabla4[[#This Row],[Producto]],Tabla6[#All],14,FALSE)</f>
        <v>Termico Solar</v>
      </c>
      <c r="U7454" s="284" t="e">
        <f>(IF(Tabla4[[#This Row],[Familia]]="termico solar",Tabla4[[#This Row],[Utilidad Total]]*6%,Tabla4[[#This Row],[Utilidad Total]]*11.5%))/Tabla4[[#This Row],[Total]]</f>
        <v>#N/A</v>
      </c>
      <c r="V7454" s="282" t="e">
        <f>+Tabla4[[#This Row],[Comisión Calculada]]*Tabla4[[#This Row],[Total]]</f>
        <v>#N/A</v>
      </c>
    </row>
    <row r="7455" spans="1:22" x14ac:dyDescent="0.25">
      <c r="A7455" s="100">
        <v>46006</v>
      </c>
      <c r="B7455" t="str">
        <f t="shared" si="661"/>
        <v>December</v>
      </c>
      <c r="C7455" s="46" t="s">
        <v>280</v>
      </c>
      <c r="F7455" s="366" t="s">
        <v>3761</v>
      </c>
      <c r="G7455" s="46" t="s">
        <v>16</v>
      </c>
      <c r="H7455" s="46">
        <v>2</v>
      </c>
      <c r="I7455" s="51">
        <v>4103.8500000000004</v>
      </c>
      <c r="J7455" s="281">
        <f>++Tabla4[[#This Row],[Precio Bruto]]*1.16</f>
        <v>4760.4660000000003</v>
      </c>
      <c r="K7455" s="281">
        <f>+Tabla4[[#This Row],[Precio Unitario Neto]]*Tabla4[[#Headers],[20.85%]]</f>
        <v>992.55716100000006</v>
      </c>
      <c r="L7455" s="282">
        <f>++Tabla4[[#This Row],[Precio Unitario Neto]]-Tabla4[[#This Row],[20.85%]]</f>
        <v>3767.9088390000002</v>
      </c>
      <c r="M7455" s="282" t="e">
        <f>(INDEX(Tabla6[#All],MATCH(Tabla4[[#This Row],[Producto]],Tabla6[[#All],[PRODUCTO]],0),MATCH(Tabla4[[#This Row],[Mes]],Tabla6[#Headers],0)))*(1+Catalogos!$L$2)</f>
        <v>#N/A</v>
      </c>
      <c r="N7455" s="283" t="e">
        <f>+(Tabla4[[#This Row],[Precio Descontado]]-Tabla4[[#This Row],[Precio Base]])*Tabla4[[#This Row],[Cantidad]]</f>
        <v>#N/A</v>
      </c>
      <c r="O7455" s="284" t="e">
        <f>++Tabla4[[#This Row],[Utilidad Total]]/Tabla4[[#This Row],[Total]]</f>
        <v>#N/A</v>
      </c>
      <c r="P7455" s="282">
        <f>++Tabla4[[#This Row],[Precio Descontado]]*Tabla4[[#This Row],[Cantidad]]</f>
        <v>7535.8176780000003</v>
      </c>
      <c r="Q7455" s="282" t="e">
        <f>(INDEX(Tabla6[#All],MATCH(Tabla4[[#This Row],[Producto]],Tabla6[[#All],[PRODUCTO]],0),MATCH(Tabla4[[#This Row],[Mes]],Tabla6[#Headers],0)))</f>
        <v>#N/A</v>
      </c>
      <c r="R7455" s="282" t="e">
        <f>++Tabla4[[#This Row],[Precio Unitario Neto]]-Tabla4[[#This Row],[20.85%]]-Tabla4[[#This Row],[Costo]]</f>
        <v>#N/A</v>
      </c>
      <c r="S7455" s="282" t="e">
        <f>++Tabla4[[#This Row],[U. Bruta Uni]]*Tabla4[[#This Row],[Cantidad]]</f>
        <v>#N/A</v>
      </c>
      <c r="T7455" s="369" t="str">
        <f>VLOOKUP(Tabla4[[#This Row],[Producto]],Tabla6[#All],14,FALSE)</f>
        <v>Termico Solar</v>
      </c>
      <c r="U7455" s="284" t="e">
        <f>(IF(Tabla4[[#This Row],[Familia]]="termico solar",Tabla4[[#This Row],[Utilidad Total]]*6%,Tabla4[[#This Row],[Utilidad Total]]*11.5%))/Tabla4[[#This Row],[Total]]</f>
        <v>#N/A</v>
      </c>
      <c r="V7455" s="282" t="e">
        <f>+Tabla4[[#This Row],[Comisión Calculada]]*Tabla4[[#This Row],[Total]]</f>
        <v>#N/A</v>
      </c>
    </row>
    <row r="7456" spans="1:22" x14ac:dyDescent="0.25">
      <c r="A7456" s="100">
        <v>46006</v>
      </c>
      <c r="B7456" t="str">
        <f t="shared" si="661"/>
        <v>December</v>
      </c>
      <c r="C7456" s="46" t="s">
        <v>280</v>
      </c>
      <c r="F7456" s="366" t="s">
        <v>3761</v>
      </c>
      <c r="G7456" s="46" t="s">
        <v>208</v>
      </c>
      <c r="H7456" s="46">
        <v>5</v>
      </c>
      <c r="I7456" s="51">
        <v>189.75</v>
      </c>
      <c r="J7456" s="281">
        <f>++Tabla4[[#This Row],[Precio Bruto]]*1.16</f>
        <v>220.10999999999999</v>
      </c>
      <c r="K7456" s="281">
        <f>+Tabla4[[#This Row],[Precio Unitario Neto]]*Tabla4[[#Headers],[20.85%]]</f>
        <v>45.892934999999994</v>
      </c>
      <c r="L7456" s="282">
        <f>++Tabla4[[#This Row],[Precio Unitario Neto]]-Tabla4[[#This Row],[20.85%]]</f>
        <v>174.21706499999999</v>
      </c>
      <c r="M7456" s="282" t="e">
        <f>(INDEX(Tabla6[#All],MATCH(Tabla4[[#This Row],[Producto]],Tabla6[[#All],[PRODUCTO]],0),MATCH(Tabla4[[#This Row],[Mes]],Tabla6[#Headers],0)))*(1+Catalogos!$L$2)</f>
        <v>#N/A</v>
      </c>
      <c r="N7456" s="283" t="e">
        <f>+(Tabla4[[#This Row],[Precio Descontado]]-Tabla4[[#This Row],[Precio Base]])*Tabla4[[#This Row],[Cantidad]]</f>
        <v>#N/A</v>
      </c>
      <c r="O7456" s="284" t="e">
        <f>++Tabla4[[#This Row],[Utilidad Total]]/Tabla4[[#This Row],[Total]]</f>
        <v>#N/A</v>
      </c>
      <c r="P7456" s="282">
        <f>++Tabla4[[#This Row],[Precio Descontado]]*Tabla4[[#This Row],[Cantidad]]</f>
        <v>871.08532500000001</v>
      </c>
      <c r="Q7456" s="282" t="e">
        <f>(INDEX(Tabla6[#All],MATCH(Tabla4[[#This Row],[Producto]],Tabla6[[#All],[PRODUCTO]],0),MATCH(Tabla4[[#This Row],[Mes]],Tabla6[#Headers],0)))</f>
        <v>#N/A</v>
      </c>
      <c r="R7456" s="282" t="e">
        <f>++Tabla4[[#This Row],[Precio Unitario Neto]]-Tabla4[[#This Row],[20.85%]]-Tabla4[[#This Row],[Costo]]</f>
        <v>#N/A</v>
      </c>
      <c r="S7456" s="282" t="e">
        <f>++Tabla4[[#This Row],[U. Bruta Uni]]*Tabla4[[#This Row],[Cantidad]]</f>
        <v>#N/A</v>
      </c>
      <c r="T7456" s="369" t="str">
        <f>VLOOKUP(Tabla4[[#This Row],[Producto]],Tabla6[#All],14,FALSE)</f>
        <v>Termico Solar</v>
      </c>
      <c r="U7456" s="284" t="e">
        <f>(IF(Tabla4[[#This Row],[Familia]]="termico solar",Tabla4[[#This Row],[Utilidad Total]]*6%,Tabla4[[#This Row],[Utilidad Total]]*11.5%))/Tabla4[[#This Row],[Total]]</f>
        <v>#N/A</v>
      </c>
      <c r="V7456" s="282" t="e">
        <f>+Tabla4[[#This Row],[Comisión Calculada]]*Tabla4[[#This Row],[Total]]</f>
        <v>#N/A</v>
      </c>
    </row>
    <row r="7457" spans="1:22" x14ac:dyDescent="0.25">
      <c r="A7457" s="100">
        <v>46006</v>
      </c>
      <c r="B7457" t="str">
        <f t="shared" ref="B7457:B7459" si="662">TEXT(A7457, "mmmm")</f>
        <v>December</v>
      </c>
      <c r="C7457" s="46" t="s">
        <v>280</v>
      </c>
      <c r="F7457" s="366" t="s">
        <v>3762</v>
      </c>
      <c r="G7457" s="46" t="s">
        <v>83</v>
      </c>
      <c r="H7457" s="46">
        <v>4</v>
      </c>
      <c r="I7457" s="51">
        <v>8858.76</v>
      </c>
      <c r="J7457" s="281">
        <f>++Tabla4[[#This Row],[Precio Bruto]]*1.16</f>
        <v>10276.161599999999</v>
      </c>
      <c r="K7457" s="281">
        <f>+Tabla4[[#This Row],[Precio Unitario Neto]]*Tabla4[[#Headers],[20.85%]]</f>
        <v>2142.5796935999997</v>
      </c>
      <c r="L7457" s="282">
        <f>++Tabla4[[#This Row],[Precio Unitario Neto]]-Tabla4[[#This Row],[20.85%]]</f>
        <v>8133.5819063999998</v>
      </c>
      <c r="M7457" s="282" t="e">
        <f>(INDEX(Tabla6[#All],MATCH(Tabla4[[#This Row],[Producto]],Tabla6[[#All],[PRODUCTO]],0),MATCH(Tabla4[[#This Row],[Mes]],Tabla6[#Headers],0)))*(1+Catalogos!$L$2)</f>
        <v>#N/A</v>
      </c>
      <c r="N7457" s="283" t="e">
        <f>+(Tabla4[[#This Row],[Precio Descontado]]-Tabla4[[#This Row],[Precio Base]])*Tabla4[[#This Row],[Cantidad]]</f>
        <v>#N/A</v>
      </c>
      <c r="O7457" s="284" t="e">
        <f>++Tabla4[[#This Row],[Utilidad Total]]/Tabla4[[#This Row],[Total]]</f>
        <v>#N/A</v>
      </c>
      <c r="P7457" s="282">
        <f>++Tabla4[[#This Row],[Precio Descontado]]*Tabla4[[#This Row],[Cantidad]]</f>
        <v>32534.327625599999</v>
      </c>
      <c r="Q7457" s="282" t="e">
        <f>(INDEX(Tabla6[#All],MATCH(Tabla4[[#This Row],[Producto]],Tabla6[[#All],[PRODUCTO]],0),MATCH(Tabla4[[#This Row],[Mes]],Tabla6[#Headers],0)))</f>
        <v>#N/A</v>
      </c>
      <c r="R7457" s="282" t="e">
        <f>++Tabla4[[#This Row],[Precio Unitario Neto]]-Tabla4[[#This Row],[20.85%]]-Tabla4[[#This Row],[Costo]]</f>
        <v>#N/A</v>
      </c>
      <c r="S7457" s="282" t="e">
        <f>++Tabla4[[#This Row],[U. Bruta Uni]]*Tabla4[[#This Row],[Cantidad]]</f>
        <v>#N/A</v>
      </c>
      <c r="T7457" s="369" t="str">
        <f>VLOOKUP(Tabla4[[#This Row],[Producto]],Tabla6[#All],14,FALSE)</f>
        <v>Termico Solar</v>
      </c>
      <c r="U7457" s="284" t="e">
        <f>(IF(Tabla4[[#This Row],[Familia]]="termico solar",Tabla4[[#This Row],[Utilidad Total]]*6%,Tabla4[[#This Row],[Utilidad Total]]*11.5%))/Tabla4[[#This Row],[Total]]</f>
        <v>#N/A</v>
      </c>
      <c r="V7457" s="282" t="e">
        <f>+Tabla4[[#This Row],[Comisión Calculada]]*Tabla4[[#This Row],[Total]]</f>
        <v>#N/A</v>
      </c>
    </row>
    <row r="7458" spans="1:22" x14ac:dyDescent="0.25">
      <c r="A7458" s="100">
        <v>46006</v>
      </c>
      <c r="B7458" t="str">
        <f t="shared" si="662"/>
        <v>December</v>
      </c>
      <c r="C7458" s="46" t="s">
        <v>280</v>
      </c>
      <c r="F7458" s="366" t="s">
        <v>3762</v>
      </c>
      <c r="G7458" s="46" t="s">
        <v>16</v>
      </c>
      <c r="H7458" s="46">
        <v>2</v>
      </c>
      <c r="I7458" s="51">
        <v>4103.8500000000004</v>
      </c>
      <c r="J7458" s="281">
        <f>++Tabla4[[#This Row],[Precio Bruto]]*1.16</f>
        <v>4760.4660000000003</v>
      </c>
      <c r="K7458" s="281">
        <f>+Tabla4[[#This Row],[Precio Unitario Neto]]*Tabla4[[#Headers],[20.85%]]</f>
        <v>992.55716100000006</v>
      </c>
      <c r="L7458" s="282">
        <f>++Tabla4[[#This Row],[Precio Unitario Neto]]-Tabla4[[#This Row],[20.85%]]</f>
        <v>3767.9088390000002</v>
      </c>
      <c r="M7458" s="282" t="e">
        <f>(INDEX(Tabla6[#All],MATCH(Tabla4[[#This Row],[Producto]],Tabla6[[#All],[PRODUCTO]],0),MATCH(Tabla4[[#This Row],[Mes]],Tabla6[#Headers],0)))*(1+Catalogos!$L$2)</f>
        <v>#N/A</v>
      </c>
      <c r="N7458" s="283" t="e">
        <f>+(Tabla4[[#This Row],[Precio Descontado]]-Tabla4[[#This Row],[Precio Base]])*Tabla4[[#This Row],[Cantidad]]</f>
        <v>#N/A</v>
      </c>
      <c r="O7458" s="284" t="e">
        <f>++Tabla4[[#This Row],[Utilidad Total]]/Tabla4[[#This Row],[Total]]</f>
        <v>#N/A</v>
      </c>
      <c r="P7458" s="282">
        <f>++Tabla4[[#This Row],[Precio Descontado]]*Tabla4[[#This Row],[Cantidad]]</f>
        <v>7535.8176780000003</v>
      </c>
      <c r="Q7458" s="282" t="e">
        <f>(INDEX(Tabla6[#All],MATCH(Tabla4[[#This Row],[Producto]],Tabla6[[#All],[PRODUCTO]],0),MATCH(Tabla4[[#This Row],[Mes]],Tabla6[#Headers],0)))</f>
        <v>#N/A</v>
      </c>
      <c r="R7458" s="282" t="e">
        <f>++Tabla4[[#This Row],[Precio Unitario Neto]]-Tabla4[[#This Row],[20.85%]]-Tabla4[[#This Row],[Costo]]</f>
        <v>#N/A</v>
      </c>
      <c r="S7458" s="282" t="e">
        <f>++Tabla4[[#This Row],[U. Bruta Uni]]*Tabla4[[#This Row],[Cantidad]]</f>
        <v>#N/A</v>
      </c>
      <c r="T7458" s="369" t="str">
        <f>VLOOKUP(Tabla4[[#This Row],[Producto]],Tabla6[#All],14,FALSE)</f>
        <v>Termico Solar</v>
      </c>
      <c r="U7458" s="284" t="e">
        <f>(IF(Tabla4[[#This Row],[Familia]]="termico solar",Tabla4[[#This Row],[Utilidad Total]]*6%,Tabla4[[#This Row],[Utilidad Total]]*11.5%))/Tabla4[[#This Row],[Total]]</f>
        <v>#N/A</v>
      </c>
      <c r="V7458" s="282" t="e">
        <f>+Tabla4[[#This Row],[Comisión Calculada]]*Tabla4[[#This Row],[Total]]</f>
        <v>#N/A</v>
      </c>
    </row>
    <row r="7459" spans="1:22" x14ac:dyDescent="0.25">
      <c r="A7459" s="100">
        <v>46006</v>
      </c>
      <c r="B7459" t="str">
        <f t="shared" si="662"/>
        <v>December</v>
      </c>
      <c r="C7459" s="46" t="s">
        <v>280</v>
      </c>
      <c r="F7459" s="366" t="s">
        <v>3762</v>
      </c>
      <c r="G7459" s="46" t="s">
        <v>208</v>
      </c>
      <c r="H7459" s="46">
        <v>1</v>
      </c>
      <c r="I7459" s="51">
        <v>189.75</v>
      </c>
      <c r="J7459" s="281">
        <f>++Tabla4[[#This Row],[Precio Bruto]]*1.16</f>
        <v>220.10999999999999</v>
      </c>
      <c r="K7459" s="281">
        <f>+Tabla4[[#This Row],[Precio Unitario Neto]]*Tabla4[[#Headers],[20.85%]]</f>
        <v>45.892934999999994</v>
      </c>
      <c r="L7459" s="282">
        <f>++Tabla4[[#This Row],[Precio Unitario Neto]]-Tabla4[[#This Row],[20.85%]]</f>
        <v>174.21706499999999</v>
      </c>
      <c r="M7459" s="282" t="e">
        <f>(INDEX(Tabla6[#All],MATCH(Tabla4[[#This Row],[Producto]],Tabla6[[#All],[PRODUCTO]],0),MATCH(Tabla4[[#This Row],[Mes]],Tabla6[#Headers],0)))*(1+Catalogos!$L$2)</f>
        <v>#N/A</v>
      </c>
      <c r="N7459" s="283" t="e">
        <f>+(Tabla4[[#This Row],[Precio Descontado]]-Tabla4[[#This Row],[Precio Base]])*Tabla4[[#This Row],[Cantidad]]</f>
        <v>#N/A</v>
      </c>
      <c r="O7459" s="284" t="e">
        <f>++Tabla4[[#This Row],[Utilidad Total]]/Tabla4[[#This Row],[Total]]</f>
        <v>#N/A</v>
      </c>
      <c r="P7459" s="282">
        <f>++Tabla4[[#This Row],[Precio Descontado]]*Tabla4[[#This Row],[Cantidad]]</f>
        <v>174.21706499999999</v>
      </c>
      <c r="Q7459" s="282" t="e">
        <f>(INDEX(Tabla6[#All],MATCH(Tabla4[[#This Row],[Producto]],Tabla6[[#All],[PRODUCTO]],0),MATCH(Tabla4[[#This Row],[Mes]],Tabla6[#Headers],0)))</f>
        <v>#N/A</v>
      </c>
      <c r="R7459" s="282" t="e">
        <f>++Tabla4[[#This Row],[Precio Unitario Neto]]-Tabla4[[#This Row],[20.85%]]-Tabla4[[#This Row],[Costo]]</f>
        <v>#N/A</v>
      </c>
      <c r="S7459" s="282" t="e">
        <f>++Tabla4[[#This Row],[U. Bruta Uni]]*Tabla4[[#This Row],[Cantidad]]</f>
        <v>#N/A</v>
      </c>
      <c r="T7459" s="369" t="str">
        <f>VLOOKUP(Tabla4[[#This Row],[Producto]],Tabla6[#All],14,FALSE)</f>
        <v>Termico Solar</v>
      </c>
      <c r="U7459" s="284" t="e">
        <f>(IF(Tabla4[[#This Row],[Familia]]="termico solar",Tabla4[[#This Row],[Utilidad Total]]*6%,Tabla4[[#This Row],[Utilidad Total]]*11.5%))/Tabla4[[#This Row],[Total]]</f>
        <v>#N/A</v>
      </c>
      <c r="V7459" s="282" t="e">
        <f>+Tabla4[[#This Row],[Comisión Calculada]]*Tabla4[[#This Row],[Total]]</f>
        <v>#N/A</v>
      </c>
    </row>
    <row r="7460" spans="1:22" x14ac:dyDescent="0.25">
      <c r="A7460" s="100">
        <v>46006</v>
      </c>
      <c r="B7460" t="str">
        <f t="shared" ref="B7460:B7461" si="663">TEXT(A7460, "mmmm")</f>
        <v>December</v>
      </c>
      <c r="C7460" s="46" t="s">
        <v>280</v>
      </c>
      <c r="F7460" s="366" t="s">
        <v>3763</v>
      </c>
      <c r="G7460" s="46" t="s">
        <v>17</v>
      </c>
      <c r="H7460" s="46">
        <v>4</v>
      </c>
      <c r="I7460" s="51">
        <v>4622.28</v>
      </c>
      <c r="J7460" s="281">
        <f>++Tabla4[[#This Row],[Precio Bruto]]*1.16</f>
        <v>5361.8447999999989</v>
      </c>
      <c r="K7460" s="281">
        <f>+Tabla4[[#This Row],[Precio Unitario Neto]]*Tabla4[[#Headers],[20.85%]]</f>
        <v>1117.9446407999997</v>
      </c>
      <c r="L7460" s="282">
        <f>++Tabla4[[#This Row],[Precio Unitario Neto]]-Tabla4[[#This Row],[20.85%]]</f>
        <v>4243.9001591999995</v>
      </c>
      <c r="M7460" s="282" t="e">
        <f>(INDEX(Tabla6[#All],MATCH(Tabla4[[#This Row],[Producto]],Tabla6[[#All],[PRODUCTO]],0),MATCH(Tabla4[[#This Row],[Mes]],Tabla6[#Headers],0)))*(1+Catalogos!$L$2)</f>
        <v>#N/A</v>
      </c>
      <c r="N7460" s="283" t="e">
        <f>+(Tabla4[[#This Row],[Precio Descontado]]-Tabla4[[#This Row],[Precio Base]])*Tabla4[[#This Row],[Cantidad]]</f>
        <v>#N/A</v>
      </c>
      <c r="O7460" s="284" t="e">
        <f>++Tabla4[[#This Row],[Utilidad Total]]/Tabla4[[#This Row],[Total]]</f>
        <v>#N/A</v>
      </c>
      <c r="P7460" s="282">
        <f>++Tabla4[[#This Row],[Precio Descontado]]*Tabla4[[#This Row],[Cantidad]]</f>
        <v>16975.600636799998</v>
      </c>
      <c r="Q7460" s="282" t="e">
        <f>(INDEX(Tabla6[#All],MATCH(Tabla4[[#This Row],[Producto]],Tabla6[[#All],[PRODUCTO]],0),MATCH(Tabla4[[#This Row],[Mes]],Tabla6[#Headers],0)))</f>
        <v>#N/A</v>
      </c>
      <c r="R7460" s="282" t="e">
        <f>++Tabla4[[#This Row],[Precio Unitario Neto]]-Tabla4[[#This Row],[20.85%]]-Tabla4[[#This Row],[Costo]]</f>
        <v>#N/A</v>
      </c>
      <c r="S7460" s="282" t="e">
        <f>++Tabla4[[#This Row],[U. Bruta Uni]]*Tabla4[[#This Row],[Cantidad]]</f>
        <v>#N/A</v>
      </c>
      <c r="T7460" s="369" t="str">
        <f>VLOOKUP(Tabla4[[#This Row],[Producto]],Tabla6[#All],14,FALSE)</f>
        <v>Termico Solar</v>
      </c>
      <c r="U7460" s="284" t="e">
        <f>(IF(Tabla4[[#This Row],[Familia]]="termico solar",Tabla4[[#This Row],[Utilidad Total]]*6%,Tabla4[[#This Row],[Utilidad Total]]*11.5%))/Tabla4[[#This Row],[Total]]</f>
        <v>#N/A</v>
      </c>
      <c r="V7460" s="282" t="e">
        <f>+Tabla4[[#This Row],[Comisión Calculada]]*Tabla4[[#This Row],[Total]]</f>
        <v>#N/A</v>
      </c>
    </row>
    <row r="7461" spans="1:22" x14ac:dyDescent="0.25">
      <c r="A7461" s="100">
        <v>46006</v>
      </c>
      <c r="B7461" t="str">
        <f t="shared" si="663"/>
        <v>December</v>
      </c>
      <c r="C7461" s="46" t="s">
        <v>280</v>
      </c>
      <c r="F7461" s="366" t="s">
        <v>3763</v>
      </c>
      <c r="G7461" s="46" t="s">
        <v>566</v>
      </c>
      <c r="H7461" s="46">
        <v>1</v>
      </c>
      <c r="I7461" s="51">
        <v>2109.4499999999998</v>
      </c>
      <c r="J7461" s="281">
        <f>++Tabla4[[#This Row],[Precio Bruto]]*1.16</f>
        <v>2446.9619999999995</v>
      </c>
      <c r="K7461" s="281">
        <f>+Tabla4[[#This Row],[Precio Unitario Neto]]*Tabla4[[#Headers],[20.85%]]</f>
        <v>510.19157699999988</v>
      </c>
      <c r="L7461" s="282">
        <f>++Tabla4[[#This Row],[Precio Unitario Neto]]-Tabla4[[#This Row],[20.85%]]</f>
        <v>1936.7704229999997</v>
      </c>
      <c r="M7461" s="282" t="e">
        <f>(INDEX(Tabla6[#All],MATCH(Tabla4[[#This Row],[Producto]],Tabla6[[#All],[PRODUCTO]],0),MATCH(Tabla4[[#This Row],[Mes]],Tabla6[#Headers],0)))*(1+Catalogos!$L$2)</f>
        <v>#N/A</v>
      </c>
      <c r="N7461" s="283" t="e">
        <f>+(Tabla4[[#This Row],[Precio Descontado]]-Tabla4[[#This Row],[Precio Base]])*Tabla4[[#This Row],[Cantidad]]</f>
        <v>#N/A</v>
      </c>
      <c r="O7461" s="284" t="e">
        <f>++Tabla4[[#This Row],[Utilidad Total]]/Tabla4[[#This Row],[Total]]</f>
        <v>#N/A</v>
      </c>
      <c r="P7461" s="282">
        <f>++Tabla4[[#This Row],[Precio Descontado]]*Tabla4[[#This Row],[Cantidad]]</f>
        <v>1936.7704229999997</v>
      </c>
      <c r="Q7461" s="282" t="e">
        <f>(INDEX(Tabla6[#All],MATCH(Tabla4[[#This Row],[Producto]],Tabla6[[#All],[PRODUCTO]],0),MATCH(Tabla4[[#This Row],[Mes]],Tabla6[#Headers],0)))</f>
        <v>#N/A</v>
      </c>
      <c r="R7461" s="282" t="e">
        <f>++Tabla4[[#This Row],[Precio Unitario Neto]]-Tabla4[[#This Row],[20.85%]]-Tabla4[[#This Row],[Costo]]</f>
        <v>#N/A</v>
      </c>
      <c r="S7461" s="282" t="e">
        <f>++Tabla4[[#This Row],[U. Bruta Uni]]*Tabla4[[#This Row],[Cantidad]]</f>
        <v>#N/A</v>
      </c>
      <c r="T7461" s="369" t="str">
        <f>VLOOKUP(Tabla4[[#This Row],[Producto]],Tabla6[#All],14,FALSE)</f>
        <v>Termico Solar</v>
      </c>
      <c r="U7461" s="284" t="e">
        <f>(IF(Tabla4[[#This Row],[Familia]]="termico solar",Tabla4[[#This Row],[Utilidad Total]]*6%,Tabla4[[#This Row],[Utilidad Total]]*11.5%))/Tabla4[[#This Row],[Total]]</f>
        <v>#N/A</v>
      </c>
      <c r="V7461" s="282" t="e">
        <f>+Tabla4[[#This Row],[Comisión Calculada]]*Tabla4[[#This Row],[Total]]</f>
        <v>#N/A</v>
      </c>
    </row>
    <row r="7462" spans="1:22" x14ac:dyDescent="0.25">
      <c r="A7462" s="100">
        <v>46006</v>
      </c>
      <c r="B7462" t="str">
        <f t="shared" ref="B7462:B7465" si="664">TEXT(A7462, "mmmm")</f>
        <v>December</v>
      </c>
      <c r="C7462" s="46" t="s">
        <v>280</v>
      </c>
      <c r="F7462" s="366" t="s">
        <v>3764</v>
      </c>
      <c r="G7462" s="46" t="s">
        <v>83</v>
      </c>
      <c r="H7462" s="46">
        <v>6</v>
      </c>
      <c r="I7462" s="51">
        <v>8858.76</v>
      </c>
      <c r="J7462" s="281">
        <f>++Tabla4[[#This Row],[Precio Bruto]]*1.16</f>
        <v>10276.161599999999</v>
      </c>
      <c r="K7462" s="281">
        <f>+Tabla4[[#This Row],[Precio Unitario Neto]]*Tabla4[[#Headers],[20.85%]]</f>
        <v>2142.5796935999997</v>
      </c>
      <c r="L7462" s="282">
        <f>++Tabla4[[#This Row],[Precio Unitario Neto]]-Tabla4[[#This Row],[20.85%]]</f>
        <v>8133.5819063999998</v>
      </c>
      <c r="M7462" s="282" t="e">
        <f>(INDEX(Tabla6[#All],MATCH(Tabla4[[#This Row],[Producto]],Tabla6[[#All],[PRODUCTO]],0),MATCH(Tabla4[[#This Row],[Mes]],Tabla6[#Headers],0)))*(1+Catalogos!$L$2)</f>
        <v>#N/A</v>
      </c>
      <c r="N7462" s="283" t="e">
        <f>+(Tabla4[[#This Row],[Precio Descontado]]-Tabla4[[#This Row],[Precio Base]])*Tabla4[[#This Row],[Cantidad]]</f>
        <v>#N/A</v>
      </c>
      <c r="O7462" s="284" t="e">
        <f>++Tabla4[[#This Row],[Utilidad Total]]/Tabla4[[#This Row],[Total]]</f>
        <v>#N/A</v>
      </c>
      <c r="P7462" s="282">
        <f>++Tabla4[[#This Row],[Precio Descontado]]*Tabla4[[#This Row],[Cantidad]]</f>
        <v>48801.4914384</v>
      </c>
      <c r="Q7462" s="282" t="e">
        <f>(INDEX(Tabla6[#All],MATCH(Tabla4[[#This Row],[Producto]],Tabla6[[#All],[PRODUCTO]],0),MATCH(Tabla4[[#This Row],[Mes]],Tabla6[#Headers],0)))</f>
        <v>#N/A</v>
      </c>
      <c r="R7462" s="282" t="e">
        <f>++Tabla4[[#This Row],[Precio Unitario Neto]]-Tabla4[[#This Row],[20.85%]]-Tabla4[[#This Row],[Costo]]</f>
        <v>#N/A</v>
      </c>
      <c r="S7462" s="282" t="e">
        <f>++Tabla4[[#This Row],[U. Bruta Uni]]*Tabla4[[#This Row],[Cantidad]]</f>
        <v>#N/A</v>
      </c>
      <c r="T7462" s="369" t="str">
        <f>VLOOKUP(Tabla4[[#This Row],[Producto]],Tabla6[#All],14,FALSE)</f>
        <v>Termico Solar</v>
      </c>
      <c r="U7462" s="284" t="e">
        <f>(IF(Tabla4[[#This Row],[Familia]]="termico solar",Tabla4[[#This Row],[Utilidad Total]]*6%,Tabla4[[#This Row],[Utilidad Total]]*11.5%))/Tabla4[[#This Row],[Total]]</f>
        <v>#N/A</v>
      </c>
      <c r="V7462" s="282" t="e">
        <f>+Tabla4[[#This Row],[Comisión Calculada]]*Tabla4[[#This Row],[Total]]</f>
        <v>#N/A</v>
      </c>
    </row>
    <row r="7463" spans="1:22" x14ac:dyDescent="0.25">
      <c r="A7463" s="100">
        <v>46006</v>
      </c>
      <c r="B7463" t="str">
        <f t="shared" si="664"/>
        <v>December</v>
      </c>
      <c r="C7463" s="46" t="s">
        <v>280</v>
      </c>
      <c r="F7463" s="366" t="s">
        <v>3764</v>
      </c>
      <c r="G7463" s="46" t="s">
        <v>17</v>
      </c>
      <c r="H7463" s="46">
        <v>4</v>
      </c>
      <c r="I7463" s="51">
        <v>4622.28</v>
      </c>
      <c r="J7463" s="281">
        <f>++Tabla4[[#This Row],[Precio Bruto]]*1.16</f>
        <v>5361.8447999999989</v>
      </c>
      <c r="K7463" s="281">
        <f>+Tabla4[[#This Row],[Precio Unitario Neto]]*Tabla4[[#Headers],[20.85%]]</f>
        <v>1117.9446407999997</v>
      </c>
      <c r="L7463" s="282">
        <f>++Tabla4[[#This Row],[Precio Unitario Neto]]-Tabla4[[#This Row],[20.85%]]</f>
        <v>4243.9001591999995</v>
      </c>
      <c r="M7463" s="282" t="e">
        <f>(INDEX(Tabla6[#All],MATCH(Tabla4[[#This Row],[Producto]],Tabla6[[#All],[PRODUCTO]],0),MATCH(Tabla4[[#This Row],[Mes]],Tabla6[#Headers],0)))*(1+Catalogos!$L$2)</f>
        <v>#N/A</v>
      </c>
      <c r="N7463" s="283" t="e">
        <f>+(Tabla4[[#This Row],[Precio Descontado]]-Tabla4[[#This Row],[Precio Base]])*Tabla4[[#This Row],[Cantidad]]</f>
        <v>#N/A</v>
      </c>
      <c r="O7463" s="284" t="e">
        <f>++Tabla4[[#This Row],[Utilidad Total]]/Tabla4[[#This Row],[Total]]</f>
        <v>#N/A</v>
      </c>
      <c r="P7463" s="282">
        <f>++Tabla4[[#This Row],[Precio Descontado]]*Tabla4[[#This Row],[Cantidad]]</f>
        <v>16975.600636799998</v>
      </c>
      <c r="Q7463" s="282" t="e">
        <f>(INDEX(Tabla6[#All],MATCH(Tabla4[[#This Row],[Producto]],Tabla6[[#All],[PRODUCTO]],0),MATCH(Tabla4[[#This Row],[Mes]],Tabla6[#Headers],0)))</f>
        <v>#N/A</v>
      </c>
      <c r="R7463" s="282" t="e">
        <f>++Tabla4[[#This Row],[Precio Unitario Neto]]-Tabla4[[#This Row],[20.85%]]-Tabla4[[#This Row],[Costo]]</f>
        <v>#N/A</v>
      </c>
      <c r="S7463" s="282" t="e">
        <f>++Tabla4[[#This Row],[U. Bruta Uni]]*Tabla4[[#This Row],[Cantidad]]</f>
        <v>#N/A</v>
      </c>
      <c r="T7463" s="369" t="str">
        <f>VLOOKUP(Tabla4[[#This Row],[Producto]],Tabla6[#All],14,FALSE)</f>
        <v>Termico Solar</v>
      </c>
      <c r="U7463" s="284" t="e">
        <f>(IF(Tabla4[[#This Row],[Familia]]="termico solar",Tabla4[[#This Row],[Utilidad Total]]*6%,Tabla4[[#This Row],[Utilidad Total]]*11.5%))/Tabla4[[#This Row],[Total]]</f>
        <v>#N/A</v>
      </c>
      <c r="V7463" s="282" t="e">
        <f>+Tabla4[[#This Row],[Comisión Calculada]]*Tabla4[[#This Row],[Total]]</f>
        <v>#N/A</v>
      </c>
    </row>
    <row r="7464" spans="1:22" x14ac:dyDescent="0.25">
      <c r="A7464" s="100">
        <v>46006</v>
      </c>
      <c r="B7464" t="str">
        <f t="shared" si="664"/>
        <v>December</v>
      </c>
      <c r="C7464" s="46" t="s">
        <v>280</v>
      </c>
      <c r="F7464" s="366" t="s">
        <v>3764</v>
      </c>
      <c r="G7464" s="46" t="s">
        <v>566</v>
      </c>
      <c r="H7464" s="46">
        <v>1</v>
      </c>
      <c r="I7464" s="51">
        <v>2109.4499999999998</v>
      </c>
      <c r="J7464" s="281">
        <f>++Tabla4[[#This Row],[Precio Bruto]]*1.16</f>
        <v>2446.9619999999995</v>
      </c>
      <c r="K7464" s="281">
        <f>+Tabla4[[#This Row],[Precio Unitario Neto]]*Tabla4[[#Headers],[20.85%]]</f>
        <v>510.19157699999988</v>
      </c>
      <c r="L7464" s="282">
        <f>++Tabla4[[#This Row],[Precio Unitario Neto]]-Tabla4[[#This Row],[20.85%]]</f>
        <v>1936.7704229999997</v>
      </c>
      <c r="M7464" s="282" t="e">
        <f>(INDEX(Tabla6[#All],MATCH(Tabla4[[#This Row],[Producto]],Tabla6[[#All],[PRODUCTO]],0),MATCH(Tabla4[[#This Row],[Mes]],Tabla6[#Headers],0)))*(1+Catalogos!$L$2)</f>
        <v>#N/A</v>
      </c>
      <c r="N7464" s="283" t="e">
        <f>+(Tabla4[[#This Row],[Precio Descontado]]-Tabla4[[#This Row],[Precio Base]])*Tabla4[[#This Row],[Cantidad]]</f>
        <v>#N/A</v>
      </c>
      <c r="O7464" s="284" t="e">
        <f>++Tabla4[[#This Row],[Utilidad Total]]/Tabla4[[#This Row],[Total]]</f>
        <v>#N/A</v>
      </c>
      <c r="P7464" s="282">
        <f>++Tabla4[[#This Row],[Precio Descontado]]*Tabla4[[#This Row],[Cantidad]]</f>
        <v>1936.7704229999997</v>
      </c>
      <c r="Q7464" s="282" t="e">
        <f>(INDEX(Tabla6[#All],MATCH(Tabla4[[#This Row],[Producto]],Tabla6[[#All],[PRODUCTO]],0),MATCH(Tabla4[[#This Row],[Mes]],Tabla6[#Headers],0)))</f>
        <v>#N/A</v>
      </c>
      <c r="R7464" s="282" t="e">
        <f>++Tabla4[[#This Row],[Precio Unitario Neto]]-Tabla4[[#This Row],[20.85%]]-Tabla4[[#This Row],[Costo]]</f>
        <v>#N/A</v>
      </c>
      <c r="S7464" s="282" t="e">
        <f>++Tabla4[[#This Row],[U. Bruta Uni]]*Tabla4[[#This Row],[Cantidad]]</f>
        <v>#N/A</v>
      </c>
      <c r="T7464" s="369" t="str">
        <f>VLOOKUP(Tabla4[[#This Row],[Producto]],Tabla6[#All],14,FALSE)</f>
        <v>Termico Solar</v>
      </c>
      <c r="U7464" s="284" t="e">
        <f>(IF(Tabla4[[#This Row],[Familia]]="termico solar",Tabla4[[#This Row],[Utilidad Total]]*6%,Tabla4[[#This Row],[Utilidad Total]]*11.5%))/Tabla4[[#This Row],[Total]]</f>
        <v>#N/A</v>
      </c>
      <c r="V7464" s="282" t="e">
        <f>+Tabla4[[#This Row],[Comisión Calculada]]*Tabla4[[#This Row],[Total]]</f>
        <v>#N/A</v>
      </c>
    </row>
    <row r="7465" spans="1:22" x14ac:dyDescent="0.25">
      <c r="A7465" s="100">
        <v>46006</v>
      </c>
      <c r="B7465" t="str">
        <f t="shared" si="664"/>
        <v>December</v>
      </c>
      <c r="C7465" s="46" t="s">
        <v>280</v>
      </c>
      <c r="F7465" s="366" t="s">
        <v>3764</v>
      </c>
      <c r="G7465" s="46" t="s">
        <v>16</v>
      </c>
      <c r="H7465" s="46">
        <v>4</v>
      </c>
      <c r="I7465" s="51">
        <v>4103.8500000000004</v>
      </c>
      <c r="J7465" s="281">
        <f>++Tabla4[[#This Row],[Precio Bruto]]*1.16</f>
        <v>4760.4660000000003</v>
      </c>
      <c r="K7465" s="281">
        <f>+Tabla4[[#This Row],[Precio Unitario Neto]]*Tabla4[[#Headers],[20.85%]]</f>
        <v>992.55716100000006</v>
      </c>
      <c r="L7465" s="282">
        <f>++Tabla4[[#This Row],[Precio Unitario Neto]]-Tabla4[[#This Row],[20.85%]]</f>
        <v>3767.9088390000002</v>
      </c>
      <c r="M7465" s="282" t="e">
        <f>(INDEX(Tabla6[#All],MATCH(Tabla4[[#This Row],[Producto]],Tabla6[[#All],[PRODUCTO]],0),MATCH(Tabla4[[#This Row],[Mes]],Tabla6[#Headers],0)))*(1+Catalogos!$L$2)</f>
        <v>#N/A</v>
      </c>
      <c r="N7465" s="283" t="e">
        <f>+(Tabla4[[#This Row],[Precio Descontado]]-Tabla4[[#This Row],[Precio Base]])*Tabla4[[#This Row],[Cantidad]]</f>
        <v>#N/A</v>
      </c>
      <c r="O7465" s="284" t="e">
        <f>++Tabla4[[#This Row],[Utilidad Total]]/Tabla4[[#This Row],[Total]]</f>
        <v>#N/A</v>
      </c>
      <c r="P7465" s="282">
        <f>++Tabla4[[#This Row],[Precio Descontado]]*Tabla4[[#This Row],[Cantidad]]</f>
        <v>15071.635356000001</v>
      </c>
      <c r="Q7465" s="282" t="e">
        <f>(INDEX(Tabla6[#All],MATCH(Tabla4[[#This Row],[Producto]],Tabla6[[#All],[PRODUCTO]],0),MATCH(Tabla4[[#This Row],[Mes]],Tabla6[#Headers],0)))</f>
        <v>#N/A</v>
      </c>
      <c r="R7465" s="282" t="e">
        <f>++Tabla4[[#This Row],[Precio Unitario Neto]]-Tabla4[[#This Row],[20.85%]]-Tabla4[[#This Row],[Costo]]</f>
        <v>#N/A</v>
      </c>
      <c r="S7465" s="282" t="e">
        <f>++Tabla4[[#This Row],[U. Bruta Uni]]*Tabla4[[#This Row],[Cantidad]]</f>
        <v>#N/A</v>
      </c>
      <c r="T7465" s="369" t="str">
        <f>VLOOKUP(Tabla4[[#This Row],[Producto]],Tabla6[#All],14,FALSE)</f>
        <v>Termico Solar</v>
      </c>
      <c r="U7465" s="284" t="e">
        <f>(IF(Tabla4[[#This Row],[Familia]]="termico solar",Tabla4[[#This Row],[Utilidad Total]]*6%,Tabla4[[#This Row],[Utilidad Total]]*11.5%))/Tabla4[[#This Row],[Total]]</f>
        <v>#N/A</v>
      </c>
      <c r="V7465" s="282" t="e">
        <f>+Tabla4[[#This Row],[Comisión Calculada]]*Tabla4[[#This Row],[Total]]</f>
        <v>#N/A</v>
      </c>
    </row>
    <row r="7466" spans="1:22" x14ac:dyDescent="0.25">
      <c r="A7466" s="100">
        <v>46006</v>
      </c>
      <c r="B7466" t="str">
        <f t="shared" ref="B7466:B7467" si="665">TEXT(A7466, "mmmm")</f>
        <v>December</v>
      </c>
      <c r="C7466" s="46" t="s">
        <v>280</v>
      </c>
      <c r="F7466" s="366" t="s">
        <v>3765</v>
      </c>
      <c r="G7466" s="46" t="s">
        <v>83</v>
      </c>
      <c r="H7466" s="46">
        <v>1</v>
      </c>
      <c r="I7466" s="51">
        <v>8858.76</v>
      </c>
      <c r="J7466" s="281">
        <f>++Tabla4[[#This Row],[Precio Bruto]]*1.16</f>
        <v>10276.161599999999</v>
      </c>
      <c r="K7466" s="281">
        <f>+Tabla4[[#This Row],[Precio Unitario Neto]]*Tabla4[[#Headers],[20.85%]]</f>
        <v>2142.5796935999997</v>
      </c>
      <c r="L7466" s="282">
        <f>++Tabla4[[#This Row],[Precio Unitario Neto]]-Tabla4[[#This Row],[20.85%]]</f>
        <v>8133.5819063999998</v>
      </c>
      <c r="M7466" s="282" t="e">
        <f>(INDEX(Tabla6[#All],MATCH(Tabla4[[#This Row],[Producto]],Tabla6[[#All],[PRODUCTO]],0),MATCH(Tabla4[[#This Row],[Mes]],Tabla6[#Headers],0)))*(1+Catalogos!$L$2)</f>
        <v>#N/A</v>
      </c>
      <c r="N7466" s="283" t="e">
        <f>+(Tabla4[[#This Row],[Precio Descontado]]-Tabla4[[#This Row],[Precio Base]])*Tabla4[[#This Row],[Cantidad]]</f>
        <v>#N/A</v>
      </c>
      <c r="O7466" s="284" t="e">
        <f>++Tabla4[[#This Row],[Utilidad Total]]/Tabla4[[#This Row],[Total]]</f>
        <v>#N/A</v>
      </c>
      <c r="P7466" s="282">
        <f>++Tabla4[[#This Row],[Precio Descontado]]*Tabla4[[#This Row],[Cantidad]]</f>
        <v>8133.5819063999998</v>
      </c>
      <c r="Q7466" s="282" t="e">
        <f>(INDEX(Tabla6[#All],MATCH(Tabla4[[#This Row],[Producto]],Tabla6[[#All],[PRODUCTO]],0),MATCH(Tabla4[[#This Row],[Mes]],Tabla6[#Headers],0)))</f>
        <v>#N/A</v>
      </c>
      <c r="R7466" s="282" t="e">
        <f>++Tabla4[[#This Row],[Precio Unitario Neto]]-Tabla4[[#This Row],[20.85%]]-Tabla4[[#This Row],[Costo]]</f>
        <v>#N/A</v>
      </c>
      <c r="S7466" s="282" t="e">
        <f>++Tabla4[[#This Row],[U. Bruta Uni]]*Tabla4[[#This Row],[Cantidad]]</f>
        <v>#N/A</v>
      </c>
      <c r="T7466" s="369" t="str">
        <f>VLOOKUP(Tabla4[[#This Row],[Producto]],Tabla6[#All],14,FALSE)</f>
        <v>Termico Solar</v>
      </c>
      <c r="U7466" s="284" t="e">
        <f>(IF(Tabla4[[#This Row],[Familia]]="termico solar",Tabla4[[#This Row],[Utilidad Total]]*6%,Tabla4[[#This Row],[Utilidad Total]]*11.5%))/Tabla4[[#This Row],[Total]]</f>
        <v>#N/A</v>
      </c>
      <c r="V7466" s="282" t="e">
        <f>+Tabla4[[#This Row],[Comisión Calculada]]*Tabla4[[#This Row],[Total]]</f>
        <v>#N/A</v>
      </c>
    </row>
    <row r="7467" spans="1:22" x14ac:dyDescent="0.25">
      <c r="A7467" s="100">
        <v>46006</v>
      </c>
      <c r="B7467" t="str">
        <f t="shared" si="665"/>
        <v>December</v>
      </c>
      <c r="C7467" s="46" t="s">
        <v>280</v>
      </c>
      <c r="F7467" s="366" t="s">
        <v>3765</v>
      </c>
      <c r="G7467" s="46" t="s">
        <v>208</v>
      </c>
      <c r="H7467" s="46">
        <v>2</v>
      </c>
      <c r="I7467" s="51">
        <v>189.75</v>
      </c>
      <c r="J7467" s="281">
        <f>++Tabla4[[#This Row],[Precio Bruto]]*1.16</f>
        <v>220.10999999999999</v>
      </c>
      <c r="K7467" s="281">
        <f>+Tabla4[[#This Row],[Precio Unitario Neto]]*Tabla4[[#Headers],[20.85%]]</f>
        <v>45.892934999999994</v>
      </c>
      <c r="L7467" s="282">
        <f>++Tabla4[[#This Row],[Precio Unitario Neto]]-Tabla4[[#This Row],[20.85%]]</f>
        <v>174.21706499999999</v>
      </c>
      <c r="M7467" s="282" t="e">
        <f>(INDEX(Tabla6[#All],MATCH(Tabla4[[#This Row],[Producto]],Tabla6[[#All],[PRODUCTO]],0),MATCH(Tabla4[[#This Row],[Mes]],Tabla6[#Headers],0)))*(1+Catalogos!$L$2)</f>
        <v>#N/A</v>
      </c>
      <c r="N7467" s="283" t="e">
        <f>+(Tabla4[[#This Row],[Precio Descontado]]-Tabla4[[#This Row],[Precio Base]])*Tabla4[[#This Row],[Cantidad]]</f>
        <v>#N/A</v>
      </c>
      <c r="O7467" s="284" t="e">
        <f>++Tabla4[[#This Row],[Utilidad Total]]/Tabla4[[#This Row],[Total]]</f>
        <v>#N/A</v>
      </c>
      <c r="P7467" s="282">
        <f>++Tabla4[[#This Row],[Precio Descontado]]*Tabla4[[#This Row],[Cantidad]]</f>
        <v>348.43412999999998</v>
      </c>
      <c r="Q7467" s="282" t="e">
        <f>(INDEX(Tabla6[#All],MATCH(Tabla4[[#This Row],[Producto]],Tabla6[[#All],[PRODUCTO]],0),MATCH(Tabla4[[#This Row],[Mes]],Tabla6[#Headers],0)))</f>
        <v>#N/A</v>
      </c>
      <c r="R7467" s="282" t="e">
        <f>++Tabla4[[#This Row],[Precio Unitario Neto]]-Tabla4[[#This Row],[20.85%]]-Tabla4[[#This Row],[Costo]]</f>
        <v>#N/A</v>
      </c>
      <c r="S7467" s="282" t="e">
        <f>++Tabla4[[#This Row],[U. Bruta Uni]]*Tabla4[[#This Row],[Cantidad]]</f>
        <v>#N/A</v>
      </c>
      <c r="T7467" s="369" t="str">
        <f>VLOOKUP(Tabla4[[#This Row],[Producto]],Tabla6[#All],14,FALSE)</f>
        <v>Termico Solar</v>
      </c>
      <c r="U7467" s="284" t="e">
        <f>(IF(Tabla4[[#This Row],[Familia]]="termico solar",Tabla4[[#This Row],[Utilidad Total]]*6%,Tabla4[[#This Row],[Utilidad Total]]*11.5%))/Tabla4[[#This Row],[Total]]</f>
        <v>#N/A</v>
      </c>
      <c r="V7467" s="282" t="e">
        <f>+Tabla4[[#This Row],[Comisión Calculada]]*Tabla4[[#This Row],[Total]]</f>
        <v>#N/A</v>
      </c>
    </row>
    <row r="7468" spans="1:22" x14ac:dyDescent="0.25">
      <c r="A7468" s="100">
        <v>46006</v>
      </c>
      <c r="B7468" t="str">
        <f>TEXT(A7468, "mmmm")</f>
        <v>December</v>
      </c>
      <c r="C7468" s="46" t="s">
        <v>280</v>
      </c>
      <c r="F7468" s="366" t="s">
        <v>3766</v>
      </c>
      <c r="G7468" s="46" t="s">
        <v>17</v>
      </c>
      <c r="H7468" s="46">
        <v>1</v>
      </c>
      <c r="I7468" s="51">
        <v>4622.28</v>
      </c>
      <c r="J7468" s="281">
        <f>++Tabla4[[#This Row],[Precio Bruto]]*1.16</f>
        <v>5361.8447999999989</v>
      </c>
      <c r="K7468" s="281">
        <f>+Tabla4[[#This Row],[Precio Unitario Neto]]*Tabla4[[#Headers],[20.85%]]</f>
        <v>1117.9446407999997</v>
      </c>
      <c r="L7468" s="282">
        <f>++Tabla4[[#This Row],[Precio Unitario Neto]]-Tabla4[[#This Row],[20.85%]]</f>
        <v>4243.9001591999995</v>
      </c>
      <c r="M7468" s="282" t="e">
        <f>(INDEX(Tabla6[#All],MATCH(Tabla4[[#This Row],[Producto]],Tabla6[[#All],[PRODUCTO]],0),MATCH(Tabla4[[#This Row],[Mes]],Tabla6[#Headers],0)))*(1+Catalogos!$L$2)</f>
        <v>#N/A</v>
      </c>
      <c r="N7468" s="283" t="e">
        <f>+(Tabla4[[#This Row],[Precio Descontado]]-Tabla4[[#This Row],[Precio Base]])*Tabla4[[#This Row],[Cantidad]]</f>
        <v>#N/A</v>
      </c>
      <c r="O7468" s="284" t="e">
        <f>++Tabla4[[#This Row],[Utilidad Total]]/Tabla4[[#This Row],[Total]]</f>
        <v>#N/A</v>
      </c>
      <c r="P7468" s="282">
        <f>++Tabla4[[#This Row],[Precio Descontado]]*Tabla4[[#This Row],[Cantidad]]</f>
        <v>4243.9001591999995</v>
      </c>
      <c r="Q7468" s="282" t="e">
        <f>(INDEX(Tabla6[#All],MATCH(Tabla4[[#This Row],[Producto]],Tabla6[[#All],[PRODUCTO]],0),MATCH(Tabla4[[#This Row],[Mes]],Tabla6[#Headers],0)))</f>
        <v>#N/A</v>
      </c>
      <c r="R7468" s="282" t="e">
        <f>++Tabla4[[#This Row],[Precio Unitario Neto]]-Tabla4[[#This Row],[20.85%]]-Tabla4[[#This Row],[Costo]]</f>
        <v>#N/A</v>
      </c>
      <c r="S7468" s="282" t="e">
        <f>++Tabla4[[#This Row],[U. Bruta Uni]]*Tabla4[[#This Row],[Cantidad]]</f>
        <v>#N/A</v>
      </c>
      <c r="T7468" s="369" t="str">
        <f>VLOOKUP(Tabla4[[#This Row],[Producto]],Tabla6[#All],14,FALSE)</f>
        <v>Termico Solar</v>
      </c>
      <c r="U7468" s="284" t="e">
        <f>(IF(Tabla4[[#This Row],[Familia]]="termico solar",Tabla4[[#This Row],[Utilidad Total]]*6%,Tabla4[[#This Row],[Utilidad Total]]*11.5%))/Tabla4[[#This Row],[Total]]</f>
        <v>#N/A</v>
      </c>
      <c r="V7468" s="282" t="e">
        <f>+Tabla4[[#This Row],[Comisión Calculada]]*Tabla4[[#This Row],[Total]]</f>
        <v>#N/A</v>
      </c>
    </row>
    <row r="7469" spans="1:22" x14ac:dyDescent="0.25">
      <c r="A7469" s="100">
        <v>46006</v>
      </c>
      <c r="B7469" t="str">
        <f t="shared" ref="B7469:B7470" si="666">TEXT(A7469, "mmmm")</f>
        <v>December</v>
      </c>
      <c r="C7469" s="46" t="s">
        <v>280</v>
      </c>
      <c r="F7469" s="366" t="s">
        <v>3767</v>
      </c>
      <c r="G7469" s="46" t="s">
        <v>83</v>
      </c>
      <c r="H7469" s="46">
        <v>2</v>
      </c>
      <c r="I7469" s="51">
        <v>8858.76</v>
      </c>
      <c r="J7469" s="281">
        <f>++Tabla4[[#This Row],[Precio Bruto]]*1.16</f>
        <v>10276.161599999999</v>
      </c>
      <c r="K7469" s="281">
        <f>+Tabla4[[#This Row],[Precio Unitario Neto]]*Tabla4[[#Headers],[20.85%]]</f>
        <v>2142.5796935999997</v>
      </c>
      <c r="L7469" s="282">
        <f>++Tabla4[[#This Row],[Precio Unitario Neto]]-Tabla4[[#This Row],[20.85%]]</f>
        <v>8133.5819063999998</v>
      </c>
      <c r="M7469" s="282" t="e">
        <f>(INDEX(Tabla6[#All],MATCH(Tabla4[[#This Row],[Producto]],Tabla6[[#All],[PRODUCTO]],0),MATCH(Tabla4[[#This Row],[Mes]],Tabla6[#Headers],0)))*(1+Catalogos!$L$2)</f>
        <v>#N/A</v>
      </c>
      <c r="N7469" s="283" t="e">
        <f>+(Tabla4[[#This Row],[Precio Descontado]]-Tabla4[[#This Row],[Precio Base]])*Tabla4[[#This Row],[Cantidad]]</f>
        <v>#N/A</v>
      </c>
      <c r="O7469" s="284" t="e">
        <f>++Tabla4[[#This Row],[Utilidad Total]]/Tabla4[[#This Row],[Total]]</f>
        <v>#N/A</v>
      </c>
      <c r="P7469" s="282">
        <f>++Tabla4[[#This Row],[Precio Descontado]]*Tabla4[[#This Row],[Cantidad]]</f>
        <v>16267.1638128</v>
      </c>
      <c r="Q7469" s="282" t="e">
        <f>(INDEX(Tabla6[#All],MATCH(Tabla4[[#This Row],[Producto]],Tabla6[[#All],[PRODUCTO]],0),MATCH(Tabla4[[#This Row],[Mes]],Tabla6[#Headers],0)))</f>
        <v>#N/A</v>
      </c>
      <c r="R7469" s="282" t="e">
        <f>++Tabla4[[#This Row],[Precio Unitario Neto]]-Tabla4[[#This Row],[20.85%]]-Tabla4[[#This Row],[Costo]]</f>
        <v>#N/A</v>
      </c>
      <c r="S7469" s="282" t="e">
        <f>++Tabla4[[#This Row],[U. Bruta Uni]]*Tabla4[[#This Row],[Cantidad]]</f>
        <v>#N/A</v>
      </c>
      <c r="T7469" s="369" t="str">
        <f>VLOOKUP(Tabla4[[#This Row],[Producto]],Tabla6[#All],14,FALSE)</f>
        <v>Termico Solar</v>
      </c>
      <c r="U7469" s="284" t="e">
        <f>(IF(Tabla4[[#This Row],[Familia]]="termico solar",Tabla4[[#This Row],[Utilidad Total]]*6%,Tabla4[[#This Row],[Utilidad Total]]*11.5%))/Tabla4[[#This Row],[Total]]</f>
        <v>#N/A</v>
      </c>
      <c r="V7469" s="282" t="e">
        <f>+Tabla4[[#This Row],[Comisión Calculada]]*Tabla4[[#This Row],[Total]]</f>
        <v>#N/A</v>
      </c>
    </row>
    <row r="7470" spans="1:22" x14ac:dyDescent="0.25">
      <c r="A7470" s="100">
        <v>46006</v>
      </c>
      <c r="B7470" t="str">
        <f t="shared" si="666"/>
        <v>December</v>
      </c>
      <c r="C7470" s="46" t="s">
        <v>280</v>
      </c>
      <c r="F7470" s="366" t="s">
        <v>3767</v>
      </c>
      <c r="G7470" s="46" t="s">
        <v>17</v>
      </c>
      <c r="H7470" s="46">
        <v>4</v>
      </c>
      <c r="I7470" s="51">
        <v>4622.28</v>
      </c>
      <c r="J7470" s="281">
        <f>++Tabla4[[#This Row],[Precio Bruto]]*1.16</f>
        <v>5361.8447999999989</v>
      </c>
      <c r="K7470" s="281">
        <f>+Tabla4[[#This Row],[Precio Unitario Neto]]*Tabla4[[#Headers],[20.85%]]</f>
        <v>1117.9446407999997</v>
      </c>
      <c r="L7470" s="282">
        <f>++Tabla4[[#This Row],[Precio Unitario Neto]]-Tabla4[[#This Row],[20.85%]]</f>
        <v>4243.9001591999995</v>
      </c>
      <c r="M7470" s="282" t="e">
        <f>(INDEX(Tabla6[#All],MATCH(Tabla4[[#This Row],[Producto]],Tabla6[[#All],[PRODUCTO]],0),MATCH(Tabla4[[#This Row],[Mes]],Tabla6[#Headers],0)))*(1+Catalogos!$L$2)</f>
        <v>#N/A</v>
      </c>
      <c r="N7470" s="283" t="e">
        <f>+(Tabla4[[#This Row],[Precio Descontado]]-Tabla4[[#This Row],[Precio Base]])*Tabla4[[#This Row],[Cantidad]]</f>
        <v>#N/A</v>
      </c>
      <c r="O7470" s="284" t="e">
        <f>++Tabla4[[#This Row],[Utilidad Total]]/Tabla4[[#This Row],[Total]]</f>
        <v>#N/A</v>
      </c>
      <c r="P7470" s="282">
        <f>++Tabla4[[#This Row],[Precio Descontado]]*Tabla4[[#This Row],[Cantidad]]</f>
        <v>16975.600636799998</v>
      </c>
      <c r="Q7470" s="282" t="e">
        <f>(INDEX(Tabla6[#All],MATCH(Tabla4[[#This Row],[Producto]],Tabla6[[#All],[PRODUCTO]],0),MATCH(Tabla4[[#This Row],[Mes]],Tabla6[#Headers],0)))</f>
        <v>#N/A</v>
      </c>
      <c r="R7470" s="282" t="e">
        <f>++Tabla4[[#This Row],[Precio Unitario Neto]]-Tabla4[[#This Row],[20.85%]]-Tabla4[[#This Row],[Costo]]</f>
        <v>#N/A</v>
      </c>
      <c r="S7470" s="282" t="e">
        <f>++Tabla4[[#This Row],[U. Bruta Uni]]*Tabla4[[#This Row],[Cantidad]]</f>
        <v>#N/A</v>
      </c>
      <c r="T7470" s="369" t="str">
        <f>VLOOKUP(Tabla4[[#This Row],[Producto]],Tabla6[#All],14,FALSE)</f>
        <v>Termico Solar</v>
      </c>
      <c r="U7470" s="284" t="e">
        <f>(IF(Tabla4[[#This Row],[Familia]]="termico solar",Tabla4[[#This Row],[Utilidad Total]]*6%,Tabla4[[#This Row],[Utilidad Total]]*11.5%))/Tabla4[[#This Row],[Total]]</f>
        <v>#N/A</v>
      </c>
      <c r="V7470" s="282" t="e">
        <f>+Tabla4[[#This Row],[Comisión Calculada]]*Tabla4[[#This Row],[Total]]</f>
        <v>#N/A</v>
      </c>
    </row>
    <row r="7471" spans="1:22" x14ac:dyDescent="0.25">
      <c r="A7471" s="100">
        <v>46006</v>
      </c>
      <c r="B7471" t="str">
        <f t="shared" ref="B7471:B7475" si="667">TEXT(A7471, "mmmm")</f>
        <v>December</v>
      </c>
      <c r="C7471" s="46" t="s">
        <v>280</v>
      </c>
      <c r="F7471" s="366" t="s">
        <v>3768</v>
      </c>
      <c r="G7471" s="46" t="s">
        <v>83</v>
      </c>
      <c r="H7471" s="46">
        <v>5</v>
      </c>
      <c r="I7471" s="51">
        <v>8858.76</v>
      </c>
      <c r="J7471" s="281">
        <f>++Tabla4[[#This Row],[Precio Bruto]]*1.16</f>
        <v>10276.161599999999</v>
      </c>
      <c r="K7471" s="281">
        <f>+Tabla4[[#This Row],[Precio Unitario Neto]]*Tabla4[[#Headers],[20.85%]]</f>
        <v>2142.5796935999997</v>
      </c>
      <c r="L7471" s="282">
        <f>++Tabla4[[#This Row],[Precio Unitario Neto]]-Tabla4[[#This Row],[20.85%]]</f>
        <v>8133.5819063999998</v>
      </c>
      <c r="M7471" s="282" t="e">
        <f>(INDEX(Tabla6[#All],MATCH(Tabla4[[#This Row],[Producto]],Tabla6[[#All],[PRODUCTO]],0),MATCH(Tabla4[[#This Row],[Mes]],Tabla6[#Headers],0)))*(1+Catalogos!$L$2)</f>
        <v>#N/A</v>
      </c>
      <c r="N7471" s="283" t="e">
        <f>+(Tabla4[[#This Row],[Precio Descontado]]-Tabla4[[#This Row],[Precio Base]])*Tabla4[[#This Row],[Cantidad]]</f>
        <v>#N/A</v>
      </c>
      <c r="O7471" s="284" t="e">
        <f>++Tabla4[[#This Row],[Utilidad Total]]/Tabla4[[#This Row],[Total]]</f>
        <v>#N/A</v>
      </c>
      <c r="P7471" s="282">
        <f>++Tabla4[[#This Row],[Precio Descontado]]*Tabla4[[#This Row],[Cantidad]]</f>
        <v>40667.909531999998</v>
      </c>
      <c r="Q7471" s="282" t="e">
        <f>(INDEX(Tabla6[#All],MATCH(Tabla4[[#This Row],[Producto]],Tabla6[[#All],[PRODUCTO]],0),MATCH(Tabla4[[#This Row],[Mes]],Tabla6[#Headers],0)))</f>
        <v>#N/A</v>
      </c>
      <c r="R7471" s="282" t="e">
        <f>++Tabla4[[#This Row],[Precio Unitario Neto]]-Tabla4[[#This Row],[20.85%]]-Tabla4[[#This Row],[Costo]]</f>
        <v>#N/A</v>
      </c>
      <c r="S7471" s="282" t="e">
        <f>++Tabla4[[#This Row],[U. Bruta Uni]]*Tabla4[[#This Row],[Cantidad]]</f>
        <v>#N/A</v>
      </c>
      <c r="T7471" s="369" t="str">
        <f>VLOOKUP(Tabla4[[#This Row],[Producto]],Tabla6[#All],14,FALSE)</f>
        <v>Termico Solar</v>
      </c>
      <c r="U7471" s="284" t="e">
        <f>(IF(Tabla4[[#This Row],[Familia]]="termico solar",Tabla4[[#This Row],[Utilidad Total]]*6%,Tabla4[[#This Row],[Utilidad Total]]*11.5%))/Tabla4[[#This Row],[Total]]</f>
        <v>#N/A</v>
      </c>
      <c r="V7471" s="282" t="e">
        <f>+Tabla4[[#This Row],[Comisión Calculada]]*Tabla4[[#This Row],[Total]]</f>
        <v>#N/A</v>
      </c>
    </row>
    <row r="7472" spans="1:22" x14ac:dyDescent="0.25">
      <c r="A7472" s="100">
        <v>46006</v>
      </c>
      <c r="B7472" t="str">
        <f t="shared" si="667"/>
        <v>December</v>
      </c>
      <c r="C7472" s="46" t="s">
        <v>280</v>
      </c>
      <c r="F7472" s="366" t="s">
        <v>3768</v>
      </c>
      <c r="G7472" s="46" t="s">
        <v>17</v>
      </c>
      <c r="H7472" s="46">
        <v>5</v>
      </c>
      <c r="I7472" s="51">
        <v>4622.2800000000007</v>
      </c>
      <c r="J7472" s="281">
        <f>++Tabla4[[#This Row],[Precio Bruto]]*1.16</f>
        <v>5361.8448000000008</v>
      </c>
      <c r="K7472" s="281">
        <f>+Tabla4[[#This Row],[Precio Unitario Neto]]*Tabla4[[#Headers],[20.85%]]</f>
        <v>1117.9446408000001</v>
      </c>
      <c r="L7472" s="282">
        <f>++Tabla4[[#This Row],[Precio Unitario Neto]]-Tabla4[[#This Row],[20.85%]]</f>
        <v>4243.9001592000004</v>
      </c>
      <c r="M7472" s="282" t="e">
        <f>(INDEX(Tabla6[#All],MATCH(Tabla4[[#This Row],[Producto]],Tabla6[[#All],[PRODUCTO]],0),MATCH(Tabla4[[#This Row],[Mes]],Tabla6[#Headers],0)))*(1+Catalogos!$L$2)</f>
        <v>#N/A</v>
      </c>
      <c r="N7472" s="283" t="e">
        <f>+(Tabla4[[#This Row],[Precio Descontado]]-Tabla4[[#This Row],[Precio Base]])*Tabla4[[#This Row],[Cantidad]]</f>
        <v>#N/A</v>
      </c>
      <c r="O7472" s="284" t="e">
        <f>++Tabla4[[#This Row],[Utilidad Total]]/Tabla4[[#This Row],[Total]]</f>
        <v>#N/A</v>
      </c>
      <c r="P7472" s="282">
        <f>++Tabla4[[#This Row],[Precio Descontado]]*Tabla4[[#This Row],[Cantidad]]</f>
        <v>21219.500796</v>
      </c>
      <c r="Q7472" s="282" t="e">
        <f>(INDEX(Tabla6[#All],MATCH(Tabla4[[#This Row],[Producto]],Tabla6[[#All],[PRODUCTO]],0),MATCH(Tabla4[[#This Row],[Mes]],Tabla6[#Headers],0)))</f>
        <v>#N/A</v>
      </c>
      <c r="R7472" s="282" t="e">
        <f>++Tabla4[[#This Row],[Precio Unitario Neto]]-Tabla4[[#This Row],[20.85%]]-Tabla4[[#This Row],[Costo]]</f>
        <v>#N/A</v>
      </c>
      <c r="S7472" s="282" t="e">
        <f>++Tabla4[[#This Row],[U. Bruta Uni]]*Tabla4[[#This Row],[Cantidad]]</f>
        <v>#N/A</v>
      </c>
      <c r="T7472" s="369" t="str">
        <f>VLOOKUP(Tabla4[[#This Row],[Producto]],Tabla6[#All],14,FALSE)</f>
        <v>Termico Solar</v>
      </c>
      <c r="U7472" s="284" t="e">
        <f>(IF(Tabla4[[#This Row],[Familia]]="termico solar",Tabla4[[#This Row],[Utilidad Total]]*6%,Tabla4[[#This Row],[Utilidad Total]]*11.5%))/Tabla4[[#This Row],[Total]]</f>
        <v>#N/A</v>
      </c>
      <c r="V7472" s="282" t="e">
        <f>+Tabla4[[#This Row],[Comisión Calculada]]*Tabla4[[#This Row],[Total]]</f>
        <v>#N/A</v>
      </c>
    </row>
    <row r="7473" spans="1:22" x14ac:dyDescent="0.25">
      <c r="A7473" s="100">
        <v>46006</v>
      </c>
      <c r="B7473" t="str">
        <f t="shared" si="667"/>
        <v>December</v>
      </c>
      <c r="C7473" s="46" t="s">
        <v>280</v>
      </c>
      <c r="F7473" s="366" t="s">
        <v>3768</v>
      </c>
      <c r="G7473" s="46" t="s">
        <v>18</v>
      </c>
      <c r="H7473" s="46">
        <v>3</v>
      </c>
      <c r="I7473" s="51">
        <v>5367.6500000000005</v>
      </c>
      <c r="J7473" s="281">
        <f>++Tabla4[[#This Row],[Precio Bruto]]*1.16</f>
        <v>6226.4740000000002</v>
      </c>
      <c r="K7473" s="281">
        <f>+Tabla4[[#This Row],[Precio Unitario Neto]]*Tabla4[[#Headers],[20.85%]]</f>
        <v>1298.2198289999999</v>
      </c>
      <c r="L7473" s="282">
        <f>++Tabla4[[#This Row],[Precio Unitario Neto]]-Tabla4[[#This Row],[20.85%]]</f>
        <v>4928.2541710000005</v>
      </c>
      <c r="M7473" s="282" t="e">
        <f>(INDEX(Tabla6[#All],MATCH(Tabla4[[#This Row],[Producto]],Tabla6[[#All],[PRODUCTO]],0),MATCH(Tabla4[[#This Row],[Mes]],Tabla6[#Headers],0)))*(1+Catalogos!$L$2)</f>
        <v>#N/A</v>
      </c>
      <c r="N7473" s="283" t="e">
        <f>+(Tabla4[[#This Row],[Precio Descontado]]-Tabla4[[#This Row],[Precio Base]])*Tabla4[[#This Row],[Cantidad]]</f>
        <v>#N/A</v>
      </c>
      <c r="O7473" s="284" t="e">
        <f>++Tabla4[[#This Row],[Utilidad Total]]/Tabla4[[#This Row],[Total]]</f>
        <v>#N/A</v>
      </c>
      <c r="P7473" s="282">
        <f>++Tabla4[[#This Row],[Precio Descontado]]*Tabla4[[#This Row],[Cantidad]]</f>
        <v>14784.762513000001</v>
      </c>
      <c r="Q7473" s="282" t="e">
        <f>(INDEX(Tabla6[#All],MATCH(Tabla4[[#This Row],[Producto]],Tabla6[[#All],[PRODUCTO]],0),MATCH(Tabla4[[#This Row],[Mes]],Tabla6[#Headers],0)))</f>
        <v>#N/A</v>
      </c>
      <c r="R7473" s="282" t="e">
        <f>++Tabla4[[#This Row],[Precio Unitario Neto]]-Tabla4[[#This Row],[20.85%]]-Tabla4[[#This Row],[Costo]]</f>
        <v>#N/A</v>
      </c>
      <c r="S7473" s="282" t="e">
        <f>++Tabla4[[#This Row],[U. Bruta Uni]]*Tabla4[[#This Row],[Cantidad]]</f>
        <v>#N/A</v>
      </c>
      <c r="T7473" s="369" t="str">
        <f>VLOOKUP(Tabla4[[#This Row],[Producto]],Tabla6[#All],14,FALSE)</f>
        <v>Termico Solar</v>
      </c>
      <c r="U7473" s="284" t="e">
        <f>(IF(Tabla4[[#This Row],[Familia]]="termico solar",Tabla4[[#This Row],[Utilidad Total]]*6%,Tabla4[[#This Row],[Utilidad Total]]*11.5%))/Tabla4[[#This Row],[Total]]</f>
        <v>#N/A</v>
      </c>
      <c r="V7473" s="282" t="e">
        <f>+Tabla4[[#This Row],[Comisión Calculada]]*Tabla4[[#This Row],[Total]]</f>
        <v>#N/A</v>
      </c>
    </row>
    <row r="7474" spans="1:22" x14ac:dyDescent="0.25">
      <c r="A7474" s="100">
        <v>46006</v>
      </c>
      <c r="B7474" t="str">
        <f t="shared" si="667"/>
        <v>December</v>
      </c>
      <c r="C7474" s="46" t="s">
        <v>280</v>
      </c>
      <c r="F7474" s="366" t="s">
        <v>3768</v>
      </c>
      <c r="G7474" s="46" t="s">
        <v>19</v>
      </c>
      <c r="H7474" s="46">
        <v>1</v>
      </c>
      <c r="I7474" s="51">
        <v>6412.03</v>
      </c>
      <c r="J7474" s="281">
        <f>++Tabla4[[#This Row],[Precio Bruto]]*1.16</f>
        <v>7437.9547999999995</v>
      </c>
      <c r="K7474" s="281">
        <f>+Tabla4[[#This Row],[Precio Unitario Neto]]*Tabla4[[#Headers],[20.85%]]</f>
        <v>1550.8135757999999</v>
      </c>
      <c r="L7474" s="282">
        <f>++Tabla4[[#This Row],[Precio Unitario Neto]]-Tabla4[[#This Row],[20.85%]]</f>
        <v>5887.1412241999997</v>
      </c>
      <c r="M7474" s="282" t="e">
        <f>(INDEX(Tabla6[#All],MATCH(Tabla4[[#This Row],[Producto]],Tabla6[[#All],[PRODUCTO]],0),MATCH(Tabla4[[#This Row],[Mes]],Tabla6[#Headers],0)))*(1+Catalogos!$L$2)</f>
        <v>#N/A</v>
      </c>
      <c r="N7474" s="283" t="e">
        <f>+(Tabla4[[#This Row],[Precio Descontado]]-Tabla4[[#This Row],[Precio Base]])*Tabla4[[#This Row],[Cantidad]]</f>
        <v>#N/A</v>
      </c>
      <c r="O7474" s="284" t="e">
        <f>++Tabla4[[#This Row],[Utilidad Total]]/Tabla4[[#This Row],[Total]]</f>
        <v>#N/A</v>
      </c>
      <c r="P7474" s="282">
        <f>++Tabla4[[#This Row],[Precio Descontado]]*Tabla4[[#This Row],[Cantidad]]</f>
        <v>5887.1412241999997</v>
      </c>
      <c r="Q7474" s="282" t="e">
        <f>(INDEX(Tabla6[#All],MATCH(Tabla4[[#This Row],[Producto]],Tabla6[[#All],[PRODUCTO]],0),MATCH(Tabla4[[#This Row],[Mes]],Tabla6[#Headers],0)))</f>
        <v>#N/A</v>
      </c>
      <c r="R7474" s="282" t="e">
        <f>++Tabla4[[#This Row],[Precio Unitario Neto]]-Tabla4[[#This Row],[20.85%]]-Tabla4[[#This Row],[Costo]]</f>
        <v>#N/A</v>
      </c>
      <c r="S7474" s="282" t="e">
        <f>++Tabla4[[#This Row],[U. Bruta Uni]]*Tabla4[[#This Row],[Cantidad]]</f>
        <v>#N/A</v>
      </c>
      <c r="T7474" s="369" t="str">
        <f>VLOOKUP(Tabla4[[#This Row],[Producto]],Tabla6[#All],14,FALSE)</f>
        <v>Termico Solar</v>
      </c>
      <c r="U7474" s="284" t="e">
        <f>(IF(Tabla4[[#This Row],[Familia]]="termico solar",Tabla4[[#This Row],[Utilidad Total]]*6%,Tabla4[[#This Row],[Utilidad Total]]*11.5%))/Tabla4[[#This Row],[Total]]</f>
        <v>#N/A</v>
      </c>
      <c r="V7474" s="282" t="e">
        <f>+Tabla4[[#This Row],[Comisión Calculada]]*Tabla4[[#This Row],[Total]]</f>
        <v>#N/A</v>
      </c>
    </row>
    <row r="7475" spans="1:22" x14ac:dyDescent="0.25">
      <c r="A7475" s="100">
        <v>46006</v>
      </c>
      <c r="B7475" t="str">
        <f t="shared" si="667"/>
        <v>December</v>
      </c>
      <c r="C7475" s="46" t="s">
        <v>280</v>
      </c>
      <c r="F7475" s="366" t="s">
        <v>3768</v>
      </c>
      <c r="G7475" s="46" t="s">
        <v>16</v>
      </c>
      <c r="H7475" s="46">
        <v>1</v>
      </c>
      <c r="I7475" s="51">
        <v>4103.8500000000004</v>
      </c>
      <c r="J7475" s="281">
        <f>++Tabla4[[#This Row],[Precio Bruto]]*1.16</f>
        <v>4760.4660000000003</v>
      </c>
      <c r="K7475" s="281">
        <f>+Tabla4[[#This Row],[Precio Unitario Neto]]*Tabla4[[#Headers],[20.85%]]</f>
        <v>992.55716100000006</v>
      </c>
      <c r="L7475" s="282">
        <f>++Tabla4[[#This Row],[Precio Unitario Neto]]-Tabla4[[#This Row],[20.85%]]</f>
        <v>3767.9088390000002</v>
      </c>
      <c r="M7475" s="282" t="e">
        <f>(INDEX(Tabla6[#All],MATCH(Tabla4[[#This Row],[Producto]],Tabla6[[#All],[PRODUCTO]],0),MATCH(Tabla4[[#This Row],[Mes]],Tabla6[#Headers],0)))*(1+Catalogos!$L$2)</f>
        <v>#N/A</v>
      </c>
      <c r="N7475" s="283" t="e">
        <f>+(Tabla4[[#This Row],[Precio Descontado]]-Tabla4[[#This Row],[Precio Base]])*Tabla4[[#This Row],[Cantidad]]</f>
        <v>#N/A</v>
      </c>
      <c r="O7475" s="284" t="e">
        <f>++Tabla4[[#This Row],[Utilidad Total]]/Tabla4[[#This Row],[Total]]</f>
        <v>#N/A</v>
      </c>
      <c r="P7475" s="282">
        <f>++Tabla4[[#This Row],[Precio Descontado]]*Tabla4[[#This Row],[Cantidad]]</f>
        <v>3767.9088390000002</v>
      </c>
      <c r="Q7475" s="282" t="e">
        <f>(INDEX(Tabla6[#All],MATCH(Tabla4[[#This Row],[Producto]],Tabla6[[#All],[PRODUCTO]],0),MATCH(Tabla4[[#This Row],[Mes]],Tabla6[#Headers],0)))</f>
        <v>#N/A</v>
      </c>
      <c r="R7475" s="282" t="e">
        <f>++Tabla4[[#This Row],[Precio Unitario Neto]]-Tabla4[[#This Row],[20.85%]]-Tabla4[[#This Row],[Costo]]</f>
        <v>#N/A</v>
      </c>
      <c r="S7475" s="282" t="e">
        <f>++Tabla4[[#This Row],[U. Bruta Uni]]*Tabla4[[#This Row],[Cantidad]]</f>
        <v>#N/A</v>
      </c>
      <c r="T7475" s="369" t="str">
        <f>VLOOKUP(Tabla4[[#This Row],[Producto]],Tabla6[#All],14,FALSE)</f>
        <v>Termico Solar</v>
      </c>
      <c r="U7475" s="284" t="e">
        <f>(IF(Tabla4[[#This Row],[Familia]]="termico solar",Tabla4[[#This Row],[Utilidad Total]]*6%,Tabla4[[#This Row],[Utilidad Total]]*11.5%))/Tabla4[[#This Row],[Total]]</f>
        <v>#N/A</v>
      </c>
      <c r="V7475" s="282" t="e">
        <f>+Tabla4[[#This Row],[Comisión Calculada]]*Tabla4[[#This Row],[Total]]</f>
        <v>#N/A</v>
      </c>
    </row>
    <row r="7476" spans="1:22" x14ac:dyDescent="0.25">
      <c r="A7476" s="100">
        <v>46006</v>
      </c>
      <c r="B7476" t="str">
        <f>TEXT(A7476, "mmmm")</f>
        <v>December</v>
      </c>
      <c r="C7476" s="46" t="s">
        <v>280</v>
      </c>
      <c r="F7476" s="366" t="s">
        <v>3769</v>
      </c>
      <c r="G7476" s="46" t="s">
        <v>16</v>
      </c>
      <c r="H7476" s="46">
        <v>1</v>
      </c>
      <c r="I7476" s="51">
        <v>4103.8500000000004</v>
      </c>
      <c r="J7476" s="281">
        <f>++Tabla4[[#This Row],[Precio Bruto]]*1.16</f>
        <v>4760.4660000000003</v>
      </c>
      <c r="K7476" s="281">
        <f>+Tabla4[[#This Row],[Precio Unitario Neto]]*Tabla4[[#Headers],[20.85%]]</f>
        <v>992.55716100000006</v>
      </c>
      <c r="L7476" s="282">
        <f>++Tabla4[[#This Row],[Precio Unitario Neto]]-Tabla4[[#This Row],[20.85%]]</f>
        <v>3767.9088390000002</v>
      </c>
      <c r="M7476" s="282" t="e">
        <f>(INDEX(Tabla6[#All],MATCH(Tabla4[[#This Row],[Producto]],Tabla6[[#All],[PRODUCTO]],0),MATCH(Tabla4[[#This Row],[Mes]],Tabla6[#Headers],0)))*(1+Catalogos!$L$2)</f>
        <v>#N/A</v>
      </c>
      <c r="N7476" s="283" t="e">
        <f>+(Tabla4[[#This Row],[Precio Descontado]]-Tabla4[[#This Row],[Precio Base]])*Tabla4[[#This Row],[Cantidad]]</f>
        <v>#N/A</v>
      </c>
      <c r="O7476" s="284" t="e">
        <f>++Tabla4[[#This Row],[Utilidad Total]]/Tabla4[[#This Row],[Total]]</f>
        <v>#N/A</v>
      </c>
      <c r="P7476" s="282">
        <f>++Tabla4[[#This Row],[Precio Descontado]]*Tabla4[[#This Row],[Cantidad]]</f>
        <v>3767.9088390000002</v>
      </c>
      <c r="Q7476" s="282" t="e">
        <f>(INDEX(Tabla6[#All],MATCH(Tabla4[[#This Row],[Producto]],Tabla6[[#All],[PRODUCTO]],0),MATCH(Tabla4[[#This Row],[Mes]],Tabla6[#Headers],0)))</f>
        <v>#N/A</v>
      </c>
      <c r="R7476" s="282" t="e">
        <f>++Tabla4[[#This Row],[Precio Unitario Neto]]-Tabla4[[#This Row],[20.85%]]-Tabla4[[#This Row],[Costo]]</f>
        <v>#N/A</v>
      </c>
      <c r="S7476" s="282" t="e">
        <f>++Tabla4[[#This Row],[U. Bruta Uni]]*Tabla4[[#This Row],[Cantidad]]</f>
        <v>#N/A</v>
      </c>
      <c r="T7476" s="369" t="str">
        <f>VLOOKUP(Tabla4[[#This Row],[Producto]],Tabla6[#All],14,FALSE)</f>
        <v>Termico Solar</v>
      </c>
      <c r="U7476" s="284" t="e">
        <f>(IF(Tabla4[[#This Row],[Familia]]="termico solar",Tabla4[[#This Row],[Utilidad Total]]*6%,Tabla4[[#This Row],[Utilidad Total]]*11.5%))/Tabla4[[#This Row],[Total]]</f>
        <v>#N/A</v>
      </c>
      <c r="V7476" s="282" t="e">
        <f>+Tabla4[[#This Row],[Comisión Calculada]]*Tabla4[[#This Row],[Total]]</f>
        <v>#N/A</v>
      </c>
    </row>
    <row r="7477" spans="1:22" x14ac:dyDescent="0.25">
      <c r="A7477" s="100">
        <v>46006</v>
      </c>
      <c r="B7477" t="str">
        <f t="shared" ref="B7477:B7480" si="668">TEXT(A7477, "mmmm")</f>
        <v>December</v>
      </c>
      <c r="C7477" s="46" t="s">
        <v>280</v>
      </c>
      <c r="F7477" s="366" t="s">
        <v>3770</v>
      </c>
      <c r="G7477" s="46" t="s">
        <v>17</v>
      </c>
      <c r="H7477" s="46">
        <v>4</v>
      </c>
      <c r="I7477" s="51">
        <v>4622.28</v>
      </c>
      <c r="J7477" s="281">
        <f>++Tabla4[[#This Row],[Precio Bruto]]*1.16</f>
        <v>5361.8447999999989</v>
      </c>
      <c r="K7477" s="281">
        <f>+Tabla4[[#This Row],[Precio Unitario Neto]]*Tabla4[[#Headers],[20.85%]]</f>
        <v>1117.9446407999997</v>
      </c>
      <c r="L7477" s="282">
        <f>++Tabla4[[#This Row],[Precio Unitario Neto]]-Tabla4[[#This Row],[20.85%]]</f>
        <v>4243.9001591999995</v>
      </c>
      <c r="M7477" s="282" t="e">
        <f>(INDEX(Tabla6[#All],MATCH(Tabla4[[#This Row],[Producto]],Tabla6[[#All],[PRODUCTO]],0),MATCH(Tabla4[[#This Row],[Mes]],Tabla6[#Headers],0)))*(1+Catalogos!$L$2)</f>
        <v>#N/A</v>
      </c>
      <c r="N7477" s="283" t="e">
        <f>+(Tabla4[[#This Row],[Precio Descontado]]-Tabla4[[#This Row],[Precio Base]])*Tabla4[[#This Row],[Cantidad]]</f>
        <v>#N/A</v>
      </c>
      <c r="O7477" s="284" t="e">
        <f>++Tabla4[[#This Row],[Utilidad Total]]/Tabla4[[#This Row],[Total]]</f>
        <v>#N/A</v>
      </c>
      <c r="P7477" s="282">
        <f>++Tabla4[[#This Row],[Precio Descontado]]*Tabla4[[#This Row],[Cantidad]]</f>
        <v>16975.600636799998</v>
      </c>
      <c r="Q7477" s="282" t="e">
        <f>(INDEX(Tabla6[#All],MATCH(Tabla4[[#This Row],[Producto]],Tabla6[[#All],[PRODUCTO]],0),MATCH(Tabla4[[#This Row],[Mes]],Tabla6[#Headers],0)))</f>
        <v>#N/A</v>
      </c>
      <c r="R7477" s="282" t="e">
        <f>++Tabla4[[#This Row],[Precio Unitario Neto]]-Tabla4[[#This Row],[20.85%]]-Tabla4[[#This Row],[Costo]]</f>
        <v>#N/A</v>
      </c>
      <c r="S7477" s="282" t="e">
        <f>++Tabla4[[#This Row],[U. Bruta Uni]]*Tabla4[[#This Row],[Cantidad]]</f>
        <v>#N/A</v>
      </c>
      <c r="T7477" s="369" t="str">
        <f>VLOOKUP(Tabla4[[#This Row],[Producto]],Tabla6[#All],14,FALSE)</f>
        <v>Termico Solar</v>
      </c>
      <c r="U7477" s="284" t="e">
        <f>(IF(Tabla4[[#This Row],[Familia]]="termico solar",Tabla4[[#This Row],[Utilidad Total]]*6%,Tabla4[[#This Row],[Utilidad Total]]*11.5%))/Tabla4[[#This Row],[Total]]</f>
        <v>#N/A</v>
      </c>
      <c r="V7477" s="282" t="e">
        <f>+Tabla4[[#This Row],[Comisión Calculada]]*Tabla4[[#This Row],[Total]]</f>
        <v>#N/A</v>
      </c>
    </row>
    <row r="7478" spans="1:22" x14ac:dyDescent="0.25">
      <c r="A7478" s="100">
        <v>46006</v>
      </c>
      <c r="B7478" t="str">
        <f t="shared" si="668"/>
        <v>December</v>
      </c>
      <c r="C7478" s="46" t="s">
        <v>280</v>
      </c>
      <c r="F7478" s="366" t="s">
        <v>3770</v>
      </c>
      <c r="G7478" s="46" t="s">
        <v>18</v>
      </c>
      <c r="H7478" s="46">
        <v>1</v>
      </c>
      <c r="I7478" s="51">
        <v>5367.65</v>
      </c>
      <c r="J7478" s="281">
        <f>++Tabla4[[#This Row],[Precio Bruto]]*1.16</f>
        <v>6226.4739999999993</v>
      </c>
      <c r="K7478" s="281">
        <f>+Tabla4[[#This Row],[Precio Unitario Neto]]*Tabla4[[#Headers],[20.85%]]</f>
        <v>1298.2198289999999</v>
      </c>
      <c r="L7478" s="282">
        <f>++Tabla4[[#This Row],[Precio Unitario Neto]]-Tabla4[[#This Row],[20.85%]]</f>
        <v>4928.2541709999996</v>
      </c>
      <c r="M7478" s="282" t="e">
        <f>(INDEX(Tabla6[#All],MATCH(Tabla4[[#This Row],[Producto]],Tabla6[[#All],[PRODUCTO]],0),MATCH(Tabla4[[#This Row],[Mes]],Tabla6[#Headers],0)))*(1+Catalogos!$L$2)</f>
        <v>#N/A</v>
      </c>
      <c r="N7478" s="283" t="e">
        <f>+(Tabla4[[#This Row],[Precio Descontado]]-Tabla4[[#This Row],[Precio Base]])*Tabla4[[#This Row],[Cantidad]]</f>
        <v>#N/A</v>
      </c>
      <c r="O7478" s="284" t="e">
        <f>++Tabla4[[#This Row],[Utilidad Total]]/Tabla4[[#This Row],[Total]]</f>
        <v>#N/A</v>
      </c>
      <c r="P7478" s="282">
        <f>++Tabla4[[#This Row],[Precio Descontado]]*Tabla4[[#This Row],[Cantidad]]</f>
        <v>4928.2541709999996</v>
      </c>
      <c r="Q7478" s="282" t="e">
        <f>(INDEX(Tabla6[#All],MATCH(Tabla4[[#This Row],[Producto]],Tabla6[[#All],[PRODUCTO]],0),MATCH(Tabla4[[#This Row],[Mes]],Tabla6[#Headers],0)))</f>
        <v>#N/A</v>
      </c>
      <c r="R7478" s="282" t="e">
        <f>++Tabla4[[#This Row],[Precio Unitario Neto]]-Tabla4[[#This Row],[20.85%]]-Tabla4[[#This Row],[Costo]]</f>
        <v>#N/A</v>
      </c>
      <c r="S7478" s="282" t="e">
        <f>++Tabla4[[#This Row],[U. Bruta Uni]]*Tabla4[[#This Row],[Cantidad]]</f>
        <v>#N/A</v>
      </c>
      <c r="T7478" s="369" t="str">
        <f>VLOOKUP(Tabla4[[#This Row],[Producto]],Tabla6[#All],14,FALSE)</f>
        <v>Termico Solar</v>
      </c>
      <c r="U7478" s="284" t="e">
        <f>(IF(Tabla4[[#This Row],[Familia]]="termico solar",Tabla4[[#This Row],[Utilidad Total]]*6%,Tabla4[[#This Row],[Utilidad Total]]*11.5%))/Tabla4[[#This Row],[Total]]</f>
        <v>#N/A</v>
      </c>
      <c r="V7478" s="282" t="e">
        <f>+Tabla4[[#This Row],[Comisión Calculada]]*Tabla4[[#This Row],[Total]]</f>
        <v>#N/A</v>
      </c>
    </row>
    <row r="7479" spans="1:22" x14ac:dyDescent="0.25">
      <c r="A7479" s="100">
        <v>46006</v>
      </c>
      <c r="B7479" t="str">
        <f t="shared" si="668"/>
        <v>December</v>
      </c>
      <c r="C7479" s="46" t="s">
        <v>280</v>
      </c>
      <c r="F7479" s="366" t="s">
        <v>3770</v>
      </c>
      <c r="G7479" s="46" t="s">
        <v>566</v>
      </c>
      <c r="H7479" s="46">
        <v>1</v>
      </c>
      <c r="I7479" s="51">
        <v>2109.4499999999998</v>
      </c>
      <c r="J7479" s="281">
        <f>++Tabla4[[#This Row],[Precio Bruto]]*1.16</f>
        <v>2446.9619999999995</v>
      </c>
      <c r="K7479" s="281">
        <f>+Tabla4[[#This Row],[Precio Unitario Neto]]*Tabla4[[#Headers],[20.85%]]</f>
        <v>510.19157699999988</v>
      </c>
      <c r="L7479" s="282">
        <f>++Tabla4[[#This Row],[Precio Unitario Neto]]-Tabla4[[#This Row],[20.85%]]</f>
        <v>1936.7704229999997</v>
      </c>
      <c r="M7479" s="282" t="e">
        <f>(INDEX(Tabla6[#All],MATCH(Tabla4[[#This Row],[Producto]],Tabla6[[#All],[PRODUCTO]],0),MATCH(Tabla4[[#This Row],[Mes]],Tabla6[#Headers],0)))*(1+Catalogos!$L$2)</f>
        <v>#N/A</v>
      </c>
      <c r="N7479" s="283" t="e">
        <f>+(Tabla4[[#This Row],[Precio Descontado]]-Tabla4[[#This Row],[Precio Base]])*Tabla4[[#This Row],[Cantidad]]</f>
        <v>#N/A</v>
      </c>
      <c r="O7479" s="284" t="e">
        <f>++Tabla4[[#This Row],[Utilidad Total]]/Tabla4[[#This Row],[Total]]</f>
        <v>#N/A</v>
      </c>
      <c r="P7479" s="282">
        <f>++Tabla4[[#This Row],[Precio Descontado]]*Tabla4[[#This Row],[Cantidad]]</f>
        <v>1936.7704229999997</v>
      </c>
      <c r="Q7479" s="282" t="e">
        <f>(INDEX(Tabla6[#All],MATCH(Tabla4[[#This Row],[Producto]],Tabla6[[#All],[PRODUCTO]],0),MATCH(Tabla4[[#This Row],[Mes]],Tabla6[#Headers],0)))</f>
        <v>#N/A</v>
      </c>
      <c r="R7479" s="282" t="e">
        <f>++Tabla4[[#This Row],[Precio Unitario Neto]]-Tabla4[[#This Row],[20.85%]]-Tabla4[[#This Row],[Costo]]</f>
        <v>#N/A</v>
      </c>
      <c r="S7479" s="282" t="e">
        <f>++Tabla4[[#This Row],[U. Bruta Uni]]*Tabla4[[#This Row],[Cantidad]]</f>
        <v>#N/A</v>
      </c>
      <c r="T7479" s="369" t="str">
        <f>VLOOKUP(Tabla4[[#This Row],[Producto]],Tabla6[#All],14,FALSE)</f>
        <v>Termico Solar</v>
      </c>
      <c r="U7479" s="284" t="e">
        <f>(IF(Tabla4[[#This Row],[Familia]]="termico solar",Tabla4[[#This Row],[Utilidad Total]]*6%,Tabla4[[#This Row],[Utilidad Total]]*11.5%))/Tabla4[[#This Row],[Total]]</f>
        <v>#N/A</v>
      </c>
      <c r="V7479" s="282" t="e">
        <f>+Tabla4[[#This Row],[Comisión Calculada]]*Tabla4[[#This Row],[Total]]</f>
        <v>#N/A</v>
      </c>
    </row>
    <row r="7480" spans="1:22" x14ac:dyDescent="0.25">
      <c r="A7480" s="100">
        <v>46006</v>
      </c>
      <c r="B7480" t="str">
        <f t="shared" si="668"/>
        <v>December</v>
      </c>
      <c r="C7480" s="46" t="s">
        <v>280</v>
      </c>
      <c r="F7480" s="366" t="s">
        <v>3770</v>
      </c>
      <c r="G7480" s="46" t="s">
        <v>208</v>
      </c>
      <c r="H7480" s="46">
        <v>14</v>
      </c>
      <c r="I7480" s="51">
        <v>189.75</v>
      </c>
      <c r="J7480" s="281">
        <f>++Tabla4[[#This Row],[Precio Bruto]]*1.16</f>
        <v>220.10999999999999</v>
      </c>
      <c r="K7480" s="281">
        <f>+Tabla4[[#This Row],[Precio Unitario Neto]]*Tabla4[[#Headers],[20.85%]]</f>
        <v>45.892934999999994</v>
      </c>
      <c r="L7480" s="282">
        <f>++Tabla4[[#This Row],[Precio Unitario Neto]]-Tabla4[[#This Row],[20.85%]]</f>
        <v>174.21706499999999</v>
      </c>
      <c r="M7480" s="282" t="e">
        <f>(INDEX(Tabla6[#All],MATCH(Tabla4[[#This Row],[Producto]],Tabla6[[#All],[PRODUCTO]],0),MATCH(Tabla4[[#This Row],[Mes]],Tabla6[#Headers],0)))*(1+Catalogos!$L$2)</f>
        <v>#N/A</v>
      </c>
      <c r="N7480" s="283" t="e">
        <f>+(Tabla4[[#This Row],[Precio Descontado]]-Tabla4[[#This Row],[Precio Base]])*Tabla4[[#This Row],[Cantidad]]</f>
        <v>#N/A</v>
      </c>
      <c r="O7480" s="284" t="e">
        <f>++Tabla4[[#This Row],[Utilidad Total]]/Tabla4[[#This Row],[Total]]</f>
        <v>#N/A</v>
      </c>
      <c r="P7480" s="282">
        <f>++Tabla4[[#This Row],[Precio Descontado]]*Tabla4[[#This Row],[Cantidad]]</f>
        <v>2439.0389099999998</v>
      </c>
      <c r="Q7480" s="282" t="e">
        <f>(INDEX(Tabla6[#All],MATCH(Tabla4[[#This Row],[Producto]],Tabla6[[#All],[PRODUCTO]],0),MATCH(Tabla4[[#This Row],[Mes]],Tabla6[#Headers],0)))</f>
        <v>#N/A</v>
      </c>
      <c r="R7480" s="282" t="e">
        <f>++Tabla4[[#This Row],[Precio Unitario Neto]]-Tabla4[[#This Row],[20.85%]]-Tabla4[[#This Row],[Costo]]</f>
        <v>#N/A</v>
      </c>
      <c r="S7480" s="282" t="e">
        <f>++Tabla4[[#This Row],[U. Bruta Uni]]*Tabla4[[#This Row],[Cantidad]]</f>
        <v>#N/A</v>
      </c>
      <c r="T7480" s="369" t="str">
        <f>VLOOKUP(Tabla4[[#This Row],[Producto]],Tabla6[#All],14,FALSE)</f>
        <v>Termico Solar</v>
      </c>
      <c r="U7480" s="284" t="e">
        <f>(IF(Tabla4[[#This Row],[Familia]]="termico solar",Tabla4[[#This Row],[Utilidad Total]]*6%,Tabla4[[#This Row],[Utilidad Total]]*11.5%))/Tabla4[[#This Row],[Total]]</f>
        <v>#N/A</v>
      </c>
      <c r="V7480" s="282" t="e">
        <f>+Tabla4[[#This Row],[Comisión Calculada]]*Tabla4[[#This Row],[Total]]</f>
        <v>#N/A</v>
      </c>
    </row>
    <row r="7481" spans="1:22" x14ac:dyDescent="0.25">
      <c r="A7481" s="100">
        <v>46006</v>
      </c>
      <c r="B7481" t="str">
        <f t="shared" ref="B7481:B7484" si="669">TEXT(A7481, "mmmm")</f>
        <v>December</v>
      </c>
      <c r="C7481" s="46" t="s">
        <v>280</v>
      </c>
      <c r="F7481" s="366" t="s">
        <v>3771</v>
      </c>
      <c r="G7481" s="46" t="s">
        <v>83</v>
      </c>
      <c r="H7481" s="46">
        <v>4</v>
      </c>
      <c r="I7481" s="51">
        <v>8858.76</v>
      </c>
      <c r="J7481" s="281">
        <f>++Tabla4[[#This Row],[Precio Bruto]]*1.16</f>
        <v>10276.161599999999</v>
      </c>
      <c r="K7481" s="281">
        <f>+Tabla4[[#This Row],[Precio Unitario Neto]]*Tabla4[[#Headers],[20.85%]]</f>
        <v>2142.5796935999997</v>
      </c>
      <c r="L7481" s="282">
        <f>++Tabla4[[#This Row],[Precio Unitario Neto]]-Tabla4[[#This Row],[20.85%]]</f>
        <v>8133.5819063999998</v>
      </c>
      <c r="M7481" s="282" t="e">
        <f>(INDEX(Tabla6[#All],MATCH(Tabla4[[#This Row],[Producto]],Tabla6[[#All],[PRODUCTO]],0),MATCH(Tabla4[[#This Row],[Mes]],Tabla6[#Headers],0)))*(1+Catalogos!$L$2)</f>
        <v>#N/A</v>
      </c>
      <c r="N7481" s="283" t="e">
        <f>+(Tabla4[[#This Row],[Precio Descontado]]-Tabla4[[#This Row],[Precio Base]])*Tabla4[[#This Row],[Cantidad]]</f>
        <v>#N/A</v>
      </c>
      <c r="O7481" s="284" t="e">
        <f>++Tabla4[[#This Row],[Utilidad Total]]/Tabla4[[#This Row],[Total]]</f>
        <v>#N/A</v>
      </c>
      <c r="P7481" s="282">
        <f>++Tabla4[[#This Row],[Precio Descontado]]*Tabla4[[#This Row],[Cantidad]]</f>
        <v>32534.327625599999</v>
      </c>
      <c r="Q7481" s="282" t="e">
        <f>(INDEX(Tabla6[#All],MATCH(Tabla4[[#This Row],[Producto]],Tabla6[[#All],[PRODUCTO]],0),MATCH(Tabla4[[#This Row],[Mes]],Tabla6[#Headers],0)))</f>
        <v>#N/A</v>
      </c>
      <c r="R7481" s="282" t="e">
        <f>++Tabla4[[#This Row],[Precio Unitario Neto]]-Tabla4[[#This Row],[20.85%]]-Tabla4[[#This Row],[Costo]]</f>
        <v>#N/A</v>
      </c>
      <c r="S7481" s="282" t="e">
        <f>++Tabla4[[#This Row],[U. Bruta Uni]]*Tabla4[[#This Row],[Cantidad]]</f>
        <v>#N/A</v>
      </c>
      <c r="T7481" s="369" t="str">
        <f>VLOOKUP(Tabla4[[#This Row],[Producto]],Tabla6[#All],14,FALSE)</f>
        <v>Termico Solar</v>
      </c>
      <c r="U7481" s="284" t="e">
        <f>(IF(Tabla4[[#This Row],[Familia]]="termico solar",Tabla4[[#This Row],[Utilidad Total]]*6%,Tabla4[[#This Row],[Utilidad Total]]*11.5%))/Tabla4[[#This Row],[Total]]</f>
        <v>#N/A</v>
      </c>
      <c r="V7481" s="282" t="e">
        <f>+Tabla4[[#This Row],[Comisión Calculada]]*Tabla4[[#This Row],[Total]]</f>
        <v>#N/A</v>
      </c>
    </row>
    <row r="7482" spans="1:22" x14ac:dyDescent="0.25">
      <c r="A7482" s="100">
        <v>46006</v>
      </c>
      <c r="B7482" t="str">
        <f t="shared" si="669"/>
        <v>December</v>
      </c>
      <c r="C7482" s="46" t="s">
        <v>280</v>
      </c>
      <c r="F7482" s="366" t="s">
        <v>3771</v>
      </c>
      <c r="G7482" s="46" t="s">
        <v>17</v>
      </c>
      <c r="H7482" s="46">
        <v>10</v>
      </c>
      <c r="I7482" s="51">
        <v>4622.2800000000007</v>
      </c>
      <c r="J7482" s="281">
        <f>++Tabla4[[#This Row],[Precio Bruto]]*1.16</f>
        <v>5361.8448000000008</v>
      </c>
      <c r="K7482" s="281">
        <f>+Tabla4[[#This Row],[Precio Unitario Neto]]*Tabla4[[#Headers],[20.85%]]</f>
        <v>1117.9446408000001</v>
      </c>
      <c r="L7482" s="282">
        <f>++Tabla4[[#This Row],[Precio Unitario Neto]]-Tabla4[[#This Row],[20.85%]]</f>
        <v>4243.9001592000004</v>
      </c>
      <c r="M7482" s="282" t="e">
        <f>(INDEX(Tabla6[#All],MATCH(Tabla4[[#This Row],[Producto]],Tabla6[[#All],[PRODUCTO]],0),MATCH(Tabla4[[#This Row],[Mes]],Tabla6[#Headers],0)))*(1+Catalogos!$L$2)</f>
        <v>#N/A</v>
      </c>
      <c r="N7482" s="283" t="e">
        <f>+(Tabla4[[#This Row],[Precio Descontado]]-Tabla4[[#This Row],[Precio Base]])*Tabla4[[#This Row],[Cantidad]]</f>
        <v>#N/A</v>
      </c>
      <c r="O7482" s="284" t="e">
        <f>++Tabla4[[#This Row],[Utilidad Total]]/Tabla4[[#This Row],[Total]]</f>
        <v>#N/A</v>
      </c>
      <c r="P7482" s="282">
        <f>++Tabla4[[#This Row],[Precio Descontado]]*Tabla4[[#This Row],[Cantidad]]</f>
        <v>42439.001592000001</v>
      </c>
      <c r="Q7482" s="282" t="e">
        <f>(INDEX(Tabla6[#All],MATCH(Tabla4[[#This Row],[Producto]],Tabla6[[#All],[PRODUCTO]],0),MATCH(Tabla4[[#This Row],[Mes]],Tabla6[#Headers],0)))</f>
        <v>#N/A</v>
      </c>
      <c r="R7482" s="282" t="e">
        <f>++Tabla4[[#This Row],[Precio Unitario Neto]]-Tabla4[[#This Row],[20.85%]]-Tabla4[[#This Row],[Costo]]</f>
        <v>#N/A</v>
      </c>
      <c r="S7482" s="282" t="e">
        <f>++Tabla4[[#This Row],[U. Bruta Uni]]*Tabla4[[#This Row],[Cantidad]]</f>
        <v>#N/A</v>
      </c>
      <c r="T7482" s="369" t="str">
        <f>VLOOKUP(Tabla4[[#This Row],[Producto]],Tabla6[#All],14,FALSE)</f>
        <v>Termico Solar</v>
      </c>
      <c r="U7482" s="284" t="e">
        <f>(IF(Tabla4[[#This Row],[Familia]]="termico solar",Tabla4[[#This Row],[Utilidad Total]]*6%,Tabla4[[#This Row],[Utilidad Total]]*11.5%))/Tabla4[[#This Row],[Total]]</f>
        <v>#N/A</v>
      </c>
      <c r="V7482" s="282" t="e">
        <f>+Tabla4[[#This Row],[Comisión Calculada]]*Tabla4[[#This Row],[Total]]</f>
        <v>#N/A</v>
      </c>
    </row>
    <row r="7483" spans="1:22" x14ac:dyDescent="0.25">
      <c r="A7483" s="100">
        <v>46006</v>
      </c>
      <c r="B7483" t="str">
        <f t="shared" si="669"/>
        <v>December</v>
      </c>
      <c r="C7483" s="46" t="s">
        <v>280</v>
      </c>
      <c r="F7483" s="366" t="s">
        <v>3771</v>
      </c>
      <c r="G7483" s="46" t="s">
        <v>18</v>
      </c>
      <c r="H7483" s="46">
        <v>3</v>
      </c>
      <c r="I7483" s="51">
        <v>5367.6500000000005</v>
      </c>
      <c r="J7483" s="281">
        <f>++Tabla4[[#This Row],[Precio Bruto]]*1.16</f>
        <v>6226.4740000000002</v>
      </c>
      <c r="K7483" s="281">
        <f>+Tabla4[[#This Row],[Precio Unitario Neto]]*Tabla4[[#Headers],[20.85%]]</f>
        <v>1298.2198289999999</v>
      </c>
      <c r="L7483" s="282">
        <f>++Tabla4[[#This Row],[Precio Unitario Neto]]-Tabla4[[#This Row],[20.85%]]</f>
        <v>4928.2541710000005</v>
      </c>
      <c r="M7483" s="282" t="e">
        <f>(INDEX(Tabla6[#All],MATCH(Tabla4[[#This Row],[Producto]],Tabla6[[#All],[PRODUCTO]],0),MATCH(Tabla4[[#This Row],[Mes]],Tabla6[#Headers],0)))*(1+Catalogos!$L$2)</f>
        <v>#N/A</v>
      </c>
      <c r="N7483" s="283" t="e">
        <f>+(Tabla4[[#This Row],[Precio Descontado]]-Tabla4[[#This Row],[Precio Base]])*Tabla4[[#This Row],[Cantidad]]</f>
        <v>#N/A</v>
      </c>
      <c r="O7483" s="284" t="e">
        <f>++Tabla4[[#This Row],[Utilidad Total]]/Tabla4[[#This Row],[Total]]</f>
        <v>#N/A</v>
      </c>
      <c r="P7483" s="282">
        <f>++Tabla4[[#This Row],[Precio Descontado]]*Tabla4[[#This Row],[Cantidad]]</f>
        <v>14784.762513000001</v>
      </c>
      <c r="Q7483" s="282" t="e">
        <f>(INDEX(Tabla6[#All],MATCH(Tabla4[[#This Row],[Producto]],Tabla6[[#All],[PRODUCTO]],0),MATCH(Tabla4[[#This Row],[Mes]],Tabla6[#Headers],0)))</f>
        <v>#N/A</v>
      </c>
      <c r="R7483" s="282" t="e">
        <f>++Tabla4[[#This Row],[Precio Unitario Neto]]-Tabla4[[#This Row],[20.85%]]-Tabla4[[#This Row],[Costo]]</f>
        <v>#N/A</v>
      </c>
      <c r="S7483" s="282" t="e">
        <f>++Tabla4[[#This Row],[U. Bruta Uni]]*Tabla4[[#This Row],[Cantidad]]</f>
        <v>#N/A</v>
      </c>
      <c r="T7483" s="369" t="str">
        <f>VLOOKUP(Tabla4[[#This Row],[Producto]],Tabla6[#All],14,FALSE)</f>
        <v>Termico Solar</v>
      </c>
      <c r="U7483" s="284" t="e">
        <f>(IF(Tabla4[[#This Row],[Familia]]="termico solar",Tabla4[[#This Row],[Utilidad Total]]*6%,Tabla4[[#This Row],[Utilidad Total]]*11.5%))/Tabla4[[#This Row],[Total]]</f>
        <v>#N/A</v>
      </c>
      <c r="V7483" s="282" t="e">
        <f>+Tabla4[[#This Row],[Comisión Calculada]]*Tabla4[[#This Row],[Total]]</f>
        <v>#N/A</v>
      </c>
    </row>
    <row r="7484" spans="1:22" x14ac:dyDescent="0.25">
      <c r="A7484" s="100">
        <v>46006</v>
      </c>
      <c r="B7484" t="str">
        <f t="shared" si="669"/>
        <v>December</v>
      </c>
      <c r="C7484" s="46" t="s">
        <v>280</v>
      </c>
      <c r="F7484" s="366" t="s">
        <v>3771</v>
      </c>
      <c r="G7484" s="46" t="s">
        <v>16</v>
      </c>
      <c r="H7484" s="46">
        <v>3</v>
      </c>
      <c r="I7484" s="51">
        <v>4103.8499999999995</v>
      </c>
      <c r="J7484" s="281">
        <f>++Tabla4[[#This Row],[Precio Bruto]]*1.16</f>
        <v>4760.4659999999994</v>
      </c>
      <c r="K7484" s="281">
        <f>+Tabla4[[#This Row],[Precio Unitario Neto]]*Tabla4[[#Headers],[20.85%]]</f>
        <v>992.55716099999984</v>
      </c>
      <c r="L7484" s="282">
        <f>++Tabla4[[#This Row],[Precio Unitario Neto]]-Tabla4[[#This Row],[20.85%]]</f>
        <v>3767.9088389999997</v>
      </c>
      <c r="M7484" s="282" t="e">
        <f>(INDEX(Tabla6[#All],MATCH(Tabla4[[#This Row],[Producto]],Tabla6[[#All],[PRODUCTO]],0),MATCH(Tabla4[[#This Row],[Mes]],Tabla6[#Headers],0)))*(1+Catalogos!$L$2)</f>
        <v>#N/A</v>
      </c>
      <c r="N7484" s="283" t="e">
        <f>+(Tabla4[[#This Row],[Precio Descontado]]-Tabla4[[#This Row],[Precio Base]])*Tabla4[[#This Row],[Cantidad]]</f>
        <v>#N/A</v>
      </c>
      <c r="O7484" s="284" t="e">
        <f>++Tabla4[[#This Row],[Utilidad Total]]/Tabla4[[#This Row],[Total]]</f>
        <v>#N/A</v>
      </c>
      <c r="P7484" s="282">
        <f>++Tabla4[[#This Row],[Precio Descontado]]*Tabla4[[#This Row],[Cantidad]]</f>
        <v>11303.726516999999</v>
      </c>
      <c r="Q7484" s="282" t="e">
        <f>(INDEX(Tabla6[#All],MATCH(Tabla4[[#This Row],[Producto]],Tabla6[[#All],[PRODUCTO]],0),MATCH(Tabla4[[#This Row],[Mes]],Tabla6[#Headers],0)))</f>
        <v>#N/A</v>
      </c>
      <c r="R7484" s="282" t="e">
        <f>++Tabla4[[#This Row],[Precio Unitario Neto]]-Tabla4[[#This Row],[20.85%]]-Tabla4[[#This Row],[Costo]]</f>
        <v>#N/A</v>
      </c>
      <c r="S7484" s="282" t="e">
        <f>++Tabla4[[#This Row],[U. Bruta Uni]]*Tabla4[[#This Row],[Cantidad]]</f>
        <v>#N/A</v>
      </c>
      <c r="T7484" s="369" t="str">
        <f>VLOOKUP(Tabla4[[#This Row],[Producto]],Tabla6[#All],14,FALSE)</f>
        <v>Termico Solar</v>
      </c>
      <c r="U7484" s="284" t="e">
        <f>(IF(Tabla4[[#This Row],[Familia]]="termico solar",Tabla4[[#This Row],[Utilidad Total]]*6%,Tabla4[[#This Row],[Utilidad Total]]*11.5%))/Tabla4[[#This Row],[Total]]</f>
        <v>#N/A</v>
      </c>
      <c r="V7484" s="282" t="e">
        <f>+Tabla4[[#This Row],[Comisión Calculada]]*Tabla4[[#This Row],[Total]]</f>
        <v>#N/A</v>
      </c>
    </row>
    <row r="7485" spans="1:22" x14ac:dyDescent="0.25">
      <c r="A7485" s="100">
        <v>46006</v>
      </c>
      <c r="B7485" t="str">
        <f>TEXT(A7485, "mmmm")</f>
        <v>December</v>
      </c>
      <c r="C7485" s="46" t="s">
        <v>280</v>
      </c>
      <c r="F7485" s="366" t="s">
        <v>3772</v>
      </c>
      <c r="G7485" s="46" t="s">
        <v>83</v>
      </c>
      <c r="H7485" s="46">
        <v>32</v>
      </c>
      <c r="I7485" s="51">
        <v>8858.76</v>
      </c>
      <c r="J7485" s="281">
        <f>++Tabla4[[#This Row],[Precio Bruto]]*1.16</f>
        <v>10276.161599999999</v>
      </c>
      <c r="K7485" s="281">
        <f>+Tabla4[[#This Row],[Precio Unitario Neto]]*Tabla4[[#Headers],[20.85%]]</f>
        <v>2142.5796935999997</v>
      </c>
      <c r="L7485" s="282">
        <f>++Tabla4[[#This Row],[Precio Unitario Neto]]-Tabla4[[#This Row],[20.85%]]</f>
        <v>8133.5819063999998</v>
      </c>
      <c r="M7485" s="282" t="e">
        <f>(INDEX(Tabla6[#All],MATCH(Tabla4[[#This Row],[Producto]],Tabla6[[#All],[PRODUCTO]],0),MATCH(Tabla4[[#This Row],[Mes]],Tabla6[#Headers],0)))*(1+Catalogos!$L$2)</f>
        <v>#N/A</v>
      </c>
      <c r="N7485" s="283" t="e">
        <f>+(Tabla4[[#This Row],[Precio Descontado]]-Tabla4[[#This Row],[Precio Base]])*Tabla4[[#This Row],[Cantidad]]</f>
        <v>#N/A</v>
      </c>
      <c r="O7485" s="284" t="e">
        <f>++Tabla4[[#This Row],[Utilidad Total]]/Tabla4[[#This Row],[Total]]</f>
        <v>#N/A</v>
      </c>
      <c r="P7485" s="282">
        <f>++Tabla4[[#This Row],[Precio Descontado]]*Tabla4[[#This Row],[Cantidad]]</f>
        <v>260274.62100479999</v>
      </c>
      <c r="Q7485" s="282" t="e">
        <f>(INDEX(Tabla6[#All],MATCH(Tabla4[[#This Row],[Producto]],Tabla6[[#All],[PRODUCTO]],0),MATCH(Tabla4[[#This Row],[Mes]],Tabla6[#Headers],0)))</f>
        <v>#N/A</v>
      </c>
      <c r="R7485" s="282" t="e">
        <f>++Tabla4[[#This Row],[Precio Unitario Neto]]-Tabla4[[#This Row],[20.85%]]-Tabla4[[#This Row],[Costo]]</f>
        <v>#N/A</v>
      </c>
      <c r="S7485" s="282" t="e">
        <f>++Tabla4[[#This Row],[U. Bruta Uni]]*Tabla4[[#This Row],[Cantidad]]</f>
        <v>#N/A</v>
      </c>
      <c r="T7485" s="369" t="str">
        <f>VLOOKUP(Tabla4[[#This Row],[Producto]],Tabla6[#All],14,FALSE)</f>
        <v>Termico Solar</v>
      </c>
      <c r="U7485" s="284" t="e">
        <f>(IF(Tabla4[[#This Row],[Familia]]="termico solar",Tabla4[[#This Row],[Utilidad Total]]*6%,Tabla4[[#This Row],[Utilidad Total]]*11.5%))/Tabla4[[#This Row],[Total]]</f>
        <v>#N/A</v>
      </c>
      <c r="V7485" s="282" t="e">
        <f>+Tabla4[[#This Row],[Comisión Calculada]]*Tabla4[[#This Row],[Total]]</f>
        <v>#N/A</v>
      </c>
    </row>
    <row r="7486" spans="1:22" x14ac:dyDescent="0.25">
      <c r="A7486" s="100">
        <v>46006</v>
      </c>
      <c r="B7486" t="str">
        <f>TEXT(A7486, "mmmm")</f>
        <v>December</v>
      </c>
      <c r="C7486" s="46" t="s">
        <v>280</v>
      </c>
      <c r="F7486" s="366" t="s">
        <v>3773</v>
      </c>
      <c r="G7486" s="46" t="s">
        <v>16</v>
      </c>
      <c r="H7486" s="46">
        <v>3</v>
      </c>
      <c r="I7486" s="51">
        <v>4103.8499999999995</v>
      </c>
      <c r="J7486" s="281">
        <f>++Tabla4[[#This Row],[Precio Bruto]]*1.16</f>
        <v>4760.4659999999994</v>
      </c>
      <c r="K7486" s="281">
        <f>+Tabla4[[#This Row],[Precio Unitario Neto]]*Tabla4[[#Headers],[20.85%]]</f>
        <v>992.55716099999984</v>
      </c>
      <c r="L7486" s="282">
        <f>++Tabla4[[#This Row],[Precio Unitario Neto]]-Tabla4[[#This Row],[20.85%]]</f>
        <v>3767.9088389999997</v>
      </c>
      <c r="M7486" s="282" t="e">
        <f>(INDEX(Tabla6[#All],MATCH(Tabla4[[#This Row],[Producto]],Tabla6[[#All],[PRODUCTO]],0),MATCH(Tabla4[[#This Row],[Mes]],Tabla6[#Headers],0)))*(1+Catalogos!$L$2)</f>
        <v>#N/A</v>
      </c>
      <c r="N7486" s="283" t="e">
        <f>+(Tabla4[[#This Row],[Precio Descontado]]-Tabla4[[#This Row],[Precio Base]])*Tabla4[[#This Row],[Cantidad]]</f>
        <v>#N/A</v>
      </c>
      <c r="O7486" s="284" t="e">
        <f>++Tabla4[[#This Row],[Utilidad Total]]/Tabla4[[#This Row],[Total]]</f>
        <v>#N/A</v>
      </c>
      <c r="P7486" s="282">
        <f>++Tabla4[[#This Row],[Precio Descontado]]*Tabla4[[#This Row],[Cantidad]]</f>
        <v>11303.726516999999</v>
      </c>
      <c r="Q7486" s="282" t="e">
        <f>(INDEX(Tabla6[#All],MATCH(Tabla4[[#This Row],[Producto]],Tabla6[[#All],[PRODUCTO]],0),MATCH(Tabla4[[#This Row],[Mes]],Tabla6[#Headers],0)))</f>
        <v>#N/A</v>
      </c>
      <c r="R7486" s="282" t="e">
        <f>++Tabla4[[#This Row],[Precio Unitario Neto]]-Tabla4[[#This Row],[20.85%]]-Tabla4[[#This Row],[Costo]]</f>
        <v>#N/A</v>
      </c>
      <c r="S7486" s="282" t="e">
        <f>++Tabla4[[#This Row],[U. Bruta Uni]]*Tabla4[[#This Row],[Cantidad]]</f>
        <v>#N/A</v>
      </c>
      <c r="T7486" s="369" t="str">
        <f>VLOOKUP(Tabla4[[#This Row],[Producto]],Tabla6[#All],14,FALSE)</f>
        <v>Termico Solar</v>
      </c>
      <c r="U7486" s="284" t="e">
        <f>(IF(Tabla4[[#This Row],[Familia]]="termico solar",Tabla4[[#This Row],[Utilidad Total]]*6%,Tabla4[[#This Row],[Utilidad Total]]*11.5%))/Tabla4[[#This Row],[Total]]</f>
        <v>#N/A</v>
      </c>
      <c r="V7486" s="282" t="e">
        <f>+Tabla4[[#This Row],[Comisión Calculada]]*Tabla4[[#This Row],[Total]]</f>
        <v>#N/A</v>
      </c>
    </row>
    <row r="7487" spans="1:22" x14ac:dyDescent="0.25">
      <c r="A7487" s="100">
        <v>46006</v>
      </c>
      <c r="B7487" t="str">
        <f t="shared" ref="B7487:B7490" si="670">TEXT(A7487, "mmmm")</f>
        <v>December</v>
      </c>
      <c r="C7487" s="46" t="s">
        <v>280</v>
      </c>
      <c r="F7487" s="366" t="s">
        <v>3774</v>
      </c>
      <c r="G7487" s="46" t="s">
        <v>83</v>
      </c>
      <c r="H7487" s="46">
        <v>2</v>
      </c>
      <c r="I7487" s="51">
        <v>8858.76</v>
      </c>
      <c r="J7487" s="281">
        <f>++Tabla4[[#This Row],[Precio Bruto]]*1.16</f>
        <v>10276.161599999999</v>
      </c>
      <c r="K7487" s="281">
        <f>+Tabla4[[#This Row],[Precio Unitario Neto]]*Tabla4[[#Headers],[20.85%]]</f>
        <v>2142.5796935999997</v>
      </c>
      <c r="L7487" s="282">
        <f>++Tabla4[[#This Row],[Precio Unitario Neto]]-Tabla4[[#This Row],[20.85%]]</f>
        <v>8133.5819063999998</v>
      </c>
      <c r="M7487" s="282" t="e">
        <f>(INDEX(Tabla6[#All],MATCH(Tabla4[[#This Row],[Producto]],Tabla6[[#All],[PRODUCTO]],0),MATCH(Tabla4[[#This Row],[Mes]],Tabla6[#Headers],0)))*(1+Catalogos!$L$2)</f>
        <v>#N/A</v>
      </c>
      <c r="N7487" s="283" t="e">
        <f>+(Tabla4[[#This Row],[Precio Descontado]]-Tabla4[[#This Row],[Precio Base]])*Tabla4[[#This Row],[Cantidad]]</f>
        <v>#N/A</v>
      </c>
      <c r="O7487" s="284" t="e">
        <f>++Tabla4[[#This Row],[Utilidad Total]]/Tabla4[[#This Row],[Total]]</f>
        <v>#N/A</v>
      </c>
      <c r="P7487" s="282">
        <f>++Tabla4[[#This Row],[Precio Descontado]]*Tabla4[[#This Row],[Cantidad]]</f>
        <v>16267.1638128</v>
      </c>
      <c r="Q7487" s="282" t="e">
        <f>(INDEX(Tabla6[#All],MATCH(Tabla4[[#This Row],[Producto]],Tabla6[[#All],[PRODUCTO]],0),MATCH(Tabla4[[#This Row],[Mes]],Tabla6[#Headers],0)))</f>
        <v>#N/A</v>
      </c>
      <c r="R7487" s="282" t="e">
        <f>++Tabla4[[#This Row],[Precio Unitario Neto]]-Tabla4[[#This Row],[20.85%]]-Tabla4[[#This Row],[Costo]]</f>
        <v>#N/A</v>
      </c>
      <c r="S7487" s="282" t="e">
        <f>++Tabla4[[#This Row],[U. Bruta Uni]]*Tabla4[[#This Row],[Cantidad]]</f>
        <v>#N/A</v>
      </c>
      <c r="T7487" s="369" t="str">
        <f>VLOOKUP(Tabla4[[#This Row],[Producto]],Tabla6[#All],14,FALSE)</f>
        <v>Termico Solar</v>
      </c>
      <c r="U7487" s="284" t="e">
        <f>(IF(Tabla4[[#This Row],[Familia]]="termico solar",Tabla4[[#This Row],[Utilidad Total]]*6%,Tabla4[[#This Row],[Utilidad Total]]*11.5%))/Tabla4[[#This Row],[Total]]</f>
        <v>#N/A</v>
      </c>
      <c r="V7487" s="282" t="e">
        <f>+Tabla4[[#This Row],[Comisión Calculada]]*Tabla4[[#This Row],[Total]]</f>
        <v>#N/A</v>
      </c>
    </row>
    <row r="7488" spans="1:22" x14ac:dyDescent="0.25">
      <c r="A7488" s="100">
        <v>46006</v>
      </c>
      <c r="B7488" t="str">
        <f t="shared" si="670"/>
        <v>December</v>
      </c>
      <c r="C7488" s="46" t="s">
        <v>280</v>
      </c>
      <c r="F7488" s="366" t="s">
        <v>3774</v>
      </c>
      <c r="G7488" s="46" t="s">
        <v>566</v>
      </c>
      <c r="H7488" s="46">
        <v>2</v>
      </c>
      <c r="I7488" s="51">
        <v>2109.4499999999998</v>
      </c>
      <c r="J7488" s="281">
        <f>++Tabla4[[#This Row],[Precio Bruto]]*1.16</f>
        <v>2446.9619999999995</v>
      </c>
      <c r="K7488" s="281">
        <f>+Tabla4[[#This Row],[Precio Unitario Neto]]*Tabla4[[#Headers],[20.85%]]</f>
        <v>510.19157699999988</v>
      </c>
      <c r="L7488" s="282">
        <f>++Tabla4[[#This Row],[Precio Unitario Neto]]-Tabla4[[#This Row],[20.85%]]</f>
        <v>1936.7704229999997</v>
      </c>
      <c r="M7488" s="282" t="e">
        <f>(INDEX(Tabla6[#All],MATCH(Tabla4[[#This Row],[Producto]],Tabla6[[#All],[PRODUCTO]],0),MATCH(Tabla4[[#This Row],[Mes]],Tabla6[#Headers],0)))*(1+Catalogos!$L$2)</f>
        <v>#N/A</v>
      </c>
      <c r="N7488" s="283" t="e">
        <f>+(Tabla4[[#This Row],[Precio Descontado]]-Tabla4[[#This Row],[Precio Base]])*Tabla4[[#This Row],[Cantidad]]</f>
        <v>#N/A</v>
      </c>
      <c r="O7488" s="284" t="e">
        <f>++Tabla4[[#This Row],[Utilidad Total]]/Tabla4[[#This Row],[Total]]</f>
        <v>#N/A</v>
      </c>
      <c r="P7488" s="282">
        <f>++Tabla4[[#This Row],[Precio Descontado]]*Tabla4[[#This Row],[Cantidad]]</f>
        <v>3873.5408459999994</v>
      </c>
      <c r="Q7488" s="282" t="e">
        <f>(INDEX(Tabla6[#All],MATCH(Tabla4[[#This Row],[Producto]],Tabla6[[#All],[PRODUCTO]],0),MATCH(Tabla4[[#This Row],[Mes]],Tabla6[#Headers],0)))</f>
        <v>#N/A</v>
      </c>
      <c r="R7488" s="282" t="e">
        <f>++Tabla4[[#This Row],[Precio Unitario Neto]]-Tabla4[[#This Row],[20.85%]]-Tabla4[[#This Row],[Costo]]</f>
        <v>#N/A</v>
      </c>
      <c r="S7488" s="282" t="e">
        <f>++Tabla4[[#This Row],[U. Bruta Uni]]*Tabla4[[#This Row],[Cantidad]]</f>
        <v>#N/A</v>
      </c>
      <c r="T7488" s="369" t="str">
        <f>VLOOKUP(Tabla4[[#This Row],[Producto]],Tabla6[#All],14,FALSE)</f>
        <v>Termico Solar</v>
      </c>
      <c r="U7488" s="284" t="e">
        <f>(IF(Tabla4[[#This Row],[Familia]]="termico solar",Tabla4[[#This Row],[Utilidad Total]]*6%,Tabla4[[#This Row],[Utilidad Total]]*11.5%))/Tabla4[[#This Row],[Total]]</f>
        <v>#N/A</v>
      </c>
      <c r="V7488" s="282" t="e">
        <f>+Tabla4[[#This Row],[Comisión Calculada]]*Tabla4[[#This Row],[Total]]</f>
        <v>#N/A</v>
      </c>
    </row>
    <row r="7489" spans="1:22" x14ac:dyDescent="0.25">
      <c r="A7489" s="100">
        <v>46006</v>
      </c>
      <c r="B7489" t="str">
        <f t="shared" si="670"/>
        <v>December</v>
      </c>
      <c r="C7489" s="46" t="s">
        <v>280</v>
      </c>
      <c r="F7489" s="366" t="s">
        <v>3774</v>
      </c>
      <c r="G7489" s="46" t="s">
        <v>16</v>
      </c>
      <c r="H7489" s="46">
        <v>1</v>
      </c>
      <c r="I7489" s="51">
        <v>4103.8500000000004</v>
      </c>
      <c r="J7489" s="281">
        <f>++Tabla4[[#This Row],[Precio Bruto]]*1.16</f>
        <v>4760.4660000000003</v>
      </c>
      <c r="K7489" s="281">
        <f>+Tabla4[[#This Row],[Precio Unitario Neto]]*Tabla4[[#Headers],[20.85%]]</f>
        <v>992.55716100000006</v>
      </c>
      <c r="L7489" s="282">
        <f>++Tabla4[[#This Row],[Precio Unitario Neto]]-Tabla4[[#This Row],[20.85%]]</f>
        <v>3767.9088390000002</v>
      </c>
      <c r="M7489" s="282" t="e">
        <f>(INDEX(Tabla6[#All],MATCH(Tabla4[[#This Row],[Producto]],Tabla6[[#All],[PRODUCTO]],0),MATCH(Tabla4[[#This Row],[Mes]],Tabla6[#Headers],0)))*(1+Catalogos!$L$2)</f>
        <v>#N/A</v>
      </c>
      <c r="N7489" s="283" t="e">
        <f>+(Tabla4[[#This Row],[Precio Descontado]]-Tabla4[[#This Row],[Precio Base]])*Tabla4[[#This Row],[Cantidad]]</f>
        <v>#N/A</v>
      </c>
      <c r="O7489" s="284" t="e">
        <f>++Tabla4[[#This Row],[Utilidad Total]]/Tabla4[[#This Row],[Total]]</f>
        <v>#N/A</v>
      </c>
      <c r="P7489" s="282">
        <f>++Tabla4[[#This Row],[Precio Descontado]]*Tabla4[[#This Row],[Cantidad]]</f>
        <v>3767.9088390000002</v>
      </c>
      <c r="Q7489" s="282" t="e">
        <f>(INDEX(Tabla6[#All],MATCH(Tabla4[[#This Row],[Producto]],Tabla6[[#All],[PRODUCTO]],0),MATCH(Tabla4[[#This Row],[Mes]],Tabla6[#Headers],0)))</f>
        <v>#N/A</v>
      </c>
      <c r="R7489" s="282" t="e">
        <f>++Tabla4[[#This Row],[Precio Unitario Neto]]-Tabla4[[#This Row],[20.85%]]-Tabla4[[#This Row],[Costo]]</f>
        <v>#N/A</v>
      </c>
      <c r="S7489" s="282" t="e">
        <f>++Tabla4[[#This Row],[U. Bruta Uni]]*Tabla4[[#This Row],[Cantidad]]</f>
        <v>#N/A</v>
      </c>
      <c r="T7489" s="369" t="str">
        <f>VLOOKUP(Tabla4[[#This Row],[Producto]],Tabla6[#All],14,FALSE)</f>
        <v>Termico Solar</v>
      </c>
      <c r="U7489" s="284" t="e">
        <f>(IF(Tabla4[[#This Row],[Familia]]="termico solar",Tabla4[[#This Row],[Utilidad Total]]*6%,Tabla4[[#This Row],[Utilidad Total]]*11.5%))/Tabla4[[#This Row],[Total]]</f>
        <v>#N/A</v>
      </c>
      <c r="V7489" s="282" t="e">
        <f>+Tabla4[[#This Row],[Comisión Calculada]]*Tabla4[[#This Row],[Total]]</f>
        <v>#N/A</v>
      </c>
    </row>
    <row r="7490" spans="1:22" x14ac:dyDescent="0.25">
      <c r="A7490" s="100">
        <v>46006</v>
      </c>
      <c r="B7490" t="str">
        <f t="shared" si="670"/>
        <v>December</v>
      </c>
      <c r="C7490" s="46" t="s">
        <v>280</v>
      </c>
      <c r="F7490" s="366" t="s">
        <v>3774</v>
      </c>
      <c r="G7490" s="46" t="s">
        <v>208</v>
      </c>
      <c r="H7490" s="46">
        <v>2</v>
      </c>
      <c r="I7490" s="51">
        <v>189.75</v>
      </c>
      <c r="J7490" s="281">
        <f>++Tabla4[[#This Row],[Precio Bruto]]*1.16</f>
        <v>220.10999999999999</v>
      </c>
      <c r="K7490" s="281">
        <f>+Tabla4[[#This Row],[Precio Unitario Neto]]*Tabla4[[#Headers],[20.85%]]</f>
        <v>45.892934999999994</v>
      </c>
      <c r="L7490" s="282">
        <f>++Tabla4[[#This Row],[Precio Unitario Neto]]-Tabla4[[#This Row],[20.85%]]</f>
        <v>174.21706499999999</v>
      </c>
      <c r="M7490" s="282" t="e">
        <f>(INDEX(Tabla6[#All],MATCH(Tabla4[[#This Row],[Producto]],Tabla6[[#All],[PRODUCTO]],0),MATCH(Tabla4[[#This Row],[Mes]],Tabla6[#Headers],0)))*(1+Catalogos!$L$2)</f>
        <v>#N/A</v>
      </c>
      <c r="N7490" s="283" t="e">
        <f>+(Tabla4[[#This Row],[Precio Descontado]]-Tabla4[[#This Row],[Precio Base]])*Tabla4[[#This Row],[Cantidad]]</f>
        <v>#N/A</v>
      </c>
      <c r="O7490" s="284" t="e">
        <f>++Tabla4[[#This Row],[Utilidad Total]]/Tabla4[[#This Row],[Total]]</f>
        <v>#N/A</v>
      </c>
      <c r="P7490" s="282">
        <f>++Tabla4[[#This Row],[Precio Descontado]]*Tabla4[[#This Row],[Cantidad]]</f>
        <v>348.43412999999998</v>
      </c>
      <c r="Q7490" s="282" t="e">
        <f>(INDEX(Tabla6[#All],MATCH(Tabla4[[#This Row],[Producto]],Tabla6[[#All],[PRODUCTO]],0),MATCH(Tabla4[[#This Row],[Mes]],Tabla6[#Headers],0)))</f>
        <v>#N/A</v>
      </c>
      <c r="R7490" s="282" t="e">
        <f>++Tabla4[[#This Row],[Precio Unitario Neto]]-Tabla4[[#This Row],[20.85%]]-Tabla4[[#This Row],[Costo]]</f>
        <v>#N/A</v>
      </c>
      <c r="S7490" s="282" t="e">
        <f>++Tabla4[[#This Row],[U. Bruta Uni]]*Tabla4[[#This Row],[Cantidad]]</f>
        <v>#N/A</v>
      </c>
      <c r="T7490" s="369" t="str">
        <f>VLOOKUP(Tabla4[[#This Row],[Producto]],Tabla6[#All],14,FALSE)</f>
        <v>Termico Solar</v>
      </c>
      <c r="U7490" s="284" t="e">
        <f>(IF(Tabla4[[#This Row],[Familia]]="termico solar",Tabla4[[#This Row],[Utilidad Total]]*6%,Tabla4[[#This Row],[Utilidad Total]]*11.5%))/Tabla4[[#This Row],[Total]]</f>
        <v>#N/A</v>
      </c>
      <c r="V7490" s="282" t="e">
        <f>+Tabla4[[#This Row],[Comisión Calculada]]*Tabla4[[#This Row],[Total]]</f>
        <v>#N/A</v>
      </c>
    </row>
    <row r="7491" spans="1:22" x14ac:dyDescent="0.25">
      <c r="A7491" s="100">
        <v>46006</v>
      </c>
      <c r="B7491" t="str">
        <f t="shared" ref="B7491:B7493" si="671">TEXT(A7491, "mmmm")</f>
        <v>December</v>
      </c>
      <c r="C7491" s="46" t="s">
        <v>280</v>
      </c>
      <c r="F7491" s="366" t="s">
        <v>3775</v>
      </c>
      <c r="G7491" s="46" t="s">
        <v>83</v>
      </c>
      <c r="H7491" s="46">
        <v>1</v>
      </c>
      <c r="I7491" s="51">
        <v>8858.76</v>
      </c>
      <c r="J7491" s="281">
        <f>++Tabla4[[#This Row],[Precio Bruto]]*1.16</f>
        <v>10276.161599999999</v>
      </c>
      <c r="K7491" s="281">
        <f>+Tabla4[[#This Row],[Precio Unitario Neto]]*Tabla4[[#Headers],[20.85%]]</f>
        <v>2142.5796935999997</v>
      </c>
      <c r="L7491" s="282">
        <f>++Tabla4[[#This Row],[Precio Unitario Neto]]-Tabla4[[#This Row],[20.85%]]</f>
        <v>8133.5819063999998</v>
      </c>
      <c r="M7491" s="282" t="e">
        <f>(INDEX(Tabla6[#All],MATCH(Tabla4[[#This Row],[Producto]],Tabla6[[#All],[PRODUCTO]],0),MATCH(Tabla4[[#This Row],[Mes]],Tabla6[#Headers],0)))*(1+Catalogos!$L$2)</f>
        <v>#N/A</v>
      </c>
      <c r="N7491" s="283" t="e">
        <f>+(Tabla4[[#This Row],[Precio Descontado]]-Tabla4[[#This Row],[Precio Base]])*Tabla4[[#This Row],[Cantidad]]</f>
        <v>#N/A</v>
      </c>
      <c r="O7491" s="284" t="e">
        <f>++Tabla4[[#This Row],[Utilidad Total]]/Tabla4[[#This Row],[Total]]</f>
        <v>#N/A</v>
      </c>
      <c r="P7491" s="282">
        <f>++Tabla4[[#This Row],[Precio Descontado]]*Tabla4[[#This Row],[Cantidad]]</f>
        <v>8133.5819063999998</v>
      </c>
      <c r="Q7491" s="282" t="e">
        <f>(INDEX(Tabla6[#All],MATCH(Tabla4[[#This Row],[Producto]],Tabla6[[#All],[PRODUCTO]],0),MATCH(Tabla4[[#This Row],[Mes]],Tabla6[#Headers],0)))</f>
        <v>#N/A</v>
      </c>
      <c r="R7491" s="282" t="e">
        <f>++Tabla4[[#This Row],[Precio Unitario Neto]]-Tabla4[[#This Row],[20.85%]]-Tabla4[[#This Row],[Costo]]</f>
        <v>#N/A</v>
      </c>
      <c r="S7491" s="282" t="e">
        <f>++Tabla4[[#This Row],[U. Bruta Uni]]*Tabla4[[#This Row],[Cantidad]]</f>
        <v>#N/A</v>
      </c>
      <c r="T7491" s="369" t="str">
        <f>VLOOKUP(Tabla4[[#This Row],[Producto]],Tabla6[#All],14,FALSE)</f>
        <v>Termico Solar</v>
      </c>
      <c r="U7491" s="284" t="e">
        <f>(IF(Tabla4[[#This Row],[Familia]]="termico solar",Tabla4[[#This Row],[Utilidad Total]]*6%,Tabla4[[#This Row],[Utilidad Total]]*11.5%))/Tabla4[[#This Row],[Total]]</f>
        <v>#N/A</v>
      </c>
      <c r="V7491" s="282" t="e">
        <f>+Tabla4[[#This Row],[Comisión Calculada]]*Tabla4[[#This Row],[Total]]</f>
        <v>#N/A</v>
      </c>
    </row>
    <row r="7492" spans="1:22" x14ac:dyDescent="0.25">
      <c r="A7492" s="100">
        <v>46006</v>
      </c>
      <c r="B7492" t="str">
        <f t="shared" si="671"/>
        <v>December</v>
      </c>
      <c r="C7492" s="46" t="s">
        <v>280</v>
      </c>
      <c r="F7492" s="366" t="s">
        <v>3775</v>
      </c>
      <c r="G7492" s="46" t="s">
        <v>17</v>
      </c>
      <c r="H7492" s="46">
        <v>5</v>
      </c>
      <c r="I7492" s="51">
        <v>4622.2800000000007</v>
      </c>
      <c r="J7492" s="281">
        <f>++Tabla4[[#This Row],[Precio Bruto]]*1.16</f>
        <v>5361.8448000000008</v>
      </c>
      <c r="K7492" s="281">
        <f>+Tabla4[[#This Row],[Precio Unitario Neto]]*Tabla4[[#Headers],[20.85%]]</f>
        <v>1117.9446408000001</v>
      </c>
      <c r="L7492" s="282">
        <f>++Tabla4[[#This Row],[Precio Unitario Neto]]-Tabla4[[#This Row],[20.85%]]</f>
        <v>4243.9001592000004</v>
      </c>
      <c r="M7492" s="282" t="e">
        <f>(INDEX(Tabla6[#All],MATCH(Tabla4[[#This Row],[Producto]],Tabla6[[#All],[PRODUCTO]],0),MATCH(Tabla4[[#This Row],[Mes]],Tabla6[#Headers],0)))*(1+Catalogos!$L$2)</f>
        <v>#N/A</v>
      </c>
      <c r="N7492" s="283" t="e">
        <f>+(Tabla4[[#This Row],[Precio Descontado]]-Tabla4[[#This Row],[Precio Base]])*Tabla4[[#This Row],[Cantidad]]</f>
        <v>#N/A</v>
      </c>
      <c r="O7492" s="284" t="e">
        <f>++Tabla4[[#This Row],[Utilidad Total]]/Tabla4[[#This Row],[Total]]</f>
        <v>#N/A</v>
      </c>
      <c r="P7492" s="282">
        <f>++Tabla4[[#This Row],[Precio Descontado]]*Tabla4[[#This Row],[Cantidad]]</f>
        <v>21219.500796</v>
      </c>
      <c r="Q7492" s="282" t="e">
        <f>(INDEX(Tabla6[#All],MATCH(Tabla4[[#This Row],[Producto]],Tabla6[[#All],[PRODUCTO]],0),MATCH(Tabla4[[#This Row],[Mes]],Tabla6[#Headers],0)))</f>
        <v>#N/A</v>
      </c>
      <c r="R7492" s="282" t="e">
        <f>++Tabla4[[#This Row],[Precio Unitario Neto]]-Tabla4[[#This Row],[20.85%]]-Tabla4[[#This Row],[Costo]]</f>
        <v>#N/A</v>
      </c>
      <c r="S7492" s="282" t="e">
        <f>++Tabla4[[#This Row],[U. Bruta Uni]]*Tabla4[[#This Row],[Cantidad]]</f>
        <v>#N/A</v>
      </c>
      <c r="T7492" s="369" t="str">
        <f>VLOOKUP(Tabla4[[#This Row],[Producto]],Tabla6[#All],14,FALSE)</f>
        <v>Termico Solar</v>
      </c>
      <c r="U7492" s="284" t="e">
        <f>(IF(Tabla4[[#This Row],[Familia]]="termico solar",Tabla4[[#This Row],[Utilidad Total]]*6%,Tabla4[[#This Row],[Utilidad Total]]*11.5%))/Tabla4[[#This Row],[Total]]</f>
        <v>#N/A</v>
      </c>
      <c r="V7492" s="282" t="e">
        <f>+Tabla4[[#This Row],[Comisión Calculada]]*Tabla4[[#This Row],[Total]]</f>
        <v>#N/A</v>
      </c>
    </row>
    <row r="7493" spans="1:22" x14ac:dyDescent="0.25">
      <c r="A7493" s="100">
        <v>46006</v>
      </c>
      <c r="B7493" t="str">
        <f t="shared" si="671"/>
        <v>December</v>
      </c>
      <c r="C7493" s="46" t="s">
        <v>280</v>
      </c>
      <c r="F7493" s="366" t="s">
        <v>3775</v>
      </c>
      <c r="G7493" s="46" t="s">
        <v>18</v>
      </c>
      <c r="H7493" s="46">
        <v>2</v>
      </c>
      <c r="I7493" s="51">
        <v>5367.65</v>
      </c>
      <c r="J7493" s="281">
        <f>++Tabla4[[#This Row],[Precio Bruto]]*1.16</f>
        <v>6226.4739999999993</v>
      </c>
      <c r="K7493" s="281">
        <f>+Tabla4[[#This Row],[Precio Unitario Neto]]*Tabla4[[#Headers],[20.85%]]</f>
        <v>1298.2198289999999</v>
      </c>
      <c r="L7493" s="282">
        <f>++Tabla4[[#This Row],[Precio Unitario Neto]]-Tabla4[[#This Row],[20.85%]]</f>
        <v>4928.2541709999996</v>
      </c>
      <c r="M7493" s="282" t="e">
        <f>(INDEX(Tabla6[#All],MATCH(Tabla4[[#This Row],[Producto]],Tabla6[[#All],[PRODUCTO]],0),MATCH(Tabla4[[#This Row],[Mes]],Tabla6[#Headers],0)))*(1+Catalogos!$L$2)</f>
        <v>#N/A</v>
      </c>
      <c r="N7493" s="283" t="e">
        <f>+(Tabla4[[#This Row],[Precio Descontado]]-Tabla4[[#This Row],[Precio Base]])*Tabla4[[#This Row],[Cantidad]]</f>
        <v>#N/A</v>
      </c>
      <c r="O7493" s="284" t="e">
        <f>++Tabla4[[#This Row],[Utilidad Total]]/Tabla4[[#This Row],[Total]]</f>
        <v>#N/A</v>
      </c>
      <c r="P7493" s="282">
        <f>++Tabla4[[#This Row],[Precio Descontado]]*Tabla4[[#This Row],[Cantidad]]</f>
        <v>9856.5083419999992</v>
      </c>
      <c r="Q7493" s="282" t="e">
        <f>(INDEX(Tabla6[#All],MATCH(Tabla4[[#This Row],[Producto]],Tabla6[[#All],[PRODUCTO]],0),MATCH(Tabla4[[#This Row],[Mes]],Tabla6[#Headers],0)))</f>
        <v>#N/A</v>
      </c>
      <c r="R7493" s="282" t="e">
        <f>++Tabla4[[#This Row],[Precio Unitario Neto]]-Tabla4[[#This Row],[20.85%]]-Tabla4[[#This Row],[Costo]]</f>
        <v>#N/A</v>
      </c>
      <c r="S7493" s="282" t="e">
        <f>++Tabla4[[#This Row],[U. Bruta Uni]]*Tabla4[[#This Row],[Cantidad]]</f>
        <v>#N/A</v>
      </c>
      <c r="T7493" s="369" t="str">
        <f>VLOOKUP(Tabla4[[#This Row],[Producto]],Tabla6[#All],14,FALSE)</f>
        <v>Termico Solar</v>
      </c>
      <c r="U7493" s="284" t="e">
        <f>(IF(Tabla4[[#This Row],[Familia]]="termico solar",Tabla4[[#This Row],[Utilidad Total]]*6%,Tabla4[[#This Row],[Utilidad Total]]*11.5%))/Tabla4[[#This Row],[Total]]</f>
        <v>#N/A</v>
      </c>
      <c r="V7493" s="282" t="e">
        <f>+Tabla4[[#This Row],[Comisión Calculada]]*Tabla4[[#This Row],[Total]]</f>
        <v>#N/A</v>
      </c>
    </row>
  </sheetData>
  <sheetProtection formatCells="0" formatColumns="0" formatRows="0" selectLockedCells="1"/>
  <phoneticPr fontId="10" type="noConversion"/>
  <conditionalFormatting sqref="U1:U1048576">
    <cfRule type="cellIs" dxfId="130" priority="26" operator="lessThan">
      <formula>0.0026</formula>
    </cfRule>
  </conditionalFormatting>
  <conditionalFormatting sqref="O3">
    <cfRule type="cellIs" dxfId="129" priority="20" operator="lessThan">
      <formula>0</formula>
    </cfRule>
  </conditionalFormatting>
  <conditionalFormatting sqref="F1:F1048576">
    <cfRule type="duplicateValues" dxfId="128" priority="4496"/>
  </conditionalFormatting>
  <pageMargins left="0.43307086614173229" right="0.43307086614173229" top="0.35433070866141736" bottom="0.35433070866141736" header="0.31496062992125984" footer="0.31496062992125984"/>
  <pageSetup scale="42" fitToHeight="0" orientation="landscape"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93ED5C57-954E-4CDA-9FBC-9E0D020DED4E}">
          <x14:formula1>
            <xm:f>Catalogos!$AA$4:$AA$5</xm:f>
          </x14:formula1>
          <xm:sqref>D4:D7493</xm:sqref>
        </x14:dataValidation>
        <x14:dataValidation type="list" allowBlank="1" showInputMessage="1" showErrorMessage="1" xr:uid="{244B80C6-0CD6-46F5-B150-798180862206}">
          <x14:formula1>
            <xm:f>Catalogos!$B$4:$B$55</xm:f>
          </x14:formula1>
          <xm:sqref>C4:C7493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782F-8039-4603-80EB-F5BC8555DF7F}">
  <sheetPr codeName="Hoja3">
    <pageSetUpPr fitToPage="1"/>
  </sheetPr>
  <dimension ref="A1:AF163"/>
  <sheetViews>
    <sheetView topLeftCell="L1" zoomScale="116" zoomScaleNormal="115" workbookViewId="0">
      <pane ySplit="7" topLeftCell="A8" activePane="bottomLeft" state="frozen"/>
      <selection activeCell="H1" sqref="H1"/>
      <selection pane="bottomLeft" activeCell="D13" sqref="D13"/>
    </sheetView>
  </sheetViews>
  <sheetFormatPr baseColWidth="10" defaultColWidth="11.42578125" defaultRowHeight="12" x14ac:dyDescent="0.2"/>
  <cols>
    <col min="1" max="1" width="11.28515625" style="264" customWidth="1"/>
    <col min="2" max="2" width="11.28515625" style="50" bestFit="1" customWidth="1"/>
    <col min="3" max="3" width="41.5703125" style="265" bestFit="1" customWidth="1"/>
    <col min="4" max="4" width="9.140625" style="266" customWidth="1"/>
    <col min="5" max="5" width="59" style="268" customWidth="1"/>
    <col min="6" max="6" width="16.85546875" style="267" customWidth="1"/>
    <col min="7" max="7" width="30.28515625" style="50" bestFit="1" customWidth="1"/>
    <col min="8" max="8" width="10.85546875" style="269" customWidth="1"/>
    <col min="9" max="10" width="14.140625" style="278" customWidth="1"/>
    <col min="11" max="11" width="10.5703125" style="275" hidden="1" customWidth="1"/>
    <col min="12" max="12" width="18.140625" style="278" bestFit="1" customWidth="1"/>
    <col min="13" max="13" width="16.5703125" style="270" hidden="1" customWidth="1"/>
    <col min="14" max="14" width="21.42578125" style="270" hidden="1" customWidth="1"/>
    <col min="15" max="15" width="19.28515625" style="278" hidden="1" customWidth="1"/>
    <col min="16" max="16" width="22.28515625" style="279" hidden="1" customWidth="1"/>
    <col min="17" max="17" width="10.42578125" style="278" hidden="1" customWidth="1"/>
    <col min="18" max="18" width="19.5703125" style="276" hidden="1" customWidth="1"/>
    <col min="19" max="19" width="21.5703125" style="277" hidden="1" customWidth="1"/>
    <col min="20" max="20" width="19.85546875" style="277" hidden="1" customWidth="1"/>
    <col min="21" max="21" width="13.140625" style="276" hidden="1" customWidth="1"/>
    <col min="22" max="22" width="17.7109375" style="278" hidden="1" customWidth="1"/>
    <col min="23" max="26" width="17.7109375" style="278" customWidth="1"/>
    <col min="27" max="27" width="33.5703125" style="50" customWidth="1"/>
    <col min="28" max="28" width="13.7109375" style="50" hidden="1" customWidth="1"/>
    <col min="29" max="29" width="14.5703125" style="50" hidden="1" customWidth="1"/>
    <col min="30" max="30" width="0" style="50" hidden="1" customWidth="1"/>
    <col min="31" max="31" width="18.28515625" style="50" bestFit="1" customWidth="1"/>
    <col min="32" max="16384" width="11.42578125" style="50"/>
  </cols>
  <sheetData>
    <row r="1" spans="1:32" ht="15" hidden="1" x14ac:dyDescent="0.2">
      <c r="V1" s="377">
        <v>5.5E-2</v>
      </c>
      <c r="W1" s="377">
        <v>0.02</v>
      </c>
      <c r="X1" s="377">
        <v>2.2499999999999999E-2</v>
      </c>
      <c r="Y1" s="377">
        <v>2.5000000000000001E-2</v>
      </c>
      <c r="Z1" s="377">
        <v>2.75E-2</v>
      </c>
      <c r="AA1" s="540">
        <v>24000000</v>
      </c>
      <c r="AB1" s="50" t="s">
        <v>4112</v>
      </c>
      <c r="AC1" s="538">
        <v>0.02</v>
      </c>
    </row>
    <row r="2" spans="1:32" ht="15" hidden="1" x14ac:dyDescent="0.2">
      <c r="V2" s="377"/>
      <c r="W2" s="377">
        <f>+'COMISIONES 2026'!D12</f>
        <v>1.818181818181816E-3</v>
      </c>
      <c r="X2" s="377">
        <f>+'COMISIONES 2026'!E12</f>
        <v>2.0454545454545447E-3</v>
      </c>
      <c r="Y2" s="377">
        <f>+'COMISIONES 2026'!F12</f>
        <v>2.27272727272727E-3</v>
      </c>
      <c r="Z2" s="377">
        <f>+'COMISIONES 2026'!G12</f>
        <v>2.4999999999999988E-3</v>
      </c>
      <c r="AA2" s="540">
        <v>12000000</v>
      </c>
      <c r="AB2" s="50" t="s">
        <v>4112</v>
      </c>
      <c r="AC2" s="539">
        <v>1</v>
      </c>
    </row>
    <row r="3" spans="1:32" ht="15" hidden="1" x14ac:dyDescent="0.2">
      <c r="V3" s="377"/>
      <c r="W3" s="377">
        <f>+'COMISIONES 2026'!D13</f>
        <v>5.4545454545454584E-3</v>
      </c>
      <c r="X3" s="377">
        <f>+'COMISIONES 2026'!E13</f>
        <v>6.1363636363636412E-3</v>
      </c>
      <c r="Y3" s="377">
        <f>+'COMISIONES 2026'!F13</f>
        <v>6.8181818181818205E-3</v>
      </c>
      <c r="Z3" s="377">
        <f>+'COMISIONES 2026'!G13</f>
        <v>7.5000000000000032E-3</v>
      </c>
      <c r="AA3" s="540">
        <v>6000000</v>
      </c>
    </row>
    <row r="4" spans="1:32" ht="15" hidden="1" x14ac:dyDescent="0.2">
      <c r="V4" s="377"/>
      <c r="W4" s="377">
        <f>+'COMISIONES 2026'!D14</f>
        <v>9.0909090909090905E-3</v>
      </c>
      <c r="X4" s="377">
        <f>+'COMISIONES 2026'!E14</f>
        <v>1.0227272727272731E-2</v>
      </c>
      <c r="Y4" s="377">
        <f>+'COMISIONES 2026'!F14</f>
        <v>1.1363636363636367E-2</v>
      </c>
      <c r="Z4" s="377">
        <f>+'COMISIONES 2026'!G14</f>
        <v>1.2500000000000001E-2</v>
      </c>
      <c r="AA4" s="540">
        <v>3000000</v>
      </c>
    </row>
    <row r="5" spans="1:32" ht="15" hidden="1" x14ac:dyDescent="0.2">
      <c r="H5" s="399"/>
      <c r="I5" s="400"/>
      <c r="V5" s="376" t="s">
        <v>565</v>
      </c>
      <c r="W5" s="377">
        <f>+'COMISIONES 2026'!D15</f>
        <v>1.6363636363636368E-2</v>
      </c>
      <c r="X5" s="377">
        <f>+'COMISIONES 2026'!E15</f>
        <v>1.840909090909091E-2</v>
      </c>
      <c r="Y5" s="377">
        <f>+'COMISIONES 2026'!F15</f>
        <v>2.0454545454545461E-2</v>
      </c>
      <c r="Z5" s="377">
        <f>+'COMISIONES 2026'!G15</f>
        <v>2.2500000000000003E-2</v>
      </c>
      <c r="AA5" s="541">
        <v>1500000</v>
      </c>
      <c r="AB5" s="375"/>
    </row>
    <row r="6" spans="1:32" s="301" customFormat="1" ht="18.75" hidden="1" x14ac:dyDescent="0.3">
      <c r="A6" s="300"/>
      <c r="C6" s="302"/>
      <c r="D6" s="303"/>
      <c r="E6" s="304"/>
      <c r="F6" s="305"/>
      <c r="H6" s="135"/>
      <c r="I6" s="306"/>
      <c r="J6" s="306"/>
      <c r="K6" s="307"/>
      <c r="L6" s="395">
        <f>SUBTOTAL(9,Tabla110[[#All],[Venta Total]])</f>
        <v>4264568.7375999987</v>
      </c>
      <c r="M6" s="308"/>
      <c r="N6" s="308"/>
      <c r="O6" s="394" t="e">
        <f>SUBTOTAL(9,Tabla110[[#All],[Utilidad Neta Total]])</f>
        <v>#N/A</v>
      </c>
      <c r="P6" s="309"/>
      <c r="Q6" s="306"/>
      <c r="R6" s="310"/>
      <c r="S6" s="389"/>
      <c r="T6" s="396" t="e">
        <f>SUBTOTAL(9,Tabla110[[#All],[Utilidad Bruta Total]])</f>
        <v>#N/A</v>
      </c>
      <c r="U6" s="310"/>
      <c r="V6" s="395" t="e">
        <f>SUBTOTAL(9,Tabla110[[#All],[Comision]])</f>
        <v>#N/A</v>
      </c>
      <c r="W6" s="395">
        <v>4</v>
      </c>
      <c r="X6" s="395">
        <v>7</v>
      </c>
      <c r="Y6" s="395">
        <v>10</v>
      </c>
      <c r="Z6" s="395">
        <v>13</v>
      </c>
      <c r="AA6" s="530"/>
      <c r="AB6" s="530"/>
      <c r="AC6" s="546">
        <f>+L6*0.02</f>
        <v>85291.374751999974</v>
      </c>
      <c r="AD6" s="421">
        <f>90000/L6</f>
        <v>2.1104126944064671E-2</v>
      </c>
      <c r="AE6" s="546">
        <f>SUBTOTAL(9,AE7:AE160)</f>
        <v>92991.133692999996</v>
      </c>
      <c r="AF6" s="421">
        <f>+AE6/L6</f>
        <v>2.180551877921735E-2</v>
      </c>
    </row>
    <row r="7" spans="1:32" s="263" customFormat="1" ht="48.2" customHeight="1" x14ac:dyDescent="0.25">
      <c r="A7" s="370" t="s">
        <v>266</v>
      </c>
      <c r="B7" s="371" t="s">
        <v>204</v>
      </c>
      <c r="C7" s="257" t="s">
        <v>3</v>
      </c>
      <c r="D7" s="257" t="s">
        <v>487</v>
      </c>
      <c r="E7" s="257" t="s">
        <v>9</v>
      </c>
      <c r="F7" s="372" t="s">
        <v>1</v>
      </c>
      <c r="G7" s="373" t="s">
        <v>4</v>
      </c>
      <c r="H7" s="372" t="s">
        <v>5</v>
      </c>
      <c r="I7" s="258" t="s">
        <v>119</v>
      </c>
      <c r="J7" s="259" t="s">
        <v>15</v>
      </c>
      <c r="K7" s="258" t="s">
        <v>7</v>
      </c>
      <c r="L7" s="259" t="s">
        <v>564</v>
      </c>
      <c r="M7" s="260" t="s">
        <v>521</v>
      </c>
      <c r="N7" s="260" t="s">
        <v>427</v>
      </c>
      <c r="O7" s="259" t="s">
        <v>428</v>
      </c>
      <c r="P7" s="261" t="s">
        <v>354</v>
      </c>
      <c r="Q7" s="259" t="s">
        <v>353</v>
      </c>
      <c r="R7" s="262" t="s">
        <v>422</v>
      </c>
      <c r="S7" s="390" t="s">
        <v>429</v>
      </c>
      <c r="T7" s="259" t="s">
        <v>471</v>
      </c>
      <c r="U7" s="374" t="s">
        <v>423</v>
      </c>
      <c r="V7" s="258" t="s">
        <v>563</v>
      </c>
      <c r="W7" s="258" t="s">
        <v>3855</v>
      </c>
      <c r="X7" s="258" t="s">
        <v>3856</v>
      </c>
      <c r="Y7" s="258" t="s">
        <v>3857</v>
      </c>
      <c r="Z7" s="258" t="s">
        <v>3858</v>
      </c>
      <c r="AA7" s="263" t="s">
        <v>4105</v>
      </c>
      <c r="AB7" s="263" t="s">
        <v>4113</v>
      </c>
      <c r="AC7" s="263" t="s">
        <v>4106</v>
      </c>
      <c r="AD7" s="263" t="s">
        <v>4114</v>
      </c>
      <c r="AE7" s="263" t="s">
        <v>4115</v>
      </c>
    </row>
    <row r="8" spans="1:32" x14ac:dyDescent="0.2">
      <c r="A8" s="264">
        <v>46006</v>
      </c>
      <c r="B8" s="274" t="str">
        <f>TEXT(A8,"mmmm")</f>
        <v>December</v>
      </c>
      <c r="C8" s="265" t="s">
        <v>339</v>
      </c>
      <c r="D8" s="266" t="str">
        <f>VLOOKUP(Tabla110[[#This Row],[Asesor]],Tabla2[[Asesores]:[TIPO]],2,0)</f>
        <v>INTERNO</v>
      </c>
      <c r="E8" s="268" t="s">
        <v>899</v>
      </c>
      <c r="F8" s="267" t="s">
        <v>3785</v>
      </c>
      <c r="G8" s="50" t="s">
        <v>255</v>
      </c>
      <c r="H8" s="269">
        <v>150</v>
      </c>
      <c r="I8" s="275">
        <v>775.86</v>
      </c>
      <c r="J8" s="260">
        <f>+Tabla110[[#This Row],[Precio Bruto]]*1.16</f>
        <v>899.99759999999992</v>
      </c>
      <c r="L8" s="270">
        <f>++(Tabla110[[#This Row],[Precio Unitario Neto]]*Tabla110[[#This Row],[Cantidad]])-(Tabla110[[#This Row],[Cantidad]]*Tabla110[[#This Row],[Apoyo]])</f>
        <v>134999.63999999998</v>
      </c>
      <c r="M8" s="270" t="e">
        <f>((INDEX(Tabla6[#All],MATCH(Tabla110[[#This Row],[Producto]],Tabla6[[#All],[PRODUCTO]],0),MATCH(Tabla110[[#This Row],[Mes]],Tabla6[#Headers],0)))*(1+(IF(Tabla110[[#This Row],[FLETE]]="no",Catalogos!$M$2,Catalogos!$L$2))))</f>
        <v>#N/A</v>
      </c>
      <c r="N8" s="270" t="e">
        <f>+IF((Tabla110[[#This Row],[Precio Unitario Neto]]-Tabla110[[#This Row],[Apoyo]]-Tabla110[[#This Row],[COSTO + INDI]])&lt;=0,0,(Tabla110[[#This Row],[Precio Unitario Neto]]-Tabla110[[#This Row],[Apoyo]]-Tabla110[[#This Row],[COSTO + INDI]]))</f>
        <v>#N/A</v>
      </c>
      <c r="O8" s="258" t="e">
        <f>++Tabla110[[#This Row],[Utilidad Neta x Eq.]]*Tabla110[[#This Row],[Cantidad]]</f>
        <v>#N/A</v>
      </c>
      <c r="P8" s="271" t="e">
        <f>++Tabla110[[#This Row],[Utilidad Neta Total]]/Tabla110[[#This Row],[Venta Total]]</f>
        <v>#N/A</v>
      </c>
      <c r="Q8" s="258" t="s">
        <v>604</v>
      </c>
      <c r="R8" s="272" t="e">
        <f>INDEX(Tabla6[#All],MATCH(Tabla110[[#This Row],[Producto]],Tabla6[[#All],[PRODUCTO]],0),MATCH(Tabla110[[#This Row],[Mes]],Tabla6[#Headers],0))</f>
        <v>#N/A</v>
      </c>
      <c r="S8" s="260" t="e">
        <f>++Tabla110[[#This Row],[Precio Unitario Neto]]-Tabla110[[#This Row],[Apoyo]]-Tabla110[[#This Row],[Costo unitario]]</f>
        <v>#N/A</v>
      </c>
      <c r="T8" s="273" t="e">
        <f>+Tabla110[[#This Row],[Utilidad Bruta]]*Tabla110[[#This Row],[Cantidad]]</f>
        <v>#N/A</v>
      </c>
      <c r="U8" s="404" t="e">
        <f>++Tabla110[[#This Row],[Utilidad Bruta Total]]*$V$1</f>
        <v>#N/A</v>
      </c>
      <c r="V8" s="278" t="e">
        <f>++Tabla110[[#This Row],[Utilidad Bruta Total]]*$V$1</f>
        <v>#N/A</v>
      </c>
      <c r="W8" s="278">
        <f>VLOOKUP(Tabla110[[#This Row],[Producto]],'NUEVAS LISTAS'!$B$3:$P$403,'Ventas '!W$6,FALSE)</f>
        <v>1169</v>
      </c>
      <c r="X8" s="278">
        <f>VLOOKUP(Tabla110[[#This Row],[Producto]],'NUEVAS LISTAS'!$B$3:$P$403,'Ventas '!X$6,FALSE)</f>
        <v>1299</v>
      </c>
      <c r="Y8" s="278">
        <f>VLOOKUP(Tabla110[[#This Row],[Producto]],'NUEVAS LISTAS'!$B$3:$P$403,'Ventas '!Y$6,FALSE)</f>
        <v>1369</v>
      </c>
      <c r="Z8" s="278">
        <f>VLOOKUP(Tabla110[[#This Row],[Producto]],'NUEVAS LISTAS'!$B$3:$P$403,'Ventas '!Z$6,FALSE)</f>
        <v>1489</v>
      </c>
      <c r="AA8" s="543">
        <f>IF(AB8&lt;$AC$2,0,IF(Tabla110[[#This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8" s="539">
        <f>SUMIFS(Tabla110[[#All],[Venta Total]],Tabla110[[#All],[Asesor]],Tabla110[[#This Row],[Asesor]],Tabla110[[#All],[Fecha Cobranza]],"&lt;="&amp;Tabla110[[#This Row],[Fecha Cobranza]],Tabla110[[#All],[Fecha Cobranza]],"&gt;="&amp;Tabla110[[#This Row],[Fecha Cobranza]]-28)</f>
        <v>154168.63999999998</v>
      </c>
      <c r="AC8" s="542">
        <f t="shared" ref="AC8:AC11" si="0">IF(AB8&gt;=$AA$1,HLOOKUP(AA8,$W$1:$Z$5,5,FALSE),IF(AB8&gt;=$AA$2,HLOOKUP(AA8,$W$1:$Z$5,4,FALSE),IF(AB8&gt;=$AA$3,HLOOKUP(AA8,$W$1:$Z$5,3,FALSE),IF(AB8&gt;=$AA$4,HLOOKUP(AA8,$W$1:$Z$5,2,FALSE),0))))</f>
        <v>0</v>
      </c>
      <c r="AD8" s="544">
        <f>+AC8+AA8</f>
        <v>0.02</v>
      </c>
      <c r="AE8" s="545">
        <f>+AD8*Tabla110[[#This Row],[Venta Total]]</f>
        <v>2699.9927999999995</v>
      </c>
    </row>
    <row r="9" spans="1:32" x14ac:dyDescent="0.2">
      <c r="A9" s="264">
        <v>46006</v>
      </c>
      <c r="B9" s="274" t="str">
        <f t="shared" ref="B9:B17" si="1">TEXT(A9,"mmmm")</f>
        <v>December</v>
      </c>
      <c r="C9" s="265" t="s">
        <v>277</v>
      </c>
      <c r="D9" s="266" t="str">
        <f>VLOOKUP(Tabla110[[#This Row],[Asesor]],Tabla2[[Asesores]:[TIPO]],2,0)</f>
        <v>INTERNO</v>
      </c>
      <c r="E9" s="268" t="s">
        <v>627</v>
      </c>
      <c r="F9" s="267" t="s">
        <v>3786</v>
      </c>
      <c r="G9" s="50" t="s">
        <v>34</v>
      </c>
      <c r="H9" s="269">
        <v>3</v>
      </c>
      <c r="I9" s="275">
        <v>4655.1733333333304</v>
      </c>
      <c r="J9" s="260">
        <f>+Tabla110[[#This Row],[Precio Bruto]]*1.16</f>
        <v>5400.0010666666631</v>
      </c>
      <c r="L9" s="270">
        <f>++(Tabla110[[#This Row],[Precio Unitario Neto]]*Tabla110[[#This Row],[Cantidad]])-(Tabla110[[#This Row],[Cantidad]]*Tabla110[[#This Row],[Apoyo]])</f>
        <v>16200.003199999988</v>
      </c>
      <c r="M9" s="270" t="e">
        <f>((INDEX(Tabla6[#All],MATCH(Tabla110[[#This Row],[Producto]],Tabla6[[#All],[PRODUCTO]],0),MATCH(Tabla110[[#This Row],[Mes]],Tabla6[#Headers],0)))*(1+(IF(Tabla110[[#This Row],[FLETE]]="no",Catalogos!$M$2,Catalogos!$L$2))))</f>
        <v>#N/A</v>
      </c>
      <c r="N9" s="270" t="e">
        <f>+IF((Tabla110[[#This Row],[Precio Unitario Neto]]-Tabla110[[#This Row],[Apoyo]]-Tabla110[[#This Row],[COSTO + INDI]])&lt;=0,0,(Tabla110[[#This Row],[Precio Unitario Neto]]-Tabla110[[#This Row],[Apoyo]]-Tabla110[[#This Row],[COSTO + INDI]]))</f>
        <v>#N/A</v>
      </c>
      <c r="O9" s="258" t="e">
        <f>++Tabla110[[#This Row],[Utilidad Neta x Eq.]]*Tabla110[[#This Row],[Cantidad]]</f>
        <v>#N/A</v>
      </c>
      <c r="P9" s="271" t="e">
        <f>++Tabla110[[#This Row],[Utilidad Neta Total]]/Tabla110[[#This Row],[Venta Total]]</f>
        <v>#N/A</v>
      </c>
      <c r="Q9" s="258" t="s">
        <v>604</v>
      </c>
      <c r="R9" s="272" t="e">
        <f>INDEX(Tabla6[#All],MATCH(Tabla110[[#This Row],[Producto]],Tabla6[[#All],[PRODUCTO]],0),MATCH(Tabla110[[#This Row],[Mes]],Tabla6[#Headers],0))</f>
        <v>#N/A</v>
      </c>
      <c r="S9" s="260" t="e">
        <f>++Tabla110[[#This Row],[Precio Unitario Neto]]-Tabla110[[#This Row],[Apoyo]]-Tabla110[[#This Row],[Costo unitario]]</f>
        <v>#N/A</v>
      </c>
      <c r="T9" s="273" t="e">
        <f>+Tabla110[[#This Row],[Utilidad Bruta]]*Tabla110[[#This Row],[Cantidad]]</f>
        <v>#N/A</v>
      </c>
      <c r="U9" s="404" t="e">
        <f>++Tabla110[[#This Row],[Utilidad Bruta Total]]*$V$1</f>
        <v>#N/A</v>
      </c>
      <c r="V9" s="278" t="e">
        <f>++Tabla110[[#This Row],[Utilidad Bruta Total]]*$V$1</f>
        <v>#N/A</v>
      </c>
      <c r="W9" s="278">
        <f>VLOOKUP(Tabla110[[#This Row],[Producto]],'NUEVAS LISTAS'!$B$3:$P$403,'Ventas '!W$6,FALSE)</f>
        <v>5009</v>
      </c>
      <c r="X9" s="278">
        <f>VLOOKUP(Tabla110[[#This Row],[Producto]],'NUEVAS LISTAS'!$B$3:$P$403,'Ventas '!X$6,FALSE)</f>
        <v>5269</v>
      </c>
      <c r="Y9" s="278">
        <f>VLOOKUP(Tabla110[[#This Row],[Producto]],'NUEVAS LISTAS'!$B$3:$P$403,'Ventas '!Y$6,FALSE)</f>
        <v>5549</v>
      </c>
      <c r="Z9" s="278">
        <f>VLOOKUP(Tabla110[[#This Row],[Producto]],'NUEVAS LISTAS'!$B$3:$P$403,'Ventas '!Z$6,FALSE)</f>
        <v>5839</v>
      </c>
      <c r="AA9" s="543">
        <f>IF(AB9&lt;$AC$2,0,IF(Tabla110[[#This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9" s="539">
        <f>SUMIFS(Tabla110[[#All],[Venta Total]],Tabla110[[#All],[Asesor]],Tabla110[[#This Row],[Asesor]],Tabla110[[#All],[Fecha Cobranza]],"&lt;="&amp;Tabla110[[#This Row],[Fecha Cobranza]],Tabla110[[#All],[Fecha Cobranza]],"&gt;="&amp;Tabla110[[#This Row],[Fecha Cobranza]]-28)</f>
        <v>1053628.7308</v>
      </c>
      <c r="AC9" s="542">
        <f t="shared" si="0"/>
        <v>0</v>
      </c>
      <c r="AD9" s="544">
        <f t="shared" ref="AD9:AD11" si="2">+AC9+AA9</f>
        <v>2.2499999999999999E-2</v>
      </c>
      <c r="AE9" s="545">
        <f>+AD9*Tabla110[[#This Row],[Venta Total]]</f>
        <v>364.5000719999997</v>
      </c>
    </row>
    <row r="10" spans="1:32" x14ac:dyDescent="0.2">
      <c r="A10" s="264">
        <v>46006</v>
      </c>
      <c r="B10" s="274" t="str">
        <f t="shared" si="1"/>
        <v>December</v>
      </c>
      <c r="C10" s="265" t="s">
        <v>277</v>
      </c>
      <c r="D10" s="266" t="str">
        <f>VLOOKUP(Tabla110[[#This Row],[Asesor]],Tabla2[[Asesores]:[TIPO]],2,0)</f>
        <v>INTERNO</v>
      </c>
      <c r="E10" s="268" t="s">
        <v>627</v>
      </c>
      <c r="F10" s="267" t="s">
        <v>3786</v>
      </c>
      <c r="G10" s="50" t="s">
        <v>32</v>
      </c>
      <c r="H10" s="269">
        <v>5</v>
      </c>
      <c r="I10" s="275">
        <v>3405.1699999999996</v>
      </c>
      <c r="J10" s="260">
        <f>+Tabla110[[#This Row],[Precio Bruto]]*1.16</f>
        <v>3949.9971999999993</v>
      </c>
      <c r="L10" s="270">
        <f>++(Tabla110[[#This Row],[Precio Unitario Neto]]*Tabla110[[#This Row],[Cantidad]])-(Tabla110[[#This Row],[Cantidad]]*Tabla110[[#This Row],[Apoyo]])</f>
        <v>19749.985999999997</v>
      </c>
      <c r="M10" s="270" t="e">
        <f>((INDEX(Tabla6[#All],MATCH(Tabla110[[#This Row],[Producto]],Tabla6[[#All],[PRODUCTO]],0),MATCH(Tabla110[[#This Row],[Mes]],Tabla6[#Headers],0)))*(1+(IF(Tabla110[[#This Row],[FLETE]]="no",Catalogos!$M$2,Catalogos!$L$2))))</f>
        <v>#N/A</v>
      </c>
      <c r="N10" s="270" t="e">
        <f>+IF((Tabla110[[#This Row],[Precio Unitario Neto]]-Tabla110[[#This Row],[Apoyo]]-Tabla110[[#This Row],[COSTO + INDI]])&lt;=0,0,(Tabla110[[#This Row],[Precio Unitario Neto]]-Tabla110[[#This Row],[Apoyo]]-Tabla110[[#This Row],[COSTO + INDI]]))</f>
        <v>#N/A</v>
      </c>
      <c r="O10" s="258" t="e">
        <f>++Tabla110[[#This Row],[Utilidad Neta x Eq.]]*Tabla110[[#This Row],[Cantidad]]</f>
        <v>#N/A</v>
      </c>
      <c r="P10" s="271" t="e">
        <f>++Tabla110[[#This Row],[Utilidad Neta Total]]/Tabla110[[#This Row],[Venta Total]]</f>
        <v>#N/A</v>
      </c>
      <c r="Q10" s="258" t="s">
        <v>604</v>
      </c>
      <c r="R10" s="272" t="e">
        <f>INDEX(Tabla6[#All],MATCH(Tabla110[[#This Row],[Producto]],Tabla6[[#All],[PRODUCTO]],0),MATCH(Tabla110[[#This Row],[Mes]],Tabla6[#Headers],0))</f>
        <v>#N/A</v>
      </c>
      <c r="S10" s="260" t="e">
        <f>++Tabla110[[#This Row],[Precio Unitario Neto]]-Tabla110[[#This Row],[Apoyo]]-Tabla110[[#This Row],[Costo unitario]]</f>
        <v>#N/A</v>
      </c>
      <c r="T10" s="273" t="e">
        <f>+Tabla110[[#This Row],[Utilidad Bruta]]*Tabla110[[#This Row],[Cantidad]]</f>
        <v>#N/A</v>
      </c>
      <c r="U10" s="404" t="e">
        <f>++Tabla110[[#This Row],[Utilidad Bruta Total]]*$V$1</f>
        <v>#N/A</v>
      </c>
      <c r="V10" s="278" t="e">
        <f>++Tabla110[[#This Row],[Utilidad Bruta Total]]*$V$1</f>
        <v>#N/A</v>
      </c>
      <c r="W10" s="278">
        <f>VLOOKUP(Tabla110[[#This Row],[Producto]],'NUEVAS LISTAS'!$B$3:$P$403,'Ventas '!W$6,FALSE)</f>
        <v>3699</v>
      </c>
      <c r="X10" s="278">
        <f>VLOOKUP(Tabla110[[#This Row],[Producto]],'NUEVAS LISTAS'!$B$3:$P$403,'Ventas '!X$6,FALSE)</f>
        <v>3889</v>
      </c>
      <c r="Y10" s="278">
        <f>VLOOKUP(Tabla110[[#This Row],[Producto]],'NUEVAS LISTAS'!$B$3:$P$403,'Ventas '!Y$6,FALSE)</f>
        <v>4089</v>
      </c>
      <c r="Z10" s="278">
        <f>VLOOKUP(Tabla110[[#This Row],[Producto]],'NUEVAS LISTAS'!$B$3:$P$403,'Ventas '!Z$6,FALSE)</f>
        <v>4299</v>
      </c>
      <c r="AA10" s="543">
        <f>IF(AB10&lt;$AC$2,0,IF(Tabla110[[#This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10" s="539">
        <f>SUMIFS(Tabla110[[#All],[Venta Total]],Tabla110[[#All],[Asesor]],Tabla110[[#This Row],[Asesor]],Tabla110[[#All],[Fecha Cobranza]],"&lt;="&amp;Tabla110[[#This Row],[Fecha Cobranza]],Tabla110[[#All],[Fecha Cobranza]],"&gt;="&amp;Tabla110[[#This Row],[Fecha Cobranza]]-28)</f>
        <v>1053628.7308</v>
      </c>
      <c r="AC10" s="542">
        <f t="shared" si="0"/>
        <v>0</v>
      </c>
      <c r="AD10" s="544">
        <f t="shared" si="2"/>
        <v>2.2499999999999999E-2</v>
      </c>
      <c r="AE10" s="545">
        <f>+AD10*Tabla110[[#This Row],[Venta Total]]</f>
        <v>444.37468499999994</v>
      </c>
    </row>
    <row r="11" spans="1:32" x14ac:dyDescent="0.2">
      <c r="A11" s="264">
        <v>46006</v>
      </c>
      <c r="B11" s="274" t="str">
        <f t="shared" si="1"/>
        <v>December</v>
      </c>
      <c r="C11" s="265" t="s">
        <v>277</v>
      </c>
      <c r="D11" s="266" t="str">
        <f>VLOOKUP(Tabla110[[#This Row],[Asesor]],Tabla2[[Asesores]:[TIPO]],2,0)</f>
        <v>INTERNO</v>
      </c>
      <c r="E11" s="268" t="s">
        <v>627</v>
      </c>
      <c r="F11" s="267" t="s">
        <v>3786</v>
      </c>
      <c r="G11" s="50" t="s">
        <v>30</v>
      </c>
      <c r="H11" s="269">
        <v>3</v>
      </c>
      <c r="I11" s="275">
        <v>2586.2000000000003</v>
      </c>
      <c r="J11" s="260">
        <f>+Tabla110[[#This Row],[Precio Bruto]]*1.16</f>
        <v>2999.9920000000002</v>
      </c>
      <c r="L11" s="270">
        <f>++(Tabla110[[#This Row],[Precio Unitario Neto]]*Tabla110[[#This Row],[Cantidad]])-(Tabla110[[#This Row],[Cantidad]]*Tabla110[[#This Row],[Apoyo]])</f>
        <v>8999.9760000000006</v>
      </c>
      <c r="M11" s="270" t="e">
        <f>((INDEX(Tabla6[#All],MATCH(Tabla110[[#This Row],[Producto]],Tabla6[[#All],[PRODUCTO]],0),MATCH(Tabla110[[#This Row],[Mes]],Tabla6[#Headers],0)))*(1+(IF(Tabla110[[#This Row],[FLETE]]="no",Catalogos!$M$2,Catalogos!$L$2))))</f>
        <v>#N/A</v>
      </c>
      <c r="N11" s="270" t="e">
        <f>+IF((Tabla110[[#This Row],[Precio Unitario Neto]]-Tabla110[[#This Row],[Apoyo]]-Tabla110[[#This Row],[COSTO + INDI]])&lt;=0,0,(Tabla110[[#This Row],[Precio Unitario Neto]]-Tabla110[[#This Row],[Apoyo]]-Tabla110[[#This Row],[COSTO + INDI]]))</f>
        <v>#N/A</v>
      </c>
      <c r="O11" s="258" t="e">
        <f>++Tabla110[[#This Row],[Utilidad Neta x Eq.]]*Tabla110[[#This Row],[Cantidad]]</f>
        <v>#N/A</v>
      </c>
      <c r="P11" s="271" t="e">
        <f>++Tabla110[[#This Row],[Utilidad Neta Total]]/Tabla110[[#This Row],[Venta Total]]</f>
        <v>#N/A</v>
      </c>
      <c r="Q11" s="258" t="s">
        <v>604</v>
      </c>
      <c r="R11" s="272" t="e">
        <f>INDEX(Tabla6[#All],MATCH(Tabla110[[#This Row],[Producto]],Tabla6[[#All],[PRODUCTO]],0),MATCH(Tabla110[[#This Row],[Mes]],Tabla6[#Headers],0))</f>
        <v>#N/A</v>
      </c>
      <c r="S11" s="260" t="e">
        <f>++Tabla110[[#This Row],[Precio Unitario Neto]]-Tabla110[[#This Row],[Apoyo]]-Tabla110[[#This Row],[Costo unitario]]</f>
        <v>#N/A</v>
      </c>
      <c r="T11" s="273" t="e">
        <f>+Tabla110[[#This Row],[Utilidad Bruta]]*Tabla110[[#This Row],[Cantidad]]</f>
        <v>#N/A</v>
      </c>
      <c r="U11" s="404" t="e">
        <f>++Tabla110[[#This Row],[Utilidad Bruta Total]]*$V$1</f>
        <v>#N/A</v>
      </c>
      <c r="V11" s="278" t="e">
        <f>++Tabla110[[#This Row],[Utilidad Bruta Total]]*$V$1</f>
        <v>#N/A</v>
      </c>
      <c r="W11" s="278">
        <f>VLOOKUP(Tabla110[[#This Row],[Producto]],'NUEVAS LISTAS'!$B$3:$P$403,'Ventas '!W$6,FALSE)</f>
        <v>2859</v>
      </c>
      <c r="X11" s="278">
        <f>VLOOKUP(Tabla110[[#This Row],[Producto]],'NUEVAS LISTAS'!$B$3:$P$403,'Ventas '!X$6,FALSE)</f>
        <v>3009</v>
      </c>
      <c r="Y11" s="278">
        <f>VLOOKUP(Tabla110[[#This Row],[Producto]],'NUEVAS LISTAS'!$B$3:$P$403,'Ventas '!Y$6,FALSE)</f>
        <v>3169</v>
      </c>
      <c r="Z11" s="278">
        <f>VLOOKUP(Tabla110[[#This Row],[Producto]],'NUEVAS LISTAS'!$B$3:$P$403,'Ventas '!Z$6,FALSE)</f>
        <v>3339</v>
      </c>
      <c r="AA11" s="543">
        <f>IF(AB11&lt;$AC$2,0,IF(Tabla110[[#This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 s="539">
        <f>SUMIFS(Tabla110[[#All],[Venta Total]],Tabla110[[#All],[Asesor]],Tabla110[[#This Row],[Asesor]],Tabla110[[#All],[Fecha Cobranza]],"&lt;="&amp;Tabla110[[#This Row],[Fecha Cobranza]],Tabla110[[#All],[Fecha Cobranza]],"&gt;="&amp;Tabla110[[#This Row],[Fecha Cobranza]]-28)</f>
        <v>1053628.7308</v>
      </c>
      <c r="AC11" s="542">
        <f t="shared" si="0"/>
        <v>0</v>
      </c>
      <c r="AD11" s="544">
        <f t="shared" si="2"/>
        <v>0.02</v>
      </c>
      <c r="AE11" s="545">
        <f>+AD11*Tabla110[[#This Row],[Venta Total]]</f>
        <v>179.99952000000002</v>
      </c>
    </row>
    <row r="12" spans="1:32" x14ac:dyDescent="0.2">
      <c r="A12" s="264">
        <v>46006</v>
      </c>
      <c r="B12" s="274" t="str">
        <f t="shared" si="1"/>
        <v>December</v>
      </c>
      <c r="C12" s="265" t="s">
        <v>277</v>
      </c>
      <c r="D12" s="266" t="str">
        <f>VLOOKUP(Tabla110[[#This Row],[Asesor]],Tabla2[[Asesores]:[TIPO]],2,0)</f>
        <v>INTERNO</v>
      </c>
      <c r="E12" s="268" t="s">
        <v>627</v>
      </c>
      <c r="F12" s="267" t="s">
        <v>3786</v>
      </c>
      <c r="G12" s="50" t="s">
        <v>211</v>
      </c>
      <c r="H12" s="269">
        <v>4</v>
      </c>
      <c r="I12" s="275">
        <v>2241.38</v>
      </c>
      <c r="J12" s="260">
        <f>+Tabla110[[#This Row],[Precio Bruto]]*1.16</f>
        <v>2600.0007999999998</v>
      </c>
      <c r="L12" s="270">
        <f>++(Tabla110[[#This Row],[Precio Unitario Neto]]*Tabla110[[#This Row],[Cantidad]])-(Tabla110[[#This Row],[Cantidad]]*Tabla110[[#This Row],[Apoyo]])</f>
        <v>10400.003199999999</v>
      </c>
      <c r="M12" s="270" t="e">
        <f>((INDEX(Tabla6[#All],MATCH(Tabla110[[#This Row],[Producto]],Tabla6[[#All],[PRODUCTO]],0),MATCH(Tabla110[[#This Row],[Mes]],Tabla6[#Headers],0)))*(1+(IF(Tabla110[[#This Row],[FLETE]]="no",Catalogos!$M$2,Catalogos!$L$2))))</f>
        <v>#N/A</v>
      </c>
      <c r="N12" s="270" t="e">
        <f>+IF((Tabla110[[#This Row],[Precio Unitario Neto]]-Tabla110[[#This Row],[Apoyo]]-Tabla110[[#This Row],[COSTO + INDI]])&lt;=0,0,(Tabla110[[#This Row],[Precio Unitario Neto]]-Tabla110[[#This Row],[Apoyo]]-Tabla110[[#This Row],[COSTO + INDI]]))</f>
        <v>#N/A</v>
      </c>
      <c r="O12" s="258" t="e">
        <f>++Tabla110[[#This Row],[Utilidad Neta x Eq.]]*Tabla110[[#This Row],[Cantidad]]</f>
        <v>#N/A</v>
      </c>
      <c r="P12" s="271" t="e">
        <f>++Tabla110[[#This Row],[Utilidad Neta Total]]/Tabla110[[#This Row],[Venta Total]]</f>
        <v>#N/A</v>
      </c>
      <c r="Q12" s="258" t="s">
        <v>604</v>
      </c>
      <c r="R12" s="272" t="e">
        <f>INDEX(Tabla6[#All],MATCH(Tabla110[[#This Row],[Producto]],Tabla6[[#All],[PRODUCTO]],0),MATCH(Tabla110[[#This Row],[Mes]],Tabla6[#Headers],0))</f>
        <v>#N/A</v>
      </c>
      <c r="S12" s="260" t="e">
        <f>++Tabla110[[#This Row],[Precio Unitario Neto]]-Tabla110[[#This Row],[Apoyo]]-Tabla110[[#This Row],[Costo unitario]]</f>
        <v>#N/A</v>
      </c>
      <c r="T12" s="273" t="e">
        <f>+Tabla110[[#This Row],[Utilidad Bruta]]*Tabla110[[#This Row],[Cantidad]]</f>
        <v>#N/A</v>
      </c>
      <c r="U12" s="404" t="e">
        <f>++Tabla110[[#This Row],[Utilidad Bruta Total]]*$V$1</f>
        <v>#N/A</v>
      </c>
      <c r="V12" s="278" t="e">
        <f>++Tabla110[[#This Row],[Utilidad Bruta Total]]*$V$1</f>
        <v>#N/A</v>
      </c>
      <c r="W12" s="278">
        <f>VLOOKUP(Tabla110[[#This Row],[Producto]],'NUEVAS LISTAS'!$B$3:$P$403,'Ventas '!W$6,FALSE)</f>
        <v>2519</v>
      </c>
      <c r="X12" s="278">
        <f>VLOOKUP(Tabla110[[#This Row],[Producto]],'NUEVAS LISTAS'!$B$3:$P$403,'Ventas '!X$6,FALSE)</f>
        <v>2649</v>
      </c>
      <c r="Y12" s="278">
        <f>VLOOKUP(Tabla110[[#This Row],[Producto]],'NUEVAS LISTAS'!$B$3:$P$403,'Ventas '!Y$6,FALSE)</f>
        <v>2789</v>
      </c>
      <c r="Z12" s="278">
        <f>VLOOKUP(Tabla110[[#This Row],[Producto]],'NUEVAS LISTAS'!$B$3:$P$403,'Ventas '!Z$6,FALSE)</f>
        <v>2939</v>
      </c>
      <c r="AA12" s="543">
        <f>IF(AB12&lt;$AC$2,0,IF(Tabla110[[#This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 s="539">
        <f>SUMIFS(Tabla110[[#All],[Venta Total]],Tabla110[[#All],[Asesor]],Tabla110[[#This Row],[Asesor]],Tabla110[[#All],[Fecha Cobranza]],"&lt;="&amp;Tabla110[[#This Row],[Fecha Cobranza]],Tabla110[[#All],[Fecha Cobranza]],"&gt;="&amp;Tabla110[[#This Row],[Fecha Cobranza]]-28)</f>
        <v>1053628.7308</v>
      </c>
      <c r="AC12" s="542">
        <f t="shared" ref="AC12:AC75" si="3">IF(AB12&gt;=$AA$1,HLOOKUP(AA12,$W$1:$Z$5,5,FALSE),IF(AB12&gt;=$AA$2,HLOOKUP(AA12,$W$1:$Z$5,4,FALSE),IF(AB12&gt;=$AA$3,HLOOKUP(AA12,$W$1:$Z$5,3,FALSE),IF(AB12&gt;=$AA$4,HLOOKUP(AA12,$W$1:$Z$5,2,FALSE),0))))</f>
        <v>0</v>
      </c>
      <c r="AD12" s="544">
        <f t="shared" ref="AD12:AD75" si="4">+AC12+AA12</f>
        <v>0.02</v>
      </c>
      <c r="AE12" s="545">
        <f>+AD12*Tabla110[[#This Row],[Venta Total]]</f>
        <v>208.00006399999998</v>
      </c>
    </row>
    <row r="13" spans="1:32" x14ac:dyDescent="0.2">
      <c r="A13" s="264">
        <v>46006</v>
      </c>
      <c r="B13" s="274" t="str">
        <f t="shared" si="1"/>
        <v>December</v>
      </c>
      <c r="C13" s="265" t="s">
        <v>277</v>
      </c>
      <c r="D13" s="266" t="str">
        <f>VLOOKUP(Tabla110[[#This Row],[Asesor]],Tabla2[[Asesores]:[TIPO]],2,0)</f>
        <v>INTERNO</v>
      </c>
      <c r="E13" s="268" t="s">
        <v>627</v>
      </c>
      <c r="F13" s="267" t="s">
        <v>3786</v>
      </c>
      <c r="G13" s="50" t="s">
        <v>17</v>
      </c>
      <c r="H13" s="269">
        <v>4</v>
      </c>
      <c r="I13" s="275">
        <v>3793.1</v>
      </c>
      <c r="J13" s="260">
        <f>+Tabla110[[#This Row],[Precio Bruto]]*1.16</f>
        <v>4399.9959999999992</v>
      </c>
      <c r="L13" s="270">
        <f>++(Tabla110[[#This Row],[Precio Unitario Neto]]*Tabla110[[#This Row],[Cantidad]])-(Tabla110[[#This Row],[Cantidad]]*Tabla110[[#This Row],[Apoyo]])</f>
        <v>17599.983999999997</v>
      </c>
      <c r="M13" s="270" t="e">
        <f>((INDEX(Tabla6[#All],MATCH(Tabla110[[#This Row],[Producto]],Tabla6[[#All],[PRODUCTO]],0),MATCH(Tabla110[[#This Row],[Mes]],Tabla6[#Headers],0)))*(1+(IF(Tabla110[[#This Row],[FLETE]]="no",Catalogos!$M$2,Catalogos!$L$2))))</f>
        <v>#N/A</v>
      </c>
      <c r="N13" s="270" t="e">
        <f>+IF((Tabla110[[#This Row],[Precio Unitario Neto]]-Tabla110[[#This Row],[Apoyo]]-Tabla110[[#This Row],[COSTO + INDI]])&lt;=0,0,(Tabla110[[#This Row],[Precio Unitario Neto]]-Tabla110[[#This Row],[Apoyo]]-Tabla110[[#This Row],[COSTO + INDI]]))</f>
        <v>#N/A</v>
      </c>
      <c r="O13" s="258" t="e">
        <f>++Tabla110[[#This Row],[Utilidad Neta x Eq.]]*Tabla110[[#This Row],[Cantidad]]</f>
        <v>#N/A</v>
      </c>
      <c r="P13" s="271" t="e">
        <f>++Tabla110[[#This Row],[Utilidad Neta Total]]/Tabla110[[#This Row],[Venta Total]]</f>
        <v>#N/A</v>
      </c>
      <c r="Q13" s="258" t="s">
        <v>604</v>
      </c>
      <c r="R13" s="272" t="e">
        <f>INDEX(Tabla6[#All],MATCH(Tabla110[[#This Row],[Producto]],Tabla6[[#All],[PRODUCTO]],0),MATCH(Tabla110[[#This Row],[Mes]],Tabla6[#Headers],0))</f>
        <v>#N/A</v>
      </c>
      <c r="S13" s="260" t="e">
        <f>++Tabla110[[#This Row],[Precio Unitario Neto]]-Tabla110[[#This Row],[Apoyo]]-Tabla110[[#This Row],[Costo unitario]]</f>
        <v>#N/A</v>
      </c>
      <c r="T13" s="273" t="e">
        <f>+Tabla110[[#This Row],[Utilidad Bruta]]*Tabla110[[#This Row],[Cantidad]]</f>
        <v>#N/A</v>
      </c>
      <c r="U13" s="404" t="e">
        <f>++Tabla110[[#This Row],[Utilidad Bruta Total]]*$V$1</f>
        <v>#N/A</v>
      </c>
      <c r="V13" s="278" t="e">
        <f>++Tabla110[[#This Row],[Utilidad Bruta Total]]*$V$1</f>
        <v>#N/A</v>
      </c>
      <c r="W13" s="278">
        <f>VLOOKUP(Tabla110[[#This Row],[Producto]],'NUEVAS LISTAS'!$B$3:$P$403,'Ventas '!W$6,FALSE)</f>
        <v>3449</v>
      </c>
      <c r="X13" s="278">
        <f>VLOOKUP(Tabla110[[#This Row],[Producto]],'NUEVAS LISTAS'!$B$3:$P$403,'Ventas '!X$6,FALSE)</f>
        <v>3649</v>
      </c>
      <c r="Y13" s="278">
        <f>VLOOKUP(Tabla110[[#This Row],[Producto]],'NUEVAS LISTAS'!$B$3:$P$403,'Ventas '!Y$6,FALSE)</f>
        <v>3849</v>
      </c>
      <c r="Z13" s="278">
        <f>VLOOKUP(Tabla110[[#This Row],[Producto]],'NUEVAS LISTAS'!$B$3:$P$403,'Ventas '!Z$6,FALSE)</f>
        <v>4049</v>
      </c>
      <c r="AA13" s="543">
        <f>IF(AB13&lt;$AC$2,0,IF(Tabla110[[#This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3" s="539">
        <f>SUMIFS(Tabla110[[#All],[Venta Total]],Tabla110[[#All],[Asesor]],Tabla110[[#This Row],[Asesor]],Tabla110[[#All],[Fecha Cobranza]],"&lt;="&amp;Tabla110[[#This Row],[Fecha Cobranza]],Tabla110[[#All],[Fecha Cobranza]],"&gt;="&amp;Tabla110[[#This Row],[Fecha Cobranza]]-28)</f>
        <v>1053628.7308</v>
      </c>
      <c r="AC13" s="542">
        <f t="shared" si="3"/>
        <v>0</v>
      </c>
      <c r="AD13" s="544">
        <f t="shared" si="4"/>
        <v>2.75E-2</v>
      </c>
      <c r="AE13" s="545">
        <f>+AD13*Tabla110[[#This Row],[Venta Total]]</f>
        <v>483.99955999999992</v>
      </c>
    </row>
    <row r="14" spans="1:32" x14ac:dyDescent="0.2">
      <c r="A14" s="264">
        <v>46006</v>
      </c>
      <c r="B14" s="274" t="str">
        <f t="shared" si="1"/>
        <v>December</v>
      </c>
      <c r="C14" s="265" t="s">
        <v>277</v>
      </c>
      <c r="D14" s="266" t="str">
        <f>VLOOKUP(Tabla110[[#This Row],[Asesor]],Tabla2[[Asesores]:[TIPO]],2,0)</f>
        <v>INTERNO</v>
      </c>
      <c r="E14" s="268" t="s">
        <v>627</v>
      </c>
      <c r="F14" s="267" t="s">
        <v>3786</v>
      </c>
      <c r="G14" s="50" t="s">
        <v>20</v>
      </c>
      <c r="H14" s="269">
        <v>1</v>
      </c>
      <c r="I14" s="275">
        <v>6637.93</v>
      </c>
      <c r="J14" s="260">
        <f>+Tabla110[[#This Row],[Precio Bruto]]*1.16</f>
        <v>7699.9987999999994</v>
      </c>
      <c r="L14" s="270">
        <f>++(Tabla110[[#This Row],[Precio Unitario Neto]]*Tabla110[[#This Row],[Cantidad]])-(Tabla110[[#This Row],[Cantidad]]*Tabla110[[#This Row],[Apoyo]])</f>
        <v>7699.9987999999994</v>
      </c>
      <c r="M14" s="270" t="e">
        <f>((INDEX(Tabla6[#All],MATCH(Tabla110[[#This Row],[Producto]],Tabla6[[#All],[PRODUCTO]],0),MATCH(Tabla110[[#This Row],[Mes]],Tabla6[#Headers],0)))*(1+(IF(Tabla110[[#This Row],[FLETE]]="no",Catalogos!$M$2,Catalogos!$L$2))))</f>
        <v>#N/A</v>
      </c>
      <c r="N14" s="270" t="e">
        <f>+IF((Tabla110[[#This Row],[Precio Unitario Neto]]-Tabla110[[#This Row],[Apoyo]]-Tabla110[[#This Row],[COSTO + INDI]])&lt;=0,0,(Tabla110[[#This Row],[Precio Unitario Neto]]-Tabla110[[#This Row],[Apoyo]]-Tabla110[[#This Row],[COSTO + INDI]]))</f>
        <v>#N/A</v>
      </c>
      <c r="O14" s="258" t="e">
        <f>++Tabla110[[#This Row],[Utilidad Neta x Eq.]]*Tabla110[[#This Row],[Cantidad]]</f>
        <v>#N/A</v>
      </c>
      <c r="P14" s="271" t="e">
        <f>++Tabla110[[#This Row],[Utilidad Neta Total]]/Tabla110[[#This Row],[Venta Total]]</f>
        <v>#N/A</v>
      </c>
      <c r="Q14" s="258" t="s">
        <v>604</v>
      </c>
      <c r="R14" s="272" t="e">
        <f>INDEX(Tabla6[#All],MATCH(Tabla110[[#This Row],[Producto]],Tabla6[[#All],[PRODUCTO]],0),MATCH(Tabla110[[#This Row],[Mes]],Tabla6[#Headers],0))</f>
        <v>#N/A</v>
      </c>
      <c r="S14" s="260" t="e">
        <f>++Tabla110[[#This Row],[Precio Unitario Neto]]-Tabla110[[#This Row],[Apoyo]]-Tabla110[[#This Row],[Costo unitario]]</f>
        <v>#N/A</v>
      </c>
      <c r="T14" s="273" t="e">
        <f>+Tabla110[[#This Row],[Utilidad Bruta]]*Tabla110[[#This Row],[Cantidad]]</f>
        <v>#N/A</v>
      </c>
      <c r="U14" s="404" t="e">
        <f>++Tabla110[[#This Row],[Utilidad Bruta Total]]*$V$1</f>
        <v>#N/A</v>
      </c>
      <c r="V14" s="278" t="e">
        <f>++Tabla110[[#This Row],[Utilidad Bruta Total]]*$V$1</f>
        <v>#N/A</v>
      </c>
      <c r="W14" s="278">
        <f>VLOOKUP(Tabla110[[#This Row],[Producto]],'NUEVAS LISTAS'!$B$3:$P$403,'Ventas '!W$6,FALSE)</f>
        <v>6199</v>
      </c>
      <c r="X14" s="278">
        <f>VLOOKUP(Tabla110[[#This Row],[Producto]],'NUEVAS LISTAS'!$B$3:$P$403,'Ventas '!X$6,FALSE)</f>
        <v>6549</v>
      </c>
      <c r="Y14" s="278">
        <f>VLOOKUP(Tabla110[[#This Row],[Producto]],'NUEVAS LISTAS'!$B$3:$P$403,'Ventas '!Y$6,FALSE)</f>
        <v>6899</v>
      </c>
      <c r="Z14" s="278">
        <f>VLOOKUP(Tabla110[[#This Row],[Producto]],'NUEVAS LISTAS'!$B$3:$P$403,'Ventas '!Z$6,FALSE)</f>
        <v>7249</v>
      </c>
      <c r="AA14" s="543">
        <f>IF(AB14&lt;$AC$2,0,IF(Tabla110[[#This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4" s="539">
        <f>SUMIFS(Tabla110[[#All],[Venta Total]],Tabla110[[#All],[Asesor]],Tabla110[[#This Row],[Asesor]],Tabla110[[#All],[Fecha Cobranza]],"&lt;="&amp;Tabla110[[#This Row],[Fecha Cobranza]],Tabla110[[#All],[Fecha Cobranza]],"&gt;="&amp;Tabla110[[#This Row],[Fecha Cobranza]]-28)</f>
        <v>1053628.7308</v>
      </c>
      <c r="AC14" s="542">
        <f t="shared" si="3"/>
        <v>0</v>
      </c>
      <c r="AD14" s="544">
        <f t="shared" si="4"/>
        <v>2.75E-2</v>
      </c>
      <c r="AE14" s="545">
        <f>+AD14*Tabla110[[#This Row],[Venta Total]]</f>
        <v>211.749967</v>
      </c>
    </row>
    <row r="15" spans="1:32" x14ac:dyDescent="0.2">
      <c r="A15" s="264">
        <v>46006</v>
      </c>
      <c r="B15" s="274" t="str">
        <f t="shared" si="1"/>
        <v>December</v>
      </c>
      <c r="C15" s="265" t="s">
        <v>277</v>
      </c>
      <c r="D15" s="266" t="str">
        <f>VLOOKUP(Tabla110[[#This Row],[Asesor]],Tabla2[[Asesores]:[TIPO]],2,0)</f>
        <v>INTERNO</v>
      </c>
      <c r="E15" s="268" t="s">
        <v>627</v>
      </c>
      <c r="F15" s="267" t="s">
        <v>3786</v>
      </c>
      <c r="G15" s="50" t="s">
        <v>21</v>
      </c>
      <c r="H15" s="269">
        <v>1</v>
      </c>
      <c r="I15" s="275">
        <v>7931.03</v>
      </c>
      <c r="J15" s="260">
        <f>+Tabla110[[#This Row],[Precio Bruto]]*1.16</f>
        <v>9199.9947999999986</v>
      </c>
      <c r="L15" s="270">
        <f>++(Tabla110[[#This Row],[Precio Unitario Neto]]*Tabla110[[#This Row],[Cantidad]])-(Tabla110[[#This Row],[Cantidad]]*Tabla110[[#This Row],[Apoyo]])</f>
        <v>9199.9947999999986</v>
      </c>
      <c r="M15" s="270" t="e">
        <f>((INDEX(Tabla6[#All],MATCH(Tabla110[[#This Row],[Producto]],Tabla6[[#All],[PRODUCTO]],0),MATCH(Tabla110[[#This Row],[Mes]],Tabla6[#Headers],0)))*(1+(IF(Tabla110[[#This Row],[FLETE]]="no",Catalogos!$M$2,Catalogos!$L$2))))</f>
        <v>#N/A</v>
      </c>
      <c r="N15" s="270" t="e">
        <f>+IF((Tabla110[[#This Row],[Precio Unitario Neto]]-Tabla110[[#This Row],[Apoyo]]-Tabla110[[#This Row],[COSTO + INDI]])&lt;=0,0,(Tabla110[[#This Row],[Precio Unitario Neto]]-Tabla110[[#This Row],[Apoyo]]-Tabla110[[#This Row],[COSTO + INDI]]))</f>
        <v>#N/A</v>
      </c>
      <c r="O15" s="258" t="e">
        <f>++Tabla110[[#This Row],[Utilidad Neta x Eq.]]*Tabla110[[#This Row],[Cantidad]]</f>
        <v>#N/A</v>
      </c>
      <c r="P15" s="271" t="e">
        <f>++Tabla110[[#This Row],[Utilidad Neta Total]]/Tabla110[[#This Row],[Venta Total]]</f>
        <v>#N/A</v>
      </c>
      <c r="Q15" s="258" t="s">
        <v>604</v>
      </c>
      <c r="R15" s="272" t="e">
        <f>INDEX(Tabla6[#All],MATCH(Tabla110[[#This Row],[Producto]],Tabla6[[#All],[PRODUCTO]],0),MATCH(Tabla110[[#This Row],[Mes]],Tabla6[#Headers],0))</f>
        <v>#N/A</v>
      </c>
      <c r="S15" s="260" t="e">
        <f>++Tabla110[[#This Row],[Precio Unitario Neto]]-Tabla110[[#This Row],[Apoyo]]-Tabla110[[#This Row],[Costo unitario]]</f>
        <v>#N/A</v>
      </c>
      <c r="T15" s="273" t="e">
        <f>+Tabla110[[#This Row],[Utilidad Bruta]]*Tabla110[[#This Row],[Cantidad]]</f>
        <v>#N/A</v>
      </c>
      <c r="U15" s="404" t="e">
        <f>++Tabla110[[#This Row],[Utilidad Bruta Total]]*$V$1</f>
        <v>#N/A</v>
      </c>
      <c r="V15" s="278" t="e">
        <f>++Tabla110[[#This Row],[Utilidad Bruta Total]]*$V$1</f>
        <v>#N/A</v>
      </c>
      <c r="W15" s="278">
        <f>VLOOKUP(Tabla110[[#This Row],[Producto]],'NUEVAS LISTAS'!$B$3:$P$403,'Ventas '!W$6,FALSE)</f>
        <v>7149</v>
      </c>
      <c r="X15" s="278">
        <f>VLOOKUP(Tabla110[[#This Row],[Producto]],'NUEVAS LISTAS'!$B$3:$P$403,'Ventas '!X$6,FALSE)</f>
        <v>7549</v>
      </c>
      <c r="Y15" s="278">
        <f>VLOOKUP(Tabla110[[#This Row],[Producto]],'NUEVAS LISTAS'!$B$3:$P$403,'Ventas '!Y$6,FALSE)</f>
        <v>7949</v>
      </c>
      <c r="Z15" s="278">
        <f>VLOOKUP(Tabla110[[#This Row],[Producto]],'NUEVAS LISTAS'!$B$3:$P$403,'Ventas '!Z$6,FALSE)</f>
        <v>8349</v>
      </c>
      <c r="AA15" s="543">
        <f>IF(AB15&lt;$AC$2,0,IF(Tabla110[[#This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5" s="539">
        <f>SUMIFS(Tabla110[[#All],[Venta Total]],Tabla110[[#All],[Asesor]],Tabla110[[#This Row],[Asesor]],Tabla110[[#All],[Fecha Cobranza]],"&lt;="&amp;Tabla110[[#This Row],[Fecha Cobranza]],Tabla110[[#All],[Fecha Cobranza]],"&gt;="&amp;Tabla110[[#This Row],[Fecha Cobranza]]-28)</f>
        <v>1053628.7308</v>
      </c>
      <c r="AC15" s="542">
        <f t="shared" si="3"/>
        <v>0</v>
      </c>
      <c r="AD15" s="544">
        <f t="shared" si="4"/>
        <v>2.75E-2</v>
      </c>
      <c r="AE15" s="545">
        <f>+AD15*Tabla110[[#This Row],[Venta Total]]</f>
        <v>252.99985699999996</v>
      </c>
    </row>
    <row r="16" spans="1:32" x14ac:dyDescent="0.2">
      <c r="A16" s="264">
        <v>46006</v>
      </c>
      <c r="B16" s="274" t="str">
        <f t="shared" si="1"/>
        <v>December</v>
      </c>
      <c r="C16" s="265" t="s">
        <v>277</v>
      </c>
      <c r="D16" s="266" t="str">
        <f>VLOOKUP(Tabla110[[#This Row],[Asesor]],Tabla2[[Asesores]:[TIPO]],2,0)</f>
        <v>INTERNO</v>
      </c>
      <c r="E16" s="268" t="s">
        <v>627</v>
      </c>
      <c r="F16" s="267" t="s">
        <v>3786</v>
      </c>
      <c r="G16" s="50" t="s">
        <v>370</v>
      </c>
      <c r="H16" s="269">
        <v>2</v>
      </c>
      <c r="I16" s="275">
        <v>2260.34</v>
      </c>
      <c r="J16" s="260">
        <f>+Tabla110[[#This Row],[Precio Bruto]]*1.16</f>
        <v>2621.9944</v>
      </c>
      <c r="L16" s="270">
        <f>++(Tabla110[[#This Row],[Precio Unitario Neto]]*Tabla110[[#This Row],[Cantidad]])-(Tabla110[[#This Row],[Cantidad]]*Tabla110[[#This Row],[Apoyo]])</f>
        <v>5243.9888000000001</v>
      </c>
      <c r="M16" s="270" t="e">
        <f>((INDEX(Tabla6[#All],MATCH(Tabla110[[#This Row],[Producto]],Tabla6[[#All],[PRODUCTO]],0),MATCH(Tabla110[[#This Row],[Mes]],Tabla6[#Headers],0)))*(1+(IF(Tabla110[[#This Row],[FLETE]]="no",Catalogos!$M$2,Catalogos!$L$2))))</f>
        <v>#N/A</v>
      </c>
      <c r="N16" s="270" t="e">
        <f>+IF((Tabla110[[#This Row],[Precio Unitario Neto]]-Tabla110[[#This Row],[Apoyo]]-Tabla110[[#This Row],[COSTO + INDI]])&lt;=0,0,(Tabla110[[#This Row],[Precio Unitario Neto]]-Tabla110[[#This Row],[Apoyo]]-Tabla110[[#This Row],[COSTO + INDI]]))</f>
        <v>#N/A</v>
      </c>
      <c r="O16" s="258" t="e">
        <f>++Tabla110[[#This Row],[Utilidad Neta x Eq.]]*Tabla110[[#This Row],[Cantidad]]</f>
        <v>#N/A</v>
      </c>
      <c r="P16" s="271" t="e">
        <f>++Tabla110[[#This Row],[Utilidad Neta Total]]/Tabla110[[#This Row],[Venta Total]]</f>
        <v>#N/A</v>
      </c>
      <c r="Q16" s="258" t="s">
        <v>604</v>
      </c>
      <c r="R16" s="272" t="e">
        <f>INDEX(Tabla6[#All],MATCH(Tabla110[[#This Row],[Producto]],Tabla6[[#All],[PRODUCTO]],0),MATCH(Tabla110[[#This Row],[Mes]],Tabla6[#Headers],0))</f>
        <v>#N/A</v>
      </c>
      <c r="S16" s="260" t="e">
        <f>++Tabla110[[#This Row],[Precio Unitario Neto]]-Tabla110[[#This Row],[Apoyo]]-Tabla110[[#This Row],[Costo unitario]]</f>
        <v>#N/A</v>
      </c>
      <c r="T16" s="273" t="e">
        <f>+Tabla110[[#This Row],[Utilidad Bruta]]*Tabla110[[#This Row],[Cantidad]]</f>
        <v>#N/A</v>
      </c>
      <c r="U16" s="404" t="e">
        <f>++Tabla110[[#This Row],[Utilidad Bruta Total]]*$V$1</f>
        <v>#N/A</v>
      </c>
      <c r="V16" s="278" t="e">
        <f>++Tabla110[[#This Row],[Utilidad Bruta Total]]*$V$1</f>
        <v>#N/A</v>
      </c>
      <c r="W16" s="278">
        <f>VLOOKUP(Tabla110[[#This Row],[Producto]],'NUEVAS LISTAS'!$B$3:$P$403,'Ventas '!W$6,FALSE)</f>
        <v>2929</v>
      </c>
      <c r="X16" s="278">
        <f>VLOOKUP(Tabla110[[#This Row],[Producto]],'NUEVAS LISTAS'!$B$3:$P$403,'Ventas '!X$6,FALSE)</f>
        <v>3079</v>
      </c>
      <c r="Y16" s="278">
        <f>VLOOKUP(Tabla110[[#This Row],[Producto]],'NUEVAS LISTAS'!$B$3:$P$403,'Ventas '!Y$6,FALSE)</f>
        <v>3239</v>
      </c>
      <c r="Z16" s="278">
        <f>VLOOKUP(Tabla110[[#This Row],[Producto]],'NUEVAS LISTAS'!$B$3:$P$403,'Ventas '!Z$6,FALSE)</f>
        <v>3409</v>
      </c>
      <c r="AA16" s="543">
        <f>IF(AB16&lt;$AC$2,0,IF(Tabla110[[#This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6" s="539">
        <f>SUMIFS(Tabla110[[#All],[Venta Total]],Tabla110[[#All],[Asesor]],Tabla110[[#This Row],[Asesor]],Tabla110[[#All],[Fecha Cobranza]],"&lt;="&amp;Tabla110[[#This Row],[Fecha Cobranza]],Tabla110[[#All],[Fecha Cobranza]],"&gt;="&amp;Tabla110[[#This Row],[Fecha Cobranza]]-28)</f>
        <v>1053628.7308</v>
      </c>
      <c r="AC16" s="542">
        <f t="shared" si="3"/>
        <v>0</v>
      </c>
      <c r="AD16" s="544">
        <f t="shared" si="4"/>
        <v>0.02</v>
      </c>
      <c r="AE16" s="545">
        <f>+AD16*Tabla110[[#This Row],[Venta Total]]</f>
        <v>104.87977600000001</v>
      </c>
    </row>
    <row r="17" spans="1:31" x14ac:dyDescent="0.2">
      <c r="A17" s="264">
        <v>46006</v>
      </c>
      <c r="B17" s="274" t="str">
        <f t="shared" si="1"/>
        <v>December</v>
      </c>
      <c r="C17" s="265" t="s">
        <v>277</v>
      </c>
      <c r="D17" s="266" t="str">
        <f>VLOOKUP(Tabla110[[#This Row],[Asesor]],Tabla2[[Asesores]:[TIPO]],2,0)</f>
        <v>INTERNO</v>
      </c>
      <c r="E17" s="268" t="s">
        <v>627</v>
      </c>
      <c r="F17" s="267" t="s">
        <v>3786</v>
      </c>
      <c r="G17" s="50" t="s">
        <v>394</v>
      </c>
      <c r="H17" s="269">
        <v>40</v>
      </c>
      <c r="I17" s="275">
        <v>64.56</v>
      </c>
      <c r="J17" s="260">
        <f>+Tabla110[[#This Row],[Precio Bruto]]*1.16</f>
        <v>74.889600000000002</v>
      </c>
      <c r="L17" s="270">
        <f>++(Tabla110[[#This Row],[Precio Unitario Neto]]*Tabla110[[#This Row],[Cantidad]])-(Tabla110[[#This Row],[Cantidad]]*Tabla110[[#This Row],[Apoyo]])</f>
        <v>2995.5839999999998</v>
      </c>
      <c r="M17" s="270" t="e">
        <f>((INDEX(Tabla6[#All],MATCH(Tabla110[[#This Row],[Producto]],Tabla6[[#All],[PRODUCTO]],0),MATCH(Tabla110[[#This Row],[Mes]],Tabla6[#Headers],0)))*(1+(IF(Tabla110[[#This Row],[FLETE]]="no",Catalogos!$M$2,Catalogos!$L$2))))</f>
        <v>#N/A</v>
      </c>
      <c r="N17" s="270" t="e">
        <f>+IF((Tabla110[[#This Row],[Precio Unitario Neto]]-Tabla110[[#This Row],[Apoyo]]-Tabla110[[#This Row],[COSTO + INDI]])&lt;=0,0,(Tabla110[[#This Row],[Precio Unitario Neto]]-Tabla110[[#This Row],[Apoyo]]-Tabla110[[#This Row],[COSTO + INDI]]))</f>
        <v>#N/A</v>
      </c>
      <c r="O17" s="258" t="e">
        <f>++Tabla110[[#This Row],[Utilidad Neta x Eq.]]*Tabla110[[#This Row],[Cantidad]]</f>
        <v>#N/A</v>
      </c>
      <c r="P17" s="271" t="e">
        <f>++Tabla110[[#This Row],[Utilidad Neta Total]]/Tabla110[[#This Row],[Venta Total]]</f>
        <v>#N/A</v>
      </c>
      <c r="Q17" s="258" t="s">
        <v>604</v>
      </c>
      <c r="R17" s="272" t="e">
        <f>INDEX(Tabla6[#All],MATCH(Tabla110[[#This Row],[Producto]],Tabla6[[#All],[PRODUCTO]],0),MATCH(Tabla110[[#This Row],[Mes]],Tabla6[#Headers],0))</f>
        <v>#N/A</v>
      </c>
      <c r="S17" s="260" t="e">
        <f>++Tabla110[[#This Row],[Precio Unitario Neto]]-Tabla110[[#This Row],[Apoyo]]-Tabla110[[#This Row],[Costo unitario]]</f>
        <v>#N/A</v>
      </c>
      <c r="T17" s="273" t="e">
        <f>+Tabla110[[#This Row],[Utilidad Bruta]]*Tabla110[[#This Row],[Cantidad]]</f>
        <v>#N/A</v>
      </c>
      <c r="U17" s="404" t="e">
        <f>++Tabla110[[#This Row],[Utilidad Bruta Total]]*$V$1</f>
        <v>#N/A</v>
      </c>
      <c r="V17" s="278" t="e">
        <f>++Tabla110[[#This Row],[Utilidad Bruta Total]]*$V$1</f>
        <v>#N/A</v>
      </c>
      <c r="W17" s="278">
        <f>VLOOKUP(Tabla110[[#This Row],[Producto]],'NUEVAS LISTAS'!$B$3:$P$403,'Ventas '!W$6,FALSE)</f>
        <v>109</v>
      </c>
      <c r="X17" s="278">
        <f>VLOOKUP(Tabla110[[#This Row],[Producto]],'NUEVAS LISTAS'!$B$3:$P$403,'Ventas '!X$6,FALSE)</f>
        <v>119</v>
      </c>
      <c r="Y17" s="278">
        <f>VLOOKUP(Tabla110[[#This Row],[Producto]],'NUEVAS LISTAS'!$B$3:$P$403,'Ventas '!Y$6,FALSE)</f>
        <v>129</v>
      </c>
      <c r="Z17" s="278">
        <f>VLOOKUP(Tabla110[[#This Row],[Producto]],'NUEVAS LISTAS'!$B$3:$P$403,'Ventas '!Z$6,FALSE)</f>
        <v>139</v>
      </c>
      <c r="AA17" s="543">
        <f>IF(AB17&lt;$AC$2,0,IF(Tabla110[[#This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7" s="539">
        <f>SUMIFS(Tabla110[[#All],[Venta Total]],Tabla110[[#All],[Asesor]],Tabla110[[#This Row],[Asesor]],Tabla110[[#All],[Fecha Cobranza]],"&lt;="&amp;Tabla110[[#This Row],[Fecha Cobranza]],Tabla110[[#All],[Fecha Cobranza]],"&gt;="&amp;Tabla110[[#This Row],[Fecha Cobranza]]-28)</f>
        <v>1053628.7308</v>
      </c>
      <c r="AC17" s="542">
        <f t="shared" si="3"/>
        <v>0</v>
      </c>
      <c r="AD17" s="544">
        <f t="shared" si="4"/>
        <v>0.02</v>
      </c>
      <c r="AE17" s="545">
        <f>+AD17*Tabla110[[#This Row],[Venta Total]]</f>
        <v>59.911679999999997</v>
      </c>
    </row>
    <row r="18" spans="1:31" x14ac:dyDescent="0.2">
      <c r="A18" s="264">
        <v>46006</v>
      </c>
      <c r="B18" s="274" t="str">
        <f t="shared" ref="B18:B21" si="5">TEXT(A18,"mmmm")</f>
        <v>December</v>
      </c>
      <c r="C18" s="265" t="s">
        <v>277</v>
      </c>
      <c r="D18" s="266" t="str">
        <f>VLOOKUP(Tabla110[[#This Row],[Asesor]],Tabla2[[Asesores]:[TIPO]],2,0)</f>
        <v>INTERNO</v>
      </c>
      <c r="E18" s="268" t="s">
        <v>627</v>
      </c>
      <c r="F18" s="267" t="s">
        <v>3787</v>
      </c>
      <c r="G18" s="50" t="s">
        <v>571</v>
      </c>
      <c r="H18" s="269">
        <v>14</v>
      </c>
      <c r="I18" s="275">
        <v>1190</v>
      </c>
      <c r="J18" s="260">
        <f>+Tabla110[[#This Row],[Precio Bruto]]*1.16</f>
        <v>1380.3999999999999</v>
      </c>
      <c r="L18" s="270">
        <f>++(Tabla110[[#This Row],[Precio Unitario Neto]]*Tabla110[[#This Row],[Cantidad]])-(Tabla110[[#This Row],[Cantidad]]*Tabla110[[#This Row],[Apoyo]])</f>
        <v>19325.599999999999</v>
      </c>
      <c r="M18" s="270" t="e">
        <f>((INDEX(Tabla6[#All],MATCH(Tabla110[[#This Row],[Producto]],Tabla6[[#All],[PRODUCTO]],0),MATCH(Tabla110[[#This Row],[Mes]],Tabla6[#Headers],0)))*(1+(IF(Tabla110[[#This Row],[FLETE]]="no",Catalogos!$M$2,Catalogos!$L$2))))</f>
        <v>#N/A</v>
      </c>
      <c r="N18" s="270" t="e">
        <f>+IF((Tabla110[[#This Row],[Precio Unitario Neto]]-Tabla110[[#This Row],[Apoyo]]-Tabla110[[#This Row],[COSTO + INDI]])&lt;=0,0,(Tabla110[[#This Row],[Precio Unitario Neto]]-Tabla110[[#This Row],[Apoyo]]-Tabla110[[#This Row],[COSTO + INDI]]))</f>
        <v>#N/A</v>
      </c>
      <c r="O18" s="258" t="e">
        <f>++Tabla110[[#This Row],[Utilidad Neta x Eq.]]*Tabla110[[#This Row],[Cantidad]]</f>
        <v>#N/A</v>
      </c>
      <c r="P18" s="271" t="e">
        <f>++Tabla110[[#This Row],[Utilidad Neta Total]]/Tabla110[[#This Row],[Venta Total]]</f>
        <v>#N/A</v>
      </c>
      <c r="Q18" s="258" t="s">
        <v>604</v>
      </c>
      <c r="R18" s="272" t="e">
        <f>INDEX(Tabla6[#All],MATCH(Tabla110[[#This Row],[Producto]],Tabla6[[#All],[PRODUCTO]],0),MATCH(Tabla110[[#This Row],[Mes]],Tabla6[#Headers],0))</f>
        <v>#N/A</v>
      </c>
      <c r="S18" s="260" t="e">
        <f>++Tabla110[[#This Row],[Precio Unitario Neto]]-Tabla110[[#This Row],[Apoyo]]-Tabla110[[#This Row],[Costo unitario]]</f>
        <v>#N/A</v>
      </c>
      <c r="T18" s="273" t="e">
        <f>+Tabla110[[#This Row],[Utilidad Bruta]]*Tabla110[[#This Row],[Cantidad]]</f>
        <v>#N/A</v>
      </c>
      <c r="U18" s="404" t="e">
        <f>++Tabla110[[#This Row],[Utilidad Bruta Total]]*$V$1</f>
        <v>#N/A</v>
      </c>
      <c r="V18" s="278" t="e">
        <f>++Tabla110[[#This Row],[Utilidad Bruta Total]]*$V$1</f>
        <v>#N/A</v>
      </c>
      <c r="W18" s="278">
        <f>VLOOKUP(Tabla110[[#This Row],[Producto]],'NUEVAS LISTAS'!$B$3:$P$403,'Ventas '!W$6,FALSE)</f>
        <v>1029</v>
      </c>
      <c r="X18" s="278">
        <f>VLOOKUP(Tabla110[[#This Row],[Producto]],'NUEVAS LISTAS'!$B$3:$P$403,'Ventas '!X$6,FALSE)</f>
        <v>1079</v>
      </c>
      <c r="Y18" s="278">
        <f>VLOOKUP(Tabla110[[#This Row],[Producto]],'NUEVAS LISTAS'!$B$3:$P$403,'Ventas '!Y$6,FALSE)</f>
        <v>1139</v>
      </c>
      <c r="Z18" s="278">
        <f>VLOOKUP(Tabla110[[#This Row],[Producto]],'NUEVAS LISTAS'!$B$3:$P$403,'Ventas '!Z$6,FALSE)</f>
        <v>1199</v>
      </c>
      <c r="AA18" s="543">
        <f>IF(AB18&lt;$AC$2,0,IF(Tabla110[[#This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8" s="539">
        <f>SUMIFS(Tabla110[[#All],[Venta Total]],Tabla110[[#All],[Asesor]],Tabla110[[#This Row],[Asesor]],Tabla110[[#All],[Fecha Cobranza]],"&lt;="&amp;Tabla110[[#This Row],[Fecha Cobranza]],Tabla110[[#All],[Fecha Cobranza]],"&gt;="&amp;Tabla110[[#This Row],[Fecha Cobranza]]-28)</f>
        <v>1053628.7308</v>
      </c>
      <c r="AC18" s="542">
        <f t="shared" si="3"/>
        <v>0</v>
      </c>
      <c r="AD18" s="544">
        <f t="shared" si="4"/>
        <v>2.75E-2</v>
      </c>
      <c r="AE18" s="545">
        <f>+AD18*Tabla110[[#This Row],[Venta Total]]</f>
        <v>531.45399999999995</v>
      </c>
    </row>
    <row r="19" spans="1:31" x14ac:dyDescent="0.2">
      <c r="A19" s="264">
        <v>46006</v>
      </c>
      <c r="B19" s="274" t="str">
        <f t="shared" si="5"/>
        <v>December</v>
      </c>
      <c r="C19" s="265" t="s">
        <v>277</v>
      </c>
      <c r="D19" s="266" t="str">
        <f>VLOOKUP(Tabla110[[#This Row],[Asesor]],Tabla2[[Asesores]:[TIPO]],2,0)</f>
        <v>INTERNO</v>
      </c>
      <c r="E19" s="268" t="s">
        <v>627</v>
      </c>
      <c r="F19" s="267" t="s">
        <v>3787</v>
      </c>
      <c r="G19" s="50" t="s">
        <v>33</v>
      </c>
      <c r="H19" s="269">
        <v>3</v>
      </c>
      <c r="I19" s="275">
        <v>3097.41</v>
      </c>
      <c r="J19" s="260">
        <f>+Tabla110[[#This Row],[Precio Bruto]]*1.16</f>
        <v>3592.9955999999997</v>
      </c>
      <c r="L19" s="270">
        <f>++(Tabla110[[#This Row],[Precio Unitario Neto]]*Tabla110[[#This Row],[Cantidad]])-(Tabla110[[#This Row],[Cantidad]]*Tabla110[[#This Row],[Apoyo]])</f>
        <v>10778.986799999999</v>
      </c>
      <c r="M19" s="270" t="e">
        <f>((INDEX(Tabla6[#All],MATCH(Tabla110[[#This Row],[Producto]],Tabla6[[#All],[PRODUCTO]],0),MATCH(Tabla110[[#This Row],[Mes]],Tabla6[#Headers],0)))*(1+(IF(Tabla110[[#This Row],[FLETE]]="no",Catalogos!$M$2,Catalogos!$L$2))))</f>
        <v>#N/A</v>
      </c>
      <c r="N19" s="270" t="e">
        <f>+IF((Tabla110[[#This Row],[Precio Unitario Neto]]-Tabla110[[#This Row],[Apoyo]]-Tabla110[[#This Row],[COSTO + INDI]])&lt;=0,0,(Tabla110[[#This Row],[Precio Unitario Neto]]-Tabla110[[#This Row],[Apoyo]]-Tabla110[[#This Row],[COSTO + INDI]]))</f>
        <v>#N/A</v>
      </c>
      <c r="O19" s="258" t="e">
        <f>++Tabla110[[#This Row],[Utilidad Neta x Eq.]]*Tabla110[[#This Row],[Cantidad]]</f>
        <v>#N/A</v>
      </c>
      <c r="P19" s="271" t="e">
        <f>++Tabla110[[#This Row],[Utilidad Neta Total]]/Tabla110[[#This Row],[Venta Total]]</f>
        <v>#N/A</v>
      </c>
      <c r="Q19" s="258" t="s">
        <v>604</v>
      </c>
      <c r="R19" s="272" t="e">
        <f>INDEX(Tabla6[#All],MATCH(Tabla110[[#This Row],[Producto]],Tabla6[[#All],[PRODUCTO]],0),MATCH(Tabla110[[#This Row],[Mes]],Tabla6[#Headers],0))</f>
        <v>#N/A</v>
      </c>
      <c r="S19" s="260" t="e">
        <f>++Tabla110[[#This Row],[Precio Unitario Neto]]-Tabla110[[#This Row],[Apoyo]]-Tabla110[[#This Row],[Costo unitario]]</f>
        <v>#N/A</v>
      </c>
      <c r="T19" s="273" t="e">
        <f>+Tabla110[[#This Row],[Utilidad Bruta]]*Tabla110[[#This Row],[Cantidad]]</f>
        <v>#N/A</v>
      </c>
      <c r="U19" s="404" t="e">
        <f>++Tabla110[[#This Row],[Utilidad Bruta Total]]*$V$1</f>
        <v>#N/A</v>
      </c>
      <c r="V19" s="278" t="e">
        <f>++Tabla110[[#This Row],[Utilidad Bruta Total]]*$V$1</f>
        <v>#N/A</v>
      </c>
      <c r="W19" s="278">
        <f>VLOOKUP(Tabla110[[#This Row],[Producto]],'NUEVAS LISTAS'!$B$3:$P$403,'Ventas '!W$6,FALSE)</f>
        <v>4779</v>
      </c>
      <c r="X19" s="278">
        <f>VLOOKUP(Tabla110[[#This Row],[Producto]],'NUEVAS LISTAS'!$B$3:$P$403,'Ventas '!X$6,FALSE)</f>
        <v>5029</v>
      </c>
      <c r="Y19" s="278">
        <f>VLOOKUP(Tabla110[[#This Row],[Producto]],'NUEVAS LISTAS'!$B$3:$P$403,'Ventas '!Y$6,FALSE)</f>
        <v>5289</v>
      </c>
      <c r="Z19" s="278">
        <f>VLOOKUP(Tabla110[[#This Row],[Producto]],'NUEVAS LISTAS'!$B$3:$P$403,'Ventas '!Z$6,FALSE)</f>
        <v>5569</v>
      </c>
      <c r="AA19" s="543">
        <f>IF(AB19&lt;$AC$2,0,IF(Tabla110[[#This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9" s="539">
        <f>SUMIFS(Tabla110[[#All],[Venta Total]],Tabla110[[#All],[Asesor]],Tabla110[[#This Row],[Asesor]],Tabla110[[#All],[Fecha Cobranza]],"&lt;="&amp;Tabla110[[#This Row],[Fecha Cobranza]],Tabla110[[#All],[Fecha Cobranza]],"&gt;="&amp;Tabla110[[#This Row],[Fecha Cobranza]]-28)</f>
        <v>1053628.7308</v>
      </c>
      <c r="AC19" s="542">
        <f t="shared" si="3"/>
        <v>0</v>
      </c>
      <c r="AD19" s="544">
        <f t="shared" si="4"/>
        <v>0.02</v>
      </c>
      <c r="AE19" s="545">
        <f>+AD19*Tabla110[[#This Row],[Venta Total]]</f>
        <v>215.57973599999997</v>
      </c>
    </row>
    <row r="20" spans="1:31" x14ac:dyDescent="0.2">
      <c r="A20" s="264">
        <v>46006</v>
      </c>
      <c r="B20" s="274" t="str">
        <f t="shared" si="5"/>
        <v>December</v>
      </c>
      <c r="C20" s="265" t="s">
        <v>277</v>
      </c>
      <c r="D20" s="266" t="str">
        <f>VLOOKUP(Tabla110[[#This Row],[Asesor]],Tabla2[[Asesores]:[TIPO]],2,0)</f>
        <v>INTERNO</v>
      </c>
      <c r="E20" s="268" t="s">
        <v>627</v>
      </c>
      <c r="F20" s="267" t="s">
        <v>3787</v>
      </c>
      <c r="G20" s="50" t="s">
        <v>34</v>
      </c>
      <c r="H20" s="269">
        <v>3</v>
      </c>
      <c r="I20" s="275">
        <v>3325</v>
      </c>
      <c r="J20" s="260">
        <f>+Tabla110[[#This Row],[Precio Bruto]]*1.16</f>
        <v>3856.9999999999995</v>
      </c>
      <c r="L20" s="270">
        <f>++(Tabla110[[#This Row],[Precio Unitario Neto]]*Tabla110[[#This Row],[Cantidad]])-(Tabla110[[#This Row],[Cantidad]]*Tabla110[[#This Row],[Apoyo]])</f>
        <v>11570.999999999998</v>
      </c>
      <c r="M20" s="270" t="e">
        <f>((INDEX(Tabla6[#All],MATCH(Tabla110[[#This Row],[Producto]],Tabla6[[#All],[PRODUCTO]],0),MATCH(Tabla110[[#This Row],[Mes]],Tabla6[#Headers],0)))*(1+(IF(Tabla110[[#This Row],[FLETE]]="no",Catalogos!$M$2,Catalogos!$L$2))))</f>
        <v>#N/A</v>
      </c>
      <c r="N20" s="270" t="e">
        <f>+IF((Tabla110[[#This Row],[Precio Unitario Neto]]-Tabla110[[#This Row],[Apoyo]]-Tabla110[[#This Row],[COSTO + INDI]])&lt;=0,0,(Tabla110[[#This Row],[Precio Unitario Neto]]-Tabla110[[#This Row],[Apoyo]]-Tabla110[[#This Row],[COSTO + INDI]]))</f>
        <v>#N/A</v>
      </c>
      <c r="O20" s="258" t="e">
        <f>++Tabla110[[#This Row],[Utilidad Neta x Eq.]]*Tabla110[[#This Row],[Cantidad]]</f>
        <v>#N/A</v>
      </c>
      <c r="P20" s="271" t="e">
        <f>++Tabla110[[#This Row],[Utilidad Neta Total]]/Tabla110[[#This Row],[Venta Total]]</f>
        <v>#N/A</v>
      </c>
      <c r="Q20" s="258" t="s">
        <v>604</v>
      </c>
      <c r="R20" s="272" t="e">
        <f>INDEX(Tabla6[#All],MATCH(Tabla110[[#This Row],[Producto]],Tabla6[[#All],[PRODUCTO]],0),MATCH(Tabla110[[#This Row],[Mes]],Tabla6[#Headers],0))</f>
        <v>#N/A</v>
      </c>
      <c r="S20" s="260" t="e">
        <f>++Tabla110[[#This Row],[Precio Unitario Neto]]-Tabla110[[#This Row],[Apoyo]]-Tabla110[[#This Row],[Costo unitario]]</f>
        <v>#N/A</v>
      </c>
      <c r="T20" s="273" t="e">
        <f>+Tabla110[[#This Row],[Utilidad Bruta]]*Tabla110[[#This Row],[Cantidad]]</f>
        <v>#N/A</v>
      </c>
      <c r="U20" s="404" t="e">
        <f>++Tabla110[[#This Row],[Utilidad Bruta Total]]*$V$1</f>
        <v>#N/A</v>
      </c>
      <c r="V20" s="278" t="e">
        <f>++Tabla110[[#This Row],[Utilidad Bruta Total]]*$V$1</f>
        <v>#N/A</v>
      </c>
      <c r="W20" s="278">
        <f>VLOOKUP(Tabla110[[#This Row],[Producto]],'NUEVAS LISTAS'!$B$3:$P$403,'Ventas '!W$6,FALSE)</f>
        <v>5009</v>
      </c>
      <c r="X20" s="278">
        <f>VLOOKUP(Tabla110[[#This Row],[Producto]],'NUEVAS LISTAS'!$B$3:$P$403,'Ventas '!X$6,FALSE)</f>
        <v>5269</v>
      </c>
      <c r="Y20" s="278">
        <f>VLOOKUP(Tabla110[[#This Row],[Producto]],'NUEVAS LISTAS'!$B$3:$P$403,'Ventas '!Y$6,FALSE)</f>
        <v>5549</v>
      </c>
      <c r="Z20" s="278">
        <f>VLOOKUP(Tabla110[[#This Row],[Producto]],'NUEVAS LISTAS'!$B$3:$P$403,'Ventas '!Z$6,FALSE)</f>
        <v>5839</v>
      </c>
      <c r="AA20" s="543">
        <f>IF(AB20&lt;$AC$2,0,IF(Tabla110[[#This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0" s="539">
        <f>SUMIFS(Tabla110[[#All],[Venta Total]],Tabla110[[#All],[Asesor]],Tabla110[[#This Row],[Asesor]],Tabla110[[#All],[Fecha Cobranza]],"&lt;="&amp;Tabla110[[#This Row],[Fecha Cobranza]],Tabla110[[#All],[Fecha Cobranza]],"&gt;="&amp;Tabla110[[#This Row],[Fecha Cobranza]]-28)</f>
        <v>1053628.7308</v>
      </c>
      <c r="AC20" s="542">
        <f t="shared" si="3"/>
        <v>0</v>
      </c>
      <c r="AD20" s="544">
        <f t="shared" si="4"/>
        <v>0.02</v>
      </c>
      <c r="AE20" s="545">
        <f>+AD20*Tabla110[[#This Row],[Venta Total]]</f>
        <v>231.41999999999996</v>
      </c>
    </row>
    <row r="21" spans="1:31" x14ac:dyDescent="0.2">
      <c r="A21" s="264">
        <v>46006</v>
      </c>
      <c r="B21" s="274" t="str">
        <f t="shared" si="5"/>
        <v>December</v>
      </c>
      <c r="C21" s="265" t="s">
        <v>277</v>
      </c>
      <c r="D21" s="266" t="str">
        <f>VLOOKUP(Tabla110[[#This Row],[Asesor]],Tabla2[[Asesores]:[TIPO]],2,0)</f>
        <v>INTERNO</v>
      </c>
      <c r="E21" s="268" t="s">
        <v>627</v>
      </c>
      <c r="F21" s="267" t="s">
        <v>3787</v>
      </c>
      <c r="G21" s="50" t="s">
        <v>370</v>
      </c>
      <c r="H21" s="269">
        <v>6</v>
      </c>
      <c r="I21" s="275">
        <v>2260.34</v>
      </c>
      <c r="J21" s="260">
        <f>+Tabla110[[#This Row],[Precio Bruto]]*1.16</f>
        <v>2621.9944</v>
      </c>
      <c r="L21" s="270">
        <f>++(Tabla110[[#This Row],[Precio Unitario Neto]]*Tabla110[[#This Row],[Cantidad]])-(Tabla110[[#This Row],[Cantidad]]*Tabla110[[#This Row],[Apoyo]])</f>
        <v>15731.966400000001</v>
      </c>
      <c r="M21" s="270" t="e">
        <f>((INDEX(Tabla6[#All],MATCH(Tabla110[[#This Row],[Producto]],Tabla6[[#All],[PRODUCTO]],0),MATCH(Tabla110[[#This Row],[Mes]],Tabla6[#Headers],0)))*(1+(IF(Tabla110[[#This Row],[FLETE]]="no",Catalogos!$M$2,Catalogos!$L$2))))</f>
        <v>#N/A</v>
      </c>
      <c r="N21" s="270" t="e">
        <f>+IF((Tabla110[[#This Row],[Precio Unitario Neto]]-Tabla110[[#This Row],[Apoyo]]-Tabla110[[#This Row],[COSTO + INDI]])&lt;=0,0,(Tabla110[[#This Row],[Precio Unitario Neto]]-Tabla110[[#This Row],[Apoyo]]-Tabla110[[#This Row],[COSTO + INDI]]))</f>
        <v>#N/A</v>
      </c>
      <c r="O21" s="258" t="e">
        <f>++Tabla110[[#This Row],[Utilidad Neta x Eq.]]*Tabla110[[#This Row],[Cantidad]]</f>
        <v>#N/A</v>
      </c>
      <c r="P21" s="271" t="e">
        <f>++Tabla110[[#This Row],[Utilidad Neta Total]]/Tabla110[[#This Row],[Venta Total]]</f>
        <v>#N/A</v>
      </c>
      <c r="Q21" s="258" t="s">
        <v>604</v>
      </c>
      <c r="R21" s="272" t="e">
        <f>INDEX(Tabla6[#All],MATCH(Tabla110[[#This Row],[Producto]],Tabla6[[#All],[PRODUCTO]],0),MATCH(Tabla110[[#This Row],[Mes]],Tabla6[#Headers],0))</f>
        <v>#N/A</v>
      </c>
      <c r="S21" s="260" t="e">
        <f>++Tabla110[[#This Row],[Precio Unitario Neto]]-Tabla110[[#This Row],[Apoyo]]-Tabla110[[#This Row],[Costo unitario]]</f>
        <v>#N/A</v>
      </c>
      <c r="T21" s="273" t="e">
        <f>+Tabla110[[#This Row],[Utilidad Bruta]]*Tabla110[[#This Row],[Cantidad]]</f>
        <v>#N/A</v>
      </c>
      <c r="U21" s="404" t="e">
        <f>++Tabla110[[#This Row],[Utilidad Bruta Total]]*$V$1</f>
        <v>#N/A</v>
      </c>
      <c r="V21" s="278" t="e">
        <f>++Tabla110[[#This Row],[Utilidad Bruta Total]]*$V$1</f>
        <v>#N/A</v>
      </c>
      <c r="W21" s="278">
        <f>VLOOKUP(Tabla110[[#This Row],[Producto]],'NUEVAS LISTAS'!$B$3:$P$403,'Ventas '!W$6,FALSE)</f>
        <v>2929</v>
      </c>
      <c r="X21" s="278">
        <f>VLOOKUP(Tabla110[[#This Row],[Producto]],'NUEVAS LISTAS'!$B$3:$P$403,'Ventas '!X$6,FALSE)</f>
        <v>3079</v>
      </c>
      <c r="Y21" s="278">
        <f>VLOOKUP(Tabla110[[#This Row],[Producto]],'NUEVAS LISTAS'!$B$3:$P$403,'Ventas '!Y$6,FALSE)</f>
        <v>3239</v>
      </c>
      <c r="Z21" s="278">
        <f>VLOOKUP(Tabla110[[#This Row],[Producto]],'NUEVAS LISTAS'!$B$3:$P$403,'Ventas '!Z$6,FALSE)</f>
        <v>3409</v>
      </c>
      <c r="AA21" s="543">
        <f>IF(AB21&lt;$AC$2,0,IF(Tabla110[[#This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1" s="539">
        <f>SUMIFS(Tabla110[[#All],[Venta Total]],Tabla110[[#All],[Asesor]],Tabla110[[#This Row],[Asesor]],Tabla110[[#All],[Fecha Cobranza]],"&lt;="&amp;Tabla110[[#This Row],[Fecha Cobranza]],Tabla110[[#All],[Fecha Cobranza]],"&gt;="&amp;Tabla110[[#This Row],[Fecha Cobranza]]-28)</f>
        <v>1053628.7308</v>
      </c>
      <c r="AC21" s="542">
        <f t="shared" si="3"/>
        <v>0</v>
      </c>
      <c r="AD21" s="544">
        <f t="shared" si="4"/>
        <v>0.02</v>
      </c>
      <c r="AE21" s="545">
        <f>+AD21*Tabla110[[#This Row],[Venta Total]]</f>
        <v>314.63932800000003</v>
      </c>
    </row>
    <row r="22" spans="1:31" x14ac:dyDescent="0.2">
      <c r="A22" s="264">
        <v>46006</v>
      </c>
      <c r="B22" s="274" t="str">
        <f t="shared" ref="B22:B25" si="6">TEXT(A22,"mmmm")</f>
        <v>December</v>
      </c>
      <c r="C22" s="265" t="s">
        <v>455</v>
      </c>
      <c r="D22" s="266" t="str">
        <f>VLOOKUP(Tabla110[[#This Row],[Asesor]],Tabla2[[Asesores]:[TIPO]],2,0)</f>
        <v>INTERNO</v>
      </c>
      <c r="E22" s="268" t="s">
        <v>892</v>
      </c>
      <c r="F22" s="267" t="s">
        <v>3788</v>
      </c>
      <c r="G22" s="50" t="s">
        <v>555</v>
      </c>
      <c r="H22" s="269">
        <v>20</v>
      </c>
      <c r="I22" s="275">
        <v>223.27600000000001</v>
      </c>
      <c r="J22" s="260">
        <f>+Tabla110[[#This Row],[Precio Bruto]]*1.16</f>
        <v>259.00015999999999</v>
      </c>
      <c r="L22" s="270">
        <f>++(Tabla110[[#This Row],[Precio Unitario Neto]]*Tabla110[[#This Row],[Cantidad]])-(Tabla110[[#This Row],[Cantidad]]*Tabla110[[#This Row],[Apoyo]])</f>
        <v>5180.0032000000001</v>
      </c>
      <c r="M22" s="270" t="e">
        <f>((INDEX(Tabla6[#All],MATCH(Tabla110[[#This Row],[Producto]],Tabla6[[#All],[PRODUCTO]],0),MATCH(Tabla110[[#This Row],[Mes]],Tabla6[#Headers],0)))*(1+(IF(Tabla110[[#This Row],[FLETE]]="no",Catalogos!$M$2,Catalogos!$L$2))))</f>
        <v>#N/A</v>
      </c>
      <c r="N22" s="270" t="e">
        <f>+IF((Tabla110[[#This Row],[Precio Unitario Neto]]-Tabla110[[#This Row],[Apoyo]]-Tabla110[[#This Row],[COSTO + INDI]])&lt;=0,0,(Tabla110[[#This Row],[Precio Unitario Neto]]-Tabla110[[#This Row],[Apoyo]]-Tabla110[[#This Row],[COSTO + INDI]]))</f>
        <v>#N/A</v>
      </c>
      <c r="O22" s="258" t="e">
        <f>++Tabla110[[#This Row],[Utilidad Neta x Eq.]]*Tabla110[[#This Row],[Cantidad]]</f>
        <v>#N/A</v>
      </c>
      <c r="P22" s="271" t="e">
        <f>++Tabla110[[#This Row],[Utilidad Neta Total]]/Tabla110[[#This Row],[Venta Total]]</f>
        <v>#N/A</v>
      </c>
      <c r="Q22" s="258" t="s">
        <v>604</v>
      </c>
      <c r="R22" s="272" t="e">
        <f>INDEX(Tabla6[#All],MATCH(Tabla110[[#This Row],[Producto]],Tabla6[[#All],[PRODUCTO]],0),MATCH(Tabla110[[#This Row],[Mes]],Tabla6[#Headers],0))</f>
        <v>#N/A</v>
      </c>
      <c r="S22" s="260" t="e">
        <f>++Tabla110[[#This Row],[Precio Unitario Neto]]-Tabla110[[#This Row],[Apoyo]]-Tabla110[[#This Row],[Costo unitario]]</f>
        <v>#N/A</v>
      </c>
      <c r="T22" s="273" t="e">
        <f>+Tabla110[[#This Row],[Utilidad Bruta]]*Tabla110[[#This Row],[Cantidad]]</f>
        <v>#N/A</v>
      </c>
      <c r="U22" s="404" t="e">
        <f>++Tabla110[[#This Row],[Utilidad Bruta Total]]*$V$1</f>
        <v>#N/A</v>
      </c>
      <c r="V22" s="278" t="e">
        <f>++Tabla110[[#This Row],[Utilidad Bruta Total]]*$V$1</f>
        <v>#N/A</v>
      </c>
      <c r="W22" s="278">
        <f>VLOOKUP(Tabla110[[#This Row],[Producto]],'NUEVAS LISTAS'!$B$3:$P$403,'Ventas '!W$6,FALSE)</f>
        <v>289</v>
      </c>
      <c r="X22" s="278">
        <f>VLOOKUP(Tabla110[[#This Row],[Producto]],'NUEVAS LISTAS'!$B$3:$P$403,'Ventas '!X$6,FALSE)</f>
        <v>319</v>
      </c>
      <c r="Y22" s="278">
        <f>VLOOKUP(Tabla110[[#This Row],[Producto]],'NUEVAS LISTAS'!$B$3:$P$403,'Ventas '!Y$6,FALSE)</f>
        <v>389</v>
      </c>
      <c r="Z22" s="278">
        <f>VLOOKUP(Tabla110[[#This Row],[Producto]],'NUEVAS LISTAS'!$B$3:$P$403,'Ventas '!Z$6,FALSE)</f>
        <v>489</v>
      </c>
      <c r="AA22" s="543">
        <f>IF(AB22&lt;$AC$2,0,IF(Tabla110[[#This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2" s="539">
        <f>SUMIFS(Tabla110[[#All],[Venta Total]],Tabla110[[#All],[Asesor]],Tabla110[[#This Row],[Asesor]],Tabla110[[#All],[Fecha Cobranza]],"&lt;="&amp;Tabla110[[#This Row],[Fecha Cobranza]],Tabla110[[#All],[Fecha Cobranza]],"&gt;="&amp;Tabla110[[#This Row],[Fecha Cobranza]]-28)</f>
        <v>1481687.3719999997</v>
      </c>
      <c r="AC22" s="542">
        <f t="shared" si="3"/>
        <v>0</v>
      </c>
      <c r="AD22" s="544">
        <f t="shared" si="4"/>
        <v>0.02</v>
      </c>
      <c r="AE22" s="545">
        <f>+AD22*Tabla110[[#This Row],[Venta Total]]</f>
        <v>103.600064</v>
      </c>
    </row>
    <row r="23" spans="1:31" x14ac:dyDescent="0.2">
      <c r="A23" s="264">
        <v>46006</v>
      </c>
      <c r="B23" s="274" t="str">
        <f t="shared" si="6"/>
        <v>December</v>
      </c>
      <c r="C23" s="265" t="s">
        <v>455</v>
      </c>
      <c r="D23" s="266" t="str">
        <f>VLOOKUP(Tabla110[[#This Row],[Asesor]],Tabla2[[Asesores]:[TIPO]],2,0)</f>
        <v>INTERNO</v>
      </c>
      <c r="E23" s="268" t="s">
        <v>892</v>
      </c>
      <c r="F23" s="267" t="s">
        <v>3788</v>
      </c>
      <c r="G23" s="50" t="s">
        <v>545</v>
      </c>
      <c r="H23" s="269">
        <v>20</v>
      </c>
      <c r="I23" s="275">
        <v>254.31049999999999</v>
      </c>
      <c r="J23" s="260">
        <f>+Tabla110[[#This Row],[Precio Bruto]]*1.16</f>
        <v>295.00017999999994</v>
      </c>
      <c r="L23" s="270">
        <f>++(Tabla110[[#This Row],[Precio Unitario Neto]]*Tabla110[[#This Row],[Cantidad]])-(Tabla110[[#This Row],[Cantidad]]*Tabla110[[#This Row],[Apoyo]])</f>
        <v>5900.0035999999991</v>
      </c>
      <c r="M23" s="270" t="e">
        <f>((INDEX(Tabla6[#All],MATCH(Tabla110[[#This Row],[Producto]],Tabla6[[#All],[PRODUCTO]],0),MATCH(Tabla110[[#This Row],[Mes]],Tabla6[#Headers],0)))*(1+(IF(Tabla110[[#This Row],[FLETE]]="no",Catalogos!$M$2,Catalogos!$L$2))))</f>
        <v>#N/A</v>
      </c>
      <c r="N23" s="270" t="e">
        <f>+IF((Tabla110[[#This Row],[Precio Unitario Neto]]-Tabla110[[#This Row],[Apoyo]]-Tabla110[[#This Row],[COSTO + INDI]])&lt;=0,0,(Tabla110[[#This Row],[Precio Unitario Neto]]-Tabla110[[#This Row],[Apoyo]]-Tabla110[[#This Row],[COSTO + INDI]]))</f>
        <v>#N/A</v>
      </c>
      <c r="O23" s="258" t="e">
        <f>++Tabla110[[#This Row],[Utilidad Neta x Eq.]]*Tabla110[[#This Row],[Cantidad]]</f>
        <v>#N/A</v>
      </c>
      <c r="P23" s="271" t="e">
        <f>++Tabla110[[#This Row],[Utilidad Neta Total]]/Tabla110[[#This Row],[Venta Total]]</f>
        <v>#N/A</v>
      </c>
      <c r="Q23" s="258" t="s">
        <v>604</v>
      </c>
      <c r="R23" s="272" t="e">
        <f>INDEX(Tabla6[#All],MATCH(Tabla110[[#This Row],[Producto]],Tabla6[[#All],[PRODUCTO]],0),MATCH(Tabla110[[#This Row],[Mes]],Tabla6[#Headers],0))</f>
        <v>#N/A</v>
      </c>
      <c r="S23" s="260" t="e">
        <f>++Tabla110[[#This Row],[Precio Unitario Neto]]-Tabla110[[#This Row],[Apoyo]]-Tabla110[[#This Row],[Costo unitario]]</f>
        <v>#N/A</v>
      </c>
      <c r="T23" s="273" t="e">
        <f>+Tabla110[[#This Row],[Utilidad Bruta]]*Tabla110[[#This Row],[Cantidad]]</f>
        <v>#N/A</v>
      </c>
      <c r="U23" s="404" t="e">
        <f>++Tabla110[[#This Row],[Utilidad Bruta Total]]*$V$1</f>
        <v>#N/A</v>
      </c>
      <c r="V23" s="278" t="e">
        <f>++Tabla110[[#This Row],[Utilidad Bruta Total]]*$V$1</f>
        <v>#N/A</v>
      </c>
      <c r="W23" s="278">
        <f>VLOOKUP(Tabla110[[#This Row],[Producto]],'NUEVAS LISTAS'!$B$3:$P$403,'Ventas '!W$6,FALSE)</f>
        <v>209</v>
      </c>
      <c r="X23" s="278">
        <f>VLOOKUP(Tabla110[[#This Row],[Producto]],'NUEVAS LISTAS'!$B$3:$P$403,'Ventas '!X$6,FALSE)</f>
        <v>229</v>
      </c>
      <c r="Y23" s="278">
        <f>VLOOKUP(Tabla110[[#This Row],[Producto]],'NUEVAS LISTAS'!$B$3:$P$403,'Ventas '!Y$6,FALSE)</f>
        <v>279</v>
      </c>
      <c r="Z23" s="278">
        <f>VLOOKUP(Tabla110[[#This Row],[Producto]],'NUEVAS LISTAS'!$B$3:$P$403,'Ventas '!Z$6,FALSE)</f>
        <v>349</v>
      </c>
      <c r="AA23" s="543">
        <f>IF(AB23&lt;$AC$2,0,IF(Tabla110[[#This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23" s="539">
        <f>SUMIFS(Tabla110[[#All],[Venta Total]],Tabla110[[#All],[Asesor]],Tabla110[[#This Row],[Asesor]],Tabla110[[#All],[Fecha Cobranza]],"&lt;="&amp;Tabla110[[#This Row],[Fecha Cobranza]],Tabla110[[#All],[Fecha Cobranza]],"&gt;="&amp;Tabla110[[#This Row],[Fecha Cobranza]]-28)</f>
        <v>1481687.3719999997</v>
      </c>
      <c r="AC23" s="542">
        <f t="shared" si="3"/>
        <v>0</v>
      </c>
      <c r="AD23" s="544">
        <f t="shared" si="4"/>
        <v>2.5000000000000001E-2</v>
      </c>
      <c r="AE23" s="545">
        <f>+AD23*Tabla110[[#This Row],[Venta Total]]</f>
        <v>147.50008999999997</v>
      </c>
    </row>
    <row r="24" spans="1:31" x14ac:dyDescent="0.2">
      <c r="A24" s="264">
        <v>46006</v>
      </c>
      <c r="B24" s="274" t="str">
        <f t="shared" si="6"/>
        <v>December</v>
      </c>
      <c r="C24" s="265" t="s">
        <v>455</v>
      </c>
      <c r="D24" s="266" t="str">
        <f>VLOOKUP(Tabla110[[#This Row],[Asesor]],Tabla2[[Asesores]:[TIPO]],2,0)</f>
        <v>INTERNO</v>
      </c>
      <c r="E24" s="268" t="s">
        <v>892</v>
      </c>
      <c r="F24" s="267" t="s">
        <v>3788</v>
      </c>
      <c r="G24" s="50" t="s">
        <v>31</v>
      </c>
      <c r="H24" s="269">
        <v>2</v>
      </c>
      <c r="I24" s="275">
        <v>2111.2049999999999</v>
      </c>
      <c r="J24" s="260">
        <f>+Tabla110[[#This Row],[Precio Bruto]]*1.16</f>
        <v>2448.9977999999996</v>
      </c>
      <c r="L24" s="270">
        <f>++(Tabla110[[#This Row],[Precio Unitario Neto]]*Tabla110[[#This Row],[Cantidad]])-(Tabla110[[#This Row],[Cantidad]]*Tabla110[[#This Row],[Apoyo]])</f>
        <v>4897.9955999999993</v>
      </c>
      <c r="M24" s="270" t="e">
        <f>((INDEX(Tabla6[#All],MATCH(Tabla110[[#This Row],[Producto]],Tabla6[[#All],[PRODUCTO]],0),MATCH(Tabla110[[#This Row],[Mes]],Tabla6[#Headers],0)))*(1+(IF(Tabla110[[#This Row],[FLETE]]="no",Catalogos!$M$2,Catalogos!$L$2))))</f>
        <v>#N/A</v>
      </c>
      <c r="N24" s="270" t="e">
        <f>+IF((Tabla110[[#This Row],[Precio Unitario Neto]]-Tabla110[[#This Row],[Apoyo]]-Tabla110[[#This Row],[COSTO + INDI]])&lt;=0,0,(Tabla110[[#This Row],[Precio Unitario Neto]]-Tabla110[[#This Row],[Apoyo]]-Tabla110[[#This Row],[COSTO + INDI]]))</f>
        <v>#N/A</v>
      </c>
      <c r="O24" s="258" t="e">
        <f>++Tabla110[[#This Row],[Utilidad Neta x Eq.]]*Tabla110[[#This Row],[Cantidad]]</f>
        <v>#N/A</v>
      </c>
      <c r="P24" s="271" t="e">
        <f>++Tabla110[[#This Row],[Utilidad Neta Total]]/Tabla110[[#This Row],[Venta Total]]</f>
        <v>#N/A</v>
      </c>
      <c r="Q24" s="258" t="s">
        <v>604</v>
      </c>
      <c r="R24" s="272" t="e">
        <f>INDEX(Tabla6[#All],MATCH(Tabla110[[#This Row],[Producto]],Tabla6[[#All],[PRODUCTO]],0),MATCH(Tabla110[[#This Row],[Mes]],Tabla6[#Headers],0))</f>
        <v>#N/A</v>
      </c>
      <c r="S24" s="260" t="e">
        <f>++Tabla110[[#This Row],[Precio Unitario Neto]]-Tabla110[[#This Row],[Apoyo]]-Tabla110[[#This Row],[Costo unitario]]</f>
        <v>#N/A</v>
      </c>
      <c r="T24" s="273" t="e">
        <f>+Tabla110[[#This Row],[Utilidad Bruta]]*Tabla110[[#This Row],[Cantidad]]</f>
        <v>#N/A</v>
      </c>
      <c r="U24" s="404" t="e">
        <f>++Tabla110[[#This Row],[Utilidad Bruta Total]]*$V$1</f>
        <v>#N/A</v>
      </c>
      <c r="V24" s="278" t="e">
        <f>++Tabla110[[#This Row],[Utilidad Bruta Total]]*$V$1</f>
        <v>#N/A</v>
      </c>
      <c r="W24" s="278">
        <f>VLOOKUP(Tabla110[[#This Row],[Producto]],'NUEVAS LISTAS'!$B$3:$P$403,'Ventas '!W$6,FALSE)</f>
        <v>3259</v>
      </c>
      <c r="X24" s="278">
        <f>VLOOKUP(Tabla110[[#This Row],[Producto]],'NUEVAS LISTAS'!$B$3:$P$403,'Ventas '!X$6,FALSE)</f>
        <v>3429</v>
      </c>
      <c r="Y24" s="278">
        <f>VLOOKUP(Tabla110[[#This Row],[Producto]],'NUEVAS LISTAS'!$B$3:$P$403,'Ventas '!Y$6,FALSE)</f>
        <v>3609</v>
      </c>
      <c r="Z24" s="278">
        <f>VLOOKUP(Tabla110[[#This Row],[Producto]],'NUEVAS LISTAS'!$B$3:$P$403,'Ventas '!Z$6,FALSE)</f>
        <v>3799</v>
      </c>
      <c r="AA24" s="543">
        <f>IF(AB24&lt;$AC$2,0,IF(Tabla110[[#This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4" s="539">
        <f>SUMIFS(Tabla110[[#All],[Venta Total]],Tabla110[[#All],[Asesor]],Tabla110[[#This Row],[Asesor]],Tabla110[[#All],[Fecha Cobranza]],"&lt;="&amp;Tabla110[[#This Row],[Fecha Cobranza]],Tabla110[[#All],[Fecha Cobranza]],"&gt;="&amp;Tabla110[[#This Row],[Fecha Cobranza]]-28)</f>
        <v>1481687.3719999997</v>
      </c>
      <c r="AC24" s="542">
        <f t="shared" si="3"/>
        <v>0</v>
      </c>
      <c r="AD24" s="544">
        <f t="shared" si="4"/>
        <v>0.02</v>
      </c>
      <c r="AE24" s="545">
        <f>+AD24*Tabla110[[#This Row],[Venta Total]]</f>
        <v>97.959911999999989</v>
      </c>
    </row>
    <row r="25" spans="1:31" x14ac:dyDescent="0.2">
      <c r="A25" s="264">
        <v>46006</v>
      </c>
      <c r="B25" s="274" t="str">
        <f t="shared" si="6"/>
        <v>December</v>
      </c>
      <c r="C25" s="265" t="s">
        <v>455</v>
      </c>
      <c r="D25" s="266" t="str">
        <f>VLOOKUP(Tabla110[[#This Row],[Asesor]],Tabla2[[Asesores]:[TIPO]],2,0)</f>
        <v>INTERNO</v>
      </c>
      <c r="E25" s="268" t="s">
        <v>892</v>
      </c>
      <c r="F25" s="267" t="s">
        <v>3788</v>
      </c>
      <c r="G25" s="50" t="s">
        <v>32</v>
      </c>
      <c r="H25" s="269">
        <v>2</v>
      </c>
      <c r="I25" s="275">
        <v>3447.415</v>
      </c>
      <c r="J25" s="260">
        <f>+Tabla110[[#This Row],[Precio Bruto]]*1.16</f>
        <v>3999.0013999999996</v>
      </c>
      <c r="L25" s="270">
        <f>++(Tabla110[[#This Row],[Precio Unitario Neto]]*Tabla110[[#This Row],[Cantidad]])-(Tabla110[[#This Row],[Cantidad]]*Tabla110[[#This Row],[Apoyo]])</f>
        <v>7998.0027999999993</v>
      </c>
      <c r="M25" s="270" t="e">
        <f>((INDEX(Tabla6[#All],MATCH(Tabla110[[#This Row],[Producto]],Tabla6[[#All],[PRODUCTO]],0),MATCH(Tabla110[[#This Row],[Mes]],Tabla6[#Headers],0)))*(1+(IF(Tabla110[[#This Row],[FLETE]]="no",Catalogos!$M$2,Catalogos!$L$2))))</f>
        <v>#N/A</v>
      </c>
      <c r="N25" s="270" t="e">
        <f>+IF((Tabla110[[#This Row],[Precio Unitario Neto]]-Tabla110[[#This Row],[Apoyo]]-Tabla110[[#This Row],[COSTO + INDI]])&lt;=0,0,(Tabla110[[#This Row],[Precio Unitario Neto]]-Tabla110[[#This Row],[Apoyo]]-Tabla110[[#This Row],[COSTO + INDI]]))</f>
        <v>#N/A</v>
      </c>
      <c r="O25" s="258" t="e">
        <f>++Tabla110[[#This Row],[Utilidad Neta x Eq.]]*Tabla110[[#This Row],[Cantidad]]</f>
        <v>#N/A</v>
      </c>
      <c r="P25" s="271" t="e">
        <f>++Tabla110[[#This Row],[Utilidad Neta Total]]/Tabla110[[#This Row],[Venta Total]]</f>
        <v>#N/A</v>
      </c>
      <c r="Q25" s="258" t="s">
        <v>604</v>
      </c>
      <c r="R25" s="272" t="e">
        <f>INDEX(Tabla6[#All],MATCH(Tabla110[[#This Row],[Producto]],Tabla6[[#All],[PRODUCTO]],0),MATCH(Tabla110[[#This Row],[Mes]],Tabla6[#Headers],0))</f>
        <v>#N/A</v>
      </c>
      <c r="S25" s="260" t="e">
        <f>++Tabla110[[#This Row],[Precio Unitario Neto]]-Tabla110[[#This Row],[Apoyo]]-Tabla110[[#This Row],[Costo unitario]]</f>
        <v>#N/A</v>
      </c>
      <c r="T25" s="273" t="e">
        <f>+Tabla110[[#This Row],[Utilidad Bruta]]*Tabla110[[#This Row],[Cantidad]]</f>
        <v>#N/A</v>
      </c>
      <c r="U25" s="404" t="e">
        <f>++Tabla110[[#This Row],[Utilidad Bruta Total]]*$V$1</f>
        <v>#N/A</v>
      </c>
      <c r="V25" s="278" t="e">
        <f>++Tabla110[[#This Row],[Utilidad Bruta Total]]*$V$1</f>
        <v>#N/A</v>
      </c>
      <c r="W25" s="278">
        <f>VLOOKUP(Tabla110[[#This Row],[Producto]],'NUEVAS LISTAS'!$B$3:$P$403,'Ventas '!W$6,FALSE)</f>
        <v>3699</v>
      </c>
      <c r="X25" s="278">
        <f>VLOOKUP(Tabla110[[#This Row],[Producto]],'NUEVAS LISTAS'!$B$3:$P$403,'Ventas '!X$6,FALSE)</f>
        <v>3889</v>
      </c>
      <c r="Y25" s="278">
        <f>VLOOKUP(Tabla110[[#This Row],[Producto]],'NUEVAS LISTAS'!$B$3:$P$403,'Ventas '!Y$6,FALSE)</f>
        <v>4089</v>
      </c>
      <c r="Z25" s="278">
        <f>VLOOKUP(Tabla110[[#This Row],[Producto]],'NUEVAS LISTAS'!$B$3:$P$403,'Ventas '!Z$6,FALSE)</f>
        <v>4299</v>
      </c>
      <c r="AA25" s="543">
        <f>IF(AB25&lt;$AC$2,0,IF(Tabla110[[#This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25" s="539">
        <f>SUMIFS(Tabla110[[#All],[Venta Total]],Tabla110[[#All],[Asesor]],Tabla110[[#This Row],[Asesor]],Tabla110[[#All],[Fecha Cobranza]],"&lt;="&amp;Tabla110[[#This Row],[Fecha Cobranza]],Tabla110[[#All],[Fecha Cobranza]],"&gt;="&amp;Tabla110[[#This Row],[Fecha Cobranza]]-28)</f>
        <v>1481687.3719999997</v>
      </c>
      <c r="AC25" s="542">
        <f t="shared" si="3"/>
        <v>0</v>
      </c>
      <c r="AD25" s="544">
        <f t="shared" si="4"/>
        <v>2.2499999999999999E-2</v>
      </c>
      <c r="AE25" s="545">
        <f>+AD25*Tabla110[[#This Row],[Venta Total]]</f>
        <v>179.95506299999997</v>
      </c>
    </row>
    <row r="26" spans="1:31" x14ac:dyDescent="0.2">
      <c r="A26" s="264">
        <v>46006</v>
      </c>
      <c r="B26" s="274" t="str">
        <f t="shared" ref="B26:B27" si="7">TEXT(A26,"mmmm")</f>
        <v>December</v>
      </c>
      <c r="C26" s="265" t="s">
        <v>455</v>
      </c>
      <c r="D26" s="266" t="str">
        <f>VLOOKUP(Tabla110[[#This Row],[Asesor]],Tabla2[[Asesores]:[TIPO]],2,0)</f>
        <v>INTERNO</v>
      </c>
      <c r="E26" s="268" t="s">
        <v>892</v>
      </c>
      <c r="F26" s="267" t="s">
        <v>3789</v>
      </c>
      <c r="G26" s="50" t="s">
        <v>555</v>
      </c>
      <c r="H26" s="269">
        <v>10</v>
      </c>
      <c r="I26" s="275">
        <v>223.27600000000001</v>
      </c>
      <c r="J26" s="260">
        <f>+Tabla110[[#This Row],[Precio Bruto]]*1.16</f>
        <v>259.00015999999999</v>
      </c>
      <c r="L26" s="270">
        <f>++(Tabla110[[#This Row],[Precio Unitario Neto]]*Tabla110[[#This Row],[Cantidad]])-(Tabla110[[#This Row],[Cantidad]]*Tabla110[[#This Row],[Apoyo]])</f>
        <v>2590.0016000000001</v>
      </c>
      <c r="M26" s="270" t="e">
        <f>((INDEX(Tabla6[#All],MATCH(Tabla110[[#This Row],[Producto]],Tabla6[[#All],[PRODUCTO]],0),MATCH(Tabla110[[#This Row],[Mes]],Tabla6[#Headers],0)))*(1+(IF(Tabla110[[#This Row],[FLETE]]="no",Catalogos!$M$2,Catalogos!$L$2))))</f>
        <v>#N/A</v>
      </c>
      <c r="N26" s="270" t="e">
        <f>+IF((Tabla110[[#This Row],[Precio Unitario Neto]]-Tabla110[[#This Row],[Apoyo]]-Tabla110[[#This Row],[COSTO + INDI]])&lt;=0,0,(Tabla110[[#This Row],[Precio Unitario Neto]]-Tabla110[[#This Row],[Apoyo]]-Tabla110[[#This Row],[COSTO + INDI]]))</f>
        <v>#N/A</v>
      </c>
      <c r="O26" s="258" t="e">
        <f>++Tabla110[[#This Row],[Utilidad Neta x Eq.]]*Tabla110[[#This Row],[Cantidad]]</f>
        <v>#N/A</v>
      </c>
      <c r="P26" s="271" t="e">
        <f>++Tabla110[[#This Row],[Utilidad Neta Total]]/Tabla110[[#This Row],[Venta Total]]</f>
        <v>#N/A</v>
      </c>
      <c r="Q26" s="258" t="s">
        <v>604</v>
      </c>
      <c r="R26" s="272" t="e">
        <f>INDEX(Tabla6[#All],MATCH(Tabla110[[#This Row],[Producto]],Tabla6[[#All],[PRODUCTO]],0),MATCH(Tabla110[[#This Row],[Mes]],Tabla6[#Headers],0))</f>
        <v>#N/A</v>
      </c>
      <c r="S26" s="260" t="e">
        <f>++Tabla110[[#This Row],[Precio Unitario Neto]]-Tabla110[[#This Row],[Apoyo]]-Tabla110[[#This Row],[Costo unitario]]</f>
        <v>#N/A</v>
      </c>
      <c r="T26" s="273" t="e">
        <f>+Tabla110[[#This Row],[Utilidad Bruta]]*Tabla110[[#This Row],[Cantidad]]</f>
        <v>#N/A</v>
      </c>
      <c r="U26" s="404" t="e">
        <f>++Tabla110[[#This Row],[Utilidad Bruta Total]]*$V$1</f>
        <v>#N/A</v>
      </c>
      <c r="V26" s="278" t="e">
        <f>++Tabla110[[#This Row],[Utilidad Bruta Total]]*$V$1</f>
        <v>#N/A</v>
      </c>
      <c r="W26" s="278">
        <f>VLOOKUP(Tabla110[[#This Row],[Producto]],'NUEVAS LISTAS'!$B$3:$P$403,'Ventas '!W$6,FALSE)</f>
        <v>289</v>
      </c>
      <c r="X26" s="278">
        <f>VLOOKUP(Tabla110[[#This Row],[Producto]],'NUEVAS LISTAS'!$B$3:$P$403,'Ventas '!X$6,FALSE)</f>
        <v>319</v>
      </c>
      <c r="Y26" s="278">
        <f>VLOOKUP(Tabla110[[#This Row],[Producto]],'NUEVAS LISTAS'!$B$3:$P$403,'Ventas '!Y$6,FALSE)</f>
        <v>389</v>
      </c>
      <c r="Z26" s="278">
        <f>VLOOKUP(Tabla110[[#This Row],[Producto]],'NUEVAS LISTAS'!$B$3:$P$403,'Ventas '!Z$6,FALSE)</f>
        <v>489</v>
      </c>
      <c r="AA26" s="543">
        <f>IF(AB26&lt;$AC$2,0,IF(Tabla110[[#This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6" s="539">
        <f>SUMIFS(Tabla110[[#All],[Venta Total]],Tabla110[[#All],[Asesor]],Tabla110[[#This Row],[Asesor]],Tabla110[[#All],[Fecha Cobranza]],"&lt;="&amp;Tabla110[[#This Row],[Fecha Cobranza]],Tabla110[[#All],[Fecha Cobranza]],"&gt;="&amp;Tabla110[[#This Row],[Fecha Cobranza]]-28)</f>
        <v>1481687.3719999997</v>
      </c>
      <c r="AC26" s="542">
        <f t="shared" si="3"/>
        <v>0</v>
      </c>
      <c r="AD26" s="544">
        <f t="shared" si="4"/>
        <v>0.02</v>
      </c>
      <c r="AE26" s="545">
        <f>+AD26*Tabla110[[#This Row],[Venta Total]]</f>
        <v>51.800032000000002</v>
      </c>
    </row>
    <row r="27" spans="1:31" x14ac:dyDescent="0.2">
      <c r="A27" s="264">
        <v>46006</v>
      </c>
      <c r="B27" s="274" t="str">
        <f t="shared" si="7"/>
        <v>December</v>
      </c>
      <c r="C27" s="265" t="s">
        <v>455</v>
      </c>
      <c r="D27" s="266" t="str">
        <f>VLOOKUP(Tabla110[[#This Row],[Asesor]],Tabla2[[Asesores]:[TIPO]],2,0)</f>
        <v>INTERNO</v>
      </c>
      <c r="E27" s="268" t="s">
        <v>892</v>
      </c>
      <c r="F27" s="267" t="s">
        <v>3789</v>
      </c>
      <c r="G27" s="50" t="s">
        <v>545</v>
      </c>
      <c r="H27" s="269">
        <v>10</v>
      </c>
      <c r="I27" s="275">
        <v>254.31</v>
      </c>
      <c r="J27" s="260">
        <f>+Tabla110[[#This Row],[Precio Bruto]]*1.16</f>
        <v>294.99959999999999</v>
      </c>
      <c r="L27" s="270">
        <f>++(Tabla110[[#This Row],[Precio Unitario Neto]]*Tabla110[[#This Row],[Cantidad]])-(Tabla110[[#This Row],[Cantidad]]*Tabla110[[#This Row],[Apoyo]])</f>
        <v>2949.9960000000001</v>
      </c>
      <c r="M27" s="270" t="e">
        <f>((INDEX(Tabla6[#All],MATCH(Tabla110[[#This Row],[Producto]],Tabla6[[#All],[PRODUCTO]],0),MATCH(Tabla110[[#This Row],[Mes]],Tabla6[#Headers],0)))*(1+(IF(Tabla110[[#This Row],[FLETE]]="no",Catalogos!$M$2,Catalogos!$L$2))))</f>
        <v>#N/A</v>
      </c>
      <c r="N27" s="270" t="e">
        <f>+IF((Tabla110[[#This Row],[Precio Unitario Neto]]-Tabla110[[#This Row],[Apoyo]]-Tabla110[[#This Row],[COSTO + INDI]])&lt;=0,0,(Tabla110[[#This Row],[Precio Unitario Neto]]-Tabla110[[#This Row],[Apoyo]]-Tabla110[[#This Row],[COSTO + INDI]]))</f>
        <v>#N/A</v>
      </c>
      <c r="O27" s="258" t="e">
        <f>++Tabla110[[#This Row],[Utilidad Neta x Eq.]]*Tabla110[[#This Row],[Cantidad]]</f>
        <v>#N/A</v>
      </c>
      <c r="P27" s="271" t="e">
        <f>++Tabla110[[#This Row],[Utilidad Neta Total]]/Tabla110[[#This Row],[Venta Total]]</f>
        <v>#N/A</v>
      </c>
      <c r="Q27" s="258" t="s">
        <v>604</v>
      </c>
      <c r="R27" s="272" t="e">
        <f>INDEX(Tabla6[#All],MATCH(Tabla110[[#This Row],[Producto]],Tabla6[[#All],[PRODUCTO]],0),MATCH(Tabla110[[#This Row],[Mes]],Tabla6[#Headers],0))</f>
        <v>#N/A</v>
      </c>
      <c r="S27" s="260" t="e">
        <f>++Tabla110[[#This Row],[Precio Unitario Neto]]-Tabla110[[#This Row],[Apoyo]]-Tabla110[[#This Row],[Costo unitario]]</f>
        <v>#N/A</v>
      </c>
      <c r="T27" s="273" t="e">
        <f>+Tabla110[[#This Row],[Utilidad Bruta]]*Tabla110[[#This Row],[Cantidad]]</f>
        <v>#N/A</v>
      </c>
      <c r="U27" s="404" t="e">
        <f>++Tabla110[[#This Row],[Utilidad Bruta Total]]*$V$1</f>
        <v>#N/A</v>
      </c>
      <c r="V27" s="278" t="e">
        <f>++Tabla110[[#This Row],[Utilidad Bruta Total]]*$V$1</f>
        <v>#N/A</v>
      </c>
      <c r="W27" s="278">
        <f>VLOOKUP(Tabla110[[#This Row],[Producto]],'NUEVAS LISTAS'!$B$3:$P$403,'Ventas '!W$6,FALSE)</f>
        <v>209</v>
      </c>
      <c r="X27" s="278">
        <f>VLOOKUP(Tabla110[[#This Row],[Producto]],'NUEVAS LISTAS'!$B$3:$P$403,'Ventas '!X$6,FALSE)</f>
        <v>229</v>
      </c>
      <c r="Y27" s="278">
        <f>VLOOKUP(Tabla110[[#This Row],[Producto]],'NUEVAS LISTAS'!$B$3:$P$403,'Ventas '!Y$6,FALSE)</f>
        <v>279</v>
      </c>
      <c r="Z27" s="278">
        <f>VLOOKUP(Tabla110[[#This Row],[Producto]],'NUEVAS LISTAS'!$B$3:$P$403,'Ventas '!Z$6,FALSE)</f>
        <v>349</v>
      </c>
      <c r="AA27" s="543">
        <f>IF(AB27&lt;$AC$2,0,IF(Tabla110[[#This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27" s="539">
        <f>SUMIFS(Tabla110[[#All],[Venta Total]],Tabla110[[#All],[Asesor]],Tabla110[[#This Row],[Asesor]],Tabla110[[#All],[Fecha Cobranza]],"&lt;="&amp;Tabla110[[#This Row],[Fecha Cobranza]],Tabla110[[#All],[Fecha Cobranza]],"&gt;="&amp;Tabla110[[#This Row],[Fecha Cobranza]]-28)</f>
        <v>1481687.3719999997</v>
      </c>
      <c r="AC27" s="542">
        <f t="shared" si="3"/>
        <v>0</v>
      </c>
      <c r="AD27" s="544">
        <f t="shared" si="4"/>
        <v>2.5000000000000001E-2</v>
      </c>
      <c r="AE27" s="545">
        <f>+AD27*Tabla110[[#This Row],[Venta Total]]</f>
        <v>73.749900000000011</v>
      </c>
    </row>
    <row r="28" spans="1:31" x14ac:dyDescent="0.2">
      <c r="A28" s="264">
        <v>46006</v>
      </c>
      <c r="B28" s="274" t="str">
        <f>TEXT(A28,"mmmm")</f>
        <v>December</v>
      </c>
      <c r="C28" s="265" t="s">
        <v>636</v>
      </c>
      <c r="D28" s="266" t="str">
        <f>VLOOKUP(Tabla110[[#This Row],[Asesor]],Tabla2[[Asesores]:[TIPO]],2,0)</f>
        <v>INTERNO</v>
      </c>
      <c r="E28" s="268" t="s">
        <v>3195</v>
      </c>
      <c r="F28" s="267" t="s">
        <v>3790</v>
      </c>
      <c r="G28" s="50" t="s">
        <v>665</v>
      </c>
      <c r="H28" s="269">
        <v>37</v>
      </c>
      <c r="I28" s="275">
        <v>1331.0343243243242</v>
      </c>
      <c r="J28" s="260">
        <f>+Tabla110[[#This Row],[Precio Bruto]]*1.16</f>
        <v>1543.999816216216</v>
      </c>
      <c r="L28" s="270">
        <f>++(Tabla110[[#This Row],[Precio Unitario Neto]]*Tabla110[[#This Row],[Cantidad]])-(Tabla110[[#This Row],[Cantidad]]*Tabla110[[#This Row],[Apoyo]])</f>
        <v>57127.99319999999</v>
      </c>
      <c r="M28" s="270" t="e">
        <f>((INDEX(Tabla6[#All],MATCH(Tabla110[[#This Row],[Producto]],Tabla6[[#All],[PRODUCTO]],0),MATCH(Tabla110[[#This Row],[Mes]],Tabla6[#Headers],0)))*(1+(IF(Tabla110[[#This Row],[FLETE]]="no",Catalogos!$M$2,Catalogos!$L$2))))</f>
        <v>#N/A</v>
      </c>
      <c r="N28" s="270" t="e">
        <f>+IF((Tabla110[[#This Row],[Precio Unitario Neto]]-Tabla110[[#This Row],[Apoyo]]-Tabla110[[#This Row],[COSTO + INDI]])&lt;=0,0,(Tabla110[[#This Row],[Precio Unitario Neto]]-Tabla110[[#This Row],[Apoyo]]-Tabla110[[#This Row],[COSTO + INDI]]))</f>
        <v>#N/A</v>
      </c>
      <c r="O28" s="258" t="e">
        <f>++Tabla110[[#This Row],[Utilidad Neta x Eq.]]*Tabla110[[#This Row],[Cantidad]]</f>
        <v>#N/A</v>
      </c>
      <c r="P28" s="271" t="e">
        <f>++Tabla110[[#This Row],[Utilidad Neta Total]]/Tabla110[[#This Row],[Venta Total]]</f>
        <v>#N/A</v>
      </c>
      <c r="Q28" s="258" t="s">
        <v>604</v>
      </c>
      <c r="R28" s="272" t="e">
        <f>INDEX(Tabla6[#All],MATCH(Tabla110[[#This Row],[Producto]],Tabla6[[#All],[PRODUCTO]],0),MATCH(Tabla110[[#This Row],[Mes]],Tabla6[#Headers],0))</f>
        <v>#N/A</v>
      </c>
      <c r="S28" s="260" t="e">
        <f>++Tabla110[[#This Row],[Precio Unitario Neto]]-Tabla110[[#This Row],[Apoyo]]-Tabla110[[#This Row],[Costo unitario]]</f>
        <v>#N/A</v>
      </c>
      <c r="T28" s="273" t="e">
        <f>+Tabla110[[#This Row],[Utilidad Bruta]]*Tabla110[[#This Row],[Cantidad]]</f>
        <v>#N/A</v>
      </c>
      <c r="U28" s="404" t="e">
        <f>++Tabla110[[#This Row],[Utilidad Bruta Total]]*$V$1</f>
        <v>#N/A</v>
      </c>
      <c r="V28" s="278" t="e">
        <f>++Tabla110[[#This Row],[Utilidad Bruta Total]]*$V$1</f>
        <v>#N/A</v>
      </c>
      <c r="W28" s="278">
        <f>VLOOKUP(Tabla110[[#This Row],[Producto]],'NUEVAS LISTAS'!$B$3:$P$403,'Ventas '!W$6,FALSE)</f>
        <v>3469</v>
      </c>
      <c r="X28" s="278">
        <f>VLOOKUP(Tabla110[[#This Row],[Producto]],'NUEVAS LISTAS'!$B$3:$P$403,'Ventas '!X$6,FALSE)</f>
        <v>3649</v>
      </c>
      <c r="Y28" s="278">
        <f>VLOOKUP(Tabla110[[#This Row],[Producto]],'NUEVAS LISTAS'!$B$3:$P$403,'Ventas '!Y$6,FALSE)</f>
        <v>3839</v>
      </c>
      <c r="Z28" s="278">
        <f>VLOOKUP(Tabla110[[#This Row],[Producto]],'NUEVAS LISTAS'!$B$3:$P$403,'Ventas '!Z$6,FALSE)</f>
        <v>4039</v>
      </c>
      <c r="AA28" s="543">
        <f>IF(AB28&lt;$AC$2,0,IF(Tabla110[[#This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8" s="539">
        <f>SUMIFS(Tabla110[[#All],[Venta Total]],Tabla110[[#All],[Asesor]],Tabla110[[#This Row],[Asesor]],Tabla110[[#All],[Fecha Cobranza]],"&lt;="&amp;Tabla110[[#This Row],[Fecha Cobranza]],Tabla110[[#All],[Fecha Cobranza]],"&gt;="&amp;Tabla110[[#This Row],[Fecha Cobranza]]-28)</f>
        <v>57127.99319999999</v>
      </c>
      <c r="AC28" s="542">
        <f t="shared" si="3"/>
        <v>0</v>
      </c>
      <c r="AD28" s="544">
        <f t="shared" si="4"/>
        <v>0.02</v>
      </c>
      <c r="AE28" s="545">
        <f>+AD28*Tabla110[[#This Row],[Venta Total]]</f>
        <v>1142.5598639999998</v>
      </c>
    </row>
    <row r="29" spans="1:31" x14ac:dyDescent="0.2">
      <c r="A29" s="264">
        <v>46006</v>
      </c>
      <c r="B29" s="274" t="str">
        <f t="shared" ref="B29:B30" si="8">TEXT(A29,"mmmm")</f>
        <v>December</v>
      </c>
      <c r="C29" s="265" t="s">
        <v>277</v>
      </c>
      <c r="D29" s="266" t="str">
        <f>VLOOKUP(Tabla110[[#This Row],[Asesor]],Tabla2[[Asesores]:[TIPO]],2,0)</f>
        <v>INTERNO</v>
      </c>
      <c r="E29" s="268" t="s">
        <v>627</v>
      </c>
      <c r="F29" s="267" t="s">
        <v>3791</v>
      </c>
      <c r="G29" s="50" t="s">
        <v>371</v>
      </c>
      <c r="H29" s="269">
        <v>4</v>
      </c>
      <c r="I29" s="275">
        <v>2630.1725000000001</v>
      </c>
      <c r="J29" s="260">
        <f>+Tabla110[[#This Row],[Precio Bruto]]*1.16</f>
        <v>3051.0000999999997</v>
      </c>
      <c r="L29" s="270">
        <f>++(Tabla110[[#This Row],[Precio Unitario Neto]]*Tabla110[[#This Row],[Cantidad]])-(Tabla110[[#This Row],[Cantidad]]*Tabla110[[#This Row],[Apoyo]])</f>
        <v>12204.000399999999</v>
      </c>
      <c r="M29" s="270" t="e">
        <f>((INDEX(Tabla6[#All],MATCH(Tabla110[[#This Row],[Producto]],Tabla6[[#All],[PRODUCTO]],0),MATCH(Tabla110[[#This Row],[Mes]],Tabla6[#Headers],0)))*(1+(IF(Tabla110[[#This Row],[FLETE]]="no",Catalogos!$M$2,Catalogos!$L$2))))</f>
        <v>#N/A</v>
      </c>
      <c r="N29" s="270" t="e">
        <f>+IF((Tabla110[[#This Row],[Precio Unitario Neto]]-Tabla110[[#This Row],[Apoyo]]-Tabla110[[#This Row],[COSTO + INDI]])&lt;=0,0,(Tabla110[[#This Row],[Precio Unitario Neto]]-Tabla110[[#This Row],[Apoyo]]-Tabla110[[#This Row],[COSTO + INDI]]))</f>
        <v>#N/A</v>
      </c>
      <c r="O29" s="258" t="e">
        <f>++Tabla110[[#This Row],[Utilidad Neta x Eq.]]*Tabla110[[#This Row],[Cantidad]]</f>
        <v>#N/A</v>
      </c>
      <c r="P29" s="271" t="e">
        <f>++Tabla110[[#This Row],[Utilidad Neta Total]]/Tabla110[[#This Row],[Venta Total]]</f>
        <v>#N/A</v>
      </c>
      <c r="Q29" s="258" t="s">
        <v>604</v>
      </c>
      <c r="R29" s="272" t="e">
        <f>INDEX(Tabla6[#All],MATCH(Tabla110[[#This Row],[Producto]],Tabla6[[#All],[PRODUCTO]],0),MATCH(Tabla110[[#This Row],[Mes]],Tabla6[#Headers],0))</f>
        <v>#N/A</v>
      </c>
      <c r="S29" s="260" t="e">
        <f>++Tabla110[[#This Row],[Precio Unitario Neto]]-Tabla110[[#This Row],[Apoyo]]-Tabla110[[#This Row],[Costo unitario]]</f>
        <v>#N/A</v>
      </c>
      <c r="T29" s="273" t="e">
        <f>+Tabla110[[#This Row],[Utilidad Bruta]]*Tabla110[[#This Row],[Cantidad]]</f>
        <v>#N/A</v>
      </c>
      <c r="U29" s="404" t="e">
        <f>++Tabla110[[#This Row],[Utilidad Bruta Total]]*$V$1</f>
        <v>#N/A</v>
      </c>
      <c r="V29" s="278" t="e">
        <f>++Tabla110[[#This Row],[Utilidad Bruta Total]]*$V$1</f>
        <v>#N/A</v>
      </c>
      <c r="W29" s="278">
        <f>VLOOKUP(Tabla110[[#This Row],[Producto]],'NUEVAS LISTAS'!$B$3:$P$403,'Ventas '!W$6,FALSE)</f>
        <v>3359</v>
      </c>
      <c r="X29" s="278">
        <f>VLOOKUP(Tabla110[[#This Row],[Producto]],'NUEVAS LISTAS'!$B$3:$P$403,'Ventas '!X$6,FALSE)</f>
        <v>3539</v>
      </c>
      <c r="Y29" s="278">
        <f>VLOOKUP(Tabla110[[#This Row],[Producto]],'NUEVAS LISTAS'!$B$3:$P$403,'Ventas '!Y$6,FALSE)</f>
        <v>3729</v>
      </c>
      <c r="Z29" s="278">
        <f>VLOOKUP(Tabla110[[#This Row],[Producto]],'NUEVAS LISTAS'!$B$3:$P$403,'Ventas '!Z$6,FALSE)</f>
        <v>3929</v>
      </c>
      <c r="AA29" s="543">
        <f>IF(AB29&lt;$AC$2,0,IF(Tabla110[[#This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29" s="539">
        <f>SUMIFS(Tabla110[[#All],[Venta Total]],Tabla110[[#All],[Asesor]],Tabla110[[#This Row],[Asesor]],Tabla110[[#All],[Fecha Cobranza]],"&lt;="&amp;Tabla110[[#This Row],[Fecha Cobranza]],Tabla110[[#All],[Fecha Cobranza]],"&gt;="&amp;Tabla110[[#This Row],[Fecha Cobranza]]-28)</f>
        <v>1053628.7308</v>
      </c>
      <c r="AC29" s="542">
        <f t="shared" si="3"/>
        <v>0</v>
      </c>
      <c r="AD29" s="544">
        <f t="shared" si="4"/>
        <v>0.02</v>
      </c>
      <c r="AE29" s="545">
        <f>+AD29*Tabla110[[#This Row],[Venta Total]]</f>
        <v>244.08000799999999</v>
      </c>
    </row>
    <row r="30" spans="1:31" x14ac:dyDescent="0.2">
      <c r="A30" s="264">
        <v>46006</v>
      </c>
      <c r="B30" s="274" t="str">
        <f t="shared" si="8"/>
        <v>December</v>
      </c>
      <c r="C30" s="265" t="s">
        <v>277</v>
      </c>
      <c r="D30" s="266" t="str">
        <f>VLOOKUP(Tabla110[[#This Row],[Asesor]],Tabla2[[Asesores]:[TIPO]],2,0)</f>
        <v>INTERNO</v>
      </c>
      <c r="E30" s="268" t="s">
        <v>627</v>
      </c>
      <c r="F30" s="267" t="s">
        <v>3791</v>
      </c>
      <c r="G30" s="50" t="s">
        <v>83</v>
      </c>
      <c r="H30" s="269">
        <v>1</v>
      </c>
      <c r="I30" s="275">
        <v>7715.51</v>
      </c>
      <c r="J30" s="260">
        <f>+Tabla110[[#This Row],[Precio Bruto]]*1.16</f>
        <v>8949.9915999999994</v>
      </c>
      <c r="L30" s="270">
        <f>++(Tabla110[[#This Row],[Precio Unitario Neto]]*Tabla110[[#This Row],[Cantidad]])-(Tabla110[[#This Row],[Cantidad]]*Tabla110[[#This Row],[Apoyo]])</f>
        <v>8949.9915999999994</v>
      </c>
      <c r="M30" s="270" t="e">
        <f>((INDEX(Tabla6[#All],MATCH(Tabla110[[#This Row],[Producto]],Tabla6[[#All],[PRODUCTO]],0),MATCH(Tabla110[[#This Row],[Mes]],Tabla6[#Headers],0)))*(1+(IF(Tabla110[[#This Row],[FLETE]]="no",Catalogos!$M$2,Catalogos!$L$2))))</f>
        <v>#N/A</v>
      </c>
      <c r="N30" s="270" t="e">
        <f>+IF((Tabla110[[#This Row],[Precio Unitario Neto]]-Tabla110[[#This Row],[Apoyo]]-Tabla110[[#This Row],[COSTO + INDI]])&lt;=0,0,(Tabla110[[#This Row],[Precio Unitario Neto]]-Tabla110[[#This Row],[Apoyo]]-Tabla110[[#This Row],[COSTO + INDI]]))</f>
        <v>#N/A</v>
      </c>
      <c r="O30" s="258" t="e">
        <f>++Tabla110[[#This Row],[Utilidad Neta x Eq.]]*Tabla110[[#This Row],[Cantidad]]</f>
        <v>#N/A</v>
      </c>
      <c r="P30" s="271" t="e">
        <f>++Tabla110[[#This Row],[Utilidad Neta Total]]/Tabla110[[#This Row],[Venta Total]]</f>
        <v>#N/A</v>
      </c>
      <c r="Q30" s="258" t="s">
        <v>604</v>
      </c>
      <c r="R30" s="272" t="e">
        <f>INDEX(Tabla6[#All],MATCH(Tabla110[[#This Row],[Producto]],Tabla6[[#All],[PRODUCTO]],0),MATCH(Tabla110[[#This Row],[Mes]],Tabla6[#Headers],0))</f>
        <v>#N/A</v>
      </c>
      <c r="S30" s="260" t="e">
        <f>++Tabla110[[#This Row],[Precio Unitario Neto]]-Tabla110[[#This Row],[Apoyo]]-Tabla110[[#This Row],[Costo unitario]]</f>
        <v>#N/A</v>
      </c>
      <c r="T30" s="273" t="e">
        <f>+Tabla110[[#This Row],[Utilidad Bruta]]*Tabla110[[#This Row],[Cantidad]]</f>
        <v>#N/A</v>
      </c>
      <c r="U30" s="404" t="e">
        <f>++Tabla110[[#This Row],[Utilidad Bruta Total]]*$V$1</f>
        <v>#N/A</v>
      </c>
      <c r="V30" s="278" t="e">
        <f>++Tabla110[[#This Row],[Utilidad Bruta Total]]*$V$1</f>
        <v>#N/A</v>
      </c>
      <c r="W30" s="278">
        <f>VLOOKUP(Tabla110[[#This Row],[Producto]],'NUEVAS LISTAS'!$B$3:$P$403,'Ventas '!W$6,FALSE)</f>
        <v>7849</v>
      </c>
      <c r="X30" s="278">
        <f>VLOOKUP(Tabla110[[#This Row],[Producto]],'NUEVAS LISTAS'!$B$3:$P$403,'Ventas '!X$6,FALSE)</f>
        <v>8249</v>
      </c>
      <c r="Y30" s="278">
        <f>VLOOKUP(Tabla110[[#This Row],[Producto]],'NUEVAS LISTAS'!$B$3:$P$403,'Ventas '!Y$6,FALSE)</f>
        <v>8699</v>
      </c>
      <c r="Z30" s="278">
        <f>VLOOKUP(Tabla110[[#This Row],[Producto]],'NUEVAS LISTAS'!$B$3:$P$403,'Ventas '!Z$6,FALSE)</f>
        <v>9149</v>
      </c>
      <c r="AA30" s="543">
        <f>IF(AB30&lt;$AC$2,0,IF(Tabla110[[#This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30" s="539">
        <f>SUMIFS(Tabla110[[#All],[Venta Total]],Tabla110[[#All],[Asesor]],Tabla110[[#This Row],[Asesor]],Tabla110[[#All],[Fecha Cobranza]],"&lt;="&amp;Tabla110[[#This Row],[Fecha Cobranza]],Tabla110[[#All],[Fecha Cobranza]],"&gt;="&amp;Tabla110[[#This Row],[Fecha Cobranza]]-28)</f>
        <v>1053628.7308</v>
      </c>
      <c r="AC30" s="542">
        <f t="shared" si="3"/>
        <v>0</v>
      </c>
      <c r="AD30" s="544">
        <f t="shared" si="4"/>
        <v>2.5000000000000001E-2</v>
      </c>
      <c r="AE30" s="545">
        <f>+AD30*Tabla110[[#This Row],[Venta Total]]</f>
        <v>223.74978999999999</v>
      </c>
    </row>
    <row r="31" spans="1:31" x14ac:dyDescent="0.2">
      <c r="A31" s="264">
        <v>46006</v>
      </c>
      <c r="B31" s="274" t="str">
        <f>TEXT(A31,"mmmm")</f>
        <v>December</v>
      </c>
      <c r="C31" s="265" t="s">
        <v>277</v>
      </c>
      <c r="D31" s="266" t="str">
        <f>VLOOKUP(Tabla110[[#This Row],[Asesor]],Tabla2[[Asesores]:[TIPO]],2,0)</f>
        <v>INTERNO</v>
      </c>
      <c r="E31" s="268" t="s">
        <v>894</v>
      </c>
      <c r="F31" s="267" t="s">
        <v>3792</v>
      </c>
      <c r="G31" s="50" t="s">
        <v>227</v>
      </c>
      <c r="H31" s="269">
        <v>16</v>
      </c>
      <c r="I31" s="275">
        <v>6939.65</v>
      </c>
      <c r="J31" s="260">
        <f>+Tabla110[[#This Row],[Precio Bruto]]*1.16</f>
        <v>8049.9939999999988</v>
      </c>
      <c r="L31" s="270">
        <f>++(Tabla110[[#This Row],[Precio Unitario Neto]]*Tabla110[[#This Row],[Cantidad]])-(Tabla110[[#This Row],[Cantidad]]*Tabla110[[#This Row],[Apoyo]])</f>
        <v>128799.90399999998</v>
      </c>
      <c r="M31" s="270" t="e">
        <f>((INDEX(Tabla6[#All],MATCH(Tabla110[[#This Row],[Producto]],Tabla6[[#All],[PRODUCTO]],0),MATCH(Tabla110[[#This Row],[Mes]],Tabla6[#Headers],0)))*(1+(IF(Tabla110[[#This Row],[FLETE]]="no",Catalogos!$M$2,Catalogos!$L$2))))</f>
        <v>#N/A</v>
      </c>
      <c r="N31" s="270" t="e">
        <f>+IF((Tabla110[[#This Row],[Precio Unitario Neto]]-Tabla110[[#This Row],[Apoyo]]-Tabla110[[#This Row],[COSTO + INDI]])&lt;=0,0,(Tabla110[[#This Row],[Precio Unitario Neto]]-Tabla110[[#This Row],[Apoyo]]-Tabla110[[#This Row],[COSTO + INDI]]))</f>
        <v>#N/A</v>
      </c>
      <c r="O31" s="258" t="e">
        <f>++Tabla110[[#This Row],[Utilidad Neta x Eq.]]*Tabla110[[#This Row],[Cantidad]]</f>
        <v>#N/A</v>
      </c>
      <c r="P31" s="271" t="e">
        <f>++Tabla110[[#This Row],[Utilidad Neta Total]]/Tabla110[[#This Row],[Venta Total]]</f>
        <v>#N/A</v>
      </c>
      <c r="Q31" s="258" t="s">
        <v>604</v>
      </c>
      <c r="R31" s="272" t="e">
        <f>INDEX(Tabla6[#All],MATCH(Tabla110[[#This Row],[Producto]],Tabla6[[#All],[PRODUCTO]],0),MATCH(Tabla110[[#This Row],[Mes]],Tabla6[#Headers],0))</f>
        <v>#N/A</v>
      </c>
      <c r="S31" s="260" t="e">
        <f>++Tabla110[[#This Row],[Precio Unitario Neto]]-Tabla110[[#This Row],[Apoyo]]-Tabla110[[#This Row],[Costo unitario]]</f>
        <v>#N/A</v>
      </c>
      <c r="T31" s="273" t="e">
        <f>+Tabla110[[#This Row],[Utilidad Bruta]]*Tabla110[[#This Row],[Cantidad]]</f>
        <v>#N/A</v>
      </c>
      <c r="U31" s="404" t="e">
        <f>++Tabla110[[#This Row],[Utilidad Bruta Total]]*$V$1</f>
        <v>#N/A</v>
      </c>
      <c r="V31" s="278" t="e">
        <f>++Tabla110[[#This Row],[Utilidad Bruta Total]]*$V$1</f>
        <v>#N/A</v>
      </c>
      <c r="W31" s="278">
        <f>VLOOKUP(Tabla110[[#This Row],[Producto]],'NUEVAS LISTAS'!$B$3:$P$403,'Ventas '!W$6,FALSE)</f>
        <v>6949</v>
      </c>
      <c r="X31" s="278">
        <f>VLOOKUP(Tabla110[[#This Row],[Producto]],'NUEVAS LISTAS'!$B$3:$P$403,'Ventas '!X$6,FALSE)</f>
        <v>7309</v>
      </c>
      <c r="Y31" s="278">
        <f>VLOOKUP(Tabla110[[#This Row],[Producto]],'NUEVAS LISTAS'!$B$3:$P$403,'Ventas '!Y$6,FALSE)</f>
        <v>7689</v>
      </c>
      <c r="Z31" s="278">
        <f>VLOOKUP(Tabla110[[#This Row],[Producto]],'NUEVAS LISTAS'!$B$3:$P$403,'Ventas '!Z$6,FALSE)</f>
        <v>8089</v>
      </c>
      <c r="AA31" s="543">
        <f>IF(AB31&lt;$AC$2,0,IF(Tabla110[[#This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31" s="539">
        <f>SUMIFS(Tabla110[[#All],[Venta Total]],Tabla110[[#All],[Asesor]],Tabla110[[#This Row],[Asesor]],Tabla110[[#All],[Fecha Cobranza]],"&lt;="&amp;Tabla110[[#This Row],[Fecha Cobranza]],Tabla110[[#All],[Fecha Cobranza]],"&gt;="&amp;Tabla110[[#This Row],[Fecha Cobranza]]-28)</f>
        <v>1053628.7308</v>
      </c>
      <c r="AC31" s="542">
        <f t="shared" si="3"/>
        <v>0</v>
      </c>
      <c r="AD31" s="544">
        <f t="shared" si="4"/>
        <v>2.5000000000000001E-2</v>
      </c>
      <c r="AE31" s="545">
        <f>+AD31*Tabla110[[#This Row],[Venta Total]]</f>
        <v>3219.9975999999997</v>
      </c>
    </row>
    <row r="32" spans="1:31" x14ac:dyDescent="0.2">
      <c r="A32" s="264">
        <v>46006</v>
      </c>
      <c r="B32" s="274" t="str">
        <f>TEXT(A32,"mmmm")</f>
        <v>December</v>
      </c>
      <c r="C32" s="265" t="s">
        <v>455</v>
      </c>
      <c r="D32" s="266" t="str">
        <f>VLOOKUP(Tabla110[[#This Row],[Asesor]],Tabla2[[Asesores]:[TIPO]],2,0)</f>
        <v>INTERNO</v>
      </c>
      <c r="E32" s="268" t="s">
        <v>892</v>
      </c>
      <c r="F32" s="267" t="s">
        <v>3793</v>
      </c>
      <c r="G32" s="50" t="s">
        <v>228</v>
      </c>
      <c r="H32" s="269">
        <v>5</v>
      </c>
      <c r="I32" s="275">
        <v>6537.9920000000002</v>
      </c>
      <c r="J32" s="260">
        <f>+Tabla110[[#This Row],[Precio Bruto]]*1.16</f>
        <v>7584.0707199999997</v>
      </c>
      <c r="L32" s="270">
        <f>++(Tabla110[[#This Row],[Precio Unitario Neto]]*Tabla110[[#This Row],[Cantidad]])-(Tabla110[[#This Row],[Cantidad]]*Tabla110[[#This Row],[Apoyo]])</f>
        <v>37920.353600000002</v>
      </c>
      <c r="M32" s="270" t="e">
        <f>((INDEX(Tabla6[#All],MATCH(Tabla110[[#This Row],[Producto]],Tabla6[[#All],[PRODUCTO]],0),MATCH(Tabla110[[#This Row],[Mes]],Tabla6[#Headers],0)))*(1+(IF(Tabla110[[#This Row],[FLETE]]="no",Catalogos!$M$2,Catalogos!$L$2))))</f>
        <v>#N/A</v>
      </c>
      <c r="N32" s="270" t="e">
        <f>+IF((Tabla110[[#This Row],[Precio Unitario Neto]]-Tabla110[[#This Row],[Apoyo]]-Tabla110[[#This Row],[COSTO + INDI]])&lt;=0,0,(Tabla110[[#This Row],[Precio Unitario Neto]]-Tabla110[[#This Row],[Apoyo]]-Tabla110[[#This Row],[COSTO + INDI]]))</f>
        <v>#N/A</v>
      </c>
      <c r="O32" s="258" t="e">
        <f>++Tabla110[[#This Row],[Utilidad Neta x Eq.]]*Tabla110[[#This Row],[Cantidad]]</f>
        <v>#N/A</v>
      </c>
      <c r="P32" s="271" t="e">
        <f>++Tabla110[[#This Row],[Utilidad Neta Total]]/Tabla110[[#This Row],[Venta Total]]</f>
        <v>#N/A</v>
      </c>
      <c r="Q32" s="258" t="s">
        <v>604</v>
      </c>
      <c r="R32" s="272" t="e">
        <f>INDEX(Tabla6[#All],MATCH(Tabla110[[#This Row],[Producto]],Tabla6[[#All],[PRODUCTO]],0),MATCH(Tabla110[[#This Row],[Mes]],Tabla6[#Headers],0))</f>
        <v>#N/A</v>
      </c>
      <c r="S32" s="260" t="e">
        <f>++Tabla110[[#This Row],[Precio Unitario Neto]]-Tabla110[[#This Row],[Apoyo]]-Tabla110[[#This Row],[Costo unitario]]</f>
        <v>#N/A</v>
      </c>
      <c r="T32" s="273" t="e">
        <f>+Tabla110[[#This Row],[Utilidad Bruta]]*Tabla110[[#This Row],[Cantidad]]</f>
        <v>#N/A</v>
      </c>
      <c r="U32" s="404" t="e">
        <f>++Tabla110[[#This Row],[Utilidad Bruta Total]]*$V$1</f>
        <v>#N/A</v>
      </c>
      <c r="V32" s="278" t="e">
        <f>++Tabla110[[#This Row],[Utilidad Bruta Total]]*$V$1</f>
        <v>#N/A</v>
      </c>
      <c r="W32" s="278">
        <f>VLOOKUP(Tabla110[[#This Row],[Producto]],'NUEVAS LISTAS'!$B$3:$P$403,'Ventas '!W$6,FALSE)</f>
        <v>7569</v>
      </c>
      <c r="X32" s="278">
        <f>VLOOKUP(Tabla110[[#This Row],[Producto]],'NUEVAS LISTAS'!$B$3:$P$403,'Ventas '!X$6,FALSE)</f>
        <v>7969</v>
      </c>
      <c r="Y32" s="278">
        <f>VLOOKUP(Tabla110[[#This Row],[Producto]],'NUEVAS LISTAS'!$B$3:$P$403,'Ventas '!Y$6,FALSE)</f>
        <v>8389</v>
      </c>
      <c r="Z32" s="278">
        <f>VLOOKUP(Tabla110[[#This Row],[Producto]],'NUEVAS LISTAS'!$B$3:$P$403,'Ventas '!Z$6,FALSE)</f>
        <v>8829</v>
      </c>
      <c r="AA32" s="543">
        <f>IF(AB32&lt;$AC$2,0,IF(Tabla110[[#This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2" s="539">
        <f>SUMIFS(Tabla110[[#All],[Venta Total]],Tabla110[[#All],[Asesor]],Tabla110[[#This Row],[Asesor]],Tabla110[[#All],[Fecha Cobranza]],"&lt;="&amp;Tabla110[[#This Row],[Fecha Cobranza]],Tabla110[[#All],[Fecha Cobranza]],"&gt;="&amp;Tabla110[[#This Row],[Fecha Cobranza]]-28)</f>
        <v>1481687.3719999997</v>
      </c>
      <c r="AC32" s="542">
        <f t="shared" si="3"/>
        <v>0</v>
      </c>
      <c r="AD32" s="544">
        <f t="shared" si="4"/>
        <v>0.02</v>
      </c>
      <c r="AE32" s="545">
        <f>+AD32*Tabla110[[#This Row],[Venta Total]]</f>
        <v>758.40707200000008</v>
      </c>
    </row>
    <row r="33" spans="1:31" x14ac:dyDescent="0.2">
      <c r="A33" s="264">
        <v>46006</v>
      </c>
      <c r="B33" s="274" t="str">
        <f>TEXT(A33,"mmmm")</f>
        <v>December</v>
      </c>
      <c r="C33" s="265" t="s">
        <v>455</v>
      </c>
      <c r="D33" s="266" t="str">
        <f>VLOOKUP(Tabla110[[#This Row],[Asesor]],Tabla2[[Asesores]:[TIPO]],2,0)</f>
        <v>INTERNO</v>
      </c>
      <c r="E33" s="268" t="s">
        <v>892</v>
      </c>
      <c r="F33" s="267" t="s">
        <v>3794</v>
      </c>
      <c r="G33" s="50" t="s">
        <v>83</v>
      </c>
      <c r="H33" s="269">
        <v>4</v>
      </c>
      <c r="I33" s="275">
        <v>7415.1450000000004</v>
      </c>
      <c r="J33" s="260">
        <f>+Tabla110[[#This Row],[Precio Bruto]]*1.16</f>
        <v>8601.5681999999997</v>
      </c>
      <c r="L33" s="270">
        <f>++(Tabla110[[#This Row],[Precio Unitario Neto]]*Tabla110[[#This Row],[Cantidad]])-(Tabla110[[#This Row],[Cantidad]]*Tabla110[[#This Row],[Apoyo]])</f>
        <v>34406.272799999999</v>
      </c>
      <c r="M33" s="270" t="e">
        <f>((INDEX(Tabla6[#All],MATCH(Tabla110[[#This Row],[Producto]],Tabla6[[#All],[PRODUCTO]],0),MATCH(Tabla110[[#This Row],[Mes]],Tabla6[#Headers],0)))*(1+(IF(Tabla110[[#This Row],[FLETE]]="no",Catalogos!$M$2,Catalogos!$L$2))))</f>
        <v>#N/A</v>
      </c>
      <c r="N33" s="270" t="e">
        <f>+IF((Tabla110[[#This Row],[Precio Unitario Neto]]-Tabla110[[#This Row],[Apoyo]]-Tabla110[[#This Row],[COSTO + INDI]])&lt;=0,0,(Tabla110[[#This Row],[Precio Unitario Neto]]-Tabla110[[#This Row],[Apoyo]]-Tabla110[[#This Row],[COSTO + INDI]]))</f>
        <v>#N/A</v>
      </c>
      <c r="O33" s="258" t="e">
        <f>++Tabla110[[#This Row],[Utilidad Neta x Eq.]]*Tabla110[[#This Row],[Cantidad]]</f>
        <v>#N/A</v>
      </c>
      <c r="P33" s="271" t="e">
        <f>++Tabla110[[#This Row],[Utilidad Neta Total]]/Tabla110[[#This Row],[Venta Total]]</f>
        <v>#N/A</v>
      </c>
      <c r="Q33" s="258" t="s">
        <v>604</v>
      </c>
      <c r="R33" s="272" t="e">
        <f>INDEX(Tabla6[#All],MATCH(Tabla110[[#This Row],[Producto]],Tabla6[[#All],[PRODUCTO]],0),MATCH(Tabla110[[#This Row],[Mes]],Tabla6[#Headers],0))</f>
        <v>#N/A</v>
      </c>
      <c r="S33" s="260" t="e">
        <f>++Tabla110[[#This Row],[Precio Unitario Neto]]-Tabla110[[#This Row],[Apoyo]]-Tabla110[[#This Row],[Costo unitario]]</f>
        <v>#N/A</v>
      </c>
      <c r="T33" s="273" t="e">
        <f>+Tabla110[[#This Row],[Utilidad Bruta]]*Tabla110[[#This Row],[Cantidad]]</f>
        <v>#N/A</v>
      </c>
      <c r="U33" s="404" t="e">
        <f>++Tabla110[[#This Row],[Utilidad Bruta Total]]*$V$1</f>
        <v>#N/A</v>
      </c>
      <c r="V33" s="278" t="e">
        <f>++Tabla110[[#This Row],[Utilidad Bruta Total]]*$V$1</f>
        <v>#N/A</v>
      </c>
      <c r="W33" s="278">
        <f>VLOOKUP(Tabla110[[#This Row],[Producto]],'NUEVAS LISTAS'!$B$3:$P$403,'Ventas '!W$6,FALSE)</f>
        <v>7849</v>
      </c>
      <c r="X33" s="278">
        <f>VLOOKUP(Tabla110[[#This Row],[Producto]],'NUEVAS LISTAS'!$B$3:$P$403,'Ventas '!X$6,FALSE)</f>
        <v>8249</v>
      </c>
      <c r="Y33" s="278">
        <f>VLOOKUP(Tabla110[[#This Row],[Producto]],'NUEVAS LISTAS'!$B$3:$P$403,'Ventas '!Y$6,FALSE)</f>
        <v>8699</v>
      </c>
      <c r="Z33" s="278">
        <f>VLOOKUP(Tabla110[[#This Row],[Producto]],'NUEVAS LISTAS'!$B$3:$P$403,'Ventas '!Z$6,FALSE)</f>
        <v>9149</v>
      </c>
      <c r="AA33" s="543">
        <f>IF(AB33&lt;$AC$2,0,IF(Tabla110[[#This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33" s="539">
        <f>SUMIFS(Tabla110[[#All],[Venta Total]],Tabla110[[#All],[Asesor]],Tabla110[[#This Row],[Asesor]],Tabla110[[#All],[Fecha Cobranza]],"&lt;="&amp;Tabla110[[#This Row],[Fecha Cobranza]],Tabla110[[#All],[Fecha Cobranza]],"&gt;="&amp;Tabla110[[#This Row],[Fecha Cobranza]]-28)</f>
        <v>1481687.3719999997</v>
      </c>
      <c r="AC33" s="542">
        <f t="shared" si="3"/>
        <v>0</v>
      </c>
      <c r="AD33" s="544">
        <f t="shared" si="4"/>
        <v>2.2499999999999999E-2</v>
      </c>
      <c r="AE33" s="545">
        <f>+AD33*Tabla110[[#This Row],[Venta Total]]</f>
        <v>774.14113799999996</v>
      </c>
    </row>
    <row r="34" spans="1:31" x14ac:dyDescent="0.2">
      <c r="A34" s="264">
        <v>46006</v>
      </c>
      <c r="B34" s="274" t="str">
        <f t="shared" ref="B34:B36" si="9">TEXT(A34,"mmmm")</f>
        <v>December</v>
      </c>
      <c r="C34" s="265" t="s">
        <v>455</v>
      </c>
      <c r="D34" s="266" t="str">
        <f>VLOOKUP(Tabla110[[#This Row],[Asesor]],Tabla2[[Asesores]:[TIPO]],2,0)</f>
        <v>INTERNO</v>
      </c>
      <c r="E34" s="268" t="s">
        <v>892</v>
      </c>
      <c r="F34" s="267" t="s">
        <v>3795</v>
      </c>
      <c r="G34" s="50" t="s">
        <v>22</v>
      </c>
      <c r="H34" s="269">
        <v>1</v>
      </c>
      <c r="I34" s="275">
        <v>10086.48</v>
      </c>
      <c r="J34" s="260">
        <f>+Tabla110[[#This Row],[Precio Bruto]]*1.16</f>
        <v>11700.316799999999</v>
      </c>
      <c r="L34" s="270">
        <f>++(Tabla110[[#This Row],[Precio Unitario Neto]]*Tabla110[[#This Row],[Cantidad]])-(Tabla110[[#This Row],[Cantidad]]*Tabla110[[#This Row],[Apoyo]])</f>
        <v>11700.316799999999</v>
      </c>
      <c r="M34" s="270" t="e">
        <f>((INDEX(Tabla6[#All],MATCH(Tabla110[[#This Row],[Producto]],Tabla6[[#All],[PRODUCTO]],0),MATCH(Tabla110[[#This Row],[Mes]],Tabla6[#Headers],0)))*(1+(IF(Tabla110[[#This Row],[FLETE]]="no",Catalogos!$M$2,Catalogos!$L$2))))</f>
        <v>#N/A</v>
      </c>
      <c r="N34" s="270" t="e">
        <f>+IF((Tabla110[[#This Row],[Precio Unitario Neto]]-Tabla110[[#This Row],[Apoyo]]-Tabla110[[#This Row],[COSTO + INDI]])&lt;=0,0,(Tabla110[[#This Row],[Precio Unitario Neto]]-Tabla110[[#This Row],[Apoyo]]-Tabla110[[#This Row],[COSTO + INDI]]))</f>
        <v>#N/A</v>
      </c>
      <c r="O34" s="258" t="e">
        <f>++Tabla110[[#This Row],[Utilidad Neta x Eq.]]*Tabla110[[#This Row],[Cantidad]]</f>
        <v>#N/A</v>
      </c>
      <c r="P34" s="271" t="e">
        <f>++Tabla110[[#This Row],[Utilidad Neta Total]]/Tabla110[[#This Row],[Venta Total]]</f>
        <v>#N/A</v>
      </c>
      <c r="Q34" s="258" t="s">
        <v>604</v>
      </c>
      <c r="R34" s="272" t="e">
        <f>INDEX(Tabla6[#All],MATCH(Tabla110[[#This Row],[Producto]],Tabla6[[#All],[PRODUCTO]],0),MATCH(Tabla110[[#This Row],[Mes]],Tabla6[#Headers],0))</f>
        <v>#N/A</v>
      </c>
      <c r="S34" s="260" t="e">
        <f>++Tabla110[[#This Row],[Precio Unitario Neto]]-Tabla110[[#This Row],[Apoyo]]-Tabla110[[#This Row],[Costo unitario]]</f>
        <v>#N/A</v>
      </c>
      <c r="T34" s="273" t="e">
        <f>+Tabla110[[#This Row],[Utilidad Bruta]]*Tabla110[[#This Row],[Cantidad]]</f>
        <v>#N/A</v>
      </c>
      <c r="U34" s="404" t="e">
        <f>++Tabla110[[#This Row],[Utilidad Bruta Total]]*$V$1</f>
        <v>#N/A</v>
      </c>
      <c r="V34" s="278" t="e">
        <f>++Tabla110[[#This Row],[Utilidad Bruta Total]]*$V$1</f>
        <v>#N/A</v>
      </c>
      <c r="W34" s="278">
        <f>VLOOKUP(Tabla110[[#This Row],[Producto]],'NUEVAS LISTAS'!$B$3:$P$403,'Ventas '!W$6,FALSE)</f>
        <v>13649</v>
      </c>
      <c r="X34" s="278">
        <f>VLOOKUP(Tabla110[[#This Row],[Producto]],'NUEVAS LISTAS'!$B$3:$P$403,'Ventas '!X$6,FALSE)</f>
        <v>14349</v>
      </c>
      <c r="Y34" s="278">
        <f>VLOOKUP(Tabla110[[#This Row],[Producto]],'NUEVAS LISTAS'!$B$3:$P$403,'Ventas '!Y$6,FALSE)</f>
        <v>15099</v>
      </c>
      <c r="Z34" s="278">
        <f>VLOOKUP(Tabla110[[#This Row],[Producto]],'NUEVAS LISTAS'!$B$3:$P$403,'Ventas '!Z$6,FALSE)</f>
        <v>15899</v>
      </c>
      <c r="AA34" s="543">
        <f>IF(AB34&lt;$AC$2,0,IF(Tabla110[[#This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4" s="539">
        <f>SUMIFS(Tabla110[[#All],[Venta Total]],Tabla110[[#All],[Asesor]],Tabla110[[#This Row],[Asesor]],Tabla110[[#All],[Fecha Cobranza]],"&lt;="&amp;Tabla110[[#This Row],[Fecha Cobranza]],Tabla110[[#All],[Fecha Cobranza]],"&gt;="&amp;Tabla110[[#This Row],[Fecha Cobranza]]-28)</f>
        <v>1481687.3719999997</v>
      </c>
      <c r="AC34" s="542">
        <f t="shared" si="3"/>
        <v>0</v>
      </c>
      <c r="AD34" s="544">
        <f t="shared" si="4"/>
        <v>0.02</v>
      </c>
      <c r="AE34" s="545">
        <f>+AD34*Tabla110[[#This Row],[Venta Total]]</f>
        <v>234.00633599999998</v>
      </c>
    </row>
    <row r="35" spans="1:31" x14ac:dyDescent="0.2">
      <c r="A35" s="264">
        <v>46006</v>
      </c>
      <c r="B35" s="274" t="str">
        <f t="shared" si="9"/>
        <v>December</v>
      </c>
      <c r="C35" s="265" t="s">
        <v>455</v>
      </c>
      <c r="D35" s="266" t="str">
        <f>VLOOKUP(Tabla110[[#This Row],[Asesor]],Tabla2[[Asesores]:[TIPO]],2,0)</f>
        <v>INTERNO</v>
      </c>
      <c r="E35" s="268" t="s">
        <v>892</v>
      </c>
      <c r="F35" s="267" t="s">
        <v>3795</v>
      </c>
      <c r="G35" s="50" t="s">
        <v>575</v>
      </c>
      <c r="H35" s="269">
        <v>2</v>
      </c>
      <c r="I35" s="275">
        <v>9887.1299999999992</v>
      </c>
      <c r="J35" s="260">
        <f>+Tabla110[[#This Row],[Precio Bruto]]*1.16</f>
        <v>11469.070799999998</v>
      </c>
      <c r="L35" s="270">
        <f>++(Tabla110[[#This Row],[Precio Unitario Neto]]*Tabla110[[#This Row],[Cantidad]])-(Tabla110[[#This Row],[Cantidad]]*Tabla110[[#This Row],[Apoyo]])</f>
        <v>22938.141599999995</v>
      </c>
      <c r="M35" s="270" t="e">
        <f>((INDEX(Tabla6[#All],MATCH(Tabla110[[#This Row],[Producto]],Tabla6[[#All],[PRODUCTO]],0),MATCH(Tabla110[[#This Row],[Mes]],Tabla6[#Headers],0)))*(1+(IF(Tabla110[[#This Row],[FLETE]]="no",Catalogos!$M$2,Catalogos!$L$2))))</f>
        <v>#N/A</v>
      </c>
      <c r="N35" s="270" t="e">
        <f>+IF((Tabla110[[#This Row],[Precio Unitario Neto]]-Tabla110[[#This Row],[Apoyo]]-Tabla110[[#This Row],[COSTO + INDI]])&lt;=0,0,(Tabla110[[#This Row],[Precio Unitario Neto]]-Tabla110[[#This Row],[Apoyo]]-Tabla110[[#This Row],[COSTO + INDI]]))</f>
        <v>#N/A</v>
      </c>
      <c r="O35" s="258" t="e">
        <f>++Tabla110[[#This Row],[Utilidad Neta x Eq.]]*Tabla110[[#This Row],[Cantidad]]</f>
        <v>#N/A</v>
      </c>
      <c r="P35" s="271" t="e">
        <f>++Tabla110[[#This Row],[Utilidad Neta Total]]/Tabla110[[#This Row],[Venta Total]]</f>
        <v>#N/A</v>
      </c>
      <c r="Q35" s="258" t="s">
        <v>604</v>
      </c>
      <c r="R35" s="272" t="e">
        <f>INDEX(Tabla6[#All],MATCH(Tabla110[[#This Row],[Producto]],Tabla6[[#All],[PRODUCTO]],0),MATCH(Tabla110[[#This Row],[Mes]],Tabla6[#Headers],0))</f>
        <v>#N/A</v>
      </c>
      <c r="S35" s="260" t="e">
        <f>++Tabla110[[#This Row],[Precio Unitario Neto]]-Tabla110[[#This Row],[Apoyo]]-Tabla110[[#This Row],[Costo unitario]]</f>
        <v>#N/A</v>
      </c>
      <c r="T35" s="273" t="e">
        <f>+Tabla110[[#This Row],[Utilidad Bruta]]*Tabla110[[#This Row],[Cantidad]]</f>
        <v>#N/A</v>
      </c>
      <c r="U35" s="404" t="e">
        <f>++Tabla110[[#This Row],[Utilidad Bruta Total]]*$V$1</f>
        <v>#N/A</v>
      </c>
      <c r="V35" s="278" t="e">
        <f>++Tabla110[[#This Row],[Utilidad Bruta Total]]*$V$1</f>
        <v>#N/A</v>
      </c>
      <c r="W35" s="278">
        <f>VLOOKUP(Tabla110[[#This Row],[Producto]],'NUEVAS LISTAS'!$B$3:$P$403,'Ventas '!W$6,FALSE)</f>
        <v>14309</v>
      </c>
      <c r="X35" s="278">
        <f>VLOOKUP(Tabla110[[#This Row],[Producto]],'NUEVAS LISTAS'!$B$3:$P$403,'Ventas '!X$6,FALSE)</f>
        <v>15059</v>
      </c>
      <c r="Y35" s="278">
        <f>VLOOKUP(Tabla110[[#This Row],[Producto]],'NUEVAS LISTAS'!$B$3:$P$403,'Ventas '!Y$6,FALSE)</f>
        <v>15849</v>
      </c>
      <c r="Z35" s="278">
        <f>VLOOKUP(Tabla110[[#This Row],[Producto]],'NUEVAS LISTAS'!$B$3:$P$403,'Ventas '!Z$6,FALSE)</f>
        <v>16679</v>
      </c>
      <c r="AA35" s="543">
        <f>IF(AB35&lt;$AC$2,0,IF(Tabla110[[#This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5" s="539">
        <f>SUMIFS(Tabla110[[#All],[Venta Total]],Tabla110[[#All],[Asesor]],Tabla110[[#This Row],[Asesor]],Tabla110[[#All],[Fecha Cobranza]],"&lt;="&amp;Tabla110[[#This Row],[Fecha Cobranza]],Tabla110[[#All],[Fecha Cobranza]],"&gt;="&amp;Tabla110[[#This Row],[Fecha Cobranza]]-28)</f>
        <v>1481687.3719999997</v>
      </c>
      <c r="AC35" s="542">
        <f t="shared" si="3"/>
        <v>0</v>
      </c>
      <c r="AD35" s="544">
        <f t="shared" si="4"/>
        <v>0.02</v>
      </c>
      <c r="AE35" s="545">
        <f>+AD35*Tabla110[[#This Row],[Venta Total]]</f>
        <v>458.76283199999989</v>
      </c>
    </row>
    <row r="36" spans="1:31" x14ac:dyDescent="0.2">
      <c r="A36" s="264">
        <v>46006</v>
      </c>
      <c r="B36" s="274" t="str">
        <f t="shared" si="9"/>
        <v>December</v>
      </c>
      <c r="C36" s="265" t="s">
        <v>455</v>
      </c>
      <c r="D36" s="266" t="str">
        <f>VLOOKUP(Tabla110[[#This Row],[Asesor]],Tabla2[[Asesores]:[TIPO]],2,0)</f>
        <v>INTERNO</v>
      </c>
      <c r="E36" s="268" t="s">
        <v>892</v>
      </c>
      <c r="F36" s="267" t="s">
        <v>3795</v>
      </c>
      <c r="G36" s="50" t="s">
        <v>530</v>
      </c>
      <c r="H36" s="269">
        <v>1</v>
      </c>
      <c r="I36" s="275">
        <v>11960.41</v>
      </c>
      <c r="J36" s="260">
        <f>+Tabla110[[#This Row],[Precio Bruto]]*1.16</f>
        <v>13874.075599999998</v>
      </c>
      <c r="L36" s="270">
        <f>++(Tabla110[[#This Row],[Precio Unitario Neto]]*Tabla110[[#This Row],[Cantidad]])-(Tabla110[[#This Row],[Cantidad]]*Tabla110[[#This Row],[Apoyo]])</f>
        <v>13874.075599999998</v>
      </c>
      <c r="M36" s="270" t="e">
        <f>((INDEX(Tabla6[#All],MATCH(Tabla110[[#This Row],[Producto]],Tabla6[[#All],[PRODUCTO]],0),MATCH(Tabla110[[#This Row],[Mes]],Tabla6[#Headers],0)))*(1+(IF(Tabla110[[#This Row],[FLETE]]="no",Catalogos!$M$2,Catalogos!$L$2))))</f>
        <v>#N/A</v>
      </c>
      <c r="N36" s="270" t="e">
        <f>+IF((Tabla110[[#This Row],[Precio Unitario Neto]]-Tabla110[[#This Row],[Apoyo]]-Tabla110[[#This Row],[COSTO + INDI]])&lt;=0,0,(Tabla110[[#This Row],[Precio Unitario Neto]]-Tabla110[[#This Row],[Apoyo]]-Tabla110[[#This Row],[COSTO + INDI]]))</f>
        <v>#N/A</v>
      </c>
      <c r="O36" s="258" t="e">
        <f>++Tabla110[[#This Row],[Utilidad Neta x Eq.]]*Tabla110[[#This Row],[Cantidad]]</f>
        <v>#N/A</v>
      </c>
      <c r="P36" s="271" t="e">
        <f>++Tabla110[[#This Row],[Utilidad Neta Total]]/Tabla110[[#This Row],[Venta Total]]</f>
        <v>#N/A</v>
      </c>
      <c r="Q36" s="258" t="s">
        <v>604</v>
      </c>
      <c r="R36" s="272" t="e">
        <f>INDEX(Tabla6[#All],MATCH(Tabla110[[#This Row],[Producto]],Tabla6[[#All],[PRODUCTO]],0),MATCH(Tabla110[[#This Row],[Mes]],Tabla6[#Headers],0))</f>
        <v>#N/A</v>
      </c>
      <c r="S36" s="260" t="e">
        <f>++Tabla110[[#This Row],[Precio Unitario Neto]]-Tabla110[[#This Row],[Apoyo]]-Tabla110[[#This Row],[Costo unitario]]</f>
        <v>#N/A</v>
      </c>
      <c r="T36" s="273" t="e">
        <f>+Tabla110[[#This Row],[Utilidad Bruta]]*Tabla110[[#This Row],[Cantidad]]</f>
        <v>#N/A</v>
      </c>
      <c r="U36" s="404" t="e">
        <f>++Tabla110[[#This Row],[Utilidad Bruta Total]]*$V$1</f>
        <v>#N/A</v>
      </c>
      <c r="V36" s="278" t="e">
        <f>++Tabla110[[#This Row],[Utilidad Bruta Total]]*$V$1</f>
        <v>#N/A</v>
      </c>
      <c r="W36" s="278">
        <f>VLOOKUP(Tabla110[[#This Row],[Producto]],'NUEVAS LISTAS'!$B$3:$P$403,'Ventas '!W$6,FALSE)</f>
        <v>17479</v>
      </c>
      <c r="X36" s="278">
        <f>VLOOKUP(Tabla110[[#This Row],[Producto]],'NUEVAS LISTAS'!$B$3:$P$403,'Ventas '!X$6,FALSE)</f>
        <v>18399</v>
      </c>
      <c r="Y36" s="278">
        <f>VLOOKUP(Tabla110[[#This Row],[Producto]],'NUEVAS LISTAS'!$B$3:$P$403,'Ventas '!Y$6,FALSE)</f>
        <v>19369</v>
      </c>
      <c r="Z36" s="278">
        <f>VLOOKUP(Tabla110[[#This Row],[Producto]],'NUEVAS LISTAS'!$B$3:$P$403,'Ventas '!Z$6,FALSE)</f>
        <v>20389</v>
      </c>
      <c r="AA36" s="543">
        <f>IF(AB36&lt;$AC$2,0,IF(Tabla110[[#This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6" s="539">
        <f>SUMIFS(Tabla110[[#All],[Venta Total]],Tabla110[[#All],[Asesor]],Tabla110[[#This Row],[Asesor]],Tabla110[[#All],[Fecha Cobranza]],"&lt;="&amp;Tabla110[[#This Row],[Fecha Cobranza]],Tabla110[[#All],[Fecha Cobranza]],"&gt;="&amp;Tabla110[[#This Row],[Fecha Cobranza]]-28)</f>
        <v>1481687.3719999997</v>
      </c>
      <c r="AC36" s="542">
        <f t="shared" si="3"/>
        <v>0</v>
      </c>
      <c r="AD36" s="544">
        <f t="shared" si="4"/>
        <v>0.02</v>
      </c>
      <c r="AE36" s="545">
        <f>+AD36*Tabla110[[#This Row],[Venta Total]]</f>
        <v>277.48151199999995</v>
      </c>
    </row>
    <row r="37" spans="1:31" x14ac:dyDescent="0.2">
      <c r="A37" s="264">
        <v>46006</v>
      </c>
      <c r="B37" s="274" t="str">
        <f>TEXT(A37,"mmmm")</f>
        <v>December</v>
      </c>
      <c r="C37" s="265" t="s">
        <v>455</v>
      </c>
      <c r="D37" s="266" t="str">
        <f>VLOOKUP(Tabla110[[#This Row],[Asesor]],Tabla2[[Asesores]:[TIPO]],2,0)</f>
        <v>INTERNO</v>
      </c>
      <c r="E37" s="268" t="s">
        <v>892</v>
      </c>
      <c r="F37" s="267" t="s">
        <v>3796</v>
      </c>
      <c r="G37" s="50" t="s">
        <v>228</v>
      </c>
      <c r="H37" s="269">
        <v>5</v>
      </c>
      <c r="I37" s="275">
        <v>6537.9920000000002</v>
      </c>
      <c r="J37" s="260">
        <f>+Tabla110[[#This Row],[Precio Bruto]]*1.16</f>
        <v>7584.0707199999997</v>
      </c>
      <c r="L37" s="270">
        <f>++(Tabla110[[#This Row],[Precio Unitario Neto]]*Tabla110[[#This Row],[Cantidad]])-(Tabla110[[#This Row],[Cantidad]]*Tabla110[[#This Row],[Apoyo]])</f>
        <v>37920.353600000002</v>
      </c>
      <c r="M37" s="270" t="e">
        <f>((INDEX(Tabla6[#All],MATCH(Tabla110[[#This Row],[Producto]],Tabla6[[#All],[PRODUCTO]],0),MATCH(Tabla110[[#This Row],[Mes]],Tabla6[#Headers],0)))*(1+(IF(Tabla110[[#This Row],[FLETE]]="no",Catalogos!$M$2,Catalogos!$L$2))))</f>
        <v>#N/A</v>
      </c>
      <c r="N37" s="270" t="e">
        <f>+IF((Tabla110[[#This Row],[Precio Unitario Neto]]-Tabla110[[#This Row],[Apoyo]]-Tabla110[[#This Row],[COSTO + INDI]])&lt;=0,0,(Tabla110[[#This Row],[Precio Unitario Neto]]-Tabla110[[#This Row],[Apoyo]]-Tabla110[[#This Row],[COSTO + INDI]]))</f>
        <v>#N/A</v>
      </c>
      <c r="O37" s="258" t="e">
        <f>++Tabla110[[#This Row],[Utilidad Neta x Eq.]]*Tabla110[[#This Row],[Cantidad]]</f>
        <v>#N/A</v>
      </c>
      <c r="P37" s="271" t="e">
        <f>++Tabla110[[#This Row],[Utilidad Neta Total]]/Tabla110[[#This Row],[Venta Total]]</f>
        <v>#N/A</v>
      </c>
      <c r="Q37" s="258" t="s">
        <v>604</v>
      </c>
      <c r="R37" s="272" t="e">
        <f>INDEX(Tabla6[#All],MATCH(Tabla110[[#This Row],[Producto]],Tabla6[[#All],[PRODUCTO]],0),MATCH(Tabla110[[#This Row],[Mes]],Tabla6[#Headers],0))</f>
        <v>#N/A</v>
      </c>
      <c r="S37" s="260" t="e">
        <f>++Tabla110[[#This Row],[Precio Unitario Neto]]-Tabla110[[#This Row],[Apoyo]]-Tabla110[[#This Row],[Costo unitario]]</f>
        <v>#N/A</v>
      </c>
      <c r="T37" s="273" t="e">
        <f>+Tabla110[[#This Row],[Utilidad Bruta]]*Tabla110[[#This Row],[Cantidad]]</f>
        <v>#N/A</v>
      </c>
      <c r="U37" s="404" t="e">
        <f>++Tabla110[[#This Row],[Utilidad Bruta Total]]*$V$1</f>
        <v>#N/A</v>
      </c>
      <c r="V37" s="278" t="e">
        <f>++Tabla110[[#This Row],[Utilidad Bruta Total]]*$V$1</f>
        <v>#N/A</v>
      </c>
      <c r="W37" s="278">
        <f>VLOOKUP(Tabla110[[#This Row],[Producto]],'NUEVAS LISTAS'!$B$3:$P$403,'Ventas '!W$6,FALSE)</f>
        <v>7569</v>
      </c>
      <c r="X37" s="278">
        <f>VLOOKUP(Tabla110[[#This Row],[Producto]],'NUEVAS LISTAS'!$B$3:$P$403,'Ventas '!X$6,FALSE)</f>
        <v>7969</v>
      </c>
      <c r="Y37" s="278">
        <f>VLOOKUP(Tabla110[[#This Row],[Producto]],'NUEVAS LISTAS'!$B$3:$P$403,'Ventas '!Y$6,FALSE)</f>
        <v>8389</v>
      </c>
      <c r="Z37" s="278">
        <f>VLOOKUP(Tabla110[[#This Row],[Producto]],'NUEVAS LISTAS'!$B$3:$P$403,'Ventas '!Z$6,FALSE)</f>
        <v>8829</v>
      </c>
      <c r="AA37" s="543">
        <f>IF(AB37&lt;$AC$2,0,IF(Tabla110[[#This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7" s="539">
        <f>SUMIFS(Tabla110[[#All],[Venta Total]],Tabla110[[#All],[Asesor]],Tabla110[[#This Row],[Asesor]],Tabla110[[#All],[Fecha Cobranza]],"&lt;="&amp;Tabla110[[#This Row],[Fecha Cobranza]],Tabla110[[#All],[Fecha Cobranza]],"&gt;="&amp;Tabla110[[#This Row],[Fecha Cobranza]]-28)</f>
        <v>1481687.3719999997</v>
      </c>
      <c r="AC37" s="542">
        <f t="shared" si="3"/>
        <v>0</v>
      </c>
      <c r="AD37" s="544">
        <f t="shared" si="4"/>
        <v>0.02</v>
      </c>
      <c r="AE37" s="545">
        <f>+AD37*Tabla110[[#This Row],[Venta Total]]</f>
        <v>758.40707200000008</v>
      </c>
    </row>
    <row r="38" spans="1:31" x14ac:dyDescent="0.2">
      <c r="A38" s="264">
        <v>46006</v>
      </c>
      <c r="B38" s="274" t="str">
        <f t="shared" ref="B38:B39" si="10">TEXT(A38,"mmmm")</f>
        <v>December</v>
      </c>
      <c r="C38" s="265" t="s">
        <v>455</v>
      </c>
      <c r="D38" s="266" t="str">
        <f>VLOOKUP(Tabla110[[#This Row],[Asesor]],Tabla2[[Asesores]:[TIPO]],2,0)</f>
        <v>INTERNO</v>
      </c>
      <c r="E38" s="268" t="s">
        <v>634</v>
      </c>
      <c r="F38" s="267" t="s">
        <v>3797</v>
      </c>
      <c r="G38" s="50" t="s">
        <v>370</v>
      </c>
      <c r="H38" s="269">
        <v>30</v>
      </c>
      <c r="I38" s="275">
        <v>2007.73</v>
      </c>
      <c r="J38" s="260">
        <f>+Tabla110[[#This Row],[Precio Bruto]]*1.16</f>
        <v>2328.9667999999997</v>
      </c>
      <c r="L38" s="270">
        <f>++(Tabla110[[#This Row],[Precio Unitario Neto]]*Tabla110[[#This Row],[Cantidad]])-(Tabla110[[#This Row],[Cantidad]]*Tabla110[[#This Row],[Apoyo]])</f>
        <v>69869.003999999986</v>
      </c>
      <c r="M38" s="270" t="e">
        <f>((INDEX(Tabla6[#All],MATCH(Tabla110[[#This Row],[Producto]],Tabla6[[#All],[PRODUCTO]],0),MATCH(Tabla110[[#This Row],[Mes]],Tabla6[#Headers],0)))*(1+(IF(Tabla110[[#This Row],[FLETE]]="no",Catalogos!$M$2,Catalogos!$L$2))))</f>
        <v>#N/A</v>
      </c>
      <c r="N38" s="270" t="e">
        <f>+IF((Tabla110[[#This Row],[Precio Unitario Neto]]-Tabla110[[#This Row],[Apoyo]]-Tabla110[[#This Row],[COSTO + INDI]])&lt;=0,0,(Tabla110[[#This Row],[Precio Unitario Neto]]-Tabla110[[#This Row],[Apoyo]]-Tabla110[[#This Row],[COSTO + INDI]]))</f>
        <v>#N/A</v>
      </c>
      <c r="O38" s="258" t="e">
        <f>++Tabla110[[#This Row],[Utilidad Neta x Eq.]]*Tabla110[[#This Row],[Cantidad]]</f>
        <v>#N/A</v>
      </c>
      <c r="P38" s="271" t="e">
        <f>++Tabla110[[#This Row],[Utilidad Neta Total]]/Tabla110[[#This Row],[Venta Total]]</f>
        <v>#N/A</v>
      </c>
      <c r="Q38" s="258" t="s">
        <v>604</v>
      </c>
      <c r="R38" s="272" t="e">
        <f>INDEX(Tabla6[#All],MATCH(Tabla110[[#This Row],[Producto]],Tabla6[[#All],[PRODUCTO]],0),MATCH(Tabla110[[#This Row],[Mes]],Tabla6[#Headers],0))</f>
        <v>#N/A</v>
      </c>
      <c r="S38" s="260" t="e">
        <f>++Tabla110[[#This Row],[Precio Unitario Neto]]-Tabla110[[#This Row],[Apoyo]]-Tabla110[[#This Row],[Costo unitario]]</f>
        <v>#N/A</v>
      </c>
      <c r="T38" s="273" t="e">
        <f>+Tabla110[[#This Row],[Utilidad Bruta]]*Tabla110[[#This Row],[Cantidad]]</f>
        <v>#N/A</v>
      </c>
      <c r="U38" s="404" t="e">
        <f>++Tabla110[[#This Row],[Utilidad Bruta Total]]*$V$1</f>
        <v>#N/A</v>
      </c>
      <c r="V38" s="278" t="e">
        <f>++Tabla110[[#This Row],[Utilidad Bruta Total]]*$V$1</f>
        <v>#N/A</v>
      </c>
      <c r="W38" s="278">
        <f>VLOOKUP(Tabla110[[#This Row],[Producto]],'NUEVAS LISTAS'!$B$3:$P$403,'Ventas '!W$6,FALSE)</f>
        <v>2929</v>
      </c>
      <c r="X38" s="278">
        <f>VLOOKUP(Tabla110[[#This Row],[Producto]],'NUEVAS LISTAS'!$B$3:$P$403,'Ventas '!X$6,FALSE)</f>
        <v>3079</v>
      </c>
      <c r="Y38" s="278">
        <f>VLOOKUP(Tabla110[[#This Row],[Producto]],'NUEVAS LISTAS'!$B$3:$P$403,'Ventas '!Y$6,FALSE)</f>
        <v>3239</v>
      </c>
      <c r="Z38" s="278">
        <f>VLOOKUP(Tabla110[[#This Row],[Producto]],'NUEVAS LISTAS'!$B$3:$P$403,'Ventas '!Z$6,FALSE)</f>
        <v>3409</v>
      </c>
      <c r="AA38" s="543">
        <f>IF(AB38&lt;$AC$2,0,IF(Tabla110[[#This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8" s="539">
        <f>SUMIFS(Tabla110[[#All],[Venta Total]],Tabla110[[#All],[Asesor]],Tabla110[[#This Row],[Asesor]],Tabla110[[#All],[Fecha Cobranza]],"&lt;="&amp;Tabla110[[#This Row],[Fecha Cobranza]],Tabla110[[#All],[Fecha Cobranza]],"&gt;="&amp;Tabla110[[#This Row],[Fecha Cobranza]]-28)</f>
        <v>1481687.3719999997</v>
      </c>
      <c r="AC38" s="542">
        <f t="shared" si="3"/>
        <v>0</v>
      </c>
      <c r="AD38" s="544">
        <f t="shared" si="4"/>
        <v>0.02</v>
      </c>
      <c r="AE38" s="545">
        <f>+AD38*Tabla110[[#This Row],[Venta Total]]</f>
        <v>1397.3800799999997</v>
      </c>
    </row>
    <row r="39" spans="1:31" x14ac:dyDescent="0.2">
      <c r="A39" s="264">
        <v>46006</v>
      </c>
      <c r="B39" s="274" t="str">
        <f t="shared" si="10"/>
        <v>December</v>
      </c>
      <c r="C39" s="265" t="s">
        <v>455</v>
      </c>
      <c r="D39" s="266" t="str">
        <f>VLOOKUP(Tabla110[[#This Row],[Asesor]],Tabla2[[Asesores]:[TIPO]],2,0)</f>
        <v>INTERNO</v>
      </c>
      <c r="E39" s="268" t="s">
        <v>634</v>
      </c>
      <c r="F39" s="267" t="s">
        <v>3797</v>
      </c>
      <c r="G39" s="50" t="s">
        <v>553</v>
      </c>
      <c r="H39" s="269">
        <v>30</v>
      </c>
      <c r="I39" s="275">
        <v>2.8666666666666667E-2</v>
      </c>
      <c r="J39" s="260">
        <f>+Tabla110[[#This Row],[Precio Bruto]]*1.16</f>
        <v>3.3253333333333329E-2</v>
      </c>
      <c r="L39" s="270">
        <f>++(Tabla110[[#This Row],[Precio Unitario Neto]]*Tabla110[[#This Row],[Cantidad]])-(Tabla110[[#This Row],[Cantidad]]*Tabla110[[#This Row],[Apoyo]])</f>
        <v>0.99759999999999982</v>
      </c>
      <c r="M39" s="270" t="e">
        <f>((INDEX(Tabla6[#All],MATCH(Tabla110[[#This Row],[Producto]],Tabla6[[#All],[PRODUCTO]],0),MATCH(Tabla110[[#This Row],[Mes]],Tabla6[#Headers],0)))*(1+(IF(Tabla110[[#This Row],[FLETE]]="no",Catalogos!$M$2,Catalogos!$L$2))))</f>
        <v>#N/A</v>
      </c>
      <c r="N39" s="270" t="e">
        <f>+IF((Tabla110[[#This Row],[Precio Unitario Neto]]-Tabla110[[#This Row],[Apoyo]]-Tabla110[[#This Row],[COSTO + INDI]])&lt;=0,0,(Tabla110[[#This Row],[Precio Unitario Neto]]-Tabla110[[#This Row],[Apoyo]]-Tabla110[[#This Row],[COSTO + INDI]]))</f>
        <v>#N/A</v>
      </c>
      <c r="O39" s="258" t="e">
        <f>++Tabla110[[#This Row],[Utilidad Neta x Eq.]]*Tabla110[[#This Row],[Cantidad]]</f>
        <v>#N/A</v>
      </c>
      <c r="P39" s="271" t="e">
        <f>++Tabla110[[#This Row],[Utilidad Neta Total]]/Tabla110[[#This Row],[Venta Total]]</f>
        <v>#N/A</v>
      </c>
      <c r="Q39" s="258" t="s">
        <v>604</v>
      </c>
      <c r="R39" s="272" t="e">
        <f>INDEX(Tabla6[#All],MATCH(Tabla110[[#This Row],[Producto]],Tabla6[[#All],[PRODUCTO]],0),MATCH(Tabla110[[#This Row],[Mes]],Tabla6[#Headers],0))</f>
        <v>#N/A</v>
      </c>
      <c r="S39" s="260" t="e">
        <f>++Tabla110[[#This Row],[Precio Unitario Neto]]-Tabla110[[#This Row],[Apoyo]]-Tabla110[[#This Row],[Costo unitario]]</f>
        <v>#N/A</v>
      </c>
      <c r="T39" s="273" t="e">
        <f>+Tabla110[[#This Row],[Utilidad Bruta]]*Tabla110[[#This Row],[Cantidad]]</f>
        <v>#N/A</v>
      </c>
      <c r="U39" s="404" t="e">
        <f>++Tabla110[[#This Row],[Utilidad Bruta Total]]*$V$1</f>
        <v>#N/A</v>
      </c>
      <c r="V39" s="278" t="e">
        <f>++Tabla110[[#This Row],[Utilidad Bruta Total]]*$V$1</f>
        <v>#N/A</v>
      </c>
      <c r="W39" s="278">
        <f>VLOOKUP(Tabla110[[#This Row],[Producto]],'NUEVAS LISTAS'!$B$3:$P$403,'Ventas '!W$6,FALSE)</f>
        <v>24.466071182991055</v>
      </c>
      <c r="X39" s="278">
        <f>VLOOKUP(Tabla110[[#This Row],[Producto]],'NUEVAS LISTAS'!$B$3:$P$403,'Ventas '!X$6,FALSE)</f>
        <v>26.50491044824031</v>
      </c>
      <c r="Y39" s="278">
        <f>VLOOKUP(Tabla110[[#This Row],[Producto]],'NUEVAS LISTAS'!$B$3:$P$403,'Ventas '!Y$6,FALSE)</f>
        <v>27.899905734989801</v>
      </c>
      <c r="Z39" s="278">
        <f>VLOOKUP(Tabla110[[#This Row],[Producto]],'NUEVAS LISTAS'!$B$3:$P$403,'Ventas '!Z$6,FALSE)</f>
        <v>29.368321826305056</v>
      </c>
      <c r="AA39" s="543">
        <f>IF(AB39&lt;$AC$2,0,IF(Tabla110[[#This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39" s="539">
        <f>SUMIFS(Tabla110[[#All],[Venta Total]],Tabla110[[#All],[Asesor]],Tabla110[[#This Row],[Asesor]],Tabla110[[#All],[Fecha Cobranza]],"&lt;="&amp;Tabla110[[#This Row],[Fecha Cobranza]],Tabla110[[#All],[Fecha Cobranza]],"&gt;="&amp;Tabla110[[#This Row],[Fecha Cobranza]]-28)</f>
        <v>1481687.3719999997</v>
      </c>
      <c r="AC39" s="542">
        <f t="shared" si="3"/>
        <v>0</v>
      </c>
      <c r="AD39" s="544">
        <f t="shared" si="4"/>
        <v>0.02</v>
      </c>
      <c r="AE39" s="545">
        <f>+AD39*Tabla110[[#This Row],[Venta Total]]</f>
        <v>1.9951999999999998E-2</v>
      </c>
    </row>
    <row r="40" spans="1:31" x14ac:dyDescent="0.2">
      <c r="A40" s="264">
        <v>46006</v>
      </c>
      <c r="B40" s="274" t="str">
        <f t="shared" ref="B40:B41" si="11">TEXT(A40,"mmmm")</f>
        <v>December</v>
      </c>
      <c r="C40" s="265" t="s">
        <v>455</v>
      </c>
      <c r="D40" s="266" t="str">
        <f>VLOOKUP(Tabla110[[#This Row],[Asesor]],Tabla2[[Asesores]:[TIPO]],2,0)</f>
        <v>INTERNO</v>
      </c>
      <c r="E40" s="268" t="s">
        <v>893</v>
      </c>
      <c r="F40" s="267" t="s">
        <v>3798</v>
      </c>
      <c r="G40" s="50" t="s">
        <v>228</v>
      </c>
      <c r="H40" s="269">
        <v>50</v>
      </c>
      <c r="I40" s="275">
        <v>6939.6428000000005</v>
      </c>
      <c r="J40" s="260">
        <f>+Tabla110[[#This Row],[Precio Bruto]]*1.16</f>
        <v>8049.9856479999999</v>
      </c>
      <c r="L40" s="270">
        <f>++(Tabla110[[#This Row],[Precio Unitario Neto]]*Tabla110[[#This Row],[Cantidad]])-(Tabla110[[#This Row],[Cantidad]]*Tabla110[[#This Row],[Apoyo]])</f>
        <v>402499.28239999997</v>
      </c>
      <c r="M40" s="270" t="e">
        <f>((INDEX(Tabla6[#All],MATCH(Tabla110[[#This Row],[Producto]],Tabla6[[#All],[PRODUCTO]],0),MATCH(Tabla110[[#This Row],[Mes]],Tabla6[#Headers],0)))*(1+(IF(Tabla110[[#This Row],[FLETE]]="no",Catalogos!$M$2,Catalogos!$L$2))))</f>
        <v>#N/A</v>
      </c>
      <c r="N40" s="270" t="e">
        <f>+IF((Tabla110[[#This Row],[Precio Unitario Neto]]-Tabla110[[#This Row],[Apoyo]]-Tabla110[[#This Row],[COSTO + INDI]])&lt;=0,0,(Tabla110[[#This Row],[Precio Unitario Neto]]-Tabla110[[#This Row],[Apoyo]]-Tabla110[[#This Row],[COSTO + INDI]]))</f>
        <v>#N/A</v>
      </c>
      <c r="O40" s="258" t="e">
        <f>++Tabla110[[#This Row],[Utilidad Neta x Eq.]]*Tabla110[[#This Row],[Cantidad]]</f>
        <v>#N/A</v>
      </c>
      <c r="P40" s="271" t="e">
        <f>++Tabla110[[#This Row],[Utilidad Neta Total]]/Tabla110[[#This Row],[Venta Total]]</f>
        <v>#N/A</v>
      </c>
      <c r="Q40" s="258" t="s">
        <v>604</v>
      </c>
      <c r="R40" s="272" t="e">
        <f>INDEX(Tabla6[#All],MATCH(Tabla110[[#This Row],[Producto]],Tabla6[[#All],[PRODUCTO]],0),MATCH(Tabla110[[#This Row],[Mes]],Tabla6[#Headers],0))</f>
        <v>#N/A</v>
      </c>
      <c r="S40" s="260" t="e">
        <f>++Tabla110[[#This Row],[Precio Unitario Neto]]-Tabla110[[#This Row],[Apoyo]]-Tabla110[[#This Row],[Costo unitario]]</f>
        <v>#N/A</v>
      </c>
      <c r="T40" s="273" t="e">
        <f>+Tabla110[[#This Row],[Utilidad Bruta]]*Tabla110[[#This Row],[Cantidad]]</f>
        <v>#N/A</v>
      </c>
      <c r="U40" s="404" t="e">
        <f>++Tabla110[[#This Row],[Utilidad Bruta Total]]*$V$1</f>
        <v>#N/A</v>
      </c>
      <c r="V40" s="278" t="e">
        <f>++Tabla110[[#This Row],[Utilidad Bruta Total]]*$V$1</f>
        <v>#N/A</v>
      </c>
      <c r="W40" s="278">
        <f>VLOOKUP(Tabla110[[#This Row],[Producto]],'NUEVAS LISTAS'!$B$3:$P$403,'Ventas '!W$6,FALSE)</f>
        <v>7569</v>
      </c>
      <c r="X40" s="278">
        <f>VLOOKUP(Tabla110[[#This Row],[Producto]],'NUEVAS LISTAS'!$B$3:$P$403,'Ventas '!X$6,FALSE)</f>
        <v>7969</v>
      </c>
      <c r="Y40" s="278">
        <f>VLOOKUP(Tabla110[[#This Row],[Producto]],'NUEVAS LISTAS'!$B$3:$P$403,'Ventas '!Y$6,FALSE)</f>
        <v>8389</v>
      </c>
      <c r="Z40" s="278">
        <f>VLOOKUP(Tabla110[[#This Row],[Producto]],'NUEVAS LISTAS'!$B$3:$P$403,'Ventas '!Z$6,FALSE)</f>
        <v>8829</v>
      </c>
      <c r="AA40" s="543">
        <f>IF(AB40&lt;$AC$2,0,IF(Tabla110[[#This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40" s="539">
        <f>SUMIFS(Tabla110[[#All],[Venta Total]],Tabla110[[#All],[Asesor]],Tabla110[[#This Row],[Asesor]],Tabla110[[#All],[Fecha Cobranza]],"&lt;="&amp;Tabla110[[#This Row],[Fecha Cobranza]],Tabla110[[#All],[Fecha Cobranza]],"&gt;="&amp;Tabla110[[#This Row],[Fecha Cobranza]]-28)</f>
        <v>1481687.3719999997</v>
      </c>
      <c r="AC40" s="542">
        <f t="shared" si="3"/>
        <v>0</v>
      </c>
      <c r="AD40" s="544">
        <f t="shared" si="4"/>
        <v>2.2499999999999999E-2</v>
      </c>
      <c r="AE40" s="545">
        <f>+AD40*Tabla110[[#This Row],[Venta Total]]</f>
        <v>9056.2338539999982</v>
      </c>
    </row>
    <row r="41" spans="1:31" x14ac:dyDescent="0.2">
      <c r="A41" s="264">
        <v>46006</v>
      </c>
      <c r="B41" s="274" t="str">
        <f t="shared" si="11"/>
        <v>December</v>
      </c>
      <c r="C41" s="265" t="s">
        <v>455</v>
      </c>
      <c r="D41" s="266" t="str">
        <f>VLOOKUP(Tabla110[[#This Row],[Asesor]],Tabla2[[Asesores]:[TIPO]],2,0)</f>
        <v>INTERNO</v>
      </c>
      <c r="E41" s="268" t="s">
        <v>893</v>
      </c>
      <c r="F41" s="267" t="s">
        <v>3798</v>
      </c>
      <c r="G41" s="50" t="s">
        <v>86</v>
      </c>
      <c r="H41" s="269">
        <v>50</v>
      </c>
      <c r="I41" s="275">
        <v>1.72E-2</v>
      </c>
      <c r="J41" s="260">
        <f>+Tabla110[[#This Row],[Precio Bruto]]*1.16</f>
        <v>1.9951999999999998E-2</v>
      </c>
      <c r="L41" s="270">
        <f>++(Tabla110[[#This Row],[Precio Unitario Neto]]*Tabla110[[#This Row],[Cantidad]])-(Tabla110[[#This Row],[Cantidad]]*Tabla110[[#This Row],[Apoyo]])</f>
        <v>0.99759999999999982</v>
      </c>
      <c r="M41" s="270" t="e">
        <f>((INDEX(Tabla6[#All],MATCH(Tabla110[[#This Row],[Producto]],Tabla6[[#All],[PRODUCTO]],0),MATCH(Tabla110[[#This Row],[Mes]],Tabla6[#Headers],0)))*(1+(IF(Tabla110[[#This Row],[FLETE]]="no",Catalogos!$M$2,Catalogos!$L$2))))</f>
        <v>#N/A</v>
      </c>
      <c r="N41" s="270" t="e">
        <f>+IF((Tabla110[[#This Row],[Precio Unitario Neto]]-Tabla110[[#This Row],[Apoyo]]-Tabla110[[#This Row],[COSTO + INDI]])&lt;=0,0,(Tabla110[[#This Row],[Precio Unitario Neto]]-Tabla110[[#This Row],[Apoyo]]-Tabla110[[#This Row],[COSTO + INDI]]))</f>
        <v>#N/A</v>
      </c>
      <c r="O41" s="258" t="e">
        <f>++Tabla110[[#This Row],[Utilidad Neta x Eq.]]*Tabla110[[#This Row],[Cantidad]]</f>
        <v>#N/A</v>
      </c>
      <c r="P41" s="271" t="e">
        <f>++Tabla110[[#This Row],[Utilidad Neta Total]]/Tabla110[[#This Row],[Venta Total]]</f>
        <v>#N/A</v>
      </c>
      <c r="Q41" s="258" t="s">
        <v>604</v>
      </c>
      <c r="R41" s="272" t="e">
        <f>INDEX(Tabla6[#All],MATCH(Tabla110[[#This Row],[Producto]],Tabla6[[#All],[PRODUCTO]],0),MATCH(Tabla110[[#This Row],[Mes]],Tabla6[#Headers],0))</f>
        <v>#N/A</v>
      </c>
      <c r="S41" s="260" t="e">
        <f>++Tabla110[[#This Row],[Precio Unitario Neto]]-Tabla110[[#This Row],[Apoyo]]-Tabla110[[#This Row],[Costo unitario]]</f>
        <v>#N/A</v>
      </c>
      <c r="T41" s="273" t="e">
        <f>+Tabla110[[#This Row],[Utilidad Bruta]]*Tabla110[[#This Row],[Cantidad]]</f>
        <v>#N/A</v>
      </c>
      <c r="U41" s="404" t="e">
        <f>++Tabla110[[#This Row],[Utilidad Bruta Total]]*$V$1</f>
        <v>#N/A</v>
      </c>
      <c r="V41" s="278" t="e">
        <f>++Tabla110[[#This Row],[Utilidad Bruta Total]]*$V$1</f>
        <v>#N/A</v>
      </c>
      <c r="W41" s="278">
        <f>VLOOKUP(Tabla110[[#This Row],[Producto]],'NUEVAS LISTAS'!$B$3:$P$403,'Ventas '!W$6,FALSE)</f>
        <v>279</v>
      </c>
      <c r="X41" s="278">
        <f>VLOOKUP(Tabla110[[#This Row],[Producto]],'NUEVAS LISTAS'!$B$3:$P$403,'Ventas '!X$6,FALSE)</f>
        <v>293.68421052631578</v>
      </c>
      <c r="Y41" s="278">
        <f>VLOOKUP(Tabla110[[#This Row],[Producto]],'NUEVAS LISTAS'!$B$3:$P$403,'Ventas '!Y$6,FALSE)</f>
        <v>309.14127423822714</v>
      </c>
      <c r="Z41" s="278">
        <f>VLOOKUP(Tabla110[[#This Row],[Producto]],'NUEVAS LISTAS'!$B$3:$P$403,'Ventas '!Z$6,FALSE)</f>
        <v>325.41186761918647</v>
      </c>
      <c r="AA41" s="543">
        <f>IF(AB41&lt;$AC$2,0,IF(Tabla110[[#This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1" s="539">
        <f>SUMIFS(Tabla110[[#All],[Venta Total]],Tabla110[[#All],[Asesor]],Tabla110[[#This Row],[Asesor]],Tabla110[[#All],[Fecha Cobranza]],"&lt;="&amp;Tabla110[[#This Row],[Fecha Cobranza]],Tabla110[[#All],[Fecha Cobranza]],"&gt;="&amp;Tabla110[[#This Row],[Fecha Cobranza]]-28)</f>
        <v>1481687.3719999997</v>
      </c>
      <c r="AC41" s="542">
        <f t="shared" si="3"/>
        <v>0</v>
      </c>
      <c r="AD41" s="544">
        <f t="shared" si="4"/>
        <v>0.02</v>
      </c>
      <c r="AE41" s="545">
        <f>+AD41*Tabla110[[#This Row],[Venta Total]]</f>
        <v>1.9951999999999998E-2</v>
      </c>
    </row>
    <row r="42" spans="1:31" x14ac:dyDescent="0.2">
      <c r="A42" s="264">
        <v>46006</v>
      </c>
      <c r="B42" s="274" t="str">
        <f>TEXT(A42,"mmmm")</f>
        <v>December</v>
      </c>
      <c r="C42" s="265" t="s">
        <v>280</v>
      </c>
      <c r="D42" s="266" t="str">
        <f>VLOOKUP(Tabla110[[#This Row],[Asesor]],Tabla2[[Asesores]:[TIPO]],2,0)</f>
        <v>INTERNO</v>
      </c>
      <c r="E42" s="268" t="s">
        <v>895</v>
      </c>
      <c r="F42" s="267" t="s">
        <v>3799</v>
      </c>
      <c r="G42" s="50" t="s">
        <v>16</v>
      </c>
      <c r="H42" s="269">
        <v>18</v>
      </c>
      <c r="I42" s="275">
        <v>4525.8599999999997</v>
      </c>
      <c r="J42" s="260">
        <f>+Tabla110[[#This Row],[Precio Bruto]]*1.16</f>
        <v>5249.9975999999997</v>
      </c>
      <c r="L42" s="270">
        <f>++(Tabla110[[#This Row],[Precio Unitario Neto]]*Tabla110[[#This Row],[Cantidad]])-(Tabla110[[#This Row],[Cantidad]]*Tabla110[[#This Row],[Apoyo]])</f>
        <v>94499.9568</v>
      </c>
      <c r="M42" s="270" t="e">
        <f>((INDEX(Tabla6[#All],MATCH(Tabla110[[#This Row],[Producto]],Tabla6[[#All],[PRODUCTO]],0),MATCH(Tabla110[[#This Row],[Mes]],Tabla6[#Headers],0)))*(1+(IF(Tabla110[[#This Row],[FLETE]]="no",Catalogos!$M$2,Catalogos!$L$2))))</f>
        <v>#N/A</v>
      </c>
      <c r="N42" s="270" t="e">
        <f>+IF((Tabla110[[#This Row],[Precio Unitario Neto]]-Tabla110[[#This Row],[Apoyo]]-Tabla110[[#This Row],[COSTO + INDI]])&lt;=0,0,(Tabla110[[#This Row],[Precio Unitario Neto]]-Tabla110[[#This Row],[Apoyo]]-Tabla110[[#This Row],[COSTO + INDI]]))</f>
        <v>#N/A</v>
      </c>
      <c r="O42" s="258" t="e">
        <f>++Tabla110[[#This Row],[Utilidad Neta x Eq.]]*Tabla110[[#This Row],[Cantidad]]</f>
        <v>#N/A</v>
      </c>
      <c r="P42" s="271" t="e">
        <f>++Tabla110[[#This Row],[Utilidad Neta Total]]/Tabla110[[#This Row],[Venta Total]]</f>
        <v>#N/A</v>
      </c>
      <c r="Q42" s="258" t="s">
        <v>604</v>
      </c>
      <c r="R42" s="272" t="e">
        <f>INDEX(Tabla6[#All],MATCH(Tabla110[[#This Row],[Producto]],Tabla6[[#All],[PRODUCTO]],0),MATCH(Tabla110[[#This Row],[Mes]],Tabla6[#Headers],0))</f>
        <v>#N/A</v>
      </c>
      <c r="S42" s="260" t="e">
        <f>++Tabla110[[#This Row],[Precio Unitario Neto]]-Tabla110[[#This Row],[Apoyo]]-Tabla110[[#This Row],[Costo unitario]]</f>
        <v>#N/A</v>
      </c>
      <c r="T42" s="273" t="e">
        <f>+Tabla110[[#This Row],[Utilidad Bruta]]*Tabla110[[#This Row],[Cantidad]]</f>
        <v>#N/A</v>
      </c>
      <c r="U42" s="404" t="e">
        <f>++Tabla110[[#This Row],[Utilidad Bruta Total]]*$V$1</f>
        <v>#N/A</v>
      </c>
      <c r="V42" s="278" t="e">
        <f>++Tabla110[[#This Row],[Utilidad Bruta Total]]*$V$1</f>
        <v>#N/A</v>
      </c>
      <c r="W42" s="278">
        <f>VLOOKUP(Tabla110[[#This Row],[Producto]],'NUEVAS LISTAS'!$B$3:$P$403,'Ventas '!W$6,FALSE)</f>
        <v>3049</v>
      </c>
      <c r="X42" s="278">
        <f>VLOOKUP(Tabla110[[#This Row],[Producto]],'NUEVAS LISTAS'!$B$3:$P$403,'Ventas '!X$6,FALSE)</f>
        <v>3199</v>
      </c>
      <c r="Y42" s="278">
        <f>VLOOKUP(Tabla110[[#This Row],[Producto]],'NUEVAS LISTAS'!$B$3:$P$403,'Ventas '!Y$6,FALSE)</f>
        <v>3349</v>
      </c>
      <c r="Z42" s="278">
        <f>VLOOKUP(Tabla110[[#This Row],[Producto]],'NUEVAS LISTAS'!$B$3:$P$403,'Ventas '!Z$6,FALSE)</f>
        <v>3549</v>
      </c>
      <c r="AA42" s="543">
        <f>IF(AB42&lt;$AC$2,0,IF(Tabla110[[#This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42" s="539">
        <f>SUMIFS(Tabla110[[#All],[Venta Total]],Tabla110[[#All],[Asesor]],Tabla110[[#This Row],[Asesor]],Tabla110[[#All],[Fecha Cobranza]],"&lt;="&amp;Tabla110[[#This Row],[Fecha Cobranza]],Tabla110[[#All],[Fecha Cobranza]],"&gt;="&amp;Tabla110[[#This Row],[Fecha Cobranza]]-28)</f>
        <v>244784.08159999998</v>
      </c>
      <c r="AC42" s="542">
        <f t="shared" si="3"/>
        <v>0</v>
      </c>
      <c r="AD42" s="544">
        <f t="shared" si="4"/>
        <v>2.75E-2</v>
      </c>
      <c r="AE42" s="545">
        <f>+AD42*Tabla110[[#This Row],[Venta Total]]</f>
        <v>2598.7488119999998</v>
      </c>
    </row>
    <row r="43" spans="1:31" x14ac:dyDescent="0.2">
      <c r="A43" s="264">
        <v>46006</v>
      </c>
      <c r="B43" s="274" t="str">
        <f t="shared" ref="B43:B45" si="12">TEXT(A43,"mmmm")</f>
        <v>December</v>
      </c>
      <c r="C43" s="265" t="s">
        <v>455</v>
      </c>
      <c r="D43" s="266" t="str">
        <f>VLOOKUP(Tabla110[[#This Row],[Asesor]],Tabla2[[Asesores]:[TIPO]],2,0)</f>
        <v>INTERNO</v>
      </c>
      <c r="E43" s="268" t="s">
        <v>634</v>
      </c>
      <c r="F43" s="267" t="s">
        <v>3800</v>
      </c>
      <c r="G43" s="50" t="s">
        <v>374</v>
      </c>
      <c r="H43" s="269">
        <v>3</v>
      </c>
      <c r="I43" s="275">
        <v>3863.5066666666667</v>
      </c>
      <c r="J43" s="260">
        <f>+Tabla110[[#This Row],[Precio Bruto]]*1.16</f>
        <v>4481.6677333333328</v>
      </c>
      <c r="L43" s="270">
        <f>++(Tabla110[[#This Row],[Precio Unitario Neto]]*Tabla110[[#This Row],[Cantidad]])-(Tabla110[[#This Row],[Cantidad]]*Tabla110[[#This Row],[Apoyo]])</f>
        <v>13445.003199999999</v>
      </c>
      <c r="M43" s="270" t="e">
        <f>((INDEX(Tabla6[#All],MATCH(Tabla110[[#This Row],[Producto]],Tabla6[[#All],[PRODUCTO]],0),MATCH(Tabla110[[#This Row],[Mes]],Tabla6[#Headers],0)))*(1+(IF(Tabla110[[#This Row],[FLETE]]="no",Catalogos!$M$2,Catalogos!$L$2))))</f>
        <v>#N/A</v>
      </c>
      <c r="N43" s="270" t="e">
        <f>+IF((Tabla110[[#This Row],[Precio Unitario Neto]]-Tabla110[[#This Row],[Apoyo]]-Tabla110[[#This Row],[COSTO + INDI]])&lt;=0,0,(Tabla110[[#This Row],[Precio Unitario Neto]]-Tabla110[[#This Row],[Apoyo]]-Tabla110[[#This Row],[COSTO + INDI]]))</f>
        <v>#N/A</v>
      </c>
      <c r="O43" s="258" t="e">
        <f>++Tabla110[[#This Row],[Utilidad Neta x Eq.]]*Tabla110[[#This Row],[Cantidad]]</f>
        <v>#N/A</v>
      </c>
      <c r="P43" s="271" t="e">
        <f>++Tabla110[[#This Row],[Utilidad Neta Total]]/Tabla110[[#This Row],[Venta Total]]</f>
        <v>#N/A</v>
      </c>
      <c r="Q43" s="258" t="s">
        <v>604</v>
      </c>
      <c r="R43" s="272" t="e">
        <f>INDEX(Tabla6[#All],MATCH(Tabla110[[#This Row],[Producto]],Tabla6[[#All],[PRODUCTO]],0),MATCH(Tabla110[[#This Row],[Mes]],Tabla6[#Headers],0))</f>
        <v>#N/A</v>
      </c>
      <c r="S43" s="260" t="e">
        <f>++Tabla110[[#This Row],[Precio Unitario Neto]]-Tabla110[[#This Row],[Apoyo]]-Tabla110[[#This Row],[Costo unitario]]</f>
        <v>#N/A</v>
      </c>
      <c r="T43" s="273" t="e">
        <f>+Tabla110[[#This Row],[Utilidad Bruta]]*Tabla110[[#This Row],[Cantidad]]</f>
        <v>#N/A</v>
      </c>
      <c r="U43" s="404" t="e">
        <f>++Tabla110[[#This Row],[Utilidad Bruta Total]]*$V$1</f>
        <v>#N/A</v>
      </c>
      <c r="V43" s="278" t="e">
        <f>++Tabla110[[#This Row],[Utilidad Bruta Total]]*$V$1</f>
        <v>#N/A</v>
      </c>
      <c r="W43" s="278">
        <f>VLOOKUP(Tabla110[[#This Row],[Producto]],'NUEVAS LISTAS'!$B$3:$P$403,'Ventas '!W$6,FALSE)</f>
        <v>5789</v>
      </c>
      <c r="X43" s="278">
        <f>VLOOKUP(Tabla110[[#This Row],[Producto]],'NUEVAS LISTAS'!$B$3:$P$403,'Ventas '!X$6,FALSE)</f>
        <v>6089</v>
      </c>
      <c r="Y43" s="278">
        <f>VLOOKUP(Tabla110[[#This Row],[Producto]],'NUEVAS LISTAS'!$B$3:$P$403,'Ventas '!Y$6,FALSE)</f>
        <v>6409</v>
      </c>
      <c r="Z43" s="278">
        <f>VLOOKUP(Tabla110[[#This Row],[Producto]],'NUEVAS LISTAS'!$B$3:$P$403,'Ventas '!Z$6,FALSE)</f>
        <v>6749</v>
      </c>
      <c r="AA43" s="543">
        <f>IF(AB43&lt;$AC$2,0,IF(Tabla110[[#This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3" s="539">
        <f>SUMIFS(Tabla110[[#All],[Venta Total]],Tabla110[[#All],[Asesor]],Tabla110[[#This Row],[Asesor]],Tabla110[[#All],[Fecha Cobranza]],"&lt;="&amp;Tabla110[[#This Row],[Fecha Cobranza]],Tabla110[[#All],[Fecha Cobranza]],"&gt;="&amp;Tabla110[[#This Row],[Fecha Cobranza]]-28)</f>
        <v>1481687.3719999997</v>
      </c>
      <c r="AC43" s="542">
        <f t="shared" si="3"/>
        <v>0</v>
      </c>
      <c r="AD43" s="544">
        <f t="shared" si="4"/>
        <v>0.02</v>
      </c>
      <c r="AE43" s="545">
        <f>+AD43*Tabla110[[#This Row],[Venta Total]]</f>
        <v>268.90006399999999</v>
      </c>
    </row>
    <row r="44" spans="1:31" x14ac:dyDescent="0.2">
      <c r="A44" s="264">
        <v>46006</v>
      </c>
      <c r="B44" s="274" t="str">
        <f t="shared" si="12"/>
        <v>December</v>
      </c>
      <c r="C44" s="265" t="s">
        <v>455</v>
      </c>
      <c r="D44" s="266" t="str">
        <f>VLOOKUP(Tabla110[[#This Row],[Asesor]],Tabla2[[Asesores]:[TIPO]],2,0)</f>
        <v>INTERNO</v>
      </c>
      <c r="E44" s="268" t="s">
        <v>634</v>
      </c>
      <c r="F44" s="267" t="s">
        <v>3800</v>
      </c>
      <c r="G44" s="50" t="s">
        <v>553</v>
      </c>
      <c r="H44" s="269">
        <v>3</v>
      </c>
      <c r="I44" s="275">
        <v>0.28666666666666668</v>
      </c>
      <c r="J44" s="260">
        <f>+Tabla110[[#This Row],[Precio Bruto]]*1.16</f>
        <v>0.33253333333333335</v>
      </c>
      <c r="L44" s="270">
        <f>++(Tabla110[[#This Row],[Precio Unitario Neto]]*Tabla110[[#This Row],[Cantidad]])-(Tabla110[[#This Row],[Cantidad]]*Tabla110[[#This Row],[Apoyo]])</f>
        <v>0.99760000000000004</v>
      </c>
      <c r="M44" s="270" t="e">
        <f>((INDEX(Tabla6[#All],MATCH(Tabla110[[#This Row],[Producto]],Tabla6[[#All],[PRODUCTO]],0),MATCH(Tabla110[[#This Row],[Mes]],Tabla6[#Headers],0)))*(1+(IF(Tabla110[[#This Row],[FLETE]]="no",Catalogos!$M$2,Catalogos!$L$2))))</f>
        <v>#N/A</v>
      </c>
      <c r="N44" s="270" t="e">
        <f>+IF((Tabla110[[#This Row],[Precio Unitario Neto]]-Tabla110[[#This Row],[Apoyo]]-Tabla110[[#This Row],[COSTO + INDI]])&lt;=0,0,(Tabla110[[#This Row],[Precio Unitario Neto]]-Tabla110[[#This Row],[Apoyo]]-Tabla110[[#This Row],[COSTO + INDI]]))</f>
        <v>#N/A</v>
      </c>
      <c r="O44" s="258" t="e">
        <f>++Tabla110[[#This Row],[Utilidad Neta x Eq.]]*Tabla110[[#This Row],[Cantidad]]</f>
        <v>#N/A</v>
      </c>
      <c r="P44" s="271" t="e">
        <f>++Tabla110[[#This Row],[Utilidad Neta Total]]/Tabla110[[#This Row],[Venta Total]]</f>
        <v>#N/A</v>
      </c>
      <c r="Q44" s="258" t="s">
        <v>604</v>
      </c>
      <c r="R44" s="272" t="e">
        <f>INDEX(Tabla6[#All],MATCH(Tabla110[[#This Row],[Producto]],Tabla6[[#All],[PRODUCTO]],0),MATCH(Tabla110[[#This Row],[Mes]],Tabla6[#Headers],0))</f>
        <v>#N/A</v>
      </c>
      <c r="S44" s="260" t="e">
        <f>++Tabla110[[#This Row],[Precio Unitario Neto]]-Tabla110[[#This Row],[Apoyo]]-Tabla110[[#This Row],[Costo unitario]]</f>
        <v>#N/A</v>
      </c>
      <c r="T44" s="273" t="e">
        <f>+Tabla110[[#This Row],[Utilidad Bruta]]*Tabla110[[#This Row],[Cantidad]]</f>
        <v>#N/A</v>
      </c>
      <c r="U44" s="404" t="e">
        <f>++Tabla110[[#This Row],[Utilidad Bruta Total]]*$V$1</f>
        <v>#N/A</v>
      </c>
      <c r="V44" s="278" t="e">
        <f>++Tabla110[[#This Row],[Utilidad Bruta Total]]*$V$1</f>
        <v>#N/A</v>
      </c>
      <c r="W44" s="278">
        <f>VLOOKUP(Tabla110[[#This Row],[Producto]],'NUEVAS LISTAS'!$B$3:$P$403,'Ventas '!W$6,FALSE)</f>
        <v>24.466071182991055</v>
      </c>
      <c r="X44" s="278">
        <f>VLOOKUP(Tabla110[[#This Row],[Producto]],'NUEVAS LISTAS'!$B$3:$P$403,'Ventas '!X$6,FALSE)</f>
        <v>26.50491044824031</v>
      </c>
      <c r="Y44" s="278">
        <f>VLOOKUP(Tabla110[[#This Row],[Producto]],'NUEVAS LISTAS'!$B$3:$P$403,'Ventas '!Y$6,FALSE)</f>
        <v>27.899905734989801</v>
      </c>
      <c r="Z44" s="278">
        <f>VLOOKUP(Tabla110[[#This Row],[Producto]],'NUEVAS LISTAS'!$B$3:$P$403,'Ventas '!Z$6,FALSE)</f>
        <v>29.368321826305056</v>
      </c>
      <c r="AA44" s="543">
        <f>IF(AB44&lt;$AC$2,0,IF(Tabla110[[#This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4" s="539">
        <f>SUMIFS(Tabla110[[#All],[Venta Total]],Tabla110[[#All],[Asesor]],Tabla110[[#This Row],[Asesor]],Tabla110[[#All],[Fecha Cobranza]],"&lt;="&amp;Tabla110[[#This Row],[Fecha Cobranza]],Tabla110[[#All],[Fecha Cobranza]],"&gt;="&amp;Tabla110[[#This Row],[Fecha Cobranza]]-28)</f>
        <v>1481687.3719999997</v>
      </c>
      <c r="AC44" s="542">
        <f t="shared" si="3"/>
        <v>0</v>
      </c>
      <c r="AD44" s="544">
        <f t="shared" si="4"/>
        <v>0.02</v>
      </c>
      <c r="AE44" s="545">
        <f>+AD44*Tabla110[[#This Row],[Venta Total]]</f>
        <v>1.9952000000000001E-2</v>
      </c>
    </row>
    <row r="45" spans="1:31" x14ac:dyDescent="0.2">
      <c r="A45" s="264">
        <v>46006</v>
      </c>
      <c r="B45" s="274" t="str">
        <f t="shared" si="12"/>
        <v>December</v>
      </c>
      <c r="C45" s="265" t="s">
        <v>455</v>
      </c>
      <c r="D45" s="266" t="str">
        <f>VLOOKUP(Tabla110[[#This Row],[Asesor]],Tabla2[[Asesores]:[TIPO]],2,0)</f>
        <v>INTERNO</v>
      </c>
      <c r="E45" s="268" t="s">
        <v>634</v>
      </c>
      <c r="F45" s="267" t="s">
        <v>3800</v>
      </c>
      <c r="G45" s="50" t="s">
        <v>255</v>
      </c>
      <c r="H45" s="269">
        <v>1</v>
      </c>
      <c r="I45" s="275">
        <v>1033.6199999999999</v>
      </c>
      <c r="J45" s="260">
        <f>+Tabla110[[#This Row],[Precio Bruto]]*1.16</f>
        <v>1198.9991999999997</v>
      </c>
      <c r="L45" s="270">
        <f>++(Tabla110[[#This Row],[Precio Unitario Neto]]*Tabla110[[#This Row],[Cantidad]])-(Tabla110[[#This Row],[Cantidad]]*Tabla110[[#This Row],[Apoyo]])</f>
        <v>1198.9991999999997</v>
      </c>
      <c r="M45" s="270" t="e">
        <f>((INDEX(Tabla6[#All],MATCH(Tabla110[[#This Row],[Producto]],Tabla6[[#All],[PRODUCTO]],0),MATCH(Tabla110[[#This Row],[Mes]],Tabla6[#Headers],0)))*(1+(IF(Tabla110[[#This Row],[FLETE]]="no",Catalogos!$M$2,Catalogos!$L$2))))</f>
        <v>#N/A</v>
      </c>
      <c r="N45" s="270" t="e">
        <f>+IF((Tabla110[[#This Row],[Precio Unitario Neto]]-Tabla110[[#This Row],[Apoyo]]-Tabla110[[#This Row],[COSTO + INDI]])&lt;=0,0,(Tabla110[[#This Row],[Precio Unitario Neto]]-Tabla110[[#This Row],[Apoyo]]-Tabla110[[#This Row],[COSTO + INDI]]))</f>
        <v>#N/A</v>
      </c>
      <c r="O45" s="258" t="e">
        <f>++Tabla110[[#This Row],[Utilidad Neta x Eq.]]*Tabla110[[#This Row],[Cantidad]]</f>
        <v>#N/A</v>
      </c>
      <c r="P45" s="271" t="e">
        <f>++Tabla110[[#This Row],[Utilidad Neta Total]]/Tabla110[[#This Row],[Venta Total]]</f>
        <v>#N/A</v>
      </c>
      <c r="Q45" s="258" t="s">
        <v>604</v>
      </c>
      <c r="R45" s="272" t="e">
        <f>INDEX(Tabla6[#All],MATCH(Tabla110[[#This Row],[Producto]],Tabla6[[#All],[PRODUCTO]],0),MATCH(Tabla110[[#This Row],[Mes]],Tabla6[#Headers],0))</f>
        <v>#N/A</v>
      </c>
      <c r="S45" s="260" t="e">
        <f>++Tabla110[[#This Row],[Precio Unitario Neto]]-Tabla110[[#This Row],[Apoyo]]-Tabla110[[#This Row],[Costo unitario]]</f>
        <v>#N/A</v>
      </c>
      <c r="T45" s="273" t="e">
        <f>+Tabla110[[#This Row],[Utilidad Bruta]]*Tabla110[[#This Row],[Cantidad]]</f>
        <v>#N/A</v>
      </c>
      <c r="U45" s="404" t="e">
        <f>++Tabla110[[#This Row],[Utilidad Bruta Total]]*$V$1</f>
        <v>#N/A</v>
      </c>
      <c r="V45" s="278" t="e">
        <f>++Tabla110[[#This Row],[Utilidad Bruta Total]]*$V$1</f>
        <v>#N/A</v>
      </c>
      <c r="W45" s="278">
        <f>VLOOKUP(Tabla110[[#This Row],[Producto]],'NUEVAS LISTAS'!$B$3:$P$403,'Ventas '!W$6,FALSE)</f>
        <v>1169</v>
      </c>
      <c r="X45" s="278">
        <f>VLOOKUP(Tabla110[[#This Row],[Producto]],'NUEVAS LISTAS'!$B$3:$P$403,'Ventas '!X$6,FALSE)</f>
        <v>1299</v>
      </c>
      <c r="Y45" s="278">
        <f>VLOOKUP(Tabla110[[#This Row],[Producto]],'NUEVAS LISTAS'!$B$3:$P$403,'Ventas '!Y$6,FALSE)</f>
        <v>1369</v>
      </c>
      <c r="Z45" s="278">
        <f>VLOOKUP(Tabla110[[#This Row],[Producto]],'NUEVAS LISTAS'!$B$3:$P$403,'Ventas '!Z$6,FALSE)</f>
        <v>1489</v>
      </c>
      <c r="AA45" s="543">
        <f>IF(AB45&lt;$AC$2,0,IF(Tabla110[[#This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5" s="539">
        <f>SUMIFS(Tabla110[[#All],[Venta Total]],Tabla110[[#All],[Asesor]],Tabla110[[#This Row],[Asesor]],Tabla110[[#All],[Fecha Cobranza]],"&lt;="&amp;Tabla110[[#This Row],[Fecha Cobranza]],Tabla110[[#All],[Fecha Cobranza]],"&gt;="&amp;Tabla110[[#This Row],[Fecha Cobranza]]-28)</f>
        <v>1481687.3719999997</v>
      </c>
      <c r="AC45" s="542">
        <f t="shared" si="3"/>
        <v>0</v>
      </c>
      <c r="AD45" s="544">
        <f t="shared" si="4"/>
        <v>0.02</v>
      </c>
      <c r="AE45" s="545">
        <f>+AD45*Tabla110[[#This Row],[Venta Total]]</f>
        <v>23.979983999999995</v>
      </c>
    </row>
    <row r="46" spans="1:31" x14ac:dyDescent="0.2">
      <c r="A46" s="264">
        <v>46006</v>
      </c>
      <c r="B46" s="274" t="str">
        <f t="shared" ref="B46:B49" si="13">TEXT(A46,"mmmm")</f>
        <v>December</v>
      </c>
      <c r="C46" s="265" t="s">
        <v>455</v>
      </c>
      <c r="D46" s="266" t="str">
        <f>VLOOKUP(Tabla110[[#This Row],[Asesor]],Tabla2[[Asesores]:[TIPO]],2,0)</f>
        <v>INTERNO</v>
      </c>
      <c r="E46" s="268" t="s">
        <v>634</v>
      </c>
      <c r="F46" s="267" t="s">
        <v>3801</v>
      </c>
      <c r="G46" s="50" t="s">
        <v>369</v>
      </c>
      <c r="H46" s="269">
        <v>1</v>
      </c>
      <c r="I46" s="275">
        <v>1808.62</v>
      </c>
      <c r="J46" s="260">
        <f>+Tabla110[[#This Row],[Precio Bruto]]*1.16</f>
        <v>2097.9991999999997</v>
      </c>
      <c r="L46" s="270">
        <f>++(Tabla110[[#This Row],[Precio Unitario Neto]]*Tabla110[[#This Row],[Cantidad]])-(Tabla110[[#This Row],[Cantidad]]*Tabla110[[#This Row],[Apoyo]])</f>
        <v>2097.9991999999997</v>
      </c>
      <c r="M46" s="270" t="e">
        <f>((INDEX(Tabla6[#All],MATCH(Tabla110[[#This Row],[Producto]],Tabla6[[#All],[PRODUCTO]],0),MATCH(Tabla110[[#This Row],[Mes]],Tabla6[#Headers],0)))*(1+(IF(Tabla110[[#This Row],[FLETE]]="no",Catalogos!$M$2,Catalogos!$L$2))))</f>
        <v>#N/A</v>
      </c>
      <c r="N46" s="270" t="e">
        <f>+IF((Tabla110[[#This Row],[Precio Unitario Neto]]-Tabla110[[#This Row],[Apoyo]]-Tabla110[[#This Row],[COSTO + INDI]])&lt;=0,0,(Tabla110[[#This Row],[Precio Unitario Neto]]-Tabla110[[#This Row],[Apoyo]]-Tabla110[[#This Row],[COSTO + INDI]]))</f>
        <v>#N/A</v>
      </c>
      <c r="O46" s="258" t="e">
        <f>++Tabla110[[#This Row],[Utilidad Neta x Eq.]]*Tabla110[[#This Row],[Cantidad]]</f>
        <v>#N/A</v>
      </c>
      <c r="P46" s="271" t="e">
        <f>++Tabla110[[#This Row],[Utilidad Neta Total]]/Tabla110[[#This Row],[Venta Total]]</f>
        <v>#N/A</v>
      </c>
      <c r="Q46" s="258" t="s">
        <v>604</v>
      </c>
      <c r="R46" s="272" t="e">
        <f>INDEX(Tabla6[#All],MATCH(Tabla110[[#This Row],[Producto]],Tabla6[[#All],[PRODUCTO]],0),MATCH(Tabla110[[#This Row],[Mes]],Tabla6[#Headers],0))</f>
        <v>#N/A</v>
      </c>
      <c r="S46" s="260" t="e">
        <f>++Tabla110[[#This Row],[Precio Unitario Neto]]-Tabla110[[#This Row],[Apoyo]]-Tabla110[[#This Row],[Costo unitario]]</f>
        <v>#N/A</v>
      </c>
      <c r="T46" s="273" t="e">
        <f>+Tabla110[[#This Row],[Utilidad Bruta]]*Tabla110[[#This Row],[Cantidad]]</f>
        <v>#N/A</v>
      </c>
      <c r="U46" s="404" t="e">
        <f>++Tabla110[[#This Row],[Utilidad Bruta Total]]*$V$1</f>
        <v>#N/A</v>
      </c>
      <c r="V46" s="278" t="e">
        <f>++Tabla110[[#This Row],[Utilidad Bruta Total]]*$V$1</f>
        <v>#N/A</v>
      </c>
      <c r="W46" s="278">
        <f>VLOOKUP(Tabla110[[#This Row],[Producto]],'NUEVAS LISTAS'!$B$3:$P$403,'Ventas '!W$6,FALSE)</f>
        <v>2569</v>
      </c>
      <c r="X46" s="278">
        <f>VLOOKUP(Tabla110[[#This Row],[Producto]],'NUEVAS LISTAS'!$B$3:$P$403,'Ventas '!X$6,FALSE)</f>
        <v>2699</v>
      </c>
      <c r="Y46" s="278">
        <f>VLOOKUP(Tabla110[[#This Row],[Producto]],'NUEVAS LISTAS'!$B$3:$P$403,'Ventas '!Y$6,FALSE)</f>
        <v>2839</v>
      </c>
      <c r="Z46" s="278">
        <f>VLOOKUP(Tabla110[[#This Row],[Producto]],'NUEVAS LISTAS'!$B$3:$P$403,'Ventas '!Z$6,FALSE)</f>
        <v>2989</v>
      </c>
      <c r="AA46" s="543">
        <f>IF(AB46&lt;$AC$2,0,IF(Tabla110[[#This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6" s="539">
        <f>SUMIFS(Tabla110[[#All],[Venta Total]],Tabla110[[#All],[Asesor]],Tabla110[[#This Row],[Asesor]],Tabla110[[#All],[Fecha Cobranza]],"&lt;="&amp;Tabla110[[#This Row],[Fecha Cobranza]],Tabla110[[#All],[Fecha Cobranza]],"&gt;="&amp;Tabla110[[#This Row],[Fecha Cobranza]]-28)</f>
        <v>1481687.3719999997</v>
      </c>
      <c r="AC46" s="542">
        <f t="shared" si="3"/>
        <v>0</v>
      </c>
      <c r="AD46" s="544">
        <f t="shared" si="4"/>
        <v>0.02</v>
      </c>
      <c r="AE46" s="545">
        <f>+AD46*Tabla110[[#This Row],[Venta Total]]</f>
        <v>41.959983999999999</v>
      </c>
    </row>
    <row r="47" spans="1:31" x14ac:dyDescent="0.2">
      <c r="A47" s="264">
        <v>46006</v>
      </c>
      <c r="B47" s="274" t="str">
        <f t="shared" si="13"/>
        <v>December</v>
      </c>
      <c r="C47" s="265" t="s">
        <v>455</v>
      </c>
      <c r="D47" s="266" t="str">
        <f>VLOOKUP(Tabla110[[#This Row],[Asesor]],Tabla2[[Asesores]:[TIPO]],2,0)</f>
        <v>INTERNO</v>
      </c>
      <c r="E47" s="268" t="s">
        <v>634</v>
      </c>
      <c r="F47" s="267" t="s">
        <v>3801</v>
      </c>
      <c r="G47" s="50" t="s">
        <v>31</v>
      </c>
      <c r="H47" s="269">
        <v>8</v>
      </c>
      <c r="I47" s="275">
        <v>2007.75875</v>
      </c>
      <c r="J47" s="260">
        <f>+Tabla110[[#This Row],[Precio Bruto]]*1.16</f>
        <v>2329.0001499999998</v>
      </c>
      <c r="L47" s="270">
        <f>++(Tabla110[[#This Row],[Precio Unitario Neto]]*Tabla110[[#This Row],[Cantidad]])-(Tabla110[[#This Row],[Cantidad]]*Tabla110[[#This Row],[Apoyo]])</f>
        <v>18632.001199999999</v>
      </c>
      <c r="M47" s="270" t="e">
        <f>((INDEX(Tabla6[#All],MATCH(Tabla110[[#This Row],[Producto]],Tabla6[[#All],[PRODUCTO]],0),MATCH(Tabla110[[#This Row],[Mes]],Tabla6[#Headers],0)))*(1+(IF(Tabla110[[#This Row],[FLETE]]="no",Catalogos!$M$2,Catalogos!$L$2))))</f>
        <v>#N/A</v>
      </c>
      <c r="N47" s="270" t="e">
        <f>+IF((Tabla110[[#This Row],[Precio Unitario Neto]]-Tabla110[[#This Row],[Apoyo]]-Tabla110[[#This Row],[COSTO + INDI]])&lt;=0,0,(Tabla110[[#This Row],[Precio Unitario Neto]]-Tabla110[[#This Row],[Apoyo]]-Tabla110[[#This Row],[COSTO + INDI]]))</f>
        <v>#N/A</v>
      </c>
      <c r="O47" s="258" t="e">
        <f>++Tabla110[[#This Row],[Utilidad Neta x Eq.]]*Tabla110[[#This Row],[Cantidad]]</f>
        <v>#N/A</v>
      </c>
      <c r="P47" s="271" t="e">
        <f>++Tabla110[[#This Row],[Utilidad Neta Total]]/Tabla110[[#This Row],[Venta Total]]</f>
        <v>#N/A</v>
      </c>
      <c r="Q47" s="258" t="s">
        <v>604</v>
      </c>
      <c r="R47" s="272" t="e">
        <f>INDEX(Tabla6[#All],MATCH(Tabla110[[#This Row],[Producto]],Tabla6[[#All],[PRODUCTO]],0),MATCH(Tabla110[[#This Row],[Mes]],Tabla6[#Headers],0))</f>
        <v>#N/A</v>
      </c>
      <c r="S47" s="260" t="e">
        <f>++Tabla110[[#This Row],[Precio Unitario Neto]]-Tabla110[[#This Row],[Apoyo]]-Tabla110[[#This Row],[Costo unitario]]</f>
        <v>#N/A</v>
      </c>
      <c r="T47" s="273" t="e">
        <f>+Tabla110[[#This Row],[Utilidad Bruta]]*Tabla110[[#This Row],[Cantidad]]</f>
        <v>#N/A</v>
      </c>
      <c r="U47" s="404" t="e">
        <f>++Tabla110[[#This Row],[Utilidad Bruta Total]]*$V$1</f>
        <v>#N/A</v>
      </c>
      <c r="V47" s="278" t="e">
        <f>++Tabla110[[#This Row],[Utilidad Bruta Total]]*$V$1</f>
        <v>#N/A</v>
      </c>
      <c r="W47" s="278">
        <f>VLOOKUP(Tabla110[[#This Row],[Producto]],'NUEVAS LISTAS'!$B$3:$P$403,'Ventas '!W$6,FALSE)</f>
        <v>3259</v>
      </c>
      <c r="X47" s="278">
        <f>VLOOKUP(Tabla110[[#This Row],[Producto]],'NUEVAS LISTAS'!$B$3:$P$403,'Ventas '!X$6,FALSE)</f>
        <v>3429</v>
      </c>
      <c r="Y47" s="278">
        <f>VLOOKUP(Tabla110[[#This Row],[Producto]],'NUEVAS LISTAS'!$B$3:$P$403,'Ventas '!Y$6,FALSE)</f>
        <v>3609</v>
      </c>
      <c r="Z47" s="278">
        <f>VLOOKUP(Tabla110[[#This Row],[Producto]],'NUEVAS LISTAS'!$B$3:$P$403,'Ventas '!Z$6,FALSE)</f>
        <v>3799</v>
      </c>
      <c r="AA47" s="543">
        <f>IF(AB47&lt;$AC$2,0,IF(Tabla110[[#This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7" s="539">
        <f>SUMIFS(Tabla110[[#All],[Venta Total]],Tabla110[[#All],[Asesor]],Tabla110[[#This Row],[Asesor]],Tabla110[[#All],[Fecha Cobranza]],"&lt;="&amp;Tabla110[[#This Row],[Fecha Cobranza]],Tabla110[[#All],[Fecha Cobranza]],"&gt;="&amp;Tabla110[[#This Row],[Fecha Cobranza]]-28)</f>
        <v>1481687.3719999997</v>
      </c>
      <c r="AC47" s="542">
        <f t="shared" si="3"/>
        <v>0</v>
      </c>
      <c r="AD47" s="544">
        <f t="shared" si="4"/>
        <v>0.02</v>
      </c>
      <c r="AE47" s="545">
        <f>+AD47*Tabla110[[#This Row],[Venta Total]]</f>
        <v>372.64002399999998</v>
      </c>
    </row>
    <row r="48" spans="1:31" x14ac:dyDescent="0.2">
      <c r="A48" s="264">
        <v>46006</v>
      </c>
      <c r="B48" s="274" t="str">
        <f t="shared" si="13"/>
        <v>December</v>
      </c>
      <c r="C48" s="265" t="s">
        <v>455</v>
      </c>
      <c r="D48" s="266" t="str">
        <f>VLOOKUP(Tabla110[[#This Row],[Asesor]],Tabla2[[Asesores]:[TIPO]],2,0)</f>
        <v>INTERNO</v>
      </c>
      <c r="E48" s="268" t="s">
        <v>634</v>
      </c>
      <c r="F48" s="267" t="s">
        <v>3801</v>
      </c>
      <c r="G48" s="50" t="s">
        <v>371</v>
      </c>
      <c r="H48" s="269">
        <v>7</v>
      </c>
      <c r="I48" s="275">
        <v>2283.62</v>
      </c>
      <c r="J48" s="260">
        <f>+Tabla110[[#This Row],[Precio Bruto]]*1.16</f>
        <v>2648.9991999999997</v>
      </c>
      <c r="L48" s="270">
        <f>++(Tabla110[[#This Row],[Precio Unitario Neto]]*Tabla110[[#This Row],[Cantidad]])-(Tabla110[[#This Row],[Cantidad]]*Tabla110[[#This Row],[Apoyo]])</f>
        <v>18542.9944</v>
      </c>
      <c r="M48" s="270" t="e">
        <f>((INDEX(Tabla6[#All],MATCH(Tabla110[[#This Row],[Producto]],Tabla6[[#All],[PRODUCTO]],0),MATCH(Tabla110[[#This Row],[Mes]],Tabla6[#Headers],0)))*(1+(IF(Tabla110[[#This Row],[FLETE]]="no",Catalogos!$M$2,Catalogos!$L$2))))</f>
        <v>#N/A</v>
      </c>
      <c r="N48" s="270" t="e">
        <f>+IF((Tabla110[[#This Row],[Precio Unitario Neto]]-Tabla110[[#This Row],[Apoyo]]-Tabla110[[#This Row],[COSTO + INDI]])&lt;=0,0,(Tabla110[[#This Row],[Precio Unitario Neto]]-Tabla110[[#This Row],[Apoyo]]-Tabla110[[#This Row],[COSTO + INDI]]))</f>
        <v>#N/A</v>
      </c>
      <c r="O48" s="258" t="e">
        <f>++Tabla110[[#This Row],[Utilidad Neta x Eq.]]*Tabla110[[#This Row],[Cantidad]]</f>
        <v>#N/A</v>
      </c>
      <c r="P48" s="271" t="e">
        <f>++Tabla110[[#This Row],[Utilidad Neta Total]]/Tabla110[[#This Row],[Venta Total]]</f>
        <v>#N/A</v>
      </c>
      <c r="Q48" s="258" t="s">
        <v>604</v>
      </c>
      <c r="R48" s="272" t="e">
        <f>INDEX(Tabla6[#All],MATCH(Tabla110[[#This Row],[Producto]],Tabla6[[#All],[PRODUCTO]],0),MATCH(Tabla110[[#This Row],[Mes]],Tabla6[#Headers],0))</f>
        <v>#N/A</v>
      </c>
      <c r="S48" s="260" t="e">
        <f>++Tabla110[[#This Row],[Precio Unitario Neto]]-Tabla110[[#This Row],[Apoyo]]-Tabla110[[#This Row],[Costo unitario]]</f>
        <v>#N/A</v>
      </c>
      <c r="T48" s="273" t="e">
        <f>+Tabla110[[#This Row],[Utilidad Bruta]]*Tabla110[[#This Row],[Cantidad]]</f>
        <v>#N/A</v>
      </c>
      <c r="U48" s="404" t="e">
        <f>++Tabla110[[#This Row],[Utilidad Bruta Total]]*$V$1</f>
        <v>#N/A</v>
      </c>
      <c r="V48" s="278" t="e">
        <f>++Tabla110[[#This Row],[Utilidad Bruta Total]]*$V$1</f>
        <v>#N/A</v>
      </c>
      <c r="W48" s="278">
        <f>VLOOKUP(Tabla110[[#This Row],[Producto]],'NUEVAS LISTAS'!$B$3:$P$403,'Ventas '!W$6,FALSE)</f>
        <v>3359</v>
      </c>
      <c r="X48" s="278">
        <f>VLOOKUP(Tabla110[[#This Row],[Producto]],'NUEVAS LISTAS'!$B$3:$P$403,'Ventas '!X$6,FALSE)</f>
        <v>3539</v>
      </c>
      <c r="Y48" s="278">
        <f>VLOOKUP(Tabla110[[#This Row],[Producto]],'NUEVAS LISTAS'!$B$3:$P$403,'Ventas '!Y$6,FALSE)</f>
        <v>3729</v>
      </c>
      <c r="Z48" s="278">
        <f>VLOOKUP(Tabla110[[#This Row],[Producto]],'NUEVAS LISTAS'!$B$3:$P$403,'Ventas '!Z$6,FALSE)</f>
        <v>3929</v>
      </c>
      <c r="AA48" s="543">
        <f>IF(AB48&lt;$AC$2,0,IF(Tabla110[[#This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8" s="539">
        <f>SUMIFS(Tabla110[[#All],[Venta Total]],Tabla110[[#All],[Asesor]],Tabla110[[#This Row],[Asesor]],Tabla110[[#All],[Fecha Cobranza]],"&lt;="&amp;Tabla110[[#This Row],[Fecha Cobranza]],Tabla110[[#All],[Fecha Cobranza]],"&gt;="&amp;Tabla110[[#This Row],[Fecha Cobranza]]-28)</f>
        <v>1481687.3719999997</v>
      </c>
      <c r="AC48" s="542">
        <f t="shared" si="3"/>
        <v>0</v>
      </c>
      <c r="AD48" s="544">
        <f t="shared" si="4"/>
        <v>0.02</v>
      </c>
      <c r="AE48" s="545">
        <f>+AD48*Tabla110[[#This Row],[Venta Total]]</f>
        <v>370.85988800000001</v>
      </c>
    </row>
    <row r="49" spans="1:31" x14ac:dyDescent="0.2">
      <c r="A49" s="264">
        <v>46006</v>
      </c>
      <c r="B49" s="274" t="str">
        <f t="shared" si="13"/>
        <v>December</v>
      </c>
      <c r="C49" s="265" t="s">
        <v>455</v>
      </c>
      <c r="D49" s="266" t="str">
        <f>VLOOKUP(Tabla110[[#This Row],[Asesor]],Tabla2[[Asesores]:[TIPO]],2,0)</f>
        <v>INTERNO</v>
      </c>
      <c r="E49" s="268" t="s">
        <v>634</v>
      </c>
      <c r="F49" s="267" t="s">
        <v>3801</v>
      </c>
      <c r="G49" s="50" t="s">
        <v>553</v>
      </c>
      <c r="H49" s="269">
        <v>8</v>
      </c>
      <c r="I49" s="275">
        <v>0.1075</v>
      </c>
      <c r="J49" s="260">
        <f>+Tabla110[[#This Row],[Precio Bruto]]*1.16</f>
        <v>0.12469999999999999</v>
      </c>
      <c r="L49" s="270">
        <f>++(Tabla110[[#This Row],[Precio Unitario Neto]]*Tabla110[[#This Row],[Cantidad]])-(Tabla110[[#This Row],[Cantidad]]*Tabla110[[#This Row],[Apoyo]])</f>
        <v>0.99759999999999993</v>
      </c>
      <c r="M49" s="270" t="e">
        <f>((INDEX(Tabla6[#All],MATCH(Tabla110[[#This Row],[Producto]],Tabla6[[#All],[PRODUCTO]],0),MATCH(Tabla110[[#This Row],[Mes]],Tabla6[#Headers],0)))*(1+(IF(Tabla110[[#This Row],[FLETE]]="no",Catalogos!$M$2,Catalogos!$L$2))))</f>
        <v>#N/A</v>
      </c>
      <c r="N49" s="270" t="e">
        <f>+IF((Tabla110[[#This Row],[Precio Unitario Neto]]-Tabla110[[#This Row],[Apoyo]]-Tabla110[[#This Row],[COSTO + INDI]])&lt;=0,0,(Tabla110[[#This Row],[Precio Unitario Neto]]-Tabla110[[#This Row],[Apoyo]]-Tabla110[[#This Row],[COSTO + INDI]]))</f>
        <v>#N/A</v>
      </c>
      <c r="O49" s="258" t="e">
        <f>++Tabla110[[#This Row],[Utilidad Neta x Eq.]]*Tabla110[[#This Row],[Cantidad]]</f>
        <v>#N/A</v>
      </c>
      <c r="P49" s="271" t="e">
        <f>++Tabla110[[#This Row],[Utilidad Neta Total]]/Tabla110[[#This Row],[Venta Total]]</f>
        <v>#N/A</v>
      </c>
      <c r="Q49" s="258" t="s">
        <v>604</v>
      </c>
      <c r="R49" s="272" t="e">
        <f>INDEX(Tabla6[#All],MATCH(Tabla110[[#This Row],[Producto]],Tabla6[[#All],[PRODUCTO]],0),MATCH(Tabla110[[#This Row],[Mes]],Tabla6[#Headers],0))</f>
        <v>#N/A</v>
      </c>
      <c r="S49" s="260" t="e">
        <f>++Tabla110[[#This Row],[Precio Unitario Neto]]-Tabla110[[#This Row],[Apoyo]]-Tabla110[[#This Row],[Costo unitario]]</f>
        <v>#N/A</v>
      </c>
      <c r="T49" s="273" t="e">
        <f>+Tabla110[[#This Row],[Utilidad Bruta]]*Tabla110[[#This Row],[Cantidad]]</f>
        <v>#N/A</v>
      </c>
      <c r="U49" s="404" t="e">
        <f>++Tabla110[[#This Row],[Utilidad Bruta Total]]*$V$1</f>
        <v>#N/A</v>
      </c>
      <c r="V49" s="278" t="e">
        <f>++Tabla110[[#This Row],[Utilidad Bruta Total]]*$V$1</f>
        <v>#N/A</v>
      </c>
      <c r="W49" s="278">
        <f>VLOOKUP(Tabla110[[#This Row],[Producto]],'NUEVAS LISTAS'!$B$3:$P$403,'Ventas '!W$6,FALSE)</f>
        <v>24.466071182991055</v>
      </c>
      <c r="X49" s="278">
        <f>VLOOKUP(Tabla110[[#This Row],[Producto]],'NUEVAS LISTAS'!$B$3:$P$403,'Ventas '!X$6,FALSE)</f>
        <v>26.50491044824031</v>
      </c>
      <c r="Y49" s="278">
        <f>VLOOKUP(Tabla110[[#This Row],[Producto]],'NUEVAS LISTAS'!$B$3:$P$403,'Ventas '!Y$6,FALSE)</f>
        <v>27.899905734989801</v>
      </c>
      <c r="Z49" s="278">
        <f>VLOOKUP(Tabla110[[#This Row],[Producto]],'NUEVAS LISTAS'!$B$3:$P$403,'Ventas '!Z$6,FALSE)</f>
        <v>29.368321826305056</v>
      </c>
      <c r="AA49" s="543">
        <f>IF(AB49&lt;$AC$2,0,IF(Tabla110[[#This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49" s="539">
        <f>SUMIFS(Tabla110[[#All],[Venta Total]],Tabla110[[#All],[Asesor]],Tabla110[[#This Row],[Asesor]],Tabla110[[#All],[Fecha Cobranza]],"&lt;="&amp;Tabla110[[#This Row],[Fecha Cobranza]],Tabla110[[#All],[Fecha Cobranza]],"&gt;="&amp;Tabla110[[#This Row],[Fecha Cobranza]]-28)</f>
        <v>1481687.3719999997</v>
      </c>
      <c r="AC49" s="542">
        <f t="shared" si="3"/>
        <v>0</v>
      </c>
      <c r="AD49" s="544">
        <f t="shared" si="4"/>
        <v>0.02</v>
      </c>
      <c r="AE49" s="545">
        <f>+AD49*Tabla110[[#This Row],[Venta Total]]</f>
        <v>1.9951999999999998E-2</v>
      </c>
    </row>
    <row r="50" spans="1:31" x14ac:dyDescent="0.2">
      <c r="A50" s="264">
        <v>46006</v>
      </c>
      <c r="B50" s="274" t="str">
        <f t="shared" ref="B50:B51" si="14">TEXT(A50,"mmmm")</f>
        <v>December</v>
      </c>
      <c r="C50" s="265" t="s">
        <v>455</v>
      </c>
      <c r="D50" s="266" t="str">
        <f>VLOOKUP(Tabla110[[#This Row],[Asesor]],Tabla2[[Asesores]:[TIPO]],2,0)</f>
        <v>INTERNO</v>
      </c>
      <c r="E50" s="268" t="s">
        <v>634</v>
      </c>
      <c r="F50" s="267" t="s">
        <v>3802</v>
      </c>
      <c r="G50" s="50" t="s">
        <v>32</v>
      </c>
      <c r="H50" s="269">
        <v>17</v>
      </c>
      <c r="I50" s="275">
        <v>2283.6205882352942</v>
      </c>
      <c r="J50" s="260">
        <f>+Tabla110[[#This Row],[Precio Bruto]]*1.16</f>
        <v>2648.9998823529413</v>
      </c>
      <c r="L50" s="270">
        <f>++(Tabla110[[#This Row],[Precio Unitario Neto]]*Tabla110[[#This Row],[Cantidad]])-(Tabla110[[#This Row],[Cantidad]]*Tabla110[[#This Row],[Apoyo]])</f>
        <v>45032.998</v>
      </c>
      <c r="M50" s="270" t="e">
        <f>((INDEX(Tabla6[#All],MATCH(Tabla110[[#This Row],[Producto]],Tabla6[[#All],[PRODUCTO]],0),MATCH(Tabla110[[#This Row],[Mes]],Tabla6[#Headers],0)))*(1+(IF(Tabla110[[#This Row],[FLETE]]="no",Catalogos!$M$2,Catalogos!$L$2))))</f>
        <v>#N/A</v>
      </c>
      <c r="N50" s="270" t="e">
        <f>+IF((Tabla110[[#This Row],[Precio Unitario Neto]]-Tabla110[[#This Row],[Apoyo]]-Tabla110[[#This Row],[COSTO + INDI]])&lt;=0,0,(Tabla110[[#This Row],[Precio Unitario Neto]]-Tabla110[[#This Row],[Apoyo]]-Tabla110[[#This Row],[COSTO + INDI]]))</f>
        <v>#N/A</v>
      </c>
      <c r="O50" s="258" t="e">
        <f>++Tabla110[[#This Row],[Utilidad Neta x Eq.]]*Tabla110[[#This Row],[Cantidad]]</f>
        <v>#N/A</v>
      </c>
      <c r="P50" s="271" t="e">
        <f>++Tabla110[[#This Row],[Utilidad Neta Total]]/Tabla110[[#This Row],[Venta Total]]</f>
        <v>#N/A</v>
      </c>
      <c r="Q50" s="258" t="s">
        <v>604</v>
      </c>
      <c r="R50" s="272" t="e">
        <f>INDEX(Tabla6[#All],MATCH(Tabla110[[#This Row],[Producto]],Tabla6[[#All],[PRODUCTO]],0),MATCH(Tabla110[[#This Row],[Mes]],Tabla6[#Headers],0))</f>
        <v>#N/A</v>
      </c>
      <c r="S50" s="260" t="e">
        <f>++Tabla110[[#This Row],[Precio Unitario Neto]]-Tabla110[[#This Row],[Apoyo]]-Tabla110[[#This Row],[Costo unitario]]</f>
        <v>#N/A</v>
      </c>
      <c r="T50" s="273" t="e">
        <f>+Tabla110[[#This Row],[Utilidad Bruta]]*Tabla110[[#This Row],[Cantidad]]</f>
        <v>#N/A</v>
      </c>
      <c r="U50" s="404" t="e">
        <f>++Tabla110[[#This Row],[Utilidad Bruta Total]]*$V$1</f>
        <v>#N/A</v>
      </c>
      <c r="V50" s="278" t="e">
        <f>++Tabla110[[#This Row],[Utilidad Bruta Total]]*$V$1</f>
        <v>#N/A</v>
      </c>
      <c r="W50" s="278">
        <f>VLOOKUP(Tabla110[[#This Row],[Producto]],'NUEVAS LISTAS'!$B$3:$P$403,'Ventas '!W$6,FALSE)</f>
        <v>3699</v>
      </c>
      <c r="X50" s="278">
        <f>VLOOKUP(Tabla110[[#This Row],[Producto]],'NUEVAS LISTAS'!$B$3:$P$403,'Ventas '!X$6,FALSE)</f>
        <v>3889</v>
      </c>
      <c r="Y50" s="278">
        <f>VLOOKUP(Tabla110[[#This Row],[Producto]],'NUEVAS LISTAS'!$B$3:$P$403,'Ventas '!Y$6,FALSE)</f>
        <v>4089</v>
      </c>
      <c r="Z50" s="278">
        <f>VLOOKUP(Tabla110[[#This Row],[Producto]],'NUEVAS LISTAS'!$B$3:$P$403,'Ventas '!Z$6,FALSE)</f>
        <v>4299</v>
      </c>
      <c r="AA50" s="543">
        <f>IF(AB50&lt;$AC$2,0,IF(Tabla110[[#This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50" s="539">
        <f>SUMIFS(Tabla110[[#All],[Venta Total]],Tabla110[[#All],[Asesor]],Tabla110[[#This Row],[Asesor]],Tabla110[[#All],[Fecha Cobranza]],"&lt;="&amp;Tabla110[[#This Row],[Fecha Cobranza]],Tabla110[[#All],[Fecha Cobranza]],"&gt;="&amp;Tabla110[[#This Row],[Fecha Cobranza]]-28)</f>
        <v>1481687.3719999997</v>
      </c>
      <c r="AC50" s="542">
        <f t="shared" si="3"/>
        <v>0</v>
      </c>
      <c r="AD50" s="544">
        <f t="shared" si="4"/>
        <v>0.02</v>
      </c>
      <c r="AE50" s="545">
        <f>+AD50*Tabla110[[#This Row],[Venta Total]]</f>
        <v>900.65995999999996</v>
      </c>
    </row>
    <row r="51" spans="1:31" x14ac:dyDescent="0.2">
      <c r="A51" s="264">
        <v>46006</v>
      </c>
      <c r="B51" s="274" t="str">
        <f t="shared" si="14"/>
        <v>December</v>
      </c>
      <c r="C51" s="265" t="s">
        <v>455</v>
      </c>
      <c r="D51" s="266" t="str">
        <f>VLOOKUP(Tabla110[[#This Row],[Asesor]],Tabla2[[Asesores]:[TIPO]],2,0)</f>
        <v>INTERNO</v>
      </c>
      <c r="E51" s="268" t="s">
        <v>634</v>
      </c>
      <c r="F51" s="267" t="s">
        <v>3802</v>
      </c>
      <c r="G51" s="50" t="s">
        <v>31</v>
      </c>
      <c r="H51" s="269">
        <v>20</v>
      </c>
      <c r="I51" s="275">
        <v>2007.7584999999999</v>
      </c>
      <c r="J51" s="260">
        <f>+Tabla110[[#This Row],[Precio Bruto]]*1.16</f>
        <v>2328.9998599999999</v>
      </c>
      <c r="L51" s="270">
        <f>++(Tabla110[[#This Row],[Precio Unitario Neto]]*Tabla110[[#This Row],[Cantidad]])-(Tabla110[[#This Row],[Cantidad]]*Tabla110[[#This Row],[Apoyo]])</f>
        <v>46579.997199999998</v>
      </c>
      <c r="M51" s="270" t="e">
        <f>((INDEX(Tabla6[#All],MATCH(Tabla110[[#This Row],[Producto]],Tabla6[[#All],[PRODUCTO]],0),MATCH(Tabla110[[#This Row],[Mes]],Tabla6[#Headers],0)))*(1+(IF(Tabla110[[#This Row],[FLETE]]="no",Catalogos!$M$2,Catalogos!$L$2))))</f>
        <v>#N/A</v>
      </c>
      <c r="N51" s="270" t="e">
        <f>+IF((Tabla110[[#This Row],[Precio Unitario Neto]]-Tabla110[[#This Row],[Apoyo]]-Tabla110[[#This Row],[COSTO + INDI]])&lt;=0,0,(Tabla110[[#This Row],[Precio Unitario Neto]]-Tabla110[[#This Row],[Apoyo]]-Tabla110[[#This Row],[COSTO + INDI]]))</f>
        <v>#N/A</v>
      </c>
      <c r="O51" s="258" t="e">
        <f>++Tabla110[[#This Row],[Utilidad Neta x Eq.]]*Tabla110[[#This Row],[Cantidad]]</f>
        <v>#N/A</v>
      </c>
      <c r="P51" s="271" t="e">
        <f>++Tabla110[[#This Row],[Utilidad Neta Total]]/Tabla110[[#This Row],[Venta Total]]</f>
        <v>#N/A</v>
      </c>
      <c r="Q51" s="258" t="s">
        <v>604</v>
      </c>
      <c r="R51" s="272" t="e">
        <f>INDEX(Tabla6[#All],MATCH(Tabla110[[#This Row],[Producto]],Tabla6[[#All],[PRODUCTO]],0),MATCH(Tabla110[[#This Row],[Mes]],Tabla6[#Headers],0))</f>
        <v>#N/A</v>
      </c>
      <c r="S51" s="260" t="e">
        <f>++Tabla110[[#This Row],[Precio Unitario Neto]]-Tabla110[[#This Row],[Apoyo]]-Tabla110[[#This Row],[Costo unitario]]</f>
        <v>#N/A</v>
      </c>
      <c r="T51" s="273" t="e">
        <f>+Tabla110[[#This Row],[Utilidad Bruta]]*Tabla110[[#This Row],[Cantidad]]</f>
        <v>#N/A</v>
      </c>
      <c r="U51" s="404" t="e">
        <f>++Tabla110[[#This Row],[Utilidad Bruta Total]]*$V$1</f>
        <v>#N/A</v>
      </c>
      <c r="V51" s="278" t="e">
        <f>++Tabla110[[#This Row],[Utilidad Bruta Total]]*$V$1</f>
        <v>#N/A</v>
      </c>
      <c r="W51" s="278">
        <f>VLOOKUP(Tabla110[[#This Row],[Producto]],'NUEVAS LISTAS'!$B$3:$P$403,'Ventas '!W$6,FALSE)</f>
        <v>3259</v>
      </c>
      <c r="X51" s="278">
        <f>VLOOKUP(Tabla110[[#This Row],[Producto]],'NUEVAS LISTAS'!$B$3:$P$403,'Ventas '!X$6,FALSE)</f>
        <v>3429</v>
      </c>
      <c r="Y51" s="278">
        <f>VLOOKUP(Tabla110[[#This Row],[Producto]],'NUEVAS LISTAS'!$B$3:$P$403,'Ventas '!Y$6,FALSE)</f>
        <v>3609</v>
      </c>
      <c r="Z51" s="278">
        <f>VLOOKUP(Tabla110[[#This Row],[Producto]],'NUEVAS LISTAS'!$B$3:$P$403,'Ventas '!Z$6,FALSE)</f>
        <v>3799</v>
      </c>
      <c r="AA51" s="543">
        <f>IF(AB51&lt;$AC$2,0,IF(Tabla110[[#This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51" s="539">
        <f>SUMIFS(Tabla110[[#All],[Venta Total]],Tabla110[[#All],[Asesor]],Tabla110[[#This Row],[Asesor]],Tabla110[[#All],[Fecha Cobranza]],"&lt;="&amp;Tabla110[[#This Row],[Fecha Cobranza]],Tabla110[[#All],[Fecha Cobranza]],"&gt;="&amp;Tabla110[[#This Row],[Fecha Cobranza]]-28)</f>
        <v>1481687.3719999997</v>
      </c>
      <c r="AC51" s="542">
        <f t="shared" si="3"/>
        <v>0</v>
      </c>
      <c r="AD51" s="544">
        <f t="shared" si="4"/>
        <v>0.02</v>
      </c>
      <c r="AE51" s="545">
        <f>+AD51*Tabla110[[#This Row],[Venta Total]]</f>
        <v>931.59994399999994</v>
      </c>
    </row>
    <row r="52" spans="1:31" x14ac:dyDescent="0.2">
      <c r="A52" s="264">
        <v>46006</v>
      </c>
      <c r="B52" s="274" t="str">
        <f t="shared" ref="B52:B60" si="15">TEXT(A52,"mmmm")</f>
        <v>December</v>
      </c>
      <c r="C52" s="265" t="s">
        <v>547</v>
      </c>
      <c r="D52" s="266" t="str">
        <f>VLOOKUP(Tabla110[[#This Row],[Asesor]],Tabla2[[Asesores]:[TIPO]],2,0)</f>
        <v>INTERNO</v>
      </c>
      <c r="E52" s="268" t="s">
        <v>896</v>
      </c>
      <c r="F52" s="267" t="s">
        <v>3803</v>
      </c>
      <c r="G52" s="50" t="s">
        <v>20</v>
      </c>
      <c r="H52" s="269">
        <v>1</v>
      </c>
      <c r="I52" s="275">
        <v>7757.76</v>
      </c>
      <c r="J52" s="260">
        <f>+Tabla110[[#This Row],[Precio Bruto]]*1.16</f>
        <v>8999.0015999999996</v>
      </c>
      <c r="L52" s="270">
        <f>++(Tabla110[[#This Row],[Precio Unitario Neto]]*Tabla110[[#This Row],[Cantidad]])-(Tabla110[[#This Row],[Cantidad]]*Tabla110[[#This Row],[Apoyo]])</f>
        <v>8999.0015999999996</v>
      </c>
      <c r="M52" s="270" t="e">
        <f>((INDEX(Tabla6[#All],MATCH(Tabla110[[#This Row],[Producto]],Tabla6[[#All],[PRODUCTO]],0),MATCH(Tabla110[[#This Row],[Mes]],Tabla6[#Headers],0)))*(1+(IF(Tabla110[[#This Row],[FLETE]]="no",Catalogos!$M$2,Catalogos!$L$2))))</f>
        <v>#N/A</v>
      </c>
      <c r="N52" s="270" t="e">
        <f>+IF((Tabla110[[#This Row],[Precio Unitario Neto]]-Tabla110[[#This Row],[Apoyo]]-Tabla110[[#This Row],[COSTO + INDI]])&lt;=0,0,(Tabla110[[#This Row],[Precio Unitario Neto]]-Tabla110[[#This Row],[Apoyo]]-Tabla110[[#This Row],[COSTO + INDI]]))</f>
        <v>#N/A</v>
      </c>
      <c r="O52" s="258" t="e">
        <f>++Tabla110[[#This Row],[Utilidad Neta x Eq.]]*Tabla110[[#This Row],[Cantidad]]</f>
        <v>#N/A</v>
      </c>
      <c r="P52" s="271" t="e">
        <f>++Tabla110[[#This Row],[Utilidad Neta Total]]/Tabla110[[#This Row],[Venta Total]]</f>
        <v>#N/A</v>
      </c>
      <c r="Q52" s="258" t="s">
        <v>604</v>
      </c>
      <c r="R52" s="272" t="e">
        <f>INDEX(Tabla6[#All],MATCH(Tabla110[[#This Row],[Producto]],Tabla6[[#All],[PRODUCTO]],0),MATCH(Tabla110[[#This Row],[Mes]],Tabla6[#Headers],0))</f>
        <v>#N/A</v>
      </c>
      <c r="S52" s="260" t="e">
        <f>++Tabla110[[#This Row],[Precio Unitario Neto]]-Tabla110[[#This Row],[Apoyo]]-Tabla110[[#This Row],[Costo unitario]]</f>
        <v>#N/A</v>
      </c>
      <c r="T52" s="273" t="e">
        <f>+Tabla110[[#This Row],[Utilidad Bruta]]*Tabla110[[#This Row],[Cantidad]]</f>
        <v>#N/A</v>
      </c>
      <c r="U52" s="404" t="e">
        <f>++Tabla110[[#This Row],[Utilidad Bruta Total]]*$V$1</f>
        <v>#N/A</v>
      </c>
      <c r="V52" s="278" t="e">
        <f>++Tabla110[[#This Row],[Utilidad Bruta Total]]*$V$1</f>
        <v>#N/A</v>
      </c>
      <c r="W52" s="278">
        <f>VLOOKUP(Tabla110[[#This Row],[Producto]],'NUEVAS LISTAS'!$B$3:$P$403,'Ventas '!W$6,FALSE)</f>
        <v>6199</v>
      </c>
      <c r="X52" s="278">
        <f>VLOOKUP(Tabla110[[#This Row],[Producto]],'NUEVAS LISTAS'!$B$3:$P$403,'Ventas '!X$6,FALSE)</f>
        <v>6549</v>
      </c>
      <c r="Y52" s="278">
        <f>VLOOKUP(Tabla110[[#This Row],[Producto]],'NUEVAS LISTAS'!$B$3:$P$403,'Ventas '!Y$6,FALSE)</f>
        <v>6899</v>
      </c>
      <c r="Z52" s="278">
        <f>VLOOKUP(Tabla110[[#This Row],[Producto]],'NUEVAS LISTAS'!$B$3:$P$403,'Ventas '!Z$6,FALSE)</f>
        <v>7249</v>
      </c>
      <c r="AA52" s="543">
        <f>IF(AB52&lt;$AC$2,0,IF(Tabla110[[#This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2" s="539">
        <f>SUMIFS(Tabla110[[#All],[Venta Total]],Tabla110[[#All],[Asesor]],Tabla110[[#This Row],[Asesor]],Tabla110[[#All],[Fecha Cobranza]],"&lt;="&amp;Tabla110[[#This Row],[Fecha Cobranza]],Tabla110[[#All],[Fecha Cobranza]],"&gt;="&amp;Tabla110[[#This Row],[Fecha Cobranza]]-28)</f>
        <v>312330.99759999994</v>
      </c>
      <c r="AC52" s="542">
        <f t="shared" si="3"/>
        <v>0</v>
      </c>
      <c r="AD52" s="544">
        <f t="shared" si="4"/>
        <v>2.75E-2</v>
      </c>
      <c r="AE52" s="545">
        <f>+AD52*Tabla110[[#This Row],[Venta Total]]</f>
        <v>247.472544</v>
      </c>
    </row>
    <row r="53" spans="1:31" x14ac:dyDescent="0.2">
      <c r="A53" s="264">
        <v>46006</v>
      </c>
      <c r="B53" s="274" t="str">
        <f t="shared" si="15"/>
        <v>December</v>
      </c>
      <c r="C53" s="265" t="s">
        <v>547</v>
      </c>
      <c r="D53" s="266" t="str">
        <f>VLOOKUP(Tabla110[[#This Row],[Asesor]],Tabla2[[Asesores]:[TIPO]],2,0)</f>
        <v>INTERNO</v>
      </c>
      <c r="E53" s="268" t="s">
        <v>896</v>
      </c>
      <c r="F53" s="267" t="s">
        <v>3803</v>
      </c>
      <c r="G53" s="50" t="s">
        <v>16</v>
      </c>
      <c r="H53" s="269">
        <v>2</v>
      </c>
      <c r="I53" s="275">
        <v>3749.14</v>
      </c>
      <c r="J53" s="260">
        <f>+Tabla110[[#This Row],[Precio Bruto]]*1.16</f>
        <v>4349.0023999999994</v>
      </c>
      <c r="L53" s="270">
        <f>++(Tabla110[[#This Row],[Precio Unitario Neto]]*Tabla110[[#This Row],[Cantidad]])-(Tabla110[[#This Row],[Cantidad]]*Tabla110[[#This Row],[Apoyo]])</f>
        <v>8698.0047999999988</v>
      </c>
      <c r="M53" s="270" t="e">
        <f>((INDEX(Tabla6[#All],MATCH(Tabla110[[#This Row],[Producto]],Tabla6[[#All],[PRODUCTO]],0),MATCH(Tabla110[[#This Row],[Mes]],Tabla6[#Headers],0)))*(1+(IF(Tabla110[[#This Row],[FLETE]]="no",Catalogos!$M$2,Catalogos!$L$2))))</f>
        <v>#N/A</v>
      </c>
      <c r="N53" s="270" t="e">
        <f>+IF((Tabla110[[#This Row],[Precio Unitario Neto]]-Tabla110[[#This Row],[Apoyo]]-Tabla110[[#This Row],[COSTO + INDI]])&lt;=0,0,(Tabla110[[#This Row],[Precio Unitario Neto]]-Tabla110[[#This Row],[Apoyo]]-Tabla110[[#This Row],[COSTO + INDI]]))</f>
        <v>#N/A</v>
      </c>
      <c r="O53" s="258" t="e">
        <f>++Tabla110[[#This Row],[Utilidad Neta x Eq.]]*Tabla110[[#This Row],[Cantidad]]</f>
        <v>#N/A</v>
      </c>
      <c r="P53" s="271" t="e">
        <f>++Tabla110[[#This Row],[Utilidad Neta Total]]/Tabla110[[#This Row],[Venta Total]]</f>
        <v>#N/A</v>
      </c>
      <c r="Q53" s="258" t="s">
        <v>604</v>
      </c>
      <c r="R53" s="272" t="e">
        <f>INDEX(Tabla6[#All],MATCH(Tabla110[[#This Row],[Producto]],Tabla6[[#All],[PRODUCTO]],0),MATCH(Tabla110[[#This Row],[Mes]],Tabla6[#Headers],0))</f>
        <v>#N/A</v>
      </c>
      <c r="S53" s="260" t="e">
        <f>++Tabla110[[#This Row],[Precio Unitario Neto]]-Tabla110[[#This Row],[Apoyo]]-Tabla110[[#This Row],[Costo unitario]]</f>
        <v>#N/A</v>
      </c>
      <c r="T53" s="273" t="e">
        <f>+Tabla110[[#This Row],[Utilidad Bruta]]*Tabla110[[#This Row],[Cantidad]]</f>
        <v>#N/A</v>
      </c>
      <c r="U53" s="404" t="e">
        <f>++Tabla110[[#This Row],[Utilidad Bruta Total]]*$V$1</f>
        <v>#N/A</v>
      </c>
      <c r="V53" s="278" t="e">
        <f>++Tabla110[[#This Row],[Utilidad Bruta Total]]*$V$1</f>
        <v>#N/A</v>
      </c>
      <c r="W53" s="278">
        <f>VLOOKUP(Tabla110[[#This Row],[Producto]],'NUEVAS LISTAS'!$B$3:$P$403,'Ventas '!W$6,FALSE)</f>
        <v>3049</v>
      </c>
      <c r="X53" s="278">
        <f>VLOOKUP(Tabla110[[#This Row],[Producto]],'NUEVAS LISTAS'!$B$3:$P$403,'Ventas '!X$6,FALSE)</f>
        <v>3199</v>
      </c>
      <c r="Y53" s="278">
        <f>VLOOKUP(Tabla110[[#This Row],[Producto]],'NUEVAS LISTAS'!$B$3:$P$403,'Ventas '!Y$6,FALSE)</f>
        <v>3349</v>
      </c>
      <c r="Z53" s="278">
        <f>VLOOKUP(Tabla110[[#This Row],[Producto]],'NUEVAS LISTAS'!$B$3:$P$403,'Ventas '!Z$6,FALSE)</f>
        <v>3549</v>
      </c>
      <c r="AA53" s="543">
        <f>IF(AB53&lt;$AC$2,0,IF(Tabla110[[#This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3" s="539">
        <f>SUMIFS(Tabla110[[#All],[Venta Total]],Tabla110[[#All],[Asesor]],Tabla110[[#This Row],[Asesor]],Tabla110[[#All],[Fecha Cobranza]],"&lt;="&amp;Tabla110[[#This Row],[Fecha Cobranza]],Tabla110[[#All],[Fecha Cobranza]],"&gt;="&amp;Tabla110[[#This Row],[Fecha Cobranza]]-28)</f>
        <v>312330.99759999994</v>
      </c>
      <c r="AC53" s="542">
        <f t="shared" si="3"/>
        <v>0</v>
      </c>
      <c r="AD53" s="544">
        <f t="shared" si="4"/>
        <v>2.75E-2</v>
      </c>
      <c r="AE53" s="545">
        <f>+AD53*Tabla110[[#This Row],[Venta Total]]</f>
        <v>239.19513199999997</v>
      </c>
    </row>
    <row r="54" spans="1:31" x14ac:dyDescent="0.2">
      <c r="A54" s="264">
        <v>46006</v>
      </c>
      <c r="B54" s="274" t="str">
        <f t="shared" si="15"/>
        <v>December</v>
      </c>
      <c r="C54" s="265" t="s">
        <v>547</v>
      </c>
      <c r="D54" s="266" t="str">
        <f>VLOOKUP(Tabla110[[#This Row],[Asesor]],Tabla2[[Asesores]:[TIPO]],2,0)</f>
        <v>INTERNO</v>
      </c>
      <c r="E54" s="268" t="s">
        <v>896</v>
      </c>
      <c r="F54" s="267" t="s">
        <v>3803</v>
      </c>
      <c r="G54" s="50" t="s">
        <v>82</v>
      </c>
      <c r="H54" s="269">
        <v>1</v>
      </c>
      <c r="I54" s="275">
        <v>9093.9699999999993</v>
      </c>
      <c r="J54" s="260">
        <f>+Tabla110[[#This Row],[Precio Bruto]]*1.16</f>
        <v>10549.005199999998</v>
      </c>
      <c r="L54" s="270">
        <f>++(Tabla110[[#This Row],[Precio Unitario Neto]]*Tabla110[[#This Row],[Cantidad]])-(Tabla110[[#This Row],[Cantidad]]*Tabla110[[#This Row],[Apoyo]])</f>
        <v>10549.005199999998</v>
      </c>
      <c r="M54" s="270" t="e">
        <f>((INDEX(Tabla6[#All],MATCH(Tabla110[[#This Row],[Producto]],Tabla6[[#All],[PRODUCTO]],0),MATCH(Tabla110[[#This Row],[Mes]],Tabla6[#Headers],0)))*(1+(IF(Tabla110[[#This Row],[FLETE]]="no",Catalogos!$M$2,Catalogos!$L$2))))</f>
        <v>#N/A</v>
      </c>
      <c r="N54" s="270" t="e">
        <f>+IF((Tabla110[[#This Row],[Precio Unitario Neto]]-Tabla110[[#This Row],[Apoyo]]-Tabla110[[#This Row],[COSTO + INDI]])&lt;=0,0,(Tabla110[[#This Row],[Precio Unitario Neto]]-Tabla110[[#This Row],[Apoyo]]-Tabla110[[#This Row],[COSTO + INDI]]))</f>
        <v>#N/A</v>
      </c>
      <c r="O54" s="258" t="e">
        <f>++Tabla110[[#This Row],[Utilidad Neta x Eq.]]*Tabla110[[#This Row],[Cantidad]]</f>
        <v>#N/A</v>
      </c>
      <c r="P54" s="271" t="e">
        <f>++Tabla110[[#This Row],[Utilidad Neta Total]]/Tabla110[[#This Row],[Venta Total]]</f>
        <v>#N/A</v>
      </c>
      <c r="Q54" s="258" t="s">
        <v>604</v>
      </c>
      <c r="R54" s="272" t="e">
        <f>INDEX(Tabla6[#All],MATCH(Tabla110[[#This Row],[Producto]],Tabla6[[#All],[PRODUCTO]],0),MATCH(Tabla110[[#This Row],[Mes]],Tabla6[#Headers],0))</f>
        <v>#N/A</v>
      </c>
      <c r="S54" s="260" t="e">
        <f>++Tabla110[[#This Row],[Precio Unitario Neto]]-Tabla110[[#This Row],[Apoyo]]-Tabla110[[#This Row],[Costo unitario]]</f>
        <v>#N/A</v>
      </c>
      <c r="T54" s="273" t="e">
        <f>+Tabla110[[#This Row],[Utilidad Bruta]]*Tabla110[[#This Row],[Cantidad]]</f>
        <v>#N/A</v>
      </c>
      <c r="U54" s="404" t="e">
        <f>++Tabla110[[#This Row],[Utilidad Bruta Total]]*$V$1</f>
        <v>#N/A</v>
      </c>
      <c r="V54" s="278" t="e">
        <f>++Tabla110[[#This Row],[Utilidad Bruta Total]]*$V$1</f>
        <v>#N/A</v>
      </c>
      <c r="W54" s="278">
        <f>VLOOKUP(Tabla110[[#This Row],[Producto]],'NUEVAS LISTAS'!$B$3:$P$403,'Ventas '!W$6,FALSE)</f>
        <v>7799</v>
      </c>
      <c r="X54" s="278">
        <f>VLOOKUP(Tabla110[[#This Row],[Producto]],'NUEVAS LISTAS'!$B$3:$P$403,'Ventas '!X$6,FALSE)</f>
        <v>8199</v>
      </c>
      <c r="Y54" s="278">
        <f>VLOOKUP(Tabla110[[#This Row],[Producto]],'NUEVAS LISTAS'!$B$3:$P$403,'Ventas '!Y$6,FALSE)</f>
        <v>8649</v>
      </c>
      <c r="Z54" s="278">
        <f>VLOOKUP(Tabla110[[#This Row],[Producto]],'NUEVAS LISTAS'!$B$3:$P$403,'Ventas '!Z$6,FALSE)</f>
        <v>9099</v>
      </c>
      <c r="AA54" s="543">
        <f>IF(AB54&lt;$AC$2,0,IF(Tabla110[[#This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4" s="539">
        <f>SUMIFS(Tabla110[[#All],[Venta Total]],Tabla110[[#All],[Asesor]],Tabla110[[#This Row],[Asesor]],Tabla110[[#All],[Fecha Cobranza]],"&lt;="&amp;Tabla110[[#This Row],[Fecha Cobranza]],Tabla110[[#All],[Fecha Cobranza]],"&gt;="&amp;Tabla110[[#This Row],[Fecha Cobranza]]-28)</f>
        <v>312330.99759999994</v>
      </c>
      <c r="AC54" s="542">
        <f t="shared" si="3"/>
        <v>0</v>
      </c>
      <c r="AD54" s="544">
        <f t="shared" si="4"/>
        <v>2.75E-2</v>
      </c>
      <c r="AE54" s="545">
        <f>+AD54*Tabla110[[#This Row],[Venta Total]]</f>
        <v>290.09764299999995</v>
      </c>
    </row>
    <row r="55" spans="1:31" x14ac:dyDescent="0.2">
      <c r="A55" s="264">
        <v>46006</v>
      </c>
      <c r="B55" s="274" t="str">
        <f t="shared" si="15"/>
        <v>December</v>
      </c>
      <c r="C55" s="265" t="s">
        <v>547</v>
      </c>
      <c r="D55" s="266" t="str">
        <f>VLOOKUP(Tabla110[[#This Row],[Asesor]],Tabla2[[Asesores]:[TIPO]],2,0)</f>
        <v>INTERNO</v>
      </c>
      <c r="E55" s="268" t="s">
        <v>896</v>
      </c>
      <c r="F55" s="267" t="s">
        <v>3803</v>
      </c>
      <c r="G55" s="50" t="s">
        <v>83</v>
      </c>
      <c r="H55" s="269">
        <v>1</v>
      </c>
      <c r="I55" s="275">
        <v>9783.6200000000008</v>
      </c>
      <c r="J55" s="260">
        <f>+Tabla110[[#This Row],[Precio Bruto]]*1.16</f>
        <v>11348.9992</v>
      </c>
      <c r="L55" s="270">
        <f>++(Tabla110[[#This Row],[Precio Unitario Neto]]*Tabla110[[#This Row],[Cantidad]])-(Tabla110[[#This Row],[Cantidad]]*Tabla110[[#This Row],[Apoyo]])</f>
        <v>11348.9992</v>
      </c>
      <c r="M55" s="270" t="e">
        <f>((INDEX(Tabla6[#All],MATCH(Tabla110[[#This Row],[Producto]],Tabla6[[#All],[PRODUCTO]],0),MATCH(Tabla110[[#This Row],[Mes]],Tabla6[#Headers],0)))*(1+(IF(Tabla110[[#This Row],[FLETE]]="no",Catalogos!$M$2,Catalogos!$L$2))))</f>
        <v>#N/A</v>
      </c>
      <c r="N55" s="270" t="e">
        <f>+IF((Tabla110[[#This Row],[Precio Unitario Neto]]-Tabla110[[#This Row],[Apoyo]]-Tabla110[[#This Row],[COSTO + INDI]])&lt;=0,0,(Tabla110[[#This Row],[Precio Unitario Neto]]-Tabla110[[#This Row],[Apoyo]]-Tabla110[[#This Row],[COSTO + INDI]]))</f>
        <v>#N/A</v>
      </c>
      <c r="O55" s="258" t="e">
        <f>++Tabla110[[#This Row],[Utilidad Neta x Eq.]]*Tabla110[[#This Row],[Cantidad]]</f>
        <v>#N/A</v>
      </c>
      <c r="P55" s="271" t="e">
        <f>++Tabla110[[#This Row],[Utilidad Neta Total]]/Tabla110[[#This Row],[Venta Total]]</f>
        <v>#N/A</v>
      </c>
      <c r="Q55" s="258" t="s">
        <v>604</v>
      </c>
      <c r="R55" s="272" t="e">
        <f>INDEX(Tabla6[#All],MATCH(Tabla110[[#This Row],[Producto]],Tabla6[[#All],[PRODUCTO]],0),MATCH(Tabla110[[#This Row],[Mes]],Tabla6[#Headers],0))</f>
        <v>#N/A</v>
      </c>
      <c r="S55" s="260" t="e">
        <f>++Tabla110[[#This Row],[Precio Unitario Neto]]-Tabla110[[#This Row],[Apoyo]]-Tabla110[[#This Row],[Costo unitario]]</f>
        <v>#N/A</v>
      </c>
      <c r="T55" s="273" t="e">
        <f>+Tabla110[[#This Row],[Utilidad Bruta]]*Tabla110[[#This Row],[Cantidad]]</f>
        <v>#N/A</v>
      </c>
      <c r="U55" s="404" t="e">
        <f>++Tabla110[[#This Row],[Utilidad Bruta Total]]*$V$1</f>
        <v>#N/A</v>
      </c>
      <c r="V55" s="278" t="e">
        <f>++Tabla110[[#This Row],[Utilidad Bruta Total]]*$V$1</f>
        <v>#N/A</v>
      </c>
      <c r="W55" s="278">
        <f>VLOOKUP(Tabla110[[#This Row],[Producto]],'NUEVAS LISTAS'!$B$3:$P$403,'Ventas '!W$6,FALSE)</f>
        <v>7849</v>
      </c>
      <c r="X55" s="278">
        <f>VLOOKUP(Tabla110[[#This Row],[Producto]],'NUEVAS LISTAS'!$B$3:$P$403,'Ventas '!X$6,FALSE)</f>
        <v>8249</v>
      </c>
      <c r="Y55" s="278">
        <f>VLOOKUP(Tabla110[[#This Row],[Producto]],'NUEVAS LISTAS'!$B$3:$P$403,'Ventas '!Y$6,FALSE)</f>
        <v>8699</v>
      </c>
      <c r="Z55" s="278">
        <f>VLOOKUP(Tabla110[[#This Row],[Producto]],'NUEVAS LISTAS'!$B$3:$P$403,'Ventas '!Z$6,FALSE)</f>
        <v>9149</v>
      </c>
      <c r="AA55" s="543">
        <f>IF(AB55&lt;$AC$2,0,IF(Tabla110[[#This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5" s="539">
        <f>SUMIFS(Tabla110[[#All],[Venta Total]],Tabla110[[#All],[Asesor]],Tabla110[[#This Row],[Asesor]],Tabla110[[#All],[Fecha Cobranza]],"&lt;="&amp;Tabla110[[#This Row],[Fecha Cobranza]],Tabla110[[#All],[Fecha Cobranza]],"&gt;="&amp;Tabla110[[#This Row],[Fecha Cobranza]]-28)</f>
        <v>312330.99759999994</v>
      </c>
      <c r="AC55" s="542">
        <f t="shared" si="3"/>
        <v>0</v>
      </c>
      <c r="AD55" s="544">
        <f t="shared" si="4"/>
        <v>2.75E-2</v>
      </c>
      <c r="AE55" s="545">
        <f>+AD55*Tabla110[[#This Row],[Venta Total]]</f>
        <v>312.09747800000002</v>
      </c>
    </row>
    <row r="56" spans="1:31" x14ac:dyDescent="0.2">
      <c r="A56" s="264">
        <v>46006</v>
      </c>
      <c r="B56" s="274" t="str">
        <f t="shared" si="15"/>
        <v>December</v>
      </c>
      <c r="C56" s="265" t="s">
        <v>547</v>
      </c>
      <c r="D56" s="266" t="str">
        <f>VLOOKUP(Tabla110[[#This Row],[Asesor]],Tabla2[[Asesores]:[TIPO]],2,0)</f>
        <v>INTERNO</v>
      </c>
      <c r="E56" s="268" t="s">
        <v>896</v>
      </c>
      <c r="F56" s="267" t="s">
        <v>3803</v>
      </c>
      <c r="G56" s="50" t="s">
        <v>33</v>
      </c>
      <c r="H56" s="269">
        <v>1</v>
      </c>
      <c r="I56" s="275">
        <v>4869.83</v>
      </c>
      <c r="J56" s="260">
        <f>+Tabla110[[#This Row],[Precio Bruto]]*1.16</f>
        <v>5649.0027999999993</v>
      </c>
      <c r="L56" s="270">
        <f>++(Tabla110[[#This Row],[Precio Unitario Neto]]*Tabla110[[#This Row],[Cantidad]])-(Tabla110[[#This Row],[Cantidad]]*Tabla110[[#This Row],[Apoyo]])</f>
        <v>5649.0027999999993</v>
      </c>
      <c r="M56" s="270" t="e">
        <f>((INDEX(Tabla6[#All],MATCH(Tabla110[[#This Row],[Producto]],Tabla6[[#All],[PRODUCTO]],0),MATCH(Tabla110[[#This Row],[Mes]],Tabla6[#Headers],0)))*(1+(IF(Tabla110[[#This Row],[FLETE]]="no",Catalogos!$M$2,Catalogos!$L$2))))</f>
        <v>#N/A</v>
      </c>
      <c r="N56" s="270" t="e">
        <f>+IF((Tabla110[[#This Row],[Precio Unitario Neto]]-Tabla110[[#This Row],[Apoyo]]-Tabla110[[#This Row],[COSTO + INDI]])&lt;=0,0,(Tabla110[[#This Row],[Precio Unitario Neto]]-Tabla110[[#This Row],[Apoyo]]-Tabla110[[#This Row],[COSTO + INDI]]))</f>
        <v>#N/A</v>
      </c>
      <c r="O56" s="258" t="e">
        <f>++Tabla110[[#This Row],[Utilidad Neta x Eq.]]*Tabla110[[#This Row],[Cantidad]]</f>
        <v>#N/A</v>
      </c>
      <c r="P56" s="271" t="e">
        <f>++Tabla110[[#This Row],[Utilidad Neta Total]]/Tabla110[[#This Row],[Venta Total]]</f>
        <v>#N/A</v>
      </c>
      <c r="Q56" s="258" t="s">
        <v>604</v>
      </c>
      <c r="R56" s="272" t="e">
        <f>INDEX(Tabla6[#All],MATCH(Tabla110[[#This Row],[Producto]],Tabla6[[#All],[PRODUCTO]],0),MATCH(Tabla110[[#This Row],[Mes]],Tabla6[#Headers],0))</f>
        <v>#N/A</v>
      </c>
      <c r="S56" s="260" t="e">
        <f>++Tabla110[[#This Row],[Precio Unitario Neto]]-Tabla110[[#This Row],[Apoyo]]-Tabla110[[#This Row],[Costo unitario]]</f>
        <v>#N/A</v>
      </c>
      <c r="T56" s="273" t="e">
        <f>+Tabla110[[#This Row],[Utilidad Bruta]]*Tabla110[[#This Row],[Cantidad]]</f>
        <v>#N/A</v>
      </c>
      <c r="U56" s="404" t="e">
        <f>++Tabla110[[#This Row],[Utilidad Bruta Total]]*$V$1</f>
        <v>#N/A</v>
      </c>
      <c r="V56" s="278" t="e">
        <f>++Tabla110[[#This Row],[Utilidad Bruta Total]]*$V$1</f>
        <v>#N/A</v>
      </c>
      <c r="W56" s="278">
        <f>VLOOKUP(Tabla110[[#This Row],[Producto]],'NUEVAS LISTAS'!$B$3:$P$403,'Ventas '!W$6,FALSE)</f>
        <v>4779</v>
      </c>
      <c r="X56" s="278">
        <f>VLOOKUP(Tabla110[[#This Row],[Producto]],'NUEVAS LISTAS'!$B$3:$P$403,'Ventas '!X$6,FALSE)</f>
        <v>5029</v>
      </c>
      <c r="Y56" s="278">
        <f>VLOOKUP(Tabla110[[#This Row],[Producto]],'NUEVAS LISTAS'!$B$3:$P$403,'Ventas '!Y$6,FALSE)</f>
        <v>5289</v>
      </c>
      <c r="Z56" s="278">
        <f>VLOOKUP(Tabla110[[#This Row],[Producto]],'NUEVAS LISTAS'!$B$3:$P$403,'Ventas '!Z$6,FALSE)</f>
        <v>5569</v>
      </c>
      <c r="AA56" s="543">
        <f>IF(AB56&lt;$AC$2,0,IF(Tabla110[[#This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6" s="539">
        <f>SUMIFS(Tabla110[[#All],[Venta Total]],Tabla110[[#All],[Asesor]],Tabla110[[#This Row],[Asesor]],Tabla110[[#All],[Fecha Cobranza]],"&lt;="&amp;Tabla110[[#This Row],[Fecha Cobranza]],Tabla110[[#All],[Fecha Cobranza]],"&gt;="&amp;Tabla110[[#This Row],[Fecha Cobranza]]-28)</f>
        <v>312330.99759999994</v>
      </c>
      <c r="AC56" s="542">
        <f t="shared" si="3"/>
        <v>0</v>
      </c>
      <c r="AD56" s="544">
        <f t="shared" si="4"/>
        <v>2.75E-2</v>
      </c>
      <c r="AE56" s="545">
        <f>+AD56*Tabla110[[#This Row],[Venta Total]]</f>
        <v>155.34757699999997</v>
      </c>
    </row>
    <row r="57" spans="1:31" x14ac:dyDescent="0.2">
      <c r="A57" s="264">
        <v>46006</v>
      </c>
      <c r="B57" s="274" t="str">
        <f t="shared" si="15"/>
        <v>December</v>
      </c>
      <c r="C57" s="265" t="s">
        <v>547</v>
      </c>
      <c r="D57" s="266" t="str">
        <f>VLOOKUP(Tabla110[[#This Row],[Asesor]],Tabla2[[Asesores]:[TIPO]],2,0)</f>
        <v>INTERNO</v>
      </c>
      <c r="E57" s="268" t="s">
        <v>896</v>
      </c>
      <c r="F57" s="267" t="s">
        <v>3803</v>
      </c>
      <c r="G57" s="50" t="s">
        <v>211</v>
      </c>
      <c r="H57" s="269">
        <v>1</v>
      </c>
      <c r="I57" s="275">
        <v>2585.34</v>
      </c>
      <c r="J57" s="260">
        <f>+Tabla110[[#This Row],[Precio Bruto]]*1.16</f>
        <v>2998.9944</v>
      </c>
      <c r="L57" s="270">
        <f>++(Tabla110[[#This Row],[Precio Unitario Neto]]*Tabla110[[#This Row],[Cantidad]])-(Tabla110[[#This Row],[Cantidad]]*Tabla110[[#This Row],[Apoyo]])</f>
        <v>2998.9944</v>
      </c>
      <c r="M57" s="270" t="e">
        <f>((INDEX(Tabla6[#All],MATCH(Tabla110[[#This Row],[Producto]],Tabla6[[#All],[PRODUCTO]],0),MATCH(Tabla110[[#This Row],[Mes]],Tabla6[#Headers],0)))*(1+(IF(Tabla110[[#This Row],[FLETE]]="no",Catalogos!$M$2,Catalogos!$L$2))))</f>
        <v>#N/A</v>
      </c>
      <c r="N57" s="270" t="e">
        <f>+IF((Tabla110[[#This Row],[Precio Unitario Neto]]-Tabla110[[#This Row],[Apoyo]]-Tabla110[[#This Row],[COSTO + INDI]])&lt;=0,0,(Tabla110[[#This Row],[Precio Unitario Neto]]-Tabla110[[#This Row],[Apoyo]]-Tabla110[[#This Row],[COSTO + INDI]]))</f>
        <v>#N/A</v>
      </c>
      <c r="O57" s="258" t="e">
        <f>++Tabla110[[#This Row],[Utilidad Neta x Eq.]]*Tabla110[[#This Row],[Cantidad]]</f>
        <v>#N/A</v>
      </c>
      <c r="P57" s="271" t="e">
        <f>++Tabla110[[#This Row],[Utilidad Neta Total]]/Tabla110[[#This Row],[Venta Total]]</f>
        <v>#N/A</v>
      </c>
      <c r="Q57" s="258" t="s">
        <v>604</v>
      </c>
      <c r="R57" s="272" t="e">
        <f>INDEX(Tabla6[#All],MATCH(Tabla110[[#This Row],[Producto]],Tabla6[[#All],[PRODUCTO]],0),MATCH(Tabla110[[#This Row],[Mes]],Tabla6[#Headers],0))</f>
        <v>#N/A</v>
      </c>
      <c r="S57" s="260" t="e">
        <f>++Tabla110[[#This Row],[Precio Unitario Neto]]-Tabla110[[#This Row],[Apoyo]]-Tabla110[[#This Row],[Costo unitario]]</f>
        <v>#N/A</v>
      </c>
      <c r="T57" s="273" t="e">
        <f>+Tabla110[[#This Row],[Utilidad Bruta]]*Tabla110[[#This Row],[Cantidad]]</f>
        <v>#N/A</v>
      </c>
      <c r="U57" s="404" t="e">
        <f>++Tabla110[[#This Row],[Utilidad Bruta Total]]*$V$1</f>
        <v>#N/A</v>
      </c>
      <c r="V57" s="278" t="e">
        <f>++Tabla110[[#This Row],[Utilidad Bruta Total]]*$V$1</f>
        <v>#N/A</v>
      </c>
      <c r="W57" s="278">
        <f>VLOOKUP(Tabla110[[#This Row],[Producto]],'NUEVAS LISTAS'!$B$3:$P$403,'Ventas '!W$6,FALSE)</f>
        <v>2519</v>
      </c>
      <c r="X57" s="278">
        <f>VLOOKUP(Tabla110[[#This Row],[Producto]],'NUEVAS LISTAS'!$B$3:$P$403,'Ventas '!X$6,FALSE)</f>
        <v>2649</v>
      </c>
      <c r="Y57" s="278">
        <f>VLOOKUP(Tabla110[[#This Row],[Producto]],'NUEVAS LISTAS'!$B$3:$P$403,'Ventas '!Y$6,FALSE)</f>
        <v>2789</v>
      </c>
      <c r="Z57" s="278">
        <f>VLOOKUP(Tabla110[[#This Row],[Producto]],'NUEVAS LISTAS'!$B$3:$P$403,'Ventas '!Z$6,FALSE)</f>
        <v>2939</v>
      </c>
      <c r="AA57" s="543">
        <f>IF(AB57&lt;$AC$2,0,IF(Tabla110[[#This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57" s="539">
        <f>SUMIFS(Tabla110[[#All],[Venta Total]],Tabla110[[#All],[Asesor]],Tabla110[[#This Row],[Asesor]],Tabla110[[#All],[Fecha Cobranza]],"&lt;="&amp;Tabla110[[#This Row],[Fecha Cobranza]],Tabla110[[#All],[Fecha Cobranza]],"&gt;="&amp;Tabla110[[#This Row],[Fecha Cobranza]]-28)</f>
        <v>312330.99759999994</v>
      </c>
      <c r="AC57" s="542">
        <f t="shared" si="3"/>
        <v>0</v>
      </c>
      <c r="AD57" s="544">
        <f t="shared" si="4"/>
        <v>2.75E-2</v>
      </c>
      <c r="AE57" s="545">
        <f>+AD57*Tabla110[[#This Row],[Venta Total]]</f>
        <v>82.472346000000002</v>
      </c>
    </row>
    <row r="58" spans="1:31" x14ac:dyDescent="0.2">
      <c r="A58" s="264">
        <v>46006</v>
      </c>
      <c r="B58" s="274" t="str">
        <f t="shared" si="15"/>
        <v>December</v>
      </c>
      <c r="C58" s="265" t="s">
        <v>547</v>
      </c>
      <c r="D58" s="266" t="str">
        <f>VLOOKUP(Tabla110[[#This Row],[Asesor]],Tabla2[[Asesores]:[TIPO]],2,0)</f>
        <v>INTERNO</v>
      </c>
      <c r="E58" s="268" t="s">
        <v>896</v>
      </c>
      <c r="F58" s="267" t="s">
        <v>3803</v>
      </c>
      <c r="G58" s="50" t="s">
        <v>370</v>
      </c>
      <c r="H58" s="269">
        <v>1</v>
      </c>
      <c r="I58" s="275">
        <v>2370.69</v>
      </c>
      <c r="J58" s="260">
        <f>+Tabla110[[#This Row],[Precio Bruto]]*1.16</f>
        <v>2750.0003999999999</v>
      </c>
      <c r="L58" s="270">
        <f>++(Tabla110[[#This Row],[Precio Unitario Neto]]*Tabla110[[#This Row],[Cantidad]])-(Tabla110[[#This Row],[Cantidad]]*Tabla110[[#This Row],[Apoyo]])</f>
        <v>2750.0003999999999</v>
      </c>
      <c r="M58" s="270" t="e">
        <f>((INDEX(Tabla6[#All],MATCH(Tabla110[[#This Row],[Producto]],Tabla6[[#All],[PRODUCTO]],0),MATCH(Tabla110[[#This Row],[Mes]],Tabla6[#Headers],0)))*(1+(IF(Tabla110[[#This Row],[FLETE]]="no",Catalogos!$M$2,Catalogos!$L$2))))</f>
        <v>#N/A</v>
      </c>
      <c r="N58" s="270" t="e">
        <f>+IF((Tabla110[[#This Row],[Precio Unitario Neto]]-Tabla110[[#This Row],[Apoyo]]-Tabla110[[#This Row],[COSTO + INDI]])&lt;=0,0,(Tabla110[[#This Row],[Precio Unitario Neto]]-Tabla110[[#This Row],[Apoyo]]-Tabla110[[#This Row],[COSTO + INDI]]))</f>
        <v>#N/A</v>
      </c>
      <c r="O58" s="258" t="e">
        <f>++Tabla110[[#This Row],[Utilidad Neta x Eq.]]*Tabla110[[#This Row],[Cantidad]]</f>
        <v>#N/A</v>
      </c>
      <c r="P58" s="271" t="e">
        <f>++Tabla110[[#This Row],[Utilidad Neta Total]]/Tabla110[[#This Row],[Venta Total]]</f>
        <v>#N/A</v>
      </c>
      <c r="Q58" s="258" t="s">
        <v>604</v>
      </c>
      <c r="R58" s="272" t="e">
        <f>INDEX(Tabla6[#All],MATCH(Tabla110[[#This Row],[Producto]],Tabla6[[#All],[PRODUCTO]],0),MATCH(Tabla110[[#This Row],[Mes]],Tabla6[#Headers],0))</f>
        <v>#N/A</v>
      </c>
      <c r="S58" s="260" t="e">
        <f>++Tabla110[[#This Row],[Precio Unitario Neto]]-Tabla110[[#This Row],[Apoyo]]-Tabla110[[#This Row],[Costo unitario]]</f>
        <v>#N/A</v>
      </c>
      <c r="T58" s="273" t="e">
        <f>+Tabla110[[#This Row],[Utilidad Bruta]]*Tabla110[[#This Row],[Cantidad]]</f>
        <v>#N/A</v>
      </c>
      <c r="U58" s="404" t="e">
        <f>++Tabla110[[#This Row],[Utilidad Bruta Total]]*$V$1</f>
        <v>#N/A</v>
      </c>
      <c r="V58" s="278" t="e">
        <f>++Tabla110[[#This Row],[Utilidad Bruta Total]]*$V$1</f>
        <v>#N/A</v>
      </c>
      <c r="W58" s="278">
        <f>VLOOKUP(Tabla110[[#This Row],[Producto]],'NUEVAS LISTAS'!$B$3:$P$403,'Ventas '!W$6,FALSE)</f>
        <v>2929</v>
      </c>
      <c r="X58" s="278">
        <f>VLOOKUP(Tabla110[[#This Row],[Producto]],'NUEVAS LISTAS'!$B$3:$P$403,'Ventas '!X$6,FALSE)</f>
        <v>3079</v>
      </c>
      <c r="Y58" s="278">
        <f>VLOOKUP(Tabla110[[#This Row],[Producto]],'NUEVAS LISTAS'!$B$3:$P$403,'Ventas '!Y$6,FALSE)</f>
        <v>3239</v>
      </c>
      <c r="Z58" s="278">
        <f>VLOOKUP(Tabla110[[#This Row],[Producto]],'NUEVAS LISTAS'!$B$3:$P$403,'Ventas '!Z$6,FALSE)</f>
        <v>3409</v>
      </c>
      <c r="AA58" s="543">
        <f>IF(AB58&lt;$AC$2,0,IF(Tabla110[[#This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58" s="539">
        <f>SUMIFS(Tabla110[[#All],[Venta Total]],Tabla110[[#All],[Asesor]],Tabla110[[#This Row],[Asesor]],Tabla110[[#All],[Fecha Cobranza]],"&lt;="&amp;Tabla110[[#This Row],[Fecha Cobranza]],Tabla110[[#All],[Fecha Cobranza]],"&gt;="&amp;Tabla110[[#This Row],[Fecha Cobranza]]-28)</f>
        <v>312330.99759999994</v>
      </c>
      <c r="AC58" s="542">
        <f t="shared" si="3"/>
        <v>0</v>
      </c>
      <c r="AD58" s="544">
        <f t="shared" si="4"/>
        <v>0.02</v>
      </c>
      <c r="AE58" s="545">
        <f>+AD58*Tabla110[[#This Row],[Venta Total]]</f>
        <v>55.000008000000001</v>
      </c>
    </row>
    <row r="59" spans="1:31" x14ac:dyDescent="0.2">
      <c r="A59" s="264">
        <v>46006</v>
      </c>
      <c r="B59" s="274" t="str">
        <f t="shared" si="15"/>
        <v>December</v>
      </c>
      <c r="C59" s="265" t="s">
        <v>547</v>
      </c>
      <c r="D59" s="266" t="str">
        <f>VLOOKUP(Tabla110[[#This Row],[Asesor]],Tabla2[[Asesores]:[TIPO]],2,0)</f>
        <v>INTERNO</v>
      </c>
      <c r="E59" s="268" t="s">
        <v>896</v>
      </c>
      <c r="F59" s="267" t="s">
        <v>3803</v>
      </c>
      <c r="G59" s="50" t="s">
        <v>369</v>
      </c>
      <c r="H59" s="269">
        <v>1</v>
      </c>
      <c r="I59" s="275">
        <v>2173.2800000000002</v>
      </c>
      <c r="J59" s="260">
        <f>+Tabla110[[#This Row],[Precio Bruto]]*1.16</f>
        <v>2521.0048000000002</v>
      </c>
      <c r="L59" s="270">
        <f>++(Tabla110[[#This Row],[Precio Unitario Neto]]*Tabla110[[#This Row],[Cantidad]])-(Tabla110[[#This Row],[Cantidad]]*Tabla110[[#This Row],[Apoyo]])</f>
        <v>2521.0048000000002</v>
      </c>
      <c r="M59" s="270" t="e">
        <f>((INDEX(Tabla6[#All],MATCH(Tabla110[[#This Row],[Producto]],Tabla6[[#All],[PRODUCTO]],0),MATCH(Tabla110[[#This Row],[Mes]],Tabla6[#Headers],0)))*(1+(IF(Tabla110[[#This Row],[FLETE]]="no",Catalogos!$M$2,Catalogos!$L$2))))</f>
        <v>#N/A</v>
      </c>
      <c r="N59" s="270" t="e">
        <f>+IF((Tabla110[[#This Row],[Precio Unitario Neto]]-Tabla110[[#This Row],[Apoyo]]-Tabla110[[#This Row],[COSTO + INDI]])&lt;=0,0,(Tabla110[[#This Row],[Precio Unitario Neto]]-Tabla110[[#This Row],[Apoyo]]-Tabla110[[#This Row],[COSTO + INDI]]))</f>
        <v>#N/A</v>
      </c>
      <c r="O59" s="258" t="e">
        <f>++Tabla110[[#This Row],[Utilidad Neta x Eq.]]*Tabla110[[#This Row],[Cantidad]]</f>
        <v>#N/A</v>
      </c>
      <c r="P59" s="271" t="e">
        <f>++Tabla110[[#This Row],[Utilidad Neta Total]]/Tabla110[[#This Row],[Venta Total]]</f>
        <v>#N/A</v>
      </c>
      <c r="Q59" s="258" t="s">
        <v>604</v>
      </c>
      <c r="R59" s="272" t="e">
        <f>INDEX(Tabla6[#All],MATCH(Tabla110[[#This Row],[Producto]],Tabla6[[#All],[PRODUCTO]],0),MATCH(Tabla110[[#This Row],[Mes]],Tabla6[#Headers],0))</f>
        <v>#N/A</v>
      </c>
      <c r="S59" s="260" t="e">
        <f>++Tabla110[[#This Row],[Precio Unitario Neto]]-Tabla110[[#This Row],[Apoyo]]-Tabla110[[#This Row],[Costo unitario]]</f>
        <v>#N/A</v>
      </c>
      <c r="T59" s="273" t="e">
        <f>+Tabla110[[#This Row],[Utilidad Bruta]]*Tabla110[[#This Row],[Cantidad]]</f>
        <v>#N/A</v>
      </c>
      <c r="U59" s="404" t="e">
        <f>++Tabla110[[#This Row],[Utilidad Bruta Total]]*$V$1</f>
        <v>#N/A</v>
      </c>
      <c r="V59" s="278" t="e">
        <f>++Tabla110[[#This Row],[Utilidad Bruta Total]]*$V$1</f>
        <v>#N/A</v>
      </c>
      <c r="W59" s="278">
        <f>VLOOKUP(Tabla110[[#This Row],[Producto]],'NUEVAS LISTAS'!$B$3:$P$403,'Ventas '!W$6,FALSE)</f>
        <v>2569</v>
      </c>
      <c r="X59" s="278">
        <f>VLOOKUP(Tabla110[[#This Row],[Producto]],'NUEVAS LISTAS'!$B$3:$P$403,'Ventas '!X$6,FALSE)</f>
        <v>2699</v>
      </c>
      <c r="Y59" s="278">
        <f>VLOOKUP(Tabla110[[#This Row],[Producto]],'NUEVAS LISTAS'!$B$3:$P$403,'Ventas '!Y$6,FALSE)</f>
        <v>2839</v>
      </c>
      <c r="Z59" s="278">
        <f>VLOOKUP(Tabla110[[#This Row],[Producto]],'NUEVAS LISTAS'!$B$3:$P$403,'Ventas '!Z$6,FALSE)</f>
        <v>2989</v>
      </c>
      <c r="AA59" s="543">
        <f>IF(AB59&lt;$AC$2,0,IF(Tabla110[[#This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59" s="539">
        <f>SUMIFS(Tabla110[[#All],[Venta Total]],Tabla110[[#All],[Asesor]],Tabla110[[#This Row],[Asesor]],Tabla110[[#All],[Fecha Cobranza]],"&lt;="&amp;Tabla110[[#This Row],[Fecha Cobranza]],Tabla110[[#All],[Fecha Cobranza]],"&gt;="&amp;Tabla110[[#This Row],[Fecha Cobranza]]-28)</f>
        <v>312330.99759999994</v>
      </c>
      <c r="AC59" s="542">
        <f t="shared" si="3"/>
        <v>0</v>
      </c>
      <c r="AD59" s="544">
        <f t="shared" si="4"/>
        <v>0.02</v>
      </c>
      <c r="AE59" s="545">
        <f>+AD59*Tabla110[[#This Row],[Venta Total]]</f>
        <v>50.420096000000001</v>
      </c>
    </row>
    <row r="60" spans="1:31" x14ac:dyDescent="0.2">
      <c r="A60" s="264">
        <v>46006</v>
      </c>
      <c r="B60" s="274" t="str">
        <f t="shared" si="15"/>
        <v>December</v>
      </c>
      <c r="C60" s="265" t="s">
        <v>547</v>
      </c>
      <c r="D60" s="266" t="str">
        <f>VLOOKUP(Tabla110[[#This Row],[Asesor]],Tabla2[[Asesores]:[TIPO]],2,0)</f>
        <v>INTERNO</v>
      </c>
      <c r="E60" s="268" t="s">
        <v>896</v>
      </c>
      <c r="F60" s="267" t="s">
        <v>3803</v>
      </c>
      <c r="G60" s="50" t="s">
        <v>255</v>
      </c>
      <c r="H60" s="269">
        <v>1</v>
      </c>
      <c r="I60" s="275">
        <v>1034.48</v>
      </c>
      <c r="J60" s="260">
        <f>+Tabla110[[#This Row],[Precio Bruto]]*1.16</f>
        <v>1199.9967999999999</v>
      </c>
      <c r="L60" s="270">
        <f>++(Tabla110[[#This Row],[Precio Unitario Neto]]*Tabla110[[#This Row],[Cantidad]])-(Tabla110[[#This Row],[Cantidad]]*Tabla110[[#This Row],[Apoyo]])</f>
        <v>1199.9967999999999</v>
      </c>
      <c r="M60" s="270" t="e">
        <f>((INDEX(Tabla6[#All],MATCH(Tabla110[[#This Row],[Producto]],Tabla6[[#All],[PRODUCTO]],0),MATCH(Tabla110[[#This Row],[Mes]],Tabla6[#Headers],0)))*(1+(IF(Tabla110[[#This Row],[FLETE]]="no",Catalogos!$M$2,Catalogos!$L$2))))</f>
        <v>#N/A</v>
      </c>
      <c r="N60" s="270" t="e">
        <f>+IF((Tabla110[[#This Row],[Precio Unitario Neto]]-Tabla110[[#This Row],[Apoyo]]-Tabla110[[#This Row],[COSTO + INDI]])&lt;=0,0,(Tabla110[[#This Row],[Precio Unitario Neto]]-Tabla110[[#This Row],[Apoyo]]-Tabla110[[#This Row],[COSTO + INDI]]))</f>
        <v>#N/A</v>
      </c>
      <c r="O60" s="258" t="e">
        <f>++Tabla110[[#This Row],[Utilidad Neta x Eq.]]*Tabla110[[#This Row],[Cantidad]]</f>
        <v>#N/A</v>
      </c>
      <c r="P60" s="271" t="e">
        <f>++Tabla110[[#This Row],[Utilidad Neta Total]]/Tabla110[[#This Row],[Venta Total]]</f>
        <v>#N/A</v>
      </c>
      <c r="Q60" s="258" t="s">
        <v>604</v>
      </c>
      <c r="R60" s="272" t="e">
        <f>INDEX(Tabla6[#All],MATCH(Tabla110[[#This Row],[Producto]],Tabla6[[#All],[PRODUCTO]],0),MATCH(Tabla110[[#This Row],[Mes]],Tabla6[#Headers],0))</f>
        <v>#N/A</v>
      </c>
      <c r="S60" s="260" t="e">
        <f>++Tabla110[[#This Row],[Precio Unitario Neto]]-Tabla110[[#This Row],[Apoyo]]-Tabla110[[#This Row],[Costo unitario]]</f>
        <v>#N/A</v>
      </c>
      <c r="T60" s="273" t="e">
        <f>+Tabla110[[#This Row],[Utilidad Bruta]]*Tabla110[[#This Row],[Cantidad]]</f>
        <v>#N/A</v>
      </c>
      <c r="U60" s="404" t="e">
        <f>++Tabla110[[#This Row],[Utilidad Bruta Total]]*$V$1</f>
        <v>#N/A</v>
      </c>
      <c r="V60" s="278" t="e">
        <f>++Tabla110[[#This Row],[Utilidad Bruta Total]]*$V$1</f>
        <v>#N/A</v>
      </c>
      <c r="W60" s="278">
        <f>VLOOKUP(Tabla110[[#This Row],[Producto]],'NUEVAS LISTAS'!$B$3:$P$403,'Ventas '!W$6,FALSE)</f>
        <v>1169</v>
      </c>
      <c r="X60" s="278">
        <f>VLOOKUP(Tabla110[[#This Row],[Producto]],'NUEVAS LISTAS'!$B$3:$P$403,'Ventas '!X$6,FALSE)</f>
        <v>1299</v>
      </c>
      <c r="Y60" s="278">
        <f>VLOOKUP(Tabla110[[#This Row],[Producto]],'NUEVAS LISTAS'!$B$3:$P$403,'Ventas '!Y$6,FALSE)</f>
        <v>1369</v>
      </c>
      <c r="Z60" s="278">
        <f>VLOOKUP(Tabla110[[#This Row],[Producto]],'NUEVAS LISTAS'!$B$3:$P$403,'Ventas '!Z$6,FALSE)</f>
        <v>1489</v>
      </c>
      <c r="AA60" s="543">
        <f>IF(AB60&lt;$AC$2,0,IF(Tabla110[[#This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60" s="539">
        <f>SUMIFS(Tabla110[[#All],[Venta Total]],Tabla110[[#All],[Asesor]],Tabla110[[#This Row],[Asesor]],Tabla110[[#All],[Fecha Cobranza]],"&lt;="&amp;Tabla110[[#This Row],[Fecha Cobranza]],Tabla110[[#All],[Fecha Cobranza]],"&gt;="&amp;Tabla110[[#This Row],[Fecha Cobranza]]-28)</f>
        <v>312330.99759999994</v>
      </c>
      <c r="AC60" s="542">
        <f t="shared" si="3"/>
        <v>0</v>
      </c>
      <c r="AD60" s="544">
        <f t="shared" si="4"/>
        <v>0.02</v>
      </c>
      <c r="AE60" s="545">
        <f>+AD60*Tabla110[[#This Row],[Venta Total]]</f>
        <v>23.999935999999998</v>
      </c>
    </row>
    <row r="61" spans="1:31" x14ac:dyDescent="0.2">
      <c r="A61" s="264">
        <v>46006</v>
      </c>
      <c r="B61" s="274" t="str">
        <f t="shared" ref="B61:B62" si="16">TEXT(A61,"mmmm")</f>
        <v>December</v>
      </c>
      <c r="C61" s="265" t="s">
        <v>558</v>
      </c>
      <c r="D61" s="266" t="str">
        <f>VLOOKUP(Tabla110[[#This Row],[Asesor]],Tabla2[[Asesores]:[TIPO]],2,0)</f>
        <v>INTERNO</v>
      </c>
      <c r="E61" s="268" t="s">
        <v>961</v>
      </c>
      <c r="F61" s="267" t="s">
        <v>3804</v>
      </c>
      <c r="G61" s="50" t="s">
        <v>228</v>
      </c>
      <c r="H61" s="269">
        <v>6</v>
      </c>
      <c r="I61" s="275">
        <v>7887.0683333333336</v>
      </c>
      <c r="J61" s="260">
        <f>+Tabla110[[#This Row],[Precio Bruto]]*1.16</f>
        <v>9148.9992666666658</v>
      </c>
      <c r="L61" s="270">
        <f>++(Tabla110[[#This Row],[Precio Unitario Neto]]*Tabla110[[#This Row],[Cantidad]])-(Tabla110[[#This Row],[Cantidad]]*Tabla110[[#This Row],[Apoyo]])</f>
        <v>54893.995599999995</v>
      </c>
      <c r="M61" s="270" t="e">
        <f>((INDEX(Tabla6[#All],MATCH(Tabla110[[#This Row],[Producto]],Tabla6[[#All],[PRODUCTO]],0),MATCH(Tabla110[[#This Row],[Mes]],Tabla6[#Headers],0)))*(1+(IF(Tabla110[[#This Row],[FLETE]]="no",Catalogos!$M$2,Catalogos!$L$2))))</f>
        <v>#N/A</v>
      </c>
      <c r="N61" s="270" t="e">
        <f>+IF((Tabla110[[#This Row],[Precio Unitario Neto]]-Tabla110[[#This Row],[Apoyo]]-Tabla110[[#This Row],[COSTO + INDI]])&lt;=0,0,(Tabla110[[#This Row],[Precio Unitario Neto]]-Tabla110[[#This Row],[Apoyo]]-Tabla110[[#This Row],[COSTO + INDI]]))</f>
        <v>#N/A</v>
      </c>
      <c r="O61" s="258" t="e">
        <f>++Tabla110[[#This Row],[Utilidad Neta x Eq.]]*Tabla110[[#This Row],[Cantidad]]</f>
        <v>#N/A</v>
      </c>
      <c r="P61" s="271" t="e">
        <f>++Tabla110[[#This Row],[Utilidad Neta Total]]/Tabla110[[#This Row],[Venta Total]]</f>
        <v>#N/A</v>
      </c>
      <c r="Q61" s="258" t="s">
        <v>604</v>
      </c>
      <c r="R61" s="272" t="e">
        <f>INDEX(Tabla6[#All],MATCH(Tabla110[[#This Row],[Producto]],Tabla6[[#All],[PRODUCTO]],0),MATCH(Tabla110[[#This Row],[Mes]],Tabla6[#Headers],0))</f>
        <v>#N/A</v>
      </c>
      <c r="S61" s="260" t="e">
        <f>++Tabla110[[#This Row],[Precio Unitario Neto]]-Tabla110[[#This Row],[Apoyo]]-Tabla110[[#This Row],[Costo unitario]]</f>
        <v>#N/A</v>
      </c>
      <c r="T61" s="273" t="e">
        <f>+Tabla110[[#This Row],[Utilidad Bruta]]*Tabla110[[#This Row],[Cantidad]]</f>
        <v>#N/A</v>
      </c>
      <c r="U61" s="404" t="e">
        <f>++Tabla110[[#This Row],[Utilidad Bruta Total]]*$V$1</f>
        <v>#N/A</v>
      </c>
      <c r="V61" s="278" t="e">
        <f>++Tabla110[[#This Row],[Utilidad Bruta Total]]*$V$1</f>
        <v>#N/A</v>
      </c>
      <c r="W61" s="278">
        <f>VLOOKUP(Tabla110[[#This Row],[Producto]],'NUEVAS LISTAS'!$B$3:$P$403,'Ventas '!W$6,FALSE)</f>
        <v>7569</v>
      </c>
      <c r="X61" s="278">
        <f>VLOOKUP(Tabla110[[#This Row],[Producto]],'NUEVAS LISTAS'!$B$3:$P$403,'Ventas '!X$6,FALSE)</f>
        <v>7969</v>
      </c>
      <c r="Y61" s="278">
        <f>VLOOKUP(Tabla110[[#This Row],[Producto]],'NUEVAS LISTAS'!$B$3:$P$403,'Ventas '!Y$6,FALSE)</f>
        <v>8389</v>
      </c>
      <c r="Z61" s="278">
        <f>VLOOKUP(Tabla110[[#This Row],[Producto]],'NUEVAS LISTAS'!$B$3:$P$403,'Ventas '!Z$6,FALSE)</f>
        <v>8829</v>
      </c>
      <c r="AA61" s="543">
        <f>IF(AB61&lt;$AC$2,0,IF(Tabla110[[#This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61" s="539">
        <f>SUMIFS(Tabla110[[#All],[Venta Total]],Tabla110[[#All],[Asesor]],Tabla110[[#This Row],[Asesor]],Tabla110[[#All],[Fecha Cobranza]],"&lt;="&amp;Tabla110[[#This Row],[Fecha Cobranza]],Tabla110[[#All],[Fecha Cobranza]],"&gt;="&amp;Tabla110[[#This Row],[Fecha Cobranza]]-28)</f>
        <v>118228.9748</v>
      </c>
      <c r="AC61" s="542">
        <f t="shared" si="3"/>
        <v>0</v>
      </c>
      <c r="AD61" s="544">
        <f t="shared" si="4"/>
        <v>2.75E-2</v>
      </c>
      <c r="AE61" s="545">
        <f>+AD61*Tabla110[[#This Row],[Venta Total]]</f>
        <v>1509.5848789999998</v>
      </c>
    </row>
    <row r="62" spans="1:31" x14ac:dyDescent="0.2">
      <c r="A62" s="264">
        <v>46006</v>
      </c>
      <c r="B62" s="274" t="str">
        <f t="shared" si="16"/>
        <v>December</v>
      </c>
      <c r="C62" s="265" t="s">
        <v>558</v>
      </c>
      <c r="D62" s="266" t="str">
        <f>VLOOKUP(Tabla110[[#This Row],[Asesor]],Tabla2[[Asesores]:[TIPO]],2,0)</f>
        <v>INTERNO</v>
      </c>
      <c r="E62" s="268" t="s">
        <v>961</v>
      </c>
      <c r="F62" s="267" t="s">
        <v>3804</v>
      </c>
      <c r="G62" s="50" t="s">
        <v>413</v>
      </c>
      <c r="H62" s="269">
        <v>1</v>
      </c>
      <c r="I62" s="275">
        <v>2577.58</v>
      </c>
      <c r="J62" s="260">
        <f>+Tabla110[[#This Row],[Precio Bruto]]*1.16</f>
        <v>2989.9927999999995</v>
      </c>
      <c r="L62" s="270">
        <f>++(Tabla110[[#This Row],[Precio Unitario Neto]]*Tabla110[[#This Row],[Cantidad]])-(Tabla110[[#This Row],[Cantidad]]*Tabla110[[#This Row],[Apoyo]])</f>
        <v>2989.9927999999995</v>
      </c>
      <c r="M62" s="270" t="e">
        <f>((INDEX(Tabla6[#All],MATCH(Tabla110[[#This Row],[Producto]],Tabla6[[#All],[PRODUCTO]],0),MATCH(Tabla110[[#This Row],[Mes]],Tabla6[#Headers],0)))*(1+(IF(Tabla110[[#This Row],[FLETE]]="no",Catalogos!$M$2,Catalogos!$L$2))))</f>
        <v>#N/A</v>
      </c>
      <c r="N62" s="270" t="e">
        <f>+IF((Tabla110[[#This Row],[Precio Unitario Neto]]-Tabla110[[#This Row],[Apoyo]]-Tabla110[[#This Row],[COSTO + INDI]])&lt;=0,0,(Tabla110[[#This Row],[Precio Unitario Neto]]-Tabla110[[#This Row],[Apoyo]]-Tabla110[[#This Row],[COSTO + INDI]]))</f>
        <v>#N/A</v>
      </c>
      <c r="O62" s="258" t="e">
        <f>++Tabla110[[#This Row],[Utilidad Neta x Eq.]]*Tabla110[[#This Row],[Cantidad]]</f>
        <v>#N/A</v>
      </c>
      <c r="P62" s="271" t="e">
        <f>++Tabla110[[#This Row],[Utilidad Neta Total]]/Tabla110[[#This Row],[Venta Total]]</f>
        <v>#N/A</v>
      </c>
      <c r="Q62" s="258" t="s">
        <v>604</v>
      </c>
      <c r="R62" s="272" t="e">
        <f>INDEX(Tabla6[#All],MATCH(Tabla110[[#This Row],[Producto]],Tabla6[[#All],[PRODUCTO]],0),MATCH(Tabla110[[#This Row],[Mes]],Tabla6[#Headers],0))</f>
        <v>#N/A</v>
      </c>
      <c r="S62" s="260" t="e">
        <f>++Tabla110[[#This Row],[Precio Unitario Neto]]-Tabla110[[#This Row],[Apoyo]]-Tabla110[[#This Row],[Costo unitario]]</f>
        <v>#N/A</v>
      </c>
      <c r="T62" s="273" t="e">
        <f>+Tabla110[[#This Row],[Utilidad Bruta]]*Tabla110[[#This Row],[Cantidad]]</f>
        <v>#N/A</v>
      </c>
      <c r="U62" s="404" t="e">
        <f>++Tabla110[[#This Row],[Utilidad Bruta Total]]*$V$1</f>
        <v>#N/A</v>
      </c>
      <c r="V62" s="278" t="e">
        <f>++Tabla110[[#This Row],[Utilidad Bruta Total]]*$V$1</f>
        <v>#N/A</v>
      </c>
      <c r="W62" s="278">
        <f>VLOOKUP(Tabla110[[#This Row],[Producto]],'NUEVAS LISTAS'!$B$3:$P$403,'Ventas '!W$6,FALSE)</f>
        <v>2749</v>
      </c>
      <c r="X62" s="278">
        <f>VLOOKUP(Tabla110[[#This Row],[Producto]],'NUEVAS LISTAS'!$B$3:$P$403,'Ventas '!X$6,FALSE)</f>
        <v>2889</v>
      </c>
      <c r="Y62" s="278">
        <f>VLOOKUP(Tabla110[[#This Row],[Producto]],'NUEVAS LISTAS'!$B$3:$P$403,'Ventas '!Y$6,FALSE)</f>
        <v>3039</v>
      </c>
      <c r="Z62" s="278">
        <f>VLOOKUP(Tabla110[[#This Row],[Producto]],'NUEVAS LISTAS'!$B$3:$P$403,'Ventas '!Z$6,FALSE)</f>
        <v>3199</v>
      </c>
      <c r="AA62" s="543">
        <f>IF(AB62&lt;$AC$2,0,IF(Tabla110[[#This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62" s="539">
        <f>SUMIFS(Tabla110[[#All],[Venta Total]],Tabla110[[#All],[Asesor]],Tabla110[[#This Row],[Asesor]],Tabla110[[#All],[Fecha Cobranza]],"&lt;="&amp;Tabla110[[#This Row],[Fecha Cobranza]],Tabla110[[#All],[Fecha Cobranza]],"&gt;="&amp;Tabla110[[#This Row],[Fecha Cobranza]]-28)</f>
        <v>118228.9748</v>
      </c>
      <c r="AC62" s="542">
        <f t="shared" si="3"/>
        <v>0</v>
      </c>
      <c r="AD62" s="544">
        <f t="shared" si="4"/>
        <v>2.2499999999999999E-2</v>
      </c>
      <c r="AE62" s="545">
        <f>+AD62*Tabla110[[#This Row],[Venta Total]]</f>
        <v>67.274837999999988</v>
      </c>
    </row>
    <row r="63" spans="1:31" x14ac:dyDescent="0.2">
      <c r="A63" s="264">
        <v>46006</v>
      </c>
      <c r="B63" s="274" t="str">
        <f t="shared" ref="B63:B64" si="17">TEXT(A63,"mmmm")</f>
        <v>December</v>
      </c>
      <c r="C63" s="265" t="s">
        <v>558</v>
      </c>
      <c r="D63" s="266" t="str">
        <f>VLOOKUP(Tabla110[[#This Row],[Asesor]],Tabla2[[Asesores]:[TIPO]],2,0)</f>
        <v>INTERNO</v>
      </c>
      <c r="E63" s="268" t="s">
        <v>961</v>
      </c>
      <c r="F63" s="267" t="s">
        <v>3805</v>
      </c>
      <c r="G63" s="50" t="s">
        <v>530</v>
      </c>
      <c r="H63" s="269">
        <v>2</v>
      </c>
      <c r="I63" s="275">
        <v>14180.17</v>
      </c>
      <c r="J63" s="260">
        <f>+Tabla110[[#This Row],[Precio Bruto]]*1.16</f>
        <v>16448.997199999998</v>
      </c>
      <c r="L63" s="270">
        <f>++(Tabla110[[#This Row],[Precio Unitario Neto]]*Tabla110[[#This Row],[Cantidad]])-(Tabla110[[#This Row],[Cantidad]]*Tabla110[[#This Row],[Apoyo]])</f>
        <v>32897.994399999996</v>
      </c>
      <c r="M63" s="270" t="e">
        <f>((INDEX(Tabla6[#All],MATCH(Tabla110[[#This Row],[Producto]],Tabla6[[#All],[PRODUCTO]],0),MATCH(Tabla110[[#This Row],[Mes]],Tabla6[#Headers],0)))*(1+(IF(Tabla110[[#This Row],[FLETE]]="no",Catalogos!$M$2,Catalogos!$L$2))))</f>
        <v>#N/A</v>
      </c>
      <c r="N63" s="270" t="e">
        <f>+IF((Tabla110[[#This Row],[Precio Unitario Neto]]-Tabla110[[#This Row],[Apoyo]]-Tabla110[[#This Row],[COSTO + INDI]])&lt;=0,0,(Tabla110[[#This Row],[Precio Unitario Neto]]-Tabla110[[#This Row],[Apoyo]]-Tabla110[[#This Row],[COSTO + INDI]]))</f>
        <v>#N/A</v>
      </c>
      <c r="O63" s="258" t="e">
        <f>++Tabla110[[#This Row],[Utilidad Neta x Eq.]]*Tabla110[[#This Row],[Cantidad]]</f>
        <v>#N/A</v>
      </c>
      <c r="P63" s="271" t="e">
        <f>++Tabla110[[#This Row],[Utilidad Neta Total]]/Tabla110[[#This Row],[Venta Total]]</f>
        <v>#N/A</v>
      </c>
      <c r="Q63" s="258" t="s">
        <v>604</v>
      </c>
      <c r="R63" s="272" t="e">
        <f>INDEX(Tabla6[#All],MATCH(Tabla110[[#This Row],[Producto]],Tabla6[[#All],[PRODUCTO]],0),MATCH(Tabla110[[#This Row],[Mes]],Tabla6[#Headers],0))</f>
        <v>#N/A</v>
      </c>
      <c r="S63" s="260" t="e">
        <f>++Tabla110[[#This Row],[Precio Unitario Neto]]-Tabla110[[#This Row],[Apoyo]]-Tabla110[[#This Row],[Costo unitario]]</f>
        <v>#N/A</v>
      </c>
      <c r="T63" s="273" t="e">
        <f>+Tabla110[[#This Row],[Utilidad Bruta]]*Tabla110[[#This Row],[Cantidad]]</f>
        <v>#N/A</v>
      </c>
      <c r="U63" s="404" t="e">
        <f>++Tabla110[[#This Row],[Utilidad Bruta Total]]*$V$1</f>
        <v>#N/A</v>
      </c>
      <c r="V63" s="278" t="e">
        <f>++Tabla110[[#This Row],[Utilidad Bruta Total]]*$V$1</f>
        <v>#N/A</v>
      </c>
      <c r="W63" s="278">
        <f>VLOOKUP(Tabla110[[#This Row],[Producto]],'NUEVAS LISTAS'!$B$3:$P$403,'Ventas '!W$6,FALSE)</f>
        <v>17479</v>
      </c>
      <c r="X63" s="278">
        <f>VLOOKUP(Tabla110[[#This Row],[Producto]],'NUEVAS LISTAS'!$B$3:$P$403,'Ventas '!X$6,FALSE)</f>
        <v>18399</v>
      </c>
      <c r="Y63" s="278">
        <f>VLOOKUP(Tabla110[[#This Row],[Producto]],'NUEVAS LISTAS'!$B$3:$P$403,'Ventas '!Y$6,FALSE)</f>
        <v>19369</v>
      </c>
      <c r="Z63" s="278">
        <f>VLOOKUP(Tabla110[[#This Row],[Producto]],'NUEVAS LISTAS'!$B$3:$P$403,'Ventas '!Z$6,FALSE)</f>
        <v>20389</v>
      </c>
      <c r="AA63" s="543">
        <f>IF(AB63&lt;$AC$2,0,IF(Tabla110[[#This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63" s="539">
        <f>SUMIFS(Tabla110[[#All],[Venta Total]],Tabla110[[#All],[Asesor]],Tabla110[[#This Row],[Asesor]],Tabla110[[#All],[Fecha Cobranza]],"&lt;="&amp;Tabla110[[#This Row],[Fecha Cobranza]],Tabla110[[#All],[Fecha Cobranza]],"&gt;="&amp;Tabla110[[#This Row],[Fecha Cobranza]]-28)</f>
        <v>118228.9748</v>
      </c>
      <c r="AC63" s="542">
        <f t="shared" si="3"/>
        <v>0</v>
      </c>
      <c r="AD63" s="544">
        <f t="shared" si="4"/>
        <v>0.02</v>
      </c>
      <c r="AE63" s="545">
        <f>+AD63*Tabla110[[#This Row],[Venta Total]]</f>
        <v>657.95988799999998</v>
      </c>
    </row>
    <row r="64" spans="1:31" x14ac:dyDescent="0.2">
      <c r="A64" s="264">
        <v>46006</v>
      </c>
      <c r="B64" s="274" t="str">
        <f t="shared" si="17"/>
        <v>December</v>
      </c>
      <c r="C64" s="265" t="s">
        <v>558</v>
      </c>
      <c r="D64" s="266" t="str">
        <f>VLOOKUP(Tabla110[[#This Row],[Asesor]],Tabla2[[Asesores]:[TIPO]],2,0)</f>
        <v>INTERNO</v>
      </c>
      <c r="E64" s="268" t="s">
        <v>961</v>
      </c>
      <c r="F64" s="267" t="s">
        <v>3805</v>
      </c>
      <c r="G64" s="50" t="s">
        <v>228</v>
      </c>
      <c r="H64" s="269">
        <v>3</v>
      </c>
      <c r="I64" s="275">
        <v>7887.0666666666666</v>
      </c>
      <c r="J64" s="260">
        <f>+Tabla110[[#This Row],[Precio Bruto]]*1.16</f>
        <v>9148.9973333333328</v>
      </c>
      <c r="L64" s="270">
        <f>++(Tabla110[[#This Row],[Precio Unitario Neto]]*Tabla110[[#This Row],[Cantidad]])-(Tabla110[[#This Row],[Cantidad]]*Tabla110[[#This Row],[Apoyo]])</f>
        <v>27446.991999999998</v>
      </c>
      <c r="M64" s="270" t="e">
        <f>((INDEX(Tabla6[#All],MATCH(Tabla110[[#This Row],[Producto]],Tabla6[[#All],[PRODUCTO]],0),MATCH(Tabla110[[#This Row],[Mes]],Tabla6[#Headers],0)))*(1+(IF(Tabla110[[#This Row],[FLETE]]="no",Catalogos!$M$2,Catalogos!$L$2))))</f>
        <v>#N/A</v>
      </c>
      <c r="N64" s="270" t="e">
        <f>+IF((Tabla110[[#This Row],[Precio Unitario Neto]]-Tabla110[[#This Row],[Apoyo]]-Tabla110[[#This Row],[COSTO + INDI]])&lt;=0,0,(Tabla110[[#This Row],[Precio Unitario Neto]]-Tabla110[[#This Row],[Apoyo]]-Tabla110[[#This Row],[COSTO + INDI]]))</f>
        <v>#N/A</v>
      </c>
      <c r="O64" s="258" t="e">
        <f>++Tabla110[[#This Row],[Utilidad Neta x Eq.]]*Tabla110[[#This Row],[Cantidad]]</f>
        <v>#N/A</v>
      </c>
      <c r="P64" s="271" t="e">
        <f>++Tabla110[[#This Row],[Utilidad Neta Total]]/Tabla110[[#This Row],[Venta Total]]</f>
        <v>#N/A</v>
      </c>
      <c r="Q64" s="258" t="s">
        <v>604</v>
      </c>
      <c r="R64" s="272" t="e">
        <f>INDEX(Tabla6[#All],MATCH(Tabla110[[#This Row],[Producto]],Tabla6[[#All],[PRODUCTO]],0),MATCH(Tabla110[[#This Row],[Mes]],Tabla6[#Headers],0))</f>
        <v>#N/A</v>
      </c>
      <c r="S64" s="260" t="e">
        <f>++Tabla110[[#This Row],[Precio Unitario Neto]]-Tabla110[[#This Row],[Apoyo]]-Tabla110[[#This Row],[Costo unitario]]</f>
        <v>#N/A</v>
      </c>
      <c r="T64" s="273" t="e">
        <f>+Tabla110[[#This Row],[Utilidad Bruta]]*Tabla110[[#This Row],[Cantidad]]</f>
        <v>#N/A</v>
      </c>
      <c r="U64" s="404" t="e">
        <f>++Tabla110[[#This Row],[Utilidad Bruta Total]]*$V$1</f>
        <v>#N/A</v>
      </c>
      <c r="V64" s="278" t="e">
        <f>++Tabla110[[#This Row],[Utilidad Bruta Total]]*$V$1</f>
        <v>#N/A</v>
      </c>
      <c r="W64" s="278">
        <f>VLOOKUP(Tabla110[[#This Row],[Producto]],'NUEVAS LISTAS'!$B$3:$P$403,'Ventas '!W$6,FALSE)</f>
        <v>7569</v>
      </c>
      <c r="X64" s="278">
        <f>VLOOKUP(Tabla110[[#This Row],[Producto]],'NUEVAS LISTAS'!$B$3:$P$403,'Ventas '!X$6,FALSE)</f>
        <v>7969</v>
      </c>
      <c r="Y64" s="278">
        <f>VLOOKUP(Tabla110[[#This Row],[Producto]],'NUEVAS LISTAS'!$B$3:$P$403,'Ventas '!Y$6,FALSE)</f>
        <v>8389</v>
      </c>
      <c r="Z64" s="278">
        <f>VLOOKUP(Tabla110[[#This Row],[Producto]],'NUEVAS LISTAS'!$B$3:$P$403,'Ventas '!Z$6,FALSE)</f>
        <v>8829</v>
      </c>
      <c r="AA64" s="543">
        <f>IF(AB64&lt;$AC$2,0,IF(Tabla110[[#This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64" s="539">
        <f>SUMIFS(Tabla110[[#All],[Venta Total]],Tabla110[[#All],[Asesor]],Tabla110[[#This Row],[Asesor]],Tabla110[[#All],[Fecha Cobranza]],"&lt;="&amp;Tabla110[[#This Row],[Fecha Cobranza]],Tabla110[[#All],[Fecha Cobranza]],"&gt;="&amp;Tabla110[[#This Row],[Fecha Cobranza]]-28)</f>
        <v>118228.9748</v>
      </c>
      <c r="AC64" s="542">
        <f t="shared" si="3"/>
        <v>0</v>
      </c>
      <c r="AD64" s="544">
        <f t="shared" si="4"/>
        <v>2.75E-2</v>
      </c>
      <c r="AE64" s="545">
        <f>+AD64*Tabla110[[#This Row],[Venta Total]]</f>
        <v>754.79228000000001</v>
      </c>
    </row>
    <row r="65" spans="1:31" x14ac:dyDescent="0.2">
      <c r="A65" s="264">
        <v>46006</v>
      </c>
      <c r="B65" s="274" t="str">
        <f>TEXT(A65,"mmmm")</f>
        <v>December</v>
      </c>
      <c r="C65" s="265" t="s">
        <v>455</v>
      </c>
      <c r="D65" s="266" t="str">
        <f>VLOOKUP(Tabla110[[#This Row],[Asesor]],Tabla2[[Asesores]:[TIPO]],2,0)</f>
        <v>INTERNO</v>
      </c>
      <c r="E65" s="268" t="s">
        <v>634</v>
      </c>
      <c r="F65" s="267" t="s">
        <v>3806</v>
      </c>
      <c r="G65" s="50" t="s">
        <v>665</v>
      </c>
      <c r="H65" s="269">
        <v>37</v>
      </c>
      <c r="I65" s="275">
        <v>1295.6897297297296</v>
      </c>
      <c r="J65" s="260">
        <f>+Tabla110[[#This Row],[Precio Bruto]]*1.16</f>
        <v>1503.0000864864862</v>
      </c>
      <c r="L65" s="270">
        <f>++(Tabla110[[#This Row],[Precio Unitario Neto]]*Tabla110[[#This Row],[Cantidad]])-(Tabla110[[#This Row],[Cantidad]]*Tabla110[[#This Row],[Apoyo]])</f>
        <v>55611.003199999992</v>
      </c>
      <c r="M65" s="270" t="e">
        <f>((INDEX(Tabla6[#All],MATCH(Tabla110[[#This Row],[Producto]],Tabla6[[#All],[PRODUCTO]],0),MATCH(Tabla110[[#This Row],[Mes]],Tabla6[#Headers],0)))*(1+(IF(Tabla110[[#This Row],[FLETE]]="no",Catalogos!$M$2,Catalogos!$L$2))))</f>
        <v>#N/A</v>
      </c>
      <c r="N65" s="270" t="e">
        <f>+IF((Tabla110[[#This Row],[Precio Unitario Neto]]-Tabla110[[#This Row],[Apoyo]]-Tabla110[[#This Row],[COSTO + INDI]])&lt;=0,0,(Tabla110[[#This Row],[Precio Unitario Neto]]-Tabla110[[#This Row],[Apoyo]]-Tabla110[[#This Row],[COSTO + INDI]]))</f>
        <v>#N/A</v>
      </c>
      <c r="O65" s="258" t="e">
        <f>++Tabla110[[#This Row],[Utilidad Neta x Eq.]]*Tabla110[[#This Row],[Cantidad]]</f>
        <v>#N/A</v>
      </c>
      <c r="P65" s="271" t="e">
        <f>++Tabla110[[#This Row],[Utilidad Neta Total]]/Tabla110[[#This Row],[Venta Total]]</f>
        <v>#N/A</v>
      </c>
      <c r="Q65" s="258" t="s">
        <v>604</v>
      </c>
      <c r="R65" s="272" t="e">
        <f>INDEX(Tabla6[#All],MATCH(Tabla110[[#This Row],[Producto]],Tabla6[[#All],[PRODUCTO]],0),MATCH(Tabla110[[#This Row],[Mes]],Tabla6[#Headers],0))</f>
        <v>#N/A</v>
      </c>
      <c r="S65" s="260" t="e">
        <f>++Tabla110[[#This Row],[Precio Unitario Neto]]-Tabla110[[#This Row],[Apoyo]]-Tabla110[[#This Row],[Costo unitario]]</f>
        <v>#N/A</v>
      </c>
      <c r="T65" s="273" t="e">
        <f>+Tabla110[[#This Row],[Utilidad Bruta]]*Tabla110[[#This Row],[Cantidad]]</f>
        <v>#N/A</v>
      </c>
      <c r="U65" s="404" t="e">
        <f>++Tabla110[[#This Row],[Utilidad Bruta Total]]*$V$1</f>
        <v>#N/A</v>
      </c>
      <c r="V65" s="278" t="e">
        <f>++Tabla110[[#This Row],[Utilidad Bruta Total]]*$V$1</f>
        <v>#N/A</v>
      </c>
      <c r="W65" s="278">
        <f>VLOOKUP(Tabla110[[#This Row],[Producto]],'NUEVAS LISTAS'!$B$3:$P$403,'Ventas '!W$6,FALSE)</f>
        <v>3469</v>
      </c>
      <c r="X65" s="278">
        <f>VLOOKUP(Tabla110[[#This Row],[Producto]],'NUEVAS LISTAS'!$B$3:$P$403,'Ventas '!X$6,FALSE)</f>
        <v>3649</v>
      </c>
      <c r="Y65" s="278">
        <f>VLOOKUP(Tabla110[[#This Row],[Producto]],'NUEVAS LISTAS'!$B$3:$P$403,'Ventas '!Y$6,FALSE)</f>
        <v>3839</v>
      </c>
      <c r="Z65" s="278">
        <f>VLOOKUP(Tabla110[[#This Row],[Producto]],'NUEVAS LISTAS'!$B$3:$P$403,'Ventas '!Z$6,FALSE)</f>
        <v>4039</v>
      </c>
      <c r="AA65" s="543">
        <f>IF(AB65&lt;$AC$2,0,IF(Tabla110[[#This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65" s="539">
        <f>SUMIFS(Tabla110[[#All],[Venta Total]],Tabla110[[#All],[Asesor]],Tabla110[[#This Row],[Asesor]],Tabla110[[#All],[Fecha Cobranza]],"&lt;="&amp;Tabla110[[#This Row],[Fecha Cobranza]],Tabla110[[#All],[Fecha Cobranza]],"&gt;="&amp;Tabla110[[#This Row],[Fecha Cobranza]]-28)</f>
        <v>1481687.3719999997</v>
      </c>
      <c r="AC65" s="542">
        <f t="shared" si="3"/>
        <v>0</v>
      </c>
      <c r="AD65" s="544">
        <f t="shared" si="4"/>
        <v>0.02</v>
      </c>
      <c r="AE65" s="545">
        <f>+AD65*Tabla110[[#This Row],[Venta Total]]</f>
        <v>1112.2200639999999</v>
      </c>
    </row>
    <row r="66" spans="1:31" x14ac:dyDescent="0.2">
      <c r="A66" s="264">
        <v>46006</v>
      </c>
      <c r="B66" s="274" t="str">
        <f>TEXT(A66,"mmmm")</f>
        <v>December</v>
      </c>
      <c r="C66" s="265" t="s">
        <v>339</v>
      </c>
      <c r="D66" s="266" t="str">
        <f>VLOOKUP(Tabla110[[#This Row],[Asesor]],Tabla2[[Asesores]:[TIPO]],2,0)</f>
        <v>INTERNO</v>
      </c>
      <c r="E66" s="268" t="s">
        <v>626</v>
      </c>
      <c r="F66" s="267" t="s">
        <v>3807</v>
      </c>
      <c r="G66" s="50" t="s">
        <v>530</v>
      </c>
      <c r="H66" s="269">
        <v>1</v>
      </c>
      <c r="I66" s="275">
        <v>13318.1</v>
      </c>
      <c r="J66" s="260">
        <f>+Tabla110[[#This Row],[Precio Bruto]]*1.16</f>
        <v>15448.995999999999</v>
      </c>
      <c r="L66" s="270">
        <f>++(Tabla110[[#This Row],[Precio Unitario Neto]]*Tabla110[[#This Row],[Cantidad]])-(Tabla110[[#This Row],[Cantidad]]*Tabla110[[#This Row],[Apoyo]])</f>
        <v>15448.995999999999</v>
      </c>
      <c r="M66" s="270" t="e">
        <f>((INDEX(Tabla6[#All],MATCH(Tabla110[[#This Row],[Producto]],Tabla6[[#All],[PRODUCTO]],0),MATCH(Tabla110[[#This Row],[Mes]],Tabla6[#Headers],0)))*(1+(IF(Tabla110[[#This Row],[FLETE]]="no",Catalogos!$M$2,Catalogos!$L$2))))</f>
        <v>#N/A</v>
      </c>
      <c r="N66" s="270" t="e">
        <f>+IF((Tabla110[[#This Row],[Precio Unitario Neto]]-Tabla110[[#This Row],[Apoyo]]-Tabla110[[#This Row],[COSTO + INDI]])&lt;=0,0,(Tabla110[[#This Row],[Precio Unitario Neto]]-Tabla110[[#This Row],[Apoyo]]-Tabla110[[#This Row],[COSTO + INDI]]))</f>
        <v>#N/A</v>
      </c>
      <c r="O66" s="258" t="e">
        <f>++Tabla110[[#This Row],[Utilidad Neta x Eq.]]*Tabla110[[#This Row],[Cantidad]]</f>
        <v>#N/A</v>
      </c>
      <c r="P66" s="271" t="e">
        <f>++Tabla110[[#This Row],[Utilidad Neta Total]]/Tabla110[[#This Row],[Venta Total]]</f>
        <v>#N/A</v>
      </c>
      <c r="Q66" s="258" t="s">
        <v>604</v>
      </c>
      <c r="R66" s="272" t="e">
        <f>INDEX(Tabla6[#All],MATCH(Tabla110[[#This Row],[Producto]],Tabla6[[#All],[PRODUCTO]],0),MATCH(Tabla110[[#This Row],[Mes]],Tabla6[#Headers],0))</f>
        <v>#N/A</v>
      </c>
      <c r="S66" s="260" t="e">
        <f>++Tabla110[[#This Row],[Precio Unitario Neto]]-Tabla110[[#This Row],[Apoyo]]-Tabla110[[#This Row],[Costo unitario]]</f>
        <v>#N/A</v>
      </c>
      <c r="T66" s="273" t="e">
        <f>+Tabla110[[#This Row],[Utilidad Bruta]]*Tabla110[[#This Row],[Cantidad]]</f>
        <v>#N/A</v>
      </c>
      <c r="U66" s="404" t="e">
        <f>++Tabla110[[#This Row],[Utilidad Bruta Total]]*$V$1</f>
        <v>#N/A</v>
      </c>
      <c r="V66" s="278" t="e">
        <f>++Tabla110[[#This Row],[Utilidad Bruta Total]]*$V$1</f>
        <v>#N/A</v>
      </c>
      <c r="W66" s="278">
        <f>VLOOKUP(Tabla110[[#This Row],[Producto]],'NUEVAS LISTAS'!$B$3:$P$403,'Ventas '!W$6,FALSE)</f>
        <v>17479</v>
      </c>
      <c r="X66" s="278">
        <f>VLOOKUP(Tabla110[[#This Row],[Producto]],'NUEVAS LISTAS'!$B$3:$P$403,'Ventas '!X$6,FALSE)</f>
        <v>18399</v>
      </c>
      <c r="Y66" s="278">
        <f>VLOOKUP(Tabla110[[#This Row],[Producto]],'NUEVAS LISTAS'!$B$3:$P$403,'Ventas '!Y$6,FALSE)</f>
        <v>19369</v>
      </c>
      <c r="Z66" s="278">
        <f>VLOOKUP(Tabla110[[#This Row],[Producto]],'NUEVAS LISTAS'!$B$3:$P$403,'Ventas '!Z$6,FALSE)</f>
        <v>20389</v>
      </c>
      <c r="AA66" s="543">
        <f>IF(AB66&lt;$AC$2,0,IF(Tabla110[[#This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66" s="539">
        <f>SUMIFS(Tabla110[[#All],[Venta Total]],Tabla110[[#All],[Asesor]],Tabla110[[#This Row],[Asesor]],Tabla110[[#All],[Fecha Cobranza]],"&lt;="&amp;Tabla110[[#This Row],[Fecha Cobranza]],Tabla110[[#All],[Fecha Cobranza]],"&gt;="&amp;Tabla110[[#This Row],[Fecha Cobranza]]-28)</f>
        <v>154168.63999999998</v>
      </c>
      <c r="AC66" s="542">
        <f t="shared" si="3"/>
        <v>0</v>
      </c>
      <c r="AD66" s="544">
        <f t="shared" si="4"/>
        <v>0.02</v>
      </c>
      <c r="AE66" s="545">
        <f>+AD66*Tabla110[[#This Row],[Venta Total]]</f>
        <v>308.97991999999999</v>
      </c>
    </row>
    <row r="67" spans="1:31" x14ac:dyDescent="0.2">
      <c r="A67" s="264">
        <v>46006</v>
      </c>
      <c r="B67" s="274" t="str">
        <f>TEXT(A67,"mmmm")</f>
        <v>December</v>
      </c>
      <c r="C67" s="265" t="s">
        <v>277</v>
      </c>
      <c r="D67" s="266" t="str">
        <f>VLOOKUP(Tabla110[[#This Row],[Asesor]],Tabla2[[Asesores]:[TIPO]],2,0)</f>
        <v>INTERNO</v>
      </c>
      <c r="E67" s="268" t="s">
        <v>897</v>
      </c>
      <c r="F67" s="267" t="s">
        <v>3808</v>
      </c>
      <c r="G67" s="50" t="s">
        <v>227</v>
      </c>
      <c r="H67" s="269">
        <v>45</v>
      </c>
      <c r="I67" s="275">
        <v>6680.17</v>
      </c>
      <c r="J67" s="260">
        <f>+Tabla110[[#This Row],[Precio Bruto]]*1.16</f>
        <v>7748.9971999999998</v>
      </c>
      <c r="L67" s="270">
        <f>++(Tabla110[[#This Row],[Precio Unitario Neto]]*Tabla110[[#This Row],[Cantidad]])-(Tabla110[[#This Row],[Cantidad]]*Tabla110[[#This Row],[Apoyo]])</f>
        <v>348704.87400000001</v>
      </c>
      <c r="M67" s="270" t="e">
        <f>((INDEX(Tabla6[#All],MATCH(Tabla110[[#This Row],[Producto]],Tabla6[[#All],[PRODUCTO]],0),MATCH(Tabla110[[#This Row],[Mes]],Tabla6[#Headers],0)))*(1+(IF(Tabla110[[#This Row],[FLETE]]="no",Catalogos!$M$2,Catalogos!$L$2))))</f>
        <v>#N/A</v>
      </c>
      <c r="N67" s="270" t="e">
        <f>+IF((Tabla110[[#This Row],[Precio Unitario Neto]]-Tabla110[[#This Row],[Apoyo]]-Tabla110[[#This Row],[COSTO + INDI]])&lt;=0,0,(Tabla110[[#This Row],[Precio Unitario Neto]]-Tabla110[[#This Row],[Apoyo]]-Tabla110[[#This Row],[COSTO + INDI]]))</f>
        <v>#N/A</v>
      </c>
      <c r="O67" s="258" t="e">
        <f>++Tabla110[[#This Row],[Utilidad Neta x Eq.]]*Tabla110[[#This Row],[Cantidad]]</f>
        <v>#N/A</v>
      </c>
      <c r="P67" s="271" t="e">
        <f>++Tabla110[[#This Row],[Utilidad Neta Total]]/Tabla110[[#This Row],[Venta Total]]</f>
        <v>#N/A</v>
      </c>
      <c r="Q67" s="258" t="s">
        <v>604</v>
      </c>
      <c r="R67" s="272" t="e">
        <f>INDEX(Tabla6[#All],MATCH(Tabla110[[#This Row],[Producto]],Tabla6[[#All],[PRODUCTO]],0),MATCH(Tabla110[[#This Row],[Mes]],Tabla6[#Headers],0))</f>
        <v>#N/A</v>
      </c>
      <c r="S67" s="260" t="e">
        <f>++Tabla110[[#This Row],[Precio Unitario Neto]]-Tabla110[[#This Row],[Apoyo]]-Tabla110[[#This Row],[Costo unitario]]</f>
        <v>#N/A</v>
      </c>
      <c r="T67" s="273" t="e">
        <f>+Tabla110[[#This Row],[Utilidad Bruta]]*Tabla110[[#This Row],[Cantidad]]</f>
        <v>#N/A</v>
      </c>
      <c r="U67" s="404" t="e">
        <f>++Tabla110[[#This Row],[Utilidad Bruta Total]]*$V$1</f>
        <v>#N/A</v>
      </c>
      <c r="V67" s="278" t="e">
        <f>++Tabla110[[#This Row],[Utilidad Bruta Total]]*$V$1</f>
        <v>#N/A</v>
      </c>
      <c r="W67" s="278">
        <f>VLOOKUP(Tabla110[[#This Row],[Producto]],'NUEVAS LISTAS'!$B$3:$P$403,'Ventas '!W$6,FALSE)</f>
        <v>6949</v>
      </c>
      <c r="X67" s="278">
        <f>VLOOKUP(Tabla110[[#This Row],[Producto]],'NUEVAS LISTAS'!$B$3:$P$403,'Ventas '!X$6,FALSE)</f>
        <v>7309</v>
      </c>
      <c r="Y67" s="278">
        <f>VLOOKUP(Tabla110[[#This Row],[Producto]],'NUEVAS LISTAS'!$B$3:$P$403,'Ventas '!Y$6,FALSE)</f>
        <v>7689</v>
      </c>
      <c r="Z67" s="278">
        <f>VLOOKUP(Tabla110[[#This Row],[Producto]],'NUEVAS LISTAS'!$B$3:$P$403,'Ventas '!Z$6,FALSE)</f>
        <v>8089</v>
      </c>
      <c r="AA67" s="543">
        <f>IF(AB67&lt;$AC$2,0,IF(Tabla110[[#This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67" s="539">
        <f>SUMIFS(Tabla110[[#All],[Venta Total]],Tabla110[[#All],[Asesor]],Tabla110[[#This Row],[Asesor]],Tabla110[[#All],[Fecha Cobranza]],"&lt;="&amp;Tabla110[[#This Row],[Fecha Cobranza]],Tabla110[[#All],[Fecha Cobranza]],"&gt;="&amp;Tabla110[[#This Row],[Fecha Cobranza]]-28)</f>
        <v>1053628.7308</v>
      </c>
      <c r="AC67" s="542">
        <f t="shared" si="3"/>
        <v>0</v>
      </c>
      <c r="AD67" s="544">
        <f t="shared" si="4"/>
        <v>2.5000000000000001E-2</v>
      </c>
      <c r="AE67" s="545">
        <f>+AD67*Tabla110[[#This Row],[Venta Total]]</f>
        <v>8717.6218500000014</v>
      </c>
    </row>
    <row r="68" spans="1:31" x14ac:dyDescent="0.2">
      <c r="A68" s="264">
        <v>46006</v>
      </c>
      <c r="B68" s="274" t="str">
        <f t="shared" ref="B68:B75" si="18">TEXT(A68,"mmmm")</f>
        <v>December</v>
      </c>
      <c r="C68" s="265" t="s">
        <v>277</v>
      </c>
      <c r="D68" s="266" t="str">
        <f>VLOOKUP(Tabla110[[#This Row],[Asesor]],Tabla2[[Asesores]:[TIPO]],2,0)</f>
        <v>INTERNO</v>
      </c>
      <c r="E68" s="268" t="s">
        <v>897</v>
      </c>
      <c r="F68" s="267" t="s">
        <v>3809</v>
      </c>
      <c r="G68" s="50" t="s">
        <v>380</v>
      </c>
      <c r="H68" s="269">
        <v>200</v>
      </c>
      <c r="I68" s="275">
        <v>14.02</v>
      </c>
      <c r="J68" s="260">
        <f>+Tabla110[[#This Row],[Precio Bruto]]*1.16</f>
        <v>16.263199999999998</v>
      </c>
      <c r="L68" s="270">
        <f>++(Tabla110[[#This Row],[Precio Unitario Neto]]*Tabla110[[#This Row],[Cantidad]])-(Tabla110[[#This Row],[Cantidad]]*Tabla110[[#This Row],[Apoyo]])</f>
        <v>3252.6399999999994</v>
      </c>
      <c r="M68" s="270" t="e">
        <f>((INDEX(Tabla6[#All],MATCH(Tabla110[[#This Row],[Producto]],Tabla6[[#All],[PRODUCTO]],0),MATCH(Tabla110[[#This Row],[Mes]],Tabla6[#Headers],0)))*(1+(IF(Tabla110[[#This Row],[FLETE]]="no",Catalogos!$M$2,Catalogos!$L$2))))</f>
        <v>#N/A</v>
      </c>
      <c r="N68" s="270" t="e">
        <f>+IF((Tabla110[[#This Row],[Precio Unitario Neto]]-Tabla110[[#This Row],[Apoyo]]-Tabla110[[#This Row],[COSTO + INDI]])&lt;=0,0,(Tabla110[[#This Row],[Precio Unitario Neto]]-Tabla110[[#This Row],[Apoyo]]-Tabla110[[#This Row],[COSTO + INDI]]))</f>
        <v>#N/A</v>
      </c>
      <c r="O68" s="258" t="e">
        <f>++Tabla110[[#This Row],[Utilidad Neta x Eq.]]*Tabla110[[#This Row],[Cantidad]]</f>
        <v>#N/A</v>
      </c>
      <c r="P68" s="271" t="e">
        <f>++Tabla110[[#This Row],[Utilidad Neta Total]]/Tabla110[[#This Row],[Venta Total]]</f>
        <v>#N/A</v>
      </c>
      <c r="Q68" s="258" t="s">
        <v>604</v>
      </c>
      <c r="R68" s="272" t="e">
        <f>INDEX(Tabla6[#All],MATCH(Tabla110[[#This Row],[Producto]],Tabla6[[#All],[PRODUCTO]],0),MATCH(Tabla110[[#This Row],[Mes]],Tabla6[#Headers],0))</f>
        <v>#N/A</v>
      </c>
      <c r="S68" s="260" t="e">
        <f>++Tabla110[[#This Row],[Precio Unitario Neto]]-Tabla110[[#This Row],[Apoyo]]-Tabla110[[#This Row],[Costo unitario]]</f>
        <v>#N/A</v>
      </c>
      <c r="T68" s="273" t="e">
        <f>+Tabla110[[#This Row],[Utilidad Bruta]]*Tabla110[[#This Row],[Cantidad]]</f>
        <v>#N/A</v>
      </c>
      <c r="U68" s="404" t="e">
        <f>++Tabla110[[#This Row],[Utilidad Bruta Total]]*$V$1</f>
        <v>#N/A</v>
      </c>
      <c r="V68" s="278" t="e">
        <f>++Tabla110[[#This Row],[Utilidad Bruta Total]]*$V$1</f>
        <v>#N/A</v>
      </c>
      <c r="W68" s="278">
        <f>VLOOKUP(Tabla110[[#This Row],[Producto]],'NUEVAS LISTAS'!$B$3:$P$403,'Ventas '!W$6,FALSE)</f>
        <v>2</v>
      </c>
      <c r="X68" s="278">
        <f>VLOOKUP(Tabla110[[#This Row],[Producto]],'NUEVAS LISTAS'!$B$3:$P$403,'Ventas '!X$6,FALSE)</f>
        <v>2.2222222222222223</v>
      </c>
      <c r="Y68" s="278">
        <f>VLOOKUP(Tabla110[[#This Row],[Producto]],'NUEVAS LISTAS'!$B$3:$P$403,'Ventas '!Y$6,FALSE)</f>
        <v>2.7100271002710028</v>
      </c>
      <c r="Z68" s="278">
        <f>VLOOKUP(Tabla110[[#This Row],[Producto]],'NUEVAS LISTAS'!$B$3:$P$403,'Ventas '!Z$6,FALSE)</f>
        <v>3.3875338753387534</v>
      </c>
      <c r="AA68" s="543">
        <f>IF(AB68&lt;$AC$2,0,IF(Tabla110[[#This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68" s="539">
        <f>SUMIFS(Tabla110[[#All],[Venta Total]],Tabla110[[#All],[Asesor]],Tabla110[[#This Row],[Asesor]],Tabla110[[#All],[Fecha Cobranza]],"&lt;="&amp;Tabla110[[#This Row],[Fecha Cobranza]],Tabla110[[#All],[Fecha Cobranza]],"&gt;="&amp;Tabla110[[#This Row],[Fecha Cobranza]]-28)</f>
        <v>1053628.7308</v>
      </c>
      <c r="AC68" s="542">
        <f t="shared" si="3"/>
        <v>0</v>
      </c>
      <c r="AD68" s="544">
        <f t="shared" si="4"/>
        <v>2.75E-2</v>
      </c>
      <c r="AE68" s="545">
        <f>+AD68*Tabla110[[#This Row],[Venta Total]]</f>
        <v>89.44759999999998</v>
      </c>
    </row>
    <row r="69" spans="1:31" x14ac:dyDescent="0.2">
      <c r="A69" s="264">
        <v>46006</v>
      </c>
      <c r="B69" s="274" t="str">
        <f t="shared" si="18"/>
        <v>December</v>
      </c>
      <c r="C69" s="265" t="s">
        <v>277</v>
      </c>
      <c r="D69" s="266" t="str">
        <f>VLOOKUP(Tabla110[[#This Row],[Asesor]],Tabla2[[Asesores]:[TIPO]],2,0)</f>
        <v>INTERNO</v>
      </c>
      <c r="E69" s="268" t="s">
        <v>897</v>
      </c>
      <c r="F69" s="267" t="s">
        <v>3809</v>
      </c>
      <c r="G69" s="50" t="s">
        <v>408</v>
      </c>
      <c r="H69" s="269">
        <v>21</v>
      </c>
      <c r="I69" s="275">
        <v>15.16</v>
      </c>
      <c r="J69" s="260">
        <f>+Tabla110[[#This Row],[Precio Bruto]]*1.16</f>
        <v>17.585599999999999</v>
      </c>
      <c r="L69" s="270">
        <f>++(Tabla110[[#This Row],[Precio Unitario Neto]]*Tabla110[[#This Row],[Cantidad]])-(Tabla110[[#This Row],[Cantidad]]*Tabla110[[#This Row],[Apoyo]])</f>
        <v>369.29759999999999</v>
      </c>
      <c r="M69" s="270" t="e">
        <f>((INDEX(Tabla6[#All],MATCH(Tabla110[[#This Row],[Producto]],Tabla6[[#All],[PRODUCTO]],0),MATCH(Tabla110[[#This Row],[Mes]],Tabla6[#Headers],0)))*(1+(IF(Tabla110[[#This Row],[FLETE]]="no",Catalogos!$M$2,Catalogos!$L$2))))</f>
        <v>#N/A</v>
      </c>
      <c r="N69" s="270" t="e">
        <f>+IF((Tabla110[[#This Row],[Precio Unitario Neto]]-Tabla110[[#This Row],[Apoyo]]-Tabla110[[#This Row],[COSTO + INDI]])&lt;=0,0,(Tabla110[[#This Row],[Precio Unitario Neto]]-Tabla110[[#This Row],[Apoyo]]-Tabla110[[#This Row],[COSTO + INDI]]))</f>
        <v>#N/A</v>
      </c>
      <c r="O69" s="258" t="e">
        <f>++Tabla110[[#This Row],[Utilidad Neta x Eq.]]*Tabla110[[#This Row],[Cantidad]]</f>
        <v>#N/A</v>
      </c>
      <c r="P69" s="271" t="e">
        <f>++Tabla110[[#This Row],[Utilidad Neta Total]]/Tabla110[[#This Row],[Venta Total]]</f>
        <v>#N/A</v>
      </c>
      <c r="Q69" s="258" t="s">
        <v>604</v>
      </c>
      <c r="R69" s="272" t="e">
        <f>INDEX(Tabla6[#All],MATCH(Tabla110[[#This Row],[Producto]],Tabla6[[#All],[PRODUCTO]],0),MATCH(Tabla110[[#This Row],[Mes]],Tabla6[#Headers],0))</f>
        <v>#N/A</v>
      </c>
      <c r="S69" s="260" t="e">
        <f>++Tabla110[[#This Row],[Precio Unitario Neto]]-Tabla110[[#This Row],[Apoyo]]-Tabla110[[#This Row],[Costo unitario]]</f>
        <v>#N/A</v>
      </c>
      <c r="T69" s="273" t="e">
        <f>+Tabla110[[#This Row],[Utilidad Bruta]]*Tabla110[[#This Row],[Cantidad]]</f>
        <v>#N/A</v>
      </c>
      <c r="U69" s="404" t="e">
        <f>++Tabla110[[#This Row],[Utilidad Bruta Total]]*$V$1</f>
        <v>#N/A</v>
      </c>
      <c r="V69" s="278" t="e">
        <f>++Tabla110[[#This Row],[Utilidad Bruta Total]]*$V$1</f>
        <v>#N/A</v>
      </c>
      <c r="W69" s="278">
        <f>VLOOKUP(Tabla110[[#This Row],[Producto]],'NUEVAS LISTAS'!$B$3:$P$403,'Ventas '!W$6,FALSE)</f>
        <v>1</v>
      </c>
      <c r="X69" s="278">
        <f>VLOOKUP(Tabla110[[#This Row],[Producto]],'NUEVAS LISTAS'!$B$3:$P$403,'Ventas '!X$6,FALSE)</f>
        <v>1.1111111111111112</v>
      </c>
      <c r="Y69" s="278">
        <f>VLOOKUP(Tabla110[[#This Row],[Producto]],'NUEVAS LISTAS'!$B$3:$P$403,'Ventas '!Y$6,FALSE)</f>
        <v>1.3550135501355014</v>
      </c>
      <c r="Z69" s="278">
        <f>VLOOKUP(Tabla110[[#This Row],[Producto]],'NUEVAS LISTAS'!$B$3:$P$403,'Ventas '!Z$6,FALSE)</f>
        <v>1.6937669376693767</v>
      </c>
      <c r="AA69" s="543">
        <f>IF(AB69&lt;$AC$2,0,IF(Tabla110[[#This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69" s="539">
        <f>SUMIFS(Tabla110[[#All],[Venta Total]],Tabla110[[#All],[Asesor]],Tabla110[[#This Row],[Asesor]],Tabla110[[#All],[Fecha Cobranza]],"&lt;="&amp;Tabla110[[#This Row],[Fecha Cobranza]],Tabla110[[#All],[Fecha Cobranza]],"&gt;="&amp;Tabla110[[#This Row],[Fecha Cobranza]]-28)</f>
        <v>1053628.7308</v>
      </c>
      <c r="AC69" s="542">
        <f t="shared" si="3"/>
        <v>0</v>
      </c>
      <c r="AD69" s="544">
        <f t="shared" si="4"/>
        <v>2.75E-2</v>
      </c>
      <c r="AE69" s="545">
        <f>+AD69*Tabla110[[#This Row],[Venta Total]]</f>
        <v>10.155683999999999</v>
      </c>
    </row>
    <row r="70" spans="1:31" x14ac:dyDescent="0.2">
      <c r="A70" s="264">
        <v>46006</v>
      </c>
      <c r="B70" s="274" t="str">
        <f t="shared" si="18"/>
        <v>December</v>
      </c>
      <c r="C70" s="265" t="s">
        <v>277</v>
      </c>
      <c r="D70" s="266" t="str">
        <f>VLOOKUP(Tabla110[[#This Row],[Asesor]],Tabla2[[Asesores]:[TIPO]],2,0)</f>
        <v>INTERNO</v>
      </c>
      <c r="E70" s="268" t="s">
        <v>897</v>
      </c>
      <c r="F70" s="267" t="s">
        <v>3809</v>
      </c>
      <c r="G70" s="50" t="s">
        <v>31</v>
      </c>
      <c r="H70" s="269">
        <v>7</v>
      </c>
      <c r="I70" s="275">
        <v>3016.38</v>
      </c>
      <c r="J70" s="260">
        <f>+Tabla110[[#This Row],[Precio Bruto]]*1.16</f>
        <v>3499.0007999999998</v>
      </c>
      <c r="L70" s="270">
        <f>++(Tabla110[[#This Row],[Precio Unitario Neto]]*Tabla110[[#This Row],[Cantidad]])-(Tabla110[[#This Row],[Cantidad]]*Tabla110[[#This Row],[Apoyo]])</f>
        <v>24493.005599999997</v>
      </c>
      <c r="M70" s="270" t="e">
        <f>((INDEX(Tabla6[#All],MATCH(Tabla110[[#This Row],[Producto]],Tabla6[[#All],[PRODUCTO]],0),MATCH(Tabla110[[#This Row],[Mes]],Tabla6[#Headers],0)))*(1+(IF(Tabla110[[#This Row],[FLETE]]="no",Catalogos!$M$2,Catalogos!$L$2))))</f>
        <v>#N/A</v>
      </c>
      <c r="N70" s="270" t="e">
        <f>+IF((Tabla110[[#This Row],[Precio Unitario Neto]]-Tabla110[[#This Row],[Apoyo]]-Tabla110[[#This Row],[COSTO + INDI]])&lt;=0,0,(Tabla110[[#This Row],[Precio Unitario Neto]]-Tabla110[[#This Row],[Apoyo]]-Tabla110[[#This Row],[COSTO + INDI]]))</f>
        <v>#N/A</v>
      </c>
      <c r="O70" s="258" t="e">
        <f>++Tabla110[[#This Row],[Utilidad Neta x Eq.]]*Tabla110[[#This Row],[Cantidad]]</f>
        <v>#N/A</v>
      </c>
      <c r="P70" s="271" t="e">
        <f>++Tabla110[[#This Row],[Utilidad Neta Total]]/Tabla110[[#This Row],[Venta Total]]</f>
        <v>#N/A</v>
      </c>
      <c r="Q70" s="258" t="s">
        <v>604</v>
      </c>
      <c r="R70" s="272" t="e">
        <f>INDEX(Tabla6[#All],MATCH(Tabla110[[#This Row],[Producto]],Tabla6[[#All],[PRODUCTO]],0),MATCH(Tabla110[[#This Row],[Mes]],Tabla6[#Headers],0))</f>
        <v>#N/A</v>
      </c>
      <c r="S70" s="260" t="e">
        <f>++Tabla110[[#This Row],[Precio Unitario Neto]]-Tabla110[[#This Row],[Apoyo]]-Tabla110[[#This Row],[Costo unitario]]</f>
        <v>#N/A</v>
      </c>
      <c r="T70" s="273" t="e">
        <f>+Tabla110[[#This Row],[Utilidad Bruta]]*Tabla110[[#This Row],[Cantidad]]</f>
        <v>#N/A</v>
      </c>
      <c r="U70" s="404" t="e">
        <f>++Tabla110[[#This Row],[Utilidad Bruta Total]]*$V$1</f>
        <v>#N/A</v>
      </c>
      <c r="V70" s="278" t="e">
        <f>++Tabla110[[#This Row],[Utilidad Bruta Total]]*$V$1</f>
        <v>#N/A</v>
      </c>
      <c r="W70" s="278">
        <f>VLOOKUP(Tabla110[[#This Row],[Producto]],'NUEVAS LISTAS'!$B$3:$P$403,'Ventas '!W$6,FALSE)</f>
        <v>3259</v>
      </c>
      <c r="X70" s="278">
        <f>VLOOKUP(Tabla110[[#This Row],[Producto]],'NUEVAS LISTAS'!$B$3:$P$403,'Ventas '!X$6,FALSE)</f>
        <v>3429</v>
      </c>
      <c r="Y70" s="278">
        <f>VLOOKUP(Tabla110[[#This Row],[Producto]],'NUEVAS LISTAS'!$B$3:$P$403,'Ventas '!Y$6,FALSE)</f>
        <v>3609</v>
      </c>
      <c r="Z70" s="278">
        <f>VLOOKUP(Tabla110[[#This Row],[Producto]],'NUEVAS LISTAS'!$B$3:$P$403,'Ventas '!Z$6,FALSE)</f>
        <v>3799</v>
      </c>
      <c r="AA70" s="543">
        <f>IF(AB70&lt;$AC$2,0,IF(Tabla110[[#This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70" s="539">
        <f>SUMIFS(Tabla110[[#All],[Venta Total]],Tabla110[[#All],[Asesor]],Tabla110[[#This Row],[Asesor]],Tabla110[[#All],[Fecha Cobranza]],"&lt;="&amp;Tabla110[[#This Row],[Fecha Cobranza]],Tabla110[[#All],[Fecha Cobranza]],"&gt;="&amp;Tabla110[[#This Row],[Fecha Cobranza]]-28)</f>
        <v>1053628.7308</v>
      </c>
      <c r="AC70" s="542">
        <f t="shared" si="3"/>
        <v>0</v>
      </c>
      <c r="AD70" s="544">
        <f t="shared" si="4"/>
        <v>2.2499999999999999E-2</v>
      </c>
      <c r="AE70" s="545">
        <f>+AD70*Tabla110[[#This Row],[Venta Total]]</f>
        <v>551.09262599999988</v>
      </c>
    </row>
    <row r="71" spans="1:31" x14ac:dyDescent="0.2">
      <c r="A71" s="264">
        <v>46006</v>
      </c>
      <c r="B71" s="274" t="str">
        <f t="shared" si="18"/>
        <v>December</v>
      </c>
      <c r="C71" s="265" t="s">
        <v>277</v>
      </c>
      <c r="D71" s="266" t="str">
        <f>VLOOKUP(Tabla110[[#This Row],[Asesor]],Tabla2[[Asesores]:[TIPO]],2,0)</f>
        <v>INTERNO</v>
      </c>
      <c r="E71" s="268" t="s">
        <v>897</v>
      </c>
      <c r="F71" s="267" t="s">
        <v>3809</v>
      </c>
      <c r="G71" s="50" t="s">
        <v>30</v>
      </c>
      <c r="H71" s="269">
        <v>3</v>
      </c>
      <c r="I71" s="275">
        <v>2671.5499999999997</v>
      </c>
      <c r="J71" s="260">
        <f>+Tabla110[[#This Row],[Precio Bruto]]*1.16</f>
        <v>3098.9979999999996</v>
      </c>
      <c r="L71" s="270">
        <f>++(Tabla110[[#This Row],[Precio Unitario Neto]]*Tabla110[[#This Row],[Cantidad]])-(Tabla110[[#This Row],[Cantidad]]*Tabla110[[#This Row],[Apoyo]])</f>
        <v>9296.9939999999988</v>
      </c>
      <c r="M71" s="270" t="e">
        <f>((INDEX(Tabla6[#All],MATCH(Tabla110[[#This Row],[Producto]],Tabla6[[#All],[PRODUCTO]],0),MATCH(Tabla110[[#This Row],[Mes]],Tabla6[#Headers],0)))*(1+(IF(Tabla110[[#This Row],[FLETE]]="no",Catalogos!$M$2,Catalogos!$L$2))))</f>
        <v>#N/A</v>
      </c>
      <c r="N71" s="270" t="e">
        <f>+IF((Tabla110[[#This Row],[Precio Unitario Neto]]-Tabla110[[#This Row],[Apoyo]]-Tabla110[[#This Row],[COSTO + INDI]])&lt;=0,0,(Tabla110[[#This Row],[Precio Unitario Neto]]-Tabla110[[#This Row],[Apoyo]]-Tabla110[[#This Row],[COSTO + INDI]]))</f>
        <v>#N/A</v>
      </c>
      <c r="O71" s="258" t="e">
        <f>++Tabla110[[#This Row],[Utilidad Neta x Eq.]]*Tabla110[[#This Row],[Cantidad]]</f>
        <v>#N/A</v>
      </c>
      <c r="P71" s="271" t="e">
        <f>++Tabla110[[#This Row],[Utilidad Neta Total]]/Tabla110[[#This Row],[Venta Total]]</f>
        <v>#N/A</v>
      </c>
      <c r="Q71" s="258" t="s">
        <v>604</v>
      </c>
      <c r="R71" s="272" t="e">
        <f>INDEX(Tabla6[#All],MATCH(Tabla110[[#This Row],[Producto]],Tabla6[[#All],[PRODUCTO]],0),MATCH(Tabla110[[#This Row],[Mes]],Tabla6[#Headers],0))</f>
        <v>#N/A</v>
      </c>
      <c r="S71" s="260" t="e">
        <f>++Tabla110[[#This Row],[Precio Unitario Neto]]-Tabla110[[#This Row],[Apoyo]]-Tabla110[[#This Row],[Costo unitario]]</f>
        <v>#N/A</v>
      </c>
      <c r="T71" s="273" t="e">
        <f>+Tabla110[[#This Row],[Utilidad Bruta]]*Tabla110[[#This Row],[Cantidad]]</f>
        <v>#N/A</v>
      </c>
      <c r="U71" s="404" t="e">
        <f>++Tabla110[[#This Row],[Utilidad Bruta Total]]*$V$1</f>
        <v>#N/A</v>
      </c>
      <c r="V71" s="278" t="e">
        <f>++Tabla110[[#This Row],[Utilidad Bruta Total]]*$V$1</f>
        <v>#N/A</v>
      </c>
      <c r="W71" s="278">
        <f>VLOOKUP(Tabla110[[#This Row],[Producto]],'NUEVAS LISTAS'!$B$3:$P$403,'Ventas '!W$6,FALSE)</f>
        <v>2859</v>
      </c>
      <c r="X71" s="278">
        <f>VLOOKUP(Tabla110[[#This Row],[Producto]],'NUEVAS LISTAS'!$B$3:$P$403,'Ventas '!X$6,FALSE)</f>
        <v>3009</v>
      </c>
      <c r="Y71" s="278">
        <f>VLOOKUP(Tabla110[[#This Row],[Producto]],'NUEVAS LISTAS'!$B$3:$P$403,'Ventas '!Y$6,FALSE)</f>
        <v>3169</v>
      </c>
      <c r="Z71" s="278">
        <f>VLOOKUP(Tabla110[[#This Row],[Producto]],'NUEVAS LISTAS'!$B$3:$P$403,'Ventas '!Z$6,FALSE)</f>
        <v>3339</v>
      </c>
      <c r="AA71" s="543">
        <f>IF(AB71&lt;$AC$2,0,IF(Tabla110[[#This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71" s="539">
        <f>SUMIFS(Tabla110[[#All],[Venta Total]],Tabla110[[#All],[Asesor]],Tabla110[[#This Row],[Asesor]],Tabla110[[#All],[Fecha Cobranza]],"&lt;="&amp;Tabla110[[#This Row],[Fecha Cobranza]],Tabla110[[#All],[Fecha Cobranza]],"&gt;="&amp;Tabla110[[#This Row],[Fecha Cobranza]]-28)</f>
        <v>1053628.7308</v>
      </c>
      <c r="AC71" s="542">
        <f t="shared" si="3"/>
        <v>0</v>
      </c>
      <c r="AD71" s="544">
        <f t="shared" si="4"/>
        <v>2.2499999999999999E-2</v>
      </c>
      <c r="AE71" s="545">
        <f>+AD71*Tabla110[[#This Row],[Venta Total]]</f>
        <v>209.18236499999998</v>
      </c>
    </row>
    <row r="72" spans="1:31" x14ac:dyDescent="0.2">
      <c r="A72" s="264">
        <v>46006</v>
      </c>
      <c r="B72" s="274" t="str">
        <f t="shared" si="18"/>
        <v>December</v>
      </c>
      <c r="C72" s="265" t="s">
        <v>277</v>
      </c>
      <c r="D72" s="266" t="str">
        <f>VLOOKUP(Tabla110[[#This Row],[Asesor]],Tabla2[[Asesores]:[TIPO]],2,0)</f>
        <v>INTERNO</v>
      </c>
      <c r="E72" s="268" t="s">
        <v>897</v>
      </c>
      <c r="F72" s="267" t="s">
        <v>3809</v>
      </c>
      <c r="G72" s="50" t="s">
        <v>228</v>
      </c>
      <c r="H72" s="269">
        <v>4</v>
      </c>
      <c r="I72" s="275">
        <v>7197.41</v>
      </c>
      <c r="J72" s="260">
        <f>+Tabla110[[#This Row],[Precio Bruto]]*1.16</f>
        <v>8348.9955999999984</v>
      </c>
      <c r="L72" s="270">
        <f>++(Tabla110[[#This Row],[Precio Unitario Neto]]*Tabla110[[#This Row],[Cantidad]])-(Tabla110[[#This Row],[Cantidad]]*Tabla110[[#This Row],[Apoyo]])</f>
        <v>33395.982399999994</v>
      </c>
      <c r="M72" s="270" t="e">
        <f>((INDEX(Tabla6[#All],MATCH(Tabla110[[#This Row],[Producto]],Tabla6[[#All],[PRODUCTO]],0),MATCH(Tabla110[[#This Row],[Mes]],Tabla6[#Headers],0)))*(1+(IF(Tabla110[[#This Row],[FLETE]]="no",Catalogos!$M$2,Catalogos!$L$2))))</f>
        <v>#N/A</v>
      </c>
      <c r="N72" s="270" t="e">
        <f>+IF((Tabla110[[#This Row],[Precio Unitario Neto]]-Tabla110[[#This Row],[Apoyo]]-Tabla110[[#This Row],[COSTO + INDI]])&lt;=0,0,(Tabla110[[#This Row],[Precio Unitario Neto]]-Tabla110[[#This Row],[Apoyo]]-Tabla110[[#This Row],[COSTO + INDI]]))</f>
        <v>#N/A</v>
      </c>
      <c r="O72" s="258" t="e">
        <f>++Tabla110[[#This Row],[Utilidad Neta x Eq.]]*Tabla110[[#This Row],[Cantidad]]</f>
        <v>#N/A</v>
      </c>
      <c r="P72" s="271" t="e">
        <f>++Tabla110[[#This Row],[Utilidad Neta Total]]/Tabla110[[#This Row],[Venta Total]]</f>
        <v>#N/A</v>
      </c>
      <c r="Q72" s="258" t="s">
        <v>604</v>
      </c>
      <c r="R72" s="272" t="e">
        <f>INDEX(Tabla6[#All],MATCH(Tabla110[[#This Row],[Producto]],Tabla6[[#All],[PRODUCTO]],0),MATCH(Tabla110[[#This Row],[Mes]],Tabla6[#Headers],0))</f>
        <v>#N/A</v>
      </c>
      <c r="S72" s="260" t="e">
        <f>++Tabla110[[#This Row],[Precio Unitario Neto]]-Tabla110[[#This Row],[Apoyo]]-Tabla110[[#This Row],[Costo unitario]]</f>
        <v>#N/A</v>
      </c>
      <c r="T72" s="273" t="e">
        <f>+Tabla110[[#This Row],[Utilidad Bruta]]*Tabla110[[#This Row],[Cantidad]]</f>
        <v>#N/A</v>
      </c>
      <c r="U72" s="404" t="e">
        <f>++Tabla110[[#This Row],[Utilidad Bruta Total]]*$V$1</f>
        <v>#N/A</v>
      </c>
      <c r="V72" s="278" t="e">
        <f>++Tabla110[[#This Row],[Utilidad Bruta Total]]*$V$1</f>
        <v>#N/A</v>
      </c>
      <c r="W72" s="278">
        <f>VLOOKUP(Tabla110[[#This Row],[Producto]],'NUEVAS LISTAS'!$B$3:$P$403,'Ventas '!W$6,FALSE)</f>
        <v>7569</v>
      </c>
      <c r="X72" s="278">
        <f>VLOOKUP(Tabla110[[#This Row],[Producto]],'NUEVAS LISTAS'!$B$3:$P$403,'Ventas '!X$6,FALSE)</f>
        <v>7969</v>
      </c>
      <c r="Y72" s="278">
        <f>VLOOKUP(Tabla110[[#This Row],[Producto]],'NUEVAS LISTAS'!$B$3:$P$403,'Ventas '!Y$6,FALSE)</f>
        <v>8389</v>
      </c>
      <c r="Z72" s="278">
        <f>VLOOKUP(Tabla110[[#This Row],[Producto]],'NUEVAS LISTAS'!$B$3:$P$403,'Ventas '!Z$6,FALSE)</f>
        <v>8829</v>
      </c>
      <c r="AA72" s="543">
        <f>IF(AB72&lt;$AC$2,0,IF(Tabla110[[#This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72" s="539">
        <f>SUMIFS(Tabla110[[#All],[Venta Total]],Tabla110[[#All],[Asesor]],Tabla110[[#This Row],[Asesor]],Tabla110[[#All],[Fecha Cobranza]],"&lt;="&amp;Tabla110[[#This Row],[Fecha Cobranza]],Tabla110[[#All],[Fecha Cobranza]],"&gt;="&amp;Tabla110[[#This Row],[Fecha Cobranza]]-28)</f>
        <v>1053628.7308</v>
      </c>
      <c r="AC72" s="542">
        <f t="shared" si="3"/>
        <v>0</v>
      </c>
      <c r="AD72" s="544">
        <f t="shared" si="4"/>
        <v>2.2499999999999999E-2</v>
      </c>
      <c r="AE72" s="545">
        <f>+AD72*Tabla110[[#This Row],[Venta Total]]</f>
        <v>751.40960399999983</v>
      </c>
    </row>
    <row r="73" spans="1:31" x14ac:dyDescent="0.2">
      <c r="A73" s="264">
        <v>46006</v>
      </c>
      <c r="B73" s="274" t="str">
        <f t="shared" si="18"/>
        <v>December</v>
      </c>
      <c r="C73" s="265" t="s">
        <v>277</v>
      </c>
      <c r="D73" s="266" t="str">
        <f>VLOOKUP(Tabla110[[#This Row],[Asesor]],Tabla2[[Asesores]:[TIPO]],2,0)</f>
        <v>INTERNO</v>
      </c>
      <c r="E73" s="268" t="s">
        <v>897</v>
      </c>
      <c r="F73" s="267" t="s">
        <v>3809</v>
      </c>
      <c r="G73" s="50" t="s">
        <v>83</v>
      </c>
      <c r="H73" s="269">
        <v>1</v>
      </c>
      <c r="I73" s="275">
        <v>9231.9</v>
      </c>
      <c r="J73" s="260">
        <f>+Tabla110[[#This Row],[Precio Bruto]]*1.16</f>
        <v>10709.003999999999</v>
      </c>
      <c r="L73" s="270">
        <f>++(Tabla110[[#This Row],[Precio Unitario Neto]]*Tabla110[[#This Row],[Cantidad]])-(Tabla110[[#This Row],[Cantidad]]*Tabla110[[#This Row],[Apoyo]])</f>
        <v>10709.003999999999</v>
      </c>
      <c r="M73" s="270" t="e">
        <f>((INDEX(Tabla6[#All],MATCH(Tabla110[[#This Row],[Producto]],Tabla6[[#All],[PRODUCTO]],0),MATCH(Tabla110[[#This Row],[Mes]],Tabla6[#Headers],0)))*(1+(IF(Tabla110[[#This Row],[FLETE]]="no",Catalogos!$M$2,Catalogos!$L$2))))</f>
        <v>#N/A</v>
      </c>
      <c r="N73" s="270" t="e">
        <f>+IF((Tabla110[[#This Row],[Precio Unitario Neto]]-Tabla110[[#This Row],[Apoyo]]-Tabla110[[#This Row],[COSTO + INDI]])&lt;=0,0,(Tabla110[[#This Row],[Precio Unitario Neto]]-Tabla110[[#This Row],[Apoyo]]-Tabla110[[#This Row],[COSTO + INDI]]))</f>
        <v>#N/A</v>
      </c>
      <c r="O73" s="258" t="e">
        <f>++Tabla110[[#This Row],[Utilidad Neta x Eq.]]*Tabla110[[#This Row],[Cantidad]]</f>
        <v>#N/A</v>
      </c>
      <c r="P73" s="271" t="e">
        <f>++Tabla110[[#This Row],[Utilidad Neta Total]]/Tabla110[[#This Row],[Venta Total]]</f>
        <v>#N/A</v>
      </c>
      <c r="Q73" s="258" t="s">
        <v>604</v>
      </c>
      <c r="R73" s="272" t="e">
        <f>INDEX(Tabla6[#All],MATCH(Tabla110[[#This Row],[Producto]],Tabla6[[#All],[PRODUCTO]],0),MATCH(Tabla110[[#This Row],[Mes]],Tabla6[#Headers],0))</f>
        <v>#N/A</v>
      </c>
      <c r="S73" s="260" t="e">
        <f>++Tabla110[[#This Row],[Precio Unitario Neto]]-Tabla110[[#This Row],[Apoyo]]-Tabla110[[#This Row],[Costo unitario]]</f>
        <v>#N/A</v>
      </c>
      <c r="T73" s="273" t="e">
        <f>+Tabla110[[#This Row],[Utilidad Bruta]]*Tabla110[[#This Row],[Cantidad]]</f>
        <v>#N/A</v>
      </c>
      <c r="U73" s="404" t="e">
        <f>++Tabla110[[#This Row],[Utilidad Bruta Total]]*$V$1</f>
        <v>#N/A</v>
      </c>
      <c r="V73" s="278" t="e">
        <f>++Tabla110[[#This Row],[Utilidad Bruta Total]]*$V$1</f>
        <v>#N/A</v>
      </c>
      <c r="W73" s="278">
        <f>VLOOKUP(Tabla110[[#This Row],[Producto]],'NUEVAS LISTAS'!$B$3:$P$403,'Ventas '!W$6,FALSE)</f>
        <v>7849</v>
      </c>
      <c r="X73" s="278">
        <f>VLOOKUP(Tabla110[[#This Row],[Producto]],'NUEVAS LISTAS'!$B$3:$P$403,'Ventas '!X$6,FALSE)</f>
        <v>8249</v>
      </c>
      <c r="Y73" s="278">
        <f>VLOOKUP(Tabla110[[#This Row],[Producto]],'NUEVAS LISTAS'!$B$3:$P$403,'Ventas '!Y$6,FALSE)</f>
        <v>8699</v>
      </c>
      <c r="Z73" s="278">
        <f>VLOOKUP(Tabla110[[#This Row],[Producto]],'NUEVAS LISTAS'!$B$3:$P$403,'Ventas '!Z$6,FALSE)</f>
        <v>9149</v>
      </c>
      <c r="AA73" s="543">
        <f>IF(AB73&lt;$AC$2,0,IF(Tabla110[[#This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73" s="539">
        <f>SUMIFS(Tabla110[[#All],[Venta Total]],Tabla110[[#All],[Asesor]],Tabla110[[#This Row],[Asesor]],Tabla110[[#All],[Fecha Cobranza]],"&lt;="&amp;Tabla110[[#This Row],[Fecha Cobranza]],Tabla110[[#All],[Fecha Cobranza]],"&gt;="&amp;Tabla110[[#This Row],[Fecha Cobranza]]-28)</f>
        <v>1053628.7308</v>
      </c>
      <c r="AC73" s="542">
        <f t="shared" si="3"/>
        <v>0</v>
      </c>
      <c r="AD73" s="544">
        <f t="shared" si="4"/>
        <v>2.75E-2</v>
      </c>
      <c r="AE73" s="545">
        <f>+AD73*Tabla110[[#This Row],[Venta Total]]</f>
        <v>294.49760999999995</v>
      </c>
    </row>
    <row r="74" spans="1:31" x14ac:dyDescent="0.2">
      <c r="A74" s="264">
        <v>46006</v>
      </c>
      <c r="B74" s="274" t="str">
        <f t="shared" si="18"/>
        <v>December</v>
      </c>
      <c r="C74" s="265" t="s">
        <v>277</v>
      </c>
      <c r="D74" s="266" t="str">
        <f>VLOOKUP(Tabla110[[#This Row],[Asesor]],Tabla2[[Asesores]:[TIPO]],2,0)</f>
        <v>INTERNO</v>
      </c>
      <c r="E74" s="268" t="s">
        <v>897</v>
      </c>
      <c r="F74" s="267" t="s">
        <v>3809</v>
      </c>
      <c r="G74" s="50" t="s">
        <v>22</v>
      </c>
      <c r="H74" s="269">
        <v>1</v>
      </c>
      <c r="I74" s="275">
        <v>12174.14</v>
      </c>
      <c r="J74" s="260">
        <f>+Tabla110[[#This Row],[Precio Bruto]]*1.16</f>
        <v>14122.002399999998</v>
      </c>
      <c r="L74" s="270">
        <f>++(Tabla110[[#This Row],[Precio Unitario Neto]]*Tabla110[[#This Row],[Cantidad]])-(Tabla110[[#This Row],[Cantidad]]*Tabla110[[#This Row],[Apoyo]])</f>
        <v>14122.002399999998</v>
      </c>
      <c r="M74" s="270" t="e">
        <f>((INDEX(Tabla6[#All],MATCH(Tabla110[[#This Row],[Producto]],Tabla6[[#All],[PRODUCTO]],0),MATCH(Tabla110[[#This Row],[Mes]],Tabla6[#Headers],0)))*(1+(IF(Tabla110[[#This Row],[FLETE]]="no",Catalogos!$M$2,Catalogos!$L$2))))</f>
        <v>#N/A</v>
      </c>
      <c r="N74" s="270" t="e">
        <f>+IF((Tabla110[[#This Row],[Precio Unitario Neto]]-Tabla110[[#This Row],[Apoyo]]-Tabla110[[#This Row],[COSTO + INDI]])&lt;=0,0,(Tabla110[[#This Row],[Precio Unitario Neto]]-Tabla110[[#This Row],[Apoyo]]-Tabla110[[#This Row],[COSTO + INDI]]))</f>
        <v>#N/A</v>
      </c>
      <c r="O74" s="258" t="e">
        <f>++Tabla110[[#This Row],[Utilidad Neta x Eq.]]*Tabla110[[#This Row],[Cantidad]]</f>
        <v>#N/A</v>
      </c>
      <c r="P74" s="271" t="e">
        <f>++Tabla110[[#This Row],[Utilidad Neta Total]]/Tabla110[[#This Row],[Venta Total]]</f>
        <v>#N/A</v>
      </c>
      <c r="Q74" s="258" t="s">
        <v>604</v>
      </c>
      <c r="R74" s="272" t="e">
        <f>INDEX(Tabla6[#All],MATCH(Tabla110[[#This Row],[Producto]],Tabla6[[#All],[PRODUCTO]],0),MATCH(Tabla110[[#This Row],[Mes]],Tabla6[#Headers],0))</f>
        <v>#N/A</v>
      </c>
      <c r="S74" s="260" t="e">
        <f>++Tabla110[[#This Row],[Precio Unitario Neto]]-Tabla110[[#This Row],[Apoyo]]-Tabla110[[#This Row],[Costo unitario]]</f>
        <v>#N/A</v>
      </c>
      <c r="T74" s="273" t="e">
        <f>+Tabla110[[#This Row],[Utilidad Bruta]]*Tabla110[[#This Row],[Cantidad]]</f>
        <v>#N/A</v>
      </c>
      <c r="U74" s="404" t="e">
        <f>++Tabla110[[#This Row],[Utilidad Bruta Total]]*$V$1</f>
        <v>#N/A</v>
      </c>
      <c r="V74" s="278" t="e">
        <f>++Tabla110[[#This Row],[Utilidad Bruta Total]]*$V$1</f>
        <v>#N/A</v>
      </c>
      <c r="W74" s="278">
        <f>VLOOKUP(Tabla110[[#This Row],[Producto]],'NUEVAS LISTAS'!$B$3:$P$403,'Ventas '!W$6,FALSE)</f>
        <v>13649</v>
      </c>
      <c r="X74" s="278">
        <f>VLOOKUP(Tabla110[[#This Row],[Producto]],'NUEVAS LISTAS'!$B$3:$P$403,'Ventas '!X$6,FALSE)</f>
        <v>14349</v>
      </c>
      <c r="Y74" s="278">
        <f>VLOOKUP(Tabla110[[#This Row],[Producto]],'NUEVAS LISTAS'!$B$3:$P$403,'Ventas '!Y$6,FALSE)</f>
        <v>15099</v>
      </c>
      <c r="Z74" s="278">
        <f>VLOOKUP(Tabla110[[#This Row],[Producto]],'NUEVAS LISTAS'!$B$3:$P$403,'Ventas '!Z$6,FALSE)</f>
        <v>15899</v>
      </c>
      <c r="AA74" s="543">
        <f>IF(AB74&lt;$AC$2,0,IF(Tabla110[[#This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74" s="539">
        <f>SUMIFS(Tabla110[[#All],[Venta Total]],Tabla110[[#All],[Asesor]],Tabla110[[#This Row],[Asesor]],Tabla110[[#All],[Fecha Cobranza]],"&lt;="&amp;Tabla110[[#This Row],[Fecha Cobranza]],Tabla110[[#All],[Fecha Cobranza]],"&gt;="&amp;Tabla110[[#This Row],[Fecha Cobranza]]-28)</f>
        <v>1053628.7308</v>
      </c>
      <c r="AC74" s="542">
        <f t="shared" si="3"/>
        <v>0</v>
      </c>
      <c r="AD74" s="544">
        <f t="shared" si="4"/>
        <v>0.02</v>
      </c>
      <c r="AE74" s="545">
        <f>+AD74*Tabla110[[#This Row],[Venta Total]]</f>
        <v>282.44004799999993</v>
      </c>
    </row>
    <row r="75" spans="1:31" x14ac:dyDescent="0.2">
      <c r="A75" s="264">
        <v>46006</v>
      </c>
      <c r="B75" s="274" t="str">
        <f t="shared" si="18"/>
        <v>December</v>
      </c>
      <c r="C75" s="265" t="s">
        <v>277</v>
      </c>
      <c r="D75" s="266" t="str">
        <f>VLOOKUP(Tabla110[[#This Row],[Asesor]],Tabla2[[Asesores]:[TIPO]],2,0)</f>
        <v>INTERNO</v>
      </c>
      <c r="E75" s="268" t="s">
        <v>897</v>
      </c>
      <c r="F75" s="267" t="s">
        <v>3809</v>
      </c>
      <c r="G75" s="50" t="s">
        <v>84</v>
      </c>
      <c r="H75" s="269">
        <v>1</v>
      </c>
      <c r="I75" s="275">
        <v>15602.59</v>
      </c>
      <c r="J75" s="260">
        <f>+Tabla110[[#This Row],[Precio Bruto]]*1.16</f>
        <v>18099.004399999998</v>
      </c>
      <c r="L75" s="270">
        <f>++(Tabla110[[#This Row],[Precio Unitario Neto]]*Tabla110[[#This Row],[Cantidad]])-(Tabla110[[#This Row],[Cantidad]]*Tabla110[[#This Row],[Apoyo]])</f>
        <v>18099.004399999998</v>
      </c>
      <c r="M75" s="270" t="e">
        <f>((INDEX(Tabla6[#All],MATCH(Tabla110[[#This Row],[Producto]],Tabla6[[#All],[PRODUCTO]],0),MATCH(Tabla110[[#This Row],[Mes]],Tabla6[#Headers],0)))*(1+(IF(Tabla110[[#This Row],[FLETE]]="no",Catalogos!$M$2,Catalogos!$L$2))))</f>
        <v>#N/A</v>
      </c>
      <c r="N75" s="270" t="e">
        <f>+IF((Tabla110[[#This Row],[Precio Unitario Neto]]-Tabla110[[#This Row],[Apoyo]]-Tabla110[[#This Row],[COSTO + INDI]])&lt;=0,0,(Tabla110[[#This Row],[Precio Unitario Neto]]-Tabla110[[#This Row],[Apoyo]]-Tabla110[[#This Row],[COSTO + INDI]]))</f>
        <v>#N/A</v>
      </c>
      <c r="O75" s="258" t="e">
        <f>++Tabla110[[#This Row],[Utilidad Neta x Eq.]]*Tabla110[[#This Row],[Cantidad]]</f>
        <v>#N/A</v>
      </c>
      <c r="P75" s="271" t="e">
        <f>++Tabla110[[#This Row],[Utilidad Neta Total]]/Tabla110[[#This Row],[Venta Total]]</f>
        <v>#N/A</v>
      </c>
      <c r="Q75" s="258" t="s">
        <v>604</v>
      </c>
      <c r="R75" s="272" t="e">
        <f>INDEX(Tabla6[#All],MATCH(Tabla110[[#This Row],[Producto]],Tabla6[[#All],[PRODUCTO]],0),MATCH(Tabla110[[#This Row],[Mes]],Tabla6[#Headers],0))</f>
        <v>#N/A</v>
      </c>
      <c r="S75" s="260" t="e">
        <f>++Tabla110[[#This Row],[Precio Unitario Neto]]-Tabla110[[#This Row],[Apoyo]]-Tabla110[[#This Row],[Costo unitario]]</f>
        <v>#N/A</v>
      </c>
      <c r="T75" s="273" t="e">
        <f>+Tabla110[[#This Row],[Utilidad Bruta]]*Tabla110[[#This Row],[Cantidad]]</f>
        <v>#N/A</v>
      </c>
      <c r="U75" s="404" t="e">
        <f>++Tabla110[[#This Row],[Utilidad Bruta Total]]*$V$1</f>
        <v>#N/A</v>
      </c>
      <c r="V75" s="278" t="e">
        <f>++Tabla110[[#This Row],[Utilidad Bruta Total]]*$V$1</f>
        <v>#N/A</v>
      </c>
      <c r="W75" s="278">
        <f>VLOOKUP(Tabla110[[#This Row],[Producto]],'NUEVAS LISTAS'!$B$3:$P$403,'Ventas '!W$6,FALSE)</f>
        <v>16649</v>
      </c>
      <c r="X75" s="278">
        <f>VLOOKUP(Tabla110[[#This Row],[Producto]],'NUEVAS LISTAS'!$B$3:$P$403,'Ventas '!X$6,FALSE)</f>
        <v>17549</v>
      </c>
      <c r="Y75" s="278">
        <f>VLOOKUP(Tabla110[[#This Row],[Producto]],'NUEVAS LISTAS'!$B$3:$P$403,'Ventas '!Y$6,FALSE)</f>
        <v>18449</v>
      </c>
      <c r="Z75" s="278">
        <f>VLOOKUP(Tabla110[[#This Row],[Producto]],'NUEVAS LISTAS'!$B$3:$P$403,'Ventas '!Z$6,FALSE)</f>
        <v>19399</v>
      </c>
      <c r="AA75" s="543">
        <f>IF(AB75&lt;$AC$2,0,IF(Tabla110[[#This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75" s="539">
        <f>SUMIFS(Tabla110[[#All],[Venta Total]],Tabla110[[#All],[Asesor]],Tabla110[[#This Row],[Asesor]],Tabla110[[#All],[Fecha Cobranza]],"&lt;="&amp;Tabla110[[#This Row],[Fecha Cobranza]],Tabla110[[#All],[Fecha Cobranza]],"&gt;="&amp;Tabla110[[#This Row],[Fecha Cobranza]]-28)</f>
        <v>1053628.7308</v>
      </c>
      <c r="AC75" s="542">
        <f t="shared" si="3"/>
        <v>0</v>
      </c>
      <c r="AD75" s="544">
        <f t="shared" si="4"/>
        <v>2.2499999999999999E-2</v>
      </c>
      <c r="AE75" s="545">
        <f>+AD75*Tabla110[[#This Row],[Venta Total]]</f>
        <v>407.22759899999994</v>
      </c>
    </row>
    <row r="76" spans="1:31" x14ac:dyDescent="0.2">
      <c r="A76" s="264">
        <v>46006</v>
      </c>
      <c r="B76" s="274" t="str">
        <f t="shared" ref="B76:B86" si="19">TEXT(A76,"mmmm")</f>
        <v>December</v>
      </c>
      <c r="C76" s="265" t="s">
        <v>277</v>
      </c>
      <c r="D76" s="266" t="str">
        <f>VLOOKUP(Tabla110[[#This Row],[Asesor]],Tabla2[[Asesores]:[TIPO]],2,0)</f>
        <v>INTERNO</v>
      </c>
      <c r="E76" s="268" t="s">
        <v>897</v>
      </c>
      <c r="F76" s="267" t="s">
        <v>3810</v>
      </c>
      <c r="G76" s="50" t="s">
        <v>211</v>
      </c>
      <c r="H76" s="269">
        <v>2</v>
      </c>
      <c r="I76" s="275">
        <v>2949</v>
      </c>
      <c r="J76" s="260">
        <f>+Tabla110[[#This Row],[Precio Bruto]]*1.16</f>
        <v>3420.8399999999997</v>
      </c>
      <c r="L76" s="270">
        <f>++(Tabla110[[#This Row],[Precio Unitario Neto]]*Tabla110[[#This Row],[Cantidad]])-(Tabla110[[#This Row],[Cantidad]]*Tabla110[[#This Row],[Apoyo]])</f>
        <v>6841.6799999999994</v>
      </c>
      <c r="M76" s="270" t="e">
        <f>((INDEX(Tabla6[#All],MATCH(Tabla110[[#This Row],[Producto]],Tabla6[[#All],[PRODUCTO]],0),MATCH(Tabla110[[#This Row],[Mes]],Tabla6[#Headers],0)))*(1+(IF(Tabla110[[#This Row],[FLETE]]="no",Catalogos!$M$2,Catalogos!$L$2))))</f>
        <v>#N/A</v>
      </c>
      <c r="N76" s="270" t="e">
        <f>+IF((Tabla110[[#This Row],[Precio Unitario Neto]]-Tabla110[[#This Row],[Apoyo]]-Tabla110[[#This Row],[COSTO + INDI]])&lt;=0,0,(Tabla110[[#This Row],[Precio Unitario Neto]]-Tabla110[[#This Row],[Apoyo]]-Tabla110[[#This Row],[COSTO + INDI]]))</f>
        <v>#N/A</v>
      </c>
      <c r="O76" s="258" t="e">
        <f>++Tabla110[[#This Row],[Utilidad Neta x Eq.]]*Tabla110[[#This Row],[Cantidad]]</f>
        <v>#N/A</v>
      </c>
      <c r="P76" s="271" t="e">
        <f>++Tabla110[[#This Row],[Utilidad Neta Total]]/Tabla110[[#This Row],[Venta Total]]</f>
        <v>#N/A</v>
      </c>
      <c r="Q76" s="258" t="s">
        <v>604</v>
      </c>
      <c r="R76" s="272" t="e">
        <f>INDEX(Tabla6[#All],MATCH(Tabla110[[#This Row],[Producto]],Tabla6[[#All],[PRODUCTO]],0),MATCH(Tabla110[[#This Row],[Mes]],Tabla6[#Headers],0))</f>
        <v>#N/A</v>
      </c>
      <c r="S76" s="260" t="e">
        <f>++Tabla110[[#This Row],[Precio Unitario Neto]]-Tabla110[[#This Row],[Apoyo]]-Tabla110[[#This Row],[Costo unitario]]</f>
        <v>#N/A</v>
      </c>
      <c r="T76" s="273" t="e">
        <f>+Tabla110[[#This Row],[Utilidad Bruta]]*Tabla110[[#This Row],[Cantidad]]</f>
        <v>#N/A</v>
      </c>
      <c r="U76" s="404" t="e">
        <f>++Tabla110[[#This Row],[Utilidad Bruta Total]]*$V$1</f>
        <v>#N/A</v>
      </c>
      <c r="V76" s="278" t="e">
        <f>++Tabla110[[#This Row],[Utilidad Bruta Total]]*$V$1</f>
        <v>#N/A</v>
      </c>
      <c r="W76" s="278">
        <f>VLOOKUP(Tabla110[[#This Row],[Producto]],'NUEVAS LISTAS'!$B$3:$P$403,'Ventas '!W$6,FALSE)</f>
        <v>2519</v>
      </c>
      <c r="X76" s="278">
        <f>VLOOKUP(Tabla110[[#This Row],[Producto]],'NUEVAS LISTAS'!$B$3:$P$403,'Ventas '!X$6,FALSE)</f>
        <v>2649</v>
      </c>
      <c r="Y76" s="278">
        <f>VLOOKUP(Tabla110[[#This Row],[Producto]],'NUEVAS LISTAS'!$B$3:$P$403,'Ventas '!Y$6,FALSE)</f>
        <v>2789</v>
      </c>
      <c r="Z76" s="278">
        <f>VLOOKUP(Tabla110[[#This Row],[Producto]],'NUEVAS LISTAS'!$B$3:$P$403,'Ventas '!Z$6,FALSE)</f>
        <v>2939</v>
      </c>
      <c r="AA76" s="543">
        <f>IF(AB76&lt;$AC$2,0,IF(Tabla110[[#This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76" s="539">
        <f>SUMIFS(Tabla110[[#All],[Venta Total]],Tabla110[[#All],[Asesor]],Tabla110[[#This Row],[Asesor]],Tabla110[[#All],[Fecha Cobranza]],"&lt;="&amp;Tabla110[[#This Row],[Fecha Cobranza]],Tabla110[[#All],[Fecha Cobranza]],"&gt;="&amp;Tabla110[[#This Row],[Fecha Cobranza]]-28)</f>
        <v>1053628.7308</v>
      </c>
      <c r="AC76" s="542">
        <f t="shared" ref="AC76:AC139" si="20">IF(AB76&gt;=$AA$1,HLOOKUP(AA76,$W$1:$Z$5,5,FALSE),IF(AB76&gt;=$AA$2,HLOOKUP(AA76,$W$1:$Z$5,4,FALSE),IF(AB76&gt;=$AA$3,HLOOKUP(AA76,$W$1:$Z$5,3,FALSE),IF(AB76&gt;=$AA$4,HLOOKUP(AA76,$W$1:$Z$5,2,FALSE),0))))</f>
        <v>0</v>
      </c>
      <c r="AD76" s="544">
        <f t="shared" ref="AD76:AD139" si="21">+AC76+AA76</f>
        <v>2.75E-2</v>
      </c>
      <c r="AE76" s="545">
        <f>+AD76*Tabla110[[#This Row],[Venta Total]]</f>
        <v>188.14619999999999</v>
      </c>
    </row>
    <row r="77" spans="1:31" x14ac:dyDescent="0.2">
      <c r="A77" s="264">
        <v>46006</v>
      </c>
      <c r="B77" s="274" t="str">
        <f t="shared" si="19"/>
        <v>December</v>
      </c>
      <c r="C77" s="265" t="s">
        <v>277</v>
      </c>
      <c r="D77" s="266" t="str">
        <f>VLOOKUP(Tabla110[[#This Row],[Asesor]],Tabla2[[Asesores]:[TIPO]],2,0)</f>
        <v>INTERNO</v>
      </c>
      <c r="E77" s="268" t="s">
        <v>897</v>
      </c>
      <c r="F77" s="267" t="s">
        <v>3810</v>
      </c>
      <c r="G77" s="50" t="s">
        <v>16</v>
      </c>
      <c r="H77" s="269">
        <v>2</v>
      </c>
      <c r="I77" s="275">
        <v>3906.77</v>
      </c>
      <c r="J77" s="260">
        <f>+Tabla110[[#This Row],[Precio Bruto]]*1.16</f>
        <v>4531.8531999999996</v>
      </c>
      <c r="L77" s="270">
        <f>++(Tabla110[[#This Row],[Precio Unitario Neto]]*Tabla110[[#This Row],[Cantidad]])-(Tabla110[[#This Row],[Cantidad]]*Tabla110[[#This Row],[Apoyo]])</f>
        <v>9063.7063999999991</v>
      </c>
      <c r="M77" s="270" t="e">
        <f>((INDEX(Tabla6[#All],MATCH(Tabla110[[#This Row],[Producto]],Tabla6[[#All],[PRODUCTO]],0),MATCH(Tabla110[[#This Row],[Mes]],Tabla6[#Headers],0)))*(1+(IF(Tabla110[[#This Row],[FLETE]]="no",Catalogos!$M$2,Catalogos!$L$2))))</f>
        <v>#N/A</v>
      </c>
      <c r="N77" s="270" t="e">
        <f>+IF((Tabla110[[#This Row],[Precio Unitario Neto]]-Tabla110[[#This Row],[Apoyo]]-Tabla110[[#This Row],[COSTO + INDI]])&lt;=0,0,(Tabla110[[#This Row],[Precio Unitario Neto]]-Tabla110[[#This Row],[Apoyo]]-Tabla110[[#This Row],[COSTO + INDI]]))</f>
        <v>#N/A</v>
      </c>
      <c r="O77" s="258" t="e">
        <f>++Tabla110[[#This Row],[Utilidad Neta x Eq.]]*Tabla110[[#This Row],[Cantidad]]</f>
        <v>#N/A</v>
      </c>
      <c r="P77" s="271" t="e">
        <f>++Tabla110[[#This Row],[Utilidad Neta Total]]/Tabla110[[#This Row],[Venta Total]]</f>
        <v>#N/A</v>
      </c>
      <c r="Q77" s="258" t="s">
        <v>604</v>
      </c>
      <c r="R77" s="272" t="e">
        <f>INDEX(Tabla6[#All],MATCH(Tabla110[[#This Row],[Producto]],Tabla6[[#All],[PRODUCTO]],0),MATCH(Tabla110[[#This Row],[Mes]],Tabla6[#Headers],0))</f>
        <v>#N/A</v>
      </c>
      <c r="S77" s="260" t="e">
        <f>++Tabla110[[#This Row],[Precio Unitario Neto]]-Tabla110[[#This Row],[Apoyo]]-Tabla110[[#This Row],[Costo unitario]]</f>
        <v>#N/A</v>
      </c>
      <c r="T77" s="273" t="e">
        <f>+Tabla110[[#This Row],[Utilidad Bruta]]*Tabla110[[#This Row],[Cantidad]]</f>
        <v>#N/A</v>
      </c>
      <c r="U77" s="404" t="e">
        <f>++Tabla110[[#This Row],[Utilidad Bruta Total]]*$V$1</f>
        <v>#N/A</v>
      </c>
      <c r="V77" s="278" t="e">
        <f>++Tabla110[[#This Row],[Utilidad Bruta Total]]*$V$1</f>
        <v>#N/A</v>
      </c>
      <c r="W77" s="278">
        <f>VLOOKUP(Tabla110[[#This Row],[Producto]],'NUEVAS LISTAS'!$B$3:$P$403,'Ventas '!W$6,FALSE)</f>
        <v>3049</v>
      </c>
      <c r="X77" s="278">
        <f>VLOOKUP(Tabla110[[#This Row],[Producto]],'NUEVAS LISTAS'!$B$3:$P$403,'Ventas '!X$6,FALSE)</f>
        <v>3199</v>
      </c>
      <c r="Y77" s="278">
        <f>VLOOKUP(Tabla110[[#This Row],[Producto]],'NUEVAS LISTAS'!$B$3:$P$403,'Ventas '!Y$6,FALSE)</f>
        <v>3349</v>
      </c>
      <c r="Z77" s="278">
        <f>VLOOKUP(Tabla110[[#This Row],[Producto]],'NUEVAS LISTAS'!$B$3:$P$403,'Ventas '!Z$6,FALSE)</f>
        <v>3549</v>
      </c>
      <c r="AA77" s="543">
        <f>IF(AB77&lt;$AC$2,0,IF(Tabla110[[#This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77" s="539">
        <f>SUMIFS(Tabla110[[#All],[Venta Total]],Tabla110[[#All],[Asesor]],Tabla110[[#This Row],[Asesor]],Tabla110[[#All],[Fecha Cobranza]],"&lt;="&amp;Tabla110[[#This Row],[Fecha Cobranza]],Tabla110[[#All],[Fecha Cobranza]],"&gt;="&amp;Tabla110[[#This Row],[Fecha Cobranza]]-28)</f>
        <v>1053628.7308</v>
      </c>
      <c r="AC77" s="542">
        <f t="shared" si="20"/>
        <v>0</v>
      </c>
      <c r="AD77" s="544">
        <f t="shared" si="21"/>
        <v>2.75E-2</v>
      </c>
      <c r="AE77" s="545">
        <f>+AD77*Tabla110[[#This Row],[Venta Total]]</f>
        <v>249.25192599999997</v>
      </c>
    </row>
    <row r="78" spans="1:31" x14ac:dyDescent="0.2">
      <c r="A78" s="264">
        <v>46006</v>
      </c>
      <c r="B78" s="274" t="str">
        <f t="shared" si="19"/>
        <v>December</v>
      </c>
      <c r="C78" s="265" t="s">
        <v>277</v>
      </c>
      <c r="D78" s="266" t="str">
        <f>VLOOKUP(Tabla110[[#This Row],[Asesor]],Tabla2[[Asesores]:[TIPO]],2,0)</f>
        <v>INTERNO</v>
      </c>
      <c r="E78" s="268" t="s">
        <v>897</v>
      </c>
      <c r="F78" s="267" t="s">
        <v>3810</v>
      </c>
      <c r="G78" s="50" t="s">
        <v>380</v>
      </c>
      <c r="H78" s="269">
        <v>170</v>
      </c>
      <c r="I78" s="275">
        <v>14.020000000000001</v>
      </c>
      <c r="J78" s="260">
        <f>+Tabla110[[#This Row],[Precio Bruto]]*1.16</f>
        <v>16.263200000000001</v>
      </c>
      <c r="L78" s="270">
        <f>++(Tabla110[[#This Row],[Precio Unitario Neto]]*Tabla110[[#This Row],[Cantidad]])-(Tabla110[[#This Row],[Cantidad]]*Tabla110[[#This Row],[Apoyo]])</f>
        <v>2764.7440000000001</v>
      </c>
      <c r="M78" s="270" t="e">
        <f>((INDEX(Tabla6[#All],MATCH(Tabla110[[#This Row],[Producto]],Tabla6[[#All],[PRODUCTO]],0),MATCH(Tabla110[[#This Row],[Mes]],Tabla6[#Headers],0)))*(1+(IF(Tabla110[[#This Row],[FLETE]]="no",Catalogos!$M$2,Catalogos!$L$2))))</f>
        <v>#N/A</v>
      </c>
      <c r="N78" s="270" t="e">
        <f>+IF((Tabla110[[#This Row],[Precio Unitario Neto]]-Tabla110[[#This Row],[Apoyo]]-Tabla110[[#This Row],[COSTO + INDI]])&lt;=0,0,(Tabla110[[#This Row],[Precio Unitario Neto]]-Tabla110[[#This Row],[Apoyo]]-Tabla110[[#This Row],[COSTO + INDI]]))</f>
        <v>#N/A</v>
      </c>
      <c r="O78" s="258" t="e">
        <f>++Tabla110[[#This Row],[Utilidad Neta x Eq.]]*Tabla110[[#This Row],[Cantidad]]</f>
        <v>#N/A</v>
      </c>
      <c r="P78" s="271" t="e">
        <f>++Tabla110[[#This Row],[Utilidad Neta Total]]/Tabla110[[#This Row],[Venta Total]]</f>
        <v>#N/A</v>
      </c>
      <c r="Q78" s="258" t="s">
        <v>604</v>
      </c>
      <c r="R78" s="272" t="e">
        <f>INDEX(Tabla6[#All],MATCH(Tabla110[[#This Row],[Producto]],Tabla6[[#All],[PRODUCTO]],0),MATCH(Tabla110[[#This Row],[Mes]],Tabla6[#Headers],0))</f>
        <v>#N/A</v>
      </c>
      <c r="S78" s="260" t="e">
        <f>++Tabla110[[#This Row],[Precio Unitario Neto]]-Tabla110[[#This Row],[Apoyo]]-Tabla110[[#This Row],[Costo unitario]]</f>
        <v>#N/A</v>
      </c>
      <c r="T78" s="273" t="e">
        <f>+Tabla110[[#This Row],[Utilidad Bruta]]*Tabla110[[#This Row],[Cantidad]]</f>
        <v>#N/A</v>
      </c>
      <c r="U78" s="404" t="e">
        <f>++Tabla110[[#This Row],[Utilidad Bruta Total]]*$V$1</f>
        <v>#N/A</v>
      </c>
      <c r="V78" s="278" t="e">
        <f>++Tabla110[[#This Row],[Utilidad Bruta Total]]*$V$1</f>
        <v>#N/A</v>
      </c>
      <c r="W78" s="278">
        <f>VLOOKUP(Tabla110[[#This Row],[Producto]],'NUEVAS LISTAS'!$B$3:$P$403,'Ventas '!W$6,FALSE)</f>
        <v>2</v>
      </c>
      <c r="X78" s="278">
        <f>VLOOKUP(Tabla110[[#This Row],[Producto]],'NUEVAS LISTAS'!$B$3:$P$403,'Ventas '!X$6,FALSE)</f>
        <v>2.2222222222222223</v>
      </c>
      <c r="Y78" s="278">
        <f>VLOOKUP(Tabla110[[#This Row],[Producto]],'NUEVAS LISTAS'!$B$3:$P$403,'Ventas '!Y$6,FALSE)</f>
        <v>2.7100271002710028</v>
      </c>
      <c r="Z78" s="278">
        <f>VLOOKUP(Tabla110[[#This Row],[Producto]],'NUEVAS LISTAS'!$B$3:$P$403,'Ventas '!Z$6,FALSE)</f>
        <v>3.3875338753387534</v>
      </c>
      <c r="AA78" s="543">
        <f>IF(AB78&lt;$AC$2,0,IF(Tabla110[[#This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78" s="539">
        <f>SUMIFS(Tabla110[[#All],[Venta Total]],Tabla110[[#All],[Asesor]],Tabla110[[#This Row],[Asesor]],Tabla110[[#All],[Fecha Cobranza]],"&lt;="&amp;Tabla110[[#This Row],[Fecha Cobranza]],Tabla110[[#All],[Fecha Cobranza]],"&gt;="&amp;Tabla110[[#This Row],[Fecha Cobranza]]-28)</f>
        <v>1053628.7308</v>
      </c>
      <c r="AC78" s="542">
        <f t="shared" si="20"/>
        <v>0</v>
      </c>
      <c r="AD78" s="544">
        <f t="shared" si="21"/>
        <v>2.75E-2</v>
      </c>
      <c r="AE78" s="545">
        <f>+AD78*Tabla110[[#This Row],[Venta Total]]</f>
        <v>76.030460000000005</v>
      </c>
    </row>
    <row r="79" spans="1:31" x14ac:dyDescent="0.2">
      <c r="A79" s="264">
        <v>46006</v>
      </c>
      <c r="B79" s="274" t="str">
        <f t="shared" si="19"/>
        <v>December</v>
      </c>
      <c r="C79" s="265" t="s">
        <v>277</v>
      </c>
      <c r="D79" s="266" t="str">
        <f>VLOOKUP(Tabla110[[#This Row],[Asesor]],Tabla2[[Asesores]:[TIPO]],2,0)</f>
        <v>INTERNO</v>
      </c>
      <c r="E79" s="268" t="s">
        <v>897</v>
      </c>
      <c r="F79" s="267" t="s">
        <v>3810</v>
      </c>
      <c r="G79" s="50" t="s">
        <v>208</v>
      </c>
      <c r="H79" s="269">
        <v>5</v>
      </c>
      <c r="I79" s="275">
        <v>119.83</v>
      </c>
      <c r="J79" s="260">
        <f>+Tabla110[[#This Row],[Precio Bruto]]*1.16</f>
        <v>139.00279999999998</v>
      </c>
      <c r="L79" s="270">
        <f>++(Tabla110[[#This Row],[Precio Unitario Neto]]*Tabla110[[#This Row],[Cantidad]])-(Tabla110[[#This Row],[Cantidad]]*Tabla110[[#This Row],[Apoyo]])</f>
        <v>695.0139999999999</v>
      </c>
      <c r="M79" s="270" t="e">
        <f>((INDEX(Tabla6[#All],MATCH(Tabla110[[#This Row],[Producto]],Tabla6[[#All],[PRODUCTO]],0),MATCH(Tabla110[[#This Row],[Mes]],Tabla6[#Headers],0)))*(1+(IF(Tabla110[[#This Row],[FLETE]]="no",Catalogos!$M$2,Catalogos!$L$2))))</f>
        <v>#N/A</v>
      </c>
      <c r="N79" s="270" t="e">
        <f>+IF((Tabla110[[#This Row],[Precio Unitario Neto]]-Tabla110[[#This Row],[Apoyo]]-Tabla110[[#This Row],[COSTO + INDI]])&lt;=0,0,(Tabla110[[#This Row],[Precio Unitario Neto]]-Tabla110[[#This Row],[Apoyo]]-Tabla110[[#This Row],[COSTO + INDI]]))</f>
        <v>#N/A</v>
      </c>
      <c r="O79" s="258" t="e">
        <f>++Tabla110[[#This Row],[Utilidad Neta x Eq.]]*Tabla110[[#This Row],[Cantidad]]</f>
        <v>#N/A</v>
      </c>
      <c r="P79" s="271" t="e">
        <f>++Tabla110[[#This Row],[Utilidad Neta Total]]/Tabla110[[#This Row],[Venta Total]]</f>
        <v>#N/A</v>
      </c>
      <c r="Q79" s="258" t="s">
        <v>604</v>
      </c>
      <c r="R79" s="272" t="e">
        <f>INDEX(Tabla6[#All],MATCH(Tabla110[[#This Row],[Producto]],Tabla6[[#All],[PRODUCTO]],0),MATCH(Tabla110[[#This Row],[Mes]],Tabla6[#Headers],0))</f>
        <v>#N/A</v>
      </c>
      <c r="S79" s="260" t="e">
        <f>++Tabla110[[#This Row],[Precio Unitario Neto]]-Tabla110[[#This Row],[Apoyo]]-Tabla110[[#This Row],[Costo unitario]]</f>
        <v>#N/A</v>
      </c>
      <c r="T79" s="273" t="e">
        <f>+Tabla110[[#This Row],[Utilidad Bruta]]*Tabla110[[#This Row],[Cantidad]]</f>
        <v>#N/A</v>
      </c>
      <c r="U79" s="404" t="e">
        <f>++Tabla110[[#This Row],[Utilidad Bruta Total]]*$V$1</f>
        <v>#N/A</v>
      </c>
      <c r="V79" s="278" t="e">
        <f>++Tabla110[[#This Row],[Utilidad Bruta Total]]*$V$1</f>
        <v>#N/A</v>
      </c>
      <c r="W79" s="278">
        <f>VLOOKUP(Tabla110[[#This Row],[Producto]],'NUEVAS LISTAS'!$B$3:$P$403,'Ventas '!W$6,FALSE)</f>
        <v>99</v>
      </c>
      <c r="X79" s="278">
        <f>VLOOKUP(Tabla110[[#This Row],[Producto]],'NUEVAS LISTAS'!$B$3:$P$403,'Ventas '!X$6,FALSE)</f>
        <v>104</v>
      </c>
      <c r="Y79" s="278">
        <f>VLOOKUP(Tabla110[[#This Row],[Producto]],'NUEVAS LISTAS'!$B$3:$P$403,'Ventas '!Y$6,FALSE)</f>
        <v>109</v>
      </c>
      <c r="Z79" s="278">
        <f>VLOOKUP(Tabla110[[#This Row],[Producto]],'NUEVAS LISTAS'!$B$3:$P$403,'Ventas '!Z$6,FALSE)</f>
        <v>114</v>
      </c>
      <c r="AA79" s="543">
        <f>IF(AB79&lt;$AC$2,0,IF(Tabla110[[#This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79" s="539">
        <f>SUMIFS(Tabla110[[#All],[Venta Total]],Tabla110[[#All],[Asesor]],Tabla110[[#This Row],[Asesor]],Tabla110[[#All],[Fecha Cobranza]],"&lt;="&amp;Tabla110[[#This Row],[Fecha Cobranza]],Tabla110[[#All],[Fecha Cobranza]],"&gt;="&amp;Tabla110[[#This Row],[Fecha Cobranza]]-28)</f>
        <v>1053628.7308</v>
      </c>
      <c r="AC79" s="542">
        <f t="shared" si="20"/>
        <v>0</v>
      </c>
      <c r="AD79" s="544">
        <f t="shared" si="21"/>
        <v>2.75E-2</v>
      </c>
      <c r="AE79" s="545">
        <f>+AD79*Tabla110[[#This Row],[Venta Total]]</f>
        <v>19.112884999999999</v>
      </c>
    </row>
    <row r="80" spans="1:31" x14ac:dyDescent="0.2">
      <c r="A80" s="264">
        <v>46006</v>
      </c>
      <c r="B80" s="274" t="str">
        <f t="shared" si="19"/>
        <v>December</v>
      </c>
      <c r="C80" s="265" t="s">
        <v>277</v>
      </c>
      <c r="D80" s="266" t="str">
        <f>VLOOKUP(Tabla110[[#This Row],[Asesor]],Tabla2[[Asesores]:[TIPO]],2,0)</f>
        <v>INTERNO</v>
      </c>
      <c r="E80" s="268" t="s">
        <v>897</v>
      </c>
      <c r="F80" s="267" t="s">
        <v>3810</v>
      </c>
      <c r="G80" s="50" t="s">
        <v>408</v>
      </c>
      <c r="H80" s="269">
        <v>27</v>
      </c>
      <c r="I80" s="275">
        <v>15.16</v>
      </c>
      <c r="J80" s="260">
        <f>+Tabla110[[#This Row],[Precio Bruto]]*1.16</f>
        <v>17.585599999999999</v>
      </c>
      <c r="L80" s="270">
        <f>++(Tabla110[[#This Row],[Precio Unitario Neto]]*Tabla110[[#This Row],[Cantidad]])-(Tabla110[[#This Row],[Cantidad]]*Tabla110[[#This Row],[Apoyo]])</f>
        <v>474.81119999999999</v>
      </c>
      <c r="M80" s="270" t="e">
        <f>((INDEX(Tabla6[#All],MATCH(Tabla110[[#This Row],[Producto]],Tabla6[[#All],[PRODUCTO]],0),MATCH(Tabla110[[#This Row],[Mes]],Tabla6[#Headers],0)))*(1+(IF(Tabla110[[#This Row],[FLETE]]="no",Catalogos!$M$2,Catalogos!$L$2))))</f>
        <v>#N/A</v>
      </c>
      <c r="N80" s="270" t="e">
        <f>+IF((Tabla110[[#This Row],[Precio Unitario Neto]]-Tabla110[[#This Row],[Apoyo]]-Tabla110[[#This Row],[COSTO + INDI]])&lt;=0,0,(Tabla110[[#This Row],[Precio Unitario Neto]]-Tabla110[[#This Row],[Apoyo]]-Tabla110[[#This Row],[COSTO + INDI]]))</f>
        <v>#N/A</v>
      </c>
      <c r="O80" s="258" t="e">
        <f>++Tabla110[[#This Row],[Utilidad Neta x Eq.]]*Tabla110[[#This Row],[Cantidad]]</f>
        <v>#N/A</v>
      </c>
      <c r="P80" s="271" t="e">
        <f>++Tabla110[[#This Row],[Utilidad Neta Total]]/Tabla110[[#This Row],[Venta Total]]</f>
        <v>#N/A</v>
      </c>
      <c r="Q80" s="258" t="s">
        <v>604</v>
      </c>
      <c r="R80" s="272" t="e">
        <f>INDEX(Tabla6[#All],MATCH(Tabla110[[#This Row],[Producto]],Tabla6[[#All],[PRODUCTO]],0),MATCH(Tabla110[[#This Row],[Mes]],Tabla6[#Headers],0))</f>
        <v>#N/A</v>
      </c>
      <c r="S80" s="260" t="e">
        <f>++Tabla110[[#This Row],[Precio Unitario Neto]]-Tabla110[[#This Row],[Apoyo]]-Tabla110[[#This Row],[Costo unitario]]</f>
        <v>#N/A</v>
      </c>
      <c r="T80" s="273" t="e">
        <f>+Tabla110[[#This Row],[Utilidad Bruta]]*Tabla110[[#This Row],[Cantidad]]</f>
        <v>#N/A</v>
      </c>
      <c r="U80" s="404" t="e">
        <f>++Tabla110[[#This Row],[Utilidad Bruta Total]]*$V$1</f>
        <v>#N/A</v>
      </c>
      <c r="V80" s="278" t="e">
        <f>++Tabla110[[#This Row],[Utilidad Bruta Total]]*$V$1</f>
        <v>#N/A</v>
      </c>
      <c r="W80" s="278">
        <f>VLOOKUP(Tabla110[[#This Row],[Producto]],'NUEVAS LISTAS'!$B$3:$P$403,'Ventas '!W$6,FALSE)</f>
        <v>1</v>
      </c>
      <c r="X80" s="278">
        <f>VLOOKUP(Tabla110[[#This Row],[Producto]],'NUEVAS LISTAS'!$B$3:$P$403,'Ventas '!X$6,FALSE)</f>
        <v>1.1111111111111112</v>
      </c>
      <c r="Y80" s="278">
        <f>VLOOKUP(Tabla110[[#This Row],[Producto]],'NUEVAS LISTAS'!$B$3:$P$403,'Ventas '!Y$6,FALSE)</f>
        <v>1.3550135501355014</v>
      </c>
      <c r="Z80" s="278">
        <f>VLOOKUP(Tabla110[[#This Row],[Producto]],'NUEVAS LISTAS'!$B$3:$P$403,'Ventas '!Z$6,FALSE)</f>
        <v>1.6937669376693767</v>
      </c>
      <c r="AA80" s="543">
        <f>IF(AB80&lt;$AC$2,0,IF(Tabla110[[#This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80" s="539">
        <f>SUMIFS(Tabla110[[#All],[Venta Total]],Tabla110[[#All],[Asesor]],Tabla110[[#This Row],[Asesor]],Tabla110[[#All],[Fecha Cobranza]],"&lt;="&amp;Tabla110[[#This Row],[Fecha Cobranza]],Tabla110[[#All],[Fecha Cobranza]],"&gt;="&amp;Tabla110[[#This Row],[Fecha Cobranza]]-28)</f>
        <v>1053628.7308</v>
      </c>
      <c r="AC80" s="542">
        <f t="shared" si="20"/>
        <v>0</v>
      </c>
      <c r="AD80" s="544">
        <f t="shared" si="21"/>
        <v>2.75E-2</v>
      </c>
      <c r="AE80" s="545">
        <f>+AD80*Tabla110[[#This Row],[Venta Total]]</f>
        <v>13.057307999999999</v>
      </c>
    </row>
    <row r="81" spans="1:31" x14ac:dyDescent="0.2">
      <c r="A81" s="264">
        <v>46006</v>
      </c>
      <c r="B81" s="274" t="str">
        <f t="shared" si="19"/>
        <v>December</v>
      </c>
      <c r="C81" s="265" t="s">
        <v>277</v>
      </c>
      <c r="D81" s="266" t="str">
        <f>VLOOKUP(Tabla110[[#This Row],[Asesor]],Tabla2[[Asesores]:[TIPO]],2,0)</f>
        <v>INTERNO</v>
      </c>
      <c r="E81" s="268" t="s">
        <v>897</v>
      </c>
      <c r="F81" s="267" t="s">
        <v>3810</v>
      </c>
      <c r="G81" s="50" t="s">
        <v>31</v>
      </c>
      <c r="H81" s="269">
        <v>8</v>
      </c>
      <c r="I81" s="275">
        <v>3016.38</v>
      </c>
      <c r="J81" s="260">
        <f>+Tabla110[[#This Row],[Precio Bruto]]*1.16</f>
        <v>3499.0007999999998</v>
      </c>
      <c r="L81" s="270">
        <f>++(Tabla110[[#This Row],[Precio Unitario Neto]]*Tabla110[[#This Row],[Cantidad]])-(Tabla110[[#This Row],[Cantidad]]*Tabla110[[#This Row],[Apoyo]])</f>
        <v>27992.006399999998</v>
      </c>
      <c r="M81" s="270" t="e">
        <f>((INDEX(Tabla6[#All],MATCH(Tabla110[[#This Row],[Producto]],Tabla6[[#All],[PRODUCTO]],0),MATCH(Tabla110[[#This Row],[Mes]],Tabla6[#Headers],0)))*(1+(IF(Tabla110[[#This Row],[FLETE]]="no",Catalogos!$M$2,Catalogos!$L$2))))</f>
        <v>#N/A</v>
      </c>
      <c r="N81" s="270" t="e">
        <f>+IF((Tabla110[[#This Row],[Precio Unitario Neto]]-Tabla110[[#This Row],[Apoyo]]-Tabla110[[#This Row],[COSTO + INDI]])&lt;=0,0,(Tabla110[[#This Row],[Precio Unitario Neto]]-Tabla110[[#This Row],[Apoyo]]-Tabla110[[#This Row],[COSTO + INDI]]))</f>
        <v>#N/A</v>
      </c>
      <c r="O81" s="258" t="e">
        <f>++Tabla110[[#This Row],[Utilidad Neta x Eq.]]*Tabla110[[#This Row],[Cantidad]]</f>
        <v>#N/A</v>
      </c>
      <c r="P81" s="271" t="e">
        <f>++Tabla110[[#This Row],[Utilidad Neta Total]]/Tabla110[[#This Row],[Venta Total]]</f>
        <v>#N/A</v>
      </c>
      <c r="Q81" s="258" t="s">
        <v>604</v>
      </c>
      <c r="R81" s="272" t="e">
        <f>INDEX(Tabla6[#All],MATCH(Tabla110[[#This Row],[Producto]],Tabla6[[#All],[PRODUCTO]],0),MATCH(Tabla110[[#This Row],[Mes]],Tabla6[#Headers],0))</f>
        <v>#N/A</v>
      </c>
      <c r="S81" s="260" t="e">
        <f>++Tabla110[[#This Row],[Precio Unitario Neto]]-Tabla110[[#This Row],[Apoyo]]-Tabla110[[#This Row],[Costo unitario]]</f>
        <v>#N/A</v>
      </c>
      <c r="T81" s="273" t="e">
        <f>+Tabla110[[#This Row],[Utilidad Bruta]]*Tabla110[[#This Row],[Cantidad]]</f>
        <v>#N/A</v>
      </c>
      <c r="U81" s="404" t="e">
        <f>++Tabla110[[#This Row],[Utilidad Bruta Total]]*$V$1</f>
        <v>#N/A</v>
      </c>
      <c r="V81" s="278" t="e">
        <f>++Tabla110[[#This Row],[Utilidad Bruta Total]]*$V$1</f>
        <v>#N/A</v>
      </c>
      <c r="W81" s="278">
        <f>VLOOKUP(Tabla110[[#This Row],[Producto]],'NUEVAS LISTAS'!$B$3:$P$403,'Ventas '!W$6,FALSE)</f>
        <v>3259</v>
      </c>
      <c r="X81" s="278">
        <f>VLOOKUP(Tabla110[[#This Row],[Producto]],'NUEVAS LISTAS'!$B$3:$P$403,'Ventas '!X$6,FALSE)</f>
        <v>3429</v>
      </c>
      <c r="Y81" s="278">
        <f>VLOOKUP(Tabla110[[#This Row],[Producto]],'NUEVAS LISTAS'!$B$3:$P$403,'Ventas '!Y$6,FALSE)</f>
        <v>3609</v>
      </c>
      <c r="Z81" s="278">
        <f>VLOOKUP(Tabla110[[#This Row],[Producto]],'NUEVAS LISTAS'!$B$3:$P$403,'Ventas '!Z$6,FALSE)</f>
        <v>3799</v>
      </c>
      <c r="AA81" s="543">
        <f>IF(AB81&lt;$AC$2,0,IF(Tabla110[[#This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1" s="539">
        <f>SUMIFS(Tabla110[[#All],[Venta Total]],Tabla110[[#All],[Asesor]],Tabla110[[#This Row],[Asesor]],Tabla110[[#All],[Fecha Cobranza]],"&lt;="&amp;Tabla110[[#This Row],[Fecha Cobranza]],Tabla110[[#All],[Fecha Cobranza]],"&gt;="&amp;Tabla110[[#This Row],[Fecha Cobranza]]-28)</f>
        <v>1053628.7308</v>
      </c>
      <c r="AC81" s="542">
        <f t="shared" si="20"/>
        <v>0</v>
      </c>
      <c r="AD81" s="544">
        <f t="shared" si="21"/>
        <v>2.2499999999999999E-2</v>
      </c>
      <c r="AE81" s="545">
        <f>+AD81*Tabla110[[#This Row],[Venta Total]]</f>
        <v>629.82014399999991</v>
      </c>
    </row>
    <row r="82" spans="1:31" x14ac:dyDescent="0.2">
      <c r="A82" s="264">
        <v>46006</v>
      </c>
      <c r="B82" s="274" t="str">
        <f t="shared" si="19"/>
        <v>December</v>
      </c>
      <c r="C82" s="265" t="s">
        <v>277</v>
      </c>
      <c r="D82" s="266" t="str">
        <f>VLOOKUP(Tabla110[[#This Row],[Asesor]],Tabla2[[Asesores]:[TIPO]],2,0)</f>
        <v>INTERNO</v>
      </c>
      <c r="E82" s="268" t="s">
        <v>897</v>
      </c>
      <c r="F82" s="267" t="s">
        <v>3810</v>
      </c>
      <c r="G82" s="50" t="s">
        <v>30</v>
      </c>
      <c r="H82" s="269">
        <v>2</v>
      </c>
      <c r="I82" s="275">
        <v>2671.55</v>
      </c>
      <c r="J82" s="260">
        <f>+Tabla110[[#This Row],[Precio Bruto]]*1.16</f>
        <v>3098.998</v>
      </c>
      <c r="L82" s="270">
        <f>++(Tabla110[[#This Row],[Precio Unitario Neto]]*Tabla110[[#This Row],[Cantidad]])-(Tabla110[[#This Row],[Cantidad]]*Tabla110[[#This Row],[Apoyo]])</f>
        <v>6197.9960000000001</v>
      </c>
      <c r="M82" s="270" t="e">
        <f>((INDEX(Tabla6[#All],MATCH(Tabla110[[#This Row],[Producto]],Tabla6[[#All],[PRODUCTO]],0),MATCH(Tabla110[[#This Row],[Mes]],Tabla6[#Headers],0)))*(1+(IF(Tabla110[[#This Row],[FLETE]]="no",Catalogos!$M$2,Catalogos!$L$2))))</f>
        <v>#N/A</v>
      </c>
      <c r="N82" s="270" t="e">
        <f>+IF((Tabla110[[#This Row],[Precio Unitario Neto]]-Tabla110[[#This Row],[Apoyo]]-Tabla110[[#This Row],[COSTO + INDI]])&lt;=0,0,(Tabla110[[#This Row],[Precio Unitario Neto]]-Tabla110[[#This Row],[Apoyo]]-Tabla110[[#This Row],[COSTO + INDI]]))</f>
        <v>#N/A</v>
      </c>
      <c r="O82" s="258" t="e">
        <f>++Tabla110[[#This Row],[Utilidad Neta x Eq.]]*Tabla110[[#This Row],[Cantidad]]</f>
        <v>#N/A</v>
      </c>
      <c r="P82" s="271" t="e">
        <f>++Tabla110[[#This Row],[Utilidad Neta Total]]/Tabla110[[#This Row],[Venta Total]]</f>
        <v>#N/A</v>
      </c>
      <c r="Q82" s="258" t="s">
        <v>604</v>
      </c>
      <c r="R82" s="272" t="e">
        <f>INDEX(Tabla6[#All],MATCH(Tabla110[[#This Row],[Producto]],Tabla6[[#All],[PRODUCTO]],0),MATCH(Tabla110[[#This Row],[Mes]],Tabla6[#Headers],0))</f>
        <v>#N/A</v>
      </c>
      <c r="S82" s="260" t="e">
        <f>++Tabla110[[#This Row],[Precio Unitario Neto]]-Tabla110[[#This Row],[Apoyo]]-Tabla110[[#This Row],[Costo unitario]]</f>
        <v>#N/A</v>
      </c>
      <c r="T82" s="273" t="e">
        <f>+Tabla110[[#This Row],[Utilidad Bruta]]*Tabla110[[#This Row],[Cantidad]]</f>
        <v>#N/A</v>
      </c>
      <c r="U82" s="404" t="e">
        <f>++Tabla110[[#This Row],[Utilidad Bruta Total]]*$V$1</f>
        <v>#N/A</v>
      </c>
      <c r="V82" s="278" t="e">
        <f>++Tabla110[[#This Row],[Utilidad Bruta Total]]*$V$1</f>
        <v>#N/A</v>
      </c>
      <c r="W82" s="278">
        <f>VLOOKUP(Tabla110[[#This Row],[Producto]],'NUEVAS LISTAS'!$B$3:$P$403,'Ventas '!W$6,FALSE)</f>
        <v>2859</v>
      </c>
      <c r="X82" s="278">
        <f>VLOOKUP(Tabla110[[#This Row],[Producto]],'NUEVAS LISTAS'!$B$3:$P$403,'Ventas '!X$6,FALSE)</f>
        <v>3009</v>
      </c>
      <c r="Y82" s="278">
        <f>VLOOKUP(Tabla110[[#This Row],[Producto]],'NUEVAS LISTAS'!$B$3:$P$403,'Ventas '!Y$6,FALSE)</f>
        <v>3169</v>
      </c>
      <c r="Z82" s="278">
        <f>VLOOKUP(Tabla110[[#This Row],[Producto]],'NUEVAS LISTAS'!$B$3:$P$403,'Ventas '!Z$6,FALSE)</f>
        <v>3339</v>
      </c>
      <c r="AA82" s="543">
        <f>IF(AB82&lt;$AC$2,0,IF(Tabla110[[#This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2" s="539">
        <f>SUMIFS(Tabla110[[#All],[Venta Total]],Tabla110[[#All],[Asesor]],Tabla110[[#This Row],[Asesor]],Tabla110[[#All],[Fecha Cobranza]],"&lt;="&amp;Tabla110[[#This Row],[Fecha Cobranza]],Tabla110[[#All],[Fecha Cobranza]],"&gt;="&amp;Tabla110[[#This Row],[Fecha Cobranza]]-28)</f>
        <v>1053628.7308</v>
      </c>
      <c r="AC82" s="542">
        <f t="shared" si="20"/>
        <v>0</v>
      </c>
      <c r="AD82" s="544">
        <f t="shared" si="21"/>
        <v>2.2499999999999999E-2</v>
      </c>
      <c r="AE82" s="545">
        <f>+AD82*Tabla110[[#This Row],[Venta Total]]</f>
        <v>139.45490999999998</v>
      </c>
    </row>
    <row r="83" spans="1:31" x14ac:dyDescent="0.2">
      <c r="A83" s="264">
        <v>46006</v>
      </c>
      <c r="B83" s="274" t="str">
        <f t="shared" si="19"/>
        <v>December</v>
      </c>
      <c r="C83" s="265" t="s">
        <v>277</v>
      </c>
      <c r="D83" s="266" t="str">
        <f>VLOOKUP(Tabla110[[#This Row],[Asesor]],Tabla2[[Asesores]:[TIPO]],2,0)</f>
        <v>INTERNO</v>
      </c>
      <c r="E83" s="268" t="s">
        <v>897</v>
      </c>
      <c r="F83" s="267" t="s">
        <v>3810</v>
      </c>
      <c r="G83" s="50" t="s">
        <v>228</v>
      </c>
      <c r="H83" s="269">
        <v>1</v>
      </c>
      <c r="I83" s="275">
        <v>7197.42</v>
      </c>
      <c r="J83" s="260">
        <f>+Tabla110[[#This Row],[Precio Bruto]]*1.16</f>
        <v>8349.0072</v>
      </c>
      <c r="L83" s="270">
        <f>++(Tabla110[[#This Row],[Precio Unitario Neto]]*Tabla110[[#This Row],[Cantidad]])-(Tabla110[[#This Row],[Cantidad]]*Tabla110[[#This Row],[Apoyo]])</f>
        <v>8349.0072</v>
      </c>
      <c r="M83" s="270" t="e">
        <f>((INDEX(Tabla6[#All],MATCH(Tabla110[[#This Row],[Producto]],Tabla6[[#All],[PRODUCTO]],0),MATCH(Tabla110[[#This Row],[Mes]],Tabla6[#Headers],0)))*(1+(IF(Tabla110[[#This Row],[FLETE]]="no",Catalogos!$M$2,Catalogos!$L$2))))</f>
        <v>#N/A</v>
      </c>
      <c r="N83" s="270" t="e">
        <f>+IF((Tabla110[[#This Row],[Precio Unitario Neto]]-Tabla110[[#This Row],[Apoyo]]-Tabla110[[#This Row],[COSTO + INDI]])&lt;=0,0,(Tabla110[[#This Row],[Precio Unitario Neto]]-Tabla110[[#This Row],[Apoyo]]-Tabla110[[#This Row],[COSTO + INDI]]))</f>
        <v>#N/A</v>
      </c>
      <c r="O83" s="258" t="e">
        <f>++Tabla110[[#This Row],[Utilidad Neta x Eq.]]*Tabla110[[#This Row],[Cantidad]]</f>
        <v>#N/A</v>
      </c>
      <c r="P83" s="271" t="e">
        <f>++Tabla110[[#This Row],[Utilidad Neta Total]]/Tabla110[[#This Row],[Venta Total]]</f>
        <v>#N/A</v>
      </c>
      <c r="Q83" s="258" t="s">
        <v>604</v>
      </c>
      <c r="R83" s="272" t="e">
        <f>INDEX(Tabla6[#All],MATCH(Tabla110[[#This Row],[Producto]],Tabla6[[#All],[PRODUCTO]],0),MATCH(Tabla110[[#This Row],[Mes]],Tabla6[#Headers],0))</f>
        <v>#N/A</v>
      </c>
      <c r="S83" s="260" t="e">
        <f>++Tabla110[[#This Row],[Precio Unitario Neto]]-Tabla110[[#This Row],[Apoyo]]-Tabla110[[#This Row],[Costo unitario]]</f>
        <v>#N/A</v>
      </c>
      <c r="T83" s="273" t="e">
        <f>+Tabla110[[#This Row],[Utilidad Bruta]]*Tabla110[[#This Row],[Cantidad]]</f>
        <v>#N/A</v>
      </c>
      <c r="U83" s="404" t="e">
        <f>++Tabla110[[#This Row],[Utilidad Bruta Total]]*$V$1</f>
        <v>#N/A</v>
      </c>
      <c r="V83" s="278" t="e">
        <f>++Tabla110[[#This Row],[Utilidad Bruta Total]]*$V$1</f>
        <v>#N/A</v>
      </c>
      <c r="W83" s="278">
        <f>VLOOKUP(Tabla110[[#This Row],[Producto]],'NUEVAS LISTAS'!$B$3:$P$403,'Ventas '!W$6,FALSE)</f>
        <v>7569</v>
      </c>
      <c r="X83" s="278">
        <f>VLOOKUP(Tabla110[[#This Row],[Producto]],'NUEVAS LISTAS'!$B$3:$P$403,'Ventas '!X$6,FALSE)</f>
        <v>7969</v>
      </c>
      <c r="Y83" s="278">
        <f>VLOOKUP(Tabla110[[#This Row],[Producto]],'NUEVAS LISTAS'!$B$3:$P$403,'Ventas '!Y$6,FALSE)</f>
        <v>8389</v>
      </c>
      <c r="Z83" s="278">
        <f>VLOOKUP(Tabla110[[#This Row],[Producto]],'NUEVAS LISTAS'!$B$3:$P$403,'Ventas '!Z$6,FALSE)</f>
        <v>8829</v>
      </c>
      <c r="AA83" s="543">
        <f>IF(AB83&lt;$AC$2,0,IF(Tabla110[[#This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3" s="539">
        <f>SUMIFS(Tabla110[[#All],[Venta Total]],Tabla110[[#All],[Asesor]],Tabla110[[#This Row],[Asesor]],Tabla110[[#All],[Fecha Cobranza]],"&lt;="&amp;Tabla110[[#This Row],[Fecha Cobranza]],Tabla110[[#All],[Fecha Cobranza]],"&gt;="&amp;Tabla110[[#This Row],[Fecha Cobranza]]-28)</f>
        <v>1053628.7308</v>
      </c>
      <c r="AC83" s="542">
        <f t="shared" si="20"/>
        <v>0</v>
      </c>
      <c r="AD83" s="544">
        <f t="shared" si="21"/>
        <v>2.2499999999999999E-2</v>
      </c>
      <c r="AE83" s="545">
        <f>+AD83*Tabla110[[#This Row],[Venta Total]]</f>
        <v>187.85266199999998</v>
      </c>
    </row>
    <row r="84" spans="1:31" x14ac:dyDescent="0.2">
      <c r="A84" s="264">
        <v>46006</v>
      </c>
      <c r="B84" s="274" t="str">
        <f t="shared" si="19"/>
        <v>December</v>
      </c>
      <c r="C84" s="265" t="s">
        <v>277</v>
      </c>
      <c r="D84" s="266" t="str">
        <f>VLOOKUP(Tabla110[[#This Row],[Asesor]],Tabla2[[Asesores]:[TIPO]],2,0)</f>
        <v>INTERNO</v>
      </c>
      <c r="E84" s="268" t="s">
        <v>897</v>
      </c>
      <c r="F84" s="267" t="s">
        <v>3810</v>
      </c>
      <c r="G84" s="50" t="s">
        <v>32</v>
      </c>
      <c r="H84" s="269">
        <v>1</v>
      </c>
      <c r="I84" s="275">
        <v>3490.52</v>
      </c>
      <c r="J84" s="260">
        <f>+Tabla110[[#This Row],[Precio Bruto]]*1.16</f>
        <v>4049.0031999999997</v>
      </c>
      <c r="L84" s="270">
        <f>++(Tabla110[[#This Row],[Precio Unitario Neto]]*Tabla110[[#This Row],[Cantidad]])-(Tabla110[[#This Row],[Cantidad]]*Tabla110[[#This Row],[Apoyo]])</f>
        <v>4049.0031999999997</v>
      </c>
      <c r="M84" s="270" t="e">
        <f>((INDEX(Tabla6[#All],MATCH(Tabla110[[#This Row],[Producto]],Tabla6[[#All],[PRODUCTO]],0),MATCH(Tabla110[[#This Row],[Mes]],Tabla6[#Headers],0)))*(1+(IF(Tabla110[[#This Row],[FLETE]]="no",Catalogos!$M$2,Catalogos!$L$2))))</f>
        <v>#N/A</v>
      </c>
      <c r="N84" s="270" t="e">
        <f>+IF((Tabla110[[#This Row],[Precio Unitario Neto]]-Tabla110[[#This Row],[Apoyo]]-Tabla110[[#This Row],[COSTO + INDI]])&lt;=0,0,(Tabla110[[#This Row],[Precio Unitario Neto]]-Tabla110[[#This Row],[Apoyo]]-Tabla110[[#This Row],[COSTO + INDI]]))</f>
        <v>#N/A</v>
      </c>
      <c r="O84" s="258" t="e">
        <f>++Tabla110[[#This Row],[Utilidad Neta x Eq.]]*Tabla110[[#This Row],[Cantidad]]</f>
        <v>#N/A</v>
      </c>
      <c r="P84" s="271" t="e">
        <f>++Tabla110[[#This Row],[Utilidad Neta Total]]/Tabla110[[#This Row],[Venta Total]]</f>
        <v>#N/A</v>
      </c>
      <c r="Q84" s="258" t="s">
        <v>604</v>
      </c>
      <c r="R84" s="272" t="e">
        <f>INDEX(Tabla6[#All],MATCH(Tabla110[[#This Row],[Producto]],Tabla6[[#All],[PRODUCTO]],0),MATCH(Tabla110[[#This Row],[Mes]],Tabla6[#Headers],0))</f>
        <v>#N/A</v>
      </c>
      <c r="S84" s="260" t="e">
        <f>++Tabla110[[#This Row],[Precio Unitario Neto]]-Tabla110[[#This Row],[Apoyo]]-Tabla110[[#This Row],[Costo unitario]]</f>
        <v>#N/A</v>
      </c>
      <c r="T84" s="273" t="e">
        <f>+Tabla110[[#This Row],[Utilidad Bruta]]*Tabla110[[#This Row],[Cantidad]]</f>
        <v>#N/A</v>
      </c>
      <c r="U84" s="404" t="e">
        <f>++Tabla110[[#This Row],[Utilidad Bruta Total]]*$V$1</f>
        <v>#N/A</v>
      </c>
      <c r="V84" s="278" t="e">
        <f>++Tabla110[[#This Row],[Utilidad Bruta Total]]*$V$1</f>
        <v>#N/A</v>
      </c>
      <c r="W84" s="278">
        <f>VLOOKUP(Tabla110[[#This Row],[Producto]],'NUEVAS LISTAS'!$B$3:$P$403,'Ventas '!W$6,FALSE)</f>
        <v>3699</v>
      </c>
      <c r="X84" s="278">
        <f>VLOOKUP(Tabla110[[#This Row],[Producto]],'NUEVAS LISTAS'!$B$3:$P$403,'Ventas '!X$6,FALSE)</f>
        <v>3889</v>
      </c>
      <c r="Y84" s="278">
        <f>VLOOKUP(Tabla110[[#This Row],[Producto]],'NUEVAS LISTAS'!$B$3:$P$403,'Ventas '!Y$6,FALSE)</f>
        <v>4089</v>
      </c>
      <c r="Z84" s="278">
        <f>VLOOKUP(Tabla110[[#This Row],[Producto]],'NUEVAS LISTAS'!$B$3:$P$403,'Ventas '!Z$6,FALSE)</f>
        <v>4299</v>
      </c>
      <c r="AA84" s="543">
        <f>IF(AB84&lt;$AC$2,0,IF(Tabla110[[#This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4" s="539">
        <f>SUMIFS(Tabla110[[#All],[Venta Total]],Tabla110[[#All],[Asesor]],Tabla110[[#This Row],[Asesor]],Tabla110[[#All],[Fecha Cobranza]],"&lt;="&amp;Tabla110[[#This Row],[Fecha Cobranza]],Tabla110[[#All],[Fecha Cobranza]],"&gt;="&amp;Tabla110[[#This Row],[Fecha Cobranza]]-28)</f>
        <v>1053628.7308</v>
      </c>
      <c r="AC84" s="542">
        <f t="shared" si="20"/>
        <v>0</v>
      </c>
      <c r="AD84" s="544">
        <f t="shared" si="21"/>
        <v>2.2499999999999999E-2</v>
      </c>
      <c r="AE84" s="545">
        <f>+AD84*Tabla110[[#This Row],[Venta Total]]</f>
        <v>91.102571999999995</v>
      </c>
    </row>
    <row r="85" spans="1:31" x14ac:dyDescent="0.2">
      <c r="A85" s="264">
        <v>46006</v>
      </c>
      <c r="B85" s="274" t="str">
        <f t="shared" si="19"/>
        <v>December</v>
      </c>
      <c r="C85" s="265" t="s">
        <v>277</v>
      </c>
      <c r="D85" s="266" t="str">
        <f>VLOOKUP(Tabla110[[#This Row],[Asesor]],Tabla2[[Asesores]:[TIPO]],2,0)</f>
        <v>INTERNO</v>
      </c>
      <c r="E85" s="268" t="s">
        <v>897</v>
      </c>
      <c r="F85" s="267" t="s">
        <v>3810</v>
      </c>
      <c r="G85" s="50" t="s">
        <v>83</v>
      </c>
      <c r="H85" s="269">
        <v>1</v>
      </c>
      <c r="I85" s="275">
        <v>9231.9</v>
      </c>
      <c r="J85" s="260">
        <f>+Tabla110[[#This Row],[Precio Bruto]]*1.16</f>
        <v>10709.003999999999</v>
      </c>
      <c r="L85" s="270">
        <f>++(Tabla110[[#This Row],[Precio Unitario Neto]]*Tabla110[[#This Row],[Cantidad]])-(Tabla110[[#This Row],[Cantidad]]*Tabla110[[#This Row],[Apoyo]])</f>
        <v>10709.003999999999</v>
      </c>
      <c r="M85" s="270" t="e">
        <f>((INDEX(Tabla6[#All],MATCH(Tabla110[[#This Row],[Producto]],Tabla6[[#All],[PRODUCTO]],0),MATCH(Tabla110[[#This Row],[Mes]],Tabla6[#Headers],0)))*(1+(IF(Tabla110[[#This Row],[FLETE]]="no",Catalogos!$M$2,Catalogos!$L$2))))</f>
        <v>#N/A</v>
      </c>
      <c r="N85" s="270" t="e">
        <f>+IF((Tabla110[[#This Row],[Precio Unitario Neto]]-Tabla110[[#This Row],[Apoyo]]-Tabla110[[#This Row],[COSTO + INDI]])&lt;=0,0,(Tabla110[[#This Row],[Precio Unitario Neto]]-Tabla110[[#This Row],[Apoyo]]-Tabla110[[#This Row],[COSTO + INDI]]))</f>
        <v>#N/A</v>
      </c>
      <c r="O85" s="258" t="e">
        <f>++Tabla110[[#This Row],[Utilidad Neta x Eq.]]*Tabla110[[#This Row],[Cantidad]]</f>
        <v>#N/A</v>
      </c>
      <c r="P85" s="271" t="e">
        <f>++Tabla110[[#This Row],[Utilidad Neta Total]]/Tabla110[[#This Row],[Venta Total]]</f>
        <v>#N/A</v>
      </c>
      <c r="Q85" s="258" t="s">
        <v>604</v>
      </c>
      <c r="R85" s="272" t="e">
        <f>INDEX(Tabla6[#All],MATCH(Tabla110[[#This Row],[Producto]],Tabla6[[#All],[PRODUCTO]],0),MATCH(Tabla110[[#This Row],[Mes]],Tabla6[#Headers],0))</f>
        <v>#N/A</v>
      </c>
      <c r="S85" s="260" t="e">
        <f>++Tabla110[[#This Row],[Precio Unitario Neto]]-Tabla110[[#This Row],[Apoyo]]-Tabla110[[#This Row],[Costo unitario]]</f>
        <v>#N/A</v>
      </c>
      <c r="T85" s="273" t="e">
        <f>+Tabla110[[#This Row],[Utilidad Bruta]]*Tabla110[[#This Row],[Cantidad]]</f>
        <v>#N/A</v>
      </c>
      <c r="U85" s="404" t="e">
        <f>++Tabla110[[#This Row],[Utilidad Bruta Total]]*$V$1</f>
        <v>#N/A</v>
      </c>
      <c r="V85" s="278" t="e">
        <f>++Tabla110[[#This Row],[Utilidad Bruta Total]]*$V$1</f>
        <v>#N/A</v>
      </c>
      <c r="W85" s="278">
        <f>VLOOKUP(Tabla110[[#This Row],[Producto]],'NUEVAS LISTAS'!$B$3:$P$403,'Ventas '!W$6,FALSE)</f>
        <v>7849</v>
      </c>
      <c r="X85" s="278">
        <f>VLOOKUP(Tabla110[[#This Row],[Producto]],'NUEVAS LISTAS'!$B$3:$P$403,'Ventas '!X$6,FALSE)</f>
        <v>8249</v>
      </c>
      <c r="Y85" s="278">
        <f>VLOOKUP(Tabla110[[#This Row],[Producto]],'NUEVAS LISTAS'!$B$3:$P$403,'Ventas '!Y$6,FALSE)</f>
        <v>8699</v>
      </c>
      <c r="Z85" s="278">
        <f>VLOOKUP(Tabla110[[#This Row],[Producto]],'NUEVAS LISTAS'!$B$3:$P$403,'Ventas '!Z$6,FALSE)</f>
        <v>9149</v>
      </c>
      <c r="AA85" s="543">
        <f>IF(AB85&lt;$AC$2,0,IF(Tabla110[[#This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85" s="539">
        <f>SUMIFS(Tabla110[[#All],[Venta Total]],Tabla110[[#All],[Asesor]],Tabla110[[#This Row],[Asesor]],Tabla110[[#All],[Fecha Cobranza]],"&lt;="&amp;Tabla110[[#This Row],[Fecha Cobranza]],Tabla110[[#All],[Fecha Cobranza]],"&gt;="&amp;Tabla110[[#This Row],[Fecha Cobranza]]-28)</f>
        <v>1053628.7308</v>
      </c>
      <c r="AC85" s="542">
        <f t="shared" si="20"/>
        <v>0</v>
      </c>
      <c r="AD85" s="544">
        <f t="shared" si="21"/>
        <v>2.75E-2</v>
      </c>
      <c r="AE85" s="545">
        <f>+AD85*Tabla110[[#This Row],[Venta Total]]</f>
        <v>294.49760999999995</v>
      </c>
    </row>
    <row r="86" spans="1:31" x14ac:dyDescent="0.2">
      <c r="A86" s="264">
        <v>46006</v>
      </c>
      <c r="B86" s="274" t="str">
        <f t="shared" si="19"/>
        <v>December</v>
      </c>
      <c r="C86" s="265" t="s">
        <v>277</v>
      </c>
      <c r="D86" s="266" t="str">
        <f>VLOOKUP(Tabla110[[#This Row],[Asesor]],Tabla2[[Asesores]:[TIPO]],2,0)</f>
        <v>INTERNO</v>
      </c>
      <c r="E86" s="268" t="s">
        <v>897</v>
      </c>
      <c r="F86" s="267" t="s">
        <v>3810</v>
      </c>
      <c r="G86" s="50" t="s">
        <v>34</v>
      </c>
      <c r="H86" s="269">
        <v>2</v>
      </c>
      <c r="I86" s="275">
        <v>4783.62</v>
      </c>
      <c r="J86" s="260">
        <f>+Tabla110[[#This Row],[Precio Bruto]]*1.16</f>
        <v>5548.9991999999993</v>
      </c>
      <c r="L86" s="270">
        <f>++(Tabla110[[#This Row],[Precio Unitario Neto]]*Tabla110[[#This Row],[Cantidad]])-(Tabla110[[#This Row],[Cantidad]]*Tabla110[[#This Row],[Apoyo]])</f>
        <v>11097.998399999999</v>
      </c>
      <c r="M86" s="270" t="e">
        <f>((INDEX(Tabla6[#All],MATCH(Tabla110[[#This Row],[Producto]],Tabla6[[#All],[PRODUCTO]],0),MATCH(Tabla110[[#This Row],[Mes]],Tabla6[#Headers],0)))*(1+(IF(Tabla110[[#This Row],[FLETE]]="no",Catalogos!$M$2,Catalogos!$L$2))))</f>
        <v>#N/A</v>
      </c>
      <c r="N86" s="270" t="e">
        <f>+IF((Tabla110[[#This Row],[Precio Unitario Neto]]-Tabla110[[#This Row],[Apoyo]]-Tabla110[[#This Row],[COSTO + INDI]])&lt;=0,0,(Tabla110[[#This Row],[Precio Unitario Neto]]-Tabla110[[#This Row],[Apoyo]]-Tabla110[[#This Row],[COSTO + INDI]]))</f>
        <v>#N/A</v>
      </c>
      <c r="O86" s="258" t="e">
        <f>++Tabla110[[#This Row],[Utilidad Neta x Eq.]]*Tabla110[[#This Row],[Cantidad]]</f>
        <v>#N/A</v>
      </c>
      <c r="P86" s="271" t="e">
        <f>++Tabla110[[#This Row],[Utilidad Neta Total]]/Tabla110[[#This Row],[Venta Total]]</f>
        <v>#N/A</v>
      </c>
      <c r="Q86" s="258" t="s">
        <v>604</v>
      </c>
      <c r="R86" s="272" t="e">
        <f>INDEX(Tabla6[#All],MATCH(Tabla110[[#This Row],[Producto]],Tabla6[[#All],[PRODUCTO]],0),MATCH(Tabla110[[#This Row],[Mes]],Tabla6[#Headers],0))</f>
        <v>#N/A</v>
      </c>
      <c r="S86" s="260" t="e">
        <f>++Tabla110[[#This Row],[Precio Unitario Neto]]-Tabla110[[#This Row],[Apoyo]]-Tabla110[[#This Row],[Costo unitario]]</f>
        <v>#N/A</v>
      </c>
      <c r="T86" s="273" t="e">
        <f>+Tabla110[[#This Row],[Utilidad Bruta]]*Tabla110[[#This Row],[Cantidad]]</f>
        <v>#N/A</v>
      </c>
      <c r="U86" s="404" t="e">
        <f>++Tabla110[[#This Row],[Utilidad Bruta Total]]*$V$1</f>
        <v>#N/A</v>
      </c>
      <c r="V86" s="278" t="e">
        <f>++Tabla110[[#This Row],[Utilidad Bruta Total]]*$V$1</f>
        <v>#N/A</v>
      </c>
      <c r="W86" s="278">
        <f>VLOOKUP(Tabla110[[#This Row],[Producto]],'NUEVAS LISTAS'!$B$3:$P$403,'Ventas '!W$6,FALSE)</f>
        <v>5009</v>
      </c>
      <c r="X86" s="278">
        <f>VLOOKUP(Tabla110[[#This Row],[Producto]],'NUEVAS LISTAS'!$B$3:$P$403,'Ventas '!X$6,FALSE)</f>
        <v>5269</v>
      </c>
      <c r="Y86" s="278">
        <f>VLOOKUP(Tabla110[[#This Row],[Producto]],'NUEVAS LISTAS'!$B$3:$P$403,'Ventas '!Y$6,FALSE)</f>
        <v>5549</v>
      </c>
      <c r="Z86" s="278">
        <f>VLOOKUP(Tabla110[[#This Row],[Producto]],'NUEVAS LISTAS'!$B$3:$P$403,'Ventas '!Z$6,FALSE)</f>
        <v>5839</v>
      </c>
      <c r="AA86" s="543">
        <f>IF(AB86&lt;$AC$2,0,IF(Tabla110[[#This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6" s="539">
        <f>SUMIFS(Tabla110[[#All],[Venta Total]],Tabla110[[#All],[Asesor]],Tabla110[[#This Row],[Asesor]],Tabla110[[#All],[Fecha Cobranza]],"&lt;="&amp;Tabla110[[#This Row],[Fecha Cobranza]],Tabla110[[#All],[Fecha Cobranza]],"&gt;="&amp;Tabla110[[#This Row],[Fecha Cobranza]]-28)</f>
        <v>1053628.7308</v>
      </c>
      <c r="AC86" s="542">
        <f t="shared" si="20"/>
        <v>0</v>
      </c>
      <c r="AD86" s="544">
        <f t="shared" si="21"/>
        <v>2.2499999999999999E-2</v>
      </c>
      <c r="AE86" s="545">
        <f>+AD86*Tabla110[[#This Row],[Venta Total]]</f>
        <v>249.70496399999996</v>
      </c>
    </row>
    <row r="87" spans="1:31" x14ac:dyDescent="0.2">
      <c r="A87" s="264">
        <v>46006</v>
      </c>
      <c r="B87" s="274" t="str">
        <f t="shared" ref="B87:B94" si="22">TEXT(A87,"mmmm")</f>
        <v>December</v>
      </c>
      <c r="C87" s="265" t="s">
        <v>547</v>
      </c>
      <c r="D87" s="266" t="str">
        <f>VLOOKUP(Tabla110[[#This Row],[Asesor]],Tabla2[[Asesores]:[TIPO]],2,0)</f>
        <v>INTERNO</v>
      </c>
      <c r="E87" s="268" t="s">
        <v>1147</v>
      </c>
      <c r="F87" s="267" t="s">
        <v>3811</v>
      </c>
      <c r="G87" s="50" t="s">
        <v>460</v>
      </c>
      <c r="H87" s="269">
        <v>6</v>
      </c>
      <c r="I87" s="275">
        <v>1996.5516666666665</v>
      </c>
      <c r="J87" s="260">
        <f>+Tabla110[[#This Row],[Precio Bruto]]*1.16</f>
        <v>2315.999933333333</v>
      </c>
      <c r="L87" s="270">
        <f>++(Tabla110[[#This Row],[Precio Unitario Neto]]*Tabla110[[#This Row],[Cantidad]])-(Tabla110[[#This Row],[Cantidad]]*Tabla110[[#This Row],[Apoyo]])</f>
        <v>13895.999599999999</v>
      </c>
      <c r="M87" s="270" t="e">
        <f>((INDEX(Tabla6[#All],MATCH(Tabla110[[#This Row],[Producto]],Tabla6[[#All],[PRODUCTO]],0),MATCH(Tabla110[[#This Row],[Mes]],Tabla6[#Headers],0)))*(1+(IF(Tabla110[[#This Row],[FLETE]]="no",Catalogos!$M$2,Catalogos!$L$2))))</f>
        <v>#N/A</v>
      </c>
      <c r="N87" s="270" t="e">
        <f>+IF((Tabla110[[#This Row],[Precio Unitario Neto]]-Tabla110[[#This Row],[Apoyo]]-Tabla110[[#This Row],[COSTO + INDI]])&lt;=0,0,(Tabla110[[#This Row],[Precio Unitario Neto]]-Tabla110[[#This Row],[Apoyo]]-Tabla110[[#This Row],[COSTO + INDI]]))</f>
        <v>#N/A</v>
      </c>
      <c r="O87" s="258" t="e">
        <f>++Tabla110[[#This Row],[Utilidad Neta x Eq.]]*Tabla110[[#This Row],[Cantidad]]</f>
        <v>#N/A</v>
      </c>
      <c r="P87" s="271" t="e">
        <f>++Tabla110[[#This Row],[Utilidad Neta Total]]/Tabla110[[#This Row],[Venta Total]]</f>
        <v>#N/A</v>
      </c>
      <c r="Q87" s="258" t="s">
        <v>604</v>
      </c>
      <c r="R87" s="272" t="e">
        <f>INDEX(Tabla6[#All],MATCH(Tabla110[[#This Row],[Producto]],Tabla6[[#All],[PRODUCTO]],0),MATCH(Tabla110[[#This Row],[Mes]],Tabla6[#Headers],0))</f>
        <v>#N/A</v>
      </c>
      <c r="S87" s="260" t="e">
        <f>++Tabla110[[#This Row],[Precio Unitario Neto]]-Tabla110[[#This Row],[Apoyo]]-Tabla110[[#This Row],[Costo unitario]]</f>
        <v>#N/A</v>
      </c>
      <c r="T87" s="273" t="e">
        <f>+Tabla110[[#This Row],[Utilidad Bruta]]*Tabla110[[#This Row],[Cantidad]]</f>
        <v>#N/A</v>
      </c>
      <c r="U87" s="404" t="e">
        <f>++Tabla110[[#This Row],[Utilidad Bruta Total]]*$V$1</f>
        <v>#N/A</v>
      </c>
      <c r="V87" s="278" t="e">
        <f>++Tabla110[[#This Row],[Utilidad Bruta Total]]*$V$1</f>
        <v>#N/A</v>
      </c>
      <c r="W87" s="278">
        <f>VLOOKUP(Tabla110[[#This Row],[Producto]],'NUEVAS LISTAS'!$B$3:$P$403,'Ventas '!W$6,FALSE)</f>
        <v>2219</v>
      </c>
      <c r="X87" s="278">
        <f>VLOOKUP(Tabla110[[#This Row],[Producto]],'NUEVAS LISTAS'!$B$3:$P$403,'Ventas '!X$6,FALSE)</f>
        <v>2339</v>
      </c>
      <c r="Y87" s="278">
        <f>VLOOKUP(Tabla110[[#This Row],[Producto]],'NUEVAS LISTAS'!$B$3:$P$403,'Ventas '!Y$6,FALSE)</f>
        <v>2459</v>
      </c>
      <c r="Z87" s="278">
        <f>VLOOKUP(Tabla110[[#This Row],[Producto]],'NUEVAS LISTAS'!$B$3:$P$403,'Ventas '!Z$6,FALSE)</f>
        <v>2589</v>
      </c>
      <c r="AA87" s="543">
        <f>IF(AB87&lt;$AC$2,0,IF(Tabla110[[#This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87" s="539">
        <f>SUMIFS(Tabla110[[#All],[Venta Total]],Tabla110[[#All],[Asesor]],Tabla110[[#This Row],[Asesor]],Tabla110[[#All],[Fecha Cobranza]],"&lt;="&amp;Tabla110[[#This Row],[Fecha Cobranza]],Tabla110[[#All],[Fecha Cobranza]],"&gt;="&amp;Tabla110[[#This Row],[Fecha Cobranza]]-28)</f>
        <v>312330.99759999994</v>
      </c>
      <c r="AC87" s="542">
        <f t="shared" si="20"/>
        <v>0</v>
      </c>
      <c r="AD87" s="544">
        <f t="shared" si="21"/>
        <v>0.02</v>
      </c>
      <c r="AE87" s="545">
        <f>+AD87*Tabla110[[#This Row],[Venta Total]]</f>
        <v>277.91999199999998</v>
      </c>
    </row>
    <row r="88" spans="1:31" x14ac:dyDescent="0.2">
      <c r="A88" s="264">
        <v>46006</v>
      </c>
      <c r="B88" s="274" t="str">
        <f t="shared" si="22"/>
        <v>December</v>
      </c>
      <c r="C88" s="265" t="s">
        <v>547</v>
      </c>
      <c r="D88" s="266" t="str">
        <f>VLOOKUP(Tabla110[[#This Row],[Asesor]],Tabla2[[Asesores]:[TIPO]],2,0)</f>
        <v>INTERNO</v>
      </c>
      <c r="E88" s="268" t="s">
        <v>1147</v>
      </c>
      <c r="F88" s="267" t="s">
        <v>3811</v>
      </c>
      <c r="G88" s="50" t="s">
        <v>369</v>
      </c>
      <c r="H88" s="269">
        <v>2</v>
      </c>
      <c r="I88" s="275">
        <v>2342.2399999999998</v>
      </c>
      <c r="J88" s="260">
        <f>+Tabla110[[#This Row],[Precio Bruto]]*1.16</f>
        <v>2716.9983999999995</v>
      </c>
      <c r="L88" s="270">
        <f>++(Tabla110[[#This Row],[Precio Unitario Neto]]*Tabla110[[#This Row],[Cantidad]])-(Tabla110[[#This Row],[Cantidad]]*Tabla110[[#This Row],[Apoyo]])</f>
        <v>5433.996799999999</v>
      </c>
      <c r="M88" s="270" t="e">
        <f>((INDEX(Tabla6[#All],MATCH(Tabla110[[#This Row],[Producto]],Tabla6[[#All],[PRODUCTO]],0),MATCH(Tabla110[[#This Row],[Mes]],Tabla6[#Headers],0)))*(1+(IF(Tabla110[[#This Row],[FLETE]]="no",Catalogos!$M$2,Catalogos!$L$2))))</f>
        <v>#N/A</v>
      </c>
      <c r="N88" s="270" t="e">
        <f>+IF((Tabla110[[#This Row],[Precio Unitario Neto]]-Tabla110[[#This Row],[Apoyo]]-Tabla110[[#This Row],[COSTO + INDI]])&lt;=0,0,(Tabla110[[#This Row],[Precio Unitario Neto]]-Tabla110[[#This Row],[Apoyo]]-Tabla110[[#This Row],[COSTO + INDI]]))</f>
        <v>#N/A</v>
      </c>
      <c r="O88" s="258" t="e">
        <f>++Tabla110[[#This Row],[Utilidad Neta x Eq.]]*Tabla110[[#This Row],[Cantidad]]</f>
        <v>#N/A</v>
      </c>
      <c r="P88" s="271" t="e">
        <f>++Tabla110[[#This Row],[Utilidad Neta Total]]/Tabla110[[#This Row],[Venta Total]]</f>
        <v>#N/A</v>
      </c>
      <c r="Q88" s="258" t="s">
        <v>604</v>
      </c>
      <c r="R88" s="272" t="e">
        <f>INDEX(Tabla6[#All],MATCH(Tabla110[[#This Row],[Producto]],Tabla6[[#All],[PRODUCTO]],0),MATCH(Tabla110[[#This Row],[Mes]],Tabla6[#Headers],0))</f>
        <v>#N/A</v>
      </c>
      <c r="S88" s="260" t="e">
        <f>++Tabla110[[#This Row],[Precio Unitario Neto]]-Tabla110[[#This Row],[Apoyo]]-Tabla110[[#This Row],[Costo unitario]]</f>
        <v>#N/A</v>
      </c>
      <c r="T88" s="273" t="e">
        <f>+Tabla110[[#This Row],[Utilidad Bruta]]*Tabla110[[#This Row],[Cantidad]]</f>
        <v>#N/A</v>
      </c>
      <c r="U88" s="404" t="e">
        <f>++Tabla110[[#This Row],[Utilidad Bruta Total]]*$V$1</f>
        <v>#N/A</v>
      </c>
      <c r="V88" s="278" t="e">
        <f>++Tabla110[[#This Row],[Utilidad Bruta Total]]*$V$1</f>
        <v>#N/A</v>
      </c>
      <c r="W88" s="278">
        <f>VLOOKUP(Tabla110[[#This Row],[Producto]],'NUEVAS LISTAS'!$B$3:$P$403,'Ventas '!W$6,FALSE)</f>
        <v>2569</v>
      </c>
      <c r="X88" s="278">
        <f>VLOOKUP(Tabla110[[#This Row],[Producto]],'NUEVAS LISTAS'!$B$3:$P$403,'Ventas '!X$6,FALSE)</f>
        <v>2699</v>
      </c>
      <c r="Y88" s="278">
        <f>VLOOKUP(Tabla110[[#This Row],[Producto]],'NUEVAS LISTAS'!$B$3:$P$403,'Ventas '!Y$6,FALSE)</f>
        <v>2839</v>
      </c>
      <c r="Z88" s="278">
        <f>VLOOKUP(Tabla110[[#This Row],[Producto]],'NUEVAS LISTAS'!$B$3:$P$403,'Ventas '!Z$6,FALSE)</f>
        <v>2989</v>
      </c>
      <c r="AA88" s="543">
        <f>IF(AB88&lt;$AC$2,0,IF(Tabla110[[#This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88" s="539">
        <f>SUMIFS(Tabla110[[#All],[Venta Total]],Tabla110[[#All],[Asesor]],Tabla110[[#This Row],[Asesor]],Tabla110[[#All],[Fecha Cobranza]],"&lt;="&amp;Tabla110[[#This Row],[Fecha Cobranza]],Tabla110[[#All],[Fecha Cobranza]],"&gt;="&amp;Tabla110[[#This Row],[Fecha Cobranza]]-28)</f>
        <v>312330.99759999994</v>
      </c>
      <c r="AC88" s="542">
        <f t="shared" si="20"/>
        <v>0</v>
      </c>
      <c r="AD88" s="544">
        <f t="shared" si="21"/>
        <v>2.2499999999999999E-2</v>
      </c>
      <c r="AE88" s="545">
        <f>+AD88*Tabla110[[#This Row],[Venta Total]]</f>
        <v>122.26492799999997</v>
      </c>
    </row>
    <row r="89" spans="1:31" x14ac:dyDescent="0.2">
      <c r="A89" s="264">
        <v>46006</v>
      </c>
      <c r="B89" s="274" t="str">
        <f t="shared" si="22"/>
        <v>December</v>
      </c>
      <c r="C89" s="265" t="s">
        <v>547</v>
      </c>
      <c r="D89" s="266" t="str">
        <f>VLOOKUP(Tabla110[[#This Row],[Asesor]],Tabla2[[Asesores]:[TIPO]],2,0)</f>
        <v>INTERNO</v>
      </c>
      <c r="E89" s="268" t="s">
        <v>1147</v>
      </c>
      <c r="F89" s="267" t="s">
        <v>3811</v>
      </c>
      <c r="G89" s="50" t="s">
        <v>370</v>
      </c>
      <c r="H89" s="269">
        <v>7</v>
      </c>
      <c r="I89" s="275">
        <v>2554.31</v>
      </c>
      <c r="J89" s="260">
        <f>+Tabla110[[#This Row],[Precio Bruto]]*1.16</f>
        <v>2962.9995999999996</v>
      </c>
      <c r="L89" s="270">
        <f>++(Tabla110[[#This Row],[Precio Unitario Neto]]*Tabla110[[#This Row],[Cantidad]])-(Tabla110[[#This Row],[Cantidad]]*Tabla110[[#This Row],[Apoyo]])</f>
        <v>20740.997199999998</v>
      </c>
      <c r="M89" s="270" t="e">
        <f>((INDEX(Tabla6[#All],MATCH(Tabla110[[#This Row],[Producto]],Tabla6[[#All],[PRODUCTO]],0),MATCH(Tabla110[[#This Row],[Mes]],Tabla6[#Headers],0)))*(1+(IF(Tabla110[[#This Row],[FLETE]]="no",Catalogos!$M$2,Catalogos!$L$2))))</f>
        <v>#N/A</v>
      </c>
      <c r="N89" s="270" t="e">
        <f>+IF((Tabla110[[#This Row],[Precio Unitario Neto]]-Tabla110[[#This Row],[Apoyo]]-Tabla110[[#This Row],[COSTO + INDI]])&lt;=0,0,(Tabla110[[#This Row],[Precio Unitario Neto]]-Tabla110[[#This Row],[Apoyo]]-Tabla110[[#This Row],[COSTO + INDI]]))</f>
        <v>#N/A</v>
      </c>
      <c r="O89" s="258" t="e">
        <f>++Tabla110[[#This Row],[Utilidad Neta x Eq.]]*Tabla110[[#This Row],[Cantidad]]</f>
        <v>#N/A</v>
      </c>
      <c r="P89" s="271" t="e">
        <f>++Tabla110[[#This Row],[Utilidad Neta Total]]/Tabla110[[#This Row],[Venta Total]]</f>
        <v>#N/A</v>
      </c>
      <c r="Q89" s="258" t="s">
        <v>604</v>
      </c>
      <c r="R89" s="272" t="e">
        <f>INDEX(Tabla6[#All],MATCH(Tabla110[[#This Row],[Producto]],Tabla6[[#All],[PRODUCTO]],0),MATCH(Tabla110[[#This Row],[Mes]],Tabla6[#Headers],0))</f>
        <v>#N/A</v>
      </c>
      <c r="S89" s="260" t="e">
        <f>++Tabla110[[#This Row],[Precio Unitario Neto]]-Tabla110[[#This Row],[Apoyo]]-Tabla110[[#This Row],[Costo unitario]]</f>
        <v>#N/A</v>
      </c>
      <c r="T89" s="273" t="e">
        <f>+Tabla110[[#This Row],[Utilidad Bruta]]*Tabla110[[#This Row],[Cantidad]]</f>
        <v>#N/A</v>
      </c>
      <c r="U89" s="404" t="e">
        <f>++Tabla110[[#This Row],[Utilidad Bruta Total]]*$V$1</f>
        <v>#N/A</v>
      </c>
      <c r="V89" s="278" t="e">
        <f>++Tabla110[[#This Row],[Utilidad Bruta Total]]*$V$1</f>
        <v>#N/A</v>
      </c>
      <c r="W89" s="278">
        <f>VLOOKUP(Tabla110[[#This Row],[Producto]],'NUEVAS LISTAS'!$B$3:$P$403,'Ventas '!W$6,FALSE)</f>
        <v>2929</v>
      </c>
      <c r="X89" s="278">
        <f>VLOOKUP(Tabla110[[#This Row],[Producto]],'NUEVAS LISTAS'!$B$3:$P$403,'Ventas '!X$6,FALSE)</f>
        <v>3079</v>
      </c>
      <c r="Y89" s="278">
        <f>VLOOKUP(Tabla110[[#This Row],[Producto]],'NUEVAS LISTAS'!$B$3:$P$403,'Ventas '!Y$6,FALSE)</f>
        <v>3239</v>
      </c>
      <c r="Z89" s="278">
        <f>VLOOKUP(Tabla110[[#This Row],[Producto]],'NUEVAS LISTAS'!$B$3:$P$403,'Ventas '!Z$6,FALSE)</f>
        <v>3409</v>
      </c>
      <c r="AA89" s="543">
        <f>IF(AB89&lt;$AC$2,0,IF(Tabla110[[#This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89" s="539">
        <f>SUMIFS(Tabla110[[#All],[Venta Total]],Tabla110[[#All],[Asesor]],Tabla110[[#This Row],[Asesor]],Tabla110[[#All],[Fecha Cobranza]],"&lt;="&amp;Tabla110[[#This Row],[Fecha Cobranza]],Tabla110[[#All],[Fecha Cobranza]],"&gt;="&amp;Tabla110[[#This Row],[Fecha Cobranza]]-28)</f>
        <v>312330.99759999994</v>
      </c>
      <c r="AC89" s="542">
        <f t="shared" si="20"/>
        <v>0</v>
      </c>
      <c r="AD89" s="544">
        <f t="shared" si="21"/>
        <v>0.02</v>
      </c>
      <c r="AE89" s="545">
        <f>+AD89*Tabla110[[#This Row],[Venta Total]]</f>
        <v>414.81994399999996</v>
      </c>
    </row>
    <row r="90" spans="1:31" x14ac:dyDescent="0.2">
      <c r="A90" s="264">
        <v>46006</v>
      </c>
      <c r="B90" s="274" t="str">
        <f t="shared" si="22"/>
        <v>December</v>
      </c>
      <c r="C90" s="265" t="s">
        <v>547</v>
      </c>
      <c r="D90" s="266" t="str">
        <f>VLOOKUP(Tabla110[[#This Row],[Asesor]],Tabla2[[Asesores]:[TIPO]],2,0)</f>
        <v>INTERNO</v>
      </c>
      <c r="E90" s="268" t="s">
        <v>1147</v>
      </c>
      <c r="F90" s="267" t="s">
        <v>3811</v>
      </c>
      <c r="G90" s="50" t="s">
        <v>371</v>
      </c>
      <c r="H90" s="269">
        <v>2</v>
      </c>
      <c r="I90" s="275">
        <v>3084.4850000000001</v>
      </c>
      <c r="J90" s="260">
        <f>+Tabla110[[#This Row],[Precio Bruto]]*1.16</f>
        <v>3578.0025999999998</v>
      </c>
      <c r="L90" s="270">
        <f>++(Tabla110[[#This Row],[Precio Unitario Neto]]*Tabla110[[#This Row],[Cantidad]])-(Tabla110[[#This Row],[Cantidad]]*Tabla110[[#This Row],[Apoyo]])</f>
        <v>7156.0051999999996</v>
      </c>
      <c r="M90" s="270" t="e">
        <f>((INDEX(Tabla6[#All],MATCH(Tabla110[[#This Row],[Producto]],Tabla6[[#All],[PRODUCTO]],0),MATCH(Tabla110[[#This Row],[Mes]],Tabla6[#Headers],0)))*(1+(IF(Tabla110[[#This Row],[FLETE]]="no",Catalogos!$M$2,Catalogos!$L$2))))</f>
        <v>#N/A</v>
      </c>
      <c r="N90" s="270" t="e">
        <f>+IF((Tabla110[[#This Row],[Precio Unitario Neto]]-Tabla110[[#This Row],[Apoyo]]-Tabla110[[#This Row],[COSTO + INDI]])&lt;=0,0,(Tabla110[[#This Row],[Precio Unitario Neto]]-Tabla110[[#This Row],[Apoyo]]-Tabla110[[#This Row],[COSTO + INDI]]))</f>
        <v>#N/A</v>
      </c>
      <c r="O90" s="258" t="e">
        <f>++Tabla110[[#This Row],[Utilidad Neta x Eq.]]*Tabla110[[#This Row],[Cantidad]]</f>
        <v>#N/A</v>
      </c>
      <c r="P90" s="271" t="e">
        <f>++Tabla110[[#This Row],[Utilidad Neta Total]]/Tabla110[[#This Row],[Venta Total]]</f>
        <v>#N/A</v>
      </c>
      <c r="Q90" s="258" t="s">
        <v>604</v>
      </c>
      <c r="R90" s="272" t="e">
        <f>INDEX(Tabla6[#All],MATCH(Tabla110[[#This Row],[Producto]],Tabla6[[#All],[PRODUCTO]],0),MATCH(Tabla110[[#This Row],[Mes]],Tabla6[#Headers],0))</f>
        <v>#N/A</v>
      </c>
      <c r="S90" s="260" t="e">
        <f>++Tabla110[[#This Row],[Precio Unitario Neto]]-Tabla110[[#This Row],[Apoyo]]-Tabla110[[#This Row],[Costo unitario]]</f>
        <v>#N/A</v>
      </c>
      <c r="T90" s="273" t="e">
        <f>+Tabla110[[#This Row],[Utilidad Bruta]]*Tabla110[[#This Row],[Cantidad]]</f>
        <v>#N/A</v>
      </c>
      <c r="U90" s="404" t="e">
        <f>++Tabla110[[#This Row],[Utilidad Bruta Total]]*$V$1</f>
        <v>#N/A</v>
      </c>
      <c r="V90" s="278" t="e">
        <f>++Tabla110[[#This Row],[Utilidad Bruta Total]]*$V$1</f>
        <v>#N/A</v>
      </c>
      <c r="W90" s="278">
        <f>VLOOKUP(Tabla110[[#This Row],[Producto]],'NUEVAS LISTAS'!$B$3:$P$403,'Ventas '!W$6,FALSE)</f>
        <v>3359</v>
      </c>
      <c r="X90" s="278">
        <f>VLOOKUP(Tabla110[[#This Row],[Producto]],'NUEVAS LISTAS'!$B$3:$P$403,'Ventas '!X$6,FALSE)</f>
        <v>3539</v>
      </c>
      <c r="Y90" s="278">
        <f>VLOOKUP(Tabla110[[#This Row],[Producto]],'NUEVAS LISTAS'!$B$3:$P$403,'Ventas '!Y$6,FALSE)</f>
        <v>3729</v>
      </c>
      <c r="Z90" s="278">
        <f>VLOOKUP(Tabla110[[#This Row],[Producto]],'NUEVAS LISTAS'!$B$3:$P$403,'Ventas '!Z$6,FALSE)</f>
        <v>3929</v>
      </c>
      <c r="AA90" s="543">
        <f>IF(AB90&lt;$AC$2,0,IF(Tabla110[[#This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90" s="539">
        <f>SUMIFS(Tabla110[[#All],[Venta Total]],Tabla110[[#All],[Asesor]],Tabla110[[#This Row],[Asesor]],Tabla110[[#All],[Fecha Cobranza]],"&lt;="&amp;Tabla110[[#This Row],[Fecha Cobranza]],Tabla110[[#All],[Fecha Cobranza]],"&gt;="&amp;Tabla110[[#This Row],[Fecha Cobranza]]-28)</f>
        <v>312330.99759999994</v>
      </c>
      <c r="AC90" s="542">
        <f t="shared" si="20"/>
        <v>0</v>
      </c>
      <c r="AD90" s="544">
        <f t="shared" si="21"/>
        <v>2.2499999999999999E-2</v>
      </c>
      <c r="AE90" s="545">
        <f>+AD90*Tabla110[[#This Row],[Venta Total]]</f>
        <v>161.01011699999998</v>
      </c>
    </row>
    <row r="91" spans="1:31" x14ac:dyDescent="0.2">
      <c r="A91" s="264">
        <v>46006</v>
      </c>
      <c r="B91" s="274" t="str">
        <f t="shared" si="22"/>
        <v>December</v>
      </c>
      <c r="C91" s="265" t="s">
        <v>547</v>
      </c>
      <c r="D91" s="266" t="str">
        <f>VLOOKUP(Tabla110[[#This Row],[Asesor]],Tabla2[[Asesores]:[TIPO]],2,0)</f>
        <v>INTERNO</v>
      </c>
      <c r="E91" s="268" t="s">
        <v>1147</v>
      </c>
      <c r="F91" s="267" t="s">
        <v>3811</v>
      </c>
      <c r="G91" s="50" t="s">
        <v>644</v>
      </c>
      <c r="H91" s="269">
        <v>1</v>
      </c>
      <c r="I91" s="275">
        <v>3561.21</v>
      </c>
      <c r="J91" s="260">
        <f>+Tabla110[[#This Row],[Precio Bruto]]*1.16</f>
        <v>4131.0036</v>
      </c>
      <c r="L91" s="270">
        <f>++(Tabla110[[#This Row],[Precio Unitario Neto]]*Tabla110[[#This Row],[Cantidad]])-(Tabla110[[#This Row],[Cantidad]]*Tabla110[[#This Row],[Apoyo]])</f>
        <v>4131.0036</v>
      </c>
      <c r="M91" s="270" t="e">
        <f>((INDEX(Tabla6[#All],MATCH(Tabla110[[#This Row],[Producto]],Tabla6[[#All],[PRODUCTO]],0),MATCH(Tabla110[[#This Row],[Mes]],Tabla6[#Headers],0)))*(1+(IF(Tabla110[[#This Row],[FLETE]]="no",Catalogos!$M$2,Catalogos!$L$2))))</f>
        <v>#N/A</v>
      </c>
      <c r="N91" s="270" t="e">
        <f>+IF((Tabla110[[#This Row],[Precio Unitario Neto]]-Tabla110[[#This Row],[Apoyo]]-Tabla110[[#This Row],[COSTO + INDI]])&lt;=0,0,(Tabla110[[#This Row],[Precio Unitario Neto]]-Tabla110[[#This Row],[Apoyo]]-Tabla110[[#This Row],[COSTO + INDI]]))</f>
        <v>#N/A</v>
      </c>
      <c r="O91" s="258" t="e">
        <f>++Tabla110[[#This Row],[Utilidad Neta x Eq.]]*Tabla110[[#This Row],[Cantidad]]</f>
        <v>#N/A</v>
      </c>
      <c r="P91" s="271" t="e">
        <f>++Tabla110[[#This Row],[Utilidad Neta Total]]/Tabla110[[#This Row],[Venta Total]]</f>
        <v>#N/A</v>
      </c>
      <c r="Q91" s="258" t="s">
        <v>604</v>
      </c>
      <c r="R91" s="272" t="e">
        <f>INDEX(Tabla6[#All],MATCH(Tabla110[[#This Row],[Producto]],Tabla6[[#All],[PRODUCTO]],0),MATCH(Tabla110[[#This Row],[Mes]],Tabla6[#Headers],0))</f>
        <v>#N/A</v>
      </c>
      <c r="S91" s="260" t="e">
        <f>++Tabla110[[#This Row],[Precio Unitario Neto]]-Tabla110[[#This Row],[Apoyo]]-Tabla110[[#This Row],[Costo unitario]]</f>
        <v>#N/A</v>
      </c>
      <c r="T91" s="273" t="e">
        <f>+Tabla110[[#This Row],[Utilidad Bruta]]*Tabla110[[#This Row],[Cantidad]]</f>
        <v>#N/A</v>
      </c>
      <c r="U91" s="404" t="e">
        <f>++Tabla110[[#This Row],[Utilidad Bruta Total]]*$V$1</f>
        <v>#N/A</v>
      </c>
      <c r="V91" s="278" t="e">
        <f>++Tabla110[[#This Row],[Utilidad Bruta Total]]*$V$1</f>
        <v>#N/A</v>
      </c>
      <c r="W91" s="278">
        <f>VLOOKUP(Tabla110[[#This Row],[Producto]],'NUEVAS LISTAS'!$B$3:$P$403,'Ventas '!W$6,FALSE)</f>
        <v>4119</v>
      </c>
      <c r="X91" s="278">
        <f>VLOOKUP(Tabla110[[#This Row],[Producto]],'NUEVAS LISTAS'!$B$3:$P$403,'Ventas '!X$6,FALSE)</f>
        <v>4339</v>
      </c>
      <c r="Y91" s="278">
        <f>VLOOKUP(Tabla110[[#This Row],[Producto]],'NUEVAS LISTAS'!$B$3:$P$403,'Ventas '!Y$6,FALSE)</f>
        <v>4569</v>
      </c>
      <c r="Z91" s="278">
        <f>VLOOKUP(Tabla110[[#This Row],[Producto]],'NUEVAS LISTAS'!$B$3:$P$403,'Ventas '!Z$6,FALSE)</f>
        <v>4809</v>
      </c>
      <c r="AA91" s="543">
        <f>IF(AB91&lt;$AC$2,0,IF(Tabla110[[#This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1" s="539">
        <f>SUMIFS(Tabla110[[#All],[Venta Total]],Tabla110[[#All],[Asesor]],Tabla110[[#This Row],[Asesor]],Tabla110[[#All],[Fecha Cobranza]],"&lt;="&amp;Tabla110[[#This Row],[Fecha Cobranza]],Tabla110[[#All],[Fecha Cobranza]],"&gt;="&amp;Tabla110[[#This Row],[Fecha Cobranza]]-28)</f>
        <v>312330.99759999994</v>
      </c>
      <c r="AC91" s="542">
        <f t="shared" si="20"/>
        <v>0</v>
      </c>
      <c r="AD91" s="544">
        <f t="shared" si="21"/>
        <v>0.02</v>
      </c>
      <c r="AE91" s="545">
        <f>+AD91*Tabla110[[#This Row],[Venta Total]]</f>
        <v>82.620072000000008</v>
      </c>
    </row>
    <row r="92" spans="1:31" x14ac:dyDescent="0.2">
      <c r="A92" s="264">
        <v>46006</v>
      </c>
      <c r="B92" s="274" t="str">
        <f t="shared" si="22"/>
        <v>December</v>
      </c>
      <c r="C92" s="265" t="s">
        <v>547</v>
      </c>
      <c r="D92" s="266" t="str">
        <f>VLOOKUP(Tabla110[[#This Row],[Asesor]],Tabla2[[Asesores]:[TIPO]],2,0)</f>
        <v>INTERNO</v>
      </c>
      <c r="E92" s="268" t="s">
        <v>1147</v>
      </c>
      <c r="F92" s="267" t="s">
        <v>3811</v>
      </c>
      <c r="G92" s="50" t="s">
        <v>645</v>
      </c>
      <c r="H92" s="269">
        <v>2</v>
      </c>
      <c r="I92" s="275">
        <v>3877.585</v>
      </c>
      <c r="J92" s="260">
        <f>+Tabla110[[#This Row],[Precio Bruto]]*1.16</f>
        <v>4497.9985999999999</v>
      </c>
      <c r="L92" s="270">
        <f>++(Tabla110[[#This Row],[Precio Unitario Neto]]*Tabla110[[#This Row],[Cantidad]])-(Tabla110[[#This Row],[Cantidad]]*Tabla110[[#This Row],[Apoyo]])</f>
        <v>8995.9971999999998</v>
      </c>
      <c r="M92" s="270" t="e">
        <f>((INDEX(Tabla6[#All],MATCH(Tabla110[[#This Row],[Producto]],Tabla6[[#All],[PRODUCTO]],0),MATCH(Tabla110[[#This Row],[Mes]],Tabla6[#Headers],0)))*(1+(IF(Tabla110[[#This Row],[FLETE]]="no",Catalogos!$M$2,Catalogos!$L$2))))</f>
        <v>#N/A</v>
      </c>
      <c r="N92" s="270" t="e">
        <f>+IF((Tabla110[[#This Row],[Precio Unitario Neto]]-Tabla110[[#This Row],[Apoyo]]-Tabla110[[#This Row],[COSTO + INDI]])&lt;=0,0,(Tabla110[[#This Row],[Precio Unitario Neto]]-Tabla110[[#This Row],[Apoyo]]-Tabla110[[#This Row],[COSTO + INDI]]))</f>
        <v>#N/A</v>
      </c>
      <c r="O92" s="258" t="e">
        <f>++Tabla110[[#This Row],[Utilidad Neta x Eq.]]*Tabla110[[#This Row],[Cantidad]]</f>
        <v>#N/A</v>
      </c>
      <c r="P92" s="271" t="e">
        <f>++Tabla110[[#This Row],[Utilidad Neta Total]]/Tabla110[[#This Row],[Venta Total]]</f>
        <v>#N/A</v>
      </c>
      <c r="Q92" s="258" t="s">
        <v>604</v>
      </c>
      <c r="R92" s="272" t="e">
        <f>INDEX(Tabla6[#All],MATCH(Tabla110[[#This Row],[Producto]],Tabla6[[#All],[PRODUCTO]],0),MATCH(Tabla110[[#This Row],[Mes]],Tabla6[#Headers],0))</f>
        <v>#N/A</v>
      </c>
      <c r="S92" s="260" t="e">
        <f>++Tabla110[[#This Row],[Precio Unitario Neto]]-Tabla110[[#This Row],[Apoyo]]-Tabla110[[#This Row],[Costo unitario]]</f>
        <v>#N/A</v>
      </c>
      <c r="T92" s="273" t="e">
        <f>+Tabla110[[#This Row],[Utilidad Bruta]]*Tabla110[[#This Row],[Cantidad]]</f>
        <v>#N/A</v>
      </c>
      <c r="U92" s="404" t="e">
        <f>++Tabla110[[#This Row],[Utilidad Bruta Total]]*$V$1</f>
        <v>#N/A</v>
      </c>
      <c r="V92" s="278" t="e">
        <f>++Tabla110[[#This Row],[Utilidad Bruta Total]]*$V$1</f>
        <v>#N/A</v>
      </c>
      <c r="W92" s="278">
        <f>VLOOKUP(Tabla110[[#This Row],[Producto]],'NUEVAS LISTAS'!$B$3:$P$403,'Ventas '!W$6,FALSE)</f>
        <v>4599</v>
      </c>
      <c r="X92" s="278">
        <f>VLOOKUP(Tabla110[[#This Row],[Producto]],'NUEVAS LISTAS'!$B$3:$P$403,'Ventas '!X$6,FALSE)</f>
        <v>4839</v>
      </c>
      <c r="Y92" s="278">
        <f>VLOOKUP(Tabla110[[#This Row],[Producto]],'NUEVAS LISTAS'!$B$3:$P$403,'Ventas '!Y$6,FALSE)</f>
        <v>5089</v>
      </c>
      <c r="Z92" s="278">
        <f>VLOOKUP(Tabla110[[#This Row],[Producto]],'NUEVAS LISTAS'!$B$3:$P$403,'Ventas '!Z$6,FALSE)</f>
        <v>5359</v>
      </c>
      <c r="AA92" s="543">
        <f>IF(AB92&lt;$AC$2,0,IF(Tabla110[[#This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2" s="539">
        <f>SUMIFS(Tabla110[[#All],[Venta Total]],Tabla110[[#All],[Asesor]],Tabla110[[#This Row],[Asesor]],Tabla110[[#All],[Fecha Cobranza]],"&lt;="&amp;Tabla110[[#This Row],[Fecha Cobranza]],Tabla110[[#All],[Fecha Cobranza]],"&gt;="&amp;Tabla110[[#This Row],[Fecha Cobranza]]-28)</f>
        <v>312330.99759999994</v>
      </c>
      <c r="AC92" s="542">
        <f t="shared" si="20"/>
        <v>0</v>
      </c>
      <c r="AD92" s="544">
        <f t="shared" si="21"/>
        <v>0.02</v>
      </c>
      <c r="AE92" s="545">
        <f>+AD92*Tabla110[[#This Row],[Venta Total]]</f>
        <v>179.91994399999999</v>
      </c>
    </row>
    <row r="93" spans="1:31" x14ac:dyDescent="0.2">
      <c r="A93" s="264">
        <v>46006</v>
      </c>
      <c r="B93" s="274" t="str">
        <f t="shared" si="22"/>
        <v>December</v>
      </c>
      <c r="C93" s="265" t="s">
        <v>547</v>
      </c>
      <c r="D93" s="266" t="str">
        <f>VLOOKUP(Tabla110[[#This Row],[Asesor]],Tabla2[[Asesores]:[TIPO]],2,0)</f>
        <v>INTERNO</v>
      </c>
      <c r="E93" s="268" t="s">
        <v>1147</v>
      </c>
      <c r="F93" s="267" t="s">
        <v>3811</v>
      </c>
      <c r="G93" s="50" t="s">
        <v>647</v>
      </c>
      <c r="H93" s="269">
        <v>1</v>
      </c>
      <c r="I93" s="275">
        <v>5780.17</v>
      </c>
      <c r="J93" s="260">
        <f>+Tabla110[[#This Row],[Precio Bruto]]*1.16</f>
        <v>6704.9971999999998</v>
      </c>
      <c r="L93" s="270">
        <f>++(Tabla110[[#This Row],[Precio Unitario Neto]]*Tabla110[[#This Row],[Cantidad]])-(Tabla110[[#This Row],[Cantidad]]*Tabla110[[#This Row],[Apoyo]])</f>
        <v>6704.9971999999998</v>
      </c>
      <c r="M93" s="270" t="e">
        <f>((INDEX(Tabla6[#All],MATCH(Tabla110[[#This Row],[Producto]],Tabla6[[#All],[PRODUCTO]],0),MATCH(Tabla110[[#This Row],[Mes]],Tabla6[#Headers],0)))*(1+(IF(Tabla110[[#This Row],[FLETE]]="no",Catalogos!$M$2,Catalogos!$L$2))))</f>
        <v>#N/A</v>
      </c>
      <c r="N93" s="270" t="e">
        <f>+IF((Tabla110[[#This Row],[Precio Unitario Neto]]-Tabla110[[#This Row],[Apoyo]]-Tabla110[[#This Row],[COSTO + INDI]])&lt;=0,0,(Tabla110[[#This Row],[Precio Unitario Neto]]-Tabla110[[#This Row],[Apoyo]]-Tabla110[[#This Row],[COSTO + INDI]]))</f>
        <v>#N/A</v>
      </c>
      <c r="O93" s="258" t="e">
        <f>++Tabla110[[#This Row],[Utilidad Neta x Eq.]]*Tabla110[[#This Row],[Cantidad]]</f>
        <v>#N/A</v>
      </c>
      <c r="P93" s="271" t="e">
        <f>++Tabla110[[#This Row],[Utilidad Neta Total]]/Tabla110[[#This Row],[Venta Total]]</f>
        <v>#N/A</v>
      </c>
      <c r="Q93" s="258" t="s">
        <v>604</v>
      </c>
      <c r="R93" s="272" t="e">
        <f>INDEX(Tabla6[#All],MATCH(Tabla110[[#This Row],[Producto]],Tabla6[[#All],[PRODUCTO]],0),MATCH(Tabla110[[#This Row],[Mes]],Tabla6[#Headers],0))</f>
        <v>#N/A</v>
      </c>
      <c r="S93" s="260" t="e">
        <f>++Tabla110[[#This Row],[Precio Unitario Neto]]-Tabla110[[#This Row],[Apoyo]]-Tabla110[[#This Row],[Costo unitario]]</f>
        <v>#N/A</v>
      </c>
      <c r="T93" s="273" t="e">
        <f>+Tabla110[[#This Row],[Utilidad Bruta]]*Tabla110[[#This Row],[Cantidad]]</f>
        <v>#N/A</v>
      </c>
      <c r="U93" s="404" t="e">
        <f>++Tabla110[[#This Row],[Utilidad Bruta Total]]*$V$1</f>
        <v>#N/A</v>
      </c>
      <c r="V93" s="278" t="e">
        <f>++Tabla110[[#This Row],[Utilidad Bruta Total]]*$V$1</f>
        <v>#N/A</v>
      </c>
      <c r="W93" s="278">
        <f>VLOOKUP(Tabla110[[#This Row],[Producto]],'NUEVAS LISTAS'!$B$3:$P$403,'Ventas '!W$6,FALSE)</f>
        <v>6199</v>
      </c>
      <c r="X93" s="278">
        <f>VLOOKUP(Tabla110[[#This Row],[Producto]],'NUEVAS LISTAS'!$B$3:$P$403,'Ventas '!X$6,FALSE)</f>
        <v>6529</v>
      </c>
      <c r="Y93" s="278">
        <f>VLOOKUP(Tabla110[[#This Row],[Producto]],'NUEVAS LISTAS'!$B$3:$P$403,'Ventas '!Y$6,FALSE)</f>
        <v>6869</v>
      </c>
      <c r="Z93" s="278">
        <f>VLOOKUP(Tabla110[[#This Row],[Producto]],'NUEVAS LISTAS'!$B$3:$P$403,'Ventas '!Z$6,FALSE)</f>
        <v>7229</v>
      </c>
      <c r="AA93" s="543">
        <f>IF(AB93&lt;$AC$2,0,IF(Tabla110[[#This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93" s="539">
        <f>SUMIFS(Tabla110[[#All],[Venta Total]],Tabla110[[#All],[Asesor]],Tabla110[[#This Row],[Asesor]],Tabla110[[#All],[Fecha Cobranza]],"&lt;="&amp;Tabla110[[#This Row],[Fecha Cobranza]],Tabla110[[#All],[Fecha Cobranza]],"&gt;="&amp;Tabla110[[#This Row],[Fecha Cobranza]]-28)</f>
        <v>312330.99759999994</v>
      </c>
      <c r="AC93" s="542">
        <f t="shared" si="20"/>
        <v>0</v>
      </c>
      <c r="AD93" s="544">
        <f t="shared" si="21"/>
        <v>2.2499999999999999E-2</v>
      </c>
      <c r="AE93" s="545">
        <f>+AD93*Tabla110[[#This Row],[Venta Total]]</f>
        <v>150.862437</v>
      </c>
    </row>
    <row r="94" spans="1:31" x14ac:dyDescent="0.2">
      <c r="A94" s="264">
        <v>46006</v>
      </c>
      <c r="B94" s="274" t="str">
        <f t="shared" si="22"/>
        <v>December</v>
      </c>
      <c r="C94" s="265" t="s">
        <v>547</v>
      </c>
      <c r="D94" s="266" t="str">
        <f>VLOOKUP(Tabla110[[#This Row],[Asesor]],Tabla2[[Asesores]:[TIPO]],2,0)</f>
        <v>INTERNO</v>
      </c>
      <c r="E94" s="268" t="s">
        <v>1147</v>
      </c>
      <c r="F94" s="267" t="s">
        <v>3811</v>
      </c>
      <c r="G94" s="50" t="s">
        <v>553</v>
      </c>
      <c r="H94" s="269">
        <v>21</v>
      </c>
      <c r="I94" s="275">
        <v>4.0952380952380948E-2</v>
      </c>
      <c r="J94" s="260">
        <f>+Tabla110[[#This Row],[Precio Bruto]]*1.16</f>
        <v>4.7504761904761897E-2</v>
      </c>
      <c r="L94" s="270">
        <f>++(Tabla110[[#This Row],[Precio Unitario Neto]]*Tabla110[[#This Row],[Cantidad]])-(Tabla110[[#This Row],[Cantidad]]*Tabla110[[#This Row],[Apoyo]])</f>
        <v>0.99759999999999982</v>
      </c>
      <c r="M94" s="270" t="e">
        <f>((INDEX(Tabla6[#All],MATCH(Tabla110[[#This Row],[Producto]],Tabla6[[#All],[PRODUCTO]],0),MATCH(Tabla110[[#This Row],[Mes]],Tabla6[#Headers],0)))*(1+(IF(Tabla110[[#This Row],[FLETE]]="no",Catalogos!$M$2,Catalogos!$L$2))))</f>
        <v>#N/A</v>
      </c>
      <c r="N94" s="270" t="e">
        <f>+IF((Tabla110[[#This Row],[Precio Unitario Neto]]-Tabla110[[#This Row],[Apoyo]]-Tabla110[[#This Row],[COSTO + INDI]])&lt;=0,0,(Tabla110[[#This Row],[Precio Unitario Neto]]-Tabla110[[#This Row],[Apoyo]]-Tabla110[[#This Row],[COSTO + INDI]]))</f>
        <v>#N/A</v>
      </c>
      <c r="O94" s="258" t="e">
        <f>++Tabla110[[#This Row],[Utilidad Neta x Eq.]]*Tabla110[[#This Row],[Cantidad]]</f>
        <v>#N/A</v>
      </c>
      <c r="P94" s="271" t="e">
        <f>++Tabla110[[#This Row],[Utilidad Neta Total]]/Tabla110[[#This Row],[Venta Total]]</f>
        <v>#N/A</v>
      </c>
      <c r="Q94" s="258" t="s">
        <v>604</v>
      </c>
      <c r="R94" s="272" t="e">
        <f>INDEX(Tabla6[#All],MATCH(Tabla110[[#This Row],[Producto]],Tabla6[[#All],[PRODUCTO]],0),MATCH(Tabla110[[#This Row],[Mes]],Tabla6[#Headers],0))</f>
        <v>#N/A</v>
      </c>
      <c r="S94" s="260" t="e">
        <f>++Tabla110[[#This Row],[Precio Unitario Neto]]-Tabla110[[#This Row],[Apoyo]]-Tabla110[[#This Row],[Costo unitario]]</f>
        <v>#N/A</v>
      </c>
      <c r="T94" s="273" t="e">
        <f>+Tabla110[[#This Row],[Utilidad Bruta]]*Tabla110[[#This Row],[Cantidad]]</f>
        <v>#N/A</v>
      </c>
      <c r="U94" s="404" t="e">
        <f>++Tabla110[[#This Row],[Utilidad Bruta Total]]*$V$1</f>
        <v>#N/A</v>
      </c>
      <c r="V94" s="278" t="e">
        <f>++Tabla110[[#This Row],[Utilidad Bruta Total]]*$V$1</f>
        <v>#N/A</v>
      </c>
      <c r="W94" s="278">
        <f>VLOOKUP(Tabla110[[#This Row],[Producto]],'NUEVAS LISTAS'!$B$3:$P$403,'Ventas '!W$6,FALSE)</f>
        <v>24.466071182991055</v>
      </c>
      <c r="X94" s="278">
        <f>VLOOKUP(Tabla110[[#This Row],[Producto]],'NUEVAS LISTAS'!$B$3:$P$403,'Ventas '!X$6,FALSE)</f>
        <v>26.50491044824031</v>
      </c>
      <c r="Y94" s="278">
        <f>VLOOKUP(Tabla110[[#This Row],[Producto]],'NUEVAS LISTAS'!$B$3:$P$403,'Ventas '!Y$6,FALSE)</f>
        <v>27.899905734989801</v>
      </c>
      <c r="Z94" s="278">
        <f>VLOOKUP(Tabla110[[#This Row],[Producto]],'NUEVAS LISTAS'!$B$3:$P$403,'Ventas '!Z$6,FALSE)</f>
        <v>29.368321826305056</v>
      </c>
      <c r="AA94" s="543">
        <f>IF(AB94&lt;$AC$2,0,IF(Tabla110[[#This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4" s="539">
        <f>SUMIFS(Tabla110[[#All],[Venta Total]],Tabla110[[#All],[Asesor]],Tabla110[[#This Row],[Asesor]],Tabla110[[#All],[Fecha Cobranza]],"&lt;="&amp;Tabla110[[#This Row],[Fecha Cobranza]],Tabla110[[#All],[Fecha Cobranza]],"&gt;="&amp;Tabla110[[#This Row],[Fecha Cobranza]]-28)</f>
        <v>312330.99759999994</v>
      </c>
      <c r="AC94" s="542">
        <f t="shared" si="20"/>
        <v>0</v>
      </c>
      <c r="AD94" s="544">
        <f t="shared" si="21"/>
        <v>0.02</v>
      </c>
      <c r="AE94" s="545">
        <f>+AD94*Tabla110[[#This Row],[Venta Total]]</f>
        <v>1.9951999999999998E-2</v>
      </c>
    </row>
    <row r="95" spans="1:31" x14ac:dyDescent="0.2">
      <c r="A95" s="264">
        <v>46006</v>
      </c>
      <c r="B95" s="274" t="str">
        <f t="shared" ref="B95:B100" si="23">TEXT(A95,"mmmm")</f>
        <v>December</v>
      </c>
      <c r="C95" s="265" t="s">
        <v>547</v>
      </c>
      <c r="D95" s="266" t="str">
        <f>VLOOKUP(Tabla110[[#This Row],[Asesor]],Tabla2[[Asesores]:[TIPO]],2,0)</f>
        <v>INTERNO</v>
      </c>
      <c r="E95" s="268" t="s">
        <v>640</v>
      </c>
      <c r="F95" s="267" t="s">
        <v>3812</v>
      </c>
      <c r="G95" s="50" t="s">
        <v>460</v>
      </c>
      <c r="H95" s="269">
        <v>6</v>
      </c>
      <c r="I95" s="275">
        <v>1853.4483333333335</v>
      </c>
      <c r="J95" s="260">
        <f>+Tabla110[[#This Row],[Precio Bruto]]*1.16</f>
        <v>2150.0000666666665</v>
      </c>
      <c r="L95" s="270">
        <f>++(Tabla110[[#This Row],[Precio Unitario Neto]]*Tabla110[[#This Row],[Cantidad]])-(Tabla110[[#This Row],[Cantidad]]*Tabla110[[#This Row],[Apoyo]])</f>
        <v>12900.000399999999</v>
      </c>
      <c r="M95" s="270" t="e">
        <f>((INDEX(Tabla6[#All],MATCH(Tabla110[[#This Row],[Producto]],Tabla6[[#All],[PRODUCTO]],0),MATCH(Tabla110[[#This Row],[Mes]],Tabla6[#Headers],0)))*(1+(IF(Tabla110[[#This Row],[FLETE]]="no",Catalogos!$M$2,Catalogos!$L$2))))</f>
        <v>#N/A</v>
      </c>
      <c r="N95" s="270" t="e">
        <f>+IF((Tabla110[[#This Row],[Precio Unitario Neto]]-Tabla110[[#This Row],[Apoyo]]-Tabla110[[#This Row],[COSTO + INDI]])&lt;=0,0,(Tabla110[[#This Row],[Precio Unitario Neto]]-Tabla110[[#This Row],[Apoyo]]-Tabla110[[#This Row],[COSTO + INDI]]))</f>
        <v>#N/A</v>
      </c>
      <c r="O95" s="258" t="e">
        <f>++Tabla110[[#This Row],[Utilidad Neta x Eq.]]*Tabla110[[#This Row],[Cantidad]]</f>
        <v>#N/A</v>
      </c>
      <c r="P95" s="271" t="e">
        <f>++Tabla110[[#This Row],[Utilidad Neta Total]]/Tabla110[[#This Row],[Venta Total]]</f>
        <v>#N/A</v>
      </c>
      <c r="Q95" s="258" t="s">
        <v>604</v>
      </c>
      <c r="R95" s="272" t="e">
        <f>INDEX(Tabla6[#All],MATCH(Tabla110[[#This Row],[Producto]],Tabla6[[#All],[PRODUCTO]],0),MATCH(Tabla110[[#This Row],[Mes]],Tabla6[#Headers],0))</f>
        <v>#N/A</v>
      </c>
      <c r="S95" s="260" t="e">
        <f>++Tabla110[[#This Row],[Precio Unitario Neto]]-Tabla110[[#This Row],[Apoyo]]-Tabla110[[#This Row],[Costo unitario]]</f>
        <v>#N/A</v>
      </c>
      <c r="T95" s="273" t="e">
        <f>+Tabla110[[#This Row],[Utilidad Bruta]]*Tabla110[[#This Row],[Cantidad]]</f>
        <v>#N/A</v>
      </c>
      <c r="U95" s="404" t="e">
        <f>++Tabla110[[#This Row],[Utilidad Bruta Total]]*$V$1</f>
        <v>#N/A</v>
      </c>
      <c r="V95" s="278" t="e">
        <f>++Tabla110[[#This Row],[Utilidad Bruta Total]]*$V$1</f>
        <v>#N/A</v>
      </c>
      <c r="W95" s="278">
        <f>VLOOKUP(Tabla110[[#This Row],[Producto]],'NUEVAS LISTAS'!$B$3:$P$403,'Ventas '!W$6,FALSE)</f>
        <v>2219</v>
      </c>
      <c r="X95" s="278">
        <f>VLOOKUP(Tabla110[[#This Row],[Producto]],'NUEVAS LISTAS'!$B$3:$P$403,'Ventas '!X$6,FALSE)</f>
        <v>2339</v>
      </c>
      <c r="Y95" s="278">
        <f>VLOOKUP(Tabla110[[#This Row],[Producto]],'NUEVAS LISTAS'!$B$3:$P$403,'Ventas '!Y$6,FALSE)</f>
        <v>2459</v>
      </c>
      <c r="Z95" s="278">
        <f>VLOOKUP(Tabla110[[#This Row],[Producto]],'NUEVAS LISTAS'!$B$3:$P$403,'Ventas '!Z$6,FALSE)</f>
        <v>2589</v>
      </c>
      <c r="AA95" s="543">
        <f>IF(AB95&lt;$AC$2,0,IF(Tabla110[[#This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5" s="539">
        <f>SUMIFS(Tabla110[[#All],[Venta Total]],Tabla110[[#All],[Asesor]],Tabla110[[#This Row],[Asesor]],Tabla110[[#All],[Fecha Cobranza]],"&lt;="&amp;Tabla110[[#This Row],[Fecha Cobranza]],Tabla110[[#All],[Fecha Cobranza]],"&gt;="&amp;Tabla110[[#This Row],[Fecha Cobranza]]-28)</f>
        <v>312330.99759999994</v>
      </c>
      <c r="AC95" s="542">
        <f t="shared" si="20"/>
        <v>0</v>
      </c>
      <c r="AD95" s="544">
        <f t="shared" si="21"/>
        <v>0.02</v>
      </c>
      <c r="AE95" s="545">
        <f>+AD95*Tabla110[[#This Row],[Venta Total]]</f>
        <v>258.00000799999998</v>
      </c>
    </row>
    <row r="96" spans="1:31" x14ac:dyDescent="0.2">
      <c r="A96" s="264">
        <v>46006</v>
      </c>
      <c r="B96" s="274" t="str">
        <f t="shared" si="23"/>
        <v>December</v>
      </c>
      <c r="C96" s="265" t="s">
        <v>547</v>
      </c>
      <c r="D96" s="266" t="str">
        <f>VLOOKUP(Tabla110[[#This Row],[Asesor]],Tabla2[[Asesores]:[TIPO]],2,0)</f>
        <v>INTERNO</v>
      </c>
      <c r="E96" s="268" t="s">
        <v>640</v>
      </c>
      <c r="F96" s="267" t="s">
        <v>3812</v>
      </c>
      <c r="G96" s="50" t="s">
        <v>369</v>
      </c>
      <c r="H96" s="269">
        <v>8</v>
      </c>
      <c r="I96" s="275">
        <v>2173.2762499999999</v>
      </c>
      <c r="J96" s="260">
        <f>+Tabla110[[#This Row],[Precio Bruto]]*1.16</f>
        <v>2521.0004499999995</v>
      </c>
      <c r="L96" s="270">
        <f>++(Tabla110[[#This Row],[Precio Unitario Neto]]*Tabla110[[#This Row],[Cantidad]])-(Tabla110[[#This Row],[Cantidad]]*Tabla110[[#This Row],[Apoyo]])</f>
        <v>20168.003599999996</v>
      </c>
      <c r="M96" s="270" t="e">
        <f>((INDEX(Tabla6[#All],MATCH(Tabla110[[#This Row],[Producto]],Tabla6[[#All],[PRODUCTO]],0),MATCH(Tabla110[[#This Row],[Mes]],Tabla6[#Headers],0)))*(1+(IF(Tabla110[[#This Row],[FLETE]]="no",Catalogos!$M$2,Catalogos!$L$2))))</f>
        <v>#N/A</v>
      </c>
      <c r="N96" s="270" t="e">
        <f>+IF((Tabla110[[#This Row],[Precio Unitario Neto]]-Tabla110[[#This Row],[Apoyo]]-Tabla110[[#This Row],[COSTO + INDI]])&lt;=0,0,(Tabla110[[#This Row],[Precio Unitario Neto]]-Tabla110[[#This Row],[Apoyo]]-Tabla110[[#This Row],[COSTO + INDI]]))</f>
        <v>#N/A</v>
      </c>
      <c r="O96" s="258" t="e">
        <f>++Tabla110[[#This Row],[Utilidad Neta x Eq.]]*Tabla110[[#This Row],[Cantidad]]</f>
        <v>#N/A</v>
      </c>
      <c r="P96" s="271" t="e">
        <f>++Tabla110[[#This Row],[Utilidad Neta Total]]/Tabla110[[#This Row],[Venta Total]]</f>
        <v>#N/A</v>
      </c>
      <c r="Q96" s="258" t="s">
        <v>604</v>
      </c>
      <c r="R96" s="272" t="e">
        <f>INDEX(Tabla6[#All],MATCH(Tabla110[[#This Row],[Producto]],Tabla6[[#All],[PRODUCTO]],0),MATCH(Tabla110[[#This Row],[Mes]],Tabla6[#Headers],0))</f>
        <v>#N/A</v>
      </c>
      <c r="S96" s="260" t="e">
        <f>++Tabla110[[#This Row],[Precio Unitario Neto]]-Tabla110[[#This Row],[Apoyo]]-Tabla110[[#This Row],[Costo unitario]]</f>
        <v>#N/A</v>
      </c>
      <c r="T96" s="273" t="e">
        <f>+Tabla110[[#This Row],[Utilidad Bruta]]*Tabla110[[#This Row],[Cantidad]]</f>
        <v>#N/A</v>
      </c>
      <c r="U96" s="404" t="e">
        <f>++Tabla110[[#This Row],[Utilidad Bruta Total]]*$V$1</f>
        <v>#N/A</v>
      </c>
      <c r="V96" s="278" t="e">
        <f>++Tabla110[[#This Row],[Utilidad Bruta Total]]*$V$1</f>
        <v>#N/A</v>
      </c>
      <c r="W96" s="278">
        <f>VLOOKUP(Tabla110[[#This Row],[Producto]],'NUEVAS LISTAS'!$B$3:$P$403,'Ventas '!W$6,FALSE)</f>
        <v>2569</v>
      </c>
      <c r="X96" s="278">
        <f>VLOOKUP(Tabla110[[#This Row],[Producto]],'NUEVAS LISTAS'!$B$3:$P$403,'Ventas '!X$6,FALSE)</f>
        <v>2699</v>
      </c>
      <c r="Y96" s="278">
        <f>VLOOKUP(Tabla110[[#This Row],[Producto]],'NUEVAS LISTAS'!$B$3:$P$403,'Ventas '!Y$6,FALSE)</f>
        <v>2839</v>
      </c>
      <c r="Z96" s="278">
        <f>VLOOKUP(Tabla110[[#This Row],[Producto]],'NUEVAS LISTAS'!$B$3:$P$403,'Ventas '!Z$6,FALSE)</f>
        <v>2989</v>
      </c>
      <c r="AA96" s="543">
        <f>IF(AB96&lt;$AC$2,0,IF(Tabla110[[#This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6" s="539">
        <f>SUMIFS(Tabla110[[#All],[Venta Total]],Tabla110[[#All],[Asesor]],Tabla110[[#This Row],[Asesor]],Tabla110[[#All],[Fecha Cobranza]],"&lt;="&amp;Tabla110[[#This Row],[Fecha Cobranza]],Tabla110[[#All],[Fecha Cobranza]],"&gt;="&amp;Tabla110[[#This Row],[Fecha Cobranza]]-28)</f>
        <v>312330.99759999994</v>
      </c>
      <c r="AC96" s="542">
        <f t="shared" si="20"/>
        <v>0</v>
      </c>
      <c r="AD96" s="544">
        <f t="shared" si="21"/>
        <v>0.02</v>
      </c>
      <c r="AE96" s="545">
        <f>+AD96*Tabla110[[#This Row],[Venta Total]]</f>
        <v>403.36007199999995</v>
      </c>
    </row>
    <row r="97" spans="1:31" x14ac:dyDescent="0.2">
      <c r="A97" s="264">
        <v>46006</v>
      </c>
      <c r="B97" s="274" t="str">
        <f t="shared" si="23"/>
        <v>December</v>
      </c>
      <c r="C97" s="265" t="s">
        <v>547</v>
      </c>
      <c r="D97" s="266" t="str">
        <f>VLOOKUP(Tabla110[[#This Row],[Asesor]],Tabla2[[Asesores]:[TIPO]],2,0)</f>
        <v>INTERNO</v>
      </c>
      <c r="E97" s="268" t="s">
        <v>640</v>
      </c>
      <c r="F97" s="267" t="s">
        <v>3812</v>
      </c>
      <c r="G97" s="50" t="s">
        <v>370</v>
      </c>
      <c r="H97" s="269">
        <v>4</v>
      </c>
      <c r="I97" s="275">
        <v>2370.69</v>
      </c>
      <c r="J97" s="260">
        <f>+Tabla110[[#This Row],[Precio Bruto]]*1.16</f>
        <v>2750.0003999999999</v>
      </c>
      <c r="L97" s="270">
        <f>++(Tabla110[[#This Row],[Precio Unitario Neto]]*Tabla110[[#This Row],[Cantidad]])-(Tabla110[[#This Row],[Cantidad]]*Tabla110[[#This Row],[Apoyo]])</f>
        <v>11000.0016</v>
      </c>
      <c r="M97" s="270" t="e">
        <f>((INDEX(Tabla6[#All],MATCH(Tabla110[[#This Row],[Producto]],Tabla6[[#All],[PRODUCTO]],0),MATCH(Tabla110[[#This Row],[Mes]],Tabla6[#Headers],0)))*(1+(IF(Tabla110[[#This Row],[FLETE]]="no",Catalogos!$M$2,Catalogos!$L$2))))</f>
        <v>#N/A</v>
      </c>
      <c r="N97" s="270" t="e">
        <f>+IF((Tabla110[[#This Row],[Precio Unitario Neto]]-Tabla110[[#This Row],[Apoyo]]-Tabla110[[#This Row],[COSTO + INDI]])&lt;=0,0,(Tabla110[[#This Row],[Precio Unitario Neto]]-Tabla110[[#This Row],[Apoyo]]-Tabla110[[#This Row],[COSTO + INDI]]))</f>
        <v>#N/A</v>
      </c>
      <c r="O97" s="258" t="e">
        <f>++Tabla110[[#This Row],[Utilidad Neta x Eq.]]*Tabla110[[#This Row],[Cantidad]]</f>
        <v>#N/A</v>
      </c>
      <c r="P97" s="271" t="e">
        <f>++Tabla110[[#This Row],[Utilidad Neta Total]]/Tabla110[[#This Row],[Venta Total]]</f>
        <v>#N/A</v>
      </c>
      <c r="Q97" s="258" t="s">
        <v>604</v>
      </c>
      <c r="R97" s="272" t="e">
        <f>INDEX(Tabla6[#All],MATCH(Tabla110[[#This Row],[Producto]],Tabla6[[#All],[PRODUCTO]],0),MATCH(Tabla110[[#This Row],[Mes]],Tabla6[#Headers],0))</f>
        <v>#N/A</v>
      </c>
      <c r="S97" s="260" t="e">
        <f>++Tabla110[[#This Row],[Precio Unitario Neto]]-Tabla110[[#This Row],[Apoyo]]-Tabla110[[#This Row],[Costo unitario]]</f>
        <v>#N/A</v>
      </c>
      <c r="T97" s="273" t="e">
        <f>+Tabla110[[#This Row],[Utilidad Bruta]]*Tabla110[[#This Row],[Cantidad]]</f>
        <v>#N/A</v>
      </c>
      <c r="U97" s="404" t="e">
        <f>++Tabla110[[#This Row],[Utilidad Bruta Total]]*$V$1</f>
        <v>#N/A</v>
      </c>
      <c r="V97" s="278" t="e">
        <f>++Tabla110[[#This Row],[Utilidad Bruta Total]]*$V$1</f>
        <v>#N/A</v>
      </c>
      <c r="W97" s="278">
        <f>VLOOKUP(Tabla110[[#This Row],[Producto]],'NUEVAS LISTAS'!$B$3:$P$403,'Ventas '!W$6,FALSE)</f>
        <v>2929</v>
      </c>
      <c r="X97" s="278">
        <f>VLOOKUP(Tabla110[[#This Row],[Producto]],'NUEVAS LISTAS'!$B$3:$P$403,'Ventas '!X$6,FALSE)</f>
        <v>3079</v>
      </c>
      <c r="Y97" s="278">
        <f>VLOOKUP(Tabla110[[#This Row],[Producto]],'NUEVAS LISTAS'!$B$3:$P$403,'Ventas '!Y$6,FALSE)</f>
        <v>3239</v>
      </c>
      <c r="Z97" s="278">
        <f>VLOOKUP(Tabla110[[#This Row],[Producto]],'NUEVAS LISTAS'!$B$3:$P$403,'Ventas '!Z$6,FALSE)</f>
        <v>3409</v>
      </c>
      <c r="AA97" s="543">
        <f>IF(AB97&lt;$AC$2,0,IF(Tabla110[[#This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7" s="539">
        <f>SUMIFS(Tabla110[[#All],[Venta Total]],Tabla110[[#All],[Asesor]],Tabla110[[#This Row],[Asesor]],Tabla110[[#All],[Fecha Cobranza]],"&lt;="&amp;Tabla110[[#This Row],[Fecha Cobranza]],Tabla110[[#All],[Fecha Cobranza]],"&gt;="&amp;Tabla110[[#This Row],[Fecha Cobranza]]-28)</f>
        <v>312330.99759999994</v>
      </c>
      <c r="AC97" s="542">
        <f t="shared" si="20"/>
        <v>0</v>
      </c>
      <c r="AD97" s="544">
        <f t="shared" si="21"/>
        <v>0.02</v>
      </c>
      <c r="AE97" s="545">
        <f>+AD97*Tabla110[[#This Row],[Venta Total]]</f>
        <v>220.000032</v>
      </c>
    </row>
    <row r="98" spans="1:31" x14ac:dyDescent="0.2">
      <c r="A98" s="264">
        <v>46006</v>
      </c>
      <c r="B98" s="274" t="str">
        <f t="shared" si="23"/>
        <v>December</v>
      </c>
      <c r="C98" s="265" t="s">
        <v>547</v>
      </c>
      <c r="D98" s="266" t="str">
        <f>VLOOKUP(Tabla110[[#This Row],[Asesor]],Tabla2[[Asesores]:[TIPO]],2,0)</f>
        <v>INTERNO</v>
      </c>
      <c r="E98" s="268" t="s">
        <v>640</v>
      </c>
      <c r="F98" s="267" t="s">
        <v>3812</v>
      </c>
      <c r="G98" s="50" t="s">
        <v>371</v>
      </c>
      <c r="H98" s="269">
        <v>8</v>
      </c>
      <c r="I98" s="275">
        <v>2862.0687499999999</v>
      </c>
      <c r="J98" s="260">
        <f>+Tabla110[[#This Row],[Precio Bruto]]*1.16</f>
        <v>3319.9997499999995</v>
      </c>
      <c r="L98" s="270">
        <f>++(Tabla110[[#This Row],[Precio Unitario Neto]]*Tabla110[[#This Row],[Cantidad]])-(Tabla110[[#This Row],[Cantidad]]*Tabla110[[#This Row],[Apoyo]])</f>
        <v>26559.997999999996</v>
      </c>
      <c r="M98" s="270" t="e">
        <f>((INDEX(Tabla6[#All],MATCH(Tabla110[[#This Row],[Producto]],Tabla6[[#All],[PRODUCTO]],0),MATCH(Tabla110[[#This Row],[Mes]],Tabla6[#Headers],0)))*(1+(IF(Tabla110[[#This Row],[FLETE]]="no",Catalogos!$M$2,Catalogos!$L$2))))</f>
        <v>#N/A</v>
      </c>
      <c r="N98" s="270" t="e">
        <f>+IF((Tabla110[[#This Row],[Precio Unitario Neto]]-Tabla110[[#This Row],[Apoyo]]-Tabla110[[#This Row],[COSTO + INDI]])&lt;=0,0,(Tabla110[[#This Row],[Precio Unitario Neto]]-Tabla110[[#This Row],[Apoyo]]-Tabla110[[#This Row],[COSTO + INDI]]))</f>
        <v>#N/A</v>
      </c>
      <c r="O98" s="258" t="e">
        <f>++Tabla110[[#This Row],[Utilidad Neta x Eq.]]*Tabla110[[#This Row],[Cantidad]]</f>
        <v>#N/A</v>
      </c>
      <c r="P98" s="271" t="e">
        <f>++Tabla110[[#This Row],[Utilidad Neta Total]]/Tabla110[[#This Row],[Venta Total]]</f>
        <v>#N/A</v>
      </c>
      <c r="Q98" s="258" t="s">
        <v>604</v>
      </c>
      <c r="R98" s="272" t="e">
        <f>INDEX(Tabla6[#All],MATCH(Tabla110[[#This Row],[Producto]],Tabla6[[#All],[PRODUCTO]],0),MATCH(Tabla110[[#This Row],[Mes]],Tabla6[#Headers],0))</f>
        <v>#N/A</v>
      </c>
      <c r="S98" s="260" t="e">
        <f>++Tabla110[[#This Row],[Precio Unitario Neto]]-Tabla110[[#This Row],[Apoyo]]-Tabla110[[#This Row],[Costo unitario]]</f>
        <v>#N/A</v>
      </c>
      <c r="T98" s="273" t="e">
        <f>+Tabla110[[#This Row],[Utilidad Bruta]]*Tabla110[[#This Row],[Cantidad]]</f>
        <v>#N/A</v>
      </c>
      <c r="U98" s="404" t="e">
        <f>++Tabla110[[#This Row],[Utilidad Bruta Total]]*$V$1</f>
        <v>#N/A</v>
      </c>
      <c r="V98" s="278" t="e">
        <f>++Tabla110[[#This Row],[Utilidad Bruta Total]]*$V$1</f>
        <v>#N/A</v>
      </c>
      <c r="W98" s="278">
        <f>VLOOKUP(Tabla110[[#This Row],[Producto]],'NUEVAS LISTAS'!$B$3:$P$403,'Ventas '!W$6,FALSE)</f>
        <v>3359</v>
      </c>
      <c r="X98" s="278">
        <f>VLOOKUP(Tabla110[[#This Row],[Producto]],'NUEVAS LISTAS'!$B$3:$P$403,'Ventas '!X$6,FALSE)</f>
        <v>3539</v>
      </c>
      <c r="Y98" s="278">
        <f>VLOOKUP(Tabla110[[#This Row],[Producto]],'NUEVAS LISTAS'!$B$3:$P$403,'Ventas '!Y$6,FALSE)</f>
        <v>3729</v>
      </c>
      <c r="Z98" s="278">
        <f>VLOOKUP(Tabla110[[#This Row],[Producto]],'NUEVAS LISTAS'!$B$3:$P$403,'Ventas '!Z$6,FALSE)</f>
        <v>3929</v>
      </c>
      <c r="AA98" s="543">
        <f>IF(AB98&lt;$AC$2,0,IF(Tabla110[[#This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8" s="539">
        <f>SUMIFS(Tabla110[[#All],[Venta Total]],Tabla110[[#All],[Asesor]],Tabla110[[#This Row],[Asesor]],Tabla110[[#All],[Fecha Cobranza]],"&lt;="&amp;Tabla110[[#This Row],[Fecha Cobranza]],Tabla110[[#All],[Fecha Cobranza]],"&gt;="&amp;Tabla110[[#This Row],[Fecha Cobranza]]-28)</f>
        <v>312330.99759999994</v>
      </c>
      <c r="AC98" s="542">
        <f t="shared" si="20"/>
        <v>0</v>
      </c>
      <c r="AD98" s="544">
        <f t="shared" si="21"/>
        <v>0.02</v>
      </c>
      <c r="AE98" s="545">
        <f>+AD98*Tabla110[[#This Row],[Venta Total]]</f>
        <v>531.19995999999992</v>
      </c>
    </row>
    <row r="99" spans="1:31" x14ac:dyDescent="0.2">
      <c r="A99" s="264">
        <v>46006</v>
      </c>
      <c r="B99" s="274" t="str">
        <f t="shared" si="23"/>
        <v>December</v>
      </c>
      <c r="C99" s="265" t="s">
        <v>547</v>
      </c>
      <c r="D99" s="266" t="str">
        <f>VLOOKUP(Tabla110[[#This Row],[Asesor]],Tabla2[[Asesores]:[TIPO]],2,0)</f>
        <v>INTERNO</v>
      </c>
      <c r="E99" s="268" t="s">
        <v>640</v>
      </c>
      <c r="F99" s="267" t="s">
        <v>3812</v>
      </c>
      <c r="G99" s="50" t="s">
        <v>645</v>
      </c>
      <c r="H99" s="269">
        <v>1</v>
      </c>
      <c r="I99" s="275">
        <v>3596.55</v>
      </c>
      <c r="J99" s="260">
        <f>+Tabla110[[#This Row],[Precio Bruto]]*1.16</f>
        <v>4171.9979999999996</v>
      </c>
      <c r="L99" s="270">
        <f>++(Tabla110[[#This Row],[Precio Unitario Neto]]*Tabla110[[#This Row],[Cantidad]])-(Tabla110[[#This Row],[Cantidad]]*Tabla110[[#This Row],[Apoyo]])</f>
        <v>4171.9979999999996</v>
      </c>
      <c r="M99" s="270" t="e">
        <f>((INDEX(Tabla6[#All],MATCH(Tabla110[[#This Row],[Producto]],Tabla6[[#All],[PRODUCTO]],0),MATCH(Tabla110[[#This Row],[Mes]],Tabla6[#Headers],0)))*(1+(IF(Tabla110[[#This Row],[FLETE]]="no",Catalogos!$M$2,Catalogos!$L$2))))</f>
        <v>#N/A</v>
      </c>
      <c r="N99" s="270" t="e">
        <f>+IF((Tabla110[[#This Row],[Precio Unitario Neto]]-Tabla110[[#This Row],[Apoyo]]-Tabla110[[#This Row],[COSTO + INDI]])&lt;=0,0,(Tabla110[[#This Row],[Precio Unitario Neto]]-Tabla110[[#This Row],[Apoyo]]-Tabla110[[#This Row],[COSTO + INDI]]))</f>
        <v>#N/A</v>
      </c>
      <c r="O99" s="258" t="e">
        <f>++Tabla110[[#This Row],[Utilidad Neta x Eq.]]*Tabla110[[#This Row],[Cantidad]]</f>
        <v>#N/A</v>
      </c>
      <c r="P99" s="271" t="e">
        <f>++Tabla110[[#This Row],[Utilidad Neta Total]]/Tabla110[[#This Row],[Venta Total]]</f>
        <v>#N/A</v>
      </c>
      <c r="Q99" s="258" t="s">
        <v>604</v>
      </c>
      <c r="R99" s="272" t="e">
        <f>INDEX(Tabla6[#All],MATCH(Tabla110[[#This Row],[Producto]],Tabla6[[#All],[PRODUCTO]],0),MATCH(Tabla110[[#This Row],[Mes]],Tabla6[#Headers],0))</f>
        <v>#N/A</v>
      </c>
      <c r="S99" s="260" t="e">
        <f>++Tabla110[[#This Row],[Precio Unitario Neto]]-Tabla110[[#This Row],[Apoyo]]-Tabla110[[#This Row],[Costo unitario]]</f>
        <v>#N/A</v>
      </c>
      <c r="T99" s="273" t="e">
        <f>+Tabla110[[#This Row],[Utilidad Bruta]]*Tabla110[[#This Row],[Cantidad]]</f>
        <v>#N/A</v>
      </c>
      <c r="U99" s="404" t="e">
        <f>++Tabla110[[#This Row],[Utilidad Bruta Total]]*$V$1</f>
        <v>#N/A</v>
      </c>
      <c r="V99" s="278" t="e">
        <f>++Tabla110[[#This Row],[Utilidad Bruta Total]]*$V$1</f>
        <v>#N/A</v>
      </c>
      <c r="W99" s="278">
        <f>VLOOKUP(Tabla110[[#This Row],[Producto]],'NUEVAS LISTAS'!$B$3:$P$403,'Ventas '!W$6,FALSE)</f>
        <v>4599</v>
      </c>
      <c r="X99" s="278">
        <f>VLOOKUP(Tabla110[[#This Row],[Producto]],'NUEVAS LISTAS'!$B$3:$P$403,'Ventas '!X$6,FALSE)</f>
        <v>4839</v>
      </c>
      <c r="Y99" s="278">
        <f>VLOOKUP(Tabla110[[#This Row],[Producto]],'NUEVAS LISTAS'!$B$3:$P$403,'Ventas '!Y$6,FALSE)</f>
        <v>5089</v>
      </c>
      <c r="Z99" s="278">
        <f>VLOOKUP(Tabla110[[#This Row],[Producto]],'NUEVAS LISTAS'!$B$3:$P$403,'Ventas '!Z$6,FALSE)</f>
        <v>5359</v>
      </c>
      <c r="AA99" s="543">
        <f>IF(AB99&lt;$AC$2,0,IF(Tabla110[[#This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99" s="539">
        <f>SUMIFS(Tabla110[[#All],[Venta Total]],Tabla110[[#All],[Asesor]],Tabla110[[#This Row],[Asesor]],Tabla110[[#All],[Fecha Cobranza]],"&lt;="&amp;Tabla110[[#This Row],[Fecha Cobranza]],Tabla110[[#All],[Fecha Cobranza]],"&gt;="&amp;Tabla110[[#This Row],[Fecha Cobranza]]-28)</f>
        <v>312330.99759999994</v>
      </c>
      <c r="AC99" s="542">
        <f t="shared" si="20"/>
        <v>0</v>
      </c>
      <c r="AD99" s="544">
        <f t="shared" si="21"/>
        <v>0.02</v>
      </c>
      <c r="AE99" s="545">
        <f>+AD99*Tabla110[[#This Row],[Venta Total]]</f>
        <v>83.439959999999999</v>
      </c>
    </row>
    <row r="100" spans="1:31" x14ac:dyDescent="0.2">
      <c r="A100" s="264">
        <v>46006</v>
      </c>
      <c r="B100" s="274" t="str">
        <f t="shared" si="23"/>
        <v>December</v>
      </c>
      <c r="C100" s="265" t="s">
        <v>547</v>
      </c>
      <c r="D100" s="266" t="str">
        <f>VLOOKUP(Tabla110[[#This Row],[Asesor]],Tabla2[[Asesores]:[TIPO]],2,0)</f>
        <v>INTERNO</v>
      </c>
      <c r="E100" s="268" t="s">
        <v>640</v>
      </c>
      <c r="F100" s="267" t="s">
        <v>3812</v>
      </c>
      <c r="G100" s="50" t="s">
        <v>553</v>
      </c>
      <c r="H100" s="269">
        <v>27</v>
      </c>
      <c r="I100" s="275">
        <v>3.1851851851851853E-2</v>
      </c>
      <c r="J100" s="260">
        <f>+Tabla110[[#This Row],[Precio Bruto]]*1.16</f>
        <v>3.6948148148148147E-2</v>
      </c>
      <c r="L100" s="270">
        <f>++(Tabla110[[#This Row],[Precio Unitario Neto]]*Tabla110[[#This Row],[Cantidad]])-(Tabla110[[#This Row],[Cantidad]]*Tabla110[[#This Row],[Apoyo]])</f>
        <v>0.99759999999999993</v>
      </c>
      <c r="M100" s="270" t="e">
        <f>((INDEX(Tabla6[#All],MATCH(Tabla110[[#This Row],[Producto]],Tabla6[[#All],[PRODUCTO]],0),MATCH(Tabla110[[#This Row],[Mes]],Tabla6[#Headers],0)))*(1+(IF(Tabla110[[#This Row],[FLETE]]="no",Catalogos!$M$2,Catalogos!$L$2))))</f>
        <v>#N/A</v>
      </c>
      <c r="N100" s="270" t="e">
        <f>+IF((Tabla110[[#This Row],[Precio Unitario Neto]]-Tabla110[[#This Row],[Apoyo]]-Tabla110[[#This Row],[COSTO + INDI]])&lt;=0,0,(Tabla110[[#This Row],[Precio Unitario Neto]]-Tabla110[[#This Row],[Apoyo]]-Tabla110[[#This Row],[COSTO + INDI]]))</f>
        <v>#N/A</v>
      </c>
      <c r="O100" s="258" t="e">
        <f>++Tabla110[[#This Row],[Utilidad Neta x Eq.]]*Tabla110[[#This Row],[Cantidad]]</f>
        <v>#N/A</v>
      </c>
      <c r="P100" s="271" t="e">
        <f>++Tabla110[[#This Row],[Utilidad Neta Total]]/Tabla110[[#This Row],[Venta Total]]</f>
        <v>#N/A</v>
      </c>
      <c r="Q100" s="258" t="s">
        <v>604</v>
      </c>
      <c r="R100" s="272" t="e">
        <f>INDEX(Tabla6[#All],MATCH(Tabla110[[#This Row],[Producto]],Tabla6[[#All],[PRODUCTO]],0),MATCH(Tabla110[[#This Row],[Mes]],Tabla6[#Headers],0))</f>
        <v>#N/A</v>
      </c>
      <c r="S100" s="260" t="e">
        <f>++Tabla110[[#This Row],[Precio Unitario Neto]]-Tabla110[[#This Row],[Apoyo]]-Tabla110[[#This Row],[Costo unitario]]</f>
        <v>#N/A</v>
      </c>
      <c r="T100" s="273" t="e">
        <f>+Tabla110[[#This Row],[Utilidad Bruta]]*Tabla110[[#This Row],[Cantidad]]</f>
        <v>#N/A</v>
      </c>
      <c r="U100" s="404" t="e">
        <f>++Tabla110[[#This Row],[Utilidad Bruta Total]]*$V$1</f>
        <v>#N/A</v>
      </c>
      <c r="V100" s="278" t="e">
        <f>++Tabla110[[#This Row],[Utilidad Bruta Total]]*$V$1</f>
        <v>#N/A</v>
      </c>
      <c r="W100" s="278">
        <f>VLOOKUP(Tabla110[[#This Row],[Producto]],'NUEVAS LISTAS'!$B$3:$P$403,'Ventas '!W$6,FALSE)</f>
        <v>24.466071182991055</v>
      </c>
      <c r="X100" s="278">
        <f>VLOOKUP(Tabla110[[#This Row],[Producto]],'NUEVAS LISTAS'!$B$3:$P$403,'Ventas '!X$6,FALSE)</f>
        <v>26.50491044824031</v>
      </c>
      <c r="Y100" s="278">
        <f>VLOOKUP(Tabla110[[#This Row],[Producto]],'NUEVAS LISTAS'!$B$3:$P$403,'Ventas '!Y$6,FALSE)</f>
        <v>27.899905734989801</v>
      </c>
      <c r="Z100" s="278">
        <f>VLOOKUP(Tabla110[[#This Row],[Producto]],'NUEVAS LISTAS'!$B$3:$P$403,'Ventas '!Z$6,FALSE)</f>
        <v>29.368321826305056</v>
      </c>
      <c r="AA100" s="543">
        <f>IF(AB100&lt;$AC$2,0,IF(Tabla110[[#This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0" s="539">
        <f>SUMIFS(Tabla110[[#All],[Venta Total]],Tabla110[[#All],[Asesor]],Tabla110[[#This Row],[Asesor]],Tabla110[[#All],[Fecha Cobranza]],"&lt;="&amp;Tabla110[[#This Row],[Fecha Cobranza]],Tabla110[[#All],[Fecha Cobranza]],"&gt;="&amp;Tabla110[[#This Row],[Fecha Cobranza]]-28)</f>
        <v>312330.99759999994</v>
      </c>
      <c r="AC100" s="542">
        <f t="shared" si="20"/>
        <v>0</v>
      </c>
      <c r="AD100" s="544">
        <f t="shared" si="21"/>
        <v>0.02</v>
      </c>
      <c r="AE100" s="545">
        <f>+AD100*Tabla110[[#This Row],[Venta Total]]</f>
        <v>1.9951999999999998E-2</v>
      </c>
    </row>
    <row r="101" spans="1:31" x14ac:dyDescent="0.2">
      <c r="A101" s="264">
        <v>46006</v>
      </c>
      <c r="B101" s="274" t="str">
        <f t="shared" ref="B101:B102" si="24">TEXT(A101,"mmmm")</f>
        <v>December</v>
      </c>
      <c r="C101" s="265" t="s">
        <v>547</v>
      </c>
      <c r="D101" s="266" t="str">
        <f>VLOOKUP(Tabla110[[#This Row],[Asesor]],Tabla2[[Asesores]:[TIPO]],2,0)</f>
        <v>INTERNO</v>
      </c>
      <c r="E101" s="268" t="s">
        <v>1147</v>
      </c>
      <c r="F101" s="267" t="s">
        <v>3813</v>
      </c>
      <c r="G101" s="50" t="s">
        <v>370</v>
      </c>
      <c r="H101" s="269">
        <v>1</v>
      </c>
      <c r="I101" s="275">
        <v>2553.4499999999998</v>
      </c>
      <c r="J101" s="260">
        <f>+Tabla110[[#This Row],[Precio Bruto]]*1.16</f>
        <v>2962.0019999999995</v>
      </c>
      <c r="L101" s="270">
        <f>++(Tabla110[[#This Row],[Precio Unitario Neto]]*Tabla110[[#This Row],[Cantidad]])-(Tabla110[[#This Row],[Cantidad]]*Tabla110[[#This Row],[Apoyo]])</f>
        <v>2962.0019999999995</v>
      </c>
      <c r="M101" s="270" t="e">
        <f>((INDEX(Tabla6[#All],MATCH(Tabla110[[#This Row],[Producto]],Tabla6[[#All],[PRODUCTO]],0),MATCH(Tabla110[[#This Row],[Mes]],Tabla6[#Headers],0)))*(1+(IF(Tabla110[[#This Row],[FLETE]]="no",Catalogos!$M$2,Catalogos!$L$2))))</f>
        <v>#N/A</v>
      </c>
      <c r="N101" s="270" t="e">
        <f>+IF((Tabla110[[#This Row],[Precio Unitario Neto]]-Tabla110[[#This Row],[Apoyo]]-Tabla110[[#This Row],[COSTO + INDI]])&lt;=0,0,(Tabla110[[#This Row],[Precio Unitario Neto]]-Tabla110[[#This Row],[Apoyo]]-Tabla110[[#This Row],[COSTO + INDI]]))</f>
        <v>#N/A</v>
      </c>
      <c r="O101" s="258" t="e">
        <f>++Tabla110[[#This Row],[Utilidad Neta x Eq.]]*Tabla110[[#This Row],[Cantidad]]</f>
        <v>#N/A</v>
      </c>
      <c r="P101" s="271" t="e">
        <f>++Tabla110[[#This Row],[Utilidad Neta Total]]/Tabla110[[#This Row],[Venta Total]]</f>
        <v>#N/A</v>
      </c>
      <c r="Q101" s="258" t="s">
        <v>604</v>
      </c>
      <c r="R101" s="272" t="e">
        <f>INDEX(Tabla6[#All],MATCH(Tabla110[[#This Row],[Producto]],Tabla6[[#All],[PRODUCTO]],0),MATCH(Tabla110[[#This Row],[Mes]],Tabla6[#Headers],0))</f>
        <v>#N/A</v>
      </c>
      <c r="S101" s="260" t="e">
        <f>++Tabla110[[#This Row],[Precio Unitario Neto]]-Tabla110[[#This Row],[Apoyo]]-Tabla110[[#This Row],[Costo unitario]]</f>
        <v>#N/A</v>
      </c>
      <c r="T101" s="273" t="e">
        <f>+Tabla110[[#This Row],[Utilidad Bruta]]*Tabla110[[#This Row],[Cantidad]]</f>
        <v>#N/A</v>
      </c>
      <c r="U101" s="404" t="e">
        <f>++Tabla110[[#This Row],[Utilidad Bruta Total]]*$V$1</f>
        <v>#N/A</v>
      </c>
      <c r="V101" s="278" t="e">
        <f>++Tabla110[[#This Row],[Utilidad Bruta Total]]*$V$1</f>
        <v>#N/A</v>
      </c>
      <c r="W101" s="278">
        <f>VLOOKUP(Tabla110[[#This Row],[Producto]],'NUEVAS LISTAS'!$B$3:$P$403,'Ventas '!W$6,FALSE)</f>
        <v>2929</v>
      </c>
      <c r="X101" s="278">
        <f>VLOOKUP(Tabla110[[#This Row],[Producto]],'NUEVAS LISTAS'!$B$3:$P$403,'Ventas '!X$6,FALSE)</f>
        <v>3079</v>
      </c>
      <c r="Y101" s="278">
        <f>VLOOKUP(Tabla110[[#This Row],[Producto]],'NUEVAS LISTAS'!$B$3:$P$403,'Ventas '!Y$6,FALSE)</f>
        <v>3239</v>
      </c>
      <c r="Z101" s="278">
        <f>VLOOKUP(Tabla110[[#This Row],[Producto]],'NUEVAS LISTAS'!$B$3:$P$403,'Ventas '!Z$6,FALSE)</f>
        <v>3409</v>
      </c>
      <c r="AA101" s="543">
        <f>IF(AB101&lt;$AC$2,0,IF(Tabla110[[#This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1" s="539">
        <f>SUMIFS(Tabla110[[#All],[Venta Total]],Tabla110[[#All],[Asesor]],Tabla110[[#This Row],[Asesor]],Tabla110[[#All],[Fecha Cobranza]],"&lt;="&amp;Tabla110[[#This Row],[Fecha Cobranza]],Tabla110[[#All],[Fecha Cobranza]],"&gt;="&amp;Tabla110[[#This Row],[Fecha Cobranza]]-28)</f>
        <v>312330.99759999994</v>
      </c>
      <c r="AC101" s="542">
        <f t="shared" si="20"/>
        <v>0</v>
      </c>
      <c r="AD101" s="544">
        <f t="shared" si="21"/>
        <v>0.02</v>
      </c>
      <c r="AE101" s="545">
        <f>+AD101*Tabla110[[#This Row],[Venta Total]]</f>
        <v>59.240039999999993</v>
      </c>
    </row>
    <row r="102" spans="1:31" x14ac:dyDescent="0.2">
      <c r="A102" s="264">
        <v>46006</v>
      </c>
      <c r="B102" s="274" t="str">
        <f t="shared" si="24"/>
        <v>December</v>
      </c>
      <c r="C102" s="265" t="s">
        <v>547</v>
      </c>
      <c r="D102" s="266" t="str">
        <f>VLOOKUP(Tabla110[[#This Row],[Asesor]],Tabla2[[Asesores]:[TIPO]],2,0)</f>
        <v>INTERNO</v>
      </c>
      <c r="E102" s="268" t="s">
        <v>1147</v>
      </c>
      <c r="F102" s="267" t="s">
        <v>3813</v>
      </c>
      <c r="G102" s="50" t="s">
        <v>553</v>
      </c>
      <c r="H102" s="269">
        <v>1</v>
      </c>
      <c r="I102" s="275">
        <v>0.86</v>
      </c>
      <c r="J102" s="260">
        <f>+Tabla110[[#This Row],[Precio Bruto]]*1.16</f>
        <v>0.99759999999999993</v>
      </c>
      <c r="L102" s="270">
        <f>++(Tabla110[[#This Row],[Precio Unitario Neto]]*Tabla110[[#This Row],[Cantidad]])-(Tabla110[[#This Row],[Cantidad]]*Tabla110[[#This Row],[Apoyo]])</f>
        <v>0.99759999999999993</v>
      </c>
      <c r="M102" s="270" t="e">
        <f>((INDEX(Tabla6[#All],MATCH(Tabla110[[#This Row],[Producto]],Tabla6[[#All],[PRODUCTO]],0),MATCH(Tabla110[[#This Row],[Mes]],Tabla6[#Headers],0)))*(1+(IF(Tabla110[[#This Row],[FLETE]]="no",Catalogos!$M$2,Catalogos!$L$2))))</f>
        <v>#N/A</v>
      </c>
      <c r="N102" s="270" t="e">
        <f>+IF((Tabla110[[#This Row],[Precio Unitario Neto]]-Tabla110[[#This Row],[Apoyo]]-Tabla110[[#This Row],[COSTO + INDI]])&lt;=0,0,(Tabla110[[#This Row],[Precio Unitario Neto]]-Tabla110[[#This Row],[Apoyo]]-Tabla110[[#This Row],[COSTO + INDI]]))</f>
        <v>#N/A</v>
      </c>
      <c r="O102" s="258" t="e">
        <f>++Tabla110[[#This Row],[Utilidad Neta x Eq.]]*Tabla110[[#This Row],[Cantidad]]</f>
        <v>#N/A</v>
      </c>
      <c r="P102" s="271" t="e">
        <f>++Tabla110[[#This Row],[Utilidad Neta Total]]/Tabla110[[#This Row],[Venta Total]]</f>
        <v>#N/A</v>
      </c>
      <c r="Q102" s="258" t="s">
        <v>604</v>
      </c>
      <c r="R102" s="272" t="e">
        <f>INDEX(Tabla6[#All],MATCH(Tabla110[[#This Row],[Producto]],Tabla6[[#All],[PRODUCTO]],0),MATCH(Tabla110[[#This Row],[Mes]],Tabla6[#Headers],0))</f>
        <v>#N/A</v>
      </c>
      <c r="S102" s="260" t="e">
        <f>++Tabla110[[#This Row],[Precio Unitario Neto]]-Tabla110[[#This Row],[Apoyo]]-Tabla110[[#This Row],[Costo unitario]]</f>
        <v>#N/A</v>
      </c>
      <c r="T102" s="273" t="e">
        <f>+Tabla110[[#This Row],[Utilidad Bruta]]*Tabla110[[#This Row],[Cantidad]]</f>
        <v>#N/A</v>
      </c>
      <c r="U102" s="404" t="e">
        <f>++Tabla110[[#This Row],[Utilidad Bruta Total]]*$V$1</f>
        <v>#N/A</v>
      </c>
      <c r="V102" s="278" t="e">
        <f>++Tabla110[[#This Row],[Utilidad Bruta Total]]*$V$1</f>
        <v>#N/A</v>
      </c>
      <c r="W102" s="278">
        <f>VLOOKUP(Tabla110[[#This Row],[Producto]],'NUEVAS LISTAS'!$B$3:$P$403,'Ventas '!W$6,FALSE)</f>
        <v>24.466071182991055</v>
      </c>
      <c r="X102" s="278">
        <f>VLOOKUP(Tabla110[[#This Row],[Producto]],'NUEVAS LISTAS'!$B$3:$P$403,'Ventas '!X$6,FALSE)</f>
        <v>26.50491044824031</v>
      </c>
      <c r="Y102" s="278">
        <f>VLOOKUP(Tabla110[[#This Row],[Producto]],'NUEVAS LISTAS'!$B$3:$P$403,'Ventas '!Y$6,FALSE)</f>
        <v>27.899905734989801</v>
      </c>
      <c r="Z102" s="278">
        <f>VLOOKUP(Tabla110[[#This Row],[Producto]],'NUEVAS LISTAS'!$B$3:$P$403,'Ventas '!Z$6,FALSE)</f>
        <v>29.368321826305056</v>
      </c>
      <c r="AA102" s="543">
        <f>IF(AB102&lt;$AC$2,0,IF(Tabla110[[#This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2" s="539">
        <f>SUMIFS(Tabla110[[#All],[Venta Total]],Tabla110[[#All],[Asesor]],Tabla110[[#This Row],[Asesor]],Tabla110[[#All],[Fecha Cobranza]],"&lt;="&amp;Tabla110[[#This Row],[Fecha Cobranza]],Tabla110[[#All],[Fecha Cobranza]],"&gt;="&amp;Tabla110[[#This Row],[Fecha Cobranza]]-28)</f>
        <v>312330.99759999994</v>
      </c>
      <c r="AC102" s="542">
        <f t="shared" si="20"/>
        <v>0</v>
      </c>
      <c r="AD102" s="544">
        <f t="shared" si="21"/>
        <v>0.02</v>
      </c>
      <c r="AE102" s="545">
        <f>+AD102*Tabla110[[#This Row],[Venta Total]]</f>
        <v>1.9951999999999998E-2</v>
      </c>
    </row>
    <row r="103" spans="1:31" x14ac:dyDescent="0.2">
      <c r="A103" s="264">
        <v>46006</v>
      </c>
      <c r="B103" s="274" t="str">
        <f t="shared" ref="B103:B105" si="25">TEXT(A103,"mmmm")</f>
        <v>December</v>
      </c>
      <c r="C103" s="265" t="s">
        <v>547</v>
      </c>
      <c r="D103" s="266" t="str">
        <f>VLOOKUP(Tabla110[[#This Row],[Asesor]],Tabla2[[Asesores]:[TIPO]],2,0)</f>
        <v>INTERNO</v>
      </c>
      <c r="E103" s="268" t="s">
        <v>2889</v>
      </c>
      <c r="F103" s="267" t="s">
        <v>3814</v>
      </c>
      <c r="G103" s="50" t="s">
        <v>30</v>
      </c>
      <c r="H103" s="269">
        <v>4</v>
      </c>
      <c r="I103" s="275">
        <v>2800.8625000000002</v>
      </c>
      <c r="J103" s="260">
        <f>+Tabla110[[#This Row],[Precio Bruto]]*1.16</f>
        <v>3249.0005000000001</v>
      </c>
      <c r="L103" s="270">
        <f>++(Tabla110[[#This Row],[Precio Unitario Neto]]*Tabla110[[#This Row],[Cantidad]])-(Tabla110[[#This Row],[Cantidad]]*Tabla110[[#This Row],[Apoyo]])</f>
        <v>12996.002</v>
      </c>
      <c r="M103" s="270" t="e">
        <f>((INDEX(Tabla6[#All],MATCH(Tabla110[[#This Row],[Producto]],Tabla6[[#All],[PRODUCTO]],0),MATCH(Tabla110[[#This Row],[Mes]],Tabla6[#Headers],0)))*(1+(IF(Tabla110[[#This Row],[FLETE]]="no",Catalogos!$M$2,Catalogos!$L$2))))</f>
        <v>#N/A</v>
      </c>
      <c r="N103" s="270" t="e">
        <f>+IF((Tabla110[[#This Row],[Precio Unitario Neto]]-Tabla110[[#This Row],[Apoyo]]-Tabla110[[#This Row],[COSTO + INDI]])&lt;=0,0,(Tabla110[[#This Row],[Precio Unitario Neto]]-Tabla110[[#This Row],[Apoyo]]-Tabla110[[#This Row],[COSTO + INDI]]))</f>
        <v>#N/A</v>
      </c>
      <c r="O103" s="258" t="e">
        <f>++Tabla110[[#This Row],[Utilidad Neta x Eq.]]*Tabla110[[#This Row],[Cantidad]]</f>
        <v>#N/A</v>
      </c>
      <c r="P103" s="271" t="e">
        <f>++Tabla110[[#This Row],[Utilidad Neta Total]]/Tabla110[[#This Row],[Venta Total]]</f>
        <v>#N/A</v>
      </c>
      <c r="Q103" s="258" t="s">
        <v>604</v>
      </c>
      <c r="R103" s="272" t="e">
        <f>INDEX(Tabla6[#All],MATCH(Tabla110[[#This Row],[Producto]],Tabla6[[#All],[PRODUCTO]],0),MATCH(Tabla110[[#This Row],[Mes]],Tabla6[#Headers],0))</f>
        <v>#N/A</v>
      </c>
      <c r="S103" s="260" t="e">
        <f>++Tabla110[[#This Row],[Precio Unitario Neto]]-Tabla110[[#This Row],[Apoyo]]-Tabla110[[#This Row],[Costo unitario]]</f>
        <v>#N/A</v>
      </c>
      <c r="T103" s="273" t="e">
        <f>+Tabla110[[#This Row],[Utilidad Bruta]]*Tabla110[[#This Row],[Cantidad]]</f>
        <v>#N/A</v>
      </c>
      <c r="U103" s="404" t="e">
        <f>++Tabla110[[#This Row],[Utilidad Bruta Total]]*$V$1</f>
        <v>#N/A</v>
      </c>
      <c r="V103" s="278" t="e">
        <f>++Tabla110[[#This Row],[Utilidad Bruta Total]]*$V$1</f>
        <v>#N/A</v>
      </c>
      <c r="W103" s="278">
        <f>VLOOKUP(Tabla110[[#This Row],[Producto]],'NUEVAS LISTAS'!$B$3:$P$403,'Ventas '!W$6,FALSE)</f>
        <v>2859</v>
      </c>
      <c r="X103" s="278">
        <f>VLOOKUP(Tabla110[[#This Row],[Producto]],'NUEVAS LISTAS'!$B$3:$P$403,'Ventas '!X$6,FALSE)</f>
        <v>3009</v>
      </c>
      <c r="Y103" s="278">
        <f>VLOOKUP(Tabla110[[#This Row],[Producto]],'NUEVAS LISTAS'!$B$3:$P$403,'Ventas '!Y$6,FALSE)</f>
        <v>3169</v>
      </c>
      <c r="Z103" s="278">
        <f>VLOOKUP(Tabla110[[#This Row],[Producto]],'NUEVAS LISTAS'!$B$3:$P$403,'Ventas '!Z$6,FALSE)</f>
        <v>3339</v>
      </c>
      <c r="AA103" s="543">
        <f>IF(AB103&lt;$AC$2,0,IF(Tabla110[[#This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03" s="539">
        <f>SUMIFS(Tabla110[[#All],[Venta Total]],Tabla110[[#All],[Asesor]],Tabla110[[#This Row],[Asesor]],Tabla110[[#All],[Fecha Cobranza]],"&lt;="&amp;Tabla110[[#This Row],[Fecha Cobranza]],Tabla110[[#All],[Fecha Cobranza]],"&gt;="&amp;Tabla110[[#This Row],[Fecha Cobranza]]-28)</f>
        <v>312330.99759999994</v>
      </c>
      <c r="AC103" s="542">
        <f t="shared" si="20"/>
        <v>0</v>
      </c>
      <c r="AD103" s="544">
        <f t="shared" si="21"/>
        <v>2.5000000000000001E-2</v>
      </c>
      <c r="AE103" s="545">
        <f>+AD103*Tabla110[[#This Row],[Venta Total]]</f>
        <v>324.90005000000002</v>
      </c>
    </row>
    <row r="104" spans="1:31" x14ac:dyDescent="0.2">
      <c r="A104" s="264">
        <v>46006</v>
      </c>
      <c r="B104" s="274" t="str">
        <f t="shared" si="25"/>
        <v>December</v>
      </c>
      <c r="C104" s="265" t="s">
        <v>547</v>
      </c>
      <c r="D104" s="266" t="str">
        <f>VLOOKUP(Tabla110[[#This Row],[Asesor]],Tabla2[[Asesores]:[TIPO]],2,0)</f>
        <v>INTERNO</v>
      </c>
      <c r="E104" s="268" t="s">
        <v>2889</v>
      </c>
      <c r="F104" s="267" t="s">
        <v>3814</v>
      </c>
      <c r="G104" s="50" t="s">
        <v>31</v>
      </c>
      <c r="H104" s="269">
        <v>5</v>
      </c>
      <c r="I104" s="275">
        <v>3188.7939999999999</v>
      </c>
      <c r="J104" s="260">
        <f>+Tabla110[[#This Row],[Precio Bruto]]*1.16</f>
        <v>3699.0010399999996</v>
      </c>
      <c r="L104" s="270">
        <f>++(Tabla110[[#This Row],[Precio Unitario Neto]]*Tabla110[[#This Row],[Cantidad]])-(Tabla110[[#This Row],[Cantidad]]*Tabla110[[#This Row],[Apoyo]])</f>
        <v>18495.0052</v>
      </c>
      <c r="M104" s="270" t="e">
        <f>((INDEX(Tabla6[#All],MATCH(Tabla110[[#This Row],[Producto]],Tabla6[[#All],[PRODUCTO]],0),MATCH(Tabla110[[#This Row],[Mes]],Tabla6[#Headers],0)))*(1+(IF(Tabla110[[#This Row],[FLETE]]="no",Catalogos!$M$2,Catalogos!$L$2))))</f>
        <v>#N/A</v>
      </c>
      <c r="N104" s="270" t="e">
        <f>+IF((Tabla110[[#This Row],[Precio Unitario Neto]]-Tabla110[[#This Row],[Apoyo]]-Tabla110[[#This Row],[COSTO + INDI]])&lt;=0,0,(Tabla110[[#This Row],[Precio Unitario Neto]]-Tabla110[[#This Row],[Apoyo]]-Tabla110[[#This Row],[COSTO + INDI]]))</f>
        <v>#N/A</v>
      </c>
      <c r="O104" s="258" t="e">
        <f>++Tabla110[[#This Row],[Utilidad Neta x Eq.]]*Tabla110[[#This Row],[Cantidad]]</f>
        <v>#N/A</v>
      </c>
      <c r="P104" s="271" t="e">
        <f>++Tabla110[[#This Row],[Utilidad Neta Total]]/Tabla110[[#This Row],[Venta Total]]</f>
        <v>#N/A</v>
      </c>
      <c r="Q104" s="258" t="s">
        <v>604</v>
      </c>
      <c r="R104" s="272" t="e">
        <f>INDEX(Tabla6[#All],MATCH(Tabla110[[#This Row],[Producto]],Tabla6[[#All],[PRODUCTO]],0),MATCH(Tabla110[[#This Row],[Mes]],Tabla6[#Headers],0))</f>
        <v>#N/A</v>
      </c>
      <c r="S104" s="260" t="e">
        <f>++Tabla110[[#This Row],[Precio Unitario Neto]]-Tabla110[[#This Row],[Apoyo]]-Tabla110[[#This Row],[Costo unitario]]</f>
        <v>#N/A</v>
      </c>
      <c r="T104" s="273" t="e">
        <f>+Tabla110[[#This Row],[Utilidad Bruta]]*Tabla110[[#This Row],[Cantidad]]</f>
        <v>#N/A</v>
      </c>
      <c r="U104" s="404" t="e">
        <f>++Tabla110[[#This Row],[Utilidad Bruta Total]]*$V$1</f>
        <v>#N/A</v>
      </c>
      <c r="V104" s="278" t="e">
        <f>++Tabla110[[#This Row],[Utilidad Bruta Total]]*$V$1</f>
        <v>#N/A</v>
      </c>
      <c r="W104" s="278">
        <f>VLOOKUP(Tabla110[[#This Row],[Producto]],'NUEVAS LISTAS'!$B$3:$P$403,'Ventas '!W$6,FALSE)</f>
        <v>3259</v>
      </c>
      <c r="X104" s="278">
        <f>VLOOKUP(Tabla110[[#This Row],[Producto]],'NUEVAS LISTAS'!$B$3:$P$403,'Ventas '!X$6,FALSE)</f>
        <v>3429</v>
      </c>
      <c r="Y104" s="278">
        <f>VLOOKUP(Tabla110[[#This Row],[Producto]],'NUEVAS LISTAS'!$B$3:$P$403,'Ventas '!Y$6,FALSE)</f>
        <v>3609</v>
      </c>
      <c r="Z104" s="278">
        <f>VLOOKUP(Tabla110[[#This Row],[Producto]],'NUEVAS LISTAS'!$B$3:$P$403,'Ventas '!Z$6,FALSE)</f>
        <v>3799</v>
      </c>
      <c r="AA104" s="543">
        <f>IF(AB104&lt;$AC$2,0,IF(Tabla110[[#This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04" s="539">
        <f>SUMIFS(Tabla110[[#All],[Venta Total]],Tabla110[[#All],[Asesor]],Tabla110[[#This Row],[Asesor]],Tabla110[[#All],[Fecha Cobranza]],"&lt;="&amp;Tabla110[[#This Row],[Fecha Cobranza]],Tabla110[[#All],[Fecha Cobranza]],"&gt;="&amp;Tabla110[[#This Row],[Fecha Cobranza]]-28)</f>
        <v>312330.99759999994</v>
      </c>
      <c r="AC104" s="542">
        <f t="shared" si="20"/>
        <v>0</v>
      </c>
      <c r="AD104" s="544">
        <f t="shared" si="21"/>
        <v>2.5000000000000001E-2</v>
      </c>
      <c r="AE104" s="545">
        <f>+AD104*Tabla110[[#This Row],[Venta Total]]</f>
        <v>462.37513000000001</v>
      </c>
    </row>
    <row r="105" spans="1:31" x14ac:dyDescent="0.2">
      <c r="A105" s="264">
        <v>46006</v>
      </c>
      <c r="B105" s="274" t="str">
        <f t="shared" si="25"/>
        <v>December</v>
      </c>
      <c r="C105" s="265" t="s">
        <v>547</v>
      </c>
      <c r="D105" s="266" t="str">
        <f>VLOOKUP(Tabla110[[#This Row],[Asesor]],Tabla2[[Asesores]:[TIPO]],2,0)</f>
        <v>INTERNO</v>
      </c>
      <c r="E105" s="268" t="s">
        <v>2889</v>
      </c>
      <c r="F105" s="267" t="s">
        <v>3814</v>
      </c>
      <c r="G105" s="50" t="s">
        <v>32</v>
      </c>
      <c r="H105" s="269">
        <v>3</v>
      </c>
      <c r="I105" s="275">
        <v>3706.0333333333333</v>
      </c>
      <c r="J105" s="260">
        <f>+Tabla110[[#This Row],[Precio Bruto]]*1.16</f>
        <v>4298.9986666666664</v>
      </c>
      <c r="L105" s="270">
        <f>++(Tabla110[[#This Row],[Precio Unitario Neto]]*Tabla110[[#This Row],[Cantidad]])-(Tabla110[[#This Row],[Cantidad]]*Tabla110[[#This Row],[Apoyo]])</f>
        <v>12896.995999999999</v>
      </c>
      <c r="M105" s="270" t="e">
        <f>((INDEX(Tabla6[#All],MATCH(Tabla110[[#This Row],[Producto]],Tabla6[[#All],[PRODUCTO]],0),MATCH(Tabla110[[#This Row],[Mes]],Tabla6[#Headers],0)))*(1+(IF(Tabla110[[#This Row],[FLETE]]="no",Catalogos!$M$2,Catalogos!$L$2))))</f>
        <v>#N/A</v>
      </c>
      <c r="N105" s="270" t="e">
        <f>+IF((Tabla110[[#This Row],[Precio Unitario Neto]]-Tabla110[[#This Row],[Apoyo]]-Tabla110[[#This Row],[COSTO + INDI]])&lt;=0,0,(Tabla110[[#This Row],[Precio Unitario Neto]]-Tabla110[[#This Row],[Apoyo]]-Tabla110[[#This Row],[COSTO + INDI]]))</f>
        <v>#N/A</v>
      </c>
      <c r="O105" s="258" t="e">
        <f>++Tabla110[[#This Row],[Utilidad Neta x Eq.]]*Tabla110[[#This Row],[Cantidad]]</f>
        <v>#N/A</v>
      </c>
      <c r="P105" s="271" t="e">
        <f>++Tabla110[[#This Row],[Utilidad Neta Total]]/Tabla110[[#This Row],[Venta Total]]</f>
        <v>#N/A</v>
      </c>
      <c r="Q105" s="258" t="s">
        <v>604</v>
      </c>
      <c r="R105" s="272" t="e">
        <f>INDEX(Tabla6[#All],MATCH(Tabla110[[#This Row],[Producto]],Tabla6[[#All],[PRODUCTO]],0),MATCH(Tabla110[[#This Row],[Mes]],Tabla6[#Headers],0))</f>
        <v>#N/A</v>
      </c>
      <c r="S105" s="260" t="e">
        <f>++Tabla110[[#This Row],[Precio Unitario Neto]]-Tabla110[[#This Row],[Apoyo]]-Tabla110[[#This Row],[Costo unitario]]</f>
        <v>#N/A</v>
      </c>
      <c r="T105" s="273" t="e">
        <f>+Tabla110[[#This Row],[Utilidad Bruta]]*Tabla110[[#This Row],[Cantidad]]</f>
        <v>#N/A</v>
      </c>
      <c r="U105" s="404" t="e">
        <f>++Tabla110[[#This Row],[Utilidad Bruta Total]]*$V$1</f>
        <v>#N/A</v>
      </c>
      <c r="V105" s="278" t="e">
        <f>++Tabla110[[#This Row],[Utilidad Bruta Total]]*$V$1</f>
        <v>#N/A</v>
      </c>
      <c r="W105" s="278">
        <f>VLOOKUP(Tabla110[[#This Row],[Producto]],'NUEVAS LISTAS'!$B$3:$P$403,'Ventas '!W$6,FALSE)</f>
        <v>3699</v>
      </c>
      <c r="X105" s="278">
        <f>VLOOKUP(Tabla110[[#This Row],[Producto]],'NUEVAS LISTAS'!$B$3:$P$403,'Ventas '!X$6,FALSE)</f>
        <v>3889</v>
      </c>
      <c r="Y105" s="278">
        <f>VLOOKUP(Tabla110[[#This Row],[Producto]],'NUEVAS LISTAS'!$B$3:$P$403,'Ventas '!Y$6,FALSE)</f>
        <v>4089</v>
      </c>
      <c r="Z105" s="278">
        <f>VLOOKUP(Tabla110[[#This Row],[Producto]],'NUEVAS LISTAS'!$B$3:$P$403,'Ventas '!Z$6,FALSE)</f>
        <v>4299</v>
      </c>
      <c r="AA105" s="543">
        <f>IF(AB105&lt;$AC$2,0,IF(Tabla110[[#This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05" s="539">
        <f>SUMIFS(Tabla110[[#All],[Venta Total]],Tabla110[[#All],[Asesor]],Tabla110[[#This Row],[Asesor]],Tabla110[[#All],[Fecha Cobranza]],"&lt;="&amp;Tabla110[[#This Row],[Fecha Cobranza]],Tabla110[[#All],[Fecha Cobranza]],"&gt;="&amp;Tabla110[[#This Row],[Fecha Cobranza]]-28)</f>
        <v>312330.99759999994</v>
      </c>
      <c r="AC105" s="542">
        <f t="shared" si="20"/>
        <v>0</v>
      </c>
      <c r="AD105" s="544">
        <f t="shared" si="21"/>
        <v>2.5000000000000001E-2</v>
      </c>
      <c r="AE105" s="545">
        <f>+AD105*Tabla110[[#This Row],[Venta Total]]</f>
        <v>322.42489999999998</v>
      </c>
    </row>
    <row r="106" spans="1:31" x14ac:dyDescent="0.2">
      <c r="A106" s="264">
        <v>46006</v>
      </c>
      <c r="B106" s="274" t="str">
        <f t="shared" ref="B106:B107" si="26">TEXT(A106,"mmmm")</f>
        <v>December</v>
      </c>
      <c r="C106" s="265" t="s">
        <v>277</v>
      </c>
      <c r="D106" s="266" t="str">
        <f>VLOOKUP(Tabla110[[#This Row],[Asesor]],Tabla2[[Asesores]:[TIPO]],2,0)</f>
        <v>INTERNO</v>
      </c>
      <c r="E106" s="268" t="s">
        <v>900</v>
      </c>
      <c r="F106" s="267" t="s">
        <v>3815</v>
      </c>
      <c r="G106" s="50" t="s">
        <v>228</v>
      </c>
      <c r="H106" s="269">
        <v>2</v>
      </c>
      <c r="I106" s="275">
        <v>7456.0349999999999</v>
      </c>
      <c r="J106" s="260">
        <f>+Tabla110[[#This Row],[Precio Bruto]]*1.16</f>
        <v>8649.0005999999994</v>
      </c>
      <c r="L106" s="270">
        <f>++(Tabla110[[#This Row],[Precio Unitario Neto]]*Tabla110[[#This Row],[Cantidad]])-(Tabla110[[#This Row],[Cantidad]]*Tabla110[[#This Row],[Apoyo]])</f>
        <v>17298.001199999999</v>
      </c>
      <c r="M106" s="270" t="e">
        <f>((INDEX(Tabla6[#All],MATCH(Tabla110[[#This Row],[Producto]],Tabla6[[#All],[PRODUCTO]],0),MATCH(Tabla110[[#This Row],[Mes]],Tabla6[#Headers],0)))*(1+(IF(Tabla110[[#This Row],[FLETE]]="no",Catalogos!$M$2,Catalogos!$L$2))))</f>
        <v>#N/A</v>
      </c>
      <c r="N106" s="270" t="e">
        <f>+IF((Tabla110[[#This Row],[Precio Unitario Neto]]-Tabla110[[#This Row],[Apoyo]]-Tabla110[[#This Row],[COSTO + INDI]])&lt;=0,0,(Tabla110[[#This Row],[Precio Unitario Neto]]-Tabla110[[#This Row],[Apoyo]]-Tabla110[[#This Row],[COSTO + INDI]]))</f>
        <v>#N/A</v>
      </c>
      <c r="O106" s="258" t="e">
        <f>++Tabla110[[#This Row],[Utilidad Neta x Eq.]]*Tabla110[[#This Row],[Cantidad]]</f>
        <v>#N/A</v>
      </c>
      <c r="P106" s="271" t="e">
        <f>++Tabla110[[#This Row],[Utilidad Neta Total]]/Tabla110[[#This Row],[Venta Total]]</f>
        <v>#N/A</v>
      </c>
      <c r="Q106" s="258" t="s">
        <v>604</v>
      </c>
      <c r="R106" s="272" t="e">
        <f>INDEX(Tabla6[#All],MATCH(Tabla110[[#This Row],[Producto]],Tabla6[[#All],[PRODUCTO]],0),MATCH(Tabla110[[#This Row],[Mes]],Tabla6[#Headers],0))</f>
        <v>#N/A</v>
      </c>
      <c r="S106" s="260" t="e">
        <f>++Tabla110[[#This Row],[Precio Unitario Neto]]-Tabla110[[#This Row],[Apoyo]]-Tabla110[[#This Row],[Costo unitario]]</f>
        <v>#N/A</v>
      </c>
      <c r="T106" s="273" t="e">
        <f>+Tabla110[[#This Row],[Utilidad Bruta]]*Tabla110[[#This Row],[Cantidad]]</f>
        <v>#N/A</v>
      </c>
      <c r="U106" s="404" t="e">
        <f>++Tabla110[[#This Row],[Utilidad Bruta Total]]*$V$1</f>
        <v>#N/A</v>
      </c>
      <c r="V106" s="278" t="e">
        <f>++Tabla110[[#This Row],[Utilidad Bruta Total]]*$V$1</f>
        <v>#N/A</v>
      </c>
      <c r="W106" s="278">
        <f>VLOOKUP(Tabla110[[#This Row],[Producto]],'NUEVAS LISTAS'!$B$3:$P$403,'Ventas '!W$6,FALSE)</f>
        <v>7569</v>
      </c>
      <c r="X106" s="278">
        <f>VLOOKUP(Tabla110[[#This Row],[Producto]],'NUEVAS LISTAS'!$B$3:$P$403,'Ventas '!X$6,FALSE)</f>
        <v>7969</v>
      </c>
      <c r="Y106" s="278">
        <f>VLOOKUP(Tabla110[[#This Row],[Producto]],'NUEVAS LISTAS'!$B$3:$P$403,'Ventas '!Y$6,FALSE)</f>
        <v>8389</v>
      </c>
      <c r="Z106" s="278">
        <f>VLOOKUP(Tabla110[[#This Row],[Producto]],'NUEVAS LISTAS'!$B$3:$P$403,'Ventas '!Z$6,FALSE)</f>
        <v>8829</v>
      </c>
      <c r="AA106" s="543">
        <f>IF(AB106&lt;$AC$2,0,IF(Tabla110[[#This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06" s="539">
        <f>SUMIFS(Tabla110[[#All],[Venta Total]],Tabla110[[#All],[Asesor]],Tabla110[[#This Row],[Asesor]],Tabla110[[#All],[Fecha Cobranza]],"&lt;="&amp;Tabla110[[#This Row],[Fecha Cobranza]],Tabla110[[#All],[Fecha Cobranza]],"&gt;="&amp;Tabla110[[#This Row],[Fecha Cobranza]]-28)</f>
        <v>1053628.7308</v>
      </c>
      <c r="AC106" s="542">
        <f t="shared" si="20"/>
        <v>0</v>
      </c>
      <c r="AD106" s="544">
        <f t="shared" si="21"/>
        <v>2.5000000000000001E-2</v>
      </c>
      <c r="AE106" s="545">
        <f>+AD106*Tabla110[[#This Row],[Venta Total]]</f>
        <v>432.45002999999997</v>
      </c>
    </row>
    <row r="107" spans="1:31" x14ac:dyDescent="0.2">
      <c r="A107" s="264">
        <v>46006</v>
      </c>
      <c r="B107" s="274" t="str">
        <f t="shared" si="26"/>
        <v>December</v>
      </c>
      <c r="C107" s="265" t="s">
        <v>277</v>
      </c>
      <c r="D107" s="266" t="str">
        <f>VLOOKUP(Tabla110[[#This Row],[Asesor]],Tabla2[[Asesores]:[TIPO]],2,0)</f>
        <v>INTERNO</v>
      </c>
      <c r="E107" s="268" t="s">
        <v>900</v>
      </c>
      <c r="F107" s="267" t="s">
        <v>3815</v>
      </c>
      <c r="G107" s="50" t="s">
        <v>575</v>
      </c>
      <c r="H107" s="269">
        <v>1</v>
      </c>
      <c r="I107" s="275">
        <v>10904.31</v>
      </c>
      <c r="J107" s="260">
        <f>+Tabla110[[#This Row],[Precio Bruto]]*1.16</f>
        <v>12648.999599999999</v>
      </c>
      <c r="L107" s="270">
        <f>++(Tabla110[[#This Row],[Precio Unitario Neto]]*Tabla110[[#This Row],[Cantidad]])-(Tabla110[[#This Row],[Cantidad]]*Tabla110[[#This Row],[Apoyo]])</f>
        <v>12648.999599999999</v>
      </c>
      <c r="M107" s="270" t="e">
        <f>((INDEX(Tabla6[#All],MATCH(Tabla110[[#This Row],[Producto]],Tabla6[[#All],[PRODUCTO]],0),MATCH(Tabla110[[#This Row],[Mes]],Tabla6[#Headers],0)))*(1+(IF(Tabla110[[#This Row],[FLETE]]="no",Catalogos!$M$2,Catalogos!$L$2))))</f>
        <v>#N/A</v>
      </c>
      <c r="N107" s="270" t="e">
        <f>+IF((Tabla110[[#This Row],[Precio Unitario Neto]]-Tabla110[[#This Row],[Apoyo]]-Tabla110[[#This Row],[COSTO + INDI]])&lt;=0,0,(Tabla110[[#This Row],[Precio Unitario Neto]]-Tabla110[[#This Row],[Apoyo]]-Tabla110[[#This Row],[COSTO + INDI]]))</f>
        <v>#N/A</v>
      </c>
      <c r="O107" s="258" t="e">
        <f>++Tabla110[[#This Row],[Utilidad Neta x Eq.]]*Tabla110[[#This Row],[Cantidad]]</f>
        <v>#N/A</v>
      </c>
      <c r="P107" s="271" t="e">
        <f>++Tabla110[[#This Row],[Utilidad Neta Total]]/Tabla110[[#This Row],[Venta Total]]</f>
        <v>#N/A</v>
      </c>
      <c r="Q107" s="258" t="s">
        <v>604</v>
      </c>
      <c r="R107" s="272" t="e">
        <f>INDEX(Tabla6[#All],MATCH(Tabla110[[#This Row],[Producto]],Tabla6[[#All],[PRODUCTO]],0),MATCH(Tabla110[[#This Row],[Mes]],Tabla6[#Headers],0))</f>
        <v>#N/A</v>
      </c>
      <c r="S107" s="260" t="e">
        <f>++Tabla110[[#This Row],[Precio Unitario Neto]]-Tabla110[[#This Row],[Apoyo]]-Tabla110[[#This Row],[Costo unitario]]</f>
        <v>#N/A</v>
      </c>
      <c r="T107" s="273" t="e">
        <f>+Tabla110[[#This Row],[Utilidad Bruta]]*Tabla110[[#This Row],[Cantidad]]</f>
        <v>#N/A</v>
      </c>
      <c r="U107" s="404" t="e">
        <f>++Tabla110[[#This Row],[Utilidad Bruta Total]]*$V$1</f>
        <v>#N/A</v>
      </c>
      <c r="V107" s="278" t="e">
        <f>++Tabla110[[#This Row],[Utilidad Bruta Total]]*$V$1</f>
        <v>#N/A</v>
      </c>
      <c r="W107" s="278">
        <f>VLOOKUP(Tabla110[[#This Row],[Producto]],'NUEVAS LISTAS'!$B$3:$P$403,'Ventas '!W$6,FALSE)</f>
        <v>14309</v>
      </c>
      <c r="X107" s="278">
        <f>VLOOKUP(Tabla110[[#This Row],[Producto]],'NUEVAS LISTAS'!$B$3:$P$403,'Ventas '!X$6,FALSE)</f>
        <v>15059</v>
      </c>
      <c r="Y107" s="278">
        <f>VLOOKUP(Tabla110[[#This Row],[Producto]],'NUEVAS LISTAS'!$B$3:$P$403,'Ventas '!Y$6,FALSE)</f>
        <v>15849</v>
      </c>
      <c r="Z107" s="278">
        <f>VLOOKUP(Tabla110[[#This Row],[Producto]],'NUEVAS LISTAS'!$B$3:$P$403,'Ventas '!Z$6,FALSE)</f>
        <v>16679</v>
      </c>
      <c r="AA107" s="543">
        <f>IF(AB107&lt;$AC$2,0,IF(Tabla110[[#This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7" s="539">
        <f>SUMIFS(Tabla110[[#All],[Venta Total]],Tabla110[[#All],[Asesor]],Tabla110[[#This Row],[Asesor]],Tabla110[[#All],[Fecha Cobranza]],"&lt;="&amp;Tabla110[[#This Row],[Fecha Cobranza]],Tabla110[[#All],[Fecha Cobranza]],"&gt;="&amp;Tabla110[[#This Row],[Fecha Cobranza]]-28)</f>
        <v>1053628.7308</v>
      </c>
      <c r="AC107" s="542">
        <f t="shared" si="20"/>
        <v>0</v>
      </c>
      <c r="AD107" s="544">
        <f t="shared" si="21"/>
        <v>0.02</v>
      </c>
      <c r="AE107" s="545">
        <f>+AD107*Tabla110[[#This Row],[Venta Total]]</f>
        <v>252.97999199999998</v>
      </c>
    </row>
    <row r="108" spans="1:31" x14ac:dyDescent="0.2">
      <c r="A108" s="264">
        <v>46006</v>
      </c>
      <c r="B108" s="274" t="str">
        <f t="shared" ref="B108:B109" si="27">TEXT(A108,"mmmm")</f>
        <v>December</v>
      </c>
      <c r="C108" s="265" t="s">
        <v>407</v>
      </c>
      <c r="D108" s="266" t="str">
        <f>VLOOKUP(Tabla110[[#This Row],[Asesor]],Tabla2[[Asesores]:[TIPO]],2,0)</f>
        <v>INTERNO</v>
      </c>
      <c r="E108" s="268" t="s">
        <v>3195</v>
      </c>
      <c r="F108" s="267" t="s">
        <v>3816</v>
      </c>
      <c r="G108" s="50" t="s">
        <v>3638</v>
      </c>
      <c r="H108" s="269">
        <v>80</v>
      </c>
      <c r="I108" s="275">
        <v>24</v>
      </c>
      <c r="J108" s="260">
        <f>+Tabla110[[#This Row],[Precio Bruto]]*1.16</f>
        <v>27.839999999999996</v>
      </c>
      <c r="L108" s="270">
        <f>++(Tabla110[[#This Row],[Precio Unitario Neto]]*Tabla110[[#This Row],[Cantidad]])-(Tabla110[[#This Row],[Cantidad]]*Tabla110[[#This Row],[Apoyo]])</f>
        <v>2227.1999999999998</v>
      </c>
      <c r="M108" s="270" t="e">
        <f>((INDEX(Tabla6[#All],MATCH(Tabla110[[#This Row],[Producto]],Tabla6[[#All],[PRODUCTO]],0),MATCH(Tabla110[[#This Row],[Mes]],Tabla6[#Headers],0)))*(1+(IF(Tabla110[[#This Row],[FLETE]]="no",Catalogos!$M$2,Catalogos!$L$2))))</f>
        <v>#N/A</v>
      </c>
      <c r="N108" s="270" t="e">
        <f>+IF((Tabla110[[#This Row],[Precio Unitario Neto]]-Tabla110[[#This Row],[Apoyo]]-Tabla110[[#This Row],[COSTO + INDI]])&lt;=0,0,(Tabla110[[#This Row],[Precio Unitario Neto]]-Tabla110[[#This Row],[Apoyo]]-Tabla110[[#This Row],[COSTO + INDI]]))</f>
        <v>#N/A</v>
      </c>
      <c r="O108" s="258" t="e">
        <f>++Tabla110[[#This Row],[Utilidad Neta x Eq.]]*Tabla110[[#This Row],[Cantidad]]</f>
        <v>#N/A</v>
      </c>
      <c r="P108" s="271" t="e">
        <f>++Tabla110[[#This Row],[Utilidad Neta Total]]/Tabla110[[#This Row],[Venta Total]]</f>
        <v>#N/A</v>
      </c>
      <c r="Q108" s="258" t="s">
        <v>604</v>
      </c>
      <c r="R108" s="272" t="e">
        <f>INDEX(Tabla6[#All],MATCH(Tabla110[[#This Row],[Producto]],Tabla6[[#All],[PRODUCTO]],0),MATCH(Tabla110[[#This Row],[Mes]],Tabla6[#Headers],0))</f>
        <v>#N/A</v>
      </c>
      <c r="S108" s="260" t="e">
        <f>++Tabla110[[#This Row],[Precio Unitario Neto]]-Tabla110[[#This Row],[Apoyo]]-Tabla110[[#This Row],[Costo unitario]]</f>
        <v>#N/A</v>
      </c>
      <c r="T108" s="273" t="e">
        <f>+Tabla110[[#This Row],[Utilidad Bruta]]*Tabla110[[#This Row],[Cantidad]]</f>
        <v>#N/A</v>
      </c>
      <c r="U108" s="404" t="e">
        <f>++Tabla110[[#This Row],[Utilidad Bruta Total]]*$V$1</f>
        <v>#N/A</v>
      </c>
      <c r="V108" s="278" t="e">
        <f>++Tabla110[[#This Row],[Utilidad Bruta Total]]*$V$1</f>
        <v>#N/A</v>
      </c>
      <c r="W108" s="278">
        <f>VLOOKUP(Tabla110[[#This Row],[Producto]],'NUEVAS LISTAS'!$B$3:$P$403,'Ventas '!W$6,FALSE)</f>
        <v>29</v>
      </c>
      <c r="X108" s="278">
        <f>VLOOKUP(Tabla110[[#This Row],[Producto]],'NUEVAS LISTAS'!$B$3:$P$403,'Ventas '!X$6,FALSE)</f>
        <v>31.182795698924732</v>
      </c>
      <c r="Y108" s="278">
        <f>VLOOKUP(Tabla110[[#This Row],[Producto]],'NUEVAS LISTAS'!$B$3:$P$403,'Ventas '!Y$6,FALSE)</f>
        <v>33.529887848306167</v>
      </c>
      <c r="Z108" s="278">
        <f>VLOOKUP(Tabla110[[#This Row],[Producto]],'NUEVAS LISTAS'!$B$3:$P$403,'Ventas '!Z$6,FALSE)</f>
        <v>36.053642847641044</v>
      </c>
      <c r="AA108" s="543">
        <f>IF(AB108&lt;$AC$2,0,IF(Tabla110[[#This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8" s="539">
        <f>SUMIFS(Tabla110[[#All],[Venta Total]],Tabla110[[#All],[Asesor]],Tabla110[[#This Row],[Asesor]],Tabla110[[#All],[Fecha Cobranza]],"&lt;="&amp;Tabla110[[#This Row],[Fecha Cobranza]],Tabla110[[#All],[Fecha Cobranza]],"&gt;="&amp;Tabla110[[#This Row],[Fecha Cobranza]]-28)</f>
        <v>61445.2</v>
      </c>
      <c r="AC108" s="542">
        <f t="shared" si="20"/>
        <v>0</v>
      </c>
      <c r="AD108" s="544">
        <f t="shared" si="21"/>
        <v>0.02</v>
      </c>
      <c r="AE108" s="545">
        <f>+AD108*Tabla110[[#This Row],[Venta Total]]</f>
        <v>44.543999999999997</v>
      </c>
    </row>
    <row r="109" spans="1:31" x14ac:dyDescent="0.2">
      <c r="A109" s="264">
        <v>46006</v>
      </c>
      <c r="B109" s="274" t="str">
        <f t="shared" si="27"/>
        <v>December</v>
      </c>
      <c r="C109" s="265" t="s">
        <v>407</v>
      </c>
      <c r="D109" s="266" t="str">
        <f>VLOOKUP(Tabla110[[#This Row],[Asesor]],Tabla2[[Asesores]:[TIPO]],2,0)</f>
        <v>INTERNO</v>
      </c>
      <c r="E109" s="268" t="s">
        <v>3195</v>
      </c>
      <c r="F109" s="267" t="s">
        <v>3816</v>
      </c>
      <c r="G109" s="50" t="s">
        <v>3639</v>
      </c>
      <c r="H109" s="269">
        <v>20</v>
      </c>
      <c r="I109" s="275">
        <v>501</v>
      </c>
      <c r="J109" s="260">
        <f>+Tabla110[[#This Row],[Precio Bruto]]*1.16</f>
        <v>581.16</v>
      </c>
      <c r="L109" s="270">
        <f>++(Tabla110[[#This Row],[Precio Unitario Neto]]*Tabla110[[#This Row],[Cantidad]])-(Tabla110[[#This Row],[Cantidad]]*Tabla110[[#This Row],[Apoyo]])</f>
        <v>11623.199999999999</v>
      </c>
      <c r="M109" s="270" t="e">
        <f>((INDEX(Tabla6[#All],MATCH(Tabla110[[#This Row],[Producto]],Tabla6[[#All],[PRODUCTO]],0),MATCH(Tabla110[[#This Row],[Mes]],Tabla6[#Headers],0)))*(1+(IF(Tabla110[[#This Row],[FLETE]]="no",Catalogos!$M$2,Catalogos!$L$2))))</f>
        <v>#N/A</v>
      </c>
      <c r="N109" s="270" t="e">
        <f>+IF((Tabla110[[#This Row],[Precio Unitario Neto]]-Tabla110[[#This Row],[Apoyo]]-Tabla110[[#This Row],[COSTO + INDI]])&lt;=0,0,(Tabla110[[#This Row],[Precio Unitario Neto]]-Tabla110[[#This Row],[Apoyo]]-Tabla110[[#This Row],[COSTO + INDI]]))</f>
        <v>#N/A</v>
      </c>
      <c r="O109" s="258" t="e">
        <f>++Tabla110[[#This Row],[Utilidad Neta x Eq.]]*Tabla110[[#This Row],[Cantidad]]</f>
        <v>#N/A</v>
      </c>
      <c r="P109" s="271" t="e">
        <f>++Tabla110[[#This Row],[Utilidad Neta Total]]/Tabla110[[#This Row],[Venta Total]]</f>
        <v>#N/A</v>
      </c>
      <c r="Q109" s="258" t="s">
        <v>604</v>
      </c>
      <c r="R109" s="272" t="e">
        <f>INDEX(Tabla6[#All],MATCH(Tabla110[[#This Row],[Producto]],Tabla6[[#All],[PRODUCTO]],0),MATCH(Tabla110[[#This Row],[Mes]],Tabla6[#Headers],0))</f>
        <v>#N/A</v>
      </c>
      <c r="S109" s="260" t="e">
        <f>++Tabla110[[#This Row],[Precio Unitario Neto]]-Tabla110[[#This Row],[Apoyo]]-Tabla110[[#This Row],[Costo unitario]]</f>
        <v>#N/A</v>
      </c>
      <c r="T109" s="273" t="e">
        <f>+Tabla110[[#This Row],[Utilidad Bruta]]*Tabla110[[#This Row],[Cantidad]]</f>
        <v>#N/A</v>
      </c>
      <c r="U109" s="404" t="e">
        <f>++Tabla110[[#This Row],[Utilidad Bruta Total]]*$V$1</f>
        <v>#N/A</v>
      </c>
      <c r="V109" s="278" t="e">
        <f>++Tabla110[[#This Row],[Utilidad Bruta Total]]*$V$1</f>
        <v>#N/A</v>
      </c>
      <c r="W109" s="278">
        <f>VLOOKUP(Tabla110[[#This Row],[Producto]],'NUEVAS LISTAS'!$B$3:$P$403,'Ventas '!W$6,FALSE)</f>
        <v>579</v>
      </c>
      <c r="X109" s="278">
        <f>VLOOKUP(Tabla110[[#This Row],[Producto]],'NUEVAS LISTAS'!$B$3:$P$403,'Ventas '!X$6,FALSE)</f>
        <v>622.58064516129036</v>
      </c>
      <c r="Y109" s="278">
        <f>VLOOKUP(Tabla110[[#This Row],[Producto]],'NUEVAS LISTAS'!$B$3:$P$403,'Ventas '!Y$6,FALSE)</f>
        <v>669.4415539368714</v>
      </c>
      <c r="Z109" s="278">
        <f>VLOOKUP(Tabla110[[#This Row],[Producto]],'NUEVAS LISTAS'!$B$3:$P$403,'Ventas '!Z$6,FALSE)</f>
        <v>719.82962788910913</v>
      </c>
      <c r="AA109" s="543">
        <f>IF(AB109&lt;$AC$2,0,IF(Tabla110[[#This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09" s="539">
        <f>SUMIFS(Tabla110[[#All],[Venta Total]],Tabla110[[#All],[Asesor]],Tabla110[[#This Row],[Asesor]],Tabla110[[#All],[Fecha Cobranza]],"&lt;="&amp;Tabla110[[#This Row],[Fecha Cobranza]],Tabla110[[#All],[Fecha Cobranza]],"&gt;="&amp;Tabla110[[#This Row],[Fecha Cobranza]]-28)</f>
        <v>61445.2</v>
      </c>
      <c r="AC109" s="542">
        <f t="shared" si="20"/>
        <v>0</v>
      </c>
      <c r="AD109" s="544">
        <f t="shared" si="21"/>
        <v>0.02</v>
      </c>
      <c r="AE109" s="545">
        <f>+AD109*Tabla110[[#This Row],[Venta Total]]</f>
        <v>232.46399999999997</v>
      </c>
    </row>
    <row r="110" spans="1:31" x14ac:dyDescent="0.2">
      <c r="A110" s="264">
        <v>46006</v>
      </c>
      <c r="B110" s="274" t="str">
        <f t="shared" ref="B110:B116" si="28">TEXT(A110,"mmmm")</f>
        <v>December</v>
      </c>
      <c r="C110" s="265" t="s">
        <v>547</v>
      </c>
      <c r="D110" s="266" t="str">
        <f>VLOOKUP(Tabla110[[#This Row],[Asesor]],Tabla2[[Asesores]:[TIPO]],2,0)</f>
        <v>INTERNO</v>
      </c>
      <c r="E110" s="268" t="s">
        <v>640</v>
      </c>
      <c r="F110" s="267" t="s">
        <v>3817</v>
      </c>
      <c r="G110" s="50" t="s">
        <v>460</v>
      </c>
      <c r="H110" s="269">
        <v>5</v>
      </c>
      <c r="I110" s="275">
        <v>1853.4479999999999</v>
      </c>
      <c r="J110" s="260">
        <f>+Tabla110[[#This Row],[Precio Bruto]]*1.16</f>
        <v>2149.9996799999999</v>
      </c>
      <c r="L110" s="270">
        <f>++(Tabla110[[#This Row],[Precio Unitario Neto]]*Tabla110[[#This Row],[Cantidad]])-(Tabla110[[#This Row],[Cantidad]]*Tabla110[[#This Row],[Apoyo]])</f>
        <v>10749.9984</v>
      </c>
      <c r="M110" s="270" t="e">
        <f>((INDEX(Tabla6[#All],MATCH(Tabla110[[#This Row],[Producto]],Tabla6[[#All],[PRODUCTO]],0),MATCH(Tabla110[[#This Row],[Mes]],Tabla6[#Headers],0)))*(1+(IF(Tabla110[[#This Row],[FLETE]]="no",Catalogos!$M$2,Catalogos!$L$2))))</f>
        <v>#N/A</v>
      </c>
      <c r="N110" s="270" t="e">
        <f>+IF((Tabla110[[#This Row],[Precio Unitario Neto]]-Tabla110[[#This Row],[Apoyo]]-Tabla110[[#This Row],[COSTO + INDI]])&lt;=0,0,(Tabla110[[#This Row],[Precio Unitario Neto]]-Tabla110[[#This Row],[Apoyo]]-Tabla110[[#This Row],[COSTO + INDI]]))</f>
        <v>#N/A</v>
      </c>
      <c r="O110" s="258" t="e">
        <f>++Tabla110[[#This Row],[Utilidad Neta x Eq.]]*Tabla110[[#This Row],[Cantidad]]</f>
        <v>#N/A</v>
      </c>
      <c r="P110" s="271" t="e">
        <f>++Tabla110[[#This Row],[Utilidad Neta Total]]/Tabla110[[#This Row],[Venta Total]]</f>
        <v>#N/A</v>
      </c>
      <c r="Q110" s="258" t="s">
        <v>604</v>
      </c>
      <c r="R110" s="272" t="e">
        <f>INDEX(Tabla6[#All],MATCH(Tabla110[[#This Row],[Producto]],Tabla6[[#All],[PRODUCTO]],0),MATCH(Tabla110[[#This Row],[Mes]],Tabla6[#Headers],0))</f>
        <v>#N/A</v>
      </c>
      <c r="S110" s="260" t="e">
        <f>++Tabla110[[#This Row],[Precio Unitario Neto]]-Tabla110[[#This Row],[Apoyo]]-Tabla110[[#This Row],[Costo unitario]]</f>
        <v>#N/A</v>
      </c>
      <c r="T110" s="273" t="e">
        <f>+Tabla110[[#This Row],[Utilidad Bruta]]*Tabla110[[#This Row],[Cantidad]]</f>
        <v>#N/A</v>
      </c>
      <c r="U110" s="404" t="e">
        <f>++Tabla110[[#This Row],[Utilidad Bruta Total]]*$V$1</f>
        <v>#N/A</v>
      </c>
      <c r="V110" s="278" t="e">
        <f>++Tabla110[[#This Row],[Utilidad Bruta Total]]*$V$1</f>
        <v>#N/A</v>
      </c>
      <c r="W110" s="278">
        <f>VLOOKUP(Tabla110[[#This Row],[Producto]],'NUEVAS LISTAS'!$B$3:$P$403,'Ventas '!W$6,FALSE)</f>
        <v>2219</v>
      </c>
      <c r="X110" s="278">
        <f>VLOOKUP(Tabla110[[#This Row],[Producto]],'NUEVAS LISTAS'!$B$3:$P$403,'Ventas '!X$6,FALSE)</f>
        <v>2339</v>
      </c>
      <c r="Y110" s="278">
        <f>VLOOKUP(Tabla110[[#This Row],[Producto]],'NUEVAS LISTAS'!$B$3:$P$403,'Ventas '!Y$6,FALSE)</f>
        <v>2459</v>
      </c>
      <c r="Z110" s="278">
        <f>VLOOKUP(Tabla110[[#This Row],[Producto]],'NUEVAS LISTAS'!$B$3:$P$403,'Ventas '!Z$6,FALSE)</f>
        <v>2589</v>
      </c>
      <c r="AA110" s="543">
        <f>IF(AB110&lt;$AC$2,0,IF(Tabla110[[#This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0" s="539">
        <f>SUMIFS(Tabla110[[#All],[Venta Total]],Tabla110[[#All],[Asesor]],Tabla110[[#This Row],[Asesor]],Tabla110[[#All],[Fecha Cobranza]],"&lt;="&amp;Tabla110[[#This Row],[Fecha Cobranza]],Tabla110[[#All],[Fecha Cobranza]],"&gt;="&amp;Tabla110[[#This Row],[Fecha Cobranza]]-28)</f>
        <v>312330.99759999994</v>
      </c>
      <c r="AC110" s="542">
        <f t="shared" si="20"/>
        <v>0</v>
      </c>
      <c r="AD110" s="544">
        <f t="shared" si="21"/>
        <v>0.02</v>
      </c>
      <c r="AE110" s="545">
        <f>+AD110*Tabla110[[#This Row],[Venta Total]]</f>
        <v>214.99996800000002</v>
      </c>
    </row>
    <row r="111" spans="1:31" x14ac:dyDescent="0.2">
      <c r="A111" s="264">
        <v>46006</v>
      </c>
      <c r="B111" s="274" t="str">
        <f t="shared" si="28"/>
        <v>December</v>
      </c>
      <c r="C111" s="265" t="s">
        <v>547</v>
      </c>
      <c r="D111" s="266" t="str">
        <f>VLOOKUP(Tabla110[[#This Row],[Asesor]],Tabla2[[Asesores]:[TIPO]],2,0)</f>
        <v>INTERNO</v>
      </c>
      <c r="E111" s="268" t="s">
        <v>640</v>
      </c>
      <c r="F111" s="267" t="s">
        <v>3817</v>
      </c>
      <c r="G111" s="50" t="s">
        <v>369</v>
      </c>
      <c r="H111" s="269">
        <v>6</v>
      </c>
      <c r="I111" s="275">
        <v>2173.2750000000001</v>
      </c>
      <c r="J111" s="260">
        <f>+Tabla110[[#This Row],[Precio Bruto]]*1.16</f>
        <v>2520.9989999999998</v>
      </c>
      <c r="L111" s="270">
        <f>++(Tabla110[[#This Row],[Precio Unitario Neto]]*Tabla110[[#This Row],[Cantidad]])-(Tabla110[[#This Row],[Cantidad]]*Tabla110[[#This Row],[Apoyo]])</f>
        <v>15125.993999999999</v>
      </c>
      <c r="M111" s="270" t="e">
        <f>((INDEX(Tabla6[#All],MATCH(Tabla110[[#This Row],[Producto]],Tabla6[[#All],[PRODUCTO]],0),MATCH(Tabla110[[#This Row],[Mes]],Tabla6[#Headers],0)))*(1+(IF(Tabla110[[#This Row],[FLETE]]="no",Catalogos!$M$2,Catalogos!$L$2))))</f>
        <v>#N/A</v>
      </c>
      <c r="N111" s="270" t="e">
        <f>+IF((Tabla110[[#This Row],[Precio Unitario Neto]]-Tabla110[[#This Row],[Apoyo]]-Tabla110[[#This Row],[COSTO + INDI]])&lt;=0,0,(Tabla110[[#This Row],[Precio Unitario Neto]]-Tabla110[[#This Row],[Apoyo]]-Tabla110[[#This Row],[COSTO + INDI]]))</f>
        <v>#N/A</v>
      </c>
      <c r="O111" s="258" t="e">
        <f>++Tabla110[[#This Row],[Utilidad Neta x Eq.]]*Tabla110[[#This Row],[Cantidad]]</f>
        <v>#N/A</v>
      </c>
      <c r="P111" s="271" t="e">
        <f>++Tabla110[[#This Row],[Utilidad Neta Total]]/Tabla110[[#This Row],[Venta Total]]</f>
        <v>#N/A</v>
      </c>
      <c r="Q111" s="258" t="s">
        <v>604</v>
      </c>
      <c r="R111" s="272" t="e">
        <f>INDEX(Tabla6[#All],MATCH(Tabla110[[#This Row],[Producto]],Tabla6[[#All],[PRODUCTO]],0),MATCH(Tabla110[[#This Row],[Mes]],Tabla6[#Headers],0))</f>
        <v>#N/A</v>
      </c>
      <c r="S111" s="260" t="e">
        <f>++Tabla110[[#This Row],[Precio Unitario Neto]]-Tabla110[[#This Row],[Apoyo]]-Tabla110[[#This Row],[Costo unitario]]</f>
        <v>#N/A</v>
      </c>
      <c r="T111" s="273" t="e">
        <f>+Tabla110[[#This Row],[Utilidad Bruta]]*Tabla110[[#This Row],[Cantidad]]</f>
        <v>#N/A</v>
      </c>
      <c r="U111" s="404" t="e">
        <f>++Tabla110[[#This Row],[Utilidad Bruta Total]]*$V$1</f>
        <v>#N/A</v>
      </c>
      <c r="V111" s="278" t="e">
        <f>++Tabla110[[#This Row],[Utilidad Bruta Total]]*$V$1</f>
        <v>#N/A</v>
      </c>
      <c r="W111" s="278">
        <f>VLOOKUP(Tabla110[[#This Row],[Producto]],'NUEVAS LISTAS'!$B$3:$P$403,'Ventas '!W$6,FALSE)</f>
        <v>2569</v>
      </c>
      <c r="X111" s="278">
        <f>VLOOKUP(Tabla110[[#This Row],[Producto]],'NUEVAS LISTAS'!$B$3:$P$403,'Ventas '!X$6,FALSE)</f>
        <v>2699</v>
      </c>
      <c r="Y111" s="278">
        <f>VLOOKUP(Tabla110[[#This Row],[Producto]],'NUEVAS LISTAS'!$B$3:$P$403,'Ventas '!Y$6,FALSE)</f>
        <v>2839</v>
      </c>
      <c r="Z111" s="278">
        <f>VLOOKUP(Tabla110[[#This Row],[Producto]],'NUEVAS LISTAS'!$B$3:$P$403,'Ventas '!Z$6,FALSE)</f>
        <v>2989</v>
      </c>
      <c r="AA111" s="543">
        <f>IF(AB111&lt;$AC$2,0,IF(Tabla110[[#This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1" s="539">
        <f>SUMIFS(Tabla110[[#All],[Venta Total]],Tabla110[[#All],[Asesor]],Tabla110[[#This Row],[Asesor]],Tabla110[[#All],[Fecha Cobranza]],"&lt;="&amp;Tabla110[[#This Row],[Fecha Cobranza]],Tabla110[[#All],[Fecha Cobranza]],"&gt;="&amp;Tabla110[[#This Row],[Fecha Cobranza]]-28)</f>
        <v>312330.99759999994</v>
      </c>
      <c r="AC111" s="542">
        <f t="shared" si="20"/>
        <v>0</v>
      </c>
      <c r="AD111" s="544">
        <f t="shared" si="21"/>
        <v>0.02</v>
      </c>
      <c r="AE111" s="545">
        <f>+AD111*Tabla110[[#This Row],[Venta Total]]</f>
        <v>302.51988</v>
      </c>
    </row>
    <row r="112" spans="1:31" x14ac:dyDescent="0.2">
      <c r="A112" s="264">
        <v>46006</v>
      </c>
      <c r="B112" s="274" t="str">
        <f t="shared" si="28"/>
        <v>December</v>
      </c>
      <c r="C112" s="265" t="s">
        <v>547</v>
      </c>
      <c r="D112" s="266" t="str">
        <f>VLOOKUP(Tabla110[[#This Row],[Asesor]],Tabla2[[Asesores]:[TIPO]],2,0)</f>
        <v>INTERNO</v>
      </c>
      <c r="E112" s="268" t="s">
        <v>640</v>
      </c>
      <c r="F112" s="267" t="s">
        <v>3817</v>
      </c>
      <c r="G112" s="50" t="s">
        <v>370</v>
      </c>
      <c r="H112" s="269">
        <v>5</v>
      </c>
      <c r="I112" s="275">
        <v>2370.69</v>
      </c>
      <c r="J112" s="260">
        <f>+Tabla110[[#This Row],[Precio Bruto]]*1.16</f>
        <v>2750.0003999999999</v>
      </c>
      <c r="L112" s="270">
        <f>++(Tabla110[[#This Row],[Precio Unitario Neto]]*Tabla110[[#This Row],[Cantidad]])-(Tabla110[[#This Row],[Cantidad]]*Tabla110[[#This Row],[Apoyo]])</f>
        <v>13750.002</v>
      </c>
      <c r="M112" s="270" t="e">
        <f>((INDEX(Tabla6[#All],MATCH(Tabla110[[#This Row],[Producto]],Tabla6[[#All],[PRODUCTO]],0),MATCH(Tabla110[[#This Row],[Mes]],Tabla6[#Headers],0)))*(1+(IF(Tabla110[[#This Row],[FLETE]]="no",Catalogos!$M$2,Catalogos!$L$2))))</f>
        <v>#N/A</v>
      </c>
      <c r="N112" s="270" t="e">
        <f>+IF((Tabla110[[#This Row],[Precio Unitario Neto]]-Tabla110[[#This Row],[Apoyo]]-Tabla110[[#This Row],[COSTO + INDI]])&lt;=0,0,(Tabla110[[#This Row],[Precio Unitario Neto]]-Tabla110[[#This Row],[Apoyo]]-Tabla110[[#This Row],[COSTO + INDI]]))</f>
        <v>#N/A</v>
      </c>
      <c r="O112" s="258" t="e">
        <f>++Tabla110[[#This Row],[Utilidad Neta x Eq.]]*Tabla110[[#This Row],[Cantidad]]</f>
        <v>#N/A</v>
      </c>
      <c r="P112" s="271" t="e">
        <f>++Tabla110[[#This Row],[Utilidad Neta Total]]/Tabla110[[#This Row],[Venta Total]]</f>
        <v>#N/A</v>
      </c>
      <c r="Q112" s="258" t="s">
        <v>604</v>
      </c>
      <c r="R112" s="272" t="e">
        <f>INDEX(Tabla6[#All],MATCH(Tabla110[[#This Row],[Producto]],Tabla6[[#All],[PRODUCTO]],0),MATCH(Tabla110[[#This Row],[Mes]],Tabla6[#Headers],0))</f>
        <v>#N/A</v>
      </c>
      <c r="S112" s="260" t="e">
        <f>++Tabla110[[#This Row],[Precio Unitario Neto]]-Tabla110[[#This Row],[Apoyo]]-Tabla110[[#This Row],[Costo unitario]]</f>
        <v>#N/A</v>
      </c>
      <c r="T112" s="273" t="e">
        <f>+Tabla110[[#This Row],[Utilidad Bruta]]*Tabla110[[#This Row],[Cantidad]]</f>
        <v>#N/A</v>
      </c>
      <c r="U112" s="404" t="e">
        <f>++Tabla110[[#This Row],[Utilidad Bruta Total]]*$V$1</f>
        <v>#N/A</v>
      </c>
      <c r="V112" s="278" t="e">
        <f>++Tabla110[[#This Row],[Utilidad Bruta Total]]*$V$1</f>
        <v>#N/A</v>
      </c>
      <c r="W112" s="278">
        <f>VLOOKUP(Tabla110[[#This Row],[Producto]],'NUEVAS LISTAS'!$B$3:$P$403,'Ventas '!W$6,FALSE)</f>
        <v>2929</v>
      </c>
      <c r="X112" s="278">
        <f>VLOOKUP(Tabla110[[#This Row],[Producto]],'NUEVAS LISTAS'!$B$3:$P$403,'Ventas '!X$6,FALSE)</f>
        <v>3079</v>
      </c>
      <c r="Y112" s="278">
        <f>VLOOKUP(Tabla110[[#This Row],[Producto]],'NUEVAS LISTAS'!$B$3:$P$403,'Ventas '!Y$6,FALSE)</f>
        <v>3239</v>
      </c>
      <c r="Z112" s="278">
        <f>VLOOKUP(Tabla110[[#This Row],[Producto]],'NUEVAS LISTAS'!$B$3:$P$403,'Ventas '!Z$6,FALSE)</f>
        <v>3409</v>
      </c>
      <c r="AA112" s="543">
        <f>IF(AB112&lt;$AC$2,0,IF(Tabla110[[#This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2" s="539">
        <f>SUMIFS(Tabla110[[#All],[Venta Total]],Tabla110[[#All],[Asesor]],Tabla110[[#This Row],[Asesor]],Tabla110[[#All],[Fecha Cobranza]],"&lt;="&amp;Tabla110[[#This Row],[Fecha Cobranza]],Tabla110[[#All],[Fecha Cobranza]],"&gt;="&amp;Tabla110[[#This Row],[Fecha Cobranza]]-28)</f>
        <v>312330.99759999994</v>
      </c>
      <c r="AC112" s="542">
        <f t="shared" si="20"/>
        <v>0</v>
      </c>
      <c r="AD112" s="544">
        <f t="shared" si="21"/>
        <v>0.02</v>
      </c>
      <c r="AE112" s="545">
        <f>+AD112*Tabla110[[#This Row],[Venta Total]]</f>
        <v>275.00004000000001</v>
      </c>
    </row>
    <row r="113" spans="1:31" x14ac:dyDescent="0.2">
      <c r="A113" s="264">
        <v>46006</v>
      </c>
      <c r="B113" s="274" t="str">
        <f t="shared" si="28"/>
        <v>December</v>
      </c>
      <c r="C113" s="265" t="s">
        <v>547</v>
      </c>
      <c r="D113" s="266" t="str">
        <f>VLOOKUP(Tabla110[[#This Row],[Asesor]],Tabla2[[Asesores]:[TIPO]],2,0)</f>
        <v>INTERNO</v>
      </c>
      <c r="E113" s="268" t="s">
        <v>640</v>
      </c>
      <c r="F113" s="267" t="s">
        <v>3817</v>
      </c>
      <c r="G113" s="50" t="s">
        <v>371</v>
      </c>
      <c r="H113" s="269">
        <v>5</v>
      </c>
      <c r="I113" s="275">
        <v>2862.0680000000002</v>
      </c>
      <c r="J113" s="260">
        <f>+Tabla110[[#This Row],[Precio Bruto]]*1.16</f>
        <v>3319.9988800000001</v>
      </c>
      <c r="L113" s="270">
        <f>++(Tabla110[[#This Row],[Precio Unitario Neto]]*Tabla110[[#This Row],[Cantidad]])-(Tabla110[[#This Row],[Cantidad]]*Tabla110[[#This Row],[Apoyo]])</f>
        <v>16599.9944</v>
      </c>
      <c r="M113" s="270" t="e">
        <f>((INDEX(Tabla6[#All],MATCH(Tabla110[[#This Row],[Producto]],Tabla6[[#All],[PRODUCTO]],0),MATCH(Tabla110[[#This Row],[Mes]],Tabla6[#Headers],0)))*(1+(IF(Tabla110[[#This Row],[FLETE]]="no",Catalogos!$M$2,Catalogos!$L$2))))</f>
        <v>#N/A</v>
      </c>
      <c r="N113" s="270" t="e">
        <f>+IF((Tabla110[[#This Row],[Precio Unitario Neto]]-Tabla110[[#This Row],[Apoyo]]-Tabla110[[#This Row],[COSTO + INDI]])&lt;=0,0,(Tabla110[[#This Row],[Precio Unitario Neto]]-Tabla110[[#This Row],[Apoyo]]-Tabla110[[#This Row],[COSTO + INDI]]))</f>
        <v>#N/A</v>
      </c>
      <c r="O113" s="258" t="e">
        <f>++Tabla110[[#This Row],[Utilidad Neta x Eq.]]*Tabla110[[#This Row],[Cantidad]]</f>
        <v>#N/A</v>
      </c>
      <c r="P113" s="271" t="e">
        <f>++Tabla110[[#This Row],[Utilidad Neta Total]]/Tabla110[[#This Row],[Venta Total]]</f>
        <v>#N/A</v>
      </c>
      <c r="Q113" s="258" t="s">
        <v>604</v>
      </c>
      <c r="R113" s="272" t="e">
        <f>INDEX(Tabla6[#All],MATCH(Tabla110[[#This Row],[Producto]],Tabla6[[#All],[PRODUCTO]],0),MATCH(Tabla110[[#This Row],[Mes]],Tabla6[#Headers],0))</f>
        <v>#N/A</v>
      </c>
      <c r="S113" s="260" t="e">
        <f>++Tabla110[[#This Row],[Precio Unitario Neto]]-Tabla110[[#This Row],[Apoyo]]-Tabla110[[#This Row],[Costo unitario]]</f>
        <v>#N/A</v>
      </c>
      <c r="T113" s="273" t="e">
        <f>+Tabla110[[#This Row],[Utilidad Bruta]]*Tabla110[[#This Row],[Cantidad]]</f>
        <v>#N/A</v>
      </c>
      <c r="U113" s="404" t="e">
        <f>++Tabla110[[#This Row],[Utilidad Bruta Total]]*$V$1</f>
        <v>#N/A</v>
      </c>
      <c r="V113" s="278" t="e">
        <f>++Tabla110[[#This Row],[Utilidad Bruta Total]]*$V$1</f>
        <v>#N/A</v>
      </c>
      <c r="W113" s="278">
        <f>VLOOKUP(Tabla110[[#This Row],[Producto]],'NUEVAS LISTAS'!$B$3:$P$403,'Ventas '!W$6,FALSE)</f>
        <v>3359</v>
      </c>
      <c r="X113" s="278">
        <f>VLOOKUP(Tabla110[[#This Row],[Producto]],'NUEVAS LISTAS'!$B$3:$P$403,'Ventas '!X$6,FALSE)</f>
        <v>3539</v>
      </c>
      <c r="Y113" s="278">
        <f>VLOOKUP(Tabla110[[#This Row],[Producto]],'NUEVAS LISTAS'!$B$3:$P$403,'Ventas '!Y$6,FALSE)</f>
        <v>3729</v>
      </c>
      <c r="Z113" s="278">
        <f>VLOOKUP(Tabla110[[#This Row],[Producto]],'NUEVAS LISTAS'!$B$3:$P$403,'Ventas '!Z$6,FALSE)</f>
        <v>3929</v>
      </c>
      <c r="AA113" s="543">
        <f>IF(AB113&lt;$AC$2,0,IF(Tabla110[[#This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3" s="539">
        <f>SUMIFS(Tabla110[[#All],[Venta Total]],Tabla110[[#All],[Asesor]],Tabla110[[#This Row],[Asesor]],Tabla110[[#All],[Fecha Cobranza]],"&lt;="&amp;Tabla110[[#This Row],[Fecha Cobranza]],Tabla110[[#All],[Fecha Cobranza]],"&gt;="&amp;Tabla110[[#This Row],[Fecha Cobranza]]-28)</f>
        <v>312330.99759999994</v>
      </c>
      <c r="AC113" s="542">
        <f t="shared" si="20"/>
        <v>0</v>
      </c>
      <c r="AD113" s="544">
        <f t="shared" si="21"/>
        <v>0.02</v>
      </c>
      <c r="AE113" s="545">
        <f>+AD113*Tabla110[[#This Row],[Venta Total]]</f>
        <v>331.999888</v>
      </c>
    </row>
    <row r="114" spans="1:31" x14ac:dyDescent="0.2">
      <c r="A114" s="264">
        <v>46006</v>
      </c>
      <c r="B114" s="274" t="str">
        <f t="shared" si="28"/>
        <v>December</v>
      </c>
      <c r="C114" s="265" t="s">
        <v>547</v>
      </c>
      <c r="D114" s="266" t="str">
        <f>VLOOKUP(Tabla110[[#This Row],[Asesor]],Tabla2[[Asesores]:[TIPO]],2,0)</f>
        <v>INTERNO</v>
      </c>
      <c r="E114" s="268" t="s">
        <v>640</v>
      </c>
      <c r="F114" s="267" t="s">
        <v>3817</v>
      </c>
      <c r="G114" s="50" t="s">
        <v>644</v>
      </c>
      <c r="H114" s="269">
        <v>1</v>
      </c>
      <c r="I114" s="275">
        <v>3303.45</v>
      </c>
      <c r="J114" s="260">
        <f>+Tabla110[[#This Row],[Precio Bruto]]*1.16</f>
        <v>3832.0019999999995</v>
      </c>
      <c r="L114" s="270">
        <f>++(Tabla110[[#This Row],[Precio Unitario Neto]]*Tabla110[[#This Row],[Cantidad]])-(Tabla110[[#This Row],[Cantidad]]*Tabla110[[#This Row],[Apoyo]])</f>
        <v>3832.0019999999995</v>
      </c>
      <c r="M114" s="270" t="e">
        <f>((INDEX(Tabla6[#All],MATCH(Tabla110[[#This Row],[Producto]],Tabla6[[#All],[PRODUCTO]],0),MATCH(Tabla110[[#This Row],[Mes]],Tabla6[#Headers],0)))*(1+(IF(Tabla110[[#This Row],[FLETE]]="no",Catalogos!$M$2,Catalogos!$L$2))))</f>
        <v>#N/A</v>
      </c>
      <c r="N114" s="270" t="e">
        <f>+IF((Tabla110[[#This Row],[Precio Unitario Neto]]-Tabla110[[#This Row],[Apoyo]]-Tabla110[[#This Row],[COSTO + INDI]])&lt;=0,0,(Tabla110[[#This Row],[Precio Unitario Neto]]-Tabla110[[#This Row],[Apoyo]]-Tabla110[[#This Row],[COSTO + INDI]]))</f>
        <v>#N/A</v>
      </c>
      <c r="O114" s="258" t="e">
        <f>++Tabla110[[#This Row],[Utilidad Neta x Eq.]]*Tabla110[[#This Row],[Cantidad]]</f>
        <v>#N/A</v>
      </c>
      <c r="P114" s="271" t="e">
        <f>++Tabla110[[#This Row],[Utilidad Neta Total]]/Tabla110[[#This Row],[Venta Total]]</f>
        <v>#N/A</v>
      </c>
      <c r="Q114" s="258" t="s">
        <v>604</v>
      </c>
      <c r="R114" s="272" t="e">
        <f>INDEX(Tabla6[#All],MATCH(Tabla110[[#This Row],[Producto]],Tabla6[[#All],[PRODUCTO]],0),MATCH(Tabla110[[#This Row],[Mes]],Tabla6[#Headers],0))</f>
        <v>#N/A</v>
      </c>
      <c r="S114" s="260" t="e">
        <f>++Tabla110[[#This Row],[Precio Unitario Neto]]-Tabla110[[#This Row],[Apoyo]]-Tabla110[[#This Row],[Costo unitario]]</f>
        <v>#N/A</v>
      </c>
      <c r="T114" s="273" t="e">
        <f>+Tabla110[[#This Row],[Utilidad Bruta]]*Tabla110[[#This Row],[Cantidad]]</f>
        <v>#N/A</v>
      </c>
      <c r="U114" s="404" t="e">
        <f>++Tabla110[[#This Row],[Utilidad Bruta Total]]*$V$1</f>
        <v>#N/A</v>
      </c>
      <c r="V114" s="278" t="e">
        <f>++Tabla110[[#This Row],[Utilidad Bruta Total]]*$V$1</f>
        <v>#N/A</v>
      </c>
      <c r="W114" s="278">
        <f>VLOOKUP(Tabla110[[#This Row],[Producto]],'NUEVAS LISTAS'!$B$3:$P$403,'Ventas '!W$6,FALSE)</f>
        <v>4119</v>
      </c>
      <c r="X114" s="278">
        <f>VLOOKUP(Tabla110[[#This Row],[Producto]],'NUEVAS LISTAS'!$B$3:$P$403,'Ventas '!X$6,FALSE)</f>
        <v>4339</v>
      </c>
      <c r="Y114" s="278">
        <f>VLOOKUP(Tabla110[[#This Row],[Producto]],'NUEVAS LISTAS'!$B$3:$P$403,'Ventas '!Y$6,FALSE)</f>
        <v>4569</v>
      </c>
      <c r="Z114" s="278">
        <f>VLOOKUP(Tabla110[[#This Row],[Producto]],'NUEVAS LISTAS'!$B$3:$P$403,'Ventas '!Z$6,FALSE)</f>
        <v>4809</v>
      </c>
      <c r="AA114" s="543">
        <f>IF(AB114&lt;$AC$2,0,IF(Tabla110[[#This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4" s="539">
        <f>SUMIFS(Tabla110[[#All],[Venta Total]],Tabla110[[#All],[Asesor]],Tabla110[[#This Row],[Asesor]],Tabla110[[#All],[Fecha Cobranza]],"&lt;="&amp;Tabla110[[#This Row],[Fecha Cobranza]],Tabla110[[#All],[Fecha Cobranza]],"&gt;="&amp;Tabla110[[#This Row],[Fecha Cobranza]]-28)</f>
        <v>312330.99759999994</v>
      </c>
      <c r="AC114" s="542">
        <f t="shared" si="20"/>
        <v>0</v>
      </c>
      <c r="AD114" s="544">
        <f t="shared" si="21"/>
        <v>0.02</v>
      </c>
      <c r="AE114" s="545">
        <f>+AD114*Tabla110[[#This Row],[Venta Total]]</f>
        <v>76.640039999999985</v>
      </c>
    </row>
    <row r="115" spans="1:31" x14ac:dyDescent="0.2">
      <c r="A115" s="264">
        <v>46006</v>
      </c>
      <c r="B115" s="274" t="str">
        <f t="shared" si="28"/>
        <v>December</v>
      </c>
      <c r="C115" s="265" t="s">
        <v>547</v>
      </c>
      <c r="D115" s="266" t="str">
        <f>VLOOKUP(Tabla110[[#This Row],[Asesor]],Tabla2[[Asesores]:[TIPO]],2,0)</f>
        <v>INTERNO</v>
      </c>
      <c r="E115" s="268" t="s">
        <v>640</v>
      </c>
      <c r="F115" s="267" t="s">
        <v>3817</v>
      </c>
      <c r="G115" s="50" t="s">
        <v>645</v>
      </c>
      <c r="H115" s="269">
        <v>2</v>
      </c>
      <c r="I115" s="275">
        <v>3597.415</v>
      </c>
      <c r="J115" s="260">
        <f>+Tabla110[[#This Row],[Precio Bruto]]*1.16</f>
        <v>4173.0014000000001</v>
      </c>
      <c r="L115" s="270">
        <f>++(Tabla110[[#This Row],[Precio Unitario Neto]]*Tabla110[[#This Row],[Cantidad]])-(Tabla110[[#This Row],[Cantidad]]*Tabla110[[#This Row],[Apoyo]])</f>
        <v>8346.0028000000002</v>
      </c>
      <c r="M115" s="270" t="e">
        <f>((INDEX(Tabla6[#All],MATCH(Tabla110[[#This Row],[Producto]],Tabla6[[#All],[PRODUCTO]],0),MATCH(Tabla110[[#This Row],[Mes]],Tabla6[#Headers],0)))*(1+(IF(Tabla110[[#This Row],[FLETE]]="no",Catalogos!$M$2,Catalogos!$L$2))))</f>
        <v>#N/A</v>
      </c>
      <c r="N115" s="270" t="e">
        <f>+IF((Tabla110[[#This Row],[Precio Unitario Neto]]-Tabla110[[#This Row],[Apoyo]]-Tabla110[[#This Row],[COSTO + INDI]])&lt;=0,0,(Tabla110[[#This Row],[Precio Unitario Neto]]-Tabla110[[#This Row],[Apoyo]]-Tabla110[[#This Row],[COSTO + INDI]]))</f>
        <v>#N/A</v>
      </c>
      <c r="O115" s="258" t="e">
        <f>++Tabla110[[#This Row],[Utilidad Neta x Eq.]]*Tabla110[[#This Row],[Cantidad]]</f>
        <v>#N/A</v>
      </c>
      <c r="P115" s="271" t="e">
        <f>++Tabla110[[#This Row],[Utilidad Neta Total]]/Tabla110[[#This Row],[Venta Total]]</f>
        <v>#N/A</v>
      </c>
      <c r="Q115" s="258" t="s">
        <v>604</v>
      </c>
      <c r="R115" s="272" t="e">
        <f>INDEX(Tabla6[#All],MATCH(Tabla110[[#This Row],[Producto]],Tabla6[[#All],[PRODUCTO]],0),MATCH(Tabla110[[#This Row],[Mes]],Tabla6[#Headers],0))</f>
        <v>#N/A</v>
      </c>
      <c r="S115" s="260" t="e">
        <f>++Tabla110[[#This Row],[Precio Unitario Neto]]-Tabla110[[#This Row],[Apoyo]]-Tabla110[[#This Row],[Costo unitario]]</f>
        <v>#N/A</v>
      </c>
      <c r="T115" s="273" t="e">
        <f>+Tabla110[[#This Row],[Utilidad Bruta]]*Tabla110[[#This Row],[Cantidad]]</f>
        <v>#N/A</v>
      </c>
      <c r="U115" s="404" t="e">
        <f>++Tabla110[[#This Row],[Utilidad Bruta Total]]*$V$1</f>
        <v>#N/A</v>
      </c>
      <c r="V115" s="278" t="e">
        <f>++Tabla110[[#This Row],[Utilidad Bruta Total]]*$V$1</f>
        <v>#N/A</v>
      </c>
      <c r="W115" s="278">
        <f>VLOOKUP(Tabla110[[#This Row],[Producto]],'NUEVAS LISTAS'!$B$3:$P$403,'Ventas '!W$6,FALSE)</f>
        <v>4599</v>
      </c>
      <c r="X115" s="278">
        <f>VLOOKUP(Tabla110[[#This Row],[Producto]],'NUEVAS LISTAS'!$B$3:$P$403,'Ventas '!X$6,FALSE)</f>
        <v>4839</v>
      </c>
      <c r="Y115" s="278">
        <f>VLOOKUP(Tabla110[[#This Row],[Producto]],'NUEVAS LISTAS'!$B$3:$P$403,'Ventas '!Y$6,FALSE)</f>
        <v>5089</v>
      </c>
      <c r="Z115" s="278">
        <f>VLOOKUP(Tabla110[[#This Row],[Producto]],'NUEVAS LISTAS'!$B$3:$P$403,'Ventas '!Z$6,FALSE)</f>
        <v>5359</v>
      </c>
      <c r="AA115" s="543">
        <f>IF(AB115&lt;$AC$2,0,IF(Tabla110[[#This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5" s="539">
        <f>SUMIFS(Tabla110[[#All],[Venta Total]],Tabla110[[#All],[Asesor]],Tabla110[[#This Row],[Asesor]],Tabla110[[#All],[Fecha Cobranza]],"&lt;="&amp;Tabla110[[#This Row],[Fecha Cobranza]],Tabla110[[#All],[Fecha Cobranza]],"&gt;="&amp;Tabla110[[#This Row],[Fecha Cobranza]]-28)</f>
        <v>312330.99759999994</v>
      </c>
      <c r="AC115" s="542">
        <f t="shared" si="20"/>
        <v>0</v>
      </c>
      <c r="AD115" s="544">
        <f t="shared" si="21"/>
        <v>0.02</v>
      </c>
      <c r="AE115" s="545">
        <f>+AD115*Tabla110[[#This Row],[Venta Total]]</f>
        <v>166.92005600000002</v>
      </c>
    </row>
    <row r="116" spans="1:31" x14ac:dyDescent="0.2">
      <c r="A116" s="264">
        <v>46006</v>
      </c>
      <c r="B116" s="274" t="str">
        <f t="shared" si="28"/>
        <v>December</v>
      </c>
      <c r="C116" s="265" t="s">
        <v>547</v>
      </c>
      <c r="D116" s="266" t="str">
        <f>VLOOKUP(Tabla110[[#This Row],[Asesor]],Tabla2[[Asesores]:[TIPO]],2,0)</f>
        <v>INTERNO</v>
      </c>
      <c r="E116" s="268" t="s">
        <v>640</v>
      </c>
      <c r="F116" s="267" t="s">
        <v>3817</v>
      </c>
      <c r="G116" s="50" t="s">
        <v>553</v>
      </c>
      <c r="H116" s="269">
        <v>24</v>
      </c>
      <c r="I116" s="275">
        <v>3.5833333333333335E-2</v>
      </c>
      <c r="J116" s="260">
        <f>+Tabla110[[#This Row],[Precio Bruto]]*1.16</f>
        <v>4.1566666666666668E-2</v>
      </c>
      <c r="L116" s="270">
        <f>++(Tabla110[[#This Row],[Precio Unitario Neto]]*Tabla110[[#This Row],[Cantidad]])-(Tabla110[[#This Row],[Cantidad]]*Tabla110[[#This Row],[Apoyo]])</f>
        <v>0.99760000000000004</v>
      </c>
      <c r="M116" s="270" t="e">
        <f>((INDEX(Tabla6[#All],MATCH(Tabla110[[#This Row],[Producto]],Tabla6[[#All],[PRODUCTO]],0),MATCH(Tabla110[[#This Row],[Mes]],Tabla6[#Headers],0)))*(1+(IF(Tabla110[[#This Row],[FLETE]]="no",Catalogos!$M$2,Catalogos!$L$2))))</f>
        <v>#N/A</v>
      </c>
      <c r="N116" s="270" t="e">
        <f>+IF((Tabla110[[#This Row],[Precio Unitario Neto]]-Tabla110[[#This Row],[Apoyo]]-Tabla110[[#This Row],[COSTO + INDI]])&lt;=0,0,(Tabla110[[#This Row],[Precio Unitario Neto]]-Tabla110[[#This Row],[Apoyo]]-Tabla110[[#This Row],[COSTO + INDI]]))</f>
        <v>#N/A</v>
      </c>
      <c r="O116" s="258" t="e">
        <f>++Tabla110[[#This Row],[Utilidad Neta x Eq.]]*Tabla110[[#This Row],[Cantidad]]</f>
        <v>#N/A</v>
      </c>
      <c r="P116" s="271" t="e">
        <f>++Tabla110[[#This Row],[Utilidad Neta Total]]/Tabla110[[#This Row],[Venta Total]]</f>
        <v>#N/A</v>
      </c>
      <c r="Q116" s="258" t="s">
        <v>604</v>
      </c>
      <c r="R116" s="272" t="e">
        <f>INDEX(Tabla6[#All],MATCH(Tabla110[[#This Row],[Producto]],Tabla6[[#All],[PRODUCTO]],0),MATCH(Tabla110[[#This Row],[Mes]],Tabla6[#Headers],0))</f>
        <v>#N/A</v>
      </c>
      <c r="S116" s="260" t="e">
        <f>++Tabla110[[#This Row],[Precio Unitario Neto]]-Tabla110[[#This Row],[Apoyo]]-Tabla110[[#This Row],[Costo unitario]]</f>
        <v>#N/A</v>
      </c>
      <c r="T116" s="273" t="e">
        <f>+Tabla110[[#This Row],[Utilidad Bruta]]*Tabla110[[#This Row],[Cantidad]]</f>
        <v>#N/A</v>
      </c>
      <c r="U116" s="404" t="e">
        <f>++Tabla110[[#This Row],[Utilidad Bruta Total]]*$V$1</f>
        <v>#N/A</v>
      </c>
      <c r="V116" s="278" t="e">
        <f>++Tabla110[[#This Row],[Utilidad Bruta Total]]*$V$1</f>
        <v>#N/A</v>
      </c>
      <c r="W116" s="278">
        <f>VLOOKUP(Tabla110[[#This Row],[Producto]],'NUEVAS LISTAS'!$B$3:$P$403,'Ventas '!W$6,FALSE)</f>
        <v>24.466071182991055</v>
      </c>
      <c r="X116" s="278">
        <f>VLOOKUP(Tabla110[[#This Row],[Producto]],'NUEVAS LISTAS'!$B$3:$P$403,'Ventas '!X$6,FALSE)</f>
        <v>26.50491044824031</v>
      </c>
      <c r="Y116" s="278">
        <f>VLOOKUP(Tabla110[[#This Row],[Producto]],'NUEVAS LISTAS'!$B$3:$P$403,'Ventas '!Y$6,FALSE)</f>
        <v>27.899905734989801</v>
      </c>
      <c r="Z116" s="278">
        <f>VLOOKUP(Tabla110[[#This Row],[Producto]],'NUEVAS LISTAS'!$B$3:$P$403,'Ventas '!Z$6,FALSE)</f>
        <v>29.368321826305056</v>
      </c>
      <c r="AA116" s="543">
        <f>IF(AB116&lt;$AC$2,0,IF(Tabla110[[#This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6" s="539">
        <f>SUMIFS(Tabla110[[#All],[Venta Total]],Tabla110[[#All],[Asesor]],Tabla110[[#This Row],[Asesor]],Tabla110[[#All],[Fecha Cobranza]],"&lt;="&amp;Tabla110[[#This Row],[Fecha Cobranza]],Tabla110[[#All],[Fecha Cobranza]],"&gt;="&amp;Tabla110[[#This Row],[Fecha Cobranza]]-28)</f>
        <v>312330.99759999994</v>
      </c>
      <c r="AC116" s="542">
        <f t="shared" si="20"/>
        <v>0</v>
      </c>
      <c r="AD116" s="544">
        <f t="shared" si="21"/>
        <v>0.02</v>
      </c>
      <c r="AE116" s="545">
        <f>+AD116*Tabla110[[#This Row],[Venta Total]]</f>
        <v>1.9952000000000001E-2</v>
      </c>
    </row>
    <row r="117" spans="1:31" x14ac:dyDescent="0.2">
      <c r="A117" s="264">
        <v>46006</v>
      </c>
      <c r="B117" s="274" t="str">
        <f t="shared" ref="B117:B119" si="29">TEXT(A117,"mmmm")</f>
        <v>December</v>
      </c>
      <c r="C117" s="265" t="s">
        <v>407</v>
      </c>
      <c r="D117" s="266" t="str">
        <f>VLOOKUP(Tabla110[[#This Row],[Asesor]],Tabla2[[Asesores]:[TIPO]],2,0)</f>
        <v>INTERNO</v>
      </c>
      <c r="E117" s="268" t="s">
        <v>3195</v>
      </c>
      <c r="F117" s="267" t="s">
        <v>3818</v>
      </c>
      <c r="G117" s="50" t="s">
        <v>3638</v>
      </c>
      <c r="H117" s="269">
        <v>150</v>
      </c>
      <c r="I117" s="275">
        <v>24</v>
      </c>
      <c r="J117" s="260">
        <f>+Tabla110[[#This Row],[Precio Bruto]]*1.16</f>
        <v>27.839999999999996</v>
      </c>
      <c r="L117" s="270">
        <f>++(Tabla110[[#This Row],[Precio Unitario Neto]]*Tabla110[[#This Row],[Cantidad]])-(Tabla110[[#This Row],[Cantidad]]*Tabla110[[#This Row],[Apoyo]])</f>
        <v>4175.9999999999991</v>
      </c>
      <c r="M117" s="270" t="e">
        <f>((INDEX(Tabla6[#All],MATCH(Tabla110[[#This Row],[Producto]],Tabla6[[#All],[PRODUCTO]],0),MATCH(Tabla110[[#This Row],[Mes]],Tabla6[#Headers],0)))*(1+(IF(Tabla110[[#This Row],[FLETE]]="no",Catalogos!$M$2,Catalogos!$L$2))))</f>
        <v>#N/A</v>
      </c>
      <c r="N117" s="270" t="e">
        <f>+IF((Tabla110[[#This Row],[Precio Unitario Neto]]-Tabla110[[#This Row],[Apoyo]]-Tabla110[[#This Row],[COSTO + INDI]])&lt;=0,0,(Tabla110[[#This Row],[Precio Unitario Neto]]-Tabla110[[#This Row],[Apoyo]]-Tabla110[[#This Row],[COSTO + INDI]]))</f>
        <v>#N/A</v>
      </c>
      <c r="O117" s="258" t="e">
        <f>++Tabla110[[#This Row],[Utilidad Neta x Eq.]]*Tabla110[[#This Row],[Cantidad]]</f>
        <v>#N/A</v>
      </c>
      <c r="P117" s="271" t="e">
        <f>++Tabla110[[#This Row],[Utilidad Neta Total]]/Tabla110[[#This Row],[Venta Total]]</f>
        <v>#N/A</v>
      </c>
      <c r="Q117" s="258" t="s">
        <v>604</v>
      </c>
      <c r="R117" s="272" t="e">
        <f>INDEX(Tabla6[#All],MATCH(Tabla110[[#This Row],[Producto]],Tabla6[[#All],[PRODUCTO]],0),MATCH(Tabla110[[#This Row],[Mes]],Tabla6[#Headers],0))</f>
        <v>#N/A</v>
      </c>
      <c r="S117" s="260" t="e">
        <f>++Tabla110[[#This Row],[Precio Unitario Neto]]-Tabla110[[#This Row],[Apoyo]]-Tabla110[[#This Row],[Costo unitario]]</f>
        <v>#N/A</v>
      </c>
      <c r="T117" s="273" t="e">
        <f>+Tabla110[[#This Row],[Utilidad Bruta]]*Tabla110[[#This Row],[Cantidad]]</f>
        <v>#N/A</v>
      </c>
      <c r="U117" s="404" t="e">
        <f>++Tabla110[[#This Row],[Utilidad Bruta Total]]*$V$1</f>
        <v>#N/A</v>
      </c>
      <c r="V117" s="278" t="e">
        <f>++Tabla110[[#This Row],[Utilidad Bruta Total]]*$V$1</f>
        <v>#N/A</v>
      </c>
      <c r="W117" s="278">
        <f>VLOOKUP(Tabla110[[#This Row],[Producto]],'NUEVAS LISTAS'!$B$3:$P$403,'Ventas '!W$6,FALSE)</f>
        <v>29</v>
      </c>
      <c r="X117" s="278">
        <f>VLOOKUP(Tabla110[[#This Row],[Producto]],'NUEVAS LISTAS'!$B$3:$P$403,'Ventas '!X$6,FALSE)</f>
        <v>31.182795698924732</v>
      </c>
      <c r="Y117" s="278">
        <f>VLOOKUP(Tabla110[[#This Row],[Producto]],'NUEVAS LISTAS'!$B$3:$P$403,'Ventas '!Y$6,FALSE)</f>
        <v>33.529887848306167</v>
      </c>
      <c r="Z117" s="278">
        <f>VLOOKUP(Tabla110[[#This Row],[Producto]],'NUEVAS LISTAS'!$B$3:$P$403,'Ventas '!Z$6,FALSE)</f>
        <v>36.053642847641044</v>
      </c>
      <c r="AA117" s="543">
        <f>IF(AB117&lt;$AC$2,0,IF(Tabla110[[#This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7" s="539">
        <f>SUMIFS(Tabla110[[#All],[Venta Total]],Tabla110[[#All],[Asesor]],Tabla110[[#This Row],[Asesor]],Tabla110[[#All],[Fecha Cobranza]],"&lt;="&amp;Tabla110[[#This Row],[Fecha Cobranza]],Tabla110[[#All],[Fecha Cobranza]],"&gt;="&amp;Tabla110[[#This Row],[Fecha Cobranza]]-28)</f>
        <v>61445.2</v>
      </c>
      <c r="AC117" s="542">
        <f t="shared" si="20"/>
        <v>0</v>
      </c>
      <c r="AD117" s="544">
        <f t="shared" si="21"/>
        <v>0.02</v>
      </c>
      <c r="AE117" s="545">
        <f>+AD117*Tabla110[[#This Row],[Venta Total]]</f>
        <v>83.519999999999982</v>
      </c>
    </row>
    <row r="118" spans="1:31" x14ac:dyDescent="0.2">
      <c r="A118" s="264">
        <v>46006</v>
      </c>
      <c r="B118" s="274" t="str">
        <f t="shared" si="29"/>
        <v>December</v>
      </c>
      <c r="C118" s="265" t="s">
        <v>407</v>
      </c>
      <c r="D118" s="266" t="str">
        <f>VLOOKUP(Tabla110[[#This Row],[Asesor]],Tabla2[[Asesores]:[TIPO]],2,0)</f>
        <v>INTERNO</v>
      </c>
      <c r="E118" s="268" t="s">
        <v>3195</v>
      </c>
      <c r="F118" s="267" t="s">
        <v>3818</v>
      </c>
      <c r="G118" s="50" t="s">
        <v>3639</v>
      </c>
      <c r="H118" s="269">
        <v>50</v>
      </c>
      <c r="I118" s="275">
        <v>501</v>
      </c>
      <c r="J118" s="260">
        <f>+Tabla110[[#This Row],[Precio Bruto]]*1.16</f>
        <v>581.16</v>
      </c>
      <c r="L118" s="270">
        <f>++(Tabla110[[#This Row],[Precio Unitario Neto]]*Tabla110[[#This Row],[Cantidad]])-(Tabla110[[#This Row],[Cantidad]]*Tabla110[[#This Row],[Apoyo]])</f>
        <v>29058</v>
      </c>
      <c r="M118" s="270" t="e">
        <f>((INDEX(Tabla6[#All],MATCH(Tabla110[[#This Row],[Producto]],Tabla6[[#All],[PRODUCTO]],0),MATCH(Tabla110[[#This Row],[Mes]],Tabla6[#Headers],0)))*(1+(IF(Tabla110[[#This Row],[FLETE]]="no",Catalogos!$M$2,Catalogos!$L$2))))</f>
        <v>#N/A</v>
      </c>
      <c r="N118" s="270" t="e">
        <f>+IF((Tabla110[[#This Row],[Precio Unitario Neto]]-Tabla110[[#This Row],[Apoyo]]-Tabla110[[#This Row],[COSTO + INDI]])&lt;=0,0,(Tabla110[[#This Row],[Precio Unitario Neto]]-Tabla110[[#This Row],[Apoyo]]-Tabla110[[#This Row],[COSTO + INDI]]))</f>
        <v>#N/A</v>
      </c>
      <c r="O118" s="258" t="e">
        <f>++Tabla110[[#This Row],[Utilidad Neta x Eq.]]*Tabla110[[#This Row],[Cantidad]]</f>
        <v>#N/A</v>
      </c>
      <c r="P118" s="271" t="e">
        <f>++Tabla110[[#This Row],[Utilidad Neta Total]]/Tabla110[[#This Row],[Venta Total]]</f>
        <v>#N/A</v>
      </c>
      <c r="Q118" s="258" t="s">
        <v>604</v>
      </c>
      <c r="R118" s="272" t="e">
        <f>INDEX(Tabla6[#All],MATCH(Tabla110[[#This Row],[Producto]],Tabla6[[#All],[PRODUCTO]],0),MATCH(Tabla110[[#This Row],[Mes]],Tabla6[#Headers],0))</f>
        <v>#N/A</v>
      </c>
      <c r="S118" s="260" t="e">
        <f>++Tabla110[[#This Row],[Precio Unitario Neto]]-Tabla110[[#This Row],[Apoyo]]-Tabla110[[#This Row],[Costo unitario]]</f>
        <v>#N/A</v>
      </c>
      <c r="T118" s="273" t="e">
        <f>+Tabla110[[#This Row],[Utilidad Bruta]]*Tabla110[[#This Row],[Cantidad]]</f>
        <v>#N/A</v>
      </c>
      <c r="U118" s="404" t="e">
        <f>++Tabla110[[#This Row],[Utilidad Bruta Total]]*$V$1</f>
        <v>#N/A</v>
      </c>
      <c r="V118" s="278" t="e">
        <f>++Tabla110[[#This Row],[Utilidad Bruta Total]]*$V$1</f>
        <v>#N/A</v>
      </c>
      <c r="W118" s="278">
        <f>VLOOKUP(Tabla110[[#This Row],[Producto]],'NUEVAS LISTAS'!$B$3:$P$403,'Ventas '!W$6,FALSE)</f>
        <v>579</v>
      </c>
      <c r="X118" s="278">
        <f>VLOOKUP(Tabla110[[#This Row],[Producto]],'NUEVAS LISTAS'!$B$3:$P$403,'Ventas '!X$6,FALSE)</f>
        <v>622.58064516129036</v>
      </c>
      <c r="Y118" s="278">
        <f>VLOOKUP(Tabla110[[#This Row],[Producto]],'NUEVAS LISTAS'!$B$3:$P$403,'Ventas '!Y$6,FALSE)</f>
        <v>669.4415539368714</v>
      </c>
      <c r="Z118" s="278">
        <f>VLOOKUP(Tabla110[[#This Row],[Producto]],'NUEVAS LISTAS'!$B$3:$P$403,'Ventas '!Z$6,FALSE)</f>
        <v>719.82962788910913</v>
      </c>
      <c r="AA118" s="543">
        <f>IF(AB118&lt;$AC$2,0,IF(Tabla110[[#This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18" s="539">
        <f>SUMIFS(Tabla110[[#All],[Venta Total]],Tabla110[[#All],[Asesor]],Tabla110[[#This Row],[Asesor]],Tabla110[[#All],[Fecha Cobranza]],"&lt;="&amp;Tabla110[[#This Row],[Fecha Cobranza]],Tabla110[[#All],[Fecha Cobranza]],"&gt;="&amp;Tabla110[[#This Row],[Fecha Cobranza]]-28)</f>
        <v>61445.2</v>
      </c>
      <c r="AC118" s="542">
        <f t="shared" si="20"/>
        <v>0</v>
      </c>
      <c r="AD118" s="544">
        <f t="shared" si="21"/>
        <v>0.02</v>
      </c>
      <c r="AE118" s="545">
        <f>+AD118*Tabla110[[#This Row],[Venta Total]]</f>
        <v>581.16</v>
      </c>
    </row>
    <row r="119" spans="1:31" x14ac:dyDescent="0.2">
      <c r="A119" s="264">
        <v>46006</v>
      </c>
      <c r="B119" s="274" t="str">
        <f t="shared" si="29"/>
        <v>December</v>
      </c>
      <c r="C119" s="265" t="s">
        <v>407</v>
      </c>
      <c r="D119" s="266" t="str">
        <f>VLOOKUP(Tabla110[[#This Row],[Asesor]],Tabla2[[Asesores]:[TIPO]],2,0)</f>
        <v>INTERNO</v>
      </c>
      <c r="E119" s="268" t="s">
        <v>3195</v>
      </c>
      <c r="F119" s="267" t="s">
        <v>3818</v>
      </c>
      <c r="G119" s="50" t="s">
        <v>3640</v>
      </c>
      <c r="H119" s="269">
        <v>150</v>
      </c>
      <c r="I119" s="275">
        <v>11</v>
      </c>
      <c r="J119" s="260">
        <f>+Tabla110[[#This Row],[Precio Bruto]]*1.16</f>
        <v>12.76</v>
      </c>
      <c r="L119" s="270">
        <f>++(Tabla110[[#This Row],[Precio Unitario Neto]]*Tabla110[[#This Row],[Cantidad]])-(Tabla110[[#This Row],[Cantidad]]*Tabla110[[#This Row],[Apoyo]])</f>
        <v>1914</v>
      </c>
      <c r="M119" s="270" t="e">
        <f>((INDEX(Tabla6[#All],MATCH(Tabla110[[#This Row],[Producto]],Tabla6[[#All],[PRODUCTO]],0),MATCH(Tabla110[[#This Row],[Mes]],Tabla6[#Headers],0)))*(1+(IF(Tabla110[[#This Row],[FLETE]]="no",Catalogos!$M$2,Catalogos!$L$2))))</f>
        <v>#N/A</v>
      </c>
      <c r="N119" s="270" t="e">
        <f>+IF((Tabla110[[#This Row],[Precio Unitario Neto]]-Tabla110[[#This Row],[Apoyo]]-Tabla110[[#This Row],[COSTO + INDI]])&lt;=0,0,(Tabla110[[#This Row],[Precio Unitario Neto]]-Tabla110[[#This Row],[Apoyo]]-Tabla110[[#This Row],[COSTO + INDI]]))</f>
        <v>#N/A</v>
      </c>
      <c r="O119" s="258" t="e">
        <f>++Tabla110[[#This Row],[Utilidad Neta x Eq.]]*Tabla110[[#This Row],[Cantidad]]</f>
        <v>#N/A</v>
      </c>
      <c r="P119" s="271" t="e">
        <f>++Tabla110[[#This Row],[Utilidad Neta Total]]/Tabla110[[#This Row],[Venta Total]]</f>
        <v>#N/A</v>
      </c>
      <c r="Q119" s="258" t="s">
        <v>604</v>
      </c>
      <c r="R119" s="272" t="e">
        <f>INDEX(Tabla6[#All],MATCH(Tabla110[[#This Row],[Producto]],Tabla6[[#All],[PRODUCTO]],0),MATCH(Tabla110[[#This Row],[Mes]],Tabla6[#Headers],0))</f>
        <v>#N/A</v>
      </c>
      <c r="S119" s="260" t="e">
        <f>++Tabla110[[#This Row],[Precio Unitario Neto]]-Tabla110[[#This Row],[Apoyo]]-Tabla110[[#This Row],[Costo unitario]]</f>
        <v>#N/A</v>
      </c>
      <c r="T119" s="273" t="e">
        <f>+Tabla110[[#This Row],[Utilidad Bruta]]*Tabla110[[#This Row],[Cantidad]]</f>
        <v>#N/A</v>
      </c>
      <c r="U119" s="404" t="e">
        <f>++Tabla110[[#This Row],[Utilidad Bruta Total]]*$V$1</f>
        <v>#N/A</v>
      </c>
      <c r="V119" s="278" t="e">
        <f>++Tabla110[[#This Row],[Utilidad Bruta Total]]*$V$1</f>
        <v>#N/A</v>
      </c>
      <c r="W119" s="278">
        <f>VLOOKUP(Tabla110[[#This Row],[Producto]],'NUEVAS LISTAS'!$B$3:$P$403,'Ventas '!W$6,FALSE)</f>
        <v>9</v>
      </c>
      <c r="X119" s="278">
        <f>VLOOKUP(Tabla110[[#This Row],[Producto]],'NUEVAS LISTAS'!$B$3:$P$403,'Ventas '!X$6,FALSE)</f>
        <v>9.67741935483871</v>
      </c>
      <c r="Y119" s="278">
        <f>VLOOKUP(Tabla110[[#This Row],[Producto]],'NUEVAS LISTAS'!$B$3:$P$403,'Ventas '!Y$6,FALSE)</f>
        <v>10.405827263267431</v>
      </c>
      <c r="Z119" s="278">
        <f>VLOOKUP(Tabla110[[#This Row],[Producto]],'NUEVAS LISTAS'!$B$3:$P$403,'Ventas '!Z$6,FALSE)</f>
        <v>11.189061573405841</v>
      </c>
      <c r="AA119" s="543">
        <f>IF(AB119&lt;$AC$2,0,IF(Tabla110[[#This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19" s="539">
        <f>SUMIFS(Tabla110[[#All],[Venta Total]],Tabla110[[#All],[Asesor]],Tabla110[[#This Row],[Asesor]],Tabla110[[#All],[Fecha Cobranza]],"&lt;="&amp;Tabla110[[#This Row],[Fecha Cobranza]],Tabla110[[#All],[Fecha Cobranza]],"&gt;="&amp;Tabla110[[#This Row],[Fecha Cobranza]]-28)</f>
        <v>61445.2</v>
      </c>
      <c r="AC119" s="542">
        <f t="shared" si="20"/>
        <v>0</v>
      </c>
      <c r="AD119" s="544">
        <f t="shared" si="21"/>
        <v>2.75E-2</v>
      </c>
      <c r="AE119" s="545">
        <f>+AD119*Tabla110[[#This Row],[Venta Total]]</f>
        <v>52.634999999999998</v>
      </c>
    </row>
    <row r="120" spans="1:31" x14ac:dyDescent="0.2">
      <c r="A120" s="264">
        <v>46006</v>
      </c>
      <c r="B120" s="274" t="str">
        <f t="shared" ref="B120:B121" si="30">TEXT(A120,"mmmm")</f>
        <v>December</v>
      </c>
      <c r="C120" s="265" t="s">
        <v>455</v>
      </c>
      <c r="D120" s="266" t="str">
        <f>VLOOKUP(Tabla110[[#This Row],[Asesor]],Tabla2[[Asesores]:[TIPO]],2,0)</f>
        <v>INTERNO</v>
      </c>
      <c r="E120" s="268" t="s">
        <v>898</v>
      </c>
      <c r="F120" s="267" t="s">
        <v>3819</v>
      </c>
      <c r="G120" s="50" t="s">
        <v>82</v>
      </c>
      <c r="H120" s="269">
        <v>33</v>
      </c>
      <c r="I120" s="275">
        <v>6864.73</v>
      </c>
      <c r="J120" s="260">
        <f>+Tabla110[[#This Row],[Precio Bruto]]*1.16</f>
        <v>7963.0867999999991</v>
      </c>
      <c r="L120" s="270">
        <f>++(Tabla110[[#This Row],[Precio Unitario Neto]]*Tabla110[[#This Row],[Cantidad]])-(Tabla110[[#This Row],[Cantidad]]*Tabla110[[#This Row],[Apoyo]])</f>
        <v>262781.86439999996</v>
      </c>
      <c r="M120" s="270" t="e">
        <f>((INDEX(Tabla6[#All],MATCH(Tabla110[[#This Row],[Producto]],Tabla6[[#All],[PRODUCTO]],0),MATCH(Tabla110[[#This Row],[Mes]],Tabla6[#Headers],0)))*(1+(IF(Tabla110[[#This Row],[FLETE]]="no",Catalogos!$M$2,Catalogos!$L$2))))</f>
        <v>#N/A</v>
      </c>
      <c r="N120" s="270" t="e">
        <f>+IF((Tabla110[[#This Row],[Precio Unitario Neto]]-Tabla110[[#This Row],[Apoyo]]-Tabla110[[#This Row],[COSTO + INDI]])&lt;=0,0,(Tabla110[[#This Row],[Precio Unitario Neto]]-Tabla110[[#This Row],[Apoyo]]-Tabla110[[#This Row],[COSTO + INDI]]))</f>
        <v>#N/A</v>
      </c>
      <c r="O120" s="258" t="e">
        <f>++Tabla110[[#This Row],[Utilidad Neta x Eq.]]*Tabla110[[#This Row],[Cantidad]]</f>
        <v>#N/A</v>
      </c>
      <c r="P120" s="271" t="e">
        <f>++Tabla110[[#This Row],[Utilidad Neta Total]]/Tabla110[[#This Row],[Venta Total]]</f>
        <v>#N/A</v>
      </c>
      <c r="Q120" s="258" t="s">
        <v>604</v>
      </c>
      <c r="R120" s="272" t="e">
        <f>INDEX(Tabla6[#All],MATCH(Tabla110[[#This Row],[Producto]],Tabla6[[#All],[PRODUCTO]],0),MATCH(Tabla110[[#This Row],[Mes]],Tabla6[#Headers],0))</f>
        <v>#N/A</v>
      </c>
      <c r="S120" s="260" t="e">
        <f>++Tabla110[[#This Row],[Precio Unitario Neto]]-Tabla110[[#This Row],[Apoyo]]-Tabla110[[#This Row],[Costo unitario]]</f>
        <v>#N/A</v>
      </c>
      <c r="T120" s="273" t="e">
        <f>+Tabla110[[#This Row],[Utilidad Bruta]]*Tabla110[[#This Row],[Cantidad]]</f>
        <v>#N/A</v>
      </c>
      <c r="U120" s="404" t="e">
        <f>++Tabla110[[#This Row],[Utilidad Bruta Total]]*$V$1</f>
        <v>#N/A</v>
      </c>
      <c r="V120" s="278" t="e">
        <f>++Tabla110[[#This Row],[Utilidad Bruta Total]]*$V$1</f>
        <v>#N/A</v>
      </c>
      <c r="W120" s="278">
        <f>VLOOKUP(Tabla110[[#This Row],[Producto]],'NUEVAS LISTAS'!$B$3:$P$403,'Ventas '!W$6,FALSE)</f>
        <v>7799</v>
      </c>
      <c r="X120" s="278">
        <f>VLOOKUP(Tabla110[[#This Row],[Producto]],'NUEVAS LISTAS'!$B$3:$P$403,'Ventas '!X$6,FALSE)</f>
        <v>8199</v>
      </c>
      <c r="Y120" s="278">
        <f>VLOOKUP(Tabla110[[#This Row],[Producto]],'NUEVAS LISTAS'!$B$3:$P$403,'Ventas '!Y$6,FALSE)</f>
        <v>8649</v>
      </c>
      <c r="Z120" s="278">
        <f>VLOOKUP(Tabla110[[#This Row],[Producto]],'NUEVAS LISTAS'!$B$3:$P$403,'Ventas '!Z$6,FALSE)</f>
        <v>9099</v>
      </c>
      <c r="AA120" s="543">
        <f>IF(AB120&lt;$AC$2,0,IF(Tabla110[[#This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0" s="539">
        <f>SUMIFS(Tabla110[[#All],[Venta Total]],Tabla110[[#All],[Asesor]],Tabla110[[#This Row],[Asesor]],Tabla110[[#All],[Fecha Cobranza]],"&lt;="&amp;Tabla110[[#This Row],[Fecha Cobranza]],Tabla110[[#All],[Fecha Cobranza]],"&gt;="&amp;Tabla110[[#This Row],[Fecha Cobranza]]-28)</f>
        <v>1481687.3719999997</v>
      </c>
      <c r="AC120" s="542">
        <f t="shared" si="20"/>
        <v>0</v>
      </c>
      <c r="AD120" s="544">
        <f t="shared" si="21"/>
        <v>0.02</v>
      </c>
      <c r="AE120" s="545">
        <f>+AD120*Tabla110[[#This Row],[Venta Total]]</f>
        <v>5255.637287999999</v>
      </c>
    </row>
    <row r="121" spans="1:31" x14ac:dyDescent="0.2">
      <c r="A121" s="264">
        <v>46006</v>
      </c>
      <c r="B121" s="274" t="str">
        <f t="shared" si="30"/>
        <v>December</v>
      </c>
      <c r="C121" s="265" t="s">
        <v>455</v>
      </c>
      <c r="D121" s="266" t="str">
        <f>VLOOKUP(Tabla110[[#This Row],[Asesor]],Tabla2[[Asesores]:[TIPO]],2,0)</f>
        <v>INTERNO</v>
      </c>
      <c r="E121" s="268" t="s">
        <v>898</v>
      </c>
      <c r="F121" s="267" t="s">
        <v>3819</v>
      </c>
      <c r="G121" s="50" t="s">
        <v>255</v>
      </c>
      <c r="H121" s="269">
        <v>5</v>
      </c>
      <c r="I121" s="275">
        <v>843.07999999999993</v>
      </c>
      <c r="J121" s="260">
        <f>+Tabla110[[#This Row],[Precio Bruto]]*1.16</f>
        <v>977.97279999999989</v>
      </c>
      <c r="L121" s="270">
        <f>++(Tabla110[[#This Row],[Precio Unitario Neto]]*Tabla110[[#This Row],[Cantidad]])-(Tabla110[[#This Row],[Cantidad]]*Tabla110[[#This Row],[Apoyo]])</f>
        <v>4889.8639999999996</v>
      </c>
      <c r="M121" s="270" t="e">
        <f>((INDEX(Tabla6[#All],MATCH(Tabla110[[#This Row],[Producto]],Tabla6[[#All],[PRODUCTO]],0),MATCH(Tabla110[[#This Row],[Mes]],Tabla6[#Headers],0)))*(1+(IF(Tabla110[[#This Row],[FLETE]]="no",Catalogos!$M$2,Catalogos!$L$2))))</f>
        <v>#N/A</v>
      </c>
      <c r="N121" s="270" t="e">
        <f>+IF((Tabla110[[#This Row],[Precio Unitario Neto]]-Tabla110[[#This Row],[Apoyo]]-Tabla110[[#This Row],[COSTO + INDI]])&lt;=0,0,(Tabla110[[#This Row],[Precio Unitario Neto]]-Tabla110[[#This Row],[Apoyo]]-Tabla110[[#This Row],[COSTO + INDI]]))</f>
        <v>#N/A</v>
      </c>
      <c r="O121" s="258" t="e">
        <f>++Tabla110[[#This Row],[Utilidad Neta x Eq.]]*Tabla110[[#This Row],[Cantidad]]</f>
        <v>#N/A</v>
      </c>
      <c r="P121" s="271" t="e">
        <f>++Tabla110[[#This Row],[Utilidad Neta Total]]/Tabla110[[#This Row],[Venta Total]]</f>
        <v>#N/A</v>
      </c>
      <c r="Q121" s="258" t="s">
        <v>604</v>
      </c>
      <c r="R121" s="272" t="e">
        <f>INDEX(Tabla6[#All],MATCH(Tabla110[[#This Row],[Producto]],Tabla6[[#All],[PRODUCTO]],0),MATCH(Tabla110[[#This Row],[Mes]],Tabla6[#Headers],0))</f>
        <v>#N/A</v>
      </c>
      <c r="S121" s="260" t="e">
        <f>++Tabla110[[#This Row],[Precio Unitario Neto]]-Tabla110[[#This Row],[Apoyo]]-Tabla110[[#This Row],[Costo unitario]]</f>
        <v>#N/A</v>
      </c>
      <c r="T121" s="273" t="e">
        <f>+Tabla110[[#This Row],[Utilidad Bruta]]*Tabla110[[#This Row],[Cantidad]]</f>
        <v>#N/A</v>
      </c>
      <c r="U121" s="404" t="e">
        <f>++Tabla110[[#This Row],[Utilidad Bruta Total]]*$V$1</f>
        <v>#N/A</v>
      </c>
      <c r="V121" s="278" t="e">
        <f>++Tabla110[[#This Row],[Utilidad Bruta Total]]*$V$1</f>
        <v>#N/A</v>
      </c>
      <c r="W121" s="278">
        <f>VLOOKUP(Tabla110[[#This Row],[Producto]],'NUEVAS LISTAS'!$B$3:$P$403,'Ventas '!W$6,FALSE)</f>
        <v>1169</v>
      </c>
      <c r="X121" s="278">
        <f>VLOOKUP(Tabla110[[#This Row],[Producto]],'NUEVAS LISTAS'!$B$3:$P$403,'Ventas '!X$6,FALSE)</f>
        <v>1299</v>
      </c>
      <c r="Y121" s="278">
        <f>VLOOKUP(Tabla110[[#This Row],[Producto]],'NUEVAS LISTAS'!$B$3:$P$403,'Ventas '!Y$6,FALSE)</f>
        <v>1369</v>
      </c>
      <c r="Z121" s="278">
        <f>VLOOKUP(Tabla110[[#This Row],[Producto]],'NUEVAS LISTAS'!$B$3:$P$403,'Ventas '!Z$6,FALSE)</f>
        <v>1489</v>
      </c>
      <c r="AA121" s="543">
        <f>IF(AB121&lt;$AC$2,0,IF(Tabla110[[#This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1" s="539">
        <f>SUMIFS(Tabla110[[#All],[Venta Total]],Tabla110[[#All],[Asesor]],Tabla110[[#This Row],[Asesor]],Tabla110[[#All],[Fecha Cobranza]],"&lt;="&amp;Tabla110[[#This Row],[Fecha Cobranza]],Tabla110[[#All],[Fecha Cobranza]],"&gt;="&amp;Tabla110[[#This Row],[Fecha Cobranza]]-28)</f>
        <v>1481687.3719999997</v>
      </c>
      <c r="AC121" s="542">
        <f t="shared" si="20"/>
        <v>0</v>
      </c>
      <c r="AD121" s="544">
        <f t="shared" si="21"/>
        <v>0.02</v>
      </c>
      <c r="AE121" s="545">
        <f>+AD121*Tabla110[[#This Row],[Venta Total]]</f>
        <v>97.797280000000001</v>
      </c>
    </row>
    <row r="122" spans="1:31" x14ac:dyDescent="0.2">
      <c r="A122" s="264">
        <v>46006</v>
      </c>
      <c r="B122" s="274" t="str">
        <f>TEXT(A122,"mmmm")</f>
        <v>December</v>
      </c>
      <c r="C122" s="265" t="s">
        <v>407</v>
      </c>
      <c r="D122" s="266" t="str">
        <f>VLOOKUP(Tabla110[[#This Row],[Asesor]],Tabla2[[Asesores]:[TIPO]],2,0)</f>
        <v>INTERNO</v>
      </c>
      <c r="E122" s="268" t="s">
        <v>2309</v>
      </c>
      <c r="F122" s="267" t="s">
        <v>3820</v>
      </c>
      <c r="G122" s="50" t="s">
        <v>641</v>
      </c>
      <c r="H122" s="269">
        <v>8</v>
      </c>
      <c r="I122" s="275">
        <v>1341.25</v>
      </c>
      <c r="J122" s="260">
        <f>+Tabla110[[#This Row],[Precio Bruto]]*1.16</f>
        <v>1555.85</v>
      </c>
      <c r="L122" s="270">
        <f>++(Tabla110[[#This Row],[Precio Unitario Neto]]*Tabla110[[#This Row],[Cantidad]])-(Tabla110[[#This Row],[Cantidad]]*Tabla110[[#This Row],[Apoyo]])</f>
        <v>12446.8</v>
      </c>
      <c r="M122" s="270" t="e">
        <f>((INDEX(Tabla6[#All],MATCH(Tabla110[[#This Row],[Producto]],Tabla6[[#All],[PRODUCTO]],0),MATCH(Tabla110[[#This Row],[Mes]],Tabla6[#Headers],0)))*(1+(IF(Tabla110[[#This Row],[FLETE]]="no",Catalogos!$M$2,Catalogos!$L$2))))</f>
        <v>#N/A</v>
      </c>
      <c r="N122" s="270" t="e">
        <f>+IF((Tabla110[[#This Row],[Precio Unitario Neto]]-Tabla110[[#This Row],[Apoyo]]-Tabla110[[#This Row],[COSTO + INDI]])&lt;=0,0,(Tabla110[[#This Row],[Precio Unitario Neto]]-Tabla110[[#This Row],[Apoyo]]-Tabla110[[#This Row],[COSTO + INDI]]))</f>
        <v>#N/A</v>
      </c>
      <c r="O122" s="258" t="e">
        <f>++Tabla110[[#This Row],[Utilidad Neta x Eq.]]*Tabla110[[#This Row],[Cantidad]]</f>
        <v>#N/A</v>
      </c>
      <c r="P122" s="271" t="e">
        <f>++Tabla110[[#This Row],[Utilidad Neta Total]]/Tabla110[[#This Row],[Venta Total]]</f>
        <v>#N/A</v>
      </c>
      <c r="Q122" s="258" t="s">
        <v>604</v>
      </c>
      <c r="R122" s="272" t="e">
        <f>INDEX(Tabla6[#All],MATCH(Tabla110[[#This Row],[Producto]],Tabla6[[#All],[PRODUCTO]],0),MATCH(Tabla110[[#This Row],[Mes]],Tabla6[#Headers],0))</f>
        <v>#N/A</v>
      </c>
      <c r="S122" s="260" t="e">
        <f>++Tabla110[[#This Row],[Precio Unitario Neto]]-Tabla110[[#This Row],[Apoyo]]-Tabla110[[#This Row],[Costo unitario]]</f>
        <v>#N/A</v>
      </c>
      <c r="T122" s="273" t="e">
        <f>+Tabla110[[#This Row],[Utilidad Bruta]]*Tabla110[[#This Row],[Cantidad]]</f>
        <v>#N/A</v>
      </c>
      <c r="U122" s="404" t="e">
        <f>++Tabla110[[#This Row],[Utilidad Bruta Total]]*$V$1</f>
        <v>#N/A</v>
      </c>
      <c r="V122" s="278" t="e">
        <f>++Tabla110[[#This Row],[Utilidad Bruta Total]]*$V$1</f>
        <v>#N/A</v>
      </c>
      <c r="W122" s="278">
        <f>VLOOKUP(Tabla110[[#This Row],[Producto]],'NUEVAS LISTAS'!$B$3:$P$403,'Ventas '!W$6,FALSE)</f>
        <v>3129</v>
      </c>
      <c r="X122" s="278">
        <f>VLOOKUP(Tabla110[[#This Row],[Producto]],'NUEVAS LISTAS'!$B$3:$P$403,'Ventas '!X$6,FALSE)</f>
        <v>3289</v>
      </c>
      <c r="Y122" s="278">
        <f>VLOOKUP(Tabla110[[#This Row],[Producto]],'NUEVAS LISTAS'!$B$3:$P$403,'Ventas '!Y$6,FALSE)</f>
        <v>3459</v>
      </c>
      <c r="Z122" s="278">
        <f>VLOOKUP(Tabla110[[#This Row],[Producto]],'NUEVAS LISTAS'!$B$3:$P$403,'Ventas '!Z$6,FALSE)</f>
        <v>3639</v>
      </c>
      <c r="AA122" s="543">
        <f>IF(AB122&lt;$AC$2,0,IF(Tabla110[[#This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2" s="539">
        <f>SUMIFS(Tabla110[[#All],[Venta Total]],Tabla110[[#All],[Asesor]],Tabla110[[#This Row],[Asesor]],Tabla110[[#All],[Fecha Cobranza]],"&lt;="&amp;Tabla110[[#This Row],[Fecha Cobranza]],Tabla110[[#All],[Fecha Cobranza]],"&gt;="&amp;Tabla110[[#This Row],[Fecha Cobranza]]-28)</f>
        <v>61445.2</v>
      </c>
      <c r="AC122" s="542">
        <f t="shared" si="20"/>
        <v>0</v>
      </c>
      <c r="AD122" s="544">
        <f t="shared" si="21"/>
        <v>0.02</v>
      </c>
      <c r="AE122" s="545">
        <f>+AD122*Tabla110[[#This Row],[Venta Total]]</f>
        <v>248.93599999999998</v>
      </c>
    </row>
    <row r="123" spans="1:31" x14ac:dyDescent="0.2">
      <c r="A123" s="264">
        <v>46006</v>
      </c>
      <c r="B123" s="274" t="str">
        <f>TEXT(A123,"mmmm")</f>
        <v>December</v>
      </c>
      <c r="C123" s="265" t="s">
        <v>277</v>
      </c>
      <c r="D123" s="266" t="str">
        <f>VLOOKUP(Tabla110[[#This Row],[Asesor]],Tabla2[[Asesores]:[TIPO]],2,0)</f>
        <v>INTERNO</v>
      </c>
      <c r="E123" s="268" t="s">
        <v>3776</v>
      </c>
      <c r="F123" s="267" t="s">
        <v>3821</v>
      </c>
      <c r="G123" s="50" t="s">
        <v>575</v>
      </c>
      <c r="H123" s="269">
        <v>1</v>
      </c>
      <c r="I123" s="275">
        <v>14378.45</v>
      </c>
      <c r="J123" s="260">
        <f>+Tabla110[[#This Row],[Precio Bruto]]*1.16</f>
        <v>16679.002</v>
      </c>
      <c r="L123" s="270">
        <f>++(Tabla110[[#This Row],[Precio Unitario Neto]]*Tabla110[[#This Row],[Cantidad]])-(Tabla110[[#This Row],[Cantidad]]*Tabla110[[#This Row],[Apoyo]])</f>
        <v>16679.002</v>
      </c>
      <c r="M123" s="270" t="e">
        <f>((INDEX(Tabla6[#All],MATCH(Tabla110[[#This Row],[Producto]],Tabla6[[#All],[PRODUCTO]],0),MATCH(Tabla110[[#This Row],[Mes]],Tabla6[#Headers],0)))*(1+(IF(Tabla110[[#This Row],[FLETE]]="no",Catalogos!$M$2,Catalogos!$L$2))))</f>
        <v>#N/A</v>
      </c>
      <c r="N123" s="270" t="e">
        <f>+IF((Tabla110[[#This Row],[Precio Unitario Neto]]-Tabla110[[#This Row],[Apoyo]]-Tabla110[[#This Row],[COSTO + INDI]])&lt;=0,0,(Tabla110[[#This Row],[Precio Unitario Neto]]-Tabla110[[#This Row],[Apoyo]]-Tabla110[[#This Row],[COSTO + INDI]]))</f>
        <v>#N/A</v>
      </c>
      <c r="O123" s="258" t="e">
        <f>++Tabla110[[#This Row],[Utilidad Neta x Eq.]]*Tabla110[[#This Row],[Cantidad]]</f>
        <v>#N/A</v>
      </c>
      <c r="P123" s="271" t="e">
        <f>++Tabla110[[#This Row],[Utilidad Neta Total]]/Tabla110[[#This Row],[Venta Total]]</f>
        <v>#N/A</v>
      </c>
      <c r="Q123" s="258" t="s">
        <v>604</v>
      </c>
      <c r="R123" s="272" t="e">
        <f>INDEX(Tabla6[#All],MATCH(Tabla110[[#This Row],[Producto]],Tabla6[[#All],[PRODUCTO]],0),MATCH(Tabla110[[#This Row],[Mes]],Tabla6[#Headers],0))</f>
        <v>#N/A</v>
      </c>
      <c r="S123" s="260" t="e">
        <f>++Tabla110[[#This Row],[Precio Unitario Neto]]-Tabla110[[#This Row],[Apoyo]]-Tabla110[[#This Row],[Costo unitario]]</f>
        <v>#N/A</v>
      </c>
      <c r="T123" s="273" t="e">
        <f>+Tabla110[[#This Row],[Utilidad Bruta]]*Tabla110[[#This Row],[Cantidad]]</f>
        <v>#N/A</v>
      </c>
      <c r="U123" s="404" t="e">
        <f>++Tabla110[[#This Row],[Utilidad Bruta Total]]*$V$1</f>
        <v>#N/A</v>
      </c>
      <c r="V123" s="278" t="e">
        <f>++Tabla110[[#This Row],[Utilidad Bruta Total]]*$V$1</f>
        <v>#N/A</v>
      </c>
      <c r="W123" s="278">
        <f>VLOOKUP(Tabla110[[#This Row],[Producto]],'NUEVAS LISTAS'!$B$3:$P$403,'Ventas '!W$6,FALSE)</f>
        <v>14309</v>
      </c>
      <c r="X123" s="278">
        <f>VLOOKUP(Tabla110[[#This Row],[Producto]],'NUEVAS LISTAS'!$B$3:$P$403,'Ventas '!X$6,FALSE)</f>
        <v>15059</v>
      </c>
      <c r="Y123" s="278">
        <f>VLOOKUP(Tabla110[[#This Row],[Producto]],'NUEVAS LISTAS'!$B$3:$P$403,'Ventas '!Y$6,FALSE)</f>
        <v>15849</v>
      </c>
      <c r="Z123" s="278">
        <f>VLOOKUP(Tabla110[[#This Row],[Producto]],'NUEVAS LISTAS'!$B$3:$P$403,'Ventas '!Z$6,FALSE)</f>
        <v>16679</v>
      </c>
      <c r="AA123" s="543">
        <f>IF(AB123&lt;$AC$2,0,IF(Tabla110[[#This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23" s="539">
        <f>SUMIFS(Tabla110[[#All],[Venta Total]],Tabla110[[#All],[Asesor]],Tabla110[[#This Row],[Asesor]],Tabla110[[#All],[Fecha Cobranza]],"&lt;="&amp;Tabla110[[#This Row],[Fecha Cobranza]],Tabla110[[#All],[Fecha Cobranza]],"&gt;="&amp;Tabla110[[#This Row],[Fecha Cobranza]]-28)</f>
        <v>1053628.7308</v>
      </c>
      <c r="AC123" s="542">
        <f t="shared" si="20"/>
        <v>0</v>
      </c>
      <c r="AD123" s="544">
        <f t="shared" si="21"/>
        <v>2.75E-2</v>
      </c>
      <c r="AE123" s="545">
        <f>+AD123*Tabla110[[#This Row],[Venta Total]]</f>
        <v>458.67255499999999</v>
      </c>
    </row>
    <row r="124" spans="1:31" x14ac:dyDescent="0.2">
      <c r="A124" s="264">
        <v>46006</v>
      </c>
      <c r="B124" s="274" t="str">
        <f t="shared" ref="B124:B125" si="31">TEXT(A124,"mmmm")</f>
        <v>December</v>
      </c>
      <c r="C124" s="265" t="s">
        <v>278</v>
      </c>
      <c r="D124" s="266" t="str">
        <f>VLOOKUP(Tabla110[[#This Row],[Asesor]],Tabla2[[Asesores]:[TIPO]],2,0)</f>
        <v>INTERNO</v>
      </c>
      <c r="E124" s="268" t="s">
        <v>1146</v>
      </c>
      <c r="F124" s="267" t="s">
        <v>3822</v>
      </c>
      <c r="G124" s="50" t="s">
        <v>575</v>
      </c>
      <c r="H124" s="269">
        <v>1</v>
      </c>
      <c r="I124" s="275">
        <v>10428.450000000001</v>
      </c>
      <c r="J124" s="260">
        <f>+Tabla110[[#This Row],[Precio Bruto]]*1.16</f>
        <v>12097.002</v>
      </c>
      <c r="L124" s="270">
        <f>++(Tabla110[[#This Row],[Precio Unitario Neto]]*Tabla110[[#This Row],[Cantidad]])-(Tabla110[[#This Row],[Cantidad]]*Tabla110[[#This Row],[Apoyo]])</f>
        <v>12097.002</v>
      </c>
      <c r="M124" s="270" t="e">
        <f>((INDEX(Tabla6[#All],MATCH(Tabla110[[#This Row],[Producto]],Tabla6[[#All],[PRODUCTO]],0),MATCH(Tabla110[[#This Row],[Mes]],Tabla6[#Headers],0)))*(1+(IF(Tabla110[[#This Row],[FLETE]]="no",Catalogos!$M$2,Catalogos!$L$2))))</f>
        <v>#N/A</v>
      </c>
      <c r="N124" s="270" t="e">
        <f>+IF((Tabla110[[#This Row],[Precio Unitario Neto]]-Tabla110[[#This Row],[Apoyo]]-Tabla110[[#This Row],[COSTO + INDI]])&lt;=0,0,(Tabla110[[#This Row],[Precio Unitario Neto]]-Tabla110[[#This Row],[Apoyo]]-Tabla110[[#This Row],[COSTO + INDI]]))</f>
        <v>#N/A</v>
      </c>
      <c r="O124" s="258" t="e">
        <f>++Tabla110[[#This Row],[Utilidad Neta x Eq.]]*Tabla110[[#This Row],[Cantidad]]</f>
        <v>#N/A</v>
      </c>
      <c r="P124" s="271" t="e">
        <f>++Tabla110[[#This Row],[Utilidad Neta Total]]/Tabla110[[#This Row],[Venta Total]]</f>
        <v>#N/A</v>
      </c>
      <c r="Q124" s="258" t="s">
        <v>604</v>
      </c>
      <c r="R124" s="272" t="e">
        <f>INDEX(Tabla6[#All],MATCH(Tabla110[[#This Row],[Producto]],Tabla6[[#All],[PRODUCTO]],0),MATCH(Tabla110[[#This Row],[Mes]],Tabla6[#Headers],0))</f>
        <v>#N/A</v>
      </c>
      <c r="S124" s="260" t="e">
        <f>++Tabla110[[#This Row],[Precio Unitario Neto]]-Tabla110[[#This Row],[Apoyo]]-Tabla110[[#This Row],[Costo unitario]]</f>
        <v>#N/A</v>
      </c>
      <c r="T124" s="273" t="e">
        <f>+Tabla110[[#This Row],[Utilidad Bruta]]*Tabla110[[#This Row],[Cantidad]]</f>
        <v>#N/A</v>
      </c>
      <c r="U124" s="404" t="e">
        <f>++Tabla110[[#This Row],[Utilidad Bruta Total]]*$V$1</f>
        <v>#N/A</v>
      </c>
      <c r="V124" s="278" t="e">
        <f>++Tabla110[[#This Row],[Utilidad Bruta Total]]*$V$1</f>
        <v>#N/A</v>
      </c>
      <c r="W124" s="278">
        <f>VLOOKUP(Tabla110[[#This Row],[Producto]],'NUEVAS LISTAS'!$B$3:$P$403,'Ventas '!W$6,FALSE)</f>
        <v>14309</v>
      </c>
      <c r="X124" s="278">
        <f>VLOOKUP(Tabla110[[#This Row],[Producto]],'NUEVAS LISTAS'!$B$3:$P$403,'Ventas '!X$6,FALSE)</f>
        <v>15059</v>
      </c>
      <c r="Y124" s="278">
        <f>VLOOKUP(Tabla110[[#This Row],[Producto]],'NUEVAS LISTAS'!$B$3:$P$403,'Ventas '!Y$6,FALSE)</f>
        <v>15849</v>
      </c>
      <c r="Z124" s="278">
        <f>VLOOKUP(Tabla110[[#This Row],[Producto]],'NUEVAS LISTAS'!$B$3:$P$403,'Ventas '!Z$6,FALSE)</f>
        <v>16679</v>
      </c>
      <c r="AA124" s="543">
        <f>IF(AB124&lt;$AC$2,0,IF(Tabla110[[#This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4" s="539">
        <f>SUMIFS(Tabla110[[#All],[Venta Total]],Tabla110[[#All],[Asesor]],Tabla110[[#This Row],[Asesor]],Tabla110[[#All],[Fecha Cobranza]],"&lt;="&amp;Tabla110[[#This Row],[Fecha Cobranza]],Tabla110[[#All],[Fecha Cobranza]],"&gt;="&amp;Tabla110[[#This Row],[Fecha Cobranza]]-28)</f>
        <v>722366.75359999994</v>
      </c>
      <c r="AC124" s="542">
        <f t="shared" si="20"/>
        <v>0</v>
      </c>
      <c r="AD124" s="544">
        <f t="shared" si="21"/>
        <v>0.02</v>
      </c>
      <c r="AE124" s="545">
        <f>+AD124*Tabla110[[#This Row],[Venta Total]]</f>
        <v>241.94004000000001</v>
      </c>
    </row>
    <row r="125" spans="1:31" x14ac:dyDescent="0.2">
      <c r="A125" s="264">
        <v>46006</v>
      </c>
      <c r="B125" s="274" t="str">
        <f t="shared" si="31"/>
        <v>December</v>
      </c>
      <c r="C125" s="265" t="s">
        <v>278</v>
      </c>
      <c r="D125" s="266" t="str">
        <f>VLOOKUP(Tabla110[[#This Row],[Asesor]],Tabla2[[Asesores]:[TIPO]],2,0)</f>
        <v>INTERNO</v>
      </c>
      <c r="E125" s="268" t="s">
        <v>1146</v>
      </c>
      <c r="F125" s="267" t="s">
        <v>3822</v>
      </c>
      <c r="G125" s="50" t="s">
        <v>530</v>
      </c>
      <c r="H125" s="269">
        <v>1</v>
      </c>
      <c r="I125" s="275">
        <v>13603.45</v>
      </c>
      <c r="J125" s="260">
        <f>+Tabla110[[#This Row],[Precio Bruto]]*1.16</f>
        <v>15780.002</v>
      </c>
      <c r="L125" s="270">
        <f>++(Tabla110[[#This Row],[Precio Unitario Neto]]*Tabla110[[#This Row],[Cantidad]])-(Tabla110[[#This Row],[Cantidad]]*Tabla110[[#This Row],[Apoyo]])</f>
        <v>15780.002</v>
      </c>
      <c r="M125" s="270" t="e">
        <f>((INDEX(Tabla6[#All],MATCH(Tabla110[[#This Row],[Producto]],Tabla6[[#All],[PRODUCTO]],0),MATCH(Tabla110[[#This Row],[Mes]],Tabla6[#Headers],0)))*(1+(IF(Tabla110[[#This Row],[FLETE]]="no",Catalogos!$M$2,Catalogos!$L$2))))</f>
        <v>#N/A</v>
      </c>
      <c r="N125" s="270" t="e">
        <f>+IF((Tabla110[[#This Row],[Precio Unitario Neto]]-Tabla110[[#This Row],[Apoyo]]-Tabla110[[#This Row],[COSTO + INDI]])&lt;=0,0,(Tabla110[[#This Row],[Precio Unitario Neto]]-Tabla110[[#This Row],[Apoyo]]-Tabla110[[#This Row],[COSTO + INDI]]))</f>
        <v>#N/A</v>
      </c>
      <c r="O125" s="258" t="e">
        <f>++Tabla110[[#This Row],[Utilidad Neta x Eq.]]*Tabla110[[#This Row],[Cantidad]]</f>
        <v>#N/A</v>
      </c>
      <c r="P125" s="271" t="e">
        <f>++Tabla110[[#This Row],[Utilidad Neta Total]]/Tabla110[[#This Row],[Venta Total]]</f>
        <v>#N/A</v>
      </c>
      <c r="Q125" s="258" t="s">
        <v>604</v>
      </c>
      <c r="R125" s="272" t="e">
        <f>INDEX(Tabla6[#All],MATCH(Tabla110[[#This Row],[Producto]],Tabla6[[#All],[PRODUCTO]],0),MATCH(Tabla110[[#This Row],[Mes]],Tabla6[#Headers],0))</f>
        <v>#N/A</v>
      </c>
      <c r="S125" s="260" t="e">
        <f>++Tabla110[[#This Row],[Precio Unitario Neto]]-Tabla110[[#This Row],[Apoyo]]-Tabla110[[#This Row],[Costo unitario]]</f>
        <v>#N/A</v>
      </c>
      <c r="T125" s="273" t="e">
        <f>+Tabla110[[#This Row],[Utilidad Bruta]]*Tabla110[[#This Row],[Cantidad]]</f>
        <v>#N/A</v>
      </c>
      <c r="U125" s="404" t="e">
        <f>++Tabla110[[#This Row],[Utilidad Bruta Total]]*$V$1</f>
        <v>#N/A</v>
      </c>
      <c r="V125" s="278" t="e">
        <f>++Tabla110[[#This Row],[Utilidad Bruta Total]]*$V$1</f>
        <v>#N/A</v>
      </c>
      <c r="W125" s="278">
        <f>VLOOKUP(Tabla110[[#This Row],[Producto]],'NUEVAS LISTAS'!$B$3:$P$403,'Ventas '!W$6,FALSE)</f>
        <v>17479</v>
      </c>
      <c r="X125" s="278">
        <f>VLOOKUP(Tabla110[[#This Row],[Producto]],'NUEVAS LISTAS'!$B$3:$P$403,'Ventas '!X$6,FALSE)</f>
        <v>18399</v>
      </c>
      <c r="Y125" s="278">
        <f>VLOOKUP(Tabla110[[#This Row],[Producto]],'NUEVAS LISTAS'!$B$3:$P$403,'Ventas '!Y$6,FALSE)</f>
        <v>19369</v>
      </c>
      <c r="Z125" s="278">
        <f>VLOOKUP(Tabla110[[#This Row],[Producto]],'NUEVAS LISTAS'!$B$3:$P$403,'Ventas '!Z$6,FALSE)</f>
        <v>20389</v>
      </c>
      <c r="AA125" s="543">
        <f>IF(AB125&lt;$AC$2,0,IF(Tabla110[[#This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5" s="539">
        <f>SUMIFS(Tabla110[[#All],[Venta Total]],Tabla110[[#All],[Asesor]],Tabla110[[#This Row],[Asesor]],Tabla110[[#All],[Fecha Cobranza]],"&lt;="&amp;Tabla110[[#This Row],[Fecha Cobranza]],Tabla110[[#All],[Fecha Cobranza]],"&gt;="&amp;Tabla110[[#This Row],[Fecha Cobranza]]-28)</f>
        <v>722366.75359999994</v>
      </c>
      <c r="AC125" s="542">
        <f t="shared" si="20"/>
        <v>0</v>
      </c>
      <c r="AD125" s="544">
        <f t="shared" si="21"/>
        <v>0.02</v>
      </c>
      <c r="AE125" s="545">
        <f>+AD125*Tabla110[[#This Row],[Venta Total]]</f>
        <v>315.60004000000004</v>
      </c>
    </row>
    <row r="126" spans="1:31" x14ac:dyDescent="0.2">
      <c r="A126" s="264">
        <v>46006</v>
      </c>
      <c r="B126" s="274" t="str">
        <f>TEXT(A126,"mmmm")</f>
        <v>December</v>
      </c>
      <c r="C126" s="265" t="s">
        <v>278</v>
      </c>
      <c r="D126" s="266" t="str">
        <f>VLOOKUP(Tabla110[[#This Row],[Asesor]],Tabla2[[Asesores]:[TIPO]],2,0)</f>
        <v>INTERNO</v>
      </c>
      <c r="E126" s="268" t="s">
        <v>3641</v>
      </c>
      <c r="F126" s="267" t="s">
        <v>3823</v>
      </c>
      <c r="G126" s="50" t="s">
        <v>227</v>
      </c>
      <c r="H126" s="269">
        <v>94</v>
      </c>
      <c r="I126" s="275">
        <v>6025.862127659575</v>
      </c>
      <c r="J126" s="260">
        <f>+Tabla110[[#This Row],[Precio Bruto]]*1.16</f>
        <v>6990.0000680851062</v>
      </c>
      <c r="L126" s="270">
        <f>++(Tabla110[[#This Row],[Precio Unitario Neto]]*Tabla110[[#This Row],[Cantidad]])-(Tabla110[[#This Row],[Cantidad]]*Tabla110[[#This Row],[Apoyo]])</f>
        <v>657060.00639999995</v>
      </c>
      <c r="M126" s="270" t="e">
        <f>((INDEX(Tabla6[#All],MATCH(Tabla110[[#This Row],[Producto]],Tabla6[[#All],[PRODUCTO]],0),MATCH(Tabla110[[#This Row],[Mes]],Tabla6[#Headers],0)))*(1+(IF(Tabla110[[#This Row],[FLETE]]="no",Catalogos!$M$2,Catalogos!$L$2))))</f>
        <v>#N/A</v>
      </c>
      <c r="N126" s="270" t="e">
        <f>+IF((Tabla110[[#This Row],[Precio Unitario Neto]]-Tabla110[[#This Row],[Apoyo]]-Tabla110[[#This Row],[COSTO + INDI]])&lt;=0,0,(Tabla110[[#This Row],[Precio Unitario Neto]]-Tabla110[[#This Row],[Apoyo]]-Tabla110[[#This Row],[COSTO + INDI]]))</f>
        <v>#N/A</v>
      </c>
      <c r="O126" s="258" t="e">
        <f>++Tabla110[[#This Row],[Utilidad Neta x Eq.]]*Tabla110[[#This Row],[Cantidad]]</f>
        <v>#N/A</v>
      </c>
      <c r="P126" s="271" t="e">
        <f>++Tabla110[[#This Row],[Utilidad Neta Total]]/Tabla110[[#This Row],[Venta Total]]</f>
        <v>#N/A</v>
      </c>
      <c r="Q126" s="258" t="s">
        <v>604</v>
      </c>
      <c r="R126" s="272" t="e">
        <f>INDEX(Tabla6[#All],MATCH(Tabla110[[#This Row],[Producto]],Tabla6[[#All],[PRODUCTO]],0),MATCH(Tabla110[[#This Row],[Mes]],Tabla6[#Headers],0))</f>
        <v>#N/A</v>
      </c>
      <c r="S126" s="260" t="e">
        <f>++Tabla110[[#This Row],[Precio Unitario Neto]]-Tabla110[[#This Row],[Apoyo]]-Tabla110[[#This Row],[Costo unitario]]</f>
        <v>#N/A</v>
      </c>
      <c r="T126" s="273" t="e">
        <f>+Tabla110[[#This Row],[Utilidad Bruta]]*Tabla110[[#This Row],[Cantidad]]</f>
        <v>#N/A</v>
      </c>
      <c r="U126" s="404" t="e">
        <f>++Tabla110[[#This Row],[Utilidad Bruta Total]]*$V$1</f>
        <v>#N/A</v>
      </c>
      <c r="V126" s="278" t="e">
        <f>++Tabla110[[#This Row],[Utilidad Bruta Total]]*$V$1</f>
        <v>#N/A</v>
      </c>
      <c r="W126" s="278">
        <f>VLOOKUP(Tabla110[[#This Row],[Producto]],'NUEVAS LISTAS'!$B$3:$P$403,'Ventas '!W$6,FALSE)</f>
        <v>6949</v>
      </c>
      <c r="X126" s="278">
        <f>VLOOKUP(Tabla110[[#This Row],[Producto]],'NUEVAS LISTAS'!$B$3:$P$403,'Ventas '!X$6,FALSE)</f>
        <v>7309</v>
      </c>
      <c r="Y126" s="278">
        <f>VLOOKUP(Tabla110[[#This Row],[Producto]],'NUEVAS LISTAS'!$B$3:$P$403,'Ventas '!Y$6,FALSE)</f>
        <v>7689</v>
      </c>
      <c r="Z126" s="278">
        <f>VLOOKUP(Tabla110[[#This Row],[Producto]],'NUEVAS LISTAS'!$B$3:$P$403,'Ventas '!Z$6,FALSE)</f>
        <v>8089</v>
      </c>
      <c r="AA126" s="543">
        <f>IF(AB126&lt;$AC$2,0,IF(Tabla110[[#This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6" s="539">
        <f>SUMIFS(Tabla110[[#All],[Venta Total]],Tabla110[[#All],[Asesor]],Tabla110[[#This Row],[Asesor]],Tabla110[[#All],[Fecha Cobranza]],"&lt;="&amp;Tabla110[[#This Row],[Fecha Cobranza]],Tabla110[[#All],[Fecha Cobranza]],"&gt;="&amp;Tabla110[[#This Row],[Fecha Cobranza]]-28)</f>
        <v>722366.75359999994</v>
      </c>
      <c r="AC126" s="542">
        <f t="shared" si="20"/>
        <v>0</v>
      </c>
      <c r="AD126" s="544">
        <f t="shared" si="21"/>
        <v>0.02</v>
      </c>
      <c r="AE126" s="545">
        <f>+AD126*Tabla110[[#This Row],[Venta Total]]</f>
        <v>13141.200127999999</v>
      </c>
    </row>
    <row r="127" spans="1:31" x14ac:dyDescent="0.2">
      <c r="A127" s="264">
        <v>46006</v>
      </c>
      <c r="B127" s="274" t="str">
        <f>TEXT(A127,"mmmm")</f>
        <v>December</v>
      </c>
      <c r="C127" s="265" t="s">
        <v>339</v>
      </c>
      <c r="D127" s="266" t="str">
        <f>VLOOKUP(Tabla110[[#This Row],[Asesor]],Tabla2[[Asesores]:[TIPO]],2,0)</f>
        <v>INTERNO</v>
      </c>
      <c r="E127" s="268" t="s">
        <v>3642</v>
      </c>
      <c r="F127" s="267" t="s">
        <v>3824</v>
      </c>
      <c r="G127" s="50" t="s">
        <v>255</v>
      </c>
      <c r="H127" s="269">
        <v>3</v>
      </c>
      <c r="I127" s="275">
        <v>1068.9666666666667</v>
      </c>
      <c r="J127" s="260">
        <f>+Tabla110[[#This Row],[Precio Bruto]]*1.16</f>
        <v>1240.0013333333334</v>
      </c>
      <c r="L127" s="270">
        <f>++(Tabla110[[#This Row],[Precio Unitario Neto]]*Tabla110[[#This Row],[Cantidad]])-(Tabla110[[#This Row],[Cantidad]]*Tabla110[[#This Row],[Apoyo]])</f>
        <v>3720.0039999999999</v>
      </c>
      <c r="M127" s="270" t="e">
        <f>((INDEX(Tabla6[#All],MATCH(Tabla110[[#This Row],[Producto]],Tabla6[[#All],[PRODUCTO]],0),MATCH(Tabla110[[#This Row],[Mes]],Tabla6[#Headers],0)))*(1+(IF(Tabla110[[#This Row],[FLETE]]="no",Catalogos!$M$2,Catalogos!$L$2))))</f>
        <v>#N/A</v>
      </c>
      <c r="N127" s="270" t="e">
        <f>+IF((Tabla110[[#This Row],[Precio Unitario Neto]]-Tabla110[[#This Row],[Apoyo]]-Tabla110[[#This Row],[COSTO + INDI]])&lt;=0,0,(Tabla110[[#This Row],[Precio Unitario Neto]]-Tabla110[[#This Row],[Apoyo]]-Tabla110[[#This Row],[COSTO + INDI]]))</f>
        <v>#N/A</v>
      </c>
      <c r="O127" s="258" t="e">
        <f>++Tabla110[[#This Row],[Utilidad Neta x Eq.]]*Tabla110[[#This Row],[Cantidad]]</f>
        <v>#N/A</v>
      </c>
      <c r="P127" s="271" t="e">
        <f>++Tabla110[[#This Row],[Utilidad Neta Total]]/Tabla110[[#This Row],[Venta Total]]</f>
        <v>#N/A</v>
      </c>
      <c r="Q127" s="258" t="s">
        <v>604</v>
      </c>
      <c r="R127" s="272" t="e">
        <f>INDEX(Tabla6[#All],MATCH(Tabla110[[#This Row],[Producto]],Tabla6[[#All],[PRODUCTO]],0),MATCH(Tabla110[[#This Row],[Mes]],Tabla6[#Headers],0))</f>
        <v>#N/A</v>
      </c>
      <c r="S127" s="260" t="e">
        <f>++Tabla110[[#This Row],[Precio Unitario Neto]]-Tabla110[[#This Row],[Apoyo]]-Tabla110[[#This Row],[Costo unitario]]</f>
        <v>#N/A</v>
      </c>
      <c r="T127" s="273" t="e">
        <f>+Tabla110[[#This Row],[Utilidad Bruta]]*Tabla110[[#This Row],[Cantidad]]</f>
        <v>#N/A</v>
      </c>
      <c r="U127" s="404" t="e">
        <f>++Tabla110[[#This Row],[Utilidad Bruta Total]]*$V$1</f>
        <v>#N/A</v>
      </c>
      <c r="V127" s="278" t="e">
        <f>++Tabla110[[#This Row],[Utilidad Bruta Total]]*$V$1</f>
        <v>#N/A</v>
      </c>
      <c r="W127" s="278">
        <f>VLOOKUP(Tabla110[[#This Row],[Producto]],'NUEVAS LISTAS'!$B$3:$P$403,'Ventas '!W$6,FALSE)</f>
        <v>1169</v>
      </c>
      <c r="X127" s="278">
        <f>VLOOKUP(Tabla110[[#This Row],[Producto]],'NUEVAS LISTAS'!$B$3:$P$403,'Ventas '!X$6,FALSE)</f>
        <v>1299</v>
      </c>
      <c r="Y127" s="278">
        <f>VLOOKUP(Tabla110[[#This Row],[Producto]],'NUEVAS LISTAS'!$B$3:$P$403,'Ventas '!Y$6,FALSE)</f>
        <v>1369</v>
      </c>
      <c r="Z127" s="278">
        <f>VLOOKUP(Tabla110[[#This Row],[Producto]],'NUEVAS LISTAS'!$B$3:$P$403,'Ventas '!Z$6,FALSE)</f>
        <v>1489</v>
      </c>
      <c r="AA127" s="543">
        <f>IF(AB127&lt;$AC$2,0,IF(Tabla110[[#This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27" s="539">
        <f>SUMIFS(Tabla110[[#All],[Venta Total]],Tabla110[[#All],[Asesor]],Tabla110[[#This Row],[Asesor]],Tabla110[[#All],[Fecha Cobranza]],"&lt;="&amp;Tabla110[[#This Row],[Fecha Cobranza]],Tabla110[[#All],[Fecha Cobranza]],"&gt;="&amp;Tabla110[[#This Row],[Fecha Cobranza]]-28)</f>
        <v>154168.63999999998</v>
      </c>
      <c r="AC127" s="542">
        <f t="shared" si="20"/>
        <v>0</v>
      </c>
      <c r="AD127" s="544">
        <f t="shared" si="21"/>
        <v>0.02</v>
      </c>
      <c r="AE127" s="545">
        <f>+AD127*Tabla110[[#This Row],[Venta Total]]</f>
        <v>74.400080000000003</v>
      </c>
    </row>
    <row r="128" spans="1:31" x14ac:dyDescent="0.2">
      <c r="A128" s="264">
        <v>46006</v>
      </c>
      <c r="B128" s="274" t="str">
        <f>TEXT(A128,"mmmm")</f>
        <v>December</v>
      </c>
      <c r="C128" s="265" t="s">
        <v>280</v>
      </c>
      <c r="D128" s="266" t="str">
        <f>VLOOKUP(Tabla110[[#This Row],[Asesor]],Tabla2[[Asesores]:[TIPO]],2,0)</f>
        <v>INTERNO</v>
      </c>
      <c r="E128" s="268" t="s">
        <v>3777</v>
      </c>
      <c r="F128" s="267" t="s">
        <v>3825</v>
      </c>
      <c r="G128" s="50" t="s">
        <v>575</v>
      </c>
      <c r="H128" s="269">
        <v>1</v>
      </c>
      <c r="I128" s="275">
        <v>14310.34</v>
      </c>
      <c r="J128" s="260">
        <f>+Tabla110[[#This Row],[Precio Bruto]]*1.16</f>
        <v>16599.9944</v>
      </c>
      <c r="L128" s="270">
        <f>++(Tabla110[[#This Row],[Precio Unitario Neto]]*Tabla110[[#This Row],[Cantidad]])-(Tabla110[[#This Row],[Cantidad]]*Tabla110[[#This Row],[Apoyo]])</f>
        <v>16599.9944</v>
      </c>
      <c r="M128" s="270" t="e">
        <f>((INDEX(Tabla6[#All],MATCH(Tabla110[[#This Row],[Producto]],Tabla6[[#All],[PRODUCTO]],0),MATCH(Tabla110[[#This Row],[Mes]],Tabla6[#Headers],0)))*(1+(IF(Tabla110[[#This Row],[FLETE]]="no",Catalogos!$M$2,Catalogos!$L$2))))</f>
        <v>#N/A</v>
      </c>
      <c r="N128" s="270" t="e">
        <f>+IF((Tabla110[[#This Row],[Precio Unitario Neto]]-Tabla110[[#This Row],[Apoyo]]-Tabla110[[#This Row],[COSTO + INDI]])&lt;=0,0,(Tabla110[[#This Row],[Precio Unitario Neto]]-Tabla110[[#This Row],[Apoyo]]-Tabla110[[#This Row],[COSTO + INDI]]))</f>
        <v>#N/A</v>
      </c>
      <c r="O128" s="258" t="e">
        <f>++Tabla110[[#This Row],[Utilidad Neta x Eq.]]*Tabla110[[#This Row],[Cantidad]]</f>
        <v>#N/A</v>
      </c>
      <c r="P128" s="271" t="e">
        <f>++Tabla110[[#This Row],[Utilidad Neta Total]]/Tabla110[[#This Row],[Venta Total]]</f>
        <v>#N/A</v>
      </c>
      <c r="Q128" s="258" t="s">
        <v>604</v>
      </c>
      <c r="R128" s="272" t="e">
        <f>INDEX(Tabla6[#All],MATCH(Tabla110[[#This Row],[Producto]],Tabla6[[#All],[PRODUCTO]],0),MATCH(Tabla110[[#This Row],[Mes]],Tabla6[#Headers],0))</f>
        <v>#N/A</v>
      </c>
      <c r="S128" s="260" t="e">
        <f>++Tabla110[[#This Row],[Precio Unitario Neto]]-Tabla110[[#This Row],[Apoyo]]-Tabla110[[#This Row],[Costo unitario]]</f>
        <v>#N/A</v>
      </c>
      <c r="T128" s="273" t="e">
        <f>+Tabla110[[#This Row],[Utilidad Bruta]]*Tabla110[[#This Row],[Cantidad]]</f>
        <v>#N/A</v>
      </c>
      <c r="U128" s="404" t="e">
        <f>++Tabla110[[#This Row],[Utilidad Bruta Total]]*$V$1</f>
        <v>#N/A</v>
      </c>
      <c r="V128" s="278" t="e">
        <f>++Tabla110[[#This Row],[Utilidad Bruta Total]]*$V$1</f>
        <v>#N/A</v>
      </c>
      <c r="W128" s="278">
        <f>VLOOKUP(Tabla110[[#This Row],[Producto]],'NUEVAS LISTAS'!$B$3:$P$403,'Ventas '!W$6,FALSE)</f>
        <v>14309</v>
      </c>
      <c r="X128" s="278">
        <f>VLOOKUP(Tabla110[[#This Row],[Producto]],'NUEVAS LISTAS'!$B$3:$P$403,'Ventas '!X$6,FALSE)</f>
        <v>15059</v>
      </c>
      <c r="Y128" s="278">
        <f>VLOOKUP(Tabla110[[#This Row],[Producto]],'NUEVAS LISTAS'!$B$3:$P$403,'Ventas '!Y$6,FALSE)</f>
        <v>15849</v>
      </c>
      <c r="Z128" s="278">
        <f>VLOOKUP(Tabla110[[#This Row],[Producto]],'NUEVAS LISTAS'!$B$3:$P$403,'Ventas '!Z$6,FALSE)</f>
        <v>16679</v>
      </c>
      <c r="AA128" s="543">
        <f>IF(AB128&lt;$AC$2,0,IF(Tabla110[[#This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28" s="539">
        <f>SUMIFS(Tabla110[[#All],[Venta Total]],Tabla110[[#All],[Asesor]],Tabla110[[#This Row],[Asesor]],Tabla110[[#All],[Fecha Cobranza]],"&lt;="&amp;Tabla110[[#This Row],[Fecha Cobranza]],Tabla110[[#All],[Fecha Cobranza]],"&gt;="&amp;Tabla110[[#This Row],[Fecha Cobranza]]-28)</f>
        <v>244784.08159999998</v>
      </c>
      <c r="AC128" s="542">
        <f t="shared" si="20"/>
        <v>0</v>
      </c>
      <c r="AD128" s="544">
        <f t="shared" si="21"/>
        <v>2.5000000000000001E-2</v>
      </c>
      <c r="AE128" s="545">
        <f>+AD128*Tabla110[[#This Row],[Venta Total]]</f>
        <v>414.99986000000001</v>
      </c>
    </row>
    <row r="129" spans="1:31" x14ac:dyDescent="0.2">
      <c r="A129" s="264">
        <v>46006</v>
      </c>
      <c r="B129" s="274" t="str">
        <f>TEXT(A129,"mmmm")</f>
        <v>December</v>
      </c>
      <c r="C129" s="265" t="s">
        <v>277</v>
      </c>
      <c r="D129" s="266" t="str">
        <f>VLOOKUP(Tabla110[[#This Row],[Asesor]],Tabla2[[Asesores]:[TIPO]],2,0)</f>
        <v>INTERNO</v>
      </c>
      <c r="E129" s="268" t="s">
        <v>1578</v>
      </c>
      <c r="F129" s="267" t="s">
        <v>3826</v>
      </c>
      <c r="G129" s="50" t="s">
        <v>256</v>
      </c>
      <c r="H129" s="269">
        <v>1</v>
      </c>
      <c r="I129" s="275">
        <v>2275</v>
      </c>
      <c r="J129" s="260">
        <f>+Tabla110[[#This Row],[Precio Bruto]]*1.16</f>
        <v>2639</v>
      </c>
      <c r="L129" s="270">
        <f>++(Tabla110[[#This Row],[Precio Unitario Neto]]*Tabla110[[#This Row],[Cantidad]])-(Tabla110[[#This Row],[Cantidad]]*Tabla110[[#This Row],[Apoyo]])</f>
        <v>2639</v>
      </c>
      <c r="M129" s="270" t="e">
        <f>((INDEX(Tabla6[#All],MATCH(Tabla110[[#This Row],[Producto]],Tabla6[[#All],[PRODUCTO]],0),MATCH(Tabla110[[#This Row],[Mes]],Tabla6[#Headers],0)))*(1+(IF(Tabla110[[#This Row],[FLETE]]="no",Catalogos!$M$2,Catalogos!$L$2))))</f>
        <v>#N/A</v>
      </c>
      <c r="N129" s="270" t="e">
        <f>+IF((Tabla110[[#This Row],[Precio Unitario Neto]]-Tabla110[[#This Row],[Apoyo]]-Tabla110[[#This Row],[COSTO + INDI]])&lt;=0,0,(Tabla110[[#This Row],[Precio Unitario Neto]]-Tabla110[[#This Row],[Apoyo]]-Tabla110[[#This Row],[COSTO + INDI]]))</f>
        <v>#N/A</v>
      </c>
      <c r="O129" s="258" t="e">
        <f>++Tabla110[[#This Row],[Utilidad Neta x Eq.]]*Tabla110[[#This Row],[Cantidad]]</f>
        <v>#N/A</v>
      </c>
      <c r="P129" s="271" t="e">
        <f>++Tabla110[[#This Row],[Utilidad Neta Total]]/Tabla110[[#This Row],[Venta Total]]</f>
        <v>#N/A</v>
      </c>
      <c r="Q129" s="258" t="s">
        <v>604</v>
      </c>
      <c r="R129" s="272" t="e">
        <f>INDEX(Tabla6[#All],MATCH(Tabla110[[#This Row],[Producto]],Tabla6[[#All],[PRODUCTO]],0),MATCH(Tabla110[[#This Row],[Mes]],Tabla6[#Headers],0))</f>
        <v>#N/A</v>
      </c>
      <c r="S129" s="260" t="e">
        <f>++Tabla110[[#This Row],[Precio Unitario Neto]]-Tabla110[[#This Row],[Apoyo]]-Tabla110[[#This Row],[Costo unitario]]</f>
        <v>#N/A</v>
      </c>
      <c r="T129" s="273" t="e">
        <f>+Tabla110[[#This Row],[Utilidad Bruta]]*Tabla110[[#This Row],[Cantidad]]</f>
        <v>#N/A</v>
      </c>
      <c r="U129" s="404" t="e">
        <f>++Tabla110[[#This Row],[Utilidad Bruta Total]]*$V$1</f>
        <v>#N/A</v>
      </c>
      <c r="V129" s="278" t="e">
        <f>++Tabla110[[#This Row],[Utilidad Bruta Total]]*$V$1</f>
        <v>#N/A</v>
      </c>
      <c r="W129" s="278">
        <f>VLOOKUP(Tabla110[[#This Row],[Producto]],'NUEVAS LISTAS'!$B$3:$P$403,'Ventas '!W$6,FALSE)</f>
        <v>2079</v>
      </c>
      <c r="X129" s="278">
        <f>VLOOKUP(Tabla110[[#This Row],[Producto]],'NUEVAS LISTAS'!$B$3:$P$403,'Ventas '!X$6,FALSE)</f>
        <v>2309</v>
      </c>
      <c r="Y129" s="278">
        <f>VLOOKUP(Tabla110[[#This Row],[Producto]],'NUEVAS LISTAS'!$B$3:$P$403,'Ventas '!Y$6,FALSE)</f>
        <v>2429</v>
      </c>
      <c r="Z129" s="278">
        <f>VLOOKUP(Tabla110[[#This Row],[Producto]],'NUEVAS LISTAS'!$B$3:$P$403,'Ventas '!Z$6,FALSE)</f>
        <v>2639</v>
      </c>
      <c r="AA129" s="543">
        <f>IF(AB129&lt;$AC$2,0,IF(Tabla110[[#This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29" s="539">
        <f>SUMIFS(Tabla110[[#All],[Venta Total]],Tabla110[[#All],[Asesor]],Tabla110[[#This Row],[Asesor]],Tabla110[[#All],[Fecha Cobranza]],"&lt;="&amp;Tabla110[[#This Row],[Fecha Cobranza]],Tabla110[[#All],[Fecha Cobranza]],"&gt;="&amp;Tabla110[[#This Row],[Fecha Cobranza]]-28)</f>
        <v>1053628.7308</v>
      </c>
      <c r="AC129" s="542">
        <f t="shared" si="20"/>
        <v>0</v>
      </c>
      <c r="AD129" s="544">
        <f t="shared" si="21"/>
        <v>2.75E-2</v>
      </c>
      <c r="AE129" s="545">
        <f>+AD129*Tabla110[[#This Row],[Venta Total]]</f>
        <v>72.572500000000005</v>
      </c>
    </row>
    <row r="130" spans="1:31" x14ac:dyDescent="0.2">
      <c r="A130" s="264">
        <v>46006</v>
      </c>
      <c r="B130" s="274" t="str">
        <f t="shared" ref="B130:B134" si="32">TEXT(A130,"mmmm")</f>
        <v>December</v>
      </c>
      <c r="C130" s="265" t="s">
        <v>455</v>
      </c>
      <c r="D130" s="266" t="str">
        <f>VLOOKUP(Tabla110[[#This Row],[Asesor]],Tabla2[[Asesores]:[TIPO]],2,0)</f>
        <v>INTERNO</v>
      </c>
      <c r="E130" s="268" t="s">
        <v>3374</v>
      </c>
      <c r="F130" s="267" t="s">
        <v>3827</v>
      </c>
      <c r="G130" s="50" t="s">
        <v>371</v>
      </c>
      <c r="H130" s="269">
        <v>20</v>
      </c>
      <c r="I130" s="275">
        <v>2222.1724999999997</v>
      </c>
      <c r="J130" s="260">
        <f>+Tabla110[[#This Row],[Precio Bruto]]*1.16</f>
        <v>2577.7200999999995</v>
      </c>
      <c r="L130" s="270">
        <f>++(Tabla110[[#This Row],[Precio Unitario Neto]]*Tabla110[[#This Row],[Cantidad]])-(Tabla110[[#This Row],[Cantidad]]*Tabla110[[#This Row],[Apoyo]])</f>
        <v>51554.401999999987</v>
      </c>
      <c r="M130" s="270" t="e">
        <f>((INDEX(Tabla6[#All],MATCH(Tabla110[[#This Row],[Producto]],Tabla6[[#All],[PRODUCTO]],0),MATCH(Tabla110[[#This Row],[Mes]],Tabla6[#Headers],0)))*(1+(IF(Tabla110[[#This Row],[FLETE]]="no",Catalogos!$M$2,Catalogos!$L$2))))</f>
        <v>#N/A</v>
      </c>
      <c r="N130" s="270" t="e">
        <f>+IF((Tabla110[[#This Row],[Precio Unitario Neto]]-Tabla110[[#This Row],[Apoyo]]-Tabla110[[#This Row],[COSTO + INDI]])&lt;=0,0,(Tabla110[[#This Row],[Precio Unitario Neto]]-Tabla110[[#This Row],[Apoyo]]-Tabla110[[#This Row],[COSTO + INDI]]))</f>
        <v>#N/A</v>
      </c>
      <c r="O130" s="258" t="e">
        <f>++Tabla110[[#This Row],[Utilidad Neta x Eq.]]*Tabla110[[#This Row],[Cantidad]]</f>
        <v>#N/A</v>
      </c>
      <c r="P130" s="271" t="e">
        <f>++Tabla110[[#This Row],[Utilidad Neta Total]]/Tabla110[[#This Row],[Venta Total]]</f>
        <v>#N/A</v>
      </c>
      <c r="Q130" s="258" t="s">
        <v>604</v>
      </c>
      <c r="R130" s="272" t="e">
        <f>INDEX(Tabla6[#All],MATCH(Tabla110[[#This Row],[Producto]],Tabla6[[#All],[PRODUCTO]],0),MATCH(Tabla110[[#This Row],[Mes]],Tabla6[#Headers],0))</f>
        <v>#N/A</v>
      </c>
      <c r="S130" s="260" t="e">
        <f>++Tabla110[[#This Row],[Precio Unitario Neto]]-Tabla110[[#This Row],[Apoyo]]-Tabla110[[#This Row],[Costo unitario]]</f>
        <v>#N/A</v>
      </c>
      <c r="T130" s="273" t="e">
        <f>+Tabla110[[#This Row],[Utilidad Bruta]]*Tabla110[[#This Row],[Cantidad]]</f>
        <v>#N/A</v>
      </c>
      <c r="U130" s="404" t="e">
        <f>++Tabla110[[#This Row],[Utilidad Bruta Total]]*$V$1</f>
        <v>#N/A</v>
      </c>
      <c r="V130" s="278" t="e">
        <f>++Tabla110[[#This Row],[Utilidad Bruta Total]]*$V$1</f>
        <v>#N/A</v>
      </c>
      <c r="W130" s="278">
        <f>VLOOKUP(Tabla110[[#This Row],[Producto]],'NUEVAS LISTAS'!$B$3:$P$403,'Ventas '!W$6,FALSE)</f>
        <v>3359</v>
      </c>
      <c r="X130" s="278">
        <f>VLOOKUP(Tabla110[[#This Row],[Producto]],'NUEVAS LISTAS'!$B$3:$P$403,'Ventas '!X$6,FALSE)</f>
        <v>3539</v>
      </c>
      <c r="Y130" s="278">
        <f>VLOOKUP(Tabla110[[#This Row],[Producto]],'NUEVAS LISTAS'!$B$3:$P$403,'Ventas '!Y$6,FALSE)</f>
        <v>3729</v>
      </c>
      <c r="Z130" s="278">
        <f>VLOOKUP(Tabla110[[#This Row],[Producto]],'NUEVAS LISTAS'!$B$3:$P$403,'Ventas '!Z$6,FALSE)</f>
        <v>3929</v>
      </c>
      <c r="AA130" s="543">
        <f>IF(AB130&lt;$AC$2,0,IF(Tabla110[[#This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0" s="539">
        <f>SUMIFS(Tabla110[[#All],[Venta Total]],Tabla110[[#All],[Asesor]],Tabla110[[#This Row],[Asesor]],Tabla110[[#All],[Fecha Cobranza]],"&lt;="&amp;Tabla110[[#This Row],[Fecha Cobranza]],Tabla110[[#All],[Fecha Cobranza]],"&gt;="&amp;Tabla110[[#This Row],[Fecha Cobranza]]-28)</f>
        <v>1481687.3719999997</v>
      </c>
      <c r="AC130" s="542">
        <f t="shared" si="20"/>
        <v>0</v>
      </c>
      <c r="AD130" s="544">
        <f t="shared" si="21"/>
        <v>0.02</v>
      </c>
      <c r="AE130" s="545">
        <f>+AD130*Tabla110[[#This Row],[Venta Total]]</f>
        <v>1031.0880399999999</v>
      </c>
    </row>
    <row r="131" spans="1:31" x14ac:dyDescent="0.2">
      <c r="A131" s="264">
        <v>46006</v>
      </c>
      <c r="B131" s="274" t="str">
        <f t="shared" si="32"/>
        <v>December</v>
      </c>
      <c r="C131" s="265" t="s">
        <v>455</v>
      </c>
      <c r="D131" s="266" t="str">
        <f>VLOOKUP(Tabla110[[#This Row],[Asesor]],Tabla2[[Asesores]:[TIPO]],2,0)</f>
        <v>INTERNO</v>
      </c>
      <c r="E131" s="268" t="s">
        <v>3374</v>
      </c>
      <c r="F131" s="267" t="s">
        <v>3827</v>
      </c>
      <c r="G131" s="50" t="s">
        <v>374</v>
      </c>
      <c r="H131" s="269">
        <v>3</v>
      </c>
      <c r="I131" s="275">
        <v>3187.9233333333336</v>
      </c>
      <c r="J131" s="260">
        <f>+Tabla110[[#This Row],[Precio Bruto]]*1.16</f>
        <v>3697.9910666666669</v>
      </c>
      <c r="L131" s="270">
        <f>++(Tabla110[[#This Row],[Precio Unitario Neto]]*Tabla110[[#This Row],[Cantidad]])-(Tabla110[[#This Row],[Cantidad]]*Tabla110[[#This Row],[Apoyo]])</f>
        <v>11093.9732</v>
      </c>
      <c r="M131" s="270" t="e">
        <f>((INDEX(Tabla6[#All],MATCH(Tabla110[[#This Row],[Producto]],Tabla6[[#All],[PRODUCTO]],0),MATCH(Tabla110[[#This Row],[Mes]],Tabla6[#Headers],0)))*(1+(IF(Tabla110[[#This Row],[FLETE]]="no",Catalogos!$M$2,Catalogos!$L$2))))</f>
        <v>#N/A</v>
      </c>
      <c r="N131" s="270" t="e">
        <f>+IF((Tabla110[[#This Row],[Precio Unitario Neto]]-Tabla110[[#This Row],[Apoyo]]-Tabla110[[#This Row],[COSTO + INDI]])&lt;=0,0,(Tabla110[[#This Row],[Precio Unitario Neto]]-Tabla110[[#This Row],[Apoyo]]-Tabla110[[#This Row],[COSTO + INDI]]))</f>
        <v>#N/A</v>
      </c>
      <c r="O131" s="258" t="e">
        <f>++Tabla110[[#This Row],[Utilidad Neta x Eq.]]*Tabla110[[#This Row],[Cantidad]]</f>
        <v>#N/A</v>
      </c>
      <c r="P131" s="271" t="e">
        <f>++Tabla110[[#This Row],[Utilidad Neta Total]]/Tabla110[[#This Row],[Venta Total]]</f>
        <v>#N/A</v>
      </c>
      <c r="Q131" s="258" t="s">
        <v>604</v>
      </c>
      <c r="R131" s="272" t="e">
        <f>INDEX(Tabla6[#All],MATCH(Tabla110[[#This Row],[Producto]],Tabla6[[#All],[PRODUCTO]],0),MATCH(Tabla110[[#This Row],[Mes]],Tabla6[#Headers],0))</f>
        <v>#N/A</v>
      </c>
      <c r="S131" s="260" t="e">
        <f>++Tabla110[[#This Row],[Precio Unitario Neto]]-Tabla110[[#This Row],[Apoyo]]-Tabla110[[#This Row],[Costo unitario]]</f>
        <v>#N/A</v>
      </c>
      <c r="T131" s="273" t="e">
        <f>+Tabla110[[#This Row],[Utilidad Bruta]]*Tabla110[[#This Row],[Cantidad]]</f>
        <v>#N/A</v>
      </c>
      <c r="U131" s="404" t="e">
        <f>++Tabla110[[#This Row],[Utilidad Bruta Total]]*$V$1</f>
        <v>#N/A</v>
      </c>
      <c r="V131" s="278" t="e">
        <f>++Tabla110[[#This Row],[Utilidad Bruta Total]]*$V$1</f>
        <v>#N/A</v>
      </c>
      <c r="W131" s="278">
        <f>VLOOKUP(Tabla110[[#This Row],[Producto]],'NUEVAS LISTAS'!$B$3:$P$403,'Ventas '!W$6,FALSE)</f>
        <v>5789</v>
      </c>
      <c r="X131" s="278">
        <f>VLOOKUP(Tabla110[[#This Row],[Producto]],'NUEVAS LISTAS'!$B$3:$P$403,'Ventas '!X$6,FALSE)</f>
        <v>6089</v>
      </c>
      <c r="Y131" s="278">
        <f>VLOOKUP(Tabla110[[#This Row],[Producto]],'NUEVAS LISTAS'!$B$3:$P$403,'Ventas '!Y$6,FALSE)</f>
        <v>6409</v>
      </c>
      <c r="Z131" s="278">
        <f>VLOOKUP(Tabla110[[#This Row],[Producto]],'NUEVAS LISTAS'!$B$3:$P$403,'Ventas '!Z$6,FALSE)</f>
        <v>6749</v>
      </c>
      <c r="AA131" s="543">
        <f>IF(AB131&lt;$AC$2,0,IF(Tabla110[[#This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1" s="539">
        <f>SUMIFS(Tabla110[[#All],[Venta Total]],Tabla110[[#All],[Asesor]],Tabla110[[#This Row],[Asesor]],Tabla110[[#All],[Fecha Cobranza]],"&lt;="&amp;Tabla110[[#This Row],[Fecha Cobranza]],Tabla110[[#All],[Fecha Cobranza]],"&gt;="&amp;Tabla110[[#This Row],[Fecha Cobranza]]-28)</f>
        <v>1481687.3719999997</v>
      </c>
      <c r="AC131" s="542">
        <f t="shared" si="20"/>
        <v>0</v>
      </c>
      <c r="AD131" s="544">
        <f t="shared" si="21"/>
        <v>0.02</v>
      </c>
      <c r="AE131" s="545">
        <f>+AD131*Tabla110[[#This Row],[Venta Total]]</f>
        <v>221.87946400000001</v>
      </c>
    </row>
    <row r="132" spans="1:31" x14ac:dyDescent="0.2">
      <c r="A132" s="264">
        <v>46006</v>
      </c>
      <c r="B132" s="274" t="str">
        <f t="shared" si="32"/>
        <v>December</v>
      </c>
      <c r="C132" s="265" t="s">
        <v>455</v>
      </c>
      <c r="D132" s="266" t="str">
        <f>VLOOKUP(Tabla110[[#This Row],[Asesor]],Tabla2[[Asesores]:[TIPO]],2,0)</f>
        <v>INTERNO</v>
      </c>
      <c r="E132" s="268" t="s">
        <v>3374</v>
      </c>
      <c r="F132" s="267" t="s">
        <v>3827</v>
      </c>
      <c r="G132" s="50" t="s">
        <v>375</v>
      </c>
      <c r="H132" s="269">
        <v>1</v>
      </c>
      <c r="I132" s="275">
        <v>3822.03</v>
      </c>
      <c r="J132" s="260">
        <f>+Tabla110[[#This Row],[Precio Bruto]]*1.16</f>
        <v>4433.5547999999999</v>
      </c>
      <c r="L132" s="270">
        <f>++(Tabla110[[#This Row],[Precio Unitario Neto]]*Tabla110[[#This Row],[Cantidad]])-(Tabla110[[#This Row],[Cantidad]]*Tabla110[[#This Row],[Apoyo]])</f>
        <v>4433.5547999999999</v>
      </c>
      <c r="M132" s="270" t="e">
        <f>((INDEX(Tabla6[#All],MATCH(Tabla110[[#This Row],[Producto]],Tabla6[[#All],[PRODUCTO]],0),MATCH(Tabla110[[#This Row],[Mes]],Tabla6[#Headers],0)))*(1+(IF(Tabla110[[#This Row],[FLETE]]="no",Catalogos!$M$2,Catalogos!$L$2))))</f>
        <v>#N/A</v>
      </c>
      <c r="N132" s="270" t="e">
        <f>+IF((Tabla110[[#This Row],[Precio Unitario Neto]]-Tabla110[[#This Row],[Apoyo]]-Tabla110[[#This Row],[COSTO + INDI]])&lt;=0,0,(Tabla110[[#This Row],[Precio Unitario Neto]]-Tabla110[[#This Row],[Apoyo]]-Tabla110[[#This Row],[COSTO + INDI]]))</f>
        <v>#N/A</v>
      </c>
      <c r="O132" s="258" t="e">
        <f>++Tabla110[[#This Row],[Utilidad Neta x Eq.]]*Tabla110[[#This Row],[Cantidad]]</f>
        <v>#N/A</v>
      </c>
      <c r="P132" s="271" t="e">
        <f>++Tabla110[[#This Row],[Utilidad Neta Total]]/Tabla110[[#This Row],[Venta Total]]</f>
        <v>#N/A</v>
      </c>
      <c r="Q132" s="258" t="s">
        <v>604</v>
      </c>
      <c r="R132" s="272" t="e">
        <f>INDEX(Tabla6[#All],MATCH(Tabla110[[#This Row],[Producto]],Tabla6[[#All],[PRODUCTO]],0),MATCH(Tabla110[[#This Row],[Mes]],Tabla6[#Headers],0))</f>
        <v>#N/A</v>
      </c>
      <c r="S132" s="260" t="e">
        <f>++Tabla110[[#This Row],[Precio Unitario Neto]]-Tabla110[[#This Row],[Apoyo]]-Tabla110[[#This Row],[Costo unitario]]</f>
        <v>#N/A</v>
      </c>
      <c r="T132" s="273" t="e">
        <f>+Tabla110[[#This Row],[Utilidad Bruta]]*Tabla110[[#This Row],[Cantidad]]</f>
        <v>#N/A</v>
      </c>
      <c r="U132" s="404" t="e">
        <f>++Tabla110[[#This Row],[Utilidad Bruta Total]]*$V$1</f>
        <v>#N/A</v>
      </c>
      <c r="V132" s="278" t="e">
        <f>++Tabla110[[#This Row],[Utilidad Bruta Total]]*$V$1</f>
        <v>#N/A</v>
      </c>
      <c r="W132" s="278">
        <f>VLOOKUP(Tabla110[[#This Row],[Producto]],'NUEVAS LISTAS'!$B$3:$P$403,'Ventas '!W$6,FALSE)</f>
        <v>6879</v>
      </c>
      <c r="X132" s="278">
        <f>VLOOKUP(Tabla110[[#This Row],[Producto]],'NUEVAS LISTAS'!$B$3:$P$403,'Ventas '!X$6,FALSE)</f>
        <v>7239</v>
      </c>
      <c r="Y132" s="278">
        <f>VLOOKUP(Tabla110[[#This Row],[Producto]],'NUEVAS LISTAS'!$B$3:$P$403,'Ventas '!Y$6,FALSE)</f>
        <v>7619</v>
      </c>
      <c r="Z132" s="278">
        <f>VLOOKUP(Tabla110[[#This Row],[Producto]],'NUEVAS LISTAS'!$B$3:$P$403,'Ventas '!Z$6,FALSE)</f>
        <v>8019</v>
      </c>
      <c r="AA132" s="543">
        <f>IF(AB132&lt;$AC$2,0,IF(Tabla110[[#This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2" s="539">
        <f>SUMIFS(Tabla110[[#All],[Venta Total]],Tabla110[[#All],[Asesor]],Tabla110[[#This Row],[Asesor]],Tabla110[[#All],[Fecha Cobranza]],"&lt;="&amp;Tabla110[[#This Row],[Fecha Cobranza]],Tabla110[[#All],[Fecha Cobranza]],"&gt;="&amp;Tabla110[[#This Row],[Fecha Cobranza]]-28)</f>
        <v>1481687.3719999997</v>
      </c>
      <c r="AC132" s="542">
        <f t="shared" si="20"/>
        <v>0</v>
      </c>
      <c r="AD132" s="544">
        <f t="shared" si="21"/>
        <v>0.02</v>
      </c>
      <c r="AE132" s="545">
        <f>+AD132*Tabla110[[#This Row],[Venta Total]]</f>
        <v>88.671096000000006</v>
      </c>
    </row>
    <row r="133" spans="1:31" x14ac:dyDescent="0.2">
      <c r="A133" s="264">
        <v>46006</v>
      </c>
      <c r="B133" s="274" t="str">
        <f t="shared" si="32"/>
        <v>December</v>
      </c>
      <c r="C133" s="265" t="s">
        <v>455</v>
      </c>
      <c r="D133" s="266" t="str">
        <f>VLOOKUP(Tabla110[[#This Row],[Asesor]],Tabla2[[Asesores]:[TIPO]],2,0)</f>
        <v>INTERNO</v>
      </c>
      <c r="E133" s="268" t="s">
        <v>3374</v>
      </c>
      <c r="F133" s="267" t="s">
        <v>3827</v>
      </c>
      <c r="G133" s="50" t="s">
        <v>575</v>
      </c>
      <c r="H133" s="269">
        <v>2</v>
      </c>
      <c r="I133" s="275">
        <v>8906.8950000000004</v>
      </c>
      <c r="J133" s="260">
        <f>+Tabla110[[#This Row],[Precio Bruto]]*1.16</f>
        <v>10331.9982</v>
      </c>
      <c r="L133" s="270">
        <f>++(Tabla110[[#This Row],[Precio Unitario Neto]]*Tabla110[[#This Row],[Cantidad]])-(Tabla110[[#This Row],[Cantidad]]*Tabla110[[#This Row],[Apoyo]])</f>
        <v>20663.9964</v>
      </c>
      <c r="M133" s="270" t="e">
        <f>((INDEX(Tabla6[#All],MATCH(Tabla110[[#This Row],[Producto]],Tabla6[[#All],[PRODUCTO]],0),MATCH(Tabla110[[#This Row],[Mes]],Tabla6[#Headers],0)))*(1+(IF(Tabla110[[#This Row],[FLETE]]="no",Catalogos!$M$2,Catalogos!$L$2))))</f>
        <v>#N/A</v>
      </c>
      <c r="N133" s="270" t="e">
        <f>+IF((Tabla110[[#This Row],[Precio Unitario Neto]]-Tabla110[[#This Row],[Apoyo]]-Tabla110[[#This Row],[COSTO + INDI]])&lt;=0,0,(Tabla110[[#This Row],[Precio Unitario Neto]]-Tabla110[[#This Row],[Apoyo]]-Tabla110[[#This Row],[COSTO + INDI]]))</f>
        <v>#N/A</v>
      </c>
      <c r="O133" s="258" t="e">
        <f>++Tabla110[[#This Row],[Utilidad Neta x Eq.]]*Tabla110[[#This Row],[Cantidad]]</f>
        <v>#N/A</v>
      </c>
      <c r="P133" s="271" t="e">
        <f>++Tabla110[[#This Row],[Utilidad Neta Total]]/Tabla110[[#This Row],[Venta Total]]</f>
        <v>#N/A</v>
      </c>
      <c r="Q133" s="258" t="s">
        <v>604</v>
      </c>
      <c r="R133" s="272" t="e">
        <f>INDEX(Tabla6[#All],MATCH(Tabla110[[#This Row],[Producto]],Tabla6[[#All],[PRODUCTO]],0),MATCH(Tabla110[[#This Row],[Mes]],Tabla6[#Headers],0))</f>
        <v>#N/A</v>
      </c>
      <c r="S133" s="260" t="e">
        <f>++Tabla110[[#This Row],[Precio Unitario Neto]]-Tabla110[[#This Row],[Apoyo]]-Tabla110[[#This Row],[Costo unitario]]</f>
        <v>#N/A</v>
      </c>
      <c r="T133" s="273" t="e">
        <f>+Tabla110[[#This Row],[Utilidad Bruta]]*Tabla110[[#This Row],[Cantidad]]</f>
        <v>#N/A</v>
      </c>
      <c r="U133" s="404" t="e">
        <f>++Tabla110[[#This Row],[Utilidad Bruta Total]]*$V$1</f>
        <v>#N/A</v>
      </c>
      <c r="V133" s="278" t="e">
        <f>++Tabla110[[#This Row],[Utilidad Bruta Total]]*$V$1</f>
        <v>#N/A</v>
      </c>
      <c r="W133" s="278">
        <f>VLOOKUP(Tabla110[[#This Row],[Producto]],'NUEVAS LISTAS'!$B$3:$P$403,'Ventas '!W$6,FALSE)</f>
        <v>14309</v>
      </c>
      <c r="X133" s="278">
        <f>VLOOKUP(Tabla110[[#This Row],[Producto]],'NUEVAS LISTAS'!$B$3:$P$403,'Ventas '!X$6,FALSE)</f>
        <v>15059</v>
      </c>
      <c r="Y133" s="278">
        <f>VLOOKUP(Tabla110[[#This Row],[Producto]],'NUEVAS LISTAS'!$B$3:$P$403,'Ventas '!Y$6,FALSE)</f>
        <v>15849</v>
      </c>
      <c r="Z133" s="278">
        <f>VLOOKUP(Tabla110[[#This Row],[Producto]],'NUEVAS LISTAS'!$B$3:$P$403,'Ventas '!Z$6,FALSE)</f>
        <v>16679</v>
      </c>
      <c r="AA133" s="543">
        <f>IF(AB133&lt;$AC$2,0,IF(Tabla110[[#This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3" s="539">
        <f>SUMIFS(Tabla110[[#All],[Venta Total]],Tabla110[[#All],[Asesor]],Tabla110[[#This Row],[Asesor]],Tabla110[[#All],[Fecha Cobranza]],"&lt;="&amp;Tabla110[[#This Row],[Fecha Cobranza]],Tabla110[[#All],[Fecha Cobranza]],"&gt;="&amp;Tabla110[[#This Row],[Fecha Cobranza]]-28)</f>
        <v>1481687.3719999997</v>
      </c>
      <c r="AC133" s="542">
        <f t="shared" si="20"/>
        <v>0</v>
      </c>
      <c r="AD133" s="544">
        <f t="shared" si="21"/>
        <v>0.02</v>
      </c>
      <c r="AE133" s="545">
        <f>+AD133*Tabla110[[#This Row],[Venta Total]]</f>
        <v>413.27992799999998</v>
      </c>
    </row>
    <row r="134" spans="1:31" x14ac:dyDescent="0.2">
      <c r="A134" s="264">
        <v>46006</v>
      </c>
      <c r="B134" s="274" t="str">
        <f t="shared" si="32"/>
        <v>December</v>
      </c>
      <c r="C134" s="265" t="s">
        <v>455</v>
      </c>
      <c r="D134" s="266" t="str">
        <f>VLOOKUP(Tabla110[[#This Row],[Asesor]],Tabla2[[Asesores]:[TIPO]],2,0)</f>
        <v>INTERNO</v>
      </c>
      <c r="E134" s="268" t="s">
        <v>3374</v>
      </c>
      <c r="F134" s="267" t="s">
        <v>3827</v>
      </c>
      <c r="G134" s="50" t="s">
        <v>530</v>
      </c>
      <c r="H134" s="269">
        <v>1</v>
      </c>
      <c r="I134" s="275">
        <v>10718.1</v>
      </c>
      <c r="J134" s="260">
        <f>+Tabla110[[#This Row],[Precio Bruto]]*1.16</f>
        <v>12432.995999999999</v>
      </c>
      <c r="L134" s="270">
        <f>++(Tabla110[[#This Row],[Precio Unitario Neto]]*Tabla110[[#This Row],[Cantidad]])-(Tabla110[[#This Row],[Cantidad]]*Tabla110[[#This Row],[Apoyo]])</f>
        <v>12432.995999999999</v>
      </c>
      <c r="M134" s="270" t="e">
        <f>((INDEX(Tabla6[#All],MATCH(Tabla110[[#This Row],[Producto]],Tabla6[[#All],[PRODUCTO]],0),MATCH(Tabla110[[#This Row],[Mes]],Tabla6[#Headers],0)))*(1+(IF(Tabla110[[#This Row],[FLETE]]="no",Catalogos!$M$2,Catalogos!$L$2))))</f>
        <v>#N/A</v>
      </c>
      <c r="N134" s="270" t="e">
        <f>+IF((Tabla110[[#This Row],[Precio Unitario Neto]]-Tabla110[[#This Row],[Apoyo]]-Tabla110[[#This Row],[COSTO + INDI]])&lt;=0,0,(Tabla110[[#This Row],[Precio Unitario Neto]]-Tabla110[[#This Row],[Apoyo]]-Tabla110[[#This Row],[COSTO + INDI]]))</f>
        <v>#N/A</v>
      </c>
      <c r="O134" s="258" t="e">
        <f>++Tabla110[[#This Row],[Utilidad Neta x Eq.]]*Tabla110[[#This Row],[Cantidad]]</f>
        <v>#N/A</v>
      </c>
      <c r="P134" s="271" t="e">
        <f>++Tabla110[[#This Row],[Utilidad Neta Total]]/Tabla110[[#This Row],[Venta Total]]</f>
        <v>#N/A</v>
      </c>
      <c r="Q134" s="258" t="s">
        <v>604</v>
      </c>
      <c r="R134" s="272" t="e">
        <f>INDEX(Tabla6[#All],MATCH(Tabla110[[#This Row],[Producto]],Tabla6[[#All],[PRODUCTO]],0),MATCH(Tabla110[[#This Row],[Mes]],Tabla6[#Headers],0))</f>
        <v>#N/A</v>
      </c>
      <c r="S134" s="260" t="e">
        <f>++Tabla110[[#This Row],[Precio Unitario Neto]]-Tabla110[[#This Row],[Apoyo]]-Tabla110[[#This Row],[Costo unitario]]</f>
        <v>#N/A</v>
      </c>
      <c r="T134" s="273" t="e">
        <f>+Tabla110[[#This Row],[Utilidad Bruta]]*Tabla110[[#This Row],[Cantidad]]</f>
        <v>#N/A</v>
      </c>
      <c r="U134" s="404" t="e">
        <f>++Tabla110[[#This Row],[Utilidad Bruta Total]]*$V$1</f>
        <v>#N/A</v>
      </c>
      <c r="V134" s="278" t="e">
        <f>++Tabla110[[#This Row],[Utilidad Bruta Total]]*$V$1</f>
        <v>#N/A</v>
      </c>
      <c r="W134" s="278">
        <f>VLOOKUP(Tabla110[[#This Row],[Producto]],'NUEVAS LISTAS'!$B$3:$P$403,'Ventas '!W$6,FALSE)</f>
        <v>17479</v>
      </c>
      <c r="X134" s="278">
        <f>VLOOKUP(Tabla110[[#This Row],[Producto]],'NUEVAS LISTAS'!$B$3:$P$403,'Ventas '!X$6,FALSE)</f>
        <v>18399</v>
      </c>
      <c r="Y134" s="278">
        <f>VLOOKUP(Tabla110[[#This Row],[Producto]],'NUEVAS LISTAS'!$B$3:$P$403,'Ventas '!Y$6,FALSE)</f>
        <v>19369</v>
      </c>
      <c r="Z134" s="278">
        <f>VLOOKUP(Tabla110[[#This Row],[Producto]],'NUEVAS LISTAS'!$B$3:$P$403,'Ventas '!Z$6,FALSE)</f>
        <v>20389</v>
      </c>
      <c r="AA134" s="543">
        <f>IF(AB134&lt;$AC$2,0,IF(Tabla110[[#This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4" s="539">
        <f>SUMIFS(Tabla110[[#All],[Venta Total]],Tabla110[[#All],[Asesor]],Tabla110[[#This Row],[Asesor]],Tabla110[[#All],[Fecha Cobranza]],"&lt;="&amp;Tabla110[[#This Row],[Fecha Cobranza]],Tabla110[[#All],[Fecha Cobranza]],"&gt;="&amp;Tabla110[[#This Row],[Fecha Cobranza]]-28)</f>
        <v>1481687.3719999997</v>
      </c>
      <c r="AC134" s="542">
        <f t="shared" si="20"/>
        <v>0</v>
      </c>
      <c r="AD134" s="544">
        <f t="shared" si="21"/>
        <v>0.02</v>
      </c>
      <c r="AE134" s="545">
        <f>+AD134*Tabla110[[#This Row],[Venta Total]]</f>
        <v>248.65992</v>
      </c>
    </row>
    <row r="135" spans="1:31" x14ac:dyDescent="0.2">
      <c r="A135" s="264">
        <v>46006</v>
      </c>
      <c r="B135" s="274" t="str">
        <f t="shared" ref="B135:B136" si="33">TEXT(A135,"mmmm")</f>
        <v>December</v>
      </c>
      <c r="C135" s="265" t="s">
        <v>455</v>
      </c>
      <c r="D135" s="266" t="str">
        <f>VLOOKUP(Tabla110[[#This Row],[Asesor]],Tabla2[[Asesores]:[TIPO]],2,0)</f>
        <v>INTERNO</v>
      </c>
      <c r="E135" s="268" t="s">
        <v>3375</v>
      </c>
      <c r="F135" s="267" t="s">
        <v>3828</v>
      </c>
      <c r="G135" s="50" t="s">
        <v>255</v>
      </c>
      <c r="H135" s="269">
        <v>10</v>
      </c>
      <c r="I135" s="275">
        <v>887.06900000000007</v>
      </c>
      <c r="J135" s="260">
        <f>+Tabla110[[#This Row],[Precio Bruto]]*1.16</f>
        <v>1029.0000400000001</v>
      </c>
      <c r="L135" s="270">
        <f>++(Tabla110[[#This Row],[Precio Unitario Neto]]*Tabla110[[#This Row],[Cantidad]])-(Tabla110[[#This Row],[Cantidad]]*Tabla110[[#This Row],[Apoyo]])</f>
        <v>10290.000400000001</v>
      </c>
      <c r="M135" s="270" t="e">
        <f>((INDEX(Tabla6[#All],MATCH(Tabla110[[#This Row],[Producto]],Tabla6[[#All],[PRODUCTO]],0),MATCH(Tabla110[[#This Row],[Mes]],Tabla6[#Headers],0)))*(1+(IF(Tabla110[[#This Row],[FLETE]]="no",Catalogos!$M$2,Catalogos!$L$2))))</f>
        <v>#N/A</v>
      </c>
      <c r="N135" s="270" t="e">
        <f>+IF((Tabla110[[#This Row],[Precio Unitario Neto]]-Tabla110[[#This Row],[Apoyo]]-Tabla110[[#This Row],[COSTO + INDI]])&lt;=0,0,(Tabla110[[#This Row],[Precio Unitario Neto]]-Tabla110[[#This Row],[Apoyo]]-Tabla110[[#This Row],[COSTO + INDI]]))</f>
        <v>#N/A</v>
      </c>
      <c r="O135" s="258" t="e">
        <f>++Tabla110[[#This Row],[Utilidad Neta x Eq.]]*Tabla110[[#This Row],[Cantidad]]</f>
        <v>#N/A</v>
      </c>
      <c r="P135" s="271" t="e">
        <f>++Tabla110[[#This Row],[Utilidad Neta Total]]/Tabla110[[#This Row],[Venta Total]]</f>
        <v>#N/A</v>
      </c>
      <c r="Q135" s="258" t="s">
        <v>604</v>
      </c>
      <c r="R135" s="272" t="e">
        <f>INDEX(Tabla6[#All],MATCH(Tabla110[[#This Row],[Producto]],Tabla6[[#All],[PRODUCTO]],0),MATCH(Tabla110[[#This Row],[Mes]],Tabla6[#Headers],0))</f>
        <v>#N/A</v>
      </c>
      <c r="S135" s="260" t="e">
        <f>++Tabla110[[#This Row],[Precio Unitario Neto]]-Tabla110[[#This Row],[Apoyo]]-Tabla110[[#This Row],[Costo unitario]]</f>
        <v>#N/A</v>
      </c>
      <c r="T135" s="273" t="e">
        <f>+Tabla110[[#This Row],[Utilidad Bruta]]*Tabla110[[#This Row],[Cantidad]]</f>
        <v>#N/A</v>
      </c>
      <c r="U135" s="404" t="e">
        <f>++Tabla110[[#This Row],[Utilidad Bruta Total]]*$V$1</f>
        <v>#N/A</v>
      </c>
      <c r="V135" s="278" t="e">
        <f>++Tabla110[[#This Row],[Utilidad Bruta Total]]*$V$1</f>
        <v>#N/A</v>
      </c>
      <c r="W135" s="278">
        <f>VLOOKUP(Tabla110[[#This Row],[Producto]],'NUEVAS LISTAS'!$B$3:$P$403,'Ventas '!W$6,FALSE)</f>
        <v>1169</v>
      </c>
      <c r="X135" s="278">
        <f>VLOOKUP(Tabla110[[#This Row],[Producto]],'NUEVAS LISTAS'!$B$3:$P$403,'Ventas '!X$6,FALSE)</f>
        <v>1299</v>
      </c>
      <c r="Y135" s="278">
        <f>VLOOKUP(Tabla110[[#This Row],[Producto]],'NUEVAS LISTAS'!$B$3:$P$403,'Ventas '!Y$6,FALSE)</f>
        <v>1369</v>
      </c>
      <c r="Z135" s="278">
        <f>VLOOKUP(Tabla110[[#This Row],[Producto]],'NUEVAS LISTAS'!$B$3:$P$403,'Ventas '!Z$6,FALSE)</f>
        <v>1489</v>
      </c>
      <c r="AA135" s="543">
        <f>IF(AB135&lt;$AC$2,0,IF(Tabla110[[#This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5" s="539">
        <f>SUMIFS(Tabla110[[#All],[Venta Total]],Tabla110[[#All],[Asesor]],Tabla110[[#This Row],[Asesor]],Tabla110[[#All],[Fecha Cobranza]],"&lt;="&amp;Tabla110[[#This Row],[Fecha Cobranza]],Tabla110[[#All],[Fecha Cobranza]],"&gt;="&amp;Tabla110[[#This Row],[Fecha Cobranza]]-28)</f>
        <v>1481687.3719999997</v>
      </c>
      <c r="AC135" s="542">
        <f t="shared" si="20"/>
        <v>0</v>
      </c>
      <c r="AD135" s="544">
        <f t="shared" si="21"/>
        <v>0.02</v>
      </c>
      <c r="AE135" s="545">
        <f>+AD135*Tabla110[[#This Row],[Venta Total]]</f>
        <v>205.80000800000002</v>
      </c>
    </row>
    <row r="136" spans="1:31" x14ac:dyDescent="0.2">
      <c r="A136" s="264">
        <v>46006</v>
      </c>
      <c r="B136" s="274" t="str">
        <f t="shared" si="33"/>
        <v>December</v>
      </c>
      <c r="C136" s="265" t="s">
        <v>455</v>
      </c>
      <c r="D136" s="266" t="str">
        <f>VLOOKUP(Tabla110[[#This Row],[Asesor]],Tabla2[[Asesores]:[TIPO]],2,0)</f>
        <v>INTERNO</v>
      </c>
      <c r="E136" s="268" t="s">
        <v>3375</v>
      </c>
      <c r="F136" s="267" t="s">
        <v>3828</v>
      </c>
      <c r="G136" s="50" t="s">
        <v>227</v>
      </c>
      <c r="H136" s="269">
        <v>10</v>
      </c>
      <c r="I136" s="275">
        <v>6628.4479999999994</v>
      </c>
      <c r="J136" s="260">
        <f>+Tabla110[[#This Row],[Precio Bruto]]*1.16</f>
        <v>7688.999679999999</v>
      </c>
      <c r="L136" s="270">
        <f>++(Tabla110[[#This Row],[Precio Unitario Neto]]*Tabla110[[#This Row],[Cantidad]])-(Tabla110[[#This Row],[Cantidad]]*Tabla110[[#This Row],[Apoyo]])</f>
        <v>76889.996799999994</v>
      </c>
      <c r="M136" s="270" t="e">
        <f>((INDEX(Tabla6[#All],MATCH(Tabla110[[#This Row],[Producto]],Tabla6[[#All],[PRODUCTO]],0),MATCH(Tabla110[[#This Row],[Mes]],Tabla6[#Headers],0)))*(1+(IF(Tabla110[[#This Row],[FLETE]]="no",Catalogos!$M$2,Catalogos!$L$2))))</f>
        <v>#N/A</v>
      </c>
      <c r="N136" s="270" t="e">
        <f>+IF((Tabla110[[#This Row],[Precio Unitario Neto]]-Tabla110[[#This Row],[Apoyo]]-Tabla110[[#This Row],[COSTO + INDI]])&lt;=0,0,(Tabla110[[#This Row],[Precio Unitario Neto]]-Tabla110[[#This Row],[Apoyo]]-Tabla110[[#This Row],[COSTO + INDI]]))</f>
        <v>#N/A</v>
      </c>
      <c r="O136" s="258" t="e">
        <f>++Tabla110[[#This Row],[Utilidad Neta x Eq.]]*Tabla110[[#This Row],[Cantidad]]</f>
        <v>#N/A</v>
      </c>
      <c r="P136" s="271" t="e">
        <f>++Tabla110[[#This Row],[Utilidad Neta Total]]/Tabla110[[#This Row],[Venta Total]]</f>
        <v>#N/A</v>
      </c>
      <c r="Q136" s="258" t="s">
        <v>604</v>
      </c>
      <c r="R136" s="272" t="e">
        <f>INDEX(Tabla6[#All],MATCH(Tabla110[[#This Row],[Producto]],Tabla6[[#All],[PRODUCTO]],0),MATCH(Tabla110[[#This Row],[Mes]],Tabla6[#Headers],0))</f>
        <v>#N/A</v>
      </c>
      <c r="S136" s="260" t="e">
        <f>++Tabla110[[#This Row],[Precio Unitario Neto]]-Tabla110[[#This Row],[Apoyo]]-Tabla110[[#This Row],[Costo unitario]]</f>
        <v>#N/A</v>
      </c>
      <c r="T136" s="273" t="e">
        <f>+Tabla110[[#This Row],[Utilidad Bruta]]*Tabla110[[#This Row],[Cantidad]]</f>
        <v>#N/A</v>
      </c>
      <c r="U136" s="404" t="e">
        <f>++Tabla110[[#This Row],[Utilidad Bruta Total]]*$V$1</f>
        <v>#N/A</v>
      </c>
      <c r="V136" s="278" t="e">
        <f>++Tabla110[[#This Row],[Utilidad Bruta Total]]*$V$1</f>
        <v>#N/A</v>
      </c>
      <c r="W136" s="278">
        <f>VLOOKUP(Tabla110[[#This Row],[Producto]],'NUEVAS LISTAS'!$B$3:$P$403,'Ventas '!W$6,FALSE)</f>
        <v>6949</v>
      </c>
      <c r="X136" s="278">
        <f>VLOOKUP(Tabla110[[#This Row],[Producto]],'NUEVAS LISTAS'!$B$3:$P$403,'Ventas '!X$6,FALSE)</f>
        <v>7309</v>
      </c>
      <c r="Y136" s="278">
        <f>VLOOKUP(Tabla110[[#This Row],[Producto]],'NUEVAS LISTAS'!$B$3:$P$403,'Ventas '!Y$6,FALSE)</f>
        <v>7689</v>
      </c>
      <c r="Z136" s="278">
        <f>VLOOKUP(Tabla110[[#This Row],[Producto]],'NUEVAS LISTAS'!$B$3:$P$403,'Ventas '!Z$6,FALSE)</f>
        <v>8089</v>
      </c>
      <c r="AA136" s="543">
        <f>IF(AB136&lt;$AC$2,0,IF(Tabla110[[#This Row],[Precio Unitario Neto]]&gt;=Tabla110[[#This Row],[PRECIO 1]],$Z$1,IF(Tabla110[[#This Row],[Precio Unitario Neto]]&gt;=Tabla110[[#This Row],[PRECIO 2]],$Y$1,IF(Tabla110[[#This Row],[Precio Unitario Neto]]&gt;=Tabla110[[#This Row],[PRECIO 3]],$X$1,IF(Tabla110[[#This Row],[Precio Unitario Neto]]&gt;=Tabla110[[#This Row],[PRECIO 4]],$W$1,$AC$1)))))</f>
        <v>2.2499999999999999E-2</v>
      </c>
      <c r="AB136" s="539">
        <f>SUMIFS(Tabla110[[#All],[Venta Total]],Tabla110[[#All],[Asesor]],Tabla110[[#This Row],[Asesor]],Tabla110[[#All],[Fecha Cobranza]],"&lt;="&amp;Tabla110[[#This Row],[Fecha Cobranza]],Tabla110[[#All],[Fecha Cobranza]],"&gt;="&amp;Tabla110[[#This Row],[Fecha Cobranza]]-28)</f>
        <v>1481687.3719999997</v>
      </c>
      <c r="AC136" s="542">
        <f t="shared" si="20"/>
        <v>0</v>
      </c>
      <c r="AD136" s="544">
        <f t="shared" si="21"/>
        <v>2.2499999999999999E-2</v>
      </c>
      <c r="AE136" s="545">
        <f>+AD136*Tabla110[[#This Row],[Venta Total]]</f>
        <v>1730.0249279999998</v>
      </c>
    </row>
    <row r="137" spans="1:31" x14ac:dyDescent="0.2">
      <c r="A137" s="264">
        <v>46006</v>
      </c>
      <c r="B137" s="274" t="str">
        <f t="shared" ref="B137:B138" si="34">TEXT(A137,"mmmm")</f>
        <v>December</v>
      </c>
      <c r="C137" s="265" t="s">
        <v>455</v>
      </c>
      <c r="D137" s="266" t="str">
        <f>VLOOKUP(Tabla110[[#This Row],[Asesor]],Tabla2[[Asesores]:[TIPO]],2,0)</f>
        <v>INTERNO</v>
      </c>
      <c r="E137" s="268" t="s">
        <v>3374</v>
      </c>
      <c r="F137" s="267" t="s">
        <v>3829</v>
      </c>
      <c r="G137" s="50" t="s">
        <v>380</v>
      </c>
      <c r="H137" s="269">
        <v>2000</v>
      </c>
      <c r="I137" s="275">
        <v>10.344799999999999</v>
      </c>
      <c r="J137" s="260">
        <f>+Tabla110[[#This Row],[Precio Bruto]]*1.16</f>
        <v>11.999967999999999</v>
      </c>
      <c r="L137" s="270">
        <f>++(Tabla110[[#This Row],[Precio Unitario Neto]]*Tabla110[[#This Row],[Cantidad]])-(Tabla110[[#This Row],[Cantidad]]*Tabla110[[#This Row],[Apoyo]])</f>
        <v>23999.935999999998</v>
      </c>
      <c r="M137" s="270" t="e">
        <f>((INDEX(Tabla6[#All],MATCH(Tabla110[[#This Row],[Producto]],Tabla6[[#All],[PRODUCTO]],0),MATCH(Tabla110[[#This Row],[Mes]],Tabla6[#Headers],0)))*(1+(IF(Tabla110[[#This Row],[FLETE]]="no",Catalogos!$M$2,Catalogos!$L$2))))</f>
        <v>#N/A</v>
      </c>
      <c r="N137" s="270" t="e">
        <f>+IF((Tabla110[[#This Row],[Precio Unitario Neto]]-Tabla110[[#This Row],[Apoyo]]-Tabla110[[#This Row],[COSTO + INDI]])&lt;=0,0,(Tabla110[[#This Row],[Precio Unitario Neto]]-Tabla110[[#This Row],[Apoyo]]-Tabla110[[#This Row],[COSTO + INDI]]))</f>
        <v>#N/A</v>
      </c>
      <c r="O137" s="258" t="e">
        <f>++Tabla110[[#This Row],[Utilidad Neta x Eq.]]*Tabla110[[#This Row],[Cantidad]]</f>
        <v>#N/A</v>
      </c>
      <c r="P137" s="271" t="e">
        <f>++Tabla110[[#This Row],[Utilidad Neta Total]]/Tabla110[[#This Row],[Venta Total]]</f>
        <v>#N/A</v>
      </c>
      <c r="Q137" s="258" t="s">
        <v>604</v>
      </c>
      <c r="R137" s="272" t="e">
        <f>INDEX(Tabla6[#All],MATCH(Tabla110[[#This Row],[Producto]],Tabla6[[#All],[PRODUCTO]],0),MATCH(Tabla110[[#This Row],[Mes]],Tabla6[#Headers],0))</f>
        <v>#N/A</v>
      </c>
      <c r="S137" s="260" t="e">
        <f>++Tabla110[[#This Row],[Precio Unitario Neto]]-Tabla110[[#This Row],[Apoyo]]-Tabla110[[#This Row],[Costo unitario]]</f>
        <v>#N/A</v>
      </c>
      <c r="T137" s="273" t="e">
        <f>+Tabla110[[#This Row],[Utilidad Bruta]]*Tabla110[[#This Row],[Cantidad]]</f>
        <v>#N/A</v>
      </c>
      <c r="U137" s="404" t="e">
        <f>++Tabla110[[#This Row],[Utilidad Bruta Total]]*$V$1</f>
        <v>#N/A</v>
      </c>
      <c r="V137" s="278" t="e">
        <f>++Tabla110[[#This Row],[Utilidad Bruta Total]]*$V$1</f>
        <v>#N/A</v>
      </c>
      <c r="W137" s="278">
        <f>VLOOKUP(Tabla110[[#This Row],[Producto]],'NUEVAS LISTAS'!$B$3:$P$403,'Ventas '!W$6,FALSE)</f>
        <v>2</v>
      </c>
      <c r="X137" s="278">
        <f>VLOOKUP(Tabla110[[#This Row],[Producto]],'NUEVAS LISTAS'!$B$3:$P$403,'Ventas '!X$6,FALSE)</f>
        <v>2.2222222222222223</v>
      </c>
      <c r="Y137" s="278">
        <f>VLOOKUP(Tabla110[[#This Row],[Producto]],'NUEVAS LISTAS'!$B$3:$P$403,'Ventas '!Y$6,FALSE)</f>
        <v>2.7100271002710028</v>
      </c>
      <c r="Z137" s="278">
        <f>VLOOKUP(Tabla110[[#This Row],[Producto]],'NUEVAS LISTAS'!$B$3:$P$403,'Ventas '!Z$6,FALSE)</f>
        <v>3.3875338753387534</v>
      </c>
      <c r="AA137" s="543">
        <f>IF(AB137&lt;$AC$2,0,IF(Tabla110[[#This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37" s="539">
        <f>SUMIFS(Tabla110[[#All],[Venta Total]],Tabla110[[#All],[Asesor]],Tabla110[[#This Row],[Asesor]],Tabla110[[#All],[Fecha Cobranza]],"&lt;="&amp;Tabla110[[#This Row],[Fecha Cobranza]],Tabla110[[#All],[Fecha Cobranza]],"&gt;="&amp;Tabla110[[#This Row],[Fecha Cobranza]]-28)</f>
        <v>1481687.3719999997</v>
      </c>
      <c r="AC137" s="542">
        <f t="shared" si="20"/>
        <v>0</v>
      </c>
      <c r="AD137" s="544">
        <f t="shared" si="21"/>
        <v>2.75E-2</v>
      </c>
      <c r="AE137" s="545">
        <f>+AD137*Tabla110[[#This Row],[Venta Total]]</f>
        <v>659.9982399999999</v>
      </c>
    </row>
    <row r="138" spans="1:31" x14ac:dyDescent="0.2">
      <c r="A138" s="264">
        <v>46006</v>
      </c>
      <c r="B138" s="274" t="str">
        <f t="shared" si="34"/>
        <v>December</v>
      </c>
      <c r="C138" s="265" t="s">
        <v>455</v>
      </c>
      <c r="D138" s="266" t="str">
        <f>VLOOKUP(Tabla110[[#This Row],[Asesor]],Tabla2[[Asesores]:[TIPO]],2,0)</f>
        <v>INTERNO</v>
      </c>
      <c r="E138" s="268" t="s">
        <v>3374</v>
      </c>
      <c r="F138" s="267" t="s">
        <v>3829</v>
      </c>
      <c r="G138" s="50" t="s">
        <v>555</v>
      </c>
      <c r="H138" s="269">
        <v>100</v>
      </c>
      <c r="I138" s="275">
        <v>223.2758</v>
      </c>
      <c r="J138" s="260">
        <f>+Tabla110[[#This Row],[Precio Bruto]]*1.16</f>
        <v>258.99992800000001</v>
      </c>
      <c r="L138" s="270">
        <f>++(Tabla110[[#This Row],[Precio Unitario Neto]]*Tabla110[[#This Row],[Cantidad]])-(Tabla110[[#This Row],[Cantidad]]*Tabla110[[#This Row],[Apoyo]])</f>
        <v>25899.9928</v>
      </c>
      <c r="M138" s="270" t="e">
        <f>((INDEX(Tabla6[#All],MATCH(Tabla110[[#This Row],[Producto]],Tabla6[[#All],[PRODUCTO]],0),MATCH(Tabla110[[#This Row],[Mes]],Tabla6[#Headers],0)))*(1+(IF(Tabla110[[#This Row],[FLETE]]="no",Catalogos!$M$2,Catalogos!$L$2))))</f>
        <v>#N/A</v>
      </c>
      <c r="N138" s="270" t="e">
        <f>+IF((Tabla110[[#This Row],[Precio Unitario Neto]]-Tabla110[[#This Row],[Apoyo]]-Tabla110[[#This Row],[COSTO + INDI]])&lt;=0,0,(Tabla110[[#This Row],[Precio Unitario Neto]]-Tabla110[[#This Row],[Apoyo]]-Tabla110[[#This Row],[COSTO + INDI]]))</f>
        <v>#N/A</v>
      </c>
      <c r="O138" s="258" t="e">
        <f>++Tabla110[[#This Row],[Utilidad Neta x Eq.]]*Tabla110[[#This Row],[Cantidad]]</f>
        <v>#N/A</v>
      </c>
      <c r="P138" s="271" t="e">
        <f>++Tabla110[[#This Row],[Utilidad Neta Total]]/Tabla110[[#This Row],[Venta Total]]</f>
        <v>#N/A</v>
      </c>
      <c r="Q138" s="258" t="s">
        <v>604</v>
      </c>
      <c r="R138" s="272" t="e">
        <f>INDEX(Tabla6[#All],MATCH(Tabla110[[#This Row],[Producto]],Tabla6[[#All],[PRODUCTO]],0),MATCH(Tabla110[[#This Row],[Mes]],Tabla6[#Headers],0))</f>
        <v>#N/A</v>
      </c>
      <c r="S138" s="260" t="e">
        <f>++Tabla110[[#This Row],[Precio Unitario Neto]]-Tabla110[[#This Row],[Apoyo]]-Tabla110[[#This Row],[Costo unitario]]</f>
        <v>#N/A</v>
      </c>
      <c r="T138" s="273" t="e">
        <f>+Tabla110[[#This Row],[Utilidad Bruta]]*Tabla110[[#This Row],[Cantidad]]</f>
        <v>#N/A</v>
      </c>
      <c r="U138" s="404" t="e">
        <f>++Tabla110[[#This Row],[Utilidad Bruta Total]]*$V$1</f>
        <v>#N/A</v>
      </c>
      <c r="V138" s="278" t="e">
        <f>++Tabla110[[#This Row],[Utilidad Bruta Total]]*$V$1</f>
        <v>#N/A</v>
      </c>
      <c r="W138" s="278">
        <f>VLOOKUP(Tabla110[[#This Row],[Producto]],'NUEVAS LISTAS'!$B$3:$P$403,'Ventas '!W$6,FALSE)</f>
        <v>289</v>
      </c>
      <c r="X138" s="278">
        <f>VLOOKUP(Tabla110[[#This Row],[Producto]],'NUEVAS LISTAS'!$B$3:$P$403,'Ventas '!X$6,FALSE)</f>
        <v>319</v>
      </c>
      <c r="Y138" s="278">
        <f>VLOOKUP(Tabla110[[#This Row],[Producto]],'NUEVAS LISTAS'!$B$3:$P$403,'Ventas '!Y$6,FALSE)</f>
        <v>389</v>
      </c>
      <c r="Z138" s="278">
        <f>VLOOKUP(Tabla110[[#This Row],[Producto]],'NUEVAS LISTAS'!$B$3:$P$403,'Ventas '!Z$6,FALSE)</f>
        <v>489</v>
      </c>
      <c r="AA138" s="543">
        <f>IF(AB138&lt;$AC$2,0,IF(Tabla110[[#This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8" s="539">
        <f>SUMIFS(Tabla110[[#All],[Venta Total]],Tabla110[[#All],[Asesor]],Tabla110[[#This Row],[Asesor]],Tabla110[[#All],[Fecha Cobranza]],"&lt;="&amp;Tabla110[[#This Row],[Fecha Cobranza]],Tabla110[[#All],[Fecha Cobranza]],"&gt;="&amp;Tabla110[[#This Row],[Fecha Cobranza]]-28)</f>
        <v>1481687.3719999997</v>
      </c>
      <c r="AC138" s="542">
        <f t="shared" si="20"/>
        <v>0</v>
      </c>
      <c r="AD138" s="544">
        <f t="shared" si="21"/>
        <v>0.02</v>
      </c>
      <c r="AE138" s="545">
        <f>+AD138*Tabla110[[#This Row],[Venta Total]]</f>
        <v>517.99985600000002</v>
      </c>
    </row>
    <row r="139" spans="1:31" x14ac:dyDescent="0.2">
      <c r="A139" s="264">
        <v>46006</v>
      </c>
      <c r="B139" s="274" t="str">
        <f>TEXT(A139,"mmmm")</f>
        <v>December</v>
      </c>
      <c r="C139" s="265" t="s">
        <v>278</v>
      </c>
      <c r="D139" s="266" t="str">
        <f>VLOOKUP(Tabla110[[#This Row],[Asesor]],Tabla2[[Asesores]:[TIPO]],2,0)</f>
        <v>INTERNO</v>
      </c>
      <c r="E139" s="268" t="s">
        <v>1146</v>
      </c>
      <c r="F139" s="267" t="s">
        <v>3830</v>
      </c>
      <c r="G139" s="50" t="s">
        <v>228</v>
      </c>
      <c r="H139" s="269">
        <v>1</v>
      </c>
      <c r="I139" s="275">
        <v>6525</v>
      </c>
      <c r="J139" s="260">
        <f>+Tabla110[[#This Row],[Precio Bruto]]*1.16</f>
        <v>7568.9999999999991</v>
      </c>
      <c r="L139" s="270">
        <f>++(Tabla110[[#This Row],[Precio Unitario Neto]]*Tabla110[[#This Row],[Cantidad]])-(Tabla110[[#This Row],[Cantidad]]*Tabla110[[#This Row],[Apoyo]])</f>
        <v>7568.9999999999991</v>
      </c>
      <c r="M139" s="270" t="e">
        <f>((INDEX(Tabla6[#All],MATCH(Tabla110[[#This Row],[Producto]],Tabla6[[#All],[PRODUCTO]],0),MATCH(Tabla110[[#This Row],[Mes]],Tabla6[#Headers],0)))*(1+(IF(Tabla110[[#This Row],[FLETE]]="no",Catalogos!$M$2,Catalogos!$L$2))))</f>
        <v>#N/A</v>
      </c>
      <c r="N139" s="270" t="e">
        <f>+IF((Tabla110[[#This Row],[Precio Unitario Neto]]-Tabla110[[#This Row],[Apoyo]]-Tabla110[[#This Row],[COSTO + INDI]])&lt;=0,0,(Tabla110[[#This Row],[Precio Unitario Neto]]-Tabla110[[#This Row],[Apoyo]]-Tabla110[[#This Row],[COSTO + INDI]]))</f>
        <v>#N/A</v>
      </c>
      <c r="O139" s="258" t="e">
        <f>++Tabla110[[#This Row],[Utilidad Neta x Eq.]]*Tabla110[[#This Row],[Cantidad]]</f>
        <v>#N/A</v>
      </c>
      <c r="P139" s="271" t="e">
        <f>++Tabla110[[#This Row],[Utilidad Neta Total]]/Tabla110[[#This Row],[Venta Total]]</f>
        <v>#N/A</v>
      </c>
      <c r="Q139" s="258" t="s">
        <v>604</v>
      </c>
      <c r="R139" s="272" t="e">
        <f>INDEX(Tabla6[#All],MATCH(Tabla110[[#This Row],[Producto]],Tabla6[[#All],[PRODUCTO]],0),MATCH(Tabla110[[#This Row],[Mes]],Tabla6[#Headers],0))</f>
        <v>#N/A</v>
      </c>
      <c r="S139" s="260" t="e">
        <f>++Tabla110[[#This Row],[Precio Unitario Neto]]-Tabla110[[#This Row],[Apoyo]]-Tabla110[[#This Row],[Costo unitario]]</f>
        <v>#N/A</v>
      </c>
      <c r="T139" s="273" t="e">
        <f>+Tabla110[[#This Row],[Utilidad Bruta]]*Tabla110[[#This Row],[Cantidad]]</f>
        <v>#N/A</v>
      </c>
      <c r="U139" s="404" t="e">
        <f>++Tabla110[[#This Row],[Utilidad Bruta Total]]*$V$1</f>
        <v>#N/A</v>
      </c>
      <c r="V139" s="278" t="e">
        <f>++Tabla110[[#This Row],[Utilidad Bruta Total]]*$V$1</f>
        <v>#N/A</v>
      </c>
      <c r="W139" s="278">
        <f>VLOOKUP(Tabla110[[#This Row],[Producto]],'NUEVAS LISTAS'!$B$3:$P$403,'Ventas '!W$6,FALSE)</f>
        <v>7569</v>
      </c>
      <c r="X139" s="278">
        <f>VLOOKUP(Tabla110[[#This Row],[Producto]],'NUEVAS LISTAS'!$B$3:$P$403,'Ventas '!X$6,FALSE)</f>
        <v>7969</v>
      </c>
      <c r="Y139" s="278">
        <f>VLOOKUP(Tabla110[[#This Row],[Producto]],'NUEVAS LISTAS'!$B$3:$P$403,'Ventas '!Y$6,FALSE)</f>
        <v>8389</v>
      </c>
      <c r="Z139" s="278">
        <f>VLOOKUP(Tabla110[[#This Row],[Producto]],'NUEVAS LISTAS'!$B$3:$P$403,'Ventas '!Z$6,FALSE)</f>
        <v>8829</v>
      </c>
      <c r="AA139" s="543">
        <f>IF(AB139&lt;$AC$2,0,IF(Tabla110[[#This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39" s="539">
        <f>SUMIFS(Tabla110[[#All],[Venta Total]],Tabla110[[#All],[Asesor]],Tabla110[[#This Row],[Asesor]],Tabla110[[#All],[Fecha Cobranza]],"&lt;="&amp;Tabla110[[#This Row],[Fecha Cobranza]],Tabla110[[#All],[Fecha Cobranza]],"&gt;="&amp;Tabla110[[#This Row],[Fecha Cobranza]]-28)</f>
        <v>722366.75359999994</v>
      </c>
      <c r="AC139" s="542">
        <f t="shared" si="20"/>
        <v>0</v>
      </c>
      <c r="AD139" s="544">
        <f t="shared" si="21"/>
        <v>0.02</v>
      </c>
      <c r="AE139" s="545">
        <f>+AD139*Tabla110[[#This Row],[Venta Total]]</f>
        <v>151.38</v>
      </c>
    </row>
    <row r="140" spans="1:31" x14ac:dyDescent="0.2">
      <c r="A140" s="264">
        <v>46006</v>
      </c>
      <c r="B140" s="274" t="str">
        <f t="shared" ref="B140:B142" si="35">TEXT(A140,"mmmm")</f>
        <v>December</v>
      </c>
      <c r="C140" s="265" t="s">
        <v>455</v>
      </c>
      <c r="D140" s="266" t="str">
        <f>VLOOKUP(Tabla110[[#This Row],[Asesor]],Tabla2[[Asesores]:[TIPO]],2,0)</f>
        <v>INTERNO</v>
      </c>
      <c r="E140" s="268" t="s">
        <v>3778</v>
      </c>
      <c r="F140" s="267" t="s">
        <v>3831</v>
      </c>
      <c r="G140" s="50" t="s">
        <v>228</v>
      </c>
      <c r="H140" s="269">
        <v>10</v>
      </c>
      <c r="I140" s="275">
        <v>5971.5519999999997</v>
      </c>
      <c r="J140" s="260">
        <f>+Tabla110[[#This Row],[Precio Bruto]]*1.16</f>
        <v>6927.0003199999992</v>
      </c>
      <c r="L140" s="270">
        <f>++(Tabla110[[#This Row],[Precio Unitario Neto]]*Tabla110[[#This Row],[Cantidad]])-(Tabla110[[#This Row],[Cantidad]]*Tabla110[[#This Row],[Apoyo]])</f>
        <v>69270.003199999992</v>
      </c>
      <c r="M140" s="270" t="e">
        <f>((INDEX(Tabla6[#All],MATCH(Tabla110[[#This Row],[Producto]],Tabla6[[#All],[PRODUCTO]],0),MATCH(Tabla110[[#This Row],[Mes]],Tabla6[#Headers],0)))*(1+(IF(Tabla110[[#This Row],[FLETE]]="no",Catalogos!$M$2,Catalogos!$L$2))))</f>
        <v>#N/A</v>
      </c>
      <c r="N140" s="270" t="e">
        <f>+IF((Tabla110[[#This Row],[Precio Unitario Neto]]-Tabla110[[#This Row],[Apoyo]]-Tabla110[[#This Row],[COSTO + INDI]])&lt;=0,0,(Tabla110[[#This Row],[Precio Unitario Neto]]-Tabla110[[#This Row],[Apoyo]]-Tabla110[[#This Row],[COSTO + INDI]]))</f>
        <v>#N/A</v>
      </c>
      <c r="O140" s="258" t="e">
        <f>++Tabla110[[#This Row],[Utilidad Neta x Eq.]]*Tabla110[[#This Row],[Cantidad]]</f>
        <v>#N/A</v>
      </c>
      <c r="P140" s="271" t="e">
        <f>++Tabla110[[#This Row],[Utilidad Neta Total]]/Tabla110[[#This Row],[Venta Total]]</f>
        <v>#N/A</v>
      </c>
      <c r="Q140" s="258" t="s">
        <v>604</v>
      </c>
      <c r="R140" s="272" t="e">
        <f>INDEX(Tabla6[#All],MATCH(Tabla110[[#This Row],[Producto]],Tabla6[[#All],[PRODUCTO]],0),MATCH(Tabla110[[#This Row],[Mes]],Tabla6[#Headers],0))</f>
        <v>#N/A</v>
      </c>
      <c r="S140" s="260" t="e">
        <f>++Tabla110[[#This Row],[Precio Unitario Neto]]-Tabla110[[#This Row],[Apoyo]]-Tabla110[[#This Row],[Costo unitario]]</f>
        <v>#N/A</v>
      </c>
      <c r="T140" s="273" t="e">
        <f>+Tabla110[[#This Row],[Utilidad Bruta]]*Tabla110[[#This Row],[Cantidad]]</f>
        <v>#N/A</v>
      </c>
      <c r="U140" s="404" t="e">
        <f>++Tabla110[[#This Row],[Utilidad Bruta Total]]*$V$1</f>
        <v>#N/A</v>
      </c>
      <c r="V140" s="278" t="e">
        <f>++Tabla110[[#This Row],[Utilidad Bruta Total]]*$V$1</f>
        <v>#N/A</v>
      </c>
      <c r="W140" s="278">
        <f>VLOOKUP(Tabla110[[#This Row],[Producto]],'NUEVAS LISTAS'!$B$3:$P$403,'Ventas '!W$6,FALSE)</f>
        <v>7569</v>
      </c>
      <c r="X140" s="278">
        <f>VLOOKUP(Tabla110[[#This Row],[Producto]],'NUEVAS LISTAS'!$B$3:$P$403,'Ventas '!X$6,FALSE)</f>
        <v>7969</v>
      </c>
      <c r="Y140" s="278">
        <f>VLOOKUP(Tabla110[[#This Row],[Producto]],'NUEVAS LISTAS'!$B$3:$P$403,'Ventas '!Y$6,FALSE)</f>
        <v>8389</v>
      </c>
      <c r="Z140" s="278">
        <f>VLOOKUP(Tabla110[[#This Row],[Producto]],'NUEVAS LISTAS'!$B$3:$P$403,'Ventas '!Z$6,FALSE)</f>
        <v>8829</v>
      </c>
      <c r="AA140" s="543">
        <f>IF(AB140&lt;$AC$2,0,IF(Tabla110[[#This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0" s="539">
        <f>SUMIFS(Tabla110[[#All],[Venta Total]],Tabla110[[#All],[Asesor]],Tabla110[[#This Row],[Asesor]],Tabla110[[#All],[Fecha Cobranza]],"&lt;="&amp;Tabla110[[#This Row],[Fecha Cobranza]],Tabla110[[#All],[Fecha Cobranza]],"&gt;="&amp;Tabla110[[#This Row],[Fecha Cobranza]]-28)</f>
        <v>1481687.3719999997</v>
      </c>
      <c r="AC140" s="542">
        <f t="shared" ref="AC140:AC160" si="36">IF(AB140&gt;=$AA$1,HLOOKUP(AA140,$W$1:$Z$5,5,FALSE),IF(AB140&gt;=$AA$2,HLOOKUP(AA140,$W$1:$Z$5,4,FALSE),IF(AB140&gt;=$AA$3,HLOOKUP(AA140,$W$1:$Z$5,3,FALSE),IF(AB140&gt;=$AA$4,HLOOKUP(AA140,$W$1:$Z$5,2,FALSE),0))))</f>
        <v>0</v>
      </c>
      <c r="AD140" s="544">
        <f t="shared" ref="AD140:AD160" si="37">+AC140+AA140</f>
        <v>0.02</v>
      </c>
      <c r="AE140" s="545">
        <f>+AD140*Tabla110[[#This Row],[Venta Total]]</f>
        <v>1385.4000639999999</v>
      </c>
    </row>
    <row r="141" spans="1:31" x14ac:dyDescent="0.2">
      <c r="A141" s="264">
        <v>46006</v>
      </c>
      <c r="B141" s="274" t="str">
        <f t="shared" si="35"/>
        <v>December</v>
      </c>
      <c r="C141" s="265" t="s">
        <v>455</v>
      </c>
      <c r="D141" s="266" t="str">
        <f>VLOOKUP(Tabla110[[#This Row],[Asesor]],Tabla2[[Asesores]:[TIPO]],2,0)</f>
        <v>INTERNO</v>
      </c>
      <c r="E141" s="268" t="s">
        <v>3778</v>
      </c>
      <c r="F141" s="267" t="s">
        <v>3831</v>
      </c>
      <c r="G141" s="50" t="s">
        <v>575</v>
      </c>
      <c r="H141" s="269">
        <v>1</v>
      </c>
      <c r="I141" s="275">
        <v>9706.0300000000007</v>
      </c>
      <c r="J141" s="260">
        <f>+Tabla110[[#This Row],[Precio Bruto]]*1.16</f>
        <v>11258.9948</v>
      </c>
      <c r="L141" s="270">
        <f>++(Tabla110[[#This Row],[Precio Unitario Neto]]*Tabla110[[#This Row],[Cantidad]])-(Tabla110[[#This Row],[Cantidad]]*Tabla110[[#This Row],[Apoyo]])</f>
        <v>11258.9948</v>
      </c>
      <c r="M141" s="270" t="e">
        <f>((INDEX(Tabla6[#All],MATCH(Tabla110[[#This Row],[Producto]],Tabla6[[#All],[PRODUCTO]],0),MATCH(Tabla110[[#This Row],[Mes]],Tabla6[#Headers],0)))*(1+(IF(Tabla110[[#This Row],[FLETE]]="no",Catalogos!$M$2,Catalogos!$L$2))))</f>
        <v>#N/A</v>
      </c>
      <c r="N141" s="270" t="e">
        <f>+IF((Tabla110[[#This Row],[Precio Unitario Neto]]-Tabla110[[#This Row],[Apoyo]]-Tabla110[[#This Row],[COSTO + INDI]])&lt;=0,0,(Tabla110[[#This Row],[Precio Unitario Neto]]-Tabla110[[#This Row],[Apoyo]]-Tabla110[[#This Row],[COSTO + INDI]]))</f>
        <v>#N/A</v>
      </c>
      <c r="O141" s="258" t="e">
        <f>++Tabla110[[#This Row],[Utilidad Neta x Eq.]]*Tabla110[[#This Row],[Cantidad]]</f>
        <v>#N/A</v>
      </c>
      <c r="P141" s="271" t="e">
        <f>++Tabla110[[#This Row],[Utilidad Neta Total]]/Tabla110[[#This Row],[Venta Total]]</f>
        <v>#N/A</v>
      </c>
      <c r="Q141" s="258" t="s">
        <v>604</v>
      </c>
      <c r="R141" s="272" t="e">
        <f>INDEX(Tabla6[#All],MATCH(Tabla110[[#This Row],[Producto]],Tabla6[[#All],[PRODUCTO]],0),MATCH(Tabla110[[#This Row],[Mes]],Tabla6[#Headers],0))</f>
        <v>#N/A</v>
      </c>
      <c r="S141" s="260" t="e">
        <f>++Tabla110[[#This Row],[Precio Unitario Neto]]-Tabla110[[#This Row],[Apoyo]]-Tabla110[[#This Row],[Costo unitario]]</f>
        <v>#N/A</v>
      </c>
      <c r="T141" s="273" t="e">
        <f>+Tabla110[[#This Row],[Utilidad Bruta]]*Tabla110[[#This Row],[Cantidad]]</f>
        <v>#N/A</v>
      </c>
      <c r="U141" s="404" t="e">
        <f>++Tabla110[[#This Row],[Utilidad Bruta Total]]*$V$1</f>
        <v>#N/A</v>
      </c>
      <c r="V141" s="278" t="e">
        <f>++Tabla110[[#This Row],[Utilidad Bruta Total]]*$V$1</f>
        <v>#N/A</v>
      </c>
      <c r="W141" s="278">
        <f>VLOOKUP(Tabla110[[#This Row],[Producto]],'NUEVAS LISTAS'!$B$3:$P$403,'Ventas '!W$6,FALSE)</f>
        <v>14309</v>
      </c>
      <c r="X141" s="278">
        <f>VLOOKUP(Tabla110[[#This Row],[Producto]],'NUEVAS LISTAS'!$B$3:$P$403,'Ventas '!X$6,FALSE)</f>
        <v>15059</v>
      </c>
      <c r="Y141" s="278">
        <f>VLOOKUP(Tabla110[[#This Row],[Producto]],'NUEVAS LISTAS'!$B$3:$P$403,'Ventas '!Y$6,FALSE)</f>
        <v>15849</v>
      </c>
      <c r="Z141" s="278">
        <f>VLOOKUP(Tabla110[[#This Row],[Producto]],'NUEVAS LISTAS'!$B$3:$P$403,'Ventas '!Z$6,FALSE)</f>
        <v>16679</v>
      </c>
      <c r="AA141" s="543">
        <f>IF(AB141&lt;$AC$2,0,IF(Tabla110[[#This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1" s="539">
        <f>SUMIFS(Tabla110[[#All],[Venta Total]],Tabla110[[#All],[Asesor]],Tabla110[[#This Row],[Asesor]],Tabla110[[#All],[Fecha Cobranza]],"&lt;="&amp;Tabla110[[#This Row],[Fecha Cobranza]],Tabla110[[#All],[Fecha Cobranza]],"&gt;="&amp;Tabla110[[#This Row],[Fecha Cobranza]]-28)</f>
        <v>1481687.3719999997</v>
      </c>
      <c r="AC141" s="542">
        <f t="shared" si="36"/>
        <v>0</v>
      </c>
      <c r="AD141" s="544">
        <f t="shared" si="37"/>
        <v>0.02</v>
      </c>
      <c r="AE141" s="545">
        <f>+AD141*Tabla110[[#This Row],[Venta Total]]</f>
        <v>225.17989600000001</v>
      </c>
    </row>
    <row r="142" spans="1:31" x14ac:dyDescent="0.2">
      <c r="A142" s="264">
        <v>46006</v>
      </c>
      <c r="B142" s="274" t="str">
        <f t="shared" si="35"/>
        <v>December</v>
      </c>
      <c r="C142" s="265" t="s">
        <v>455</v>
      </c>
      <c r="D142" s="266" t="str">
        <f>VLOOKUP(Tabla110[[#This Row],[Asesor]],Tabla2[[Asesores]:[TIPO]],2,0)</f>
        <v>INTERNO</v>
      </c>
      <c r="E142" s="268" t="s">
        <v>3778</v>
      </c>
      <c r="F142" s="267" t="s">
        <v>3831</v>
      </c>
      <c r="G142" s="50" t="s">
        <v>530</v>
      </c>
      <c r="H142" s="269">
        <v>1</v>
      </c>
      <c r="I142" s="275">
        <v>11593.97</v>
      </c>
      <c r="J142" s="260">
        <f>+Tabla110[[#This Row],[Precio Bruto]]*1.16</f>
        <v>13449.005199999998</v>
      </c>
      <c r="L142" s="270">
        <f>++(Tabla110[[#This Row],[Precio Unitario Neto]]*Tabla110[[#This Row],[Cantidad]])-(Tabla110[[#This Row],[Cantidad]]*Tabla110[[#This Row],[Apoyo]])</f>
        <v>13449.005199999998</v>
      </c>
      <c r="M142" s="270" t="e">
        <f>((INDEX(Tabla6[#All],MATCH(Tabla110[[#This Row],[Producto]],Tabla6[[#All],[PRODUCTO]],0),MATCH(Tabla110[[#This Row],[Mes]],Tabla6[#Headers],0)))*(1+(IF(Tabla110[[#This Row],[FLETE]]="no",Catalogos!$M$2,Catalogos!$L$2))))</f>
        <v>#N/A</v>
      </c>
      <c r="N142" s="270" t="e">
        <f>+IF((Tabla110[[#This Row],[Precio Unitario Neto]]-Tabla110[[#This Row],[Apoyo]]-Tabla110[[#This Row],[COSTO + INDI]])&lt;=0,0,(Tabla110[[#This Row],[Precio Unitario Neto]]-Tabla110[[#This Row],[Apoyo]]-Tabla110[[#This Row],[COSTO + INDI]]))</f>
        <v>#N/A</v>
      </c>
      <c r="O142" s="258" t="e">
        <f>++Tabla110[[#This Row],[Utilidad Neta x Eq.]]*Tabla110[[#This Row],[Cantidad]]</f>
        <v>#N/A</v>
      </c>
      <c r="P142" s="271" t="e">
        <f>++Tabla110[[#This Row],[Utilidad Neta Total]]/Tabla110[[#This Row],[Venta Total]]</f>
        <v>#N/A</v>
      </c>
      <c r="Q142" s="258" t="s">
        <v>604</v>
      </c>
      <c r="R142" s="272" t="e">
        <f>INDEX(Tabla6[#All],MATCH(Tabla110[[#This Row],[Producto]],Tabla6[[#All],[PRODUCTO]],0),MATCH(Tabla110[[#This Row],[Mes]],Tabla6[#Headers],0))</f>
        <v>#N/A</v>
      </c>
      <c r="S142" s="260" t="e">
        <f>++Tabla110[[#This Row],[Precio Unitario Neto]]-Tabla110[[#This Row],[Apoyo]]-Tabla110[[#This Row],[Costo unitario]]</f>
        <v>#N/A</v>
      </c>
      <c r="T142" s="273" t="e">
        <f>+Tabla110[[#This Row],[Utilidad Bruta]]*Tabla110[[#This Row],[Cantidad]]</f>
        <v>#N/A</v>
      </c>
      <c r="U142" s="404" t="e">
        <f>++Tabla110[[#This Row],[Utilidad Bruta Total]]*$V$1</f>
        <v>#N/A</v>
      </c>
      <c r="V142" s="278" t="e">
        <f>++Tabla110[[#This Row],[Utilidad Bruta Total]]*$V$1</f>
        <v>#N/A</v>
      </c>
      <c r="W142" s="278">
        <f>VLOOKUP(Tabla110[[#This Row],[Producto]],'NUEVAS LISTAS'!$B$3:$P$403,'Ventas '!W$6,FALSE)</f>
        <v>17479</v>
      </c>
      <c r="X142" s="278">
        <f>VLOOKUP(Tabla110[[#This Row],[Producto]],'NUEVAS LISTAS'!$B$3:$P$403,'Ventas '!X$6,FALSE)</f>
        <v>18399</v>
      </c>
      <c r="Y142" s="278">
        <f>VLOOKUP(Tabla110[[#This Row],[Producto]],'NUEVAS LISTAS'!$B$3:$P$403,'Ventas '!Y$6,FALSE)</f>
        <v>19369</v>
      </c>
      <c r="Z142" s="278">
        <f>VLOOKUP(Tabla110[[#This Row],[Producto]],'NUEVAS LISTAS'!$B$3:$P$403,'Ventas '!Z$6,FALSE)</f>
        <v>20389</v>
      </c>
      <c r="AA142" s="543">
        <f>IF(AB142&lt;$AC$2,0,IF(Tabla110[[#This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2" s="539">
        <f>SUMIFS(Tabla110[[#All],[Venta Total]],Tabla110[[#All],[Asesor]],Tabla110[[#This Row],[Asesor]],Tabla110[[#All],[Fecha Cobranza]],"&lt;="&amp;Tabla110[[#This Row],[Fecha Cobranza]],Tabla110[[#All],[Fecha Cobranza]],"&gt;="&amp;Tabla110[[#This Row],[Fecha Cobranza]]-28)</f>
        <v>1481687.3719999997</v>
      </c>
      <c r="AC142" s="542">
        <f t="shared" si="36"/>
        <v>0</v>
      </c>
      <c r="AD142" s="544">
        <f t="shared" si="37"/>
        <v>0.02</v>
      </c>
      <c r="AE142" s="545">
        <f>+AD142*Tabla110[[#This Row],[Venta Total]]</f>
        <v>268.98010399999998</v>
      </c>
    </row>
    <row r="143" spans="1:31" x14ac:dyDescent="0.2">
      <c r="A143" s="264">
        <v>46006</v>
      </c>
      <c r="B143" s="274" t="str">
        <f>TEXT(A143,"mmmm")</f>
        <v>December</v>
      </c>
      <c r="C143" s="265" t="s">
        <v>277</v>
      </c>
      <c r="D143" s="266" t="str">
        <f>VLOOKUP(Tabla110[[#This Row],[Asesor]],Tabla2[[Asesores]:[TIPO]],2,0)</f>
        <v>INTERNO</v>
      </c>
      <c r="E143" s="268" t="s">
        <v>3779</v>
      </c>
      <c r="F143" s="267" t="s">
        <v>3832</v>
      </c>
      <c r="G143" s="50" t="s">
        <v>228</v>
      </c>
      <c r="H143" s="269">
        <v>1</v>
      </c>
      <c r="I143" s="275">
        <v>5974.14</v>
      </c>
      <c r="J143" s="260">
        <f>+Tabla110[[#This Row],[Precio Bruto]]*1.16</f>
        <v>6930.0024000000003</v>
      </c>
      <c r="L143" s="270">
        <f>++(Tabla110[[#This Row],[Precio Unitario Neto]]*Tabla110[[#This Row],[Cantidad]])-(Tabla110[[#This Row],[Cantidad]]*Tabla110[[#This Row],[Apoyo]])</f>
        <v>6930.0024000000003</v>
      </c>
      <c r="M143" s="270" t="e">
        <f>((INDEX(Tabla6[#All],MATCH(Tabla110[[#This Row],[Producto]],Tabla6[[#All],[PRODUCTO]],0),MATCH(Tabla110[[#This Row],[Mes]],Tabla6[#Headers],0)))*(1+(IF(Tabla110[[#This Row],[FLETE]]="no",Catalogos!$M$2,Catalogos!$L$2))))</f>
        <v>#N/A</v>
      </c>
      <c r="N143" s="270" t="e">
        <f>+IF((Tabla110[[#This Row],[Precio Unitario Neto]]-Tabla110[[#This Row],[Apoyo]]-Tabla110[[#This Row],[COSTO + INDI]])&lt;=0,0,(Tabla110[[#This Row],[Precio Unitario Neto]]-Tabla110[[#This Row],[Apoyo]]-Tabla110[[#This Row],[COSTO + INDI]]))</f>
        <v>#N/A</v>
      </c>
      <c r="O143" s="258" t="e">
        <f>++Tabla110[[#This Row],[Utilidad Neta x Eq.]]*Tabla110[[#This Row],[Cantidad]]</f>
        <v>#N/A</v>
      </c>
      <c r="P143" s="271" t="e">
        <f>++Tabla110[[#This Row],[Utilidad Neta Total]]/Tabla110[[#This Row],[Venta Total]]</f>
        <v>#N/A</v>
      </c>
      <c r="Q143" s="258" t="s">
        <v>604</v>
      </c>
      <c r="R143" s="272" t="e">
        <f>INDEX(Tabla6[#All],MATCH(Tabla110[[#This Row],[Producto]],Tabla6[[#All],[PRODUCTO]],0),MATCH(Tabla110[[#This Row],[Mes]],Tabla6[#Headers],0))</f>
        <v>#N/A</v>
      </c>
      <c r="S143" s="260" t="e">
        <f>++Tabla110[[#This Row],[Precio Unitario Neto]]-Tabla110[[#This Row],[Apoyo]]-Tabla110[[#This Row],[Costo unitario]]</f>
        <v>#N/A</v>
      </c>
      <c r="T143" s="273" t="e">
        <f>+Tabla110[[#This Row],[Utilidad Bruta]]*Tabla110[[#This Row],[Cantidad]]</f>
        <v>#N/A</v>
      </c>
      <c r="U143" s="404" t="e">
        <f>++Tabla110[[#This Row],[Utilidad Bruta Total]]*$V$1</f>
        <v>#N/A</v>
      </c>
      <c r="V143" s="278" t="e">
        <f>++Tabla110[[#This Row],[Utilidad Bruta Total]]*$V$1</f>
        <v>#N/A</v>
      </c>
      <c r="W143" s="278">
        <f>VLOOKUP(Tabla110[[#This Row],[Producto]],'NUEVAS LISTAS'!$B$3:$P$403,'Ventas '!W$6,FALSE)</f>
        <v>7569</v>
      </c>
      <c r="X143" s="278">
        <f>VLOOKUP(Tabla110[[#This Row],[Producto]],'NUEVAS LISTAS'!$B$3:$P$403,'Ventas '!X$6,FALSE)</f>
        <v>7969</v>
      </c>
      <c r="Y143" s="278">
        <f>VLOOKUP(Tabla110[[#This Row],[Producto]],'NUEVAS LISTAS'!$B$3:$P$403,'Ventas '!Y$6,FALSE)</f>
        <v>8389</v>
      </c>
      <c r="Z143" s="278">
        <f>VLOOKUP(Tabla110[[#This Row],[Producto]],'NUEVAS LISTAS'!$B$3:$P$403,'Ventas '!Z$6,FALSE)</f>
        <v>8829</v>
      </c>
      <c r="AA143" s="543">
        <f>IF(AB143&lt;$AC$2,0,IF(Tabla110[[#This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3" s="539">
        <f>SUMIFS(Tabla110[[#All],[Venta Total]],Tabla110[[#All],[Asesor]],Tabla110[[#This Row],[Asesor]],Tabla110[[#All],[Fecha Cobranza]],"&lt;="&amp;Tabla110[[#This Row],[Fecha Cobranza]],Tabla110[[#All],[Fecha Cobranza]],"&gt;="&amp;Tabla110[[#This Row],[Fecha Cobranza]]-28)</f>
        <v>1053628.7308</v>
      </c>
      <c r="AC143" s="542">
        <f t="shared" si="36"/>
        <v>0</v>
      </c>
      <c r="AD143" s="544">
        <f t="shared" si="37"/>
        <v>0.02</v>
      </c>
      <c r="AE143" s="545">
        <f>+AD143*Tabla110[[#This Row],[Venta Total]]</f>
        <v>138.60004800000002</v>
      </c>
    </row>
    <row r="144" spans="1:31" x14ac:dyDescent="0.2">
      <c r="A144" s="264">
        <v>46006</v>
      </c>
      <c r="B144" s="274" t="str">
        <f t="shared" ref="B144:B145" si="38">TEXT(A144,"mmmm")</f>
        <v>December</v>
      </c>
      <c r="C144" s="265" t="s">
        <v>277</v>
      </c>
      <c r="D144" s="266" t="str">
        <f>VLOOKUP(Tabla110[[#This Row],[Asesor]],Tabla2[[Asesores]:[TIPO]],2,0)</f>
        <v>INTERNO</v>
      </c>
      <c r="E144" s="268" t="s">
        <v>3780</v>
      </c>
      <c r="F144" s="267" t="s">
        <v>3833</v>
      </c>
      <c r="G144" s="50" t="s">
        <v>227</v>
      </c>
      <c r="H144" s="269">
        <v>1</v>
      </c>
      <c r="I144" s="275">
        <v>3931.03</v>
      </c>
      <c r="J144" s="260">
        <f>+Tabla110[[#This Row],[Precio Bruto]]*1.16</f>
        <v>4559.9947999999995</v>
      </c>
      <c r="L144" s="270">
        <f>++(Tabla110[[#This Row],[Precio Unitario Neto]]*Tabla110[[#This Row],[Cantidad]])-(Tabla110[[#This Row],[Cantidad]]*Tabla110[[#This Row],[Apoyo]])</f>
        <v>4559.9947999999995</v>
      </c>
      <c r="M144" s="270" t="e">
        <f>((INDEX(Tabla6[#All],MATCH(Tabla110[[#This Row],[Producto]],Tabla6[[#All],[PRODUCTO]],0),MATCH(Tabla110[[#This Row],[Mes]],Tabla6[#Headers],0)))*(1+(IF(Tabla110[[#This Row],[FLETE]]="no",Catalogos!$M$2,Catalogos!$L$2))))</f>
        <v>#N/A</v>
      </c>
      <c r="N144" s="270" t="e">
        <f>+IF((Tabla110[[#This Row],[Precio Unitario Neto]]-Tabla110[[#This Row],[Apoyo]]-Tabla110[[#This Row],[COSTO + INDI]])&lt;=0,0,(Tabla110[[#This Row],[Precio Unitario Neto]]-Tabla110[[#This Row],[Apoyo]]-Tabla110[[#This Row],[COSTO + INDI]]))</f>
        <v>#N/A</v>
      </c>
      <c r="O144" s="258" t="e">
        <f>++Tabla110[[#This Row],[Utilidad Neta x Eq.]]*Tabla110[[#This Row],[Cantidad]]</f>
        <v>#N/A</v>
      </c>
      <c r="P144" s="271" t="e">
        <f>++Tabla110[[#This Row],[Utilidad Neta Total]]/Tabla110[[#This Row],[Venta Total]]</f>
        <v>#N/A</v>
      </c>
      <c r="Q144" s="258" t="s">
        <v>604</v>
      </c>
      <c r="R144" s="272" t="e">
        <f>INDEX(Tabla6[#All],MATCH(Tabla110[[#This Row],[Producto]],Tabla6[[#All],[PRODUCTO]],0),MATCH(Tabla110[[#This Row],[Mes]],Tabla6[#Headers],0))</f>
        <v>#N/A</v>
      </c>
      <c r="S144" s="260" t="e">
        <f>++Tabla110[[#This Row],[Precio Unitario Neto]]-Tabla110[[#This Row],[Apoyo]]-Tabla110[[#This Row],[Costo unitario]]</f>
        <v>#N/A</v>
      </c>
      <c r="T144" s="273" t="e">
        <f>+Tabla110[[#This Row],[Utilidad Bruta]]*Tabla110[[#This Row],[Cantidad]]</f>
        <v>#N/A</v>
      </c>
      <c r="U144" s="404" t="e">
        <f>++Tabla110[[#This Row],[Utilidad Bruta Total]]*$V$1</f>
        <v>#N/A</v>
      </c>
      <c r="V144" s="278" t="e">
        <f>++Tabla110[[#This Row],[Utilidad Bruta Total]]*$V$1</f>
        <v>#N/A</v>
      </c>
      <c r="W144" s="278">
        <f>VLOOKUP(Tabla110[[#This Row],[Producto]],'NUEVAS LISTAS'!$B$3:$P$403,'Ventas '!W$6,FALSE)</f>
        <v>6949</v>
      </c>
      <c r="X144" s="278">
        <f>VLOOKUP(Tabla110[[#This Row],[Producto]],'NUEVAS LISTAS'!$B$3:$P$403,'Ventas '!X$6,FALSE)</f>
        <v>7309</v>
      </c>
      <c r="Y144" s="278">
        <f>VLOOKUP(Tabla110[[#This Row],[Producto]],'NUEVAS LISTAS'!$B$3:$P$403,'Ventas '!Y$6,FALSE)</f>
        <v>7689</v>
      </c>
      <c r="Z144" s="278">
        <f>VLOOKUP(Tabla110[[#This Row],[Producto]],'NUEVAS LISTAS'!$B$3:$P$403,'Ventas '!Z$6,FALSE)</f>
        <v>8089</v>
      </c>
      <c r="AA144" s="543">
        <f>IF(AB144&lt;$AC$2,0,IF(Tabla110[[#This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4" s="539">
        <f>SUMIFS(Tabla110[[#All],[Venta Total]],Tabla110[[#All],[Asesor]],Tabla110[[#This Row],[Asesor]],Tabla110[[#All],[Fecha Cobranza]],"&lt;="&amp;Tabla110[[#This Row],[Fecha Cobranza]],Tabla110[[#All],[Fecha Cobranza]],"&gt;="&amp;Tabla110[[#This Row],[Fecha Cobranza]]-28)</f>
        <v>1053628.7308</v>
      </c>
      <c r="AC144" s="542">
        <f t="shared" si="36"/>
        <v>0</v>
      </c>
      <c r="AD144" s="544">
        <f t="shared" si="37"/>
        <v>0.02</v>
      </c>
      <c r="AE144" s="545">
        <f>+AD144*Tabla110[[#This Row],[Venta Total]]</f>
        <v>91.199895999999995</v>
      </c>
    </row>
    <row r="145" spans="1:31" x14ac:dyDescent="0.2">
      <c r="A145" s="264">
        <v>46006</v>
      </c>
      <c r="B145" s="274" t="str">
        <f t="shared" si="38"/>
        <v>December</v>
      </c>
      <c r="C145" s="265" t="s">
        <v>277</v>
      </c>
      <c r="D145" s="266" t="str">
        <f>VLOOKUP(Tabla110[[#This Row],[Asesor]],Tabla2[[Asesores]:[TIPO]],2,0)</f>
        <v>INTERNO</v>
      </c>
      <c r="E145" s="268" t="s">
        <v>3780</v>
      </c>
      <c r="F145" s="267" t="s">
        <v>3833</v>
      </c>
      <c r="G145" s="50" t="s">
        <v>228</v>
      </c>
      <c r="H145" s="269">
        <v>2</v>
      </c>
      <c r="I145" s="275">
        <v>4250</v>
      </c>
      <c r="J145" s="260">
        <f>+Tabla110[[#This Row],[Precio Bruto]]*1.16</f>
        <v>4930</v>
      </c>
      <c r="L145" s="270">
        <f>++(Tabla110[[#This Row],[Precio Unitario Neto]]*Tabla110[[#This Row],[Cantidad]])-(Tabla110[[#This Row],[Cantidad]]*Tabla110[[#This Row],[Apoyo]])</f>
        <v>9860</v>
      </c>
      <c r="M145" s="270" t="e">
        <f>((INDEX(Tabla6[#All],MATCH(Tabla110[[#This Row],[Producto]],Tabla6[[#All],[PRODUCTO]],0),MATCH(Tabla110[[#This Row],[Mes]],Tabla6[#Headers],0)))*(1+(IF(Tabla110[[#This Row],[FLETE]]="no",Catalogos!$M$2,Catalogos!$L$2))))</f>
        <v>#N/A</v>
      </c>
      <c r="N145" s="270" t="e">
        <f>+IF((Tabla110[[#This Row],[Precio Unitario Neto]]-Tabla110[[#This Row],[Apoyo]]-Tabla110[[#This Row],[COSTO + INDI]])&lt;=0,0,(Tabla110[[#This Row],[Precio Unitario Neto]]-Tabla110[[#This Row],[Apoyo]]-Tabla110[[#This Row],[COSTO + INDI]]))</f>
        <v>#N/A</v>
      </c>
      <c r="O145" s="258" t="e">
        <f>++Tabla110[[#This Row],[Utilidad Neta x Eq.]]*Tabla110[[#This Row],[Cantidad]]</f>
        <v>#N/A</v>
      </c>
      <c r="P145" s="271" t="e">
        <f>++Tabla110[[#This Row],[Utilidad Neta Total]]/Tabla110[[#This Row],[Venta Total]]</f>
        <v>#N/A</v>
      </c>
      <c r="Q145" s="258" t="s">
        <v>604</v>
      </c>
      <c r="R145" s="272" t="e">
        <f>INDEX(Tabla6[#All],MATCH(Tabla110[[#This Row],[Producto]],Tabla6[[#All],[PRODUCTO]],0),MATCH(Tabla110[[#This Row],[Mes]],Tabla6[#Headers],0))</f>
        <v>#N/A</v>
      </c>
      <c r="S145" s="260" t="e">
        <f>++Tabla110[[#This Row],[Precio Unitario Neto]]-Tabla110[[#This Row],[Apoyo]]-Tabla110[[#This Row],[Costo unitario]]</f>
        <v>#N/A</v>
      </c>
      <c r="T145" s="273" t="e">
        <f>+Tabla110[[#This Row],[Utilidad Bruta]]*Tabla110[[#This Row],[Cantidad]]</f>
        <v>#N/A</v>
      </c>
      <c r="U145" s="404" t="e">
        <f>++Tabla110[[#This Row],[Utilidad Bruta Total]]*$V$1</f>
        <v>#N/A</v>
      </c>
      <c r="V145" s="278" t="e">
        <f>++Tabla110[[#This Row],[Utilidad Bruta Total]]*$V$1</f>
        <v>#N/A</v>
      </c>
      <c r="W145" s="278">
        <f>VLOOKUP(Tabla110[[#This Row],[Producto]],'NUEVAS LISTAS'!$B$3:$P$403,'Ventas '!W$6,FALSE)</f>
        <v>7569</v>
      </c>
      <c r="X145" s="278">
        <f>VLOOKUP(Tabla110[[#This Row],[Producto]],'NUEVAS LISTAS'!$B$3:$P$403,'Ventas '!X$6,FALSE)</f>
        <v>7969</v>
      </c>
      <c r="Y145" s="278">
        <f>VLOOKUP(Tabla110[[#This Row],[Producto]],'NUEVAS LISTAS'!$B$3:$P$403,'Ventas '!Y$6,FALSE)</f>
        <v>8389</v>
      </c>
      <c r="Z145" s="278">
        <f>VLOOKUP(Tabla110[[#This Row],[Producto]],'NUEVAS LISTAS'!$B$3:$P$403,'Ventas '!Z$6,FALSE)</f>
        <v>8829</v>
      </c>
      <c r="AA145" s="543">
        <f>IF(AB145&lt;$AC$2,0,IF(Tabla110[[#This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5" s="539">
        <f>SUMIFS(Tabla110[[#All],[Venta Total]],Tabla110[[#All],[Asesor]],Tabla110[[#This Row],[Asesor]],Tabla110[[#All],[Fecha Cobranza]],"&lt;="&amp;Tabla110[[#This Row],[Fecha Cobranza]],Tabla110[[#All],[Fecha Cobranza]],"&gt;="&amp;Tabla110[[#This Row],[Fecha Cobranza]]-28)</f>
        <v>1053628.7308</v>
      </c>
      <c r="AC145" s="542">
        <f t="shared" si="36"/>
        <v>0</v>
      </c>
      <c r="AD145" s="544">
        <f t="shared" si="37"/>
        <v>0.02</v>
      </c>
      <c r="AE145" s="545">
        <f>+AD145*Tabla110[[#This Row],[Venta Total]]</f>
        <v>197.20000000000002</v>
      </c>
    </row>
    <row r="146" spans="1:31" x14ac:dyDescent="0.2">
      <c r="A146" s="264">
        <v>46006</v>
      </c>
      <c r="B146" s="274" t="str">
        <f>TEXT(A146,"mmmm")</f>
        <v>December</v>
      </c>
      <c r="C146" s="265" t="s">
        <v>277</v>
      </c>
      <c r="D146" s="266" t="str">
        <f>VLOOKUP(Tabla110[[#This Row],[Asesor]],Tabla2[[Asesores]:[TIPO]],2,0)</f>
        <v>INTERNO</v>
      </c>
      <c r="E146" s="268" t="s">
        <v>3781</v>
      </c>
      <c r="F146" s="267" t="s">
        <v>3834</v>
      </c>
      <c r="G146" s="50" t="s">
        <v>372</v>
      </c>
      <c r="H146" s="269">
        <v>2</v>
      </c>
      <c r="I146" s="275">
        <v>2640.5149999999999</v>
      </c>
      <c r="J146" s="260">
        <f>+Tabla110[[#This Row],[Precio Bruto]]*1.16</f>
        <v>3062.9973999999997</v>
      </c>
      <c r="L146" s="270">
        <f>++(Tabla110[[#This Row],[Precio Unitario Neto]]*Tabla110[[#This Row],[Cantidad]])-(Tabla110[[#This Row],[Cantidad]]*Tabla110[[#This Row],[Apoyo]])</f>
        <v>6125.9947999999995</v>
      </c>
      <c r="M146" s="270" t="e">
        <f>((INDEX(Tabla6[#All],MATCH(Tabla110[[#This Row],[Producto]],Tabla6[[#All],[PRODUCTO]],0),MATCH(Tabla110[[#This Row],[Mes]],Tabla6[#Headers],0)))*(1+(IF(Tabla110[[#This Row],[FLETE]]="no",Catalogos!$M$2,Catalogos!$L$2))))</f>
        <v>#N/A</v>
      </c>
      <c r="N146" s="270" t="e">
        <f>+IF((Tabla110[[#This Row],[Precio Unitario Neto]]-Tabla110[[#This Row],[Apoyo]]-Tabla110[[#This Row],[COSTO + INDI]])&lt;=0,0,(Tabla110[[#This Row],[Precio Unitario Neto]]-Tabla110[[#This Row],[Apoyo]]-Tabla110[[#This Row],[COSTO + INDI]]))</f>
        <v>#N/A</v>
      </c>
      <c r="O146" s="258" t="e">
        <f>++Tabla110[[#This Row],[Utilidad Neta x Eq.]]*Tabla110[[#This Row],[Cantidad]]</f>
        <v>#N/A</v>
      </c>
      <c r="P146" s="271" t="e">
        <f>++Tabla110[[#This Row],[Utilidad Neta Total]]/Tabla110[[#This Row],[Venta Total]]</f>
        <v>#N/A</v>
      </c>
      <c r="Q146" s="258" t="s">
        <v>604</v>
      </c>
      <c r="R146" s="272" t="e">
        <f>INDEX(Tabla6[#All],MATCH(Tabla110[[#This Row],[Producto]],Tabla6[[#All],[PRODUCTO]],0),MATCH(Tabla110[[#This Row],[Mes]],Tabla6[#Headers],0))</f>
        <v>#N/A</v>
      </c>
      <c r="S146" s="260" t="e">
        <f>++Tabla110[[#This Row],[Precio Unitario Neto]]-Tabla110[[#This Row],[Apoyo]]-Tabla110[[#This Row],[Costo unitario]]</f>
        <v>#N/A</v>
      </c>
      <c r="T146" s="273" t="e">
        <f>+Tabla110[[#This Row],[Utilidad Bruta]]*Tabla110[[#This Row],[Cantidad]]</f>
        <v>#N/A</v>
      </c>
      <c r="U146" s="404" t="e">
        <f>++Tabla110[[#This Row],[Utilidad Bruta Total]]*$V$1</f>
        <v>#N/A</v>
      </c>
      <c r="V146" s="278" t="e">
        <f>++Tabla110[[#This Row],[Utilidad Bruta Total]]*$V$1</f>
        <v>#N/A</v>
      </c>
      <c r="W146" s="278">
        <f>VLOOKUP(Tabla110[[#This Row],[Producto]],'NUEVAS LISTAS'!$B$3:$P$403,'Ventas '!W$6,FALSE)</f>
        <v>4479</v>
      </c>
      <c r="X146" s="278">
        <f>VLOOKUP(Tabla110[[#This Row],[Producto]],'NUEVAS LISTAS'!$B$3:$P$403,'Ventas '!X$6,FALSE)</f>
        <v>4709</v>
      </c>
      <c r="Y146" s="278">
        <f>VLOOKUP(Tabla110[[#This Row],[Producto]],'NUEVAS LISTAS'!$B$3:$P$403,'Ventas '!Y$6,FALSE)</f>
        <v>4959</v>
      </c>
      <c r="Z146" s="278">
        <f>VLOOKUP(Tabla110[[#This Row],[Producto]],'NUEVAS LISTAS'!$B$3:$P$403,'Ventas '!Z$6,FALSE)</f>
        <v>5219</v>
      </c>
      <c r="AA146" s="543">
        <f>IF(AB146&lt;$AC$2,0,IF(Tabla110[[#This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6" s="539">
        <f>SUMIFS(Tabla110[[#All],[Venta Total]],Tabla110[[#All],[Asesor]],Tabla110[[#This Row],[Asesor]],Tabla110[[#All],[Fecha Cobranza]],"&lt;="&amp;Tabla110[[#This Row],[Fecha Cobranza]],Tabla110[[#All],[Fecha Cobranza]],"&gt;="&amp;Tabla110[[#This Row],[Fecha Cobranza]]-28)</f>
        <v>1053628.7308</v>
      </c>
      <c r="AC146" s="542">
        <f t="shared" si="36"/>
        <v>0</v>
      </c>
      <c r="AD146" s="544">
        <f t="shared" si="37"/>
        <v>0.02</v>
      </c>
      <c r="AE146" s="545">
        <f>+AD146*Tabla110[[#This Row],[Venta Total]]</f>
        <v>122.51989599999999</v>
      </c>
    </row>
    <row r="147" spans="1:31" x14ac:dyDescent="0.2">
      <c r="A147" s="264">
        <v>46006</v>
      </c>
      <c r="B147" s="274" t="str">
        <f>TEXT(A147,"mmmm")</f>
        <v>December</v>
      </c>
      <c r="C147" s="265" t="s">
        <v>277</v>
      </c>
      <c r="D147" s="266" t="str">
        <f>VLOOKUP(Tabla110[[#This Row],[Asesor]],Tabla2[[Asesores]:[TIPO]],2,0)</f>
        <v>INTERNO</v>
      </c>
      <c r="E147" s="268" t="s">
        <v>3782</v>
      </c>
      <c r="F147" s="267" t="s">
        <v>3835</v>
      </c>
      <c r="G147" s="50" t="s">
        <v>372</v>
      </c>
      <c r="H147" s="269">
        <v>1</v>
      </c>
      <c r="I147" s="275">
        <v>2640.52</v>
      </c>
      <c r="J147" s="260">
        <f>+Tabla110[[#This Row],[Precio Bruto]]*1.16</f>
        <v>3063.0031999999997</v>
      </c>
      <c r="L147" s="270">
        <f>++(Tabla110[[#This Row],[Precio Unitario Neto]]*Tabla110[[#This Row],[Cantidad]])-(Tabla110[[#This Row],[Cantidad]]*Tabla110[[#This Row],[Apoyo]])</f>
        <v>3063.0031999999997</v>
      </c>
      <c r="M147" s="270" t="e">
        <f>((INDEX(Tabla6[#All],MATCH(Tabla110[[#This Row],[Producto]],Tabla6[[#All],[PRODUCTO]],0),MATCH(Tabla110[[#This Row],[Mes]],Tabla6[#Headers],0)))*(1+(IF(Tabla110[[#This Row],[FLETE]]="no",Catalogos!$M$2,Catalogos!$L$2))))</f>
        <v>#N/A</v>
      </c>
      <c r="N147" s="270" t="e">
        <f>+IF((Tabla110[[#This Row],[Precio Unitario Neto]]-Tabla110[[#This Row],[Apoyo]]-Tabla110[[#This Row],[COSTO + INDI]])&lt;=0,0,(Tabla110[[#This Row],[Precio Unitario Neto]]-Tabla110[[#This Row],[Apoyo]]-Tabla110[[#This Row],[COSTO + INDI]]))</f>
        <v>#N/A</v>
      </c>
      <c r="O147" s="258" t="e">
        <f>++Tabla110[[#This Row],[Utilidad Neta x Eq.]]*Tabla110[[#This Row],[Cantidad]]</f>
        <v>#N/A</v>
      </c>
      <c r="P147" s="271" t="e">
        <f>++Tabla110[[#This Row],[Utilidad Neta Total]]/Tabla110[[#This Row],[Venta Total]]</f>
        <v>#N/A</v>
      </c>
      <c r="Q147" s="258" t="s">
        <v>604</v>
      </c>
      <c r="R147" s="272" t="e">
        <f>INDEX(Tabla6[#All],MATCH(Tabla110[[#This Row],[Producto]],Tabla6[[#All],[PRODUCTO]],0),MATCH(Tabla110[[#This Row],[Mes]],Tabla6[#Headers],0))</f>
        <v>#N/A</v>
      </c>
      <c r="S147" s="260" t="e">
        <f>++Tabla110[[#This Row],[Precio Unitario Neto]]-Tabla110[[#This Row],[Apoyo]]-Tabla110[[#This Row],[Costo unitario]]</f>
        <v>#N/A</v>
      </c>
      <c r="T147" s="273" t="e">
        <f>+Tabla110[[#This Row],[Utilidad Bruta]]*Tabla110[[#This Row],[Cantidad]]</f>
        <v>#N/A</v>
      </c>
      <c r="U147" s="404" t="e">
        <f>++Tabla110[[#This Row],[Utilidad Bruta Total]]*$V$1</f>
        <v>#N/A</v>
      </c>
      <c r="V147" s="278" t="e">
        <f>++Tabla110[[#This Row],[Utilidad Bruta Total]]*$V$1</f>
        <v>#N/A</v>
      </c>
      <c r="W147" s="278">
        <f>VLOOKUP(Tabla110[[#This Row],[Producto]],'NUEVAS LISTAS'!$B$3:$P$403,'Ventas '!W$6,FALSE)</f>
        <v>4479</v>
      </c>
      <c r="X147" s="278">
        <f>VLOOKUP(Tabla110[[#This Row],[Producto]],'NUEVAS LISTAS'!$B$3:$P$403,'Ventas '!X$6,FALSE)</f>
        <v>4709</v>
      </c>
      <c r="Y147" s="278">
        <f>VLOOKUP(Tabla110[[#This Row],[Producto]],'NUEVAS LISTAS'!$B$3:$P$403,'Ventas '!Y$6,FALSE)</f>
        <v>4959</v>
      </c>
      <c r="Z147" s="278">
        <f>VLOOKUP(Tabla110[[#This Row],[Producto]],'NUEVAS LISTAS'!$B$3:$P$403,'Ventas '!Z$6,FALSE)</f>
        <v>5219</v>
      </c>
      <c r="AA147" s="543">
        <f>IF(AB147&lt;$AC$2,0,IF(Tabla110[[#This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7" s="539">
        <f>SUMIFS(Tabla110[[#All],[Venta Total]],Tabla110[[#All],[Asesor]],Tabla110[[#This Row],[Asesor]],Tabla110[[#All],[Fecha Cobranza]],"&lt;="&amp;Tabla110[[#This Row],[Fecha Cobranza]],Tabla110[[#All],[Fecha Cobranza]],"&gt;="&amp;Tabla110[[#This Row],[Fecha Cobranza]]-28)</f>
        <v>1053628.7308</v>
      </c>
      <c r="AC147" s="542">
        <f t="shared" si="36"/>
        <v>0</v>
      </c>
      <c r="AD147" s="544">
        <f t="shared" si="37"/>
        <v>0.02</v>
      </c>
      <c r="AE147" s="545">
        <f>+AD147*Tabla110[[#This Row],[Venta Total]]</f>
        <v>61.260063999999993</v>
      </c>
    </row>
    <row r="148" spans="1:31" x14ac:dyDescent="0.2">
      <c r="A148" s="264">
        <v>46006</v>
      </c>
      <c r="B148" s="274" t="str">
        <f>TEXT(A148,"mmmm")</f>
        <v>December</v>
      </c>
      <c r="C148" s="265" t="s">
        <v>280</v>
      </c>
      <c r="D148" s="266" t="str">
        <f>VLOOKUP(Tabla110[[#This Row],[Asesor]],Tabla2[[Asesores]:[TIPO]],2,0)</f>
        <v>INTERNO</v>
      </c>
      <c r="E148" s="268" t="s">
        <v>594</v>
      </c>
      <c r="F148" s="267" t="s">
        <v>3836</v>
      </c>
      <c r="G148" s="50" t="s">
        <v>83</v>
      </c>
      <c r="H148" s="269">
        <v>1</v>
      </c>
      <c r="I148" s="275">
        <v>10100.92</v>
      </c>
      <c r="J148" s="260">
        <f>+Tabla110[[#This Row],[Precio Bruto]]*1.16</f>
        <v>11717.0672</v>
      </c>
      <c r="L148" s="270">
        <f>++(Tabla110[[#This Row],[Precio Unitario Neto]]*Tabla110[[#This Row],[Cantidad]])-(Tabla110[[#This Row],[Cantidad]]*Tabla110[[#This Row],[Apoyo]])</f>
        <v>11717.0672</v>
      </c>
      <c r="M148" s="270" t="e">
        <f>((INDEX(Tabla6[#All],MATCH(Tabla110[[#This Row],[Producto]],Tabla6[[#All],[PRODUCTO]],0),MATCH(Tabla110[[#This Row],[Mes]],Tabla6[#Headers],0)))*(1+(IF(Tabla110[[#This Row],[FLETE]]="no",Catalogos!$M$2,Catalogos!$L$2))))</f>
        <v>#N/A</v>
      </c>
      <c r="N148" s="270" t="e">
        <f>+IF((Tabla110[[#This Row],[Precio Unitario Neto]]-Tabla110[[#This Row],[Apoyo]]-Tabla110[[#This Row],[COSTO + INDI]])&lt;=0,0,(Tabla110[[#This Row],[Precio Unitario Neto]]-Tabla110[[#This Row],[Apoyo]]-Tabla110[[#This Row],[COSTO + INDI]]))</f>
        <v>#N/A</v>
      </c>
      <c r="O148" s="258" t="e">
        <f>++Tabla110[[#This Row],[Utilidad Neta x Eq.]]*Tabla110[[#This Row],[Cantidad]]</f>
        <v>#N/A</v>
      </c>
      <c r="P148" s="271" t="e">
        <f>++Tabla110[[#This Row],[Utilidad Neta Total]]/Tabla110[[#This Row],[Venta Total]]</f>
        <v>#N/A</v>
      </c>
      <c r="Q148" s="258" t="s">
        <v>604</v>
      </c>
      <c r="R148" s="272" t="e">
        <f>INDEX(Tabla6[#All],MATCH(Tabla110[[#This Row],[Producto]],Tabla6[[#All],[PRODUCTO]],0),MATCH(Tabla110[[#This Row],[Mes]],Tabla6[#Headers],0))</f>
        <v>#N/A</v>
      </c>
      <c r="S148" s="260" t="e">
        <f>++Tabla110[[#This Row],[Precio Unitario Neto]]-Tabla110[[#This Row],[Apoyo]]-Tabla110[[#This Row],[Costo unitario]]</f>
        <v>#N/A</v>
      </c>
      <c r="T148" s="273" t="e">
        <f>+Tabla110[[#This Row],[Utilidad Bruta]]*Tabla110[[#This Row],[Cantidad]]</f>
        <v>#N/A</v>
      </c>
      <c r="U148" s="404" t="e">
        <f>++Tabla110[[#This Row],[Utilidad Bruta Total]]*$V$1</f>
        <v>#N/A</v>
      </c>
      <c r="V148" s="278" t="e">
        <f>++Tabla110[[#This Row],[Utilidad Bruta Total]]*$V$1</f>
        <v>#N/A</v>
      </c>
      <c r="W148" s="278">
        <f>VLOOKUP(Tabla110[[#This Row],[Producto]],'NUEVAS LISTAS'!$B$3:$P$403,'Ventas '!W$6,FALSE)</f>
        <v>7849</v>
      </c>
      <c r="X148" s="278">
        <f>VLOOKUP(Tabla110[[#This Row],[Producto]],'NUEVAS LISTAS'!$B$3:$P$403,'Ventas '!X$6,FALSE)</f>
        <v>8249</v>
      </c>
      <c r="Y148" s="278">
        <f>VLOOKUP(Tabla110[[#This Row],[Producto]],'NUEVAS LISTAS'!$B$3:$P$403,'Ventas '!Y$6,FALSE)</f>
        <v>8699</v>
      </c>
      <c r="Z148" s="278">
        <f>VLOOKUP(Tabla110[[#This Row],[Producto]],'NUEVAS LISTAS'!$B$3:$P$403,'Ventas '!Z$6,FALSE)</f>
        <v>9149</v>
      </c>
      <c r="AA148" s="543">
        <f>IF(AB148&lt;$AC$2,0,IF(Tabla110[[#This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48" s="539">
        <f>SUMIFS(Tabla110[[#All],[Venta Total]],Tabla110[[#All],[Asesor]],Tabla110[[#This Row],[Asesor]],Tabla110[[#All],[Fecha Cobranza]],"&lt;="&amp;Tabla110[[#This Row],[Fecha Cobranza]],Tabla110[[#All],[Fecha Cobranza]],"&gt;="&amp;Tabla110[[#This Row],[Fecha Cobranza]]-28)</f>
        <v>244784.08159999998</v>
      </c>
      <c r="AC148" s="542">
        <f t="shared" si="36"/>
        <v>0</v>
      </c>
      <c r="AD148" s="544">
        <f t="shared" si="37"/>
        <v>2.75E-2</v>
      </c>
      <c r="AE148" s="545">
        <f>+AD148*Tabla110[[#This Row],[Venta Total]]</f>
        <v>322.21934799999997</v>
      </c>
    </row>
    <row r="149" spans="1:31" x14ac:dyDescent="0.2">
      <c r="A149" s="264">
        <v>46006</v>
      </c>
      <c r="B149" s="274" t="str">
        <f t="shared" ref="B149:B151" si="39">TEXT(A149,"mmmm")</f>
        <v>December</v>
      </c>
      <c r="C149" s="265" t="s">
        <v>278</v>
      </c>
      <c r="D149" s="266" t="str">
        <f>VLOOKUP(Tabla110[[#This Row],[Asesor]],Tabla2[[Asesores]:[TIPO]],2,0)</f>
        <v>INTERNO</v>
      </c>
      <c r="E149" s="268" t="s">
        <v>1146</v>
      </c>
      <c r="F149" s="267" t="s">
        <v>3837</v>
      </c>
      <c r="G149" s="50" t="s">
        <v>31</v>
      </c>
      <c r="H149" s="269">
        <v>8</v>
      </c>
      <c r="I149" s="275">
        <v>2801.72</v>
      </c>
      <c r="J149" s="260">
        <f>+Tabla110[[#This Row],[Precio Bruto]]*1.16</f>
        <v>3249.9951999999994</v>
      </c>
      <c r="L149" s="270">
        <f>++(Tabla110[[#This Row],[Precio Unitario Neto]]*Tabla110[[#This Row],[Cantidad]])-(Tabla110[[#This Row],[Cantidad]]*Tabla110[[#This Row],[Apoyo]])</f>
        <v>25999.961599999995</v>
      </c>
      <c r="M149" s="270" t="e">
        <f>((INDEX(Tabla6[#All],MATCH(Tabla110[[#This Row],[Producto]],Tabla6[[#All],[PRODUCTO]],0),MATCH(Tabla110[[#This Row],[Mes]],Tabla6[#Headers],0)))*(1+(IF(Tabla110[[#This Row],[FLETE]]="no",Catalogos!$M$2,Catalogos!$L$2))))</f>
        <v>#N/A</v>
      </c>
      <c r="N149" s="270" t="e">
        <f>+IF((Tabla110[[#This Row],[Precio Unitario Neto]]-Tabla110[[#This Row],[Apoyo]]-Tabla110[[#This Row],[COSTO + INDI]])&lt;=0,0,(Tabla110[[#This Row],[Precio Unitario Neto]]-Tabla110[[#This Row],[Apoyo]]-Tabla110[[#This Row],[COSTO + INDI]]))</f>
        <v>#N/A</v>
      </c>
      <c r="O149" s="258" t="e">
        <f>++Tabla110[[#This Row],[Utilidad Neta x Eq.]]*Tabla110[[#This Row],[Cantidad]]</f>
        <v>#N/A</v>
      </c>
      <c r="P149" s="271" t="e">
        <f>++Tabla110[[#This Row],[Utilidad Neta Total]]/Tabla110[[#This Row],[Venta Total]]</f>
        <v>#N/A</v>
      </c>
      <c r="Q149" s="258" t="s">
        <v>604</v>
      </c>
      <c r="R149" s="272" t="e">
        <f>INDEX(Tabla6[#All],MATCH(Tabla110[[#This Row],[Producto]],Tabla6[[#All],[PRODUCTO]],0),MATCH(Tabla110[[#This Row],[Mes]],Tabla6[#Headers],0))</f>
        <v>#N/A</v>
      </c>
      <c r="S149" s="260" t="e">
        <f>++Tabla110[[#This Row],[Precio Unitario Neto]]-Tabla110[[#This Row],[Apoyo]]-Tabla110[[#This Row],[Costo unitario]]</f>
        <v>#N/A</v>
      </c>
      <c r="T149" s="273" t="e">
        <f>+Tabla110[[#This Row],[Utilidad Bruta]]*Tabla110[[#This Row],[Cantidad]]</f>
        <v>#N/A</v>
      </c>
      <c r="U149" s="404" t="e">
        <f>++Tabla110[[#This Row],[Utilidad Bruta Total]]*$V$1</f>
        <v>#N/A</v>
      </c>
      <c r="V149" s="278" t="e">
        <f>++Tabla110[[#This Row],[Utilidad Bruta Total]]*$V$1</f>
        <v>#N/A</v>
      </c>
      <c r="W149" s="278">
        <f>VLOOKUP(Tabla110[[#This Row],[Producto]],'NUEVAS LISTAS'!$B$3:$P$403,'Ventas '!W$6,FALSE)</f>
        <v>3259</v>
      </c>
      <c r="X149" s="278">
        <f>VLOOKUP(Tabla110[[#This Row],[Producto]],'NUEVAS LISTAS'!$B$3:$P$403,'Ventas '!X$6,FALSE)</f>
        <v>3429</v>
      </c>
      <c r="Y149" s="278">
        <f>VLOOKUP(Tabla110[[#This Row],[Producto]],'NUEVAS LISTAS'!$B$3:$P$403,'Ventas '!Y$6,FALSE)</f>
        <v>3609</v>
      </c>
      <c r="Z149" s="278">
        <f>VLOOKUP(Tabla110[[#This Row],[Producto]],'NUEVAS LISTAS'!$B$3:$P$403,'Ventas '!Z$6,FALSE)</f>
        <v>3799</v>
      </c>
      <c r="AA149" s="543">
        <f>IF(AB149&lt;$AC$2,0,IF(Tabla110[[#This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49" s="539">
        <f>SUMIFS(Tabla110[[#All],[Venta Total]],Tabla110[[#All],[Asesor]],Tabla110[[#This Row],[Asesor]],Tabla110[[#All],[Fecha Cobranza]],"&lt;="&amp;Tabla110[[#This Row],[Fecha Cobranza]],Tabla110[[#All],[Fecha Cobranza]],"&gt;="&amp;Tabla110[[#This Row],[Fecha Cobranza]]-28)</f>
        <v>722366.75359999994</v>
      </c>
      <c r="AC149" s="542">
        <f t="shared" si="36"/>
        <v>0</v>
      </c>
      <c r="AD149" s="544">
        <f t="shared" si="37"/>
        <v>0.02</v>
      </c>
      <c r="AE149" s="545">
        <f>+AD149*Tabla110[[#This Row],[Venta Total]]</f>
        <v>519.99923199999989</v>
      </c>
    </row>
    <row r="150" spans="1:31" x14ac:dyDescent="0.2">
      <c r="A150" s="264">
        <v>46006</v>
      </c>
      <c r="B150" s="274" t="str">
        <f t="shared" si="39"/>
        <v>December</v>
      </c>
      <c r="C150" s="265" t="s">
        <v>278</v>
      </c>
      <c r="D150" s="266" t="str">
        <f>VLOOKUP(Tabla110[[#This Row],[Asesor]],Tabla2[[Asesores]:[TIPO]],2,0)</f>
        <v>INTERNO</v>
      </c>
      <c r="E150" s="268" t="s">
        <v>1146</v>
      </c>
      <c r="F150" s="267" t="s">
        <v>3837</v>
      </c>
      <c r="G150" s="50" t="s">
        <v>572</v>
      </c>
      <c r="H150" s="269">
        <v>2</v>
      </c>
      <c r="I150" s="275">
        <v>1024.08</v>
      </c>
      <c r="J150" s="260">
        <f>+Tabla110[[#This Row],[Precio Bruto]]*1.16</f>
        <v>1187.9327999999998</v>
      </c>
      <c r="L150" s="270">
        <f>++(Tabla110[[#This Row],[Precio Unitario Neto]]*Tabla110[[#This Row],[Cantidad]])-(Tabla110[[#This Row],[Cantidad]]*Tabla110[[#This Row],[Apoyo]])</f>
        <v>2375.8655999999996</v>
      </c>
      <c r="M150" s="270" t="e">
        <f>((INDEX(Tabla6[#All],MATCH(Tabla110[[#This Row],[Producto]],Tabla6[[#All],[PRODUCTO]],0),MATCH(Tabla110[[#This Row],[Mes]],Tabla6[#Headers],0)))*(1+(IF(Tabla110[[#This Row],[FLETE]]="no",Catalogos!$M$2,Catalogos!$L$2))))</f>
        <v>#N/A</v>
      </c>
      <c r="N150" s="270" t="e">
        <f>+IF((Tabla110[[#This Row],[Precio Unitario Neto]]-Tabla110[[#This Row],[Apoyo]]-Tabla110[[#This Row],[COSTO + INDI]])&lt;=0,0,(Tabla110[[#This Row],[Precio Unitario Neto]]-Tabla110[[#This Row],[Apoyo]]-Tabla110[[#This Row],[COSTO + INDI]]))</f>
        <v>#N/A</v>
      </c>
      <c r="O150" s="258" t="e">
        <f>++Tabla110[[#This Row],[Utilidad Neta x Eq.]]*Tabla110[[#This Row],[Cantidad]]</f>
        <v>#N/A</v>
      </c>
      <c r="P150" s="271" t="e">
        <f>++Tabla110[[#This Row],[Utilidad Neta Total]]/Tabla110[[#This Row],[Venta Total]]</f>
        <v>#N/A</v>
      </c>
      <c r="Q150" s="258" t="s">
        <v>604</v>
      </c>
      <c r="R150" s="272" t="e">
        <f>INDEX(Tabla6[#All],MATCH(Tabla110[[#This Row],[Producto]],Tabla6[[#All],[PRODUCTO]],0),MATCH(Tabla110[[#This Row],[Mes]],Tabla6[#Headers],0))</f>
        <v>#N/A</v>
      </c>
      <c r="S150" s="260" t="e">
        <f>++Tabla110[[#This Row],[Precio Unitario Neto]]-Tabla110[[#This Row],[Apoyo]]-Tabla110[[#This Row],[Costo unitario]]</f>
        <v>#N/A</v>
      </c>
      <c r="T150" s="273" t="e">
        <f>+Tabla110[[#This Row],[Utilidad Bruta]]*Tabla110[[#This Row],[Cantidad]]</f>
        <v>#N/A</v>
      </c>
      <c r="U150" s="404" t="e">
        <f>++Tabla110[[#This Row],[Utilidad Bruta Total]]*$V$1</f>
        <v>#N/A</v>
      </c>
      <c r="V150" s="278" t="e">
        <f>++Tabla110[[#This Row],[Utilidad Bruta Total]]*$V$1</f>
        <v>#N/A</v>
      </c>
      <c r="W150" s="278">
        <f>VLOOKUP(Tabla110[[#This Row],[Producto]],'NUEVAS LISTAS'!$B$3:$P$403,'Ventas '!W$6,FALSE)</f>
        <v>1199</v>
      </c>
      <c r="X150" s="278">
        <f>VLOOKUP(Tabla110[[#This Row],[Producto]],'NUEVAS LISTAS'!$B$3:$P$403,'Ventas '!X$6,FALSE)</f>
        <v>1259</v>
      </c>
      <c r="Y150" s="278">
        <f>VLOOKUP(Tabla110[[#This Row],[Producto]],'NUEVAS LISTAS'!$B$3:$P$403,'Ventas '!Y$6,FALSE)</f>
        <v>1329</v>
      </c>
      <c r="Z150" s="278">
        <f>VLOOKUP(Tabla110[[#This Row],[Producto]],'NUEVAS LISTAS'!$B$3:$P$403,'Ventas '!Z$6,FALSE)</f>
        <v>1399</v>
      </c>
      <c r="AA150" s="543">
        <f>IF(AB150&lt;$AC$2,0,IF(Tabla110[[#This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0" s="539">
        <f>SUMIFS(Tabla110[[#All],[Venta Total]],Tabla110[[#All],[Asesor]],Tabla110[[#This Row],[Asesor]],Tabla110[[#All],[Fecha Cobranza]],"&lt;="&amp;Tabla110[[#This Row],[Fecha Cobranza]],Tabla110[[#All],[Fecha Cobranza]],"&gt;="&amp;Tabla110[[#This Row],[Fecha Cobranza]]-28)</f>
        <v>722366.75359999994</v>
      </c>
      <c r="AC150" s="542">
        <f t="shared" si="36"/>
        <v>0</v>
      </c>
      <c r="AD150" s="544">
        <f t="shared" si="37"/>
        <v>0.02</v>
      </c>
      <c r="AE150" s="545">
        <f>+AD150*Tabla110[[#This Row],[Venta Total]]</f>
        <v>47.517311999999997</v>
      </c>
    </row>
    <row r="151" spans="1:31" x14ac:dyDescent="0.2">
      <c r="A151" s="264">
        <v>46006</v>
      </c>
      <c r="B151" s="274" t="str">
        <f t="shared" si="39"/>
        <v>December</v>
      </c>
      <c r="C151" s="265" t="s">
        <v>278</v>
      </c>
      <c r="D151" s="266" t="str">
        <f>VLOOKUP(Tabla110[[#This Row],[Asesor]],Tabla2[[Asesores]:[TIPO]],2,0)</f>
        <v>INTERNO</v>
      </c>
      <c r="E151" s="268" t="s">
        <v>1146</v>
      </c>
      <c r="F151" s="267" t="s">
        <v>3837</v>
      </c>
      <c r="G151" s="50" t="s">
        <v>566</v>
      </c>
      <c r="H151" s="269">
        <v>1</v>
      </c>
      <c r="I151" s="275">
        <v>1280.0999999999999</v>
      </c>
      <c r="J151" s="260">
        <f>+Tabla110[[#This Row],[Precio Bruto]]*1.16</f>
        <v>1484.9159999999997</v>
      </c>
      <c r="L151" s="270">
        <f>++(Tabla110[[#This Row],[Precio Unitario Neto]]*Tabla110[[#This Row],[Cantidad]])-(Tabla110[[#This Row],[Cantidad]]*Tabla110[[#This Row],[Apoyo]])</f>
        <v>1484.9159999999997</v>
      </c>
      <c r="M151" s="270" t="e">
        <f>((INDEX(Tabla6[#All],MATCH(Tabla110[[#This Row],[Producto]],Tabla6[[#All],[PRODUCTO]],0),MATCH(Tabla110[[#This Row],[Mes]],Tabla6[#Headers],0)))*(1+(IF(Tabla110[[#This Row],[FLETE]]="no",Catalogos!$M$2,Catalogos!$L$2))))</f>
        <v>#N/A</v>
      </c>
      <c r="N151" s="270" t="e">
        <f>+IF((Tabla110[[#This Row],[Precio Unitario Neto]]-Tabla110[[#This Row],[Apoyo]]-Tabla110[[#This Row],[COSTO + INDI]])&lt;=0,0,(Tabla110[[#This Row],[Precio Unitario Neto]]-Tabla110[[#This Row],[Apoyo]]-Tabla110[[#This Row],[COSTO + INDI]]))</f>
        <v>#N/A</v>
      </c>
      <c r="O151" s="258" t="e">
        <f>++Tabla110[[#This Row],[Utilidad Neta x Eq.]]*Tabla110[[#This Row],[Cantidad]]</f>
        <v>#N/A</v>
      </c>
      <c r="P151" s="271" t="e">
        <f>++Tabla110[[#This Row],[Utilidad Neta Total]]/Tabla110[[#This Row],[Venta Total]]</f>
        <v>#N/A</v>
      </c>
      <c r="Q151" s="258" t="s">
        <v>604</v>
      </c>
      <c r="R151" s="272" t="e">
        <f>INDEX(Tabla6[#All],MATCH(Tabla110[[#This Row],[Producto]],Tabla6[[#All],[PRODUCTO]],0),MATCH(Tabla110[[#This Row],[Mes]],Tabla6[#Headers],0))</f>
        <v>#N/A</v>
      </c>
      <c r="S151" s="260" t="e">
        <f>++Tabla110[[#This Row],[Precio Unitario Neto]]-Tabla110[[#This Row],[Apoyo]]-Tabla110[[#This Row],[Costo unitario]]</f>
        <v>#N/A</v>
      </c>
      <c r="T151" s="273" t="e">
        <f>+Tabla110[[#This Row],[Utilidad Bruta]]*Tabla110[[#This Row],[Cantidad]]</f>
        <v>#N/A</v>
      </c>
      <c r="U151" s="404" t="e">
        <f>++Tabla110[[#This Row],[Utilidad Bruta Total]]*$V$1</f>
        <v>#N/A</v>
      </c>
      <c r="V151" s="278" t="e">
        <f>++Tabla110[[#This Row],[Utilidad Bruta Total]]*$V$1</f>
        <v>#N/A</v>
      </c>
      <c r="W151" s="278">
        <f>VLOOKUP(Tabla110[[#This Row],[Producto]],'NUEVAS LISTAS'!$B$3:$P$403,'Ventas '!W$6,FALSE)</f>
        <v>1479</v>
      </c>
      <c r="X151" s="278">
        <f>VLOOKUP(Tabla110[[#This Row],[Producto]],'NUEVAS LISTAS'!$B$3:$P$403,'Ventas '!X$6,FALSE)</f>
        <v>1559</v>
      </c>
      <c r="Y151" s="278">
        <f>VLOOKUP(Tabla110[[#This Row],[Producto]],'NUEVAS LISTAS'!$B$3:$P$403,'Ventas '!Y$6,FALSE)</f>
        <v>1639</v>
      </c>
      <c r="Z151" s="278">
        <f>VLOOKUP(Tabla110[[#This Row],[Producto]],'NUEVAS LISTAS'!$B$3:$P$403,'Ventas '!Z$6,FALSE)</f>
        <v>1729</v>
      </c>
      <c r="AA151" s="543">
        <f>IF(AB151&lt;$AC$2,0,IF(Tabla110[[#This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1" s="539">
        <f>SUMIFS(Tabla110[[#All],[Venta Total]],Tabla110[[#All],[Asesor]],Tabla110[[#This Row],[Asesor]],Tabla110[[#All],[Fecha Cobranza]],"&lt;="&amp;Tabla110[[#This Row],[Fecha Cobranza]],Tabla110[[#All],[Fecha Cobranza]],"&gt;="&amp;Tabla110[[#This Row],[Fecha Cobranza]]-28)</f>
        <v>722366.75359999994</v>
      </c>
      <c r="AC151" s="542">
        <f t="shared" si="36"/>
        <v>0</v>
      </c>
      <c r="AD151" s="544">
        <f t="shared" si="37"/>
        <v>0.02</v>
      </c>
      <c r="AE151" s="545">
        <f>+AD151*Tabla110[[#This Row],[Venta Total]]</f>
        <v>29.698319999999995</v>
      </c>
    </row>
    <row r="152" spans="1:31" x14ac:dyDescent="0.2">
      <c r="A152" s="264">
        <v>46006</v>
      </c>
      <c r="B152" s="274" t="str">
        <f>TEXT(A152,"mmmm")</f>
        <v>December</v>
      </c>
      <c r="C152" s="265" t="s">
        <v>455</v>
      </c>
      <c r="D152" s="266" t="str">
        <f>VLOOKUP(Tabla110[[#This Row],[Asesor]],Tabla2[[Asesores]:[TIPO]],2,0)</f>
        <v>INTERNO</v>
      </c>
      <c r="E152" s="268" t="s">
        <v>3783</v>
      </c>
      <c r="F152" s="267" t="s">
        <v>3838</v>
      </c>
      <c r="G152" s="50" t="s">
        <v>256</v>
      </c>
      <c r="H152" s="269">
        <v>10</v>
      </c>
      <c r="I152" s="275">
        <v>1809.4830000000002</v>
      </c>
      <c r="J152" s="260">
        <f>+Tabla110[[#This Row],[Precio Bruto]]*1.16</f>
        <v>2099.0002800000002</v>
      </c>
      <c r="L152" s="270">
        <f>++(Tabla110[[#This Row],[Precio Unitario Neto]]*Tabla110[[#This Row],[Cantidad]])-(Tabla110[[#This Row],[Cantidad]]*Tabla110[[#This Row],[Apoyo]])</f>
        <v>20990.002800000002</v>
      </c>
      <c r="M152" s="270" t="e">
        <f>((INDEX(Tabla6[#All],MATCH(Tabla110[[#This Row],[Producto]],Tabla6[[#All],[PRODUCTO]],0),MATCH(Tabla110[[#This Row],[Mes]],Tabla6[#Headers],0)))*(1+(IF(Tabla110[[#This Row],[FLETE]]="no",Catalogos!$M$2,Catalogos!$L$2))))</f>
        <v>#N/A</v>
      </c>
      <c r="N152" s="270" t="e">
        <f>+IF((Tabla110[[#This Row],[Precio Unitario Neto]]-Tabla110[[#This Row],[Apoyo]]-Tabla110[[#This Row],[COSTO + INDI]])&lt;=0,0,(Tabla110[[#This Row],[Precio Unitario Neto]]-Tabla110[[#This Row],[Apoyo]]-Tabla110[[#This Row],[COSTO + INDI]]))</f>
        <v>#N/A</v>
      </c>
      <c r="O152" s="258" t="e">
        <f>++Tabla110[[#This Row],[Utilidad Neta x Eq.]]*Tabla110[[#This Row],[Cantidad]]</f>
        <v>#N/A</v>
      </c>
      <c r="P152" s="271" t="e">
        <f>++Tabla110[[#This Row],[Utilidad Neta Total]]/Tabla110[[#This Row],[Venta Total]]</f>
        <v>#N/A</v>
      </c>
      <c r="Q152" s="258" t="s">
        <v>604</v>
      </c>
      <c r="R152" s="272" t="e">
        <f>INDEX(Tabla6[#All],MATCH(Tabla110[[#This Row],[Producto]],Tabla6[[#All],[PRODUCTO]],0),MATCH(Tabla110[[#This Row],[Mes]],Tabla6[#Headers],0))</f>
        <v>#N/A</v>
      </c>
      <c r="S152" s="260" t="e">
        <f>++Tabla110[[#This Row],[Precio Unitario Neto]]-Tabla110[[#This Row],[Apoyo]]-Tabla110[[#This Row],[Costo unitario]]</f>
        <v>#N/A</v>
      </c>
      <c r="T152" s="273" t="e">
        <f>+Tabla110[[#This Row],[Utilidad Bruta]]*Tabla110[[#This Row],[Cantidad]]</f>
        <v>#N/A</v>
      </c>
      <c r="U152" s="404" t="e">
        <f>++Tabla110[[#This Row],[Utilidad Bruta Total]]*$V$1</f>
        <v>#N/A</v>
      </c>
      <c r="V152" s="278" t="e">
        <f>++Tabla110[[#This Row],[Utilidad Bruta Total]]*$V$1</f>
        <v>#N/A</v>
      </c>
      <c r="W152" s="278">
        <f>VLOOKUP(Tabla110[[#This Row],[Producto]],'NUEVAS LISTAS'!$B$3:$P$403,'Ventas '!W$6,FALSE)</f>
        <v>2079</v>
      </c>
      <c r="X152" s="278">
        <f>VLOOKUP(Tabla110[[#This Row],[Producto]],'NUEVAS LISTAS'!$B$3:$P$403,'Ventas '!X$6,FALSE)</f>
        <v>2309</v>
      </c>
      <c r="Y152" s="278">
        <f>VLOOKUP(Tabla110[[#This Row],[Producto]],'NUEVAS LISTAS'!$B$3:$P$403,'Ventas '!Y$6,FALSE)</f>
        <v>2429</v>
      </c>
      <c r="Z152" s="278">
        <f>VLOOKUP(Tabla110[[#This Row],[Producto]],'NUEVAS LISTAS'!$B$3:$P$403,'Ventas '!Z$6,FALSE)</f>
        <v>2639</v>
      </c>
      <c r="AA152" s="543">
        <f>IF(AB152&lt;$AC$2,0,IF(Tabla110[[#This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2" s="539">
        <f>SUMIFS(Tabla110[[#All],[Venta Total]],Tabla110[[#All],[Asesor]],Tabla110[[#This Row],[Asesor]],Tabla110[[#All],[Fecha Cobranza]],"&lt;="&amp;Tabla110[[#This Row],[Fecha Cobranza]],Tabla110[[#All],[Fecha Cobranza]],"&gt;="&amp;Tabla110[[#This Row],[Fecha Cobranza]]-28)</f>
        <v>1481687.3719999997</v>
      </c>
      <c r="AC152" s="542">
        <f t="shared" si="36"/>
        <v>0</v>
      </c>
      <c r="AD152" s="544">
        <f t="shared" si="37"/>
        <v>0.02</v>
      </c>
      <c r="AE152" s="545">
        <f>+AD152*Tabla110[[#This Row],[Venta Total]]</f>
        <v>419.80005600000004</v>
      </c>
    </row>
    <row r="153" spans="1:31" x14ac:dyDescent="0.2">
      <c r="A153" s="264">
        <v>46006</v>
      </c>
      <c r="B153" s="274" t="str">
        <f>TEXT(A153,"mmmm")</f>
        <v>December</v>
      </c>
      <c r="C153" s="265" t="s">
        <v>280</v>
      </c>
      <c r="D153" s="266" t="str">
        <f>VLOOKUP(Tabla110[[#This Row],[Asesor]],Tabla2[[Asesores]:[TIPO]],2,0)</f>
        <v>INTERNO</v>
      </c>
      <c r="E153" s="268" t="s">
        <v>594</v>
      </c>
      <c r="F153" s="267" t="s">
        <v>3839</v>
      </c>
      <c r="G153" s="50" t="s">
        <v>83</v>
      </c>
      <c r="H153" s="269">
        <v>1</v>
      </c>
      <c r="I153" s="275">
        <v>10100.92</v>
      </c>
      <c r="J153" s="260">
        <f>+Tabla110[[#This Row],[Precio Bruto]]*1.16</f>
        <v>11717.0672</v>
      </c>
      <c r="L153" s="270">
        <f>++(Tabla110[[#This Row],[Precio Unitario Neto]]*Tabla110[[#This Row],[Cantidad]])-(Tabla110[[#This Row],[Cantidad]]*Tabla110[[#This Row],[Apoyo]])</f>
        <v>11717.0672</v>
      </c>
      <c r="M153" s="270" t="e">
        <f>((INDEX(Tabla6[#All],MATCH(Tabla110[[#This Row],[Producto]],Tabla6[[#All],[PRODUCTO]],0),MATCH(Tabla110[[#This Row],[Mes]],Tabla6[#Headers],0)))*(1+(IF(Tabla110[[#This Row],[FLETE]]="no",Catalogos!$M$2,Catalogos!$L$2))))</f>
        <v>#N/A</v>
      </c>
      <c r="N153" s="270" t="e">
        <f>+IF((Tabla110[[#This Row],[Precio Unitario Neto]]-Tabla110[[#This Row],[Apoyo]]-Tabla110[[#This Row],[COSTO + INDI]])&lt;=0,0,(Tabla110[[#This Row],[Precio Unitario Neto]]-Tabla110[[#This Row],[Apoyo]]-Tabla110[[#This Row],[COSTO + INDI]]))</f>
        <v>#N/A</v>
      </c>
      <c r="O153" s="258" t="e">
        <f>++Tabla110[[#This Row],[Utilidad Neta x Eq.]]*Tabla110[[#This Row],[Cantidad]]</f>
        <v>#N/A</v>
      </c>
      <c r="P153" s="271" t="e">
        <f>++Tabla110[[#This Row],[Utilidad Neta Total]]/Tabla110[[#This Row],[Venta Total]]</f>
        <v>#N/A</v>
      </c>
      <c r="Q153" s="258" t="s">
        <v>604</v>
      </c>
      <c r="R153" s="272" t="e">
        <f>INDEX(Tabla6[#All],MATCH(Tabla110[[#This Row],[Producto]],Tabla6[[#All],[PRODUCTO]],0),MATCH(Tabla110[[#This Row],[Mes]],Tabla6[#Headers],0))</f>
        <v>#N/A</v>
      </c>
      <c r="S153" s="260" t="e">
        <f>++Tabla110[[#This Row],[Precio Unitario Neto]]-Tabla110[[#This Row],[Apoyo]]-Tabla110[[#This Row],[Costo unitario]]</f>
        <v>#N/A</v>
      </c>
      <c r="T153" s="273" t="e">
        <f>+Tabla110[[#This Row],[Utilidad Bruta]]*Tabla110[[#This Row],[Cantidad]]</f>
        <v>#N/A</v>
      </c>
      <c r="U153" s="404" t="e">
        <f>++Tabla110[[#This Row],[Utilidad Bruta Total]]*$V$1</f>
        <v>#N/A</v>
      </c>
      <c r="V153" s="278" t="e">
        <f>++Tabla110[[#This Row],[Utilidad Bruta Total]]*$V$1</f>
        <v>#N/A</v>
      </c>
      <c r="W153" s="278">
        <f>VLOOKUP(Tabla110[[#This Row],[Producto]],'NUEVAS LISTAS'!$B$3:$P$403,'Ventas '!W$6,FALSE)</f>
        <v>7849</v>
      </c>
      <c r="X153" s="278">
        <f>VLOOKUP(Tabla110[[#This Row],[Producto]],'NUEVAS LISTAS'!$B$3:$P$403,'Ventas '!X$6,FALSE)</f>
        <v>8249</v>
      </c>
      <c r="Y153" s="278">
        <f>VLOOKUP(Tabla110[[#This Row],[Producto]],'NUEVAS LISTAS'!$B$3:$P$403,'Ventas '!Y$6,FALSE)</f>
        <v>8699</v>
      </c>
      <c r="Z153" s="278">
        <f>VLOOKUP(Tabla110[[#This Row],[Producto]],'NUEVAS LISTAS'!$B$3:$P$403,'Ventas '!Z$6,FALSE)</f>
        <v>9149</v>
      </c>
      <c r="AA153" s="543">
        <f>IF(AB153&lt;$AC$2,0,IF(Tabla110[[#This Row],[Precio Unitario Neto]]&gt;=Tabla110[[#This Row],[PRECIO 1]],$Z$1,IF(Tabla110[[#This Row],[Precio Unitario Neto]]&gt;=Tabla110[[#This Row],[PRECIO 2]],$Y$1,IF(Tabla110[[#This Row],[Precio Unitario Neto]]&gt;=Tabla110[[#This Row],[PRECIO 3]],$X$1,IF(Tabla110[[#This Row],[Precio Unitario Neto]]&gt;=Tabla110[[#This Row],[PRECIO 4]],$W$1,$AC$1)))))</f>
        <v>2.75E-2</v>
      </c>
      <c r="AB153" s="539">
        <f>SUMIFS(Tabla110[[#All],[Venta Total]],Tabla110[[#All],[Asesor]],Tabla110[[#This Row],[Asesor]],Tabla110[[#All],[Fecha Cobranza]],"&lt;="&amp;Tabla110[[#This Row],[Fecha Cobranza]],Tabla110[[#All],[Fecha Cobranza]],"&gt;="&amp;Tabla110[[#This Row],[Fecha Cobranza]]-28)</f>
        <v>244784.08159999998</v>
      </c>
      <c r="AC153" s="542">
        <f t="shared" si="36"/>
        <v>0</v>
      </c>
      <c r="AD153" s="544">
        <f t="shared" si="37"/>
        <v>2.75E-2</v>
      </c>
      <c r="AE153" s="545">
        <f>+AD153*Tabla110[[#This Row],[Venta Total]]</f>
        <v>322.21934799999997</v>
      </c>
    </row>
    <row r="154" spans="1:31" x14ac:dyDescent="0.2">
      <c r="A154" s="264">
        <v>46006</v>
      </c>
      <c r="B154" s="274" t="str">
        <f>TEXT(A154,"mmmm")</f>
        <v>December</v>
      </c>
      <c r="C154" s="265" t="s">
        <v>277</v>
      </c>
      <c r="D154" s="266" t="str">
        <f>VLOOKUP(Tabla110[[#This Row],[Asesor]],Tabla2[[Asesores]:[TIPO]],2,0)</f>
        <v>INTERNO</v>
      </c>
      <c r="E154" s="268" t="s">
        <v>1393</v>
      </c>
      <c r="F154" s="267" t="s">
        <v>3840</v>
      </c>
      <c r="G154" s="50" t="s">
        <v>227</v>
      </c>
      <c r="H154" s="269">
        <v>2</v>
      </c>
      <c r="I154" s="275">
        <v>6973.2749999999996</v>
      </c>
      <c r="J154" s="260">
        <f>+Tabla110[[#This Row],[Precio Bruto]]*1.16</f>
        <v>8088.9989999999989</v>
      </c>
      <c r="L154" s="270">
        <f>++(Tabla110[[#This Row],[Precio Unitario Neto]]*Tabla110[[#This Row],[Cantidad]])-(Tabla110[[#This Row],[Cantidad]]*Tabla110[[#This Row],[Apoyo]])</f>
        <v>16177.997999999998</v>
      </c>
      <c r="M154" s="270" t="e">
        <f>((INDEX(Tabla6[#All],MATCH(Tabla110[[#This Row],[Producto]],Tabla6[[#All],[PRODUCTO]],0),MATCH(Tabla110[[#This Row],[Mes]],Tabla6[#Headers],0)))*(1+(IF(Tabla110[[#This Row],[FLETE]]="no",Catalogos!$M$2,Catalogos!$L$2))))</f>
        <v>#N/A</v>
      </c>
      <c r="N154" s="270" t="e">
        <f>+IF((Tabla110[[#This Row],[Precio Unitario Neto]]-Tabla110[[#This Row],[Apoyo]]-Tabla110[[#This Row],[COSTO + INDI]])&lt;=0,0,(Tabla110[[#This Row],[Precio Unitario Neto]]-Tabla110[[#This Row],[Apoyo]]-Tabla110[[#This Row],[COSTO + INDI]]))</f>
        <v>#N/A</v>
      </c>
      <c r="O154" s="258" t="e">
        <f>++Tabla110[[#This Row],[Utilidad Neta x Eq.]]*Tabla110[[#This Row],[Cantidad]]</f>
        <v>#N/A</v>
      </c>
      <c r="P154" s="271" t="e">
        <f>++Tabla110[[#This Row],[Utilidad Neta Total]]/Tabla110[[#This Row],[Venta Total]]</f>
        <v>#N/A</v>
      </c>
      <c r="Q154" s="258" t="s">
        <v>604</v>
      </c>
      <c r="R154" s="272" t="e">
        <f>INDEX(Tabla6[#All],MATCH(Tabla110[[#This Row],[Producto]],Tabla6[[#All],[PRODUCTO]],0),MATCH(Tabla110[[#This Row],[Mes]],Tabla6[#Headers],0))</f>
        <v>#N/A</v>
      </c>
      <c r="S154" s="260" t="e">
        <f>++Tabla110[[#This Row],[Precio Unitario Neto]]-Tabla110[[#This Row],[Apoyo]]-Tabla110[[#This Row],[Costo unitario]]</f>
        <v>#N/A</v>
      </c>
      <c r="T154" s="273" t="e">
        <f>+Tabla110[[#This Row],[Utilidad Bruta]]*Tabla110[[#This Row],[Cantidad]]</f>
        <v>#N/A</v>
      </c>
      <c r="U154" s="404" t="e">
        <f>++Tabla110[[#This Row],[Utilidad Bruta Total]]*$V$1</f>
        <v>#N/A</v>
      </c>
      <c r="V154" s="278" t="e">
        <f>++Tabla110[[#This Row],[Utilidad Bruta Total]]*$V$1</f>
        <v>#N/A</v>
      </c>
      <c r="W154" s="278">
        <f>VLOOKUP(Tabla110[[#This Row],[Producto]],'NUEVAS LISTAS'!$B$3:$P$403,'Ventas '!W$6,FALSE)</f>
        <v>6949</v>
      </c>
      <c r="X154" s="278">
        <f>VLOOKUP(Tabla110[[#This Row],[Producto]],'NUEVAS LISTAS'!$B$3:$P$403,'Ventas '!X$6,FALSE)</f>
        <v>7309</v>
      </c>
      <c r="Y154" s="278">
        <f>VLOOKUP(Tabla110[[#This Row],[Producto]],'NUEVAS LISTAS'!$B$3:$P$403,'Ventas '!Y$6,FALSE)</f>
        <v>7689</v>
      </c>
      <c r="Z154" s="278">
        <f>VLOOKUP(Tabla110[[#This Row],[Producto]],'NUEVAS LISTAS'!$B$3:$P$403,'Ventas '!Z$6,FALSE)</f>
        <v>8089</v>
      </c>
      <c r="AA154" s="543">
        <f>IF(AB154&lt;$AC$2,0,IF(Tabla110[[#This Row],[Precio Unitario Neto]]&gt;=Tabla110[[#This Row],[PRECIO 1]],$Z$1,IF(Tabla110[[#This Row],[Precio Unitario Neto]]&gt;=Tabla110[[#This Row],[PRECIO 2]],$Y$1,IF(Tabla110[[#This Row],[Precio Unitario Neto]]&gt;=Tabla110[[#This Row],[PRECIO 3]],$X$1,IF(Tabla110[[#This Row],[Precio Unitario Neto]]&gt;=Tabla110[[#This Row],[PRECIO 4]],$W$1,$AC$1)))))</f>
        <v>2.5000000000000001E-2</v>
      </c>
      <c r="AB154" s="539">
        <f>SUMIFS(Tabla110[[#All],[Venta Total]],Tabla110[[#All],[Asesor]],Tabla110[[#This Row],[Asesor]],Tabla110[[#All],[Fecha Cobranza]],"&lt;="&amp;Tabla110[[#This Row],[Fecha Cobranza]],Tabla110[[#All],[Fecha Cobranza]],"&gt;="&amp;Tabla110[[#This Row],[Fecha Cobranza]]-28)</f>
        <v>1053628.7308</v>
      </c>
      <c r="AC154" s="542">
        <f t="shared" si="36"/>
        <v>0</v>
      </c>
      <c r="AD154" s="544">
        <f t="shared" si="37"/>
        <v>2.5000000000000001E-2</v>
      </c>
      <c r="AE154" s="545">
        <f>+AD154*Tabla110[[#This Row],[Venta Total]]</f>
        <v>404.44994999999994</v>
      </c>
    </row>
    <row r="155" spans="1:31" x14ac:dyDescent="0.2">
      <c r="A155" s="264">
        <v>46006</v>
      </c>
      <c r="B155" s="274" t="str">
        <f>TEXT(A155,"mmmm")</f>
        <v>December</v>
      </c>
      <c r="C155" s="265" t="s">
        <v>280</v>
      </c>
      <c r="D155" s="266" t="str">
        <f>VLOOKUP(Tabla110[[#This Row],[Asesor]],Tabla2[[Asesores]:[TIPO]],2,0)</f>
        <v>INTERNO</v>
      </c>
      <c r="E155" s="268" t="s">
        <v>3784</v>
      </c>
      <c r="F155" s="267" t="s">
        <v>3841</v>
      </c>
      <c r="G155" s="50" t="s">
        <v>371</v>
      </c>
      <c r="H155" s="269">
        <v>45</v>
      </c>
      <c r="I155" s="275">
        <v>2112.068888888889</v>
      </c>
      <c r="J155" s="260">
        <f>+Tabla110[[#This Row],[Precio Bruto]]*1.16</f>
        <v>2449.999911111111</v>
      </c>
      <c r="L155" s="270">
        <f>++(Tabla110[[#This Row],[Precio Unitario Neto]]*Tabla110[[#This Row],[Cantidad]])-(Tabla110[[#This Row],[Cantidad]]*Tabla110[[#This Row],[Apoyo]])</f>
        <v>110249.996</v>
      </c>
      <c r="M155" s="270" t="e">
        <f>((INDEX(Tabla6[#All],MATCH(Tabla110[[#This Row],[Producto]],Tabla6[[#All],[PRODUCTO]],0),MATCH(Tabla110[[#This Row],[Mes]],Tabla6[#Headers],0)))*(1+(IF(Tabla110[[#This Row],[FLETE]]="no",Catalogos!$M$2,Catalogos!$L$2))))</f>
        <v>#N/A</v>
      </c>
      <c r="N155" s="270" t="e">
        <f>+IF((Tabla110[[#This Row],[Precio Unitario Neto]]-Tabla110[[#This Row],[Apoyo]]-Tabla110[[#This Row],[COSTO + INDI]])&lt;=0,0,(Tabla110[[#This Row],[Precio Unitario Neto]]-Tabla110[[#This Row],[Apoyo]]-Tabla110[[#This Row],[COSTO + INDI]]))</f>
        <v>#N/A</v>
      </c>
      <c r="O155" s="258" t="e">
        <f>++Tabla110[[#This Row],[Utilidad Neta x Eq.]]*Tabla110[[#This Row],[Cantidad]]</f>
        <v>#N/A</v>
      </c>
      <c r="P155" s="271" t="e">
        <f>++Tabla110[[#This Row],[Utilidad Neta Total]]/Tabla110[[#This Row],[Venta Total]]</f>
        <v>#N/A</v>
      </c>
      <c r="Q155" s="258" t="s">
        <v>604</v>
      </c>
      <c r="R155" s="272" t="e">
        <f>INDEX(Tabla6[#All],MATCH(Tabla110[[#This Row],[Producto]],Tabla6[[#All],[PRODUCTO]],0),MATCH(Tabla110[[#This Row],[Mes]],Tabla6[#Headers],0))</f>
        <v>#N/A</v>
      </c>
      <c r="S155" s="260" t="e">
        <f>++Tabla110[[#This Row],[Precio Unitario Neto]]-Tabla110[[#This Row],[Apoyo]]-Tabla110[[#This Row],[Costo unitario]]</f>
        <v>#N/A</v>
      </c>
      <c r="T155" s="273" t="e">
        <f>+Tabla110[[#This Row],[Utilidad Bruta]]*Tabla110[[#This Row],[Cantidad]]</f>
        <v>#N/A</v>
      </c>
      <c r="U155" s="404" t="e">
        <f>++Tabla110[[#This Row],[Utilidad Bruta Total]]*$V$1</f>
        <v>#N/A</v>
      </c>
      <c r="V155" s="278" t="e">
        <f>++Tabla110[[#This Row],[Utilidad Bruta Total]]*$V$1</f>
        <v>#N/A</v>
      </c>
      <c r="W155" s="278">
        <f>VLOOKUP(Tabla110[[#This Row],[Producto]],'NUEVAS LISTAS'!$B$3:$P$403,'Ventas '!W$6,FALSE)</f>
        <v>3359</v>
      </c>
      <c r="X155" s="278">
        <f>VLOOKUP(Tabla110[[#This Row],[Producto]],'NUEVAS LISTAS'!$B$3:$P$403,'Ventas '!X$6,FALSE)</f>
        <v>3539</v>
      </c>
      <c r="Y155" s="278">
        <f>VLOOKUP(Tabla110[[#This Row],[Producto]],'NUEVAS LISTAS'!$B$3:$P$403,'Ventas '!Y$6,FALSE)</f>
        <v>3729</v>
      </c>
      <c r="Z155" s="278">
        <f>VLOOKUP(Tabla110[[#This Row],[Producto]],'NUEVAS LISTAS'!$B$3:$P$403,'Ventas '!Z$6,FALSE)</f>
        <v>3929</v>
      </c>
      <c r="AA155" s="543">
        <f>IF(AB155&lt;$AC$2,0,IF(Tabla110[[#This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5" s="539">
        <f>SUMIFS(Tabla110[[#All],[Venta Total]],Tabla110[[#All],[Asesor]],Tabla110[[#This Row],[Asesor]],Tabla110[[#All],[Fecha Cobranza]],"&lt;="&amp;Tabla110[[#This Row],[Fecha Cobranza]],Tabla110[[#All],[Fecha Cobranza]],"&gt;="&amp;Tabla110[[#This Row],[Fecha Cobranza]]-28)</f>
        <v>244784.08159999998</v>
      </c>
      <c r="AC155" s="542">
        <f t="shared" si="36"/>
        <v>0</v>
      </c>
      <c r="AD155" s="544">
        <f t="shared" si="37"/>
        <v>0.02</v>
      </c>
      <c r="AE155" s="545">
        <f>+AD155*Tabla110[[#This Row],[Venta Total]]</f>
        <v>2204.9999200000002</v>
      </c>
    </row>
    <row r="156" spans="1:31" x14ac:dyDescent="0.2">
      <c r="A156" s="264">
        <v>46006</v>
      </c>
      <c r="B156" s="274" t="str">
        <f t="shared" ref="B156:B159" si="40">TEXT(A156,"mmmm")</f>
        <v>December</v>
      </c>
      <c r="C156" s="265" t="s">
        <v>277</v>
      </c>
      <c r="D156" s="266" t="str">
        <f>VLOOKUP(Tabla110[[#This Row],[Asesor]],Tabla2[[Asesores]:[TIPO]],2,0)</f>
        <v>INTERNO</v>
      </c>
      <c r="E156" s="268" t="s">
        <v>1394</v>
      </c>
      <c r="F156" s="267" t="s">
        <v>3842</v>
      </c>
      <c r="G156" s="50" t="s">
        <v>370</v>
      </c>
      <c r="H156" s="269">
        <v>8</v>
      </c>
      <c r="I156" s="275">
        <v>2260.3449999999998</v>
      </c>
      <c r="J156" s="260">
        <f>+Tabla110[[#This Row],[Precio Bruto]]*1.16</f>
        <v>2622.0001999999995</v>
      </c>
      <c r="L156" s="270">
        <f>++(Tabla110[[#This Row],[Precio Unitario Neto]]*Tabla110[[#This Row],[Cantidad]])-(Tabla110[[#This Row],[Cantidad]]*Tabla110[[#This Row],[Apoyo]])</f>
        <v>20976.001599999996</v>
      </c>
      <c r="M156" s="270" t="e">
        <f>((INDEX(Tabla6[#All],MATCH(Tabla110[[#This Row],[Producto]],Tabla6[[#All],[PRODUCTO]],0),MATCH(Tabla110[[#This Row],[Mes]],Tabla6[#Headers],0)))*(1+(IF(Tabla110[[#This Row],[FLETE]]="no",Catalogos!$M$2,Catalogos!$L$2))))</f>
        <v>#N/A</v>
      </c>
      <c r="N156" s="270" t="e">
        <f>+IF((Tabla110[[#This Row],[Precio Unitario Neto]]-Tabla110[[#This Row],[Apoyo]]-Tabla110[[#This Row],[COSTO + INDI]])&lt;=0,0,(Tabla110[[#This Row],[Precio Unitario Neto]]-Tabla110[[#This Row],[Apoyo]]-Tabla110[[#This Row],[COSTO + INDI]]))</f>
        <v>#N/A</v>
      </c>
      <c r="O156" s="258" t="e">
        <f>++Tabla110[[#This Row],[Utilidad Neta x Eq.]]*Tabla110[[#This Row],[Cantidad]]</f>
        <v>#N/A</v>
      </c>
      <c r="P156" s="271" t="e">
        <f>++Tabla110[[#This Row],[Utilidad Neta Total]]/Tabla110[[#This Row],[Venta Total]]</f>
        <v>#N/A</v>
      </c>
      <c r="Q156" s="258" t="s">
        <v>604</v>
      </c>
      <c r="R156" s="272" t="e">
        <f>INDEX(Tabla6[#All],MATCH(Tabla110[[#This Row],[Producto]],Tabla6[[#All],[PRODUCTO]],0),MATCH(Tabla110[[#This Row],[Mes]],Tabla6[#Headers],0))</f>
        <v>#N/A</v>
      </c>
      <c r="S156" s="260" t="e">
        <f>++Tabla110[[#This Row],[Precio Unitario Neto]]-Tabla110[[#This Row],[Apoyo]]-Tabla110[[#This Row],[Costo unitario]]</f>
        <v>#N/A</v>
      </c>
      <c r="T156" s="273" t="e">
        <f>+Tabla110[[#This Row],[Utilidad Bruta]]*Tabla110[[#This Row],[Cantidad]]</f>
        <v>#N/A</v>
      </c>
      <c r="U156" s="404" t="e">
        <f>++Tabla110[[#This Row],[Utilidad Bruta Total]]*$V$1</f>
        <v>#N/A</v>
      </c>
      <c r="V156" s="278" t="e">
        <f>++Tabla110[[#This Row],[Utilidad Bruta Total]]*$V$1</f>
        <v>#N/A</v>
      </c>
      <c r="W156" s="278">
        <f>VLOOKUP(Tabla110[[#This Row],[Producto]],'NUEVAS LISTAS'!$B$3:$P$403,'Ventas '!W$6,FALSE)</f>
        <v>2929</v>
      </c>
      <c r="X156" s="278">
        <f>VLOOKUP(Tabla110[[#This Row],[Producto]],'NUEVAS LISTAS'!$B$3:$P$403,'Ventas '!X$6,FALSE)</f>
        <v>3079</v>
      </c>
      <c r="Y156" s="278">
        <f>VLOOKUP(Tabla110[[#This Row],[Producto]],'NUEVAS LISTAS'!$B$3:$P$403,'Ventas '!Y$6,FALSE)</f>
        <v>3239</v>
      </c>
      <c r="Z156" s="278">
        <f>VLOOKUP(Tabla110[[#This Row],[Producto]],'NUEVAS LISTAS'!$B$3:$P$403,'Ventas '!Z$6,FALSE)</f>
        <v>3409</v>
      </c>
      <c r="AA156" s="543">
        <f>IF(AB156&lt;$AC$2,0,IF(Tabla110[[#This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6" s="539">
        <f>SUMIFS(Tabla110[[#All],[Venta Total]],Tabla110[[#All],[Asesor]],Tabla110[[#This Row],[Asesor]],Tabla110[[#All],[Fecha Cobranza]],"&lt;="&amp;Tabla110[[#This Row],[Fecha Cobranza]],Tabla110[[#All],[Fecha Cobranza]],"&gt;="&amp;Tabla110[[#This Row],[Fecha Cobranza]]-28)</f>
        <v>1053628.7308</v>
      </c>
      <c r="AC156" s="542">
        <f t="shared" si="36"/>
        <v>0</v>
      </c>
      <c r="AD156" s="544">
        <f t="shared" si="37"/>
        <v>0.02</v>
      </c>
      <c r="AE156" s="545">
        <f>+AD156*Tabla110[[#This Row],[Venta Total]]</f>
        <v>419.5200319999999</v>
      </c>
    </row>
    <row r="157" spans="1:31" x14ac:dyDescent="0.2">
      <c r="A157" s="264">
        <v>46006</v>
      </c>
      <c r="B157" s="274" t="str">
        <f t="shared" si="40"/>
        <v>December</v>
      </c>
      <c r="C157" s="265" t="s">
        <v>277</v>
      </c>
      <c r="D157" s="266" t="str">
        <f>VLOOKUP(Tabla110[[#This Row],[Asesor]],Tabla2[[Asesores]:[TIPO]],2,0)</f>
        <v>INTERNO</v>
      </c>
      <c r="E157" s="268" t="s">
        <v>1394</v>
      </c>
      <c r="F157" s="267" t="s">
        <v>3842</v>
      </c>
      <c r="G157" s="50" t="s">
        <v>371</v>
      </c>
      <c r="H157" s="269">
        <v>10</v>
      </c>
      <c r="I157" s="275">
        <v>2630.172</v>
      </c>
      <c r="J157" s="260">
        <f>+Tabla110[[#This Row],[Precio Bruto]]*1.16</f>
        <v>3050.9995199999998</v>
      </c>
      <c r="L157" s="270">
        <f>++(Tabla110[[#This Row],[Precio Unitario Neto]]*Tabla110[[#This Row],[Cantidad]])-(Tabla110[[#This Row],[Cantidad]]*Tabla110[[#This Row],[Apoyo]])</f>
        <v>30509.995199999998</v>
      </c>
      <c r="M157" s="270" t="e">
        <f>((INDEX(Tabla6[#All],MATCH(Tabla110[[#This Row],[Producto]],Tabla6[[#All],[PRODUCTO]],0),MATCH(Tabla110[[#This Row],[Mes]],Tabla6[#Headers],0)))*(1+(IF(Tabla110[[#This Row],[FLETE]]="no",Catalogos!$M$2,Catalogos!$L$2))))</f>
        <v>#N/A</v>
      </c>
      <c r="N157" s="270" t="e">
        <f>+IF((Tabla110[[#This Row],[Precio Unitario Neto]]-Tabla110[[#This Row],[Apoyo]]-Tabla110[[#This Row],[COSTO + INDI]])&lt;=0,0,(Tabla110[[#This Row],[Precio Unitario Neto]]-Tabla110[[#This Row],[Apoyo]]-Tabla110[[#This Row],[COSTO + INDI]]))</f>
        <v>#N/A</v>
      </c>
      <c r="O157" s="258" t="e">
        <f>++Tabla110[[#This Row],[Utilidad Neta x Eq.]]*Tabla110[[#This Row],[Cantidad]]</f>
        <v>#N/A</v>
      </c>
      <c r="P157" s="271" t="e">
        <f>++Tabla110[[#This Row],[Utilidad Neta Total]]/Tabla110[[#This Row],[Venta Total]]</f>
        <v>#N/A</v>
      </c>
      <c r="Q157" s="258" t="s">
        <v>604</v>
      </c>
      <c r="R157" s="272" t="e">
        <f>INDEX(Tabla6[#All],MATCH(Tabla110[[#This Row],[Producto]],Tabla6[[#All],[PRODUCTO]],0),MATCH(Tabla110[[#This Row],[Mes]],Tabla6[#Headers],0))</f>
        <v>#N/A</v>
      </c>
      <c r="S157" s="260" t="e">
        <f>++Tabla110[[#This Row],[Precio Unitario Neto]]-Tabla110[[#This Row],[Apoyo]]-Tabla110[[#This Row],[Costo unitario]]</f>
        <v>#N/A</v>
      </c>
      <c r="T157" s="273" t="e">
        <f>+Tabla110[[#This Row],[Utilidad Bruta]]*Tabla110[[#This Row],[Cantidad]]</f>
        <v>#N/A</v>
      </c>
      <c r="U157" s="404" t="e">
        <f>++Tabla110[[#This Row],[Utilidad Bruta Total]]*$V$1</f>
        <v>#N/A</v>
      </c>
      <c r="V157" s="278" t="e">
        <f>++Tabla110[[#This Row],[Utilidad Bruta Total]]*$V$1</f>
        <v>#N/A</v>
      </c>
      <c r="W157" s="278">
        <f>VLOOKUP(Tabla110[[#This Row],[Producto]],'NUEVAS LISTAS'!$B$3:$P$403,'Ventas '!W$6,FALSE)</f>
        <v>3359</v>
      </c>
      <c r="X157" s="278">
        <f>VLOOKUP(Tabla110[[#This Row],[Producto]],'NUEVAS LISTAS'!$B$3:$P$403,'Ventas '!X$6,FALSE)</f>
        <v>3539</v>
      </c>
      <c r="Y157" s="278">
        <f>VLOOKUP(Tabla110[[#This Row],[Producto]],'NUEVAS LISTAS'!$B$3:$P$403,'Ventas '!Y$6,FALSE)</f>
        <v>3729</v>
      </c>
      <c r="Z157" s="278">
        <f>VLOOKUP(Tabla110[[#This Row],[Producto]],'NUEVAS LISTAS'!$B$3:$P$403,'Ventas '!Z$6,FALSE)</f>
        <v>3929</v>
      </c>
      <c r="AA157" s="543">
        <f>IF(AB157&lt;$AC$2,0,IF(Tabla110[[#This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7" s="539">
        <f>SUMIFS(Tabla110[[#All],[Venta Total]],Tabla110[[#All],[Asesor]],Tabla110[[#This Row],[Asesor]],Tabla110[[#All],[Fecha Cobranza]],"&lt;="&amp;Tabla110[[#This Row],[Fecha Cobranza]],Tabla110[[#All],[Fecha Cobranza]],"&gt;="&amp;Tabla110[[#This Row],[Fecha Cobranza]]-28)</f>
        <v>1053628.7308</v>
      </c>
      <c r="AC157" s="542">
        <f t="shared" si="36"/>
        <v>0</v>
      </c>
      <c r="AD157" s="544">
        <f t="shared" si="37"/>
        <v>0.02</v>
      </c>
      <c r="AE157" s="545">
        <f>+AD157*Tabla110[[#This Row],[Venta Total]]</f>
        <v>610.19990399999995</v>
      </c>
    </row>
    <row r="158" spans="1:31" x14ac:dyDescent="0.2">
      <c r="A158" s="264">
        <v>46006</v>
      </c>
      <c r="B158" s="274" t="str">
        <f t="shared" si="40"/>
        <v>December</v>
      </c>
      <c r="C158" s="265" t="s">
        <v>277</v>
      </c>
      <c r="D158" s="266" t="str">
        <f>VLOOKUP(Tabla110[[#This Row],[Asesor]],Tabla2[[Asesores]:[TIPO]],2,0)</f>
        <v>INTERNO</v>
      </c>
      <c r="E158" s="268" t="s">
        <v>1394</v>
      </c>
      <c r="F158" s="267" t="s">
        <v>3842</v>
      </c>
      <c r="G158" s="50" t="s">
        <v>645</v>
      </c>
      <c r="H158" s="269">
        <v>10</v>
      </c>
      <c r="I158" s="275">
        <v>3325</v>
      </c>
      <c r="J158" s="260">
        <f>+Tabla110[[#This Row],[Precio Bruto]]*1.16</f>
        <v>3856.9999999999995</v>
      </c>
      <c r="L158" s="270">
        <f>++(Tabla110[[#This Row],[Precio Unitario Neto]]*Tabla110[[#This Row],[Cantidad]])-(Tabla110[[#This Row],[Cantidad]]*Tabla110[[#This Row],[Apoyo]])</f>
        <v>38569.999999999993</v>
      </c>
      <c r="M158" s="270" t="e">
        <f>((INDEX(Tabla6[#All],MATCH(Tabla110[[#This Row],[Producto]],Tabla6[[#All],[PRODUCTO]],0),MATCH(Tabla110[[#This Row],[Mes]],Tabla6[#Headers],0)))*(1+(IF(Tabla110[[#This Row],[FLETE]]="no",Catalogos!$M$2,Catalogos!$L$2))))</f>
        <v>#N/A</v>
      </c>
      <c r="N158" s="270" t="e">
        <f>+IF((Tabla110[[#This Row],[Precio Unitario Neto]]-Tabla110[[#This Row],[Apoyo]]-Tabla110[[#This Row],[COSTO + INDI]])&lt;=0,0,(Tabla110[[#This Row],[Precio Unitario Neto]]-Tabla110[[#This Row],[Apoyo]]-Tabla110[[#This Row],[COSTO + INDI]]))</f>
        <v>#N/A</v>
      </c>
      <c r="O158" s="258" t="e">
        <f>++Tabla110[[#This Row],[Utilidad Neta x Eq.]]*Tabla110[[#This Row],[Cantidad]]</f>
        <v>#N/A</v>
      </c>
      <c r="P158" s="271" t="e">
        <f>++Tabla110[[#This Row],[Utilidad Neta Total]]/Tabla110[[#This Row],[Venta Total]]</f>
        <v>#N/A</v>
      </c>
      <c r="Q158" s="258" t="s">
        <v>604</v>
      </c>
      <c r="R158" s="272" t="e">
        <f>INDEX(Tabla6[#All],MATCH(Tabla110[[#This Row],[Producto]],Tabla6[[#All],[PRODUCTO]],0),MATCH(Tabla110[[#This Row],[Mes]],Tabla6[#Headers],0))</f>
        <v>#N/A</v>
      </c>
      <c r="S158" s="260" t="e">
        <f>++Tabla110[[#This Row],[Precio Unitario Neto]]-Tabla110[[#This Row],[Apoyo]]-Tabla110[[#This Row],[Costo unitario]]</f>
        <v>#N/A</v>
      </c>
      <c r="T158" s="273" t="e">
        <f>+Tabla110[[#This Row],[Utilidad Bruta]]*Tabla110[[#This Row],[Cantidad]]</f>
        <v>#N/A</v>
      </c>
      <c r="U158" s="404" t="e">
        <f>++Tabla110[[#This Row],[Utilidad Bruta Total]]*$V$1</f>
        <v>#N/A</v>
      </c>
      <c r="V158" s="278" t="e">
        <f>++Tabla110[[#This Row],[Utilidad Bruta Total]]*$V$1</f>
        <v>#N/A</v>
      </c>
      <c r="W158" s="278">
        <f>VLOOKUP(Tabla110[[#This Row],[Producto]],'NUEVAS LISTAS'!$B$3:$P$403,'Ventas '!W$6,FALSE)</f>
        <v>4599</v>
      </c>
      <c r="X158" s="278">
        <f>VLOOKUP(Tabla110[[#This Row],[Producto]],'NUEVAS LISTAS'!$B$3:$P$403,'Ventas '!X$6,FALSE)</f>
        <v>4839</v>
      </c>
      <c r="Y158" s="278">
        <f>VLOOKUP(Tabla110[[#This Row],[Producto]],'NUEVAS LISTAS'!$B$3:$P$403,'Ventas '!Y$6,FALSE)</f>
        <v>5089</v>
      </c>
      <c r="Z158" s="278">
        <f>VLOOKUP(Tabla110[[#This Row],[Producto]],'NUEVAS LISTAS'!$B$3:$P$403,'Ventas '!Z$6,FALSE)</f>
        <v>5359</v>
      </c>
      <c r="AA158" s="543">
        <f>IF(AB158&lt;$AC$2,0,IF(Tabla110[[#This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8" s="539">
        <f>SUMIFS(Tabla110[[#All],[Venta Total]],Tabla110[[#All],[Asesor]],Tabla110[[#This Row],[Asesor]],Tabla110[[#All],[Fecha Cobranza]],"&lt;="&amp;Tabla110[[#This Row],[Fecha Cobranza]],Tabla110[[#All],[Fecha Cobranza]],"&gt;="&amp;Tabla110[[#This Row],[Fecha Cobranza]]-28)</f>
        <v>1053628.7308</v>
      </c>
      <c r="AC158" s="542">
        <f t="shared" si="36"/>
        <v>0</v>
      </c>
      <c r="AD158" s="544">
        <f t="shared" si="37"/>
        <v>0.02</v>
      </c>
      <c r="AE158" s="545">
        <f>+AD158*Tabla110[[#This Row],[Venta Total]]</f>
        <v>771.39999999999986</v>
      </c>
    </row>
    <row r="159" spans="1:31" x14ac:dyDescent="0.2">
      <c r="A159" s="264">
        <v>46006</v>
      </c>
      <c r="B159" s="274" t="str">
        <f t="shared" si="40"/>
        <v>December</v>
      </c>
      <c r="C159" s="265" t="s">
        <v>277</v>
      </c>
      <c r="D159" s="266" t="str">
        <f>VLOOKUP(Tabla110[[#This Row],[Asesor]],Tabla2[[Asesores]:[TIPO]],2,0)</f>
        <v>INTERNO</v>
      </c>
      <c r="E159" s="268" t="s">
        <v>1394</v>
      </c>
      <c r="F159" s="267" t="s">
        <v>3842</v>
      </c>
      <c r="G159" s="50" t="s">
        <v>647</v>
      </c>
      <c r="H159" s="269">
        <v>2</v>
      </c>
      <c r="I159" s="275">
        <v>4940.5150000000003</v>
      </c>
      <c r="J159" s="260">
        <f>+Tabla110[[#This Row],[Precio Bruto]]*1.16</f>
        <v>5730.9974000000002</v>
      </c>
      <c r="L159" s="270">
        <f>++(Tabla110[[#This Row],[Precio Unitario Neto]]*Tabla110[[#This Row],[Cantidad]])-(Tabla110[[#This Row],[Cantidad]]*Tabla110[[#This Row],[Apoyo]])</f>
        <v>11461.9948</v>
      </c>
      <c r="M159" s="270" t="e">
        <f>((INDEX(Tabla6[#All],MATCH(Tabla110[[#This Row],[Producto]],Tabla6[[#All],[PRODUCTO]],0),MATCH(Tabla110[[#This Row],[Mes]],Tabla6[#Headers],0)))*(1+(IF(Tabla110[[#This Row],[FLETE]]="no",Catalogos!$M$2,Catalogos!$L$2))))</f>
        <v>#N/A</v>
      </c>
      <c r="N159" s="270" t="e">
        <f>+IF((Tabla110[[#This Row],[Precio Unitario Neto]]-Tabla110[[#This Row],[Apoyo]]-Tabla110[[#This Row],[COSTO + INDI]])&lt;=0,0,(Tabla110[[#This Row],[Precio Unitario Neto]]-Tabla110[[#This Row],[Apoyo]]-Tabla110[[#This Row],[COSTO + INDI]]))</f>
        <v>#N/A</v>
      </c>
      <c r="O159" s="258" t="e">
        <f>++Tabla110[[#This Row],[Utilidad Neta x Eq.]]*Tabla110[[#This Row],[Cantidad]]</f>
        <v>#N/A</v>
      </c>
      <c r="P159" s="271" t="e">
        <f>++Tabla110[[#This Row],[Utilidad Neta Total]]/Tabla110[[#This Row],[Venta Total]]</f>
        <v>#N/A</v>
      </c>
      <c r="Q159" s="258" t="s">
        <v>604</v>
      </c>
      <c r="R159" s="272" t="e">
        <f>INDEX(Tabla6[#All],MATCH(Tabla110[[#This Row],[Producto]],Tabla6[[#All],[PRODUCTO]],0),MATCH(Tabla110[[#This Row],[Mes]],Tabla6[#Headers],0))</f>
        <v>#N/A</v>
      </c>
      <c r="S159" s="260" t="e">
        <f>++Tabla110[[#This Row],[Precio Unitario Neto]]-Tabla110[[#This Row],[Apoyo]]-Tabla110[[#This Row],[Costo unitario]]</f>
        <v>#N/A</v>
      </c>
      <c r="T159" s="273" t="e">
        <f>+Tabla110[[#This Row],[Utilidad Bruta]]*Tabla110[[#This Row],[Cantidad]]</f>
        <v>#N/A</v>
      </c>
      <c r="U159" s="404" t="e">
        <f>++Tabla110[[#This Row],[Utilidad Bruta Total]]*$V$1</f>
        <v>#N/A</v>
      </c>
      <c r="V159" s="278" t="e">
        <f>++Tabla110[[#This Row],[Utilidad Bruta Total]]*$V$1</f>
        <v>#N/A</v>
      </c>
      <c r="W159" s="278">
        <f>VLOOKUP(Tabla110[[#This Row],[Producto]],'NUEVAS LISTAS'!$B$3:$P$403,'Ventas '!W$6,FALSE)</f>
        <v>6199</v>
      </c>
      <c r="X159" s="278">
        <f>VLOOKUP(Tabla110[[#This Row],[Producto]],'NUEVAS LISTAS'!$B$3:$P$403,'Ventas '!X$6,FALSE)</f>
        <v>6529</v>
      </c>
      <c r="Y159" s="278">
        <f>VLOOKUP(Tabla110[[#This Row],[Producto]],'NUEVAS LISTAS'!$B$3:$P$403,'Ventas '!Y$6,FALSE)</f>
        <v>6869</v>
      </c>
      <c r="Z159" s="278">
        <f>VLOOKUP(Tabla110[[#This Row],[Producto]],'NUEVAS LISTAS'!$B$3:$P$403,'Ventas '!Z$6,FALSE)</f>
        <v>7229</v>
      </c>
      <c r="AA159" s="543">
        <f>IF(AB159&lt;$AC$2,0,IF(Tabla110[[#This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59" s="539">
        <f>SUMIFS(Tabla110[[#All],[Venta Total]],Tabla110[[#All],[Asesor]],Tabla110[[#This Row],[Asesor]],Tabla110[[#All],[Fecha Cobranza]],"&lt;="&amp;Tabla110[[#This Row],[Fecha Cobranza]],Tabla110[[#All],[Fecha Cobranza]],"&gt;="&amp;Tabla110[[#This Row],[Fecha Cobranza]]-28)</f>
        <v>1053628.7308</v>
      </c>
      <c r="AC159" s="542">
        <f t="shared" si="36"/>
        <v>0</v>
      </c>
      <c r="AD159" s="544">
        <f t="shared" si="37"/>
        <v>0.02</v>
      </c>
      <c r="AE159" s="545">
        <f>+AD159*Tabla110[[#This Row],[Venta Total]]</f>
        <v>229.23989600000002</v>
      </c>
    </row>
    <row r="160" spans="1:31" x14ac:dyDescent="0.2">
      <c r="A160" s="264">
        <v>46006</v>
      </c>
      <c r="B160" s="274" t="str">
        <f t="shared" ref="B160" si="41">TEXT(A160,"mmmm")</f>
        <v>December</v>
      </c>
      <c r="C160" s="265" t="s">
        <v>2698</v>
      </c>
      <c r="D160" s="266" t="str">
        <f>VLOOKUP(Tabla110[[#This Row],[Asesor]],Tabla2[[Asesores]:[TIPO]],2,0)</f>
        <v>INTERNO</v>
      </c>
      <c r="E160" s="268" t="s">
        <v>2699</v>
      </c>
      <c r="F160" s="267" t="s">
        <v>3843</v>
      </c>
      <c r="G160" s="50" t="s">
        <v>541</v>
      </c>
      <c r="H160" s="269">
        <v>24</v>
      </c>
      <c r="I160" s="275">
        <v>2112.0687499999999</v>
      </c>
      <c r="J160" s="260">
        <f>+Tabla110[[#This Row],[Precio Bruto]]*1.16</f>
        <v>2449.9997499999999</v>
      </c>
      <c r="L160" s="270">
        <f>++(Tabla110[[#This Row],[Precio Unitario Neto]]*Tabla110[[#This Row],[Cantidad]])-(Tabla110[[#This Row],[Cantidad]]*Tabla110[[#This Row],[Apoyo]])</f>
        <v>58799.993999999999</v>
      </c>
      <c r="M160" s="270" t="e">
        <f>((INDEX(Tabla6[#All],MATCH(Tabla110[[#This Row],[Producto]],Tabla6[[#All],[PRODUCTO]],0),MATCH(Tabla110[[#This Row],[Mes]],Tabla6[#Headers],0)))*(1+(IF(Tabla110[[#This Row],[FLETE]]="no",Catalogos!$M$2,Catalogos!$L$2))))</f>
        <v>#N/A</v>
      </c>
      <c r="N160" s="270" t="e">
        <f>+IF((Tabla110[[#This Row],[Precio Unitario Neto]]-Tabla110[[#This Row],[Apoyo]]-Tabla110[[#This Row],[COSTO + INDI]])&lt;=0,0,(Tabla110[[#This Row],[Precio Unitario Neto]]-Tabla110[[#This Row],[Apoyo]]-Tabla110[[#This Row],[COSTO + INDI]]))</f>
        <v>#N/A</v>
      </c>
      <c r="O160" s="258" t="e">
        <f>++Tabla110[[#This Row],[Utilidad Neta x Eq.]]*Tabla110[[#This Row],[Cantidad]]</f>
        <v>#N/A</v>
      </c>
      <c r="P160" s="271" t="e">
        <f>++Tabla110[[#This Row],[Utilidad Neta Total]]/Tabla110[[#This Row],[Venta Total]]</f>
        <v>#N/A</v>
      </c>
      <c r="Q160" s="258" t="s">
        <v>604</v>
      </c>
      <c r="R160" s="272" t="e">
        <f>INDEX(Tabla6[#All],MATCH(Tabla110[[#This Row],[Producto]],Tabla6[[#All],[PRODUCTO]],0),MATCH(Tabla110[[#This Row],[Mes]],Tabla6[#Headers],0))</f>
        <v>#N/A</v>
      </c>
      <c r="S160" s="260" t="e">
        <f>++Tabla110[[#This Row],[Precio Unitario Neto]]-Tabla110[[#This Row],[Apoyo]]-Tabla110[[#This Row],[Costo unitario]]</f>
        <v>#N/A</v>
      </c>
      <c r="T160" s="273" t="e">
        <f>+Tabla110[[#This Row],[Utilidad Bruta]]*Tabla110[[#This Row],[Cantidad]]</f>
        <v>#N/A</v>
      </c>
      <c r="U160" s="404" t="e">
        <f>++Tabla110[[#This Row],[Utilidad Bruta Total]]*$V$1</f>
        <v>#N/A</v>
      </c>
      <c r="V160" s="278" t="e">
        <f>++Tabla110[[#This Row],[Utilidad Bruta Total]]*$V$1</f>
        <v>#N/A</v>
      </c>
      <c r="W160" s="278">
        <f>VLOOKUP(Tabla110[[#This Row],[Producto]],'NUEVAS LISTAS'!$B$3:$P$403,'Ventas '!W$6,FALSE)</f>
        <v>2869</v>
      </c>
      <c r="X160" s="278">
        <f>VLOOKUP(Tabla110[[#This Row],[Producto]],'NUEVAS LISTAS'!$B$3:$P$403,'Ventas '!X$6,FALSE)</f>
        <v>3019</v>
      </c>
      <c r="Y160" s="278">
        <f>VLOOKUP(Tabla110[[#This Row],[Producto]],'NUEVAS LISTAS'!$B$3:$P$403,'Ventas '!Y$6,FALSE)</f>
        <v>3179</v>
      </c>
      <c r="Z160" s="278">
        <f>VLOOKUP(Tabla110[[#This Row],[Producto]],'NUEVAS LISTAS'!$B$3:$P$403,'Ventas '!Z$6,FALSE)</f>
        <v>3349</v>
      </c>
      <c r="AA160" s="543">
        <f>IF(AB160&lt;$AC$2,0,IF(Tabla110[[#This Row],[Precio Unitario Neto]]&gt;=Tabla110[[#This Row],[PRECIO 1]],$Z$1,IF(Tabla110[[#This Row],[Precio Unitario Neto]]&gt;=Tabla110[[#This Row],[PRECIO 2]],$Y$1,IF(Tabla110[[#This Row],[Precio Unitario Neto]]&gt;=Tabla110[[#This Row],[PRECIO 3]],$X$1,IF(Tabla110[[#This Row],[Precio Unitario Neto]]&gt;=Tabla110[[#This Row],[PRECIO 4]],$W$1,$AC$1)))))</f>
        <v>0.02</v>
      </c>
      <c r="AB160" s="539">
        <f>SUMIFS(Tabla110[[#All],[Venta Total]],Tabla110[[#All],[Asesor]],Tabla110[[#This Row],[Asesor]],Tabla110[[#All],[Fecha Cobranza]],"&lt;="&amp;Tabla110[[#This Row],[Fecha Cobranza]],Tabla110[[#All],[Fecha Cobranza]],"&gt;="&amp;Tabla110[[#This Row],[Fecha Cobranza]]-28)</f>
        <v>58799.993999999999</v>
      </c>
      <c r="AC160" s="542">
        <f t="shared" si="36"/>
        <v>0</v>
      </c>
      <c r="AD160" s="544">
        <f t="shared" si="37"/>
        <v>0.02</v>
      </c>
      <c r="AE160" s="545">
        <f>+AD160*Tabla110[[#This Row],[Venta Total]]</f>
        <v>1175.9998800000001</v>
      </c>
    </row>
    <row r="161" spans="27:31" x14ac:dyDescent="0.2">
      <c r="AA161" s="543"/>
      <c r="AB161" s="539"/>
      <c r="AC161" s="542"/>
      <c r="AD161" s="544"/>
      <c r="AE161" s="545"/>
    </row>
    <row r="162" spans="27:31" x14ac:dyDescent="0.2">
      <c r="AA162" s="543"/>
      <c r="AB162" s="539"/>
      <c r="AC162" s="542"/>
      <c r="AD162" s="544"/>
      <c r="AE162" s="545"/>
    </row>
    <row r="163" spans="27:31" x14ac:dyDescent="0.2">
      <c r="AA163" s="543"/>
      <c r="AB163" s="539"/>
      <c r="AC163" s="542"/>
      <c r="AD163" s="544"/>
      <c r="AE163" s="545"/>
    </row>
  </sheetData>
  <sheetProtection formatCells="0" formatColumns="0" formatRows="0" insertRows="0" deleteRows="0" selectLockedCells="1" sort="0" autoFilter="0" pivotTables="0"/>
  <phoneticPr fontId="10" type="noConversion"/>
  <conditionalFormatting sqref="N7:P1048576">
    <cfRule type="cellIs" dxfId="81" priority="985" operator="lessThan">
      <formula>0</formula>
    </cfRule>
  </conditionalFormatting>
  <conditionalFormatting sqref="R7:U7">
    <cfRule type="cellIs" dxfId="80" priority="984" operator="lessThan">
      <formula>0.0026</formula>
    </cfRule>
  </conditionalFormatting>
  <conditionalFormatting sqref="U7">
    <cfRule type="cellIs" dxfId="79" priority="44" operator="lessThan">
      <formula>0.28</formula>
    </cfRule>
  </conditionalFormatting>
  <conditionalFormatting sqref="F1:F1048576">
    <cfRule type="duplicateValues" dxfId="78" priority="4503"/>
  </conditionalFormatting>
  <pageMargins left="0.25" right="0.25" top="0.24" bottom="0.14000000000000001" header="0.14000000000000001" footer="0.11"/>
  <pageSetup scale="51"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80AB-46F3-4FED-9F56-4C129BA7398C}">
  <dimension ref="B3:G15"/>
  <sheetViews>
    <sheetView topLeftCell="A4" zoomScale="175" zoomScaleNormal="175" workbookViewId="0">
      <selection activeCell="C6" sqref="C6"/>
    </sheetView>
  </sheetViews>
  <sheetFormatPr baseColWidth="10" defaultRowHeight="15" x14ac:dyDescent="0.25"/>
  <cols>
    <col min="2" max="2" width="14.7109375" customWidth="1"/>
    <col min="3" max="3" width="12.85546875" bestFit="1" customWidth="1"/>
  </cols>
  <sheetData>
    <row r="3" spans="2:7" x14ac:dyDescent="0.25">
      <c r="C3" s="148"/>
    </row>
    <row r="4" spans="2:7" ht="23.25" x14ac:dyDescent="0.25">
      <c r="B4" s="547" t="s">
        <v>4111</v>
      </c>
      <c r="C4" s="547"/>
      <c r="D4" s="547"/>
      <c r="E4" s="547"/>
      <c r="F4" s="547"/>
      <c r="G4" s="547"/>
    </row>
    <row r="5" spans="2:7" ht="30" x14ac:dyDescent="0.25">
      <c r="B5" s="532" t="s">
        <v>781</v>
      </c>
      <c r="C5" s="532" t="s">
        <v>782</v>
      </c>
      <c r="D5" s="533" t="s">
        <v>4110</v>
      </c>
      <c r="E5" s="533" t="s">
        <v>4109</v>
      </c>
      <c r="F5" s="533" t="s">
        <v>4108</v>
      </c>
      <c r="G5" s="533" t="s">
        <v>4107</v>
      </c>
    </row>
    <row r="6" spans="2:7" x14ac:dyDescent="0.25">
      <c r="B6" s="531">
        <v>100000</v>
      </c>
      <c r="C6" s="531">
        <v>1500000</v>
      </c>
      <c r="D6" s="536">
        <v>0.02</v>
      </c>
      <c r="E6" s="536">
        <v>2.2499999999999999E-2</v>
      </c>
      <c r="F6" s="536">
        <v>2.5000000000000001E-2</v>
      </c>
      <c r="G6" s="537">
        <v>2.75E-2</v>
      </c>
    </row>
    <row r="7" spans="2:7" x14ac:dyDescent="0.25">
      <c r="B7" s="534">
        <v>1500001</v>
      </c>
      <c r="C7" s="531">
        <v>3000000</v>
      </c>
      <c r="D7" s="535">
        <v>2.1818181818181816E-2</v>
      </c>
      <c r="E7" s="535">
        <v>2.4545454545454544E-2</v>
      </c>
      <c r="F7" s="535">
        <v>2.7272727272727271E-2</v>
      </c>
      <c r="G7" s="535">
        <v>0.03</v>
      </c>
    </row>
    <row r="8" spans="2:7" x14ac:dyDescent="0.25">
      <c r="B8" s="534">
        <v>3000001</v>
      </c>
      <c r="C8" s="531">
        <v>6000000</v>
      </c>
      <c r="D8" s="535">
        <v>2.5454545454545459E-2</v>
      </c>
      <c r="E8" s="535">
        <v>2.863636363636364E-2</v>
      </c>
      <c r="F8" s="535">
        <v>3.1818181818181822E-2</v>
      </c>
      <c r="G8" s="535">
        <v>3.5000000000000003E-2</v>
      </c>
    </row>
    <row r="9" spans="2:7" x14ac:dyDescent="0.25">
      <c r="B9" s="534">
        <v>6000001</v>
      </c>
      <c r="C9" s="531">
        <v>12000000</v>
      </c>
      <c r="D9" s="535">
        <v>2.9090909090909091E-2</v>
      </c>
      <c r="E9" s="535">
        <v>3.272727272727273E-2</v>
      </c>
      <c r="F9" s="535">
        <v>3.6363636363636369E-2</v>
      </c>
      <c r="G9" s="536">
        <v>0.04</v>
      </c>
    </row>
    <row r="10" spans="2:7" x14ac:dyDescent="0.25">
      <c r="B10" s="534">
        <v>12000001</v>
      </c>
      <c r="C10" s="531">
        <v>24000000</v>
      </c>
      <c r="D10" s="535">
        <v>3.6363636363636369E-2</v>
      </c>
      <c r="E10" s="535">
        <v>4.0909090909090909E-2</v>
      </c>
      <c r="F10" s="535">
        <v>4.5454545454545463E-2</v>
      </c>
      <c r="G10" s="536">
        <v>0.05</v>
      </c>
    </row>
    <row r="12" spans="2:7" x14ac:dyDescent="0.25">
      <c r="D12" s="146">
        <f>+D7-D$6</f>
        <v>1.818181818181816E-3</v>
      </c>
      <c r="E12" s="146">
        <f t="shared" ref="D12:G15" si="0">+E7-E$6</f>
        <v>2.0454545454545447E-3</v>
      </c>
      <c r="F12" s="146">
        <f t="shared" si="0"/>
        <v>2.27272727272727E-3</v>
      </c>
      <c r="G12" s="146">
        <f t="shared" si="0"/>
        <v>2.4999999999999988E-3</v>
      </c>
    </row>
    <row r="13" spans="2:7" x14ac:dyDescent="0.25">
      <c r="D13" s="146">
        <f t="shared" si="0"/>
        <v>5.4545454545454584E-3</v>
      </c>
      <c r="E13" s="146">
        <f t="shared" si="0"/>
        <v>6.1363636363636412E-3</v>
      </c>
      <c r="F13" s="146">
        <f t="shared" si="0"/>
        <v>6.8181818181818205E-3</v>
      </c>
      <c r="G13" s="146">
        <f t="shared" si="0"/>
        <v>7.5000000000000032E-3</v>
      </c>
    </row>
    <row r="14" spans="2:7" x14ac:dyDescent="0.25">
      <c r="D14" s="146">
        <f t="shared" si="0"/>
        <v>9.0909090909090905E-3</v>
      </c>
      <c r="E14" s="146">
        <f t="shared" si="0"/>
        <v>1.0227272727272731E-2</v>
      </c>
      <c r="F14" s="146">
        <f t="shared" si="0"/>
        <v>1.1363636363636367E-2</v>
      </c>
      <c r="G14" s="146">
        <f t="shared" si="0"/>
        <v>1.2500000000000001E-2</v>
      </c>
    </row>
    <row r="15" spans="2:7" x14ac:dyDescent="0.25">
      <c r="D15" s="146">
        <f t="shared" si="0"/>
        <v>1.6363636363636368E-2</v>
      </c>
      <c r="E15" s="146">
        <f t="shared" si="0"/>
        <v>1.840909090909091E-2</v>
      </c>
      <c r="F15" s="146">
        <f t="shared" si="0"/>
        <v>2.0454545454545461E-2</v>
      </c>
      <c r="G15" s="146">
        <f t="shared" si="0"/>
        <v>2.2500000000000003E-2</v>
      </c>
    </row>
  </sheetData>
  <mergeCells count="1">
    <mergeCell ref="B4:G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3FCD5-E147-4FF8-BECC-78AF1DB5E992}">
  <sheetPr>
    <tabColor theme="8" tint="0.79998168889431442"/>
    <pageSetUpPr fitToPage="1"/>
  </sheetPr>
  <dimension ref="A1:P913"/>
  <sheetViews>
    <sheetView zoomScale="70" zoomScaleNormal="70" workbookViewId="0">
      <selection activeCell="C4" sqref="C4"/>
    </sheetView>
  </sheetViews>
  <sheetFormatPr baseColWidth="10" defaultColWidth="11.42578125" defaultRowHeight="15" x14ac:dyDescent="0.25"/>
  <cols>
    <col min="1" max="1" width="27.7109375" style="423" customWidth="1"/>
    <col min="2" max="2" width="22.5703125" style="423" customWidth="1"/>
    <col min="3" max="3" width="12.7109375" style="423" bestFit="1" customWidth="1"/>
    <col min="4" max="4" width="12.7109375" style="423" customWidth="1"/>
    <col min="5" max="5" width="11" style="423" customWidth="1"/>
    <col min="6" max="6" width="11.5703125" style="423" customWidth="1"/>
    <col min="7" max="7" width="10.7109375" style="423" customWidth="1"/>
    <col min="8" max="8" width="13.5703125" style="423" bestFit="1" customWidth="1"/>
    <col min="9" max="9" width="11.28515625" style="423" customWidth="1"/>
    <col min="10" max="10" width="11.85546875" style="422" customWidth="1"/>
    <col min="11" max="11" width="13.5703125" style="423" bestFit="1" customWidth="1"/>
    <col min="12" max="12" width="10.42578125" style="422" customWidth="1"/>
    <col min="13" max="13" width="11.85546875" style="422" customWidth="1"/>
    <col min="14" max="14" width="11" style="423" customWidth="1"/>
    <col min="15" max="15" width="10.5703125" style="422" customWidth="1"/>
    <col min="16" max="16" width="11.85546875" style="422" customWidth="1"/>
    <col min="17" max="16384" width="11.42578125" style="423"/>
  </cols>
  <sheetData>
    <row r="1" spans="1:16" ht="21" x14ac:dyDescent="0.35">
      <c r="A1" s="548" t="s">
        <v>3844</v>
      </c>
      <c r="B1" s="548"/>
      <c r="C1" s="548"/>
      <c r="D1" s="548"/>
      <c r="E1" s="548"/>
      <c r="F1" s="548"/>
      <c r="G1" s="548"/>
      <c r="H1" s="548"/>
      <c r="I1" s="548"/>
      <c r="J1" s="548"/>
      <c r="K1" s="548"/>
      <c r="L1" s="548"/>
      <c r="M1" s="548"/>
      <c r="N1" s="548"/>
      <c r="O1" s="548"/>
      <c r="P1" s="548"/>
    </row>
    <row r="2" spans="1:16" x14ac:dyDescent="0.25">
      <c r="B2" s="424"/>
      <c r="E2" s="425">
        <v>0</v>
      </c>
      <c r="F2" s="426">
        <v>0.25</v>
      </c>
      <c r="G2" s="425"/>
      <c r="H2" s="427"/>
      <c r="I2" s="427"/>
      <c r="J2" s="428"/>
      <c r="K2" s="427"/>
      <c r="L2" s="428"/>
      <c r="M2" s="428"/>
      <c r="N2" s="427"/>
      <c r="O2" s="428"/>
      <c r="P2" s="428"/>
    </row>
    <row r="3" spans="1:16" s="438" customFormat="1" ht="54.6" customHeight="1" x14ac:dyDescent="0.25">
      <c r="A3" s="429" t="s">
        <v>487</v>
      </c>
      <c r="B3" s="429" t="s">
        <v>3845</v>
      </c>
      <c r="C3" s="429" t="s">
        <v>3846</v>
      </c>
      <c r="D3" s="430" t="s">
        <v>3847</v>
      </c>
      <c r="E3" s="431" t="s">
        <v>3848</v>
      </c>
      <c r="F3" s="431" t="s">
        <v>3849</v>
      </c>
      <c r="G3" s="432" t="s">
        <v>3850</v>
      </c>
      <c r="H3" s="433" t="s">
        <v>3851</v>
      </c>
      <c r="I3" s="433" t="s">
        <v>3852</v>
      </c>
      <c r="J3" s="434" t="s">
        <v>3850</v>
      </c>
      <c r="K3" s="431" t="s">
        <v>3853</v>
      </c>
      <c r="L3" s="435" t="s">
        <v>3852</v>
      </c>
      <c r="M3" s="436" t="s">
        <v>3850</v>
      </c>
      <c r="N3" s="433" t="s">
        <v>3854</v>
      </c>
      <c r="O3" s="437" t="s">
        <v>3852</v>
      </c>
      <c r="P3" s="434" t="s">
        <v>3850</v>
      </c>
    </row>
    <row r="4" spans="1:16" x14ac:dyDescent="0.25">
      <c r="A4" s="439" t="s">
        <v>3859</v>
      </c>
      <c r="B4" s="439" t="s">
        <v>16</v>
      </c>
      <c r="C4" s="440">
        <v>1822.0565292045922</v>
      </c>
      <c r="D4" s="441">
        <v>0.25</v>
      </c>
      <c r="E4" s="440">
        <v>3049</v>
      </c>
      <c r="F4" s="439">
        <v>50</v>
      </c>
      <c r="G4" s="442">
        <v>0.15</v>
      </c>
      <c r="H4" s="440">
        <v>3199</v>
      </c>
      <c r="I4" s="427">
        <v>0.05</v>
      </c>
      <c r="J4" s="443">
        <v>0.4304293437935004</v>
      </c>
      <c r="K4" s="440">
        <v>3349</v>
      </c>
      <c r="L4" s="428">
        <v>0.05</v>
      </c>
      <c r="M4" s="443">
        <v>0.45594012266211043</v>
      </c>
      <c r="N4" s="440">
        <v>3549</v>
      </c>
      <c r="O4" s="428">
        <v>0.05</v>
      </c>
      <c r="P4" s="443">
        <v>0.48660001994798757</v>
      </c>
    </row>
    <row r="5" spans="1:16" x14ac:dyDescent="0.25">
      <c r="A5" s="439" t="s">
        <v>3859</v>
      </c>
      <c r="B5" s="439" t="s">
        <v>17</v>
      </c>
      <c r="C5" s="440">
        <v>2057.1738409275226</v>
      </c>
      <c r="D5" s="441">
        <v>0.25</v>
      </c>
      <c r="E5" s="440">
        <v>3449</v>
      </c>
      <c r="F5" s="439">
        <v>50</v>
      </c>
      <c r="G5" s="442">
        <v>0.15</v>
      </c>
      <c r="H5" s="440">
        <v>3649</v>
      </c>
      <c r="I5" s="427">
        <v>0.05</v>
      </c>
      <c r="J5" s="443">
        <v>0.43623627269730814</v>
      </c>
      <c r="K5" s="440">
        <v>3849</v>
      </c>
      <c r="L5" s="428">
        <v>0.05</v>
      </c>
      <c r="M5" s="443">
        <v>0.46553030893023573</v>
      </c>
      <c r="N5" s="440">
        <v>4049</v>
      </c>
      <c r="O5" s="428">
        <v>0.05</v>
      </c>
      <c r="P5" s="443">
        <v>0.49193039246047848</v>
      </c>
    </row>
    <row r="6" spans="1:16" x14ac:dyDescent="0.25">
      <c r="A6" s="439" t="s">
        <v>3859</v>
      </c>
      <c r="B6" s="439" t="s">
        <v>18</v>
      </c>
      <c r="C6" s="440">
        <v>2329.304429770862</v>
      </c>
      <c r="D6" s="441">
        <v>0.25</v>
      </c>
      <c r="E6" s="440">
        <v>3899</v>
      </c>
      <c r="F6" s="439">
        <v>50</v>
      </c>
      <c r="G6" s="442">
        <v>0.15</v>
      </c>
      <c r="H6" s="440">
        <v>4099</v>
      </c>
      <c r="I6" s="427">
        <v>0.05</v>
      </c>
      <c r="J6" s="443">
        <v>0.43173836795050941</v>
      </c>
      <c r="K6" s="440">
        <v>4299</v>
      </c>
      <c r="L6" s="428">
        <v>0.05</v>
      </c>
      <c r="M6" s="443">
        <v>0.45817528965553339</v>
      </c>
      <c r="N6" s="440">
        <v>4549</v>
      </c>
      <c r="O6" s="428">
        <v>0.05</v>
      </c>
      <c r="P6" s="443">
        <v>0.48795242256081289</v>
      </c>
    </row>
    <row r="7" spans="1:16" x14ac:dyDescent="0.25">
      <c r="A7" s="439" t="s">
        <v>3859</v>
      </c>
      <c r="B7" s="439" t="s">
        <v>19</v>
      </c>
      <c r="C7" s="440">
        <v>2729.9586625064017</v>
      </c>
      <c r="D7" s="441">
        <v>0.25</v>
      </c>
      <c r="E7" s="440">
        <v>4949</v>
      </c>
      <c r="F7" s="439">
        <v>50</v>
      </c>
      <c r="G7" s="442">
        <v>0.2</v>
      </c>
      <c r="H7" s="440">
        <v>5199</v>
      </c>
      <c r="I7" s="427">
        <v>0.05</v>
      </c>
      <c r="J7" s="443">
        <v>0.47490697008917065</v>
      </c>
      <c r="K7" s="440">
        <v>5449</v>
      </c>
      <c r="L7" s="428">
        <v>0.05</v>
      </c>
      <c r="M7" s="443">
        <v>0.49899822673767635</v>
      </c>
      <c r="N7" s="440">
        <v>5749</v>
      </c>
      <c r="O7" s="428">
        <v>0.05</v>
      </c>
      <c r="P7" s="443">
        <v>0.52514199643304893</v>
      </c>
    </row>
    <row r="8" spans="1:16" x14ac:dyDescent="0.25">
      <c r="A8" s="439" t="s">
        <v>3859</v>
      </c>
      <c r="B8" s="439" t="s">
        <v>20</v>
      </c>
      <c r="C8" s="440">
        <v>3403.9387789918869</v>
      </c>
      <c r="D8" s="441">
        <v>0.25</v>
      </c>
      <c r="E8" s="440">
        <v>6199</v>
      </c>
      <c r="F8" s="439">
        <v>50</v>
      </c>
      <c r="G8" s="442">
        <v>0.2</v>
      </c>
      <c r="H8" s="440">
        <v>6549</v>
      </c>
      <c r="I8" s="427">
        <v>0.05</v>
      </c>
      <c r="J8" s="443">
        <v>0.48023533684655872</v>
      </c>
      <c r="K8" s="440">
        <v>6899</v>
      </c>
      <c r="L8" s="428">
        <v>0.05</v>
      </c>
      <c r="M8" s="443">
        <v>0.50660403261459819</v>
      </c>
      <c r="N8" s="440">
        <v>7249</v>
      </c>
      <c r="O8" s="428">
        <v>0.05</v>
      </c>
      <c r="P8" s="443">
        <v>0.5304264341299646</v>
      </c>
    </row>
    <row r="9" spans="1:16" x14ac:dyDescent="0.25">
      <c r="A9" s="439" t="s">
        <v>3859</v>
      </c>
      <c r="B9" s="439" t="s">
        <v>21</v>
      </c>
      <c r="C9" s="440">
        <v>3924.739612328759</v>
      </c>
      <c r="D9" s="441">
        <v>0.25</v>
      </c>
      <c r="E9" s="440">
        <v>7149</v>
      </c>
      <c r="F9" s="439">
        <v>50</v>
      </c>
      <c r="G9" s="442">
        <v>0.2</v>
      </c>
      <c r="H9" s="440">
        <v>7549</v>
      </c>
      <c r="I9" s="427">
        <v>0.05</v>
      </c>
      <c r="J9" s="443">
        <v>0.48009807758262563</v>
      </c>
      <c r="K9" s="440">
        <v>7949</v>
      </c>
      <c r="L9" s="428">
        <v>0.05</v>
      </c>
      <c r="M9" s="443">
        <v>0.50625995567634186</v>
      </c>
      <c r="N9" s="440">
        <v>8349</v>
      </c>
      <c r="O9" s="428">
        <v>0.05</v>
      </c>
      <c r="P9" s="443">
        <v>0.5299150063086886</v>
      </c>
    </row>
    <row r="10" spans="1:16" x14ac:dyDescent="0.25">
      <c r="A10" s="439" t="s">
        <v>3859</v>
      </c>
      <c r="B10" s="439" t="s">
        <v>82</v>
      </c>
      <c r="C10" s="440">
        <v>4303.1194054476691</v>
      </c>
      <c r="D10" s="441">
        <v>0.25</v>
      </c>
      <c r="E10" s="440">
        <v>7799</v>
      </c>
      <c r="F10" s="439">
        <v>50</v>
      </c>
      <c r="G10" s="443">
        <v>0.2</v>
      </c>
      <c r="H10" s="440">
        <v>8199</v>
      </c>
      <c r="I10" s="427">
        <v>0.05</v>
      </c>
      <c r="J10" s="443">
        <v>0.47516533657181742</v>
      </c>
      <c r="K10" s="440">
        <v>8649</v>
      </c>
      <c r="L10" s="428">
        <v>0.05</v>
      </c>
      <c r="M10" s="443">
        <v>0.50247203081886127</v>
      </c>
      <c r="N10" s="440">
        <v>9099</v>
      </c>
      <c r="O10" s="428">
        <v>0.05</v>
      </c>
      <c r="P10" s="443">
        <v>0.52707776618884827</v>
      </c>
    </row>
    <row r="11" spans="1:16" x14ac:dyDescent="0.25">
      <c r="A11" s="439" t="s">
        <v>3859</v>
      </c>
      <c r="B11" s="439" t="s">
        <v>83</v>
      </c>
      <c r="C11" s="440">
        <v>4323.0397316140961</v>
      </c>
      <c r="D11" s="441">
        <v>0.25</v>
      </c>
      <c r="E11" s="440">
        <v>7849</v>
      </c>
      <c r="F11" s="439">
        <v>50</v>
      </c>
      <c r="G11" s="443">
        <v>0.2</v>
      </c>
      <c r="H11" s="440">
        <v>8249</v>
      </c>
      <c r="I11" s="427">
        <v>0.05</v>
      </c>
      <c r="J11" s="443">
        <v>0.47593166061169884</v>
      </c>
      <c r="K11" s="440">
        <v>8699</v>
      </c>
      <c r="L11" s="428">
        <v>0.05</v>
      </c>
      <c r="M11" s="443">
        <v>0.50304175978686105</v>
      </c>
      <c r="N11" s="440">
        <v>9149</v>
      </c>
      <c r="O11" s="428">
        <v>0.05</v>
      </c>
      <c r="P11" s="443">
        <v>0.52748500037008461</v>
      </c>
    </row>
    <row r="12" spans="1:16" x14ac:dyDescent="0.25">
      <c r="A12" s="439" t="s">
        <v>3859</v>
      </c>
      <c r="B12" s="439" t="s">
        <v>22</v>
      </c>
      <c r="C12" s="440">
        <v>7496.8184347382103</v>
      </c>
      <c r="D12" s="441">
        <v>0.25</v>
      </c>
      <c r="E12" s="440">
        <v>13649</v>
      </c>
      <c r="F12" s="439">
        <v>50</v>
      </c>
      <c r="G12" s="443">
        <v>0.2</v>
      </c>
      <c r="H12" s="440">
        <v>14349</v>
      </c>
      <c r="I12" s="427">
        <v>0.05</v>
      </c>
      <c r="J12" s="443">
        <v>0.4775372196851202</v>
      </c>
      <c r="K12" s="440">
        <v>15099</v>
      </c>
      <c r="L12" s="428">
        <v>0.05</v>
      </c>
      <c r="M12" s="443">
        <v>0.50348907644624075</v>
      </c>
      <c r="N12" s="440">
        <v>15899</v>
      </c>
      <c r="O12" s="428">
        <v>0.05</v>
      </c>
      <c r="P12" s="443">
        <v>0.5284723294082514</v>
      </c>
    </row>
    <row r="13" spans="1:16" x14ac:dyDescent="0.25">
      <c r="A13" s="439" t="s">
        <v>3859</v>
      </c>
      <c r="B13" s="439" t="s">
        <v>84</v>
      </c>
      <c r="C13" s="440">
        <v>9162.8950570233956</v>
      </c>
      <c r="D13" s="441">
        <v>0.25</v>
      </c>
      <c r="E13" s="440">
        <v>16649</v>
      </c>
      <c r="F13" s="439">
        <v>50</v>
      </c>
      <c r="G13" s="443">
        <v>0.2</v>
      </c>
      <c r="H13" s="440">
        <v>17549</v>
      </c>
      <c r="I13" s="427">
        <v>0.05</v>
      </c>
      <c r="J13" s="443">
        <v>0.47786796643550083</v>
      </c>
      <c r="K13" s="440">
        <v>18449</v>
      </c>
      <c r="L13" s="428">
        <v>0.05</v>
      </c>
      <c r="M13" s="443">
        <v>0.50333920228611873</v>
      </c>
      <c r="N13" s="440">
        <v>19399</v>
      </c>
      <c r="O13" s="428">
        <v>0.05</v>
      </c>
      <c r="P13" s="443">
        <v>0.52766147445624023</v>
      </c>
    </row>
    <row r="14" spans="1:16" x14ac:dyDescent="0.25">
      <c r="A14" s="439" t="s">
        <v>3860</v>
      </c>
      <c r="B14" s="439" t="s">
        <v>211</v>
      </c>
      <c r="C14" s="440">
        <v>1585.7755018484629</v>
      </c>
      <c r="D14" s="441">
        <v>0.22</v>
      </c>
      <c r="E14" s="445">
        <v>2519</v>
      </c>
      <c r="F14" s="446">
        <v>10</v>
      </c>
      <c r="G14" s="447">
        <v>0.15</v>
      </c>
      <c r="H14" s="448">
        <v>2649</v>
      </c>
      <c r="I14" s="449">
        <v>0.05</v>
      </c>
      <c r="J14" s="450">
        <v>0.2</v>
      </c>
      <c r="K14" s="445">
        <v>2789</v>
      </c>
      <c r="L14" s="451">
        <v>0.05</v>
      </c>
      <c r="M14" s="447">
        <v>0.25</v>
      </c>
      <c r="N14" s="448">
        <v>2939</v>
      </c>
      <c r="O14" s="452">
        <v>0.05</v>
      </c>
      <c r="P14" s="450">
        <v>0.3</v>
      </c>
    </row>
    <row r="15" spans="1:16" x14ac:dyDescent="0.25">
      <c r="A15" s="453" t="s">
        <v>3860</v>
      </c>
      <c r="B15" s="454" t="s">
        <v>30</v>
      </c>
      <c r="C15" s="455">
        <v>1799.6777443487995</v>
      </c>
      <c r="D15" s="456">
        <v>0.22</v>
      </c>
      <c r="E15" s="457">
        <v>2859</v>
      </c>
      <c r="F15" s="458">
        <v>10</v>
      </c>
      <c r="G15" s="459">
        <v>0.15</v>
      </c>
      <c r="H15" s="460">
        <v>3009</v>
      </c>
      <c r="I15" s="461">
        <v>0.05</v>
      </c>
      <c r="J15" s="462">
        <v>0.2</v>
      </c>
      <c r="K15" s="457">
        <v>3169</v>
      </c>
      <c r="L15" s="463">
        <v>0.05</v>
      </c>
      <c r="M15" s="459">
        <v>0.25</v>
      </c>
      <c r="N15" s="460">
        <v>3339</v>
      </c>
      <c r="O15" s="464">
        <v>0.05</v>
      </c>
      <c r="P15" s="462">
        <v>0.3</v>
      </c>
    </row>
    <row r="16" spans="1:16" x14ac:dyDescent="0.25">
      <c r="A16" s="465" t="s">
        <v>3860</v>
      </c>
      <c r="B16" s="466" t="s">
        <v>31</v>
      </c>
      <c r="C16" s="467">
        <v>2053.5923884410304</v>
      </c>
      <c r="D16" s="468">
        <v>0.22</v>
      </c>
      <c r="E16" s="469">
        <v>3259</v>
      </c>
      <c r="F16" s="470">
        <v>10</v>
      </c>
      <c r="G16" s="471">
        <v>0.15</v>
      </c>
      <c r="H16" s="472">
        <v>3429</v>
      </c>
      <c r="I16" s="473">
        <v>0.05</v>
      </c>
      <c r="J16" s="474">
        <v>0.2</v>
      </c>
      <c r="K16" s="469">
        <v>3609</v>
      </c>
      <c r="L16" s="475">
        <v>0.05</v>
      </c>
      <c r="M16" s="471">
        <v>0.25</v>
      </c>
      <c r="N16" s="472">
        <v>3799</v>
      </c>
      <c r="O16" s="476">
        <v>0.05</v>
      </c>
      <c r="P16" s="474">
        <v>0.3</v>
      </c>
    </row>
    <row r="17" spans="1:16" x14ac:dyDescent="0.25">
      <c r="A17" s="477" t="s">
        <v>3860</v>
      </c>
      <c r="B17" s="439" t="s">
        <v>32</v>
      </c>
      <c r="C17" s="440">
        <v>2329.0963809633504</v>
      </c>
      <c r="D17" s="441">
        <v>0.22</v>
      </c>
      <c r="E17" s="445">
        <v>3699</v>
      </c>
      <c r="F17" s="446">
        <v>10</v>
      </c>
      <c r="G17" s="447">
        <v>0.15</v>
      </c>
      <c r="H17" s="448">
        <v>3889</v>
      </c>
      <c r="I17" s="449">
        <v>0.05</v>
      </c>
      <c r="J17" s="450">
        <v>0.2</v>
      </c>
      <c r="K17" s="445">
        <v>4089</v>
      </c>
      <c r="L17" s="451">
        <v>0.05</v>
      </c>
      <c r="M17" s="447">
        <v>0.25</v>
      </c>
      <c r="N17" s="448">
        <v>4299</v>
      </c>
      <c r="O17" s="452">
        <v>0.05</v>
      </c>
      <c r="P17" s="450">
        <v>0.3</v>
      </c>
    </row>
    <row r="18" spans="1:16" x14ac:dyDescent="0.25">
      <c r="A18" s="465" t="s">
        <v>3860</v>
      </c>
      <c r="B18" s="466" t="s">
        <v>33</v>
      </c>
      <c r="C18" s="467">
        <v>2773.3121123484266</v>
      </c>
      <c r="D18" s="468">
        <v>0.22</v>
      </c>
      <c r="E18" s="469">
        <v>4779</v>
      </c>
      <c r="F18" s="470">
        <v>10</v>
      </c>
      <c r="G18" s="471">
        <v>0.2</v>
      </c>
      <c r="H18" s="472">
        <v>5029</v>
      </c>
      <c r="I18" s="473">
        <v>0.05</v>
      </c>
      <c r="J18" s="474">
        <v>0.25</v>
      </c>
      <c r="K18" s="469">
        <v>5289</v>
      </c>
      <c r="L18" s="475">
        <v>0.05</v>
      </c>
      <c r="M18" s="471">
        <v>0.3</v>
      </c>
      <c r="N18" s="472">
        <v>5569</v>
      </c>
      <c r="O18" s="476">
        <v>0.05</v>
      </c>
      <c r="P18" s="474">
        <v>0.35</v>
      </c>
    </row>
    <row r="19" spans="1:16" x14ac:dyDescent="0.25">
      <c r="A19" s="465" t="s">
        <v>3860</v>
      </c>
      <c r="B19" s="466" t="s">
        <v>34</v>
      </c>
      <c r="C19" s="467">
        <v>2905.2322050297098</v>
      </c>
      <c r="D19" s="468">
        <v>0.22</v>
      </c>
      <c r="E19" s="469">
        <v>5009</v>
      </c>
      <c r="F19" s="470">
        <v>10</v>
      </c>
      <c r="G19" s="471">
        <v>0.2</v>
      </c>
      <c r="H19" s="472">
        <v>5269</v>
      </c>
      <c r="I19" s="473">
        <v>0.05</v>
      </c>
      <c r="J19" s="474">
        <v>0.25</v>
      </c>
      <c r="K19" s="469">
        <v>5549</v>
      </c>
      <c r="L19" s="475">
        <v>0.05</v>
      </c>
      <c r="M19" s="471">
        <v>0.3</v>
      </c>
      <c r="N19" s="472">
        <v>5839</v>
      </c>
      <c r="O19" s="476">
        <v>0.05</v>
      </c>
      <c r="P19" s="474">
        <v>0.35</v>
      </c>
    </row>
    <row r="20" spans="1:16" x14ac:dyDescent="0.25">
      <c r="A20" s="478" t="s">
        <v>3860</v>
      </c>
      <c r="B20" s="479" t="s">
        <v>35</v>
      </c>
      <c r="C20" s="480">
        <v>3317.3111559805711</v>
      </c>
      <c r="D20" s="481">
        <v>0.22</v>
      </c>
      <c r="E20" s="482">
        <v>5719</v>
      </c>
      <c r="F20" s="483">
        <v>10</v>
      </c>
      <c r="G20" s="484">
        <v>0.2</v>
      </c>
      <c r="H20" s="485">
        <v>6019</v>
      </c>
      <c r="I20" s="486">
        <v>0.05</v>
      </c>
      <c r="J20" s="487">
        <v>0.25</v>
      </c>
      <c r="K20" s="482">
        <v>6339</v>
      </c>
      <c r="L20" s="488">
        <v>0.05</v>
      </c>
      <c r="M20" s="484">
        <v>0.3</v>
      </c>
      <c r="N20" s="485">
        <v>6669</v>
      </c>
      <c r="O20" s="489">
        <v>0.05</v>
      </c>
      <c r="P20" s="487">
        <v>0.35</v>
      </c>
    </row>
    <row r="21" spans="1:16" x14ac:dyDescent="0.25">
      <c r="A21" s="490" t="s">
        <v>3860</v>
      </c>
      <c r="B21" s="490" t="s">
        <v>36</v>
      </c>
      <c r="C21" s="491">
        <v>3938.2317957099435</v>
      </c>
      <c r="D21" s="492">
        <v>0.22</v>
      </c>
      <c r="E21" s="493">
        <v>6789</v>
      </c>
      <c r="F21" s="494">
        <v>10</v>
      </c>
      <c r="G21" s="495">
        <v>0.2</v>
      </c>
      <c r="H21" s="496">
        <v>7149</v>
      </c>
      <c r="I21" s="497">
        <v>0.05</v>
      </c>
      <c r="J21" s="498">
        <v>0.25</v>
      </c>
      <c r="K21" s="493">
        <v>7529</v>
      </c>
      <c r="L21" s="499">
        <v>0.05</v>
      </c>
      <c r="M21" s="495">
        <v>0.3</v>
      </c>
      <c r="N21" s="496">
        <v>7929</v>
      </c>
      <c r="O21" s="500">
        <v>0.05</v>
      </c>
      <c r="P21" s="498">
        <v>0.35</v>
      </c>
    </row>
    <row r="22" spans="1:16" x14ac:dyDescent="0.25">
      <c r="A22" s="439" t="s">
        <v>3861</v>
      </c>
      <c r="B22" s="439" t="s">
        <v>460</v>
      </c>
      <c r="C22" s="440">
        <v>1507.971733073347</v>
      </c>
      <c r="D22" s="441">
        <v>0.22</v>
      </c>
      <c r="E22" s="445">
        <v>2219</v>
      </c>
      <c r="F22" s="446">
        <v>10</v>
      </c>
      <c r="G22" s="447">
        <v>0.1</v>
      </c>
      <c r="H22" s="448">
        <v>2339</v>
      </c>
      <c r="I22" s="449">
        <v>0.05</v>
      </c>
      <c r="J22" s="450">
        <v>0.15000000000000002</v>
      </c>
      <c r="K22" s="445">
        <v>2459</v>
      </c>
      <c r="L22" s="451">
        <v>0.05</v>
      </c>
      <c r="M22" s="447">
        <v>0.2</v>
      </c>
      <c r="N22" s="448">
        <v>2589</v>
      </c>
      <c r="O22" s="452">
        <v>0.05</v>
      </c>
      <c r="P22" s="450">
        <v>0.25</v>
      </c>
    </row>
    <row r="23" spans="1:16" x14ac:dyDescent="0.25">
      <c r="A23" s="465" t="s">
        <v>3861</v>
      </c>
      <c r="B23" s="466" t="s">
        <v>369</v>
      </c>
      <c r="C23" s="467">
        <v>1749.5706287683768</v>
      </c>
      <c r="D23" s="468">
        <v>0.22</v>
      </c>
      <c r="E23" s="469">
        <v>2569</v>
      </c>
      <c r="F23" s="470">
        <v>10</v>
      </c>
      <c r="G23" s="471">
        <v>0.1</v>
      </c>
      <c r="H23" s="472">
        <v>2699</v>
      </c>
      <c r="I23" s="473">
        <v>0.05</v>
      </c>
      <c r="J23" s="474">
        <v>0.15000000000000002</v>
      </c>
      <c r="K23" s="469">
        <v>2839</v>
      </c>
      <c r="L23" s="475">
        <v>0.05</v>
      </c>
      <c r="M23" s="471">
        <v>0.2</v>
      </c>
      <c r="N23" s="472">
        <v>2989</v>
      </c>
      <c r="O23" s="476">
        <v>0.05</v>
      </c>
      <c r="P23" s="474">
        <v>0.25</v>
      </c>
    </row>
    <row r="24" spans="1:16" x14ac:dyDescent="0.25">
      <c r="A24" s="465" t="s">
        <v>3861</v>
      </c>
      <c r="B24" s="466" t="s">
        <v>370</v>
      </c>
      <c r="C24" s="467">
        <v>1989.0902482369336</v>
      </c>
      <c r="D24" s="468">
        <v>0.22</v>
      </c>
      <c r="E24" s="469">
        <v>2929</v>
      </c>
      <c r="F24" s="470">
        <v>10</v>
      </c>
      <c r="G24" s="471">
        <v>0.1</v>
      </c>
      <c r="H24" s="472">
        <v>3079</v>
      </c>
      <c r="I24" s="473">
        <v>0.05</v>
      </c>
      <c r="J24" s="474">
        <v>0.15000000000000002</v>
      </c>
      <c r="K24" s="469">
        <v>3239</v>
      </c>
      <c r="L24" s="475">
        <v>0.05</v>
      </c>
      <c r="M24" s="471">
        <v>0.2</v>
      </c>
      <c r="N24" s="472">
        <v>3409</v>
      </c>
      <c r="O24" s="476">
        <v>0.05</v>
      </c>
      <c r="P24" s="474">
        <v>0.25</v>
      </c>
    </row>
    <row r="25" spans="1:16" x14ac:dyDescent="0.25">
      <c r="A25" s="465" t="s">
        <v>3861</v>
      </c>
      <c r="B25" s="466" t="s">
        <v>371</v>
      </c>
      <c r="C25" s="467">
        <v>2285.1790851936321</v>
      </c>
      <c r="D25" s="468">
        <v>0.22</v>
      </c>
      <c r="E25" s="469">
        <v>3359</v>
      </c>
      <c r="F25" s="470">
        <v>10</v>
      </c>
      <c r="G25" s="471">
        <v>0.1</v>
      </c>
      <c r="H25" s="472">
        <v>3539</v>
      </c>
      <c r="I25" s="473">
        <v>0.05</v>
      </c>
      <c r="J25" s="474">
        <v>0.15000000000000002</v>
      </c>
      <c r="K25" s="469">
        <v>3729</v>
      </c>
      <c r="L25" s="475">
        <v>0.05</v>
      </c>
      <c r="M25" s="471">
        <v>0.2</v>
      </c>
      <c r="N25" s="472">
        <v>3929</v>
      </c>
      <c r="O25" s="476">
        <v>0.05</v>
      </c>
      <c r="P25" s="474">
        <v>0.25</v>
      </c>
    </row>
    <row r="26" spans="1:16" x14ac:dyDescent="0.25">
      <c r="A26" s="465" t="s">
        <v>3861</v>
      </c>
      <c r="B26" s="466" t="s">
        <v>372</v>
      </c>
      <c r="C26" s="467">
        <v>2685.6686161694442</v>
      </c>
      <c r="D26" s="468">
        <v>0.22</v>
      </c>
      <c r="E26" s="469">
        <v>4479</v>
      </c>
      <c r="F26" s="470">
        <v>10</v>
      </c>
      <c r="G26" s="471">
        <v>0.18</v>
      </c>
      <c r="H26" s="472">
        <v>4709</v>
      </c>
      <c r="I26" s="473">
        <v>0.05</v>
      </c>
      <c r="J26" s="474">
        <v>0.22999999999999998</v>
      </c>
      <c r="K26" s="469">
        <v>4959</v>
      </c>
      <c r="L26" s="475">
        <v>0.05</v>
      </c>
      <c r="M26" s="471">
        <v>0.27999999999999997</v>
      </c>
      <c r="N26" s="472">
        <v>5219</v>
      </c>
      <c r="O26" s="476">
        <v>0.05</v>
      </c>
      <c r="P26" s="474">
        <v>0.32999999999999996</v>
      </c>
    </row>
    <row r="27" spans="1:16" x14ac:dyDescent="0.25">
      <c r="A27" s="465" t="s">
        <v>3861</v>
      </c>
      <c r="B27" s="466" t="s">
        <v>373</v>
      </c>
      <c r="C27" s="467">
        <v>3194.0521367281908</v>
      </c>
      <c r="D27" s="468">
        <v>0.22</v>
      </c>
      <c r="E27" s="469">
        <v>5319</v>
      </c>
      <c r="F27" s="470">
        <v>10</v>
      </c>
      <c r="G27" s="471">
        <v>0.18</v>
      </c>
      <c r="H27" s="472">
        <v>5599</v>
      </c>
      <c r="I27" s="473">
        <v>0.05</v>
      </c>
      <c r="J27" s="474">
        <v>0.22999999999999998</v>
      </c>
      <c r="K27" s="469">
        <v>5889</v>
      </c>
      <c r="L27" s="475">
        <v>0.05</v>
      </c>
      <c r="M27" s="471">
        <v>0.27999999999999997</v>
      </c>
      <c r="N27" s="472">
        <v>6199</v>
      </c>
      <c r="O27" s="476">
        <v>0.05</v>
      </c>
      <c r="P27" s="474">
        <v>0.32999999999999996</v>
      </c>
    </row>
    <row r="28" spans="1:16" x14ac:dyDescent="0.25">
      <c r="A28" s="465" t="s">
        <v>3861</v>
      </c>
      <c r="B28" s="466" t="s">
        <v>374</v>
      </c>
      <c r="C28" s="467">
        <v>3471.9191895569811</v>
      </c>
      <c r="D28" s="468">
        <v>0.22</v>
      </c>
      <c r="E28" s="469">
        <v>5789</v>
      </c>
      <c r="F28" s="470">
        <v>10</v>
      </c>
      <c r="G28" s="471">
        <v>0.18</v>
      </c>
      <c r="H28" s="472">
        <v>6089</v>
      </c>
      <c r="I28" s="473">
        <v>0.05</v>
      </c>
      <c r="J28" s="474">
        <v>0.22999999999999998</v>
      </c>
      <c r="K28" s="469">
        <v>6409</v>
      </c>
      <c r="L28" s="475">
        <v>0.05</v>
      </c>
      <c r="M28" s="471">
        <v>0.27999999999999997</v>
      </c>
      <c r="N28" s="472">
        <v>6749</v>
      </c>
      <c r="O28" s="476">
        <v>0.05</v>
      </c>
      <c r="P28" s="474">
        <v>0.32999999999999996</v>
      </c>
    </row>
    <row r="29" spans="1:16" x14ac:dyDescent="0.25">
      <c r="A29" s="490" t="s">
        <v>3861</v>
      </c>
      <c r="B29" s="490" t="s">
        <v>375</v>
      </c>
      <c r="C29" s="491">
        <v>4126.8940767846179</v>
      </c>
      <c r="D29" s="492">
        <v>0.22</v>
      </c>
      <c r="E29" s="493">
        <v>6879</v>
      </c>
      <c r="F29" s="494">
        <v>10</v>
      </c>
      <c r="G29" s="495">
        <v>0.18</v>
      </c>
      <c r="H29" s="496">
        <v>7239</v>
      </c>
      <c r="I29" s="497">
        <v>0.05</v>
      </c>
      <c r="J29" s="498">
        <v>0.22999999999999998</v>
      </c>
      <c r="K29" s="493">
        <v>7619</v>
      </c>
      <c r="L29" s="499">
        <v>0.05</v>
      </c>
      <c r="M29" s="495">
        <v>0.27999999999999997</v>
      </c>
      <c r="N29" s="496">
        <v>8019</v>
      </c>
      <c r="O29" s="500">
        <v>0.05</v>
      </c>
      <c r="P29" s="498">
        <v>0.32999999999999996</v>
      </c>
    </row>
    <row r="30" spans="1:16" x14ac:dyDescent="0.25">
      <c r="A30" s="439" t="s">
        <v>3862</v>
      </c>
      <c r="B30" s="439" t="s">
        <v>643</v>
      </c>
      <c r="C30" s="440">
        <v>1477.8156980864455</v>
      </c>
      <c r="D30" s="441">
        <v>0.25</v>
      </c>
      <c r="E30" s="445">
        <v>2269</v>
      </c>
      <c r="F30" s="446">
        <v>10</v>
      </c>
      <c r="G30" s="447">
        <v>0.1</v>
      </c>
      <c r="H30" s="448">
        <v>2389</v>
      </c>
      <c r="I30" s="449">
        <v>0.05</v>
      </c>
      <c r="J30" s="450">
        <v>0.15000000000000002</v>
      </c>
      <c r="K30" s="445">
        <v>2509</v>
      </c>
      <c r="L30" s="451">
        <v>0.05</v>
      </c>
      <c r="M30" s="447">
        <v>0.2</v>
      </c>
      <c r="N30" s="448">
        <v>2639</v>
      </c>
      <c r="O30" s="452">
        <v>0.05</v>
      </c>
      <c r="P30" s="450">
        <v>0.25</v>
      </c>
    </row>
    <row r="31" spans="1:16" x14ac:dyDescent="0.25">
      <c r="A31" s="439" t="s">
        <v>3862</v>
      </c>
      <c r="B31" s="439" t="s">
        <v>540</v>
      </c>
      <c r="C31" s="440">
        <v>1691.481392824059</v>
      </c>
      <c r="D31" s="441">
        <v>0.25</v>
      </c>
      <c r="E31" s="445">
        <v>2599</v>
      </c>
      <c r="F31" s="446">
        <v>10</v>
      </c>
      <c r="G31" s="447">
        <v>0.1</v>
      </c>
      <c r="H31" s="448">
        <v>2739</v>
      </c>
      <c r="I31" s="449">
        <v>0.05</v>
      </c>
      <c r="J31" s="450">
        <v>0.15000000000000002</v>
      </c>
      <c r="K31" s="445">
        <v>2879</v>
      </c>
      <c r="L31" s="451">
        <v>0.05</v>
      </c>
      <c r="M31" s="447">
        <v>0.2</v>
      </c>
      <c r="N31" s="448">
        <v>3029</v>
      </c>
      <c r="O31" s="452">
        <v>0.05</v>
      </c>
      <c r="P31" s="450">
        <v>0.25</v>
      </c>
    </row>
    <row r="32" spans="1:16" x14ac:dyDescent="0.25">
      <c r="A32" s="439" t="s">
        <v>3862</v>
      </c>
      <c r="B32" s="439" t="s">
        <v>541</v>
      </c>
      <c r="C32" s="440">
        <v>1867.1846246843991</v>
      </c>
      <c r="D32" s="441">
        <v>0.25</v>
      </c>
      <c r="E32" s="445">
        <v>2869</v>
      </c>
      <c r="F32" s="446">
        <v>10</v>
      </c>
      <c r="G32" s="447">
        <v>0.1</v>
      </c>
      <c r="H32" s="448">
        <v>3019</v>
      </c>
      <c r="I32" s="449">
        <v>0.05</v>
      </c>
      <c r="J32" s="450">
        <v>0.15000000000000002</v>
      </c>
      <c r="K32" s="445">
        <v>3179</v>
      </c>
      <c r="L32" s="451">
        <v>0.05</v>
      </c>
      <c r="M32" s="447">
        <v>0.2</v>
      </c>
      <c r="N32" s="448">
        <v>3349</v>
      </c>
      <c r="O32" s="452">
        <v>0.05</v>
      </c>
      <c r="P32" s="450">
        <v>0.25</v>
      </c>
    </row>
    <row r="33" spans="1:16" x14ac:dyDescent="0.25">
      <c r="A33" s="439" t="s">
        <v>3862</v>
      </c>
      <c r="B33" s="439" t="s">
        <v>542</v>
      </c>
      <c r="C33" s="440">
        <v>2150.9840023215806</v>
      </c>
      <c r="D33" s="441">
        <v>0.25</v>
      </c>
      <c r="E33" s="445">
        <v>3309</v>
      </c>
      <c r="F33" s="446">
        <v>10</v>
      </c>
      <c r="G33" s="447">
        <v>0.1</v>
      </c>
      <c r="H33" s="448">
        <v>3479</v>
      </c>
      <c r="I33" s="449">
        <v>0.05</v>
      </c>
      <c r="J33" s="450">
        <v>0.15000000000000002</v>
      </c>
      <c r="K33" s="445">
        <v>3659</v>
      </c>
      <c r="L33" s="451">
        <v>0.05</v>
      </c>
      <c r="M33" s="447">
        <v>0.2</v>
      </c>
      <c r="N33" s="448">
        <v>3849</v>
      </c>
      <c r="O33" s="452">
        <v>0.05</v>
      </c>
      <c r="P33" s="450">
        <v>0.25</v>
      </c>
    </row>
    <row r="34" spans="1:16" x14ac:dyDescent="0.25">
      <c r="A34" s="439" t="s">
        <v>3862</v>
      </c>
      <c r="B34" s="439" t="s">
        <v>644</v>
      </c>
      <c r="C34" s="440">
        <v>2473.9461213789518</v>
      </c>
      <c r="D34" s="441">
        <v>0.25</v>
      </c>
      <c r="E34" s="445">
        <v>4119</v>
      </c>
      <c r="F34" s="446">
        <v>10</v>
      </c>
      <c r="G34" s="447">
        <v>0.15</v>
      </c>
      <c r="H34" s="448">
        <v>4339</v>
      </c>
      <c r="I34" s="449">
        <v>0.05</v>
      </c>
      <c r="J34" s="450">
        <v>0.2</v>
      </c>
      <c r="K34" s="445">
        <v>4569</v>
      </c>
      <c r="L34" s="451">
        <v>0.05</v>
      </c>
      <c r="M34" s="447">
        <v>0.25</v>
      </c>
      <c r="N34" s="448">
        <v>4809</v>
      </c>
      <c r="O34" s="452">
        <v>0.05</v>
      </c>
      <c r="P34" s="450">
        <v>0.3</v>
      </c>
    </row>
    <row r="35" spans="1:16" x14ac:dyDescent="0.25">
      <c r="A35" s="439" t="s">
        <v>3862</v>
      </c>
      <c r="B35" s="439" t="s">
        <v>645</v>
      </c>
      <c r="C35" s="440">
        <v>2761.912886541832</v>
      </c>
      <c r="D35" s="441">
        <v>0.25</v>
      </c>
      <c r="E35" s="445">
        <v>4599</v>
      </c>
      <c r="F35" s="446">
        <v>10</v>
      </c>
      <c r="G35" s="447">
        <v>0.15</v>
      </c>
      <c r="H35" s="448">
        <v>4839</v>
      </c>
      <c r="I35" s="449">
        <v>0.05</v>
      </c>
      <c r="J35" s="450">
        <v>0.2</v>
      </c>
      <c r="K35" s="445">
        <v>5089</v>
      </c>
      <c r="L35" s="451">
        <v>0.05</v>
      </c>
      <c r="M35" s="447">
        <v>0.25</v>
      </c>
      <c r="N35" s="448">
        <v>5359</v>
      </c>
      <c r="O35" s="452">
        <v>0.05</v>
      </c>
      <c r="P35" s="450">
        <v>0.3</v>
      </c>
    </row>
    <row r="36" spans="1:16" x14ac:dyDescent="0.25">
      <c r="A36" s="439" t="s">
        <v>3862</v>
      </c>
      <c r="B36" s="439" t="s">
        <v>646</v>
      </c>
      <c r="C36" s="440">
        <v>3322.237225622061</v>
      </c>
      <c r="D36" s="441">
        <v>0.25</v>
      </c>
      <c r="E36" s="445">
        <v>5539</v>
      </c>
      <c r="F36" s="446">
        <v>10</v>
      </c>
      <c r="G36" s="447">
        <v>0.15</v>
      </c>
      <c r="H36" s="448">
        <v>5829</v>
      </c>
      <c r="I36" s="449">
        <v>0.05</v>
      </c>
      <c r="J36" s="450">
        <v>0.2</v>
      </c>
      <c r="K36" s="445">
        <v>6139</v>
      </c>
      <c r="L36" s="451">
        <v>0.05</v>
      </c>
      <c r="M36" s="447">
        <v>0.25</v>
      </c>
      <c r="N36" s="448">
        <v>6459</v>
      </c>
      <c r="O36" s="452">
        <v>0.05</v>
      </c>
      <c r="P36" s="450">
        <v>0.3</v>
      </c>
    </row>
    <row r="37" spans="1:16" x14ac:dyDescent="0.25">
      <c r="A37" s="439" t="s">
        <v>3862</v>
      </c>
      <c r="B37" s="439" t="s">
        <v>647</v>
      </c>
      <c r="C37" s="440">
        <v>3719.7347199484757</v>
      </c>
      <c r="D37" s="441">
        <v>0.25</v>
      </c>
      <c r="E37" s="445">
        <v>6199</v>
      </c>
      <c r="F37" s="446">
        <v>10</v>
      </c>
      <c r="G37" s="447">
        <v>0.15</v>
      </c>
      <c r="H37" s="448">
        <v>6529</v>
      </c>
      <c r="I37" s="449">
        <v>0.05</v>
      </c>
      <c r="J37" s="450">
        <v>0.2</v>
      </c>
      <c r="K37" s="445">
        <v>6869</v>
      </c>
      <c r="L37" s="451">
        <v>0.05</v>
      </c>
      <c r="M37" s="447">
        <v>0.25</v>
      </c>
      <c r="N37" s="448">
        <v>7229</v>
      </c>
      <c r="O37" s="452">
        <v>0.05</v>
      </c>
      <c r="P37" s="450">
        <v>0.3</v>
      </c>
    </row>
    <row r="38" spans="1:16" x14ac:dyDescent="0.25">
      <c r="A38" s="424" t="s">
        <v>3863</v>
      </c>
      <c r="B38" s="439" t="s">
        <v>48</v>
      </c>
      <c r="C38" s="501">
        <v>1136.9982584742766</v>
      </c>
      <c r="D38" s="441">
        <v>0.25</v>
      </c>
      <c r="E38" s="502">
        <v>2839</v>
      </c>
      <c r="F38" s="446">
        <v>10</v>
      </c>
      <c r="G38" s="503">
        <v>0.35</v>
      </c>
      <c r="H38" s="504">
        <v>2989</v>
      </c>
      <c r="I38" s="449">
        <v>0.05</v>
      </c>
      <c r="J38" s="450">
        <v>0.39999999999999997</v>
      </c>
      <c r="K38" s="505">
        <v>3149</v>
      </c>
      <c r="L38" s="451">
        <v>0.05</v>
      </c>
      <c r="M38" s="447">
        <v>0.44999999999999996</v>
      </c>
      <c r="N38" s="504">
        <v>3309</v>
      </c>
      <c r="O38" s="452">
        <v>0.05</v>
      </c>
      <c r="P38" s="450">
        <v>0.49999999999999994</v>
      </c>
    </row>
    <row r="39" spans="1:16" x14ac:dyDescent="0.25">
      <c r="A39" s="424" t="s">
        <v>3863</v>
      </c>
      <c r="B39" s="439" t="s">
        <v>50</v>
      </c>
      <c r="C39" s="501">
        <v>1267.4777279172711</v>
      </c>
      <c r="D39" s="441">
        <v>0.25</v>
      </c>
      <c r="E39" s="502">
        <v>3169</v>
      </c>
      <c r="F39" s="446">
        <v>10</v>
      </c>
      <c r="G39" s="503">
        <v>0.35</v>
      </c>
      <c r="H39" s="504">
        <v>3339</v>
      </c>
      <c r="I39" s="449">
        <v>0.05</v>
      </c>
      <c r="J39" s="450">
        <v>0.39999999999999997</v>
      </c>
      <c r="K39" s="505">
        <v>3509</v>
      </c>
      <c r="L39" s="451">
        <v>0.05</v>
      </c>
      <c r="M39" s="447">
        <v>0.44999999999999996</v>
      </c>
      <c r="N39" s="504">
        <v>3689</v>
      </c>
      <c r="O39" s="452">
        <v>0.05</v>
      </c>
      <c r="P39" s="450">
        <v>0.49999999999999994</v>
      </c>
    </row>
    <row r="40" spans="1:16" x14ac:dyDescent="0.25">
      <c r="A40" s="424" t="s">
        <v>3863</v>
      </c>
      <c r="B40" s="439" t="s">
        <v>52</v>
      </c>
      <c r="C40" s="501">
        <v>1422.5155248259266</v>
      </c>
      <c r="D40" s="441">
        <v>0.25</v>
      </c>
      <c r="E40" s="502">
        <v>3559</v>
      </c>
      <c r="F40" s="446">
        <v>10</v>
      </c>
      <c r="G40" s="503">
        <v>0.35</v>
      </c>
      <c r="H40" s="504">
        <v>3749</v>
      </c>
      <c r="I40" s="449">
        <v>0.05</v>
      </c>
      <c r="J40" s="450">
        <v>0.39999999999999997</v>
      </c>
      <c r="K40" s="505">
        <v>3949</v>
      </c>
      <c r="L40" s="451">
        <v>0.05</v>
      </c>
      <c r="M40" s="447">
        <v>0.44999999999999996</v>
      </c>
      <c r="N40" s="504">
        <v>4159</v>
      </c>
      <c r="O40" s="452">
        <v>0.05</v>
      </c>
      <c r="P40" s="450">
        <v>0.49999999999999994</v>
      </c>
    </row>
    <row r="41" spans="1:16" x14ac:dyDescent="0.25">
      <c r="A41" s="424" t="s">
        <v>3863</v>
      </c>
      <c r="B41" s="439" t="s">
        <v>54</v>
      </c>
      <c r="C41" s="501">
        <v>1630.3160978433327</v>
      </c>
      <c r="D41" s="441">
        <v>0.25</v>
      </c>
      <c r="E41" s="502">
        <v>4659</v>
      </c>
      <c r="F41" s="446">
        <v>10</v>
      </c>
      <c r="G41" s="503">
        <v>0.4</v>
      </c>
      <c r="H41" s="504">
        <v>4899</v>
      </c>
      <c r="I41" s="449">
        <v>0.05</v>
      </c>
      <c r="J41" s="450">
        <v>0.45</v>
      </c>
      <c r="K41" s="505">
        <v>5159</v>
      </c>
      <c r="L41" s="451">
        <v>0.05</v>
      </c>
      <c r="M41" s="447">
        <v>0.5</v>
      </c>
      <c r="N41" s="504">
        <v>5429</v>
      </c>
      <c r="O41" s="452">
        <v>0.05</v>
      </c>
      <c r="P41" s="450">
        <v>0.55000000000000004</v>
      </c>
    </row>
    <row r="42" spans="1:16" x14ac:dyDescent="0.25">
      <c r="A42" s="424" t="s">
        <v>3863</v>
      </c>
      <c r="B42" s="439" t="s">
        <v>56</v>
      </c>
      <c r="C42" s="501">
        <v>1895.2261618571642</v>
      </c>
      <c r="D42" s="441">
        <v>0.25</v>
      </c>
      <c r="E42" s="502">
        <v>5409</v>
      </c>
      <c r="F42" s="446">
        <v>10</v>
      </c>
      <c r="G42" s="503">
        <v>0.4</v>
      </c>
      <c r="H42" s="504">
        <v>5689</v>
      </c>
      <c r="I42" s="449">
        <v>0.05</v>
      </c>
      <c r="J42" s="450">
        <v>0.45</v>
      </c>
      <c r="K42" s="505">
        <v>5989</v>
      </c>
      <c r="L42" s="451">
        <v>0.05</v>
      </c>
      <c r="M42" s="447">
        <v>0.5</v>
      </c>
      <c r="N42" s="504">
        <v>6299</v>
      </c>
      <c r="O42" s="452">
        <v>0.05</v>
      </c>
      <c r="P42" s="450">
        <v>0.55000000000000004</v>
      </c>
    </row>
    <row r="43" spans="1:16" x14ac:dyDescent="0.25">
      <c r="A43" s="424" t="s">
        <v>3863</v>
      </c>
      <c r="B43" s="439" t="s">
        <v>58</v>
      </c>
      <c r="C43" s="501">
        <v>2175.5959755695585</v>
      </c>
      <c r="D43" s="441">
        <v>0.25</v>
      </c>
      <c r="E43" s="502">
        <v>6219</v>
      </c>
      <c r="F43" s="446">
        <v>10</v>
      </c>
      <c r="G43" s="503">
        <v>0.4</v>
      </c>
      <c r="H43" s="504">
        <v>6549</v>
      </c>
      <c r="I43" s="449">
        <v>0.05</v>
      </c>
      <c r="J43" s="450">
        <v>0.45</v>
      </c>
      <c r="K43" s="505">
        <v>6889</v>
      </c>
      <c r="L43" s="451">
        <v>0.05</v>
      </c>
      <c r="M43" s="447">
        <v>0.5</v>
      </c>
      <c r="N43" s="504">
        <v>7249</v>
      </c>
      <c r="O43" s="452">
        <v>0.05</v>
      </c>
      <c r="P43" s="450">
        <v>0.55000000000000004</v>
      </c>
    </row>
    <row r="44" spans="1:16" x14ac:dyDescent="0.25">
      <c r="A44" s="424" t="s">
        <v>3863</v>
      </c>
      <c r="B44" s="439" t="s">
        <v>206</v>
      </c>
      <c r="C44" s="501">
        <v>1010.7648617314923</v>
      </c>
      <c r="D44" s="441">
        <v>0.25</v>
      </c>
      <c r="E44" s="502">
        <v>2529</v>
      </c>
      <c r="F44" s="446">
        <v>10</v>
      </c>
      <c r="G44" s="503">
        <v>0.35</v>
      </c>
      <c r="H44" s="504">
        <v>2659</v>
      </c>
      <c r="I44" s="449">
        <v>0.05</v>
      </c>
      <c r="J44" s="450">
        <v>0.39999999999999997</v>
      </c>
      <c r="K44" s="505">
        <v>2799</v>
      </c>
      <c r="L44" s="451">
        <v>0.05</v>
      </c>
      <c r="M44" s="447">
        <v>0.44999999999999996</v>
      </c>
      <c r="N44" s="504">
        <v>2949</v>
      </c>
      <c r="O44" s="452">
        <v>0.05</v>
      </c>
      <c r="P44" s="450">
        <v>0.49999999999999994</v>
      </c>
    </row>
    <row r="45" spans="1:16" x14ac:dyDescent="0.25">
      <c r="A45" s="424" t="s">
        <v>3863</v>
      </c>
      <c r="B45" s="439" t="s">
        <v>49</v>
      </c>
      <c r="C45" s="501">
        <v>1117.3961567179938</v>
      </c>
      <c r="D45" s="441">
        <v>0.25</v>
      </c>
      <c r="E45" s="502">
        <v>2789</v>
      </c>
      <c r="F45" s="446">
        <v>10</v>
      </c>
      <c r="G45" s="503">
        <v>0.35</v>
      </c>
      <c r="H45" s="504">
        <v>2939</v>
      </c>
      <c r="I45" s="449">
        <v>0.05</v>
      </c>
      <c r="J45" s="450">
        <v>0.39999999999999997</v>
      </c>
      <c r="K45" s="505">
        <v>3089</v>
      </c>
      <c r="L45" s="451">
        <v>0.05</v>
      </c>
      <c r="M45" s="447">
        <v>0.44999999999999996</v>
      </c>
      <c r="N45" s="504">
        <v>3249</v>
      </c>
      <c r="O45" s="452">
        <v>0.05</v>
      </c>
      <c r="P45" s="450">
        <v>0.49999999999999994</v>
      </c>
    </row>
    <row r="46" spans="1:16" x14ac:dyDescent="0.25">
      <c r="A46" s="424" t="s">
        <v>3863</v>
      </c>
      <c r="B46" s="439" t="s">
        <v>51</v>
      </c>
      <c r="C46" s="501">
        <v>1266.5856922952221</v>
      </c>
      <c r="D46" s="441">
        <v>0.25</v>
      </c>
      <c r="E46" s="502">
        <v>3169</v>
      </c>
      <c r="F46" s="446">
        <v>10</v>
      </c>
      <c r="G46" s="503">
        <v>0.35</v>
      </c>
      <c r="H46" s="504">
        <v>3339</v>
      </c>
      <c r="I46" s="449">
        <v>0.05</v>
      </c>
      <c r="J46" s="450">
        <v>0.39999999999999997</v>
      </c>
      <c r="K46" s="505">
        <v>3509</v>
      </c>
      <c r="L46" s="451">
        <v>0.05</v>
      </c>
      <c r="M46" s="447">
        <v>0.44999999999999996</v>
      </c>
      <c r="N46" s="504">
        <v>3689</v>
      </c>
      <c r="O46" s="452">
        <v>0.05</v>
      </c>
      <c r="P46" s="450">
        <v>0.49999999999999994</v>
      </c>
    </row>
    <row r="47" spans="1:16" x14ac:dyDescent="0.25">
      <c r="A47" s="424" t="s">
        <v>3863</v>
      </c>
      <c r="B47" s="439" t="s">
        <v>53</v>
      </c>
      <c r="C47" s="501">
        <v>1423.3477511268788</v>
      </c>
      <c r="D47" s="441">
        <v>0.25</v>
      </c>
      <c r="E47" s="502">
        <v>3559</v>
      </c>
      <c r="F47" s="446">
        <v>10</v>
      </c>
      <c r="G47" s="503">
        <v>0.35</v>
      </c>
      <c r="H47" s="504">
        <v>3749</v>
      </c>
      <c r="I47" s="449">
        <v>0.05</v>
      </c>
      <c r="J47" s="450">
        <v>0.39999999999999997</v>
      </c>
      <c r="K47" s="505">
        <v>3949</v>
      </c>
      <c r="L47" s="451">
        <v>0.05</v>
      </c>
      <c r="M47" s="447">
        <v>0.44999999999999996</v>
      </c>
      <c r="N47" s="504">
        <v>4159</v>
      </c>
      <c r="O47" s="452">
        <v>0.05</v>
      </c>
      <c r="P47" s="450">
        <v>0.49999999999999994</v>
      </c>
    </row>
    <row r="48" spans="1:16" x14ac:dyDescent="0.25">
      <c r="A48" s="424" t="s">
        <v>3863</v>
      </c>
      <c r="B48" s="439" t="s">
        <v>55</v>
      </c>
      <c r="C48" s="501">
        <v>1673.6695476853579</v>
      </c>
      <c r="D48" s="441">
        <v>0.25</v>
      </c>
      <c r="E48" s="502">
        <v>4779</v>
      </c>
      <c r="F48" s="446">
        <v>10</v>
      </c>
      <c r="G48" s="503">
        <v>0.4</v>
      </c>
      <c r="H48" s="504">
        <v>5029</v>
      </c>
      <c r="I48" s="449">
        <v>0.05</v>
      </c>
      <c r="J48" s="450">
        <v>0.45</v>
      </c>
      <c r="K48" s="505">
        <v>5289</v>
      </c>
      <c r="L48" s="451">
        <v>0.05</v>
      </c>
      <c r="M48" s="447">
        <v>0.5</v>
      </c>
      <c r="N48" s="504">
        <v>5569</v>
      </c>
      <c r="O48" s="452">
        <v>0.05</v>
      </c>
      <c r="P48" s="450">
        <v>0.55000000000000004</v>
      </c>
    </row>
    <row r="49" spans="1:16" x14ac:dyDescent="0.25">
      <c r="A49" s="424" t="s">
        <v>3863</v>
      </c>
      <c r="B49" s="439" t="s">
        <v>76</v>
      </c>
      <c r="C49" s="501">
        <v>1765.9444444444437</v>
      </c>
      <c r="D49" s="441">
        <v>0.25</v>
      </c>
      <c r="E49" s="502">
        <v>5049</v>
      </c>
      <c r="F49" s="446">
        <v>10</v>
      </c>
      <c r="G49" s="503">
        <v>0.4</v>
      </c>
      <c r="H49" s="504">
        <v>5309</v>
      </c>
      <c r="I49" s="449">
        <v>0.05</v>
      </c>
      <c r="J49" s="450">
        <v>0.45</v>
      </c>
      <c r="K49" s="505">
        <v>5589</v>
      </c>
      <c r="L49" s="451">
        <v>0.05</v>
      </c>
      <c r="M49" s="447">
        <v>0.5</v>
      </c>
      <c r="N49" s="504">
        <v>5879</v>
      </c>
      <c r="O49" s="452">
        <v>0.05</v>
      </c>
      <c r="P49" s="450">
        <v>0.55000000000000004</v>
      </c>
    </row>
    <row r="50" spans="1:16" x14ac:dyDescent="0.25">
      <c r="A50" s="424" t="s">
        <v>3863</v>
      </c>
      <c r="B50" s="439" t="s">
        <v>57</v>
      </c>
      <c r="C50" s="501">
        <v>1808.5985388458482</v>
      </c>
      <c r="D50" s="441">
        <v>0.25</v>
      </c>
      <c r="E50" s="502">
        <v>5169</v>
      </c>
      <c r="F50" s="446">
        <v>10</v>
      </c>
      <c r="G50" s="503">
        <v>0.4</v>
      </c>
      <c r="H50" s="504">
        <v>5439</v>
      </c>
      <c r="I50" s="449">
        <v>0.05</v>
      </c>
      <c r="J50" s="450">
        <v>0.45</v>
      </c>
      <c r="K50" s="505">
        <v>5729</v>
      </c>
      <c r="L50" s="451">
        <v>0.05</v>
      </c>
      <c r="M50" s="447">
        <v>0.5</v>
      </c>
      <c r="N50" s="504">
        <v>6029</v>
      </c>
      <c r="O50" s="452">
        <v>0.05</v>
      </c>
      <c r="P50" s="450">
        <v>0.55000000000000004</v>
      </c>
    </row>
    <row r="51" spans="1:16" x14ac:dyDescent="0.25">
      <c r="A51" s="424" t="s">
        <v>3863</v>
      </c>
      <c r="B51" s="439" t="s">
        <v>59</v>
      </c>
      <c r="C51" s="501">
        <v>2189.088158950743</v>
      </c>
      <c r="D51" s="441">
        <v>0.25</v>
      </c>
      <c r="E51" s="502">
        <v>6249</v>
      </c>
      <c r="F51" s="446">
        <v>10</v>
      </c>
      <c r="G51" s="503">
        <v>0.4</v>
      </c>
      <c r="H51" s="504">
        <v>6579</v>
      </c>
      <c r="I51" s="449">
        <v>0.05</v>
      </c>
      <c r="J51" s="450">
        <v>0.45</v>
      </c>
      <c r="K51" s="505">
        <v>6929</v>
      </c>
      <c r="L51" s="451">
        <v>0.05</v>
      </c>
      <c r="M51" s="447">
        <v>0.5</v>
      </c>
      <c r="N51" s="504">
        <v>7289</v>
      </c>
      <c r="O51" s="452">
        <v>0.05</v>
      </c>
      <c r="P51" s="450">
        <v>0.55000000000000004</v>
      </c>
    </row>
    <row r="52" spans="1:16" x14ac:dyDescent="0.25">
      <c r="A52" s="424" t="s">
        <v>3863</v>
      </c>
      <c r="B52" s="439" t="s">
        <v>615</v>
      </c>
      <c r="C52" s="501">
        <v>935.54789405780923</v>
      </c>
      <c r="D52" s="441">
        <v>0.25</v>
      </c>
      <c r="E52" s="502">
        <v>2079</v>
      </c>
      <c r="F52" s="446">
        <v>10</v>
      </c>
      <c r="G52" s="503">
        <v>0.30000000000000004</v>
      </c>
      <c r="H52" s="504">
        <v>2189</v>
      </c>
      <c r="I52" s="449">
        <v>0.05</v>
      </c>
      <c r="J52" s="450">
        <v>0.35000000000000003</v>
      </c>
      <c r="K52" s="505">
        <v>2299</v>
      </c>
      <c r="L52" s="451">
        <v>0.05</v>
      </c>
      <c r="M52" s="447">
        <v>0.4</v>
      </c>
      <c r="N52" s="504">
        <v>2419</v>
      </c>
      <c r="O52" s="452">
        <v>0.05</v>
      </c>
      <c r="P52" s="450">
        <v>0.45</v>
      </c>
    </row>
    <row r="53" spans="1:16" x14ac:dyDescent="0.25">
      <c r="A53" s="424" t="s">
        <v>3863</v>
      </c>
      <c r="B53" s="439" t="s">
        <v>390</v>
      </c>
      <c r="C53" s="501">
        <v>1067.2890411375711</v>
      </c>
      <c r="D53" s="441">
        <v>0.25</v>
      </c>
      <c r="E53" s="502">
        <v>2369</v>
      </c>
      <c r="F53" s="446">
        <v>10</v>
      </c>
      <c r="G53" s="503">
        <v>0.30000000000000004</v>
      </c>
      <c r="H53" s="504">
        <v>2489</v>
      </c>
      <c r="I53" s="449">
        <v>0.05</v>
      </c>
      <c r="J53" s="450">
        <v>0.35000000000000003</v>
      </c>
      <c r="K53" s="505">
        <v>2619</v>
      </c>
      <c r="L53" s="451">
        <v>0.05</v>
      </c>
      <c r="M53" s="447">
        <v>0.4</v>
      </c>
      <c r="N53" s="504">
        <v>2759</v>
      </c>
      <c r="O53" s="452">
        <v>0.05</v>
      </c>
      <c r="P53" s="450">
        <v>0.45</v>
      </c>
    </row>
    <row r="54" spans="1:16" x14ac:dyDescent="0.25">
      <c r="A54" s="424" t="s">
        <v>3863</v>
      </c>
      <c r="B54" s="439" t="s">
        <v>383</v>
      </c>
      <c r="C54" s="501">
        <v>1201.4203817673244</v>
      </c>
      <c r="D54" s="441">
        <v>0.25</v>
      </c>
      <c r="E54" s="502">
        <v>2669</v>
      </c>
      <c r="F54" s="446">
        <v>10</v>
      </c>
      <c r="G54" s="503">
        <v>0.30000000000000004</v>
      </c>
      <c r="H54" s="504">
        <v>2809</v>
      </c>
      <c r="I54" s="449">
        <v>0.05</v>
      </c>
      <c r="J54" s="450">
        <v>0.35000000000000003</v>
      </c>
      <c r="K54" s="505">
        <v>2959</v>
      </c>
      <c r="L54" s="451">
        <v>0.05</v>
      </c>
      <c r="M54" s="447">
        <v>0.4</v>
      </c>
      <c r="N54" s="504">
        <v>3109</v>
      </c>
      <c r="O54" s="452">
        <v>0.05</v>
      </c>
      <c r="P54" s="450">
        <v>0.45</v>
      </c>
    </row>
    <row r="55" spans="1:16" x14ac:dyDescent="0.25">
      <c r="A55" s="424" t="s">
        <v>3863</v>
      </c>
      <c r="B55" s="439" t="s">
        <v>611</v>
      </c>
      <c r="C55" s="501">
        <v>1372.916475342246</v>
      </c>
      <c r="D55" s="441">
        <v>0.25</v>
      </c>
      <c r="E55" s="502">
        <v>3049</v>
      </c>
      <c r="F55" s="446">
        <v>10</v>
      </c>
      <c r="G55" s="503">
        <v>0.30000000000000004</v>
      </c>
      <c r="H55" s="504">
        <v>3209</v>
      </c>
      <c r="I55" s="449">
        <v>0.05</v>
      </c>
      <c r="J55" s="450">
        <v>0.35000000000000003</v>
      </c>
      <c r="K55" s="505">
        <v>3379</v>
      </c>
      <c r="L55" s="451">
        <v>0.05</v>
      </c>
      <c r="M55" s="447">
        <v>0.4</v>
      </c>
      <c r="N55" s="504">
        <v>3559</v>
      </c>
      <c r="O55" s="452">
        <v>0.05</v>
      </c>
      <c r="P55" s="450">
        <v>0.45</v>
      </c>
    </row>
    <row r="56" spans="1:16" x14ac:dyDescent="0.25">
      <c r="A56" s="424" t="s">
        <v>3863</v>
      </c>
      <c r="B56" s="439" t="s">
        <v>648</v>
      </c>
      <c r="C56" s="501">
        <v>1582.2028179377342</v>
      </c>
      <c r="D56" s="441">
        <v>0.25</v>
      </c>
      <c r="E56" s="502">
        <v>4279</v>
      </c>
      <c r="F56" s="446">
        <v>10</v>
      </c>
      <c r="G56" s="503">
        <v>0.38</v>
      </c>
      <c r="H56" s="504">
        <v>4499</v>
      </c>
      <c r="I56" s="449">
        <v>0.05</v>
      </c>
      <c r="J56" s="450">
        <v>0.43</v>
      </c>
      <c r="K56" s="505">
        <v>4739</v>
      </c>
      <c r="L56" s="451">
        <v>0.05</v>
      </c>
      <c r="M56" s="447">
        <v>0.48</v>
      </c>
      <c r="N56" s="504">
        <v>4989</v>
      </c>
      <c r="O56" s="452">
        <v>0.05</v>
      </c>
      <c r="P56" s="450">
        <v>0.53</v>
      </c>
    </row>
    <row r="57" spans="1:16" x14ac:dyDescent="0.25">
      <c r="A57" s="424" t="s">
        <v>3863</v>
      </c>
      <c r="B57" s="439" t="s">
        <v>403</v>
      </c>
      <c r="C57" s="501">
        <v>1923.1353221919919</v>
      </c>
      <c r="D57" s="441">
        <v>0.25</v>
      </c>
      <c r="E57" s="502">
        <v>5199</v>
      </c>
      <c r="F57" s="446">
        <v>10</v>
      </c>
      <c r="G57" s="503">
        <v>0.38</v>
      </c>
      <c r="H57" s="504">
        <v>5469</v>
      </c>
      <c r="I57" s="449">
        <v>0.05</v>
      </c>
      <c r="J57" s="450">
        <v>0.43</v>
      </c>
      <c r="K57" s="505">
        <v>5759</v>
      </c>
      <c r="L57" s="451">
        <v>0.05</v>
      </c>
      <c r="M57" s="447">
        <v>0.48</v>
      </c>
      <c r="N57" s="504">
        <v>6059</v>
      </c>
      <c r="O57" s="452">
        <v>0.05</v>
      </c>
      <c r="P57" s="450">
        <v>0.53</v>
      </c>
    </row>
    <row r="58" spans="1:16" x14ac:dyDescent="0.25">
      <c r="A58" s="424" t="s">
        <v>3863</v>
      </c>
      <c r="B58" s="439" t="s">
        <v>649</v>
      </c>
      <c r="C58" s="501">
        <v>1963.2065724222582</v>
      </c>
      <c r="D58" s="441">
        <v>0.25</v>
      </c>
      <c r="E58" s="502">
        <v>5309</v>
      </c>
      <c r="F58" s="446">
        <v>10</v>
      </c>
      <c r="G58" s="503">
        <v>0.38</v>
      </c>
      <c r="H58" s="504">
        <v>5589</v>
      </c>
      <c r="I58" s="449">
        <v>0.05</v>
      </c>
      <c r="J58" s="450">
        <v>0.43</v>
      </c>
      <c r="K58" s="505">
        <v>5879</v>
      </c>
      <c r="L58" s="451">
        <v>0.05</v>
      </c>
      <c r="M58" s="447">
        <v>0.48</v>
      </c>
      <c r="N58" s="504">
        <v>6189</v>
      </c>
      <c r="O58" s="452">
        <v>0.05</v>
      </c>
      <c r="P58" s="450">
        <v>0.53</v>
      </c>
    </row>
    <row r="59" spans="1:16" x14ac:dyDescent="0.25">
      <c r="A59" s="424" t="s">
        <v>3863</v>
      </c>
      <c r="B59" s="439" t="s">
        <v>642</v>
      </c>
      <c r="C59" s="501">
        <v>2377.7504400254174</v>
      </c>
      <c r="D59" s="441">
        <v>0.25</v>
      </c>
      <c r="E59" s="502">
        <v>6429</v>
      </c>
      <c r="F59" s="446">
        <v>10</v>
      </c>
      <c r="G59" s="503">
        <v>0.38</v>
      </c>
      <c r="H59" s="504">
        <v>6769</v>
      </c>
      <c r="I59" s="449">
        <v>0.05</v>
      </c>
      <c r="J59" s="450">
        <v>0.43</v>
      </c>
      <c r="K59" s="505">
        <v>7129</v>
      </c>
      <c r="L59" s="451">
        <v>0.05</v>
      </c>
      <c r="M59" s="447">
        <v>0.48</v>
      </c>
      <c r="N59" s="504">
        <v>7499</v>
      </c>
      <c r="O59" s="452">
        <v>0.05</v>
      </c>
      <c r="P59" s="450">
        <v>0.53</v>
      </c>
    </row>
    <row r="60" spans="1:16" x14ac:dyDescent="0.25">
      <c r="A60" s="424" t="s">
        <v>3863</v>
      </c>
      <c r="B60" s="439" t="s">
        <v>60</v>
      </c>
      <c r="C60" s="501">
        <v>2600.5051503855416</v>
      </c>
      <c r="D60" s="441">
        <v>0.25</v>
      </c>
      <c r="E60" s="502">
        <v>7429</v>
      </c>
      <c r="F60" s="446">
        <v>10</v>
      </c>
      <c r="G60" s="503">
        <v>0.4</v>
      </c>
      <c r="H60" s="504">
        <v>7819</v>
      </c>
      <c r="I60" s="449">
        <v>0.05</v>
      </c>
      <c r="J60" s="450">
        <v>0.45</v>
      </c>
      <c r="K60" s="505">
        <v>8229</v>
      </c>
      <c r="L60" s="451">
        <v>0.05</v>
      </c>
      <c r="M60" s="447">
        <v>0.5</v>
      </c>
      <c r="N60" s="504">
        <v>8659</v>
      </c>
      <c r="O60" s="452">
        <v>0.05</v>
      </c>
      <c r="P60" s="450">
        <v>0.55000000000000004</v>
      </c>
    </row>
    <row r="61" spans="1:16" x14ac:dyDescent="0.25">
      <c r="A61" s="424" t="s">
        <v>3863</v>
      </c>
      <c r="B61" s="439" t="s">
        <v>61</v>
      </c>
      <c r="C61" s="501">
        <v>2705</v>
      </c>
      <c r="D61" s="441">
        <v>0.25</v>
      </c>
      <c r="E61" s="502">
        <v>7729</v>
      </c>
      <c r="F61" s="446">
        <v>10</v>
      </c>
      <c r="G61" s="503">
        <v>0.4</v>
      </c>
      <c r="H61" s="504">
        <v>8139</v>
      </c>
      <c r="I61" s="449">
        <v>0.05</v>
      </c>
      <c r="J61" s="450">
        <v>0.45</v>
      </c>
      <c r="K61" s="505">
        <v>8569</v>
      </c>
      <c r="L61" s="451">
        <v>0.05</v>
      </c>
      <c r="M61" s="447">
        <v>0.5</v>
      </c>
      <c r="N61" s="504">
        <v>9019</v>
      </c>
      <c r="O61" s="452">
        <v>0.05</v>
      </c>
      <c r="P61" s="450">
        <v>0.55000000000000004</v>
      </c>
    </row>
    <row r="62" spans="1:16" x14ac:dyDescent="0.25">
      <c r="A62" s="424" t="s">
        <v>3863</v>
      </c>
      <c r="B62" s="439" t="s">
        <v>62</v>
      </c>
      <c r="C62" s="501">
        <v>4288.6672203162898</v>
      </c>
      <c r="D62" s="441">
        <v>0.25</v>
      </c>
      <c r="E62" s="502">
        <v>12249</v>
      </c>
      <c r="F62" s="446">
        <v>10</v>
      </c>
      <c r="G62" s="503">
        <v>0.4</v>
      </c>
      <c r="H62" s="504">
        <v>12889</v>
      </c>
      <c r="I62" s="449">
        <v>0.05</v>
      </c>
      <c r="J62" s="450">
        <v>0.45</v>
      </c>
      <c r="K62" s="505">
        <v>13569</v>
      </c>
      <c r="L62" s="451">
        <v>0.05</v>
      </c>
      <c r="M62" s="447">
        <v>0.5</v>
      </c>
      <c r="N62" s="504">
        <v>14279</v>
      </c>
      <c r="O62" s="452">
        <v>0.05</v>
      </c>
      <c r="P62" s="450">
        <v>0.55000000000000004</v>
      </c>
    </row>
    <row r="63" spans="1:16" x14ac:dyDescent="0.25">
      <c r="A63" s="424" t="s">
        <v>3863</v>
      </c>
      <c r="B63" s="439" t="s">
        <v>63</v>
      </c>
      <c r="C63" s="501">
        <v>5080.6579877725671</v>
      </c>
      <c r="D63" s="441">
        <v>0.25</v>
      </c>
      <c r="E63" s="502">
        <v>14519</v>
      </c>
      <c r="F63" s="446">
        <v>10</v>
      </c>
      <c r="G63" s="503">
        <v>0.4</v>
      </c>
      <c r="H63" s="504">
        <v>15279</v>
      </c>
      <c r="I63" s="449">
        <v>0.05</v>
      </c>
      <c r="J63" s="450">
        <v>0.45</v>
      </c>
      <c r="K63" s="505">
        <v>16079</v>
      </c>
      <c r="L63" s="451">
        <v>0.05</v>
      </c>
      <c r="M63" s="447">
        <v>0.5</v>
      </c>
      <c r="N63" s="504">
        <v>16929</v>
      </c>
      <c r="O63" s="452">
        <v>0.05</v>
      </c>
      <c r="P63" s="450">
        <v>0.55000000000000004</v>
      </c>
    </row>
    <row r="64" spans="1:16" x14ac:dyDescent="0.25">
      <c r="A64" s="424" t="s">
        <v>3863</v>
      </c>
      <c r="B64" s="424" t="s">
        <v>650</v>
      </c>
      <c r="C64" s="501">
        <v>2325.9807044257682</v>
      </c>
      <c r="D64" s="441">
        <v>0.25</v>
      </c>
      <c r="E64" s="502">
        <v>5809</v>
      </c>
      <c r="F64" s="446">
        <v>10</v>
      </c>
      <c r="G64" s="503">
        <v>0.35</v>
      </c>
      <c r="H64" s="504">
        <v>6109</v>
      </c>
      <c r="I64" s="449">
        <v>0.05</v>
      </c>
      <c r="J64" s="450">
        <v>0.39999999999999997</v>
      </c>
      <c r="K64" s="505">
        <v>6429</v>
      </c>
      <c r="L64" s="451">
        <v>0.05</v>
      </c>
      <c r="M64" s="447">
        <v>0.44999999999999996</v>
      </c>
      <c r="N64" s="504">
        <v>6769</v>
      </c>
      <c r="O64" s="452">
        <v>0.05</v>
      </c>
      <c r="P64" s="450">
        <v>0.49999999999999994</v>
      </c>
    </row>
    <row r="65" spans="1:16" x14ac:dyDescent="0.25">
      <c r="A65" s="424" t="s">
        <v>3863</v>
      </c>
      <c r="B65" s="424" t="s">
        <v>509</v>
      </c>
      <c r="C65" s="501">
        <v>2705.2916682623077</v>
      </c>
      <c r="D65" s="441">
        <v>0.25</v>
      </c>
      <c r="E65" s="502">
        <v>6759</v>
      </c>
      <c r="F65" s="446">
        <v>10</v>
      </c>
      <c r="G65" s="503">
        <v>0.35</v>
      </c>
      <c r="H65" s="504">
        <v>7109</v>
      </c>
      <c r="I65" s="449">
        <v>0.05</v>
      </c>
      <c r="J65" s="450">
        <v>0.39999999999999997</v>
      </c>
      <c r="K65" s="505">
        <v>7479</v>
      </c>
      <c r="L65" s="451">
        <v>0.05</v>
      </c>
      <c r="M65" s="447">
        <v>0.44999999999999996</v>
      </c>
      <c r="N65" s="504">
        <v>7869</v>
      </c>
      <c r="O65" s="452">
        <v>0.05</v>
      </c>
      <c r="P65" s="450">
        <v>0.49999999999999994</v>
      </c>
    </row>
    <row r="66" spans="1:16" x14ac:dyDescent="0.25">
      <c r="A66" s="424" t="s">
        <v>3863</v>
      </c>
      <c r="B66" s="439" t="s">
        <v>3864</v>
      </c>
      <c r="C66" s="501">
        <v>4373.9044455723442</v>
      </c>
      <c r="D66" s="441">
        <v>0.25</v>
      </c>
      <c r="E66" s="502">
        <v>12499</v>
      </c>
      <c r="F66" s="446">
        <v>10</v>
      </c>
      <c r="G66" s="503">
        <v>0.4</v>
      </c>
      <c r="H66" s="504">
        <v>13159</v>
      </c>
      <c r="I66" s="449">
        <v>0.05</v>
      </c>
      <c r="J66" s="450">
        <v>0.45</v>
      </c>
      <c r="K66" s="505">
        <v>13849</v>
      </c>
      <c r="L66" s="451">
        <v>0.05</v>
      </c>
      <c r="M66" s="447">
        <v>0.5</v>
      </c>
      <c r="N66" s="504">
        <v>14579</v>
      </c>
      <c r="O66" s="452">
        <v>0.05</v>
      </c>
      <c r="P66" s="450">
        <v>0.55000000000000004</v>
      </c>
    </row>
    <row r="67" spans="1:16" x14ac:dyDescent="0.25">
      <c r="A67" s="424" t="s">
        <v>3863</v>
      </c>
      <c r="B67" s="439" t="s">
        <v>3865</v>
      </c>
      <c r="C67" s="501">
        <v>5183.4777414053478</v>
      </c>
      <c r="D67" s="441">
        <v>0.25</v>
      </c>
      <c r="E67" s="502">
        <v>14809</v>
      </c>
      <c r="F67" s="446">
        <v>10</v>
      </c>
      <c r="G67" s="503">
        <v>0.4</v>
      </c>
      <c r="H67" s="504">
        <v>15589</v>
      </c>
      <c r="I67" s="449">
        <v>0.05</v>
      </c>
      <c r="J67" s="450">
        <v>0.45</v>
      </c>
      <c r="K67" s="505">
        <v>16409</v>
      </c>
      <c r="L67" s="451">
        <v>0.05</v>
      </c>
      <c r="M67" s="447">
        <v>0.5</v>
      </c>
      <c r="N67" s="504">
        <v>17269</v>
      </c>
      <c r="O67" s="452">
        <v>0.05</v>
      </c>
      <c r="P67" s="450">
        <v>0.55000000000000004</v>
      </c>
    </row>
    <row r="68" spans="1:16" x14ac:dyDescent="0.25">
      <c r="A68" s="424" t="s">
        <v>3863</v>
      </c>
      <c r="B68" s="439" t="s">
        <v>651</v>
      </c>
      <c r="C68" s="501">
        <v>905.04955509168587</v>
      </c>
      <c r="D68" s="441">
        <v>0.25</v>
      </c>
      <c r="E68" s="502">
        <v>2009</v>
      </c>
      <c r="F68" s="446">
        <v>10</v>
      </c>
      <c r="G68" s="503">
        <v>0.3</v>
      </c>
      <c r="H68" s="504">
        <v>2109</v>
      </c>
      <c r="I68" s="449">
        <v>0.05</v>
      </c>
      <c r="J68" s="450">
        <v>0.35</v>
      </c>
      <c r="K68" s="505">
        <v>2219</v>
      </c>
      <c r="L68" s="451">
        <v>0.05</v>
      </c>
      <c r="M68" s="447">
        <v>0.39999999999999997</v>
      </c>
      <c r="N68" s="504">
        <v>2339</v>
      </c>
      <c r="O68" s="452">
        <v>0.05</v>
      </c>
      <c r="P68" s="450">
        <v>0.44999999999999996</v>
      </c>
    </row>
    <row r="69" spans="1:16" x14ac:dyDescent="0.25">
      <c r="A69" s="424" t="s">
        <v>3863</v>
      </c>
      <c r="B69" s="439" t="s">
        <v>652</v>
      </c>
      <c r="C69" s="501">
        <v>1017.0792815679547</v>
      </c>
      <c r="D69" s="441">
        <v>0.25</v>
      </c>
      <c r="E69" s="502">
        <v>2259</v>
      </c>
      <c r="F69" s="446">
        <v>10</v>
      </c>
      <c r="G69" s="503">
        <v>0.3</v>
      </c>
      <c r="H69" s="504">
        <v>2379</v>
      </c>
      <c r="I69" s="449">
        <v>0.05</v>
      </c>
      <c r="J69" s="450">
        <v>0.35</v>
      </c>
      <c r="K69" s="505">
        <v>2499</v>
      </c>
      <c r="L69" s="451">
        <v>0.05</v>
      </c>
      <c r="M69" s="447">
        <v>0.39999999999999997</v>
      </c>
      <c r="N69" s="504">
        <v>2629</v>
      </c>
      <c r="O69" s="452">
        <v>0.05</v>
      </c>
      <c r="P69" s="450">
        <v>0.44999999999999996</v>
      </c>
    </row>
    <row r="70" spans="1:16" x14ac:dyDescent="0.25">
      <c r="A70" s="424" t="s">
        <v>3863</v>
      </c>
      <c r="B70" s="439" t="s">
        <v>653</v>
      </c>
      <c r="C70" s="501">
        <v>1130.5296266927103</v>
      </c>
      <c r="D70" s="441">
        <v>0.25</v>
      </c>
      <c r="E70" s="502">
        <v>2509</v>
      </c>
      <c r="F70" s="446">
        <v>10</v>
      </c>
      <c r="G70" s="503">
        <v>0.3</v>
      </c>
      <c r="H70" s="504">
        <v>2639</v>
      </c>
      <c r="I70" s="449">
        <v>0.05</v>
      </c>
      <c r="J70" s="450">
        <v>0.35</v>
      </c>
      <c r="K70" s="505">
        <v>2779</v>
      </c>
      <c r="L70" s="451">
        <v>0.05</v>
      </c>
      <c r="M70" s="447">
        <v>0.39999999999999997</v>
      </c>
      <c r="N70" s="504">
        <v>2929</v>
      </c>
      <c r="O70" s="452">
        <v>0.05</v>
      </c>
      <c r="P70" s="450">
        <v>0.44999999999999996</v>
      </c>
    </row>
    <row r="71" spans="1:16" x14ac:dyDescent="0.25">
      <c r="A71" s="424" t="s">
        <v>3863</v>
      </c>
      <c r="B71" s="439" t="s">
        <v>654</v>
      </c>
      <c r="C71" s="501">
        <v>1321.0955665482418</v>
      </c>
      <c r="D71" s="441">
        <v>0.25</v>
      </c>
      <c r="E71" s="502">
        <v>2939</v>
      </c>
      <c r="F71" s="446">
        <v>10</v>
      </c>
      <c r="G71" s="503">
        <v>0.3</v>
      </c>
      <c r="H71" s="504">
        <v>3089</v>
      </c>
      <c r="I71" s="449">
        <v>0.05</v>
      </c>
      <c r="J71" s="450">
        <v>0.35</v>
      </c>
      <c r="K71" s="505">
        <v>3249</v>
      </c>
      <c r="L71" s="451">
        <v>0.05</v>
      </c>
      <c r="M71" s="447">
        <v>0.39999999999999997</v>
      </c>
      <c r="N71" s="504">
        <v>3419</v>
      </c>
      <c r="O71" s="452">
        <v>0.05</v>
      </c>
      <c r="P71" s="450">
        <v>0.44999999999999996</v>
      </c>
    </row>
    <row r="72" spans="1:16" x14ac:dyDescent="0.25">
      <c r="A72" s="424" t="s">
        <v>3863</v>
      </c>
      <c r="B72" s="439" t="s">
        <v>655</v>
      </c>
      <c r="C72" s="501">
        <v>1398.4509843986978</v>
      </c>
      <c r="D72" s="441">
        <v>0.25</v>
      </c>
      <c r="E72" s="502">
        <v>3499</v>
      </c>
      <c r="F72" s="446">
        <v>10</v>
      </c>
      <c r="G72" s="503">
        <v>0.35</v>
      </c>
      <c r="H72" s="504">
        <v>3679</v>
      </c>
      <c r="I72" s="449">
        <v>0.05</v>
      </c>
      <c r="J72" s="450">
        <v>0.39999999999999997</v>
      </c>
      <c r="K72" s="505">
        <v>3869</v>
      </c>
      <c r="L72" s="451">
        <v>0.05</v>
      </c>
      <c r="M72" s="447">
        <v>0.44999999999999996</v>
      </c>
      <c r="N72" s="504">
        <v>4069</v>
      </c>
      <c r="O72" s="452">
        <v>0.05</v>
      </c>
      <c r="P72" s="450">
        <v>0.49999999999999994</v>
      </c>
    </row>
    <row r="73" spans="1:16" x14ac:dyDescent="0.25">
      <c r="A73" s="424" t="s">
        <v>3863</v>
      </c>
      <c r="B73" s="439" t="s">
        <v>656</v>
      </c>
      <c r="C73" s="501">
        <v>1497.7558025991411</v>
      </c>
      <c r="D73" s="441">
        <v>0.25</v>
      </c>
      <c r="E73" s="502">
        <v>3739</v>
      </c>
      <c r="F73" s="446">
        <v>10</v>
      </c>
      <c r="G73" s="503">
        <v>0.35</v>
      </c>
      <c r="H73" s="504">
        <v>3939</v>
      </c>
      <c r="I73" s="449">
        <v>0.05</v>
      </c>
      <c r="J73" s="450">
        <v>0.39999999999999997</v>
      </c>
      <c r="K73" s="505">
        <v>4149</v>
      </c>
      <c r="L73" s="451">
        <v>0.05</v>
      </c>
      <c r="M73" s="447">
        <v>0.44999999999999996</v>
      </c>
      <c r="N73" s="504">
        <v>4369</v>
      </c>
      <c r="O73" s="452">
        <v>0.05</v>
      </c>
      <c r="P73" s="450">
        <v>0.49999999999999994</v>
      </c>
    </row>
    <row r="74" spans="1:16" x14ac:dyDescent="0.25">
      <c r="A74" s="424" t="s">
        <v>3863</v>
      </c>
      <c r="B74" s="439" t="s">
        <v>657</v>
      </c>
      <c r="C74" s="501">
        <v>1857.8268419258259</v>
      </c>
      <c r="D74" s="441">
        <v>0.25</v>
      </c>
      <c r="E74" s="502">
        <v>4639</v>
      </c>
      <c r="F74" s="446">
        <v>10</v>
      </c>
      <c r="G74" s="503">
        <v>0.35</v>
      </c>
      <c r="H74" s="504">
        <v>4879</v>
      </c>
      <c r="I74" s="449">
        <v>0.05</v>
      </c>
      <c r="J74" s="450">
        <v>0.39999999999999997</v>
      </c>
      <c r="K74" s="505">
        <v>5139</v>
      </c>
      <c r="L74" s="451">
        <v>0.05</v>
      </c>
      <c r="M74" s="447">
        <v>0.44999999999999996</v>
      </c>
      <c r="N74" s="504">
        <v>5409</v>
      </c>
      <c r="O74" s="452">
        <v>0.05</v>
      </c>
      <c r="P74" s="450">
        <v>0.49999999999999994</v>
      </c>
    </row>
    <row r="75" spans="1:16" x14ac:dyDescent="0.25">
      <c r="A75" s="424" t="s">
        <v>3863</v>
      </c>
      <c r="B75" s="439" t="s">
        <v>658</v>
      </c>
      <c r="C75" s="501">
        <v>2097.0182073836131</v>
      </c>
      <c r="D75" s="441">
        <v>0.25</v>
      </c>
      <c r="E75" s="502">
        <v>5239</v>
      </c>
      <c r="F75" s="446">
        <v>10</v>
      </c>
      <c r="G75" s="503">
        <v>0.35</v>
      </c>
      <c r="H75" s="504">
        <v>5509</v>
      </c>
      <c r="I75" s="449">
        <v>0.05</v>
      </c>
      <c r="J75" s="450">
        <v>0.39999999999999997</v>
      </c>
      <c r="K75" s="505">
        <v>5799</v>
      </c>
      <c r="L75" s="451">
        <v>0.05</v>
      </c>
      <c r="M75" s="447">
        <v>0.44999999999999996</v>
      </c>
      <c r="N75" s="504">
        <v>6099</v>
      </c>
      <c r="O75" s="452">
        <v>0.05</v>
      </c>
      <c r="P75" s="450">
        <v>0.49999999999999994</v>
      </c>
    </row>
    <row r="76" spans="1:16" x14ac:dyDescent="0.25">
      <c r="A76" s="424" t="s">
        <v>3866</v>
      </c>
      <c r="B76" s="424" t="s">
        <v>207</v>
      </c>
      <c r="C76" s="506">
        <v>203.82806177205322</v>
      </c>
      <c r="D76" s="441">
        <v>0.25</v>
      </c>
      <c r="E76" s="502">
        <v>449</v>
      </c>
      <c r="F76" s="446">
        <v>10</v>
      </c>
      <c r="G76" s="503">
        <v>0.3</v>
      </c>
      <c r="H76" s="504">
        <v>469</v>
      </c>
      <c r="I76" s="449">
        <v>0.05</v>
      </c>
      <c r="J76" s="450">
        <v>0.35</v>
      </c>
      <c r="K76" s="505">
        <v>489</v>
      </c>
      <c r="L76" s="451">
        <v>0.05</v>
      </c>
      <c r="M76" s="447">
        <v>0.39999999999999997</v>
      </c>
      <c r="N76" s="504">
        <v>509</v>
      </c>
      <c r="O76" s="452">
        <v>0.05</v>
      </c>
      <c r="P76" s="450">
        <v>0.44999999999999996</v>
      </c>
    </row>
    <row r="77" spans="1:16" x14ac:dyDescent="0.25">
      <c r="A77" s="424" t="s">
        <v>3866</v>
      </c>
      <c r="B77" s="424" t="s">
        <v>38</v>
      </c>
      <c r="C77" s="506">
        <v>219.8468286811935</v>
      </c>
      <c r="D77" s="441">
        <v>0.25</v>
      </c>
      <c r="E77" s="502">
        <v>489</v>
      </c>
      <c r="F77" s="446">
        <v>10</v>
      </c>
      <c r="G77" s="503">
        <v>0.3</v>
      </c>
      <c r="H77" s="504">
        <v>509</v>
      </c>
      <c r="I77" s="449">
        <v>0.05</v>
      </c>
      <c r="J77" s="450">
        <v>0.35</v>
      </c>
      <c r="K77" s="505">
        <v>539</v>
      </c>
      <c r="L77" s="451">
        <v>0.05</v>
      </c>
      <c r="M77" s="447">
        <v>0.39999999999999997</v>
      </c>
      <c r="N77" s="504">
        <v>569</v>
      </c>
      <c r="O77" s="452">
        <v>0.05</v>
      </c>
      <c r="P77" s="450">
        <v>0.44999999999999996</v>
      </c>
    </row>
    <row r="78" spans="1:16" x14ac:dyDescent="0.25">
      <c r="A78" s="424" t="s">
        <v>3866</v>
      </c>
      <c r="B78" s="424" t="s">
        <v>39</v>
      </c>
      <c r="C78" s="506">
        <v>240.53044497357374</v>
      </c>
      <c r="D78" s="441">
        <v>0.25</v>
      </c>
      <c r="E78" s="502">
        <v>529</v>
      </c>
      <c r="F78" s="446">
        <v>10</v>
      </c>
      <c r="G78" s="503">
        <v>0.3</v>
      </c>
      <c r="H78" s="504">
        <v>559</v>
      </c>
      <c r="I78" s="449">
        <v>0.05</v>
      </c>
      <c r="J78" s="450">
        <v>0.35</v>
      </c>
      <c r="K78" s="505">
        <v>589</v>
      </c>
      <c r="L78" s="451">
        <v>0.05</v>
      </c>
      <c r="M78" s="447">
        <v>0.39999999999999997</v>
      </c>
      <c r="N78" s="504">
        <v>619</v>
      </c>
      <c r="O78" s="452">
        <v>0.05</v>
      </c>
      <c r="P78" s="450">
        <v>0.44999999999999996</v>
      </c>
    </row>
    <row r="79" spans="1:16" x14ac:dyDescent="0.25">
      <c r="A79" s="424" t="s">
        <v>3866</v>
      </c>
      <c r="B79" s="424" t="s">
        <v>40</v>
      </c>
      <c r="C79" s="506">
        <v>252</v>
      </c>
      <c r="D79" s="441">
        <v>0.25</v>
      </c>
      <c r="E79" s="502">
        <v>559</v>
      </c>
      <c r="F79" s="446">
        <v>10</v>
      </c>
      <c r="G79" s="503">
        <v>0.3</v>
      </c>
      <c r="H79" s="504">
        <v>589</v>
      </c>
      <c r="I79" s="449">
        <v>0.05</v>
      </c>
      <c r="J79" s="450">
        <v>0.35</v>
      </c>
      <c r="K79" s="505">
        <v>619</v>
      </c>
      <c r="L79" s="451">
        <v>0.05</v>
      </c>
      <c r="M79" s="447">
        <v>0.39999999999999997</v>
      </c>
      <c r="N79" s="504">
        <v>649</v>
      </c>
      <c r="O79" s="452">
        <v>0.05</v>
      </c>
      <c r="P79" s="450">
        <v>0.44999999999999996</v>
      </c>
    </row>
    <row r="80" spans="1:16" x14ac:dyDescent="0.25">
      <c r="A80" s="424" t="s">
        <v>3866</v>
      </c>
      <c r="B80" s="424" t="s">
        <v>41</v>
      </c>
      <c r="C80" s="506">
        <v>271.5511324803071</v>
      </c>
      <c r="D80" s="441">
        <v>0.25</v>
      </c>
      <c r="E80" s="502">
        <v>679</v>
      </c>
      <c r="F80" s="446">
        <v>10</v>
      </c>
      <c r="G80" s="503">
        <v>0.35</v>
      </c>
      <c r="H80" s="504">
        <v>709</v>
      </c>
      <c r="I80" s="449">
        <v>0.05</v>
      </c>
      <c r="J80" s="450">
        <v>0.39999999999999997</v>
      </c>
      <c r="K80" s="505">
        <v>749</v>
      </c>
      <c r="L80" s="451">
        <v>0.05</v>
      </c>
      <c r="M80" s="447">
        <v>0.44999999999999996</v>
      </c>
      <c r="N80" s="504">
        <v>789</v>
      </c>
      <c r="O80" s="452">
        <v>0.05</v>
      </c>
      <c r="P80" s="450">
        <v>0.49999999999999994</v>
      </c>
    </row>
    <row r="81" spans="1:16" x14ac:dyDescent="0.25">
      <c r="A81" s="424" t="s">
        <v>3866</v>
      </c>
      <c r="B81" s="424" t="s">
        <v>42</v>
      </c>
      <c r="C81" s="506">
        <v>346.04729663697412</v>
      </c>
      <c r="D81" s="441">
        <v>0.25</v>
      </c>
      <c r="E81" s="502">
        <v>869</v>
      </c>
      <c r="F81" s="446">
        <v>10</v>
      </c>
      <c r="G81" s="503">
        <v>0.35</v>
      </c>
      <c r="H81" s="504">
        <v>909</v>
      </c>
      <c r="I81" s="449">
        <v>0.05</v>
      </c>
      <c r="J81" s="450">
        <v>0.39999999999999997</v>
      </c>
      <c r="K81" s="505">
        <v>959</v>
      </c>
      <c r="L81" s="451">
        <v>0.05</v>
      </c>
      <c r="M81" s="447">
        <v>0.44999999999999996</v>
      </c>
      <c r="N81" s="504">
        <v>1009</v>
      </c>
      <c r="O81" s="452">
        <v>0.05</v>
      </c>
      <c r="P81" s="450">
        <v>0.49999999999999994</v>
      </c>
    </row>
    <row r="82" spans="1:16" x14ac:dyDescent="0.25">
      <c r="A82" s="424" t="s">
        <v>3866</v>
      </c>
      <c r="B82" s="424" t="s">
        <v>77</v>
      </c>
      <c r="C82" s="506">
        <v>415.6483334521792</v>
      </c>
      <c r="D82" s="441">
        <v>0.25</v>
      </c>
      <c r="E82" s="502">
        <v>1039</v>
      </c>
      <c r="F82" s="446">
        <v>10</v>
      </c>
      <c r="G82" s="503">
        <v>0.35</v>
      </c>
      <c r="H82" s="504">
        <v>1089</v>
      </c>
      <c r="I82" s="449">
        <v>0.05</v>
      </c>
      <c r="J82" s="450">
        <v>0.39999999999999997</v>
      </c>
      <c r="K82" s="505">
        <v>1149</v>
      </c>
      <c r="L82" s="451">
        <v>0.05</v>
      </c>
      <c r="M82" s="447">
        <v>0.44999999999999996</v>
      </c>
      <c r="N82" s="504">
        <v>1209</v>
      </c>
      <c r="O82" s="452">
        <v>0.05</v>
      </c>
      <c r="P82" s="450">
        <v>0.49999999999999994</v>
      </c>
    </row>
    <row r="83" spans="1:16" x14ac:dyDescent="0.25">
      <c r="A83" s="424" t="s">
        <v>3866</v>
      </c>
      <c r="B83" s="424" t="s">
        <v>43</v>
      </c>
      <c r="C83" s="506">
        <v>422.63429875648723</v>
      </c>
      <c r="D83" s="441">
        <v>0.25</v>
      </c>
      <c r="E83" s="502">
        <v>1059</v>
      </c>
      <c r="F83" s="446">
        <v>10</v>
      </c>
      <c r="G83" s="503">
        <v>0.35</v>
      </c>
      <c r="H83" s="504">
        <v>1109</v>
      </c>
      <c r="I83" s="449">
        <v>0.05</v>
      </c>
      <c r="J83" s="450">
        <v>0.39999999999999997</v>
      </c>
      <c r="K83" s="505">
        <v>1169</v>
      </c>
      <c r="L83" s="451">
        <v>0.05</v>
      </c>
      <c r="M83" s="447">
        <v>0.44999999999999996</v>
      </c>
      <c r="N83" s="504">
        <v>1229</v>
      </c>
      <c r="O83" s="452">
        <v>0.05</v>
      </c>
      <c r="P83" s="450">
        <v>0.49999999999999994</v>
      </c>
    </row>
    <row r="84" spans="1:16" x14ac:dyDescent="0.25">
      <c r="A84" s="424" t="s">
        <v>3866</v>
      </c>
      <c r="B84" s="424" t="s">
        <v>3867</v>
      </c>
      <c r="C84" s="506">
        <v>227.7796856190476</v>
      </c>
      <c r="D84" s="441">
        <v>0.25</v>
      </c>
      <c r="E84" s="502">
        <v>509</v>
      </c>
      <c r="F84" s="446">
        <v>10</v>
      </c>
      <c r="G84" s="503">
        <v>0.3</v>
      </c>
      <c r="H84" s="504">
        <v>539</v>
      </c>
      <c r="I84" s="449">
        <v>0.05</v>
      </c>
      <c r="J84" s="450">
        <v>0.35</v>
      </c>
      <c r="K84" s="505">
        <v>569</v>
      </c>
      <c r="L84" s="451">
        <v>0.05</v>
      </c>
      <c r="M84" s="447">
        <v>0.39999999999999997</v>
      </c>
      <c r="N84" s="504">
        <v>599</v>
      </c>
      <c r="O84" s="452">
        <v>0.05</v>
      </c>
      <c r="P84" s="450">
        <v>0.44999999999999996</v>
      </c>
    </row>
    <row r="85" spans="1:16" x14ac:dyDescent="0.25">
      <c r="A85" s="424" t="s">
        <v>3866</v>
      </c>
      <c r="B85" s="424" t="s">
        <v>3868</v>
      </c>
      <c r="C85" s="506">
        <v>243.38066229916436</v>
      </c>
      <c r="D85" s="441">
        <v>0.25</v>
      </c>
      <c r="E85" s="502">
        <v>539</v>
      </c>
      <c r="F85" s="446">
        <v>10</v>
      </c>
      <c r="G85" s="503">
        <v>0.3</v>
      </c>
      <c r="H85" s="504">
        <v>569</v>
      </c>
      <c r="I85" s="449">
        <v>0.05</v>
      </c>
      <c r="J85" s="450">
        <v>0.35</v>
      </c>
      <c r="K85" s="505">
        <v>599</v>
      </c>
      <c r="L85" s="451">
        <v>0.05</v>
      </c>
      <c r="M85" s="447">
        <v>0.39999999999999997</v>
      </c>
      <c r="N85" s="504">
        <v>629</v>
      </c>
      <c r="O85" s="452">
        <v>0.05</v>
      </c>
      <c r="P85" s="450">
        <v>0.44999999999999996</v>
      </c>
    </row>
    <row r="86" spans="1:16" x14ac:dyDescent="0.25">
      <c r="A86" s="424" t="s">
        <v>3866</v>
      </c>
      <c r="B86" s="424" t="s">
        <v>3869</v>
      </c>
      <c r="C86" s="506">
        <v>240</v>
      </c>
      <c r="D86" s="441">
        <v>0.25</v>
      </c>
      <c r="E86" s="502">
        <v>529</v>
      </c>
      <c r="F86" s="446">
        <v>10</v>
      </c>
      <c r="G86" s="503">
        <v>0.3</v>
      </c>
      <c r="H86" s="504">
        <v>559</v>
      </c>
      <c r="I86" s="449">
        <v>0.05</v>
      </c>
      <c r="J86" s="450">
        <v>0.35</v>
      </c>
      <c r="K86" s="505">
        <v>589</v>
      </c>
      <c r="L86" s="451">
        <v>0.05</v>
      </c>
      <c r="M86" s="447">
        <v>0.39999999999999997</v>
      </c>
      <c r="N86" s="504">
        <v>619</v>
      </c>
      <c r="O86" s="452">
        <v>0.05</v>
      </c>
      <c r="P86" s="450">
        <v>0.44999999999999996</v>
      </c>
    </row>
    <row r="87" spans="1:16" x14ac:dyDescent="0.25">
      <c r="A87" s="424" t="s">
        <v>3866</v>
      </c>
      <c r="B87" s="424" t="s">
        <v>3870</v>
      </c>
      <c r="C87" s="506">
        <v>252</v>
      </c>
      <c r="D87" s="441">
        <v>0.25</v>
      </c>
      <c r="E87" s="502">
        <v>559</v>
      </c>
      <c r="F87" s="446">
        <v>10</v>
      </c>
      <c r="G87" s="503">
        <v>0.3</v>
      </c>
      <c r="H87" s="504">
        <v>589</v>
      </c>
      <c r="I87" s="449">
        <v>0.05</v>
      </c>
      <c r="J87" s="450">
        <v>0.35</v>
      </c>
      <c r="K87" s="505">
        <v>619</v>
      </c>
      <c r="L87" s="451">
        <v>0.05</v>
      </c>
      <c r="M87" s="447">
        <v>0.39999999999999997</v>
      </c>
      <c r="N87" s="504">
        <v>649</v>
      </c>
      <c r="O87" s="452">
        <v>0.05</v>
      </c>
      <c r="P87" s="450">
        <v>0.44999999999999996</v>
      </c>
    </row>
    <row r="88" spans="1:16" x14ac:dyDescent="0.25">
      <c r="A88" s="424" t="s">
        <v>3866</v>
      </c>
      <c r="B88" s="424" t="s">
        <v>3871</v>
      </c>
      <c r="C88" s="506">
        <v>306.40054086502704</v>
      </c>
      <c r="D88" s="441">
        <v>0.25</v>
      </c>
      <c r="E88" s="502">
        <v>769</v>
      </c>
      <c r="F88" s="446">
        <v>10</v>
      </c>
      <c r="G88" s="503">
        <v>0.35</v>
      </c>
      <c r="H88" s="504">
        <v>809</v>
      </c>
      <c r="I88" s="449">
        <v>0.05</v>
      </c>
      <c r="J88" s="450">
        <v>0.39999999999999997</v>
      </c>
      <c r="K88" s="505">
        <v>849</v>
      </c>
      <c r="L88" s="451">
        <v>0.05</v>
      </c>
      <c r="M88" s="447">
        <v>0.44999999999999996</v>
      </c>
      <c r="N88" s="504">
        <v>889</v>
      </c>
      <c r="O88" s="452">
        <v>0.05</v>
      </c>
      <c r="P88" s="450">
        <v>0.49999999999999994</v>
      </c>
    </row>
    <row r="89" spans="1:16" x14ac:dyDescent="0.25">
      <c r="A89" s="424" t="s">
        <v>3866</v>
      </c>
      <c r="B89" s="424" t="s">
        <v>3872</v>
      </c>
      <c r="C89" s="506">
        <v>313.77578624853624</v>
      </c>
      <c r="D89" s="441">
        <v>0.25</v>
      </c>
      <c r="E89" s="502">
        <v>779</v>
      </c>
      <c r="F89" s="446">
        <v>10</v>
      </c>
      <c r="G89" s="503">
        <v>0.35</v>
      </c>
      <c r="H89" s="504">
        <v>819</v>
      </c>
      <c r="I89" s="449">
        <v>0.05</v>
      </c>
      <c r="J89" s="450">
        <v>0.39999999999999997</v>
      </c>
      <c r="K89" s="505">
        <v>859</v>
      </c>
      <c r="L89" s="451">
        <v>0.05</v>
      </c>
      <c r="M89" s="447">
        <v>0.44999999999999996</v>
      </c>
      <c r="N89" s="504">
        <v>899</v>
      </c>
      <c r="O89" s="452">
        <v>0.05</v>
      </c>
      <c r="P89" s="450">
        <v>0.49999999999999994</v>
      </c>
    </row>
    <row r="90" spans="1:16" x14ac:dyDescent="0.25">
      <c r="A90" s="424" t="s">
        <v>3866</v>
      </c>
      <c r="B90" s="424" t="s">
        <v>3873</v>
      </c>
      <c r="C90" s="506">
        <v>426.00608706071051</v>
      </c>
      <c r="D90" s="441">
        <v>0.25</v>
      </c>
      <c r="E90" s="502">
        <v>1069</v>
      </c>
      <c r="F90" s="446">
        <v>10</v>
      </c>
      <c r="G90" s="503">
        <v>0.35</v>
      </c>
      <c r="H90" s="504">
        <v>1129</v>
      </c>
      <c r="I90" s="449">
        <v>0.05</v>
      </c>
      <c r="J90" s="450">
        <v>0.39999999999999997</v>
      </c>
      <c r="K90" s="505">
        <v>1189</v>
      </c>
      <c r="L90" s="451">
        <v>0.05</v>
      </c>
      <c r="M90" s="447">
        <v>0.44999999999999996</v>
      </c>
      <c r="N90" s="504">
        <v>1249</v>
      </c>
      <c r="O90" s="452">
        <v>0.05</v>
      </c>
      <c r="P90" s="450">
        <v>0.49999999999999994</v>
      </c>
    </row>
    <row r="91" spans="1:16" x14ac:dyDescent="0.25">
      <c r="A91" s="424" t="s">
        <v>3866</v>
      </c>
      <c r="B91" s="424" t="s">
        <v>3874</v>
      </c>
      <c r="C91" s="506">
        <v>479.32468930671683</v>
      </c>
      <c r="D91" s="441">
        <v>0.25</v>
      </c>
      <c r="E91" s="502">
        <v>1199</v>
      </c>
      <c r="F91" s="446">
        <v>10</v>
      </c>
      <c r="G91" s="503">
        <v>0.35</v>
      </c>
      <c r="H91" s="504">
        <v>1259</v>
      </c>
      <c r="I91" s="449">
        <v>0.05</v>
      </c>
      <c r="J91" s="450">
        <v>0.39999999999999997</v>
      </c>
      <c r="K91" s="505">
        <v>1329</v>
      </c>
      <c r="L91" s="451">
        <v>0.05</v>
      </c>
      <c r="M91" s="447">
        <v>0.44999999999999996</v>
      </c>
      <c r="N91" s="504">
        <v>1399</v>
      </c>
      <c r="O91" s="452">
        <v>0.05</v>
      </c>
      <c r="P91" s="450">
        <v>0.49999999999999994</v>
      </c>
    </row>
    <row r="92" spans="1:16" x14ac:dyDescent="0.25">
      <c r="A92" s="424" t="s">
        <v>3866</v>
      </c>
      <c r="B92" s="424" t="s">
        <v>44</v>
      </c>
      <c r="C92" s="506">
        <v>287.34257481324221</v>
      </c>
      <c r="D92" s="441">
        <v>0.25</v>
      </c>
      <c r="E92" s="502">
        <v>719</v>
      </c>
      <c r="F92" s="446">
        <v>10</v>
      </c>
      <c r="G92" s="503">
        <v>0.35</v>
      </c>
      <c r="H92" s="504">
        <v>759</v>
      </c>
      <c r="I92" s="449">
        <v>0.05</v>
      </c>
      <c r="J92" s="450">
        <v>0.39999999999999997</v>
      </c>
      <c r="K92" s="505">
        <v>799</v>
      </c>
      <c r="L92" s="451">
        <v>0.05</v>
      </c>
      <c r="M92" s="447">
        <v>0.44999999999999996</v>
      </c>
      <c r="N92" s="504">
        <v>839</v>
      </c>
      <c r="O92" s="452">
        <v>0.05</v>
      </c>
      <c r="P92" s="450">
        <v>0.49999999999999994</v>
      </c>
    </row>
    <row r="93" spans="1:16" x14ac:dyDescent="0.25">
      <c r="A93" s="424" t="s">
        <v>3866</v>
      </c>
      <c r="B93" s="424" t="s">
        <v>45</v>
      </c>
      <c r="C93" s="506">
        <v>302</v>
      </c>
      <c r="D93" s="441">
        <v>0.25</v>
      </c>
      <c r="E93" s="502">
        <v>759</v>
      </c>
      <c r="F93" s="446">
        <v>10</v>
      </c>
      <c r="G93" s="503">
        <v>0.35</v>
      </c>
      <c r="H93" s="504">
        <v>799</v>
      </c>
      <c r="I93" s="449">
        <v>0.05</v>
      </c>
      <c r="J93" s="450">
        <v>0.39999999999999997</v>
      </c>
      <c r="K93" s="505">
        <v>839</v>
      </c>
      <c r="L93" s="451">
        <v>0.05</v>
      </c>
      <c r="M93" s="447">
        <v>0.44999999999999996</v>
      </c>
      <c r="N93" s="504">
        <v>879</v>
      </c>
      <c r="O93" s="452">
        <v>0.05</v>
      </c>
      <c r="P93" s="450">
        <v>0.49999999999999994</v>
      </c>
    </row>
    <row r="94" spans="1:16" x14ac:dyDescent="0.25">
      <c r="A94" s="424" t="s">
        <v>3866</v>
      </c>
      <c r="B94" s="424" t="s">
        <v>46</v>
      </c>
      <c r="C94" s="506">
        <v>363.09827360052861</v>
      </c>
      <c r="D94" s="441">
        <v>0.25</v>
      </c>
      <c r="E94" s="502">
        <v>1039</v>
      </c>
      <c r="F94" s="446">
        <v>10</v>
      </c>
      <c r="G94" s="503">
        <v>0.4</v>
      </c>
      <c r="H94" s="504">
        <v>1089</v>
      </c>
      <c r="I94" s="449">
        <v>0.05</v>
      </c>
      <c r="J94" s="450">
        <v>0.45</v>
      </c>
      <c r="K94" s="505">
        <v>1149</v>
      </c>
      <c r="L94" s="451">
        <v>0.05</v>
      </c>
      <c r="M94" s="447">
        <v>0.5</v>
      </c>
      <c r="N94" s="504">
        <v>1209</v>
      </c>
      <c r="O94" s="452">
        <v>0.05</v>
      </c>
      <c r="P94" s="450">
        <v>0.55000000000000004</v>
      </c>
    </row>
    <row r="95" spans="1:16" x14ac:dyDescent="0.25">
      <c r="A95" s="424" t="s">
        <v>3866</v>
      </c>
      <c r="B95" s="424" t="s">
        <v>47</v>
      </c>
      <c r="C95" s="506">
        <v>488.77952942598159</v>
      </c>
      <c r="D95" s="441">
        <v>0.25</v>
      </c>
      <c r="E95" s="502">
        <v>1399</v>
      </c>
      <c r="F95" s="446">
        <v>10</v>
      </c>
      <c r="G95" s="503">
        <v>0.4</v>
      </c>
      <c r="H95" s="504">
        <v>1469</v>
      </c>
      <c r="I95" s="449">
        <v>0.05</v>
      </c>
      <c r="J95" s="450">
        <v>0.45</v>
      </c>
      <c r="K95" s="505">
        <v>1549</v>
      </c>
      <c r="L95" s="451">
        <v>0.05</v>
      </c>
      <c r="M95" s="447">
        <v>0.5</v>
      </c>
      <c r="N95" s="504">
        <v>1629</v>
      </c>
      <c r="O95" s="452">
        <v>0.05</v>
      </c>
      <c r="P95" s="450">
        <v>0.55000000000000004</v>
      </c>
    </row>
    <row r="96" spans="1:16" x14ac:dyDescent="0.25">
      <c r="A96" s="424" t="s">
        <v>3875</v>
      </c>
      <c r="B96" s="439" t="s">
        <v>208</v>
      </c>
      <c r="C96" s="506">
        <v>45.4</v>
      </c>
      <c r="D96" s="441">
        <v>0.25</v>
      </c>
      <c r="E96" s="502">
        <v>99</v>
      </c>
      <c r="F96" s="446">
        <v>5</v>
      </c>
      <c r="G96" s="503">
        <v>0.3</v>
      </c>
      <c r="H96" s="504">
        <v>104</v>
      </c>
      <c r="I96" s="449">
        <v>0.05</v>
      </c>
      <c r="J96" s="450">
        <v>0.35</v>
      </c>
      <c r="K96" s="505">
        <v>109</v>
      </c>
      <c r="L96" s="451">
        <v>0.05</v>
      </c>
      <c r="M96" s="447">
        <v>0.39999999999999997</v>
      </c>
      <c r="N96" s="504">
        <v>114</v>
      </c>
      <c r="O96" s="452">
        <v>0.05</v>
      </c>
      <c r="P96" s="450">
        <v>0.44999999999999996</v>
      </c>
    </row>
    <row r="97" spans="1:16" x14ac:dyDescent="0.25">
      <c r="A97" s="424" t="s">
        <v>3875</v>
      </c>
      <c r="B97" s="439" t="s">
        <v>209</v>
      </c>
      <c r="C97" s="506">
        <v>125</v>
      </c>
      <c r="D97" s="441">
        <v>0.25</v>
      </c>
      <c r="E97" s="502">
        <v>279</v>
      </c>
      <c r="F97" s="446">
        <v>5</v>
      </c>
      <c r="G97" s="503">
        <v>0.3</v>
      </c>
      <c r="H97" s="504">
        <v>294</v>
      </c>
      <c r="I97" s="449">
        <v>0.05</v>
      </c>
      <c r="J97" s="450">
        <v>0.35</v>
      </c>
      <c r="K97" s="505">
        <v>309</v>
      </c>
      <c r="L97" s="451">
        <v>0.05</v>
      </c>
      <c r="M97" s="447">
        <v>0.39999999999999997</v>
      </c>
      <c r="N97" s="504">
        <v>324</v>
      </c>
      <c r="O97" s="452">
        <v>0.05</v>
      </c>
      <c r="P97" s="450">
        <v>0.44999999999999996</v>
      </c>
    </row>
    <row r="98" spans="1:16" x14ac:dyDescent="0.25">
      <c r="A98" s="424" t="s">
        <v>3875</v>
      </c>
      <c r="B98" s="439" t="s">
        <v>574</v>
      </c>
      <c r="C98" s="506">
        <v>360.49211431122995</v>
      </c>
      <c r="D98" s="441">
        <v>0.25</v>
      </c>
      <c r="E98" s="502">
        <v>799</v>
      </c>
      <c r="F98" s="446">
        <v>10</v>
      </c>
      <c r="G98" s="503">
        <v>0.3</v>
      </c>
      <c r="H98" s="504">
        <v>839</v>
      </c>
      <c r="I98" s="449">
        <v>0.05</v>
      </c>
      <c r="J98" s="450">
        <v>0.35</v>
      </c>
      <c r="K98" s="505">
        <v>879</v>
      </c>
      <c r="L98" s="451">
        <v>0.05</v>
      </c>
      <c r="M98" s="447">
        <v>0.39999999999999997</v>
      </c>
      <c r="N98" s="504">
        <v>929</v>
      </c>
      <c r="O98" s="452">
        <v>0.05</v>
      </c>
      <c r="P98" s="450">
        <v>0.44999999999999996</v>
      </c>
    </row>
    <row r="99" spans="1:16" x14ac:dyDescent="0.25">
      <c r="A99" s="424" t="s">
        <v>3875</v>
      </c>
      <c r="B99" s="439" t="s">
        <v>571</v>
      </c>
      <c r="C99" s="506">
        <v>462.43475894961222</v>
      </c>
      <c r="D99" s="441">
        <v>0.25</v>
      </c>
      <c r="E99" s="502">
        <v>1029</v>
      </c>
      <c r="F99" s="446">
        <v>10</v>
      </c>
      <c r="G99" s="503">
        <v>0.3</v>
      </c>
      <c r="H99" s="504">
        <v>1079</v>
      </c>
      <c r="I99" s="449">
        <v>0.05</v>
      </c>
      <c r="J99" s="450">
        <v>0.35</v>
      </c>
      <c r="K99" s="505">
        <v>1139</v>
      </c>
      <c r="L99" s="451">
        <v>0.05</v>
      </c>
      <c r="M99" s="447">
        <v>0.39999999999999997</v>
      </c>
      <c r="N99" s="504">
        <v>1199</v>
      </c>
      <c r="O99" s="452">
        <v>0.05</v>
      </c>
      <c r="P99" s="450">
        <v>0.44999999999999996</v>
      </c>
    </row>
    <row r="100" spans="1:16" x14ac:dyDescent="0.25">
      <c r="A100" s="424" t="s">
        <v>3875</v>
      </c>
      <c r="B100" s="439" t="s">
        <v>572</v>
      </c>
      <c r="C100" s="506">
        <v>540.53219121982079</v>
      </c>
      <c r="D100" s="441">
        <v>0.25</v>
      </c>
      <c r="E100" s="502">
        <v>1199</v>
      </c>
      <c r="F100" s="446">
        <v>10</v>
      </c>
      <c r="G100" s="503">
        <v>0.3</v>
      </c>
      <c r="H100" s="504">
        <v>1259</v>
      </c>
      <c r="I100" s="449">
        <v>0.05</v>
      </c>
      <c r="J100" s="450">
        <v>0.35</v>
      </c>
      <c r="K100" s="505">
        <v>1329</v>
      </c>
      <c r="L100" s="451">
        <v>0.05</v>
      </c>
      <c r="M100" s="447">
        <v>0.39999999999999997</v>
      </c>
      <c r="N100" s="504">
        <v>1399</v>
      </c>
      <c r="O100" s="452">
        <v>0.05</v>
      </c>
      <c r="P100" s="450">
        <v>0.44999999999999996</v>
      </c>
    </row>
    <row r="101" spans="1:16" x14ac:dyDescent="0.25">
      <c r="A101" s="424" t="s">
        <v>3875</v>
      </c>
      <c r="B101" s="439" t="s">
        <v>566</v>
      </c>
      <c r="C101" s="506">
        <v>664.4187707296918</v>
      </c>
      <c r="D101" s="441">
        <v>0.25</v>
      </c>
      <c r="E101" s="502">
        <v>1479</v>
      </c>
      <c r="F101" s="446">
        <v>10</v>
      </c>
      <c r="G101" s="503">
        <v>0.3</v>
      </c>
      <c r="H101" s="504">
        <v>1559</v>
      </c>
      <c r="I101" s="449">
        <v>0.05</v>
      </c>
      <c r="J101" s="450">
        <v>0.35</v>
      </c>
      <c r="K101" s="505">
        <v>1639</v>
      </c>
      <c r="L101" s="451">
        <v>0.05</v>
      </c>
      <c r="M101" s="447">
        <v>0.39999999999999997</v>
      </c>
      <c r="N101" s="504">
        <v>1729</v>
      </c>
      <c r="O101" s="452">
        <v>0.05</v>
      </c>
      <c r="P101" s="450">
        <v>0.44999999999999996</v>
      </c>
    </row>
    <row r="102" spans="1:16" x14ac:dyDescent="0.25">
      <c r="A102" s="424" t="s">
        <v>3875</v>
      </c>
      <c r="B102" s="439" t="s">
        <v>411</v>
      </c>
      <c r="C102" s="506">
        <v>771.5992479446827</v>
      </c>
      <c r="D102" s="441">
        <v>0.25</v>
      </c>
      <c r="E102" s="502">
        <v>1709</v>
      </c>
      <c r="F102" s="446">
        <v>10</v>
      </c>
      <c r="G102" s="503">
        <v>0.3</v>
      </c>
      <c r="H102" s="504">
        <v>1799</v>
      </c>
      <c r="I102" s="449">
        <v>0.05</v>
      </c>
      <c r="J102" s="450">
        <v>0.35</v>
      </c>
      <c r="K102" s="505">
        <v>1889</v>
      </c>
      <c r="L102" s="451">
        <v>0.05</v>
      </c>
      <c r="M102" s="447">
        <v>0.39999999999999997</v>
      </c>
      <c r="N102" s="504">
        <v>1989</v>
      </c>
      <c r="O102" s="452">
        <v>0.05</v>
      </c>
      <c r="P102" s="450">
        <v>0.44999999999999996</v>
      </c>
    </row>
    <row r="103" spans="1:16" x14ac:dyDescent="0.25">
      <c r="A103" s="424" t="s">
        <v>3875</v>
      </c>
      <c r="B103" s="439" t="s">
        <v>413</v>
      </c>
      <c r="C103" s="506">
        <v>1239.116862331384</v>
      </c>
      <c r="D103" s="441">
        <v>0.25</v>
      </c>
      <c r="E103" s="502">
        <v>2749</v>
      </c>
      <c r="F103" s="446">
        <v>10</v>
      </c>
      <c r="G103" s="503">
        <v>0.3</v>
      </c>
      <c r="H103" s="504">
        <v>2889</v>
      </c>
      <c r="I103" s="449">
        <v>0.05</v>
      </c>
      <c r="J103" s="450">
        <v>0.35</v>
      </c>
      <c r="K103" s="505">
        <v>3039</v>
      </c>
      <c r="L103" s="451">
        <v>0.05</v>
      </c>
      <c r="M103" s="447">
        <v>0.39999999999999997</v>
      </c>
      <c r="N103" s="504">
        <v>3199</v>
      </c>
      <c r="O103" s="452">
        <v>0.05</v>
      </c>
      <c r="P103" s="450">
        <v>0.44999999999999996</v>
      </c>
    </row>
    <row r="104" spans="1:16" x14ac:dyDescent="0.25">
      <c r="A104" s="507" t="s">
        <v>3875</v>
      </c>
      <c r="B104" s="490" t="s">
        <v>412</v>
      </c>
      <c r="C104" s="508">
        <v>1378.9854171991242</v>
      </c>
      <c r="D104" s="492">
        <v>0.25</v>
      </c>
      <c r="E104" s="509">
        <v>3059</v>
      </c>
      <c r="F104" s="494">
        <v>10</v>
      </c>
      <c r="G104" s="510">
        <v>0.3</v>
      </c>
      <c r="H104" s="511">
        <v>3219</v>
      </c>
      <c r="I104" s="497">
        <v>0.05</v>
      </c>
      <c r="J104" s="498">
        <v>0.35</v>
      </c>
      <c r="K104" s="512">
        <v>3389</v>
      </c>
      <c r="L104" s="499">
        <v>0.05</v>
      </c>
      <c r="M104" s="495">
        <v>0.39999999999999997</v>
      </c>
      <c r="N104" s="511">
        <v>3569</v>
      </c>
      <c r="O104" s="500">
        <v>0.05</v>
      </c>
      <c r="P104" s="498">
        <v>0.44999999999999996</v>
      </c>
    </row>
    <row r="105" spans="1:16" x14ac:dyDescent="0.25">
      <c r="A105" s="424" t="s">
        <v>3876</v>
      </c>
      <c r="B105" s="439" t="s">
        <v>255</v>
      </c>
      <c r="C105" s="506">
        <v>699.98301657132401</v>
      </c>
      <c r="D105" s="441">
        <v>0.25</v>
      </c>
      <c r="E105" s="502">
        <v>1169</v>
      </c>
      <c r="F105" s="446">
        <v>10</v>
      </c>
      <c r="G105" s="513">
        <v>0.15</v>
      </c>
      <c r="H105" s="504">
        <v>1299</v>
      </c>
      <c r="I105" s="449">
        <v>0.1</v>
      </c>
      <c r="J105" s="450">
        <v>0.25</v>
      </c>
      <c r="K105" s="505">
        <v>1369</v>
      </c>
      <c r="L105" s="451">
        <v>0.05</v>
      </c>
      <c r="M105" s="447">
        <v>0.3</v>
      </c>
      <c r="N105" s="504">
        <v>1489</v>
      </c>
      <c r="O105" s="452">
        <v>0.08</v>
      </c>
      <c r="P105" s="450">
        <v>0.38</v>
      </c>
    </row>
    <row r="106" spans="1:16" x14ac:dyDescent="0.25">
      <c r="A106" s="424" t="s">
        <v>3876</v>
      </c>
      <c r="B106" s="439" t="s">
        <v>256</v>
      </c>
      <c r="C106" s="506">
        <v>1250.3669158946673</v>
      </c>
      <c r="D106" s="441">
        <v>0.25</v>
      </c>
      <c r="E106" s="502">
        <v>2079</v>
      </c>
      <c r="F106" s="446">
        <v>10</v>
      </c>
      <c r="G106" s="513">
        <v>0.15</v>
      </c>
      <c r="H106" s="504">
        <v>2309</v>
      </c>
      <c r="I106" s="449">
        <v>0.1</v>
      </c>
      <c r="J106" s="450">
        <v>0.25</v>
      </c>
      <c r="K106" s="505">
        <v>2429</v>
      </c>
      <c r="L106" s="451">
        <v>0.05</v>
      </c>
      <c r="M106" s="447">
        <v>0.3</v>
      </c>
      <c r="N106" s="504">
        <v>2639</v>
      </c>
      <c r="O106" s="452">
        <v>0.08</v>
      </c>
      <c r="P106" s="450">
        <v>0.38</v>
      </c>
    </row>
    <row r="107" spans="1:16" x14ac:dyDescent="0.25">
      <c r="A107" s="424" t="s">
        <v>3876</v>
      </c>
      <c r="B107" s="439" t="s">
        <v>257</v>
      </c>
      <c r="C107" s="506">
        <v>1409.2399224407611</v>
      </c>
      <c r="D107" s="441">
        <v>0.25</v>
      </c>
      <c r="E107" s="502">
        <v>3129</v>
      </c>
      <c r="F107" s="446">
        <v>10</v>
      </c>
      <c r="G107" s="513">
        <v>0.3</v>
      </c>
      <c r="H107" s="504">
        <v>3479</v>
      </c>
      <c r="I107" s="449">
        <v>0.1</v>
      </c>
      <c r="J107" s="450">
        <v>0.4</v>
      </c>
      <c r="K107" s="505">
        <v>3869</v>
      </c>
      <c r="L107" s="451">
        <v>0.1</v>
      </c>
      <c r="M107" s="447">
        <v>0.5</v>
      </c>
      <c r="N107" s="504">
        <v>4299</v>
      </c>
      <c r="O107" s="452">
        <v>0.1</v>
      </c>
      <c r="P107" s="450">
        <v>0.6</v>
      </c>
    </row>
    <row r="108" spans="1:16" x14ac:dyDescent="0.25">
      <c r="A108" s="424" t="s">
        <v>3876</v>
      </c>
      <c r="B108" s="424" t="s">
        <v>660</v>
      </c>
      <c r="C108" s="506">
        <v>1728.320389130316</v>
      </c>
      <c r="D108" s="441">
        <v>0.25</v>
      </c>
      <c r="E108" s="502">
        <v>3839</v>
      </c>
      <c r="F108" s="446">
        <v>10</v>
      </c>
      <c r="G108" s="513">
        <v>0.3</v>
      </c>
      <c r="H108" s="504">
        <v>4269</v>
      </c>
      <c r="I108" s="449">
        <v>0.1</v>
      </c>
      <c r="J108" s="450">
        <v>0.4</v>
      </c>
      <c r="K108" s="505">
        <v>4739</v>
      </c>
      <c r="L108" s="451">
        <v>0.1</v>
      </c>
      <c r="M108" s="447">
        <v>0.5</v>
      </c>
      <c r="N108" s="504">
        <v>5269</v>
      </c>
      <c r="O108" s="452">
        <v>0.1</v>
      </c>
      <c r="P108" s="450">
        <v>0.6</v>
      </c>
    </row>
    <row r="109" spans="1:16" x14ac:dyDescent="0.25">
      <c r="A109" s="424" t="s">
        <v>3876</v>
      </c>
      <c r="B109" s="439" t="s">
        <v>258</v>
      </c>
      <c r="C109" s="506">
        <v>2034.9434603162272</v>
      </c>
      <c r="D109" s="441">
        <v>0.25</v>
      </c>
      <c r="E109" s="502">
        <v>4519</v>
      </c>
      <c r="F109" s="446">
        <v>10</v>
      </c>
      <c r="G109" s="513">
        <v>0.3</v>
      </c>
      <c r="H109" s="504">
        <v>5019</v>
      </c>
      <c r="I109" s="449">
        <v>0.1</v>
      </c>
      <c r="J109" s="450">
        <v>0.4</v>
      </c>
      <c r="K109" s="505">
        <v>5579</v>
      </c>
      <c r="L109" s="451">
        <v>0.1</v>
      </c>
      <c r="M109" s="447">
        <v>0.5</v>
      </c>
      <c r="N109" s="504">
        <v>6199</v>
      </c>
      <c r="O109" s="452">
        <v>0.1</v>
      </c>
      <c r="P109" s="450">
        <v>0.6</v>
      </c>
    </row>
    <row r="110" spans="1:16" x14ac:dyDescent="0.25">
      <c r="A110" s="424" t="s">
        <v>3876</v>
      </c>
      <c r="B110" s="439" t="s">
        <v>259</v>
      </c>
      <c r="C110" s="506">
        <v>1962.7509043344921</v>
      </c>
      <c r="D110" s="441">
        <v>0.25</v>
      </c>
      <c r="E110" s="502">
        <v>3929</v>
      </c>
      <c r="F110" s="446">
        <v>10</v>
      </c>
      <c r="G110" s="513">
        <v>0.25</v>
      </c>
      <c r="H110" s="504">
        <v>4369</v>
      </c>
      <c r="I110" s="449">
        <v>0.1</v>
      </c>
      <c r="J110" s="450">
        <v>0.35</v>
      </c>
      <c r="K110" s="505">
        <v>4849</v>
      </c>
      <c r="L110" s="451">
        <v>0.1</v>
      </c>
      <c r="M110" s="447">
        <v>0.44999999999999996</v>
      </c>
      <c r="N110" s="504">
        <v>5389</v>
      </c>
      <c r="O110" s="452">
        <v>0.1</v>
      </c>
      <c r="P110" s="450">
        <v>0.54999999999999993</v>
      </c>
    </row>
    <row r="111" spans="1:16" x14ac:dyDescent="0.25">
      <c r="A111" s="424" t="s">
        <v>3876</v>
      </c>
      <c r="B111" s="439" t="s">
        <v>385</v>
      </c>
      <c r="C111" s="506">
        <v>2487.48</v>
      </c>
      <c r="D111" s="441">
        <v>0.25</v>
      </c>
      <c r="E111" s="502">
        <v>4969</v>
      </c>
      <c r="F111" s="446">
        <v>10</v>
      </c>
      <c r="G111" s="513">
        <v>0.25</v>
      </c>
      <c r="H111" s="504">
        <v>5519</v>
      </c>
      <c r="I111" s="449">
        <v>0.1</v>
      </c>
      <c r="J111" s="450">
        <v>0.35</v>
      </c>
      <c r="K111" s="505">
        <v>6129</v>
      </c>
      <c r="L111" s="451">
        <v>0.1</v>
      </c>
      <c r="M111" s="447">
        <v>0.44999999999999996</v>
      </c>
      <c r="N111" s="504">
        <v>6809</v>
      </c>
      <c r="O111" s="452">
        <v>0.1</v>
      </c>
      <c r="P111" s="450">
        <v>0.54999999999999993</v>
      </c>
    </row>
    <row r="112" spans="1:16" x14ac:dyDescent="0.25">
      <c r="A112" s="424" t="s">
        <v>3876</v>
      </c>
      <c r="B112" s="439" t="s">
        <v>260</v>
      </c>
      <c r="C112" s="506">
        <v>2895.5391364115771</v>
      </c>
      <c r="D112" s="441">
        <v>0.25</v>
      </c>
      <c r="E112" s="502">
        <v>5789</v>
      </c>
      <c r="F112" s="446">
        <v>10</v>
      </c>
      <c r="G112" s="513">
        <v>0.25</v>
      </c>
      <c r="H112" s="504">
        <v>6429</v>
      </c>
      <c r="I112" s="449">
        <v>0.1</v>
      </c>
      <c r="J112" s="450">
        <v>0.35</v>
      </c>
      <c r="K112" s="505">
        <v>7139</v>
      </c>
      <c r="L112" s="451">
        <v>0.1</v>
      </c>
      <c r="M112" s="447">
        <v>0.44999999999999996</v>
      </c>
      <c r="N112" s="504">
        <v>7929</v>
      </c>
      <c r="O112" s="452">
        <v>0.1</v>
      </c>
      <c r="P112" s="450">
        <v>0.54999999999999993</v>
      </c>
    </row>
    <row r="113" spans="1:16" x14ac:dyDescent="0.25">
      <c r="A113" s="424" t="s">
        <v>3876</v>
      </c>
      <c r="B113" s="439" t="s">
        <v>3877</v>
      </c>
      <c r="C113" s="506">
        <v>2300.6310159999998</v>
      </c>
      <c r="D113" s="441">
        <v>0.25</v>
      </c>
      <c r="E113" s="502">
        <v>4599</v>
      </c>
      <c r="F113" s="446">
        <v>10</v>
      </c>
      <c r="G113" s="513">
        <v>0.25</v>
      </c>
      <c r="H113" s="504">
        <v>5109</v>
      </c>
      <c r="I113" s="449">
        <v>0.1</v>
      </c>
      <c r="J113" s="450">
        <v>0.35</v>
      </c>
      <c r="K113" s="505">
        <v>5679</v>
      </c>
      <c r="L113" s="451">
        <v>0.1</v>
      </c>
      <c r="M113" s="447">
        <v>0.44999999999999996</v>
      </c>
      <c r="N113" s="504">
        <v>6309</v>
      </c>
      <c r="O113" s="452">
        <v>0.1</v>
      </c>
      <c r="P113" s="450">
        <v>0.54999999999999993</v>
      </c>
    </row>
    <row r="114" spans="1:16" x14ac:dyDescent="0.25">
      <c r="A114" s="424" t="s">
        <v>3876</v>
      </c>
      <c r="B114" s="424" t="s">
        <v>659</v>
      </c>
      <c r="C114" s="506">
        <v>2323.3785061640583</v>
      </c>
      <c r="D114" s="441">
        <v>0.25</v>
      </c>
      <c r="E114" s="502">
        <v>4649</v>
      </c>
      <c r="F114" s="446">
        <v>10</v>
      </c>
      <c r="G114" s="513">
        <v>0.25</v>
      </c>
      <c r="H114" s="504">
        <v>5169</v>
      </c>
      <c r="I114" s="449">
        <v>0.1</v>
      </c>
      <c r="J114" s="450">
        <v>0.35</v>
      </c>
      <c r="K114" s="505">
        <v>5739</v>
      </c>
      <c r="L114" s="451">
        <v>0.1</v>
      </c>
      <c r="M114" s="447">
        <v>0.44999999999999996</v>
      </c>
      <c r="N114" s="504">
        <v>6379</v>
      </c>
      <c r="O114" s="452">
        <v>0.1</v>
      </c>
      <c r="P114" s="450">
        <v>0.54999999999999993</v>
      </c>
    </row>
    <row r="115" spans="1:16" x14ac:dyDescent="0.25">
      <c r="A115" s="424" t="s">
        <v>3876</v>
      </c>
      <c r="B115" s="439" t="s">
        <v>27</v>
      </c>
      <c r="C115" s="506">
        <v>2150.6582712044033</v>
      </c>
      <c r="D115" s="441">
        <v>0.32</v>
      </c>
      <c r="E115" s="502">
        <v>4999</v>
      </c>
      <c r="F115" s="446">
        <v>10</v>
      </c>
      <c r="G115" s="513">
        <v>0.25</v>
      </c>
      <c r="H115" s="504">
        <v>5549</v>
      </c>
      <c r="I115" s="449">
        <v>0.1</v>
      </c>
      <c r="J115" s="450">
        <v>0.35</v>
      </c>
      <c r="K115" s="505">
        <v>6169</v>
      </c>
      <c r="L115" s="451">
        <v>0.1</v>
      </c>
      <c r="M115" s="447">
        <v>0.44999999999999996</v>
      </c>
      <c r="N115" s="504">
        <v>6849</v>
      </c>
      <c r="O115" s="452">
        <v>0.1</v>
      </c>
      <c r="P115" s="450">
        <v>0.54999999999999993</v>
      </c>
    </row>
    <row r="116" spans="1:16" x14ac:dyDescent="0.25">
      <c r="A116" s="424" t="s">
        <v>3876</v>
      </c>
      <c r="B116" s="439" t="s">
        <v>3878</v>
      </c>
      <c r="C116" s="506">
        <v>2707.6776333817938</v>
      </c>
      <c r="D116" s="441">
        <v>0.25</v>
      </c>
      <c r="E116" s="502">
        <v>5419</v>
      </c>
      <c r="F116" s="446">
        <v>10</v>
      </c>
      <c r="G116" s="513">
        <v>0.25</v>
      </c>
      <c r="H116" s="504">
        <v>6019</v>
      </c>
      <c r="I116" s="449">
        <v>0.1</v>
      </c>
      <c r="J116" s="450">
        <v>0.35</v>
      </c>
      <c r="K116" s="505">
        <v>6689</v>
      </c>
      <c r="L116" s="451">
        <v>0.1</v>
      </c>
      <c r="M116" s="447">
        <v>0.44999999999999996</v>
      </c>
      <c r="N116" s="504">
        <v>7429</v>
      </c>
      <c r="O116" s="452">
        <v>0.1</v>
      </c>
      <c r="P116" s="450">
        <v>0.54999999999999993</v>
      </c>
    </row>
    <row r="117" spans="1:16" x14ac:dyDescent="0.25">
      <c r="A117" s="424" t="s">
        <v>3876</v>
      </c>
      <c r="B117" s="424" t="s">
        <v>661</v>
      </c>
      <c r="C117" s="506">
        <v>1836.0148989727579</v>
      </c>
      <c r="D117" s="441">
        <v>0.25</v>
      </c>
      <c r="E117" s="502">
        <v>3669</v>
      </c>
      <c r="F117" s="446">
        <v>10</v>
      </c>
      <c r="G117" s="513">
        <v>0.25</v>
      </c>
      <c r="H117" s="504">
        <v>4079</v>
      </c>
      <c r="I117" s="449">
        <v>0.1</v>
      </c>
      <c r="J117" s="450">
        <v>0.35</v>
      </c>
      <c r="K117" s="505">
        <v>4529</v>
      </c>
      <c r="L117" s="451">
        <v>0.1</v>
      </c>
      <c r="M117" s="447">
        <v>0.44999999999999996</v>
      </c>
      <c r="N117" s="504">
        <v>5029</v>
      </c>
      <c r="O117" s="452">
        <v>0.1</v>
      </c>
      <c r="P117" s="450">
        <v>0.54999999999999993</v>
      </c>
    </row>
    <row r="118" spans="1:16" x14ac:dyDescent="0.25">
      <c r="A118" s="424" t="s">
        <v>3876</v>
      </c>
      <c r="B118" s="424" t="s">
        <v>662</v>
      </c>
      <c r="C118" s="506">
        <v>1820.8955967827917</v>
      </c>
      <c r="D118" s="441">
        <v>0.27</v>
      </c>
      <c r="E118" s="502">
        <v>3789</v>
      </c>
      <c r="F118" s="446">
        <v>10</v>
      </c>
      <c r="G118" s="513">
        <v>0.25</v>
      </c>
      <c r="H118" s="504">
        <v>4209</v>
      </c>
      <c r="I118" s="449">
        <v>0.1</v>
      </c>
      <c r="J118" s="450">
        <v>0.35</v>
      </c>
      <c r="K118" s="505">
        <v>4679</v>
      </c>
      <c r="L118" s="451">
        <v>0.1</v>
      </c>
      <c r="M118" s="447">
        <v>0.44999999999999996</v>
      </c>
      <c r="N118" s="504">
        <v>5199</v>
      </c>
      <c r="O118" s="452">
        <v>0.1</v>
      </c>
      <c r="P118" s="450">
        <v>0.54999999999999993</v>
      </c>
    </row>
    <row r="119" spans="1:16" x14ac:dyDescent="0.25">
      <c r="A119" s="424" t="s">
        <v>3876</v>
      </c>
      <c r="B119" s="439" t="s">
        <v>512</v>
      </c>
      <c r="C119" s="506">
        <v>1230.042400986785</v>
      </c>
      <c r="D119" s="441">
        <v>0.25</v>
      </c>
      <c r="E119" s="502">
        <v>3079</v>
      </c>
      <c r="F119" s="446">
        <v>10</v>
      </c>
      <c r="G119" s="513">
        <v>0.35</v>
      </c>
      <c r="H119" s="504">
        <v>3419</v>
      </c>
      <c r="I119" s="449">
        <v>0.1</v>
      </c>
      <c r="J119" s="450">
        <v>0.44999999999999996</v>
      </c>
      <c r="K119" s="505">
        <v>3799</v>
      </c>
      <c r="L119" s="451">
        <v>0.1</v>
      </c>
      <c r="M119" s="447">
        <v>0.54999999999999993</v>
      </c>
      <c r="N119" s="504">
        <v>4219</v>
      </c>
      <c r="O119" s="452">
        <v>0.1</v>
      </c>
      <c r="P119" s="450">
        <v>0.64999999999999991</v>
      </c>
    </row>
    <row r="120" spans="1:16" x14ac:dyDescent="0.25">
      <c r="A120" s="424" t="s">
        <v>3876</v>
      </c>
      <c r="B120" s="439" t="s">
        <v>3879</v>
      </c>
      <c r="C120" s="506">
        <v>1629.947457716396</v>
      </c>
      <c r="D120" s="441">
        <v>0.25</v>
      </c>
      <c r="E120" s="502">
        <v>2719</v>
      </c>
      <c r="F120" s="446">
        <v>10</v>
      </c>
      <c r="G120" s="513">
        <v>0.15</v>
      </c>
      <c r="H120" s="504">
        <v>3019</v>
      </c>
      <c r="I120" s="449">
        <v>0.1</v>
      </c>
      <c r="J120" s="450">
        <v>0.25</v>
      </c>
      <c r="K120" s="505">
        <v>3349</v>
      </c>
      <c r="L120" s="451">
        <v>0.1</v>
      </c>
      <c r="M120" s="447">
        <v>0.35</v>
      </c>
      <c r="N120" s="504">
        <v>3719</v>
      </c>
      <c r="O120" s="452">
        <v>0.1</v>
      </c>
      <c r="P120" s="450">
        <v>0.44999999999999996</v>
      </c>
    </row>
    <row r="121" spans="1:16" x14ac:dyDescent="0.25">
      <c r="A121" s="424" t="s">
        <v>3876</v>
      </c>
      <c r="B121" s="439" t="s">
        <v>25</v>
      </c>
      <c r="C121" s="506">
        <v>2732.0188410415462</v>
      </c>
      <c r="D121" s="441">
        <v>0.25</v>
      </c>
      <c r="E121" s="502">
        <v>4549</v>
      </c>
      <c r="F121" s="446">
        <v>10</v>
      </c>
      <c r="G121" s="513">
        <v>0.15</v>
      </c>
      <c r="H121" s="504">
        <v>4789</v>
      </c>
      <c r="I121" s="449">
        <v>0.05</v>
      </c>
      <c r="J121" s="450">
        <v>0.2</v>
      </c>
      <c r="K121" s="505">
        <v>5039</v>
      </c>
      <c r="L121" s="451">
        <v>0.05</v>
      </c>
      <c r="M121" s="447">
        <v>0.25</v>
      </c>
      <c r="N121" s="504">
        <v>5299</v>
      </c>
      <c r="O121" s="452">
        <v>0.05</v>
      </c>
      <c r="P121" s="450">
        <v>0.3</v>
      </c>
    </row>
    <row r="122" spans="1:16" x14ac:dyDescent="0.25">
      <c r="A122" s="424" t="s">
        <v>3876</v>
      </c>
      <c r="B122" s="439" t="s">
        <v>28</v>
      </c>
      <c r="C122" s="506">
        <v>1455.3933496206537</v>
      </c>
      <c r="D122" s="441">
        <v>0.25</v>
      </c>
      <c r="E122" s="502">
        <v>2429</v>
      </c>
      <c r="F122" s="446">
        <v>10</v>
      </c>
      <c r="G122" s="513">
        <v>0.15</v>
      </c>
      <c r="H122" s="504">
        <v>2559</v>
      </c>
      <c r="I122" s="449">
        <v>0.05</v>
      </c>
      <c r="J122" s="450">
        <v>0.2</v>
      </c>
      <c r="K122" s="505">
        <v>2689</v>
      </c>
      <c r="L122" s="451">
        <v>0.05</v>
      </c>
      <c r="M122" s="447">
        <v>0.25</v>
      </c>
      <c r="N122" s="504">
        <v>2829</v>
      </c>
      <c r="O122" s="452">
        <v>0.05</v>
      </c>
      <c r="P122" s="450">
        <v>0.3</v>
      </c>
    </row>
    <row r="123" spans="1:16" x14ac:dyDescent="0.25">
      <c r="A123" s="424" t="s">
        <v>3876</v>
      </c>
      <c r="B123" s="439" t="s">
        <v>26</v>
      </c>
      <c r="C123" s="506">
        <v>1469.5161240494554</v>
      </c>
      <c r="D123" s="441">
        <v>0.25</v>
      </c>
      <c r="E123" s="502">
        <v>2449</v>
      </c>
      <c r="F123" s="446">
        <v>10</v>
      </c>
      <c r="G123" s="513">
        <v>0.15</v>
      </c>
      <c r="H123" s="504">
        <v>2719</v>
      </c>
      <c r="I123" s="449">
        <v>0.1</v>
      </c>
      <c r="J123" s="450">
        <v>0.25</v>
      </c>
      <c r="K123" s="505">
        <v>3019</v>
      </c>
      <c r="L123" s="451">
        <v>0.1</v>
      </c>
      <c r="M123" s="447">
        <v>0.35</v>
      </c>
      <c r="N123" s="504">
        <v>3349</v>
      </c>
      <c r="O123" s="452">
        <v>0.1</v>
      </c>
      <c r="P123" s="450">
        <v>0.44999999999999996</v>
      </c>
    </row>
    <row r="124" spans="1:16" x14ac:dyDescent="0.25">
      <c r="A124" s="424" t="s">
        <v>3876</v>
      </c>
      <c r="B124" s="439" t="s">
        <v>536</v>
      </c>
      <c r="C124" s="506">
        <v>1409.1840110592152</v>
      </c>
      <c r="D124" s="441">
        <v>0.3</v>
      </c>
      <c r="E124" s="502">
        <v>2559</v>
      </c>
      <c r="F124" s="446">
        <v>10</v>
      </c>
      <c r="G124" s="513">
        <v>0.15</v>
      </c>
      <c r="H124" s="504">
        <v>2839</v>
      </c>
      <c r="I124" s="449">
        <v>0.1</v>
      </c>
      <c r="J124" s="450">
        <v>0.25</v>
      </c>
      <c r="K124" s="505">
        <v>3149</v>
      </c>
      <c r="L124" s="451">
        <v>0.1</v>
      </c>
      <c r="M124" s="447">
        <v>0.35</v>
      </c>
      <c r="N124" s="504">
        <v>3499</v>
      </c>
      <c r="O124" s="452">
        <v>0.1</v>
      </c>
      <c r="P124" s="450">
        <v>0.44999999999999996</v>
      </c>
    </row>
    <row r="125" spans="1:16" x14ac:dyDescent="0.25">
      <c r="A125" s="424" t="s">
        <v>3876</v>
      </c>
      <c r="B125" s="439" t="s">
        <v>3880</v>
      </c>
      <c r="C125" s="506">
        <v>1822.8689667077447</v>
      </c>
      <c r="D125" s="441">
        <v>0.25</v>
      </c>
      <c r="E125" s="502">
        <v>3649</v>
      </c>
      <c r="F125" s="446">
        <v>10</v>
      </c>
      <c r="G125" s="513">
        <v>0.25</v>
      </c>
      <c r="H125" s="504">
        <v>4049</v>
      </c>
      <c r="I125" s="449">
        <v>0.1</v>
      </c>
      <c r="J125" s="450">
        <v>0.35</v>
      </c>
      <c r="K125" s="505">
        <v>4499</v>
      </c>
      <c r="L125" s="451">
        <v>0.1</v>
      </c>
      <c r="M125" s="447">
        <v>0.44999999999999996</v>
      </c>
      <c r="N125" s="504">
        <v>4999</v>
      </c>
      <c r="O125" s="452">
        <v>0.1</v>
      </c>
      <c r="P125" s="450">
        <v>0.54999999999999993</v>
      </c>
    </row>
    <row r="126" spans="1:16" x14ac:dyDescent="0.25">
      <c r="A126" s="424" t="s">
        <v>3876</v>
      </c>
      <c r="B126" s="439" t="s">
        <v>3881</v>
      </c>
      <c r="C126" s="506">
        <v>1656.6240630415748</v>
      </c>
      <c r="D126" s="441">
        <v>0.33</v>
      </c>
      <c r="E126" s="502">
        <v>3939</v>
      </c>
      <c r="F126" s="446">
        <v>10</v>
      </c>
      <c r="G126" s="513">
        <v>0.25</v>
      </c>
      <c r="H126" s="504">
        <v>4379</v>
      </c>
      <c r="I126" s="449">
        <v>0.1</v>
      </c>
      <c r="J126" s="450">
        <v>0.35</v>
      </c>
      <c r="K126" s="505">
        <v>4869</v>
      </c>
      <c r="L126" s="451">
        <v>0.1</v>
      </c>
      <c r="M126" s="447">
        <v>0.44999999999999996</v>
      </c>
      <c r="N126" s="504">
        <v>5409</v>
      </c>
      <c r="O126" s="452">
        <v>0.1</v>
      </c>
      <c r="P126" s="450">
        <v>0.54999999999999993</v>
      </c>
    </row>
    <row r="127" spans="1:16" x14ac:dyDescent="0.25">
      <c r="A127" s="424" t="s">
        <v>3876</v>
      </c>
      <c r="B127" s="439" t="s">
        <v>3882</v>
      </c>
      <c r="C127" s="506">
        <v>824.83165945790324</v>
      </c>
      <c r="D127" s="441">
        <v>0.25</v>
      </c>
      <c r="E127" s="502">
        <v>1369</v>
      </c>
      <c r="F127" s="446">
        <v>10</v>
      </c>
      <c r="G127" s="513">
        <v>0.15</v>
      </c>
      <c r="H127" s="504">
        <v>1519</v>
      </c>
      <c r="I127" s="449">
        <v>0.1</v>
      </c>
      <c r="J127" s="450">
        <v>0.25</v>
      </c>
      <c r="K127" s="505">
        <v>1599</v>
      </c>
      <c r="L127" s="451">
        <v>0.05</v>
      </c>
      <c r="M127" s="447">
        <v>0.3</v>
      </c>
      <c r="N127" s="504">
        <v>1679</v>
      </c>
      <c r="O127" s="452">
        <v>0.05</v>
      </c>
      <c r="P127" s="450">
        <v>0.35</v>
      </c>
    </row>
    <row r="128" spans="1:16" x14ac:dyDescent="0.25">
      <c r="A128" s="424" t="s">
        <v>3876</v>
      </c>
      <c r="B128" s="439" t="s">
        <v>3883</v>
      </c>
      <c r="C128" s="506">
        <v>867.26672875477288</v>
      </c>
      <c r="D128" s="441">
        <v>0.25</v>
      </c>
      <c r="E128" s="502">
        <v>1449</v>
      </c>
      <c r="F128" s="446">
        <v>10</v>
      </c>
      <c r="G128" s="513">
        <v>0.15</v>
      </c>
      <c r="H128" s="504">
        <v>1609</v>
      </c>
      <c r="I128" s="449">
        <v>0.1</v>
      </c>
      <c r="J128" s="450">
        <v>0.25</v>
      </c>
      <c r="K128" s="505">
        <v>1689</v>
      </c>
      <c r="L128" s="451">
        <v>0.05</v>
      </c>
      <c r="M128" s="447">
        <v>0.3</v>
      </c>
      <c r="N128" s="504">
        <v>1779</v>
      </c>
      <c r="O128" s="452">
        <v>0.05</v>
      </c>
      <c r="P128" s="450">
        <v>0.35</v>
      </c>
    </row>
    <row r="129" spans="1:16" x14ac:dyDescent="0.25">
      <c r="A129" s="507" t="s">
        <v>3876</v>
      </c>
      <c r="B129" s="490" t="s">
        <v>3884</v>
      </c>
      <c r="C129" s="508">
        <v>840.64420191485465</v>
      </c>
      <c r="D129" s="492">
        <v>0.3</v>
      </c>
      <c r="E129" s="509">
        <v>1529</v>
      </c>
      <c r="F129" s="494">
        <v>10</v>
      </c>
      <c r="G129" s="514">
        <v>0.15</v>
      </c>
      <c r="H129" s="511">
        <v>1699</v>
      </c>
      <c r="I129" s="497">
        <v>0.1</v>
      </c>
      <c r="J129" s="498">
        <v>0.25</v>
      </c>
      <c r="K129" s="512">
        <v>1789</v>
      </c>
      <c r="L129" s="499">
        <v>0.05</v>
      </c>
      <c r="M129" s="495">
        <v>0.3</v>
      </c>
      <c r="N129" s="511">
        <v>1879</v>
      </c>
      <c r="O129" s="500">
        <v>0.05</v>
      </c>
      <c r="P129" s="498">
        <v>0.35</v>
      </c>
    </row>
    <row r="130" spans="1:16" x14ac:dyDescent="0.25">
      <c r="A130" s="424" t="s">
        <v>3885</v>
      </c>
      <c r="B130" s="439" t="s">
        <v>3886</v>
      </c>
      <c r="C130" s="506">
        <v>19.100850320540406</v>
      </c>
      <c r="D130" s="441">
        <v>0.25</v>
      </c>
      <c r="E130" s="502">
        <v>29</v>
      </c>
      <c r="F130" s="446">
        <v>10</v>
      </c>
      <c r="G130" s="503">
        <v>0.1</v>
      </c>
      <c r="H130" s="504">
        <v>30.526315789473685</v>
      </c>
      <c r="I130" s="449">
        <v>0.05</v>
      </c>
      <c r="J130" s="450">
        <v>0.15000000000000002</v>
      </c>
      <c r="K130" s="505">
        <v>32.13296398891967</v>
      </c>
      <c r="L130" s="451">
        <v>0.05</v>
      </c>
      <c r="M130" s="447">
        <v>0.2</v>
      </c>
      <c r="N130" s="504">
        <v>33.824172619915444</v>
      </c>
      <c r="O130" s="452">
        <v>0.05</v>
      </c>
      <c r="P130" s="450">
        <v>0.25</v>
      </c>
    </row>
    <row r="131" spans="1:16" x14ac:dyDescent="0.25">
      <c r="A131" s="424" t="s">
        <v>3885</v>
      </c>
      <c r="B131" s="439" t="s">
        <v>3887</v>
      </c>
      <c r="C131" s="506">
        <v>3.8944297635745402</v>
      </c>
      <c r="D131" s="441">
        <v>0.25</v>
      </c>
      <c r="E131" s="502">
        <v>9</v>
      </c>
      <c r="F131" s="446">
        <v>10</v>
      </c>
      <c r="G131" s="503">
        <v>0.1</v>
      </c>
      <c r="H131" s="504">
        <v>9.4736842105263168</v>
      </c>
      <c r="I131" s="449">
        <v>0.05</v>
      </c>
      <c r="J131" s="450">
        <v>0.15000000000000002</v>
      </c>
      <c r="K131" s="505">
        <v>9.97229916897507</v>
      </c>
      <c r="L131" s="451">
        <v>0.05</v>
      </c>
      <c r="M131" s="447">
        <v>0.2</v>
      </c>
      <c r="N131" s="504">
        <v>10.497157019973759</v>
      </c>
      <c r="O131" s="452">
        <v>0.05</v>
      </c>
      <c r="P131" s="450">
        <v>0.25</v>
      </c>
    </row>
    <row r="132" spans="1:16" x14ac:dyDescent="0.25">
      <c r="A132" s="424" t="s">
        <v>3885</v>
      </c>
      <c r="B132" s="439" t="s">
        <v>3888</v>
      </c>
      <c r="C132" s="506">
        <v>2.664399829701098</v>
      </c>
      <c r="D132" s="441">
        <v>0.25</v>
      </c>
      <c r="E132" s="502">
        <v>3</v>
      </c>
      <c r="F132" s="446">
        <v>1</v>
      </c>
      <c r="G132" s="503">
        <v>0.1</v>
      </c>
      <c r="H132" s="504">
        <v>3.1578947368421053</v>
      </c>
      <c r="I132" s="449">
        <v>0.05</v>
      </c>
      <c r="J132" s="450">
        <v>0.15000000000000002</v>
      </c>
      <c r="K132" s="505">
        <v>3.32409972299169</v>
      </c>
      <c r="L132" s="451">
        <v>0.05</v>
      </c>
      <c r="M132" s="447">
        <v>0.2</v>
      </c>
      <c r="N132" s="504">
        <v>3.4990523399912528</v>
      </c>
      <c r="O132" s="452">
        <v>0.05</v>
      </c>
      <c r="P132" s="450">
        <v>0.25</v>
      </c>
    </row>
    <row r="133" spans="1:16" x14ac:dyDescent="0.25">
      <c r="A133" s="424" t="s">
        <v>3885</v>
      </c>
      <c r="B133" s="439" t="s">
        <v>3889</v>
      </c>
      <c r="C133" s="506">
        <v>3.6773030201342278</v>
      </c>
      <c r="D133" s="441">
        <v>0.25</v>
      </c>
      <c r="E133" s="502">
        <v>5</v>
      </c>
      <c r="F133" s="446">
        <v>1</v>
      </c>
      <c r="G133" s="503">
        <v>0.1</v>
      </c>
      <c r="H133" s="504">
        <v>5.2631578947368425</v>
      </c>
      <c r="I133" s="449">
        <v>0.05</v>
      </c>
      <c r="J133" s="450">
        <v>0.15000000000000002</v>
      </c>
      <c r="K133" s="505">
        <v>5.54016620498615</v>
      </c>
      <c r="L133" s="451">
        <v>0.05</v>
      </c>
      <c r="M133" s="447">
        <v>0.2</v>
      </c>
      <c r="N133" s="504">
        <v>5.8317538999854213</v>
      </c>
      <c r="O133" s="452">
        <v>0.05</v>
      </c>
      <c r="P133" s="450">
        <v>0.25</v>
      </c>
    </row>
    <row r="134" spans="1:16" x14ac:dyDescent="0.25">
      <c r="A134" s="424" t="s">
        <v>3885</v>
      </c>
      <c r="B134" s="439" t="s">
        <v>3890</v>
      </c>
      <c r="C134" s="506">
        <v>7.571935262571273</v>
      </c>
      <c r="D134" s="441">
        <v>0.25</v>
      </c>
      <c r="E134" s="502">
        <v>11</v>
      </c>
      <c r="F134" s="446">
        <v>1</v>
      </c>
      <c r="G134" s="503">
        <v>0.1</v>
      </c>
      <c r="H134" s="504">
        <v>11.578947368421053</v>
      </c>
      <c r="I134" s="449">
        <v>0.05</v>
      </c>
      <c r="J134" s="450">
        <v>0.15000000000000002</v>
      </c>
      <c r="K134" s="505">
        <v>12.18836565096953</v>
      </c>
      <c r="L134" s="451">
        <v>0.05</v>
      </c>
      <c r="M134" s="447">
        <v>0.2</v>
      </c>
      <c r="N134" s="504">
        <v>12.829858579967928</v>
      </c>
      <c r="O134" s="452">
        <v>0.05</v>
      </c>
      <c r="P134" s="450">
        <v>0.25</v>
      </c>
    </row>
    <row r="135" spans="1:16" x14ac:dyDescent="0.25">
      <c r="A135" s="424" t="s">
        <v>3885</v>
      </c>
      <c r="B135" s="439" t="s">
        <v>3891</v>
      </c>
      <c r="C135" s="506">
        <v>2.4530926524202568</v>
      </c>
      <c r="D135" s="441">
        <v>0.25</v>
      </c>
      <c r="E135" s="502">
        <v>3</v>
      </c>
      <c r="F135" s="446">
        <v>1</v>
      </c>
      <c r="G135" s="503">
        <v>0.1</v>
      </c>
      <c r="H135" s="504">
        <v>3.1578947368421053</v>
      </c>
      <c r="I135" s="449">
        <v>0.05</v>
      </c>
      <c r="J135" s="450">
        <v>0.15000000000000002</v>
      </c>
      <c r="K135" s="505">
        <v>3.32409972299169</v>
      </c>
      <c r="L135" s="451">
        <v>0.05</v>
      </c>
      <c r="M135" s="447">
        <v>0.2</v>
      </c>
      <c r="N135" s="504">
        <v>3.4990523399912528</v>
      </c>
      <c r="O135" s="452">
        <v>0.05</v>
      </c>
      <c r="P135" s="450">
        <v>0.25</v>
      </c>
    </row>
    <row r="136" spans="1:16" x14ac:dyDescent="0.25">
      <c r="A136" s="424" t="s">
        <v>3885</v>
      </c>
      <c r="B136" s="439" t="s">
        <v>3892</v>
      </c>
      <c r="C136" s="506">
        <v>16.903155681876378</v>
      </c>
      <c r="D136" s="441">
        <v>0.25</v>
      </c>
      <c r="E136" s="502">
        <v>29</v>
      </c>
      <c r="F136" s="446">
        <v>10</v>
      </c>
      <c r="G136" s="503">
        <v>0.1</v>
      </c>
      <c r="H136" s="504">
        <v>30.526315789473685</v>
      </c>
      <c r="I136" s="449">
        <v>0.05</v>
      </c>
      <c r="J136" s="450">
        <v>0.15000000000000002</v>
      </c>
      <c r="K136" s="505">
        <v>32.13296398891967</v>
      </c>
      <c r="L136" s="451">
        <v>0.05</v>
      </c>
      <c r="M136" s="447">
        <v>0.2</v>
      </c>
      <c r="N136" s="504">
        <v>33.824172619915444</v>
      </c>
      <c r="O136" s="452">
        <v>0.05</v>
      </c>
      <c r="P136" s="450">
        <v>0.25</v>
      </c>
    </row>
    <row r="137" spans="1:16" x14ac:dyDescent="0.25">
      <c r="A137" s="424" t="s">
        <v>3885</v>
      </c>
      <c r="B137" s="439" t="s">
        <v>3893</v>
      </c>
      <c r="C137" s="506">
        <v>18.12</v>
      </c>
      <c r="D137" s="441">
        <v>0.25</v>
      </c>
      <c r="E137" s="502">
        <v>29</v>
      </c>
      <c r="F137" s="446">
        <v>10</v>
      </c>
      <c r="G137" s="503">
        <v>0.1</v>
      </c>
      <c r="H137" s="504">
        <v>30.526315789473685</v>
      </c>
      <c r="I137" s="449">
        <v>0.05</v>
      </c>
      <c r="J137" s="450">
        <v>0.15000000000000002</v>
      </c>
      <c r="K137" s="505">
        <v>32.13296398891967</v>
      </c>
      <c r="L137" s="451">
        <v>0.05</v>
      </c>
      <c r="M137" s="447">
        <v>0.2</v>
      </c>
      <c r="N137" s="504">
        <v>33.824172619915444</v>
      </c>
      <c r="O137" s="452">
        <v>0.05</v>
      </c>
      <c r="P137" s="450">
        <v>0.25</v>
      </c>
    </row>
    <row r="138" spans="1:16" x14ac:dyDescent="0.25">
      <c r="A138" s="424" t="s">
        <v>3885</v>
      </c>
      <c r="B138" s="439" t="s">
        <v>3894</v>
      </c>
      <c r="C138" s="506">
        <v>102.47642999999999</v>
      </c>
      <c r="D138" s="441">
        <v>0.25</v>
      </c>
      <c r="E138" s="502">
        <v>159</v>
      </c>
      <c r="F138" s="446">
        <v>10</v>
      </c>
      <c r="G138" s="503">
        <v>0.1</v>
      </c>
      <c r="H138" s="504">
        <v>167.36842105263159</v>
      </c>
      <c r="I138" s="449">
        <v>0.05</v>
      </c>
      <c r="J138" s="450">
        <v>0.15000000000000002</v>
      </c>
      <c r="K138" s="505">
        <v>176.17728531855957</v>
      </c>
      <c r="L138" s="451">
        <v>0.05</v>
      </c>
      <c r="M138" s="447">
        <v>0.2</v>
      </c>
      <c r="N138" s="504">
        <v>185.44977401953639</v>
      </c>
      <c r="O138" s="452">
        <v>0.05</v>
      </c>
      <c r="P138" s="450">
        <v>0.25</v>
      </c>
    </row>
    <row r="139" spans="1:16" x14ac:dyDescent="0.25">
      <c r="A139" s="424" t="s">
        <v>3885</v>
      </c>
      <c r="B139" s="439" t="s">
        <v>3895</v>
      </c>
      <c r="C139" s="506">
        <v>4.5187799999999996</v>
      </c>
      <c r="D139" s="441">
        <v>0.25</v>
      </c>
      <c r="E139" s="502">
        <v>9</v>
      </c>
      <c r="F139" s="446">
        <v>10</v>
      </c>
      <c r="G139" s="503">
        <v>0.1</v>
      </c>
      <c r="H139" s="504">
        <v>9.4736842105263168</v>
      </c>
      <c r="I139" s="449">
        <v>0.05</v>
      </c>
      <c r="J139" s="450">
        <v>0.15000000000000002</v>
      </c>
      <c r="K139" s="505">
        <v>9.97229916897507</v>
      </c>
      <c r="L139" s="451">
        <v>0.05</v>
      </c>
      <c r="M139" s="447">
        <v>0.2</v>
      </c>
      <c r="N139" s="504">
        <v>10.497157019973759</v>
      </c>
      <c r="O139" s="452">
        <v>0.05</v>
      </c>
      <c r="P139" s="450">
        <v>0.25</v>
      </c>
    </row>
    <row r="140" spans="1:16" x14ac:dyDescent="0.25">
      <c r="A140" s="424" t="s">
        <v>3885</v>
      </c>
      <c r="B140" s="439" t="s">
        <v>3896</v>
      </c>
      <c r="C140" s="506">
        <v>16.809999999999999</v>
      </c>
      <c r="D140" s="441">
        <v>0.25</v>
      </c>
      <c r="E140" s="502">
        <v>29</v>
      </c>
      <c r="F140" s="446">
        <v>10</v>
      </c>
      <c r="G140" s="503">
        <v>0.1</v>
      </c>
      <c r="H140" s="504">
        <v>30.526315789473685</v>
      </c>
      <c r="I140" s="449">
        <v>0.05</v>
      </c>
      <c r="J140" s="450">
        <v>0.15000000000000002</v>
      </c>
      <c r="K140" s="505">
        <v>32.13296398891967</v>
      </c>
      <c r="L140" s="451">
        <v>0.05</v>
      </c>
      <c r="M140" s="447">
        <v>0.2</v>
      </c>
      <c r="N140" s="504">
        <v>33.824172619915444</v>
      </c>
      <c r="O140" s="452">
        <v>0.05</v>
      </c>
      <c r="P140" s="450">
        <v>0.25</v>
      </c>
    </row>
    <row r="141" spans="1:16" x14ac:dyDescent="0.25">
      <c r="A141" s="424" t="s">
        <v>3885</v>
      </c>
      <c r="B141" s="439" t="s">
        <v>86</v>
      </c>
      <c r="C141" s="506">
        <v>183.93</v>
      </c>
      <c r="D141" s="441">
        <v>0.25</v>
      </c>
      <c r="E141" s="502">
        <v>279</v>
      </c>
      <c r="F141" s="446">
        <v>10</v>
      </c>
      <c r="G141" s="503">
        <v>0.1</v>
      </c>
      <c r="H141" s="504">
        <v>293.68421052631578</v>
      </c>
      <c r="I141" s="449">
        <v>0.05</v>
      </c>
      <c r="J141" s="450">
        <v>0.15000000000000002</v>
      </c>
      <c r="K141" s="505">
        <v>309.14127423822714</v>
      </c>
      <c r="L141" s="451">
        <v>0.05</v>
      </c>
      <c r="M141" s="447">
        <v>0.2</v>
      </c>
      <c r="N141" s="504">
        <v>325.41186761918647</v>
      </c>
      <c r="O141" s="452">
        <v>0.05</v>
      </c>
      <c r="P141" s="450">
        <v>0.25</v>
      </c>
    </row>
    <row r="142" spans="1:16" x14ac:dyDescent="0.25">
      <c r="A142" s="424" t="s">
        <v>3885</v>
      </c>
      <c r="B142" s="439" t="s">
        <v>3897</v>
      </c>
      <c r="C142" s="506">
        <v>74.400000000000006</v>
      </c>
      <c r="D142" s="441">
        <v>0.25</v>
      </c>
      <c r="E142" s="502">
        <v>109</v>
      </c>
      <c r="F142" s="446">
        <v>10</v>
      </c>
      <c r="G142" s="503">
        <v>0.1</v>
      </c>
      <c r="H142" s="504">
        <v>114.73684210526316</v>
      </c>
      <c r="I142" s="449">
        <v>0.05</v>
      </c>
      <c r="J142" s="450">
        <v>0.15000000000000002</v>
      </c>
      <c r="K142" s="505">
        <v>120.77562326869807</v>
      </c>
      <c r="L142" s="451">
        <v>0.05</v>
      </c>
      <c r="M142" s="447">
        <v>0.2</v>
      </c>
      <c r="N142" s="504">
        <v>127.13223501968218</v>
      </c>
      <c r="O142" s="452">
        <v>0.05</v>
      </c>
      <c r="P142" s="450">
        <v>0.25</v>
      </c>
    </row>
    <row r="143" spans="1:16" x14ac:dyDescent="0.25">
      <c r="A143" s="424" t="s">
        <v>3885</v>
      </c>
      <c r="B143" s="439" t="s">
        <v>3898</v>
      </c>
      <c r="C143" s="506">
        <v>36.006010567101505</v>
      </c>
      <c r="D143" s="441">
        <v>0.25</v>
      </c>
      <c r="E143" s="502">
        <v>59</v>
      </c>
      <c r="F143" s="446">
        <v>10</v>
      </c>
      <c r="G143" s="503">
        <v>0.1</v>
      </c>
      <c r="H143" s="504">
        <v>62.10526315789474</v>
      </c>
      <c r="I143" s="449">
        <v>0.05</v>
      </c>
      <c r="J143" s="450">
        <v>0.15000000000000002</v>
      </c>
      <c r="K143" s="505">
        <v>65.37396121883657</v>
      </c>
      <c r="L143" s="451">
        <v>0.05</v>
      </c>
      <c r="M143" s="447">
        <v>0.2</v>
      </c>
      <c r="N143" s="504">
        <v>68.814696019827977</v>
      </c>
      <c r="O143" s="452">
        <v>0.05</v>
      </c>
      <c r="P143" s="450">
        <v>0.25</v>
      </c>
    </row>
    <row r="144" spans="1:16" x14ac:dyDescent="0.25">
      <c r="A144" s="424" t="s">
        <v>3885</v>
      </c>
      <c r="B144" s="439" t="s">
        <v>3899</v>
      </c>
      <c r="C144" s="506">
        <v>1.251695507027027</v>
      </c>
      <c r="D144" s="441">
        <v>0.25</v>
      </c>
      <c r="E144" s="502">
        <v>2</v>
      </c>
      <c r="F144" s="446">
        <v>3</v>
      </c>
      <c r="G144" s="503">
        <v>0.1</v>
      </c>
      <c r="H144" s="504">
        <v>2.1052631578947367</v>
      </c>
      <c r="I144" s="449">
        <v>0.05</v>
      </c>
      <c r="J144" s="450">
        <v>0.15000000000000002</v>
      </c>
      <c r="K144" s="505">
        <v>2.21606648199446</v>
      </c>
      <c r="L144" s="451">
        <v>0.05</v>
      </c>
      <c r="M144" s="447">
        <v>0.2</v>
      </c>
      <c r="N144" s="504">
        <v>2.3327015599941685</v>
      </c>
      <c r="O144" s="452">
        <v>0.05</v>
      </c>
      <c r="P144" s="450">
        <v>0.25</v>
      </c>
    </row>
    <row r="145" spans="1:16" x14ac:dyDescent="0.25">
      <c r="A145" s="424" t="s">
        <v>3885</v>
      </c>
      <c r="B145" s="439" t="s">
        <v>3900</v>
      </c>
      <c r="C145" s="506">
        <v>18.123840000000001</v>
      </c>
      <c r="D145" s="441">
        <v>0.25</v>
      </c>
      <c r="E145" s="502">
        <v>29</v>
      </c>
      <c r="F145" s="446">
        <v>10</v>
      </c>
      <c r="G145" s="503">
        <v>0.1</v>
      </c>
      <c r="H145" s="504">
        <v>30.526315789473685</v>
      </c>
      <c r="I145" s="449">
        <v>0.05</v>
      </c>
      <c r="J145" s="450">
        <v>0.15000000000000002</v>
      </c>
      <c r="K145" s="505">
        <v>32.13296398891967</v>
      </c>
      <c r="L145" s="451">
        <v>0.05</v>
      </c>
      <c r="M145" s="447">
        <v>0.2</v>
      </c>
      <c r="N145" s="504">
        <v>33.824172619915444</v>
      </c>
      <c r="O145" s="452">
        <v>0.05</v>
      </c>
      <c r="P145" s="450">
        <v>0.25</v>
      </c>
    </row>
    <row r="146" spans="1:16" x14ac:dyDescent="0.25">
      <c r="A146" s="424" t="s">
        <v>3885</v>
      </c>
      <c r="B146" s="439" t="s">
        <v>3901</v>
      </c>
      <c r="C146" s="506">
        <v>8.0022599999999997</v>
      </c>
      <c r="D146" s="441">
        <v>0.25</v>
      </c>
      <c r="E146" s="502">
        <v>9</v>
      </c>
      <c r="F146" s="446">
        <v>10</v>
      </c>
      <c r="G146" s="503">
        <v>0.1</v>
      </c>
      <c r="H146" s="504">
        <v>9.4736842105263168</v>
      </c>
      <c r="I146" s="449">
        <v>0.05</v>
      </c>
      <c r="J146" s="450">
        <v>0.15000000000000002</v>
      </c>
      <c r="K146" s="505">
        <v>9.97229916897507</v>
      </c>
      <c r="L146" s="451">
        <v>0.05</v>
      </c>
      <c r="M146" s="447">
        <v>0.2</v>
      </c>
      <c r="N146" s="504">
        <v>10.497157019973759</v>
      </c>
      <c r="O146" s="452">
        <v>0.05</v>
      </c>
      <c r="P146" s="450">
        <v>0.25</v>
      </c>
    </row>
    <row r="147" spans="1:16" x14ac:dyDescent="0.25">
      <c r="A147" s="424" t="s">
        <v>3885</v>
      </c>
      <c r="B147" s="439" t="s">
        <v>3902</v>
      </c>
      <c r="C147" s="506">
        <v>12.204359999999999</v>
      </c>
      <c r="D147" s="441">
        <v>0.25</v>
      </c>
      <c r="E147" s="502">
        <v>19</v>
      </c>
      <c r="F147" s="446">
        <v>10</v>
      </c>
      <c r="G147" s="503">
        <v>0.1</v>
      </c>
      <c r="H147" s="504">
        <v>20</v>
      </c>
      <c r="I147" s="449">
        <v>0.05</v>
      </c>
      <c r="J147" s="450">
        <v>0.15000000000000002</v>
      </c>
      <c r="K147" s="505">
        <v>21.05263157894737</v>
      </c>
      <c r="L147" s="451">
        <v>0.05</v>
      </c>
      <c r="M147" s="447">
        <v>0.2</v>
      </c>
      <c r="N147" s="504">
        <v>22.1606648199446</v>
      </c>
      <c r="O147" s="452">
        <v>0.05</v>
      </c>
      <c r="P147" s="450">
        <v>0.25</v>
      </c>
    </row>
    <row r="148" spans="1:16" x14ac:dyDescent="0.25">
      <c r="A148" s="424" t="s">
        <v>3885</v>
      </c>
      <c r="B148" s="439" t="s">
        <v>3903</v>
      </c>
      <c r="C148" s="506">
        <v>30.82</v>
      </c>
      <c r="D148" s="441">
        <v>0.25</v>
      </c>
      <c r="E148" s="502">
        <v>49</v>
      </c>
      <c r="F148" s="446">
        <v>10</v>
      </c>
      <c r="G148" s="503">
        <v>0.1</v>
      </c>
      <c r="H148" s="504">
        <v>51.578947368421055</v>
      </c>
      <c r="I148" s="449">
        <v>0.05</v>
      </c>
      <c r="J148" s="450">
        <v>0.15000000000000002</v>
      </c>
      <c r="K148" s="505">
        <v>54.29362880886427</v>
      </c>
      <c r="L148" s="451">
        <v>0.05</v>
      </c>
      <c r="M148" s="447">
        <v>0.2</v>
      </c>
      <c r="N148" s="504">
        <v>57.151188219857126</v>
      </c>
      <c r="O148" s="452">
        <v>0.05</v>
      </c>
      <c r="P148" s="450">
        <v>0.25</v>
      </c>
    </row>
    <row r="149" spans="1:16" x14ac:dyDescent="0.25">
      <c r="A149" s="424" t="s">
        <v>3885</v>
      </c>
      <c r="B149" s="439" t="s">
        <v>3904</v>
      </c>
      <c r="C149" s="506">
        <v>30.82</v>
      </c>
      <c r="D149" s="441">
        <v>0.25</v>
      </c>
      <c r="E149" s="502">
        <v>49</v>
      </c>
      <c r="F149" s="446">
        <v>10</v>
      </c>
      <c r="G149" s="503">
        <v>0.1</v>
      </c>
      <c r="H149" s="504">
        <v>51.578947368421055</v>
      </c>
      <c r="I149" s="449">
        <v>0.05</v>
      </c>
      <c r="J149" s="450">
        <v>0.15000000000000002</v>
      </c>
      <c r="K149" s="505">
        <v>54.29362880886427</v>
      </c>
      <c r="L149" s="451">
        <v>0.05</v>
      </c>
      <c r="M149" s="447">
        <v>0.2</v>
      </c>
      <c r="N149" s="504">
        <v>57.151188219857126</v>
      </c>
      <c r="O149" s="452">
        <v>0.05</v>
      </c>
      <c r="P149" s="450">
        <v>0.25</v>
      </c>
    </row>
    <row r="150" spans="1:16" x14ac:dyDescent="0.25">
      <c r="A150" s="424" t="s">
        <v>3905</v>
      </c>
      <c r="B150" s="439" t="s">
        <v>394</v>
      </c>
      <c r="C150" s="506">
        <v>36.959376302557693</v>
      </c>
      <c r="D150" s="441">
        <v>0.25</v>
      </c>
      <c r="E150" s="502">
        <v>109</v>
      </c>
      <c r="F150" s="446">
        <v>10</v>
      </c>
      <c r="G150" s="503">
        <v>0.4</v>
      </c>
      <c r="H150" s="504">
        <v>119</v>
      </c>
      <c r="I150" s="449">
        <v>0.1</v>
      </c>
      <c r="J150" s="450">
        <v>0.5</v>
      </c>
      <c r="K150" s="505">
        <v>129</v>
      </c>
      <c r="L150" s="451">
        <v>0.1</v>
      </c>
      <c r="M150" s="447">
        <v>0.6</v>
      </c>
      <c r="N150" s="504">
        <v>139</v>
      </c>
      <c r="O150" s="452">
        <v>0.1</v>
      </c>
      <c r="P150" s="450">
        <v>0.7</v>
      </c>
    </row>
    <row r="151" spans="1:16" x14ac:dyDescent="0.25">
      <c r="A151" s="424" t="s">
        <v>3905</v>
      </c>
      <c r="B151" s="439" t="s">
        <v>200</v>
      </c>
      <c r="C151" s="506">
        <v>61.850393815961567</v>
      </c>
      <c r="D151" s="441">
        <v>0.25</v>
      </c>
      <c r="E151" s="502">
        <v>179</v>
      </c>
      <c r="F151" s="446">
        <v>10</v>
      </c>
      <c r="G151" s="503">
        <v>0.4</v>
      </c>
      <c r="H151" s="504">
        <v>199</v>
      </c>
      <c r="I151" s="449">
        <v>0.1</v>
      </c>
      <c r="J151" s="450">
        <v>0.5</v>
      </c>
      <c r="K151" s="505">
        <v>219</v>
      </c>
      <c r="L151" s="451">
        <v>0.1</v>
      </c>
      <c r="M151" s="447">
        <v>0.6</v>
      </c>
      <c r="N151" s="504">
        <v>239</v>
      </c>
      <c r="O151" s="452">
        <v>0.1</v>
      </c>
      <c r="P151" s="450">
        <v>0.7</v>
      </c>
    </row>
    <row r="152" spans="1:16" x14ac:dyDescent="0.25">
      <c r="A152" s="424" t="s">
        <v>3905</v>
      </c>
      <c r="B152" s="439" t="s">
        <v>555</v>
      </c>
      <c r="C152" s="506">
        <v>145.90988448565633</v>
      </c>
      <c r="D152" s="441">
        <v>0.25</v>
      </c>
      <c r="E152" s="502">
        <v>289</v>
      </c>
      <c r="F152" s="446">
        <v>10</v>
      </c>
      <c r="G152" s="503">
        <v>0.25</v>
      </c>
      <c r="H152" s="504">
        <v>319</v>
      </c>
      <c r="I152" s="449">
        <v>0.1</v>
      </c>
      <c r="J152" s="450">
        <v>0.35</v>
      </c>
      <c r="K152" s="505">
        <v>389</v>
      </c>
      <c r="L152" s="451">
        <v>0.18</v>
      </c>
      <c r="M152" s="447">
        <v>0.53</v>
      </c>
      <c r="N152" s="504">
        <v>489</v>
      </c>
      <c r="O152" s="452">
        <v>0.2</v>
      </c>
      <c r="P152" s="450">
        <v>0.73</v>
      </c>
    </row>
    <row r="153" spans="1:16" x14ac:dyDescent="0.25">
      <c r="A153" s="424" t="s">
        <v>3905</v>
      </c>
      <c r="B153" s="439" t="s">
        <v>545</v>
      </c>
      <c r="C153" s="506">
        <v>106.09571146796601</v>
      </c>
      <c r="D153" s="441">
        <v>0.25</v>
      </c>
      <c r="E153" s="502">
        <v>209</v>
      </c>
      <c r="F153" s="446">
        <v>10</v>
      </c>
      <c r="G153" s="503">
        <v>0.25</v>
      </c>
      <c r="H153" s="504">
        <v>229</v>
      </c>
      <c r="I153" s="449">
        <v>0.1</v>
      </c>
      <c r="J153" s="450">
        <v>0.35</v>
      </c>
      <c r="K153" s="505">
        <v>279</v>
      </c>
      <c r="L153" s="451">
        <v>0.18</v>
      </c>
      <c r="M153" s="447">
        <v>0.53</v>
      </c>
      <c r="N153" s="504">
        <v>349</v>
      </c>
      <c r="O153" s="452">
        <v>0.2</v>
      </c>
      <c r="P153" s="450">
        <v>0.73</v>
      </c>
    </row>
    <row r="154" spans="1:16" x14ac:dyDescent="0.25">
      <c r="A154" s="424" t="s">
        <v>3905</v>
      </c>
      <c r="B154" s="439" t="s">
        <v>467</v>
      </c>
      <c r="C154" s="506">
        <v>252.00559595362233</v>
      </c>
      <c r="D154" s="441">
        <v>0.25</v>
      </c>
      <c r="E154" s="502">
        <v>499</v>
      </c>
      <c r="F154" s="446">
        <v>10</v>
      </c>
      <c r="G154" s="503">
        <v>0.25</v>
      </c>
      <c r="H154" s="504">
        <v>549</v>
      </c>
      <c r="I154" s="449">
        <v>0.1</v>
      </c>
      <c r="J154" s="450">
        <v>0.35</v>
      </c>
      <c r="K154" s="505">
        <v>669</v>
      </c>
      <c r="L154" s="451">
        <v>0.18</v>
      </c>
      <c r="M154" s="447">
        <v>0.53</v>
      </c>
      <c r="N154" s="504">
        <v>839</v>
      </c>
      <c r="O154" s="452">
        <v>0.2</v>
      </c>
      <c r="P154" s="450">
        <v>0.73</v>
      </c>
    </row>
    <row r="155" spans="1:16" x14ac:dyDescent="0.25">
      <c r="A155" s="424" t="s">
        <v>3905</v>
      </c>
      <c r="B155" s="439" t="s">
        <v>393</v>
      </c>
      <c r="C155" s="506">
        <v>2.95</v>
      </c>
      <c r="D155" s="441">
        <v>0.25</v>
      </c>
      <c r="E155" s="502">
        <v>5</v>
      </c>
      <c r="F155" s="446">
        <v>1</v>
      </c>
      <c r="G155" s="503">
        <v>0.25</v>
      </c>
      <c r="H155" s="504">
        <v>5.5555555555555554</v>
      </c>
      <c r="I155" s="449">
        <v>0.1</v>
      </c>
      <c r="J155" s="450">
        <v>0.35</v>
      </c>
      <c r="K155" s="505">
        <v>6.7750677506775059</v>
      </c>
      <c r="L155" s="451">
        <v>0.18</v>
      </c>
      <c r="M155" s="447">
        <v>0.53</v>
      </c>
      <c r="N155" s="504">
        <v>8.468834688346881</v>
      </c>
      <c r="O155" s="452">
        <v>0.2</v>
      </c>
      <c r="P155" s="450">
        <v>0.73</v>
      </c>
    </row>
    <row r="156" spans="1:16" x14ac:dyDescent="0.25">
      <c r="A156" s="424" t="s">
        <v>3905</v>
      </c>
      <c r="B156" s="439" t="s">
        <v>400</v>
      </c>
      <c r="C156" s="506">
        <v>17.77396888069811</v>
      </c>
      <c r="D156" s="441">
        <v>0.25</v>
      </c>
      <c r="E156" s="502">
        <v>39</v>
      </c>
      <c r="F156" s="446">
        <v>10</v>
      </c>
      <c r="G156" s="503">
        <v>0.25</v>
      </c>
      <c r="H156" s="504">
        <v>43.333333333333336</v>
      </c>
      <c r="I156" s="449">
        <v>0.1</v>
      </c>
      <c r="J156" s="450">
        <v>0.35</v>
      </c>
      <c r="K156" s="505">
        <v>52.845528455284551</v>
      </c>
      <c r="L156" s="451">
        <v>0.18</v>
      </c>
      <c r="M156" s="447">
        <v>0.53</v>
      </c>
      <c r="N156" s="504">
        <v>66.056910569105682</v>
      </c>
      <c r="O156" s="452">
        <v>0.2</v>
      </c>
      <c r="P156" s="450">
        <v>0.73</v>
      </c>
    </row>
    <row r="157" spans="1:16" x14ac:dyDescent="0.25">
      <c r="A157" s="424" t="s">
        <v>3905</v>
      </c>
      <c r="B157" s="439" t="s">
        <v>408</v>
      </c>
      <c r="C157" s="506">
        <v>0.58966158976904859</v>
      </c>
      <c r="D157" s="441">
        <v>0.25</v>
      </c>
      <c r="E157" s="502">
        <v>1</v>
      </c>
      <c r="F157" s="446">
        <v>2</v>
      </c>
      <c r="G157" s="503">
        <v>0.25</v>
      </c>
      <c r="H157" s="504">
        <v>1.1111111111111112</v>
      </c>
      <c r="I157" s="449">
        <v>0.1</v>
      </c>
      <c r="J157" s="450">
        <v>0.35</v>
      </c>
      <c r="K157" s="505">
        <v>1.3550135501355014</v>
      </c>
      <c r="L157" s="451">
        <v>0.18</v>
      </c>
      <c r="M157" s="447">
        <v>0.53</v>
      </c>
      <c r="N157" s="504">
        <v>1.6937669376693767</v>
      </c>
      <c r="O157" s="452">
        <v>0.2</v>
      </c>
      <c r="P157" s="450">
        <v>0.73</v>
      </c>
    </row>
    <row r="158" spans="1:16" x14ac:dyDescent="0.25">
      <c r="A158" s="424" t="s">
        <v>3905</v>
      </c>
      <c r="B158" s="439" t="s">
        <v>463</v>
      </c>
      <c r="C158" s="506">
        <v>8.4635629201995961</v>
      </c>
      <c r="D158" s="441">
        <v>0.25</v>
      </c>
      <c r="E158" s="502">
        <v>19</v>
      </c>
      <c r="F158" s="446">
        <v>10</v>
      </c>
      <c r="G158" s="503">
        <v>0.25</v>
      </c>
      <c r="H158" s="504">
        <v>21.111111111111111</v>
      </c>
      <c r="I158" s="449">
        <v>0.1</v>
      </c>
      <c r="J158" s="450">
        <v>0.35</v>
      </c>
      <c r="K158" s="505">
        <v>25.745257452574524</v>
      </c>
      <c r="L158" s="451">
        <v>0.18</v>
      </c>
      <c r="M158" s="447">
        <v>0.53</v>
      </c>
      <c r="N158" s="504">
        <v>32.181571815718151</v>
      </c>
      <c r="O158" s="452">
        <v>0.2</v>
      </c>
      <c r="P158" s="450">
        <v>0.73</v>
      </c>
    </row>
    <row r="159" spans="1:16" x14ac:dyDescent="0.25">
      <c r="A159" s="424" t="s">
        <v>3905</v>
      </c>
      <c r="B159" s="439" t="s">
        <v>380</v>
      </c>
      <c r="C159" s="506">
        <v>1.2972646775821703</v>
      </c>
      <c r="D159" s="441">
        <v>0.3</v>
      </c>
      <c r="E159" s="502">
        <v>2</v>
      </c>
      <c r="F159" s="446">
        <v>1</v>
      </c>
      <c r="G159" s="503">
        <v>0.25</v>
      </c>
      <c r="H159" s="504">
        <v>2.2222222222222223</v>
      </c>
      <c r="I159" s="449">
        <v>0.1</v>
      </c>
      <c r="J159" s="450">
        <v>0.35</v>
      </c>
      <c r="K159" s="505">
        <v>2.7100271002710028</v>
      </c>
      <c r="L159" s="451">
        <v>0.18</v>
      </c>
      <c r="M159" s="447">
        <v>0.53</v>
      </c>
      <c r="N159" s="504">
        <v>3.3875338753387534</v>
      </c>
      <c r="O159" s="452">
        <v>0.2</v>
      </c>
      <c r="P159" s="450">
        <v>0.73</v>
      </c>
    </row>
    <row r="160" spans="1:16" x14ac:dyDescent="0.25">
      <c r="A160" s="424" t="s">
        <v>3905</v>
      </c>
      <c r="B160" s="439" t="s">
        <v>92</v>
      </c>
      <c r="C160" s="506">
        <v>1</v>
      </c>
      <c r="D160" s="441">
        <v>0.5</v>
      </c>
      <c r="E160" s="502">
        <v>3</v>
      </c>
      <c r="F160" s="446">
        <v>1</v>
      </c>
      <c r="G160" s="503">
        <v>0.25</v>
      </c>
      <c r="H160" s="504">
        <v>3.333333333333333</v>
      </c>
      <c r="I160" s="449">
        <v>0.1</v>
      </c>
      <c r="J160" s="450">
        <v>0.35</v>
      </c>
      <c r="K160" s="505">
        <v>4.0650406504065035</v>
      </c>
      <c r="L160" s="451">
        <v>0.18</v>
      </c>
      <c r="M160" s="447">
        <v>0.53</v>
      </c>
      <c r="N160" s="504">
        <v>5.081300813008129</v>
      </c>
      <c r="O160" s="452">
        <v>0.2</v>
      </c>
      <c r="P160" s="450">
        <v>0.73</v>
      </c>
    </row>
    <row r="161" spans="1:16" x14ac:dyDescent="0.25">
      <c r="A161" s="424" t="s">
        <v>3905</v>
      </c>
      <c r="B161" s="439" t="s">
        <v>230</v>
      </c>
      <c r="C161" s="506">
        <v>251.6</v>
      </c>
      <c r="D161" s="441">
        <v>0.25</v>
      </c>
      <c r="E161" s="502">
        <v>499</v>
      </c>
      <c r="F161" s="446">
        <v>10</v>
      </c>
      <c r="G161" s="503">
        <v>0.25</v>
      </c>
      <c r="H161" s="504">
        <v>549</v>
      </c>
      <c r="I161" s="449">
        <v>0.1</v>
      </c>
      <c r="J161" s="450">
        <v>0.35</v>
      </c>
      <c r="K161" s="505">
        <v>669</v>
      </c>
      <c r="L161" s="451">
        <v>0.18</v>
      </c>
      <c r="M161" s="447">
        <v>0.53</v>
      </c>
      <c r="N161" s="504">
        <v>839</v>
      </c>
      <c r="O161" s="452">
        <v>0.2</v>
      </c>
      <c r="P161" s="450">
        <v>0.73</v>
      </c>
    </row>
    <row r="162" spans="1:16" x14ac:dyDescent="0.25">
      <c r="A162" s="424" t="s">
        <v>3905</v>
      </c>
      <c r="B162" s="439" t="s">
        <v>93</v>
      </c>
      <c r="C162" s="506">
        <v>65.81</v>
      </c>
      <c r="D162" s="441">
        <v>0.25</v>
      </c>
      <c r="E162" s="502">
        <v>129</v>
      </c>
      <c r="F162" s="446">
        <v>10</v>
      </c>
      <c r="G162" s="503">
        <v>0.25</v>
      </c>
      <c r="H162" s="504">
        <v>139</v>
      </c>
      <c r="I162" s="449">
        <v>0.1</v>
      </c>
      <c r="J162" s="450">
        <v>0.35</v>
      </c>
      <c r="K162" s="505">
        <v>169</v>
      </c>
      <c r="L162" s="451">
        <v>0.18</v>
      </c>
      <c r="M162" s="447">
        <v>0.53</v>
      </c>
      <c r="N162" s="504">
        <v>209</v>
      </c>
      <c r="O162" s="452">
        <v>0.2</v>
      </c>
      <c r="P162" s="450">
        <v>0.73</v>
      </c>
    </row>
    <row r="163" spans="1:16" x14ac:dyDescent="0.25">
      <c r="A163" s="424" t="s">
        <v>3905</v>
      </c>
      <c r="B163" s="439" t="s">
        <v>3906</v>
      </c>
      <c r="C163" s="506">
        <v>297.77</v>
      </c>
      <c r="D163" s="441">
        <v>0.25</v>
      </c>
      <c r="E163" s="502">
        <v>599</v>
      </c>
      <c r="F163" s="446">
        <v>10</v>
      </c>
      <c r="G163" s="503">
        <v>0.25</v>
      </c>
      <c r="H163" s="504">
        <v>669</v>
      </c>
      <c r="I163" s="449">
        <v>0.1</v>
      </c>
      <c r="J163" s="450">
        <v>0.35</v>
      </c>
      <c r="K163" s="505">
        <v>819</v>
      </c>
      <c r="L163" s="451">
        <v>0.18</v>
      </c>
      <c r="M163" s="447">
        <v>0.53</v>
      </c>
      <c r="N163" s="504">
        <v>1019</v>
      </c>
      <c r="O163" s="452">
        <v>0.2</v>
      </c>
      <c r="P163" s="450">
        <v>0.73</v>
      </c>
    </row>
    <row r="164" spans="1:16" x14ac:dyDescent="0.25">
      <c r="A164" s="424" t="s">
        <v>3905</v>
      </c>
      <c r="B164" s="439" t="s">
        <v>3907</v>
      </c>
      <c r="C164" s="506">
        <v>73.845600000000005</v>
      </c>
      <c r="D164" s="441">
        <v>0.25</v>
      </c>
      <c r="E164" s="502">
        <v>149</v>
      </c>
      <c r="F164" s="446">
        <v>10</v>
      </c>
      <c r="G164" s="503">
        <v>0.25</v>
      </c>
      <c r="H164" s="504">
        <v>169</v>
      </c>
      <c r="I164" s="449">
        <v>0.1</v>
      </c>
      <c r="J164" s="450">
        <v>0.35</v>
      </c>
      <c r="K164" s="505">
        <v>209</v>
      </c>
      <c r="L164" s="451">
        <v>0.18</v>
      </c>
      <c r="M164" s="447">
        <v>0.53</v>
      </c>
      <c r="N164" s="504">
        <v>259</v>
      </c>
      <c r="O164" s="452">
        <v>0.2</v>
      </c>
      <c r="P164" s="450">
        <v>0.73</v>
      </c>
    </row>
    <row r="165" spans="1:16" x14ac:dyDescent="0.25">
      <c r="A165" s="424" t="s">
        <v>3905</v>
      </c>
      <c r="B165" s="439" t="s">
        <v>3908</v>
      </c>
      <c r="C165" s="506">
        <v>22.1</v>
      </c>
      <c r="D165" s="441">
        <v>0.25</v>
      </c>
      <c r="E165" s="502">
        <v>43</v>
      </c>
      <c r="F165" s="446">
        <v>1</v>
      </c>
      <c r="G165" s="503">
        <v>0.25</v>
      </c>
      <c r="H165" s="504">
        <v>47</v>
      </c>
      <c r="I165" s="449">
        <v>0.1</v>
      </c>
      <c r="J165" s="450">
        <v>0.35</v>
      </c>
      <c r="K165" s="505">
        <v>56</v>
      </c>
      <c r="L165" s="451">
        <v>0.18</v>
      </c>
      <c r="M165" s="447">
        <v>0.53</v>
      </c>
      <c r="N165" s="504">
        <v>69</v>
      </c>
      <c r="O165" s="452">
        <v>0.2</v>
      </c>
      <c r="P165" s="450">
        <v>0.73</v>
      </c>
    </row>
    <row r="166" spans="1:16" x14ac:dyDescent="0.25">
      <c r="A166" s="424" t="s">
        <v>3905</v>
      </c>
      <c r="B166" s="439" t="s">
        <v>3909</v>
      </c>
      <c r="C166" s="506">
        <v>10.96</v>
      </c>
      <c r="D166" s="441">
        <v>0.25</v>
      </c>
      <c r="E166" s="502">
        <v>21</v>
      </c>
      <c r="F166" s="446">
        <v>1</v>
      </c>
      <c r="G166" s="503">
        <v>0.25</v>
      </c>
      <c r="H166" s="504">
        <v>22</v>
      </c>
      <c r="I166" s="449">
        <v>0.1</v>
      </c>
      <c r="J166" s="450">
        <v>0.35</v>
      </c>
      <c r="K166" s="505">
        <v>26</v>
      </c>
      <c r="L166" s="451">
        <v>0.18</v>
      </c>
      <c r="M166" s="447">
        <v>0.53</v>
      </c>
      <c r="N166" s="504">
        <v>32</v>
      </c>
      <c r="O166" s="452">
        <v>0.2</v>
      </c>
      <c r="P166" s="450">
        <v>0.73</v>
      </c>
    </row>
    <row r="167" spans="1:16" x14ac:dyDescent="0.25">
      <c r="A167" s="424" t="s">
        <v>3905</v>
      </c>
      <c r="B167" s="439" t="s">
        <v>3910</v>
      </c>
      <c r="C167" s="506">
        <v>67.975999999999999</v>
      </c>
      <c r="D167" s="441">
        <v>0.25</v>
      </c>
      <c r="E167" s="502">
        <v>139</v>
      </c>
      <c r="F167" s="446">
        <v>10</v>
      </c>
      <c r="G167" s="503">
        <v>0.25</v>
      </c>
      <c r="H167" s="504">
        <v>149</v>
      </c>
      <c r="I167" s="449">
        <v>0.1</v>
      </c>
      <c r="J167" s="450">
        <v>0.35</v>
      </c>
      <c r="K167" s="505">
        <v>179</v>
      </c>
      <c r="L167" s="451">
        <v>0.18</v>
      </c>
      <c r="M167" s="447">
        <v>0.53</v>
      </c>
      <c r="N167" s="504">
        <v>219</v>
      </c>
      <c r="O167" s="452">
        <v>0.2</v>
      </c>
      <c r="P167" s="450">
        <v>0.73</v>
      </c>
    </row>
    <row r="168" spans="1:16" x14ac:dyDescent="0.25">
      <c r="A168" s="424" t="s">
        <v>3905</v>
      </c>
      <c r="B168" s="439" t="s">
        <v>3911</v>
      </c>
      <c r="C168" s="506">
        <v>64.066800000000001</v>
      </c>
      <c r="D168" s="441">
        <v>0.25</v>
      </c>
      <c r="E168" s="502">
        <v>129</v>
      </c>
      <c r="F168" s="446">
        <v>10</v>
      </c>
      <c r="G168" s="503">
        <v>0.25</v>
      </c>
      <c r="H168" s="504">
        <v>139</v>
      </c>
      <c r="I168" s="449">
        <v>0.1</v>
      </c>
      <c r="J168" s="450">
        <v>0.35</v>
      </c>
      <c r="K168" s="505">
        <v>169</v>
      </c>
      <c r="L168" s="451">
        <v>0.18</v>
      </c>
      <c r="M168" s="447">
        <v>0.53</v>
      </c>
      <c r="N168" s="504">
        <v>209</v>
      </c>
      <c r="O168" s="452">
        <v>0.2</v>
      </c>
      <c r="P168" s="450">
        <v>0.73</v>
      </c>
    </row>
    <row r="169" spans="1:16" x14ac:dyDescent="0.25">
      <c r="A169" s="424" t="s">
        <v>3905</v>
      </c>
      <c r="B169" s="439" t="s">
        <v>3912</v>
      </c>
      <c r="C169" s="506">
        <v>375.24</v>
      </c>
      <c r="D169" s="441">
        <v>0.25</v>
      </c>
      <c r="E169" s="502">
        <v>799</v>
      </c>
      <c r="F169" s="446">
        <v>10</v>
      </c>
      <c r="G169" s="503">
        <v>0.28000000000000003</v>
      </c>
      <c r="H169" s="504">
        <v>889</v>
      </c>
      <c r="I169" s="449">
        <v>0.1</v>
      </c>
      <c r="J169" s="450">
        <v>0.38</v>
      </c>
      <c r="K169" s="505">
        <v>1079</v>
      </c>
      <c r="L169" s="451">
        <v>0.18</v>
      </c>
      <c r="M169" s="447">
        <v>0.56000000000000005</v>
      </c>
      <c r="N169" s="504">
        <v>1349</v>
      </c>
      <c r="O169" s="452">
        <v>0.2</v>
      </c>
      <c r="P169" s="450">
        <v>0.76</v>
      </c>
    </row>
    <row r="170" spans="1:16" x14ac:dyDescent="0.25">
      <c r="A170" s="424" t="s">
        <v>3905</v>
      </c>
      <c r="B170" s="439" t="s">
        <v>3913</v>
      </c>
      <c r="C170" s="506">
        <v>375.24</v>
      </c>
      <c r="D170" s="441">
        <v>0.25</v>
      </c>
      <c r="E170" s="502">
        <v>749</v>
      </c>
      <c r="F170" s="446">
        <v>10</v>
      </c>
      <c r="G170" s="503">
        <v>0.25</v>
      </c>
      <c r="H170" s="504">
        <v>829</v>
      </c>
      <c r="I170" s="449">
        <v>0.1</v>
      </c>
      <c r="J170" s="450">
        <v>0.35</v>
      </c>
      <c r="K170" s="505">
        <v>1009</v>
      </c>
      <c r="L170" s="451">
        <v>0.18</v>
      </c>
      <c r="M170" s="447">
        <v>0.53</v>
      </c>
      <c r="N170" s="504">
        <v>1259</v>
      </c>
      <c r="O170" s="452">
        <v>0.2</v>
      </c>
      <c r="P170" s="450">
        <v>0.73</v>
      </c>
    </row>
    <row r="171" spans="1:16" x14ac:dyDescent="0.25">
      <c r="A171" s="424" t="s">
        <v>3905</v>
      </c>
      <c r="B171" s="439" t="s">
        <v>3914</v>
      </c>
      <c r="C171" s="506">
        <v>58.22</v>
      </c>
      <c r="D171" s="441">
        <v>0.25</v>
      </c>
      <c r="E171" s="502">
        <v>119</v>
      </c>
      <c r="F171" s="446">
        <v>10</v>
      </c>
      <c r="G171" s="503">
        <v>0.25</v>
      </c>
      <c r="H171" s="504">
        <v>129</v>
      </c>
      <c r="I171" s="449">
        <v>0.1</v>
      </c>
      <c r="J171" s="450">
        <v>0.35</v>
      </c>
      <c r="K171" s="505">
        <v>159</v>
      </c>
      <c r="L171" s="451">
        <v>0.18</v>
      </c>
      <c r="M171" s="447">
        <v>0.53</v>
      </c>
      <c r="N171" s="504">
        <v>199</v>
      </c>
      <c r="O171" s="452">
        <v>0.2</v>
      </c>
      <c r="P171" s="450">
        <v>0.73</v>
      </c>
    </row>
    <row r="172" spans="1:16" x14ac:dyDescent="0.25">
      <c r="A172" s="424" t="s">
        <v>3905</v>
      </c>
      <c r="B172" s="439" t="s">
        <v>3915</v>
      </c>
      <c r="C172" s="506">
        <v>676.77</v>
      </c>
      <c r="D172" s="441">
        <v>0.25</v>
      </c>
      <c r="E172" s="502">
        <v>1349</v>
      </c>
      <c r="F172" s="446">
        <v>10</v>
      </c>
      <c r="G172" s="503">
        <v>0.25</v>
      </c>
      <c r="H172" s="504">
        <v>1499</v>
      </c>
      <c r="I172" s="449">
        <v>0.1</v>
      </c>
      <c r="J172" s="450">
        <v>0.35</v>
      </c>
      <c r="K172" s="505">
        <v>1829</v>
      </c>
      <c r="L172" s="451">
        <v>0.18</v>
      </c>
      <c r="M172" s="447">
        <v>0.53</v>
      </c>
      <c r="N172" s="504">
        <v>2289</v>
      </c>
      <c r="O172" s="452">
        <v>0.2</v>
      </c>
      <c r="P172" s="450">
        <v>0.73</v>
      </c>
    </row>
    <row r="173" spans="1:16" x14ac:dyDescent="0.25">
      <c r="A173" s="424" t="s">
        <v>3905</v>
      </c>
      <c r="B173" s="439" t="s">
        <v>3916</v>
      </c>
      <c r="C173" s="506">
        <v>597.95000000000005</v>
      </c>
      <c r="D173" s="441">
        <v>0.25</v>
      </c>
      <c r="E173" s="502">
        <v>1199</v>
      </c>
      <c r="F173" s="446">
        <v>10</v>
      </c>
      <c r="G173" s="503">
        <v>0.25</v>
      </c>
      <c r="H173" s="504">
        <v>1329</v>
      </c>
      <c r="I173" s="449">
        <v>0.1</v>
      </c>
      <c r="J173" s="450">
        <v>0.35</v>
      </c>
      <c r="K173" s="505">
        <v>1619</v>
      </c>
      <c r="L173" s="451">
        <v>0.18</v>
      </c>
      <c r="M173" s="447">
        <v>0.53</v>
      </c>
      <c r="N173" s="504">
        <v>2019</v>
      </c>
      <c r="O173" s="452">
        <v>0.2</v>
      </c>
      <c r="P173" s="450">
        <v>0.73</v>
      </c>
    </row>
    <row r="174" spans="1:16" x14ac:dyDescent="0.25">
      <c r="A174" s="424" t="s">
        <v>3905</v>
      </c>
      <c r="B174" s="439" t="s">
        <v>3917</v>
      </c>
      <c r="C174" s="506">
        <v>234.99</v>
      </c>
      <c r="D174" s="441">
        <v>0.25</v>
      </c>
      <c r="E174" s="502">
        <v>469</v>
      </c>
      <c r="F174" s="446">
        <v>10</v>
      </c>
      <c r="G174" s="503">
        <v>0.25</v>
      </c>
      <c r="H174" s="504">
        <v>519</v>
      </c>
      <c r="I174" s="449">
        <v>0.1</v>
      </c>
      <c r="J174" s="450">
        <v>0.35</v>
      </c>
      <c r="K174" s="505">
        <v>629</v>
      </c>
      <c r="L174" s="451">
        <v>0.18</v>
      </c>
      <c r="M174" s="447">
        <v>0.53</v>
      </c>
      <c r="N174" s="504">
        <v>789</v>
      </c>
      <c r="O174" s="452">
        <v>0.2</v>
      </c>
      <c r="P174" s="450">
        <v>0.73</v>
      </c>
    </row>
    <row r="175" spans="1:16" x14ac:dyDescent="0.25">
      <c r="A175" s="424" t="s">
        <v>3905</v>
      </c>
      <c r="B175" s="439" t="s">
        <v>3918</v>
      </c>
      <c r="C175" s="506">
        <v>174.15</v>
      </c>
      <c r="D175" s="441">
        <v>0.25</v>
      </c>
      <c r="E175" s="502">
        <v>349</v>
      </c>
      <c r="F175" s="446">
        <v>10</v>
      </c>
      <c r="G175" s="503">
        <v>0.25</v>
      </c>
      <c r="H175" s="504">
        <v>389</v>
      </c>
      <c r="I175" s="449">
        <v>0.1</v>
      </c>
      <c r="J175" s="450">
        <v>0.35</v>
      </c>
      <c r="K175" s="505">
        <v>469</v>
      </c>
      <c r="L175" s="451">
        <v>0.18</v>
      </c>
      <c r="M175" s="447">
        <v>0.53</v>
      </c>
      <c r="N175" s="504">
        <v>589</v>
      </c>
      <c r="O175" s="452">
        <v>0.2</v>
      </c>
      <c r="P175" s="450">
        <v>0.73</v>
      </c>
    </row>
    <row r="176" spans="1:16" x14ac:dyDescent="0.25">
      <c r="A176" s="424" t="s">
        <v>3905</v>
      </c>
      <c r="B176" s="439" t="s">
        <v>3919</v>
      </c>
      <c r="C176" s="506">
        <v>26.48</v>
      </c>
      <c r="D176" s="441">
        <v>0.25</v>
      </c>
      <c r="E176" s="502">
        <v>54</v>
      </c>
      <c r="F176" s="446">
        <v>5</v>
      </c>
      <c r="G176" s="503">
        <v>0.25</v>
      </c>
      <c r="H176" s="504">
        <v>59</v>
      </c>
      <c r="I176" s="449">
        <v>0.1</v>
      </c>
      <c r="J176" s="450">
        <v>0.35</v>
      </c>
      <c r="K176" s="505">
        <v>69</v>
      </c>
      <c r="L176" s="451">
        <v>0.18</v>
      </c>
      <c r="M176" s="447">
        <v>0.53</v>
      </c>
      <c r="N176" s="504">
        <v>84</v>
      </c>
      <c r="O176" s="452">
        <v>0.2</v>
      </c>
      <c r="P176" s="450">
        <v>0.73</v>
      </c>
    </row>
    <row r="177" spans="1:16" x14ac:dyDescent="0.25">
      <c r="A177" s="424" t="s">
        <v>3905</v>
      </c>
      <c r="B177" s="439" t="s">
        <v>3920</v>
      </c>
      <c r="C177" s="506">
        <v>5.97</v>
      </c>
      <c r="D177" s="441">
        <v>0.25</v>
      </c>
      <c r="E177" s="502">
        <v>11</v>
      </c>
      <c r="F177" s="446">
        <v>1</v>
      </c>
      <c r="G177" s="503">
        <v>0.25</v>
      </c>
      <c r="H177" s="504">
        <v>12</v>
      </c>
      <c r="I177" s="449">
        <v>0.15</v>
      </c>
      <c r="J177" s="450">
        <v>0.4</v>
      </c>
      <c r="K177" s="505">
        <v>14</v>
      </c>
      <c r="L177" s="451">
        <v>0.18</v>
      </c>
      <c r="M177" s="447">
        <v>0.58000000000000007</v>
      </c>
      <c r="N177" s="504">
        <v>17</v>
      </c>
      <c r="O177" s="452">
        <v>0.2</v>
      </c>
      <c r="P177" s="450">
        <v>0.78</v>
      </c>
    </row>
    <row r="178" spans="1:16" x14ac:dyDescent="0.25">
      <c r="A178" s="424" t="s">
        <v>3905</v>
      </c>
      <c r="B178" s="439" t="s">
        <v>3921</v>
      </c>
      <c r="C178" s="506">
        <v>9.6300000000000008</v>
      </c>
      <c r="D178" s="441">
        <v>0.25</v>
      </c>
      <c r="E178" s="502">
        <v>18</v>
      </c>
      <c r="F178" s="446">
        <v>1</v>
      </c>
      <c r="G178" s="503">
        <v>0.25</v>
      </c>
      <c r="H178" s="504">
        <v>19</v>
      </c>
      <c r="I178" s="449">
        <v>0.1</v>
      </c>
      <c r="J178" s="450">
        <v>0.35</v>
      </c>
      <c r="K178" s="505">
        <v>22</v>
      </c>
      <c r="L178" s="451">
        <v>0.18</v>
      </c>
      <c r="M178" s="447">
        <v>0.53</v>
      </c>
      <c r="N178" s="504">
        <v>27</v>
      </c>
      <c r="O178" s="452">
        <v>0.2</v>
      </c>
      <c r="P178" s="450">
        <v>0.73</v>
      </c>
    </row>
    <row r="179" spans="1:16" x14ac:dyDescent="0.25">
      <c r="A179" s="424" t="s">
        <v>3905</v>
      </c>
      <c r="B179" s="439" t="s">
        <v>231</v>
      </c>
      <c r="C179" s="506">
        <v>62.2643506849315</v>
      </c>
      <c r="D179" s="441">
        <v>0.25</v>
      </c>
      <c r="E179" s="502">
        <v>119</v>
      </c>
      <c r="F179" s="446">
        <v>10</v>
      </c>
      <c r="G179" s="503">
        <v>0.25</v>
      </c>
      <c r="H179" s="504">
        <v>132.22222222222223</v>
      </c>
      <c r="I179" s="449">
        <v>0.1</v>
      </c>
      <c r="J179" s="450">
        <v>0.35</v>
      </c>
      <c r="K179" s="505">
        <v>161.24661246612465</v>
      </c>
      <c r="L179" s="451">
        <v>0.18</v>
      </c>
      <c r="M179" s="447">
        <v>0.53</v>
      </c>
      <c r="N179" s="504">
        <v>201.55826558265579</v>
      </c>
      <c r="O179" s="452">
        <v>0.2</v>
      </c>
      <c r="P179" s="450">
        <v>0.73</v>
      </c>
    </row>
    <row r="180" spans="1:16" x14ac:dyDescent="0.25">
      <c r="A180" s="424" t="s">
        <v>3905</v>
      </c>
      <c r="B180" s="439" t="s">
        <v>465</v>
      </c>
      <c r="C180" s="506">
        <v>0.71368969603120447</v>
      </c>
      <c r="D180" s="441">
        <v>0.55000000000000004</v>
      </c>
      <c r="E180" s="502">
        <v>3</v>
      </c>
      <c r="F180" s="446">
        <v>1</v>
      </c>
      <c r="G180" s="503">
        <v>0.25</v>
      </c>
      <c r="H180" s="504">
        <v>3.333333333333333</v>
      </c>
      <c r="I180" s="449">
        <v>0.1</v>
      </c>
      <c r="J180" s="450">
        <v>0.35</v>
      </c>
      <c r="K180" s="505">
        <v>4.0650406504065035</v>
      </c>
      <c r="L180" s="451">
        <v>0.18</v>
      </c>
      <c r="M180" s="447">
        <v>0.53</v>
      </c>
      <c r="N180" s="504">
        <v>5.081300813008129</v>
      </c>
      <c r="O180" s="452">
        <v>0.2</v>
      </c>
      <c r="P180" s="450">
        <v>0.73</v>
      </c>
    </row>
    <row r="181" spans="1:16" x14ac:dyDescent="0.25">
      <c r="A181" s="507" t="s">
        <v>3905</v>
      </c>
      <c r="B181" s="490" t="s">
        <v>387</v>
      </c>
      <c r="C181" s="508">
        <v>294.14225454439998</v>
      </c>
      <c r="D181" s="492">
        <v>0.25</v>
      </c>
      <c r="E181" s="509">
        <v>839</v>
      </c>
      <c r="F181" s="494">
        <v>10</v>
      </c>
      <c r="G181" s="510">
        <v>0.4</v>
      </c>
      <c r="H181" s="511">
        <v>929</v>
      </c>
      <c r="I181" s="497">
        <v>0.1</v>
      </c>
      <c r="J181" s="498">
        <v>0.5</v>
      </c>
      <c r="K181" s="512">
        <v>1029</v>
      </c>
      <c r="L181" s="499">
        <v>0.1</v>
      </c>
      <c r="M181" s="495">
        <v>0.6</v>
      </c>
      <c r="N181" s="511">
        <v>1139</v>
      </c>
      <c r="O181" s="500">
        <v>0.1</v>
      </c>
      <c r="P181" s="498">
        <v>0.7</v>
      </c>
    </row>
    <row r="182" spans="1:16" x14ac:dyDescent="0.25">
      <c r="A182" s="424" t="s">
        <v>3922</v>
      </c>
      <c r="B182" s="439" t="s">
        <v>262</v>
      </c>
      <c r="C182" s="506">
        <v>1064.8800000000001</v>
      </c>
      <c r="D182" s="441">
        <v>0.25</v>
      </c>
      <c r="E182" s="502">
        <v>1769</v>
      </c>
      <c r="F182" s="446">
        <v>10</v>
      </c>
      <c r="G182" s="503">
        <v>0.15000000000000002</v>
      </c>
      <c r="H182" s="504">
        <v>2009</v>
      </c>
      <c r="I182" s="449">
        <v>0.12</v>
      </c>
      <c r="J182" s="450">
        <v>0.27</v>
      </c>
      <c r="K182" s="505">
        <v>2279</v>
      </c>
      <c r="L182" s="451">
        <v>0.12</v>
      </c>
      <c r="M182" s="447">
        <v>0.39</v>
      </c>
      <c r="N182" s="504">
        <v>2529</v>
      </c>
      <c r="O182" s="452">
        <v>0.1</v>
      </c>
      <c r="P182" s="450">
        <v>0.49</v>
      </c>
    </row>
    <row r="183" spans="1:16" x14ac:dyDescent="0.25">
      <c r="A183" s="424" t="s">
        <v>3922</v>
      </c>
      <c r="B183" s="439" t="s">
        <v>263</v>
      </c>
      <c r="C183" s="506">
        <v>1538.16</v>
      </c>
      <c r="D183" s="441">
        <v>0.25</v>
      </c>
      <c r="E183" s="502">
        <v>2559</v>
      </c>
      <c r="F183" s="446">
        <v>10</v>
      </c>
      <c r="G183" s="503">
        <v>0.15000000000000002</v>
      </c>
      <c r="H183" s="504">
        <v>2909</v>
      </c>
      <c r="I183" s="449">
        <v>0.12</v>
      </c>
      <c r="J183" s="450">
        <v>0.27</v>
      </c>
      <c r="K183" s="505">
        <v>3309</v>
      </c>
      <c r="L183" s="451">
        <v>0.12</v>
      </c>
      <c r="M183" s="447">
        <v>0.39</v>
      </c>
      <c r="N183" s="504">
        <v>3679</v>
      </c>
      <c r="O183" s="452">
        <v>0.1</v>
      </c>
      <c r="P183" s="450">
        <v>0.49</v>
      </c>
    </row>
    <row r="184" spans="1:16" x14ac:dyDescent="0.25">
      <c r="A184" s="424" t="s">
        <v>3922</v>
      </c>
      <c r="B184" s="439" t="s">
        <v>264</v>
      </c>
      <c r="C184" s="506">
        <v>1774.7999999999997</v>
      </c>
      <c r="D184" s="441">
        <v>0.25</v>
      </c>
      <c r="E184" s="502">
        <v>2959</v>
      </c>
      <c r="F184" s="446">
        <v>10</v>
      </c>
      <c r="G184" s="503">
        <v>0.15000000000000002</v>
      </c>
      <c r="H184" s="504">
        <v>3359</v>
      </c>
      <c r="I184" s="449">
        <v>0.12</v>
      </c>
      <c r="J184" s="450">
        <v>0.27</v>
      </c>
      <c r="K184" s="505">
        <v>3819</v>
      </c>
      <c r="L184" s="451">
        <v>0.12</v>
      </c>
      <c r="M184" s="447">
        <v>0.39</v>
      </c>
      <c r="N184" s="504">
        <v>4239</v>
      </c>
      <c r="O184" s="452">
        <v>0.1</v>
      </c>
      <c r="P184" s="450">
        <v>0.49</v>
      </c>
    </row>
    <row r="185" spans="1:16" x14ac:dyDescent="0.25">
      <c r="A185" s="424" t="s">
        <v>3922</v>
      </c>
      <c r="B185" s="439" t="s">
        <v>265</v>
      </c>
      <c r="C185" s="506">
        <v>2366.4</v>
      </c>
      <c r="D185" s="441">
        <v>0.25</v>
      </c>
      <c r="E185" s="502">
        <v>3939</v>
      </c>
      <c r="F185" s="446">
        <v>10</v>
      </c>
      <c r="G185" s="503">
        <v>0.15000000000000002</v>
      </c>
      <c r="H185" s="504">
        <v>4479</v>
      </c>
      <c r="I185" s="449">
        <v>0.12</v>
      </c>
      <c r="J185" s="450">
        <v>0.27</v>
      </c>
      <c r="K185" s="505">
        <v>5089</v>
      </c>
      <c r="L185" s="451">
        <v>0.12</v>
      </c>
      <c r="M185" s="447">
        <v>0.39</v>
      </c>
      <c r="N185" s="504">
        <v>5649</v>
      </c>
      <c r="O185" s="452">
        <v>0.1</v>
      </c>
      <c r="P185" s="450">
        <v>0.49</v>
      </c>
    </row>
    <row r="186" spans="1:16" x14ac:dyDescent="0.25">
      <c r="A186" s="424" t="s">
        <v>3922</v>
      </c>
      <c r="B186" s="439" t="s">
        <v>3923</v>
      </c>
      <c r="C186" s="506">
        <v>995.54320399999995</v>
      </c>
      <c r="D186" s="441">
        <v>0.25</v>
      </c>
      <c r="E186" s="502">
        <v>1659</v>
      </c>
      <c r="F186" s="446">
        <v>10</v>
      </c>
      <c r="G186" s="503">
        <v>0.15000000000000002</v>
      </c>
      <c r="H186" s="504">
        <v>1889</v>
      </c>
      <c r="I186" s="449">
        <v>0.12</v>
      </c>
      <c r="J186" s="450">
        <v>0.27</v>
      </c>
      <c r="K186" s="505">
        <v>2149</v>
      </c>
      <c r="L186" s="451">
        <v>0.12</v>
      </c>
      <c r="M186" s="447">
        <v>0.39</v>
      </c>
      <c r="N186" s="504">
        <v>2389</v>
      </c>
      <c r="O186" s="452">
        <v>0.1</v>
      </c>
      <c r="P186" s="450">
        <v>0.49</v>
      </c>
    </row>
    <row r="187" spans="1:16" x14ac:dyDescent="0.25">
      <c r="A187" s="424" t="s">
        <v>3922</v>
      </c>
      <c r="B187" s="439" t="s">
        <v>389</v>
      </c>
      <c r="C187" s="506">
        <v>1777.002144</v>
      </c>
      <c r="D187" s="441">
        <v>0.25</v>
      </c>
      <c r="E187" s="502">
        <v>2959</v>
      </c>
      <c r="F187" s="446">
        <v>10</v>
      </c>
      <c r="G187" s="503">
        <v>0.15000000000000002</v>
      </c>
      <c r="H187" s="504">
        <v>3359</v>
      </c>
      <c r="I187" s="449">
        <v>0.12</v>
      </c>
      <c r="J187" s="450">
        <v>0.27</v>
      </c>
      <c r="K187" s="505">
        <v>3819</v>
      </c>
      <c r="L187" s="451">
        <v>0.12</v>
      </c>
      <c r="M187" s="447">
        <v>0.39</v>
      </c>
      <c r="N187" s="504">
        <v>4239</v>
      </c>
      <c r="O187" s="452">
        <v>0.1</v>
      </c>
      <c r="P187" s="450">
        <v>0.49</v>
      </c>
    </row>
    <row r="188" spans="1:16" x14ac:dyDescent="0.25">
      <c r="A188" s="424" t="s">
        <v>3922</v>
      </c>
      <c r="B188" s="439" t="s">
        <v>3924</v>
      </c>
      <c r="C188" s="506">
        <v>2299.3089639999998</v>
      </c>
      <c r="D188" s="441">
        <v>0.25</v>
      </c>
      <c r="E188" s="502">
        <v>3829</v>
      </c>
      <c r="F188" s="446">
        <v>10</v>
      </c>
      <c r="G188" s="503">
        <v>0.15000000000000002</v>
      </c>
      <c r="H188" s="504">
        <v>4349</v>
      </c>
      <c r="I188" s="449">
        <v>0.12</v>
      </c>
      <c r="J188" s="450">
        <v>0.27</v>
      </c>
      <c r="K188" s="505">
        <v>4939</v>
      </c>
      <c r="L188" s="451">
        <v>0.12</v>
      </c>
      <c r="M188" s="447">
        <v>0.39</v>
      </c>
      <c r="N188" s="504">
        <v>5489</v>
      </c>
      <c r="O188" s="452">
        <v>0.1</v>
      </c>
      <c r="P188" s="450">
        <v>0.49</v>
      </c>
    </row>
    <row r="189" spans="1:16" x14ac:dyDescent="0.25">
      <c r="A189" s="424" t="s">
        <v>3922</v>
      </c>
      <c r="B189" s="439" t="s">
        <v>3925</v>
      </c>
      <c r="C189" s="506">
        <v>1526.4884279999999</v>
      </c>
      <c r="D189" s="441">
        <v>0.25</v>
      </c>
      <c r="E189" s="502">
        <v>2539</v>
      </c>
      <c r="F189" s="446">
        <v>10</v>
      </c>
      <c r="G189" s="503">
        <v>0.15000000000000002</v>
      </c>
      <c r="H189" s="504">
        <v>2889</v>
      </c>
      <c r="I189" s="449">
        <v>0.12</v>
      </c>
      <c r="J189" s="450">
        <v>0.27</v>
      </c>
      <c r="K189" s="505">
        <v>3279</v>
      </c>
      <c r="L189" s="451">
        <v>0.12</v>
      </c>
      <c r="M189" s="447">
        <v>0.39</v>
      </c>
      <c r="N189" s="504">
        <v>3639</v>
      </c>
      <c r="O189" s="452">
        <v>0.1</v>
      </c>
      <c r="P189" s="450">
        <v>0.49</v>
      </c>
    </row>
    <row r="190" spans="1:16" x14ac:dyDescent="0.25">
      <c r="A190" s="424" t="s">
        <v>3922</v>
      </c>
      <c r="B190" s="439" t="s">
        <v>3926</v>
      </c>
      <c r="C190" s="506">
        <v>2808.0189599999994</v>
      </c>
      <c r="D190" s="441">
        <v>0.25</v>
      </c>
      <c r="E190" s="502">
        <v>4679</v>
      </c>
      <c r="F190" s="446">
        <v>10</v>
      </c>
      <c r="G190" s="503">
        <v>0.15000000000000002</v>
      </c>
      <c r="H190" s="504">
        <v>5319</v>
      </c>
      <c r="I190" s="449">
        <v>0.12</v>
      </c>
      <c r="J190" s="450">
        <v>0.27</v>
      </c>
      <c r="K190" s="505">
        <v>6039</v>
      </c>
      <c r="L190" s="451">
        <v>0.12</v>
      </c>
      <c r="M190" s="447">
        <v>0.39</v>
      </c>
      <c r="N190" s="504">
        <v>6709</v>
      </c>
      <c r="O190" s="452">
        <v>0.1</v>
      </c>
      <c r="P190" s="450">
        <v>0.49</v>
      </c>
    </row>
    <row r="191" spans="1:16" x14ac:dyDescent="0.25">
      <c r="A191" s="424" t="s">
        <v>3922</v>
      </c>
      <c r="B191" s="439" t="s">
        <v>537</v>
      </c>
      <c r="C191" s="506">
        <v>3191.3346959999999</v>
      </c>
      <c r="D191" s="441">
        <v>0.25</v>
      </c>
      <c r="E191" s="502">
        <v>5319</v>
      </c>
      <c r="F191" s="446">
        <v>10</v>
      </c>
      <c r="G191" s="503">
        <v>0.15000000000000002</v>
      </c>
      <c r="H191" s="504">
        <v>6039</v>
      </c>
      <c r="I191" s="449">
        <v>0.12</v>
      </c>
      <c r="J191" s="450">
        <v>0.27</v>
      </c>
      <c r="K191" s="505">
        <v>6859</v>
      </c>
      <c r="L191" s="451">
        <v>0.12</v>
      </c>
      <c r="M191" s="447">
        <v>0.39</v>
      </c>
      <c r="N191" s="504">
        <v>7619</v>
      </c>
      <c r="O191" s="452">
        <v>0.1</v>
      </c>
      <c r="P191" s="450">
        <v>0.49</v>
      </c>
    </row>
    <row r="192" spans="1:16" x14ac:dyDescent="0.25">
      <c r="A192" s="424" t="s">
        <v>3922</v>
      </c>
      <c r="B192" s="424" t="s">
        <v>3927</v>
      </c>
      <c r="C192" s="506">
        <v>5376.5613720000001</v>
      </c>
      <c r="D192" s="441">
        <v>0.25</v>
      </c>
      <c r="E192" s="502">
        <v>8959</v>
      </c>
      <c r="F192" s="446">
        <v>10</v>
      </c>
      <c r="G192" s="503">
        <v>0.15000000000000002</v>
      </c>
      <c r="H192" s="504">
        <v>10179</v>
      </c>
      <c r="I192" s="449">
        <v>0.12</v>
      </c>
      <c r="J192" s="450">
        <v>0.27</v>
      </c>
      <c r="K192" s="505">
        <v>11569</v>
      </c>
      <c r="L192" s="451">
        <v>0.12</v>
      </c>
      <c r="M192" s="447">
        <v>0.39</v>
      </c>
      <c r="N192" s="504">
        <v>12849</v>
      </c>
      <c r="O192" s="452">
        <v>0.1</v>
      </c>
      <c r="P192" s="450">
        <v>0.49</v>
      </c>
    </row>
    <row r="193" spans="1:16" x14ac:dyDescent="0.25">
      <c r="A193" s="424" t="s">
        <v>3922</v>
      </c>
      <c r="B193" s="424" t="s">
        <v>3928</v>
      </c>
      <c r="C193" s="506">
        <v>4891.3949447999994</v>
      </c>
      <c r="D193" s="441">
        <v>0.25</v>
      </c>
      <c r="E193" s="502">
        <v>8149</v>
      </c>
      <c r="F193" s="446">
        <v>10</v>
      </c>
      <c r="G193" s="503">
        <v>0.15000000000000002</v>
      </c>
      <c r="H193" s="504">
        <v>9259</v>
      </c>
      <c r="I193" s="449">
        <v>0.12</v>
      </c>
      <c r="J193" s="450">
        <v>0.27</v>
      </c>
      <c r="K193" s="505">
        <v>10519</v>
      </c>
      <c r="L193" s="451">
        <v>0.12</v>
      </c>
      <c r="M193" s="447">
        <v>0.39</v>
      </c>
      <c r="N193" s="504">
        <v>11689</v>
      </c>
      <c r="O193" s="452">
        <v>0.1</v>
      </c>
      <c r="P193" s="450">
        <v>0.49</v>
      </c>
    </row>
    <row r="194" spans="1:16" x14ac:dyDescent="0.25">
      <c r="A194" s="424" t="s">
        <v>3922</v>
      </c>
      <c r="B194" s="424" t="s">
        <v>3929</v>
      </c>
      <c r="C194" s="506">
        <v>4104.2977668000003</v>
      </c>
      <c r="D194" s="441">
        <v>0.25</v>
      </c>
      <c r="E194" s="502">
        <v>6839</v>
      </c>
      <c r="F194" s="446">
        <v>10</v>
      </c>
      <c r="G194" s="503">
        <v>0.15000000000000002</v>
      </c>
      <c r="H194" s="504">
        <v>7769</v>
      </c>
      <c r="I194" s="449">
        <v>0.12</v>
      </c>
      <c r="J194" s="450">
        <v>0.27</v>
      </c>
      <c r="K194" s="505">
        <v>8829</v>
      </c>
      <c r="L194" s="451">
        <v>0.12</v>
      </c>
      <c r="M194" s="447">
        <v>0.39</v>
      </c>
      <c r="N194" s="504">
        <v>9809</v>
      </c>
      <c r="O194" s="452">
        <v>0.1</v>
      </c>
      <c r="P194" s="450">
        <v>0.49</v>
      </c>
    </row>
    <row r="195" spans="1:16" x14ac:dyDescent="0.25">
      <c r="A195" s="424" t="s">
        <v>3922</v>
      </c>
      <c r="B195" s="424" t="s">
        <v>3930</v>
      </c>
      <c r="C195" s="506">
        <v>4194.5055263999993</v>
      </c>
      <c r="D195" s="441">
        <v>0.25</v>
      </c>
      <c r="E195" s="502">
        <v>6989</v>
      </c>
      <c r="F195" s="446">
        <v>10</v>
      </c>
      <c r="G195" s="503">
        <v>0.15000000000000002</v>
      </c>
      <c r="H195" s="504">
        <v>7939</v>
      </c>
      <c r="I195" s="449">
        <v>0.12</v>
      </c>
      <c r="J195" s="450">
        <v>0.27</v>
      </c>
      <c r="K195" s="505">
        <v>9019</v>
      </c>
      <c r="L195" s="451">
        <v>0.12</v>
      </c>
      <c r="M195" s="447">
        <v>0.39</v>
      </c>
      <c r="N195" s="504">
        <v>10019</v>
      </c>
      <c r="O195" s="452">
        <v>0.1</v>
      </c>
      <c r="P195" s="450">
        <v>0.49</v>
      </c>
    </row>
    <row r="196" spans="1:16" x14ac:dyDescent="0.25">
      <c r="A196" s="424" t="s">
        <v>3922</v>
      </c>
      <c r="B196" s="424" t="s">
        <v>3931</v>
      </c>
      <c r="C196" s="506">
        <v>4059.2000988</v>
      </c>
      <c r="D196" s="441">
        <v>0.25</v>
      </c>
      <c r="E196" s="502">
        <v>6769</v>
      </c>
      <c r="F196" s="446">
        <v>10</v>
      </c>
      <c r="G196" s="503">
        <v>0.15000000000000002</v>
      </c>
      <c r="H196" s="504">
        <v>7689</v>
      </c>
      <c r="I196" s="449">
        <v>0.12</v>
      </c>
      <c r="J196" s="450">
        <v>0.27</v>
      </c>
      <c r="K196" s="505">
        <v>8739</v>
      </c>
      <c r="L196" s="451">
        <v>0.12</v>
      </c>
      <c r="M196" s="447">
        <v>0.39</v>
      </c>
      <c r="N196" s="504">
        <v>9709</v>
      </c>
      <c r="O196" s="452">
        <v>0.1</v>
      </c>
      <c r="P196" s="450">
        <v>0.49</v>
      </c>
    </row>
    <row r="197" spans="1:16" x14ac:dyDescent="0.25">
      <c r="A197" s="424" t="s">
        <v>3922</v>
      </c>
      <c r="B197" s="439" t="s">
        <v>3932</v>
      </c>
      <c r="C197" s="506">
        <v>2632.62</v>
      </c>
      <c r="D197" s="441">
        <v>0.25</v>
      </c>
      <c r="E197" s="502">
        <v>4389</v>
      </c>
      <c r="F197" s="446">
        <v>10</v>
      </c>
      <c r="G197" s="503">
        <v>0.15000000000000002</v>
      </c>
      <c r="H197" s="504">
        <v>4989</v>
      </c>
      <c r="I197" s="449">
        <v>0.12</v>
      </c>
      <c r="J197" s="450">
        <v>0.27</v>
      </c>
      <c r="K197" s="505">
        <v>5669</v>
      </c>
      <c r="L197" s="451">
        <v>0.12</v>
      </c>
      <c r="M197" s="447">
        <v>0.39</v>
      </c>
      <c r="N197" s="504">
        <v>6299</v>
      </c>
      <c r="O197" s="452">
        <v>0.1</v>
      </c>
      <c r="P197" s="450">
        <v>0.49</v>
      </c>
    </row>
    <row r="198" spans="1:16" x14ac:dyDescent="0.25">
      <c r="A198" s="424" t="s">
        <v>3922</v>
      </c>
      <c r="B198" s="439" t="s">
        <v>3933</v>
      </c>
      <c r="C198" s="506">
        <v>3105.9</v>
      </c>
      <c r="D198" s="441">
        <v>0.25</v>
      </c>
      <c r="E198" s="502">
        <v>5179</v>
      </c>
      <c r="F198" s="446">
        <v>10</v>
      </c>
      <c r="G198" s="503">
        <v>0.15000000000000002</v>
      </c>
      <c r="H198" s="504">
        <v>5889</v>
      </c>
      <c r="I198" s="449">
        <v>0.12</v>
      </c>
      <c r="J198" s="450">
        <v>0.27</v>
      </c>
      <c r="K198" s="505">
        <v>6689</v>
      </c>
      <c r="L198" s="451">
        <v>0.12</v>
      </c>
      <c r="M198" s="447">
        <v>0.39</v>
      </c>
      <c r="N198" s="504">
        <v>7429</v>
      </c>
      <c r="O198" s="452">
        <v>0.1</v>
      </c>
      <c r="P198" s="450">
        <v>0.49</v>
      </c>
    </row>
    <row r="199" spans="1:16" x14ac:dyDescent="0.25">
      <c r="A199" s="424" t="s">
        <v>3922</v>
      </c>
      <c r="B199" s="439" t="s">
        <v>3934</v>
      </c>
      <c r="C199" s="506">
        <v>3165.06</v>
      </c>
      <c r="D199" s="441">
        <v>0.25</v>
      </c>
      <c r="E199" s="502">
        <v>5279</v>
      </c>
      <c r="F199" s="446">
        <v>10</v>
      </c>
      <c r="G199" s="503">
        <v>0.15000000000000002</v>
      </c>
      <c r="H199" s="504">
        <v>5999</v>
      </c>
      <c r="I199" s="449">
        <v>0.12</v>
      </c>
      <c r="J199" s="450">
        <v>0.27</v>
      </c>
      <c r="K199" s="505">
        <v>6819</v>
      </c>
      <c r="L199" s="451">
        <v>0.12</v>
      </c>
      <c r="M199" s="447">
        <v>0.39</v>
      </c>
      <c r="N199" s="504">
        <v>7579</v>
      </c>
      <c r="O199" s="452">
        <v>0.1</v>
      </c>
      <c r="P199" s="450">
        <v>0.49</v>
      </c>
    </row>
    <row r="200" spans="1:16" x14ac:dyDescent="0.25">
      <c r="A200" s="424" t="s">
        <v>3922</v>
      </c>
      <c r="B200" s="439" t="s">
        <v>3935</v>
      </c>
      <c r="C200" s="506">
        <v>3224.2200000000003</v>
      </c>
      <c r="D200" s="441">
        <v>0.25</v>
      </c>
      <c r="E200" s="502">
        <v>5369</v>
      </c>
      <c r="F200" s="446">
        <v>10</v>
      </c>
      <c r="G200" s="503">
        <v>0.15000000000000002</v>
      </c>
      <c r="H200" s="504">
        <v>6099</v>
      </c>
      <c r="I200" s="449">
        <v>0.12</v>
      </c>
      <c r="J200" s="450">
        <v>0.27</v>
      </c>
      <c r="K200" s="505">
        <v>6929</v>
      </c>
      <c r="L200" s="451">
        <v>0.12</v>
      </c>
      <c r="M200" s="447">
        <v>0.39</v>
      </c>
      <c r="N200" s="504">
        <v>7699</v>
      </c>
      <c r="O200" s="452">
        <v>0.1</v>
      </c>
      <c r="P200" s="450">
        <v>0.49</v>
      </c>
    </row>
    <row r="201" spans="1:16" x14ac:dyDescent="0.25">
      <c r="A201" s="424" t="s">
        <v>3922</v>
      </c>
      <c r="B201" s="439" t="s">
        <v>531</v>
      </c>
      <c r="C201" s="506">
        <v>3283.38</v>
      </c>
      <c r="D201" s="441">
        <v>0.25</v>
      </c>
      <c r="E201" s="502">
        <v>5469</v>
      </c>
      <c r="F201" s="446">
        <v>10</v>
      </c>
      <c r="G201" s="503">
        <v>0.15000000000000002</v>
      </c>
      <c r="H201" s="504">
        <v>6209</v>
      </c>
      <c r="I201" s="449">
        <v>0.12</v>
      </c>
      <c r="J201" s="450">
        <v>0.27</v>
      </c>
      <c r="K201" s="505">
        <v>7059</v>
      </c>
      <c r="L201" s="451">
        <v>0.12</v>
      </c>
      <c r="M201" s="447">
        <v>0.39</v>
      </c>
      <c r="N201" s="504">
        <v>7839</v>
      </c>
      <c r="O201" s="452">
        <v>0.1</v>
      </c>
      <c r="P201" s="450">
        <v>0.49</v>
      </c>
    </row>
    <row r="202" spans="1:16" x14ac:dyDescent="0.25">
      <c r="A202" s="424" t="s">
        <v>3922</v>
      </c>
      <c r="B202" s="439" t="s">
        <v>577</v>
      </c>
      <c r="C202" s="506">
        <v>3342.54</v>
      </c>
      <c r="D202" s="441">
        <v>0.25</v>
      </c>
      <c r="E202" s="502">
        <v>5569</v>
      </c>
      <c r="F202" s="446">
        <v>10</v>
      </c>
      <c r="G202" s="503">
        <v>0.15000000000000002</v>
      </c>
      <c r="H202" s="504">
        <v>6329</v>
      </c>
      <c r="I202" s="449">
        <v>0.12</v>
      </c>
      <c r="J202" s="450">
        <v>0.27</v>
      </c>
      <c r="K202" s="505">
        <v>7189</v>
      </c>
      <c r="L202" s="451">
        <v>0.12</v>
      </c>
      <c r="M202" s="447">
        <v>0.39</v>
      </c>
      <c r="N202" s="504">
        <v>7989</v>
      </c>
      <c r="O202" s="452">
        <v>0.1</v>
      </c>
      <c r="P202" s="450">
        <v>0.49</v>
      </c>
    </row>
    <row r="203" spans="1:16" x14ac:dyDescent="0.25">
      <c r="A203" s="424" t="s">
        <v>3922</v>
      </c>
      <c r="B203" s="439" t="s">
        <v>3936</v>
      </c>
      <c r="C203" s="506">
        <v>3501.6040835999997</v>
      </c>
      <c r="D203" s="441">
        <v>0.25</v>
      </c>
      <c r="E203" s="502">
        <v>5839</v>
      </c>
      <c r="F203" s="446">
        <v>10</v>
      </c>
      <c r="G203" s="503">
        <v>0.15000000000000002</v>
      </c>
      <c r="H203" s="504">
        <v>6639</v>
      </c>
      <c r="I203" s="449">
        <v>0.12</v>
      </c>
      <c r="J203" s="450">
        <v>0.27</v>
      </c>
      <c r="K203" s="505">
        <v>7539</v>
      </c>
      <c r="L203" s="451">
        <v>0.12</v>
      </c>
      <c r="M203" s="447">
        <v>0.39</v>
      </c>
      <c r="N203" s="504">
        <v>8379</v>
      </c>
      <c r="O203" s="452">
        <v>0.1</v>
      </c>
      <c r="P203" s="450">
        <v>0.49</v>
      </c>
    </row>
    <row r="204" spans="1:16" x14ac:dyDescent="0.25">
      <c r="A204" s="424" t="s">
        <v>3922</v>
      </c>
      <c r="B204" s="439" t="s">
        <v>3937</v>
      </c>
      <c r="C204" s="506">
        <v>5116.3987643999999</v>
      </c>
      <c r="D204" s="441">
        <v>0.25</v>
      </c>
      <c r="E204" s="502">
        <v>8529</v>
      </c>
      <c r="F204" s="446">
        <v>10</v>
      </c>
      <c r="G204" s="503">
        <v>0.15000000000000002</v>
      </c>
      <c r="H204" s="504">
        <v>9689</v>
      </c>
      <c r="I204" s="449">
        <v>0.12</v>
      </c>
      <c r="J204" s="450">
        <v>0.27</v>
      </c>
      <c r="K204" s="505">
        <v>11009</v>
      </c>
      <c r="L204" s="451">
        <v>0.12</v>
      </c>
      <c r="M204" s="447">
        <v>0.39</v>
      </c>
      <c r="N204" s="504">
        <v>12229</v>
      </c>
      <c r="O204" s="452">
        <v>0.1</v>
      </c>
      <c r="P204" s="450">
        <v>0.49</v>
      </c>
    </row>
    <row r="205" spans="1:16" x14ac:dyDescent="0.25">
      <c r="A205" s="424" t="s">
        <v>3922</v>
      </c>
      <c r="B205" s="439" t="s">
        <v>3938</v>
      </c>
      <c r="C205" s="506">
        <v>6234.6842711999998</v>
      </c>
      <c r="D205" s="441">
        <v>0.25</v>
      </c>
      <c r="E205" s="502">
        <v>10389</v>
      </c>
      <c r="F205" s="446">
        <v>10</v>
      </c>
      <c r="G205" s="503">
        <v>0.15000000000000002</v>
      </c>
      <c r="H205" s="504">
        <v>11809</v>
      </c>
      <c r="I205" s="449">
        <v>0.12</v>
      </c>
      <c r="J205" s="450">
        <v>0.27</v>
      </c>
      <c r="K205" s="505">
        <v>13419</v>
      </c>
      <c r="L205" s="451">
        <v>0.12</v>
      </c>
      <c r="M205" s="447">
        <v>0.39</v>
      </c>
      <c r="N205" s="504">
        <v>14909</v>
      </c>
      <c r="O205" s="452">
        <v>0.1</v>
      </c>
      <c r="P205" s="450">
        <v>0.49</v>
      </c>
    </row>
    <row r="206" spans="1:16" x14ac:dyDescent="0.25">
      <c r="A206" s="424" t="s">
        <v>3922</v>
      </c>
      <c r="B206" s="439" t="s">
        <v>3939</v>
      </c>
      <c r="C206" s="506">
        <v>899.20647999999994</v>
      </c>
      <c r="D206" s="441">
        <v>0.25</v>
      </c>
      <c r="E206" s="502">
        <v>1579</v>
      </c>
      <c r="F206" s="446">
        <v>10</v>
      </c>
      <c r="G206" s="503">
        <v>0.18</v>
      </c>
      <c r="H206" s="504">
        <v>1789</v>
      </c>
      <c r="I206" s="449">
        <v>0.12</v>
      </c>
      <c r="J206" s="450">
        <v>0.3</v>
      </c>
      <c r="K206" s="505">
        <v>2029</v>
      </c>
      <c r="L206" s="451">
        <v>0.12</v>
      </c>
      <c r="M206" s="447">
        <v>0.42</v>
      </c>
      <c r="N206" s="504">
        <v>2249</v>
      </c>
      <c r="O206" s="452">
        <v>0.1</v>
      </c>
      <c r="P206" s="450">
        <v>0.52</v>
      </c>
    </row>
    <row r="207" spans="1:16" x14ac:dyDescent="0.25">
      <c r="A207" s="424" t="s">
        <v>3922</v>
      </c>
      <c r="B207" s="439" t="s">
        <v>3940</v>
      </c>
      <c r="C207" s="506">
        <v>1090.6970760000002</v>
      </c>
      <c r="D207" s="441">
        <v>0.25</v>
      </c>
      <c r="E207" s="502">
        <v>1909</v>
      </c>
      <c r="F207" s="446">
        <v>10</v>
      </c>
      <c r="G207" s="503">
        <v>0.18</v>
      </c>
      <c r="H207" s="504">
        <v>2169</v>
      </c>
      <c r="I207" s="449">
        <v>0.12</v>
      </c>
      <c r="J207" s="450">
        <v>0.3</v>
      </c>
      <c r="K207" s="505">
        <v>2459</v>
      </c>
      <c r="L207" s="451">
        <v>0.12</v>
      </c>
      <c r="M207" s="447">
        <v>0.42</v>
      </c>
      <c r="N207" s="504">
        <v>2729</v>
      </c>
      <c r="O207" s="452">
        <v>0.1</v>
      </c>
      <c r="P207" s="450">
        <v>0.52</v>
      </c>
    </row>
    <row r="208" spans="1:16" x14ac:dyDescent="0.25">
      <c r="A208" s="424" t="s">
        <v>3922</v>
      </c>
      <c r="B208" s="439" t="s">
        <v>3941</v>
      </c>
      <c r="C208" s="506">
        <v>1382.1087959999998</v>
      </c>
      <c r="D208" s="441">
        <v>0.25</v>
      </c>
      <c r="E208" s="502">
        <v>2419</v>
      </c>
      <c r="F208" s="446">
        <v>10</v>
      </c>
      <c r="G208" s="503">
        <v>0.18</v>
      </c>
      <c r="H208" s="504">
        <v>2749</v>
      </c>
      <c r="I208" s="449">
        <v>0.12</v>
      </c>
      <c r="J208" s="450">
        <v>0.3</v>
      </c>
      <c r="K208" s="505">
        <v>3119</v>
      </c>
      <c r="L208" s="451">
        <v>0.12</v>
      </c>
      <c r="M208" s="447">
        <v>0.42</v>
      </c>
      <c r="N208" s="504">
        <v>3469</v>
      </c>
      <c r="O208" s="452">
        <v>0.1</v>
      </c>
      <c r="P208" s="450">
        <v>0.52</v>
      </c>
    </row>
    <row r="209" spans="1:16" x14ac:dyDescent="0.25">
      <c r="A209" s="424" t="s">
        <v>3922</v>
      </c>
      <c r="B209" s="439" t="s">
        <v>3942</v>
      </c>
      <c r="C209" s="506">
        <v>3314.2557199999997</v>
      </c>
      <c r="D209" s="441">
        <v>0.25</v>
      </c>
      <c r="E209" s="502">
        <v>5809</v>
      </c>
      <c r="F209" s="446">
        <v>10</v>
      </c>
      <c r="G209" s="503">
        <v>0.18</v>
      </c>
      <c r="H209" s="504">
        <v>6599</v>
      </c>
      <c r="I209" s="449">
        <v>0.12</v>
      </c>
      <c r="J209" s="450">
        <v>0.3</v>
      </c>
      <c r="K209" s="505">
        <v>7499</v>
      </c>
      <c r="L209" s="451">
        <v>0.12</v>
      </c>
      <c r="M209" s="447">
        <v>0.42</v>
      </c>
      <c r="N209" s="504">
        <v>8329</v>
      </c>
      <c r="O209" s="452">
        <v>0.1</v>
      </c>
      <c r="P209" s="450">
        <v>0.52</v>
      </c>
    </row>
    <row r="210" spans="1:16" x14ac:dyDescent="0.25">
      <c r="A210" s="424" t="s">
        <v>3922</v>
      </c>
      <c r="B210" s="439" t="s">
        <v>3943</v>
      </c>
      <c r="C210" s="506">
        <v>5087.76</v>
      </c>
      <c r="D210" s="441">
        <v>0.25</v>
      </c>
      <c r="E210" s="502">
        <v>8929</v>
      </c>
      <c r="F210" s="446">
        <v>10</v>
      </c>
      <c r="G210" s="503">
        <v>0.18</v>
      </c>
      <c r="H210" s="504">
        <v>10149</v>
      </c>
      <c r="I210" s="449">
        <v>0.12</v>
      </c>
      <c r="J210" s="450">
        <v>0.3</v>
      </c>
      <c r="K210" s="505">
        <v>11529</v>
      </c>
      <c r="L210" s="451">
        <v>0.12</v>
      </c>
      <c r="M210" s="447">
        <v>0.42</v>
      </c>
      <c r="N210" s="504">
        <v>12809</v>
      </c>
      <c r="O210" s="452">
        <v>0.1</v>
      </c>
      <c r="P210" s="450">
        <v>0.52</v>
      </c>
    </row>
    <row r="211" spans="1:16" x14ac:dyDescent="0.25">
      <c r="A211" s="424" t="s">
        <v>3922</v>
      </c>
      <c r="B211" s="439" t="s">
        <v>3944</v>
      </c>
      <c r="C211" s="506">
        <v>9228.9600000000009</v>
      </c>
      <c r="D211" s="441">
        <v>0.25</v>
      </c>
      <c r="E211" s="502">
        <v>16189</v>
      </c>
      <c r="F211" s="446">
        <v>10</v>
      </c>
      <c r="G211" s="503">
        <v>0.18</v>
      </c>
      <c r="H211" s="504">
        <v>18399</v>
      </c>
      <c r="I211" s="449">
        <v>0.12</v>
      </c>
      <c r="J211" s="450">
        <v>0.3</v>
      </c>
      <c r="K211" s="505">
        <v>20909</v>
      </c>
      <c r="L211" s="451">
        <v>0.12</v>
      </c>
      <c r="M211" s="447">
        <v>0.42</v>
      </c>
      <c r="N211" s="504">
        <v>23229</v>
      </c>
      <c r="O211" s="452">
        <v>0.1</v>
      </c>
      <c r="P211" s="450">
        <v>0.52</v>
      </c>
    </row>
    <row r="212" spans="1:16" x14ac:dyDescent="0.25">
      <c r="A212" s="424" t="s">
        <v>3922</v>
      </c>
      <c r="B212" s="439" t="s">
        <v>3945</v>
      </c>
      <c r="C212" s="506">
        <v>7572.48</v>
      </c>
      <c r="D212" s="441">
        <v>0.25</v>
      </c>
      <c r="E212" s="502">
        <v>13289</v>
      </c>
      <c r="F212" s="446">
        <v>10</v>
      </c>
      <c r="G212" s="503">
        <v>0.18</v>
      </c>
      <c r="H212" s="504">
        <v>15099</v>
      </c>
      <c r="I212" s="449">
        <v>0.12</v>
      </c>
      <c r="J212" s="450">
        <v>0.3</v>
      </c>
      <c r="K212" s="505">
        <v>17159</v>
      </c>
      <c r="L212" s="451">
        <v>0.12</v>
      </c>
      <c r="M212" s="447">
        <v>0.42</v>
      </c>
      <c r="N212" s="504">
        <v>19069</v>
      </c>
      <c r="O212" s="452">
        <v>0.1</v>
      </c>
      <c r="P212" s="450">
        <v>0.52</v>
      </c>
    </row>
    <row r="213" spans="1:16" x14ac:dyDescent="0.25">
      <c r="A213" s="424" t="s">
        <v>3922</v>
      </c>
      <c r="B213" s="439" t="s">
        <v>3946</v>
      </c>
      <c r="C213" s="506">
        <v>15647.819999999998</v>
      </c>
      <c r="D213" s="441">
        <v>0.25</v>
      </c>
      <c r="E213" s="502">
        <v>27449</v>
      </c>
      <c r="F213" s="446">
        <v>10</v>
      </c>
      <c r="G213" s="503">
        <v>0.18</v>
      </c>
      <c r="H213" s="504">
        <v>31189</v>
      </c>
      <c r="I213" s="449">
        <v>0.12</v>
      </c>
      <c r="J213" s="450">
        <v>0.3</v>
      </c>
      <c r="K213" s="505">
        <v>35439</v>
      </c>
      <c r="L213" s="451">
        <v>0.12</v>
      </c>
      <c r="M213" s="447">
        <v>0.42</v>
      </c>
      <c r="N213" s="504">
        <v>39379</v>
      </c>
      <c r="O213" s="452">
        <v>0.1</v>
      </c>
      <c r="P213" s="450">
        <v>0.52</v>
      </c>
    </row>
    <row r="214" spans="1:16" x14ac:dyDescent="0.25">
      <c r="A214" s="424" t="s">
        <v>3922</v>
      </c>
      <c r="B214" s="439" t="s">
        <v>3947</v>
      </c>
      <c r="C214" s="506">
        <v>12571.6147704</v>
      </c>
      <c r="D214" s="441">
        <v>0.25</v>
      </c>
      <c r="E214" s="502">
        <v>22059</v>
      </c>
      <c r="F214" s="446">
        <v>10</v>
      </c>
      <c r="G214" s="503">
        <v>0.18</v>
      </c>
      <c r="H214" s="504">
        <v>25069</v>
      </c>
      <c r="I214" s="449">
        <v>0.12</v>
      </c>
      <c r="J214" s="450">
        <v>0.3</v>
      </c>
      <c r="K214" s="505">
        <v>28489</v>
      </c>
      <c r="L214" s="451">
        <v>0.12</v>
      </c>
      <c r="M214" s="447">
        <v>0.42</v>
      </c>
      <c r="N214" s="504">
        <v>31649</v>
      </c>
      <c r="O214" s="452">
        <v>0.1</v>
      </c>
      <c r="P214" s="450">
        <v>0.52</v>
      </c>
    </row>
    <row r="215" spans="1:16" x14ac:dyDescent="0.25">
      <c r="A215" s="424" t="s">
        <v>3922</v>
      </c>
      <c r="B215" s="439" t="s">
        <v>3948</v>
      </c>
      <c r="C215" s="506">
        <v>14480.7742296</v>
      </c>
      <c r="D215" s="441">
        <v>0.25</v>
      </c>
      <c r="E215" s="502">
        <v>25399</v>
      </c>
      <c r="F215" s="446">
        <v>10</v>
      </c>
      <c r="G215" s="503">
        <v>0.18</v>
      </c>
      <c r="H215" s="504">
        <v>28859</v>
      </c>
      <c r="I215" s="449">
        <v>0.12</v>
      </c>
      <c r="J215" s="450">
        <v>0.3</v>
      </c>
      <c r="K215" s="505">
        <v>32789</v>
      </c>
      <c r="L215" s="451">
        <v>0.12</v>
      </c>
      <c r="M215" s="447">
        <v>0.42</v>
      </c>
      <c r="N215" s="504">
        <v>36429</v>
      </c>
      <c r="O215" s="452">
        <v>0.1</v>
      </c>
      <c r="P215" s="450">
        <v>0.52</v>
      </c>
    </row>
    <row r="216" spans="1:16" x14ac:dyDescent="0.25">
      <c r="A216" s="424" t="s">
        <v>3922</v>
      </c>
      <c r="B216" s="439" t="s">
        <v>3949</v>
      </c>
      <c r="C216" s="506">
        <v>19812.7348776</v>
      </c>
      <c r="D216" s="441">
        <v>0.25</v>
      </c>
      <c r="E216" s="502">
        <v>34759</v>
      </c>
      <c r="F216" s="446">
        <v>10</v>
      </c>
      <c r="G216" s="503">
        <v>0.18</v>
      </c>
      <c r="H216" s="504">
        <v>39499</v>
      </c>
      <c r="I216" s="449">
        <v>0.12</v>
      </c>
      <c r="J216" s="450">
        <v>0.3</v>
      </c>
      <c r="K216" s="505">
        <v>44889</v>
      </c>
      <c r="L216" s="451">
        <v>0.12</v>
      </c>
      <c r="M216" s="447">
        <v>0.42</v>
      </c>
      <c r="N216" s="504">
        <v>49879</v>
      </c>
      <c r="O216" s="452">
        <v>0.1</v>
      </c>
      <c r="P216" s="450">
        <v>0.52</v>
      </c>
    </row>
    <row r="217" spans="1:16" x14ac:dyDescent="0.25">
      <c r="A217" s="424" t="s">
        <v>3922</v>
      </c>
      <c r="B217" s="439" t="s">
        <v>3950</v>
      </c>
      <c r="C217" s="506">
        <v>26836.2680544</v>
      </c>
      <c r="D217" s="441">
        <v>0.25</v>
      </c>
      <c r="E217" s="502">
        <v>47079</v>
      </c>
      <c r="F217" s="446">
        <v>10</v>
      </c>
      <c r="G217" s="503">
        <v>0.18</v>
      </c>
      <c r="H217" s="504">
        <v>53499</v>
      </c>
      <c r="I217" s="449">
        <v>0.12</v>
      </c>
      <c r="J217" s="450">
        <v>0.3</v>
      </c>
      <c r="K217" s="505">
        <v>60789</v>
      </c>
      <c r="L217" s="451">
        <v>0.12</v>
      </c>
      <c r="M217" s="447">
        <v>0.42</v>
      </c>
      <c r="N217" s="504">
        <v>67539</v>
      </c>
      <c r="O217" s="452">
        <v>0.1</v>
      </c>
      <c r="P217" s="450">
        <v>0.52</v>
      </c>
    </row>
    <row r="218" spans="1:16" x14ac:dyDescent="0.25">
      <c r="A218" s="424" t="s">
        <v>3922</v>
      </c>
      <c r="B218" s="439" t="s">
        <v>3951</v>
      </c>
      <c r="C218" s="506">
        <v>17585.605800000001</v>
      </c>
      <c r="D218" s="441">
        <v>0.25</v>
      </c>
      <c r="E218" s="502">
        <v>30849</v>
      </c>
      <c r="F218" s="446">
        <v>10</v>
      </c>
      <c r="G218" s="503">
        <v>0.18</v>
      </c>
      <c r="H218" s="504">
        <v>35059</v>
      </c>
      <c r="I218" s="449">
        <v>0.12</v>
      </c>
      <c r="J218" s="450">
        <v>0.3</v>
      </c>
      <c r="K218" s="505">
        <v>39839</v>
      </c>
      <c r="L218" s="451">
        <v>0.12</v>
      </c>
      <c r="M218" s="447">
        <v>0.42</v>
      </c>
      <c r="N218" s="504">
        <v>44269</v>
      </c>
      <c r="O218" s="452">
        <v>0.1</v>
      </c>
      <c r="P218" s="450">
        <v>0.52</v>
      </c>
    </row>
    <row r="219" spans="1:16" x14ac:dyDescent="0.25">
      <c r="A219" s="424" t="s">
        <v>3922</v>
      </c>
      <c r="B219" s="439" t="s">
        <v>3952</v>
      </c>
      <c r="C219" s="506">
        <v>20250.468000000001</v>
      </c>
      <c r="D219" s="441">
        <v>0.25</v>
      </c>
      <c r="E219" s="502">
        <v>35529</v>
      </c>
      <c r="F219" s="446">
        <v>10</v>
      </c>
      <c r="G219" s="503">
        <v>0.18</v>
      </c>
      <c r="H219" s="504">
        <v>40369</v>
      </c>
      <c r="I219" s="449">
        <v>0.12</v>
      </c>
      <c r="J219" s="450">
        <v>0.3</v>
      </c>
      <c r="K219" s="505">
        <v>45869</v>
      </c>
      <c r="L219" s="451">
        <v>0.12</v>
      </c>
      <c r="M219" s="447">
        <v>0.42</v>
      </c>
      <c r="N219" s="504">
        <v>50969</v>
      </c>
      <c r="O219" s="452">
        <v>0.1</v>
      </c>
      <c r="P219" s="450">
        <v>0.52</v>
      </c>
    </row>
    <row r="220" spans="1:16" x14ac:dyDescent="0.25">
      <c r="A220" s="424" t="s">
        <v>3922</v>
      </c>
      <c r="B220" s="439" t="s">
        <v>474</v>
      </c>
      <c r="C220" s="506">
        <v>728.97300000000007</v>
      </c>
      <c r="D220" s="441">
        <v>0.25</v>
      </c>
      <c r="E220" s="502">
        <v>1279</v>
      </c>
      <c r="F220" s="446">
        <v>10</v>
      </c>
      <c r="G220" s="503">
        <v>0.18</v>
      </c>
      <c r="H220" s="504">
        <v>1449</v>
      </c>
      <c r="I220" s="449">
        <v>0.12</v>
      </c>
      <c r="J220" s="450">
        <v>0.3</v>
      </c>
      <c r="K220" s="505">
        <v>1649</v>
      </c>
      <c r="L220" s="451">
        <v>0.12</v>
      </c>
      <c r="M220" s="447">
        <v>0.42</v>
      </c>
      <c r="N220" s="504">
        <v>1829</v>
      </c>
      <c r="O220" s="452">
        <v>0.1</v>
      </c>
      <c r="P220" s="450">
        <v>0.52</v>
      </c>
    </row>
    <row r="221" spans="1:16" x14ac:dyDescent="0.25">
      <c r="A221" s="424" t="s">
        <v>3922</v>
      </c>
      <c r="B221" s="439" t="s">
        <v>335</v>
      </c>
      <c r="C221" s="506">
        <v>948.27789000000007</v>
      </c>
      <c r="D221" s="441">
        <v>0.25</v>
      </c>
      <c r="E221" s="502">
        <v>1659</v>
      </c>
      <c r="F221" s="446">
        <v>10</v>
      </c>
      <c r="G221" s="503">
        <v>0.18</v>
      </c>
      <c r="H221" s="504">
        <v>1889</v>
      </c>
      <c r="I221" s="449">
        <v>0.12</v>
      </c>
      <c r="J221" s="450">
        <v>0.3</v>
      </c>
      <c r="K221" s="505">
        <v>2149</v>
      </c>
      <c r="L221" s="451">
        <v>0.12</v>
      </c>
      <c r="M221" s="447">
        <v>0.42</v>
      </c>
      <c r="N221" s="504">
        <v>2389</v>
      </c>
      <c r="O221" s="452">
        <v>0.1</v>
      </c>
      <c r="P221" s="450">
        <v>0.52</v>
      </c>
    </row>
    <row r="222" spans="1:16" x14ac:dyDescent="0.25">
      <c r="A222" s="424" t="s">
        <v>3922</v>
      </c>
      <c r="B222" s="439" t="s">
        <v>3953</v>
      </c>
      <c r="C222" s="506">
        <v>1124.4143319999998</v>
      </c>
      <c r="D222" s="441">
        <v>0.25</v>
      </c>
      <c r="E222" s="502">
        <v>1969</v>
      </c>
      <c r="F222" s="446">
        <v>10</v>
      </c>
      <c r="G222" s="503">
        <v>0.18</v>
      </c>
      <c r="H222" s="504">
        <v>2239</v>
      </c>
      <c r="I222" s="449">
        <v>0.12</v>
      </c>
      <c r="J222" s="450">
        <v>0.3</v>
      </c>
      <c r="K222" s="505">
        <v>2539</v>
      </c>
      <c r="L222" s="451">
        <v>0.12</v>
      </c>
      <c r="M222" s="447">
        <v>0.42</v>
      </c>
      <c r="N222" s="504">
        <v>2819</v>
      </c>
      <c r="O222" s="452">
        <v>0.1</v>
      </c>
      <c r="P222" s="450">
        <v>0.52</v>
      </c>
    </row>
    <row r="223" spans="1:16" x14ac:dyDescent="0.25">
      <c r="A223" s="424" t="s">
        <v>3922</v>
      </c>
      <c r="B223" s="439" t="s">
        <v>3954</v>
      </c>
      <c r="C223" s="506">
        <v>1386.278648</v>
      </c>
      <c r="D223" s="441">
        <v>0.25</v>
      </c>
      <c r="E223" s="502">
        <v>2429</v>
      </c>
      <c r="F223" s="446">
        <v>10</v>
      </c>
      <c r="G223" s="503">
        <v>0.18</v>
      </c>
      <c r="H223" s="504">
        <v>2759</v>
      </c>
      <c r="I223" s="449">
        <v>0.12</v>
      </c>
      <c r="J223" s="450">
        <v>0.3</v>
      </c>
      <c r="K223" s="505">
        <v>3139</v>
      </c>
      <c r="L223" s="451">
        <v>0.12</v>
      </c>
      <c r="M223" s="447">
        <v>0.42</v>
      </c>
      <c r="N223" s="504">
        <v>3489</v>
      </c>
      <c r="O223" s="452">
        <v>0.1</v>
      </c>
      <c r="P223" s="450">
        <v>0.52</v>
      </c>
    </row>
    <row r="224" spans="1:16" x14ac:dyDescent="0.25">
      <c r="A224" s="507" t="s">
        <v>3922</v>
      </c>
      <c r="B224" s="490" t="s">
        <v>3955</v>
      </c>
      <c r="C224" s="508">
        <v>1799.082048</v>
      </c>
      <c r="D224" s="492">
        <v>0.25</v>
      </c>
      <c r="E224" s="509">
        <v>3159</v>
      </c>
      <c r="F224" s="494">
        <v>10</v>
      </c>
      <c r="G224" s="510">
        <v>0.18</v>
      </c>
      <c r="H224" s="511">
        <v>3589</v>
      </c>
      <c r="I224" s="497">
        <v>0.12</v>
      </c>
      <c r="J224" s="498">
        <v>0.3</v>
      </c>
      <c r="K224" s="512">
        <v>4079</v>
      </c>
      <c r="L224" s="499">
        <v>0.12</v>
      </c>
      <c r="M224" s="495">
        <v>0.42</v>
      </c>
      <c r="N224" s="511">
        <v>4529</v>
      </c>
      <c r="O224" s="500">
        <v>0.1</v>
      </c>
      <c r="P224" s="498">
        <v>0.52</v>
      </c>
    </row>
    <row r="225" spans="1:16" x14ac:dyDescent="0.25">
      <c r="A225" s="424" t="s">
        <v>3956</v>
      </c>
      <c r="B225" s="439" t="s">
        <v>600</v>
      </c>
      <c r="C225" s="506">
        <v>1703.82366</v>
      </c>
      <c r="D225" s="441">
        <v>0.25</v>
      </c>
      <c r="E225" s="502">
        <v>2619</v>
      </c>
      <c r="F225" s="446">
        <v>10</v>
      </c>
      <c r="G225" s="503">
        <v>0.1</v>
      </c>
      <c r="H225" s="504">
        <v>2759</v>
      </c>
      <c r="I225" s="449">
        <v>0.05</v>
      </c>
      <c r="J225" s="450">
        <v>0.15000000000000002</v>
      </c>
      <c r="K225" s="505">
        <v>2899</v>
      </c>
      <c r="L225" s="451">
        <v>0.05</v>
      </c>
      <c r="M225" s="447">
        <v>0.2</v>
      </c>
      <c r="N225" s="504">
        <v>3049</v>
      </c>
      <c r="O225" s="452">
        <v>0.05</v>
      </c>
      <c r="P225" s="450">
        <v>0.25</v>
      </c>
    </row>
    <row r="226" spans="1:16" x14ac:dyDescent="0.25">
      <c r="A226" s="424" t="s">
        <v>3956</v>
      </c>
      <c r="B226" s="439" t="s">
        <v>669</v>
      </c>
      <c r="C226" s="506">
        <v>1409.3021249999999</v>
      </c>
      <c r="D226" s="441">
        <v>0.25</v>
      </c>
      <c r="E226" s="502">
        <v>2169</v>
      </c>
      <c r="F226" s="446">
        <v>10</v>
      </c>
      <c r="G226" s="503">
        <v>0.1</v>
      </c>
      <c r="H226" s="504">
        <v>2279</v>
      </c>
      <c r="I226" s="449">
        <v>0.05</v>
      </c>
      <c r="J226" s="450">
        <v>0.15000000000000002</v>
      </c>
      <c r="K226" s="505">
        <v>2399</v>
      </c>
      <c r="L226" s="451">
        <v>0.05</v>
      </c>
      <c r="M226" s="447">
        <v>0.2</v>
      </c>
      <c r="N226" s="504">
        <v>2529</v>
      </c>
      <c r="O226" s="452">
        <v>0.05</v>
      </c>
      <c r="P226" s="450">
        <v>0.25</v>
      </c>
    </row>
    <row r="227" spans="1:16" x14ac:dyDescent="0.25">
      <c r="A227" s="424" t="s">
        <v>3956</v>
      </c>
      <c r="B227" s="439" t="s">
        <v>3957</v>
      </c>
      <c r="C227" s="506">
        <v>2298.5943750000006</v>
      </c>
      <c r="D227" s="441">
        <v>0.25</v>
      </c>
      <c r="E227" s="502">
        <v>3539</v>
      </c>
      <c r="F227" s="446">
        <v>10</v>
      </c>
      <c r="G227" s="503">
        <v>0.1</v>
      </c>
      <c r="H227" s="504">
        <v>3729</v>
      </c>
      <c r="I227" s="449">
        <v>0.05</v>
      </c>
      <c r="J227" s="450">
        <v>0.15000000000000002</v>
      </c>
      <c r="K227" s="505">
        <v>3929</v>
      </c>
      <c r="L227" s="451">
        <v>0.05</v>
      </c>
      <c r="M227" s="447">
        <v>0.2</v>
      </c>
      <c r="N227" s="504">
        <v>4139</v>
      </c>
      <c r="O227" s="452">
        <v>0.05</v>
      </c>
      <c r="P227" s="450">
        <v>0.25</v>
      </c>
    </row>
    <row r="228" spans="1:16" x14ac:dyDescent="0.25">
      <c r="A228" s="424" t="s">
        <v>3956</v>
      </c>
      <c r="B228" s="439" t="s">
        <v>379</v>
      </c>
      <c r="C228" s="506">
        <v>1015.90335</v>
      </c>
      <c r="D228" s="441">
        <v>0.25</v>
      </c>
      <c r="E228" s="502">
        <v>1559</v>
      </c>
      <c r="F228" s="446">
        <v>10</v>
      </c>
      <c r="G228" s="503">
        <v>0.1</v>
      </c>
      <c r="H228" s="504">
        <v>1639</v>
      </c>
      <c r="I228" s="449">
        <v>0.05</v>
      </c>
      <c r="J228" s="450">
        <v>0.15000000000000002</v>
      </c>
      <c r="K228" s="505">
        <v>1729</v>
      </c>
      <c r="L228" s="451">
        <v>0.05</v>
      </c>
      <c r="M228" s="447">
        <v>0.2</v>
      </c>
      <c r="N228" s="504">
        <v>1819</v>
      </c>
      <c r="O228" s="452">
        <v>0.05</v>
      </c>
      <c r="P228" s="450">
        <v>0.25</v>
      </c>
    </row>
    <row r="229" spans="1:16" x14ac:dyDescent="0.25">
      <c r="A229" s="424" t="s">
        <v>3956</v>
      </c>
      <c r="B229" s="439" t="s">
        <v>3958</v>
      </c>
      <c r="C229" s="506">
        <v>669.98373749999996</v>
      </c>
      <c r="D229" s="441">
        <v>0.25</v>
      </c>
      <c r="E229" s="502">
        <v>1029</v>
      </c>
      <c r="F229" s="446">
        <v>10</v>
      </c>
      <c r="G229" s="503">
        <v>0.1</v>
      </c>
      <c r="H229" s="504">
        <v>1079</v>
      </c>
      <c r="I229" s="449">
        <v>0.05</v>
      </c>
      <c r="J229" s="450">
        <v>0.15000000000000002</v>
      </c>
      <c r="K229" s="505">
        <v>1139</v>
      </c>
      <c r="L229" s="451">
        <v>0.05</v>
      </c>
      <c r="M229" s="447">
        <v>0.2</v>
      </c>
      <c r="N229" s="504">
        <v>1199</v>
      </c>
      <c r="O229" s="452">
        <v>0.05</v>
      </c>
      <c r="P229" s="450">
        <v>0.25</v>
      </c>
    </row>
    <row r="230" spans="1:16" x14ac:dyDescent="0.25">
      <c r="A230" s="424" t="s">
        <v>3956</v>
      </c>
      <c r="B230" s="439" t="s">
        <v>398</v>
      </c>
      <c r="C230" s="506">
        <v>1600.72605</v>
      </c>
      <c r="D230" s="441">
        <v>0.25</v>
      </c>
      <c r="E230" s="502">
        <v>2459</v>
      </c>
      <c r="F230" s="446">
        <v>10</v>
      </c>
      <c r="G230" s="503">
        <v>0.1</v>
      </c>
      <c r="H230" s="504">
        <v>2589</v>
      </c>
      <c r="I230" s="449">
        <v>0.05</v>
      </c>
      <c r="J230" s="450">
        <v>0.15000000000000002</v>
      </c>
      <c r="K230" s="505">
        <v>2729</v>
      </c>
      <c r="L230" s="451">
        <v>0.05</v>
      </c>
      <c r="M230" s="447">
        <v>0.2</v>
      </c>
      <c r="N230" s="504">
        <v>2869</v>
      </c>
      <c r="O230" s="452">
        <v>0.05</v>
      </c>
      <c r="P230" s="450">
        <v>0.25</v>
      </c>
    </row>
    <row r="231" spans="1:16" x14ac:dyDescent="0.25">
      <c r="A231" s="424" t="s">
        <v>3956</v>
      </c>
      <c r="B231" s="439" t="s">
        <v>3959</v>
      </c>
      <c r="C231" s="506">
        <v>164.29297500000001</v>
      </c>
      <c r="D231" s="441">
        <v>0.25</v>
      </c>
      <c r="E231" s="502">
        <v>249</v>
      </c>
      <c r="F231" s="446">
        <v>10</v>
      </c>
      <c r="G231" s="503">
        <v>0.1</v>
      </c>
      <c r="H231" s="504">
        <v>259</v>
      </c>
      <c r="I231" s="449">
        <v>0.05</v>
      </c>
      <c r="J231" s="450">
        <v>0.15000000000000002</v>
      </c>
      <c r="K231" s="505">
        <v>269</v>
      </c>
      <c r="L231" s="451">
        <v>0.05</v>
      </c>
      <c r="M231" s="447">
        <v>0.2</v>
      </c>
      <c r="N231" s="504">
        <v>279</v>
      </c>
      <c r="O231" s="452">
        <v>0.05</v>
      </c>
      <c r="P231" s="450">
        <v>0.25</v>
      </c>
    </row>
    <row r="232" spans="1:16" x14ac:dyDescent="0.25">
      <c r="A232" s="424" t="s">
        <v>3956</v>
      </c>
      <c r="B232" s="439" t="s">
        <v>3960</v>
      </c>
      <c r="C232" s="506">
        <v>21.101849999999999</v>
      </c>
      <c r="D232" s="441">
        <v>0.25</v>
      </c>
      <c r="E232" s="502">
        <v>29</v>
      </c>
      <c r="F232" s="446">
        <v>10</v>
      </c>
      <c r="G232" s="503">
        <v>0.1</v>
      </c>
      <c r="H232" s="504">
        <v>29</v>
      </c>
      <c r="I232" s="449">
        <v>0.05</v>
      </c>
      <c r="J232" s="450">
        <v>0.15000000000000002</v>
      </c>
      <c r="K232" s="505">
        <v>29</v>
      </c>
      <c r="L232" s="451">
        <v>0.05</v>
      </c>
      <c r="M232" s="447">
        <v>0.2</v>
      </c>
      <c r="N232" s="504">
        <v>29</v>
      </c>
      <c r="O232" s="452">
        <v>0.05</v>
      </c>
      <c r="P232" s="450">
        <v>0.25</v>
      </c>
    </row>
    <row r="233" spans="1:16" x14ac:dyDescent="0.25">
      <c r="A233" s="424" t="s">
        <v>3956</v>
      </c>
      <c r="B233" s="439" t="s">
        <v>3961</v>
      </c>
      <c r="C233" s="506">
        <v>38.435512500000002</v>
      </c>
      <c r="D233" s="441">
        <v>0.25</v>
      </c>
      <c r="E233" s="502">
        <v>59</v>
      </c>
      <c r="F233" s="446">
        <v>10</v>
      </c>
      <c r="G233" s="503">
        <v>0.1</v>
      </c>
      <c r="H233" s="504">
        <v>59</v>
      </c>
      <c r="I233" s="449">
        <v>0.05</v>
      </c>
      <c r="J233" s="450">
        <v>0.15000000000000002</v>
      </c>
      <c r="K233" s="505">
        <v>59</v>
      </c>
      <c r="L233" s="451">
        <v>0.05</v>
      </c>
      <c r="M233" s="447">
        <v>0.2</v>
      </c>
      <c r="N233" s="504">
        <v>59</v>
      </c>
      <c r="O233" s="452">
        <v>0.05</v>
      </c>
      <c r="P233" s="450">
        <v>0.25</v>
      </c>
    </row>
    <row r="234" spans="1:16" x14ac:dyDescent="0.25">
      <c r="A234" s="424" t="s">
        <v>3956</v>
      </c>
      <c r="B234" s="439" t="s">
        <v>3962</v>
      </c>
      <c r="C234" s="506">
        <v>81.392849999999996</v>
      </c>
      <c r="D234" s="441">
        <v>0.25</v>
      </c>
      <c r="E234" s="502">
        <v>129</v>
      </c>
      <c r="F234" s="446">
        <v>10</v>
      </c>
      <c r="G234" s="503">
        <v>0.1</v>
      </c>
      <c r="H234" s="504">
        <v>139</v>
      </c>
      <c r="I234" s="449">
        <v>0.05</v>
      </c>
      <c r="J234" s="450">
        <v>0.15000000000000002</v>
      </c>
      <c r="K234" s="505">
        <v>149</v>
      </c>
      <c r="L234" s="451">
        <v>0.05</v>
      </c>
      <c r="M234" s="447">
        <v>0.2</v>
      </c>
      <c r="N234" s="504">
        <v>159</v>
      </c>
      <c r="O234" s="452">
        <v>0.05</v>
      </c>
      <c r="P234" s="450">
        <v>0.25</v>
      </c>
    </row>
    <row r="235" spans="1:16" x14ac:dyDescent="0.25">
      <c r="A235" s="424" t="s">
        <v>3956</v>
      </c>
      <c r="B235" s="439" t="s">
        <v>3963</v>
      </c>
      <c r="C235" s="506">
        <v>156.75660000000002</v>
      </c>
      <c r="D235" s="441">
        <v>0.25</v>
      </c>
      <c r="E235" s="502">
        <v>239</v>
      </c>
      <c r="F235" s="446">
        <v>10</v>
      </c>
      <c r="G235" s="503">
        <v>0.1</v>
      </c>
      <c r="H235" s="504">
        <v>249</v>
      </c>
      <c r="I235" s="449">
        <v>0.05</v>
      </c>
      <c r="J235" s="450">
        <v>0.15000000000000002</v>
      </c>
      <c r="K235" s="505">
        <v>259</v>
      </c>
      <c r="L235" s="451">
        <v>0.05</v>
      </c>
      <c r="M235" s="447">
        <v>0.2</v>
      </c>
      <c r="N235" s="504">
        <v>269</v>
      </c>
      <c r="O235" s="452">
        <v>0.05</v>
      </c>
      <c r="P235" s="450">
        <v>0.25</v>
      </c>
    </row>
    <row r="236" spans="1:16" x14ac:dyDescent="0.25">
      <c r="A236" s="424" t="s">
        <v>3956</v>
      </c>
      <c r="B236" s="439" t="s">
        <v>3964</v>
      </c>
      <c r="C236" s="506">
        <v>3887.9925000000003</v>
      </c>
      <c r="D236" s="441">
        <v>0.25</v>
      </c>
      <c r="E236" s="502">
        <v>5979</v>
      </c>
      <c r="F236" s="446">
        <v>10</v>
      </c>
      <c r="G236" s="503">
        <v>0.1</v>
      </c>
      <c r="H236" s="504">
        <v>6289</v>
      </c>
      <c r="I236" s="449">
        <v>0.05</v>
      </c>
      <c r="J236" s="450">
        <v>0.15000000000000002</v>
      </c>
      <c r="K236" s="505">
        <v>6619</v>
      </c>
      <c r="L236" s="451">
        <v>0.05</v>
      </c>
      <c r="M236" s="447">
        <v>0.2</v>
      </c>
      <c r="N236" s="504">
        <v>6969</v>
      </c>
      <c r="O236" s="452">
        <v>0.05</v>
      </c>
      <c r="P236" s="450">
        <v>0.25</v>
      </c>
    </row>
    <row r="237" spans="1:16" x14ac:dyDescent="0.25">
      <c r="A237" s="424" t="s">
        <v>3956</v>
      </c>
      <c r="B237" s="439" t="s">
        <v>3965</v>
      </c>
      <c r="C237" s="506">
        <v>1781.9</v>
      </c>
      <c r="D237" s="441">
        <v>0.25</v>
      </c>
      <c r="E237" s="502">
        <v>2739</v>
      </c>
      <c r="F237" s="446">
        <v>10</v>
      </c>
      <c r="G237" s="503">
        <v>0.1</v>
      </c>
      <c r="H237" s="504">
        <v>2879</v>
      </c>
      <c r="I237" s="449">
        <v>0.05</v>
      </c>
      <c r="J237" s="450">
        <v>0.15000000000000002</v>
      </c>
      <c r="K237" s="505">
        <v>3029</v>
      </c>
      <c r="L237" s="451">
        <v>0.05</v>
      </c>
      <c r="M237" s="447">
        <v>0.2</v>
      </c>
      <c r="N237" s="504">
        <v>3189</v>
      </c>
      <c r="O237" s="452">
        <v>0.05</v>
      </c>
      <c r="P237" s="450">
        <v>0.25</v>
      </c>
    </row>
    <row r="238" spans="1:16" x14ac:dyDescent="0.25">
      <c r="A238" s="424" t="s">
        <v>3956</v>
      </c>
      <c r="B238" s="439" t="s">
        <v>414</v>
      </c>
      <c r="C238" s="506">
        <v>1575.9</v>
      </c>
      <c r="D238" s="441">
        <v>0.25</v>
      </c>
      <c r="E238" s="502">
        <v>2419</v>
      </c>
      <c r="F238" s="446">
        <v>10</v>
      </c>
      <c r="G238" s="503">
        <v>0.1</v>
      </c>
      <c r="H238" s="504">
        <v>2549</v>
      </c>
      <c r="I238" s="449">
        <v>0.05</v>
      </c>
      <c r="J238" s="450">
        <v>0.15000000000000002</v>
      </c>
      <c r="K238" s="505">
        <v>2679</v>
      </c>
      <c r="L238" s="451">
        <v>0.05</v>
      </c>
      <c r="M238" s="447">
        <v>0.2</v>
      </c>
      <c r="N238" s="504">
        <v>2819</v>
      </c>
      <c r="O238" s="452">
        <v>0.05</v>
      </c>
      <c r="P238" s="450">
        <v>0.25</v>
      </c>
    </row>
    <row r="239" spans="1:16" x14ac:dyDescent="0.25">
      <c r="A239" s="424" t="s">
        <v>3956</v>
      </c>
      <c r="B239" s="439" t="s">
        <v>3966</v>
      </c>
      <c r="C239" s="506">
        <v>2269.09</v>
      </c>
      <c r="D239" s="441">
        <v>0.25</v>
      </c>
      <c r="E239" s="502">
        <v>3489</v>
      </c>
      <c r="F239" s="446">
        <v>10</v>
      </c>
      <c r="G239" s="503">
        <v>0.1</v>
      </c>
      <c r="H239" s="504">
        <v>3669</v>
      </c>
      <c r="I239" s="449">
        <v>0.05</v>
      </c>
      <c r="J239" s="450">
        <v>0.15000000000000002</v>
      </c>
      <c r="K239" s="505">
        <v>3859</v>
      </c>
      <c r="L239" s="451">
        <v>0.05</v>
      </c>
      <c r="M239" s="447">
        <v>0.2</v>
      </c>
      <c r="N239" s="504">
        <v>4059</v>
      </c>
      <c r="O239" s="452">
        <v>0.05</v>
      </c>
      <c r="P239" s="450">
        <v>0.25</v>
      </c>
    </row>
    <row r="240" spans="1:16" x14ac:dyDescent="0.25">
      <c r="A240" s="424" t="s">
        <v>3956</v>
      </c>
      <c r="B240" s="439" t="s">
        <v>3967</v>
      </c>
      <c r="C240" s="506">
        <v>2063.7183</v>
      </c>
      <c r="D240" s="441">
        <v>0.25</v>
      </c>
      <c r="E240" s="502">
        <v>3169</v>
      </c>
      <c r="F240" s="446">
        <v>10</v>
      </c>
      <c r="G240" s="503">
        <v>0.1</v>
      </c>
      <c r="H240" s="504">
        <v>3339</v>
      </c>
      <c r="I240" s="449">
        <v>0.05</v>
      </c>
      <c r="J240" s="450">
        <v>0.15000000000000002</v>
      </c>
      <c r="K240" s="505">
        <v>3509</v>
      </c>
      <c r="L240" s="451">
        <v>0.05</v>
      </c>
      <c r="M240" s="447">
        <v>0.2</v>
      </c>
      <c r="N240" s="504">
        <v>3689</v>
      </c>
      <c r="O240" s="452">
        <v>0.05</v>
      </c>
      <c r="P240" s="450">
        <v>0.25</v>
      </c>
    </row>
    <row r="241" spans="1:16" x14ac:dyDescent="0.25">
      <c r="A241" s="424" t="s">
        <v>3956</v>
      </c>
      <c r="B241" s="439" t="s">
        <v>336</v>
      </c>
      <c r="C241" s="506">
        <v>1218</v>
      </c>
      <c r="D241" s="441">
        <v>0.25</v>
      </c>
      <c r="E241" s="502">
        <v>1869</v>
      </c>
      <c r="F241" s="446">
        <v>10</v>
      </c>
      <c r="G241" s="503">
        <v>0.1</v>
      </c>
      <c r="H241" s="504">
        <v>1969</v>
      </c>
      <c r="I241" s="449">
        <v>0.05</v>
      </c>
      <c r="J241" s="450">
        <v>0.15000000000000002</v>
      </c>
      <c r="K241" s="505">
        <v>2069</v>
      </c>
      <c r="L241" s="451">
        <v>0.05</v>
      </c>
      <c r="M241" s="447">
        <v>0.2</v>
      </c>
      <c r="N241" s="504">
        <v>2179</v>
      </c>
      <c r="O241" s="452">
        <v>0.05</v>
      </c>
      <c r="P241" s="450">
        <v>0.25</v>
      </c>
    </row>
    <row r="242" spans="1:16" x14ac:dyDescent="0.25">
      <c r="A242" s="424" t="s">
        <v>3956</v>
      </c>
      <c r="B242" s="439" t="s">
        <v>3968</v>
      </c>
      <c r="C242" s="506">
        <v>1132.74</v>
      </c>
      <c r="D242" s="441">
        <v>0.25</v>
      </c>
      <c r="E242" s="502">
        <v>1739</v>
      </c>
      <c r="F242" s="446">
        <v>10</v>
      </c>
      <c r="G242" s="503">
        <v>0.1</v>
      </c>
      <c r="H242" s="504">
        <v>1829</v>
      </c>
      <c r="I242" s="449">
        <v>0.05</v>
      </c>
      <c r="J242" s="450">
        <v>0.15000000000000002</v>
      </c>
      <c r="K242" s="505">
        <v>1929</v>
      </c>
      <c r="L242" s="451">
        <v>0.05</v>
      </c>
      <c r="M242" s="447">
        <v>0.2</v>
      </c>
      <c r="N242" s="504">
        <v>2029</v>
      </c>
      <c r="O242" s="452">
        <v>0.05</v>
      </c>
      <c r="P242" s="450">
        <v>0.25</v>
      </c>
    </row>
    <row r="243" spans="1:16" x14ac:dyDescent="0.25">
      <c r="A243" s="424" t="s">
        <v>3956</v>
      </c>
      <c r="B243" s="439" t="s">
        <v>3969</v>
      </c>
      <c r="C243" s="506">
        <v>1096.2</v>
      </c>
      <c r="D243" s="441">
        <v>0.25</v>
      </c>
      <c r="E243" s="502">
        <v>1689</v>
      </c>
      <c r="F243" s="446">
        <v>10</v>
      </c>
      <c r="G243" s="503">
        <v>0.1</v>
      </c>
      <c r="H243" s="504">
        <v>1779</v>
      </c>
      <c r="I243" s="449">
        <v>0.05</v>
      </c>
      <c r="J243" s="450">
        <v>0.15000000000000002</v>
      </c>
      <c r="K243" s="505">
        <v>1869</v>
      </c>
      <c r="L243" s="451">
        <v>0.05</v>
      </c>
      <c r="M243" s="447">
        <v>0.2</v>
      </c>
      <c r="N243" s="504">
        <v>1969</v>
      </c>
      <c r="O243" s="452">
        <v>0.05</v>
      </c>
      <c r="P243" s="450">
        <v>0.25</v>
      </c>
    </row>
    <row r="244" spans="1:16" x14ac:dyDescent="0.25">
      <c r="A244" s="424" t="s">
        <v>3956</v>
      </c>
      <c r="B244" s="439" t="s">
        <v>3970</v>
      </c>
      <c r="C244" s="506">
        <v>1472.9</v>
      </c>
      <c r="D244" s="441">
        <v>0.25</v>
      </c>
      <c r="E244" s="502">
        <v>2269</v>
      </c>
      <c r="F244" s="446">
        <v>10</v>
      </c>
      <c r="G244" s="503">
        <v>0.1</v>
      </c>
      <c r="H244" s="504">
        <v>2389</v>
      </c>
      <c r="I244" s="449">
        <v>0.05</v>
      </c>
      <c r="J244" s="450">
        <v>0.15000000000000002</v>
      </c>
      <c r="K244" s="505">
        <v>2509</v>
      </c>
      <c r="L244" s="451">
        <v>0.05</v>
      </c>
      <c r="M244" s="447">
        <v>0.2</v>
      </c>
      <c r="N244" s="504">
        <v>2639</v>
      </c>
      <c r="O244" s="452">
        <v>0.05</v>
      </c>
      <c r="P244" s="450">
        <v>0.25</v>
      </c>
    </row>
    <row r="245" spans="1:16" x14ac:dyDescent="0.25">
      <c r="A245" s="424" t="s">
        <v>3956</v>
      </c>
      <c r="B245" s="439" t="s">
        <v>3971</v>
      </c>
      <c r="C245" s="506">
        <v>1369.9</v>
      </c>
      <c r="D245" s="441">
        <v>0.25</v>
      </c>
      <c r="E245" s="502">
        <v>2109</v>
      </c>
      <c r="F245" s="446">
        <v>10</v>
      </c>
      <c r="G245" s="503">
        <v>0.1</v>
      </c>
      <c r="H245" s="504">
        <v>2219</v>
      </c>
      <c r="I245" s="449">
        <v>0.05</v>
      </c>
      <c r="J245" s="450">
        <v>0.15000000000000002</v>
      </c>
      <c r="K245" s="505">
        <v>2339</v>
      </c>
      <c r="L245" s="451">
        <v>0.05</v>
      </c>
      <c r="M245" s="447">
        <v>0.2</v>
      </c>
      <c r="N245" s="504">
        <v>2459</v>
      </c>
      <c r="O245" s="452">
        <v>0.05</v>
      </c>
      <c r="P245" s="450">
        <v>0.25</v>
      </c>
    </row>
    <row r="246" spans="1:16" x14ac:dyDescent="0.25">
      <c r="A246" s="507" t="s">
        <v>3956</v>
      </c>
      <c r="B246" s="490" t="s">
        <v>3972</v>
      </c>
      <c r="C246" s="508">
        <v>3203.3</v>
      </c>
      <c r="D246" s="492">
        <v>0.25</v>
      </c>
      <c r="E246" s="509">
        <v>4929</v>
      </c>
      <c r="F246" s="494">
        <v>10</v>
      </c>
      <c r="G246" s="510">
        <v>0.1</v>
      </c>
      <c r="H246" s="511">
        <v>5189</v>
      </c>
      <c r="I246" s="497">
        <v>0.05</v>
      </c>
      <c r="J246" s="498">
        <v>0.15000000000000002</v>
      </c>
      <c r="K246" s="512">
        <v>5459</v>
      </c>
      <c r="L246" s="499">
        <v>0.05</v>
      </c>
      <c r="M246" s="495">
        <v>0.2</v>
      </c>
      <c r="N246" s="511">
        <v>5749</v>
      </c>
      <c r="O246" s="500">
        <v>0.05</v>
      </c>
      <c r="P246" s="498">
        <v>0.25</v>
      </c>
    </row>
    <row r="247" spans="1:16" x14ac:dyDescent="0.25">
      <c r="A247" s="424" t="s">
        <v>3973</v>
      </c>
      <c r="B247" s="439" t="s">
        <v>3974</v>
      </c>
      <c r="C247" s="506">
        <v>2199.5500000000002</v>
      </c>
      <c r="D247" s="441">
        <v>0.25</v>
      </c>
      <c r="E247" s="502">
        <v>3669</v>
      </c>
      <c r="F247" s="446">
        <v>10</v>
      </c>
      <c r="G247" s="503">
        <v>0.15000000000000002</v>
      </c>
      <c r="H247" s="504">
        <v>3859</v>
      </c>
      <c r="I247" s="449">
        <v>0.05</v>
      </c>
      <c r="J247" s="450">
        <v>0.2</v>
      </c>
      <c r="K247" s="505">
        <v>4059</v>
      </c>
      <c r="L247" s="451">
        <v>0.05</v>
      </c>
      <c r="M247" s="447">
        <v>0.25</v>
      </c>
      <c r="N247" s="504">
        <v>4269</v>
      </c>
      <c r="O247" s="452">
        <v>0.05</v>
      </c>
      <c r="P247" s="450">
        <v>0.3</v>
      </c>
    </row>
    <row r="248" spans="1:16" x14ac:dyDescent="0.25">
      <c r="A248" s="424" t="s">
        <v>3973</v>
      </c>
      <c r="B248" s="439" t="s">
        <v>3975</v>
      </c>
      <c r="C248" s="506">
        <v>1582.8189702348791</v>
      </c>
      <c r="D248" s="441">
        <v>0.25</v>
      </c>
      <c r="E248" s="502">
        <v>2639</v>
      </c>
      <c r="F248" s="446">
        <v>10</v>
      </c>
      <c r="G248" s="503">
        <v>0.15000000000000002</v>
      </c>
      <c r="H248" s="504">
        <v>2779</v>
      </c>
      <c r="I248" s="449">
        <v>0.05</v>
      </c>
      <c r="J248" s="450">
        <v>0.2</v>
      </c>
      <c r="K248" s="505">
        <v>2929</v>
      </c>
      <c r="L248" s="451">
        <v>0.05</v>
      </c>
      <c r="M248" s="447">
        <v>0.25</v>
      </c>
      <c r="N248" s="504">
        <v>3079</v>
      </c>
      <c r="O248" s="452">
        <v>0.05</v>
      </c>
      <c r="P248" s="450">
        <v>0.3</v>
      </c>
    </row>
    <row r="249" spans="1:16" x14ac:dyDescent="0.25">
      <c r="A249" s="424" t="s">
        <v>3973</v>
      </c>
      <c r="B249" s="439" t="s">
        <v>641</v>
      </c>
      <c r="C249" s="506">
        <v>1565.7075278173654</v>
      </c>
      <c r="D249" s="441">
        <v>0.25</v>
      </c>
      <c r="E249" s="502">
        <v>3129</v>
      </c>
      <c r="F249" s="446">
        <v>10</v>
      </c>
      <c r="G249" s="503">
        <v>0.25</v>
      </c>
      <c r="H249" s="504">
        <v>3289</v>
      </c>
      <c r="I249" s="449">
        <v>0.05</v>
      </c>
      <c r="J249" s="450">
        <v>0.3</v>
      </c>
      <c r="K249" s="505">
        <v>3459</v>
      </c>
      <c r="L249" s="451">
        <v>0.05</v>
      </c>
      <c r="M249" s="447">
        <v>0.35</v>
      </c>
      <c r="N249" s="504">
        <v>3639</v>
      </c>
      <c r="O249" s="452">
        <v>0.05</v>
      </c>
      <c r="P249" s="450">
        <v>0.39999999999999997</v>
      </c>
    </row>
    <row r="250" spans="1:16" x14ac:dyDescent="0.25">
      <c r="A250" s="424" t="s">
        <v>3973</v>
      </c>
      <c r="B250" s="439" t="s">
        <v>665</v>
      </c>
      <c r="C250" s="506">
        <v>1561.2515355741414</v>
      </c>
      <c r="D250" s="441">
        <v>0.25</v>
      </c>
      <c r="E250" s="502">
        <v>3469</v>
      </c>
      <c r="F250" s="446">
        <v>10</v>
      </c>
      <c r="G250" s="503">
        <v>0.3</v>
      </c>
      <c r="H250" s="504">
        <v>3649</v>
      </c>
      <c r="I250" s="449">
        <v>0.05</v>
      </c>
      <c r="J250" s="450">
        <v>0.35</v>
      </c>
      <c r="K250" s="505">
        <v>3839</v>
      </c>
      <c r="L250" s="451">
        <v>0.05</v>
      </c>
      <c r="M250" s="447">
        <v>0.39999999999999997</v>
      </c>
      <c r="N250" s="504">
        <v>4039</v>
      </c>
      <c r="O250" s="452">
        <v>0.05</v>
      </c>
      <c r="P250" s="450">
        <v>0.44999999999999996</v>
      </c>
    </row>
    <row r="251" spans="1:16" x14ac:dyDescent="0.25">
      <c r="A251" s="507" t="s">
        <v>3973</v>
      </c>
      <c r="B251" s="490" t="s">
        <v>254</v>
      </c>
      <c r="C251" s="508">
        <v>1982.53</v>
      </c>
      <c r="D251" s="492">
        <v>0.25</v>
      </c>
      <c r="E251" s="509">
        <v>3049</v>
      </c>
      <c r="F251" s="494">
        <v>10</v>
      </c>
      <c r="G251" s="510">
        <v>0.1</v>
      </c>
      <c r="H251" s="511">
        <v>3209</v>
      </c>
      <c r="I251" s="497">
        <v>0.05</v>
      </c>
      <c r="J251" s="498">
        <v>0.15000000000000002</v>
      </c>
      <c r="K251" s="512">
        <v>3489</v>
      </c>
      <c r="L251" s="499">
        <v>0.08</v>
      </c>
      <c r="M251" s="495">
        <v>0.23000000000000004</v>
      </c>
      <c r="N251" s="511">
        <v>3749</v>
      </c>
      <c r="O251" s="500">
        <v>7.0000000000000007E-2</v>
      </c>
      <c r="P251" s="498">
        <v>0.30000000000000004</v>
      </c>
    </row>
    <row r="252" spans="1:16" x14ac:dyDescent="0.25">
      <c r="A252" s="424" t="s">
        <v>3976</v>
      </c>
      <c r="B252" s="439" t="s">
        <v>100</v>
      </c>
      <c r="C252" s="506">
        <v>13967.424999999999</v>
      </c>
      <c r="D252" s="441">
        <v>0.25</v>
      </c>
      <c r="E252" s="502">
        <v>18619</v>
      </c>
      <c r="F252" s="446">
        <v>10</v>
      </c>
      <c r="G252" s="503">
        <v>0</v>
      </c>
      <c r="H252" s="504">
        <v>19599</v>
      </c>
      <c r="I252" s="449">
        <v>0.05</v>
      </c>
      <c r="J252" s="450">
        <v>0.05</v>
      </c>
      <c r="K252" s="505">
        <v>20629</v>
      </c>
      <c r="L252" s="451">
        <v>0.05</v>
      </c>
      <c r="M252" s="447">
        <v>0.1</v>
      </c>
      <c r="N252" s="504">
        <v>21709</v>
      </c>
      <c r="O252" s="452">
        <v>0.05</v>
      </c>
      <c r="P252" s="450">
        <v>0.15000000000000002</v>
      </c>
    </row>
    <row r="253" spans="1:16" x14ac:dyDescent="0.25">
      <c r="A253" s="424" t="s">
        <v>3976</v>
      </c>
      <c r="B253" s="439" t="s">
        <v>101</v>
      </c>
      <c r="C253" s="506">
        <v>16471.150000000001</v>
      </c>
      <c r="D253" s="441">
        <v>0.25</v>
      </c>
      <c r="E253" s="502">
        <v>21959</v>
      </c>
      <c r="F253" s="446">
        <v>10</v>
      </c>
      <c r="G253" s="503">
        <v>0</v>
      </c>
      <c r="H253" s="504">
        <v>23109</v>
      </c>
      <c r="I253" s="449">
        <v>0.05</v>
      </c>
      <c r="J253" s="450">
        <v>0.05</v>
      </c>
      <c r="K253" s="505">
        <v>24329</v>
      </c>
      <c r="L253" s="451">
        <v>0.05</v>
      </c>
      <c r="M253" s="447">
        <v>0.1</v>
      </c>
      <c r="N253" s="504">
        <v>25609</v>
      </c>
      <c r="O253" s="452">
        <v>0.05</v>
      </c>
      <c r="P253" s="450">
        <v>0.15000000000000002</v>
      </c>
    </row>
    <row r="254" spans="1:16" x14ac:dyDescent="0.25">
      <c r="A254" s="424" t="s">
        <v>3976</v>
      </c>
      <c r="B254" s="439" t="s">
        <v>3977</v>
      </c>
      <c r="C254" s="506">
        <v>11141.567999999999</v>
      </c>
      <c r="D254" s="441">
        <v>0.25</v>
      </c>
      <c r="E254" s="502">
        <v>14859</v>
      </c>
      <c r="F254" s="446">
        <v>10</v>
      </c>
      <c r="G254" s="503">
        <v>0</v>
      </c>
      <c r="H254" s="504">
        <v>15639</v>
      </c>
      <c r="I254" s="449">
        <v>0.05</v>
      </c>
      <c r="J254" s="450">
        <v>0.05</v>
      </c>
      <c r="K254" s="505">
        <v>16459</v>
      </c>
      <c r="L254" s="451">
        <v>0.05</v>
      </c>
      <c r="M254" s="447">
        <v>0.1</v>
      </c>
      <c r="N254" s="504">
        <v>17329</v>
      </c>
      <c r="O254" s="452">
        <v>0.05</v>
      </c>
      <c r="P254" s="450">
        <v>0.15000000000000002</v>
      </c>
    </row>
    <row r="255" spans="1:16" x14ac:dyDescent="0.25">
      <c r="A255" s="424" t="s">
        <v>3976</v>
      </c>
      <c r="B255" s="439" t="s">
        <v>3978</v>
      </c>
      <c r="C255" s="506">
        <v>13967.43</v>
      </c>
      <c r="D255" s="441">
        <v>0.25</v>
      </c>
      <c r="E255" s="502">
        <v>18619</v>
      </c>
      <c r="F255" s="446">
        <v>10</v>
      </c>
      <c r="G255" s="503">
        <v>0</v>
      </c>
      <c r="H255" s="504">
        <v>19599</v>
      </c>
      <c r="I255" s="449">
        <v>0.05</v>
      </c>
      <c r="J255" s="450">
        <v>0.05</v>
      </c>
      <c r="K255" s="505">
        <v>20629</v>
      </c>
      <c r="L255" s="451">
        <v>0.05</v>
      </c>
      <c r="M255" s="447">
        <v>0.1</v>
      </c>
      <c r="N255" s="504">
        <v>21709</v>
      </c>
      <c r="O255" s="452">
        <v>0.05</v>
      </c>
      <c r="P255" s="450">
        <v>0.15000000000000002</v>
      </c>
    </row>
    <row r="256" spans="1:16" x14ac:dyDescent="0.25">
      <c r="A256" s="424" t="s">
        <v>3976</v>
      </c>
      <c r="B256" s="439" t="s">
        <v>3979</v>
      </c>
      <c r="C256" s="506">
        <v>17569.232399999997</v>
      </c>
      <c r="D256" s="441">
        <v>0.25</v>
      </c>
      <c r="E256" s="502">
        <v>23429</v>
      </c>
      <c r="F256" s="446">
        <v>10</v>
      </c>
      <c r="G256" s="503">
        <v>0</v>
      </c>
      <c r="H256" s="504">
        <v>24659</v>
      </c>
      <c r="I256" s="449">
        <v>0.05</v>
      </c>
      <c r="J256" s="450">
        <v>0.05</v>
      </c>
      <c r="K256" s="505">
        <v>25959</v>
      </c>
      <c r="L256" s="451">
        <v>0.05</v>
      </c>
      <c r="M256" s="447">
        <v>0.1</v>
      </c>
      <c r="N256" s="504">
        <v>27329</v>
      </c>
      <c r="O256" s="452">
        <v>0.05</v>
      </c>
      <c r="P256" s="450">
        <v>0.15000000000000002</v>
      </c>
    </row>
    <row r="257" spans="1:16" x14ac:dyDescent="0.25">
      <c r="A257" s="424" t="s">
        <v>3976</v>
      </c>
      <c r="B257" s="439" t="s">
        <v>3980</v>
      </c>
      <c r="C257" s="506">
        <v>7408.94</v>
      </c>
      <c r="D257" s="441">
        <v>0.25</v>
      </c>
      <c r="E257" s="502">
        <v>9879</v>
      </c>
      <c r="F257" s="446">
        <v>10</v>
      </c>
      <c r="G257" s="503">
        <v>0</v>
      </c>
      <c r="H257" s="504">
        <v>10399</v>
      </c>
      <c r="I257" s="449">
        <v>0.05</v>
      </c>
      <c r="J257" s="450">
        <v>0.05</v>
      </c>
      <c r="K257" s="505">
        <v>10949</v>
      </c>
      <c r="L257" s="451">
        <v>0.05</v>
      </c>
      <c r="M257" s="447">
        <v>0.1</v>
      </c>
      <c r="N257" s="504">
        <v>11529</v>
      </c>
      <c r="O257" s="452">
        <v>0.05</v>
      </c>
      <c r="P257" s="450">
        <v>0.15000000000000002</v>
      </c>
    </row>
    <row r="258" spans="1:16" x14ac:dyDescent="0.25">
      <c r="A258" s="424" t="s">
        <v>3973</v>
      </c>
      <c r="B258" s="439" t="s">
        <v>3981</v>
      </c>
      <c r="C258" s="506">
        <v>5010.6242339999999</v>
      </c>
      <c r="D258" s="441">
        <v>0.25</v>
      </c>
      <c r="E258" s="502">
        <v>8349</v>
      </c>
      <c r="F258" s="446">
        <v>10</v>
      </c>
      <c r="G258" s="503">
        <v>0.15000000000000002</v>
      </c>
      <c r="H258" s="504">
        <v>8789</v>
      </c>
      <c r="I258" s="449">
        <v>0.05</v>
      </c>
      <c r="J258" s="450">
        <v>0.2</v>
      </c>
      <c r="K258" s="505">
        <v>9249</v>
      </c>
      <c r="L258" s="451">
        <v>0.05</v>
      </c>
      <c r="M258" s="447">
        <v>0.25</v>
      </c>
      <c r="N258" s="504">
        <v>9739</v>
      </c>
      <c r="O258" s="452">
        <v>0.05</v>
      </c>
      <c r="P258" s="450">
        <v>0.3</v>
      </c>
    </row>
    <row r="259" spans="1:16" x14ac:dyDescent="0.25">
      <c r="A259" s="424" t="s">
        <v>3973</v>
      </c>
      <c r="B259" s="439" t="s">
        <v>3982</v>
      </c>
      <c r="C259" s="506">
        <v>3871.7942340000004</v>
      </c>
      <c r="D259" s="441">
        <v>0.25</v>
      </c>
      <c r="E259" s="502">
        <v>6449</v>
      </c>
      <c r="F259" s="446">
        <v>10</v>
      </c>
      <c r="G259" s="503">
        <v>0.15000000000000002</v>
      </c>
      <c r="H259" s="504">
        <v>6789</v>
      </c>
      <c r="I259" s="449">
        <v>0.05</v>
      </c>
      <c r="J259" s="450">
        <v>0.2</v>
      </c>
      <c r="K259" s="505">
        <v>7149</v>
      </c>
      <c r="L259" s="451">
        <v>0.05</v>
      </c>
      <c r="M259" s="447">
        <v>0.25</v>
      </c>
      <c r="N259" s="504">
        <v>7529</v>
      </c>
      <c r="O259" s="452">
        <v>0.05</v>
      </c>
      <c r="P259" s="450">
        <v>0.3</v>
      </c>
    </row>
    <row r="260" spans="1:16" x14ac:dyDescent="0.25">
      <c r="A260" s="424" t="s">
        <v>3973</v>
      </c>
      <c r="B260" s="439" t="s">
        <v>3983</v>
      </c>
      <c r="C260" s="506">
        <v>5511.9371999999994</v>
      </c>
      <c r="D260" s="441">
        <v>0.25</v>
      </c>
      <c r="E260" s="502">
        <v>9189</v>
      </c>
      <c r="F260" s="446">
        <v>10</v>
      </c>
      <c r="G260" s="503">
        <v>0.15000000000000002</v>
      </c>
      <c r="H260" s="504">
        <v>9669</v>
      </c>
      <c r="I260" s="449">
        <v>0.05</v>
      </c>
      <c r="J260" s="450">
        <v>0.2</v>
      </c>
      <c r="K260" s="505">
        <v>10179</v>
      </c>
      <c r="L260" s="451">
        <v>0.05</v>
      </c>
      <c r="M260" s="447">
        <v>0.25</v>
      </c>
      <c r="N260" s="504">
        <v>10709</v>
      </c>
      <c r="O260" s="452">
        <v>0.05</v>
      </c>
      <c r="P260" s="450">
        <v>0.3</v>
      </c>
    </row>
    <row r="261" spans="1:16" x14ac:dyDescent="0.25">
      <c r="A261" s="424" t="s">
        <v>3973</v>
      </c>
      <c r="B261" s="439" t="s">
        <v>3984</v>
      </c>
      <c r="C261" s="506">
        <v>5693.9222340000006</v>
      </c>
      <c r="D261" s="441">
        <v>0.25</v>
      </c>
      <c r="E261" s="502">
        <v>9489</v>
      </c>
      <c r="F261" s="446">
        <v>10</v>
      </c>
      <c r="G261" s="503">
        <v>0.15000000000000002</v>
      </c>
      <c r="H261" s="504">
        <v>9989</v>
      </c>
      <c r="I261" s="449">
        <v>0.05</v>
      </c>
      <c r="J261" s="450">
        <v>0.2</v>
      </c>
      <c r="K261" s="505">
        <v>10509</v>
      </c>
      <c r="L261" s="451">
        <v>0.05</v>
      </c>
      <c r="M261" s="447">
        <v>0.25</v>
      </c>
      <c r="N261" s="504">
        <v>11059</v>
      </c>
      <c r="O261" s="452">
        <v>0.05</v>
      </c>
      <c r="P261" s="450">
        <v>0.3</v>
      </c>
    </row>
    <row r="262" spans="1:16" x14ac:dyDescent="0.25">
      <c r="A262" s="424" t="s">
        <v>3973</v>
      </c>
      <c r="B262" s="439" t="s">
        <v>3985</v>
      </c>
      <c r="C262" s="506">
        <v>5805.7553399999988</v>
      </c>
      <c r="D262" s="441">
        <v>0.25</v>
      </c>
      <c r="E262" s="502">
        <v>9679</v>
      </c>
      <c r="F262" s="446">
        <v>10</v>
      </c>
      <c r="G262" s="503">
        <v>0.15000000000000002</v>
      </c>
      <c r="H262" s="504">
        <v>10189</v>
      </c>
      <c r="I262" s="449">
        <v>0.05</v>
      </c>
      <c r="J262" s="450">
        <v>0.2</v>
      </c>
      <c r="K262" s="505">
        <v>10729</v>
      </c>
      <c r="L262" s="451">
        <v>0.05</v>
      </c>
      <c r="M262" s="447">
        <v>0.25</v>
      </c>
      <c r="N262" s="504">
        <v>11289</v>
      </c>
      <c r="O262" s="452">
        <v>0.05</v>
      </c>
      <c r="P262" s="450">
        <v>0.3</v>
      </c>
    </row>
    <row r="263" spans="1:16" x14ac:dyDescent="0.25">
      <c r="A263" s="424" t="s">
        <v>3973</v>
      </c>
      <c r="B263" s="439" t="s">
        <v>3986</v>
      </c>
      <c r="C263" s="506">
        <v>11319.9702</v>
      </c>
      <c r="D263" s="441">
        <v>0.25</v>
      </c>
      <c r="E263" s="502">
        <v>18869</v>
      </c>
      <c r="F263" s="446">
        <v>10</v>
      </c>
      <c r="G263" s="503">
        <v>0.15000000000000002</v>
      </c>
      <c r="H263" s="504">
        <v>19859</v>
      </c>
      <c r="I263" s="449">
        <v>0.05</v>
      </c>
      <c r="J263" s="450">
        <v>0.2</v>
      </c>
      <c r="K263" s="505">
        <v>20899</v>
      </c>
      <c r="L263" s="451">
        <v>0.05</v>
      </c>
      <c r="M263" s="447">
        <v>0.25</v>
      </c>
      <c r="N263" s="504">
        <v>21999</v>
      </c>
      <c r="O263" s="452">
        <v>0.05</v>
      </c>
      <c r="P263" s="450">
        <v>0.3</v>
      </c>
    </row>
    <row r="264" spans="1:16" x14ac:dyDescent="0.25">
      <c r="A264" s="424" t="s">
        <v>3973</v>
      </c>
      <c r="B264" s="439" t="s">
        <v>3987</v>
      </c>
      <c r="C264" s="506">
        <v>6149.4542339999998</v>
      </c>
      <c r="D264" s="441">
        <v>0.25</v>
      </c>
      <c r="E264" s="502">
        <v>10249</v>
      </c>
      <c r="F264" s="446">
        <v>10</v>
      </c>
      <c r="G264" s="503">
        <v>0.15000000000000002</v>
      </c>
      <c r="H264" s="504">
        <v>10789</v>
      </c>
      <c r="I264" s="449">
        <v>0.05</v>
      </c>
      <c r="J264" s="450">
        <v>0.2</v>
      </c>
      <c r="K264" s="505">
        <v>11359</v>
      </c>
      <c r="L264" s="451">
        <v>0.05</v>
      </c>
      <c r="M264" s="447">
        <v>0.25</v>
      </c>
      <c r="N264" s="504">
        <v>11959</v>
      </c>
      <c r="O264" s="452">
        <v>0.05</v>
      </c>
      <c r="P264" s="450">
        <v>0.3</v>
      </c>
    </row>
    <row r="265" spans="1:16" x14ac:dyDescent="0.25">
      <c r="A265" s="424" t="s">
        <v>3973</v>
      </c>
      <c r="B265" s="439" t="s">
        <v>3988</v>
      </c>
      <c r="C265" s="506">
        <v>7126.798139999999</v>
      </c>
      <c r="D265" s="441">
        <v>0.25</v>
      </c>
      <c r="E265" s="502">
        <v>11879</v>
      </c>
      <c r="F265" s="446">
        <v>10</v>
      </c>
      <c r="G265" s="503">
        <v>0.15000000000000002</v>
      </c>
      <c r="H265" s="504">
        <v>12499</v>
      </c>
      <c r="I265" s="449">
        <v>0.05</v>
      </c>
      <c r="J265" s="450">
        <v>0.2</v>
      </c>
      <c r="K265" s="505">
        <v>13159</v>
      </c>
      <c r="L265" s="451">
        <v>0.05</v>
      </c>
      <c r="M265" s="447">
        <v>0.25</v>
      </c>
      <c r="N265" s="504">
        <v>13849</v>
      </c>
      <c r="O265" s="452">
        <v>0.05</v>
      </c>
      <c r="P265" s="450">
        <v>0.3</v>
      </c>
    </row>
    <row r="266" spans="1:16" x14ac:dyDescent="0.25">
      <c r="A266" s="424" t="s">
        <v>3973</v>
      </c>
      <c r="B266" s="439" t="s">
        <v>3989</v>
      </c>
      <c r="C266" s="506">
        <v>7288.5119999999997</v>
      </c>
      <c r="D266" s="441">
        <v>0.25</v>
      </c>
      <c r="E266" s="502">
        <v>12149</v>
      </c>
      <c r="F266" s="446">
        <v>10</v>
      </c>
      <c r="G266" s="503">
        <v>0.15000000000000002</v>
      </c>
      <c r="H266" s="504">
        <v>12789</v>
      </c>
      <c r="I266" s="449">
        <v>0.05</v>
      </c>
      <c r="J266" s="450">
        <v>0.2</v>
      </c>
      <c r="K266" s="505">
        <v>13459</v>
      </c>
      <c r="L266" s="451">
        <v>0.05</v>
      </c>
      <c r="M266" s="447">
        <v>0.25</v>
      </c>
      <c r="N266" s="504">
        <v>14169</v>
      </c>
      <c r="O266" s="452">
        <v>0.05</v>
      </c>
      <c r="P266" s="450">
        <v>0.3</v>
      </c>
    </row>
    <row r="267" spans="1:16" x14ac:dyDescent="0.25">
      <c r="A267" s="424" t="s">
        <v>3973</v>
      </c>
      <c r="B267" s="439" t="s">
        <v>3990</v>
      </c>
      <c r="C267" s="506">
        <v>7675.7141999999994</v>
      </c>
      <c r="D267" s="441">
        <v>0.25</v>
      </c>
      <c r="E267" s="502">
        <v>12789</v>
      </c>
      <c r="F267" s="446">
        <v>10</v>
      </c>
      <c r="G267" s="503">
        <v>0.15000000000000002</v>
      </c>
      <c r="H267" s="504">
        <v>13459</v>
      </c>
      <c r="I267" s="449">
        <v>0.05</v>
      </c>
      <c r="J267" s="450">
        <v>0.2</v>
      </c>
      <c r="K267" s="505">
        <v>14169</v>
      </c>
      <c r="L267" s="451">
        <v>0.05</v>
      </c>
      <c r="M267" s="447">
        <v>0.25</v>
      </c>
      <c r="N267" s="504">
        <v>14909</v>
      </c>
      <c r="O267" s="452">
        <v>0.05</v>
      </c>
      <c r="P267" s="450">
        <v>0.3</v>
      </c>
    </row>
    <row r="268" spans="1:16" x14ac:dyDescent="0.25">
      <c r="A268" s="424" t="s">
        <v>3973</v>
      </c>
      <c r="B268" s="439" t="s">
        <v>3991</v>
      </c>
      <c r="C268" s="506">
        <v>9176.6921399999992</v>
      </c>
      <c r="D268" s="441">
        <v>0.25</v>
      </c>
      <c r="E268" s="502">
        <v>15289</v>
      </c>
      <c r="F268" s="446">
        <v>10</v>
      </c>
      <c r="G268" s="503">
        <v>0.15000000000000002</v>
      </c>
      <c r="H268" s="504">
        <v>16089</v>
      </c>
      <c r="I268" s="449">
        <v>0.05</v>
      </c>
      <c r="J268" s="450">
        <v>0.2</v>
      </c>
      <c r="K268" s="505">
        <v>16939</v>
      </c>
      <c r="L268" s="451">
        <v>0.05</v>
      </c>
      <c r="M268" s="447">
        <v>0.25</v>
      </c>
      <c r="N268" s="504">
        <v>17829</v>
      </c>
      <c r="O268" s="452">
        <v>0.05</v>
      </c>
      <c r="P268" s="450">
        <v>0.3</v>
      </c>
    </row>
    <row r="269" spans="1:16" x14ac:dyDescent="0.25">
      <c r="A269" s="424" t="s">
        <v>3973</v>
      </c>
      <c r="B269" s="439" t="s">
        <v>3992</v>
      </c>
      <c r="C269" s="506">
        <v>14941.449599999998</v>
      </c>
      <c r="D269" s="441">
        <v>0.25</v>
      </c>
      <c r="E269" s="502">
        <v>24899</v>
      </c>
      <c r="F269" s="446">
        <v>10</v>
      </c>
      <c r="G269" s="503">
        <v>0.15000000000000002</v>
      </c>
      <c r="H269" s="504">
        <v>26209</v>
      </c>
      <c r="I269" s="449">
        <v>0.05</v>
      </c>
      <c r="J269" s="450">
        <v>0.2</v>
      </c>
      <c r="K269" s="505">
        <v>27589</v>
      </c>
      <c r="L269" s="451">
        <v>0.05</v>
      </c>
      <c r="M269" s="447">
        <v>0.25</v>
      </c>
      <c r="N269" s="504">
        <v>29039</v>
      </c>
      <c r="O269" s="452">
        <v>0.05</v>
      </c>
      <c r="P269" s="450">
        <v>0.3</v>
      </c>
    </row>
    <row r="270" spans="1:16" x14ac:dyDescent="0.25">
      <c r="A270" s="424" t="s">
        <v>3973</v>
      </c>
      <c r="B270" s="439" t="s">
        <v>3993</v>
      </c>
      <c r="C270" s="506">
        <v>16615.529699999999</v>
      </c>
      <c r="D270" s="441">
        <v>0.25</v>
      </c>
      <c r="E270" s="502">
        <v>27689</v>
      </c>
      <c r="F270" s="446">
        <v>10</v>
      </c>
      <c r="G270" s="503">
        <v>0.15000000000000002</v>
      </c>
      <c r="H270" s="504">
        <v>29149</v>
      </c>
      <c r="I270" s="449">
        <v>0.05</v>
      </c>
      <c r="J270" s="450">
        <v>0.2</v>
      </c>
      <c r="K270" s="505">
        <v>30679</v>
      </c>
      <c r="L270" s="451">
        <v>0.05</v>
      </c>
      <c r="M270" s="447">
        <v>0.25</v>
      </c>
      <c r="N270" s="504">
        <v>32289</v>
      </c>
      <c r="O270" s="452">
        <v>0.05</v>
      </c>
      <c r="P270" s="450">
        <v>0.3</v>
      </c>
    </row>
    <row r="271" spans="1:16" x14ac:dyDescent="0.25">
      <c r="A271" s="424" t="s">
        <v>3973</v>
      </c>
      <c r="B271" s="439" t="s">
        <v>3994</v>
      </c>
      <c r="C271" s="506">
        <v>35162.515079999997</v>
      </c>
      <c r="D271" s="441">
        <v>0.25</v>
      </c>
      <c r="E271" s="502">
        <v>58599</v>
      </c>
      <c r="F271" s="446">
        <v>10</v>
      </c>
      <c r="G271" s="503">
        <v>0.15000000000000002</v>
      </c>
      <c r="H271" s="504">
        <v>61679</v>
      </c>
      <c r="I271" s="449">
        <v>0.05</v>
      </c>
      <c r="J271" s="450">
        <v>0.2</v>
      </c>
      <c r="K271" s="505">
        <v>64929</v>
      </c>
      <c r="L271" s="451">
        <v>0.05</v>
      </c>
      <c r="M271" s="447">
        <v>0.25</v>
      </c>
      <c r="N271" s="504">
        <v>68349</v>
      </c>
      <c r="O271" s="452">
        <v>0.05</v>
      </c>
      <c r="P271" s="450">
        <v>0.3</v>
      </c>
    </row>
    <row r="272" spans="1:16" x14ac:dyDescent="0.25">
      <c r="A272" s="424" t="s">
        <v>3973</v>
      </c>
      <c r="B272" s="439" t="s">
        <v>3995</v>
      </c>
      <c r="C272" s="506">
        <v>40975.1034</v>
      </c>
      <c r="D272" s="441">
        <v>0.25</v>
      </c>
      <c r="E272" s="502">
        <v>68289</v>
      </c>
      <c r="F272" s="446">
        <v>10</v>
      </c>
      <c r="G272" s="503">
        <v>0.15000000000000002</v>
      </c>
      <c r="H272" s="504">
        <v>71879</v>
      </c>
      <c r="I272" s="449">
        <v>0.05</v>
      </c>
      <c r="J272" s="450">
        <v>0.2</v>
      </c>
      <c r="K272" s="505">
        <v>75659</v>
      </c>
      <c r="L272" s="451">
        <v>0.05</v>
      </c>
      <c r="M272" s="447">
        <v>0.25</v>
      </c>
      <c r="N272" s="504">
        <v>79639</v>
      </c>
      <c r="O272" s="452">
        <v>0.05</v>
      </c>
      <c r="P272" s="450">
        <v>0.3</v>
      </c>
    </row>
    <row r="273" spans="1:16" x14ac:dyDescent="0.25">
      <c r="A273" s="424" t="s">
        <v>3973</v>
      </c>
      <c r="B273" s="439" t="s">
        <v>3996</v>
      </c>
      <c r="C273" s="506">
        <v>36123.687599999997</v>
      </c>
      <c r="D273" s="441">
        <v>0.25</v>
      </c>
      <c r="E273" s="502">
        <v>60209</v>
      </c>
      <c r="F273" s="446">
        <v>10</v>
      </c>
      <c r="G273" s="503">
        <v>0.15000000000000002</v>
      </c>
      <c r="H273" s="504">
        <v>63379</v>
      </c>
      <c r="I273" s="449">
        <v>0.05</v>
      </c>
      <c r="J273" s="450">
        <v>0.2</v>
      </c>
      <c r="K273" s="505">
        <v>66709</v>
      </c>
      <c r="L273" s="451">
        <v>0.05</v>
      </c>
      <c r="M273" s="447">
        <v>0.25</v>
      </c>
      <c r="N273" s="504">
        <v>70219</v>
      </c>
      <c r="O273" s="452">
        <v>0.05</v>
      </c>
      <c r="P273" s="450">
        <v>0.3</v>
      </c>
    </row>
    <row r="274" spans="1:16" x14ac:dyDescent="0.25">
      <c r="A274" s="424" t="s">
        <v>3973</v>
      </c>
      <c r="B274" s="439" t="s">
        <v>3997</v>
      </c>
      <c r="C274" s="506">
        <v>44639.858339999999</v>
      </c>
      <c r="D274" s="441">
        <v>0.25</v>
      </c>
      <c r="E274" s="502">
        <v>74399</v>
      </c>
      <c r="F274" s="446">
        <v>10</v>
      </c>
      <c r="G274" s="503">
        <v>0.15000000000000002</v>
      </c>
      <c r="H274" s="504">
        <v>78309</v>
      </c>
      <c r="I274" s="449">
        <v>0.05</v>
      </c>
      <c r="J274" s="450">
        <v>0.2</v>
      </c>
      <c r="K274" s="505">
        <v>82429</v>
      </c>
      <c r="L274" s="451">
        <v>0.05</v>
      </c>
      <c r="M274" s="447">
        <v>0.25</v>
      </c>
      <c r="N274" s="504">
        <v>86769</v>
      </c>
      <c r="O274" s="452">
        <v>0.05</v>
      </c>
      <c r="P274" s="450">
        <v>0.3</v>
      </c>
    </row>
    <row r="275" spans="1:16" x14ac:dyDescent="0.25">
      <c r="A275" s="424" t="s">
        <v>3973</v>
      </c>
      <c r="B275" s="439" t="s">
        <v>3998</v>
      </c>
      <c r="C275" s="506">
        <v>40975.1034</v>
      </c>
      <c r="D275" s="441">
        <v>0.25</v>
      </c>
      <c r="E275" s="502">
        <v>68289</v>
      </c>
      <c r="F275" s="446">
        <v>10</v>
      </c>
      <c r="G275" s="503">
        <v>0.15000000000000002</v>
      </c>
      <c r="H275" s="504">
        <v>71879</v>
      </c>
      <c r="I275" s="449">
        <v>0.05</v>
      </c>
      <c r="J275" s="450">
        <v>0.2</v>
      </c>
      <c r="K275" s="505">
        <v>75659</v>
      </c>
      <c r="L275" s="451">
        <v>0.05</v>
      </c>
      <c r="M275" s="447">
        <v>0.25</v>
      </c>
      <c r="N275" s="504">
        <v>79639</v>
      </c>
      <c r="O275" s="452">
        <v>0.05</v>
      </c>
      <c r="P275" s="450">
        <v>0.3</v>
      </c>
    </row>
    <row r="276" spans="1:16" x14ac:dyDescent="0.25">
      <c r="A276" s="424" t="s">
        <v>3973</v>
      </c>
      <c r="B276" s="439" t="s">
        <v>3999</v>
      </c>
      <c r="C276" s="506">
        <v>57048.550019999995</v>
      </c>
      <c r="D276" s="441">
        <v>0.25</v>
      </c>
      <c r="E276" s="502">
        <v>95079</v>
      </c>
      <c r="F276" s="446">
        <v>10</v>
      </c>
      <c r="G276" s="503">
        <v>0.15000000000000002</v>
      </c>
      <c r="H276" s="504">
        <v>100079</v>
      </c>
      <c r="I276" s="449">
        <v>0.05</v>
      </c>
      <c r="J276" s="450">
        <v>0.2</v>
      </c>
      <c r="K276" s="505">
        <v>105349</v>
      </c>
      <c r="L276" s="451">
        <v>0.05</v>
      </c>
      <c r="M276" s="447">
        <v>0.25</v>
      </c>
      <c r="N276" s="504">
        <v>110889</v>
      </c>
      <c r="O276" s="452">
        <v>0.05</v>
      </c>
      <c r="P276" s="450">
        <v>0.3</v>
      </c>
    </row>
    <row r="277" spans="1:16" x14ac:dyDescent="0.25">
      <c r="A277" s="424" t="s">
        <v>3973</v>
      </c>
      <c r="B277" s="439" t="s">
        <v>4000</v>
      </c>
      <c r="C277" s="506">
        <v>52545.616199999997</v>
      </c>
      <c r="D277" s="441">
        <v>0.25</v>
      </c>
      <c r="E277" s="502">
        <v>87579</v>
      </c>
      <c r="F277" s="446">
        <v>10</v>
      </c>
      <c r="G277" s="503">
        <v>0.15000000000000002</v>
      </c>
      <c r="H277" s="504">
        <v>92189</v>
      </c>
      <c r="I277" s="449">
        <v>0.05</v>
      </c>
      <c r="J277" s="450">
        <v>0.2</v>
      </c>
      <c r="K277" s="505">
        <v>97039</v>
      </c>
      <c r="L277" s="451">
        <v>0.05</v>
      </c>
      <c r="M277" s="447">
        <v>0.25</v>
      </c>
      <c r="N277" s="504">
        <v>102149</v>
      </c>
      <c r="O277" s="452">
        <v>0.05</v>
      </c>
      <c r="P277" s="450">
        <v>0.3</v>
      </c>
    </row>
    <row r="278" spans="1:16" x14ac:dyDescent="0.25">
      <c r="A278" s="424" t="s">
        <v>3973</v>
      </c>
      <c r="B278" s="439" t="s">
        <v>4001</v>
      </c>
      <c r="C278" s="506">
        <v>77144.344199999992</v>
      </c>
      <c r="D278" s="441">
        <v>0.25</v>
      </c>
      <c r="E278" s="502">
        <v>128569</v>
      </c>
      <c r="F278" s="446">
        <v>10</v>
      </c>
      <c r="G278" s="503">
        <v>0.15000000000000002</v>
      </c>
      <c r="H278" s="504">
        <v>135339</v>
      </c>
      <c r="I278" s="449">
        <v>0.05</v>
      </c>
      <c r="J278" s="450">
        <v>0.2</v>
      </c>
      <c r="K278" s="505">
        <v>142459</v>
      </c>
      <c r="L278" s="451">
        <v>0.05</v>
      </c>
      <c r="M278" s="447">
        <v>0.25</v>
      </c>
      <c r="N278" s="504">
        <v>149959</v>
      </c>
      <c r="O278" s="452">
        <v>0.05</v>
      </c>
      <c r="P278" s="450">
        <v>0.3</v>
      </c>
    </row>
    <row r="279" spans="1:16" x14ac:dyDescent="0.25">
      <c r="A279" s="424" t="s">
        <v>3973</v>
      </c>
      <c r="B279" s="439" t="s">
        <v>4002</v>
      </c>
      <c r="C279" s="506">
        <v>53729.999399999993</v>
      </c>
      <c r="D279" s="441">
        <v>0.25</v>
      </c>
      <c r="E279" s="502">
        <v>89549</v>
      </c>
      <c r="F279" s="446">
        <v>10</v>
      </c>
      <c r="G279" s="503">
        <v>0.15000000000000002</v>
      </c>
      <c r="H279" s="504">
        <v>94259</v>
      </c>
      <c r="I279" s="449">
        <v>0.05</v>
      </c>
      <c r="J279" s="450">
        <v>0.2</v>
      </c>
      <c r="K279" s="505">
        <v>99219</v>
      </c>
      <c r="L279" s="451">
        <v>0.05</v>
      </c>
      <c r="M279" s="447">
        <v>0.25</v>
      </c>
      <c r="N279" s="504">
        <v>104439</v>
      </c>
      <c r="O279" s="452">
        <v>0.05</v>
      </c>
      <c r="P279" s="450">
        <v>0.3</v>
      </c>
    </row>
    <row r="280" spans="1:16" x14ac:dyDescent="0.25">
      <c r="A280" s="424" t="s">
        <v>3973</v>
      </c>
      <c r="B280" s="439" t="s">
        <v>4003</v>
      </c>
      <c r="C280" s="506">
        <v>78419.833799999993</v>
      </c>
      <c r="D280" s="441">
        <v>0.25</v>
      </c>
      <c r="E280" s="502">
        <v>130699</v>
      </c>
      <c r="F280" s="446">
        <v>10</v>
      </c>
      <c r="G280" s="503">
        <v>0.15000000000000002</v>
      </c>
      <c r="H280" s="504">
        <v>137579</v>
      </c>
      <c r="I280" s="449">
        <v>0.05</v>
      </c>
      <c r="J280" s="450">
        <v>0.2</v>
      </c>
      <c r="K280" s="505">
        <v>144819</v>
      </c>
      <c r="L280" s="451">
        <v>0.05</v>
      </c>
      <c r="M280" s="447">
        <v>0.25</v>
      </c>
      <c r="N280" s="504">
        <v>152439</v>
      </c>
      <c r="O280" s="452">
        <v>0.05</v>
      </c>
      <c r="P280" s="450">
        <v>0.3</v>
      </c>
    </row>
    <row r="281" spans="1:16" x14ac:dyDescent="0.25">
      <c r="A281" s="424" t="s">
        <v>3973</v>
      </c>
      <c r="B281" s="439" t="s">
        <v>4004</v>
      </c>
      <c r="C281" s="506">
        <v>57394.754339999992</v>
      </c>
      <c r="D281" s="441">
        <v>0.25</v>
      </c>
      <c r="E281" s="502">
        <v>95659</v>
      </c>
      <c r="F281" s="446">
        <v>10</v>
      </c>
      <c r="G281" s="503">
        <v>0.15000000000000002</v>
      </c>
      <c r="H281" s="504">
        <v>100689</v>
      </c>
      <c r="I281" s="449">
        <v>0.05</v>
      </c>
      <c r="J281" s="450">
        <v>0.2</v>
      </c>
      <c r="K281" s="505">
        <v>105989</v>
      </c>
      <c r="L281" s="451">
        <v>0.05</v>
      </c>
      <c r="M281" s="447">
        <v>0.25</v>
      </c>
      <c r="N281" s="504">
        <v>111569</v>
      </c>
      <c r="O281" s="452">
        <v>0.05</v>
      </c>
      <c r="P281" s="450">
        <v>0.3</v>
      </c>
    </row>
    <row r="282" spans="1:16" x14ac:dyDescent="0.25">
      <c r="A282" s="424" t="s">
        <v>3973</v>
      </c>
      <c r="B282" s="439" t="s">
        <v>4005</v>
      </c>
      <c r="C282" s="506">
        <v>57543.257771999997</v>
      </c>
      <c r="D282" s="441">
        <v>0.25</v>
      </c>
      <c r="E282" s="502">
        <v>95909</v>
      </c>
      <c r="F282" s="446">
        <v>10</v>
      </c>
      <c r="G282" s="503">
        <v>0.15000000000000002</v>
      </c>
      <c r="H282" s="504">
        <v>100959</v>
      </c>
      <c r="I282" s="449">
        <v>0.05</v>
      </c>
      <c r="J282" s="450">
        <v>0.2</v>
      </c>
      <c r="K282" s="505">
        <v>106269</v>
      </c>
      <c r="L282" s="451">
        <v>0.05</v>
      </c>
      <c r="M282" s="447">
        <v>0.25</v>
      </c>
      <c r="N282" s="504">
        <v>111859</v>
      </c>
      <c r="O282" s="452">
        <v>0.05</v>
      </c>
      <c r="P282" s="450">
        <v>0.3</v>
      </c>
    </row>
    <row r="283" spans="1:16" x14ac:dyDescent="0.25">
      <c r="A283" s="424" t="s">
        <v>3973</v>
      </c>
      <c r="B283" s="439" t="s">
        <v>4006</v>
      </c>
      <c r="C283" s="506">
        <v>84615.068999999989</v>
      </c>
      <c r="D283" s="441">
        <v>0.25</v>
      </c>
      <c r="E283" s="502">
        <v>141029</v>
      </c>
      <c r="F283" s="446">
        <v>10</v>
      </c>
      <c r="G283" s="503">
        <v>0.15000000000000002</v>
      </c>
      <c r="H283" s="504">
        <v>148449</v>
      </c>
      <c r="I283" s="449">
        <v>0.05</v>
      </c>
      <c r="J283" s="450">
        <v>0.2</v>
      </c>
      <c r="K283" s="505">
        <v>156259</v>
      </c>
      <c r="L283" s="451">
        <v>0.05</v>
      </c>
      <c r="M283" s="447">
        <v>0.25</v>
      </c>
      <c r="N283" s="504">
        <v>164479</v>
      </c>
      <c r="O283" s="452">
        <v>0.05</v>
      </c>
      <c r="P283" s="450">
        <v>0.3</v>
      </c>
    </row>
    <row r="284" spans="1:16" x14ac:dyDescent="0.25">
      <c r="A284" s="424" t="s">
        <v>3973</v>
      </c>
      <c r="B284" s="439" t="s">
        <v>4007</v>
      </c>
      <c r="C284" s="506">
        <v>88803.685740000001</v>
      </c>
      <c r="D284" s="441">
        <v>0.25</v>
      </c>
      <c r="E284" s="502">
        <v>148009</v>
      </c>
      <c r="F284" s="446">
        <v>10</v>
      </c>
      <c r="G284" s="503">
        <v>0.15000000000000002</v>
      </c>
      <c r="H284" s="504">
        <v>155799</v>
      </c>
      <c r="I284" s="449">
        <v>0.05</v>
      </c>
      <c r="J284" s="450">
        <v>0.2</v>
      </c>
      <c r="K284" s="505">
        <v>163999</v>
      </c>
      <c r="L284" s="451">
        <v>0.05</v>
      </c>
      <c r="M284" s="447">
        <v>0.25</v>
      </c>
      <c r="N284" s="504">
        <v>172629</v>
      </c>
      <c r="O284" s="452">
        <v>0.05</v>
      </c>
      <c r="P284" s="450">
        <v>0.3</v>
      </c>
    </row>
    <row r="285" spans="1:16" x14ac:dyDescent="0.25">
      <c r="A285" s="424" t="s">
        <v>3973</v>
      </c>
      <c r="B285" s="439" t="s">
        <v>4008</v>
      </c>
      <c r="C285" s="506">
        <v>37979.069436000005</v>
      </c>
      <c r="D285" s="441">
        <v>0.25</v>
      </c>
      <c r="E285" s="502">
        <v>63299</v>
      </c>
      <c r="F285" s="446">
        <v>10</v>
      </c>
      <c r="G285" s="503">
        <v>0.15000000000000002</v>
      </c>
      <c r="H285" s="504">
        <v>66629</v>
      </c>
      <c r="I285" s="449">
        <v>0.05</v>
      </c>
      <c r="J285" s="450">
        <v>0.2</v>
      </c>
      <c r="K285" s="505">
        <v>70139</v>
      </c>
      <c r="L285" s="451">
        <v>0.05</v>
      </c>
      <c r="M285" s="447">
        <v>0.25</v>
      </c>
      <c r="N285" s="504">
        <v>73829</v>
      </c>
      <c r="O285" s="452">
        <v>0.05</v>
      </c>
      <c r="P285" s="450">
        <v>0.3</v>
      </c>
    </row>
    <row r="286" spans="1:16" x14ac:dyDescent="0.25">
      <c r="A286" s="424" t="s">
        <v>3973</v>
      </c>
      <c r="B286" s="439" t="s">
        <v>4009</v>
      </c>
      <c r="C286" s="506">
        <v>53717.700036000002</v>
      </c>
      <c r="D286" s="441">
        <v>0.25</v>
      </c>
      <c r="E286" s="502">
        <v>89529</v>
      </c>
      <c r="F286" s="446">
        <v>10</v>
      </c>
      <c r="G286" s="503">
        <v>0.15</v>
      </c>
      <c r="H286" s="504">
        <v>94239</v>
      </c>
      <c r="I286" s="449">
        <v>0.05</v>
      </c>
      <c r="J286" s="450">
        <v>0.2</v>
      </c>
      <c r="K286" s="505">
        <v>99199</v>
      </c>
      <c r="L286" s="451">
        <v>0.05</v>
      </c>
      <c r="M286" s="447">
        <v>0.25</v>
      </c>
      <c r="N286" s="504">
        <v>104419</v>
      </c>
      <c r="O286" s="452">
        <v>0.05</v>
      </c>
      <c r="P286" s="450">
        <v>0.3</v>
      </c>
    </row>
    <row r="287" spans="1:16" x14ac:dyDescent="0.25">
      <c r="A287" s="424" t="s">
        <v>3973</v>
      </c>
      <c r="B287" s="439" t="s">
        <v>4010</v>
      </c>
      <c r="C287" s="506">
        <v>59429.615784000001</v>
      </c>
      <c r="D287" s="441">
        <v>0.25</v>
      </c>
      <c r="E287" s="502">
        <v>99049</v>
      </c>
      <c r="F287" s="446">
        <v>10</v>
      </c>
      <c r="G287" s="503">
        <v>0.15</v>
      </c>
      <c r="H287" s="504">
        <v>104259</v>
      </c>
      <c r="I287" s="449">
        <v>0.05</v>
      </c>
      <c r="J287" s="450">
        <v>0.2</v>
      </c>
      <c r="K287" s="505">
        <v>109749</v>
      </c>
      <c r="L287" s="451">
        <v>0.05</v>
      </c>
      <c r="M287" s="447">
        <v>0.25</v>
      </c>
      <c r="N287" s="504">
        <v>115529</v>
      </c>
      <c r="O287" s="452">
        <v>0.05</v>
      </c>
      <c r="P287" s="450">
        <v>0.3</v>
      </c>
    </row>
    <row r="288" spans="1:16" x14ac:dyDescent="0.25">
      <c r="A288" s="424" t="s">
        <v>3973</v>
      </c>
      <c r="B288" s="439" t="s">
        <v>4011</v>
      </c>
      <c r="C288" s="506">
        <v>5215.8414000000002</v>
      </c>
      <c r="D288" s="441">
        <v>0.25</v>
      </c>
      <c r="E288" s="502">
        <v>8689</v>
      </c>
      <c r="F288" s="446">
        <v>10</v>
      </c>
      <c r="G288" s="503">
        <v>0.15</v>
      </c>
      <c r="H288" s="504">
        <v>9149</v>
      </c>
      <c r="I288" s="449">
        <v>0.05</v>
      </c>
      <c r="J288" s="450">
        <v>0.2</v>
      </c>
      <c r="K288" s="505">
        <v>9629</v>
      </c>
      <c r="L288" s="451">
        <v>0.05</v>
      </c>
      <c r="M288" s="447">
        <v>0.25</v>
      </c>
      <c r="N288" s="504">
        <v>10139</v>
      </c>
      <c r="O288" s="452">
        <v>0.05</v>
      </c>
      <c r="P288" s="450">
        <v>0.3</v>
      </c>
    </row>
    <row r="289" spans="1:16" x14ac:dyDescent="0.25">
      <c r="A289" s="424" t="s">
        <v>3973</v>
      </c>
      <c r="B289" s="439" t="s">
        <v>4012</v>
      </c>
      <c r="C289" s="506">
        <v>5443.6073999999999</v>
      </c>
      <c r="D289" s="441">
        <v>0.25</v>
      </c>
      <c r="E289" s="502">
        <v>9069</v>
      </c>
      <c r="F289" s="446">
        <v>10</v>
      </c>
      <c r="G289" s="503">
        <v>0.15</v>
      </c>
      <c r="H289" s="504">
        <v>9549</v>
      </c>
      <c r="I289" s="449">
        <v>0.05</v>
      </c>
      <c r="J289" s="450">
        <v>0.2</v>
      </c>
      <c r="K289" s="505">
        <v>10049</v>
      </c>
      <c r="L289" s="451">
        <v>0.05</v>
      </c>
      <c r="M289" s="447">
        <v>0.25</v>
      </c>
      <c r="N289" s="504">
        <v>10579</v>
      </c>
      <c r="O289" s="452">
        <v>0.05</v>
      </c>
      <c r="P289" s="450">
        <v>0.3</v>
      </c>
    </row>
    <row r="290" spans="1:16" x14ac:dyDescent="0.25">
      <c r="A290" s="424" t="s">
        <v>3973</v>
      </c>
      <c r="B290" s="439" t="s">
        <v>4013</v>
      </c>
      <c r="C290" s="506">
        <v>5693.9222340000006</v>
      </c>
      <c r="D290" s="441">
        <v>0.25</v>
      </c>
      <c r="E290" s="502">
        <v>9489</v>
      </c>
      <c r="F290" s="446">
        <v>10</v>
      </c>
      <c r="G290" s="503">
        <v>0.15</v>
      </c>
      <c r="H290" s="504">
        <v>9989</v>
      </c>
      <c r="I290" s="449">
        <v>0.05</v>
      </c>
      <c r="J290" s="450">
        <v>0.2</v>
      </c>
      <c r="K290" s="505">
        <v>10509</v>
      </c>
      <c r="L290" s="451">
        <v>0.05</v>
      </c>
      <c r="M290" s="447">
        <v>0.25</v>
      </c>
      <c r="N290" s="504">
        <v>11059</v>
      </c>
      <c r="O290" s="452">
        <v>0.05</v>
      </c>
      <c r="P290" s="450">
        <v>0.3</v>
      </c>
    </row>
    <row r="291" spans="1:16" x14ac:dyDescent="0.25">
      <c r="A291" s="424" t="s">
        <v>3973</v>
      </c>
      <c r="B291" s="439" t="s">
        <v>4014</v>
      </c>
      <c r="C291" s="506">
        <v>5990.2457999999997</v>
      </c>
      <c r="D291" s="441">
        <v>0.25</v>
      </c>
      <c r="E291" s="502">
        <v>9979</v>
      </c>
      <c r="F291" s="446">
        <v>10</v>
      </c>
      <c r="G291" s="503">
        <v>0.15</v>
      </c>
      <c r="H291" s="504">
        <v>10499</v>
      </c>
      <c r="I291" s="449">
        <v>0.05</v>
      </c>
      <c r="J291" s="450">
        <v>0.2</v>
      </c>
      <c r="K291" s="505">
        <v>11049</v>
      </c>
      <c r="L291" s="451">
        <v>0.05</v>
      </c>
      <c r="M291" s="447">
        <v>0.25</v>
      </c>
      <c r="N291" s="504">
        <v>11629</v>
      </c>
      <c r="O291" s="452">
        <v>0.05</v>
      </c>
      <c r="P291" s="450">
        <v>0.3</v>
      </c>
    </row>
    <row r="292" spans="1:16" x14ac:dyDescent="0.25">
      <c r="A292" s="424" t="s">
        <v>3973</v>
      </c>
      <c r="B292" s="439" t="s">
        <v>4015</v>
      </c>
      <c r="C292" s="506">
        <v>7242.9587999999994</v>
      </c>
      <c r="D292" s="441">
        <v>0.25</v>
      </c>
      <c r="E292" s="502">
        <v>12069</v>
      </c>
      <c r="F292" s="446">
        <v>10</v>
      </c>
      <c r="G292" s="503">
        <v>0.15</v>
      </c>
      <c r="H292" s="504">
        <v>12699</v>
      </c>
      <c r="I292" s="449">
        <v>0.05</v>
      </c>
      <c r="J292" s="450">
        <v>0.2</v>
      </c>
      <c r="K292" s="505">
        <v>13369</v>
      </c>
      <c r="L292" s="451">
        <v>0.05</v>
      </c>
      <c r="M292" s="447">
        <v>0.25</v>
      </c>
      <c r="N292" s="504">
        <v>14069</v>
      </c>
      <c r="O292" s="452">
        <v>0.05</v>
      </c>
      <c r="P292" s="450">
        <v>0.3</v>
      </c>
    </row>
    <row r="293" spans="1:16" x14ac:dyDescent="0.25">
      <c r="A293" s="424" t="s">
        <v>3973</v>
      </c>
      <c r="B293" s="439" t="s">
        <v>4016</v>
      </c>
      <c r="C293" s="506">
        <v>7607.3843999999999</v>
      </c>
      <c r="D293" s="441">
        <v>0.25</v>
      </c>
      <c r="E293" s="502">
        <v>12679</v>
      </c>
      <c r="F293" s="446">
        <v>10</v>
      </c>
      <c r="G293" s="503">
        <v>0.15</v>
      </c>
      <c r="H293" s="504">
        <v>13349</v>
      </c>
      <c r="I293" s="449">
        <v>0.05</v>
      </c>
      <c r="J293" s="450">
        <v>0.2</v>
      </c>
      <c r="K293" s="505">
        <v>14049</v>
      </c>
      <c r="L293" s="451">
        <v>0.05</v>
      </c>
      <c r="M293" s="447">
        <v>0.25</v>
      </c>
      <c r="N293" s="504">
        <v>14789</v>
      </c>
      <c r="O293" s="452">
        <v>0.05</v>
      </c>
      <c r="P293" s="450">
        <v>0.3</v>
      </c>
    </row>
    <row r="294" spans="1:16" x14ac:dyDescent="0.25">
      <c r="A294" s="424" t="s">
        <v>3973</v>
      </c>
      <c r="B294" s="439" t="s">
        <v>4017</v>
      </c>
      <c r="C294" s="506">
        <v>8404.5653999999995</v>
      </c>
      <c r="D294" s="441">
        <v>0.25</v>
      </c>
      <c r="E294" s="502">
        <v>14009</v>
      </c>
      <c r="F294" s="446">
        <v>10</v>
      </c>
      <c r="G294" s="503">
        <v>0.15</v>
      </c>
      <c r="H294" s="504">
        <v>14749</v>
      </c>
      <c r="I294" s="449">
        <v>0.05</v>
      </c>
      <c r="J294" s="450">
        <v>0.2</v>
      </c>
      <c r="K294" s="505">
        <v>15529</v>
      </c>
      <c r="L294" s="451">
        <v>0.05</v>
      </c>
      <c r="M294" s="447">
        <v>0.25</v>
      </c>
      <c r="N294" s="504">
        <v>16349</v>
      </c>
      <c r="O294" s="452">
        <v>0.05</v>
      </c>
      <c r="P294" s="450">
        <v>0.3</v>
      </c>
    </row>
    <row r="295" spans="1:16" x14ac:dyDescent="0.25">
      <c r="A295" s="424" t="s">
        <v>3973</v>
      </c>
      <c r="B295" s="439" t="s">
        <v>4018</v>
      </c>
      <c r="C295" s="506">
        <v>7926.2567999999992</v>
      </c>
      <c r="D295" s="441">
        <v>0.25</v>
      </c>
      <c r="E295" s="502">
        <v>13209</v>
      </c>
      <c r="F295" s="446">
        <v>10</v>
      </c>
      <c r="G295" s="503">
        <v>0.15</v>
      </c>
      <c r="H295" s="504">
        <v>13899</v>
      </c>
      <c r="I295" s="449">
        <v>0.05</v>
      </c>
      <c r="J295" s="450">
        <v>0.2</v>
      </c>
      <c r="K295" s="505">
        <v>14629</v>
      </c>
      <c r="L295" s="451">
        <v>0.05</v>
      </c>
      <c r="M295" s="447">
        <v>0.25</v>
      </c>
      <c r="N295" s="504">
        <v>15399</v>
      </c>
      <c r="O295" s="452">
        <v>0.05</v>
      </c>
      <c r="P295" s="450">
        <v>0.3</v>
      </c>
    </row>
    <row r="296" spans="1:16" x14ac:dyDescent="0.25">
      <c r="A296" s="424" t="s">
        <v>3973</v>
      </c>
      <c r="B296" s="439" t="s">
        <v>4019</v>
      </c>
      <c r="C296" s="506">
        <v>9156.1931999999997</v>
      </c>
      <c r="D296" s="441">
        <v>0.25</v>
      </c>
      <c r="E296" s="502">
        <v>15259</v>
      </c>
      <c r="F296" s="446">
        <v>10</v>
      </c>
      <c r="G296" s="503">
        <v>0.15</v>
      </c>
      <c r="H296" s="504">
        <v>16059</v>
      </c>
      <c r="I296" s="449">
        <v>0.05</v>
      </c>
      <c r="J296" s="450">
        <v>0.2</v>
      </c>
      <c r="K296" s="505">
        <v>16899</v>
      </c>
      <c r="L296" s="451">
        <v>0.05</v>
      </c>
      <c r="M296" s="447">
        <v>0.25</v>
      </c>
      <c r="N296" s="504">
        <v>17789</v>
      </c>
      <c r="O296" s="452">
        <v>0.05</v>
      </c>
      <c r="P296" s="450">
        <v>0.3</v>
      </c>
    </row>
    <row r="297" spans="1:16" x14ac:dyDescent="0.25">
      <c r="A297" s="424" t="s">
        <v>3973</v>
      </c>
      <c r="B297" s="439" t="s">
        <v>4020</v>
      </c>
      <c r="C297" s="506">
        <v>13301.534399999999</v>
      </c>
      <c r="D297" s="441">
        <v>0.25</v>
      </c>
      <c r="E297" s="502">
        <v>22169</v>
      </c>
      <c r="F297" s="446">
        <v>10</v>
      </c>
      <c r="G297" s="503">
        <v>0.15</v>
      </c>
      <c r="H297" s="504">
        <v>23339</v>
      </c>
      <c r="I297" s="449">
        <v>0.05</v>
      </c>
      <c r="J297" s="450">
        <v>0.2</v>
      </c>
      <c r="K297" s="505">
        <v>24569</v>
      </c>
      <c r="L297" s="451">
        <v>0.05</v>
      </c>
      <c r="M297" s="447">
        <v>0.25</v>
      </c>
      <c r="N297" s="504">
        <v>25859</v>
      </c>
      <c r="O297" s="452">
        <v>0.05</v>
      </c>
      <c r="P297" s="450">
        <v>0.3</v>
      </c>
    </row>
    <row r="298" spans="1:16" x14ac:dyDescent="0.25">
      <c r="A298" s="424" t="s">
        <v>3973</v>
      </c>
      <c r="B298" s="439" t="s">
        <v>4021</v>
      </c>
      <c r="C298" s="506">
        <v>14508.694199999998</v>
      </c>
      <c r="D298" s="441">
        <v>0.25</v>
      </c>
      <c r="E298" s="502">
        <v>24179</v>
      </c>
      <c r="F298" s="446">
        <v>10</v>
      </c>
      <c r="G298" s="503">
        <v>0.15</v>
      </c>
      <c r="H298" s="504">
        <v>25449</v>
      </c>
      <c r="I298" s="449">
        <v>0.05</v>
      </c>
      <c r="J298" s="450">
        <v>0.2</v>
      </c>
      <c r="K298" s="505">
        <v>26789</v>
      </c>
      <c r="L298" s="451">
        <v>0.05</v>
      </c>
      <c r="M298" s="447">
        <v>0.25</v>
      </c>
      <c r="N298" s="504">
        <v>28199</v>
      </c>
      <c r="O298" s="452">
        <v>0.05</v>
      </c>
      <c r="P298" s="450">
        <v>0.3</v>
      </c>
    </row>
    <row r="299" spans="1:16" x14ac:dyDescent="0.25">
      <c r="A299" s="424" t="s">
        <v>3973</v>
      </c>
      <c r="B299" s="439" t="s">
        <v>4022</v>
      </c>
      <c r="C299" s="506">
        <v>14782.013399999998</v>
      </c>
      <c r="D299" s="441">
        <v>0.25</v>
      </c>
      <c r="E299" s="502">
        <v>24639</v>
      </c>
      <c r="F299" s="446">
        <v>10</v>
      </c>
      <c r="G299" s="503">
        <v>0.15</v>
      </c>
      <c r="H299" s="504">
        <v>25939</v>
      </c>
      <c r="I299" s="449">
        <v>0.05</v>
      </c>
      <c r="J299" s="450">
        <v>0.2</v>
      </c>
      <c r="K299" s="505">
        <v>27299</v>
      </c>
      <c r="L299" s="451">
        <v>0.05</v>
      </c>
      <c r="M299" s="447">
        <v>0.25</v>
      </c>
      <c r="N299" s="504">
        <v>28739</v>
      </c>
      <c r="O299" s="452">
        <v>0.05</v>
      </c>
      <c r="P299" s="450">
        <v>0.3</v>
      </c>
    </row>
    <row r="300" spans="1:16" x14ac:dyDescent="0.25">
      <c r="A300" s="424" t="s">
        <v>3973</v>
      </c>
      <c r="B300" s="439" t="s">
        <v>4023</v>
      </c>
      <c r="C300" s="506">
        <v>31249.495200000001</v>
      </c>
      <c r="D300" s="441">
        <v>0.25</v>
      </c>
      <c r="E300" s="502">
        <v>52079</v>
      </c>
      <c r="F300" s="446">
        <v>10</v>
      </c>
      <c r="G300" s="503">
        <v>0.15</v>
      </c>
      <c r="H300" s="504">
        <v>54819</v>
      </c>
      <c r="I300" s="449">
        <v>0.05</v>
      </c>
      <c r="J300" s="450">
        <v>0.2</v>
      </c>
      <c r="K300" s="505">
        <v>57699</v>
      </c>
      <c r="L300" s="451">
        <v>0.05</v>
      </c>
      <c r="M300" s="447">
        <v>0.25</v>
      </c>
      <c r="N300" s="504">
        <v>60739</v>
      </c>
      <c r="O300" s="452">
        <v>0.05</v>
      </c>
      <c r="P300" s="450">
        <v>0.3</v>
      </c>
    </row>
    <row r="301" spans="1:16" x14ac:dyDescent="0.25">
      <c r="A301" s="424" t="s">
        <v>3973</v>
      </c>
      <c r="B301" s="439" t="s">
        <v>4024</v>
      </c>
      <c r="C301" s="506">
        <v>34984.857599999996</v>
      </c>
      <c r="D301" s="441">
        <v>0.25</v>
      </c>
      <c r="E301" s="502">
        <v>58309</v>
      </c>
      <c r="F301" s="446">
        <v>10</v>
      </c>
      <c r="G301" s="503">
        <v>0.15</v>
      </c>
      <c r="H301" s="504">
        <v>61379</v>
      </c>
      <c r="I301" s="449">
        <v>0.05</v>
      </c>
      <c r="J301" s="450">
        <v>0.2</v>
      </c>
      <c r="K301" s="505">
        <v>64609</v>
      </c>
      <c r="L301" s="451">
        <v>0.05</v>
      </c>
      <c r="M301" s="447">
        <v>0.25</v>
      </c>
      <c r="N301" s="504">
        <v>68009</v>
      </c>
      <c r="O301" s="452">
        <v>0.05</v>
      </c>
      <c r="P301" s="450">
        <v>0.3</v>
      </c>
    </row>
    <row r="302" spans="1:16" x14ac:dyDescent="0.25">
      <c r="A302" s="424" t="s">
        <v>3973</v>
      </c>
      <c r="B302" s="439" t="s">
        <v>4025</v>
      </c>
      <c r="C302" s="506">
        <v>34301.559599999993</v>
      </c>
      <c r="D302" s="441">
        <v>0.25</v>
      </c>
      <c r="E302" s="502">
        <v>57169</v>
      </c>
      <c r="F302" s="446">
        <v>10</v>
      </c>
      <c r="G302" s="503">
        <v>0.15</v>
      </c>
      <c r="H302" s="504">
        <v>60179</v>
      </c>
      <c r="I302" s="449">
        <v>0.05</v>
      </c>
      <c r="J302" s="450">
        <v>0.2</v>
      </c>
      <c r="K302" s="505">
        <v>63349</v>
      </c>
      <c r="L302" s="451">
        <v>0.05</v>
      </c>
      <c r="M302" s="447">
        <v>0.25</v>
      </c>
      <c r="N302" s="504">
        <v>66679</v>
      </c>
      <c r="O302" s="452">
        <v>0.05</v>
      </c>
      <c r="P302" s="450">
        <v>0.3</v>
      </c>
    </row>
    <row r="303" spans="1:16" x14ac:dyDescent="0.25">
      <c r="A303" s="424" t="s">
        <v>3973</v>
      </c>
      <c r="B303" s="439" t="s">
        <v>4026</v>
      </c>
      <c r="C303" s="506">
        <v>37877.485799999995</v>
      </c>
      <c r="D303" s="441">
        <v>0.25</v>
      </c>
      <c r="E303" s="502">
        <v>63129</v>
      </c>
      <c r="F303" s="446">
        <v>10</v>
      </c>
      <c r="G303" s="503">
        <v>0.15</v>
      </c>
      <c r="H303" s="504">
        <v>66449</v>
      </c>
      <c r="I303" s="449">
        <v>0.05</v>
      </c>
      <c r="J303" s="450">
        <v>0.2</v>
      </c>
      <c r="K303" s="505">
        <v>69949</v>
      </c>
      <c r="L303" s="451">
        <v>0.05</v>
      </c>
      <c r="M303" s="447">
        <v>0.25</v>
      </c>
      <c r="N303" s="504">
        <v>73629</v>
      </c>
      <c r="O303" s="452">
        <v>0.05</v>
      </c>
      <c r="P303" s="450">
        <v>0.3</v>
      </c>
    </row>
    <row r="304" spans="1:16" x14ac:dyDescent="0.25">
      <c r="A304" s="424" t="s">
        <v>3973</v>
      </c>
      <c r="B304" s="439" t="s">
        <v>4027</v>
      </c>
      <c r="C304" s="506">
        <v>39904.603199999998</v>
      </c>
      <c r="D304" s="441">
        <v>0.25</v>
      </c>
      <c r="E304" s="502">
        <v>66509</v>
      </c>
      <c r="F304" s="446">
        <v>10</v>
      </c>
      <c r="G304" s="503">
        <v>0.15</v>
      </c>
      <c r="H304" s="504">
        <v>70009</v>
      </c>
      <c r="I304" s="449">
        <v>0.05</v>
      </c>
      <c r="J304" s="450">
        <v>0.2</v>
      </c>
      <c r="K304" s="505">
        <v>73689</v>
      </c>
      <c r="L304" s="451">
        <v>0.05</v>
      </c>
      <c r="M304" s="447">
        <v>0.25</v>
      </c>
      <c r="N304" s="504">
        <v>77569</v>
      </c>
      <c r="O304" s="452">
        <v>0.05</v>
      </c>
      <c r="P304" s="450">
        <v>0.3</v>
      </c>
    </row>
    <row r="305" spans="1:16" x14ac:dyDescent="0.25">
      <c r="A305" s="424" t="s">
        <v>3973</v>
      </c>
      <c r="B305" s="439" t="s">
        <v>4028</v>
      </c>
      <c r="C305" s="506">
        <v>40519.571400000001</v>
      </c>
      <c r="D305" s="441">
        <v>0.25</v>
      </c>
      <c r="E305" s="502">
        <v>67529</v>
      </c>
      <c r="F305" s="446">
        <v>10</v>
      </c>
      <c r="G305" s="503">
        <v>0.15</v>
      </c>
      <c r="H305" s="504">
        <v>71079</v>
      </c>
      <c r="I305" s="449">
        <v>0.05</v>
      </c>
      <c r="J305" s="450">
        <v>0.2</v>
      </c>
      <c r="K305" s="505">
        <v>74819</v>
      </c>
      <c r="L305" s="451">
        <v>0.05</v>
      </c>
      <c r="M305" s="447">
        <v>0.25</v>
      </c>
      <c r="N305" s="504">
        <v>78759</v>
      </c>
      <c r="O305" s="452">
        <v>0.05</v>
      </c>
      <c r="P305" s="450">
        <v>0.3</v>
      </c>
    </row>
    <row r="306" spans="1:16" x14ac:dyDescent="0.25">
      <c r="A306" s="424" t="s">
        <v>3973</v>
      </c>
      <c r="B306" s="439" t="s">
        <v>4029</v>
      </c>
      <c r="C306" s="506">
        <v>66006.586800000005</v>
      </c>
      <c r="D306" s="441">
        <v>0.25</v>
      </c>
      <c r="E306" s="502">
        <v>110009</v>
      </c>
      <c r="F306" s="446">
        <v>10</v>
      </c>
      <c r="G306" s="503">
        <v>0.15</v>
      </c>
      <c r="H306" s="504">
        <v>115799</v>
      </c>
      <c r="I306" s="449">
        <v>0.05</v>
      </c>
      <c r="J306" s="450">
        <v>0.2</v>
      </c>
      <c r="K306" s="505">
        <v>121889</v>
      </c>
      <c r="L306" s="451">
        <v>0.05</v>
      </c>
      <c r="M306" s="447">
        <v>0.25</v>
      </c>
      <c r="N306" s="504">
        <v>128299</v>
      </c>
      <c r="O306" s="452">
        <v>0.05</v>
      </c>
      <c r="P306" s="450">
        <v>0.3</v>
      </c>
    </row>
    <row r="307" spans="1:16" x14ac:dyDescent="0.25">
      <c r="A307" s="424" t="s">
        <v>3973</v>
      </c>
      <c r="B307" s="439" t="s">
        <v>4030</v>
      </c>
      <c r="C307" s="506">
        <v>45872.072399999997</v>
      </c>
      <c r="D307" s="441">
        <v>0.25</v>
      </c>
      <c r="E307" s="502">
        <v>76449</v>
      </c>
      <c r="F307" s="446">
        <v>10</v>
      </c>
      <c r="G307" s="503">
        <v>0.15</v>
      </c>
      <c r="H307" s="504">
        <v>80469</v>
      </c>
      <c r="I307" s="449">
        <v>0.05</v>
      </c>
      <c r="J307" s="450">
        <v>0.2</v>
      </c>
      <c r="K307" s="505">
        <v>84699</v>
      </c>
      <c r="L307" s="451">
        <v>0.05</v>
      </c>
      <c r="M307" s="447">
        <v>0.25</v>
      </c>
      <c r="N307" s="504">
        <v>89159</v>
      </c>
      <c r="O307" s="452">
        <v>0.05</v>
      </c>
      <c r="P307" s="450">
        <v>0.3</v>
      </c>
    </row>
    <row r="308" spans="1:16" x14ac:dyDescent="0.25">
      <c r="A308" s="424" t="s">
        <v>3973</v>
      </c>
      <c r="B308" s="439" t="s">
        <v>4031</v>
      </c>
      <c r="C308" s="506">
        <v>70038.044999999998</v>
      </c>
      <c r="D308" s="441">
        <v>0.25</v>
      </c>
      <c r="E308" s="502">
        <v>116729</v>
      </c>
      <c r="F308" s="446">
        <v>10</v>
      </c>
      <c r="G308" s="503">
        <v>0.15</v>
      </c>
      <c r="H308" s="504">
        <v>122869</v>
      </c>
      <c r="I308" s="449">
        <v>0.05</v>
      </c>
      <c r="J308" s="450">
        <v>0.2</v>
      </c>
      <c r="K308" s="505">
        <v>129339</v>
      </c>
      <c r="L308" s="451">
        <v>0.05</v>
      </c>
      <c r="M308" s="447">
        <v>0.25</v>
      </c>
      <c r="N308" s="504">
        <v>136149</v>
      </c>
      <c r="O308" s="452">
        <v>0.05</v>
      </c>
      <c r="P308" s="450">
        <v>0.3</v>
      </c>
    </row>
    <row r="309" spans="1:16" x14ac:dyDescent="0.25">
      <c r="A309" s="424" t="s">
        <v>3973</v>
      </c>
      <c r="B309" s="439" t="s">
        <v>4032</v>
      </c>
      <c r="C309" s="506">
        <v>62294.000999999997</v>
      </c>
      <c r="D309" s="441">
        <v>0.25</v>
      </c>
      <c r="E309" s="502">
        <v>103819</v>
      </c>
      <c r="F309" s="446">
        <v>10</v>
      </c>
      <c r="G309" s="503">
        <v>0.15</v>
      </c>
      <c r="H309" s="504">
        <v>109279</v>
      </c>
      <c r="I309" s="449">
        <v>0.05</v>
      </c>
      <c r="J309" s="450">
        <v>0.2</v>
      </c>
      <c r="K309" s="505">
        <v>115029</v>
      </c>
      <c r="L309" s="451">
        <v>0.05</v>
      </c>
      <c r="M309" s="447">
        <v>0.25</v>
      </c>
      <c r="N309" s="504">
        <v>121079</v>
      </c>
      <c r="O309" s="452">
        <v>0.05</v>
      </c>
      <c r="P309" s="450">
        <v>0.3</v>
      </c>
    </row>
    <row r="310" spans="1:16" x14ac:dyDescent="0.25">
      <c r="A310" s="424" t="s">
        <v>3973</v>
      </c>
      <c r="B310" s="439" t="s">
        <v>4033</v>
      </c>
      <c r="C310" s="506">
        <v>67851.491399999999</v>
      </c>
      <c r="D310" s="441">
        <v>0.25</v>
      </c>
      <c r="E310" s="502">
        <v>113089</v>
      </c>
      <c r="F310" s="446">
        <v>10</v>
      </c>
      <c r="G310" s="503">
        <v>0.15</v>
      </c>
      <c r="H310" s="504">
        <v>119039</v>
      </c>
      <c r="I310" s="449">
        <v>0.05</v>
      </c>
      <c r="J310" s="450">
        <v>0.2</v>
      </c>
      <c r="K310" s="505">
        <v>125299</v>
      </c>
      <c r="L310" s="451">
        <v>0.05</v>
      </c>
      <c r="M310" s="447">
        <v>0.25</v>
      </c>
      <c r="N310" s="504">
        <v>131889</v>
      </c>
      <c r="O310" s="452">
        <v>0.05</v>
      </c>
      <c r="P310" s="450">
        <v>0.3</v>
      </c>
    </row>
    <row r="311" spans="1:16" x14ac:dyDescent="0.25">
      <c r="A311" s="424" t="s">
        <v>3973</v>
      </c>
      <c r="B311" s="439" t="s">
        <v>4034</v>
      </c>
      <c r="C311" s="506">
        <v>51224.573399999994</v>
      </c>
      <c r="D311" s="441">
        <v>0.25</v>
      </c>
      <c r="E311" s="502">
        <v>85369</v>
      </c>
      <c r="F311" s="446">
        <v>10</v>
      </c>
      <c r="G311" s="503">
        <v>0.15</v>
      </c>
      <c r="H311" s="504">
        <v>89859</v>
      </c>
      <c r="I311" s="449">
        <v>0.05</v>
      </c>
      <c r="J311" s="450">
        <v>0.2</v>
      </c>
      <c r="K311" s="505">
        <v>94589</v>
      </c>
      <c r="L311" s="451">
        <v>0.05</v>
      </c>
      <c r="M311" s="447">
        <v>0.25</v>
      </c>
      <c r="N311" s="504">
        <v>99569</v>
      </c>
      <c r="O311" s="452">
        <v>0.05</v>
      </c>
      <c r="P311" s="450">
        <v>0.3</v>
      </c>
    </row>
    <row r="312" spans="1:16" x14ac:dyDescent="0.25">
      <c r="A312" s="424" t="s">
        <v>3973</v>
      </c>
      <c r="B312" s="439" t="s">
        <v>4035</v>
      </c>
      <c r="C312" s="506">
        <v>7596.4516319999984</v>
      </c>
      <c r="D312" s="441">
        <v>0.25</v>
      </c>
      <c r="E312" s="502">
        <v>12659</v>
      </c>
      <c r="F312" s="446">
        <v>10</v>
      </c>
      <c r="G312" s="503">
        <v>0.15</v>
      </c>
      <c r="H312" s="504">
        <v>13329</v>
      </c>
      <c r="I312" s="449">
        <v>0.05</v>
      </c>
      <c r="J312" s="450">
        <v>0.2</v>
      </c>
      <c r="K312" s="505">
        <v>14029</v>
      </c>
      <c r="L312" s="451">
        <v>0.05</v>
      </c>
      <c r="M312" s="447">
        <v>0.25</v>
      </c>
      <c r="N312" s="504">
        <v>14769</v>
      </c>
      <c r="O312" s="452">
        <v>0.05</v>
      </c>
      <c r="P312" s="450">
        <v>0.3</v>
      </c>
    </row>
    <row r="313" spans="1:16" x14ac:dyDescent="0.25">
      <c r="A313" s="424" t="s">
        <v>3973</v>
      </c>
      <c r="B313" s="439" t="s">
        <v>4036</v>
      </c>
      <c r="C313" s="506">
        <v>38719.992233999998</v>
      </c>
      <c r="D313" s="441">
        <v>0.25</v>
      </c>
      <c r="E313" s="502">
        <v>64529</v>
      </c>
      <c r="F313" s="446">
        <v>10</v>
      </c>
      <c r="G313" s="503">
        <v>0.15</v>
      </c>
      <c r="H313" s="504">
        <v>67929</v>
      </c>
      <c r="I313" s="449">
        <v>0.05</v>
      </c>
      <c r="J313" s="450">
        <v>0.2</v>
      </c>
      <c r="K313" s="505">
        <v>71499</v>
      </c>
      <c r="L313" s="451">
        <v>0.05</v>
      </c>
      <c r="M313" s="447">
        <v>0.25</v>
      </c>
      <c r="N313" s="504">
        <v>75259</v>
      </c>
      <c r="O313" s="452">
        <v>0.05</v>
      </c>
      <c r="P313" s="450">
        <v>0.3</v>
      </c>
    </row>
    <row r="314" spans="1:16" x14ac:dyDescent="0.25">
      <c r="A314" s="424" t="s">
        <v>3973</v>
      </c>
      <c r="B314" s="439" t="s">
        <v>4037</v>
      </c>
      <c r="C314" s="506">
        <v>52978.371599999999</v>
      </c>
      <c r="D314" s="441">
        <v>0.25</v>
      </c>
      <c r="E314" s="502">
        <v>88299</v>
      </c>
      <c r="F314" s="446">
        <v>10</v>
      </c>
      <c r="G314" s="503">
        <v>0.15</v>
      </c>
      <c r="H314" s="504">
        <v>92949</v>
      </c>
      <c r="I314" s="449">
        <v>0.05</v>
      </c>
      <c r="J314" s="450">
        <v>0.2</v>
      </c>
      <c r="K314" s="505">
        <v>97839</v>
      </c>
      <c r="L314" s="451">
        <v>0.05</v>
      </c>
      <c r="M314" s="447">
        <v>0.25</v>
      </c>
      <c r="N314" s="504">
        <v>102989</v>
      </c>
      <c r="O314" s="452">
        <v>0.05</v>
      </c>
      <c r="P314" s="450">
        <v>0.3</v>
      </c>
    </row>
    <row r="315" spans="1:16" x14ac:dyDescent="0.25">
      <c r="A315" s="424" t="s">
        <v>3973</v>
      </c>
      <c r="B315" s="439" t="s">
        <v>4038</v>
      </c>
      <c r="C315" s="506">
        <v>87917.675999999978</v>
      </c>
      <c r="D315" s="441">
        <v>0.25</v>
      </c>
      <c r="E315" s="502">
        <v>146529</v>
      </c>
      <c r="F315" s="446">
        <v>10</v>
      </c>
      <c r="G315" s="503">
        <v>0.15</v>
      </c>
      <c r="H315" s="504">
        <v>154239</v>
      </c>
      <c r="I315" s="449">
        <v>0.05</v>
      </c>
      <c r="J315" s="450">
        <v>0.2</v>
      </c>
      <c r="K315" s="505">
        <v>162359</v>
      </c>
      <c r="L315" s="451">
        <v>0.05</v>
      </c>
      <c r="M315" s="447">
        <v>0.25</v>
      </c>
      <c r="N315" s="504">
        <v>170899</v>
      </c>
      <c r="O315" s="452">
        <v>0.05</v>
      </c>
      <c r="P315" s="450">
        <v>0.3</v>
      </c>
    </row>
    <row r="316" spans="1:16" x14ac:dyDescent="0.25">
      <c r="A316" s="424" t="s">
        <v>3973</v>
      </c>
      <c r="B316" s="439" t="s">
        <v>4039</v>
      </c>
      <c r="C316" s="506">
        <v>53274.467400000001</v>
      </c>
      <c r="D316" s="441">
        <v>0.25</v>
      </c>
      <c r="E316" s="502">
        <v>88789</v>
      </c>
      <c r="F316" s="446">
        <v>10</v>
      </c>
      <c r="G316" s="503">
        <v>0.15</v>
      </c>
      <c r="H316" s="504">
        <v>93459</v>
      </c>
      <c r="I316" s="449">
        <v>0.05</v>
      </c>
      <c r="J316" s="450">
        <v>0.2</v>
      </c>
      <c r="K316" s="505">
        <v>98379</v>
      </c>
      <c r="L316" s="451">
        <v>0.05</v>
      </c>
      <c r="M316" s="447">
        <v>0.25</v>
      </c>
      <c r="N316" s="504">
        <v>103559</v>
      </c>
      <c r="O316" s="452">
        <v>0.05</v>
      </c>
      <c r="P316" s="450">
        <v>0.3</v>
      </c>
    </row>
    <row r="317" spans="1:16" x14ac:dyDescent="0.25">
      <c r="A317" s="424" t="s">
        <v>3973</v>
      </c>
      <c r="B317" s="439" t="s">
        <v>4040</v>
      </c>
      <c r="C317" s="506">
        <v>94887.315599999987</v>
      </c>
      <c r="D317" s="441">
        <v>0.25</v>
      </c>
      <c r="E317" s="502">
        <v>158149</v>
      </c>
      <c r="F317" s="446">
        <v>10</v>
      </c>
      <c r="G317" s="503">
        <v>0.15</v>
      </c>
      <c r="H317" s="504">
        <v>166469</v>
      </c>
      <c r="I317" s="449">
        <v>0.05</v>
      </c>
      <c r="J317" s="450">
        <v>0.2</v>
      </c>
      <c r="K317" s="505">
        <v>175229</v>
      </c>
      <c r="L317" s="451">
        <v>0.05</v>
      </c>
      <c r="M317" s="447">
        <v>0.25</v>
      </c>
      <c r="N317" s="504">
        <v>184449</v>
      </c>
      <c r="O317" s="452">
        <v>0.05</v>
      </c>
      <c r="P317" s="450">
        <v>0.3</v>
      </c>
    </row>
    <row r="318" spans="1:16" x14ac:dyDescent="0.25">
      <c r="A318" s="424" t="s">
        <v>3973</v>
      </c>
      <c r="B318" s="439" t="s">
        <v>4041</v>
      </c>
      <c r="C318" s="506">
        <v>93201.847199999989</v>
      </c>
      <c r="D318" s="441">
        <v>0.25</v>
      </c>
      <c r="E318" s="502">
        <v>155339</v>
      </c>
      <c r="F318" s="446">
        <v>10</v>
      </c>
      <c r="G318" s="503">
        <v>0.15</v>
      </c>
      <c r="H318" s="504">
        <v>163509</v>
      </c>
      <c r="I318" s="449">
        <v>0.05</v>
      </c>
      <c r="J318" s="450">
        <v>0.2</v>
      </c>
      <c r="K318" s="505">
        <v>172109</v>
      </c>
      <c r="L318" s="451">
        <v>0.05</v>
      </c>
      <c r="M318" s="447">
        <v>0.25</v>
      </c>
      <c r="N318" s="504">
        <v>181169</v>
      </c>
      <c r="O318" s="452">
        <v>0.05</v>
      </c>
      <c r="P318" s="450">
        <v>0.3</v>
      </c>
    </row>
    <row r="319" spans="1:16" x14ac:dyDescent="0.25">
      <c r="A319" s="424" t="s">
        <v>3973</v>
      </c>
      <c r="B319" s="439" t="s">
        <v>4042</v>
      </c>
      <c r="C319" s="506">
        <v>133220.3334</v>
      </c>
      <c r="D319" s="441">
        <v>0.25</v>
      </c>
      <c r="E319" s="502">
        <v>222029</v>
      </c>
      <c r="F319" s="446">
        <v>10</v>
      </c>
      <c r="G319" s="503">
        <v>0.15</v>
      </c>
      <c r="H319" s="504">
        <v>233709</v>
      </c>
      <c r="I319" s="449">
        <v>0.05</v>
      </c>
      <c r="J319" s="450">
        <v>0.2</v>
      </c>
      <c r="K319" s="505">
        <v>246009</v>
      </c>
      <c r="L319" s="451">
        <v>0.05</v>
      </c>
      <c r="M319" s="447">
        <v>0.25</v>
      </c>
      <c r="N319" s="504">
        <v>258959</v>
      </c>
      <c r="O319" s="452">
        <v>0.05</v>
      </c>
      <c r="P319" s="450">
        <v>0.3</v>
      </c>
    </row>
    <row r="320" spans="1:16" x14ac:dyDescent="0.25">
      <c r="A320" s="424" t="s">
        <v>3973</v>
      </c>
      <c r="B320" s="439" t="s">
        <v>4043</v>
      </c>
      <c r="C320" s="506">
        <v>7447.9481999999998</v>
      </c>
      <c r="D320" s="441">
        <v>0.25</v>
      </c>
      <c r="E320" s="502">
        <v>12409</v>
      </c>
      <c r="F320" s="446">
        <v>10</v>
      </c>
      <c r="G320" s="503">
        <v>0.15</v>
      </c>
      <c r="H320" s="504">
        <v>13059</v>
      </c>
      <c r="I320" s="449">
        <v>0.05</v>
      </c>
      <c r="J320" s="450">
        <v>0.2</v>
      </c>
      <c r="K320" s="505">
        <v>13749</v>
      </c>
      <c r="L320" s="451">
        <v>0.05</v>
      </c>
      <c r="M320" s="447">
        <v>0.25</v>
      </c>
      <c r="N320" s="504">
        <v>14469</v>
      </c>
      <c r="O320" s="452">
        <v>0.05</v>
      </c>
      <c r="P320" s="450">
        <v>0.3</v>
      </c>
    </row>
    <row r="321" spans="1:16" x14ac:dyDescent="0.25">
      <c r="A321" s="424" t="s">
        <v>3973</v>
      </c>
      <c r="B321" s="439" t="s">
        <v>4044</v>
      </c>
      <c r="C321" s="506">
        <v>8154.0227999999988</v>
      </c>
      <c r="D321" s="441">
        <v>0.25</v>
      </c>
      <c r="E321" s="502">
        <v>13589</v>
      </c>
      <c r="F321" s="446">
        <v>10</v>
      </c>
      <c r="G321" s="503">
        <v>0.15</v>
      </c>
      <c r="H321" s="504">
        <v>14299</v>
      </c>
      <c r="I321" s="449">
        <v>0.05</v>
      </c>
      <c r="J321" s="450">
        <v>0.2</v>
      </c>
      <c r="K321" s="505">
        <v>15049</v>
      </c>
      <c r="L321" s="451">
        <v>0.05</v>
      </c>
      <c r="M321" s="447">
        <v>0.25</v>
      </c>
      <c r="N321" s="504">
        <v>15839</v>
      </c>
      <c r="O321" s="452">
        <v>0.05</v>
      </c>
      <c r="P321" s="450">
        <v>0.3</v>
      </c>
    </row>
    <row r="322" spans="1:16" x14ac:dyDescent="0.25">
      <c r="A322" s="424" t="s">
        <v>3973</v>
      </c>
      <c r="B322" s="439" t="s">
        <v>4045</v>
      </c>
      <c r="C322" s="506">
        <v>8518.4483999999993</v>
      </c>
      <c r="D322" s="441">
        <v>0.25</v>
      </c>
      <c r="E322" s="502">
        <v>14199</v>
      </c>
      <c r="F322" s="446">
        <v>10</v>
      </c>
      <c r="G322" s="503">
        <v>0.15</v>
      </c>
      <c r="H322" s="504">
        <v>14949</v>
      </c>
      <c r="I322" s="449">
        <v>0.05</v>
      </c>
      <c r="J322" s="450">
        <v>0.2</v>
      </c>
      <c r="K322" s="505">
        <v>15739</v>
      </c>
      <c r="L322" s="451">
        <v>0.05</v>
      </c>
      <c r="M322" s="447">
        <v>0.25</v>
      </c>
      <c r="N322" s="504">
        <v>16569</v>
      </c>
      <c r="O322" s="452">
        <v>0.05</v>
      </c>
      <c r="P322" s="450">
        <v>0.3</v>
      </c>
    </row>
    <row r="323" spans="1:16" x14ac:dyDescent="0.25">
      <c r="A323" s="424" t="s">
        <v>3973</v>
      </c>
      <c r="B323" s="439" t="s">
        <v>4046</v>
      </c>
      <c r="C323" s="506">
        <v>8860.0973999999987</v>
      </c>
      <c r="D323" s="441">
        <v>0.25</v>
      </c>
      <c r="E323" s="502">
        <v>14769</v>
      </c>
      <c r="F323" s="446">
        <v>10</v>
      </c>
      <c r="G323" s="503">
        <v>0.15</v>
      </c>
      <c r="H323" s="504">
        <v>15549</v>
      </c>
      <c r="I323" s="449">
        <v>0.05</v>
      </c>
      <c r="J323" s="450">
        <v>0.2</v>
      </c>
      <c r="K323" s="505">
        <v>16369</v>
      </c>
      <c r="L323" s="451">
        <v>0.05</v>
      </c>
      <c r="M323" s="447">
        <v>0.25</v>
      </c>
      <c r="N323" s="504">
        <v>17229</v>
      </c>
      <c r="O323" s="452">
        <v>0.05</v>
      </c>
      <c r="P323" s="450">
        <v>0.3</v>
      </c>
    </row>
    <row r="324" spans="1:16" x14ac:dyDescent="0.25">
      <c r="A324" s="424" t="s">
        <v>3973</v>
      </c>
      <c r="B324" s="439" t="s">
        <v>4047</v>
      </c>
      <c r="C324" s="506">
        <v>10044.480599999999</v>
      </c>
      <c r="D324" s="441">
        <v>0.25</v>
      </c>
      <c r="E324" s="502">
        <v>16739</v>
      </c>
      <c r="F324" s="446">
        <v>10</v>
      </c>
      <c r="G324" s="503">
        <v>0.15</v>
      </c>
      <c r="H324" s="504">
        <v>17619</v>
      </c>
      <c r="I324" s="449">
        <v>0.05</v>
      </c>
      <c r="J324" s="450">
        <v>0.2</v>
      </c>
      <c r="K324" s="505">
        <v>18549</v>
      </c>
      <c r="L324" s="451">
        <v>0.05</v>
      </c>
      <c r="M324" s="447">
        <v>0.25</v>
      </c>
      <c r="N324" s="504">
        <v>19529</v>
      </c>
      <c r="O324" s="452">
        <v>0.05</v>
      </c>
      <c r="P324" s="450">
        <v>0.3</v>
      </c>
    </row>
    <row r="325" spans="1:16" x14ac:dyDescent="0.25">
      <c r="A325" s="424" t="s">
        <v>3973</v>
      </c>
      <c r="B325" s="439" t="s">
        <v>4048</v>
      </c>
      <c r="C325" s="506">
        <v>15943.392233999999</v>
      </c>
      <c r="D325" s="441">
        <v>0.25</v>
      </c>
      <c r="E325" s="502">
        <v>26569</v>
      </c>
      <c r="F325" s="446">
        <v>10</v>
      </c>
      <c r="G325" s="503">
        <v>0.15</v>
      </c>
      <c r="H325" s="504">
        <v>27969</v>
      </c>
      <c r="I325" s="449">
        <v>0.05</v>
      </c>
      <c r="J325" s="450">
        <v>0.2</v>
      </c>
      <c r="K325" s="505">
        <v>29439</v>
      </c>
      <c r="L325" s="451">
        <v>0.05</v>
      </c>
      <c r="M325" s="447">
        <v>0.25</v>
      </c>
      <c r="N325" s="504">
        <v>30989</v>
      </c>
      <c r="O325" s="452">
        <v>0.05</v>
      </c>
      <c r="P325" s="450">
        <v>0.3</v>
      </c>
    </row>
    <row r="326" spans="1:16" x14ac:dyDescent="0.25">
      <c r="A326" s="507" t="s">
        <v>3973</v>
      </c>
      <c r="B326" s="490" t="s">
        <v>4049</v>
      </c>
      <c r="C326" s="508">
        <v>17765.520234</v>
      </c>
      <c r="D326" s="492">
        <v>0.25</v>
      </c>
      <c r="E326" s="509">
        <v>29609</v>
      </c>
      <c r="F326" s="494">
        <v>10</v>
      </c>
      <c r="G326" s="510">
        <v>0.15</v>
      </c>
      <c r="H326" s="511">
        <v>31169</v>
      </c>
      <c r="I326" s="497">
        <v>0.05</v>
      </c>
      <c r="J326" s="498">
        <v>0.2</v>
      </c>
      <c r="K326" s="512">
        <v>32809</v>
      </c>
      <c r="L326" s="499">
        <v>0.05</v>
      </c>
      <c r="M326" s="495">
        <v>0.25</v>
      </c>
      <c r="N326" s="511">
        <v>34539</v>
      </c>
      <c r="O326" s="500">
        <v>0.05</v>
      </c>
      <c r="P326" s="498">
        <v>0.3</v>
      </c>
    </row>
    <row r="327" spans="1:16" x14ac:dyDescent="0.25">
      <c r="A327" s="424" t="s">
        <v>3973</v>
      </c>
      <c r="B327" s="439" t="s">
        <v>3644</v>
      </c>
      <c r="C327" s="506">
        <v>10.232081544086199</v>
      </c>
      <c r="D327" s="441">
        <v>0.25</v>
      </c>
      <c r="E327" s="502">
        <v>14</v>
      </c>
      <c r="F327" s="446">
        <v>1</v>
      </c>
      <c r="G327" s="503">
        <v>0.05</v>
      </c>
      <c r="H327" s="504">
        <v>14.736842105263159</v>
      </c>
      <c r="I327" s="449">
        <v>0.05</v>
      </c>
      <c r="J327" s="450">
        <v>0.1</v>
      </c>
      <c r="K327" s="505">
        <v>15.512465373961222</v>
      </c>
      <c r="L327" s="451">
        <v>0.05</v>
      </c>
      <c r="M327" s="447">
        <v>0.15000000000000002</v>
      </c>
      <c r="N327" s="504">
        <v>16.328910919959181</v>
      </c>
      <c r="O327" s="452">
        <v>0.05</v>
      </c>
      <c r="P327" s="450">
        <v>0.2</v>
      </c>
    </row>
    <row r="328" spans="1:16" x14ac:dyDescent="0.25">
      <c r="A328" s="424" t="s">
        <v>3973</v>
      </c>
      <c r="B328" s="439" t="s">
        <v>3645</v>
      </c>
      <c r="C328" s="506">
        <v>15.673197588831083</v>
      </c>
      <c r="D328" s="441">
        <v>0.25</v>
      </c>
      <c r="E328" s="502">
        <v>21</v>
      </c>
      <c r="F328" s="446">
        <v>1</v>
      </c>
      <c r="G328" s="503">
        <v>0.05</v>
      </c>
      <c r="H328" s="504">
        <v>22.105263157894736</v>
      </c>
      <c r="I328" s="449">
        <v>0.05</v>
      </c>
      <c r="J328" s="450">
        <v>0.1</v>
      </c>
      <c r="K328" s="505">
        <v>23.26869806094183</v>
      </c>
      <c r="L328" s="451">
        <v>0.05</v>
      </c>
      <c r="M328" s="447">
        <v>0.15000000000000002</v>
      </c>
      <c r="N328" s="504">
        <v>24.49336637993877</v>
      </c>
      <c r="O328" s="452">
        <v>0.05</v>
      </c>
      <c r="P328" s="450">
        <v>0.2</v>
      </c>
    </row>
    <row r="329" spans="1:16" x14ac:dyDescent="0.25">
      <c r="A329" s="424" t="s">
        <v>3973</v>
      </c>
      <c r="B329" s="439" t="s">
        <v>4050</v>
      </c>
      <c r="C329" s="506">
        <v>25.201971192558371</v>
      </c>
      <c r="D329" s="441">
        <v>0.25</v>
      </c>
      <c r="E329" s="502">
        <v>35</v>
      </c>
      <c r="F329" s="446">
        <v>1</v>
      </c>
      <c r="G329" s="503">
        <v>0.05</v>
      </c>
      <c r="H329" s="504">
        <v>36.842105263157897</v>
      </c>
      <c r="I329" s="449">
        <v>0.05</v>
      </c>
      <c r="J329" s="450">
        <v>0.1</v>
      </c>
      <c r="K329" s="505">
        <v>38.78116343490305</v>
      </c>
      <c r="L329" s="451">
        <v>0.05</v>
      </c>
      <c r="M329" s="447">
        <v>0.15000000000000002</v>
      </c>
      <c r="N329" s="504">
        <v>40.822277299897948</v>
      </c>
      <c r="O329" s="452">
        <v>0.05</v>
      </c>
      <c r="P329" s="450">
        <v>0.2</v>
      </c>
    </row>
    <row r="330" spans="1:16" x14ac:dyDescent="0.25">
      <c r="A330" s="424" t="s">
        <v>3973</v>
      </c>
      <c r="B330" s="439" t="s">
        <v>4051</v>
      </c>
      <c r="C330" s="506">
        <v>11.567810376590543</v>
      </c>
      <c r="D330" s="441">
        <v>0.25</v>
      </c>
      <c r="E330" s="502">
        <v>19</v>
      </c>
      <c r="F330" s="446">
        <v>10</v>
      </c>
      <c r="G330" s="503">
        <v>0.15</v>
      </c>
      <c r="H330" s="504">
        <v>20.43010752688172</v>
      </c>
      <c r="I330" s="449">
        <v>7.0000000000000007E-2</v>
      </c>
      <c r="J330" s="450">
        <v>0.22</v>
      </c>
      <c r="K330" s="505">
        <v>21.967857555786797</v>
      </c>
      <c r="L330" s="451">
        <v>7.0000000000000007E-2</v>
      </c>
      <c r="M330" s="447">
        <v>0.29000000000000004</v>
      </c>
      <c r="N330" s="504">
        <v>24.408730617540883</v>
      </c>
      <c r="O330" s="452">
        <v>0.1</v>
      </c>
      <c r="P330" s="450">
        <v>0.39</v>
      </c>
    </row>
    <row r="331" spans="1:16" x14ac:dyDescent="0.25">
      <c r="A331" s="424" t="s">
        <v>3973</v>
      </c>
      <c r="B331" s="439" t="s">
        <v>4052</v>
      </c>
      <c r="C331" s="506">
        <v>22.041032244428433</v>
      </c>
      <c r="D331" s="441">
        <v>0.25</v>
      </c>
      <c r="E331" s="502">
        <v>39</v>
      </c>
      <c r="F331" s="446">
        <v>10</v>
      </c>
      <c r="G331" s="503">
        <v>0.15</v>
      </c>
      <c r="H331" s="504">
        <v>41.935483870967744</v>
      </c>
      <c r="I331" s="449">
        <v>7.0000000000000007E-2</v>
      </c>
      <c r="J331" s="450">
        <v>0.22</v>
      </c>
      <c r="K331" s="505">
        <v>45.091918140825534</v>
      </c>
      <c r="L331" s="451">
        <v>7.0000000000000007E-2</v>
      </c>
      <c r="M331" s="447">
        <v>0.29000000000000004</v>
      </c>
      <c r="N331" s="504">
        <v>50.102131267583928</v>
      </c>
      <c r="O331" s="452">
        <v>0.1</v>
      </c>
      <c r="P331" s="450">
        <v>0.39</v>
      </c>
    </row>
    <row r="332" spans="1:16" x14ac:dyDescent="0.25">
      <c r="A332" s="424" t="s">
        <v>3973</v>
      </c>
      <c r="B332" s="439" t="s">
        <v>4053</v>
      </c>
      <c r="C332" s="506">
        <v>55.351350726696687</v>
      </c>
      <c r="D332" s="441">
        <v>0.25</v>
      </c>
      <c r="E332" s="502">
        <v>89</v>
      </c>
      <c r="F332" s="446">
        <v>10</v>
      </c>
      <c r="G332" s="503">
        <v>0.15</v>
      </c>
      <c r="H332" s="504">
        <v>95.6989247311828</v>
      </c>
      <c r="I332" s="449">
        <v>7.0000000000000007E-2</v>
      </c>
      <c r="J332" s="450">
        <v>0.22</v>
      </c>
      <c r="K332" s="505">
        <v>102.90206960342238</v>
      </c>
      <c r="L332" s="451">
        <v>7.0000000000000007E-2</v>
      </c>
      <c r="M332" s="447">
        <v>0.29000000000000004</v>
      </c>
      <c r="N332" s="504">
        <v>114.33563289269152</v>
      </c>
      <c r="O332" s="452">
        <v>0.1</v>
      </c>
      <c r="P332" s="450">
        <v>0.39</v>
      </c>
    </row>
    <row r="333" spans="1:16" x14ac:dyDescent="0.25">
      <c r="A333" s="424" t="s">
        <v>3973</v>
      </c>
      <c r="B333" s="439" t="s">
        <v>4054</v>
      </c>
      <c r="C333" s="506">
        <v>850.5483809885701</v>
      </c>
      <c r="D333" s="441">
        <v>0.25</v>
      </c>
      <c r="E333" s="502">
        <v>1419</v>
      </c>
      <c r="F333" s="446">
        <v>10</v>
      </c>
      <c r="G333" s="503">
        <v>0.15</v>
      </c>
      <c r="H333" s="504">
        <v>1525.8064516129034</v>
      </c>
      <c r="I333" s="449">
        <v>7.0000000000000007E-2</v>
      </c>
      <c r="J333" s="450">
        <v>0.22</v>
      </c>
      <c r="K333" s="505">
        <v>1640.6520985084983</v>
      </c>
      <c r="L333" s="451">
        <v>7.0000000000000007E-2</v>
      </c>
      <c r="M333" s="447">
        <v>0.29000000000000004</v>
      </c>
      <c r="N333" s="504">
        <v>1822.9467761205535</v>
      </c>
      <c r="O333" s="452">
        <v>0.1</v>
      </c>
      <c r="P333" s="450">
        <v>0.39</v>
      </c>
    </row>
    <row r="334" spans="1:16" x14ac:dyDescent="0.25">
      <c r="A334" s="424" t="s">
        <v>3973</v>
      </c>
      <c r="B334" s="439" t="s">
        <v>4055</v>
      </c>
      <c r="C334" s="506">
        <v>26.867091372752242</v>
      </c>
      <c r="D334" s="441">
        <v>0.25</v>
      </c>
      <c r="E334" s="502">
        <v>39</v>
      </c>
      <c r="F334" s="446">
        <v>10</v>
      </c>
      <c r="G334" s="503">
        <v>0.15</v>
      </c>
      <c r="H334" s="504">
        <v>41.935483870967744</v>
      </c>
      <c r="I334" s="449">
        <v>7.0000000000000007E-2</v>
      </c>
      <c r="J334" s="450">
        <v>0.22</v>
      </c>
      <c r="K334" s="505">
        <v>45.091918140825534</v>
      </c>
      <c r="L334" s="451">
        <v>7.0000000000000007E-2</v>
      </c>
      <c r="M334" s="447">
        <v>0.29000000000000004</v>
      </c>
      <c r="N334" s="504">
        <v>50.102131267583928</v>
      </c>
      <c r="O334" s="452">
        <v>0.1</v>
      </c>
      <c r="P334" s="450">
        <v>0.39</v>
      </c>
    </row>
    <row r="335" spans="1:16" x14ac:dyDescent="0.25">
      <c r="A335" s="424" t="s">
        <v>3973</v>
      </c>
      <c r="B335" s="439" t="s">
        <v>4056</v>
      </c>
      <c r="C335" s="506">
        <v>77.491891017375337</v>
      </c>
      <c r="D335" s="441">
        <v>0.25</v>
      </c>
      <c r="E335" s="502">
        <v>129</v>
      </c>
      <c r="F335" s="446">
        <v>10</v>
      </c>
      <c r="G335" s="503">
        <v>0.15</v>
      </c>
      <c r="H335" s="504">
        <v>138.70967741935485</v>
      </c>
      <c r="I335" s="449">
        <v>7.0000000000000007E-2</v>
      </c>
      <c r="J335" s="450">
        <v>0.22</v>
      </c>
      <c r="K335" s="505">
        <v>149.15019077349984</v>
      </c>
      <c r="L335" s="451">
        <v>7.0000000000000007E-2</v>
      </c>
      <c r="M335" s="447">
        <v>0.29000000000000004</v>
      </c>
      <c r="N335" s="504">
        <v>165.7224341927776</v>
      </c>
      <c r="O335" s="452">
        <v>0.1</v>
      </c>
      <c r="P335" s="450">
        <v>0.39</v>
      </c>
    </row>
    <row r="336" spans="1:16" x14ac:dyDescent="0.25">
      <c r="A336" s="424" t="s">
        <v>3973</v>
      </c>
      <c r="B336" s="439" t="s">
        <v>3637</v>
      </c>
      <c r="C336" s="506">
        <v>113.24015663277451</v>
      </c>
      <c r="D336" s="441">
        <v>0.25</v>
      </c>
      <c r="E336" s="502">
        <v>189</v>
      </c>
      <c r="F336" s="446">
        <v>10</v>
      </c>
      <c r="G336" s="503">
        <v>0.15</v>
      </c>
      <c r="H336" s="504">
        <v>203.22580645161293</v>
      </c>
      <c r="I336" s="449">
        <v>7.0000000000000007E-2</v>
      </c>
      <c r="J336" s="450">
        <v>0.22</v>
      </c>
      <c r="K336" s="505">
        <v>218.52237252861607</v>
      </c>
      <c r="L336" s="451">
        <v>7.0000000000000007E-2</v>
      </c>
      <c r="M336" s="447">
        <v>0.29000000000000004</v>
      </c>
      <c r="N336" s="504">
        <v>242.80263614290675</v>
      </c>
      <c r="O336" s="452">
        <v>0.1</v>
      </c>
      <c r="P336" s="450">
        <v>0.39</v>
      </c>
    </row>
    <row r="337" spans="1:16" x14ac:dyDescent="0.25">
      <c r="A337" s="424" t="s">
        <v>3973</v>
      </c>
      <c r="B337" s="439" t="s">
        <v>4057</v>
      </c>
      <c r="C337" s="506">
        <v>170.28314414572529</v>
      </c>
      <c r="D337" s="441">
        <v>0.25</v>
      </c>
      <c r="E337" s="502">
        <v>279</v>
      </c>
      <c r="F337" s="446">
        <v>10</v>
      </c>
      <c r="G337" s="503">
        <v>0.15</v>
      </c>
      <c r="H337" s="504">
        <v>300</v>
      </c>
      <c r="I337" s="449">
        <v>7.0000000000000007E-2</v>
      </c>
      <c r="J337" s="450">
        <v>0.22</v>
      </c>
      <c r="K337" s="505">
        <v>322.58064516129036</v>
      </c>
      <c r="L337" s="451">
        <v>7.0000000000000007E-2</v>
      </c>
      <c r="M337" s="447">
        <v>0.29000000000000004</v>
      </c>
      <c r="N337" s="504">
        <v>358.42293906810039</v>
      </c>
      <c r="O337" s="452">
        <v>0.1</v>
      </c>
      <c r="P337" s="450">
        <v>0.39</v>
      </c>
    </row>
    <row r="338" spans="1:16" x14ac:dyDescent="0.25">
      <c r="A338" s="424" t="s">
        <v>3973</v>
      </c>
      <c r="B338" s="439" t="s">
        <v>4058</v>
      </c>
      <c r="C338" s="506">
        <v>290.61324907382942</v>
      </c>
      <c r="D338" s="441">
        <v>0.25</v>
      </c>
      <c r="E338" s="502">
        <v>479</v>
      </c>
      <c r="F338" s="446">
        <v>10</v>
      </c>
      <c r="G338" s="503">
        <v>0.15</v>
      </c>
      <c r="H338" s="504">
        <v>515.05376344086028</v>
      </c>
      <c r="I338" s="449">
        <v>7.0000000000000007E-2</v>
      </c>
      <c r="J338" s="450">
        <v>0.22</v>
      </c>
      <c r="K338" s="505">
        <v>553.82125101167776</v>
      </c>
      <c r="L338" s="451">
        <v>7.0000000000000007E-2</v>
      </c>
      <c r="M338" s="447">
        <v>0.29000000000000004</v>
      </c>
      <c r="N338" s="504">
        <v>615.35694556853082</v>
      </c>
      <c r="O338" s="452">
        <v>0.1</v>
      </c>
      <c r="P338" s="450">
        <v>0.39</v>
      </c>
    </row>
    <row r="339" spans="1:16" x14ac:dyDescent="0.25">
      <c r="A339" s="424" t="s">
        <v>3973</v>
      </c>
      <c r="B339" s="439" t="s">
        <v>4059</v>
      </c>
      <c r="C339" s="506">
        <v>328.99847791485996</v>
      </c>
      <c r="D339" s="441">
        <v>0.25</v>
      </c>
      <c r="E339" s="502">
        <v>549</v>
      </c>
      <c r="F339" s="446">
        <v>10</v>
      </c>
      <c r="G339" s="503">
        <v>0.15</v>
      </c>
      <c r="H339" s="504">
        <v>590.32258064516134</v>
      </c>
      <c r="I339" s="449">
        <v>7.0000000000000007E-2</v>
      </c>
      <c r="J339" s="450">
        <v>0.22</v>
      </c>
      <c r="K339" s="505">
        <v>634.75546305931334</v>
      </c>
      <c r="L339" s="451">
        <v>7.0000000000000007E-2</v>
      </c>
      <c r="M339" s="447">
        <v>0.29000000000000004</v>
      </c>
      <c r="N339" s="504">
        <v>705.28384784368143</v>
      </c>
      <c r="O339" s="452">
        <v>0.1</v>
      </c>
      <c r="P339" s="450">
        <v>0.39</v>
      </c>
    </row>
    <row r="340" spans="1:16" x14ac:dyDescent="0.25">
      <c r="A340" s="424" t="s">
        <v>3973</v>
      </c>
      <c r="B340" s="439" t="s">
        <v>4060</v>
      </c>
      <c r="C340" s="506">
        <v>754.89291586589241</v>
      </c>
      <c r="D340" s="441">
        <v>0.25</v>
      </c>
      <c r="E340" s="502">
        <v>1259</v>
      </c>
      <c r="F340" s="446">
        <v>10</v>
      </c>
      <c r="G340" s="503">
        <v>0.15</v>
      </c>
      <c r="H340" s="504">
        <v>1349</v>
      </c>
      <c r="I340" s="449">
        <v>7.0000000000000007E-2</v>
      </c>
      <c r="J340" s="450">
        <v>0.22</v>
      </c>
      <c r="K340" s="505">
        <v>1449</v>
      </c>
      <c r="L340" s="451">
        <v>7.0000000000000007E-2</v>
      </c>
      <c r="M340" s="447">
        <v>0.29000000000000004</v>
      </c>
      <c r="N340" s="504">
        <v>1609</v>
      </c>
      <c r="O340" s="452">
        <v>0.1</v>
      </c>
      <c r="P340" s="450">
        <v>0.39</v>
      </c>
    </row>
    <row r="341" spans="1:16" x14ac:dyDescent="0.25">
      <c r="A341" s="424" t="s">
        <v>3973</v>
      </c>
      <c r="B341" s="439" t="s">
        <v>254</v>
      </c>
      <c r="C341" s="506">
        <v>1982.53</v>
      </c>
      <c r="D341" s="441">
        <v>0.25</v>
      </c>
      <c r="E341" s="502">
        <v>2829</v>
      </c>
      <c r="F341" s="446">
        <v>10</v>
      </c>
      <c r="G341" s="503">
        <v>0.05</v>
      </c>
      <c r="H341" s="504">
        <v>2979</v>
      </c>
      <c r="I341" s="449">
        <v>0.05</v>
      </c>
      <c r="J341" s="450">
        <v>0.1</v>
      </c>
      <c r="K341" s="505">
        <v>3199</v>
      </c>
      <c r="L341" s="451">
        <v>7.0000000000000007E-2</v>
      </c>
      <c r="M341" s="447">
        <v>0.17</v>
      </c>
      <c r="N341" s="504">
        <v>3369</v>
      </c>
      <c r="O341" s="452">
        <v>0.05</v>
      </c>
      <c r="P341" s="450">
        <v>0.22000000000000003</v>
      </c>
    </row>
    <row r="342" spans="1:16" x14ac:dyDescent="0.25">
      <c r="A342" s="424" t="s">
        <v>3973</v>
      </c>
      <c r="B342" s="439" t="s">
        <v>4061</v>
      </c>
      <c r="C342" s="506">
        <v>9130.5400000000009</v>
      </c>
      <c r="D342" s="441">
        <v>0.25</v>
      </c>
      <c r="E342" s="502">
        <v>13039</v>
      </c>
      <c r="F342" s="446">
        <v>10</v>
      </c>
      <c r="G342" s="503">
        <v>0.05</v>
      </c>
      <c r="H342" s="504">
        <v>13729</v>
      </c>
      <c r="I342" s="449">
        <v>0.05</v>
      </c>
      <c r="J342" s="450">
        <v>0.1</v>
      </c>
      <c r="K342" s="505">
        <v>14759</v>
      </c>
      <c r="L342" s="451">
        <v>7.0000000000000007E-2</v>
      </c>
      <c r="M342" s="447">
        <v>0.17</v>
      </c>
      <c r="N342" s="504">
        <v>15539</v>
      </c>
      <c r="O342" s="452">
        <v>0.05</v>
      </c>
      <c r="P342" s="450">
        <v>0.22000000000000003</v>
      </c>
    </row>
    <row r="343" spans="1:16" x14ac:dyDescent="0.25">
      <c r="A343" s="424" t="s">
        <v>3973</v>
      </c>
      <c r="B343" s="439" t="s">
        <v>4062</v>
      </c>
      <c r="C343" s="506">
        <v>54.78</v>
      </c>
      <c r="D343" s="441">
        <v>0.25</v>
      </c>
      <c r="E343" s="502">
        <v>79</v>
      </c>
      <c r="F343" s="446">
        <v>10</v>
      </c>
      <c r="G343" s="503">
        <v>0.1</v>
      </c>
      <c r="H343" s="504">
        <v>84.946236559139791</v>
      </c>
      <c r="I343" s="449">
        <v>7.0000000000000007E-2</v>
      </c>
      <c r="J343" s="450">
        <v>0.17</v>
      </c>
      <c r="K343" s="505">
        <v>91.340039310903009</v>
      </c>
      <c r="L343" s="451">
        <v>7.0000000000000007E-2</v>
      </c>
      <c r="M343" s="447">
        <v>0.24000000000000002</v>
      </c>
      <c r="N343" s="504">
        <v>98.215096033229045</v>
      </c>
      <c r="O343" s="452">
        <v>7.0000000000000007E-2</v>
      </c>
      <c r="P343" s="450">
        <v>0.31000000000000005</v>
      </c>
    </row>
    <row r="344" spans="1:16" x14ac:dyDescent="0.25">
      <c r="A344" s="424" t="s">
        <v>3973</v>
      </c>
      <c r="B344" s="439" t="s">
        <v>4063</v>
      </c>
      <c r="C344" s="506">
        <v>115.41</v>
      </c>
      <c r="D344" s="441">
        <v>0.25</v>
      </c>
      <c r="E344" s="502">
        <v>179</v>
      </c>
      <c r="F344" s="446">
        <v>10</v>
      </c>
      <c r="G344" s="503">
        <v>0.1</v>
      </c>
      <c r="H344" s="504">
        <v>192.47311827956992</v>
      </c>
      <c r="I344" s="449">
        <v>7.0000000000000007E-2</v>
      </c>
      <c r="J344" s="450">
        <v>0.17</v>
      </c>
      <c r="K344" s="505">
        <v>206.96034223609669</v>
      </c>
      <c r="L344" s="451">
        <v>7.0000000000000007E-2</v>
      </c>
      <c r="M344" s="447">
        <v>0.24000000000000002</v>
      </c>
      <c r="N344" s="504">
        <v>222.53800240440506</v>
      </c>
      <c r="O344" s="452">
        <v>7.0000000000000007E-2</v>
      </c>
      <c r="P344" s="450">
        <v>0.31000000000000005</v>
      </c>
    </row>
    <row r="345" spans="1:16" x14ac:dyDescent="0.25">
      <c r="A345" s="424" t="s">
        <v>3973</v>
      </c>
      <c r="B345" s="439" t="s">
        <v>3639</v>
      </c>
      <c r="C345" s="506">
        <v>377.83</v>
      </c>
      <c r="D345" s="441">
        <v>0.25</v>
      </c>
      <c r="E345" s="502">
        <v>579</v>
      </c>
      <c r="F345" s="446">
        <v>10</v>
      </c>
      <c r="G345" s="503">
        <v>0.1</v>
      </c>
      <c r="H345" s="504">
        <v>622.58064516129036</v>
      </c>
      <c r="I345" s="449">
        <v>7.0000000000000007E-2</v>
      </c>
      <c r="J345" s="450">
        <v>0.17</v>
      </c>
      <c r="K345" s="505">
        <v>669.4415539368714</v>
      </c>
      <c r="L345" s="451">
        <v>7.0000000000000007E-2</v>
      </c>
      <c r="M345" s="447">
        <v>0.24000000000000002</v>
      </c>
      <c r="N345" s="504">
        <v>719.82962788910913</v>
      </c>
      <c r="O345" s="452">
        <v>7.0000000000000007E-2</v>
      </c>
      <c r="P345" s="450">
        <v>0.31000000000000005</v>
      </c>
    </row>
    <row r="346" spans="1:16" x14ac:dyDescent="0.25">
      <c r="A346" s="424" t="s">
        <v>3973</v>
      </c>
      <c r="B346" s="439" t="s">
        <v>4064</v>
      </c>
      <c r="C346" s="506">
        <v>14</v>
      </c>
      <c r="D346" s="441">
        <v>0.25</v>
      </c>
      <c r="E346" s="502">
        <v>19</v>
      </c>
      <c r="F346" s="446">
        <v>10</v>
      </c>
      <c r="G346" s="503">
        <v>0.1</v>
      </c>
      <c r="H346" s="504">
        <v>20.43010752688172</v>
      </c>
      <c r="I346" s="449">
        <v>7.0000000000000007E-2</v>
      </c>
      <c r="J346" s="450">
        <v>0.17</v>
      </c>
      <c r="K346" s="505">
        <v>21.967857555786797</v>
      </c>
      <c r="L346" s="451">
        <v>7.0000000000000007E-2</v>
      </c>
      <c r="M346" s="447">
        <v>0.24000000000000002</v>
      </c>
      <c r="N346" s="504">
        <v>23.62135221052344</v>
      </c>
      <c r="O346" s="452">
        <v>7.0000000000000007E-2</v>
      </c>
      <c r="P346" s="450">
        <v>0.31000000000000005</v>
      </c>
    </row>
    <row r="347" spans="1:16" x14ac:dyDescent="0.25">
      <c r="A347" s="424" t="s">
        <v>3973</v>
      </c>
      <c r="B347" s="439" t="s">
        <v>3638</v>
      </c>
      <c r="C347" s="506">
        <v>18.05</v>
      </c>
      <c r="D347" s="441">
        <v>0.25</v>
      </c>
      <c r="E347" s="502">
        <v>29</v>
      </c>
      <c r="F347" s="446">
        <v>10</v>
      </c>
      <c r="G347" s="503">
        <v>0.1</v>
      </c>
      <c r="H347" s="504">
        <v>31.182795698924732</v>
      </c>
      <c r="I347" s="449">
        <v>7.0000000000000007E-2</v>
      </c>
      <c r="J347" s="450">
        <v>0.17</v>
      </c>
      <c r="K347" s="505">
        <v>33.529887848306167</v>
      </c>
      <c r="L347" s="451">
        <v>7.0000000000000007E-2</v>
      </c>
      <c r="M347" s="447">
        <v>0.24000000000000002</v>
      </c>
      <c r="N347" s="504">
        <v>36.053642847641044</v>
      </c>
      <c r="O347" s="452">
        <v>7.0000000000000007E-2</v>
      </c>
      <c r="P347" s="450">
        <v>0.31000000000000005</v>
      </c>
    </row>
    <row r="348" spans="1:16" x14ac:dyDescent="0.25">
      <c r="A348" s="424" t="s">
        <v>3973</v>
      </c>
      <c r="B348" s="439" t="s">
        <v>4065</v>
      </c>
      <c r="C348" s="506">
        <v>123.41</v>
      </c>
      <c r="D348" s="441">
        <v>0.25</v>
      </c>
      <c r="E348" s="502">
        <v>189</v>
      </c>
      <c r="F348" s="446">
        <v>10</v>
      </c>
      <c r="G348" s="503">
        <v>0.1</v>
      </c>
      <c r="H348" s="504">
        <v>203.22580645161293</v>
      </c>
      <c r="I348" s="449">
        <v>7.0000000000000007E-2</v>
      </c>
      <c r="J348" s="450">
        <v>0.17</v>
      </c>
      <c r="K348" s="505">
        <v>218.52237252861607</v>
      </c>
      <c r="L348" s="451">
        <v>7.0000000000000007E-2</v>
      </c>
      <c r="M348" s="447">
        <v>0.24000000000000002</v>
      </c>
      <c r="N348" s="504">
        <v>234.97029304152267</v>
      </c>
      <c r="O348" s="452">
        <v>7.0000000000000007E-2</v>
      </c>
      <c r="P348" s="450">
        <v>0.31000000000000005</v>
      </c>
    </row>
    <row r="349" spans="1:16" x14ac:dyDescent="0.25">
      <c r="A349" s="424" t="s">
        <v>3973</v>
      </c>
      <c r="B349" s="439" t="s">
        <v>3640</v>
      </c>
      <c r="C349" s="506">
        <v>8.39</v>
      </c>
      <c r="D349" s="441">
        <v>0.25</v>
      </c>
      <c r="E349" s="502">
        <v>9</v>
      </c>
      <c r="F349" s="446">
        <v>10</v>
      </c>
      <c r="G349" s="503">
        <v>0.1</v>
      </c>
      <c r="H349" s="504">
        <v>9.67741935483871</v>
      </c>
      <c r="I349" s="449">
        <v>7.0000000000000007E-2</v>
      </c>
      <c r="J349" s="450">
        <v>0.17</v>
      </c>
      <c r="K349" s="505">
        <v>10.405827263267431</v>
      </c>
      <c r="L349" s="451">
        <v>7.0000000000000007E-2</v>
      </c>
      <c r="M349" s="447">
        <v>0.24000000000000002</v>
      </c>
      <c r="N349" s="504">
        <v>11.189061573405841</v>
      </c>
      <c r="O349" s="452">
        <v>7.0000000000000007E-2</v>
      </c>
      <c r="P349" s="450">
        <v>0.31000000000000005</v>
      </c>
    </row>
    <row r="350" spans="1:16" x14ac:dyDescent="0.25">
      <c r="A350" s="424" t="s">
        <v>3973</v>
      </c>
      <c r="B350" s="439" t="s">
        <v>4066</v>
      </c>
      <c r="C350" s="506">
        <v>12.5</v>
      </c>
      <c r="D350" s="441">
        <v>0.25</v>
      </c>
      <c r="E350" s="502">
        <v>19</v>
      </c>
      <c r="F350" s="446">
        <v>10</v>
      </c>
      <c r="G350" s="503">
        <v>0.1</v>
      </c>
      <c r="H350" s="504">
        <v>20.43010752688172</v>
      </c>
      <c r="I350" s="449">
        <v>7.0000000000000007E-2</v>
      </c>
      <c r="J350" s="450">
        <v>0.17</v>
      </c>
      <c r="K350" s="505">
        <v>21.967857555786797</v>
      </c>
      <c r="L350" s="451">
        <v>7.0000000000000007E-2</v>
      </c>
      <c r="M350" s="447">
        <v>0.24000000000000002</v>
      </c>
      <c r="N350" s="504">
        <v>23.62135221052344</v>
      </c>
      <c r="O350" s="452">
        <v>7.0000000000000007E-2</v>
      </c>
      <c r="P350" s="450">
        <v>0.31000000000000005</v>
      </c>
    </row>
    <row r="351" spans="1:16" x14ac:dyDescent="0.25">
      <c r="A351" s="424" t="s">
        <v>3973</v>
      </c>
      <c r="B351" s="439" t="s">
        <v>4067</v>
      </c>
      <c r="C351" s="506">
        <v>7.23</v>
      </c>
      <c r="D351" s="441">
        <v>0.25</v>
      </c>
      <c r="E351" s="502">
        <v>9</v>
      </c>
      <c r="F351" s="446">
        <v>10</v>
      </c>
      <c r="G351" s="503">
        <v>0.1</v>
      </c>
      <c r="H351" s="504">
        <v>9.67741935483871</v>
      </c>
      <c r="I351" s="449">
        <v>7.0000000000000007E-2</v>
      </c>
      <c r="J351" s="450">
        <v>0.17</v>
      </c>
      <c r="K351" s="505">
        <v>10.405827263267431</v>
      </c>
      <c r="L351" s="451">
        <v>7.0000000000000007E-2</v>
      </c>
      <c r="M351" s="447">
        <v>0.24000000000000002</v>
      </c>
      <c r="N351" s="504">
        <v>11.189061573405841</v>
      </c>
      <c r="O351" s="452">
        <v>7.0000000000000007E-2</v>
      </c>
      <c r="P351" s="450">
        <v>0.31000000000000005</v>
      </c>
    </row>
    <row r="352" spans="1:16" x14ac:dyDescent="0.25">
      <c r="A352" s="424" t="s">
        <v>3973</v>
      </c>
      <c r="B352" s="439" t="s">
        <v>4068</v>
      </c>
      <c r="C352" s="506">
        <v>35.36</v>
      </c>
      <c r="D352" s="441">
        <v>0.25</v>
      </c>
      <c r="E352" s="502">
        <v>49</v>
      </c>
      <c r="F352" s="446">
        <v>10</v>
      </c>
      <c r="G352" s="503">
        <v>0.1</v>
      </c>
      <c r="H352" s="504">
        <v>52.688172043010759</v>
      </c>
      <c r="I352" s="449">
        <v>7.0000000000000007E-2</v>
      </c>
      <c r="J352" s="450">
        <v>0.17</v>
      </c>
      <c r="K352" s="505">
        <v>56.653948433344908</v>
      </c>
      <c r="L352" s="451">
        <v>7.0000000000000007E-2</v>
      </c>
      <c r="M352" s="447">
        <v>0.24000000000000002</v>
      </c>
      <c r="N352" s="504">
        <v>60.91822412187625</v>
      </c>
      <c r="O352" s="452">
        <v>7.0000000000000007E-2</v>
      </c>
      <c r="P352" s="450">
        <v>0.31000000000000005</v>
      </c>
    </row>
    <row r="353" spans="1:16" x14ac:dyDescent="0.25">
      <c r="A353" s="424" t="s">
        <v>3976</v>
      </c>
      <c r="B353" s="439" t="s">
        <v>238</v>
      </c>
      <c r="C353" s="506">
        <v>2277.2446172494169</v>
      </c>
      <c r="D353" s="441">
        <v>0.25</v>
      </c>
      <c r="E353" s="502">
        <v>3039</v>
      </c>
      <c r="F353" s="446">
        <v>10</v>
      </c>
      <c r="G353" s="503">
        <v>0</v>
      </c>
      <c r="H353" s="504">
        <v>3199</v>
      </c>
      <c r="I353" s="449">
        <v>0.05</v>
      </c>
      <c r="J353" s="450">
        <v>0.05</v>
      </c>
      <c r="K353" s="505">
        <v>3369</v>
      </c>
      <c r="L353" s="451">
        <v>0.05</v>
      </c>
      <c r="M353" s="447">
        <v>0.1</v>
      </c>
      <c r="N353" s="504">
        <v>3549</v>
      </c>
      <c r="O353" s="452">
        <v>0.05</v>
      </c>
      <c r="P353" s="450">
        <v>0.15000000000000002</v>
      </c>
    </row>
    <row r="354" spans="1:16" x14ac:dyDescent="0.25">
      <c r="A354" s="424" t="s">
        <v>3976</v>
      </c>
      <c r="B354" s="439" t="s">
        <v>239</v>
      </c>
      <c r="C354" s="506">
        <v>3462.1860742718445</v>
      </c>
      <c r="D354" s="441">
        <v>0.25</v>
      </c>
      <c r="E354" s="502">
        <v>4619</v>
      </c>
      <c r="F354" s="446">
        <v>10</v>
      </c>
      <c r="G354" s="503">
        <v>0</v>
      </c>
      <c r="H354" s="504">
        <v>4859</v>
      </c>
      <c r="I354" s="449">
        <v>0.05</v>
      </c>
      <c r="J354" s="450">
        <v>0.05</v>
      </c>
      <c r="K354" s="505">
        <v>5109</v>
      </c>
      <c r="L354" s="451">
        <v>0.05</v>
      </c>
      <c r="M354" s="447">
        <v>0.1</v>
      </c>
      <c r="N354" s="504">
        <v>5379</v>
      </c>
      <c r="O354" s="452">
        <v>0.05</v>
      </c>
      <c r="P354" s="450">
        <v>0.15000000000000002</v>
      </c>
    </row>
    <row r="355" spans="1:16" x14ac:dyDescent="0.25">
      <c r="A355" s="424" t="s">
        <v>4069</v>
      </c>
      <c r="B355" s="439" t="s">
        <v>4070</v>
      </c>
      <c r="C355" s="506">
        <v>179.67239999999998</v>
      </c>
      <c r="D355" s="441">
        <v>0.25</v>
      </c>
      <c r="E355" s="502">
        <v>239</v>
      </c>
      <c r="F355" s="446">
        <v>1</v>
      </c>
      <c r="G355" s="503">
        <v>0</v>
      </c>
      <c r="H355" s="504">
        <v>251.57894736842107</v>
      </c>
      <c r="I355" s="449">
        <v>0.05</v>
      </c>
      <c r="J355" s="450">
        <v>0.05</v>
      </c>
      <c r="K355" s="505">
        <v>264.819944598338</v>
      </c>
      <c r="L355" s="451">
        <v>0.05</v>
      </c>
      <c r="M355" s="447">
        <v>0.1</v>
      </c>
      <c r="N355" s="504">
        <v>278.75783641930315</v>
      </c>
      <c r="O355" s="452">
        <v>0.05</v>
      </c>
      <c r="P355" s="450">
        <v>0.15000000000000002</v>
      </c>
    </row>
    <row r="356" spans="1:16" x14ac:dyDescent="0.25">
      <c r="A356" s="424" t="s">
        <v>4069</v>
      </c>
      <c r="B356" s="439" t="s">
        <v>4071</v>
      </c>
      <c r="C356" s="506">
        <v>78.114399999999989</v>
      </c>
      <c r="D356" s="441">
        <v>0.25</v>
      </c>
      <c r="E356" s="502">
        <v>103</v>
      </c>
      <c r="F356" s="446">
        <v>1</v>
      </c>
      <c r="G356" s="503">
        <v>0</v>
      </c>
      <c r="H356" s="504">
        <v>108.42105263157896</v>
      </c>
      <c r="I356" s="449">
        <v>0.05</v>
      </c>
      <c r="J356" s="450">
        <v>0.05</v>
      </c>
      <c r="K356" s="505">
        <v>114.1274238227147</v>
      </c>
      <c r="L356" s="451">
        <v>0.05</v>
      </c>
      <c r="M356" s="447">
        <v>0.1</v>
      </c>
      <c r="N356" s="504">
        <v>120.13413033969969</v>
      </c>
      <c r="O356" s="452">
        <v>0.05</v>
      </c>
      <c r="P356" s="450">
        <v>0.15000000000000002</v>
      </c>
    </row>
    <row r="357" spans="1:16" x14ac:dyDescent="0.25">
      <c r="A357" s="424" t="s">
        <v>4069</v>
      </c>
      <c r="B357" s="439" t="s">
        <v>4072</v>
      </c>
      <c r="C357" s="506">
        <v>602.68959999999993</v>
      </c>
      <c r="D357" s="441">
        <v>0.25</v>
      </c>
      <c r="E357" s="502">
        <v>803</v>
      </c>
      <c r="F357" s="446">
        <v>1</v>
      </c>
      <c r="G357" s="503">
        <v>0</v>
      </c>
      <c r="H357" s="504">
        <v>845.26315789473688</v>
      </c>
      <c r="I357" s="449">
        <v>0.05</v>
      </c>
      <c r="J357" s="450">
        <v>0.05</v>
      </c>
      <c r="K357" s="505">
        <v>889.75069252077571</v>
      </c>
      <c r="L357" s="451">
        <v>0.05</v>
      </c>
      <c r="M357" s="447">
        <v>0.1</v>
      </c>
      <c r="N357" s="504">
        <v>936.57967633765873</v>
      </c>
      <c r="O357" s="452">
        <v>0.05</v>
      </c>
      <c r="P357" s="450">
        <v>0.15000000000000002</v>
      </c>
    </row>
    <row r="358" spans="1:16" x14ac:dyDescent="0.25">
      <c r="A358" s="424" t="s">
        <v>4069</v>
      </c>
      <c r="B358" s="439" t="s">
        <v>4073</v>
      </c>
      <c r="C358" s="506">
        <v>53.220799999999997</v>
      </c>
      <c r="D358" s="441">
        <v>0.25</v>
      </c>
      <c r="E358" s="502">
        <v>70</v>
      </c>
      <c r="F358" s="446">
        <v>1</v>
      </c>
      <c r="G358" s="503">
        <v>0</v>
      </c>
      <c r="H358" s="504">
        <v>73.684210526315795</v>
      </c>
      <c r="I358" s="449">
        <v>0.05</v>
      </c>
      <c r="J358" s="450">
        <v>0.05</v>
      </c>
      <c r="K358" s="505">
        <v>77.5623268698061</v>
      </c>
      <c r="L358" s="451">
        <v>0.05</v>
      </c>
      <c r="M358" s="447">
        <v>0.1</v>
      </c>
      <c r="N358" s="504">
        <v>81.644554599795896</v>
      </c>
      <c r="O358" s="452">
        <v>0.05</v>
      </c>
      <c r="P358" s="450">
        <v>0.15000000000000002</v>
      </c>
    </row>
    <row r="359" spans="1:16" x14ac:dyDescent="0.25">
      <c r="A359" s="424" t="s">
        <v>4069</v>
      </c>
      <c r="B359" s="439" t="s">
        <v>4074</v>
      </c>
      <c r="C359" s="506">
        <v>69.11205714285714</v>
      </c>
      <c r="D359" s="441">
        <v>0.25</v>
      </c>
      <c r="E359" s="502">
        <v>91</v>
      </c>
      <c r="F359" s="446">
        <v>1</v>
      </c>
      <c r="G359" s="503">
        <v>0</v>
      </c>
      <c r="H359" s="504">
        <v>95.789473684210535</v>
      </c>
      <c r="I359" s="449">
        <v>0.05</v>
      </c>
      <c r="J359" s="450">
        <v>0.05</v>
      </c>
      <c r="K359" s="505">
        <v>100.83102493074793</v>
      </c>
      <c r="L359" s="451">
        <v>0.05</v>
      </c>
      <c r="M359" s="447">
        <v>0.1</v>
      </c>
      <c r="N359" s="504">
        <v>106.13792097973467</v>
      </c>
      <c r="O359" s="452">
        <v>0.05</v>
      </c>
      <c r="P359" s="450">
        <v>0.15000000000000002</v>
      </c>
    </row>
    <row r="360" spans="1:16" x14ac:dyDescent="0.25">
      <c r="A360" s="424" t="s">
        <v>4069</v>
      </c>
      <c r="B360" s="439" t="s">
        <v>4075</v>
      </c>
      <c r="C360" s="506">
        <v>7.1160869565217402</v>
      </c>
      <c r="D360" s="441">
        <v>0.25</v>
      </c>
      <c r="E360" s="502">
        <v>8</v>
      </c>
      <c r="F360" s="446">
        <v>1</v>
      </c>
      <c r="G360" s="503">
        <v>0</v>
      </c>
      <c r="H360" s="504">
        <v>8.4210526315789469</v>
      </c>
      <c r="I360" s="449">
        <v>0.05</v>
      </c>
      <c r="J360" s="450">
        <v>0.05</v>
      </c>
      <c r="K360" s="505">
        <v>8.86426592797784</v>
      </c>
      <c r="L360" s="451">
        <v>0.05</v>
      </c>
      <c r="M360" s="447">
        <v>0.1</v>
      </c>
      <c r="N360" s="504">
        <v>9.330806239976674</v>
      </c>
      <c r="O360" s="452">
        <v>0.05</v>
      </c>
      <c r="P360" s="450">
        <v>0.15000000000000002</v>
      </c>
    </row>
    <row r="361" spans="1:16" x14ac:dyDescent="0.25">
      <c r="A361" s="424" t="s">
        <v>4069</v>
      </c>
      <c r="B361" s="439" t="s">
        <v>4076</v>
      </c>
      <c r="C361" s="506">
        <v>36.399619759236209</v>
      </c>
      <c r="D361" s="441">
        <v>0.25</v>
      </c>
      <c r="E361" s="502">
        <v>48</v>
      </c>
      <c r="F361" s="446">
        <v>1</v>
      </c>
      <c r="G361" s="503">
        <v>0</v>
      </c>
      <c r="H361" s="504">
        <v>50.526315789473685</v>
      </c>
      <c r="I361" s="449">
        <v>0.05</v>
      </c>
      <c r="J361" s="450">
        <v>0.05</v>
      </c>
      <c r="K361" s="505">
        <v>53.18559556786704</v>
      </c>
      <c r="L361" s="451">
        <v>0.05</v>
      </c>
      <c r="M361" s="447">
        <v>0.1</v>
      </c>
      <c r="N361" s="504">
        <v>55.984837439860044</v>
      </c>
      <c r="O361" s="452">
        <v>0.05</v>
      </c>
      <c r="P361" s="450">
        <v>0.15000000000000002</v>
      </c>
    </row>
    <row r="362" spans="1:16" x14ac:dyDescent="0.25">
      <c r="A362" s="424" t="s">
        <v>4069</v>
      </c>
      <c r="B362" s="439" t="s">
        <v>4077</v>
      </c>
      <c r="C362" s="506">
        <v>10.57</v>
      </c>
      <c r="D362" s="441">
        <v>0.25</v>
      </c>
      <c r="E362" s="502">
        <v>13</v>
      </c>
      <c r="F362" s="446">
        <v>1</v>
      </c>
      <c r="G362" s="503">
        <v>0</v>
      </c>
      <c r="H362" s="504">
        <v>13.684210526315789</v>
      </c>
      <c r="I362" s="449">
        <v>0.05</v>
      </c>
      <c r="J362" s="450">
        <v>0.05</v>
      </c>
      <c r="K362" s="505">
        <v>14.40443213296399</v>
      </c>
      <c r="L362" s="451">
        <v>0.05</v>
      </c>
      <c r="M362" s="447">
        <v>0.1</v>
      </c>
      <c r="N362" s="504">
        <v>15.162560139962096</v>
      </c>
      <c r="O362" s="452">
        <v>0.05</v>
      </c>
      <c r="P362" s="450">
        <v>0.15000000000000002</v>
      </c>
    </row>
    <row r="363" spans="1:16" x14ac:dyDescent="0.25">
      <c r="A363" s="424" t="s">
        <v>4069</v>
      </c>
      <c r="B363" s="439" t="s">
        <v>4078</v>
      </c>
      <c r="C363" s="506">
        <v>48.302399999999999</v>
      </c>
      <c r="D363" s="441">
        <v>0.25</v>
      </c>
      <c r="E363" s="502">
        <v>63</v>
      </c>
      <c r="F363" s="446">
        <v>1</v>
      </c>
      <c r="G363" s="503">
        <v>0</v>
      </c>
      <c r="H363" s="504">
        <v>66.31578947368422</v>
      </c>
      <c r="I363" s="449">
        <v>0.05</v>
      </c>
      <c r="J363" s="450">
        <v>0.05</v>
      </c>
      <c r="K363" s="505">
        <v>69.806094182825504</v>
      </c>
      <c r="L363" s="451">
        <v>0.05</v>
      </c>
      <c r="M363" s="447">
        <v>0.1</v>
      </c>
      <c r="N363" s="504">
        <v>73.480099139816318</v>
      </c>
      <c r="O363" s="452">
        <v>0.05</v>
      </c>
      <c r="P363" s="450">
        <v>0.15000000000000002</v>
      </c>
    </row>
    <row r="364" spans="1:16" x14ac:dyDescent="0.25">
      <c r="A364" s="424" t="s">
        <v>4069</v>
      </c>
      <c r="B364" s="439" t="s">
        <v>4079</v>
      </c>
      <c r="C364" s="506">
        <v>10.68</v>
      </c>
      <c r="D364" s="441">
        <v>0.25</v>
      </c>
      <c r="E364" s="502">
        <v>13</v>
      </c>
      <c r="F364" s="446">
        <v>1</v>
      </c>
      <c r="G364" s="503">
        <v>0</v>
      </c>
      <c r="H364" s="504">
        <v>13.684210526315789</v>
      </c>
      <c r="I364" s="449">
        <v>0.05</v>
      </c>
      <c r="J364" s="450">
        <v>0.05</v>
      </c>
      <c r="K364" s="505">
        <v>14.40443213296399</v>
      </c>
      <c r="L364" s="451">
        <v>0.05</v>
      </c>
      <c r="M364" s="447">
        <v>0.1</v>
      </c>
      <c r="N364" s="504">
        <v>15.162560139962096</v>
      </c>
      <c r="O364" s="452">
        <v>0.05</v>
      </c>
      <c r="P364" s="450">
        <v>0.15000000000000002</v>
      </c>
    </row>
    <row r="365" spans="1:16" x14ac:dyDescent="0.25">
      <c r="A365" s="424" t="s">
        <v>4069</v>
      </c>
      <c r="B365" s="439" t="s">
        <v>4080</v>
      </c>
      <c r="C365" s="506">
        <v>10.72</v>
      </c>
      <c r="D365" s="441">
        <v>0.25</v>
      </c>
      <c r="E365" s="502">
        <v>13</v>
      </c>
      <c r="F365" s="446">
        <v>1</v>
      </c>
      <c r="G365" s="503">
        <v>0</v>
      </c>
      <c r="H365" s="504">
        <v>13.684210526315789</v>
      </c>
      <c r="I365" s="449">
        <v>0.05</v>
      </c>
      <c r="J365" s="450">
        <v>0.05</v>
      </c>
      <c r="K365" s="505">
        <v>14.40443213296399</v>
      </c>
      <c r="L365" s="451">
        <v>0.05</v>
      </c>
      <c r="M365" s="447">
        <v>0.1</v>
      </c>
      <c r="N365" s="504">
        <v>15.162560139962096</v>
      </c>
      <c r="O365" s="452">
        <v>0.05</v>
      </c>
      <c r="P365" s="450">
        <v>0.15000000000000002</v>
      </c>
    </row>
    <row r="366" spans="1:16" x14ac:dyDescent="0.25">
      <c r="A366" s="424" t="s">
        <v>4069</v>
      </c>
      <c r="B366" s="439" t="s">
        <v>4081</v>
      </c>
      <c r="C366" s="506">
        <v>8.1199999999999992</v>
      </c>
      <c r="D366" s="441">
        <v>0.25</v>
      </c>
      <c r="E366" s="502">
        <v>10</v>
      </c>
      <c r="F366" s="446">
        <v>1</v>
      </c>
      <c r="G366" s="503">
        <v>0</v>
      </c>
      <c r="H366" s="504">
        <v>10.526315789473685</v>
      </c>
      <c r="I366" s="449">
        <v>0.05</v>
      </c>
      <c r="J366" s="450">
        <v>0.05</v>
      </c>
      <c r="K366" s="505">
        <v>11.0803324099723</v>
      </c>
      <c r="L366" s="451">
        <v>0.05</v>
      </c>
      <c r="M366" s="447">
        <v>0.1</v>
      </c>
      <c r="N366" s="504">
        <v>11.663507799970843</v>
      </c>
      <c r="O366" s="452">
        <v>0.05</v>
      </c>
      <c r="P366" s="450">
        <v>0.15000000000000002</v>
      </c>
    </row>
    <row r="367" spans="1:16" x14ac:dyDescent="0.25">
      <c r="A367" s="424" t="s">
        <v>4069</v>
      </c>
      <c r="B367" s="439" t="s">
        <v>4082</v>
      </c>
      <c r="C367" s="506">
        <v>6.44</v>
      </c>
      <c r="D367" s="441">
        <v>0.25</v>
      </c>
      <c r="E367" s="502">
        <v>8</v>
      </c>
      <c r="F367" s="446">
        <v>1</v>
      </c>
      <c r="G367" s="503">
        <v>0</v>
      </c>
      <c r="H367" s="504">
        <v>8.4210526315789469</v>
      </c>
      <c r="I367" s="449">
        <v>0.05</v>
      </c>
      <c r="J367" s="450">
        <v>0.05</v>
      </c>
      <c r="K367" s="505">
        <v>8.86426592797784</v>
      </c>
      <c r="L367" s="451">
        <v>0.05</v>
      </c>
      <c r="M367" s="447">
        <v>0.1</v>
      </c>
      <c r="N367" s="504">
        <v>9.330806239976674</v>
      </c>
      <c r="O367" s="452">
        <v>0.05</v>
      </c>
      <c r="P367" s="450">
        <v>0.15000000000000002</v>
      </c>
    </row>
    <row r="368" spans="1:16" x14ac:dyDescent="0.25">
      <c r="A368" s="424" t="s">
        <v>4069</v>
      </c>
      <c r="B368" s="439" t="s">
        <v>4083</v>
      </c>
      <c r="C368" s="506">
        <v>34.55988</v>
      </c>
      <c r="D368" s="441">
        <v>0.25</v>
      </c>
      <c r="E368" s="502">
        <v>45</v>
      </c>
      <c r="F368" s="446">
        <v>1</v>
      </c>
      <c r="G368" s="503">
        <v>0</v>
      </c>
      <c r="H368" s="504">
        <v>47.368421052631582</v>
      </c>
      <c r="I368" s="449">
        <v>0.05</v>
      </c>
      <c r="J368" s="450">
        <v>0.05</v>
      </c>
      <c r="K368" s="505">
        <v>49.86149584487535</v>
      </c>
      <c r="L368" s="451">
        <v>0.05</v>
      </c>
      <c r="M368" s="447">
        <v>0.1</v>
      </c>
      <c r="N368" s="504">
        <v>52.485785099868792</v>
      </c>
      <c r="O368" s="452">
        <v>0.05</v>
      </c>
      <c r="P368" s="450">
        <v>0.15000000000000002</v>
      </c>
    </row>
    <row r="369" spans="1:16" x14ac:dyDescent="0.25">
      <c r="A369" s="424" t="s">
        <v>4069</v>
      </c>
      <c r="B369" s="439" t="s">
        <v>4084</v>
      </c>
      <c r="C369" s="506">
        <v>28.388207412312777</v>
      </c>
      <c r="D369" s="441">
        <v>0.25</v>
      </c>
      <c r="E369" s="502">
        <v>37</v>
      </c>
      <c r="F369" s="446">
        <v>1</v>
      </c>
      <c r="G369" s="503">
        <v>0</v>
      </c>
      <c r="H369" s="504">
        <v>38.94736842105263</v>
      </c>
      <c r="I369" s="449">
        <v>0.05</v>
      </c>
      <c r="J369" s="450">
        <v>0.05</v>
      </c>
      <c r="K369" s="505">
        <v>40.99722991689751</v>
      </c>
      <c r="L369" s="451">
        <v>0.05</v>
      </c>
      <c r="M369" s="447">
        <v>0.1</v>
      </c>
      <c r="N369" s="504">
        <v>43.154978859892118</v>
      </c>
      <c r="O369" s="452">
        <v>0.05</v>
      </c>
      <c r="P369" s="450">
        <v>0.15000000000000002</v>
      </c>
    </row>
    <row r="370" spans="1:16" x14ac:dyDescent="0.25">
      <c r="A370" s="424" t="s">
        <v>4069</v>
      </c>
      <c r="B370" s="439" t="s">
        <v>4085</v>
      </c>
      <c r="C370" s="506">
        <v>9.0828000000000007</v>
      </c>
      <c r="D370" s="441">
        <v>0.25</v>
      </c>
      <c r="E370" s="502">
        <v>11</v>
      </c>
      <c r="F370" s="446">
        <v>1</v>
      </c>
      <c r="G370" s="503">
        <v>0</v>
      </c>
      <c r="H370" s="504">
        <v>11.578947368421053</v>
      </c>
      <c r="I370" s="449">
        <v>0.05</v>
      </c>
      <c r="J370" s="450">
        <v>0.05</v>
      </c>
      <c r="K370" s="505">
        <v>12.18836565096953</v>
      </c>
      <c r="L370" s="451">
        <v>0.05</v>
      </c>
      <c r="M370" s="447">
        <v>0.1</v>
      </c>
      <c r="N370" s="504">
        <v>12.829858579967928</v>
      </c>
      <c r="O370" s="452">
        <v>0.05</v>
      </c>
      <c r="P370" s="450">
        <v>0.15000000000000002</v>
      </c>
    </row>
    <row r="371" spans="1:16" x14ac:dyDescent="0.25">
      <c r="A371" s="424" t="s">
        <v>4069</v>
      </c>
      <c r="B371" s="439" t="s">
        <v>4086</v>
      </c>
      <c r="C371" s="506">
        <v>4.309997575757575</v>
      </c>
      <c r="D371" s="441">
        <v>0.25</v>
      </c>
      <c r="E371" s="502">
        <v>5</v>
      </c>
      <c r="F371" s="446">
        <v>1</v>
      </c>
      <c r="G371" s="503">
        <v>0</v>
      </c>
      <c r="H371" s="504">
        <v>5.2631578947368425</v>
      </c>
      <c r="I371" s="449">
        <v>0.05</v>
      </c>
      <c r="J371" s="450">
        <v>0.05</v>
      </c>
      <c r="K371" s="505">
        <v>5.54016620498615</v>
      </c>
      <c r="L371" s="451">
        <v>0.05</v>
      </c>
      <c r="M371" s="447">
        <v>0.1</v>
      </c>
      <c r="N371" s="504">
        <v>5.8317538999854213</v>
      </c>
      <c r="O371" s="452">
        <v>0.05</v>
      </c>
      <c r="P371" s="450">
        <v>0.15000000000000002</v>
      </c>
    </row>
    <row r="372" spans="1:16" x14ac:dyDescent="0.25">
      <c r="A372" s="424" t="s">
        <v>4069</v>
      </c>
      <c r="B372" s="439" t="s">
        <v>4087</v>
      </c>
      <c r="C372" s="506">
        <v>4.990062222222222</v>
      </c>
      <c r="D372" s="441">
        <v>0.25</v>
      </c>
      <c r="E372" s="502">
        <v>6</v>
      </c>
      <c r="F372" s="446">
        <v>1</v>
      </c>
      <c r="G372" s="503">
        <v>0</v>
      </c>
      <c r="H372" s="504">
        <v>6.3157894736842106</v>
      </c>
      <c r="I372" s="449">
        <v>0.05</v>
      </c>
      <c r="J372" s="450">
        <v>0.05</v>
      </c>
      <c r="K372" s="505">
        <v>6.64819944598338</v>
      </c>
      <c r="L372" s="451">
        <v>0.05</v>
      </c>
      <c r="M372" s="447">
        <v>0.1</v>
      </c>
      <c r="N372" s="504">
        <v>6.9981046799825055</v>
      </c>
      <c r="O372" s="452">
        <v>0.05</v>
      </c>
      <c r="P372" s="450">
        <v>0.15000000000000002</v>
      </c>
    </row>
    <row r="373" spans="1:16" x14ac:dyDescent="0.25">
      <c r="A373" s="424" t="s">
        <v>4069</v>
      </c>
      <c r="B373" s="439" t="s">
        <v>4088</v>
      </c>
      <c r="C373" s="506">
        <v>6.2400266666666662</v>
      </c>
      <c r="D373" s="441">
        <v>0.25</v>
      </c>
      <c r="E373" s="502">
        <v>7</v>
      </c>
      <c r="F373" s="446">
        <v>1</v>
      </c>
      <c r="G373" s="503">
        <v>0</v>
      </c>
      <c r="H373" s="504">
        <v>7.3684210526315796</v>
      </c>
      <c r="I373" s="449">
        <v>0.05</v>
      </c>
      <c r="J373" s="450">
        <v>0.05</v>
      </c>
      <c r="K373" s="505">
        <v>7.7562326869806109</v>
      </c>
      <c r="L373" s="451">
        <v>0.05</v>
      </c>
      <c r="M373" s="447">
        <v>0.1</v>
      </c>
      <c r="N373" s="504">
        <v>8.1644554599795907</v>
      </c>
      <c r="O373" s="452">
        <v>0.05</v>
      </c>
      <c r="P373" s="450">
        <v>0.15000000000000002</v>
      </c>
    </row>
    <row r="374" spans="1:16" x14ac:dyDescent="0.25">
      <c r="A374" s="424" t="s">
        <v>4069</v>
      </c>
      <c r="B374" s="439" t="s">
        <v>4089</v>
      </c>
      <c r="C374" s="506">
        <v>10.675547049082653</v>
      </c>
      <c r="D374" s="441">
        <v>0.25</v>
      </c>
      <c r="E374" s="502">
        <v>13</v>
      </c>
      <c r="F374" s="446">
        <v>1</v>
      </c>
      <c r="G374" s="503">
        <v>0</v>
      </c>
      <c r="H374" s="504">
        <v>13.684210526315789</v>
      </c>
      <c r="I374" s="449">
        <v>0.05</v>
      </c>
      <c r="J374" s="450">
        <v>0.05</v>
      </c>
      <c r="K374" s="505">
        <v>14.40443213296399</v>
      </c>
      <c r="L374" s="451">
        <v>0.05</v>
      </c>
      <c r="M374" s="447">
        <v>0.1</v>
      </c>
      <c r="N374" s="504">
        <v>15.162560139962096</v>
      </c>
      <c r="O374" s="452">
        <v>0.05</v>
      </c>
      <c r="P374" s="450">
        <v>0.15000000000000002</v>
      </c>
    </row>
    <row r="375" spans="1:16" x14ac:dyDescent="0.25">
      <c r="A375" s="424" t="s">
        <v>4069</v>
      </c>
      <c r="B375" s="439" t="s">
        <v>4090</v>
      </c>
      <c r="C375" s="506">
        <v>99.149839999999983</v>
      </c>
      <c r="D375" s="441">
        <v>0.25</v>
      </c>
      <c r="E375" s="502">
        <v>129</v>
      </c>
      <c r="F375" s="446">
        <v>10</v>
      </c>
      <c r="G375" s="503">
        <v>0</v>
      </c>
      <c r="H375" s="504">
        <v>135.78947368421052</v>
      </c>
      <c r="I375" s="449">
        <v>0.05</v>
      </c>
      <c r="J375" s="450">
        <v>0.05</v>
      </c>
      <c r="K375" s="505">
        <v>142.93628808864267</v>
      </c>
      <c r="L375" s="451">
        <v>0.05</v>
      </c>
      <c r="M375" s="447">
        <v>0.1</v>
      </c>
      <c r="N375" s="504">
        <v>150.45925061962387</v>
      </c>
      <c r="O375" s="452">
        <v>0.05</v>
      </c>
      <c r="P375" s="450">
        <v>0.15000000000000002</v>
      </c>
    </row>
    <row r="376" spans="1:16" x14ac:dyDescent="0.25">
      <c r="A376" s="424" t="s">
        <v>4091</v>
      </c>
      <c r="B376" s="439" t="s">
        <v>4092</v>
      </c>
      <c r="C376" s="506">
        <v>67.5</v>
      </c>
      <c r="D376" s="441">
        <v>0.25</v>
      </c>
      <c r="E376" s="502">
        <v>89</v>
      </c>
      <c r="F376" s="446">
        <v>10</v>
      </c>
      <c r="G376" s="503">
        <v>0</v>
      </c>
      <c r="H376" s="504">
        <v>89</v>
      </c>
      <c r="I376" s="449">
        <v>0.05</v>
      </c>
      <c r="J376" s="450">
        <v>0.05</v>
      </c>
      <c r="K376" s="505">
        <v>89</v>
      </c>
      <c r="L376" s="451">
        <v>0.05</v>
      </c>
      <c r="M376" s="447">
        <v>0.1</v>
      </c>
      <c r="N376" s="504">
        <v>89</v>
      </c>
      <c r="O376" s="452">
        <v>0.05</v>
      </c>
      <c r="P376" s="450">
        <v>0.15000000000000002</v>
      </c>
    </row>
    <row r="377" spans="1:16" x14ac:dyDescent="0.25">
      <c r="A377" s="424" t="s">
        <v>4091</v>
      </c>
      <c r="B377" s="439" t="s">
        <v>4093</v>
      </c>
      <c r="C377" s="506">
        <v>103.5</v>
      </c>
      <c r="D377" s="441">
        <v>0.25</v>
      </c>
      <c r="E377" s="502">
        <v>139</v>
      </c>
      <c r="F377" s="446">
        <v>10</v>
      </c>
      <c r="G377" s="503">
        <v>0</v>
      </c>
      <c r="H377" s="504">
        <v>149</v>
      </c>
      <c r="I377" s="449">
        <v>0.05</v>
      </c>
      <c r="J377" s="450">
        <v>0.05</v>
      </c>
      <c r="K377" s="505">
        <v>159</v>
      </c>
      <c r="L377" s="451">
        <v>0.05</v>
      </c>
      <c r="M377" s="447">
        <v>0.1</v>
      </c>
      <c r="N377" s="504">
        <v>169</v>
      </c>
      <c r="O377" s="452">
        <v>0.05</v>
      </c>
      <c r="P377" s="450">
        <v>0.15000000000000002</v>
      </c>
    </row>
    <row r="378" spans="1:16" x14ac:dyDescent="0.25">
      <c r="A378" s="424" t="s">
        <v>4091</v>
      </c>
      <c r="B378" s="439" t="s">
        <v>4094</v>
      </c>
      <c r="C378" s="506">
        <v>31.3</v>
      </c>
      <c r="D378" s="441">
        <v>0.25</v>
      </c>
      <c r="E378" s="502">
        <v>39</v>
      </c>
      <c r="F378" s="446">
        <v>10</v>
      </c>
      <c r="G378" s="503">
        <v>0</v>
      </c>
      <c r="H378" s="504">
        <v>39</v>
      </c>
      <c r="I378" s="449">
        <v>0.05</v>
      </c>
      <c r="J378" s="450">
        <v>0.05</v>
      </c>
      <c r="K378" s="505">
        <v>39</v>
      </c>
      <c r="L378" s="451">
        <v>0.05</v>
      </c>
      <c r="M378" s="447">
        <v>0.1</v>
      </c>
      <c r="N378" s="504">
        <v>39</v>
      </c>
      <c r="O378" s="452">
        <v>0.05</v>
      </c>
      <c r="P378" s="450">
        <v>0.15000000000000002</v>
      </c>
    </row>
    <row r="379" spans="1:16" x14ac:dyDescent="0.25">
      <c r="A379" s="424" t="s">
        <v>4116</v>
      </c>
      <c r="B379" s="439" t="s">
        <v>553</v>
      </c>
      <c r="C379" s="506">
        <v>15.902946268944186</v>
      </c>
      <c r="D379" s="441">
        <v>0.25</v>
      </c>
      <c r="E379" s="502">
        <f>C379/(1-(G379+$D379))</f>
        <v>24.466071182991055</v>
      </c>
      <c r="F379" s="446"/>
      <c r="G379" s="503">
        <v>0.1</v>
      </c>
      <c r="H379" s="504">
        <f>C379/(1-(J379+$D379))</f>
        <v>26.50491044824031</v>
      </c>
      <c r="I379" s="449">
        <v>0.05</v>
      </c>
      <c r="J379" s="450">
        <v>0.15</v>
      </c>
      <c r="K379" s="504">
        <f t="shared" ref="K379:K389" si="0">H379/(1-L379)</f>
        <v>27.899905734989801</v>
      </c>
      <c r="L379" s="449">
        <v>0.05</v>
      </c>
      <c r="M379" s="450">
        <v>0.2</v>
      </c>
      <c r="N379" s="504">
        <f t="shared" ref="N379:N389" si="1">K379/(1-O379)</f>
        <v>29.368321826305056</v>
      </c>
      <c r="O379" s="449">
        <v>0.05</v>
      </c>
      <c r="P379" s="450">
        <v>0.25</v>
      </c>
    </row>
    <row r="380" spans="1:16" x14ac:dyDescent="0.25">
      <c r="A380" s="424"/>
      <c r="B380" s="439" t="s">
        <v>595</v>
      </c>
      <c r="C380" s="506">
        <f>90*2</f>
        <v>180</v>
      </c>
      <c r="D380" s="441">
        <v>0.25</v>
      </c>
      <c r="E380" s="502">
        <f t="shared" ref="E380:E389" si="2">C380/(1-(G380+$D380))</f>
        <v>276.92307692307691</v>
      </c>
      <c r="F380" s="446"/>
      <c r="G380" s="503">
        <v>0.1</v>
      </c>
      <c r="H380" s="504">
        <f t="shared" ref="H380:H389" si="3">E380/(1-I380)</f>
        <v>291.497975708502</v>
      </c>
      <c r="I380" s="449">
        <v>0.05</v>
      </c>
      <c r="J380" s="450">
        <v>0.15</v>
      </c>
      <c r="K380" s="504">
        <f t="shared" si="0"/>
        <v>306.83997443000214</v>
      </c>
      <c r="L380" s="449">
        <v>0.05</v>
      </c>
      <c r="M380" s="450">
        <v>0.2</v>
      </c>
      <c r="N380" s="504">
        <f t="shared" si="1"/>
        <v>322.98944676842331</v>
      </c>
      <c r="O380" s="449">
        <v>0.05</v>
      </c>
      <c r="P380" s="450">
        <v>0.25</v>
      </c>
    </row>
    <row r="381" spans="1:16" x14ac:dyDescent="0.25">
      <c r="A381" s="424"/>
      <c r="B381" s="439" t="s">
        <v>421</v>
      </c>
      <c r="C381" s="506">
        <v>567.13355454545456</v>
      </c>
      <c r="D381" s="441">
        <v>0.25</v>
      </c>
      <c r="E381" s="502">
        <f t="shared" si="2"/>
        <v>872.51316083916083</v>
      </c>
      <c r="F381" s="446"/>
      <c r="G381" s="503">
        <v>0.1</v>
      </c>
      <c r="H381" s="504">
        <f t="shared" si="3"/>
        <v>918.4349061464851</v>
      </c>
      <c r="I381" s="449">
        <v>0.05</v>
      </c>
      <c r="J381" s="450">
        <v>0.15</v>
      </c>
      <c r="K381" s="504">
        <f t="shared" si="0"/>
        <v>966.77358541735282</v>
      </c>
      <c r="L381" s="449">
        <v>0.05</v>
      </c>
      <c r="M381" s="450">
        <v>0.2</v>
      </c>
      <c r="N381" s="504">
        <f t="shared" si="1"/>
        <v>1017.6564057024767</v>
      </c>
      <c r="O381" s="449">
        <v>0.05</v>
      </c>
      <c r="P381" s="450">
        <v>0.25</v>
      </c>
    </row>
    <row r="382" spans="1:16" x14ac:dyDescent="0.25">
      <c r="A382" s="424"/>
      <c r="B382" s="439" t="s">
        <v>29</v>
      </c>
      <c r="C382" s="506">
        <v>1242.3866223284519</v>
      </c>
      <c r="D382" s="441">
        <v>0.25</v>
      </c>
      <c r="E382" s="502">
        <f t="shared" si="2"/>
        <v>1911.3640343514644</v>
      </c>
      <c r="F382" s="446"/>
      <c r="G382" s="503">
        <v>0.1</v>
      </c>
      <c r="H382" s="504">
        <f t="shared" si="3"/>
        <v>2011.9621414225942</v>
      </c>
      <c r="I382" s="449">
        <v>0.05</v>
      </c>
      <c r="J382" s="450">
        <v>0.15</v>
      </c>
      <c r="K382" s="504">
        <f t="shared" si="0"/>
        <v>2117.8548857079941</v>
      </c>
      <c r="L382" s="449">
        <v>0.05</v>
      </c>
      <c r="M382" s="450">
        <v>0.2</v>
      </c>
      <c r="N382" s="504">
        <f t="shared" si="1"/>
        <v>2229.3209323242045</v>
      </c>
      <c r="O382" s="449">
        <v>0.05</v>
      </c>
      <c r="P382" s="450">
        <v>0.25</v>
      </c>
    </row>
    <row r="383" spans="1:16" x14ac:dyDescent="0.25">
      <c r="A383" s="424"/>
      <c r="B383" s="439" t="s">
        <v>210</v>
      </c>
      <c r="C383" s="506">
        <f>+C14</f>
        <v>1585.7755018484629</v>
      </c>
      <c r="D383" s="441">
        <v>0.25</v>
      </c>
      <c r="E383" s="502">
        <f t="shared" si="2"/>
        <v>2439.6546182284046</v>
      </c>
      <c r="F383" s="446"/>
      <c r="G383" s="503">
        <v>0.1</v>
      </c>
      <c r="H383" s="504">
        <f t="shared" si="3"/>
        <v>2568.0574928720048</v>
      </c>
      <c r="I383" s="449">
        <v>0.05</v>
      </c>
      <c r="J383" s="450">
        <v>0.15</v>
      </c>
      <c r="K383" s="504">
        <f t="shared" si="0"/>
        <v>2703.218413549479</v>
      </c>
      <c r="L383" s="449">
        <v>0.05</v>
      </c>
      <c r="M383" s="450">
        <v>0.2</v>
      </c>
      <c r="N383" s="504">
        <f t="shared" si="1"/>
        <v>2845.4930668941884</v>
      </c>
      <c r="O383" s="449">
        <v>0.05</v>
      </c>
      <c r="P383" s="450">
        <v>0.25</v>
      </c>
    </row>
    <row r="384" spans="1:16" x14ac:dyDescent="0.25">
      <c r="A384" s="424"/>
      <c r="B384" s="439" t="s">
        <v>107</v>
      </c>
      <c r="C384" s="506">
        <f>+C385*1.7</f>
        <v>9682.780404780071</v>
      </c>
      <c r="D384" s="441">
        <v>0.25</v>
      </c>
      <c r="E384" s="502">
        <f t="shared" si="2"/>
        <v>14896.585238123185</v>
      </c>
      <c r="F384" s="446"/>
      <c r="G384" s="503">
        <v>0.1</v>
      </c>
      <c r="H384" s="504">
        <f t="shared" si="3"/>
        <v>15680.616040129669</v>
      </c>
      <c r="I384" s="449">
        <v>0.05</v>
      </c>
      <c r="J384" s="450">
        <v>0.15</v>
      </c>
      <c r="K384" s="504">
        <f t="shared" si="0"/>
        <v>16505.911621189127</v>
      </c>
      <c r="L384" s="449">
        <v>0.05</v>
      </c>
      <c r="M384" s="450">
        <v>0.2</v>
      </c>
      <c r="N384" s="504">
        <f t="shared" si="1"/>
        <v>17374.643811778031</v>
      </c>
      <c r="O384" s="449">
        <v>0.05</v>
      </c>
      <c r="P384" s="450">
        <v>0.25</v>
      </c>
    </row>
    <row r="385" spans="1:16" x14ac:dyDescent="0.25">
      <c r="A385" s="424"/>
      <c r="B385" s="439" t="s">
        <v>106</v>
      </c>
      <c r="C385" s="506">
        <v>5695.7531792823947</v>
      </c>
      <c r="D385" s="441">
        <v>0.25</v>
      </c>
      <c r="E385" s="502">
        <f t="shared" si="2"/>
        <v>8762.6971988959922</v>
      </c>
      <c r="F385" s="446"/>
      <c r="G385" s="503">
        <v>0.1</v>
      </c>
      <c r="H385" s="504">
        <f t="shared" si="3"/>
        <v>9223.8917883115719</v>
      </c>
      <c r="I385" s="449">
        <v>0.05</v>
      </c>
      <c r="J385" s="450">
        <v>0.15</v>
      </c>
      <c r="K385" s="504">
        <f t="shared" si="0"/>
        <v>9709.359777170077</v>
      </c>
      <c r="L385" s="449">
        <v>0.05</v>
      </c>
      <c r="M385" s="450">
        <v>0.2</v>
      </c>
      <c r="N385" s="504">
        <f t="shared" si="1"/>
        <v>10220.378712810609</v>
      </c>
      <c r="O385" s="449">
        <v>0.05</v>
      </c>
      <c r="P385" s="450">
        <v>0.25</v>
      </c>
    </row>
    <row r="386" spans="1:16" x14ac:dyDescent="0.25">
      <c r="A386" s="424"/>
      <c r="B386" s="439" t="s">
        <v>79</v>
      </c>
      <c r="C386" s="506">
        <v>358.45860000000005</v>
      </c>
      <c r="D386" s="441">
        <v>0.25</v>
      </c>
      <c r="E386" s="502">
        <f t="shared" si="2"/>
        <v>551.47476923076931</v>
      </c>
      <c r="F386" s="446"/>
      <c r="G386" s="503">
        <v>0.1</v>
      </c>
      <c r="H386" s="504">
        <f t="shared" si="3"/>
        <v>580.49975708502041</v>
      </c>
      <c r="I386" s="449">
        <v>0.05</v>
      </c>
      <c r="J386" s="450">
        <v>0.15</v>
      </c>
      <c r="K386" s="504">
        <f t="shared" si="0"/>
        <v>611.05237587896886</v>
      </c>
      <c r="L386" s="449">
        <v>0.05</v>
      </c>
      <c r="M386" s="450">
        <v>0.2</v>
      </c>
      <c r="N386" s="504">
        <f t="shared" si="1"/>
        <v>643.21302724101986</v>
      </c>
      <c r="O386" s="449">
        <v>0.05</v>
      </c>
      <c r="P386" s="450">
        <v>0.25</v>
      </c>
    </row>
    <row r="387" spans="1:16" x14ac:dyDescent="0.25">
      <c r="A387" s="424"/>
      <c r="B387" s="439" t="s">
        <v>80</v>
      </c>
      <c r="C387" s="506">
        <v>1970.5711807228909</v>
      </c>
      <c r="D387" s="441">
        <v>0.25</v>
      </c>
      <c r="E387" s="502">
        <f t="shared" si="2"/>
        <v>3031.647970342909</v>
      </c>
      <c r="F387" s="446"/>
      <c r="G387" s="503">
        <v>0.1</v>
      </c>
      <c r="H387" s="504">
        <f t="shared" si="3"/>
        <v>3191.2083898346414</v>
      </c>
      <c r="I387" s="449">
        <v>0.05</v>
      </c>
      <c r="J387" s="450">
        <v>0.15</v>
      </c>
      <c r="K387" s="504">
        <f t="shared" si="0"/>
        <v>3359.1667261417278</v>
      </c>
      <c r="L387" s="449">
        <v>0.05</v>
      </c>
      <c r="M387" s="450">
        <v>0.2</v>
      </c>
      <c r="N387" s="504">
        <f t="shared" si="1"/>
        <v>3535.9649748860293</v>
      </c>
      <c r="O387" s="449">
        <v>0.05</v>
      </c>
      <c r="P387" s="450">
        <v>0.25</v>
      </c>
    </row>
    <row r="388" spans="1:16" x14ac:dyDescent="0.25">
      <c r="A388" s="424"/>
      <c r="B388" s="439" t="s">
        <v>3646</v>
      </c>
      <c r="C388" s="506">
        <v>851</v>
      </c>
      <c r="D388" s="441">
        <v>0.25</v>
      </c>
      <c r="E388" s="502">
        <f t="shared" si="2"/>
        <v>1309.2307692307693</v>
      </c>
      <c r="F388" s="446"/>
      <c r="G388" s="503">
        <v>0.1</v>
      </c>
      <c r="H388" s="504">
        <f t="shared" si="3"/>
        <v>1378.1376518218624</v>
      </c>
      <c r="I388" s="449">
        <v>0.05</v>
      </c>
      <c r="J388" s="450">
        <v>0.15</v>
      </c>
      <c r="K388" s="504">
        <f t="shared" si="0"/>
        <v>1450.6712124440658</v>
      </c>
      <c r="L388" s="449">
        <v>0.05</v>
      </c>
      <c r="M388" s="450">
        <v>0.2</v>
      </c>
      <c r="N388" s="504">
        <f t="shared" si="1"/>
        <v>1527.0223288884904</v>
      </c>
      <c r="O388" s="449">
        <v>0.05</v>
      </c>
      <c r="P388" s="450">
        <v>0.25</v>
      </c>
    </row>
    <row r="389" spans="1:16" x14ac:dyDescent="0.25">
      <c r="A389" s="424"/>
      <c r="B389" s="439" t="s">
        <v>3647</v>
      </c>
      <c r="C389" s="506">
        <v>1079.4314162162163</v>
      </c>
      <c r="D389" s="441">
        <v>0.25</v>
      </c>
      <c r="E389" s="502">
        <f t="shared" si="2"/>
        <v>1660.6637172557173</v>
      </c>
      <c r="F389" s="446"/>
      <c r="G389" s="503">
        <v>0.1</v>
      </c>
      <c r="H389" s="504">
        <f t="shared" si="3"/>
        <v>1748.0670707954919</v>
      </c>
      <c r="I389" s="449">
        <v>0.05</v>
      </c>
      <c r="J389" s="450">
        <v>0.15</v>
      </c>
      <c r="K389" s="504">
        <f t="shared" si="0"/>
        <v>1840.07060083736</v>
      </c>
      <c r="L389" s="449">
        <v>0.05</v>
      </c>
      <c r="M389" s="450">
        <v>0.2</v>
      </c>
      <c r="N389" s="504">
        <f t="shared" si="1"/>
        <v>1936.9164219340632</v>
      </c>
      <c r="O389" s="449">
        <v>0.05</v>
      </c>
      <c r="P389" s="450">
        <v>0.25</v>
      </c>
    </row>
    <row r="390" spans="1:16" x14ac:dyDescent="0.25">
      <c r="A390" s="439" t="s">
        <v>4095</v>
      </c>
      <c r="B390" s="439" t="s">
        <v>227</v>
      </c>
      <c r="C390" s="440">
        <v>4028.5949594878953</v>
      </c>
      <c r="D390" s="441">
        <v>0.22</v>
      </c>
      <c r="E390" s="445">
        <v>6949</v>
      </c>
      <c r="F390" s="446">
        <v>10</v>
      </c>
      <c r="G390" s="447">
        <v>0.2</v>
      </c>
      <c r="H390" s="448">
        <v>7309</v>
      </c>
      <c r="I390" s="449">
        <v>0.05</v>
      </c>
      <c r="J390" s="450">
        <v>0.25</v>
      </c>
      <c r="K390" s="445">
        <v>7689</v>
      </c>
      <c r="L390" s="451">
        <v>0.05</v>
      </c>
      <c r="M390" s="447">
        <v>0.3</v>
      </c>
      <c r="N390" s="448">
        <v>8089</v>
      </c>
      <c r="O390" s="452">
        <v>0.05</v>
      </c>
      <c r="P390" s="450">
        <v>0.35</v>
      </c>
    </row>
    <row r="391" spans="1:16" x14ac:dyDescent="0.25">
      <c r="A391" s="465" t="s">
        <v>4095</v>
      </c>
      <c r="B391" s="466" t="s">
        <v>228</v>
      </c>
      <c r="C391" s="467">
        <v>4391.106280097586</v>
      </c>
      <c r="D391" s="468">
        <v>0.22</v>
      </c>
      <c r="E391" s="469">
        <v>7569</v>
      </c>
      <c r="F391" s="470">
        <v>10</v>
      </c>
      <c r="G391" s="471">
        <v>0.2</v>
      </c>
      <c r="H391" s="472">
        <v>7969</v>
      </c>
      <c r="I391" s="473">
        <v>0.05</v>
      </c>
      <c r="J391" s="474">
        <v>0.25</v>
      </c>
      <c r="K391" s="469">
        <v>8389</v>
      </c>
      <c r="L391" s="475">
        <v>0.05</v>
      </c>
      <c r="M391" s="471">
        <v>0.3</v>
      </c>
      <c r="N391" s="472">
        <v>8829</v>
      </c>
      <c r="O391" s="476">
        <v>0.05</v>
      </c>
      <c r="P391" s="474">
        <v>0.35</v>
      </c>
    </row>
    <row r="392" spans="1:16" x14ac:dyDescent="0.25">
      <c r="A392" s="478" t="s">
        <v>4095</v>
      </c>
      <c r="B392" s="479" t="s">
        <v>575</v>
      </c>
      <c r="C392" s="480">
        <v>7582.0556599942647</v>
      </c>
      <c r="D392" s="481">
        <v>0.22</v>
      </c>
      <c r="E392" s="482">
        <v>14309</v>
      </c>
      <c r="F392" s="483">
        <v>10</v>
      </c>
      <c r="G392" s="484">
        <v>0.25</v>
      </c>
      <c r="H392" s="485">
        <v>15059</v>
      </c>
      <c r="I392" s="486">
        <v>0.05</v>
      </c>
      <c r="J392" s="487">
        <v>0.3</v>
      </c>
      <c r="K392" s="482">
        <v>15849</v>
      </c>
      <c r="L392" s="488">
        <v>0.05</v>
      </c>
      <c r="M392" s="484">
        <v>0.35</v>
      </c>
      <c r="N392" s="485">
        <v>16679</v>
      </c>
      <c r="O392" s="489">
        <v>0.05</v>
      </c>
      <c r="P392" s="487">
        <v>0.39999999999999997</v>
      </c>
    </row>
    <row r="393" spans="1:16" x14ac:dyDescent="0.25">
      <c r="A393" s="490" t="s">
        <v>4095</v>
      </c>
      <c r="B393" s="490" t="s">
        <v>530</v>
      </c>
      <c r="C393" s="491">
        <v>9265.7148106561763</v>
      </c>
      <c r="D393" s="492">
        <v>0.22</v>
      </c>
      <c r="E393" s="493">
        <v>17479</v>
      </c>
      <c r="F393" s="494">
        <v>10</v>
      </c>
      <c r="G393" s="495">
        <v>0.25</v>
      </c>
      <c r="H393" s="496">
        <v>18399</v>
      </c>
      <c r="I393" s="497">
        <v>0.05</v>
      </c>
      <c r="J393" s="498">
        <v>0.3</v>
      </c>
      <c r="K393" s="493">
        <v>19369</v>
      </c>
      <c r="L393" s="499">
        <v>0.05</v>
      </c>
      <c r="M393" s="495">
        <v>0.35</v>
      </c>
      <c r="N393" s="496">
        <v>20389</v>
      </c>
      <c r="O393" s="500">
        <v>0.05</v>
      </c>
      <c r="P393" s="498">
        <v>0.39999999999999997</v>
      </c>
    </row>
    <row r="394" spans="1:16" ht="7.9" customHeight="1" x14ac:dyDescent="0.25">
      <c r="A394" s="439"/>
      <c r="B394" s="439"/>
      <c r="C394" s="440"/>
      <c r="D394" s="440"/>
      <c r="E394" s="440"/>
      <c r="F394" s="439"/>
      <c r="G394" s="428"/>
      <c r="H394" s="440"/>
      <c r="I394" s="427"/>
      <c r="J394" s="428"/>
      <c r="K394" s="440"/>
      <c r="L394" s="428"/>
      <c r="M394" s="428"/>
      <c r="N394" s="440"/>
      <c r="O394" s="428"/>
      <c r="P394" s="428"/>
    </row>
    <row r="395" spans="1:16" ht="7.9" customHeight="1" x14ac:dyDescent="0.25">
      <c r="A395" s="439"/>
      <c r="B395" s="439"/>
      <c r="C395" s="440"/>
      <c r="D395" s="440"/>
      <c r="E395" s="440"/>
      <c r="F395" s="439"/>
      <c r="G395" s="428"/>
      <c r="H395" s="440"/>
      <c r="I395" s="427"/>
      <c r="J395" s="428"/>
      <c r="K395" s="440"/>
      <c r="L395" s="428"/>
      <c r="M395" s="428"/>
      <c r="N395" s="440"/>
      <c r="O395" s="428"/>
      <c r="P395" s="428"/>
    </row>
    <row r="396" spans="1:16" x14ac:dyDescent="0.25">
      <c r="A396" s="516" t="s">
        <v>3861</v>
      </c>
      <c r="B396" s="439" t="s">
        <v>4096</v>
      </c>
      <c r="C396" s="517">
        <v>1446.8421960784315</v>
      </c>
      <c r="D396" s="445">
        <v>1929</v>
      </c>
      <c r="E396" s="518">
        <v>0.25</v>
      </c>
      <c r="F396" s="439">
        <v>10</v>
      </c>
      <c r="G396" s="519"/>
      <c r="H396" s="440">
        <f t="shared" ref="H396:H403" si="4">+D396</f>
        <v>1929</v>
      </c>
      <c r="I396" s="520"/>
      <c r="J396" s="521"/>
      <c r="K396" s="440">
        <f t="shared" ref="K396:K403" si="5">+H396</f>
        <v>1929</v>
      </c>
      <c r="L396" s="520"/>
      <c r="M396" s="519">
        <v>0.05</v>
      </c>
      <c r="N396" s="440">
        <f>+K396</f>
        <v>1929</v>
      </c>
      <c r="O396" s="520"/>
      <c r="P396" s="519"/>
    </row>
    <row r="397" spans="1:16" x14ac:dyDescent="0.25">
      <c r="A397" s="522" t="s">
        <v>3861</v>
      </c>
      <c r="B397" s="466" t="s">
        <v>4097</v>
      </c>
      <c r="C397" s="523">
        <v>1666.6709675925927</v>
      </c>
      <c r="D397" s="469">
        <v>2219</v>
      </c>
      <c r="E397" s="518">
        <v>0.25</v>
      </c>
      <c r="F397" s="439">
        <v>10</v>
      </c>
      <c r="G397" s="519"/>
      <c r="H397" s="440">
        <f t="shared" si="4"/>
        <v>2219</v>
      </c>
      <c r="I397" s="520"/>
      <c r="J397" s="521"/>
      <c r="K397" s="440">
        <f t="shared" si="5"/>
        <v>2219</v>
      </c>
      <c r="L397" s="520"/>
      <c r="M397" s="519">
        <v>0.05</v>
      </c>
      <c r="N397" s="440">
        <f t="shared" ref="N397:N403" si="6">+K397</f>
        <v>2219</v>
      </c>
      <c r="O397" s="520"/>
      <c r="P397" s="519"/>
    </row>
    <row r="398" spans="1:16" x14ac:dyDescent="0.25">
      <c r="A398" s="522" t="s">
        <v>3861</v>
      </c>
      <c r="B398" s="466" t="s">
        <v>4098</v>
      </c>
      <c r="C398" s="523">
        <v>1896.9420923913044</v>
      </c>
      <c r="D398" s="469">
        <v>2529</v>
      </c>
      <c r="E398" s="518">
        <v>0.25</v>
      </c>
      <c r="F398" s="439">
        <v>10</v>
      </c>
      <c r="G398" s="524"/>
      <c r="H398" s="440">
        <f t="shared" si="4"/>
        <v>2529</v>
      </c>
      <c r="I398" s="525"/>
      <c r="J398" s="526"/>
      <c r="K398" s="440">
        <f t="shared" si="5"/>
        <v>2529</v>
      </c>
      <c r="L398" s="525"/>
      <c r="M398" s="519">
        <v>0.05</v>
      </c>
      <c r="N398" s="440">
        <f t="shared" si="6"/>
        <v>2529</v>
      </c>
      <c r="O398" s="525"/>
      <c r="P398" s="524"/>
    </row>
    <row r="399" spans="1:16" x14ac:dyDescent="0.25">
      <c r="A399" s="522" t="s">
        <v>3861</v>
      </c>
      <c r="B399" s="466" t="s">
        <v>4099</v>
      </c>
      <c r="C399" s="523">
        <v>2234.361072368421</v>
      </c>
      <c r="D399" s="469">
        <v>2979</v>
      </c>
      <c r="E399" s="518">
        <v>0.25</v>
      </c>
      <c r="F399" s="439">
        <v>10</v>
      </c>
      <c r="G399" s="519"/>
      <c r="H399" s="440">
        <f t="shared" si="4"/>
        <v>2979</v>
      </c>
      <c r="I399" s="520"/>
      <c r="J399" s="521"/>
      <c r="K399" s="440">
        <f t="shared" si="5"/>
        <v>2979</v>
      </c>
      <c r="L399" s="520"/>
      <c r="M399" s="519">
        <v>0.05</v>
      </c>
      <c r="N399" s="440">
        <f t="shared" si="6"/>
        <v>2979</v>
      </c>
      <c r="O399" s="520"/>
      <c r="P399" s="519"/>
    </row>
    <row r="400" spans="1:16" x14ac:dyDescent="0.25">
      <c r="A400" s="522" t="s">
        <v>3861</v>
      </c>
      <c r="B400" s="466" t="s">
        <v>4100</v>
      </c>
      <c r="C400" s="523">
        <v>2669.9751935483873</v>
      </c>
      <c r="D400" s="469">
        <v>3809</v>
      </c>
      <c r="E400" s="518">
        <v>0.3</v>
      </c>
      <c r="F400" s="439">
        <v>10</v>
      </c>
      <c r="G400" s="519"/>
      <c r="H400" s="440">
        <f t="shared" si="4"/>
        <v>3809</v>
      </c>
      <c r="I400" s="520"/>
      <c r="J400" s="521"/>
      <c r="K400" s="440">
        <f t="shared" si="5"/>
        <v>3809</v>
      </c>
      <c r="L400" s="520"/>
      <c r="M400" s="519">
        <v>0.05</v>
      </c>
      <c r="N400" s="440">
        <f t="shared" si="6"/>
        <v>3809</v>
      </c>
      <c r="O400" s="520"/>
      <c r="P400" s="519"/>
    </row>
    <row r="401" spans="1:16" x14ac:dyDescent="0.25">
      <c r="A401" s="522" t="s">
        <v>3861</v>
      </c>
      <c r="B401" s="466" t="s">
        <v>4101</v>
      </c>
      <c r="C401" s="523">
        <v>2991.735096491228</v>
      </c>
      <c r="D401" s="469">
        <v>4269</v>
      </c>
      <c r="E401" s="518">
        <v>0.3</v>
      </c>
      <c r="F401" s="439">
        <v>10</v>
      </c>
      <c r="G401" s="519"/>
      <c r="H401" s="440">
        <f t="shared" si="4"/>
        <v>4269</v>
      </c>
      <c r="I401" s="520"/>
      <c r="J401" s="521"/>
      <c r="K401" s="440">
        <f t="shared" si="5"/>
        <v>4269</v>
      </c>
      <c r="L401" s="520"/>
      <c r="M401" s="519">
        <v>0.05</v>
      </c>
      <c r="N401" s="440">
        <f t="shared" si="6"/>
        <v>4269</v>
      </c>
      <c r="O401" s="520"/>
      <c r="P401" s="519"/>
    </row>
    <row r="402" spans="1:16" x14ac:dyDescent="0.25">
      <c r="A402" s="522" t="s">
        <v>3861</v>
      </c>
      <c r="B402" s="466" t="s">
        <v>4102</v>
      </c>
      <c r="C402" s="523">
        <v>3498.4673670212765</v>
      </c>
      <c r="D402" s="469">
        <v>4999</v>
      </c>
      <c r="E402" s="518">
        <v>0.3</v>
      </c>
      <c r="F402" s="439">
        <v>10</v>
      </c>
      <c r="G402" s="519"/>
      <c r="H402" s="440">
        <f t="shared" si="4"/>
        <v>4999</v>
      </c>
      <c r="I402" s="520"/>
      <c r="J402" s="521"/>
      <c r="K402" s="440">
        <f t="shared" si="5"/>
        <v>4999</v>
      </c>
      <c r="L402" s="520"/>
      <c r="M402" s="519">
        <v>0.05</v>
      </c>
      <c r="N402" s="440">
        <f t="shared" si="6"/>
        <v>4999</v>
      </c>
      <c r="O402" s="520"/>
      <c r="P402" s="519"/>
    </row>
    <row r="403" spans="1:16" x14ac:dyDescent="0.25">
      <c r="A403" s="527" t="s">
        <v>3861</v>
      </c>
      <c r="B403" s="490" t="s">
        <v>4103</v>
      </c>
      <c r="C403" s="528">
        <v>4168.0571168831175</v>
      </c>
      <c r="D403" s="493">
        <v>5949</v>
      </c>
      <c r="E403" s="518">
        <v>0.3</v>
      </c>
      <c r="F403" s="490">
        <v>10</v>
      </c>
      <c r="G403" s="519"/>
      <c r="H403" s="440">
        <f t="shared" si="4"/>
        <v>5949</v>
      </c>
      <c r="I403" s="520"/>
      <c r="J403" s="521"/>
      <c r="K403" s="440">
        <f t="shared" si="5"/>
        <v>5949</v>
      </c>
      <c r="L403" s="520"/>
      <c r="M403" s="519">
        <v>0.05</v>
      </c>
      <c r="N403" s="440">
        <f t="shared" si="6"/>
        <v>5949</v>
      </c>
      <c r="O403" s="520"/>
      <c r="P403" s="519"/>
    </row>
    <row r="404" spans="1:16" ht="14.45" customHeight="1" x14ac:dyDescent="0.25">
      <c r="A404" s="549" t="s">
        <v>4104</v>
      </c>
      <c r="B404" s="549"/>
      <c r="C404" s="549"/>
      <c r="D404" s="549"/>
      <c r="E404" s="549"/>
      <c r="F404" s="439"/>
      <c r="G404" s="444"/>
      <c r="H404" s="444"/>
      <c r="I404" s="444"/>
      <c r="J404" s="515"/>
      <c r="K404" s="444"/>
      <c r="L404" s="515"/>
      <c r="M404" s="515"/>
      <c r="N404" s="444"/>
      <c r="O404" s="515"/>
      <c r="P404" s="515"/>
    </row>
    <row r="405" spans="1:16" x14ac:dyDescent="0.25">
      <c r="A405" s="550"/>
      <c r="B405" s="550"/>
      <c r="C405" s="550"/>
      <c r="D405" s="550"/>
      <c r="E405" s="550"/>
      <c r="F405" s="439"/>
      <c r="G405" s="444"/>
      <c r="H405" s="444"/>
      <c r="I405" s="444"/>
      <c r="J405" s="515"/>
      <c r="K405" s="444"/>
      <c r="L405" s="515"/>
      <c r="M405" s="515"/>
      <c r="N405" s="444"/>
      <c r="O405" s="515"/>
      <c r="P405" s="515"/>
    </row>
    <row r="406" spans="1:16" x14ac:dyDescent="0.25">
      <c r="A406" s="550"/>
      <c r="B406" s="550"/>
      <c r="C406" s="550"/>
      <c r="D406" s="550"/>
      <c r="E406" s="550"/>
      <c r="F406" s="439"/>
      <c r="G406" s="444"/>
      <c r="H406" s="444"/>
      <c r="I406" s="444"/>
      <c r="J406" s="515"/>
      <c r="K406" s="444"/>
      <c r="L406" s="515"/>
      <c r="M406" s="515"/>
      <c r="N406" s="444"/>
      <c r="O406" s="515"/>
      <c r="P406" s="515"/>
    </row>
    <row r="407" spans="1:16" x14ac:dyDescent="0.25">
      <c r="A407" s="550"/>
      <c r="B407" s="550"/>
      <c r="C407" s="550"/>
      <c r="D407" s="550"/>
      <c r="E407" s="550"/>
      <c r="F407" s="439"/>
      <c r="G407" s="444"/>
      <c r="H407" s="444"/>
      <c r="I407" s="444"/>
      <c r="J407" s="515"/>
      <c r="K407" s="444"/>
      <c r="L407" s="515"/>
      <c r="M407" s="515"/>
      <c r="N407" s="444"/>
      <c r="O407" s="515"/>
      <c r="P407" s="515"/>
    </row>
    <row r="408" spans="1:16" x14ac:dyDescent="0.25">
      <c r="A408" s="550"/>
      <c r="B408" s="550"/>
      <c r="C408" s="550"/>
      <c r="D408" s="550"/>
      <c r="E408" s="550"/>
      <c r="F408" s="439"/>
      <c r="G408" s="444"/>
      <c r="H408" s="444"/>
      <c r="I408" s="444"/>
      <c r="J408" s="515"/>
      <c r="K408" s="444"/>
      <c r="L408" s="515"/>
      <c r="M408" s="515"/>
      <c r="N408" s="444"/>
      <c r="O408" s="515"/>
      <c r="P408" s="515"/>
    </row>
    <row r="409" spans="1:16" x14ac:dyDescent="0.25">
      <c r="A409" s="550"/>
      <c r="B409" s="550"/>
      <c r="C409" s="550"/>
      <c r="D409" s="550"/>
      <c r="E409" s="550"/>
      <c r="F409" s="439"/>
      <c r="G409" s="444"/>
      <c r="H409" s="444"/>
      <c r="I409" s="444"/>
      <c r="J409" s="515"/>
      <c r="K409" s="444"/>
      <c r="L409" s="515"/>
      <c r="M409" s="515"/>
      <c r="N409" s="444"/>
      <c r="O409" s="515"/>
      <c r="P409" s="515"/>
    </row>
    <row r="410" spans="1:16" x14ac:dyDescent="0.25">
      <c r="A410" s="424"/>
      <c r="B410" s="439"/>
      <c r="C410" s="529"/>
      <c r="D410" s="529"/>
      <c r="E410" s="444"/>
      <c r="F410" s="439"/>
      <c r="G410" s="444"/>
      <c r="H410" s="444"/>
      <c r="I410" s="444"/>
      <c r="J410" s="515"/>
      <c r="K410" s="444"/>
      <c r="L410" s="515"/>
      <c r="M410" s="515"/>
      <c r="N410" s="444"/>
      <c r="O410" s="515"/>
      <c r="P410" s="515"/>
    </row>
    <row r="411" spans="1:16" x14ac:dyDescent="0.25">
      <c r="A411" s="424"/>
      <c r="B411" s="439"/>
      <c r="C411" s="529"/>
      <c r="D411" s="529"/>
      <c r="E411" s="444"/>
      <c r="F411" s="439"/>
      <c r="G411" s="444"/>
      <c r="H411" s="444"/>
      <c r="I411" s="444"/>
      <c r="J411" s="515"/>
      <c r="K411" s="444"/>
      <c r="L411" s="515"/>
      <c r="M411" s="515"/>
      <c r="N411" s="444"/>
      <c r="O411" s="515"/>
      <c r="P411" s="515"/>
    </row>
    <row r="412" spans="1:16" x14ac:dyDescent="0.25">
      <c r="A412" s="424"/>
      <c r="B412" s="439"/>
      <c r="C412" s="529"/>
      <c r="D412" s="529"/>
      <c r="E412" s="444"/>
      <c r="F412" s="439"/>
      <c r="G412" s="444"/>
      <c r="H412" s="444"/>
      <c r="I412" s="444"/>
      <c r="J412" s="515"/>
      <c r="K412" s="444"/>
      <c r="L412" s="515"/>
      <c r="M412" s="515"/>
      <c r="N412" s="444"/>
      <c r="O412" s="515"/>
      <c r="P412" s="515"/>
    </row>
    <row r="413" spans="1:16" x14ac:dyDescent="0.25">
      <c r="A413" s="424"/>
      <c r="B413" s="439"/>
      <c r="C413" s="529"/>
      <c r="D413" s="529"/>
      <c r="E413" s="444"/>
      <c r="F413" s="439"/>
      <c r="G413" s="444"/>
      <c r="H413" s="444"/>
      <c r="I413" s="444"/>
      <c r="J413" s="515"/>
      <c r="K413" s="444"/>
      <c r="L413" s="515"/>
      <c r="M413" s="515"/>
      <c r="N413" s="444"/>
      <c r="O413" s="515"/>
      <c r="P413" s="515"/>
    </row>
    <row r="414" spans="1:16" x14ac:dyDescent="0.25">
      <c r="A414" s="424"/>
      <c r="B414" s="439"/>
      <c r="C414" s="529"/>
      <c r="D414" s="529"/>
      <c r="E414" s="444"/>
      <c r="F414" s="439"/>
      <c r="G414" s="444"/>
      <c r="H414" s="444"/>
      <c r="I414" s="444"/>
      <c r="J414" s="515"/>
      <c r="K414" s="444"/>
      <c r="L414" s="515"/>
      <c r="M414" s="515"/>
      <c r="N414" s="444"/>
      <c r="O414" s="515"/>
      <c r="P414" s="515"/>
    </row>
    <row r="415" spans="1:16" x14ac:dyDescent="0.25">
      <c r="A415" s="424"/>
      <c r="B415" s="439"/>
      <c r="C415" s="529"/>
      <c r="D415" s="529"/>
      <c r="E415" s="444"/>
      <c r="F415" s="439"/>
      <c r="G415" s="444"/>
      <c r="H415" s="444"/>
      <c r="I415" s="444"/>
      <c r="J415" s="515"/>
      <c r="K415" s="444"/>
      <c r="L415" s="515"/>
      <c r="M415" s="515"/>
      <c r="N415" s="444"/>
      <c r="O415" s="515"/>
      <c r="P415" s="515"/>
    </row>
    <row r="416" spans="1:16" x14ac:dyDescent="0.25">
      <c r="A416" s="424"/>
      <c r="B416" s="439"/>
      <c r="C416" s="529"/>
      <c r="D416" s="529"/>
      <c r="E416" s="444"/>
      <c r="F416" s="439"/>
      <c r="G416" s="444"/>
      <c r="H416" s="444"/>
      <c r="I416" s="444"/>
      <c r="J416" s="515"/>
      <c r="K416" s="444"/>
      <c r="L416" s="515"/>
      <c r="M416" s="515"/>
      <c r="N416" s="444"/>
      <c r="O416" s="515"/>
      <c r="P416" s="515"/>
    </row>
    <row r="417" spans="1:16" x14ac:dyDescent="0.25">
      <c r="A417" s="424"/>
      <c r="B417" s="439"/>
      <c r="C417" s="529"/>
      <c r="D417" s="529"/>
      <c r="E417" s="444"/>
      <c r="F417" s="439"/>
      <c r="G417" s="444"/>
      <c r="H417" s="444"/>
      <c r="I417" s="444"/>
      <c r="J417" s="515"/>
      <c r="K417" s="444"/>
      <c r="L417" s="515"/>
      <c r="M417" s="515"/>
      <c r="N417" s="444"/>
      <c r="O417" s="515"/>
      <c r="P417" s="515"/>
    </row>
    <row r="418" spans="1:16" x14ac:dyDescent="0.25">
      <c r="A418" s="424"/>
      <c r="B418" s="439"/>
      <c r="C418" s="529"/>
      <c r="D418" s="529"/>
      <c r="E418" s="444"/>
      <c r="F418" s="439"/>
      <c r="G418" s="444"/>
      <c r="H418" s="444"/>
      <c r="I418" s="444"/>
      <c r="J418" s="515"/>
      <c r="K418" s="444"/>
      <c r="L418" s="515"/>
      <c r="M418" s="515"/>
      <c r="N418" s="444"/>
      <c r="O418" s="515"/>
      <c r="P418" s="515"/>
    </row>
    <row r="419" spans="1:16" x14ac:dyDescent="0.25">
      <c r="A419" s="424"/>
      <c r="B419" s="439"/>
      <c r="C419" s="529"/>
      <c r="D419" s="529"/>
      <c r="E419" s="444"/>
      <c r="F419" s="439"/>
      <c r="G419" s="444"/>
      <c r="H419" s="444"/>
      <c r="I419" s="444"/>
      <c r="J419" s="515"/>
      <c r="K419" s="444"/>
      <c r="L419" s="515"/>
      <c r="M419" s="515"/>
      <c r="N419" s="444"/>
      <c r="O419" s="515"/>
      <c r="P419" s="515"/>
    </row>
    <row r="420" spans="1:16" x14ac:dyDescent="0.25">
      <c r="A420" s="424"/>
      <c r="B420" s="439"/>
      <c r="C420" s="529"/>
      <c r="D420" s="529"/>
      <c r="E420" s="444"/>
      <c r="F420" s="439"/>
      <c r="G420" s="444"/>
      <c r="H420" s="444"/>
      <c r="I420" s="444"/>
      <c r="J420" s="515"/>
      <c r="K420" s="444"/>
      <c r="L420" s="515"/>
      <c r="M420" s="515"/>
      <c r="N420" s="444"/>
      <c r="O420" s="515"/>
      <c r="P420" s="515"/>
    </row>
    <row r="421" spans="1:16" x14ac:dyDescent="0.25">
      <c r="A421" s="424"/>
      <c r="B421" s="439"/>
      <c r="C421" s="529"/>
      <c r="D421" s="529"/>
      <c r="E421" s="444"/>
      <c r="F421" s="439"/>
      <c r="G421" s="444"/>
      <c r="H421" s="444"/>
      <c r="I421" s="444"/>
      <c r="J421" s="515"/>
      <c r="K421" s="444"/>
      <c r="L421" s="515"/>
      <c r="M421" s="515"/>
      <c r="N421" s="444"/>
      <c r="O421" s="515"/>
      <c r="P421" s="515"/>
    </row>
    <row r="422" spans="1:16" x14ac:dyDescent="0.25">
      <c r="A422" s="424"/>
      <c r="B422" s="439"/>
      <c r="C422" s="529"/>
      <c r="D422" s="529"/>
      <c r="E422" s="444"/>
      <c r="F422" s="439"/>
      <c r="G422" s="444"/>
      <c r="H422" s="444"/>
      <c r="I422" s="444"/>
      <c r="J422" s="515"/>
      <c r="K422" s="444"/>
      <c r="L422" s="515"/>
      <c r="M422" s="515"/>
      <c r="N422" s="444"/>
      <c r="O422" s="515"/>
      <c r="P422" s="515"/>
    </row>
    <row r="423" spans="1:16" x14ac:dyDescent="0.25">
      <c r="A423" s="424"/>
      <c r="B423" s="439"/>
      <c r="C423" s="529"/>
      <c r="D423" s="529"/>
      <c r="E423" s="444"/>
      <c r="F423" s="439"/>
      <c r="G423" s="444"/>
      <c r="H423" s="444"/>
      <c r="I423" s="444"/>
      <c r="J423" s="515"/>
      <c r="K423" s="444"/>
      <c r="L423" s="515"/>
      <c r="M423" s="515"/>
      <c r="N423" s="444"/>
      <c r="O423" s="515"/>
      <c r="P423" s="515"/>
    </row>
    <row r="424" spans="1:16" x14ac:dyDescent="0.25">
      <c r="A424" s="424"/>
      <c r="B424" s="439"/>
      <c r="C424" s="529"/>
      <c r="D424" s="529"/>
      <c r="E424" s="444"/>
      <c r="F424" s="439"/>
      <c r="G424" s="444"/>
      <c r="H424" s="444"/>
      <c r="I424" s="444"/>
      <c r="J424" s="515"/>
      <c r="K424" s="444"/>
      <c r="L424" s="515"/>
      <c r="M424" s="515"/>
      <c r="N424" s="444"/>
      <c r="O424" s="515"/>
      <c r="P424" s="515"/>
    </row>
    <row r="425" spans="1:16" x14ac:dyDescent="0.25">
      <c r="A425" s="424"/>
      <c r="B425" s="439"/>
      <c r="C425" s="529"/>
      <c r="D425" s="529"/>
      <c r="E425" s="444"/>
      <c r="F425" s="439"/>
      <c r="G425" s="444"/>
      <c r="H425" s="444"/>
      <c r="I425" s="444"/>
      <c r="J425" s="515"/>
      <c r="K425" s="444"/>
      <c r="L425" s="515"/>
      <c r="M425" s="515"/>
      <c r="N425" s="444"/>
      <c r="O425" s="515"/>
      <c r="P425" s="515"/>
    </row>
    <row r="426" spans="1:16" x14ac:dyDescent="0.25">
      <c r="A426" s="424"/>
      <c r="B426" s="439"/>
      <c r="C426" s="529"/>
      <c r="D426" s="529"/>
      <c r="E426" s="444"/>
      <c r="F426" s="439"/>
      <c r="G426" s="444"/>
      <c r="H426" s="444"/>
      <c r="I426" s="444"/>
      <c r="J426" s="515"/>
      <c r="K426" s="444"/>
      <c r="L426" s="515"/>
      <c r="M426" s="515"/>
      <c r="N426" s="444"/>
      <c r="O426" s="515"/>
      <c r="P426" s="515"/>
    </row>
    <row r="427" spans="1:16" x14ac:dyDescent="0.25">
      <c r="A427" s="424"/>
      <c r="B427" s="439"/>
      <c r="C427" s="529"/>
      <c r="D427" s="529"/>
      <c r="E427" s="444"/>
      <c r="F427" s="439"/>
      <c r="G427" s="444"/>
      <c r="H427" s="444"/>
      <c r="I427" s="444"/>
      <c r="J427" s="515"/>
      <c r="K427" s="444"/>
      <c r="L427" s="515"/>
      <c r="M427" s="515"/>
      <c r="N427" s="444"/>
      <c r="O427" s="515"/>
      <c r="P427" s="515"/>
    </row>
    <row r="428" spans="1:16" x14ac:dyDescent="0.25">
      <c r="A428" s="424"/>
      <c r="B428" s="439"/>
      <c r="C428" s="529"/>
      <c r="D428" s="529"/>
      <c r="E428" s="444"/>
      <c r="F428" s="439"/>
      <c r="G428" s="444"/>
      <c r="H428" s="444"/>
      <c r="I428" s="444"/>
      <c r="J428" s="515"/>
      <c r="K428" s="444"/>
      <c r="L428" s="515"/>
      <c r="M428" s="515"/>
      <c r="N428" s="444"/>
      <c r="O428" s="515"/>
      <c r="P428" s="515"/>
    </row>
    <row r="429" spans="1:16" x14ac:dyDescent="0.25">
      <c r="A429" s="424"/>
      <c r="B429" s="439"/>
      <c r="C429" s="529"/>
      <c r="D429" s="529"/>
      <c r="E429" s="444"/>
      <c r="F429" s="439"/>
      <c r="G429" s="444"/>
      <c r="H429" s="444"/>
      <c r="I429" s="444"/>
      <c r="J429" s="515"/>
      <c r="K429" s="444"/>
      <c r="L429" s="515"/>
      <c r="M429" s="515"/>
      <c r="N429" s="444"/>
      <c r="O429" s="515"/>
      <c r="P429" s="515"/>
    </row>
    <row r="430" spans="1:16" x14ac:dyDescent="0.25">
      <c r="A430" s="424"/>
      <c r="B430" s="439"/>
      <c r="C430" s="529"/>
      <c r="D430" s="529"/>
      <c r="E430" s="444"/>
      <c r="F430" s="439"/>
      <c r="G430" s="444"/>
      <c r="H430" s="444"/>
      <c r="I430" s="444"/>
      <c r="J430" s="515"/>
      <c r="K430" s="444"/>
      <c r="L430" s="515"/>
      <c r="M430" s="515"/>
      <c r="N430" s="444"/>
      <c r="O430" s="515"/>
      <c r="P430" s="515"/>
    </row>
    <row r="431" spans="1:16" x14ac:dyDescent="0.25">
      <c r="A431" s="424"/>
      <c r="B431" s="439"/>
      <c r="C431" s="529"/>
      <c r="D431" s="529"/>
      <c r="E431" s="444"/>
      <c r="F431" s="439"/>
      <c r="G431" s="444"/>
      <c r="H431" s="444"/>
      <c r="I431" s="444"/>
      <c r="J431" s="515"/>
      <c r="K431" s="444"/>
      <c r="L431" s="515"/>
      <c r="M431" s="515"/>
      <c r="N431" s="444"/>
      <c r="O431" s="515"/>
      <c r="P431" s="515"/>
    </row>
    <row r="432" spans="1:16" x14ac:dyDescent="0.25">
      <c r="A432" s="424"/>
      <c r="B432" s="439"/>
      <c r="C432" s="529"/>
      <c r="D432" s="529"/>
      <c r="E432" s="444"/>
      <c r="F432" s="439"/>
      <c r="G432" s="444"/>
      <c r="H432" s="444"/>
      <c r="I432" s="444"/>
      <c r="J432" s="515"/>
      <c r="K432" s="444"/>
      <c r="L432" s="515"/>
      <c r="M432" s="515"/>
      <c r="N432" s="444"/>
      <c r="O432" s="515"/>
      <c r="P432" s="515"/>
    </row>
    <row r="433" spans="1:16" x14ac:dyDescent="0.25">
      <c r="A433" s="424"/>
      <c r="B433" s="439"/>
      <c r="C433" s="529"/>
      <c r="D433" s="529"/>
      <c r="E433" s="444"/>
      <c r="F433" s="439"/>
      <c r="G433" s="444"/>
      <c r="H433" s="444"/>
      <c r="I433" s="444"/>
      <c r="J433" s="515"/>
      <c r="K433" s="444"/>
      <c r="L433" s="515"/>
      <c r="M433" s="515"/>
      <c r="N433" s="444"/>
      <c r="O433" s="515"/>
      <c r="P433" s="515"/>
    </row>
    <row r="434" spans="1:16" x14ac:dyDescent="0.25">
      <c r="A434" s="424"/>
      <c r="B434" s="439"/>
      <c r="C434" s="529"/>
      <c r="D434" s="529"/>
      <c r="E434" s="444"/>
      <c r="F434" s="439"/>
      <c r="G434" s="444"/>
      <c r="H434" s="444"/>
      <c r="I434" s="444"/>
      <c r="J434" s="515"/>
      <c r="K434" s="444"/>
      <c r="L434" s="515"/>
      <c r="M434" s="515"/>
      <c r="N434" s="444"/>
      <c r="O434" s="515"/>
      <c r="P434" s="515"/>
    </row>
    <row r="435" spans="1:16" x14ac:dyDescent="0.25">
      <c r="A435" s="424"/>
      <c r="B435" s="439"/>
      <c r="C435" s="529"/>
      <c r="D435" s="529"/>
      <c r="E435" s="444"/>
      <c r="F435" s="439"/>
      <c r="G435" s="444"/>
      <c r="H435" s="444"/>
      <c r="I435" s="444"/>
      <c r="J435" s="515"/>
      <c r="K435" s="444"/>
      <c r="L435" s="515"/>
      <c r="M435" s="515"/>
      <c r="N435" s="444"/>
      <c r="O435" s="515"/>
      <c r="P435" s="515"/>
    </row>
    <row r="436" spans="1:16" x14ac:dyDescent="0.25">
      <c r="A436" s="424"/>
      <c r="B436" s="439"/>
      <c r="C436" s="529"/>
      <c r="D436" s="529"/>
      <c r="E436" s="444"/>
      <c r="F436" s="439"/>
      <c r="G436" s="444"/>
      <c r="H436" s="444"/>
      <c r="I436" s="444"/>
      <c r="J436" s="515"/>
      <c r="K436" s="444"/>
      <c r="L436" s="515"/>
      <c r="M436" s="515"/>
      <c r="N436" s="444"/>
      <c r="O436" s="515"/>
      <c r="P436" s="515"/>
    </row>
    <row r="437" spans="1:16" x14ac:dyDescent="0.25">
      <c r="A437" s="424"/>
      <c r="B437" s="439"/>
      <c r="C437" s="529"/>
      <c r="D437" s="529"/>
      <c r="E437" s="444"/>
      <c r="F437" s="439"/>
      <c r="G437" s="444"/>
      <c r="H437" s="444"/>
      <c r="I437" s="444"/>
      <c r="J437" s="515"/>
      <c r="K437" s="444"/>
      <c r="L437" s="515"/>
      <c r="M437" s="515"/>
      <c r="N437" s="444"/>
      <c r="O437" s="515"/>
      <c r="P437" s="515"/>
    </row>
    <row r="438" spans="1:16" x14ac:dyDescent="0.25">
      <c r="A438" s="424"/>
      <c r="B438" s="439"/>
      <c r="C438" s="529"/>
      <c r="D438" s="529"/>
      <c r="E438" s="444"/>
      <c r="F438" s="439"/>
      <c r="G438" s="444"/>
      <c r="H438" s="444"/>
      <c r="I438" s="444"/>
      <c r="J438" s="515"/>
      <c r="K438" s="444"/>
      <c r="L438" s="515"/>
      <c r="M438" s="515"/>
      <c r="N438" s="444"/>
      <c r="O438" s="515"/>
      <c r="P438" s="515"/>
    </row>
    <row r="439" spans="1:16" x14ac:dyDescent="0.25">
      <c r="A439" s="424"/>
      <c r="B439" s="439"/>
      <c r="C439" s="529"/>
      <c r="D439" s="529"/>
      <c r="E439" s="444"/>
      <c r="F439" s="439"/>
      <c r="G439" s="444"/>
      <c r="H439" s="444"/>
      <c r="I439" s="444"/>
      <c r="J439" s="515"/>
      <c r="K439" s="444"/>
      <c r="L439" s="515"/>
      <c r="M439" s="515"/>
      <c r="N439" s="444"/>
      <c r="O439" s="515"/>
      <c r="P439" s="515"/>
    </row>
    <row r="440" spans="1:16" x14ac:dyDescent="0.25">
      <c r="A440" s="424"/>
      <c r="B440" s="439"/>
      <c r="C440" s="529"/>
      <c r="D440" s="529"/>
      <c r="E440" s="444"/>
      <c r="F440" s="439"/>
      <c r="G440" s="444"/>
      <c r="H440" s="444"/>
      <c r="I440" s="444"/>
      <c r="J440" s="515"/>
      <c r="K440" s="444"/>
      <c r="L440" s="515"/>
      <c r="M440" s="515"/>
      <c r="N440" s="444"/>
      <c r="O440" s="515"/>
      <c r="P440" s="515"/>
    </row>
    <row r="441" spans="1:16" x14ac:dyDescent="0.25">
      <c r="A441" s="424"/>
      <c r="B441" s="439"/>
      <c r="C441" s="529"/>
      <c r="D441" s="529"/>
      <c r="E441" s="444"/>
      <c r="F441" s="439"/>
      <c r="G441" s="444"/>
      <c r="H441" s="444"/>
      <c r="I441" s="444"/>
      <c r="J441" s="515"/>
      <c r="K441" s="444"/>
      <c r="L441" s="515"/>
      <c r="M441" s="515"/>
      <c r="N441" s="444"/>
      <c r="O441" s="515"/>
      <c r="P441" s="515"/>
    </row>
    <row r="442" spans="1:16" x14ac:dyDescent="0.25">
      <c r="A442" s="424"/>
      <c r="B442" s="439"/>
      <c r="C442" s="529"/>
      <c r="D442" s="529"/>
      <c r="E442" s="444"/>
      <c r="F442" s="439"/>
      <c r="G442" s="444"/>
      <c r="H442" s="444"/>
      <c r="I442" s="444"/>
      <c r="J442" s="515"/>
      <c r="K442" s="444"/>
      <c r="L442" s="515"/>
      <c r="M442" s="515"/>
      <c r="N442" s="444"/>
      <c r="O442" s="515"/>
      <c r="P442" s="515"/>
    </row>
    <row r="443" spans="1:16" x14ac:dyDescent="0.25">
      <c r="A443" s="424"/>
      <c r="B443" s="439"/>
      <c r="C443" s="529"/>
      <c r="D443" s="529"/>
      <c r="E443" s="444"/>
      <c r="F443" s="439"/>
      <c r="G443" s="444"/>
      <c r="H443" s="444"/>
      <c r="I443" s="444"/>
      <c r="J443" s="515"/>
      <c r="K443" s="444"/>
      <c r="L443" s="515"/>
      <c r="M443" s="515"/>
      <c r="N443" s="444"/>
      <c r="O443" s="515"/>
      <c r="P443" s="515"/>
    </row>
    <row r="444" spans="1:16" x14ac:dyDescent="0.25">
      <c r="A444" s="424"/>
      <c r="B444" s="439"/>
      <c r="C444" s="529"/>
      <c r="D444" s="529"/>
      <c r="E444" s="444"/>
      <c r="F444" s="439"/>
      <c r="G444" s="444"/>
      <c r="H444" s="444"/>
      <c r="I444" s="444"/>
      <c r="J444" s="515"/>
      <c r="K444" s="444"/>
      <c r="L444" s="515"/>
      <c r="M444" s="515"/>
      <c r="N444" s="444"/>
      <c r="O444" s="515"/>
      <c r="P444" s="515"/>
    </row>
    <row r="445" spans="1:16" x14ac:dyDescent="0.25">
      <c r="A445" s="424"/>
      <c r="B445" s="439"/>
      <c r="C445" s="529"/>
      <c r="D445" s="529"/>
      <c r="E445" s="444"/>
      <c r="F445" s="439"/>
      <c r="G445" s="444"/>
      <c r="H445" s="444"/>
      <c r="I445" s="444"/>
      <c r="J445" s="515"/>
      <c r="K445" s="444"/>
      <c r="L445" s="515"/>
      <c r="M445" s="515"/>
      <c r="N445" s="444"/>
      <c r="O445" s="515"/>
      <c r="P445" s="515"/>
    </row>
    <row r="446" spans="1:16" x14ac:dyDescent="0.25">
      <c r="A446" s="424"/>
      <c r="B446" s="439"/>
      <c r="C446" s="529"/>
      <c r="D446" s="529"/>
      <c r="E446" s="444"/>
      <c r="F446" s="439"/>
      <c r="G446" s="444"/>
      <c r="H446" s="444"/>
      <c r="I446" s="444"/>
      <c r="J446" s="515"/>
      <c r="K446" s="444"/>
      <c r="L446" s="515"/>
      <c r="M446" s="515"/>
      <c r="N446" s="444"/>
      <c r="O446" s="515"/>
      <c r="P446" s="515"/>
    </row>
    <row r="447" spans="1:16" x14ac:dyDescent="0.25">
      <c r="A447" s="424"/>
      <c r="B447" s="439"/>
      <c r="C447" s="529"/>
      <c r="D447" s="529"/>
      <c r="E447" s="444"/>
      <c r="F447" s="439"/>
      <c r="G447" s="444"/>
      <c r="H447" s="444"/>
      <c r="I447" s="444"/>
      <c r="J447" s="515"/>
      <c r="K447" s="444"/>
      <c r="L447" s="515"/>
      <c r="M447" s="515"/>
      <c r="N447" s="444"/>
      <c r="O447" s="515"/>
      <c r="P447" s="515"/>
    </row>
    <row r="448" spans="1:16" x14ac:dyDescent="0.25">
      <c r="A448" s="424"/>
      <c r="B448" s="439"/>
      <c r="C448" s="529"/>
      <c r="D448" s="529"/>
      <c r="E448" s="444"/>
      <c r="F448" s="439"/>
      <c r="G448" s="444"/>
      <c r="H448" s="444"/>
      <c r="I448" s="444"/>
      <c r="J448" s="515"/>
      <c r="K448" s="444"/>
      <c r="L448" s="515"/>
      <c r="M448" s="515"/>
      <c r="N448" s="444"/>
      <c r="O448" s="515"/>
      <c r="P448" s="515"/>
    </row>
    <row r="449" spans="1:16" x14ac:dyDescent="0.25">
      <c r="A449" s="424"/>
      <c r="B449" s="439"/>
      <c r="C449" s="529"/>
      <c r="D449" s="529"/>
      <c r="E449" s="444"/>
      <c r="F449" s="439"/>
      <c r="G449" s="444"/>
      <c r="H449" s="444"/>
      <c r="I449" s="444"/>
      <c r="J449" s="515"/>
      <c r="K449" s="444"/>
      <c r="L449" s="515"/>
      <c r="M449" s="515"/>
      <c r="N449" s="444"/>
      <c r="O449" s="515"/>
      <c r="P449" s="515"/>
    </row>
    <row r="450" spans="1:16" x14ac:dyDescent="0.25">
      <c r="A450" s="424"/>
      <c r="B450" s="439"/>
      <c r="C450" s="529"/>
      <c r="D450" s="529"/>
      <c r="E450" s="444"/>
      <c r="F450" s="439"/>
      <c r="G450" s="444"/>
      <c r="H450" s="444"/>
      <c r="I450" s="444"/>
      <c r="J450" s="515"/>
      <c r="K450" s="444"/>
      <c r="L450" s="515"/>
      <c r="M450" s="515"/>
      <c r="N450" s="444"/>
      <c r="O450" s="515"/>
      <c r="P450" s="515"/>
    </row>
    <row r="451" spans="1:16" x14ac:dyDescent="0.25">
      <c r="A451" s="424"/>
      <c r="B451" s="439"/>
      <c r="C451" s="529"/>
      <c r="D451" s="529"/>
      <c r="E451" s="444"/>
      <c r="F451" s="439"/>
      <c r="G451" s="444"/>
      <c r="H451" s="444"/>
      <c r="I451" s="444"/>
      <c r="J451" s="515"/>
      <c r="K451" s="444"/>
      <c r="L451" s="515"/>
      <c r="M451" s="515"/>
      <c r="N451" s="444"/>
      <c r="O451" s="515"/>
      <c r="P451" s="515"/>
    </row>
    <row r="452" spans="1:16" x14ac:dyDescent="0.25">
      <c r="A452" s="424"/>
      <c r="B452" s="439"/>
      <c r="C452" s="529"/>
      <c r="D452" s="529"/>
      <c r="E452" s="444"/>
      <c r="F452" s="439"/>
      <c r="G452" s="444"/>
      <c r="H452" s="444"/>
      <c r="I452" s="444"/>
      <c r="J452" s="515"/>
      <c r="K452" s="444"/>
      <c r="L452" s="515"/>
      <c r="M452" s="515"/>
      <c r="N452" s="444"/>
      <c r="O452" s="515"/>
      <c r="P452" s="515"/>
    </row>
    <row r="453" spans="1:16" x14ac:dyDescent="0.25">
      <c r="A453" s="424"/>
      <c r="B453" s="439"/>
      <c r="C453" s="529"/>
      <c r="D453" s="529"/>
      <c r="E453" s="444"/>
      <c r="F453" s="439"/>
      <c r="G453" s="444"/>
      <c r="H453" s="444"/>
      <c r="I453" s="444"/>
      <c r="J453" s="515"/>
      <c r="K453" s="444"/>
      <c r="L453" s="515"/>
      <c r="M453" s="515"/>
      <c r="N453" s="444"/>
      <c r="O453" s="515"/>
      <c r="P453" s="515"/>
    </row>
    <row r="454" spans="1:16" x14ac:dyDescent="0.25">
      <c r="A454" s="424"/>
      <c r="B454" s="439"/>
      <c r="C454" s="529"/>
      <c r="D454" s="529"/>
      <c r="E454" s="444"/>
      <c r="F454" s="439"/>
      <c r="G454" s="444"/>
      <c r="H454" s="444"/>
      <c r="I454" s="444"/>
      <c r="J454" s="515"/>
      <c r="K454" s="444"/>
      <c r="L454" s="515"/>
      <c r="M454" s="515"/>
      <c r="N454" s="444"/>
      <c r="O454" s="515"/>
      <c r="P454" s="515"/>
    </row>
    <row r="455" spans="1:16" x14ac:dyDescent="0.25">
      <c r="A455" s="424"/>
      <c r="B455" s="439"/>
      <c r="C455" s="529"/>
      <c r="D455" s="529"/>
      <c r="E455" s="444"/>
      <c r="F455" s="439"/>
      <c r="G455" s="444"/>
      <c r="H455" s="444"/>
      <c r="I455" s="444"/>
      <c r="J455" s="515"/>
      <c r="K455" s="444"/>
      <c r="L455" s="515"/>
      <c r="M455" s="515"/>
      <c r="N455" s="444"/>
      <c r="O455" s="515"/>
      <c r="P455" s="515"/>
    </row>
    <row r="456" spans="1:16" x14ac:dyDescent="0.25">
      <c r="A456" s="424"/>
      <c r="B456" s="439"/>
      <c r="C456" s="529"/>
      <c r="D456" s="529"/>
      <c r="E456" s="444"/>
      <c r="F456" s="439"/>
      <c r="G456" s="444"/>
      <c r="H456" s="444"/>
      <c r="I456" s="444"/>
      <c r="J456" s="515"/>
      <c r="K456" s="444"/>
      <c r="L456" s="515"/>
      <c r="M456" s="515"/>
      <c r="N456" s="444"/>
      <c r="O456" s="515"/>
      <c r="P456" s="515"/>
    </row>
    <row r="457" spans="1:16" x14ac:dyDescent="0.25">
      <c r="A457" s="424"/>
      <c r="B457" s="439"/>
      <c r="C457" s="529"/>
      <c r="D457" s="529"/>
      <c r="E457" s="444"/>
      <c r="F457" s="439"/>
      <c r="G457" s="444"/>
      <c r="H457" s="444"/>
      <c r="I457" s="444"/>
      <c r="J457" s="515"/>
      <c r="K457" s="444"/>
      <c r="L457" s="515"/>
      <c r="M457" s="515"/>
      <c r="N457" s="444"/>
      <c r="O457" s="515"/>
      <c r="P457" s="515"/>
    </row>
    <row r="458" spans="1:16" x14ac:dyDescent="0.25">
      <c r="A458" s="424"/>
      <c r="B458" s="439"/>
      <c r="C458" s="529"/>
      <c r="D458" s="529"/>
      <c r="E458" s="444"/>
      <c r="F458" s="439"/>
      <c r="G458" s="444"/>
      <c r="H458" s="444"/>
      <c r="I458" s="444"/>
      <c r="J458" s="515"/>
      <c r="K458" s="444"/>
      <c r="L458" s="515"/>
      <c r="M458" s="515"/>
      <c r="N458" s="444"/>
      <c r="O458" s="515"/>
      <c r="P458" s="515"/>
    </row>
    <row r="459" spans="1:16" x14ac:dyDescent="0.25">
      <c r="A459" s="424"/>
      <c r="B459" s="439"/>
      <c r="C459" s="529"/>
      <c r="D459" s="529"/>
      <c r="E459" s="444"/>
      <c r="F459" s="439"/>
      <c r="G459" s="444"/>
      <c r="H459" s="444"/>
      <c r="I459" s="444"/>
      <c r="J459" s="515"/>
      <c r="K459" s="444"/>
      <c r="L459" s="515"/>
      <c r="M459" s="515"/>
      <c r="N459" s="444"/>
      <c r="O459" s="515"/>
      <c r="P459" s="515"/>
    </row>
    <row r="460" spans="1:16" x14ac:dyDescent="0.25">
      <c r="A460" s="424"/>
      <c r="B460" s="439"/>
      <c r="C460" s="529"/>
      <c r="D460" s="529"/>
      <c r="E460" s="444"/>
      <c r="F460" s="439"/>
      <c r="G460" s="444"/>
      <c r="H460" s="444"/>
      <c r="I460" s="444"/>
      <c r="J460" s="515"/>
      <c r="K460" s="444"/>
      <c r="L460" s="515"/>
      <c r="M460" s="515"/>
      <c r="N460" s="444"/>
      <c r="O460" s="515"/>
      <c r="P460" s="515"/>
    </row>
    <row r="461" spans="1:16" x14ac:dyDescent="0.25">
      <c r="A461" s="424"/>
      <c r="B461" s="439"/>
      <c r="C461" s="529"/>
      <c r="D461" s="529"/>
      <c r="E461" s="444"/>
      <c r="F461" s="439"/>
      <c r="G461" s="444"/>
      <c r="H461" s="444"/>
      <c r="I461" s="444"/>
      <c r="J461" s="515"/>
      <c r="K461" s="444"/>
      <c r="L461" s="515"/>
      <c r="M461" s="515"/>
      <c r="N461" s="444"/>
      <c r="O461" s="515"/>
      <c r="P461" s="515"/>
    </row>
    <row r="462" spans="1:16" x14ac:dyDescent="0.25">
      <c r="A462" s="424"/>
      <c r="B462" s="439"/>
      <c r="C462" s="529"/>
      <c r="D462" s="529"/>
      <c r="E462" s="444"/>
      <c r="F462" s="439"/>
      <c r="G462" s="444"/>
      <c r="H462" s="444"/>
      <c r="I462" s="444"/>
      <c r="J462" s="515"/>
      <c r="K462" s="444"/>
      <c r="L462" s="515"/>
      <c r="M462" s="515"/>
      <c r="N462" s="444"/>
      <c r="O462" s="515"/>
      <c r="P462" s="515"/>
    </row>
    <row r="463" spans="1:16" x14ac:dyDescent="0.25">
      <c r="A463" s="424"/>
      <c r="B463" s="439"/>
      <c r="C463" s="529"/>
      <c r="D463" s="529"/>
      <c r="E463" s="444"/>
      <c r="F463" s="439"/>
      <c r="G463" s="444"/>
      <c r="H463" s="444"/>
      <c r="I463" s="444"/>
      <c r="J463" s="515"/>
      <c r="K463" s="444"/>
      <c r="L463" s="515"/>
      <c r="M463" s="515"/>
      <c r="N463" s="444"/>
      <c r="O463" s="515"/>
      <c r="P463" s="515"/>
    </row>
    <row r="464" spans="1:16" x14ac:dyDescent="0.25">
      <c r="A464" s="424"/>
      <c r="B464" s="439"/>
      <c r="C464" s="529"/>
      <c r="D464" s="529"/>
      <c r="E464" s="444"/>
      <c r="F464" s="439"/>
      <c r="G464" s="444"/>
      <c r="H464" s="444"/>
      <c r="I464" s="444"/>
      <c r="J464" s="515"/>
      <c r="K464" s="444"/>
      <c r="L464" s="515"/>
      <c r="M464" s="515"/>
      <c r="N464" s="444"/>
      <c r="O464" s="515"/>
      <c r="P464" s="515"/>
    </row>
    <row r="465" spans="1:16" x14ac:dyDescent="0.25">
      <c r="A465" s="424"/>
      <c r="B465" s="439"/>
      <c r="C465" s="529"/>
      <c r="D465" s="529"/>
      <c r="E465" s="444"/>
      <c r="F465" s="439"/>
      <c r="G465" s="444"/>
      <c r="H465" s="444"/>
      <c r="I465" s="444"/>
      <c r="J465" s="515"/>
      <c r="K465" s="444"/>
      <c r="L465" s="515"/>
      <c r="M465" s="515"/>
      <c r="N465" s="444"/>
      <c r="O465" s="515"/>
      <c r="P465" s="515"/>
    </row>
    <row r="466" spans="1:16" x14ac:dyDescent="0.25">
      <c r="A466" s="424"/>
      <c r="B466" s="439"/>
      <c r="C466" s="529"/>
      <c r="D466" s="529"/>
      <c r="E466" s="444"/>
      <c r="F466" s="439"/>
      <c r="G466" s="444"/>
      <c r="H466" s="444"/>
      <c r="I466" s="444"/>
      <c r="J466" s="515"/>
      <c r="K466" s="444"/>
      <c r="L466" s="515"/>
      <c r="M466" s="515"/>
      <c r="N466" s="444"/>
      <c r="O466" s="515"/>
      <c r="P466" s="515"/>
    </row>
    <row r="467" spans="1:16" x14ac:dyDescent="0.25">
      <c r="A467" s="424"/>
      <c r="B467" s="439"/>
      <c r="C467" s="529"/>
      <c r="D467" s="529"/>
      <c r="E467" s="444"/>
      <c r="F467" s="439"/>
      <c r="G467" s="444"/>
      <c r="H467" s="444"/>
      <c r="I467" s="444"/>
      <c r="J467" s="515"/>
      <c r="K467" s="444"/>
      <c r="L467" s="515"/>
      <c r="M467" s="515"/>
      <c r="N467" s="444"/>
      <c r="O467" s="515"/>
      <c r="P467" s="515"/>
    </row>
    <row r="468" spans="1:16" x14ac:dyDescent="0.25">
      <c r="A468" s="424"/>
      <c r="B468" s="439"/>
      <c r="C468" s="529"/>
      <c r="D468" s="529"/>
      <c r="E468" s="444"/>
      <c r="F468" s="439"/>
      <c r="G468" s="444"/>
      <c r="H468" s="444"/>
      <c r="I468" s="444"/>
      <c r="J468" s="515"/>
      <c r="K468" s="444"/>
      <c r="L468" s="515"/>
      <c r="M468" s="515"/>
      <c r="N468" s="444"/>
      <c r="O468" s="515"/>
      <c r="P468" s="515"/>
    </row>
    <row r="469" spans="1:16" x14ac:dyDescent="0.25">
      <c r="A469" s="424"/>
      <c r="B469" s="439"/>
      <c r="C469" s="529"/>
      <c r="D469" s="529"/>
      <c r="E469" s="444"/>
      <c r="F469" s="439"/>
      <c r="G469" s="444"/>
      <c r="H469" s="444"/>
      <c r="I469" s="444"/>
      <c r="J469" s="515"/>
      <c r="K469" s="444"/>
      <c r="L469" s="515"/>
      <c r="M469" s="515"/>
      <c r="N469" s="444"/>
      <c r="O469" s="515"/>
      <c r="P469" s="515"/>
    </row>
    <row r="470" spans="1:16" x14ac:dyDescent="0.25">
      <c r="A470" s="424"/>
      <c r="B470" s="439"/>
      <c r="C470" s="529"/>
      <c r="D470" s="529"/>
      <c r="E470" s="444"/>
      <c r="F470" s="439"/>
      <c r="G470" s="444"/>
      <c r="H470" s="444"/>
      <c r="I470" s="444"/>
      <c r="J470" s="515"/>
      <c r="K470" s="444"/>
      <c r="L470" s="515"/>
      <c r="M470" s="515"/>
      <c r="N470" s="444"/>
      <c r="O470" s="515"/>
      <c r="P470" s="515"/>
    </row>
    <row r="471" spans="1:16" x14ac:dyDescent="0.25">
      <c r="A471" s="424"/>
      <c r="B471" s="439"/>
      <c r="C471" s="529"/>
      <c r="D471" s="529"/>
      <c r="E471" s="444"/>
      <c r="F471" s="439"/>
      <c r="G471" s="444"/>
      <c r="H471" s="444"/>
      <c r="I471" s="444"/>
      <c r="J471" s="515"/>
      <c r="K471" s="444"/>
      <c r="L471" s="515"/>
      <c r="M471" s="515"/>
      <c r="N471" s="444"/>
      <c r="O471" s="515"/>
      <c r="P471" s="515"/>
    </row>
    <row r="472" spans="1:16" x14ac:dyDescent="0.25">
      <c r="A472" s="424"/>
      <c r="B472" s="439"/>
      <c r="C472" s="529"/>
      <c r="D472" s="529"/>
      <c r="E472" s="444"/>
      <c r="F472" s="439"/>
      <c r="G472" s="444"/>
      <c r="H472" s="444"/>
      <c r="I472" s="444"/>
      <c r="J472" s="515"/>
      <c r="K472" s="444"/>
      <c r="L472" s="515"/>
      <c r="M472" s="515"/>
      <c r="N472" s="444"/>
      <c r="O472" s="515"/>
      <c r="P472" s="515"/>
    </row>
    <row r="473" spans="1:16" x14ac:dyDescent="0.25">
      <c r="A473" s="424"/>
      <c r="B473" s="439"/>
      <c r="C473" s="529"/>
      <c r="D473" s="529"/>
      <c r="E473" s="444"/>
      <c r="F473" s="439"/>
      <c r="G473" s="444"/>
      <c r="H473" s="444"/>
      <c r="I473" s="444"/>
      <c r="J473" s="515"/>
      <c r="K473" s="444"/>
      <c r="L473" s="515"/>
      <c r="M473" s="515"/>
      <c r="N473" s="444"/>
      <c r="O473" s="515"/>
      <c r="P473" s="515"/>
    </row>
    <row r="474" spans="1:16" x14ac:dyDescent="0.25">
      <c r="A474" s="424"/>
      <c r="B474" s="439"/>
      <c r="C474" s="529"/>
      <c r="D474" s="529"/>
      <c r="E474" s="444"/>
      <c r="F474" s="439"/>
      <c r="G474" s="444"/>
      <c r="H474" s="444"/>
      <c r="I474" s="444"/>
      <c r="J474" s="515"/>
      <c r="K474" s="444"/>
      <c r="L474" s="515"/>
      <c r="M474" s="515"/>
      <c r="N474" s="444"/>
      <c r="O474" s="515"/>
      <c r="P474" s="515"/>
    </row>
    <row r="475" spans="1:16" x14ac:dyDescent="0.25">
      <c r="A475" s="424"/>
      <c r="B475" s="439"/>
      <c r="C475" s="529"/>
      <c r="D475" s="529"/>
      <c r="E475" s="444"/>
      <c r="F475" s="439"/>
      <c r="G475" s="444"/>
      <c r="H475" s="444"/>
      <c r="I475" s="444"/>
      <c r="J475" s="515"/>
      <c r="K475" s="444"/>
      <c r="L475" s="515"/>
      <c r="M475" s="515"/>
      <c r="N475" s="444"/>
      <c r="O475" s="515"/>
      <c r="P475" s="515"/>
    </row>
    <row r="476" spans="1:16" x14ac:dyDescent="0.25">
      <c r="A476" s="424"/>
      <c r="B476" s="439"/>
      <c r="C476" s="529"/>
      <c r="D476" s="529"/>
      <c r="E476" s="444"/>
      <c r="F476" s="439"/>
      <c r="G476" s="444"/>
      <c r="H476" s="444"/>
      <c r="I476" s="444"/>
      <c r="J476" s="515"/>
      <c r="K476" s="444"/>
      <c r="L476" s="515"/>
      <c r="M476" s="515"/>
      <c r="N476" s="444"/>
      <c r="O476" s="515"/>
      <c r="P476" s="515"/>
    </row>
    <row r="477" spans="1:16" x14ac:dyDescent="0.25">
      <c r="A477" s="424"/>
      <c r="B477" s="439"/>
      <c r="C477" s="529"/>
      <c r="D477" s="529"/>
      <c r="E477" s="444"/>
      <c r="F477" s="439"/>
      <c r="G477" s="444"/>
      <c r="H477" s="444"/>
      <c r="I477" s="444"/>
      <c r="J477" s="515"/>
      <c r="K477" s="444"/>
      <c r="L477" s="515"/>
      <c r="M477" s="515"/>
      <c r="N477" s="444"/>
      <c r="O477" s="515"/>
      <c r="P477" s="515"/>
    </row>
    <row r="478" spans="1:16" x14ac:dyDescent="0.25">
      <c r="A478" s="424"/>
      <c r="B478" s="439"/>
      <c r="C478" s="529"/>
      <c r="D478" s="529"/>
      <c r="E478" s="444"/>
      <c r="F478" s="439"/>
      <c r="G478" s="444"/>
      <c r="H478" s="444"/>
      <c r="I478" s="444"/>
      <c r="J478" s="515"/>
      <c r="K478" s="444"/>
      <c r="L478" s="515"/>
      <c r="M478" s="515"/>
      <c r="N478" s="444"/>
      <c r="O478" s="515"/>
      <c r="P478" s="515"/>
    </row>
    <row r="479" spans="1:16" x14ac:dyDescent="0.25">
      <c r="A479" s="424"/>
      <c r="B479" s="439"/>
      <c r="C479" s="529"/>
      <c r="D479" s="529"/>
      <c r="E479" s="444"/>
      <c r="F479" s="439"/>
      <c r="G479" s="444"/>
      <c r="H479" s="444"/>
      <c r="I479" s="444"/>
      <c r="J479" s="515"/>
      <c r="K479" s="444"/>
      <c r="L479" s="515"/>
      <c r="M479" s="515"/>
      <c r="N479" s="444"/>
      <c r="O479" s="515"/>
      <c r="P479" s="515"/>
    </row>
    <row r="480" spans="1:16" x14ac:dyDescent="0.25">
      <c r="A480" s="424"/>
      <c r="B480" s="439"/>
      <c r="C480" s="529"/>
      <c r="D480" s="529"/>
      <c r="E480" s="444"/>
      <c r="F480" s="439"/>
      <c r="G480" s="444"/>
      <c r="H480" s="444"/>
      <c r="I480" s="444"/>
      <c r="J480" s="515"/>
      <c r="K480" s="444"/>
      <c r="L480" s="515"/>
      <c r="M480" s="515"/>
      <c r="N480" s="444"/>
      <c r="O480" s="515"/>
      <c r="P480" s="515"/>
    </row>
    <row r="481" spans="1:16" x14ac:dyDescent="0.25">
      <c r="A481" s="424"/>
      <c r="B481" s="439"/>
      <c r="C481" s="529"/>
      <c r="D481" s="529"/>
      <c r="E481" s="444"/>
      <c r="F481" s="439"/>
      <c r="G481" s="444"/>
      <c r="H481" s="444"/>
      <c r="I481" s="444"/>
      <c r="J481" s="515"/>
      <c r="K481" s="444"/>
      <c r="L481" s="515"/>
      <c r="M481" s="515"/>
      <c r="N481" s="444"/>
      <c r="O481" s="515"/>
      <c r="P481" s="515"/>
    </row>
    <row r="482" spans="1:16" x14ac:dyDescent="0.25">
      <c r="A482" s="424"/>
      <c r="B482" s="439"/>
      <c r="C482" s="529"/>
      <c r="D482" s="529"/>
      <c r="E482" s="444"/>
      <c r="F482" s="439"/>
      <c r="G482" s="444"/>
      <c r="H482" s="444"/>
      <c r="I482" s="444"/>
      <c r="J482" s="515"/>
      <c r="K482" s="444"/>
      <c r="L482" s="515"/>
      <c r="M482" s="515"/>
      <c r="N482" s="444"/>
      <c r="O482" s="515"/>
      <c r="P482" s="515"/>
    </row>
    <row r="483" spans="1:16" x14ac:dyDescent="0.25">
      <c r="A483" s="424"/>
      <c r="B483" s="439"/>
      <c r="C483" s="529"/>
      <c r="D483" s="529"/>
      <c r="E483" s="444"/>
      <c r="F483" s="439"/>
      <c r="G483" s="444"/>
      <c r="H483" s="444"/>
      <c r="I483" s="444"/>
      <c r="J483" s="515"/>
      <c r="K483" s="444"/>
      <c r="L483" s="515"/>
      <c r="M483" s="515"/>
      <c r="N483" s="444"/>
      <c r="O483" s="515"/>
      <c r="P483" s="515"/>
    </row>
    <row r="484" spans="1:16" x14ac:dyDescent="0.25">
      <c r="A484" s="424"/>
      <c r="B484" s="439"/>
      <c r="C484" s="529"/>
      <c r="D484" s="529"/>
      <c r="E484" s="444"/>
      <c r="F484" s="439"/>
      <c r="G484" s="444"/>
      <c r="H484" s="444"/>
      <c r="I484" s="444"/>
      <c r="J484" s="515"/>
      <c r="K484" s="444"/>
      <c r="L484" s="515"/>
      <c r="M484" s="515"/>
      <c r="N484" s="444"/>
      <c r="O484" s="515"/>
      <c r="P484" s="515"/>
    </row>
    <row r="485" spans="1:16" x14ac:dyDescent="0.25">
      <c r="A485" s="424"/>
      <c r="B485" s="439"/>
      <c r="C485" s="529"/>
      <c r="D485" s="529"/>
      <c r="E485" s="444"/>
      <c r="F485" s="439"/>
      <c r="G485" s="444"/>
      <c r="H485" s="444"/>
      <c r="I485" s="444"/>
      <c r="J485" s="515"/>
      <c r="K485" s="444"/>
      <c r="L485" s="515"/>
      <c r="M485" s="515"/>
      <c r="N485" s="444"/>
      <c r="O485" s="515"/>
      <c r="P485" s="515"/>
    </row>
    <row r="486" spans="1:16" x14ac:dyDescent="0.25">
      <c r="A486" s="424"/>
      <c r="B486" s="439"/>
      <c r="C486" s="529"/>
      <c r="D486" s="529"/>
      <c r="E486" s="444"/>
      <c r="F486" s="439"/>
      <c r="G486" s="444"/>
      <c r="H486" s="444"/>
      <c r="I486" s="444"/>
      <c r="J486" s="515"/>
      <c r="K486" s="444"/>
      <c r="L486" s="515"/>
      <c r="M486" s="515"/>
      <c r="N486" s="444"/>
      <c r="O486" s="515"/>
      <c r="P486" s="515"/>
    </row>
    <row r="487" spans="1:16" x14ac:dyDescent="0.25">
      <c r="A487" s="424"/>
      <c r="B487" s="439"/>
      <c r="C487" s="529"/>
      <c r="D487" s="529"/>
      <c r="E487" s="444"/>
      <c r="F487" s="439"/>
      <c r="G487" s="444"/>
      <c r="H487" s="444"/>
      <c r="I487" s="444"/>
      <c r="J487" s="515"/>
      <c r="K487" s="444"/>
      <c r="L487" s="515"/>
      <c r="M487" s="515"/>
      <c r="N487" s="444"/>
      <c r="O487" s="515"/>
      <c r="P487" s="515"/>
    </row>
    <row r="488" spans="1:16" x14ac:dyDescent="0.25">
      <c r="A488" s="424"/>
      <c r="B488" s="439"/>
      <c r="C488" s="529"/>
      <c r="D488" s="529"/>
      <c r="E488" s="444"/>
      <c r="F488" s="439"/>
      <c r="G488" s="444"/>
      <c r="H488" s="444"/>
      <c r="I488" s="444"/>
      <c r="J488" s="515"/>
      <c r="K488" s="444"/>
      <c r="L488" s="515"/>
      <c r="M488" s="515"/>
      <c r="N488" s="444"/>
      <c r="O488" s="515"/>
      <c r="P488" s="515"/>
    </row>
    <row r="489" spans="1:16" x14ac:dyDescent="0.25">
      <c r="A489" s="424"/>
      <c r="B489" s="439"/>
      <c r="C489" s="529"/>
      <c r="D489" s="529"/>
      <c r="E489" s="444"/>
      <c r="F489" s="439"/>
      <c r="G489" s="444"/>
      <c r="H489" s="444"/>
      <c r="I489" s="444"/>
      <c r="J489" s="515"/>
      <c r="K489" s="444"/>
      <c r="L489" s="515"/>
      <c r="M489" s="515"/>
      <c r="N489" s="444"/>
      <c r="O489" s="515"/>
      <c r="P489" s="515"/>
    </row>
    <row r="490" spans="1:16" x14ac:dyDescent="0.25">
      <c r="A490" s="424"/>
      <c r="B490" s="439"/>
      <c r="C490" s="529"/>
      <c r="D490" s="529"/>
      <c r="E490" s="444"/>
      <c r="F490" s="439"/>
      <c r="G490" s="444"/>
      <c r="H490" s="444"/>
      <c r="I490" s="444"/>
      <c r="J490" s="515"/>
      <c r="K490" s="444"/>
      <c r="L490" s="515"/>
      <c r="M490" s="515"/>
      <c r="N490" s="444"/>
      <c r="O490" s="515"/>
      <c r="P490" s="515"/>
    </row>
    <row r="491" spans="1:16" x14ac:dyDescent="0.25">
      <c r="A491" s="424"/>
      <c r="B491" s="439"/>
      <c r="C491" s="529"/>
      <c r="D491" s="529"/>
      <c r="E491" s="444"/>
      <c r="F491" s="439"/>
      <c r="G491" s="444"/>
      <c r="H491" s="444"/>
      <c r="I491" s="444"/>
      <c r="J491" s="515"/>
      <c r="K491" s="444"/>
      <c r="L491" s="515"/>
      <c r="M491" s="515"/>
      <c r="N491" s="444"/>
      <c r="O491" s="515"/>
      <c r="P491" s="515"/>
    </row>
    <row r="492" spans="1:16" x14ac:dyDescent="0.25">
      <c r="A492" s="424"/>
      <c r="B492" s="439"/>
      <c r="C492" s="529"/>
      <c r="D492" s="529"/>
      <c r="E492" s="444"/>
      <c r="F492" s="439"/>
      <c r="G492" s="444"/>
      <c r="H492" s="444"/>
      <c r="I492" s="444"/>
      <c r="J492" s="515"/>
      <c r="K492" s="444"/>
      <c r="L492" s="515"/>
      <c r="M492" s="515"/>
      <c r="N492" s="444"/>
      <c r="O492" s="515"/>
      <c r="P492" s="515"/>
    </row>
    <row r="493" spans="1:16" x14ac:dyDescent="0.25">
      <c r="A493" s="424"/>
      <c r="B493" s="439"/>
      <c r="C493" s="529"/>
      <c r="D493" s="529"/>
      <c r="E493" s="444"/>
      <c r="F493" s="439"/>
      <c r="G493" s="444"/>
      <c r="H493" s="444"/>
      <c r="I493" s="444"/>
      <c r="J493" s="515"/>
      <c r="K493" s="444"/>
      <c r="L493" s="515"/>
      <c r="M493" s="515"/>
      <c r="N493" s="444"/>
      <c r="O493" s="515"/>
      <c r="P493" s="515"/>
    </row>
    <row r="494" spans="1:16" x14ac:dyDescent="0.25">
      <c r="A494" s="424"/>
      <c r="B494" s="439"/>
      <c r="C494" s="529"/>
      <c r="D494" s="529"/>
      <c r="E494" s="444"/>
      <c r="F494" s="439"/>
      <c r="G494" s="444"/>
      <c r="H494" s="444"/>
      <c r="I494" s="444"/>
      <c r="J494" s="515"/>
      <c r="K494" s="444"/>
      <c r="L494" s="515"/>
      <c r="M494" s="515"/>
      <c r="N494" s="444"/>
      <c r="O494" s="515"/>
      <c r="P494" s="515"/>
    </row>
    <row r="495" spans="1:16" x14ac:dyDescent="0.25">
      <c r="A495" s="424"/>
      <c r="B495" s="439"/>
      <c r="C495" s="529"/>
      <c r="D495" s="529"/>
      <c r="E495" s="444"/>
      <c r="F495" s="439"/>
      <c r="G495" s="444"/>
      <c r="H495" s="444"/>
      <c r="I495" s="444"/>
      <c r="J495" s="515"/>
      <c r="K495" s="444"/>
      <c r="L495" s="515"/>
      <c r="M495" s="515"/>
      <c r="N495" s="444"/>
      <c r="O495" s="515"/>
      <c r="P495" s="515"/>
    </row>
    <row r="496" spans="1:16" x14ac:dyDescent="0.25">
      <c r="A496" s="424"/>
      <c r="B496" s="439"/>
      <c r="C496" s="529"/>
      <c r="D496" s="529"/>
      <c r="E496" s="444"/>
      <c r="F496" s="439"/>
      <c r="G496" s="444"/>
      <c r="H496" s="444"/>
      <c r="I496" s="444"/>
      <c r="J496" s="515"/>
      <c r="K496" s="444"/>
      <c r="L496" s="515"/>
      <c r="M496" s="515"/>
      <c r="N496" s="444"/>
      <c r="O496" s="515"/>
      <c r="P496" s="515"/>
    </row>
    <row r="497" spans="1:16" x14ac:dyDescent="0.25">
      <c r="A497" s="424"/>
      <c r="B497" s="439"/>
      <c r="C497" s="529"/>
      <c r="D497" s="529"/>
      <c r="E497" s="444"/>
      <c r="F497" s="439"/>
      <c r="G497" s="444"/>
      <c r="H497" s="444"/>
      <c r="I497" s="444"/>
      <c r="J497" s="515"/>
      <c r="K497" s="444"/>
      <c r="L497" s="515"/>
      <c r="M497" s="515"/>
      <c r="N497" s="444"/>
      <c r="O497" s="515"/>
      <c r="P497" s="515"/>
    </row>
    <row r="498" spans="1:16" x14ac:dyDescent="0.25">
      <c r="A498" s="424"/>
      <c r="B498" s="439"/>
      <c r="C498" s="529"/>
      <c r="D498" s="529"/>
      <c r="E498" s="444"/>
      <c r="F498" s="439"/>
      <c r="G498" s="444"/>
      <c r="H498" s="444"/>
      <c r="I498" s="444"/>
      <c r="J498" s="515"/>
      <c r="K498" s="444"/>
      <c r="L498" s="515"/>
      <c r="M498" s="515"/>
      <c r="N498" s="444"/>
      <c r="O498" s="515"/>
      <c r="P498" s="515"/>
    </row>
    <row r="499" spans="1:16" x14ac:dyDescent="0.25">
      <c r="A499" s="424"/>
      <c r="B499" s="439"/>
      <c r="C499" s="529"/>
      <c r="D499" s="529"/>
      <c r="E499" s="444"/>
      <c r="F499" s="439"/>
      <c r="G499" s="444"/>
      <c r="H499" s="444"/>
      <c r="I499" s="444"/>
      <c r="J499" s="515"/>
      <c r="K499" s="444"/>
      <c r="L499" s="515"/>
      <c r="M499" s="515"/>
      <c r="N499" s="444"/>
      <c r="O499" s="515"/>
      <c r="P499" s="515"/>
    </row>
    <row r="500" spans="1:16" x14ac:dyDescent="0.25">
      <c r="A500" s="424"/>
      <c r="B500" s="439"/>
      <c r="C500" s="529"/>
      <c r="D500" s="529"/>
      <c r="E500" s="444"/>
      <c r="F500" s="439"/>
      <c r="G500" s="444"/>
      <c r="H500" s="444"/>
      <c r="I500" s="444"/>
      <c r="J500" s="515"/>
      <c r="K500" s="444"/>
      <c r="L500" s="515"/>
      <c r="M500" s="515"/>
      <c r="N500" s="444"/>
      <c r="O500" s="515"/>
      <c r="P500" s="515"/>
    </row>
    <row r="501" spans="1:16" x14ac:dyDescent="0.25">
      <c r="A501" s="424"/>
      <c r="B501" s="439"/>
      <c r="C501" s="529"/>
      <c r="D501" s="529"/>
      <c r="E501" s="444"/>
      <c r="F501" s="439"/>
      <c r="G501" s="444"/>
      <c r="H501" s="444"/>
      <c r="I501" s="444"/>
      <c r="J501" s="515"/>
      <c r="K501" s="444"/>
      <c r="L501" s="515"/>
      <c r="M501" s="515"/>
      <c r="N501" s="444"/>
      <c r="O501" s="515"/>
      <c r="P501" s="515"/>
    </row>
    <row r="502" spans="1:16" x14ac:dyDescent="0.25">
      <c r="A502" s="424"/>
      <c r="B502" s="439"/>
      <c r="C502" s="529"/>
      <c r="D502" s="529"/>
      <c r="E502" s="444"/>
      <c r="F502" s="439"/>
      <c r="G502" s="444"/>
      <c r="H502" s="444"/>
      <c r="I502" s="444"/>
      <c r="J502" s="515"/>
      <c r="K502" s="444"/>
      <c r="L502" s="515"/>
      <c r="M502" s="515"/>
      <c r="N502" s="444"/>
      <c r="O502" s="515"/>
      <c r="P502" s="515"/>
    </row>
    <row r="503" spans="1:16" x14ac:dyDescent="0.25">
      <c r="A503" s="424"/>
      <c r="B503" s="439"/>
      <c r="C503" s="529"/>
      <c r="D503" s="529"/>
      <c r="E503" s="444"/>
      <c r="F503" s="439"/>
      <c r="G503" s="444"/>
      <c r="H503" s="444"/>
      <c r="I503" s="444"/>
      <c r="J503" s="515"/>
      <c r="K503" s="444"/>
      <c r="L503" s="515"/>
      <c r="M503" s="515"/>
      <c r="N503" s="444"/>
      <c r="O503" s="515"/>
      <c r="P503" s="515"/>
    </row>
    <row r="504" spans="1:16" x14ac:dyDescent="0.25">
      <c r="A504" s="424"/>
      <c r="B504" s="439"/>
      <c r="C504" s="529"/>
      <c r="D504" s="529"/>
      <c r="E504" s="444"/>
      <c r="F504" s="439"/>
      <c r="G504" s="444"/>
      <c r="H504" s="444"/>
      <c r="I504" s="444"/>
      <c r="J504" s="515"/>
      <c r="K504" s="444"/>
      <c r="L504" s="515"/>
      <c r="M504" s="515"/>
      <c r="N504" s="444"/>
      <c r="O504" s="515"/>
      <c r="P504" s="515"/>
    </row>
    <row r="505" spans="1:16" x14ac:dyDescent="0.25">
      <c r="A505" s="424"/>
      <c r="B505" s="439"/>
      <c r="C505" s="529"/>
      <c r="D505" s="529"/>
      <c r="E505" s="444"/>
      <c r="F505" s="439"/>
      <c r="G505" s="444"/>
      <c r="H505" s="444"/>
      <c r="I505" s="444"/>
      <c r="J505" s="515"/>
      <c r="K505" s="444"/>
      <c r="L505" s="515"/>
      <c r="M505" s="515"/>
      <c r="N505" s="444"/>
      <c r="O505" s="515"/>
      <c r="P505" s="515"/>
    </row>
    <row r="506" spans="1:16" x14ac:dyDescent="0.25">
      <c r="A506" s="424"/>
      <c r="B506" s="439"/>
      <c r="C506" s="529"/>
      <c r="D506" s="529"/>
      <c r="E506" s="444"/>
      <c r="F506" s="439"/>
      <c r="G506" s="444"/>
      <c r="H506" s="444"/>
      <c r="I506" s="444"/>
      <c r="J506" s="515"/>
      <c r="K506" s="444"/>
      <c r="L506" s="515"/>
      <c r="M506" s="515"/>
      <c r="N506" s="444"/>
      <c r="O506" s="515"/>
      <c r="P506" s="515"/>
    </row>
    <row r="507" spans="1:16" x14ac:dyDescent="0.25">
      <c r="A507" s="424"/>
      <c r="B507" s="439"/>
      <c r="C507" s="529"/>
      <c r="D507" s="529"/>
      <c r="E507" s="444"/>
      <c r="F507" s="439"/>
      <c r="G507" s="444"/>
      <c r="H507" s="444"/>
      <c r="I507" s="444"/>
      <c r="J507" s="515"/>
      <c r="K507" s="444"/>
      <c r="L507" s="515"/>
      <c r="M507" s="515"/>
      <c r="N507" s="444"/>
      <c r="O507" s="515"/>
      <c r="P507" s="515"/>
    </row>
    <row r="508" spans="1:16" x14ac:dyDescent="0.25">
      <c r="A508" s="424"/>
      <c r="B508" s="439"/>
      <c r="C508" s="529"/>
      <c r="D508" s="529"/>
      <c r="E508" s="444"/>
      <c r="F508" s="439"/>
      <c r="G508" s="444"/>
      <c r="H508" s="444"/>
      <c r="I508" s="444"/>
      <c r="J508" s="515"/>
      <c r="K508" s="444"/>
      <c r="L508" s="515"/>
      <c r="M508" s="515"/>
      <c r="N508" s="444"/>
      <c r="O508" s="515"/>
      <c r="P508" s="515"/>
    </row>
    <row r="509" spans="1:16" x14ac:dyDescent="0.25">
      <c r="A509" s="424"/>
      <c r="B509" s="439"/>
      <c r="C509" s="529"/>
      <c r="D509" s="529"/>
      <c r="E509" s="444"/>
      <c r="F509" s="439"/>
      <c r="G509" s="444"/>
      <c r="H509" s="444"/>
      <c r="I509" s="444"/>
      <c r="J509" s="515"/>
      <c r="K509" s="444"/>
      <c r="L509" s="515"/>
      <c r="M509" s="515"/>
      <c r="N509" s="444"/>
      <c r="O509" s="515"/>
      <c r="P509" s="515"/>
    </row>
    <row r="510" spans="1:16" x14ac:dyDescent="0.25">
      <c r="A510" s="424"/>
      <c r="B510" s="439"/>
      <c r="C510" s="529"/>
      <c r="D510" s="529"/>
      <c r="E510" s="444"/>
      <c r="F510" s="439"/>
      <c r="G510" s="444"/>
      <c r="H510" s="444"/>
      <c r="I510" s="444"/>
      <c r="J510" s="515"/>
      <c r="K510" s="444"/>
      <c r="L510" s="515"/>
      <c r="M510" s="515"/>
      <c r="N510" s="444"/>
      <c r="O510" s="515"/>
      <c r="P510" s="515"/>
    </row>
    <row r="511" spans="1:16" x14ac:dyDescent="0.25">
      <c r="A511" s="424"/>
      <c r="B511" s="439"/>
      <c r="C511" s="529"/>
      <c r="D511" s="529"/>
      <c r="E511" s="444"/>
      <c r="F511" s="439"/>
      <c r="G511" s="444"/>
      <c r="H511" s="444"/>
      <c r="I511" s="444"/>
      <c r="J511" s="515"/>
      <c r="K511" s="444"/>
      <c r="L511" s="515"/>
      <c r="M511" s="515"/>
      <c r="N511" s="444"/>
      <c r="O511" s="515"/>
      <c r="P511" s="515"/>
    </row>
    <row r="512" spans="1:16" x14ac:dyDescent="0.25">
      <c r="A512" s="424"/>
      <c r="B512" s="439"/>
      <c r="C512" s="529"/>
      <c r="D512" s="529"/>
      <c r="E512" s="444"/>
      <c r="F512" s="439"/>
      <c r="G512" s="444"/>
      <c r="H512" s="444"/>
      <c r="I512" s="444"/>
      <c r="J512" s="515"/>
      <c r="K512" s="444"/>
      <c r="L512" s="515"/>
      <c r="M512" s="515"/>
      <c r="N512" s="444"/>
      <c r="O512" s="515"/>
      <c r="P512" s="515"/>
    </row>
    <row r="513" spans="1:16" x14ac:dyDescent="0.25">
      <c r="A513" s="424"/>
      <c r="B513" s="439"/>
      <c r="C513" s="529"/>
      <c r="D513" s="529"/>
      <c r="E513" s="444"/>
      <c r="F513" s="439"/>
      <c r="G513" s="444"/>
      <c r="H513" s="444"/>
      <c r="I513" s="444"/>
      <c r="J513" s="515"/>
      <c r="K513" s="444"/>
      <c r="L513" s="515"/>
      <c r="M513" s="515"/>
      <c r="N513" s="444"/>
      <c r="O513" s="515"/>
      <c r="P513" s="515"/>
    </row>
    <row r="514" spans="1:16" x14ac:dyDescent="0.25">
      <c r="A514" s="424"/>
      <c r="B514" s="439"/>
      <c r="C514" s="529"/>
      <c r="D514" s="529"/>
      <c r="E514" s="444"/>
      <c r="F514" s="439"/>
      <c r="G514" s="444"/>
      <c r="H514" s="444"/>
      <c r="I514" s="444"/>
      <c r="J514" s="515"/>
      <c r="K514" s="444"/>
      <c r="L514" s="515"/>
      <c r="M514" s="515"/>
      <c r="N514" s="444"/>
      <c r="O514" s="515"/>
      <c r="P514" s="515"/>
    </row>
    <row r="515" spans="1:16" x14ac:dyDescent="0.25">
      <c r="A515" s="424"/>
      <c r="B515" s="439"/>
      <c r="C515" s="529"/>
      <c r="D515" s="529"/>
      <c r="E515" s="444"/>
      <c r="F515" s="439"/>
      <c r="G515" s="444"/>
      <c r="H515" s="444"/>
      <c r="I515" s="444"/>
      <c r="J515" s="515"/>
      <c r="K515" s="444"/>
      <c r="L515" s="515"/>
      <c r="M515" s="515"/>
      <c r="N515" s="444"/>
      <c r="O515" s="515"/>
      <c r="P515" s="515"/>
    </row>
    <row r="516" spans="1:16" x14ac:dyDescent="0.25">
      <c r="A516" s="424"/>
      <c r="B516" s="439"/>
      <c r="C516" s="529"/>
      <c r="D516" s="529"/>
      <c r="E516" s="444"/>
      <c r="F516" s="439"/>
      <c r="G516" s="444"/>
      <c r="H516" s="444"/>
      <c r="I516" s="444"/>
      <c r="J516" s="515"/>
      <c r="K516" s="444"/>
      <c r="L516" s="515"/>
      <c r="M516" s="515"/>
      <c r="N516" s="444"/>
      <c r="O516" s="515"/>
      <c r="P516" s="515"/>
    </row>
    <row r="517" spans="1:16" x14ac:dyDescent="0.25">
      <c r="A517" s="424"/>
      <c r="B517" s="439"/>
      <c r="C517" s="529"/>
      <c r="D517" s="529"/>
      <c r="E517" s="444"/>
      <c r="F517" s="439"/>
      <c r="G517" s="444"/>
      <c r="H517" s="444"/>
      <c r="I517" s="444"/>
      <c r="J517" s="515"/>
      <c r="K517" s="444"/>
      <c r="L517" s="515"/>
      <c r="M517" s="515"/>
      <c r="N517" s="444"/>
      <c r="O517" s="515"/>
      <c r="P517" s="515"/>
    </row>
    <row r="518" spans="1:16" x14ac:dyDescent="0.25">
      <c r="A518" s="424"/>
      <c r="B518" s="439"/>
      <c r="C518" s="529"/>
      <c r="D518" s="529"/>
      <c r="E518" s="444"/>
      <c r="F518" s="439"/>
      <c r="G518" s="444"/>
      <c r="H518" s="444"/>
      <c r="I518" s="444"/>
      <c r="J518" s="515"/>
      <c r="K518" s="444"/>
      <c r="L518" s="515"/>
      <c r="M518" s="515"/>
      <c r="N518" s="444"/>
      <c r="O518" s="515"/>
      <c r="P518" s="515"/>
    </row>
    <row r="519" spans="1:16" x14ac:dyDescent="0.25">
      <c r="A519" s="424"/>
      <c r="B519" s="439"/>
      <c r="C519" s="529"/>
      <c r="D519" s="529"/>
      <c r="E519" s="444"/>
      <c r="F519" s="439"/>
      <c r="G519" s="444"/>
      <c r="H519" s="444"/>
      <c r="I519" s="444"/>
      <c r="J519" s="515"/>
      <c r="K519" s="444"/>
      <c r="L519" s="515"/>
      <c r="M519" s="515"/>
      <c r="N519" s="444"/>
      <c r="O519" s="515"/>
      <c r="P519" s="515"/>
    </row>
    <row r="520" spans="1:16" x14ac:dyDescent="0.25">
      <c r="A520" s="424"/>
      <c r="B520" s="439"/>
      <c r="C520" s="529"/>
      <c r="D520" s="529"/>
      <c r="E520" s="444"/>
      <c r="F520" s="439"/>
      <c r="G520" s="444"/>
      <c r="H520" s="444"/>
      <c r="I520" s="444"/>
      <c r="J520" s="515"/>
      <c r="K520" s="444"/>
      <c r="L520" s="515"/>
      <c r="M520" s="515"/>
      <c r="N520" s="444"/>
      <c r="O520" s="515"/>
      <c r="P520" s="515"/>
    </row>
    <row r="521" spans="1:16" x14ac:dyDescent="0.25">
      <c r="A521" s="424"/>
      <c r="B521" s="439"/>
      <c r="C521" s="529"/>
      <c r="D521" s="529"/>
      <c r="E521" s="444"/>
      <c r="F521" s="439"/>
      <c r="G521" s="444"/>
      <c r="H521" s="444"/>
      <c r="I521" s="444"/>
      <c r="J521" s="515"/>
      <c r="K521" s="444"/>
      <c r="L521" s="515"/>
      <c r="M521" s="515"/>
      <c r="N521" s="444"/>
      <c r="O521" s="515"/>
      <c r="P521" s="515"/>
    </row>
    <row r="522" spans="1:16" x14ac:dyDescent="0.25">
      <c r="A522" s="424"/>
      <c r="B522" s="439"/>
      <c r="C522" s="529"/>
      <c r="D522" s="529"/>
      <c r="E522" s="444"/>
      <c r="F522" s="439"/>
      <c r="G522" s="444"/>
      <c r="H522" s="444"/>
      <c r="I522" s="444"/>
      <c r="J522" s="515"/>
      <c r="K522" s="444"/>
      <c r="L522" s="515"/>
      <c r="M522" s="515"/>
      <c r="N522" s="444"/>
      <c r="O522" s="515"/>
      <c r="P522" s="515"/>
    </row>
    <row r="523" spans="1:16" x14ac:dyDescent="0.25">
      <c r="A523" s="424"/>
      <c r="B523" s="439"/>
      <c r="C523" s="529"/>
      <c r="D523" s="529"/>
      <c r="E523" s="444"/>
      <c r="F523" s="439"/>
      <c r="G523" s="444"/>
      <c r="H523" s="444"/>
      <c r="I523" s="444"/>
      <c r="J523" s="515"/>
      <c r="K523" s="444"/>
      <c r="L523" s="515"/>
      <c r="M523" s="515"/>
      <c r="N523" s="444"/>
      <c r="O523" s="515"/>
      <c r="P523" s="515"/>
    </row>
    <row r="524" spans="1:16" x14ac:dyDescent="0.25">
      <c r="A524" s="424"/>
      <c r="B524" s="439"/>
      <c r="C524" s="529"/>
      <c r="D524" s="529"/>
      <c r="E524" s="444"/>
      <c r="F524" s="439"/>
      <c r="G524" s="444"/>
      <c r="H524" s="444"/>
      <c r="I524" s="444"/>
      <c r="J524" s="515"/>
      <c r="K524" s="444"/>
      <c r="L524" s="515"/>
      <c r="M524" s="515"/>
      <c r="N524" s="444"/>
      <c r="O524" s="515"/>
      <c r="P524" s="515"/>
    </row>
    <row r="525" spans="1:16" x14ac:dyDescent="0.25">
      <c r="A525" s="424"/>
      <c r="B525" s="439"/>
      <c r="C525" s="529"/>
      <c r="D525" s="529"/>
      <c r="E525" s="444"/>
      <c r="F525" s="439"/>
      <c r="G525" s="444"/>
      <c r="H525" s="444"/>
      <c r="I525" s="444"/>
      <c r="J525" s="515"/>
      <c r="K525" s="444"/>
      <c r="L525" s="515"/>
      <c r="M525" s="515"/>
      <c r="N525" s="444"/>
      <c r="O525" s="515"/>
      <c r="P525" s="515"/>
    </row>
    <row r="526" spans="1:16" x14ac:dyDescent="0.25">
      <c r="A526" s="424"/>
      <c r="B526" s="439"/>
      <c r="C526" s="529"/>
      <c r="D526" s="529"/>
      <c r="E526" s="444"/>
      <c r="F526" s="439"/>
      <c r="G526" s="444"/>
      <c r="H526" s="444"/>
      <c r="I526" s="444"/>
      <c r="J526" s="515"/>
      <c r="K526" s="444"/>
      <c r="L526" s="515"/>
      <c r="M526" s="515"/>
      <c r="N526" s="444"/>
      <c r="O526" s="515"/>
      <c r="P526" s="515"/>
    </row>
    <row r="527" spans="1:16" x14ac:dyDescent="0.25">
      <c r="A527" s="424"/>
      <c r="B527" s="439"/>
      <c r="C527" s="529"/>
      <c r="D527" s="529"/>
      <c r="E527" s="444"/>
      <c r="F527" s="439"/>
      <c r="G527" s="444"/>
      <c r="H527" s="444"/>
      <c r="I527" s="444"/>
      <c r="J527" s="515"/>
      <c r="K527" s="444"/>
      <c r="L527" s="515"/>
      <c r="M527" s="515"/>
      <c r="N527" s="444"/>
      <c r="O527" s="515"/>
      <c r="P527" s="515"/>
    </row>
    <row r="528" spans="1:16" x14ac:dyDescent="0.25">
      <c r="A528" s="424"/>
      <c r="B528" s="439"/>
      <c r="C528" s="529"/>
      <c r="D528" s="529"/>
      <c r="E528" s="444"/>
      <c r="F528" s="439"/>
      <c r="G528" s="444"/>
      <c r="H528" s="444"/>
      <c r="I528" s="444"/>
      <c r="J528" s="515"/>
      <c r="K528" s="444"/>
      <c r="L528" s="515"/>
      <c r="M528" s="515"/>
      <c r="N528" s="444"/>
      <c r="O528" s="515"/>
      <c r="P528" s="515"/>
    </row>
    <row r="529" spans="1:16" x14ac:dyDescent="0.25">
      <c r="A529" s="424"/>
      <c r="B529" s="439"/>
      <c r="C529" s="529"/>
      <c r="D529" s="529"/>
      <c r="E529" s="444"/>
      <c r="F529" s="439"/>
      <c r="G529" s="444"/>
      <c r="H529" s="444"/>
      <c r="I529" s="444"/>
      <c r="J529" s="515"/>
      <c r="K529" s="444"/>
      <c r="L529" s="515"/>
      <c r="M529" s="515"/>
      <c r="N529" s="444"/>
      <c r="O529" s="515"/>
      <c r="P529" s="515"/>
    </row>
    <row r="530" spans="1:16" x14ac:dyDescent="0.25">
      <c r="A530" s="424"/>
      <c r="B530" s="439"/>
      <c r="C530" s="529"/>
      <c r="D530" s="529"/>
      <c r="E530" s="444"/>
      <c r="F530" s="439"/>
      <c r="G530" s="444"/>
      <c r="H530" s="444"/>
      <c r="I530" s="444"/>
      <c r="J530" s="515"/>
      <c r="K530" s="444"/>
      <c r="L530" s="515"/>
      <c r="M530" s="515"/>
      <c r="N530" s="444"/>
      <c r="O530" s="515"/>
      <c r="P530" s="515"/>
    </row>
    <row r="531" spans="1:16" x14ac:dyDescent="0.25">
      <c r="A531" s="424"/>
      <c r="B531" s="439"/>
      <c r="C531" s="529"/>
      <c r="D531" s="529"/>
      <c r="E531" s="444"/>
      <c r="F531" s="439"/>
      <c r="G531" s="444"/>
      <c r="H531" s="444"/>
      <c r="I531" s="444"/>
      <c r="J531" s="515"/>
      <c r="K531" s="444"/>
      <c r="L531" s="515"/>
      <c r="M531" s="515"/>
      <c r="N531" s="444"/>
      <c r="O531" s="515"/>
      <c r="P531" s="515"/>
    </row>
    <row r="532" spans="1:16" x14ac:dyDescent="0.25">
      <c r="A532" s="424"/>
      <c r="B532" s="439"/>
      <c r="C532" s="529"/>
      <c r="D532" s="529"/>
      <c r="E532" s="444"/>
      <c r="F532" s="439"/>
      <c r="G532" s="444"/>
      <c r="H532" s="444"/>
      <c r="I532" s="444"/>
      <c r="J532" s="515"/>
      <c r="K532" s="444"/>
      <c r="L532" s="515"/>
      <c r="M532" s="515"/>
      <c r="N532" s="444"/>
      <c r="O532" s="515"/>
      <c r="P532" s="515"/>
    </row>
    <row r="533" spans="1:16" x14ac:dyDescent="0.25">
      <c r="A533" s="424"/>
      <c r="B533" s="439"/>
      <c r="C533" s="529"/>
      <c r="D533" s="529"/>
      <c r="E533" s="444"/>
      <c r="F533" s="439"/>
      <c r="G533" s="444"/>
      <c r="H533" s="444"/>
      <c r="I533" s="444"/>
      <c r="J533" s="515"/>
      <c r="K533" s="444"/>
      <c r="L533" s="515"/>
      <c r="M533" s="515"/>
      <c r="N533" s="444"/>
      <c r="O533" s="515"/>
      <c r="P533" s="515"/>
    </row>
    <row r="534" spans="1:16" x14ac:dyDescent="0.25">
      <c r="A534" s="424"/>
      <c r="B534" s="439"/>
      <c r="C534" s="529"/>
      <c r="D534" s="529"/>
      <c r="E534" s="444"/>
      <c r="F534" s="439"/>
      <c r="G534" s="444"/>
      <c r="H534" s="444"/>
      <c r="I534" s="444"/>
      <c r="J534" s="515"/>
      <c r="K534" s="444"/>
      <c r="L534" s="515"/>
      <c r="M534" s="515"/>
      <c r="N534" s="444"/>
      <c r="O534" s="515"/>
      <c r="P534" s="515"/>
    </row>
    <row r="535" spans="1:16" x14ac:dyDescent="0.25">
      <c r="A535" s="424"/>
      <c r="B535" s="439"/>
      <c r="C535" s="529"/>
      <c r="D535" s="529"/>
      <c r="E535" s="444"/>
      <c r="F535" s="439"/>
      <c r="G535" s="444"/>
      <c r="H535" s="444"/>
      <c r="I535" s="444"/>
      <c r="J535" s="515"/>
      <c r="K535" s="444"/>
      <c r="L535" s="515"/>
      <c r="M535" s="515"/>
      <c r="N535" s="444"/>
      <c r="O535" s="515"/>
      <c r="P535" s="515"/>
    </row>
    <row r="536" spans="1:16" x14ac:dyDescent="0.25">
      <c r="A536" s="424"/>
      <c r="B536" s="439"/>
      <c r="C536" s="529"/>
      <c r="D536" s="529"/>
      <c r="E536" s="444"/>
      <c r="F536" s="439"/>
      <c r="G536" s="444"/>
      <c r="H536" s="444"/>
      <c r="I536" s="444"/>
      <c r="J536" s="515"/>
      <c r="K536" s="444"/>
      <c r="L536" s="515"/>
      <c r="M536" s="515"/>
      <c r="N536" s="444"/>
      <c r="O536" s="515"/>
      <c r="P536" s="515"/>
    </row>
    <row r="537" spans="1:16" x14ac:dyDescent="0.25">
      <c r="A537" s="424"/>
      <c r="B537" s="439"/>
      <c r="C537" s="529"/>
      <c r="D537" s="529"/>
      <c r="E537" s="444"/>
      <c r="F537" s="439"/>
      <c r="G537" s="444"/>
      <c r="H537" s="444"/>
      <c r="I537" s="444"/>
      <c r="J537" s="515"/>
      <c r="K537" s="444"/>
      <c r="L537" s="515"/>
      <c r="M537" s="515"/>
      <c r="N537" s="444"/>
      <c r="O537" s="515"/>
      <c r="P537" s="515"/>
    </row>
    <row r="538" spans="1:16" x14ac:dyDescent="0.25">
      <c r="A538" s="424"/>
      <c r="B538" s="439"/>
      <c r="C538" s="529"/>
      <c r="D538" s="529"/>
      <c r="E538" s="444"/>
      <c r="F538" s="439"/>
      <c r="G538" s="444"/>
      <c r="H538" s="444"/>
      <c r="I538" s="444"/>
      <c r="J538" s="515"/>
      <c r="K538" s="444"/>
      <c r="L538" s="515"/>
      <c r="M538" s="515"/>
      <c r="N538" s="444"/>
      <c r="O538" s="515"/>
      <c r="P538" s="515"/>
    </row>
    <row r="539" spans="1:16" x14ac:dyDescent="0.25">
      <c r="A539" s="424"/>
      <c r="B539" s="439"/>
      <c r="C539" s="529"/>
      <c r="D539" s="529"/>
      <c r="E539" s="444"/>
      <c r="F539" s="439"/>
      <c r="G539" s="444"/>
      <c r="H539" s="444"/>
      <c r="I539" s="444"/>
      <c r="J539" s="515"/>
      <c r="K539" s="444"/>
      <c r="L539" s="515"/>
      <c r="M539" s="515"/>
      <c r="N539" s="444"/>
      <c r="O539" s="515"/>
      <c r="P539" s="515"/>
    </row>
    <row r="540" spans="1:16" x14ac:dyDescent="0.25">
      <c r="A540" s="424"/>
      <c r="B540" s="439"/>
      <c r="C540" s="529"/>
      <c r="D540" s="529"/>
      <c r="E540" s="444"/>
      <c r="F540" s="439"/>
      <c r="G540" s="444"/>
      <c r="H540" s="444"/>
      <c r="I540" s="444"/>
      <c r="J540" s="515"/>
      <c r="K540" s="444"/>
      <c r="L540" s="515"/>
      <c r="M540" s="515"/>
      <c r="N540" s="444"/>
      <c r="O540" s="515"/>
      <c r="P540" s="515"/>
    </row>
    <row r="541" spans="1:16" x14ac:dyDescent="0.25">
      <c r="A541" s="424"/>
      <c r="B541" s="439"/>
      <c r="C541" s="529"/>
      <c r="D541" s="529"/>
      <c r="E541" s="444"/>
      <c r="F541" s="439"/>
      <c r="G541" s="444"/>
      <c r="H541" s="444"/>
      <c r="I541" s="444"/>
      <c r="J541" s="515"/>
      <c r="K541" s="444"/>
      <c r="L541" s="515"/>
      <c r="M541" s="515"/>
      <c r="N541" s="444"/>
      <c r="O541" s="515"/>
      <c r="P541" s="515"/>
    </row>
    <row r="542" spans="1:16" x14ac:dyDescent="0.25">
      <c r="A542" s="424"/>
      <c r="B542" s="439"/>
      <c r="C542" s="529"/>
      <c r="D542" s="529"/>
      <c r="E542" s="444"/>
      <c r="F542" s="439"/>
      <c r="G542" s="444"/>
      <c r="H542" s="444"/>
      <c r="I542" s="444"/>
      <c r="J542" s="515"/>
      <c r="K542" s="444"/>
      <c r="L542" s="515"/>
      <c r="M542" s="515"/>
      <c r="N542" s="444"/>
      <c r="O542" s="515"/>
      <c r="P542" s="515"/>
    </row>
    <row r="543" spans="1:16" x14ac:dyDescent="0.25">
      <c r="A543" s="424"/>
      <c r="B543" s="439"/>
      <c r="C543" s="529"/>
      <c r="D543" s="529"/>
      <c r="E543" s="444"/>
      <c r="F543" s="439"/>
      <c r="G543" s="444"/>
      <c r="H543" s="444"/>
      <c r="I543" s="444"/>
      <c r="J543" s="515"/>
      <c r="K543" s="444"/>
      <c r="L543" s="515"/>
      <c r="M543" s="515"/>
      <c r="N543" s="444"/>
      <c r="O543" s="515"/>
      <c r="P543" s="515"/>
    </row>
    <row r="544" spans="1:16" x14ac:dyDescent="0.25">
      <c r="A544" s="424"/>
      <c r="B544" s="439"/>
      <c r="C544" s="529"/>
      <c r="D544" s="529"/>
      <c r="E544" s="444"/>
      <c r="F544" s="439"/>
      <c r="G544" s="444"/>
      <c r="H544" s="444"/>
      <c r="I544" s="444"/>
      <c r="J544" s="515"/>
      <c r="K544" s="444"/>
      <c r="L544" s="515"/>
      <c r="M544" s="515"/>
      <c r="N544" s="444"/>
      <c r="O544" s="515"/>
      <c r="P544" s="515"/>
    </row>
    <row r="545" spans="1:16" x14ac:dyDescent="0.25">
      <c r="A545" s="424"/>
      <c r="B545" s="439"/>
      <c r="C545" s="529"/>
      <c r="D545" s="529"/>
      <c r="E545" s="444"/>
      <c r="F545" s="439"/>
      <c r="G545" s="444"/>
      <c r="H545" s="444"/>
      <c r="I545" s="444"/>
      <c r="J545" s="515"/>
      <c r="K545" s="444"/>
      <c r="L545" s="515"/>
      <c r="M545" s="515"/>
      <c r="N545" s="444"/>
      <c r="O545" s="515"/>
      <c r="P545" s="515"/>
    </row>
    <row r="546" spans="1:16" x14ac:dyDescent="0.25">
      <c r="A546" s="424"/>
      <c r="B546" s="439"/>
      <c r="C546" s="529"/>
      <c r="D546" s="529"/>
      <c r="E546" s="444"/>
      <c r="F546" s="439"/>
      <c r="G546" s="444"/>
      <c r="H546" s="444"/>
      <c r="I546" s="444"/>
      <c r="J546" s="515"/>
      <c r="K546" s="444"/>
      <c r="L546" s="515"/>
      <c r="M546" s="515"/>
      <c r="N546" s="444"/>
      <c r="O546" s="515"/>
      <c r="P546" s="515"/>
    </row>
    <row r="547" spans="1:16" x14ac:dyDescent="0.25">
      <c r="A547" s="424"/>
      <c r="B547" s="439"/>
      <c r="C547" s="529"/>
      <c r="D547" s="529"/>
      <c r="E547" s="444"/>
      <c r="F547" s="439"/>
      <c r="G547" s="444"/>
      <c r="H547" s="444"/>
      <c r="I547" s="444"/>
      <c r="J547" s="515"/>
      <c r="K547" s="444"/>
      <c r="L547" s="515"/>
      <c r="M547" s="515"/>
      <c r="N547" s="444"/>
      <c r="O547" s="515"/>
      <c r="P547" s="515"/>
    </row>
    <row r="548" spans="1:16" x14ac:dyDescent="0.25">
      <c r="A548" s="424"/>
      <c r="B548" s="439"/>
      <c r="C548" s="529"/>
      <c r="D548" s="529"/>
      <c r="E548" s="444"/>
      <c r="F548" s="439"/>
      <c r="G548" s="444"/>
      <c r="H548" s="444"/>
      <c r="I548" s="444"/>
      <c r="J548" s="515"/>
      <c r="K548" s="444"/>
      <c r="L548" s="515"/>
      <c r="M548" s="515"/>
      <c r="N548" s="444"/>
      <c r="O548" s="515"/>
      <c r="P548" s="515"/>
    </row>
    <row r="549" spans="1:16" x14ac:dyDescent="0.25">
      <c r="A549" s="424"/>
      <c r="B549" s="439"/>
      <c r="C549" s="529"/>
      <c r="D549" s="529"/>
      <c r="E549" s="444"/>
      <c r="F549" s="439"/>
      <c r="G549" s="444"/>
      <c r="H549" s="444"/>
      <c r="I549" s="444"/>
      <c r="J549" s="515"/>
      <c r="K549" s="444"/>
      <c r="L549" s="515"/>
      <c r="M549" s="515"/>
      <c r="N549" s="444"/>
      <c r="O549" s="515"/>
      <c r="P549" s="515"/>
    </row>
    <row r="550" spans="1:16" x14ac:dyDescent="0.25">
      <c r="A550" s="424"/>
      <c r="B550" s="439"/>
      <c r="C550" s="529"/>
      <c r="D550" s="529"/>
      <c r="E550" s="444"/>
      <c r="F550" s="439"/>
      <c r="G550" s="444"/>
      <c r="H550" s="444"/>
      <c r="I550" s="444"/>
      <c r="J550" s="515"/>
      <c r="K550" s="444"/>
      <c r="L550" s="515"/>
      <c r="M550" s="515"/>
      <c r="N550" s="444"/>
      <c r="O550" s="515"/>
      <c r="P550" s="515"/>
    </row>
    <row r="551" spans="1:16" x14ac:dyDescent="0.25">
      <c r="A551" s="424"/>
      <c r="B551" s="439"/>
      <c r="C551" s="529"/>
      <c r="D551" s="529"/>
      <c r="E551" s="444"/>
      <c r="F551" s="439"/>
      <c r="G551" s="444"/>
      <c r="H551" s="444"/>
      <c r="I551" s="444"/>
      <c r="J551" s="515"/>
      <c r="K551" s="444"/>
      <c r="L551" s="515"/>
      <c r="M551" s="515"/>
      <c r="N551" s="444"/>
      <c r="O551" s="515"/>
      <c r="P551" s="515"/>
    </row>
    <row r="552" spans="1:16" x14ac:dyDescent="0.25">
      <c r="A552" s="424"/>
      <c r="B552" s="439"/>
      <c r="C552" s="529"/>
      <c r="D552" s="529"/>
      <c r="E552" s="444"/>
      <c r="F552" s="439"/>
      <c r="G552" s="444"/>
      <c r="H552" s="444"/>
      <c r="I552" s="444"/>
      <c r="J552" s="515"/>
      <c r="K552" s="444"/>
      <c r="L552" s="515"/>
      <c r="M552" s="515"/>
      <c r="N552" s="444"/>
      <c r="O552" s="515"/>
      <c r="P552" s="515"/>
    </row>
    <row r="553" spans="1:16" x14ac:dyDescent="0.25">
      <c r="A553" s="424"/>
      <c r="B553" s="439"/>
      <c r="C553" s="529"/>
      <c r="D553" s="529"/>
      <c r="E553" s="444"/>
      <c r="F553" s="439"/>
      <c r="G553" s="444"/>
      <c r="H553" s="444"/>
      <c r="I553" s="444"/>
      <c r="J553" s="515"/>
      <c r="K553" s="444"/>
      <c r="L553" s="515"/>
      <c r="M553" s="515"/>
      <c r="N553" s="444"/>
      <c r="O553" s="515"/>
      <c r="P553" s="515"/>
    </row>
    <row r="554" spans="1:16" x14ac:dyDescent="0.25">
      <c r="A554" s="424"/>
      <c r="B554" s="439"/>
      <c r="C554" s="529"/>
      <c r="D554" s="529"/>
      <c r="E554" s="444"/>
      <c r="F554" s="439"/>
      <c r="G554" s="444"/>
      <c r="H554" s="444"/>
      <c r="I554" s="444"/>
      <c r="J554" s="515"/>
      <c r="K554" s="444"/>
      <c r="L554" s="515"/>
      <c r="M554" s="515"/>
      <c r="N554" s="444"/>
      <c r="O554" s="515"/>
      <c r="P554" s="515"/>
    </row>
    <row r="555" spans="1:16" x14ac:dyDescent="0.25">
      <c r="A555" s="424"/>
      <c r="B555" s="439"/>
      <c r="C555" s="529"/>
      <c r="D555" s="529"/>
      <c r="E555" s="444"/>
      <c r="F555" s="439"/>
      <c r="G555" s="444"/>
      <c r="H555" s="444"/>
      <c r="I555" s="444"/>
      <c r="J555" s="515"/>
      <c r="K555" s="444"/>
      <c r="L555" s="515"/>
      <c r="M555" s="515"/>
      <c r="N555" s="444"/>
      <c r="O555" s="515"/>
      <c r="P555" s="515"/>
    </row>
    <row r="556" spans="1:16" x14ac:dyDescent="0.25">
      <c r="A556" s="424"/>
      <c r="B556" s="439"/>
      <c r="C556" s="529"/>
      <c r="D556" s="529"/>
      <c r="E556" s="444"/>
      <c r="F556" s="439"/>
      <c r="G556" s="444"/>
      <c r="H556" s="444"/>
      <c r="I556" s="444"/>
      <c r="J556" s="515"/>
      <c r="K556" s="444"/>
      <c r="L556" s="515"/>
      <c r="M556" s="515"/>
      <c r="N556" s="444"/>
      <c r="O556" s="515"/>
      <c r="P556" s="515"/>
    </row>
    <row r="557" spans="1:16" x14ac:dyDescent="0.25">
      <c r="A557" s="424"/>
      <c r="B557" s="439"/>
      <c r="C557" s="529"/>
      <c r="D557" s="529"/>
      <c r="E557" s="444"/>
      <c r="F557" s="439"/>
      <c r="G557" s="444"/>
      <c r="H557" s="444"/>
      <c r="I557" s="444"/>
      <c r="J557" s="515"/>
      <c r="K557" s="444"/>
      <c r="L557" s="515"/>
      <c r="M557" s="515"/>
      <c r="N557" s="444"/>
      <c r="O557" s="515"/>
      <c r="P557" s="515"/>
    </row>
    <row r="558" spans="1:16" x14ac:dyDescent="0.25">
      <c r="A558" s="424"/>
      <c r="B558" s="439"/>
      <c r="C558" s="529"/>
      <c r="D558" s="529"/>
      <c r="E558" s="444"/>
      <c r="F558" s="439"/>
      <c r="G558" s="444"/>
      <c r="H558" s="444"/>
      <c r="I558" s="444"/>
      <c r="J558" s="515"/>
      <c r="K558" s="444"/>
      <c r="L558" s="515"/>
      <c r="M558" s="515"/>
      <c r="N558" s="444"/>
      <c r="O558" s="515"/>
      <c r="P558" s="515"/>
    </row>
    <row r="559" spans="1:16" x14ac:dyDescent="0.25">
      <c r="A559" s="424"/>
      <c r="B559" s="439"/>
      <c r="C559" s="529"/>
      <c r="D559" s="529"/>
      <c r="E559" s="444"/>
      <c r="F559" s="439"/>
      <c r="G559" s="444"/>
      <c r="H559" s="444"/>
      <c r="I559" s="444"/>
      <c r="J559" s="515"/>
      <c r="K559" s="444"/>
      <c r="L559" s="515"/>
      <c r="M559" s="515"/>
      <c r="N559" s="444"/>
      <c r="O559" s="515"/>
      <c r="P559" s="515"/>
    </row>
    <row r="560" spans="1:16" x14ac:dyDescent="0.25">
      <c r="A560" s="424"/>
      <c r="B560" s="439"/>
      <c r="C560" s="529"/>
      <c r="D560" s="529"/>
      <c r="E560" s="444"/>
      <c r="F560" s="439"/>
      <c r="G560" s="444"/>
      <c r="H560" s="444"/>
      <c r="I560" s="444"/>
      <c r="J560" s="515"/>
      <c r="K560" s="444"/>
      <c r="L560" s="515"/>
      <c r="M560" s="515"/>
      <c r="N560" s="444"/>
      <c r="O560" s="515"/>
      <c r="P560" s="515"/>
    </row>
    <row r="561" spans="1:16" x14ac:dyDescent="0.25">
      <c r="A561" s="424"/>
      <c r="B561" s="439"/>
      <c r="C561" s="529"/>
      <c r="D561" s="529"/>
      <c r="E561" s="444"/>
      <c r="F561" s="439"/>
      <c r="G561" s="444"/>
      <c r="H561" s="444"/>
      <c r="I561" s="444"/>
      <c r="J561" s="515"/>
      <c r="K561" s="444"/>
      <c r="L561" s="515"/>
      <c r="M561" s="515"/>
      <c r="N561" s="444"/>
      <c r="O561" s="515"/>
      <c r="P561" s="515"/>
    </row>
    <row r="562" spans="1:16" x14ac:dyDescent="0.25">
      <c r="A562" s="424"/>
      <c r="B562" s="439"/>
      <c r="C562" s="529"/>
      <c r="D562" s="529"/>
      <c r="E562" s="444"/>
      <c r="F562" s="439"/>
      <c r="G562" s="444"/>
      <c r="H562" s="444"/>
      <c r="I562" s="444"/>
      <c r="J562" s="515"/>
      <c r="K562" s="444"/>
      <c r="L562" s="515"/>
      <c r="M562" s="515"/>
      <c r="N562" s="444"/>
      <c r="O562" s="515"/>
      <c r="P562" s="515"/>
    </row>
    <row r="563" spans="1:16" x14ac:dyDescent="0.25">
      <c r="A563" s="424"/>
      <c r="B563" s="439"/>
      <c r="C563" s="529"/>
      <c r="D563" s="529"/>
      <c r="E563" s="444"/>
      <c r="F563" s="439"/>
      <c r="G563" s="444"/>
      <c r="H563" s="444"/>
      <c r="I563" s="444"/>
      <c r="J563" s="515"/>
      <c r="K563" s="444"/>
      <c r="L563" s="515"/>
      <c r="M563" s="515"/>
      <c r="N563" s="444"/>
      <c r="O563" s="515"/>
      <c r="P563" s="515"/>
    </row>
    <row r="564" spans="1:16" x14ac:dyDescent="0.25">
      <c r="A564" s="424"/>
      <c r="B564" s="439"/>
      <c r="C564" s="529"/>
      <c r="D564" s="529"/>
      <c r="E564" s="444"/>
      <c r="F564" s="439"/>
      <c r="G564" s="444"/>
      <c r="H564" s="444"/>
      <c r="I564" s="444"/>
      <c r="J564" s="515"/>
      <c r="K564" s="444"/>
      <c r="L564" s="515"/>
      <c r="M564" s="515"/>
      <c r="N564" s="444"/>
      <c r="O564" s="515"/>
      <c r="P564" s="515"/>
    </row>
    <row r="565" spans="1:16" x14ac:dyDescent="0.25">
      <c r="A565" s="424"/>
      <c r="B565" s="439"/>
      <c r="C565" s="529"/>
      <c r="D565" s="529"/>
      <c r="E565" s="444"/>
      <c r="F565" s="439"/>
      <c r="G565" s="444"/>
      <c r="H565" s="444"/>
      <c r="I565" s="444"/>
      <c r="J565" s="515"/>
      <c r="K565" s="444"/>
      <c r="L565" s="515"/>
      <c r="M565" s="515"/>
      <c r="N565" s="444"/>
      <c r="O565" s="515"/>
      <c r="P565" s="515"/>
    </row>
    <row r="566" spans="1:16" x14ac:dyDescent="0.25">
      <c r="A566" s="424"/>
      <c r="B566" s="439"/>
      <c r="C566" s="529"/>
      <c r="D566" s="529"/>
      <c r="E566" s="444"/>
      <c r="F566" s="439"/>
      <c r="G566" s="444"/>
      <c r="H566" s="444"/>
      <c r="I566" s="444"/>
      <c r="J566" s="515"/>
      <c r="K566" s="444"/>
      <c r="L566" s="515"/>
      <c r="M566" s="515"/>
      <c r="N566" s="444"/>
      <c r="O566" s="515"/>
      <c r="P566" s="515"/>
    </row>
    <row r="567" spans="1:16" x14ac:dyDescent="0.25">
      <c r="A567" s="424"/>
      <c r="B567" s="439"/>
      <c r="C567" s="529"/>
      <c r="D567" s="529"/>
      <c r="E567" s="444"/>
      <c r="F567" s="439"/>
      <c r="G567" s="444"/>
      <c r="H567" s="444"/>
      <c r="I567" s="444"/>
      <c r="J567" s="515"/>
      <c r="K567" s="444"/>
      <c r="L567" s="515"/>
      <c r="M567" s="515"/>
      <c r="N567" s="444"/>
      <c r="O567" s="515"/>
      <c r="P567" s="515"/>
    </row>
    <row r="568" spans="1:16" x14ac:dyDescent="0.25">
      <c r="A568" s="424"/>
      <c r="B568" s="439"/>
      <c r="C568" s="529"/>
      <c r="D568" s="529"/>
      <c r="E568" s="444"/>
      <c r="F568" s="439"/>
      <c r="G568" s="444"/>
      <c r="H568" s="444"/>
      <c r="I568" s="444"/>
      <c r="J568" s="515"/>
      <c r="K568" s="444"/>
      <c r="L568" s="515"/>
      <c r="M568" s="515"/>
      <c r="N568" s="444"/>
      <c r="O568" s="515"/>
      <c r="P568" s="515"/>
    </row>
    <row r="569" spans="1:16" x14ac:dyDescent="0.25">
      <c r="A569" s="424"/>
      <c r="B569" s="439"/>
      <c r="C569" s="529"/>
      <c r="D569" s="529"/>
      <c r="E569" s="444"/>
      <c r="F569" s="439"/>
      <c r="G569" s="444"/>
      <c r="H569" s="444"/>
      <c r="I569" s="444"/>
      <c r="J569" s="515"/>
      <c r="K569" s="444"/>
      <c r="L569" s="515"/>
      <c r="M569" s="515"/>
      <c r="N569" s="444"/>
      <c r="O569" s="515"/>
      <c r="P569" s="515"/>
    </row>
    <row r="570" spans="1:16" x14ac:dyDescent="0.25">
      <c r="A570" s="424"/>
      <c r="B570" s="439"/>
      <c r="C570" s="529"/>
      <c r="D570" s="529"/>
      <c r="E570" s="444"/>
      <c r="F570" s="439"/>
      <c r="G570" s="444"/>
      <c r="H570" s="444"/>
      <c r="I570" s="444"/>
      <c r="J570" s="515"/>
      <c r="K570" s="444"/>
      <c r="L570" s="515"/>
      <c r="M570" s="515"/>
      <c r="N570" s="444"/>
      <c r="O570" s="515"/>
      <c r="P570" s="515"/>
    </row>
    <row r="571" spans="1:16" x14ac:dyDescent="0.25">
      <c r="A571" s="424"/>
      <c r="B571" s="439"/>
      <c r="C571" s="529"/>
      <c r="D571" s="529"/>
      <c r="E571" s="444"/>
      <c r="F571" s="439"/>
      <c r="G571" s="444"/>
      <c r="H571" s="444"/>
      <c r="I571" s="444"/>
      <c r="J571" s="515"/>
      <c r="K571" s="444"/>
      <c r="L571" s="515"/>
      <c r="M571" s="515"/>
      <c r="N571" s="444"/>
      <c r="O571" s="515"/>
      <c r="P571" s="515"/>
    </row>
    <row r="572" spans="1:16" x14ac:dyDescent="0.25">
      <c r="A572" s="424"/>
      <c r="B572" s="439"/>
      <c r="C572" s="529"/>
      <c r="D572" s="529"/>
      <c r="E572" s="444"/>
      <c r="F572" s="439"/>
      <c r="G572" s="444"/>
      <c r="H572" s="444"/>
      <c r="I572" s="444"/>
      <c r="J572" s="515"/>
      <c r="K572" s="444"/>
      <c r="L572" s="515"/>
      <c r="M572" s="515"/>
      <c r="N572" s="444"/>
      <c r="O572" s="515"/>
      <c r="P572" s="515"/>
    </row>
    <row r="573" spans="1:16" x14ac:dyDescent="0.25">
      <c r="A573" s="424"/>
      <c r="B573" s="439"/>
      <c r="C573" s="529"/>
      <c r="D573" s="529"/>
      <c r="E573" s="444"/>
      <c r="F573" s="439"/>
      <c r="G573" s="444"/>
      <c r="H573" s="444"/>
      <c r="I573" s="444"/>
      <c r="J573" s="515"/>
      <c r="K573" s="444"/>
      <c r="L573" s="515"/>
      <c r="M573" s="515"/>
      <c r="N573" s="444"/>
      <c r="O573" s="515"/>
      <c r="P573" s="515"/>
    </row>
    <row r="574" spans="1:16" x14ac:dyDescent="0.25">
      <c r="A574" s="424"/>
      <c r="B574" s="439"/>
      <c r="C574" s="529"/>
      <c r="D574" s="529"/>
      <c r="E574" s="444"/>
      <c r="F574" s="439"/>
      <c r="G574" s="444"/>
      <c r="H574" s="444"/>
      <c r="I574" s="444"/>
      <c r="J574" s="515"/>
      <c r="K574" s="444"/>
      <c r="L574" s="515"/>
      <c r="M574" s="515"/>
      <c r="N574" s="444"/>
      <c r="O574" s="515"/>
      <c r="P574" s="515"/>
    </row>
    <row r="575" spans="1:16" x14ac:dyDescent="0.25">
      <c r="A575" s="424"/>
      <c r="B575" s="439"/>
      <c r="C575" s="529"/>
      <c r="D575" s="529"/>
      <c r="E575" s="444"/>
      <c r="F575" s="439"/>
      <c r="G575" s="444"/>
      <c r="H575" s="444"/>
      <c r="I575" s="444"/>
      <c r="J575" s="515"/>
      <c r="K575" s="444"/>
      <c r="L575" s="515"/>
      <c r="M575" s="515"/>
      <c r="N575" s="444"/>
      <c r="O575" s="515"/>
      <c r="P575" s="515"/>
    </row>
    <row r="576" spans="1:16" x14ac:dyDescent="0.25">
      <c r="A576" s="424"/>
      <c r="B576" s="439"/>
      <c r="C576" s="529"/>
      <c r="D576" s="529"/>
      <c r="E576" s="444"/>
      <c r="F576" s="439"/>
      <c r="G576" s="444"/>
      <c r="H576" s="444"/>
      <c r="I576" s="444"/>
      <c r="J576" s="515"/>
      <c r="K576" s="444"/>
      <c r="L576" s="515"/>
      <c r="M576" s="515"/>
      <c r="N576" s="444"/>
      <c r="O576" s="515"/>
      <c r="P576" s="515"/>
    </row>
    <row r="577" spans="1:16" x14ac:dyDescent="0.25">
      <c r="A577" s="424"/>
      <c r="B577" s="439"/>
      <c r="C577" s="529"/>
      <c r="D577" s="529"/>
      <c r="E577" s="444"/>
      <c r="F577" s="439"/>
      <c r="G577" s="444"/>
      <c r="H577" s="444"/>
      <c r="I577" s="444"/>
      <c r="J577" s="515"/>
      <c r="K577" s="444"/>
      <c r="L577" s="515"/>
      <c r="M577" s="515"/>
      <c r="N577" s="444"/>
      <c r="O577" s="515"/>
      <c r="P577" s="515"/>
    </row>
    <row r="578" spans="1:16" x14ac:dyDescent="0.25">
      <c r="A578" s="424"/>
      <c r="B578" s="439"/>
      <c r="C578" s="529"/>
      <c r="D578" s="529"/>
      <c r="E578" s="444"/>
      <c r="F578" s="439"/>
      <c r="G578" s="444"/>
      <c r="H578" s="444"/>
      <c r="I578" s="444"/>
      <c r="J578" s="515"/>
      <c r="K578" s="444"/>
      <c r="L578" s="515"/>
      <c r="M578" s="515"/>
      <c r="N578" s="444"/>
      <c r="O578" s="515"/>
      <c r="P578" s="515"/>
    </row>
    <row r="579" spans="1:16" x14ac:dyDescent="0.25">
      <c r="A579" s="424"/>
      <c r="B579" s="439"/>
      <c r="C579" s="529"/>
      <c r="D579" s="529"/>
      <c r="E579" s="444"/>
      <c r="F579" s="439"/>
      <c r="G579" s="444"/>
      <c r="H579" s="444"/>
      <c r="I579" s="444"/>
      <c r="J579" s="515"/>
      <c r="K579" s="444"/>
      <c r="L579" s="515"/>
      <c r="M579" s="515"/>
      <c r="N579" s="444"/>
      <c r="O579" s="515"/>
      <c r="P579" s="515"/>
    </row>
    <row r="580" spans="1:16" x14ac:dyDescent="0.25">
      <c r="A580" s="424"/>
      <c r="B580" s="439"/>
      <c r="C580" s="529"/>
      <c r="D580" s="529"/>
      <c r="E580" s="444"/>
      <c r="F580" s="439"/>
      <c r="G580" s="444"/>
      <c r="H580" s="444"/>
      <c r="I580" s="444"/>
      <c r="J580" s="515"/>
      <c r="K580" s="444"/>
      <c r="L580" s="515"/>
      <c r="M580" s="515"/>
      <c r="N580" s="444"/>
      <c r="O580" s="515"/>
      <c r="P580" s="515"/>
    </row>
    <row r="581" spans="1:16" x14ac:dyDescent="0.25">
      <c r="A581" s="424"/>
      <c r="B581" s="439"/>
      <c r="C581" s="529"/>
      <c r="D581" s="529"/>
      <c r="E581" s="444"/>
      <c r="F581" s="439"/>
      <c r="G581" s="444"/>
      <c r="H581" s="444"/>
      <c r="I581" s="444"/>
      <c r="J581" s="515"/>
      <c r="K581" s="444"/>
      <c r="L581" s="515"/>
      <c r="M581" s="515"/>
      <c r="N581" s="444"/>
      <c r="O581" s="515"/>
      <c r="P581" s="515"/>
    </row>
    <row r="582" spans="1:16" x14ac:dyDescent="0.25">
      <c r="A582" s="424"/>
      <c r="B582" s="439"/>
      <c r="C582" s="529"/>
      <c r="D582" s="529"/>
      <c r="E582" s="444"/>
      <c r="F582" s="439"/>
      <c r="G582" s="444"/>
      <c r="H582" s="444"/>
      <c r="I582" s="444"/>
      <c r="J582" s="515"/>
      <c r="K582" s="444"/>
      <c r="L582" s="515"/>
      <c r="M582" s="515"/>
      <c r="N582" s="444"/>
      <c r="O582" s="515"/>
      <c r="P582" s="515"/>
    </row>
    <row r="583" spans="1:16" x14ac:dyDescent="0.25">
      <c r="A583" s="424"/>
      <c r="B583" s="439"/>
      <c r="C583" s="529"/>
      <c r="D583" s="529"/>
      <c r="E583" s="444"/>
      <c r="F583" s="439"/>
      <c r="G583" s="444"/>
      <c r="H583" s="444"/>
      <c r="I583" s="444"/>
      <c r="J583" s="515"/>
      <c r="K583" s="444"/>
      <c r="L583" s="515"/>
      <c r="M583" s="515"/>
      <c r="N583" s="444"/>
      <c r="O583" s="515"/>
      <c r="P583" s="515"/>
    </row>
    <row r="584" spans="1:16" x14ac:dyDescent="0.25">
      <c r="A584" s="424"/>
      <c r="B584" s="439"/>
      <c r="C584" s="529"/>
      <c r="D584" s="529"/>
      <c r="E584" s="444"/>
      <c r="F584" s="439"/>
      <c r="G584" s="444"/>
      <c r="H584" s="444"/>
      <c r="I584" s="444"/>
      <c r="J584" s="515"/>
      <c r="K584" s="444"/>
      <c r="L584" s="515"/>
      <c r="M584" s="515"/>
      <c r="N584" s="444"/>
      <c r="O584" s="515"/>
      <c r="P584" s="515"/>
    </row>
    <row r="585" spans="1:16" x14ac:dyDescent="0.25">
      <c r="A585" s="424"/>
      <c r="B585" s="439"/>
      <c r="C585" s="529"/>
      <c r="D585" s="529"/>
      <c r="E585" s="444"/>
      <c r="F585" s="439"/>
      <c r="G585" s="444"/>
      <c r="H585" s="444"/>
      <c r="I585" s="444"/>
      <c r="J585" s="515"/>
      <c r="K585" s="444"/>
      <c r="L585" s="515"/>
      <c r="M585" s="515"/>
      <c r="N585" s="444"/>
      <c r="O585" s="515"/>
      <c r="P585" s="515"/>
    </row>
    <row r="586" spans="1:16" x14ac:dyDescent="0.25">
      <c r="A586" s="424"/>
      <c r="B586" s="439"/>
      <c r="C586" s="529"/>
      <c r="D586" s="529"/>
      <c r="E586" s="444"/>
      <c r="F586" s="439"/>
      <c r="G586" s="444"/>
      <c r="H586" s="444"/>
      <c r="I586" s="444"/>
      <c r="J586" s="515"/>
      <c r="K586" s="444"/>
      <c r="L586" s="515"/>
      <c r="M586" s="515"/>
      <c r="N586" s="444"/>
      <c r="O586" s="515"/>
      <c r="P586" s="515"/>
    </row>
    <row r="587" spans="1:16" x14ac:dyDescent="0.25">
      <c r="A587" s="424"/>
      <c r="B587" s="439"/>
      <c r="C587" s="529"/>
      <c r="D587" s="529"/>
      <c r="E587" s="444"/>
      <c r="F587" s="439"/>
      <c r="G587" s="444"/>
      <c r="H587" s="444"/>
      <c r="I587" s="444"/>
      <c r="J587" s="515"/>
      <c r="K587" s="444"/>
      <c r="L587" s="515"/>
      <c r="M587" s="515"/>
      <c r="N587" s="444"/>
      <c r="O587" s="515"/>
      <c r="P587" s="515"/>
    </row>
    <row r="588" spans="1:16" x14ac:dyDescent="0.25">
      <c r="A588" s="424"/>
      <c r="B588" s="439"/>
      <c r="C588" s="529"/>
      <c r="D588" s="529"/>
      <c r="E588" s="444"/>
      <c r="F588" s="439"/>
      <c r="G588" s="444"/>
      <c r="H588" s="444"/>
      <c r="I588" s="444"/>
      <c r="J588" s="515"/>
      <c r="K588" s="444"/>
      <c r="L588" s="515"/>
      <c r="M588" s="515"/>
      <c r="N588" s="444"/>
      <c r="O588" s="515"/>
      <c r="P588" s="515"/>
    </row>
    <row r="589" spans="1:16" x14ac:dyDescent="0.25">
      <c r="A589" s="424"/>
      <c r="B589" s="439"/>
      <c r="C589" s="529"/>
      <c r="D589" s="529"/>
      <c r="E589" s="444"/>
      <c r="F589" s="439"/>
      <c r="G589" s="444"/>
      <c r="H589" s="444"/>
      <c r="I589" s="444"/>
      <c r="J589" s="515"/>
      <c r="K589" s="444"/>
      <c r="L589" s="515"/>
      <c r="M589" s="515"/>
      <c r="N589" s="444"/>
      <c r="O589" s="515"/>
      <c r="P589" s="515"/>
    </row>
    <row r="590" spans="1:16" x14ac:dyDescent="0.25">
      <c r="A590" s="424"/>
      <c r="B590" s="439"/>
      <c r="C590" s="529"/>
      <c r="D590" s="529"/>
      <c r="E590" s="444"/>
      <c r="F590" s="439"/>
      <c r="G590" s="444"/>
      <c r="H590" s="444"/>
      <c r="I590" s="444"/>
      <c r="J590" s="515"/>
      <c r="K590" s="444"/>
      <c r="L590" s="515"/>
      <c r="M590" s="515"/>
      <c r="N590" s="444"/>
      <c r="O590" s="515"/>
      <c r="P590" s="515"/>
    </row>
    <row r="591" spans="1:16" x14ac:dyDescent="0.25">
      <c r="A591" s="424"/>
      <c r="B591" s="439"/>
      <c r="C591" s="529"/>
      <c r="D591" s="529"/>
      <c r="E591" s="444"/>
      <c r="F591" s="439"/>
      <c r="G591" s="444"/>
      <c r="H591" s="444"/>
      <c r="I591" s="444"/>
      <c r="J591" s="515"/>
      <c r="K591" s="444"/>
      <c r="L591" s="515"/>
      <c r="M591" s="515"/>
      <c r="N591" s="444"/>
      <c r="O591" s="515"/>
      <c r="P591" s="515"/>
    </row>
    <row r="592" spans="1:16" x14ac:dyDescent="0.25">
      <c r="A592" s="424"/>
      <c r="B592" s="439"/>
      <c r="C592" s="529"/>
      <c r="D592" s="529"/>
      <c r="E592" s="444"/>
      <c r="F592" s="439"/>
      <c r="G592" s="444"/>
      <c r="H592" s="444"/>
      <c r="I592" s="444"/>
      <c r="J592" s="515"/>
      <c r="K592" s="444"/>
      <c r="L592" s="515"/>
      <c r="M592" s="515"/>
      <c r="N592" s="444"/>
      <c r="O592" s="515"/>
      <c r="P592" s="515"/>
    </row>
    <row r="593" spans="1:16" x14ac:dyDescent="0.25">
      <c r="A593" s="424"/>
      <c r="B593" s="439"/>
      <c r="C593" s="529"/>
      <c r="D593" s="529"/>
      <c r="E593" s="444"/>
      <c r="F593" s="439"/>
      <c r="G593" s="444"/>
      <c r="H593" s="444"/>
      <c r="I593" s="444"/>
      <c r="J593" s="515"/>
      <c r="K593" s="444"/>
      <c r="L593" s="515"/>
      <c r="M593" s="515"/>
      <c r="N593" s="444"/>
      <c r="O593" s="515"/>
      <c r="P593" s="515"/>
    </row>
    <row r="594" spans="1:16" x14ac:dyDescent="0.25">
      <c r="A594" s="424"/>
      <c r="B594" s="439"/>
      <c r="C594" s="529"/>
      <c r="D594" s="529"/>
      <c r="E594" s="444"/>
      <c r="F594" s="439"/>
      <c r="G594" s="444"/>
      <c r="H594" s="444"/>
      <c r="I594" s="444"/>
      <c r="J594" s="515"/>
      <c r="K594" s="444"/>
      <c r="L594" s="515"/>
      <c r="M594" s="515"/>
      <c r="N594" s="444"/>
      <c r="O594" s="515"/>
      <c r="P594" s="515"/>
    </row>
    <row r="595" spans="1:16" x14ac:dyDescent="0.25">
      <c r="A595" s="424"/>
      <c r="B595" s="439"/>
      <c r="C595" s="529"/>
      <c r="D595" s="529"/>
      <c r="E595" s="444"/>
      <c r="F595" s="439"/>
      <c r="G595" s="444"/>
      <c r="H595" s="444"/>
      <c r="I595" s="444"/>
      <c r="J595" s="515"/>
      <c r="K595" s="444"/>
      <c r="L595" s="515"/>
      <c r="M595" s="515"/>
      <c r="N595" s="444"/>
      <c r="O595" s="515"/>
      <c r="P595" s="515"/>
    </row>
    <row r="596" spans="1:16" x14ac:dyDescent="0.25">
      <c r="A596" s="424"/>
      <c r="B596" s="439"/>
      <c r="C596" s="529"/>
      <c r="D596" s="529"/>
      <c r="E596" s="444"/>
      <c r="F596" s="439"/>
      <c r="G596" s="444"/>
      <c r="H596" s="444"/>
      <c r="I596" s="444"/>
      <c r="J596" s="515"/>
      <c r="K596" s="444"/>
      <c r="L596" s="515"/>
      <c r="M596" s="515"/>
      <c r="N596" s="444"/>
      <c r="O596" s="515"/>
      <c r="P596" s="515"/>
    </row>
    <row r="597" spans="1:16" x14ac:dyDescent="0.25">
      <c r="A597" s="424"/>
      <c r="B597" s="439"/>
      <c r="C597" s="529"/>
      <c r="D597" s="529"/>
      <c r="E597" s="444"/>
      <c r="F597" s="439"/>
      <c r="G597" s="444"/>
      <c r="H597" s="444"/>
      <c r="I597" s="444"/>
      <c r="J597" s="515"/>
      <c r="K597" s="444"/>
      <c r="L597" s="515"/>
      <c r="M597" s="515"/>
      <c r="N597" s="444"/>
      <c r="O597" s="515"/>
      <c r="P597" s="515"/>
    </row>
    <row r="598" spans="1:16" x14ac:dyDescent="0.25">
      <c r="A598" s="424"/>
      <c r="B598" s="439"/>
      <c r="C598" s="529"/>
      <c r="D598" s="529"/>
      <c r="E598" s="444"/>
      <c r="F598" s="439"/>
      <c r="G598" s="444"/>
      <c r="H598" s="444"/>
      <c r="I598" s="444"/>
      <c r="J598" s="515"/>
      <c r="K598" s="444"/>
      <c r="L598" s="515"/>
      <c r="M598" s="515"/>
      <c r="N598" s="444"/>
      <c r="O598" s="515"/>
      <c r="P598" s="515"/>
    </row>
    <row r="599" spans="1:16" x14ac:dyDescent="0.25">
      <c r="A599" s="424"/>
      <c r="B599" s="439"/>
      <c r="C599" s="529"/>
      <c r="D599" s="529"/>
      <c r="E599" s="444"/>
      <c r="F599" s="439"/>
      <c r="G599" s="444"/>
      <c r="H599" s="444"/>
      <c r="I599" s="444"/>
      <c r="J599" s="515"/>
      <c r="K599" s="444"/>
      <c r="L599" s="515"/>
      <c r="M599" s="515"/>
      <c r="N599" s="444"/>
      <c r="O599" s="515"/>
      <c r="P599" s="515"/>
    </row>
    <row r="600" spans="1:16" x14ac:dyDescent="0.25">
      <c r="A600" s="424"/>
      <c r="B600" s="439"/>
      <c r="C600" s="529"/>
      <c r="D600" s="529"/>
      <c r="E600" s="444"/>
      <c r="F600" s="439"/>
      <c r="G600" s="444"/>
      <c r="H600" s="444"/>
      <c r="I600" s="444"/>
      <c r="J600" s="515"/>
      <c r="K600" s="444"/>
      <c r="L600" s="515"/>
      <c r="M600" s="515"/>
      <c r="N600" s="444"/>
      <c r="O600" s="515"/>
      <c r="P600" s="515"/>
    </row>
    <row r="601" spans="1:16" x14ac:dyDescent="0.25">
      <c r="A601" s="424"/>
      <c r="B601" s="439"/>
      <c r="C601" s="529"/>
      <c r="D601" s="529"/>
      <c r="E601" s="444"/>
      <c r="F601" s="439"/>
      <c r="G601" s="444"/>
      <c r="H601" s="444"/>
      <c r="I601" s="444"/>
      <c r="J601" s="515"/>
      <c r="K601" s="444"/>
      <c r="L601" s="515"/>
      <c r="M601" s="515"/>
      <c r="N601" s="444"/>
      <c r="O601" s="515"/>
      <c r="P601" s="515"/>
    </row>
    <row r="602" spans="1:16" x14ac:dyDescent="0.25">
      <c r="A602" s="424"/>
      <c r="B602" s="439"/>
      <c r="C602" s="529"/>
      <c r="D602" s="529"/>
      <c r="E602" s="444"/>
      <c r="F602" s="439"/>
      <c r="G602" s="444"/>
      <c r="H602" s="444"/>
      <c r="I602" s="444"/>
      <c r="J602" s="515"/>
      <c r="K602" s="444"/>
      <c r="L602" s="515"/>
      <c r="M602" s="515"/>
      <c r="N602" s="444"/>
      <c r="O602" s="515"/>
      <c r="P602" s="515"/>
    </row>
    <row r="603" spans="1:16" x14ac:dyDescent="0.25">
      <c r="A603" s="424"/>
      <c r="B603" s="439"/>
      <c r="C603" s="529"/>
      <c r="D603" s="529"/>
      <c r="E603" s="444"/>
      <c r="F603" s="439"/>
      <c r="G603" s="444"/>
      <c r="H603" s="444"/>
      <c r="I603" s="444"/>
      <c r="J603" s="515"/>
      <c r="K603" s="444"/>
      <c r="L603" s="515"/>
      <c r="M603" s="515"/>
      <c r="N603" s="444"/>
      <c r="O603" s="515"/>
      <c r="P603" s="515"/>
    </row>
    <row r="604" spans="1:16" x14ac:dyDescent="0.25">
      <c r="A604" s="424"/>
      <c r="B604" s="439"/>
      <c r="C604" s="529"/>
      <c r="D604" s="529"/>
      <c r="E604" s="444"/>
      <c r="F604" s="439"/>
      <c r="G604" s="444"/>
      <c r="H604" s="444"/>
      <c r="I604" s="444"/>
      <c r="J604" s="515"/>
      <c r="K604" s="444"/>
      <c r="L604" s="515"/>
      <c r="M604" s="515"/>
      <c r="N604" s="444"/>
      <c r="O604" s="515"/>
      <c r="P604" s="515"/>
    </row>
    <row r="605" spans="1:16" x14ac:dyDescent="0.25">
      <c r="A605" s="424"/>
      <c r="B605" s="439"/>
      <c r="C605" s="529"/>
      <c r="D605" s="529"/>
      <c r="E605" s="444"/>
      <c r="F605" s="439"/>
      <c r="G605" s="444"/>
      <c r="H605" s="444"/>
      <c r="I605" s="444"/>
      <c r="J605" s="515"/>
      <c r="K605" s="444"/>
      <c r="L605" s="515"/>
      <c r="M605" s="515"/>
      <c r="N605" s="444"/>
      <c r="O605" s="515"/>
      <c r="P605" s="515"/>
    </row>
    <row r="606" spans="1:16" x14ac:dyDescent="0.25">
      <c r="A606" s="424"/>
      <c r="B606" s="439"/>
      <c r="C606" s="529"/>
      <c r="D606" s="529"/>
      <c r="E606" s="444"/>
      <c r="F606" s="439"/>
      <c r="G606" s="444"/>
      <c r="H606" s="444"/>
      <c r="I606" s="444"/>
      <c r="J606" s="515"/>
      <c r="K606" s="444"/>
      <c r="L606" s="515"/>
      <c r="M606" s="515"/>
      <c r="N606" s="444"/>
      <c r="O606" s="515"/>
      <c r="P606" s="515"/>
    </row>
    <row r="607" spans="1:16" x14ac:dyDescent="0.25">
      <c r="A607" s="424"/>
      <c r="B607" s="439"/>
      <c r="C607" s="529"/>
      <c r="D607" s="529"/>
      <c r="E607" s="444"/>
      <c r="F607" s="439"/>
      <c r="G607" s="444"/>
      <c r="H607" s="444"/>
      <c r="I607" s="444"/>
      <c r="J607" s="515"/>
      <c r="K607" s="444"/>
      <c r="L607" s="515"/>
      <c r="M607" s="515"/>
      <c r="N607" s="444"/>
      <c r="O607" s="515"/>
      <c r="P607" s="515"/>
    </row>
    <row r="608" spans="1:16" x14ac:dyDescent="0.25">
      <c r="A608" s="424"/>
      <c r="B608" s="439"/>
      <c r="C608" s="529"/>
      <c r="D608" s="529"/>
      <c r="E608" s="444"/>
      <c r="F608" s="439"/>
      <c r="G608" s="444"/>
      <c r="H608" s="444"/>
      <c r="I608" s="444"/>
      <c r="J608" s="515"/>
      <c r="K608" s="444"/>
      <c r="L608" s="515"/>
      <c r="M608" s="515"/>
      <c r="N608" s="444"/>
      <c r="O608" s="515"/>
      <c r="P608" s="515"/>
    </row>
    <row r="609" spans="1:16" x14ac:dyDescent="0.25">
      <c r="A609" s="424"/>
      <c r="B609" s="439"/>
      <c r="C609" s="529"/>
      <c r="D609" s="529"/>
      <c r="E609" s="444"/>
      <c r="F609" s="439"/>
      <c r="G609" s="444"/>
      <c r="H609" s="444"/>
      <c r="I609" s="444"/>
      <c r="J609" s="515"/>
      <c r="K609" s="444"/>
      <c r="L609" s="515"/>
      <c r="M609" s="515"/>
      <c r="N609" s="444"/>
      <c r="O609" s="515"/>
      <c r="P609" s="515"/>
    </row>
    <row r="610" spans="1:16" x14ac:dyDescent="0.25">
      <c r="A610" s="424"/>
      <c r="B610" s="439"/>
      <c r="C610" s="529"/>
      <c r="D610" s="529"/>
      <c r="E610" s="444"/>
      <c r="F610" s="439"/>
      <c r="G610" s="444"/>
      <c r="H610" s="444"/>
      <c r="I610" s="444"/>
      <c r="J610" s="515"/>
      <c r="K610" s="444"/>
      <c r="L610" s="515"/>
      <c r="M610" s="515"/>
      <c r="N610" s="444"/>
      <c r="O610" s="515"/>
      <c r="P610" s="515"/>
    </row>
    <row r="611" spans="1:16" x14ac:dyDescent="0.25">
      <c r="A611" s="424"/>
      <c r="B611" s="439"/>
      <c r="C611" s="529"/>
      <c r="D611" s="529"/>
      <c r="E611" s="444"/>
      <c r="F611" s="439"/>
      <c r="G611" s="444"/>
      <c r="H611" s="444"/>
      <c r="I611" s="444"/>
      <c r="J611" s="515"/>
      <c r="K611" s="444"/>
      <c r="L611" s="515"/>
      <c r="M611" s="515"/>
      <c r="N611" s="444"/>
      <c r="O611" s="515"/>
      <c r="P611" s="515"/>
    </row>
    <row r="612" spans="1:16" x14ac:dyDescent="0.25">
      <c r="A612" s="424"/>
      <c r="B612" s="439"/>
      <c r="C612" s="529"/>
      <c r="D612" s="529"/>
      <c r="E612" s="444"/>
      <c r="F612" s="439"/>
      <c r="G612" s="444"/>
      <c r="H612" s="444"/>
      <c r="I612" s="444"/>
      <c r="J612" s="515"/>
      <c r="K612" s="444"/>
      <c r="L612" s="515"/>
      <c r="M612" s="515"/>
      <c r="N612" s="444"/>
      <c r="O612" s="515"/>
      <c r="P612" s="515"/>
    </row>
    <row r="613" spans="1:16" x14ac:dyDescent="0.25">
      <c r="A613" s="424"/>
      <c r="B613" s="439"/>
      <c r="C613" s="529"/>
      <c r="D613" s="529"/>
      <c r="E613" s="444"/>
      <c r="F613" s="439"/>
      <c r="G613" s="444"/>
      <c r="H613" s="444"/>
      <c r="I613" s="444"/>
      <c r="J613" s="515"/>
      <c r="K613" s="444"/>
      <c r="L613" s="515"/>
      <c r="M613" s="515"/>
      <c r="N613" s="444"/>
      <c r="O613" s="515"/>
      <c r="P613" s="515"/>
    </row>
    <row r="614" spans="1:16" x14ac:dyDescent="0.25">
      <c r="A614" s="424"/>
      <c r="B614" s="439"/>
      <c r="C614" s="529"/>
      <c r="D614" s="529"/>
      <c r="E614" s="444"/>
      <c r="F614" s="439"/>
      <c r="G614" s="444"/>
      <c r="H614" s="444"/>
      <c r="I614" s="444"/>
      <c r="J614" s="515"/>
      <c r="K614" s="444"/>
      <c r="L614" s="515"/>
      <c r="M614" s="515"/>
      <c r="N614" s="444"/>
      <c r="O614" s="515"/>
      <c r="P614" s="515"/>
    </row>
    <row r="615" spans="1:16" x14ac:dyDescent="0.25">
      <c r="A615" s="424"/>
      <c r="B615" s="439"/>
      <c r="C615" s="529"/>
      <c r="D615" s="529"/>
      <c r="E615" s="444"/>
      <c r="F615" s="439"/>
      <c r="G615" s="444"/>
      <c r="H615" s="444"/>
      <c r="I615" s="444"/>
      <c r="J615" s="515"/>
      <c r="K615" s="444"/>
      <c r="L615" s="515"/>
      <c r="M615" s="515"/>
      <c r="N615" s="444"/>
      <c r="O615" s="515"/>
      <c r="P615" s="515"/>
    </row>
    <row r="616" spans="1:16" x14ac:dyDescent="0.25">
      <c r="A616" s="424"/>
      <c r="B616" s="439"/>
      <c r="C616" s="529"/>
      <c r="D616" s="529"/>
      <c r="E616" s="444"/>
      <c r="F616" s="439"/>
      <c r="G616" s="444"/>
      <c r="H616" s="444"/>
      <c r="I616" s="444"/>
      <c r="J616" s="515"/>
      <c r="K616" s="444"/>
      <c r="L616" s="515"/>
      <c r="M616" s="515"/>
      <c r="N616" s="444"/>
      <c r="O616" s="515"/>
      <c r="P616" s="515"/>
    </row>
    <row r="617" spans="1:16" x14ac:dyDescent="0.25">
      <c r="A617" s="424"/>
      <c r="B617" s="439"/>
      <c r="C617" s="529"/>
      <c r="D617" s="529"/>
      <c r="E617" s="444"/>
      <c r="F617" s="439"/>
      <c r="G617" s="444"/>
      <c r="H617" s="444"/>
      <c r="I617" s="444"/>
      <c r="J617" s="515"/>
      <c r="K617" s="444"/>
      <c r="L617" s="515"/>
      <c r="M617" s="515"/>
      <c r="N617" s="444"/>
      <c r="O617" s="515"/>
      <c r="P617" s="515"/>
    </row>
    <row r="618" spans="1:16" x14ac:dyDescent="0.25">
      <c r="A618" s="424"/>
      <c r="B618" s="439"/>
      <c r="C618" s="529"/>
      <c r="D618" s="529"/>
      <c r="E618" s="444"/>
      <c r="F618" s="439"/>
      <c r="G618" s="444"/>
      <c r="H618" s="444"/>
      <c r="I618" s="444"/>
      <c r="J618" s="515"/>
      <c r="K618" s="444"/>
      <c r="L618" s="515"/>
      <c r="M618" s="515"/>
      <c r="N618" s="444"/>
      <c r="O618" s="515"/>
      <c r="P618" s="515"/>
    </row>
    <row r="619" spans="1:16" x14ac:dyDescent="0.25">
      <c r="A619" s="424"/>
      <c r="B619" s="439"/>
      <c r="C619" s="529"/>
      <c r="D619" s="529"/>
      <c r="E619" s="444"/>
      <c r="F619" s="439"/>
      <c r="G619" s="444"/>
      <c r="H619" s="444"/>
      <c r="I619" s="444"/>
      <c r="J619" s="515"/>
      <c r="K619" s="444"/>
      <c r="L619" s="515"/>
      <c r="M619" s="515"/>
      <c r="N619" s="444"/>
      <c r="O619" s="515"/>
      <c r="P619" s="515"/>
    </row>
    <row r="620" spans="1:16" x14ac:dyDescent="0.25">
      <c r="A620" s="424"/>
      <c r="B620" s="439"/>
      <c r="C620" s="529"/>
      <c r="D620" s="529"/>
      <c r="E620" s="444"/>
      <c r="F620" s="439"/>
      <c r="G620" s="444"/>
      <c r="H620" s="444"/>
      <c r="I620" s="444"/>
      <c r="J620" s="515"/>
      <c r="K620" s="444"/>
      <c r="L620" s="515"/>
      <c r="M620" s="515"/>
      <c r="N620" s="444"/>
      <c r="O620" s="515"/>
      <c r="P620" s="515"/>
    </row>
    <row r="621" spans="1:16" x14ac:dyDescent="0.25">
      <c r="A621" s="424"/>
      <c r="B621" s="439"/>
      <c r="C621" s="529"/>
      <c r="D621" s="529"/>
      <c r="E621" s="444"/>
      <c r="F621" s="439"/>
      <c r="G621" s="444"/>
      <c r="H621" s="444"/>
      <c r="I621" s="444"/>
      <c r="J621" s="515"/>
      <c r="K621" s="444"/>
      <c r="L621" s="515"/>
      <c r="M621" s="515"/>
      <c r="N621" s="444"/>
      <c r="O621" s="515"/>
      <c r="P621" s="515"/>
    </row>
    <row r="622" spans="1:16" x14ac:dyDescent="0.25">
      <c r="A622" s="424"/>
      <c r="B622" s="439"/>
      <c r="C622" s="529"/>
      <c r="D622" s="529"/>
      <c r="E622" s="444"/>
      <c r="F622" s="439"/>
      <c r="G622" s="444"/>
      <c r="H622" s="444"/>
      <c r="I622" s="444"/>
      <c r="J622" s="515"/>
      <c r="K622" s="444"/>
      <c r="L622" s="515"/>
      <c r="M622" s="515"/>
      <c r="N622" s="444"/>
      <c r="O622" s="515"/>
      <c r="P622" s="515"/>
    </row>
    <row r="623" spans="1:16" x14ac:dyDescent="0.25">
      <c r="A623" s="424"/>
      <c r="B623" s="439"/>
      <c r="C623" s="529"/>
      <c r="D623" s="529"/>
      <c r="E623" s="444"/>
      <c r="F623" s="439"/>
      <c r="G623" s="444"/>
      <c r="H623" s="444"/>
      <c r="I623" s="444"/>
      <c r="J623" s="515"/>
      <c r="K623" s="444"/>
      <c r="L623" s="515"/>
      <c r="M623" s="515"/>
      <c r="N623" s="444"/>
      <c r="O623" s="515"/>
      <c r="P623" s="515"/>
    </row>
    <row r="624" spans="1:16" x14ac:dyDescent="0.25">
      <c r="A624" s="424"/>
      <c r="B624" s="439"/>
      <c r="C624" s="529"/>
      <c r="D624" s="529"/>
      <c r="E624" s="444"/>
      <c r="F624" s="439"/>
      <c r="G624" s="444"/>
      <c r="H624" s="444"/>
      <c r="I624" s="444"/>
      <c r="J624" s="515"/>
      <c r="K624" s="444"/>
      <c r="L624" s="515"/>
      <c r="M624" s="515"/>
      <c r="N624" s="444"/>
      <c r="O624" s="515"/>
      <c r="P624" s="515"/>
    </row>
    <row r="625" spans="1:16" x14ac:dyDescent="0.25">
      <c r="A625" s="424"/>
      <c r="B625" s="439"/>
      <c r="C625" s="529"/>
      <c r="D625" s="529"/>
      <c r="E625" s="444"/>
      <c r="F625" s="439"/>
      <c r="G625" s="444"/>
      <c r="H625" s="444"/>
      <c r="I625" s="444"/>
      <c r="J625" s="515"/>
      <c r="K625" s="444"/>
      <c r="L625" s="515"/>
      <c r="M625" s="515"/>
      <c r="N625" s="444"/>
      <c r="O625" s="515"/>
      <c r="P625" s="515"/>
    </row>
    <row r="626" spans="1:16" x14ac:dyDescent="0.25">
      <c r="A626" s="424"/>
      <c r="B626" s="439"/>
      <c r="C626" s="529"/>
      <c r="D626" s="529"/>
      <c r="E626" s="444"/>
      <c r="F626" s="439"/>
      <c r="G626" s="444"/>
      <c r="H626" s="444"/>
      <c r="I626" s="444"/>
      <c r="J626" s="515"/>
      <c r="K626" s="444"/>
      <c r="L626" s="515"/>
      <c r="M626" s="515"/>
      <c r="N626" s="444"/>
      <c r="O626" s="515"/>
      <c r="P626" s="515"/>
    </row>
    <row r="627" spans="1:16" x14ac:dyDescent="0.25">
      <c r="A627" s="424"/>
      <c r="B627" s="439"/>
      <c r="C627" s="529"/>
      <c r="D627" s="529"/>
      <c r="E627" s="444"/>
      <c r="F627" s="439"/>
      <c r="G627" s="444"/>
      <c r="H627" s="444"/>
      <c r="I627" s="444"/>
      <c r="J627" s="515"/>
      <c r="K627" s="444"/>
      <c r="L627" s="515"/>
      <c r="M627" s="515"/>
      <c r="N627" s="444"/>
      <c r="O627" s="515"/>
      <c r="P627" s="515"/>
    </row>
    <row r="628" spans="1:16" x14ac:dyDescent="0.25">
      <c r="A628" s="424"/>
      <c r="B628" s="439"/>
      <c r="C628" s="529"/>
      <c r="D628" s="529"/>
      <c r="E628" s="444"/>
      <c r="F628" s="439"/>
      <c r="G628" s="444"/>
      <c r="H628" s="444"/>
      <c r="I628" s="444"/>
      <c r="J628" s="515"/>
      <c r="K628" s="444"/>
      <c r="L628" s="515"/>
      <c r="M628" s="515"/>
      <c r="N628" s="444"/>
      <c r="O628" s="515"/>
      <c r="P628" s="515"/>
    </row>
    <row r="629" spans="1:16" x14ac:dyDescent="0.25">
      <c r="A629" s="424"/>
      <c r="B629" s="439"/>
      <c r="C629" s="529"/>
      <c r="D629" s="529"/>
      <c r="E629" s="444"/>
      <c r="F629" s="439"/>
      <c r="G629" s="444"/>
      <c r="H629" s="444"/>
      <c r="I629" s="444"/>
      <c r="J629" s="515"/>
      <c r="K629" s="444"/>
      <c r="L629" s="515"/>
      <c r="M629" s="515"/>
      <c r="N629" s="444"/>
      <c r="O629" s="515"/>
      <c r="P629" s="515"/>
    </row>
    <row r="630" spans="1:16" x14ac:dyDescent="0.25">
      <c r="A630" s="424"/>
      <c r="B630" s="439"/>
      <c r="C630" s="529"/>
      <c r="D630" s="529"/>
      <c r="E630" s="444"/>
      <c r="F630" s="439"/>
      <c r="G630" s="444"/>
      <c r="H630" s="444"/>
      <c r="I630" s="444"/>
      <c r="J630" s="515"/>
      <c r="K630" s="444"/>
      <c r="L630" s="515"/>
      <c r="M630" s="515"/>
      <c r="N630" s="444"/>
      <c r="O630" s="515"/>
      <c r="P630" s="515"/>
    </row>
    <row r="631" spans="1:16" x14ac:dyDescent="0.25">
      <c r="A631" s="424"/>
      <c r="B631" s="439"/>
      <c r="C631" s="529"/>
      <c r="D631" s="529"/>
      <c r="E631" s="444"/>
      <c r="F631" s="439"/>
      <c r="G631" s="444"/>
      <c r="H631" s="444"/>
      <c r="I631" s="444"/>
      <c r="J631" s="515"/>
      <c r="K631" s="444"/>
      <c r="L631" s="515"/>
      <c r="M631" s="515"/>
      <c r="N631" s="444"/>
      <c r="O631" s="515"/>
      <c r="P631" s="515"/>
    </row>
    <row r="632" spans="1:16" x14ac:dyDescent="0.25">
      <c r="A632" s="424"/>
      <c r="B632" s="439"/>
      <c r="C632" s="529"/>
      <c r="D632" s="529"/>
      <c r="E632" s="444"/>
      <c r="F632" s="439"/>
      <c r="G632" s="444"/>
      <c r="H632" s="444"/>
      <c r="I632" s="444"/>
      <c r="J632" s="515"/>
      <c r="K632" s="444"/>
      <c r="L632" s="515"/>
      <c r="M632" s="515"/>
      <c r="N632" s="444"/>
      <c r="O632" s="515"/>
      <c r="P632" s="515"/>
    </row>
    <row r="633" spans="1:16" x14ac:dyDescent="0.25">
      <c r="A633" s="424"/>
      <c r="B633" s="439"/>
      <c r="C633" s="529"/>
      <c r="D633" s="529"/>
      <c r="E633" s="444"/>
      <c r="F633" s="439"/>
      <c r="G633" s="444"/>
      <c r="H633" s="444"/>
      <c r="I633" s="444"/>
      <c r="J633" s="515"/>
      <c r="K633" s="444"/>
      <c r="L633" s="515"/>
      <c r="M633" s="515"/>
      <c r="N633" s="444"/>
      <c r="O633" s="515"/>
      <c r="P633" s="515"/>
    </row>
    <row r="634" spans="1:16" x14ac:dyDescent="0.25">
      <c r="A634" s="424"/>
      <c r="B634" s="439"/>
      <c r="C634" s="529"/>
      <c r="D634" s="529"/>
      <c r="E634" s="444"/>
      <c r="F634" s="439"/>
      <c r="G634" s="444"/>
      <c r="H634" s="444"/>
      <c r="I634" s="444"/>
      <c r="J634" s="515"/>
      <c r="K634" s="444"/>
      <c r="L634" s="515"/>
      <c r="M634" s="515"/>
      <c r="N634" s="444"/>
      <c r="O634" s="515"/>
      <c r="P634" s="515"/>
    </row>
    <row r="635" spans="1:16" x14ac:dyDescent="0.25">
      <c r="A635" s="424"/>
      <c r="B635" s="439"/>
      <c r="C635" s="529"/>
      <c r="D635" s="529"/>
      <c r="E635" s="444"/>
      <c r="F635" s="439"/>
      <c r="G635" s="444"/>
      <c r="H635" s="444"/>
      <c r="I635" s="444"/>
      <c r="J635" s="515"/>
      <c r="K635" s="444"/>
      <c r="L635" s="515"/>
      <c r="M635" s="515"/>
      <c r="N635" s="444"/>
      <c r="O635" s="515"/>
      <c r="P635" s="515"/>
    </row>
    <row r="636" spans="1:16" x14ac:dyDescent="0.25">
      <c r="A636" s="424"/>
      <c r="B636" s="439"/>
      <c r="C636" s="529"/>
      <c r="D636" s="529"/>
      <c r="E636" s="444"/>
      <c r="F636" s="439"/>
      <c r="G636" s="444"/>
      <c r="H636" s="444"/>
      <c r="I636" s="444"/>
      <c r="J636" s="515"/>
      <c r="K636" s="444"/>
      <c r="L636" s="515"/>
      <c r="M636" s="515"/>
      <c r="N636" s="444"/>
      <c r="O636" s="515"/>
      <c r="P636" s="515"/>
    </row>
    <row r="637" spans="1:16" x14ac:dyDescent="0.25">
      <c r="A637" s="424"/>
      <c r="B637" s="439"/>
      <c r="C637" s="529"/>
      <c r="D637" s="529"/>
      <c r="E637" s="444"/>
      <c r="F637" s="439"/>
      <c r="G637" s="444"/>
      <c r="H637" s="444"/>
      <c r="I637" s="444"/>
      <c r="J637" s="515"/>
      <c r="K637" s="444"/>
      <c r="L637" s="515"/>
      <c r="M637" s="515"/>
      <c r="N637" s="444"/>
      <c r="O637" s="515"/>
      <c r="P637" s="515"/>
    </row>
    <row r="638" spans="1:16" x14ac:dyDescent="0.25">
      <c r="A638" s="424"/>
      <c r="B638" s="439"/>
      <c r="C638" s="529"/>
      <c r="D638" s="529"/>
      <c r="E638" s="444"/>
      <c r="F638" s="439"/>
      <c r="G638" s="444"/>
      <c r="H638" s="444"/>
      <c r="I638" s="444"/>
      <c r="J638" s="515"/>
      <c r="K638" s="444"/>
      <c r="L638" s="515"/>
      <c r="M638" s="515"/>
      <c r="N638" s="444"/>
      <c r="O638" s="515"/>
      <c r="P638" s="515"/>
    </row>
    <row r="639" spans="1:16" x14ac:dyDescent="0.25">
      <c r="A639" s="424"/>
      <c r="B639" s="439"/>
      <c r="C639" s="529"/>
      <c r="D639" s="529"/>
      <c r="E639" s="444"/>
      <c r="F639" s="439"/>
      <c r="G639" s="444"/>
      <c r="H639" s="444"/>
      <c r="I639" s="444"/>
      <c r="J639" s="515"/>
      <c r="K639" s="444"/>
      <c r="L639" s="515"/>
      <c r="M639" s="515"/>
      <c r="N639" s="444"/>
      <c r="O639" s="515"/>
      <c r="P639" s="515"/>
    </row>
    <row r="640" spans="1:16" x14ac:dyDescent="0.25">
      <c r="A640" s="424"/>
      <c r="B640" s="439"/>
      <c r="C640" s="529"/>
      <c r="D640" s="529"/>
      <c r="E640" s="444"/>
      <c r="F640" s="439"/>
      <c r="G640" s="444"/>
      <c r="H640" s="444"/>
      <c r="I640" s="444"/>
      <c r="J640" s="515"/>
      <c r="K640" s="444"/>
      <c r="L640" s="515"/>
      <c r="M640" s="515"/>
      <c r="N640" s="444"/>
      <c r="O640" s="515"/>
      <c r="P640" s="515"/>
    </row>
    <row r="641" spans="1:16" x14ac:dyDescent="0.25">
      <c r="A641" s="424"/>
      <c r="B641" s="439"/>
      <c r="C641" s="529"/>
      <c r="D641" s="529"/>
      <c r="E641" s="444"/>
      <c r="F641" s="439"/>
      <c r="G641" s="444"/>
      <c r="H641" s="444"/>
      <c r="I641" s="444"/>
      <c r="J641" s="515"/>
      <c r="K641" s="444"/>
      <c r="L641" s="515"/>
      <c r="M641" s="515"/>
      <c r="N641" s="444"/>
      <c r="O641" s="515"/>
      <c r="P641" s="515"/>
    </row>
    <row r="642" spans="1:16" x14ac:dyDescent="0.25">
      <c r="A642" s="424"/>
      <c r="B642" s="439"/>
      <c r="C642" s="529"/>
      <c r="D642" s="529"/>
      <c r="E642" s="444"/>
      <c r="F642" s="439"/>
      <c r="G642" s="444"/>
      <c r="H642" s="444"/>
      <c r="I642" s="444"/>
      <c r="J642" s="515"/>
      <c r="K642" s="444"/>
      <c r="L642" s="515"/>
      <c r="M642" s="515"/>
      <c r="N642" s="444"/>
      <c r="O642" s="515"/>
      <c r="P642" s="515"/>
    </row>
    <row r="643" spans="1:16" x14ac:dyDescent="0.25">
      <c r="A643" s="424"/>
      <c r="B643" s="439"/>
      <c r="C643" s="529"/>
      <c r="D643" s="529"/>
      <c r="E643" s="444"/>
      <c r="F643" s="439"/>
      <c r="G643" s="444"/>
      <c r="H643" s="444"/>
      <c r="I643" s="444"/>
      <c r="J643" s="515"/>
      <c r="K643" s="444"/>
      <c r="L643" s="515"/>
      <c r="M643" s="515"/>
      <c r="N643" s="444"/>
      <c r="O643" s="515"/>
      <c r="P643" s="515"/>
    </row>
    <row r="644" spans="1:16" x14ac:dyDescent="0.25">
      <c r="A644" s="424"/>
      <c r="B644" s="439"/>
      <c r="C644" s="529"/>
      <c r="D644" s="529"/>
      <c r="E644" s="444"/>
      <c r="F644" s="439"/>
      <c r="G644" s="444"/>
      <c r="H644" s="444"/>
      <c r="I644" s="444"/>
      <c r="J644" s="515"/>
      <c r="K644" s="444"/>
      <c r="L644" s="515"/>
      <c r="M644" s="515"/>
      <c r="N644" s="444"/>
      <c r="O644" s="515"/>
      <c r="P644" s="515"/>
    </row>
    <row r="645" spans="1:16" x14ac:dyDescent="0.25">
      <c r="A645" s="424"/>
      <c r="B645" s="439"/>
      <c r="C645" s="529"/>
      <c r="D645" s="529"/>
      <c r="E645" s="444"/>
      <c r="F645" s="439"/>
      <c r="G645" s="444"/>
      <c r="H645" s="444"/>
      <c r="I645" s="444"/>
      <c r="J645" s="515"/>
      <c r="K645" s="444"/>
      <c r="L645" s="515"/>
      <c r="M645" s="515"/>
      <c r="N645" s="444"/>
      <c r="O645" s="515"/>
      <c r="P645" s="515"/>
    </row>
    <row r="646" spans="1:16" x14ac:dyDescent="0.25">
      <c r="A646" s="424"/>
      <c r="B646" s="439"/>
      <c r="C646" s="529"/>
      <c r="D646" s="529"/>
      <c r="E646" s="444"/>
      <c r="F646" s="439"/>
      <c r="G646" s="444"/>
      <c r="H646" s="444"/>
      <c r="I646" s="444"/>
      <c r="J646" s="515"/>
      <c r="K646" s="444"/>
      <c r="L646" s="515"/>
      <c r="M646" s="515"/>
      <c r="N646" s="444"/>
      <c r="O646" s="515"/>
      <c r="P646" s="515"/>
    </row>
    <row r="647" spans="1:16" x14ac:dyDescent="0.25">
      <c r="A647" s="424"/>
      <c r="B647" s="439"/>
      <c r="C647" s="529"/>
      <c r="D647" s="529"/>
      <c r="E647" s="444"/>
      <c r="F647" s="439"/>
      <c r="G647" s="444"/>
      <c r="H647" s="444"/>
      <c r="I647" s="444"/>
      <c r="J647" s="515"/>
      <c r="K647" s="444"/>
      <c r="L647" s="515"/>
      <c r="M647" s="515"/>
      <c r="N647" s="444"/>
      <c r="O647" s="515"/>
      <c r="P647" s="515"/>
    </row>
    <row r="648" spans="1:16" x14ac:dyDescent="0.25">
      <c r="A648" s="424"/>
      <c r="B648" s="439"/>
      <c r="C648" s="529"/>
      <c r="D648" s="529"/>
      <c r="E648" s="444"/>
      <c r="F648" s="439"/>
      <c r="G648" s="444"/>
      <c r="H648" s="444"/>
      <c r="I648" s="444"/>
      <c r="J648" s="515"/>
      <c r="K648" s="444"/>
      <c r="L648" s="515"/>
      <c r="M648" s="515"/>
      <c r="N648" s="444"/>
      <c r="O648" s="515"/>
      <c r="P648" s="515"/>
    </row>
    <row r="649" spans="1:16" x14ac:dyDescent="0.25">
      <c r="A649" s="424"/>
      <c r="B649" s="439"/>
      <c r="C649" s="529"/>
      <c r="D649" s="529"/>
      <c r="E649" s="444"/>
      <c r="F649" s="439"/>
      <c r="G649" s="444"/>
      <c r="H649" s="444"/>
      <c r="I649" s="444"/>
      <c r="J649" s="515"/>
      <c r="K649" s="444"/>
      <c r="L649" s="515"/>
      <c r="M649" s="515"/>
      <c r="N649" s="444"/>
      <c r="O649" s="515"/>
      <c r="P649" s="515"/>
    </row>
    <row r="650" spans="1:16" x14ac:dyDescent="0.25">
      <c r="A650" s="424"/>
      <c r="B650" s="439"/>
      <c r="C650" s="529"/>
      <c r="D650" s="529"/>
      <c r="E650" s="444"/>
      <c r="F650" s="439"/>
      <c r="G650" s="444"/>
      <c r="H650" s="444"/>
      <c r="I650" s="444"/>
      <c r="J650" s="515"/>
      <c r="K650" s="444"/>
      <c r="L650" s="515"/>
      <c r="M650" s="515"/>
      <c r="N650" s="444"/>
      <c r="O650" s="515"/>
      <c r="P650" s="515"/>
    </row>
    <row r="651" spans="1:16" x14ac:dyDescent="0.25">
      <c r="A651" s="424"/>
      <c r="B651" s="439"/>
      <c r="C651" s="529"/>
      <c r="D651" s="529"/>
      <c r="E651" s="444"/>
      <c r="F651" s="439"/>
      <c r="G651" s="444"/>
      <c r="H651" s="444"/>
      <c r="I651" s="444"/>
      <c r="J651" s="515"/>
      <c r="K651" s="444"/>
      <c r="L651" s="515"/>
      <c r="M651" s="515"/>
      <c r="N651" s="444"/>
      <c r="O651" s="515"/>
      <c r="P651" s="515"/>
    </row>
    <row r="652" spans="1:16" x14ac:dyDescent="0.25">
      <c r="A652" s="424"/>
      <c r="B652" s="439"/>
      <c r="C652" s="529"/>
      <c r="D652" s="529"/>
      <c r="E652" s="444"/>
      <c r="F652" s="439"/>
      <c r="G652" s="444"/>
      <c r="H652" s="444"/>
      <c r="I652" s="444"/>
      <c r="J652" s="515"/>
      <c r="K652" s="444"/>
      <c r="L652" s="515"/>
      <c r="M652" s="515"/>
      <c r="N652" s="444"/>
      <c r="O652" s="515"/>
      <c r="P652" s="515"/>
    </row>
    <row r="653" spans="1:16" x14ac:dyDescent="0.25">
      <c r="A653" s="424"/>
      <c r="B653" s="439"/>
      <c r="C653" s="529"/>
      <c r="D653" s="529"/>
      <c r="E653" s="444"/>
      <c r="F653" s="439"/>
      <c r="G653" s="444"/>
      <c r="H653" s="444"/>
      <c r="I653" s="444"/>
      <c r="J653" s="515"/>
      <c r="K653" s="444"/>
      <c r="L653" s="515"/>
      <c r="M653" s="515"/>
      <c r="N653" s="444"/>
      <c r="O653" s="515"/>
      <c r="P653" s="515"/>
    </row>
    <row r="654" spans="1:16" x14ac:dyDescent="0.25">
      <c r="A654" s="424"/>
      <c r="B654" s="439"/>
      <c r="C654" s="529"/>
      <c r="D654" s="529"/>
      <c r="E654" s="444"/>
      <c r="F654" s="439"/>
      <c r="G654" s="444"/>
      <c r="H654" s="444"/>
      <c r="I654" s="444"/>
      <c r="J654" s="515"/>
      <c r="K654" s="444"/>
      <c r="L654" s="515"/>
      <c r="M654" s="515"/>
      <c r="N654" s="444"/>
      <c r="O654" s="515"/>
      <c r="P654" s="515"/>
    </row>
    <row r="655" spans="1:16" x14ac:dyDescent="0.25">
      <c r="A655" s="424"/>
      <c r="B655" s="439"/>
      <c r="C655" s="529"/>
      <c r="D655" s="529"/>
      <c r="E655" s="444"/>
      <c r="F655" s="439"/>
      <c r="G655" s="444"/>
      <c r="H655" s="444"/>
      <c r="I655" s="444"/>
      <c r="J655" s="515"/>
      <c r="K655" s="444"/>
      <c r="L655" s="515"/>
      <c r="M655" s="515"/>
      <c r="N655" s="444"/>
      <c r="O655" s="515"/>
      <c r="P655" s="515"/>
    </row>
    <row r="656" spans="1:16" x14ac:dyDescent="0.25">
      <c r="A656" s="424"/>
      <c r="B656" s="439"/>
      <c r="C656" s="529"/>
      <c r="D656" s="529"/>
      <c r="E656" s="444"/>
      <c r="F656" s="439"/>
      <c r="G656" s="444"/>
      <c r="H656" s="444"/>
      <c r="I656" s="444"/>
      <c r="J656" s="515"/>
      <c r="K656" s="444"/>
      <c r="L656" s="515"/>
      <c r="M656" s="515"/>
      <c r="N656" s="444"/>
      <c r="O656" s="515"/>
      <c r="P656" s="515"/>
    </row>
    <row r="657" spans="1:16" x14ac:dyDescent="0.25">
      <c r="A657" s="424"/>
      <c r="B657" s="439"/>
      <c r="C657" s="529"/>
      <c r="D657" s="529"/>
      <c r="E657" s="444"/>
      <c r="F657" s="439"/>
      <c r="G657" s="444"/>
      <c r="H657" s="444"/>
      <c r="I657" s="444"/>
      <c r="J657" s="515"/>
      <c r="K657" s="444"/>
      <c r="L657" s="515"/>
      <c r="M657" s="515"/>
      <c r="N657" s="444"/>
      <c r="O657" s="515"/>
      <c r="P657" s="515"/>
    </row>
    <row r="658" spans="1:16" x14ac:dyDescent="0.25">
      <c r="A658" s="424"/>
      <c r="B658" s="439"/>
      <c r="C658" s="529"/>
      <c r="D658" s="529"/>
      <c r="E658" s="444"/>
      <c r="F658" s="439"/>
      <c r="G658" s="444"/>
      <c r="H658" s="444"/>
      <c r="I658" s="444"/>
      <c r="J658" s="515"/>
      <c r="K658" s="444"/>
      <c r="L658" s="515"/>
      <c r="M658" s="515"/>
      <c r="N658" s="444"/>
      <c r="O658" s="515"/>
      <c r="P658" s="515"/>
    </row>
    <row r="659" spans="1:16" x14ac:dyDescent="0.25">
      <c r="A659" s="424"/>
      <c r="B659" s="439"/>
      <c r="C659" s="529"/>
      <c r="D659" s="529"/>
      <c r="E659" s="444"/>
      <c r="F659" s="439"/>
      <c r="G659" s="444"/>
      <c r="H659" s="444"/>
      <c r="I659" s="444"/>
      <c r="J659" s="515"/>
      <c r="K659" s="444"/>
      <c r="L659" s="515"/>
      <c r="M659" s="515"/>
      <c r="N659" s="444"/>
      <c r="O659" s="515"/>
      <c r="P659" s="515"/>
    </row>
    <row r="660" spans="1:16" x14ac:dyDescent="0.25">
      <c r="A660" s="424"/>
      <c r="B660" s="439"/>
      <c r="C660" s="529"/>
      <c r="D660" s="529"/>
      <c r="E660" s="444"/>
      <c r="F660" s="439"/>
      <c r="G660" s="444"/>
      <c r="H660" s="444"/>
      <c r="I660" s="444"/>
      <c r="J660" s="515"/>
      <c r="K660" s="444"/>
      <c r="L660" s="515"/>
      <c r="M660" s="515"/>
      <c r="N660" s="444"/>
      <c r="O660" s="515"/>
      <c r="P660" s="515"/>
    </row>
    <row r="661" spans="1:16" x14ac:dyDescent="0.25">
      <c r="A661" s="424"/>
      <c r="B661" s="439"/>
      <c r="C661" s="529"/>
      <c r="D661" s="529"/>
      <c r="E661" s="444"/>
      <c r="F661" s="439"/>
      <c r="G661" s="444"/>
      <c r="H661" s="444"/>
      <c r="I661" s="444"/>
      <c r="J661" s="515"/>
      <c r="K661" s="444"/>
      <c r="L661" s="515"/>
      <c r="M661" s="515"/>
      <c r="N661" s="444"/>
      <c r="O661" s="515"/>
      <c r="P661" s="515"/>
    </row>
    <row r="662" spans="1:16" x14ac:dyDescent="0.25">
      <c r="A662" s="424"/>
      <c r="B662" s="439"/>
      <c r="C662" s="529"/>
      <c r="D662" s="529"/>
      <c r="E662" s="444"/>
      <c r="F662" s="439"/>
      <c r="G662" s="444"/>
      <c r="H662" s="444"/>
      <c r="I662" s="444"/>
      <c r="J662" s="515"/>
      <c r="K662" s="444"/>
      <c r="L662" s="515"/>
      <c r="M662" s="515"/>
      <c r="N662" s="444"/>
      <c r="O662" s="515"/>
      <c r="P662" s="515"/>
    </row>
    <row r="663" spans="1:16" x14ac:dyDescent="0.25">
      <c r="A663" s="424"/>
      <c r="B663" s="439"/>
      <c r="C663" s="529"/>
      <c r="D663" s="529"/>
      <c r="E663" s="444"/>
      <c r="F663" s="439"/>
      <c r="G663" s="444"/>
      <c r="H663" s="444"/>
      <c r="I663" s="444"/>
      <c r="J663" s="515"/>
      <c r="K663" s="444"/>
      <c r="L663" s="515"/>
      <c r="M663" s="515"/>
      <c r="N663" s="444"/>
      <c r="O663" s="515"/>
      <c r="P663" s="515"/>
    </row>
    <row r="664" spans="1:16" x14ac:dyDescent="0.25">
      <c r="A664" s="424"/>
      <c r="B664" s="439"/>
      <c r="C664" s="529"/>
      <c r="D664" s="529"/>
      <c r="E664" s="444"/>
      <c r="F664" s="439"/>
      <c r="G664" s="444"/>
      <c r="H664" s="444"/>
      <c r="I664" s="444"/>
      <c r="J664" s="515"/>
      <c r="K664" s="444"/>
      <c r="L664" s="515"/>
      <c r="M664" s="515"/>
      <c r="N664" s="444"/>
      <c r="O664" s="515"/>
      <c r="P664" s="515"/>
    </row>
    <row r="665" spans="1:16" x14ac:dyDescent="0.25">
      <c r="A665" s="424"/>
      <c r="B665" s="439"/>
      <c r="C665" s="529"/>
      <c r="D665" s="529"/>
      <c r="E665" s="444"/>
      <c r="F665" s="439"/>
      <c r="G665" s="444"/>
      <c r="H665" s="444"/>
      <c r="I665" s="444"/>
      <c r="J665" s="515"/>
      <c r="K665" s="444"/>
      <c r="L665" s="515"/>
      <c r="M665" s="515"/>
      <c r="N665" s="444"/>
      <c r="O665" s="515"/>
      <c r="P665" s="515"/>
    </row>
    <row r="666" spans="1:16" x14ac:dyDescent="0.25">
      <c r="A666" s="424"/>
      <c r="B666" s="439"/>
      <c r="C666" s="529"/>
      <c r="D666" s="529"/>
      <c r="E666" s="444"/>
      <c r="F666" s="439"/>
      <c r="G666" s="444"/>
      <c r="H666" s="444"/>
      <c r="I666" s="444"/>
      <c r="J666" s="515"/>
      <c r="K666" s="444"/>
      <c r="L666" s="515"/>
      <c r="M666" s="515"/>
      <c r="N666" s="444"/>
      <c r="O666" s="515"/>
      <c r="P666" s="515"/>
    </row>
    <row r="667" spans="1:16" x14ac:dyDescent="0.25">
      <c r="A667" s="424"/>
      <c r="B667" s="439"/>
      <c r="C667" s="529"/>
      <c r="D667" s="529"/>
      <c r="E667" s="444"/>
      <c r="F667" s="439"/>
      <c r="G667" s="444"/>
      <c r="H667" s="444"/>
      <c r="I667" s="444"/>
      <c r="J667" s="515"/>
      <c r="K667" s="444"/>
      <c r="L667" s="515"/>
      <c r="M667" s="515"/>
      <c r="N667" s="444"/>
      <c r="O667" s="515"/>
      <c r="P667" s="515"/>
    </row>
    <row r="668" spans="1:16" x14ac:dyDescent="0.25">
      <c r="A668" s="424"/>
      <c r="B668" s="439"/>
      <c r="C668" s="529"/>
      <c r="D668" s="529"/>
      <c r="E668" s="444"/>
      <c r="F668" s="439"/>
      <c r="G668" s="444"/>
      <c r="H668" s="444"/>
      <c r="I668" s="444"/>
      <c r="J668" s="515"/>
      <c r="K668" s="444"/>
      <c r="L668" s="515"/>
      <c r="M668" s="515"/>
      <c r="N668" s="444"/>
      <c r="O668" s="515"/>
      <c r="P668" s="515"/>
    </row>
    <row r="669" spans="1:16" x14ac:dyDescent="0.25">
      <c r="A669" s="424"/>
      <c r="B669" s="439"/>
      <c r="C669" s="529"/>
      <c r="D669" s="529"/>
      <c r="E669" s="444"/>
      <c r="F669" s="439"/>
      <c r="G669" s="444"/>
      <c r="H669" s="444"/>
      <c r="I669" s="444"/>
      <c r="J669" s="515"/>
      <c r="K669" s="444"/>
      <c r="L669" s="515"/>
      <c r="M669" s="515"/>
      <c r="N669" s="444"/>
      <c r="O669" s="515"/>
      <c r="P669" s="515"/>
    </row>
    <row r="670" spans="1:16" x14ac:dyDescent="0.25">
      <c r="A670" s="424"/>
      <c r="B670" s="439"/>
      <c r="C670" s="529"/>
      <c r="D670" s="529"/>
      <c r="E670" s="444"/>
      <c r="F670" s="439"/>
      <c r="G670" s="444"/>
      <c r="H670" s="444"/>
      <c r="I670" s="444"/>
      <c r="J670" s="515"/>
      <c r="K670" s="444"/>
      <c r="L670" s="515"/>
      <c r="M670" s="515"/>
      <c r="N670" s="444"/>
      <c r="O670" s="515"/>
      <c r="P670" s="515"/>
    </row>
    <row r="671" spans="1:16" x14ac:dyDescent="0.25">
      <c r="A671" s="424"/>
      <c r="B671" s="439"/>
      <c r="C671" s="529"/>
      <c r="D671" s="529"/>
      <c r="E671" s="444"/>
      <c r="F671" s="439"/>
      <c r="G671" s="444"/>
      <c r="H671" s="444"/>
      <c r="I671" s="444"/>
      <c r="J671" s="515"/>
      <c r="K671" s="444"/>
      <c r="L671" s="515"/>
      <c r="M671" s="515"/>
      <c r="N671" s="444"/>
      <c r="O671" s="515"/>
      <c r="P671" s="515"/>
    </row>
    <row r="672" spans="1:16" x14ac:dyDescent="0.25">
      <c r="A672" s="424"/>
      <c r="B672" s="439"/>
      <c r="C672" s="529"/>
      <c r="D672" s="529"/>
      <c r="E672" s="444"/>
      <c r="F672" s="439"/>
      <c r="G672" s="444"/>
      <c r="H672" s="444"/>
      <c r="I672" s="444"/>
      <c r="J672" s="515"/>
      <c r="K672" s="444"/>
      <c r="L672" s="515"/>
      <c r="M672" s="515"/>
      <c r="N672" s="444"/>
      <c r="O672" s="515"/>
      <c r="P672" s="515"/>
    </row>
    <row r="673" spans="1:16" x14ac:dyDescent="0.25">
      <c r="A673" s="424"/>
      <c r="B673" s="439"/>
      <c r="C673" s="529"/>
      <c r="D673" s="529"/>
      <c r="E673" s="444"/>
      <c r="F673" s="439"/>
      <c r="G673" s="444"/>
      <c r="H673" s="444"/>
      <c r="I673" s="444"/>
      <c r="J673" s="515"/>
      <c r="K673" s="444"/>
      <c r="L673" s="515"/>
      <c r="M673" s="515"/>
      <c r="N673" s="444"/>
      <c r="O673" s="515"/>
      <c r="P673" s="515"/>
    </row>
    <row r="674" spans="1:16" x14ac:dyDescent="0.25">
      <c r="A674" s="424"/>
      <c r="B674" s="439"/>
      <c r="C674" s="529"/>
      <c r="D674" s="529"/>
      <c r="E674" s="444"/>
      <c r="F674" s="439"/>
      <c r="G674" s="444"/>
      <c r="H674" s="444"/>
      <c r="I674" s="444"/>
      <c r="J674" s="515"/>
      <c r="K674" s="444"/>
      <c r="L674" s="515"/>
      <c r="M674" s="515"/>
      <c r="N674" s="444"/>
      <c r="O674" s="515"/>
      <c r="P674" s="515"/>
    </row>
    <row r="675" spans="1:16" x14ac:dyDescent="0.25">
      <c r="A675" s="424"/>
      <c r="B675" s="439"/>
      <c r="C675" s="529"/>
      <c r="D675" s="529"/>
      <c r="E675" s="444"/>
      <c r="F675" s="439"/>
      <c r="G675" s="444"/>
      <c r="H675" s="444"/>
      <c r="I675" s="444"/>
      <c r="J675" s="515"/>
      <c r="K675" s="444"/>
      <c r="L675" s="515"/>
      <c r="M675" s="515"/>
      <c r="N675" s="444"/>
      <c r="O675" s="515"/>
      <c r="P675" s="515"/>
    </row>
    <row r="676" spans="1:16" x14ac:dyDescent="0.25">
      <c r="A676" s="424"/>
      <c r="B676" s="439"/>
      <c r="C676" s="529"/>
      <c r="D676" s="529"/>
      <c r="E676" s="444"/>
      <c r="F676" s="439"/>
      <c r="G676" s="444"/>
      <c r="H676" s="444"/>
      <c r="I676" s="444"/>
      <c r="J676" s="515"/>
      <c r="K676" s="444"/>
      <c r="L676" s="515"/>
      <c r="M676" s="515"/>
      <c r="N676" s="444"/>
      <c r="O676" s="515"/>
      <c r="P676" s="515"/>
    </row>
    <row r="677" spans="1:16" x14ac:dyDescent="0.25">
      <c r="A677" s="424"/>
      <c r="B677" s="439"/>
      <c r="C677" s="529"/>
      <c r="D677" s="529"/>
      <c r="E677" s="444"/>
      <c r="F677" s="439"/>
      <c r="G677" s="444"/>
      <c r="H677" s="444"/>
      <c r="I677" s="444"/>
      <c r="J677" s="515"/>
      <c r="K677" s="444"/>
      <c r="L677" s="515"/>
      <c r="M677" s="515"/>
      <c r="N677" s="444"/>
      <c r="O677" s="515"/>
      <c r="P677" s="515"/>
    </row>
    <row r="678" spans="1:16" x14ac:dyDescent="0.25">
      <c r="A678" s="424"/>
      <c r="B678" s="439"/>
      <c r="C678" s="529"/>
      <c r="D678" s="529"/>
      <c r="E678" s="444"/>
      <c r="F678" s="439"/>
      <c r="G678" s="444"/>
      <c r="H678" s="444"/>
      <c r="I678" s="444"/>
      <c r="J678" s="515"/>
      <c r="K678" s="444"/>
      <c r="L678" s="515"/>
      <c r="M678" s="515"/>
      <c r="N678" s="444"/>
      <c r="O678" s="515"/>
      <c r="P678" s="515"/>
    </row>
    <row r="679" spans="1:16" x14ac:dyDescent="0.25">
      <c r="A679" s="424"/>
      <c r="B679" s="439"/>
      <c r="C679" s="529"/>
      <c r="D679" s="529"/>
      <c r="E679" s="444"/>
      <c r="F679" s="439"/>
      <c r="G679" s="444"/>
      <c r="H679" s="444"/>
      <c r="I679" s="444"/>
      <c r="J679" s="515"/>
      <c r="K679" s="444"/>
      <c r="L679" s="515"/>
      <c r="M679" s="515"/>
      <c r="N679" s="444"/>
      <c r="O679" s="515"/>
      <c r="P679" s="515"/>
    </row>
    <row r="680" spans="1:16" x14ac:dyDescent="0.25">
      <c r="A680" s="424"/>
      <c r="B680" s="439"/>
      <c r="C680" s="529"/>
      <c r="D680" s="529"/>
      <c r="E680" s="444"/>
      <c r="F680" s="439"/>
      <c r="G680" s="444"/>
      <c r="H680" s="444"/>
      <c r="I680" s="444"/>
      <c r="J680" s="515"/>
      <c r="K680" s="444"/>
      <c r="L680" s="515"/>
      <c r="M680" s="515"/>
      <c r="N680" s="444"/>
      <c r="O680" s="515"/>
      <c r="P680" s="515"/>
    </row>
    <row r="681" spans="1:16" x14ac:dyDescent="0.25">
      <c r="A681" s="424"/>
      <c r="B681" s="439"/>
      <c r="C681" s="529"/>
      <c r="D681" s="529"/>
      <c r="E681" s="444"/>
      <c r="F681" s="439"/>
      <c r="G681" s="444"/>
      <c r="H681" s="444"/>
      <c r="I681" s="444"/>
      <c r="J681" s="515"/>
      <c r="K681" s="444"/>
      <c r="L681" s="515"/>
      <c r="M681" s="515"/>
      <c r="N681" s="444"/>
      <c r="O681" s="515"/>
      <c r="P681" s="515"/>
    </row>
    <row r="682" spans="1:16" x14ac:dyDescent="0.25">
      <c r="A682" s="424"/>
      <c r="B682" s="439"/>
      <c r="C682" s="529"/>
      <c r="D682" s="529"/>
      <c r="E682" s="444"/>
      <c r="F682" s="439"/>
      <c r="G682" s="444"/>
      <c r="H682" s="444"/>
      <c r="I682" s="444"/>
      <c r="J682" s="515"/>
      <c r="K682" s="444"/>
      <c r="L682" s="515"/>
      <c r="M682" s="515"/>
      <c r="N682" s="444"/>
      <c r="O682" s="515"/>
      <c r="P682" s="515"/>
    </row>
    <row r="683" spans="1:16" x14ac:dyDescent="0.25">
      <c r="A683" s="424"/>
      <c r="B683" s="439"/>
      <c r="C683" s="529"/>
      <c r="D683" s="529"/>
      <c r="E683" s="444"/>
      <c r="F683" s="439"/>
      <c r="G683" s="444"/>
      <c r="H683" s="444"/>
      <c r="I683" s="444"/>
      <c r="J683" s="515"/>
      <c r="K683" s="444"/>
      <c r="L683" s="515"/>
      <c r="M683" s="515"/>
      <c r="N683" s="444"/>
      <c r="O683" s="515"/>
      <c r="P683" s="515"/>
    </row>
    <row r="684" spans="1:16" x14ac:dyDescent="0.25">
      <c r="A684" s="424"/>
      <c r="B684" s="439"/>
      <c r="C684" s="529"/>
      <c r="D684" s="529"/>
      <c r="E684" s="444"/>
      <c r="F684" s="439"/>
      <c r="G684" s="444"/>
      <c r="H684" s="444"/>
      <c r="I684" s="444"/>
      <c r="J684" s="515"/>
      <c r="K684" s="444"/>
      <c r="L684" s="515"/>
      <c r="M684" s="515"/>
      <c r="N684" s="444"/>
      <c r="O684" s="515"/>
      <c r="P684" s="515"/>
    </row>
    <row r="685" spans="1:16" x14ac:dyDescent="0.25">
      <c r="A685" s="424"/>
      <c r="B685" s="439"/>
      <c r="C685" s="529"/>
      <c r="D685" s="529"/>
      <c r="E685" s="444"/>
      <c r="F685" s="439"/>
      <c r="G685" s="444"/>
      <c r="H685" s="444"/>
      <c r="I685" s="444"/>
      <c r="J685" s="515"/>
      <c r="K685" s="444"/>
      <c r="L685" s="515"/>
      <c r="M685" s="515"/>
      <c r="N685" s="444"/>
      <c r="O685" s="515"/>
      <c r="P685" s="515"/>
    </row>
    <row r="686" spans="1:16" x14ac:dyDescent="0.25">
      <c r="A686" s="424"/>
      <c r="B686" s="439"/>
      <c r="C686" s="529"/>
      <c r="D686" s="529"/>
      <c r="E686" s="444"/>
      <c r="F686" s="439"/>
      <c r="G686" s="444"/>
      <c r="H686" s="444"/>
      <c r="I686" s="444"/>
      <c r="J686" s="515"/>
      <c r="K686" s="444"/>
      <c r="L686" s="515"/>
      <c r="M686" s="515"/>
      <c r="N686" s="444"/>
      <c r="O686" s="515"/>
      <c r="P686" s="515"/>
    </row>
    <row r="687" spans="1:16" x14ac:dyDescent="0.25">
      <c r="A687" s="424"/>
      <c r="B687" s="439"/>
      <c r="C687" s="529"/>
      <c r="D687" s="529"/>
      <c r="E687" s="444"/>
      <c r="F687" s="439"/>
      <c r="G687" s="444"/>
      <c r="H687" s="444"/>
      <c r="I687" s="444"/>
      <c r="J687" s="515"/>
      <c r="K687" s="444"/>
      <c r="L687" s="515"/>
      <c r="M687" s="515"/>
      <c r="N687" s="444"/>
      <c r="O687" s="515"/>
      <c r="P687" s="515"/>
    </row>
    <row r="688" spans="1:16" x14ac:dyDescent="0.25">
      <c r="A688" s="424"/>
      <c r="B688" s="439"/>
      <c r="C688" s="529"/>
      <c r="D688" s="529"/>
      <c r="E688" s="444"/>
      <c r="F688" s="439"/>
      <c r="G688" s="444"/>
      <c r="H688" s="444"/>
      <c r="I688" s="444"/>
      <c r="J688" s="515"/>
      <c r="K688" s="444"/>
      <c r="L688" s="515"/>
      <c r="M688" s="515"/>
      <c r="N688" s="444"/>
      <c r="O688" s="515"/>
      <c r="P688" s="515"/>
    </row>
    <row r="689" spans="1:16" x14ac:dyDescent="0.25">
      <c r="A689" s="424"/>
      <c r="B689" s="439"/>
      <c r="C689" s="529"/>
      <c r="D689" s="529"/>
      <c r="E689" s="444"/>
      <c r="F689" s="439"/>
      <c r="G689" s="444"/>
      <c r="H689" s="444"/>
      <c r="I689" s="444"/>
      <c r="J689" s="515"/>
      <c r="K689" s="444"/>
      <c r="L689" s="515"/>
      <c r="M689" s="515"/>
      <c r="N689" s="444"/>
      <c r="O689" s="515"/>
      <c r="P689" s="515"/>
    </row>
    <row r="690" spans="1:16" x14ac:dyDescent="0.25">
      <c r="A690" s="424"/>
      <c r="B690" s="439"/>
      <c r="C690" s="529"/>
      <c r="D690" s="529"/>
      <c r="E690" s="444"/>
      <c r="F690" s="439"/>
      <c r="G690" s="444"/>
      <c r="H690" s="444"/>
      <c r="I690" s="444"/>
      <c r="J690" s="515"/>
      <c r="K690" s="444"/>
      <c r="L690" s="515"/>
      <c r="M690" s="515"/>
      <c r="N690" s="444"/>
      <c r="O690" s="515"/>
      <c r="P690" s="515"/>
    </row>
    <row r="691" spans="1:16" x14ac:dyDescent="0.25">
      <c r="A691" s="424"/>
      <c r="B691" s="439"/>
      <c r="C691" s="529"/>
      <c r="D691" s="529"/>
      <c r="E691" s="444"/>
      <c r="F691" s="439"/>
      <c r="G691" s="444"/>
      <c r="H691" s="444"/>
      <c r="I691" s="444"/>
      <c r="J691" s="515"/>
      <c r="K691" s="444"/>
      <c r="L691" s="515"/>
      <c r="M691" s="515"/>
      <c r="N691" s="444"/>
      <c r="O691" s="515"/>
      <c r="P691" s="515"/>
    </row>
    <row r="692" spans="1:16" x14ac:dyDescent="0.25">
      <c r="A692" s="424"/>
      <c r="B692" s="439"/>
      <c r="C692" s="529"/>
      <c r="D692" s="529"/>
      <c r="E692" s="444"/>
      <c r="F692" s="439"/>
      <c r="G692" s="444"/>
      <c r="H692" s="444"/>
      <c r="I692" s="444"/>
      <c r="J692" s="515"/>
      <c r="K692" s="444"/>
      <c r="L692" s="515"/>
      <c r="M692" s="515"/>
      <c r="N692" s="444"/>
      <c r="O692" s="515"/>
      <c r="P692" s="515"/>
    </row>
    <row r="693" spans="1:16" x14ac:dyDescent="0.25">
      <c r="A693" s="424"/>
      <c r="B693" s="439"/>
      <c r="C693" s="529"/>
      <c r="D693" s="529"/>
      <c r="E693" s="444"/>
      <c r="F693" s="439"/>
      <c r="G693" s="444"/>
      <c r="H693" s="444"/>
      <c r="I693" s="444"/>
      <c r="J693" s="515"/>
      <c r="K693" s="444"/>
      <c r="L693" s="515"/>
      <c r="M693" s="515"/>
      <c r="N693" s="444"/>
      <c r="O693" s="515"/>
      <c r="P693" s="515"/>
    </row>
    <row r="694" spans="1:16" x14ac:dyDescent="0.25">
      <c r="A694" s="424"/>
      <c r="B694" s="439"/>
      <c r="C694" s="529"/>
      <c r="D694" s="529"/>
      <c r="E694" s="444"/>
      <c r="F694" s="439"/>
      <c r="G694" s="444"/>
      <c r="H694" s="444"/>
      <c r="I694" s="444"/>
      <c r="J694" s="515"/>
      <c r="K694" s="444"/>
      <c r="L694" s="515"/>
      <c r="M694" s="515"/>
      <c r="N694" s="444"/>
      <c r="O694" s="515"/>
      <c r="P694" s="515"/>
    </row>
    <row r="695" spans="1:16" x14ac:dyDescent="0.25">
      <c r="A695" s="424"/>
      <c r="B695" s="439"/>
      <c r="C695" s="529"/>
      <c r="D695" s="529"/>
      <c r="E695" s="444"/>
      <c r="F695" s="439"/>
      <c r="G695" s="444"/>
      <c r="H695" s="444"/>
      <c r="I695" s="444"/>
      <c r="J695" s="515"/>
      <c r="K695" s="444"/>
      <c r="L695" s="515"/>
      <c r="M695" s="515"/>
      <c r="N695" s="444"/>
      <c r="O695" s="515"/>
      <c r="P695" s="515"/>
    </row>
    <row r="696" spans="1:16" x14ac:dyDescent="0.25">
      <c r="A696" s="424"/>
      <c r="B696" s="439"/>
      <c r="C696" s="529"/>
      <c r="D696" s="529"/>
      <c r="E696" s="444"/>
      <c r="F696" s="439"/>
      <c r="G696" s="444"/>
      <c r="H696" s="444"/>
      <c r="I696" s="444"/>
      <c r="J696" s="515"/>
      <c r="K696" s="444"/>
      <c r="L696" s="515"/>
      <c r="M696" s="515"/>
      <c r="N696" s="444"/>
      <c r="O696" s="515"/>
      <c r="P696" s="515"/>
    </row>
    <row r="697" spans="1:16" x14ac:dyDescent="0.25">
      <c r="A697" s="424"/>
      <c r="B697" s="439"/>
      <c r="C697" s="529"/>
      <c r="D697" s="529"/>
      <c r="E697" s="444"/>
      <c r="F697" s="439"/>
      <c r="G697" s="444"/>
      <c r="H697" s="444"/>
      <c r="I697" s="444"/>
      <c r="J697" s="515"/>
      <c r="K697" s="444"/>
      <c r="L697" s="515"/>
      <c r="M697" s="515"/>
      <c r="N697" s="444"/>
      <c r="O697" s="515"/>
      <c r="P697" s="515"/>
    </row>
    <row r="698" spans="1:16" x14ac:dyDescent="0.25">
      <c r="A698" s="424"/>
      <c r="B698" s="439"/>
      <c r="C698" s="529"/>
      <c r="D698" s="529"/>
      <c r="E698" s="444"/>
      <c r="F698" s="439"/>
      <c r="G698" s="444"/>
      <c r="H698" s="444"/>
      <c r="I698" s="444"/>
      <c r="J698" s="515"/>
      <c r="K698" s="444"/>
      <c r="L698" s="515"/>
      <c r="M698" s="515"/>
      <c r="N698" s="444"/>
      <c r="O698" s="515"/>
      <c r="P698" s="515"/>
    </row>
    <row r="699" spans="1:16" x14ac:dyDescent="0.25">
      <c r="A699" s="424"/>
      <c r="B699" s="439"/>
      <c r="C699" s="529"/>
      <c r="D699" s="529"/>
      <c r="E699" s="444"/>
      <c r="F699" s="439"/>
      <c r="G699" s="444"/>
      <c r="H699" s="444"/>
      <c r="I699" s="444"/>
      <c r="J699" s="515"/>
      <c r="K699" s="444"/>
      <c r="L699" s="515"/>
      <c r="M699" s="515"/>
      <c r="N699" s="444"/>
      <c r="O699" s="515"/>
      <c r="P699" s="515"/>
    </row>
    <row r="700" spans="1:16" x14ac:dyDescent="0.25">
      <c r="A700" s="424"/>
      <c r="B700" s="439"/>
      <c r="C700" s="529"/>
      <c r="D700" s="529"/>
      <c r="E700" s="444"/>
      <c r="F700" s="439"/>
      <c r="G700" s="444"/>
      <c r="H700" s="444"/>
      <c r="I700" s="444"/>
      <c r="J700" s="515"/>
      <c r="K700" s="444"/>
      <c r="L700" s="515"/>
      <c r="M700" s="515"/>
      <c r="N700" s="444"/>
      <c r="O700" s="515"/>
      <c r="P700" s="515"/>
    </row>
    <row r="701" spans="1:16" x14ac:dyDescent="0.25">
      <c r="A701" s="424"/>
      <c r="B701" s="439"/>
      <c r="C701" s="529"/>
      <c r="D701" s="529"/>
      <c r="E701" s="444"/>
      <c r="F701" s="439"/>
      <c r="G701" s="444"/>
      <c r="H701" s="444"/>
      <c r="I701" s="444"/>
      <c r="J701" s="515"/>
      <c r="K701" s="444"/>
      <c r="L701" s="515"/>
      <c r="M701" s="515"/>
      <c r="N701" s="444"/>
      <c r="O701" s="515"/>
      <c r="P701" s="515"/>
    </row>
    <row r="702" spans="1:16" x14ac:dyDescent="0.25">
      <c r="A702" s="424"/>
      <c r="B702" s="439"/>
      <c r="C702" s="529"/>
      <c r="D702" s="529"/>
      <c r="E702" s="444"/>
      <c r="F702" s="439"/>
      <c r="G702" s="444"/>
      <c r="H702" s="444"/>
      <c r="I702" s="444"/>
      <c r="J702" s="515"/>
      <c r="K702" s="444"/>
      <c r="L702" s="515"/>
      <c r="M702" s="515"/>
      <c r="N702" s="444"/>
      <c r="O702" s="515"/>
      <c r="P702" s="515"/>
    </row>
    <row r="703" spans="1:16" x14ac:dyDescent="0.25">
      <c r="A703" s="424"/>
      <c r="B703" s="439"/>
      <c r="C703" s="529"/>
      <c r="D703" s="529"/>
      <c r="E703" s="444"/>
      <c r="F703" s="439"/>
      <c r="G703" s="444"/>
      <c r="H703" s="444"/>
      <c r="I703" s="444"/>
      <c r="J703" s="515"/>
      <c r="K703" s="444"/>
      <c r="L703" s="515"/>
      <c r="M703" s="515"/>
      <c r="N703" s="444"/>
      <c r="O703" s="515"/>
      <c r="P703" s="515"/>
    </row>
    <row r="704" spans="1:16" x14ac:dyDescent="0.25">
      <c r="A704" s="424"/>
      <c r="B704" s="439"/>
      <c r="C704" s="529"/>
      <c r="D704" s="529"/>
      <c r="E704" s="444"/>
      <c r="F704" s="439"/>
      <c r="G704" s="444"/>
      <c r="H704" s="444"/>
      <c r="I704" s="444"/>
      <c r="J704" s="515"/>
      <c r="K704" s="444"/>
      <c r="L704" s="515"/>
      <c r="M704" s="515"/>
      <c r="N704" s="444"/>
      <c r="O704" s="515"/>
      <c r="P704" s="515"/>
    </row>
    <row r="705" spans="1:16" x14ac:dyDescent="0.25">
      <c r="A705" s="424"/>
      <c r="B705" s="439"/>
      <c r="C705" s="529"/>
      <c r="D705" s="529"/>
      <c r="E705" s="444"/>
      <c r="F705" s="439"/>
      <c r="G705" s="444"/>
      <c r="H705" s="444"/>
      <c r="I705" s="444"/>
      <c r="J705" s="515"/>
      <c r="K705" s="444"/>
      <c r="L705" s="515"/>
      <c r="M705" s="515"/>
      <c r="N705" s="444"/>
      <c r="O705" s="515"/>
      <c r="P705" s="515"/>
    </row>
    <row r="706" spans="1:16" x14ac:dyDescent="0.25">
      <c r="A706" s="424"/>
      <c r="B706" s="439"/>
      <c r="C706" s="529"/>
      <c r="D706" s="529"/>
      <c r="E706" s="444"/>
      <c r="F706" s="439"/>
      <c r="G706" s="444"/>
      <c r="H706" s="444"/>
      <c r="I706" s="444"/>
      <c r="J706" s="515"/>
      <c r="K706" s="444"/>
      <c r="L706" s="515"/>
      <c r="M706" s="515"/>
      <c r="N706" s="444"/>
      <c r="O706" s="515"/>
      <c r="P706" s="515"/>
    </row>
    <row r="707" spans="1:16" x14ac:dyDescent="0.25">
      <c r="A707" s="424"/>
      <c r="B707" s="439"/>
      <c r="C707" s="529"/>
      <c r="D707" s="529"/>
      <c r="E707" s="444"/>
      <c r="F707" s="439"/>
      <c r="G707" s="444"/>
      <c r="H707" s="444"/>
      <c r="I707" s="444"/>
      <c r="J707" s="515"/>
      <c r="K707" s="444"/>
      <c r="L707" s="515"/>
      <c r="M707" s="515"/>
      <c r="N707" s="444"/>
      <c r="O707" s="515"/>
      <c r="P707" s="515"/>
    </row>
    <row r="708" spans="1:16" x14ac:dyDescent="0.25">
      <c r="A708" s="424"/>
      <c r="B708" s="439"/>
      <c r="C708" s="529"/>
      <c r="D708" s="529"/>
      <c r="E708" s="444"/>
      <c r="F708" s="439"/>
      <c r="G708" s="444"/>
      <c r="H708" s="444"/>
      <c r="I708" s="444"/>
      <c r="J708" s="515"/>
      <c r="K708" s="444"/>
      <c r="L708" s="515"/>
      <c r="M708" s="515"/>
      <c r="N708" s="444"/>
      <c r="O708" s="515"/>
      <c r="P708" s="515"/>
    </row>
    <row r="709" spans="1:16" x14ac:dyDescent="0.25">
      <c r="A709" s="424"/>
      <c r="B709" s="439"/>
      <c r="C709" s="529"/>
      <c r="D709" s="529"/>
      <c r="E709" s="444"/>
      <c r="F709" s="439"/>
      <c r="G709" s="444"/>
      <c r="H709" s="444"/>
      <c r="I709" s="444"/>
      <c r="J709" s="515"/>
      <c r="K709" s="444"/>
      <c r="L709" s="515"/>
      <c r="M709" s="515"/>
      <c r="N709" s="444"/>
      <c r="O709" s="515"/>
      <c r="P709" s="515"/>
    </row>
    <row r="710" spans="1:16" x14ac:dyDescent="0.25">
      <c r="A710" s="424"/>
      <c r="B710" s="439"/>
      <c r="C710" s="529"/>
      <c r="D710" s="529"/>
      <c r="E710" s="444"/>
      <c r="F710" s="439"/>
      <c r="G710" s="444"/>
      <c r="H710" s="444"/>
      <c r="I710" s="444"/>
      <c r="J710" s="515"/>
      <c r="K710" s="444"/>
      <c r="L710" s="515"/>
      <c r="M710" s="515"/>
      <c r="N710" s="444"/>
      <c r="O710" s="515"/>
      <c r="P710" s="515"/>
    </row>
    <row r="711" spans="1:16" x14ac:dyDescent="0.25">
      <c r="A711" s="424"/>
      <c r="B711" s="439"/>
      <c r="C711" s="529"/>
      <c r="D711" s="529"/>
      <c r="E711" s="444"/>
      <c r="F711" s="439"/>
      <c r="G711" s="444"/>
      <c r="H711" s="444"/>
      <c r="I711" s="444"/>
      <c r="J711" s="515"/>
      <c r="K711" s="444"/>
      <c r="L711" s="515"/>
      <c r="M711" s="515"/>
      <c r="N711" s="444"/>
      <c r="O711" s="515"/>
      <c r="P711" s="515"/>
    </row>
    <row r="712" spans="1:16" x14ac:dyDescent="0.25">
      <c r="A712" s="424"/>
      <c r="B712" s="439"/>
      <c r="C712" s="529"/>
      <c r="D712" s="529"/>
      <c r="E712" s="444"/>
      <c r="F712" s="439"/>
      <c r="G712" s="444"/>
      <c r="H712" s="444"/>
      <c r="I712" s="444"/>
      <c r="J712" s="515"/>
      <c r="K712" s="444"/>
      <c r="L712" s="515"/>
      <c r="M712" s="515"/>
      <c r="N712" s="444"/>
      <c r="O712" s="515"/>
      <c r="P712" s="515"/>
    </row>
    <row r="713" spans="1:16" x14ac:dyDescent="0.25">
      <c r="A713" s="424"/>
      <c r="B713" s="439"/>
      <c r="C713" s="529"/>
      <c r="D713" s="529"/>
      <c r="E713" s="444"/>
      <c r="F713" s="439"/>
      <c r="G713" s="444"/>
      <c r="H713" s="444"/>
      <c r="I713" s="444"/>
      <c r="J713" s="515"/>
      <c r="K713" s="444"/>
      <c r="L713" s="515"/>
      <c r="M713" s="515"/>
      <c r="N713" s="444"/>
      <c r="O713" s="515"/>
      <c r="P713" s="515"/>
    </row>
    <row r="714" spans="1:16" x14ac:dyDescent="0.25">
      <c r="A714" s="424"/>
      <c r="B714" s="439"/>
      <c r="C714" s="529"/>
      <c r="D714" s="529"/>
      <c r="E714" s="444"/>
      <c r="F714" s="439"/>
      <c r="G714" s="444"/>
      <c r="H714" s="444"/>
      <c r="I714" s="444"/>
      <c r="J714" s="515"/>
      <c r="K714" s="444"/>
      <c r="L714" s="515"/>
      <c r="M714" s="515"/>
      <c r="N714" s="444"/>
      <c r="O714" s="515"/>
      <c r="P714" s="515"/>
    </row>
    <row r="715" spans="1:16" x14ac:dyDescent="0.25">
      <c r="A715" s="424"/>
      <c r="B715" s="439"/>
      <c r="C715" s="529"/>
      <c r="D715" s="529"/>
      <c r="E715" s="444"/>
      <c r="F715" s="439"/>
      <c r="G715" s="444"/>
      <c r="H715" s="444"/>
      <c r="I715" s="444"/>
      <c r="J715" s="515"/>
      <c r="K715" s="444"/>
      <c r="L715" s="515"/>
      <c r="M715" s="515"/>
      <c r="N715" s="444"/>
      <c r="O715" s="515"/>
      <c r="P715" s="515"/>
    </row>
    <row r="716" spans="1:16" x14ac:dyDescent="0.25">
      <c r="A716" s="424"/>
      <c r="B716" s="439"/>
      <c r="C716" s="529"/>
      <c r="D716" s="529"/>
      <c r="E716" s="444"/>
      <c r="F716" s="439"/>
      <c r="G716" s="444"/>
      <c r="H716" s="444"/>
      <c r="I716" s="444"/>
      <c r="J716" s="515"/>
      <c r="K716" s="444"/>
      <c r="L716" s="515"/>
      <c r="M716" s="515"/>
      <c r="N716" s="444"/>
      <c r="O716" s="515"/>
      <c r="P716" s="515"/>
    </row>
    <row r="717" spans="1:16" x14ac:dyDescent="0.25">
      <c r="A717" s="424"/>
      <c r="B717" s="439"/>
      <c r="C717" s="529"/>
      <c r="D717" s="529"/>
      <c r="E717" s="444"/>
      <c r="F717" s="439"/>
      <c r="G717" s="444"/>
      <c r="H717" s="444"/>
      <c r="I717" s="444"/>
      <c r="J717" s="515"/>
      <c r="K717" s="444"/>
      <c r="L717" s="515"/>
      <c r="M717" s="515"/>
      <c r="N717" s="444"/>
      <c r="O717" s="515"/>
      <c r="P717" s="515"/>
    </row>
    <row r="718" spans="1:16" x14ac:dyDescent="0.25">
      <c r="A718" s="424"/>
      <c r="B718" s="439"/>
      <c r="C718" s="529"/>
      <c r="D718" s="529"/>
      <c r="E718" s="444"/>
      <c r="F718" s="439"/>
      <c r="G718" s="444"/>
      <c r="H718" s="444"/>
      <c r="I718" s="444"/>
      <c r="J718" s="515"/>
      <c r="K718" s="444"/>
      <c r="L718" s="515"/>
      <c r="M718" s="515"/>
      <c r="N718" s="444"/>
      <c r="O718" s="515"/>
      <c r="P718" s="515"/>
    </row>
    <row r="719" spans="1:16" x14ac:dyDescent="0.25">
      <c r="A719" s="424"/>
      <c r="B719" s="439"/>
      <c r="C719" s="529"/>
      <c r="D719" s="529"/>
      <c r="E719" s="444"/>
      <c r="F719" s="439"/>
      <c r="G719" s="444"/>
      <c r="H719" s="444"/>
      <c r="I719" s="444"/>
      <c r="J719" s="515"/>
      <c r="K719" s="444"/>
      <c r="L719" s="515"/>
      <c r="M719" s="515"/>
      <c r="N719" s="444"/>
      <c r="O719" s="515"/>
      <c r="P719" s="515"/>
    </row>
    <row r="720" spans="1:16" x14ac:dyDescent="0.25">
      <c r="A720" s="424"/>
      <c r="B720" s="439"/>
      <c r="C720" s="529"/>
      <c r="D720" s="529"/>
      <c r="E720" s="444"/>
      <c r="F720" s="439"/>
      <c r="G720" s="444"/>
      <c r="H720" s="444"/>
      <c r="I720" s="444"/>
      <c r="J720" s="515"/>
      <c r="K720" s="444"/>
      <c r="L720" s="515"/>
      <c r="M720" s="515"/>
      <c r="N720" s="444"/>
      <c r="O720" s="515"/>
      <c r="P720" s="515"/>
    </row>
    <row r="721" spans="1:16" x14ac:dyDescent="0.25">
      <c r="A721" s="424"/>
      <c r="B721" s="439"/>
      <c r="C721" s="529"/>
      <c r="D721" s="529"/>
      <c r="E721" s="444"/>
      <c r="F721" s="439"/>
      <c r="G721" s="444"/>
      <c r="H721" s="444"/>
      <c r="I721" s="444"/>
      <c r="J721" s="515"/>
      <c r="K721" s="444"/>
      <c r="L721" s="515"/>
      <c r="M721" s="515"/>
      <c r="N721" s="444"/>
      <c r="O721" s="515"/>
      <c r="P721" s="515"/>
    </row>
    <row r="722" spans="1:16" x14ac:dyDescent="0.25">
      <c r="A722" s="424"/>
      <c r="B722" s="439"/>
      <c r="C722" s="529"/>
      <c r="D722" s="529"/>
      <c r="E722" s="444"/>
      <c r="F722" s="439"/>
      <c r="G722" s="444"/>
      <c r="H722" s="444"/>
      <c r="I722" s="444"/>
      <c r="J722" s="515"/>
      <c r="K722" s="444"/>
      <c r="L722" s="515"/>
      <c r="M722" s="515"/>
      <c r="N722" s="444"/>
      <c r="O722" s="515"/>
      <c r="P722" s="515"/>
    </row>
    <row r="723" spans="1:16" x14ac:dyDescent="0.25">
      <c r="A723" s="424"/>
      <c r="B723" s="439"/>
      <c r="C723" s="529"/>
      <c r="D723" s="529"/>
      <c r="E723" s="444"/>
      <c r="F723" s="439"/>
      <c r="G723" s="444"/>
      <c r="H723" s="444"/>
      <c r="I723" s="444"/>
      <c r="J723" s="515"/>
      <c r="K723" s="444"/>
      <c r="L723" s="515"/>
      <c r="M723" s="515"/>
      <c r="N723" s="444"/>
      <c r="O723" s="515"/>
      <c r="P723" s="515"/>
    </row>
    <row r="724" spans="1:16" x14ac:dyDescent="0.25">
      <c r="A724" s="424"/>
      <c r="B724" s="439"/>
      <c r="C724" s="529"/>
      <c r="D724" s="529"/>
      <c r="E724" s="444"/>
      <c r="F724" s="439"/>
      <c r="G724" s="444"/>
      <c r="H724" s="444"/>
      <c r="I724" s="444"/>
      <c r="J724" s="515"/>
      <c r="K724" s="444"/>
      <c r="L724" s="515"/>
      <c r="M724" s="515"/>
      <c r="N724" s="444"/>
      <c r="O724" s="515"/>
      <c r="P724" s="515"/>
    </row>
    <row r="725" spans="1:16" x14ac:dyDescent="0.25">
      <c r="A725" s="424"/>
      <c r="B725" s="439"/>
      <c r="C725" s="529"/>
      <c r="D725" s="529"/>
      <c r="E725" s="444"/>
      <c r="F725" s="439"/>
      <c r="G725" s="444"/>
      <c r="H725" s="444"/>
      <c r="I725" s="444"/>
      <c r="J725" s="515"/>
      <c r="K725" s="444"/>
      <c r="L725" s="515"/>
      <c r="M725" s="515"/>
      <c r="N725" s="444"/>
      <c r="O725" s="515"/>
      <c r="P725" s="515"/>
    </row>
    <row r="726" spans="1:16" x14ac:dyDescent="0.25">
      <c r="A726" s="424"/>
      <c r="B726" s="439"/>
      <c r="C726" s="529"/>
      <c r="D726" s="529"/>
      <c r="E726" s="444"/>
      <c r="F726" s="439"/>
      <c r="G726" s="444"/>
      <c r="H726" s="444"/>
      <c r="I726" s="444"/>
      <c r="J726" s="515"/>
      <c r="K726" s="444"/>
      <c r="L726" s="515"/>
      <c r="M726" s="515"/>
      <c r="N726" s="444"/>
      <c r="O726" s="515"/>
      <c r="P726" s="515"/>
    </row>
    <row r="727" spans="1:16" x14ac:dyDescent="0.25">
      <c r="A727" s="424"/>
      <c r="B727" s="439"/>
      <c r="C727" s="529"/>
      <c r="D727" s="529"/>
      <c r="E727" s="444"/>
      <c r="F727" s="439"/>
      <c r="G727" s="444"/>
      <c r="H727" s="444"/>
      <c r="I727" s="444"/>
      <c r="J727" s="515"/>
      <c r="K727" s="444"/>
      <c r="L727" s="515"/>
      <c r="M727" s="515"/>
      <c r="N727" s="444"/>
      <c r="O727" s="515"/>
      <c r="P727" s="515"/>
    </row>
    <row r="728" spans="1:16" x14ac:dyDescent="0.25">
      <c r="A728" s="424"/>
      <c r="B728" s="439"/>
      <c r="C728" s="529"/>
      <c r="D728" s="529"/>
      <c r="E728" s="444"/>
      <c r="F728" s="439"/>
      <c r="G728" s="444"/>
      <c r="H728" s="444"/>
      <c r="I728" s="444"/>
      <c r="J728" s="515"/>
      <c r="K728" s="444"/>
      <c r="L728" s="515"/>
      <c r="M728" s="515"/>
      <c r="N728" s="444"/>
      <c r="O728" s="515"/>
      <c r="P728" s="515"/>
    </row>
    <row r="729" spans="1:16" x14ac:dyDescent="0.25">
      <c r="A729" s="424"/>
      <c r="B729" s="439"/>
      <c r="C729" s="529"/>
      <c r="D729" s="529"/>
      <c r="E729" s="444"/>
      <c r="F729" s="439"/>
      <c r="G729" s="444"/>
      <c r="H729" s="444"/>
      <c r="I729" s="444"/>
      <c r="J729" s="515"/>
      <c r="K729" s="444"/>
      <c r="L729" s="515"/>
      <c r="M729" s="515"/>
      <c r="N729" s="444"/>
      <c r="O729" s="515"/>
      <c r="P729" s="515"/>
    </row>
    <row r="730" spans="1:16" x14ac:dyDescent="0.25">
      <c r="A730" s="424"/>
      <c r="B730" s="439"/>
      <c r="C730" s="529"/>
      <c r="D730" s="529"/>
      <c r="E730" s="444"/>
      <c r="F730" s="439"/>
      <c r="G730" s="444"/>
      <c r="H730" s="444"/>
      <c r="I730" s="444"/>
      <c r="J730" s="515"/>
      <c r="K730" s="444"/>
      <c r="L730" s="515"/>
      <c r="M730" s="515"/>
      <c r="N730" s="444"/>
      <c r="O730" s="515"/>
      <c r="P730" s="515"/>
    </row>
    <row r="731" spans="1:16" x14ac:dyDescent="0.25">
      <c r="A731" s="424"/>
      <c r="B731" s="439"/>
      <c r="C731" s="529"/>
      <c r="D731" s="529"/>
      <c r="E731" s="444"/>
      <c r="F731" s="439"/>
      <c r="G731" s="444"/>
      <c r="H731" s="444"/>
      <c r="I731" s="444"/>
      <c r="J731" s="515"/>
      <c r="K731" s="444"/>
      <c r="L731" s="515"/>
      <c r="M731" s="515"/>
      <c r="N731" s="444"/>
      <c r="O731" s="515"/>
      <c r="P731" s="515"/>
    </row>
    <row r="732" spans="1:16" x14ac:dyDescent="0.25">
      <c r="A732" s="424"/>
      <c r="B732" s="439"/>
      <c r="C732" s="529"/>
      <c r="D732" s="529"/>
      <c r="E732" s="444"/>
      <c r="F732" s="439"/>
      <c r="G732" s="444"/>
      <c r="H732" s="444"/>
      <c r="I732" s="444"/>
      <c r="J732" s="515"/>
      <c r="K732" s="444"/>
      <c r="L732" s="515"/>
      <c r="M732" s="515"/>
      <c r="N732" s="444"/>
      <c r="O732" s="515"/>
      <c r="P732" s="515"/>
    </row>
    <row r="733" spans="1:16" x14ac:dyDescent="0.25">
      <c r="A733" s="424"/>
      <c r="B733" s="439"/>
      <c r="C733" s="529"/>
      <c r="D733" s="529"/>
      <c r="E733" s="444"/>
      <c r="F733" s="439"/>
      <c r="G733" s="444"/>
      <c r="H733" s="444"/>
      <c r="I733" s="444"/>
      <c r="J733" s="515"/>
      <c r="K733" s="444"/>
      <c r="L733" s="515"/>
      <c r="M733" s="515"/>
      <c r="N733" s="444"/>
      <c r="O733" s="515"/>
      <c r="P733" s="515"/>
    </row>
    <row r="734" spans="1:16" x14ac:dyDescent="0.25">
      <c r="A734" s="424"/>
      <c r="B734" s="439"/>
      <c r="C734" s="529"/>
      <c r="D734" s="529"/>
      <c r="E734" s="444"/>
      <c r="F734" s="439"/>
      <c r="G734" s="444"/>
      <c r="H734" s="444"/>
      <c r="I734" s="444"/>
      <c r="J734" s="515"/>
      <c r="K734" s="444"/>
      <c r="L734" s="515"/>
      <c r="M734" s="515"/>
      <c r="N734" s="444"/>
      <c r="O734" s="515"/>
      <c r="P734" s="515"/>
    </row>
    <row r="735" spans="1:16" x14ac:dyDescent="0.25">
      <c r="A735" s="424"/>
      <c r="B735" s="439"/>
      <c r="C735" s="529"/>
      <c r="D735" s="529"/>
      <c r="E735" s="444"/>
      <c r="F735" s="439"/>
      <c r="G735" s="444"/>
      <c r="H735" s="444"/>
      <c r="I735" s="444"/>
      <c r="J735" s="515"/>
      <c r="K735" s="444"/>
      <c r="L735" s="515"/>
      <c r="M735" s="515"/>
      <c r="N735" s="444"/>
      <c r="O735" s="515"/>
      <c r="P735" s="515"/>
    </row>
    <row r="736" spans="1:16" x14ac:dyDescent="0.25">
      <c r="A736" s="424"/>
      <c r="B736" s="439"/>
      <c r="C736" s="529"/>
      <c r="D736" s="529"/>
      <c r="E736" s="444"/>
      <c r="F736" s="439"/>
      <c r="G736" s="444"/>
      <c r="H736" s="444"/>
      <c r="I736" s="444"/>
      <c r="J736" s="515"/>
      <c r="K736" s="444"/>
      <c r="L736" s="515"/>
      <c r="M736" s="515"/>
      <c r="N736" s="444"/>
      <c r="O736" s="515"/>
      <c r="P736" s="515"/>
    </row>
    <row r="737" spans="1:16" x14ac:dyDescent="0.25">
      <c r="A737" s="424"/>
      <c r="B737" s="439"/>
      <c r="C737" s="529"/>
      <c r="D737" s="529"/>
      <c r="E737" s="444"/>
      <c r="F737" s="439"/>
      <c r="G737" s="444"/>
      <c r="H737" s="444"/>
      <c r="I737" s="444"/>
      <c r="J737" s="515"/>
      <c r="K737" s="444"/>
      <c r="L737" s="515"/>
      <c r="M737" s="515"/>
      <c r="N737" s="444"/>
      <c r="O737" s="515"/>
      <c r="P737" s="515"/>
    </row>
    <row r="738" spans="1:16" x14ac:dyDescent="0.25">
      <c r="A738" s="424"/>
      <c r="B738" s="439"/>
      <c r="C738" s="529"/>
      <c r="D738" s="529"/>
      <c r="E738" s="444"/>
      <c r="F738" s="439"/>
      <c r="G738" s="444"/>
      <c r="H738" s="444"/>
      <c r="I738" s="444"/>
      <c r="J738" s="515"/>
      <c r="K738" s="444"/>
      <c r="L738" s="515"/>
      <c r="M738" s="515"/>
      <c r="N738" s="444"/>
      <c r="O738" s="515"/>
      <c r="P738" s="515"/>
    </row>
    <row r="739" spans="1:16" x14ac:dyDescent="0.25">
      <c r="A739" s="424"/>
      <c r="B739" s="439"/>
      <c r="C739" s="529"/>
      <c r="D739" s="529"/>
      <c r="E739" s="444"/>
      <c r="F739" s="439"/>
      <c r="G739" s="444"/>
      <c r="H739" s="444"/>
      <c r="I739" s="444"/>
      <c r="J739" s="515"/>
      <c r="K739" s="444"/>
      <c r="L739" s="515"/>
      <c r="M739" s="515"/>
      <c r="N739" s="444"/>
      <c r="O739" s="515"/>
      <c r="P739" s="515"/>
    </row>
    <row r="740" spans="1:16" x14ac:dyDescent="0.25">
      <c r="A740" s="424"/>
      <c r="B740" s="439"/>
      <c r="C740" s="529"/>
      <c r="D740" s="529"/>
      <c r="E740" s="444"/>
      <c r="F740" s="439"/>
      <c r="G740" s="444"/>
      <c r="H740" s="444"/>
      <c r="I740" s="444"/>
      <c r="J740" s="515"/>
      <c r="K740" s="444"/>
      <c r="L740" s="515"/>
      <c r="M740" s="515"/>
      <c r="N740" s="444"/>
      <c r="O740" s="515"/>
      <c r="P740" s="515"/>
    </row>
    <row r="741" spans="1:16" x14ac:dyDescent="0.25">
      <c r="A741" s="424"/>
      <c r="B741" s="439"/>
      <c r="C741" s="529"/>
      <c r="D741" s="529"/>
      <c r="E741" s="444"/>
      <c r="F741" s="439"/>
      <c r="G741" s="444"/>
      <c r="H741" s="444"/>
      <c r="I741" s="444"/>
      <c r="J741" s="515"/>
      <c r="K741" s="444"/>
      <c r="L741" s="515"/>
      <c r="M741" s="515"/>
      <c r="N741" s="444"/>
      <c r="O741" s="515"/>
      <c r="P741" s="515"/>
    </row>
    <row r="742" spans="1:16" x14ac:dyDescent="0.25">
      <c r="A742" s="424"/>
      <c r="B742" s="439"/>
      <c r="C742" s="529"/>
      <c r="D742" s="529"/>
      <c r="E742" s="444"/>
      <c r="F742" s="439"/>
      <c r="G742" s="444"/>
      <c r="H742" s="444"/>
      <c r="I742" s="444"/>
      <c r="J742" s="515"/>
      <c r="K742" s="444"/>
      <c r="L742" s="515"/>
      <c r="M742" s="515"/>
      <c r="N742" s="444"/>
      <c r="O742" s="515"/>
      <c r="P742" s="515"/>
    </row>
    <row r="743" spans="1:16" x14ac:dyDescent="0.25">
      <c r="A743" s="424"/>
      <c r="B743" s="439"/>
      <c r="C743" s="529"/>
      <c r="D743" s="529"/>
      <c r="E743" s="444"/>
      <c r="F743" s="439"/>
      <c r="G743" s="444"/>
      <c r="H743" s="444"/>
      <c r="I743" s="444"/>
      <c r="J743" s="515"/>
      <c r="K743" s="444"/>
      <c r="L743" s="515"/>
      <c r="M743" s="515"/>
      <c r="N743" s="444"/>
      <c r="O743" s="515"/>
      <c r="P743" s="515"/>
    </row>
    <row r="744" spans="1:16" x14ac:dyDescent="0.25">
      <c r="A744" s="424"/>
      <c r="B744" s="439"/>
      <c r="C744" s="529"/>
      <c r="D744" s="529"/>
      <c r="E744" s="444"/>
      <c r="F744" s="439"/>
      <c r="G744" s="444"/>
      <c r="H744" s="444"/>
      <c r="I744" s="444"/>
      <c r="J744" s="515"/>
      <c r="K744" s="444"/>
      <c r="L744" s="515"/>
      <c r="M744" s="515"/>
      <c r="N744" s="444"/>
      <c r="O744" s="515"/>
      <c r="P744" s="515"/>
    </row>
    <row r="745" spans="1:16" x14ac:dyDescent="0.25">
      <c r="A745" s="424"/>
      <c r="B745" s="439"/>
      <c r="C745" s="529"/>
      <c r="D745" s="529"/>
      <c r="E745" s="444"/>
      <c r="F745" s="439"/>
      <c r="G745" s="444"/>
      <c r="H745" s="444"/>
      <c r="I745" s="444"/>
      <c r="J745" s="515"/>
      <c r="K745" s="444"/>
      <c r="L745" s="515"/>
      <c r="M745" s="515"/>
      <c r="N745" s="444"/>
      <c r="O745" s="515"/>
      <c r="P745" s="515"/>
    </row>
    <row r="746" spans="1:16" x14ac:dyDescent="0.25">
      <c r="A746" s="424"/>
      <c r="B746" s="439"/>
      <c r="C746" s="529"/>
      <c r="D746" s="529"/>
      <c r="E746" s="444"/>
      <c r="F746" s="439"/>
      <c r="G746" s="444"/>
      <c r="H746" s="444"/>
      <c r="I746" s="444"/>
      <c r="J746" s="515"/>
      <c r="K746" s="444"/>
      <c r="L746" s="515"/>
      <c r="M746" s="515"/>
      <c r="N746" s="444"/>
      <c r="O746" s="515"/>
      <c r="P746" s="515"/>
    </row>
    <row r="747" spans="1:16" x14ac:dyDescent="0.25">
      <c r="A747" s="424"/>
      <c r="B747" s="439"/>
      <c r="C747" s="529"/>
      <c r="D747" s="529"/>
      <c r="E747" s="444"/>
      <c r="F747" s="439"/>
      <c r="G747" s="444"/>
      <c r="H747" s="444"/>
      <c r="I747" s="444"/>
      <c r="J747" s="515"/>
      <c r="K747" s="444"/>
      <c r="L747" s="515"/>
      <c r="M747" s="515"/>
      <c r="N747" s="444"/>
      <c r="O747" s="515"/>
      <c r="P747" s="515"/>
    </row>
    <row r="748" spans="1:16" x14ac:dyDescent="0.25">
      <c r="A748" s="424"/>
      <c r="B748" s="439"/>
      <c r="C748" s="529"/>
      <c r="D748" s="529"/>
      <c r="E748" s="444"/>
      <c r="F748" s="439"/>
      <c r="G748" s="444"/>
      <c r="H748" s="444"/>
      <c r="I748" s="444"/>
      <c r="J748" s="515"/>
      <c r="K748" s="444"/>
      <c r="L748" s="515"/>
      <c r="M748" s="515"/>
      <c r="N748" s="444"/>
      <c r="O748" s="515"/>
      <c r="P748" s="515"/>
    </row>
    <row r="749" spans="1:16" x14ac:dyDescent="0.25">
      <c r="A749" s="424"/>
      <c r="B749" s="439"/>
      <c r="C749" s="529"/>
      <c r="D749" s="529"/>
      <c r="E749" s="444"/>
      <c r="F749" s="439"/>
      <c r="G749" s="444"/>
      <c r="H749" s="444"/>
      <c r="I749" s="444"/>
      <c r="J749" s="515"/>
      <c r="K749" s="444"/>
      <c r="L749" s="515"/>
      <c r="M749" s="515"/>
      <c r="N749" s="444"/>
      <c r="O749" s="515"/>
      <c r="P749" s="515"/>
    </row>
    <row r="750" spans="1:16" x14ac:dyDescent="0.25">
      <c r="A750" s="424"/>
      <c r="B750" s="439"/>
      <c r="C750" s="529"/>
      <c r="D750" s="529"/>
      <c r="E750" s="444"/>
      <c r="F750" s="439"/>
      <c r="G750" s="444"/>
      <c r="H750" s="444"/>
      <c r="I750" s="444"/>
      <c r="J750" s="515"/>
      <c r="K750" s="444"/>
      <c r="L750" s="515"/>
      <c r="M750" s="515"/>
      <c r="N750" s="444"/>
      <c r="O750" s="515"/>
      <c r="P750" s="515"/>
    </row>
    <row r="751" spans="1:16" x14ac:dyDescent="0.25">
      <c r="A751" s="424"/>
      <c r="B751" s="439"/>
      <c r="C751" s="529"/>
      <c r="D751" s="529"/>
      <c r="E751" s="444"/>
      <c r="F751" s="439"/>
      <c r="G751" s="444"/>
      <c r="H751" s="444"/>
      <c r="I751" s="444"/>
      <c r="J751" s="515"/>
      <c r="K751" s="444"/>
      <c r="L751" s="515"/>
      <c r="M751" s="515"/>
      <c r="N751" s="444"/>
      <c r="O751" s="515"/>
      <c r="P751" s="515"/>
    </row>
    <row r="752" spans="1:16" x14ac:dyDescent="0.25">
      <c r="A752" s="424"/>
      <c r="B752" s="439"/>
      <c r="C752" s="529"/>
      <c r="D752" s="529"/>
      <c r="E752" s="444"/>
      <c r="F752" s="439"/>
      <c r="G752" s="444"/>
      <c r="H752" s="444"/>
      <c r="I752" s="444"/>
      <c r="J752" s="515"/>
      <c r="K752" s="444"/>
      <c r="L752" s="515"/>
      <c r="M752" s="515"/>
      <c r="N752" s="444"/>
      <c r="O752" s="515"/>
      <c r="P752" s="515"/>
    </row>
    <row r="753" spans="1:16" x14ac:dyDescent="0.25">
      <c r="A753" s="424"/>
      <c r="B753" s="439"/>
      <c r="C753" s="529"/>
      <c r="D753" s="529"/>
      <c r="E753" s="444"/>
      <c r="F753" s="439"/>
      <c r="G753" s="444"/>
      <c r="H753" s="444"/>
      <c r="I753" s="444"/>
      <c r="J753" s="515"/>
      <c r="K753" s="444"/>
      <c r="L753" s="515"/>
      <c r="M753" s="515"/>
      <c r="N753" s="444"/>
      <c r="O753" s="515"/>
      <c r="P753" s="515"/>
    </row>
    <row r="754" spans="1:16" x14ac:dyDescent="0.25">
      <c r="A754" s="424"/>
      <c r="B754" s="439"/>
      <c r="C754" s="529"/>
      <c r="D754" s="529"/>
      <c r="E754" s="444"/>
      <c r="F754" s="439"/>
      <c r="G754" s="444"/>
      <c r="H754" s="444"/>
      <c r="I754" s="444"/>
      <c r="J754" s="515"/>
      <c r="K754" s="444"/>
      <c r="L754" s="515"/>
      <c r="M754" s="515"/>
      <c r="N754" s="444"/>
      <c r="O754" s="515"/>
      <c r="P754" s="515"/>
    </row>
    <row r="755" spans="1:16" x14ac:dyDescent="0.25">
      <c r="A755" s="424"/>
      <c r="B755" s="439"/>
      <c r="C755" s="529"/>
      <c r="D755" s="529"/>
      <c r="E755" s="444"/>
      <c r="F755" s="439"/>
      <c r="G755" s="444"/>
      <c r="H755" s="444"/>
      <c r="I755" s="444"/>
      <c r="J755" s="515"/>
      <c r="K755" s="444"/>
      <c r="L755" s="515"/>
      <c r="M755" s="515"/>
      <c r="N755" s="444"/>
      <c r="O755" s="515"/>
      <c r="P755" s="515"/>
    </row>
    <row r="756" spans="1:16" x14ac:dyDescent="0.25">
      <c r="A756" s="424"/>
      <c r="B756" s="439"/>
      <c r="C756" s="529"/>
      <c r="D756" s="529"/>
      <c r="E756" s="444"/>
      <c r="F756" s="439"/>
      <c r="G756" s="444"/>
      <c r="H756" s="444"/>
      <c r="I756" s="444"/>
      <c r="J756" s="515"/>
      <c r="K756" s="444"/>
      <c r="L756" s="515"/>
      <c r="M756" s="515"/>
      <c r="N756" s="444"/>
      <c r="O756" s="515"/>
      <c r="P756" s="515"/>
    </row>
    <row r="757" spans="1:16" x14ac:dyDescent="0.25">
      <c r="A757" s="424"/>
      <c r="B757" s="439"/>
      <c r="C757" s="529"/>
      <c r="D757" s="529"/>
      <c r="E757" s="444"/>
      <c r="F757" s="439"/>
      <c r="G757" s="444"/>
      <c r="H757" s="444"/>
      <c r="I757" s="444"/>
      <c r="J757" s="515"/>
      <c r="K757" s="444"/>
      <c r="L757" s="515"/>
      <c r="M757" s="515"/>
      <c r="N757" s="444"/>
      <c r="O757" s="515"/>
      <c r="P757" s="515"/>
    </row>
    <row r="758" spans="1:16" x14ac:dyDescent="0.25">
      <c r="A758" s="424"/>
      <c r="B758" s="439"/>
      <c r="C758" s="529"/>
      <c r="D758" s="529"/>
      <c r="E758" s="444"/>
      <c r="F758" s="439"/>
      <c r="G758" s="444"/>
      <c r="H758" s="444"/>
      <c r="I758" s="444"/>
      <c r="J758" s="515"/>
      <c r="K758" s="444"/>
      <c r="L758" s="515"/>
      <c r="M758" s="515"/>
      <c r="N758" s="444"/>
      <c r="O758" s="515"/>
      <c r="P758" s="515"/>
    </row>
    <row r="759" spans="1:16" x14ac:dyDescent="0.25">
      <c r="A759" s="424"/>
      <c r="B759" s="439"/>
      <c r="C759" s="529"/>
      <c r="D759" s="529"/>
      <c r="E759" s="444"/>
      <c r="F759" s="439"/>
      <c r="G759" s="444"/>
      <c r="H759" s="444"/>
      <c r="I759" s="444"/>
      <c r="J759" s="515"/>
      <c r="K759" s="444"/>
      <c r="L759" s="515"/>
      <c r="M759" s="515"/>
      <c r="N759" s="444"/>
      <c r="O759" s="515"/>
      <c r="P759" s="515"/>
    </row>
    <row r="760" spans="1:16" x14ac:dyDescent="0.25">
      <c r="A760" s="424"/>
      <c r="B760" s="439"/>
      <c r="C760" s="529"/>
      <c r="D760" s="529"/>
      <c r="E760" s="444"/>
      <c r="F760" s="439"/>
      <c r="G760" s="444"/>
      <c r="H760" s="444"/>
      <c r="I760" s="444"/>
      <c r="J760" s="515"/>
      <c r="K760" s="444"/>
      <c r="L760" s="515"/>
      <c r="M760" s="515"/>
      <c r="N760" s="444"/>
      <c r="O760" s="515"/>
      <c r="P760" s="515"/>
    </row>
    <row r="761" spans="1:16" x14ac:dyDescent="0.25">
      <c r="A761" s="424"/>
      <c r="B761" s="439"/>
      <c r="C761" s="529"/>
      <c r="D761" s="529"/>
      <c r="E761" s="444"/>
      <c r="F761" s="439"/>
      <c r="G761" s="444"/>
      <c r="H761" s="444"/>
      <c r="I761" s="444"/>
      <c r="J761" s="515"/>
      <c r="K761" s="444"/>
      <c r="L761" s="515"/>
      <c r="M761" s="515"/>
      <c r="N761" s="444"/>
      <c r="O761" s="515"/>
      <c r="P761" s="515"/>
    </row>
    <row r="762" spans="1:16" x14ac:dyDescent="0.25">
      <c r="A762" s="424"/>
      <c r="B762" s="439"/>
      <c r="C762" s="529"/>
      <c r="D762" s="529"/>
      <c r="E762" s="444"/>
      <c r="F762" s="439"/>
      <c r="G762" s="444"/>
      <c r="H762" s="444"/>
      <c r="I762" s="444"/>
      <c r="J762" s="515"/>
      <c r="K762" s="444"/>
      <c r="L762" s="515"/>
      <c r="M762" s="515"/>
      <c r="N762" s="444"/>
      <c r="O762" s="515"/>
      <c r="P762" s="515"/>
    </row>
    <row r="763" spans="1:16" x14ac:dyDescent="0.25">
      <c r="A763" s="424"/>
      <c r="B763" s="439"/>
      <c r="C763" s="529"/>
      <c r="D763" s="529"/>
      <c r="E763" s="444"/>
      <c r="F763" s="439"/>
      <c r="G763" s="444"/>
      <c r="H763" s="444"/>
      <c r="I763" s="444"/>
      <c r="J763" s="515"/>
      <c r="K763" s="444"/>
      <c r="L763" s="515"/>
      <c r="M763" s="515"/>
      <c r="N763" s="444"/>
      <c r="O763" s="515"/>
      <c r="P763" s="515"/>
    </row>
    <row r="764" spans="1:16" x14ac:dyDescent="0.25">
      <c r="A764" s="424"/>
      <c r="B764" s="439"/>
      <c r="C764" s="529"/>
      <c r="D764" s="529"/>
      <c r="E764" s="444"/>
      <c r="F764" s="439"/>
      <c r="G764" s="444"/>
      <c r="H764" s="444"/>
      <c r="I764" s="444"/>
      <c r="J764" s="515"/>
      <c r="K764" s="444"/>
      <c r="L764" s="515"/>
      <c r="M764" s="515"/>
      <c r="N764" s="444"/>
      <c r="O764" s="515"/>
      <c r="P764" s="515"/>
    </row>
    <row r="765" spans="1:16" x14ac:dyDescent="0.25">
      <c r="A765" s="424"/>
      <c r="B765" s="439"/>
      <c r="C765" s="529"/>
      <c r="D765" s="529"/>
      <c r="E765" s="444"/>
      <c r="F765" s="439"/>
      <c r="G765" s="444"/>
      <c r="H765" s="444"/>
      <c r="I765" s="444"/>
      <c r="J765" s="515"/>
      <c r="K765" s="444"/>
      <c r="L765" s="515"/>
      <c r="M765" s="515"/>
      <c r="N765" s="444"/>
      <c r="O765" s="515"/>
      <c r="P765" s="515"/>
    </row>
    <row r="766" spans="1:16" x14ac:dyDescent="0.25">
      <c r="A766" s="424"/>
      <c r="B766" s="439"/>
      <c r="C766" s="529"/>
      <c r="D766" s="529"/>
      <c r="E766" s="444"/>
      <c r="F766" s="439"/>
      <c r="G766" s="444"/>
      <c r="H766" s="444"/>
      <c r="I766" s="444"/>
      <c r="J766" s="515"/>
      <c r="K766" s="444"/>
      <c r="L766" s="515"/>
      <c r="M766" s="515"/>
      <c r="N766" s="444"/>
      <c r="O766" s="515"/>
      <c r="P766" s="515"/>
    </row>
    <row r="767" spans="1:16" x14ac:dyDescent="0.25">
      <c r="A767" s="424"/>
      <c r="B767" s="439"/>
      <c r="C767" s="529"/>
      <c r="D767" s="529"/>
      <c r="E767" s="444"/>
      <c r="F767" s="439"/>
      <c r="G767" s="444"/>
      <c r="H767" s="444"/>
      <c r="I767" s="444"/>
      <c r="J767" s="515"/>
      <c r="K767" s="444"/>
      <c r="L767" s="515"/>
      <c r="M767" s="515"/>
      <c r="N767" s="444"/>
      <c r="O767" s="515"/>
      <c r="P767" s="515"/>
    </row>
    <row r="768" spans="1:16" x14ac:dyDescent="0.25">
      <c r="A768" s="424"/>
      <c r="B768" s="439"/>
      <c r="C768" s="529"/>
      <c r="D768" s="529"/>
      <c r="E768" s="444"/>
      <c r="F768" s="439"/>
      <c r="G768" s="444"/>
      <c r="H768" s="444"/>
      <c r="I768" s="444"/>
      <c r="J768" s="515"/>
      <c r="K768" s="444"/>
      <c r="L768" s="515"/>
      <c r="M768" s="515"/>
      <c r="N768" s="444"/>
      <c r="O768" s="515"/>
      <c r="P768" s="515"/>
    </row>
    <row r="769" spans="1:16" x14ac:dyDescent="0.25">
      <c r="A769" s="424"/>
      <c r="B769" s="439"/>
      <c r="C769" s="529"/>
      <c r="D769" s="529"/>
      <c r="E769" s="444"/>
      <c r="F769" s="439"/>
      <c r="G769" s="444"/>
      <c r="H769" s="444"/>
      <c r="I769" s="444"/>
      <c r="J769" s="515"/>
      <c r="K769" s="444"/>
      <c r="L769" s="515"/>
      <c r="M769" s="515"/>
      <c r="N769" s="444"/>
      <c r="O769" s="515"/>
      <c r="P769" s="515"/>
    </row>
    <row r="770" spans="1:16" x14ac:dyDescent="0.25">
      <c r="A770" s="424"/>
      <c r="B770" s="439"/>
      <c r="C770" s="529"/>
      <c r="D770" s="529"/>
      <c r="E770" s="444"/>
      <c r="F770" s="439"/>
      <c r="G770" s="444"/>
      <c r="H770" s="444"/>
      <c r="I770" s="444"/>
      <c r="J770" s="515"/>
      <c r="K770" s="444"/>
      <c r="L770" s="515"/>
      <c r="M770" s="515"/>
      <c r="N770" s="444"/>
      <c r="O770" s="515"/>
      <c r="P770" s="515"/>
    </row>
    <row r="771" spans="1:16" x14ac:dyDescent="0.25">
      <c r="A771" s="424"/>
      <c r="B771" s="439"/>
      <c r="C771" s="529"/>
      <c r="D771" s="529"/>
      <c r="E771" s="444"/>
      <c r="F771" s="439"/>
      <c r="G771" s="444"/>
      <c r="H771" s="444"/>
      <c r="I771" s="444"/>
      <c r="J771" s="515"/>
      <c r="K771" s="444"/>
      <c r="L771" s="515"/>
      <c r="M771" s="515"/>
      <c r="N771" s="444"/>
      <c r="O771" s="515"/>
      <c r="P771" s="515"/>
    </row>
    <row r="772" spans="1:16" x14ac:dyDescent="0.25">
      <c r="A772" s="424"/>
      <c r="B772" s="439"/>
      <c r="C772" s="529"/>
      <c r="D772" s="529"/>
      <c r="E772" s="444"/>
      <c r="F772" s="439"/>
      <c r="G772" s="444"/>
      <c r="H772" s="444"/>
      <c r="I772" s="444"/>
      <c r="J772" s="515"/>
      <c r="K772" s="444"/>
      <c r="L772" s="515"/>
      <c r="M772" s="515"/>
      <c r="N772" s="444"/>
      <c r="O772" s="515"/>
      <c r="P772" s="515"/>
    </row>
    <row r="773" spans="1:16" x14ac:dyDescent="0.25">
      <c r="A773" s="424"/>
      <c r="B773" s="439"/>
      <c r="C773" s="529"/>
      <c r="D773" s="529"/>
      <c r="E773" s="444"/>
      <c r="F773" s="439"/>
      <c r="G773" s="444"/>
      <c r="H773" s="444"/>
      <c r="I773" s="444"/>
      <c r="J773" s="515"/>
      <c r="K773" s="444"/>
      <c r="L773" s="515"/>
      <c r="M773" s="515"/>
      <c r="N773" s="444"/>
      <c r="O773" s="515"/>
      <c r="P773" s="515"/>
    </row>
    <row r="774" spans="1:16" x14ac:dyDescent="0.25">
      <c r="A774" s="424"/>
      <c r="B774" s="439"/>
      <c r="C774" s="529"/>
      <c r="D774" s="529"/>
      <c r="E774" s="444"/>
      <c r="F774" s="439"/>
      <c r="G774" s="444"/>
      <c r="H774" s="444"/>
      <c r="I774" s="444"/>
      <c r="J774" s="515"/>
      <c r="K774" s="444"/>
      <c r="L774" s="515"/>
      <c r="M774" s="515"/>
      <c r="N774" s="444"/>
      <c r="O774" s="515"/>
      <c r="P774" s="515"/>
    </row>
    <row r="775" spans="1:16" x14ac:dyDescent="0.25">
      <c r="A775" s="424"/>
      <c r="B775" s="439"/>
      <c r="C775" s="529"/>
      <c r="D775" s="529"/>
      <c r="E775" s="444"/>
      <c r="F775" s="439"/>
      <c r="G775" s="444"/>
      <c r="H775" s="444"/>
      <c r="I775" s="444"/>
      <c r="J775" s="515"/>
      <c r="K775" s="444"/>
      <c r="L775" s="515"/>
      <c r="M775" s="515"/>
      <c r="N775" s="444"/>
      <c r="O775" s="515"/>
      <c r="P775" s="515"/>
    </row>
    <row r="776" spans="1:16" x14ac:dyDescent="0.25">
      <c r="A776" s="424"/>
      <c r="B776" s="439"/>
      <c r="C776" s="529"/>
      <c r="D776" s="529"/>
      <c r="E776" s="444"/>
      <c r="F776" s="439"/>
      <c r="G776" s="444"/>
      <c r="H776" s="444"/>
      <c r="I776" s="444"/>
      <c r="J776" s="515"/>
      <c r="K776" s="444"/>
      <c r="L776" s="515"/>
      <c r="M776" s="515"/>
      <c r="N776" s="444"/>
      <c r="O776" s="515"/>
      <c r="P776" s="515"/>
    </row>
    <row r="777" spans="1:16" x14ac:dyDescent="0.25">
      <c r="A777" s="424"/>
      <c r="B777" s="439"/>
      <c r="C777" s="529"/>
      <c r="D777" s="529"/>
      <c r="E777" s="444"/>
      <c r="F777" s="439"/>
      <c r="G777" s="444"/>
      <c r="H777" s="444"/>
      <c r="I777" s="444"/>
      <c r="J777" s="515"/>
      <c r="K777" s="444"/>
      <c r="L777" s="515"/>
      <c r="M777" s="515"/>
      <c r="N777" s="444"/>
      <c r="O777" s="515"/>
      <c r="P777" s="515"/>
    </row>
    <row r="778" spans="1:16" x14ac:dyDescent="0.25">
      <c r="A778" s="424"/>
      <c r="B778" s="439"/>
      <c r="C778" s="529"/>
      <c r="D778" s="529"/>
      <c r="E778" s="444"/>
      <c r="F778" s="439"/>
      <c r="G778" s="444"/>
      <c r="H778" s="444"/>
      <c r="I778" s="444"/>
      <c r="J778" s="515"/>
      <c r="K778" s="444"/>
      <c r="L778" s="515"/>
      <c r="M778" s="515"/>
      <c r="N778" s="444"/>
      <c r="O778" s="515"/>
      <c r="P778" s="515"/>
    </row>
    <row r="779" spans="1:16" x14ac:dyDescent="0.25">
      <c r="A779" s="424"/>
      <c r="B779" s="439"/>
      <c r="C779" s="529"/>
      <c r="D779" s="529"/>
      <c r="E779" s="444"/>
      <c r="F779" s="439"/>
      <c r="G779" s="444"/>
      <c r="H779" s="444"/>
      <c r="I779" s="444"/>
      <c r="J779" s="515"/>
      <c r="K779" s="444"/>
      <c r="L779" s="515"/>
      <c r="M779" s="515"/>
      <c r="N779" s="444"/>
      <c r="O779" s="515"/>
      <c r="P779" s="515"/>
    </row>
    <row r="780" spans="1:16" x14ac:dyDescent="0.25">
      <c r="A780" s="424"/>
      <c r="B780" s="439"/>
      <c r="C780" s="529"/>
      <c r="D780" s="529"/>
      <c r="E780" s="444"/>
      <c r="F780" s="439"/>
      <c r="G780" s="444"/>
      <c r="H780" s="444"/>
      <c r="I780" s="444"/>
      <c r="J780" s="515"/>
      <c r="K780" s="444"/>
      <c r="L780" s="515"/>
      <c r="M780" s="515"/>
      <c r="N780" s="444"/>
      <c r="O780" s="515"/>
      <c r="P780" s="515"/>
    </row>
    <row r="781" spans="1:16" x14ac:dyDescent="0.25">
      <c r="A781" s="424"/>
      <c r="B781" s="439"/>
      <c r="C781" s="529"/>
      <c r="D781" s="529"/>
      <c r="E781" s="444"/>
      <c r="F781" s="439"/>
      <c r="G781" s="444"/>
      <c r="H781" s="444"/>
      <c r="I781" s="444"/>
      <c r="J781" s="515"/>
      <c r="K781" s="444"/>
      <c r="L781" s="515"/>
      <c r="M781" s="515"/>
      <c r="N781" s="444"/>
      <c r="O781" s="515"/>
      <c r="P781" s="515"/>
    </row>
    <row r="782" spans="1:16" x14ac:dyDescent="0.25">
      <c r="A782" s="424"/>
      <c r="B782" s="439"/>
      <c r="C782" s="529"/>
      <c r="D782" s="529"/>
      <c r="E782" s="444"/>
      <c r="F782" s="439"/>
      <c r="G782" s="444"/>
      <c r="H782" s="444"/>
      <c r="I782" s="444"/>
      <c r="J782" s="515"/>
      <c r="K782" s="444"/>
      <c r="L782" s="515"/>
      <c r="M782" s="515"/>
      <c r="N782" s="444"/>
      <c r="O782" s="515"/>
      <c r="P782" s="515"/>
    </row>
    <row r="783" spans="1:16" x14ac:dyDescent="0.25">
      <c r="A783" s="424"/>
      <c r="B783" s="439"/>
      <c r="C783" s="529"/>
      <c r="D783" s="529"/>
      <c r="E783" s="444"/>
      <c r="F783" s="439"/>
      <c r="G783" s="444"/>
      <c r="H783" s="444"/>
      <c r="I783" s="444"/>
      <c r="J783" s="515"/>
      <c r="K783" s="444"/>
      <c r="L783" s="515"/>
      <c r="M783" s="515"/>
      <c r="N783" s="444"/>
      <c r="O783" s="515"/>
      <c r="P783" s="515"/>
    </row>
    <row r="784" spans="1:16" x14ac:dyDescent="0.25">
      <c r="A784" s="424"/>
      <c r="B784" s="439"/>
      <c r="C784" s="529"/>
      <c r="D784" s="529"/>
      <c r="E784" s="444"/>
      <c r="F784" s="439"/>
      <c r="G784" s="444"/>
      <c r="H784" s="444"/>
      <c r="I784" s="444"/>
      <c r="J784" s="515"/>
      <c r="K784" s="444"/>
      <c r="L784" s="515"/>
      <c r="M784" s="515"/>
      <c r="N784" s="444"/>
      <c r="O784" s="515"/>
      <c r="P784" s="515"/>
    </row>
    <row r="785" spans="1:16" x14ac:dyDescent="0.25">
      <c r="A785" s="424"/>
      <c r="B785" s="439"/>
      <c r="C785" s="529"/>
      <c r="D785" s="529"/>
      <c r="E785" s="444"/>
      <c r="F785" s="439"/>
      <c r="G785" s="444"/>
      <c r="H785" s="444"/>
      <c r="I785" s="444"/>
      <c r="J785" s="515"/>
      <c r="K785" s="444"/>
      <c r="L785" s="515"/>
      <c r="M785" s="515"/>
      <c r="N785" s="444"/>
      <c r="O785" s="515"/>
      <c r="P785" s="515"/>
    </row>
    <row r="786" spans="1:16" x14ac:dyDescent="0.25">
      <c r="A786" s="424"/>
      <c r="B786" s="439"/>
      <c r="C786" s="529"/>
      <c r="D786" s="529"/>
      <c r="E786" s="444"/>
      <c r="F786" s="439"/>
      <c r="G786" s="444"/>
      <c r="H786" s="444"/>
      <c r="I786" s="444"/>
      <c r="J786" s="515"/>
      <c r="K786" s="444"/>
      <c r="L786" s="515"/>
      <c r="M786" s="515"/>
      <c r="N786" s="444"/>
      <c r="O786" s="515"/>
      <c r="P786" s="515"/>
    </row>
    <row r="787" spans="1:16" x14ac:dyDescent="0.25">
      <c r="A787" s="424"/>
      <c r="B787" s="439"/>
      <c r="C787" s="529"/>
      <c r="D787" s="529"/>
      <c r="E787" s="444"/>
      <c r="F787" s="439"/>
      <c r="G787" s="444"/>
      <c r="H787" s="444"/>
      <c r="I787" s="444"/>
      <c r="J787" s="515"/>
      <c r="K787" s="444"/>
      <c r="L787" s="515"/>
      <c r="M787" s="515"/>
      <c r="N787" s="444"/>
      <c r="O787" s="515"/>
      <c r="P787" s="515"/>
    </row>
    <row r="788" spans="1:16" x14ac:dyDescent="0.25">
      <c r="A788" s="424"/>
      <c r="B788" s="439"/>
      <c r="C788" s="529"/>
      <c r="D788" s="529"/>
      <c r="E788" s="444"/>
      <c r="F788" s="439"/>
      <c r="G788" s="444"/>
      <c r="H788" s="444"/>
      <c r="I788" s="444"/>
      <c r="J788" s="515"/>
      <c r="K788" s="444"/>
      <c r="L788" s="515"/>
      <c r="M788" s="515"/>
      <c r="N788" s="444"/>
      <c r="O788" s="515"/>
      <c r="P788" s="515"/>
    </row>
    <row r="789" spans="1:16" x14ac:dyDescent="0.25">
      <c r="A789" s="424"/>
      <c r="B789" s="439"/>
      <c r="C789" s="529"/>
      <c r="D789" s="529"/>
      <c r="E789" s="444"/>
      <c r="F789" s="439"/>
      <c r="G789" s="444"/>
      <c r="H789" s="444"/>
      <c r="I789" s="444"/>
      <c r="J789" s="515"/>
      <c r="K789" s="444"/>
      <c r="L789" s="515"/>
      <c r="M789" s="515"/>
      <c r="N789" s="444"/>
      <c r="O789" s="515"/>
      <c r="P789" s="515"/>
    </row>
    <row r="790" spans="1:16" x14ac:dyDescent="0.25">
      <c r="A790" s="424"/>
      <c r="B790" s="439"/>
      <c r="C790" s="529"/>
      <c r="D790" s="529"/>
      <c r="E790" s="444"/>
      <c r="F790" s="439"/>
      <c r="G790" s="444"/>
      <c r="H790" s="444"/>
      <c r="I790" s="444"/>
      <c r="J790" s="515"/>
      <c r="K790" s="444"/>
      <c r="L790" s="515"/>
      <c r="M790" s="515"/>
      <c r="N790" s="444"/>
      <c r="O790" s="515"/>
      <c r="P790" s="515"/>
    </row>
    <row r="791" spans="1:16" x14ac:dyDescent="0.25">
      <c r="A791" s="424"/>
      <c r="B791" s="439"/>
      <c r="C791" s="529"/>
      <c r="D791" s="529"/>
      <c r="E791" s="444"/>
      <c r="F791" s="439"/>
      <c r="G791" s="444"/>
      <c r="H791" s="444"/>
      <c r="I791" s="444"/>
      <c r="J791" s="515"/>
      <c r="K791" s="444"/>
      <c r="L791" s="515"/>
      <c r="M791" s="515"/>
      <c r="N791" s="444"/>
      <c r="O791" s="515"/>
      <c r="P791" s="515"/>
    </row>
    <row r="792" spans="1:16" x14ac:dyDescent="0.25">
      <c r="A792" s="424"/>
      <c r="B792" s="439"/>
      <c r="C792" s="529"/>
      <c r="D792" s="529"/>
      <c r="E792" s="444"/>
      <c r="F792" s="439"/>
      <c r="G792" s="444"/>
      <c r="H792" s="444"/>
      <c r="I792" s="444"/>
      <c r="J792" s="515"/>
      <c r="K792" s="444"/>
      <c r="L792" s="515"/>
      <c r="M792" s="515"/>
      <c r="N792" s="444"/>
      <c r="O792" s="515"/>
      <c r="P792" s="515"/>
    </row>
    <row r="793" spans="1:16" x14ac:dyDescent="0.25">
      <c r="A793" s="424"/>
      <c r="B793" s="439"/>
      <c r="C793" s="529"/>
      <c r="D793" s="529"/>
      <c r="E793" s="444"/>
      <c r="F793" s="439"/>
      <c r="G793" s="444"/>
      <c r="H793" s="444"/>
      <c r="I793" s="444"/>
      <c r="J793" s="515"/>
      <c r="K793" s="444"/>
      <c r="L793" s="515"/>
      <c r="M793" s="515"/>
      <c r="N793" s="444"/>
      <c r="O793" s="515"/>
      <c r="P793" s="515"/>
    </row>
    <row r="794" spans="1:16" x14ac:dyDescent="0.25">
      <c r="A794" s="424"/>
      <c r="B794" s="439"/>
      <c r="C794" s="529"/>
      <c r="D794" s="529"/>
      <c r="E794" s="444"/>
      <c r="F794" s="439"/>
      <c r="G794" s="444"/>
      <c r="H794" s="444"/>
      <c r="I794" s="444"/>
      <c r="J794" s="515"/>
      <c r="K794" s="444"/>
      <c r="L794" s="515"/>
      <c r="M794" s="515"/>
      <c r="N794" s="444"/>
      <c r="O794" s="515"/>
      <c r="P794" s="515"/>
    </row>
    <row r="795" spans="1:16" x14ac:dyDescent="0.25">
      <c r="A795" s="424"/>
      <c r="B795" s="439"/>
      <c r="C795" s="529"/>
      <c r="D795" s="529"/>
      <c r="E795" s="444"/>
      <c r="F795" s="439"/>
      <c r="G795" s="444"/>
      <c r="H795" s="444"/>
      <c r="I795" s="444"/>
      <c r="J795" s="515"/>
      <c r="K795" s="444"/>
      <c r="L795" s="515"/>
      <c r="M795" s="515"/>
      <c r="N795" s="444"/>
      <c r="O795" s="515"/>
      <c r="P795" s="515"/>
    </row>
    <row r="796" spans="1:16" x14ac:dyDescent="0.25">
      <c r="A796" s="424"/>
      <c r="B796" s="439"/>
      <c r="C796" s="529"/>
      <c r="D796" s="529"/>
      <c r="E796" s="444"/>
      <c r="F796" s="439"/>
      <c r="G796" s="444"/>
      <c r="H796" s="444"/>
      <c r="I796" s="444"/>
      <c r="J796" s="515"/>
      <c r="K796" s="444"/>
      <c r="L796" s="515"/>
      <c r="M796" s="515"/>
      <c r="N796" s="444"/>
      <c r="O796" s="515"/>
      <c r="P796" s="515"/>
    </row>
    <row r="797" spans="1:16" x14ac:dyDescent="0.25">
      <c r="A797" s="424"/>
      <c r="B797" s="439"/>
      <c r="C797" s="529"/>
      <c r="D797" s="529"/>
      <c r="E797" s="444"/>
      <c r="F797" s="439"/>
      <c r="G797" s="444"/>
      <c r="H797" s="444"/>
      <c r="I797" s="444"/>
      <c r="J797" s="515"/>
      <c r="K797" s="444"/>
      <c r="L797" s="515"/>
      <c r="M797" s="515"/>
      <c r="N797" s="444"/>
      <c r="O797" s="515"/>
      <c r="P797" s="515"/>
    </row>
    <row r="798" spans="1:16" x14ac:dyDescent="0.25">
      <c r="A798" s="424"/>
      <c r="B798" s="439"/>
      <c r="C798" s="529"/>
      <c r="D798" s="529"/>
      <c r="E798" s="444"/>
      <c r="F798" s="439"/>
      <c r="G798" s="444"/>
      <c r="H798" s="444"/>
      <c r="I798" s="444"/>
      <c r="J798" s="515"/>
      <c r="K798" s="444"/>
      <c r="L798" s="515"/>
      <c r="M798" s="515"/>
      <c r="N798" s="444"/>
      <c r="O798" s="515"/>
      <c r="P798" s="515"/>
    </row>
    <row r="799" spans="1:16" x14ac:dyDescent="0.25">
      <c r="A799" s="424"/>
      <c r="B799" s="439"/>
      <c r="C799" s="529"/>
      <c r="D799" s="529"/>
      <c r="E799" s="444"/>
      <c r="F799" s="439"/>
      <c r="G799" s="444"/>
      <c r="H799" s="444"/>
      <c r="I799" s="444"/>
      <c r="J799" s="515"/>
      <c r="K799" s="444"/>
      <c r="L799" s="515"/>
      <c r="M799" s="515"/>
      <c r="N799" s="444"/>
      <c r="O799" s="515"/>
      <c r="P799" s="515"/>
    </row>
    <row r="800" spans="1:16" x14ac:dyDescent="0.25">
      <c r="A800" s="424"/>
      <c r="B800" s="439"/>
      <c r="C800" s="529"/>
      <c r="D800" s="529"/>
      <c r="E800" s="444"/>
      <c r="F800" s="439"/>
      <c r="G800" s="444"/>
      <c r="H800" s="444"/>
      <c r="I800" s="444"/>
      <c r="J800" s="515"/>
      <c r="K800" s="444"/>
      <c r="L800" s="515"/>
      <c r="M800" s="515"/>
      <c r="N800" s="444"/>
      <c r="O800" s="515"/>
      <c r="P800" s="515"/>
    </row>
    <row r="801" spans="1:16" x14ac:dyDescent="0.25">
      <c r="A801" s="424"/>
      <c r="B801" s="439"/>
      <c r="C801" s="529"/>
      <c r="D801" s="529"/>
      <c r="E801" s="444"/>
      <c r="F801" s="439"/>
      <c r="G801" s="444"/>
      <c r="H801" s="444"/>
      <c r="I801" s="444"/>
      <c r="J801" s="515"/>
      <c r="K801" s="444"/>
      <c r="L801" s="515"/>
      <c r="M801" s="515"/>
      <c r="N801" s="444"/>
      <c r="O801" s="515"/>
      <c r="P801" s="515"/>
    </row>
    <row r="802" spans="1:16" x14ac:dyDescent="0.25">
      <c r="A802" s="424"/>
      <c r="B802" s="439"/>
      <c r="C802" s="529"/>
      <c r="D802" s="529"/>
      <c r="E802" s="444"/>
      <c r="F802" s="439"/>
      <c r="G802" s="444"/>
      <c r="H802" s="444"/>
      <c r="I802" s="444"/>
      <c r="J802" s="515"/>
      <c r="K802" s="444"/>
      <c r="L802" s="515"/>
      <c r="M802" s="515"/>
      <c r="N802" s="444"/>
      <c r="O802" s="515"/>
      <c r="P802" s="515"/>
    </row>
    <row r="803" spans="1:16" x14ac:dyDescent="0.25">
      <c r="A803" s="424"/>
      <c r="B803" s="439"/>
      <c r="C803" s="529"/>
      <c r="D803" s="529"/>
      <c r="E803" s="444"/>
      <c r="F803" s="439"/>
      <c r="G803" s="444"/>
      <c r="H803" s="444"/>
      <c r="I803" s="444"/>
      <c r="J803" s="515"/>
      <c r="K803" s="444"/>
      <c r="L803" s="515"/>
      <c r="M803" s="515"/>
      <c r="N803" s="444"/>
      <c r="O803" s="515"/>
      <c r="P803" s="515"/>
    </row>
    <row r="804" spans="1:16" x14ac:dyDescent="0.25">
      <c r="A804" s="424"/>
      <c r="B804" s="439"/>
      <c r="C804" s="529"/>
      <c r="D804" s="529"/>
      <c r="E804" s="444"/>
      <c r="F804" s="439"/>
      <c r="G804" s="444"/>
      <c r="H804" s="444"/>
      <c r="I804" s="444"/>
      <c r="J804" s="515"/>
      <c r="K804" s="444"/>
      <c r="L804" s="515"/>
      <c r="M804" s="515"/>
      <c r="N804" s="444"/>
      <c r="O804" s="515"/>
      <c r="P804" s="515"/>
    </row>
    <row r="805" spans="1:16" x14ac:dyDescent="0.25">
      <c r="A805" s="424"/>
      <c r="B805" s="439"/>
      <c r="C805" s="529"/>
      <c r="D805" s="529"/>
      <c r="E805" s="444"/>
      <c r="F805" s="439"/>
      <c r="G805" s="444"/>
      <c r="H805" s="444"/>
      <c r="I805" s="444"/>
      <c r="J805" s="515"/>
      <c r="K805" s="444"/>
      <c r="L805" s="515"/>
      <c r="M805" s="515"/>
      <c r="N805" s="444"/>
      <c r="O805" s="515"/>
      <c r="P805" s="515"/>
    </row>
    <row r="806" spans="1:16" x14ac:dyDescent="0.25">
      <c r="A806" s="424"/>
      <c r="B806" s="439"/>
      <c r="C806" s="529"/>
      <c r="D806" s="529"/>
      <c r="E806" s="444"/>
      <c r="F806" s="439"/>
      <c r="G806" s="444"/>
      <c r="H806" s="444"/>
      <c r="I806" s="444"/>
      <c r="J806" s="515"/>
      <c r="K806" s="444"/>
      <c r="L806" s="515"/>
      <c r="M806" s="515"/>
      <c r="N806" s="444"/>
      <c r="O806" s="515"/>
      <c r="P806" s="515"/>
    </row>
    <row r="807" spans="1:16" x14ac:dyDescent="0.25">
      <c r="A807" s="424"/>
      <c r="B807" s="439"/>
      <c r="C807" s="529"/>
      <c r="D807" s="529"/>
      <c r="E807" s="444"/>
      <c r="F807" s="439"/>
      <c r="G807" s="444"/>
      <c r="H807" s="444"/>
      <c r="I807" s="444"/>
      <c r="J807" s="515"/>
      <c r="K807" s="444"/>
      <c r="L807" s="515"/>
      <c r="M807" s="515"/>
      <c r="N807" s="444"/>
      <c r="O807" s="515"/>
      <c r="P807" s="515"/>
    </row>
    <row r="808" spans="1:16" x14ac:dyDescent="0.25">
      <c r="A808" s="424"/>
      <c r="B808" s="439"/>
      <c r="C808" s="529"/>
      <c r="D808" s="529"/>
      <c r="E808" s="444"/>
      <c r="F808" s="439"/>
      <c r="G808" s="444"/>
      <c r="H808" s="444"/>
      <c r="I808" s="444"/>
      <c r="J808" s="515"/>
      <c r="K808" s="444"/>
      <c r="L808" s="515"/>
      <c r="M808" s="515"/>
      <c r="N808" s="444"/>
      <c r="O808" s="515"/>
      <c r="P808" s="515"/>
    </row>
    <row r="809" spans="1:16" x14ac:dyDescent="0.25">
      <c r="A809" s="424"/>
      <c r="B809" s="439"/>
      <c r="C809" s="529"/>
      <c r="D809" s="529"/>
      <c r="E809" s="444"/>
      <c r="F809" s="439"/>
      <c r="G809" s="444"/>
      <c r="H809" s="444"/>
      <c r="I809" s="444"/>
      <c r="J809" s="515"/>
      <c r="K809" s="444"/>
      <c r="L809" s="515"/>
      <c r="M809" s="515"/>
      <c r="N809" s="444"/>
      <c r="O809" s="515"/>
      <c r="P809" s="515"/>
    </row>
    <row r="810" spans="1:16" x14ac:dyDescent="0.25">
      <c r="A810" s="424"/>
      <c r="B810" s="439"/>
      <c r="C810" s="529"/>
      <c r="D810" s="529"/>
      <c r="E810" s="444"/>
      <c r="F810" s="439"/>
      <c r="G810" s="444"/>
      <c r="H810" s="444"/>
      <c r="I810" s="444"/>
      <c r="J810" s="515"/>
      <c r="K810" s="444"/>
      <c r="L810" s="515"/>
      <c r="M810" s="515"/>
      <c r="N810" s="444"/>
      <c r="O810" s="515"/>
      <c r="P810" s="515"/>
    </row>
    <row r="811" spans="1:16" x14ac:dyDescent="0.25">
      <c r="A811" s="424"/>
      <c r="B811" s="439"/>
      <c r="C811" s="529"/>
      <c r="D811" s="529"/>
      <c r="E811" s="444"/>
      <c r="F811" s="439"/>
      <c r="G811" s="444"/>
      <c r="H811" s="444"/>
      <c r="I811" s="444"/>
      <c r="J811" s="515"/>
      <c r="K811" s="444"/>
      <c r="L811" s="515"/>
      <c r="M811" s="515"/>
      <c r="N811" s="444"/>
      <c r="O811" s="515"/>
      <c r="P811" s="515"/>
    </row>
    <row r="812" spans="1:16" x14ac:dyDescent="0.25">
      <c r="A812" s="424"/>
      <c r="B812" s="439"/>
      <c r="C812" s="529"/>
      <c r="D812" s="529"/>
      <c r="E812" s="444"/>
      <c r="F812" s="439"/>
      <c r="G812" s="444"/>
      <c r="H812" s="444"/>
      <c r="I812" s="444"/>
      <c r="J812" s="515"/>
      <c r="K812" s="444"/>
      <c r="L812" s="515"/>
      <c r="M812" s="515"/>
      <c r="N812" s="444"/>
      <c r="O812" s="515"/>
      <c r="P812" s="515"/>
    </row>
    <row r="813" spans="1:16" x14ac:dyDescent="0.25">
      <c r="A813" s="424"/>
      <c r="B813" s="439"/>
      <c r="C813" s="529"/>
      <c r="D813" s="529"/>
      <c r="E813" s="444"/>
      <c r="F813" s="439"/>
      <c r="G813" s="444"/>
      <c r="H813" s="444"/>
      <c r="I813" s="444"/>
      <c r="J813" s="515"/>
      <c r="K813" s="444"/>
      <c r="L813" s="515"/>
      <c r="M813" s="515"/>
      <c r="N813" s="444"/>
      <c r="O813" s="515"/>
      <c r="P813" s="515"/>
    </row>
    <row r="814" spans="1:16" x14ac:dyDescent="0.25">
      <c r="A814" s="424"/>
      <c r="B814" s="439"/>
      <c r="C814" s="529"/>
      <c r="D814" s="529"/>
      <c r="E814" s="444"/>
      <c r="F814" s="439"/>
      <c r="G814" s="444"/>
      <c r="H814" s="444"/>
      <c r="I814" s="444"/>
      <c r="J814" s="515"/>
      <c r="K814" s="444"/>
      <c r="L814" s="515"/>
      <c r="M814" s="515"/>
      <c r="N814" s="444"/>
      <c r="O814" s="515"/>
      <c r="P814" s="515"/>
    </row>
    <row r="815" spans="1:16" x14ac:dyDescent="0.25">
      <c r="A815" s="424"/>
      <c r="B815" s="439"/>
      <c r="C815" s="529"/>
      <c r="D815" s="529"/>
      <c r="E815" s="444"/>
      <c r="F815" s="439"/>
      <c r="G815" s="444"/>
      <c r="H815" s="444"/>
      <c r="I815" s="444"/>
      <c r="J815" s="515"/>
      <c r="K815" s="444"/>
      <c r="L815" s="515"/>
      <c r="M815" s="515"/>
      <c r="N815" s="444"/>
      <c r="O815" s="515"/>
      <c r="P815" s="515"/>
    </row>
    <row r="816" spans="1:16" x14ac:dyDescent="0.25">
      <c r="A816" s="424"/>
      <c r="B816" s="439"/>
      <c r="C816" s="529"/>
      <c r="D816" s="529"/>
      <c r="E816" s="444"/>
      <c r="F816" s="439"/>
      <c r="G816" s="444"/>
      <c r="H816" s="444"/>
      <c r="I816" s="444"/>
      <c r="J816" s="515"/>
      <c r="K816" s="444"/>
      <c r="L816" s="515"/>
      <c r="M816" s="515"/>
      <c r="N816" s="444"/>
      <c r="O816" s="515"/>
      <c r="P816" s="515"/>
    </row>
    <row r="817" spans="1:16" x14ac:dyDescent="0.25">
      <c r="A817" s="424"/>
      <c r="B817" s="439"/>
      <c r="C817" s="529"/>
      <c r="D817" s="529"/>
      <c r="E817" s="444"/>
      <c r="F817" s="439"/>
      <c r="G817" s="444"/>
      <c r="H817" s="444"/>
      <c r="I817" s="444"/>
      <c r="J817" s="515"/>
      <c r="K817" s="444"/>
      <c r="L817" s="515"/>
      <c r="M817" s="515"/>
      <c r="N817" s="444"/>
      <c r="O817" s="515"/>
      <c r="P817" s="515"/>
    </row>
    <row r="818" spans="1:16" x14ac:dyDescent="0.25">
      <c r="A818" s="424"/>
      <c r="B818" s="439"/>
      <c r="C818" s="529"/>
      <c r="D818" s="529"/>
      <c r="E818" s="444"/>
      <c r="F818" s="439"/>
      <c r="G818" s="444"/>
      <c r="H818" s="444"/>
      <c r="I818" s="444"/>
      <c r="J818" s="515"/>
      <c r="K818" s="444"/>
      <c r="L818" s="515"/>
      <c r="M818" s="515"/>
      <c r="N818" s="444"/>
      <c r="O818" s="515"/>
      <c r="P818" s="515"/>
    </row>
    <row r="819" spans="1:16" x14ac:dyDescent="0.25">
      <c r="A819" s="424"/>
      <c r="B819" s="439"/>
      <c r="C819" s="529"/>
      <c r="D819" s="529"/>
      <c r="E819" s="444"/>
      <c r="F819" s="439"/>
      <c r="G819" s="444"/>
      <c r="H819" s="444"/>
      <c r="I819" s="444"/>
      <c r="J819" s="515"/>
      <c r="K819" s="444"/>
      <c r="L819" s="515"/>
      <c r="M819" s="515"/>
      <c r="N819" s="444"/>
      <c r="O819" s="515"/>
      <c r="P819" s="515"/>
    </row>
    <row r="820" spans="1:16" x14ac:dyDescent="0.25">
      <c r="A820" s="424"/>
      <c r="B820" s="439"/>
      <c r="C820" s="529"/>
      <c r="D820" s="529"/>
      <c r="E820" s="444"/>
      <c r="F820" s="439"/>
      <c r="G820" s="444"/>
      <c r="H820" s="444"/>
      <c r="I820" s="444"/>
      <c r="J820" s="515"/>
      <c r="K820" s="444"/>
      <c r="L820" s="515"/>
      <c r="M820" s="515"/>
      <c r="N820" s="444"/>
      <c r="O820" s="515"/>
      <c r="P820" s="515"/>
    </row>
    <row r="821" spans="1:16" x14ac:dyDescent="0.25">
      <c r="A821" s="424"/>
      <c r="B821" s="439"/>
      <c r="C821" s="529"/>
      <c r="D821" s="529"/>
      <c r="E821" s="444"/>
      <c r="F821" s="439"/>
      <c r="G821" s="444"/>
      <c r="H821" s="444"/>
      <c r="I821" s="444"/>
      <c r="J821" s="515"/>
      <c r="K821" s="444"/>
      <c r="L821" s="515"/>
      <c r="M821" s="515"/>
      <c r="N821" s="444"/>
      <c r="O821" s="515"/>
      <c r="P821" s="515"/>
    </row>
    <row r="822" spans="1:16" x14ac:dyDescent="0.25">
      <c r="A822" s="424"/>
      <c r="B822" s="439"/>
      <c r="C822" s="529"/>
      <c r="D822" s="529"/>
      <c r="E822" s="444"/>
      <c r="F822" s="439"/>
      <c r="G822" s="444"/>
      <c r="H822" s="444"/>
      <c r="I822" s="444"/>
      <c r="J822" s="515"/>
      <c r="K822" s="444"/>
      <c r="L822" s="515"/>
      <c r="M822" s="515"/>
      <c r="N822" s="444"/>
      <c r="O822" s="515"/>
      <c r="P822" s="515"/>
    </row>
    <row r="823" spans="1:16" x14ac:dyDescent="0.25">
      <c r="A823" s="424"/>
      <c r="B823" s="439"/>
      <c r="C823" s="529"/>
      <c r="D823" s="529"/>
      <c r="E823" s="444"/>
      <c r="F823" s="439"/>
      <c r="G823" s="444"/>
      <c r="H823" s="444"/>
      <c r="I823" s="444"/>
      <c r="J823" s="515"/>
      <c r="K823" s="444"/>
      <c r="L823" s="515"/>
      <c r="M823" s="515"/>
      <c r="N823" s="444"/>
      <c r="O823" s="515"/>
      <c r="P823" s="515"/>
    </row>
    <row r="824" spans="1:16" x14ac:dyDescent="0.25">
      <c r="A824" s="424"/>
      <c r="B824" s="439"/>
      <c r="C824" s="529"/>
      <c r="D824" s="529"/>
      <c r="E824" s="444"/>
      <c r="F824" s="439"/>
      <c r="G824" s="444"/>
      <c r="H824" s="444"/>
      <c r="I824" s="444"/>
      <c r="J824" s="515"/>
      <c r="K824" s="444"/>
      <c r="L824" s="515"/>
      <c r="M824" s="515"/>
      <c r="N824" s="444"/>
      <c r="O824" s="515"/>
      <c r="P824" s="515"/>
    </row>
    <row r="825" spans="1:16" x14ac:dyDescent="0.25">
      <c r="A825" s="424"/>
      <c r="B825" s="439"/>
      <c r="C825" s="529"/>
      <c r="D825" s="529"/>
      <c r="E825" s="444"/>
      <c r="F825" s="439"/>
      <c r="G825" s="444"/>
      <c r="H825" s="444"/>
      <c r="I825" s="444"/>
      <c r="J825" s="515"/>
      <c r="K825" s="444"/>
      <c r="L825" s="515"/>
      <c r="M825" s="515"/>
      <c r="N825" s="444"/>
      <c r="O825" s="515"/>
      <c r="P825" s="515"/>
    </row>
    <row r="826" spans="1:16" x14ac:dyDescent="0.25">
      <c r="A826" s="424"/>
      <c r="B826" s="439"/>
      <c r="C826" s="529"/>
      <c r="D826" s="529"/>
      <c r="E826" s="444"/>
      <c r="F826" s="439"/>
      <c r="G826" s="444"/>
      <c r="H826" s="444"/>
      <c r="I826" s="444"/>
      <c r="J826" s="515"/>
      <c r="K826" s="444"/>
      <c r="L826" s="515"/>
      <c r="M826" s="515"/>
      <c r="N826" s="444"/>
      <c r="O826" s="515"/>
      <c r="P826" s="515"/>
    </row>
    <row r="827" spans="1:16" x14ac:dyDescent="0.25">
      <c r="A827" s="424"/>
      <c r="B827" s="439"/>
      <c r="C827" s="529"/>
      <c r="D827" s="529"/>
      <c r="E827" s="444"/>
      <c r="F827" s="439"/>
      <c r="G827" s="444"/>
      <c r="H827" s="444"/>
      <c r="I827" s="444"/>
      <c r="J827" s="515"/>
      <c r="K827" s="444"/>
      <c r="L827" s="515"/>
      <c r="M827" s="515"/>
      <c r="N827" s="444"/>
      <c r="O827" s="515"/>
      <c r="P827" s="515"/>
    </row>
    <row r="828" spans="1:16" x14ac:dyDescent="0.25">
      <c r="A828" s="424"/>
      <c r="B828" s="439"/>
      <c r="C828" s="529"/>
      <c r="D828" s="529"/>
      <c r="E828" s="444"/>
      <c r="F828" s="439"/>
      <c r="G828" s="444"/>
      <c r="H828" s="444"/>
      <c r="I828" s="444"/>
      <c r="J828" s="515"/>
      <c r="K828" s="444"/>
      <c r="L828" s="515"/>
      <c r="M828" s="515"/>
      <c r="N828" s="444"/>
      <c r="O828" s="515"/>
      <c r="P828" s="515"/>
    </row>
    <row r="829" spans="1:16" x14ac:dyDescent="0.25">
      <c r="A829" s="424"/>
      <c r="B829" s="439"/>
      <c r="C829" s="529"/>
      <c r="D829" s="529"/>
      <c r="E829" s="444"/>
      <c r="F829" s="439"/>
      <c r="G829" s="444"/>
      <c r="H829" s="444"/>
      <c r="I829" s="444"/>
      <c r="J829" s="515"/>
      <c r="K829" s="444"/>
      <c r="L829" s="515"/>
      <c r="M829" s="515"/>
      <c r="N829" s="444"/>
      <c r="O829" s="515"/>
      <c r="P829" s="515"/>
    </row>
    <row r="830" spans="1:16" x14ac:dyDescent="0.25">
      <c r="A830" s="424"/>
      <c r="B830" s="439"/>
      <c r="C830" s="529"/>
      <c r="D830" s="529"/>
      <c r="E830" s="444"/>
      <c r="F830" s="439"/>
      <c r="G830" s="444"/>
      <c r="H830" s="444"/>
      <c r="I830" s="444"/>
      <c r="J830" s="515"/>
      <c r="K830" s="444"/>
      <c r="L830" s="515"/>
      <c r="M830" s="515"/>
      <c r="N830" s="444"/>
      <c r="O830" s="515"/>
      <c r="P830" s="515"/>
    </row>
    <row r="831" spans="1:16" x14ac:dyDescent="0.25">
      <c r="A831" s="424"/>
      <c r="B831" s="439"/>
      <c r="C831" s="529"/>
      <c r="D831" s="529"/>
      <c r="E831" s="444"/>
      <c r="F831" s="439"/>
      <c r="G831" s="444"/>
      <c r="H831" s="444"/>
      <c r="I831" s="444"/>
      <c r="J831" s="515"/>
      <c r="K831" s="444"/>
      <c r="L831" s="515"/>
      <c r="M831" s="515"/>
      <c r="N831" s="444"/>
      <c r="O831" s="515"/>
      <c r="P831" s="515"/>
    </row>
    <row r="832" spans="1:16" x14ac:dyDescent="0.25">
      <c r="A832" s="424"/>
      <c r="B832" s="439"/>
      <c r="C832" s="529"/>
      <c r="D832" s="529"/>
      <c r="E832" s="444"/>
      <c r="F832" s="439"/>
      <c r="G832" s="444"/>
      <c r="H832" s="444"/>
      <c r="I832" s="444"/>
      <c r="J832" s="515"/>
      <c r="K832" s="444"/>
      <c r="L832" s="515"/>
      <c r="M832" s="515"/>
      <c r="N832" s="444"/>
      <c r="O832" s="515"/>
      <c r="P832" s="515"/>
    </row>
    <row r="833" spans="1:16" x14ac:dyDescent="0.25">
      <c r="A833" s="424"/>
      <c r="B833" s="439"/>
      <c r="C833" s="529"/>
      <c r="D833" s="529"/>
      <c r="E833" s="444"/>
      <c r="F833" s="439"/>
      <c r="G833" s="444"/>
      <c r="H833" s="444"/>
      <c r="I833" s="444"/>
      <c r="J833" s="515"/>
      <c r="K833" s="444"/>
      <c r="L833" s="515"/>
      <c r="M833" s="515"/>
      <c r="N833" s="444"/>
      <c r="O833" s="515"/>
      <c r="P833" s="515"/>
    </row>
    <row r="834" spans="1:16" x14ac:dyDescent="0.25">
      <c r="A834" s="424"/>
      <c r="B834" s="439"/>
      <c r="C834" s="529"/>
      <c r="D834" s="529"/>
      <c r="E834" s="444"/>
      <c r="F834" s="439"/>
      <c r="G834" s="444"/>
      <c r="H834" s="444"/>
      <c r="I834" s="444"/>
      <c r="J834" s="515"/>
      <c r="K834" s="444"/>
      <c r="L834" s="515"/>
      <c r="M834" s="515"/>
      <c r="N834" s="444"/>
      <c r="O834" s="515"/>
      <c r="P834" s="515"/>
    </row>
    <row r="835" spans="1:16" x14ac:dyDescent="0.25">
      <c r="A835" s="424"/>
      <c r="B835" s="439"/>
      <c r="C835" s="529"/>
      <c r="D835" s="529"/>
      <c r="E835" s="444"/>
      <c r="F835" s="439"/>
      <c r="G835" s="444"/>
      <c r="H835" s="444"/>
      <c r="I835" s="444"/>
      <c r="J835" s="515"/>
      <c r="K835" s="444"/>
      <c r="L835" s="515"/>
      <c r="M835" s="515"/>
      <c r="N835" s="444"/>
      <c r="O835" s="515"/>
      <c r="P835" s="515"/>
    </row>
    <row r="836" spans="1:16" x14ac:dyDescent="0.25">
      <c r="A836" s="424"/>
      <c r="B836" s="439"/>
      <c r="C836" s="529"/>
      <c r="D836" s="529"/>
      <c r="E836" s="444"/>
      <c r="F836" s="439"/>
      <c r="G836" s="444"/>
      <c r="H836" s="444"/>
      <c r="I836" s="444"/>
      <c r="J836" s="515"/>
      <c r="K836" s="444"/>
      <c r="L836" s="515"/>
      <c r="M836" s="515"/>
      <c r="N836" s="444"/>
      <c r="O836" s="515"/>
      <c r="P836" s="515"/>
    </row>
    <row r="837" spans="1:16" x14ac:dyDescent="0.25">
      <c r="A837" s="424"/>
      <c r="B837" s="439"/>
      <c r="C837" s="529"/>
      <c r="D837" s="529"/>
      <c r="E837" s="444"/>
      <c r="F837" s="439"/>
      <c r="G837" s="444"/>
      <c r="H837" s="444"/>
      <c r="I837" s="444"/>
      <c r="J837" s="515"/>
      <c r="K837" s="444"/>
      <c r="L837" s="515"/>
      <c r="M837" s="515"/>
      <c r="N837" s="444"/>
      <c r="O837" s="515"/>
      <c r="P837" s="515"/>
    </row>
    <row r="838" spans="1:16" x14ac:dyDescent="0.25">
      <c r="A838" s="424"/>
      <c r="B838" s="439"/>
      <c r="C838" s="529"/>
      <c r="D838" s="529"/>
      <c r="E838" s="444"/>
      <c r="F838" s="439"/>
      <c r="G838" s="444"/>
      <c r="H838" s="444"/>
      <c r="I838" s="444"/>
      <c r="J838" s="515"/>
      <c r="K838" s="444"/>
      <c r="L838" s="515"/>
      <c r="M838" s="515"/>
      <c r="N838" s="444"/>
      <c r="O838" s="515"/>
      <c r="P838" s="515"/>
    </row>
    <row r="839" spans="1:16" x14ac:dyDescent="0.25">
      <c r="A839" s="424"/>
      <c r="B839" s="439"/>
      <c r="C839" s="529"/>
      <c r="D839" s="529"/>
      <c r="E839" s="444"/>
      <c r="F839" s="439"/>
      <c r="G839" s="444"/>
      <c r="H839" s="444"/>
      <c r="I839" s="444"/>
      <c r="J839" s="515"/>
      <c r="K839" s="444"/>
      <c r="L839" s="515"/>
      <c r="M839" s="515"/>
      <c r="N839" s="444"/>
      <c r="O839" s="515"/>
      <c r="P839" s="515"/>
    </row>
    <row r="840" spans="1:16" x14ac:dyDescent="0.25">
      <c r="A840" s="424"/>
      <c r="B840" s="439"/>
      <c r="C840" s="529"/>
      <c r="D840" s="529"/>
      <c r="E840" s="444"/>
      <c r="F840" s="439"/>
      <c r="G840" s="444"/>
      <c r="H840" s="444"/>
      <c r="I840" s="444"/>
      <c r="J840" s="515"/>
      <c r="K840" s="444"/>
      <c r="L840" s="515"/>
      <c r="M840" s="515"/>
      <c r="N840" s="444"/>
      <c r="O840" s="515"/>
      <c r="P840" s="515"/>
    </row>
    <row r="841" spans="1:16" x14ac:dyDescent="0.25">
      <c r="A841" s="424"/>
      <c r="B841" s="439"/>
      <c r="C841" s="529"/>
      <c r="D841" s="529"/>
      <c r="E841" s="444"/>
      <c r="F841" s="439"/>
      <c r="G841" s="444"/>
      <c r="H841" s="444"/>
      <c r="I841" s="444"/>
      <c r="J841" s="515"/>
      <c r="K841" s="444"/>
      <c r="L841" s="515"/>
      <c r="M841" s="515"/>
      <c r="N841" s="444"/>
      <c r="O841" s="515"/>
      <c r="P841" s="515"/>
    </row>
    <row r="842" spans="1:16" x14ac:dyDescent="0.25">
      <c r="A842" s="424"/>
      <c r="B842" s="439"/>
      <c r="C842" s="529"/>
      <c r="D842" s="529"/>
      <c r="E842" s="444"/>
      <c r="F842" s="439"/>
      <c r="G842" s="444"/>
      <c r="H842" s="444"/>
      <c r="I842" s="444"/>
      <c r="J842" s="515"/>
      <c r="K842" s="444"/>
      <c r="L842" s="515"/>
      <c r="M842" s="515"/>
      <c r="N842" s="444"/>
      <c r="O842" s="515"/>
      <c r="P842" s="515"/>
    </row>
    <row r="843" spans="1:16" x14ac:dyDescent="0.25">
      <c r="A843" s="424"/>
      <c r="B843" s="439"/>
      <c r="C843" s="529"/>
      <c r="D843" s="529"/>
      <c r="E843" s="444"/>
      <c r="F843" s="439"/>
      <c r="G843" s="444"/>
      <c r="H843" s="444"/>
      <c r="I843" s="444"/>
      <c r="J843" s="515"/>
      <c r="K843" s="444"/>
      <c r="L843" s="515"/>
      <c r="M843" s="515"/>
      <c r="N843" s="444"/>
      <c r="O843" s="515"/>
      <c r="P843" s="515"/>
    </row>
    <row r="844" spans="1:16" x14ac:dyDescent="0.25">
      <c r="A844" s="424"/>
      <c r="B844" s="439"/>
      <c r="C844" s="529"/>
      <c r="D844" s="529"/>
      <c r="E844" s="444"/>
      <c r="F844" s="439"/>
      <c r="G844" s="444"/>
      <c r="H844" s="444"/>
      <c r="I844" s="444"/>
      <c r="J844" s="515"/>
      <c r="K844" s="444"/>
      <c r="L844" s="515"/>
      <c r="M844" s="515"/>
      <c r="N844" s="444"/>
      <c r="O844" s="515"/>
      <c r="P844" s="515"/>
    </row>
    <row r="845" spans="1:16" x14ac:dyDescent="0.25">
      <c r="A845" s="424"/>
      <c r="B845" s="439"/>
      <c r="C845" s="529"/>
      <c r="D845" s="529"/>
      <c r="E845" s="444"/>
      <c r="F845" s="439"/>
      <c r="G845" s="444"/>
      <c r="H845" s="444"/>
      <c r="I845" s="444"/>
      <c r="J845" s="515"/>
      <c r="K845" s="444"/>
      <c r="L845" s="515"/>
      <c r="M845" s="515"/>
      <c r="N845" s="444"/>
      <c r="O845" s="515"/>
      <c r="P845" s="515"/>
    </row>
    <row r="846" spans="1:16" x14ac:dyDescent="0.25">
      <c r="A846" s="424"/>
      <c r="B846" s="439"/>
      <c r="C846" s="529"/>
      <c r="D846" s="529"/>
      <c r="E846" s="444"/>
      <c r="F846" s="439"/>
      <c r="G846" s="444"/>
      <c r="H846" s="444"/>
      <c r="I846" s="444"/>
      <c r="J846" s="515"/>
      <c r="K846" s="444"/>
      <c r="L846" s="515"/>
      <c r="M846" s="515"/>
      <c r="N846" s="444"/>
      <c r="O846" s="515"/>
      <c r="P846" s="515"/>
    </row>
    <row r="847" spans="1:16" x14ac:dyDescent="0.25">
      <c r="A847" s="424"/>
      <c r="B847" s="439"/>
      <c r="C847" s="529"/>
      <c r="D847" s="529"/>
      <c r="E847" s="444"/>
      <c r="F847" s="439"/>
      <c r="G847" s="444"/>
      <c r="H847" s="444"/>
      <c r="I847" s="444"/>
      <c r="J847" s="515"/>
      <c r="K847" s="444"/>
      <c r="L847" s="515"/>
      <c r="M847" s="515"/>
      <c r="N847" s="444"/>
      <c r="O847" s="515"/>
      <c r="P847" s="515"/>
    </row>
    <row r="848" spans="1:16" x14ac:dyDescent="0.25">
      <c r="A848" s="424"/>
      <c r="B848" s="439"/>
      <c r="C848" s="529"/>
      <c r="D848" s="529"/>
      <c r="E848" s="444"/>
      <c r="F848" s="439"/>
      <c r="G848" s="444"/>
      <c r="H848" s="444"/>
      <c r="I848" s="444"/>
      <c r="J848" s="515"/>
      <c r="K848" s="444"/>
      <c r="L848" s="515"/>
      <c r="M848" s="515"/>
      <c r="N848" s="444"/>
      <c r="O848" s="515"/>
      <c r="P848" s="515"/>
    </row>
    <row r="849" spans="1:16" x14ac:dyDescent="0.25">
      <c r="A849" s="424"/>
      <c r="B849" s="439"/>
      <c r="C849" s="529"/>
      <c r="D849" s="529"/>
      <c r="E849" s="444"/>
      <c r="F849" s="439"/>
      <c r="G849" s="444"/>
      <c r="H849" s="444"/>
      <c r="I849" s="444"/>
      <c r="J849" s="515"/>
      <c r="K849" s="444"/>
      <c r="L849" s="515"/>
      <c r="M849" s="515"/>
      <c r="N849" s="444"/>
      <c r="O849" s="515"/>
      <c r="P849" s="515"/>
    </row>
    <row r="850" spans="1:16" x14ac:dyDescent="0.25">
      <c r="A850" s="424"/>
      <c r="B850" s="439"/>
      <c r="C850" s="529"/>
      <c r="D850" s="529"/>
      <c r="E850" s="444"/>
      <c r="F850" s="439"/>
      <c r="G850" s="444"/>
      <c r="H850" s="444"/>
      <c r="I850" s="444"/>
      <c r="J850" s="515"/>
      <c r="K850" s="444"/>
      <c r="L850" s="515"/>
      <c r="M850" s="515"/>
      <c r="N850" s="444"/>
      <c r="O850" s="515"/>
      <c r="P850" s="515"/>
    </row>
    <row r="851" spans="1:16" x14ac:dyDescent="0.25">
      <c r="A851" s="424"/>
      <c r="B851" s="439"/>
      <c r="C851" s="529"/>
      <c r="D851" s="529"/>
      <c r="E851" s="444"/>
      <c r="F851" s="439"/>
      <c r="G851" s="444"/>
      <c r="H851" s="444"/>
      <c r="I851" s="444"/>
      <c r="J851" s="515"/>
      <c r="K851" s="444"/>
      <c r="L851" s="515"/>
      <c r="M851" s="515"/>
      <c r="N851" s="444"/>
      <c r="O851" s="515"/>
      <c r="P851" s="515"/>
    </row>
    <row r="852" spans="1:16" x14ac:dyDescent="0.25">
      <c r="A852" s="424"/>
      <c r="B852" s="439"/>
      <c r="C852" s="529"/>
      <c r="D852" s="529"/>
      <c r="E852" s="444"/>
      <c r="F852" s="439"/>
      <c r="G852" s="444"/>
      <c r="H852" s="444"/>
      <c r="I852" s="444"/>
      <c r="J852" s="515"/>
      <c r="K852" s="444"/>
      <c r="L852" s="515"/>
      <c r="M852" s="515"/>
      <c r="N852" s="444"/>
      <c r="O852" s="515"/>
      <c r="P852" s="515"/>
    </row>
    <row r="853" spans="1:16" x14ac:dyDescent="0.25">
      <c r="A853" s="424"/>
      <c r="B853" s="439"/>
      <c r="C853" s="529"/>
      <c r="D853" s="529"/>
      <c r="E853" s="444"/>
      <c r="F853" s="439"/>
      <c r="G853" s="444"/>
      <c r="H853" s="444"/>
      <c r="I853" s="444"/>
      <c r="J853" s="515"/>
      <c r="K853" s="444"/>
      <c r="L853" s="515"/>
      <c r="M853" s="515"/>
      <c r="N853" s="444"/>
      <c r="O853" s="515"/>
      <c r="P853" s="515"/>
    </row>
    <row r="854" spans="1:16" x14ac:dyDescent="0.25">
      <c r="A854" s="424"/>
      <c r="B854" s="439"/>
      <c r="C854" s="529"/>
      <c r="D854" s="529"/>
      <c r="E854" s="444"/>
      <c r="F854" s="439"/>
      <c r="G854" s="444"/>
      <c r="H854" s="444"/>
      <c r="I854" s="444"/>
      <c r="J854" s="515"/>
      <c r="K854" s="444"/>
      <c r="L854" s="515"/>
      <c r="M854" s="515"/>
      <c r="N854" s="444"/>
      <c r="O854" s="515"/>
      <c r="P854" s="515"/>
    </row>
    <row r="855" spans="1:16" x14ac:dyDescent="0.25">
      <c r="A855" s="424"/>
      <c r="B855" s="439"/>
      <c r="C855" s="529"/>
      <c r="D855" s="529"/>
      <c r="E855" s="444"/>
      <c r="F855" s="439"/>
      <c r="G855" s="444"/>
      <c r="H855" s="444"/>
      <c r="I855" s="444"/>
      <c r="J855" s="515"/>
      <c r="K855" s="444"/>
      <c r="L855" s="515"/>
      <c r="M855" s="515"/>
      <c r="N855" s="444"/>
      <c r="O855" s="515"/>
      <c r="P855" s="515"/>
    </row>
    <row r="856" spans="1:16" x14ac:dyDescent="0.25">
      <c r="A856" s="424"/>
      <c r="B856" s="439"/>
      <c r="C856" s="529"/>
      <c r="D856" s="529"/>
      <c r="E856" s="444"/>
      <c r="F856" s="439"/>
      <c r="G856" s="444"/>
      <c r="H856" s="444"/>
      <c r="I856" s="444"/>
      <c r="J856" s="515"/>
      <c r="K856" s="444"/>
      <c r="L856" s="515"/>
      <c r="M856" s="515"/>
      <c r="N856" s="444"/>
      <c r="O856" s="515"/>
      <c r="P856" s="515"/>
    </row>
    <row r="857" spans="1:16" x14ac:dyDescent="0.25">
      <c r="A857" s="424"/>
      <c r="B857" s="439"/>
      <c r="C857" s="529"/>
      <c r="D857" s="529"/>
      <c r="E857" s="444"/>
      <c r="F857" s="439"/>
      <c r="G857" s="444"/>
      <c r="H857" s="444"/>
      <c r="I857" s="444"/>
      <c r="J857" s="515"/>
      <c r="K857" s="444"/>
      <c r="L857" s="515"/>
      <c r="M857" s="515"/>
      <c r="N857" s="444"/>
      <c r="O857" s="515"/>
      <c r="P857" s="515"/>
    </row>
    <row r="858" spans="1:16" x14ac:dyDescent="0.25">
      <c r="A858" s="424"/>
      <c r="B858" s="439"/>
      <c r="C858" s="529"/>
      <c r="D858" s="529"/>
      <c r="E858" s="444"/>
      <c r="F858" s="439"/>
      <c r="G858" s="444"/>
      <c r="H858" s="444"/>
      <c r="I858" s="444"/>
      <c r="J858" s="515"/>
      <c r="K858" s="444"/>
      <c r="L858" s="515"/>
      <c r="M858" s="515"/>
      <c r="N858" s="444"/>
      <c r="O858" s="515"/>
      <c r="P858" s="515"/>
    </row>
    <row r="859" spans="1:16" x14ac:dyDescent="0.25">
      <c r="A859" s="424"/>
      <c r="B859" s="439"/>
      <c r="C859" s="529"/>
      <c r="D859" s="529"/>
      <c r="E859" s="444"/>
      <c r="F859" s="439"/>
      <c r="G859" s="444"/>
      <c r="H859" s="444"/>
      <c r="I859" s="444"/>
      <c r="J859" s="515"/>
      <c r="K859" s="444"/>
      <c r="L859" s="515"/>
      <c r="M859" s="515"/>
      <c r="N859" s="444"/>
      <c r="O859" s="515"/>
      <c r="P859" s="515"/>
    </row>
    <row r="860" spans="1:16" x14ac:dyDescent="0.25">
      <c r="A860" s="424"/>
      <c r="B860" s="439"/>
      <c r="C860" s="529"/>
      <c r="D860" s="529"/>
      <c r="E860" s="444"/>
      <c r="F860" s="439"/>
      <c r="G860" s="444"/>
      <c r="H860" s="444"/>
      <c r="I860" s="444"/>
      <c r="J860" s="515"/>
      <c r="K860" s="444"/>
      <c r="L860" s="515"/>
      <c r="M860" s="515"/>
      <c r="N860" s="444"/>
      <c r="O860" s="515"/>
      <c r="P860" s="515"/>
    </row>
    <row r="861" spans="1:16" x14ac:dyDescent="0.25">
      <c r="A861" s="424"/>
      <c r="B861" s="439"/>
      <c r="C861" s="529"/>
      <c r="D861" s="529"/>
      <c r="E861" s="444"/>
      <c r="F861" s="439"/>
      <c r="G861" s="444"/>
      <c r="H861" s="444"/>
      <c r="I861" s="444"/>
      <c r="J861" s="515"/>
      <c r="K861" s="444"/>
      <c r="L861" s="515"/>
      <c r="M861" s="515"/>
      <c r="N861" s="444"/>
      <c r="O861" s="515"/>
      <c r="P861" s="515"/>
    </row>
    <row r="862" spans="1:16" x14ac:dyDescent="0.25">
      <c r="A862" s="424"/>
      <c r="B862" s="439"/>
      <c r="C862" s="529"/>
      <c r="D862" s="529"/>
      <c r="E862" s="444"/>
      <c r="F862" s="439"/>
      <c r="G862" s="444"/>
      <c r="H862" s="444"/>
      <c r="I862" s="444"/>
      <c r="J862" s="515"/>
      <c r="K862" s="444"/>
      <c r="L862" s="515"/>
      <c r="M862" s="515"/>
      <c r="N862" s="444"/>
      <c r="O862" s="515"/>
      <c r="P862" s="515"/>
    </row>
    <row r="863" spans="1:16" x14ac:dyDescent="0.25">
      <c r="A863" s="424"/>
      <c r="B863" s="439"/>
      <c r="C863" s="529"/>
      <c r="D863" s="529"/>
      <c r="E863" s="444"/>
      <c r="F863" s="439"/>
      <c r="G863" s="444"/>
      <c r="H863" s="444"/>
      <c r="I863" s="444"/>
      <c r="J863" s="515"/>
      <c r="K863" s="444"/>
      <c r="L863" s="515"/>
      <c r="M863" s="515"/>
      <c r="N863" s="444"/>
      <c r="O863" s="515"/>
      <c r="P863" s="515"/>
    </row>
    <row r="864" spans="1:16" x14ac:dyDescent="0.25">
      <c r="A864" s="424"/>
      <c r="B864" s="439"/>
      <c r="C864" s="529"/>
      <c r="D864" s="529"/>
      <c r="E864" s="444"/>
      <c r="F864" s="439"/>
      <c r="G864" s="444"/>
      <c r="H864" s="444"/>
      <c r="I864" s="444"/>
      <c r="J864" s="515"/>
      <c r="K864" s="444"/>
      <c r="L864" s="515"/>
      <c r="M864" s="515"/>
      <c r="N864" s="444"/>
      <c r="O864" s="515"/>
      <c r="P864" s="515"/>
    </row>
    <row r="865" spans="1:16" x14ac:dyDescent="0.25">
      <c r="A865" s="424"/>
      <c r="B865" s="439"/>
      <c r="C865" s="529"/>
      <c r="D865" s="529"/>
      <c r="E865" s="444"/>
      <c r="F865" s="439"/>
      <c r="G865" s="444"/>
      <c r="H865" s="444"/>
      <c r="I865" s="444"/>
      <c r="J865" s="515"/>
      <c r="K865" s="444"/>
      <c r="L865" s="515"/>
      <c r="M865" s="515"/>
      <c r="N865" s="444"/>
      <c r="O865" s="515"/>
      <c r="P865" s="515"/>
    </row>
    <row r="866" spans="1:16" x14ac:dyDescent="0.25">
      <c r="A866" s="424"/>
      <c r="B866" s="439"/>
      <c r="C866" s="529"/>
      <c r="D866" s="529"/>
      <c r="E866" s="444"/>
      <c r="F866" s="439"/>
      <c r="G866" s="444"/>
      <c r="H866" s="444"/>
      <c r="I866" s="444"/>
      <c r="J866" s="515"/>
      <c r="K866" s="444"/>
      <c r="L866" s="515"/>
      <c r="M866" s="515"/>
      <c r="N866" s="444"/>
      <c r="O866" s="515"/>
      <c r="P866" s="515"/>
    </row>
    <row r="867" spans="1:16" x14ac:dyDescent="0.25">
      <c r="A867" s="424"/>
      <c r="B867" s="439"/>
      <c r="C867" s="529"/>
      <c r="D867" s="529"/>
      <c r="E867" s="444"/>
      <c r="F867" s="439"/>
      <c r="G867" s="444"/>
      <c r="H867" s="444"/>
      <c r="I867" s="444"/>
      <c r="J867" s="515"/>
      <c r="K867" s="444"/>
      <c r="L867" s="515"/>
      <c r="M867" s="515"/>
      <c r="N867" s="444"/>
      <c r="O867" s="515"/>
      <c r="P867" s="515"/>
    </row>
    <row r="868" spans="1:16" x14ac:dyDescent="0.25">
      <c r="A868" s="424"/>
      <c r="B868" s="439"/>
      <c r="C868" s="529"/>
      <c r="D868" s="529"/>
      <c r="E868" s="444"/>
      <c r="F868" s="439"/>
      <c r="G868" s="444"/>
      <c r="H868" s="444"/>
      <c r="I868" s="444"/>
      <c r="J868" s="515"/>
      <c r="K868" s="444"/>
      <c r="L868" s="515"/>
      <c r="M868" s="515"/>
      <c r="N868" s="444"/>
      <c r="O868" s="515"/>
      <c r="P868" s="515"/>
    </row>
    <row r="869" spans="1:16" x14ac:dyDescent="0.25">
      <c r="A869" s="424"/>
      <c r="B869" s="439"/>
      <c r="C869" s="529"/>
      <c r="D869" s="529"/>
      <c r="E869" s="444"/>
      <c r="F869" s="439"/>
      <c r="G869" s="444"/>
      <c r="H869" s="444"/>
      <c r="I869" s="444"/>
      <c r="J869" s="515"/>
      <c r="K869" s="444"/>
      <c r="L869" s="515"/>
      <c r="M869" s="515"/>
      <c r="N869" s="444"/>
      <c r="O869" s="515"/>
      <c r="P869" s="515"/>
    </row>
    <row r="870" spans="1:16" x14ac:dyDescent="0.25">
      <c r="A870" s="424"/>
      <c r="B870" s="439"/>
      <c r="C870" s="529"/>
      <c r="D870" s="529"/>
      <c r="E870" s="444"/>
      <c r="F870" s="439"/>
      <c r="G870" s="444"/>
      <c r="H870" s="444"/>
      <c r="I870" s="444"/>
      <c r="J870" s="515"/>
      <c r="K870" s="444"/>
      <c r="L870" s="515"/>
      <c r="M870" s="515"/>
      <c r="N870" s="444"/>
      <c r="O870" s="515"/>
      <c r="P870" s="515"/>
    </row>
    <row r="871" spans="1:16" x14ac:dyDescent="0.25">
      <c r="A871" s="424"/>
      <c r="B871" s="439"/>
      <c r="C871" s="529"/>
      <c r="D871" s="529"/>
      <c r="E871" s="444"/>
      <c r="F871" s="439"/>
      <c r="G871" s="444"/>
      <c r="H871" s="444"/>
      <c r="I871" s="444"/>
      <c r="J871" s="515"/>
      <c r="K871" s="444"/>
      <c r="L871" s="515"/>
      <c r="M871" s="515"/>
      <c r="N871" s="444"/>
      <c r="O871" s="515"/>
      <c r="P871" s="515"/>
    </row>
    <row r="872" spans="1:16" x14ac:dyDescent="0.25">
      <c r="A872" s="424"/>
      <c r="B872" s="439"/>
      <c r="C872" s="529"/>
      <c r="D872" s="529"/>
      <c r="E872" s="444"/>
      <c r="F872" s="439"/>
      <c r="G872" s="444"/>
      <c r="H872" s="444"/>
      <c r="I872" s="444"/>
      <c r="J872" s="515"/>
      <c r="K872" s="444"/>
      <c r="L872" s="515"/>
      <c r="M872" s="515"/>
      <c r="N872" s="444"/>
      <c r="O872" s="515"/>
      <c r="P872" s="515"/>
    </row>
    <row r="873" spans="1:16" x14ac:dyDescent="0.25">
      <c r="A873" s="424"/>
      <c r="B873" s="439"/>
      <c r="C873" s="529"/>
      <c r="D873" s="529"/>
      <c r="E873" s="444"/>
      <c r="F873" s="439"/>
      <c r="G873" s="444"/>
      <c r="H873" s="444"/>
      <c r="I873" s="444"/>
      <c r="J873" s="515"/>
      <c r="K873" s="444"/>
      <c r="L873" s="515"/>
      <c r="M873" s="515"/>
      <c r="N873" s="444"/>
      <c r="O873" s="515"/>
      <c r="P873" s="515"/>
    </row>
    <row r="874" spans="1:16" x14ac:dyDescent="0.25">
      <c r="A874" s="424"/>
      <c r="B874" s="439"/>
      <c r="C874" s="529"/>
      <c r="D874" s="529"/>
      <c r="E874" s="444"/>
      <c r="F874" s="439"/>
      <c r="G874" s="444"/>
      <c r="H874" s="444"/>
      <c r="I874" s="444"/>
      <c r="J874" s="515"/>
      <c r="K874" s="444"/>
      <c r="L874" s="515"/>
      <c r="M874" s="515"/>
      <c r="N874" s="444"/>
      <c r="O874" s="515"/>
      <c r="P874" s="515"/>
    </row>
    <row r="875" spans="1:16" x14ac:dyDescent="0.25">
      <c r="A875" s="424"/>
      <c r="B875" s="439"/>
      <c r="C875" s="529"/>
      <c r="D875" s="529"/>
      <c r="E875" s="444"/>
      <c r="F875" s="439"/>
      <c r="G875" s="444"/>
      <c r="H875" s="444"/>
      <c r="I875" s="444"/>
      <c r="J875" s="515"/>
      <c r="K875" s="444"/>
      <c r="L875" s="515"/>
      <c r="M875" s="515"/>
      <c r="N875" s="444"/>
      <c r="O875" s="515"/>
      <c r="P875" s="515"/>
    </row>
    <row r="876" spans="1:16" x14ac:dyDescent="0.25">
      <c r="A876" s="424"/>
      <c r="B876" s="439"/>
      <c r="C876" s="529"/>
      <c r="D876" s="529"/>
      <c r="E876" s="444"/>
      <c r="F876" s="439"/>
      <c r="G876" s="444"/>
      <c r="H876" s="444"/>
      <c r="I876" s="444"/>
      <c r="J876" s="515"/>
      <c r="K876" s="444"/>
      <c r="L876" s="515"/>
      <c r="M876" s="515"/>
      <c r="N876" s="444"/>
      <c r="O876" s="515"/>
      <c r="P876" s="515"/>
    </row>
    <row r="877" spans="1:16" x14ac:dyDescent="0.25">
      <c r="A877" s="424"/>
      <c r="B877" s="439"/>
      <c r="C877" s="529"/>
      <c r="D877" s="529"/>
      <c r="E877" s="444"/>
      <c r="F877" s="439"/>
      <c r="G877" s="444"/>
      <c r="H877" s="444"/>
      <c r="I877" s="444"/>
      <c r="J877" s="515"/>
      <c r="K877" s="444"/>
      <c r="L877" s="515"/>
      <c r="M877" s="515"/>
      <c r="N877" s="444"/>
      <c r="O877" s="515"/>
      <c r="P877" s="515"/>
    </row>
    <row r="878" spans="1:16" x14ac:dyDescent="0.25">
      <c r="A878" s="424"/>
      <c r="B878" s="439"/>
      <c r="C878" s="529"/>
      <c r="D878" s="529"/>
      <c r="E878" s="444"/>
      <c r="F878" s="439"/>
      <c r="G878" s="444"/>
      <c r="H878" s="444"/>
      <c r="I878" s="444"/>
      <c r="J878" s="515"/>
      <c r="K878" s="444"/>
      <c r="L878" s="515"/>
      <c r="M878" s="515"/>
      <c r="N878" s="444"/>
      <c r="O878" s="515"/>
      <c r="P878" s="515"/>
    </row>
    <row r="879" spans="1:16" x14ac:dyDescent="0.25">
      <c r="A879" s="424"/>
      <c r="B879" s="439"/>
      <c r="C879" s="529"/>
      <c r="D879" s="529"/>
      <c r="E879" s="444"/>
      <c r="F879" s="439"/>
      <c r="G879" s="444"/>
      <c r="H879" s="444"/>
      <c r="I879" s="444"/>
      <c r="J879" s="515"/>
      <c r="K879" s="444"/>
      <c r="L879" s="515"/>
      <c r="M879" s="515"/>
      <c r="N879" s="444"/>
      <c r="O879" s="515"/>
      <c r="P879" s="515"/>
    </row>
    <row r="880" spans="1:16" x14ac:dyDescent="0.25">
      <c r="A880" s="424"/>
      <c r="B880" s="439"/>
      <c r="C880" s="529"/>
      <c r="D880" s="529"/>
      <c r="E880" s="444"/>
      <c r="F880" s="439"/>
      <c r="G880" s="444"/>
      <c r="H880" s="444"/>
      <c r="I880" s="444"/>
      <c r="J880" s="515"/>
      <c r="K880" s="444"/>
      <c r="L880" s="515"/>
      <c r="M880" s="515"/>
      <c r="N880" s="444"/>
      <c r="O880" s="515"/>
      <c r="P880" s="515"/>
    </row>
    <row r="881" spans="1:16" x14ac:dyDescent="0.25">
      <c r="A881" s="424"/>
      <c r="B881" s="439"/>
      <c r="C881" s="529"/>
      <c r="D881" s="529"/>
      <c r="E881" s="444"/>
      <c r="F881" s="439"/>
      <c r="G881" s="444"/>
      <c r="H881" s="444"/>
      <c r="I881" s="444"/>
      <c r="J881" s="515"/>
      <c r="K881" s="444"/>
      <c r="L881" s="515"/>
      <c r="M881" s="515"/>
      <c r="N881" s="444"/>
      <c r="O881" s="515"/>
      <c r="P881" s="515"/>
    </row>
    <row r="882" spans="1:16" x14ac:dyDescent="0.25">
      <c r="A882" s="424"/>
      <c r="B882" s="439"/>
      <c r="C882" s="529"/>
      <c r="D882" s="529"/>
      <c r="E882" s="444"/>
      <c r="F882" s="439"/>
      <c r="G882" s="444"/>
      <c r="H882" s="444"/>
      <c r="I882" s="444"/>
      <c r="J882" s="515"/>
      <c r="K882" s="444"/>
      <c r="L882" s="515"/>
      <c r="M882" s="515"/>
      <c r="N882" s="444"/>
      <c r="O882" s="515"/>
      <c r="P882" s="515"/>
    </row>
    <row r="883" spans="1:16" x14ac:dyDescent="0.25">
      <c r="A883" s="424"/>
      <c r="B883" s="439"/>
      <c r="C883" s="529"/>
      <c r="D883" s="529"/>
      <c r="E883" s="444"/>
      <c r="F883" s="439"/>
      <c r="G883" s="444"/>
      <c r="H883" s="444"/>
      <c r="I883" s="444"/>
      <c r="J883" s="515"/>
      <c r="K883" s="444"/>
      <c r="L883" s="515"/>
      <c r="M883" s="515"/>
      <c r="N883" s="444"/>
      <c r="O883" s="515"/>
      <c r="P883" s="515"/>
    </row>
    <row r="884" spans="1:16" x14ac:dyDescent="0.25">
      <c r="A884" s="424"/>
      <c r="B884" s="439"/>
      <c r="C884" s="529"/>
      <c r="D884" s="529"/>
      <c r="E884" s="444"/>
      <c r="F884" s="439"/>
      <c r="G884" s="444"/>
      <c r="H884" s="444"/>
      <c r="I884" s="444"/>
      <c r="J884" s="515"/>
      <c r="K884" s="444"/>
      <c r="L884" s="515"/>
      <c r="M884" s="515"/>
      <c r="N884" s="444"/>
      <c r="O884" s="515"/>
      <c r="P884" s="515"/>
    </row>
    <row r="885" spans="1:16" x14ac:dyDescent="0.25">
      <c r="A885" s="424"/>
      <c r="B885" s="439"/>
      <c r="C885" s="529"/>
      <c r="D885" s="529"/>
      <c r="E885" s="444"/>
      <c r="F885" s="439"/>
      <c r="G885" s="444"/>
      <c r="H885" s="444"/>
      <c r="I885" s="444"/>
      <c r="J885" s="515"/>
      <c r="K885" s="444"/>
      <c r="L885" s="515"/>
      <c r="M885" s="515"/>
      <c r="N885" s="444"/>
      <c r="O885" s="515"/>
      <c r="P885" s="515"/>
    </row>
    <row r="886" spans="1:16" x14ac:dyDescent="0.25">
      <c r="A886" s="424"/>
      <c r="B886" s="439"/>
      <c r="C886" s="529"/>
      <c r="D886" s="529"/>
      <c r="E886" s="444"/>
      <c r="F886" s="439"/>
      <c r="G886" s="444"/>
      <c r="H886" s="444"/>
      <c r="I886" s="444"/>
      <c r="J886" s="515"/>
      <c r="K886" s="444"/>
      <c r="L886" s="515"/>
      <c r="M886" s="515"/>
      <c r="N886" s="444"/>
      <c r="O886" s="515"/>
      <c r="P886" s="515"/>
    </row>
    <row r="887" spans="1:16" x14ac:dyDescent="0.25">
      <c r="A887" s="424"/>
      <c r="B887" s="439"/>
      <c r="C887" s="529"/>
      <c r="D887" s="529"/>
      <c r="E887" s="444"/>
      <c r="F887" s="439"/>
      <c r="G887" s="444"/>
      <c r="H887" s="444"/>
      <c r="I887" s="444"/>
      <c r="J887" s="515"/>
      <c r="K887" s="444"/>
      <c r="L887" s="515"/>
      <c r="M887" s="515"/>
      <c r="N887" s="444"/>
      <c r="O887" s="515"/>
      <c r="P887" s="515"/>
    </row>
    <row r="888" spans="1:16" x14ac:dyDescent="0.25">
      <c r="A888" s="424"/>
      <c r="B888" s="439"/>
      <c r="C888" s="529"/>
      <c r="D888" s="529"/>
      <c r="E888" s="444"/>
      <c r="F888" s="439"/>
      <c r="G888" s="444"/>
      <c r="H888" s="444"/>
      <c r="I888" s="444"/>
      <c r="J888" s="515"/>
      <c r="K888" s="444"/>
      <c r="L888" s="515"/>
      <c r="M888" s="515"/>
      <c r="N888" s="444"/>
      <c r="O888" s="515"/>
      <c r="P888" s="515"/>
    </row>
    <row r="889" spans="1:16" x14ac:dyDescent="0.25">
      <c r="A889" s="424"/>
      <c r="B889" s="439"/>
      <c r="C889" s="529"/>
      <c r="D889" s="529"/>
      <c r="E889" s="444"/>
      <c r="F889" s="439"/>
      <c r="G889" s="444"/>
      <c r="H889" s="444"/>
      <c r="I889" s="444"/>
      <c r="J889" s="515"/>
      <c r="K889" s="444"/>
      <c r="L889" s="515"/>
      <c r="M889" s="515"/>
      <c r="N889" s="444"/>
      <c r="O889" s="515"/>
      <c r="P889" s="515"/>
    </row>
    <row r="890" spans="1:16" x14ac:dyDescent="0.25">
      <c r="A890" s="424"/>
      <c r="B890" s="439"/>
      <c r="C890" s="529"/>
      <c r="D890" s="529"/>
      <c r="E890" s="444"/>
      <c r="F890" s="439"/>
      <c r="G890" s="444"/>
      <c r="H890" s="444"/>
      <c r="I890" s="444"/>
      <c r="J890" s="515"/>
      <c r="K890" s="444"/>
      <c r="L890" s="515"/>
      <c r="M890" s="515"/>
      <c r="N890" s="444"/>
      <c r="O890" s="515"/>
      <c r="P890" s="515"/>
    </row>
    <row r="891" spans="1:16" x14ac:dyDescent="0.25">
      <c r="A891" s="424"/>
      <c r="B891" s="439"/>
      <c r="C891" s="529"/>
      <c r="D891" s="529"/>
      <c r="E891" s="444"/>
      <c r="F891" s="439"/>
      <c r="G891" s="444"/>
      <c r="H891" s="444"/>
      <c r="I891" s="444"/>
      <c r="J891" s="515"/>
      <c r="K891" s="444"/>
      <c r="L891" s="515"/>
      <c r="M891" s="515"/>
      <c r="N891" s="444"/>
      <c r="O891" s="515"/>
      <c r="P891" s="515"/>
    </row>
    <row r="892" spans="1:16" x14ac:dyDescent="0.25">
      <c r="A892" s="424"/>
      <c r="B892" s="439"/>
      <c r="C892" s="529"/>
      <c r="D892" s="529"/>
      <c r="E892" s="444"/>
      <c r="F892" s="439"/>
      <c r="G892" s="444"/>
      <c r="H892" s="444"/>
      <c r="I892" s="444"/>
      <c r="J892" s="515"/>
      <c r="K892" s="444"/>
      <c r="L892" s="515"/>
      <c r="M892" s="515"/>
      <c r="N892" s="444"/>
      <c r="O892" s="515"/>
      <c r="P892" s="515"/>
    </row>
    <row r="893" spans="1:16" x14ac:dyDescent="0.25">
      <c r="A893" s="424"/>
      <c r="B893" s="439"/>
      <c r="C893" s="529"/>
      <c r="D893" s="529"/>
      <c r="E893" s="444"/>
      <c r="F893" s="439"/>
      <c r="G893" s="444"/>
      <c r="H893" s="444"/>
      <c r="I893" s="444"/>
      <c r="J893" s="515"/>
      <c r="K893" s="444"/>
      <c r="L893" s="515"/>
      <c r="M893" s="515"/>
      <c r="N893" s="444"/>
      <c r="O893" s="515"/>
      <c r="P893" s="515"/>
    </row>
    <row r="894" spans="1:16" x14ac:dyDescent="0.25">
      <c r="A894" s="424"/>
      <c r="B894" s="439"/>
      <c r="C894" s="529"/>
      <c r="D894" s="529"/>
      <c r="E894" s="444"/>
      <c r="F894" s="439"/>
      <c r="G894" s="444"/>
      <c r="H894" s="444"/>
      <c r="I894" s="444"/>
      <c r="J894" s="515"/>
      <c r="K894" s="444"/>
      <c r="L894" s="515"/>
      <c r="M894" s="515"/>
      <c r="N894" s="444"/>
      <c r="O894" s="515"/>
      <c r="P894" s="515"/>
    </row>
    <row r="895" spans="1:16" x14ac:dyDescent="0.25">
      <c r="A895" s="424"/>
      <c r="B895" s="439"/>
      <c r="C895" s="529"/>
      <c r="D895" s="529"/>
      <c r="E895" s="444"/>
      <c r="F895" s="439"/>
      <c r="G895" s="444"/>
      <c r="H895" s="444"/>
      <c r="I895" s="444"/>
      <c r="J895" s="515"/>
      <c r="K895" s="444"/>
      <c r="L895" s="515"/>
      <c r="M895" s="515"/>
      <c r="N895" s="444"/>
      <c r="O895" s="515"/>
      <c r="P895" s="515"/>
    </row>
    <row r="896" spans="1:16" x14ac:dyDescent="0.25">
      <c r="A896" s="424"/>
      <c r="B896" s="439"/>
      <c r="C896" s="529"/>
      <c r="D896" s="529"/>
      <c r="E896" s="444"/>
      <c r="F896" s="439"/>
      <c r="G896" s="444"/>
      <c r="H896" s="444"/>
      <c r="I896" s="444"/>
      <c r="J896" s="515"/>
      <c r="K896" s="444"/>
      <c r="L896" s="515"/>
      <c r="M896" s="515"/>
      <c r="N896" s="444"/>
      <c r="O896" s="515"/>
      <c r="P896" s="515"/>
    </row>
    <row r="897" spans="1:16" x14ac:dyDescent="0.25">
      <c r="A897" s="424"/>
      <c r="B897" s="439"/>
      <c r="C897" s="529"/>
      <c r="D897" s="529"/>
      <c r="E897" s="444"/>
      <c r="F897" s="439"/>
      <c r="G897" s="444"/>
      <c r="H897" s="444"/>
      <c r="I897" s="444"/>
      <c r="J897" s="515"/>
      <c r="K897" s="444"/>
      <c r="L897" s="515"/>
      <c r="M897" s="515"/>
      <c r="N897" s="444"/>
      <c r="O897" s="515"/>
      <c r="P897" s="515"/>
    </row>
    <row r="898" spans="1:16" x14ac:dyDescent="0.25">
      <c r="A898" s="424"/>
      <c r="B898" s="439"/>
      <c r="C898" s="529"/>
      <c r="D898" s="529"/>
      <c r="E898" s="444"/>
      <c r="F898" s="439"/>
      <c r="G898" s="444"/>
      <c r="H898" s="444"/>
      <c r="I898" s="444"/>
      <c r="J898" s="515"/>
      <c r="K898" s="444"/>
      <c r="L898" s="515"/>
      <c r="M898" s="515"/>
      <c r="N898" s="444"/>
      <c r="O898" s="515"/>
      <c r="P898" s="515"/>
    </row>
    <row r="899" spans="1:16" x14ac:dyDescent="0.25">
      <c r="A899" s="424"/>
      <c r="B899" s="439"/>
      <c r="C899" s="529"/>
      <c r="D899" s="529"/>
      <c r="E899" s="444"/>
      <c r="F899" s="439"/>
      <c r="G899" s="444"/>
      <c r="H899" s="444"/>
      <c r="I899" s="444"/>
      <c r="J899" s="515"/>
      <c r="K899" s="444"/>
      <c r="L899" s="515"/>
      <c r="M899" s="515"/>
      <c r="N899" s="444"/>
      <c r="O899" s="515"/>
      <c r="P899" s="515"/>
    </row>
    <row r="900" spans="1:16" x14ac:dyDescent="0.25">
      <c r="A900" s="424"/>
      <c r="B900" s="439"/>
      <c r="C900" s="529"/>
      <c r="D900" s="529"/>
      <c r="E900" s="444"/>
      <c r="F900" s="439"/>
      <c r="G900" s="444"/>
      <c r="H900" s="444"/>
      <c r="I900" s="444"/>
      <c r="J900" s="515"/>
      <c r="K900" s="444"/>
      <c r="L900" s="515"/>
      <c r="M900" s="515"/>
      <c r="N900" s="444"/>
      <c r="O900" s="515"/>
      <c r="P900" s="515"/>
    </row>
    <row r="901" spans="1:16" x14ac:dyDescent="0.25">
      <c r="A901" s="424"/>
      <c r="B901" s="439"/>
      <c r="C901" s="529"/>
      <c r="D901" s="529"/>
      <c r="E901" s="444"/>
      <c r="F901" s="439"/>
      <c r="G901" s="444"/>
      <c r="H901" s="444"/>
      <c r="I901" s="444"/>
      <c r="J901" s="515"/>
      <c r="K901" s="444"/>
      <c r="L901" s="515"/>
      <c r="M901" s="515"/>
      <c r="N901" s="444"/>
      <c r="O901" s="515"/>
      <c r="P901" s="515"/>
    </row>
    <row r="902" spans="1:16" x14ac:dyDescent="0.25">
      <c r="A902" s="424"/>
      <c r="B902" s="439"/>
      <c r="C902" s="529"/>
      <c r="D902" s="529"/>
      <c r="E902" s="444"/>
      <c r="F902" s="439"/>
      <c r="G902" s="444"/>
      <c r="H902" s="444"/>
      <c r="I902" s="444"/>
      <c r="J902" s="515"/>
      <c r="K902" s="444"/>
      <c r="L902" s="515"/>
      <c r="M902" s="515"/>
      <c r="N902" s="444"/>
      <c r="O902" s="515"/>
      <c r="P902" s="515"/>
    </row>
    <row r="903" spans="1:16" x14ac:dyDescent="0.25">
      <c r="A903" s="424"/>
      <c r="B903" s="439"/>
      <c r="C903" s="529"/>
      <c r="D903" s="529"/>
      <c r="E903" s="444"/>
      <c r="F903" s="439"/>
      <c r="G903" s="444"/>
      <c r="H903" s="444"/>
      <c r="I903" s="444"/>
      <c r="J903" s="515"/>
      <c r="K903" s="444"/>
      <c r="L903" s="515"/>
      <c r="M903" s="515"/>
      <c r="N903" s="444"/>
      <c r="O903" s="515"/>
      <c r="P903" s="515"/>
    </row>
    <row r="904" spans="1:16" x14ac:dyDescent="0.25">
      <c r="A904" s="424"/>
      <c r="B904" s="439"/>
      <c r="C904" s="529"/>
      <c r="D904" s="529"/>
      <c r="E904" s="444"/>
      <c r="F904" s="439"/>
      <c r="G904" s="444"/>
      <c r="H904" s="444"/>
      <c r="I904" s="444"/>
      <c r="J904" s="515"/>
      <c r="K904" s="444"/>
      <c r="L904" s="515"/>
      <c r="M904" s="515"/>
      <c r="N904" s="444"/>
      <c r="O904" s="515"/>
      <c r="P904" s="515"/>
    </row>
    <row r="905" spans="1:16" x14ac:dyDescent="0.25">
      <c r="A905" s="424"/>
      <c r="B905" s="439"/>
      <c r="C905" s="529"/>
      <c r="D905" s="529"/>
      <c r="E905" s="444"/>
      <c r="F905" s="439"/>
      <c r="G905" s="444"/>
      <c r="H905" s="444"/>
      <c r="I905" s="444"/>
      <c r="J905" s="515"/>
      <c r="K905" s="444"/>
      <c r="L905" s="515"/>
      <c r="M905" s="515"/>
      <c r="N905" s="444"/>
      <c r="O905" s="515"/>
      <c r="P905" s="515"/>
    </row>
    <row r="906" spans="1:16" x14ac:dyDescent="0.25">
      <c r="A906" s="424"/>
      <c r="B906" s="439"/>
      <c r="C906" s="529"/>
      <c r="D906" s="529"/>
      <c r="E906" s="444"/>
      <c r="F906" s="439"/>
      <c r="G906" s="444"/>
      <c r="H906" s="444"/>
      <c r="I906" s="444"/>
      <c r="J906" s="515"/>
      <c r="K906" s="444"/>
      <c r="L906" s="515"/>
      <c r="M906" s="515"/>
      <c r="N906" s="444"/>
      <c r="O906" s="515"/>
      <c r="P906" s="515"/>
    </row>
    <row r="907" spans="1:16" x14ac:dyDescent="0.25">
      <c r="A907" s="424"/>
      <c r="B907" s="439"/>
      <c r="C907" s="529"/>
      <c r="D907" s="529"/>
      <c r="E907" s="444"/>
      <c r="F907" s="439"/>
      <c r="G907" s="444"/>
      <c r="H907" s="444"/>
      <c r="I907" s="444"/>
      <c r="J907" s="515"/>
      <c r="K907" s="444"/>
      <c r="L907" s="515"/>
      <c r="M907" s="515"/>
      <c r="N907" s="444"/>
      <c r="O907" s="515"/>
      <c r="P907" s="515"/>
    </row>
    <row r="908" spans="1:16" x14ac:dyDescent="0.25">
      <c r="A908" s="424"/>
      <c r="B908" s="439"/>
      <c r="C908" s="529"/>
      <c r="D908" s="529"/>
      <c r="E908" s="444"/>
      <c r="F908" s="439"/>
      <c r="G908" s="444"/>
      <c r="H908" s="444"/>
      <c r="I908" s="444"/>
      <c r="J908" s="515"/>
      <c r="K908" s="444"/>
      <c r="L908" s="515"/>
      <c r="M908" s="515"/>
      <c r="N908" s="444"/>
      <c r="O908" s="515"/>
      <c r="P908" s="515"/>
    </row>
    <row r="909" spans="1:16" x14ac:dyDescent="0.25">
      <c r="A909" s="424"/>
      <c r="B909" s="439"/>
      <c r="C909" s="529"/>
      <c r="D909" s="529"/>
      <c r="E909" s="444"/>
      <c r="F909" s="439"/>
      <c r="G909" s="444"/>
      <c r="H909" s="444"/>
      <c r="I909" s="444"/>
      <c r="J909" s="515"/>
      <c r="K909" s="444"/>
      <c r="L909" s="515"/>
      <c r="M909" s="515"/>
      <c r="N909" s="444"/>
      <c r="O909" s="515"/>
      <c r="P909" s="515"/>
    </row>
    <row r="910" spans="1:16" x14ac:dyDescent="0.25">
      <c r="A910" s="424"/>
      <c r="B910" s="439"/>
      <c r="C910" s="529"/>
      <c r="D910" s="529"/>
      <c r="E910" s="444"/>
      <c r="F910" s="439"/>
      <c r="G910" s="444"/>
      <c r="H910" s="444"/>
      <c r="I910" s="444"/>
      <c r="J910" s="515"/>
      <c r="K910" s="444"/>
      <c r="L910" s="515"/>
      <c r="M910" s="515"/>
      <c r="N910" s="444"/>
      <c r="O910" s="515"/>
      <c r="P910" s="515"/>
    </row>
    <row r="911" spans="1:16" x14ac:dyDescent="0.25">
      <c r="A911" s="424"/>
      <c r="B911" s="439"/>
      <c r="C911" s="529"/>
      <c r="D911" s="529"/>
      <c r="E911" s="444"/>
      <c r="F911" s="439"/>
      <c r="G911" s="444"/>
      <c r="H911" s="444"/>
      <c r="I911" s="444"/>
      <c r="J911" s="515"/>
      <c r="K911" s="444"/>
      <c r="L911" s="515"/>
      <c r="M911" s="515"/>
      <c r="N911" s="444"/>
      <c r="O911" s="515"/>
      <c r="P911" s="515"/>
    </row>
    <row r="912" spans="1:16" x14ac:dyDescent="0.25">
      <c r="A912" s="424"/>
      <c r="B912" s="439"/>
      <c r="C912" s="529"/>
      <c r="D912" s="529"/>
      <c r="E912" s="444"/>
      <c r="F912" s="439"/>
      <c r="G912" s="444"/>
      <c r="H912" s="444"/>
      <c r="I912" s="444"/>
      <c r="J912" s="515"/>
      <c r="K912" s="444"/>
      <c r="L912" s="515"/>
      <c r="M912" s="515"/>
      <c r="N912" s="444"/>
      <c r="O912" s="515"/>
      <c r="P912" s="515"/>
    </row>
    <row r="913" spans="1:16" x14ac:dyDescent="0.25">
      <c r="A913" s="424"/>
      <c r="B913" s="439"/>
      <c r="C913" s="529"/>
      <c r="D913" s="529"/>
      <c r="E913" s="444"/>
      <c r="F913" s="439"/>
      <c r="G913" s="444"/>
      <c r="H913" s="444"/>
      <c r="I913" s="444"/>
      <c r="J913" s="515"/>
      <c r="K913" s="444"/>
      <c r="L913" s="515"/>
      <c r="M913" s="515"/>
      <c r="N913" s="444"/>
      <c r="O913" s="515"/>
      <c r="P913" s="515"/>
    </row>
  </sheetData>
  <autoFilter ref="A3:P403" xr:uid="{00000000-0009-0000-0000-000007000000}"/>
  <mergeCells count="2">
    <mergeCell ref="A1:P1"/>
    <mergeCell ref="A404:E409"/>
  </mergeCells>
  <pageMargins left="0.9" right="0.7" top="0.75" bottom="0.75" header="0.3" footer="0.3"/>
  <pageSetup paperSize="3" scale="73" fitToHeight="0"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C7F30-A44E-47E9-962D-C8F5C7AB09E5}">
  <sheetPr codeName="Hoja14" filterMode="1">
    <pageSetUpPr fitToPage="1"/>
  </sheetPr>
  <dimension ref="B2:AL63"/>
  <sheetViews>
    <sheetView tabSelected="1" zoomScale="85" zoomScaleNormal="85" workbookViewId="0">
      <pane xSplit="3" ySplit="7" topLeftCell="D8" activePane="bottomRight" state="frozen"/>
      <selection pane="topRight" activeCell="D1" sqref="D1"/>
      <selection pane="bottomLeft" activeCell="A8" sqref="A8"/>
      <selection pane="bottomRight" activeCell="C8" sqref="C8"/>
    </sheetView>
  </sheetViews>
  <sheetFormatPr baseColWidth="10" defaultRowHeight="15" x14ac:dyDescent="0.25"/>
  <cols>
    <col min="1" max="1" width="6.42578125" customWidth="1"/>
    <col min="2" max="2" width="41.28515625" bestFit="1" customWidth="1"/>
    <col min="3" max="3" width="9" bestFit="1" customWidth="1"/>
    <col min="4" max="4" width="22" customWidth="1"/>
    <col min="5" max="5" width="6.140625" hidden="1" customWidth="1"/>
    <col min="6" max="6" width="15.85546875" hidden="1" customWidth="1"/>
    <col min="7" max="7" width="8.28515625" hidden="1" customWidth="1"/>
    <col min="8" max="8" width="20.28515625" hidden="1" customWidth="1"/>
    <col min="9" max="10" width="6.140625" hidden="1" customWidth="1"/>
    <col min="11" max="11" width="15" hidden="1" customWidth="1"/>
    <col min="12" max="12" width="19.140625" customWidth="1"/>
    <col min="13" max="13" width="15.140625" style="167" customWidth="1"/>
    <col min="14" max="14" width="15.42578125" customWidth="1"/>
    <col min="15" max="15" width="17.5703125" customWidth="1"/>
    <col min="16" max="16" width="18" customWidth="1"/>
    <col min="17" max="17" width="20.7109375" customWidth="1"/>
    <col min="18" max="18" width="19.5703125" hidden="1" customWidth="1"/>
    <col min="19" max="19" width="18.140625" hidden="1" customWidth="1"/>
    <col min="20" max="20" width="8.28515625" style="240" hidden="1" customWidth="1"/>
    <col min="21" max="21" width="9.42578125" hidden="1" customWidth="1"/>
    <col min="22" max="22" width="15.85546875" hidden="1" customWidth="1"/>
    <col min="23" max="23" width="7" hidden="1" customWidth="1"/>
    <col min="24" max="24" width="14.42578125" hidden="1" customWidth="1"/>
    <col min="25" max="25" width="16.42578125" hidden="1" customWidth="1"/>
    <col min="26" max="27" width="15.85546875" hidden="1" customWidth="1"/>
    <col min="28" max="28" width="14.5703125" hidden="1" customWidth="1"/>
    <col min="29" max="29" width="15.42578125" hidden="1" customWidth="1"/>
    <col min="30" max="30" width="15.140625" hidden="1" customWidth="1"/>
    <col min="31" max="31" width="18" hidden="1" customWidth="1"/>
    <col min="32" max="32" width="12" style="167" bestFit="1" customWidth="1"/>
    <col min="33" max="33" width="11.42578125" customWidth="1"/>
    <col min="34" max="34" width="16.140625" customWidth="1"/>
    <col min="35" max="35" width="16" bestFit="1" customWidth="1"/>
    <col min="36" max="36" width="17.140625" bestFit="1" customWidth="1"/>
  </cols>
  <sheetData>
    <row r="2" spans="2:38" ht="23.25" x14ac:dyDescent="0.35">
      <c r="D2" s="361" t="s">
        <v>3649</v>
      </c>
      <c r="R2" s="361" t="s">
        <v>3636</v>
      </c>
      <c r="X2" s="163"/>
    </row>
    <row r="4" spans="2:38" ht="23.65" customHeight="1" x14ac:dyDescent="0.35">
      <c r="B4" s="552" t="s">
        <v>3648</v>
      </c>
      <c r="C4" s="552"/>
      <c r="D4" s="559" t="s">
        <v>490</v>
      </c>
      <c r="E4" s="559"/>
      <c r="F4" s="559"/>
      <c r="G4" s="559"/>
      <c r="H4" s="559"/>
      <c r="I4" s="559"/>
      <c r="J4" s="559"/>
      <c r="K4" s="559"/>
      <c r="L4" s="559"/>
      <c r="M4" s="559"/>
      <c r="N4" s="559"/>
      <c r="O4" s="559"/>
      <c r="P4" s="559"/>
      <c r="Q4" s="559"/>
      <c r="R4" s="558" t="s">
        <v>500</v>
      </c>
      <c r="S4" s="558"/>
      <c r="T4" s="558"/>
      <c r="U4" s="558"/>
      <c r="V4" s="558"/>
      <c r="W4" s="558"/>
      <c r="X4" s="558"/>
      <c r="Y4" s="558"/>
      <c r="Z4" s="558"/>
      <c r="AA4" s="558"/>
      <c r="AB4" s="558"/>
      <c r="AC4" s="558"/>
      <c r="AD4" s="558"/>
      <c r="AE4" s="558"/>
    </row>
    <row r="5" spans="2:38" ht="15.6" customHeight="1" x14ac:dyDescent="0.25">
      <c r="B5" s="554" t="s">
        <v>489</v>
      </c>
      <c r="C5" s="554" t="s">
        <v>487</v>
      </c>
      <c r="D5" s="561">
        <v>45992</v>
      </c>
      <c r="E5" s="561"/>
      <c r="F5" s="564" t="s">
        <v>324</v>
      </c>
      <c r="G5" s="564"/>
      <c r="H5" s="564"/>
      <c r="I5" s="564"/>
      <c r="J5" s="564"/>
      <c r="K5" s="564"/>
      <c r="L5" s="553" t="s">
        <v>517</v>
      </c>
      <c r="M5" s="563" t="s">
        <v>326</v>
      </c>
      <c r="N5" s="551" t="s">
        <v>366</v>
      </c>
      <c r="O5" s="556" t="s">
        <v>515</v>
      </c>
      <c r="P5" s="556" t="s">
        <v>332</v>
      </c>
      <c r="Q5" s="556" t="s">
        <v>333</v>
      </c>
      <c r="R5" s="182">
        <v>45962</v>
      </c>
      <c r="S5" s="551" t="s">
        <v>492</v>
      </c>
      <c r="T5" s="551"/>
      <c r="U5" s="551" t="s">
        <v>493</v>
      </c>
      <c r="V5" s="551" t="s">
        <v>494</v>
      </c>
      <c r="W5" s="551"/>
      <c r="X5" s="340">
        <v>0.2</v>
      </c>
      <c r="Y5" s="557" t="s">
        <v>518</v>
      </c>
      <c r="Z5" s="551" t="s">
        <v>516</v>
      </c>
      <c r="AA5" s="551" t="s">
        <v>515</v>
      </c>
      <c r="AB5" s="551" t="s">
        <v>326</v>
      </c>
      <c r="AC5" s="560" t="s">
        <v>496</v>
      </c>
      <c r="AD5" s="551" t="s">
        <v>332</v>
      </c>
      <c r="AE5" s="551" t="s">
        <v>333</v>
      </c>
    </row>
    <row r="6" spans="2:38" ht="16.149999999999999" customHeight="1" x14ac:dyDescent="0.25">
      <c r="B6" s="554"/>
      <c r="C6" s="554"/>
      <c r="D6" s="561">
        <v>46007</v>
      </c>
      <c r="E6" s="561"/>
      <c r="F6" s="565" t="s">
        <v>495</v>
      </c>
      <c r="G6" s="565"/>
      <c r="H6" s="555" t="s">
        <v>470</v>
      </c>
      <c r="I6" s="555"/>
      <c r="J6" s="555"/>
      <c r="K6" s="177">
        <v>0.3</v>
      </c>
      <c r="L6" s="553"/>
      <c r="M6" s="563"/>
      <c r="N6" s="551"/>
      <c r="O6" s="556"/>
      <c r="P6" s="556"/>
      <c r="Q6" s="556"/>
      <c r="R6" s="182">
        <v>45992</v>
      </c>
      <c r="S6" s="551"/>
      <c r="T6" s="551"/>
      <c r="U6" s="551"/>
      <c r="V6" s="551"/>
      <c r="W6" s="551"/>
      <c r="X6" s="551" t="s">
        <v>322</v>
      </c>
      <c r="Y6" s="557"/>
      <c r="Z6" s="551"/>
      <c r="AA6" s="551"/>
      <c r="AB6" s="551"/>
      <c r="AC6" s="560"/>
      <c r="AD6" s="551"/>
      <c r="AE6" s="551"/>
    </row>
    <row r="7" spans="2:38" ht="28.5" x14ac:dyDescent="0.25">
      <c r="B7" s="554"/>
      <c r="C7" s="554"/>
      <c r="D7" s="551" t="s">
        <v>488</v>
      </c>
      <c r="E7" s="551"/>
      <c r="F7" s="565"/>
      <c r="G7" s="565"/>
      <c r="H7" s="555"/>
      <c r="I7" s="555"/>
      <c r="J7" s="555"/>
      <c r="K7" s="176" t="s">
        <v>322</v>
      </c>
      <c r="L7" s="553"/>
      <c r="M7" s="563"/>
      <c r="N7" s="551"/>
      <c r="O7" s="556"/>
      <c r="P7" s="556"/>
      <c r="Q7" s="556"/>
      <c r="R7" s="339" t="s">
        <v>491</v>
      </c>
      <c r="S7" s="551"/>
      <c r="T7" s="551"/>
      <c r="U7" s="551"/>
      <c r="V7" s="551"/>
      <c r="W7" s="551"/>
      <c r="X7" s="551"/>
      <c r="Y7" s="557"/>
      <c r="Z7" s="551"/>
      <c r="AA7" s="551"/>
      <c r="AB7" s="551"/>
      <c r="AC7" s="560"/>
      <c r="AD7" s="551"/>
      <c r="AE7" s="551"/>
    </row>
    <row r="8" spans="2:38" x14ac:dyDescent="0.25">
      <c r="B8" s="231" t="s">
        <v>278</v>
      </c>
      <c r="C8" s="231" t="str">
        <f>VLOOKUP(B8,Tabla2[[Asesores]:[TIPO]],2,0)</f>
        <v>INTERNO</v>
      </c>
      <c r="D8" s="232">
        <f>SUMIFS('Ventas '!L:L,'Ventas '!C:C,B8,'Ventas '!A:A,"&gt;="&amp;$D$5,'Ventas '!A:A,"&lt;="&amp;$D$6)</f>
        <v>722366.75359999994</v>
      </c>
      <c r="E8" s="238">
        <f t="shared" ref="E8:E37" si="0">IF(C8="INTERNO",IF(D8&gt;=$AI$15,$AK$15,IF(D8&gt;=$AI$14,$AK$14,IF(D8&gt;=$AI$13,$AK$13,IF(D8&gt;=$AI$12,$AK$12,IF(D8&gt;=$AI$11,$AK$11,IF(D8&gt;=$AI$10,$AK$10,IF(D8&gt;=$AI$9,$AK$9,0))))))),IF(D8&gt;=$AI$15,$AL$15,IF(D8&gt;=$AI$14,$AL$14,IF(D8&gt;=$AI$13,$AL$13,IF(D8&gt;=$AI$12,$AL$12,IF(D8&gt;=$AI$11,$AL$11,IF(D8&gt;=$AI$10,$AL$10,IF(D8&gt;=$AI$9,$AL$9,0))))))))</f>
        <v>5.5E-2</v>
      </c>
      <c r="F8" s="235" t="e">
        <f>+H8*E8</f>
        <v>#N/A</v>
      </c>
      <c r="G8" s="237">
        <f>IFERROR(F8/D8,0)</f>
        <v>0</v>
      </c>
      <c r="H8" s="232" t="e">
        <f>SUMIFS(Tabla110[[#Headers],[#Data],[Utilidad Bruta Total]],Tabla110[[#Headers],[#Data],[Asesor]],B8,Tabla110[[#Headers],[#Data],[Fecha Cobranza]],"&lt;"&amp;$D$6,Tabla110[[#Headers],[#Data],[Fecha Cobranza]],"&gt;="&amp;$D$5)</f>
        <v>#N/A</v>
      </c>
      <c r="I8" s="241">
        <f>IFERROR(+H8/D8,0)</f>
        <v>0</v>
      </c>
      <c r="J8" s="238">
        <f>IFERROR(+F8/H8,0)</f>
        <v>0</v>
      </c>
      <c r="K8" s="250"/>
      <c r="L8" s="251">
        <f>SUMIFS('Ventas '!$AE$7:$AE$47059,'Ventas '!$C$7:$C$47059,'Caratula 2023'!B8,'Ventas '!$A$7:$A$47059,"&gt;="&amp;'Caratula 2023'!$D$5,'Ventas '!$A$7:$A$47059,"&lt;="&amp;'Caratula 2023'!$D$6)</f>
        <v>14447.335071999998</v>
      </c>
      <c r="M8" s="234">
        <v>5767.7461899999998</v>
      </c>
      <c r="N8" s="231"/>
      <c r="O8" s="358">
        <f>L8-M8-N8</f>
        <v>8679.5888819999982</v>
      </c>
      <c r="P8" s="354"/>
      <c r="Q8" s="352">
        <f>((((((SUMIF($B:$B,B8,$O:$O))*1.08))))-((((((SUMIF($B:$B,B8,$O:$O))*1.08)/1.16)*0.16)*2/3)))</f>
        <v>8511.9830277268957</v>
      </c>
      <c r="R8" s="252">
        <f>SUMIFS('Ventas '!L:L,'Ventas '!C:C,B8,'Ventas '!A:A,"&gt;="&amp;$R$5,'Ventas '!A:A,"&lt;="&amp;$R$6)</f>
        <v>0</v>
      </c>
      <c r="S8" s="252">
        <f>SUMIFS(Tabla110[[#Headers],[#Data],[Utilidad Bruta Total]],Tabla110[[#Headers],[#Data],[Asesor]],B8,Tabla110[[#Headers],[#Data],[Fecha Cobranza]],"&lt;"&amp;$R$6,Tabla110[[#Headers],[#Data],[Fecha Cobranza]],"&gt;="&amp;$R$5)</f>
        <v>0</v>
      </c>
      <c r="T8" s="253">
        <f>IFERROR(S8/R8,0)</f>
        <v>0</v>
      </c>
      <c r="U8" s="238">
        <f t="shared" ref="U8:U37" si="1">IF(C8="INTERNO",IF(R8&gt;=$AI$15,$AK$15,IF(R8&gt;=$AI$14,$AK$14,IF(R8&gt;=$AI$13,$AK$13,IF(R8&gt;=$AI$12,$AK$12,IF(R8&gt;=$AI$11,$AK$11,IF(R8&gt;=$AI$10,$AK$10,IF(R8&gt;=$AI$9,$AK$9,0))))))),IF(R8&gt;=$AI$15,$AL$15,IF(R8&gt;=$AI$14,$AL$14,IF(R8&gt;=$AI$13,$AL$13,IF(R8&gt;=$AI$12,$AL$12,IF(R8&gt;=$AI$11,$AL$11,IF(R8&gt;=$AI$10,$AL$10,IF(R8&gt;=$AI$9,$AL$9,0))))))))</f>
        <v>0</v>
      </c>
      <c r="V8" s="232">
        <f>IF(S8&lt;0,0,S8*U8)</f>
        <v>0</v>
      </c>
      <c r="W8" s="341">
        <f>IFERROR(V8/R8,0)</f>
        <v>0</v>
      </c>
      <c r="X8" s="250">
        <f>(V12+V17+V18+V15+V19+V20+V29+V31+V10+V34)*X5</f>
        <v>0</v>
      </c>
      <c r="Y8" s="249">
        <f>++V8+X8</f>
        <v>0</v>
      </c>
      <c r="Z8" s="232">
        <f t="shared" ref="Z8:Z41" si="2">+L8</f>
        <v>14447.335071999998</v>
      </c>
      <c r="AA8" s="232">
        <f>IF(Y8&lt;Z8,0,Y8-Z8)</f>
        <v>0</v>
      </c>
      <c r="AB8" s="391">
        <v>0</v>
      </c>
      <c r="AC8" s="235">
        <f t="shared" ref="AC8:AC14" si="3">++AA8-AB8</f>
        <v>0</v>
      </c>
      <c r="AD8" s="231"/>
      <c r="AE8" s="234">
        <f>((((((SUMIF($B:$B,B8,$AC:$AC))*1.08))))-((((((SUMIF($B:$B,B8,$AC:$AC))*1.08)/1.16)*0.16)*2/3)))</f>
        <v>0</v>
      </c>
      <c r="AF8" s="365"/>
      <c r="AG8" s="148">
        <v>0.04</v>
      </c>
      <c r="AH8" s="236" t="e">
        <f>AG8*H8</f>
        <v>#N/A</v>
      </c>
      <c r="AI8" s="46" t="s">
        <v>781</v>
      </c>
      <c r="AJ8" s="46" t="s">
        <v>782</v>
      </c>
      <c r="AK8" s="46" t="s">
        <v>485</v>
      </c>
      <c r="AL8" s="46" t="s">
        <v>486</v>
      </c>
    </row>
    <row r="9" spans="2:38" x14ac:dyDescent="0.25">
      <c r="B9" s="231" t="s">
        <v>277</v>
      </c>
      <c r="C9" s="231" t="str">
        <f>VLOOKUP(B9,Tabla2[[Asesores]:[TIPO]],2,0)</f>
        <v>INTERNO</v>
      </c>
      <c r="D9" s="232">
        <f>SUMIFS('Ventas '!L:L,'Ventas '!C:C,B9,'Ventas '!A:A,"&gt;="&amp;$D$5,'Ventas '!A:A,"&lt;="&amp;$D$6)</f>
        <v>1053628.7308</v>
      </c>
      <c r="E9" s="238">
        <f t="shared" si="0"/>
        <v>5.5E-2</v>
      </c>
      <c r="F9" s="235" t="e">
        <f>+H9*E9</f>
        <v>#N/A</v>
      </c>
      <c r="G9" s="237">
        <f t="shared" ref="G9:G16" si="4">IFERROR(F9/D9,0)</f>
        <v>0</v>
      </c>
      <c r="H9" s="232" t="e">
        <f>SUMIFS(Tabla110[[#Headers],[#Data],[Utilidad Bruta Total]],Tabla110[[#Headers],[#Data],[Asesor]],B9,Tabla110[[#Headers],[#Data],[Fecha Cobranza]],"&lt;"&amp;$D$6,Tabla110[[#Headers],[#Data],[Fecha Cobranza]],"&gt;="&amp;$D$5)</f>
        <v>#N/A</v>
      </c>
      <c r="I9" s="241">
        <f t="shared" ref="I9:I41" si="5">IFERROR(+H9/D9,0)</f>
        <v>0</v>
      </c>
      <c r="J9" s="238">
        <f t="shared" ref="J9:J14" si="6">IFERROR(+F9/H9,0)</f>
        <v>0</v>
      </c>
      <c r="K9" s="250"/>
      <c r="L9" s="251">
        <f>SUMIFS('Ventas '!$AE$7:$AE$47059,'Ventas '!$C$7:$C$47059,'Caratula 2023'!B9,'Ventas '!$A$7:$A$47059,"&gt;="&amp;'Caratula 2023'!$D$5,'Ventas '!$A$7:$A$47059,"&lt;="&amp;'Caratula 2023'!$D$6)</f>
        <v>25004.707033000002</v>
      </c>
      <c r="M9" s="234"/>
      <c r="N9" s="231"/>
      <c r="O9" s="358">
        <f t="shared" ref="O9:O41" si="7">L9-M9-N9</f>
        <v>25004.707033000002</v>
      </c>
      <c r="P9" s="353"/>
      <c r="Q9" s="352">
        <f>((((((SUMIF($B:$B,B9,$O:$O))*1.08))))-((((((SUMIF($B:$B,B9,$O:$O))*1.08)/1.16)*0.16)*2/3)))-((((((SUMIF($B:$B,B9,$O:$O))*1.08)/1.16)*1.25%)))</f>
        <v>24230.854461892501</v>
      </c>
      <c r="R9" s="252">
        <f>SUMIFS('Ventas '!L:L,'Ventas '!C:C,B9,'Ventas '!A:A,"&gt;="&amp;$R$5,'Ventas '!A:A,"&lt;="&amp;$R$6)</f>
        <v>0</v>
      </c>
      <c r="S9" s="252">
        <f>SUMIFS(Tabla110[[#Headers],[#Data],[Utilidad Bruta Total]],Tabla110[[#Headers],[#Data],[Asesor]],B9,Tabla110[[#Headers],[#Data],[Fecha Cobranza]],"&lt;"&amp;$R$6,Tabla110[[#Headers],[#Data],[Fecha Cobranza]],"&gt;="&amp;$R$5)</f>
        <v>0</v>
      </c>
      <c r="T9" s="253">
        <f t="shared" ref="T9:T24" si="8">IFERROR(S9/R9,0)</f>
        <v>0</v>
      </c>
      <c r="U9" s="238">
        <f t="shared" si="1"/>
        <v>0</v>
      </c>
      <c r="V9" s="232">
        <f t="shared" ref="V9:V41" si="9">IF(S9&lt;0,0,S9*U9)</f>
        <v>0</v>
      </c>
      <c r="W9" s="341">
        <f t="shared" ref="W9:W41" si="10">IFERROR(V9/R9,0)</f>
        <v>0</v>
      </c>
      <c r="X9" s="250">
        <f>(V16+V14+V32+V28+V33)*X5</f>
        <v>0</v>
      </c>
      <c r="Y9" s="249">
        <f t="shared" ref="Y9:Y19" si="11">+X9+V9</f>
        <v>0</v>
      </c>
      <c r="Z9" s="232">
        <f t="shared" si="2"/>
        <v>25004.707033000002</v>
      </c>
      <c r="AA9" s="232">
        <f>IF(Y9&lt;Z9,0,Y9-Z9)</f>
        <v>0</v>
      </c>
      <c r="AB9" s="391">
        <v>0</v>
      </c>
      <c r="AC9" s="235">
        <f>++AA9-AB9</f>
        <v>0</v>
      </c>
      <c r="AD9" s="231"/>
      <c r="AE9" s="234">
        <f>((((((SUMIF($B:$B,B9,$AC:$AC))*1.08))))-((((((SUMIF($B:$B,B9,$AC:$AC))*1.08)/1.16)*0.16)*2/3)))-((((((SUMIF($B:$B,B9,$AC:$AC))*1.08)/1.16)*1.25%)))</f>
        <v>0</v>
      </c>
      <c r="AF9" s="365"/>
      <c r="AG9" s="148"/>
      <c r="AH9" s="148"/>
      <c r="AI9" s="230">
        <v>1</v>
      </c>
      <c r="AJ9" s="230">
        <v>1666666.67</v>
      </c>
      <c r="AK9" s="229">
        <v>5.5E-2</v>
      </c>
      <c r="AL9" s="53"/>
    </row>
    <row r="10" spans="2:38" hidden="1" x14ac:dyDescent="0.25">
      <c r="B10" s="231" t="s">
        <v>116</v>
      </c>
      <c r="C10" s="231" t="str">
        <f>VLOOKUP(B10,Tabla2[[Asesores]:[TIPO]],2,0)</f>
        <v>INTERNO</v>
      </c>
      <c r="D10" s="232">
        <f>SUMIFS('Ventas '!L:L,'Ventas '!C:C,B10,'Ventas '!A:A,"&gt;="&amp;$D$5,'Ventas '!A:A,"&lt;="&amp;$D$6)</f>
        <v>0</v>
      </c>
      <c r="E10" s="238">
        <f t="shared" si="0"/>
        <v>0</v>
      </c>
      <c r="F10" s="406">
        <f t="shared" ref="F10:F25" si="12">+H10*E10</f>
        <v>0</v>
      </c>
      <c r="G10" s="408">
        <f t="shared" si="4"/>
        <v>0</v>
      </c>
      <c r="H10" s="232">
        <f>SUMIFS(Tabla110[[#Headers],[#Data],[Utilidad Bruta Total]],Tabla110[[#Headers],[#Data],[Asesor]],B10,Tabla110[[#Headers],[#Data],[Fecha Cobranza]],"&lt;"&amp;$D$6,Tabla110[[#Headers],[#Data],[Fecha Cobranza]],"&gt;="&amp;$D$5)</f>
        <v>0</v>
      </c>
      <c r="I10" s="241">
        <f t="shared" si="5"/>
        <v>0</v>
      </c>
      <c r="J10" s="238">
        <f t="shared" si="6"/>
        <v>0</v>
      </c>
      <c r="K10" s="231"/>
      <c r="L10" s="251">
        <f>SUMIFS('Ventas '!$AE$7:$AE$47059,'Ventas '!$C$7:$C$47059,'Caratula 2023'!B10,'Ventas '!$A$7:$A$47059,"&gt;="&amp;'Caratula 2023'!$D$5,'Ventas '!$A$7:$A$47059,"&lt;="&amp;'Caratula 2023'!$D$6)</f>
        <v>0</v>
      </c>
      <c r="M10" s="234">
        <f>+L10</f>
        <v>0</v>
      </c>
      <c r="N10" s="231"/>
      <c r="O10" s="358">
        <f t="shared" si="7"/>
        <v>0</v>
      </c>
      <c r="P10" s="411"/>
      <c r="Q10" s="406">
        <f>((((((SUMIF($B:$B,B10,$O:$O))*1.08))))-((((((SUMIF($B:$B,B10,$O:$O))*1.08)/1.16)*0.16)*2/3)))-((((((SUMIF($B:$B,B10,$O:$O))*1.08)/1.16)*1.25%)))</f>
        <v>0</v>
      </c>
      <c r="R10" s="406">
        <f>SUMIFS('Ventas '!L:L,'Ventas '!C:C,B10,'Ventas '!A:A,"&gt;="&amp;$R$5,'Ventas '!A:A,"&lt;="&amp;$R$6)</f>
        <v>0</v>
      </c>
      <c r="S10" s="406">
        <f>SUMIFS(Tabla110[[#Headers],[#Data],[Utilidad Bruta Total]],Tabla110[[#Headers],[#Data],[Asesor]],B10,Tabla110[[#Headers],[#Data],[Fecha Cobranza]],"&lt;"&amp;$R$6,Tabla110[[#Headers],[#Data],[Fecha Cobranza]],"&gt;="&amp;$R$5)</f>
        <v>0</v>
      </c>
      <c r="T10" s="413">
        <f t="shared" si="8"/>
        <v>0</v>
      </c>
      <c r="U10" s="414">
        <f t="shared" si="1"/>
        <v>0</v>
      </c>
      <c r="V10" s="406">
        <f t="shared" si="9"/>
        <v>0</v>
      </c>
      <c r="W10" s="341">
        <f t="shared" si="10"/>
        <v>0</v>
      </c>
      <c r="X10" s="232"/>
      <c r="Y10" s="249">
        <f>+X10+V10</f>
        <v>0</v>
      </c>
      <c r="Z10" s="232">
        <f t="shared" si="2"/>
        <v>0</v>
      </c>
      <c r="AA10" s="232">
        <f>IF(Y10&lt;Z10,0,Y10-Z10)</f>
        <v>0</v>
      </c>
      <c r="AB10" s="250">
        <f>AA10</f>
        <v>0</v>
      </c>
      <c r="AC10" s="235">
        <f t="shared" si="3"/>
        <v>0</v>
      </c>
      <c r="AD10" s="231"/>
      <c r="AE10" s="234">
        <f>((((((SUMIF($B:$B,B10,$AC:$AC))*1.08))))-((((((SUMIF($B:$B,B10,$AC:$AC))*1.08)/1.16)*0.16)*2/3)))-((((((SUMIF($B:$B,B10,$AC:$AC))*1.08)/1.16)*1.25%)))</f>
        <v>0</v>
      </c>
      <c r="AF10" s="365"/>
      <c r="AG10" s="148"/>
      <c r="AH10" s="148"/>
      <c r="AI10" s="402">
        <f t="shared" ref="AI10:AI15" si="13">AJ9+1</f>
        <v>1666667.67</v>
      </c>
      <c r="AJ10" s="230">
        <v>3000000</v>
      </c>
      <c r="AK10" s="403">
        <v>6.5000000000000002E-2</v>
      </c>
      <c r="AL10" s="403"/>
    </row>
    <row r="11" spans="2:38" x14ac:dyDescent="0.25">
      <c r="B11" s="231" t="s">
        <v>280</v>
      </c>
      <c r="C11" s="231" t="str">
        <f>VLOOKUP(B11,Tabla2[[Asesores]:[TIPO]],2,0)</f>
        <v>INTERNO</v>
      </c>
      <c r="D11" s="232">
        <f>SUMIFS('Ventas '!L:L,'Ventas '!C:C,B11,'Ventas '!A:A,"&gt;="&amp;$D$5,'Ventas '!A:A,"&lt;="&amp;$D$6)</f>
        <v>244784.08159999998</v>
      </c>
      <c r="E11" s="238">
        <f t="shared" si="0"/>
        <v>5.5E-2</v>
      </c>
      <c r="F11" s="235" t="e">
        <f t="shared" si="12"/>
        <v>#N/A</v>
      </c>
      <c r="G11" s="237">
        <f t="shared" si="4"/>
        <v>0</v>
      </c>
      <c r="H11" s="232" t="e">
        <f>SUMIFS(Tabla110[[#Headers],[#Data],[Utilidad Bruta Total]],Tabla110[[#Headers],[#Data],[Asesor]],B11,Tabla110[[#Headers],[#Data],[Fecha Cobranza]],"&lt;"&amp;$D$6,Tabla110[[#Headers],[#Data],[Fecha Cobranza]],"&gt;="&amp;$D$5)</f>
        <v>#N/A</v>
      </c>
      <c r="I11" s="241">
        <f t="shared" si="5"/>
        <v>0</v>
      </c>
      <c r="J11" s="238">
        <f t="shared" si="6"/>
        <v>0</v>
      </c>
      <c r="K11" s="231"/>
      <c r="L11" s="251">
        <f>SUMIFS('Ventas '!$AE$7:$AE$47059,'Ventas '!$C$7:$C$47059,'Caratula 2023'!B11,'Ventas '!$A$7:$A$47059,"&gt;="&amp;'Caratula 2023'!$D$5,'Ventas '!$A$7:$A$47059,"&lt;="&amp;'Caratula 2023'!$D$6)</f>
        <v>5863.1872880000001</v>
      </c>
      <c r="M11" s="234" t="e">
        <f>+F11</f>
        <v>#N/A</v>
      </c>
      <c r="N11" s="231"/>
      <c r="O11" s="358" t="e">
        <f t="shared" si="7"/>
        <v>#N/A</v>
      </c>
      <c r="P11" s="354"/>
      <c r="Q11" s="352"/>
      <c r="R11" s="252">
        <f>SUMIFS('Ventas '!L:L,'Ventas '!C:C,B11,'Ventas '!A:A,"&gt;="&amp;$R$5,'Ventas '!A:A,"&lt;="&amp;$R$6)</f>
        <v>0</v>
      </c>
      <c r="S11" s="252">
        <f>SUMIFS(Tabla110[[#Headers],[#Data],[Utilidad Bruta Total]],Tabla110[[#Headers],[#Data],[Asesor]],B11,Tabla110[[#Headers],[#Data],[Fecha Cobranza]],"&lt;"&amp;$R$6,Tabla110[[#Headers],[#Data],[Fecha Cobranza]],"&gt;="&amp;$R$5)</f>
        <v>0</v>
      </c>
      <c r="T11" s="253">
        <f t="shared" si="8"/>
        <v>0</v>
      </c>
      <c r="U11" s="238">
        <f t="shared" si="1"/>
        <v>0</v>
      </c>
      <c r="V11" s="232">
        <f t="shared" si="9"/>
        <v>0</v>
      </c>
      <c r="W11" s="341">
        <f t="shared" si="10"/>
        <v>0</v>
      </c>
      <c r="X11" s="232"/>
      <c r="Y11" s="249">
        <f t="shared" si="11"/>
        <v>0</v>
      </c>
      <c r="Z11" s="232">
        <f t="shared" si="2"/>
        <v>5863.1872880000001</v>
      </c>
      <c r="AA11" s="232">
        <f t="shared" ref="AA11:AA41" si="14">IF(Y11&lt;Z11,0,Y11-Z11)</f>
        <v>0</v>
      </c>
      <c r="AB11" s="250">
        <f>+AA11</f>
        <v>0</v>
      </c>
      <c r="AC11" s="235">
        <f t="shared" si="3"/>
        <v>0</v>
      </c>
      <c r="AD11" s="239">
        <f>+AC11</f>
        <v>0</v>
      </c>
      <c r="AE11" s="231"/>
      <c r="AF11" s="365"/>
      <c r="AG11" s="148"/>
      <c r="AH11" s="148"/>
      <c r="AI11" s="402">
        <f t="shared" si="13"/>
        <v>3000001</v>
      </c>
      <c r="AJ11" s="230">
        <v>50000000</v>
      </c>
      <c r="AK11" s="53">
        <v>0.08</v>
      </c>
      <c r="AL11" s="53"/>
    </row>
    <row r="12" spans="2:38" x14ac:dyDescent="0.25">
      <c r="B12" s="231" t="s">
        <v>339</v>
      </c>
      <c r="C12" s="231" t="str">
        <f>VLOOKUP(B12,Tabla2[[Asesores]:[TIPO]],2,0)</f>
        <v>INTERNO</v>
      </c>
      <c r="D12" s="232">
        <f>SUMIFS('Ventas '!L:L,'Ventas '!C:C,B12,'Ventas '!A:A,"&gt;="&amp;$D$5,'Ventas '!A:A,"&lt;="&amp;$D$6)</f>
        <v>154168.63999999998</v>
      </c>
      <c r="E12" s="238">
        <f t="shared" si="0"/>
        <v>5.5E-2</v>
      </c>
      <c r="F12" s="406" t="e">
        <f t="shared" si="12"/>
        <v>#N/A</v>
      </c>
      <c r="G12" s="408">
        <f t="shared" si="4"/>
        <v>0</v>
      </c>
      <c r="H12" s="232" t="e">
        <f>SUMIFS(Tabla110[[#Headers],[#Data],[Utilidad Bruta Total]],Tabla110[[#Headers],[#Data],[Asesor]],B12,Tabla110[[#Headers],[#Data],[Fecha Cobranza]],"&lt;"&amp;$D$6,Tabla110[[#Headers],[#Data],[Fecha Cobranza]],"&gt;="&amp;$D$5)</f>
        <v>#N/A</v>
      </c>
      <c r="I12" s="241">
        <f t="shared" si="5"/>
        <v>0</v>
      </c>
      <c r="J12" s="238">
        <f t="shared" si="6"/>
        <v>0</v>
      </c>
      <c r="K12" s="231"/>
      <c r="L12" s="251">
        <f>SUMIFS('Ventas '!$AE$7:$AE$47059,'Ventas '!$C$7:$C$47059,'Caratula 2023'!B12,'Ventas '!$A$7:$A$47059,"&gt;="&amp;'Caratula 2023'!$D$5,'Ventas '!$A$7:$A$47059,"&lt;="&amp;'Caratula 2023'!$D$6)</f>
        <v>3083.3727999999996</v>
      </c>
      <c r="M12" s="234"/>
      <c r="N12" s="231"/>
      <c r="O12" s="358">
        <f t="shared" si="7"/>
        <v>3083.3727999999996</v>
      </c>
      <c r="P12" s="412"/>
      <c r="Q12" s="406">
        <f>((((((SUMIF($B:$B,B12,$O:$O))*1.08))))-((((((SUMIF($B:$B,B12,$O:$O))*1.08)/1.16)*0.16)*2/3)))</f>
        <v>3023.8318079999999</v>
      </c>
      <c r="R12" s="406">
        <f>SUMIFS('Ventas '!L:L,'Ventas '!C:C,B12,'Ventas '!A:A,"&gt;="&amp;$R$5,'Ventas '!A:A,"&lt;="&amp;$R$6)</f>
        <v>0</v>
      </c>
      <c r="S12" s="406">
        <f>SUMIFS(Tabla110[[#Headers],[#Data],[Utilidad Bruta Total]],Tabla110[[#Headers],[#Data],[Asesor]],B12,Tabla110[[#Headers],[#Data],[Fecha Cobranza]],"&lt;"&amp;$R$6,Tabla110[[#Headers],[#Data],[Fecha Cobranza]],"&gt;="&amp;$R$5)</f>
        <v>0</v>
      </c>
      <c r="T12" s="413">
        <f t="shared" si="8"/>
        <v>0</v>
      </c>
      <c r="U12" s="414">
        <f t="shared" si="1"/>
        <v>0</v>
      </c>
      <c r="V12" s="406">
        <f t="shared" si="9"/>
        <v>0</v>
      </c>
      <c r="W12" s="341">
        <f t="shared" si="10"/>
        <v>0</v>
      </c>
      <c r="X12" s="232"/>
      <c r="Y12" s="249">
        <f t="shared" si="11"/>
        <v>0</v>
      </c>
      <c r="Z12" s="232">
        <f t="shared" si="2"/>
        <v>3083.3727999999996</v>
      </c>
      <c r="AA12" s="232">
        <f t="shared" si="14"/>
        <v>0</v>
      </c>
      <c r="AB12" s="250"/>
      <c r="AC12" s="235">
        <f t="shared" si="3"/>
        <v>0</v>
      </c>
      <c r="AD12" s="231"/>
      <c r="AE12" s="234">
        <f>((((((SUMIF($B:$B,B12,$AC:$AC))*1.08))))-((((((SUMIF($B:$B,B12,$AC:$AC))*1.08)/1.16)*0.16)*2/3)))</f>
        <v>0</v>
      </c>
      <c r="AF12" s="365"/>
      <c r="AG12" s="148"/>
      <c r="AH12" s="148"/>
      <c r="AI12" s="402">
        <f t="shared" si="13"/>
        <v>50000001</v>
      </c>
      <c r="AJ12" s="230">
        <f>AI12+1</f>
        <v>50000002</v>
      </c>
      <c r="AK12" s="53">
        <v>0.08</v>
      </c>
      <c r="AL12" s="53"/>
    </row>
    <row r="13" spans="2:38" hidden="1" x14ac:dyDescent="0.25">
      <c r="B13" s="231" t="s">
        <v>273</v>
      </c>
      <c r="C13" s="231" t="str">
        <f>VLOOKUP(B13,Tabla2[[Asesores]:[TIPO]],2,0)</f>
        <v>INTERNO</v>
      </c>
      <c r="D13" s="232">
        <f>SUMIFS('Ventas '!L:L,'Ventas '!C:C,B13,'Ventas '!A:A,"&gt;="&amp;$D$5,'Ventas '!A:A,"&lt;="&amp;$D$6)</f>
        <v>0</v>
      </c>
      <c r="E13" s="238">
        <f t="shared" si="0"/>
        <v>0</v>
      </c>
      <c r="F13" s="235">
        <f t="shared" si="12"/>
        <v>0</v>
      </c>
      <c r="G13" s="237">
        <f t="shared" si="4"/>
        <v>0</v>
      </c>
      <c r="H13" s="232">
        <f>SUMIFS(Tabla110[[#Headers],[#Data],[Utilidad Bruta Total]],Tabla110[[#Headers],[#Data],[Asesor]],B13,Tabla110[[#Headers],[#Data],[Fecha Cobranza]],"&lt;"&amp;$D$6,Tabla110[[#Headers],[#Data],[Fecha Cobranza]],"&gt;="&amp;$D$5)</f>
        <v>0</v>
      </c>
      <c r="I13" s="241">
        <f t="shared" si="5"/>
        <v>0</v>
      </c>
      <c r="J13" s="238">
        <f t="shared" si="6"/>
        <v>0</v>
      </c>
      <c r="K13" s="231"/>
      <c r="L13" s="251">
        <f>SUMIFS('Ventas '!$AE$7:$AE$47059,'Ventas '!$C$7:$C$47059,'Caratula 2023'!B13,'Ventas '!$A$7:$A$47059,"&gt;="&amp;'Caratula 2023'!$D$5,'Ventas '!$A$7:$A$47059,"&lt;="&amp;'Caratula 2023'!$D$6)</f>
        <v>0</v>
      </c>
      <c r="M13" s="234">
        <f>L13/2</f>
        <v>0</v>
      </c>
      <c r="N13" s="231"/>
      <c r="O13" s="358">
        <f t="shared" si="7"/>
        <v>0</v>
      </c>
      <c r="P13" s="354">
        <f>+O13</f>
        <v>0</v>
      </c>
      <c r="Q13" s="352"/>
      <c r="R13" s="252">
        <f>SUMIFS('Ventas '!L:L,'Ventas '!C:C,B13,'Ventas '!A:A,"&gt;="&amp;$R$5,'Ventas '!A:A,"&lt;="&amp;$R$6)</f>
        <v>0</v>
      </c>
      <c r="S13" s="252">
        <f>SUMIFS(Tabla110[[#Headers],[#Data],[Utilidad Bruta Total]],Tabla110[[#Headers],[#Data],[Asesor]],B13,Tabla110[[#Headers],[#Data],[Fecha Cobranza]],"&lt;"&amp;$R$6,Tabla110[[#Headers],[#Data],[Fecha Cobranza]],"&gt;="&amp;$R$5)</f>
        <v>0</v>
      </c>
      <c r="T13" s="253">
        <f t="shared" si="8"/>
        <v>0</v>
      </c>
      <c r="U13" s="238">
        <f t="shared" si="1"/>
        <v>0</v>
      </c>
      <c r="V13" s="232">
        <f t="shared" si="9"/>
        <v>0</v>
      </c>
      <c r="W13" s="341">
        <f t="shared" si="10"/>
        <v>0</v>
      </c>
      <c r="X13" s="232"/>
      <c r="Y13" s="249">
        <f t="shared" si="11"/>
        <v>0</v>
      </c>
      <c r="Z13" s="232">
        <f t="shared" si="2"/>
        <v>0</v>
      </c>
      <c r="AA13" s="232">
        <f t="shared" si="14"/>
        <v>0</v>
      </c>
      <c r="AB13" s="250">
        <v>0</v>
      </c>
      <c r="AC13" s="235">
        <f t="shared" si="3"/>
        <v>0</v>
      </c>
      <c r="AD13" s="233">
        <f>+AC13</f>
        <v>0</v>
      </c>
      <c r="AE13" s="231"/>
      <c r="AF13" s="365"/>
      <c r="AG13" s="148"/>
      <c r="AH13" s="148"/>
      <c r="AI13" s="402">
        <f t="shared" si="13"/>
        <v>50000003</v>
      </c>
      <c r="AJ13" s="230">
        <f>AI13+1</f>
        <v>50000004</v>
      </c>
      <c r="AK13" s="53">
        <v>0.08</v>
      </c>
      <c r="AL13" s="53"/>
    </row>
    <row r="14" spans="2:38" x14ac:dyDescent="0.25">
      <c r="B14" s="231" t="s">
        <v>455</v>
      </c>
      <c r="C14" s="231" t="str">
        <f>VLOOKUP(B14,Tabla2[[Asesores]:[TIPO]],2,0)</f>
        <v>INTERNO</v>
      </c>
      <c r="D14" s="252">
        <f>SUMIFS('Ventas '!L:L,'Ventas '!C:C,B14,'Ventas '!A:A,"&gt;="&amp;$D$5,'Ventas '!A:A,"&lt;="&amp;$D$6)</f>
        <v>1481687.3719999997</v>
      </c>
      <c r="E14" s="355">
        <f t="shared" si="0"/>
        <v>5.5E-2</v>
      </c>
      <c r="F14" s="407" t="e">
        <f>+H14*E14</f>
        <v>#N/A</v>
      </c>
      <c r="G14" s="409">
        <f t="shared" si="4"/>
        <v>0</v>
      </c>
      <c r="H14" s="252" t="e">
        <f>SUMIFS(Tabla110[[#Headers],[#Data],[Utilidad Bruta Total]],Tabla110[[#Headers],[#Data],[Asesor]],B14,Tabla110[[#Headers],[#Data],[Fecha Cobranza]],"&lt;"&amp;$D$6,Tabla110[[#Headers],[#Data],[Fecha Cobranza]],"&gt;="&amp;$D$5)</f>
        <v>#N/A</v>
      </c>
      <c r="I14" s="357">
        <f t="shared" si="5"/>
        <v>0</v>
      </c>
      <c r="J14" s="355">
        <f t="shared" si="6"/>
        <v>0</v>
      </c>
      <c r="K14" s="231"/>
      <c r="L14" s="251">
        <f>SUMIFS('Ventas '!$AE$7:$AE$47059,'Ventas '!$C$7:$C$47059,'Caratula 2023'!B14,'Ventas '!$A$7:$A$47059,"&gt;="&amp;'Caratula 2023'!$D$5,'Ventas '!$A$7:$A$47059,"&lt;="&amp;'Caratula 2023'!$D$6)</f>
        <v>31162.480844999991</v>
      </c>
      <c r="M14" s="234"/>
      <c r="N14" s="231"/>
      <c r="O14" s="358">
        <f t="shared" si="7"/>
        <v>31162.480844999991</v>
      </c>
      <c r="P14" s="410"/>
      <c r="Q14" s="407">
        <f>((((((SUMIF($B:$B,B14,$O:$O))*1.08))))-((((((SUMIF($B:$B,B14,$O:$O))*1.08)/1.16)*0.16)*2/3)))-((((((SUMIF($B:$B,B14,$O:$O))*1.08)/1.16)*1.25%)))</f>
        <v>30198.055791262494</v>
      </c>
      <c r="R14" s="407">
        <f>SUMIFS('Ventas '!L:L,'Ventas '!C:C,B14,'Ventas '!A:A,"&gt;="&amp;$R$5,'Ventas '!A:A,"&lt;="&amp;$R$6)</f>
        <v>0</v>
      </c>
      <c r="S14" s="407">
        <f>SUMIFS(Tabla110[[#Headers],[#Data],[Utilidad Bruta Total]],Tabla110[[#Headers],[#Data],[Asesor]],B14,Tabla110[[#Headers],[#Data],[Fecha Cobranza]],"&lt;"&amp;$R$6,Tabla110[[#Headers],[#Data],[Fecha Cobranza]],"&gt;="&amp;$R$5)</f>
        <v>0</v>
      </c>
      <c r="T14" s="415">
        <f t="shared" si="8"/>
        <v>0</v>
      </c>
      <c r="U14" s="416">
        <f t="shared" si="1"/>
        <v>0</v>
      </c>
      <c r="V14" s="407">
        <f t="shared" si="9"/>
        <v>0</v>
      </c>
      <c r="W14" s="356">
        <f t="shared" si="10"/>
        <v>0</v>
      </c>
      <c r="X14" s="252"/>
      <c r="Y14" s="249">
        <f>+X14+V14</f>
        <v>0</v>
      </c>
      <c r="Z14" s="232">
        <f t="shared" si="2"/>
        <v>31162.480844999991</v>
      </c>
      <c r="AA14" s="252">
        <f t="shared" si="14"/>
        <v>0</v>
      </c>
      <c r="AB14" s="250"/>
      <c r="AC14" s="235">
        <f t="shared" si="3"/>
        <v>0</v>
      </c>
      <c r="AD14" s="239"/>
      <c r="AE14" s="234">
        <f>((((((SUMIF($B:$B,B14,$AC:$AC))*1.08))))-((((((SUMIF($B:$B,B14,$AC:$AC))*1.08)/1.16)*0.16)*2/3)))-((((((SUMIF($B:$B,B14,$AC:$AC))*1.08)/1.16)*1.25%)))</f>
        <v>0</v>
      </c>
      <c r="AF14" s="365"/>
      <c r="AG14" s="148"/>
      <c r="AH14" s="148"/>
      <c r="AI14" s="402">
        <f t="shared" si="13"/>
        <v>50000005</v>
      </c>
      <c r="AJ14" s="230">
        <f>AI14+1</f>
        <v>50000006</v>
      </c>
      <c r="AK14" s="53">
        <v>0.08</v>
      </c>
      <c r="AL14" s="53"/>
    </row>
    <row r="15" spans="2:38" hidden="1" x14ac:dyDescent="0.25">
      <c r="B15" s="231" t="s">
        <v>272</v>
      </c>
      <c r="C15" s="231" t="str">
        <f>VLOOKUP(B15,Tabla2[[Asesores]:[TIPO]],2,0)</f>
        <v>INTERNO</v>
      </c>
      <c r="D15" s="232">
        <f>SUMIFS('Ventas '!L:L,'Ventas '!C:C,B15,'Ventas '!A:A,"&gt;="&amp;$D$5,'Ventas '!A:A,"&lt;="&amp;$D$6)</f>
        <v>0</v>
      </c>
      <c r="E15" s="238">
        <f t="shared" si="0"/>
        <v>0</v>
      </c>
      <c r="F15" s="406">
        <f t="shared" si="12"/>
        <v>0</v>
      </c>
      <c r="G15" s="408">
        <f t="shared" si="4"/>
        <v>0</v>
      </c>
      <c r="H15" s="232">
        <f>SUMIFS(Tabla110[[#Headers],[#Data],[Utilidad Bruta Total]],Tabla110[[#Headers],[#Data],[Asesor]],B15,Tabla110[[#Headers],[#Data],[Fecha Cobranza]],"&lt;"&amp;$D$6,Tabla110[[#Headers],[#Data],[Fecha Cobranza]],"&gt;="&amp;$D$5)</f>
        <v>0</v>
      </c>
      <c r="I15" s="241">
        <f t="shared" si="5"/>
        <v>0</v>
      </c>
      <c r="J15" s="238">
        <f t="shared" ref="J15:J41" si="15">IFERROR(+F15/H15,0)</f>
        <v>0</v>
      </c>
      <c r="K15" s="231"/>
      <c r="L15" s="251">
        <f>SUMIFS('Ventas '!$AE$7:$AE$47059,'Ventas '!$C$7:$C$47059,'Caratula 2023'!B15,'Ventas '!$A$7:$A$47059,"&gt;="&amp;'Caratula 2023'!$D$5,'Ventas '!$A$7:$A$47059,"&lt;="&amp;'Caratula 2023'!$D$6)</f>
        <v>0</v>
      </c>
      <c r="M15" s="234">
        <f>L15</f>
        <v>0</v>
      </c>
      <c r="N15" s="231"/>
      <c r="O15" s="358">
        <f t="shared" si="7"/>
        <v>0</v>
      </c>
      <c r="P15" s="412"/>
      <c r="Q15" s="406"/>
      <c r="R15" s="406">
        <f>SUMIFS('Ventas '!L:L,'Ventas '!C:C,B15,'Ventas '!A:A,"&gt;="&amp;$R$5,'Ventas '!A:A,"&lt;="&amp;$R$6)</f>
        <v>0</v>
      </c>
      <c r="S15" s="406">
        <f>SUMIFS(Tabla110[[#Headers],[#Data],[Utilidad Bruta Total]],Tabla110[[#Headers],[#Data],[Asesor]],B15,Tabla110[[#Headers],[#Data],[Fecha Cobranza]],"&lt;"&amp;$R$6,Tabla110[[#Headers],[#Data],[Fecha Cobranza]],"&gt;="&amp;$R$5)</f>
        <v>0</v>
      </c>
      <c r="T15" s="413">
        <f t="shared" si="8"/>
        <v>0</v>
      </c>
      <c r="U15" s="414">
        <f t="shared" si="1"/>
        <v>0</v>
      </c>
      <c r="V15" s="406">
        <f t="shared" si="9"/>
        <v>0</v>
      </c>
      <c r="W15" s="341">
        <f t="shared" si="10"/>
        <v>0</v>
      </c>
      <c r="X15" s="232"/>
      <c r="Y15" s="249">
        <f>+X15+V15</f>
        <v>0</v>
      </c>
      <c r="Z15" s="232">
        <f t="shared" si="2"/>
        <v>0</v>
      </c>
      <c r="AA15" s="232">
        <f t="shared" si="14"/>
        <v>0</v>
      </c>
      <c r="AB15" s="250">
        <f>AA15</f>
        <v>0</v>
      </c>
      <c r="AC15" s="235">
        <f>++AA15-AB15</f>
        <v>0</v>
      </c>
      <c r="AD15" s="232"/>
      <c r="AE15" s="234">
        <f>((((((SUMIF($B:$B,B15,$AC:$AC))*1.08))))-((((((SUMIF($B:$B,B15,$AC:$AC))*1.08)/1.16)*0.16)*2/3)))</f>
        <v>0</v>
      </c>
      <c r="AF15" s="365"/>
      <c r="AG15" s="148"/>
      <c r="AH15" s="148"/>
      <c r="AI15" s="402">
        <f t="shared" si="13"/>
        <v>50000007</v>
      </c>
      <c r="AJ15" s="230">
        <f>AI15+1</f>
        <v>50000008</v>
      </c>
      <c r="AK15" s="53">
        <v>0.08</v>
      </c>
      <c r="AL15" s="53"/>
    </row>
    <row r="16" spans="2:38" hidden="1" x14ac:dyDescent="0.25">
      <c r="B16" s="231" t="s">
        <v>425</v>
      </c>
      <c r="C16" s="231" t="str">
        <f>VLOOKUP(B16,Tabla2[[Asesores]:[TIPO]],2,0)</f>
        <v>INTERNO</v>
      </c>
      <c r="D16" s="232">
        <f>SUMIFS('Ventas '!L:L,'Ventas '!C:C,B16,'Ventas '!A:A,"&gt;="&amp;$D$5,'Ventas '!A:A,"&lt;="&amp;$D$6)</f>
        <v>0</v>
      </c>
      <c r="E16" s="238">
        <f t="shared" si="0"/>
        <v>0</v>
      </c>
      <c r="F16" s="407">
        <f t="shared" si="12"/>
        <v>0</v>
      </c>
      <c r="G16" s="409">
        <f t="shared" si="4"/>
        <v>0</v>
      </c>
      <c r="H16" s="232">
        <f>SUMIFS(Tabla110[[#Headers],[#Data],[Utilidad Bruta Total]],Tabla110[[#Headers],[#Data],[Asesor]],B16,Tabla110[[#Headers],[#Data],[Fecha Cobranza]],"&lt;"&amp;$D$6,Tabla110[[#Headers],[#Data],[Fecha Cobranza]],"&gt;="&amp;$D$5)</f>
        <v>0</v>
      </c>
      <c r="I16" s="241">
        <f t="shared" si="5"/>
        <v>0</v>
      </c>
      <c r="J16" s="238">
        <f t="shared" si="15"/>
        <v>0</v>
      </c>
      <c r="K16" s="231"/>
      <c r="L16" s="251">
        <f>SUMIFS('Ventas '!$AE$7:$AE$47059,'Ventas '!$C$7:$C$47059,'Caratula 2023'!B16,'Ventas '!$A$7:$A$47059,"&gt;="&amp;'Caratula 2023'!$D$5,'Ventas '!$A$7:$A$47059,"&lt;="&amp;'Caratula 2023'!$D$6)</f>
        <v>0</v>
      </c>
      <c r="M16" s="234"/>
      <c r="N16" s="231"/>
      <c r="O16" s="358">
        <f t="shared" si="7"/>
        <v>0</v>
      </c>
      <c r="P16" s="410">
        <f>+O16</f>
        <v>0</v>
      </c>
      <c r="Q16" s="407"/>
      <c r="R16" s="407">
        <f>SUMIFS('Ventas '!L:L,'Ventas '!C:C,B16,'Ventas '!A:A,"&gt;="&amp;$R$5,'Ventas '!A:A,"&lt;="&amp;$R$6)</f>
        <v>0</v>
      </c>
      <c r="S16" s="407">
        <f>SUMIFS(Tabla110[[#Headers],[#Data],[Utilidad Bruta Total]],Tabla110[[#Headers],[#Data],[Asesor]],B16,Tabla110[[#Headers],[#Data],[Fecha Cobranza]],"&lt;"&amp;$R$6,Tabla110[[#Headers],[#Data],[Fecha Cobranza]],"&gt;="&amp;$R$5)</f>
        <v>0</v>
      </c>
      <c r="T16" s="415">
        <f t="shared" si="8"/>
        <v>0</v>
      </c>
      <c r="U16" s="416">
        <f t="shared" si="1"/>
        <v>0</v>
      </c>
      <c r="V16" s="407">
        <f t="shared" si="9"/>
        <v>0</v>
      </c>
      <c r="W16" s="341">
        <f t="shared" si="10"/>
        <v>0</v>
      </c>
      <c r="X16" s="232"/>
      <c r="Y16" s="249">
        <f t="shared" si="11"/>
        <v>0</v>
      </c>
      <c r="Z16" s="232">
        <f t="shared" si="2"/>
        <v>0</v>
      </c>
      <c r="AA16" s="232">
        <f t="shared" si="14"/>
        <v>0</v>
      </c>
      <c r="AB16" s="358">
        <v>0</v>
      </c>
      <c r="AC16" s="235">
        <f t="shared" ref="AC16:AC25" si="16">++AA16-AB16</f>
        <v>0</v>
      </c>
      <c r="AD16" s="233">
        <f>+AC16</f>
        <v>0</v>
      </c>
      <c r="AE16" s="231"/>
      <c r="AF16" s="365"/>
      <c r="AG16" s="148"/>
      <c r="AH16" s="148"/>
      <c r="AI16" s="228"/>
      <c r="AJ16" s="228"/>
      <c r="AK16" s="46"/>
      <c r="AL16" s="46"/>
    </row>
    <row r="17" spans="2:34" hidden="1" x14ac:dyDescent="0.25">
      <c r="B17" s="231" t="s">
        <v>483</v>
      </c>
      <c r="C17" s="231" t="str">
        <f>VLOOKUP(B17,Tabla2[[Asesores]:[TIPO]],2,0)</f>
        <v>INTERNO</v>
      </c>
      <c r="D17" s="232">
        <f>SUMIFS('Ventas '!L:L,'Ventas '!C:C,B17,'Ventas '!A:A,"&gt;="&amp;$D$5,'Ventas '!A:A,"&lt;="&amp;$D$6)</f>
        <v>0</v>
      </c>
      <c r="E17" s="238">
        <f t="shared" si="0"/>
        <v>0</v>
      </c>
      <c r="F17" s="406">
        <f t="shared" si="12"/>
        <v>0</v>
      </c>
      <c r="G17" s="408">
        <f t="shared" ref="G17:G40" si="17">IFERROR(F17/D17,0)</f>
        <v>0</v>
      </c>
      <c r="H17" s="232">
        <f>SUMIFS(Tabla110[[#Headers],[#Data],[Utilidad Bruta Total]],Tabla110[[#Headers],[#Data],[Asesor]],B17,Tabla110[[#Headers],[#Data],[Fecha Cobranza]],"&lt;"&amp;$D$6,Tabla110[[#Headers],[#Data],[Fecha Cobranza]],"&gt;="&amp;$D$5)</f>
        <v>0</v>
      </c>
      <c r="I17" s="241">
        <f t="shared" si="5"/>
        <v>0</v>
      </c>
      <c r="J17" s="238">
        <f t="shared" si="15"/>
        <v>0</v>
      </c>
      <c r="K17" s="231"/>
      <c r="L17" s="251">
        <f>SUMIFS('Ventas '!$AE$7:$AE$47059,'Ventas '!$C$7:$C$47059,'Caratula 2023'!B17,'Ventas '!$A$7:$A$47059,"&gt;="&amp;'Caratula 2023'!$D$5,'Ventas '!$A$7:$A$47059,"&lt;="&amp;'Caratula 2023'!$D$6)</f>
        <v>0</v>
      </c>
      <c r="M17" s="234">
        <v>0</v>
      </c>
      <c r="N17" s="231"/>
      <c r="O17" s="358">
        <f t="shared" si="7"/>
        <v>0</v>
      </c>
      <c r="P17" s="412"/>
      <c r="Q17" s="406">
        <f>((((((SUMIF($B:$B,B17,$O:$O))*1.08))))-((((((SUMIF($B:$B,B17,$O:$O))*1.08)/1.16)*0.16)*2/3)))-((((((SUMIF($B:$B,B17,$O:$O))*1.08)/1.16)*1.25%)))</f>
        <v>0</v>
      </c>
      <c r="R17" s="406">
        <f>SUMIFS('Ventas '!L:L,'Ventas '!C:C,B17,'Ventas '!A:A,"&gt;="&amp;$R$5,'Ventas '!A:A,"&lt;="&amp;$R$6)</f>
        <v>0</v>
      </c>
      <c r="S17" s="406">
        <f>SUMIFS(Tabla110[[#Headers],[#Data],[Utilidad Bruta Total]],Tabla110[[#Headers],[#Data],[Asesor]],B17,Tabla110[[#Headers],[#Data],[Fecha Cobranza]],"&lt;"&amp;$R$6,Tabla110[[#Headers],[#Data],[Fecha Cobranza]],"&gt;="&amp;$R$5)</f>
        <v>0</v>
      </c>
      <c r="T17" s="413">
        <f t="shared" si="8"/>
        <v>0</v>
      </c>
      <c r="U17" s="414">
        <f t="shared" si="1"/>
        <v>0</v>
      </c>
      <c r="V17" s="406">
        <f t="shared" si="9"/>
        <v>0</v>
      </c>
      <c r="W17" s="341">
        <f t="shared" si="10"/>
        <v>0</v>
      </c>
      <c r="X17" s="358"/>
      <c r="Y17" s="249">
        <f>+X17+V17</f>
        <v>0</v>
      </c>
      <c r="Z17" s="232">
        <f t="shared" si="2"/>
        <v>0</v>
      </c>
      <c r="AA17" s="252">
        <f t="shared" si="14"/>
        <v>0</v>
      </c>
      <c r="AB17" s="398">
        <v>0</v>
      </c>
      <c r="AC17" s="235">
        <f t="shared" si="16"/>
        <v>0</v>
      </c>
      <c r="AD17" s="232"/>
      <c r="AE17" s="234">
        <f>((((((SUMIF($B:$B,B17,$AC:$AC))*1.08))))-((((((SUMIF($B:$B,B17,$AC:$AC))*1.08)/1.16)*0.16)*2/3)))-((((((SUMIF($B:$B,B17,$AC:$AC))*1.08)/1.16)*1.25%)))</f>
        <v>0</v>
      </c>
      <c r="AF17" s="365"/>
      <c r="AG17" s="148"/>
      <c r="AH17" s="148"/>
    </row>
    <row r="18" spans="2:34" hidden="1" x14ac:dyDescent="0.25">
      <c r="B18" s="231" t="s">
        <v>281</v>
      </c>
      <c r="C18" s="231" t="str">
        <f>VLOOKUP(B18,Tabla2[[Asesores]:[TIPO]],2,0)</f>
        <v>INTERNO</v>
      </c>
      <c r="D18" s="232">
        <f>SUMIFS('Ventas '!L:L,'Ventas '!C:C,B18,'Ventas '!A:A,"&gt;="&amp;$D$5,'Ventas '!A:A,"&lt;="&amp;$D$6)</f>
        <v>0</v>
      </c>
      <c r="E18" s="238">
        <f t="shared" si="0"/>
        <v>0</v>
      </c>
      <c r="F18" s="406">
        <f t="shared" si="12"/>
        <v>0</v>
      </c>
      <c r="G18" s="408">
        <f t="shared" si="17"/>
        <v>0</v>
      </c>
      <c r="H18" s="232">
        <f>SUMIFS(Tabla110[[#Headers],[#Data],[Utilidad Bruta Total]],Tabla110[[#Headers],[#Data],[Asesor]],B18,Tabla110[[#Headers],[#Data],[Fecha Cobranza]],"&lt;"&amp;$D$6,Tabla110[[#Headers],[#Data],[Fecha Cobranza]],"&gt;="&amp;$D$5)</f>
        <v>0</v>
      </c>
      <c r="I18" s="241">
        <f t="shared" si="5"/>
        <v>0</v>
      </c>
      <c r="J18" s="238">
        <f t="shared" si="15"/>
        <v>0</v>
      </c>
      <c r="K18" s="232"/>
      <c r="L18" s="251">
        <f>SUMIFS('Ventas '!$AE$7:$AE$47059,'Ventas '!$C$7:$C$47059,'Caratula 2023'!B18,'Ventas '!$A$7:$A$47059,"&gt;="&amp;'Caratula 2023'!$D$5,'Ventas '!$A$7:$A$47059,"&lt;="&amp;'Caratula 2023'!$D$6)</f>
        <v>0</v>
      </c>
      <c r="M18" s="232"/>
      <c r="N18" s="231"/>
      <c r="O18" s="358">
        <f t="shared" si="7"/>
        <v>0</v>
      </c>
      <c r="P18" s="412"/>
      <c r="Q18" s="406">
        <f>((((((SUMIF($B:$B,B18,$O:$O))*1.08))))-((((((SUMIF($B:$B,B18,$O:$O))*1.08)/1.16)*0.16)*2/3)))-((((((SUMIF($B:$B,B18,$O:$O))*1.08)/1.16)*1.25%)))</f>
        <v>0</v>
      </c>
      <c r="R18" s="406">
        <f>SUMIFS('Ventas '!L:L,'Ventas '!C:C,B18,'Ventas '!A:A,"&gt;="&amp;$R$5,'Ventas '!A:A,"&lt;="&amp;$R$6)</f>
        <v>0</v>
      </c>
      <c r="S18" s="406">
        <f>SUMIFS(Tabla110[[#Headers],[#Data],[Utilidad Bruta Total]],Tabla110[[#Headers],[#Data],[Asesor]],B18,Tabla110[[#Headers],[#Data],[Fecha Cobranza]],"&lt;"&amp;$R$6,Tabla110[[#Headers],[#Data],[Fecha Cobranza]],"&gt;="&amp;$R$5)</f>
        <v>0</v>
      </c>
      <c r="T18" s="413">
        <f t="shared" si="8"/>
        <v>0</v>
      </c>
      <c r="U18" s="414">
        <f t="shared" si="1"/>
        <v>0</v>
      </c>
      <c r="V18" s="406">
        <f t="shared" si="9"/>
        <v>0</v>
      </c>
      <c r="W18" s="341">
        <f t="shared" si="10"/>
        <v>0</v>
      </c>
      <c r="X18" s="232"/>
      <c r="Y18" s="249">
        <f t="shared" si="11"/>
        <v>0</v>
      </c>
      <c r="Z18" s="232">
        <f t="shared" si="2"/>
        <v>0</v>
      </c>
      <c r="AA18" s="232">
        <f>IF(Y18&lt;Z18,0,Y18-Z18)</f>
        <v>0</v>
      </c>
      <c r="AB18" s="358"/>
      <c r="AC18" s="235">
        <f>++AA18-AB18</f>
        <v>0</v>
      </c>
      <c r="AD18" s="239"/>
      <c r="AE18" s="234">
        <f>((((((SUMIF($B:$B,B18,$AC:$AC))*1.08))))-((((((SUMIF($B:$B,B18,$AC:$AC))*1.08)/1.16)*0.16)*2/3)))-((((((SUMIF($B:$B,B18,$AC:$AC))*1.08)/1.16)*1.25%)))</f>
        <v>0</v>
      </c>
      <c r="AF18" s="365"/>
      <c r="AG18" s="351"/>
      <c r="AH18" s="351"/>
    </row>
    <row r="19" spans="2:34" hidden="1" x14ac:dyDescent="0.25">
      <c r="B19" s="231" t="s">
        <v>459</v>
      </c>
      <c r="C19" s="231" t="str">
        <f>VLOOKUP(B19,Tabla2[[Asesores]:[TIPO]],2,0)</f>
        <v>INTERNO</v>
      </c>
      <c r="D19" s="252">
        <f>SUMIFS('Ventas '!L:L,'Ventas '!C:C,B19,'Ventas '!A:A,"&gt;="&amp;$D$5,'Ventas '!A:A,"&lt;="&amp;$D$6)</f>
        <v>0</v>
      </c>
      <c r="E19" s="355">
        <f t="shared" si="0"/>
        <v>0</v>
      </c>
      <c r="F19" s="406">
        <f t="shared" si="12"/>
        <v>0</v>
      </c>
      <c r="G19" s="408">
        <f t="shared" si="17"/>
        <v>0</v>
      </c>
      <c r="H19" s="252">
        <f>SUMIFS(Tabla110[[#Headers],[#Data],[Utilidad Bruta Total]],Tabla110[[#Headers],[#Data],[Asesor]],B19,Tabla110[[#Headers],[#Data],[Fecha Cobranza]],"&lt;"&amp;$D$6,Tabla110[[#Headers],[#Data],[Fecha Cobranza]],"&gt;="&amp;$D$5)</f>
        <v>0</v>
      </c>
      <c r="I19" s="357">
        <f t="shared" si="5"/>
        <v>0</v>
      </c>
      <c r="J19" s="355">
        <f t="shared" si="15"/>
        <v>0</v>
      </c>
      <c r="K19" s="252"/>
      <c r="L19" s="251">
        <f>SUMIFS('Ventas '!$AE$7:$AE$47059,'Ventas '!$C$7:$C$47059,'Caratula 2023'!B19,'Ventas '!$A$7:$A$47059,"&gt;="&amp;'Caratula 2023'!$D$5,'Ventas '!$A$7:$A$47059,"&lt;="&amp;'Caratula 2023'!$D$6)</f>
        <v>0</v>
      </c>
      <c r="M19" s="252"/>
      <c r="N19" s="231"/>
      <c r="O19" s="358">
        <f t="shared" si="7"/>
        <v>0</v>
      </c>
      <c r="P19" s="412"/>
      <c r="Q19" s="406">
        <f>((((((SUMIF($B:$B,B19,$O:$O))*1.08))))-((((((SUMIF($B:$B,B19,$O:$O))*1.08)/1.16)*0.16)*2/3)))-((((((SUMIF($B:$B,B19,$O:$O))*1.08)/1.16)*1.25%)))</f>
        <v>0</v>
      </c>
      <c r="R19" s="406">
        <f>SUMIFS('Ventas '!L:L,'Ventas '!C:C,B19,'Ventas '!A:A,"&gt;="&amp;$R$5,'Ventas '!A:A,"&lt;="&amp;$R$6)</f>
        <v>0</v>
      </c>
      <c r="S19" s="406">
        <f>SUMIFS(Tabla110[[#Headers],[#Data],[Utilidad Bruta Total]],Tabla110[[#Headers],[#Data],[Asesor]],B19,Tabla110[[#Headers],[#Data],[Fecha Cobranza]],"&lt;"&amp;$R$6,Tabla110[[#Headers],[#Data],[Fecha Cobranza]],"&gt;="&amp;$R$5)</f>
        <v>0</v>
      </c>
      <c r="T19" s="413">
        <f t="shared" si="8"/>
        <v>0</v>
      </c>
      <c r="U19" s="414">
        <f t="shared" si="1"/>
        <v>0</v>
      </c>
      <c r="V19" s="406">
        <f t="shared" si="9"/>
        <v>0</v>
      </c>
      <c r="W19" s="356">
        <f t="shared" si="10"/>
        <v>0</v>
      </c>
      <c r="X19" s="252"/>
      <c r="Y19" s="249">
        <f t="shared" si="11"/>
        <v>0</v>
      </c>
      <c r="Z19" s="232">
        <f t="shared" si="2"/>
        <v>0</v>
      </c>
      <c r="AA19" s="252">
        <f t="shared" si="14"/>
        <v>0</v>
      </c>
      <c r="AB19" s="358"/>
      <c r="AC19" s="235">
        <f t="shared" si="16"/>
        <v>0</v>
      </c>
      <c r="AD19" s="239"/>
      <c r="AE19" s="234">
        <f>((((((SUMIF($B:$B,B19,$AC:$AC))*1.08))))-((((((SUMIF($B:$B,B19,$AC:$AC))*1.08)/1.16)*0.16)*2/3)))-((((((SUMIF($B:$B,B19,$AC:$AC))*1.08)/1.16)*1.25%)))</f>
        <v>0</v>
      </c>
      <c r="AF19" s="365"/>
      <c r="AG19" s="148"/>
      <c r="AH19" s="148"/>
    </row>
    <row r="20" spans="2:34" x14ac:dyDescent="0.25">
      <c r="B20" s="231" t="s">
        <v>547</v>
      </c>
      <c r="C20" s="231" t="str">
        <f>VLOOKUP(B20,Tabla2[[Asesores]:[TIPO]],2,0)</f>
        <v>INTERNO</v>
      </c>
      <c r="D20" s="232">
        <f>SUMIFS('Ventas '!L:L,'Ventas '!C:C,B20,'Ventas '!A:A,"&gt;="&amp;$D$5,'Ventas '!A:A,"&lt;="&amp;$D$6)</f>
        <v>312330.99759999994</v>
      </c>
      <c r="E20" s="238">
        <f t="shared" si="0"/>
        <v>5.5E-2</v>
      </c>
      <c r="F20" s="406" t="e">
        <f>+H20*E20</f>
        <v>#N/A</v>
      </c>
      <c r="G20" s="408">
        <f t="shared" si="17"/>
        <v>0</v>
      </c>
      <c r="H20" s="232" t="e">
        <f>SUMIFS(Tabla110[[#Headers],[#Data],[Utilidad Bruta Total]],Tabla110[[#Headers],[#Data],[Asesor]],B20,Tabla110[[#Headers],[#Data],[Fecha Cobranza]],"&lt;"&amp;$D$6,Tabla110[[#Headers],[#Data],[Fecha Cobranza]],"&gt;="&amp;$D$5)</f>
        <v>#N/A</v>
      </c>
      <c r="I20" s="241">
        <f>IFERROR(+H20/D20,0)</f>
        <v>0</v>
      </c>
      <c r="J20" s="238">
        <f t="shared" si="15"/>
        <v>0</v>
      </c>
      <c r="K20" s="232"/>
      <c r="L20" s="251">
        <f>SUMIFS('Ventas '!$AE$7:$AE$47059,'Ventas '!$C$7:$C$47059,'Caratula 2023'!B20,'Ventas '!$A$7:$A$47059,"&gt;="&amp;'Caratula 2023'!$D$5,'Ventas '!$A$7:$A$47059,"&lt;="&amp;'Caratula 2023'!$D$6)</f>
        <v>6878.6200259999987</v>
      </c>
      <c r="M20" s="234">
        <v>0</v>
      </c>
      <c r="N20" s="231"/>
      <c r="O20" s="358">
        <f t="shared" si="7"/>
        <v>6878.6200259999987</v>
      </c>
      <c r="P20" s="412"/>
      <c r="Q20" s="406">
        <f>((((((SUMIF($B:$B,B20,$O:$O))*1.08))))-((((((SUMIF($B:$B,B20,$O:$O))*1.08)/1.16)*0.16)*2/3)))</f>
        <v>6745.7915013599995</v>
      </c>
      <c r="R20" s="406">
        <f>SUMIFS('Ventas '!L:L,'Ventas '!C:C,B20,'Ventas '!A:A,"&gt;="&amp;$R$5,'Ventas '!A:A,"&lt;="&amp;$R$6)</f>
        <v>0</v>
      </c>
      <c r="S20" s="406">
        <f>SUMIFS(Tabla110[[#Headers],[#Data],[Utilidad Bruta Total]],Tabla110[[#Headers],[#Data],[Asesor]],B20,Tabla110[[#Headers],[#Data],[Fecha Cobranza]],"&lt;"&amp;$R$6,Tabla110[[#Headers],[#Data],[Fecha Cobranza]],"&gt;="&amp;$R$5)</f>
        <v>0</v>
      </c>
      <c r="T20" s="413">
        <f>IFERROR(S20/R20,0)</f>
        <v>0</v>
      </c>
      <c r="U20" s="414">
        <f t="shared" si="1"/>
        <v>0</v>
      </c>
      <c r="V20" s="406">
        <f t="shared" si="9"/>
        <v>0</v>
      </c>
      <c r="W20" s="341">
        <f>IFERROR(V20/R20,0)</f>
        <v>0</v>
      </c>
      <c r="X20" s="232"/>
      <c r="Y20" s="249">
        <f t="shared" ref="Y20:Y40" si="18">+X20+V20</f>
        <v>0</v>
      </c>
      <c r="Z20" s="232">
        <f t="shared" si="2"/>
        <v>6878.6200259999987</v>
      </c>
      <c r="AA20" s="232">
        <f t="shared" si="14"/>
        <v>0</v>
      </c>
      <c r="AB20" s="250">
        <v>0</v>
      </c>
      <c r="AC20" s="235">
        <f>++AA20-AB20</f>
        <v>0</v>
      </c>
      <c r="AD20" s="232"/>
      <c r="AE20" s="234">
        <f>((((((SUMIF($B:$B,B20,$AC:$AC))*1.08))))-((((((SUMIF($B:$B,B20,$AC:$AC))*1.08)/1.16)*0.16)*2/3)))</f>
        <v>0</v>
      </c>
      <c r="AF20" s="365"/>
      <c r="AG20" s="148"/>
      <c r="AH20" s="148"/>
    </row>
    <row r="21" spans="2:34" hidden="1" x14ac:dyDescent="0.25">
      <c r="B21" s="231" t="s">
        <v>279</v>
      </c>
      <c r="C21" s="231" t="str">
        <f>VLOOKUP(B21,Tabla2[[Asesores]:[TIPO]],2,0)</f>
        <v>INTERNO</v>
      </c>
      <c r="D21" s="232">
        <f>SUMIFS('Ventas '!L:L,'Ventas '!C:C,B21,'Ventas '!A:A,"&gt;="&amp;$D$5,'Ventas '!A:A,"&lt;="&amp;$D$6)</f>
        <v>0</v>
      </c>
      <c r="E21" s="238">
        <f t="shared" si="0"/>
        <v>0</v>
      </c>
      <c r="F21" s="235">
        <f>+H21*E21</f>
        <v>0</v>
      </c>
      <c r="G21" s="237">
        <f t="shared" si="17"/>
        <v>0</v>
      </c>
      <c r="H21" s="232">
        <f>SUMIFS(Tabla110[[#Headers],[#Data],[Utilidad Bruta Total]],Tabla110[[#Headers],[#Data],[Asesor]],B21,Tabla110[[#Headers],[#Data],[Fecha Cobranza]],"&lt;"&amp;$D$6,Tabla110[[#Headers],[#Data],[Fecha Cobranza]],"&gt;="&amp;$D$5)</f>
        <v>0</v>
      </c>
      <c r="I21" s="241">
        <f t="shared" si="5"/>
        <v>0</v>
      </c>
      <c r="J21" s="238">
        <f t="shared" si="15"/>
        <v>0</v>
      </c>
      <c r="K21" s="231"/>
      <c r="L21" s="251">
        <f>SUMIFS('Ventas '!$AE$7:$AE$47059,'Ventas '!$C$7:$C$47059,'Caratula 2023'!B21,'Ventas '!$A$7:$A$47059,"&gt;="&amp;'Caratula 2023'!$D$5,'Ventas '!$A$7:$A$47059,"&lt;="&amp;'Caratula 2023'!$D$6)</f>
        <v>0</v>
      </c>
      <c r="M21" s="234"/>
      <c r="N21" s="231"/>
      <c r="O21" s="358">
        <f t="shared" si="7"/>
        <v>0</v>
      </c>
      <c r="P21" s="354">
        <f t="shared" ref="P21:P41" si="19">+O21</f>
        <v>0</v>
      </c>
      <c r="Q21" s="352"/>
      <c r="R21" s="252">
        <f>SUMIFS('Ventas '!L:L,'Ventas '!C:C,B21,'Ventas '!A:A,"&gt;="&amp;$R$5,'Ventas '!A:A,"&lt;="&amp;$R$6)</f>
        <v>0</v>
      </c>
      <c r="S21" s="252">
        <f>SUMIFS(Tabla110[[#Headers],[#Data],[Utilidad Bruta Total]],Tabla110[[#Headers],[#Data],[Asesor]],B21,Tabla110[[#Headers],[#Data],[Fecha Cobranza]],"&lt;"&amp;$R$6,Tabla110[[#Headers],[#Data],[Fecha Cobranza]],"&gt;="&amp;$R$5)</f>
        <v>0</v>
      </c>
      <c r="T21" s="253">
        <f t="shared" si="8"/>
        <v>0</v>
      </c>
      <c r="U21" s="238">
        <f t="shared" si="1"/>
        <v>0</v>
      </c>
      <c r="V21" s="232">
        <f t="shared" si="9"/>
        <v>0</v>
      </c>
      <c r="W21" s="341">
        <f t="shared" si="10"/>
        <v>0</v>
      </c>
      <c r="X21" s="232"/>
      <c r="Y21" s="249">
        <f t="shared" si="18"/>
        <v>0</v>
      </c>
      <c r="Z21" s="232">
        <f t="shared" si="2"/>
        <v>0</v>
      </c>
      <c r="AA21" s="232">
        <f t="shared" si="14"/>
        <v>0</v>
      </c>
      <c r="AB21" s="358"/>
      <c r="AC21" s="235">
        <f t="shared" si="16"/>
        <v>0</v>
      </c>
      <c r="AD21" s="233">
        <f t="shared" ref="AD21:AD41" si="20">+AC21</f>
        <v>0</v>
      </c>
      <c r="AE21" s="231"/>
      <c r="AF21" s="365"/>
      <c r="AG21" s="148"/>
      <c r="AH21" s="148"/>
    </row>
    <row r="22" spans="2:34" hidden="1" x14ac:dyDescent="0.25">
      <c r="B22" s="231" t="s">
        <v>401</v>
      </c>
      <c r="C22" s="231" t="str">
        <f>VLOOKUP(B22,Tabla2[[Asesores]:[TIPO]],2,0)</f>
        <v>INTERNO</v>
      </c>
      <c r="D22" s="232">
        <f>SUMIFS('Ventas '!L:L,'Ventas '!C:C,B22,'Ventas '!A:A,"&gt;="&amp;$D$5,'Ventas '!A:A,"&lt;="&amp;$D$6)</f>
        <v>0</v>
      </c>
      <c r="E22" s="238">
        <f t="shared" si="0"/>
        <v>0</v>
      </c>
      <c r="F22" s="235">
        <f t="shared" si="12"/>
        <v>0</v>
      </c>
      <c r="G22" s="237">
        <f t="shared" si="17"/>
        <v>0</v>
      </c>
      <c r="H22" s="232">
        <f>SUMIFS(Tabla110[[#Headers],[#Data],[Utilidad Bruta Total]],Tabla110[[#Headers],[#Data],[Asesor]],B22,Tabla110[[#Headers],[#Data],[Fecha Cobranza]],"&lt;"&amp;$D$6,Tabla110[[#Headers],[#Data],[Fecha Cobranza]],"&gt;="&amp;$D$5)</f>
        <v>0</v>
      </c>
      <c r="I22" s="241">
        <f t="shared" si="5"/>
        <v>0</v>
      </c>
      <c r="J22" s="238">
        <f t="shared" si="15"/>
        <v>0</v>
      </c>
      <c r="K22" s="231"/>
      <c r="L22" s="251">
        <f>SUMIFS('Ventas '!$AE$7:$AE$47059,'Ventas '!$C$7:$C$47059,'Caratula 2023'!B22,'Ventas '!$A$7:$A$47059,"&gt;="&amp;'Caratula 2023'!$D$5,'Ventas '!$A$7:$A$47059,"&lt;="&amp;'Caratula 2023'!$D$6)</f>
        <v>0</v>
      </c>
      <c r="M22" s="232"/>
      <c r="N22" s="231"/>
      <c r="O22" s="358">
        <f t="shared" si="7"/>
        <v>0</v>
      </c>
      <c r="P22" s="354">
        <f t="shared" si="19"/>
        <v>0</v>
      </c>
      <c r="Q22" s="352"/>
      <c r="R22" s="252">
        <f>SUMIFS('Ventas '!L:L,'Ventas '!C:C,B22,'Ventas '!A:A,"&gt;="&amp;$R$5,'Ventas '!A:A,"&lt;="&amp;$R$6)</f>
        <v>0</v>
      </c>
      <c r="S22" s="252">
        <f>SUMIFS(Tabla110[[#Headers],[#Data],[Utilidad Bruta Total]],Tabla110[[#Headers],[#Data],[Asesor]],B22,Tabla110[[#Headers],[#Data],[Fecha Cobranza]],"&lt;"&amp;$R$6,Tabla110[[#Headers],[#Data],[Fecha Cobranza]],"&gt;="&amp;$R$5)</f>
        <v>0</v>
      </c>
      <c r="T22" s="253">
        <f t="shared" si="8"/>
        <v>0</v>
      </c>
      <c r="U22" s="238">
        <f t="shared" si="1"/>
        <v>0</v>
      </c>
      <c r="V22" s="232">
        <f t="shared" si="9"/>
        <v>0</v>
      </c>
      <c r="W22" s="341">
        <f t="shared" si="10"/>
        <v>0</v>
      </c>
      <c r="X22" s="232"/>
      <c r="Y22" s="249">
        <f t="shared" si="18"/>
        <v>0</v>
      </c>
      <c r="Z22" s="232">
        <f t="shared" si="2"/>
        <v>0</v>
      </c>
      <c r="AA22" s="232">
        <f t="shared" si="14"/>
        <v>0</v>
      </c>
      <c r="AB22" s="358"/>
      <c r="AC22" s="235">
        <f t="shared" si="16"/>
        <v>0</v>
      </c>
      <c r="AD22" s="233">
        <f t="shared" si="20"/>
        <v>0</v>
      </c>
      <c r="AE22" s="231"/>
      <c r="AF22" s="365"/>
      <c r="AG22" s="148"/>
      <c r="AH22" s="148"/>
    </row>
    <row r="23" spans="2:34" hidden="1" x14ac:dyDescent="0.25">
      <c r="B23" s="231" t="s">
        <v>450</v>
      </c>
      <c r="C23" s="231" t="str">
        <f>VLOOKUP(B23,Tabla2[[Asesores]:[TIPO]],2,0)</f>
        <v>INTERNO</v>
      </c>
      <c r="D23" s="232">
        <f>SUMIFS('Ventas '!L:L,'Ventas '!C:C,B23,'Ventas '!A:A,"&gt;="&amp;$D$5,'Ventas '!A:A,"&lt;="&amp;$D$6)</f>
        <v>0</v>
      </c>
      <c r="E23" s="238">
        <f t="shared" si="0"/>
        <v>0</v>
      </c>
      <c r="F23" s="235">
        <f t="shared" si="12"/>
        <v>0</v>
      </c>
      <c r="G23" s="237">
        <f t="shared" si="17"/>
        <v>0</v>
      </c>
      <c r="H23" s="232">
        <f>SUMIFS(Tabla110[[#Headers],[#Data],[Utilidad Bruta Total]],Tabla110[[#Headers],[#Data],[Asesor]],B23,Tabla110[[#Headers],[#Data],[Fecha Cobranza]],"&lt;"&amp;$D$6,Tabla110[[#Headers],[#Data],[Fecha Cobranza]],"&gt;="&amp;$D$5)</f>
        <v>0</v>
      </c>
      <c r="I23" s="241">
        <f t="shared" si="5"/>
        <v>0</v>
      </c>
      <c r="J23" s="238">
        <f t="shared" si="15"/>
        <v>0</v>
      </c>
      <c r="K23" s="231"/>
      <c r="L23" s="251">
        <f>SUMIFS('Ventas '!$AE$7:$AE$47059,'Ventas '!$C$7:$C$47059,'Caratula 2023'!B23,'Ventas '!$A$7:$A$47059,"&gt;="&amp;'Caratula 2023'!$D$5,'Ventas '!$A$7:$A$47059,"&lt;="&amp;'Caratula 2023'!$D$6)</f>
        <v>0</v>
      </c>
      <c r="M23" s="232"/>
      <c r="N23" s="231"/>
      <c r="O23" s="358">
        <f t="shared" si="7"/>
        <v>0</v>
      </c>
      <c r="P23" s="354">
        <f t="shared" si="19"/>
        <v>0</v>
      </c>
      <c r="Q23" s="352"/>
      <c r="R23" s="252">
        <f>SUMIFS('Ventas '!L:L,'Ventas '!C:C,B23,'Ventas '!A:A,"&gt;="&amp;$R$5,'Ventas '!A:A,"&lt;="&amp;$R$6)</f>
        <v>0</v>
      </c>
      <c r="S23" s="252">
        <f>SUMIFS(Tabla110[[#Headers],[#Data],[Utilidad Bruta Total]],Tabla110[[#Headers],[#Data],[Asesor]],B23,Tabla110[[#Headers],[#Data],[Fecha Cobranza]],"&lt;"&amp;$R$6,Tabla110[[#Headers],[#Data],[Fecha Cobranza]],"&gt;="&amp;$R$5)</f>
        <v>0</v>
      </c>
      <c r="T23" s="253">
        <f t="shared" si="8"/>
        <v>0</v>
      </c>
      <c r="U23" s="238">
        <f t="shared" si="1"/>
        <v>0</v>
      </c>
      <c r="V23" s="232">
        <f t="shared" si="9"/>
        <v>0</v>
      </c>
      <c r="W23" s="341">
        <f t="shared" si="10"/>
        <v>0</v>
      </c>
      <c r="X23" s="232"/>
      <c r="Y23" s="249">
        <f t="shared" si="18"/>
        <v>0</v>
      </c>
      <c r="Z23" s="232">
        <f t="shared" si="2"/>
        <v>0</v>
      </c>
      <c r="AA23" s="232">
        <f t="shared" si="14"/>
        <v>0</v>
      </c>
      <c r="AB23" s="358"/>
      <c r="AC23" s="235">
        <f t="shared" si="16"/>
        <v>0</v>
      </c>
      <c r="AD23" s="232">
        <f t="shared" si="20"/>
        <v>0</v>
      </c>
      <c r="AE23" s="231"/>
      <c r="AF23" s="365"/>
      <c r="AG23" s="148"/>
      <c r="AH23" s="148"/>
    </row>
    <row r="24" spans="2:34" x14ac:dyDescent="0.25">
      <c r="B24" s="231" t="s">
        <v>407</v>
      </c>
      <c r="C24" s="231" t="str">
        <f>VLOOKUP(B24,Tabla2[[Asesores]:[TIPO]],2,0)</f>
        <v>INTERNO</v>
      </c>
      <c r="D24" s="232">
        <f>SUMIFS('Ventas '!L:L,'Ventas '!C:C,B24,'Ventas '!A:A,"&gt;="&amp;$D$5,'Ventas '!A:A,"&lt;="&amp;$D$6)</f>
        <v>61445.2</v>
      </c>
      <c r="E24" s="238">
        <f t="shared" si="0"/>
        <v>5.5E-2</v>
      </c>
      <c r="F24" s="235" t="e">
        <f t="shared" si="12"/>
        <v>#N/A</v>
      </c>
      <c r="G24" s="237">
        <f t="shared" si="17"/>
        <v>0</v>
      </c>
      <c r="H24" s="232" t="e">
        <f>SUMIFS(Tabla110[[#Headers],[#Data],[Utilidad Bruta Total]],Tabla110[[#Headers],[#Data],[Asesor]],B24,Tabla110[[#Headers],[#Data],[Fecha Cobranza]],"&lt;"&amp;$D$6,Tabla110[[#Headers],[#Data],[Fecha Cobranza]],"&gt;="&amp;$D$5)</f>
        <v>#N/A</v>
      </c>
      <c r="I24" s="241">
        <f t="shared" si="5"/>
        <v>0</v>
      </c>
      <c r="J24" s="238">
        <f t="shared" si="15"/>
        <v>0</v>
      </c>
      <c r="K24" s="231"/>
      <c r="L24" s="251">
        <f>SUMIFS('Ventas '!$AE$7:$AE$47059,'Ventas '!$C$7:$C$47059,'Caratula 2023'!B24,'Ventas '!$A$7:$A$47059,"&gt;="&amp;'Caratula 2023'!$D$5,'Ventas '!$A$7:$A$47059,"&lt;="&amp;'Caratula 2023'!$D$6)</f>
        <v>1243.2589999999998</v>
      </c>
      <c r="M24" s="232"/>
      <c r="N24" s="231"/>
      <c r="O24" s="358">
        <f t="shared" si="7"/>
        <v>1243.2589999999998</v>
      </c>
      <c r="P24" s="354">
        <f t="shared" si="19"/>
        <v>1243.2589999999998</v>
      </c>
      <c r="Q24" s="352"/>
      <c r="R24" s="252">
        <f>SUMIFS('Ventas '!L:L,'Ventas '!C:C,B24,'Ventas '!A:A,"&gt;="&amp;$R$5,'Ventas '!A:A,"&lt;="&amp;$R$6)</f>
        <v>0</v>
      </c>
      <c r="S24" s="252">
        <f>SUMIFS(Tabla110[[#Headers],[#Data],[Utilidad Bruta Total]],Tabla110[[#Headers],[#Data],[Asesor]],B24,Tabla110[[#Headers],[#Data],[Fecha Cobranza]],"&lt;"&amp;$R$6,Tabla110[[#Headers],[#Data],[Fecha Cobranza]],"&gt;="&amp;$R$5)</f>
        <v>0</v>
      </c>
      <c r="T24" s="253">
        <f t="shared" si="8"/>
        <v>0</v>
      </c>
      <c r="U24" s="238">
        <f t="shared" si="1"/>
        <v>0</v>
      </c>
      <c r="V24" s="232">
        <f t="shared" si="9"/>
        <v>0</v>
      </c>
      <c r="W24" s="341">
        <f t="shared" si="10"/>
        <v>0</v>
      </c>
      <c r="X24" s="232"/>
      <c r="Y24" s="249">
        <f t="shared" si="18"/>
        <v>0</v>
      </c>
      <c r="Z24" s="232">
        <f t="shared" si="2"/>
        <v>1243.2589999999998</v>
      </c>
      <c r="AA24" s="232">
        <f t="shared" si="14"/>
        <v>0</v>
      </c>
      <c r="AB24" s="358"/>
      <c r="AC24" s="235">
        <f t="shared" si="16"/>
        <v>0</v>
      </c>
      <c r="AD24" s="233">
        <f t="shared" si="20"/>
        <v>0</v>
      </c>
      <c r="AE24" s="231"/>
      <c r="AF24" s="365"/>
      <c r="AG24" s="148"/>
      <c r="AH24" s="148"/>
    </row>
    <row r="25" spans="2:34" hidden="1" x14ac:dyDescent="0.25">
      <c r="B25" s="231" t="s">
        <v>3377</v>
      </c>
      <c r="C25" s="231" t="str">
        <f>VLOOKUP(B25,Tabla2[[Asesores]:[TIPO]],2,0)</f>
        <v>INTERNO</v>
      </c>
      <c r="D25" s="232">
        <f>SUMIFS('Ventas '!L:L,'Ventas '!C:C,B25,'Ventas '!A:A,"&gt;="&amp;$D$5,'Ventas '!A:A,"&lt;="&amp;$D$6)</f>
        <v>0</v>
      </c>
      <c r="E25" s="238">
        <f t="shared" si="0"/>
        <v>0</v>
      </c>
      <c r="F25" s="235">
        <f t="shared" si="12"/>
        <v>0</v>
      </c>
      <c r="G25" s="237">
        <f t="shared" si="17"/>
        <v>0</v>
      </c>
      <c r="H25" s="232">
        <f>SUMIFS(Tabla110[[#Headers],[#Data],[Utilidad Bruta Total]],Tabla110[[#Headers],[#Data],[Asesor]],B25,Tabla110[[#Headers],[#Data],[Fecha Cobranza]],"&lt;"&amp;$D$6,Tabla110[[#Headers],[#Data],[Fecha Cobranza]],"&gt;="&amp;$D$5)</f>
        <v>0</v>
      </c>
      <c r="I25" s="241">
        <f t="shared" ref="I25:I40" si="21">IFERROR(+H25/D25,0)</f>
        <v>0</v>
      </c>
      <c r="J25" s="238">
        <f t="shared" si="15"/>
        <v>0</v>
      </c>
      <c r="K25" s="231"/>
      <c r="L25" s="251">
        <f>SUMIFS('Ventas '!$AE$7:$AE$47059,'Ventas '!$C$7:$C$47059,'Caratula 2023'!B25,'Ventas '!$A$7:$A$47059,"&gt;="&amp;'Caratula 2023'!$D$5,'Ventas '!$A$7:$A$47059,"&lt;="&amp;'Caratula 2023'!$D$6)</f>
        <v>0</v>
      </c>
      <c r="M25" s="232"/>
      <c r="N25" s="231"/>
      <c r="O25" s="358">
        <f t="shared" si="7"/>
        <v>0</v>
      </c>
      <c r="P25" s="354">
        <f t="shared" si="19"/>
        <v>0</v>
      </c>
      <c r="Q25" s="352"/>
      <c r="R25" s="252">
        <f>SUMIFS('Ventas '!L:L,'Ventas '!C:C,B25,'Ventas '!A:A,"&gt;="&amp;$R$5,'Ventas '!A:A,"&lt;="&amp;$R$6)</f>
        <v>0</v>
      </c>
      <c r="S25" s="252">
        <f>SUMIFS(Tabla110[[#Headers],[#Data],[Utilidad Bruta Total]],Tabla110[[#Headers],[#Data],[Asesor]],B25,Tabla110[[#Headers],[#Data],[Fecha Cobranza]],"&lt;"&amp;$R$6,Tabla110[[#Headers],[#Data],[Fecha Cobranza]],"&gt;="&amp;$R$5)</f>
        <v>0</v>
      </c>
      <c r="T25" s="253">
        <f t="shared" ref="T25:T41" si="22">IFERROR(S25/R25,0)</f>
        <v>0</v>
      </c>
      <c r="U25" s="238">
        <f t="shared" si="1"/>
        <v>0</v>
      </c>
      <c r="V25" s="232">
        <f t="shared" si="9"/>
        <v>0</v>
      </c>
      <c r="W25" s="341">
        <f t="shared" si="10"/>
        <v>0</v>
      </c>
      <c r="X25" s="232"/>
      <c r="Y25" s="249">
        <f t="shared" si="18"/>
        <v>0</v>
      </c>
      <c r="Z25" s="232">
        <f t="shared" si="2"/>
        <v>0</v>
      </c>
      <c r="AA25" s="232">
        <f t="shared" si="14"/>
        <v>0</v>
      </c>
      <c r="AB25" s="358"/>
      <c r="AC25" s="235">
        <f t="shared" si="16"/>
        <v>0</v>
      </c>
      <c r="AD25" s="233">
        <f t="shared" si="20"/>
        <v>0</v>
      </c>
      <c r="AE25" s="231"/>
      <c r="AG25" s="148"/>
      <c r="AH25" s="148"/>
    </row>
    <row r="26" spans="2:34" hidden="1" x14ac:dyDescent="0.25">
      <c r="B26" s="231" t="s">
        <v>535</v>
      </c>
      <c r="C26" s="231" t="str">
        <f>VLOOKUP(B26,Tabla2[[Asesores]:[TIPO]],2,0)</f>
        <v>INTERNO</v>
      </c>
      <c r="D26" s="232">
        <f>SUMIFS('Ventas '!L:L,'Ventas '!C:C,B26,'Ventas '!A:A,"&gt;="&amp;$D$5,'Ventas '!A:A,"&lt;="&amp;$D$6)</f>
        <v>0</v>
      </c>
      <c r="E26" s="238">
        <f t="shared" si="0"/>
        <v>0</v>
      </c>
      <c r="F26" s="235">
        <f t="shared" ref="F26:F41" si="23">+H26*E26</f>
        <v>0</v>
      </c>
      <c r="G26" s="237">
        <f t="shared" si="17"/>
        <v>0</v>
      </c>
      <c r="H26" s="232">
        <f>SUMIFS(Tabla110[[#Headers],[#Data],[Utilidad Bruta Total]],Tabla110[[#Headers],[#Data],[Asesor]],B26,Tabla110[[#Headers],[#Data],[Fecha Cobranza]],"&lt;"&amp;$D$6,Tabla110[[#Headers],[#Data],[Fecha Cobranza]],"&gt;="&amp;$D$5)</f>
        <v>0</v>
      </c>
      <c r="I26" s="241">
        <f t="shared" si="21"/>
        <v>0</v>
      </c>
      <c r="J26" s="238">
        <f t="shared" si="15"/>
        <v>0</v>
      </c>
      <c r="K26" s="231"/>
      <c r="L26" s="251">
        <f>SUMIFS('Ventas '!$AE$7:$AE$47059,'Ventas '!$C$7:$C$47059,'Caratula 2023'!B26,'Ventas '!$A$7:$A$47059,"&gt;="&amp;'Caratula 2023'!$D$5,'Ventas '!$A$7:$A$47059,"&lt;="&amp;'Caratula 2023'!$D$6)</f>
        <v>0</v>
      </c>
      <c r="M26" s="232"/>
      <c r="N26" s="231"/>
      <c r="O26" s="358">
        <f t="shared" si="7"/>
        <v>0</v>
      </c>
      <c r="P26" s="354">
        <f t="shared" si="19"/>
        <v>0</v>
      </c>
      <c r="Q26" s="352"/>
      <c r="R26" s="252">
        <f>SUMIFS('Ventas '!L:L,'Ventas '!C:C,B26,'Ventas '!A:A,"&gt;="&amp;$R$5,'Ventas '!A:A,"&lt;="&amp;$R$6)</f>
        <v>0</v>
      </c>
      <c r="S26" s="252">
        <f>SUMIFS(Tabla110[[#Headers],[#Data],[Utilidad Bruta Total]],Tabla110[[#Headers],[#Data],[Asesor]],B26,Tabla110[[#Headers],[#Data],[Fecha Cobranza]],"&lt;"&amp;$R$6,Tabla110[[#Headers],[#Data],[Fecha Cobranza]],"&gt;="&amp;$R$5)</f>
        <v>0</v>
      </c>
      <c r="T26" s="253">
        <f t="shared" si="22"/>
        <v>0</v>
      </c>
      <c r="U26" s="238">
        <f t="shared" si="1"/>
        <v>0</v>
      </c>
      <c r="V26" s="232">
        <f t="shared" si="9"/>
        <v>0</v>
      </c>
      <c r="W26" s="341">
        <f t="shared" ref="W26:W40" si="24">IFERROR(V26/R26,0)</f>
        <v>0</v>
      </c>
      <c r="X26" s="232"/>
      <c r="Y26" s="249">
        <f t="shared" si="18"/>
        <v>0</v>
      </c>
      <c r="Z26" s="232">
        <f t="shared" si="2"/>
        <v>0</v>
      </c>
      <c r="AA26" s="232">
        <f t="shared" si="14"/>
        <v>0</v>
      </c>
      <c r="AB26" s="358"/>
      <c r="AC26" s="235">
        <f t="shared" ref="AC26:AC41" si="25">++AA26-AB26</f>
        <v>0</v>
      </c>
      <c r="AD26" s="233">
        <f t="shared" si="20"/>
        <v>0</v>
      </c>
      <c r="AE26" s="231"/>
      <c r="AF26" s="365"/>
      <c r="AG26" s="148"/>
      <c r="AH26" s="148"/>
    </row>
    <row r="27" spans="2:34" hidden="1" x14ac:dyDescent="0.25">
      <c r="B27" s="231" t="s">
        <v>603</v>
      </c>
      <c r="C27" s="231" t="str">
        <f>VLOOKUP(B27,Tabla2[[Asesores]:[TIPO]],2,0)</f>
        <v>INTERNO</v>
      </c>
      <c r="D27" s="232">
        <f>SUMIFS('Ventas '!L:L,'Ventas '!C:C,B27,'Ventas '!A:A,"&gt;="&amp;$D$5,'Ventas '!A:A,"&lt;="&amp;$D$6)</f>
        <v>0</v>
      </c>
      <c r="E27" s="238">
        <f t="shared" si="0"/>
        <v>0</v>
      </c>
      <c r="F27" s="235">
        <f t="shared" si="23"/>
        <v>0</v>
      </c>
      <c r="G27" s="237">
        <f t="shared" si="17"/>
        <v>0</v>
      </c>
      <c r="H27" s="232">
        <f>SUMIFS(Tabla110[[#Headers],[#Data],[Utilidad Bruta Total]],Tabla110[[#Headers],[#Data],[Asesor]],B27,Tabla110[[#Headers],[#Data],[Fecha Cobranza]],"&lt;"&amp;$D$6,Tabla110[[#Headers],[#Data],[Fecha Cobranza]],"&gt;="&amp;$D$5)</f>
        <v>0</v>
      </c>
      <c r="I27" s="241">
        <f t="shared" si="21"/>
        <v>0</v>
      </c>
      <c r="J27" s="238">
        <f t="shared" si="15"/>
        <v>0</v>
      </c>
      <c r="K27" s="231"/>
      <c r="L27" s="251">
        <f>SUMIFS('Ventas '!$AE$7:$AE$47059,'Ventas '!$C$7:$C$47059,'Caratula 2023'!B27,'Ventas '!$A$7:$A$47059,"&gt;="&amp;'Caratula 2023'!$D$5,'Ventas '!$A$7:$A$47059,"&lt;="&amp;'Caratula 2023'!$D$6)</f>
        <v>0</v>
      </c>
      <c r="M27" s="232"/>
      <c r="N27" s="231"/>
      <c r="O27" s="358">
        <f t="shared" si="7"/>
        <v>0</v>
      </c>
      <c r="P27" s="354">
        <f t="shared" si="19"/>
        <v>0</v>
      </c>
      <c r="Q27" s="352"/>
      <c r="R27" s="252">
        <f>SUMIFS('Ventas '!L:L,'Ventas '!C:C,B27,'Ventas '!A:A,"&gt;="&amp;$R$5,'Ventas '!A:A,"&lt;="&amp;$R$6)</f>
        <v>0</v>
      </c>
      <c r="S27" s="252">
        <f>SUMIFS(Tabla110[[#Headers],[#Data],[Utilidad Bruta Total]],Tabla110[[#Headers],[#Data],[Asesor]],B27,Tabla110[[#Headers],[#Data],[Fecha Cobranza]],"&lt;"&amp;$R$6,Tabla110[[#Headers],[#Data],[Fecha Cobranza]],"&gt;="&amp;$R$5)</f>
        <v>0</v>
      </c>
      <c r="T27" s="253">
        <f t="shared" si="22"/>
        <v>0</v>
      </c>
      <c r="U27" s="238">
        <f t="shared" si="1"/>
        <v>0</v>
      </c>
      <c r="V27" s="232">
        <f t="shared" si="9"/>
        <v>0</v>
      </c>
      <c r="W27" s="341">
        <f t="shared" si="24"/>
        <v>0</v>
      </c>
      <c r="X27" s="232"/>
      <c r="Y27" s="249">
        <f t="shared" si="18"/>
        <v>0</v>
      </c>
      <c r="Z27" s="232">
        <f t="shared" ref="Z27:Z40" si="26">+L27</f>
        <v>0</v>
      </c>
      <c r="AA27" s="232">
        <f t="shared" si="14"/>
        <v>0</v>
      </c>
      <c r="AB27" s="358"/>
      <c r="AC27" s="235">
        <f t="shared" si="25"/>
        <v>0</v>
      </c>
      <c r="AD27" s="239">
        <f t="shared" si="20"/>
        <v>0</v>
      </c>
      <c r="AE27" s="231"/>
      <c r="AF27" s="365"/>
      <c r="AG27" s="148"/>
      <c r="AH27" s="148"/>
    </row>
    <row r="28" spans="2:34" x14ac:dyDescent="0.25">
      <c r="B28" s="231" t="s">
        <v>558</v>
      </c>
      <c r="C28" s="231" t="str">
        <f>VLOOKUP(B28,Tabla2[[Asesores]:[TIPO]],2,0)</f>
        <v>INTERNO</v>
      </c>
      <c r="D28" s="232">
        <f>SUMIFS('Ventas '!L:L,'Ventas '!C:C,B28,'Ventas '!A:A,"&gt;="&amp;$D$5,'Ventas '!A:A,"&lt;="&amp;$D$6)</f>
        <v>118228.9748</v>
      </c>
      <c r="E28" s="238">
        <f t="shared" si="0"/>
        <v>5.5E-2</v>
      </c>
      <c r="F28" s="407" t="e">
        <f t="shared" si="23"/>
        <v>#N/A</v>
      </c>
      <c r="G28" s="409">
        <f t="shared" si="17"/>
        <v>0</v>
      </c>
      <c r="H28" s="232" t="e">
        <f>SUMIFS(Tabla110[[#Headers],[#Data],[Utilidad Bruta Total]],Tabla110[[#Headers],[#Data],[Asesor]],B28,Tabla110[[#Headers],[#Data],[Fecha Cobranza]],"&lt;"&amp;$D$6,Tabla110[[#Headers],[#Data],[Fecha Cobranza]],"&gt;="&amp;$D$5)</f>
        <v>#N/A</v>
      </c>
      <c r="I28" s="241">
        <f t="shared" si="21"/>
        <v>0</v>
      </c>
      <c r="J28" s="238">
        <f t="shared" si="15"/>
        <v>0</v>
      </c>
      <c r="K28" s="231"/>
      <c r="L28" s="251">
        <f>SUMIFS('Ventas '!$AE$7:$AE$47059,'Ventas '!$C$7:$C$47059,'Caratula 2023'!B28,'Ventas '!$A$7:$A$47059,"&gt;="&amp;'Caratula 2023'!$D$5,'Ventas '!$A$7:$A$47059,"&lt;="&amp;'Caratula 2023'!$D$6)</f>
        <v>2989.6118849999998</v>
      </c>
      <c r="M28" s="232"/>
      <c r="N28" s="231"/>
      <c r="O28" s="358">
        <f t="shared" si="7"/>
        <v>2989.6118849999998</v>
      </c>
      <c r="P28" s="410">
        <f t="shared" si="19"/>
        <v>2989.6118849999998</v>
      </c>
      <c r="Q28" s="407"/>
      <c r="R28" s="407">
        <f>SUMIFS('Ventas '!L:L,'Ventas '!C:C,B28,'Ventas '!A:A,"&gt;="&amp;$R$5,'Ventas '!A:A,"&lt;="&amp;$R$6)</f>
        <v>0</v>
      </c>
      <c r="S28" s="407">
        <f>SUMIFS(Tabla110[[#Headers],[#Data],[Utilidad Bruta Total]],Tabla110[[#Headers],[#Data],[Asesor]],B28,Tabla110[[#Headers],[#Data],[Fecha Cobranza]],"&lt;"&amp;$R$6,Tabla110[[#Headers],[#Data],[Fecha Cobranza]],"&gt;="&amp;$R$5)</f>
        <v>0</v>
      </c>
      <c r="T28" s="415">
        <f t="shared" si="22"/>
        <v>0</v>
      </c>
      <c r="U28" s="416">
        <f t="shared" si="1"/>
        <v>0</v>
      </c>
      <c r="V28" s="407">
        <f t="shared" si="9"/>
        <v>0</v>
      </c>
      <c r="W28" s="341">
        <f t="shared" si="24"/>
        <v>0</v>
      </c>
      <c r="X28" s="232"/>
      <c r="Y28" s="249">
        <f t="shared" si="18"/>
        <v>0</v>
      </c>
      <c r="Z28" s="232">
        <f t="shared" si="26"/>
        <v>2989.6118849999998</v>
      </c>
      <c r="AA28" s="232">
        <f t="shared" si="14"/>
        <v>0</v>
      </c>
      <c r="AB28" s="358"/>
      <c r="AC28" s="235">
        <f t="shared" si="25"/>
        <v>0</v>
      </c>
      <c r="AD28" s="233">
        <f t="shared" si="20"/>
        <v>0</v>
      </c>
      <c r="AE28" s="231"/>
      <c r="AF28" s="365"/>
      <c r="AG28" s="148"/>
      <c r="AH28" s="148"/>
    </row>
    <row r="29" spans="2:34" hidden="1" x14ac:dyDescent="0.25">
      <c r="B29" s="231" t="s">
        <v>617</v>
      </c>
      <c r="C29" s="231" t="str">
        <f>VLOOKUP(B29,Tabla2[[Asesores]:[TIPO]],2,0)</f>
        <v>INTERNO</v>
      </c>
      <c r="D29" s="232">
        <f>SUMIFS('Ventas '!L:L,'Ventas '!C:C,B29,'Ventas '!A:A,"&gt;="&amp;$D$5,'Ventas '!A:A,"&lt;="&amp;$D$6)</f>
        <v>0</v>
      </c>
      <c r="E29" s="238">
        <f t="shared" si="0"/>
        <v>0</v>
      </c>
      <c r="F29" s="406">
        <f t="shared" si="23"/>
        <v>0</v>
      </c>
      <c r="G29" s="408">
        <f t="shared" si="17"/>
        <v>0</v>
      </c>
      <c r="H29" s="232">
        <f>SUMIFS(Tabla110[[#Headers],[#Data],[Utilidad Bruta Total]],Tabla110[[#Headers],[#Data],[Asesor]],B29,Tabla110[[#Headers],[#Data],[Fecha Cobranza]],"&lt;"&amp;$D$6,Tabla110[[#Headers],[#Data],[Fecha Cobranza]],"&gt;="&amp;$D$5)</f>
        <v>0</v>
      </c>
      <c r="I29" s="241">
        <f t="shared" si="21"/>
        <v>0</v>
      </c>
      <c r="J29" s="238">
        <f t="shared" si="15"/>
        <v>0</v>
      </c>
      <c r="K29" s="231"/>
      <c r="L29" s="251">
        <f>SUMIFS('Ventas '!$AE$7:$AE$47059,'Ventas '!$C$7:$C$47059,'Caratula 2023'!B29,'Ventas '!$A$7:$A$47059,"&gt;="&amp;'Caratula 2023'!$D$5,'Ventas '!$A$7:$A$47059,"&lt;="&amp;'Caratula 2023'!$D$6)</f>
        <v>0</v>
      </c>
      <c r="M29" s="232"/>
      <c r="N29" s="231"/>
      <c r="O29" s="358">
        <f t="shared" si="7"/>
        <v>0</v>
      </c>
      <c r="P29" s="412">
        <f t="shared" si="19"/>
        <v>0</v>
      </c>
      <c r="Q29" s="406"/>
      <c r="R29" s="406">
        <f>SUMIFS('Ventas '!L:L,'Ventas '!C:C,B29,'Ventas '!A:A,"&gt;="&amp;$R$5,'Ventas '!A:A,"&lt;="&amp;$R$6)</f>
        <v>0</v>
      </c>
      <c r="S29" s="406">
        <f>SUMIFS(Tabla110[[#Headers],[#Data],[Utilidad Bruta Total]],Tabla110[[#Headers],[#Data],[Asesor]],B29,Tabla110[[#Headers],[#Data],[Fecha Cobranza]],"&lt;"&amp;$R$6,Tabla110[[#Headers],[#Data],[Fecha Cobranza]],"&gt;="&amp;$R$5)</f>
        <v>0</v>
      </c>
      <c r="T29" s="413">
        <f t="shared" si="22"/>
        <v>0</v>
      </c>
      <c r="U29" s="414">
        <f t="shared" si="1"/>
        <v>0</v>
      </c>
      <c r="V29" s="406">
        <f t="shared" si="9"/>
        <v>0</v>
      </c>
      <c r="W29" s="341">
        <f t="shared" si="24"/>
        <v>0</v>
      </c>
      <c r="X29" s="232"/>
      <c r="Y29" s="249">
        <f t="shared" si="18"/>
        <v>0</v>
      </c>
      <c r="Z29" s="232">
        <f t="shared" si="26"/>
        <v>0</v>
      </c>
      <c r="AA29" s="232">
        <f t="shared" si="14"/>
        <v>0</v>
      </c>
      <c r="AB29" s="358"/>
      <c r="AC29" s="235">
        <f t="shared" si="25"/>
        <v>0</v>
      </c>
      <c r="AD29" s="233">
        <f t="shared" si="20"/>
        <v>0</v>
      </c>
      <c r="AE29" s="231"/>
      <c r="AG29" s="148"/>
      <c r="AH29" s="148"/>
    </row>
    <row r="30" spans="2:34" hidden="1" x14ac:dyDescent="0.25">
      <c r="B30" s="231" t="s">
        <v>621</v>
      </c>
      <c r="C30" s="231" t="str">
        <f>VLOOKUP(B30,Tabla2[[Asesores]:[TIPO]],2,0)</f>
        <v>INTERNO</v>
      </c>
      <c r="D30" s="232">
        <f>SUMIFS('Ventas '!L:L,'Ventas '!C:C,B30,'Ventas '!A:A,"&gt;="&amp;$D$5,'Ventas '!A:A,"&lt;="&amp;$D$6)</f>
        <v>0</v>
      </c>
      <c r="E30" s="238">
        <f t="shared" si="0"/>
        <v>0</v>
      </c>
      <c r="F30" s="235">
        <f t="shared" si="23"/>
        <v>0</v>
      </c>
      <c r="G30" s="237">
        <f t="shared" si="17"/>
        <v>0</v>
      </c>
      <c r="H30" s="232">
        <f>SUMIFS(Tabla110[[#Headers],[#Data],[Utilidad Bruta Total]],Tabla110[[#Headers],[#Data],[Asesor]],B30,Tabla110[[#Headers],[#Data],[Fecha Cobranza]],"&lt;"&amp;$D$6,Tabla110[[#Headers],[#Data],[Fecha Cobranza]],"&gt;="&amp;$D$5)</f>
        <v>0</v>
      </c>
      <c r="I30" s="241">
        <f t="shared" si="21"/>
        <v>0</v>
      </c>
      <c r="J30" s="238">
        <f t="shared" si="15"/>
        <v>0</v>
      </c>
      <c r="K30" s="231"/>
      <c r="L30" s="251">
        <f>SUMIFS('Ventas '!$AE$7:$AE$47059,'Ventas '!$C$7:$C$47059,'Caratula 2023'!B30,'Ventas '!$A$7:$A$47059,"&gt;="&amp;'Caratula 2023'!$D$5,'Ventas '!$A$7:$A$47059,"&lt;="&amp;'Caratula 2023'!$D$6)</f>
        <v>0</v>
      </c>
      <c r="M30" s="232"/>
      <c r="N30" s="231"/>
      <c r="O30" s="358">
        <f t="shared" si="7"/>
        <v>0</v>
      </c>
      <c r="P30" s="354">
        <f t="shared" si="19"/>
        <v>0</v>
      </c>
      <c r="Q30" s="352"/>
      <c r="R30" s="252">
        <f>SUMIFS('Ventas '!L:L,'Ventas '!C:C,B30,'Ventas '!A:A,"&gt;="&amp;$R$5,'Ventas '!A:A,"&lt;="&amp;$R$6)</f>
        <v>0</v>
      </c>
      <c r="S30" s="252">
        <f>SUMIFS(Tabla110[[#Headers],[#Data],[Utilidad Bruta Total]],Tabla110[[#Headers],[#Data],[Asesor]],B30,Tabla110[[#Headers],[#Data],[Fecha Cobranza]],"&lt;"&amp;$R$6,Tabla110[[#Headers],[#Data],[Fecha Cobranza]],"&gt;="&amp;$R$5)</f>
        <v>0</v>
      </c>
      <c r="T30" s="253">
        <f t="shared" si="22"/>
        <v>0</v>
      </c>
      <c r="U30" s="238">
        <f t="shared" si="1"/>
        <v>0</v>
      </c>
      <c r="V30" s="232">
        <f t="shared" si="9"/>
        <v>0</v>
      </c>
      <c r="W30" s="341">
        <f t="shared" si="24"/>
        <v>0</v>
      </c>
      <c r="X30" s="232"/>
      <c r="Y30" s="249">
        <f t="shared" si="18"/>
        <v>0</v>
      </c>
      <c r="Z30" s="232">
        <f t="shared" si="26"/>
        <v>0</v>
      </c>
      <c r="AA30" s="232">
        <f t="shared" si="14"/>
        <v>0</v>
      </c>
      <c r="AB30" s="358"/>
      <c r="AC30" s="235">
        <f t="shared" si="25"/>
        <v>0</v>
      </c>
      <c r="AD30" s="233">
        <f t="shared" si="20"/>
        <v>0</v>
      </c>
      <c r="AE30" s="231"/>
      <c r="AF30" s="365"/>
      <c r="AG30" s="351"/>
      <c r="AH30" s="351"/>
    </row>
    <row r="31" spans="2:34" x14ac:dyDescent="0.25">
      <c r="B31" s="231" t="s">
        <v>636</v>
      </c>
      <c r="C31" s="231" t="str">
        <f>VLOOKUP(B31,Tabla2[[Asesores]:[TIPO]],2,0)</f>
        <v>INTERNO</v>
      </c>
      <c r="D31" s="232">
        <f>SUMIFS('Ventas '!L:L,'Ventas '!C:C,B31,'Ventas '!A:A,"&gt;="&amp;$D$5,'Ventas '!A:A,"&lt;="&amp;$D$6)</f>
        <v>57127.99319999999</v>
      </c>
      <c r="E31" s="238">
        <f t="shared" si="0"/>
        <v>5.5E-2</v>
      </c>
      <c r="F31" s="406" t="e">
        <f t="shared" si="23"/>
        <v>#N/A</v>
      </c>
      <c r="G31" s="408">
        <f t="shared" si="17"/>
        <v>0</v>
      </c>
      <c r="H31" s="232" t="e">
        <f>SUMIFS(Tabla110[[#Headers],[#Data],[Utilidad Bruta Total]],Tabla110[[#Headers],[#Data],[Asesor]],B31,Tabla110[[#Headers],[#Data],[Fecha Cobranza]],"&lt;"&amp;$D$6,Tabla110[[#Headers],[#Data],[Fecha Cobranza]],"&gt;="&amp;$D$5)</f>
        <v>#N/A</v>
      </c>
      <c r="I31" s="241">
        <f t="shared" si="21"/>
        <v>0</v>
      </c>
      <c r="J31" s="238">
        <f t="shared" si="15"/>
        <v>0</v>
      </c>
      <c r="K31" s="231"/>
      <c r="L31" s="251">
        <f>SUMIFS('Ventas '!$AE$7:$AE$47059,'Ventas '!$C$7:$C$47059,'Caratula 2023'!B31,'Ventas '!$A$7:$A$47059,"&gt;="&amp;'Caratula 2023'!$D$5,'Ventas '!$A$7:$A$47059,"&lt;="&amp;'Caratula 2023'!$D$6)</f>
        <v>1142.5598639999998</v>
      </c>
      <c r="M31" s="232"/>
      <c r="N31" s="231"/>
      <c r="O31" s="358">
        <f t="shared" si="7"/>
        <v>1142.5598639999998</v>
      </c>
      <c r="P31" s="412">
        <f t="shared" si="19"/>
        <v>1142.5598639999998</v>
      </c>
      <c r="Q31" s="406"/>
      <c r="R31" s="406">
        <f>SUMIFS('Ventas '!L:L,'Ventas '!C:C,B31,'Ventas '!A:A,"&gt;="&amp;$R$5,'Ventas '!A:A,"&lt;="&amp;$R$6)</f>
        <v>0</v>
      </c>
      <c r="S31" s="406">
        <f>SUMIFS(Tabla110[[#Headers],[#Data],[Utilidad Bruta Total]],Tabla110[[#Headers],[#Data],[Asesor]],B31,Tabla110[[#Headers],[#Data],[Fecha Cobranza]],"&lt;"&amp;$R$6,Tabla110[[#Headers],[#Data],[Fecha Cobranza]],"&gt;="&amp;$R$5)</f>
        <v>0</v>
      </c>
      <c r="T31" s="413">
        <f t="shared" si="22"/>
        <v>0</v>
      </c>
      <c r="U31" s="414">
        <f t="shared" si="1"/>
        <v>0</v>
      </c>
      <c r="V31" s="406">
        <f t="shared" ref="V31:V36" si="27">IF(S31&lt;0,0,S31*U31)</f>
        <v>0</v>
      </c>
      <c r="W31" s="341">
        <f t="shared" si="24"/>
        <v>0</v>
      </c>
      <c r="X31" s="232"/>
      <c r="Y31" s="249">
        <f t="shared" si="18"/>
        <v>0</v>
      </c>
      <c r="Z31" s="232">
        <f t="shared" si="26"/>
        <v>1142.5598639999998</v>
      </c>
      <c r="AA31" s="232">
        <f t="shared" ref="AA31:AA36" si="28">IF(Y31&lt;Z31,0,Y31-Z31)</f>
        <v>0</v>
      </c>
      <c r="AB31" s="358"/>
      <c r="AC31" s="235">
        <f t="shared" si="25"/>
        <v>0</v>
      </c>
      <c r="AD31" s="233">
        <f t="shared" si="20"/>
        <v>0</v>
      </c>
      <c r="AE31" s="231"/>
      <c r="AF31" s="365"/>
      <c r="AG31" s="148"/>
      <c r="AH31" s="148"/>
    </row>
    <row r="32" spans="2:34" hidden="1" x14ac:dyDescent="0.25">
      <c r="B32" s="231" t="s">
        <v>637</v>
      </c>
      <c r="C32" s="231" t="str">
        <f>VLOOKUP(B32,Tabla2[[Asesores]:[TIPO]],2,0)</f>
        <v>INTERNO</v>
      </c>
      <c r="D32" s="232">
        <f>SUMIFS('Ventas '!L:L,'Ventas '!C:C,B32,'Ventas '!A:A,"&gt;="&amp;$D$5,'Ventas '!A:A,"&lt;="&amp;$D$6)</f>
        <v>0</v>
      </c>
      <c r="E32" s="238">
        <f t="shared" si="0"/>
        <v>0</v>
      </c>
      <c r="F32" s="407">
        <f t="shared" si="23"/>
        <v>0</v>
      </c>
      <c r="G32" s="409">
        <f t="shared" si="17"/>
        <v>0</v>
      </c>
      <c r="H32" s="232">
        <f>SUMIFS(Tabla110[[#Headers],[#Data],[Utilidad Bruta Total]],Tabla110[[#Headers],[#Data],[Asesor]],B32,Tabla110[[#Headers],[#Data],[Fecha Cobranza]],"&lt;"&amp;$D$6,Tabla110[[#Headers],[#Data],[Fecha Cobranza]],"&gt;="&amp;$D$5)</f>
        <v>0</v>
      </c>
      <c r="I32" s="241">
        <f t="shared" si="21"/>
        <v>0</v>
      </c>
      <c r="J32" s="238">
        <f t="shared" si="15"/>
        <v>0</v>
      </c>
      <c r="K32" s="231"/>
      <c r="L32" s="251">
        <f>SUMIFS('Ventas '!$AE$7:$AE$47059,'Ventas '!$C$7:$C$47059,'Caratula 2023'!B32,'Ventas '!$A$7:$A$47059,"&gt;="&amp;'Caratula 2023'!$D$5,'Ventas '!$A$7:$A$47059,"&lt;="&amp;'Caratula 2023'!$D$6)</f>
        <v>0</v>
      </c>
      <c r="M32" s="232"/>
      <c r="N32" s="231"/>
      <c r="O32" s="358">
        <f t="shared" si="7"/>
        <v>0</v>
      </c>
      <c r="P32" s="410">
        <f t="shared" si="19"/>
        <v>0</v>
      </c>
      <c r="Q32" s="407"/>
      <c r="R32" s="407">
        <f>SUMIFS('Ventas '!L:L,'Ventas '!C:C,B32,'Ventas '!A:A,"&gt;="&amp;$R$5,'Ventas '!A:A,"&lt;="&amp;$R$6)</f>
        <v>0</v>
      </c>
      <c r="S32" s="407">
        <f>SUMIFS(Tabla110[[#Headers],[#Data],[Utilidad Bruta Total]],Tabla110[[#Headers],[#Data],[Asesor]],B32,Tabla110[[#Headers],[#Data],[Fecha Cobranza]],"&lt;"&amp;$R$6,Tabla110[[#Headers],[#Data],[Fecha Cobranza]],"&gt;="&amp;$R$5)</f>
        <v>0</v>
      </c>
      <c r="T32" s="415">
        <f t="shared" si="22"/>
        <v>0</v>
      </c>
      <c r="U32" s="416">
        <f t="shared" si="1"/>
        <v>0</v>
      </c>
      <c r="V32" s="407">
        <f t="shared" si="27"/>
        <v>0</v>
      </c>
      <c r="W32" s="341">
        <f t="shared" si="24"/>
        <v>0</v>
      </c>
      <c r="X32" s="232"/>
      <c r="Y32" s="249">
        <f t="shared" si="18"/>
        <v>0</v>
      </c>
      <c r="Z32" s="232">
        <f t="shared" si="26"/>
        <v>0</v>
      </c>
      <c r="AA32" s="232">
        <f t="shared" si="28"/>
        <v>0</v>
      </c>
      <c r="AB32" s="358"/>
      <c r="AC32" s="235">
        <f t="shared" si="25"/>
        <v>0</v>
      </c>
      <c r="AD32" s="233">
        <f t="shared" si="20"/>
        <v>0</v>
      </c>
      <c r="AE32" s="231"/>
      <c r="AG32" s="148"/>
      <c r="AH32" s="148"/>
    </row>
    <row r="33" spans="2:34" hidden="1" x14ac:dyDescent="0.25">
      <c r="B33" s="231" t="s">
        <v>666</v>
      </c>
      <c r="C33" s="231" t="str">
        <f>VLOOKUP(B33,Tabla2[[Asesores]:[TIPO]],2,0)</f>
        <v>INTERNO</v>
      </c>
      <c r="D33" s="232">
        <f>SUMIFS('Ventas '!L:L,'Ventas '!C:C,B33,'Ventas '!A:A,"&gt;="&amp;$D$5,'Ventas '!A:A,"&lt;="&amp;$D$6)</f>
        <v>0</v>
      </c>
      <c r="E33" s="238">
        <f t="shared" si="0"/>
        <v>0</v>
      </c>
      <c r="F33" s="407">
        <f t="shared" si="23"/>
        <v>0</v>
      </c>
      <c r="G33" s="409">
        <f t="shared" si="17"/>
        <v>0</v>
      </c>
      <c r="H33" s="232">
        <f>SUMIFS(Tabla110[[#Headers],[#Data],[Utilidad Bruta Total]],Tabla110[[#Headers],[#Data],[Asesor]],B33,Tabla110[[#Headers],[#Data],[Fecha Cobranza]],"&lt;"&amp;$D$6,Tabla110[[#Headers],[#Data],[Fecha Cobranza]],"&gt;="&amp;$D$5)</f>
        <v>0</v>
      </c>
      <c r="I33" s="241">
        <f t="shared" si="21"/>
        <v>0</v>
      </c>
      <c r="J33" s="238">
        <f t="shared" si="15"/>
        <v>0</v>
      </c>
      <c r="K33" s="231"/>
      <c r="L33" s="251">
        <f>SUMIFS('Ventas '!$AE$7:$AE$47059,'Ventas '!$C$7:$C$47059,'Caratula 2023'!B33,'Ventas '!$A$7:$A$47059,"&gt;="&amp;'Caratula 2023'!$D$5,'Ventas '!$A$7:$A$47059,"&lt;="&amp;'Caratula 2023'!$D$6)</f>
        <v>0</v>
      </c>
      <c r="M33" s="232"/>
      <c r="N33" s="231"/>
      <c r="O33" s="358">
        <f t="shared" si="7"/>
        <v>0</v>
      </c>
      <c r="P33" s="410">
        <f t="shared" si="19"/>
        <v>0</v>
      </c>
      <c r="Q33" s="407"/>
      <c r="R33" s="407">
        <f>SUMIFS('Ventas '!L:L,'Ventas '!C:C,B33,'Ventas '!A:A,"&gt;="&amp;$R$5,'Ventas '!A:A,"&lt;="&amp;$R$6)</f>
        <v>0</v>
      </c>
      <c r="S33" s="407">
        <f>SUMIFS(Tabla110[[#Headers],[#Data],[Utilidad Bruta Total]],Tabla110[[#Headers],[#Data],[Asesor]],B33,Tabla110[[#Headers],[#Data],[Fecha Cobranza]],"&lt;"&amp;$R$6,Tabla110[[#Headers],[#Data],[Fecha Cobranza]],"&gt;="&amp;$R$5)</f>
        <v>0</v>
      </c>
      <c r="T33" s="415">
        <f t="shared" si="22"/>
        <v>0</v>
      </c>
      <c r="U33" s="416">
        <f t="shared" si="1"/>
        <v>0</v>
      </c>
      <c r="V33" s="407">
        <f t="shared" si="27"/>
        <v>0</v>
      </c>
      <c r="W33" s="341">
        <f t="shared" si="24"/>
        <v>0</v>
      </c>
      <c r="X33" s="232"/>
      <c r="Y33" s="249">
        <f t="shared" si="18"/>
        <v>0</v>
      </c>
      <c r="Z33" s="232">
        <f t="shared" si="26"/>
        <v>0</v>
      </c>
      <c r="AA33" s="232">
        <f t="shared" si="28"/>
        <v>0</v>
      </c>
      <c r="AB33" s="358"/>
      <c r="AC33" s="235">
        <f t="shared" si="25"/>
        <v>0</v>
      </c>
      <c r="AD33" s="233">
        <f t="shared" si="20"/>
        <v>0</v>
      </c>
      <c r="AE33" s="231"/>
      <c r="AG33" s="148"/>
      <c r="AH33" s="148"/>
    </row>
    <row r="34" spans="2:34" hidden="1" x14ac:dyDescent="0.25">
      <c r="B34" s="231" t="s">
        <v>667</v>
      </c>
      <c r="C34" s="231" t="str">
        <f>VLOOKUP(B34,Tabla2[[Asesores]:[TIPO]],2,0)</f>
        <v>INTERNO</v>
      </c>
      <c r="D34" s="232">
        <f>SUMIFS('Ventas '!L:L,'Ventas '!C:C,B34,'Ventas '!A:A,"&gt;="&amp;$D$5,'Ventas '!A:A,"&lt;="&amp;$D$6)</f>
        <v>0</v>
      </c>
      <c r="E34" s="238">
        <f t="shared" si="0"/>
        <v>0</v>
      </c>
      <c r="F34" s="406">
        <f t="shared" si="23"/>
        <v>0</v>
      </c>
      <c r="G34" s="408">
        <f t="shared" si="17"/>
        <v>0</v>
      </c>
      <c r="H34" s="232">
        <f>SUMIFS(Tabla110[[#Headers],[#Data],[Utilidad Bruta Total]],Tabla110[[#Headers],[#Data],[Asesor]],B34,Tabla110[[#Headers],[#Data],[Fecha Cobranza]],"&lt;"&amp;$D$6,Tabla110[[#Headers],[#Data],[Fecha Cobranza]],"&gt;="&amp;$D$5)</f>
        <v>0</v>
      </c>
      <c r="I34" s="241">
        <f t="shared" si="21"/>
        <v>0</v>
      </c>
      <c r="J34" s="238">
        <f t="shared" si="15"/>
        <v>0</v>
      </c>
      <c r="K34" s="231"/>
      <c r="L34" s="251">
        <f>SUMIFS('Ventas '!$AE$7:$AE$47059,'Ventas '!$C$7:$C$47059,'Caratula 2023'!B34,'Ventas '!$A$7:$A$47059,"&gt;="&amp;'Caratula 2023'!$D$5,'Ventas '!$A$7:$A$47059,"&lt;="&amp;'Caratula 2023'!$D$6)</f>
        <v>0</v>
      </c>
      <c r="M34" s="232"/>
      <c r="N34" s="231"/>
      <c r="O34" s="358">
        <f t="shared" si="7"/>
        <v>0</v>
      </c>
      <c r="P34" s="412">
        <f t="shared" si="19"/>
        <v>0</v>
      </c>
      <c r="Q34" s="406"/>
      <c r="R34" s="406">
        <f>SUMIFS('Ventas '!L:L,'Ventas '!C:C,B34,'Ventas '!A:A,"&gt;="&amp;$R$5,'Ventas '!A:A,"&lt;="&amp;$R$6)</f>
        <v>0</v>
      </c>
      <c r="S34" s="406">
        <f>SUMIFS(Tabla110[[#Headers],[#Data],[Utilidad Bruta Total]],Tabla110[[#Headers],[#Data],[Asesor]],B34,Tabla110[[#Headers],[#Data],[Fecha Cobranza]],"&lt;"&amp;$R$6,Tabla110[[#Headers],[#Data],[Fecha Cobranza]],"&gt;="&amp;$R$5)</f>
        <v>0</v>
      </c>
      <c r="T34" s="413">
        <f t="shared" si="22"/>
        <v>0</v>
      </c>
      <c r="U34" s="414">
        <f t="shared" si="1"/>
        <v>0</v>
      </c>
      <c r="V34" s="406">
        <f t="shared" si="27"/>
        <v>0</v>
      </c>
      <c r="W34" s="341">
        <f t="shared" si="24"/>
        <v>0</v>
      </c>
      <c r="X34" s="232"/>
      <c r="Y34" s="249">
        <f t="shared" si="18"/>
        <v>0</v>
      </c>
      <c r="Z34" s="232">
        <f t="shared" si="26"/>
        <v>0</v>
      </c>
      <c r="AA34" s="232">
        <f t="shared" si="28"/>
        <v>0</v>
      </c>
      <c r="AB34" s="358"/>
      <c r="AC34" s="235">
        <f t="shared" si="25"/>
        <v>0</v>
      </c>
      <c r="AD34" s="233">
        <f t="shared" si="20"/>
        <v>0</v>
      </c>
      <c r="AE34" s="231"/>
      <c r="AG34" s="148"/>
      <c r="AH34" s="148"/>
    </row>
    <row r="35" spans="2:34" hidden="1" x14ac:dyDescent="0.25">
      <c r="B35" s="231" t="s">
        <v>668</v>
      </c>
      <c r="C35" s="231" t="str">
        <f>VLOOKUP(B35,Tabla2[[Asesores]:[TIPO]],2,0)</f>
        <v>INTERNO</v>
      </c>
      <c r="D35" s="232">
        <f>SUMIFS('Ventas '!L:L,'Ventas '!C:C,B35,'Ventas '!A:A,"&gt;="&amp;$D$5,'Ventas '!A:A,"&lt;="&amp;$D$6)</f>
        <v>0</v>
      </c>
      <c r="E35" s="238">
        <f t="shared" si="0"/>
        <v>0</v>
      </c>
      <c r="F35" s="235">
        <f t="shared" si="23"/>
        <v>0</v>
      </c>
      <c r="G35" s="237">
        <f t="shared" si="17"/>
        <v>0</v>
      </c>
      <c r="H35" s="232">
        <f>SUMIFS(Tabla110[[#Headers],[#Data],[Utilidad Bruta Total]],Tabla110[[#Headers],[#Data],[Asesor]],B35,Tabla110[[#Headers],[#Data],[Fecha Cobranza]],"&lt;"&amp;$D$6,Tabla110[[#Headers],[#Data],[Fecha Cobranza]],"&gt;="&amp;$D$5)</f>
        <v>0</v>
      </c>
      <c r="I35" s="241">
        <f t="shared" si="21"/>
        <v>0</v>
      </c>
      <c r="J35" s="238">
        <f t="shared" si="15"/>
        <v>0</v>
      </c>
      <c r="K35" s="231"/>
      <c r="L35" s="251">
        <f>SUMIFS('Ventas '!$AE$7:$AE$47059,'Ventas '!$C$7:$C$47059,'Caratula 2023'!B35,'Ventas '!$A$7:$A$47059,"&gt;="&amp;'Caratula 2023'!$D$5,'Ventas '!$A$7:$A$47059,"&lt;="&amp;'Caratula 2023'!$D$6)</f>
        <v>0</v>
      </c>
      <c r="M35" s="232"/>
      <c r="N35" s="231"/>
      <c r="O35" s="358">
        <f t="shared" si="7"/>
        <v>0</v>
      </c>
      <c r="P35" s="354">
        <f t="shared" si="19"/>
        <v>0</v>
      </c>
      <c r="Q35" s="352"/>
      <c r="R35" s="252">
        <f>SUMIFS('Ventas '!L:L,'Ventas '!C:C,B35,'Ventas '!A:A,"&gt;="&amp;$R$5,'Ventas '!A:A,"&lt;="&amp;$R$6)</f>
        <v>0</v>
      </c>
      <c r="S35" s="252">
        <f>SUMIFS(Tabla110[[#Headers],[#Data],[Utilidad Bruta Total]],Tabla110[[#Headers],[#Data],[Asesor]],B35,Tabla110[[#Headers],[#Data],[Fecha Cobranza]],"&lt;"&amp;$R$6,Tabla110[[#Headers],[#Data],[Fecha Cobranza]],"&gt;="&amp;$R$5)</f>
        <v>0</v>
      </c>
      <c r="T35" s="253">
        <f t="shared" si="22"/>
        <v>0</v>
      </c>
      <c r="U35" s="238">
        <f t="shared" si="1"/>
        <v>0</v>
      </c>
      <c r="V35" s="252">
        <f t="shared" si="27"/>
        <v>0</v>
      </c>
      <c r="W35" s="341">
        <f t="shared" si="24"/>
        <v>0</v>
      </c>
      <c r="X35" s="232"/>
      <c r="Y35" s="249">
        <f t="shared" si="18"/>
        <v>0</v>
      </c>
      <c r="Z35" s="232">
        <f t="shared" si="26"/>
        <v>0</v>
      </c>
      <c r="AA35" s="232">
        <f t="shared" si="28"/>
        <v>0</v>
      </c>
      <c r="AB35" s="358"/>
      <c r="AC35" s="235">
        <f t="shared" si="25"/>
        <v>0</v>
      </c>
      <c r="AD35" s="233">
        <f t="shared" si="20"/>
        <v>0</v>
      </c>
      <c r="AE35" s="231"/>
      <c r="AG35" s="148"/>
      <c r="AH35" s="148"/>
    </row>
    <row r="36" spans="2:34" hidden="1" x14ac:dyDescent="0.25">
      <c r="B36" s="231" t="s">
        <v>639</v>
      </c>
      <c r="C36" s="231" t="str">
        <f>VLOOKUP(B36,Tabla2[[Asesores]:[TIPO]],2,0)</f>
        <v>INTERNO</v>
      </c>
      <c r="D36" s="232">
        <f>SUMIFS('Ventas '!L:L,'Ventas '!C:C,B36,'Ventas '!A:A,"&gt;="&amp;$D$5,'Ventas '!A:A,"&lt;="&amp;$D$6)</f>
        <v>0</v>
      </c>
      <c r="E36" s="238">
        <f t="shared" si="0"/>
        <v>0</v>
      </c>
      <c r="F36" s="406">
        <f t="shared" si="23"/>
        <v>0</v>
      </c>
      <c r="G36" s="408">
        <f t="shared" si="17"/>
        <v>0</v>
      </c>
      <c r="H36" s="232">
        <f>SUMIFS(Tabla110[[#Headers],[#Data],[Utilidad Bruta Total]],Tabla110[[#Headers],[#Data],[Asesor]],B36,Tabla110[[#Headers],[#Data],[Fecha Cobranza]],"&lt;"&amp;$D$6,Tabla110[[#Headers],[#Data],[Fecha Cobranza]],"&gt;="&amp;$D$5)</f>
        <v>0</v>
      </c>
      <c r="I36" s="241">
        <f t="shared" si="21"/>
        <v>0</v>
      </c>
      <c r="J36" s="238">
        <f t="shared" si="15"/>
        <v>0</v>
      </c>
      <c r="K36" s="231"/>
      <c r="L36" s="251">
        <f>SUMIFS('Ventas '!$AE$7:$AE$47059,'Ventas '!$C$7:$C$47059,'Caratula 2023'!B36,'Ventas '!$A$7:$A$47059,"&gt;="&amp;'Caratula 2023'!$D$5,'Ventas '!$A$7:$A$47059,"&lt;="&amp;'Caratula 2023'!$D$6)</f>
        <v>0</v>
      </c>
      <c r="M36" s="232"/>
      <c r="N36" s="231"/>
      <c r="O36" s="358">
        <f t="shared" si="7"/>
        <v>0</v>
      </c>
      <c r="P36" s="412">
        <f t="shared" si="19"/>
        <v>0</v>
      </c>
      <c r="Q36" s="406"/>
      <c r="R36" s="252">
        <f>SUMIFS('Ventas '!L:L,'Ventas '!C:C,B36,'Ventas '!A:A,"&gt;="&amp;$R$5,'Ventas '!A:A,"&lt;="&amp;$R$6)</f>
        <v>0</v>
      </c>
      <c r="S36" s="252">
        <f>SUMIFS(Tabla110[[#Headers],[#Data],[Utilidad Bruta Total]],Tabla110[[#Headers],[#Data],[Asesor]],B36,Tabla110[[#Headers],[#Data],[Fecha Cobranza]],"&lt;"&amp;$R$6,Tabla110[[#Headers],[#Data],[Fecha Cobranza]],"&gt;="&amp;$R$5)</f>
        <v>0</v>
      </c>
      <c r="T36" s="253">
        <f t="shared" si="22"/>
        <v>0</v>
      </c>
      <c r="U36" s="238">
        <f t="shared" si="1"/>
        <v>0</v>
      </c>
      <c r="V36" s="232">
        <f t="shared" si="27"/>
        <v>0</v>
      </c>
      <c r="W36" s="341">
        <f t="shared" si="24"/>
        <v>0</v>
      </c>
      <c r="X36" s="232"/>
      <c r="Y36" s="249">
        <f t="shared" si="18"/>
        <v>0</v>
      </c>
      <c r="Z36" s="232">
        <f t="shared" si="26"/>
        <v>0</v>
      </c>
      <c r="AA36" s="232">
        <f t="shared" si="28"/>
        <v>0</v>
      </c>
      <c r="AB36" s="358"/>
      <c r="AC36" s="235">
        <f t="shared" si="25"/>
        <v>0</v>
      </c>
      <c r="AD36" s="239">
        <f t="shared" si="20"/>
        <v>0</v>
      </c>
      <c r="AE36" s="231"/>
      <c r="AF36" s="365"/>
      <c r="AG36" s="351"/>
      <c r="AH36" s="351"/>
    </row>
    <row r="37" spans="2:34" hidden="1" x14ac:dyDescent="0.25">
      <c r="B37" s="231" t="s">
        <v>2890</v>
      </c>
      <c r="C37" s="231" t="str">
        <f>VLOOKUP(B37,Tabla2[[Asesores]:[TIPO]],2,0)</f>
        <v>INTERNO</v>
      </c>
      <c r="D37" s="232">
        <f>SUMIFS('Ventas '!L:L,'Ventas '!C:C,B37,'Ventas '!A:A,"&gt;="&amp;$D$5,'Ventas '!A:A,"&lt;="&amp;$D$6)</f>
        <v>0</v>
      </c>
      <c r="E37" s="238">
        <f t="shared" si="0"/>
        <v>0</v>
      </c>
      <c r="F37" s="235">
        <f t="shared" si="23"/>
        <v>0</v>
      </c>
      <c r="G37" s="237">
        <f t="shared" si="17"/>
        <v>0</v>
      </c>
      <c r="H37" s="232">
        <f>SUMIFS(Tabla110[[#Headers],[#Data],[Utilidad Bruta Total]],Tabla110[[#Headers],[#Data],[Asesor]],B37,Tabla110[[#Headers],[#Data],[Fecha Cobranza]],"&lt;"&amp;$D$6,Tabla110[[#Headers],[#Data],[Fecha Cobranza]],"&gt;="&amp;$D$5)</f>
        <v>0</v>
      </c>
      <c r="I37" s="241">
        <f t="shared" si="21"/>
        <v>0</v>
      </c>
      <c r="J37" s="238">
        <f t="shared" si="15"/>
        <v>0</v>
      </c>
      <c r="K37" s="231"/>
      <c r="L37" s="251">
        <f>SUMIFS('Ventas '!$AE$7:$AE$47059,'Ventas '!$C$7:$C$47059,'Caratula 2023'!B37,'Ventas '!$A$7:$A$47059,"&gt;="&amp;'Caratula 2023'!$D$5,'Ventas '!$A$7:$A$47059,"&lt;="&amp;'Caratula 2023'!$D$6)</f>
        <v>0</v>
      </c>
      <c r="M37" s="232"/>
      <c r="N37" s="231"/>
      <c r="O37" s="358">
        <f t="shared" si="7"/>
        <v>0</v>
      </c>
      <c r="P37" s="354">
        <f t="shared" si="19"/>
        <v>0</v>
      </c>
      <c r="Q37" s="352"/>
      <c r="R37" s="252">
        <f>SUMIFS('Ventas '!L:L,'Ventas '!C:C,B37,'Ventas '!A:A,"&gt;="&amp;$R$5,'Ventas '!A:A,"&lt;="&amp;$R$6)</f>
        <v>0</v>
      </c>
      <c r="S37" s="252">
        <f>SUMIFS(Tabla110[[#Headers],[#Data],[Utilidad Bruta Total]],Tabla110[[#Headers],[#Data],[Asesor]],B37,Tabla110[[#Headers],[#Data],[Fecha Cobranza]],"&lt;"&amp;$R$6,Tabla110[[#Headers],[#Data],[Fecha Cobranza]],"&gt;="&amp;$R$5)</f>
        <v>0</v>
      </c>
      <c r="T37" s="253">
        <f t="shared" si="22"/>
        <v>0</v>
      </c>
      <c r="U37" s="238">
        <f t="shared" si="1"/>
        <v>0</v>
      </c>
      <c r="V37" s="232">
        <f t="shared" si="9"/>
        <v>0</v>
      </c>
      <c r="W37" s="341">
        <f t="shared" si="24"/>
        <v>0</v>
      </c>
      <c r="X37" s="232"/>
      <c r="Y37" s="249">
        <f t="shared" si="18"/>
        <v>0</v>
      </c>
      <c r="Z37" s="232">
        <f t="shared" si="26"/>
        <v>0</v>
      </c>
      <c r="AA37" s="232">
        <f t="shared" si="14"/>
        <v>0</v>
      </c>
      <c r="AB37" s="358"/>
      <c r="AC37" s="235">
        <f t="shared" si="25"/>
        <v>0</v>
      </c>
      <c r="AD37" s="232">
        <f t="shared" si="20"/>
        <v>0</v>
      </c>
      <c r="AE37" s="231"/>
      <c r="AG37" s="148"/>
      <c r="AH37" s="148"/>
    </row>
    <row r="38" spans="2:34" x14ac:dyDescent="0.25">
      <c r="B38" s="231" t="s">
        <v>2698</v>
      </c>
      <c r="C38" s="231" t="str">
        <f>VLOOKUP(B38,Tabla2[[Asesores]:[TIPO]],2,0)</f>
        <v>INTERNO</v>
      </c>
      <c r="D38" s="232">
        <f>SUMIFS('Ventas '!L:L,'Ventas '!C:C,B38,'Ventas '!A:A,"&gt;="&amp;$D$5,'Ventas '!A:A,"&lt;="&amp;$D$6)</f>
        <v>58799.993999999999</v>
      </c>
      <c r="E38" s="238">
        <f>IF(C38="INTERNO",IF(D38&gt;=$AI$15,$AK$15,IF(D38&gt;=$AI$14,$AK$14,IF(D38&gt;=$AI$13,$AK$13,IF(D38&gt;=$AI$12,$AK$12,IF(D38&gt;=$AI$11,$AK$11,IF(D38&gt;=$AI$10,$AK$10,IF(D38&gt;=$AI$9,$AK$9,0))))))),IF(D38&gt;=$AI$15,$AL$15,IF(D38&gt;=$AI$14,$AL$14,IF(D38&gt;=$AI$13,$AL$13,IF(D38&gt;=$AI$12,$AL$12,IF(D38&gt;=$AI$11,$AL$11,IF(D38&gt;=$AI$10,$AL$10,IF(D38&gt;=$AI$9,$AL$9,0))))))))</f>
        <v>5.5E-2</v>
      </c>
      <c r="F38" s="235" t="e">
        <f t="shared" si="23"/>
        <v>#N/A</v>
      </c>
      <c r="G38" s="237">
        <f t="shared" si="17"/>
        <v>0</v>
      </c>
      <c r="H38" s="232" t="e">
        <f>SUMIFS(Tabla110[[#Headers],[#Data],[Utilidad Bruta Total]],Tabla110[[#Headers],[#Data],[Asesor]],B38,Tabla110[[#Headers],[#Data],[Fecha Cobranza]],"&lt;"&amp;$D$6,Tabla110[[#Headers],[#Data],[Fecha Cobranza]],"&gt;="&amp;$D$5)</f>
        <v>#N/A</v>
      </c>
      <c r="I38" s="241">
        <f t="shared" si="21"/>
        <v>0</v>
      </c>
      <c r="J38" s="238">
        <f t="shared" si="15"/>
        <v>0</v>
      </c>
      <c r="K38" s="231"/>
      <c r="L38" s="251">
        <f>SUMIFS('Ventas '!$AE$7:$AE$47059,'Ventas '!$C$7:$C$47059,'Caratula 2023'!B38,'Ventas '!$A$7:$A$47059,"&gt;="&amp;'Caratula 2023'!$D$5,'Ventas '!$A$7:$A$47059,"&lt;="&amp;'Caratula 2023'!$D$6)</f>
        <v>1175.9998800000001</v>
      </c>
      <c r="M38" s="232"/>
      <c r="N38" s="231"/>
      <c r="O38" s="358">
        <f t="shared" si="7"/>
        <v>1175.9998800000001</v>
      </c>
      <c r="P38" s="354">
        <f t="shared" si="19"/>
        <v>1175.9998800000001</v>
      </c>
      <c r="Q38" s="352"/>
      <c r="R38" s="252">
        <f>SUMIFS('Ventas '!L:L,'Ventas '!C:C,B38,'Ventas '!A:A,"&gt;="&amp;$R$5,'Ventas '!A:A,"&lt;="&amp;$R$6)</f>
        <v>0</v>
      </c>
      <c r="S38" s="252">
        <f>SUMIFS(Tabla110[[#Headers],[#Data],[Utilidad Bruta Total]],Tabla110[[#Headers],[#Data],[Asesor]],B38,Tabla110[[#Headers],[#Data],[Fecha Cobranza]],"&lt;"&amp;$R$6,Tabla110[[#Headers],[#Data],[Fecha Cobranza]],"&gt;="&amp;$R$5)</f>
        <v>0</v>
      </c>
      <c r="T38" s="253">
        <f t="shared" si="22"/>
        <v>0</v>
      </c>
      <c r="U38" s="238">
        <f>IF(C38="INTERNO",IF(R38&gt;=$AI$15,$AK$15,IF(R38&gt;=$AI$14,$AK$14,IF(R38&gt;=$AI$13,$AK$13,IF(R38&gt;=$AI$12,$AK$12,IF(R38&gt;=$AI$11,$AK$11,IF(R38&gt;=$AI$10,$AK$10,IF(R38&gt;=$AI$9,$AK$9,0))))))),IF(R38&gt;=$AI$15,$AL$15,IF(R38&gt;=$AI$14,$AL$14,IF(R38&gt;=$AI$13,$AL$13,IF(R38&gt;=$AI$12,$AL$12,IF(R38&gt;=$AI$11,$AL$11,IF(R38&gt;=$AI$10,$AL$10,IF(R38&gt;=$AI$9,$AL$9,0))))))))</f>
        <v>0</v>
      </c>
      <c r="V38" s="232">
        <f>IF(S38&lt;0,0,S38*U38)</f>
        <v>0</v>
      </c>
      <c r="W38" s="341">
        <f t="shared" si="24"/>
        <v>0</v>
      </c>
      <c r="X38" s="232"/>
      <c r="Y38" s="249">
        <f t="shared" si="18"/>
        <v>0</v>
      </c>
      <c r="Z38" s="232">
        <f t="shared" si="26"/>
        <v>1175.9998800000001</v>
      </c>
      <c r="AA38" s="232">
        <f>IF(Y38&lt;Z38,0,Y38-Z38)</f>
        <v>0</v>
      </c>
      <c r="AB38" s="358"/>
      <c r="AC38" s="235">
        <f t="shared" si="25"/>
        <v>0</v>
      </c>
      <c r="AD38" s="232">
        <f t="shared" si="20"/>
        <v>0</v>
      </c>
      <c r="AE38" s="231"/>
      <c r="AF38" s="365"/>
      <c r="AG38" s="148"/>
      <c r="AH38" s="148"/>
    </row>
    <row r="39" spans="2:34" hidden="1" x14ac:dyDescent="0.25">
      <c r="B39" s="231" t="s">
        <v>3529</v>
      </c>
      <c r="C39" s="231" t="str">
        <f>VLOOKUP(B39,Tabla2[[Asesores]:[TIPO]],2,0)</f>
        <v>INTERNO</v>
      </c>
      <c r="D39" s="232">
        <f>SUMIFS('Ventas '!L:L,'Ventas '!C:C,B39,'Ventas '!A:A,"&gt;="&amp;$D$5,'Ventas '!A:A,"&lt;="&amp;$D$6)</f>
        <v>0</v>
      </c>
      <c r="E39" s="238">
        <f>IF(C39="INTERNO",IF(D39&gt;=$AI$15,$AK$15,IF(D39&gt;=$AI$14,$AK$14,IF(D39&gt;=$AI$13,$AK$13,IF(D39&gt;=$AI$12,$AK$12,IF(D39&gt;=$AI$11,$AK$11,IF(D39&gt;=$AI$10,$AK$10,IF(D39&gt;=$AI$9,$AK$9,0))))))),IF(D39&gt;=$AI$15,$AL$15,IF(D39&gt;=$AI$14,$AL$14,IF(D39&gt;=$AI$13,$AL$13,IF(D39&gt;=$AI$12,$AL$12,IF(D39&gt;=$AI$11,$AL$11,IF(D39&gt;=$AI$10,$AL$10,IF(D39&gt;=$AI$9,$AL$9,0))))))))</f>
        <v>0</v>
      </c>
      <c r="F39" s="235">
        <f t="shared" ref="F39" si="29">+H39*E39</f>
        <v>0</v>
      </c>
      <c r="G39" s="237">
        <f t="shared" ref="G39" si="30">IFERROR(F39/D39,0)</f>
        <v>0</v>
      </c>
      <c r="H39" s="232">
        <f>SUMIFS(Tabla110[[#Headers],[#Data],[Utilidad Bruta Total]],Tabla110[[#Headers],[#Data],[Asesor]],B39,Tabla110[[#Headers],[#Data],[Fecha Cobranza]],"&lt;"&amp;$D$6,Tabla110[[#Headers],[#Data],[Fecha Cobranza]],"&gt;="&amp;$D$5)</f>
        <v>0</v>
      </c>
      <c r="I39" s="241">
        <f t="shared" ref="I39" si="31">IFERROR(+H39/D39,0)</f>
        <v>0</v>
      </c>
      <c r="J39" s="238">
        <f t="shared" ref="J39" si="32">IFERROR(+F39/H39,0)</f>
        <v>0</v>
      </c>
      <c r="K39" s="231"/>
      <c r="L39" s="251">
        <f>SUMIFS('Ventas '!$AE$7:$AE$47059,'Ventas '!$C$7:$C$47059,'Caratula 2023'!B39,'Ventas '!$A$7:$A$47059,"&gt;="&amp;'Caratula 2023'!$D$5,'Ventas '!$A$7:$A$47059,"&lt;="&amp;'Caratula 2023'!$D$6)</f>
        <v>0</v>
      </c>
      <c r="M39" s="232"/>
      <c r="N39" s="231"/>
      <c r="O39" s="358">
        <f t="shared" si="7"/>
        <v>0</v>
      </c>
      <c r="P39" s="354">
        <f t="shared" ref="P39" si="33">+O39</f>
        <v>0</v>
      </c>
      <c r="Q39" s="352"/>
      <c r="R39" s="252">
        <f>SUMIFS('Ventas '!L:L,'Ventas '!C:C,B39,'Ventas '!A:A,"&gt;="&amp;$R$5,'Ventas '!A:A,"&lt;="&amp;$R$6)</f>
        <v>0</v>
      </c>
      <c r="S39" s="252">
        <f>SUMIFS(Tabla110[[#Headers],[#Data],[Utilidad Bruta Total]],Tabla110[[#Headers],[#Data],[Asesor]],B39,Tabla110[[#Headers],[#Data],[Fecha Cobranza]],"&lt;"&amp;$R$6,Tabla110[[#Headers],[#Data],[Fecha Cobranza]],"&gt;="&amp;$R$5)</f>
        <v>0</v>
      </c>
      <c r="T39" s="253">
        <f t="shared" ref="T39" si="34">IFERROR(S39/R39,0)</f>
        <v>0</v>
      </c>
      <c r="U39" s="238">
        <f>IF(C39="INTERNO",IF(R39&gt;=$AI$15,$AK$15,IF(R39&gt;=$AI$14,$AK$14,IF(R39&gt;=$AI$13,$AK$13,IF(R39&gt;=$AI$12,$AK$12,IF(R39&gt;=$AI$11,$AK$11,IF(R39&gt;=$AI$10,$AK$10,IF(R39&gt;=$AI$9,$AK$9,0))))))),IF(R39&gt;=$AI$15,$AL$15,IF(R39&gt;=$AI$14,$AL$14,IF(R39&gt;=$AI$13,$AL$13,IF(R39&gt;=$AI$12,$AL$12,IF(R39&gt;=$AI$11,$AL$11,IF(R39&gt;=$AI$10,$AL$10,IF(R39&gt;=$AI$9,$AL$9,0))))))))</f>
        <v>0</v>
      </c>
      <c r="V39" s="232">
        <f>IF(S39&lt;0,0,S39*U39)</f>
        <v>0</v>
      </c>
      <c r="W39" s="341">
        <f t="shared" ref="W39" si="35">IFERROR(V39/R39,0)</f>
        <v>0</v>
      </c>
      <c r="X39" s="232"/>
      <c r="Y39" s="249">
        <f t="shared" ref="Y39" si="36">+X39+V39</f>
        <v>0</v>
      </c>
      <c r="Z39" s="232">
        <f t="shared" ref="Z39" si="37">+L39</f>
        <v>0</v>
      </c>
      <c r="AA39" s="232">
        <f>IF(Y39&lt;Z39,0,Y39-Z39)</f>
        <v>0</v>
      </c>
      <c r="AB39" s="358"/>
      <c r="AC39" s="235">
        <f t="shared" ref="AC39" si="38">++AA39-AB39</f>
        <v>0</v>
      </c>
      <c r="AD39" s="232">
        <f t="shared" ref="AD39" si="39">+AC39</f>
        <v>0</v>
      </c>
      <c r="AE39" s="231"/>
      <c r="AG39" s="148"/>
      <c r="AH39" s="148"/>
    </row>
    <row r="40" spans="2:34" hidden="1" x14ac:dyDescent="0.25">
      <c r="B40" s="231" t="s">
        <v>2700</v>
      </c>
      <c r="C40" s="231" t="str">
        <f>VLOOKUP(B40,Tabla2[[Asesores]:[TIPO]],2,0)</f>
        <v>INTERNO</v>
      </c>
      <c r="D40" s="232">
        <f>SUMIFS('Ventas '!L:L,'Ventas '!C:C,B40,'Ventas '!A:A,"&gt;="&amp;$D$5,'Ventas '!A:A,"&lt;="&amp;$D$6)</f>
        <v>0</v>
      </c>
      <c r="E40" s="238">
        <f>IF(C40="INTERNO",IF(D40&gt;=$AI$15,$AK$15,IF(D40&gt;=$AI$14,$AK$14,IF(D40&gt;=$AI$13,$AK$13,IF(D40&gt;=$AI$12,$AK$12,IF(D40&gt;=$AI$11,$AK$11,IF(D40&gt;=$AI$10,$AK$10,IF(D40&gt;=$AI$9,$AK$9,0))))))),IF(D40&gt;=$AI$15,$AL$15,IF(D40&gt;=$AI$14,$AL$14,IF(D40&gt;=$AI$13,$AL$13,IF(D40&gt;=$AI$12,$AL$12,IF(D40&gt;=$AI$11,$AL$11,IF(D40&gt;=$AI$10,$AL$10,IF(D40&gt;=$AI$9,$AL$9,0))))))))</f>
        <v>0</v>
      </c>
      <c r="F40" s="235">
        <f t="shared" si="23"/>
        <v>0</v>
      </c>
      <c r="G40" s="237">
        <f t="shared" si="17"/>
        <v>0</v>
      </c>
      <c r="H40" s="232">
        <f>SUMIFS(Tabla110[[#Headers],[#Data],[Utilidad Bruta Total]],Tabla110[[#Headers],[#Data],[Asesor]],B40,Tabla110[[#Headers],[#Data],[Fecha Cobranza]],"&lt;"&amp;$D$6,Tabla110[[#Headers],[#Data],[Fecha Cobranza]],"&gt;="&amp;$D$5)</f>
        <v>0</v>
      </c>
      <c r="I40" s="241">
        <f t="shared" si="21"/>
        <v>0</v>
      </c>
      <c r="J40" s="238">
        <f t="shared" si="15"/>
        <v>0</v>
      </c>
      <c r="K40" s="231"/>
      <c r="L40" s="251">
        <f>SUMIFS('Ventas '!$AE$7:$AE$47059,'Ventas '!$C$7:$C$47059,'Caratula 2023'!B40,'Ventas '!$A$7:$A$47059,"&gt;="&amp;'Caratula 2023'!$D$5,'Ventas '!$A$7:$A$47059,"&lt;="&amp;'Caratula 2023'!$D$6)</f>
        <v>0</v>
      </c>
      <c r="M40" s="232"/>
      <c r="N40" s="231"/>
      <c r="O40" s="358">
        <f t="shared" si="7"/>
        <v>0</v>
      </c>
      <c r="P40" s="354">
        <f t="shared" si="19"/>
        <v>0</v>
      </c>
      <c r="Q40" s="352"/>
      <c r="R40" s="252">
        <f>SUMIFS('Ventas '!L:L,'Ventas '!C:C,B40,'Ventas '!A:A,"&gt;="&amp;$R$5,'Ventas '!A:A,"&lt;="&amp;$R$6)</f>
        <v>0</v>
      </c>
      <c r="S40" s="252">
        <f>SUMIFS(Tabla110[[#Headers],[#Data],[Utilidad Bruta Total]],Tabla110[[#Headers],[#Data],[Asesor]],B40,Tabla110[[#Headers],[#Data],[Fecha Cobranza]],"&lt;"&amp;$R$6,Tabla110[[#Headers],[#Data],[Fecha Cobranza]],"&gt;="&amp;$R$5)</f>
        <v>0</v>
      </c>
      <c r="T40" s="253">
        <f t="shared" si="22"/>
        <v>0</v>
      </c>
      <c r="U40" s="238">
        <f>IF(C40="INTERNO",IF(R40&gt;=$AI$15,$AK$15,IF(R40&gt;=$AI$14,$AK$14,IF(R40&gt;=$AI$13,$AK$13,IF(R40&gt;=$AI$12,$AK$12,IF(R40&gt;=$AI$11,$AK$11,IF(R40&gt;=$AI$10,$AK$10,IF(R40&gt;=$AI$9,$AK$9,0))))))),IF(R40&gt;=$AI$15,$AL$15,IF(R40&gt;=$AI$14,$AL$14,IF(R40&gt;=$AI$13,$AL$13,IF(R40&gt;=$AI$12,$AL$12,IF(R40&gt;=$AI$11,$AL$11,IF(R40&gt;=$AI$10,$AL$10,IF(R40&gt;=$AI$9,$AL$9,0))))))))</f>
        <v>0</v>
      </c>
      <c r="V40" s="232">
        <f>IF(S40&lt;0,0,S40*U40)</f>
        <v>0</v>
      </c>
      <c r="W40" s="341">
        <f t="shared" si="24"/>
        <v>0</v>
      </c>
      <c r="X40" s="232"/>
      <c r="Y40" s="249">
        <f t="shared" si="18"/>
        <v>0</v>
      </c>
      <c r="Z40" s="232">
        <f t="shared" si="26"/>
        <v>0</v>
      </c>
      <c r="AA40" s="232">
        <f>IF(Y40&lt;Z40,0,Y40-Z40)</f>
        <v>0</v>
      </c>
      <c r="AB40" s="358">
        <v>0</v>
      </c>
      <c r="AC40" s="235">
        <f t="shared" si="25"/>
        <v>0</v>
      </c>
      <c r="AD40" s="232">
        <f t="shared" si="20"/>
        <v>0</v>
      </c>
      <c r="AE40" s="231"/>
      <c r="AG40" s="148"/>
      <c r="AH40" s="148"/>
    </row>
    <row r="41" spans="2:34" hidden="1" x14ac:dyDescent="0.25">
      <c r="B41" s="231" t="s">
        <v>3376</v>
      </c>
      <c r="C41" s="231" t="s">
        <v>485</v>
      </c>
      <c r="D41" s="232">
        <f>SUMIFS('Ventas '!L:L,'Ventas '!C:C,B41,'Ventas '!A:A,"&gt;="&amp;$D$5,'Ventas '!A:A,"&lt;="&amp;$D$6)</f>
        <v>0</v>
      </c>
      <c r="E41" s="238">
        <f>IF(C41="INTERNO",IF(D41&gt;=$AI$15,$AK$15,IF(D41&gt;=$AI$14,$AK$14,IF(D41&gt;=$AI$13,$AK$13,IF(D41&gt;=$AI$12,$AK$12,IF(D41&gt;=$AI$11,$AK$11,IF(D41&gt;=$AI$10,$AK$10,IF(D41&gt;=$AI$9,$AK$9,0))))))),IF(D41&gt;=$AI$15,$AL$15,IF(D41&gt;=$AI$14,$AL$14,IF(D41&gt;=$AI$13,$AL$13,IF(D41&gt;=$AI$12,$AL$12,IF(D41&gt;=$AI$11,$AL$11,IF(D41&gt;=$AI$10,$AL$10,IF(D41&gt;=$AI$9,$AL$9,0))))))))</f>
        <v>0</v>
      </c>
      <c r="F41" s="235">
        <f t="shared" si="23"/>
        <v>0</v>
      </c>
      <c r="G41" s="237">
        <v>0</v>
      </c>
      <c r="H41" s="232">
        <f>SUMIFS(Tabla110[[#Headers],[#Data],[Utilidad Neta Total]],Tabla110[[#Headers],[#Data],[Asesor]],B41,Tabla110[[#Headers],[#Data],[Fecha Cobranza]],"&lt;"&amp;$D$6,Tabla110[[#Headers],[#Data],[Fecha Cobranza]],"&gt;="&amp;$D$5)</f>
        <v>0</v>
      </c>
      <c r="I41" s="241">
        <f t="shared" si="5"/>
        <v>0</v>
      </c>
      <c r="J41" s="238">
        <f t="shared" si="15"/>
        <v>0</v>
      </c>
      <c r="K41" s="231"/>
      <c r="L41" s="251">
        <f>SUMIFS('Ventas '!$AE$7:$AE$47059,'Ventas '!$C$7:$C$47059,'Caratula 2023'!B41,'Ventas '!$A$7:$A$47059,"&gt;="&amp;'Caratula 2023'!$D$5,'Ventas '!$A$7:$A$47059,"&lt;="&amp;'Caratula 2023'!$D$6)</f>
        <v>0</v>
      </c>
      <c r="M41" s="232"/>
      <c r="N41" s="231"/>
      <c r="O41" s="358">
        <f t="shared" si="7"/>
        <v>0</v>
      </c>
      <c r="P41" s="354">
        <f t="shared" si="19"/>
        <v>0</v>
      </c>
      <c r="Q41" s="352"/>
      <c r="R41" s="252">
        <f>SUMIFS('Ventas '!L:L,'Ventas '!C:C,B41,'Ventas '!A:A,"&gt;="&amp;$R$5,'Ventas '!A:A,"&lt;="&amp;$R$6)</f>
        <v>0</v>
      </c>
      <c r="S41" s="252">
        <f>SUMIFS(Tabla110[[#Headers],[#Data],[Utilidad Bruta Total]],Tabla110[[#Headers],[#Data],[Asesor]],B41,Tabla110[[#Headers],[#Data],[Fecha Cobranza]],"&lt;"&amp;$R$6,Tabla110[[#Headers],[#Data],[Fecha Cobranza]],"&gt;="&amp;$R$5)</f>
        <v>0</v>
      </c>
      <c r="T41" s="253">
        <f t="shared" si="22"/>
        <v>0</v>
      </c>
      <c r="U41" s="238">
        <f>IF(C41="INTERNO",IF(R41&gt;=$AI$15,$AK$15,IF(R41&gt;=$AI$14,$AK$14,IF(R41&gt;=$AI$13,$AK$13,IF(R41&gt;=$AI$12,$AK$12,IF(R41&gt;=$AI$11,$AK$11,IF(R41&gt;=$AI$10,$AK$10,IF(R41&gt;=$AI$9,$AK$9,0))))))),IF(R41&gt;=$AI$15,$AL$15,IF(R41&gt;=$AI$14,$AL$14,IF(R41&gt;=$AI$13,$AL$13,IF(R41&gt;=$AI$12,$AL$12,IF(R41&gt;=$AI$11,$AL$11,IF(R41&gt;=$AI$10,$AL$10,IF(R41&gt;=$AI$9,$AL$9,0))))))))</f>
        <v>0</v>
      </c>
      <c r="V41" s="232">
        <f t="shared" si="9"/>
        <v>0</v>
      </c>
      <c r="W41" s="341">
        <f t="shared" si="10"/>
        <v>0</v>
      </c>
      <c r="X41" s="232"/>
      <c r="Y41" s="249">
        <f>+X41+V41</f>
        <v>0</v>
      </c>
      <c r="Z41" s="232">
        <f t="shared" si="2"/>
        <v>0</v>
      </c>
      <c r="AA41" s="232">
        <f t="shared" si="14"/>
        <v>0</v>
      </c>
      <c r="AB41" s="358"/>
      <c r="AC41" s="235">
        <f t="shared" si="25"/>
        <v>0</v>
      </c>
      <c r="AD41" s="232">
        <f t="shared" si="20"/>
        <v>0</v>
      </c>
      <c r="AE41" s="231"/>
      <c r="AG41" s="148"/>
      <c r="AH41" s="148"/>
    </row>
    <row r="42" spans="2:34" ht="18.75" x14ac:dyDescent="0.3">
      <c r="B42" s="384" t="s">
        <v>74</v>
      </c>
      <c r="C42" s="384"/>
      <c r="D42" s="385">
        <f>SUBTOTAL(9,D8:D41)</f>
        <v>4264568.7375999996</v>
      </c>
      <c r="E42" s="385"/>
      <c r="F42" s="385" t="e">
        <f>SUBTOTAL(9,F8:F41)</f>
        <v>#N/A</v>
      </c>
      <c r="G42" s="386" t="e">
        <f>F42/D42</f>
        <v>#N/A</v>
      </c>
      <c r="H42" s="385" t="e">
        <f>SUBTOTAL(9,H8:H41)</f>
        <v>#N/A</v>
      </c>
      <c r="I42" s="387">
        <f>IFERROR(+H42/D42,0)</f>
        <v>0</v>
      </c>
      <c r="J42" s="386"/>
      <c r="K42" s="385">
        <f t="shared" ref="K42:S42" si="40">SUBTOTAL(9,K8:K41)</f>
        <v>0</v>
      </c>
      <c r="L42" s="385">
        <f t="shared" si="40"/>
        <v>92991.133692999996</v>
      </c>
      <c r="M42" s="385" t="e">
        <f t="shared" si="40"/>
        <v>#N/A</v>
      </c>
      <c r="N42" s="385">
        <f t="shared" si="40"/>
        <v>0</v>
      </c>
      <c r="O42" s="385" t="e">
        <f t="shared" si="40"/>
        <v>#N/A</v>
      </c>
      <c r="P42" s="385">
        <f t="shared" si="40"/>
        <v>6551.4306289999995</v>
      </c>
      <c r="Q42" s="385">
        <f t="shared" si="40"/>
        <v>72710.516590241881</v>
      </c>
      <c r="R42" s="292">
        <f t="shared" si="40"/>
        <v>0</v>
      </c>
      <c r="S42" s="292">
        <f t="shared" si="40"/>
        <v>0</v>
      </c>
      <c r="T42" s="342" t="e">
        <f>S42/R42</f>
        <v>#DIV/0!</v>
      </c>
      <c r="U42" s="292"/>
      <c r="V42" s="292">
        <f>SUBTOTAL(9,V8:V41)</f>
        <v>0</v>
      </c>
      <c r="W42" s="393" t="e">
        <f>V42/R42</f>
        <v>#DIV/0!</v>
      </c>
      <c r="X42" s="292">
        <f t="shared" ref="X42:AE42" si="41">SUBTOTAL(9,X8:X41)</f>
        <v>0</v>
      </c>
      <c r="Y42" s="292">
        <f t="shared" si="41"/>
        <v>0</v>
      </c>
      <c r="Z42" s="292">
        <f t="shared" si="41"/>
        <v>92991.133692999996</v>
      </c>
      <c r="AA42" s="292">
        <f t="shared" si="41"/>
        <v>0</v>
      </c>
      <c r="AB42" s="292">
        <f t="shared" si="41"/>
        <v>0</v>
      </c>
      <c r="AC42" s="292">
        <f t="shared" si="41"/>
        <v>0</v>
      </c>
      <c r="AD42" s="292">
        <f t="shared" si="41"/>
        <v>0</v>
      </c>
      <c r="AE42" s="292">
        <f t="shared" si="41"/>
        <v>0</v>
      </c>
      <c r="AG42" s="148"/>
      <c r="AH42" s="148"/>
    </row>
    <row r="43" spans="2:34" x14ac:dyDescent="0.25">
      <c r="F43" s="163"/>
      <c r="G43" s="163"/>
      <c r="N43" s="254"/>
      <c r="O43" s="255"/>
      <c r="Q43" s="163"/>
      <c r="Y43" s="163"/>
      <c r="AG43" s="148"/>
      <c r="AH43" s="148"/>
    </row>
    <row r="44" spans="2:34" ht="18.75" x14ac:dyDescent="0.3">
      <c r="D44" s="132"/>
      <c r="H44" s="163"/>
      <c r="O44" s="256"/>
      <c r="P44" s="163"/>
      <c r="Q44" s="148"/>
      <c r="R44" s="163"/>
      <c r="V44" s="163"/>
      <c r="Y44" s="362"/>
      <c r="Z44" s="163"/>
      <c r="AA44" s="163"/>
      <c r="AB44" s="163"/>
      <c r="AD44" s="163"/>
      <c r="AG44" s="148"/>
      <c r="AH44" s="148"/>
    </row>
    <row r="45" spans="2:34" x14ac:dyDescent="0.25">
      <c r="D45" s="132">
        <f>D42-'Ventas THD'!P2-'Ventas '!L6</f>
        <v>-2776693.1674413965</v>
      </c>
      <c r="R45" s="163">
        <f>R42-'Ventas THD'!P2-'Ventas '!L6</f>
        <v>-7041261.9050413966</v>
      </c>
      <c r="Y45" s="378"/>
      <c r="AG45" s="148"/>
      <c r="AH45" s="148"/>
    </row>
    <row r="46" spans="2:34" x14ac:dyDescent="0.25">
      <c r="AG46" s="148"/>
      <c r="AH46" s="148"/>
    </row>
    <row r="47" spans="2:34" x14ac:dyDescent="0.25">
      <c r="H47" s="167"/>
      <c r="AG47" s="148"/>
      <c r="AH47" s="148"/>
    </row>
    <row r="48" spans="2:34" x14ac:dyDescent="0.25">
      <c r="C48" s="37"/>
      <c r="D48" s="37"/>
      <c r="E48" s="37"/>
      <c r="F48" s="37"/>
      <c r="N48" s="37"/>
      <c r="O48" s="37"/>
      <c r="V48" s="362"/>
      <c r="AG48" s="148"/>
      <c r="AH48" s="148"/>
    </row>
    <row r="49" spans="2:34" x14ac:dyDescent="0.25">
      <c r="C49" s="24"/>
      <c r="D49" s="24"/>
      <c r="E49" s="24"/>
      <c r="F49" s="24"/>
      <c r="L49" s="240"/>
      <c r="N49" s="24" t="s">
        <v>501</v>
      </c>
      <c r="O49" s="24"/>
      <c r="P49" s="240"/>
      <c r="V49" s="362"/>
      <c r="AG49" s="148"/>
      <c r="AH49" s="148"/>
    </row>
    <row r="50" spans="2:34" x14ac:dyDescent="0.25">
      <c r="C50" s="562"/>
      <c r="D50" s="562"/>
      <c r="E50" s="562"/>
      <c r="F50" s="562"/>
      <c r="H50" s="562"/>
      <c r="I50" s="562"/>
      <c r="J50" s="562"/>
      <c r="K50" s="562"/>
      <c r="L50" s="240"/>
      <c r="P50" s="240"/>
      <c r="V50" s="148"/>
      <c r="AB50" s="362"/>
      <c r="AD50" s="362"/>
      <c r="AG50" s="148"/>
      <c r="AH50" s="148"/>
    </row>
    <row r="51" spans="2:34" x14ac:dyDescent="0.25">
      <c r="AB51" s="362"/>
      <c r="AD51" s="362"/>
      <c r="AG51" s="148"/>
      <c r="AH51" s="148"/>
    </row>
    <row r="52" spans="2:34" x14ac:dyDescent="0.25">
      <c r="AG52" s="148"/>
      <c r="AH52" s="148"/>
    </row>
    <row r="53" spans="2:34" x14ac:dyDescent="0.25">
      <c r="AG53" s="148"/>
      <c r="AH53" s="148"/>
    </row>
    <row r="54" spans="2:34" x14ac:dyDescent="0.25">
      <c r="N54" s="37"/>
      <c r="O54" s="37"/>
      <c r="AG54" s="148"/>
      <c r="AH54" s="148"/>
    </row>
    <row r="55" spans="2:34" x14ac:dyDescent="0.25">
      <c r="C55" s="24"/>
      <c r="D55" s="24"/>
      <c r="E55" s="24"/>
      <c r="F55" s="24"/>
      <c r="L55" s="240"/>
      <c r="N55" s="24" t="s">
        <v>447</v>
      </c>
      <c r="O55" s="24"/>
      <c r="AG55" s="148"/>
      <c r="AH55" s="148"/>
    </row>
    <row r="56" spans="2:34" x14ac:dyDescent="0.25">
      <c r="C56" s="562"/>
      <c r="D56" s="562"/>
      <c r="E56" s="562"/>
      <c r="F56" s="562"/>
      <c r="H56" s="562"/>
      <c r="I56" s="562"/>
      <c r="J56" s="562"/>
      <c r="K56" s="562"/>
      <c r="L56" s="240"/>
      <c r="AG56" s="148"/>
      <c r="AH56" s="148"/>
    </row>
    <row r="57" spans="2:34" x14ac:dyDescent="0.25">
      <c r="AE57" s="163"/>
      <c r="AG57" s="148"/>
      <c r="AH57" s="148"/>
    </row>
    <row r="58" spans="2:34" x14ac:dyDescent="0.25">
      <c r="AG58" s="148"/>
      <c r="AH58" s="148"/>
    </row>
    <row r="61" spans="2:34" x14ac:dyDescent="0.25">
      <c r="B61" t="s">
        <v>2789</v>
      </c>
    </row>
    <row r="63" spans="2:34" x14ac:dyDescent="0.25">
      <c r="AH63" s="132"/>
    </row>
  </sheetData>
  <autoFilter ref="B7:AL58" xr:uid="{8B8C7F30-A44E-47E9-962D-C8F5C7AB09E5}">
    <filterColumn colId="2" showButton="0"/>
    <filterColumn colId="4" showButton="0"/>
    <filterColumn colId="6" showButton="0"/>
    <filterColumn colId="7" showButton="0"/>
    <filterColumn colId="10">
      <filters blank="1">
        <filter val="1,142.56"/>
        <filter val="1,176.00"/>
        <filter val="1,243.26"/>
        <filter val="14,447.34"/>
        <filter val="2,989.61"/>
        <filter val="25,004.71"/>
        <filter val="3,083.37"/>
        <filter val="31,162.48"/>
        <filter val="5,863.19"/>
        <filter val="6,878.62"/>
        <filter val="92,991.13"/>
      </filters>
    </filterColumn>
    <filterColumn colId="17" showButton="0"/>
    <filterColumn colId="20" showButton="0"/>
  </autoFilter>
  <mergeCells count="32">
    <mergeCell ref="C56:F56"/>
    <mergeCell ref="H50:K50"/>
    <mergeCell ref="H56:K56"/>
    <mergeCell ref="C50:F50"/>
    <mergeCell ref="M5:M7"/>
    <mergeCell ref="F5:K5"/>
    <mergeCell ref="F6:G7"/>
    <mergeCell ref="Y5:Y7"/>
    <mergeCell ref="R4:AE4"/>
    <mergeCell ref="D4:Q4"/>
    <mergeCell ref="AB5:AB7"/>
    <mergeCell ref="AC5:AC7"/>
    <mergeCell ref="AD5:AD7"/>
    <mergeCell ref="AE5:AE7"/>
    <mergeCell ref="P5:P7"/>
    <mergeCell ref="Q5:Q7"/>
    <mergeCell ref="U5:U7"/>
    <mergeCell ref="D7:E7"/>
    <mergeCell ref="D5:E5"/>
    <mergeCell ref="D6:E6"/>
    <mergeCell ref="AA5:AA7"/>
    <mergeCell ref="Z5:Z7"/>
    <mergeCell ref="V5:W7"/>
    <mergeCell ref="S5:T7"/>
    <mergeCell ref="B4:C4"/>
    <mergeCell ref="X6:X7"/>
    <mergeCell ref="L5:L7"/>
    <mergeCell ref="B5:B7"/>
    <mergeCell ref="C5:C7"/>
    <mergeCell ref="N5:N7"/>
    <mergeCell ref="H6:J7"/>
    <mergeCell ref="O5:O7"/>
  </mergeCells>
  <conditionalFormatting sqref="AB8:AB41">
    <cfRule type="cellIs" dxfId="23" priority="6" operator="greaterThan">
      <formula>0</formula>
    </cfRule>
  </conditionalFormatting>
  <conditionalFormatting sqref="B1:B1048576">
    <cfRule type="duplicateValues" dxfId="22" priority="1"/>
  </conditionalFormatting>
  <conditionalFormatting sqref="H59:H67">
    <cfRule type="duplicateValues" dxfId="21" priority="4570"/>
  </conditionalFormatting>
  <conditionalFormatting sqref="B8:B58">
    <cfRule type="duplicateValues" dxfId="20" priority="4575"/>
  </conditionalFormatting>
  <pageMargins left="0.35433070866141736" right="0.31496062992125984" top="0.39370078740157483" bottom="0.74803149606299213" header="0.31496062992125984" footer="0.31496062992125984"/>
  <pageSetup scale="73"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CE5AD-8E76-4AAD-8592-E40D57D31F75}">
  <sheetPr codeName="Hoja13">
    <pageSetUpPr fitToPage="1"/>
  </sheetPr>
  <dimension ref="B1:EO60"/>
  <sheetViews>
    <sheetView zoomScaleNormal="100" workbookViewId="0">
      <pane xSplit="2" ySplit="7" topLeftCell="DT8" activePane="bottomRight" state="frozen"/>
      <selection pane="topRight" activeCell="C1" sqref="C1"/>
      <selection pane="bottomLeft" activeCell="A7" sqref="A7"/>
      <selection pane="bottomRight" activeCell="DV8" sqref="DV8"/>
    </sheetView>
  </sheetViews>
  <sheetFormatPr baseColWidth="10" defaultRowHeight="15" x14ac:dyDescent="0.25"/>
  <cols>
    <col min="1" max="1" width="2.7109375" customWidth="1"/>
    <col min="2" max="2" width="39.5703125" customWidth="1"/>
    <col min="3" max="3" width="9.5703125" customWidth="1"/>
    <col min="4" max="8" width="15" customWidth="1"/>
    <col min="9" max="9" width="15.85546875" customWidth="1"/>
    <col min="10" max="15" width="15" customWidth="1"/>
    <col min="16" max="17" width="17.140625" customWidth="1"/>
    <col min="18" max="20" width="14.5703125" customWidth="1"/>
    <col min="21" max="21" width="18.42578125" customWidth="1"/>
    <col min="22" max="23" width="15.5703125" customWidth="1"/>
    <col min="24" max="25" width="18.140625" customWidth="1"/>
    <col min="26" max="27" width="17.28515625" customWidth="1"/>
    <col min="28" max="28" width="20.140625" customWidth="1"/>
    <col min="29" max="30" width="16" customWidth="1"/>
    <col min="31" max="31" width="15.28515625" customWidth="1"/>
    <col min="32" max="47" width="16" customWidth="1"/>
    <col min="48" max="48" width="15.5703125" customWidth="1"/>
    <col min="49" max="50" width="18.140625" customWidth="1"/>
    <col min="51" max="52" width="17.28515625" customWidth="1"/>
    <col min="53" max="53" width="20.5703125" customWidth="1"/>
    <col min="54" max="55" width="16.85546875" customWidth="1"/>
    <col min="56" max="57" width="15.42578125" customWidth="1"/>
    <col min="58" max="59" width="16.28515625" customWidth="1"/>
    <col min="60" max="60" width="16" customWidth="1"/>
    <col min="61" max="61" width="18.7109375" customWidth="1"/>
    <col min="62" max="62" width="15.28515625" customWidth="1"/>
    <col min="63" max="63" width="18.7109375" customWidth="1"/>
    <col min="64" max="65" width="15.7109375" customWidth="1"/>
    <col min="66" max="66" width="15" customWidth="1"/>
    <col min="67" max="67" width="18.7109375" customWidth="1"/>
    <col min="68" max="69" width="16" customWidth="1"/>
    <col min="70" max="70" width="15" customWidth="1"/>
    <col min="71" max="71" width="18.7109375" customWidth="1"/>
    <col min="72" max="72" width="15.7109375" customWidth="1"/>
    <col min="73" max="73" width="15" customWidth="1"/>
    <col min="74" max="84" width="12.140625" customWidth="1"/>
    <col min="85" max="85" width="14.42578125" customWidth="1"/>
    <col min="86" max="86" width="16.42578125" customWidth="1"/>
    <col min="87" max="87" width="14.42578125" customWidth="1"/>
    <col min="88" max="88" width="16.42578125" customWidth="1"/>
    <col min="89" max="89" width="11.5703125" customWidth="1"/>
    <col min="90" max="90" width="16.42578125" customWidth="1"/>
    <col min="91" max="91" width="11.5703125" customWidth="1"/>
    <col min="92" max="92" width="16.42578125" customWidth="1"/>
    <col min="93" max="93" width="12.28515625" customWidth="1"/>
    <col min="94" max="94" width="16.42578125" customWidth="1"/>
    <col min="95" max="95" width="12.28515625" customWidth="1"/>
    <col min="96" max="96" width="16.42578125" customWidth="1"/>
    <col min="97" max="97" width="12.28515625" customWidth="1"/>
    <col min="98" max="98" width="16.42578125" customWidth="1"/>
    <col min="99" max="100" width="12.28515625" customWidth="1"/>
    <col min="101" max="101" width="18.7109375" customWidth="1"/>
    <col min="102" max="122" width="15.28515625" customWidth="1"/>
    <col min="123" max="123" width="18.140625" customWidth="1"/>
    <col min="124" max="125" width="17.28515625" customWidth="1"/>
    <col min="126" max="126" width="16.7109375" customWidth="1"/>
    <col min="127" max="127" width="20.5703125" bestFit="1" customWidth="1"/>
    <col min="128" max="128" width="18.28515625" customWidth="1"/>
    <col min="129" max="129" width="11.42578125" style="147" customWidth="1"/>
    <col min="130" max="132" width="11.42578125" customWidth="1"/>
    <col min="133" max="134" width="11.28515625" customWidth="1"/>
    <col min="135" max="135" width="11.42578125" customWidth="1"/>
    <col min="137" max="137" width="17.140625" style="130" bestFit="1" customWidth="1"/>
    <col min="138" max="138" width="15.85546875" style="130" bestFit="1" customWidth="1"/>
    <col min="139" max="139" width="15.140625" style="313" bestFit="1" customWidth="1"/>
    <col min="140" max="140" width="11.42578125" style="313"/>
  </cols>
  <sheetData>
    <row r="1" spans="2:145" x14ac:dyDescent="0.25">
      <c r="D1" s="130"/>
      <c r="E1" s="130"/>
    </row>
    <row r="2" spans="2:145" ht="23.25" x14ac:dyDescent="0.35">
      <c r="B2" s="567" t="s">
        <v>1395</v>
      </c>
      <c r="C2" s="567"/>
      <c r="D2" s="567"/>
      <c r="E2" s="567"/>
      <c r="F2" s="567"/>
      <c r="G2" s="567"/>
      <c r="H2" s="567"/>
      <c r="I2" s="567"/>
      <c r="J2" s="567"/>
      <c r="K2" s="567"/>
      <c r="L2" s="567"/>
      <c r="M2" s="567"/>
      <c r="N2" s="567"/>
      <c r="O2" s="567"/>
      <c r="P2" s="567"/>
      <c r="Q2" s="567"/>
      <c r="R2" s="567"/>
      <c r="S2" s="567"/>
      <c r="T2" s="567"/>
      <c r="U2" s="567"/>
      <c r="V2" s="567"/>
      <c r="W2" s="567"/>
      <c r="X2" s="567"/>
      <c r="Y2" s="567"/>
      <c r="Z2" s="567"/>
      <c r="AA2" s="567"/>
      <c r="AB2" s="567"/>
      <c r="AC2" s="567"/>
      <c r="AD2" s="567"/>
      <c r="AE2" s="567"/>
      <c r="AF2" s="567"/>
      <c r="AG2" s="567"/>
      <c r="AH2" s="567"/>
      <c r="AI2" s="567"/>
      <c r="AJ2" s="567"/>
      <c r="AK2" s="567"/>
      <c r="AL2" s="567"/>
      <c r="AM2" s="567"/>
      <c r="AN2" s="567"/>
      <c r="AO2" s="567"/>
      <c r="AP2" s="567"/>
      <c r="AQ2" s="567"/>
      <c r="AR2" s="567"/>
      <c r="AS2" s="567"/>
      <c r="AT2" s="567"/>
      <c r="AU2" s="567"/>
      <c r="AV2" s="567"/>
      <c r="AW2" s="567"/>
      <c r="AX2" s="567"/>
      <c r="AY2" s="567"/>
      <c r="AZ2" s="567"/>
      <c r="BA2" s="567"/>
      <c r="BB2" s="567"/>
      <c r="BC2" s="567"/>
      <c r="BD2" s="567"/>
      <c r="BE2" s="567"/>
      <c r="BF2" s="567"/>
      <c r="BG2" s="567"/>
      <c r="BH2" s="567"/>
      <c r="BI2" s="567"/>
      <c r="BJ2" s="567"/>
      <c r="BK2" s="567"/>
      <c r="BL2" s="567"/>
      <c r="BM2" s="567"/>
      <c r="BN2" s="567"/>
      <c r="BO2" s="567"/>
      <c r="BP2" s="567"/>
      <c r="BQ2" s="567"/>
      <c r="BR2" s="567"/>
      <c r="BS2" s="567"/>
      <c r="BT2" s="567"/>
      <c r="BU2" s="567"/>
      <c r="BV2" s="567"/>
      <c r="BW2" s="567"/>
      <c r="BX2" s="567"/>
      <c r="BY2" s="567"/>
      <c r="BZ2" s="567"/>
      <c r="CA2" s="567"/>
      <c r="CB2" s="567"/>
      <c r="CC2" s="567"/>
      <c r="CD2" s="567"/>
      <c r="CE2" s="567"/>
      <c r="CF2" s="567"/>
      <c r="CG2" s="567"/>
      <c r="CH2" s="567"/>
      <c r="CI2" s="567"/>
      <c r="CJ2" s="567"/>
      <c r="CK2" s="567"/>
      <c r="CL2" s="567"/>
      <c r="CM2" s="567"/>
      <c r="CN2" s="567"/>
      <c r="CO2" s="567"/>
      <c r="CP2" s="567"/>
      <c r="CQ2" s="567"/>
      <c r="CR2" s="567"/>
      <c r="CS2" s="567"/>
      <c r="CT2" s="567"/>
      <c r="CU2" s="567"/>
      <c r="CV2" s="567"/>
      <c r="CW2" s="567"/>
      <c r="CX2" s="567"/>
      <c r="CY2" s="567"/>
      <c r="CZ2" s="567"/>
      <c r="DA2" s="567"/>
      <c r="DB2" s="567"/>
      <c r="DC2" s="567"/>
      <c r="DD2" s="567"/>
      <c r="DE2" s="567"/>
      <c r="DF2" s="567"/>
      <c r="DG2" s="567"/>
      <c r="DH2" s="567"/>
      <c r="DI2" s="567"/>
      <c r="DJ2" s="567"/>
      <c r="DK2" s="567"/>
      <c r="DL2" s="567"/>
      <c r="DM2" s="567"/>
      <c r="DN2" s="567"/>
      <c r="DO2" s="567"/>
      <c r="DP2" s="567"/>
      <c r="DQ2" s="567"/>
      <c r="DR2" s="567"/>
      <c r="DS2" s="567"/>
      <c r="DT2" s="567"/>
      <c r="DU2" s="567"/>
      <c r="DV2" s="567"/>
      <c r="DW2" s="567"/>
      <c r="DX2" s="567"/>
      <c r="DY2" s="567"/>
      <c r="DZ2" s="567"/>
    </row>
    <row r="3" spans="2:145" x14ac:dyDescent="0.25">
      <c r="D3" s="293">
        <v>45658</v>
      </c>
      <c r="E3" s="293"/>
      <c r="BB3" s="293">
        <v>45292</v>
      </c>
      <c r="BC3" s="293"/>
    </row>
    <row r="4" spans="2:145" s="294" customFormat="1" ht="30.2" customHeight="1" x14ac:dyDescent="0.25">
      <c r="D4" s="569" t="s">
        <v>340</v>
      </c>
      <c r="E4" s="569"/>
      <c r="F4" s="569"/>
      <c r="G4" s="569"/>
      <c r="H4" s="569"/>
      <c r="I4" s="569"/>
      <c r="J4" s="569"/>
      <c r="K4" s="569"/>
      <c r="L4" s="569"/>
      <c r="M4" s="569"/>
      <c r="N4" s="569"/>
      <c r="O4" s="569"/>
      <c r="P4" s="569"/>
      <c r="Q4" s="569"/>
      <c r="R4" s="569"/>
      <c r="S4" s="569"/>
      <c r="T4" s="569"/>
      <c r="U4" s="569"/>
      <c r="V4" s="569"/>
      <c r="W4" s="569"/>
      <c r="X4" s="569"/>
      <c r="Y4" s="569"/>
      <c r="Z4" s="569"/>
      <c r="AA4" s="569"/>
      <c r="AB4" s="569"/>
      <c r="AC4" s="576" t="s">
        <v>492</v>
      </c>
      <c r="AD4" s="576"/>
      <c r="AE4" s="576"/>
      <c r="AF4" s="576"/>
      <c r="AG4" s="576"/>
      <c r="AH4" s="576"/>
      <c r="AI4" s="576"/>
      <c r="AJ4" s="576"/>
      <c r="AK4" s="576"/>
      <c r="AL4" s="576"/>
      <c r="AM4" s="576"/>
      <c r="AN4" s="576"/>
      <c r="AO4" s="576"/>
      <c r="AP4" s="576"/>
      <c r="AQ4" s="576"/>
      <c r="AR4" s="576"/>
      <c r="AS4" s="576"/>
      <c r="AT4" s="576"/>
      <c r="AU4" s="576"/>
      <c r="AV4" s="576"/>
      <c r="AW4" s="576"/>
      <c r="AX4" s="576"/>
      <c r="AY4" s="576"/>
      <c r="AZ4" s="576"/>
      <c r="BA4" s="576"/>
      <c r="BB4" s="577" t="s">
        <v>324</v>
      </c>
      <c r="BC4" s="577"/>
      <c r="BD4" s="577"/>
      <c r="BE4" s="577"/>
      <c r="BF4" s="577"/>
      <c r="BG4" s="577"/>
      <c r="BH4" s="577"/>
      <c r="BI4" s="577"/>
      <c r="BJ4" s="577"/>
      <c r="BK4" s="577"/>
      <c r="BL4" s="577"/>
      <c r="BM4" s="577"/>
      <c r="BN4" s="577"/>
      <c r="BO4" s="577"/>
      <c r="BP4" s="577"/>
      <c r="BQ4" s="577"/>
      <c r="BR4" s="577"/>
      <c r="BS4" s="577"/>
      <c r="BT4" s="577"/>
      <c r="BU4" s="577"/>
      <c r="BV4" s="577"/>
      <c r="BW4" s="577"/>
      <c r="BX4" s="577"/>
      <c r="BY4" s="577"/>
      <c r="BZ4" s="577"/>
      <c r="CA4" s="577"/>
      <c r="CB4" s="577"/>
      <c r="CC4" s="577"/>
      <c r="CD4" s="577"/>
      <c r="CE4" s="577"/>
      <c r="CF4" s="577"/>
      <c r="CG4" s="577"/>
      <c r="CH4" s="577"/>
      <c r="CI4" s="577"/>
      <c r="CJ4" s="577"/>
      <c r="CK4" s="577"/>
      <c r="CL4" s="577"/>
      <c r="CM4" s="577"/>
      <c r="CN4" s="577"/>
      <c r="CO4" s="577"/>
      <c r="CP4" s="577"/>
      <c r="CQ4" s="577"/>
      <c r="CR4" s="577"/>
      <c r="CS4" s="577"/>
      <c r="CT4" s="577"/>
      <c r="CU4" s="577"/>
      <c r="CV4" s="577"/>
      <c r="CW4" s="577"/>
      <c r="CX4" s="570" t="s">
        <v>356</v>
      </c>
      <c r="CY4" s="570"/>
      <c r="CZ4" s="570"/>
      <c r="DA4" s="570"/>
      <c r="DB4" s="570"/>
      <c r="DC4" s="570"/>
      <c r="DD4" s="570"/>
      <c r="DE4" s="570"/>
      <c r="DF4" s="570"/>
      <c r="DG4" s="570"/>
      <c r="DH4" s="570"/>
      <c r="DI4" s="570"/>
      <c r="DJ4" s="570"/>
      <c r="DK4" s="570"/>
      <c r="DL4" s="570"/>
      <c r="DM4" s="570"/>
      <c r="DN4" s="570"/>
      <c r="DO4" s="570"/>
      <c r="DP4" s="570"/>
      <c r="DQ4" s="570"/>
      <c r="DR4" s="570"/>
      <c r="DS4" s="570"/>
      <c r="DT4" s="570"/>
      <c r="DU4" s="570"/>
      <c r="DV4" s="570"/>
      <c r="DW4" s="574" t="s">
        <v>358</v>
      </c>
      <c r="DX4" s="574" t="s">
        <v>357</v>
      </c>
      <c r="DY4" s="568" t="s">
        <v>533</v>
      </c>
      <c r="DZ4" s="568" t="s">
        <v>532</v>
      </c>
    </row>
    <row r="5" spans="2:145" s="294" customFormat="1" ht="30.2" customHeight="1" x14ac:dyDescent="0.25">
      <c r="D5" s="345"/>
      <c r="E5" s="345"/>
      <c r="F5" s="345"/>
      <c r="G5" s="345"/>
      <c r="H5" s="345"/>
      <c r="I5" s="345"/>
      <c r="J5" s="345"/>
      <c r="K5" s="345"/>
      <c r="L5" s="345"/>
      <c r="M5" s="345"/>
      <c r="N5" s="345"/>
      <c r="O5" s="345"/>
      <c r="P5" s="345"/>
      <c r="Q5" s="345"/>
      <c r="R5" s="345"/>
      <c r="S5" s="345"/>
      <c r="T5" s="345"/>
      <c r="U5" s="345"/>
      <c r="V5" s="345"/>
      <c r="W5" s="345"/>
      <c r="X5" s="345"/>
      <c r="Y5" s="345"/>
      <c r="Z5" s="345"/>
      <c r="AA5" s="345"/>
      <c r="AB5" s="345"/>
      <c r="AC5" s="319"/>
      <c r="AD5" s="319"/>
      <c r="AE5" s="319"/>
      <c r="AF5" s="319"/>
      <c r="AG5" s="319"/>
      <c r="AH5" s="319"/>
      <c r="AI5" s="319"/>
      <c r="AJ5" s="319"/>
      <c r="AK5" s="319"/>
      <c r="AL5" s="319"/>
      <c r="AM5" s="319"/>
      <c r="AN5" s="319"/>
      <c r="AO5" s="319"/>
      <c r="AP5" s="319"/>
      <c r="AQ5" s="319"/>
      <c r="AR5" s="319"/>
      <c r="AS5" s="319"/>
      <c r="AT5" s="319"/>
      <c r="AU5" s="319"/>
      <c r="AV5" s="319"/>
      <c r="AW5" s="319"/>
      <c r="AX5" s="319"/>
      <c r="AY5" s="319"/>
      <c r="AZ5" s="319"/>
      <c r="BA5" s="319"/>
      <c r="BB5" s="348" t="s">
        <v>368</v>
      </c>
      <c r="BC5" s="348" t="s">
        <v>368</v>
      </c>
      <c r="BD5" s="348" t="s">
        <v>368</v>
      </c>
      <c r="BE5" s="348" t="s">
        <v>368</v>
      </c>
      <c r="BF5" s="348" t="s">
        <v>367</v>
      </c>
      <c r="BG5" s="348" t="s">
        <v>367</v>
      </c>
      <c r="BH5" s="348" t="s">
        <v>367</v>
      </c>
      <c r="BI5" s="348" t="s">
        <v>367</v>
      </c>
      <c r="BJ5" s="348" t="s">
        <v>382</v>
      </c>
      <c r="BK5" s="348" t="s">
        <v>382</v>
      </c>
      <c r="BL5" s="348" t="s">
        <v>382</v>
      </c>
      <c r="BM5" s="348" t="s">
        <v>382</v>
      </c>
      <c r="BN5" s="348" t="s">
        <v>395</v>
      </c>
      <c r="BO5" s="348" t="s">
        <v>395</v>
      </c>
      <c r="BP5" s="348" t="s">
        <v>395</v>
      </c>
      <c r="BQ5" s="348" t="s">
        <v>395</v>
      </c>
      <c r="BR5" s="348" t="s">
        <v>397</v>
      </c>
      <c r="BS5" s="348" t="s">
        <v>397</v>
      </c>
      <c r="BT5" s="346" t="s">
        <v>397</v>
      </c>
      <c r="BU5" s="346" t="s">
        <v>410</v>
      </c>
      <c r="BV5" s="346" t="s">
        <v>410</v>
      </c>
      <c r="BW5" s="346" t="s">
        <v>410</v>
      </c>
      <c r="BX5" s="346" t="s">
        <v>410</v>
      </c>
      <c r="BY5" s="346" t="s">
        <v>416</v>
      </c>
      <c r="BZ5" s="346" t="s">
        <v>416</v>
      </c>
      <c r="CA5" s="346" t="s">
        <v>416</v>
      </c>
      <c r="CB5" s="346" t="s">
        <v>416</v>
      </c>
      <c r="CC5" s="346" t="s">
        <v>426</v>
      </c>
      <c r="CD5" s="346" t="s">
        <v>426</v>
      </c>
      <c r="CE5" s="346" t="s">
        <v>426</v>
      </c>
      <c r="CF5" s="346" t="s">
        <v>426</v>
      </c>
      <c r="CG5" s="346" t="s">
        <v>448</v>
      </c>
      <c r="CH5" s="346" t="s">
        <v>448</v>
      </c>
      <c r="CI5" s="346" t="s">
        <v>448</v>
      </c>
      <c r="CJ5" s="346" t="s">
        <v>448</v>
      </c>
      <c r="CK5" s="346" t="s">
        <v>462</v>
      </c>
      <c r="CL5" s="346" t="s">
        <v>462</v>
      </c>
      <c r="CM5" s="346" t="s">
        <v>462</v>
      </c>
      <c r="CN5" s="346" t="s">
        <v>462</v>
      </c>
      <c r="CO5" s="346" t="s">
        <v>466</v>
      </c>
      <c r="CP5" s="346" t="s">
        <v>466</v>
      </c>
      <c r="CQ5" s="346" t="s">
        <v>466</v>
      </c>
      <c r="CR5" s="346" t="s">
        <v>466</v>
      </c>
      <c r="CS5" s="346" t="s">
        <v>469</v>
      </c>
      <c r="CT5" s="346" t="s">
        <v>469</v>
      </c>
      <c r="CU5" s="346" t="s">
        <v>469</v>
      </c>
      <c r="CV5" s="346" t="s">
        <v>469</v>
      </c>
      <c r="CW5" s="346"/>
      <c r="CX5" s="347"/>
      <c r="CY5" s="347"/>
      <c r="CZ5" s="347"/>
      <c r="DA5" s="347"/>
      <c r="DB5" s="347"/>
      <c r="DC5" s="347"/>
      <c r="DD5" s="347"/>
      <c r="DE5" s="347"/>
      <c r="DF5" s="347"/>
      <c r="DG5" s="347"/>
      <c r="DH5" s="347"/>
      <c r="DI5" s="347"/>
      <c r="DJ5" s="347"/>
      <c r="DK5" s="347"/>
      <c r="DL5" s="347"/>
      <c r="DM5" s="347"/>
      <c r="DN5" s="347"/>
      <c r="DO5" s="347"/>
      <c r="DP5" s="347"/>
      <c r="DQ5" s="347"/>
      <c r="DR5" s="347"/>
      <c r="DS5" s="347"/>
      <c r="DT5" s="347"/>
      <c r="DU5" s="347"/>
      <c r="DV5" s="347"/>
      <c r="DW5" s="574"/>
      <c r="DX5" s="574"/>
      <c r="DY5" s="568"/>
      <c r="DZ5" s="568"/>
      <c r="EA5" s="363"/>
      <c r="EB5" s="363"/>
      <c r="EC5" s="363"/>
      <c r="ED5" s="363"/>
      <c r="EE5" s="363"/>
      <c r="EL5" s="311"/>
      <c r="EM5" s="311"/>
      <c r="EN5" s="314"/>
      <c r="EO5" s="314"/>
    </row>
    <row r="6" spans="2:145" s="296" customFormat="1" x14ac:dyDescent="0.25">
      <c r="B6" s="295">
        <v>45658</v>
      </c>
      <c r="C6" s="295"/>
      <c r="D6" s="324">
        <v>45673</v>
      </c>
      <c r="E6" s="324">
        <v>45689</v>
      </c>
      <c r="F6" s="324">
        <v>45704</v>
      </c>
      <c r="G6" s="324">
        <v>45717</v>
      </c>
      <c r="H6" s="324">
        <v>45732</v>
      </c>
      <c r="I6" s="324">
        <v>45748</v>
      </c>
      <c r="J6" s="324">
        <v>45763</v>
      </c>
      <c r="K6" s="324">
        <v>45778</v>
      </c>
      <c r="L6" s="324">
        <v>45793</v>
      </c>
      <c r="M6" s="324">
        <v>45809</v>
      </c>
      <c r="N6" s="324">
        <v>45824</v>
      </c>
      <c r="O6" s="324">
        <v>45839</v>
      </c>
      <c r="P6" s="324">
        <v>45854</v>
      </c>
      <c r="Q6" s="324">
        <v>45870</v>
      </c>
      <c r="R6" s="324">
        <v>45885</v>
      </c>
      <c r="S6" s="324">
        <v>45901</v>
      </c>
      <c r="T6" s="324">
        <v>45916</v>
      </c>
      <c r="U6" s="324">
        <v>45931</v>
      </c>
      <c r="V6" s="324">
        <v>45946</v>
      </c>
      <c r="W6" s="324">
        <v>45962</v>
      </c>
      <c r="X6" s="324">
        <v>45977</v>
      </c>
      <c r="Y6" s="324">
        <v>45992</v>
      </c>
      <c r="Z6" s="324">
        <v>46007</v>
      </c>
      <c r="AA6" s="324">
        <v>45658</v>
      </c>
      <c r="AB6" s="571" t="s">
        <v>355</v>
      </c>
      <c r="AC6" s="320">
        <v>45673</v>
      </c>
      <c r="AD6" s="320">
        <v>45689</v>
      </c>
      <c r="AE6" s="320">
        <v>45704</v>
      </c>
      <c r="AF6" s="320">
        <v>45717</v>
      </c>
      <c r="AG6" s="320">
        <v>45732</v>
      </c>
      <c r="AH6" s="320">
        <v>45748</v>
      </c>
      <c r="AI6" s="320">
        <v>45763</v>
      </c>
      <c r="AJ6" s="320">
        <v>45778</v>
      </c>
      <c r="AK6" s="320">
        <v>45793</v>
      </c>
      <c r="AL6" s="320">
        <v>45809</v>
      </c>
      <c r="AM6" s="320">
        <v>45824</v>
      </c>
      <c r="AN6" s="320">
        <v>45839</v>
      </c>
      <c r="AO6" s="320">
        <v>45854</v>
      </c>
      <c r="AP6" s="320">
        <v>45870</v>
      </c>
      <c r="AQ6" s="320">
        <v>45885</v>
      </c>
      <c r="AR6" s="320">
        <v>45901</v>
      </c>
      <c r="AS6" s="320">
        <v>45916</v>
      </c>
      <c r="AT6" s="320">
        <v>45931</v>
      </c>
      <c r="AU6" s="320">
        <v>45946</v>
      </c>
      <c r="AV6" s="320">
        <v>45962</v>
      </c>
      <c r="AW6" s="320">
        <v>45977</v>
      </c>
      <c r="AX6" s="320">
        <v>45992</v>
      </c>
      <c r="AY6" s="320">
        <v>46007</v>
      </c>
      <c r="AZ6" s="320">
        <v>45658</v>
      </c>
      <c r="BA6" s="575" t="s">
        <v>355</v>
      </c>
      <c r="BB6" s="316">
        <v>45673</v>
      </c>
      <c r="BC6" s="316">
        <v>45673</v>
      </c>
      <c r="BD6" s="317">
        <v>45689</v>
      </c>
      <c r="BE6" s="317">
        <v>45689</v>
      </c>
      <c r="BF6" s="317">
        <v>45704</v>
      </c>
      <c r="BG6" s="317">
        <v>45704</v>
      </c>
      <c r="BH6" s="317">
        <v>45717</v>
      </c>
      <c r="BI6" s="317">
        <v>45717</v>
      </c>
      <c r="BJ6" s="317">
        <v>45732</v>
      </c>
      <c r="BK6" s="317">
        <v>45732</v>
      </c>
      <c r="BL6" s="317">
        <v>45748</v>
      </c>
      <c r="BM6" s="317">
        <v>45748</v>
      </c>
      <c r="BN6" s="317">
        <v>45763</v>
      </c>
      <c r="BO6" s="317">
        <v>45763</v>
      </c>
      <c r="BP6" s="317">
        <v>45778</v>
      </c>
      <c r="BQ6" s="317">
        <v>45778</v>
      </c>
      <c r="BR6" s="317">
        <v>45793</v>
      </c>
      <c r="BS6" s="317"/>
      <c r="BT6" s="317">
        <v>45809</v>
      </c>
      <c r="BU6" s="317">
        <v>45824</v>
      </c>
      <c r="BV6" s="317"/>
      <c r="BW6" s="317">
        <v>45839</v>
      </c>
      <c r="BX6" s="317"/>
      <c r="BY6" s="317">
        <v>45854</v>
      </c>
      <c r="BZ6" s="317"/>
      <c r="CA6" s="317">
        <v>45870</v>
      </c>
      <c r="CB6" s="317"/>
      <c r="CC6" s="317">
        <v>45885</v>
      </c>
      <c r="CD6" s="317"/>
      <c r="CE6" s="317">
        <v>45901</v>
      </c>
      <c r="CF6" s="317"/>
      <c r="CG6" s="317">
        <v>45916</v>
      </c>
      <c r="CH6" s="317"/>
      <c r="CI6" s="317">
        <v>45931</v>
      </c>
      <c r="CJ6" s="317"/>
      <c r="CK6" s="317">
        <v>45946</v>
      </c>
      <c r="CL6" s="317"/>
      <c r="CM6" s="317">
        <v>45962</v>
      </c>
      <c r="CN6" s="317"/>
      <c r="CO6" s="317">
        <v>45977</v>
      </c>
      <c r="CP6" s="317"/>
      <c r="CQ6" s="317">
        <v>45992</v>
      </c>
      <c r="CR6" s="317"/>
      <c r="CS6" s="317">
        <v>46007</v>
      </c>
      <c r="CT6" s="317"/>
      <c r="CU6" s="317">
        <v>45658</v>
      </c>
      <c r="CV6" s="317"/>
      <c r="CW6" s="572" t="s">
        <v>355</v>
      </c>
      <c r="CX6" s="328">
        <v>45672</v>
      </c>
      <c r="CY6" s="329">
        <v>45688</v>
      </c>
      <c r="CZ6" s="329">
        <v>45704</v>
      </c>
      <c r="DA6" s="329" t="s">
        <v>901</v>
      </c>
      <c r="DB6" s="329">
        <v>45731</v>
      </c>
      <c r="DC6" s="329">
        <v>45746</v>
      </c>
      <c r="DD6" s="329">
        <v>45762</v>
      </c>
      <c r="DE6" s="329">
        <v>45777</v>
      </c>
      <c r="DF6" s="329">
        <v>45792</v>
      </c>
      <c r="DG6" s="329">
        <v>45807</v>
      </c>
      <c r="DH6" s="329">
        <v>45823</v>
      </c>
      <c r="DI6" s="329">
        <v>45838</v>
      </c>
      <c r="DJ6" s="329">
        <v>45853</v>
      </c>
      <c r="DK6" s="329">
        <v>45869</v>
      </c>
      <c r="DL6" s="329">
        <v>45884</v>
      </c>
      <c r="DM6" s="329">
        <v>45900</v>
      </c>
      <c r="DN6" s="329">
        <v>45915</v>
      </c>
      <c r="DO6" s="329">
        <v>45930</v>
      </c>
      <c r="DP6" s="329">
        <v>45945</v>
      </c>
      <c r="DQ6" s="329">
        <v>45961</v>
      </c>
      <c r="DR6" s="329">
        <v>45976</v>
      </c>
      <c r="DS6" s="329">
        <v>45991</v>
      </c>
      <c r="DT6" s="329">
        <v>46006</v>
      </c>
      <c r="DU6" s="329">
        <v>46022</v>
      </c>
      <c r="DV6" s="573" t="s">
        <v>355</v>
      </c>
      <c r="DW6" s="574"/>
      <c r="DX6" s="574"/>
      <c r="DY6" s="568"/>
      <c r="DZ6" s="568"/>
    </row>
    <row r="7" spans="2:145" s="296" customFormat="1" x14ac:dyDescent="0.25">
      <c r="D7" s="325" t="s">
        <v>368</v>
      </c>
      <c r="E7" s="325" t="s">
        <v>368</v>
      </c>
      <c r="F7" s="324" t="s">
        <v>367</v>
      </c>
      <c r="G7" s="324" t="s">
        <v>367</v>
      </c>
      <c r="H7" s="324" t="s">
        <v>382</v>
      </c>
      <c r="I7" s="324" t="s">
        <v>382</v>
      </c>
      <c r="J7" s="324" t="s">
        <v>546</v>
      </c>
      <c r="K7" s="324" t="s">
        <v>546</v>
      </c>
      <c r="L7" s="324" t="s">
        <v>550</v>
      </c>
      <c r="M7" s="324" t="s">
        <v>550</v>
      </c>
      <c r="N7" s="324" t="s">
        <v>410</v>
      </c>
      <c r="O7" s="324" t="s">
        <v>410</v>
      </c>
      <c r="P7" s="324" t="s">
        <v>416</v>
      </c>
      <c r="Q7" s="324" t="s">
        <v>416</v>
      </c>
      <c r="R7" s="324" t="s">
        <v>426</v>
      </c>
      <c r="S7" s="324" t="s">
        <v>426</v>
      </c>
      <c r="T7" s="324" t="s">
        <v>448</v>
      </c>
      <c r="U7" s="324" t="s">
        <v>448</v>
      </c>
      <c r="V7" s="324" t="s">
        <v>462</v>
      </c>
      <c r="W7" s="324" t="s">
        <v>462</v>
      </c>
      <c r="X7" s="324" t="s">
        <v>466</v>
      </c>
      <c r="Y7" s="324" t="s">
        <v>466</v>
      </c>
      <c r="Z7" s="324" t="s">
        <v>469</v>
      </c>
      <c r="AA7" s="324" t="s">
        <v>469</v>
      </c>
      <c r="AB7" s="571"/>
      <c r="AC7" s="321" t="s">
        <v>368</v>
      </c>
      <c r="AD7" s="321" t="s">
        <v>368</v>
      </c>
      <c r="AE7" s="320" t="s">
        <v>367</v>
      </c>
      <c r="AF7" s="320" t="s">
        <v>367</v>
      </c>
      <c r="AG7" s="320" t="s">
        <v>382</v>
      </c>
      <c r="AH7" s="320" t="s">
        <v>382</v>
      </c>
      <c r="AI7" s="320" t="s">
        <v>546</v>
      </c>
      <c r="AJ7" s="320" t="s">
        <v>546</v>
      </c>
      <c r="AK7" s="320" t="s">
        <v>550</v>
      </c>
      <c r="AL7" s="320" t="s">
        <v>550</v>
      </c>
      <c r="AM7" s="320" t="s">
        <v>410</v>
      </c>
      <c r="AN7" s="320" t="s">
        <v>410</v>
      </c>
      <c r="AO7" s="320" t="s">
        <v>416</v>
      </c>
      <c r="AP7" s="320" t="s">
        <v>416</v>
      </c>
      <c r="AQ7" s="320" t="s">
        <v>426</v>
      </c>
      <c r="AR7" s="320" t="s">
        <v>426</v>
      </c>
      <c r="AS7" s="320" t="s">
        <v>448</v>
      </c>
      <c r="AT7" s="320" t="s">
        <v>448</v>
      </c>
      <c r="AU7" s="320" t="s">
        <v>462</v>
      </c>
      <c r="AV7" s="320" t="s">
        <v>462</v>
      </c>
      <c r="AW7" s="320" t="s">
        <v>466</v>
      </c>
      <c r="AX7" s="320" t="s">
        <v>466</v>
      </c>
      <c r="AY7" s="320" t="s">
        <v>469</v>
      </c>
      <c r="AZ7" s="320" t="s">
        <v>469</v>
      </c>
      <c r="BA7" s="575"/>
      <c r="BB7" s="316"/>
      <c r="BC7" s="316" t="s">
        <v>538</v>
      </c>
      <c r="BD7" s="317"/>
      <c r="BE7" s="317" t="s">
        <v>538</v>
      </c>
      <c r="BF7" s="317"/>
      <c r="BG7" s="317" t="s">
        <v>538</v>
      </c>
      <c r="BH7" s="317"/>
      <c r="BI7" s="317" t="s">
        <v>538</v>
      </c>
      <c r="BJ7" s="317"/>
      <c r="BK7" s="317" t="s">
        <v>538</v>
      </c>
      <c r="BL7" s="317"/>
      <c r="BM7" s="317" t="s">
        <v>538</v>
      </c>
      <c r="BN7" s="317"/>
      <c r="BO7" s="317" t="s">
        <v>538</v>
      </c>
      <c r="BP7" s="317"/>
      <c r="BQ7" s="317" t="s">
        <v>538</v>
      </c>
      <c r="BR7" s="317"/>
      <c r="BS7" s="317" t="s">
        <v>538</v>
      </c>
      <c r="BT7" s="317"/>
      <c r="BU7" s="317"/>
      <c r="BV7" s="317" t="s">
        <v>538</v>
      </c>
      <c r="BW7" s="317"/>
      <c r="BX7" s="317" t="s">
        <v>538</v>
      </c>
      <c r="BY7" s="317"/>
      <c r="BZ7" s="317" t="s">
        <v>538</v>
      </c>
      <c r="CA7" s="317"/>
      <c r="CB7" s="317" t="s">
        <v>538</v>
      </c>
      <c r="CC7" s="317"/>
      <c r="CD7" s="317" t="s">
        <v>538</v>
      </c>
      <c r="CE7" s="317"/>
      <c r="CF7" s="317" t="s">
        <v>322</v>
      </c>
      <c r="CG7" s="317"/>
      <c r="CH7" s="317" t="s">
        <v>538</v>
      </c>
      <c r="CI7" s="317"/>
      <c r="CJ7" s="317" t="s">
        <v>538</v>
      </c>
      <c r="CK7" s="317"/>
      <c r="CL7" s="317" t="s">
        <v>538</v>
      </c>
      <c r="CM7" s="317"/>
      <c r="CN7" s="317" t="s">
        <v>538</v>
      </c>
      <c r="CO7" s="317"/>
      <c r="CP7" s="317" t="s">
        <v>538</v>
      </c>
      <c r="CQ7" s="317"/>
      <c r="CR7" s="317" t="s">
        <v>538</v>
      </c>
      <c r="CS7" s="317"/>
      <c r="CT7" s="317" t="s">
        <v>538</v>
      </c>
      <c r="CU7" s="317"/>
      <c r="CV7" s="317" t="s">
        <v>538</v>
      </c>
      <c r="CW7" s="572"/>
      <c r="CX7" s="328"/>
      <c r="CY7" s="329"/>
      <c r="CZ7" s="329"/>
      <c r="DA7" s="329"/>
      <c r="DB7" s="329"/>
      <c r="DC7" s="329"/>
      <c r="DD7" s="329"/>
      <c r="DE7" s="329"/>
      <c r="DF7" s="329"/>
      <c r="DG7" s="329"/>
      <c r="DH7" s="329"/>
      <c r="DI7" s="329"/>
      <c r="DJ7" s="329"/>
      <c r="DK7" s="329"/>
      <c r="DL7" s="329" t="s">
        <v>426</v>
      </c>
      <c r="DM7" s="329" t="s">
        <v>426</v>
      </c>
      <c r="DN7" s="329" t="s">
        <v>448</v>
      </c>
      <c r="DO7" s="329" t="s">
        <v>448</v>
      </c>
      <c r="DP7" s="329" t="s">
        <v>462</v>
      </c>
      <c r="DQ7" s="329" t="s">
        <v>462</v>
      </c>
      <c r="DR7" s="329" t="s">
        <v>466</v>
      </c>
      <c r="DS7" s="329" t="s">
        <v>466</v>
      </c>
      <c r="DT7" s="329" t="s">
        <v>469</v>
      </c>
      <c r="DU7" s="329" t="s">
        <v>469</v>
      </c>
      <c r="DV7" s="573"/>
      <c r="DW7" s="574"/>
      <c r="DX7" s="574"/>
      <c r="DY7" s="568"/>
      <c r="DZ7" s="568"/>
      <c r="EC7" s="566"/>
      <c r="ED7" s="566"/>
    </row>
    <row r="8" spans="2:145" ht="15.75" x14ac:dyDescent="0.3">
      <c r="B8" s="349" t="s">
        <v>277</v>
      </c>
      <c r="C8" s="297" t="str">
        <f>VLOOKUP(B8,'Caratula 2023'!$B$8:$C$42,2,FALSE)</f>
        <v>INTERNO</v>
      </c>
      <c r="D8" s="326">
        <f>SUMIFS(Tabla110[[#All],[Venta Total]],Tabla110[[#All],[Asesor]],B8,Tabla110[[#All],[Fecha Cobranza]],"&lt;"&amp;$D$6,Tabla110[[#All],[Fecha Cobranza]],"&gt;="&amp;$B$6)</f>
        <v>0</v>
      </c>
      <c r="E8" s="326">
        <f>SUMIFS(Tabla110[[#All],[Venta Total]],Tabla110[[#All],[Asesor]],B8,Tabla110[[#All],[Fecha Cobranza]],"&lt;"&amp;$E$6,Tabla110[[#All],[Fecha Cobranza]],"&gt;="&amp;$D$6)</f>
        <v>0</v>
      </c>
      <c r="F8" s="326">
        <f>SUMIFS(Tabla110[[#All],[Venta Total]],Tabla110[[#All],[Asesor]],B8,Tabla110[[#All],[Fecha Cobranza]],"&lt;"&amp;$F$6,Tabla110[[#All],[Fecha Cobranza]],"&gt;="&amp;$E$6)</f>
        <v>0</v>
      </c>
      <c r="G8" s="326">
        <f>SUMIFS(Tabla110[[#All],[Venta Total]],Tabla110[[#All],[Asesor]],B8,Tabla110[[#All],[Fecha Cobranza]],"&lt;"&amp;$G$6,Tabla110[[#All],[Fecha Cobranza]],"&gt;="&amp;$F$6)</f>
        <v>0</v>
      </c>
      <c r="H8" s="326">
        <f>SUMIFS(Tabla110[[#All],[Venta Total]],Tabla110[[#All],[Asesor]],B8,Tabla110[[#All],[Fecha Cobranza]],"&lt;"&amp;$H$6,Tabla110[[#All],[Fecha Cobranza]],"&gt;="&amp;$G$6)</f>
        <v>0</v>
      </c>
      <c r="I8" s="326">
        <f>SUMIFS(Tabla110[[#All],[Venta Total]],Tabla110[[#All],[Asesor]],B8,Tabla110[[#All],[Fecha Cobranza]],"&lt;"&amp;$I$6,Tabla110[[#All],[Fecha Cobranza]],"&gt;="&amp;$H$6)</f>
        <v>0</v>
      </c>
      <c r="J8" s="326">
        <f>SUMIFS(Tabla110[[#All],[Venta Total]],Tabla110[[#All],[Asesor]],B8,Tabla110[[#All],[Fecha Cobranza]],"&lt;"&amp;$J$6,Tabla110[[#All],[Fecha Cobranza]],"&gt;="&amp;$I$6)</f>
        <v>0</v>
      </c>
      <c r="K8" s="326">
        <f>SUMIFS(Tabla110[[#All],[Venta Total]],Tabla110[[#All],[Asesor]],B8,Tabla110[[#All],[Fecha Cobranza]],"&lt;"&amp;$K$6,Tabla110[[#All],[Fecha Cobranza]],"&gt;="&amp;$J$6)</f>
        <v>0</v>
      </c>
      <c r="L8" s="326">
        <f>SUMIFS(Tabla110[[#All],[Venta Total]],Tabla110[[#All],[Asesor]],B8,Tabla110[[#All],[Fecha Cobranza]],"&lt;"&amp;$L$6,Tabla110[[#All],[Fecha Cobranza]],"&gt;="&amp;$K$6)</f>
        <v>0</v>
      </c>
      <c r="M8" s="326">
        <f>SUMIFS(Tabla110[[#All],[Venta Total]],Tabla110[[#All],[Asesor]],B8,Tabla110[[#All],[Fecha Cobranza]],"&lt;"&amp;$M$6,Tabla110[[#All],[Fecha Cobranza]],"&gt;="&amp;$L$6)</f>
        <v>0</v>
      </c>
      <c r="N8" s="326">
        <f>SUMIFS(Tabla110[[#All],[Venta Total]],Tabla110[[#All],[Asesor]],B8,Tabla110[[#All],[Fecha Cobranza]],"&lt;"&amp;$N$6,Tabla110[[#All],[Fecha Cobranza]],"&gt;="&amp;$M$6)</f>
        <v>0</v>
      </c>
      <c r="O8" s="326">
        <f>SUMIFS(Tabla110[[#All],[Venta Total]],Tabla110[[#All],[Asesor]],B8,Tabla110[[#All],[Fecha Cobranza]],"&lt;"&amp;$O$6,Tabla110[[#All],[Fecha Cobranza]],"&gt;="&amp;$N$6)</f>
        <v>0</v>
      </c>
      <c r="P8" s="326">
        <f>SUMIFS(Tabla110[[#All],[Venta Total]],Tabla110[[#All],[Asesor]],B8,Tabla110[[#All],[Fecha Cobranza]],"&lt;"&amp;$P$6,Tabla110[[#All],[Fecha Cobranza]],"&gt;="&amp;$O$6)</f>
        <v>0</v>
      </c>
      <c r="Q8" s="326">
        <f>SUMIFS(Tabla110[[#All],[Venta Total]],Tabla110[[#All],[Asesor]],B8,Tabla110[[#All],[Fecha Cobranza]],"&lt;"&amp;$Q$6,Tabla110[[#All],[Fecha Cobranza]],"&gt;="&amp;$P$6)</f>
        <v>0</v>
      </c>
      <c r="R8" s="326">
        <f>SUMIFS(Tabla110[[#All],[Venta Total]],Tabla110[[#All],[Asesor]],B8,Tabla110[[#All],[Fecha Cobranza]],"&lt;"&amp;$R$6,Tabla110[[#All],[Fecha Cobranza]],"&gt;="&amp;$Q$6)</f>
        <v>0</v>
      </c>
      <c r="S8" s="326">
        <f>SUMIFS(Tabla110[[#All],[Venta Total]],Tabla110[[#All],[Asesor]],B8,Tabla110[[#All],[Fecha Cobranza]],"&lt;"&amp;$S$6,Tabla110[[#All],[Fecha Cobranza]],"&gt;="&amp;$R$6)</f>
        <v>0</v>
      </c>
      <c r="T8" s="326">
        <f>SUMIFS(Tabla110[[#All],[Venta Total]],Tabla110[[#All],[Asesor]],$B8,Tabla110[[#All],[Fecha Cobranza]],"&lt;"&amp;T$6,Tabla110[[#All],[Fecha Cobranza]],"&gt;="&amp;S$6)</f>
        <v>0</v>
      </c>
      <c r="U8" s="326">
        <f>SUMIFS(Tabla110[[#All],[Venta Total]],Tabla110[[#All],[Asesor]],$B8,Tabla110[[#All],[Fecha Cobranza]],"&lt;"&amp;U$6,Tabla110[[#All],[Fecha Cobranza]],"&gt;="&amp;T$6)</f>
        <v>0</v>
      </c>
      <c r="V8" s="326">
        <f>SUMIFS(Tabla110[[#All],[Venta Total]],Tabla110[[#All],[Asesor]],$B8,Tabla110[[#All],[Fecha Cobranza]],"&lt;"&amp;V$6,Tabla110[[#All],[Fecha Cobranza]],"&gt;="&amp;U$6)</f>
        <v>0</v>
      </c>
      <c r="W8" s="326">
        <f>SUMIFS(Tabla110[[#All],[Venta Total]],Tabla110[[#All],[Asesor]],$B8,Tabla110[[#All],[Fecha Cobranza]],"&lt;"&amp;W$6,Tabla110[[#All],[Fecha Cobranza]],"&gt;="&amp;V$6)</f>
        <v>0</v>
      </c>
      <c r="X8" s="326">
        <f>SUMIFS(Tabla110[[#All],[Venta Total]],Tabla110[[#All],[Asesor]],$B8,Tabla110[[#All],[Fecha Cobranza]],"&lt;"&amp;X$6,Tabla110[[#All],[Fecha Cobranza]],"&gt;="&amp;W$6)</f>
        <v>0</v>
      </c>
      <c r="Y8" s="326">
        <f>SUMIFS(Tabla110[[#All],[Venta Total]],Tabla110[[#All],[Asesor]],$B8,Tabla110[[#All],[Fecha Cobranza]],"&lt;"&amp;Y$6,Tabla110[[#All],[Fecha Cobranza]],"&gt;="&amp;X$6)</f>
        <v>0</v>
      </c>
      <c r="Z8" s="326">
        <f>SUMIFS(Tabla110[[#All],[Venta Total]],Tabla110[[#All],[Asesor]],$B8,Tabla110[[#All],[Fecha Cobranza]],"&lt;"&amp;Z$6,Tabla110[[#All],[Fecha Cobranza]],"&gt;="&amp;Y$6)</f>
        <v>1053628.7308</v>
      </c>
      <c r="AA8" s="326">
        <f>SUMIFS(Tabla110[[#All],[Venta Total]],Tabla110[[#All],[Asesor]],$B8,Tabla110[[#All],[Fecha Cobranza]],"&lt;"&amp;AA$6,Tabla110[[#All],[Fecha Cobranza]],"&gt;="&amp;Z$6)</f>
        <v>0</v>
      </c>
      <c r="AB8" s="327">
        <f t="shared" ref="AB8:AB55" si="0">SUM(D8:AA8)</f>
        <v>1053628.7308</v>
      </c>
      <c r="AC8" s="322">
        <f>SUMIFS(Tabla110[[#All],[Utilidad Bruta Total]],Tabla110[[#All],[Asesor]],B8,Tabla110[[#All],[Fecha Cobranza]],"&lt;"&amp;$AC$6,Tabla110[[#All],[Fecha Cobranza]],"&gt;="&amp;$B$6)</f>
        <v>0</v>
      </c>
      <c r="AD8" s="322">
        <f>SUMIFS(Tabla110[[#All],[Utilidad Bruta Total]],Tabla110[[#All],[Asesor]],B8,Tabla110[[#All],[Fecha Cobranza]],"&lt;"&amp;$AD$6,Tabla110[[#All],[Fecha Cobranza]],"&gt;="&amp;$AC$6)</f>
        <v>0</v>
      </c>
      <c r="AE8" s="322">
        <f>SUMIFS(Tabla110[[#All],[Utilidad Bruta Total]],Tabla110[[#All],[Asesor]],B8,Tabla110[[#All],[Fecha Cobranza]],"&lt;"&amp;$AE$6,Tabla110[[#All],[Fecha Cobranza]],"&gt;="&amp;$AD$6)</f>
        <v>0</v>
      </c>
      <c r="AF8" s="322">
        <f>SUMIFS(Tabla110[[#All],[Utilidad Bruta Total]],Tabla110[[#All],[Asesor]],B8,Tabla110[[#All],[Fecha Cobranza]],"&lt;"&amp;$AF$6,Tabla110[[#All],[Fecha Cobranza]],"&gt;="&amp;$AE$6)</f>
        <v>0</v>
      </c>
      <c r="AG8" s="322">
        <f>SUMIFS(Tabla110[[#All],[Utilidad Bruta Total]],Tabla110[[#All],[Asesor]],B8,Tabla110[[#All],[Fecha Cobranza]],"&lt;"&amp;$AG$6,Tabla110[[#All],[Fecha Cobranza]],"&gt;="&amp;$AF$6)</f>
        <v>0</v>
      </c>
      <c r="AH8" s="322">
        <f>SUMIFS(Tabla110[[#All],[Utilidad Bruta Total]],Tabla110[[#All],[Asesor]],B8,Tabla110[[#All],[Fecha Cobranza]],"&lt;"&amp;$AH$6,Tabla110[[#All],[Fecha Cobranza]],"&gt;="&amp;$AG$6)</f>
        <v>0</v>
      </c>
      <c r="AI8" s="322">
        <f>SUMIFS(Tabla110[[#All],[Utilidad Bruta Total]],Tabla110[[#All],[Asesor]],B8,Tabla110[[#All],[Fecha Cobranza]],"&lt;"&amp;$AI$6,Tabla110[[#All],[Fecha Cobranza]],"&gt;="&amp;$AH$6)</f>
        <v>0</v>
      </c>
      <c r="AJ8" s="322">
        <f>SUMIFS(Tabla110[[#All],[Utilidad Bruta Total]],Tabla110[[#All],[Asesor]],B8,Tabla110[[#All],[Fecha Cobranza]],"&lt;"&amp;$AJ$6,Tabla110[[#All],[Fecha Cobranza]],"&gt;="&amp;$AI$6)</f>
        <v>0</v>
      </c>
      <c r="AK8" s="322">
        <f>SUMIFS(Tabla110[[#All],[Utilidad Bruta Total]],Tabla110[[#All],[Asesor]],B8,Tabla110[[#All],[Fecha Cobranza]],"&lt;"&amp;$AK$6,Tabla110[[#All],[Fecha Cobranza]],"&gt;="&amp;$AJ$6)</f>
        <v>0</v>
      </c>
      <c r="AL8" s="322">
        <f>SUMIFS(Tabla110[[#All],[Utilidad Bruta Total]],Tabla110[[#All],[Asesor]],B8,Tabla110[[#All],[Fecha Cobranza]],"&lt;"&amp;$AL$6,Tabla110[[#All],[Fecha Cobranza]],"&gt;="&amp;$AK$6)</f>
        <v>0</v>
      </c>
      <c r="AM8" s="322">
        <f>SUMIFS(Tabla110[[#All],[Utilidad Bruta Total]],Tabla110[[#All],[Asesor]],B8,Tabla110[[#All],[Fecha Cobranza]],"&lt;"&amp;$AM$6,Tabla110[[#All],[Fecha Cobranza]],"&gt;="&amp;$AL$6)</f>
        <v>0</v>
      </c>
      <c r="AN8" s="322">
        <f>SUMIFS(Tabla110[[#All],[Utilidad Bruta Total]],Tabla110[[#All],[Asesor]],B8,Tabla110[[#All],[Fecha Cobranza]],"&lt;"&amp;$AN$6,Tabla110[[#All],[Fecha Cobranza]],"&gt;="&amp;$AM$6)</f>
        <v>0</v>
      </c>
      <c r="AO8" s="322">
        <f>SUMIFS(Tabla110[[#All],[Utilidad Bruta Total]],Tabla110[[#All],[Asesor]],B8,Tabla110[[#All],[Fecha Cobranza]],"&lt;"&amp;$AO$6,Tabla110[[#All],[Fecha Cobranza]],"&gt;="&amp;$AN$6)</f>
        <v>0</v>
      </c>
      <c r="AP8" s="322">
        <f>SUMIFS(Tabla110[[#All],[Utilidad Bruta Total]],Tabla110[[#All],[Asesor]],B8,Tabla110[[#All],[Fecha Cobranza]],"&lt;"&amp;$AP$6,Tabla110[[#All],[Fecha Cobranza]],"&gt;="&amp;$AO$6)</f>
        <v>0</v>
      </c>
      <c r="AQ8" s="322">
        <f>SUMIFS(Tabla110[[#All],[Utilidad Bruta Total]],Tabla110[[#All],[Asesor]],B8,Tabla110[[#All],[Fecha Cobranza]],"&lt;"&amp;$AQ$6,Tabla110[[#All],[Fecha Cobranza]],"&gt;="&amp;$AP$6)</f>
        <v>0</v>
      </c>
      <c r="AR8" s="322">
        <f>SUMIFS(Tabla110[[#All],[Utilidad Bruta Total]],Tabla110[[#All],[Asesor]],B8,Tabla110[[#All],[Fecha Cobranza]],"&lt;"&amp;$AR$6,Tabla110[[#All],[Fecha Cobranza]],"&gt;="&amp;$AQ$6)</f>
        <v>0</v>
      </c>
      <c r="AS8" s="322">
        <f>SUMIFS(Tabla110[[#All],[Utilidad Bruta Total]],Tabla110[[#All],[Asesor]],$B8,Tabla110[[#All],[Fecha Cobranza]],"&lt;"&amp;AS$6,Tabla110[[#All],[Fecha Cobranza]],"&gt;="&amp;AR$6)</f>
        <v>0</v>
      </c>
      <c r="AT8" s="322">
        <f>SUMIFS(Tabla110[[#All],[Utilidad Bruta Total]],Tabla110[[#All],[Asesor]],$B8,Tabla110[[#All],[Fecha Cobranza]],"&lt;"&amp;AT$6,Tabla110[[#All],[Fecha Cobranza]],"&gt;="&amp;AS$6)</f>
        <v>0</v>
      </c>
      <c r="AU8" s="322">
        <f>SUMIFS(Tabla110[[#All],[Utilidad Bruta Total]],Tabla110[[#All],[Asesor]],$B8,Tabla110[[#All],[Fecha Cobranza]],"&lt;"&amp;AU$6,Tabla110[[#All],[Fecha Cobranza]],"&gt;="&amp;AT$6)</f>
        <v>0</v>
      </c>
      <c r="AV8" s="322">
        <f>SUMIFS(Tabla110[[#All],[Utilidad Bruta Total]],Tabla110[[#All],[Asesor]],$B8,Tabla110[[#All],[Fecha Cobranza]],"&lt;"&amp;AV$6,Tabla110[[#All],[Fecha Cobranza]],"&gt;="&amp;AU$6)</f>
        <v>0</v>
      </c>
      <c r="AW8" s="322">
        <f>SUMIFS(Tabla110[[#All],[Utilidad Bruta Total]],Tabla110[[#All],[Asesor]],$B8,Tabla110[[#All],[Fecha Cobranza]],"&lt;"&amp;AW$6,Tabla110[[#All],[Fecha Cobranza]],"&gt;="&amp;AV$6)</f>
        <v>0</v>
      </c>
      <c r="AX8" s="322">
        <f>SUMIFS(Tabla110[[#All],[Utilidad Bruta Total]],Tabla110[[#All],[Asesor]],$B8,Tabla110[[#All],[Fecha Cobranza]],"&lt;"&amp;AX$6,Tabla110[[#All],[Fecha Cobranza]],"&gt;="&amp;AW$6)</f>
        <v>0</v>
      </c>
      <c r="AY8" s="322" t="e">
        <f>SUMIFS(Tabla110[[#All],[Utilidad Bruta Total]],Tabla110[[#All],[Asesor]],$B8,Tabla110[[#All],[Fecha Cobranza]],"&lt;"&amp;AY$6,Tabla110[[#All],[Fecha Cobranza]],"&gt;="&amp;AX$6)</f>
        <v>#N/A</v>
      </c>
      <c r="AZ8" s="322">
        <f>SUMIFS(Tabla110[[#All],[Utilidad Bruta Total]],Tabla110[[#All],[Asesor]],$B8,Tabla110[[#All],[Fecha Cobranza]],"&lt;"&amp;AZ$6,Tabla110[[#All],[Fecha Cobranza]],"&gt;="&amp;AY$6)</f>
        <v>0</v>
      </c>
      <c r="BA8" s="323" t="e">
        <f t="shared" ref="BA8:BA55" si="1">SUM(AC8:AZ8)</f>
        <v>#N/A</v>
      </c>
      <c r="BB8" s="318">
        <f t="shared" ref="BB8:BB27" si="2">AC8*(IF($C8="INTERNO",IF(D8&gt;=$EG$16,$EI$16,IF(D8&gt;=$EG$15,$EI$15,IF(D8&gt;=$EG$14,$EI$14,IF(D8&gt;=$EG$13,$EI$13,IF(D8&gt;=$EG$12,$EI$12,IF(D8&gt;=$EG$11,$EI$11,IF(D8&gt;=$EG$10,$EI$10,0))))))),IF(D8&gt;=$EG$16,$EJ$16,IF(D8&gt;=$EG$15,$EJ$15,IF(D8&gt;=$EG$14,$EJ$14,IF(D8&gt;=$EG$13,$EJ$13,IF(D8&gt;=$EG$12,$EJ$12,IF(D8&gt;=$EG$11,$EJ$11,IF(D8&gt;=$EG$10,$EJ$10,0)))))))))</f>
        <v>0</v>
      </c>
      <c r="BC8" s="318">
        <f>(SUM(BB25,BB54,BB11)*0.3)</f>
        <v>0</v>
      </c>
      <c r="BD8" s="318">
        <f t="shared" ref="BD8:BD27" si="3">AD8*(IF($C8="INTERNO",IF(E8&gt;=$EG$16,$EI$16,IF(E8&gt;=$EG$15,$EI$15,IF(E8&gt;=$EG$14,$EI$14,IF(E8&gt;=$EG$13,$EI$13,IF(E8&gt;=$EG$12,$EI$12,IF(E8&gt;=$EG$11,$EI$11,IF(E8&gt;=$EG$10,$EI$10,0))))))),IF(E8&gt;=$EG$16,$EJ$16,IF(E8&gt;=$EG$15,$EJ$15,IF(E8&gt;=$EG$14,$EJ$14,IF(E8&gt;=$EG$13,$EJ$13,IF(E8&gt;=$EG$12,$EJ$12,IF(E8&gt;=$EG$11,$EJ$11,IF(E8&gt;=$EG$10,$EJ$10,0)))))))))</f>
        <v>0</v>
      </c>
      <c r="BE8" s="318">
        <f>(SUM(BB25:BD25,BB54:BD54,BB11:BD11,BB33:BD33)*0.2)</f>
        <v>0</v>
      </c>
      <c r="BF8" s="318">
        <f t="shared" ref="BF8:BF27" si="4">AE8*(IF($C8="INTERNO",IF(F8&gt;=$EG$16,$EI$16,IF(F8&gt;=$EG$15,$EI$15,IF(F8&gt;=$EG$14,$EI$14,IF(F8&gt;=$EG$13,$EI$13,IF(F8&gt;=$EG$12,$EI$12,IF(F8&gt;=$EG$11,$EI$11,IF(F8&gt;=$EG$10,$EI$10,0))))))),IF(F8&gt;=$EG$16,$EJ$16,IF(F8&gt;=$EG$15,$EJ$15,IF(F8&gt;=$EG$14,$EJ$14,IF(F8&gt;=$EG$13,$EJ$13,IF(F8&gt;=$EG$12,$EJ$12,IF(F8&gt;=$EG$11,$EJ$11,IF(F8&gt;=$EG$10,$EJ$10,0)))))))))</f>
        <v>0</v>
      </c>
      <c r="BG8" s="318">
        <f>(SUM(BF25,BF54,BF11,BF33)*0.3)</f>
        <v>0</v>
      </c>
      <c r="BH8" s="318">
        <f t="shared" ref="BH8:BH27" si="5">AF8*(IF($C8="INTERNO",IF(G8&gt;=$EG$16,$EI$16,IF(G8&gt;=$EG$15,$EI$15,IF(G8&gt;=$EG$14,$EI$14,IF(G8&gt;=$EG$13,$EI$13,IF(G8&gt;=$EG$12,$EI$12,IF(G8&gt;=$EG$11,$EI$11,IF(G8&gt;=$EG$10,$EI$10,0))))))),IF(G8&gt;=$EG$16,$EJ$16,IF(G8&gt;=$EG$15,$EJ$15,IF(G8&gt;=$EG$14,$EJ$14,IF(G8&gt;=$EG$13,$EJ$13,IF(G8&gt;=$EG$12,$EJ$12,IF(G8&gt;=$EG$11,$EJ$11,IF(G8&gt;=$EG$10,$EJ$10,0)))))))))</f>
        <v>0</v>
      </c>
      <c r="BI8" s="318">
        <f>(SUM(BF25:BH25,BF54:BH54,BF11:BH11,BF33:BH33)*0.2)</f>
        <v>0</v>
      </c>
      <c r="BJ8" s="318">
        <f t="shared" ref="BJ8:BJ27" si="6">AG8*(IF($C8="INTERNO",IF(H8&gt;=$EG$16,$EI$16,IF(H8&gt;=$EG$15,$EI$15,IF(H8&gt;=$EG$14,$EI$14,IF(H8&gt;=$EG$13,$EI$13,IF(H8&gt;=$EG$12,$EI$12,IF(H8&gt;=$EG$11,$EI$11,IF(H8&gt;=$EG$10,$EI$10,0))))))),IF(H8&gt;=$EG$16,$EJ$16,IF(H8&gt;=$EG$15,$EJ$15,IF(H8&gt;=$EG$14,$EJ$14,IF(H8&gt;=$EG$13,$EJ$13,IF(H8&gt;=$EG$12,$EJ$12,IF(H8&gt;=$EG$11,$EJ$11,IF(H8&gt;=$EG$10,$EJ$10,0)))))))))</f>
        <v>0</v>
      </c>
      <c r="BK8" s="318">
        <f>(SUM(BJ25,BJ54,BJ11,BJ33)*0.3)</f>
        <v>0</v>
      </c>
      <c r="BL8" s="318">
        <f t="shared" ref="BL8:BL27" si="7">AH8*(IF($C8="INTERNO",IF(I8&gt;=$EG$16,$EI$16,IF(I8&gt;=$EG$15,$EI$15,IF(I8&gt;=$EG$14,$EI$14,IF(I8&gt;=$EG$13,$EI$13,IF(I8&gt;=$EG$12,$EI$12,IF(I8&gt;=$EG$11,$EI$11,IF(I8&gt;=$EG$10,$EI$10,0))))))),IF(I8&gt;=$EG$16,$EJ$16,IF(I8&gt;=$EG$15,$EJ$15,IF(I8&gt;=$EG$14,$EJ$14,IF(I8&gt;=$EG$13,$EJ$13,IF(I8&gt;=$EG$12,$EJ$12,IF(I8&gt;=$EG$11,$EJ$11,IF(I8&gt;=$EG$10,$EJ$10,0)))))))))</f>
        <v>0</v>
      </c>
      <c r="BM8" s="318">
        <f>(SUM(BJ25:BL25,BJ54:BL54,BJ11:BL11,BJ33:BL33)*0.2)</f>
        <v>0</v>
      </c>
      <c r="BN8" s="318">
        <f t="shared" ref="BN8:BN27" si="8">AI8*(IF($C8="INTERNO",IF(J8&gt;=$EG$16,$EI$16,IF(J8&gt;=$EG$15,$EI$15,IF(J8&gt;=$EG$14,$EI$14,IF(J8&gt;=$EG$13,$EI$13,IF(J8&gt;=$EG$12,$EI$12,IF(J8&gt;=$EG$11,$EI$11,IF(J8&gt;=$EG$10,$EI$10,0))))))),IF(J8&gt;=$EG$16,$EJ$16,IF(J8&gt;=$EG$15,$EJ$15,IF(J8&gt;=$EG$14,$EJ$14,IF(J8&gt;=$EG$13,$EJ$13,IF(J8&gt;=$EG$12,$EJ$12,IF(J8&gt;=$EG$11,$EJ$11,IF(J8&gt;=$EG$10,$EJ$10,0)))))))))</f>
        <v>0</v>
      </c>
      <c r="BO8" s="318">
        <f>(SUM(BN25,BN54,BN11)*0.3)</f>
        <v>0</v>
      </c>
      <c r="BP8" s="318">
        <f t="shared" ref="BP8:BP27" si="9">AJ8*(IF($C8="INTERNO",IF(K8&gt;=$EG$16,$EI$16,IF(K8&gt;=$EG$15,$EI$15,IF(K8&gt;=$EG$14,$EI$14,IF(K8&gt;=$EG$13,$EI$13,IF(K8&gt;=$EG$12,$EI$12,IF(K8&gt;=$EG$11,$EI$11,IF(K8&gt;=$EG$10,$EI$10,0))))))),IF(K8&gt;=$EG$16,$EJ$16,IF(K8&gt;=$EG$15,$EJ$15,IF(K8&gt;=$EG$14,$EJ$14,IF(K8&gt;=$EG$13,$EJ$13,IF(K8&gt;=$EG$12,$EJ$12,IF(K8&gt;=$EG$11,$EJ$11,IF(K8&gt;=$EG$10,$EJ$10,0)))))))))</f>
        <v>0</v>
      </c>
      <c r="BQ8" s="318">
        <f>(SUM(BP25,BP54,BP11)*0.3)</f>
        <v>0</v>
      </c>
      <c r="BR8" s="318">
        <f t="shared" ref="BR8:BR27" si="10">AK8*(IF(C8="INTERNO",IF(L8&gt;=$EG$16,$EI$16,IF(L8&gt;=$EG$15,$EI$15,IF(L8&gt;=$EG$14,$EI$14,IF(L8&gt;=$EG$13,$EI$13,IF(L8&gt;=$EG$12,$EI$12,IF(L8&gt;=$EG$11,$EI$11,IF(L8&gt;=$EG$10,$EI$10,0))))))),IF(L8&gt;=$EG$16,$EJ$16,IF(L8&gt;=$EG$15,$EJ$15,IF(L8&gt;=$EG$14,$EJ$14,IF(L8&gt;=$EG$13,$EJ$13,IF(L8&gt;=$EG$12,$EJ$12,IF(L8&gt;=$EG$11,$EJ$11,IF(L8&gt;=$EG$10,$EJ$10,0)))))))))</f>
        <v>0</v>
      </c>
      <c r="BS8" s="318">
        <f>(SUM(BR25,BR54,BR11)*0.3)</f>
        <v>0</v>
      </c>
      <c r="BT8" s="318">
        <f t="shared" ref="BT8:BT26" si="11">((AK8+AL8)*(IF(C8="INTERNO",IF((L8+M8)&gt;=$EG$16,$EI$16,IF((L8+M8)&gt;=$EG$15,$EI$15,IF((L8+M8)&gt;=$EG$14,$EI$14,IF((L8+M8)&gt;=$EG$13,$EI$13,IF((L8+M8)&gt;=$EG$12,$EI$12,IF((L8+M8)&gt;=$EG$11,$EI$11,IF((L8+M8)&gt;=$EG$10,$EI$10,0))))))),IF((L8+M8)&gt;=$EG$16,$EJ$16,IF((L8+M8)&gt;=$EG$15,$EJ$15,IF((L8+M8)&gt;=$EG$14,$EJ$14,IF((L8+M8)&gt;=$EG$13,$EJ$13,IF((L8+M8)&gt;=$EG$12,$EJ$12,IF((L8+M8)&gt;=$EG$11,$EJ$11,IF((L8+M8)&gt;=$EG$10,$EJ$10,0))))))))))-BR8</f>
        <v>0</v>
      </c>
      <c r="BU8" s="318">
        <f t="shared" ref="BU8:BU26" si="12">AM8*(IF(C8="INTERNO",IF(N8&gt;=$EG$16,$EI$16,IF(N8&gt;=$EG$15,$EI$15,IF(N8&gt;=$EG$14,$EI$14,IF(N8&gt;=$EG$13,$EI$13,IF(N8&gt;=$EG$12,$EI$12,IF(N8&gt;=$EG$11,$EI$11,IF(N8&gt;=$EG$10,$EI$10,0))))))),IF(N8&gt;=$EG$16,$EJ$16,IF(N8&gt;=$EG$15,$EJ$15,IF(N8&gt;=$EG$14,$EJ$14,IF(N8&gt;=$EG$13,$EJ$13,IF(N8&gt;=$EG$12,$EJ$12,IF(N8&gt;=$EG$11,$EJ$11,IF(N8&gt;=$EG$10,$EJ$10,0)))))))))</f>
        <v>0</v>
      </c>
      <c r="BV8" s="318">
        <f>(SUM(BU25,BU54,BU11)*0.3)</f>
        <v>0</v>
      </c>
      <c r="BW8" s="318">
        <f t="shared" ref="BW8:BW18" si="13">((AM8+AN8)*(IF(C8="INTERNO",IF((N8+O8)&gt;=$EG$16,$EI$16,IF((N8+O8)&gt;=$EG$15,$EI$15,IF((N8+O8)&gt;=$EG$14,$EI$14,IF((N8+O8)&gt;=$EG$13,$EI$13,IF((N8+O8)&gt;=$EG$12,$EI$12,IF((N8+O8)&gt;=$EG$11,$EI$11,IF((N8+O8)&gt;=$EG$10,$EI$10,0))))))),IF((N8+O8)&gt;=$EG$16,$EJ$16,IF((N8+O8)&gt;=$EG$15,$EJ$15,IF((N8+O8)&gt;=$EG$14,$EJ$14,IF((N8+O8)&gt;=$EG$13,$EJ$13,IF((N8+O8)&gt;=$EG$12,$EJ$12,IF((N8+O8)&gt;=$EG$11,$EJ$11,IF((N8+O8)&gt;=$EG$10,$EJ$10,0))))))))))-BU8</f>
        <v>0</v>
      </c>
      <c r="BX8" s="318">
        <f>(SUM(BW25,BW54,BW11)+SUM(BU11,BU25,BU54))*0.2</f>
        <v>0</v>
      </c>
      <c r="BY8" s="318">
        <f t="shared" ref="BY8:BY27" si="14">AO8*(IF(C8="INTERNO",IF(P8&gt;=$EG$16,$EI$16,IF(P8&gt;=$EG$15,$EI$15,IF(P8&gt;=$EG$14,$EI$14,IF(P8&gt;=$EG$13,$EI$13,IF(P8&gt;=$EG$12,$EI$12,IF(P8&gt;=$EG$11,$EI$11,IF(P8&gt;=$EG$10,$EI$10,0))))))),IF(P8&gt;=$EG$16,$EJ$16,IF(P8&gt;=$EG$15,$EJ$15,IF(P8&gt;=$EG$14,$EJ$14,IF(P8&gt;=$EG$13,$EJ$13,IF(P8&gt;=$EG$12,$EJ$12,IF(P8&gt;=$EG$11,$EJ$11,IF(P8&gt;=$EG$10,$EJ$10,0)))))))))</f>
        <v>0</v>
      </c>
      <c r="BZ8" s="318">
        <f>(SUM(BY25,BY54,BY11,BY33)*0.3)</f>
        <v>0</v>
      </c>
      <c r="CA8" s="318">
        <f t="shared" ref="CA8:CA27" si="15">((AO8+AP8)*(IF(C8="INTERNO",IF((P8+Q8)&gt;=$EG$16,$EI$16,IF((P8+Q8)&gt;=$EG$15,$EI$15,IF((P8+Q8)&gt;=$EG$14,$EI$14,IF((P8+Q8)&gt;=$EG$13,$EI$13,IF((P8+Q8)&gt;=$EG$12,$EI$12,IF((P8+Q8)&gt;=$EG$11,$EI$11,IF((P8+Q8)&gt;=$EG$10,$EI$10,0))))))),IF((P8+Q8)&gt;=$EG$16,$EJ$16,IF((P8+Q8)&gt;=$EG$15,$EJ$15,IF((P8+Q8)&gt;=$EG$14,$EJ$14,IF((P8+Q8)&gt;=$EG$13,$EJ$13,IF((P8+Q8)&gt;=$EG$12,$EJ$12,IF((P8+Q8)&gt;=$EG$11,$EJ$11,IF((P8+Q8)&gt;=$EG$10,$EJ$10,0))))))))))-BY8</f>
        <v>0</v>
      </c>
      <c r="CB8" s="318">
        <f>(SUM(CA25,CA54,CA11,CA33)+SUM(BY11,BY25,BY54,BY33))*0.2</f>
        <v>0</v>
      </c>
      <c r="CC8" s="318">
        <f t="shared" ref="CC8:CC27" si="16">AQ8*(IF(C8="INTERNO",IF(R8&gt;=$EG$16,$EI$16,IF(R8&gt;=$EG$15,$EI$15,IF(R8&gt;=$EG$14,$EI$14,IF(R8&gt;=$EG$13,$EI$13,IF(R8&gt;=$EG$12,$EI$12,IF(R8&gt;=$EG$11,$EI$11,IF(R8&gt;=$EG$10,$EI$10,0))))))),IF(R8&gt;=$EG$16,$EJ$16,IF(R8&gt;=$EG$15,$EJ$15,IF(R8&gt;=$EG$14,$EJ$14,IF(R8&gt;=$EG$13,$EJ$13,IF(R8&gt;=$EG$12,$EJ$12,IF(R8&gt;=$EG$11,$EJ$11,IF(R8&gt;=$EG$10,$EJ$10,0)))))))))</f>
        <v>0</v>
      </c>
      <c r="CD8" s="318">
        <f>(SUM(CC25,CC54,CC11)*0.3)</f>
        <v>0</v>
      </c>
      <c r="CE8" s="318">
        <f t="shared" ref="CE8:CE27" si="17">((AQ8+AR8)*(IF(C8="INTERNO",IF((R8+S8)&gt;=$EG$16,$EI$16,IF((R8+S8)&gt;=$EG$15,$EI$15,IF((R8+S8)&gt;=$EG$14,$EI$14,IF((R8+S8)&gt;=$EG$13,$EI$13,IF((R8+S8)&gt;=$EG$12,$EI$12,IF((R8+S8)&gt;=$EG$11,$EI$11,IF((R8+S8)&gt;=$EG$10,$EI$10,0))))))),IF((R8+S8)&gt;=$EG$16,$EJ$16,IF((R8+S8)&gt;=$EG$15,$EJ$15,IF((R8+S8)&gt;=$EG$14,$EJ$14,IF((R8+S8)&gt;=$EG$13,$EJ$13,IF((R8+S8)&gt;=$EG$12,$EJ$12,IF((R8+S8)&gt;=$EG$11,$EJ$11,IF((R8+S8)&gt;=$EG$10,$EJ$10,0))))))))))-CC8</f>
        <v>0</v>
      </c>
      <c r="CF8" s="318">
        <f>(SUM(CE25,CE54,CE11)*0.3)</f>
        <v>0</v>
      </c>
      <c r="CG8" s="318">
        <f t="shared" ref="CG8:CG27" si="18">AS8*(IF(C8="INTERNO",IF(T8&gt;=$EG$16,$EI$16,IF(T8&gt;=$EG$15,$EI$15,IF(T8&gt;=$EG$14,$EI$14,IF(T8&gt;=$EG$13,$EI$13,IF(T8&gt;=$EG$12,$EI$12,IF(T8&gt;=$EG$11,$EI$11,IF(T8&gt;=$EG$10,$EI$10,0))))))),IF(T8&gt;=$EG$16,$EJ$16,IF(T8&gt;=$EG$15,$EJ$15,IF(T8&gt;=$EG$14,$EJ$14,IF(T8&gt;=$EG$13,$EJ$13,IF(T8&gt;=$EG$12,$EJ$12,IF(T8&gt;=$EG$11,$EJ$11,IF(T8&gt;=$EG$10,$EJ$10,0)))))))))</f>
        <v>0</v>
      </c>
      <c r="CH8" s="318">
        <f>(SUM(CG25,CG54,CG11)*0.3)</f>
        <v>0</v>
      </c>
      <c r="CI8" s="318">
        <f t="shared" ref="CI8:CI27" si="19">AT8*(IF(C8="INTERNO",IF(U8&gt;=$EG$16,$EI$16,IF(U8&gt;=$EG$15,$EI$15,IF(U8&gt;=$EG$14,$EI$14,IF(U8&gt;=$EG$13,$EI$13,IF(U8&gt;=$EG$12,$EI$12,IF(U8&gt;=$EG$11,$EI$11,IF(U8&gt;=$EG$10,$EI$10,0))))))),IF(U8&gt;=$EG$16,$EJ$16,IF(U8&gt;=$EG$15,$EJ$15,IF(U8&gt;=$EG$14,$EJ$14,IF(U8&gt;=$EG$13,$EJ$13,IF(U8&gt;=$EG$12,$EJ$12,IF(U8&gt;=$EG$11,$EJ$11,IF(U8&gt;=$EG$10,$EJ$10,0)))))))))</f>
        <v>0</v>
      </c>
      <c r="CJ8" s="318">
        <f>(SUM(CI25,CI54,CI11)*0.3)</f>
        <v>0</v>
      </c>
      <c r="CK8" s="318">
        <f t="shared" ref="CK8:CK27" si="20">AU8*(IF($C8="INTERNO",IF(V8&gt;=$EG$16,$EI$16,IF(V8&gt;=$EG$15,$EI$15,IF(V8&gt;=$EG$14,$EI$14,IF(V8&gt;=$EG$13,$EI$13,IF(V8&gt;=$EG$12,$EI$12,IF(V8&gt;=$EG$11,$EI$11,IF(V8&gt;=$EG$10,$EI$10,0))))))),IF(V8&gt;=$EG$16,$EJ$16,IF(V8&gt;=$EG$15,$EJ$15,IF(V8&gt;=$EG$14,$EJ$14,IF(V8&gt;=$EG$13,$EJ$13,IF(V8&gt;=$EG$12,$EJ$12,IF(V8&gt;=$EG$11,$EJ$11,IF(V8&gt;=$EG$10,$EJ$10,0)))))))))</f>
        <v>0</v>
      </c>
      <c r="CL8" s="318">
        <f>(SUM(CK25,CK54,CK11)*0.3)</f>
        <v>0</v>
      </c>
      <c r="CM8" s="318">
        <f t="shared" ref="CM8:CM27" si="21">AV8*(IF($C8="INTERNO",IF(W8&gt;=$EG$16,$EI$16,IF(W8&gt;=$EG$15,$EI$15,IF(W8&gt;=$EG$14,$EI$14,IF(W8&gt;=$EG$13,$EI$13,IF(W8&gt;=$EG$12,$EI$12,IF(W8&gt;=$EG$11,$EI$11,IF(W8&gt;=$EG$10,$EI$10,0))))))),IF(W8&gt;=$EG$16,$EJ$16,IF(W8&gt;=$EG$15,$EJ$15,IF(W8&gt;=$EG$14,$EJ$14,IF(W8&gt;=$EG$13,$EJ$13,IF(W8&gt;=$EG$12,$EJ$12,IF(W8&gt;=$EG$11,$EJ$11,IF(W8&gt;=$EG$10,$EJ$10,0)))))))))</f>
        <v>0</v>
      </c>
      <c r="CN8" s="318">
        <f>(SUM(CM25,CM54,CM11)*0.3)</f>
        <v>0</v>
      </c>
      <c r="CO8" s="318">
        <f t="shared" ref="CO8:CO27" si="22">AW8*(IF($C8="INTERNO",IF(X8&gt;=$EG$16,$EI$16,IF(X8&gt;=$EG$15,$EI$15,IF(X8&gt;=$EG$14,$EI$14,IF(X8&gt;=$EG$13,$EI$13,IF(X8&gt;=$EG$12,$EI$12,IF(X8&gt;=$EG$11,$EI$11,IF(X8&gt;=$EG$10,$EI$10,0))))))),IF(X8&gt;=$EG$16,$EJ$16,IF(X8&gt;=$EG$15,$EJ$15,IF(X8&gt;=$EG$14,$EJ$14,IF(X8&gt;=$EG$13,$EJ$13,IF(X8&gt;=$EG$12,$EJ$12,IF(X8&gt;=$EG$11,$EJ$11,IF(X8&gt;=$EG$10,$EJ$10,0)))))))))</f>
        <v>0</v>
      </c>
      <c r="CP8" s="318">
        <f>(SUM(CO25,CO54,CO11)*0.3)</f>
        <v>0</v>
      </c>
      <c r="CQ8" s="318">
        <f t="shared" ref="CQ8:CQ27" si="23">AX8*(IF($C8="INTERNO",IF(Y8&gt;=$EG$16,$EI$16,IF(Y8&gt;=$EG$15,$EI$15,IF(Y8&gt;=$EG$14,$EI$14,IF(Y8&gt;=$EG$13,$EI$13,IF(Y8&gt;=$EG$12,$EI$12,IF(Y8&gt;=$EG$11,$EI$11,IF(Y8&gt;=$EG$10,$EI$10,0))))))),IF(Y8&gt;=$EG$16,$EJ$16,IF(Y8&gt;=$EG$15,$EJ$15,IF(Y8&gt;=$EG$14,$EJ$14,IF(Y8&gt;=$EG$13,$EJ$13,IF(Y8&gt;=$EG$12,$EJ$12,IF(Y8&gt;=$EG$11,$EJ$11,IF(Y8&gt;=$EG$10,$EJ$10,0)))))))))</f>
        <v>0</v>
      </c>
      <c r="CR8" s="318">
        <f>(SUM(CQ25,CQ54,CQ11)*0.3)</f>
        <v>0</v>
      </c>
      <c r="CS8" s="318" t="e">
        <f t="shared" ref="CS8:CS27" si="24">AY8*(IF($C8="INTERNO",IF(Z8&gt;=$EG$16,$EI$16,IF(Z8&gt;=$EG$15,$EI$15,IF(Z8&gt;=$EG$14,$EI$14,IF(Z8&gt;=$EG$13,$EI$13,IF(Z8&gt;=$EG$12,$EI$12,IF(Z8&gt;=$EG$11,$EI$11,IF(Z8&gt;=$EG$10,$EI$10,0))))))),IF(Z8&gt;=$EG$16,$EJ$16,IF(Z8&gt;=$EG$15,$EJ$15,IF(Z8&gt;=$EG$14,$EJ$14,IF(Z8&gt;=$EG$13,$EJ$13,IF(Z8&gt;=$EG$12,$EJ$12,IF(Z8&gt;=$EG$11,$EJ$11,IF(Z8&gt;=$EG$10,$EJ$10,0)))))))))</f>
        <v>#N/A</v>
      </c>
      <c r="CT8" s="318" t="e">
        <f>(SUM(CS25,CS54,CS11)*0.3)</f>
        <v>#N/A</v>
      </c>
      <c r="CU8" s="318">
        <f t="shared" ref="CU8:CU27" si="25">AZ8*(IF($C8="INTERNO",IF(AA8&gt;=$EG$16,$EI$16,IF(AA8&gt;=$EG$15,$EI$15,IF(AA8&gt;=$EG$14,$EI$14,IF(AA8&gt;=$EG$13,$EI$13,IF(AA8&gt;=$EG$12,$EI$12,IF(AA8&gt;=$EG$11,$EI$11,IF(AA8&gt;=$EG$10,$EI$10,0))))))),IF(AA8&gt;=$EG$16,$EJ$16,IF(AA8&gt;=$EG$15,$EJ$15,IF(AA8&gt;=$EG$14,$EJ$14,IF(AA8&gt;=$EG$13,$EJ$13,IF(AA8&gt;=$EG$12,$EJ$12,IF(AA8&gt;=$EG$11,$EJ$11,IF(AA8&gt;=$EG$10,$EJ$10,0)))))))))</f>
        <v>0</v>
      </c>
      <c r="CV8" s="318">
        <f>(SUM(CU25,CU54,CU11)*0.3)</f>
        <v>0</v>
      </c>
      <c r="CW8" s="318" t="e">
        <f t="shared" ref="CW8:CW55" si="26">SUM(BB8:CV8)</f>
        <v>#N/A</v>
      </c>
      <c r="CX8" s="330"/>
      <c r="CY8" s="330"/>
      <c r="CZ8" s="330"/>
      <c r="DA8" s="330"/>
      <c r="DB8" s="330"/>
      <c r="DC8" s="330"/>
      <c r="DD8" s="330"/>
      <c r="DE8" s="330"/>
      <c r="DF8" s="330"/>
      <c r="DG8" s="330"/>
      <c r="DH8" s="330"/>
      <c r="DI8" s="330"/>
      <c r="DJ8" s="330"/>
      <c r="DK8" s="330"/>
      <c r="DL8" s="330"/>
      <c r="DM8" s="330"/>
      <c r="DN8" s="330"/>
      <c r="DO8" s="330"/>
      <c r="DP8" s="330"/>
      <c r="DQ8" s="330"/>
      <c r="DR8" s="330"/>
      <c r="DS8" s="330"/>
      <c r="DT8" s="330"/>
      <c r="DU8" s="330"/>
      <c r="DV8" s="331">
        <f>SUM(CX8:DU8)</f>
        <v>0</v>
      </c>
      <c r="DW8" s="130">
        <f t="shared" ref="DW8:DW55" si="27">+AB8</f>
        <v>1053628.7308</v>
      </c>
      <c r="DX8" s="417" t="e">
        <f t="shared" ref="DX8:DX55" si="28">++DV8+CW8</f>
        <v>#N/A</v>
      </c>
      <c r="DY8" s="147">
        <f>IFERROR(DX8/DW8,0)</f>
        <v>0</v>
      </c>
      <c r="DZ8" s="298">
        <f t="shared" ref="DZ8:DZ39" si="29">IFERROR(DX8/$DX$56,0)</f>
        <v>0</v>
      </c>
      <c r="ED8" s="163"/>
      <c r="EK8" s="299"/>
      <c r="EN8" t="s">
        <v>539</v>
      </c>
    </row>
    <row r="9" spans="2:145" ht="15.75" x14ac:dyDescent="0.3">
      <c r="B9" s="332" t="s">
        <v>116</v>
      </c>
      <c r="C9" s="297" t="str">
        <f>VLOOKUP(B9,'Caratula 2023'!$B$8:$C$42,2,FALSE)</f>
        <v>INTERNO</v>
      </c>
      <c r="D9" s="326">
        <f>SUMIFS(Tabla110[[#All],[Venta Total]],Tabla110[[#All],[Asesor]],B9,Tabla110[[#All],[Fecha Cobranza]],"&lt;"&amp;$D$6,Tabla110[[#All],[Fecha Cobranza]],"&gt;="&amp;$B$6)</f>
        <v>0</v>
      </c>
      <c r="E9" s="326">
        <f>SUMIFS(Tabla110[[#All],[Venta Total]],Tabla110[[#All],[Asesor]],B9,Tabla110[[#All],[Fecha Cobranza]],"&lt;"&amp;$E$6,Tabla110[[#All],[Fecha Cobranza]],"&gt;="&amp;$D$6)</f>
        <v>0</v>
      </c>
      <c r="F9" s="326">
        <f>SUMIFS(Tabla110[[#All],[Venta Total]],Tabla110[[#All],[Asesor]],B9,Tabla110[[#All],[Fecha Cobranza]],"&lt;"&amp;$F$6,Tabla110[[#All],[Fecha Cobranza]],"&gt;="&amp;$E$6)</f>
        <v>0</v>
      </c>
      <c r="G9" s="326">
        <f>SUMIFS(Tabla110[[#All],[Venta Total]],Tabla110[[#All],[Asesor]],B9,Tabla110[[#All],[Fecha Cobranza]],"&lt;"&amp;$G$6,Tabla110[[#All],[Fecha Cobranza]],"&gt;="&amp;$F$6)</f>
        <v>0</v>
      </c>
      <c r="H9" s="326">
        <f>SUMIFS(Tabla110[[#All],[Venta Total]],Tabla110[[#All],[Asesor]],B9,Tabla110[[#All],[Fecha Cobranza]],"&lt;"&amp;$H$6,Tabla110[[#All],[Fecha Cobranza]],"&gt;="&amp;$G$6)</f>
        <v>0</v>
      </c>
      <c r="I9" s="326">
        <f>SUMIFS(Tabla110[[#All],[Venta Total]],Tabla110[[#All],[Asesor]],B9,Tabla110[[#All],[Fecha Cobranza]],"&lt;"&amp;$I$6,Tabla110[[#All],[Fecha Cobranza]],"&gt;="&amp;$H$6)</f>
        <v>0</v>
      </c>
      <c r="J9" s="326">
        <f>SUMIFS(Tabla110[[#All],[Venta Total]],Tabla110[[#All],[Asesor]],B9,Tabla110[[#All],[Fecha Cobranza]],"&lt;"&amp;$J$6,Tabla110[[#All],[Fecha Cobranza]],"&gt;="&amp;$I$6)</f>
        <v>0</v>
      </c>
      <c r="K9" s="326">
        <f>SUMIFS(Tabla110[[#All],[Venta Total]],Tabla110[[#All],[Asesor]],B9,Tabla110[[#All],[Fecha Cobranza]],"&lt;"&amp;$K$6,Tabla110[[#All],[Fecha Cobranza]],"&gt;="&amp;$J$6)</f>
        <v>0</v>
      </c>
      <c r="L9" s="326">
        <f>SUMIFS(Tabla110[[#All],[Venta Total]],Tabla110[[#All],[Asesor]],B9,Tabla110[[#All],[Fecha Cobranza]],"&lt;"&amp;$L$6,Tabla110[[#All],[Fecha Cobranza]],"&gt;="&amp;$K$6)</f>
        <v>0</v>
      </c>
      <c r="M9" s="326">
        <f>SUMIFS(Tabla110[[#All],[Venta Total]],Tabla110[[#All],[Asesor]],B9,Tabla110[[#All],[Fecha Cobranza]],"&lt;"&amp;$M$6,Tabla110[[#All],[Fecha Cobranza]],"&gt;="&amp;$L$6)</f>
        <v>0</v>
      </c>
      <c r="N9" s="326">
        <f>SUMIFS(Tabla110[[#All],[Venta Total]],Tabla110[[#All],[Asesor]],B9,Tabla110[[#All],[Fecha Cobranza]],"&lt;"&amp;$N$6,Tabla110[[#All],[Fecha Cobranza]],"&gt;="&amp;$M$6)</f>
        <v>0</v>
      </c>
      <c r="O9" s="326">
        <f>SUMIFS(Tabla110[[#All],[Venta Total]],Tabla110[[#All],[Asesor]],B9,Tabla110[[#All],[Fecha Cobranza]],"&lt;"&amp;$O$6,Tabla110[[#All],[Fecha Cobranza]],"&gt;="&amp;$N$6)</f>
        <v>0</v>
      </c>
      <c r="P9" s="326">
        <f>SUMIFS(Tabla110[[#All],[Venta Total]],Tabla110[[#All],[Asesor]],B9,Tabla110[[#All],[Fecha Cobranza]],"&lt;"&amp;$P$6,Tabla110[[#All],[Fecha Cobranza]],"&gt;="&amp;$O$6)</f>
        <v>0</v>
      </c>
      <c r="Q9" s="326">
        <f>SUMIFS(Tabla110[[#All],[Venta Total]],Tabla110[[#All],[Asesor]],B9,Tabla110[[#All],[Fecha Cobranza]],"&lt;"&amp;$Q$6,Tabla110[[#All],[Fecha Cobranza]],"&gt;="&amp;$P$6)</f>
        <v>0</v>
      </c>
      <c r="R9" s="326">
        <f>SUMIFS(Tabla110[[#All],[Venta Total]],Tabla110[[#All],[Asesor]],B9,Tabla110[[#All],[Fecha Cobranza]],"&lt;"&amp;$R$6,Tabla110[[#All],[Fecha Cobranza]],"&gt;="&amp;$Q$6)</f>
        <v>0</v>
      </c>
      <c r="S9" s="326">
        <f>SUMIFS(Tabla110[[#All],[Venta Total]],Tabla110[[#All],[Asesor]],B9,Tabla110[[#All],[Fecha Cobranza]],"&lt;"&amp;$S$6,Tabla110[[#All],[Fecha Cobranza]],"&gt;="&amp;$R$6)</f>
        <v>0</v>
      </c>
      <c r="T9" s="326">
        <f>SUMIFS(Tabla110[[#All],[Venta Total]],Tabla110[[#All],[Asesor]],$B9,Tabla110[[#All],[Fecha Cobranza]],"&lt;"&amp;T$6,Tabla110[[#All],[Fecha Cobranza]],"&gt;="&amp;S$6)</f>
        <v>0</v>
      </c>
      <c r="U9" s="326">
        <f>SUMIFS(Tabla110[[#All],[Venta Total]],Tabla110[[#All],[Asesor]],$B9,Tabla110[[#All],[Fecha Cobranza]],"&lt;"&amp;U$6,Tabla110[[#All],[Fecha Cobranza]],"&gt;="&amp;T$6)</f>
        <v>0</v>
      </c>
      <c r="V9" s="326">
        <f>SUMIFS(Tabla110[[#All],[Venta Total]],Tabla110[[#All],[Asesor]],$B9,Tabla110[[#All],[Fecha Cobranza]],"&lt;"&amp;V$6,Tabla110[[#All],[Fecha Cobranza]],"&gt;="&amp;U$6)</f>
        <v>0</v>
      </c>
      <c r="W9" s="326">
        <f>SUMIFS(Tabla110[[#All],[Venta Total]],Tabla110[[#All],[Asesor]],$B9,Tabla110[[#All],[Fecha Cobranza]],"&lt;"&amp;W$6,Tabla110[[#All],[Fecha Cobranza]],"&gt;="&amp;V$6)</f>
        <v>0</v>
      </c>
      <c r="X9" s="326">
        <f>SUMIFS(Tabla110[[#All],[Venta Total]],Tabla110[[#All],[Asesor]],$B9,Tabla110[[#All],[Fecha Cobranza]],"&lt;"&amp;X$6,Tabla110[[#All],[Fecha Cobranza]],"&gt;="&amp;W$6)</f>
        <v>0</v>
      </c>
      <c r="Y9" s="326">
        <f>SUMIFS(Tabla110[[#All],[Venta Total]],Tabla110[[#All],[Asesor]],$B9,Tabla110[[#All],[Fecha Cobranza]],"&lt;"&amp;Y$6,Tabla110[[#All],[Fecha Cobranza]],"&gt;="&amp;X$6)</f>
        <v>0</v>
      </c>
      <c r="Z9" s="326">
        <f>SUMIFS(Tabla110[[#All],[Venta Total]],Tabla110[[#All],[Asesor]],$B9,Tabla110[[#All],[Fecha Cobranza]],"&lt;"&amp;Z$6,Tabla110[[#All],[Fecha Cobranza]],"&gt;="&amp;Y$6)</f>
        <v>0</v>
      </c>
      <c r="AA9" s="326">
        <f>SUMIFS(Tabla110[[#All],[Venta Total]],Tabla110[[#All],[Asesor]],$B9,Tabla110[[#All],[Fecha Cobranza]],"&lt;"&amp;AA$6,Tabla110[[#All],[Fecha Cobranza]],"&gt;="&amp;Z$6)</f>
        <v>0</v>
      </c>
      <c r="AB9" s="327">
        <f t="shared" si="0"/>
        <v>0</v>
      </c>
      <c r="AC9" s="322">
        <f>SUMIFS(Tabla110[[#All],[Utilidad Bruta Total]],Tabla110[[#All],[Asesor]],B9,Tabla110[[#All],[Fecha Cobranza]],"&lt;"&amp;$AC$6,Tabla110[[#All],[Fecha Cobranza]],"&gt;="&amp;$B$6)</f>
        <v>0</v>
      </c>
      <c r="AD9" s="322">
        <f>SUMIFS(Tabla110[[#All],[Utilidad Bruta Total]],Tabla110[[#All],[Asesor]],B9,Tabla110[[#All],[Fecha Cobranza]],"&lt;"&amp;$AD$6,Tabla110[[#All],[Fecha Cobranza]],"&gt;="&amp;$AC$6)</f>
        <v>0</v>
      </c>
      <c r="AE9" s="322">
        <f>SUMIFS(Tabla110[[#All],[Utilidad Bruta Total]],Tabla110[[#All],[Asesor]],B9,Tabla110[[#All],[Fecha Cobranza]],"&lt;"&amp;$AE$6,Tabla110[[#All],[Fecha Cobranza]],"&gt;="&amp;$AD$6)</f>
        <v>0</v>
      </c>
      <c r="AF9" s="322">
        <f>SUMIFS(Tabla110[[#All],[Utilidad Bruta Total]],Tabla110[[#All],[Asesor]],B9,Tabla110[[#All],[Fecha Cobranza]],"&lt;"&amp;$AF$6,Tabla110[[#All],[Fecha Cobranza]],"&gt;="&amp;$AE$6)</f>
        <v>0</v>
      </c>
      <c r="AG9" s="322">
        <f>SUMIFS(Tabla110[[#All],[Utilidad Bruta Total]],Tabla110[[#All],[Asesor]],B9,Tabla110[[#All],[Fecha Cobranza]],"&lt;"&amp;$AG$6,Tabla110[[#All],[Fecha Cobranza]],"&gt;="&amp;$AF$6)</f>
        <v>0</v>
      </c>
      <c r="AH9" s="322">
        <f>SUMIFS(Tabla110[[#All],[Utilidad Bruta Total]],Tabla110[[#All],[Asesor]],B9,Tabla110[[#All],[Fecha Cobranza]],"&lt;"&amp;$AH$6,Tabla110[[#All],[Fecha Cobranza]],"&gt;="&amp;$AG$6)</f>
        <v>0</v>
      </c>
      <c r="AI9" s="322">
        <f>SUMIFS(Tabla110[[#All],[Utilidad Bruta Total]],Tabla110[[#All],[Asesor]],B9,Tabla110[[#All],[Fecha Cobranza]],"&lt;"&amp;$AI$6,Tabla110[[#All],[Fecha Cobranza]],"&gt;="&amp;$AH$6)</f>
        <v>0</v>
      </c>
      <c r="AJ9" s="322">
        <f>SUMIFS(Tabla110[[#All],[Utilidad Bruta Total]],Tabla110[[#All],[Asesor]],B9,Tabla110[[#All],[Fecha Cobranza]],"&lt;"&amp;$AJ$6,Tabla110[[#All],[Fecha Cobranza]],"&gt;="&amp;$AI$6)</f>
        <v>0</v>
      </c>
      <c r="AK9" s="322">
        <f>SUMIFS(Tabla110[[#All],[Utilidad Bruta Total]],Tabla110[[#All],[Asesor]],B9,Tabla110[[#All],[Fecha Cobranza]],"&lt;"&amp;$AK$6,Tabla110[[#All],[Fecha Cobranza]],"&gt;="&amp;$AJ$6)</f>
        <v>0</v>
      </c>
      <c r="AL9" s="322">
        <f>SUMIFS(Tabla110[[#All],[Utilidad Bruta Total]],Tabla110[[#All],[Asesor]],B9,Tabla110[[#All],[Fecha Cobranza]],"&lt;"&amp;$AL$6,Tabla110[[#All],[Fecha Cobranza]],"&gt;="&amp;$AK$6)</f>
        <v>0</v>
      </c>
      <c r="AM9" s="322">
        <f>SUMIFS(Tabla110[[#All],[Utilidad Bruta Total]],Tabla110[[#All],[Asesor]],B9,Tabla110[[#All],[Fecha Cobranza]],"&lt;"&amp;$AM$6,Tabla110[[#All],[Fecha Cobranza]],"&gt;="&amp;$AL$6)</f>
        <v>0</v>
      </c>
      <c r="AN9" s="322">
        <f>SUMIFS(Tabla110[[#All],[Utilidad Bruta Total]],Tabla110[[#All],[Asesor]],B9,Tabla110[[#All],[Fecha Cobranza]],"&lt;"&amp;$AN$6,Tabla110[[#All],[Fecha Cobranza]],"&gt;="&amp;$AM$6)</f>
        <v>0</v>
      </c>
      <c r="AO9" s="322">
        <f>SUMIFS(Tabla110[[#All],[Utilidad Bruta Total]],Tabla110[[#All],[Asesor]],B9,Tabla110[[#All],[Fecha Cobranza]],"&lt;"&amp;$AO$6,Tabla110[[#All],[Fecha Cobranza]],"&gt;="&amp;$AN$6)</f>
        <v>0</v>
      </c>
      <c r="AP9" s="322">
        <f>SUMIFS(Tabla110[[#All],[Utilidad Bruta Total]],Tabla110[[#All],[Asesor]],B9,Tabla110[[#All],[Fecha Cobranza]],"&lt;"&amp;$AP$6,Tabla110[[#All],[Fecha Cobranza]],"&gt;="&amp;$AO$6)</f>
        <v>0</v>
      </c>
      <c r="AQ9" s="322">
        <f>SUMIFS(Tabla110[[#All],[Utilidad Bruta Total]],Tabla110[[#All],[Asesor]],B9,Tabla110[[#All],[Fecha Cobranza]],"&lt;"&amp;$AQ$6,Tabla110[[#All],[Fecha Cobranza]],"&gt;="&amp;$AP$6)</f>
        <v>0</v>
      </c>
      <c r="AR9" s="322">
        <f>SUMIFS(Tabla110[[#All],[Utilidad Bruta Total]],Tabla110[[#All],[Asesor]],B9,Tabla110[[#All],[Fecha Cobranza]],"&lt;"&amp;$AR$6,Tabla110[[#All],[Fecha Cobranza]],"&gt;="&amp;$AQ$6)</f>
        <v>0</v>
      </c>
      <c r="AS9" s="322">
        <f>SUMIFS(Tabla110[[#All],[Utilidad Bruta Total]],Tabla110[[#All],[Asesor]],$B9,Tabla110[[#All],[Fecha Cobranza]],"&lt;"&amp;AS$6,Tabla110[[#All],[Fecha Cobranza]],"&gt;="&amp;AR$6)</f>
        <v>0</v>
      </c>
      <c r="AT9" s="322">
        <f>SUMIFS(Tabla110[[#All],[Utilidad Bruta Total]],Tabla110[[#All],[Asesor]],$B9,Tabla110[[#All],[Fecha Cobranza]],"&lt;"&amp;AT$6,Tabla110[[#All],[Fecha Cobranza]],"&gt;="&amp;AS$6)</f>
        <v>0</v>
      </c>
      <c r="AU9" s="322">
        <f>SUMIFS(Tabla110[[#All],[Utilidad Bruta Total]],Tabla110[[#All],[Asesor]],$B9,Tabla110[[#All],[Fecha Cobranza]],"&lt;"&amp;AU$6,Tabla110[[#All],[Fecha Cobranza]],"&gt;="&amp;AT$6)</f>
        <v>0</v>
      </c>
      <c r="AV9" s="322">
        <f>SUMIFS(Tabla110[[#All],[Utilidad Bruta Total]],Tabla110[[#All],[Asesor]],$B9,Tabla110[[#All],[Fecha Cobranza]],"&lt;"&amp;AV$6,Tabla110[[#All],[Fecha Cobranza]],"&gt;="&amp;AU$6)</f>
        <v>0</v>
      </c>
      <c r="AW9" s="322">
        <f>SUMIFS(Tabla110[[#All],[Utilidad Bruta Total]],Tabla110[[#All],[Asesor]],$B9,Tabla110[[#All],[Fecha Cobranza]],"&lt;"&amp;AW$6,Tabla110[[#All],[Fecha Cobranza]],"&gt;="&amp;AV$6)</f>
        <v>0</v>
      </c>
      <c r="AX9" s="322">
        <f>SUMIFS(Tabla110[[#All],[Utilidad Bruta Total]],Tabla110[[#All],[Asesor]],$B9,Tabla110[[#All],[Fecha Cobranza]],"&lt;"&amp;AX$6,Tabla110[[#All],[Fecha Cobranza]],"&gt;="&amp;AW$6)</f>
        <v>0</v>
      </c>
      <c r="AY9" s="322">
        <f>SUMIFS(Tabla110[[#All],[Utilidad Bruta Total]],Tabla110[[#All],[Asesor]],$B9,Tabla110[[#All],[Fecha Cobranza]],"&lt;"&amp;AY$6,Tabla110[[#All],[Fecha Cobranza]],"&gt;="&amp;AX$6)</f>
        <v>0</v>
      </c>
      <c r="AZ9" s="322">
        <f>SUMIFS(Tabla110[[#All],[Utilidad Bruta Total]],Tabla110[[#All],[Asesor]],$B9,Tabla110[[#All],[Fecha Cobranza]],"&lt;"&amp;AZ$6,Tabla110[[#All],[Fecha Cobranza]],"&gt;="&amp;AY$6)</f>
        <v>0</v>
      </c>
      <c r="BA9" s="323">
        <f t="shared" si="1"/>
        <v>0</v>
      </c>
      <c r="BB9" s="417">
        <f t="shared" si="2"/>
        <v>0</v>
      </c>
      <c r="BC9" s="318"/>
      <c r="BD9" s="417">
        <f t="shared" si="3"/>
        <v>0</v>
      </c>
      <c r="BE9" s="318"/>
      <c r="BF9" s="318">
        <f t="shared" si="4"/>
        <v>0</v>
      </c>
      <c r="BG9" s="318"/>
      <c r="BH9" s="318">
        <f t="shared" si="5"/>
        <v>0</v>
      </c>
      <c r="BI9" s="318"/>
      <c r="BJ9" s="318">
        <f t="shared" si="6"/>
        <v>0</v>
      </c>
      <c r="BK9" s="318"/>
      <c r="BL9" s="318">
        <f t="shared" si="7"/>
        <v>0</v>
      </c>
      <c r="BM9" s="318"/>
      <c r="BN9" s="318">
        <f t="shared" si="8"/>
        <v>0</v>
      </c>
      <c r="BO9" s="318"/>
      <c r="BP9" s="318">
        <f t="shared" si="9"/>
        <v>0</v>
      </c>
      <c r="BQ9" s="318"/>
      <c r="BR9" s="318">
        <f t="shared" si="10"/>
        <v>0</v>
      </c>
      <c r="BS9" s="318"/>
      <c r="BT9" s="318">
        <f t="shared" si="11"/>
        <v>0</v>
      </c>
      <c r="BU9" s="420">
        <f t="shared" si="12"/>
        <v>0</v>
      </c>
      <c r="BV9" s="318"/>
      <c r="BW9" s="420">
        <f t="shared" si="13"/>
        <v>0</v>
      </c>
      <c r="BX9" s="318"/>
      <c r="BY9" s="318">
        <f t="shared" si="14"/>
        <v>0</v>
      </c>
      <c r="BZ9" s="318"/>
      <c r="CA9" s="318">
        <f t="shared" si="15"/>
        <v>0</v>
      </c>
      <c r="CB9" s="318"/>
      <c r="CC9" s="318">
        <f t="shared" si="16"/>
        <v>0</v>
      </c>
      <c r="CD9" s="318"/>
      <c r="CE9" s="318">
        <f t="shared" si="17"/>
        <v>0</v>
      </c>
      <c r="CF9" s="318"/>
      <c r="CG9" s="318">
        <f t="shared" si="18"/>
        <v>0</v>
      </c>
      <c r="CH9" s="318"/>
      <c r="CI9" s="318">
        <f t="shared" si="19"/>
        <v>0</v>
      </c>
      <c r="CJ9" s="318"/>
      <c r="CK9" s="318">
        <f t="shared" si="20"/>
        <v>0</v>
      </c>
      <c r="CL9" s="318"/>
      <c r="CM9" s="318">
        <f t="shared" si="21"/>
        <v>0</v>
      </c>
      <c r="CN9" s="318"/>
      <c r="CO9" s="318">
        <f t="shared" si="22"/>
        <v>0</v>
      </c>
      <c r="CP9" s="318"/>
      <c r="CQ9" s="318">
        <f t="shared" si="23"/>
        <v>0</v>
      </c>
      <c r="CR9" s="318"/>
      <c r="CS9" s="318">
        <f t="shared" si="24"/>
        <v>0</v>
      </c>
      <c r="CT9" s="318"/>
      <c r="CU9" s="318">
        <f t="shared" si="25"/>
        <v>0</v>
      </c>
      <c r="CV9" s="318"/>
      <c r="CW9" s="318">
        <f t="shared" si="26"/>
        <v>0</v>
      </c>
      <c r="CX9" s="330"/>
      <c r="CY9" s="330"/>
      <c r="CZ9" s="330"/>
      <c r="DA9" s="330"/>
      <c r="DB9" s="330"/>
      <c r="DC9" s="330"/>
      <c r="DD9" s="330"/>
      <c r="DE9" s="330"/>
      <c r="DF9" s="330"/>
      <c r="DG9" s="330"/>
      <c r="DH9" s="330"/>
      <c r="DI9" s="330"/>
      <c r="DJ9" s="330"/>
      <c r="DK9" s="330"/>
      <c r="DL9" s="330"/>
      <c r="DM9" s="330"/>
      <c r="DN9" s="330"/>
      <c r="DO9" s="330"/>
      <c r="DP9" s="330"/>
      <c r="DQ9" s="330"/>
      <c r="DR9" s="330"/>
      <c r="DS9" s="330"/>
      <c r="DT9" s="330"/>
      <c r="DU9" s="330"/>
      <c r="DV9" s="331">
        <f t="shared" ref="DV9:DV34" si="30">SUM(CX9:DU9)</f>
        <v>0</v>
      </c>
      <c r="DW9" s="130">
        <f t="shared" si="27"/>
        <v>0</v>
      </c>
      <c r="DX9" s="130">
        <f t="shared" si="28"/>
        <v>0</v>
      </c>
      <c r="DY9" s="147">
        <f t="shared" ref="DY9:DY29" si="31">IFERROR(DX9/DW9,0)</f>
        <v>0</v>
      </c>
      <c r="DZ9" s="298">
        <f t="shared" si="29"/>
        <v>0</v>
      </c>
      <c r="ED9" s="163"/>
      <c r="EG9" s="130" t="s">
        <v>781</v>
      </c>
      <c r="EH9" s="130" t="s">
        <v>782</v>
      </c>
      <c r="EI9" s="315" t="s">
        <v>485</v>
      </c>
      <c r="EJ9" s="315" t="s">
        <v>486</v>
      </c>
      <c r="EK9" s="299"/>
    </row>
    <row r="10" spans="2:145" ht="15.75" x14ac:dyDescent="0.3">
      <c r="B10" s="332" t="s">
        <v>339</v>
      </c>
      <c r="C10" s="297" t="str">
        <f>VLOOKUP(B10,'Caratula 2023'!$B$8:$C$42,2,FALSE)</f>
        <v>INTERNO</v>
      </c>
      <c r="D10" s="326">
        <f>SUMIFS(Tabla110[[#All],[Venta Total]],Tabla110[[#All],[Asesor]],B10,Tabla110[[#All],[Fecha Cobranza]],"&lt;"&amp;$D$6,Tabla110[[#All],[Fecha Cobranza]],"&gt;="&amp;$B$6)</f>
        <v>0</v>
      </c>
      <c r="E10" s="326">
        <f>SUMIFS(Tabla110[[#All],[Venta Total]],Tabla110[[#All],[Asesor]],B10,Tabla110[[#All],[Fecha Cobranza]],"&lt;"&amp;$E$6,Tabla110[[#All],[Fecha Cobranza]],"&gt;="&amp;$D$6)</f>
        <v>0</v>
      </c>
      <c r="F10" s="326">
        <f>SUMIFS(Tabla110[[#All],[Venta Total]],Tabla110[[#All],[Asesor]],B10,Tabla110[[#All],[Fecha Cobranza]],"&lt;"&amp;$F$6,Tabla110[[#All],[Fecha Cobranza]],"&gt;="&amp;$E$6)</f>
        <v>0</v>
      </c>
      <c r="G10" s="326">
        <f>SUMIFS(Tabla110[[#All],[Venta Total]],Tabla110[[#All],[Asesor]],B10,Tabla110[[#All],[Fecha Cobranza]],"&lt;"&amp;$G$6,Tabla110[[#All],[Fecha Cobranza]],"&gt;="&amp;$F$6)</f>
        <v>0</v>
      </c>
      <c r="H10" s="326">
        <f>SUMIFS(Tabla110[[#All],[Venta Total]],Tabla110[[#All],[Asesor]],B10,Tabla110[[#All],[Fecha Cobranza]],"&lt;"&amp;$H$6,Tabla110[[#All],[Fecha Cobranza]],"&gt;="&amp;$G$6)</f>
        <v>0</v>
      </c>
      <c r="I10" s="326">
        <f>SUMIFS(Tabla110[[#All],[Venta Total]],Tabla110[[#All],[Asesor]],B10,Tabla110[[#All],[Fecha Cobranza]],"&lt;"&amp;$I$6,Tabla110[[#All],[Fecha Cobranza]],"&gt;="&amp;$H$6)</f>
        <v>0</v>
      </c>
      <c r="J10" s="326">
        <f>SUMIFS(Tabla110[[#All],[Venta Total]],Tabla110[[#All],[Asesor]],B10,Tabla110[[#All],[Fecha Cobranza]],"&lt;"&amp;$J$6,Tabla110[[#All],[Fecha Cobranza]],"&gt;="&amp;$I$6)</f>
        <v>0</v>
      </c>
      <c r="K10" s="326">
        <f>SUMIFS(Tabla110[[#All],[Venta Total]],Tabla110[[#All],[Asesor]],B10,Tabla110[[#All],[Fecha Cobranza]],"&lt;"&amp;$K$6,Tabla110[[#All],[Fecha Cobranza]],"&gt;="&amp;$J$6)</f>
        <v>0</v>
      </c>
      <c r="L10" s="326">
        <f>SUMIFS(Tabla110[[#All],[Venta Total]],Tabla110[[#All],[Asesor]],B10,Tabla110[[#All],[Fecha Cobranza]],"&lt;"&amp;$L$6,Tabla110[[#All],[Fecha Cobranza]],"&gt;="&amp;$K$6)</f>
        <v>0</v>
      </c>
      <c r="M10" s="326">
        <f>SUMIFS(Tabla110[[#All],[Venta Total]],Tabla110[[#All],[Asesor]],B10,Tabla110[[#All],[Fecha Cobranza]],"&lt;"&amp;$M$6,Tabla110[[#All],[Fecha Cobranza]],"&gt;="&amp;$L$6)</f>
        <v>0</v>
      </c>
      <c r="N10" s="326">
        <f>SUMIFS(Tabla110[[#All],[Venta Total]],Tabla110[[#All],[Asesor]],B10,Tabla110[[#All],[Fecha Cobranza]],"&lt;"&amp;$N$6,Tabla110[[#All],[Fecha Cobranza]],"&gt;="&amp;$M$6)</f>
        <v>0</v>
      </c>
      <c r="O10" s="326">
        <f>SUMIFS(Tabla110[[#All],[Venta Total]],Tabla110[[#All],[Asesor]],B10,Tabla110[[#All],[Fecha Cobranza]],"&lt;"&amp;$O$6,Tabla110[[#All],[Fecha Cobranza]],"&gt;="&amp;$N$6)</f>
        <v>0</v>
      </c>
      <c r="P10" s="326">
        <f>SUMIFS(Tabla110[[#All],[Venta Total]],Tabla110[[#All],[Asesor]],B10,Tabla110[[#All],[Fecha Cobranza]],"&lt;"&amp;$P$6,Tabla110[[#All],[Fecha Cobranza]],"&gt;="&amp;$O$6)</f>
        <v>0</v>
      </c>
      <c r="Q10" s="326">
        <f>SUMIFS(Tabla110[[#All],[Venta Total]],Tabla110[[#All],[Asesor]],B10,Tabla110[[#All],[Fecha Cobranza]],"&lt;"&amp;$Q$6,Tabla110[[#All],[Fecha Cobranza]],"&gt;="&amp;$P$6)</f>
        <v>0</v>
      </c>
      <c r="R10" s="326">
        <f>SUMIFS(Tabla110[[#All],[Venta Total]],Tabla110[[#All],[Asesor]],B10,Tabla110[[#All],[Fecha Cobranza]],"&lt;"&amp;$R$6,Tabla110[[#All],[Fecha Cobranza]],"&gt;="&amp;$Q$6)</f>
        <v>0</v>
      </c>
      <c r="S10" s="326">
        <f>SUMIFS(Tabla110[[#All],[Venta Total]],Tabla110[[#All],[Asesor]],B10,Tabla110[[#All],[Fecha Cobranza]],"&lt;"&amp;$S$6,Tabla110[[#All],[Fecha Cobranza]],"&gt;="&amp;$R$6)</f>
        <v>0</v>
      </c>
      <c r="T10" s="326">
        <f>SUMIFS(Tabla110[[#All],[Venta Total]],Tabla110[[#All],[Asesor]],$B10,Tabla110[[#All],[Fecha Cobranza]],"&lt;"&amp;T$6,Tabla110[[#All],[Fecha Cobranza]],"&gt;="&amp;S$6)</f>
        <v>0</v>
      </c>
      <c r="U10" s="326">
        <f>SUMIFS(Tabla110[[#All],[Venta Total]],Tabla110[[#All],[Asesor]],$B10,Tabla110[[#All],[Fecha Cobranza]],"&lt;"&amp;U$6,Tabla110[[#All],[Fecha Cobranza]],"&gt;="&amp;T$6)</f>
        <v>0</v>
      </c>
      <c r="V10" s="326">
        <f>SUMIFS(Tabla110[[#All],[Venta Total]],Tabla110[[#All],[Asesor]],$B10,Tabla110[[#All],[Fecha Cobranza]],"&lt;"&amp;V$6,Tabla110[[#All],[Fecha Cobranza]],"&gt;="&amp;U$6)</f>
        <v>0</v>
      </c>
      <c r="W10" s="326">
        <f>SUMIFS(Tabla110[[#All],[Venta Total]],Tabla110[[#All],[Asesor]],$B10,Tabla110[[#All],[Fecha Cobranza]],"&lt;"&amp;W$6,Tabla110[[#All],[Fecha Cobranza]],"&gt;="&amp;V$6)</f>
        <v>0</v>
      </c>
      <c r="X10" s="326">
        <f>SUMIFS(Tabla110[[#All],[Venta Total]],Tabla110[[#All],[Asesor]],$B10,Tabla110[[#All],[Fecha Cobranza]],"&lt;"&amp;X$6,Tabla110[[#All],[Fecha Cobranza]],"&gt;="&amp;W$6)</f>
        <v>0</v>
      </c>
      <c r="Y10" s="326">
        <f>SUMIFS(Tabla110[[#All],[Venta Total]],Tabla110[[#All],[Asesor]],$B10,Tabla110[[#All],[Fecha Cobranza]],"&lt;"&amp;Y$6,Tabla110[[#All],[Fecha Cobranza]],"&gt;="&amp;X$6)</f>
        <v>0</v>
      </c>
      <c r="Z10" s="326">
        <f>SUMIFS(Tabla110[[#All],[Venta Total]],Tabla110[[#All],[Asesor]],$B10,Tabla110[[#All],[Fecha Cobranza]],"&lt;"&amp;Z$6,Tabla110[[#All],[Fecha Cobranza]],"&gt;="&amp;Y$6)</f>
        <v>154168.63999999998</v>
      </c>
      <c r="AA10" s="326">
        <f>SUMIFS(Tabla110[[#All],[Venta Total]],Tabla110[[#All],[Asesor]],$B10,Tabla110[[#All],[Fecha Cobranza]],"&lt;"&amp;AA$6,Tabla110[[#All],[Fecha Cobranza]],"&gt;="&amp;Z$6)</f>
        <v>0</v>
      </c>
      <c r="AB10" s="327">
        <f t="shared" si="0"/>
        <v>154168.63999999998</v>
      </c>
      <c r="AC10" s="322">
        <f>SUMIFS(Tabla110[[#All],[Utilidad Bruta Total]],Tabla110[[#All],[Asesor]],B10,Tabla110[[#All],[Fecha Cobranza]],"&lt;"&amp;$AC$6,Tabla110[[#All],[Fecha Cobranza]],"&gt;="&amp;$B$6)</f>
        <v>0</v>
      </c>
      <c r="AD10" s="322">
        <f>SUMIFS(Tabla110[[#All],[Utilidad Bruta Total]],Tabla110[[#All],[Asesor]],B10,Tabla110[[#All],[Fecha Cobranza]],"&lt;"&amp;$AD$6,Tabla110[[#All],[Fecha Cobranza]],"&gt;="&amp;$AC$6)</f>
        <v>0</v>
      </c>
      <c r="AE10" s="322">
        <f>SUMIFS(Tabla110[[#All],[Utilidad Bruta Total]],Tabla110[[#All],[Asesor]],B10,Tabla110[[#All],[Fecha Cobranza]],"&lt;"&amp;$AE$6,Tabla110[[#All],[Fecha Cobranza]],"&gt;="&amp;$AD$6)</f>
        <v>0</v>
      </c>
      <c r="AF10" s="322">
        <f>SUMIFS(Tabla110[[#All],[Utilidad Bruta Total]],Tabla110[[#All],[Asesor]],B10,Tabla110[[#All],[Fecha Cobranza]],"&lt;"&amp;$AF$6,Tabla110[[#All],[Fecha Cobranza]],"&gt;="&amp;$AE$6)</f>
        <v>0</v>
      </c>
      <c r="AG10" s="322">
        <f>SUMIFS(Tabla110[[#All],[Utilidad Bruta Total]],Tabla110[[#All],[Asesor]],B10,Tabla110[[#All],[Fecha Cobranza]],"&lt;"&amp;$AG$6,Tabla110[[#All],[Fecha Cobranza]],"&gt;="&amp;$AF$6)</f>
        <v>0</v>
      </c>
      <c r="AH10" s="322">
        <f>SUMIFS(Tabla110[[#All],[Utilidad Bruta Total]],Tabla110[[#All],[Asesor]],B10,Tabla110[[#All],[Fecha Cobranza]],"&lt;"&amp;$AH$6,Tabla110[[#All],[Fecha Cobranza]],"&gt;="&amp;$AG$6)</f>
        <v>0</v>
      </c>
      <c r="AI10" s="322">
        <f>SUMIFS(Tabla110[[#All],[Utilidad Bruta Total]],Tabla110[[#All],[Asesor]],B10,Tabla110[[#All],[Fecha Cobranza]],"&lt;"&amp;$AI$6,Tabla110[[#All],[Fecha Cobranza]],"&gt;="&amp;$AH$6)</f>
        <v>0</v>
      </c>
      <c r="AJ10" s="322">
        <f>SUMIFS(Tabla110[[#All],[Utilidad Bruta Total]],Tabla110[[#All],[Asesor]],B10,Tabla110[[#All],[Fecha Cobranza]],"&lt;"&amp;$AJ$6,Tabla110[[#All],[Fecha Cobranza]],"&gt;="&amp;$AI$6)</f>
        <v>0</v>
      </c>
      <c r="AK10" s="322">
        <f>SUMIFS(Tabla110[[#All],[Utilidad Bruta Total]],Tabla110[[#All],[Asesor]],B10,Tabla110[[#All],[Fecha Cobranza]],"&lt;"&amp;$AK$6,Tabla110[[#All],[Fecha Cobranza]],"&gt;="&amp;$AJ$6)</f>
        <v>0</v>
      </c>
      <c r="AL10" s="322">
        <f>SUMIFS(Tabla110[[#All],[Utilidad Bruta Total]],Tabla110[[#All],[Asesor]],B10,Tabla110[[#All],[Fecha Cobranza]],"&lt;"&amp;$AL$6,Tabla110[[#All],[Fecha Cobranza]],"&gt;="&amp;$AK$6)</f>
        <v>0</v>
      </c>
      <c r="AM10" s="322">
        <f>SUMIFS(Tabla110[[#All],[Utilidad Bruta Total]],Tabla110[[#All],[Asesor]],B10,Tabla110[[#All],[Fecha Cobranza]],"&lt;"&amp;$AM$6,Tabla110[[#All],[Fecha Cobranza]],"&gt;="&amp;$AL$6)</f>
        <v>0</v>
      </c>
      <c r="AN10" s="322">
        <f>SUMIFS(Tabla110[[#All],[Utilidad Bruta Total]],Tabla110[[#All],[Asesor]],B10,Tabla110[[#All],[Fecha Cobranza]],"&lt;"&amp;$AN$6,Tabla110[[#All],[Fecha Cobranza]],"&gt;="&amp;$AM$6)</f>
        <v>0</v>
      </c>
      <c r="AO10" s="322">
        <f>SUMIFS(Tabla110[[#All],[Utilidad Bruta Total]],Tabla110[[#All],[Asesor]],B10,Tabla110[[#All],[Fecha Cobranza]],"&lt;"&amp;$AO$6,Tabla110[[#All],[Fecha Cobranza]],"&gt;="&amp;$AN$6)</f>
        <v>0</v>
      </c>
      <c r="AP10" s="322">
        <f>SUMIFS(Tabla110[[#All],[Utilidad Bruta Total]],Tabla110[[#All],[Asesor]],B10,Tabla110[[#All],[Fecha Cobranza]],"&lt;"&amp;$AP$6,Tabla110[[#All],[Fecha Cobranza]],"&gt;="&amp;$AO$6)</f>
        <v>0</v>
      </c>
      <c r="AQ10" s="322">
        <f>SUMIFS(Tabla110[[#All],[Utilidad Bruta Total]],Tabla110[[#All],[Asesor]],B10,Tabla110[[#All],[Fecha Cobranza]],"&lt;"&amp;$AQ$6,Tabla110[[#All],[Fecha Cobranza]],"&gt;="&amp;$AP$6)</f>
        <v>0</v>
      </c>
      <c r="AR10" s="322">
        <f>SUMIFS(Tabla110[[#All],[Utilidad Bruta Total]],Tabla110[[#All],[Asesor]],B10,Tabla110[[#All],[Fecha Cobranza]],"&lt;"&amp;$AR$6,Tabla110[[#All],[Fecha Cobranza]],"&gt;="&amp;$AQ$6)</f>
        <v>0</v>
      </c>
      <c r="AS10" s="322">
        <f>SUMIFS(Tabla110[[#All],[Utilidad Bruta Total]],Tabla110[[#All],[Asesor]],$B10,Tabla110[[#All],[Fecha Cobranza]],"&lt;"&amp;AS$6,Tabla110[[#All],[Fecha Cobranza]],"&gt;="&amp;AR$6)</f>
        <v>0</v>
      </c>
      <c r="AT10" s="322">
        <f>SUMIFS(Tabla110[[#All],[Utilidad Bruta Total]],Tabla110[[#All],[Asesor]],$B10,Tabla110[[#All],[Fecha Cobranza]],"&lt;"&amp;AT$6,Tabla110[[#All],[Fecha Cobranza]],"&gt;="&amp;AS$6)</f>
        <v>0</v>
      </c>
      <c r="AU10" s="322">
        <f>SUMIFS(Tabla110[[#All],[Utilidad Bruta Total]],Tabla110[[#All],[Asesor]],$B10,Tabla110[[#All],[Fecha Cobranza]],"&lt;"&amp;AU$6,Tabla110[[#All],[Fecha Cobranza]],"&gt;="&amp;AT$6)</f>
        <v>0</v>
      </c>
      <c r="AV10" s="322">
        <f>SUMIFS(Tabla110[[#All],[Utilidad Bruta Total]],Tabla110[[#All],[Asesor]],$B10,Tabla110[[#All],[Fecha Cobranza]],"&lt;"&amp;AV$6,Tabla110[[#All],[Fecha Cobranza]],"&gt;="&amp;AU$6)</f>
        <v>0</v>
      </c>
      <c r="AW10" s="322">
        <f>SUMIFS(Tabla110[[#All],[Utilidad Bruta Total]],Tabla110[[#All],[Asesor]],$B10,Tabla110[[#All],[Fecha Cobranza]],"&lt;"&amp;AW$6,Tabla110[[#All],[Fecha Cobranza]],"&gt;="&amp;AV$6)</f>
        <v>0</v>
      </c>
      <c r="AX10" s="322">
        <f>SUMIFS(Tabla110[[#All],[Utilidad Bruta Total]],Tabla110[[#All],[Asesor]],$B10,Tabla110[[#All],[Fecha Cobranza]],"&lt;"&amp;AX$6,Tabla110[[#All],[Fecha Cobranza]],"&gt;="&amp;AW$6)</f>
        <v>0</v>
      </c>
      <c r="AY10" s="322" t="e">
        <f>SUMIFS(Tabla110[[#All],[Utilidad Bruta Total]],Tabla110[[#All],[Asesor]],$B10,Tabla110[[#All],[Fecha Cobranza]],"&lt;"&amp;AY$6,Tabla110[[#All],[Fecha Cobranza]],"&gt;="&amp;AX$6)</f>
        <v>#N/A</v>
      </c>
      <c r="AZ10" s="322">
        <f>SUMIFS(Tabla110[[#All],[Utilidad Bruta Total]],Tabla110[[#All],[Asesor]],$B10,Tabla110[[#All],[Fecha Cobranza]],"&lt;"&amp;AZ$6,Tabla110[[#All],[Fecha Cobranza]],"&gt;="&amp;AY$6)</f>
        <v>0</v>
      </c>
      <c r="BA10" s="323" t="e">
        <f t="shared" si="1"/>
        <v>#N/A</v>
      </c>
      <c r="BB10" s="417">
        <f t="shared" si="2"/>
        <v>0</v>
      </c>
      <c r="BC10" s="318"/>
      <c r="BD10" s="318">
        <f t="shared" si="3"/>
        <v>0</v>
      </c>
      <c r="BE10" s="318"/>
      <c r="BF10" s="318">
        <f t="shared" si="4"/>
        <v>0</v>
      </c>
      <c r="BG10" s="318"/>
      <c r="BH10" s="318">
        <f t="shared" si="5"/>
        <v>0</v>
      </c>
      <c r="BI10" s="318"/>
      <c r="BJ10" s="318">
        <f t="shared" si="6"/>
        <v>0</v>
      </c>
      <c r="BK10" s="318"/>
      <c r="BL10" s="318">
        <f t="shared" si="7"/>
        <v>0</v>
      </c>
      <c r="BM10" s="318"/>
      <c r="BN10" s="318">
        <f t="shared" si="8"/>
        <v>0</v>
      </c>
      <c r="BO10" s="318"/>
      <c r="BP10" s="318">
        <f t="shared" si="9"/>
        <v>0</v>
      </c>
      <c r="BQ10" s="318"/>
      <c r="BR10" s="318">
        <f t="shared" si="10"/>
        <v>0</v>
      </c>
      <c r="BS10" s="318"/>
      <c r="BT10" s="318">
        <f t="shared" si="11"/>
        <v>0</v>
      </c>
      <c r="BU10" s="420">
        <f t="shared" si="12"/>
        <v>0</v>
      </c>
      <c r="BV10" s="318"/>
      <c r="BW10" s="420">
        <f t="shared" si="13"/>
        <v>0</v>
      </c>
      <c r="BX10" s="318"/>
      <c r="BY10" s="318">
        <f t="shared" si="14"/>
        <v>0</v>
      </c>
      <c r="BZ10" s="318"/>
      <c r="CA10" s="318">
        <f t="shared" si="15"/>
        <v>0</v>
      </c>
      <c r="CB10" s="318"/>
      <c r="CC10" s="318">
        <f t="shared" si="16"/>
        <v>0</v>
      </c>
      <c r="CD10" s="318"/>
      <c r="CE10" s="318">
        <f t="shared" si="17"/>
        <v>0</v>
      </c>
      <c r="CF10" s="318"/>
      <c r="CG10" s="318">
        <f t="shared" si="18"/>
        <v>0</v>
      </c>
      <c r="CH10" s="318"/>
      <c r="CI10" s="318">
        <f t="shared" si="19"/>
        <v>0</v>
      </c>
      <c r="CJ10" s="318"/>
      <c r="CK10" s="318">
        <f t="shared" si="20"/>
        <v>0</v>
      </c>
      <c r="CL10" s="318"/>
      <c r="CM10" s="318">
        <f t="shared" si="21"/>
        <v>0</v>
      </c>
      <c r="CN10" s="318"/>
      <c r="CO10" s="318">
        <f t="shared" si="22"/>
        <v>0</v>
      </c>
      <c r="CP10" s="318"/>
      <c r="CQ10" s="318">
        <f t="shared" si="23"/>
        <v>0</v>
      </c>
      <c r="CR10" s="318"/>
      <c r="CS10" s="318" t="e">
        <f t="shared" si="24"/>
        <v>#N/A</v>
      </c>
      <c r="CT10" s="318"/>
      <c r="CU10" s="318">
        <f t="shared" si="25"/>
        <v>0</v>
      </c>
      <c r="CV10" s="318"/>
      <c r="CW10" s="318" t="e">
        <f t="shared" si="26"/>
        <v>#N/A</v>
      </c>
      <c r="CX10" s="330"/>
      <c r="CY10" s="330"/>
      <c r="CZ10" s="330"/>
      <c r="DA10" s="330"/>
      <c r="DB10" s="330"/>
      <c r="DC10" s="330"/>
      <c r="DD10" s="330"/>
      <c r="DE10" s="330"/>
      <c r="DF10" s="330"/>
      <c r="DG10" s="330"/>
      <c r="DH10" s="330"/>
      <c r="DI10" s="330"/>
      <c r="DJ10" s="330"/>
      <c r="DK10" s="330"/>
      <c r="DL10" s="330"/>
      <c r="DM10" s="330"/>
      <c r="DN10" s="330"/>
      <c r="DO10" s="330"/>
      <c r="DP10" s="330"/>
      <c r="DQ10" s="330"/>
      <c r="DR10" s="330"/>
      <c r="DS10" s="330"/>
      <c r="DT10" s="330"/>
      <c r="DU10" s="330"/>
      <c r="DV10" s="331">
        <f t="shared" si="30"/>
        <v>0</v>
      </c>
      <c r="DW10" s="130">
        <f t="shared" si="27"/>
        <v>154168.63999999998</v>
      </c>
      <c r="DX10" s="417" t="e">
        <f t="shared" si="28"/>
        <v>#N/A</v>
      </c>
      <c r="DY10" s="147">
        <f t="shared" si="31"/>
        <v>0</v>
      </c>
      <c r="DZ10" s="298">
        <f t="shared" si="29"/>
        <v>0</v>
      </c>
      <c r="ED10" s="163"/>
      <c r="EE10" s="163"/>
      <c r="EG10" s="130">
        <v>1</v>
      </c>
      <c r="EH10" s="312">
        <v>1666666.67</v>
      </c>
      <c r="EI10" s="364">
        <v>5.5E-2</v>
      </c>
      <c r="EJ10" s="364"/>
    </row>
    <row r="11" spans="2:145" ht="15.75" x14ac:dyDescent="0.3">
      <c r="B11" s="333" t="s">
        <v>425</v>
      </c>
      <c r="C11" s="297" t="str">
        <f>VLOOKUP(B11,'Caratula 2023'!$B$8:$C$42,2,FALSE)</f>
        <v>INTERNO</v>
      </c>
      <c r="D11" s="326">
        <f>SUMIFS(Tabla110[[#All],[Venta Total]],Tabla110[[#All],[Asesor]],B11,Tabla110[[#All],[Fecha Cobranza]],"&lt;"&amp;$D$6,Tabla110[[#All],[Fecha Cobranza]],"&gt;="&amp;$B$6)</f>
        <v>0</v>
      </c>
      <c r="E11" s="326">
        <f>SUMIFS(Tabla110[[#All],[Venta Total]],Tabla110[[#All],[Asesor]],B11,Tabla110[[#All],[Fecha Cobranza]],"&lt;"&amp;$E$6,Tabla110[[#All],[Fecha Cobranza]],"&gt;="&amp;$D$6)</f>
        <v>0</v>
      </c>
      <c r="F11" s="326">
        <f>SUMIFS(Tabla110[[#All],[Venta Total]],Tabla110[[#All],[Asesor]],B11,Tabla110[[#All],[Fecha Cobranza]],"&lt;"&amp;$F$6,Tabla110[[#All],[Fecha Cobranza]],"&gt;="&amp;$E$6)</f>
        <v>0</v>
      </c>
      <c r="G11" s="326">
        <f>SUMIFS(Tabla110[[#All],[Venta Total]],Tabla110[[#All],[Asesor]],B11,Tabla110[[#All],[Fecha Cobranza]],"&lt;"&amp;$G$6,Tabla110[[#All],[Fecha Cobranza]],"&gt;="&amp;$F$6)</f>
        <v>0</v>
      </c>
      <c r="H11" s="326">
        <f>SUMIFS(Tabla110[[#All],[Venta Total]],Tabla110[[#All],[Asesor]],B11,Tabla110[[#All],[Fecha Cobranza]],"&lt;"&amp;$H$6,Tabla110[[#All],[Fecha Cobranza]],"&gt;="&amp;$G$6)</f>
        <v>0</v>
      </c>
      <c r="I11" s="326">
        <f>SUMIFS(Tabla110[[#All],[Venta Total]],Tabla110[[#All],[Asesor]],B11,Tabla110[[#All],[Fecha Cobranza]],"&lt;"&amp;$I$6,Tabla110[[#All],[Fecha Cobranza]],"&gt;="&amp;$H$6)</f>
        <v>0</v>
      </c>
      <c r="J11" s="326">
        <f>SUMIFS(Tabla110[[#All],[Venta Total]],Tabla110[[#All],[Asesor]],B11,Tabla110[[#All],[Fecha Cobranza]],"&lt;"&amp;$J$6,Tabla110[[#All],[Fecha Cobranza]],"&gt;="&amp;$I$6)</f>
        <v>0</v>
      </c>
      <c r="K11" s="326">
        <f>SUMIFS(Tabla110[[#All],[Venta Total]],Tabla110[[#All],[Asesor]],B11,Tabla110[[#All],[Fecha Cobranza]],"&lt;"&amp;$K$6,Tabla110[[#All],[Fecha Cobranza]],"&gt;="&amp;$J$6)</f>
        <v>0</v>
      </c>
      <c r="L11" s="326">
        <f>SUMIFS(Tabla110[[#All],[Venta Total]],Tabla110[[#All],[Asesor]],B11,Tabla110[[#All],[Fecha Cobranza]],"&lt;"&amp;$L$6,Tabla110[[#All],[Fecha Cobranza]],"&gt;="&amp;$K$6)</f>
        <v>0</v>
      </c>
      <c r="M11" s="326">
        <f>SUMIFS(Tabla110[[#All],[Venta Total]],Tabla110[[#All],[Asesor]],B11,Tabla110[[#All],[Fecha Cobranza]],"&lt;"&amp;$M$6,Tabla110[[#All],[Fecha Cobranza]],"&gt;="&amp;$L$6)</f>
        <v>0</v>
      </c>
      <c r="N11" s="326">
        <f>SUMIFS(Tabla110[[#All],[Venta Total]],Tabla110[[#All],[Asesor]],B11,Tabla110[[#All],[Fecha Cobranza]],"&lt;"&amp;$N$6,Tabla110[[#All],[Fecha Cobranza]],"&gt;="&amp;$M$6)</f>
        <v>0</v>
      </c>
      <c r="O11" s="326">
        <f>SUMIFS(Tabla110[[#All],[Venta Total]],Tabla110[[#All],[Asesor]],B11,Tabla110[[#All],[Fecha Cobranza]],"&lt;"&amp;$O$6,Tabla110[[#All],[Fecha Cobranza]],"&gt;="&amp;$N$6)</f>
        <v>0</v>
      </c>
      <c r="P11" s="326">
        <f>SUMIFS(Tabla110[[#All],[Venta Total]],Tabla110[[#All],[Asesor]],B11,Tabla110[[#All],[Fecha Cobranza]],"&lt;"&amp;$P$6,Tabla110[[#All],[Fecha Cobranza]],"&gt;="&amp;$O$6)</f>
        <v>0</v>
      </c>
      <c r="Q11" s="326">
        <f>SUMIFS(Tabla110[[#All],[Venta Total]],Tabla110[[#All],[Asesor]],B11,Tabla110[[#All],[Fecha Cobranza]],"&lt;"&amp;$Q$6,Tabla110[[#All],[Fecha Cobranza]],"&gt;="&amp;$P$6)</f>
        <v>0</v>
      </c>
      <c r="R11" s="326">
        <f>SUMIFS(Tabla110[[#All],[Venta Total]],Tabla110[[#All],[Asesor]],B11,Tabla110[[#All],[Fecha Cobranza]],"&lt;"&amp;$R$6,Tabla110[[#All],[Fecha Cobranza]],"&gt;="&amp;$Q$6)</f>
        <v>0</v>
      </c>
      <c r="S11" s="326">
        <f>SUMIFS(Tabla110[[#All],[Venta Total]],Tabla110[[#All],[Asesor]],B11,Tabla110[[#All],[Fecha Cobranza]],"&lt;"&amp;$S$6,Tabla110[[#All],[Fecha Cobranza]],"&gt;="&amp;$R$6)</f>
        <v>0</v>
      </c>
      <c r="T11" s="326">
        <f>SUMIFS(Tabla110[[#All],[Venta Total]],Tabla110[[#All],[Asesor]],$B11,Tabla110[[#All],[Fecha Cobranza]],"&lt;"&amp;T$6,Tabla110[[#All],[Fecha Cobranza]],"&gt;="&amp;S$6)</f>
        <v>0</v>
      </c>
      <c r="U11" s="326">
        <f>SUMIFS(Tabla110[[#All],[Venta Total]],Tabla110[[#All],[Asesor]],$B11,Tabla110[[#All],[Fecha Cobranza]],"&lt;"&amp;U$6,Tabla110[[#All],[Fecha Cobranza]],"&gt;="&amp;T$6)</f>
        <v>0</v>
      </c>
      <c r="V11" s="326">
        <f>SUMIFS(Tabla110[[#All],[Venta Total]],Tabla110[[#All],[Asesor]],$B11,Tabla110[[#All],[Fecha Cobranza]],"&lt;"&amp;V$6,Tabla110[[#All],[Fecha Cobranza]],"&gt;="&amp;U$6)</f>
        <v>0</v>
      </c>
      <c r="W11" s="326">
        <f>SUMIFS(Tabla110[[#All],[Venta Total]],Tabla110[[#All],[Asesor]],$B11,Tabla110[[#All],[Fecha Cobranza]],"&lt;"&amp;W$6,Tabla110[[#All],[Fecha Cobranza]],"&gt;="&amp;V$6)</f>
        <v>0</v>
      </c>
      <c r="X11" s="326">
        <f>SUMIFS(Tabla110[[#All],[Venta Total]],Tabla110[[#All],[Asesor]],$B11,Tabla110[[#All],[Fecha Cobranza]],"&lt;"&amp;X$6,Tabla110[[#All],[Fecha Cobranza]],"&gt;="&amp;W$6)</f>
        <v>0</v>
      </c>
      <c r="Y11" s="326">
        <f>SUMIFS(Tabla110[[#All],[Venta Total]],Tabla110[[#All],[Asesor]],$B11,Tabla110[[#All],[Fecha Cobranza]],"&lt;"&amp;Y$6,Tabla110[[#All],[Fecha Cobranza]],"&gt;="&amp;X$6)</f>
        <v>0</v>
      </c>
      <c r="Z11" s="326">
        <f>SUMIFS(Tabla110[[#All],[Venta Total]],Tabla110[[#All],[Asesor]],$B11,Tabla110[[#All],[Fecha Cobranza]],"&lt;"&amp;Z$6,Tabla110[[#All],[Fecha Cobranza]],"&gt;="&amp;Y$6)</f>
        <v>0</v>
      </c>
      <c r="AA11" s="326">
        <f>SUMIFS(Tabla110[[#All],[Venta Total]],Tabla110[[#All],[Asesor]],$B11,Tabla110[[#All],[Fecha Cobranza]],"&lt;"&amp;AA$6,Tabla110[[#All],[Fecha Cobranza]],"&gt;="&amp;Z$6)</f>
        <v>0</v>
      </c>
      <c r="AB11" s="327">
        <f t="shared" si="0"/>
        <v>0</v>
      </c>
      <c r="AC11" s="322">
        <f>SUMIFS(Tabla110[[#All],[Utilidad Bruta Total]],Tabla110[[#All],[Asesor]],B11,Tabla110[[#All],[Fecha Cobranza]],"&lt;"&amp;$AC$6,Tabla110[[#All],[Fecha Cobranza]],"&gt;="&amp;$B$6)</f>
        <v>0</v>
      </c>
      <c r="AD11" s="322">
        <f>SUMIFS(Tabla110[[#All],[Utilidad Bruta Total]],Tabla110[[#All],[Asesor]],B11,Tabla110[[#All],[Fecha Cobranza]],"&lt;"&amp;$AD$6,Tabla110[[#All],[Fecha Cobranza]],"&gt;="&amp;$AC$6)</f>
        <v>0</v>
      </c>
      <c r="AE11" s="322">
        <f>SUMIFS(Tabla110[[#All],[Utilidad Bruta Total]],Tabla110[[#All],[Asesor]],B11,Tabla110[[#All],[Fecha Cobranza]],"&lt;"&amp;$AE$6,Tabla110[[#All],[Fecha Cobranza]],"&gt;="&amp;$AD$6)</f>
        <v>0</v>
      </c>
      <c r="AF11" s="322">
        <f>SUMIFS(Tabla110[[#All],[Utilidad Bruta Total]],Tabla110[[#All],[Asesor]],B11,Tabla110[[#All],[Fecha Cobranza]],"&lt;"&amp;$AF$6,Tabla110[[#All],[Fecha Cobranza]],"&gt;="&amp;$AE$6)</f>
        <v>0</v>
      </c>
      <c r="AG11" s="322">
        <f>SUMIFS(Tabla110[[#All],[Utilidad Bruta Total]],Tabla110[[#All],[Asesor]],B11,Tabla110[[#All],[Fecha Cobranza]],"&lt;"&amp;$AG$6,Tabla110[[#All],[Fecha Cobranza]],"&gt;="&amp;$AF$6)</f>
        <v>0</v>
      </c>
      <c r="AH11" s="322">
        <f>SUMIFS(Tabla110[[#All],[Utilidad Bruta Total]],Tabla110[[#All],[Asesor]],B11,Tabla110[[#All],[Fecha Cobranza]],"&lt;"&amp;$AH$6,Tabla110[[#All],[Fecha Cobranza]],"&gt;="&amp;$AG$6)</f>
        <v>0</v>
      </c>
      <c r="AI11" s="322">
        <f>SUMIFS(Tabla110[[#All],[Utilidad Bruta Total]],Tabla110[[#All],[Asesor]],B11,Tabla110[[#All],[Fecha Cobranza]],"&lt;"&amp;$AI$6,Tabla110[[#All],[Fecha Cobranza]],"&gt;="&amp;$AH$6)</f>
        <v>0</v>
      </c>
      <c r="AJ11" s="322">
        <f>SUMIFS(Tabla110[[#All],[Utilidad Bruta Total]],Tabla110[[#All],[Asesor]],B11,Tabla110[[#All],[Fecha Cobranza]],"&lt;"&amp;$AJ$6,Tabla110[[#All],[Fecha Cobranza]],"&gt;="&amp;$AI$6)</f>
        <v>0</v>
      </c>
      <c r="AK11" s="322">
        <f>SUMIFS(Tabla110[[#All],[Utilidad Bruta Total]],Tabla110[[#All],[Asesor]],B11,Tabla110[[#All],[Fecha Cobranza]],"&lt;"&amp;$AK$6,Tabla110[[#All],[Fecha Cobranza]],"&gt;="&amp;$AJ$6)</f>
        <v>0</v>
      </c>
      <c r="AL11" s="322">
        <f>SUMIFS(Tabla110[[#All],[Utilidad Bruta Total]],Tabla110[[#All],[Asesor]],B11,Tabla110[[#All],[Fecha Cobranza]],"&lt;"&amp;$AL$6,Tabla110[[#All],[Fecha Cobranza]],"&gt;="&amp;$AK$6)</f>
        <v>0</v>
      </c>
      <c r="AM11" s="322">
        <f>SUMIFS(Tabla110[[#All],[Utilidad Bruta Total]],Tabla110[[#All],[Asesor]],B11,Tabla110[[#All],[Fecha Cobranza]],"&lt;"&amp;$AM$6,Tabla110[[#All],[Fecha Cobranza]],"&gt;="&amp;$AL$6)</f>
        <v>0</v>
      </c>
      <c r="AN11" s="322">
        <f>SUMIFS(Tabla110[[#All],[Utilidad Bruta Total]],Tabla110[[#All],[Asesor]],B11,Tabla110[[#All],[Fecha Cobranza]],"&lt;"&amp;$AN$6,Tabla110[[#All],[Fecha Cobranza]],"&gt;="&amp;$AM$6)</f>
        <v>0</v>
      </c>
      <c r="AO11" s="322">
        <f>SUMIFS(Tabla110[[#All],[Utilidad Bruta Total]],Tabla110[[#All],[Asesor]],B11,Tabla110[[#All],[Fecha Cobranza]],"&lt;"&amp;$AO$6,Tabla110[[#All],[Fecha Cobranza]],"&gt;="&amp;$AN$6)</f>
        <v>0</v>
      </c>
      <c r="AP11" s="322">
        <f>SUMIFS(Tabla110[[#All],[Utilidad Bruta Total]],Tabla110[[#All],[Asesor]],B11,Tabla110[[#All],[Fecha Cobranza]],"&lt;"&amp;$AP$6,Tabla110[[#All],[Fecha Cobranza]],"&gt;="&amp;$AO$6)</f>
        <v>0</v>
      </c>
      <c r="AQ11" s="322">
        <f>SUMIFS(Tabla110[[#All],[Utilidad Bruta Total]],Tabla110[[#All],[Asesor]],B11,Tabla110[[#All],[Fecha Cobranza]],"&lt;"&amp;$AQ$6,Tabla110[[#All],[Fecha Cobranza]],"&gt;="&amp;$AP$6)</f>
        <v>0</v>
      </c>
      <c r="AR11" s="322">
        <f>SUMIFS(Tabla110[[#All],[Utilidad Bruta Total]],Tabla110[[#All],[Asesor]],B11,Tabla110[[#All],[Fecha Cobranza]],"&lt;"&amp;$AR$6,Tabla110[[#All],[Fecha Cobranza]],"&gt;="&amp;$AQ$6)</f>
        <v>0</v>
      </c>
      <c r="AS11" s="322">
        <f>SUMIFS(Tabla110[[#All],[Utilidad Bruta Total]],Tabla110[[#All],[Asesor]],$B11,Tabla110[[#All],[Fecha Cobranza]],"&lt;"&amp;AS$6,Tabla110[[#All],[Fecha Cobranza]],"&gt;="&amp;AR$6)</f>
        <v>0</v>
      </c>
      <c r="AT11" s="322">
        <f>SUMIFS(Tabla110[[#All],[Utilidad Bruta Total]],Tabla110[[#All],[Asesor]],$B11,Tabla110[[#All],[Fecha Cobranza]],"&lt;"&amp;AT$6,Tabla110[[#All],[Fecha Cobranza]],"&gt;="&amp;AS$6)</f>
        <v>0</v>
      </c>
      <c r="AU11" s="322">
        <f>SUMIFS(Tabla110[[#All],[Utilidad Bruta Total]],Tabla110[[#All],[Asesor]],$B11,Tabla110[[#All],[Fecha Cobranza]],"&lt;"&amp;AU$6,Tabla110[[#All],[Fecha Cobranza]],"&gt;="&amp;AT$6)</f>
        <v>0</v>
      </c>
      <c r="AV11" s="322">
        <f>SUMIFS(Tabla110[[#All],[Utilidad Bruta Total]],Tabla110[[#All],[Asesor]],$B11,Tabla110[[#All],[Fecha Cobranza]],"&lt;"&amp;AV$6,Tabla110[[#All],[Fecha Cobranza]],"&gt;="&amp;AU$6)</f>
        <v>0</v>
      </c>
      <c r="AW11" s="322">
        <f>SUMIFS(Tabla110[[#All],[Utilidad Bruta Total]],Tabla110[[#All],[Asesor]],$B11,Tabla110[[#All],[Fecha Cobranza]],"&lt;"&amp;AW$6,Tabla110[[#All],[Fecha Cobranza]],"&gt;="&amp;AV$6)</f>
        <v>0</v>
      </c>
      <c r="AX11" s="322">
        <f>SUMIFS(Tabla110[[#All],[Utilidad Bruta Total]],Tabla110[[#All],[Asesor]],$B11,Tabla110[[#All],[Fecha Cobranza]],"&lt;"&amp;AX$6,Tabla110[[#All],[Fecha Cobranza]],"&gt;="&amp;AW$6)</f>
        <v>0</v>
      </c>
      <c r="AY11" s="322">
        <f>SUMIFS(Tabla110[[#All],[Utilidad Bruta Total]],Tabla110[[#All],[Asesor]],$B11,Tabla110[[#All],[Fecha Cobranza]],"&lt;"&amp;AY$6,Tabla110[[#All],[Fecha Cobranza]],"&gt;="&amp;AX$6)</f>
        <v>0</v>
      </c>
      <c r="AZ11" s="322">
        <f>SUMIFS(Tabla110[[#All],[Utilidad Bruta Total]],Tabla110[[#All],[Asesor]],$B11,Tabla110[[#All],[Fecha Cobranza]],"&lt;"&amp;AZ$6,Tabla110[[#All],[Fecha Cobranza]],"&gt;="&amp;AY$6)</f>
        <v>0</v>
      </c>
      <c r="BA11" s="323">
        <f t="shared" si="1"/>
        <v>0</v>
      </c>
      <c r="BB11" s="418">
        <f t="shared" si="2"/>
        <v>0</v>
      </c>
      <c r="BC11" s="318"/>
      <c r="BD11" s="318">
        <f t="shared" si="3"/>
        <v>0</v>
      </c>
      <c r="BE11" s="318"/>
      <c r="BF11" s="318">
        <f t="shared" si="4"/>
        <v>0</v>
      </c>
      <c r="BG11" s="318"/>
      <c r="BH11" s="318">
        <f t="shared" si="5"/>
        <v>0</v>
      </c>
      <c r="BI11" s="318"/>
      <c r="BJ11" s="318">
        <f t="shared" si="6"/>
        <v>0</v>
      </c>
      <c r="BK11" s="318"/>
      <c r="BL11" s="318">
        <f t="shared" si="7"/>
        <v>0</v>
      </c>
      <c r="BM11" s="318"/>
      <c r="BN11" s="318">
        <f t="shared" si="8"/>
        <v>0</v>
      </c>
      <c r="BO11" s="318"/>
      <c r="BP11" s="318">
        <f t="shared" si="9"/>
        <v>0</v>
      </c>
      <c r="BQ11" s="318"/>
      <c r="BR11" s="318">
        <f t="shared" si="10"/>
        <v>0</v>
      </c>
      <c r="BS11" s="318"/>
      <c r="BT11" s="318">
        <f t="shared" si="11"/>
        <v>0</v>
      </c>
      <c r="BU11" s="318">
        <f t="shared" si="12"/>
        <v>0</v>
      </c>
      <c r="BV11" s="318"/>
      <c r="BW11" s="318">
        <f t="shared" si="13"/>
        <v>0</v>
      </c>
      <c r="BX11" s="318"/>
      <c r="BY11" s="318">
        <f t="shared" si="14"/>
        <v>0</v>
      </c>
      <c r="BZ11" s="318"/>
      <c r="CA11" s="318">
        <f t="shared" si="15"/>
        <v>0</v>
      </c>
      <c r="CB11" s="318"/>
      <c r="CC11" s="318">
        <f t="shared" si="16"/>
        <v>0</v>
      </c>
      <c r="CD11" s="318"/>
      <c r="CE11" s="318">
        <f t="shared" si="17"/>
        <v>0</v>
      </c>
      <c r="CF11" s="318"/>
      <c r="CG11" s="318">
        <f t="shared" si="18"/>
        <v>0</v>
      </c>
      <c r="CH11" s="318"/>
      <c r="CI11" s="318">
        <f t="shared" si="19"/>
        <v>0</v>
      </c>
      <c r="CJ11" s="318"/>
      <c r="CK11" s="318">
        <f t="shared" si="20"/>
        <v>0</v>
      </c>
      <c r="CL11" s="318"/>
      <c r="CM11" s="318">
        <f t="shared" si="21"/>
        <v>0</v>
      </c>
      <c r="CN11" s="318"/>
      <c r="CO11" s="318">
        <f t="shared" si="22"/>
        <v>0</v>
      </c>
      <c r="CP11" s="318"/>
      <c r="CQ11" s="318">
        <f t="shared" si="23"/>
        <v>0</v>
      </c>
      <c r="CR11" s="318"/>
      <c r="CS11" s="318">
        <f t="shared" si="24"/>
        <v>0</v>
      </c>
      <c r="CT11" s="318"/>
      <c r="CU11" s="318">
        <f t="shared" si="25"/>
        <v>0</v>
      </c>
      <c r="CV11" s="318"/>
      <c r="CW11" s="318">
        <f t="shared" si="26"/>
        <v>0</v>
      </c>
      <c r="CX11" s="330"/>
      <c r="CY11" s="330"/>
      <c r="CZ11" s="330"/>
      <c r="DA11" s="330"/>
      <c r="DB11" s="330"/>
      <c r="DC11" s="330"/>
      <c r="DD11" s="330"/>
      <c r="DE11" s="330"/>
      <c r="DF11" s="330"/>
      <c r="DG11" s="330"/>
      <c r="DH11" s="330"/>
      <c r="DI11" s="330"/>
      <c r="DJ11" s="330"/>
      <c r="DK11" s="330"/>
      <c r="DL11" s="330"/>
      <c r="DM11" s="330"/>
      <c r="DN11" s="330"/>
      <c r="DO11" s="330"/>
      <c r="DP11" s="330"/>
      <c r="DQ11" s="330"/>
      <c r="DR11" s="330"/>
      <c r="DS11" s="330"/>
      <c r="DT11" s="330"/>
      <c r="DU11" s="330"/>
      <c r="DV11" s="331">
        <f t="shared" si="30"/>
        <v>0</v>
      </c>
      <c r="DW11" s="130">
        <f t="shared" si="27"/>
        <v>0</v>
      </c>
      <c r="DX11" s="130">
        <f t="shared" si="28"/>
        <v>0</v>
      </c>
      <c r="DY11" s="147">
        <f t="shared" si="31"/>
        <v>0</v>
      </c>
      <c r="DZ11" s="298">
        <f t="shared" si="29"/>
        <v>0</v>
      </c>
      <c r="ED11" s="163"/>
      <c r="EG11" s="130">
        <v>1666667.67</v>
      </c>
      <c r="EH11" s="312">
        <v>3000000</v>
      </c>
      <c r="EI11" s="364">
        <v>6.5000000000000002E-2</v>
      </c>
      <c r="EJ11" s="364"/>
    </row>
    <row r="12" spans="2:145" ht="15.75" x14ac:dyDescent="0.3">
      <c r="B12" s="332" t="s">
        <v>289</v>
      </c>
      <c r="C12" s="297" t="s">
        <v>485</v>
      </c>
      <c r="D12" s="326">
        <f>SUMIFS(Tabla110[[#All],[Venta Total]],Tabla110[[#All],[Asesor]],B12,Tabla110[[#All],[Fecha Cobranza]],"&lt;"&amp;$D$6,Tabla110[[#All],[Fecha Cobranza]],"&gt;="&amp;$B$6)</f>
        <v>0</v>
      </c>
      <c r="E12" s="326">
        <f>SUMIFS(Tabla110[[#All],[Venta Total]],Tabla110[[#All],[Asesor]],B12,Tabla110[[#All],[Fecha Cobranza]],"&lt;"&amp;$E$6,Tabla110[[#All],[Fecha Cobranza]],"&gt;="&amp;$D$6)</f>
        <v>0</v>
      </c>
      <c r="F12" s="326">
        <f>SUMIFS(Tabla110[[#All],[Venta Total]],Tabla110[[#All],[Asesor]],B12,Tabla110[[#All],[Fecha Cobranza]],"&lt;"&amp;$F$6,Tabla110[[#All],[Fecha Cobranza]],"&gt;="&amp;$E$6)</f>
        <v>0</v>
      </c>
      <c r="G12" s="326">
        <f>SUMIFS(Tabla110[[#All],[Venta Total]],Tabla110[[#All],[Asesor]],B12,Tabla110[[#All],[Fecha Cobranza]],"&lt;"&amp;$G$6,Tabla110[[#All],[Fecha Cobranza]],"&gt;="&amp;$F$6)</f>
        <v>0</v>
      </c>
      <c r="H12" s="326">
        <f>SUMIFS(Tabla110[[#All],[Venta Total]],Tabla110[[#All],[Asesor]],B12,Tabla110[[#All],[Fecha Cobranza]],"&lt;"&amp;$H$6,Tabla110[[#All],[Fecha Cobranza]],"&gt;="&amp;$G$6)</f>
        <v>0</v>
      </c>
      <c r="I12" s="326">
        <f>SUMIFS(Tabla110[[#All],[Venta Total]],Tabla110[[#All],[Asesor]],B12,Tabla110[[#All],[Fecha Cobranza]],"&lt;"&amp;$I$6,Tabla110[[#All],[Fecha Cobranza]],"&gt;="&amp;$H$6)</f>
        <v>0</v>
      </c>
      <c r="J12" s="326">
        <f>SUMIFS(Tabla110[[#All],[Venta Total]],Tabla110[[#All],[Asesor]],B12,Tabla110[[#All],[Fecha Cobranza]],"&lt;"&amp;$J$6,Tabla110[[#All],[Fecha Cobranza]],"&gt;="&amp;$I$6)</f>
        <v>0</v>
      </c>
      <c r="K12" s="326">
        <f>SUMIFS(Tabla110[[#All],[Venta Total]],Tabla110[[#All],[Asesor]],B12,Tabla110[[#All],[Fecha Cobranza]],"&lt;"&amp;$K$6,Tabla110[[#All],[Fecha Cobranza]],"&gt;="&amp;$J$6)</f>
        <v>0</v>
      </c>
      <c r="L12" s="326">
        <f>SUMIFS(Tabla110[[#All],[Venta Total]],Tabla110[[#All],[Asesor]],B12,Tabla110[[#All],[Fecha Cobranza]],"&lt;"&amp;$L$6,Tabla110[[#All],[Fecha Cobranza]],"&gt;="&amp;$K$6)</f>
        <v>0</v>
      </c>
      <c r="M12" s="326">
        <f>SUMIFS(Tabla110[[#All],[Venta Total]],Tabla110[[#All],[Asesor]],B12,Tabla110[[#All],[Fecha Cobranza]],"&lt;"&amp;$M$6,Tabla110[[#All],[Fecha Cobranza]],"&gt;="&amp;$L$6)</f>
        <v>0</v>
      </c>
      <c r="N12" s="326">
        <f>SUMIFS(Tabla110[[#All],[Venta Total]],Tabla110[[#All],[Asesor]],B12,Tabla110[[#All],[Fecha Cobranza]],"&lt;"&amp;$N$6,Tabla110[[#All],[Fecha Cobranza]],"&gt;="&amp;$M$6)</f>
        <v>0</v>
      </c>
      <c r="O12" s="326">
        <f>SUMIFS(Tabla110[[#All],[Venta Total]],Tabla110[[#All],[Asesor]],B12,Tabla110[[#All],[Fecha Cobranza]],"&lt;"&amp;$O$6,Tabla110[[#All],[Fecha Cobranza]],"&gt;="&amp;$N$6)</f>
        <v>0</v>
      </c>
      <c r="P12" s="326">
        <f>SUMIFS(Tabla110[[#All],[Venta Total]],Tabla110[[#All],[Asesor]],B12,Tabla110[[#All],[Fecha Cobranza]],"&lt;"&amp;$P$6,Tabla110[[#All],[Fecha Cobranza]],"&gt;="&amp;$O$6)</f>
        <v>0</v>
      </c>
      <c r="Q12" s="326">
        <f>SUMIFS(Tabla110[[#All],[Venta Total]],Tabla110[[#All],[Asesor]],B12,Tabla110[[#All],[Fecha Cobranza]],"&lt;"&amp;$Q$6,Tabla110[[#All],[Fecha Cobranza]],"&gt;="&amp;$P$6)</f>
        <v>0</v>
      </c>
      <c r="R12" s="326">
        <f>SUMIFS(Tabla110[[#All],[Venta Total]],Tabla110[[#All],[Asesor]],B12,Tabla110[[#All],[Fecha Cobranza]],"&lt;"&amp;$R$6,Tabla110[[#All],[Fecha Cobranza]],"&gt;="&amp;$Q$6)</f>
        <v>0</v>
      </c>
      <c r="S12" s="326">
        <f>SUMIFS(Tabla110[[#All],[Venta Total]],Tabla110[[#All],[Asesor]],B12,Tabla110[[#All],[Fecha Cobranza]],"&lt;"&amp;$S$6,Tabla110[[#All],[Fecha Cobranza]],"&gt;="&amp;$R$6)</f>
        <v>0</v>
      </c>
      <c r="T12" s="326">
        <f>SUMIFS(Tabla110[[#All],[Venta Total]],Tabla110[[#All],[Asesor]],$B12,Tabla110[[#All],[Fecha Cobranza]],"&lt;"&amp;T$6,Tabla110[[#All],[Fecha Cobranza]],"&gt;="&amp;S$6)</f>
        <v>0</v>
      </c>
      <c r="U12" s="326">
        <f>SUMIFS(Tabla110[[#All],[Venta Total]],Tabla110[[#All],[Asesor]],$B12,Tabla110[[#All],[Fecha Cobranza]],"&lt;"&amp;U$6,Tabla110[[#All],[Fecha Cobranza]],"&gt;="&amp;T$6)</f>
        <v>0</v>
      </c>
      <c r="V12" s="326">
        <f>SUMIFS(Tabla110[[#All],[Venta Total]],Tabla110[[#All],[Asesor]],$B12,Tabla110[[#All],[Fecha Cobranza]],"&lt;"&amp;V$6,Tabla110[[#All],[Fecha Cobranza]],"&gt;="&amp;U$6)</f>
        <v>0</v>
      </c>
      <c r="W12" s="326">
        <f>SUMIFS(Tabla110[[#All],[Venta Total]],Tabla110[[#All],[Asesor]],$B12,Tabla110[[#All],[Fecha Cobranza]],"&lt;"&amp;W$6,Tabla110[[#All],[Fecha Cobranza]],"&gt;="&amp;V$6)</f>
        <v>0</v>
      </c>
      <c r="X12" s="326">
        <f>SUMIFS(Tabla110[[#All],[Venta Total]],Tabla110[[#All],[Asesor]],$B12,Tabla110[[#All],[Fecha Cobranza]],"&lt;"&amp;X$6,Tabla110[[#All],[Fecha Cobranza]],"&gt;="&amp;W$6)</f>
        <v>0</v>
      </c>
      <c r="Y12" s="326">
        <f>SUMIFS(Tabla110[[#All],[Venta Total]],Tabla110[[#All],[Asesor]],$B12,Tabla110[[#All],[Fecha Cobranza]],"&lt;"&amp;Y$6,Tabla110[[#All],[Fecha Cobranza]],"&gt;="&amp;X$6)</f>
        <v>0</v>
      </c>
      <c r="Z12" s="326">
        <f>SUMIFS(Tabla110[[#All],[Venta Total]],Tabla110[[#All],[Asesor]],$B12,Tabla110[[#All],[Fecha Cobranza]],"&lt;"&amp;Z$6,Tabla110[[#All],[Fecha Cobranza]],"&gt;="&amp;Y$6)</f>
        <v>0</v>
      </c>
      <c r="AA12" s="326">
        <f>SUMIFS(Tabla110[[#All],[Venta Total]],Tabla110[[#All],[Asesor]],$B12,Tabla110[[#All],[Fecha Cobranza]],"&lt;"&amp;AA$6,Tabla110[[#All],[Fecha Cobranza]],"&gt;="&amp;Z$6)</f>
        <v>0</v>
      </c>
      <c r="AB12" s="327">
        <f t="shared" si="0"/>
        <v>0</v>
      </c>
      <c r="AC12" s="322">
        <f>SUMIFS(Tabla110[[#All],[Utilidad Bruta Total]],Tabla110[[#All],[Asesor]],B12,Tabla110[[#All],[Fecha Cobranza]],"&lt;"&amp;$AC$6,Tabla110[[#All],[Fecha Cobranza]],"&gt;="&amp;$B$6)</f>
        <v>0</v>
      </c>
      <c r="AD12" s="322">
        <f>SUMIFS(Tabla110[[#All],[Utilidad Bruta Total]],Tabla110[[#All],[Asesor]],B12,Tabla110[[#All],[Fecha Cobranza]],"&lt;"&amp;$AD$6,Tabla110[[#All],[Fecha Cobranza]],"&gt;="&amp;$AC$6)</f>
        <v>0</v>
      </c>
      <c r="AE12" s="322">
        <f>SUMIFS(Tabla110[[#All],[Utilidad Bruta Total]],Tabla110[[#All],[Asesor]],B12,Tabla110[[#All],[Fecha Cobranza]],"&lt;"&amp;$AE$6,Tabla110[[#All],[Fecha Cobranza]],"&gt;="&amp;$AD$6)</f>
        <v>0</v>
      </c>
      <c r="AF12" s="322">
        <f>SUMIFS(Tabla110[[#All],[Utilidad Bruta Total]],Tabla110[[#All],[Asesor]],B12,Tabla110[[#All],[Fecha Cobranza]],"&lt;"&amp;$AF$6,Tabla110[[#All],[Fecha Cobranza]],"&gt;="&amp;$AE$6)</f>
        <v>0</v>
      </c>
      <c r="AG12" s="322">
        <f>SUMIFS(Tabla110[[#All],[Utilidad Bruta Total]],Tabla110[[#All],[Asesor]],B12,Tabla110[[#All],[Fecha Cobranza]],"&lt;"&amp;$AG$6,Tabla110[[#All],[Fecha Cobranza]],"&gt;="&amp;$AF$6)</f>
        <v>0</v>
      </c>
      <c r="AH12" s="322">
        <f>SUMIFS(Tabla110[[#All],[Utilidad Bruta Total]],Tabla110[[#All],[Asesor]],B12,Tabla110[[#All],[Fecha Cobranza]],"&lt;"&amp;$AH$6,Tabla110[[#All],[Fecha Cobranza]],"&gt;="&amp;$AG$6)</f>
        <v>0</v>
      </c>
      <c r="AI12" s="322">
        <f>SUMIFS(Tabla110[[#All],[Utilidad Bruta Total]],Tabla110[[#All],[Asesor]],B12,Tabla110[[#All],[Fecha Cobranza]],"&lt;"&amp;$AI$6,Tabla110[[#All],[Fecha Cobranza]],"&gt;="&amp;$AH$6)</f>
        <v>0</v>
      </c>
      <c r="AJ12" s="322">
        <f>SUMIFS(Tabla110[[#All],[Utilidad Bruta Total]],Tabla110[[#All],[Asesor]],B12,Tabla110[[#All],[Fecha Cobranza]],"&lt;"&amp;$AJ$6,Tabla110[[#All],[Fecha Cobranza]],"&gt;="&amp;$AI$6)</f>
        <v>0</v>
      </c>
      <c r="AK12" s="322">
        <f>SUMIFS(Tabla110[[#All],[Utilidad Bruta Total]],Tabla110[[#All],[Asesor]],B12,Tabla110[[#All],[Fecha Cobranza]],"&lt;"&amp;$AK$6,Tabla110[[#All],[Fecha Cobranza]],"&gt;="&amp;$AJ$6)</f>
        <v>0</v>
      </c>
      <c r="AL12" s="322">
        <f>SUMIFS(Tabla110[[#All],[Utilidad Bruta Total]],Tabla110[[#All],[Asesor]],B12,Tabla110[[#All],[Fecha Cobranza]],"&lt;"&amp;$AL$6,Tabla110[[#All],[Fecha Cobranza]],"&gt;="&amp;$AK$6)</f>
        <v>0</v>
      </c>
      <c r="AM12" s="322">
        <f>SUMIFS(Tabla110[[#All],[Utilidad Bruta Total]],Tabla110[[#All],[Asesor]],B12,Tabla110[[#All],[Fecha Cobranza]],"&lt;"&amp;$AM$6,Tabla110[[#All],[Fecha Cobranza]],"&gt;="&amp;$AL$6)</f>
        <v>0</v>
      </c>
      <c r="AN12" s="322">
        <f>SUMIFS(Tabla110[[#All],[Utilidad Bruta Total]],Tabla110[[#All],[Asesor]],B12,Tabla110[[#All],[Fecha Cobranza]],"&lt;"&amp;$AN$6,Tabla110[[#All],[Fecha Cobranza]],"&gt;="&amp;$AM$6)</f>
        <v>0</v>
      </c>
      <c r="AO12" s="322">
        <f>SUMIFS(Tabla110[[#All],[Utilidad Bruta Total]],Tabla110[[#All],[Asesor]],B12,Tabla110[[#All],[Fecha Cobranza]],"&lt;"&amp;$AO$6,Tabla110[[#All],[Fecha Cobranza]],"&gt;="&amp;$AN$6)</f>
        <v>0</v>
      </c>
      <c r="AP12" s="322">
        <f>SUMIFS(Tabla110[[#All],[Utilidad Bruta Total]],Tabla110[[#All],[Asesor]],B12,Tabla110[[#All],[Fecha Cobranza]],"&lt;"&amp;$AP$6,Tabla110[[#All],[Fecha Cobranza]],"&gt;="&amp;$AO$6)</f>
        <v>0</v>
      </c>
      <c r="AQ12" s="322">
        <f>SUMIFS(Tabla110[[#All],[Utilidad Bruta Total]],Tabla110[[#All],[Asesor]],B12,Tabla110[[#All],[Fecha Cobranza]],"&lt;"&amp;$AQ$6,Tabla110[[#All],[Fecha Cobranza]],"&gt;="&amp;$AP$6)</f>
        <v>0</v>
      </c>
      <c r="AR12" s="322">
        <f>SUMIFS(Tabla110[[#All],[Utilidad Bruta Total]],Tabla110[[#All],[Asesor]],B12,Tabla110[[#All],[Fecha Cobranza]],"&lt;"&amp;$AR$6,Tabla110[[#All],[Fecha Cobranza]],"&gt;="&amp;$AQ$6)</f>
        <v>0</v>
      </c>
      <c r="AS12" s="322">
        <f>SUMIFS(Tabla110[[#All],[Utilidad Bruta Total]],Tabla110[[#All],[Asesor]],$B12,Tabla110[[#All],[Fecha Cobranza]],"&lt;"&amp;AS$6,Tabla110[[#All],[Fecha Cobranza]],"&gt;="&amp;AR$6)</f>
        <v>0</v>
      </c>
      <c r="AT12" s="322">
        <f>SUMIFS(Tabla110[[#All],[Utilidad Bruta Total]],Tabla110[[#All],[Asesor]],$B12,Tabla110[[#All],[Fecha Cobranza]],"&lt;"&amp;AT$6,Tabla110[[#All],[Fecha Cobranza]],"&gt;="&amp;AS$6)</f>
        <v>0</v>
      </c>
      <c r="AU12" s="322">
        <f>SUMIFS(Tabla110[[#All],[Utilidad Bruta Total]],Tabla110[[#All],[Asesor]],$B12,Tabla110[[#All],[Fecha Cobranza]],"&lt;"&amp;AU$6,Tabla110[[#All],[Fecha Cobranza]],"&gt;="&amp;AT$6)</f>
        <v>0</v>
      </c>
      <c r="AV12" s="322">
        <f>SUMIFS(Tabla110[[#All],[Utilidad Bruta Total]],Tabla110[[#All],[Asesor]],$B12,Tabla110[[#All],[Fecha Cobranza]],"&lt;"&amp;AV$6,Tabla110[[#All],[Fecha Cobranza]],"&gt;="&amp;AU$6)</f>
        <v>0</v>
      </c>
      <c r="AW12" s="322">
        <f>SUMIFS(Tabla110[[#All],[Utilidad Bruta Total]],Tabla110[[#All],[Asesor]],$B12,Tabla110[[#All],[Fecha Cobranza]],"&lt;"&amp;AW$6,Tabla110[[#All],[Fecha Cobranza]],"&gt;="&amp;AV$6)</f>
        <v>0</v>
      </c>
      <c r="AX12" s="322">
        <f>SUMIFS(Tabla110[[#All],[Utilidad Bruta Total]],Tabla110[[#All],[Asesor]],$B12,Tabla110[[#All],[Fecha Cobranza]],"&lt;"&amp;AX$6,Tabla110[[#All],[Fecha Cobranza]],"&gt;="&amp;AW$6)</f>
        <v>0</v>
      </c>
      <c r="AY12" s="322">
        <f>SUMIFS(Tabla110[[#All],[Utilidad Bruta Total]],Tabla110[[#All],[Asesor]],$B12,Tabla110[[#All],[Fecha Cobranza]],"&lt;"&amp;AY$6,Tabla110[[#All],[Fecha Cobranza]],"&gt;="&amp;AX$6)</f>
        <v>0</v>
      </c>
      <c r="AZ12" s="322">
        <f>SUMIFS(Tabla110[[#All],[Utilidad Bruta Total]],Tabla110[[#All],[Asesor]],$B12,Tabla110[[#All],[Fecha Cobranza]],"&lt;"&amp;AZ$6,Tabla110[[#All],[Fecha Cobranza]],"&gt;="&amp;AY$6)</f>
        <v>0</v>
      </c>
      <c r="BA12" s="323">
        <f t="shared" si="1"/>
        <v>0</v>
      </c>
      <c r="BB12" s="318">
        <f t="shared" si="2"/>
        <v>0</v>
      </c>
      <c r="BC12" s="318"/>
      <c r="BD12" s="318">
        <f t="shared" si="3"/>
        <v>0</v>
      </c>
      <c r="BE12" s="318"/>
      <c r="BF12" s="318">
        <f t="shared" si="4"/>
        <v>0</v>
      </c>
      <c r="BG12" s="318"/>
      <c r="BH12" s="318">
        <f t="shared" si="5"/>
        <v>0</v>
      </c>
      <c r="BI12" s="318"/>
      <c r="BJ12" s="318">
        <f t="shared" si="6"/>
        <v>0</v>
      </c>
      <c r="BK12" s="318"/>
      <c r="BL12" s="318">
        <f t="shared" si="7"/>
        <v>0</v>
      </c>
      <c r="BM12" s="318"/>
      <c r="BN12" s="318">
        <f t="shared" si="8"/>
        <v>0</v>
      </c>
      <c r="BO12" s="318"/>
      <c r="BP12" s="318">
        <f t="shared" si="9"/>
        <v>0</v>
      </c>
      <c r="BQ12" s="318"/>
      <c r="BR12" s="318">
        <f t="shared" si="10"/>
        <v>0</v>
      </c>
      <c r="BS12" s="318"/>
      <c r="BT12" s="318">
        <f t="shared" si="11"/>
        <v>0</v>
      </c>
      <c r="BU12" s="318">
        <f t="shared" si="12"/>
        <v>0</v>
      </c>
      <c r="BV12" s="318"/>
      <c r="BW12" s="318">
        <f t="shared" si="13"/>
        <v>0</v>
      </c>
      <c r="BX12" s="318"/>
      <c r="BY12" s="318">
        <f t="shared" si="14"/>
        <v>0</v>
      </c>
      <c r="BZ12" s="318"/>
      <c r="CA12" s="318">
        <f t="shared" si="15"/>
        <v>0</v>
      </c>
      <c r="CB12" s="318"/>
      <c r="CC12" s="318">
        <f t="shared" si="16"/>
        <v>0</v>
      </c>
      <c r="CD12" s="318"/>
      <c r="CE12" s="318">
        <f t="shared" si="17"/>
        <v>0</v>
      </c>
      <c r="CF12" s="318"/>
      <c r="CG12" s="318">
        <f t="shared" si="18"/>
        <v>0</v>
      </c>
      <c r="CH12" s="318"/>
      <c r="CI12" s="318">
        <f t="shared" si="19"/>
        <v>0</v>
      </c>
      <c r="CJ12" s="318"/>
      <c r="CK12" s="318">
        <f t="shared" si="20"/>
        <v>0</v>
      </c>
      <c r="CL12" s="318"/>
      <c r="CM12" s="318">
        <f t="shared" si="21"/>
        <v>0</v>
      </c>
      <c r="CN12" s="318"/>
      <c r="CO12" s="318">
        <f t="shared" si="22"/>
        <v>0</v>
      </c>
      <c r="CP12" s="318"/>
      <c r="CQ12" s="318">
        <f t="shared" si="23"/>
        <v>0</v>
      </c>
      <c r="CR12" s="318"/>
      <c r="CS12" s="318">
        <f t="shared" si="24"/>
        <v>0</v>
      </c>
      <c r="CT12" s="318"/>
      <c r="CU12" s="318">
        <f t="shared" si="25"/>
        <v>0</v>
      </c>
      <c r="CV12" s="318"/>
      <c r="CW12" s="318">
        <f t="shared" si="26"/>
        <v>0</v>
      </c>
      <c r="CX12" s="330"/>
      <c r="CY12" s="330"/>
      <c r="CZ12" s="330"/>
      <c r="DA12" s="330"/>
      <c r="DB12" s="330"/>
      <c r="DC12" s="330"/>
      <c r="DD12" s="330"/>
      <c r="DE12" s="330"/>
      <c r="DF12" s="330"/>
      <c r="DG12" s="330"/>
      <c r="DH12" s="330"/>
      <c r="DI12" s="330"/>
      <c r="DJ12" s="330"/>
      <c r="DK12" s="330"/>
      <c r="DL12" s="330"/>
      <c r="DM12" s="330"/>
      <c r="DN12" s="330"/>
      <c r="DO12" s="330"/>
      <c r="DP12" s="330"/>
      <c r="DQ12" s="330"/>
      <c r="DR12" s="330"/>
      <c r="DS12" s="330"/>
      <c r="DT12" s="330"/>
      <c r="DU12" s="330"/>
      <c r="DV12" s="331">
        <f t="shared" si="30"/>
        <v>0</v>
      </c>
      <c r="DW12" s="130">
        <f t="shared" si="27"/>
        <v>0</v>
      </c>
      <c r="DX12" s="130">
        <f t="shared" si="28"/>
        <v>0</v>
      </c>
      <c r="DY12" s="147">
        <f t="shared" si="31"/>
        <v>0</v>
      </c>
      <c r="DZ12" s="298">
        <f t="shared" si="29"/>
        <v>0</v>
      </c>
      <c r="EG12" s="130">
        <v>3000001</v>
      </c>
      <c r="EH12" s="312">
        <v>50000000</v>
      </c>
      <c r="EI12" s="364">
        <v>0.08</v>
      </c>
      <c r="EJ12" s="364"/>
    </row>
    <row r="13" spans="2:145" ht="15.75" x14ac:dyDescent="0.3">
      <c r="B13" s="332" t="s">
        <v>281</v>
      </c>
      <c r="C13" s="297" t="str">
        <f>VLOOKUP(B13,'Caratula 2023'!$B$8:$C$42,2,FALSE)</f>
        <v>INTERNO</v>
      </c>
      <c r="D13" s="326">
        <f>SUMIFS(Tabla110[[#All],[Venta Total]],Tabla110[[#All],[Asesor]],B13,Tabla110[[#All],[Fecha Cobranza]],"&lt;"&amp;$D$6,Tabla110[[#All],[Fecha Cobranza]],"&gt;="&amp;$B$6)</f>
        <v>0</v>
      </c>
      <c r="E13" s="326">
        <f>SUMIFS(Tabla110[[#All],[Venta Total]],Tabla110[[#All],[Asesor]],B13,Tabla110[[#All],[Fecha Cobranza]],"&lt;"&amp;$E$6,Tabla110[[#All],[Fecha Cobranza]],"&gt;="&amp;$D$6)</f>
        <v>0</v>
      </c>
      <c r="F13" s="326">
        <f>SUMIFS(Tabla110[[#All],[Venta Total]],Tabla110[[#All],[Asesor]],B13,Tabla110[[#All],[Fecha Cobranza]],"&lt;"&amp;$F$6,Tabla110[[#All],[Fecha Cobranza]],"&gt;="&amp;$E$6)</f>
        <v>0</v>
      </c>
      <c r="G13" s="326">
        <f>SUMIFS(Tabla110[[#All],[Venta Total]],Tabla110[[#All],[Asesor]],B13,Tabla110[[#All],[Fecha Cobranza]],"&lt;"&amp;$G$6,Tabla110[[#All],[Fecha Cobranza]],"&gt;="&amp;$F$6)</f>
        <v>0</v>
      </c>
      <c r="H13" s="326">
        <f>SUMIFS(Tabla110[[#All],[Venta Total]],Tabla110[[#All],[Asesor]],B13,Tabla110[[#All],[Fecha Cobranza]],"&lt;"&amp;$H$6,Tabla110[[#All],[Fecha Cobranza]],"&gt;="&amp;$G$6)</f>
        <v>0</v>
      </c>
      <c r="I13" s="326">
        <f>SUMIFS(Tabla110[[#All],[Venta Total]],Tabla110[[#All],[Asesor]],B13,Tabla110[[#All],[Fecha Cobranza]],"&lt;"&amp;$I$6,Tabla110[[#All],[Fecha Cobranza]],"&gt;="&amp;$H$6)</f>
        <v>0</v>
      </c>
      <c r="J13" s="326">
        <f>SUMIFS(Tabla110[[#All],[Venta Total]],Tabla110[[#All],[Asesor]],B13,Tabla110[[#All],[Fecha Cobranza]],"&lt;"&amp;$J$6,Tabla110[[#All],[Fecha Cobranza]],"&gt;="&amp;$I$6)</f>
        <v>0</v>
      </c>
      <c r="K13" s="326">
        <f>SUMIFS(Tabla110[[#All],[Venta Total]],Tabla110[[#All],[Asesor]],B13,Tabla110[[#All],[Fecha Cobranza]],"&lt;"&amp;$K$6,Tabla110[[#All],[Fecha Cobranza]],"&gt;="&amp;$J$6)</f>
        <v>0</v>
      </c>
      <c r="L13" s="326">
        <f>SUMIFS(Tabla110[[#All],[Venta Total]],Tabla110[[#All],[Asesor]],B13,Tabla110[[#All],[Fecha Cobranza]],"&lt;"&amp;$L$6,Tabla110[[#All],[Fecha Cobranza]],"&gt;="&amp;$K$6)</f>
        <v>0</v>
      </c>
      <c r="M13" s="326">
        <f>SUMIFS(Tabla110[[#All],[Venta Total]],Tabla110[[#All],[Asesor]],B13,Tabla110[[#All],[Fecha Cobranza]],"&lt;"&amp;$M$6,Tabla110[[#All],[Fecha Cobranza]],"&gt;="&amp;$L$6)</f>
        <v>0</v>
      </c>
      <c r="N13" s="326">
        <f>SUMIFS(Tabla110[[#All],[Venta Total]],Tabla110[[#All],[Asesor]],B13,Tabla110[[#All],[Fecha Cobranza]],"&lt;"&amp;$N$6,Tabla110[[#All],[Fecha Cobranza]],"&gt;="&amp;$M$6)</f>
        <v>0</v>
      </c>
      <c r="O13" s="326">
        <f>SUMIFS(Tabla110[[#All],[Venta Total]],Tabla110[[#All],[Asesor]],B13,Tabla110[[#All],[Fecha Cobranza]],"&lt;"&amp;$O$6,Tabla110[[#All],[Fecha Cobranza]],"&gt;="&amp;$N$6)</f>
        <v>0</v>
      </c>
      <c r="P13" s="326">
        <f>SUMIFS(Tabla110[[#All],[Venta Total]],Tabla110[[#All],[Asesor]],B13,Tabla110[[#All],[Fecha Cobranza]],"&lt;"&amp;$P$6,Tabla110[[#All],[Fecha Cobranza]],"&gt;="&amp;$O$6)</f>
        <v>0</v>
      </c>
      <c r="Q13" s="326">
        <f>SUMIFS(Tabla110[[#All],[Venta Total]],Tabla110[[#All],[Asesor]],B13,Tabla110[[#All],[Fecha Cobranza]],"&lt;"&amp;$Q$6,Tabla110[[#All],[Fecha Cobranza]],"&gt;="&amp;$P$6)</f>
        <v>0</v>
      </c>
      <c r="R13" s="326">
        <f>SUMIFS(Tabla110[[#All],[Venta Total]],Tabla110[[#All],[Asesor]],B13,Tabla110[[#All],[Fecha Cobranza]],"&lt;"&amp;$R$6,Tabla110[[#All],[Fecha Cobranza]],"&gt;="&amp;$Q$6)</f>
        <v>0</v>
      </c>
      <c r="S13" s="326">
        <f>SUMIFS(Tabla110[[#All],[Venta Total]],Tabla110[[#All],[Asesor]],B13,Tabla110[[#All],[Fecha Cobranza]],"&lt;"&amp;$S$6,Tabla110[[#All],[Fecha Cobranza]],"&gt;="&amp;$R$6)</f>
        <v>0</v>
      </c>
      <c r="T13" s="326">
        <f>SUMIFS(Tabla110[[#All],[Venta Total]],Tabla110[[#All],[Asesor]],$B13,Tabla110[[#All],[Fecha Cobranza]],"&lt;"&amp;T$6,Tabla110[[#All],[Fecha Cobranza]],"&gt;="&amp;S$6)</f>
        <v>0</v>
      </c>
      <c r="U13" s="326">
        <f>SUMIFS(Tabla110[[#All],[Venta Total]],Tabla110[[#All],[Asesor]],$B13,Tabla110[[#All],[Fecha Cobranza]],"&lt;"&amp;U$6,Tabla110[[#All],[Fecha Cobranza]],"&gt;="&amp;T$6)</f>
        <v>0</v>
      </c>
      <c r="V13" s="326">
        <f>SUMIFS(Tabla110[[#All],[Venta Total]],Tabla110[[#All],[Asesor]],$B13,Tabla110[[#All],[Fecha Cobranza]],"&lt;"&amp;V$6,Tabla110[[#All],[Fecha Cobranza]],"&gt;="&amp;U$6)</f>
        <v>0</v>
      </c>
      <c r="W13" s="326">
        <f>SUMIFS(Tabla110[[#All],[Venta Total]],Tabla110[[#All],[Asesor]],$B13,Tabla110[[#All],[Fecha Cobranza]],"&lt;"&amp;W$6,Tabla110[[#All],[Fecha Cobranza]],"&gt;="&amp;V$6)</f>
        <v>0</v>
      </c>
      <c r="X13" s="326">
        <f>SUMIFS(Tabla110[[#All],[Venta Total]],Tabla110[[#All],[Asesor]],$B13,Tabla110[[#All],[Fecha Cobranza]],"&lt;"&amp;X$6,Tabla110[[#All],[Fecha Cobranza]],"&gt;="&amp;W$6)</f>
        <v>0</v>
      </c>
      <c r="Y13" s="326">
        <f>SUMIFS(Tabla110[[#All],[Venta Total]],Tabla110[[#All],[Asesor]],$B13,Tabla110[[#All],[Fecha Cobranza]],"&lt;"&amp;Y$6,Tabla110[[#All],[Fecha Cobranza]],"&gt;="&amp;X$6)</f>
        <v>0</v>
      </c>
      <c r="Z13" s="326">
        <f>SUMIFS(Tabla110[[#All],[Venta Total]],Tabla110[[#All],[Asesor]],$B13,Tabla110[[#All],[Fecha Cobranza]],"&lt;"&amp;Z$6,Tabla110[[#All],[Fecha Cobranza]],"&gt;="&amp;Y$6)</f>
        <v>0</v>
      </c>
      <c r="AA13" s="326">
        <f>SUMIFS(Tabla110[[#All],[Venta Total]],Tabla110[[#All],[Asesor]],$B13,Tabla110[[#All],[Fecha Cobranza]],"&lt;"&amp;AA$6,Tabla110[[#All],[Fecha Cobranza]],"&gt;="&amp;Z$6)</f>
        <v>0</v>
      </c>
      <c r="AB13" s="327">
        <f t="shared" si="0"/>
        <v>0</v>
      </c>
      <c r="AC13" s="322">
        <f>SUMIFS(Tabla110[[#All],[Utilidad Bruta Total]],Tabla110[[#All],[Asesor]],B13,Tabla110[[#All],[Fecha Cobranza]],"&lt;"&amp;$AC$6,Tabla110[[#All],[Fecha Cobranza]],"&gt;="&amp;$B$6)</f>
        <v>0</v>
      </c>
      <c r="AD13" s="322">
        <f>SUMIFS(Tabla110[[#All],[Utilidad Bruta Total]],Tabla110[[#All],[Asesor]],B13,Tabla110[[#All],[Fecha Cobranza]],"&lt;"&amp;$AD$6,Tabla110[[#All],[Fecha Cobranza]],"&gt;="&amp;$AC$6)</f>
        <v>0</v>
      </c>
      <c r="AE13" s="322">
        <f>SUMIFS(Tabla110[[#All],[Utilidad Bruta Total]],Tabla110[[#All],[Asesor]],B13,Tabla110[[#All],[Fecha Cobranza]],"&lt;"&amp;$AE$6,Tabla110[[#All],[Fecha Cobranza]],"&gt;="&amp;$AD$6)</f>
        <v>0</v>
      </c>
      <c r="AF13" s="322">
        <f>SUMIFS(Tabla110[[#All],[Utilidad Bruta Total]],Tabla110[[#All],[Asesor]],B13,Tabla110[[#All],[Fecha Cobranza]],"&lt;"&amp;$AF$6,Tabla110[[#All],[Fecha Cobranza]],"&gt;="&amp;$AE$6)</f>
        <v>0</v>
      </c>
      <c r="AG13" s="322">
        <f>SUMIFS(Tabla110[[#All],[Utilidad Bruta Total]],Tabla110[[#All],[Asesor]],B13,Tabla110[[#All],[Fecha Cobranza]],"&lt;"&amp;$AG$6,Tabla110[[#All],[Fecha Cobranza]],"&gt;="&amp;$AF$6)</f>
        <v>0</v>
      </c>
      <c r="AH13" s="322">
        <f>SUMIFS(Tabla110[[#All],[Utilidad Bruta Total]],Tabla110[[#All],[Asesor]],B13,Tabla110[[#All],[Fecha Cobranza]],"&lt;"&amp;$AH$6,Tabla110[[#All],[Fecha Cobranza]],"&gt;="&amp;$AG$6)</f>
        <v>0</v>
      </c>
      <c r="AI13" s="322">
        <f>SUMIFS(Tabla110[[#All],[Utilidad Bruta Total]],Tabla110[[#All],[Asesor]],B13,Tabla110[[#All],[Fecha Cobranza]],"&lt;"&amp;$AI$6,Tabla110[[#All],[Fecha Cobranza]],"&gt;="&amp;$AH$6)</f>
        <v>0</v>
      </c>
      <c r="AJ13" s="322">
        <f>SUMIFS(Tabla110[[#All],[Utilidad Bruta Total]],Tabla110[[#All],[Asesor]],B13,Tabla110[[#All],[Fecha Cobranza]],"&lt;"&amp;$AJ$6,Tabla110[[#All],[Fecha Cobranza]],"&gt;="&amp;$AI$6)</f>
        <v>0</v>
      </c>
      <c r="AK13" s="322">
        <f>SUMIFS(Tabla110[[#All],[Utilidad Bruta Total]],Tabla110[[#All],[Asesor]],B13,Tabla110[[#All],[Fecha Cobranza]],"&lt;"&amp;$AK$6,Tabla110[[#All],[Fecha Cobranza]],"&gt;="&amp;$AJ$6)</f>
        <v>0</v>
      </c>
      <c r="AL13" s="322">
        <f>SUMIFS(Tabla110[[#All],[Utilidad Bruta Total]],Tabla110[[#All],[Asesor]],B13,Tabla110[[#All],[Fecha Cobranza]],"&lt;"&amp;$AL$6,Tabla110[[#All],[Fecha Cobranza]],"&gt;="&amp;$AK$6)</f>
        <v>0</v>
      </c>
      <c r="AM13" s="322">
        <f>SUMIFS(Tabla110[[#All],[Utilidad Bruta Total]],Tabla110[[#All],[Asesor]],B13,Tabla110[[#All],[Fecha Cobranza]],"&lt;"&amp;$AM$6,Tabla110[[#All],[Fecha Cobranza]],"&gt;="&amp;$AL$6)</f>
        <v>0</v>
      </c>
      <c r="AN13" s="322">
        <f>SUMIFS(Tabla110[[#All],[Utilidad Bruta Total]],Tabla110[[#All],[Asesor]],B13,Tabla110[[#All],[Fecha Cobranza]],"&lt;"&amp;$AN$6,Tabla110[[#All],[Fecha Cobranza]],"&gt;="&amp;$AM$6)</f>
        <v>0</v>
      </c>
      <c r="AO13" s="322">
        <f>SUMIFS(Tabla110[[#All],[Utilidad Bruta Total]],Tabla110[[#All],[Asesor]],B13,Tabla110[[#All],[Fecha Cobranza]],"&lt;"&amp;$AO$6,Tabla110[[#All],[Fecha Cobranza]],"&gt;="&amp;$AN$6)</f>
        <v>0</v>
      </c>
      <c r="AP13" s="322">
        <f>SUMIFS(Tabla110[[#All],[Utilidad Bruta Total]],Tabla110[[#All],[Asesor]],B13,Tabla110[[#All],[Fecha Cobranza]],"&lt;"&amp;$AP$6,Tabla110[[#All],[Fecha Cobranza]],"&gt;="&amp;$AO$6)</f>
        <v>0</v>
      </c>
      <c r="AQ13" s="322">
        <f>SUMIFS(Tabla110[[#All],[Utilidad Bruta Total]],Tabla110[[#All],[Asesor]],B13,Tabla110[[#All],[Fecha Cobranza]],"&lt;"&amp;$AQ$6,Tabla110[[#All],[Fecha Cobranza]],"&gt;="&amp;$AP$6)</f>
        <v>0</v>
      </c>
      <c r="AR13" s="322">
        <f>SUMIFS(Tabla110[[#All],[Utilidad Bruta Total]],Tabla110[[#All],[Asesor]],B13,Tabla110[[#All],[Fecha Cobranza]],"&lt;"&amp;$AR$6,Tabla110[[#All],[Fecha Cobranza]],"&gt;="&amp;$AQ$6)</f>
        <v>0</v>
      </c>
      <c r="AS13" s="322">
        <f>SUMIFS(Tabla110[[#All],[Utilidad Bruta Total]],Tabla110[[#All],[Asesor]],$B13,Tabla110[[#All],[Fecha Cobranza]],"&lt;"&amp;AS$6,Tabla110[[#All],[Fecha Cobranza]],"&gt;="&amp;AR$6)</f>
        <v>0</v>
      </c>
      <c r="AT13" s="322">
        <f>SUMIFS(Tabla110[[#All],[Utilidad Bruta Total]],Tabla110[[#All],[Asesor]],$B13,Tabla110[[#All],[Fecha Cobranza]],"&lt;"&amp;AT$6,Tabla110[[#All],[Fecha Cobranza]],"&gt;="&amp;AS$6)</f>
        <v>0</v>
      </c>
      <c r="AU13" s="322">
        <f>SUMIFS(Tabla110[[#All],[Utilidad Bruta Total]],Tabla110[[#All],[Asesor]],$B13,Tabla110[[#All],[Fecha Cobranza]],"&lt;"&amp;AU$6,Tabla110[[#All],[Fecha Cobranza]],"&gt;="&amp;AT$6)</f>
        <v>0</v>
      </c>
      <c r="AV13" s="322">
        <f>SUMIFS(Tabla110[[#All],[Utilidad Bruta Total]],Tabla110[[#All],[Asesor]],$B13,Tabla110[[#All],[Fecha Cobranza]],"&lt;"&amp;AV$6,Tabla110[[#All],[Fecha Cobranza]],"&gt;="&amp;AU$6)</f>
        <v>0</v>
      </c>
      <c r="AW13" s="322">
        <f>SUMIFS(Tabla110[[#All],[Utilidad Bruta Total]],Tabla110[[#All],[Asesor]],$B13,Tabla110[[#All],[Fecha Cobranza]],"&lt;"&amp;AW$6,Tabla110[[#All],[Fecha Cobranza]],"&gt;="&amp;AV$6)</f>
        <v>0</v>
      </c>
      <c r="AX13" s="322">
        <f>SUMIFS(Tabla110[[#All],[Utilidad Bruta Total]],Tabla110[[#All],[Asesor]],$B13,Tabla110[[#All],[Fecha Cobranza]],"&lt;"&amp;AX$6,Tabla110[[#All],[Fecha Cobranza]],"&gt;="&amp;AW$6)</f>
        <v>0</v>
      </c>
      <c r="AY13" s="322">
        <f>SUMIFS(Tabla110[[#All],[Utilidad Bruta Total]],Tabla110[[#All],[Asesor]],$B13,Tabla110[[#All],[Fecha Cobranza]],"&lt;"&amp;AY$6,Tabla110[[#All],[Fecha Cobranza]],"&gt;="&amp;AX$6)</f>
        <v>0</v>
      </c>
      <c r="AZ13" s="322">
        <f>SUMIFS(Tabla110[[#All],[Utilidad Bruta Total]],Tabla110[[#All],[Asesor]],$B13,Tabla110[[#All],[Fecha Cobranza]],"&lt;"&amp;AZ$6,Tabla110[[#All],[Fecha Cobranza]],"&gt;="&amp;AY$6)</f>
        <v>0</v>
      </c>
      <c r="BA13" s="323">
        <f t="shared" si="1"/>
        <v>0</v>
      </c>
      <c r="BB13" s="417">
        <f t="shared" si="2"/>
        <v>0</v>
      </c>
      <c r="BC13" s="318"/>
      <c r="BD13" s="318">
        <f t="shared" si="3"/>
        <v>0</v>
      </c>
      <c r="BE13" s="318"/>
      <c r="BF13" s="318">
        <f t="shared" si="4"/>
        <v>0</v>
      </c>
      <c r="BG13" s="318"/>
      <c r="BH13" s="318">
        <f t="shared" si="5"/>
        <v>0</v>
      </c>
      <c r="BI13" s="318"/>
      <c r="BJ13" s="318">
        <f t="shared" si="6"/>
        <v>0</v>
      </c>
      <c r="BK13" s="318"/>
      <c r="BL13" s="318">
        <f t="shared" si="7"/>
        <v>0</v>
      </c>
      <c r="BM13" s="318"/>
      <c r="BN13" s="318">
        <f t="shared" si="8"/>
        <v>0</v>
      </c>
      <c r="BO13" s="318"/>
      <c r="BP13" s="318">
        <f t="shared" si="9"/>
        <v>0</v>
      </c>
      <c r="BQ13" s="318"/>
      <c r="BR13" s="318">
        <f t="shared" si="10"/>
        <v>0</v>
      </c>
      <c r="BS13" s="318"/>
      <c r="BT13" s="318">
        <f t="shared" si="11"/>
        <v>0</v>
      </c>
      <c r="BU13" s="420">
        <f t="shared" si="12"/>
        <v>0</v>
      </c>
      <c r="BV13" s="318"/>
      <c r="BW13" s="420">
        <f t="shared" si="13"/>
        <v>0</v>
      </c>
      <c r="BX13" s="318"/>
      <c r="BY13" s="318">
        <f t="shared" si="14"/>
        <v>0</v>
      </c>
      <c r="BZ13" s="318"/>
      <c r="CA13" s="318">
        <f t="shared" si="15"/>
        <v>0</v>
      </c>
      <c r="CB13" s="318"/>
      <c r="CC13" s="318">
        <f t="shared" si="16"/>
        <v>0</v>
      </c>
      <c r="CD13" s="318"/>
      <c r="CE13" s="318">
        <f t="shared" si="17"/>
        <v>0</v>
      </c>
      <c r="CF13" s="318"/>
      <c r="CG13" s="318">
        <f t="shared" si="18"/>
        <v>0</v>
      </c>
      <c r="CH13" s="318"/>
      <c r="CI13" s="318">
        <f t="shared" si="19"/>
        <v>0</v>
      </c>
      <c r="CJ13" s="318"/>
      <c r="CK13" s="318">
        <f t="shared" si="20"/>
        <v>0</v>
      </c>
      <c r="CL13" s="318"/>
      <c r="CM13" s="318">
        <f t="shared" si="21"/>
        <v>0</v>
      </c>
      <c r="CN13" s="318"/>
      <c r="CO13" s="318">
        <f t="shared" si="22"/>
        <v>0</v>
      </c>
      <c r="CP13" s="318"/>
      <c r="CQ13" s="318">
        <f t="shared" si="23"/>
        <v>0</v>
      </c>
      <c r="CR13" s="318"/>
      <c r="CS13" s="318">
        <f t="shared" si="24"/>
        <v>0</v>
      </c>
      <c r="CT13" s="318"/>
      <c r="CU13" s="318">
        <f t="shared" si="25"/>
        <v>0</v>
      </c>
      <c r="CV13" s="318"/>
      <c r="CW13" s="318">
        <f t="shared" si="26"/>
        <v>0</v>
      </c>
      <c r="CX13" s="330"/>
      <c r="CY13" s="330"/>
      <c r="CZ13" s="330"/>
      <c r="DA13" s="330"/>
      <c r="DB13" s="330"/>
      <c r="DC13" s="330"/>
      <c r="DD13" s="330"/>
      <c r="DE13" s="330"/>
      <c r="DF13" s="330"/>
      <c r="DG13" s="330"/>
      <c r="DH13" s="330"/>
      <c r="DI13" s="330"/>
      <c r="DJ13" s="330"/>
      <c r="DK13" s="330"/>
      <c r="DL13" s="330"/>
      <c r="DM13" s="330"/>
      <c r="DN13" s="330"/>
      <c r="DO13" s="330"/>
      <c r="DP13" s="330"/>
      <c r="DQ13" s="330"/>
      <c r="DR13" s="330"/>
      <c r="DS13" s="330"/>
      <c r="DT13" s="330"/>
      <c r="DU13" s="330"/>
      <c r="DV13" s="331">
        <f t="shared" si="30"/>
        <v>0</v>
      </c>
      <c r="DW13" s="130">
        <f t="shared" si="27"/>
        <v>0</v>
      </c>
      <c r="DX13" s="130">
        <f t="shared" si="28"/>
        <v>0</v>
      </c>
      <c r="DY13" s="147">
        <f t="shared" si="31"/>
        <v>0</v>
      </c>
      <c r="DZ13" s="298">
        <f t="shared" si="29"/>
        <v>0</v>
      </c>
      <c r="ED13" s="163"/>
      <c r="EG13" s="130">
        <v>50000001</v>
      </c>
      <c r="EH13" s="312">
        <v>50000002</v>
      </c>
      <c r="EI13" s="364">
        <v>0.08</v>
      </c>
      <c r="EJ13" s="364"/>
    </row>
    <row r="14" spans="2:145" ht="15.75" x14ac:dyDescent="0.3">
      <c r="B14" s="350" t="s">
        <v>278</v>
      </c>
      <c r="C14" s="297" t="str">
        <f>VLOOKUP(B14,'Caratula 2023'!$B$8:$C$42,2,FALSE)</f>
        <v>INTERNO</v>
      </c>
      <c r="D14" s="326">
        <f>SUMIFS(Tabla110[[#All],[Venta Total]],Tabla110[[#All],[Asesor]],B14,Tabla110[[#All],[Fecha Cobranza]],"&lt;"&amp;$D$6,Tabla110[[#All],[Fecha Cobranza]],"&gt;="&amp;$B$6)</f>
        <v>0</v>
      </c>
      <c r="E14" s="326">
        <f>SUMIFS(Tabla110[[#All],[Venta Total]],Tabla110[[#All],[Asesor]],B14,Tabla110[[#All],[Fecha Cobranza]],"&lt;"&amp;$E$6,Tabla110[[#All],[Fecha Cobranza]],"&gt;="&amp;$D$6)</f>
        <v>0</v>
      </c>
      <c r="F14" s="326">
        <f>SUMIFS(Tabla110[[#All],[Venta Total]],Tabla110[[#All],[Asesor]],B14,Tabla110[[#All],[Fecha Cobranza]],"&lt;"&amp;$F$6,Tabla110[[#All],[Fecha Cobranza]],"&gt;="&amp;$E$6)</f>
        <v>0</v>
      </c>
      <c r="G14" s="326">
        <f>SUMIFS(Tabla110[[#All],[Venta Total]],Tabla110[[#All],[Asesor]],B14,Tabla110[[#All],[Fecha Cobranza]],"&lt;"&amp;$G$6,Tabla110[[#All],[Fecha Cobranza]],"&gt;="&amp;$F$6)</f>
        <v>0</v>
      </c>
      <c r="H14" s="326">
        <f>SUMIFS(Tabla110[[#All],[Venta Total]],Tabla110[[#All],[Asesor]],B14,Tabla110[[#All],[Fecha Cobranza]],"&lt;"&amp;$H$6,Tabla110[[#All],[Fecha Cobranza]],"&gt;="&amp;$G$6)</f>
        <v>0</v>
      </c>
      <c r="I14" s="326">
        <f>SUMIFS(Tabla110[[#All],[Venta Total]],Tabla110[[#All],[Asesor]],B14,Tabla110[[#All],[Fecha Cobranza]],"&lt;"&amp;$I$6,Tabla110[[#All],[Fecha Cobranza]],"&gt;="&amp;$H$6)</f>
        <v>0</v>
      </c>
      <c r="J14" s="326">
        <f>SUMIFS(Tabla110[[#All],[Venta Total]],Tabla110[[#All],[Asesor]],B14,Tabla110[[#All],[Fecha Cobranza]],"&lt;"&amp;$J$6,Tabla110[[#All],[Fecha Cobranza]],"&gt;="&amp;$I$6)</f>
        <v>0</v>
      </c>
      <c r="K14" s="326">
        <f>SUMIFS(Tabla110[[#All],[Venta Total]],Tabla110[[#All],[Asesor]],B14,Tabla110[[#All],[Fecha Cobranza]],"&lt;"&amp;$K$6,Tabla110[[#All],[Fecha Cobranza]],"&gt;="&amp;$J$6)</f>
        <v>0</v>
      </c>
      <c r="L14" s="326">
        <f>SUMIFS(Tabla110[[#All],[Venta Total]],Tabla110[[#All],[Asesor]],B14,Tabla110[[#All],[Fecha Cobranza]],"&lt;"&amp;$L$6,Tabla110[[#All],[Fecha Cobranza]],"&gt;="&amp;$K$6)</f>
        <v>0</v>
      </c>
      <c r="M14" s="326">
        <f>SUMIFS(Tabla110[[#All],[Venta Total]],Tabla110[[#All],[Asesor]],B14,Tabla110[[#All],[Fecha Cobranza]],"&lt;"&amp;$M$6,Tabla110[[#All],[Fecha Cobranza]],"&gt;="&amp;$L$6)</f>
        <v>0</v>
      </c>
      <c r="N14" s="326">
        <f>SUMIFS(Tabla110[[#All],[Venta Total]],Tabla110[[#All],[Asesor]],B14,Tabla110[[#All],[Fecha Cobranza]],"&lt;"&amp;$N$6,Tabla110[[#All],[Fecha Cobranza]],"&gt;="&amp;$M$6)</f>
        <v>0</v>
      </c>
      <c r="O14" s="326">
        <f>SUMIFS(Tabla110[[#All],[Venta Total]],Tabla110[[#All],[Asesor]],B14,Tabla110[[#All],[Fecha Cobranza]],"&lt;"&amp;$O$6,Tabla110[[#All],[Fecha Cobranza]],"&gt;="&amp;$N$6)</f>
        <v>0</v>
      </c>
      <c r="P14" s="326">
        <f>SUMIFS(Tabla110[[#All],[Venta Total]],Tabla110[[#All],[Asesor]],B14,Tabla110[[#All],[Fecha Cobranza]],"&lt;"&amp;$P$6,Tabla110[[#All],[Fecha Cobranza]],"&gt;="&amp;$O$6)</f>
        <v>0</v>
      </c>
      <c r="Q14" s="326">
        <f>SUMIFS(Tabla110[[#All],[Venta Total]],Tabla110[[#All],[Asesor]],B14,Tabla110[[#All],[Fecha Cobranza]],"&lt;"&amp;$Q$6,Tabla110[[#All],[Fecha Cobranza]],"&gt;="&amp;$P$6)</f>
        <v>0</v>
      </c>
      <c r="R14" s="326">
        <f>SUMIFS(Tabla110[[#All],[Venta Total]],Tabla110[[#All],[Asesor]],B14,Tabla110[[#All],[Fecha Cobranza]],"&lt;"&amp;$R$6,Tabla110[[#All],[Fecha Cobranza]],"&gt;="&amp;$Q$6)</f>
        <v>0</v>
      </c>
      <c r="S14" s="326">
        <f>SUMIFS(Tabla110[[#All],[Venta Total]],Tabla110[[#All],[Asesor]],B14,Tabla110[[#All],[Fecha Cobranza]],"&lt;"&amp;$S$6,Tabla110[[#All],[Fecha Cobranza]],"&gt;="&amp;$R$6)</f>
        <v>0</v>
      </c>
      <c r="T14" s="326">
        <f>SUMIFS(Tabla110[[#All],[Venta Total]],Tabla110[[#All],[Asesor]],$B14,Tabla110[[#All],[Fecha Cobranza]],"&lt;"&amp;T$6,Tabla110[[#All],[Fecha Cobranza]],"&gt;="&amp;S$6)</f>
        <v>0</v>
      </c>
      <c r="U14" s="326">
        <f>SUMIFS(Tabla110[[#All],[Venta Total]],Tabla110[[#All],[Asesor]],$B14,Tabla110[[#All],[Fecha Cobranza]],"&lt;"&amp;U$6,Tabla110[[#All],[Fecha Cobranza]],"&gt;="&amp;T$6)</f>
        <v>0</v>
      </c>
      <c r="V14" s="326">
        <f>SUMIFS(Tabla110[[#All],[Venta Total]],Tabla110[[#All],[Asesor]],$B14,Tabla110[[#All],[Fecha Cobranza]],"&lt;"&amp;V$6,Tabla110[[#All],[Fecha Cobranza]],"&gt;="&amp;U$6)</f>
        <v>0</v>
      </c>
      <c r="W14" s="326">
        <f>SUMIFS(Tabla110[[#All],[Venta Total]],Tabla110[[#All],[Asesor]],$B14,Tabla110[[#All],[Fecha Cobranza]],"&lt;"&amp;W$6,Tabla110[[#All],[Fecha Cobranza]],"&gt;="&amp;V$6)</f>
        <v>0</v>
      </c>
      <c r="X14" s="326">
        <f>SUMIFS(Tabla110[[#All],[Venta Total]],Tabla110[[#All],[Asesor]],$B14,Tabla110[[#All],[Fecha Cobranza]],"&lt;"&amp;X$6,Tabla110[[#All],[Fecha Cobranza]],"&gt;="&amp;W$6)</f>
        <v>0</v>
      </c>
      <c r="Y14" s="326">
        <f>SUMIFS(Tabla110[[#All],[Venta Total]],Tabla110[[#All],[Asesor]],$B14,Tabla110[[#All],[Fecha Cobranza]],"&lt;"&amp;Y$6,Tabla110[[#All],[Fecha Cobranza]],"&gt;="&amp;X$6)</f>
        <v>0</v>
      </c>
      <c r="Z14" s="326">
        <f>SUMIFS(Tabla110[[#All],[Venta Total]],Tabla110[[#All],[Asesor]],$B14,Tabla110[[#All],[Fecha Cobranza]],"&lt;"&amp;Z$6,Tabla110[[#All],[Fecha Cobranza]],"&gt;="&amp;Y$6)</f>
        <v>722366.75359999994</v>
      </c>
      <c r="AA14" s="326">
        <f>SUMIFS(Tabla110[[#All],[Venta Total]],Tabla110[[#All],[Asesor]],$B14,Tabla110[[#All],[Fecha Cobranza]],"&lt;"&amp;AA$6,Tabla110[[#All],[Fecha Cobranza]],"&gt;="&amp;Z$6)</f>
        <v>0</v>
      </c>
      <c r="AB14" s="327">
        <f t="shared" si="0"/>
        <v>722366.75359999994</v>
      </c>
      <c r="AC14" s="322">
        <f>SUMIFS(Tabla110[[#All],[Utilidad Bruta Total]],Tabla110[[#All],[Asesor]],B14,Tabla110[[#All],[Fecha Cobranza]],"&lt;"&amp;$AC$6,Tabla110[[#All],[Fecha Cobranza]],"&gt;="&amp;$B$6)</f>
        <v>0</v>
      </c>
      <c r="AD14" s="322">
        <f>SUMIFS(Tabla110[[#All],[Utilidad Bruta Total]],Tabla110[[#All],[Asesor]],B14,Tabla110[[#All],[Fecha Cobranza]],"&lt;"&amp;$AD$6,Tabla110[[#All],[Fecha Cobranza]],"&gt;="&amp;$AC$6)</f>
        <v>0</v>
      </c>
      <c r="AE14" s="322">
        <f>SUMIFS(Tabla110[[#All],[Utilidad Bruta Total]],Tabla110[[#All],[Asesor]],B14,Tabla110[[#All],[Fecha Cobranza]],"&lt;"&amp;$AE$6,Tabla110[[#All],[Fecha Cobranza]],"&gt;="&amp;$AD$6)</f>
        <v>0</v>
      </c>
      <c r="AF14" s="322">
        <f>SUMIFS(Tabla110[[#All],[Utilidad Bruta Total]],Tabla110[[#All],[Asesor]],B14,Tabla110[[#All],[Fecha Cobranza]],"&lt;"&amp;$AF$6,Tabla110[[#All],[Fecha Cobranza]],"&gt;="&amp;$AE$6)</f>
        <v>0</v>
      </c>
      <c r="AG14" s="322">
        <f>SUMIFS(Tabla110[[#All],[Utilidad Bruta Total]],Tabla110[[#All],[Asesor]],B14,Tabla110[[#All],[Fecha Cobranza]],"&lt;"&amp;$AG$6,Tabla110[[#All],[Fecha Cobranza]],"&gt;="&amp;$AF$6)</f>
        <v>0</v>
      </c>
      <c r="AH14" s="322">
        <f>SUMIFS(Tabla110[[#All],[Utilidad Bruta Total]],Tabla110[[#All],[Asesor]],B14,Tabla110[[#All],[Fecha Cobranza]],"&lt;"&amp;$AH$6,Tabla110[[#All],[Fecha Cobranza]],"&gt;="&amp;$AG$6)</f>
        <v>0</v>
      </c>
      <c r="AI14" s="322">
        <f>SUMIFS(Tabla110[[#All],[Utilidad Bruta Total]],Tabla110[[#All],[Asesor]],B14,Tabla110[[#All],[Fecha Cobranza]],"&lt;"&amp;$AI$6,Tabla110[[#All],[Fecha Cobranza]],"&gt;="&amp;$AH$6)</f>
        <v>0</v>
      </c>
      <c r="AJ14" s="322">
        <f>SUMIFS(Tabla110[[#All],[Utilidad Bruta Total]],Tabla110[[#All],[Asesor]],B14,Tabla110[[#All],[Fecha Cobranza]],"&lt;"&amp;$AJ$6,Tabla110[[#All],[Fecha Cobranza]],"&gt;="&amp;$AI$6)</f>
        <v>0</v>
      </c>
      <c r="AK14" s="322">
        <f>SUMIFS(Tabla110[[#All],[Utilidad Bruta Total]],Tabla110[[#All],[Asesor]],B14,Tabla110[[#All],[Fecha Cobranza]],"&lt;"&amp;$AK$6,Tabla110[[#All],[Fecha Cobranza]],"&gt;="&amp;$AJ$6)</f>
        <v>0</v>
      </c>
      <c r="AL14" s="322">
        <f>SUMIFS(Tabla110[[#All],[Utilidad Bruta Total]],Tabla110[[#All],[Asesor]],B14,Tabla110[[#All],[Fecha Cobranza]],"&lt;"&amp;$AL$6,Tabla110[[#All],[Fecha Cobranza]],"&gt;="&amp;$AK$6)</f>
        <v>0</v>
      </c>
      <c r="AM14" s="322">
        <f>SUMIFS(Tabla110[[#All],[Utilidad Bruta Total]],Tabla110[[#All],[Asesor]],B14,Tabla110[[#All],[Fecha Cobranza]],"&lt;"&amp;$AM$6,Tabla110[[#All],[Fecha Cobranza]],"&gt;="&amp;$AL$6)</f>
        <v>0</v>
      </c>
      <c r="AN14" s="322">
        <f>SUMIFS(Tabla110[[#All],[Utilidad Bruta Total]],Tabla110[[#All],[Asesor]],B14,Tabla110[[#All],[Fecha Cobranza]],"&lt;"&amp;$AN$6,Tabla110[[#All],[Fecha Cobranza]],"&gt;="&amp;$AM$6)</f>
        <v>0</v>
      </c>
      <c r="AO14" s="322">
        <f>SUMIFS(Tabla110[[#All],[Utilidad Bruta Total]],Tabla110[[#All],[Asesor]],B14,Tabla110[[#All],[Fecha Cobranza]],"&lt;"&amp;$AO$6,Tabla110[[#All],[Fecha Cobranza]],"&gt;="&amp;$AN$6)</f>
        <v>0</v>
      </c>
      <c r="AP14" s="322">
        <f>SUMIFS(Tabla110[[#All],[Utilidad Bruta Total]],Tabla110[[#All],[Asesor]],B14,Tabla110[[#All],[Fecha Cobranza]],"&lt;"&amp;$AP$6,Tabla110[[#All],[Fecha Cobranza]],"&gt;="&amp;$AO$6)</f>
        <v>0</v>
      </c>
      <c r="AQ14" s="322">
        <f>SUMIFS(Tabla110[[#All],[Utilidad Bruta Total]],Tabla110[[#All],[Asesor]],B14,Tabla110[[#All],[Fecha Cobranza]],"&lt;"&amp;$AQ$6,Tabla110[[#All],[Fecha Cobranza]],"&gt;="&amp;$AP$6)</f>
        <v>0</v>
      </c>
      <c r="AR14" s="322">
        <f>SUMIFS(Tabla110[[#All],[Utilidad Bruta Total]],Tabla110[[#All],[Asesor]],B14,Tabla110[[#All],[Fecha Cobranza]],"&lt;"&amp;$AR$6,Tabla110[[#All],[Fecha Cobranza]],"&gt;="&amp;$AQ$6)</f>
        <v>0</v>
      </c>
      <c r="AS14" s="322">
        <f>SUMIFS(Tabla110[[#All],[Utilidad Bruta Total]],Tabla110[[#All],[Asesor]],$B14,Tabla110[[#All],[Fecha Cobranza]],"&lt;"&amp;AS$6,Tabla110[[#All],[Fecha Cobranza]],"&gt;="&amp;AR$6)</f>
        <v>0</v>
      </c>
      <c r="AT14" s="322">
        <f>SUMIFS(Tabla110[[#All],[Utilidad Bruta Total]],Tabla110[[#All],[Asesor]],$B14,Tabla110[[#All],[Fecha Cobranza]],"&lt;"&amp;AT$6,Tabla110[[#All],[Fecha Cobranza]],"&gt;="&amp;AS$6)</f>
        <v>0</v>
      </c>
      <c r="AU14" s="322">
        <f>SUMIFS(Tabla110[[#All],[Utilidad Bruta Total]],Tabla110[[#All],[Asesor]],$B14,Tabla110[[#All],[Fecha Cobranza]],"&lt;"&amp;AU$6,Tabla110[[#All],[Fecha Cobranza]],"&gt;="&amp;AT$6)</f>
        <v>0</v>
      </c>
      <c r="AV14" s="322">
        <f>SUMIFS(Tabla110[[#All],[Utilidad Bruta Total]],Tabla110[[#All],[Asesor]],$B14,Tabla110[[#All],[Fecha Cobranza]],"&lt;"&amp;AV$6,Tabla110[[#All],[Fecha Cobranza]],"&gt;="&amp;AU$6)</f>
        <v>0</v>
      </c>
      <c r="AW14" s="322">
        <f>SUMIFS(Tabla110[[#All],[Utilidad Bruta Total]],Tabla110[[#All],[Asesor]],$B14,Tabla110[[#All],[Fecha Cobranza]],"&lt;"&amp;AW$6,Tabla110[[#All],[Fecha Cobranza]],"&gt;="&amp;AV$6)</f>
        <v>0</v>
      </c>
      <c r="AX14" s="322">
        <f>SUMIFS(Tabla110[[#All],[Utilidad Bruta Total]],Tabla110[[#All],[Asesor]],$B14,Tabla110[[#All],[Fecha Cobranza]],"&lt;"&amp;AX$6,Tabla110[[#All],[Fecha Cobranza]],"&gt;="&amp;AW$6)</f>
        <v>0</v>
      </c>
      <c r="AY14" s="322" t="e">
        <f>SUMIFS(Tabla110[[#All],[Utilidad Bruta Total]],Tabla110[[#All],[Asesor]],$B14,Tabla110[[#All],[Fecha Cobranza]],"&lt;"&amp;AY$6,Tabla110[[#All],[Fecha Cobranza]],"&gt;="&amp;AX$6)</f>
        <v>#N/A</v>
      </c>
      <c r="AZ14" s="322">
        <f>SUMIFS(Tabla110[[#All],[Utilidad Bruta Total]],Tabla110[[#All],[Asesor]],$B14,Tabla110[[#All],[Fecha Cobranza]],"&lt;"&amp;AZ$6,Tabla110[[#All],[Fecha Cobranza]],"&gt;="&amp;AY$6)</f>
        <v>0</v>
      </c>
      <c r="BA14" s="323" t="e">
        <f t="shared" si="1"/>
        <v>#N/A</v>
      </c>
      <c r="BB14" s="318">
        <f t="shared" si="2"/>
        <v>0</v>
      </c>
      <c r="BC14" s="318">
        <f>(SUM(BB9,BB16,BB18,BB26,BB43,BB32,BB10,BB13)*0.3)</f>
        <v>0</v>
      </c>
      <c r="BD14" s="318">
        <f t="shared" si="3"/>
        <v>0</v>
      </c>
      <c r="BE14" s="318">
        <f>(SUM(BB9:BD9,BB16:BD16,BB18:BD18,BB26:BD26,BB43:BD43,BB32:BD32,BB10:BD10,BB13:BD13)*0.2)</f>
        <v>0</v>
      </c>
      <c r="BF14" s="318">
        <f t="shared" si="4"/>
        <v>0</v>
      </c>
      <c r="BG14" s="318">
        <f>(SUM(BF9,BF16,BF18,BF26,BF43,BF32,BF10,BF13)*0.3)</f>
        <v>0</v>
      </c>
      <c r="BH14" s="318">
        <f t="shared" si="5"/>
        <v>0</v>
      </c>
      <c r="BI14" s="318">
        <f>(SUM(BF9:BH9,BF16:BH16,BF18:BH18,BF26:BH26,BF43:BH43,BF32:BH32,BF10:BH10,BF13:BH13)*0.2)</f>
        <v>0</v>
      </c>
      <c r="BJ14" s="318">
        <f t="shared" si="6"/>
        <v>0</v>
      </c>
      <c r="BK14" s="318">
        <f>(SUM(BJ9,BJ16,BJ18,BJ26,BJ43,BJ32,BJ10,BJ13)*0.3)</f>
        <v>0</v>
      </c>
      <c r="BL14" s="318">
        <f t="shared" si="7"/>
        <v>0</v>
      </c>
      <c r="BM14" s="318">
        <f>(SUM(BJ9:BL9,BJ16:BL16,BJ18:BL18,BJ26:BL26,BJ43:BL43,BJ32:BL32,BJ10:BL10,BJ13:BL13)*0.2)</f>
        <v>0</v>
      </c>
      <c r="BN14" s="318">
        <f t="shared" si="8"/>
        <v>0</v>
      </c>
      <c r="BO14" s="318">
        <f>(SUM(BN9,BN16,BN18,BN26,BN43,BN32,BN10,BN13)*0.3)</f>
        <v>0</v>
      </c>
      <c r="BP14" s="318">
        <f t="shared" si="9"/>
        <v>0</v>
      </c>
      <c r="BQ14" s="318">
        <f>(SUM(BP9,BP16,BP18,BP26,BP43,BP32,BP10,BP13)*0.3)</f>
        <v>0</v>
      </c>
      <c r="BR14" s="318">
        <f t="shared" si="10"/>
        <v>0</v>
      </c>
      <c r="BS14" s="318">
        <f>(SUM(BR9,BR16,BR18,BR26,BR43,BR32,BR10,BR13)*0.3)</f>
        <v>0</v>
      </c>
      <c r="BT14" s="318">
        <f t="shared" si="11"/>
        <v>0</v>
      </c>
      <c r="BU14" s="318">
        <f t="shared" si="12"/>
        <v>0</v>
      </c>
      <c r="BV14" s="318">
        <f>(SUM(BU9,BU16,BU18,BU26,BU43,BU32,BU10,BU13)*0.3)</f>
        <v>0</v>
      </c>
      <c r="BW14" s="318">
        <f t="shared" si="13"/>
        <v>0</v>
      </c>
      <c r="BX14" s="318">
        <f>(SUM(BW9,BW16,BW18,BW26,BW43,BW32,BW10,BW13)+SUM(BU9,BU10,BU13,BU16,BU18,BU26,BU32,BU43))*0.2</f>
        <v>0</v>
      </c>
      <c r="BY14" s="318">
        <f t="shared" si="14"/>
        <v>0</v>
      </c>
      <c r="BZ14" s="318">
        <f>(SUM(BY9,BY16,BY18,BY26,BY43,BY32,BY10,BY13)*0.3)</f>
        <v>0</v>
      </c>
      <c r="CA14" s="318">
        <f t="shared" si="15"/>
        <v>0</v>
      </c>
      <c r="CB14" s="318">
        <f>(SUM(CA9,CA16,CA18,CA26,CA43,CA32,CA10,CA13)+SUM(BY9,BY10,BY13,BY16,BY18,BY26,BY32,BY43))*0.2</f>
        <v>0</v>
      </c>
      <c r="CC14" s="318">
        <f t="shared" si="16"/>
        <v>0</v>
      </c>
      <c r="CD14" s="318">
        <f>(SUM(CC9,CC16,CC18,CC26,CC43,CC32,CC10,CC13)*0.3)</f>
        <v>0</v>
      </c>
      <c r="CE14" s="318">
        <f t="shared" si="17"/>
        <v>0</v>
      </c>
      <c r="CF14" s="318">
        <f>(SUM(CE9,CE16,CE18,CE26,CE43,CE32,CE10,CE13)*0.3)</f>
        <v>0</v>
      </c>
      <c r="CG14" s="318">
        <f t="shared" si="18"/>
        <v>0</v>
      </c>
      <c r="CH14" s="318">
        <f>(SUM(CG9,CG16,CG18,CG26,CG43,CG32,CG10,CG13)*0.3)</f>
        <v>0</v>
      </c>
      <c r="CI14" s="318">
        <f t="shared" si="19"/>
        <v>0</v>
      </c>
      <c r="CJ14" s="318">
        <f>(SUM(CI9,CI16,CI18,CI26,CI43,CI32,CI10,CI13)*0.3)</f>
        <v>0</v>
      </c>
      <c r="CK14" s="318">
        <f t="shared" si="20"/>
        <v>0</v>
      </c>
      <c r="CL14" s="318">
        <f>(SUM(CK9,CK16,CK18,CK26,CK43,CK32,CK10,CK13)*0.3)</f>
        <v>0</v>
      </c>
      <c r="CM14" s="318">
        <f t="shared" si="21"/>
        <v>0</v>
      </c>
      <c r="CN14" s="318">
        <f>(SUM(CM9,CM16,CM18,CM26,CM43,CM32,CM10,CM13)*0.3)</f>
        <v>0</v>
      </c>
      <c r="CO14" s="318">
        <f t="shared" si="22"/>
        <v>0</v>
      </c>
      <c r="CP14" s="318">
        <f>(SUM(CO9,CO16,CO18,CO26,CO43,CO32,CO10,CO13)*0.3)</f>
        <v>0</v>
      </c>
      <c r="CQ14" s="318">
        <f t="shared" si="23"/>
        <v>0</v>
      </c>
      <c r="CR14" s="318">
        <f>(SUM(CQ9,CQ16,CQ18,CQ26,CQ43,CQ32,CQ10,CQ13)*0.3)</f>
        <v>0</v>
      </c>
      <c r="CS14" s="318" t="e">
        <f t="shared" si="24"/>
        <v>#N/A</v>
      </c>
      <c r="CT14" s="318" t="e">
        <f>(SUM(CS9,CS16,CS18,CS26,CS43,CS32,CS10,CS13)*0.3)</f>
        <v>#N/A</v>
      </c>
      <c r="CU14" s="318">
        <f t="shared" si="25"/>
        <v>0</v>
      </c>
      <c r="CV14" s="318">
        <f>(SUM(CU9,CU16,CU18,CU26,CU43,CU32,CU10,CU13)*0.3)</f>
        <v>0</v>
      </c>
      <c r="CW14" s="318" t="e">
        <f t="shared" si="26"/>
        <v>#N/A</v>
      </c>
      <c r="CX14" s="330"/>
      <c r="CY14" s="330"/>
      <c r="CZ14" s="330"/>
      <c r="DA14" s="330"/>
      <c r="DB14" s="330"/>
      <c r="DC14" s="330"/>
      <c r="DD14" s="330"/>
      <c r="DE14" s="330"/>
      <c r="DF14" s="330"/>
      <c r="DG14" s="330"/>
      <c r="DH14" s="330"/>
      <c r="DI14" s="330"/>
      <c r="DJ14" s="330"/>
      <c r="DK14" s="330"/>
      <c r="DL14" s="330"/>
      <c r="DM14" s="330"/>
      <c r="DN14" s="330"/>
      <c r="DO14" s="330"/>
      <c r="DP14" s="330"/>
      <c r="DQ14" s="330"/>
      <c r="DR14" s="330"/>
      <c r="DS14" s="330"/>
      <c r="DT14" s="330"/>
      <c r="DU14" s="330"/>
      <c r="DV14" s="331">
        <f>SUM(CX14:DU14)</f>
        <v>0</v>
      </c>
      <c r="DW14" s="130">
        <f t="shared" si="27"/>
        <v>722366.75359999994</v>
      </c>
      <c r="DX14" s="417" t="e">
        <f t="shared" si="28"/>
        <v>#N/A</v>
      </c>
      <c r="DY14" s="147">
        <f t="shared" si="31"/>
        <v>0</v>
      </c>
      <c r="DZ14" s="298">
        <f t="shared" si="29"/>
        <v>0</v>
      </c>
      <c r="ED14" s="163"/>
      <c r="EG14" s="130">
        <v>50000003</v>
      </c>
      <c r="EH14" s="312">
        <v>50000004</v>
      </c>
      <c r="EI14" s="364">
        <v>0.08</v>
      </c>
      <c r="EJ14" s="364"/>
    </row>
    <row r="15" spans="2:145" ht="15.75" x14ac:dyDescent="0.3">
      <c r="B15" s="332" t="s">
        <v>280</v>
      </c>
      <c r="C15" s="297" t="str">
        <f>VLOOKUP(B15,'Caratula 2023'!$B$8:$C$42,2,FALSE)</f>
        <v>INTERNO</v>
      </c>
      <c r="D15" s="326">
        <f>SUMIFS(Tabla110[[#All],[Venta Total]],Tabla110[[#All],[Asesor]],B15,Tabla110[[#All],[Fecha Cobranza]],"&lt;"&amp;$D$6,Tabla110[[#All],[Fecha Cobranza]],"&gt;="&amp;$B$6)</f>
        <v>0</v>
      </c>
      <c r="E15" s="326">
        <f>SUMIFS(Tabla110[[#All],[Venta Total]],Tabla110[[#All],[Asesor]],B15,Tabla110[[#All],[Fecha Cobranza]],"&lt;"&amp;$E$6,Tabla110[[#All],[Fecha Cobranza]],"&gt;="&amp;$D$6)</f>
        <v>0</v>
      </c>
      <c r="F15" s="326">
        <f>SUMIFS(Tabla110[[#All],[Venta Total]],Tabla110[[#All],[Asesor]],B15,Tabla110[[#All],[Fecha Cobranza]],"&lt;"&amp;$F$6,Tabla110[[#All],[Fecha Cobranza]],"&gt;="&amp;$E$6)</f>
        <v>0</v>
      </c>
      <c r="G15" s="326">
        <f>SUMIFS(Tabla110[[#All],[Venta Total]],Tabla110[[#All],[Asesor]],B15,Tabla110[[#All],[Fecha Cobranza]],"&lt;"&amp;$G$6,Tabla110[[#All],[Fecha Cobranza]],"&gt;="&amp;$F$6)</f>
        <v>0</v>
      </c>
      <c r="H15" s="326">
        <f>SUMIFS(Tabla110[[#All],[Venta Total]],Tabla110[[#All],[Asesor]],B15,Tabla110[[#All],[Fecha Cobranza]],"&lt;"&amp;$H$6,Tabla110[[#All],[Fecha Cobranza]],"&gt;="&amp;$G$6)</f>
        <v>0</v>
      </c>
      <c r="I15" s="326">
        <f>SUMIFS(Tabla110[[#All],[Venta Total]],Tabla110[[#All],[Asesor]],B15,Tabla110[[#All],[Fecha Cobranza]],"&lt;"&amp;$I$6,Tabla110[[#All],[Fecha Cobranza]],"&gt;="&amp;$H$6)</f>
        <v>0</v>
      </c>
      <c r="J15" s="326">
        <f>SUMIFS(Tabla110[[#All],[Venta Total]],Tabla110[[#All],[Asesor]],B15,Tabla110[[#All],[Fecha Cobranza]],"&lt;"&amp;$J$6,Tabla110[[#All],[Fecha Cobranza]],"&gt;="&amp;$I$6)</f>
        <v>0</v>
      </c>
      <c r="K15" s="326">
        <f>SUMIFS(Tabla110[[#All],[Venta Total]],Tabla110[[#All],[Asesor]],B15,Tabla110[[#All],[Fecha Cobranza]],"&lt;"&amp;$K$6,Tabla110[[#All],[Fecha Cobranza]],"&gt;="&amp;$J$6)</f>
        <v>0</v>
      </c>
      <c r="L15" s="326">
        <f>SUMIFS(Tabla110[[#All],[Venta Total]],Tabla110[[#All],[Asesor]],B15,Tabla110[[#All],[Fecha Cobranza]],"&lt;"&amp;$L$6,Tabla110[[#All],[Fecha Cobranza]],"&gt;="&amp;$K$6)</f>
        <v>0</v>
      </c>
      <c r="M15" s="326">
        <f>SUMIFS(Tabla110[[#All],[Venta Total]],Tabla110[[#All],[Asesor]],B15,Tabla110[[#All],[Fecha Cobranza]],"&lt;"&amp;$M$6,Tabla110[[#All],[Fecha Cobranza]],"&gt;="&amp;$L$6)</f>
        <v>0</v>
      </c>
      <c r="N15" s="326">
        <f>SUMIFS(Tabla110[[#All],[Venta Total]],Tabla110[[#All],[Asesor]],B15,Tabla110[[#All],[Fecha Cobranza]],"&lt;"&amp;$N$6,Tabla110[[#All],[Fecha Cobranza]],"&gt;="&amp;$M$6)</f>
        <v>0</v>
      </c>
      <c r="O15" s="326">
        <f>SUMIFS(Tabla110[[#All],[Venta Total]],Tabla110[[#All],[Asesor]],B15,Tabla110[[#All],[Fecha Cobranza]],"&lt;"&amp;$O$6,Tabla110[[#All],[Fecha Cobranza]],"&gt;="&amp;$N$6)</f>
        <v>0</v>
      </c>
      <c r="P15" s="326">
        <f>SUMIFS(Tabla110[[#All],[Venta Total]],Tabla110[[#All],[Asesor]],B15,Tabla110[[#All],[Fecha Cobranza]],"&lt;"&amp;$P$6,Tabla110[[#All],[Fecha Cobranza]],"&gt;="&amp;$O$6)</f>
        <v>0</v>
      </c>
      <c r="Q15" s="326">
        <f>SUMIFS(Tabla110[[#All],[Venta Total]],Tabla110[[#All],[Asesor]],B15,Tabla110[[#All],[Fecha Cobranza]],"&lt;"&amp;$Q$6,Tabla110[[#All],[Fecha Cobranza]],"&gt;="&amp;$P$6)</f>
        <v>0</v>
      </c>
      <c r="R15" s="326">
        <f>SUMIFS(Tabla110[[#All],[Venta Total]],Tabla110[[#All],[Asesor]],B15,Tabla110[[#All],[Fecha Cobranza]],"&lt;"&amp;$R$6,Tabla110[[#All],[Fecha Cobranza]],"&gt;="&amp;$Q$6)</f>
        <v>0</v>
      </c>
      <c r="S15" s="326">
        <f>SUMIFS(Tabla110[[#All],[Venta Total]],Tabla110[[#All],[Asesor]],B15,Tabla110[[#All],[Fecha Cobranza]],"&lt;"&amp;$S$6,Tabla110[[#All],[Fecha Cobranza]],"&gt;="&amp;$R$6)</f>
        <v>0</v>
      </c>
      <c r="T15" s="326">
        <f>SUMIFS(Tabla110[[#All],[Venta Total]],Tabla110[[#All],[Asesor]],$B15,Tabla110[[#All],[Fecha Cobranza]],"&lt;"&amp;T$6,Tabla110[[#All],[Fecha Cobranza]],"&gt;="&amp;S$6)</f>
        <v>0</v>
      </c>
      <c r="U15" s="326">
        <f>SUMIFS(Tabla110[[#All],[Venta Total]],Tabla110[[#All],[Asesor]],$B15,Tabla110[[#All],[Fecha Cobranza]],"&lt;"&amp;U$6,Tabla110[[#All],[Fecha Cobranza]],"&gt;="&amp;T$6)</f>
        <v>0</v>
      </c>
      <c r="V15" s="326">
        <f>SUMIFS(Tabla110[[#All],[Venta Total]],Tabla110[[#All],[Asesor]],$B15,Tabla110[[#All],[Fecha Cobranza]],"&lt;"&amp;V$6,Tabla110[[#All],[Fecha Cobranza]],"&gt;="&amp;U$6)</f>
        <v>0</v>
      </c>
      <c r="W15" s="326">
        <f>SUMIFS(Tabla110[[#All],[Venta Total]],Tabla110[[#All],[Asesor]],$B15,Tabla110[[#All],[Fecha Cobranza]],"&lt;"&amp;W$6,Tabla110[[#All],[Fecha Cobranza]],"&gt;="&amp;V$6)</f>
        <v>0</v>
      </c>
      <c r="X15" s="326">
        <f>SUMIFS(Tabla110[[#All],[Venta Total]],Tabla110[[#All],[Asesor]],$B15,Tabla110[[#All],[Fecha Cobranza]],"&lt;"&amp;X$6,Tabla110[[#All],[Fecha Cobranza]],"&gt;="&amp;W$6)</f>
        <v>0</v>
      </c>
      <c r="Y15" s="326">
        <f>SUMIFS(Tabla110[[#All],[Venta Total]],Tabla110[[#All],[Asesor]],$B15,Tabla110[[#All],[Fecha Cobranza]],"&lt;"&amp;Y$6,Tabla110[[#All],[Fecha Cobranza]],"&gt;="&amp;X$6)</f>
        <v>0</v>
      </c>
      <c r="Z15" s="326">
        <f>SUMIFS(Tabla110[[#All],[Venta Total]],Tabla110[[#All],[Asesor]],$B15,Tabla110[[#All],[Fecha Cobranza]],"&lt;"&amp;Z$6,Tabla110[[#All],[Fecha Cobranza]],"&gt;="&amp;Y$6)</f>
        <v>244784.08159999998</v>
      </c>
      <c r="AA15" s="326">
        <f>SUMIFS(Tabla110[[#All],[Venta Total]],Tabla110[[#All],[Asesor]],$B15,Tabla110[[#All],[Fecha Cobranza]],"&lt;"&amp;AA$6,Tabla110[[#All],[Fecha Cobranza]],"&gt;="&amp;Z$6)</f>
        <v>0</v>
      </c>
      <c r="AB15" s="327">
        <f t="shared" si="0"/>
        <v>244784.08159999998</v>
      </c>
      <c r="AC15" s="322">
        <f>SUMIFS(Tabla110[[#All],[Utilidad Bruta Total]],Tabla110[[#All],[Asesor]],B15,Tabla110[[#All],[Fecha Cobranza]],"&lt;"&amp;$AC$6,Tabla110[[#All],[Fecha Cobranza]],"&gt;="&amp;$B$6)</f>
        <v>0</v>
      </c>
      <c r="AD15" s="322">
        <f>SUMIFS(Tabla110[[#All],[Utilidad Bruta Total]],Tabla110[[#All],[Asesor]],B15,Tabla110[[#All],[Fecha Cobranza]],"&lt;"&amp;$AD$6,Tabla110[[#All],[Fecha Cobranza]],"&gt;="&amp;$AC$6)</f>
        <v>0</v>
      </c>
      <c r="AE15" s="322">
        <f>SUMIFS(Tabla110[[#All],[Utilidad Bruta Total]],Tabla110[[#All],[Asesor]],B15,Tabla110[[#All],[Fecha Cobranza]],"&lt;"&amp;$AE$6,Tabla110[[#All],[Fecha Cobranza]],"&gt;="&amp;$AD$6)</f>
        <v>0</v>
      </c>
      <c r="AF15" s="322">
        <f>SUMIFS(Tabla110[[#All],[Utilidad Bruta Total]],Tabla110[[#All],[Asesor]],B15,Tabla110[[#All],[Fecha Cobranza]],"&lt;"&amp;$AF$6,Tabla110[[#All],[Fecha Cobranza]],"&gt;="&amp;$AE$6)</f>
        <v>0</v>
      </c>
      <c r="AG15" s="322">
        <f>SUMIFS(Tabla110[[#All],[Utilidad Bruta Total]],Tabla110[[#All],[Asesor]],B15,Tabla110[[#All],[Fecha Cobranza]],"&lt;"&amp;$AG$6,Tabla110[[#All],[Fecha Cobranza]],"&gt;="&amp;$AF$6)</f>
        <v>0</v>
      </c>
      <c r="AH15" s="322">
        <f>SUMIFS(Tabla110[[#All],[Utilidad Bruta Total]],Tabla110[[#All],[Asesor]],B15,Tabla110[[#All],[Fecha Cobranza]],"&lt;"&amp;$AH$6,Tabla110[[#All],[Fecha Cobranza]],"&gt;="&amp;$AG$6)</f>
        <v>0</v>
      </c>
      <c r="AI15" s="322">
        <f>SUMIFS(Tabla110[[#All],[Utilidad Bruta Total]],Tabla110[[#All],[Asesor]],B15,Tabla110[[#All],[Fecha Cobranza]],"&lt;"&amp;$AI$6,Tabla110[[#All],[Fecha Cobranza]],"&gt;="&amp;$AH$6)</f>
        <v>0</v>
      </c>
      <c r="AJ15" s="322">
        <f>SUMIFS(Tabla110[[#All],[Utilidad Bruta Total]],Tabla110[[#All],[Asesor]],B15,Tabla110[[#All],[Fecha Cobranza]],"&lt;"&amp;$AJ$6,Tabla110[[#All],[Fecha Cobranza]],"&gt;="&amp;$AI$6)</f>
        <v>0</v>
      </c>
      <c r="AK15" s="322">
        <f>SUMIFS(Tabla110[[#All],[Utilidad Bruta Total]],Tabla110[[#All],[Asesor]],B15,Tabla110[[#All],[Fecha Cobranza]],"&lt;"&amp;$AK$6,Tabla110[[#All],[Fecha Cobranza]],"&gt;="&amp;$AJ$6)</f>
        <v>0</v>
      </c>
      <c r="AL15" s="322">
        <f>SUMIFS(Tabla110[[#All],[Utilidad Bruta Total]],Tabla110[[#All],[Asesor]],B15,Tabla110[[#All],[Fecha Cobranza]],"&lt;"&amp;$AL$6,Tabla110[[#All],[Fecha Cobranza]],"&gt;="&amp;$AK$6)</f>
        <v>0</v>
      </c>
      <c r="AM15" s="322">
        <f>SUMIFS(Tabla110[[#All],[Utilidad Bruta Total]],Tabla110[[#All],[Asesor]],B15,Tabla110[[#All],[Fecha Cobranza]],"&lt;"&amp;$AM$6,Tabla110[[#All],[Fecha Cobranza]],"&gt;="&amp;$AL$6)</f>
        <v>0</v>
      </c>
      <c r="AN15" s="322">
        <f>SUMIFS(Tabla110[[#All],[Utilidad Bruta Total]],Tabla110[[#All],[Asesor]],B15,Tabla110[[#All],[Fecha Cobranza]],"&lt;"&amp;$AN$6,Tabla110[[#All],[Fecha Cobranza]],"&gt;="&amp;$AM$6)</f>
        <v>0</v>
      </c>
      <c r="AO15" s="322">
        <f>SUMIFS(Tabla110[[#All],[Utilidad Bruta Total]],Tabla110[[#All],[Asesor]],B15,Tabla110[[#All],[Fecha Cobranza]],"&lt;"&amp;$AO$6,Tabla110[[#All],[Fecha Cobranza]],"&gt;="&amp;$AN$6)</f>
        <v>0</v>
      </c>
      <c r="AP15" s="322">
        <f>SUMIFS(Tabla110[[#All],[Utilidad Bruta Total]],Tabla110[[#All],[Asesor]],B15,Tabla110[[#All],[Fecha Cobranza]],"&lt;"&amp;$AP$6,Tabla110[[#All],[Fecha Cobranza]],"&gt;="&amp;$AO$6)</f>
        <v>0</v>
      </c>
      <c r="AQ15" s="322">
        <f>SUMIFS(Tabla110[[#All],[Utilidad Bruta Total]],Tabla110[[#All],[Asesor]],B15,Tabla110[[#All],[Fecha Cobranza]],"&lt;"&amp;$AQ$6,Tabla110[[#All],[Fecha Cobranza]],"&gt;="&amp;$AP$6)</f>
        <v>0</v>
      </c>
      <c r="AR15" s="322">
        <f>SUMIFS(Tabla110[[#All],[Utilidad Bruta Total]],Tabla110[[#All],[Asesor]],B15,Tabla110[[#All],[Fecha Cobranza]],"&lt;"&amp;$AR$6,Tabla110[[#All],[Fecha Cobranza]],"&gt;="&amp;$AQ$6)</f>
        <v>0</v>
      </c>
      <c r="AS15" s="322">
        <f>SUMIFS(Tabla110[[#All],[Utilidad Bruta Total]],Tabla110[[#All],[Asesor]],$B15,Tabla110[[#All],[Fecha Cobranza]],"&lt;"&amp;AS$6,Tabla110[[#All],[Fecha Cobranza]],"&gt;="&amp;AR$6)</f>
        <v>0</v>
      </c>
      <c r="AT15" s="322">
        <f>SUMIFS(Tabla110[[#All],[Utilidad Bruta Total]],Tabla110[[#All],[Asesor]],$B15,Tabla110[[#All],[Fecha Cobranza]],"&lt;"&amp;AT$6,Tabla110[[#All],[Fecha Cobranza]],"&gt;="&amp;AS$6)</f>
        <v>0</v>
      </c>
      <c r="AU15" s="322">
        <f>SUMIFS(Tabla110[[#All],[Utilidad Bruta Total]],Tabla110[[#All],[Asesor]],$B15,Tabla110[[#All],[Fecha Cobranza]],"&lt;"&amp;AU$6,Tabla110[[#All],[Fecha Cobranza]],"&gt;="&amp;AT$6)</f>
        <v>0</v>
      </c>
      <c r="AV15" s="322">
        <f>SUMIFS(Tabla110[[#All],[Utilidad Bruta Total]],Tabla110[[#All],[Asesor]],$B15,Tabla110[[#All],[Fecha Cobranza]],"&lt;"&amp;AV$6,Tabla110[[#All],[Fecha Cobranza]],"&gt;="&amp;AU$6)</f>
        <v>0</v>
      </c>
      <c r="AW15" s="322">
        <f>SUMIFS(Tabla110[[#All],[Utilidad Bruta Total]],Tabla110[[#All],[Asesor]],$B15,Tabla110[[#All],[Fecha Cobranza]],"&lt;"&amp;AW$6,Tabla110[[#All],[Fecha Cobranza]],"&gt;="&amp;AV$6)</f>
        <v>0</v>
      </c>
      <c r="AX15" s="322">
        <f>SUMIFS(Tabla110[[#All],[Utilidad Bruta Total]],Tabla110[[#All],[Asesor]],$B15,Tabla110[[#All],[Fecha Cobranza]],"&lt;"&amp;AX$6,Tabla110[[#All],[Fecha Cobranza]],"&gt;="&amp;AW$6)</f>
        <v>0</v>
      </c>
      <c r="AY15" s="322" t="e">
        <f>SUMIFS(Tabla110[[#All],[Utilidad Bruta Total]],Tabla110[[#All],[Asesor]],$B15,Tabla110[[#All],[Fecha Cobranza]],"&lt;"&amp;AY$6,Tabla110[[#All],[Fecha Cobranza]],"&gt;="&amp;AX$6)</f>
        <v>#N/A</v>
      </c>
      <c r="AZ15" s="322">
        <f>SUMIFS(Tabla110[[#All],[Utilidad Bruta Total]],Tabla110[[#All],[Asesor]],$B15,Tabla110[[#All],[Fecha Cobranza]],"&lt;"&amp;AZ$6,Tabla110[[#All],[Fecha Cobranza]],"&gt;="&amp;AY$6)</f>
        <v>0</v>
      </c>
      <c r="BA15" s="323" t="e">
        <f t="shared" si="1"/>
        <v>#N/A</v>
      </c>
      <c r="BB15" s="318">
        <f t="shared" si="2"/>
        <v>0</v>
      </c>
      <c r="BC15" s="318"/>
      <c r="BD15" s="318">
        <f t="shared" si="3"/>
        <v>0</v>
      </c>
      <c r="BE15" s="318"/>
      <c r="BF15" s="318">
        <f t="shared" si="4"/>
        <v>0</v>
      </c>
      <c r="BG15" s="318"/>
      <c r="BH15" s="318">
        <f t="shared" si="5"/>
        <v>0</v>
      </c>
      <c r="BI15" s="318"/>
      <c r="BJ15" s="318">
        <f t="shared" si="6"/>
        <v>0</v>
      </c>
      <c r="BK15" s="318"/>
      <c r="BL15" s="318">
        <f t="shared" si="7"/>
        <v>0</v>
      </c>
      <c r="BM15" s="318"/>
      <c r="BN15" s="318">
        <f t="shared" si="8"/>
        <v>0</v>
      </c>
      <c r="BO15" s="318"/>
      <c r="BP15" s="318">
        <f t="shared" si="9"/>
        <v>0</v>
      </c>
      <c r="BQ15" s="318"/>
      <c r="BR15" s="318">
        <f t="shared" si="10"/>
        <v>0</v>
      </c>
      <c r="BS15" s="318"/>
      <c r="BT15" s="318">
        <f t="shared" si="11"/>
        <v>0</v>
      </c>
      <c r="BU15" s="318">
        <f t="shared" si="12"/>
        <v>0</v>
      </c>
      <c r="BV15" s="318"/>
      <c r="BW15" s="318">
        <f t="shared" si="13"/>
        <v>0</v>
      </c>
      <c r="BX15" s="318"/>
      <c r="BY15" s="318">
        <f t="shared" si="14"/>
        <v>0</v>
      </c>
      <c r="BZ15" s="318"/>
      <c r="CA15" s="318">
        <f t="shared" si="15"/>
        <v>0</v>
      </c>
      <c r="CB15" s="318"/>
      <c r="CC15" s="318">
        <f t="shared" si="16"/>
        <v>0</v>
      </c>
      <c r="CD15" s="318"/>
      <c r="CE15" s="318">
        <f t="shared" si="17"/>
        <v>0</v>
      </c>
      <c r="CF15" s="318"/>
      <c r="CG15" s="318">
        <f t="shared" si="18"/>
        <v>0</v>
      </c>
      <c r="CH15" s="318"/>
      <c r="CI15" s="318">
        <f t="shared" si="19"/>
        <v>0</v>
      </c>
      <c r="CJ15" s="318"/>
      <c r="CK15" s="318">
        <f t="shared" si="20"/>
        <v>0</v>
      </c>
      <c r="CL15" s="318"/>
      <c r="CM15" s="318">
        <f t="shared" si="21"/>
        <v>0</v>
      </c>
      <c r="CN15" s="318"/>
      <c r="CO15" s="318">
        <f t="shared" si="22"/>
        <v>0</v>
      </c>
      <c r="CP15" s="318"/>
      <c r="CQ15" s="318">
        <f t="shared" si="23"/>
        <v>0</v>
      </c>
      <c r="CR15" s="318"/>
      <c r="CS15" s="318" t="e">
        <f t="shared" si="24"/>
        <v>#N/A</v>
      </c>
      <c r="CT15" s="318"/>
      <c r="CU15" s="318">
        <f t="shared" si="25"/>
        <v>0</v>
      </c>
      <c r="CV15" s="318"/>
      <c r="CW15" s="318" t="e">
        <f t="shared" si="26"/>
        <v>#N/A</v>
      </c>
      <c r="CX15" s="330"/>
      <c r="CY15" s="330"/>
      <c r="CZ15" s="330"/>
      <c r="DA15" s="330"/>
      <c r="DB15" s="330"/>
      <c r="DC15" s="330"/>
      <c r="DD15" s="330"/>
      <c r="DE15" s="330"/>
      <c r="DF15" s="330"/>
      <c r="DG15" s="330"/>
      <c r="DH15" s="330"/>
      <c r="DI15" s="330"/>
      <c r="DJ15" s="330"/>
      <c r="DK15" s="330"/>
      <c r="DL15" s="330"/>
      <c r="DM15" s="330"/>
      <c r="DN15" s="330"/>
      <c r="DO15" s="330"/>
      <c r="DP15" s="330"/>
      <c r="DQ15" s="330"/>
      <c r="DR15" s="330"/>
      <c r="DS15" s="330"/>
      <c r="DT15" s="330"/>
      <c r="DU15" s="330"/>
      <c r="DV15" s="331">
        <f t="shared" si="30"/>
        <v>0</v>
      </c>
      <c r="DW15" s="130">
        <f t="shared" si="27"/>
        <v>244784.08159999998</v>
      </c>
      <c r="DX15" s="130" t="e">
        <f t="shared" si="28"/>
        <v>#N/A</v>
      </c>
      <c r="DY15" s="147">
        <f t="shared" si="31"/>
        <v>0</v>
      </c>
      <c r="DZ15" s="298">
        <f t="shared" si="29"/>
        <v>0</v>
      </c>
      <c r="ED15" s="163"/>
      <c r="EG15" s="130">
        <v>50000005</v>
      </c>
      <c r="EH15" s="130">
        <v>50000006</v>
      </c>
      <c r="EI15" s="298">
        <v>0.08</v>
      </c>
      <c r="EJ15" s="298"/>
    </row>
    <row r="16" spans="2:145" ht="15.75" x14ac:dyDescent="0.3">
      <c r="B16" s="332" t="s">
        <v>272</v>
      </c>
      <c r="C16" s="297" t="str">
        <f>VLOOKUP(B16,'Caratula 2023'!$B$8:$C$42,2,FALSE)</f>
        <v>INTERNO</v>
      </c>
      <c r="D16" s="326">
        <f>SUMIFS(Tabla110[[#All],[Venta Total]],Tabla110[[#All],[Asesor]],B16,Tabla110[[#All],[Fecha Cobranza]],"&lt;"&amp;$D$6,Tabla110[[#All],[Fecha Cobranza]],"&gt;="&amp;$B$6)</f>
        <v>0</v>
      </c>
      <c r="E16" s="326">
        <f>SUMIFS(Tabla110[[#All],[Venta Total]],Tabla110[[#All],[Asesor]],B16,Tabla110[[#All],[Fecha Cobranza]],"&lt;"&amp;$E$6,Tabla110[[#All],[Fecha Cobranza]],"&gt;="&amp;$D$6)</f>
        <v>0</v>
      </c>
      <c r="F16" s="326">
        <f>SUMIFS(Tabla110[[#All],[Venta Total]],Tabla110[[#All],[Asesor]],B16,Tabla110[[#All],[Fecha Cobranza]],"&lt;"&amp;$F$6,Tabla110[[#All],[Fecha Cobranza]],"&gt;="&amp;$E$6)</f>
        <v>0</v>
      </c>
      <c r="G16" s="326">
        <f>SUMIFS(Tabla110[[#All],[Venta Total]],Tabla110[[#All],[Asesor]],B16,Tabla110[[#All],[Fecha Cobranza]],"&lt;"&amp;$G$6,Tabla110[[#All],[Fecha Cobranza]],"&gt;="&amp;$F$6)</f>
        <v>0</v>
      </c>
      <c r="H16" s="326">
        <f>SUMIFS(Tabla110[[#All],[Venta Total]],Tabla110[[#All],[Asesor]],B16,Tabla110[[#All],[Fecha Cobranza]],"&lt;"&amp;$H$6,Tabla110[[#All],[Fecha Cobranza]],"&gt;="&amp;$G$6)</f>
        <v>0</v>
      </c>
      <c r="I16" s="326">
        <f>SUMIFS(Tabla110[[#All],[Venta Total]],Tabla110[[#All],[Asesor]],B16,Tabla110[[#All],[Fecha Cobranza]],"&lt;"&amp;$I$6,Tabla110[[#All],[Fecha Cobranza]],"&gt;="&amp;$H$6)</f>
        <v>0</v>
      </c>
      <c r="J16" s="326">
        <f>SUMIFS(Tabla110[[#All],[Venta Total]],Tabla110[[#All],[Asesor]],B16,Tabla110[[#All],[Fecha Cobranza]],"&lt;"&amp;$J$6,Tabla110[[#All],[Fecha Cobranza]],"&gt;="&amp;$I$6)</f>
        <v>0</v>
      </c>
      <c r="K16" s="326">
        <f>SUMIFS(Tabla110[[#All],[Venta Total]],Tabla110[[#All],[Asesor]],B16,Tabla110[[#All],[Fecha Cobranza]],"&lt;"&amp;$K$6,Tabla110[[#All],[Fecha Cobranza]],"&gt;="&amp;$J$6)</f>
        <v>0</v>
      </c>
      <c r="L16" s="326">
        <f>SUMIFS(Tabla110[[#All],[Venta Total]],Tabla110[[#All],[Asesor]],B16,Tabla110[[#All],[Fecha Cobranza]],"&lt;"&amp;$L$6,Tabla110[[#All],[Fecha Cobranza]],"&gt;="&amp;$K$6)</f>
        <v>0</v>
      </c>
      <c r="M16" s="326">
        <f>SUMIFS(Tabla110[[#All],[Venta Total]],Tabla110[[#All],[Asesor]],B16,Tabla110[[#All],[Fecha Cobranza]],"&lt;"&amp;$M$6,Tabla110[[#All],[Fecha Cobranza]],"&gt;="&amp;$L$6)</f>
        <v>0</v>
      </c>
      <c r="N16" s="326">
        <f>SUMIFS(Tabla110[[#All],[Venta Total]],Tabla110[[#All],[Asesor]],B16,Tabla110[[#All],[Fecha Cobranza]],"&lt;"&amp;$N$6,Tabla110[[#All],[Fecha Cobranza]],"&gt;="&amp;$M$6)</f>
        <v>0</v>
      </c>
      <c r="O16" s="326">
        <f>SUMIFS(Tabla110[[#All],[Venta Total]],Tabla110[[#All],[Asesor]],B16,Tabla110[[#All],[Fecha Cobranza]],"&lt;"&amp;$O$6,Tabla110[[#All],[Fecha Cobranza]],"&gt;="&amp;$N$6)</f>
        <v>0</v>
      </c>
      <c r="P16" s="326">
        <f>SUMIFS(Tabla110[[#All],[Venta Total]],Tabla110[[#All],[Asesor]],B16,Tabla110[[#All],[Fecha Cobranza]],"&lt;"&amp;$P$6,Tabla110[[#All],[Fecha Cobranza]],"&gt;="&amp;$O$6)</f>
        <v>0</v>
      </c>
      <c r="Q16" s="326">
        <f>SUMIFS(Tabla110[[#All],[Venta Total]],Tabla110[[#All],[Asesor]],B16,Tabla110[[#All],[Fecha Cobranza]],"&lt;"&amp;$Q$6,Tabla110[[#All],[Fecha Cobranza]],"&gt;="&amp;$P$6)</f>
        <v>0</v>
      </c>
      <c r="R16" s="326">
        <f>SUMIFS(Tabla110[[#All],[Venta Total]],Tabla110[[#All],[Asesor]],B16,Tabla110[[#All],[Fecha Cobranza]],"&lt;"&amp;$R$6,Tabla110[[#All],[Fecha Cobranza]],"&gt;="&amp;$Q$6)</f>
        <v>0</v>
      </c>
      <c r="S16" s="326">
        <f>SUMIFS(Tabla110[[#All],[Venta Total]],Tabla110[[#All],[Asesor]],B16,Tabla110[[#All],[Fecha Cobranza]],"&lt;"&amp;$S$6,Tabla110[[#All],[Fecha Cobranza]],"&gt;="&amp;$R$6)</f>
        <v>0</v>
      </c>
      <c r="T16" s="326">
        <f>SUMIFS(Tabla110[[#All],[Venta Total]],Tabla110[[#All],[Asesor]],$B16,Tabla110[[#All],[Fecha Cobranza]],"&lt;"&amp;T$6,Tabla110[[#All],[Fecha Cobranza]],"&gt;="&amp;S$6)</f>
        <v>0</v>
      </c>
      <c r="U16" s="326">
        <f>SUMIFS(Tabla110[[#All],[Venta Total]],Tabla110[[#All],[Asesor]],$B16,Tabla110[[#All],[Fecha Cobranza]],"&lt;"&amp;U$6,Tabla110[[#All],[Fecha Cobranza]],"&gt;="&amp;T$6)</f>
        <v>0</v>
      </c>
      <c r="V16" s="326">
        <f>SUMIFS(Tabla110[[#All],[Venta Total]],Tabla110[[#All],[Asesor]],$B16,Tabla110[[#All],[Fecha Cobranza]],"&lt;"&amp;V$6,Tabla110[[#All],[Fecha Cobranza]],"&gt;="&amp;U$6)</f>
        <v>0</v>
      </c>
      <c r="W16" s="326">
        <f>SUMIFS(Tabla110[[#All],[Venta Total]],Tabla110[[#All],[Asesor]],$B16,Tabla110[[#All],[Fecha Cobranza]],"&lt;"&amp;W$6,Tabla110[[#All],[Fecha Cobranza]],"&gt;="&amp;V$6)</f>
        <v>0</v>
      </c>
      <c r="X16" s="326">
        <f>SUMIFS(Tabla110[[#All],[Venta Total]],Tabla110[[#All],[Asesor]],$B16,Tabla110[[#All],[Fecha Cobranza]],"&lt;"&amp;X$6,Tabla110[[#All],[Fecha Cobranza]],"&gt;="&amp;W$6)</f>
        <v>0</v>
      </c>
      <c r="Y16" s="326">
        <f>SUMIFS(Tabla110[[#All],[Venta Total]],Tabla110[[#All],[Asesor]],$B16,Tabla110[[#All],[Fecha Cobranza]],"&lt;"&amp;Y$6,Tabla110[[#All],[Fecha Cobranza]],"&gt;="&amp;X$6)</f>
        <v>0</v>
      </c>
      <c r="Z16" s="326">
        <f>SUMIFS(Tabla110[[#All],[Venta Total]],Tabla110[[#All],[Asesor]],$B16,Tabla110[[#All],[Fecha Cobranza]],"&lt;"&amp;Z$6,Tabla110[[#All],[Fecha Cobranza]],"&gt;="&amp;Y$6)</f>
        <v>0</v>
      </c>
      <c r="AA16" s="326">
        <f>SUMIFS(Tabla110[[#All],[Venta Total]],Tabla110[[#All],[Asesor]],$B16,Tabla110[[#All],[Fecha Cobranza]],"&lt;"&amp;AA$6,Tabla110[[#All],[Fecha Cobranza]],"&gt;="&amp;Z$6)</f>
        <v>0</v>
      </c>
      <c r="AB16" s="327">
        <f t="shared" si="0"/>
        <v>0</v>
      </c>
      <c r="AC16" s="322">
        <f>SUMIFS(Tabla110[[#All],[Utilidad Bruta Total]],Tabla110[[#All],[Asesor]],B16,Tabla110[[#All],[Fecha Cobranza]],"&lt;"&amp;$AC$6,Tabla110[[#All],[Fecha Cobranza]],"&gt;="&amp;$B$6)</f>
        <v>0</v>
      </c>
      <c r="AD16" s="322">
        <f>SUMIFS(Tabla110[[#All],[Utilidad Bruta Total]],Tabla110[[#All],[Asesor]],B16,Tabla110[[#All],[Fecha Cobranza]],"&lt;"&amp;$AD$6,Tabla110[[#All],[Fecha Cobranza]],"&gt;="&amp;$AC$6)</f>
        <v>0</v>
      </c>
      <c r="AE16" s="322">
        <f>SUMIFS(Tabla110[[#All],[Utilidad Bruta Total]],Tabla110[[#All],[Asesor]],B16,Tabla110[[#All],[Fecha Cobranza]],"&lt;"&amp;$AE$6,Tabla110[[#All],[Fecha Cobranza]],"&gt;="&amp;$AD$6)</f>
        <v>0</v>
      </c>
      <c r="AF16" s="322">
        <f>SUMIFS(Tabla110[[#All],[Utilidad Bruta Total]],Tabla110[[#All],[Asesor]],B16,Tabla110[[#All],[Fecha Cobranza]],"&lt;"&amp;$AF$6,Tabla110[[#All],[Fecha Cobranza]],"&gt;="&amp;$AE$6)</f>
        <v>0</v>
      </c>
      <c r="AG16" s="322">
        <f>SUMIFS(Tabla110[[#All],[Utilidad Bruta Total]],Tabla110[[#All],[Asesor]],B16,Tabla110[[#All],[Fecha Cobranza]],"&lt;"&amp;$AG$6,Tabla110[[#All],[Fecha Cobranza]],"&gt;="&amp;$AF$6)</f>
        <v>0</v>
      </c>
      <c r="AH16" s="322">
        <f>SUMIFS(Tabla110[[#All],[Utilidad Bruta Total]],Tabla110[[#All],[Asesor]],B16,Tabla110[[#All],[Fecha Cobranza]],"&lt;"&amp;$AH$6,Tabla110[[#All],[Fecha Cobranza]],"&gt;="&amp;$AG$6)</f>
        <v>0</v>
      </c>
      <c r="AI16" s="322">
        <f>SUMIFS(Tabla110[[#All],[Utilidad Bruta Total]],Tabla110[[#All],[Asesor]],B16,Tabla110[[#All],[Fecha Cobranza]],"&lt;"&amp;$AI$6,Tabla110[[#All],[Fecha Cobranza]],"&gt;="&amp;$AH$6)</f>
        <v>0</v>
      </c>
      <c r="AJ16" s="322">
        <f>SUMIFS(Tabla110[[#All],[Utilidad Bruta Total]],Tabla110[[#All],[Asesor]],B16,Tabla110[[#All],[Fecha Cobranza]],"&lt;"&amp;$AJ$6,Tabla110[[#All],[Fecha Cobranza]],"&gt;="&amp;$AI$6)</f>
        <v>0</v>
      </c>
      <c r="AK16" s="322">
        <f>SUMIFS(Tabla110[[#All],[Utilidad Bruta Total]],Tabla110[[#All],[Asesor]],B16,Tabla110[[#All],[Fecha Cobranza]],"&lt;"&amp;$AK$6,Tabla110[[#All],[Fecha Cobranza]],"&gt;="&amp;$AJ$6)</f>
        <v>0</v>
      </c>
      <c r="AL16" s="322">
        <f>SUMIFS(Tabla110[[#All],[Utilidad Bruta Total]],Tabla110[[#All],[Asesor]],B16,Tabla110[[#All],[Fecha Cobranza]],"&lt;"&amp;$AL$6,Tabla110[[#All],[Fecha Cobranza]],"&gt;="&amp;$AK$6)</f>
        <v>0</v>
      </c>
      <c r="AM16" s="322">
        <f>SUMIFS(Tabla110[[#All],[Utilidad Bruta Total]],Tabla110[[#All],[Asesor]],B16,Tabla110[[#All],[Fecha Cobranza]],"&lt;"&amp;$AM$6,Tabla110[[#All],[Fecha Cobranza]],"&gt;="&amp;$AL$6)</f>
        <v>0</v>
      </c>
      <c r="AN16" s="322">
        <f>SUMIFS(Tabla110[[#All],[Utilidad Bruta Total]],Tabla110[[#All],[Asesor]],B16,Tabla110[[#All],[Fecha Cobranza]],"&lt;"&amp;$AN$6,Tabla110[[#All],[Fecha Cobranza]],"&gt;="&amp;$AM$6)</f>
        <v>0</v>
      </c>
      <c r="AO16" s="322">
        <f>SUMIFS(Tabla110[[#All],[Utilidad Bruta Total]],Tabla110[[#All],[Asesor]],B16,Tabla110[[#All],[Fecha Cobranza]],"&lt;"&amp;$AO$6,Tabla110[[#All],[Fecha Cobranza]],"&gt;="&amp;$AN$6)</f>
        <v>0</v>
      </c>
      <c r="AP16" s="322">
        <f>SUMIFS(Tabla110[[#All],[Utilidad Bruta Total]],Tabla110[[#All],[Asesor]],B16,Tabla110[[#All],[Fecha Cobranza]],"&lt;"&amp;$AP$6,Tabla110[[#All],[Fecha Cobranza]],"&gt;="&amp;$AO$6)</f>
        <v>0</v>
      </c>
      <c r="AQ16" s="322">
        <f>SUMIFS(Tabla110[[#All],[Utilidad Bruta Total]],Tabla110[[#All],[Asesor]],B16,Tabla110[[#All],[Fecha Cobranza]],"&lt;"&amp;$AQ$6,Tabla110[[#All],[Fecha Cobranza]],"&gt;="&amp;$AP$6)</f>
        <v>0</v>
      </c>
      <c r="AR16" s="322">
        <f>SUMIFS(Tabla110[[#All],[Utilidad Bruta Total]],Tabla110[[#All],[Asesor]],B16,Tabla110[[#All],[Fecha Cobranza]],"&lt;"&amp;$AR$6,Tabla110[[#All],[Fecha Cobranza]],"&gt;="&amp;$AQ$6)</f>
        <v>0</v>
      </c>
      <c r="AS16" s="322">
        <f>SUMIFS(Tabla110[[#All],[Utilidad Bruta Total]],Tabla110[[#All],[Asesor]],$B16,Tabla110[[#All],[Fecha Cobranza]],"&lt;"&amp;AS$6,Tabla110[[#All],[Fecha Cobranza]],"&gt;="&amp;AR$6)</f>
        <v>0</v>
      </c>
      <c r="AT16" s="322">
        <f>SUMIFS(Tabla110[[#All],[Utilidad Bruta Total]],Tabla110[[#All],[Asesor]],$B16,Tabla110[[#All],[Fecha Cobranza]],"&lt;"&amp;AT$6,Tabla110[[#All],[Fecha Cobranza]],"&gt;="&amp;AS$6)</f>
        <v>0</v>
      </c>
      <c r="AU16" s="322">
        <f>SUMIFS(Tabla110[[#All],[Utilidad Bruta Total]],Tabla110[[#All],[Asesor]],$B16,Tabla110[[#All],[Fecha Cobranza]],"&lt;"&amp;AU$6,Tabla110[[#All],[Fecha Cobranza]],"&gt;="&amp;AT$6)</f>
        <v>0</v>
      </c>
      <c r="AV16" s="322">
        <f>SUMIFS(Tabla110[[#All],[Utilidad Bruta Total]],Tabla110[[#All],[Asesor]],$B16,Tabla110[[#All],[Fecha Cobranza]],"&lt;"&amp;AV$6,Tabla110[[#All],[Fecha Cobranza]],"&gt;="&amp;AU$6)</f>
        <v>0</v>
      </c>
      <c r="AW16" s="322">
        <f>SUMIFS(Tabla110[[#All],[Utilidad Bruta Total]],Tabla110[[#All],[Asesor]],$B16,Tabla110[[#All],[Fecha Cobranza]],"&lt;"&amp;AW$6,Tabla110[[#All],[Fecha Cobranza]],"&gt;="&amp;AV$6)</f>
        <v>0</v>
      </c>
      <c r="AX16" s="322">
        <f>SUMIFS(Tabla110[[#All],[Utilidad Bruta Total]],Tabla110[[#All],[Asesor]],$B16,Tabla110[[#All],[Fecha Cobranza]],"&lt;"&amp;AX$6,Tabla110[[#All],[Fecha Cobranza]],"&gt;="&amp;AW$6)</f>
        <v>0</v>
      </c>
      <c r="AY16" s="322">
        <f>SUMIFS(Tabla110[[#All],[Utilidad Bruta Total]],Tabla110[[#All],[Asesor]],$B16,Tabla110[[#All],[Fecha Cobranza]],"&lt;"&amp;AY$6,Tabla110[[#All],[Fecha Cobranza]],"&gt;="&amp;AX$6)</f>
        <v>0</v>
      </c>
      <c r="AZ16" s="322">
        <f>SUMIFS(Tabla110[[#All],[Utilidad Bruta Total]],Tabla110[[#All],[Asesor]],$B16,Tabla110[[#All],[Fecha Cobranza]],"&lt;"&amp;AZ$6,Tabla110[[#All],[Fecha Cobranza]],"&gt;="&amp;AY$6)</f>
        <v>0</v>
      </c>
      <c r="BA16" s="323">
        <f t="shared" si="1"/>
        <v>0</v>
      </c>
      <c r="BB16" s="417">
        <f t="shared" si="2"/>
        <v>0</v>
      </c>
      <c r="BC16" s="318"/>
      <c r="BD16" s="318">
        <f t="shared" si="3"/>
        <v>0</v>
      </c>
      <c r="BE16" s="318"/>
      <c r="BF16" s="318">
        <f t="shared" si="4"/>
        <v>0</v>
      </c>
      <c r="BG16" s="318"/>
      <c r="BH16" s="318">
        <f t="shared" si="5"/>
        <v>0</v>
      </c>
      <c r="BI16" s="318"/>
      <c r="BJ16" s="318">
        <f t="shared" si="6"/>
        <v>0</v>
      </c>
      <c r="BK16" s="318"/>
      <c r="BL16" s="318">
        <f t="shared" si="7"/>
        <v>0</v>
      </c>
      <c r="BM16" s="318"/>
      <c r="BN16" s="318">
        <f t="shared" si="8"/>
        <v>0</v>
      </c>
      <c r="BO16" s="318"/>
      <c r="BP16" s="318">
        <f t="shared" si="9"/>
        <v>0</v>
      </c>
      <c r="BQ16" s="318"/>
      <c r="BR16" s="318">
        <f t="shared" si="10"/>
        <v>0</v>
      </c>
      <c r="BS16" s="318"/>
      <c r="BT16" s="318">
        <f t="shared" si="11"/>
        <v>0</v>
      </c>
      <c r="BU16" s="420">
        <f t="shared" si="12"/>
        <v>0</v>
      </c>
      <c r="BV16" s="318"/>
      <c r="BW16" s="420">
        <f t="shared" si="13"/>
        <v>0</v>
      </c>
      <c r="BX16" s="318"/>
      <c r="BY16" s="318">
        <f t="shared" si="14"/>
        <v>0</v>
      </c>
      <c r="BZ16" s="318"/>
      <c r="CA16" s="318">
        <f t="shared" si="15"/>
        <v>0</v>
      </c>
      <c r="CB16" s="318"/>
      <c r="CC16" s="318">
        <f t="shared" si="16"/>
        <v>0</v>
      </c>
      <c r="CD16" s="318"/>
      <c r="CE16" s="318">
        <f t="shared" si="17"/>
        <v>0</v>
      </c>
      <c r="CF16" s="318"/>
      <c r="CG16" s="318">
        <f t="shared" si="18"/>
        <v>0</v>
      </c>
      <c r="CH16" s="318"/>
      <c r="CI16" s="318">
        <f t="shared" si="19"/>
        <v>0</v>
      </c>
      <c r="CJ16" s="318"/>
      <c r="CK16" s="318">
        <f t="shared" si="20"/>
        <v>0</v>
      </c>
      <c r="CL16" s="318"/>
      <c r="CM16" s="318">
        <f t="shared" si="21"/>
        <v>0</v>
      </c>
      <c r="CN16" s="318"/>
      <c r="CO16" s="318">
        <f t="shared" si="22"/>
        <v>0</v>
      </c>
      <c r="CP16" s="318"/>
      <c r="CQ16" s="318">
        <f t="shared" si="23"/>
        <v>0</v>
      </c>
      <c r="CR16" s="318"/>
      <c r="CS16" s="318">
        <f t="shared" si="24"/>
        <v>0</v>
      </c>
      <c r="CT16" s="318"/>
      <c r="CU16" s="318">
        <f t="shared" si="25"/>
        <v>0</v>
      </c>
      <c r="CV16" s="318"/>
      <c r="CW16" s="318">
        <f t="shared" si="26"/>
        <v>0</v>
      </c>
      <c r="CX16" s="330"/>
      <c r="CY16" s="330"/>
      <c r="CZ16" s="330"/>
      <c r="DA16" s="330"/>
      <c r="DB16" s="330"/>
      <c r="DC16" s="330"/>
      <c r="DD16" s="330"/>
      <c r="DE16" s="330"/>
      <c r="DF16" s="330"/>
      <c r="DG16" s="330"/>
      <c r="DH16" s="330"/>
      <c r="DI16" s="330"/>
      <c r="DJ16" s="330"/>
      <c r="DK16" s="330"/>
      <c r="DL16" s="330"/>
      <c r="DM16" s="330"/>
      <c r="DN16" s="330"/>
      <c r="DO16" s="330"/>
      <c r="DP16" s="330"/>
      <c r="DQ16" s="330"/>
      <c r="DR16" s="330"/>
      <c r="DS16" s="330"/>
      <c r="DT16" s="330"/>
      <c r="DU16" s="330"/>
      <c r="DV16" s="331">
        <f t="shared" si="30"/>
        <v>0</v>
      </c>
      <c r="DW16" s="130">
        <f t="shared" si="27"/>
        <v>0</v>
      </c>
      <c r="DX16" s="130">
        <f t="shared" si="28"/>
        <v>0</v>
      </c>
      <c r="DY16" s="147">
        <f t="shared" si="31"/>
        <v>0</v>
      </c>
      <c r="DZ16" s="298">
        <f t="shared" si="29"/>
        <v>0</v>
      </c>
      <c r="ED16" s="163"/>
      <c r="EG16" s="130">
        <v>50000007</v>
      </c>
      <c r="EH16" s="130">
        <v>50000008</v>
      </c>
      <c r="EI16" s="298">
        <v>0.08</v>
      </c>
      <c r="EJ16" s="298"/>
    </row>
    <row r="17" spans="2:140" ht="15.75" x14ac:dyDescent="0.3">
      <c r="B17" s="332" t="s">
        <v>401</v>
      </c>
      <c r="C17" s="297" t="str">
        <f>VLOOKUP(B17,'Caratula 2023'!$B$8:$C$42,2,FALSE)</f>
        <v>INTERNO</v>
      </c>
      <c r="D17" s="326">
        <f>SUMIFS(Tabla110[[#All],[Venta Total]],Tabla110[[#All],[Asesor]],B17,Tabla110[[#All],[Fecha Cobranza]],"&lt;"&amp;$D$6,Tabla110[[#All],[Fecha Cobranza]],"&gt;="&amp;$B$6)</f>
        <v>0</v>
      </c>
      <c r="E17" s="326">
        <f>SUMIFS(Tabla110[[#All],[Venta Total]],Tabla110[[#All],[Asesor]],B17,Tabla110[[#All],[Fecha Cobranza]],"&lt;"&amp;$E$6,Tabla110[[#All],[Fecha Cobranza]],"&gt;="&amp;$D$6)</f>
        <v>0</v>
      </c>
      <c r="F17" s="326">
        <f>SUMIFS(Tabla110[[#All],[Venta Total]],Tabla110[[#All],[Asesor]],B17,Tabla110[[#All],[Fecha Cobranza]],"&lt;"&amp;$F$6,Tabla110[[#All],[Fecha Cobranza]],"&gt;="&amp;$E$6)</f>
        <v>0</v>
      </c>
      <c r="G17" s="326">
        <f>SUMIFS(Tabla110[[#All],[Venta Total]],Tabla110[[#All],[Asesor]],B17,Tabla110[[#All],[Fecha Cobranza]],"&lt;"&amp;$G$6,Tabla110[[#All],[Fecha Cobranza]],"&gt;="&amp;$F$6)</f>
        <v>0</v>
      </c>
      <c r="H17" s="326">
        <f>SUMIFS(Tabla110[[#All],[Venta Total]],Tabla110[[#All],[Asesor]],B17,Tabla110[[#All],[Fecha Cobranza]],"&lt;"&amp;$H$6,Tabla110[[#All],[Fecha Cobranza]],"&gt;="&amp;$G$6)</f>
        <v>0</v>
      </c>
      <c r="I17" s="326">
        <f>SUMIFS(Tabla110[[#All],[Venta Total]],Tabla110[[#All],[Asesor]],B17,Tabla110[[#All],[Fecha Cobranza]],"&lt;"&amp;$I$6,Tabla110[[#All],[Fecha Cobranza]],"&gt;="&amp;$H$6)</f>
        <v>0</v>
      </c>
      <c r="J17" s="326">
        <f>SUMIFS(Tabla110[[#All],[Venta Total]],Tabla110[[#All],[Asesor]],B17,Tabla110[[#All],[Fecha Cobranza]],"&lt;"&amp;$J$6,Tabla110[[#All],[Fecha Cobranza]],"&gt;="&amp;$I$6)</f>
        <v>0</v>
      </c>
      <c r="K17" s="326">
        <f>SUMIFS(Tabla110[[#All],[Venta Total]],Tabla110[[#All],[Asesor]],B17,Tabla110[[#All],[Fecha Cobranza]],"&lt;"&amp;$K$6,Tabla110[[#All],[Fecha Cobranza]],"&gt;="&amp;$J$6)</f>
        <v>0</v>
      </c>
      <c r="L17" s="326">
        <f>SUMIFS(Tabla110[[#All],[Venta Total]],Tabla110[[#All],[Asesor]],B17,Tabla110[[#All],[Fecha Cobranza]],"&lt;"&amp;$L$6,Tabla110[[#All],[Fecha Cobranza]],"&gt;="&amp;$K$6)</f>
        <v>0</v>
      </c>
      <c r="M17" s="326">
        <f>SUMIFS(Tabla110[[#All],[Venta Total]],Tabla110[[#All],[Asesor]],B17,Tabla110[[#All],[Fecha Cobranza]],"&lt;"&amp;$M$6,Tabla110[[#All],[Fecha Cobranza]],"&gt;="&amp;$L$6)</f>
        <v>0</v>
      </c>
      <c r="N17" s="326">
        <f>SUMIFS(Tabla110[[#All],[Venta Total]],Tabla110[[#All],[Asesor]],B17,Tabla110[[#All],[Fecha Cobranza]],"&lt;"&amp;$N$6,Tabla110[[#All],[Fecha Cobranza]],"&gt;="&amp;$M$6)</f>
        <v>0</v>
      </c>
      <c r="O17" s="326">
        <f>SUMIFS(Tabla110[[#All],[Venta Total]],Tabla110[[#All],[Asesor]],B17,Tabla110[[#All],[Fecha Cobranza]],"&lt;"&amp;$O$6,Tabla110[[#All],[Fecha Cobranza]],"&gt;="&amp;$N$6)</f>
        <v>0</v>
      </c>
      <c r="P17" s="326">
        <f>SUMIFS(Tabla110[[#All],[Venta Total]],Tabla110[[#All],[Asesor]],B17,Tabla110[[#All],[Fecha Cobranza]],"&lt;"&amp;$P$6,Tabla110[[#All],[Fecha Cobranza]],"&gt;="&amp;$O$6)</f>
        <v>0</v>
      </c>
      <c r="Q17" s="326">
        <f>SUMIFS(Tabla110[[#All],[Venta Total]],Tabla110[[#All],[Asesor]],B17,Tabla110[[#All],[Fecha Cobranza]],"&lt;"&amp;$Q$6,Tabla110[[#All],[Fecha Cobranza]],"&gt;="&amp;$P$6)</f>
        <v>0</v>
      </c>
      <c r="R17" s="326">
        <f>SUMIFS(Tabla110[[#All],[Venta Total]],Tabla110[[#All],[Asesor]],B17,Tabla110[[#All],[Fecha Cobranza]],"&lt;"&amp;$R$6,Tabla110[[#All],[Fecha Cobranza]],"&gt;="&amp;$Q$6)</f>
        <v>0</v>
      </c>
      <c r="S17" s="326">
        <f>SUMIFS(Tabla110[[#All],[Venta Total]],Tabla110[[#All],[Asesor]],B17,Tabla110[[#All],[Fecha Cobranza]],"&lt;"&amp;$S$6,Tabla110[[#All],[Fecha Cobranza]],"&gt;="&amp;$R$6)</f>
        <v>0</v>
      </c>
      <c r="T17" s="326">
        <f>SUMIFS(Tabla110[[#All],[Venta Total]],Tabla110[[#All],[Asesor]],$B17,Tabla110[[#All],[Fecha Cobranza]],"&lt;"&amp;T$6,Tabla110[[#All],[Fecha Cobranza]],"&gt;="&amp;S$6)</f>
        <v>0</v>
      </c>
      <c r="U17" s="326">
        <f>SUMIFS(Tabla110[[#All],[Venta Total]],Tabla110[[#All],[Asesor]],$B17,Tabla110[[#All],[Fecha Cobranza]],"&lt;"&amp;U$6,Tabla110[[#All],[Fecha Cobranza]],"&gt;="&amp;T$6)</f>
        <v>0</v>
      </c>
      <c r="V17" s="326">
        <f>SUMIFS(Tabla110[[#All],[Venta Total]],Tabla110[[#All],[Asesor]],$B17,Tabla110[[#All],[Fecha Cobranza]],"&lt;"&amp;V$6,Tabla110[[#All],[Fecha Cobranza]],"&gt;="&amp;U$6)</f>
        <v>0</v>
      </c>
      <c r="W17" s="326">
        <f>SUMIFS(Tabla110[[#All],[Venta Total]],Tabla110[[#All],[Asesor]],$B17,Tabla110[[#All],[Fecha Cobranza]],"&lt;"&amp;W$6,Tabla110[[#All],[Fecha Cobranza]],"&gt;="&amp;V$6)</f>
        <v>0</v>
      </c>
      <c r="X17" s="326">
        <f>SUMIFS(Tabla110[[#All],[Venta Total]],Tabla110[[#All],[Asesor]],$B17,Tabla110[[#All],[Fecha Cobranza]],"&lt;"&amp;X$6,Tabla110[[#All],[Fecha Cobranza]],"&gt;="&amp;W$6)</f>
        <v>0</v>
      </c>
      <c r="Y17" s="326">
        <f>SUMIFS(Tabla110[[#All],[Venta Total]],Tabla110[[#All],[Asesor]],$B17,Tabla110[[#All],[Fecha Cobranza]],"&lt;"&amp;Y$6,Tabla110[[#All],[Fecha Cobranza]],"&gt;="&amp;X$6)</f>
        <v>0</v>
      </c>
      <c r="Z17" s="326">
        <f>SUMIFS(Tabla110[[#All],[Venta Total]],Tabla110[[#All],[Asesor]],$B17,Tabla110[[#All],[Fecha Cobranza]],"&lt;"&amp;Z$6,Tabla110[[#All],[Fecha Cobranza]],"&gt;="&amp;Y$6)</f>
        <v>0</v>
      </c>
      <c r="AA17" s="326">
        <f>SUMIFS(Tabla110[[#All],[Venta Total]],Tabla110[[#All],[Asesor]],$B17,Tabla110[[#All],[Fecha Cobranza]],"&lt;"&amp;AA$6,Tabla110[[#All],[Fecha Cobranza]],"&gt;="&amp;Z$6)</f>
        <v>0</v>
      </c>
      <c r="AB17" s="327">
        <f t="shared" si="0"/>
        <v>0</v>
      </c>
      <c r="AC17" s="322">
        <f>SUMIFS(Tabla110[[#All],[Utilidad Bruta Total]],Tabla110[[#All],[Asesor]],B17,Tabla110[[#All],[Fecha Cobranza]],"&lt;"&amp;$AC$6,Tabla110[[#All],[Fecha Cobranza]],"&gt;="&amp;$B$6)</f>
        <v>0</v>
      </c>
      <c r="AD17" s="322">
        <f>SUMIFS(Tabla110[[#All],[Utilidad Bruta Total]],Tabla110[[#All],[Asesor]],B17,Tabla110[[#All],[Fecha Cobranza]],"&lt;"&amp;$AD$6,Tabla110[[#All],[Fecha Cobranza]],"&gt;="&amp;$AC$6)</f>
        <v>0</v>
      </c>
      <c r="AE17" s="322">
        <f>SUMIFS(Tabla110[[#All],[Utilidad Bruta Total]],Tabla110[[#All],[Asesor]],B17,Tabla110[[#All],[Fecha Cobranza]],"&lt;"&amp;$AE$6,Tabla110[[#All],[Fecha Cobranza]],"&gt;="&amp;$AD$6)</f>
        <v>0</v>
      </c>
      <c r="AF17" s="322">
        <f>SUMIFS(Tabla110[[#All],[Utilidad Bruta Total]],Tabla110[[#All],[Asesor]],B17,Tabla110[[#All],[Fecha Cobranza]],"&lt;"&amp;$AF$6,Tabla110[[#All],[Fecha Cobranza]],"&gt;="&amp;$AE$6)</f>
        <v>0</v>
      </c>
      <c r="AG17" s="322">
        <f>SUMIFS(Tabla110[[#All],[Utilidad Bruta Total]],Tabla110[[#All],[Asesor]],B17,Tabla110[[#All],[Fecha Cobranza]],"&lt;"&amp;$AG$6,Tabla110[[#All],[Fecha Cobranza]],"&gt;="&amp;$AF$6)</f>
        <v>0</v>
      </c>
      <c r="AH17" s="322">
        <f>SUMIFS(Tabla110[[#All],[Utilidad Bruta Total]],Tabla110[[#All],[Asesor]],B17,Tabla110[[#All],[Fecha Cobranza]],"&lt;"&amp;$AH$6,Tabla110[[#All],[Fecha Cobranza]],"&gt;="&amp;$AG$6)</f>
        <v>0</v>
      </c>
      <c r="AI17" s="322">
        <f>SUMIFS(Tabla110[[#All],[Utilidad Bruta Total]],Tabla110[[#All],[Asesor]],B17,Tabla110[[#All],[Fecha Cobranza]],"&lt;"&amp;$AI$6,Tabla110[[#All],[Fecha Cobranza]],"&gt;="&amp;$AH$6)</f>
        <v>0</v>
      </c>
      <c r="AJ17" s="322">
        <f>SUMIFS(Tabla110[[#All],[Utilidad Bruta Total]],Tabla110[[#All],[Asesor]],B17,Tabla110[[#All],[Fecha Cobranza]],"&lt;"&amp;$AJ$6,Tabla110[[#All],[Fecha Cobranza]],"&gt;="&amp;$AI$6)</f>
        <v>0</v>
      </c>
      <c r="AK17" s="322">
        <f>SUMIFS(Tabla110[[#All],[Utilidad Bruta Total]],Tabla110[[#All],[Asesor]],B17,Tabla110[[#All],[Fecha Cobranza]],"&lt;"&amp;$AK$6,Tabla110[[#All],[Fecha Cobranza]],"&gt;="&amp;$AJ$6)</f>
        <v>0</v>
      </c>
      <c r="AL17" s="322">
        <f>SUMIFS(Tabla110[[#All],[Utilidad Bruta Total]],Tabla110[[#All],[Asesor]],B17,Tabla110[[#All],[Fecha Cobranza]],"&lt;"&amp;$AL$6,Tabla110[[#All],[Fecha Cobranza]],"&gt;="&amp;$AK$6)</f>
        <v>0</v>
      </c>
      <c r="AM17" s="322">
        <f>SUMIFS(Tabla110[[#All],[Utilidad Bruta Total]],Tabla110[[#All],[Asesor]],B17,Tabla110[[#All],[Fecha Cobranza]],"&lt;"&amp;$AM$6,Tabla110[[#All],[Fecha Cobranza]],"&gt;="&amp;$AL$6)</f>
        <v>0</v>
      </c>
      <c r="AN17" s="322">
        <f>SUMIFS(Tabla110[[#All],[Utilidad Bruta Total]],Tabla110[[#All],[Asesor]],B17,Tabla110[[#All],[Fecha Cobranza]],"&lt;"&amp;$AN$6,Tabla110[[#All],[Fecha Cobranza]],"&gt;="&amp;$AM$6)</f>
        <v>0</v>
      </c>
      <c r="AO17" s="322">
        <f>SUMIFS(Tabla110[[#All],[Utilidad Bruta Total]],Tabla110[[#All],[Asesor]],B17,Tabla110[[#All],[Fecha Cobranza]],"&lt;"&amp;$AO$6,Tabla110[[#All],[Fecha Cobranza]],"&gt;="&amp;$AN$6)</f>
        <v>0</v>
      </c>
      <c r="AP17" s="322">
        <f>SUMIFS(Tabla110[[#All],[Utilidad Bruta Total]],Tabla110[[#All],[Asesor]],B17,Tabla110[[#All],[Fecha Cobranza]],"&lt;"&amp;$AP$6,Tabla110[[#All],[Fecha Cobranza]],"&gt;="&amp;$AO$6)</f>
        <v>0</v>
      </c>
      <c r="AQ17" s="322">
        <f>SUMIFS(Tabla110[[#All],[Utilidad Bruta Total]],Tabla110[[#All],[Asesor]],B17,Tabla110[[#All],[Fecha Cobranza]],"&lt;"&amp;$AQ$6,Tabla110[[#All],[Fecha Cobranza]],"&gt;="&amp;$AP$6)</f>
        <v>0</v>
      </c>
      <c r="AR17" s="322">
        <f>SUMIFS(Tabla110[[#All],[Utilidad Bruta Total]],Tabla110[[#All],[Asesor]],B17,Tabla110[[#All],[Fecha Cobranza]],"&lt;"&amp;$AR$6,Tabla110[[#All],[Fecha Cobranza]],"&gt;="&amp;$AQ$6)</f>
        <v>0</v>
      </c>
      <c r="AS17" s="322">
        <f>SUMIFS(Tabla110[[#All],[Utilidad Bruta Total]],Tabla110[[#All],[Asesor]],$B17,Tabla110[[#All],[Fecha Cobranza]],"&lt;"&amp;AS$6,Tabla110[[#All],[Fecha Cobranza]],"&gt;="&amp;AR$6)</f>
        <v>0</v>
      </c>
      <c r="AT17" s="322">
        <f>SUMIFS(Tabla110[[#All],[Utilidad Bruta Total]],Tabla110[[#All],[Asesor]],$B17,Tabla110[[#All],[Fecha Cobranza]],"&lt;"&amp;AT$6,Tabla110[[#All],[Fecha Cobranza]],"&gt;="&amp;AS$6)</f>
        <v>0</v>
      </c>
      <c r="AU17" s="322">
        <f>SUMIFS(Tabla110[[#All],[Utilidad Bruta Total]],Tabla110[[#All],[Asesor]],$B17,Tabla110[[#All],[Fecha Cobranza]],"&lt;"&amp;AU$6,Tabla110[[#All],[Fecha Cobranza]],"&gt;="&amp;AT$6)</f>
        <v>0</v>
      </c>
      <c r="AV17" s="322">
        <f>SUMIFS(Tabla110[[#All],[Utilidad Bruta Total]],Tabla110[[#All],[Asesor]],$B17,Tabla110[[#All],[Fecha Cobranza]],"&lt;"&amp;AV$6,Tabla110[[#All],[Fecha Cobranza]],"&gt;="&amp;AU$6)</f>
        <v>0</v>
      </c>
      <c r="AW17" s="322">
        <f>SUMIFS(Tabla110[[#All],[Utilidad Bruta Total]],Tabla110[[#All],[Asesor]],$B17,Tabla110[[#All],[Fecha Cobranza]],"&lt;"&amp;AW$6,Tabla110[[#All],[Fecha Cobranza]],"&gt;="&amp;AV$6)</f>
        <v>0</v>
      </c>
      <c r="AX17" s="322">
        <f>SUMIFS(Tabla110[[#All],[Utilidad Bruta Total]],Tabla110[[#All],[Asesor]],$B17,Tabla110[[#All],[Fecha Cobranza]],"&lt;"&amp;AX$6,Tabla110[[#All],[Fecha Cobranza]],"&gt;="&amp;AW$6)</f>
        <v>0</v>
      </c>
      <c r="AY17" s="322">
        <f>SUMIFS(Tabla110[[#All],[Utilidad Bruta Total]],Tabla110[[#All],[Asesor]],$B17,Tabla110[[#All],[Fecha Cobranza]],"&lt;"&amp;AY$6,Tabla110[[#All],[Fecha Cobranza]],"&gt;="&amp;AX$6)</f>
        <v>0</v>
      </c>
      <c r="AZ17" s="322">
        <f>SUMIFS(Tabla110[[#All],[Utilidad Bruta Total]],Tabla110[[#All],[Asesor]],$B17,Tabla110[[#All],[Fecha Cobranza]],"&lt;"&amp;AZ$6,Tabla110[[#All],[Fecha Cobranza]],"&gt;="&amp;AY$6)</f>
        <v>0</v>
      </c>
      <c r="BA17" s="323">
        <f t="shared" si="1"/>
        <v>0</v>
      </c>
      <c r="BB17" s="318">
        <f t="shared" si="2"/>
        <v>0</v>
      </c>
      <c r="BC17" s="318"/>
      <c r="BD17" s="318">
        <f t="shared" si="3"/>
        <v>0</v>
      </c>
      <c r="BE17" s="318"/>
      <c r="BF17" s="318">
        <f t="shared" si="4"/>
        <v>0</v>
      </c>
      <c r="BG17" s="318"/>
      <c r="BH17" s="318">
        <f t="shared" si="5"/>
        <v>0</v>
      </c>
      <c r="BI17" s="318"/>
      <c r="BJ17" s="318">
        <f t="shared" si="6"/>
        <v>0</v>
      </c>
      <c r="BK17" s="318"/>
      <c r="BL17" s="318">
        <f t="shared" si="7"/>
        <v>0</v>
      </c>
      <c r="BM17" s="318"/>
      <c r="BN17" s="318">
        <f t="shared" si="8"/>
        <v>0</v>
      </c>
      <c r="BO17" s="318"/>
      <c r="BP17" s="318">
        <f t="shared" si="9"/>
        <v>0</v>
      </c>
      <c r="BQ17" s="318"/>
      <c r="BR17" s="318">
        <f t="shared" si="10"/>
        <v>0</v>
      </c>
      <c r="BS17" s="318"/>
      <c r="BT17" s="318">
        <f t="shared" si="11"/>
        <v>0</v>
      </c>
      <c r="BU17" s="318">
        <f t="shared" si="12"/>
        <v>0</v>
      </c>
      <c r="BV17" s="318"/>
      <c r="BW17" s="318">
        <f t="shared" si="13"/>
        <v>0</v>
      </c>
      <c r="BX17" s="318"/>
      <c r="BY17" s="318">
        <f t="shared" si="14"/>
        <v>0</v>
      </c>
      <c r="BZ17" s="318"/>
      <c r="CA17" s="318">
        <f t="shared" si="15"/>
        <v>0</v>
      </c>
      <c r="CB17" s="318"/>
      <c r="CC17" s="318">
        <f t="shared" si="16"/>
        <v>0</v>
      </c>
      <c r="CD17" s="318"/>
      <c r="CE17" s="318">
        <f t="shared" si="17"/>
        <v>0</v>
      </c>
      <c r="CF17" s="318"/>
      <c r="CG17" s="318">
        <f t="shared" si="18"/>
        <v>0</v>
      </c>
      <c r="CH17" s="318"/>
      <c r="CI17" s="318">
        <f t="shared" si="19"/>
        <v>0</v>
      </c>
      <c r="CJ17" s="318"/>
      <c r="CK17" s="318">
        <f t="shared" si="20"/>
        <v>0</v>
      </c>
      <c r="CL17" s="318"/>
      <c r="CM17" s="318">
        <f t="shared" si="21"/>
        <v>0</v>
      </c>
      <c r="CN17" s="318"/>
      <c r="CO17" s="318">
        <f t="shared" si="22"/>
        <v>0</v>
      </c>
      <c r="CP17" s="318"/>
      <c r="CQ17" s="318">
        <f t="shared" si="23"/>
        <v>0</v>
      </c>
      <c r="CR17" s="318"/>
      <c r="CS17" s="318">
        <f t="shared" si="24"/>
        <v>0</v>
      </c>
      <c r="CT17" s="318"/>
      <c r="CU17" s="318">
        <f t="shared" si="25"/>
        <v>0</v>
      </c>
      <c r="CV17" s="318"/>
      <c r="CW17" s="318">
        <f t="shared" si="26"/>
        <v>0</v>
      </c>
      <c r="CX17" s="330"/>
      <c r="CY17" s="330"/>
      <c r="CZ17" s="330"/>
      <c r="DA17" s="330"/>
      <c r="DB17" s="330"/>
      <c r="DC17" s="330"/>
      <c r="DD17" s="330"/>
      <c r="DE17" s="330"/>
      <c r="DF17" s="330"/>
      <c r="DG17" s="330"/>
      <c r="DH17" s="330"/>
      <c r="DI17" s="330"/>
      <c r="DJ17" s="330"/>
      <c r="DK17" s="330"/>
      <c r="DL17" s="330"/>
      <c r="DM17" s="330"/>
      <c r="DN17" s="330"/>
      <c r="DO17" s="330"/>
      <c r="DP17" s="330"/>
      <c r="DQ17" s="330"/>
      <c r="DR17" s="330"/>
      <c r="DS17" s="330"/>
      <c r="DT17" s="330"/>
      <c r="DU17" s="330"/>
      <c r="DV17" s="331">
        <f t="shared" si="30"/>
        <v>0</v>
      </c>
      <c r="DW17" s="130">
        <f t="shared" si="27"/>
        <v>0</v>
      </c>
      <c r="DX17" s="130">
        <f t="shared" si="28"/>
        <v>0</v>
      </c>
      <c r="DY17" s="147">
        <f t="shared" si="31"/>
        <v>0</v>
      </c>
      <c r="DZ17" s="298">
        <f t="shared" si="29"/>
        <v>0</v>
      </c>
      <c r="ED17" s="163"/>
    </row>
    <row r="18" spans="2:140" ht="15.75" x14ac:dyDescent="0.3">
      <c r="B18" s="332" t="s">
        <v>483</v>
      </c>
      <c r="C18" s="297" t="str">
        <f>VLOOKUP(B18,'Caratula 2023'!$B$8:$C$42,2,FALSE)</f>
        <v>INTERNO</v>
      </c>
      <c r="D18" s="326">
        <f>SUMIFS(Tabla110[[#All],[Venta Total]],Tabla110[[#All],[Asesor]],B18,Tabla110[[#All],[Fecha Cobranza]],"&lt;"&amp;$D$6,Tabla110[[#All],[Fecha Cobranza]],"&gt;="&amp;$B$6)</f>
        <v>0</v>
      </c>
      <c r="E18" s="326">
        <f>SUMIFS(Tabla110[[#All],[Venta Total]],Tabla110[[#All],[Asesor]],B18,Tabla110[[#All],[Fecha Cobranza]],"&lt;"&amp;$E$6,Tabla110[[#All],[Fecha Cobranza]],"&gt;="&amp;$D$6)</f>
        <v>0</v>
      </c>
      <c r="F18" s="326">
        <f>SUMIFS(Tabla110[[#All],[Venta Total]],Tabla110[[#All],[Asesor]],B18,Tabla110[[#All],[Fecha Cobranza]],"&lt;"&amp;$F$6,Tabla110[[#All],[Fecha Cobranza]],"&gt;="&amp;$E$6)</f>
        <v>0</v>
      </c>
      <c r="G18" s="326">
        <f>SUMIFS(Tabla110[[#All],[Venta Total]],Tabla110[[#All],[Asesor]],B18,Tabla110[[#All],[Fecha Cobranza]],"&lt;"&amp;$G$6,Tabla110[[#All],[Fecha Cobranza]],"&gt;="&amp;$F$6)</f>
        <v>0</v>
      </c>
      <c r="H18" s="326">
        <f>SUMIFS(Tabla110[[#All],[Venta Total]],Tabla110[[#All],[Asesor]],B18,Tabla110[[#All],[Fecha Cobranza]],"&lt;"&amp;$H$6,Tabla110[[#All],[Fecha Cobranza]],"&gt;="&amp;$G$6)</f>
        <v>0</v>
      </c>
      <c r="I18" s="326">
        <f>SUMIFS(Tabla110[[#All],[Venta Total]],Tabla110[[#All],[Asesor]],B18,Tabla110[[#All],[Fecha Cobranza]],"&lt;"&amp;$I$6,Tabla110[[#All],[Fecha Cobranza]],"&gt;="&amp;$H$6)</f>
        <v>0</v>
      </c>
      <c r="J18" s="326">
        <f>SUMIFS(Tabla110[[#All],[Venta Total]],Tabla110[[#All],[Asesor]],B18,Tabla110[[#All],[Fecha Cobranza]],"&lt;"&amp;$J$6,Tabla110[[#All],[Fecha Cobranza]],"&gt;="&amp;$I$6)</f>
        <v>0</v>
      </c>
      <c r="K18" s="326">
        <f>SUMIFS(Tabla110[[#All],[Venta Total]],Tabla110[[#All],[Asesor]],B18,Tabla110[[#All],[Fecha Cobranza]],"&lt;"&amp;$K$6,Tabla110[[#All],[Fecha Cobranza]],"&gt;="&amp;$J$6)</f>
        <v>0</v>
      </c>
      <c r="L18" s="326">
        <f>SUMIFS(Tabla110[[#All],[Venta Total]],Tabla110[[#All],[Asesor]],B18,Tabla110[[#All],[Fecha Cobranza]],"&lt;"&amp;$L$6,Tabla110[[#All],[Fecha Cobranza]],"&gt;="&amp;$K$6)</f>
        <v>0</v>
      </c>
      <c r="M18" s="326">
        <f>SUMIFS(Tabla110[[#All],[Venta Total]],Tabla110[[#All],[Asesor]],B18,Tabla110[[#All],[Fecha Cobranza]],"&lt;"&amp;$M$6,Tabla110[[#All],[Fecha Cobranza]],"&gt;="&amp;$L$6)</f>
        <v>0</v>
      </c>
      <c r="N18" s="326">
        <f>SUMIFS(Tabla110[[#All],[Venta Total]],Tabla110[[#All],[Asesor]],B18,Tabla110[[#All],[Fecha Cobranza]],"&lt;"&amp;$N$6,Tabla110[[#All],[Fecha Cobranza]],"&gt;="&amp;$M$6)</f>
        <v>0</v>
      </c>
      <c r="O18" s="326">
        <f>SUMIFS(Tabla110[[#All],[Venta Total]],Tabla110[[#All],[Asesor]],B18,Tabla110[[#All],[Fecha Cobranza]],"&lt;"&amp;$O$6,Tabla110[[#All],[Fecha Cobranza]],"&gt;="&amp;$N$6)</f>
        <v>0</v>
      </c>
      <c r="P18" s="326">
        <f>SUMIFS(Tabla110[[#All],[Venta Total]],Tabla110[[#All],[Asesor]],B18,Tabla110[[#All],[Fecha Cobranza]],"&lt;"&amp;$P$6,Tabla110[[#All],[Fecha Cobranza]],"&gt;="&amp;$O$6)</f>
        <v>0</v>
      </c>
      <c r="Q18" s="326">
        <f>SUMIFS(Tabla110[[#All],[Venta Total]],Tabla110[[#All],[Asesor]],B18,Tabla110[[#All],[Fecha Cobranza]],"&lt;"&amp;$Q$6,Tabla110[[#All],[Fecha Cobranza]],"&gt;="&amp;$P$6)</f>
        <v>0</v>
      </c>
      <c r="R18" s="326">
        <f>SUMIFS(Tabla110[[#All],[Venta Total]],Tabla110[[#All],[Asesor]],B18,Tabla110[[#All],[Fecha Cobranza]],"&lt;"&amp;$R$6,Tabla110[[#All],[Fecha Cobranza]],"&gt;="&amp;$Q$6)</f>
        <v>0</v>
      </c>
      <c r="S18" s="326">
        <f>SUMIFS(Tabla110[[#All],[Venta Total]],Tabla110[[#All],[Asesor]],B18,Tabla110[[#All],[Fecha Cobranza]],"&lt;"&amp;$S$6,Tabla110[[#All],[Fecha Cobranza]],"&gt;="&amp;$R$6)</f>
        <v>0</v>
      </c>
      <c r="T18" s="326">
        <f>SUMIFS(Tabla110[[#All],[Venta Total]],Tabla110[[#All],[Asesor]],$B18,Tabla110[[#All],[Fecha Cobranza]],"&lt;"&amp;T$6,Tabla110[[#All],[Fecha Cobranza]],"&gt;="&amp;S$6)</f>
        <v>0</v>
      </c>
      <c r="U18" s="326">
        <f>SUMIFS(Tabla110[[#All],[Venta Total]],Tabla110[[#All],[Asesor]],$B18,Tabla110[[#All],[Fecha Cobranza]],"&lt;"&amp;U$6,Tabla110[[#All],[Fecha Cobranza]],"&gt;="&amp;T$6)</f>
        <v>0</v>
      </c>
      <c r="V18" s="326">
        <f>SUMIFS(Tabla110[[#All],[Venta Total]],Tabla110[[#All],[Asesor]],$B18,Tabla110[[#All],[Fecha Cobranza]],"&lt;"&amp;V$6,Tabla110[[#All],[Fecha Cobranza]],"&gt;="&amp;U$6)</f>
        <v>0</v>
      </c>
      <c r="W18" s="326">
        <f>SUMIFS(Tabla110[[#All],[Venta Total]],Tabla110[[#All],[Asesor]],$B18,Tabla110[[#All],[Fecha Cobranza]],"&lt;"&amp;W$6,Tabla110[[#All],[Fecha Cobranza]],"&gt;="&amp;V$6)</f>
        <v>0</v>
      </c>
      <c r="X18" s="326">
        <f>SUMIFS(Tabla110[[#All],[Venta Total]],Tabla110[[#All],[Asesor]],$B18,Tabla110[[#All],[Fecha Cobranza]],"&lt;"&amp;X$6,Tabla110[[#All],[Fecha Cobranza]],"&gt;="&amp;W$6)</f>
        <v>0</v>
      </c>
      <c r="Y18" s="326">
        <f>SUMIFS(Tabla110[[#All],[Venta Total]],Tabla110[[#All],[Asesor]],$B18,Tabla110[[#All],[Fecha Cobranza]],"&lt;"&amp;Y$6,Tabla110[[#All],[Fecha Cobranza]],"&gt;="&amp;X$6)</f>
        <v>0</v>
      </c>
      <c r="Z18" s="326">
        <f>SUMIFS(Tabla110[[#All],[Venta Total]],Tabla110[[#All],[Asesor]],$B18,Tabla110[[#All],[Fecha Cobranza]],"&lt;"&amp;Z$6,Tabla110[[#All],[Fecha Cobranza]],"&gt;="&amp;Y$6)</f>
        <v>0</v>
      </c>
      <c r="AA18" s="326">
        <f>SUMIFS(Tabla110[[#All],[Venta Total]],Tabla110[[#All],[Asesor]],$B18,Tabla110[[#All],[Fecha Cobranza]],"&lt;"&amp;AA$6,Tabla110[[#All],[Fecha Cobranza]],"&gt;="&amp;Z$6)</f>
        <v>0</v>
      </c>
      <c r="AB18" s="327">
        <f t="shared" si="0"/>
        <v>0</v>
      </c>
      <c r="AC18" s="322">
        <f>SUMIFS(Tabla110[[#All],[Utilidad Bruta Total]],Tabla110[[#All],[Asesor]],B18,Tabla110[[#All],[Fecha Cobranza]],"&lt;"&amp;$AC$6,Tabla110[[#All],[Fecha Cobranza]],"&gt;="&amp;$B$6)</f>
        <v>0</v>
      </c>
      <c r="AD18" s="322">
        <f>SUMIFS(Tabla110[[#All],[Utilidad Bruta Total]],Tabla110[[#All],[Asesor]],B18,Tabla110[[#All],[Fecha Cobranza]],"&lt;"&amp;$AD$6,Tabla110[[#All],[Fecha Cobranza]],"&gt;="&amp;$AC$6)</f>
        <v>0</v>
      </c>
      <c r="AE18" s="322">
        <f>SUMIFS(Tabla110[[#All],[Utilidad Bruta Total]],Tabla110[[#All],[Asesor]],B18,Tabla110[[#All],[Fecha Cobranza]],"&lt;"&amp;$AE$6,Tabla110[[#All],[Fecha Cobranza]],"&gt;="&amp;$AD$6)</f>
        <v>0</v>
      </c>
      <c r="AF18" s="322">
        <f>SUMIFS(Tabla110[[#All],[Utilidad Bruta Total]],Tabla110[[#All],[Asesor]],B18,Tabla110[[#All],[Fecha Cobranza]],"&lt;"&amp;$AF$6,Tabla110[[#All],[Fecha Cobranza]],"&gt;="&amp;$AE$6)</f>
        <v>0</v>
      </c>
      <c r="AG18" s="322">
        <f>SUMIFS(Tabla110[[#All],[Utilidad Bruta Total]],Tabla110[[#All],[Asesor]],B18,Tabla110[[#All],[Fecha Cobranza]],"&lt;"&amp;$AG$6,Tabla110[[#All],[Fecha Cobranza]],"&gt;="&amp;$AF$6)</f>
        <v>0</v>
      </c>
      <c r="AH18" s="322">
        <f>SUMIFS(Tabla110[[#All],[Utilidad Bruta Total]],Tabla110[[#All],[Asesor]],B18,Tabla110[[#All],[Fecha Cobranza]],"&lt;"&amp;$AH$6,Tabla110[[#All],[Fecha Cobranza]],"&gt;="&amp;$AG$6)</f>
        <v>0</v>
      </c>
      <c r="AI18" s="322">
        <f>SUMIFS(Tabla110[[#All],[Utilidad Bruta Total]],Tabla110[[#All],[Asesor]],B18,Tabla110[[#All],[Fecha Cobranza]],"&lt;"&amp;$AI$6,Tabla110[[#All],[Fecha Cobranza]],"&gt;="&amp;$AH$6)</f>
        <v>0</v>
      </c>
      <c r="AJ18" s="322">
        <f>SUMIFS(Tabla110[[#All],[Utilidad Bruta Total]],Tabla110[[#All],[Asesor]],B18,Tabla110[[#All],[Fecha Cobranza]],"&lt;"&amp;$AJ$6,Tabla110[[#All],[Fecha Cobranza]],"&gt;="&amp;$AI$6)</f>
        <v>0</v>
      </c>
      <c r="AK18" s="322">
        <f>SUMIFS(Tabla110[[#All],[Utilidad Bruta Total]],Tabla110[[#All],[Asesor]],B18,Tabla110[[#All],[Fecha Cobranza]],"&lt;"&amp;$AK$6,Tabla110[[#All],[Fecha Cobranza]],"&gt;="&amp;$AJ$6)</f>
        <v>0</v>
      </c>
      <c r="AL18" s="322">
        <f>SUMIFS(Tabla110[[#All],[Utilidad Bruta Total]],Tabla110[[#All],[Asesor]],B18,Tabla110[[#All],[Fecha Cobranza]],"&lt;"&amp;$AL$6,Tabla110[[#All],[Fecha Cobranza]],"&gt;="&amp;$AK$6)</f>
        <v>0</v>
      </c>
      <c r="AM18" s="322">
        <f>SUMIFS(Tabla110[[#All],[Utilidad Bruta Total]],Tabla110[[#All],[Asesor]],B18,Tabla110[[#All],[Fecha Cobranza]],"&lt;"&amp;$AM$6,Tabla110[[#All],[Fecha Cobranza]],"&gt;="&amp;$AL$6)</f>
        <v>0</v>
      </c>
      <c r="AN18" s="322">
        <f>SUMIFS(Tabla110[[#All],[Utilidad Bruta Total]],Tabla110[[#All],[Asesor]],B18,Tabla110[[#All],[Fecha Cobranza]],"&lt;"&amp;$AN$6,Tabla110[[#All],[Fecha Cobranza]],"&gt;="&amp;$AM$6)</f>
        <v>0</v>
      </c>
      <c r="AO18" s="322">
        <f>SUMIFS(Tabla110[[#All],[Utilidad Bruta Total]],Tabla110[[#All],[Asesor]],B18,Tabla110[[#All],[Fecha Cobranza]],"&lt;"&amp;$AO$6,Tabla110[[#All],[Fecha Cobranza]],"&gt;="&amp;$AN$6)</f>
        <v>0</v>
      </c>
      <c r="AP18" s="322">
        <f>SUMIFS(Tabla110[[#All],[Utilidad Bruta Total]],Tabla110[[#All],[Asesor]],B18,Tabla110[[#All],[Fecha Cobranza]],"&lt;"&amp;$AP$6,Tabla110[[#All],[Fecha Cobranza]],"&gt;="&amp;$AO$6)</f>
        <v>0</v>
      </c>
      <c r="AQ18" s="322">
        <f>SUMIFS(Tabla110[[#All],[Utilidad Bruta Total]],Tabla110[[#All],[Asesor]],B18,Tabla110[[#All],[Fecha Cobranza]],"&lt;"&amp;$AQ$6,Tabla110[[#All],[Fecha Cobranza]],"&gt;="&amp;$AP$6)</f>
        <v>0</v>
      </c>
      <c r="AR18" s="322">
        <f>SUMIFS(Tabla110[[#All],[Utilidad Bruta Total]],Tabla110[[#All],[Asesor]],B18,Tabla110[[#All],[Fecha Cobranza]],"&lt;"&amp;$AR$6,Tabla110[[#All],[Fecha Cobranza]],"&gt;="&amp;$AQ$6)</f>
        <v>0</v>
      </c>
      <c r="AS18" s="322">
        <f>SUMIFS(Tabla110[[#All],[Utilidad Bruta Total]],Tabla110[[#All],[Asesor]],$B18,Tabla110[[#All],[Fecha Cobranza]],"&lt;"&amp;AS$6,Tabla110[[#All],[Fecha Cobranza]],"&gt;="&amp;AR$6)</f>
        <v>0</v>
      </c>
      <c r="AT18" s="322">
        <f>SUMIFS(Tabla110[[#All],[Utilidad Bruta Total]],Tabla110[[#All],[Asesor]],$B18,Tabla110[[#All],[Fecha Cobranza]],"&lt;"&amp;AT$6,Tabla110[[#All],[Fecha Cobranza]],"&gt;="&amp;AS$6)</f>
        <v>0</v>
      </c>
      <c r="AU18" s="322">
        <f>SUMIFS(Tabla110[[#All],[Utilidad Bruta Total]],Tabla110[[#All],[Asesor]],$B18,Tabla110[[#All],[Fecha Cobranza]],"&lt;"&amp;AU$6,Tabla110[[#All],[Fecha Cobranza]],"&gt;="&amp;AT$6)</f>
        <v>0</v>
      </c>
      <c r="AV18" s="322">
        <f>SUMIFS(Tabla110[[#All],[Utilidad Bruta Total]],Tabla110[[#All],[Asesor]],$B18,Tabla110[[#All],[Fecha Cobranza]],"&lt;"&amp;AV$6,Tabla110[[#All],[Fecha Cobranza]],"&gt;="&amp;AU$6)</f>
        <v>0</v>
      </c>
      <c r="AW18" s="322">
        <f>SUMIFS(Tabla110[[#All],[Utilidad Bruta Total]],Tabla110[[#All],[Asesor]],$B18,Tabla110[[#All],[Fecha Cobranza]],"&lt;"&amp;AW$6,Tabla110[[#All],[Fecha Cobranza]],"&gt;="&amp;AV$6)</f>
        <v>0</v>
      </c>
      <c r="AX18" s="322">
        <f>SUMIFS(Tabla110[[#All],[Utilidad Bruta Total]],Tabla110[[#All],[Asesor]],$B18,Tabla110[[#All],[Fecha Cobranza]],"&lt;"&amp;AX$6,Tabla110[[#All],[Fecha Cobranza]],"&gt;="&amp;AW$6)</f>
        <v>0</v>
      </c>
      <c r="AY18" s="322">
        <f>SUMIFS(Tabla110[[#All],[Utilidad Bruta Total]],Tabla110[[#All],[Asesor]],$B18,Tabla110[[#All],[Fecha Cobranza]],"&lt;"&amp;AY$6,Tabla110[[#All],[Fecha Cobranza]],"&gt;="&amp;AX$6)</f>
        <v>0</v>
      </c>
      <c r="AZ18" s="322">
        <f>SUMIFS(Tabla110[[#All],[Utilidad Bruta Total]],Tabla110[[#All],[Asesor]],$B18,Tabla110[[#All],[Fecha Cobranza]],"&lt;"&amp;AZ$6,Tabla110[[#All],[Fecha Cobranza]],"&gt;="&amp;AY$6)</f>
        <v>0</v>
      </c>
      <c r="BA18" s="323">
        <f t="shared" si="1"/>
        <v>0</v>
      </c>
      <c r="BB18" s="417">
        <f t="shared" si="2"/>
        <v>0</v>
      </c>
      <c r="BC18" s="318"/>
      <c r="BD18" s="318">
        <f t="shared" si="3"/>
        <v>0</v>
      </c>
      <c r="BE18" s="318"/>
      <c r="BF18" s="318">
        <f t="shared" si="4"/>
        <v>0</v>
      </c>
      <c r="BG18" s="318"/>
      <c r="BH18" s="318">
        <f t="shared" si="5"/>
        <v>0</v>
      </c>
      <c r="BI18" s="318"/>
      <c r="BJ18" s="318">
        <f t="shared" si="6"/>
        <v>0</v>
      </c>
      <c r="BK18" s="318"/>
      <c r="BL18" s="318">
        <f t="shared" si="7"/>
        <v>0</v>
      </c>
      <c r="BM18" s="318"/>
      <c r="BN18" s="318">
        <f t="shared" si="8"/>
        <v>0</v>
      </c>
      <c r="BO18" s="318"/>
      <c r="BP18" s="318">
        <f t="shared" si="9"/>
        <v>0</v>
      </c>
      <c r="BQ18" s="318"/>
      <c r="BR18" s="318">
        <f t="shared" si="10"/>
        <v>0</v>
      </c>
      <c r="BS18" s="318"/>
      <c r="BT18" s="318">
        <f t="shared" si="11"/>
        <v>0</v>
      </c>
      <c r="BU18" s="420">
        <f t="shared" si="12"/>
        <v>0</v>
      </c>
      <c r="BV18" s="318"/>
      <c r="BW18" s="420">
        <f t="shared" si="13"/>
        <v>0</v>
      </c>
      <c r="BX18" s="318"/>
      <c r="BY18" s="318">
        <f t="shared" si="14"/>
        <v>0</v>
      </c>
      <c r="BZ18" s="318"/>
      <c r="CA18" s="318">
        <f t="shared" si="15"/>
        <v>0</v>
      </c>
      <c r="CB18" s="318"/>
      <c r="CC18" s="318">
        <f t="shared" si="16"/>
        <v>0</v>
      </c>
      <c r="CD18" s="318"/>
      <c r="CE18" s="318">
        <f t="shared" si="17"/>
        <v>0</v>
      </c>
      <c r="CF18" s="318"/>
      <c r="CG18" s="318">
        <f t="shared" si="18"/>
        <v>0</v>
      </c>
      <c r="CH18" s="318"/>
      <c r="CI18" s="318">
        <f t="shared" si="19"/>
        <v>0</v>
      </c>
      <c r="CJ18" s="318"/>
      <c r="CK18" s="318">
        <f t="shared" si="20"/>
        <v>0</v>
      </c>
      <c r="CL18" s="318"/>
      <c r="CM18" s="318">
        <f t="shared" si="21"/>
        <v>0</v>
      </c>
      <c r="CN18" s="318"/>
      <c r="CO18" s="318">
        <f t="shared" si="22"/>
        <v>0</v>
      </c>
      <c r="CP18" s="318"/>
      <c r="CQ18" s="318">
        <f t="shared" si="23"/>
        <v>0</v>
      </c>
      <c r="CR18" s="318"/>
      <c r="CS18" s="318">
        <f t="shared" si="24"/>
        <v>0</v>
      </c>
      <c r="CT18" s="318"/>
      <c r="CU18" s="318">
        <f t="shared" si="25"/>
        <v>0</v>
      </c>
      <c r="CV18" s="318"/>
      <c r="CW18" s="318">
        <f t="shared" si="26"/>
        <v>0</v>
      </c>
      <c r="CX18" s="330"/>
      <c r="CY18" s="330"/>
      <c r="CZ18" s="330"/>
      <c r="DA18" s="330"/>
      <c r="DB18" s="330"/>
      <c r="DC18" s="330"/>
      <c r="DD18" s="330"/>
      <c r="DE18" s="330"/>
      <c r="DF18" s="330"/>
      <c r="DG18" s="330"/>
      <c r="DH18" s="330"/>
      <c r="DI18" s="330"/>
      <c r="DJ18" s="330"/>
      <c r="DK18" s="330"/>
      <c r="DL18" s="330"/>
      <c r="DM18" s="330"/>
      <c r="DN18" s="330"/>
      <c r="DO18" s="330"/>
      <c r="DP18" s="330"/>
      <c r="DQ18" s="330"/>
      <c r="DR18" s="330"/>
      <c r="DS18" s="330"/>
      <c r="DT18" s="330"/>
      <c r="DU18" s="330"/>
      <c r="DV18" s="331">
        <f t="shared" si="30"/>
        <v>0</v>
      </c>
      <c r="DW18" s="130">
        <f t="shared" si="27"/>
        <v>0</v>
      </c>
      <c r="DX18" s="417">
        <f t="shared" si="28"/>
        <v>0</v>
      </c>
      <c r="DY18" s="147">
        <f t="shared" si="31"/>
        <v>0</v>
      </c>
      <c r="DZ18" s="298">
        <f t="shared" si="29"/>
        <v>0</v>
      </c>
      <c r="ED18" s="163"/>
    </row>
    <row r="19" spans="2:140" ht="15.75" x14ac:dyDescent="0.3">
      <c r="B19" s="332" t="s">
        <v>450</v>
      </c>
      <c r="C19" s="297" t="str">
        <f>VLOOKUP(B19,'Caratula 2023'!$B$8:$C$42,2,FALSE)</f>
        <v>INTERNO</v>
      </c>
      <c r="D19" s="326">
        <f>SUMIFS(Tabla110[[#All],[Venta Total]],Tabla110[[#All],[Asesor]],B19,Tabla110[[#All],[Fecha Cobranza]],"&lt;"&amp;$D$6,Tabla110[[#All],[Fecha Cobranza]],"&gt;="&amp;$B$6)</f>
        <v>0</v>
      </c>
      <c r="E19" s="326">
        <f>SUMIFS(Tabla110[[#All],[Venta Total]],Tabla110[[#All],[Asesor]],B19,Tabla110[[#All],[Fecha Cobranza]],"&lt;"&amp;$E$6,Tabla110[[#All],[Fecha Cobranza]],"&gt;="&amp;$D$6)</f>
        <v>0</v>
      </c>
      <c r="F19" s="326">
        <f>SUMIFS(Tabla110[[#All],[Venta Total]],Tabla110[[#All],[Asesor]],B19,Tabla110[[#All],[Fecha Cobranza]],"&lt;"&amp;$F$6,Tabla110[[#All],[Fecha Cobranza]],"&gt;="&amp;$E$6)</f>
        <v>0</v>
      </c>
      <c r="G19" s="326">
        <f>SUMIFS(Tabla110[[#All],[Venta Total]],Tabla110[[#All],[Asesor]],B19,Tabla110[[#All],[Fecha Cobranza]],"&lt;"&amp;$G$6,Tabla110[[#All],[Fecha Cobranza]],"&gt;="&amp;$F$6)</f>
        <v>0</v>
      </c>
      <c r="H19" s="326">
        <f>SUMIFS(Tabla110[[#All],[Venta Total]],Tabla110[[#All],[Asesor]],B19,Tabla110[[#All],[Fecha Cobranza]],"&lt;"&amp;$H$6,Tabla110[[#All],[Fecha Cobranza]],"&gt;="&amp;$G$6)</f>
        <v>0</v>
      </c>
      <c r="I19" s="326">
        <f>SUMIFS(Tabla110[[#All],[Venta Total]],Tabla110[[#All],[Asesor]],B19,Tabla110[[#All],[Fecha Cobranza]],"&lt;"&amp;$I$6,Tabla110[[#All],[Fecha Cobranza]],"&gt;="&amp;$H$6)</f>
        <v>0</v>
      </c>
      <c r="J19" s="326">
        <f>SUMIFS(Tabla110[[#All],[Venta Total]],Tabla110[[#All],[Asesor]],B19,Tabla110[[#All],[Fecha Cobranza]],"&lt;"&amp;$J$6,Tabla110[[#All],[Fecha Cobranza]],"&gt;="&amp;$I$6)</f>
        <v>0</v>
      </c>
      <c r="K19" s="326">
        <f>SUMIFS(Tabla110[[#All],[Venta Total]],Tabla110[[#All],[Asesor]],B19,Tabla110[[#All],[Fecha Cobranza]],"&lt;"&amp;$K$6,Tabla110[[#All],[Fecha Cobranza]],"&gt;="&amp;$J$6)</f>
        <v>0</v>
      </c>
      <c r="L19" s="326">
        <f>SUMIFS(Tabla110[[#All],[Venta Total]],Tabla110[[#All],[Asesor]],B19,Tabla110[[#All],[Fecha Cobranza]],"&lt;"&amp;$L$6,Tabla110[[#All],[Fecha Cobranza]],"&gt;="&amp;$K$6)</f>
        <v>0</v>
      </c>
      <c r="M19" s="326">
        <f>SUMIFS(Tabla110[[#All],[Venta Total]],Tabla110[[#All],[Asesor]],B19,Tabla110[[#All],[Fecha Cobranza]],"&lt;"&amp;$M$6,Tabla110[[#All],[Fecha Cobranza]],"&gt;="&amp;$L$6)</f>
        <v>0</v>
      </c>
      <c r="N19" s="326">
        <f>SUMIFS(Tabla110[[#All],[Venta Total]],Tabla110[[#All],[Asesor]],B19,Tabla110[[#All],[Fecha Cobranza]],"&lt;"&amp;$N$6,Tabla110[[#All],[Fecha Cobranza]],"&gt;="&amp;$M$6)</f>
        <v>0</v>
      </c>
      <c r="O19" s="326">
        <f>SUMIFS(Tabla110[[#All],[Venta Total]],Tabla110[[#All],[Asesor]],B19,Tabla110[[#All],[Fecha Cobranza]],"&lt;"&amp;$O$6,Tabla110[[#All],[Fecha Cobranza]],"&gt;="&amp;$N$6)</f>
        <v>0</v>
      </c>
      <c r="P19" s="326">
        <f>SUMIFS(Tabla110[[#All],[Venta Total]],Tabla110[[#All],[Asesor]],B19,Tabla110[[#All],[Fecha Cobranza]],"&lt;"&amp;$P$6,Tabla110[[#All],[Fecha Cobranza]],"&gt;="&amp;$O$6)</f>
        <v>0</v>
      </c>
      <c r="Q19" s="326">
        <f>SUMIFS(Tabla110[[#All],[Venta Total]],Tabla110[[#All],[Asesor]],B19,Tabla110[[#All],[Fecha Cobranza]],"&lt;"&amp;$Q$6,Tabla110[[#All],[Fecha Cobranza]],"&gt;="&amp;$P$6)</f>
        <v>0</v>
      </c>
      <c r="R19" s="326">
        <f>SUMIFS(Tabla110[[#All],[Venta Total]],Tabla110[[#All],[Asesor]],B19,Tabla110[[#All],[Fecha Cobranza]],"&lt;"&amp;$R$6,Tabla110[[#All],[Fecha Cobranza]],"&gt;="&amp;$Q$6)</f>
        <v>0</v>
      </c>
      <c r="S19" s="326">
        <f>SUMIFS(Tabla110[[#All],[Venta Total]],Tabla110[[#All],[Asesor]],B19,Tabla110[[#All],[Fecha Cobranza]],"&lt;"&amp;$S$6,Tabla110[[#All],[Fecha Cobranza]],"&gt;="&amp;$R$6)</f>
        <v>0</v>
      </c>
      <c r="T19" s="326">
        <f>SUMIFS(Tabla110[[#All],[Venta Total]],Tabla110[[#All],[Asesor]],$B19,Tabla110[[#All],[Fecha Cobranza]],"&lt;"&amp;T$6,Tabla110[[#All],[Fecha Cobranza]],"&gt;="&amp;S$6)</f>
        <v>0</v>
      </c>
      <c r="U19" s="326">
        <f>SUMIFS(Tabla110[[#All],[Venta Total]],Tabla110[[#All],[Asesor]],$B19,Tabla110[[#All],[Fecha Cobranza]],"&lt;"&amp;U$6,Tabla110[[#All],[Fecha Cobranza]],"&gt;="&amp;T$6)</f>
        <v>0</v>
      </c>
      <c r="V19" s="326">
        <f>SUMIFS(Tabla110[[#All],[Venta Total]],Tabla110[[#All],[Asesor]],$B19,Tabla110[[#All],[Fecha Cobranza]],"&lt;"&amp;V$6,Tabla110[[#All],[Fecha Cobranza]],"&gt;="&amp;U$6)</f>
        <v>0</v>
      </c>
      <c r="W19" s="326">
        <f>SUMIFS(Tabla110[[#All],[Venta Total]],Tabla110[[#All],[Asesor]],$B19,Tabla110[[#All],[Fecha Cobranza]],"&lt;"&amp;W$6,Tabla110[[#All],[Fecha Cobranza]],"&gt;="&amp;V$6)</f>
        <v>0</v>
      </c>
      <c r="X19" s="326">
        <f>SUMIFS(Tabla110[[#All],[Venta Total]],Tabla110[[#All],[Asesor]],$B19,Tabla110[[#All],[Fecha Cobranza]],"&lt;"&amp;X$6,Tabla110[[#All],[Fecha Cobranza]],"&gt;="&amp;W$6)</f>
        <v>0</v>
      </c>
      <c r="Y19" s="326">
        <f>SUMIFS(Tabla110[[#All],[Venta Total]],Tabla110[[#All],[Asesor]],$B19,Tabla110[[#All],[Fecha Cobranza]],"&lt;"&amp;Y$6,Tabla110[[#All],[Fecha Cobranza]],"&gt;="&amp;X$6)</f>
        <v>0</v>
      </c>
      <c r="Z19" s="326">
        <f>SUMIFS(Tabla110[[#All],[Venta Total]],Tabla110[[#All],[Asesor]],$B19,Tabla110[[#All],[Fecha Cobranza]],"&lt;"&amp;Z$6,Tabla110[[#All],[Fecha Cobranza]],"&gt;="&amp;Y$6)</f>
        <v>0</v>
      </c>
      <c r="AA19" s="326">
        <f>SUMIFS(Tabla110[[#All],[Venta Total]],Tabla110[[#All],[Asesor]],$B19,Tabla110[[#All],[Fecha Cobranza]],"&lt;"&amp;AA$6,Tabla110[[#All],[Fecha Cobranza]],"&gt;="&amp;Z$6)</f>
        <v>0</v>
      </c>
      <c r="AB19" s="327">
        <f t="shared" si="0"/>
        <v>0</v>
      </c>
      <c r="AC19" s="322">
        <f>SUMIFS(Tabla110[[#All],[Utilidad Bruta Total]],Tabla110[[#All],[Asesor]],B19,Tabla110[[#All],[Fecha Cobranza]],"&lt;"&amp;$AC$6,Tabla110[[#All],[Fecha Cobranza]],"&gt;="&amp;$B$6)</f>
        <v>0</v>
      </c>
      <c r="AD19" s="322">
        <f>SUMIFS(Tabla110[[#All],[Utilidad Bruta Total]],Tabla110[[#All],[Asesor]],B19,Tabla110[[#All],[Fecha Cobranza]],"&lt;"&amp;$AD$6,Tabla110[[#All],[Fecha Cobranza]],"&gt;="&amp;$AC$6)</f>
        <v>0</v>
      </c>
      <c r="AE19" s="322">
        <f>SUMIFS(Tabla110[[#All],[Utilidad Bruta Total]],Tabla110[[#All],[Asesor]],B19,Tabla110[[#All],[Fecha Cobranza]],"&lt;"&amp;$AE$6,Tabla110[[#All],[Fecha Cobranza]],"&gt;="&amp;$AD$6)</f>
        <v>0</v>
      </c>
      <c r="AF19" s="322">
        <f>SUMIFS(Tabla110[[#All],[Utilidad Bruta Total]],Tabla110[[#All],[Asesor]],B19,Tabla110[[#All],[Fecha Cobranza]],"&lt;"&amp;$AF$6,Tabla110[[#All],[Fecha Cobranza]],"&gt;="&amp;$AE$6)</f>
        <v>0</v>
      </c>
      <c r="AG19" s="322">
        <f>SUMIFS(Tabla110[[#All],[Utilidad Bruta Total]],Tabla110[[#All],[Asesor]],B19,Tabla110[[#All],[Fecha Cobranza]],"&lt;"&amp;$AG$6,Tabla110[[#All],[Fecha Cobranza]],"&gt;="&amp;$AF$6)</f>
        <v>0</v>
      </c>
      <c r="AH19" s="322">
        <f>SUMIFS(Tabla110[[#All],[Utilidad Bruta Total]],Tabla110[[#All],[Asesor]],B19,Tabla110[[#All],[Fecha Cobranza]],"&lt;"&amp;$AH$6,Tabla110[[#All],[Fecha Cobranza]],"&gt;="&amp;$AG$6)</f>
        <v>0</v>
      </c>
      <c r="AI19" s="322">
        <f>SUMIFS(Tabla110[[#All],[Utilidad Bruta Total]],Tabla110[[#All],[Asesor]],B19,Tabla110[[#All],[Fecha Cobranza]],"&lt;"&amp;$AI$6,Tabla110[[#All],[Fecha Cobranza]],"&gt;="&amp;$AH$6)</f>
        <v>0</v>
      </c>
      <c r="AJ19" s="322">
        <f>SUMIFS(Tabla110[[#All],[Utilidad Bruta Total]],Tabla110[[#All],[Asesor]],B19,Tabla110[[#All],[Fecha Cobranza]],"&lt;"&amp;$AJ$6,Tabla110[[#All],[Fecha Cobranza]],"&gt;="&amp;$AI$6)</f>
        <v>0</v>
      </c>
      <c r="AK19" s="322">
        <f>SUMIFS(Tabla110[[#All],[Utilidad Bruta Total]],Tabla110[[#All],[Asesor]],B19,Tabla110[[#All],[Fecha Cobranza]],"&lt;"&amp;$AK$6,Tabla110[[#All],[Fecha Cobranza]],"&gt;="&amp;$AJ$6)</f>
        <v>0</v>
      </c>
      <c r="AL19" s="322">
        <f>SUMIFS(Tabla110[[#All],[Utilidad Bruta Total]],Tabla110[[#All],[Asesor]],B19,Tabla110[[#All],[Fecha Cobranza]],"&lt;"&amp;$AL$6,Tabla110[[#All],[Fecha Cobranza]],"&gt;="&amp;$AK$6)</f>
        <v>0</v>
      </c>
      <c r="AM19" s="322">
        <f>SUMIFS(Tabla110[[#All],[Utilidad Bruta Total]],Tabla110[[#All],[Asesor]],B19,Tabla110[[#All],[Fecha Cobranza]],"&lt;"&amp;$AM$6,Tabla110[[#All],[Fecha Cobranza]],"&gt;="&amp;$AL$6)</f>
        <v>0</v>
      </c>
      <c r="AN19" s="322">
        <f>SUMIFS(Tabla110[[#All],[Utilidad Bruta Total]],Tabla110[[#All],[Asesor]],B19,Tabla110[[#All],[Fecha Cobranza]],"&lt;"&amp;$AN$6,Tabla110[[#All],[Fecha Cobranza]],"&gt;="&amp;$AM$6)</f>
        <v>0</v>
      </c>
      <c r="AO19" s="322">
        <f>SUMIFS(Tabla110[[#All],[Utilidad Bruta Total]],Tabla110[[#All],[Asesor]],B19,Tabla110[[#All],[Fecha Cobranza]],"&lt;"&amp;$AO$6,Tabla110[[#All],[Fecha Cobranza]],"&gt;="&amp;$AN$6)</f>
        <v>0</v>
      </c>
      <c r="AP19" s="322">
        <f>SUMIFS(Tabla110[[#All],[Utilidad Bruta Total]],Tabla110[[#All],[Asesor]],B19,Tabla110[[#All],[Fecha Cobranza]],"&lt;"&amp;$AP$6,Tabla110[[#All],[Fecha Cobranza]],"&gt;="&amp;$AO$6)</f>
        <v>0</v>
      </c>
      <c r="AQ19" s="322">
        <f>SUMIFS(Tabla110[[#All],[Utilidad Bruta Total]],Tabla110[[#All],[Asesor]],B19,Tabla110[[#All],[Fecha Cobranza]],"&lt;"&amp;$AQ$6,Tabla110[[#All],[Fecha Cobranza]],"&gt;="&amp;$AP$6)</f>
        <v>0</v>
      </c>
      <c r="AR19" s="322">
        <f>SUMIFS(Tabla110[[#All],[Utilidad Bruta Total]],Tabla110[[#All],[Asesor]],B19,Tabla110[[#All],[Fecha Cobranza]],"&lt;"&amp;$AR$6,Tabla110[[#All],[Fecha Cobranza]],"&gt;="&amp;$AQ$6)</f>
        <v>0</v>
      </c>
      <c r="AS19" s="322">
        <f>SUMIFS(Tabla110[[#All],[Utilidad Bruta Total]],Tabla110[[#All],[Asesor]],$B19,Tabla110[[#All],[Fecha Cobranza]],"&lt;"&amp;AS$6,Tabla110[[#All],[Fecha Cobranza]],"&gt;="&amp;AR$6)</f>
        <v>0</v>
      </c>
      <c r="AT19" s="322">
        <f>SUMIFS(Tabla110[[#All],[Utilidad Bruta Total]],Tabla110[[#All],[Asesor]],$B19,Tabla110[[#All],[Fecha Cobranza]],"&lt;"&amp;AT$6,Tabla110[[#All],[Fecha Cobranza]],"&gt;="&amp;AS$6)</f>
        <v>0</v>
      </c>
      <c r="AU19" s="322">
        <f>SUMIFS(Tabla110[[#All],[Utilidad Bruta Total]],Tabla110[[#All],[Asesor]],$B19,Tabla110[[#All],[Fecha Cobranza]],"&lt;"&amp;AU$6,Tabla110[[#All],[Fecha Cobranza]],"&gt;="&amp;AT$6)</f>
        <v>0</v>
      </c>
      <c r="AV19" s="322">
        <f>SUMIFS(Tabla110[[#All],[Utilidad Bruta Total]],Tabla110[[#All],[Asesor]],$B19,Tabla110[[#All],[Fecha Cobranza]],"&lt;"&amp;AV$6,Tabla110[[#All],[Fecha Cobranza]],"&gt;="&amp;AU$6)</f>
        <v>0</v>
      </c>
      <c r="AW19" s="322">
        <f>SUMIFS(Tabla110[[#All],[Utilidad Bruta Total]],Tabla110[[#All],[Asesor]],$B19,Tabla110[[#All],[Fecha Cobranza]],"&lt;"&amp;AW$6,Tabla110[[#All],[Fecha Cobranza]],"&gt;="&amp;AV$6)</f>
        <v>0</v>
      </c>
      <c r="AX19" s="322">
        <f>SUMIFS(Tabla110[[#All],[Utilidad Bruta Total]],Tabla110[[#All],[Asesor]],$B19,Tabla110[[#All],[Fecha Cobranza]],"&lt;"&amp;AX$6,Tabla110[[#All],[Fecha Cobranza]],"&gt;="&amp;AW$6)</f>
        <v>0</v>
      </c>
      <c r="AY19" s="322">
        <f>SUMIFS(Tabla110[[#All],[Utilidad Bruta Total]],Tabla110[[#All],[Asesor]],$B19,Tabla110[[#All],[Fecha Cobranza]],"&lt;"&amp;AY$6,Tabla110[[#All],[Fecha Cobranza]],"&gt;="&amp;AX$6)</f>
        <v>0</v>
      </c>
      <c r="AZ19" s="322">
        <f>SUMIFS(Tabla110[[#All],[Utilidad Bruta Total]],Tabla110[[#All],[Asesor]],$B19,Tabla110[[#All],[Fecha Cobranza]],"&lt;"&amp;AZ$6,Tabla110[[#All],[Fecha Cobranza]],"&gt;="&amp;AY$6)</f>
        <v>0</v>
      </c>
      <c r="BA19" s="323">
        <f t="shared" si="1"/>
        <v>0</v>
      </c>
      <c r="BB19" s="318">
        <f t="shared" si="2"/>
        <v>0</v>
      </c>
      <c r="BC19" s="318"/>
      <c r="BD19" s="318">
        <f t="shared" si="3"/>
        <v>0</v>
      </c>
      <c r="BE19" s="318"/>
      <c r="BF19" s="318">
        <f t="shared" si="4"/>
        <v>0</v>
      </c>
      <c r="BG19" s="318"/>
      <c r="BH19" s="318">
        <f t="shared" si="5"/>
        <v>0</v>
      </c>
      <c r="BI19" s="318"/>
      <c r="BJ19" s="318">
        <f t="shared" si="6"/>
        <v>0</v>
      </c>
      <c r="BK19" s="318"/>
      <c r="BL19" s="318">
        <f t="shared" si="7"/>
        <v>0</v>
      </c>
      <c r="BM19" s="318"/>
      <c r="BN19" s="318">
        <f t="shared" si="8"/>
        <v>0</v>
      </c>
      <c r="BO19" s="318"/>
      <c r="BP19" s="318">
        <f t="shared" si="9"/>
        <v>0</v>
      </c>
      <c r="BQ19" s="318"/>
      <c r="BR19" s="318">
        <f t="shared" si="10"/>
        <v>0</v>
      </c>
      <c r="BS19" s="318"/>
      <c r="BT19" s="318">
        <f t="shared" si="11"/>
        <v>0</v>
      </c>
      <c r="BU19" s="318">
        <f t="shared" si="12"/>
        <v>0</v>
      </c>
      <c r="BV19" s="318"/>
      <c r="BW19" s="318">
        <f t="shared" ref="BW19:BW27" si="32">((AM19+AN19)*(IF(C19="INTERNO",IF((N19+O19)&gt;=$EG$16,$EI$16,IF((N19+O19)&gt;=$EG$15,$EI$15,IF((N19+O19)&gt;=$EG$14,$EI$14,IF((N19+O19)&gt;=$EG$13,$EI$13,IF((N19+O19)&gt;=$EG$12,$EI$12,IF((N19+O19)&gt;=$EG$11,$EI$11,IF((N19+O19)&gt;=$EG$10,$EI$10,0))))))),IF((N19+O19)&gt;=$EG$16,$EJ$16,IF((N19+O19)&gt;=$EG$15,$EJ$15,IF((N19+O19)&gt;=$EG$14,$EJ$14,IF((N19+O19)&gt;=$EG$13,$EJ$13,IF((N19+O19)&gt;=$EG$12,$EJ$12,IF((N19+O19)&gt;=$EG$11,$EJ$11,IF((N19+O19)&gt;=$EG$10,$EJ$10,0))))))))))-BU19</f>
        <v>0</v>
      </c>
      <c r="BX19" s="318"/>
      <c r="BY19" s="318">
        <f t="shared" si="14"/>
        <v>0</v>
      </c>
      <c r="BZ19" s="318"/>
      <c r="CA19" s="318">
        <f t="shared" si="15"/>
        <v>0</v>
      </c>
      <c r="CB19" s="318"/>
      <c r="CC19" s="318">
        <f t="shared" si="16"/>
        <v>0</v>
      </c>
      <c r="CD19" s="318"/>
      <c r="CE19" s="318">
        <f t="shared" si="17"/>
        <v>0</v>
      </c>
      <c r="CF19" s="318"/>
      <c r="CG19" s="318">
        <f t="shared" si="18"/>
        <v>0</v>
      </c>
      <c r="CH19" s="318"/>
      <c r="CI19" s="318">
        <f t="shared" si="19"/>
        <v>0</v>
      </c>
      <c r="CJ19" s="318"/>
      <c r="CK19" s="318">
        <f t="shared" si="20"/>
        <v>0</v>
      </c>
      <c r="CL19" s="318"/>
      <c r="CM19" s="318">
        <f t="shared" si="21"/>
        <v>0</v>
      </c>
      <c r="CN19" s="318"/>
      <c r="CO19" s="318">
        <f t="shared" si="22"/>
        <v>0</v>
      </c>
      <c r="CP19" s="318"/>
      <c r="CQ19" s="318">
        <f t="shared" si="23"/>
        <v>0</v>
      </c>
      <c r="CR19" s="318"/>
      <c r="CS19" s="318">
        <f t="shared" si="24"/>
        <v>0</v>
      </c>
      <c r="CT19" s="318"/>
      <c r="CU19" s="318">
        <f t="shared" si="25"/>
        <v>0</v>
      </c>
      <c r="CV19" s="318"/>
      <c r="CW19" s="318">
        <f t="shared" si="26"/>
        <v>0</v>
      </c>
      <c r="CX19" s="330"/>
      <c r="CY19" s="330"/>
      <c r="CZ19" s="330"/>
      <c r="DA19" s="330"/>
      <c r="DB19" s="330"/>
      <c r="DC19" s="330"/>
      <c r="DD19" s="330"/>
      <c r="DE19" s="330"/>
      <c r="DF19" s="330"/>
      <c r="DG19" s="330"/>
      <c r="DH19" s="330"/>
      <c r="DI19" s="330"/>
      <c r="DJ19" s="330"/>
      <c r="DK19" s="330"/>
      <c r="DL19" s="330"/>
      <c r="DM19" s="330"/>
      <c r="DN19" s="330"/>
      <c r="DO19" s="330"/>
      <c r="DP19" s="330"/>
      <c r="DQ19" s="330"/>
      <c r="DR19" s="330"/>
      <c r="DS19" s="330"/>
      <c r="DT19" s="330"/>
      <c r="DU19" s="330"/>
      <c r="DV19" s="331">
        <f t="shared" si="30"/>
        <v>0</v>
      </c>
      <c r="DW19" s="130">
        <f t="shared" si="27"/>
        <v>0</v>
      </c>
      <c r="DX19" s="130">
        <f t="shared" si="28"/>
        <v>0</v>
      </c>
      <c r="DY19" s="147">
        <f t="shared" si="31"/>
        <v>0</v>
      </c>
      <c r="DZ19" s="298">
        <f t="shared" si="29"/>
        <v>0</v>
      </c>
    </row>
    <row r="20" spans="2:140" ht="15.75" x14ac:dyDescent="0.3">
      <c r="B20" s="332" t="s">
        <v>279</v>
      </c>
      <c r="C20" s="297" t="str">
        <f>VLOOKUP(B20,'Caratula 2023'!$B$8:$C$42,2,FALSE)</f>
        <v>INTERNO</v>
      </c>
      <c r="D20" s="326">
        <f>SUMIFS(Tabla110[[#All],[Venta Total]],Tabla110[[#All],[Asesor]],B20,Tabla110[[#All],[Fecha Cobranza]],"&lt;"&amp;$D$6,Tabla110[[#All],[Fecha Cobranza]],"&gt;="&amp;$B$6)</f>
        <v>0</v>
      </c>
      <c r="E20" s="326">
        <f>SUMIFS(Tabla110[[#All],[Venta Total]],Tabla110[[#All],[Asesor]],B20,Tabla110[[#All],[Fecha Cobranza]],"&lt;"&amp;$E$6,Tabla110[[#All],[Fecha Cobranza]],"&gt;="&amp;$D$6)</f>
        <v>0</v>
      </c>
      <c r="F20" s="326">
        <f>SUMIFS(Tabla110[[#All],[Venta Total]],Tabla110[[#All],[Asesor]],B20,Tabla110[[#All],[Fecha Cobranza]],"&lt;"&amp;$F$6,Tabla110[[#All],[Fecha Cobranza]],"&gt;="&amp;$E$6)</f>
        <v>0</v>
      </c>
      <c r="G20" s="326">
        <f>SUMIFS(Tabla110[[#All],[Venta Total]],Tabla110[[#All],[Asesor]],B20,Tabla110[[#All],[Fecha Cobranza]],"&lt;"&amp;$G$6,Tabla110[[#All],[Fecha Cobranza]],"&gt;="&amp;$F$6)</f>
        <v>0</v>
      </c>
      <c r="H20" s="326">
        <f>SUMIFS(Tabla110[[#All],[Venta Total]],Tabla110[[#All],[Asesor]],B20,Tabla110[[#All],[Fecha Cobranza]],"&lt;"&amp;$H$6,Tabla110[[#All],[Fecha Cobranza]],"&gt;="&amp;$G$6)</f>
        <v>0</v>
      </c>
      <c r="I20" s="326">
        <f>SUMIFS(Tabla110[[#All],[Venta Total]],Tabla110[[#All],[Asesor]],B20,Tabla110[[#All],[Fecha Cobranza]],"&lt;"&amp;$I$6,Tabla110[[#All],[Fecha Cobranza]],"&gt;="&amp;$H$6)</f>
        <v>0</v>
      </c>
      <c r="J20" s="326">
        <f>SUMIFS(Tabla110[[#All],[Venta Total]],Tabla110[[#All],[Asesor]],B20,Tabla110[[#All],[Fecha Cobranza]],"&lt;"&amp;$J$6,Tabla110[[#All],[Fecha Cobranza]],"&gt;="&amp;$I$6)</f>
        <v>0</v>
      </c>
      <c r="K20" s="326">
        <f>SUMIFS(Tabla110[[#All],[Venta Total]],Tabla110[[#All],[Asesor]],B20,Tabla110[[#All],[Fecha Cobranza]],"&lt;"&amp;$K$6,Tabla110[[#All],[Fecha Cobranza]],"&gt;="&amp;$J$6)</f>
        <v>0</v>
      </c>
      <c r="L20" s="326">
        <f>SUMIFS(Tabla110[[#All],[Venta Total]],Tabla110[[#All],[Asesor]],B20,Tabla110[[#All],[Fecha Cobranza]],"&lt;"&amp;$L$6,Tabla110[[#All],[Fecha Cobranza]],"&gt;="&amp;$K$6)</f>
        <v>0</v>
      </c>
      <c r="M20" s="326">
        <f>SUMIFS(Tabla110[[#All],[Venta Total]],Tabla110[[#All],[Asesor]],B20,Tabla110[[#All],[Fecha Cobranza]],"&lt;"&amp;$M$6,Tabla110[[#All],[Fecha Cobranza]],"&gt;="&amp;$L$6)</f>
        <v>0</v>
      </c>
      <c r="N20" s="326">
        <f>SUMIFS(Tabla110[[#All],[Venta Total]],Tabla110[[#All],[Asesor]],B20,Tabla110[[#All],[Fecha Cobranza]],"&lt;"&amp;$N$6,Tabla110[[#All],[Fecha Cobranza]],"&gt;="&amp;$M$6)</f>
        <v>0</v>
      </c>
      <c r="O20" s="326">
        <f>SUMIFS(Tabla110[[#All],[Venta Total]],Tabla110[[#All],[Asesor]],B20,Tabla110[[#All],[Fecha Cobranza]],"&lt;"&amp;$O$6,Tabla110[[#All],[Fecha Cobranza]],"&gt;="&amp;$N$6)</f>
        <v>0</v>
      </c>
      <c r="P20" s="326">
        <f>SUMIFS(Tabla110[[#All],[Venta Total]],Tabla110[[#All],[Asesor]],B20,Tabla110[[#All],[Fecha Cobranza]],"&lt;"&amp;$P$6,Tabla110[[#All],[Fecha Cobranza]],"&gt;="&amp;$O$6)</f>
        <v>0</v>
      </c>
      <c r="Q20" s="326">
        <f>SUMIFS(Tabla110[[#All],[Venta Total]],Tabla110[[#All],[Asesor]],B20,Tabla110[[#All],[Fecha Cobranza]],"&lt;"&amp;$Q$6,Tabla110[[#All],[Fecha Cobranza]],"&gt;="&amp;$P$6)</f>
        <v>0</v>
      </c>
      <c r="R20" s="326">
        <f>SUMIFS(Tabla110[[#All],[Venta Total]],Tabla110[[#All],[Asesor]],B20,Tabla110[[#All],[Fecha Cobranza]],"&lt;"&amp;$R$6,Tabla110[[#All],[Fecha Cobranza]],"&gt;="&amp;$Q$6)</f>
        <v>0</v>
      </c>
      <c r="S20" s="326">
        <f>SUMIFS(Tabla110[[#All],[Venta Total]],Tabla110[[#All],[Asesor]],B20,Tabla110[[#All],[Fecha Cobranza]],"&lt;"&amp;$S$6,Tabla110[[#All],[Fecha Cobranza]],"&gt;="&amp;$R$6)</f>
        <v>0</v>
      </c>
      <c r="T20" s="326">
        <f>SUMIFS(Tabla110[[#All],[Venta Total]],Tabla110[[#All],[Asesor]],$B20,Tabla110[[#All],[Fecha Cobranza]],"&lt;"&amp;T$6,Tabla110[[#All],[Fecha Cobranza]],"&gt;="&amp;S$6)</f>
        <v>0</v>
      </c>
      <c r="U20" s="326">
        <f>SUMIFS(Tabla110[[#All],[Venta Total]],Tabla110[[#All],[Asesor]],$B20,Tabla110[[#All],[Fecha Cobranza]],"&lt;"&amp;U$6,Tabla110[[#All],[Fecha Cobranza]],"&gt;="&amp;T$6)</f>
        <v>0</v>
      </c>
      <c r="V20" s="326">
        <f>SUMIFS(Tabla110[[#All],[Venta Total]],Tabla110[[#All],[Asesor]],$B20,Tabla110[[#All],[Fecha Cobranza]],"&lt;"&amp;V$6,Tabla110[[#All],[Fecha Cobranza]],"&gt;="&amp;U$6)</f>
        <v>0</v>
      </c>
      <c r="W20" s="326">
        <f>SUMIFS(Tabla110[[#All],[Venta Total]],Tabla110[[#All],[Asesor]],$B20,Tabla110[[#All],[Fecha Cobranza]],"&lt;"&amp;W$6,Tabla110[[#All],[Fecha Cobranza]],"&gt;="&amp;V$6)</f>
        <v>0</v>
      </c>
      <c r="X20" s="326">
        <f>SUMIFS(Tabla110[[#All],[Venta Total]],Tabla110[[#All],[Asesor]],$B20,Tabla110[[#All],[Fecha Cobranza]],"&lt;"&amp;X$6,Tabla110[[#All],[Fecha Cobranza]],"&gt;="&amp;W$6)</f>
        <v>0</v>
      </c>
      <c r="Y20" s="326">
        <f>SUMIFS(Tabla110[[#All],[Venta Total]],Tabla110[[#All],[Asesor]],$B20,Tabla110[[#All],[Fecha Cobranza]],"&lt;"&amp;Y$6,Tabla110[[#All],[Fecha Cobranza]],"&gt;="&amp;X$6)</f>
        <v>0</v>
      </c>
      <c r="Z20" s="326">
        <f>SUMIFS(Tabla110[[#All],[Venta Total]],Tabla110[[#All],[Asesor]],$B20,Tabla110[[#All],[Fecha Cobranza]],"&lt;"&amp;Z$6,Tabla110[[#All],[Fecha Cobranza]],"&gt;="&amp;Y$6)</f>
        <v>0</v>
      </c>
      <c r="AA20" s="326">
        <f>SUMIFS(Tabla110[[#All],[Venta Total]],Tabla110[[#All],[Asesor]],$B20,Tabla110[[#All],[Fecha Cobranza]],"&lt;"&amp;AA$6,Tabla110[[#All],[Fecha Cobranza]],"&gt;="&amp;Z$6)</f>
        <v>0</v>
      </c>
      <c r="AB20" s="327">
        <f t="shared" si="0"/>
        <v>0</v>
      </c>
      <c r="AC20" s="322">
        <f>SUMIFS(Tabla110[[#All],[Utilidad Bruta Total]],Tabla110[[#All],[Asesor]],B20,Tabla110[[#All],[Fecha Cobranza]],"&lt;"&amp;$AC$6,Tabla110[[#All],[Fecha Cobranza]],"&gt;="&amp;$B$6)</f>
        <v>0</v>
      </c>
      <c r="AD20" s="322">
        <f>SUMIFS(Tabla110[[#All],[Utilidad Bruta Total]],Tabla110[[#All],[Asesor]],B20,Tabla110[[#All],[Fecha Cobranza]],"&lt;"&amp;$AD$6,Tabla110[[#All],[Fecha Cobranza]],"&gt;="&amp;$AC$6)</f>
        <v>0</v>
      </c>
      <c r="AE20" s="322">
        <f>SUMIFS(Tabla110[[#All],[Utilidad Bruta Total]],Tabla110[[#All],[Asesor]],B20,Tabla110[[#All],[Fecha Cobranza]],"&lt;"&amp;$AE$6,Tabla110[[#All],[Fecha Cobranza]],"&gt;="&amp;$AD$6)</f>
        <v>0</v>
      </c>
      <c r="AF20" s="322">
        <f>SUMIFS(Tabla110[[#All],[Utilidad Bruta Total]],Tabla110[[#All],[Asesor]],B20,Tabla110[[#All],[Fecha Cobranza]],"&lt;"&amp;$AF$6,Tabla110[[#All],[Fecha Cobranza]],"&gt;="&amp;$AE$6)</f>
        <v>0</v>
      </c>
      <c r="AG20" s="322">
        <f>SUMIFS(Tabla110[[#All],[Utilidad Bruta Total]],Tabla110[[#All],[Asesor]],B20,Tabla110[[#All],[Fecha Cobranza]],"&lt;"&amp;$AG$6,Tabla110[[#All],[Fecha Cobranza]],"&gt;="&amp;$AF$6)</f>
        <v>0</v>
      </c>
      <c r="AH20" s="322">
        <f>SUMIFS(Tabla110[[#All],[Utilidad Bruta Total]],Tabla110[[#All],[Asesor]],B20,Tabla110[[#All],[Fecha Cobranza]],"&lt;"&amp;$AH$6,Tabla110[[#All],[Fecha Cobranza]],"&gt;="&amp;$AG$6)</f>
        <v>0</v>
      </c>
      <c r="AI20" s="322">
        <f>SUMIFS(Tabla110[[#All],[Utilidad Bruta Total]],Tabla110[[#All],[Asesor]],B20,Tabla110[[#All],[Fecha Cobranza]],"&lt;"&amp;$AI$6,Tabla110[[#All],[Fecha Cobranza]],"&gt;="&amp;$AH$6)</f>
        <v>0</v>
      </c>
      <c r="AJ20" s="322">
        <f>SUMIFS(Tabla110[[#All],[Utilidad Bruta Total]],Tabla110[[#All],[Asesor]],B20,Tabla110[[#All],[Fecha Cobranza]],"&lt;"&amp;$AJ$6,Tabla110[[#All],[Fecha Cobranza]],"&gt;="&amp;$AI$6)</f>
        <v>0</v>
      </c>
      <c r="AK20" s="322">
        <f>SUMIFS(Tabla110[[#All],[Utilidad Bruta Total]],Tabla110[[#All],[Asesor]],B20,Tabla110[[#All],[Fecha Cobranza]],"&lt;"&amp;$AK$6,Tabla110[[#All],[Fecha Cobranza]],"&gt;="&amp;$AJ$6)</f>
        <v>0</v>
      </c>
      <c r="AL20" s="322">
        <f>SUMIFS(Tabla110[[#All],[Utilidad Bruta Total]],Tabla110[[#All],[Asesor]],B20,Tabla110[[#All],[Fecha Cobranza]],"&lt;"&amp;$AL$6,Tabla110[[#All],[Fecha Cobranza]],"&gt;="&amp;$AK$6)</f>
        <v>0</v>
      </c>
      <c r="AM20" s="322">
        <f>SUMIFS(Tabla110[[#All],[Utilidad Bruta Total]],Tabla110[[#All],[Asesor]],B20,Tabla110[[#All],[Fecha Cobranza]],"&lt;"&amp;$AM$6,Tabla110[[#All],[Fecha Cobranza]],"&gt;="&amp;$AL$6)</f>
        <v>0</v>
      </c>
      <c r="AN20" s="322">
        <f>SUMIFS(Tabla110[[#All],[Utilidad Bruta Total]],Tabla110[[#All],[Asesor]],B20,Tabla110[[#All],[Fecha Cobranza]],"&lt;"&amp;$AN$6,Tabla110[[#All],[Fecha Cobranza]],"&gt;="&amp;$AM$6)</f>
        <v>0</v>
      </c>
      <c r="AO20" s="322">
        <f>SUMIFS(Tabla110[[#All],[Utilidad Bruta Total]],Tabla110[[#All],[Asesor]],B20,Tabla110[[#All],[Fecha Cobranza]],"&lt;"&amp;$AO$6,Tabla110[[#All],[Fecha Cobranza]],"&gt;="&amp;$AN$6)</f>
        <v>0</v>
      </c>
      <c r="AP20" s="322">
        <f>SUMIFS(Tabla110[[#All],[Utilidad Bruta Total]],Tabla110[[#All],[Asesor]],B20,Tabla110[[#All],[Fecha Cobranza]],"&lt;"&amp;$AP$6,Tabla110[[#All],[Fecha Cobranza]],"&gt;="&amp;$AO$6)</f>
        <v>0</v>
      </c>
      <c r="AQ20" s="322">
        <f>SUMIFS(Tabla110[[#All],[Utilidad Bruta Total]],Tabla110[[#All],[Asesor]],B20,Tabla110[[#All],[Fecha Cobranza]],"&lt;"&amp;$AQ$6,Tabla110[[#All],[Fecha Cobranza]],"&gt;="&amp;$AP$6)</f>
        <v>0</v>
      </c>
      <c r="AR20" s="322">
        <f>SUMIFS(Tabla110[[#All],[Utilidad Bruta Total]],Tabla110[[#All],[Asesor]],B20,Tabla110[[#All],[Fecha Cobranza]],"&lt;"&amp;$AR$6,Tabla110[[#All],[Fecha Cobranza]],"&gt;="&amp;$AQ$6)</f>
        <v>0</v>
      </c>
      <c r="AS20" s="322">
        <f>SUMIFS(Tabla110[[#All],[Utilidad Bruta Total]],Tabla110[[#All],[Asesor]],$B20,Tabla110[[#All],[Fecha Cobranza]],"&lt;"&amp;AS$6,Tabla110[[#All],[Fecha Cobranza]],"&gt;="&amp;AR$6)</f>
        <v>0</v>
      </c>
      <c r="AT20" s="322">
        <f>SUMIFS(Tabla110[[#All],[Utilidad Bruta Total]],Tabla110[[#All],[Asesor]],$B20,Tabla110[[#All],[Fecha Cobranza]],"&lt;"&amp;AT$6,Tabla110[[#All],[Fecha Cobranza]],"&gt;="&amp;AS$6)</f>
        <v>0</v>
      </c>
      <c r="AU20" s="322">
        <f>SUMIFS(Tabla110[[#All],[Utilidad Bruta Total]],Tabla110[[#All],[Asesor]],$B20,Tabla110[[#All],[Fecha Cobranza]],"&lt;"&amp;AU$6,Tabla110[[#All],[Fecha Cobranza]],"&gt;="&amp;AT$6)</f>
        <v>0</v>
      </c>
      <c r="AV20" s="322">
        <f>SUMIFS(Tabla110[[#All],[Utilidad Bruta Total]],Tabla110[[#All],[Asesor]],$B20,Tabla110[[#All],[Fecha Cobranza]],"&lt;"&amp;AV$6,Tabla110[[#All],[Fecha Cobranza]],"&gt;="&amp;AU$6)</f>
        <v>0</v>
      </c>
      <c r="AW20" s="322">
        <f>SUMIFS(Tabla110[[#All],[Utilidad Bruta Total]],Tabla110[[#All],[Asesor]],$B20,Tabla110[[#All],[Fecha Cobranza]],"&lt;"&amp;AW$6,Tabla110[[#All],[Fecha Cobranza]],"&gt;="&amp;AV$6)</f>
        <v>0</v>
      </c>
      <c r="AX20" s="322">
        <f>SUMIFS(Tabla110[[#All],[Utilidad Bruta Total]],Tabla110[[#All],[Asesor]],$B20,Tabla110[[#All],[Fecha Cobranza]],"&lt;"&amp;AX$6,Tabla110[[#All],[Fecha Cobranza]],"&gt;="&amp;AW$6)</f>
        <v>0</v>
      </c>
      <c r="AY20" s="322">
        <f>SUMIFS(Tabla110[[#All],[Utilidad Bruta Total]],Tabla110[[#All],[Asesor]],$B20,Tabla110[[#All],[Fecha Cobranza]],"&lt;"&amp;AY$6,Tabla110[[#All],[Fecha Cobranza]],"&gt;="&amp;AX$6)</f>
        <v>0</v>
      </c>
      <c r="AZ20" s="322">
        <f>SUMIFS(Tabla110[[#All],[Utilidad Bruta Total]],Tabla110[[#All],[Asesor]],$B20,Tabla110[[#All],[Fecha Cobranza]],"&lt;"&amp;AZ$6,Tabla110[[#All],[Fecha Cobranza]],"&gt;="&amp;AY$6)</f>
        <v>0</v>
      </c>
      <c r="BA20" s="323">
        <f t="shared" si="1"/>
        <v>0</v>
      </c>
      <c r="BB20" s="318">
        <f t="shared" si="2"/>
        <v>0</v>
      </c>
      <c r="BC20" s="318"/>
      <c r="BD20" s="318">
        <f t="shared" si="3"/>
        <v>0</v>
      </c>
      <c r="BE20" s="318"/>
      <c r="BF20" s="318">
        <f t="shared" si="4"/>
        <v>0</v>
      </c>
      <c r="BG20" s="318"/>
      <c r="BH20" s="318">
        <f t="shared" si="5"/>
        <v>0</v>
      </c>
      <c r="BI20" s="318"/>
      <c r="BJ20" s="318">
        <f t="shared" si="6"/>
        <v>0</v>
      </c>
      <c r="BK20" s="318"/>
      <c r="BL20" s="318">
        <f t="shared" si="7"/>
        <v>0</v>
      </c>
      <c r="BM20" s="318"/>
      <c r="BN20" s="318">
        <f t="shared" si="8"/>
        <v>0</v>
      </c>
      <c r="BO20" s="318"/>
      <c r="BP20" s="318">
        <f t="shared" si="9"/>
        <v>0</v>
      </c>
      <c r="BQ20" s="318"/>
      <c r="BR20" s="318">
        <f t="shared" si="10"/>
        <v>0</v>
      </c>
      <c r="BS20" s="318"/>
      <c r="BT20" s="318">
        <f t="shared" si="11"/>
        <v>0</v>
      </c>
      <c r="BU20" s="318">
        <f t="shared" si="12"/>
        <v>0</v>
      </c>
      <c r="BV20" s="318"/>
      <c r="BW20" s="318">
        <f t="shared" si="32"/>
        <v>0</v>
      </c>
      <c r="BX20" s="318"/>
      <c r="BY20" s="318">
        <f t="shared" si="14"/>
        <v>0</v>
      </c>
      <c r="BZ20" s="318"/>
      <c r="CA20" s="318">
        <f t="shared" si="15"/>
        <v>0</v>
      </c>
      <c r="CB20" s="318"/>
      <c r="CC20" s="318">
        <f t="shared" si="16"/>
        <v>0</v>
      </c>
      <c r="CD20" s="318"/>
      <c r="CE20" s="318">
        <f t="shared" si="17"/>
        <v>0</v>
      </c>
      <c r="CF20" s="318"/>
      <c r="CG20" s="318">
        <f t="shared" si="18"/>
        <v>0</v>
      </c>
      <c r="CH20" s="318"/>
      <c r="CI20" s="318">
        <f t="shared" si="19"/>
        <v>0</v>
      </c>
      <c r="CJ20" s="318"/>
      <c r="CK20" s="318">
        <f t="shared" si="20"/>
        <v>0</v>
      </c>
      <c r="CL20" s="318"/>
      <c r="CM20" s="318">
        <f t="shared" si="21"/>
        <v>0</v>
      </c>
      <c r="CN20" s="318"/>
      <c r="CO20" s="318">
        <f t="shared" si="22"/>
        <v>0</v>
      </c>
      <c r="CP20" s="318"/>
      <c r="CQ20" s="318">
        <f t="shared" si="23"/>
        <v>0</v>
      </c>
      <c r="CR20" s="318"/>
      <c r="CS20" s="318">
        <f t="shared" si="24"/>
        <v>0</v>
      </c>
      <c r="CT20" s="318"/>
      <c r="CU20" s="318">
        <f t="shared" si="25"/>
        <v>0</v>
      </c>
      <c r="CV20" s="318"/>
      <c r="CW20" s="318">
        <f t="shared" si="26"/>
        <v>0</v>
      </c>
      <c r="CX20" s="330"/>
      <c r="CY20" s="330"/>
      <c r="CZ20" s="330"/>
      <c r="DA20" s="330"/>
      <c r="DB20" s="330"/>
      <c r="DC20" s="330"/>
      <c r="DD20" s="330"/>
      <c r="DE20" s="330"/>
      <c r="DF20" s="330"/>
      <c r="DG20" s="330"/>
      <c r="DH20" s="330"/>
      <c r="DI20" s="330"/>
      <c r="DJ20" s="330"/>
      <c r="DK20" s="330"/>
      <c r="DL20" s="330"/>
      <c r="DM20" s="330"/>
      <c r="DN20" s="330"/>
      <c r="DO20" s="330"/>
      <c r="DP20" s="330"/>
      <c r="DQ20" s="330"/>
      <c r="DR20" s="330"/>
      <c r="DS20" s="330"/>
      <c r="DT20" s="330"/>
      <c r="DU20" s="330"/>
      <c r="DV20" s="331">
        <f t="shared" si="30"/>
        <v>0</v>
      </c>
      <c r="DW20" s="130">
        <f t="shared" si="27"/>
        <v>0</v>
      </c>
      <c r="DX20" s="130">
        <f t="shared" si="28"/>
        <v>0</v>
      </c>
      <c r="DY20" s="147">
        <f t="shared" si="31"/>
        <v>0</v>
      </c>
      <c r="DZ20" s="298">
        <f t="shared" si="29"/>
        <v>0</v>
      </c>
      <c r="ED20" s="163"/>
    </row>
    <row r="21" spans="2:140" ht="15.75" x14ac:dyDescent="0.3">
      <c r="B21" s="332" t="s">
        <v>283</v>
      </c>
      <c r="C21" s="297" t="s">
        <v>486</v>
      </c>
      <c r="D21" s="326">
        <f>SUMIFS(Tabla110[[#All],[Venta Total]],Tabla110[[#All],[Asesor]],B21,Tabla110[[#All],[Fecha Cobranza]],"&lt;"&amp;$D$6,Tabla110[[#All],[Fecha Cobranza]],"&gt;="&amp;$B$6)</f>
        <v>0</v>
      </c>
      <c r="E21" s="326">
        <f>SUMIFS(Tabla110[[#All],[Venta Total]],Tabla110[[#All],[Asesor]],B21,Tabla110[[#All],[Fecha Cobranza]],"&lt;"&amp;$E$6,Tabla110[[#All],[Fecha Cobranza]],"&gt;="&amp;$D$6)</f>
        <v>0</v>
      </c>
      <c r="F21" s="326">
        <f>SUMIFS(Tabla110[[#All],[Venta Total]],Tabla110[[#All],[Asesor]],B21,Tabla110[[#All],[Fecha Cobranza]],"&lt;"&amp;$F$6,Tabla110[[#All],[Fecha Cobranza]],"&gt;="&amp;$E$6)</f>
        <v>0</v>
      </c>
      <c r="G21" s="326">
        <f>SUMIFS(Tabla110[[#All],[Venta Total]],Tabla110[[#All],[Asesor]],B21,Tabla110[[#All],[Fecha Cobranza]],"&lt;"&amp;$G$6,Tabla110[[#All],[Fecha Cobranza]],"&gt;="&amp;$F$6)</f>
        <v>0</v>
      </c>
      <c r="H21" s="326">
        <f>SUMIFS(Tabla110[[#All],[Venta Total]],Tabla110[[#All],[Asesor]],B21,Tabla110[[#All],[Fecha Cobranza]],"&lt;"&amp;$H$6,Tabla110[[#All],[Fecha Cobranza]],"&gt;="&amp;$G$6)</f>
        <v>0</v>
      </c>
      <c r="I21" s="326">
        <f>SUMIFS(Tabla110[[#All],[Venta Total]],Tabla110[[#All],[Asesor]],B21,Tabla110[[#All],[Fecha Cobranza]],"&lt;"&amp;$I$6,Tabla110[[#All],[Fecha Cobranza]],"&gt;="&amp;$H$6)</f>
        <v>0</v>
      </c>
      <c r="J21" s="326">
        <f>SUMIFS(Tabla110[[#All],[Venta Total]],Tabla110[[#All],[Asesor]],B21,Tabla110[[#All],[Fecha Cobranza]],"&lt;"&amp;$J$6,Tabla110[[#All],[Fecha Cobranza]],"&gt;="&amp;$I$6)</f>
        <v>0</v>
      </c>
      <c r="K21" s="326">
        <f>SUMIFS(Tabla110[[#All],[Venta Total]],Tabla110[[#All],[Asesor]],B21,Tabla110[[#All],[Fecha Cobranza]],"&lt;"&amp;$K$6,Tabla110[[#All],[Fecha Cobranza]],"&gt;="&amp;$J$6)</f>
        <v>0</v>
      </c>
      <c r="L21" s="326">
        <f>SUMIFS(Tabla110[[#All],[Venta Total]],Tabla110[[#All],[Asesor]],B21,Tabla110[[#All],[Fecha Cobranza]],"&lt;"&amp;$L$6,Tabla110[[#All],[Fecha Cobranza]],"&gt;="&amp;$K$6)</f>
        <v>0</v>
      </c>
      <c r="M21" s="326">
        <f>SUMIFS(Tabla110[[#All],[Venta Total]],Tabla110[[#All],[Asesor]],B21,Tabla110[[#All],[Fecha Cobranza]],"&lt;"&amp;$M$6,Tabla110[[#All],[Fecha Cobranza]],"&gt;="&amp;$L$6)</f>
        <v>0</v>
      </c>
      <c r="N21" s="326">
        <f>SUMIFS(Tabla110[[#All],[Venta Total]],Tabla110[[#All],[Asesor]],B21,Tabla110[[#All],[Fecha Cobranza]],"&lt;"&amp;$N$6,Tabla110[[#All],[Fecha Cobranza]],"&gt;="&amp;$M$6)</f>
        <v>0</v>
      </c>
      <c r="O21" s="326">
        <f>SUMIFS(Tabla110[[#All],[Venta Total]],Tabla110[[#All],[Asesor]],B21,Tabla110[[#All],[Fecha Cobranza]],"&lt;"&amp;$O$6,Tabla110[[#All],[Fecha Cobranza]],"&gt;="&amp;$N$6)</f>
        <v>0</v>
      </c>
      <c r="P21" s="326">
        <f>SUMIFS(Tabla110[[#All],[Venta Total]],Tabla110[[#All],[Asesor]],B21,Tabla110[[#All],[Fecha Cobranza]],"&lt;"&amp;$P$6,Tabla110[[#All],[Fecha Cobranza]],"&gt;="&amp;$O$6)</f>
        <v>0</v>
      </c>
      <c r="Q21" s="326">
        <f>SUMIFS(Tabla110[[#All],[Venta Total]],Tabla110[[#All],[Asesor]],B21,Tabla110[[#All],[Fecha Cobranza]],"&lt;"&amp;$Q$6,Tabla110[[#All],[Fecha Cobranza]],"&gt;="&amp;$P$6)</f>
        <v>0</v>
      </c>
      <c r="R21" s="326">
        <f>SUMIFS(Tabla110[[#All],[Venta Total]],Tabla110[[#All],[Asesor]],B21,Tabla110[[#All],[Fecha Cobranza]],"&lt;"&amp;$R$6,Tabla110[[#All],[Fecha Cobranza]],"&gt;="&amp;$Q$6)</f>
        <v>0</v>
      </c>
      <c r="S21" s="326">
        <f>SUMIFS(Tabla110[[#All],[Venta Total]],Tabla110[[#All],[Asesor]],B21,Tabla110[[#All],[Fecha Cobranza]],"&lt;"&amp;$S$6,Tabla110[[#All],[Fecha Cobranza]],"&gt;="&amp;$R$6)</f>
        <v>0</v>
      </c>
      <c r="T21" s="326">
        <f>SUMIFS(Tabla110[[#All],[Venta Total]],Tabla110[[#All],[Asesor]],$B21,Tabla110[[#All],[Fecha Cobranza]],"&lt;"&amp;T$6,Tabla110[[#All],[Fecha Cobranza]],"&gt;="&amp;S$6)</f>
        <v>0</v>
      </c>
      <c r="U21" s="326">
        <f>SUMIFS(Tabla110[[#All],[Venta Total]],Tabla110[[#All],[Asesor]],$B21,Tabla110[[#All],[Fecha Cobranza]],"&lt;"&amp;U$6,Tabla110[[#All],[Fecha Cobranza]],"&gt;="&amp;T$6)</f>
        <v>0</v>
      </c>
      <c r="V21" s="326">
        <f>SUMIFS(Tabla110[[#All],[Venta Total]],Tabla110[[#All],[Asesor]],$B21,Tabla110[[#All],[Fecha Cobranza]],"&lt;"&amp;V$6,Tabla110[[#All],[Fecha Cobranza]],"&gt;="&amp;U$6)</f>
        <v>0</v>
      </c>
      <c r="W21" s="326">
        <f>SUMIFS(Tabla110[[#All],[Venta Total]],Tabla110[[#All],[Asesor]],$B21,Tabla110[[#All],[Fecha Cobranza]],"&lt;"&amp;W$6,Tabla110[[#All],[Fecha Cobranza]],"&gt;="&amp;V$6)</f>
        <v>0</v>
      </c>
      <c r="X21" s="326">
        <f>SUMIFS(Tabla110[[#All],[Venta Total]],Tabla110[[#All],[Asesor]],$B21,Tabla110[[#All],[Fecha Cobranza]],"&lt;"&amp;X$6,Tabla110[[#All],[Fecha Cobranza]],"&gt;="&amp;W$6)</f>
        <v>0</v>
      </c>
      <c r="Y21" s="326">
        <f>SUMIFS(Tabla110[[#All],[Venta Total]],Tabla110[[#All],[Asesor]],$B21,Tabla110[[#All],[Fecha Cobranza]],"&lt;"&amp;Y$6,Tabla110[[#All],[Fecha Cobranza]],"&gt;="&amp;X$6)</f>
        <v>0</v>
      </c>
      <c r="Z21" s="326">
        <f>SUMIFS(Tabla110[[#All],[Venta Total]],Tabla110[[#All],[Asesor]],$B21,Tabla110[[#All],[Fecha Cobranza]],"&lt;"&amp;Z$6,Tabla110[[#All],[Fecha Cobranza]],"&gt;="&amp;Y$6)</f>
        <v>0</v>
      </c>
      <c r="AA21" s="326">
        <f>SUMIFS(Tabla110[[#All],[Venta Total]],Tabla110[[#All],[Asesor]],$B21,Tabla110[[#All],[Fecha Cobranza]],"&lt;"&amp;AA$6,Tabla110[[#All],[Fecha Cobranza]],"&gt;="&amp;Z$6)</f>
        <v>0</v>
      </c>
      <c r="AB21" s="327">
        <f t="shared" si="0"/>
        <v>0</v>
      </c>
      <c r="AC21" s="322">
        <f>SUMIFS(Tabla110[[#All],[Utilidad Bruta Total]],Tabla110[[#All],[Asesor]],B21,Tabla110[[#All],[Fecha Cobranza]],"&lt;"&amp;$AC$6,Tabla110[[#All],[Fecha Cobranza]],"&gt;="&amp;$B$6)</f>
        <v>0</v>
      </c>
      <c r="AD21" s="322">
        <f>SUMIFS(Tabla110[[#All],[Utilidad Bruta Total]],Tabla110[[#All],[Asesor]],B21,Tabla110[[#All],[Fecha Cobranza]],"&lt;"&amp;$AD$6,Tabla110[[#All],[Fecha Cobranza]],"&gt;="&amp;$AC$6)</f>
        <v>0</v>
      </c>
      <c r="AE21" s="322">
        <f>SUMIFS(Tabla110[[#All],[Utilidad Bruta Total]],Tabla110[[#All],[Asesor]],B21,Tabla110[[#All],[Fecha Cobranza]],"&lt;"&amp;$AE$6,Tabla110[[#All],[Fecha Cobranza]],"&gt;="&amp;$AD$6)</f>
        <v>0</v>
      </c>
      <c r="AF21" s="322">
        <f>SUMIFS(Tabla110[[#All],[Utilidad Bruta Total]],Tabla110[[#All],[Asesor]],B21,Tabla110[[#All],[Fecha Cobranza]],"&lt;"&amp;$AF$6,Tabla110[[#All],[Fecha Cobranza]],"&gt;="&amp;$AE$6)</f>
        <v>0</v>
      </c>
      <c r="AG21" s="322">
        <f>SUMIFS(Tabla110[[#All],[Utilidad Bruta Total]],Tabla110[[#All],[Asesor]],B21,Tabla110[[#All],[Fecha Cobranza]],"&lt;"&amp;$AG$6,Tabla110[[#All],[Fecha Cobranza]],"&gt;="&amp;$AF$6)</f>
        <v>0</v>
      </c>
      <c r="AH21" s="322">
        <f>SUMIFS(Tabla110[[#All],[Utilidad Bruta Total]],Tabla110[[#All],[Asesor]],B21,Tabla110[[#All],[Fecha Cobranza]],"&lt;"&amp;$AH$6,Tabla110[[#All],[Fecha Cobranza]],"&gt;="&amp;$AG$6)</f>
        <v>0</v>
      </c>
      <c r="AI21" s="322">
        <f>SUMIFS(Tabla110[[#All],[Utilidad Bruta Total]],Tabla110[[#All],[Asesor]],B21,Tabla110[[#All],[Fecha Cobranza]],"&lt;"&amp;$AI$6,Tabla110[[#All],[Fecha Cobranza]],"&gt;="&amp;$AH$6)</f>
        <v>0</v>
      </c>
      <c r="AJ21" s="322">
        <f>SUMIFS(Tabla110[[#All],[Utilidad Bruta Total]],Tabla110[[#All],[Asesor]],B21,Tabla110[[#All],[Fecha Cobranza]],"&lt;"&amp;$AJ$6,Tabla110[[#All],[Fecha Cobranza]],"&gt;="&amp;$AI$6)</f>
        <v>0</v>
      </c>
      <c r="AK21" s="322">
        <f>SUMIFS(Tabla110[[#All],[Utilidad Bruta Total]],Tabla110[[#All],[Asesor]],B21,Tabla110[[#All],[Fecha Cobranza]],"&lt;"&amp;$AK$6,Tabla110[[#All],[Fecha Cobranza]],"&gt;="&amp;$AJ$6)</f>
        <v>0</v>
      </c>
      <c r="AL21" s="322">
        <f>SUMIFS(Tabla110[[#All],[Utilidad Bruta Total]],Tabla110[[#All],[Asesor]],B21,Tabla110[[#All],[Fecha Cobranza]],"&lt;"&amp;$AL$6,Tabla110[[#All],[Fecha Cobranza]],"&gt;="&amp;$AK$6)</f>
        <v>0</v>
      </c>
      <c r="AM21" s="322">
        <f>SUMIFS(Tabla110[[#All],[Utilidad Bruta Total]],Tabla110[[#All],[Asesor]],B21,Tabla110[[#All],[Fecha Cobranza]],"&lt;"&amp;$AM$6,Tabla110[[#All],[Fecha Cobranza]],"&gt;="&amp;$AL$6)</f>
        <v>0</v>
      </c>
      <c r="AN21" s="322">
        <f>SUMIFS(Tabla110[[#All],[Utilidad Bruta Total]],Tabla110[[#All],[Asesor]],B21,Tabla110[[#All],[Fecha Cobranza]],"&lt;"&amp;$AN$6,Tabla110[[#All],[Fecha Cobranza]],"&gt;="&amp;$AM$6)</f>
        <v>0</v>
      </c>
      <c r="AO21" s="322">
        <f>SUMIFS(Tabla110[[#All],[Utilidad Bruta Total]],Tabla110[[#All],[Asesor]],B21,Tabla110[[#All],[Fecha Cobranza]],"&lt;"&amp;$AO$6,Tabla110[[#All],[Fecha Cobranza]],"&gt;="&amp;$AN$6)</f>
        <v>0</v>
      </c>
      <c r="AP21" s="322">
        <f>SUMIFS(Tabla110[[#All],[Utilidad Bruta Total]],Tabla110[[#All],[Asesor]],B21,Tabla110[[#All],[Fecha Cobranza]],"&lt;"&amp;$AP$6,Tabla110[[#All],[Fecha Cobranza]],"&gt;="&amp;$AO$6)</f>
        <v>0</v>
      </c>
      <c r="AQ21" s="322">
        <f>SUMIFS(Tabla110[[#All],[Utilidad Bruta Total]],Tabla110[[#All],[Asesor]],B21,Tabla110[[#All],[Fecha Cobranza]],"&lt;"&amp;$AQ$6,Tabla110[[#All],[Fecha Cobranza]],"&gt;="&amp;$AP$6)</f>
        <v>0</v>
      </c>
      <c r="AR21" s="322">
        <f>SUMIFS(Tabla110[[#All],[Utilidad Bruta Total]],Tabla110[[#All],[Asesor]],B21,Tabla110[[#All],[Fecha Cobranza]],"&lt;"&amp;$AR$6,Tabla110[[#All],[Fecha Cobranza]],"&gt;="&amp;$AQ$6)</f>
        <v>0</v>
      </c>
      <c r="AS21" s="322">
        <f>SUMIFS(Tabla110[[#All],[Utilidad Bruta Total]],Tabla110[[#All],[Asesor]],$B21,Tabla110[[#All],[Fecha Cobranza]],"&lt;"&amp;AS$6,Tabla110[[#All],[Fecha Cobranza]],"&gt;="&amp;AR$6)</f>
        <v>0</v>
      </c>
      <c r="AT21" s="322">
        <f>SUMIFS(Tabla110[[#All],[Utilidad Bruta Total]],Tabla110[[#All],[Asesor]],$B21,Tabla110[[#All],[Fecha Cobranza]],"&lt;"&amp;AT$6,Tabla110[[#All],[Fecha Cobranza]],"&gt;="&amp;AS$6)</f>
        <v>0</v>
      </c>
      <c r="AU21" s="322">
        <f>SUMIFS(Tabla110[[#All],[Utilidad Bruta Total]],Tabla110[[#All],[Asesor]],$B21,Tabla110[[#All],[Fecha Cobranza]],"&lt;"&amp;AU$6,Tabla110[[#All],[Fecha Cobranza]],"&gt;="&amp;AT$6)</f>
        <v>0</v>
      </c>
      <c r="AV21" s="322">
        <f>SUMIFS(Tabla110[[#All],[Utilidad Bruta Total]],Tabla110[[#All],[Asesor]],$B21,Tabla110[[#All],[Fecha Cobranza]],"&lt;"&amp;AV$6,Tabla110[[#All],[Fecha Cobranza]],"&gt;="&amp;AU$6)</f>
        <v>0</v>
      </c>
      <c r="AW21" s="322">
        <f>SUMIFS(Tabla110[[#All],[Utilidad Bruta Total]],Tabla110[[#All],[Asesor]],$B21,Tabla110[[#All],[Fecha Cobranza]],"&lt;"&amp;AW$6,Tabla110[[#All],[Fecha Cobranza]],"&gt;="&amp;AV$6)</f>
        <v>0</v>
      </c>
      <c r="AX21" s="322">
        <f>SUMIFS(Tabla110[[#All],[Utilidad Bruta Total]],Tabla110[[#All],[Asesor]],$B21,Tabla110[[#All],[Fecha Cobranza]],"&lt;"&amp;AX$6,Tabla110[[#All],[Fecha Cobranza]],"&gt;="&amp;AW$6)</f>
        <v>0</v>
      </c>
      <c r="AY21" s="322">
        <f>SUMIFS(Tabla110[[#All],[Utilidad Bruta Total]],Tabla110[[#All],[Asesor]],$B21,Tabla110[[#All],[Fecha Cobranza]],"&lt;"&amp;AY$6,Tabla110[[#All],[Fecha Cobranza]],"&gt;="&amp;AX$6)</f>
        <v>0</v>
      </c>
      <c r="AZ21" s="322">
        <f>SUMIFS(Tabla110[[#All],[Utilidad Bruta Total]],Tabla110[[#All],[Asesor]],$B21,Tabla110[[#All],[Fecha Cobranza]],"&lt;"&amp;AZ$6,Tabla110[[#All],[Fecha Cobranza]],"&gt;="&amp;AY$6)</f>
        <v>0</v>
      </c>
      <c r="BA21" s="323">
        <f t="shared" si="1"/>
        <v>0</v>
      </c>
      <c r="BB21" s="318">
        <f t="shared" si="2"/>
        <v>0</v>
      </c>
      <c r="BC21" s="318"/>
      <c r="BD21" s="318">
        <f t="shared" si="3"/>
        <v>0</v>
      </c>
      <c r="BE21" s="318"/>
      <c r="BF21" s="318">
        <f t="shared" si="4"/>
        <v>0</v>
      </c>
      <c r="BG21" s="318"/>
      <c r="BH21" s="318">
        <f t="shared" si="5"/>
        <v>0</v>
      </c>
      <c r="BI21" s="318"/>
      <c r="BJ21" s="318">
        <f t="shared" si="6"/>
        <v>0</v>
      </c>
      <c r="BK21" s="318"/>
      <c r="BL21" s="318">
        <f t="shared" si="7"/>
        <v>0</v>
      </c>
      <c r="BM21" s="318"/>
      <c r="BN21" s="318">
        <f t="shared" si="8"/>
        <v>0</v>
      </c>
      <c r="BO21" s="318"/>
      <c r="BP21" s="318">
        <f t="shared" si="9"/>
        <v>0</v>
      </c>
      <c r="BQ21" s="318"/>
      <c r="BR21" s="318">
        <f t="shared" si="10"/>
        <v>0</v>
      </c>
      <c r="BS21" s="318"/>
      <c r="BT21" s="318">
        <f t="shared" si="11"/>
        <v>0</v>
      </c>
      <c r="BU21" s="318">
        <f t="shared" si="12"/>
        <v>0</v>
      </c>
      <c r="BV21" s="318"/>
      <c r="BW21" s="318">
        <f t="shared" si="32"/>
        <v>0</v>
      </c>
      <c r="BX21" s="318"/>
      <c r="BY21" s="318">
        <f t="shared" si="14"/>
        <v>0</v>
      </c>
      <c r="BZ21" s="318"/>
      <c r="CA21" s="318">
        <f t="shared" si="15"/>
        <v>0</v>
      </c>
      <c r="CB21" s="318"/>
      <c r="CC21" s="318">
        <f t="shared" si="16"/>
        <v>0</v>
      </c>
      <c r="CD21" s="318"/>
      <c r="CE21" s="318">
        <f t="shared" si="17"/>
        <v>0</v>
      </c>
      <c r="CF21" s="318"/>
      <c r="CG21" s="318">
        <f t="shared" si="18"/>
        <v>0</v>
      </c>
      <c r="CH21" s="318"/>
      <c r="CI21" s="318">
        <f t="shared" si="19"/>
        <v>0</v>
      </c>
      <c r="CJ21" s="318"/>
      <c r="CK21" s="318">
        <f t="shared" si="20"/>
        <v>0</v>
      </c>
      <c r="CL21" s="318"/>
      <c r="CM21" s="318">
        <f t="shared" si="21"/>
        <v>0</v>
      </c>
      <c r="CN21" s="318"/>
      <c r="CO21" s="318">
        <f t="shared" si="22"/>
        <v>0</v>
      </c>
      <c r="CP21" s="318"/>
      <c r="CQ21" s="318">
        <f t="shared" si="23"/>
        <v>0</v>
      </c>
      <c r="CR21" s="318"/>
      <c r="CS21" s="318">
        <f t="shared" si="24"/>
        <v>0</v>
      </c>
      <c r="CT21" s="318"/>
      <c r="CU21" s="318">
        <f t="shared" si="25"/>
        <v>0</v>
      </c>
      <c r="CV21" s="318"/>
      <c r="CW21" s="318">
        <f t="shared" si="26"/>
        <v>0</v>
      </c>
      <c r="CX21" s="330"/>
      <c r="CY21" s="330"/>
      <c r="CZ21" s="330"/>
      <c r="DA21" s="330"/>
      <c r="DB21" s="330"/>
      <c r="DC21" s="330"/>
      <c r="DD21" s="330"/>
      <c r="DE21" s="330"/>
      <c r="DF21" s="330"/>
      <c r="DG21" s="330"/>
      <c r="DH21" s="330"/>
      <c r="DI21" s="330"/>
      <c r="DJ21" s="330"/>
      <c r="DK21" s="330"/>
      <c r="DL21" s="330"/>
      <c r="DM21" s="330"/>
      <c r="DN21" s="330"/>
      <c r="DO21" s="330"/>
      <c r="DP21" s="330"/>
      <c r="DQ21" s="330"/>
      <c r="DR21" s="330"/>
      <c r="DS21" s="330"/>
      <c r="DT21" s="330"/>
      <c r="DU21" s="330"/>
      <c r="DV21" s="331">
        <f t="shared" si="30"/>
        <v>0</v>
      </c>
      <c r="DW21" s="130">
        <f t="shared" si="27"/>
        <v>0</v>
      </c>
      <c r="DX21" s="130">
        <f t="shared" si="28"/>
        <v>0</v>
      </c>
      <c r="DY21" s="147">
        <f>IFERROR(DX21/DW21,0)</f>
        <v>0</v>
      </c>
      <c r="DZ21" s="298">
        <f t="shared" si="29"/>
        <v>0</v>
      </c>
    </row>
    <row r="22" spans="2:140" ht="15.75" x14ac:dyDescent="0.3">
      <c r="B22" s="332" t="s">
        <v>273</v>
      </c>
      <c r="C22" s="297" t="str">
        <f>VLOOKUP(B22,'Caratula 2023'!$B$8:$C$42,2,FALSE)</f>
        <v>INTERNO</v>
      </c>
      <c r="D22" s="326">
        <f>SUMIFS(Tabla110[[#All],[Venta Total]],Tabla110[[#All],[Asesor]],B22,Tabla110[[#All],[Fecha Cobranza]],"&lt;"&amp;$D$6,Tabla110[[#All],[Fecha Cobranza]],"&gt;="&amp;$B$6)</f>
        <v>0</v>
      </c>
      <c r="E22" s="326">
        <f>SUMIFS(Tabla110[[#All],[Venta Total]],Tabla110[[#All],[Asesor]],B22,Tabla110[[#All],[Fecha Cobranza]],"&lt;"&amp;$E$6,Tabla110[[#All],[Fecha Cobranza]],"&gt;="&amp;$D$6)</f>
        <v>0</v>
      </c>
      <c r="F22" s="326">
        <f>SUMIFS(Tabla110[[#All],[Venta Total]],Tabla110[[#All],[Asesor]],B22,Tabla110[[#All],[Fecha Cobranza]],"&lt;"&amp;$F$6,Tabla110[[#All],[Fecha Cobranza]],"&gt;="&amp;$E$6)</f>
        <v>0</v>
      </c>
      <c r="G22" s="326">
        <f>SUMIFS(Tabla110[[#All],[Venta Total]],Tabla110[[#All],[Asesor]],B22,Tabla110[[#All],[Fecha Cobranza]],"&lt;"&amp;$G$6,Tabla110[[#All],[Fecha Cobranza]],"&gt;="&amp;$F$6)</f>
        <v>0</v>
      </c>
      <c r="H22" s="326">
        <f>SUMIFS(Tabla110[[#All],[Venta Total]],Tabla110[[#All],[Asesor]],B22,Tabla110[[#All],[Fecha Cobranza]],"&lt;"&amp;$H$6,Tabla110[[#All],[Fecha Cobranza]],"&gt;="&amp;$G$6)</f>
        <v>0</v>
      </c>
      <c r="I22" s="326">
        <f>SUMIFS(Tabla110[[#All],[Venta Total]],Tabla110[[#All],[Asesor]],B22,Tabla110[[#All],[Fecha Cobranza]],"&lt;"&amp;$I$6,Tabla110[[#All],[Fecha Cobranza]],"&gt;="&amp;$H$6)</f>
        <v>0</v>
      </c>
      <c r="J22" s="326">
        <f>SUMIFS(Tabla110[[#All],[Venta Total]],Tabla110[[#All],[Asesor]],B22,Tabla110[[#All],[Fecha Cobranza]],"&lt;"&amp;$J$6,Tabla110[[#All],[Fecha Cobranza]],"&gt;="&amp;$I$6)</f>
        <v>0</v>
      </c>
      <c r="K22" s="326">
        <f>SUMIFS(Tabla110[[#All],[Venta Total]],Tabla110[[#All],[Asesor]],B22,Tabla110[[#All],[Fecha Cobranza]],"&lt;"&amp;$K$6,Tabla110[[#All],[Fecha Cobranza]],"&gt;="&amp;$J$6)</f>
        <v>0</v>
      </c>
      <c r="L22" s="326">
        <f>SUMIFS(Tabla110[[#All],[Venta Total]],Tabla110[[#All],[Asesor]],B22,Tabla110[[#All],[Fecha Cobranza]],"&lt;"&amp;$L$6,Tabla110[[#All],[Fecha Cobranza]],"&gt;="&amp;$K$6)</f>
        <v>0</v>
      </c>
      <c r="M22" s="326">
        <f>SUMIFS(Tabla110[[#All],[Venta Total]],Tabla110[[#All],[Asesor]],B22,Tabla110[[#All],[Fecha Cobranza]],"&lt;"&amp;$M$6,Tabla110[[#All],[Fecha Cobranza]],"&gt;="&amp;$L$6)</f>
        <v>0</v>
      </c>
      <c r="N22" s="326">
        <f>SUMIFS(Tabla110[[#All],[Venta Total]],Tabla110[[#All],[Asesor]],B22,Tabla110[[#All],[Fecha Cobranza]],"&lt;"&amp;$N$6,Tabla110[[#All],[Fecha Cobranza]],"&gt;="&amp;$M$6)</f>
        <v>0</v>
      </c>
      <c r="O22" s="326">
        <f>SUMIFS(Tabla110[[#All],[Venta Total]],Tabla110[[#All],[Asesor]],B22,Tabla110[[#All],[Fecha Cobranza]],"&lt;"&amp;$O$6,Tabla110[[#All],[Fecha Cobranza]],"&gt;="&amp;$N$6)</f>
        <v>0</v>
      </c>
      <c r="P22" s="326">
        <f>SUMIFS(Tabla110[[#All],[Venta Total]],Tabla110[[#All],[Asesor]],B22,Tabla110[[#All],[Fecha Cobranza]],"&lt;"&amp;$P$6,Tabla110[[#All],[Fecha Cobranza]],"&gt;="&amp;$O$6)</f>
        <v>0</v>
      </c>
      <c r="Q22" s="326">
        <f>SUMIFS(Tabla110[[#All],[Venta Total]],Tabla110[[#All],[Asesor]],B22,Tabla110[[#All],[Fecha Cobranza]],"&lt;"&amp;$Q$6,Tabla110[[#All],[Fecha Cobranza]],"&gt;="&amp;$P$6)</f>
        <v>0</v>
      </c>
      <c r="R22" s="326">
        <f>SUMIFS(Tabla110[[#All],[Venta Total]],Tabla110[[#All],[Asesor]],B22,Tabla110[[#All],[Fecha Cobranza]],"&lt;"&amp;$R$6,Tabla110[[#All],[Fecha Cobranza]],"&gt;="&amp;$Q$6)</f>
        <v>0</v>
      </c>
      <c r="S22" s="326">
        <f>SUMIFS(Tabla110[[#All],[Venta Total]],Tabla110[[#All],[Asesor]],B22,Tabla110[[#All],[Fecha Cobranza]],"&lt;"&amp;$S$6,Tabla110[[#All],[Fecha Cobranza]],"&gt;="&amp;$R$6)</f>
        <v>0</v>
      </c>
      <c r="T22" s="326">
        <f>SUMIFS(Tabla110[[#All],[Venta Total]],Tabla110[[#All],[Asesor]],$B22,Tabla110[[#All],[Fecha Cobranza]],"&lt;"&amp;T$6,Tabla110[[#All],[Fecha Cobranza]],"&gt;="&amp;S$6)</f>
        <v>0</v>
      </c>
      <c r="U22" s="326">
        <f>SUMIFS(Tabla110[[#All],[Venta Total]],Tabla110[[#All],[Asesor]],$B22,Tabla110[[#All],[Fecha Cobranza]],"&lt;"&amp;U$6,Tabla110[[#All],[Fecha Cobranza]],"&gt;="&amp;T$6)</f>
        <v>0</v>
      </c>
      <c r="V22" s="326">
        <f>SUMIFS(Tabla110[[#All],[Venta Total]],Tabla110[[#All],[Asesor]],$B22,Tabla110[[#All],[Fecha Cobranza]],"&lt;"&amp;V$6,Tabla110[[#All],[Fecha Cobranza]],"&gt;="&amp;U$6)</f>
        <v>0</v>
      </c>
      <c r="W22" s="326">
        <f>SUMIFS(Tabla110[[#All],[Venta Total]],Tabla110[[#All],[Asesor]],$B22,Tabla110[[#All],[Fecha Cobranza]],"&lt;"&amp;W$6,Tabla110[[#All],[Fecha Cobranza]],"&gt;="&amp;V$6)</f>
        <v>0</v>
      </c>
      <c r="X22" s="326">
        <f>SUMIFS(Tabla110[[#All],[Venta Total]],Tabla110[[#All],[Asesor]],$B22,Tabla110[[#All],[Fecha Cobranza]],"&lt;"&amp;X$6,Tabla110[[#All],[Fecha Cobranza]],"&gt;="&amp;W$6)</f>
        <v>0</v>
      </c>
      <c r="Y22" s="326">
        <f>SUMIFS(Tabla110[[#All],[Venta Total]],Tabla110[[#All],[Asesor]],$B22,Tabla110[[#All],[Fecha Cobranza]],"&lt;"&amp;Y$6,Tabla110[[#All],[Fecha Cobranza]],"&gt;="&amp;X$6)</f>
        <v>0</v>
      </c>
      <c r="Z22" s="326">
        <f>SUMIFS(Tabla110[[#All],[Venta Total]],Tabla110[[#All],[Asesor]],$B22,Tabla110[[#All],[Fecha Cobranza]],"&lt;"&amp;Z$6,Tabla110[[#All],[Fecha Cobranza]],"&gt;="&amp;Y$6)</f>
        <v>0</v>
      </c>
      <c r="AA22" s="326">
        <f>SUMIFS(Tabla110[[#All],[Venta Total]],Tabla110[[#All],[Asesor]],$B22,Tabla110[[#All],[Fecha Cobranza]],"&lt;"&amp;AA$6,Tabla110[[#All],[Fecha Cobranza]],"&gt;="&amp;Z$6)</f>
        <v>0</v>
      </c>
      <c r="AB22" s="327">
        <f t="shared" si="0"/>
        <v>0</v>
      </c>
      <c r="AC22" s="322">
        <f>SUMIFS(Tabla110[[#All],[Utilidad Bruta Total]],Tabla110[[#All],[Asesor]],B22,Tabla110[[#All],[Fecha Cobranza]],"&lt;"&amp;$AC$6,Tabla110[[#All],[Fecha Cobranza]],"&gt;="&amp;$B$6)</f>
        <v>0</v>
      </c>
      <c r="AD22" s="322">
        <f>SUMIFS(Tabla110[[#All],[Utilidad Bruta Total]],Tabla110[[#All],[Asesor]],B22,Tabla110[[#All],[Fecha Cobranza]],"&lt;"&amp;$AD$6,Tabla110[[#All],[Fecha Cobranza]],"&gt;="&amp;$AC$6)</f>
        <v>0</v>
      </c>
      <c r="AE22" s="322">
        <f>SUMIFS(Tabla110[[#All],[Utilidad Bruta Total]],Tabla110[[#All],[Asesor]],B22,Tabla110[[#All],[Fecha Cobranza]],"&lt;"&amp;$AE$6,Tabla110[[#All],[Fecha Cobranza]],"&gt;="&amp;$AD$6)</f>
        <v>0</v>
      </c>
      <c r="AF22" s="322">
        <f>SUMIFS(Tabla110[[#All],[Utilidad Bruta Total]],Tabla110[[#All],[Asesor]],B22,Tabla110[[#All],[Fecha Cobranza]],"&lt;"&amp;$AF$6,Tabla110[[#All],[Fecha Cobranza]],"&gt;="&amp;$AE$6)</f>
        <v>0</v>
      </c>
      <c r="AG22" s="322">
        <f>SUMIFS(Tabla110[[#All],[Utilidad Bruta Total]],Tabla110[[#All],[Asesor]],B22,Tabla110[[#All],[Fecha Cobranza]],"&lt;"&amp;$AG$6,Tabla110[[#All],[Fecha Cobranza]],"&gt;="&amp;$AF$6)</f>
        <v>0</v>
      </c>
      <c r="AH22" s="322">
        <f>SUMIFS(Tabla110[[#All],[Utilidad Bruta Total]],Tabla110[[#All],[Asesor]],B22,Tabla110[[#All],[Fecha Cobranza]],"&lt;"&amp;$AH$6,Tabla110[[#All],[Fecha Cobranza]],"&gt;="&amp;$AG$6)</f>
        <v>0</v>
      </c>
      <c r="AI22" s="322">
        <f>SUMIFS(Tabla110[[#All],[Utilidad Bruta Total]],Tabla110[[#All],[Asesor]],B22,Tabla110[[#All],[Fecha Cobranza]],"&lt;"&amp;$AI$6,Tabla110[[#All],[Fecha Cobranza]],"&gt;="&amp;$AH$6)</f>
        <v>0</v>
      </c>
      <c r="AJ22" s="322">
        <f>SUMIFS(Tabla110[[#All],[Utilidad Bruta Total]],Tabla110[[#All],[Asesor]],B22,Tabla110[[#All],[Fecha Cobranza]],"&lt;"&amp;$AJ$6,Tabla110[[#All],[Fecha Cobranza]],"&gt;="&amp;$AI$6)</f>
        <v>0</v>
      </c>
      <c r="AK22" s="322">
        <f>SUMIFS(Tabla110[[#All],[Utilidad Bruta Total]],Tabla110[[#All],[Asesor]],B22,Tabla110[[#All],[Fecha Cobranza]],"&lt;"&amp;$AK$6,Tabla110[[#All],[Fecha Cobranza]],"&gt;="&amp;$AJ$6)</f>
        <v>0</v>
      </c>
      <c r="AL22" s="322">
        <f>SUMIFS(Tabla110[[#All],[Utilidad Bruta Total]],Tabla110[[#All],[Asesor]],B22,Tabla110[[#All],[Fecha Cobranza]],"&lt;"&amp;$AL$6,Tabla110[[#All],[Fecha Cobranza]],"&gt;="&amp;$AK$6)</f>
        <v>0</v>
      </c>
      <c r="AM22" s="322">
        <f>SUMIFS(Tabla110[[#All],[Utilidad Bruta Total]],Tabla110[[#All],[Asesor]],B22,Tabla110[[#All],[Fecha Cobranza]],"&lt;"&amp;$AM$6,Tabla110[[#All],[Fecha Cobranza]],"&gt;="&amp;$AL$6)</f>
        <v>0</v>
      </c>
      <c r="AN22" s="322">
        <f>SUMIFS(Tabla110[[#All],[Utilidad Bruta Total]],Tabla110[[#All],[Asesor]],B22,Tabla110[[#All],[Fecha Cobranza]],"&lt;"&amp;$AN$6,Tabla110[[#All],[Fecha Cobranza]],"&gt;="&amp;$AM$6)</f>
        <v>0</v>
      </c>
      <c r="AO22" s="322">
        <f>SUMIFS(Tabla110[[#All],[Utilidad Bruta Total]],Tabla110[[#All],[Asesor]],B22,Tabla110[[#All],[Fecha Cobranza]],"&lt;"&amp;$AO$6,Tabla110[[#All],[Fecha Cobranza]],"&gt;="&amp;$AN$6)</f>
        <v>0</v>
      </c>
      <c r="AP22" s="322">
        <f>SUMIFS(Tabla110[[#All],[Utilidad Bruta Total]],Tabla110[[#All],[Asesor]],B22,Tabla110[[#All],[Fecha Cobranza]],"&lt;"&amp;$AP$6,Tabla110[[#All],[Fecha Cobranza]],"&gt;="&amp;$AO$6)</f>
        <v>0</v>
      </c>
      <c r="AQ22" s="322">
        <f>SUMIFS(Tabla110[[#All],[Utilidad Bruta Total]],Tabla110[[#All],[Asesor]],B22,Tabla110[[#All],[Fecha Cobranza]],"&lt;"&amp;$AQ$6,Tabla110[[#All],[Fecha Cobranza]],"&gt;="&amp;$AP$6)</f>
        <v>0</v>
      </c>
      <c r="AR22" s="322">
        <f>SUMIFS(Tabla110[[#All],[Utilidad Bruta Total]],Tabla110[[#All],[Asesor]],B22,Tabla110[[#All],[Fecha Cobranza]],"&lt;"&amp;$AR$6,Tabla110[[#All],[Fecha Cobranza]],"&gt;="&amp;$AQ$6)</f>
        <v>0</v>
      </c>
      <c r="AS22" s="322">
        <f>SUMIFS(Tabla110[[#All],[Utilidad Bruta Total]],Tabla110[[#All],[Asesor]],$B22,Tabla110[[#All],[Fecha Cobranza]],"&lt;"&amp;AS$6,Tabla110[[#All],[Fecha Cobranza]],"&gt;="&amp;AR$6)</f>
        <v>0</v>
      </c>
      <c r="AT22" s="322">
        <f>SUMIFS(Tabla110[[#All],[Utilidad Bruta Total]],Tabla110[[#All],[Asesor]],$B22,Tabla110[[#All],[Fecha Cobranza]],"&lt;"&amp;AT$6,Tabla110[[#All],[Fecha Cobranza]],"&gt;="&amp;AS$6)</f>
        <v>0</v>
      </c>
      <c r="AU22" s="322">
        <f>SUMIFS(Tabla110[[#All],[Utilidad Bruta Total]],Tabla110[[#All],[Asesor]],$B22,Tabla110[[#All],[Fecha Cobranza]],"&lt;"&amp;AU$6,Tabla110[[#All],[Fecha Cobranza]],"&gt;="&amp;AT$6)</f>
        <v>0</v>
      </c>
      <c r="AV22" s="322">
        <f>SUMIFS(Tabla110[[#All],[Utilidad Bruta Total]],Tabla110[[#All],[Asesor]],$B22,Tabla110[[#All],[Fecha Cobranza]],"&lt;"&amp;AV$6,Tabla110[[#All],[Fecha Cobranza]],"&gt;="&amp;AU$6)</f>
        <v>0</v>
      </c>
      <c r="AW22" s="322">
        <f>SUMIFS(Tabla110[[#All],[Utilidad Bruta Total]],Tabla110[[#All],[Asesor]],$B22,Tabla110[[#All],[Fecha Cobranza]],"&lt;"&amp;AW$6,Tabla110[[#All],[Fecha Cobranza]],"&gt;="&amp;AV$6)</f>
        <v>0</v>
      </c>
      <c r="AX22" s="322">
        <f>SUMIFS(Tabla110[[#All],[Utilidad Bruta Total]],Tabla110[[#All],[Asesor]],$B22,Tabla110[[#All],[Fecha Cobranza]],"&lt;"&amp;AX$6,Tabla110[[#All],[Fecha Cobranza]],"&gt;="&amp;AW$6)</f>
        <v>0</v>
      </c>
      <c r="AY22" s="322">
        <f>SUMIFS(Tabla110[[#All],[Utilidad Bruta Total]],Tabla110[[#All],[Asesor]],$B22,Tabla110[[#All],[Fecha Cobranza]],"&lt;"&amp;AY$6,Tabla110[[#All],[Fecha Cobranza]],"&gt;="&amp;AX$6)</f>
        <v>0</v>
      </c>
      <c r="AZ22" s="322">
        <f>SUMIFS(Tabla110[[#All],[Utilidad Bruta Total]],Tabla110[[#All],[Asesor]],$B22,Tabla110[[#All],[Fecha Cobranza]],"&lt;"&amp;AZ$6,Tabla110[[#All],[Fecha Cobranza]],"&gt;="&amp;AY$6)</f>
        <v>0</v>
      </c>
      <c r="BA22" s="323">
        <f t="shared" si="1"/>
        <v>0</v>
      </c>
      <c r="BB22" s="318">
        <f t="shared" si="2"/>
        <v>0</v>
      </c>
      <c r="BC22" s="318"/>
      <c r="BD22" s="318">
        <f t="shared" si="3"/>
        <v>0</v>
      </c>
      <c r="BE22" s="318"/>
      <c r="BF22" s="318">
        <f t="shared" si="4"/>
        <v>0</v>
      </c>
      <c r="BG22" s="318"/>
      <c r="BH22" s="318">
        <f t="shared" si="5"/>
        <v>0</v>
      </c>
      <c r="BI22" s="318"/>
      <c r="BJ22" s="318">
        <f t="shared" si="6"/>
        <v>0</v>
      </c>
      <c r="BK22" s="318"/>
      <c r="BL22" s="318">
        <f t="shared" si="7"/>
        <v>0</v>
      </c>
      <c r="BM22" s="318"/>
      <c r="BN22" s="318">
        <f t="shared" si="8"/>
        <v>0</v>
      </c>
      <c r="BO22" s="318"/>
      <c r="BP22" s="318">
        <f t="shared" si="9"/>
        <v>0</v>
      </c>
      <c r="BQ22" s="318"/>
      <c r="BR22" s="318">
        <f t="shared" si="10"/>
        <v>0</v>
      </c>
      <c r="BS22" s="318"/>
      <c r="BT22" s="318">
        <f t="shared" si="11"/>
        <v>0</v>
      </c>
      <c r="BU22" s="318">
        <f t="shared" si="12"/>
        <v>0</v>
      </c>
      <c r="BV22" s="318"/>
      <c r="BW22" s="318">
        <f t="shared" si="32"/>
        <v>0</v>
      </c>
      <c r="BX22" s="318"/>
      <c r="BY22" s="318">
        <f t="shared" si="14"/>
        <v>0</v>
      </c>
      <c r="BZ22" s="318"/>
      <c r="CA22" s="318">
        <f t="shared" si="15"/>
        <v>0</v>
      </c>
      <c r="CB22" s="318"/>
      <c r="CC22" s="318">
        <f t="shared" si="16"/>
        <v>0</v>
      </c>
      <c r="CD22" s="318"/>
      <c r="CE22" s="318">
        <f t="shared" si="17"/>
        <v>0</v>
      </c>
      <c r="CF22" s="318"/>
      <c r="CG22" s="318">
        <f t="shared" si="18"/>
        <v>0</v>
      </c>
      <c r="CH22" s="318"/>
      <c r="CI22" s="318">
        <f t="shared" si="19"/>
        <v>0</v>
      </c>
      <c r="CJ22" s="318"/>
      <c r="CK22" s="318">
        <f t="shared" si="20"/>
        <v>0</v>
      </c>
      <c r="CL22" s="318"/>
      <c r="CM22" s="318">
        <f t="shared" si="21"/>
        <v>0</v>
      </c>
      <c r="CN22" s="318"/>
      <c r="CO22" s="318">
        <f t="shared" si="22"/>
        <v>0</v>
      </c>
      <c r="CP22" s="318"/>
      <c r="CQ22" s="318">
        <f t="shared" si="23"/>
        <v>0</v>
      </c>
      <c r="CR22" s="318"/>
      <c r="CS22" s="318">
        <f t="shared" si="24"/>
        <v>0</v>
      </c>
      <c r="CT22" s="318"/>
      <c r="CU22" s="318">
        <f t="shared" si="25"/>
        <v>0</v>
      </c>
      <c r="CV22" s="318"/>
      <c r="CW22" s="318">
        <f t="shared" si="26"/>
        <v>0</v>
      </c>
      <c r="CX22" s="330"/>
      <c r="CY22" s="330"/>
      <c r="CZ22" s="330"/>
      <c r="DA22" s="330"/>
      <c r="DB22" s="330"/>
      <c r="DC22" s="330"/>
      <c r="DD22" s="330"/>
      <c r="DE22" s="330"/>
      <c r="DF22" s="330"/>
      <c r="DG22" s="330"/>
      <c r="DH22" s="330"/>
      <c r="DI22" s="330"/>
      <c r="DJ22" s="330"/>
      <c r="DK22" s="330"/>
      <c r="DL22" s="330"/>
      <c r="DM22" s="330"/>
      <c r="DN22" s="330"/>
      <c r="DO22" s="330"/>
      <c r="DP22" s="330"/>
      <c r="DQ22" s="330"/>
      <c r="DR22" s="330"/>
      <c r="DS22" s="330"/>
      <c r="DT22" s="330"/>
      <c r="DU22" s="330"/>
      <c r="DV22" s="331">
        <f t="shared" si="30"/>
        <v>0</v>
      </c>
      <c r="DW22" s="130">
        <f t="shared" si="27"/>
        <v>0</v>
      </c>
      <c r="DX22" s="130">
        <f t="shared" si="28"/>
        <v>0</v>
      </c>
      <c r="DY22" s="147">
        <f t="shared" si="31"/>
        <v>0</v>
      </c>
      <c r="DZ22" s="298">
        <f t="shared" si="29"/>
        <v>0</v>
      </c>
    </row>
    <row r="23" spans="2:140" ht="15.75" x14ac:dyDescent="0.3">
      <c r="B23" s="332" t="s">
        <v>399</v>
      </c>
      <c r="C23" s="297" t="s">
        <v>485</v>
      </c>
      <c r="D23" s="326">
        <f>SUMIFS(Tabla110[[#All],[Venta Total]],Tabla110[[#All],[Asesor]],B23,Tabla110[[#All],[Fecha Cobranza]],"&lt;"&amp;$D$6,Tabla110[[#All],[Fecha Cobranza]],"&gt;="&amp;$B$6)</f>
        <v>0</v>
      </c>
      <c r="E23" s="326">
        <f>SUMIFS(Tabla110[[#All],[Venta Total]],Tabla110[[#All],[Asesor]],B23,Tabla110[[#All],[Fecha Cobranza]],"&lt;"&amp;$E$6,Tabla110[[#All],[Fecha Cobranza]],"&gt;="&amp;$D$6)</f>
        <v>0</v>
      </c>
      <c r="F23" s="326">
        <f>SUMIFS(Tabla110[[#All],[Venta Total]],Tabla110[[#All],[Asesor]],B23,Tabla110[[#All],[Fecha Cobranza]],"&lt;"&amp;$F$6,Tabla110[[#All],[Fecha Cobranza]],"&gt;="&amp;$E$6)</f>
        <v>0</v>
      </c>
      <c r="G23" s="326">
        <f>SUMIFS(Tabla110[[#All],[Venta Total]],Tabla110[[#All],[Asesor]],B23,Tabla110[[#All],[Fecha Cobranza]],"&lt;"&amp;$G$6,Tabla110[[#All],[Fecha Cobranza]],"&gt;="&amp;$F$6)</f>
        <v>0</v>
      </c>
      <c r="H23" s="326">
        <f>SUMIFS(Tabla110[[#All],[Venta Total]],Tabla110[[#All],[Asesor]],B23,Tabla110[[#All],[Fecha Cobranza]],"&lt;"&amp;$H$6,Tabla110[[#All],[Fecha Cobranza]],"&gt;="&amp;$G$6)</f>
        <v>0</v>
      </c>
      <c r="I23" s="326">
        <f>SUMIFS(Tabla110[[#All],[Venta Total]],Tabla110[[#All],[Asesor]],B23,Tabla110[[#All],[Fecha Cobranza]],"&lt;"&amp;$I$6,Tabla110[[#All],[Fecha Cobranza]],"&gt;="&amp;$H$6)</f>
        <v>0</v>
      </c>
      <c r="J23" s="326">
        <f>SUMIFS(Tabla110[[#All],[Venta Total]],Tabla110[[#All],[Asesor]],B23,Tabla110[[#All],[Fecha Cobranza]],"&lt;"&amp;$J$6,Tabla110[[#All],[Fecha Cobranza]],"&gt;="&amp;$I$6)</f>
        <v>0</v>
      </c>
      <c r="K23" s="326">
        <f>SUMIFS(Tabla110[[#All],[Venta Total]],Tabla110[[#All],[Asesor]],B23,Tabla110[[#All],[Fecha Cobranza]],"&lt;"&amp;$K$6,Tabla110[[#All],[Fecha Cobranza]],"&gt;="&amp;$J$6)</f>
        <v>0</v>
      </c>
      <c r="L23" s="326">
        <f>SUMIFS(Tabla110[[#All],[Venta Total]],Tabla110[[#All],[Asesor]],B23,Tabla110[[#All],[Fecha Cobranza]],"&lt;"&amp;$L$6,Tabla110[[#All],[Fecha Cobranza]],"&gt;="&amp;$K$6)</f>
        <v>0</v>
      </c>
      <c r="M23" s="326">
        <f>SUMIFS(Tabla110[[#All],[Venta Total]],Tabla110[[#All],[Asesor]],B23,Tabla110[[#All],[Fecha Cobranza]],"&lt;"&amp;$M$6,Tabla110[[#All],[Fecha Cobranza]],"&gt;="&amp;$L$6)</f>
        <v>0</v>
      </c>
      <c r="N23" s="326">
        <f>SUMIFS(Tabla110[[#All],[Venta Total]],Tabla110[[#All],[Asesor]],B23,Tabla110[[#All],[Fecha Cobranza]],"&lt;"&amp;$N$6,Tabla110[[#All],[Fecha Cobranza]],"&gt;="&amp;$M$6)</f>
        <v>0</v>
      </c>
      <c r="O23" s="326">
        <f>SUMIFS(Tabla110[[#All],[Venta Total]],Tabla110[[#All],[Asesor]],B23,Tabla110[[#All],[Fecha Cobranza]],"&lt;"&amp;$O$6,Tabla110[[#All],[Fecha Cobranza]],"&gt;="&amp;$N$6)</f>
        <v>0</v>
      </c>
      <c r="P23" s="326">
        <f>SUMIFS(Tabla110[[#All],[Venta Total]],Tabla110[[#All],[Asesor]],B23,Tabla110[[#All],[Fecha Cobranza]],"&lt;"&amp;$P$6,Tabla110[[#All],[Fecha Cobranza]],"&gt;="&amp;$O$6)</f>
        <v>0</v>
      </c>
      <c r="Q23" s="326">
        <f>SUMIFS(Tabla110[[#All],[Venta Total]],Tabla110[[#All],[Asesor]],B23,Tabla110[[#All],[Fecha Cobranza]],"&lt;"&amp;$Q$6,Tabla110[[#All],[Fecha Cobranza]],"&gt;="&amp;$P$6)</f>
        <v>0</v>
      </c>
      <c r="R23" s="326">
        <f>SUMIFS(Tabla110[[#All],[Venta Total]],Tabla110[[#All],[Asesor]],B23,Tabla110[[#All],[Fecha Cobranza]],"&lt;"&amp;$R$6,Tabla110[[#All],[Fecha Cobranza]],"&gt;="&amp;$Q$6)</f>
        <v>0</v>
      </c>
      <c r="S23" s="326">
        <f>SUMIFS(Tabla110[[#All],[Venta Total]],Tabla110[[#All],[Asesor]],B23,Tabla110[[#All],[Fecha Cobranza]],"&lt;"&amp;$S$6,Tabla110[[#All],[Fecha Cobranza]],"&gt;="&amp;$R$6)</f>
        <v>0</v>
      </c>
      <c r="T23" s="326">
        <f>SUMIFS(Tabla110[[#All],[Venta Total]],Tabla110[[#All],[Asesor]],$B23,Tabla110[[#All],[Fecha Cobranza]],"&lt;"&amp;T$6,Tabla110[[#All],[Fecha Cobranza]],"&gt;="&amp;S$6)</f>
        <v>0</v>
      </c>
      <c r="U23" s="326">
        <f>SUMIFS(Tabla110[[#All],[Venta Total]],Tabla110[[#All],[Asesor]],$B23,Tabla110[[#All],[Fecha Cobranza]],"&lt;"&amp;U$6,Tabla110[[#All],[Fecha Cobranza]],"&gt;="&amp;T$6)</f>
        <v>0</v>
      </c>
      <c r="V23" s="326">
        <f>SUMIFS(Tabla110[[#All],[Venta Total]],Tabla110[[#All],[Asesor]],$B23,Tabla110[[#All],[Fecha Cobranza]],"&lt;"&amp;V$6,Tabla110[[#All],[Fecha Cobranza]],"&gt;="&amp;U$6)</f>
        <v>0</v>
      </c>
      <c r="W23" s="326">
        <f>SUMIFS(Tabla110[[#All],[Venta Total]],Tabla110[[#All],[Asesor]],$B23,Tabla110[[#All],[Fecha Cobranza]],"&lt;"&amp;W$6,Tabla110[[#All],[Fecha Cobranza]],"&gt;="&amp;V$6)</f>
        <v>0</v>
      </c>
      <c r="X23" s="326">
        <f>SUMIFS(Tabla110[[#All],[Venta Total]],Tabla110[[#All],[Asesor]],$B23,Tabla110[[#All],[Fecha Cobranza]],"&lt;"&amp;X$6,Tabla110[[#All],[Fecha Cobranza]],"&gt;="&amp;W$6)</f>
        <v>0</v>
      </c>
      <c r="Y23" s="326">
        <f>SUMIFS(Tabla110[[#All],[Venta Total]],Tabla110[[#All],[Asesor]],$B23,Tabla110[[#All],[Fecha Cobranza]],"&lt;"&amp;Y$6,Tabla110[[#All],[Fecha Cobranza]],"&gt;="&amp;X$6)</f>
        <v>0</v>
      </c>
      <c r="Z23" s="326">
        <f>SUMIFS(Tabla110[[#All],[Venta Total]],Tabla110[[#All],[Asesor]],$B23,Tabla110[[#All],[Fecha Cobranza]],"&lt;"&amp;Z$6,Tabla110[[#All],[Fecha Cobranza]],"&gt;="&amp;Y$6)</f>
        <v>0</v>
      </c>
      <c r="AA23" s="326">
        <f>SUMIFS(Tabla110[[#All],[Venta Total]],Tabla110[[#All],[Asesor]],$B23,Tabla110[[#All],[Fecha Cobranza]],"&lt;"&amp;AA$6,Tabla110[[#All],[Fecha Cobranza]],"&gt;="&amp;Z$6)</f>
        <v>0</v>
      </c>
      <c r="AB23" s="327">
        <f t="shared" si="0"/>
        <v>0</v>
      </c>
      <c r="AC23" s="322">
        <f>SUMIFS(Tabla110[[#All],[Utilidad Bruta Total]],Tabla110[[#All],[Asesor]],B23,Tabla110[[#All],[Fecha Cobranza]],"&lt;"&amp;$AC$6,Tabla110[[#All],[Fecha Cobranza]],"&gt;="&amp;$B$6)</f>
        <v>0</v>
      </c>
      <c r="AD23" s="322">
        <f>SUMIFS(Tabla110[[#All],[Utilidad Bruta Total]],Tabla110[[#All],[Asesor]],B23,Tabla110[[#All],[Fecha Cobranza]],"&lt;"&amp;$AD$6,Tabla110[[#All],[Fecha Cobranza]],"&gt;="&amp;$AC$6)</f>
        <v>0</v>
      </c>
      <c r="AE23" s="322">
        <f>SUMIFS(Tabla110[[#All],[Utilidad Bruta Total]],Tabla110[[#All],[Asesor]],B23,Tabla110[[#All],[Fecha Cobranza]],"&lt;"&amp;$AE$6,Tabla110[[#All],[Fecha Cobranza]],"&gt;="&amp;$AD$6)</f>
        <v>0</v>
      </c>
      <c r="AF23" s="322">
        <f>SUMIFS(Tabla110[[#All],[Utilidad Bruta Total]],Tabla110[[#All],[Asesor]],B23,Tabla110[[#All],[Fecha Cobranza]],"&lt;"&amp;$AF$6,Tabla110[[#All],[Fecha Cobranza]],"&gt;="&amp;$AE$6)</f>
        <v>0</v>
      </c>
      <c r="AG23" s="322">
        <f>SUMIFS(Tabla110[[#All],[Utilidad Bruta Total]],Tabla110[[#All],[Asesor]],B23,Tabla110[[#All],[Fecha Cobranza]],"&lt;"&amp;$AG$6,Tabla110[[#All],[Fecha Cobranza]],"&gt;="&amp;$AF$6)</f>
        <v>0</v>
      </c>
      <c r="AH23" s="322">
        <f>SUMIFS(Tabla110[[#All],[Utilidad Bruta Total]],Tabla110[[#All],[Asesor]],B23,Tabla110[[#All],[Fecha Cobranza]],"&lt;"&amp;$AH$6,Tabla110[[#All],[Fecha Cobranza]],"&gt;="&amp;$AG$6)</f>
        <v>0</v>
      </c>
      <c r="AI23" s="322">
        <f>SUMIFS(Tabla110[[#All],[Utilidad Bruta Total]],Tabla110[[#All],[Asesor]],B23,Tabla110[[#All],[Fecha Cobranza]],"&lt;"&amp;$AI$6,Tabla110[[#All],[Fecha Cobranza]],"&gt;="&amp;$AH$6)</f>
        <v>0</v>
      </c>
      <c r="AJ23" s="322">
        <f>SUMIFS(Tabla110[[#All],[Utilidad Bruta Total]],Tabla110[[#All],[Asesor]],B23,Tabla110[[#All],[Fecha Cobranza]],"&lt;"&amp;$AJ$6,Tabla110[[#All],[Fecha Cobranza]],"&gt;="&amp;$AI$6)</f>
        <v>0</v>
      </c>
      <c r="AK23" s="322">
        <f>SUMIFS(Tabla110[[#All],[Utilidad Bruta Total]],Tabla110[[#All],[Asesor]],B23,Tabla110[[#All],[Fecha Cobranza]],"&lt;"&amp;$AK$6,Tabla110[[#All],[Fecha Cobranza]],"&gt;="&amp;$AJ$6)</f>
        <v>0</v>
      </c>
      <c r="AL23" s="322">
        <f>SUMIFS(Tabla110[[#All],[Utilidad Bruta Total]],Tabla110[[#All],[Asesor]],B23,Tabla110[[#All],[Fecha Cobranza]],"&lt;"&amp;$AL$6,Tabla110[[#All],[Fecha Cobranza]],"&gt;="&amp;$AK$6)</f>
        <v>0</v>
      </c>
      <c r="AM23" s="322">
        <f>SUMIFS(Tabla110[[#All],[Utilidad Bruta Total]],Tabla110[[#All],[Asesor]],B23,Tabla110[[#All],[Fecha Cobranza]],"&lt;"&amp;$AM$6,Tabla110[[#All],[Fecha Cobranza]],"&gt;="&amp;$AL$6)</f>
        <v>0</v>
      </c>
      <c r="AN23" s="322">
        <f>SUMIFS(Tabla110[[#All],[Utilidad Bruta Total]],Tabla110[[#All],[Asesor]],B23,Tabla110[[#All],[Fecha Cobranza]],"&lt;"&amp;$AN$6,Tabla110[[#All],[Fecha Cobranza]],"&gt;="&amp;$AM$6)</f>
        <v>0</v>
      </c>
      <c r="AO23" s="322">
        <f>SUMIFS(Tabla110[[#All],[Utilidad Bruta Total]],Tabla110[[#All],[Asesor]],B23,Tabla110[[#All],[Fecha Cobranza]],"&lt;"&amp;$AO$6,Tabla110[[#All],[Fecha Cobranza]],"&gt;="&amp;$AN$6)</f>
        <v>0</v>
      </c>
      <c r="AP23" s="322">
        <f>SUMIFS(Tabla110[[#All],[Utilidad Bruta Total]],Tabla110[[#All],[Asesor]],B23,Tabla110[[#All],[Fecha Cobranza]],"&lt;"&amp;$AP$6,Tabla110[[#All],[Fecha Cobranza]],"&gt;="&amp;$AO$6)</f>
        <v>0</v>
      </c>
      <c r="AQ23" s="322">
        <f>SUMIFS(Tabla110[[#All],[Utilidad Bruta Total]],Tabla110[[#All],[Asesor]],B23,Tabla110[[#All],[Fecha Cobranza]],"&lt;"&amp;$AQ$6,Tabla110[[#All],[Fecha Cobranza]],"&gt;="&amp;$AP$6)</f>
        <v>0</v>
      </c>
      <c r="AR23" s="322">
        <f>SUMIFS(Tabla110[[#All],[Utilidad Bruta Total]],Tabla110[[#All],[Asesor]],B23,Tabla110[[#All],[Fecha Cobranza]],"&lt;"&amp;$AR$6,Tabla110[[#All],[Fecha Cobranza]],"&gt;="&amp;$AQ$6)</f>
        <v>0</v>
      </c>
      <c r="AS23" s="322">
        <f>SUMIFS(Tabla110[[#All],[Utilidad Bruta Total]],Tabla110[[#All],[Asesor]],$B23,Tabla110[[#All],[Fecha Cobranza]],"&lt;"&amp;AS$6,Tabla110[[#All],[Fecha Cobranza]],"&gt;="&amp;AR$6)</f>
        <v>0</v>
      </c>
      <c r="AT23" s="322">
        <f>SUMIFS(Tabla110[[#All],[Utilidad Bruta Total]],Tabla110[[#All],[Asesor]],$B23,Tabla110[[#All],[Fecha Cobranza]],"&lt;"&amp;AT$6,Tabla110[[#All],[Fecha Cobranza]],"&gt;="&amp;AS$6)</f>
        <v>0</v>
      </c>
      <c r="AU23" s="322">
        <f>SUMIFS(Tabla110[[#All],[Utilidad Bruta Total]],Tabla110[[#All],[Asesor]],$B23,Tabla110[[#All],[Fecha Cobranza]],"&lt;"&amp;AU$6,Tabla110[[#All],[Fecha Cobranza]],"&gt;="&amp;AT$6)</f>
        <v>0</v>
      </c>
      <c r="AV23" s="322">
        <f>SUMIFS(Tabla110[[#All],[Utilidad Bruta Total]],Tabla110[[#All],[Asesor]],$B23,Tabla110[[#All],[Fecha Cobranza]],"&lt;"&amp;AV$6,Tabla110[[#All],[Fecha Cobranza]],"&gt;="&amp;AU$6)</f>
        <v>0</v>
      </c>
      <c r="AW23" s="322">
        <f>SUMIFS(Tabla110[[#All],[Utilidad Bruta Total]],Tabla110[[#All],[Asesor]],$B23,Tabla110[[#All],[Fecha Cobranza]],"&lt;"&amp;AW$6,Tabla110[[#All],[Fecha Cobranza]],"&gt;="&amp;AV$6)</f>
        <v>0</v>
      </c>
      <c r="AX23" s="322">
        <f>SUMIFS(Tabla110[[#All],[Utilidad Bruta Total]],Tabla110[[#All],[Asesor]],$B23,Tabla110[[#All],[Fecha Cobranza]],"&lt;"&amp;AX$6,Tabla110[[#All],[Fecha Cobranza]],"&gt;="&amp;AW$6)</f>
        <v>0</v>
      </c>
      <c r="AY23" s="322">
        <f>SUMIFS(Tabla110[[#All],[Utilidad Bruta Total]],Tabla110[[#All],[Asesor]],$B23,Tabla110[[#All],[Fecha Cobranza]],"&lt;"&amp;AY$6,Tabla110[[#All],[Fecha Cobranza]],"&gt;="&amp;AX$6)</f>
        <v>0</v>
      </c>
      <c r="AZ23" s="322">
        <f>SUMIFS(Tabla110[[#All],[Utilidad Bruta Total]],Tabla110[[#All],[Asesor]],$B23,Tabla110[[#All],[Fecha Cobranza]],"&lt;"&amp;AZ$6,Tabla110[[#All],[Fecha Cobranza]],"&gt;="&amp;AY$6)</f>
        <v>0</v>
      </c>
      <c r="BA23" s="323">
        <f t="shared" si="1"/>
        <v>0</v>
      </c>
      <c r="BB23" s="318">
        <f t="shared" si="2"/>
        <v>0</v>
      </c>
      <c r="BC23" s="318"/>
      <c r="BD23" s="318">
        <f t="shared" si="3"/>
        <v>0</v>
      </c>
      <c r="BE23" s="318"/>
      <c r="BF23" s="318">
        <f t="shared" si="4"/>
        <v>0</v>
      </c>
      <c r="BG23" s="318"/>
      <c r="BH23" s="318">
        <f t="shared" si="5"/>
        <v>0</v>
      </c>
      <c r="BI23" s="318"/>
      <c r="BJ23" s="318">
        <f t="shared" si="6"/>
        <v>0</v>
      </c>
      <c r="BK23" s="318"/>
      <c r="BL23" s="318">
        <f t="shared" si="7"/>
        <v>0</v>
      </c>
      <c r="BM23" s="318"/>
      <c r="BN23" s="318">
        <f t="shared" si="8"/>
        <v>0</v>
      </c>
      <c r="BO23" s="318"/>
      <c r="BP23" s="318">
        <f t="shared" si="9"/>
        <v>0</v>
      </c>
      <c r="BQ23" s="318"/>
      <c r="BR23" s="318">
        <f t="shared" si="10"/>
        <v>0</v>
      </c>
      <c r="BS23" s="318"/>
      <c r="BT23" s="318">
        <f t="shared" si="11"/>
        <v>0</v>
      </c>
      <c r="BU23" s="318">
        <f t="shared" si="12"/>
        <v>0</v>
      </c>
      <c r="BV23" s="318"/>
      <c r="BW23" s="318">
        <f t="shared" si="32"/>
        <v>0</v>
      </c>
      <c r="BX23" s="318"/>
      <c r="BY23" s="318">
        <f t="shared" si="14"/>
        <v>0</v>
      </c>
      <c r="BZ23" s="318"/>
      <c r="CA23" s="318">
        <f t="shared" si="15"/>
        <v>0</v>
      </c>
      <c r="CB23" s="318"/>
      <c r="CC23" s="318">
        <f t="shared" si="16"/>
        <v>0</v>
      </c>
      <c r="CD23" s="318"/>
      <c r="CE23" s="318">
        <f t="shared" si="17"/>
        <v>0</v>
      </c>
      <c r="CF23" s="318"/>
      <c r="CG23" s="318">
        <f t="shared" si="18"/>
        <v>0</v>
      </c>
      <c r="CH23" s="318"/>
      <c r="CI23" s="318">
        <f t="shared" si="19"/>
        <v>0</v>
      </c>
      <c r="CJ23" s="318"/>
      <c r="CK23" s="318">
        <f t="shared" si="20"/>
        <v>0</v>
      </c>
      <c r="CL23" s="318"/>
      <c r="CM23" s="318">
        <f t="shared" si="21"/>
        <v>0</v>
      </c>
      <c r="CN23" s="318"/>
      <c r="CO23" s="318">
        <f t="shared" si="22"/>
        <v>0</v>
      </c>
      <c r="CP23" s="318"/>
      <c r="CQ23" s="318">
        <f t="shared" si="23"/>
        <v>0</v>
      </c>
      <c r="CR23" s="318"/>
      <c r="CS23" s="318">
        <f t="shared" si="24"/>
        <v>0</v>
      </c>
      <c r="CT23" s="318"/>
      <c r="CU23" s="318">
        <f t="shared" si="25"/>
        <v>0</v>
      </c>
      <c r="CV23" s="318"/>
      <c r="CW23" s="318">
        <f t="shared" si="26"/>
        <v>0</v>
      </c>
      <c r="CX23" s="330"/>
      <c r="CY23" s="330"/>
      <c r="CZ23" s="330"/>
      <c r="DA23" s="330"/>
      <c r="DB23" s="330"/>
      <c r="DC23" s="330"/>
      <c r="DD23" s="330"/>
      <c r="DE23" s="330"/>
      <c r="DF23" s="330"/>
      <c r="DG23" s="330"/>
      <c r="DH23" s="330"/>
      <c r="DI23" s="330"/>
      <c r="DJ23" s="330"/>
      <c r="DK23" s="330"/>
      <c r="DL23" s="330"/>
      <c r="DM23" s="330"/>
      <c r="DN23" s="330"/>
      <c r="DO23" s="330"/>
      <c r="DP23" s="330"/>
      <c r="DQ23" s="330"/>
      <c r="DR23" s="330"/>
      <c r="DS23" s="330"/>
      <c r="DT23" s="330"/>
      <c r="DU23" s="330"/>
      <c r="DV23" s="331">
        <f t="shared" si="30"/>
        <v>0</v>
      </c>
      <c r="DW23" s="130">
        <f t="shared" si="27"/>
        <v>0</v>
      </c>
      <c r="DX23" s="130">
        <f t="shared" si="28"/>
        <v>0</v>
      </c>
      <c r="DY23" s="147">
        <f t="shared" si="31"/>
        <v>0</v>
      </c>
      <c r="DZ23" s="298">
        <f t="shared" si="29"/>
        <v>0</v>
      </c>
    </row>
    <row r="24" spans="2:140" ht="15.75" x14ac:dyDescent="0.3">
      <c r="B24" s="332" t="s">
        <v>407</v>
      </c>
      <c r="C24" s="297" t="str">
        <f>VLOOKUP(B24,'Caratula 2023'!$B$8:$C$42,2,FALSE)</f>
        <v>INTERNO</v>
      </c>
      <c r="D24" s="326">
        <f>SUMIFS(Tabla110[[#All],[Venta Total]],Tabla110[[#All],[Asesor]],B24,Tabla110[[#All],[Fecha Cobranza]],"&lt;"&amp;$D$6,Tabla110[[#All],[Fecha Cobranza]],"&gt;="&amp;$B$6)</f>
        <v>0</v>
      </c>
      <c r="E24" s="326">
        <f>SUMIFS(Tabla110[[#All],[Venta Total]],Tabla110[[#All],[Asesor]],B24,Tabla110[[#All],[Fecha Cobranza]],"&lt;"&amp;$E$6,Tabla110[[#All],[Fecha Cobranza]],"&gt;="&amp;$D$6)</f>
        <v>0</v>
      </c>
      <c r="F24" s="326">
        <f>SUMIFS(Tabla110[[#All],[Venta Total]],Tabla110[[#All],[Asesor]],B24,Tabla110[[#All],[Fecha Cobranza]],"&lt;"&amp;$F$6,Tabla110[[#All],[Fecha Cobranza]],"&gt;="&amp;$E$6)</f>
        <v>0</v>
      </c>
      <c r="G24" s="326">
        <f>SUMIFS(Tabla110[[#All],[Venta Total]],Tabla110[[#All],[Asesor]],B24,Tabla110[[#All],[Fecha Cobranza]],"&lt;"&amp;$G$6,Tabla110[[#All],[Fecha Cobranza]],"&gt;="&amp;$F$6)</f>
        <v>0</v>
      </c>
      <c r="H24" s="326">
        <f>SUMIFS(Tabla110[[#All],[Venta Total]],Tabla110[[#All],[Asesor]],B24,Tabla110[[#All],[Fecha Cobranza]],"&lt;"&amp;$H$6,Tabla110[[#All],[Fecha Cobranza]],"&gt;="&amp;$G$6)</f>
        <v>0</v>
      </c>
      <c r="I24" s="326">
        <f>SUMIFS(Tabla110[[#All],[Venta Total]],Tabla110[[#All],[Asesor]],B24,Tabla110[[#All],[Fecha Cobranza]],"&lt;"&amp;$I$6,Tabla110[[#All],[Fecha Cobranza]],"&gt;="&amp;$H$6)</f>
        <v>0</v>
      </c>
      <c r="J24" s="326">
        <f>SUMIFS(Tabla110[[#All],[Venta Total]],Tabla110[[#All],[Asesor]],B24,Tabla110[[#All],[Fecha Cobranza]],"&lt;"&amp;$J$6,Tabla110[[#All],[Fecha Cobranza]],"&gt;="&amp;$I$6)</f>
        <v>0</v>
      </c>
      <c r="K24" s="326">
        <f>SUMIFS(Tabla110[[#All],[Venta Total]],Tabla110[[#All],[Asesor]],B24,Tabla110[[#All],[Fecha Cobranza]],"&lt;"&amp;$K$6,Tabla110[[#All],[Fecha Cobranza]],"&gt;="&amp;$J$6)</f>
        <v>0</v>
      </c>
      <c r="L24" s="326">
        <f>SUMIFS(Tabla110[[#All],[Venta Total]],Tabla110[[#All],[Asesor]],B24,Tabla110[[#All],[Fecha Cobranza]],"&lt;"&amp;$L$6,Tabla110[[#All],[Fecha Cobranza]],"&gt;="&amp;$K$6)</f>
        <v>0</v>
      </c>
      <c r="M24" s="326">
        <f>SUMIFS(Tabla110[[#All],[Venta Total]],Tabla110[[#All],[Asesor]],B24,Tabla110[[#All],[Fecha Cobranza]],"&lt;"&amp;$M$6,Tabla110[[#All],[Fecha Cobranza]],"&gt;="&amp;$L$6)</f>
        <v>0</v>
      </c>
      <c r="N24" s="326">
        <f>SUMIFS(Tabla110[[#All],[Venta Total]],Tabla110[[#All],[Asesor]],B24,Tabla110[[#All],[Fecha Cobranza]],"&lt;"&amp;$N$6,Tabla110[[#All],[Fecha Cobranza]],"&gt;="&amp;$M$6)</f>
        <v>0</v>
      </c>
      <c r="O24" s="326">
        <f>SUMIFS(Tabla110[[#All],[Venta Total]],Tabla110[[#All],[Asesor]],B24,Tabla110[[#All],[Fecha Cobranza]],"&lt;"&amp;$O$6,Tabla110[[#All],[Fecha Cobranza]],"&gt;="&amp;$N$6)</f>
        <v>0</v>
      </c>
      <c r="P24" s="326">
        <f>SUMIFS(Tabla110[[#All],[Venta Total]],Tabla110[[#All],[Asesor]],B24,Tabla110[[#All],[Fecha Cobranza]],"&lt;"&amp;$P$6,Tabla110[[#All],[Fecha Cobranza]],"&gt;="&amp;$O$6)</f>
        <v>0</v>
      </c>
      <c r="Q24" s="326">
        <f>SUMIFS(Tabla110[[#All],[Venta Total]],Tabla110[[#All],[Asesor]],B24,Tabla110[[#All],[Fecha Cobranza]],"&lt;"&amp;$Q$6,Tabla110[[#All],[Fecha Cobranza]],"&gt;="&amp;$P$6)</f>
        <v>0</v>
      </c>
      <c r="R24" s="326">
        <f>SUMIFS(Tabla110[[#All],[Venta Total]],Tabla110[[#All],[Asesor]],B24,Tabla110[[#All],[Fecha Cobranza]],"&lt;"&amp;$R$6,Tabla110[[#All],[Fecha Cobranza]],"&gt;="&amp;$Q$6)</f>
        <v>0</v>
      </c>
      <c r="S24" s="326">
        <f>SUMIFS(Tabla110[[#All],[Venta Total]],Tabla110[[#All],[Asesor]],B24,Tabla110[[#All],[Fecha Cobranza]],"&lt;"&amp;$S$6,Tabla110[[#All],[Fecha Cobranza]],"&gt;="&amp;$R$6)</f>
        <v>0</v>
      </c>
      <c r="T24" s="326">
        <f>SUMIFS(Tabla110[[#All],[Venta Total]],Tabla110[[#All],[Asesor]],$B24,Tabla110[[#All],[Fecha Cobranza]],"&lt;"&amp;T$6,Tabla110[[#All],[Fecha Cobranza]],"&gt;="&amp;S$6)</f>
        <v>0</v>
      </c>
      <c r="U24" s="326">
        <f>SUMIFS(Tabla110[[#All],[Venta Total]],Tabla110[[#All],[Asesor]],$B24,Tabla110[[#All],[Fecha Cobranza]],"&lt;"&amp;U$6,Tabla110[[#All],[Fecha Cobranza]],"&gt;="&amp;T$6)</f>
        <v>0</v>
      </c>
      <c r="V24" s="326">
        <f>SUMIFS(Tabla110[[#All],[Venta Total]],Tabla110[[#All],[Asesor]],$B24,Tabla110[[#All],[Fecha Cobranza]],"&lt;"&amp;V$6,Tabla110[[#All],[Fecha Cobranza]],"&gt;="&amp;U$6)</f>
        <v>0</v>
      </c>
      <c r="W24" s="326">
        <f>SUMIFS(Tabla110[[#All],[Venta Total]],Tabla110[[#All],[Asesor]],$B24,Tabla110[[#All],[Fecha Cobranza]],"&lt;"&amp;W$6,Tabla110[[#All],[Fecha Cobranza]],"&gt;="&amp;V$6)</f>
        <v>0</v>
      </c>
      <c r="X24" s="326">
        <f>SUMIFS(Tabla110[[#All],[Venta Total]],Tabla110[[#All],[Asesor]],$B24,Tabla110[[#All],[Fecha Cobranza]],"&lt;"&amp;X$6,Tabla110[[#All],[Fecha Cobranza]],"&gt;="&amp;W$6)</f>
        <v>0</v>
      </c>
      <c r="Y24" s="326">
        <f>SUMIFS(Tabla110[[#All],[Venta Total]],Tabla110[[#All],[Asesor]],$B24,Tabla110[[#All],[Fecha Cobranza]],"&lt;"&amp;Y$6,Tabla110[[#All],[Fecha Cobranza]],"&gt;="&amp;X$6)</f>
        <v>0</v>
      </c>
      <c r="Z24" s="326">
        <f>SUMIFS(Tabla110[[#All],[Venta Total]],Tabla110[[#All],[Asesor]],$B24,Tabla110[[#All],[Fecha Cobranza]],"&lt;"&amp;Z$6,Tabla110[[#All],[Fecha Cobranza]],"&gt;="&amp;Y$6)</f>
        <v>61445.2</v>
      </c>
      <c r="AA24" s="326">
        <f>SUMIFS(Tabla110[[#All],[Venta Total]],Tabla110[[#All],[Asesor]],$B24,Tabla110[[#All],[Fecha Cobranza]],"&lt;"&amp;AA$6,Tabla110[[#All],[Fecha Cobranza]],"&gt;="&amp;Z$6)</f>
        <v>0</v>
      </c>
      <c r="AB24" s="327">
        <f t="shared" si="0"/>
        <v>61445.2</v>
      </c>
      <c r="AC24" s="322">
        <f>SUMIFS(Tabla110[[#All],[Utilidad Bruta Total]],Tabla110[[#All],[Asesor]],B24,Tabla110[[#All],[Fecha Cobranza]],"&lt;"&amp;$AC$6,Tabla110[[#All],[Fecha Cobranza]],"&gt;="&amp;$B$6)</f>
        <v>0</v>
      </c>
      <c r="AD24" s="322">
        <f>SUMIFS(Tabla110[[#All],[Utilidad Bruta Total]],Tabla110[[#All],[Asesor]],B24,Tabla110[[#All],[Fecha Cobranza]],"&lt;"&amp;$AD$6,Tabla110[[#All],[Fecha Cobranza]],"&gt;="&amp;$AC$6)</f>
        <v>0</v>
      </c>
      <c r="AE24" s="322">
        <f>SUMIFS(Tabla110[[#All],[Utilidad Bruta Total]],Tabla110[[#All],[Asesor]],B24,Tabla110[[#All],[Fecha Cobranza]],"&lt;"&amp;$AE$6,Tabla110[[#All],[Fecha Cobranza]],"&gt;="&amp;$AD$6)</f>
        <v>0</v>
      </c>
      <c r="AF24" s="322">
        <f>SUMIFS(Tabla110[[#All],[Utilidad Bruta Total]],Tabla110[[#All],[Asesor]],B24,Tabla110[[#All],[Fecha Cobranza]],"&lt;"&amp;$AF$6,Tabla110[[#All],[Fecha Cobranza]],"&gt;="&amp;$AE$6)</f>
        <v>0</v>
      </c>
      <c r="AG24" s="322">
        <f>SUMIFS(Tabla110[[#All],[Utilidad Bruta Total]],Tabla110[[#All],[Asesor]],B24,Tabla110[[#All],[Fecha Cobranza]],"&lt;"&amp;$AG$6,Tabla110[[#All],[Fecha Cobranza]],"&gt;="&amp;$AF$6)</f>
        <v>0</v>
      </c>
      <c r="AH24" s="322">
        <f>SUMIFS(Tabla110[[#All],[Utilidad Bruta Total]],Tabla110[[#All],[Asesor]],B24,Tabla110[[#All],[Fecha Cobranza]],"&lt;"&amp;$AH$6,Tabla110[[#All],[Fecha Cobranza]],"&gt;="&amp;$AG$6)</f>
        <v>0</v>
      </c>
      <c r="AI24" s="322">
        <f>SUMIFS(Tabla110[[#All],[Utilidad Bruta Total]],Tabla110[[#All],[Asesor]],B24,Tabla110[[#All],[Fecha Cobranza]],"&lt;"&amp;$AI$6,Tabla110[[#All],[Fecha Cobranza]],"&gt;="&amp;$AH$6)</f>
        <v>0</v>
      </c>
      <c r="AJ24" s="322">
        <f>SUMIFS(Tabla110[[#All],[Utilidad Bruta Total]],Tabla110[[#All],[Asesor]],B24,Tabla110[[#All],[Fecha Cobranza]],"&lt;"&amp;$AJ$6,Tabla110[[#All],[Fecha Cobranza]],"&gt;="&amp;$AI$6)</f>
        <v>0</v>
      </c>
      <c r="AK24" s="322">
        <f>SUMIFS(Tabla110[[#All],[Utilidad Bruta Total]],Tabla110[[#All],[Asesor]],B24,Tabla110[[#All],[Fecha Cobranza]],"&lt;"&amp;$AK$6,Tabla110[[#All],[Fecha Cobranza]],"&gt;="&amp;$AJ$6)</f>
        <v>0</v>
      </c>
      <c r="AL24" s="322">
        <f>SUMIFS(Tabla110[[#All],[Utilidad Bruta Total]],Tabla110[[#All],[Asesor]],B24,Tabla110[[#All],[Fecha Cobranza]],"&lt;"&amp;$AL$6,Tabla110[[#All],[Fecha Cobranza]],"&gt;="&amp;$AK$6)</f>
        <v>0</v>
      </c>
      <c r="AM24" s="322">
        <f>SUMIFS(Tabla110[[#All],[Utilidad Bruta Total]],Tabla110[[#All],[Asesor]],B24,Tabla110[[#All],[Fecha Cobranza]],"&lt;"&amp;$AM$6,Tabla110[[#All],[Fecha Cobranza]],"&gt;="&amp;$AL$6)</f>
        <v>0</v>
      </c>
      <c r="AN24" s="322">
        <f>SUMIFS(Tabla110[[#All],[Utilidad Bruta Total]],Tabla110[[#All],[Asesor]],B24,Tabla110[[#All],[Fecha Cobranza]],"&lt;"&amp;$AN$6,Tabla110[[#All],[Fecha Cobranza]],"&gt;="&amp;$AM$6)</f>
        <v>0</v>
      </c>
      <c r="AO24" s="322">
        <f>SUMIFS(Tabla110[[#All],[Utilidad Bruta Total]],Tabla110[[#All],[Asesor]],B24,Tabla110[[#All],[Fecha Cobranza]],"&lt;"&amp;$AO$6,Tabla110[[#All],[Fecha Cobranza]],"&gt;="&amp;$AN$6)</f>
        <v>0</v>
      </c>
      <c r="AP24" s="322">
        <f>SUMIFS(Tabla110[[#All],[Utilidad Bruta Total]],Tabla110[[#All],[Asesor]],B24,Tabla110[[#All],[Fecha Cobranza]],"&lt;"&amp;$AP$6,Tabla110[[#All],[Fecha Cobranza]],"&gt;="&amp;$AO$6)</f>
        <v>0</v>
      </c>
      <c r="AQ24" s="322">
        <f>SUMIFS(Tabla110[[#All],[Utilidad Bruta Total]],Tabla110[[#All],[Asesor]],B24,Tabla110[[#All],[Fecha Cobranza]],"&lt;"&amp;$AQ$6,Tabla110[[#All],[Fecha Cobranza]],"&gt;="&amp;$AP$6)</f>
        <v>0</v>
      </c>
      <c r="AR24" s="322">
        <f>SUMIFS(Tabla110[[#All],[Utilidad Bruta Total]],Tabla110[[#All],[Asesor]],B24,Tabla110[[#All],[Fecha Cobranza]],"&lt;"&amp;$AR$6,Tabla110[[#All],[Fecha Cobranza]],"&gt;="&amp;$AQ$6)</f>
        <v>0</v>
      </c>
      <c r="AS24" s="322">
        <f>SUMIFS(Tabla110[[#All],[Utilidad Bruta Total]],Tabla110[[#All],[Asesor]],$B24,Tabla110[[#All],[Fecha Cobranza]],"&lt;"&amp;AS$6,Tabla110[[#All],[Fecha Cobranza]],"&gt;="&amp;AR$6)</f>
        <v>0</v>
      </c>
      <c r="AT24" s="322">
        <f>SUMIFS(Tabla110[[#All],[Utilidad Bruta Total]],Tabla110[[#All],[Asesor]],$B24,Tabla110[[#All],[Fecha Cobranza]],"&lt;"&amp;AT$6,Tabla110[[#All],[Fecha Cobranza]],"&gt;="&amp;AS$6)</f>
        <v>0</v>
      </c>
      <c r="AU24" s="322">
        <f>SUMIFS(Tabla110[[#All],[Utilidad Bruta Total]],Tabla110[[#All],[Asesor]],$B24,Tabla110[[#All],[Fecha Cobranza]],"&lt;"&amp;AU$6,Tabla110[[#All],[Fecha Cobranza]],"&gt;="&amp;AT$6)</f>
        <v>0</v>
      </c>
      <c r="AV24" s="322">
        <f>SUMIFS(Tabla110[[#All],[Utilidad Bruta Total]],Tabla110[[#All],[Asesor]],$B24,Tabla110[[#All],[Fecha Cobranza]],"&lt;"&amp;AV$6,Tabla110[[#All],[Fecha Cobranza]],"&gt;="&amp;AU$6)</f>
        <v>0</v>
      </c>
      <c r="AW24" s="322">
        <f>SUMIFS(Tabla110[[#All],[Utilidad Bruta Total]],Tabla110[[#All],[Asesor]],$B24,Tabla110[[#All],[Fecha Cobranza]],"&lt;"&amp;AW$6,Tabla110[[#All],[Fecha Cobranza]],"&gt;="&amp;AV$6)</f>
        <v>0</v>
      </c>
      <c r="AX24" s="322">
        <f>SUMIFS(Tabla110[[#All],[Utilidad Bruta Total]],Tabla110[[#All],[Asesor]],$B24,Tabla110[[#All],[Fecha Cobranza]],"&lt;"&amp;AX$6,Tabla110[[#All],[Fecha Cobranza]],"&gt;="&amp;AW$6)</f>
        <v>0</v>
      </c>
      <c r="AY24" s="322" t="e">
        <f>SUMIFS(Tabla110[[#All],[Utilidad Bruta Total]],Tabla110[[#All],[Asesor]],$B24,Tabla110[[#All],[Fecha Cobranza]],"&lt;"&amp;AY$6,Tabla110[[#All],[Fecha Cobranza]],"&gt;="&amp;AX$6)</f>
        <v>#N/A</v>
      </c>
      <c r="AZ24" s="322">
        <f>SUMIFS(Tabla110[[#All],[Utilidad Bruta Total]],Tabla110[[#All],[Asesor]],$B24,Tabla110[[#All],[Fecha Cobranza]],"&lt;"&amp;AZ$6,Tabla110[[#All],[Fecha Cobranza]],"&gt;="&amp;AY$6)</f>
        <v>0</v>
      </c>
      <c r="BA24" s="323" t="e">
        <f t="shared" si="1"/>
        <v>#N/A</v>
      </c>
      <c r="BB24" s="318">
        <f t="shared" si="2"/>
        <v>0</v>
      </c>
      <c r="BC24" s="318"/>
      <c r="BD24" s="318">
        <f t="shared" si="3"/>
        <v>0</v>
      </c>
      <c r="BE24" s="318"/>
      <c r="BF24" s="318">
        <f t="shared" si="4"/>
        <v>0</v>
      </c>
      <c r="BG24" s="318"/>
      <c r="BH24" s="318">
        <f t="shared" si="5"/>
        <v>0</v>
      </c>
      <c r="BI24" s="318"/>
      <c r="BJ24" s="318">
        <f t="shared" si="6"/>
        <v>0</v>
      </c>
      <c r="BK24" s="318"/>
      <c r="BL24" s="318">
        <f t="shared" si="7"/>
        <v>0</v>
      </c>
      <c r="BM24" s="318"/>
      <c r="BN24" s="318">
        <f t="shared" si="8"/>
        <v>0</v>
      </c>
      <c r="BO24" s="318"/>
      <c r="BP24" s="318">
        <f t="shared" si="9"/>
        <v>0</v>
      </c>
      <c r="BQ24" s="318"/>
      <c r="BR24" s="318">
        <f t="shared" si="10"/>
        <v>0</v>
      </c>
      <c r="BS24" s="318"/>
      <c r="BT24" s="318">
        <f t="shared" si="11"/>
        <v>0</v>
      </c>
      <c r="BU24" s="318">
        <f t="shared" si="12"/>
        <v>0</v>
      </c>
      <c r="BV24" s="318"/>
      <c r="BW24" s="318">
        <f t="shared" si="32"/>
        <v>0</v>
      </c>
      <c r="BX24" s="318"/>
      <c r="BY24" s="318">
        <f t="shared" si="14"/>
        <v>0</v>
      </c>
      <c r="BZ24" s="318"/>
      <c r="CA24" s="318">
        <f t="shared" si="15"/>
        <v>0</v>
      </c>
      <c r="CB24" s="318"/>
      <c r="CC24" s="318">
        <f t="shared" si="16"/>
        <v>0</v>
      </c>
      <c r="CD24" s="318"/>
      <c r="CE24" s="318">
        <f t="shared" si="17"/>
        <v>0</v>
      </c>
      <c r="CF24" s="318"/>
      <c r="CG24" s="318">
        <f t="shared" si="18"/>
        <v>0</v>
      </c>
      <c r="CH24" s="318"/>
      <c r="CI24" s="318">
        <f t="shared" si="19"/>
        <v>0</v>
      </c>
      <c r="CJ24" s="318"/>
      <c r="CK24" s="318">
        <f t="shared" si="20"/>
        <v>0</v>
      </c>
      <c r="CL24" s="318"/>
      <c r="CM24" s="318">
        <f t="shared" si="21"/>
        <v>0</v>
      </c>
      <c r="CN24" s="318"/>
      <c r="CO24" s="318">
        <f t="shared" si="22"/>
        <v>0</v>
      </c>
      <c r="CP24" s="318"/>
      <c r="CQ24" s="318">
        <f t="shared" si="23"/>
        <v>0</v>
      </c>
      <c r="CR24" s="318"/>
      <c r="CS24" s="318" t="e">
        <f t="shared" si="24"/>
        <v>#N/A</v>
      </c>
      <c r="CT24" s="318"/>
      <c r="CU24" s="318">
        <f t="shared" si="25"/>
        <v>0</v>
      </c>
      <c r="CV24" s="318"/>
      <c r="CW24" s="318" t="e">
        <f t="shared" si="26"/>
        <v>#N/A</v>
      </c>
      <c r="CX24" s="330"/>
      <c r="CY24" s="330"/>
      <c r="CZ24" s="330"/>
      <c r="DA24" s="330"/>
      <c r="DB24" s="330"/>
      <c r="DC24" s="330"/>
      <c r="DD24" s="330"/>
      <c r="DE24" s="330"/>
      <c r="DF24" s="330"/>
      <c r="DG24" s="330"/>
      <c r="DH24" s="330"/>
      <c r="DI24" s="330"/>
      <c r="DJ24" s="330"/>
      <c r="DK24" s="330"/>
      <c r="DL24" s="330"/>
      <c r="DM24" s="330"/>
      <c r="DN24" s="330"/>
      <c r="DO24" s="330"/>
      <c r="DP24" s="330"/>
      <c r="DQ24" s="330"/>
      <c r="DR24" s="330"/>
      <c r="DS24" s="330"/>
      <c r="DT24" s="330"/>
      <c r="DU24" s="330"/>
      <c r="DV24" s="331">
        <f t="shared" si="30"/>
        <v>0</v>
      </c>
      <c r="DW24" s="130">
        <f t="shared" si="27"/>
        <v>61445.2</v>
      </c>
      <c r="DX24" s="130" t="e">
        <f t="shared" si="28"/>
        <v>#N/A</v>
      </c>
      <c r="DY24" s="147">
        <f t="shared" si="31"/>
        <v>0</v>
      </c>
      <c r="DZ24" s="298">
        <f t="shared" si="29"/>
        <v>0</v>
      </c>
      <c r="ED24" s="163"/>
    </row>
    <row r="25" spans="2:140" ht="15.75" x14ac:dyDescent="0.3">
      <c r="B25" s="332" t="s">
        <v>455</v>
      </c>
      <c r="C25" s="297" t="str">
        <f>VLOOKUP(B25,'Caratula 2023'!$B$8:$C$42,2,FALSE)</f>
        <v>INTERNO</v>
      </c>
      <c r="D25" s="326">
        <f>SUMIFS(Tabla110[[#All],[Venta Total]],Tabla110[[#All],[Asesor]],B25,Tabla110[[#All],[Fecha Cobranza]],"&lt;"&amp;$D$6,Tabla110[[#All],[Fecha Cobranza]],"&gt;="&amp;$B$6)</f>
        <v>0</v>
      </c>
      <c r="E25" s="326">
        <f>SUMIFS(Tabla110[[#All],[Venta Total]],Tabla110[[#All],[Asesor]],B25,Tabla110[[#All],[Fecha Cobranza]],"&lt;"&amp;$E$6,Tabla110[[#All],[Fecha Cobranza]],"&gt;="&amp;$D$6)</f>
        <v>0</v>
      </c>
      <c r="F25" s="326">
        <f>SUMIFS(Tabla110[[#All],[Venta Total]],Tabla110[[#All],[Asesor]],B25,Tabla110[[#All],[Fecha Cobranza]],"&lt;"&amp;$F$6,Tabla110[[#All],[Fecha Cobranza]],"&gt;="&amp;$E$6)</f>
        <v>0</v>
      </c>
      <c r="G25" s="326">
        <f>SUMIFS(Tabla110[[#All],[Venta Total]],Tabla110[[#All],[Asesor]],B25,Tabla110[[#All],[Fecha Cobranza]],"&lt;"&amp;$G$6,Tabla110[[#All],[Fecha Cobranza]],"&gt;="&amp;$F$6)</f>
        <v>0</v>
      </c>
      <c r="H25" s="326">
        <f>SUMIFS(Tabla110[[#All],[Venta Total]],Tabla110[[#All],[Asesor]],B25,Tabla110[[#All],[Fecha Cobranza]],"&lt;"&amp;$H$6,Tabla110[[#All],[Fecha Cobranza]],"&gt;="&amp;$G$6)</f>
        <v>0</v>
      </c>
      <c r="I25" s="326">
        <f>SUMIFS(Tabla110[[#All],[Venta Total]],Tabla110[[#All],[Asesor]],B25,Tabla110[[#All],[Fecha Cobranza]],"&lt;"&amp;$I$6,Tabla110[[#All],[Fecha Cobranza]],"&gt;="&amp;$H$6)</f>
        <v>0</v>
      </c>
      <c r="J25" s="326">
        <f>SUMIFS(Tabla110[[#All],[Venta Total]],Tabla110[[#All],[Asesor]],B25,Tabla110[[#All],[Fecha Cobranza]],"&lt;"&amp;$J$6,Tabla110[[#All],[Fecha Cobranza]],"&gt;="&amp;$I$6)</f>
        <v>0</v>
      </c>
      <c r="K25" s="326">
        <f>SUMIFS(Tabla110[[#All],[Venta Total]],Tabla110[[#All],[Asesor]],B25,Tabla110[[#All],[Fecha Cobranza]],"&lt;"&amp;$K$6,Tabla110[[#All],[Fecha Cobranza]],"&gt;="&amp;$J$6)</f>
        <v>0</v>
      </c>
      <c r="L25" s="326">
        <f>SUMIFS(Tabla110[[#All],[Venta Total]],Tabla110[[#All],[Asesor]],B25,Tabla110[[#All],[Fecha Cobranza]],"&lt;"&amp;$L$6,Tabla110[[#All],[Fecha Cobranza]],"&gt;="&amp;$K$6)</f>
        <v>0</v>
      </c>
      <c r="M25" s="326">
        <f>SUMIFS(Tabla110[[#All],[Venta Total]],Tabla110[[#All],[Asesor]],B25,Tabla110[[#All],[Fecha Cobranza]],"&lt;"&amp;$M$6,Tabla110[[#All],[Fecha Cobranza]],"&gt;="&amp;$L$6)</f>
        <v>0</v>
      </c>
      <c r="N25" s="326">
        <f>SUMIFS(Tabla110[[#All],[Venta Total]],Tabla110[[#All],[Asesor]],B25,Tabla110[[#All],[Fecha Cobranza]],"&lt;"&amp;$N$6,Tabla110[[#All],[Fecha Cobranza]],"&gt;="&amp;$M$6)</f>
        <v>0</v>
      </c>
      <c r="O25" s="326">
        <f>SUMIFS(Tabla110[[#All],[Venta Total]],Tabla110[[#All],[Asesor]],B25,Tabla110[[#All],[Fecha Cobranza]],"&lt;"&amp;$O$6,Tabla110[[#All],[Fecha Cobranza]],"&gt;="&amp;$N$6)</f>
        <v>0</v>
      </c>
      <c r="P25" s="326">
        <f>SUMIFS(Tabla110[[#All],[Venta Total]],Tabla110[[#All],[Asesor]],B25,Tabla110[[#All],[Fecha Cobranza]],"&lt;"&amp;$P$6,Tabla110[[#All],[Fecha Cobranza]],"&gt;="&amp;$O$6)</f>
        <v>0</v>
      </c>
      <c r="Q25" s="326">
        <f>SUMIFS(Tabla110[[#All],[Venta Total]],Tabla110[[#All],[Asesor]],B25,Tabla110[[#All],[Fecha Cobranza]],"&lt;"&amp;$Q$6,Tabla110[[#All],[Fecha Cobranza]],"&gt;="&amp;$P$6)</f>
        <v>0</v>
      </c>
      <c r="R25" s="326">
        <f>SUMIFS(Tabla110[[#All],[Venta Total]],Tabla110[[#All],[Asesor]],B25,Tabla110[[#All],[Fecha Cobranza]],"&lt;"&amp;$R$6,Tabla110[[#All],[Fecha Cobranza]],"&gt;="&amp;$Q$6)</f>
        <v>0</v>
      </c>
      <c r="S25" s="326">
        <f>SUMIFS(Tabla110[[#All],[Venta Total]],Tabla110[[#All],[Asesor]],B25,Tabla110[[#All],[Fecha Cobranza]],"&lt;"&amp;$S$6,Tabla110[[#All],[Fecha Cobranza]],"&gt;="&amp;$R$6)</f>
        <v>0</v>
      </c>
      <c r="T25" s="326">
        <f>SUMIFS(Tabla110[[#All],[Venta Total]],Tabla110[[#All],[Asesor]],$B25,Tabla110[[#All],[Fecha Cobranza]],"&lt;"&amp;T$6,Tabla110[[#All],[Fecha Cobranza]],"&gt;="&amp;S$6)</f>
        <v>0</v>
      </c>
      <c r="U25" s="326">
        <f>SUMIFS(Tabla110[[#All],[Venta Total]],Tabla110[[#All],[Asesor]],$B25,Tabla110[[#All],[Fecha Cobranza]],"&lt;"&amp;U$6,Tabla110[[#All],[Fecha Cobranza]],"&gt;="&amp;T$6)</f>
        <v>0</v>
      </c>
      <c r="V25" s="326">
        <f>SUMIFS(Tabla110[[#All],[Venta Total]],Tabla110[[#All],[Asesor]],$B25,Tabla110[[#All],[Fecha Cobranza]],"&lt;"&amp;V$6,Tabla110[[#All],[Fecha Cobranza]],"&gt;="&amp;U$6)</f>
        <v>0</v>
      </c>
      <c r="W25" s="326">
        <f>SUMIFS(Tabla110[[#All],[Venta Total]],Tabla110[[#All],[Asesor]],$B25,Tabla110[[#All],[Fecha Cobranza]],"&lt;"&amp;W$6,Tabla110[[#All],[Fecha Cobranza]],"&gt;="&amp;V$6)</f>
        <v>0</v>
      </c>
      <c r="X25" s="326">
        <f>SUMIFS(Tabla110[[#All],[Venta Total]],Tabla110[[#All],[Asesor]],$B25,Tabla110[[#All],[Fecha Cobranza]],"&lt;"&amp;X$6,Tabla110[[#All],[Fecha Cobranza]],"&gt;="&amp;W$6)</f>
        <v>0</v>
      </c>
      <c r="Y25" s="326">
        <f>SUMIFS(Tabla110[[#All],[Venta Total]],Tabla110[[#All],[Asesor]],$B25,Tabla110[[#All],[Fecha Cobranza]],"&lt;"&amp;Y$6,Tabla110[[#All],[Fecha Cobranza]],"&gt;="&amp;X$6)</f>
        <v>0</v>
      </c>
      <c r="Z25" s="326">
        <f>SUMIFS(Tabla110[[#All],[Venta Total]],Tabla110[[#All],[Asesor]],$B25,Tabla110[[#All],[Fecha Cobranza]],"&lt;"&amp;Z$6,Tabla110[[#All],[Fecha Cobranza]],"&gt;="&amp;Y$6)</f>
        <v>1481687.3719999997</v>
      </c>
      <c r="AA25" s="326">
        <f>SUMIFS(Tabla110[[#All],[Venta Total]],Tabla110[[#All],[Asesor]],$B25,Tabla110[[#All],[Fecha Cobranza]],"&lt;"&amp;AA$6,Tabla110[[#All],[Fecha Cobranza]],"&gt;="&amp;Z$6)</f>
        <v>0</v>
      </c>
      <c r="AB25" s="327">
        <f t="shared" si="0"/>
        <v>1481687.3719999997</v>
      </c>
      <c r="AC25" s="322">
        <f>SUMIFS(Tabla110[[#All],[Utilidad Bruta Total]],Tabla110[[#All],[Asesor]],B25,Tabla110[[#All],[Fecha Cobranza]],"&lt;"&amp;$AC$6,Tabla110[[#All],[Fecha Cobranza]],"&gt;="&amp;$B$6)</f>
        <v>0</v>
      </c>
      <c r="AD25" s="322">
        <f>SUMIFS(Tabla110[[#All],[Utilidad Bruta Total]],Tabla110[[#All],[Asesor]],B25,Tabla110[[#All],[Fecha Cobranza]],"&lt;"&amp;$AD$6,Tabla110[[#All],[Fecha Cobranza]],"&gt;="&amp;$AC$6)</f>
        <v>0</v>
      </c>
      <c r="AE25" s="322">
        <f>SUMIFS(Tabla110[[#All],[Utilidad Bruta Total]],Tabla110[[#All],[Asesor]],B25,Tabla110[[#All],[Fecha Cobranza]],"&lt;"&amp;$AE$6,Tabla110[[#All],[Fecha Cobranza]],"&gt;="&amp;$AD$6)</f>
        <v>0</v>
      </c>
      <c r="AF25" s="322">
        <f>SUMIFS(Tabla110[[#All],[Utilidad Bruta Total]],Tabla110[[#All],[Asesor]],B25,Tabla110[[#All],[Fecha Cobranza]],"&lt;"&amp;$AF$6,Tabla110[[#All],[Fecha Cobranza]],"&gt;="&amp;$AE$6)</f>
        <v>0</v>
      </c>
      <c r="AG25" s="322">
        <f>SUMIFS(Tabla110[[#All],[Utilidad Bruta Total]],Tabla110[[#All],[Asesor]],B25,Tabla110[[#All],[Fecha Cobranza]],"&lt;"&amp;$AG$6,Tabla110[[#All],[Fecha Cobranza]],"&gt;="&amp;$AF$6)</f>
        <v>0</v>
      </c>
      <c r="AH25" s="322">
        <f>SUMIFS(Tabla110[[#All],[Utilidad Bruta Total]],Tabla110[[#All],[Asesor]],B25,Tabla110[[#All],[Fecha Cobranza]],"&lt;"&amp;$AH$6,Tabla110[[#All],[Fecha Cobranza]],"&gt;="&amp;$AG$6)</f>
        <v>0</v>
      </c>
      <c r="AI25" s="322">
        <f>SUMIFS(Tabla110[[#All],[Utilidad Bruta Total]],Tabla110[[#All],[Asesor]],B25,Tabla110[[#All],[Fecha Cobranza]],"&lt;"&amp;$AI$6,Tabla110[[#All],[Fecha Cobranza]],"&gt;="&amp;$AH$6)</f>
        <v>0</v>
      </c>
      <c r="AJ25" s="322">
        <f>SUMIFS(Tabla110[[#All],[Utilidad Bruta Total]],Tabla110[[#All],[Asesor]],B25,Tabla110[[#All],[Fecha Cobranza]],"&lt;"&amp;$AJ$6,Tabla110[[#All],[Fecha Cobranza]],"&gt;="&amp;$AI$6)</f>
        <v>0</v>
      </c>
      <c r="AK25" s="322">
        <f>SUMIFS(Tabla110[[#All],[Utilidad Bruta Total]],Tabla110[[#All],[Asesor]],B25,Tabla110[[#All],[Fecha Cobranza]],"&lt;"&amp;$AK$6,Tabla110[[#All],[Fecha Cobranza]],"&gt;="&amp;$AJ$6)</f>
        <v>0</v>
      </c>
      <c r="AL25" s="322">
        <f>SUMIFS(Tabla110[[#All],[Utilidad Bruta Total]],Tabla110[[#All],[Asesor]],B25,Tabla110[[#All],[Fecha Cobranza]],"&lt;"&amp;$AL$6,Tabla110[[#All],[Fecha Cobranza]],"&gt;="&amp;$AK$6)</f>
        <v>0</v>
      </c>
      <c r="AM25" s="322">
        <f>SUMIFS(Tabla110[[#All],[Utilidad Bruta Total]],Tabla110[[#All],[Asesor]],B25,Tabla110[[#All],[Fecha Cobranza]],"&lt;"&amp;$AM$6,Tabla110[[#All],[Fecha Cobranza]],"&gt;="&amp;$AL$6)</f>
        <v>0</v>
      </c>
      <c r="AN25" s="322">
        <f>SUMIFS(Tabla110[[#All],[Utilidad Bruta Total]],Tabla110[[#All],[Asesor]],B25,Tabla110[[#All],[Fecha Cobranza]],"&lt;"&amp;$AN$6,Tabla110[[#All],[Fecha Cobranza]],"&gt;="&amp;$AM$6)</f>
        <v>0</v>
      </c>
      <c r="AO25" s="322">
        <f>SUMIFS(Tabla110[[#All],[Utilidad Bruta Total]],Tabla110[[#All],[Asesor]],B25,Tabla110[[#All],[Fecha Cobranza]],"&lt;"&amp;$AO$6,Tabla110[[#All],[Fecha Cobranza]],"&gt;="&amp;$AN$6)</f>
        <v>0</v>
      </c>
      <c r="AP25" s="322">
        <f>SUMIFS(Tabla110[[#All],[Utilidad Bruta Total]],Tabla110[[#All],[Asesor]],B25,Tabla110[[#All],[Fecha Cobranza]],"&lt;"&amp;$AP$6,Tabla110[[#All],[Fecha Cobranza]],"&gt;="&amp;$AO$6)</f>
        <v>0</v>
      </c>
      <c r="AQ25" s="322">
        <f>SUMIFS(Tabla110[[#All],[Utilidad Bruta Total]],Tabla110[[#All],[Asesor]],B25,Tabla110[[#All],[Fecha Cobranza]],"&lt;"&amp;$AQ$6,Tabla110[[#All],[Fecha Cobranza]],"&gt;="&amp;$AP$6)</f>
        <v>0</v>
      </c>
      <c r="AR25" s="322">
        <f>SUMIFS(Tabla110[[#All],[Utilidad Bruta Total]],Tabla110[[#All],[Asesor]],B25,Tabla110[[#All],[Fecha Cobranza]],"&lt;"&amp;$AR$6,Tabla110[[#All],[Fecha Cobranza]],"&gt;="&amp;$AQ$6)</f>
        <v>0</v>
      </c>
      <c r="AS25" s="322">
        <f>SUMIFS(Tabla110[[#All],[Utilidad Bruta Total]],Tabla110[[#All],[Asesor]],$B25,Tabla110[[#All],[Fecha Cobranza]],"&lt;"&amp;AS$6,Tabla110[[#All],[Fecha Cobranza]],"&gt;="&amp;AR$6)</f>
        <v>0</v>
      </c>
      <c r="AT25" s="322">
        <f>SUMIFS(Tabla110[[#All],[Utilidad Bruta Total]],Tabla110[[#All],[Asesor]],$B25,Tabla110[[#All],[Fecha Cobranza]],"&lt;"&amp;AT$6,Tabla110[[#All],[Fecha Cobranza]],"&gt;="&amp;AS$6)</f>
        <v>0</v>
      </c>
      <c r="AU25" s="322">
        <f>SUMIFS(Tabla110[[#All],[Utilidad Bruta Total]],Tabla110[[#All],[Asesor]],$B25,Tabla110[[#All],[Fecha Cobranza]],"&lt;"&amp;AU$6,Tabla110[[#All],[Fecha Cobranza]],"&gt;="&amp;AT$6)</f>
        <v>0</v>
      </c>
      <c r="AV25" s="322">
        <f>SUMIFS(Tabla110[[#All],[Utilidad Bruta Total]],Tabla110[[#All],[Asesor]],$B25,Tabla110[[#All],[Fecha Cobranza]],"&lt;"&amp;AV$6,Tabla110[[#All],[Fecha Cobranza]],"&gt;="&amp;AU$6)</f>
        <v>0</v>
      </c>
      <c r="AW25" s="322">
        <f>SUMIFS(Tabla110[[#All],[Utilidad Bruta Total]],Tabla110[[#All],[Asesor]],$B25,Tabla110[[#All],[Fecha Cobranza]],"&lt;"&amp;AW$6,Tabla110[[#All],[Fecha Cobranza]],"&gt;="&amp;AV$6)</f>
        <v>0</v>
      </c>
      <c r="AX25" s="322">
        <f>SUMIFS(Tabla110[[#All],[Utilidad Bruta Total]],Tabla110[[#All],[Asesor]],$B25,Tabla110[[#All],[Fecha Cobranza]],"&lt;"&amp;AX$6,Tabla110[[#All],[Fecha Cobranza]],"&gt;="&amp;AW$6)</f>
        <v>0</v>
      </c>
      <c r="AY25" s="322" t="e">
        <f>SUMIFS(Tabla110[[#All],[Utilidad Bruta Total]],Tabla110[[#All],[Asesor]],$B25,Tabla110[[#All],[Fecha Cobranza]],"&lt;"&amp;AY$6,Tabla110[[#All],[Fecha Cobranza]],"&gt;="&amp;AX$6)</f>
        <v>#N/A</v>
      </c>
      <c r="AZ25" s="322">
        <f>SUMIFS(Tabla110[[#All],[Utilidad Bruta Total]],Tabla110[[#All],[Asesor]],$B25,Tabla110[[#All],[Fecha Cobranza]],"&lt;"&amp;AZ$6,Tabla110[[#All],[Fecha Cobranza]],"&gt;="&amp;AY$6)</f>
        <v>0</v>
      </c>
      <c r="BA25" s="323" t="e">
        <f t="shared" si="1"/>
        <v>#N/A</v>
      </c>
      <c r="BB25" s="418">
        <f t="shared" si="2"/>
        <v>0</v>
      </c>
      <c r="BC25" s="318"/>
      <c r="BD25" s="318">
        <f t="shared" si="3"/>
        <v>0</v>
      </c>
      <c r="BE25" s="318"/>
      <c r="BF25" s="318">
        <f t="shared" si="4"/>
        <v>0</v>
      </c>
      <c r="BG25" s="318"/>
      <c r="BH25" s="318">
        <f t="shared" si="5"/>
        <v>0</v>
      </c>
      <c r="BI25" s="318"/>
      <c r="BJ25" s="318">
        <f t="shared" si="6"/>
        <v>0</v>
      </c>
      <c r="BK25" s="318"/>
      <c r="BL25" s="318">
        <f t="shared" si="7"/>
        <v>0</v>
      </c>
      <c r="BM25" s="318"/>
      <c r="BN25" s="318">
        <f t="shared" si="8"/>
        <v>0</v>
      </c>
      <c r="BO25" s="318"/>
      <c r="BP25" s="318">
        <f t="shared" si="9"/>
        <v>0</v>
      </c>
      <c r="BQ25" s="318"/>
      <c r="BR25" s="318">
        <f t="shared" si="10"/>
        <v>0</v>
      </c>
      <c r="BS25" s="318"/>
      <c r="BT25" s="318">
        <f t="shared" si="11"/>
        <v>0</v>
      </c>
      <c r="BU25" s="318">
        <f t="shared" si="12"/>
        <v>0</v>
      </c>
      <c r="BV25" s="318"/>
      <c r="BW25" s="318">
        <f t="shared" si="32"/>
        <v>0</v>
      </c>
      <c r="BX25" s="318"/>
      <c r="BY25" s="318">
        <f t="shared" si="14"/>
        <v>0</v>
      </c>
      <c r="BZ25" s="318"/>
      <c r="CA25" s="318">
        <f t="shared" si="15"/>
        <v>0</v>
      </c>
      <c r="CB25" s="318"/>
      <c r="CC25" s="318">
        <f t="shared" si="16"/>
        <v>0</v>
      </c>
      <c r="CD25" s="318"/>
      <c r="CE25" s="318">
        <f t="shared" si="17"/>
        <v>0</v>
      </c>
      <c r="CF25" s="318"/>
      <c r="CG25" s="318">
        <f t="shared" si="18"/>
        <v>0</v>
      </c>
      <c r="CH25" s="318"/>
      <c r="CI25" s="318">
        <f t="shared" si="19"/>
        <v>0</v>
      </c>
      <c r="CJ25" s="318"/>
      <c r="CK25" s="318">
        <f t="shared" si="20"/>
        <v>0</v>
      </c>
      <c r="CL25" s="318"/>
      <c r="CM25" s="318">
        <f t="shared" si="21"/>
        <v>0</v>
      </c>
      <c r="CN25" s="318"/>
      <c r="CO25" s="318">
        <f t="shared" si="22"/>
        <v>0</v>
      </c>
      <c r="CP25" s="318"/>
      <c r="CQ25" s="318">
        <f t="shared" si="23"/>
        <v>0</v>
      </c>
      <c r="CR25" s="318"/>
      <c r="CS25" s="318" t="e">
        <f t="shared" si="24"/>
        <v>#N/A</v>
      </c>
      <c r="CT25" s="318"/>
      <c r="CU25" s="318">
        <f t="shared" si="25"/>
        <v>0</v>
      </c>
      <c r="CV25" s="318"/>
      <c r="CW25" s="318" t="e">
        <f t="shared" si="26"/>
        <v>#N/A</v>
      </c>
      <c r="CX25" s="330"/>
      <c r="CY25" s="330"/>
      <c r="CZ25" s="330"/>
      <c r="DA25" s="330"/>
      <c r="DB25" s="330"/>
      <c r="DC25" s="330"/>
      <c r="DD25" s="330"/>
      <c r="DE25" s="330"/>
      <c r="DF25" s="330"/>
      <c r="DG25" s="330"/>
      <c r="DH25" s="330"/>
      <c r="DI25" s="330"/>
      <c r="DJ25" s="330"/>
      <c r="DK25" s="330"/>
      <c r="DL25" s="330"/>
      <c r="DM25" s="330"/>
      <c r="DN25" s="330"/>
      <c r="DO25" s="330"/>
      <c r="DP25" s="330"/>
      <c r="DQ25" s="330"/>
      <c r="DR25" s="330"/>
      <c r="DS25" s="330"/>
      <c r="DT25" s="330"/>
      <c r="DU25" s="330"/>
      <c r="DV25" s="331">
        <f t="shared" si="30"/>
        <v>0</v>
      </c>
      <c r="DW25" s="130">
        <f t="shared" si="27"/>
        <v>1481687.3719999997</v>
      </c>
      <c r="DX25" s="417" t="e">
        <f t="shared" si="28"/>
        <v>#N/A</v>
      </c>
      <c r="DY25" s="147">
        <f t="shared" si="31"/>
        <v>0</v>
      </c>
      <c r="DZ25" s="298">
        <f t="shared" si="29"/>
        <v>0</v>
      </c>
      <c r="ED25" s="163"/>
    </row>
    <row r="26" spans="2:140" ht="15.75" x14ac:dyDescent="0.3">
      <c r="B26" s="332" t="s">
        <v>459</v>
      </c>
      <c r="C26" s="297" t="str">
        <f>VLOOKUP(B26,'Caratula 2023'!$B$8:$C$42,2,FALSE)</f>
        <v>INTERNO</v>
      </c>
      <c r="D26" s="326">
        <f>SUMIFS(Tabla110[[#All],[Venta Total]],Tabla110[[#All],[Asesor]],B26,Tabla110[[#All],[Fecha Cobranza]],"&lt;"&amp;$D$6,Tabla110[[#All],[Fecha Cobranza]],"&gt;="&amp;$B$6)</f>
        <v>0</v>
      </c>
      <c r="E26" s="326">
        <f>SUMIFS(Tabla110[[#All],[Venta Total]],Tabla110[[#All],[Asesor]],B26,Tabla110[[#All],[Fecha Cobranza]],"&lt;"&amp;$E$6,Tabla110[[#All],[Fecha Cobranza]],"&gt;="&amp;$D$6)</f>
        <v>0</v>
      </c>
      <c r="F26" s="326">
        <f>SUMIFS(Tabla110[[#All],[Venta Total]],Tabla110[[#All],[Asesor]],B26,Tabla110[[#All],[Fecha Cobranza]],"&lt;"&amp;$F$6,Tabla110[[#All],[Fecha Cobranza]],"&gt;="&amp;$E$6)</f>
        <v>0</v>
      </c>
      <c r="G26" s="326">
        <f>SUMIFS(Tabla110[[#All],[Venta Total]],Tabla110[[#All],[Asesor]],B26,Tabla110[[#All],[Fecha Cobranza]],"&lt;"&amp;$G$6,Tabla110[[#All],[Fecha Cobranza]],"&gt;="&amp;$F$6)</f>
        <v>0</v>
      </c>
      <c r="H26" s="326">
        <f>SUMIFS(Tabla110[[#All],[Venta Total]],Tabla110[[#All],[Asesor]],B26,Tabla110[[#All],[Fecha Cobranza]],"&lt;"&amp;$H$6,Tabla110[[#All],[Fecha Cobranza]],"&gt;="&amp;$G$6)</f>
        <v>0</v>
      </c>
      <c r="I26" s="326">
        <f>SUMIFS(Tabla110[[#All],[Venta Total]],Tabla110[[#All],[Asesor]],B26,Tabla110[[#All],[Fecha Cobranza]],"&lt;"&amp;$I$6,Tabla110[[#All],[Fecha Cobranza]],"&gt;="&amp;$H$6)</f>
        <v>0</v>
      </c>
      <c r="J26" s="326">
        <f>SUMIFS(Tabla110[[#All],[Venta Total]],Tabla110[[#All],[Asesor]],B26,Tabla110[[#All],[Fecha Cobranza]],"&lt;"&amp;$J$6,Tabla110[[#All],[Fecha Cobranza]],"&gt;="&amp;$I$6)</f>
        <v>0</v>
      </c>
      <c r="K26" s="326">
        <f>SUMIFS(Tabla110[[#All],[Venta Total]],Tabla110[[#All],[Asesor]],B26,Tabla110[[#All],[Fecha Cobranza]],"&lt;"&amp;$K$6,Tabla110[[#All],[Fecha Cobranza]],"&gt;="&amp;$J$6)</f>
        <v>0</v>
      </c>
      <c r="L26" s="326">
        <f>SUMIFS(Tabla110[[#All],[Venta Total]],Tabla110[[#All],[Asesor]],B26,Tabla110[[#All],[Fecha Cobranza]],"&lt;"&amp;$L$6,Tabla110[[#All],[Fecha Cobranza]],"&gt;="&amp;$K$6)</f>
        <v>0</v>
      </c>
      <c r="M26" s="326">
        <f>SUMIFS(Tabla110[[#All],[Venta Total]],Tabla110[[#All],[Asesor]],B26,Tabla110[[#All],[Fecha Cobranza]],"&lt;"&amp;$M$6,Tabla110[[#All],[Fecha Cobranza]],"&gt;="&amp;$L$6)</f>
        <v>0</v>
      </c>
      <c r="N26" s="326">
        <f>SUMIFS(Tabla110[[#All],[Venta Total]],Tabla110[[#All],[Asesor]],B26,Tabla110[[#All],[Fecha Cobranza]],"&lt;"&amp;$N$6,Tabla110[[#All],[Fecha Cobranza]],"&gt;="&amp;$M$6)</f>
        <v>0</v>
      </c>
      <c r="O26" s="326">
        <f>SUMIFS(Tabla110[[#All],[Venta Total]],Tabla110[[#All],[Asesor]],B26,Tabla110[[#All],[Fecha Cobranza]],"&lt;"&amp;$O$6,Tabla110[[#All],[Fecha Cobranza]],"&gt;="&amp;$N$6)</f>
        <v>0</v>
      </c>
      <c r="P26" s="326">
        <f>SUMIFS(Tabla110[[#All],[Venta Total]],Tabla110[[#All],[Asesor]],B26,Tabla110[[#All],[Fecha Cobranza]],"&lt;"&amp;$P$6,Tabla110[[#All],[Fecha Cobranza]],"&gt;="&amp;$O$6)</f>
        <v>0</v>
      </c>
      <c r="Q26" s="326">
        <f>SUMIFS(Tabla110[[#All],[Venta Total]],Tabla110[[#All],[Asesor]],B26,Tabla110[[#All],[Fecha Cobranza]],"&lt;"&amp;$Q$6,Tabla110[[#All],[Fecha Cobranza]],"&gt;="&amp;$P$6)</f>
        <v>0</v>
      </c>
      <c r="R26" s="326">
        <f>SUMIFS(Tabla110[[#All],[Venta Total]],Tabla110[[#All],[Asesor]],B26,Tabla110[[#All],[Fecha Cobranza]],"&lt;"&amp;$R$6,Tabla110[[#All],[Fecha Cobranza]],"&gt;="&amp;$Q$6)</f>
        <v>0</v>
      </c>
      <c r="S26" s="326">
        <f>SUMIFS(Tabla110[[#All],[Venta Total]],Tabla110[[#All],[Asesor]],B26,Tabla110[[#All],[Fecha Cobranza]],"&lt;"&amp;$S$6,Tabla110[[#All],[Fecha Cobranza]],"&gt;="&amp;$R$6)</f>
        <v>0</v>
      </c>
      <c r="T26" s="326">
        <f>SUMIFS(Tabla110[[#All],[Venta Total]],Tabla110[[#All],[Asesor]],$B26,Tabla110[[#All],[Fecha Cobranza]],"&lt;"&amp;T$6,Tabla110[[#All],[Fecha Cobranza]],"&gt;="&amp;S$6)</f>
        <v>0</v>
      </c>
      <c r="U26" s="326">
        <f>SUMIFS(Tabla110[[#All],[Venta Total]],Tabla110[[#All],[Asesor]],$B26,Tabla110[[#All],[Fecha Cobranza]],"&lt;"&amp;U$6,Tabla110[[#All],[Fecha Cobranza]],"&gt;="&amp;T$6)</f>
        <v>0</v>
      </c>
      <c r="V26" s="326">
        <f>SUMIFS(Tabla110[[#All],[Venta Total]],Tabla110[[#All],[Asesor]],$B26,Tabla110[[#All],[Fecha Cobranza]],"&lt;"&amp;V$6,Tabla110[[#All],[Fecha Cobranza]],"&gt;="&amp;U$6)</f>
        <v>0</v>
      </c>
      <c r="W26" s="326">
        <f>SUMIFS(Tabla110[[#All],[Venta Total]],Tabla110[[#All],[Asesor]],$B26,Tabla110[[#All],[Fecha Cobranza]],"&lt;"&amp;W$6,Tabla110[[#All],[Fecha Cobranza]],"&gt;="&amp;V$6)</f>
        <v>0</v>
      </c>
      <c r="X26" s="326">
        <f>SUMIFS(Tabla110[[#All],[Venta Total]],Tabla110[[#All],[Asesor]],$B26,Tabla110[[#All],[Fecha Cobranza]],"&lt;"&amp;X$6,Tabla110[[#All],[Fecha Cobranza]],"&gt;="&amp;W$6)</f>
        <v>0</v>
      </c>
      <c r="Y26" s="326">
        <f>SUMIFS(Tabla110[[#All],[Venta Total]],Tabla110[[#All],[Asesor]],$B26,Tabla110[[#All],[Fecha Cobranza]],"&lt;"&amp;Y$6,Tabla110[[#All],[Fecha Cobranza]],"&gt;="&amp;X$6)</f>
        <v>0</v>
      </c>
      <c r="Z26" s="326">
        <f>SUMIFS(Tabla110[[#All],[Venta Total]],Tabla110[[#All],[Asesor]],$B26,Tabla110[[#All],[Fecha Cobranza]],"&lt;"&amp;Z$6,Tabla110[[#All],[Fecha Cobranza]],"&gt;="&amp;Y$6)</f>
        <v>0</v>
      </c>
      <c r="AA26" s="326">
        <f>SUMIFS(Tabla110[[#All],[Venta Total]],Tabla110[[#All],[Asesor]],$B26,Tabla110[[#All],[Fecha Cobranza]],"&lt;"&amp;AA$6,Tabla110[[#All],[Fecha Cobranza]],"&gt;="&amp;Z$6)</f>
        <v>0</v>
      </c>
      <c r="AB26" s="327">
        <f t="shared" si="0"/>
        <v>0</v>
      </c>
      <c r="AC26" s="322">
        <f>SUMIFS(Tabla110[[#All],[Utilidad Bruta Total]],Tabla110[[#All],[Asesor]],B26,Tabla110[[#All],[Fecha Cobranza]],"&lt;"&amp;$AC$6,Tabla110[[#All],[Fecha Cobranza]],"&gt;="&amp;$B$6)</f>
        <v>0</v>
      </c>
      <c r="AD26" s="322">
        <f>SUMIFS(Tabla110[[#All],[Utilidad Bruta Total]],Tabla110[[#All],[Asesor]],B26,Tabla110[[#All],[Fecha Cobranza]],"&lt;"&amp;$AD$6,Tabla110[[#All],[Fecha Cobranza]],"&gt;="&amp;$AC$6)</f>
        <v>0</v>
      </c>
      <c r="AE26" s="322">
        <f>SUMIFS(Tabla110[[#All],[Utilidad Bruta Total]],Tabla110[[#All],[Asesor]],B26,Tabla110[[#All],[Fecha Cobranza]],"&lt;"&amp;$AE$6,Tabla110[[#All],[Fecha Cobranza]],"&gt;="&amp;$AD$6)</f>
        <v>0</v>
      </c>
      <c r="AF26" s="322">
        <f>SUMIFS(Tabla110[[#All],[Utilidad Bruta Total]],Tabla110[[#All],[Asesor]],B26,Tabla110[[#All],[Fecha Cobranza]],"&lt;"&amp;$AF$6,Tabla110[[#All],[Fecha Cobranza]],"&gt;="&amp;$AE$6)</f>
        <v>0</v>
      </c>
      <c r="AG26" s="322">
        <f>SUMIFS(Tabla110[[#All],[Utilidad Bruta Total]],Tabla110[[#All],[Asesor]],B26,Tabla110[[#All],[Fecha Cobranza]],"&lt;"&amp;$AG$6,Tabla110[[#All],[Fecha Cobranza]],"&gt;="&amp;$AF$6)</f>
        <v>0</v>
      </c>
      <c r="AH26" s="322">
        <f>SUMIFS(Tabla110[[#All],[Utilidad Bruta Total]],Tabla110[[#All],[Asesor]],B26,Tabla110[[#All],[Fecha Cobranza]],"&lt;"&amp;$AH$6,Tabla110[[#All],[Fecha Cobranza]],"&gt;="&amp;$AG$6)</f>
        <v>0</v>
      </c>
      <c r="AI26" s="322">
        <f>SUMIFS(Tabla110[[#All],[Utilidad Bruta Total]],Tabla110[[#All],[Asesor]],B26,Tabla110[[#All],[Fecha Cobranza]],"&lt;"&amp;$AI$6,Tabla110[[#All],[Fecha Cobranza]],"&gt;="&amp;$AH$6)</f>
        <v>0</v>
      </c>
      <c r="AJ26" s="322">
        <f>SUMIFS(Tabla110[[#All],[Utilidad Bruta Total]],Tabla110[[#All],[Asesor]],B26,Tabla110[[#All],[Fecha Cobranza]],"&lt;"&amp;$AJ$6,Tabla110[[#All],[Fecha Cobranza]],"&gt;="&amp;$AI$6)</f>
        <v>0</v>
      </c>
      <c r="AK26" s="322">
        <f>SUMIFS(Tabla110[[#All],[Utilidad Bruta Total]],Tabla110[[#All],[Asesor]],B26,Tabla110[[#All],[Fecha Cobranza]],"&lt;"&amp;$AK$6,Tabla110[[#All],[Fecha Cobranza]],"&gt;="&amp;$AJ$6)</f>
        <v>0</v>
      </c>
      <c r="AL26" s="322">
        <f>SUMIFS(Tabla110[[#All],[Utilidad Bruta Total]],Tabla110[[#All],[Asesor]],B26,Tabla110[[#All],[Fecha Cobranza]],"&lt;"&amp;$AL$6,Tabla110[[#All],[Fecha Cobranza]],"&gt;="&amp;$AK$6)</f>
        <v>0</v>
      </c>
      <c r="AM26" s="322">
        <f>SUMIFS(Tabla110[[#All],[Utilidad Bruta Total]],Tabla110[[#All],[Asesor]],B26,Tabla110[[#All],[Fecha Cobranza]],"&lt;"&amp;$AM$6,Tabla110[[#All],[Fecha Cobranza]],"&gt;="&amp;$AL$6)</f>
        <v>0</v>
      </c>
      <c r="AN26" s="322">
        <f>SUMIFS(Tabla110[[#All],[Utilidad Bruta Total]],Tabla110[[#All],[Asesor]],B26,Tabla110[[#All],[Fecha Cobranza]],"&lt;"&amp;$AN$6,Tabla110[[#All],[Fecha Cobranza]],"&gt;="&amp;$AM$6)</f>
        <v>0</v>
      </c>
      <c r="AO26" s="322">
        <f>SUMIFS(Tabla110[[#All],[Utilidad Bruta Total]],Tabla110[[#All],[Asesor]],B26,Tabla110[[#All],[Fecha Cobranza]],"&lt;"&amp;$AO$6,Tabla110[[#All],[Fecha Cobranza]],"&gt;="&amp;$AN$6)</f>
        <v>0</v>
      </c>
      <c r="AP26" s="322">
        <f>SUMIFS(Tabla110[[#All],[Utilidad Bruta Total]],Tabla110[[#All],[Asesor]],B26,Tabla110[[#All],[Fecha Cobranza]],"&lt;"&amp;$AP$6,Tabla110[[#All],[Fecha Cobranza]],"&gt;="&amp;$AO$6)</f>
        <v>0</v>
      </c>
      <c r="AQ26" s="322">
        <f>SUMIFS(Tabla110[[#All],[Utilidad Bruta Total]],Tabla110[[#All],[Asesor]],B26,Tabla110[[#All],[Fecha Cobranza]],"&lt;"&amp;$AQ$6,Tabla110[[#All],[Fecha Cobranza]],"&gt;="&amp;$AP$6)</f>
        <v>0</v>
      </c>
      <c r="AR26" s="322">
        <f>SUMIFS(Tabla110[[#All],[Utilidad Bruta Total]],Tabla110[[#All],[Asesor]],B26,Tabla110[[#All],[Fecha Cobranza]],"&lt;"&amp;$AR$6,Tabla110[[#All],[Fecha Cobranza]],"&gt;="&amp;$AQ$6)</f>
        <v>0</v>
      </c>
      <c r="AS26" s="322">
        <f>SUMIFS(Tabla110[[#All],[Utilidad Bruta Total]],Tabla110[[#All],[Asesor]],$B26,Tabla110[[#All],[Fecha Cobranza]],"&lt;"&amp;AS$6,Tabla110[[#All],[Fecha Cobranza]],"&gt;="&amp;AR$6)</f>
        <v>0</v>
      </c>
      <c r="AT26" s="322">
        <f>SUMIFS(Tabla110[[#All],[Utilidad Bruta Total]],Tabla110[[#All],[Asesor]],$B26,Tabla110[[#All],[Fecha Cobranza]],"&lt;"&amp;AT$6,Tabla110[[#All],[Fecha Cobranza]],"&gt;="&amp;AS$6)</f>
        <v>0</v>
      </c>
      <c r="AU26" s="322">
        <f>SUMIFS(Tabla110[[#All],[Utilidad Bruta Total]],Tabla110[[#All],[Asesor]],$B26,Tabla110[[#All],[Fecha Cobranza]],"&lt;"&amp;AU$6,Tabla110[[#All],[Fecha Cobranza]],"&gt;="&amp;AT$6)</f>
        <v>0</v>
      </c>
      <c r="AV26" s="322">
        <f>SUMIFS(Tabla110[[#All],[Utilidad Bruta Total]],Tabla110[[#All],[Asesor]],$B26,Tabla110[[#All],[Fecha Cobranza]],"&lt;"&amp;AV$6,Tabla110[[#All],[Fecha Cobranza]],"&gt;="&amp;AU$6)</f>
        <v>0</v>
      </c>
      <c r="AW26" s="322">
        <f>SUMIFS(Tabla110[[#All],[Utilidad Bruta Total]],Tabla110[[#All],[Asesor]],$B26,Tabla110[[#All],[Fecha Cobranza]],"&lt;"&amp;AW$6,Tabla110[[#All],[Fecha Cobranza]],"&gt;="&amp;AV$6)</f>
        <v>0</v>
      </c>
      <c r="AX26" s="322">
        <f>SUMIFS(Tabla110[[#All],[Utilidad Bruta Total]],Tabla110[[#All],[Asesor]],$B26,Tabla110[[#All],[Fecha Cobranza]],"&lt;"&amp;AX$6,Tabla110[[#All],[Fecha Cobranza]],"&gt;="&amp;AW$6)</f>
        <v>0</v>
      </c>
      <c r="AY26" s="322">
        <f>SUMIFS(Tabla110[[#All],[Utilidad Bruta Total]],Tabla110[[#All],[Asesor]],$B26,Tabla110[[#All],[Fecha Cobranza]],"&lt;"&amp;AY$6,Tabla110[[#All],[Fecha Cobranza]],"&gt;="&amp;AX$6)</f>
        <v>0</v>
      </c>
      <c r="AZ26" s="322">
        <f>SUMIFS(Tabla110[[#All],[Utilidad Bruta Total]],Tabla110[[#All],[Asesor]],$B26,Tabla110[[#All],[Fecha Cobranza]],"&lt;"&amp;AZ$6,Tabla110[[#All],[Fecha Cobranza]],"&gt;="&amp;AY$6)</f>
        <v>0</v>
      </c>
      <c r="BA26" s="323">
        <f t="shared" si="1"/>
        <v>0</v>
      </c>
      <c r="BB26" s="417">
        <f t="shared" si="2"/>
        <v>0</v>
      </c>
      <c r="BC26" s="318"/>
      <c r="BD26" s="318">
        <f t="shared" si="3"/>
        <v>0</v>
      </c>
      <c r="BE26" s="318"/>
      <c r="BF26" s="318">
        <f t="shared" si="4"/>
        <v>0</v>
      </c>
      <c r="BG26" s="318"/>
      <c r="BH26" s="318">
        <f t="shared" si="5"/>
        <v>0</v>
      </c>
      <c r="BI26" s="318"/>
      <c r="BJ26" s="318">
        <f t="shared" si="6"/>
        <v>0</v>
      </c>
      <c r="BK26" s="318"/>
      <c r="BL26" s="318">
        <f t="shared" si="7"/>
        <v>0</v>
      </c>
      <c r="BM26" s="318"/>
      <c r="BN26" s="318">
        <f t="shared" si="8"/>
        <v>0</v>
      </c>
      <c r="BO26" s="318"/>
      <c r="BP26" s="318">
        <f t="shared" si="9"/>
        <v>0</v>
      </c>
      <c r="BQ26" s="318"/>
      <c r="BR26" s="318">
        <f t="shared" si="10"/>
        <v>0</v>
      </c>
      <c r="BS26" s="318"/>
      <c r="BT26" s="318">
        <f t="shared" si="11"/>
        <v>0</v>
      </c>
      <c r="BU26" s="420">
        <f t="shared" si="12"/>
        <v>0</v>
      </c>
      <c r="BV26" s="318"/>
      <c r="BW26" s="420">
        <f t="shared" si="32"/>
        <v>0</v>
      </c>
      <c r="BX26" s="318"/>
      <c r="BY26" s="318">
        <f t="shared" si="14"/>
        <v>0</v>
      </c>
      <c r="BZ26" s="318"/>
      <c r="CA26" s="318">
        <f t="shared" si="15"/>
        <v>0</v>
      </c>
      <c r="CB26" s="318"/>
      <c r="CC26" s="318">
        <f t="shared" si="16"/>
        <v>0</v>
      </c>
      <c r="CD26" s="318"/>
      <c r="CE26" s="318">
        <f t="shared" si="17"/>
        <v>0</v>
      </c>
      <c r="CF26" s="318"/>
      <c r="CG26" s="318">
        <f t="shared" si="18"/>
        <v>0</v>
      </c>
      <c r="CH26" s="318"/>
      <c r="CI26" s="318">
        <f t="shared" si="19"/>
        <v>0</v>
      </c>
      <c r="CJ26" s="318"/>
      <c r="CK26" s="318">
        <f t="shared" si="20"/>
        <v>0</v>
      </c>
      <c r="CL26" s="318"/>
      <c r="CM26" s="318">
        <f t="shared" si="21"/>
        <v>0</v>
      </c>
      <c r="CN26" s="318"/>
      <c r="CO26" s="318">
        <f t="shared" si="22"/>
        <v>0</v>
      </c>
      <c r="CP26" s="318"/>
      <c r="CQ26" s="318">
        <f t="shared" si="23"/>
        <v>0</v>
      </c>
      <c r="CR26" s="318"/>
      <c r="CS26" s="318">
        <f t="shared" si="24"/>
        <v>0</v>
      </c>
      <c r="CT26" s="318"/>
      <c r="CU26" s="318">
        <f t="shared" si="25"/>
        <v>0</v>
      </c>
      <c r="CV26" s="318"/>
      <c r="CW26" s="318">
        <f t="shared" si="26"/>
        <v>0</v>
      </c>
      <c r="CX26" s="330"/>
      <c r="CY26" s="330"/>
      <c r="CZ26" s="330"/>
      <c r="DA26" s="330"/>
      <c r="DB26" s="330"/>
      <c r="DC26" s="330"/>
      <c r="DD26" s="330"/>
      <c r="DE26" s="330"/>
      <c r="DF26" s="330"/>
      <c r="DG26" s="330"/>
      <c r="DH26" s="330"/>
      <c r="DI26" s="330"/>
      <c r="DJ26" s="330"/>
      <c r="DK26" s="330"/>
      <c r="DL26" s="330"/>
      <c r="DM26" s="330"/>
      <c r="DN26" s="330"/>
      <c r="DO26" s="330"/>
      <c r="DP26" s="330"/>
      <c r="DQ26" s="330"/>
      <c r="DR26" s="330"/>
      <c r="DS26" s="330"/>
      <c r="DT26" s="330"/>
      <c r="DU26" s="330"/>
      <c r="DV26" s="331">
        <f t="shared" si="30"/>
        <v>0</v>
      </c>
      <c r="DW26" s="130">
        <f t="shared" si="27"/>
        <v>0</v>
      </c>
      <c r="DX26" s="130">
        <f t="shared" si="28"/>
        <v>0</v>
      </c>
      <c r="DY26" s="147">
        <f t="shared" si="31"/>
        <v>0</v>
      </c>
      <c r="DZ26" s="298">
        <f t="shared" si="29"/>
        <v>0</v>
      </c>
      <c r="ED26" s="163"/>
    </row>
    <row r="27" spans="2:140" ht="15.75" x14ac:dyDescent="0.3">
      <c r="B27" s="382" t="s">
        <v>346</v>
      </c>
      <c r="C27" s="297" t="s">
        <v>485</v>
      </c>
      <c r="D27" s="326">
        <f>SUMIFS(Tabla110[[#All],[Venta Total]],Tabla110[[#All],[Asesor]],B27,Tabla110[[#All],[Fecha Cobranza]],"&lt;"&amp;$D$6,Tabla110[[#All],[Fecha Cobranza]],"&gt;="&amp;$B$6)</f>
        <v>0</v>
      </c>
      <c r="E27" s="326">
        <f>SUMIFS(Tabla110[[#All],[Venta Total]],Tabla110[[#All],[Asesor]],B27,Tabla110[[#All],[Fecha Cobranza]],"&lt;"&amp;$E$6,Tabla110[[#All],[Fecha Cobranza]],"&gt;="&amp;$D$6)</f>
        <v>0</v>
      </c>
      <c r="F27" s="326">
        <f>SUMIFS(Tabla110[[#All],[Venta Total]],Tabla110[[#All],[Asesor]],B27,Tabla110[[#All],[Fecha Cobranza]],"&lt;"&amp;$F$6,Tabla110[[#All],[Fecha Cobranza]],"&gt;="&amp;$E$6)</f>
        <v>0</v>
      </c>
      <c r="G27" s="326">
        <f>SUMIFS(Tabla110[[#All],[Venta Total]],Tabla110[[#All],[Asesor]],B27,Tabla110[[#All],[Fecha Cobranza]],"&lt;"&amp;$G$6,Tabla110[[#All],[Fecha Cobranza]],"&gt;="&amp;$F$6)</f>
        <v>0</v>
      </c>
      <c r="H27" s="326">
        <f>SUMIFS(Tabla110[[#All],[Venta Total]],Tabla110[[#All],[Asesor]],B27,Tabla110[[#All],[Fecha Cobranza]],"&lt;"&amp;$H$6,Tabla110[[#All],[Fecha Cobranza]],"&gt;="&amp;$G$6)</f>
        <v>0</v>
      </c>
      <c r="I27" s="326">
        <f>SUMIFS(Tabla110[[#All],[Venta Total]],Tabla110[[#All],[Asesor]],B27,Tabla110[[#All],[Fecha Cobranza]],"&lt;"&amp;$I$6,Tabla110[[#All],[Fecha Cobranza]],"&gt;="&amp;$H$6)</f>
        <v>0</v>
      </c>
      <c r="J27" s="326">
        <f>SUMIFS(Tabla110[[#All],[Venta Total]],Tabla110[[#All],[Asesor]],B27,Tabla110[[#All],[Fecha Cobranza]],"&lt;"&amp;$J$6,Tabla110[[#All],[Fecha Cobranza]],"&gt;="&amp;$I$6)</f>
        <v>0</v>
      </c>
      <c r="K27" s="326">
        <f>SUMIFS(Tabla110[[#All],[Venta Total]],Tabla110[[#All],[Asesor]],B27,Tabla110[[#All],[Fecha Cobranza]],"&lt;"&amp;$K$6,Tabla110[[#All],[Fecha Cobranza]],"&gt;="&amp;$J$6)</f>
        <v>0</v>
      </c>
      <c r="L27" s="326">
        <f>SUMIFS(Tabla110[[#All],[Venta Total]],Tabla110[[#All],[Asesor]],B27,Tabla110[[#All],[Fecha Cobranza]],"&lt;"&amp;$L$6,Tabla110[[#All],[Fecha Cobranza]],"&gt;="&amp;$K$6)</f>
        <v>0</v>
      </c>
      <c r="M27" s="326">
        <f>SUMIFS(Tabla110[[#All],[Venta Total]],Tabla110[[#All],[Asesor]],B27,Tabla110[[#All],[Fecha Cobranza]],"&lt;"&amp;$M$6,Tabla110[[#All],[Fecha Cobranza]],"&gt;="&amp;$L$6)</f>
        <v>0</v>
      </c>
      <c r="N27" s="326">
        <f>SUMIFS(Tabla110[[#All],[Venta Total]],Tabla110[[#All],[Asesor]],B27,Tabla110[[#All],[Fecha Cobranza]],"&lt;"&amp;$N$6,Tabla110[[#All],[Fecha Cobranza]],"&gt;="&amp;$M$6)</f>
        <v>0</v>
      </c>
      <c r="O27" s="326">
        <f>SUMIFS(Tabla110[[#All],[Venta Total]],Tabla110[[#All],[Asesor]],B27,Tabla110[[#All],[Fecha Cobranza]],"&lt;"&amp;$O$6,Tabla110[[#All],[Fecha Cobranza]],"&gt;="&amp;$N$6)</f>
        <v>0</v>
      </c>
      <c r="P27" s="326">
        <f>SUMIFS(Tabla110[[#All],[Venta Total]],Tabla110[[#All],[Asesor]],B27,Tabla110[[#All],[Fecha Cobranza]],"&lt;"&amp;$P$6,Tabla110[[#All],[Fecha Cobranza]],"&gt;="&amp;$O$6)</f>
        <v>0</v>
      </c>
      <c r="Q27" s="326">
        <f>SUMIFS(Tabla110[[#All],[Venta Total]],Tabla110[[#All],[Asesor]],B27,Tabla110[[#All],[Fecha Cobranza]],"&lt;"&amp;$Q$6,Tabla110[[#All],[Fecha Cobranza]],"&gt;="&amp;$P$6)</f>
        <v>0</v>
      </c>
      <c r="R27" s="326">
        <f>SUMIFS(Tabla110[[#All],[Venta Total]],Tabla110[[#All],[Asesor]],B27,Tabla110[[#All],[Fecha Cobranza]],"&lt;"&amp;$R$6,Tabla110[[#All],[Fecha Cobranza]],"&gt;="&amp;$Q$6)</f>
        <v>0</v>
      </c>
      <c r="S27" s="326">
        <f>SUMIFS(Tabla110[[#All],[Venta Total]],Tabla110[[#All],[Asesor]],B27,Tabla110[[#All],[Fecha Cobranza]],"&lt;"&amp;$S$6,Tabla110[[#All],[Fecha Cobranza]],"&gt;="&amp;$R$6)</f>
        <v>0</v>
      </c>
      <c r="T27" s="326">
        <f>SUMIFS(Tabla110[[#All],[Venta Total]],Tabla110[[#All],[Asesor]],$B27,Tabla110[[#All],[Fecha Cobranza]],"&lt;"&amp;T$6,Tabla110[[#All],[Fecha Cobranza]],"&gt;="&amp;S$6)</f>
        <v>0</v>
      </c>
      <c r="U27" s="326">
        <f>SUMIFS(Tabla110[[#All],[Venta Total]],Tabla110[[#All],[Asesor]],$B27,Tabla110[[#All],[Fecha Cobranza]],"&lt;"&amp;U$6,Tabla110[[#All],[Fecha Cobranza]],"&gt;="&amp;T$6)</f>
        <v>0</v>
      </c>
      <c r="V27" s="326">
        <f>SUMIFS(Tabla110[[#All],[Venta Total]],Tabla110[[#All],[Asesor]],$B27,Tabla110[[#All],[Fecha Cobranza]],"&lt;"&amp;V$6,Tabla110[[#All],[Fecha Cobranza]],"&gt;="&amp;U$6)</f>
        <v>0</v>
      </c>
      <c r="W27" s="326">
        <f>SUMIFS(Tabla110[[#All],[Venta Total]],Tabla110[[#All],[Asesor]],$B27,Tabla110[[#All],[Fecha Cobranza]],"&lt;"&amp;W$6,Tabla110[[#All],[Fecha Cobranza]],"&gt;="&amp;V$6)</f>
        <v>0</v>
      </c>
      <c r="X27" s="326">
        <f>SUMIFS(Tabla110[[#All],[Venta Total]],Tabla110[[#All],[Asesor]],$B27,Tabla110[[#All],[Fecha Cobranza]],"&lt;"&amp;X$6,Tabla110[[#All],[Fecha Cobranza]],"&gt;="&amp;W$6)</f>
        <v>0</v>
      </c>
      <c r="Y27" s="326">
        <f>SUMIFS(Tabla110[[#All],[Venta Total]],Tabla110[[#All],[Asesor]],$B27,Tabla110[[#All],[Fecha Cobranza]],"&lt;"&amp;Y$6,Tabla110[[#All],[Fecha Cobranza]],"&gt;="&amp;X$6)</f>
        <v>0</v>
      </c>
      <c r="Z27" s="326">
        <f>SUMIFS(Tabla110[[#All],[Venta Total]],Tabla110[[#All],[Asesor]],$B27,Tabla110[[#All],[Fecha Cobranza]],"&lt;"&amp;Z$6,Tabla110[[#All],[Fecha Cobranza]],"&gt;="&amp;Y$6)</f>
        <v>0</v>
      </c>
      <c r="AA27" s="326">
        <f>SUMIFS(Tabla110[[#All],[Venta Total]],Tabla110[[#All],[Asesor]],$B27,Tabla110[[#All],[Fecha Cobranza]],"&lt;"&amp;AA$6,Tabla110[[#All],[Fecha Cobranza]],"&gt;="&amp;Z$6)</f>
        <v>0</v>
      </c>
      <c r="AB27" s="327">
        <f t="shared" si="0"/>
        <v>0</v>
      </c>
      <c r="AC27" s="322">
        <f>SUMIFS(Tabla110[[#All],[Utilidad Bruta Total]],Tabla110[[#All],[Asesor]],B27,Tabla110[[#All],[Fecha Cobranza]],"&lt;"&amp;$AC$6,Tabla110[[#All],[Fecha Cobranza]],"&gt;="&amp;$B$6)</f>
        <v>0</v>
      </c>
      <c r="AD27" s="322">
        <f>SUMIFS(Tabla110[[#All],[Utilidad Bruta Total]],Tabla110[[#All],[Asesor]],B27,Tabla110[[#All],[Fecha Cobranza]],"&lt;"&amp;$AD$6,Tabla110[[#All],[Fecha Cobranza]],"&gt;="&amp;$AC$6)</f>
        <v>0</v>
      </c>
      <c r="AE27" s="322">
        <f>SUMIFS(Tabla110[[#All],[Utilidad Bruta Total]],Tabla110[[#All],[Asesor]],B27,Tabla110[[#All],[Fecha Cobranza]],"&lt;"&amp;$AE$6,Tabla110[[#All],[Fecha Cobranza]],"&gt;="&amp;$AD$6)</f>
        <v>0</v>
      </c>
      <c r="AF27" s="322">
        <f>SUMIFS(Tabla110[[#All],[Utilidad Bruta Total]],Tabla110[[#All],[Asesor]],B27,Tabla110[[#All],[Fecha Cobranza]],"&lt;"&amp;$AF$6,Tabla110[[#All],[Fecha Cobranza]],"&gt;="&amp;$AE$6)</f>
        <v>0</v>
      </c>
      <c r="AG27" s="322">
        <f>SUMIFS(Tabla110[[#All],[Utilidad Bruta Total]],Tabla110[[#All],[Asesor]],B27,Tabla110[[#All],[Fecha Cobranza]],"&lt;"&amp;$AG$6,Tabla110[[#All],[Fecha Cobranza]],"&gt;="&amp;$AF$6)</f>
        <v>0</v>
      </c>
      <c r="AH27" s="322">
        <f>SUMIFS(Tabla110[[#All],[Utilidad Bruta Total]],Tabla110[[#All],[Asesor]],B27,Tabla110[[#All],[Fecha Cobranza]],"&lt;"&amp;$AH$6,Tabla110[[#All],[Fecha Cobranza]],"&gt;="&amp;$AG$6)</f>
        <v>0</v>
      </c>
      <c r="AI27" s="322">
        <f>SUMIFS(Tabla110[[#All],[Utilidad Bruta Total]],Tabla110[[#All],[Asesor]],B27,Tabla110[[#All],[Fecha Cobranza]],"&lt;"&amp;$AI$6,Tabla110[[#All],[Fecha Cobranza]],"&gt;="&amp;$AH$6)</f>
        <v>0</v>
      </c>
      <c r="AJ27" s="322">
        <f>SUMIFS(Tabla110[[#All],[Utilidad Bruta Total]],Tabla110[[#All],[Asesor]],B27,Tabla110[[#All],[Fecha Cobranza]],"&lt;"&amp;$AJ$6,Tabla110[[#All],[Fecha Cobranza]],"&gt;="&amp;$AI$6)</f>
        <v>0</v>
      </c>
      <c r="AK27" s="322">
        <f>SUMIFS(Tabla110[[#All],[Utilidad Bruta Total]],Tabla110[[#All],[Asesor]],B27,Tabla110[[#All],[Fecha Cobranza]],"&lt;"&amp;$AK$6,Tabla110[[#All],[Fecha Cobranza]],"&gt;="&amp;$AJ$6)</f>
        <v>0</v>
      </c>
      <c r="AL27" s="322">
        <f>SUMIFS(Tabla110[[#All],[Utilidad Bruta Total]],Tabla110[[#All],[Asesor]],B27,Tabla110[[#All],[Fecha Cobranza]],"&lt;"&amp;$AL$6,Tabla110[[#All],[Fecha Cobranza]],"&gt;="&amp;$AK$6)</f>
        <v>0</v>
      </c>
      <c r="AM27" s="322">
        <f>SUMIFS(Tabla110[[#All],[Utilidad Bruta Total]],Tabla110[[#All],[Asesor]],B27,Tabla110[[#All],[Fecha Cobranza]],"&lt;"&amp;$AM$6,Tabla110[[#All],[Fecha Cobranza]],"&gt;="&amp;$AL$6)</f>
        <v>0</v>
      </c>
      <c r="AN27" s="322">
        <f>SUMIFS(Tabla110[[#All],[Utilidad Bruta Total]],Tabla110[[#All],[Asesor]],B27,Tabla110[[#All],[Fecha Cobranza]],"&lt;"&amp;$AN$6,Tabla110[[#All],[Fecha Cobranza]],"&gt;="&amp;$AM$6)</f>
        <v>0</v>
      </c>
      <c r="AO27" s="322">
        <f>SUMIFS(Tabla110[[#All],[Utilidad Bruta Total]],Tabla110[[#All],[Asesor]],B27,Tabla110[[#All],[Fecha Cobranza]],"&lt;"&amp;$AO$6,Tabla110[[#All],[Fecha Cobranza]],"&gt;="&amp;$AN$6)</f>
        <v>0</v>
      </c>
      <c r="AP27" s="322">
        <f>SUMIFS(Tabla110[[#All],[Utilidad Bruta Total]],Tabla110[[#All],[Asesor]],B27,Tabla110[[#All],[Fecha Cobranza]],"&lt;"&amp;$AP$6,Tabla110[[#All],[Fecha Cobranza]],"&gt;="&amp;$AO$6)</f>
        <v>0</v>
      </c>
      <c r="AQ27" s="322">
        <f>SUMIFS(Tabla110[[#All],[Utilidad Bruta Total]],Tabla110[[#All],[Asesor]],B27,Tabla110[[#All],[Fecha Cobranza]],"&lt;"&amp;$AQ$6,Tabla110[[#All],[Fecha Cobranza]],"&gt;="&amp;$AP$6)</f>
        <v>0</v>
      </c>
      <c r="AR27" s="322">
        <f>SUMIFS(Tabla110[[#All],[Utilidad Bruta Total]],Tabla110[[#All],[Asesor]],B27,Tabla110[[#All],[Fecha Cobranza]],"&lt;"&amp;$AR$6,Tabla110[[#All],[Fecha Cobranza]],"&gt;="&amp;$AQ$6)</f>
        <v>0</v>
      </c>
      <c r="AS27" s="322">
        <f>SUMIFS(Tabla110[[#All],[Utilidad Bruta Total]],Tabla110[[#All],[Asesor]],$B27,Tabla110[[#All],[Fecha Cobranza]],"&lt;"&amp;AS$6,Tabla110[[#All],[Fecha Cobranza]],"&gt;="&amp;AR$6)</f>
        <v>0</v>
      </c>
      <c r="AT27" s="322">
        <f>SUMIFS(Tabla110[[#All],[Utilidad Bruta Total]],Tabla110[[#All],[Asesor]],$B27,Tabla110[[#All],[Fecha Cobranza]],"&lt;"&amp;AT$6,Tabla110[[#All],[Fecha Cobranza]],"&gt;="&amp;AS$6)</f>
        <v>0</v>
      </c>
      <c r="AU27" s="322">
        <f>SUMIFS(Tabla110[[#All],[Utilidad Bruta Total]],Tabla110[[#All],[Asesor]],$B27,Tabla110[[#All],[Fecha Cobranza]],"&lt;"&amp;AU$6,Tabla110[[#All],[Fecha Cobranza]],"&gt;="&amp;AT$6)</f>
        <v>0</v>
      </c>
      <c r="AV27" s="322">
        <f>SUMIFS(Tabla110[[#All],[Utilidad Bruta Total]],Tabla110[[#All],[Asesor]],$B27,Tabla110[[#All],[Fecha Cobranza]],"&lt;"&amp;AV$6,Tabla110[[#All],[Fecha Cobranza]],"&gt;="&amp;AU$6)</f>
        <v>0</v>
      </c>
      <c r="AW27" s="322">
        <f>SUMIFS(Tabla110[[#All],[Utilidad Bruta Total]],Tabla110[[#All],[Asesor]],$B27,Tabla110[[#All],[Fecha Cobranza]],"&lt;"&amp;AW$6,Tabla110[[#All],[Fecha Cobranza]],"&gt;="&amp;AV$6)</f>
        <v>0</v>
      </c>
      <c r="AX27" s="322">
        <f>SUMIFS(Tabla110[[#All],[Utilidad Bruta Total]],Tabla110[[#All],[Asesor]],$B27,Tabla110[[#All],[Fecha Cobranza]],"&lt;"&amp;AX$6,Tabla110[[#All],[Fecha Cobranza]],"&gt;="&amp;AW$6)</f>
        <v>0</v>
      </c>
      <c r="AY27" s="322">
        <f>SUMIFS(Tabla110[[#All],[Utilidad Bruta Total]],Tabla110[[#All],[Asesor]],$B27,Tabla110[[#All],[Fecha Cobranza]],"&lt;"&amp;AY$6,Tabla110[[#All],[Fecha Cobranza]],"&gt;="&amp;AX$6)</f>
        <v>0</v>
      </c>
      <c r="AZ27" s="322">
        <f>SUMIFS(Tabla110[[#All],[Utilidad Bruta Total]],Tabla110[[#All],[Asesor]],$B27,Tabla110[[#All],[Fecha Cobranza]],"&lt;"&amp;AZ$6,Tabla110[[#All],[Fecha Cobranza]],"&gt;="&amp;AY$6)</f>
        <v>0</v>
      </c>
      <c r="BA27" s="323">
        <f t="shared" si="1"/>
        <v>0</v>
      </c>
      <c r="BB27" s="318">
        <f t="shared" si="2"/>
        <v>0</v>
      </c>
      <c r="BC27" s="318"/>
      <c r="BD27" s="318">
        <f t="shared" si="3"/>
        <v>0</v>
      </c>
      <c r="BE27" s="318"/>
      <c r="BF27" s="318">
        <f t="shared" si="4"/>
        <v>0</v>
      </c>
      <c r="BG27" s="318"/>
      <c r="BH27" s="318">
        <f t="shared" si="5"/>
        <v>0</v>
      </c>
      <c r="BI27" s="318"/>
      <c r="BJ27" s="318">
        <f t="shared" si="6"/>
        <v>0</v>
      </c>
      <c r="BK27" s="318"/>
      <c r="BL27" s="318">
        <f t="shared" si="7"/>
        <v>0</v>
      </c>
      <c r="BM27" s="318"/>
      <c r="BN27" s="318">
        <f t="shared" si="8"/>
        <v>0</v>
      </c>
      <c r="BO27" s="318"/>
      <c r="BP27" s="318">
        <f t="shared" si="9"/>
        <v>0</v>
      </c>
      <c r="BQ27" s="318"/>
      <c r="BR27" s="318">
        <f t="shared" si="10"/>
        <v>0</v>
      </c>
      <c r="BS27" s="318"/>
      <c r="BT27" s="318"/>
      <c r="BU27" s="318"/>
      <c r="BV27" s="318"/>
      <c r="BW27" s="318">
        <f t="shared" si="32"/>
        <v>0</v>
      </c>
      <c r="BX27" s="318"/>
      <c r="BY27" s="318">
        <f t="shared" si="14"/>
        <v>0</v>
      </c>
      <c r="BZ27" s="318"/>
      <c r="CA27" s="318">
        <f t="shared" si="15"/>
        <v>0</v>
      </c>
      <c r="CB27" s="318"/>
      <c r="CC27" s="318">
        <f t="shared" si="16"/>
        <v>0</v>
      </c>
      <c r="CD27" s="318"/>
      <c r="CE27" s="318">
        <f t="shared" si="17"/>
        <v>0</v>
      </c>
      <c r="CF27" s="318"/>
      <c r="CG27" s="318">
        <f t="shared" si="18"/>
        <v>0</v>
      </c>
      <c r="CH27" s="318"/>
      <c r="CI27" s="318">
        <f t="shared" si="19"/>
        <v>0</v>
      </c>
      <c r="CJ27" s="318"/>
      <c r="CK27" s="318">
        <f t="shared" si="20"/>
        <v>0</v>
      </c>
      <c r="CL27" s="318"/>
      <c r="CM27" s="318">
        <f t="shared" si="21"/>
        <v>0</v>
      </c>
      <c r="CN27" s="318"/>
      <c r="CO27" s="318">
        <f t="shared" si="22"/>
        <v>0</v>
      </c>
      <c r="CP27" s="318"/>
      <c r="CQ27" s="318">
        <f t="shared" si="23"/>
        <v>0</v>
      </c>
      <c r="CR27" s="318"/>
      <c r="CS27" s="318">
        <f t="shared" si="24"/>
        <v>0</v>
      </c>
      <c r="CT27" s="318"/>
      <c r="CU27" s="318">
        <f t="shared" si="25"/>
        <v>0</v>
      </c>
      <c r="CV27" s="318"/>
      <c r="CW27" s="318">
        <f t="shared" si="26"/>
        <v>0</v>
      </c>
      <c r="CX27" s="330"/>
      <c r="CY27" s="330"/>
      <c r="CZ27" s="330"/>
      <c r="DA27" s="330"/>
      <c r="DB27" s="330"/>
      <c r="DC27" s="330"/>
      <c r="DD27" s="330"/>
      <c r="DE27" s="330"/>
      <c r="DF27" s="330"/>
      <c r="DG27" s="330"/>
      <c r="DH27" s="330"/>
      <c r="DI27" s="330"/>
      <c r="DJ27" s="330"/>
      <c r="DK27" s="330"/>
      <c r="DL27" s="330"/>
      <c r="DM27" s="330"/>
      <c r="DN27" s="330"/>
      <c r="DO27" s="330"/>
      <c r="DP27" s="330"/>
      <c r="DQ27" s="330"/>
      <c r="DR27" s="330"/>
      <c r="DS27" s="330"/>
      <c r="DT27" s="330"/>
      <c r="DU27" s="330"/>
      <c r="DV27" s="331">
        <f t="shared" si="30"/>
        <v>0</v>
      </c>
      <c r="DW27" s="130">
        <f t="shared" si="27"/>
        <v>0</v>
      </c>
      <c r="DX27" s="130">
        <f t="shared" si="28"/>
        <v>0</v>
      </c>
      <c r="DY27" s="147">
        <f t="shared" si="31"/>
        <v>0</v>
      </c>
      <c r="DZ27" s="298">
        <f t="shared" si="29"/>
        <v>0</v>
      </c>
    </row>
    <row r="28" spans="2:140" ht="15.75" x14ac:dyDescent="0.3">
      <c r="B28" s="382" t="s">
        <v>377</v>
      </c>
      <c r="C28" s="332" t="e">
        <f>VLOOKUP(B28,'Caratula 2023'!$B$8:$C$42,2,FALSE)</f>
        <v>#N/A</v>
      </c>
      <c r="D28" s="326">
        <f>SUMIFS(Tabla4[[#All],[Total]],Tabla4[[#All],[Asesor]],B15,Tabla4[[#All],[Fecha Cobranza]],"&lt;"&amp;$D$6,Tabla4[[#All],[Fecha Cobranza]],"&gt;="&amp;$B$6)</f>
        <v>2934898.2748229997</v>
      </c>
      <c r="E28" s="326">
        <f>SUMIFS(Tabla4[[#All],[Total]],Tabla4[[#All],[Asesor]],B15,Tabla4[[#All],[Fecha Cobranza]],"&lt;"&amp;$E$6,Tabla4[[#All],[Fecha Cobranza]],"&gt;="&amp;$D$6)</f>
        <v>2069073.1299667994</v>
      </c>
      <c r="F28" s="326">
        <f>SUMIFS(Tabla4[[#All],[Total]],Tabla4[[#All],[Asesor]],B15,Tabla4[[#All],[Fecha Cobranza]],"&lt;"&amp;$F$6,Tabla4[[#All],[Fecha Cobranza]],"&gt;="&amp;$E$6)</f>
        <v>2666159.7343211998</v>
      </c>
      <c r="G28" s="326">
        <f>SUMIFS(Tabla4[[#All],[Total]],Tabla4[[#All],[Asesor]],B15,Tabla4[[#All],[Fecha Cobranza]],"&lt;"&amp;$G$6,Tabla4[[#All],[Fecha Cobranza]],"&gt;="&amp;$F$6)</f>
        <v>4274952.636409808</v>
      </c>
      <c r="H28" s="326">
        <f>SUMIFS(Tabla4[[#All],[Total]],Tabla4[[#All],[Asesor]],B15,Tabla4[[#All],[Fecha Cobranza]],"&lt;"&amp;$H$6,Tabla4[[#All],[Fecha Cobranza]],"&gt;="&amp;$G$6)</f>
        <v>4475445.2522834074</v>
      </c>
      <c r="I28" s="326">
        <f>SUMIFS(Tabla4[[#All],[Total]],Tabla4[[#All],[Asesor]],B15,Tabla4[[#All],[Fecha Cobranza]],"&lt;"&amp;$I$6,Tabla4[[#All],[Fecha Cobranza]],"&gt;="&amp;$H$6)</f>
        <v>4488180.5426884042</v>
      </c>
      <c r="J28" s="326">
        <f>SUMIFS(Tabla4[[#All],[Total]],Tabla4[[#All],[Asesor]],B15,Tabla4[[#All],[Fecha Cobranza]],"&lt;"&amp;$J$6,Tabla4[[#All],[Fecha Cobranza]],"&gt;="&amp;$I$6)</f>
        <v>4235462.6913164016</v>
      </c>
      <c r="K28" s="326">
        <f>SUMIFS(Tabla4[[#All],[Total]],Tabla4[[#All],[Asesor]],B15,Tabla4[[#All],[Fecha Cobranza]],"&lt;"&amp;$K$6,Tabla4[[#All],[Fecha Cobranza]],"&gt;="&amp;$J$6)</f>
        <v>3938212.1486220038</v>
      </c>
      <c r="L28" s="326">
        <f>SUMIFS(Tabla4[[#All],[Total]],Tabla4[[#All],[Asesor]],B15,Tabla4[[#All],[Fecha Cobranza]],"&lt;"&amp;$L$6,Tabla4[[#All],[Fecha Cobranza]],"&gt;="&amp;$K$6)</f>
        <v>4424441.7948644022</v>
      </c>
      <c r="M28" s="326">
        <f>SUMIFS(Tabla4[[#All],[Total]],Tabla4[[#All],[Asesor]],B15,Tabla4[[#All],[Fecha Cobranza]],"&lt;"&amp;$M$6,Tabla4[[#All],[Fecha Cobranza]],"&gt;="&amp;$L$6)</f>
        <v>2391639.8590488005</v>
      </c>
      <c r="N28" s="326">
        <f>SUMIFS(Tabla4[[#All],[Total]],Tabla4[[#All],[Asesor]],B15,Tabla4[[#All],[Fecha Cobranza]],"&lt;"&amp;$N$6,Tabla4[[#All],[Fecha Cobranza]],"&gt;="&amp;$M$6)</f>
        <v>3374105.4452352058</v>
      </c>
      <c r="O28" s="326">
        <f>SUMIFS(Tabla4[[#All],[Total]],Tabla4[[#All],[Asesor]],B15,Tabla4[[#All],[Fecha Cobranza]],"&lt;"&amp;$O$6,Tabla4[[#All],[Fecha Cobranza]],"&gt;="&amp;$N$6)</f>
        <v>4996635.3927385993</v>
      </c>
      <c r="P28" s="326">
        <f>SUMIFS(Tabla4[[#All],[Total]],Tabla4[[#All],[Asesor]],B15,Tabla4[[#All],[Fecha Cobranza]],"&lt;"&amp;$P$6,Tabla4[[#All],[Fecha Cobranza]],"&gt;="&amp;$O$6)</f>
        <v>4585658.1260040002</v>
      </c>
      <c r="Q28" s="326">
        <f>SUMIFS(Tabla4[[#All],[Total]],Tabla4[[#All],[Asesor]],B15,Tabla4[[#All],[Fecha Cobranza]],"&lt;"&amp;$Q$6,Tabla4[[#All],[Fecha Cobranza]],"&gt;="&amp;$P$6)</f>
        <v>3448532.4811527985</v>
      </c>
      <c r="R28" s="326">
        <f>SUMIFS(Tabla4[[#All],[Total]],Tabla4[[#All],[Asesor]],B15,Tabla4[[#All],[Fecha Cobranza]],"&lt;"&amp;$R$6,Tabla4[[#All],[Fecha Cobranza]],"&gt;="&amp;$Q$6)</f>
        <v>2386385.4080985989</v>
      </c>
      <c r="S28" s="326">
        <f>SUMIFS(Tabla4[[#All],[Total]],Tabla4[[#All],[Asesor]],B15,Tabla4[[#All],[Fecha Cobranza]],"&lt;"&amp;$S$6,Tabla4[[#All],[Fecha Cobranza]],"&gt;="&amp;$R$6)</f>
        <v>1570066.9780147981</v>
      </c>
      <c r="T28" s="326">
        <f>SUMIFS(Tabla4[[#All],[Total]],Tabla4[[#All],[Asesor]],$B15,Tabla4[[#All],[Fecha Cobranza]],"&lt;"&amp;T$6,Tabla4[[#All],[Fecha Cobranza]],"&gt;="&amp;S$6)</f>
        <v>1351082.2053965994</v>
      </c>
      <c r="U28" s="326">
        <f>SUMIFS(Tabla4[[#All],[Total]],Tabla4[[#All],[Asesor]],$B15,Tabla4[[#All],[Fecha Cobranza]],"&lt;"&amp;U$6,Tabla4[[#All],[Fecha Cobranza]],"&gt;="&amp;T$6)</f>
        <v>3254531.2528002048</v>
      </c>
      <c r="V28" s="326">
        <f>SUMIFS(Tabla4[[#All],[Total]],Tabla4[[#All],[Asesor]],$B15,Tabla4[[#All],[Fecha Cobranza]],"&lt;"&amp;V$6,Tabla4[[#All],[Fecha Cobranza]],"&gt;="&amp;U$6)</f>
        <v>1710731.3971337974</v>
      </c>
      <c r="W28" s="326">
        <f>SUMIFS(Tabla4[[#All],[Total]],Tabla4[[#All],[Asesor]],$B15,Tabla4[[#All],[Fecha Cobranza]],"&lt;"&amp;W$6,Tabla4[[#All],[Fecha Cobranza]],"&gt;="&amp;V$6)</f>
        <v>2094816.4626265974</v>
      </c>
      <c r="X28" s="326">
        <f>SUMIFS(Tabla4[[#All],[Total]],Tabla4[[#All],[Asesor]],$B15,Tabla4[[#All],[Fecha Cobranza]],"&lt;"&amp;X$6,Tabla4[[#All],[Fecha Cobranza]],"&gt;="&amp;W$6)</f>
        <v>2508992.1618651962</v>
      </c>
      <c r="Y28" s="326">
        <f>SUMIFS(Tabla4[[#All],[Total]],Tabla4[[#All],[Asesor]],$B15,Tabla4[[#All],[Fecha Cobranza]],"&lt;"&amp;Y$6,Tabla4[[#All],[Fecha Cobranza]],"&gt;="&amp;X$6)</f>
        <v>1710574.3676495999</v>
      </c>
      <c r="Z28" s="326">
        <f>SUMIFS(Tabla4[[#All],[Total]],Tabla4[[#All],[Asesor]],$B15,Tabla4[[#All],[Fecha Cobranza]],"&lt;"&amp;Z$6,Tabla4[[#All],[Fecha Cobranza]],"&gt;="&amp;Y$6)</f>
        <v>2776693.1674413974</v>
      </c>
      <c r="AA28" s="326">
        <f>SUMIFS(Tabla4[[#All],[Total]],Tabla4[[#All],[Asesor]],$B15,Tabla4[[#All],[Fecha Cobranza]],"&lt;"&amp;AA$6,Tabla4[[#All],[Fecha Cobranza]],"&gt;="&amp;Z$6)</f>
        <v>0</v>
      </c>
      <c r="AB28" s="327">
        <f t="shared" si="0"/>
        <v>71667270.910501614</v>
      </c>
      <c r="AC28" s="322" t="e">
        <f>SUMIFS(Tabla4[[#All],[U. Bruta Total]],Tabla4[[#All],[Asesor]],B15,Tabla4[[#All],[Fecha Cobranza]],"&lt;"&amp;$D$6,Tabla4[[#All],[Fecha Cobranza]],"&gt;="&amp;$B$6)</f>
        <v>#N/A</v>
      </c>
      <c r="AD28" s="322" t="e">
        <f>SUMIFS(Tabla4[[#All],[U. Bruta Total]],Tabla4[[#All],[Asesor]],B15,Tabla4[[#All],[Fecha Cobranza]],"&lt;"&amp;$AD$6,Tabla4[[#All],[Fecha Cobranza]],"&gt;="&amp;$AC$6)</f>
        <v>#N/A</v>
      </c>
      <c r="AE28" s="322" t="e">
        <f>SUMIFS(Tabla4[[#All],[U. Bruta Total]],Tabla4[[#All],[Asesor]],$B$15,Tabla4[[#All],[Fecha Cobranza]],"&lt;"&amp;$AE$6,Tabla4[[#All],[Fecha Cobranza]],"&gt;="&amp;$AD$6)</f>
        <v>#N/A</v>
      </c>
      <c r="AF28" s="322" t="e">
        <f>SUMIFS(Tabla4[[#All],[U. Bruta Total]],Tabla4[[#All],[Asesor]],$B$15,Tabla4[[#All],[Fecha Cobranza]],"&lt;"&amp;$AF$6,Tabla4[[#All],[Fecha Cobranza]],"&gt;="&amp;$AE$6)</f>
        <v>#N/A</v>
      </c>
      <c r="AG28" s="322" t="e">
        <f>SUMIFS(Tabla4[[#All],[U. Bruta Total]],Tabla4[[#All],[Asesor]],$B$15,Tabla4[[#All],[Fecha Cobranza]],"&lt;"&amp;$AG$6,Tabla4[[#All],[Fecha Cobranza]],"&gt;="&amp;$AF$6)</f>
        <v>#N/A</v>
      </c>
      <c r="AH28" s="322" t="e">
        <f>SUMIFS(Tabla4[[#All],[U. Bruta Total]],Tabla4[[#All],[Asesor]],$B$15,Tabla4[[#All],[Fecha Cobranza]],"&lt;"&amp;$AH$6,Tabla4[[#All],[Fecha Cobranza]],"&gt;="&amp;$AG$6)</f>
        <v>#N/A</v>
      </c>
      <c r="AI28" s="322" t="e">
        <f>SUMIFS(Tabla4[[#All],[U. Bruta Total]],Tabla4[[#All],[Asesor]],$B$15,Tabla4[[#All],[Fecha Cobranza]],"&lt;"&amp;$AI$6,Tabla4[[#All],[Fecha Cobranza]],"&gt;="&amp;$AH$6)</f>
        <v>#N/A</v>
      </c>
      <c r="AJ28" s="322" t="e">
        <f>SUMIFS(Tabla4[[#All],[U. Bruta Total]],Tabla4[[#All],[Asesor]],$B$15,Tabla4[[#All],[Fecha Cobranza]],"&lt;"&amp;$AJ$6,Tabla4[[#All],[Fecha Cobranza]],"&gt;="&amp;$AI$6)</f>
        <v>#N/A</v>
      </c>
      <c r="AK28" s="322" t="e">
        <f>SUMIFS(Tabla4[[#All],[U. Bruta Total]],Tabla4[[#All],[Asesor]],$B$15,Tabla4[[#All],[Fecha Cobranza]],"&lt;"&amp;$AK$6,Tabla4[[#All],[Fecha Cobranza]],"&gt;="&amp;$AJ$6)</f>
        <v>#N/A</v>
      </c>
      <c r="AL28" s="322" t="e">
        <f>SUMIFS(Tabla4[[#All],[U. Bruta Total]],Tabla4[[#All],[Asesor]],$B$15,Tabla4[[#All],[Fecha Cobranza]],"&lt;"&amp;$AL$6,Tabla4[[#All],[Fecha Cobranza]],"&gt;="&amp;$AK$6)</f>
        <v>#N/A</v>
      </c>
      <c r="AM28" s="322" t="e">
        <f>SUMIFS(Tabla4[[#All],[U. Bruta Total]],Tabla4[[#All],[Asesor]],$B$15,Tabla4[[#All],[Fecha Cobranza]],"&lt;"&amp;$AM$6,Tabla4[[#All],[Fecha Cobranza]],"&gt;="&amp;$AL$6)</f>
        <v>#N/A</v>
      </c>
      <c r="AN28" s="322" t="e">
        <f>SUMIFS(Tabla4[[#All],[U. Bruta Total]],Tabla4[[#All],[Asesor]],$B$15,Tabla4[[#All],[Fecha Cobranza]],"&lt;"&amp;$AN$6,Tabla4[[#All],[Fecha Cobranza]],"&gt;="&amp;$AM$6)</f>
        <v>#N/A</v>
      </c>
      <c r="AO28" s="322" t="e">
        <f>SUMIFS(Tabla4[[#All],[U. Bruta Total]],Tabla4[[#All],[Asesor]],$B$15,Tabla4[[#All],[Fecha Cobranza]],"&lt;"&amp;AO$6,Tabla4[[#All],[Fecha Cobranza]],"&gt;="&amp;AN$6)</f>
        <v>#N/A</v>
      </c>
      <c r="AP28" s="322" t="e">
        <f>SUMIFS(Tabla4[[#All],[U. Bruta Total]],Tabla4[[#All],[Asesor]],$B$15,Tabla4[[#All],[Fecha Cobranza]],"&lt;"&amp;AP$6,Tabla4[[#All],[Fecha Cobranza]],"&gt;="&amp;AO$6)</f>
        <v>#N/A</v>
      </c>
      <c r="AQ28" s="322" t="e">
        <f>SUMIFS(Tabla4[[#All],[U. Bruta Total]],Tabla4[[#All],[Asesor]],$B$15,Tabla4[[#All],[Fecha Cobranza]],"&lt;"&amp;AQ$6,Tabla4[[#All],[Fecha Cobranza]],"&gt;="&amp;AP$6)</f>
        <v>#N/A</v>
      </c>
      <c r="AR28" s="322" t="e">
        <f>SUMIFS(Tabla4[[#All],[U. Bruta Total]],Tabla4[[#All],[Asesor]],$B$15,Tabla4[[#All],[Fecha Cobranza]],"&lt;"&amp;AR$6,Tabla4[[#All],[Fecha Cobranza]],"&gt;="&amp;AQ$6)</f>
        <v>#N/A</v>
      </c>
      <c r="AS28" s="322" t="e">
        <f>SUMIFS(Tabla4[[#All],[U. Bruta Total]],Tabla4[[#All],[Asesor]],$B$15,Tabla4[[#All],[Fecha Cobranza]],"&lt;"&amp;AS$6,Tabla4[[#All],[Fecha Cobranza]],"&gt;="&amp;AR$6)</f>
        <v>#N/A</v>
      </c>
      <c r="AT28" s="322" t="e">
        <f>SUMIFS(Tabla4[[#All],[U. Bruta Total]],Tabla4[[#All],[Asesor]],$B$15,Tabla4[[#All],[Fecha Cobranza]],"&lt;"&amp;AT$6,Tabla4[[#All],[Fecha Cobranza]],"&gt;="&amp;AS$6)</f>
        <v>#N/A</v>
      </c>
      <c r="AU28" s="322" t="e">
        <f>SUMIFS(Tabla4[[#All],[U. Bruta Total]],Tabla4[[#All],[Asesor]],$B$15,Tabla4[[#All],[Fecha Cobranza]],"&lt;"&amp;AU$6,Tabla4[[#All],[Fecha Cobranza]],"&gt;="&amp;AT$6)</f>
        <v>#N/A</v>
      </c>
      <c r="AV28" s="322" t="e">
        <f>SUMIFS(Tabla4[[#All],[U. Bruta Total]],Tabla4[[#All],[Asesor]],$B$15,Tabla4[[#All],[Fecha Cobranza]],"&lt;"&amp;AV$6,Tabla4[[#All],[Fecha Cobranza]],"&gt;="&amp;AU$6)</f>
        <v>#N/A</v>
      </c>
      <c r="AW28" s="322" t="e">
        <f>SUMIFS(Tabla4[[#All],[U. Bruta Total]],Tabla4[[#All],[Asesor]],$B$15,Tabla4[[#All],[Fecha Cobranza]],"&lt;"&amp;AW$6,Tabla4[[#All],[Fecha Cobranza]],"&gt;="&amp;AV$6)</f>
        <v>#N/A</v>
      </c>
      <c r="AX28" s="322" t="e">
        <f>SUMIFS(Tabla4[[#All],[U. Bruta Total]],Tabla4[[#All],[Asesor]],$B$15,Tabla4[[#All],[Fecha Cobranza]],"&lt;"&amp;AX$6,Tabla4[[#All],[Fecha Cobranza]],"&gt;="&amp;AW$6)</f>
        <v>#N/A</v>
      </c>
      <c r="AY28" s="322" t="e">
        <f>SUMIFS(Tabla4[[#All],[U. Bruta Total]],Tabla4[[#All],[Asesor]],$B$15,Tabla4[[#All],[Fecha Cobranza]],"&lt;"&amp;AY$6,Tabla4[[#All],[Fecha Cobranza]],"&gt;="&amp;AX$6)</f>
        <v>#N/A</v>
      </c>
      <c r="AZ28" s="322">
        <f>SUMIFS(Tabla4[[#All],[U. Bruta Total]],Tabla4[[#All],[Asesor]],$B$15,Tabla4[[#All],[Fecha Cobranza]],"&lt;"&amp;AZ$6,Tabla4[[#All],[Fecha Cobranza]],"&gt;="&amp;AY$6)</f>
        <v>0</v>
      </c>
      <c r="BA28" s="323" t="e">
        <f t="shared" si="1"/>
        <v>#N/A</v>
      </c>
      <c r="BB28" s="318" t="e">
        <f>SUMIFS(Tabla4[[#All],[Comisión a Pagar]],Tabla4[[#All],[Asesor]],$B$15,Tabla4[[#All],[Fecha Cobranza]],"&lt;"&amp;BB$6,Tabla4[[#All],[Fecha Cobranza]],"&gt;="&amp;BB$3)/2</f>
        <v>#N/A</v>
      </c>
      <c r="BC28" s="318"/>
      <c r="BD28" s="318" t="e">
        <f>SUMIFS(Tabla4[[#All],[Comisión a Pagar]],Tabla4[[#All],[Asesor]],$B$15,Tabla4[[#All],[Fecha Cobranza]],"&lt;"&amp;BD$6,Tabla4[[#All],[Fecha Cobranza]],"&gt;="&amp;BC$6)/2</f>
        <v>#N/A</v>
      </c>
      <c r="BE28" s="318"/>
      <c r="BF28" s="318" t="e">
        <f>SUMIFS(Tabla4[[#All],[Comisión a Pagar]],Tabla4[[#All],[Asesor]],$B$15,Tabla4[[#All],[Fecha Cobranza]],"&lt;"&amp;BF$6,Tabla4[[#All],[Fecha Cobranza]],"&gt;="&amp;BE$6)/2</f>
        <v>#N/A</v>
      </c>
      <c r="BG28" s="318"/>
      <c r="BH28" s="318" t="e">
        <f>SUMIFS(Tabla4[[#All],[Comisión a Pagar]],Tabla4[[#All],[Asesor]],$B$15,Tabla4[[#All],[Fecha Cobranza]],"&lt;"&amp;BH$6,Tabla4[[#All],[Fecha Cobranza]],"&gt;="&amp;BG$6)/2</f>
        <v>#N/A</v>
      </c>
      <c r="BI28" s="318"/>
      <c r="BJ28" s="318" t="e">
        <f>SUMIFS(Tabla4[[#All],[Comisión a Pagar]],Tabla4[[#All],[Asesor]],$B$15,Tabla4[[#All],[Fecha Cobranza]],"&lt;"&amp;BJ$6,Tabla4[[#All],[Fecha Cobranza]],"&gt;="&amp;BI$6)/2</f>
        <v>#N/A</v>
      </c>
      <c r="BK28" s="318"/>
      <c r="BL28" s="318" t="e">
        <f>SUMIFS(Tabla4[[#All],[Comisión a Pagar]],Tabla4[[#All],[Asesor]],$B$15,Tabla4[[#All],[Fecha Cobranza]],"&lt;"&amp;BL$6,Tabla4[[#All],[Fecha Cobranza]],"&gt;="&amp;BK$6)/2</f>
        <v>#N/A</v>
      </c>
      <c r="BM28" s="318"/>
      <c r="BN28" s="318" t="e">
        <f>SUMIFS(Tabla4[[#All],[Comisión a Pagar]],Tabla4[[#All],[Asesor]],$B$15,Tabla4[[#All],[Fecha Cobranza]],"&lt;"&amp;BN$6,Tabla4[[#All],[Fecha Cobranza]],"&gt;="&amp;BM$6)/2</f>
        <v>#N/A</v>
      </c>
      <c r="BO28" s="318"/>
      <c r="BP28" s="318" t="e">
        <f>SUMIFS(Tabla4[[#All],[Comisión a Pagar]],Tabla4[[#All],[Asesor]],$B$15,Tabla4[[#All],[Fecha Cobranza]],"&lt;"&amp;BP$6,Tabla4[[#All],[Fecha Cobranza]],"&gt;="&amp;BO$6)/2</f>
        <v>#N/A</v>
      </c>
      <c r="BQ28" s="318"/>
      <c r="BR28" s="318" t="e">
        <f>SUMIFS(Tabla4[[#All],[Comisión a Pagar]],Tabla4[[#All],[Asesor]],$B$15,Tabla4[[#All],[Fecha Cobranza]],"&lt;"&amp;$BR$6,Tabla4[[#All],[Fecha Cobranza]],"&gt;="&amp;$BP$6)/2</f>
        <v>#N/A</v>
      </c>
      <c r="BS28" s="318"/>
      <c r="BT28" s="318" t="e">
        <f>SUMIFS(Tabla4[[#All],[Comisión a Pagar]],Tabla4[[#All],[Asesor]],$B$15,Tabla4[[#All],[Fecha Cobranza]],"&lt;"&amp;$BT$6,Tabla4[[#All],[Fecha Cobranza]],"&gt;="&amp;$BR$6)/2</f>
        <v>#N/A</v>
      </c>
      <c r="BU28" s="318" t="e">
        <f>SUMIFS(Tabla4[[#All],[Comisión a Pagar]],Tabla4[[#All],[Asesor]],$B$15,Tabla4[[#All],[Fecha Cobranza]],"&lt;"&amp;$BU$6,Tabla4[[#All],[Fecha Cobranza]],"&gt;="&amp;$BT$6)/2</f>
        <v>#N/A</v>
      </c>
      <c r="BV28" s="318"/>
      <c r="BW28" s="318" t="e">
        <f>SUMIFS(Tabla4[[#All],[Comisión a Pagar]],Tabla4[[#All],[Asesor]],$B$15,Tabla4[[#All],[Fecha Cobranza]],"&lt;"&amp;$BW$6,Tabla4[[#All],[Fecha Cobranza]],"&gt;="&amp;$BU$6)/2</f>
        <v>#N/A</v>
      </c>
      <c r="BX28" s="318"/>
      <c r="BY28" s="318" t="e">
        <f>SUMIFS(Tabla4[[#All],[Comisión a Pagar]],Tabla4[[#All],[Asesor]],$B$15,Tabla4[[#All],[Fecha Cobranza]],"&lt;"&amp;$BY$6,Tabla4[[#All],[Fecha Cobranza]],"&gt;="&amp;$BW$6)/2</f>
        <v>#N/A</v>
      </c>
      <c r="BZ28" s="318"/>
      <c r="CA28" s="318" t="e">
        <f>SUMIFS(Tabla4[[#All],[Comisión a Pagar]],Tabla4[[#All],[Asesor]],$B$15,Tabla4[[#All],[Fecha Cobranza]],"&lt;"&amp;$CA$6,Tabla4[[#All],[Fecha Cobranza]],"&gt;="&amp;$BY$6)/2</f>
        <v>#N/A</v>
      </c>
      <c r="CB28" s="318"/>
      <c r="CC28" s="318" t="e">
        <f>SUMIFS(Tabla4[[#All],[Comisión a Pagar]],Tabla4[[#All],[Asesor]],$B$15,Tabla4[[#All],[Fecha Cobranza]],"&lt;"&amp;$CC$6,Tabla4[[#All],[Fecha Cobranza]],"&gt;="&amp;$CA$6)/2</f>
        <v>#N/A</v>
      </c>
      <c r="CD28" s="318"/>
      <c r="CE28" s="318" t="e">
        <f>SUMIFS(Tabla4[[#All],[Comisión a Pagar]],Tabla4[[#All],[Asesor]],$B$15,Tabla4[[#All],[Fecha Cobranza]],"&lt;"&amp;$CE$6,Tabla4[[#All],[Fecha Cobranza]],"&gt;="&amp;$CC$6)/2</f>
        <v>#N/A</v>
      </c>
      <c r="CF28" s="318"/>
      <c r="CG28" s="318" t="e">
        <f>SUMIFS(Tabla4[[#All],[Comisión a Pagar]],Tabla4[[#All],[Asesor]],$B$15,Tabla4[[#All],[Fecha Cobranza]],"&lt;"&amp;CG$6,Tabla4[[#All],[Fecha Cobranza]],"&gt;="&amp;CE$6)/2</f>
        <v>#N/A</v>
      </c>
      <c r="CH28" s="318"/>
      <c r="CI28" s="318" t="e">
        <f>SUMIFS(Tabla4[[#All],[Comisión a Pagar]],Tabla4[[#All],[Asesor]],$B$15,Tabla4[[#All],[Fecha Cobranza]],"&lt;"&amp;CI$6,Tabla4[[#All],[Fecha Cobranza]],"&gt;="&amp;CG$6)/2</f>
        <v>#N/A</v>
      </c>
      <c r="CJ28" s="318"/>
      <c r="CK28" s="318" t="e">
        <f>SUMIFS(Tabla4[[#All],[Comisión a Pagar]],Tabla4[[#All],[Asesor]],$B$15,Tabla4[[#All],[Fecha Cobranza]],"&lt;"&amp;CK$6,Tabla4[[#All],[Fecha Cobranza]],"&gt;="&amp;CI$6)/2</f>
        <v>#N/A</v>
      </c>
      <c r="CL28" s="318"/>
      <c r="CM28" s="318" t="e">
        <f>SUMIFS(Tabla4[[#All],[Comisión a Pagar]],Tabla4[[#All],[Asesor]],$B$15,Tabla4[[#All],[Fecha Cobranza]],"&lt;"&amp;CM$6,Tabla4[[#All],[Fecha Cobranza]],"&gt;="&amp;CK$6)/2</f>
        <v>#N/A</v>
      </c>
      <c r="CN28" s="318"/>
      <c r="CO28" s="318" t="e">
        <f>SUMIFS(Tabla4[[#All],[Comisión a Pagar]],Tabla4[[#All],[Asesor]],$B$15,Tabla4[[#All],[Fecha Cobranza]],"&lt;"&amp;CO$6,Tabla4[[#All],[Fecha Cobranza]],"&gt;="&amp;CM$6)/2</f>
        <v>#N/A</v>
      </c>
      <c r="CP28" s="318"/>
      <c r="CQ28" s="318" t="e">
        <f>SUMIFS(Tabla4[[#All],[Comisión a Pagar]],Tabla4[[#All],[Asesor]],$B$15,Tabla4[[#All],[Fecha Cobranza]],"&lt;"&amp;CQ$6,Tabla4[[#All],[Fecha Cobranza]],"&gt;="&amp;CO$6)/2</f>
        <v>#N/A</v>
      </c>
      <c r="CR28" s="318"/>
      <c r="CS28" s="318" t="e">
        <f>SUMIFS(Tabla4[[#All],[Comisión a Pagar]],Tabla4[[#All],[Asesor]],$B$15,Tabla4[[#All],[Fecha Cobranza]],"&lt;"&amp;CS$6,Tabla4[[#All],[Fecha Cobranza]],"&gt;="&amp;CQ$6)/2</f>
        <v>#N/A</v>
      </c>
      <c r="CT28" s="318"/>
      <c r="CU28" s="318">
        <f>SUMIFS(Tabla4[[#All],[Comisión a Pagar]],Tabla4[[#All],[Asesor]],$B$15,Tabla4[[#All],[Fecha Cobranza]],"&lt;"&amp;CU$6,Tabla4[[#All],[Fecha Cobranza]],"&gt;="&amp;CS$6)/2</f>
        <v>0</v>
      </c>
      <c r="CV28" s="318"/>
      <c r="CW28" s="318" t="e">
        <f t="shared" si="26"/>
        <v>#N/A</v>
      </c>
      <c r="CX28" s="330"/>
      <c r="CY28" s="330"/>
      <c r="CZ28" s="330"/>
      <c r="DA28" s="330"/>
      <c r="DB28" s="330"/>
      <c r="DC28" s="330"/>
      <c r="DD28" s="330"/>
      <c r="DE28" s="330"/>
      <c r="DF28" s="330"/>
      <c r="DG28" s="330"/>
      <c r="DH28" s="330"/>
      <c r="DI28" s="330"/>
      <c r="DJ28" s="330"/>
      <c r="DK28" s="330"/>
      <c r="DL28" s="330"/>
      <c r="DM28" s="330"/>
      <c r="DN28" s="330"/>
      <c r="DO28" s="330"/>
      <c r="DP28" s="330"/>
      <c r="DQ28" s="330"/>
      <c r="DR28" s="330"/>
      <c r="DS28" s="330"/>
      <c r="DT28" s="330"/>
      <c r="DU28" s="330"/>
      <c r="DV28" s="331">
        <f t="shared" si="30"/>
        <v>0</v>
      </c>
      <c r="DW28" s="130">
        <f>+AB28</f>
        <v>71667270.910501614</v>
      </c>
      <c r="DX28" s="131" t="e">
        <f>++DV28+CW28</f>
        <v>#N/A</v>
      </c>
      <c r="DY28" s="147">
        <f t="shared" si="31"/>
        <v>0</v>
      </c>
      <c r="DZ28" s="298">
        <f t="shared" si="29"/>
        <v>0</v>
      </c>
      <c r="ED28" s="163"/>
      <c r="EG28" s="131"/>
      <c r="EH28" s="131"/>
      <c r="EI28" s="336"/>
      <c r="EJ28" s="336"/>
    </row>
    <row r="29" spans="2:140" ht="15.75" x14ac:dyDescent="0.3">
      <c r="B29" s="383" t="s">
        <v>625</v>
      </c>
      <c r="C29" s="297" t="e">
        <f>VLOOKUP(B29,'Caratula 2023'!$B$8:$C$42,2,FALSE)</f>
        <v>#N/A</v>
      </c>
      <c r="D29" s="326">
        <f>SUMIFS(Tabla110[[#All],[Venta Total]],Tabla110[[#All],[Asesor]],B29,Tabla110[[#All],[Fecha Cobranza]],"&lt;"&amp;$D$6,Tabla110[[#All],[Fecha Cobranza]],"&gt;="&amp;$B$6)</f>
        <v>0</v>
      </c>
      <c r="E29" s="326">
        <f>SUMIFS(Tabla110[[#All],[Venta Total]],Tabla110[[#All],[Asesor]],B29,Tabla110[[#All],[Fecha Cobranza]],"&lt;"&amp;$E$6,Tabla110[[#All],[Fecha Cobranza]],"&gt;="&amp;$D$6)</f>
        <v>0</v>
      </c>
      <c r="F29" s="326">
        <f>SUMIFS(Tabla110[[#All],[Venta Total]],Tabla110[[#All],[Asesor]],B29,Tabla110[[#All],[Fecha Cobranza]],"&lt;"&amp;$F$6,Tabla110[[#All],[Fecha Cobranza]],"&gt;="&amp;$E$6)</f>
        <v>0</v>
      </c>
      <c r="G29" s="326">
        <f>SUMIFS(Tabla110[[#All],[Venta Total]],Tabla110[[#All],[Asesor]],B29,Tabla110[[#All],[Fecha Cobranza]],"&lt;"&amp;$G$6,Tabla110[[#All],[Fecha Cobranza]],"&gt;="&amp;$F$6)</f>
        <v>0</v>
      </c>
      <c r="H29" s="326">
        <f>SUMIFS(Tabla110[[#All],[Venta Total]],Tabla110[[#All],[Asesor]],B29,Tabla110[[#All],[Fecha Cobranza]],"&lt;"&amp;$H$6,Tabla110[[#All],[Fecha Cobranza]],"&gt;="&amp;$G$6)</f>
        <v>0</v>
      </c>
      <c r="I29" s="326">
        <f>SUMIFS(Tabla110[[#All],[Venta Total]],Tabla110[[#All],[Asesor]],B29,Tabla110[[#All],[Fecha Cobranza]],"&lt;"&amp;$I$6,Tabla110[[#All],[Fecha Cobranza]],"&gt;="&amp;$H$6)</f>
        <v>0</v>
      </c>
      <c r="J29" s="326">
        <f>SUMIFS(Tabla110[[#All],[Venta Total]],Tabla110[[#All],[Asesor]],B29,Tabla110[[#All],[Fecha Cobranza]],"&lt;"&amp;$J$6,Tabla110[[#All],[Fecha Cobranza]],"&gt;="&amp;$I$6)</f>
        <v>0</v>
      </c>
      <c r="K29" s="326">
        <f>SUMIFS(Tabla110[[#All],[Venta Total]],Tabla110[[#All],[Asesor]],B29,Tabla110[[#All],[Fecha Cobranza]],"&lt;"&amp;$K$6,Tabla110[[#All],[Fecha Cobranza]],"&gt;="&amp;$J$6)</f>
        <v>0</v>
      </c>
      <c r="L29" s="326">
        <f>SUMIFS(Tabla110[[#All],[Venta Total]],Tabla110[[#All],[Asesor]],B29,Tabla110[[#All],[Fecha Cobranza]],"&lt;"&amp;$L$6,Tabla110[[#All],[Fecha Cobranza]],"&gt;="&amp;$K$6)</f>
        <v>0</v>
      </c>
      <c r="M29" s="326">
        <f>SUMIFS(Tabla110[[#All],[Venta Total]],Tabla110[[#All],[Asesor]],B29,Tabla110[[#All],[Fecha Cobranza]],"&lt;"&amp;$M$6,Tabla110[[#All],[Fecha Cobranza]],"&gt;="&amp;$L$6)</f>
        <v>0</v>
      </c>
      <c r="N29" s="326">
        <f>SUMIFS(Tabla110[[#All],[Venta Total]],Tabla110[[#All],[Asesor]],B29,Tabla110[[#All],[Fecha Cobranza]],"&lt;"&amp;$N$6,Tabla110[[#All],[Fecha Cobranza]],"&gt;="&amp;$M$6)</f>
        <v>0</v>
      </c>
      <c r="O29" s="326">
        <f>SUMIFS(Tabla110[[#All],[Venta Total]],Tabla110[[#All],[Asesor]],B29,Tabla110[[#All],[Fecha Cobranza]],"&lt;"&amp;$O$6,Tabla110[[#All],[Fecha Cobranza]],"&gt;="&amp;$N$6)</f>
        <v>0</v>
      </c>
      <c r="P29" s="326">
        <f>SUMIFS(Tabla110[[#All],[Venta Total]],Tabla110[[#All],[Asesor]],B29,Tabla110[[#All],[Fecha Cobranza]],"&lt;"&amp;$P$6,Tabla110[[#All],[Fecha Cobranza]],"&gt;="&amp;$O$6)</f>
        <v>0</v>
      </c>
      <c r="Q29" s="326">
        <f>SUMIFS(Tabla110[[#All],[Venta Total]],Tabla110[[#All],[Asesor]],B29,Tabla110[[#All],[Fecha Cobranza]],"&lt;"&amp;$Q$6,Tabla110[[#All],[Fecha Cobranza]],"&gt;="&amp;$P$6)</f>
        <v>0</v>
      </c>
      <c r="R29" s="326">
        <f>SUMIFS(Tabla110[[#All],[Venta Total]],Tabla110[[#All],[Asesor]],B29,Tabla110[[#All],[Fecha Cobranza]],"&lt;"&amp;$R$6,Tabla110[[#All],[Fecha Cobranza]],"&gt;="&amp;$Q$6)</f>
        <v>0</v>
      </c>
      <c r="S29" s="326">
        <f>SUMIFS(Tabla110[[#All],[Venta Total]],Tabla110[[#All],[Asesor]],B29,Tabla110[[#All],[Fecha Cobranza]],"&lt;"&amp;$S$6,Tabla110[[#All],[Fecha Cobranza]],"&gt;="&amp;$R$6)</f>
        <v>0</v>
      </c>
      <c r="T29" s="326">
        <f>SUMIFS(Tabla110[[#All],[Venta Total]],Tabla110[[#All],[Asesor]],$B29,Tabla110[[#All],[Fecha Cobranza]],"&lt;"&amp;T$6,Tabla110[[#All],[Fecha Cobranza]],"&gt;="&amp;S$6)</f>
        <v>0</v>
      </c>
      <c r="U29" s="326">
        <f>SUMIFS(Tabla110[[#All],[Venta Total]],Tabla110[[#All],[Asesor]],$B29,Tabla110[[#All],[Fecha Cobranza]],"&lt;"&amp;U$6,Tabla110[[#All],[Fecha Cobranza]],"&gt;="&amp;T$6)</f>
        <v>0</v>
      </c>
      <c r="V29" s="326">
        <f>SUMIFS(Tabla110[[#All],[Venta Total]],Tabla110[[#All],[Asesor]],$B29,Tabla110[[#All],[Fecha Cobranza]],"&lt;"&amp;V$6,Tabla110[[#All],[Fecha Cobranza]],"&gt;="&amp;U$6)</f>
        <v>0</v>
      </c>
      <c r="W29" s="326">
        <f>SUMIFS(Tabla110[[#All],[Venta Total]],Tabla110[[#All],[Asesor]],$B29,Tabla110[[#All],[Fecha Cobranza]],"&lt;"&amp;W$6,Tabla110[[#All],[Fecha Cobranza]],"&gt;="&amp;V$6)</f>
        <v>0</v>
      </c>
      <c r="X29" s="326">
        <f>SUMIFS(Tabla110[[#All],[Venta Total]],Tabla110[[#All],[Asesor]],$B29,Tabla110[[#All],[Fecha Cobranza]],"&lt;"&amp;X$6,Tabla110[[#All],[Fecha Cobranza]],"&gt;="&amp;W$6)</f>
        <v>0</v>
      </c>
      <c r="Y29" s="326">
        <f>SUMIFS(Tabla110[[#All],[Venta Total]],Tabla110[[#All],[Asesor]],$B29,Tabla110[[#All],[Fecha Cobranza]],"&lt;"&amp;Y$6,Tabla110[[#All],[Fecha Cobranza]],"&gt;="&amp;X$6)</f>
        <v>0</v>
      </c>
      <c r="Z29" s="326">
        <f>SUMIFS(Tabla110[[#All],[Venta Total]],Tabla110[[#All],[Asesor]],$B29,Tabla110[[#All],[Fecha Cobranza]],"&lt;"&amp;Z$6,Tabla110[[#All],[Fecha Cobranza]],"&gt;="&amp;Y$6)</f>
        <v>0</v>
      </c>
      <c r="AA29" s="326">
        <f>SUMIFS(Tabla110[[#All],[Venta Total]],Tabla110[[#All],[Asesor]],$B29,Tabla110[[#All],[Fecha Cobranza]],"&lt;"&amp;AA$6,Tabla110[[#All],[Fecha Cobranza]],"&gt;="&amp;Z$6)</f>
        <v>0</v>
      </c>
      <c r="AB29" s="327">
        <f t="shared" si="0"/>
        <v>0</v>
      </c>
      <c r="AC29" s="322">
        <f>SUMIFS(Tabla110[[#All],[Utilidad Bruta Total]],Tabla110[[#All],[Asesor]],B29,Tabla110[[#All],[Fecha Cobranza]],"&lt;"&amp;$AC$6,Tabla110[[#All],[Fecha Cobranza]],"&gt;="&amp;$B$6)</f>
        <v>0</v>
      </c>
      <c r="AD29" s="322">
        <f>SUMIFS(Tabla110[[#All],[Utilidad Bruta Total]],Tabla110[[#All],[Asesor]],B29,Tabla110[[#All],[Fecha Cobranza]],"&lt;"&amp;$AD$6,Tabla110[[#All],[Fecha Cobranza]],"&gt;="&amp;$AC$6)</f>
        <v>0</v>
      </c>
      <c r="AE29" s="322">
        <f>SUMIFS(Tabla110[[#All],[Utilidad Bruta Total]],Tabla110[[#All],[Asesor]],B29,Tabla110[[#All],[Fecha Cobranza]],"&lt;"&amp;$AE$6,Tabla110[[#All],[Fecha Cobranza]],"&gt;="&amp;$AD$6)</f>
        <v>0</v>
      </c>
      <c r="AF29" s="322">
        <f>SUMIFS(Tabla110[[#All],[Utilidad Bruta Total]],Tabla110[[#All],[Asesor]],B29,Tabla110[[#All],[Fecha Cobranza]],"&lt;"&amp;$AF$6,Tabla110[[#All],[Fecha Cobranza]],"&gt;="&amp;$AE$6)</f>
        <v>0</v>
      </c>
      <c r="AG29" s="322">
        <f>SUMIFS(Tabla110[[#All],[Utilidad Bruta Total]],Tabla110[[#All],[Asesor]],B29,Tabla110[[#All],[Fecha Cobranza]],"&lt;"&amp;$AG$6,Tabla110[[#All],[Fecha Cobranza]],"&gt;="&amp;$AF$6)</f>
        <v>0</v>
      </c>
      <c r="AH29" s="322">
        <f>SUMIFS(Tabla110[[#All],[Utilidad Bruta Total]],Tabla110[[#All],[Asesor]],B29,Tabla110[[#All],[Fecha Cobranza]],"&lt;"&amp;$AH$6,Tabla110[[#All],[Fecha Cobranza]],"&gt;="&amp;$AG$6)</f>
        <v>0</v>
      </c>
      <c r="AI29" s="322">
        <f>SUMIFS(Tabla110[[#All],[Utilidad Bruta Total]],Tabla110[[#All],[Asesor]],B29,Tabla110[[#All],[Fecha Cobranza]],"&lt;"&amp;$AI$6,Tabla110[[#All],[Fecha Cobranza]],"&gt;="&amp;$AH$6)</f>
        <v>0</v>
      </c>
      <c r="AJ29" s="322">
        <f>SUMIFS(Tabla110[[#All],[Utilidad Bruta Total]],Tabla110[[#All],[Asesor]],B29,Tabla110[[#All],[Fecha Cobranza]],"&lt;"&amp;$AJ$6,Tabla110[[#All],[Fecha Cobranza]],"&gt;="&amp;$AI$6)</f>
        <v>0</v>
      </c>
      <c r="AK29" s="322">
        <f>SUMIFS(Tabla110[[#All],[Utilidad Bruta Total]],Tabla110[[#All],[Asesor]],B29,Tabla110[[#All],[Fecha Cobranza]],"&lt;"&amp;$AK$6,Tabla110[[#All],[Fecha Cobranza]],"&gt;="&amp;$AJ$6)</f>
        <v>0</v>
      </c>
      <c r="AL29" s="322">
        <f>SUMIFS(Tabla110[[#All],[Utilidad Bruta Total]],Tabla110[[#All],[Asesor]],B29,Tabla110[[#All],[Fecha Cobranza]],"&lt;"&amp;$AL$6,Tabla110[[#All],[Fecha Cobranza]],"&gt;="&amp;$AK$6)</f>
        <v>0</v>
      </c>
      <c r="AM29" s="322">
        <f>SUMIFS(Tabla110[[#All],[Utilidad Bruta Total]],Tabla110[[#All],[Asesor]],B29,Tabla110[[#All],[Fecha Cobranza]],"&lt;"&amp;$AM$6,Tabla110[[#All],[Fecha Cobranza]],"&gt;="&amp;$AL$6)</f>
        <v>0</v>
      </c>
      <c r="AN29" s="322">
        <f>SUMIFS(Tabla110[[#All],[Utilidad Bruta Total]],Tabla110[[#All],[Asesor]],B29,Tabla110[[#All],[Fecha Cobranza]],"&lt;"&amp;$AN$6,Tabla110[[#All],[Fecha Cobranza]],"&gt;="&amp;$AM$6)</f>
        <v>0</v>
      </c>
      <c r="AO29" s="322">
        <f>SUMIFS(Tabla110[[#All],[Utilidad Bruta Total]],Tabla110[[#All],[Asesor]],B29,Tabla110[[#All],[Fecha Cobranza]],"&lt;"&amp;$AO$6,Tabla110[[#All],[Fecha Cobranza]],"&gt;="&amp;$AN$6)</f>
        <v>0</v>
      </c>
      <c r="AP29" s="322">
        <f>SUMIFS(Tabla110[[#All],[Utilidad Bruta Total]],Tabla110[[#All],[Asesor]],B29,Tabla110[[#All],[Fecha Cobranza]],"&lt;"&amp;$AP$6,Tabla110[[#All],[Fecha Cobranza]],"&gt;="&amp;$AO$6)</f>
        <v>0</v>
      </c>
      <c r="AQ29" s="322">
        <f>SUMIFS(Tabla110[[#All],[Utilidad Bruta Total]],Tabla110[[#All],[Asesor]],B29,Tabla110[[#All],[Fecha Cobranza]],"&lt;"&amp;$AQ$6,Tabla110[[#All],[Fecha Cobranza]],"&gt;="&amp;$AP$6)</f>
        <v>0</v>
      </c>
      <c r="AR29" s="322">
        <f>SUMIFS(Tabla110[[#All],[Utilidad Bruta Total]],Tabla110[[#All],[Asesor]],B29,Tabla110[[#All],[Fecha Cobranza]],"&lt;"&amp;$AR$6,Tabla110[[#All],[Fecha Cobranza]],"&gt;="&amp;$AQ$6)</f>
        <v>0</v>
      </c>
      <c r="AS29" s="322">
        <f>SUMIFS(Tabla110[[#All],[Utilidad Bruta Total]],Tabla110[[#All],[Asesor]],$B29,Tabla110[[#All],[Fecha Cobranza]],"&lt;"&amp;AS$6,Tabla110[[#All],[Fecha Cobranza]],"&gt;="&amp;AR$6)</f>
        <v>0</v>
      </c>
      <c r="AT29" s="322">
        <f>SUMIFS(Tabla110[[#All],[Utilidad Bruta Total]],Tabla110[[#All],[Asesor]],$B29,Tabla110[[#All],[Fecha Cobranza]],"&lt;"&amp;AT$6,Tabla110[[#All],[Fecha Cobranza]],"&gt;="&amp;AS$6)</f>
        <v>0</v>
      </c>
      <c r="AU29" s="322">
        <f>SUMIFS(Tabla110[[#All],[Utilidad Bruta Total]],Tabla110[[#All],[Asesor]],$B29,Tabla110[[#All],[Fecha Cobranza]],"&lt;"&amp;AU$6,Tabla110[[#All],[Fecha Cobranza]],"&gt;="&amp;AT$6)</f>
        <v>0</v>
      </c>
      <c r="AV29" s="322">
        <f>SUMIFS(Tabla110[[#All],[Utilidad Bruta Total]],Tabla110[[#All],[Asesor]],$B29,Tabla110[[#All],[Fecha Cobranza]],"&lt;"&amp;AV$6,Tabla110[[#All],[Fecha Cobranza]],"&gt;="&amp;AU$6)</f>
        <v>0</v>
      </c>
      <c r="AW29" s="322">
        <f>SUMIFS(Tabla110[[#All],[Utilidad Bruta Total]],Tabla110[[#All],[Asesor]],$B29,Tabla110[[#All],[Fecha Cobranza]],"&lt;"&amp;AW$6,Tabla110[[#All],[Fecha Cobranza]],"&gt;="&amp;AV$6)</f>
        <v>0</v>
      </c>
      <c r="AX29" s="322">
        <f>SUMIFS(Tabla110[[#All],[Utilidad Bruta Total]],Tabla110[[#All],[Asesor]],$B29,Tabla110[[#All],[Fecha Cobranza]],"&lt;"&amp;AX$6,Tabla110[[#All],[Fecha Cobranza]],"&gt;="&amp;AW$6)</f>
        <v>0</v>
      </c>
      <c r="AY29" s="322">
        <f>SUMIFS(Tabla110[[#All],[Utilidad Bruta Total]],Tabla110[[#All],[Asesor]],$B29,Tabla110[[#All],[Fecha Cobranza]],"&lt;"&amp;AY$6,Tabla110[[#All],[Fecha Cobranza]],"&gt;="&amp;AX$6)</f>
        <v>0</v>
      </c>
      <c r="AZ29" s="322">
        <f>SUMIFS(Tabla110[[#All],[Utilidad Bruta Total]],Tabla110[[#All],[Asesor]],$B29,Tabla110[[#All],[Fecha Cobranza]],"&lt;"&amp;AZ$6,Tabla110[[#All],[Fecha Cobranza]],"&gt;="&amp;AY$6)</f>
        <v>0</v>
      </c>
      <c r="BA29" s="323">
        <f t="shared" si="1"/>
        <v>0</v>
      </c>
      <c r="BB29" s="318" t="e">
        <f t="shared" ref="BB29:BB55" si="33">AC29*(IF($C29="INTERNO",IF(D29&gt;=$EG$16,$EI$16,IF(D29&gt;=$EG$15,$EI$15,IF(D29&gt;=$EG$14,$EI$14,IF(D29&gt;=$EG$13,$EI$13,IF(D29&gt;=$EG$12,$EI$12,IF(D29&gt;=$EG$11,$EI$11,IF(D29&gt;=$EG$10,$EI$10,0))))))),IF(D29&gt;=$EG$16,$EJ$16,IF(D29&gt;=$EG$15,$EJ$15,IF(D29&gt;=$EG$14,$EJ$14,IF(D29&gt;=$EG$13,$EJ$13,IF(D29&gt;=$EG$12,$EJ$12,IF(D29&gt;=$EG$11,$EJ$11,IF(D29&gt;=$EG$10,$EJ$10,0)))))))))</f>
        <v>#N/A</v>
      </c>
      <c r="BC29" s="318"/>
      <c r="BD29" s="318" t="e">
        <f t="shared" ref="BD29:BD55" si="34">AD29*(IF($C29="INTERNO",IF(E29&gt;=$EG$16,$EI$16,IF(E29&gt;=$EG$15,$EI$15,IF(E29&gt;=$EG$14,$EI$14,IF(E29&gt;=$EG$13,$EI$13,IF(E29&gt;=$EG$12,$EI$12,IF(E29&gt;=$EG$11,$EI$11,IF(E29&gt;=$EG$10,$EI$10,0))))))),IF(E29&gt;=$EG$16,$EJ$16,IF(E29&gt;=$EG$15,$EJ$15,IF(E29&gt;=$EG$14,$EJ$14,IF(E29&gt;=$EG$13,$EJ$13,IF(E29&gt;=$EG$12,$EJ$12,IF(E29&gt;=$EG$11,$EJ$11,IF(E29&gt;=$EG$10,$EJ$10,0)))))))))</f>
        <v>#N/A</v>
      </c>
      <c r="BE29" s="318"/>
      <c r="BF29" s="318" t="e">
        <f t="shared" ref="BF29:BF55" si="35">AE29*(IF($C29="INTERNO",IF(F29&gt;=$EG$16,$EI$16,IF(F29&gt;=$EG$15,$EI$15,IF(F29&gt;=$EG$14,$EI$14,IF(F29&gt;=$EG$13,$EI$13,IF(F29&gt;=$EG$12,$EI$12,IF(F29&gt;=$EG$11,$EI$11,IF(F29&gt;=$EG$10,$EI$10,0))))))),IF(F29&gt;=$EG$16,$EJ$16,IF(F29&gt;=$EG$15,$EJ$15,IF(F29&gt;=$EG$14,$EJ$14,IF(F29&gt;=$EG$13,$EJ$13,IF(F29&gt;=$EG$12,$EJ$12,IF(F29&gt;=$EG$11,$EJ$11,IF(F29&gt;=$EG$10,$EJ$10,0)))))))))</f>
        <v>#N/A</v>
      </c>
      <c r="BG29" s="318"/>
      <c r="BH29" s="318" t="e">
        <f t="shared" ref="BH29:BH55" si="36">AF29*(IF($C29="INTERNO",IF(G29&gt;=$EG$16,$EI$16,IF(G29&gt;=$EG$15,$EI$15,IF(G29&gt;=$EG$14,$EI$14,IF(G29&gt;=$EG$13,$EI$13,IF(G29&gt;=$EG$12,$EI$12,IF(G29&gt;=$EG$11,$EI$11,IF(G29&gt;=$EG$10,$EI$10,0))))))),IF(G29&gt;=$EG$16,$EJ$16,IF(G29&gt;=$EG$15,$EJ$15,IF(G29&gt;=$EG$14,$EJ$14,IF(G29&gt;=$EG$13,$EJ$13,IF(G29&gt;=$EG$12,$EJ$12,IF(G29&gt;=$EG$11,$EJ$11,IF(G29&gt;=$EG$10,$EJ$10,0)))))))))</f>
        <v>#N/A</v>
      </c>
      <c r="BI29" s="318"/>
      <c r="BJ29" s="318" t="e">
        <f t="shared" ref="BJ29:BJ55" si="37">AG29*(IF($C29="INTERNO",IF(H29&gt;=$EG$16,$EI$16,IF(H29&gt;=$EG$15,$EI$15,IF(H29&gt;=$EG$14,$EI$14,IF(H29&gt;=$EG$13,$EI$13,IF(H29&gt;=$EG$12,$EI$12,IF(H29&gt;=$EG$11,$EI$11,IF(H29&gt;=$EG$10,$EI$10,0))))))),IF(H29&gt;=$EG$16,$EJ$16,IF(H29&gt;=$EG$15,$EJ$15,IF(H29&gt;=$EG$14,$EJ$14,IF(H29&gt;=$EG$13,$EJ$13,IF(H29&gt;=$EG$12,$EJ$12,IF(H29&gt;=$EG$11,$EJ$11,IF(H29&gt;=$EG$10,$EJ$10,0)))))))))</f>
        <v>#N/A</v>
      </c>
      <c r="BK29" s="318"/>
      <c r="BL29" s="318" t="e">
        <f t="shared" ref="BL29:BL55" si="38">AH29*(IF($C29="INTERNO",IF(I29&gt;=$EG$16,$EI$16,IF(I29&gt;=$EG$15,$EI$15,IF(I29&gt;=$EG$14,$EI$14,IF(I29&gt;=$EG$13,$EI$13,IF(I29&gt;=$EG$12,$EI$12,IF(I29&gt;=$EG$11,$EI$11,IF(I29&gt;=$EG$10,$EI$10,0))))))),IF(I29&gt;=$EG$16,$EJ$16,IF(I29&gt;=$EG$15,$EJ$15,IF(I29&gt;=$EG$14,$EJ$14,IF(I29&gt;=$EG$13,$EJ$13,IF(I29&gt;=$EG$12,$EJ$12,IF(I29&gt;=$EG$11,$EJ$11,IF(I29&gt;=$EG$10,$EJ$10,0)))))))))</f>
        <v>#N/A</v>
      </c>
      <c r="BM29" s="318"/>
      <c r="BN29" s="318" t="e">
        <f t="shared" ref="BN29:BN55" si="39">AI29*(IF($C29="INTERNO",IF(J29&gt;=$EG$16,$EI$16,IF(J29&gt;=$EG$15,$EI$15,IF(J29&gt;=$EG$14,$EI$14,IF(J29&gt;=$EG$13,$EI$13,IF(J29&gt;=$EG$12,$EI$12,IF(J29&gt;=$EG$11,$EI$11,IF(J29&gt;=$EG$10,$EI$10,0))))))),IF(J29&gt;=$EG$16,$EJ$16,IF(J29&gt;=$EG$15,$EJ$15,IF(J29&gt;=$EG$14,$EJ$14,IF(J29&gt;=$EG$13,$EJ$13,IF(J29&gt;=$EG$12,$EJ$12,IF(J29&gt;=$EG$11,$EJ$11,IF(J29&gt;=$EG$10,$EJ$10,0)))))))))</f>
        <v>#N/A</v>
      </c>
      <c r="BO29" s="318"/>
      <c r="BP29" s="318" t="e">
        <f t="shared" ref="BP29:BP55" si="40">AJ29*(IF($C29="INTERNO",IF(K29&gt;=$EG$16,$EI$16,IF(K29&gt;=$EG$15,$EI$15,IF(K29&gt;=$EG$14,$EI$14,IF(K29&gt;=$EG$13,$EI$13,IF(K29&gt;=$EG$12,$EI$12,IF(K29&gt;=$EG$11,$EI$11,IF(K29&gt;=$EG$10,$EI$10,0))))))),IF(K29&gt;=$EG$16,$EJ$16,IF(K29&gt;=$EG$15,$EJ$15,IF(K29&gt;=$EG$14,$EJ$14,IF(K29&gt;=$EG$13,$EJ$13,IF(K29&gt;=$EG$12,$EJ$12,IF(K29&gt;=$EG$11,$EJ$11,IF(K29&gt;=$EG$10,$EJ$10,0)))))))))</f>
        <v>#N/A</v>
      </c>
      <c r="BQ29" s="318"/>
      <c r="BR29" s="318" t="e">
        <f t="shared" ref="BR29:BR37" si="41">AK29*(IF(C29="INTERNO",IF(L29&gt;=$EG$16,$EI$16,IF(L29&gt;=$EG$15,$EI$15,IF(L29&gt;=$EG$14,$EI$14,IF(L29&gt;=$EG$13,$EI$13,IF(L29&gt;=$EG$12,$EI$12,IF(L29&gt;=$EG$11,$EI$11,IF(L29&gt;=$EG$10,$EI$10,0))))))),IF(L29&gt;=$EG$16,$EJ$16,IF(L29&gt;=$EG$15,$EJ$15,IF(L29&gt;=$EG$14,$EJ$14,IF(L29&gt;=$EG$13,$EJ$13,IF(L29&gt;=$EG$12,$EJ$12,IF(L29&gt;=$EG$11,$EJ$11,IF(L29&gt;=$EG$10,$EJ$10,0)))))))))</f>
        <v>#N/A</v>
      </c>
      <c r="BS29" s="318"/>
      <c r="BT29" s="318" t="e">
        <f t="shared" ref="BT29:BT37" si="42">((AK29+AL29)*(IF(C29="INTERNO",IF((L29+M29)&gt;=$EG$16,$EI$16,IF((L29+M29)&gt;=$EG$15,$EI$15,IF((L29+M29)&gt;=$EG$14,$EI$14,IF((L29+M29)&gt;=$EG$13,$EI$13,IF((L29+M29)&gt;=$EG$12,$EI$12,IF((L29+M29)&gt;=$EG$11,$EI$11,IF((L29+M29)&gt;=$EG$10,$EI$10,0))))))),IF((L29+M29)&gt;=$EG$16,$EJ$16,IF((L29+M29)&gt;=$EG$15,$EJ$15,IF((L29+M29)&gt;=$EG$14,$EJ$14,IF((L29+M29)&gt;=$EG$13,$EJ$13,IF((L29+M29)&gt;=$EG$12,$EJ$12,IF((L29+M29)&gt;=$EG$11,$EJ$11,IF((L29+M29)&gt;=$EG$10,$EJ$10,0))))))))))-BR29</f>
        <v>#N/A</v>
      </c>
      <c r="BU29" s="318" t="e">
        <f t="shared" ref="BU29:BU55" si="43">AM29*(IF(C29="INTERNO",IF(N29&gt;=$EG$16,$EI$16,IF(N29&gt;=$EG$15,$EI$15,IF(N29&gt;=$EG$14,$EI$14,IF(N29&gt;=$EG$13,$EI$13,IF(N29&gt;=$EG$12,$EI$12,IF(N29&gt;=$EG$11,$EI$11,IF(N29&gt;=$EG$10,$EI$10,0))))))),IF(N29&gt;=$EG$16,$EJ$16,IF(N29&gt;=$EG$15,$EJ$15,IF(N29&gt;=$EG$14,$EJ$14,IF(N29&gt;=$EG$13,$EJ$13,IF(N29&gt;=$EG$12,$EJ$12,IF(N29&gt;=$EG$11,$EJ$11,IF(N29&gt;=$EG$10,$EJ$10,0)))))))))</f>
        <v>#N/A</v>
      </c>
      <c r="BV29" s="318"/>
      <c r="BW29" s="318" t="e">
        <f t="shared" ref="BW29:BW34" si="44">((AM29+AN29)*(IF(C29="INTERNO",IF((N29+O29)&gt;=$EG$16,$EI$16,IF((N29+O29)&gt;=$EG$15,$EI$15,IF((N29+O29)&gt;=$EG$14,$EI$14,IF((N29+O29)&gt;=$EG$13,$EI$13,IF((N29+O29)&gt;=$EG$12,$EI$12,IF((N29+O29)&gt;=$EG$11,$EI$11,IF((N29+O29)&gt;=$EG$10,$EI$10,0))))))),IF((N29+O29)&gt;=$EG$16,$EJ$16,IF((N29+O29)&gt;=$EG$15,$EJ$15,IF((N29+O29)&gt;=$EG$14,$EJ$14,IF((N29+O29)&gt;=$EG$13,$EJ$13,IF((N29+O29)&gt;=$EG$12,$EJ$12,IF((N29+O29)&gt;=$EG$11,$EJ$11,IF((N29+O29)&gt;=$EG$10,$EJ$10,0))))))))))-BU29</f>
        <v>#N/A</v>
      </c>
      <c r="BX29" s="318"/>
      <c r="BY29" s="318" t="e">
        <f t="shared" ref="BY29:BY55" si="45">AO29*(IF(C29="INTERNO",IF(P29&gt;=$EG$16,$EI$16,IF(P29&gt;=$EG$15,$EI$15,IF(P29&gt;=$EG$14,$EI$14,IF(P29&gt;=$EG$13,$EI$13,IF(P29&gt;=$EG$12,$EI$12,IF(P29&gt;=$EG$11,$EI$11,IF(P29&gt;=$EG$10,$EI$10,0))))))),IF(P29&gt;=$EG$16,$EJ$16,IF(P29&gt;=$EG$15,$EJ$15,IF(P29&gt;=$EG$14,$EJ$14,IF(P29&gt;=$EG$13,$EJ$13,IF(P29&gt;=$EG$12,$EJ$12,IF(P29&gt;=$EG$11,$EJ$11,IF(P29&gt;=$EG$10,$EJ$10,0)))))))))</f>
        <v>#N/A</v>
      </c>
      <c r="BZ29" s="318"/>
      <c r="CA29" s="318" t="e">
        <f t="shared" ref="CA29:CA55" si="46">((AO29+AP29)*(IF(C29="INTERNO",IF((P29+Q29)&gt;=$EG$16,$EI$16,IF((P29+Q29)&gt;=$EG$15,$EI$15,IF((P29+Q29)&gt;=$EG$14,$EI$14,IF((P29+Q29)&gt;=$EG$13,$EI$13,IF((P29+Q29)&gt;=$EG$12,$EI$12,IF((P29+Q29)&gt;=$EG$11,$EI$11,IF((P29+Q29)&gt;=$EG$10,$EI$10,0))))))),IF((P29+Q29)&gt;=$EG$16,$EJ$16,IF((P29+Q29)&gt;=$EG$15,$EJ$15,IF((P29+Q29)&gt;=$EG$14,$EJ$14,IF((P29+Q29)&gt;=$EG$13,$EJ$13,IF((P29+Q29)&gt;=$EG$12,$EJ$12,IF((P29+Q29)&gt;=$EG$11,$EJ$11,IF((P29+Q29)&gt;=$EG$10,$EJ$10,0))))))))))-BY29</f>
        <v>#N/A</v>
      </c>
      <c r="CB29" s="318"/>
      <c r="CC29" s="318" t="e">
        <f t="shared" ref="CC29:CC55" si="47">AQ29*(IF(C29="INTERNO",IF(R29&gt;=$EG$16,$EI$16,IF(R29&gt;=$EG$15,$EI$15,IF(R29&gt;=$EG$14,$EI$14,IF(R29&gt;=$EG$13,$EI$13,IF(R29&gt;=$EG$12,$EI$12,IF(R29&gt;=$EG$11,$EI$11,IF(R29&gt;=$EG$10,$EI$10,0))))))),IF(R29&gt;=$EG$16,$EJ$16,IF(R29&gt;=$EG$15,$EJ$15,IF(R29&gt;=$EG$14,$EJ$14,IF(R29&gt;=$EG$13,$EJ$13,IF(R29&gt;=$EG$12,$EJ$12,IF(R29&gt;=$EG$11,$EJ$11,IF(R29&gt;=$EG$10,$EJ$10,0)))))))))</f>
        <v>#N/A</v>
      </c>
      <c r="CD29" s="318"/>
      <c r="CE29" s="318" t="e">
        <f t="shared" ref="CE29:CE55" si="48">((AQ29+AR29)*(IF(C29="INTERNO",IF((R29+S29)&gt;=$EG$16,$EI$16,IF((R29+S29)&gt;=$EG$15,$EI$15,IF((R29+S29)&gt;=$EG$14,$EI$14,IF((R29+S29)&gt;=$EG$13,$EI$13,IF((R29+S29)&gt;=$EG$12,$EI$12,IF((R29+S29)&gt;=$EG$11,$EI$11,IF((R29+S29)&gt;=$EG$10,$EI$10,0))))))),IF((R29+S29)&gt;=$EG$16,$EJ$16,IF((R29+S29)&gt;=$EG$15,$EJ$15,IF((R29+S29)&gt;=$EG$14,$EJ$14,IF((R29+S29)&gt;=$EG$13,$EJ$13,IF((R29+S29)&gt;=$EG$12,$EJ$12,IF((R29+S29)&gt;=$EG$11,$EJ$11,IF((R29+S29)&gt;=$EG$10,$EJ$10,0))))))))))-CC29</f>
        <v>#N/A</v>
      </c>
      <c r="CF29" s="318"/>
      <c r="CG29" s="318" t="e">
        <f t="shared" ref="CG29:CG55" si="49">AS29*(IF(C29="INTERNO",IF(T29&gt;=$EG$16,$EI$16,IF(T29&gt;=$EG$15,$EI$15,IF(T29&gt;=$EG$14,$EI$14,IF(T29&gt;=$EG$13,$EI$13,IF(T29&gt;=$EG$12,$EI$12,IF(T29&gt;=$EG$11,$EI$11,IF(T29&gt;=$EG$10,$EI$10,0))))))),IF(T29&gt;=$EG$16,$EJ$16,IF(T29&gt;=$EG$15,$EJ$15,IF(T29&gt;=$EG$14,$EJ$14,IF(T29&gt;=$EG$13,$EJ$13,IF(T29&gt;=$EG$12,$EJ$12,IF(T29&gt;=$EG$11,$EJ$11,IF(T29&gt;=$EG$10,$EJ$10,0)))))))))</f>
        <v>#N/A</v>
      </c>
      <c r="CH29" s="318"/>
      <c r="CI29" s="318" t="e">
        <f t="shared" ref="CI29:CI55" si="50">AT29*(IF(C29="INTERNO",IF(U29&gt;=$EG$16,$EI$16,IF(U29&gt;=$EG$15,$EI$15,IF(U29&gt;=$EG$14,$EI$14,IF(U29&gt;=$EG$13,$EI$13,IF(U29&gt;=$EG$12,$EI$12,IF(U29&gt;=$EG$11,$EI$11,IF(U29&gt;=$EG$10,$EI$10,0))))))),IF(U29&gt;=$EG$16,$EJ$16,IF(U29&gt;=$EG$15,$EJ$15,IF(U29&gt;=$EG$14,$EJ$14,IF(U29&gt;=$EG$13,$EJ$13,IF(U29&gt;=$EG$12,$EJ$12,IF(U29&gt;=$EG$11,$EJ$11,IF(U29&gt;=$EG$10,$EJ$10,0)))))))))</f>
        <v>#N/A</v>
      </c>
      <c r="CJ29" s="318"/>
      <c r="CK29" s="318" t="e">
        <f t="shared" ref="CK29:CK55" si="51">AU29*(IF($C29="INTERNO",IF(V29&gt;=$EG$16,$EI$16,IF(V29&gt;=$EG$15,$EI$15,IF(V29&gt;=$EG$14,$EI$14,IF(V29&gt;=$EG$13,$EI$13,IF(V29&gt;=$EG$12,$EI$12,IF(V29&gt;=$EG$11,$EI$11,IF(V29&gt;=$EG$10,$EI$10,0))))))),IF(V29&gt;=$EG$16,$EJ$16,IF(V29&gt;=$EG$15,$EJ$15,IF(V29&gt;=$EG$14,$EJ$14,IF(V29&gt;=$EG$13,$EJ$13,IF(V29&gt;=$EG$12,$EJ$12,IF(V29&gt;=$EG$11,$EJ$11,IF(V29&gt;=$EG$10,$EJ$10,0)))))))))</f>
        <v>#N/A</v>
      </c>
      <c r="CL29" s="318"/>
      <c r="CM29" s="318" t="e">
        <f t="shared" ref="CM29:CM55" si="52">AV29*(IF($C29="INTERNO",IF(W29&gt;=$EG$16,$EI$16,IF(W29&gt;=$EG$15,$EI$15,IF(W29&gt;=$EG$14,$EI$14,IF(W29&gt;=$EG$13,$EI$13,IF(W29&gt;=$EG$12,$EI$12,IF(W29&gt;=$EG$11,$EI$11,IF(W29&gt;=$EG$10,$EI$10,0))))))),IF(W29&gt;=$EG$16,$EJ$16,IF(W29&gt;=$EG$15,$EJ$15,IF(W29&gt;=$EG$14,$EJ$14,IF(W29&gt;=$EG$13,$EJ$13,IF(W29&gt;=$EG$12,$EJ$12,IF(W29&gt;=$EG$11,$EJ$11,IF(W29&gt;=$EG$10,$EJ$10,0)))))))))</f>
        <v>#N/A</v>
      </c>
      <c r="CN29" s="318"/>
      <c r="CO29" s="318" t="e">
        <f t="shared" ref="CO29:CO55" si="53">AW29*(IF($C29="INTERNO",IF(X29&gt;=$EG$16,$EI$16,IF(X29&gt;=$EG$15,$EI$15,IF(X29&gt;=$EG$14,$EI$14,IF(X29&gt;=$EG$13,$EI$13,IF(X29&gt;=$EG$12,$EI$12,IF(X29&gt;=$EG$11,$EI$11,IF(X29&gt;=$EG$10,$EI$10,0))))))),IF(X29&gt;=$EG$16,$EJ$16,IF(X29&gt;=$EG$15,$EJ$15,IF(X29&gt;=$EG$14,$EJ$14,IF(X29&gt;=$EG$13,$EJ$13,IF(X29&gt;=$EG$12,$EJ$12,IF(X29&gt;=$EG$11,$EJ$11,IF(X29&gt;=$EG$10,$EJ$10,0)))))))))</f>
        <v>#N/A</v>
      </c>
      <c r="CP29" s="318"/>
      <c r="CQ29" s="318" t="e">
        <f t="shared" ref="CQ29:CQ55" si="54">AX29*(IF($C29="INTERNO",IF(Y29&gt;=$EG$16,$EI$16,IF(Y29&gt;=$EG$15,$EI$15,IF(Y29&gt;=$EG$14,$EI$14,IF(Y29&gt;=$EG$13,$EI$13,IF(Y29&gt;=$EG$12,$EI$12,IF(Y29&gt;=$EG$11,$EI$11,IF(Y29&gt;=$EG$10,$EI$10,0))))))),IF(Y29&gt;=$EG$16,$EJ$16,IF(Y29&gt;=$EG$15,$EJ$15,IF(Y29&gt;=$EG$14,$EJ$14,IF(Y29&gt;=$EG$13,$EJ$13,IF(Y29&gt;=$EG$12,$EJ$12,IF(Y29&gt;=$EG$11,$EJ$11,IF(Y29&gt;=$EG$10,$EJ$10,0)))))))))</f>
        <v>#N/A</v>
      </c>
      <c r="CR29" s="318"/>
      <c r="CS29" s="318" t="e">
        <f t="shared" ref="CS29:CS55" si="55">AY29*(IF($C29="INTERNO",IF(Z29&gt;=$EG$16,$EI$16,IF(Z29&gt;=$EG$15,$EI$15,IF(Z29&gt;=$EG$14,$EI$14,IF(Z29&gt;=$EG$13,$EI$13,IF(Z29&gt;=$EG$12,$EI$12,IF(Z29&gt;=$EG$11,$EI$11,IF(Z29&gt;=$EG$10,$EI$10,0))))))),IF(Z29&gt;=$EG$16,$EJ$16,IF(Z29&gt;=$EG$15,$EJ$15,IF(Z29&gt;=$EG$14,$EJ$14,IF(Z29&gt;=$EG$13,$EJ$13,IF(Z29&gt;=$EG$12,$EJ$12,IF(Z29&gt;=$EG$11,$EJ$11,IF(Z29&gt;=$EG$10,$EJ$10,0)))))))))</f>
        <v>#N/A</v>
      </c>
      <c r="CT29" s="318"/>
      <c r="CU29" s="318" t="e">
        <f t="shared" ref="CU29:CU55" si="56">AZ29*(IF($C29="INTERNO",IF(AA29&gt;=$EG$16,$EI$16,IF(AA29&gt;=$EG$15,$EI$15,IF(AA29&gt;=$EG$14,$EI$14,IF(AA29&gt;=$EG$13,$EI$13,IF(AA29&gt;=$EG$12,$EI$12,IF(AA29&gt;=$EG$11,$EI$11,IF(AA29&gt;=$EG$10,$EI$10,0))))))),IF(AA29&gt;=$EG$16,$EJ$16,IF(AA29&gt;=$EG$15,$EJ$15,IF(AA29&gt;=$EG$14,$EJ$14,IF(AA29&gt;=$EG$13,$EJ$13,IF(AA29&gt;=$EG$12,$EJ$12,IF(AA29&gt;=$EG$11,$EJ$11,IF(AA29&gt;=$EG$10,$EJ$10,0)))))))))</f>
        <v>#N/A</v>
      </c>
      <c r="CV29" s="318"/>
      <c r="CW29" s="318" t="e">
        <f t="shared" si="26"/>
        <v>#N/A</v>
      </c>
      <c r="CX29" s="330"/>
      <c r="CY29" s="330"/>
      <c r="CZ29" s="330"/>
      <c r="DA29" s="330"/>
      <c r="DB29" s="330"/>
      <c r="DC29" s="330"/>
      <c r="DD29" s="330"/>
      <c r="DE29" s="330"/>
      <c r="DF29" s="330"/>
      <c r="DG29" s="330"/>
      <c r="DH29" s="330"/>
      <c r="DI29" s="330"/>
      <c r="DJ29" s="330"/>
      <c r="DK29" s="330"/>
      <c r="DL29" s="330"/>
      <c r="DM29" s="330"/>
      <c r="DN29" s="330"/>
      <c r="DO29" s="330"/>
      <c r="DP29" s="330"/>
      <c r="DQ29" s="330"/>
      <c r="DR29" s="330"/>
      <c r="DS29" s="330"/>
      <c r="DT29" s="330"/>
      <c r="DU29" s="330"/>
      <c r="DV29" s="331">
        <f t="shared" si="30"/>
        <v>0</v>
      </c>
      <c r="DW29" s="130">
        <f t="shared" si="27"/>
        <v>0</v>
      </c>
      <c r="DX29" s="131" t="e">
        <f t="shared" si="28"/>
        <v>#N/A</v>
      </c>
      <c r="DY29" s="147">
        <f t="shared" si="31"/>
        <v>0</v>
      </c>
      <c r="DZ29" s="298">
        <f t="shared" si="29"/>
        <v>0</v>
      </c>
      <c r="ED29" s="163"/>
    </row>
    <row r="30" spans="2:140" ht="15.75" x14ac:dyDescent="0.3">
      <c r="B30" t="s">
        <v>291</v>
      </c>
      <c r="C30" s="297" t="s">
        <v>485</v>
      </c>
      <c r="D30" s="326">
        <f>SUMIFS(Tabla110[[#All],[Venta Total]],Tabla110[[#All],[Asesor]],B30,Tabla110[[#All],[Fecha Cobranza]],"&lt;"&amp;$D$6,Tabla110[[#All],[Fecha Cobranza]],"&gt;="&amp;$B$6)</f>
        <v>0</v>
      </c>
      <c r="E30" s="326">
        <f>SUMIFS(Tabla110[[#All],[Venta Total]],Tabla110[[#All],[Asesor]],B30,Tabla110[[#All],[Fecha Cobranza]],"&lt;"&amp;$E$6,Tabla110[[#All],[Fecha Cobranza]],"&gt;="&amp;$D$6)</f>
        <v>0</v>
      </c>
      <c r="F30" s="326">
        <f>SUMIFS(Tabla110[[#All],[Venta Total]],Tabla110[[#All],[Asesor]],B30,Tabla110[[#All],[Fecha Cobranza]],"&lt;"&amp;$F$6,Tabla110[[#All],[Fecha Cobranza]],"&gt;="&amp;$E$6)</f>
        <v>0</v>
      </c>
      <c r="G30" s="326">
        <f>SUMIFS(Tabla110[[#All],[Venta Total]],Tabla110[[#All],[Asesor]],B30,Tabla110[[#All],[Fecha Cobranza]],"&lt;"&amp;$G$6,Tabla110[[#All],[Fecha Cobranza]],"&gt;="&amp;$F$6)</f>
        <v>0</v>
      </c>
      <c r="H30" s="326">
        <f>SUMIFS(Tabla110[[#All],[Venta Total]],Tabla110[[#All],[Asesor]],B30,Tabla110[[#All],[Fecha Cobranza]],"&lt;"&amp;$H$6,Tabla110[[#All],[Fecha Cobranza]],"&gt;="&amp;$G$6)</f>
        <v>0</v>
      </c>
      <c r="I30" s="326">
        <f>SUMIFS(Tabla110[[#All],[Venta Total]],Tabla110[[#All],[Asesor]],B30,Tabla110[[#All],[Fecha Cobranza]],"&lt;"&amp;$I$6,Tabla110[[#All],[Fecha Cobranza]],"&gt;="&amp;$H$6)</f>
        <v>0</v>
      </c>
      <c r="J30" s="326">
        <f>SUMIFS(Tabla110[[#All],[Venta Total]],Tabla110[[#All],[Asesor]],B30,Tabla110[[#All],[Fecha Cobranza]],"&lt;"&amp;$J$6,Tabla110[[#All],[Fecha Cobranza]],"&gt;="&amp;$I$6)</f>
        <v>0</v>
      </c>
      <c r="K30" s="326">
        <f>SUMIFS(Tabla110[[#All],[Venta Total]],Tabla110[[#All],[Asesor]],B30,Tabla110[[#All],[Fecha Cobranza]],"&lt;"&amp;$K$6,Tabla110[[#All],[Fecha Cobranza]],"&gt;="&amp;$J$6)</f>
        <v>0</v>
      </c>
      <c r="L30" s="326">
        <f>SUMIFS(Tabla110[[#All],[Venta Total]],Tabla110[[#All],[Asesor]],B30,Tabla110[[#All],[Fecha Cobranza]],"&lt;"&amp;$L$6,Tabla110[[#All],[Fecha Cobranza]],"&gt;="&amp;$K$6)</f>
        <v>0</v>
      </c>
      <c r="M30" s="326">
        <f>SUMIFS(Tabla110[[#All],[Venta Total]],Tabla110[[#All],[Asesor]],B30,Tabla110[[#All],[Fecha Cobranza]],"&lt;"&amp;$M$6,Tabla110[[#All],[Fecha Cobranza]],"&gt;="&amp;$L$6)</f>
        <v>0</v>
      </c>
      <c r="N30" s="326">
        <f>SUMIFS(Tabla110[[#All],[Venta Total]],Tabla110[[#All],[Asesor]],B30,Tabla110[[#All],[Fecha Cobranza]],"&lt;"&amp;$N$6,Tabla110[[#All],[Fecha Cobranza]],"&gt;="&amp;$M$6)</f>
        <v>0</v>
      </c>
      <c r="O30" s="326">
        <f>SUMIFS(Tabla110[[#All],[Venta Total]],Tabla110[[#All],[Asesor]],B30,Tabla110[[#All],[Fecha Cobranza]],"&lt;"&amp;$O$6,Tabla110[[#All],[Fecha Cobranza]],"&gt;="&amp;$N$6)</f>
        <v>0</v>
      </c>
      <c r="P30" s="326">
        <f>SUMIFS(Tabla110[[#All],[Venta Total]],Tabla110[[#All],[Asesor]],B30,Tabla110[[#All],[Fecha Cobranza]],"&lt;"&amp;$P$6,Tabla110[[#All],[Fecha Cobranza]],"&gt;="&amp;$O$6)</f>
        <v>0</v>
      </c>
      <c r="Q30" s="326">
        <f>SUMIFS(Tabla110[[#All],[Venta Total]],Tabla110[[#All],[Asesor]],B30,Tabla110[[#All],[Fecha Cobranza]],"&lt;"&amp;$Q$6,Tabla110[[#All],[Fecha Cobranza]],"&gt;="&amp;$P$6)</f>
        <v>0</v>
      </c>
      <c r="R30" s="326">
        <f>SUMIFS(Tabla110[[#All],[Venta Total]],Tabla110[[#All],[Asesor]],B30,Tabla110[[#All],[Fecha Cobranza]],"&lt;"&amp;$R$6,Tabla110[[#All],[Fecha Cobranza]],"&gt;="&amp;$Q$6)</f>
        <v>0</v>
      </c>
      <c r="S30" s="326">
        <f>SUMIFS(Tabla110[[#All],[Venta Total]],Tabla110[[#All],[Asesor]],B30,Tabla110[[#All],[Fecha Cobranza]],"&lt;"&amp;$S$6,Tabla110[[#All],[Fecha Cobranza]],"&gt;="&amp;$R$6)</f>
        <v>0</v>
      </c>
      <c r="T30" s="326">
        <f>SUMIFS(Tabla110[[#All],[Venta Total]],Tabla110[[#All],[Asesor]],$B30,Tabla110[[#All],[Fecha Cobranza]],"&lt;"&amp;T$6,Tabla110[[#All],[Fecha Cobranza]],"&gt;="&amp;S$6)</f>
        <v>0</v>
      </c>
      <c r="U30" s="326">
        <f>SUMIFS(Tabla110[[#All],[Venta Total]],Tabla110[[#All],[Asesor]],$B30,Tabla110[[#All],[Fecha Cobranza]],"&lt;"&amp;U$6,Tabla110[[#All],[Fecha Cobranza]],"&gt;="&amp;T$6)</f>
        <v>0</v>
      </c>
      <c r="V30" s="326">
        <f>SUMIFS(Tabla110[[#All],[Venta Total]],Tabla110[[#All],[Asesor]],$B30,Tabla110[[#All],[Fecha Cobranza]],"&lt;"&amp;V$6,Tabla110[[#All],[Fecha Cobranza]],"&gt;="&amp;U$6)</f>
        <v>0</v>
      </c>
      <c r="W30" s="326">
        <f>SUMIFS(Tabla110[[#All],[Venta Total]],Tabla110[[#All],[Asesor]],$B30,Tabla110[[#All],[Fecha Cobranza]],"&lt;"&amp;W$6,Tabla110[[#All],[Fecha Cobranza]],"&gt;="&amp;V$6)</f>
        <v>0</v>
      </c>
      <c r="X30" s="326">
        <f>SUMIFS(Tabla110[[#All],[Venta Total]],Tabla110[[#All],[Asesor]],$B30,Tabla110[[#All],[Fecha Cobranza]],"&lt;"&amp;X$6,Tabla110[[#All],[Fecha Cobranza]],"&gt;="&amp;W$6)</f>
        <v>0</v>
      </c>
      <c r="Y30" s="326">
        <f>SUMIFS(Tabla110[[#All],[Venta Total]],Tabla110[[#All],[Asesor]],$B30,Tabla110[[#All],[Fecha Cobranza]],"&lt;"&amp;Y$6,Tabla110[[#All],[Fecha Cobranza]],"&gt;="&amp;X$6)</f>
        <v>0</v>
      </c>
      <c r="Z30" s="326">
        <f>SUMIFS(Tabla110[[#All],[Venta Total]],Tabla110[[#All],[Asesor]],$B30,Tabla110[[#All],[Fecha Cobranza]],"&lt;"&amp;Z$6,Tabla110[[#All],[Fecha Cobranza]],"&gt;="&amp;Y$6)</f>
        <v>0</v>
      </c>
      <c r="AA30" s="326">
        <f>SUMIFS(Tabla110[[#All],[Venta Total]],Tabla110[[#All],[Asesor]],$B30,Tabla110[[#All],[Fecha Cobranza]],"&lt;"&amp;AA$6,Tabla110[[#All],[Fecha Cobranza]],"&gt;="&amp;Z$6)</f>
        <v>0</v>
      </c>
      <c r="AB30" s="327">
        <f t="shared" si="0"/>
        <v>0</v>
      </c>
      <c r="AC30" s="322">
        <f>SUMIFS(Tabla110[[#All],[Utilidad Bruta Total]],Tabla110[[#All],[Asesor]],B30,Tabla110[[#All],[Fecha Cobranza]],"&lt;"&amp;$AC$6,Tabla110[[#All],[Fecha Cobranza]],"&gt;="&amp;$B$6)</f>
        <v>0</v>
      </c>
      <c r="AD30" s="322">
        <f>SUMIFS(Tabla110[[#All],[Utilidad Bruta Total]],Tabla110[[#All],[Asesor]],B30,Tabla110[[#All],[Fecha Cobranza]],"&lt;"&amp;$AD$6,Tabla110[[#All],[Fecha Cobranza]],"&gt;="&amp;$AC$6)</f>
        <v>0</v>
      </c>
      <c r="AE30" s="322">
        <f>SUMIFS(Tabla110[[#All],[Utilidad Bruta Total]],Tabla110[[#All],[Asesor]],B30,Tabla110[[#All],[Fecha Cobranza]],"&lt;"&amp;$AE$6,Tabla110[[#All],[Fecha Cobranza]],"&gt;="&amp;$AD$6)</f>
        <v>0</v>
      </c>
      <c r="AF30" s="322">
        <f>SUMIFS(Tabla110[[#All],[Utilidad Bruta Total]],Tabla110[[#All],[Asesor]],B30,Tabla110[[#All],[Fecha Cobranza]],"&lt;"&amp;$AF$6,Tabla110[[#All],[Fecha Cobranza]],"&gt;="&amp;$AE$6)</f>
        <v>0</v>
      </c>
      <c r="AG30" s="322">
        <f>SUMIFS(Tabla110[[#All],[Utilidad Bruta Total]],Tabla110[[#All],[Asesor]],B30,Tabla110[[#All],[Fecha Cobranza]],"&lt;"&amp;$AG$6,Tabla110[[#All],[Fecha Cobranza]],"&gt;="&amp;$AF$6)</f>
        <v>0</v>
      </c>
      <c r="AH30" s="322">
        <f>SUMIFS(Tabla110[[#All],[Utilidad Bruta Total]],Tabla110[[#All],[Asesor]],B30,Tabla110[[#All],[Fecha Cobranza]],"&lt;"&amp;$AH$6,Tabla110[[#All],[Fecha Cobranza]],"&gt;="&amp;$AG$6)</f>
        <v>0</v>
      </c>
      <c r="AI30" s="322">
        <f>SUMIFS(Tabla110[[#All],[Utilidad Bruta Total]],Tabla110[[#All],[Asesor]],B30,Tabla110[[#All],[Fecha Cobranza]],"&lt;"&amp;$AI$6,Tabla110[[#All],[Fecha Cobranza]],"&gt;="&amp;$AH$6)</f>
        <v>0</v>
      </c>
      <c r="AJ30" s="322">
        <f>SUMIFS(Tabla110[[#All],[Utilidad Bruta Total]],Tabla110[[#All],[Asesor]],B30,Tabla110[[#All],[Fecha Cobranza]],"&lt;"&amp;$AJ$6,Tabla110[[#All],[Fecha Cobranza]],"&gt;="&amp;$AI$6)</f>
        <v>0</v>
      </c>
      <c r="AK30" s="322">
        <f>SUMIFS(Tabla110[[#All],[Utilidad Bruta Total]],Tabla110[[#All],[Asesor]],B30,Tabla110[[#All],[Fecha Cobranza]],"&lt;"&amp;$AK$6,Tabla110[[#All],[Fecha Cobranza]],"&gt;="&amp;$AJ$6)</f>
        <v>0</v>
      </c>
      <c r="AL30" s="322">
        <f>SUMIFS(Tabla110[[#All],[Utilidad Bruta Total]],Tabla110[[#All],[Asesor]],B30,Tabla110[[#All],[Fecha Cobranza]],"&lt;"&amp;$AL$6,Tabla110[[#All],[Fecha Cobranza]],"&gt;="&amp;$AK$6)</f>
        <v>0</v>
      </c>
      <c r="AM30" s="322">
        <f>SUMIFS(Tabla110[[#All],[Utilidad Bruta Total]],Tabla110[[#All],[Asesor]],B30,Tabla110[[#All],[Fecha Cobranza]],"&lt;"&amp;$AM$6,Tabla110[[#All],[Fecha Cobranza]],"&gt;="&amp;$AL$6)</f>
        <v>0</v>
      </c>
      <c r="AN30" s="322">
        <f>SUMIFS(Tabla110[[#All],[Utilidad Bruta Total]],Tabla110[[#All],[Asesor]],B30,Tabla110[[#All],[Fecha Cobranza]],"&lt;"&amp;$AN$6,Tabla110[[#All],[Fecha Cobranza]],"&gt;="&amp;$AM$6)</f>
        <v>0</v>
      </c>
      <c r="AO30" s="322">
        <f>SUMIFS(Tabla110[[#All],[Utilidad Bruta Total]],Tabla110[[#All],[Asesor]],B30,Tabla110[[#All],[Fecha Cobranza]],"&lt;"&amp;$AO$6,Tabla110[[#All],[Fecha Cobranza]],"&gt;="&amp;$AN$6)</f>
        <v>0</v>
      </c>
      <c r="AP30" s="322">
        <f>SUMIFS(Tabla110[[#All],[Utilidad Bruta Total]],Tabla110[[#All],[Asesor]],B30,Tabla110[[#All],[Fecha Cobranza]],"&lt;"&amp;$AP$6,Tabla110[[#All],[Fecha Cobranza]],"&gt;="&amp;$AO$6)</f>
        <v>0</v>
      </c>
      <c r="AQ30" s="322">
        <f>SUMIFS(Tabla110[[#All],[Utilidad Bruta Total]],Tabla110[[#All],[Asesor]],B30,Tabla110[[#All],[Fecha Cobranza]],"&lt;"&amp;$AQ$6,Tabla110[[#All],[Fecha Cobranza]],"&gt;="&amp;$AP$6)</f>
        <v>0</v>
      </c>
      <c r="AR30" s="322">
        <f>SUMIFS(Tabla110[[#All],[Utilidad Bruta Total]],Tabla110[[#All],[Asesor]],B30,Tabla110[[#All],[Fecha Cobranza]],"&lt;"&amp;$AR$6,Tabla110[[#All],[Fecha Cobranza]],"&gt;="&amp;$AQ$6)</f>
        <v>0</v>
      </c>
      <c r="AS30" s="322">
        <f>SUMIFS(Tabla110[[#All],[Utilidad Bruta Total]],Tabla110[[#All],[Asesor]],$B30,Tabla110[[#All],[Fecha Cobranza]],"&lt;"&amp;AS$6,Tabla110[[#All],[Fecha Cobranza]],"&gt;="&amp;AR$6)</f>
        <v>0</v>
      </c>
      <c r="AT30" s="322">
        <f>SUMIFS(Tabla110[[#All],[Utilidad Bruta Total]],Tabla110[[#All],[Asesor]],$B30,Tabla110[[#All],[Fecha Cobranza]],"&lt;"&amp;AT$6,Tabla110[[#All],[Fecha Cobranza]],"&gt;="&amp;AS$6)</f>
        <v>0</v>
      </c>
      <c r="AU30" s="322">
        <f>SUMIFS(Tabla110[[#All],[Utilidad Bruta Total]],Tabla110[[#All],[Asesor]],$B30,Tabla110[[#All],[Fecha Cobranza]],"&lt;"&amp;AU$6,Tabla110[[#All],[Fecha Cobranza]],"&gt;="&amp;AT$6)</f>
        <v>0</v>
      </c>
      <c r="AV30" s="322">
        <f>SUMIFS(Tabla110[[#All],[Utilidad Bruta Total]],Tabla110[[#All],[Asesor]],$B30,Tabla110[[#All],[Fecha Cobranza]],"&lt;"&amp;AV$6,Tabla110[[#All],[Fecha Cobranza]],"&gt;="&amp;AU$6)</f>
        <v>0</v>
      </c>
      <c r="AW30" s="322">
        <f>SUMIFS(Tabla110[[#All],[Utilidad Bruta Total]],Tabla110[[#All],[Asesor]],$B30,Tabla110[[#All],[Fecha Cobranza]],"&lt;"&amp;AW$6,Tabla110[[#All],[Fecha Cobranza]],"&gt;="&amp;AV$6)</f>
        <v>0</v>
      </c>
      <c r="AX30" s="322">
        <f>SUMIFS(Tabla110[[#All],[Utilidad Bruta Total]],Tabla110[[#All],[Asesor]],$B30,Tabla110[[#All],[Fecha Cobranza]],"&lt;"&amp;AX$6,Tabla110[[#All],[Fecha Cobranza]],"&gt;="&amp;AW$6)</f>
        <v>0</v>
      </c>
      <c r="AY30" s="322">
        <f>SUMIFS(Tabla110[[#All],[Utilidad Bruta Total]],Tabla110[[#All],[Asesor]],$B30,Tabla110[[#All],[Fecha Cobranza]],"&lt;"&amp;AY$6,Tabla110[[#All],[Fecha Cobranza]],"&gt;="&amp;AX$6)</f>
        <v>0</v>
      </c>
      <c r="AZ30" s="322">
        <f>SUMIFS(Tabla110[[#All],[Utilidad Bruta Total]],Tabla110[[#All],[Asesor]],$B30,Tabla110[[#All],[Fecha Cobranza]],"&lt;"&amp;AZ$6,Tabla110[[#All],[Fecha Cobranza]],"&gt;="&amp;AY$6)</f>
        <v>0</v>
      </c>
      <c r="BA30" s="323">
        <f t="shared" si="1"/>
        <v>0</v>
      </c>
      <c r="BB30" s="318">
        <f t="shared" si="33"/>
        <v>0</v>
      </c>
      <c r="BC30" s="318"/>
      <c r="BD30" s="318">
        <f t="shared" si="34"/>
        <v>0</v>
      </c>
      <c r="BE30" s="318"/>
      <c r="BF30" s="318">
        <f t="shared" si="35"/>
        <v>0</v>
      </c>
      <c r="BG30" s="318"/>
      <c r="BH30" s="318">
        <f t="shared" si="36"/>
        <v>0</v>
      </c>
      <c r="BI30" s="318"/>
      <c r="BJ30" s="318">
        <f t="shared" si="37"/>
        <v>0</v>
      </c>
      <c r="BK30" s="318"/>
      <c r="BL30" s="318">
        <f t="shared" si="38"/>
        <v>0</v>
      </c>
      <c r="BM30" s="318"/>
      <c r="BN30" s="318">
        <f t="shared" si="39"/>
        <v>0</v>
      </c>
      <c r="BO30" s="318"/>
      <c r="BP30" s="318">
        <f t="shared" si="40"/>
        <v>0</v>
      </c>
      <c r="BQ30" s="318"/>
      <c r="BR30" s="318">
        <f t="shared" si="41"/>
        <v>0</v>
      </c>
      <c r="BS30" s="318"/>
      <c r="BT30" s="318">
        <f t="shared" si="42"/>
        <v>0</v>
      </c>
      <c r="BU30" s="318">
        <f t="shared" si="43"/>
        <v>0</v>
      </c>
      <c r="BV30" s="318"/>
      <c r="BW30" s="318">
        <f t="shared" si="44"/>
        <v>0</v>
      </c>
      <c r="BX30" s="318"/>
      <c r="BY30" s="318">
        <f t="shared" si="45"/>
        <v>0</v>
      </c>
      <c r="BZ30" s="318"/>
      <c r="CA30" s="318">
        <f t="shared" si="46"/>
        <v>0</v>
      </c>
      <c r="CB30" s="318"/>
      <c r="CC30" s="318">
        <f t="shared" si="47"/>
        <v>0</v>
      </c>
      <c r="CD30" s="318"/>
      <c r="CE30" s="318">
        <f t="shared" si="48"/>
        <v>0</v>
      </c>
      <c r="CF30" s="318"/>
      <c r="CG30" s="318">
        <f t="shared" si="49"/>
        <v>0</v>
      </c>
      <c r="CH30" s="318"/>
      <c r="CI30" s="318">
        <f t="shared" si="50"/>
        <v>0</v>
      </c>
      <c r="CJ30" s="318"/>
      <c r="CK30" s="318">
        <f t="shared" si="51"/>
        <v>0</v>
      </c>
      <c r="CL30" s="318"/>
      <c r="CM30" s="318">
        <f t="shared" si="52"/>
        <v>0</v>
      </c>
      <c r="CN30" s="318"/>
      <c r="CO30" s="318">
        <f t="shared" si="53"/>
        <v>0</v>
      </c>
      <c r="CP30" s="318"/>
      <c r="CQ30" s="318">
        <f t="shared" si="54"/>
        <v>0</v>
      </c>
      <c r="CR30" s="318"/>
      <c r="CS30" s="318">
        <f t="shared" si="55"/>
        <v>0</v>
      </c>
      <c r="CT30" s="318"/>
      <c r="CU30" s="318">
        <f t="shared" si="56"/>
        <v>0</v>
      </c>
      <c r="CV30" s="318"/>
      <c r="CW30" s="318">
        <f t="shared" si="26"/>
        <v>0</v>
      </c>
      <c r="CX30" s="330"/>
      <c r="CY30" s="330"/>
      <c r="CZ30" s="330"/>
      <c r="DA30" s="330"/>
      <c r="DB30" s="330"/>
      <c r="DC30" s="330"/>
      <c r="DD30" s="330"/>
      <c r="DE30" s="330"/>
      <c r="DF30" s="330"/>
      <c r="DG30" s="330"/>
      <c r="DH30" s="330"/>
      <c r="DI30" s="330"/>
      <c r="DJ30" s="330"/>
      <c r="DK30" s="330"/>
      <c r="DL30" s="330"/>
      <c r="DM30" s="330"/>
      <c r="DN30" s="330"/>
      <c r="DO30" s="330"/>
      <c r="DP30" s="330"/>
      <c r="DQ30" s="330"/>
      <c r="DR30" s="330"/>
      <c r="DS30" s="330"/>
      <c r="DT30" s="330"/>
      <c r="DU30" s="330"/>
      <c r="DV30" s="331">
        <f t="shared" si="30"/>
        <v>0</v>
      </c>
      <c r="DW30" s="130">
        <f t="shared" si="27"/>
        <v>0</v>
      </c>
      <c r="DX30" s="131">
        <f t="shared" si="28"/>
        <v>0</v>
      </c>
      <c r="DY30" s="147">
        <f t="shared" ref="DY30:DY37" si="57">IFERROR(DX30/DW30,0)</f>
        <v>0</v>
      </c>
      <c r="DZ30" s="298">
        <f t="shared" si="29"/>
        <v>0</v>
      </c>
    </row>
    <row r="31" spans="2:140" ht="15.75" x14ac:dyDescent="0.3">
      <c r="B31" t="s">
        <v>295</v>
      </c>
      <c r="C31" s="297" t="s">
        <v>485</v>
      </c>
      <c r="D31" s="326">
        <f>SUMIFS(Tabla110[[#All],[Venta Total]],Tabla110[[#All],[Asesor]],B31,Tabla110[[#All],[Fecha Cobranza]],"&lt;"&amp;$D$6,Tabla110[[#All],[Fecha Cobranza]],"&gt;="&amp;$B$6)</f>
        <v>0</v>
      </c>
      <c r="E31" s="326">
        <f>SUMIFS(Tabla110[[#All],[Venta Total]],Tabla110[[#All],[Asesor]],B31,Tabla110[[#All],[Fecha Cobranza]],"&lt;"&amp;$E$6,Tabla110[[#All],[Fecha Cobranza]],"&gt;="&amp;$D$6)</f>
        <v>0</v>
      </c>
      <c r="F31" s="326">
        <f>SUMIFS(Tabla110[[#All],[Venta Total]],Tabla110[[#All],[Asesor]],B31,Tabla110[[#All],[Fecha Cobranza]],"&lt;"&amp;$F$6,Tabla110[[#All],[Fecha Cobranza]],"&gt;="&amp;$E$6)</f>
        <v>0</v>
      </c>
      <c r="G31" s="326">
        <f>SUMIFS(Tabla110[[#All],[Venta Total]],Tabla110[[#All],[Asesor]],B31,Tabla110[[#All],[Fecha Cobranza]],"&lt;"&amp;$G$6,Tabla110[[#All],[Fecha Cobranza]],"&gt;="&amp;$F$6)</f>
        <v>0</v>
      </c>
      <c r="H31" s="326">
        <f>SUMIFS(Tabla110[[#All],[Venta Total]],Tabla110[[#All],[Asesor]],B31,Tabla110[[#All],[Fecha Cobranza]],"&lt;"&amp;$H$6,Tabla110[[#All],[Fecha Cobranza]],"&gt;="&amp;$G$6)</f>
        <v>0</v>
      </c>
      <c r="I31" s="326">
        <f>SUMIFS(Tabla110[[#All],[Venta Total]],Tabla110[[#All],[Asesor]],B31,Tabla110[[#All],[Fecha Cobranza]],"&lt;"&amp;$I$6,Tabla110[[#All],[Fecha Cobranza]],"&gt;="&amp;$H$6)</f>
        <v>0</v>
      </c>
      <c r="J31" s="326">
        <f>SUMIFS(Tabla110[[#All],[Venta Total]],Tabla110[[#All],[Asesor]],B31,Tabla110[[#All],[Fecha Cobranza]],"&lt;"&amp;$J$6,Tabla110[[#All],[Fecha Cobranza]],"&gt;="&amp;$I$6)</f>
        <v>0</v>
      </c>
      <c r="K31" s="326">
        <f>SUMIFS(Tabla110[[#All],[Venta Total]],Tabla110[[#All],[Asesor]],B31,Tabla110[[#All],[Fecha Cobranza]],"&lt;"&amp;$K$6,Tabla110[[#All],[Fecha Cobranza]],"&gt;="&amp;$J$6)</f>
        <v>0</v>
      </c>
      <c r="L31" s="326">
        <f>SUMIFS(Tabla110[[#All],[Venta Total]],Tabla110[[#All],[Asesor]],B31,Tabla110[[#All],[Fecha Cobranza]],"&lt;"&amp;$L$6,Tabla110[[#All],[Fecha Cobranza]],"&gt;="&amp;$K$6)</f>
        <v>0</v>
      </c>
      <c r="M31" s="326">
        <f>SUMIFS(Tabla110[[#All],[Venta Total]],Tabla110[[#All],[Asesor]],B31,Tabla110[[#All],[Fecha Cobranza]],"&lt;"&amp;$M$6,Tabla110[[#All],[Fecha Cobranza]],"&gt;="&amp;$L$6)</f>
        <v>0</v>
      </c>
      <c r="N31" s="326">
        <f>SUMIFS(Tabla110[[#All],[Venta Total]],Tabla110[[#All],[Asesor]],B31,Tabla110[[#All],[Fecha Cobranza]],"&lt;"&amp;$N$6,Tabla110[[#All],[Fecha Cobranza]],"&gt;="&amp;$M$6)</f>
        <v>0</v>
      </c>
      <c r="O31" s="326">
        <f>SUMIFS(Tabla110[[#All],[Venta Total]],Tabla110[[#All],[Asesor]],B31,Tabla110[[#All],[Fecha Cobranza]],"&lt;"&amp;$O$6,Tabla110[[#All],[Fecha Cobranza]],"&gt;="&amp;$N$6)</f>
        <v>0</v>
      </c>
      <c r="P31" s="326">
        <f>SUMIFS(Tabla110[[#All],[Venta Total]],Tabla110[[#All],[Asesor]],B31,Tabla110[[#All],[Fecha Cobranza]],"&lt;"&amp;$P$6,Tabla110[[#All],[Fecha Cobranza]],"&gt;="&amp;$O$6)</f>
        <v>0</v>
      </c>
      <c r="Q31" s="326">
        <f>SUMIFS(Tabla110[[#All],[Venta Total]],Tabla110[[#All],[Asesor]],B31,Tabla110[[#All],[Fecha Cobranza]],"&lt;"&amp;$Q$6,Tabla110[[#All],[Fecha Cobranza]],"&gt;="&amp;$P$6)</f>
        <v>0</v>
      </c>
      <c r="R31" s="326">
        <f>SUMIFS(Tabla110[[#All],[Venta Total]],Tabla110[[#All],[Asesor]],B31,Tabla110[[#All],[Fecha Cobranza]],"&lt;"&amp;$R$6,Tabla110[[#All],[Fecha Cobranza]],"&gt;="&amp;$Q$6)</f>
        <v>0</v>
      </c>
      <c r="S31" s="326">
        <f>SUMIFS(Tabla110[[#All],[Venta Total]],Tabla110[[#All],[Asesor]],B31,Tabla110[[#All],[Fecha Cobranza]],"&lt;"&amp;$S$6,Tabla110[[#All],[Fecha Cobranza]],"&gt;="&amp;$R$6)</f>
        <v>0</v>
      </c>
      <c r="T31" s="326">
        <f>SUMIFS(Tabla110[[#All],[Venta Total]],Tabla110[[#All],[Asesor]],$B31,Tabla110[[#All],[Fecha Cobranza]],"&lt;"&amp;T$6,Tabla110[[#All],[Fecha Cobranza]],"&gt;="&amp;S$6)</f>
        <v>0</v>
      </c>
      <c r="U31" s="326">
        <f>SUMIFS(Tabla110[[#All],[Venta Total]],Tabla110[[#All],[Asesor]],$B31,Tabla110[[#All],[Fecha Cobranza]],"&lt;"&amp;U$6,Tabla110[[#All],[Fecha Cobranza]],"&gt;="&amp;T$6)</f>
        <v>0</v>
      </c>
      <c r="V31" s="326">
        <f>SUMIFS(Tabla110[[#All],[Venta Total]],Tabla110[[#All],[Asesor]],$B31,Tabla110[[#All],[Fecha Cobranza]],"&lt;"&amp;V$6,Tabla110[[#All],[Fecha Cobranza]],"&gt;="&amp;U$6)</f>
        <v>0</v>
      </c>
      <c r="W31" s="326">
        <f>SUMIFS(Tabla110[[#All],[Venta Total]],Tabla110[[#All],[Asesor]],$B31,Tabla110[[#All],[Fecha Cobranza]],"&lt;"&amp;W$6,Tabla110[[#All],[Fecha Cobranza]],"&gt;="&amp;V$6)</f>
        <v>0</v>
      </c>
      <c r="X31" s="326">
        <f>SUMIFS(Tabla110[[#All],[Venta Total]],Tabla110[[#All],[Asesor]],$B31,Tabla110[[#All],[Fecha Cobranza]],"&lt;"&amp;X$6,Tabla110[[#All],[Fecha Cobranza]],"&gt;="&amp;W$6)</f>
        <v>0</v>
      </c>
      <c r="Y31" s="326">
        <f>SUMIFS(Tabla110[[#All],[Venta Total]],Tabla110[[#All],[Asesor]],$B31,Tabla110[[#All],[Fecha Cobranza]],"&lt;"&amp;Y$6,Tabla110[[#All],[Fecha Cobranza]],"&gt;="&amp;X$6)</f>
        <v>0</v>
      </c>
      <c r="Z31" s="326">
        <f>SUMIFS(Tabla110[[#All],[Venta Total]],Tabla110[[#All],[Asesor]],$B31,Tabla110[[#All],[Fecha Cobranza]],"&lt;"&amp;Z$6,Tabla110[[#All],[Fecha Cobranza]],"&gt;="&amp;Y$6)</f>
        <v>0</v>
      </c>
      <c r="AA31" s="326">
        <f>SUMIFS(Tabla110[[#All],[Venta Total]],Tabla110[[#All],[Asesor]],$B31,Tabla110[[#All],[Fecha Cobranza]],"&lt;"&amp;AA$6,Tabla110[[#All],[Fecha Cobranza]],"&gt;="&amp;Z$6)</f>
        <v>0</v>
      </c>
      <c r="AB31" s="327">
        <f t="shared" si="0"/>
        <v>0</v>
      </c>
      <c r="AC31" s="322">
        <f>SUMIFS(Tabla110[[#All],[Utilidad Bruta Total]],Tabla110[[#All],[Asesor]],B31,Tabla110[[#All],[Fecha Cobranza]],"&lt;"&amp;$AC$6,Tabla110[[#All],[Fecha Cobranza]],"&gt;="&amp;$B$6)</f>
        <v>0</v>
      </c>
      <c r="AD31" s="322">
        <f>SUMIFS(Tabla110[[#All],[Utilidad Bruta Total]],Tabla110[[#All],[Asesor]],B31,Tabla110[[#All],[Fecha Cobranza]],"&lt;"&amp;$AD$6,Tabla110[[#All],[Fecha Cobranza]],"&gt;="&amp;$AC$6)</f>
        <v>0</v>
      </c>
      <c r="AE31" s="322">
        <f>SUMIFS(Tabla110[[#All],[Utilidad Bruta Total]],Tabla110[[#All],[Asesor]],B31,Tabla110[[#All],[Fecha Cobranza]],"&lt;"&amp;$AE$6,Tabla110[[#All],[Fecha Cobranza]],"&gt;="&amp;$AD$6)</f>
        <v>0</v>
      </c>
      <c r="AF31" s="322">
        <f>SUMIFS(Tabla110[[#All],[Utilidad Bruta Total]],Tabla110[[#All],[Asesor]],B31,Tabla110[[#All],[Fecha Cobranza]],"&lt;"&amp;$AF$6,Tabla110[[#All],[Fecha Cobranza]],"&gt;="&amp;$AE$6)</f>
        <v>0</v>
      </c>
      <c r="AG31" s="322">
        <f>SUMIFS(Tabla110[[#All],[Utilidad Bruta Total]],Tabla110[[#All],[Asesor]],B31,Tabla110[[#All],[Fecha Cobranza]],"&lt;"&amp;$AG$6,Tabla110[[#All],[Fecha Cobranza]],"&gt;="&amp;$AF$6)</f>
        <v>0</v>
      </c>
      <c r="AH31" s="322">
        <f>SUMIFS(Tabla110[[#All],[Utilidad Bruta Total]],Tabla110[[#All],[Asesor]],B31,Tabla110[[#All],[Fecha Cobranza]],"&lt;"&amp;$AH$6,Tabla110[[#All],[Fecha Cobranza]],"&gt;="&amp;$AG$6)</f>
        <v>0</v>
      </c>
      <c r="AI31" s="322">
        <f>SUMIFS(Tabla110[[#All],[Utilidad Bruta Total]],Tabla110[[#All],[Asesor]],B31,Tabla110[[#All],[Fecha Cobranza]],"&lt;"&amp;$AI$6,Tabla110[[#All],[Fecha Cobranza]],"&gt;="&amp;$AH$6)</f>
        <v>0</v>
      </c>
      <c r="AJ31" s="322">
        <f>SUMIFS(Tabla110[[#All],[Utilidad Bruta Total]],Tabla110[[#All],[Asesor]],B31,Tabla110[[#All],[Fecha Cobranza]],"&lt;"&amp;$AJ$6,Tabla110[[#All],[Fecha Cobranza]],"&gt;="&amp;$AI$6)</f>
        <v>0</v>
      </c>
      <c r="AK31" s="322">
        <f>SUMIFS(Tabla110[[#All],[Utilidad Bruta Total]],Tabla110[[#All],[Asesor]],B31,Tabla110[[#All],[Fecha Cobranza]],"&lt;"&amp;$AK$6,Tabla110[[#All],[Fecha Cobranza]],"&gt;="&amp;$AJ$6)</f>
        <v>0</v>
      </c>
      <c r="AL31" s="322">
        <f>SUMIFS(Tabla110[[#All],[Utilidad Bruta Total]],Tabla110[[#All],[Asesor]],B31,Tabla110[[#All],[Fecha Cobranza]],"&lt;"&amp;$AL$6,Tabla110[[#All],[Fecha Cobranza]],"&gt;="&amp;$AK$6)</f>
        <v>0</v>
      </c>
      <c r="AM31" s="322">
        <f>SUMIFS(Tabla110[[#All],[Utilidad Bruta Total]],Tabla110[[#All],[Asesor]],B31,Tabla110[[#All],[Fecha Cobranza]],"&lt;"&amp;$AM$6,Tabla110[[#All],[Fecha Cobranza]],"&gt;="&amp;$AL$6)</f>
        <v>0</v>
      </c>
      <c r="AN31" s="322">
        <f>SUMIFS(Tabla110[[#All],[Utilidad Bruta Total]],Tabla110[[#All],[Asesor]],B31,Tabla110[[#All],[Fecha Cobranza]],"&lt;"&amp;$AN$6,Tabla110[[#All],[Fecha Cobranza]],"&gt;="&amp;$AM$6)</f>
        <v>0</v>
      </c>
      <c r="AO31" s="322">
        <f>SUMIFS(Tabla110[[#All],[Utilidad Bruta Total]],Tabla110[[#All],[Asesor]],B31,Tabla110[[#All],[Fecha Cobranza]],"&lt;"&amp;$AO$6,Tabla110[[#All],[Fecha Cobranza]],"&gt;="&amp;$AN$6)</f>
        <v>0</v>
      </c>
      <c r="AP31" s="322">
        <f>SUMIFS(Tabla110[[#All],[Utilidad Bruta Total]],Tabla110[[#All],[Asesor]],B31,Tabla110[[#All],[Fecha Cobranza]],"&lt;"&amp;$AP$6,Tabla110[[#All],[Fecha Cobranza]],"&gt;="&amp;$AO$6)</f>
        <v>0</v>
      </c>
      <c r="AQ31" s="322">
        <f>SUMIFS(Tabla110[[#All],[Utilidad Bruta Total]],Tabla110[[#All],[Asesor]],B31,Tabla110[[#All],[Fecha Cobranza]],"&lt;"&amp;$AQ$6,Tabla110[[#All],[Fecha Cobranza]],"&gt;="&amp;$AP$6)</f>
        <v>0</v>
      </c>
      <c r="AR31" s="322">
        <f>SUMIFS(Tabla110[[#All],[Utilidad Bruta Total]],Tabla110[[#All],[Asesor]],B31,Tabla110[[#All],[Fecha Cobranza]],"&lt;"&amp;$AR$6,Tabla110[[#All],[Fecha Cobranza]],"&gt;="&amp;$AQ$6)</f>
        <v>0</v>
      </c>
      <c r="AS31" s="322">
        <f>SUMIFS(Tabla110[[#All],[Utilidad Bruta Total]],Tabla110[[#All],[Asesor]],$B31,Tabla110[[#All],[Fecha Cobranza]],"&lt;"&amp;AS$6,Tabla110[[#All],[Fecha Cobranza]],"&gt;="&amp;AR$6)</f>
        <v>0</v>
      </c>
      <c r="AT31" s="322">
        <f>SUMIFS(Tabla110[[#All],[Utilidad Bruta Total]],Tabla110[[#All],[Asesor]],$B31,Tabla110[[#All],[Fecha Cobranza]],"&lt;"&amp;AT$6,Tabla110[[#All],[Fecha Cobranza]],"&gt;="&amp;AS$6)</f>
        <v>0</v>
      </c>
      <c r="AU31" s="322">
        <f>SUMIFS(Tabla110[[#All],[Utilidad Bruta Total]],Tabla110[[#All],[Asesor]],$B31,Tabla110[[#All],[Fecha Cobranza]],"&lt;"&amp;AU$6,Tabla110[[#All],[Fecha Cobranza]],"&gt;="&amp;AT$6)</f>
        <v>0</v>
      </c>
      <c r="AV31" s="322">
        <f>SUMIFS(Tabla110[[#All],[Utilidad Bruta Total]],Tabla110[[#All],[Asesor]],$B31,Tabla110[[#All],[Fecha Cobranza]],"&lt;"&amp;AV$6,Tabla110[[#All],[Fecha Cobranza]],"&gt;="&amp;AU$6)</f>
        <v>0</v>
      </c>
      <c r="AW31" s="322">
        <f>SUMIFS(Tabla110[[#All],[Utilidad Bruta Total]],Tabla110[[#All],[Asesor]],$B31,Tabla110[[#All],[Fecha Cobranza]],"&lt;"&amp;AW$6,Tabla110[[#All],[Fecha Cobranza]],"&gt;="&amp;AV$6)</f>
        <v>0</v>
      </c>
      <c r="AX31" s="322">
        <f>SUMIFS(Tabla110[[#All],[Utilidad Bruta Total]],Tabla110[[#All],[Asesor]],$B31,Tabla110[[#All],[Fecha Cobranza]],"&lt;"&amp;AX$6,Tabla110[[#All],[Fecha Cobranza]],"&gt;="&amp;AW$6)</f>
        <v>0</v>
      </c>
      <c r="AY31" s="322">
        <f>SUMIFS(Tabla110[[#All],[Utilidad Bruta Total]],Tabla110[[#All],[Asesor]],$B31,Tabla110[[#All],[Fecha Cobranza]],"&lt;"&amp;AY$6,Tabla110[[#All],[Fecha Cobranza]],"&gt;="&amp;AX$6)</f>
        <v>0</v>
      </c>
      <c r="AZ31" s="322">
        <f>SUMIFS(Tabla110[[#All],[Utilidad Bruta Total]],Tabla110[[#All],[Asesor]],$B31,Tabla110[[#All],[Fecha Cobranza]],"&lt;"&amp;AZ$6,Tabla110[[#All],[Fecha Cobranza]],"&gt;="&amp;AY$6)</f>
        <v>0</v>
      </c>
      <c r="BA31" s="323">
        <f t="shared" si="1"/>
        <v>0</v>
      </c>
      <c r="BB31" s="318">
        <f t="shared" si="33"/>
        <v>0</v>
      </c>
      <c r="BC31" s="318"/>
      <c r="BD31" s="318">
        <f t="shared" si="34"/>
        <v>0</v>
      </c>
      <c r="BE31" s="318"/>
      <c r="BF31" s="318">
        <f t="shared" si="35"/>
        <v>0</v>
      </c>
      <c r="BG31" s="318"/>
      <c r="BH31" s="318">
        <f t="shared" si="36"/>
        <v>0</v>
      </c>
      <c r="BI31" s="318"/>
      <c r="BJ31" s="318">
        <f t="shared" si="37"/>
        <v>0</v>
      </c>
      <c r="BK31" s="318"/>
      <c r="BL31" s="318">
        <f t="shared" si="38"/>
        <v>0</v>
      </c>
      <c r="BM31" s="318"/>
      <c r="BN31" s="318">
        <f t="shared" si="39"/>
        <v>0</v>
      </c>
      <c r="BO31" s="318"/>
      <c r="BP31" s="318">
        <f t="shared" si="40"/>
        <v>0</v>
      </c>
      <c r="BQ31" s="318"/>
      <c r="BR31" s="318">
        <f t="shared" si="41"/>
        <v>0</v>
      </c>
      <c r="BS31" s="318"/>
      <c r="BT31" s="318">
        <f t="shared" si="42"/>
        <v>0</v>
      </c>
      <c r="BU31" s="318">
        <f t="shared" si="43"/>
        <v>0</v>
      </c>
      <c r="BV31" s="318"/>
      <c r="BW31" s="318">
        <f t="shared" si="44"/>
        <v>0</v>
      </c>
      <c r="BX31" s="318"/>
      <c r="BY31" s="318">
        <f t="shared" si="45"/>
        <v>0</v>
      </c>
      <c r="BZ31" s="318"/>
      <c r="CA31" s="318">
        <f t="shared" si="46"/>
        <v>0</v>
      </c>
      <c r="CB31" s="318"/>
      <c r="CC31" s="318">
        <f t="shared" si="47"/>
        <v>0</v>
      </c>
      <c r="CD31" s="318"/>
      <c r="CE31" s="318">
        <f t="shared" si="48"/>
        <v>0</v>
      </c>
      <c r="CF31" s="318"/>
      <c r="CG31" s="318">
        <f t="shared" si="49"/>
        <v>0</v>
      </c>
      <c r="CH31" s="318"/>
      <c r="CI31" s="318">
        <f t="shared" si="50"/>
        <v>0</v>
      </c>
      <c r="CJ31" s="318"/>
      <c r="CK31" s="318">
        <f t="shared" si="51"/>
        <v>0</v>
      </c>
      <c r="CL31" s="318"/>
      <c r="CM31" s="318">
        <f t="shared" si="52"/>
        <v>0</v>
      </c>
      <c r="CN31" s="318"/>
      <c r="CO31" s="318">
        <f t="shared" si="53"/>
        <v>0</v>
      </c>
      <c r="CP31" s="318"/>
      <c r="CQ31" s="318">
        <f t="shared" si="54"/>
        <v>0</v>
      </c>
      <c r="CR31" s="318"/>
      <c r="CS31" s="318">
        <f t="shared" si="55"/>
        <v>0</v>
      </c>
      <c r="CT31" s="318"/>
      <c r="CU31" s="318">
        <f t="shared" si="56"/>
        <v>0</v>
      </c>
      <c r="CV31" s="318"/>
      <c r="CW31" s="318">
        <f t="shared" si="26"/>
        <v>0</v>
      </c>
      <c r="CX31" s="330"/>
      <c r="CY31" s="330"/>
      <c r="CZ31" s="330"/>
      <c r="DA31" s="330"/>
      <c r="DB31" s="330"/>
      <c r="DC31" s="330"/>
      <c r="DD31" s="330"/>
      <c r="DE31" s="330"/>
      <c r="DF31" s="330"/>
      <c r="DG31" s="330"/>
      <c r="DH31" s="330"/>
      <c r="DI31" s="330"/>
      <c r="DJ31" s="330"/>
      <c r="DK31" s="330"/>
      <c r="DL31" s="330"/>
      <c r="DM31" s="330"/>
      <c r="DN31" s="330"/>
      <c r="DO31" s="330"/>
      <c r="DP31" s="330"/>
      <c r="DQ31" s="330"/>
      <c r="DR31" s="330"/>
      <c r="DS31" s="330"/>
      <c r="DT31" s="330"/>
      <c r="DU31" s="330"/>
      <c r="DV31" s="331">
        <f t="shared" si="30"/>
        <v>0</v>
      </c>
      <c r="DW31" s="130">
        <f t="shared" si="27"/>
        <v>0</v>
      </c>
      <c r="DX31" s="131">
        <f t="shared" si="28"/>
        <v>0</v>
      </c>
      <c r="DY31" s="147">
        <f t="shared" si="57"/>
        <v>0</v>
      </c>
      <c r="DZ31" s="298">
        <f t="shared" si="29"/>
        <v>0</v>
      </c>
      <c r="ED31" s="163"/>
    </row>
    <row r="32" spans="2:140" ht="15.75" x14ac:dyDescent="0.3">
      <c r="B32" t="s">
        <v>547</v>
      </c>
      <c r="C32" s="297" t="s">
        <v>485</v>
      </c>
      <c r="D32" s="326">
        <f>SUMIFS(Tabla110[[#All],[Venta Total]],Tabla110[[#All],[Asesor]],B32,Tabla110[[#All],[Fecha Cobranza]],"&lt;"&amp;$D$6,Tabla110[[#All],[Fecha Cobranza]],"&gt;="&amp;$B$6)</f>
        <v>0</v>
      </c>
      <c r="E32" s="326">
        <f>SUMIFS(Tabla110[[#All],[Venta Total]],Tabla110[[#All],[Asesor]],B32,Tabla110[[#All],[Fecha Cobranza]],"&lt;"&amp;$E$6,Tabla110[[#All],[Fecha Cobranza]],"&gt;="&amp;$D$6)</f>
        <v>0</v>
      </c>
      <c r="F32" s="326">
        <f>SUMIFS(Tabla110[[#All],[Venta Total]],Tabla110[[#All],[Asesor]],B32,Tabla110[[#All],[Fecha Cobranza]],"&lt;"&amp;$F$6,Tabla110[[#All],[Fecha Cobranza]],"&gt;="&amp;$E$6)</f>
        <v>0</v>
      </c>
      <c r="G32" s="326">
        <f>SUMIFS(Tabla110[[#All],[Venta Total]],Tabla110[[#All],[Asesor]],B32,Tabla110[[#All],[Fecha Cobranza]],"&lt;"&amp;$G$6,Tabla110[[#All],[Fecha Cobranza]],"&gt;="&amp;$F$6)</f>
        <v>0</v>
      </c>
      <c r="H32" s="326">
        <f>SUMIFS(Tabla110[[#All],[Venta Total]],Tabla110[[#All],[Asesor]],B32,Tabla110[[#All],[Fecha Cobranza]],"&lt;"&amp;$H$6,Tabla110[[#All],[Fecha Cobranza]],"&gt;="&amp;$G$6)</f>
        <v>0</v>
      </c>
      <c r="I32" s="326">
        <f>SUMIFS(Tabla110[[#All],[Venta Total]],Tabla110[[#All],[Asesor]],B32,Tabla110[[#All],[Fecha Cobranza]],"&lt;"&amp;$I$6,Tabla110[[#All],[Fecha Cobranza]],"&gt;="&amp;$H$6)</f>
        <v>0</v>
      </c>
      <c r="J32" s="326">
        <f>SUMIFS(Tabla110[[#All],[Venta Total]],Tabla110[[#All],[Asesor]],B32,Tabla110[[#All],[Fecha Cobranza]],"&lt;"&amp;$J$6,Tabla110[[#All],[Fecha Cobranza]],"&gt;="&amp;$I$6)</f>
        <v>0</v>
      </c>
      <c r="K32" s="326">
        <f>SUMIFS(Tabla110[[#All],[Venta Total]],Tabla110[[#All],[Asesor]],B32,Tabla110[[#All],[Fecha Cobranza]],"&lt;"&amp;$K$6,Tabla110[[#All],[Fecha Cobranza]],"&gt;="&amp;$J$6)</f>
        <v>0</v>
      </c>
      <c r="L32" s="326">
        <f>SUMIFS(Tabla110[[#All],[Venta Total]],Tabla110[[#All],[Asesor]],B32,Tabla110[[#All],[Fecha Cobranza]],"&lt;"&amp;$L$6,Tabla110[[#All],[Fecha Cobranza]],"&gt;="&amp;$K$6)</f>
        <v>0</v>
      </c>
      <c r="M32" s="326">
        <f>SUMIFS(Tabla110[[#All],[Venta Total]],Tabla110[[#All],[Asesor]],B32,Tabla110[[#All],[Fecha Cobranza]],"&lt;"&amp;$M$6,Tabla110[[#All],[Fecha Cobranza]],"&gt;="&amp;$L$6)</f>
        <v>0</v>
      </c>
      <c r="N32" s="326">
        <f>SUMIFS(Tabla110[[#All],[Venta Total]],Tabla110[[#All],[Asesor]],B32,Tabla110[[#All],[Fecha Cobranza]],"&lt;"&amp;$N$6,Tabla110[[#All],[Fecha Cobranza]],"&gt;="&amp;$M$6)</f>
        <v>0</v>
      </c>
      <c r="O32" s="326">
        <f>SUMIFS(Tabla110[[#All],[Venta Total]],Tabla110[[#All],[Asesor]],B32,Tabla110[[#All],[Fecha Cobranza]],"&lt;"&amp;$O$6,Tabla110[[#All],[Fecha Cobranza]],"&gt;="&amp;$N$6)</f>
        <v>0</v>
      </c>
      <c r="P32" s="326">
        <f>SUMIFS(Tabla110[[#All],[Venta Total]],Tabla110[[#All],[Asesor]],B32,Tabla110[[#All],[Fecha Cobranza]],"&lt;"&amp;$P$6,Tabla110[[#All],[Fecha Cobranza]],"&gt;="&amp;$O$6)</f>
        <v>0</v>
      </c>
      <c r="Q32" s="326">
        <f>SUMIFS(Tabla110[[#All],[Venta Total]],Tabla110[[#All],[Asesor]],B32,Tabla110[[#All],[Fecha Cobranza]],"&lt;"&amp;$Q$6,Tabla110[[#All],[Fecha Cobranza]],"&gt;="&amp;$P$6)</f>
        <v>0</v>
      </c>
      <c r="R32" s="326">
        <f>SUMIFS(Tabla110[[#All],[Venta Total]],Tabla110[[#All],[Asesor]],B32,Tabla110[[#All],[Fecha Cobranza]],"&lt;"&amp;$R$6,Tabla110[[#All],[Fecha Cobranza]],"&gt;="&amp;$Q$6)</f>
        <v>0</v>
      </c>
      <c r="S32" s="326">
        <f>SUMIFS(Tabla110[[#All],[Venta Total]],Tabla110[[#All],[Asesor]],B32,Tabla110[[#All],[Fecha Cobranza]],"&lt;"&amp;$S$6,Tabla110[[#All],[Fecha Cobranza]],"&gt;="&amp;$R$6)</f>
        <v>0</v>
      </c>
      <c r="T32" s="326">
        <f>SUMIFS(Tabla110[[#All],[Venta Total]],Tabla110[[#All],[Asesor]],$B32,Tabla110[[#All],[Fecha Cobranza]],"&lt;"&amp;T$6,Tabla110[[#All],[Fecha Cobranza]],"&gt;="&amp;S$6)</f>
        <v>0</v>
      </c>
      <c r="U32" s="326">
        <f>SUMIFS(Tabla110[[#All],[Venta Total]],Tabla110[[#All],[Asesor]],$B32,Tabla110[[#All],[Fecha Cobranza]],"&lt;"&amp;U$6,Tabla110[[#All],[Fecha Cobranza]],"&gt;="&amp;T$6)</f>
        <v>0</v>
      </c>
      <c r="V32" s="326">
        <f>SUMIFS(Tabla110[[#All],[Venta Total]],Tabla110[[#All],[Asesor]],$B32,Tabla110[[#All],[Fecha Cobranza]],"&lt;"&amp;V$6,Tabla110[[#All],[Fecha Cobranza]],"&gt;="&amp;U$6)</f>
        <v>0</v>
      </c>
      <c r="W32" s="326">
        <f>SUMIFS(Tabla110[[#All],[Venta Total]],Tabla110[[#All],[Asesor]],$B32,Tabla110[[#All],[Fecha Cobranza]],"&lt;"&amp;W$6,Tabla110[[#All],[Fecha Cobranza]],"&gt;="&amp;V$6)</f>
        <v>0</v>
      </c>
      <c r="X32" s="326">
        <f>SUMIFS(Tabla110[[#All],[Venta Total]],Tabla110[[#All],[Asesor]],$B32,Tabla110[[#All],[Fecha Cobranza]],"&lt;"&amp;X$6,Tabla110[[#All],[Fecha Cobranza]],"&gt;="&amp;W$6)</f>
        <v>0</v>
      </c>
      <c r="Y32" s="326">
        <f>SUMIFS(Tabla110[[#All],[Venta Total]],Tabla110[[#All],[Asesor]],$B32,Tabla110[[#All],[Fecha Cobranza]],"&lt;"&amp;Y$6,Tabla110[[#All],[Fecha Cobranza]],"&gt;="&amp;X$6)</f>
        <v>0</v>
      </c>
      <c r="Z32" s="326">
        <f>SUMIFS(Tabla110[[#All],[Venta Total]],Tabla110[[#All],[Asesor]],$B32,Tabla110[[#All],[Fecha Cobranza]],"&lt;"&amp;Z$6,Tabla110[[#All],[Fecha Cobranza]],"&gt;="&amp;Y$6)</f>
        <v>312330.99759999994</v>
      </c>
      <c r="AA32" s="326">
        <f>SUMIFS(Tabla110[[#All],[Venta Total]],Tabla110[[#All],[Asesor]],$B32,Tabla110[[#All],[Fecha Cobranza]],"&lt;"&amp;AA$6,Tabla110[[#All],[Fecha Cobranza]],"&gt;="&amp;Z$6)</f>
        <v>0</v>
      </c>
      <c r="AB32" s="327">
        <f t="shared" si="0"/>
        <v>312330.99759999994</v>
      </c>
      <c r="AC32" s="322">
        <f>SUMIFS(Tabla110[[#All],[Utilidad Bruta Total]],Tabla110[[#All],[Asesor]],B32,Tabla110[[#All],[Fecha Cobranza]],"&lt;"&amp;$AC$6,Tabla110[[#All],[Fecha Cobranza]],"&gt;="&amp;$B$6)</f>
        <v>0</v>
      </c>
      <c r="AD32" s="322">
        <f>SUMIFS(Tabla110[[#All],[Utilidad Bruta Total]],Tabla110[[#All],[Asesor]],B32,Tabla110[[#All],[Fecha Cobranza]],"&lt;"&amp;$AD$6,Tabla110[[#All],[Fecha Cobranza]],"&gt;="&amp;$AC$6)</f>
        <v>0</v>
      </c>
      <c r="AE32" s="322">
        <f>SUMIFS(Tabla110[[#All],[Utilidad Bruta Total]],Tabla110[[#All],[Asesor]],B32,Tabla110[[#All],[Fecha Cobranza]],"&lt;"&amp;$AE$6,Tabla110[[#All],[Fecha Cobranza]],"&gt;="&amp;$AD$6)</f>
        <v>0</v>
      </c>
      <c r="AF32" s="322">
        <f>SUMIFS(Tabla110[[#All],[Utilidad Bruta Total]],Tabla110[[#All],[Asesor]],B32,Tabla110[[#All],[Fecha Cobranza]],"&lt;"&amp;$AF$6,Tabla110[[#All],[Fecha Cobranza]],"&gt;="&amp;$AE$6)</f>
        <v>0</v>
      </c>
      <c r="AG32" s="322">
        <f>SUMIFS(Tabla110[[#All],[Utilidad Bruta Total]],Tabla110[[#All],[Asesor]],B32,Tabla110[[#All],[Fecha Cobranza]],"&lt;"&amp;$AG$6,Tabla110[[#All],[Fecha Cobranza]],"&gt;="&amp;$AF$6)</f>
        <v>0</v>
      </c>
      <c r="AH32" s="322">
        <f>SUMIFS(Tabla110[[#All],[Utilidad Bruta Total]],Tabla110[[#All],[Asesor]],B32,Tabla110[[#All],[Fecha Cobranza]],"&lt;"&amp;$AH$6,Tabla110[[#All],[Fecha Cobranza]],"&gt;="&amp;$AG$6)</f>
        <v>0</v>
      </c>
      <c r="AI32" s="322">
        <f>SUMIFS(Tabla110[[#All],[Utilidad Bruta Total]],Tabla110[[#All],[Asesor]],B32,Tabla110[[#All],[Fecha Cobranza]],"&lt;"&amp;$AI$6,Tabla110[[#All],[Fecha Cobranza]],"&gt;="&amp;$AH$6)</f>
        <v>0</v>
      </c>
      <c r="AJ32" s="322">
        <f>SUMIFS(Tabla110[[#All],[Utilidad Bruta Total]],Tabla110[[#All],[Asesor]],B32,Tabla110[[#All],[Fecha Cobranza]],"&lt;"&amp;$AJ$6,Tabla110[[#All],[Fecha Cobranza]],"&gt;="&amp;$AI$6)</f>
        <v>0</v>
      </c>
      <c r="AK32" s="322">
        <f>SUMIFS(Tabla110[[#All],[Utilidad Bruta Total]],Tabla110[[#All],[Asesor]],B32,Tabla110[[#All],[Fecha Cobranza]],"&lt;"&amp;$AK$6,Tabla110[[#All],[Fecha Cobranza]],"&gt;="&amp;$AJ$6)</f>
        <v>0</v>
      </c>
      <c r="AL32" s="322">
        <f>SUMIFS(Tabla110[[#All],[Utilidad Bruta Total]],Tabla110[[#All],[Asesor]],B32,Tabla110[[#All],[Fecha Cobranza]],"&lt;"&amp;$AL$6,Tabla110[[#All],[Fecha Cobranza]],"&gt;="&amp;$AK$6)</f>
        <v>0</v>
      </c>
      <c r="AM32" s="322">
        <f>SUMIFS(Tabla110[[#All],[Utilidad Bruta Total]],Tabla110[[#All],[Asesor]],B32,Tabla110[[#All],[Fecha Cobranza]],"&lt;"&amp;$AM$6,Tabla110[[#All],[Fecha Cobranza]],"&gt;="&amp;$AL$6)</f>
        <v>0</v>
      </c>
      <c r="AN32" s="322">
        <f>SUMIFS(Tabla110[[#All],[Utilidad Bruta Total]],Tabla110[[#All],[Asesor]],B32,Tabla110[[#All],[Fecha Cobranza]],"&lt;"&amp;$AN$6,Tabla110[[#All],[Fecha Cobranza]],"&gt;="&amp;$AM$6)</f>
        <v>0</v>
      </c>
      <c r="AO32" s="322">
        <f>SUMIFS(Tabla110[[#All],[Utilidad Bruta Total]],Tabla110[[#All],[Asesor]],B32,Tabla110[[#All],[Fecha Cobranza]],"&lt;"&amp;$AO$6,Tabla110[[#All],[Fecha Cobranza]],"&gt;="&amp;$AN$6)</f>
        <v>0</v>
      </c>
      <c r="AP32" s="322">
        <f>SUMIFS(Tabla110[[#All],[Utilidad Bruta Total]],Tabla110[[#All],[Asesor]],B32,Tabla110[[#All],[Fecha Cobranza]],"&lt;"&amp;$AP$6,Tabla110[[#All],[Fecha Cobranza]],"&gt;="&amp;$AO$6)</f>
        <v>0</v>
      </c>
      <c r="AQ32" s="322">
        <f>SUMIFS(Tabla110[[#All],[Utilidad Bruta Total]],Tabla110[[#All],[Asesor]],B32,Tabla110[[#All],[Fecha Cobranza]],"&lt;"&amp;$AQ$6,Tabla110[[#All],[Fecha Cobranza]],"&gt;="&amp;$AP$6)</f>
        <v>0</v>
      </c>
      <c r="AR32" s="322">
        <f>SUMIFS(Tabla110[[#All],[Utilidad Bruta Total]],Tabla110[[#All],[Asesor]],B32,Tabla110[[#All],[Fecha Cobranza]],"&lt;"&amp;$AR$6,Tabla110[[#All],[Fecha Cobranza]],"&gt;="&amp;$AQ$6)</f>
        <v>0</v>
      </c>
      <c r="AS32" s="322">
        <f>SUMIFS(Tabla110[[#All],[Utilidad Bruta Total]],Tabla110[[#All],[Asesor]],$B32,Tabla110[[#All],[Fecha Cobranza]],"&lt;"&amp;AS$6,Tabla110[[#All],[Fecha Cobranza]],"&gt;="&amp;AR$6)</f>
        <v>0</v>
      </c>
      <c r="AT32" s="322">
        <f>SUMIFS(Tabla110[[#All],[Utilidad Bruta Total]],Tabla110[[#All],[Asesor]],$B32,Tabla110[[#All],[Fecha Cobranza]],"&lt;"&amp;AT$6,Tabla110[[#All],[Fecha Cobranza]],"&gt;="&amp;AS$6)</f>
        <v>0</v>
      </c>
      <c r="AU32" s="322">
        <f>SUMIFS(Tabla110[[#All],[Utilidad Bruta Total]],Tabla110[[#All],[Asesor]],$B32,Tabla110[[#All],[Fecha Cobranza]],"&lt;"&amp;AU$6,Tabla110[[#All],[Fecha Cobranza]],"&gt;="&amp;AT$6)</f>
        <v>0</v>
      </c>
      <c r="AV32" s="322">
        <f>SUMIFS(Tabla110[[#All],[Utilidad Bruta Total]],Tabla110[[#All],[Asesor]],$B32,Tabla110[[#All],[Fecha Cobranza]],"&lt;"&amp;AV$6,Tabla110[[#All],[Fecha Cobranza]],"&gt;="&amp;AU$6)</f>
        <v>0</v>
      </c>
      <c r="AW32" s="322">
        <f>SUMIFS(Tabla110[[#All],[Utilidad Bruta Total]],Tabla110[[#All],[Asesor]],$B32,Tabla110[[#All],[Fecha Cobranza]],"&lt;"&amp;AW$6,Tabla110[[#All],[Fecha Cobranza]],"&gt;="&amp;AV$6)</f>
        <v>0</v>
      </c>
      <c r="AX32" s="322">
        <f>SUMIFS(Tabla110[[#All],[Utilidad Bruta Total]],Tabla110[[#All],[Asesor]],$B32,Tabla110[[#All],[Fecha Cobranza]],"&lt;"&amp;AX$6,Tabla110[[#All],[Fecha Cobranza]],"&gt;="&amp;AW$6)</f>
        <v>0</v>
      </c>
      <c r="AY32" s="322" t="e">
        <f>SUMIFS(Tabla110[[#All],[Utilidad Bruta Total]],Tabla110[[#All],[Asesor]],$B32,Tabla110[[#All],[Fecha Cobranza]],"&lt;"&amp;AY$6,Tabla110[[#All],[Fecha Cobranza]],"&gt;="&amp;AX$6)</f>
        <v>#N/A</v>
      </c>
      <c r="AZ32" s="322">
        <f>SUMIFS(Tabla110[[#All],[Utilidad Bruta Total]],Tabla110[[#All],[Asesor]],$B32,Tabla110[[#All],[Fecha Cobranza]],"&lt;"&amp;AZ$6,Tabla110[[#All],[Fecha Cobranza]],"&gt;="&amp;AY$6)</f>
        <v>0</v>
      </c>
      <c r="BA32" s="323" t="e">
        <f t="shared" si="1"/>
        <v>#N/A</v>
      </c>
      <c r="BB32" s="417">
        <f t="shared" si="33"/>
        <v>0</v>
      </c>
      <c r="BC32" s="318"/>
      <c r="BD32" s="318">
        <f t="shared" si="34"/>
        <v>0</v>
      </c>
      <c r="BE32" s="318"/>
      <c r="BF32" s="318">
        <f t="shared" si="35"/>
        <v>0</v>
      </c>
      <c r="BG32" s="318"/>
      <c r="BH32" s="318">
        <f t="shared" si="36"/>
        <v>0</v>
      </c>
      <c r="BI32" s="318"/>
      <c r="BJ32" s="318">
        <f t="shared" si="37"/>
        <v>0</v>
      </c>
      <c r="BK32" s="318"/>
      <c r="BL32" s="318">
        <f t="shared" si="38"/>
        <v>0</v>
      </c>
      <c r="BM32" s="318"/>
      <c r="BN32" s="318">
        <f t="shared" si="39"/>
        <v>0</v>
      </c>
      <c r="BO32" s="318"/>
      <c r="BP32" s="318">
        <f t="shared" si="40"/>
        <v>0</v>
      </c>
      <c r="BQ32" s="318"/>
      <c r="BR32" s="318">
        <f t="shared" si="41"/>
        <v>0</v>
      </c>
      <c r="BS32" s="318"/>
      <c r="BT32" s="318">
        <f t="shared" si="42"/>
        <v>0</v>
      </c>
      <c r="BU32" s="420">
        <f t="shared" si="43"/>
        <v>0</v>
      </c>
      <c r="BV32" s="318"/>
      <c r="BW32" s="420">
        <f t="shared" si="44"/>
        <v>0</v>
      </c>
      <c r="BX32" s="318"/>
      <c r="BY32" s="318">
        <f t="shared" si="45"/>
        <v>0</v>
      </c>
      <c r="BZ32" s="318"/>
      <c r="CA32" s="318">
        <f t="shared" si="46"/>
        <v>0</v>
      </c>
      <c r="CB32" s="318"/>
      <c r="CC32" s="318">
        <f t="shared" si="47"/>
        <v>0</v>
      </c>
      <c r="CD32" s="318"/>
      <c r="CE32" s="318">
        <f t="shared" si="48"/>
        <v>0</v>
      </c>
      <c r="CF32" s="318"/>
      <c r="CG32" s="318">
        <f t="shared" si="49"/>
        <v>0</v>
      </c>
      <c r="CH32" s="318"/>
      <c r="CI32" s="318">
        <f t="shared" si="50"/>
        <v>0</v>
      </c>
      <c r="CJ32" s="318"/>
      <c r="CK32" s="318">
        <f t="shared" si="51"/>
        <v>0</v>
      </c>
      <c r="CL32" s="318"/>
      <c r="CM32" s="318">
        <f t="shared" si="52"/>
        <v>0</v>
      </c>
      <c r="CN32" s="318"/>
      <c r="CO32" s="318">
        <f t="shared" si="53"/>
        <v>0</v>
      </c>
      <c r="CP32" s="318"/>
      <c r="CQ32" s="318">
        <f t="shared" si="54"/>
        <v>0</v>
      </c>
      <c r="CR32" s="318"/>
      <c r="CS32" s="318" t="e">
        <f t="shared" si="55"/>
        <v>#N/A</v>
      </c>
      <c r="CT32" s="318"/>
      <c r="CU32" s="318">
        <f t="shared" si="56"/>
        <v>0</v>
      </c>
      <c r="CV32" s="318"/>
      <c r="CW32" s="318" t="e">
        <f t="shared" si="26"/>
        <v>#N/A</v>
      </c>
      <c r="CX32" s="330"/>
      <c r="CY32" s="330"/>
      <c r="CZ32" s="330"/>
      <c r="DA32" s="330"/>
      <c r="DB32" s="330"/>
      <c r="DC32" s="330"/>
      <c r="DD32" s="330"/>
      <c r="DE32" s="330"/>
      <c r="DF32" s="330"/>
      <c r="DG32" s="330"/>
      <c r="DH32" s="330"/>
      <c r="DI32" s="330"/>
      <c r="DJ32" s="330"/>
      <c r="DK32" s="330"/>
      <c r="DL32" s="330"/>
      <c r="DM32" s="330"/>
      <c r="DN32" s="330"/>
      <c r="DO32" s="330"/>
      <c r="DP32" s="330"/>
      <c r="DQ32" s="330"/>
      <c r="DR32" s="330"/>
      <c r="DS32" s="330"/>
      <c r="DT32" s="330"/>
      <c r="DU32" s="330"/>
      <c r="DV32" s="331">
        <f t="shared" si="30"/>
        <v>0</v>
      </c>
      <c r="DW32" s="130">
        <f t="shared" si="27"/>
        <v>312330.99759999994</v>
      </c>
      <c r="DX32" s="417" t="e">
        <f t="shared" si="28"/>
        <v>#N/A</v>
      </c>
      <c r="DY32" s="147">
        <f t="shared" si="57"/>
        <v>0</v>
      </c>
      <c r="DZ32" s="298">
        <f t="shared" si="29"/>
        <v>0</v>
      </c>
      <c r="ED32" s="163"/>
    </row>
    <row r="33" spans="2:134" ht="15.75" x14ac:dyDescent="0.3">
      <c r="B33" t="s">
        <v>558</v>
      </c>
      <c r="C33" s="297" t="s">
        <v>485</v>
      </c>
      <c r="D33" s="326">
        <f>SUMIFS(Tabla110[[#All],[Venta Total]],Tabla110[[#All],[Asesor]],B33,Tabla110[[#All],[Fecha Cobranza]],"&lt;"&amp;$D$6,Tabla110[[#All],[Fecha Cobranza]],"&gt;="&amp;$B$6)</f>
        <v>0</v>
      </c>
      <c r="E33" s="326">
        <f>SUMIFS(Tabla110[[#All],[Venta Total]],Tabla110[[#All],[Asesor]],B33,Tabla110[[#All],[Fecha Cobranza]],"&lt;"&amp;$E$6,Tabla110[[#All],[Fecha Cobranza]],"&gt;="&amp;$D$6)</f>
        <v>0</v>
      </c>
      <c r="F33" s="326">
        <f>SUMIFS(Tabla110[[#All],[Venta Total]],Tabla110[[#All],[Asesor]],B33,Tabla110[[#All],[Fecha Cobranza]],"&lt;"&amp;$F$6,Tabla110[[#All],[Fecha Cobranza]],"&gt;="&amp;$E$6)</f>
        <v>0</v>
      </c>
      <c r="G33" s="326">
        <f>SUMIFS(Tabla110[[#All],[Venta Total]],Tabla110[[#All],[Asesor]],B33,Tabla110[[#All],[Fecha Cobranza]],"&lt;"&amp;$G$6,Tabla110[[#All],[Fecha Cobranza]],"&gt;="&amp;$F$6)</f>
        <v>0</v>
      </c>
      <c r="H33" s="326">
        <f>SUMIFS(Tabla110[[#All],[Venta Total]],Tabla110[[#All],[Asesor]],B33,Tabla110[[#All],[Fecha Cobranza]],"&lt;"&amp;$H$6,Tabla110[[#All],[Fecha Cobranza]],"&gt;="&amp;$G$6)</f>
        <v>0</v>
      </c>
      <c r="I33" s="326">
        <f>SUMIFS(Tabla110[[#All],[Venta Total]],Tabla110[[#All],[Asesor]],B33,Tabla110[[#All],[Fecha Cobranza]],"&lt;"&amp;$I$6,Tabla110[[#All],[Fecha Cobranza]],"&gt;="&amp;$H$6)</f>
        <v>0</v>
      </c>
      <c r="J33" s="326">
        <f>SUMIFS(Tabla110[[#All],[Venta Total]],Tabla110[[#All],[Asesor]],B33,Tabla110[[#All],[Fecha Cobranza]],"&lt;"&amp;$J$6,Tabla110[[#All],[Fecha Cobranza]],"&gt;="&amp;$I$6)</f>
        <v>0</v>
      </c>
      <c r="K33" s="326">
        <f>SUMIFS(Tabla110[[#All],[Venta Total]],Tabla110[[#All],[Asesor]],B33,Tabla110[[#All],[Fecha Cobranza]],"&lt;"&amp;$K$6,Tabla110[[#All],[Fecha Cobranza]],"&gt;="&amp;$J$6)</f>
        <v>0</v>
      </c>
      <c r="L33" s="326">
        <f>SUMIFS(Tabla110[[#All],[Venta Total]],Tabla110[[#All],[Asesor]],B33,Tabla110[[#All],[Fecha Cobranza]],"&lt;"&amp;$L$6,Tabla110[[#All],[Fecha Cobranza]],"&gt;="&amp;$K$6)</f>
        <v>0</v>
      </c>
      <c r="M33" s="326">
        <f>SUMIFS(Tabla110[[#All],[Venta Total]],Tabla110[[#All],[Asesor]],B33,Tabla110[[#All],[Fecha Cobranza]],"&lt;"&amp;$M$6,Tabla110[[#All],[Fecha Cobranza]],"&gt;="&amp;$L$6)</f>
        <v>0</v>
      </c>
      <c r="N33" s="326">
        <f>SUMIFS(Tabla110[[#All],[Venta Total]],Tabla110[[#All],[Asesor]],B33,Tabla110[[#All],[Fecha Cobranza]],"&lt;"&amp;$N$6,Tabla110[[#All],[Fecha Cobranza]],"&gt;="&amp;$M$6)</f>
        <v>0</v>
      </c>
      <c r="O33" s="326">
        <f>SUMIFS(Tabla110[[#All],[Venta Total]],Tabla110[[#All],[Asesor]],B33,Tabla110[[#All],[Fecha Cobranza]],"&lt;"&amp;$O$6,Tabla110[[#All],[Fecha Cobranza]],"&gt;="&amp;$N$6)</f>
        <v>0</v>
      </c>
      <c r="P33" s="326">
        <f>SUMIFS(Tabla110[[#All],[Venta Total]],Tabla110[[#All],[Asesor]],B33,Tabla110[[#All],[Fecha Cobranza]],"&lt;"&amp;$P$6,Tabla110[[#All],[Fecha Cobranza]],"&gt;="&amp;$O$6)</f>
        <v>0</v>
      </c>
      <c r="Q33" s="326">
        <f>SUMIFS(Tabla110[[#All],[Venta Total]],Tabla110[[#All],[Asesor]],B33,Tabla110[[#All],[Fecha Cobranza]],"&lt;"&amp;$Q$6,Tabla110[[#All],[Fecha Cobranza]],"&gt;="&amp;$P$6)</f>
        <v>0</v>
      </c>
      <c r="R33" s="326">
        <f>SUMIFS(Tabla110[[#All],[Venta Total]],Tabla110[[#All],[Asesor]],B33,Tabla110[[#All],[Fecha Cobranza]],"&lt;"&amp;$R$6,Tabla110[[#All],[Fecha Cobranza]],"&gt;="&amp;$Q$6)</f>
        <v>0</v>
      </c>
      <c r="S33" s="326">
        <f>SUMIFS(Tabla110[[#All],[Venta Total]],Tabla110[[#All],[Asesor]],B33,Tabla110[[#All],[Fecha Cobranza]],"&lt;"&amp;$S$6,Tabla110[[#All],[Fecha Cobranza]],"&gt;="&amp;$R$6)</f>
        <v>0</v>
      </c>
      <c r="T33" s="326">
        <f>SUMIFS(Tabla110[[#All],[Venta Total]],Tabla110[[#All],[Asesor]],$B33,Tabla110[[#All],[Fecha Cobranza]],"&lt;"&amp;T$6,Tabla110[[#All],[Fecha Cobranza]],"&gt;="&amp;S$6)</f>
        <v>0</v>
      </c>
      <c r="U33" s="326">
        <f>SUMIFS(Tabla110[[#All],[Venta Total]],Tabla110[[#All],[Asesor]],$B33,Tabla110[[#All],[Fecha Cobranza]],"&lt;"&amp;U$6,Tabla110[[#All],[Fecha Cobranza]],"&gt;="&amp;T$6)</f>
        <v>0</v>
      </c>
      <c r="V33" s="326">
        <f>SUMIFS(Tabla110[[#All],[Venta Total]],Tabla110[[#All],[Asesor]],$B33,Tabla110[[#All],[Fecha Cobranza]],"&lt;"&amp;V$6,Tabla110[[#All],[Fecha Cobranza]],"&gt;="&amp;U$6)</f>
        <v>0</v>
      </c>
      <c r="W33" s="326">
        <f>SUMIFS(Tabla110[[#All],[Venta Total]],Tabla110[[#All],[Asesor]],$B33,Tabla110[[#All],[Fecha Cobranza]],"&lt;"&amp;W$6,Tabla110[[#All],[Fecha Cobranza]],"&gt;="&amp;V$6)</f>
        <v>0</v>
      </c>
      <c r="X33" s="326">
        <f>SUMIFS(Tabla110[[#All],[Venta Total]],Tabla110[[#All],[Asesor]],$B33,Tabla110[[#All],[Fecha Cobranza]],"&lt;"&amp;X$6,Tabla110[[#All],[Fecha Cobranza]],"&gt;="&amp;W$6)</f>
        <v>0</v>
      </c>
      <c r="Y33" s="326">
        <f>SUMIFS(Tabla110[[#All],[Venta Total]],Tabla110[[#All],[Asesor]],$B33,Tabla110[[#All],[Fecha Cobranza]],"&lt;"&amp;Y$6,Tabla110[[#All],[Fecha Cobranza]],"&gt;="&amp;X$6)</f>
        <v>0</v>
      </c>
      <c r="Z33" s="326">
        <f>SUMIFS(Tabla110[[#All],[Venta Total]],Tabla110[[#All],[Asesor]],$B33,Tabla110[[#All],[Fecha Cobranza]],"&lt;"&amp;Z$6,Tabla110[[#All],[Fecha Cobranza]],"&gt;="&amp;Y$6)</f>
        <v>118228.9748</v>
      </c>
      <c r="AA33" s="326">
        <f>SUMIFS(Tabla110[[#All],[Venta Total]],Tabla110[[#All],[Asesor]],$B33,Tabla110[[#All],[Fecha Cobranza]],"&lt;"&amp;AA$6,Tabla110[[#All],[Fecha Cobranza]],"&gt;="&amp;Z$6)</f>
        <v>0</v>
      </c>
      <c r="AB33" s="327">
        <f t="shared" si="0"/>
        <v>118228.9748</v>
      </c>
      <c r="AC33" s="322">
        <f>SUMIFS(Tabla110[[#All],[Utilidad Bruta Total]],Tabla110[[#All],[Asesor]],B33,Tabla110[[#All],[Fecha Cobranza]],"&lt;"&amp;$AC$6,Tabla110[[#All],[Fecha Cobranza]],"&gt;="&amp;$B$6)</f>
        <v>0</v>
      </c>
      <c r="AD33" s="322">
        <f>SUMIFS(Tabla110[[#All],[Utilidad Bruta Total]],Tabla110[[#All],[Asesor]],B33,Tabla110[[#All],[Fecha Cobranza]],"&lt;"&amp;$AD$6,Tabla110[[#All],[Fecha Cobranza]],"&gt;="&amp;$AC$6)</f>
        <v>0</v>
      </c>
      <c r="AE33" s="322">
        <f>SUMIFS(Tabla110[[#All],[Utilidad Bruta Total]],Tabla110[[#All],[Asesor]],B33,Tabla110[[#All],[Fecha Cobranza]],"&lt;"&amp;$AE$6,Tabla110[[#All],[Fecha Cobranza]],"&gt;="&amp;$AD$6)</f>
        <v>0</v>
      </c>
      <c r="AF33" s="322">
        <f>SUMIFS(Tabla110[[#All],[Utilidad Bruta Total]],Tabla110[[#All],[Asesor]],B33,Tabla110[[#All],[Fecha Cobranza]],"&lt;"&amp;$AF$6,Tabla110[[#All],[Fecha Cobranza]],"&gt;="&amp;$AE$6)</f>
        <v>0</v>
      </c>
      <c r="AG33" s="322">
        <f>SUMIFS(Tabla110[[#All],[Utilidad Bruta Total]],Tabla110[[#All],[Asesor]],B33,Tabla110[[#All],[Fecha Cobranza]],"&lt;"&amp;$AG$6,Tabla110[[#All],[Fecha Cobranza]],"&gt;="&amp;$AF$6)</f>
        <v>0</v>
      </c>
      <c r="AH33" s="322">
        <f>SUMIFS(Tabla110[[#All],[Utilidad Bruta Total]],Tabla110[[#All],[Asesor]],B33,Tabla110[[#All],[Fecha Cobranza]],"&lt;"&amp;$AH$6,Tabla110[[#All],[Fecha Cobranza]],"&gt;="&amp;$AG$6)</f>
        <v>0</v>
      </c>
      <c r="AI33" s="322">
        <f>SUMIFS(Tabla110[[#All],[Utilidad Bruta Total]],Tabla110[[#All],[Asesor]],B33,Tabla110[[#All],[Fecha Cobranza]],"&lt;"&amp;$AI$6,Tabla110[[#All],[Fecha Cobranza]],"&gt;="&amp;$AH$6)</f>
        <v>0</v>
      </c>
      <c r="AJ33" s="322">
        <f>SUMIFS(Tabla110[[#All],[Utilidad Bruta Total]],Tabla110[[#All],[Asesor]],B33,Tabla110[[#All],[Fecha Cobranza]],"&lt;"&amp;$AJ$6,Tabla110[[#All],[Fecha Cobranza]],"&gt;="&amp;$AI$6)</f>
        <v>0</v>
      </c>
      <c r="AK33" s="322">
        <f>SUMIFS(Tabla110[[#All],[Utilidad Bruta Total]],Tabla110[[#All],[Asesor]],B33,Tabla110[[#All],[Fecha Cobranza]],"&lt;"&amp;$AK$6,Tabla110[[#All],[Fecha Cobranza]],"&gt;="&amp;$AJ$6)</f>
        <v>0</v>
      </c>
      <c r="AL33" s="322">
        <f>SUMIFS(Tabla110[[#All],[Utilidad Bruta Total]],Tabla110[[#All],[Asesor]],B33,Tabla110[[#All],[Fecha Cobranza]],"&lt;"&amp;$AL$6,Tabla110[[#All],[Fecha Cobranza]],"&gt;="&amp;$AK$6)</f>
        <v>0</v>
      </c>
      <c r="AM33" s="322">
        <f>SUMIFS(Tabla110[[#All],[Utilidad Bruta Total]],Tabla110[[#All],[Asesor]],B33,Tabla110[[#All],[Fecha Cobranza]],"&lt;"&amp;$AM$6,Tabla110[[#All],[Fecha Cobranza]],"&gt;="&amp;$AL$6)</f>
        <v>0</v>
      </c>
      <c r="AN33" s="322">
        <f>SUMIFS(Tabla110[[#All],[Utilidad Bruta Total]],Tabla110[[#All],[Asesor]],B33,Tabla110[[#All],[Fecha Cobranza]],"&lt;"&amp;$AN$6,Tabla110[[#All],[Fecha Cobranza]],"&gt;="&amp;$AM$6)</f>
        <v>0</v>
      </c>
      <c r="AO33" s="322">
        <f>SUMIFS(Tabla110[[#All],[Utilidad Bruta Total]],Tabla110[[#All],[Asesor]],B33,Tabla110[[#All],[Fecha Cobranza]],"&lt;"&amp;$AO$6,Tabla110[[#All],[Fecha Cobranza]],"&gt;="&amp;$AN$6)</f>
        <v>0</v>
      </c>
      <c r="AP33" s="322">
        <f>SUMIFS(Tabla110[[#All],[Utilidad Bruta Total]],Tabla110[[#All],[Asesor]],B33,Tabla110[[#All],[Fecha Cobranza]],"&lt;"&amp;$AP$6,Tabla110[[#All],[Fecha Cobranza]],"&gt;="&amp;$AO$6)</f>
        <v>0</v>
      </c>
      <c r="AQ33" s="322">
        <f>SUMIFS(Tabla110[[#All],[Utilidad Bruta Total]],Tabla110[[#All],[Asesor]],B33,Tabla110[[#All],[Fecha Cobranza]],"&lt;"&amp;$AQ$6,Tabla110[[#All],[Fecha Cobranza]],"&gt;="&amp;$AP$6)</f>
        <v>0</v>
      </c>
      <c r="AR33" s="322">
        <f>SUMIFS(Tabla110[[#All],[Utilidad Bruta Total]],Tabla110[[#All],[Asesor]],B33,Tabla110[[#All],[Fecha Cobranza]],"&lt;"&amp;$AR$6,Tabla110[[#All],[Fecha Cobranza]],"&gt;="&amp;$AQ$6)</f>
        <v>0</v>
      </c>
      <c r="AS33" s="322">
        <f>SUMIFS(Tabla110[[#All],[Utilidad Bruta Total]],Tabla110[[#All],[Asesor]],$B33,Tabla110[[#All],[Fecha Cobranza]],"&lt;"&amp;AS$6,Tabla110[[#All],[Fecha Cobranza]],"&gt;="&amp;AR$6)</f>
        <v>0</v>
      </c>
      <c r="AT33" s="322">
        <f>SUMIFS(Tabla110[[#All],[Utilidad Bruta Total]],Tabla110[[#All],[Asesor]],$B33,Tabla110[[#All],[Fecha Cobranza]],"&lt;"&amp;AT$6,Tabla110[[#All],[Fecha Cobranza]],"&gt;="&amp;AS$6)</f>
        <v>0</v>
      </c>
      <c r="AU33" s="322">
        <f>SUMIFS(Tabla110[[#All],[Utilidad Bruta Total]],Tabla110[[#All],[Asesor]],$B33,Tabla110[[#All],[Fecha Cobranza]],"&lt;"&amp;AU$6,Tabla110[[#All],[Fecha Cobranza]],"&gt;="&amp;AT$6)</f>
        <v>0</v>
      </c>
      <c r="AV33" s="322">
        <f>SUMIFS(Tabla110[[#All],[Utilidad Bruta Total]],Tabla110[[#All],[Asesor]],$B33,Tabla110[[#All],[Fecha Cobranza]],"&lt;"&amp;AV$6,Tabla110[[#All],[Fecha Cobranza]],"&gt;="&amp;AU$6)</f>
        <v>0</v>
      </c>
      <c r="AW33" s="322">
        <f>SUMIFS(Tabla110[[#All],[Utilidad Bruta Total]],Tabla110[[#All],[Asesor]],$B33,Tabla110[[#All],[Fecha Cobranza]],"&lt;"&amp;AW$6,Tabla110[[#All],[Fecha Cobranza]],"&gt;="&amp;AV$6)</f>
        <v>0</v>
      </c>
      <c r="AX33" s="322">
        <f>SUMIFS(Tabla110[[#All],[Utilidad Bruta Total]],Tabla110[[#All],[Asesor]],$B33,Tabla110[[#All],[Fecha Cobranza]],"&lt;"&amp;AX$6,Tabla110[[#All],[Fecha Cobranza]],"&gt;="&amp;AW$6)</f>
        <v>0</v>
      </c>
      <c r="AY33" s="322" t="e">
        <f>SUMIFS(Tabla110[[#All],[Utilidad Bruta Total]],Tabla110[[#All],[Asesor]],$B33,Tabla110[[#All],[Fecha Cobranza]],"&lt;"&amp;AY$6,Tabla110[[#All],[Fecha Cobranza]],"&gt;="&amp;AX$6)</f>
        <v>#N/A</v>
      </c>
      <c r="AZ33" s="322">
        <f>SUMIFS(Tabla110[[#All],[Utilidad Bruta Total]],Tabla110[[#All],[Asesor]],$B33,Tabla110[[#All],[Fecha Cobranza]],"&lt;"&amp;AZ$6,Tabla110[[#All],[Fecha Cobranza]],"&gt;="&amp;AY$6)</f>
        <v>0</v>
      </c>
      <c r="BA33" s="323" t="e">
        <f t="shared" si="1"/>
        <v>#N/A</v>
      </c>
      <c r="BB33" s="318">
        <f t="shared" si="33"/>
        <v>0</v>
      </c>
      <c r="BC33" s="318"/>
      <c r="BD33" s="318">
        <f t="shared" si="34"/>
        <v>0</v>
      </c>
      <c r="BE33" s="318"/>
      <c r="BF33" s="318">
        <f t="shared" si="35"/>
        <v>0</v>
      </c>
      <c r="BG33" s="318"/>
      <c r="BH33" s="318">
        <f t="shared" si="36"/>
        <v>0</v>
      </c>
      <c r="BI33" s="318"/>
      <c r="BJ33" s="318">
        <f t="shared" si="37"/>
        <v>0</v>
      </c>
      <c r="BK33" s="318"/>
      <c r="BL33" s="318">
        <f t="shared" si="38"/>
        <v>0</v>
      </c>
      <c r="BM33" s="318"/>
      <c r="BN33" s="318">
        <f t="shared" si="39"/>
        <v>0</v>
      </c>
      <c r="BO33" s="318"/>
      <c r="BP33" s="318">
        <f t="shared" si="40"/>
        <v>0</v>
      </c>
      <c r="BQ33" s="318"/>
      <c r="BR33" s="318">
        <f t="shared" si="41"/>
        <v>0</v>
      </c>
      <c r="BS33" s="318"/>
      <c r="BT33" s="318">
        <f t="shared" si="42"/>
        <v>0</v>
      </c>
      <c r="BU33" s="318">
        <f t="shared" si="43"/>
        <v>0</v>
      </c>
      <c r="BV33" s="318"/>
      <c r="BW33" s="318">
        <f t="shared" si="44"/>
        <v>0</v>
      </c>
      <c r="BX33" s="318"/>
      <c r="BY33" s="318">
        <f t="shared" si="45"/>
        <v>0</v>
      </c>
      <c r="BZ33" s="318"/>
      <c r="CA33" s="318">
        <f t="shared" si="46"/>
        <v>0</v>
      </c>
      <c r="CB33" s="318"/>
      <c r="CC33" s="318">
        <f t="shared" si="47"/>
        <v>0</v>
      </c>
      <c r="CD33" s="318"/>
      <c r="CE33" s="318">
        <f t="shared" si="48"/>
        <v>0</v>
      </c>
      <c r="CF33" s="318"/>
      <c r="CG33" s="318">
        <f t="shared" si="49"/>
        <v>0</v>
      </c>
      <c r="CH33" s="318"/>
      <c r="CI33" s="318">
        <f t="shared" si="50"/>
        <v>0</v>
      </c>
      <c r="CJ33" s="318"/>
      <c r="CK33" s="318">
        <f t="shared" si="51"/>
        <v>0</v>
      </c>
      <c r="CL33" s="318"/>
      <c r="CM33" s="318">
        <f t="shared" si="52"/>
        <v>0</v>
      </c>
      <c r="CN33" s="318"/>
      <c r="CO33" s="318">
        <f t="shared" si="53"/>
        <v>0</v>
      </c>
      <c r="CP33" s="318"/>
      <c r="CQ33" s="318">
        <f t="shared" si="54"/>
        <v>0</v>
      </c>
      <c r="CR33" s="318"/>
      <c r="CS33" s="318" t="e">
        <f t="shared" si="55"/>
        <v>#N/A</v>
      </c>
      <c r="CT33" s="318"/>
      <c r="CU33" s="318">
        <f t="shared" si="56"/>
        <v>0</v>
      </c>
      <c r="CV33" s="318"/>
      <c r="CW33" s="318" t="e">
        <f t="shared" si="26"/>
        <v>#N/A</v>
      </c>
      <c r="CX33" s="330"/>
      <c r="CY33" s="330"/>
      <c r="CZ33" s="330"/>
      <c r="DA33" s="330"/>
      <c r="DB33" s="330"/>
      <c r="DC33" s="330"/>
      <c r="DD33" s="330"/>
      <c r="DE33" s="330"/>
      <c r="DF33" s="330"/>
      <c r="DG33" s="330"/>
      <c r="DH33" s="330"/>
      <c r="DI33" s="330"/>
      <c r="DJ33" s="330"/>
      <c r="DK33" s="330"/>
      <c r="DL33" s="330"/>
      <c r="DM33" s="330"/>
      <c r="DN33" s="330"/>
      <c r="DO33" s="330"/>
      <c r="DP33" s="330"/>
      <c r="DQ33" s="330"/>
      <c r="DR33" s="330"/>
      <c r="DS33" s="330"/>
      <c r="DT33" s="330"/>
      <c r="DU33" s="330"/>
      <c r="DV33" s="331">
        <f t="shared" si="30"/>
        <v>0</v>
      </c>
      <c r="DW33" s="130">
        <f t="shared" si="27"/>
        <v>118228.9748</v>
      </c>
      <c r="DX33" s="417" t="e">
        <f t="shared" si="28"/>
        <v>#N/A</v>
      </c>
      <c r="DY33" s="147">
        <f t="shared" si="57"/>
        <v>0</v>
      </c>
      <c r="DZ33" s="298">
        <f t="shared" si="29"/>
        <v>0</v>
      </c>
      <c r="ED33" s="163"/>
    </row>
    <row r="34" spans="2:134" ht="15.75" x14ac:dyDescent="0.3">
      <c r="B34" t="s">
        <v>294</v>
      </c>
      <c r="C34" s="297" t="s">
        <v>485</v>
      </c>
      <c r="D34" s="326">
        <f>SUMIFS(Tabla110[[#All],[Venta Total]],Tabla110[[#All],[Asesor]],B34,Tabla110[[#All],[Fecha Cobranza]],"&lt;"&amp;$D$6,Tabla110[[#All],[Fecha Cobranza]],"&gt;="&amp;$B$6)</f>
        <v>0</v>
      </c>
      <c r="E34" s="326">
        <f>SUMIFS(Tabla110[[#All],[Venta Total]],Tabla110[[#All],[Asesor]],B34,Tabla110[[#All],[Fecha Cobranza]],"&lt;"&amp;$E$6,Tabla110[[#All],[Fecha Cobranza]],"&gt;="&amp;$D$6)</f>
        <v>0</v>
      </c>
      <c r="F34" s="326">
        <f>SUMIFS(Tabla110[[#All],[Venta Total]],Tabla110[[#All],[Asesor]],B34,Tabla110[[#All],[Fecha Cobranza]],"&lt;"&amp;$F$6,Tabla110[[#All],[Fecha Cobranza]],"&gt;="&amp;$E$6)</f>
        <v>0</v>
      </c>
      <c r="G34" s="326">
        <f>SUMIFS(Tabla110[[#All],[Venta Total]],Tabla110[[#All],[Asesor]],B34,Tabla110[[#All],[Fecha Cobranza]],"&lt;"&amp;$G$6,Tabla110[[#All],[Fecha Cobranza]],"&gt;="&amp;$F$6)</f>
        <v>0</v>
      </c>
      <c r="H34" s="326">
        <f>SUMIFS(Tabla110[[#All],[Venta Total]],Tabla110[[#All],[Asesor]],B34,Tabla110[[#All],[Fecha Cobranza]],"&lt;"&amp;$H$6,Tabla110[[#All],[Fecha Cobranza]],"&gt;="&amp;$G$6)</f>
        <v>0</v>
      </c>
      <c r="I34" s="326">
        <f>SUMIFS(Tabla110[[#All],[Venta Total]],Tabla110[[#All],[Asesor]],B34,Tabla110[[#All],[Fecha Cobranza]],"&lt;"&amp;$I$6,Tabla110[[#All],[Fecha Cobranza]],"&gt;="&amp;$H$6)</f>
        <v>0</v>
      </c>
      <c r="J34" s="326">
        <f>SUMIFS(Tabla110[[#All],[Venta Total]],Tabla110[[#All],[Asesor]],B34,Tabla110[[#All],[Fecha Cobranza]],"&lt;"&amp;$J$6,Tabla110[[#All],[Fecha Cobranza]],"&gt;="&amp;$I$6)</f>
        <v>0</v>
      </c>
      <c r="K34" s="326">
        <f>SUMIFS(Tabla110[[#All],[Venta Total]],Tabla110[[#All],[Asesor]],B34,Tabla110[[#All],[Fecha Cobranza]],"&lt;"&amp;$K$6,Tabla110[[#All],[Fecha Cobranza]],"&gt;="&amp;$J$6)</f>
        <v>0</v>
      </c>
      <c r="L34" s="326">
        <f>SUMIFS(Tabla110[[#All],[Venta Total]],Tabla110[[#All],[Asesor]],B34,Tabla110[[#All],[Fecha Cobranza]],"&lt;"&amp;$L$6,Tabla110[[#All],[Fecha Cobranza]],"&gt;="&amp;$K$6)</f>
        <v>0</v>
      </c>
      <c r="M34" s="326">
        <f>SUMIFS(Tabla110[[#All],[Venta Total]],Tabla110[[#All],[Asesor]],B34,Tabla110[[#All],[Fecha Cobranza]],"&lt;"&amp;$M$6,Tabla110[[#All],[Fecha Cobranza]],"&gt;="&amp;$L$6)</f>
        <v>0</v>
      </c>
      <c r="N34" s="326">
        <f>SUMIFS(Tabla110[[#All],[Venta Total]],Tabla110[[#All],[Asesor]],B34,Tabla110[[#All],[Fecha Cobranza]],"&lt;"&amp;$N$6,Tabla110[[#All],[Fecha Cobranza]],"&gt;="&amp;$M$6)</f>
        <v>0</v>
      </c>
      <c r="O34" s="326">
        <f>SUMIFS(Tabla110[[#All],[Venta Total]],Tabla110[[#All],[Asesor]],B34,Tabla110[[#All],[Fecha Cobranza]],"&lt;"&amp;$O$6,Tabla110[[#All],[Fecha Cobranza]],"&gt;="&amp;$N$6)</f>
        <v>0</v>
      </c>
      <c r="P34" s="326">
        <f>SUMIFS(Tabla110[[#All],[Venta Total]],Tabla110[[#All],[Asesor]],B34,Tabla110[[#All],[Fecha Cobranza]],"&lt;"&amp;$P$6,Tabla110[[#All],[Fecha Cobranza]],"&gt;="&amp;$O$6)</f>
        <v>0</v>
      </c>
      <c r="Q34" s="326">
        <f>SUMIFS(Tabla110[[#All],[Venta Total]],Tabla110[[#All],[Asesor]],B34,Tabla110[[#All],[Fecha Cobranza]],"&lt;"&amp;$Q$6,Tabla110[[#All],[Fecha Cobranza]],"&gt;="&amp;$P$6)</f>
        <v>0</v>
      </c>
      <c r="R34" s="326">
        <f>SUMIFS(Tabla110[[#All],[Venta Total]],Tabla110[[#All],[Asesor]],B34,Tabla110[[#All],[Fecha Cobranza]],"&lt;"&amp;$R$6,Tabla110[[#All],[Fecha Cobranza]],"&gt;="&amp;$Q$6)</f>
        <v>0</v>
      </c>
      <c r="S34" s="326">
        <f>SUMIFS(Tabla110[[#All],[Venta Total]],Tabla110[[#All],[Asesor]],B34,Tabla110[[#All],[Fecha Cobranza]],"&lt;"&amp;$S$6,Tabla110[[#All],[Fecha Cobranza]],"&gt;="&amp;$R$6)</f>
        <v>0</v>
      </c>
      <c r="T34" s="326">
        <f>SUMIFS(Tabla110[[#All],[Venta Total]],Tabla110[[#All],[Asesor]],$B34,Tabla110[[#All],[Fecha Cobranza]],"&lt;"&amp;T$6,Tabla110[[#All],[Fecha Cobranza]],"&gt;="&amp;S$6)</f>
        <v>0</v>
      </c>
      <c r="U34" s="326">
        <f>SUMIFS(Tabla110[[#All],[Venta Total]],Tabla110[[#All],[Asesor]],$B34,Tabla110[[#All],[Fecha Cobranza]],"&lt;"&amp;U$6,Tabla110[[#All],[Fecha Cobranza]],"&gt;="&amp;T$6)</f>
        <v>0</v>
      </c>
      <c r="V34" s="326">
        <f>SUMIFS(Tabla110[[#All],[Venta Total]],Tabla110[[#All],[Asesor]],$B34,Tabla110[[#All],[Fecha Cobranza]],"&lt;"&amp;V$6,Tabla110[[#All],[Fecha Cobranza]],"&gt;="&amp;U$6)</f>
        <v>0</v>
      </c>
      <c r="W34" s="326">
        <f>SUMIFS(Tabla110[[#All],[Venta Total]],Tabla110[[#All],[Asesor]],$B34,Tabla110[[#All],[Fecha Cobranza]],"&lt;"&amp;W$6,Tabla110[[#All],[Fecha Cobranza]],"&gt;="&amp;V$6)</f>
        <v>0</v>
      </c>
      <c r="X34" s="326">
        <f>SUMIFS(Tabla110[[#All],[Venta Total]],Tabla110[[#All],[Asesor]],$B34,Tabla110[[#All],[Fecha Cobranza]],"&lt;"&amp;X$6,Tabla110[[#All],[Fecha Cobranza]],"&gt;="&amp;W$6)</f>
        <v>0</v>
      </c>
      <c r="Y34" s="326">
        <f>SUMIFS(Tabla110[[#All],[Venta Total]],Tabla110[[#All],[Asesor]],$B34,Tabla110[[#All],[Fecha Cobranza]],"&lt;"&amp;Y$6,Tabla110[[#All],[Fecha Cobranza]],"&gt;="&amp;X$6)</f>
        <v>0</v>
      </c>
      <c r="Z34" s="326">
        <f>SUMIFS(Tabla110[[#All],[Venta Total]],Tabla110[[#All],[Asesor]],$B34,Tabla110[[#All],[Fecha Cobranza]],"&lt;"&amp;Z$6,Tabla110[[#All],[Fecha Cobranza]],"&gt;="&amp;Y$6)</f>
        <v>0</v>
      </c>
      <c r="AA34" s="326">
        <f>SUMIFS(Tabla110[[#All],[Venta Total]],Tabla110[[#All],[Asesor]],$B34,Tabla110[[#All],[Fecha Cobranza]],"&lt;"&amp;AA$6,Tabla110[[#All],[Fecha Cobranza]],"&gt;="&amp;Z$6)</f>
        <v>0</v>
      </c>
      <c r="AB34" s="327">
        <f t="shared" si="0"/>
        <v>0</v>
      </c>
      <c r="AC34" s="322">
        <f>SUMIFS(Tabla110[[#All],[Utilidad Bruta Total]],Tabla110[[#All],[Asesor]],B34,Tabla110[[#All],[Fecha Cobranza]],"&lt;"&amp;$AC$6,Tabla110[[#All],[Fecha Cobranza]],"&gt;="&amp;$B$6)</f>
        <v>0</v>
      </c>
      <c r="AD34" s="322">
        <f>SUMIFS(Tabla110[[#All],[Utilidad Bruta Total]],Tabla110[[#All],[Asesor]],B34,Tabla110[[#All],[Fecha Cobranza]],"&lt;"&amp;$AD$6,Tabla110[[#All],[Fecha Cobranza]],"&gt;="&amp;$AC$6)</f>
        <v>0</v>
      </c>
      <c r="AE34" s="322">
        <f>SUMIFS(Tabla110[[#All],[Utilidad Bruta Total]],Tabla110[[#All],[Asesor]],B34,Tabla110[[#All],[Fecha Cobranza]],"&lt;"&amp;$AE$6,Tabla110[[#All],[Fecha Cobranza]],"&gt;="&amp;$AD$6)</f>
        <v>0</v>
      </c>
      <c r="AF34" s="322">
        <f>SUMIFS(Tabla110[[#All],[Utilidad Bruta Total]],Tabla110[[#All],[Asesor]],B34,Tabla110[[#All],[Fecha Cobranza]],"&lt;"&amp;$AF$6,Tabla110[[#All],[Fecha Cobranza]],"&gt;="&amp;$AE$6)</f>
        <v>0</v>
      </c>
      <c r="AG34" s="322">
        <f>SUMIFS(Tabla110[[#All],[Utilidad Bruta Total]],Tabla110[[#All],[Asesor]],B34,Tabla110[[#All],[Fecha Cobranza]],"&lt;"&amp;$AG$6,Tabla110[[#All],[Fecha Cobranza]],"&gt;="&amp;$AF$6)</f>
        <v>0</v>
      </c>
      <c r="AH34" s="322">
        <f>SUMIFS(Tabla110[[#All],[Utilidad Bruta Total]],Tabla110[[#All],[Asesor]],B34,Tabla110[[#All],[Fecha Cobranza]],"&lt;"&amp;$AH$6,Tabla110[[#All],[Fecha Cobranza]],"&gt;="&amp;$AG$6)</f>
        <v>0</v>
      </c>
      <c r="AI34" s="322">
        <f>SUMIFS(Tabla110[[#All],[Utilidad Bruta Total]],Tabla110[[#All],[Asesor]],B34,Tabla110[[#All],[Fecha Cobranza]],"&lt;"&amp;$AI$6,Tabla110[[#All],[Fecha Cobranza]],"&gt;="&amp;$AH$6)</f>
        <v>0</v>
      </c>
      <c r="AJ34" s="322">
        <f>SUMIFS(Tabla110[[#All],[Utilidad Bruta Total]],Tabla110[[#All],[Asesor]],B34,Tabla110[[#All],[Fecha Cobranza]],"&lt;"&amp;$AJ$6,Tabla110[[#All],[Fecha Cobranza]],"&gt;="&amp;$AI$6)</f>
        <v>0</v>
      </c>
      <c r="AK34" s="322">
        <f>SUMIFS(Tabla110[[#All],[Utilidad Bruta Total]],Tabla110[[#All],[Asesor]],B34,Tabla110[[#All],[Fecha Cobranza]],"&lt;"&amp;$AK$6,Tabla110[[#All],[Fecha Cobranza]],"&gt;="&amp;$AJ$6)</f>
        <v>0</v>
      </c>
      <c r="AL34" s="322">
        <f>SUMIFS(Tabla110[[#All],[Utilidad Bruta Total]],Tabla110[[#All],[Asesor]],B34,Tabla110[[#All],[Fecha Cobranza]],"&lt;"&amp;$AL$6,Tabla110[[#All],[Fecha Cobranza]],"&gt;="&amp;$AK$6)</f>
        <v>0</v>
      </c>
      <c r="AM34" s="322">
        <f>SUMIFS(Tabla110[[#All],[Utilidad Bruta Total]],Tabla110[[#All],[Asesor]],B34,Tabla110[[#All],[Fecha Cobranza]],"&lt;"&amp;$AM$6,Tabla110[[#All],[Fecha Cobranza]],"&gt;="&amp;$AL$6)</f>
        <v>0</v>
      </c>
      <c r="AN34" s="322">
        <f>SUMIFS(Tabla110[[#All],[Utilidad Bruta Total]],Tabla110[[#All],[Asesor]],B34,Tabla110[[#All],[Fecha Cobranza]],"&lt;"&amp;$AN$6,Tabla110[[#All],[Fecha Cobranza]],"&gt;="&amp;$AM$6)</f>
        <v>0</v>
      </c>
      <c r="AO34" s="322">
        <f>SUMIFS(Tabla110[[#All],[Utilidad Bruta Total]],Tabla110[[#All],[Asesor]],B34,Tabla110[[#All],[Fecha Cobranza]],"&lt;"&amp;$AO$6,Tabla110[[#All],[Fecha Cobranza]],"&gt;="&amp;$AN$6)</f>
        <v>0</v>
      </c>
      <c r="AP34" s="322">
        <f>SUMIFS(Tabla110[[#All],[Utilidad Bruta Total]],Tabla110[[#All],[Asesor]],B34,Tabla110[[#All],[Fecha Cobranza]],"&lt;"&amp;$AP$6,Tabla110[[#All],[Fecha Cobranza]],"&gt;="&amp;$AO$6)</f>
        <v>0</v>
      </c>
      <c r="AQ34" s="322">
        <f>SUMIFS(Tabla110[[#All],[Utilidad Bruta Total]],Tabla110[[#All],[Asesor]],B34,Tabla110[[#All],[Fecha Cobranza]],"&lt;"&amp;$AQ$6,Tabla110[[#All],[Fecha Cobranza]],"&gt;="&amp;$AP$6)</f>
        <v>0</v>
      </c>
      <c r="AR34" s="322">
        <f>SUMIFS(Tabla110[[#All],[Utilidad Bruta Total]],Tabla110[[#All],[Asesor]],B34,Tabla110[[#All],[Fecha Cobranza]],"&lt;"&amp;$AR$6,Tabla110[[#All],[Fecha Cobranza]],"&gt;="&amp;$AQ$6)</f>
        <v>0</v>
      </c>
      <c r="AS34" s="322">
        <f>SUMIFS(Tabla110[[#All],[Utilidad Bruta Total]],Tabla110[[#All],[Asesor]],$B34,Tabla110[[#All],[Fecha Cobranza]],"&lt;"&amp;AS$6,Tabla110[[#All],[Fecha Cobranza]],"&gt;="&amp;AR$6)</f>
        <v>0</v>
      </c>
      <c r="AT34" s="322">
        <f>SUMIFS(Tabla110[[#All],[Utilidad Bruta Total]],Tabla110[[#All],[Asesor]],$B34,Tabla110[[#All],[Fecha Cobranza]],"&lt;"&amp;AT$6,Tabla110[[#All],[Fecha Cobranza]],"&gt;="&amp;AS$6)</f>
        <v>0</v>
      </c>
      <c r="AU34" s="322">
        <f>SUMIFS(Tabla110[[#All],[Utilidad Bruta Total]],Tabla110[[#All],[Asesor]],$B34,Tabla110[[#All],[Fecha Cobranza]],"&lt;"&amp;AU$6,Tabla110[[#All],[Fecha Cobranza]],"&gt;="&amp;AT$6)</f>
        <v>0</v>
      </c>
      <c r="AV34" s="322">
        <f>SUMIFS(Tabla110[[#All],[Utilidad Bruta Total]],Tabla110[[#All],[Asesor]],$B34,Tabla110[[#All],[Fecha Cobranza]],"&lt;"&amp;AV$6,Tabla110[[#All],[Fecha Cobranza]],"&gt;="&amp;AU$6)</f>
        <v>0</v>
      </c>
      <c r="AW34" s="322">
        <f>SUMIFS(Tabla110[[#All],[Utilidad Bruta Total]],Tabla110[[#All],[Asesor]],$B34,Tabla110[[#All],[Fecha Cobranza]],"&lt;"&amp;AW$6,Tabla110[[#All],[Fecha Cobranza]],"&gt;="&amp;AV$6)</f>
        <v>0</v>
      </c>
      <c r="AX34" s="322">
        <f>SUMIFS(Tabla110[[#All],[Utilidad Bruta Total]],Tabla110[[#All],[Asesor]],$B34,Tabla110[[#All],[Fecha Cobranza]],"&lt;"&amp;AX$6,Tabla110[[#All],[Fecha Cobranza]],"&gt;="&amp;AW$6)</f>
        <v>0</v>
      </c>
      <c r="AY34" s="322">
        <f>SUMIFS(Tabla110[[#All],[Utilidad Bruta Total]],Tabla110[[#All],[Asesor]],$B34,Tabla110[[#All],[Fecha Cobranza]],"&lt;"&amp;AY$6,Tabla110[[#All],[Fecha Cobranza]],"&gt;="&amp;AX$6)</f>
        <v>0</v>
      </c>
      <c r="AZ34" s="322">
        <f>SUMIFS(Tabla110[[#All],[Utilidad Bruta Total]],Tabla110[[#All],[Asesor]],$B34,Tabla110[[#All],[Fecha Cobranza]],"&lt;"&amp;AZ$6,Tabla110[[#All],[Fecha Cobranza]],"&gt;="&amp;AY$6)</f>
        <v>0</v>
      </c>
      <c r="BA34" s="323">
        <f t="shared" si="1"/>
        <v>0</v>
      </c>
      <c r="BB34" s="318">
        <f t="shared" si="33"/>
        <v>0</v>
      </c>
      <c r="BC34" s="318"/>
      <c r="BD34" s="318">
        <f t="shared" si="34"/>
        <v>0</v>
      </c>
      <c r="BE34" s="318"/>
      <c r="BF34" s="318">
        <f t="shared" si="35"/>
        <v>0</v>
      </c>
      <c r="BG34" s="318"/>
      <c r="BH34" s="318">
        <f t="shared" si="36"/>
        <v>0</v>
      </c>
      <c r="BI34" s="318"/>
      <c r="BJ34" s="318">
        <f t="shared" si="37"/>
        <v>0</v>
      </c>
      <c r="BK34" s="318"/>
      <c r="BL34" s="318">
        <f t="shared" si="38"/>
        <v>0</v>
      </c>
      <c r="BM34" s="318"/>
      <c r="BN34" s="318">
        <f t="shared" si="39"/>
        <v>0</v>
      </c>
      <c r="BO34" s="318"/>
      <c r="BP34" s="318">
        <f t="shared" si="40"/>
        <v>0</v>
      </c>
      <c r="BQ34" s="318"/>
      <c r="BR34" s="318">
        <f t="shared" si="41"/>
        <v>0</v>
      </c>
      <c r="BS34" s="318"/>
      <c r="BT34" s="318">
        <f t="shared" si="42"/>
        <v>0</v>
      </c>
      <c r="BU34" s="318">
        <f t="shared" si="43"/>
        <v>0</v>
      </c>
      <c r="BV34" s="318"/>
      <c r="BW34" s="318">
        <f t="shared" si="44"/>
        <v>0</v>
      </c>
      <c r="BX34" s="318"/>
      <c r="BY34" s="318">
        <f t="shared" si="45"/>
        <v>0</v>
      </c>
      <c r="BZ34" s="318"/>
      <c r="CA34" s="318">
        <f t="shared" si="46"/>
        <v>0</v>
      </c>
      <c r="CB34" s="318"/>
      <c r="CC34" s="318">
        <f t="shared" si="47"/>
        <v>0</v>
      </c>
      <c r="CD34" s="318"/>
      <c r="CE34" s="318">
        <f t="shared" si="48"/>
        <v>0</v>
      </c>
      <c r="CF34" s="318"/>
      <c r="CG34" s="318">
        <f t="shared" si="49"/>
        <v>0</v>
      </c>
      <c r="CH34" s="318"/>
      <c r="CI34" s="318">
        <f t="shared" si="50"/>
        <v>0</v>
      </c>
      <c r="CJ34" s="318"/>
      <c r="CK34" s="318">
        <f t="shared" si="51"/>
        <v>0</v>
      </c>
      <c r="CL34" s="318"/>
      <c r="CM34" s="318">
        <f t="shared" si="52"/>
        <v>0</v>
      </c>
      <c r="CN34" s="318"/>
      <c r="CO34" s="318">
        <f t="shared" si="53"/>
        <v>0</v>
      </c>
      <c r="CP34" s="318"/>
      <c r="CQ34" s="318">
        <f t="shared" si="54"/>
        <v>0</v>
      </c>
      <c r="CR34" s="318"/>
      <c r="CS34" s="318">
        <f t="shared" si="55"/>
        <v>0</v>
      </c>
      <c r="CT34" s="318"/>
      <c r="CU34" s="318">
        <f t="shared" si="56"/>
        <v>0</v>
      </c>
      <c r="CV34" s="318"/>
      <c r="CW34" s="318">
        <f t="shared" si="26"/>
        <v>0</v>
      </c>
      <c r="CX34" s="330"/>
      <c r="CY34" s="330"/>
      <c r="CZ34" s="330"/>
      <c r="DA34" s="330"/>
      <c r="DB34" s="330"/>
      <c r="DC34" s="330"/>
      <c r="DD34" s="330"/>
      <c r="DE34" s="330"/>
      <c r="DF34" s="330"/>
      <c r="DG34" s="330"/>
      <c r="DH34" s="330"/>
      <c r="DI34" s="330"/>
      <c r="DJ34" s="330"/>
      <c r="DK34" s="330"/>
      <c r="DL34" s="330"/>
      <c r="DM34" s="330"/>
      <c r="DN34" s="330"/>
      <c r="DO34" s="330"/>
      <c r="DP34" s="330"/>
      <c r="DQ34" s="330"/>
      <c r="DR34" s="330"/>
      <c r="DS34" s="330"/>
      <c r="DT34" s="330"/>
      <c r="DU34" s="330"/>
      <c r="DV34" s="331">
        <f t="shared" si="30"/>
        <v>0</v>
      </c>
      <c r="DW34" s="130">
        <f t="shared" si="27"/>
        <v>0</v>
      </c>
      <c r="DX34" s="131">
        <f t="shared" si="28"/>
        <v>0</v>
      </c>
      <c r="DY34" s="147">
        <f t="shared" si="57"/>
        <v>0</v>
      </c>
      <c r="DZ34" s="298">
        <f t="shared" si="29"/>
        <v>0</v>
      </c>
    </row>
    <row r="35" spans="2:134" ht="15.75" x14ac:dyDescent="0.3">
      <c r="B35" t="s">
        <v>528</v>
      </c>
      <c r="C35" s="297" t="s">
        <v>485</v>
      </c>
      <c r="D35" s="326">
        <f>SUMIFS(Tabla110[[#All],[Venta Total]],Tabla110[[#All],[Asesor]],B35,Tabla110[[#All],[Fecha Cobranza]],"&lt;"&amp;$D$6,Tabla110[[#All],[Fecha Cobranza]],"&gt;="&amp;$B$6)</f>
        <v>0</v>
      </c>
      <c r="E35" s="326">
        <f>SUMIFS(Tabla110[[#All],[Venta Total]],Tabla110[[#All],[Asesor]],B35,Tabla110[[#All],[Fecha Cobranza]],"&lt;"&amp;$E$6,Tabla110[[#All],[Fecha Cobranza]],"&gt;="&amp;$D$6)</f>
        <v>0</v>
      </c>
      <c r="F35" s="326">
        <f>SUMIFS(Tabla110[[#All],[Venta Total]],Tabla110[[#All],[Asesor]],B35,Tabla110[[#All],[Fecha Cobranza]],"&lt;"&amp;$F$6,Tabla110[[#All],[Fecha Cobranza]],"&gt;="&amp;$E$6)</f>
        <v>0</v>
      </c>
      <c r="G35" s="326">
        <f>SUMIFS(Tabla110[[#All],[Venta Total]],Tabla110[[#All],[Asesor]],B35,Tabla110[[#All],[Fecha Cobranza]],"&lt;"&amp;$G$6,Tabla110[[#All],[Fecha Cobranza]],"&gt;="&amp;$F$6)</f>
        <v>0</v>
      </c>
      <c r="H35" s="326">
        <f>SUMIFS(Tabla110[[#All],[Venta Total]],Tabla110[[#All],[Asesor]],B35,Tabla110[[#All],[Fecha Cobranza]],"&lt;"&amp;$H$6,Tabla110[[#All],[Fecha Cobranza]],"&gt;="&amp;$G$6)</f>
        <v>0</v>
      </c>
      <c r="I35" s="326">
        <f>SUMIFS(Tabla110[[#All],[Venta Total]],Tabla110[[#All],[Asesor]],B35,Tabla110[[#All],[Fecha Cobranza]],"&lt;"&amp;$I$6,Tabla110[[#All],[Fecha Cobranza]],"&gt;="&amp;$H$6)</f>
        <v>0</v>
      </c>
      <c r="J35" s="326">
        <f>SUMIFS(Tabla110[[#All],[Venta Total]],Tabla110[[#All],[Asesor]],B35,Tabla110[[#All],[Fecha Cobranza]],"&lt;"&amp;$J$6,Tabla110[[#All],[Fecha Cobranza]],"&gt;="&amp;$I$6)</f>
        <v>0</v>
      </c>
      <c r="K35" s="326">
        <f>SUMIFS(Tabla110[[#All],[Venta Total]],Tabla110[[#All],[Asesor]],B35,Tabla110[[#All],[Fecha Cobranza]],"&lt;"&amp;$K$6,Tabla110[[#All],[Fecha Cobranza]],"&gt;="&amp;$J$6)</f>
        <v>0</v>
      </c>
      <c r="L35" s="326">
        <f>SUMIFS(Tabla110[[#All],[Venta Total]],Tabla110[[#All],[Asesor]],B35,Tabla110[[#All],[Fecha Cobranza]],"&lt;"&amp;$L$6,Tabla110[[#All],[Fecha Cobranza]],"&gt;="&amp;$K$6)</f>
        <v>0</v>
      </c>
      <c r="M35" s="326">
        <f>SUMIFS(Tabla110[[#All],[Venta Total]],Tabla110[[#All],[Asesor]],B35,Tabla110[[#All],[Fecha Cobranza]],"&lt;"&amp;$M$6,Tabla110[[#All],[Fecha Cobranza]],"&gt;="&amp;$L$6)</f>
        <v>0</v>
      </c>
      <c r="N35" s="326">
        <f>SUMIFS(Tabla110[[#All],[Venta Total]],Tabla110[[#All],[Asesor]],B35,Tabla110[[#All],[Fecha Cobranza]],"&lt;"&amp;$N$6,Tabla110[[#All],[Fecha Cobranza]],"&gt;="&amp;$M$6)</f>
        <v>0</v>
      </c>
      <c r="O35" s="326">
        <f>SUMIFS(Tabla110[[#All],[Venta Total]],Tabla110[[#All],[Asesor]],B35,Tabla110[[#All],[Fecha Cobranza]],"&lt;"&amp;$O$6,Tabla110[[#All],[Fecha Cobranza]],"&gt;="&amp;$N$6)</f>
        <v>0</v>
      </c>
      <c r="P35" s="326">
        <f>SUMIFS(Tabla110[[#All],[Venta Total]],Tabla110[[#All],[Asesor]],B35,Tabla110[[#All],[Fecha Cobranza]],"&lt;"&amp;$P$6,Tabla110[[#All],[Fecha Cobranza]],"&gt;="&amp;$O$6)</f>
        <v>0</v>
      </c>
      <c r="Q35" s="326">
        <f>SUMIFS(Tabla110[[#All],[Venta Total]],Tabla110[[#All],[Asesor]],B35,Tabla110[[#All],[Fecha Cobranza]],"&lt;"&amp;$Q$6,Tabla110[[#All],[Fecha Cobranza]],"&gt;="&amp;$P$6)</f>
        <v>0</v>
      </c>
      <c r="R35" s="326">
        <f>SUMIFS(Tabla110[[#All],[Venta Total]],Tabla110[[#All],[Asesor]],B35,Tabla110[[#All],[Fecha Cobranza]],"&lt;"&amp;$R$6,Tabla110[[#All],[Fecha Cobranza]],"&gt;="&amp;$Q$6)</f>
        <v>0</v>
      </c>
      <c r="S35" s="326">
        <f>SUMIFS(Tabla110[[#All],[Venta Total]],Tabla110[[#All],[Asesor]],B35,Tabla110[[#All],[Fecha Cobranza]],"&lt;"&amp;$S$6,Tabla110[[#All],[Fecha Cobranza]],"&gt;="&amp;$R$6)</f>
        <v>0</v>
      </c>
      <c r="T35" s="326">
        <f>SUMIFS(Tabla110[[#All],[Venta Total]],Tabla110[[#All],[Asesor]],$B35,Tabla110[[#All],[Fecha Cobranza]],"&lt;"&amp;T$6,Tabla110[[#All],[Fecha Cobranza]],"&gt;="&amp;S$6)</f>
        <v>0</v>
      </c>
      <c r="U35" s="326">
        <f>SUMIFS(Tabla110[[#All],[Venta Total]],Tabla110[[#All],[Asesor]],$B35,Tabla110[[#All],[Fecha Cobranza]],"&lt;"&amp;U$6,Tabla110[[#All],[Fecha Cobranza]],"&gt;="&amp;T$6)</f>
        <v>0</v>
      </c>
      <c r="V35" s="326">
        <f>SUMIFS(Tabla110[[#All],[Venta Total]],Tabla110[[#All],[Asesor]],$B35,Tabla110[[#All],[Fecha Cobranza]],"&lt;"&amp;V$6,Tabla110[[#All],[Fecha Cobranza]],"&gt;="&amp;U$6)</f>
        <v>0</v>
      </c>
      <c r="W35" s="326">
        <f>SUMIFS(Tabla110[[#All],[Venta Total]],Tabla110[[#All],[Asesor]],$B35,Tabla110[[#All],[Fecha Cobranza]],"&lt;"&amp;W$6,Tabla110[[#All],[Fecha Cobranza]],"&gt;="&amp;V$6)</f>
        <v>0</v>
      </c>
      <c r="X35" s="326">
        <f>SUMIFS(Tabla110[[#All],[Venta Total]],Tabla110[[#All],[Asesor]],$B35,Tabla110[[#All],[Fecha Cobranza]],"&lt;"&amp;X$6,Tabla110[[#All],[Fecha Cobranza]],"&gt;="&amp;W$6)</f>
        <v>0</v>
      </c>
      <c r="Y35" s="326">
        <f>SUMIFS(Tabla110[[#All],[Venta Total]],Tabla110[[#All],[Asesor]],$B35,Tabla110[[#All],[Fecha Cobranza]],"&lt;"&amp;Y$6,Tabla110[[#All],[Fecha Cobranza]],"&gt;="&amp;X$6)</f>
        <v>0</v>
      </c>
      <c r="Z35" s="326">
        <f>SUMIFS(Tabla110[[#All],[Venta Total]],Tabla110[[#All],[Asesor]],$B35,Tabla110[[#All],[Fecha Cobranza]],"&lt;"&amp;Z$6,Tabla110[[#All],[Fecha Cobranza]],"&gt;="&amp;Y$6)</f>
        <v>0</v>
      </c>
      <c r="AA35" s="326">
        <f>SUMIFS(Tabla110[[#All],[Venta Total]],Tabla110[[#All],[Asesor]],$B35,Tabla110[[#All],[Fecha Cobranza]],"&lt;"&amp;AA$6,Tabla110[[#All],[Fecha Cobranza]],"&gt;="&amp;Z$6)</f>
        <v>0</v>
      </c>
      <c r="AB35" s="327">
        <f t="shared" si="0"/>
        <v>0</v>
      </c>
      <c r="AC35" s="322">
        <f>SUMIFS(Tabla110[[#All],[Utilidad Bruta Total]],Tabla110[[#All],[Asesor]],B35,Tabla110[[#All],[Fecha Cobranza]],"&lt;"&amp;$AC$6,Tabla110[[#All],[Fecha Cobranza]],"&gt;="&amp;$B$6)</f>
        <v>0</v>
      </c>
      <c r="AD35" s="322">
        <f>SUMIFS(Tabla110[[#All],[Utilidad Bruta Total]],Tabla110[[#All],[Asesor]],B35,Tabla110[[#All],[Fecha Cobranza]],"&lt;"&amp;$AD$6,Tabla110[[#All],[Fecha Cobranza]],"&gt;="&amp;$AC$6)</f>
        <v>0</v>
      </c>
      <c r="AE35" s="322">
        <f>SUMIFS(Tabla110[[#All],[Utilidad Bruta Total]],Tabla110[[#All],[Asesor]],B35,Tabla110[[#All],[Fecha Cobranza]],"&lt;"&amp;$AE$6,Tabla110[[#All],[Fecha Cobranza]],"&gt;="&amp;$AD$6)</f>
        <v>0</v>
      </c>
      <c r="AF35" s="322">
        <f>SUMIFS(Tabla110[[#All],[Utilidad Bruta Total]],Tabla110[[#All],[Asesor]],B35,Tabla110[[#All],[Fecha Cobranza]],"&lt;"&amp;$AF$6,Tabla110[[#All],[Fecha Cobranza]],"&gt;="&amp;$AE$6)</f>
        <v>0</v>
      </c>
      <c r="AG35" s="322">
        <f>SUMIFS(Tabla110[[#All],[Utilidad Bruta Total]],Tabla110[[#All],[Asesor]],B35,Tabla110[[#All],[Fecha Cobranza]],"&lt;"&amp;$AG$6,Tabla110[[#All],[Fecha Cobranza]],"&gt;="&amp;$AF$6)</f>
        <v>0</v>
      </c>
      <c r="AH35" s="322">
        <f>SUMIFS(Tabla110[[#All],[Utilidad Bruta Total]],Tabla110[[#All],[Asesor]],B35,Tabla110[[#All],[Fecha Cobranza]],"&lt;"&amp;$AH$6,Tabla110[[#All],[Fecha Cobranza]],"&gt;="&amp;$AG$6)</f>
        <v>0</v>
      </c>
      <c r="AI35" s="322">
        <f>SUMIFS(Tabla110[[#All],[Utilidad Bruta Total]],Tabla110[[#All],[Asesor]],B35,Tabla110[[#All],[Fecha Cobranza]],"&lt;"&amp;$AI$6,Tabla110[[#All],[Fecha Cobranza]],"&gt;="&amp;$AH$6)</f>
        <v>0</v>
      </c>
      <c r="AJ35" s="322">
        <f>SUMIFS(Tabla110[[#All],[Utilidad Bruta Total]],Tabla110[[#All],[Asesor]],B35,Tabla110[[#All],[Fecha Cobranza]],"&lt;"&amp;$AJ$6,Tabla110[[#All],[Fecha Cobranza]],"&gt;="&amp;$AI$6)</f>
        <v>0</v>
      </c>
      <c r="AK35" s="322">
        <f>SUMIFS(Tabla110[[#All],[Utilidad Bruta Total]],Tabla110[[#All],[Asesor]],B35,Tabla110[[#All],[Fecha Cobranza]],"&lt;"&amp;$AK$6,Tabla110[[#All],[Fecha Cobranza]],"&gt;="&amp;$AJ$6)</f>
        <v>0</v>
      </c>
      <c r="AL35" s="322">
        <f>SUMIFS(Tabla110[[#All],[Utilidad Bruta Total]],Tabla110[[#All],[Asesor]],B35,Tabla110[[#All],[Fecha Cobranza]],"&lt;"&amp;$AL$6,Tabla110[[#All],[Fecha Cobranza]],"&gt;="&amp;$AK$6)</f>
        <v>0</v>
      </c>
      <c r="AM35" s="322">
        <f>SUMIFS(Tabla110[[#All],[Utilidad Bruta Total]],Tabla110[[#All],[Asesor]],B35,Tabla110[[#All],[Fecha Cobranza]],"&lt;"&amp;$AM$6,Tabla110[[#All],[Fecha Cobranza]],"&gt;="&amp;$AL$6)</f>
        <v>0</v>
      </c>
      <c r="AN35" s="322">
        <f>SUMIFS(Tabla110[[#All],[Utilidad Bruta Total]],Tabla110[[#All],[Asesor]],B35,Tabla110[[#All],[Fecha Cobranza]],"&lt;"&amp;$AN$6,Tabla110[[#All],[Fecha Cobranza]],"&gt;="&amp;$AM$6)</f>
        <v>0</v>
      </c>
      <c r="AO35" s="322">
        <f>SUMIFS(Tabla110[[#All],[Utilidad Bruta Total]],Tabla110[[#All],[Asesor]],B35,Tabla110[[#All],[Fecha Cobranza]],"&lt;"&amp;$AO$6,Tabla110[[#All],[Fecha Cobranza]],"&gt;="&amp;$AN$6)</f>
        <v>0</v>
      </c>
      <c r="AP35" s="322">
        <f>SUMIFS(Tabla110[[#All],[Utilidad Bruta Total]],Tabla110[[#All],[Asesor]],B35,Tabla110[[#All],[Fecha Cobranza]],"&lt;"&amp;$AP$6,Tabla110[[#All],[Fecha Cobranza]],"&gt;="&amp;$AO$6)</f>
        <v>0</v>
      </c>
      <c r="AQ35" s="322">
        <f>SUMIFS(Tabla110[[#All],[Utilidad Bruta Total]],Tabla110[[#All],[Asesor]],B35,Tabla110[[#All],[Fecha Cobranza]],"&lt;"&amp;$AQ$6,Tabla110[[#All],[Fecha Cobranza]],"&gt;="&amp;$AP$6)</f>
        <v>0</v>
      </c>
      <c r="AR35" s="322">
        <f>SUMIFS(Tabla110[[#All],[Utilidad Bruta Total]],Tabla110[[#All],[Asesor]],B35,Tabla110[[#All],[Fecha Cobranza]],"&lt;"&amp;$AR$6,Tabla110[[#All],[Fecha Cobranza]],"&gt;="&amp;$AQ$6)</f>
        <v>0</v>
      </c>
      <c r="AS35" s="322">
        <f>SUMIFS(Tabla110[[#All],[Utilidad Bruta Total]],Tabla110[[#All],[Asesor]],$B35,Tabla110[[#All],[Fecha Cobranza]],"&lt;"&amp;AS$6,Tabla110[[#All],[Fecha Cobranza]],"&gt;="&amp;AR$6)</f>
        <v>0</v>
      </c>
      <c r="AT35" s="322">
        <f>SUMIFS(Tabla110[[#All],[Utilidad Bruta Total]],Tabla110[[#All],[Asesor]],$B35,Tabla110[[#All],[Fecha Cobranza]],"&lt;"&amp;AT$6,Tabla110[[#All],[Fecha Cobranza]],"&gt;="&amp;AS$6)</f>
        <v>0</v>
      </c>
      <c r="AU35" s="322">
        <f>SUMIFS(Tabla110[[#All],[Utilidad Bruta Total]],Tabla110[[#All],[Asesor]],$B35,Tabla110[[#All],[Fecha Cobranza]],"&lt;"&amp;AU$6,Tabla110[[#All],[Fecha Cobranza]],"&gt;="&amp;AT$6)</f>
        <v>0</v>
      </c>
      <c r="AV35" s="322">
        <f>SUMIFS(Tabla110[[#All],[Utilidad Bruta Total]],Tabla110[[#All],[Asesor]],$B35,Tabla110[[#All],[Fecha Cobranza]],"&lt;"&amp;AV$6,Tabla110[[#All],[Fecha Cobranza]],"&gt;="&amp;AU$6)</f>
        <v>0</v>
      </c>
      <c r="AW35" s="322">
        <f>SUMIFS(Tabla110[[#All],[Utilidad Bruta Total]],Tabla110[[#All],[Asesor]],$B35,Tabla110[[#All],[Fecha Cobranza]],"&lt;"&amp;AW$6,Tabla110[[#All],[Fecha Cobranza]],"&gt;="&amp;AV$6)</f>
        <v>0</v>
      </c>
      <c r="AX35" s="322">
        <f>SUMIFS(Tabla110[[#All],[Utilidad Bruta Total]],Tabla110[[#All],[Asesor]],$B35,Tabla110[[#All],[Fecha Cobranza]],"&lt;"&amp;AX$6,Tabla110[[#All],[Fecha Cobranza]],"&gt;="&amp;AW$6)</f>
        <v>0</v>
      </c>
      <c r="AY35" s="322">
        <f>SUMIFS(Tabla110[[#All],[Utilidad Bruta Total]],Tabla110[[#All],[Asesor]],$B35,Tabla110[[#All],[Fecha Cobranza]],"&lt;"&amp;AY$6,Tabla110[[#All],[Fecha Cobranza]],"&gt;="&amp;AX$6)</f>
        <v>0</v>
      </c>
      <c r="AZ35" s="322">
        <f>SUMIFS(Tabla110[[#All],[Utilidad Bruta Total]],Tabla110[[#All],[Asesor]],$B35,Tabla110[[#All],[Fecha Cobranza]],"&lt;"&amp;AZ$6,Tabla110[[#All],[Fecha Cobranza]],"&gt;="&amp;AY$6)</f>
        <v>0</v>
      </c>
      <c r="BA35" s="323">
        <f t="shared" si="1"/>
        <v>0</v>
      </c>
      <c r="BB35" s="318">
        <f t="shared" si="33"/>
        <v>0</v>
      </c>
      <c r="BC35" s="318"/>
      <c r="BD35" s="318">
        <f t="shared" si="34"/>
        <v>0</v>
      </c>
      <c r="BE35" s="318"/>
      <c r="BF35" s="318">
        <f t="shared" si="35"/>
        <v>0</v>
      </c>
      <c r="BG35" s="318"/>
      <c r="BH35" s="318">
        <f t="shared" si="36"/>
        <v>0</v>
      </c>
      <c r="BI35" s="318"/>
      <c r="BJ35" s="318">
        <f t="shared" si="37"/>
        <v>0</v>
      </c>
      <c r="BK35" s="318"/>
      <c r="BL35" s="318">
        <f t="shared" si="38"/>
        <v>0</v>
      </c>
      <c r="BM35" s="318"/>
      <c r="BN35" s="318">
        <f t="shared" si="39"/>
        <v>0</v>
      </c>
      <c r="BO35" s="318"/>
      <c r="BP35" s="318">
        <f t="shared" si="40"/>
        <v>0</v>
      </c>
      <c r="BQ35" s="318"/>
      <c r="BR35" s="318">
        <f t="shared" si="41"/>
        <v>0</v>
      </c>
      <c r="BS35" s="318"/>
      <c r="BT35" s="318">
        <f t="shared" si="42"/>
        <v>0</v>
      </c>
      <c r="BU35" s="318">
        <f t="shared" si="43"/>
        <v>0</v>
      </c>
      <c r="BV35" s="318"/>
      <c r="BW35" s="318">
        <f>((AM35+AN35)*(IF(C35="INTERNO",IF((N35+O35)&gt;=$EG$16,$EI$16,IF((N35+O35)&gt;=$EG$15,$EI$15,IF((N35+O35)&gt;=$EG$14,$EI$14,IF((N35+O35)&gt;=$EG$13,$EI$13,IF((N35+O35)&gt;=$EG$12,$EI$12,IF((N35+O35)&gt;=$EG$11,$EI$11,IF((N35+O35)&gt;=$EG$10,$EI$10,0))))))),IF((N35+O35)&gt;=$EG$16,$EJ$16,IF((N35+O35)&gt;=$EG$15,$EJ$15,IF((N35+O35)&gt;=$EG$14,$EJ$14,IF((N35+O35)&gt;=$EG$13,$EJ$13,IF((N35+O35)&gt;=$EG$12,$EJ$12,IF((N35+O35)&gt;=$EG$11,$EJ$11,IF((N35+O35)&gt;=$EG$10,$EJ$10,0))))))))))</f>
        <v>0</v>
      </c>
      <c r="BX35" s="318"/>
      <c r="BY35" s="318">
        <f t="shared" si="45"/>
        <v>0</v>
      </c>
      <c r="BZ35" s="318"/>
      <c r="CA35" s="318">
        <f t="shared" si="46"/>
        <v>0</v>
      </c>
      <c r="CB35" s="318"/>
      <c r="CC35" s="318">
        <f t="shared" si="47"/>
        <v>0</v>
      </c>
      <c r="CD35" s="318"/>
      <c r="CE35" s="318">
        <f t="shared" si="48"/>
        <v>0</v>
      </c>
      <c r="CF35" s="318"/>
      <c r="CG35" s="318">
        <f t="shared" si="49"/>
        <v>0</v>
      </c>
      <c r="CH35" s="318"/>
      <c r="CI35" s="318">
        <f t="shared" si="50"/>
        <v>0</v>
      </c>
      <c r="CJ35" s="318"/>
      <c r="CK35" s="318">
        <f t="shared" si="51"/>
        <v>0</v>
      </c>
      <c r="CL35" s="318"/>
      <c r="CM35" s="318">
        <f t="shared" si="52"/>
        <v>0</v>
      </c>
      <c r="CN35" s="318"/>
      <c r="CO35" s="318">
        <f t="shared" si="53"/>
        <v>0</v>
      </c>
      <c r="CP35" s="318"/>
      <c r="CQ35" s="318">
        <f t="shared" si="54"/>
        <v>0</v>
      </c>
      <c r="CR35" s="318"/>
      <c r="CS35" s="318">
        <f t="shared" si="55"/>
        <v>0</v>
      </c>
      <c r="CT35" s="318"/>
      <c r="CU35" s="318">
        <f t="shared" si="56"/>
        <v>0</v>
      </c>
      <c r="CV35" s="318"/>
      <c r="CW35" s="318">
        <f t="shared" si="26"/>
        <v>0</v>
      </c>
      <c r="CX35" s="330"/>
      <c r="CY35" s="330"/>
      <c r="CZ35" s="330"/>
      <c r="DA35" s="330"/>
      <c r="DB35" s="330"/>
      <c r="DC35" s="330"/>
      <c r="DD35" s="330"/>
      <c r="DE35" s="330"/>
      <c r="DF35" s="330"/>
      <c r="DG35" s="330"/>
      <c r="DH35" s="330"/>
      <c r="DI35" s="330"/>
      <c r="DJ35" s="330"/>
      <c r="DK35" s="330"/>
      <c r="DL35" s="330"/>
      <c r="DM35" s="330"/>
      <c r="DN35" s="330"/>
      <c r="DO35" s="330"/>
      <c r="DP35" s="330"/>
      <c r="DQ35" s="330"/>
      <c r="DR35" s="330"/>
      <c r="DS35" s="330"/>
      <c r="DT35" s="330"/>
      <c r="DU35" s="330"/>
      <c r="DV35" s="331">
        <f t="shared" ref="DV35:DV55" si="58">SUM(CX35:DU35)</f>
        <v>0</v>
      </c>
      <c r="DW35" s="130">
        <f t="shared" si="27"/>
        <v>0</v>
      </c>
      <c r="DX35" s="131">
        <f t="shared" si="28"/>
        <v>0</v>
      </c>
      <c r="DY35" s="147">
        <f t="shared" si="57"/>
        <v>0</v>
      </c>
      <c r="DZ35" s="298">
        <f t="shared" si="29"/>
        <v>0</v>
      </c>
    </row>
    <row r="36" spans="2:134" ht="15.75" x14ac:dyDescent="0.3">
      <c r="B36" t="s">
        <v>543</v>
      </c>
      <c r="C36" s="297" t="s">
        <v>485</v>
      </c>
      <c r="D36" s="326">
        <f>SUMIFS(Tabla110[[#All],[Venta Total]],Tabla110[[#All],[Asesor]],B36,Tabla110[[#All],[Fecha Cobranza]],"&lt;"&amp;$D$6,Tabla110[[#All],[Fecha Cobranza]],"&gt;="&amp;$B$6)</f>
        <v>0</v>
      </c>
      <c r="E36" s="326">
        <f>SUMIFS(Tabla110[[#All],[Venta Total]],Tabla110[[#All],[Asesor]],B36,Tabla110[[#All],[Fecha Cobranza]],"&lt;"&amp;$E$6,Tabla110[[#All],[Fecha Cobranza]],"&gt;="&amp;$D$6)</f>
        <v>0</v>
      </c>
      <c r="F36" s="326">
        <f>SUMIFS(Tabla110[[#All],[Venta Total]],Tabla110[[#All],[Asesor]],B36,Tabla110[[#All],[Fecha Cobranza]],"&lt;"&amp;$F$6,Tabla110[[#All],[Fecha Cobranza]],"&gt;="&amp;$E$6)</f>
        <v>0</v>
      </c>
      <c r="G36" s="326">
        <f>SUMIFS(Tabla110[[#All],[Venta Total]],Tabla110[[#All],[Asesor]],B36,Tabla110[[#All],[Fecha Cobranza]],"&lt;"&amp;$G$6,Tabla110[[#All],[Fecha Cobranza]],"&gt;="&amp;$F$6)</f>
        <v>0</v>
      </c>
      <c r="H36" s="326">
        <f>SUMIFS(Tabla110[[#All],[Venta Total]],Tabla110[[#All],[Asesor]],B36,Tabla110[[#All],[Fecha Cobranza]],"&lt;"&amp;$H$6,Tabla110[[#All],[Fecha Cobranza]],"&gt;="&amp;$G$6)</f>
        <v>0</v>
      </c>
      <c r="I36" s="326">
        <f>SUMIFS(Tabla110[[#All],[Venta Total]],Tabla110[[#All],[Asesor]],B36,Tabla110[[#All],[Fecha Cobranza]],"&lt;"&amp;$I$6,Tabla110[[#All],[Fecha Cobranza]],"&gt;="&amp;$H$6)</f>
        <v>0</v>
      </c>
      <c r="J36" s="326">
        <f>SUMIFS(Tabla110[[#All],[Venta Total]],Tabla110[[#All],[Asesor]],B36,Tabla110[[#All],[Fecha Cobranza]],"&lt;"&amp;$J$6,Tabla110[[#All],[Fecha Cobranza]],"&gt;="&amp;$I$6)</f>
        <v>0</v>
      </c>
      <c r="K36" s="326">
        <f>SUMIFS(Tabla110[[#All],[Venta Total]],Tabla110[[#All],[Asesor]],B36,Tabla110[[#All],[Fecha Cobranza]],"&lt;"&amp;$K$6,Tabla110[[#All],[Fecha Cobranza]],"&gt;="&amp;$J$6)</f>
        <v>0</v>
      </c>
      <c r="L36" s="326">
        <f>SUMIFS(Tabla110[[#All],[Venta Total]],Tabla110[[#All],[Asesor]],B36,Tabla110[[#All],[Fecha Cobranza]],"&lt;"&amp;$L$6,Tabla110[[#All],[Fecha Cobranza]],"&gt;="&amp;$K$6)</f>
        <v>0</v>
      </c>
      <c r="M36" s="326">
        <f>SUMIFS(Tabla110[[#All],[Venta Total]],Tabla110[[#All],[Asesor]],B36,Tabla110[[#All],[Fecha Cobranza]],"&lt;"&amp;$M$6,Tabla110[[#All],[Fecha Cobranza]],"&gt;="&amp;$L$6)</f>
        <v>0</v>
      </c>
      <c r="N36" s="326">
        <f>SUMIFS(Tabla110[[#All],[Venta Total]],Tabla110[[#All],[Asesor]],B36,Tabla110[[#All],[Fecha Cobranza]],"&lt;"&amp;$N$6,Tabla110[[#All],[Fecha Cobranza]],"&gt;="&amp;$M$6)</f>
        <v>0</v>
      </c>
      <c r="O36" s="326">
        <f>SUMIFS(Tabla110[[#All],[Venta Total]],Tabla110[[#All],[Asesor]],B36,Tabla110[[#All],[Fecha Cobranza]],"&lt;"&amp;$O$6,Tabla110[[#All],[Fecha Cobranza]],"&gt;="&amp;$N$6)</f>
        <v>0</v>
      </c>
      <c r="P36" s="326">
        <f>SUMIFS(Tabla110[[#All],[Venta Total]],Tabla110[[#All],[Asesor]],B36,Tabla110[[#All],[Fecha Cobranza]],"&lt;"&amp;$P$6,Tabla110[[#All],[Fecha Cobranza]],"&gt;="&amp;$O$6)</f>
        <v>0</v>
      </c>
      <c r="Q36" s="326">
        <f>SUMIFS(Tabla110[[#All],[Venta Total]],Tabla110[[#All],[Asesor]],B36,Tabla110[[#All],[Fecha Cobranza]],"&lt;"&amp;$Q$6,Tabla110[[#All],[Fecha Cobranza]],"&gt;="&amp;$P$6)</f>
        <v>0</v>
      </c>
      <c r="R36" s="326">
        <f>SUMIFS(Tabla110[[#All],[Venta Total]],Tabla110[[#All],[Asesor]],B36,Tabla110[[#All],[Fecha Cobranza]],"&lt;"&amp;$R$6,Tabla110[[#All],[Fecha Cobranza]],"&gt;="&amp;$Q$6)</f>
        <v>0</v>
      </c>
      <c r="S36" s="326">
        <f>SUMIFS(Tabla110[[#All],[Venta Total]],Tabla110[[#All],[Asesor]],B36,Tabla110[[#All],[Fecha Cobranza]],"&lt;"&amp;$S$6,Tabla110[[#All],[Fecha Cobranza]],"&gt;="&amp;$R$6)</f>
        <v>0</v>
      </c>
      <c r="T36" s="326">
        <f>SUMIFS(Tabla110[[#All],[Venta Total]],Tabla110[[#All],[Asesor]],$B36,Tabla110[[#All],[Fecha Cobranza]],"&lt;"&amp;T$6,Tabla110[[#All],[Fecha Cobranza]],"&gt;="&amp;S$6)</f>
        <v>0</v>
      </c>
      <c r="U36" s="326">
        <f>SUMIFS(Tabla110[[#All],[Venta Total]],Tabla110[[#All],[Asesor]],$B36,Tabla110[[#All],[Fecha Cobranza]],"&lt;"&amp;U$6,Tabla110[[#All],[Fecha Cobranza]],"&gt;="&amp;T$6)</f>
        <v>0</v>
      </c>
      <c r="V36" s="326">
        <f>SUMIFS(Tabla110[[#All],[Venta Total]],Tabla110[[#All],[Asesor]],$B36,Tabla110[[#All],[Fecha Cobranza]],"&lt;"&amp;V$6,Tabla110[[#All],[Fecha Cobranza]],"&gt;="&amp;U$6)</f>
        <v>0</v>
      </c>
      <c r="W36" s="326">
        <f>SUMIFS(Tabla110[[#All],[Venta Total]],Tabla110[[#All],[Asesor]],$B36,Tabla110[[#All],[Fecha Cobranza]],"&lt;"&amp;W$6,Tabla110[[#All],[Fecha Cobranza]],"&gt;="&amp;V$6)</f>
        <v>0</v>
      </c>
      <c r="X36" s="326">
        <f>SUMIFS(Tabla110[[#All],[Venta Total]],Tabla110[[#All],[Asesor]],$B36,Tabla110[[#All],[Fecha Cobranza]],"&lt;"&amp;X$6,Tabla110[[#All],[Fecha Cobranza]],"&gt;="&amp;W$6)</f>
        <v>0</v>
      </c>
      <c r="Y36" s="326">
        <f>SUMIFS(Tabla110[[#All],[Venta Total]],Tabla110[[#All],[Asesor]],$B36,Tabla110[[#All],[Fecha Cobranza]],"&lt;"&amp;Y$6,Tabla110[[#All],[Fecha Cobranza]],"&gt;="&amp;X$6)</f>
        <v>0</v>
      </c>
      <c r="Z36" s="326">
        <f>SUMIFS(Tabla110[[#All],[Venta Total]],Tabla110[[#All],[Asesor]],$B36,Tabla110[[#All],[Fecha Cobranza]],"&lt;"&amp;Z$6,Tabla110[[#All],[Fecha Cobranza]],"&gt;="&amp;Y$6)</f>
        <v>0</v>
      </c>
      <c r="AA36" s="326">
        <f>SUMIFS(Tabla110[[#All],[Venta Total]],Tabla110[[#All],[Asesor]],$B36,Tabla110[[#All],[Fecha Cobranza]],"&lt;"&amp;AA$6,Tabla110[[#All],[Fecha Cobranza]],"&gt;="&amp;Z$6)</f>
        <v>0</v>
      </c>
      <c r="AB36" s="327">
        <f t="shared" si="0"/>
        <v>0</v>
      </c>
      <c r="AC36" s="322">
        <f>SUMIFS(Tabla110[[#All],[Utilidad Bruta Total]],Tabla110[[#All],[Asesor]],B36,Tabla110[[#All],[Fecha Cobranza]],"&lt;"&amp;$AC$6,Tabla110[[#All],[Fecha Cobranza]],"&gt;="&amp;$B$6)</f>
        <v>0</v>
      </c>
      <c r="AD36" s="322">
        <f>SUMIFS(Tabla110[[#All],[Utilidad Bruta Total]],Tabla110[[#All],[Asesor]],B36,Tabla110[[#All],[Fecha Cobranza]],"&lt;"&amp;$AD$6,Tabla110[[#All],[Fecha Cobranza]],"&gt;="&amp;$AC$6)</f>
        <v>0</v>
      </c>
      <c r="AE36" s="322">
        <f>SUMIFS(Tabla110[[#All],[Utilidad Bruta Total]],Tabla110[[#All],[Asesor]],B36,Tabla110[[#All],[Fecha Cobranza]],"&lt;"&amp;$AE$6,Tabla110[[#All],[Fecha Cobranza]],"&gt;="&amp;$AD$6)</f>
        <v>0</v>
      </c>
      <c r="AF36" s="322">
        <f>SUMIFS(Tabla110[[#All],[Utilidad Bruta Total]],Tabla110[[#All],[Asesor]],B36,Tabla110[[#All],[Fecha Cobranza]],"&lt;"&amp;$AF$6,Tabla110[[#All],[Fecha Cobranza]],"&gt;="&amp;$AE$6)</f>
        <v>0</v>
      </c>
      <c r="AG36" s="322">
        <f>SUMIFS(Tabla110[[#All],[Utilidad Bruta Total]],Tabla110[[#All],[Asesor]],B36,Tabla110[[#All],[Fecha Cobranza]],"&lt;"&amp;$AG$6,Tabla110[[#All],[Fecha Cobranza]],"&gt;="&amp;$AF$6)</f>
        <v>0</v>
      </c>
      <c r="AH36" s="322">
        <f>SUMIFS(Tabla110[[#All],[Utilidad Bruta Total]],Tabla110[[#All],[Asesor]],B36,Tabla110[[#All],[Fecha Cobranza]],"&lt;"&amp;$AH$6,Tabla110[[#All],[Fecha Cobranza]],"&gt;="&amp;$AG$6)</f>
        <v>0</v>
      </c>
      <c r="AI36" s="322">
        <f>SUMIFS(Tabla110[[#All],[Utilidad Bruta Total]],Tabla110[[#All],[Asesor]],B36,Tabla110[[#All],[Fecha Cobranza]],"&lt;"&amp;$AI$6,Tabla110[[#All],[Fecha Cobranza]],"&gt;="&amp;$AH$6)</f>
        <v>0</v>
      </c>
      <c r="AJ36" s="322">
        <f>SUMIFS(Tabla110[[#All],[Utilidad Bruta Total]],Tabla110[[#All],[Asesor]],B36,Tabla110[[#All],[Fecha Cobranza]],"&lt;"&amp;$AJ$6,Tabla110[[#All],[Fecha Cobranza]],"&gt;="&amp;$AI$6)</f>
        <v>0</v>
      </c>
      <c r="AK36" s="322">
        <f>SUMIFS(Tabla110[[#All],[Utilidad Bruta Total]],Tabla110[[#All],[Asesor]],B36,Tabla110[[#All],[Fecha Cobranza]],"&lt;"&amp;$AK$6,Tabla110[[#All],[Fecha Cobranza]],"&gt;="&amp;$AJ$6)</f>
        <v>0</v>
      </c>
      <c r="AL36" s="322">
        <f>SUMIFS(Tabla110[[#All],[Utilidad Bruta Total]],Tabla110[[#All],[Asesor]],B36,Tabla110[[#All],[Fecha Cobranza]],"&lt;"&amp;$AL$6,Tabla110[[#All],[Fecha Cobranza]],"&gt;="&amp;$AK$6)</f>
        <v>0</v>
      </c>
      <c r="AM36" s="322">
        <f>SUMIFS(Tabla110[[#All],[Utilidad Bruta Total]],Tabla110[[#All],[Asesor]],B36,Tabla110[[#All],[Fecha Cobranza]],"&lt;"&amp;$AM$6,Tabla110[[#All],[Fecha Cobranza]],"&gt;="&amp;$AL$6)</f>
        <v>0</v>
      </c>
      <c r="AN36" s="322">
        <f>SUMIFS(Tabla110[[#All],[Utilidad Bruta Total]],Tabla110[[#All],[Asesor]],B36,Tabla110[[#All],[Fecha Cobranza]],"&lt;"&amp;$AN$6,Tabla110[[#All],[Fecha Cobranza]],"&gt;="&amp;$AM$6)</f>
        <v>0</v>
      </c>
      <c r="AO36" s="322">
        <f>SUMIFS(Tabla110[[#All],[Utilidad Bruta Total]],Tabla110[[#All],[Asesor]],B36,Tabla110[[#All],[Fecha Cobranza]],"&lt;"&amp;$AO$6,Tabla110[[#All],[Fecha Cobranza]],"&gt;="&amp;$AN$6)</f>
        <v>0</v>
      </c>
      <c r="AP36" s="322">
        <f>SUMIFS(Tabla110[[#All],[Utilidad Bruta Total]],Tabla110[[#All],[Asesor]],B36,Tabla110[[#All],[Fecha Cobranza]],"&lt;"&amp;$AP$6,Tabla110[[#All],[Fecha Cobranza]],"&gt;="&amp;$AO$6)</f>
        <v>0</v>
      </c>
      <c r="AQ36" s="322">
        <f>SUMIFS(Tabla110[[#All],[Utilidad Bruta Total]],Tabla110[[#All],[Asesor]],B36,Tabla110[[#All],[Fecha Cobranza]],"&lt;"&amp;$AQ$6,Tabla110[[#All],[Fecha Cobranza]],"&gt;="&amp;$AP$6)</f>
        <v>0</v>
      </c>
      <c r="AR36" s="322">
        <f>SUMIFS(Tabla110[[#All],[Utilidad Bruta Total]],Tabla110[[#All],[Asesor]],B36,Tabla110[[#All],[Fecha Cobranza]],"&lt;"&amp;$AR$6,Tabla110[[#All],[Fecha Cobranza]],"&gt;="&amp;$AQ$6)</f>
        <v>0</v>
      </c>
      <c r="AS36" s="322">
        <f>SUMIFS(Tabla110[[#All],[Utilidad Bruta Total]],Tabla110[[#All],[Asesor]],$B36,Tabla110[[#All],[Fecha Cobranza]],"&lt;"&amp;AS$6,Tabla110[[#All],[Fecha Cobranza]],"&gt;="&amp;AR$6)</f>
        <v>0</v>
      </c>
      <c r="AT36" s="322">
        <f>SUMIFS(Tabla110[[#All],[Utilidad Bruta Total]],Tabla110[[#All],[Asesor]],$B36,Tabla110[[#All],[Fecha Cobranza]],"&lt;"&amp;AT$6,Tabla110[[#All],[Fecha Cobranza]],"&gt;="&amp;AS$6)</f>
        <v>0</v>
      </c>
      <c r="AU36" s="322">
        <f>SUMIFS(Tabla110[[#All],[Utilidad Bruta Total]],Tabla110[[#All],[Asesor]],$B36,Tabla110[[#All],[Fecha Cobranza]],"&lt;"&amp;AU$6,Tabla110[[#All],[Fecha Cobranza]],"&gt;="&amp;AT$6)</f>
        <v>0</v>
      </c>
      <c r="AV36" s="322">
        <f>SUMIFS(Tabla110[[#All],[Utilidad Bruta Total]],Tabla110[[#All],[Asesor]],$B36,Tabla110[[#All],[Fecha Cobranza]],"&lt;"&amp;AV$6,Tabla110[[#All],[Fecha Cobranza]],"&gt;="&amp;AU$6)</f>
        <v>0</v>
      </c>
      <c r="AW36" s="322">
        <f>SUMIFS(Tabla110[[#All],[Utilidad Bruta Total]],Tabla110[[#All],[Asesor]],$B36,Tabla110[[#All],[Fecha Cobranza]],"&lt;"&amp;AW$6,Tabla110[[#All],[Fecha Cobranza]],"&gt;="&amp;AV$6)</f>
        <v>0</v>
      </c>
      <c r="AX36" s="322">
        <f>SUMIFS(Tabla110[[#All],[Utilidad Bruta Total]],Tabla110[[#All],[Asesor]],$B36,Tabla110[[#All],[Fecha Cobranza]],"&lt;"&amp;AX$6,Tabla110[[#All],[Fecha Cobranza]],"&gt;="&amp;AW$6)</f>
        <v>0</v>
      </c>
      <c r="AY36" s="322">
        <f>SUMIFS(Tabla110[[#All],[Utilidad Bruta Total]],Tabla110[[#All],[Asesor]],$B36,Tabla110[[#All],[Fecha Cobranza]],"&lt;"&amp;AY$6,Tabla110[[#All],[Fecha Cobranza]],"&gt;="&amp;AX$6)</f>
        <v>0</v>
      </c>
      <c r="AZ36" s="322">
        <f>SUMIFS(Tabla110[[#All],[Utilidad Bruta Total]],Tabla110[[#All],[Asesor]],$B36,Tabla110[[#All],[Fecha Cobranza]],"&lt;"&amp;AZ$6,Tabla110[[#All],[Fecha Cobranza]],"&gt;="&amp;AY$6)</f>
        <v>0</v>
      </c>
      <c r="BA36" s="323">
        <f t="shared" si="1"/>
        <v>0</v>
      </c>
      <c r="BB36" s="318">
        <f t="shared" si="33"/>
        <v>0</v>
      </c>
      <c r="BC36" s="318"/>
      <c r="BD36" s="318">
        <f t="shared" si="34"/>
        <v>0</v>
      </c>
      <c r="BE36" s="318"/>
      <c r="BF36" s="318">
        <f t="shared" si="35"/>
        <v>0</v>
      </c>
      <c r="BG36" s="318"/>
      <c r="BH36" s="318">
        <f t="shared" si="36"/>
        <v>0</v>
      </c>
      <c r="BI36" s="318"/>
      <c r="BJ36" s="318">
        <f t="shared" si="37"/>
        <v>0</v>
      </c>
      <c r="BK36" s="318"/>
      <c r="BL36" s="318">
        <f t="shared" si="38"/>
        <v>0</v>
      </c>
      <c r="BM36" s="318"/>
      <c r="BN36" s="318">
        <f t="shared" si="39"/>
        <v>0</v>
      </c>
      <c r="BO36" s="318"/>
      <c r="BP36" s="318">
        <f t="shared" si="40"/>
        <v>0</v>
      </c>
      <c r="BQ36" s="318"/>
      <c r="BR36" s="318">
        <f t="shared" si="41"/>
        <v>0</v>
      </c>
      <c r="BS36" s="318"/>
      <c r="BT36" s="318">
        <f t="shared" si="42"/>
        <v>0</v>
      </c>
      <c r="BU36" s="318">
        <f t="shared" si="43"/>
        <v>0</v>
      </c>
      <c r="BV36" s="318"/>
      <c r="BW36" s="318">
        <f t="shared" ref="BW36:BW55" si="59">((AM36+AN36)*(IF(C36="INTERNO",IF((N36+O36)&gt;=$EG$16,$EI$16,IF((N36+O36)&gt;=$EG$15,$EI$15,IF((N36+O36)&gt;=$EG$14,$EI$14,IF((N36+O36)&gt;=$EG$13,$EI$13,IF((N36+O36)&gt;=$EG$12,$EI$12,IF((N36+O36)&gt;=$EG$11,$EI$11,IF((N36+O36)&gt;=$EG$10,$EI$10,0))))))),IF((N36+O36)&gt;=$EG$16,$EJ$16,IF((N36+O36)&gt;=$EG$15,$EJ$15,IF((N36+O36)&gt;=$EG$14,$EJ$14,IF((N36+O36)&gt;=$EG$13,$EJ$13,IF((N36+O36)&gt;=$EG$12,$EJ$12,IF((N36+O36)&gt;=$EG$11,$EJ$11,IF((N36+O36)&gt;=$EG$10,$EJ$10,0))))))))))-BU36</f>
        <v>0</v>
      </c>
      <c r="BX36" s="318"/>
      <c r="BY36" s="318">
        <f t="shared" si="45"/>
        <v>0</v>
      </c>
      <c r="BZ36" s="318"/>
      <c r="CA36" s="318">
        <f t="shared" si="46"/>
        <v>0</v>
      </c>
      <c r="CB36" s="318"/>
      <c r="CC36" s="318">
        <f t="shared" si="47"/>
        <v>0</v>
      </c>
      <c r="CD36" s="318"/>
      <c r="CE36" s="318">
        <f t="shared" si="48"/>
        <v>0</v>
      </c>
      <c r="CF36" s="318"/>
      <c r="CG36" s="318">
        <f t="shared" si="49"/>
        <v>0</v>
      </c>
      <c r="CH36" s="318"/>
      <c r="CI36" s="318">
        <f t="shared" si="50"/>
        <v>0</v>
      </c>
      <c r="CJ36" s="318"/>
      <c r="CK36" s="318">
        <f t="shared" si="51"/>
        <v>0</v>
      </c>
      <c r="CL36" s="318"/>
      <c r="CM36" s="318">
        <f t="shared" si="52"/>
        <v>0</v>
      </c>
      <c r="CN36" s="318"/>
      <c r="CO36" s="318">
        <f t="shared" si="53"/>
        <v>0</v>
      </c>
      <c r="CP36" s="318"/>
      <c r="CQ36" s="318">
        <f t="shared" si="54"/>
        <v>0</v>
      </c>
      <c r="CR36" s="318"/>
      <c r="CS36" s="318">
        <f t="shared" si="55"/>
        <v>0</v>
      </c>
      <c r="CT36" s="318"/>
      <c r="CU36" s="318">
        <f t="shared" si="56"/>
        <v>0</v>
      </c>
      <c r="CV36" s="318"/>
      <c r="CW36" s="318">
        <f t="shared" si="26"/>
        <v>0</v>
      </c>
      <c r="CX36" s="330"/>
      <c r="CY36" s="330"/>
      <c r="CZ36" s="330"/>
      <c r="DA36" s="330"/>
      <c r="DB36" s="330"/>
      <c r="DC36" s="330"/>
      <c r="DD36" s="330"/>
      <c r="DE36" s="330"/>
      <c r="DF36" s="330"/>
      <c r="DG36" s="330"/>
      <c r="DH36" s="330"/>
      <c r="DI36" s="330"/>
      <c r="DJ36" s="330"/>
      <c r="DK36" s="330"/>
      <c r="DL36" s="330"/>
      <c r="DM36" s="330"/>
      <c r="DN36" s="330"/>
      <c r="DO36" s="330"/>
      <c r="DP36" s="330"/>
      <c r="DQ36" s="330"/>
      <c r="DR36" s="330"/>
      <c r="DS36" s="330"/>
      <c r="DT36" s="330"/>
      <c r="DU36" s="330"/>
      <c r="DV36" s="331">
        <f t="shared" si="58"/>
        <v>0</v>
      </c>
      <c r="DW36" s="130">
        <f t="shared" si="27"/>
        <v>0</v>
      </c>
      <c r="DX36" s="131">
        <f t="shared" si="28"/>
        <v>0</v>
      </c>
      <c r="DY36" s="147">
        <f t="shared" si="57"/>
        <v>0</v>
      </c>
      <c r="DZ36" s="298">
        <f t="shared" si="29"/>
        <v>0</v>
      </c>
    </row>
    <row r="37" spans="2:134" ht="15.75" x14ac:dyDescent="0.3">
      <c r="B37" t="s">
        <v>548</v>
      </c>
      <c r="C37" s="297" t="s">
        <v>485</v>
      </c>
      <c r="D37" s="326">
        <f>SUMIFS(Tabla110[[#All],[Venta Total]],Tabla110[[#All],[Asesor]],B37,Tabla110[[#All],[Fecha Cobranza]],"&lt;"&amp;$D$6,Tabla110[[#All],[Fecha Cobranza]],"&gt;="&amp;$B$6)</f>
        <v>0</v>
      </c>
      <c r="E37" s="326">
        <f>SUMIFS(Tabla110[[#All],[Venta Total]],Tabla110[[#All],[Asesor]],B37,Tabla110[[#All],[Fecha Cobranza]],"&lt;"&amp;$E$6,Tabla110[[#All],[Fecha Cobranza]],"&gt;="&amp;$D$6)</f>
        <v>0</v>
      </c>
      <c r="F37" s="326">
        <f>SUMIFS(Tabla110[[#All],[Venta Total]],Tabla110[[#All],[Asesor]],B37,Tabla110[[#All],[Fecha Cobranza]],"&lt;"&amp;$F$6,Tabla110[[#All],[Fecha Cobranza]],"&gt;="&amp;$E$6)</f>
        <v>0</v>
      </c>
      <c r="G37" s="326">
        <f>SUMIFS(Tabla110[[#All],[Venta Total]],Tabla110[[#All],[Asesor]],B37,Tabla110[[#All],[Fecha Cobranza]],"&lt;"&amp;$G$6,Tabla110[[#All],[Fecha Cobranza]],"&gt;="&amp;$F$6)</f>
        <v>0</v>
      </c>
      <c r="H37" s="326">
        <f>SUMIFS(Tabla110[[#All],[Venta Total]],Tabla110[[#All],[Asesor]],B37,Tabla110[[#All],[Fecha Cobranza]],"&lt;"&amp;$H$6,Tabla110[[#All],[Fecha Cobranza]],"&gt;="&amp;$G$6)</f>
        <v>0</v>
      </c>
      <c r="I37" s="326">
        <f>SUMIFS(Tabla110[[#All],[Venta Total]],Tabla110[[#All],[Asesor]],B37,Tabla110[[#All],[Fecha Cobranza]],"&lt;"&amp;$I$6,Tabla110[[#All],[Fecha Cobranza]],"&gt;="&amp;$H$6)</f>
        <v>0</v>
      </c>
      <c r="J37" s="326">
        <f>SUMIFS(Tabla110[[#All],[Venta Total]],Tabla110[[#All],[Asesor]],B37,Tabla110[[#All],[Fecha Cobranza]],"&lt;"&amp;$J$6,Tabla110[[#All],[Fecha Cobranza]],"&gt;="&amp;$I$6)</f>
        <v>0</v>
      </c>
      <c r="K37" s="326">
        <f>SUMIFS(Tabla110[[#All],[Venta Total]],Tabla110[[#All],[Asesor]],B37,Tabla110[[#All],[Fecha Cobranza]],"&lt;"&amp;$K$6,Tabla110[[#All],[Fecha Cobranza]],"&gt;="&amp;$J$6)</f>
        <v>0</v>
      </c>
      <c r="L37" s="326">
        <f>SUMIFS(Tabla110[[#All],[Venta Total]],Tabla110[[#All],[Asesor]],B37,Tabla110[[#All],[Fecha Cobranza]],"&lt;"&amp;$L$6,Tabla110[[#All],[Fecha Cobranza]],"&gt;="&amp;$K$6)</f>
        <v>0</v>
      </c>
      <c r="M37" s="326">
        <f>SUMIFS(Tabla110[[#All],[Venta Total]],Tabla110[[#All],[Asesor]],B37,Tabla110[[#All],[Fecha Cobranza]],"&lt;"&amp;$M$6,Tabla110[[#All],[Fecha Cobranza]],"&gt;="&amp;$L$6)</f>
        <v>0</v>
      </c>
      <c r="N37" s="326">
        <f>SUMIFS(Tabla110[[#All],[Venta Total]],Tabla110[[#All],[Asesor]],B37,Tabla110[[#All],[Fecha Cobranza]],"&lt;"&amp;$N$6,Tabla110[[#All],[Fecha Cobranza]],"&gt;="&amp;$M$6)</f>
        <v>0</v>
      </c>
      <c r="O37" s="326">
        <f>SUMIFS(Tabla110[[#All],[Venta Total]],Tabla110[[#All],[Asesor]],B37,Tabla110[[#All],[Fecha Cobranza]],"&lt;"&amp;$O$6,Tabla110[[#All],[Fecha Cobranza]],"&gt;="&amp;$N$6)</f>
        <v>0</v>
      </c>
      <c r="P37" s="326">
        <f>SUMIFS(Tabla110[[#All],[Venta Total]],Tabla110[[#All],[Asesor]],B37,Tabla110[[#All],[Fecha Cobranza]],"&lt;"&amp;$P$6,Tabla110[[#All],[Fecha Cobranza]],"&gt;="&amp;$O$6)</f>
        <v>0</v>
      </c>
      <c r="Q37" s="326">
        <f>SUMIFS(Tabla110[[#All],[Venta Total]],Tabla110[[#All],[Asesor]],B37,Tabla110[[#All],[Fecha Cobranza]],"&lt;"&amp;$Q$6,Tabla110[[#All],[Fecha Cobranza]],"&gt;="&amp;$P$6)</f>
        <v>0</v>
      </c>
      <c r="R37" s="326">
        <f>SUMIFS(Tabla110[[#All],[Venta Total]],Tabla110[[#All],[Asesor]],B37,Tabla110[[#All],[Fecha Cobranza]],"&lt;"&amp;$R$6,Tabla110[[#All],[Fecha Cobranza]],"&gt;="&amp;$Q$6)</f>
        <v>0</v>
      </c>
      <c r="S37" s="326">
        <f>SUMIFS(Tabla110[[#All],[Venta Total]],Tabla110[[#All],[Asesor]],B37,Tabla110[[#All],[Fecha Cobranza]],"&lt;"&amp;$S$6,Tabla110[[#All],[Fecha Cobranza]],"&gt;="&amp;$R$6)</f>
        <v>0</v>
      </c>
      <c r="T37" s="326">
        <f>SUMIFS(Tabla110[[#All],[Venta Total]],Tabla110[[#All],[Asesor]],$B37,Tabla110[[#All],[Fecha Cobranza]],"&lt;"&amp;T$6,Tabla110[[#All],[Fecha Cobranza]],"&gt;="&amp;S$6)</f>
        <v>0</v>
      </c>
      <c r="U37" s="326">
        <f>SUMIFS(Tabla110[[#All],[Venta Total]],Tabla110[[#All],[Asesor]],$B37,Tabla110[[#All],[Fecha Cobranza]],"&lt;"&amp;U$6,Tabla110[[#All],[Fecha Cobranza]],"&gt;="&amp;T$6)</f>
        <v>0</v>
      </c>
      <c r="V37" s="326">
        <f>SUMIFS(Tabla110[[#All],[Venta Total]],Tabla110[[#All],[Asesor]],$B37,Tabla110[[#All],[Fecha Cobranza]],"&lt;"&amp;V$6,Tabla110[[#All],[Fecha Cobranza]],"&gt;="&amp;U$6)</f>
        <v>0</v>
      </c>
      <c r="W37" s="326">
        <f>SUMIFS(Tabla110[[#All],[Venta Total]],Tabla110[[#All],[Asesor]],$B37,Tabla110[[#All],[Fecha Cobranza]],"&lt;"&amp;W$6,Tabla110[[#All],[Fecha Cobranza]],"&gt;="&amp;V$6)</f>
        <v>0</v>
      </c>
      <c r="X37" s="326">
        <f>SUMIFS(Tabla110[[#All],[Venta Total]],Tabla110[[#All],[Asesor]],$B37,Tabla110[[#All],[Fecha Cobranza]],"&lt;"&amp;X$6,Tabla110[[#All],[Fecha Cobranza]],"&gt;="&amp;W$6)</f>
        <v>0</v>
      </c>
      <c r="Y37" s="326">
        <f>SUMIFS(Tabla110[[#All],[Venta Total]],Tabla110[[#All],[Asesor]],$B37,Tabla110[[#All],[Fecha Cobranza]],"&lt;"&amp;Y$6,Tabla110[[#All],[Fecha Cobranza]],"&gt;="&amp;X$6)</f>
        <v>0</v>
      </c>
      <c r="Z37" s="326">
        <f>SUMIFS(Tabla110[[#All],[Venta Total]],Tabla110[[#All],[Asesor]],$B37,Tabla110[[#All],[Fecha Cobranza]],"&lt;"&amp;Z$6,Tabla110[[#All],[Fecha Cobranza]],"&gt;="&amp;Y$6)</f>
        <v>0</v>
      </c>
      <c r="AA37" s="326">
        <f>SUMIFS(Tabla110[[#All],[Venta Total]],Tabla110[[#All],[Asesor]],$B37,Tabla110[[#All],[Fecha Cobranza]],"&lt;"&amp;AA$6,Tabla110[[#All],[Fecha Cobranza]],"&gt;="&amp;Z$6)</f>
        <v>0</v>
      </c>
      <c r="AB37" s="327">
        <f t="shared" si="0"/>
        <v>0</v>
      </c>
      <c r="AC37" s="322">
        <f>SUMIFS(Tabla110[[#All],[Utilidad Bruta Total]],Tabla110[[#All],[Asesor]],B37,Tabla110[[#All],[Fecha Cobranza]],"&lt;"&amp;$AC$6,Tabla110[[#All],[Fecha Cobranza]],"&gt;="&amp;$B$6)</f>
        <v>0</v>
      </c>
      <c r="AD37" s="322">
        <f>SUMIFS(Tabla110[[#All],[Utilidad Bruta Total]],Tabla110[[#All],[Asesor]],B37,Tabla110[[#All],[Fecha Cobranza]],"&lt;"&amp;$AD$6,Tabla110[[#All],[Fecha Cobranza]],"&gt;="&amp;$AC$6)</f>
        <v>0</v>
      </c>
      <c r="AE37" s="322">
        <f>SUMIFS(Tabla110[[#All],[Utilidad Bruta Total]],Tabla110[[#All],[Asesor]],B37,Tabla110[[#All],[Fecha Cobranza]],"&lt;"&amp;$AE$6,Tabla110[[#All],[Fecha Cobranza]],"&gt;="&amp;$AD$6)</f>
        <v>0</v>
      </c>
      <c r="AF37" s="322">
        <f>SUMIFS(Tabla110[[#All],[Utilidad Bruta Total]],Tabla110[[#All],[Asesor]],B37,Tabla110[[#All],[Fecha Cobranza]],"&lt;"&amp;$AF$6,Tabla110[[#All],[Fecha Cobranza]],"&gt;="&amp;$AE$6)</f>
        <v>0</v>
      </c>
      <c r="AG37" s="322">
        <f>SUMIFS(Tabla110[[#All],[Utilidad Bruta Total]],Tabla110[[#All],[Asesor]],B37,Tabla110[[#All],[Fecha Cobranza]],"&lt;"&amp;$AG$6,Tabla110[[#All],[Fecha Cobranza]],"&gt;="&amp;$AF$6)</f>
        <v>0</v>
      </c>
      <c r="AH37" s="322">
        <f>SUMIFS(Tabla110[[#All],[Utilidad Bruta Total]],Tabla110[[#All],[Asesor]],B37,Tabla110[[#All],[Fecha Cobranza]],"&lt;"&amp;$AH$6,Tabla110[[#All],[Fecha Cobranza]],"&gt;="&amp;$AG$6)</f>
        <v>0</v>
      </c>
      <c r="AI37" s="322">
        <f>SUMIFS(Tabla110[[#All],[Utilidad Bruta Total]],Tabla110[[#All],[Asesor]],B37,Tabla110[[#All],[Fecha Cobranza]],"&lt;"&amp;$AI$6,Tabla110[[#All],[Fecha Cobranza]],"&gt;="&amp;$AH$6)</f>
        <v>0</v>
      </c>
      <c r="AJ37" s="322">
        <f>SUMIFS(Tabla110[[#All],[Utilidad Bruta Total]],Tabla110[[#All],[Asesor]],B37,Tabla110[[#All],[Fecha Cobranza]],"&lt;"&amp;$AJ$6,Tabla110[[#All],[Fecha Cobranza]],"&gt;="&amp;$AI$6)</f>
        <v>0</v>
      </c>
      <c r="AK37" s="322">
        <f>SUMIFS(Tabla110[[#All],[Utilidad Bruta Total]],Tabla110[[#All],[Asesor]],B37,Tabla110[[#All],[Fecha Cobranza]],"&lt;"&amp;$AK$6,Tabla110[[#All],[Fecha Cobranza]],"&gt;="&amp;$AJ$6)</f>
        <v>0</v>
      </c>
      <c r="AL37" s="322">
        <f>SUMIFS(Tabla110[[#All],[Utilidad Bruta Total]],Tabla110[[#All],[Asesor]],B37,Tabla110[[#All],[Fecha Cobranza]],"&lt;"&amp;$AL$6,Tabla110[[#All],[Fecha Cobranza]],"&gt;="&amp;$AK$6)</f>
        <v>0</v>
      </c>
      <c r="AM37" s="322">
        <f>SUMIFS(Tabla110[[#All],[Utilidad Bruta Total]],Tabla110[[#All],[Asesor]],B37,Tabla110[[#All],[Fecha Cobranza]],"&lt;"&amp;$AM$6,Tabla110[[#All],[Fecha Cobranza]],"&gt;="&amp;$AL$6)</f>
        <v>0</v>
      </c>
      <c r="AN37" s="322">
        <f>SUMIFS(Tabla110[[#All],[Utilidad Bruta Total]],Tabla110[[#All],[Asesor]],B37,Tabla110[[#All],[Fecha Cobranza]],"&lt;"&amp;$AN$6,Tabla110[[#All],[Fecha Cobranza]],"&gt;="&amp;$AM$6)</f>
        <v>0</v>
      </c>
      <c r="AO37" s="322">
        <f>SUMIFS(Tabla110[[#All],[Utilidad Bruta Total]],Tabla110[[#All],[Asesor]],B37,Tabla110[[#All],[Fecha Cobranza]],"&lt;"&amp;$AO$6,Tabla110[[#All],[Fecha Cobranza]],"&gt;="&amp;$AN$6)</f>
        <v>0</v>
      </c>
      <c r="AP37" s="322">
        <f>SUMIFS(Tabla110[[#All],[Utilidad Bruta Total]],Tabla110[[#All],[Asesor]],B37,Tabla110[[#All],[Fecha Cobranza]],"&lt;"&amp;$AP$6,Tabla110[[#All],[Fecha Cobranza]],"&gt;="&amp;$AO$6)</f>
        <v>0</v>
      </c>
      <c r="AQ37" s="322">
        <f>SUMIFS(Tabla110[[#All],[Utilidad Bruta Total]],Tabla110[[#All],[Asesor]],B37,Tabla110[[#All],[Fecha Cobranza]],"&lt;"&amp;$AQ$6,Tabla110[[#All],[Fecha Cobranza]],"&gt;="&amp;$AP$6)</f>
        <v>0</v>
      </c>
      <c r="AR37" s="322">
        <f>SUMIFS(Tabla110[[#All],[Utilidad Bruta Total]],Tabla110[[#All],[Asesor]],B37,Tabla110[[#All],[Fecha Cobranza]],"&lt;"&amp;$AR$6,Tabla110[[#All],[Fecha Cobranza]],"&gt;="&amp;$AQ$6)</f>
        <v>0</v>
      </c>
      <c r="AS37" s="322">
        <f>SUMIFS(Tabla110[[#All],[Utilidad Bruta Total]],Tabla110[[#All],[Asesor]],$B37,Tabla110[[#All],[Fecha Cobranza]],"&lt;"&amp;AS$6,Tabla110[[#All],[Fecha Cobranza]],"&gt;="&amp;AR$6)</f>
        <v>0</v>
      </c>
      <c r="AT37" s="322">
        <f>SUMIFS(Tabla110[[#All],[Utilidad Bruta Total]],Tabla110[[#All],[Asesor]],$B37,Tabla110[[#All],[Fecha Cobranza]],"&lt;"&amp;AT$6,Tabla110[[#All],[Fecha Cobranza]],"&gt;="&amp;AS$6)</f>
        <v>0</v>
      </c>
      <c r="AU37" s="322">
        <f>SUMIFS(Tabla110[[#All],[Utilidad Bruta Total]],Tabla110[[#All],[Asesor]],$B37,Tabla110[[#All],[Fecha Cobranza]],"&lt;"&amp;AU$6,Tabla110[[#All],[Fecha Cobranza]],"&gt;="&amp;AT$6)</f>
        <v>0</v>
      </c>
      <c r="AV37" s="322">
        <f>SUMIFS(Tabla110[[#All],[Utilidad Bruta Total]],Tabla110[[#All],[Asesor]],$B37,Tabla110[[#All],[Fecha Cobranza]],"&lt;"&amp;AV$6,Tabla110[[#All],[Fecha Cobranza]],"&gt;="&amp;AU$6)</f>
        <v>0</v>
      </c>
      <c r="AW37" s="322">
        <f>SUMIFS(Tabla110[[#All],[Utilidad Bruta Total]],Tabla110[[#All],[Asesor]],$B37,Tabla110[[#All],[Fecha Cobranza]],"&lt;"&amp;AW$6,Tabla110[[#All],[Fecha Cobranza]],"&gt;="&amp;AV$6)</f>
        <v>0</v>
      </c>
      <c r="AX37" s="322">
        <f>SUMIFS(Tabla110[[#All],[Utilidad Bruta Total]],Tabla110[[#All],[Asesor]],$B37,Tabla110[[#All],[Fecha Cobranza]],"&lt;"&amp;AX$6,Tabla110[[#All],[Fecha Cobranza]],"&gt;="&amp;AW$6)</f>
        <v>0</v>
      </c>
      <c r="AY37" s="322">
        <f>SUMIFS(Tabla110[[#All],[Utilidad Bruta Total]],Tabla110[[#All],[Asesor]],$B37,Tabla110[[#All],[Fecha Cobranza]],"&lt;"&amp;AY$6,Tabla110[[#All],[Fecha Cobranza]],"&gt;="&amp;AX$6)</f>
        <v>0</v>
      </c>
      <c r="AZ37" s="322">
        <f>SUMIFS(Tabla110[[#All],[Utilidad Bruta Total]],Tabla110[[#All],[Asesor]],$B37,Tabla110[[#All],[Fecha Cobranza]],"&lt;"&amp;AZ$6,Tabla110[[#All],[Fecha Cobranza]],"&gt;="&amp;AY$6)</f>
        <v>0</v>
      </c>
      <c r="BA37" s="323">
        <f t="shared" si="1"/>
        <v>0</v>
      </c>
      <c r="BB37" s="318">
        <f t="shared" si="33"/>
        <v>0</v>
      </c>
      <c r="BC37" s="318"/>
      <c r="BD37" s="318">
        <f t="shared" si="34"/>
        <v>0</v>
      </c>
      <c r="BE37" s="318"/>
      <c r="BF37" s="318">
        <f t="shared" si="35"/>
        <v>0</v>
      </c>
      <c r="BG37" s="318"/>
      <c r="BH37" s="318">
        <f t="shared" si="36"/>
        <v>0</v>
      </c>
      <c r="BI37" s="318"/>
      <c r="BJ37" s="318">
        <f t="shared" si="37"/>
        <v>0</v>
      </c>
      <c r="BK37" s="318"/>
      <c r="BL37" s="318">
        <f t="shared" si="38"/>
        <v>0</v>
      </c>
      <c r="BM37" s="318"/>
      <c r="BN37" s="318">
        <f t="shared" si="39"/>
        <v>0</v>
      </c>
      <c r="BO37" s="318"/>
      <c r="BP37" s="318">
        <f t="shared" si="40"/>
        <v>0</v>
      </c>
      <c r="BQ37" s="318"/>
      <c r="BR37" s="318">
        <f t="shared" si="41"/>
        <v>0</v>
      </c>
      <c r="BS37" s="318"/>
      <c r="BT37" s="318">
        <f t="shared" si="42"/>
        <v>0</v>
      </c>
      <c r="BU37" s="318">
        <f t="shared" si="43"/>
        <v>0</v>
      </c>
      <c r="BV37" s="318"/>
      <c r="BW37" s="318">
        <f t="shared" si="59"/>
        <v>0</v>
      </c>
      <c r="BX37" s="318"/>
      <c r="BY37" s="318">
        <f t="shared" si="45"/>
        <v>0</v>
      </c>
      <c r="BZ37" s="318"/>
      <c r="CA37" s="318">
        <f t="shared" si="46"/>
        <v>0</v>
      </c>
      <c r="CB37" s="318"/>
      <c r="CC37" s="318">
        <f t="shared" si="47"/>
        <v>0</v>
      </c>
      <c r="CD37" s="318"/>
      <c r="CE37" s="318">
        <f t="shared" si="48"/>
        <v>0</v>
      </c>
      <c r="CF37" s="318"/>
      <c r="CG37" s="318">
        <f t="shared" si="49"/>
        <v>0</v>
      </c>
      <c r="CH37" s="318"/>
      <c r="CI37" s="318">
        <f t="shared" si="50"/>
        <v>0</v>
      </c>
      <c r="CJ37" s="318"/>
      <c r="CK37" s="318">
        <f t="shared" si="51"/>
        <v>0</v>
      </c>
      <c r="CL37" s="318"/>
      <c r="CM37" s="318">
        <f t="shared" si="52"/>
        <v>0</v>
      </c>
      <c r="CN37" s="318"/>
      <c r="CO37" s="318">
        <f t="shared" si="53"/>
        <v>0</v>
      </c>
      <c r="CP37" s="318"/>
      <c r="CQ37" s="318">
        <f t="shared" si="54"/>
        <v>0</v>
      </c>
      <c r="CR37" s="318"/>
      <c r="CS37" s="318">
        <f t="shared" si="55"/>
        <v>0</v>
      </c>
      <c r="CT37" s="318"/>
      <c r="CU37" s="318">
        <f t="shared" si="56"/>
        <v>0</v>
      </c>
      <c r="CV37" s="318"/>
      <c r="CW37" s="318">
        <f t="shared" si="26"/>
        <v>0</v>
      </c>
      <c r="CX37" s="330"/>
      <c r="CY37" s="330"/>
      <c r="CZ37" s="330"/>
      <c r="DA37" s="330"/>
      <c r="DB37" s="330"/>
      <c r="DC37" s="330"/>
      <c r="DD37" s="330"/>
      <c r="DE37" s="330"/>
      <c r="DF37" s="330"/>
      <c r="DG37" s="330"/>
      <c r="DH37" s="330"/>
      <c r="DI37" s="330"/>
      <c r="DJ37" s="330"/>
      <c r="DK37" s="330"/>
      <c r="DL37" s="330"/>
      <c r="DM37" s="330"/>
      <c r="DN37" s="330"/>
      <c r="DO37" s="330"/>
      <c r="DP37" s="330"/>
      <c r="DQ37" s="330"/>
      <c r="DR37" s="330"/>
      <c r="DS37" s="330"/>
      <c r="DT37" s="330"/>
      <c r="DU37" s="330"/>
      <c r="DV37" s="331">
        <f t="shared" si="58"/>
        <v>0</v>
      </c>
      <c r="DW37" s="130">
        <f t="shared" si="27"/>
        <v>0</v>
      </c>
      <c r="DX37" s="131">
        <f t="shared" si="28"/>
        <v>0</v>
      </c>
      <c r="DY37" s="147">
        <f t="shared" si="57"/>
        <v>0</v>
      </c>
      <c r="DZ37" s="298">
        <f t="shared" si="29"/>
        <v>0</v>
      </c>
    </row>
    <row r="38" spans="2:134" ht="15.75" x14ac:dyDescent="0.3">
      <c r="B38" t="s">
        <v>535</v>
      </c>
      <c r="C38" s="297" t="s">
        <v>485</v>
      </c>
      <c r="D38" s="326">
        <f>SUMIFS(Tabla110[[#All],[Venta Total]],Tabla110[[#All],[Asesor]],B38,Tabla110[[#All],[Fecha Cobranza]],"&lt;"&amp;$D$6,Tabla110[[#All],[Fecha Cobranza]],"&gt;="&amp;$B$6)</f>
        <v>0</v>
      </c>
      <c r="E38" s="326">
        <f>SUMIFS(Tabla110[[#All],[Venta Total]],Tabla110[[#All],[Asesor]],B38,Tabla110[[#All],[Fecha Cobranza]],"&lt;"&amp;$E$6,Tabla110[[#All],[Fecha Cobranza]],"&gt;="&amp;$D$6)</f>
        <v>0</v>
      </c>
      <c r="F38" s="326">
        <f>SUMIFS(Tabla110[[#All],[Venta Total]],Tabla110[[#All],[Asesor]],B38,Tabla110[[#All],[Fecha Cobranza]],"&lt;"&amp;$F$6,Tabla110[[#All],[Fecha Cobranza]],"&gt;="&amp;$E$6)</f>
        <v>0</v>
      </c>
      <c r="G38" s="326">
        <f>SUMIFS(Tabla110[[#All],[Venta Total]],Tabla110[[#All],[Asesor]],B38,Tabla110[[#All],[Fecha Cobranza]],"&lt;"&amp;$G$6,Tabla110[[#All],[Fecha Cobranza]],"&gt;="&amp;$F$6)</f>
        <v>0</v>
      </c>
      <c r="H38" s="326">
        <f>SUMIFS(Tabla110[[#All],[Venta Total]],Tabla110[[#All],[Asesor]],B38,Tabla110[[#All],[Fecha Cobranza]],"&lt;"&amp;$H$6,Tabla110[[#All],[Fecha Cobranza]],"&gt;="&amp;$G$6)</f>
        <v>0</v>
      </c>
      <c r="I38" s="326">
        <f>SUMIFS(Tabla110[[#All],[Venta Total]],Tabla110[[#All],[Asesor]],B38,Tabla110[[#All],[Fecha Cobranza]],"&lt;"&amp;$I$6,Tabla110[[#All],[Fecha Cobranza]],"&gt;="&amp;$H$6)</f>
        <v>0</v>
      </c>
      <c r="J38" s="326">
        <f>SUMIFS(Tabla110[[#All],[Venta Total]],Tabla110[[#All],[Asesor]],B38,Tabla110[[#All],[Fecha Cobranza]],"&lt;"&amp;$J$6,Tabla110[[#All],[Fecha Cobranza]],"&gt;="&amp;$I$6)</f>
        <v>0</v>
      </c>
      <c r="K38" s="326">
        <f>SUMIFS(Tabla110[[#All],[Venta Total]],Tabla110[[#All],[Asesor]],B38,Tabla110[[#All],[Fecha Cobranza]],"&lt;"&amp;$K$6,Tabla110[[#All],[Fecha Cobranza]],"&gt;="&amp;$J$6)</f>
        <v>0</v>
      </c>
      <c r="L38" s="326">
        <f>SUMIFS(Tabla110[[#All],[Venta Total]],Tabla110[[#All],[Asesor]],B38,Tabla110[[#All],[Fecha Cobranza]],"&lt;"&amp;$L$6,Tabla110[[#All],[Fecha Cobranza]],"&gt;="&amp;$K$6)</f>
        <v>0</v>
      </c>
      <c r="M38" s="326">
        <f>SUMIFS(Tabla110[[#All],[Venta Total]],Tabla110[[#All],[Asesor]],B38,Tabla110[[#All],[Fecha Cobranza]],"&lt;"&amp;$M$6,Tabla110[[#All],[Fecha Cobranza]],"&gt;="&amp;$L$6)</f>
        <v>0</v>
      </c>
      <c r="N38" s="326">
        <f>SUMIFS(Tabla110[[#All],[Venta Total]],Tabla110[[#All],[Asesor]],B38,Tabla110[[#All],[Fecha Cobranza]],"&lt;"&amp;$N$6,Tabla110[[#All],[Fecha Cobranza]],"&gt;="&amp;$M$6)</f>
        <v>0</v>
      </c>
      <c r="O38" s="326">
        <f>SUMIFS(Tabla110[[#All],[Venta Total]],Tabla110[[#All],[Asesor]],B38,Tabla110[[#All],[Fecha Cobranza]],"&lt;"&amp;$O$6,Tabla110[[#All],[Fecha Cobranza]],"&gt;="&amp;$N$6)</f>
        <v>0</v>
      </c>
      <c r="P38" s="326">
        <f>SUMIFS(Tabla110[[#All],[Venta Total]],Tabla110[[#All],[Asesor]],B38,Tabla110[[#All],[Fecha Cobranza]],"&lt;"&amp;$P$6,Tabla110[[#All],[Fecha Cobranza]],"&gt;="&amp;$O$6)</f>
        <v>0</v>
      </c>
      <c r="Q38" s="326">
        <f>SUMIFS(Tabla110[[#All],[Venta Total]],Tabla110[[#All],[Asesor]],B38,Tabla110[[#All],[Fecha Cobranza]],"&lt;"&amp;$Q$6,Tabla110[[#All],[Fecha Cobranza]],"&gt;="&amp;$P$6)</f>
        <v>0</v>
      </c>
      <c r="R38" s="326">
        <f>SUMIFS(Tabla110[[#All],[Venta Total]],Tabla110[[#All],[Asesor]],B38,Tabla110[[#All],[Fecha Cobranza]],"&lt;"&amp;$R$6,Tabla110[[#All],[Fecha Cobranza]],"&gt;="&amp;$Q$6)</f>
        <v>0</v>
      </c>
      <c r="S38" s="326">
        <f>SUMIFS(Tabla110[[#All],[Venta Total]],Tabla110[[#All],[Asesor]],B38,Tabla110[[#All],[Fecha Cobranza]],"&lt;"&amp;$S$6,Tabla110[[#All],[Fecha Cobranza]],"&gt;="&amp;$R$6)</f>
        <v>0</v>
      </c>
      <c r="T38" s="326">
        <f>SUMIFS(Tabla110[[#All],[Venta Total]],Tabla110[[#All],[Asesor]],$B38,Tabla110[[#All],[Fecha Cobranza]],"&lt;"&amp;T$6,Tabla110[[#All],[Fecha Cobranza]],"&gt;="&amp;S$6)</f>
        <v>0</v>
      </c>
      <c r="U38" s="326">
        <f>SUMIFS(Tabla110[[#All],[Venta Total]],Tabla110[[#All],[Asesor]],$B38,Tabla110[[#All],[Fecha Cobranza]],"&lt;"&amp;U$6,Tabla110[[#All],[Fecha Cobranza]],"&gt;="&amp;T$6)</f>
        <v>0</v>
      </c>
      <c r="V38" s="326">
        <f>SUMIFS(Tabla110[[#All],[Venta Total]],Tabla110[[#All],[Asesor]],$B38,Tabla110[[#All],[Fecha Cobranza]],"&lt;"&amp;V$6,Tabla110[[#All],[Fecha Cobranza]],"&gt;="&amp;U$6)</f>
        <v>0</v>
      </c>
      <c r="W38" s="326">
        <f>SUMIFS(Tabla110[[#All],[Venta Total]],Tabla110[[#All],[Asesor]],$B38,Tabla110[[#All],[Fecha Cobranza]],"&lt;"&amp;W$6,Tabla110[[#All],[Fecha Cobranza]],"&gt;="&amp;V$6)</f>
        <v>0</v>
      </c>
      <c r="X38" s="326">
        <f>SUMIFS(Tabla110[[#All],[Venta Total]],Tabla110[[#All],[Asesor]],$B38,Tabla110[[#All],[Fecha Cobranza]],"&lt;"&amp;X$6,Tabla110[[#All],[Fecha Cobranza]],"&gt;="&amp;W$6)</f>
        <v>0</v>
      </c>
      <c r="Y38" s="326">
        <f>SUMIFS(Tabla110[[#All],[Venta Total]],Tabla110[[#All],[Asesor]],$B38,Tabla110[[#All],[Fecha Cobranza]],"&lt;"&amp;Y$6,Tabla110[[#All],[Fecha Cobranza]],"&gt;="&amp;X$6)</f>
        <v>0</v>
      </c>
      <c r="Z38" s="326">
        <f>SUMIFS(Tabla110[[#All],[Venta Total]],Tabla110[[#All],[Asesor]],$B38,Tabla110[[#All],[Fecha Cobranza]],"&lt;"&amp;Z$6,Tabla110[[#All],[Fecha Cobranza]],"&gt;="&amp;Y$6)</f>
        <v>0</v>
      </c>
      <c r="AA38" s="326">
        <f>SUMIFS(Tabla110[[#All],[Venta Total]],Tabla110[[#All],[Asesor]],$B38,Tabla110[[#All],[Fecha Cobranza]],"&lt;"&amp;AA$6,Tabla110[[#All],[Fecha Cobranza]],"&gt;="&amp;Z$6)</f>
        <v>0</v>
      </c>
      <c r="AB38" s="327">
        <f t="shared" si="0"/>
        <v>0</v>
      </c>
      <c r="AC38" s="322">
        <f>SUMIFS(Tabla110[[#All],[Utilidad Bruta Total]],Tabla110[[#All],[Asesor]],B38,Tabla110[[#All],[Fecha Cobranza]],"&lt;"&amp;$AC$6,Tabla110[[#All],[Fecha Cobranza]],"&gt;="&amp;$B$6)</f>
        <v>0</v>
      </c>
      <c r="AD38" s="322">
        <f>SUMIFS(Tabla110[[#All],[Utilidad Bruta Total]],Tabla110[[#All],[Asesor]],B38,Tabla110[[#All],[Fecha Cobranza]],"&lt;"&amp;$AD$6,Tabla110[[#All],[Fecha Cobranza]],"&gt;="&amp;$AC$6)</f>
        <v>0</v>
      </c>
      <c r="AE38" s="322">
        <f>SUMIFS(Tabla110[[#All],[Utilidad Bruta Total]],Tabla110[[#All],[Asesor]],B38,Tabla110[[#All],[Fecha Cobranza]],"&lt;"&amp;$AE$6,Tabla110[[#All],[Fecha Cobranza]],"&gt;="&amp;$AD$6)</f>
        <v>0</v>
      </c>
      <c r="AF38" s="322">
        <f>SUMIFS(Tabla110[[#All],[Utilidad Bruta Total]],Tabla110[[#All],[Asesor]],B38,Tabla110[[#All],[Fecha Cobranza]],"&lt;"&amp;$AF$6,Tabla110[[#All],[Fecha Cobranza]],"&gt;="&amp;$AE$6)</f>
        <v>0</v>
      </c>
      <c r="AG38" s="322">
        <f>SUMIFS(Tabla110[[#All],[Utilidad Bruta Total]],Tabla110[[#All],[Asesor]],B38,Tabla110[[#All],[Fecha Cobranza]],"&lt;"&amp;$AG$6,Tabla110[[#All],[Fecha Cobranza]],"&gt;="&amp;$AF$6)</f>
        <v>0</v>
      </c>
      <c r="AH38" s="322">
        <f>SUMIFS(Tabla110[[#All],[Utilidad Bruta Total]],Tabla110[[#All],[Asesor]],B38,Tabla110[[#All],[Fecha Cobranza]],"&lt;"&amp;$AH$6,Tabla110[[#All],[Fecha Cobranza]],"&gt;="&amp;$AG$6)</f>
        <v>0</v>
      </c>
      <c r="AI38" s="322">
        <f>SUMIFS(Tabla110[[#All],[Utilidad Bruta Total]],Tabla110[[#All],[Asesor]],B38,Tabla110[[#All],[Fecha Cobranza]],"&lt;"&amp;$AI$6,Tabla110[[#All],[Fecha Cobranza]],"&gt;="&amp;$AH$6)</f>
        <v>0</v>
      </c>
      <c r="AJ38" s="322">
        <f>SUMIFS(Tabla110[[#All],[Utilidad Bruta Total]],Tabla110[[#All],[Asesor]],B38,Tabla110[[#All],[Fecha Cobranza]],"&lt;"&amp;$AJ$6,Tabla110[[#All],[Fecha Cobranza]],"&gt;="&amp;$AI$6)</f>
        <v>0</v>
      </c>
      <c r="AK38" s="322">
        <f>SUMIFS(Tabla110[[#All],[Utilidad Bruta Total]],Tabla110[[#All],[Asesor]],B38,Tabla110[[#All],[Fecha Cobranza]],"&lt;"&amp;$AK$6,Tabla110[[#All],[Fecha Cobranza]],"&gt;="&amp;$AJ$6)</f>
        <v>0</v>
      </c>
      <c r="AL38" s="322">
        <f>SUMIFS(Tabla110[[#All],[Utilidad Bruta Total]],Tabla110[[#All],[Asesor]],B38,Tabla110[[#All],[Fecha Cobranza]],"&lt;"&amp;$AL$6,Tabla110[[#All],[Fecha Cobranza]],"&gt;="&amp;$AK$6)</f>
        <v>0</v>
      </c>
      <c r="AM38" s="322">
        <f>SUMIFS(Tabla110[[#All],[Utilidad Bruta Total]],Tabla110[[#All],[Asesor]],B38,Tabla110[[#All],[Fecha Cobranza]],"&lt;"&amp;$AM$6,Tabla110[[#All],[Fecha Cobranza]],"&gt;="&amp;$AL$6)</f>
        <v>0</v>
      </c>
      <c r="AN38" s="322">
        <f>SUMIFS(Tabla110[[#All],[Utilidad Bruta Total]],Tabla110[[#All],[Asesor]],B38,Tabla110[[#All],[Fecha Cobranza]],"&lt;"&amp;$AN$6,Tabla110[[#All],[Fecha Cobranza]],"&gt;="&amp;$AM$6)</f>
        <v>0</v>
      </c>
      <c r="AO38" s="322">
        <f>SUMIFS(Tabla110[[#All],[Utilidad Bruta Total]],Tabla110[[#All],[Asesor]],B38,Tabla110[[#All],[Fecha Cobranza]],"&lt;"&amp;$AO$6,Tabla110[[#All],[Fecha Cobranza]],"&gt;="&amp;$AN$6)</f>
        <v>0</v>
      </c>
      <c r="AP38" s="322">
        <f>SUMIFS(Tabla110[[#All],[Utilidad Bruta Total]],Tabla110[[#All],[Asesor]],B38,Tabla110[[#All],[Fecha Cobranza]],"&lt;"&amp;$AP$6,Tabla110[[#All],[Fecha Cobranza]],"&gt;="&amp;$AO$6)</f>
        <v>0</v>
      </c>
      <c r="AQ38" s="322">
        <f>SUMIFS(Tabla110[[#All],[Utilidad Bruta Total]],Tabla110[[#All],[Asesor]],B38,Tabla110[[#All],[Fecha Cobranza]],"&lt;"&amp;$AQ$6,Tabla110[[#All],[Fecha Cobranza]],"&gt;="&amp;$AP$6)</f>
        <v>0</v>
      </c>
      <c r="AR38" s="322">
        <f>SUMIFS(Tabla110[[#All],[Utilidad Bruta Total]],Tabla110[[#All],[Asesor]],B38,Tabla110[[#All],[Fecha Cobranza]],"&lt;"&amp;$AR$6,Tabla110[[#All],[Fecha Cobranza]],"&gt;="&amp;$AQ$6)</f>
        <v>0</v>
      </c>
      <c r="AS38" s="322">
        <f>SUMIFS(Tabla110[[#All],[Utilidad Bruta Total]],Tabla110[[#All],[Asesor]],$B38,Tabla110[[#All],[Fecha Cobranza]],"&lt;"&amp;AS$6,Tabla110[[#All],[Fecha Cobranza]],"&gt;="&amp;AR$6)</f>
        <v>0</v>
      </c>
      <c r="AT38" s="322">
        <f>SUMIFS(Tabla110[[#All],[Utilidad Bruta Total]],Tabla110[[#All],[Asesor]],$B38,Tabla110[[#All],[Fecha Cobranza]],"&lt;"&amp;AT$6,Tabla110[[#All],[Fecha Cobranza]],"&gt;="&amp;AS$6)</f>
        <v>0</v>
      </c>
      <c r="AU38" s="322">
        <f>SUMIFS(Tabla110[[#All],[Utilidad Bruta Total]],Tabla110[[#All],[Asesor]],$B38,Tabla110[[#All],[Fecha Cobranza]],"&lt;"&amp;AU$6,Tabla110[[#All],[Fecha Cobranza]],"&gt;="&amp;AT$6)</f>
        <v>0</v>
      </c>
      <c r="AV38" s="322">
        <f>SUMIFS(Tabla110[[#All],[Utilidad Bruta Total]],Tabla110[[#All],[Asesor]],$B38,Tabla110[[#All],[Fecha Cobranza]],"&lt;"&amp;AV$6,Tabla110[[#All],[Fecha Cobranza]],"&gt;="&amp;AU$6)</f>
        <v>0</v>
      </c>
      <c r="AW38" s="322">
        <f>SUMIFS(Tabla110[[#All],[Utilidad Bruta Total]],Tabla110[[#All],[Asesor]],$B38,Tabla110[[#All],[Fecha Cobranza]],"&lt;"&amp;AW$6,Tabla110[[#All],[Fecha Cobranza]],"&gt;="&amp;AV$6)</f>
        <v>0</v>
      </c>
      <c r="AX38" s="322">
        <f>SUMIFS(Tabla110[[#All],[Utilidad Bruta Total]],Tabla110[[#All],[Asesor]],$B38,Tabla110[[#All],[Fecha Cobranza]],"&lt;"&amp;AX$6,Tabla110[[#All],[Fecha Cobranza]],"&gt;="&amp;AW$6)</f>
        <v>0</v>
      </c>
      <c r="AY38" s="322">
        <f>SUMIFS(Tabla110[[#All],[Utilidad Bruta Total]],Tabla110[[#All],[Asesor]],$B38,Tabla110[[#All],[Fecha Cobranza]],"&lt;"&amp;AY$6,Tabla110[[#All],[Fecha Cobranza]],"&gt;="&amp;AX$6)</f>
        <v>0</v>
      </c>
      <c r="AZ38" s="322">
        <f>SUMIFS(Tabla110[[#All],[Utilidad Bruta Total]],Tabla110[[#All],[Asesor]],$B38,Tabla110[[#All],[Fecha Cobranza]],"&lt;"&amp;AZ$6,Tabla110[[#All],[Fecha Cobranza]],"&gt;="&amp;AY$6)</f>
        <v>0</v>
      </c>
      <c r="BA38" s="323">
        <f t="shared" si="1"/>
        <v>0</v>
      </c>
      <c r="BB38" s="318">
        <f t="shared" si="33"/>
        <v>0</v>
      </c>
      <c r="BC38" s="318"/>
      <c r="BD38" s="318">
        <f t="shared" si="34"/>
        <v>0</v>
      </c>
      <c r="BE38" s="318"/>
      <c r="BF38" s="318">
        <f t="shared" si="35"/>
        <v>0</v>
      </c>
      <c r="BG38" s="318"/>
      <c r="BH38" s="318">
        <f t="shared" si="36"/>
        <v>0</v>
      </c>
      <c r="BI38" s="318"/>
      <c r="BJ38" s="318">
        <f t="shared" si="37"/>
        <v>0</v>
      </c>
      <c r="BK38" s="318"/>
      <c r="BL38" s="318">
        <f t="shared" si="38"/>
        <v>0</v>
      </c>
      <c r="BM38" s="318"/>
      <c r="BN38" s="318">
        <f t="shared" si="39"/>
        <v>0</v>
      </c>
      <c r="BO38" s="318"/>
      <c r="BP38" s="318">
        <f t="shared" si="40"/>
        <v>0</v>
      </c>
      <c r="BQ38" s="318"/>
      <c r="BR38" s="318"/>
      <c r="BS38" s="318"/>
      <c r="BT38" s="318"/>
      <c r="BU38" s="318">
        <f t="shared" si="43"/>
        <v>0</v>
      </c>
      <c r="BV38" s="318"/>
      <c r="BW38" s="318">
        <f t="shared" si="59"/>
        <v>0</v>
      </c>
      <c r="BX38" s="318"/>
      <c r="BY38" s="318">
        <f t="shared" si="45"/>
        <v>0</v>
      </c>
      <c r="BZ38" s="318"/>
      <c r="CA38" s="318">
        <f t="shared" si="46"/>
        <v>0</v>
      </c>
      <c r="CB38" s="318"/>
      <c r="CC38" s="318">
        <f t="shared" si="47"/>
        <v>0</v>
      </c>
      <c r="CD38" s="318"/>
      <c r="CE38" s="318">
        <f t="shared" si="48"/>
        <v>0</v>
      </c>
      <c r="CF38" s="318"/>
      <c r="CG38" s="318">
        <f t="shared" si="49"/>
        <v>0</v>
      </c>
      <c r="CH38" s="318"/>
      <c r="CI38" s="318">
        <f t="shared" si="50"/>
        <v>0</v>
      </c>
      <c r="CJ38" s="318"/>
      <c r="CK38" s="318">
        <f t="shared" si="51"/>
        <v>0</v>
      </c>
      <c r="CL38" s="318"/>
      <c r="CM38" s="318">
        <f t="shared" si="52"/>
        <v>0</v>
      </c>
      <c r="CN38" s="318"/>
      <c r="CO38" s="318">
        <f t="shared" si="53"/>
        <v>0</v>
      </c>
      <c r="CP38" s="318"/>
      <c r="CQ38" s="318">
        <f t="shared" si="54"/>
        <v>0</v>
      </c>
      <c r="CR38" s="318"/>
      <c r="CS38" s="318">
        <f t="shared" si="55"/>
        <v>0</v>
      </c>
      <c r="CT38" s="318"/>
      <c r="CU38" s="318">
        <f t="shared" si="56"/>
        <v>0</v>
      </c>
      <c r="CV38" s="318"/>
      <c r="CW38" s="318">
        <f t="shared" si="26"/>
        <v>0</v>
      </c>
      <c r="CX38" s="330"/>
      <c r="CY38" s="330"/>
      <c r="CZ38" s="330"/>
      <c r="DA38" s="330"/>
      <c r="DB38" s="330"/>
      <c r="DC38" s="330"/>
      <c r="DD38" s="330"/>
      <c r="DE38" s="330"/>
      <c r="DF38" s="330"/>
      <c r="DG38" s="330"/>
      <c r="DH38" s="330"/>
      <c r="DI38" s="330"/>
      <c r="DJ38" s="330"/>
      <c r="DK38" s="330"/>
      <c r="DL38" s="330"/>
      <c r="DM38" s="330"/>
      <c r="DN38" s="330"/>
      <c r="DO38" s="330"/>
      <c r="DP38" s="330"/>
      <c r="DQ38" s="330"/>
      <c r="DR38" s="330"/>
      <c r="DS38" s="330"/>
      <c r="DT38" s="330"/>
      <c r="DU38" s="330"/>
      <c r="DV38" s="331">
        <f t="shared" si="58"/>
        <v>0</v>
      </c>
      <c r="DW38" s="130">
        <f t="shared" si="27"/>
        <v>0</v>
      </c>
      <c r="DX38" s="131">
        <f t="shared" si="28"/>
        <v>0</v>
      </c>
      <c r="DY38" s="147">
        <f t="shared" ref="DY38:DY56" si="60">IFERROR(DX38/DW38,0)</f>
        <v>0</v>
      </c>
      <c r="DZ38" s="298">
        <f t="shared" si="29"/>
        <v>0</v>
      </c>
      <c r="ED38" s="163"/>
    </row>
    <row r="39" spans="2:134" ht="15.75" x14ac:dyDescent="0.3">
      <c r="B39" t="s">
        <v>602</v>
      </c>
      <c r="C39" s="297" t="s">
        <v>485</v>
      </c>
      <c r="D39" s="326">
        <f>SUMIFS(Tabla110[[#All],[Venta Total]],Tabla110[[#All],[Asesor]],B39,Tabla110[[#All],[Fecha Cobranza]],"&lt;"&amp;$D$6,Tabla110[[#All],[Fecha Cobranza]],"&gt;="&amp;$B$6)</f>
        <v>0</v>
      </c>
      <c r="E39" s="326">
        <f>SUMIFS(Tabla110[[#All],[Venta Total]],Tabla110[[#All],[Asesor]],B39,Tabla110[[#All],[Fecha Cobranza]],"&lt;"&amp;$E$6,Tabla110[[#All],[Fecha Cobranza]],"&gt;="&amp;$D$6)</f>
        <v>0</v>
      </c>
      <c r="F39" s="326">
        <f>SUMIFS(Tabla110[[#All],[Venta Total]],Tabla110[[#All],[Asesor]],B39,Tabla110[[#All],[Fecha Cobranza]],"&lt;"&amp;$F$6,Tabla110[[#All],[Fecha Cobranza]],"&gt;="&amp;$E$6)</f>
        <v>0</v>
      </c>
      <c r="G39" s="326">
        <f>SUMIFS(Tabla110[[#All],[Venta Total]],Tabla110[[#All],[Asesor]],B39,Tabla110[[#All],[Fecha Cobranza]],"&lt;"&amp;$G$6,Tabla110[[#All],[Fecha Cobranza]],"&gt;="&amp;$F$6)</f>
        <v>0</v>
      </c>
      <c r="H39" s="326">
        <f>SUMIFS(Tabla110[[#All],[Venta Total]],Tabla110[[#All],[Asesor]],B39,Tabla110[[#All],[Fecha Cobranza]],"&lt;"&amp;$H$6,Tabla110[[#All],[Fecha Cobranza]],"&gt;="&amp;$G$6)</f>
        <v>0</v>
      </c>
      <c r="I39" s="326">
        <f>SUMIFS(Tabla110[[#All],[Venta Total]],Tabla110[[#All],[Asesor]],B39,Tabla110[[#All],[Fecha Cobranza]],"&lt;"&amp;$I$6,Tabla110[[#All],[Fecha Cobranza]],"&gt;="&amp;$H$6)</f>
        <v>0</v>
      </c>
      <c r="J39" s="326">
        <f>SUMIFS(Tabla110[[#All],[Venta Total]],Tabla110[[#All],[Asesor]],B39,Tabla110[[#All],[Fecha Cobranza]],"&lt;"&amp;$J$6,Tabla110[[#All],[Fecha Cobranza]],"&gt;="&amp;$I$6)</f>
        <v>0</v>
      </c>
      <c r="K39" s="326">
        <f>SUMIFS(Tabla110[[#All],[Venta Total]],Tabla110[[#All],[Asesor]],B39,Tabla110[[#All],[Fecha Cobranza]],"&lt;"&amp;$K$6,Tabla110[[#All],[Fecha Cobranza]],"&gt;="&amp;$J$6)</f>
        <v>0</v>
      </c>
      <c r="L39" s="326">
        <f>SUMIFS(Tabla110[[#All],[Venta Total]],Tabla110[[#All],[Asesor]],B39,Tabla110[[#All],[Fecha Cobranza]],"&lt;"&amp;$L$6,Tabla110[[#All],[Fecha Cobranza]],"&gt;="&amp;$K$6)</f>
        <v>0</v>
      </c>
      <c r="M39" s="326">
        <f>SUMIFS(Tabla110[[#All],[Venta Total]],Tabla110[[#All],[Asesor]],B39,Tabla110[[#All],[Fecha Cobranza]],"&lt;"&amp;$M$6,Tabla110[[#All],[Fecha Cobranza]],"&gt;="&amp;$L$6)</f>
        <v>0</v>
      </c>
      <c r="N39" s="326">
        <f>SUMIFS(Tabla110[[#All],[Venta Total]],Tabla110[[#All],[Asesor]],B39,Tabla110[[#All],[Fecha Cobranza]],"&lt;"&amp;$N$6,Tabla110[[#All],[Fecha Cobranza]],"&gt;="&amp;$M$6)</f>
        <v>0</v>
      </c>
      <c r="O39" s="326">
        <f>SUMIFS(Tabla110[[#All],[Venta Total]],Tabla110[[#All],[Asesor]],B39,Tabla110[[#All],[Fecha Cobranza]],"&lt;"&amp;$O$6,Tabla110[[#All],[Fecha Cobranza]],"&gt;="&amp;$N$6)</f>
        <v>0</v>
      </c>
      <c r="P39" s="326">
        <f>SUMIFS(Tabla110[[#All],[Venta Total]],Tabla110[[#All],[Asesor]],B39,Tabla110[[#All],[Fecha Cobranza]],"&lt;"&amp;$P$6,Tabla110[[#All],[Fecha Cobranza]],"&gt;="&amp;$O$6)</f>
        <v>0</v>
      </c>
      <c r="Q39" s="326">
        <f>SUMIFS(Tabla110[[#All],[Venta Total]],Tabla110[[#All],[Asesor]],B39,Tabla110[[#All],[Fecha Cobranza]],"&lt;"&amp;$Q$6,Tabla110[[#All],[Fecha Cobranza]],"&gt;="&amp;$P$6)</f>
        <v>0</v>
      </c>
      <c r="R39" s="326">
        <f>SUMIFS(Tabla110[[#All],[Venta Total]],Tabla110[[#All],[Asesor]],B39,Tabla110[[#All],[Fecha Cobranza]],"&lt;"&amp;$R$6,Tabla110[[#All],[Fecha Cobranza]],"&gt;="&amp;$Q$6)</f>
        <v>0</v>
      </c>
      <c r="S39" s="326">
        <f>SUMIFS(Tabla110[[#All],[Venta Total]],Tabla110[[#All],[Asesor]],B39,Tabla110[[#All],[Fecha Cobranza]],"&lt;"&amp;$S$6,Tabla110[[#All],[Fecha Cobranza]],"&gt;="&amp;$R$6)</f>
        <v>0</v>
      </c>
      <c r="T39" s="326">
        <f>SUMIFS(Tabla110[[#All],[Venta Total]],Tabla110[[#All],[Asesor]],$B39,Tabla110[[#All],[Fecha Cobranza]],"&lt;"&amp;T$6,Tabla110[[#All],[Fecha Cobranza]],"&gt;="&amp;S$6)</f>
        <v>0</v>
      </c>
      <c r="U39" s="326">
        <f>SUMIFS(Tabla110[[#All],[Venta Total]],Tabla110[[#All],[Asesor]],$B39,Tabla110[[#All],[Fecha Cobranza]],"&lt;"&amp;U$6,Tabla110[[#All],[Fecha Cobranza]],"&gt;="&amp;T$6)</f>
        <v>0</v>
      </c>
      <c r="V39" s="326">
        <f>SUMIFS(Tabla110[[#All],[Venta Total]],Tabla110[[#All],[Asesor]],$B39,Tabla110[[#All],[Fecha Cobranza]],"&lt;"&amp;V$6,Tabla110[[#All],[Fecha Cobranza]],"&gt;="&amp;U$6)</f>
        <v>0</v>
      </c>
      <c r="W39" s="326">
        <f>SUMIFS(Tabla110[[#All],[Venta Total]],Tabla110[[#All],[Asesor]],$B39,Tabla110[[#All],[Fecha Cobranza]],"&lt;"&amp;W$6,Tabla110[[#All],[Fecha Cobranza]],"&gt;="&amp;V$6)</f>
        <v>0</v>
      </c>
      <c r="X39" s="326">
        <f>SUMIFS(Tabla110[[#All],[Venta Total]],Tabla110[[#All],[Asesor]],$B39,Tabla110[[#All],[Fecha Cobranza]],"&lt;"&amp;X$6,Tabla110[[#All],[Fecha Cobranza]],"&gt;="&amp;W$6)</f>
        <v>0</v>
      </c>
      <c r="Y39" s="326">
        <f>SUMIFS(Tabla110[[#All],[Venta Total]],Tabla110[[#All],[Asesor]],$B39,Tabla110[[#All],[Fecha Cobranza]],"&lt;"&amp;Y$6,Tabla110[[#All],[Fecha Cobranza]],"&gt;="&amp;X$6)</f>
        <v>0</v>
      </c>
      <c r="Z39" s="326">
        <f>SUMIFS(Tabla110[[#All],[Venta Total]],Tabla110[[#All],[Asesor]],$B39,Tabla110[[#All],[Fecha Cobranza]],"&lt;"&amp;Z$6,Tabla110[[#All],[Fecha Cobranza]],"&gt;="&amp;Y$6)</f>
        <v>0</v>
      </c>
      <c r="AA39" s="326">
        <f>SUMIFS(Tabla110[[#All],[Venta Total]],Tabla110[[#All],[Asesor]],$B39,Tabla110[[#All],[Fecha Cobranza]],"&lt;"&amp;AA$6,Tabla110[[#All],[Fecha Cobranza]],"&gt;="&amp;Z$6)</f>
        <v>0</v>
      </c>
      <c r="AB39" s="327">
        <f>SUM(D39:AA39)</f>
        <v>0</v>
      </c>
      <c r="AC39" s="322">
        <f>SUMIFS(Tabla110[[#All],[Utilidad Bruta Total]],Tabla110[[#All],[Asesor]],B39,Tabla110[[#All],[Fecha Cobranza]],"&lt;"&amp;$AC$6,Tabla110[[#All],[Fecha Cobranza]],"&gt;="&amp;$B$6)</f>
        <v>0</v>
      </c>
      <c r="AD39" s="322">
        <f>SUMIFS(Tabla110[[#All],[Utilidad Bruta Total]],Tabla110[[#All],[Asesor]],B39,Tabla110[[#All],[Fecha Cobranza]],"&lt;"&amp;$AD$6,Tabla110[[#All],[Fecha Cobranza]],"&gt;="&amp;$AC$6)</f>
        <v>0</v>
      </c>
      <c r="AE39" s="322">
        <f>SUMIFS(Tabla110[[#All],[Utilidad Bruta Total]],Tabla110[[#All],[Asesor]],B39,Tabla110[[#All],[Fecha Cobranza]],"&lt;"&amp;$AE$6,Tabla110[[#All],[Fecha Cobranza]],"&gt;="&amp;$AD$6)</f>
        <v>0</v>
      </c>
      <c r="AF39" s="322">
        <f>SUMIFS(Tabla110[[#All],[Utilidad Bruta Total]],Tabla110[[#All],[Asesor]],B39,Tabla110[[#All],[Fecha Cobranza]],"&lt;"&amp;$AF$6,Tabla110[[#All],[Fecha Cobranza]],"&gt;="&amp;$AE$6)</f>
        <v>0</v>
      </c>
      <c r="AG39" s="322">
        <f>SUMIFS(Tabla110[[#All],[Utilidad Bruta Total]],Tabla110[[#All],[Asesor]],B39,Tabla110[[#All],[Fecha Cobranza]],"&lt;"&amp;$AG$6,Tabla110[[#All],[Fecha Cobranza]],"&gt;="&amp;$AF$6)</f>
        <v>0</v>
      </c>
      <c r="AH39" s="322">
        <f>SUMIFS(Tabla110[[#All],[Utilidad Bruta Total]],Tabla110[[#All],[Asesor]],B39,Tabla110[[#All],[Fecha Cobranza]],"&lt;"&amp;$AH$6,Tabla110[[#All],[Fecha Cobranza]],"&gt;="&amp;$AG$6)</f>
        <v>0</v>
      </c>
      <c r="AI39" s="322">
        <f>SUMIFS(Tabla110[[#All],[Utilidad Bruta Total]],Tabla110[[#All],[Asesor]],B39,Tabla110[[#All],[Fecha Cobranza]],"&lt;"&amp;$AI$6,Tabla110[[#All],[Fecha Cobranza]],"&gt;="&amp;$AH$6)</f>
        <v>0</v>
      </c>
      <c r="AJ39" s="322">
        <f>SUMIFS(Tabla110[[#All],[Utilidad Bruta Total]],Tabla110[[#All],[Asesor]],B39,Tabla110[[#All],[Fecha Cobranza]],"&lt;"&amp;$AJ$6,Tabla110[[#All],[Fecha Cobranza]],"&gt;="&amp;$AI$6)</f>
        <v>0</v>
      </c>
      <c r="AK39" s="322">
        <f>SUMIFS(Tabla110[[#All],[Utilidad Bruta Total]],Tabla110[[#All],[Asesor]],B39,Tabla110[[#All],[Fecha Cobranza]],"&lt;"&amp;$AK$6,Tabla110[[#All],[Fecha Cobranza]],"&gt;="&amp;$AJ$6)</f>
        <v>0</v>
      </c>
      <c r="AL39" s="322">
        <f>SUMIFS(Tabla110[[#All],[Utilidad Bruta Total]],Tabla110[[#All],[Asesor]],B39,Tabla110[[#All],[Fecha Cobranza]],"&lt;"&amp;$AL$6,Tabla110[[#All],[Fecha Cobranza]],"&gt;="&amp;$AK$6)</f>
        <v>0</v>
      </c>
      <c r="AM39" s="322">
        <f>SUMIFS(Tabla110[[#All],[Utilidad Bruta Total]],Tabla110[[#All],[Asesor]],B39,Tabla110[[#All],[Fecha Cobranza]],"&lt;"&amp;$AM$6,Tabla110[[#All],[Fecha Cobranza]],"&gt;="&amp;$AL$6)</f>
        <v>0</v>
      </c>
      <c r="AN39" s="322">
        <f>SUMIFS(Tabla110[[#All],[Utilidad Bruta Total]],Tabla110[[#All],[Asesor]],B39,Tabla110[[#All],[Fecha Cobranza]],"&lt;"&amp;$AN$6,Tabla110[[#All],[Fecha Cobranza]],"&gt;="&amp;$AM$6)</f>
        <v>0</v>
      </c>
      <c r="AO39" s="322">
        <f>SUMIFS(Tabla110[[#All],[Utilidad Bruta Total]],Tabla110[[#All],[Asesor]],B39,Tabla110[[#All],[Fecha Cobranza]],"&lt;"&amp;$AO$6,Tabla110[[#All],[Fecha Cobranza]],"&gt;="&amp;$AN$6)</f>
        <v>0</v>
      </c>
      <c r="AP39" s="322">
        <f>SUMIFS(Tabla110[[#All],[Utilidad Bruta Total]],Tabla110[[#All],[Asesor]],B39,Tabla110[[#All],[Fecha Cobranza]],"&lt;"&amp;$AP$6,Tabla110[[#All],[Fecha Cobranza]],"&gt;="&amp;$AO$6)</f>
        <v>0</v>
      </c>
      <c r="AQ39" s="322">
        <f>SUMIFS(Tabla110[[#All],[Utilidad Bruta Total]],Tabla110[[#All],[Asesor]],B39,Tabla110[[#All],[Fecha Cobranza]],"&lt;"&amp;$AQ$6,Tabla110[[#All],[Fecha Cobranza]],"&gt;="&amp;$AP$6)</f>
        <v>0</v>
      </c>
      <c r="AR39" s="322">
        <f>SUMIFS(Tabla110[[#All],[Utilidad Bruta Total]],Tabla110[[#All],[Asesor]],B39,Tabla110[[#All],[Fecha Cobranza]],"&lt;"&amp;$AR$6,Tabla110[[#All],[Fecha Cobranza]],"&gt;="&amp;$AQ$6)</f>
        <v>0</v>
      </c>
      <c r="AS39" s="322">
        <f>SUMIFS(Tabla110[[#All],[Utilidad Bruta Total]],Tabla110[[#All],[Asesor]],$B39,Tabla110[[#All],[Fecha Cobranza]],"&lt;"&amp;AS$6,Tabla110[[#All],[Fecha Cobranza]],"&gt;="&amp;AR$6)</f>
        <v>0</v>
      </c>
      <c r="AT39" s="322">
        <f>SUMIFS(Tabla110[[#All],[Utilidad Bruta Total]],Tabla110[[#All],[Asesor]],$B39,Tabla110[[#All],[Fecha Cobranza]],"&lt;"&amp;AT$6,Tabla110[[#All],[Fecha Cobranza]],"&gt;="&amp;AS$6)</f>
        <v>0</v>
      </c>
      <c r="AU39" s="322">
        <f>SUMIFS(Tabla110[[#All],[Utilidad Bruta Total]],Tabla110[[#All],[Asesor]],$B39,Tabla110[[#All],[Fecha Cobranza]],"&lt;"&amp;AU$6,Tabla110[[#All],[Fecha Cobranza]],"&gt;="&amp;AT$6)</f>
        <v>0</v>
      </c>
      <c r="AV39" s="322">
        <f>SUMIFS(Tabla110[[#All],[Utilidad Bruta Total]],Tabla110[[#All],[Asesor]],$B39,Tabla110[[#All],[Fecha Cobranza]],"&lt;"&amp;AV$6,Tabla110[[#All],[Fecha Cobranza]],"&gt;="&amp;AU$6)</f>
        <v>0</v>
      </c>
      <c r="AW39" s="322">
        <f>SUMIFS(Tabla110[[#All],[Utilidad Bruta Total]],Tabla110[[#All],[Asesor]],$B39,Tabla110[[#All],[Fecha Cobranza]],"&lt;"&amp;AW$6,Tabla110[[#All],[Fecha Cobranza]],"&gt;="&amp;AV$6)</f>
        <v>0</v>
      </c>
      <c r="AX39" s="322">
        <f>SUMIFS(Tabla110[[#All],[Utilidad Bruta Total]],Tabla110[[#All],[Asesor]],$B39,Tabla110[[#All],[Fecha Cobranza]],"&lt;"&amp;AX$6,Tabla110[[#All],[Fecha Cobranza]],"&gt;="&amp;AW$6)</f>
        <v>0</v>
      </c>
      <c r="AY39" s="322">
        <f>SUMIFS(Tabla110[[#All],[Utilidad Bruta Total]],Tabla110[[#All],[Asesor]],$B39,Tabla110[[#All],[Fecha Cobranza]],"&lt;"&amp;AY$6,Tabla110[[#All],[Fecha Cobranza]],"&gt;="&amp;AX$6)</f>
        <v>0</v>
      </c>
      <c r="AZ39" s="322">
        <f>SUMIFS(Tabla110[[#All],[Utilidad Bruta Total]],Tabla110[[#All],[Asesor]],$B39,Tabla110[[#All],[Fecha Cobranza]],"&lt;"&amp;AZ$6,Tabla110[[#All],[Fecha Cobranza]],"&gt;="&amp;AY$6)</f>
        <v>0</v>
      </c>
      <c r="BA39" s="323">
        <f>SUM(AC39:AZ39)</f>
        <v>0</v>
      </c>
      <c r="BB39" s="318">
        <f t="shared" si="33"/>
        <v>0</v>
      </c>
      <c r="BC39" s="318"/>
      <c r="BD39" s="318">
        <f t="shared" si="34"/>
        <v>0</v>
      </c>
      <c r="BE39" s="318"/>
      <c r="BF39" s="318">
        <f t="shared" si="35"/>
        <v>0</v>
      </c>
      <c r="BG39" s="318"/>
      <c r="BH39" s="318">
        <f t="shared" si="36"/>
        <v>0</v>
      </c>
      <c r="BI39" s="318"/>
      <c r="BJ39" s="318">
        <f t="shared" si="37"/>
        <v>0</v>
      </c>
      <c r="BK39" s="318"/>
      <c r="BL39" s="318">
        <f t="shared" si="38"/>
        <v>0</v>
      </c>
      <c r="BM39" s="318"/>
      <c r="BN39" s="318">
        <f t="shared" si="39"/>
        <v>0</v>
      </c>
      <c r="BO39" s="318"/>
      <c r="BP39" s="318">
        <f t="shared" si="40"/>
        <v>0</v>
      </c>
      <c r="BQ39" s="318"/>
      <c r="BR39" s="318"/>
      <c r="BS39" s="318"/>
      <c r="BT39" s="318"/>
      <c r="BU39" s="318">
        <f t="shared" si="43"/>
        <v>0</v>
      </c>
      <c r="BV39" s="318"/>
      <c r="BW39" s="318">
        <f t="shared" si="59"/>
        <v>0</v>
      </c>
      <c r="BX39" s="318"/>
      <c r="BY39" s="318">
        <f t="shared" si="45"/>
        <v>0</v>
      </c>
      <c r="BZ39" s="318"/>
      <c r="CA39" s="318">
        <f t="shared" si="46"/>
        <v>0</v>
      </c>
      <c r="CB39" s="318"/>
      <c r="CC39" s="318">
        <f t="shared" si="47"/>
        <v>0</v>
      </c>
      <c r="CD39" s="318"/>
      <c r="CE39" s="318">
        <f t="shared" si="48"/>
        <v>0</v>
      </c>
      <c r="CF39" s="318"/>
      <c r="CG39" s="318">
        <f t="shared" si="49"/>
        <v>0</v>
      </c>
      <c r="CH39" s="318"/>
      <c r="CI39" s="318">
        <f t="shared" si="50"/>
        <v>0</v>
      </c>
      <c r="CJ39" s="318"/>
      <c r="CK39" s="318">
        <f t="shared" si="51"/>
        <v>0</v>
      </c>
      <c r="CL39" s="318"/>
      <c r="CM39" s="318">
        <f t="shared" si="52"/>
        <v>0</v>
      </c>
      <c r="CN39" s="318"/>
      <c r="CO39" s="318">
        <f t="shared" si="53"/>
        <v>0</v>
      </c>
      <c r="CP39" s="318"/>
      <c r="CQ39" s="318">
        <f t="shared" si="54"/>
        <v>0</v>
      </c>
      <c r="CR39" s="318"/>
      <c r="CS39" s="318">
        <f t="shared" si="55"/>
        <v>0</v>
      </c>
      <c r="CT39" s="318"/>
      <c r="CU39" s="318">
        <f t="shared" si="56"/>
        <v>0</v>
      </c>
      <c r="CV39" s="318"/>
      <c r="CW39" s="318">
        <f t="shared" si="26"/>
        <v>0</v>
      </c>
      <c r="CX39" s="330"/>
      <c r="CY39" s="330"/>
      <c r="CZ39" s="330"/>
      <c r="DA39" s="330"/>
      <c r="DB39" s="330"/>
      <c r="DC39" s="330"/>
      <c r="DD39" s="330"/>
      <c r="DE39" s="330"/>
      <c r="DF39" s="330"/>
      <c r="DG39" s="330"/>
      <c r="DH39" s="330"/>
      <c r="DI39" s="330"/>
      <c r="DJ39" s="330"/>
      <c r="DK39" s="330"/>
      <c r="DL39" s="330"/>
      <c r="DM39" s="330"/>
      <c r="DN39" s="330"/>
      <c r="DO39" s="330"/>
      <c r="DP39" s="330"/>
      <c r="DQ39" s="330"/>
      <c r="DR39" s="330"/>
      <c r="DS39" s="330"/>
      <c r="DT39" s="330"/>
      <c r="DU39" s="330"/>
      <c r="DV39" s="331">
        <f t="shared" si="58"/>
        <v>0</v>
      </c>
      <c r="DW39" s="130">
        <f t="shared" si="27"/>
        <v>0</v>
      </c>
      <c r="DX39" s="131">
        <f t="shared" si="28"/>
        <v>0</v>
      </c>
      <c r="DY39" s="147">
        <f t="shared" si="60"/>
        <v>0</v>
      </c>
      <c r="DZ39" s="298">
        <f t="shared" si="29"/>
        <v>0</v>
      </c>
    </row>
    <row r="40" spans="2:134" ht="15.75" x14ac:dyDescent="0.3">
      <c r="B40" t="s">
        <v>616</v>
      </c>
      <c r="C40" s="297" t="s">
        <v>485</v>
      </c>
      <c r="D40" s="326">
        <f>SUMIFS(Tabla110[[#All],[Venta Total]],Tabla110[[#All],[Asesor]],B40,Tabla110[[#All],[Fecha Cobranza]],"&lt;"&amp;$D$6,Tabla110[[#All],[Fecha Cobranza]],"&gt;="&amp;$B$6)</f>
        <v>0</v>
      </c>
      <c r="E40" s="326">
        <f>SUMIFS(Tabla110[[#All],[Venta Total]],Tabla110[[#All],[Asesor]],B40,Tabla110[[#All],[Fecha Cobranza]],"&lt;"&amp;$E$6,Tabla110[[#All],[Fecha Cobranza]],"&gt;="&amp;$D$6)</f>
        <v>0</v>
      </c>
      <c r="F40" s="326">
        <f>SUMIFS(Tabla110[[#All],[Venta Total]],Tabla110[[#All],[Asesor]],B40,Tabla110[[#All],[Fecha Cobranza]],"&lt;"&amp;$F$6,Tabla110[[#All],[Fecha Cobranza]],"&gt;="&amp;$E$6)</f>
        <v>0</v>
      </c>
      <c r="G40" s="326">
        <f>SUMIFS(Tabla110[[#All],[Venta Total]],Tabla110[[#All],[Asesor]],B40,Tabla110[[#All],[Fecha Cobranza]],"&lt;"&amp;$G$6,Tabla110[[#All],[Fecha Cobranza]],"&gt;="&amp;$F$6)</f>
        <v>0</v>
      </c>
      <c r="H40" s="326">
        <f>SUMIFS(Tabla110[[#All],[Venta Total]],Tabla110[[#All],[Asesor]],B40,Tabla110[[#All],[Fecha Cobranza]],"&lt;"&amp;$H$6,Tabla110[[#All],[Fecha Cobranza]],"&gt;="&amp;$G$6)</f>
        <v>0</v>
      </c>
      <c r="I40" s="326">
        <f>SUMIFS(Tabla110[[#All],[Venta Total]],Tabla110[[#All],[Asesor]],B40,Tabla110[[#All],[Fecha Cobranza]],"&lt;"&amp;$I$6,Tabla110[[#All],[Fecha Cobranza]],"&gt;="&amp;$H$6)</f>
        <v>0</v>
      </c>
      <c r="J40" s="326">
        <f>SUMIFS(Tabla110[[#All],[Venta Total]],Tabla110[[#All],[Asesor]],B40,Tabla110[[#All],[Fecha Cobranza]],"&lt;"&amp;$J$6,Tabla110[[#All],[Fecha Cobranza]],"&gt;="&amp;$I$6)</f>
        <v>0</v>
      </c>
      <c r="K40" s="326">
        <f>SUMIFS(Tabla110[[#All],[Venta Total]],Tabla110[[#All],[Asesor]],B40,Tabla110[[#All],[Fecha Cobranza]],"&lt;"&amp;$K$6,Tabla110[[#All],[Fecha Cobranza]],"&gt;="&amp;$J$6)</f>
        <v>0</v>
      </c>
      <c r="L40" s="326">
        <f>SUMIFS(Tabla110[[#All],[Venta Total]],Tabla110[[#All],[Asesor]],B40,Tabla110[[#All],[Fecha Cobranza]],"&lt;"&amp;$L$6,Tabla110[[#All],[Fecha Cobranza]],"&gt;="&amp;$K$6)</f>
        <v>0</v>
      </c>
      <c r="M40" s="326">
        <f>SUMIFS(Tabla110[[#All],[Venta Total]],Tabla110[[#All],[Asesor]],B40,Tabla110[[#All],[Fecha Cobranza]],"&lt;"&amp;$M$6,Tabla110[[#All],[Fecha Cobranza]],"&gt;="&amp;$L$6)</f>
        <v>0</v>
      </c>
      <c r="N40" s="326">
        <f>SUMIFS(Tabla110[[#All],[Venta Total]],Tabla110[[#All],[Asesor]],B40,Tabla110[[#All],[Fecha Cobranza]],"&lt;"&amp;$N$6,Tabla110[[#All],[Fecha Cobranza]],"&gt;="&amp;$M$6)</f>
        <v>0</v>
      </c>
      <c r="O40" s="326">
        <f>SUMIFS(Tabla110[[#All],[Venta Total]],Tabla110[[#All],[Asesor]],B40,Tabla110[[#All],[Fecha Cobranza]],"&lt;"&amp;$O$6,Tabla110[[#All],[Fecha Cobranza]],"&gt;="&amp;$N$6)</f>
        <v>0</v>
      </c>
      <c r="P40" s="326">
        <f>SUMIFS(Tabla110[[#All],[Venta Total]],Tabla110[[#All],[Asesor]],B40,Tabla110[[#All],[Fecha Cobranza]],"&lt;"&amp;$P$6,Tabla110[[#All],[Fecha Cobranza]],"&gt;="&amp;$O$6)</f>
        <v>0</v>
      </c>
      <c r="Q40" s="326">
        <f>SUMIFS(Tabla110[[#All],[Venta Total]],Tabla110[[#All],[Asesor]],B40,Tabla110[[#All],[Fecha Cobranza]],"&lt;"&amp;$Q$6,Tabla110[[#All],[Fecha Cobranza]],"&gt;="&amp;$P$6)</f>
        <v>0</v>
      </c>
      <c r="R40" s="326">
        <f>SUMIFS(Tabla110[[#All],[Venta Total]],Tabla110[[#All],[Asesor]],B40,Tabla110[[#All],[Fecha Cobranza]],"&lt;"&amp;$R$6,Tabla110[[#All],[Fecha Cobranza]],"&gt;="&amp;$Q$6)</f>
        <v>0</v>
      </c>
      <c r="S40" s="326">
        <f>SUMIFS(Tabla110[[#All],[Venta Total]],Tabla110[[#All],[Asesor]],B40,Tabla110[[#All],[Fecha Cobranza]],"&lt;"&amp;$S$6,Tabla110[[#All],[Fecha Cobranza]],"&gt;="&amp;$R$6)</f>
        <v>0</v>
      </c>
      <c r="T40" s="326">
        <f>SUMIFS(Tabla110[[#All],[Venta Total]],Tabla110[[#All],[Asesor]],$B40,Tabla110[[#All],[Fecha Cobranza]],"&lt;"&amp;T$6,Tabla110[[#All],[Fecha Cobranza]],"&gt;="&amp;S$6)</f>
        <v>0</v>
      </c>
      <c r="U40" s="326">
        <f>SUMIFS(Tabla110[[#All],[Venta Total]],Tabla110[[#All],[Asesor]],$B40,Tabla110[[#All],[Fecha Cobranza]],"&lt;"&amp;U$6,Tabla110[[#All],[Fecha Cobranza]],"&gt;="&amp;T$6)</f>
        <v>0</v>
      </c>
      <c r="V40" s="326">
        <f>SUMIFS(Tabla110[[#All],[Venta Total]],Tabla110[[#All],[Asesor]],$B40,Tabla110[[#All],[Fecha Cobranza]],"&lt;"&amp;V$6,Tabla110[[#All],[Fecha Cobranza]],"&gt;="&amp;U$6)</f>
        <v>0</v>
      </c>
      <c r="W40" s="326">
        <f>SUMIFS(Tabla110[[#All],[Venta Total]],Tabla110[[#All],[Asesor]],$B40,Tabla110[[#All],[Fecha Cobranza]],"&lt;"&amp;W$6,Tabla110[[#All],[Fecha Cobranza]],"&gt;="&amp;V$6)</f>
        <v>0</v>
      </c>
      <c r="X40" s="326">
        <f>SUMIFS(Tabla110[[#All],[Venta Total]],Tabla110[[#All],[Asesor]],$B40,Tabla110[[#All],[Fecha Cobranza]],"&lt;"&amp;X$6,Tabla110[[#All],[Fecha Cobranza]],"&gt;="&amp;W$6)</f>
        <v>0</v>
      </c>
      <c r="Y40" s="326">
        <f>SUMIFS(Tabla110[[#All],[Venta Total]],Tabla110[[#All],[Asesor]],$B40,Tabla110[[#All],[Fecha Cobranza]],"&lt;"&amp;Y$6,Tabla110[[#All],[Fecha Cobranza]],"&gt;="&amp;X$6)</f>
        <v>0</v>
      </c>
      <c r="Z40" s="326">
        <f>SUMIFS(Tabla110[[#All],[Venta Total]],Tabla110[[#All],[Asesor]],$B40,Tabla110[[#All],[Fecha Cobranza]],"&lt;"&amp;Z$6,Tabla110[[#All],[Fecha Cobranza]],"&gt;="&amp;Y$6)</f>
        <v>0</v>
      </c>
      <c r="AA40" s="326">
        <f>SUMIFS(Tabla110[[#All],[Venta Total]],Tabla110[[#All],[Asesor]],$B40,Tabla110[[#All],[Fecha Cobranza]],"&lt;"&amp;AA$6,Tabla110[[#All],[Fecha Cobranza]],"&gt;="&amp;Z$6)</f>
        <v>0</v>
      </c>
      <c r="AB40" s="327">
        <f>SUM(D40:AA40)</f>
        <v>0</v>
      </c>
      <c r="AC40" s="322">
        <f>SUMIFS(Tabla110[[#All],[Utilidad Bruta Total]],Tabla110[[#All],[Asesor]],B40,Tabla110[[#All],[Fecha Cobranza]],"&lt;"&amp;$AC$6,Tabla110[[#All],[Fecha Cobranza]],"&gt;="&amp;$B$6)</f>
        <v>0</v>
      </c>
      <c r="AD40" s="322">
        <f>SUMIFS(Tabla110[[#All],[Utilidad Bruta Total]],Tabla110[[#All],[Asesor]],B40,Tabla110[[#All],[Fecha Cobranza]],"&lt;"&amp;$AD$6,Tabla110[[#All],[Fecha Cobranza]],"&gt;="&amp;$AC$6)</f>
        <v>0</v>
      </c>
      <c r="AE40" s="322">
        <f>SUMIFS(Tabla110[[#All],[Utilidad Bruta Total]],Tabla110[[#All],[Asesor]],B40,Tabla110[[#All],[Fecha Cobranza]],"&lt;"&amp;$AE$6,Tabla110[[#All],[Fecha Cobranza]],"&gt;="&amp;$AD$6)</f>
        <v>0</v>
      </c>
      <c r="AF40" s="322">
        <f>SUMIFS(Tabla110[[#All],[Utilidad Bruta Total]],Tabla110[[#All],[Asesor]],B40,Tabla110[[#All],[Fecha Cobranza]],"&lt;"&amp;$AF$6,Tabla110[[#All],[Fecha Cobranza]],"&gt;="&amp;$AE$6)</f>
        <v>0</v>
      </c>
      <c r="AG40" s="322">
        <f>SUMIFS(Tabla110[[#All],[Utilidad Bruta Total]],Tabla110[[#All],[Asesor]],B40,Tabla110[[#All],[Fecha Cobranza]],"&lt;"&amp;$AG$6,Tabla110[[#All],[Fecha Cobranza]],"&gt;="&amp;$AF$6)</f>
        <v>0</v>
      </c>
      <c r="AH40" s="322">
        <f>SUMIFS(Tabla110[[#All],[Utilidad Bruta Total]],Tabla110[[#All],[Asesor]],B40,Tabla110[[#All],[Fecha Cobranza]],"&lt;"&amp;$AH$6,Tabla110[[#All],[Fecha Cobranza]],"&gt;="&amp;$AG$6)</f>
        <v>0</v>
      </c>
      <c r="AI40" s="322">
        <f>SUMIFS(Tabla110[[#All],[Utilidad Bruta Total]],Tabla110[[#All],[Asesor]],B40,Tabla110[[#All],[Fecha Cobranza]],"&lt;"&amp;$AI$6,Tabla110[[#All],[Fecha Cobranza]],"&gt;="&amp;$AH$6)</f>
        <v>0</v>
      </c>
      <c r="AJ40" s="322">
        <f>SUMIFS(Tabla110[[#All],[Utilidad Bruta Total]],Tabla110[[#All],[Asesor]],B40,Tabla110[[#All],[Fecha Cobranza]],"&lt;"&amp;$AJ$6,Tabla110[[#All],[Fecha Cobranza]],"&gt;="&amp;$AI$6)</f>
        <v>0</v>
      </c>
      <c r="AK40" s="322">
        <f>SUMIFS(Tabla110[[#All],[Utilidad Bruta Total]],Tabla110[[#All],[Asesor]],B40,Tabla110[[#All],[Fecha Cobranza]],"&lt;"&amp;$AK$6,Tabla110[[#All],[Fecha Cobranza]],"&gt;="&amp;$AJ$6)</f>
        <v>0</v>
      </c>
      <c r="AL40" s="322">
        <f>SUMIFS(Tabla110[[#All],[Utilidad Bruta Total]],Tabla110[[#All],[Asesor]],B40,Tabla110[[#All],[Fecha Cobranza]],"&lt;"&amp;$AL$6,Tabla110[[#All],[Fecha Cobranza]],"&gt;="&amp;$AK$6)</f>
        <v>0</v>
      </c>
      <c r="AM40" s="322">
        <f>SUMIFS(Tabla110[[#All],[Utilidad Bruta Total]],Tabla110[[#All],[Asesor]],B40,Tabla110[[#All],[Fecha Cobranza]],"&lt;"&amp;$AM$6,Tabla110[[#All],[Fecha Cobranza]],"&gt;="&amp;$AL$6)</f>
        <v>0</v>
      </c>
      <c r="AN40" s="322">
        <f>SUMIFS(Tabla110[[#All],[Utilidad Bruta Total]],Tabla110[[#All],[Asesor]],B40,Tabla110[[#All],[Fecha Cobranza]],"&lt;"&amp;$AN$6,Tabla110[[#All],[Fecha Cobranza]],"&gt;="&amp;$AM$6)</f>
        <v>0</v>
      </c>
      <c r="AO40" s="322">
        <f>SUMIFS(Tabla110[[#All],[Utilidad Bruta Total]],Tabla110[[#All],[Asesor]],B40,Tabla110[[#All],[Fecha Cobranza]],"&lt;"&amp;$AO$6,Tabla110[[#All],[Fecha Cobranza]],"&gt;="&amp;$AN$6)</f>
        <v>0</v>
      </c>
      <c r="AP40" s="322">
        <f>SUMIFS(Tabla110[[#All],[Utilidad Bruta Total]],Tabla110[[#All],[Asesor]],B40,Tabla110[[#All],[Fecha Cobranza]],"&lt;"&amp;$AP$6,Tabla110[[#All],[Fecha Cobranza]],"&gt;="&amp;$AO$6)</f>
        <v>0</v>
      </c>
      <c r="AQ40" s="322">
        <f>SUMIFS(Tabla110[[#All],[Utilidad Bruta Total]],Tabla110[[#All],[Asesor]],B40,Tabla110[[#All],[Fecha Cobranza]],"&lt;"&amp;$AQ$6,Tabla110[[#All],[Fecha Cobranza]],"&gt;="&amp;$AP$6)</f>
        <v>0</v>
      </c>
      <c r="AR40" s="322">
        <f>SUMIFS(Tabla110[[#All],[Utilidad Bruta Total]],Tabla110[[#All],[Asesor]],B40,Tabla110[[#All],[Fecha Cobranza]],"&lt;"&amp;$AR$6,Tabla110[[#All],[Fecha Cobranza]],"&gt;="&amp;$AQ$6)</f>
        <v>0</v>
      </c>
      <c r="AS40" s="322">
        <f>SUMIFS(Tabla110[[#All],[Utilidad Bruta Total]],Tabla110[[#All],[Asesor]],$B40,Tabla110[[#All],[Fecha Cobranza]],"&lt;"&amp;AS$6,Tabla110[[#All],[Fecha Cobranza]],"&gt;="&amp;AR$6)</f>
        <v>0</v>
      </c>
      <c r="AT40" s="322">
        <f>SUMIFS(Tabla110[[#All],[Utilidad Bruta Total]],Tabla110[[#All],[Asesor]],$B40,Tabla110[[#All],[Fecha Cobranza]],"&lt;"&amp;AT$6,Tabla110[[#All],[Fecha Cobranza]],"&gt;="&amp;AS$6)</f>
        <v>0</v>
      </c>
      <c r="AU40" s="322">
        <f>SUMIFS(Tabla110[[#All],[Utilidad Bruta Total]],Tabla110[[#All],[Asesor]],$B40,Tabla110[[#All],[Fecha Cobranza]],"&lt;"&amp;AU$6,Tabla110[[#All],[Fecha Cobranza]],"&gt;="&amp;AT$6)</f>
        <v>0</v>
      </c>
      <c r="AV40" s="322">
        <f>SUMIFS(Tabla110[[#All],[Utilidad Bruta Total]],Tabla110[[#All],[Asesor]],$B40,Tabla110[[#All],[Fecha Cobranza]],"&lt;"&amp;AV$6,Tabla110[[#All],[Fecha Cobranza]],"&gt;="&amp;AU$6)</f>
        <v>0</v>
      </c>
      <c r="AW40" s="322">
        <f>SUMIFS(Tabla110[[#All],[Utilidad Bruta Total]],Tabla110[[#All],[Asesor]],$B40,Tabla110[[#All],[Fecha Cobranza]],"&lt;"&amp;AW$6,Tabla110[[#All],[Fecha Cobranza]],"&gt;="&amp;AV$6)</f>
        <v>0</v>
      </c>
      <c r="AX40" s="322">
        <f>SUMIFS(Tabla110[[#All],[Utilidad Bruta Total]],Tabla110[[#All],[Asesor]],$B40,Tabla110[[#All],[Fecha Cobranza]],"&lt;"&amp;AX$6,Tabla110[[#All],[Fecha Cobranza]],"&gt;="&amp;AW$6)</f>
        <v>0</v>
      </c>
      <c r="AY40" s="322">
        <f>SUMIFS(Tabla110[[#All],[Utilidad Bruta Total]],Tabla110[[#All],[Asesor]],$B40,Tabla110[[#All],[Fecha Cobranza]],"&lt;"&amp;AY$6,Tabla110[[#All],[Fecha Cobranza]],"&gt;="&amp;AX$6)</f>
        <v>0</v>
      </c>
      <c r="AZ40" s="322">
        <f>SUMIFS(Tabla110[[#All],[Utilidad Bruta Total]],Tabla110[[#All],[Asesor]],$B40,Tabla110[[#All],[Fecha Cobranza]],"&lt;"&amp;AZ$6,Tabla110[[#All],[Fecha Cobranza]],"&gt;="&amp;AY$6)</f>
        <v>0</v>
      </c>
      <c r="BA40" s="323">
        <f>SUM(AC40:AZ40)</f>
        <v>0</v>
      </c>
      <c r="BB40" s="318">
        <f t="shared" si="33"/>
        <v>0</v>
      </c>
      <c r="BC40" s="318"/>
      <c r="BD40" s="318">
        <f t="shared" si="34"/>
        <v>0</v>
      </c>
      <c r="BE40" s="318"/>
      <c r="BF40" s="318">
        <f t="shared" si="35"/>
        <v>0</v>
      </c>
      <c r="BG40" s="318"/>
      <c r="BH40" s="318">
        <f t="shared" si="36"/>
        <v>0</v>
      </c>
      <c r="BI40" s="318"/>
      <c r="BJ40" s="318">
        <f t="shared" si="37"/>
        <v>0</v>
      </c>
      <c r="BK40" s="318"/>
      <c r="BL40" s="318">
        <f t="shared" si="38"/>
        <v>0</v>
      </c>
      <c r="BM40" s="318"/>
      <c r="BN40" s="318">
        <f t="shared" si="39"/>
        <v>0</v>
      </c>
      <c r="BO40" s="318"/>
      <c r="BP40" s="318">
        <f t="shared" si="40"/>
        <v>0</v>
      </c>
      <c r="BQ40" s="318"/>
      <c r="BR40" s="318"/>
      <c r="BS40" s="318"/>
      <c r="BT40" s="318"/>
      <c r="BU40" s="318">
        <f t="shared" si="43"/>
        <v>0</v>
      </c>
      <c r="BV40" s="318"/>
      <c r="BW40" s="318">
        <f t="shared" si="59"/>
        <v>0</v>
      </c>
      <c r="BX40" s="318"/>
      <c r="BY40" s="318">
        <f t="shared" si="45"/>
        <v>0</v>
      </c>
      <c r="BZ40" s="318"/>
      <c r="CA40" s="318">
        <f t="shared" si="46"/>
        <v>0</v>
      </c>
      <c r="CB40" s="318"/>
      <c r="CC40" s="318">
        <f t="shared" si="47"/>
        <v>0</v>
      </c>
      <c r="CD40" s="318"/>
      <c r="CE40" s="318">
        <f t="shared" si="48"/>
        <v>0</v>
      </c>
      <c r="CF40" s="318"/>
      <c r="CG40" s="318">
        <f t="shared" si="49"/>
        <v>0</v>
      </c>
      <c r="CH40" s="318"/>
      <c r="CI40" s="318">
        <f t="shared" si="50"/>
        <v>0</v>
      </c>
      <c r="CJ40" s="318"/>
      <c r="CK40" s="318">
        <f t="shared" si="51"/>
        <v>0</v>
      </c>
      <c r="CL40" s="318"/>
      <c r="CM40" s="318">
        <f t="shared" si="52"/>
        <v>0</v>
      </c>
      <c r="CN40" s="318"/>
      <c r="CO40" s="318">
        <f t="shared" si="53"/>
        <v>0</v>
      </c>
      <c r="CP40" s="318"/>
      <c r="CQ40" s="318">
        <f t="shared" si="54"/>
        <v>0</v>
      </c>
      <c r="CR40" s="318"/>
      <c r="CS40" s="318">
        <f t="shared" si="55"/>
        <v>0</v>
      </c>
      <c r="CT40" s="318"/>
      <c r="CU40" s="318">
        <f t="shared" si="56"/>
        <v>0</v>
      </c>
      <c r="CV40" s="318"/>
      <c r="CW40" s="318">
        <f t="shared" si="26"/>
        <v>0</v>
      </c>
      <c r="CX40" s="330"/>
      <c r="CY40" s="330"/>
      <c r="CZ40" s="330"/>
      <c r="DA40" s="330"/>
      <c r="DB40" s="330"/>
      <c r="DC40" s="330"/>
      <c r="DD40" s="330"/>
      <c r="DE40" s="330"/>
      <c r="DF40" s="330"/>
      <c r="DG40" s="330"/>
      <c r="DH40" s="330"/>
      <c r="DI40" s="330"/>
      <c r="DJ40" s="330"/>
      <c r="DK40" s="330"/>
      <c r="DL40" s="330"/>
      <c r="DM40" s="330"/>
      <c r="DN40" s="330"/>
      <c r="DO40" s="330"/>
      <c r="DP40" s="330"/>
      <c r="DQ40" s="330"/>
      <c r="DR40" s="330"/>
      <c r="DS40" s="330"/>
      <c r="DT40" s="330"/>
      <c r="DU40" s="330"/>
      <c r="DV40" s="331">
        <f t="shared" si="58"/>
        <v>0</v>
      </c>
      <c r="DW40" s="130">
        <f t="shared" si="27"/>
        <v>0</v>
      </c>
      <c r="DX40" s="131">
        <f t="shared" si="28"/>
        <v>0</v>
      </c>
      <c r="DY40" s="147">
        <f t="shared" si="60"/>
        <v>0</v>
      </c>
      <c r="DZ40" s="298">
        <f t="shared" ref="DZ40:DZ56" si="61">IFERROR(DX40/$DX$56,0)</f>
        <v>0</v>
      </c>
    </row>
    <row r="41" spans="2:134" ht="15.75" x14ac:dyDescent="0.3">
      <c r="B41" t="s">
        <v>621</v>
      </c>
      <c r="C41" s="297" t="s">
        <v>485</v>
      </c>
      <c r="D41" s="326">
        <f>SUMIFS(Tabla110[[#All],[Venta Total]],Tabla110[[#All],[Asesor]],B41,Tabla110[[#All],[Fecha Cobranza]],"&lt;"&amp;$D$6,Tabla110[[#All],[Fecha Cobranza]],"&gt;="&amp;$B$6)</f>
        <v>0</v>
      </c>
      <c r="E41" s="326">
        <f>SUMIFS(Tabla110[[#All],[Venta Total]],Tabla110[[#All],[Asesor]],B41,Tabla110[[#All],[Fecha Cobranza]],"&lt;"&amp;$E$6,Tabla110[[#All],[Fecha Cobranza]],"&gt;="&amp;$D$6)</f>
        <v>0</v>
      </c>
      <c r="F41" s="326">
        <f>SUMIFS(Tabla110[[#All],[Venta Total]],Tabla110[[#All],[Asesor]],B41,Tabla110[[#All],[Fecha Cobranza]],"&lt;"&amp;$F$6,Tabla110[[#All],[Fecha Cobranza]],"&gt;="&amp;$E$6)</f>
        <v>0</v>
      </c>
      <c r="G41" s="326">
        <f>SUMIFS(Tabla110[[#All],[Venta Total]],Tabla110[[#All],[Asesor]],B41,Tabla110[[#All],[Fecha Cobranza]],"&lt;"&amp;$G$6,Tabla110[[#All],[Fecha Cobranza]],"&gt;="&amp;$F$6)</f>
        <v>0</v>
      </c>
      <c r="H41" s="326">
        <f>SUMIFS(Tabla110[[#All],[Venta Total]],Tabla110[[#All],[Asesor]],B41,Tabla110[[#All],[Fecha Cobranza]],"&lt;"&amp;$H$6,Tabla110[[#All],[Fecha Cobranza]],"&gt;="&amp;$G$6)</f>
        <v>0</v>
      </c>
      <c r="I41" s="326">
        <f>SUMIFS(Tabla110[[#All],[Venta Total]],Tabla110[[#All],[Asesor]],B41,Tabla110[[#All],[Fecha Cobranza]],"&lt;"&amp;$I$6,Tabla110[[#All],[Fecha Cobranza]],"&gt;="&amp;$H$6)</f>
        <v>0</v>
      </c>
      <c r="J41" s="326">
        <f>SUMIFS(Tabla110[[#All],[Venta Total]],Tabla110[[#All],[Asesor]],B41,Tabla110[[#All],[Fecha Cobranza]],"&lt;"&amp;$J$6,Tabla110[[#All],[Fecha Cobranza]],"&gt;="&amp;$I$6)</f>
        <v>0</v>
      </c>
      <c r="K41" s="326">
        <f>SUMIFS(Tabla110[[#All],[Venta Total]],Tabla110[[#All],[Asesor]],B41,Tabla110[[#All],[Fecha Cobranza]],"&lt;"&amp;$K$6,Tabla110[[#All],[Fecha Cobranza]],"&gt;="&amp;$J$6)</f>
        <v>0</v>
      </c>
      <c r="L41" s="326">
        <f>SUMIFS(Tabla110[[#All],[Venta Total]],Tabla110[[#All],[Asesor]],B41,Tabla110[[#All],[Fecha Cobranza]],"&lt;"&amp;$L$6,Tabla110[[#All],[Fecha Cobranza]],"&gt;="&amp;$K$6)</f>
        <v>0</v>
      </c>
      <c r="M41" s="326">
        <f>SUMIFS(Tabla110[[#All],[Venta Total]],Tabla110[[#All],[Asesor]],B41,Tabla110[[#All],[Fecha Cobranza]],"&lt;"&amp;$M$6,Tabla110[[#All],[Fecha Cobranza]],"&gt;="&amp;$L$6)</f>
        <v>0</v>
      </c>
      <c r="N41" s="326">
        <f>SUMIFS(Tabla110[[#All],[Venta Total]],Tabla110[[#All],[Asesor]],B41,Tabla110[[#All],[Fecha Cobranza]],"&lt;"&amp;$N$6,Tabla110[[#All],[Fecha Cobranza]],"&gt;="&amp;$M$6)</f>
        <v>0</v>
      </c>
      <c r="O41" s="326">
        <f>SUMIFS(Tabla110[[#All],[Venta Total]],Tabla110[[#All],[Asesor]],B41,Tabla110[[#All],[Fecha Cobranza]],"&lt;"&amp;$O$6,Tabla110[[#All],[Fecha Cobranza]],"&gt;="&amp;$N$6)</f>
        <v>0</v>
      </c>
      <c r="P41" s="326">
        <f>SUMIFS(Tabla110[[#All],[Venta Total]],Tabla110[[#All],[Asesor]],B41,Tabla110[[#All],[Fecha Cobranza]],"&lt;"&amp;$P$6,Tabla110[[#All],[Fecha Cobranza]],"&gt;="&amp;$O$6)</f>
        <v>0</v>
      </c>
      <c r="Q41" s="326">
        <f>SUMIFS(Tabla110[[#All],[Venta Total]],Tabla110[[#All],[Asesor]],B41,Tabla110[[#All],[Fecha Cobranza]],"&lt;"&amp;$Q$6,Tabla110[[#All],[Fecha Cobranza]],"&gt;="&amp;$P$6)</f>
        <v>0</v>
      </c>
      <c r="R41" s="326">
        <f>SUMIFS(Tabla110[[#All],[Venta Total]],Tabla110[[#All],[Asesor]],B41,Tabla110[[#All],[Fecha Cobranza]],"&lt;"&amp;$R$6,Tabla110[[#All],[Fecha Cobranza]],"&gt;="&amp;$Q$6)</f>
        <v>0</v>
      </c>
      <c r="S41" s="326">
        <f>SUMIFS(Tabla110[[#All],[Venta Total]],Tabla110[[#All],[Asesor]],B41,Tabla110[[#All],[Fecha Cobranza]],"&lt;"&amp;$S$6,Tabla110[[#All],[Fecha Cobranza]],"&gt;="&amp;$R$6)</f>
        <v>0</v>
      </c>
      <c r="T41" s="326">
        <f>SUMIFS(Tabla110[[#All],[Venta Total]],Tabla110[[#All],[Asesor]],$B41,Tabla110[[#All],[Fecha Cobranza]],"&lt;"&amp;T$6,Tabla110[[#All],[Fecha Cobranza]],"&gt;="&amp;S$6)</f>
        <v>0</v>
      </c>
      <c r="U41" s="326">
        <f>SUMIFS(Tabla110[[#All],[Venta Total]],Tabla110[[#All],[Asesor]],$B41,Tabla110[[#All],[Fecha Cobranza]],"&lt;"&amp;U$6,Tabla110[[#All],[Fecha Cobranza]],"&gt;="&amp;T$6)</f>
        <v>0</v>
      </c>
      <c r="V41" s="326">
        <f>SUMIFS(Tabla110[[#All],[Venta Total]],Tabla110[[#All],[Asesor]],$B41,Tabla110[[#All],[Fecha Cobranza]],"&lt;"&amp;V$6,Tabla110[[#All],[Fecha Cobranza]],"&gt;="&amp;U$6)</f>
        <v>0</v>
      </c>
      <c r="W41" s="326">
        <f>SUMIFS(Tabla110[[#All],[Venta Total]],Tabla110[[#All],[Asesor]],$B41,Tabla110[[#All],[Fecha Cobranza]],"&lt;"&amp;W$6,Tabla110[[#All],[Fecha Cobranza]],"&gt;="&amp;V$6)</f>
        <v>0</v>
      </c>
      <c r="X41" s="326">
        <f>SUMIFS(Tabla110[[#All],[Venta Total]],Tabla110[[#All],[Asesor]],$B41,Tabla110[[#All],[Fecha Cobranza]],"&lt;"&amp;X$6,Tabla110[[#All],[Fecha Cobranza]],"&gt;="&amp;W$6)</f>
        <v>0</v>
      </c>
      <c r="Y41" s="326">
        <f>SUMIFS(Tabla110[[#All],[Venta Total]],Tabla110[[#All],[Asesor]],$B41,Tabla110[[#All],[Fecha Cobranza]],"&lt;"&amp;Y$6,Tabla110[[#All],[Fecha Cobranza]],"&gt;="&amp;X$6)</f>
        <v>0</v>
      </c>
      <c r="Z41" s="326">
        <f>SUMIFS(Tabla110[[#All],[Venta Total]],Tabla110[[#All],[Asesor]],$B41,Tabla110[[#All],[Fecha Cobranza]],"&lt;"&amp;Z$6,Tabla110[[#All],[Fecha Cobranza]],"&gt;="&amp;Y$6)</f>
        <v>0</v>
      </c>
      <c r="AA41" s="326">
        <f>SUMIFS(Tabla110[[#All],[Venta Total]],Tabla110[[#All],[Asesor]],$B41,Tabla110[[#All],[Fecha Cobranza]],"&lt;"&amp;AA$6,Tabla110[[#All],[Fecha Cobranza]],"&gt;="&amp;Z$6)</f>
        <v>0</v>
      </c>
      <c r="AB41" s="327">
        <f>SUM(D41:AA41)</f>
        <v>0</v>
      </c>
      <c r="AC41" s="322">
        <f>SUMIFS(Tabla110[[#All],[Utilidad Bruta Total]],Tabla110[[#All],[Asesor]],B41,Tabla110[[#All],[Fecha Cobranza]],"&lt;"&amp;$AC$6,Tabla110[[#All],[Fecha Cobranza]],"&gt;="&amp;$B$6)</f>
        <v>0</v>
      </c>
      <c r="AD41" s="322">
        <f>SUMIFS(Tabla110[[#All],[Utilidad Bruta Total]],Tabla110[[#All],[Asesor]],B41,Tabla110[[#All],[Fecha Cobranza]],"&lt;"&amp;$AD$6,Tabla110[[#All],[Fecha Cobranza]],"&gt;="&amp;$AC$6)</f>
        <v>0</v>
      </c>
      <c r="AE41" s="322">
        <f>SUMIFS(Tabla110[[#All],[Utilidad Bruta Total]],Tabla110[[#All],[Asesor]],B41,Tabla110[[#All],[Fecha Cobranza]],"&lt;"&amp;$AE$6,Tabla110[[#All],[Fecha Cobranza]],"&gt;="&amp;$AD$6)</f>
        <v>0</v>
      </c>
      <c r="AF41" s="322">
        <f>SUMIFS(Tabla110[[#All],[Utilidad Bruta Total]],Tabla110[[#All],[Asesor]],B41,Tabla110[[#All],[Fecha Cobranza]],"&lt;"&amp;$AF$6,Tabla110[[#All],[Fecha Cobranza]],"&gt;="&amp;$AE$6)</f>
        <v>0</v>
      </c>
      <c r="AG41" s="322">
        <f>SUMIFS(Tabla110[[#All],[Utilidad Bruta Total]],Tabla110[[#All],[Asesor]],B41,Tabla110[[#All],[Fecha Cobranza]],"&lt;"&amp;$AG$6,Tabla110[[#All],[Fecha Cobranza]],"&gt;="&amp;$AF$6)</f>
        <v>0</v>
      </c>
      <c r="AH41" s="322">
        <f>SUMIFS(Tabla110[[#All],[Utilidad Bruta Total]],Tabla110[[#All],[Asesor]],B41,Tabla110[[#All],[Fecha Cobranza]],"&lt;"&amp;$AH$6,Tabla110[[#All],[Fecha Cobranza]],"&gt;="&amp;$AG$6)</f>
        <v>0</v>
      </c>
      <c r="AI41" s="322">
        <f>SUMIFS(Tabla110[[#All],[Utilidad Bruta Total]],Tabla110[[#All],[Asesor]],B41,Tabla110[[#All],[Fecha Cobranza]],"&lt;"&amp;$AI$6,Tabla110[[#All],[Fecha Cobranza]],"&gt;="&amp;$AH$6)</f>
        <v>0</v>
      </c>
      <c r="AJ41" s="322">
        <f>SUMIFS(Tabla110[[#All],[Utilidad Bruta Total]],Tabla110[[#All],[Asesor]],B41,Tabla110[[#All],[Fecha Cobranza]],"&lt;"&amp;$AJ$6,Tabla110[[#All],[Fecha Cobranza]],"&gt;="&amp;$AI$6)</f>
        <v>0</v>
      </c>
      <c r="AK41" s="322">
        <f>SUMIFS(Tabla110[[#All],[Utilidad Bruta Total]],Tabla110[[#All],[Asesor]],B41,Tabla110[[#All],[Fecha Cobranza]],"&lt;"&amp;$AK$6,Tabla110[[#All],[Fecha Cobranza]],"&gt;="&amp;$AJ$6)</f>
        <v>0</v>
      </c>
      <c r="AL41" s="322">
        <f>SUMIFS(Tabla110[[#All],[Utilidad Bruta Total]],Tabla110[[#All],[Asesor]],B41,Tabla110[[#All],[Fecha Cobranza]],"&lt;"&amp;$AL$6,Tabla110[[#All],[Fecha Cobranza]],"&gt;="&amp;$AK$6)</f>
        <v>0</v>
      </c>
      <c r="AM41" s="322">
        <f>SUMIFS(Tabla110[[#All],[Utilidad Bruta Total]],Tabla110[[#All],[Asesor]],B41,Tabla110[[#All],[Fecha Cobranza]],"&lt;"&amp;$AM$6,Tabla110[[#All],[Fecha Cobranza]],"&gt;="&amp;$AL$6)</f>
        <v>0</v>
      </c>
      <c r="AN41" s="322">
        <f>SUMIFS(Tabla110[[#All],[Utilidad Bruta Total]],Tabla110[[#All],[Asesor]],B41,Tabla110[[#All],[Fecha Cobranza]],"&lt;"&amp;$AN$6,Tabla110[[#All],[Fecha Cobranza]],"&gt;="&amp;$AM$6)</f>
        <v>0</v>
      </c>
      <c r="AO41" s="322">
        <f>SUMIFS(Tabla110[[#All],[Utilidad Bruta Total]],Tabla110[[#All],[Asesor]],B41,Tabla110[[#All],[Fecha Cobranza]],"&lt;"&amp;$AO$6,Tabla110[[#All],[Fecha Cobranza]],"&gt;="&amp;$AN$6)</f>
        <v>0</v>
      </c>
      <c r="AP41" s="322">
        <f>SUMIFS(Tabla110[[#All],[Utilidad Bruta Total]],Tabla110[[#All],[Asesor]],B41,Tabla110[[#All],[Fecha Cobranza]],"&lt;"&amp;$AP$6,Tabla110[[#All],[Fecha Cobranza]],"&gt;="&amp;$AO$6)</f>
        <v>0</v>
      </c>
      <c r="AQ41" s="322">
        <f>SUMIFS(Tabla110[[#All],[Utilidad Bruta Total]],Tabla110[[#All],[Asesor]],B41,Tabla110[[#All],[Fecha Cobranza]],"&lt;"&amp;$AQ$6,Tabla110[[#All],[Fecha Cobranza]],"&gt;="&amp;$AP$6)</f>
        <v>0</v>
      </c>
      <c r="AR41" s="322">
        <f>SUMIFS(Tabla110[[#All],[Utilidad Bruta Total]],Tabla110[[#All],[Asesor]],B41,Tabla110[[#All],[Fecha Cobranza]],"&lt;"&amp;$AR$6,Tabla110[[#All],[Fecha Cobranza]],"&gt;="&amp;$AQ$6)</f>
        <v>0</v>
      </c>
      <c r="AS41" s="322">
        <f>SUMIFS(Tabla110[[#All],[Utilidad Bruta Total]],Tabla110[[#All],[Asesor]],$B41,Tabla110[[#All],[Fecha Cobranza]],"&lt;"&amp;AS$6,Tabla110[[#All],[Fecha Cobranza]],"&gt;="&amp;AR$6)</f>
        <v>0</v>
      </c>
      <c r="AT41" s="322">
        <f>SUMIFS(Tabla110[[#All],[Utilidad Bruta Total]],Tabla110[[#All],[Asesor]],$B41,Tabla110[[#All],[Fecha Cobranza]],"&lt;"&amp;AT$6,Tabla110[[#All],[Fecha Cobranza]],"&gt;="&amp;AS$6)</f>
        <v>0</v>
      </c>
      <c r="AU41" s="322">
        <f>SUMIFS(Tabla110[[#All],[Utilidad Bruta Total]],Tabla110[[#All],[Asesor]],$B41,Tabla110[[#All],[Fecha Cobranza]],"&lt;"&amp;AU$6,Tabla110[[#All],[Fecha Cobranza]],"&gt;="&amp;AT$6)</f>
        <v>0</v>
      </c>
      <c r="AV41" s="322">
        <f>SUMIFS(Tabla110[[#All],[Utilidad Bruta Total]],Tabla110[[#All],[Asesor]],$B41,Tabla110[[#All],[Fecha Cobranza]],"&lt;"&amp;AV$6,Tabla110[[#All],[Fecha Cobranza]],"&gt;="&amp;AU$6)</f>
        <v>0</v>
      </c>
      <c r="AW41" s="322">
        <f>SUMIFS(Tabla110[[#All],[Utilidad Bruta Total]],Tabla110[[#All],[Asesor]],$B41,Tabla110[[#All],[Fecha Cobranza]],"&lt;"&amp;AW$6,Tabla110[[#All],[Fecha Cobranza]],"&gt;="&amp;AV$6)</f>
        <v>0</v>
      </c>
      <c r="AX41" s="322">
        <f>SUMIFS(Tabla110[[#All],[Utilidad Bruta Total]],Tabla110[[#All],[Asesor]],$B41,Tabla110[[#All],[Fecha Cobranza]],"&lt;"&amp;AX$6,Tabla110[[#All],[Fecha Cobranza]],"&gt;="&amp;AW$6)</f>
        <v>0</v>
      </c>
      <c r="AY41" s="322">
        <f>SUMIFS(Tabla110[[#All],[Utilidad Bruta Total]],Tabla110[[#All],[Asesor]],$B41,Tabla110[[#All],[Fecha Cobranza]],"&lt;"&amp;AY$6,Tabla110[[#All],[Fecha Cobranza]],"&gt;="&amp;AX$6)</f>
        <v>0</v>
      </c>
      <c r="AZ41" s="322">
        <f>SUMIFS(Tabla110[[#All],[Utilidad Bruta Total]],Tabla110[[#All],[Asesor]],$B41,Tabla110[[#All],[Fecha Cobranza]],"&lt;"&amp;AZ$6,Tabla110[[#All],[Fecha Cobranza]],"&gt;="&amp;AY$6)</f>
        <v>0</v>
      </c>
      <c r="BA41" s="323">
        <f>SUM(AC41:AZ41)</f>
        <v>0</v>
      </c>
      <c r="BB41" s="318">
        <f t="shared" si="33"/>
        <v>0</v>
      </c>
      <c r="BC41" s="318"/>
      <c r="BD41" s="318">
        <f t="shared" si="34"/>
        <v>0</v>
      </c>
      <c r="BE41" s="318"/>
      <c r="BF41" s="318">
        <f t="shared" si="35"/>
        <v>0</v>
      </c>
      <c r="BG41" s="318"/>
      <c r="BH41" s="318">
        <f t="shared" si="36"/>
        <v>0</v>
      </c>
      <c r="BI41" s="318"/>
      <c r="BJ41" s="318">
        <f t="shared" si="37"/>
        <v>0</v>
      </c>
      <c r="BK41" s="318"/>
      <c r="BL41" s="318">
        <f t="shared" si="38"/>
        <v>0</v>
      </c>
      <c r="BM41" s="318"/>
      <c r="BN41" s="318">
        <f t="shared" si="39"/>
        <v>0</v>
      </c>
      <c r="BO41" s="318"/>
      <c r="BP41" s="318">
        <f t="shared" si="40"/>
        <v>0</v>
      </c>
      <c r="BQ41" s="318"/>
      <c r="BR41" s="318"/>
      <c r="BS41" s="318"/>
      <c r="BT41" s="318"/>
      <c r="BU41" s="318">
        <f t="shared" si="43"/>
        <v>0</v>
      </c>
      <c r="BV41" s="318"/>
      <c r="BW41" s="318">
        <f t="shared" si="59"/>
        <v>0</v>
      </c>
      <c r="BX41" s="318"/>
      <c r="BY41" s="318">
        <f t="shared" si="45"/>
        <v>0</v>
      </c>
      <c r="BZ41" s="318"/>
      <c r="CA41" s="318">
        <f t="shared" si="46"/>
        <v>0</v>
      </c>
      <c r="CB41" s="318"/>
      <c r="CC41" s="318">
        <f t="shared" si="47"/>
        <v>0</v>
      </c>
      <c r="CD41" s="318"/>
      <c r="CE41" s="318">
        <f t="shared" si="48"/>
        <v>0</v>
      </c>
      <c r="CF41" s="318"/>
      <c r="CG41" s="318">
        <f t="shared" si="49"/>
        <v>0</v>
      </c>
      <c r="CH41" s="318"/>
      <c r="CI41" s="318">
        <f t="shared" si="50"/>
        <v>0</v>
      </c>
      <c r="CJ41" s="318"/>
      <c r="CK41" s="318">
        <f t="shared" si="51"/>
        <v>0</v>
      </c>
      <c r="CL41" s="318"/>
      <c r="CM41" s="318">
        <f t="shared" si="52"/>
        <v>0</v>
      </c>
      <c r="CN41" s="318"/>
      <c r="CO41" s="318">
        <f t="shared" si="53"/>
        <v>0</v>
      </c>
      <c r="CP41" s="318"/>
      <c r="CQ41" s="318">
        <f t="shared" si="54"/>
        <v>0</v>
      </c>
      <c r="CR41" s="318"/>
      <c r="CS41" s="318">
        <f t="shared" si="55"/>
        <v>0</v>
      </c>
      <c r="CT41" s="318"/>
      <c r="CU41" s="318">
        <f t="shared" si="56"/>
        <v>0</v>
      </c>
      <c r="CV41" s="318"/>
      <c r="CW41" s="318">
        <f t="shared" si="26"/>
        <v>0</v>
      </c>
      <c r="CX41" s="330"/>
      <c r="CY41" s="330"/>
      <c r="CZ41" s="330"/>
      <c r="DA41" s="330"/>
      <c r="DB41" s="330"/>
      <c r="DC41" s="330"/>
      <c r="DD41" s="330"/>
      <c r="DE41" s="330"/>
      <c r="DF41" s="330"/>
      <c r="DG41" s="330"/>
      <c r="DH41" s="330"/>
      <c r="DI41" s="330"/>
      <c r="DJ41" s="330"/>
      <c r="DK41" s="330"/>
      <c r="DL41" s="330"/>
      <c r="DM41" s="330"/>
      <c r="DN41" s="330"/>
      <c r="DO41" s="330"/>
      <c r="DP41" s="330"/>
      <c r="DQ41" s="330"/>
      <c r="DR41" s="330"/>
      <c r="DS41" s="330"/>
      <c r="DT41" s="330"/>
      <c r="DU41" s="330"/>
      <c r="DV41" s="331">
        <f t="shared" si="58"/>
        <v>0</v>
      </c>
      <c r="DW41" s="130">
        <f t="shared" si="27"/>
        <v>0</v>
      </c>
      <c r="DX41" s="131">
        <f t="shared" si="28"/>
        <v>0</v>
      </c>
      <c r="DY41" s="147">
        <f t="shared" si="60"/>
        <v>0</v>
      </c>
      <c r="DZ41" s="298">
        <f t="shared" si="61"/>
        <v>0</v>
      </c>
      <c r="ED41" s="163"/>
    </row>
    <row r="42" spans="2:134" ht="15.75" x14ac:dyDescent="0.3">
      <c r="B42" t="s">
        <v>622</v>
      </c>
      <c r="C42" s="297" t="s">
        <v>485</v>
      </c>
      <c r="D42" s="326">
        <f>SUMIFS(Tabla110[[#All],[Venta Total]],Tabla110[[#All],[Asesor]],B42,Tabla110[[#All],[Fecha Cobranza]],"&lt;"&amp;$D$6,Tabla110[[#All],[Fecha Cobranza]],"&gt;="&amp;$B$6)</f>
        <v>0</v>
      </c>
      <c r="E42" s="326">
        <f>SUMIFS(Tabla110[[#All],[Venta Total]],Tabla110[[#All],[Asesor]],B42,Tabla110[[#All],[Fecha Cobranza]],"&lt;"&amp;$E$6,Tabla110[[#All],[Fecha Cobranza]],"&gt;="&amp;$D$6)</f>
        <v>0</v>
      </c>
      <c r="F42" s="326">
        <f>SUMIFS(Tabla110[[#All],[Venta Total]],Tabla110[[#All],[Asesor]],B42,Tabla110[[#All],[Fecha Cobranza]],"&lt;"&amp;$F$6,Tabla110[[#All],[Fecha Cobranza]],"&gt;="&amp;$E$6)</f>
        <v>0</v>
      </c>
      <c r="G42" s="326">
        <f>SUMIFS(Tabla110[[#All],[Venta Total]],Tabla110[[#All],[Asesor]],B42,Tabla110[[#All],[Fecha Cobranza]],"&lt;"&amp;$G$6,Tabla110[[#All],[Fecha Cobranza]],"&gt;="&amp;$F$6)</f>
        <v>0</v>
      </c>
      <c r="H42" s="326">
        <f>SUMIFS(Tabla110[[#All],[Venta Total]],Tabla110[[#All],[Asesor]],B42,Tabla110[[#All],[Fecha Cobranza]],"&lt;"&amp;$H$6,Tabla110[[#All],[Fecha Cobranza]],"&gt;="&amp;$G$6)</f>
        <v>0</v>
      </c>
      <c r="I42" s="326">
        <f>SUMIFS(Tabla110[[#All],[Venta Total]],Tabla110[[#All],[Asesor]],B42,Tabla110[[#All],[Fecha Cobranza]],"&lt;"&amp;$I$6,Tabla110[[#All],[Fecha Cobranza]],"&gt;="&amp;$H$6)</f>
        <v>0</v>
      </c>
      <c r="J42" s="326">
        <f>SUMIFS(Tabla110[[#All],[Venta Total]],Tabla110[[#All],[Asesor]],B42,Tabla110[[#All],[Fecha Cobranza]],"&lt;"&amp;$J$6,Tabla110[[#All],[Fecha Cobranza]],"&gt;="&amp;$I$6)</f>
        <v>0</v>
      </c>
      <c r="K42" s="326">
        <f>SUMIFS(Tabla110[[#All],[Venta Total]],Tabla110[[#All],[Asesor]],B42,Tabla110[[#All],[Fecha Cobranza]],"&lt;"&amp;$K$6,Tabla110[[#All],[Fecha Cobranza]],"&gt;="&amp;$J$6)</f>
        <v>0</v>
      </c>
      <c r="L42" s="326">
        <f>SUMIFS(Tabla110[[#All],[Venta Total]],Tabla110[[#All],[Asesor]],B42,Tabla110[[#All],[Fecha Cobranza]],"&lt;"&amp;$L$6,Tabla110[[#All],[Fecha Cobranza]],"&gt;="&amp;$K$6)</f>
        <v>0</v>
      </c>
      <c r="M42" s="326">
        <f>SUMIFS(Tabla110[[#All],[Venta Total]],Tabla110[[#All],[Asesor]],B42,Tabla110[[#All],[Fecha Cobranza]],"&lt;"&amp;$M$6,Tabla110[[#All],[Fecha Cobranza]],"&gt;="&amp;$L$6)</f>
        <v>0</v>
      </c>
      <c r="N42" s="326">
        <f>SUMIFS(Tabla110[[#All],[Venta Total]],Tabla110[[#All],[Asesor]],B42,Tabla110[[#All],[Fecha Cobranza]],"&lt;"&amp;$N$6,Tabla110[[#All],[Fecha Cobranza]],"&gt;="&amp;$M$6)</f>
        <v>0</v>
      </c>
      <c r="O42" s="326">
        <f>SUMIFS(Tabla110[[#All],[Venta Total]],Tabla110[[#All],[Asesor]],B42,Tabla110[[#All],[Fecha Cobranza]],"&lt;"&amp;$O$6,Tabla110[[#All],[Fecha Cobranza]],"&gt;="&amp;$N$6)</f>
        <v>0</v>
      </c>
      <c r="P42" s="326">
        <f>SUMIFS(Tabla110[[#All],[Venta Total]],Tabla110[[#All],[Asesor]],B42,Tabla110[[#All],[Fecha Cobranza]],"&lt;"&amp;$P$6,Tabla110[[#All],[Fecha Cobranza]],"&gt;="&amp;$O$6)</f>
        <v>0</v>
      </c>
      <c r="Q42" s="326">
        <f>SUMIFS(Tabla110[[#All],[Venta Total]],Tabla110[[#All],[Asesor]],B42,Tabla110[[#All],[Fecha Cobranza]],"&lt;"&amp;$Q$6,Tabla110[[#All],[Fecha Cobranza]],"&gt;="&amp;$P$6)</f>
        <v>0</v>
      </c>
      <c r="R42" s="326">
        <f>SUMIFS(Tabla110[[#All],[Venta Total]],Tabla110[[#All],[Asesor]],B42,Tabla110[[#All],[Fecha Cobranza]],"&lt;"&amp;$R$6,Tabla110[[#All],[Fecha Cobranza]],"&gt;="&amp;$Q$6)</f>
        <v>0</v>
      </c>
      <c r="S42" s="326">
        <f>SUMIFS(Tabla110[[#All],[Venta Total]],Tabla110[[#All],[Asesor]],B42,Tabla110[[#All],[Fecha Cobranza]],"&lt;"&amp;$S$6,Tabla110[[#All],[Fecha Cobranza]],"&gt;="&amp;$R$6)</f>
        <v>0</v>
      </c>
      <c r="T42" s="326">
        <f>SUMIFS(Tabla110[[#All],[Venta Total]],Tabla110[[#All],[Asesor]],$B42,Tabla110[[#All],[Fecha Cobranza]],"&lt;"&amp;T$6,Tabla110[[#All],[Fecha Cobranza]],"&gt;="&amp;S$6)</f>
        <v>0</v>
      </c>
      <c r="U42" s="326">
        <f>SUMIFS(Tabla110[[#All],[Venta Total]],Tabla110[[#All],[Asesor]],$B42,Tabla110[[#All],[Fecha Cobranza]],"&lt;"&amp;U$6,Tabla110[[#All],[Fecha Cobranza]],"&gt;="&amp;T$6)</f>
        <v>0</v>
      </c>
      <c r="V42" s="326">
        <f>SUMIFS(Tabla110[[#All],[Venta Total]],Tabla110[[#All],[Asesor]],$B42,Tabla110[[#All],[Fecha Cobranza]],"&lt;"&amp;V$6,Tabla110[[#All],[Fecha Cobranza]],"&gt;="&amp;U$6)</f>
        <v>0</v>
      </c>
      <c r="W42" s="326">
        <f>SUMIFS(Tabla110[[#All],[Venta Total]],Tabla110[[#All],[Asesor]],$B42,Tabla110[[#All],[Fecha Cobranza]],"&lt;"&amp;W$6,Tabla110[[#All],[Fecha Cobranza]],"&gt;="&amp;V$6)</f>
        <v>0</v>
      </c>
      <c r="X42" s="326">
        <f>SUMIFS(Tabla110[[#All],[Venta Total]],Tabla110[[#All],[Asesor]],$B42,Tabla110[[#All],[Fecha Cobranza]],"&lt;"&amp;X$6,Tabla110[[#All],[Fecha Cobranza]],"&gt;="&amp;W$6)</f>
        <v>0</v>
      </c>
      <c r="Y42" s="326">
        <f>SUMIFS(Tabla110[[#All],[Venta Total]],Tabla110[[#All],[Asesor]],$B42,Tabla110[[#All],[Fecha Cobranza]],"&lt;"&amp;Y$6,Tabla110[[#All],[Fecha Cobranza]],"&gt;="&amp;X$6)</f>
        <v>0</v>
      </c>
      <c r="Z42" s="326">
        <f>SUMIFS(Tabla110[[#All],[Venta Total]],Tabla110[[#All],[Asesor]],$B42,Tabla110[[#All],[Fecha Cobranza]],"&lt;"&amp;Z$6,Tabla110[[#All],[Fecha Cobranza]],"&gt;="&amp;Y$6)</f>
        <v>0</v>
      </c>
      <c r="AA42" s="326">
        <f>SUMIFS(Tabla110[[#All],[Venta Total]],Tabla110[[#All],[Asesor]],$B42,Tabla110[[#All],[Fecha Cobranza]],"&lt;"&amp;AA$6,Tabla110[[#All],[Fecha Cobranza]],"&gt;="&amp;Z$6)</f>
        <v>0</v>
      </c>
      <c r="AB42" s="327">
        <f>SUM(D42:AA42)</f>
        <v>0</v>
      </c>
      <c r="AC42" s="322">
        <f>SUMIFS(Tabla110[[#All],[Utilidad Bruta Total]],Tabla110[[#All],[Asesor]],B42,Tabla110[[#All],[Fecha Cobranza]],"&lt;"&amp;$AC$6,Tabla110[[#All],[Fecha Cobranza]],"&gt;="&amp;$B$6)</f>
        <v>0</v>
      </c>
      <c r="AD42" s="322">
        <f>SUMIFS(Tabla110[[#All],[Utilidad Bruta Total]],Tabla110[[#All],[Asesor]],B42,Tabla110[[#All],[Fecha Cobranza]],"&lt;"&amp;$AD$6,Tabla110[[#All],[Fecha Cobranza]],"&gt;="&amp;$AC$6)</f>
        <v>0</v>
      </c>
      <c r="AE42" s="322">
        <f>SUMIFS(Tabla110[[#All],[Utilidad Bruta Total]],Tabla110[[#All],[Asesor]],B42,Tabla110[[#All],[Fecha Cobranza]],"&lt;"&amp;$AE$6,Tabla110[[#All],[Fecha Cobranza]],"&gt;="&amp;$AD$6)</f>
        <v>0</v>
      </c>
      <c r="AF42" s="322">
        <f>SUMIFS(Tabla110[[#All],[Utilidad Bruta Total]],Tabla110[[#All],[Asesor]],B42,Tabla110[[#All],[Fecha Cobranza]],"&lt;"&amp;$AF$6,Tabla110[[#All],[Fecha Cobranza]],"&gt;="&amp;$AE$6)</f>
        <v>0</v>
      </c>
      <c r="AG42" s="322">
        <f>SUMIFS(Tabla110[[#All],[Utilidad Bruta Total]],Tabla110[[#All],[Asesor]],B42,Tabla110[[#All],[Fecha Cobranza]],"&lt;"&amp;$AG$6,Tabla110[[#All],[Fecha Cobranza]],"&gt;="&amp;$AF$6)</f>
        <v>0</v>
      </c>
      <c r="AH42" s="322">
        <f>SUMIFS(Tabla110[[#All],[Utilidad Bruta Total]],Tabla110[[#All],[Asesor]],B42,Tabla110[[#All],[Fecha Cobranza]],"&lt;"&amp;$AH$6,Tabla110[[#All],[Fecha Cobranza]],"&gt;="&amp;$AG$6)</f>
        <v>0</v>
      </c>
      <c r="AI42" s="322">
        <f>SUMIFS(Tabla110[[#All],[Utilidad Bruta Total]],Tabla110[[#All],[Asesor]],B42,Tabla110[[#All],[Fecha Cobranza]],"&lt;"&amp;$AI$6,Tabla110[[#All],[Fecha Cobranza]],"&gt;="&amp;$AH$6)</f>
        <v>0</v>
      </c>
      <c r="AJ42" s="322">
        <f>SUMIFS(Tabla110[[#All],[Utilidad Bruta Total]],Tabla110[[#All],[Asesor]],B42,Tabla110[[#All],[Fecha Cobranza]],"&lt;"&amp;$AJ$6,Tabla110[[#All],[Fecha Cobranza]],"&gt;="&amp;$AI$6)</f>
        <v>0</v>
      </c>
      <c r="AK42" s="322">
        <f>SUMIFS(Tabla110[[#All],[Utilidad Bruta Total]],Tabla110[[#All],[Asesor]],B42,Tabla110[[#All],[Fecha Cobranza]],"&lt;"&amp;$AK$6,Tabla110[[#All],[Fecha Cobranza]],"&gt;="&amp;$AJ$6)</f>
        <v>0</v>
      </c>
      <c r="AL42" s="322">
        <f>SUMIFS(Tabla110[[#All],[Utilidad Bruta Total]],Tabla110[[#All],[Asesor]],B42,Tabla110[[#All],[Fecha Cobranza]],"&lt;"&amp;$AL$6,Tabla110[[#All],[Fecha Cobranza]],"&gt;="&amp;$AK$6)</f>
        <v>0</v>
      </c>
      <c r="AM42" s="322">
        <f>SUMIFS(Tabla110[[#All],[Utilidad Bruta Total]],Tabla110[[#All],[Asesor]],B42,Tabla110[[#All],[Fecha Cobranza]],"&lt;"&amp;$AM$6,Tabla110[[#All],[Fecha Cobranza]],"&gt;="&amp;$AL$6)</f>
        <v>0</v>
      </c>
      <c r="AN42" s="322">
        <f>SUMIFS(Tabla110[[#All],[Utilidad Bruta Total]],Tabla110[[#All],[Asesor]],B42,Tabla110[[#All],[Fecha Cobranza]],"&lt;"&amp;$AN$6,Tabla110[[#All],[Fecha Cobranza]],"&gt;="&amp;$AM$6)</f>
        <v>0</v>
      </c>
      <c r="AO42" s="322">
        <f>SUMIFS(Tabla110[[#All],[Utilidad Bruta Total]],Tabla110[[#All],[Asesor]],B42,Tabla110[[#All],[Fecha Cobranza]],"&lt;"&amp;$AO$6,Tabla110[[#All],[Fecha Cobranza]],"&gt;="&amp;$AN$6)</f>
        <v>0</v>
      </c>
      <c r="AP42" s="322">
        <f>SUMIFS(Tabla110[[#All],[Utilidad Bruta Total]],Tabla110[[#All],[Asesor]],B42,Tabla110[[#All],[Fecha Cobranza]],"&lt;"&amp;$AP$6,Tabla110[[#All],[Fecha Cobranza]],"&gt;="&amp;$AO$6)</f>
        <v>0</v>
      </c>
      <c r="AQ42" s="322">
        <f>SUMIFS(Tabla110[[#All],[Utilidad Bruta Total]],Tabla110[[#All],[Asesor]],B42,Tabla110[[#All],[Fecha Cobranza]],"&lt;"&amp;$AQ$6,Tabla110[[#All],[Fecha Cobranza]],"&gt;="&amp;$AP$6)</f>
        <v>0</v>
      </c>
      <c r="AR42" s="322">
        <f>SUMIFS(Tabla110[[#All],[Utilidad Bruta Total]],Tabla110[[#All],[Asesor]],B42,Tabla110[[#All],[Fecha Cobranza]],"&lt;"&amp;$AR$6,Tabla110[[#All],[Fecha Cobranza]],"&gt;="&amp;$AQ$6)</f>
        <v>0</v>
      </c>
      <c r="AS42" s="322">
        <f>SUMIFS(Tabla110[[#All],[Utilidad Bruta Total]],Tabla110[[#All],[Asesor]],$B42,Tabla110[[#All],[Fecha Cobranza]],"&lt;"&amp;AS$6,Tabla110[[#All],[Fecha Cobranza]],"&gt;="&amp;AR$6)</f>
        <v>0</v>
      </c>
      <c r="AT42" s="322">
        <f>SUMIFS(Tabla110[[#All],[Utilidad Bruta Total]],Tabla110[[#All],[Asesor]],$B42,Tabla110[[#All],[Fecha Cobranza]],"&lt;"&amp;AT$6,Tabla110[[#All],[Fecha Cobranza]],"&gt;="&amp;AS$6)</f>
        <v>0</v>
      </c>
      <c r="AU42" s="322">
        <f>SUMIFS(Tabla110[[#All],[Utilidad Bruta Total]],Tabla110[[#All],[Asesor]],$B42,Tabla110[[#All],[Fecha Cobranza]],"&lt;"&amp;AU$6,Tabla110[[#All],[Fecha Cobranza]],"&gt;="&amp;AT$6)</f>
        <v>0</v>
      </c>
      <c r="AV42" s="322">
        <f>SUMIFS(Tabla110[[#All],[Utilidad Bruta Total]],Tabla110[[#All],[Asesor]],$B42,Tabla110[[#All],[Fecha Cobranza]],"&lt;"&amp;AV$6,Tabla110[[#All],[Fecha Cobranza]],"&gt;="&amp;AU$6)</f>
        <v>0</v>
      </c>
      <c r="AW42" s="322">
        <f>SUMIFS(Tabla110[[#All],[Utilidad Bruta Total]],Tabla110[[#All],[Asesor]],$B42,Tabla110[[#All],[Fecha Cobranza]],"&lt;"&amp;AW$6,Tabla110[[#All],[Fecha Cobranza]],"&gt;="&amp;AV$6)</f>
        <v>0</v>
      </c>
      <c r="AX42" s="322">
        <f>SUMIFS(Tabla110[[#All],[Utilidad Bruta Total]],Tabla110[[#All],[Asesor]],$B42,Tabla110[[#All],[Fecha Cobranza]],"&lt;"&amp;AX$6,Tabla110[[#All],[Fecha Cobranza]],"&gt;="&amp;AW$6)</f>
        <v>0</v>
      </c>
      <c r="AY42" s="322">
        <f>SUMIFS(Tabla110[[#All],[Utilidad Bruta Total]],Tabla110[[#All],[Asesor]],$B42,Tabla110[[#All],[Fecha Cobranza]],"&lt;"&amp;AY$6,Tabla110[[#All],[Fecha Cobranza]],"&gt;="&amp;AX$6)</f>
        <v>0</v>
      </c>
      <c r="AZ42" s="322">
        <f>SUMIFS(Tabla110[[#All],[Utilidad Bruta Total]],Tabla110[[#All],[Asesor]],$B42,Tabla110[[#All],[Fecha Cobranza]],"&lt;"&amp;AZ$6,Tabla110[[#All],[Fecha Cobranza]],"&gt;="&amp;AY$6)</f>
        <v>0</v>
      </c>
      <c r="BA42" s="323">
        <f>SUM(AC42:AZ42)</f>
        <v>0</v>
      </c>
      <c r="BB42" s="318">
        <f t="shared" si="33"/>
        <v>0</v>
      </c>
      <c r="BC42" s="318"/>
      <c r="BD42" s="318">
        <f t="shared" si="34"/>
        <v>0</v>
      </c>
      <c r="BE42" s="318"/>
      <c r="BF42" s="318">
        <f t="shared" si="35"/>
        <v>0</v>
      </c>
      <c r="BG42" s="318"/>
      <c r="BH42" s="318">
        <f t="shared" si="36"/>
        <v>0</v>
      </c>
      <c r="BI42" s="318"/>
      <c r="BJ42" s="318">
        <f t="shared" si="37"/>
        <v>0</v>
      </c>
      <c r="BK42" s="318"/>
      <c r="BL42" s="318">
        <f t="shared" si="38"/>
        <v>0</v>
      </c>
      <c r="BM42" s="318"/>
      <c r="BN42" s="318">
        <f t="shared" si="39"/>
        <v>0</v>
      </c>
      <c r="BO42" s="318"/>
      <c r="BP42" s="318">
        <f t="shared" si="40"/>
        <v>0</v>
      </c>
      <c r="BQ42" s="318"/>
      <c r="BR42" s="318"/>
      <c r="BS42" s="318"/>
      <c r="BT42" s="318"/>
      <c r="BU42" s="318">
        <f t="shared" si="43"/>
        <v>0</v>
      </c>
      <c r="BV42" s="318"/>
      <c r="BW42" s="318">
        <f t="shared" si="59"/>
        <v>0</v>
      </c>
      <c r="BX42" s="318"/>
      <c r="BY42" s="318">
        <f t="shared" si="45"/>
        <v>0</v>
      </c>
      <c r="BZ42" s="318"/>
      <c r="CA42" s="318">
        <f t="shared" si="46"/>
        <v>0</v>
      </c>
      <c r="CB42" s="318"/>
      <c r="CC42" s="318">
        <f t="shared" si="47"/>
        <v>0</v>
      </c>
      <c r="CD42" s="318"/>
      <c r="CE42" s="318">
        <f t="shared" si="48"/>
        <v>0</v>
      </c>
      <c r="CF42" s="318"/>
      <c r="CG42" s="318">
        <f t="shared" si="49"/>
        <v>0</v>
      </c>
      <c r="CH42" s="318"/>
      <c r="CI42" s="318">
        <f t="shared" si="50"/>
        <v>0</v>
      </c>
      <c r="CJ42" s="318"/>
      <c r="CK42" s="318">
        <f t="shared" si="51"/>
        <v>0</v>
      </c>
      <c r="CL42" s="318"/>
      <c r="CM42" s="318">
        <f t="shared" si="52"/>
        <v>0</v>
      </c>
      <c r="CN42" s="318"/>
      <c r="CO42" s="318">
        <f t="shared" si="53"/>
        <v>0</v>
      </c>
      <c r="CP42" s="318"/>
      <c r="CQ42" s="318">
        <f t="shared" si="54"/>
        <v>0</v>
      </c>
      <c r="CR42" s="318"/>
      <c r="CS42" s="318">
        <f t="shared" si="55"/>
        <v>0</v>
      </c>
      <c r="CT42" s="318"/>
      <c r="CU42" s="318">
        <f t="shared" si="56"/>
        <v>0</v>
      </c>
      <c r="CV42" s="318"/>
      <c r="CW42" s="318">
        <f t="shared" si="26"/>
        <v>0</v>
      </c>
      <c r="CX42" s="330"/>
      <c r="CY42" s="330"/>
      <c r="CZ42" s="330"/>
      <c r="DA42" s="330"/>
      <c r="DB42" s="330"/>
      <c r="DC42" s="330"/>
      <c r="DD42" s="330"/>
      <c r="DE42" s="330"/>
      <c r="DF42" s="330"/>
      <c r="DG42" s="330"/>
      <c r="DH42" s="330"/>
      <c r="DI42" s="330"/>
      <c r="DJ42" s="330"/>
      <c r="DK42" s="330"/>
      <c r="DL42" s="330"/>
      <c r="DM42" s="330"/>
      <c r="DN42" s="330"/>
      <c r="DO42" s="330"/>
      <c r="DP42" s="330"/>
      <c r="DQ42" s="330"/>
      <c r="DR42" s="330"/>
      <c r="DS42" s="330"/>
      <c r="DT42" s="330"/>
      <c r="DU42" s="330"/>
      <c r="DV42" s="331">
        <f t="shared" si="58"/>
        <v>0</v>
      </c>
      <c r="DW42" s="130">
        <f t="shared" si="27"/>
        <v>0</v>
      </c>
      <c r="DX42" s="131">
        <f t="shared" si="28"/>
        <v>0</v>
      </c>
      <c r="DY42" s="147">
        <f t="shared" si="60"/>
        <v>0</v>
      </c>
      <c r="DZ42" s="298">
        <f t="shared" si="61"/>
        <v>0</v>
      </c>
    </row>
    <row r="43" spans="2:134" ht="15.75" x14ac:dyDescent="0.3">
      <c r="B43" t="s">
        <v>617</v>
      </c>
      <c r="C43" s="297" t="s">
        <v>485</v>
      </c>
      <c r="D43" s="326">
        <f>SUMIFS(Tabla110[[#All],[Venta Total]],Tabla110[[#All],[Asesor]],B43,Tabla110[[#All],[Fecha Cobranza]],"&lt;"&amp;$D$6,Tabla110[[#All],[Fecha Cobranza]],"&gt;="&amp;$B$6)</f>
        <v>0</v>
      </c>
      <c r="E43" s="326">
        <f>SUMIFS(Tabla110[[#All],[Venta Total]],Tabla110[[#All],[Asesor]],B43,Tabla110[[#All],[Fecha Cobranza]],"&lt;"&amp;$E$6,Tabla110[[#All],[Fecha Cobranza]],"&gt;="&amp;$D$6)</f>
        <v>0</v>
      </c>
      <c r="F43" s="326">
        <f>SUMIFS(Tabla110[[#All],[Venta Total]],Tabla110[[#All],[Asesor]],B43,Tabla110[[#All],[Fecha Cobranza]],"&lt;"&amp;$F$6,Tabla110[[#All],[Fecha Cobranza]],"&gt;="&amp;$E$6)</f>
        <v>0</v>
      </c>
      <c r="G43" s="326">
        <f>SUMIFS(Tabla110[[#All],[Venta Total]],Tabla110[[#All],[Asesor]],B43,Tabla110[[#All],[Fecha Cobranza]],"&lt;"&amp;$G$6,Tabla110[[#All],[Fecha Cobranza]],"&gt;="&amp;$F$6)</f>
        <v>0</v>
      </c>
      <c r="H43" s="326">
        <f>SUMIFS(Tabla110[[#All],[Venta Total]],Tabla110[[#All],[Asesor]],B43,Tabla110[[#All],[Fecha Cobranza]],"&lt;"&amp;$H$6,Tabla110[[#All],[Fecha Cobranza]],"&gt;="&amp;$G$6)</f>
        <v>0</v>
      </c>
      <c r="I43" s="326">
        <f>SUMIFS(Tabla110[[#All],[Venta Total]],Tabla110[[#All],[Asesor]],B43,Tabla110[[#All],[Fecha Cobranza]],"&lt;"&amp;$I$6,Tabla110[[#All],[Fecha Cobranza]],"&gt;="&amp;$H$6)</f>
        <v>0</v>
      </c>
      <c r="J43" s="326">
        <f>SUMIFS(Tabla110[[#All],[Venta Total]],Tabla110[[#All],[Asesor]],B43,Tabla110[[#All],[Fecha Cobranza]],"&lt;"&amp;$J$6,Tabla110[[#All],[Fecha Cobranza]],"&gt;="&amp;$I$6)</f>
        <v>0</v>
      </c>
      <c r="K43" s="326">
        <f>SUMIFS(Tabla110[[#All],[Venta Total]],Tabla110[[#All],[Asesor]],B43,Tabla110[[#All],[Fecha Cobranza]],"&lt;"&amp;$K$6,Tabla110[[#All],[Fecha Cobranza]],"&gt;="&amp;$J$6)</f>
        <v>0</v>
      </c>
      <c r="L43" s="326">
        <f>SUMIFS(Tabla110[[#All],[Venta Total]],Tabla110[[#All],[Asesor]],B43,Tabla110[[#All],[Fecha Cobranza]],"&lt;"&amp;$L$6,Tabla110[[#All],[Fecha Cobranza]],"&gt;="&amp;$K$6)</f>
        <v>0</v>
      </c>
      <c r="M43" s="326">
        <f>SUMIFS(Tabla110[[#All],[Venta Total]],Tabla110[[#All],[Asesor]],B43,Tabla110[[#All],[Fecha Cobranza]],"&lt;"&amp;$M$6,Tabla110[[#All],[Fecha Cobranza]],"&gt;="&amp;$L$6)</f>
        <v>0</v>
      </c>
      <c r="N43" s="326">
        <f>SUMIFS(Tabla110[[#All],[Venta Total]],Tabla110[[#All],[Asesor]],B43,Tabla110[[#All],[Fecha Cobranza]],"&lt;"&amp;$N$6,Tabla110[[#All],[Fecha Cobranza]],"&gt;="&amp;$M$6)</f>
        <v>0</v>
      </c>
      <c r="O43" s="326">
        <f>SUMIFS(Tabla110[[#All],[Venta Total]],Tabla110[[#All],[Asesor]],B43,Tabla110[[#All],[Fecha Cobranza]],"&lt;"&amp;$O$6,Tabla110[[#All],[Fecha Cobranza]],"&gt;="&amp;$N$6)</f>
        <v>0</v>
      </c>
      <c r="P43" s="326">
        <f>SUMIFS(Tabla110[[#All],[Venta Total]],Tabla110[[#All],[Asesor]],B43,Tabla110[[#All],[Fecha Cobranza]],"&lt;"&amp;$P$6,Tabla110[[#All],[Fecha Cobranza]],"&gt;="&amp;$O$6)</f>
        <v>0</v>
      </c>
      <c r="Q43" s="326">
        <f>SUMIFS(Tabla110[[#All],[Venta Total]],Tabla110[[#All],[Asesor]],B43,Tabla110[[#All],[Fecha Cobranza]],"&lt;"&amp;$Q$6,Tabla110[[#All],[Fecha Cobranza]],"&gt;="&amp;$P$6)</f>
        <v>0</v>
      </c>
      <c r="R43" s="326">
        <f>SUMIFS(Tabla110[[#All],[Venta Total]],Tabla110[[#All],[Asesor]],B43,Tabla110[[#All],[Fecha Cobranza]],"&lt;"&amp;$R$6,Tabla110[[#All],[Fecha Cobranza]],"&gt;="&amp;$Q$6)</f>
        <v>0</v>
      </c>
      <c r="S43" s="326">
        <f>SUMIFS(Tabla110[[#All],[Venta Total]],Tabla110[[#All],[Asesor]],B43,Tabla110[[#All],[Fecha Cobranza]],"&lt;"&amp;$S$6,Tabla110[[#All],[Fecha Cobranza]],"&gt;="&amp;$R$6)</f>
        <v>0</v>
      </c>
      <c r="T43" s="326">
        <f>SUMIFS(Tabla110[[#All],[Venta Total]],Tabla110[[#All],[Asesor]],$B43,Tabla110[[#All],[Fecha Cobranza]],"&lt;"&amp;T$6,Tabla110[[#All],[Fecha Cobranza]],"&gt;="&amp;S$6)</f>
        <v>0</v>
      </c>
      <c r="U43" s="326">
        <f>SUMIFS(Tabla110[[#All],[Venta Total]],Tabla110[[#All],[Asesor]],$B43,Tabla110[[#All],[Fecha Cobranza]],"&lt;"&amp;U$6,Tabla110[[#All],[Fecha Cobranza]],"&gt;="&amp;T$6)</f>
        <v>0</v>
      </c>
      <c r="V43" s="326">
        <f>SUMIFS(Tabla110[[#All],[Venta Total]],Tabla110[[#All],[Asesor]],$B43,Tabla110[[#All],[Fecha Cobranza]],"&lt;"&amp;V$6,Tabla110[[#All],[Fecha Cobranza]],"&gt;="&amp;U$6)</f>
        <v>0</v>
      </c>
      <c r="W43" s="326">
        <f>SUMIFS(Tabla110[[#All],[Venta Total]],Tabla110[[#All],[Asesor]],$B43,Tabla110[[#All],[Fecha Cobranza]],"&lt;"&amp;W$6,Tabla110[[#All],[Fecha Cobranza]],"&gt;="&amp;V$6)</f>
        <v>0</v>
      </c>
      <c r="X43" s="326">
        <f>SUMIFS(Tabla110[[#All],[Venta Total]],Tabla110[[#All],[Asesor]],$B43,Tabla110[[#All],[Fecha Cobranza]],"&lt;"&amp;X$6,Tabla110[[#All],[Fecha Cobranza]],"&gt;="&amp;W$6)</f>
        <v>0</v>
      </c>
      <c r="Y43" s="326">
        <f>SUMIFS(Tabla110[[#All],[Venta Total]],Tabla110[[#All],[Asesor]],$B43,Tabla110[[#All],[Fecha Cobranza]],"&lt;"&amp;Y$6,Tabla110[[#All],[Fecha Cobranza]],"&gt;="&amp;X$6)</f>
        <v>0</v>
      </c>
      <c r="Z43" s="326">
        <f>SUMIFS(Tabla110[[#All],[Venta Total]],Tabla110[[#All],[Asesor]],$B43,Tabla110[[#All],[Fecha Cobranza]],"&lt;"&amp;Z$6,Tabla110[[#All],[Fecha Cobranza]],"&gt;="&amp;Y$6)</f>
        <v>0</v>
      </c>
      <c r="AA43" s="326">
        <f>SUMIFS(Tabla110[[#All],[Venta Total]],Tabla110[[#All],[Asesor]],$B43,Tabla110[[#All],[Fecha Cobranza]],"&lt;"&amp;AA$6,Tabla110[[#All],[Fecha Cobranza]],"&gt;="&amp;Z$6)</f>
        <v>0</v>
      </c>
      <c r="AB43" s="327">
        <f t="shared" si="0"/>
        <v>0</v>
      </c>
      <c r="AC43" s="322">
        <f>SUMIFS(Tabla110[[#All],[Utilidad Bruta Total]],Tabla110[[#All],[Asesor]],B43,Tabla110[[#All],[Fecha Cobranza]],"&lt;"&amp;$AC$6,Tabla110[[#All],[Fecha Cobranza]],"&gt;="&amp;$B$6)</f>
        <v>0</v>
      </c>
      <c r="AD43" s="322">
        <f>SUMIFS(Tabla110[[#All],[Utilidad Bruta Total]],Tabla110[[#All],[Asesor]],B43,Tabla110[[#All],[Fecha Cobranza]],"&lt;"&amp;$AD$6,Tabla110[[#All],[Fecha Cobranza]],"&gt;="&amp;$AC$6)</f>
        <v>0</v>
      </c>
      <c r="AE43" s="322">
        <f>SUMIFS(Tabla110[[#All],[Utilidad Bruta Total]],Tabla110[[#All],[Asesor]],B43,Tabla110[[#All],[Fecha Cobranza]],"&lt;"&amp;$AE$6,Tabla110[[#All],[Fecha Cobranza]],"&gt;="&amp;$AD$6)</f>
        <v>0</v>
      </c>
      <c r="AF43" s="322">
        <f>SUMIFS(Tabla110[[#All],[Utilidad Bruta Total]],Tabla110[[#All],[Asesor]],B43,Tabla110[[#All],[Fecha Cobranza]],"&lt;"&amp;$AF$6,Tabla110[[#All],[Fecha Cobranza]],"&gt;="&amp;$AE$6)</f>
        <v>0</v>
      </c>
      <c r="AG43" s="322">
        <f>SUMIFS(Tabla110[[#All],[Utilidad Bruta Total]],Tabla110[[#All],[Asesor]],B43,Tabla110[[#All],[Fecha Cobranza]],"&lt;"&amp;$AG$6,Tabla110[[#All],[Fecha Cobranza]],"&gt;="&amp;$AF$6)</f>
        <v>0</v>
      </c>
      <c r="AH43" s="322">
        <f>SUMIFS(Tabla110[[#All],[Utilidad Bruta Total]],Tabla110[[#All],[Asesor]],B43,Tabla110[[#All],[Fecha Cobranza]],"&lt;"&amp;$AH$6,Tabla110[[#All],[Fecha Cobranza]],"&gt;="&amp;$AG$6)</f>
        <v>0</v>
      </c>
      <c r="AI43" s="322">
        <f>SUMIFS(Tabla110[[#All],[Utilidad Bruta Total]],Tabla110[[#All],[Asesor]],B43,Tabla110[[#All],[Fecha Cobranza]],"&lt;"&amp;$AI$6,Tabla110[[#All],[Fecha Cobranza]],"&gt;="&amp;$AH$6)</f>
        <v>0</v>
      </c>
      <c r="AJ43" s="322">
        <f>SUMIFS(Tabla110[[#All],[Utilidad Bruta Total]],Tabla110[[#All],[Asesor]],B43,Tabla110[[#All],[Fecha Cobranza]],"&lt;"&amp;$AJ$6,Tabla110[[#All],[Fecha Cobranza]],"&gt;="&amp;$AI$6)</f>
        <v>0</v>
      </c>
      <c r="AK43" s="322">
        <f>SUMIFS(Tabla110[[#All],[Utilidad Bruta Total]],Tabla110[[#All],[Asesor]],B43,Tabla110[[#All],[Fecha Cobranza]],"&lt;"&amp;$AK$6,Tabla110[[#All],[Fecha Cobranza]],"&gt;="&amp;$AJ$6)</f>
        <v>0</v>
      </c>
      <c r="AL43" s="322">
        <f>SUMIFS(Tabla110[[#All],[Utilidad Bruta Total]],Tabla110[[#All],[Asesor]],B43,Tabla110[[#All],[Fecha Cobranza]],"&lt;"&amp;$AL$6,Tabla110[[#All],[Fecha Cobranza]],"&gt;="&amp;$AK$6)</f>
        <v>0</v>
      </c>
      <c r="AM43" s="322">
        <f>SUMIFS(Tabla110[[#All],[Utilidad Bruta Total]],Tabla110[[#All],[Asesor]],B43,Tabla110[[#All],[Fecha Cobranza]],"&lt;"&amp;$AM$6,Tabla110[[#All],[Fecha Cobranza]],"&gt;="&amp;$AL$6)</f>
        <v>0</v>
      </c>
      <c r="AN43" s="322">
        <f>SUMIFS(Tabla110[[#All],[Utilidad Bruta Total]],Tabla110[[#All],[Asesor]],B43,Tabla110[[#All],[Fecha Cobranza]],"&lt;"&amp;$AN$6,Tabla110[[#All],[Fecha Cobranza]],"&gt;="&amp;$AM$6)</f>
        <v>0</v>
      </c>
      <c r="AO43" s="322">
        <f>SUMIFS(Tabla110[[#All],[Utilidad Bruta Total]],Tabla110[[#All],[Asesor]],B43,Tabla110[[#All],[Fecha Cobranza]],"&lt;"&amp;$AO$6,Tabla110[[#All],[Fecha Cobranza]],"&gt;="&amp;$AN$6)</f>
        <v>0</v>
      </c>
      <c r="AP43" s="322">
        <f>SUMIFS(Tabla110[[#All],[Utilidad Bruta Total]],Tabla110[[#All],[Asesor]],B43,Tabla110[[#All],[Fecha Cobranza]],"&lt;"&amp;$AP$6,Tabla110[[#All],[Fecha Cobranza]],"&gt;="&amp;$AO$6)</f>
        <v>0</v>
      </c>
      <c r="AQ43" s="322">
        <f>SUMIFS(Tabla110[[#All],[Utilidad Bruta Total]],Tabla110[[#All],[Asesor]],B43,Tabla110[[#All],[Fecha Cobranza]],"&lt;"&amp;$AQ$6,Tabla110[[#All],[Fecha Cobranza]],"&gt;="&amp;$AP$6)</f>
        <v>0</v>
      </c>
      <c r="AR43" s="322">
        <f>SUMIFS(Tabla110[[#All],[Utilidad Bruta Total]],Tabla110[[#All],[Asesor]],B43,Tabla110[[#All],[Fecha Cobranza]],"&lt;"&amp;$AR$6,Tabla110[[#All],[Fecha Cobranza]],"&gt;="&amp;$AQ$6)</f>
        <v>0</v>
      </c>
      <c r="AS43" s="322">
        <f>SUMIFS(Tabla110[[#All],[Utilidad Bruta Total]],Tabla110[[#All],[Asesor]],$B43,Tabla110[[#All],[Fecha Cobranza]],"&lt;"&amp;AS$6,Tabla110[[#All],[Fecha Cobranza]],"&gt;="&amp;AR$6)</f>
        <v>0</v>
      </c>
      <c r="AT43" s="322">
        <f>SUMIFS(Tabla110[[#All],[Utilidad Bruta Total]],Tabla110[[#All],[Asesor]],$B43,Tabla110[[#All],[Fecha Cobranza]],"&lt;"&amp;AT$6,Tabla110[[#All],[Fecha Cobranza]],"&gt;="&amp;AS$6)</f>
        <v>0</v>
      </c>
      <c r="AU43" s="322">
        <f>SUMIFS(Tabla110[[#All],[Utilidad Bruta Total]],Tabla110[[#All],[Asesor]],$B43,Tabla110[[#All],[Fecha Cobranza]],"&lt;"&amp;AU$6,Tabla110[[#All],[Fecha Cobranza]],"&gt;="&amp;AT$6)</f>
        <v>0</v>
      </c>
      <c r="AV43" s="322">
        <f>SUMIFS(Tabla110[[#All],[Utilidad Bruta Total]],Tabla110[[#All],[Asesor]],$B43,Tabla110[[#All],[Fecha Cobranza]],"&lt;"&amp;AV$6,Tabla110[[#All],[Fecha Cobranza]],"&gt;="&amp;AU$6)</f>
        <v>0</v>
      </c>
      <c r="AW43" s="322">
        <f>SUMIFS(Tabla110[[#All],[Utilidad Bruta Total]],Tabla110[[#All],[Asesor]],$B43,Tabla110[[#All],[Fecha Cobranza]],"&lt;"&amp;AW$6,Tabla110[[#All],[Fecha Cobranza]],"&gt;="&amp;AV$6)</f>
        <v>0</v>
      </c>
      <c r="AX43" s="322">
        <f>SUMIFS(Tabla110[[#All],[Utilidad Bruta Total]],Tabla110[[#All],[Asesor]],$B43,Tabla110[[#All],[Fecha Cobranza]],"&lt;"&amp;AX$6,Tabla110[[#All],[Fecha Cobranza]],"&gt;="&amp;AW$6)</f>
        <v>0</v>
      </c>
      <c r="AY43" s="322">
        <f>SUMIFS(Tabla110[[#All],[Utilidad Bruta Total]],Tabla110[[#All],[Asesor]],$B43,Tabla110[[#All],[Fecha Cobranza]],"&lt;"&amp;AY$6,Tabla110[[#All],[Fecha Cobranza]],"&gt;="&amp;AX$6)</f>
        <v>0</v>
      </c>
      <c r="AZ43" s="322">
        <f>SUMIFS(Tabla110[[#All],[Utilidad Bruta Total]],Tabla110[[#All],[Asesor]],$B43,Tabla110[[#All],[Fecha Cobranza]],"&lt;"&amp;AZ$6,Tabla110[[#All],[Fecha Cobranza]],"&gt;="&amp;AY$6)</f>
        <v>0</v>
      </c>
      <c r="BA43" s="323">
        <f t="shared" si="1"/>
        <v>0</v>
      </c>
      <c r="BB43" s="417">
        <f t="shared" si="33"/>
        <v>0</v>
      </c>
      <c r="BC43" s="318"/>
      <c r="BD43" s="318">
        <f t="shared" si="34"/>
        <v>0</v>
      </c>
      <c r="BE43" s="318"/>
      <c r="BF43" s="318">
        <f t="shared" si="35"/>
        <v>0</v>
      </c>
      <c r="BG43" s="318"/>
      <c r="BH43" s="318">
        <f t="shared" si="36"/>
        <v>0</v>
      </c>
      <c r="BI43" s="318"/>
      <c r="BJ43" s="318">
        <f t="shared" si="37"/>
        <v>0</v>
      </c>
      <c r="BK43" s="318"/>
      <c r="BL43" s="318">
        <f t="shared" si="38"/>
        <v>0</v>
      </c>
      <c r="BM43" s="318"/>
      <c r="BN43" s="318">
        <f t="shared" si="39"/>
        <v>0</v>
      </c>
      <c r="BO43" s="318"/>
      <c r="BP43" s="318">
        <f t="shared" si="40"/>
        <v>0</v>
      </c>
      <c r="BQ43" s="318"/>
      <c r="BR43" s="318">
        <f t="shared" ref="BR43:BR55" si="62">AK43*(IF(C43="INTERNO",IF(L43&gt;=$EG$16,$EI$16,IF(L43&gt;=$EG$15,$EI$15,IF(L43&gt;=$EG$14,$EI$14,IF(L43&gt;=$EG$13,$EI$13,IF(L43&gt;=$EG$12,$EI$12,IF(L43&gt;=$EG$11,$EI$11,IF(L43&gt;=$EG$10,$EI$10,0))))))),IF(L43&gt;=$EG$16,$EJ$16,IF(L43&gt;=$EG$15,$EJ$15,IF(L43&gt;=$EG$14,$EJ$14,IF(L43&gt;=$EG$13,$EJ$13,IF(L43&gt;=$EG$12,$EJ$12,IF(L43&gt;=$EG$11,$EJ$11,IF(L43&gt;=$EG$10,$EJ$10,0)))))))))</f>
        <v>0</v>
      </c>
      <c r="BS43" s="318"/>
      <c r="BT43" s="318">
        <f t="shared" ref="BT43:BT55" si="63">((AK43+AL43)*(IF(C43="INTERNO",IF((L43+M43)&gt;=$EG$16,$EI$16,IF((L43+M43)&gt;=$EG$15,$EI$15,IF((L43+M43)&gt;=$EG$14,$EI$14,IF((L43+M43)&gt;=$EG$13,$EI$13,IF((L43+M43)&gt;=$EG$12,$EI$12,IF((L43+M43)&gt;=$EG$11,$EI$11,IF((L43+M43)&gt;=$EG$10,$EI$10,0))))))),IF((L43+M43)&gt;=$EG$16,$EJ$16,IF((L43+M43)&gt;=$EG$15,$EJ$15,IF((L43+M43)&gt;=$EG$14,$EJ$14,IF((L43+M43)&gt;=$EG$13,$EJ$13,IF((L43+M43)&gt;=$EG$12,$EJ$12,IF((L43+M43)&gt;=$EG$11,$EJ$11,IF((L43+M43)&gt;=$EG$10,$EJ$10,0))))))))))-BR43</f>
        <v>0</v>
      </c>
      <c r="BU43" s="420">
        <f t="shared" si="43"/>
        <v>0</v>
      </c>
      <c r="BV43" s="318"/>
      <c r="BW43" s="420">
        <f t="shared" si="59"/>
        <v>0</v>
      </c>
      <c r="BX43" s="318"/>
      <c r="BY43" s="318">
        <f t="shared" si="45"/>
        <v>0</v>
      </c>
      <c r="BZ43" s="318"/>
      <c r="CA43" s="318">
        <f t="shared" si="46"/>
        <v>0</v>
      </c>
      <c r="CB43" s="318"/>
      <c r="CC43" s="318">
        <f t="shared" si="47"/>
        <v>0</v>
      </c>
      <c r="CD43" s="318"/>
      <c r="CE43" s="318">
        <f t="shared" si="48"/>
        <v>0</v>
      </c>
      <c r="CF43" s="318"/>
      <c r="CG43" s="318">
        <f t="shared" si="49"/>
        <v>0</v>
      </c>
      <c r="CH43" s="318"/>
      <c r="CI43" s="318">
        <f t="shared" si="50"/>
        <v>0</v>
      </c>
      <c r="CJ43" s="318"/>
      <c r="CK43" s="318">
        <f t="shared" si="51"/>
        <v>0</v>
      </c>
      <c r="CL43" s="318"/>
      <c r="CM43" s="318">
        <f t="shared" si="52"/>
        <v>0</v>
      </c>
      <c r="CN43" s="318"/>
      <c r="CO43" s="318">
        <f t="shared" si="53"/>
        <v>0</v>
      </c>
      <c r="CP43" s="318"/>
      <c r="CQ43" s="318">
        <f t="shared" si="54"/>
        <v>0</v>
      </c>
      <c r="CR43" s="318"/>
      <c r="CS43" s="318">
        <f t="shared" si="55"/>
        <v>0</v>
      </c>
      <c r="CT43" s="318"/>
      <c r="CU43" s="318">
        <f t="shared" si="56"/>
        <v>0</v>
      </c>
      <c r="CV43" s="318"/>
      <c r="CW43" s="318">
        <f t="shared" si="26"/>
        <v>0</v>
      </c>
      <c r="CX43" s="330"/>
      <c r="CY43" s="330"/>
      <c r="CZ43" s="330"/>
      <c r="DA43" s="330"/>
      <c r="DB43" s="330"/>
      <c r="DC43" s="330"/>
      <c r="DD43" s="330"/>
      <c r="DE43" s="330"/>
      <c r="DF43" s="330"/>
      <c r="DG43" s="330"/>
      <c r="DH43" s="330"/>
      <c r="DI43" s="330"/>
      <c r="DJ43" s="330"/>
      <c r="DK43" s="330"/>
      <c r="DL43" s="330"/>
      <c r="DM43" s="330"/>
      <c r="DN43" s="330"/>
      <c r="DO43" s="330"/>
      <c r="DP43" s="330"/>
      <c r="DQ43" s="330"/>
      <c r="DR43" s="330"/>
      <c r="DS43" s="330"/>
      <c r="DT43" s="330"/>
      <c r="DU43" s="330"/>
      <c r="DV43" s="331">
        <f t="shared" si="58"/>
        <v>0</v>
      </c>
      <c r="DW43" s="130">
        <f t="shared" si="27"/>
        <v>0</v>
      </c>
      <c r="DX43" s="131">
        <f t="shared" si="28"/>
        <v>0</v>
      </c>
      <c r="DY43" s="147">
        <f t="shared" si="60"/>
        <v>0</v>
      </c>
      <c r="DZ43" s="298">
        <f t="shared" si="61"/>
        <v>0</v>
      </c>
      <c r="ED43" s="163"/>
    </row>
    <row r="44" spans="2:134" ht="15.75" x14ac:dyDescent="0.3">
      <c r="B44" t="s">
        <v>603</v>
      </c>
      <c r="C44" s="297" t="s">
        <v>485</v>
      </c>
      <c r="D44" s="326">
        <f>SUMIFS(Tabla110[[#All],[Venta Total]],Tabla110[[#All],[Asesor]],B44,Tabla110[[#All],[Fecha Cobranza]],"&lt;"&amp;$D$6,Tabla110[[#All],[Fecha Cobranza]],"&gt;="&amp;$B$6)</f>
        <v>0</v>
      </c>
      <c r="E44" s="326">
        <f>SUMIFS(Tabla110[[#All],[Venta Total]],Tabla110[[#All],[Asesor]],B44,Tabla110[[#All],[Fecha Cobranza]],"&lt;"&amp;$E$6,Tabla110[[#All],[Fecha Cobranza]],"&gt;="&amp;$D$6)</f>
        <v>0</v>
      </c>
      <c r="F44" s="326">
        <f>SUMIFS(Tabla110[[#All],[Venta Total]],Tabla110[[#All],[Asesor]],B44,Tabla110[[#All],[Fecha Cobranza]],"&lt;"&amp;$F$6,Tabla110[[#All],[Fecha Cobranza]],"&gt;="&amp;$E$6)</f>
        <v>0</v>
      </c>
      <c r="G44" s="326">
        <f>SUMIFS(Tabla110[[#All],[Venta Total]],Tabla110[[#All],[Asesor]],B44,Tabla110[[#All],[Fecha Cobranza]],"&lt;"&amp;$G$6,Tabla110[[#All],[Fecha Cobranza]],"&gt;="&amp;$F$6)</f>
        <v>0</v>
      </c>
      <c r="H44" s="326">
        <f>SUMIFS(Tabla110[[#All],[Venta Total]],Tabla110[[#All],[Asesor]],B44,Tabla110[[#All],[Fecha Cobranza]],"&lt;"&amp;$H$6,Tabla110[[#All],[Fecha Cobranza]],"&gt;="&amp;$G$6)</f>
        <v>0</v>
      </c>
      <c r="I44" s="326">
        <f>SUMIFS(Tabla110[[#All],[Venta Total]],Tabla110[[#All],[Asesor]],B44,Tabla110[[#All],[Fecha Cobranza]],"&lt;"&amp;$I$6,Tabla110[[#All],[Fecha Cobranza]],"&gt;="&amp;$H$6)</f>
        <v>0</v>
      </c>
      <c r="J44" s="326">
        <f>SUMIFS(Tabla110[[#All],[Venta Total]],Tabla110[[#All],[Asesor]],B44,Tabla110[[#All],[Fecha Cobranza]],"&lt;"&amp;$J$6,Tabla110[[#All],[Fecha Cobranza]],"&gt;="&amp;$I$6)</f>
        <v>0</v>
      </c>
      <c r="K44" s="326">
        <f>SUMIFS(Tabla110[[#All],[Venta Total]],Tabla110[[#All],[Asesor]],B44,Tabla110[[#All],[Fecha Cobranza]],"&lt;"&amp;$K$6,Tabla110[[#All],[Fecha Cobranza]],"&gt;="&amp;$J$6)</f>
        <v>0</v>
      </c>
      <c r="L44" s="326">
        <f>SUMIFS(Tabla110[[#All],[Venta Total]],Tabla110[[#All],[Asesor]],B44,Tabla110[[#All],[Fecha Cobranza]],"&lt;"&amp;$L$6,Tabla110[[#All],[Fecha Cobranza]],"&gt;="&amp;$K$6)</f>
        <v>0</v>
      </c>
      <c r="M44" s="326">
        <f>SUMIFS(Tabla110[[#All],[Venta Total]],Tabla110[[#All],[Asesor]],B44,Tabla110[[#All],[Fecha Cobranza]],"&lt;"&amp;$M$6,Tabla110[[#All],[Fecha Cobranza]],"&gt;="&amp;$L$6)</f>
        <v>0</v>
      </c>
      <c r="N44" s="326">
        <f>SUMIFS(Tabla110[[#All],[Venta Total]],Tabla110[[#All],[Asesor]],B44,Tabla110[[#All],[Fecha Cobranza]],"&lt;"&amp;$N$6,Tabla110[[#All],[Fecha Cobranza]],"&gt;="&amp;$M$6)</f>
        <v>0</v>
      </c>
      <c r="O44" s="326">
        <f>SUMIFS(Tabla110[[#All],[Venta Total]],Tabla110[[#All],[Asesor]],B44,Tabla110[[#All],[Fecha Cobranza]],"&lt;"&amp;$O$6,Tabla110[[#All],[Fecha Cobranza]],"&gt;="&amp;$N$6)</f>
        <v>0</v>
      </c>
      <c r="P44" s="326">
        <f>SUMIFS(Tabla110[[#All],[Venta Total]],Tabla110[[#All],[Asesor]],B44,Tabla110[[#All],[Fecha Cobranza]],"&lt;"&amp;$P$6,Tabla110[[#All],[Fecha Cobranza]],"&gt;="&amp;$O$6)</f>
        <v>0</v>
      </c>
      <c r="Q44" s="326">
        <f>SUMIFS(Tabla110[[#All],[Venta Total]],Tabla110[[#All],[Asesor]],B44,Tabla110[[#All],[Fecha Cobranza]],"&lt;"&amp;$Q$6,Tabla110[[#All],[Fecha Cobranza]],"&gt;="&amp;$P$6)</f>
        <v>0</v>
      </c>
      <c r="R44" s="326">
        <f>SUMIFS(Tabla110[[#All],[Venta Total]],Tabla110[[#All],[Asesor]],B44,Tabla110[[#All],[Fecha Cobranza]],"&lt;"&amp;$R$6,Tabla110[[#All],[Fecha Cobranza]],"&gt;="&amp;$Q$6)</f>
        <v>0</v>
      </c>
      <c r="S44" s="326">
        <f>SUMIFS(Tabla110[[#All],[Venta Total]],Tabla110[[#All],[Asesor]],B44,Tabla110[[#All],[Fecha Cobranza]],"&lt;"&amp;$S$6,Tabla110[[#All],[Fecha Cobranza]],"&gt;="&amp;$R$6)</f>
        <v>0</v>
      </c>
      <c r="T44" s="326">
        <f>SUMIFS(Tabla110[[#All],[Venta Total]],Tabla110[[#All],[Asesor]],$B44,Tabla110[[#All],[Fecha Cobranza]],"&lt;"&amp;T$6,Tabla110[[#All],[Fecha Cobranza]],"&gt;="&amp;S$6)</f>
        <v>0</v>
      </c>
      <c r="U44" s="326">
        <f>SUMIFS(Tabla110[[#All],[Venta Total]],Tabla110[[#All],[Asesor]],$B44,Tabla110[[#All],[Fecha Cobranza]],"&lt;"&amp;U$6,Tabla110[[#All],[Fecha Cobranza]],"&gt;="&amp;T$6)</f>
        <v>0</v>
      </c>
      <c r="V44" s="326">
        <f>SUMIFS(Tabla110[[#All],[Venta Total]],Tabla110[[#All],[Asesor]],$B44,Tabla110[[#All],[Fecha Cobranza]],"&lt;"&amp;V$6,Tabla110[[#All],[Fecha Cobranza]],"&gt;="&amp;U$6)</f>
        <v>0</v>
      </c>
      <c r="W44" s="326">
        <f>SUMIFS(Tabla110[[#All],[Venta Total]],Tabla110[[#All],[Asesor]],$B44,Tabla110[[#All],[Fecha Cobranza]],"&lt;"&amp;W$6,Tabla110[[#All],[Fecha Cobranza]],"&gt;="&amp;V$6)</f>
        <v>0</v>
      </c>
      <c r="X44" s="326">
        <f>SUMIFS(Tabla110[[#All],[Venta Total]],Tabla110[[#All],[Asesor]],$B44,Tabla110[[#All],[Fecha Cobranza]],"&lt;"&amp;X$6,Tabla110[[#All],[Fecha Cobranza]],"&gt;="&amp;W$6)</f>
        <v>0</v>
      </c>
      <c r="Y44" s="326">
        <f>SUMIFS(Tabla110[[#All],[Venta Total]],Tabla110[[#All],[Asesor]],$B44,Tabla110[[#All],[Fecha Cobranza]],"&lt;"&amp;Y$6,Tabla110[[#All],[Fecha Cobranza]],"&gt;="&amp;X$6)</f>
        <v>0</v>
      </c>
      <c r="Z44" s="326">
        <f>SUMIFS(Tabla110[[#All],[Venta Total]],Tabla110[[#All],[Asesor]],$B44,Tabla110[[#All],[Fecha Cobranza]],"&lt;"&amp;Z$6,Tabla110[[#All],[Fecha Cobranza]],"&gt;="&amp;Y$6)</f>
        <v>0</v>
      </c>
      <c r="AA44" s="326">
        <f>SUMIFS(Tabla110[[#All],[Venta Total]],Tabla110[[#All],[Asesor]],$B44,Tabla110[[#All],[Fecha Cobranza]],"&lt;"&amp;AA$6,Tabla110[[#All],[Fecha Cobranza]],"&gt;="&amp;Z$6)</f>
        <v>0</v>
      </c>
      <c r="AB44" s="327">
        <f t="shared" ref="AB44:AB54" si="64">SUM(D44:AA44)</f>
        <v>0</v>
      </c>
      <c r="AC44" s="322">
        <f>SUMIFS(Tabla110[[#All],[Utilidad Bruta Total]],Tabla110[[#All],[Asesor]],B44,Tabla110[[#All],[Fecha Cobranza]],"&lt;"&amp;$AC$6,Tabla110[[#All],[Fecha Cobranza]],"&gt;="&amp;$B$6)</f>
        <v>0</v>
      </c>
      <c r="AD44" s="322">
        <f>SUMIFS(Tabla110[[#All],[Utilidad Bruta Total]],Tabla110[[#All],[Asesor]],B44,Tabla110[[#All],[Fecha Cobranza]],"&lt;"&amp;$AD$6,Tabla110[[#All],[Fecha Cobranza]],"&gt;="&amp;$AC$6)</f>
        <v>0</v>
      </c>
      <c r="AE44" s="322">
        <f>SUMIFS(Tabla110[[#All],[Utilidad Bruta Total]],Tabla110[[#All],[Asesor]],B44,Tabla110[[#All],[Fecha Cobranza]],"&lt;"&amp;$AE$6,Tabla110[[#All],[Fecha Cobranza]],"&gt;="&amp;$AD$6)</f>
        <v>0</v>
      </c>
      <c r="AF44" s="322">
        <f>SUMIFS(Tabla110[[#All],[Utilidad Bruta Total]],Tabla110[[#All],[Asesor]],B44,Tabla110[[#All],[Fecha Cobranza]],"&lt;"&amp;$AF$6,Tabla110[[#All],[Fecha Cobranza]],"&gt;="&amp;$AE$6)</f>
        <v>0</v>
      </c>
      <c r="AG44" s="322">
        <f>SUMIFS(Tabla110[[#All],[Utilidad Bruta Total]],Tabla110[[#All],[Asesor]],B44,Tabla110[[#All],[Fecha Cobranza]],"&lt;"&amp;$AG$6,Tabla110[[#All],[Fecha Cobranza]],"&gt;="&amp;$AF$6)</f>
        <v>0</v>
      </c>
      <c r="AH44" s="322">
        <f>SUMIFS(Tabla110[[#All],[Utilidad Bruta Total]],Tabla110[[#All],[Asesor]],B44,Tabla110[[#All],[Fecha Cobranza]],"&lt;"&amp;$AH$6,Tabla110[[#All],[Fecha Cobranza]],"&gt;="&amp;$AG$6)</f>
        <v>0</v>
      </c>
      <c r="AI44" s="322">
        <f>SUMIFS(Tabla110[[#All],[Utilidad Bruta Total]],Tabla110[[#All],[Asesor]],B44,Tabla110[[#All],[Fecha Cobranza]],"&lt;"&amp;$AI$6,Tabla110[[#All],[Fecha Cobranza]],"&gt;="&amp;$AH$6)</f>
        <v>0</v>
      </c>
      <c r="AJ44" s="322">
        <f>SUMIFS(Tabla110[[#All],[Utilidad Bruta Total]],Tabla110[[#All],[Asesor]],B44,Tabla110[[#All],[Fecha Cobranza]],"&lt;"&amp;$AJ$6,Tabla110[[#All],[Fecha Cobranza]],"&gt;="&amp;$AI$6)</f>
        <v>0</v>
      </c>
      <c r="AK44" s="322">
        <f>SUMIFS(Tabla110[[#All],[Utilidad Bruta Total]],Tabla110[[#All],[Asesor]],B44,Tabla110[[#All],[Fecha Cobranza]],"&lt;"&amp;$AK$6,Tabla110[[#All],[Fecha Cobranza]],"&gt;="&amp;$AJ$6)</f>
        <v>0</v>
      </c>
      <c r="AL44" s="322">
        <f>SUMIFS(Tabla110[[#All],[Utilidad Bruta Total]],Tabla110[[#All],[Asesor]],B44,Tabla110[[#All],[Fecha Cobranza]],"&lt;"&amp;$AL$6,Tabla110[[#All],[Fecha Cobranza]],"&gt;="&amp;$AK$6)</f>
        <v>0</v>
      </c>
      <c r="AM44" s="322">
        <f>SUMIFS(Tabla110[[#All],[Utilidad Bruta Total]],Tabla110[[#All],[Asesor]],B44,Tabla110[[#All],[Fecha Cobranza]],"&lt;"&amp;$AM$6,Tabla110[[#All],[Fecha Cobranza]],"&gt;="&amp;$AL$6)</f>
        <v>0</v>
      </c>
      <c r="AN44" s="322">
        <f>SUMIFS(Tabla110[[#All],[Utilidad Bruta Total]],Tabla110[[#All],[Asesor]],B44,Tabla110[[#All],[Fecha Cobranza]],"&lt;"&amp;$AN$6,Tabla110[[#All],[Fecha Cobranza]],"&gt;="&amp;$AM$6)</f>
        <v>0</v>
      </c>
      <c r="AO44" s="322">
        <f>SUMIFS(Tabla110[[#All],[Utilidad Bruta Total]],Tabla110[[#All],[Asesor]],B44,Tabla110[[#All],[Fecha Cobranza]],"&lt;"&amp;$AO$6,Tabla110[[#All],[Fecha Cobranza]],"&gt;="&amp;$AN$6)</f>
        <v>0</v>
      </c>
      <c r="AP44" s="322">
        <f>SUMIFS(Tabla110[[#All],[Utilidad Bruta Total]],Tabla110[[#All],[Asesor]],B44,Tabla110[[#All],[Fecha Cobranza]],"&lt;"&amp;$AP$6,Tabla110[[#All],[Fecha Cobranza]],"&gt;="&amp;$AO$6)</f>
        <v>0</v>
      </c>
      <c r="AQ44" s="322">
        <f>SUMIFS(Tabla110[[#All],[Utilidad Bruta Total]],Tabla110[[#All],[Asesor]],B44,Tabla110[[#All],[Fecha Cobranza]],"&lt;"&amp;$AQ$6,Tabla110[[#All],[Fecha Cobranza]],"&gt;="&amp;$AP$6)</f>
        <v>0</v>
      </c>
      <c r="AR44" s="322">
        <f>SUMIFS(Tabla110[[#All],[Utilidad Bruta Total]],Tabla110[[#All],[Asesor]],B44,Tabla110[[#All],[Fecha Cobranza]],"&lt;"&amp;$AR$6,Tabla110[[#All],[Fecha Cobranza]],"&gt;="&amp;$AQ$6)</f>
        <v>0</v>
      </c>
      <c r="AS44" s="322">
        <f>SUMIFS(Tabla110[[#All],[Utilidad Bruta Total]],Tabla110[[#All],[Asesor]],$B44,Tabla110[[#All],[Fecha Cobranza]],"&lt;"&amp;AS$6,Tabla110[[#All],[Fecha Cobranza]],"&gt;="&amp;AR$6)</f>
        <v>0</v>
      </c>
      <c r="AT44" s="322">
        <f>SUMIFS(Tabla110[[#All],[Utilidad Bruta Total]],Tabla110[[#All],[Asesor]],$B44,Tabla110[[#All],[Fecha Cobranza]],"&lt;"&amp;AT$6,Tabla110[[#All],[Fecha Cobranza]],"&gt;="&amp;AS$6)</f>
        <v>0</v>
      </c>
      <c r="AU44" s="322">
        <f>SUMIFS(Tabla110[[#All],[Utilidad Bruta Total]],Tabla110[[#All],[Asesor]],$B44,Tabla110[[#All],[Fecha Cobranza]],"&lt;"&amp;AU$6,Tabla110[[#All],[Fecha Cobranza]],"&gt;="&amp;AT$6)</f>
        <v>0</v>
      </c>
      <c r="AV44" s="322">
        <f>SUMIFS(Tabla110[[#All],[Utilidad Bruta Total]],Tabla110[[#All],[Asesor]],$B44,Tabla110[[#All],[Fecha Cobranza]],"&lt;"&amp;AV$6,Tabla110[[#All],[Fecha Cobranza]],"&gt;="&amp;AU$6)</f>
        <v>0</v>
      </c>
      <c r="AW44" s="322">
        <f>SUMIFS(Tabla110[[#All],[Utilidad Bruta Total]],Tabla110[[#All],[Asesor]],$B44,Tabla110[[#All],[Fecha Cobranza]],"&lt;"&amp;AW$6,Tabla110[[#All],[Fecha Cobranza]],"&gt;="&amp;AV$6)</f>
        <v>0</v>
      </c>
      <c r="AX44" s="322">
        <f>SUMIFS(Tabla110[[#All],[Utilidad Bruta Total]],Tabla110[[#All],[Asesor]],$B44,Tabla110[[#All],[Fecha Cobranza]],"&lt;"&amp;AX$6,Tabla110[[#All],[Fecha Cobranza]],"&gt;="&amp;AW$6)</f>
        <v>0</v>
      </c>
      <c r="AY44" s="322">
        <f>SUMIFS(Tabla110[[#All],[Utilidad Bruta Total]],Tabla110[[#All],[Asesor]],$B44,Tabla110[[#All],[Fecha Cobranza]],"&lt;"&amp;AY$6,Tabla110[[#All],[Fecha Cobranza]],"&gt;="&amp;AX$6)</f>
        <v>0</v>
      </c>
      <c r="AZ44" s="322">
        <f>SUMIFS(Tabla110[[#All],[Utilidad Bruta Total]],Tabla110[[#All],[Asesor]],$B44,Tabla110[[#All],[Fecha Cobranza]],"&lt;"&amp;AZ$6,Tabla110[[#All],[Fecha Cobranza]],"&gt;="&amp;AY$6)</f>
        <v>0</v>
      </c>
      <c r="BA44" s="323">
        <f t="shared" ref="BA44:BA54" si="65">SUM(AC44:AZ44)</f>
        <v>0</v>
      </c>
      <c r="BB44" s="318">
        <f t="shared" si="33"/>
        <v>0</v>
      </c>
      <c r="BC44" s="318"/>
      <c r="BD44" s="318">
        <f t="shared" si="34"/>
        <v>0</v>
      </c>
      <c r="BE44" s="318"/>
      <c r="BF44" s="318">
        <f t="shared" si="35"/>
        <v>0</v>
      </c>
      <c r="BG44" s="318"/>
      <c r="BH44" s="318">
        <f t="shared" si="36"/>
        <v>0</v>
      </c>
      <c r="BI44" s="318"/>
      <c r="BJ44" s="318">
        <f t="shared" si="37"/>
        <v>0</v>
      </c>
      <c r="BK44" s="318"/>
      <c r="BL44" s="318">
        <f t="shared" si="38"/>
        <v>0</v>
      </c>
      <c r="BM44" s="318"/>
      <c r="BN44" s="318">
        <f t="shared" si="39"/>
        <v>0</v>
      </c>
      <c r="BO44" s="318"/>
      <c r="BP44" s="318">
        <f t="shared" si="40"/>
        <v>0</v>
      </c>
      <c r="BQ44" s="318"/>
      <c r="BR44" s="318">
        <f t="shared" si="62"/>
        <v>0</v>
      </c>
      <c r="BS44" s="318"/>
      <c r="BT44" s="318">
        <f t="shared" si="63"/>
        <v>0</v>
      </c>
      <c r="BU44" s="318">
        <f t="shared" si="43"/>
        <v>0</v>
      </c>
      <c r="BV44" s="318"/>
      <c r="BW44" s="318">
        <f t="shared" si="59"/>
        <v>0</v>
      </c>
      <c r="BX44" s="318"/>
      <c r="BY44" s="318">
        <f t="shared" si="45"/>
        <v>0</v>
      </c>
      <c r="BZ44" s="318"/>
      <c r="CA44" s="318">
        <f t="shared" si="46"/>
        <v>0</v>
      </c>
      <c r="CB44" s="318"/>
      <c r="CC44" s="318">
        <f t="shared" si="47"/>
        <v>0</v>
      </c>
      <c r="CD44" s="318"/>
      <c r="CE44" s="318">
        <f t="shared" si="48"/>
        <v>0</v>
      </c>
      <c r="CF44" s="318"/>
      <c r="CG44" s="318">
        <f t="shared" si="49"/>
        <v>0</v>
      </c>
      <c r="CH44" s="318"/>
      <c r="CI44" s="318">
        <f t="shared" si="50"/>
        <v>0</v>
      </c>
      <c r="CJ44" s="318"/>
      <c r="CK44" s="318">
        <f t="shared" si="51"/>
        <v>0</v>
      </c>
      <c r="CL44" s="318"/>
      <c r="CM44" s="318">
        <f t="shared" si="52"/>
        <v>0</v>
      </c>
      <c r="CN44" s="318"/>
      <c r="CO44" s="318">
        <f t="shared" si="53"/>
        <v>0</v>
      </c>
      <c r="CP44" s="318"/>
      <c r="CQ44" s="318">
        <f t="shared" si="54"/>
        <v>0</v>
      </c>
      <c r="CR44" s="318"/>
      <c r="CS44" s="318">
        <f t="shared" si="55"/>
        <v>0</v>
      </c>
      <c r="CT44" s="318"/>
      <c r="CU44" s="318">
        <f t="shared" si="56"/>
        <v>0</v>
      </c>
      <c r="CV44" s="318"/>
      <c r="CW44" s="318">
        <f t="shared" si="26"/>
        <v>0</v>
      </c>
      <c r="CX44" s="330"/>
      <c r="CY44" s="330"/>
      <c r="CZ44" s="330"/>
      <c r="DA44" s="330"/>
      <c r="DB44" s="330"/>
      <c r="DC44" s="330"/>
      <c r="DD44" s="330"/>
      <c r="DE44" s="330"/>
      <c r="DF44" s="330"/>
      <c r="DG44" s="330"/>
      <c r="DH44" s="330"/>
      <c r="DI44" s="330"/>
      <c r="DJ44" s="330"/>
      <c r="DK44" s="330"/>
      <c r="DL44" s="330"/>
      <c r="DM44" s="330"/>
      <c r="DN44" s="330"/>
      <c r="DO44" s="330"/>
      <c r="DP44" s="330"/>
      <c r="DQ44" s="330"/>
      <c r="DR44" s="330"/>
      <c r="DS44" s="330"/>
      <c r="DT44" s="330"/>
      <c r="DU44" s="330"/>
      <c r="DV44" s="331">
        <f t="shared" si="58"/>
        <v>0</v>
      </c>
      <c r="DW44" s="130">
        <f t="shared" si="27"/>
        <v>0</v>
      </c>
      <c r="DX44" s="131">
        <f t="shared" si="28"/>
        <v>0</v>
      </c>
      <c r="DY44" s="147">
        <f t="shared" si="60"/>
        <v>0</v>
      </c>
      <c r="DZ44" s="298">
        <f t="shared" si="61"/>
        <v>0</v>
      </c>
      <c r="ED44" s="163"/>
    </row>
    <row r="45" spans="2:134" ht="15.75" x14ac:dyDescent="0.3">
      <c r="B45" t="s">
        <v>668</v>
      </c>
      <c r="C45" s="297" t="s">
        <v>485</v>
      </c>
      <c r="D45" s="326">
        <f>SUMIFS(Tabla110[[#All],[Venta Total]],Tabla110[[#All],[Asesor]],B45,Tabla110[[#All],[Fecha Cobranza]],"&lt;"&amp;$D$6,Tabla110[[#All],[Fecha Cobranza]],"&gt;="&amp;$B$6)</f>
        <v>0</v>
      </c>
      <c r="E45" s="326">
        <f>SUMIFS(Tabla110[[#All],[Venta Total]],Tabla110[[#All],[Asesor]],B45,Tabla110[[#All],[Fecha Cobranza]],"&lt;"&amp;$E$6,Tabla110[[#All],[Fecha Cobranza]],"&gt;="&amp;$D$6)</f>
        <v>0</v>
      </c>
      <c r="F45" s="326">
        <f>SUMIFS(Tabla110[[#All],[Venta Total]],Tabla110[[#All],[Asesor]],B45,Tabla110[[#All],[Fecha Cobranza]],"&lt;"&amp;$F$6,Tabla110[[#All],[Fecha Cobranza]],"&gt;="&amp;$E$6)</f>
        <v>0</v>
      </c>
      <c r="G45" s="326">
        <f>SUMIFS(Tabla110[[#All],[Venta Total]],Tabla110[[#All],[Asesor]],B45,Tabla110[[#All],[Fecha Cobranza]],"&lt;"&amp;$G$6,Tabla110[[#All],[Fecha Cobranza]],"&gt;="&amp;$F$6)</f>
        <v>0</v>
      </c>
      <c r="H45" s="326">
        <f>SUMIFS(Tabla110[[#All],[Venta Total]],Tabla110[[#All],[Asesor]],B45,Tabla110[[#All],[Fecha Cobranza]],"&lt;"&amp;$H$6,Tabla110[[#All],[Fecha Cobranza]],"&gt;="&amp;$G$6)</f>
        <v>0</v>
      </c>
      <c r="I45" s="326">
        <f>SUMIFS(Tabla110[[#All],[Venta Total]],Tabla110[[#All],[Asesor]],B45,Tabla110[[#All],[Fecha Cobranza]],"&lt;"&amp;$I$6,Tabla110[[#All],[Fecha Cobranza]],"&gt;="&amp;$H$6)</f>
        <v>0</v>
      </c>
      <c r="J45" s="326">
        <f>SUMIFS(Tabla110[[#All],[Venta Total]],Tabla110[[#All],[Asesor]],B45,Tabla110[[#All],[Fecha Cobranza]],"&lt;"&amp;$J$6,Tabla110[[#All],[Fecha Cobranza]],"&gt;="&amp;$I$6)</f>
        <v>0</v>
      </c>
      <c r="K45" s="326">
        <f>SUMIFS(Tabla110[[#All],[Venta Total]],Tabla110[[#All],[Asesor]],B45,Tabla110[[#All],[Fecha Cobranza]],"&lt;"&amp;$K$6,Tabla110[[#All],[Fecha Cobranza]],"&gt;="&amp;$J$6)</f>
        <v>0</v>
      </c>
      <c r="L45" s="326">
        <f>SUMIFS(Tabla110[[#All],[Venta Total]],Tabla110[[#All],[Asesor]],B45,Tabla110[[#All],[Fecha Cobranza]],"&lt;"&amp;$L$6,Tabla110[[#All],[Fecha Cobranza]],"&gt;="&amp;$K$6)</f>
        <v>0</v>
      </c>
      <c r="M45" s="326">
        <f>SUMIFS(Tabla110[[#All],[Venta Total]],Tabla110[[#All],[Asesor]],B45,Tabla110[[#All],[Fecha Cobranza]],"&lt;"&amp;$M$6,Tabla110[[#All],[Fecha Cobranza]],"&gt;="&amp;$L$6)</f>
        <v>0</v>
      </c>
      <c r="N45" s="326">
        <f>SUMIFS(Tabla110[[#All],[Venta Total]],Tabla110[[#All],[Asesor]],B45,Tabla110[[#All],[Fecha Cobranza]],"&lt;"&amp;$N$6,Tabla110[[#All],[Fecha Cobranza]],"&gt;="&amp;$M$6)</f>
        <v>0</v>
      </c>
      <c r="O45" s="326">
        <f>SUMIFS(Tabla110[[#All],[Venta Total]],Tabla110[[#All],[Asesor]],B45,Tabla110[[#All],[Fecha Cobranza]],"&lt;"&amp;$O$6,Tabla110[[#All],[Fecha Cobranza]],"&gt;="&amp;$N$6)</f>
        <v>0</v>
      </c>
      <c r="P45" s="326">
        <f>SUMIFS(Tabla110[[#All],[Venta Total]],Tabla110[[#All],[Asesor]],B45,Tabla110[[#All],[Fecha Cobranza]],"&lt;"&amp;$P$6,Tabla110[[#All],[Fecha Cobranza]],"&gt;="&amp;$O$6)</f>
        <v>0</v>
      </c>
      <c r="Q45" s="326">
        <f>SUMIFS(Tabla110[[#All],[Venta Total]],Tabla110[[#All],[Asesor]],B45,Tabla110[[#All],[Fecha Cobranza]],"&lt;"&amp;$Q$6,Tabla110[[#All],[Fecha Cobranza]],"&gt;="&amp;$P$6)</f>
        <v>0</v>
      </c>
      <c r="R45" s="326">
        <f>SUMIFS(Tabla110[[#All],[Venta Total]],Tabla110[[#All],[Asesor]],B45,Tabla110[[#All],[Fecha Cobranza]],"&lt;"&amp;$R$6,Tabla110[[#All],[Fecha Cobranza]],"&gt;="&amp;$Q$6)</f>
        <v>0</v>
      </c>
      <c r="S45" s="326">
        <f>SUMIFS(Tabla110[[#All],[Venta Total]],Tabla110[[#All],[Asesor]],B45,Tabla110[[#All],[Fecha Cobranza]],"&lt;"&amp;$S$6,Tabla110[[#All],[Fecha Cobranza]],"&gt;="&amp;$R$6)</f>
        <v>0</v>
      </c>
      <c r="T45" s="326">
        <f>SUMIFS(Tabla110[[#All],[Venta Total]],Tabla110[[#All],[Asesor]],$B45,Tabla110[[#All],[Fecha Cobranza]],"&lt;"&amp;T$6,Tabla110[[#All],[Fecha Cobranza]],"&gt;="&amp;S$6)</f>
        <v>0</v>
      </c>
      <c r="U45" s="326">
        <f>SUMIFS(Tabla110[[#All],[Venta Total]],Tabla110[[#All],[Asesor]],$B45,Tabla110[[#All],[Fecha Cobranza]],"&lt;"&amp;U$6,Tabla110[[#All],[Fecha Cobranza]],"&gt;="&amp;T$6)</f>
        <v>0</v>
      </c>
      <c r="V45" s="326">
        <f>SUMIFS(Tabla110[[#All],[Venta Total]],Tabla110[[#All],[Asesor]],$B45,Tabla110[[#All],[Fecha Cobranza]],"&lt;"&amp;V$6,Tabla110[[#All],[Fecha Cobranza]],"&gt;="&amp;U$6)</f>
        <v>0</v>
      </c>
      <c r="W45" s="326">
        <f>SUMIFS(Tabla110[[#All],[Venta Total]],Tabla110[[#All],[Asesor]],$B45,Tabla110[[#All],[Fecha Cobranza]],"&lt;"&amp;W$6,Tabla110[[#All],[Fecha Cobranza]],"&gt;="&amp;V$6)</f>
        <v>0</v>
      </c>
      <c r="X45" s="326">
        <f>SUMIFS(Tabla110[[#All],[Venta Total]],Tabla110[[#All],[Asesor]],$B45,Tabla110[[#All],[Fecha Cobranza]],"&lt;"&amp;X$6,Tabla110[[#All],[Fecha Cobranza]],"&gt;="&amp;W$6)</f>
        <v>0</v>
      </c>
      <c r="Y45" s="326">
        <f>SUMIFS(Tabla110[[#All],[Venta Total]],Tabla110[[#All],[Asesor]],$B45,Tabla110[[#All],[Fecha Cobranza]],"&lt;"&amp;Y$6,Tabla110[[#All],[Fecha Cobranza]],"&gt;="&amp;X$6)</f>
        <v>0</v>
      </c>
      <c r="Z45" s="326">
        <f>SUMIFS(Tabla110[[#All],[Venta Total]],Tabla110[[#All],[Asesor]],$B45,Tabla110[[#All],[Fecha Cobranza]],"&lt;"&amp;Z$6,Tabla110[[#All],[Fecha Cobranza]],"&gt;="&amp;Y$6)</f>
        <v>0</v>
      </c>
      <c r="AA45" s="326">
        <f>SUMIFS(Tabla110[[#All],[Venta Total]],Tabla110[[#All],[Asesor]],$B45,Tabla110[[#All],[Fecha Cobranza]],"&lt;"&amp;AA$6,Tabla110[[#All],[Fecha Cobranza]],"&gt;="&amp;Z$6)</f>
        <v>0</v>
      </c>
      <c r="AB45" s="327">
        <f t="shared" si="64"/>
        <v>0</v>
      </c>
      <c r="AC45" s="322">
        <f>SUMIFS(Tabla110[[#All],[Utilidad Bruta Total]],Tabla110[[#All],[Asesor]],B45,Tabla110[[#All],[Fecha Cobranza]],"&lt;"&amp;$AC$6,Tabla110[[#All],[Fecha Cobranza]],"&gt;="&amp;$B$6)</f>
        <v>0</v>
      </c>
      <c r="AD45" s="322">
        <f>SUMIFS(Tabla110[[#All],[Utilidad Bruta Total]],Tabla110[[#All],[Asesor]],B45,Tabla110[[#All],[Fecha Cobranza]],"&lt;"&amp;$AD$6,Tabla110[[#All],[Fecha Cobranza]],"&gt;="&amp;$AC$6)</f>
        <v>0</v>
      </c>
      <c r="AE45" s="322">
        <f>SUMIFS(Tabla110[[#All],[Utilidad Bruta Total]],Tabla110[[#All],[Asesor]],B45,Tabla110[[#All],[Fecha Cobranza]],"&lt;"&amp;$AE$6,Tabla110[[#All],[Fecha Cobranza]],"&gt;="&amp;$AD$6)</f>
        <v>0</v>
      </c>
      <c r="AF45" s="322">
        <f>SUMIFS(Tabla110[[#All],[Utilidad Bruta Total]],Tabla110[[#All],[Asesor]],B45,Tabla110[[#All],[Fecha Cobranza]],"&lt;"&amp;$AF$6,Tabla110[[#All],[Fecha Cobranza]],"&gt;="&amp;$AE$6)</f>
        <v>0</v>
      </c>
      <c r="AG45" s="322">
        <f>SUMIFS(Tabla110[[#All],[Utilidad Bruta Total]],Tabla110[[#All],[Asesor]],B45,Tabla110[[#All],[Fecha Cobranza]],"&lt;"&amp;$AG$6,Tabla110[[#All],[Fecha Cobranza]],"&gt;="&amp;$AF$6)</f>
        <v>0</v>
      </c>
      <c r="AH45" s="322">
        <f>SUMIFS(Tabla110[[#All],[Utilidad Bruta Total]],Tabla110[[#All],[Asesor]],B45,Tabla110[[#All],[Fecha Cobranza]],"&lt;"&amp;$AH$6,Tabla110[[#All],[Fecha Cobranza]],"&gt;="&amp;$AG$6)</f>
        <v>0</v>
      </c>
      <c r="AI45" s="322">
        <f>SUMIFS(Tabla110[[#All],[Utilidad Bruta Total]],Tabla110[[#All],[Asesor]],B45,Tabla110[[#All],[Fecha Cobranza]],"&lt;"&amp;$AI$6,Tabla110[[#All],[Fecha Cobranza]],"&gt;="&amp;$AH$6)</f>
        <v>0</v>
      </c>
      <c r="AJ45" s="322">
        <f>SUMIFS(Tabla110[[#All],[Utilidad Bruta Total]],Tabla110[[#All],[Asesor]],B45,Tabla110[[#All],[Fecha Cobranza]],"&lt;"&amp;$AJ$6,Tabla110[[#All],[Fecha Cobranza]],"&gt;="&amp;$AI$6)</f>
        <v>0</v>
      </c>
      <c r="AK45" s="322">
        <f>SUMIFS(Tabla110[[#All],[Utilidad Bruta Total]],Tabla110[[#All],[Asesor]],B45,Tabla110[[#All],[Fecha Cobranza]],"&lt;"&amp;$AK$6,Tabla110[[#All],[Fecha Cobranza]],"&gt;="&amp;$AJ$6)</f>
        <v>0</v>
      </c>
      <c r="AL45" s="322">
        <f>SUMIFS(Tabla110[[#All],[Utilidad Bruta Total]],Tabla110[[#All],[Asesor]],B45,Tabla110[[#All],[Fecha Cobranza]],"&lt;"&amp;$AL$6,Tabla110[[#All],[Fecha Cobranza]],"&gt;="&amp;$AK$6)</f>
        <v>0</v>
      </c>
      <c r="AM45" s="322">
        <f>SUMIFS(Tabla110[[#All],[Utilidad Bruta Total]],Tabla110[[#All],[Asesor]],B45,Tabla110[[#All],[Fecha Cobranza]],"&lt;"&amp;$AM$6,Tabla110[[#All],[Fecha Cobranza]],"&gt;="&amp;$AL$6)</f>
        <v>0</v>
      </c>
      <c r="AN45" s="322">
        <f>SUMIFS(Tabla110[[#All],[Utilidad Bruta Total]],Tabla110[[#All],[Asesor]],B45,Tabla110[[#All],[Fecha Cobranza]],"&lt;"&amp;$AN$6,Tabla110[[#All],[Fecha Cobranza]],"&gt;="&amp;$AM$6)</f>
        <v>0</v>
      </c>
      <c r="AO45" s="322">
        <f>SUMIFS(Tabla110[[#All],[Utilidad Bruta Total]],Tabla110[[#All],[Asesor]],B45,Tabla110[[#All],[Fecha Cobranza]],"&lt;"&amp;$AO$6,Tabla110[[#All],[Fecha Cobranza]],"&gt;="&amp;$AN$6)</f>
        <v>0</v>
      </c>
      <c r="AP45" s="322">
        <f>SUMIFS(Tabla110[[#All],[Utilidad Bruta Total]],Tabla110[[#All],[Asesor]],B45,Tabla110[[#All],[Fecha Cobranza]],"&lt;"&amp;$AP$6,Tabla110[[#All],[Fecha Cobranza]],"&gt;="&amp;$AO$6)</f>
        <v>0</v>
      </c>
      <c r="AQ45" s="322">
        <f>SUMIFS(Tabla110[[#All],[Utilidad Bruta Total]],Tabla110[[#All],[Asesor]],B45,Tabla110[[#All],[Fecha Cobranza]],"&lt;"&amp;$AQ$6,Tabla110[[#All],[Fecha Cobranza]],"&gt;="&amp;$AP$6)</f>
        <v>0</v>
      </c>
      <c r="AR45" s="322">
        <f>SUMIFS(Tabla110[[#All],[Utilidad Bruta Total]],Tabla110[[#All],[Asesor]],B45,Tabla110[[#All],[Fecha Cobranza]],"&lt;"&amp;$AR$6,Tabla110[[#All],[Fecha Cobranza]],"&gt;="&amp;$AQ$6)</f>
        <v>0</v>
      </c>
      <c r="AS45" s="322">
        <f>SUMIFS(Tabla110[[#All],[Utilidad Bruta Total]],Tabla110[[#All],[Asesor]],$B45,Tabla110[[#All],[Fecha Cobranza]],"&lt;"&amp;AS$6,Tabla110[[#All],[Fecha Cobranza]],"&gt;="&amp;AR$6)</f>
        <v>0</v>
      </c>
      <c r="AT45" s="322">
        <f>SUMIFS(Tabla110[[#All],[Utilidad Bruta Total]],Tabla110[[#All],[Asesor]],$B45,Tabla110[[#All],[Fecha Cobranza]],"&lt;"&amp;AT$6,Tabla110[[#All],[Fecha Cobranza]],"&gt;="&amp;AS$6)</f>
        <v>0</v>
      </c>
      <c r="AU45" s="322">
        <f>SUMIFS(Tabla110[[#All],[Utilidad Bruta Total]],Tabla110[[#All],[Asesor]],$B45,Tabla110[[#All],[Fecha Cobranza]],"&lt;"&amp;AU$6,Tabla110[[#All],[Fecha Cobranza]],"&gt;="&amp;AT$6)</f>
        <v>0</v>
      </c>
      <c r="AV45" s="322">
        <f>SUMIFS(Tabla110[[#All],[Utilidad Bruta Total]],Tabla110[[#All],[Asesor]],$B45,Tabla110[[#All],[Fecha Cobranza]],"&lt;"&amp;AV$6,Tabla110[[#All],[Fecha Cobranza]],"&gt;="&amp;AU$6)</f>
        <v>0</v>
      </c>
      <c r="AW45" s="322">
        <f>SUMIFS(Tabla110[[#All],[Utilidad Bruta Total]],Tabla110[[#All],[Asesor]],$B45,Tabla110[[#All],[Fecha Cobranza]],"&lt;"&amp;AW$6,Tabla110[[#All],[Fecha Cobranza]],"&gt;="&amp;AV$6)</f>
        <v>0</v>
      </c>
      <c r="AX45" s="322">
        <f>SUMIFS(Tabla110[[#All],[Utilidad Bruta Total]],Tabla110[[#All],[Asesor]],$B45,Tabla110[[#All],[Fecha Cobranza]],"&lt;"&amp;AX$6,Tabla110[[#All],[Fecha Cobranza]],"&gt;="&amp;AW$6)</f>
        <v>0</v>
      </c>
      <c r="AY45" s="322">
        <f>SUMIFS(Tabla110[[#All],[Utilidad Bruta Total]],Tabla110[[#All],[Asesor]],$B45,Tabla110[[#All],[Fecha Cobranza]],"&lt;"&amp;AY$6,Tabla110[[#All],[Fecha Cobranza]],"&gt;="&amp;AX$6)</f>
        <v>0</v>
      </c>
      <c r="AZ45" s="322">
        <f>SUMIFS(Tabla110[[#All],[Utilidad Bruta Total]],Tabla110[[#All],[Asesor]],$B45,Tabla110[[#All],[Fecha Cobranza]],"&lt;"&amp;AZ$6,Tabla110[[#All],[Fecha Cobranza]],"&gt;="&amp;AY$6)</f>
        <v>0</v>
      </c>
      <c r="BA45" s="323">
        <f t="shared" si="65"/>
        <v>0</v>
      </c>
      <c r="BB45" s="318">
        <f t="shared" si="33"/>
        <v>0</v>
      </c>
      <c r="BC45" s="318"/>
      <c r="BD45" s="318">
        <f t="shared" si="34"/>
        <v>0</v>
      </c>
      <c r="BE45" s="318"/>
      <c r="BF45" s="318">
        <f t="shared" si="35"/>
        <v>0</v>
      </c>
      <c r="BG45" s="318"/>
      <c r="BH45" s="318">
        <f t="shared" si="36"/>
        <v>0</v>
      </c>
      <c r="BI45" s="318"/>
      <c r="BJ45" s="318">
        <f t="shared" si="37"/>
        <v>0</v>
      </c>
      <c r="BK45" s="318"/>
      <c r="BL45" s="318">
        <f t="shared" si="38"/>
        <v>0</v>
      </c>
      <c r="BM45" s="318"/>
      <c r="BN45" s="318">
        <f t="shared" si="39"/>
        <v>0</v>
      </c>
      <c r="BO45" s="318"/>
      <c r="BP45" s="318">
        <f t="shared" si="40"/>
        <v>0</v>
      </c>
      <c r="BQ45" s="318"/>
      <c r="BR45" s="318">
        <f t="shared" si="62"/>
        <v>0</v>
      </c>
      <c r="BS45" s="318"/>
      <c r="BT45" s="318">
        <f t="shared" si="63"/>
        <v>0</v>
      </c>
      <c r="BU45" s="318">
        <f t="shared" si="43"/>
        <v>0</v>
      </c>
      <c r="BV45" s="318"/>
      <c r="BW45" s="318">
        <f t="shared" si="59"/>
        <v>0</v>
      </c>
      <c r="BX45" s="318"/>
      <c r="BY45" s="318">
        <f t="shared" si="45"/>
        <v>0</v>
      </c>
      <c r="BZ45" s="318"/>
      <c r="CA45" s="318">
        <f t="shared" si="46"/>
        <v>0</v>
      </c>
      <c r="CB45" s="318"/>
      <c r="CC45" s="318">
        <f t="shared" si="47"/>
        <v>0</v>
      </c>
      <c r="CD45" s="318"/>
      <c r="CE45" s="318">
        <f t="shared" si="48"/>
        <v>0</v>
      </c>
      <c r="CF45" s="318"/>
      <c r="CG45" s="318">
        <f t="shared" si="49"/>
        <v>0</v>
      </c>
      <c r="CH45" s="318"/>
      <c r="CI45" s="318">
        <f t="shared" si="50"/>
        <v>0</v>
      </c>
      <c r="CJ45" s="318"/>
      <c r="CK45" s="318">
        <f t="shared" si="51"/>
        <v>0</v>
      </c>
      <c r="CL45" s="318"/>
      <c r="CM45" s="318">
        <f t="shared" si="52"/>
        <v>0</v>
      </c>
      <c r="CN45" s="318"/>
      <c r="CO45" s="318">
        <f t="shared" si="53"/>
        <v>0</v>
      </c>
      <c r="CP45" s="318"/>
      <c r="CQ45" s="318">
        <f t="shared" si="54"/>
        <v>0</v>
      </c>
      <c r="CR45" s="318"/>
      <c r="CS45" s="318">
        <f t="shared" si="55"/>
        <v>0</v>
      </c>
      <c r="CT45" s="318"/>
      <c r="CU45" s="318">
        <f t="shared" si="56"/>
        <v>0</v>
      </c>
      <c r="CV45" s="318"/>
      <c r="CW45" s="318">
        <f t="shared" si="26"/>
        <v>0</v>
      </c>
      <c r="CX45" s="330"/>
      <c r="CY45" s="330"/>
      <c r="CZ45" s="330"/>
      <c r="DA45" s="330"/>
      <c r="DB45" s="330"/>
      <c r="DC45" s="330"/>
      <c r="DD45" s="330"/>
      <c r="DE45" s="330"/>
      <c r="DF45" s="330"/>
      <c r="DG45" s="330"/>
      <c r="DH45" s="330"/>
      <c r="DI45" s="330"/>
      <c r="DJ45" s="330"/>
      <c r="DK45" s="330"/>
      <c r="DL45" s="330"/>
      <c r="DM45" s="330"/>
      <c r="DN45" s="330"/>
      <c r="DO45" s="330"/>
      <c r="DP45" s="330"/>
      <c r="DQ45" s="330"/>
      <c r="DR45" s="330"/>
      <c r="DS45" s="330"/>
      <c r="DT45" s="330"/>
      <c r="DU45" s="330"/>
      <c r="DV45" s="331">
        <f t="shared" si="58"/>
        <v>0</v>
      </c>
      <c r="DW45" s="130">
        <f t="shared" si="27"/>
        <v>0</v>
      </c>
      <c r="DX45" s="417">
        <f t="shared" si="28"/>
        <v>0</v>
      </c>
      <c r="DY45" s="147">
        <f t="shared" si="60"/>
        <v>0</v>
      </c>
      <c r="DZ45" s="298">
        <f t="shared" si="61"/>
        <v>0</v>
      </c>
      <c r="ED45" s="163"/>
    </row>
    <row r="46" spans="2:134" ht="15.75" x14ac:dyDescent="0.3">
      <c r="B46" t="s">
        <v>635</v>
      </c>
      <c r="C46" s="297" t="s">
        <v>485</v>
      </c>
      <c r="D46" s="326">
        <f>SUMIFS(Tabla110[[#All],[Venta Total]],Tabla110[[#All],[Asesor]],B46,Tabla110[[#All],[Fecha Cobranza]],"&lt;"&amp;$D$6,Tabla110[[#All],[Fecha Cobranza]],"&gt;="&amp;$B$6)</f>
        <v>0</v>
      </c>
      <c r="E46" s="326">
        <f>SUMIFS(Tabla110[[#All],[Venta Total]],Tabla110[[#All],[Asesor]],B46,Tabla110[[#All],[Fecha Cobranza]],"&lt;"&amp;$E$6,Tabla110[[#All],[Fecha Cobranza]],"&gt;="&amp;$D$6)</f>
        <v>0</v>
      </c>
      <c r="F46" s="326">
        <f>SUMIFS(Tabla110[[#All],[Venta Total]],Tabla110[[#All],[Asesor]],B46,Tabla110[[#All],[Fecha Cobranza]],"&lt;"&amp;$F$6,Tabla110[[#All],[Fecha Cobranza]],"&gt;="&amp;$E$6)</f>
        <v>0</v>
      </c>
      <c r="G46" s="326">
        <f>SUMIFS(Tabla110[[#All],[Venta Total]],Tabla110[[#All],[Asesor]],B46,Tabla110[[#All],[Fecha Cobranza]],"&lt;"&amp;$G$6,Tabla110[[#All],[Fecha Cobranza]],"&gt;="&amp;$F$6)</f>
        <v>0</v>
      </c>
      <c r="H46" s="326">
        <f>SUMIFS(Tabla110[[#All],[Venta Total]],Tabla110[[#All],[Asesor]],B46,Tabla110[[#All],[Fecha Cobranza]],"&lt;"&amp;$H$6,Tabla110[[#All],[Fecha Cobranza]],"&gt;="&amp;$G$6)</f>
        <v>0</v>
      </c>
      <c r="I46" s="326">
        <f>SUMIFS(Tabla110[[#All],[Venta Total]],Tabla110[[#All],[Asesor]],B46,Tabla110[[#All],[Fecha Cobranza]],"&lt;"&amp;$I$6,Tabla110[[#All],[Fecha Cobranza]],"&gt;="&amp;$H$6)</f>
        <v>0</v>
      </c>
      <c r="J46" s="326">
        <f>SUMIFS(Tabla110[[#All],[Venta Total]],Tabla110[[#All],[Asesor]],B46,Tabla110[[#All],[Fecha Cobranza]],"&lt;"&amp;$J$6,Tabla110[[#All],[Fecha Cobranza]],"&gt;="&amp;$I$6)</f>
        <v>0</v>
      </c>
      <c r="K46" s="326">
        <f>SUMIFS(Tabla110[[#All],[Venta Total]],Tabla110[[#All],[Asesor]],B46,Tabla110[[#All],[Fecha Cobranza]],"&lt;"&amp;$K$6,Tabla110[[#All],[Fecha Cobranza]],"&gt;="&amp;$J$6)</f>
        <v>0</v>
      </c>
      <c r="L46" s="326">
        <f>SUMIFS(Tabla110[[#All],[Venta Total]],Tabla110[[#All],[Asesor]],B46,Tabla110[[#All],[Fecha Cobranza]],"&lt;"&amp;$L$6,Tabla110[[#All],[Fecha Cobranza]],"&gt;="&amp;$K$6)</f>
        <v>0</v>
      </c>
      <c r="M46" s="326">
        <f>SUMIFS(Tabla110[[#All],[Venta Total]],Tabla110[[#All],[Asesor]],B46,Tabla110[[#All],[Fecha Cobranza]],"&lt;"&amp;$M$6,Tabla110[[#All],[Fecha Cobranza]],"&gt;="&amp;$L$6)</f>
        <v>0</v>
      </c>
      <c r="N46" s="326">
        <f>SUMIFS(Tabla110[[#All],[Venta Total]],Tabla110[[#All],[Asesor]],B46,Tabla110[[#All],[Fecha Cobranza]],"&lt;"&amp;$N$6,Tabla110[[#All],[Fecha Cobranza]],"&gt;="&amp;$M$6)</f>
        <v>0</v>
      </c>
      <c r="O46" s="326">
        <f>SUMIFS(Tabla110[[#All],[Venta Total]],Tabla110[[#All],[Asesor]],B46,Tabla110[[#All],[Fecha Cobranza]],"&lt;"&amp;$O$6,Tabla110[[#All],[Fecha Cobranza]],"&gt;="&amp;$N$6)</f>
        <v>0</v>
      </c>
      <c r="P46" s="326">
        <f>SUMIFS(Tabla110[[#All],[Venta Total]],Tabla110[[#All],[Asesor]],B46,Tabla110[[#All],[Fecha Cobranza]],"&lt;"&amp;$P$6,Tabla110[[#All],[Fecha Cobranza]],"&gt;="&amp;$O$6)</f>
        <v>0</v>
      </c>
      <c r="Q46" s="326">
        <f>SUMIFS(Tabla110[[#All],[Venta Total]],Tabla110[[#All],[Asesor]],B46,Tabla110[[#All],[Fecha Cobranza]],"&lt;"&amp;$Q$6,Tabla110[[#All],[Fecha Cobranza]],"&gt;="&amp;$P$6)</f>
        <v>0</v>
      </c>
      <c r="R46" s="326">
        <f>SUMIFS(Tabla110[[#All],[Venta Total]],Tabla110[[#All],[Asesor]],B46,Tabla110[[#All],[Fecha Cobranza]],"&lt;"&amp;$R$6,Tabla110[[#All],[Fecha Cobranza]],"&gt;="&amp;$Q$6)</f>
        <v>0</v>
      </c>
      <c r="S46" s="326">
        <f>SUMIFS(Tabla110[[#All],[Venta Total]],Tabla110[[#All],[Asesor]],B46,Tabla110[[#All],[Fecha Cobranza]],"&lt;"&amp;$S$6,Tabla110[[#All],[Fecha Cobranza]],"&gt;="&amp;$R$6)</f>
        <v>0</v>
      </c>
      <c r="T46" s="326">
        <f>SUMIFS(Tabla110[[#All],[Venta Total]],Tabla110[[#All],[Asesor]],$B46,Tabla110[[#All],[Fecha Cobranza]],"&lt;"&amp;T$6,Tabla110[[#All],[Fecha Cobranza]],"&gt;="&amp;S$6)</f>
        <v>0</v>
      </c>
      <c r="U46" s="326">
        <f>SUMIFS(Tabla110[[#All],[Venta Total]],Tabla110[[#All],[Asesor]],$B46,Tabla110[[#All],[Fecha Cobranza]],"&lt;"&amp;U$6,Tabla110[[#All],[Fecha Cobranza]],"&gt;="&amp;T$6)</f>
        <v>0</v>
      </c>
      <c r="V46" s="326">
        <f>SUMIFS(Tabla110[[#All],[Venta Total]],Tabla110[[#All],[Asesor]],$B46,Tabla110[[#All],[Fecha Cobranza]],"&lt;"&amp;V$6,Tabla110[[#All],[Fecha Cobranza]],"&gt;="&amp;U$6)</f>
        <v>0</v>
      </c>
      <c r="W46" s="326">
        <f>SUMIFS(Tabla110[[#All],[Venta Total]],Tabla110[[#All],[Asesor]],$B46,Tabla110[[#All],[Fecha Cobranza]],"&lt;"&amp;W$6,Tabla110[[#All],[Fecha Cobranza]],"&gt;="&amp;V$6)</f>
        <v>0</v>
      </c>
      <c r="X46" s="326">
        <f>SUMIFS(Tabla110[[#All],[Venta Total]],Tabla110[[#All],[Asesor]],$B46,Tabla110[[#All],[Fecha Cobranza]],"&lt;"&amp;X$6,Tabla110[[#All],[Fecha Cobranza]],"&gt;="&amp;W$6)</f>
        <v>0</v>
      </c>
      <c r="Y46" s="326">
        <f>SUMIFS(Tabla110[[#All],[Venta Total]],Tabla110[[#All],[Asesor]],$B46,Tabla110[[#All],[Fecha Cobranza]],"&lt;"&amp;Y$6,Tabla110[[#All],[Fecha Cobranza]],"&gt;="&amp;X$6)</f>
        <v>0</v>
      </c>
      <c r="Z46" s="326">
        <f>SUMIFS(Tabla110[[#All],[Venta Total]],Tabla110[[#All],[Asesor]],$B46,Tabla110[[#All],[Fecha Cobranza]],"&lt;"&amp;Z$6,Tabla110[[#All],[Fecha Cobranza]],"&gt;="&amp;Y$6)</f>
        <v>0</v>
      </c>
      <c r="AA46" s="326">
        <f>SUMIFS(Tabla110[[#All],[Venta Total]],Tabla110[[#All],[Asesor]],$B46,Tabla110[[#All],[Fecha Cobranza]],"&lt;"&amp;AA$6,Tabla110[[#All],[Fecha Cobranza]],"&gt;="&amp;Z$6)</f>
        <v>0</v>
      </c>
      <c r="AB46" s="327">
        <f t="shared" si="64"/>
        <v>0</v>
      </c>
      <c r="AC46" s="322">
        <f>SUMIFS(Tabla110[[#All],[Utilidad Bruta Total]],Tabla110[[#All],[Asesor]],B46,Tabla110[[#All],[Fecha Cobranza]],"&lt;"&amp;$AC$6,Tabla110[[#All],[Fecha Cobranza]],"&gt;="&amp;$B$6)</f>
        <v>0</v>
      </c>
      <c r="AD46" s="322">
        <f>SUMIFS(Tabla110[[#All],[Utilidad Bruta Total]],Tabla110[[#All],[Asesor]],B46,Tabla110[[#All],[Fecha Cobranza]],"&lt;"&amp;$AD$6,Tabla110[[#All],[Fecha Cobranza]],"&gt;="&amp;$AC$6)</f>
        <v>0</v>
      </c>
      <c r="AE46" s="322">
        <f>SUMIFS(Tabla110[[#All],[Utilidad Bruta Total]],Tabla110[[#All],[Asesor]],B46,Tabla110[[#All],[Fecha Cobranza]],"&lt;"&amp;$AE$6,Tabla110[[#All],[Fecha Cobranza]],"&gt;="&amp;$AD$6)</f>
        <v>0</v>
      </c>
      <c r="AF46" s="322">
        <f>SUMIFS(Tabla110[[#All],[Utilidad Bruta Total]],Tabla110[[#All],[Asesor]],B46,Tabla110[[#All],[Fecha Cobranza]],"&lt;"&amp;$AF$6,Tabla110[[#All],[Fecha Cobranza]],"&gt;="&amp;$AE$6)</f>
        <v>0</v>
      </c>
      <c r="AG46" s="322">
        <f>SUMIFS(Tabla110[[#All],[Utilidad Bruta Total]],Tabla110[[#All],[Asesor]],B46,Tabla110[[#All],[Fecha Cobranza]],"&lt;"&amp;$AG$6,Tabla110[[#All],[Fecha Cobranza]],"&gt;="&amp;$AF$6)</f>
        <v>0</v>
      </c>
      <c r="AH46" s="322">
        <f>SUMIFS(Tabla110[[#All],[Utilidad Bruta Total]],Tabla110[[#All],[Asesor]],B46,Tabla110[[#All],[Fecha Cobranza]],"&lt;"&amp;$AH$6,Tabla110[[#All],[Fecha Cobranza]],"&gt;="&amp;$AG$6)</f>
        <v>0</v>
      </c>
      <c r="AI46" s="322">
        <f>SUMIFS(Tabla110[[#All],[Utilidad Bruta Total]],Tabla110[[#All],[Asesor]],B46,Tabla110[[#All],[Fecha Cobranza]],"&lt;"&amp;$AI$6,Tabla110[[#All],[Fecha Cobranza]],"&gt;="&amp;$AH$6)</f>
        <v>0</v>
      </c>
      <c r="AJ46" s="322">
        <f>SUMIFS(Tabla110[[#All],[Utilidad Bruta Total]],Tabla110[[#All],[Asesor]],B46,Tabla110[[#All],[Fecha Cobranza]],"&lt;"&amp;$AJ$6,Tabla110[[#All],[Fecha Cobranza]],"&gt;="&amp;$AI$6)</f>
        <v>0</v>
      </c>
      <c r="AK46" s="322">
        <f>SUMIFS(Tabla110[[#All],[Utilidad Bruta Total]],Tabla110[[#All],[Asesor]],B46,Tabla110[[#All],[Fecha Cobranza]],"&lt;"&amp;$AK$6,Tabla110[[#All],[Fecha Cobranza]],"&gt;="&amp;$AJ$6)</f>
        <v>0</v>
      </c>
      <c r="AL46" s="322">
        <f>SUMIFS(Tabla110[[#All],[Utilidad Bruta Total]],Tabla110[[#All],[Asesor]],B46,Tabla110[[#All],[Fecha Cobranza]],"&lt;"&amp;$AL$6,Tabla110[[#All],[Fecha Cobranza]],"&gt;="&amp;$AK$6)</f>
        <v>0</v>
      </c>
      <c r="AM46" s="322">
        <f>SUMIFS(Tabla110[[#All],[Utilidad Bruta Total]],Tabla110[[#All],[Asesor]],B46,Tabla110[[#All],[Fecha Cobranza]],"&lt;"&amp;$AM$6,Tabla110[[#All],[Fecha Cobranza]],"&gt;="&amp;$AL$6)</f>
        <v>0</v>
      </c>
      <c r="AN46" s="322">
        <f>SUMIFS(Tabla110[[#All],[Utilidad Bruta Total]],Tabla110[[#All],[Asesor]],B46,Tabla110[[#All],[Fecha Cobranza]],"&lt;"&amp;$AN$6,Tabla110[[#All],[Fecha Cobranza]],"&gt;="&amp;$AM$6)</f>
        <v>0</v>
      </c>
      <c r="AO46" s="322">
        <f>SUMIFS(Tabla110[[#All],[Utilidad Bruta Total]],Tabla110[[#All],[Asesor]],B46,Tabla110[[#All],[Fecha Cobranza]],"&lt;"&amp;$AO$6,Tabla110[[#All],[Fecha Cobranza]],"&gt;="&amp;$AN$6)</f>
        <v>0</v>
      </c>
      <c r="AP46" s="322">
        <f>SUMIFS(Tabla110[[#All],[Utilidad Bruta Total]],Tabla110[[#All],[Asesor]],B46,Tabla110[[#All],[Fecha Cobranza]],"&lt;"&amp;$AP$6,Tabla110[[#All],[Fecha Cobranza]],"&gt;="&amp;$AO$6)</f>
        <v>0</v>
      </c>
      <c r="AQ46" s="322">
        <f>SUMIFS(Tabla110[[#All],[Utilidad Bruta Total]],Tabla110[[#All],[Asesor]],B46,Tabla110[[#All],[Fecha Cobranza]],"&lt;"&amp;$AQ$6,Tabla110[[#All],[Fecha Cobranza]],"&gt;="&amp;$AP$6)</f>
        <v>0</v>
      </c>
      <c r="AR46" s="322">
        <f>SUMIFS(Tabla110[[#All],[Utilidad Bruta Total]],Tabla110[[#All],[Asesor]],B46,Tabla110[[#All],[Fecha Cobranza]],"&lt;"&amp;$AR$6,Tabla110[[#All],[Fecha Cobranza]],"&gt;="&amp;$AQ$6)</f>
        <v>0</v>
      </c>
      <c r="AS46" s="322">
        <f>SUMIFS(Tabla110[[#All],[Utilidad Bruta Total]],Tabla110[[#All],[Asesor]],$B46,Tabla110[[#All],[Fecha Cobranza]],"&lt;"&amp;AS$6,Tabla110[[#All],[Fecha Cobranza]],"&gt;="&amp;AR$6)</f>
        <v>0</v>
      </c>
      <c r="AT46" s="322">
        <f>SUMIFS(Tabla110[[#All],[Utilidad Bruta Total]],Tabla110[[#All],[Asesor]],$B46,Tabla110[[#All],[Fecha Cobranza]],"&lt;"&amp;AT$6,Tabla110[[#All],[Fecha Cobranza]],"&gt;="&amp;AS$6)</f>
        <v>0</v>
      </c>
      <c r="AU46" s="322">
        <f>SUMIFS(Tabla110[[#All],[Utilidad Bruta Total]],Tabla110[[#All],[Asesor]],$B46,Tabla110[[#All],[Fecha Cobranza]],"&lt;"&amp;AU$6,Tabla110[[#All],[Fecha Cobranza]],"&gt;="&amp;AT$6)</f>
        <v>0</v>
      </c>
      <c r="AV46" s="322">
        <f>SUMIFS(Tabla110[[#All],[Utilidad Bruta Total]],Tabla110[[#All],[Asesor]],$B46,Tabla110[[#All],[Fecha Cobranza]],"&lt;"&amp;AV$6,Tabla110[[#All],[Fecha Cobranza]],"&gt;="&amp;AU$6)</f>
        <v>0</v>
      </c>
      <c r="AW46" s="322">
        <f>SUMIFS(Tabla110[[#All],[Utilidad Bruta Total]],Tabla110[[#All],[Asesor]],$B46,Tabla110[[#All],[Fecha Cobranza]],"&lt;"&amp;AW$6,Tabla110[[#All],[Fecha Cobranza]],"&gt;="&amp;AV$6)</f>
        <v>0</v>
      </c>
      <c r="AX46" s="322">
        <f>SUMIFS(Tabla110[[#All],[Utilidad Bruta Total]],Tabla110[[#All],[Asesor]],$B46,Tabla110[[#All],[Fecha Cobranza]],"&lt;"&amp;AX$6,Tabla110[[#All],[Fecha Cobranza]],"&gt;="&amp;AW$6)</f>
        <v>0</v>
      </c>
      <c r="AY46" s="322">
        <f>SUMIFS(Tabla110[[#All],[Utilidad Bruta Total]],Tabla110[[#All],[Asesor]],$B46,Tabla110[[#All],[Fecha Cobranza]],"&lt;"&amp;AY$6,Tabla110[[#All],[Fecha Cobranza]],"&gt;="&amp;AX$6)</f>
        <v>0</v>
      </c>
      <c r="AZ46" s="322">
        <f>SUMIFS(Tabla110[[#All],[Utilidad Bruta Total]],Tabla110[[#All],[Asesor]],$B46,Tabla110[[#All],[Fecha Cobranza]],"&lt;"&amp;AZ$6,Tabla110[[#All],[Fecha Cobranza]],"&gt;="&amp;AY$6)</f>
        <v>0</v>
      </c>
      <c r="BA46" s="323">
        <f t="shared" si="65"/>
        <v>0</v>
      </c>
      <c r="BB46" s="318">
        <f t="shared" si="33"/>
        <v>0</v>
      </c>
      <c r="BC46" s="318"/>
      <c r="BD46" s="318">
        <f t="shared" si="34"/>
        <v>0</v>
      </c>
      <c r="BE46" s="318"/>
      <c r="BF46" s="318">
        <f t="shared" si="35"/>
        <v>0</v>
      </c>
      <c r="BG46" s="318"/>
      <c r="BH46" s="318">
        <f t="shared" si="36"/>
        <v>0</v>
      </c>
      <c r="BI46" s="318"/>
      <c r="BJ46" s="318">
        <f t="shared" si="37"/>
        <v>0</v>
      </c>
      <c r="BK46" s="318"/>
      <c r="BL46" s="318">
        <f t="shared" si="38"/>
        <v>0</v>
      </c>
      <c r="BM46" s="318"/>
      <c r="BN46" s="318">
        <f t="shared" si="39"/>
        <v>0</v>
      </c>
      <c r="BO46" s="318"/>
      <c r="BP46" s="318">
        <f t="shared" si="40"/>
        <v>0</v>
      </c>
      <c r="BQ46" s="318"/>
      <c r="BR46" s="318">
        <f t="shared" si="62"/>
        <v>0</v>
      </c>
      <c r="BS46" s="318"/>
      <c r="BT46" s="318">
        <f t="shared" si="63"/>
        <v>0</v>
      </c>
      <c r="BU46" s="318">
        <f t="shared" si="43"/>
        <v>0</v>
      </c>
      <c r="BV46" s="318"/>
      <c r="BW46" s="318">
        <f t="shared" si="59"/>
        <v>0</v>
      </c>
      <c r="BX46" s="318"/>
      <c r="BY46" s="318">
        <f t="shared" si="45"/>
        <v>0</v>
      </c>
      <c r="BZ46" s="318"/>
      <c r="CA46" s="318">
        <f t="shared" si="46"/>
        <v>0</v>
      </c>
      <c r="CB46" s="318"/>
      <c r="CC46" s="318">
        <f t="shared" si="47"/>
        <v>0</v>
      </c>
      <c r="CD46" s="318"/>
      <c r="CE46" s="318">
        <f t="shared" si="48"/>
        <v>0</v>
      </c>
      <c r="CF46" s="318"/>
      <c r="CG46" s="318">
        <f t="shared" si="49"/>
        <v>0</v>
      </c>
      <c r="CH46" s="318"/>
      <c r="CI46" s="318">
        <f t="shared" si="50"/>
        <v>0</v>
      </c>
      <c r="CJ46" s="318"/>
      <c r="CK46" s="318">
        <f t="shared" si="51"/>
        <v>0</v>
      </c>
      <c r="CL46" s="318"/>
      <c r="CM46" s="318">
        <f t="shared" si="52"/>
        <v>0</v>
      </c>
      <c r="CN46" s="318"/>
      <c r="CO46" s="318">
        <f t="shared" si="53"/>
        <v>0</v>
      </c>
      <c r="CP46" s="318"/>
      <c r="CQ46" s="318">
        <f t="shared" si="54"/>
        <v>0</v>
      </c>
      <c r="CR46" s="318"/>
      <c r="CS46" s="318">
        <f t="shared" si="55"/>
        <v>0</v>
      </c>
      <c r="CT46" s="318"/>
      <c r="CU46" s="318">
        <f t="shared" si="56"/>
        <v>0</v>
      </c>
      <c r="CV46" s="318"/>
      <c r="CW46" s="318">
        <f t="shared" si="26"/>
        <v>0</v>
      </c>
      <c r="CX46" s="330"/>
      <c r="CY46" s="330"/>
      <c r="CZ46" s="330"/>
      <c r="DA46" s="330"/>
      <c r="DB46" s="330"/>
      <c r="DC46" s="330"/>
      <c r="DD46" s="330"/>
      <c r="DE46" s="330"/>
      <c r="DF46" s="330"/>
      <c r="DG46" s="330"/>
      <c r="DH46" s="330"/>
      <c r="DI46" s="330"/>
      <c r="DJ46" s="330"/>
      <c r="DK46" s="330"/>
      <c r="DL46" s="330"/>
      <c r="DM46" s="330"/>
      <c r="DN46" s="330"/>
      <c r="DO46" s="330"/>
      <c r="DP46" s="330"/>
      <c r="DQ46" s="330"/>
      <c r="DR46" s="330"/>
      <c r="DS46" s="330"/>
      <c r="DT46" s="330"/>
      <c r="DU46" s="330"/>
      <c r="DV46" s="331">
        <f t="shared" si="58"/>
        <v>0</v>
      </c>
      <c r="DW46" s="130">
        <f t="shared" si="27"/>
        <v>0</v>
      </c>
      <c r="DX46" s="131">
        <f t="shared" ref="DX46:DX54" si="66">++DV46+CW46</f>
        <v>0</v>
      </c>
      <c r="DY46" s="147">
        <f t="shared" si="60"/>
        <v>0</v>
      </c>
      <c r="DZ46" s="298">
        <f t="shared" si="61"/>
        <v>0</v>
      </c>
      <c r="ED46" s="163"/>
    </row>
    <row r="47" spans="2:134" ht="15.75" x14ac:dyDescent="0.3">
      <c r="B47" t="s">
        <v>780</v>
      </c>
      <c r="C47" s="297" t="s">
        <v>485</v>
      </c>
      <c r="D47" s="326">
        <f>SUMIFS(Tabla110[[#All],[Venta Total]],Tabla110[[#All],[Asesor]],B47,Tabla110[[#All],[Fecha Cobranza]],"&lt;"&amp;$D$6,Tabla110[[#All],[Fecha Cobranza]],"&gt;="&amp;$B$6)</f>
        <v>0</v>
      </c>
      <c r="E47" s="326">
        <f>SUMIFS(Tabla110[[#All],[Venta Total]],Tabla110[[#All],[Asesor]],B47,Tabla110[[#All],[Fecha Cobranza]],"&lt;"&amp;$E$6,Tabla110[[#All],[Fecha Cobranza]],"&gt;="&amp;$D$6)</f>
        <v>0</v>
      </c>
      <c r="F47" s="326">
        <f>SUMIFS(Tabla110[[#All],[Venta Total]],Tabla110[[#All],[Asesor]],B47,Tabla110[[#All],[Fecha Cobranza]],"&lt;"&amp;$F$6,Tabla110[[#All],[Fecha Cobranza]],"&gt;="&amp;$E$6)</f>
        <v>0</v>
      </c>
      <c r="G47" s="326">
        <f>SUMIFS(Tabla110[[#All],[Venta Total]],Tabla110[[#All],[Asesor]],B47,Tabla110[[#All],[Fecha Cobranza]],"&lt;"&amp;$G$6,Tabla110[[#All],[Fecha Cobranza]],"&gt;="&amp;$F$6)</f>
        <v>0</v>
      </c>
      <c r="H47" s="326">
        <f>SUMIFS(Tabla110[[#All],[Venta Total]],Tabla110[[#All],[Asesor]],B47,Tabla110[[#All],[Fecha Cobranza]],"&lt;"&amp;$H$6,Tabla110[[#All],[Fecha Cobranza]],"&gt;="&amp;$G$6)</f>
        <v>0</v>
      </c>
      <c r="I47" s="326">
        <f>SUMIFS(Tabla110[[#All],[Venta Total]],Tabla110[[#All],[Asesor]],B47,Tabla110[[#All],[Fecha Cobranza]],"&lt;"&amp;$I$6,Tabla110[[#All],[Fecha Cobranza]],"&gt;="&amp;$H$6)</f>
        <v>0</v>
      </c>
      <c r="J47" s="326">
        <f>SUMIFS(Tabla110[[#All],[Venta Total]],Tabla110[[#All],[Asesor]],B47,Tabla110[[#All],[Fecha Cobranza]],"&lt;"&amp;$J$6,Tabla110[[#All],[Fecha Cobranza]],"&gt;="&amp;$I$6)</f>
        <v>0</v>
      </c>
      <c r="K47" s="326">
        <f>SUMIFS(Tabla110[[#All],[Venta Total]],Tabla110[[#All],[Asesor]],B47,Tabla110[[#All],[Fecha Cobranza]],"&lt;"&amp;$K$6,Tabla110[[#All],[Fecha Cobranza]],"&gt;="&amp;$J$6)</f>
        <v>0</v>
      </c>
      <c r="L47" s="326">
        <f>SUMIFS(Tabla110[[#All],[Venta Total]],Tabla110[[#All],[Asesor]],B47,Tabla110[[#All],[Fecha Cobranza]],"&lt;"&amp;$L$6,Tabla110[[#All],[Fecha Cobranza]],"&gt;="&amp;$K$6)</f>
        <v>0</v>
      </c>
      <c r="M47" s="326">
        <f>SUMIFS(Tabla110[[#All],[Venta Total]],Tabla110[[#All],[Asesor]],B47,Tabla110[[#All],[Fecha Cobranza]],"&lt;"&amp;$M$6,Tabla110[[#All],[Fecha Cobranza]],"&gt;="&amp;$L$6)</f>
        <v>0</v>
      </c>
      <c r="N47" s="326">
        <f>SUMIFS(Tabla110[[#All],[Venta Total]],Tabla110[[#All],[Asesor]],B47,Tabla110[[#All],[Fecha Cobranza]],"&lt;"&amp;$N$6,Tabla110[[#All],[Fecha Cobranza]],"&gt;="&amp;$M$6)</f>
        <v>0</v>
      </c>
      <c r="O47" s="326">
        <f>SUMIFS(Tabla110[[#All],[Venta Total]],Tabla110[[#All],[Asesor]],B47,Tabla110[[#All],[Fecha Cobranza]],"&lt;"&amp;$O$6,Tabla110[[#All],[Fecha Cobranza]],"&gt;="&amp;$N$6)</f>
        <v>0</v>
      </c>
      <c r="P47" s="326">
        <f>SUMIFS(Tabla110[[#All],[Venta Total]],Tabla110[[#All],[Asesor]],B47,Tabla110[[#All],[Fecha Cobranza]],"&lt;"&amp;$P$6,Tabla110[[#All],[Fecha Cobranza]],"&gt;="&amp;$O$6)</f>
        <v>0</v>
      </c>
      <c r="Q47" s="326">
        <f>SUMIFS(Tabla110[[#All],[Venta Total]],Tabla110[[#All],[Asesor]],B47,Tabla110[[#All],[Fecha Cobranza]],"&lt;"&amp;$Q$6,Tabla110[[#All],[Fecha Cobranza]],"&gt;="&amp;$P$6)</f>
        <v>0</v>
      </c>
      <c r="R47" s="326">
        <f>SUMIFS(Tabla110[[#All],[Venta Total]],Tabla110[[#All],[Asesor]],B47,Tabla110[[#All],[Fecha Cobranza]],"&lt;"&amp;$R$6,Tabla110[[#All],[Fecha Cobranza]],"&gt;="&amp;$Q$6)</f>
        <v>0</v>
      </c>
      <c r="S47" s="326">
        <f>SUMIFS(Tabla110[[#All],[Venta Total]],Tabla110[[#All],[Asesor]],B47,Tabla110[[#All],[Fecha Cobranza]],"&lt;"&amp;$S$6,Tabla110[[#All],[Fecha Cobranza]],"&gt;="&amp;$R$6)</f>
        <v>0</v>
      </c>
      <c r="T47" s="326">
        <f>SUMIFS(Tabla110[[#All],[Venta Total]],Tabla110[[#All],[Asesor]],$B47,Tabla110[[#All],[Fecha Cobranza]],"&lt;"&amp;T$6,Tabla110[[#All],[Fecha Cobranza]],"&gt;="&amp;S$6)</f>
        <v>0</v>
      </c>
      <c r="U47" s="326">
        <f>SUMIFS(Tabla110[[#All],[Venta Total]],Tabla110[[#All],[Asesor]],$B47,Tabla110[[#All],[Fecha Cobranza]],"&lt;"&amp;U$6,Tabla110[[#All],[Fecha Cobranza]],"&gt;="&amp;T$6)</f>
        <v>0</v>
      </c>
      <c r="V47" s="326">
        <f>SUMIFS(Tabla110[[#All],[Venta Total]],Tabla110[[#All],[Asesor]],$B47,Tabla110[[#All],[Fecha Cobranza]],"&lt;"&amp;V$6,Tabla110[[#All],[Fecha Cobranza]],"&gt;="&amp;U$6)</f>
        <v>0</v>
      </c>
      <c r="W47" s="326">
        <f>SUMIFS(Tabla110[[#All],[Venta Total]],Tabla110[[#All],[Asesor]],$B47,Tabla110[[#All],[Fecha Cobranza]],"&lt;"&amp;W$6,Tabla110[[#All],[Fecha Cobranza]],"&gt;="&amp;V$6)</f>
        <v>0</v>
      </c>
      <c r="X47" s="326">
        <f>SUMIFS(Tabla110[[#All],[Venta Total]],Tabla110[[#All],[Asesor]],$B47,Tabla110[[#All],[Fecha Cobranza]],"&lt;"&amp;X$6,Tabla110[[#All],[Fecha Cobranza]],"&gt;="&amp;W$6)</f>
        <v>0</v>
      </c>
      <c r="Y47" s="326">
        <f>SUMIFS(Tabla110[[#All],[Venta Total]],Tabla110[[#All],[Asesor]],$B47,Tabla110[[#All],[Fecha Cobranza]],"&lt;"&amp;Y$6,Tabla110[[#All],[Fecha Cobranza]],"&gt;="&amp;X$6)</f>
        <v>0</v>
      </c>
      <c r="Z47" s="326">
        <f>SUMIFS(Tabla110[[#All],[Venta Total]],Tabla110[[#All],[Asesor]],$B47,Tabla110[[#All],[Fecha Cobranza]],"&lt;"&amp;Z$6,Tabla110[[#All],[Fecha Cobranza]],"&gt;="&amp;Y$6)</f>
        <v>0</v>
      </c>
      <c r="AA47" s="326">
        <f>SUMIFS(Tabla110[[#All],[Venta Total]],Tabla110[[#All],[Asesor]],$B47,Tabla110[[#All],[Fecha Cobranza]],"&lt;"&amp;AA$6,Tabla110[[#All],[Fecha Cobranza]],"&gt;="&amp;Z$6)</f>
        <v>0</v>
      </c>
      <c r="AB47" s="327">
        <f t="shared" si="64"/>
        <v>0</v>
      </c>
      <c r="AC47" s="322">
        <f>SUMIFS(Tabla110[[#All],[Utilidad Bruta Total]],Tabla110[[#All],[Asesor]],B47,Tabla110[[#All],[Fecha Cobranza]],"&lt;"&amp;$AC$6,Tabla110[[#All],[Fecha Cobranza]],"&gt;="&amp;$B$6)</f>
        <v>0</v>
      </c>
      <c r="AD47" s="322">
        <f>SUMIFS(Tabla110[[#All],[Utilidad Bruta Total]],Tabla110[[#All],[Asesor]],B47,Tabla110[[#All],[Fecha Cobranza]],"&lt;"&amp;$AD$6,Tabla110[[#All],[Fecha Cobranza]],"&gt;="&amp;$AC$6)</f>
        <v>0</v>
      </c>
      <c r="AE47" s="322">
        <f>SUMIFS(Tabla110[[#All],[Utilidad Bruta Total]],Tabla110[[#All],[Asesor]],B47,Tabla110[[#All],[Fecha Cobranza]],"&lt;"&amp;$AE$6,Tabla110[[#All],[Fecha Cobranza]],"&gt;="&amp;$AD$6)</f>
        <v>0</v>
      </c>
      <c r="AF47" s="322">
        <f>SUMIFS(Tabla110[[#All],[Utilidad Bruta Total]],Tabla110[[#All],[Asesor]],B47,Tabla110[[#All],[Fecha Cobranza]],"&lt;"&amp;$AF$6,Tabla110[[#All],[Fecha Cobranza]],"&gt;="&amp;$AE$6)</f>
        <v>0</v>
      </c>
      <c r="AG47" s="322">
        <f>SUMIFS(Tabla110[[#All],[Utilidad Bruta Total]],Tabla110[[#All],[Asesor]],B47,Tabla110[[#All],[Fecha Cobranza]],"&lt;"&amp;$AG$6,Tabla110[[#All],[Fecha Cobranza]],"&gt;="&amp;$AF$6)</f>
        <v>0</v>
      </c>
      <c r="AH47" s="322">
        <f>SUMIFS(Tabla110[[#All],[Utilidad Bruta Total]],Tabla110[[#All],[Asesor]],B47,Tabla110[[#All],[Fecha Cobranza]],"&lt;"&amp;$AH$6,Tabla110[[#All],[Fecha Cobranza]],"&gt;="&amp;$AG$6)</f>
        <v>0</v>
      </c>
      <c r="AI47" s="322">
        <f>SUMIFS(Tabla110[[#All],[Utilidad Bruta Total]],Tabla110[[#All],[Asesor]],B47,Tabla110[[#All],[Fecha Cobranza]],"&lt;"&amp;$AI$6,Tabla110[[#All],[Fecha Cobranza]],"&gt;="&amp;$AH$6)</f>
        <v>0</v>
      </c>
      <c r="AJ47" s="322">
        <f>SUMIFS(Tabla110[[#All],[Utilidad Bruta Total]],Tabla110[[#All],[Asesor]],B47,Tabla110[[#All],[Fecha Cobranza]],"&lt;"&amp;$AJ$6,Tabla110[[#All],[Fecha Cobranza]],"&gt;="&amp;$AI$6)</f>
        <v>0</v>
      </c>
      <c r="AK47" s="322">
        <f>SUMIFS(Tabla110[[#All],[Utilidad Bruta Total]],Tabla110[[#All],[Asesor]],B47,Tabla110[[#All],[Fecha Cobranza]],"&lt;"&amp;$AK$6,Tabla110[[#All],[Fecha Cobranza]],"&gt;="&amp;$AJ$6)</f>
        <v>0</v>
      </c>
      <c r="AL47" s="322">
        <f>SUMIFS(Tabla110[[#All],[Utilidad Bruta Total]],Tabla110[[#All],[Asesor]],B47,Tabla110[[#All],[Fecha Cobranza]],"&lt;"&amp;$AL$6,Tabla110[[#All],[Fecha Cobranza]],"&gt;="&amp;$AK$6)</f>
        <v>0</v>
      </c>
      <c r="AM47" s="322">
        <f>SUMIFS(Tabla110[[#All],[Utilidad Bruta Total]],Tabla110[[#All],[Asesor]],B47,Tabla110[[#All],[Fecha Cobranza]],"&lt;"&amp;$AM$6,Tabla110[[#All],[Fecha Cobranza]],"&gt;="&amp;$AL$6)</f>
        <v>0</v>
      </c>
      <c r="AN47" s="322">
        <f>SUMIFS(Tabla110[[#All],[Utilidad Bruta Total]],Tabla110[[#All],[Asesor]],B47,Tabla110[[#All],[Fecha Cobranza]],"&lt;"&amp;$AN$6,Tabla110[[#All],[Fecha Cobranza]],"&gt;="&amp;$AM$6)</f>
        <v>0</v>
      </c>
      <c r="AO47" s="322">
        <f>SUMIFS(Tabla110[[#All],[Utilidad Bruta Total]],Tabla110[[#All],[Asesor]],B47,Tabla110[[#All],[Fecha Cobranza]],"&lt;"&amp;$AO$6,Tabla110[[#All],[Fecha Cobranza]],"&gt;="&amp;$AN$6)</f>
        <v>0</v>
      </c>
      <c r="AP47" s="322">
        <f>SUMIFS(Tabla110[[#All],[Utilidad Bruta Total]],Tabla110[[#All],[Asesor]],B47,Tabla110[[#All],[Fecha Cobranza]],"&lt;"&amp;$AP$6,Tabla110[[#All],[Fecha Cobranza]],"&gt;="&amp;$AO$6)</f>
        <v>0</v>
      </c>
      <c r="AQ47" s="322">
        <f>SUMIFS(Tabla110[[#All],[Utilidad Bruta Total]],Tabla110[[#All],[Asesor]],B47,Tabla110[[#All],[Fecha Cobranza]],"&lt;"&amp;$AQ$6,Tabla110[[#All],[Fecha Cobranza]],"&gt;="&amp;$AP$6)</f>
        <v>0</v>
      </c>
      <c r="AR47" s="322">
        <f>SUMIFS(Tabla110[[#All],[Utilidad Bruta Total]],Tabla110[[#All],[Asesor]],B47,Tabla110[[#All],[Fecha Cobranza]],"&lt;"&amp;$AR$6,Tabla110[[#All],[Fecha Cobranza]],"&gt;="&amp;$AQ$6)</f>
        <v>0</v>
      </c>
      <c r="AS47" s="322">
        <f>SUMIFS(Tabla110[[#All],[Utilidad Bruta Total]],Tabla110[[#All],[Asesor]],$B47,Tabla110[[#All],[Fecha Cobranza]],"&lt;"&amp;AS$6,Tabla110[[#All],[Fecha Cobranza]],"&gt;="&amp;AR$6)</f>
        <v>0</v>
      </c>
      <c r="AT47" s="322">
        <f>SUMIFS(Tabla110[[#All],[Utilidad Bruta Total]],Tabla110[[#All],[Asesor]],$B47,Tabla110[[#All],[Fecha Cobranza]],"&lt;"&amp;AT$6,Tabla110[[#All],[Fecha Cobranza]],"&gt;="&amp;AS$6)</f>
        <v>0</v>
      </c>
      <c r="AU47" s="322">
        <f>SUMIFS(Tabla110[[#All],[Utilidad Bruta Total]],Tabla110[[#All],[Asesor]],$B47,Tabla110[[#All],[Fecha Cobranza]],"&lt;"&amp;AU$6,Tabla110[[#All],[Fecha Cobranza]],"&gt;="&amp;AT$6)</f>
        <v>0</v>
      </c>
      <c r="AV47" s="322">
        <f>SUMIFS(Tabla110[[#All],[Utilidad Bruta Total]],Tabla110[[#All],[Asesor]],$B47,Tabla110[[#All],[Fecha Cobranza]],"&lt;"&amp;AV$6,Tabla110[[#All],[Fecha Cobranza]],"&gt;="&amp;AU$6)</f>
        <v>0</v>
      </c>
      <c r="AW47" s="322">
        <f>SUMIFS(Tabla110[[#All],[Utilidad Bruta Total]],Tabla110[[#All],[Asesor]],$B47,Tabla110[[#All],[Fecha Cobranza]],"&lt;"&amp;AW$6,Tabla110[[#All],[Fecha Cobranza]],"&gt;="&amp;AV$6)</f>
        <v>0</v>
      </c>
      <c r="AX47" s="322">
        <f>SUMIFS(Tabla110[[#All],[Utilidad Bruta Total]],Tabla110[[#All],[Asesor]],$B47,Tabla110[[#All],[Fecha Cobranza]],"&lt;"&amp;AX$6,Tabla110[[#All],[Fecha Cobranza]],"&gt;="&amp;AW$6)</f>
        <v>0</v>
      </c>
      <c r="AY47" s="322">
        <f>SUMIFS(Tabla110[[#All],[Utilidad Bruta Total]],Tabla110[[#All],[Asesor]],$B47,Tabla110[[#All],[Fecha Cobranza]],"&lt;"&amp;AY$6,Tabla110[[#All],[Fecha Cobranza]],"&gt;="&amp;AX$6)</f>
        <v>0</v>
      </c>
      <c r="AZ47" s="322">
        <f>SUMIFS(Tabla110[[#All],[Utilidad Bruta Total]],Tabla110[[#All],[Asesor]],$B47,Tabla110[[#All],[Fecha Cobranza]],"&lt;"&amp;AZ$6,Tabla110[[#All],[Fecha Cobranza]],"&gt;="&amp;AY$6)</f>
        <v>0</v>
      </c>
      <c r="BA47" s="323">
        <f t="shared" si="65"/>
        <v>0</v>
      </c>
      <c r="BB47" s="318">
        <f t="shared" si="33"/>
        <v>0</v>
      </c>
      <c r="BC47" s="318"/>
      <c r="BD47" s="318">
        <f t="shared" si="34"/>
        <v>0</v>
      </c>
      <c r="BE47" s="318"/>
      <c r="BF47" s="318">
        <f t="shared" si="35"/>
        <v>0</v>
      </c>
      <c r="BG47" s="318"/>
      <c r="BH47" s="318">
        <f t="shared" si="36"/>
        <v>0</v>
      </c>
      <c r="BI47" s="318"/>
      <c r="BJ47" s="318">
        <f t="shared" si="37"/>
        <v>0</v>
      </c>
      <c r="BK47" s="318"/>
      <c r="BL47" s="318">
        <f t="shared" si="38"/>
        <v>0</v>
      </c>
      <c r="BM47" s="318"/>
      <c r="BN47" s="318">
        <f t="shared" si="39"/>
        <v>0</v>
      </c>
      <c r="BO47" s="318"/>
      <c r="BP47" s="318">
        <f t="shared" si="40"/>
        <v>0</v>
      </c>
      <c r="BQ47" s="318"/>
      <c r="BR47" s="318">
        <f t="shared" si="62"/>
        <v>0</v>
      </c>
      <c r="BS47" s="318"/>
      <c r="BT47" s="318">
        <f t="shared" si="63"/>
        <v>0</v>
      </c>
      <c r="BU47" s="318">
        <f t="shared" si="43"/>
        <v>0</v>
      </c>
      <c r="BV47" s="318"/>
      <c r="BW47" s="318">
        <f t="shared" si="59"/>
        <v>0</v>
      </c>
      <c r="BX47" s="318"/>
      <c r="BY47" s="318">
        <f t="shared" si="45"/>
        <v>0</v>
      </c>
      <c r="BZ47" s="318"/>
      <c r="CA47" s="318">
        <f t="shared" si="46"/>
        <v>0</v>
      </c>
      <c r="CB47" s="318"/>
      <c r="CC47" s="318">
        <f t="shared" si="47"/>
        <v>0</v>
      </c>
      <c r="CD47" s="318"/>
      <c r="CE47" s="318">
        <f t="shared" si="48"/>
        <v>0</v>
      </c>
      <c r="CF47" s="318"/>
      <c r="CG47" s="318">
        <f t="shared" si="49"/>
        <v>0</v>
      </c>
      <c r="CH47" s="318"/>
      <c r="CI47" s="318">
        <f t="shared" si="50"/>
        <v>0</v>
      </c>
      <c r="CJ47" s="318"/>
      <c r="CK47" s="318">
        <f t="shared" si="51"/>
        <v>0</v>
      </c>
      <c r="CL47" s="318"/>
      <c r="CM47" s="318">
        <f t="shared" si="52"/>
        <v>0</v>
      </c>
      <c r="CN47" s="318"/>
      <c r="CO47" s="318">
        <f t="shared" si="53"/>
        <v>0</v>
      </c>
      <c r="CP47" s="318"/>
      <c r="CQ47" s="318">
        <f t="shared" si="54"/>
        <v>0</v>
      </c>
      <c r="CR47" s="318"/>
      <c r="CS47" s="318">
        <f t="shared" si="55"/>
        <v>0</v>
      </c>
      <c r="CT47" s="318"/>
      <c r="CU47" s="318">
        <f t="shared" si="56"/>
        <v>0</v>
      </c>
      <c r="CV47" s="318"/>
      <c r="CW47" s="318">
        <f t="shared" si="26"/>
        <v>0</v>
      </c>
      <c r="CX47" s="330"/>
      <c r="CY47" s="330"/>
      <c r="CZ47" s="330"/>
      <c r="DA47" s="330"/>
      <c r="DB47" s="330"/>
      <c r="DC47" s="330"/>
      <c r="DD47" s="330"/>
      <c r="DE47" s="330"/>
      <c r="DF47" s="330"/>
      <c r="DG47" s="330"/>
      <c r="DH47" s="330"/>
      <c r="DI47" s="330"/>
      <c r="DJ47" s="330"/>
      <c r="DK47" s="330"/>
      <c r="DL47" s="330"/>
      <c r="DM47" s="330"/>
      <c r="DN47" s="330"/>
      <c r="DO47" s="330"/>
      <c r="DP47" s="330"/>
      <c r="DQ47" s="330"/>
      <c r="DR47" s="330"/>
      <c r="DS47" s="330"/>
      <c r="DT47" s="330"/>
      <c r="DU47" s="330"/>
      <c r="DV47" s="331">
        <f t="shared" si="58"/>
        <v>0</v>
      </c>
      <c r="DW47" s="130">
        <f t="shared" si="27"/>
        <v>0</v>
      </c>
      <c r="DX47" s="131">
        <f t="shared" si="66"/>
        <v>0</v>
      </c>
      <c r="DY47" s="147">
        <f t="shared" si="60"/>
        <v>0</v>
      </c>
      <c r="DZ47" s="298">
        <f t="shared" si="61"/>
        <v>0</v>
      </c>
      <c r="ED47" s="163"/>
    </row>
    <row r="48" spans="2:134" ht="15.75" x14ac:dyDescent="0.3">
      <c r="B48" t="s">
        <v>636</v>
      </c>
      <c r="C48" s="297" t="s">
        <v>485</v>
      </c>
      <c r="D48" s="326">
        <f>SUMIFS(Tabla110[[#All],[Venta Total]],Tabla110[[#All],[Asesor]],B48,Tabla110[[#All],[Fecha Cobranza]],"&lt;"&amp;$D$6,Tabla110[[#All],[Fecha Cobranza]],"&gt;="&amp;$B$6)</f>
        <v>0</v>
      </c>
      <c r="E48" s="326">
        <f>SUMIFS(Tabla110[[#All],[Venta Total]],Tabla110[[#All],[Asesor]],B48,Tabla110[[#All],[Fecha Cobranza]],"&lt;"&amp;$E$6,Tabla110[[#All],[Fecha Cobranza]],"&gt;="&amp;$D$6)</f>
        <v>0</v>
      </c>
      <c r="F48" s="326">
        <f>SUMIFS(Tabla110[[#All],[Venta Total]],Tabla110[[#All],[Asesor]],B48,Tabla110[[#All],[Fecha Cobranza]],"&lt;"&amp;$F$6,Tabla110[[#All],[Fecha Cobranza]],"&gt;="&amp;$E$6)</f>
        <v>0</v>
      </c>
      <c r="G48" s="326">
        <f>SUMIFS(Tabla110[[#All],[Venta Total]],Tabla110[[#All],[Asesor]],B48,Tabla110[[#All],[Fecha Cobranza]],"&lt;"&amp;$G$6,Tabla110[[#All],[Fecha Cobranza]],"&gt;="&amp;$F$6)</f>
        <v>0</v>
      </c>
      <c r="H48" s="326">
        <f>SUMIFS(Tabla110[[#All],[Venta Total]],Tabla110[[#All],[Asesor]],B48,Tabla110[[#All],[Fecha Cobranza]],"&lt;"&amp;$H$6,Tabla110[[#All],[Fecha Cobranza]],"&gt;="&amp;$G$6)</f>
        <v>0</v>
      </c>
      <c r="I48" s="326">
        <f>SUMIFS(Tabla110[[#All],[Venta Total]],Tabla110[[#All],[Asesor]],B48,Tabla110[[#All],[Fecha Cobranza]],"&lt;"&amp;$I$6,Tabla110[[#All],[Fecha Cobranza]],"&gt;="&amp;$H$6)</f>
        <v>0</v>
      </c>
      <c r="J48" s="326">
        <f>SUMIFS(Tabla110[[#All],[Venta Total]],Tabla110[[#All],[Asesor]],B48,Tabla110[[#All],[Fecha Cobranza]],"&lt;"&amp;$J$6,Tabla110[[#All],[Fecha Cobranza]],"&gt;="&amp;$I$6)</f>
        <v>0</v>
      </c>
      <c r="K48" s="326">
        <f>SUMIFS(Tabla110[[#All],[Venta Total]],Tabla110[[#All],[Asesor]],B48,Tabla110[[#All],[Fecha Cobranza]],"&lt;"&amp;$K$6,Tabla110[[#All],[Fecha Cobranza]],"&gt;="&amp;$J$6)</f>
        <v>0</v>
      </c>
      <c r="L48" s="326">
        <f>SUMIFS(Tabla110[[#All],[Venta Total]],Tabla110[[#All],[Asesor]],B48,Tabla110[[#All],[Fecha Cobranza]],"&lt;"&amp;$L$6,Tabla110[[#All],[Fecha Cobranza]],"&gt;="&amp;$K$6)</f>
        <v>0</v>
      </c>
      <c r="M48" s="326">
        <f>SUMIFS(Tabla110[[#All],[Venta Total]],Tabla110[[#All],[Asesor]],B48,Tabla110[[#All],[Fecha Cobranza]],"&lt;"&amp;$M$6,Tabla110[[#All],[Fecha Cobranza]],"&gt;="&amp;$L$6)</f>
        <v>0</v>
      </c>
      <c r="N48" s="326">
        <f>SUMIFS(Tabla110[[#All],[Venta Total]],Tabla110[[#All],[Asesor]],B48,Tabla110[[#All],[Fecha Cobranza]],"&lt;"&amp;$N$6,Tabla110[[#All],[Fecha Cobranza]],"&gt;="&amp;$M$6)</f>
        <v>0</v>
      </c>
      <c r="O48" s="326">
        <f>SUMIFS(Tabla110[[#All],[Venta Total]],Tabla110[[#All],[Asesor]],B48,Tabla110[[#All],[Fecha Cobranza]],"&lt;"&amp;$O$6,Tabla110[[#All],[Fecha Cobranza]],"&gt;="&amp;$N$6)</f>
        <v>0</v>
      </c>
      <c r="P48" s="326">
        <f>SUMIFS(Tabla110[[#All],[Venta Total]],Tabla110[[#All],[Asesor]],B48,Tabla110[[#All],[Fecha Cobranza]],"&lt;"&amp;$P$6,Tabla110[[#All],[Fecha Cobranza]],"&gt;="&amp;$O$6)</f>
        <v>0</v>
      </c>
      <c r="Q48" s="326">
        <f>SUMIFS(Tabla110[[#All],[Venta Total]],Tabla110[[#All],[Asesor]],B48,Tabla110[[#All],[Fecha Cobranza]],"&lt;"&amp;$Q$6,Tabla110[[#All],[Fecha Cobranza]],"&gt;="&amp;$P$6)</f>
        <v>0</v>
      </c>
      <c r="R48" s="326">
        <f>SUMIFS(Tabla110[[#All],[Venta Total]],Tabla110[[#All],[Asesor]],B48,Tabla110[[#All],[Fecha Cobranza]],"&lt;"&amp;$R$6,Tabla110[[#All],[Fecha Cobranza]],"&gt;="&amp;$Q$6)</f>
        <v>0</v>
      </c>
      <c r="S48" s="326">
        <f>SUMIFS(Tabla110[[#All],[Venta Total]],Tabla110[[#All],[Asesor]],B48,Tabla110[[#All],[Fecha Cobranza]],"&lt;"&amp;$S$6,Tabla110[[#All],[Fecha Cobranza]],"&gt;="&amp;$R$6)</f>
        <v>0</v>
      </c>
      <c r="T48" s="326">
        <f>SUMIFS(Tabla110[[#All],[Venta Total]],Tabla110[[#All],[Asesor]],$B48,Tabla110[[#All],[Fecha Cobranza]],"&lt;"&amp;T$6,Tabla110[[#All],[Fecha Cobranza]],"&gt;="&amp;S$6)</f>
        <v>0</v>
      </c>
      <c r="U48" s="326">
        <f>SUMIFS(Tabla110[[#All],[Venta Total]],Tabla110[[#All],[Asesor]],$B48,Tabla110[[#All],[Fecha Cobranza]],"&lt;"&amp;U$6,Tabla110[[#All],[Fecha Cobranza]],"&gt;="&amp;T$6)</f>
        <v>0</v>
      </c>
      <c r="V48" s="326">
        <f>SUMIFS(Tabla110[[#All],[Venta Total]],Tabla110[[#All],[Asesor]],$B48,Tabla110[[#All],[Fecha Cobranza]],"&lt;"&amp;V$6,Tabla110[[#All],[Fecha Cobranza]],"&gt;="&amp;U$6)</f>
        <v>0</v>
      </c>
      <c r="W48" s="326">
        <f>SUMIFS(Tabla110[[#All],[Venta Total]],Tabla110[[#All],[Asesor]],$B48,Tabla110[[#All],[Fecha Cobranza]],"&lt;"&amp;W$6,Tabla110[[#All],[Fecha Cobranza]],"&gt;="&amp;V$6)</f>
        <v>0</v>
      </c>
      <c r="X48" s="326">
        <f>SUMIFS(Tabla110[[#All],[Venta Total]],Tabla110[[#All],[Asesor]],$B48,Tabla110[[#All],[Fecha Cobranza]],"&lt;"&amp;X$6,Tabla110[[#All],[Fecha Cobranza]],"&gt;="&amp;W$6)</f>
        <v>0</v>
      </c>
      <c r="Y48" s="326">
        <f>SUMIFS(Tabla110[[#All],[Venta Total]],Tabla110[[#All],[Asesor]],$B48,Tabla110[[#All],[Fecha Cobranza]],"&lt;"&amp;Y$6,Tabla110[[#All],[Fecha Cobranza]],"&gt;="&amp;X$6)</f>
        <v>0</v>
      </c>
      <c r="Z48" s="326">
        <f>SUMIFS(Tabla110[[#All],[Venta Total]],Tabla110[[#All],[Asesor]],$B48,Tabla110[[#All],[Fecha Cobranza]],"&lt;"&amp;Z$6,Tabla110[[#All],[Fecha Cobranza]],"&gt;="&amp;Y$6)</f>
        <v>57127.99319999999</v>
      </c>
      <c r="AA48" s="326">
        <f>SUMIFS(Tabla110[[#All],[Venta Total]],Tabla110[[#All],[Asesor]],$B48,Tabla110[[#All],[Fecha Cobranza]],"&lt;"&amp;AA$6,Tabla110[[#All],[Fecha Cobranza]],"&gt;="&amp;Z$6)</f>
        <v>0</v>
      </c>
      <c r="AB48" s="327">
        <f t="shared" si="64"/>
        <v>57127.99319999999</v>
      </c>
      <c r="AC48" s="322">
        <f>SUMIFS(Tabla110[[#All],[Utilidad Bruta Total]],Tabla110[[#All],[Asesor]],B48,Tabla110[[#All],[Fecha Cobranza]],"&lt;"&amp;$AC$6,Tabla110[[#All],[Fecha Cobranza]],"&gt;="&amp;$B$6)</f>
        <v>0</v>
      </c>
      <c r="AD48" s="322">
        <f>SUMIFS(Tabla110[[#All],[Utilidad Bruta Total]],Tabla110[[#All],[Asesor]],B48,Tabla110[[#All],[Fecha Cobranza]],"&lt;"&amp;$AD$6,Tabla110[[#All],[Fecha Cobranza]],"&gt;="&amp;$AC$6)</f>
        <v>0</v>
      </c>
      <c r="AE48" s="322">
        <f>SUMIFS(Tabla110[[#All],[Utilidad Bruta Total]],Tabla110[[#All],[Asesor]],B48,Tabla110[[#All],[Fecha Cobranza]],"&lt;"&amp;$AE$6,Tabla110[[#All],[Fecha Cobranza]],"&gt;="&amp;$AD$6)</f>
        <v>0</v>
      </c>
      <c r="AF48" s="322">
        <f>SUMIFS(Tabla110[[#All],[Utilidad Bruta Total]],Tabla110[[#All],[Asesor]],B48,Tabla110[[#All],[Fecha Cobranza]],"&lt;"&amp;$AF$6,Tabla110[[#All],[Fecha Cobranza]],"&gt;="&amp;$AE$6)</f>
        <v>0</v>
      </c>
      <c r="AG48" s="322">
        <f>SUMIFS(Tabla110[[#All],[Utilidad Bruta Total]],Tabla110[[#All],[Asesor]],B48,Tabla110[[#All],[Fecha Cobranza]],"&lt;"&amp;$AG$6,Tabla110[[#All],[Fecha Cobranza]],"&gt;="&amp;$AF$6)</f>
        <v>0</v>
      </c>
      <c r="AH48" s="322">
        <f>SUMIFS(Tabla110[[#All],[Utilidad Bruta Total]],Tabla110[[#All],[Asesor]],B48,Tabla110[[#All],[Fecha Cobranza]],"&lt;"&amp;$AH$6,Tabla110[[#All],[Fecha Cobranza]],"&gt;="&amp;$AG$6)</f>
        <v>0</v>
      </c>
      <c r="AI48" s="322">
        <f>SUMIFS(Tabla110[[#All],[Utilidad Bruta Total]],Tabla110[[#All],[Asesor]],B48,Tabla110[[#All],[Fecha Cobranza]],"&lt;"&amp;$AI$6,Tabla110[[#All],[Fecha Cobranza]],"&gt;="&amp;$AH$6)</f>
        <v>0</v>
      </c>
      <c r="AJ48" s="322">
        <f>SUMIFS(Tabla110[[#All],[Utilidad Bruta Total]],Tabla110[[#All],[Asesor]],B48,Tabla110[[#All],[Fecha Cobranza]],"&lt;"&amp;$AJ$6,Tabla110[[#All],[Fecha Cobranza]],"&gt;="&amp;$AI$6)</f>
        <v>0</v>
      </c>
      <c r="AK48" s="322">
        <f>SUMIFS(Tabla110[[#All],[Utilidad Bruta Total]],Tabla110[[#All],[Asesor]],B48,Tabla110[[#All],[Fecha Cobranza]],"&lt;"&amp;$AK$6,Tabla110[[#All],[Fecha Cobranza]],"&gt;="&amp;$AJ$6)</f>
        <v>0</v>
      </c>
      <c r="AL48" s="322">
        <f>SUMIFS(Tabla110[[#All],[Utilidad Bruta Total]],Tabla110[[#All],[Asesor]],B48,Tabla110[[#All],[Fecha Cobranza]],"&lt;"&amp;$AL$6,Tabla110[[#All],[Fecha Cobranza]],"&gt;="&amp;$AK$6)</f>
        <v>0</v>
      </c>
      <c r="AM48" s="322">
        <f>SUMIFS(Tabla110[[#All],[Utilidad Bruta Total]],Tabla110[[#All],[Asesor]],B48,Tabla110[[#All],[Fecha Cobranza]],"&lt;"&amp;$AM$6,Tabla110[[#All],[Fecha Cobranza]],"&gt;="&amp;$AL$6)</f>
        <v>0</v>
      </c>
      <c r="AN48" s="322">
        <f>SUMIFS(Tabla110[[#All],[Utilidad Bruta Total]],Tabla110[[#All],[Asesor]],B48,Tabla110[[#All],[Fecha Cobranza]],"&lt;"&amp;$AN$6,Tabla110[[#All],[Fecha Cobranza]],"&gt;="&amp;$AM$6)</f>
        <v>0</v>
      </c>
      <c r="AO48" s="322">
        <f>SUMIFS(Tabla110[[#All],[Utilidad Bruta Total]],Tabla110[[#All],[Asesor]],B48,Tabla110[[#All],[Fecha Cobranza]],"&lt;"&amp;$AO$6,Tabla110[[#All],[Fecha Cobranza]],"&gt;="&amp;$AN$6)</f>
        <v>0</v>
      </c>
      <c r="AP48" s="322">
        <f>SUMIFS(Tabla110[[#All],[Utilidad Bruta Total]],Tabla110[[#All],[Asesor]],B48,Tabla110[[#All],[Fecha Cobranza]],"&lt;"&amp;$AP$6,Tabla110[[#All],[Fecha Cobranza]],"&gt;="&amp;$AO$6)</f>
        <v>0</v>
      </c>
      <c r="AQ48" s="322">
        <f>SUMIFS(Tabla110[[#All],[Utilidad Bruta Total]],Tabla110[[#All],[Asesor]],B48,Tabla110[[#All],[Fecha Cobranza]],"&lt;"&amp;$AQ$6,Tabla110[[#All],[Fecha Cobranza]],"&gt;="&amp;$AP$6)</f>
        <v>0</v>
      </c>
      <c r="AR48" s="322">
        <f>SUMIFS(Tabla110[[#All],[Utilidad Bruta Total]],Tabla110[[#All],[Asesor]],B48,Tabla110[[#All],[Fecha Cobranza]],"&lt;"&amp;$AR$6,Tabla110[[#All],[Fecha Cobranza]],"&gt;="&amp;$AQ$6)</f>
        <v>0</v>
      </c>
      <c r="AS48" s="322">
        <f>SUMIFS(Tabla110[[#All],[Utilidad Bruta Total]],Tabla110[[#All],[Asesor]],$B48,Tabla110[[#All],[Fecha Cobranza]],"&lt;"&amp;AS$6,Tabla110[[#All],[Fecha Cobranza]],"&gt;="&amp;AR$6)</f>
        <v>0</v>
      </c>
      <c r="AT48" s="322">
        <f>SUMIFS(Tabla110[[#All],[Utilidad Bruta Total]],Tabla110[[#All],[Asesor]],$B48,Tabla110[[#All],[Fecha Cobranza]],"&lt;"&amp;AT$6,Tabla110[[#All],[Fecha Cobranza]],"&gt;="&amp;AS$6)</f>
        <v>0</v>
      </c>
      <c r="AU48" s="322">
        <f>SUMIFS(Tabla110[[#All],[Utilidad Bruta Total]],Tabla110[[#All],[Asesor]],$B48,Tabla110[[#All],[Fecha Cobranza]],"&lt;"&amp;AU$6,Tabla110[[#All],[Fecha Cobranza]],"&gt;="&amp;AT$6)</f>
        <v>0</v>
      </c>
      <c r="AV48" s="322">
        <f>SUMIFS(Tabla110[[#All],[Utilidad Bruta Total]],Tabla110[[#All],[Asesor]],$B48,Tabla110[[#All],[Fecha Cobranza]],"&lt;"&amp;AV$6,Tabla110[[#All],[Fecha Cobranza]],"&gt;="&amp;AU$6)</f>
        <v>0</v>
      </c>
      <c r="AW48" s="322">
        <f>SUMIFS(Tabla110[[#All],[Utilidad Bruta Total]],Tabla110[[#All],[Asesor]],$B48,Tabla110[[#All],[Fecha Cobranza]],"&lt;"&amp;AW$6,Tabla110[[#All],[Fecha Cobranza]],"&gt;="&amp;AV$6)</f>
        <v>0</v>
      </c>
      <c r="AX48" s="322">
        <f>SUMIFS(Tabla110[[#All],[Utilidad Bruta Total]],Tabla110[[#All],[Asesor]],$B48,Tabla110[[#All],[Fecha Cobranza]],"&lt;"&amp;AX$6,Tabla110[[#All],[Fecha Cobranza]],"&gt;="&amp;AW$6)</f>
        <v>0</v>
      </c>
      <c r="AY48" s="322" t="e">
        <f>SUMIFS(Tabla110[[#All],[Utilidad Bruta Total]],Tabla110[[#All],[Asesor]],$B48,Tabla110[[#All],[Fecha Cobranza]],"&lt;"&amp;AY$6,Tabla110[[#All],[Fecha Cobranza]],"&gt;="&amp;AX$6)</f>
        <v>#N/A</v>
      </c>
      <c r="AZ48" s="322">
        <f>SUMIFS(Tabla110[[#All],[Utilidad Bruta Total]],Tabla110[[#All],[Asesor]],$B48,Tabla110[[#All],[Fecha Cobranza]],"&lt;"&amp;AZ$6,Tabla110[[#All],[Fecha Cobranza]],"&gt;="&amp;AY$6)</f>
        <v>0</v>
      </c>
      <c r="BA48" s="323" t="e">
        <f t="shared" si="65"/>
        <v>#N/A</v>
      </c>
      <c r="BB48" s="318">
        <f t="shared" si="33"/>
        <v>0</v>
      </c>
      <c r="BC48" s="318"/>
      <c r="BD48" s="318">
        <f t="shared" si="34"/>
        <v>0</v>
      </c>
      <c r="BE48" s="318"/>
      <c r="BF48" s="318">
        <f t="shared" si="35"/>
        <v>0</v>
      </c>
      <c r="BG48" s="318"/>
      <c r="BH48" s="318">
        <f t="shared" si="36"/>
        <v>0</v>
      </c>
      <c r="BI48" s="318"/>
      <c r="BJ48" s="318">
        <f t="shared" si="37"/>
        <v>0</v>
      </c>
      <c r="BK48" s="318"/>
      <c r="BL48" s="318">
        <f t="shared" si="38"/>
        <v>0</v>
      </c>
      <c r="BM48" s="318"/>
      <c r="BN48" s="318">
        <f t="shared" si="39"/>
        <v>0</v>
      </c>
      <c r="BO48" s="318"/>
      <c r="BP48" s="318">
        <f t="shared" si="40"/>
        <v>0</v>
      </c>
      <c r="BQ48" s="318"/>
      <c r="BR48" s="318">
        <f t="shared" si="62"/>
        <v>0</v>
      </c>
      <c r="BS48" s="318"/>
      <c r="BT48" s="318">
        <f t="shared" si="63"/>
        <v>0</v>
      </c>
      <c r="BU48" s="318">
        <f t="shared" si="43"/>
        <v>0</v>
      </c>
      <c r="BV48" s="318"/>
      <c r="BW48" s="318">
        <f t="shared" si="59"/>
        <v>0</v>
      </c>
      <c r="BX48" s="318"/>
      <c r="BY48" s="318">
        <f t="shared" si="45"/>
        <v>0</v>
      </c>
      <c r="BZ48" s="318"/>
      <c r="CA48" s="318">
        <f t="shared" si="46"/>
        <v>0</v>
      </c>
      <c r="CB48" s="318"/>
      <c r="CC48" s="318">
        <f t="shared" si="47"/>
        <v>0</v>
      </c>
      <c r="CD48" s="318"/>
      <c r="CE48" s="318">
        <f t="shared" si="48"/>
        <v>0</v>
      </c>
      <c r="CF48" s="318"/>
      <c r="CG48" s="318">
        <f t="shared" si="49"/>
        <v>0</v>
      </c>
      <c r="CH48" s="318"/>
      <c r="CI48" s="318">
        <f t="shared" si="50"/>
        <v>0</v>
      </c>
      <c r="CJ48" s="318"/>
      <c r="CK48" s="318">
        <f t="shared" si="51"/>
        <v>0</v>
      </c>
      <c r="CL48" s="318"/>
      <c r="CM48" s="318">
        <f t="shared" si="52"/>
        <v>0</v>
      </c>
      <c r="CN48" s="318"/>
      <c r="CO48" s="318">
        <f t="shared" si="53"/>
        <v>0</v>
      </c>
      <c r="CP48" s="318"/>
      <c r="CQ48" s="318">
        <f t="shared" si="54"/>
        <v>0</v>
      </c>
      <c r="CR48" s="318"/>
      <c r="CS48" s="318" t="e">
        <f t="shared" si="55"/>
        <v>#N/A</v>
      </c>
      <c r="CT48" s="318"/>
      <c r="CU48" s="318">
        <f t="shared" si="56"/>
        <v>0</v>
      </c>
      <c r="CV48" s="318"/>
      <c r="CW48" s="318" t="e">
        <f t="shared" si="26"/>
        <v>#N/A</v>
      </c>
      <c r="CX48" s="330"/>
      <c r="CY48" s="330"/>
      <c r="CZ48" s="330"/>
      <c r="DA48" s="330"/>
      <c r="DB48" s="330"/>
      <c r="DC48" s="330"/>
      <c r="DD48" s="330"/>
      <c r="DE48" s="330"/>
      <c r="DF48" s="330"/>
      <c r="DG48" s="330"/>
      <c r="DH48" s="330"/>
      <c r="DI48" s="330"/>
      <c r="DJ48" s="330"/>
      <c r="DK48" s="330"/>
      <c r="DL48" s="330"/>
      <c r="DM48" s="330"/>
      <c r="DN48" s="330"/>
      <c r="DO48" s="330"/>
      <c r="DP48" s="330"/>
      <c r="DQ48" s="330"/>
      <c r="DR48" s="330"/>
      <c r="DS48" s="330"/>
      <c r="DT48" s="330"/>
      <c r="DU48" s="330"/>
      <c r="DV48" s="331">
        <f t="shared" si="58"/>
        <v>0</v>
      </c>
      <c r="DW48" s="130">
        <f t="shared" si="27"/>
        <v>57127.99319999999</v>
      </c>
      <c r="DX48" s="131" t="e">
        <f t="shared" si="66"/>
        <v>#N/A</v>
      </c>
      <c r="DY48" s="147">
        <f t="shared" si="60"/>
        <v>0</v>
      </c>
      <c r="DZ48" s="298">
        <f t="shared" si="61"/>
        <v>0</v>
      </c>
      <c r="ED48" s="163"/>
    </row>
    <row r="49" spans="2:134" ht="15.75" x14ac:dyDescent="0.3">
      <c r="B49" t="s">
        <v>637</v>
      </c>
      <c r="C49" s="297" t="s">
        <v>485</v>
      </c>
      <c r="D49" s="326">
        <f>SUMIFS(Tabla110[[#All],[Venta Total]],Tabla110[[#All],[Asesor]],B49,Tabla110[[#All],[Fecha Cobranza]],"&lt;"&amp;$D$6,Tabla110[[#All],[Fecha Cobranza]],"&gt;="&amp;$B$6)</f>
        <v>0</v>
      </c>
      <c r="E49" s="326">
        <f>SUMIFS(Tabla110[[#All],[Venta Total]],Tabla110[[#All],[Asesor]],B49,Tabla110[[#All],[Fecha Cobranza]],"&lt;"&amp;$E$6,Tabla110[[#All],[Fecha Cobranza]],"&gt;="&amp;$D$6)</f>
        <v>0</v>
      </c>
      <c r="F49" s="326">
        <f>SUMIFS(Tabla110[[#All],[Venta Total]],Tabla110[[#All],[Asesor]],B49,Tabla110[[#All],[Fecha Cobranza]],"&lt;"&amp;$F$6,Tabla110[[#All],[Fecha Cobranza]],"&gt;="&amp;$E$6)</f>
        <v>0</v>
      </c>
      <c r="G49" s="326">
        <f>SUMIFS(Tabla110[[#All],[Venta Total]],Tabla110[[#All],[Asesor]],B49,Tabla110[[#All],[Fecha Cobranza]],"&lt;"&amp;$G$6,Tabla110[[#All],[Fecha Cobranza]],"&gt;="&amp;$F$6)</f>
        <v>0</v>
      </c>
      <c r="H49" s="326">
        <f>SUMIFS(Tabla110[[#All],[Venta Total]],Tabla110[[#All],[Asesor]],B49,Tabla110[[#All],[Fecha Cobranza]],"&lt;"&amp;$H$6,Tabla110[[#All],[Fecha Cobranza]],"&gt;="&amp;$G$6)</f>
        <v>0</v>
      </c>
      <c r="I49" s="326">
        <f>SUMIFS(Tabla110[[#All],[Venta Total]],Tabla110[[#All],[Asesor]],B49,Tabla110[[#All],[Fecha Cobranza]],"&lt;"&amp;$I$6,Tabla110[[#All],[Fecha Cobranza]],"&gt;="&amp;$H$6)</f>
        <v>0</v>
      </c>
      <c r="J49" s="326">
        <f>SUMIFS(Tabla110[[#All],[Venta Total]],Tabla110[[#All],[Asesor]],B49,Tabla110[[#All],[Fecha Cobranza]],"&lt;"&amp;$J$6,Tabla110[[#All],[Fecha Cobranza]],"&gt;="&amp;$I$6)</f>
        <v>0</v>
      </c>
      <c r="K49" s="326">
        <f>SUMIFS(Tabla110[[#All],[Venta Total]],Tabla110[[#All],[Asesor]],B49,Tabla110[[#All],[Fecha Cobranza]],"&lt;"&amp;$K$6,Tabla110[[#All],[Fecha Cobranza]],"&gt;="&amp;$J$6)</f>
        <v>0</v>
      </c>
      <c r="L49" s="326">
        <f>SUMIFS(Tabla110[[#All],[Venta Total]],Tabla110[[#All],[Asesor]],B49,Tabla110[[#All],[Fecha Cobranza]],"&lt;"&amp;$L$6,Tabla110[[#All],[Fecha Cobranza]],"&gt;="&amp;$K$6)</f>
        <v>0</v>
      </c>
      <c r="M49" s="326">
        <f>SUMIFS(Tabla110[[#All],[Venta Total]],Tabla110[[#All],[Asesor]],B49,Tabla110[[#All],[Fecha Cobranza]],"&lt;"&amp;$M$6,Tabla110[[#All],[Fecha Cobranza]],"&gt;="&amp;$L$6)</f>
        <v>0</v>
      </c>
      <c r="N49" s="326">
        <f>SUMIFS(Tabla110[[#All],[Venta Total]],Tabla110[[#All],[Asesor]],B49,Tabla110[[#All],[Fecha Cobranza]],"&lt;"&amp;$N$6,Tabla110[[#All],[Fecha Cobranza]],"&gt;="&amp;$M$6)</f>
        <v>0</v>
      </c>
      <c r="O49" s="326">
        <f>SUMIFS(Tabla110[[#All],[Venta Total]],Tabla110[[#All],[Asesor]],B49,Tabla110[[#All],[Fecha Cobranza]],"&lt;"&amp;$O$6,Tabla110[[#All],[Fecha Cobranza]],"&gt;="&amp;$N$6)</f>
        <v>0</v>
      </c>
      <c r="P49" s="326">
        <f>SUMIFS(Tabla110[[#All],[Venta Total]],Tabla110[[#All],[Asesor]],B49,Tabla110[[#All],[Fecha Cobranza]],"&lt;"&amp;$P$6,Tabla110[[#All],[Fecha Cobranza]],"&gt;="&amp;$O$6)</f>
        <v>0</v>
      </c>
      <c r="Q49" s="326">
        <f>SUMIFS(Tabla110[[#All],[Venta Total]],Tabla110[[#All],[Asesor]],B49,Tabla110[[#All],[Fecha Cobranza]],"&lt;"&amp;$Q$6,Tabla110[[#All],[Fecha Cobranza]],"&gt;="&amp;$P$6)</f>
        <v>0</v>
      </c>
      <c r="R49" s="326">
        <f>SUMIFS(Tabla110[[#All],[Venta Total]],Tabla110[[#All],[Asesor]],B49,Tabla110[[#All],[Fecha Cobranza]],"&lt;"&amp;$R$6,Tabla110[[#All],[Fecha Cobranza]],"&gt;="&amp;$Q$6)</f>
        <v>0</v>
      </c>
      <c r="S49" s="326">
        <f>SUMIFS(Tabla110[[#All],[Venta Total]],Tabla110[[#All],[Asesor]],B49,Tabla110[[#All],[Fecha Cobranza]],"&lt;"&amp;$S$6,Tabla110[[#All],[Fecha Cobranza]],"&gt;="&amp;$R$6)</f>
        <v>0</v>
      </c>
      <c r="T49" s="326">
        <f>SUMIFS(Tabla110[[#All],[Venta Total]],Tabla110[[#All],[Asesor]],$B49,Tabla110[[#All],[Fecha Cobranza]],"&lt;"&amp;T$6,Tabla110[[#All],[Fecha Cobranza]],"&gt;="&amp;S$6)</f>
        <v>0</v>
      </c>
      <c r="U49" s="326">
        <f>SUMIFS(Tabla110[[#All],[Venta Total]],Tabla110[[#All],[Asesor]],$B49,Tabla110[[#All],[Fecha Cobranza]],"&lt;"&amp;U$6,Tabla110[[#All],[Fecha Cobranza]],"&gt;="&amp;T$6)</f>
        <v>0</v>
      </c>
      <c r="V49" s="326">
        <f>SUMIFS(Tabla110[[#All],[Venta Total]],Tabla110[[#All],[Asesor]],$B49,Tabla110[[#All],[Fecha Cobranza]],"&lt;"&amp;V$6,Tabla110[[#All],[Fecha Cobranza]],"&gt;="&amp;U$6)</f>
        <v>0</v>
      </c>
      <c r="W49" s="326">
        <f>SUMIFS(Tabla110[[#All],[Venta Total]],Tabla110[[#All],[Asesor]],$B49,Tabla110[[#All],[Fecha Cobranza]],"&lt;"&amp;W$6,Tabla110[[#All],[Fecha Cobranza]],"&gt;="&amp;V$6)</f>
        <v>0</v>
      </c>
      <c r="X49" s="326">
        <f>SUMIFS(Tabla110[[#All],[Venta Total]],Tabla110[[#All],[Asesor]],$B49,Tabla110[[#All],[Fecha Cobranza]],"&lt;"&amp;X$6,Tabla110[[#All],[Fecha Cobranza]],"&gt;="&amp;W$6)</f>
        <v>0</v>
      </c>
      <c r="Y49" s="326">
        <f>SUMIFS(Tabla110[[#All],[Venta Total]],Tabla110[[#All],[Asesor]],$B49,Tabla110[[#All],[Fecha Cobranza]],"&lt;"&amp;Y$6,Tabla110[[#All],[Fecha Cobranza]],"&gt;="&amp;X$6)</f>
        <v>0</v>
      </c>
      <c r="Z49" s="326">
        <f>SUMIFS(Tabla110[[#All],[Venta Total]],Tabla110[[#All],[Asesor]],$B49,Tabla110[[#All],[Fecha Cobranza]],"&lt;"&amp;Z$6,Tabla110[[#All],[Fecha Cobranza]],"&gt;="&amp;Y$6)</f>
        <v>0</v>
      </c>
      <c r="AA49" s="326">
        <f>SUMIFS(Tabla110[[#All],[Venta Total]],Tabla110[[#All],[Asesor]],$B49,Tabla110[[#All],[Fecha Cobranza]],"&lt;"&amp;AA$6,Tabla110[[#All],[Fecha Cobranza]],"&gt;="&amp;Z$6)</f>
        <v>0</v>
      </c>
      <c r="AB49" s="327">
        <f t="shared" si="64"/>
        <v>0</v>
      </c>
      <c r="AC49" s="322">
        <f>SUMIFS(Tabla110[[#All],[Utilidad Bruta Total]],Tabla110[[#All],[Asesor]],B49,Tabla110[[#All],[Fecha Cobranza]],"&lt;"&amp;$AC$6,Tabla110[[#All],[Fecha Cobranza]],"&gt;="&amp;$B$6)</f>
        <v>0</v>
      </c>
      <c r="AD49" s="322">
        <f>SUMIFS(Tabla110[[#All],[Utilidad Bruta Total]],Tabla110[[#All],[Asesor]],B49,Tabla110[[#All],[Fecha Cobranza]],"&lt;"&amp;$AD$6,Tabla110[[#All],[Fecha Cobranza]],"&gt;="&amp;$AC$6)</f>
        <v>0</v>
      </c>
      <c r="AE49" s="322">
        <f>SUMIFS(Tabla110[[#All],[Utilidad Bruta Total]],Tabla110[[#All],[Asesor]],B49,Tabla110[[#All],[Fecha Cobranza]],"&lt;"&amp;$AE$6,Tabla110[[#All],[Fecha Cobranza]],"&gt;="&amp;$AD$6)</f>
        <v>0</v>
      </c>
      <c r="AF49" s="322">
        <f>SUMIFS(Tabla110[[#All],[Utilidad Bruta Total]],Tabla110[[#All],[Asesor]],B49,Tabla110[[#All],[Fecha Cobranza]],"&lt;"&amp;$AF$6,Tabla110[[#All],[Fecha Cobranza]],"&gt;="&amp;$AE$6)</f>
        <v>0</v>
      </c>
      <c r="AG49" s="322">
        <f>SUMIFS(Tabla110[[#All],[Utilidad Bruta Total]],Tabla110[[#All],[Asesor]],B49,Tabla110[[#All],[Fecha Cobranza]],"&lt;"&amp;$AG$6,Tabla110[[#All],[Fecha Cobranza]],"&gt;="&amp;$AF$6)</f>
        <v>0</v>
      </c>
      <c r="AH49" s="322">
        <f>SUMIFS(Tabla110[[#All],[Utilidad Bruta Total]],Tabla110[[#All],[Asesor]],B49,Tabla110[[#All],[Fecha Cobranza]],"&lt;"&amp;$AH$6,Tabla110[[#All],[Fecha Cobranza]],"&gt;="&amp;$AG$6)</f>
        <v>0</v>
      </c>
      <c r="AI49" s="322">
        <f>SUMIFS(Tabla110[[#All],[Utilidad Bruta Total]],Tabla110[[#All],[Asesor]],B49,Tabla110[[#All],[Fecha Cobranza]],"&lt;"&amp;$AI$6,Tabla110[[#All],[Fecha Cobranza]],"&gt;="&amp;$AH$6)</f>
        <v>0</v>
      </c>
      <c r="AJ49" s="322">
        <f>SUMIFS(Tabla110[[#All],[Utilidad Bruta Total]],Tabla110[[#All],[Asesor]],B49,Tabla110[[#All],[Fecha Cobranza]],"&lt;"&amp;$AJ$6,Tabla110[[#All],[Fecha Cobranza]],"&gt;="&amp;$AI$6)</f>
        <v>0</v>
      </c>
      <c r="AK49" s="322">
        <f>SUMIFS(Tabla110[[#All],[Utilidad Bruta Total]],Tabla110[[#All],[Asesor]],B49,Tabla110[[#All],[Fecha Cobranza]],"&lt;"&amp;$AK$6,Tabla110[[#All],[Fecha Cobranza]],"&gt;="&amp;$AJ$6)</f>
        <v>0</v>
      </c>
      <c r="AL49" s="322">
        <f>SUMIFS(Tabla110[[#All],[Utilidad Bruta Total]],Tabla110[[#All],[Asesor]],B49,Tabla110[[#All],[Fecha Cobranza]],"&lt;"&amp;$AL$6,Tabla110[[#All],[Fecha Cobranza]],"&gt;="&amp;$AK$6)</f>
        <v>0</v>
      </c>
      <c r="AM49" s="322">
        <f>SUMIFS(Tabla110[[#All],[Utilidad Bruta Total]],Tabla110[[#All],[Asesor]],B49,Tabla110[[#All],[Fecha Cobranza]],"&lt;"&amp;$AM$6,Tabla110[[#All],[Fecha Cobranza]],"&gt;="&amp;$AL$6)</f>
        <v>0</v>
      </c>
      <c r="AN49" s="322">
        <f>SUMIFS(Tabla110[[#All],[Utilidad Bruta Total]],Tabla110[[#All],[Asesor]],B49,Tabla110[[#All],[Fecha Cobranza]],"&lt;"&amp;$AN$6,Tabla110[[#All],[Fecha Cobranza]],"&gt;="&amp;$AM$6)</f>
        <v>0</v>
      </c>
      <c r="AO49" s="322">
        <f>SUMIFS(Tabla110[[#All],[Utilidad Bruta Total]],Tabla110[[#All],[Asesor]],B49,Tabla110[[#All],[Fecha Cobranza]],"&lt;"&amp;$AO$6,Tabla110[[#All],[Fecha Cobranza]],"&gt;="&amp;$AN$6)</f>
        <v>0</v>
      </c>
      <c r="AP49" s="322">
        <f>SUMIFS(Tabla110[[#All],[Utilidad Bruta Total]],Tabla110[[#All],[Asesor]],B49,Tabla110[[#All],[Fecha Cobranza]],"&lt;"&amp;$AP$6,Tabla110[[#All],[Fecha Cobranza]],"&gt;="&amp;$AO$6)</f>
        <v>0</v>
      </c>
      <c r="AQ49" s="322">
        <f>SUMIFS(Tabla110[[#All],[Utilidad Bruta Total]],Tabla110[[#All],[Asesor]],B49,Tabla110[[#All],[Fecha Cobranza]],"&lt;"&amp;$AQ$6,Tabla110[[#All],[Fecha Cobranza]],"&gt;="&amp;$AP$6)</f>
        <v>0</v>
      </c>
      <c r="AR49" s="322">
        <f>SUMIFS(Tabla110[[#All],[Utilidad Bruta Total]],Tabla110[[#All],[Asesor]],B49,Tabla110[[#All],[Fecha Cobranza]],"&lt;"&amp;$AR$6,Tabla110[[#All],[Fecha Cobranza]],"&gt;="&amp;$AQ$6)</f>
        <v>0</v>
      </c>
      <c r="AS49" s="322">
        <f>SUMIFS(Tabla110[[#All],[Utilidad Bruta Total]],Tabla110[[#All],[Asesor]],$B49,Tabla110[[#All],[Fecha Cobranza]],"&lt;"&amp;AS$6,Tabla110[[#All],[Fecha Cobranza]],"&gt;="&amp;AR$6)</f>
        <v>0</v>
      </c>
      <c r="AT49" s="322">
        <f>SUMIFS(Tabla110[[#All],[Utilidad Bruta Total]],Tabla110[[#All],[Asesor]],$B49,Tabla110[[#All],[Fecha Cobranza]],"&lt;"&amp;AT$6,Tabla110[[#All],[Fecha Cobranza]],"&gt;="&amp;AS$6)</f>
        <v>0</v>
      </c>
      <c r="AU49" s="322">
        <f>SUMIFS(Tabla110[[#All],[Utilidad Bruta Total]],Tabla110[[#All],[Asesor]],$B49,Tabla110[[#All],[Fecha Cobranza]],"&lt;"&amp;AU$6,Tabla110[[#All],[Fecha Cobranza]],"&gt;="&amp;AT$6)</f>
        <v>0</v>
      </c>
      <c r="AV49" s="322">
        <f>SUMIFS(Tabla110[[#All],[Utilidad Bruta Total]],Tabla110[[#All],[Asesor]],$B49,Tabla110[[#All],[Fecha Cobranza]],"&lt;"&amp;AV$6,Tabla110[[#All],[Fecha Cobranza]],"&gt;="&amp;AU$6)</f>
        <v>0</v>
      </c>
      <c r="AW49" s="322">
        <f>SUMIFS(Tabla110[[#All],[Utilidad Bruta Total]],Tabla110[[#All],[Asesor]],$B49,Tabla110[[#All],[Fecha Cobranza]],"&lt;"&amp;AW$6,Tabla110[[#All],[Fecha Cobranza]],"&gt;="&amp;AV$6)</f>
        <v>0</v>
      </c>
      <c r="AX49" s="322">
        <f>SUMIFS(Tabla110[[#All],[Utilidad Bruta Total]],Tabla110[[#All],[Asesor]],$B49,Tabla110[[#All],[Fecha Cobranza]],"&lt;"&amp;AX$6,Tabla110[[#All],[Fecha Cobranza]],"&gt;="&amp;AW$6)</f>
        <v>0</v>
      </c>
      <c r="AY49" s="322">
        <f>SUMIFS(Tabla110[[#All],[Utilidad Bruta Total]],Tabla110[[#All],[Asesor]],$B49,Tabla110[[#All],[Fecha Cobranza]],"&lt;"&amp;AY$6,Tabla110[[#All],[Fecha Cobranza]],"&gt;="&amp;AX$6)</f>
        <v>0</v>
      </c>
      <c r="AZ49" s="322">
        <f>SUMIFS(Tabla110[[#All],[Utilidad Bruta Total]],Tabla110[[#All],[Asesor]],$B49,Tabla110[[#All],[Fecha Cobranza]],"&lt;"&amp;AZ$6,Tabla110[[#All],[Fecha Cobranza]],"&gt;="&amp;AY$6)</f>
        <v>0</v>
      </c>
      <c r="BA49" s="323">
        <f t="shared" si="65"/>
        <v>0</v>
      </c>
      <c r="BB49" s="318">
        <f t="shared" si="33"/>
        <v>0</v>
      </c>
      <c r="BC49" s="318"/>
      <c r="BD49" s="318">
        <f t="shared" si="34"/>
        <v>0</v>
      </c>
      <c r="BE49" s="318"/>
      <c r="BF49" s="318">
        <f t="shared" si="35"/>
        <v>0</v>
      </c>
      <c r="BG49" s="318"/>
      <c r="BH49" s="318">
        <f t="shared" si="36"/>
        <v>0</v>
      </c>
      <c r="BI49" s="318"/>
      <c r="BJ49" s="318">
        <f t="shared" si="37"/>
        <v>0</v>
      </c>
      <c r="BK49" s="318"/>
      <c r="BL49" s="318">
        <f t="shared" si="38"/>
        <v>0</v>
      </c>
      <c r="BM49" s="318"/>
      <c r="BN49" s="318">
        <f t="shared" si="39"/>
        <v>0</v>
      </c>
      <c r="BO49" s="318"/>
      <c r="BP49" s="318">
        <f t="shared" si="40"/>
        <v>0</v>
      </c>
      <c r="BQ49" s="318"/>
      <c r="BR49" s="318">
        <f t="shared" si="62"/>
        <v>0</v>
      </c>
      <c r="BS49" s="318"/>
      <c r="BT49" s="318">
        <f t="shared" si="63"/>
        <v>0</v>
      </c>
      <c r="BU49" s="318">
        <f t="shared" si="43"/>
        <v>0</v>
      </c>
      <c r="BV49" s="318"/>
      <c r="BW49" s="318">
        <f t="shared" si="59"/>
        <v>0</v>
      </c>
      <c r="BX49" s="318"/>
      <c r="BY49" s="318">
        <f t="shared" si="45"/>
        <v>0</v>
      </c>
      <c r="BZ49" s="318"/>
      <c r="CA49" s="318">
        <f t="shared" si="46"/>
        <v>0</v>
      </c>
      <c r="CB49" s="318"/>
      <c r="CC49" s="318">
        <f t="shared" si="47"/>
        <v>0</v>
      </c>
      <c r="CD49" s="318"/>
      <c r="CE49" s="318">
        <f t="shared" si="48"/>
        <v>0</v>
      </c>
      <c r="CF49" s="318"/>
      <c r="CG49" s="318">
        <f t="shared" si="49"/>
        <v>0</v>
      </c>
      <c r="CH49" s="318"/>
      <c r="CI49" s="318">
        <f t="shared" si="50"/>
        <v>0</v>
      </c>
      <c r="CJ49" s="318"/>
      <c r="CK49" s="318">
        <f t="shared" si="51"/>
        <v>0</v>
      </c>
      <c r="CL49" s="318"/>
      <c r="CM49" s="318">
        <f t="shared" si="52"/>
        <v>0</v>
      </c>
      <c r="CN49" s="318"/>
      <c r="CO49" s="318">
        <f t="shared" si="53"/>
        <v>0</v>
      </c>
      <c r="CP49" s="318"/>
      <c r="CQ49" s="318">
        <f t="shared" si="54"/>
        <v>0</v>
      </c>
      <c r="CR49" s="318"/>
      <c r="CS49" s="318">
        <f t="shared" si="55"/>
        <v>0</v>
      </c>
      <c r="CT49" s="318"/>
      <c r="CU49" s="318">
        <f t="shared" si="56"/>
        <v>0</v>
      </c>
      <c r="CV49" s="318"/>
      <c r="CW49" s="318">
        <f t="shared" si="26"/>
        <v>0</v>
      </c>
      <c r="CX49" s="330"/>
      <c r="CY49" s="330"/>
      <c r="CZ49" s="330"/>
      <c r="DA49" s="330"/>
      <c r="DB49" s="330"/>
      <c r="DC49" s="330"/>
      <c r="DD49" s="330"/>
      <c r="DE49" s="330"/>
      <c r="DF49" s="330"/>
      <c r="DG49" s="330"/>
      <c r="DH49" s="330"/>
      <c r="DI49" s="330"/>
      <c r="DJ49" s="330"/>
      <c r="DK49" s="330"/>
      <c r="DL49" s="330"/>
      <c r="DM49" s="330"/>
      <c r="DN49" s="330"/>
      <c r="DO49" s="330"/>
      <c r="DP49" s="330"/>
      <c r="DQ49" s="330"/>
      <c r="DR49" s="330"/>
      <c r="DS49" s="330"/>
      <c r="DT49" s="330"/>
      <c r="DU49" s="330"/>
      <c r="DV49" s="331">
        <f t="shared" si="58"/>
        <v>0</v>
      </c>
      <c r="DW49" s="130">
        <f t="shared" si="27"/>
        <v>0</v>
      </c>
      <c r="DX49" s="131">
        <f t="shared" si="66"/>
        <v>0</v>
      </c>
      <c r="DY49" s="147">
        <f t="shared" si="60"/>
        <v>0</v>
      </c>
      <c r="DZ49" s="298">
        <f t="shared" si="61"/>
        <v>0</v>
      </c>
      <c r="ED49" s="163"/>
    </row>
    <row r="50" spans="2:134" ht="15.75" x14ac:dyDescent="0.3">
      <c r="B50" t="s">
        <v>639</v>
      </c>
      <c r="C50" s="297" t="s">
        <v>485</v>
      </c>
      <c r="D50" s="326">
        <f>SUMIFS(Tabla110[[#All],[Venta Total]],Tabla110[[#All],[Asesor]],B50,Tabla110[[#All],[Fecha Cobranza]],"&lt;"&amp;$D$6,Tabla110[[#All],[Fecha Cobranza]],"&gt;="&amp;$B$6)</f>
        <v>0</v>
      </c>
      <c r="E50" s="326">
        <f>SUMIFS(Tabla110[[#All],[Venta Total]],Tabla110[[#All],[Asesor]],B50,Tabla110[[#All],[Fecha Cobranza]],"&lt;"&amp;$E$6,Tabla110[[#All],[Fecha Cobranza]],"&gt;="&amp;$D$6)</f>
        <v>0</v>
      </c>
      <c r="F50" s="326">
        <f>SUMIFS(Tabla110[[#All],[Venta Total]],Tabla110[[#All],[Asesor]],B50,Tabla110[[#All],[Fecha Cobranza]],"&lt;"&amp;$F$6,Tabla110[[#All],[Fecha Cobranza]],"&gt;="&amp;$E$6)</f>
        <v>0</v>
      </c>
      <c r="G50" s="326">
        <f>SUMIFS(Tabla110[[#All],[Venta Total]],Tabla110[[#All],[Asesor]],B50,Tabla110[[#All],[Fecha Cobranza]],"&lt;"&amp;$G$6,Tabla110[[#All],[Fecha Cobranza]],"&gt;="&amp;$F$6)</f>
        <v>0</v>
      </c>
      <c r="H50" s="326">
        <f>SUMIFS(Tabla110[[#All],[Venta Total]],Tabla110[[#All],[Asesor]],B50,Tabla110[[#All],[Fecha Cobranza]],"&lt;"&amp;$H$6,Tabla110[[#All],[Fecha Cobranza]],"&gt;="&amp;$G$6)</f>
        <v>0</v>
      </c>
      <c r="I50" s="326">
        <f>SUMIFS(Tabla110[[#All],[Venta Total]],Tabla110[[#All],[Asesor]],B50,Tabla110[[#All],[Fecha Cobranza]],"&lt;"&amp;$I$6,Tabla110[[#All],[Fecha Cobranza]],"&gt;="&amp;$H$6)</f>
        <v>0</v>
      </c>
      <c r="J50" s="326">
        <f>SUMIFS(Tabla110[[#All],[Venta Total]],Tabla110[[#All],[Asesor]],B50,Tabla110[[#All],[Fecha Cobranza]],"&lt;"&amp;$J$6,Tabla110[[#All],[Fecha Cobranza]],"&gt;="&amp;$I$6)</f>
        <v>0</v>
      </c>
      <c r="K50" s="326">
        <f>SUMIFS(Tabla110[[#All],[Venta Total]],Tabla110[[#All],[Asesor]],B50,Tabla110[[#All],[Fecha Cobranza]],"&lt;"&amp;$K$6,Tabla110[[#All],[Fecha Cobranza]],"&gt;="&amp;$J$6)</f>
        <v>0</v>
      </c>
      <c r="L50" s="326">
        <f>SUMIFS(Tabla110[[#All],[Venta Total]],Tabla110[[#All],[Asesor]],B50,Tabla110[[#All],[Fecha Cobranza]],"&lt;"&amp;$L$6,Tabla110[[#All],[Fecha Cobranza]],"&gt;="&amp;$K$6)</f>
        <v>0</v>
      </c>
      <c r="M50" s="326">
        <f>SUMIFS(Tabla110[[#All],[Venta Total]],Tabla110[[#All],[Asesor]],B50,Tabla110[[#All],[Fecha Cobranza]],"&lt;"&amp;$M$6,Tabla110[[#All],[Fecha Cobranza]],"&gt;="&amp;$L$6)</f>
        <v>0</v>
      </c>
      <c r="N50" s="326">
        <f>SUMIFS(Tabla110[[#All],[Venta Total]],Tabla110[[#All],[Asesor]],B50,Tabla110[[#All],[Fecha Cobranza]],"&lt;"&amp;$N$6,Tabla110[[#All],[Fecha Cobranza]],"&gt;="&amp;$M$6)</f>
        <v>0</v>
      </c>
      <c r="O50" s="326">
        <f>SUMIFS(Tabla110[[#All],[Venta Total]],Tabla110[[#All],[Asesor]],B50,Tabla110[[#All],[Fecha Cobranza]],"&lt;"&amp;$O$6,Tabla110[[#All],[Fecha Cobranza]],"&gt;="&amp;$N$6)</f>
        <v>0</v>
      </c>
      <c r="P50" s="326">
        <f>SUMIFS(Tabla110[[#All],[Venta Total]],Tabla110[[#All],[Asesor]],B50,Tabla110[[#All],[Fecha Cobranza]],"&lt;"&amp;$P$6,Tabla110[[#All],[Fecha Cobranza]],"&gt;="&amp;$O$6)</f>
        <v>0</v>
      </c>
      <c r="Q50" s="326">
        <f>SUMIFS(Tabla110[[#All],[Venta Total]],Tabla110[[#All],[Asesor]],B50,Tabla110[[#All],[Fecha Cobranza]],"&lt;"&amp;$Q$6,Tabla110[[#All],[Fecha Cobranza]],"&gt;="&amp;$P$6)</f>
        <v>0</v>
      </c>
      <c r="R50" s="326">
        <f>SUMIFS(Tabla110[[#All],[Venta Total]],Tabla110[[#All],[Asesor]],B50,Tabla110[[#All],[Fecha Cobranza]],"&lt;"&amp;$R$6,Tabla110[[#All],[Fecha Cobranza]],"&gt;="&amp;$Q$6)</f>
        <v>0</v>
      </c>
      <c r="S50" s="326">
        <f>SUMIFS(Tabla110[[#All],[Venta Total]],Tabla110[[#All],[Asesor]],B50,Tabla110[[#All],[Fecha Cobranza]],"&lt;"&amp;$S$6,Tabla110[[#All],[Fecha Cobranza]],"&gt;="&amp;$R$6)</f>
        <v>0</v>
      </c>
      <c r="T50" s="326">
        <f>SUMIFS(Tabla110[[#All],[Venta Total]],Tabla110[[#All],[Asesor]],$B50,Tabla110[[#All],[Fecha Cobranza]],"&lt;"&amp;T$6,Tabla110[[#All],[Fecha Cobranza]],"&gt;="&amp;S$6)</f>
        <v>0</v>
      </c>
      <c r="U50" s="326">
        <f>SUMIFS(Tabla110[[#All],[Venta Total]],Tabla110[[#All],[Asesor]],$B50,Tabla110[[#All],[Fecha Cobranza]],"&lt;"&amp;U$6,Tabla110[[#All],[Fecha Cobranza]],"&gt;="&amp;T$6)</f>
        <v>0</v>
      </c>
      <c r="V50" s="326">
        <f>SUMIFS(Tabla110[[#All],[Venta Total]],Tabla110[[#All],[Asesor]],$B50,Tabla110[[#All],[Fecha Cobranza]],"&lt;"&amp;V$6,Tabla110[[#All],[Fecha Cobranza]],"&gt;="&amp;U$6)</f>
        <v>0</v>
      </c>
      <c r="W50" s="326">
        <f>SUMIFS(Tabla110[[#All],[Venta Total]],Tabla110[[#All],[Asesor]],$B50,Tabla110[[#All],[Fecha Cobranza]],"&lt;"&amp;W$6,Tabla110[[#All],[Fecha Cobranza]],"&gt;="&amp;V$6)</f>
        <v>0</v>
      </c>
      <c r="X50" s="326">
        <f>SUMIFS(Tabla110[[#All],[Venta Total]],Tabla110[[#All],[Asesor]],$B50,Tabla110[[#All],[Fecha Cobranza]],"&lt;"&amp;X$6,Tabla110[[#All],[Fecha Cobranza]],"&gt;="&amp;W$6)</f>
        <v>0</v>
      </c>
      <c r="Y50" s="326">
        <f>SUMIFS(Tabla110[[#All],[Venta Total]],Tabla110[[#All],[Asesor]],$B50,Tabla110[[#All],[Fecha Cobranza]],"&lt;"&amp;Y$6,Tabla110[[#All],[Fecha Cobranza]],"&gt;="&amp;X$6)</f>
        <v>0</v>
      </c>
      <c r="Z50" s="326">
        <f>SUMIFS(Tabla110[[#All],[Venta Total]],Tabla110[[#All],[Asesor]],$B50,Tabla110[[#All],[Fecha Cobranza]],"&lt;"&amp;Z$6,Tabla110[[#All],[Fecha Cobranza]],"&gt;="&amp;Y$6)</f>
        <v>0</v>
      </c>
      <c r="AA50" s="326">
        <f>SUMIFS(Tabla110[[#All],[Venta Total]],Tabla110[[#All],[Asesor]],$B50,Tabla110[[#All],[Fecha Cobranza]],"&lt;"&amp;AA$6,Tabla110[[#All],[Fecha Cobranza]],"&gt;="&amp;Z$6)</f>
        <v>0</v>
      </c>
      <c r="AB50" s="327">
        <f t="shared" si="64"/>
        <v>0</v>
      </c>
      <c r="AC50" s="322">
        <f>SUMIFS(Tabla110[[#All],[Utilidad Bruta Total]],Tabla110[[#All],[Asesor]],B50,Tabla110[[#All],[Fecha Cobranza]],"&lt;"&amp;$AC$6,Tabla110[[#All],[Fecha Cobranza]],"&gt;="&amp;$B$6)</f>
        <v>0</v>
      </c>
      <c r="AD50" s="322">
        <f>SUMIFS(Tabla110[[#All],[Utilidad Bruta Total]],Tabla110[[#All],[Asesor]],B50,Tabla110[[#All],[Fecha Cobranza]],"&lt;"&amp;$AD$6,Tabla110[[#All],[Fecha Cobranza]],"&gt;="&amp;$AC$6)</f>
        <v>0</v>
      </c>
      <c r="AE50" s="322">
        <f>SUMIFS(Tabla110[[#All],[Utilidad Bruta Total]],Tabla110[[#All],[Asesor]],B50,Tabla110[[#All],[Fecha Cobranza]],"&lt;"&amp;$AE$6,Tabla110[[#All],[Fecha Cobranza]],"&gt;="&amp;$AD$6)</f>
        <v>0</v>
      </c>
      <c r="AF50" s="322">
        <f>SUMIFS(Tabla110[[#All],[Utilidad Bruta Total]],Tabla110[[#All],[Asesor]],B50,Tabla110[[#All],[Fecha Cobranza]],"&lt;"&amp;$AF$6,Tabla110[[#All],[Fecha Cobranza]],"&gt;="&amp;$AE$6)</f>
        <v>0</v>
      </c>
      <c r="AG50" s="322">
        <f>SUMIFS(Tabla110[[#All],[Utilidad Bruta Total]],Tabla110[[#All],[Asesor]],B50,Tabla110[[#All],[Fecha Cobranza]],"&lt;"&amp;$AG$6,Tabla110[[#All],[Fecha Cobranza]],"&gt;="&amp;$AF$6)</f>
        <v>0</v>
      </c>
      <c r="AH50" s="322">
        <f>SUMIFS(Tabla110[[#All],[Utilidad Bruta Total]],Tabla110[[#All],[Asesor]],B50,Tabla110[[#All],[Fecha Cobranza]],"&lt;"&amp;$AH$6,Tabla110[[#All],[Fecha Cobranza]],"&gt;="&amp;$AG$6)</f>
        <v>0</v>
      </c>
      <c r="AI50" s="322">
        <f>SUMIFS(Tabla110[[#All],[Utilidad Bruta Total]],Tabla110[[#All],[Asesor]],B50,Tabla110[[#All],[Fecha Cobranza]],"&lt;"&amp;$AI$6,Tabla110[[#All],[Fecha Cobranza]],"&gt;="&amp;$AH$6)</f>
        <v>0</v>
      </c>
      <c r="AJ50" s="322">
        <f>SUMIFS(Tabla110[[#All],[Utilidad Bruta Total]],Tabla110[[#All],[Asesor]],B50,Tabla110[[#All],[Fecha Cobranza]],"&lt;"&amp;$AJ$6,Tabla110[[#All],[Fecha Cobranza]],"&gt;="&amp;$AI$6)</f>
        <v>0</v>
      </c>
      <c r="AK50" s="322">
        <f>SUMIFS(Tabla110[[#All],[Utilidad Bruta Total]],Tabla110[[#All],[Asesor]],B50,Tabla110[[#All],[Fecha Cobranza]],"&lt;"&amp;$AK$6,Tabla110[[#All],[Fecha Cobranza]],"&gt;="&amp;$AJ$6)</f>
        <v>0</v>
      </c>
      <c r="AL50" s="322">
        <f>SUMIFS(Tabla110[[#All],[Utilidad Bruta Total]],Tabla110[[#All],[Asesor]],B50,Tabla110[[#All],[Fecha Cobranza]],"&lt;"&amp;$AL$6,Tabla110[[#All],[Fecha Cobranza]],"&gt;="&amp;$AK$6)</f>
        <v>0</v>
      </c>
      <c r="AM50" s="322">
        <f>SUMIFS(Tabla110[[#All],[Utilidad Bruta Total]],Tabla110[[#All],[Asesor]],B50,Tabla110[[#All],[Fecha Cobranza]],"&lt;"&amp;$AM$6,Tabla110[[#All],[Fecha Cobranza]],"&gt;="&amp;$AL$6)</f>
        <v>0</v>
      </c>
      <c r="AN50" s="322">
        <f>SUMIFS(Tabla110[[#All],[Utilidad Bruta Total]],Tabla110[[#All],[Asesor]],B50,Tabla110[[#All],[Fecha Cobranza]],"&lt;"&amp;$AN$6,Tabla110[[#All],[Fecha Cobranza]],"&gt;="&amp;$AM$6)</f>
        <v>0</v>
      </c>
      <c r="AO50" s="322">
        <f>SUMIFS(Tabla110[[#All],[Utilidad Bruta Total]],Tabla110[[#All],[Asesor]],B50,Tabla110[[#All],[Fecha Cobranza]],"&lt;"&amp;$AO$6,Tabla110[[#All],[Fecha Cobranza]],"&gt;="&amp;$AN$6)</f>
        <v>0</v>
      </c>
      <c r="AP50" s="322">
        <f>SUMIFS(Tabla110[[#All],[Utilidad Bruta Total]],Tabla110[[#All],[Asesor]],B50,Tabla110[[#All],[Fecha Cobranza]],"&lt;"&amp;$AP$6,Tabla110[[#All],[Fecha Cobranza]],"&gt;="&amp;$AO$6)</f>
        <v>0</v>
      </c>
      <c r="AQ50" s="322">
        <f>SUMIFS(Tabla110[[#All],[Utilidad Bruta Total]],Tabla110[[#All],[Asesor]],B50,Tabla110[[#All],[Fecha Cobranza]],"&lt;"&amp;$AQ$6,Tabla110[[#All],[Fecha Cobranza]],"&gt;="&amp;$AP$6)</f>
        <v>0</v>
      </c>
      <c r="AR50" s="322">
        <f>SUMIFS(Tabla110[[#All],[Utilidad Bruta Total]],Tabla110[[#All],[Asesor]],B50,Tabla110[[#All],[Fecha Cobranza]],"&lt;"&amp;$AR$6,Tabla110[[#All],[Fecha Cobranza]],"&gt;="&amp;$AQ$6)</f>
        <v>0</v>
      </c>
      <c r="AS50" s="322">
        <f>SUMIFS(Tabla110[[#All],[Utilidad Bruta Total]],Tabla110[[#All],[Asesor]],$B50,Tabla110[[#All],[Fecha Cobranza]],"&lt;"&amp;AS$6,Tabla110[[#All],[Fecha Cobranza]],"&gt;="&amp;AR$6)</f>
        <v>0</v>
      </c>
      <c r="AT50" s="322">
        <f>SUMIFS(Tabla110[[#All],[Utilidad Bruta Total]],Tabla110[[#All],[Asesor]],$B50,Tabla110[[#All],[Fecha Cobranza]],"&lt;"&amp;AT$6,Tabla110[[#All],[Fecha Cobranza]],"&gt;="&amp;AS$6)</f>
        <v>0</v>
      </c>
      <c r="AU50" s="322">
        <f>SUMIFS(Tabla110[[#All],[Utilidad Bruta Total]],Tabla110[[#All],[Asesor]],$B50,Tabla110[[#All],[Fecha Cobranza]],"&lt;"&amp;AU$6,Tabla110[[#All],[Fecha Cobranza]],"&gt;="&amp;AT$6)</f>
        <v>0</v>
      </c>
      <c r="AV50" s="322">
        <f>SUMIFS(Tabla110[[#All],[Utilidad Bruta Total]],Tabla110[[#All],[Asesor]],$B50,Tabla110[[#All],[Fecha Cobranza]],"&lt;"&amp;AV$6,Tabla110[[#All],[Fecha Cobranza]],"&gt;="&amp;AU$6)</f>
        <v>0</v>
      </c>
      <c r="AW50" s="322">
        <f>SUMIFS(Tabla110[[#All],[Utilidad Bruta Total]],Tabla110[[#All],[Asesor]],$B50,Tabla110[[#All],[Fecha Cobranza]],"&lt;"&amp;AW$6,Tabla110[[#All],[Fecha Cobranza]],"&gt;="&amp;AV$6)</f>
        <v>0</v>
      </c>
      <c r="AX50" s="322">
        <f>SUMIFS(Tabla110[[#All],[Utilidad Bruta Total]],Tabla110[[#All],[Asesor]],$B50,Tabla110[[#All],[Fecha Cobranza]],"&lt;"&amp;AX$6,Tabla110[[#All],[Fecha Cobranza]],"&gt;="&amp;AW$6)</f>
        <v>0</v>
      </c>
      <c r="AY50" s="322">
        <f>SUMIFS(Tabla110[[#All],[Utilidad Bruta Total]],Tabla110[[#All],[Asesor]],$B50,Tabla110[[#All],[Fecha Cobranza]],"&lt;"&amp;AY$6,Tabla110[[#All],[Fecha Cobranza]],"&gt;="&amp;AX$6)</f>
        <v>0</v>
      </c>
      <c r="AZ50" s="322">
        <f>SUMIFS(Tabla110[[#All],[Utilidad Bruta Total]],Tabla110[[#All],[Asesor]],$B50,Tabla110[[#All],[Fecha Cobranza]],"&lt;"&amp;AZ$6,Tabla110[[#All],[Fecha Cobranza]],"&gt;="&amp;AY$6)</f>
        <v>0</v>
      </c>
      <c r="BA50" s="323">
        <f t="shared" si="65"/>
        <v>0</v>
      </c>
      <c r="BB50" s="318">
        <f t="shared" si="33"/>
        <v>0</v>
      </c>
      <c r="BC50" s="318"/>
      <c r="BD50" s="318">
        <f t="shared" si="34"/>
        <v>0</v>
      </c>
      <c r="BE50" s="318"/>
      <c r="BF50" s="318">
        <f t="shared" si="35"/>
        <v>0</v>
      </c>
      <c r="BG50" s="318"/>
      <c r="BH50" s="318">
        <f t="shared" si="36"/>
        <v>0</v>
      </c>
      <c r="BI50" s="318"/>
      <c r="BJ50" s="318">
        <f t="shared" si="37"/>
        <v>0</v>
      </c>
      <c r="BK50" s="318"/>
      <c r="BL50" s="318">
        <f t="shared" si="38"/>
        <v>0</v>
      </c>
      <c r="BM50" s="318"/>
      <c r="BN50" s="318">
        <f t="shared" si="39"/>
        <v>0</v>
      </c>
      <c r="BO50" s="318"/>
      <c r="BP50" s="318">
        <f t="shared" si="40"/>
        <v>0</v>
      </c>
      <c r="BQ50" s="318"/>
      <c r="BR50" s="318">
        <f t="shared" si="62"/>
        <v>0</v>
      </c>
      <c r="BS50" s="318"/>
      <c r="BT50" s="318">
        <f t="shared" si="63"/>
        <v>0</v>
      </c>
      <c r="BU50" s="318">
        <f t="shared" si="43"/>
        <v>0</v>
      </c>
      <c r="BV50" s="318"/>
      <c r="BW50" s="318">
        <f t="shared" si="59"/>
        <v>0</v>
      </c>
      <c r="BX50" s="318"/>
      <c r="BY50" s="318">
        <f t="shared" si="45"/>
        <v>0</v>
      </c>
      <c r="BZ50" s="318"/>
      <c r="CA50" s="318">
        <f t="shared" si="46"/>
        <v>0</v>
      </c>
      <c r="CB50" s="318"/>
      <c r="CC50" s="318">
        <f t="shared" si="47"/>
        <v>0</v>
      </c>
      <c r="CD50" s="318"/>
      <c r="CE50" s="318">
        <f t="shared" si="48"/>
        <v>0</v>
      </c>
      <c r="CF50" s="318"/>
      <c r="CG50" s="318">
        <f t="shared" si="49"/>
        <v>0</v>
      </c>
      <c r="CH50" s="318"/>
      <c r="CI50" s="318">
        <f t="shared" si="50"/>
        <v>0</v>
      </c>
      <c r="CJ50" s="318"/>
      <c r="CK50" s="318">
        <f t="shared" si="51"/>
        <v>0</v>
      </c>
      <c r="CL50" s="318"/>
      <c r="CM50" s="318">
        <f t="shared" si="52"/>
        <v>0</v>
      </c>
      <c r="CN50" s="318"/>
      <c r="CO50" s="318">
        <f t="shared" si="53"/>
        <v>0</v>
      </c>
      <c r="CP50" s="318"/>
      <c r="CQ50" s="318">
        <f t="shared" si="54"/>
        <v>0</v>
      </c>
      <c r="CR50" s="318"/>
      <c r="CS50" s="318">
        <f t="shared" si="55"/>
        <v>0</v>
      </c>
      <c r="CT50" s="318"/>
      <c r="CU50" s="318">
        <f t="shared" si="56"/>
        <v>0</v>
      </c>
      <c r="CV50" s="318"/>
      <c r="CW50" s="318">
        <f t="shared" si="26"/>
        <v>0</v>
      </c>
      <c r="CX50" s="330"/>
      <c r="CY50" s="330"/>
      <c r="CZ50" s="330"/>
      <c r="DA50" s="330"/>
      <c r="DB50" s="330"/>
      <c r="DC50" s="330"/>
      <c r="DD50" s="330"/>
      <c r="DE50" s="330"/>
      <c r="DF50" s="330"/>
      <c r="DG50" s="330"/>
      <c r="DH50" s="330"/>
      <c r="DI50" s="330"/>
      <c r="DJ50" s="330"/>
      <c r="DK50" s="330"/>
      <c r="DL50" s="330"/>
      <c r="DM50" s="330"/>
      <c r="DN50" s="330"/>
      <c r="DO50" s="330"/>
      <c r="DP50" s="330"/>
      <c r="DQ50" s="330"/>
      <c r="DR50" s="330"/>
      <c r="DS50" s="330"/>
      <c r="DT50" s="330"/>
      <c r="DU50" s="330"/>
      <c r="DV50" s="331">
        <f t="shared" si="58"/>
        <v>0</v>
      </c>
      <c r="DW50" s="130">
        <f t="shared" si="27"/>
        <v>0</v>
      </c>
      <c r="DX50" s="131">
        <f t="shared" si="66"/>
        <v>0</v>
      </c>
      <c r="DY50" s="147">
        <f t="shared" si="60"/>
        <v>0</v>
      </c>
      <c r="DZ50" s="298">
        <f t="shared" si="61"/>
        <v>0</v>
      </c>
      <c r="ED50" s="163"/>
    </row>
    <row r="51" spans="2:134" ht="15.75" x14ac:dyDescent="0.3">
      <c r="B51" t="s">
        <v>2698</v>
      </c>
      <c r="C51" s="297" t="s">
        <v>485</v>
      </c>
      <c r="D51" s="326">
        <f>SUMIFS(Tabla110[[#All],[Venta Total]],Tabla110[[#All],[Asesor]],B51,Tabla110[[#All],[Fecha Cobranza]],"&lt;"&amp;$D$6,Tabla110[[#All],[Fecha Cobranza]],"&gt;="&amp;$B$6)</f>
        <v>0</v>
      </c>
      <c r="E51" s="326">
        <f>SUMIFS(Tabla110[[#All],[Venta Total]],Tabla110[[#All],[Asesor]],B51,Tabla110[[#All],[Fecha Cobranza]],"&lt;"&amp;$E$6,Tabla110[[#All],[Fecha Cobranza]],"&gt;="&amp;$D$6)</f>
        <v>0</v>
      </c>
      <c r="F51" s="326">
        <f>SUMIFS(Tabla110[[#All],[Venta Total]],Tabla110[[#All],[Asesor]],B51,Tabla110[[#All],[Fecha Cobranza]],"&lt;"&amp;$F$6,Tabla110[[#All],[Fecha Cobranza]],"&gt;="&amp;$E$6)</f>
        <v>0</v>
      </c>
      <c r="G51" s="326">
        <f>SUMIFS(Tabla110[[#All],[Venta Total]],Tabla110[[#All],[Asesor]],B51,Tabla110[[#All],[Fecha Cobranza]],"&lt;"&amp;$G$6,Tabla110[[#All],[Fecha Cobranza]],"&gt;="&amp;$F$6)</f>
        <v>0</v>
      </c>
      <c r="H51" s="326">
        <f>SUMIFS(Tabla110[[#All],[Venta Total]],Tabla110[[#All],[Asesor]],B51,Tabla110[[#All],[Fecha Cobranza]],"&lt;"&amp;$H$6,Tabla110[[#All],[Fecha Cobranza]],"&gt;="&amp;$G$6)</f>
        <v>0</v>
      </c>
      <c r="I51" s="326">
        <f>SUMIFS(Tabla110[[#All],[Venta Total]],Tabla110[[#All],[Asesor]],B51,Tabla110[[#All],[Fecha Cobranza]],"&lt;"&amp;$I$6,Tabla110[[#All],[Fecha Cobranza]],"&gt;="&amp;$H$6)</f>
        <v>0</v>
      </c>
      <c r="J51" s="326">
        <f>SUMIFS(Tabla110[[#All],[Venta Total]],Tabla110[[#All],[Asesor]],B51,Tabla110[[#All],[Fecha Cobranza]],"&lt;"&amp;$J$6,Tabla110[[#All],[Fecha Cobranza]],"&gt;="&amp;$I$6)</f>
        <v>0</v>
      </c>
      <c r="K51" s="326">
        <f>SUMIFS(Tabla110[[#All],[Venta Total]],Tabla110[[#All],[Asesor]],B51,Tabla110[[#All],[Fecha Cobranza]],"&lt;"&amp;$K$6,Tabla110[[#All],[Fecha Cobranza]],"&gt;="&amp;$J$6)</f>
        <v>0</v>
      </c>
      <c r="L51" s="326">
        <f>SUMIFS(Tabla110[[#All],[Venta Total]],Tabla110[[#All],[Asesor]],B51,Tabla110[[#All],[Fecha Cobranza]],"&lt;"&amp;$L$6,Tabla110[[#All],[Fecha Cobranza]],"&gt;="&amp;$K$6)</f>
        <v>0</v>
      </c>
      <c r="M51" s="326">
        <f>SUMIFS(Tabla110[[#All],[Venta Total]],Tabla110[[#All],[Asesor]],B51,Tabla110[[#All],[Fecha Cobranza]],"&lt;"&amp;$M$6,Tabla110[[#All],[Fecha Cobranza]],"&gt;="&amp;$L$6)</f>
        <v>0</v>
      </c>
      <c r="N51" s="326">
        <f>SUMIFS(Tabla110[[#All],[Venta Total]],Tabla110[[#All],[Asesor]],B51,Tabla110[[#All],[Fecha Cobranza]],"&lt;"&amp;$N$6,Tabla110[[#All],[Fecha Cobranza]],"&gt;="&amp;$M$6)</f>
        <v>0</v>
      </c>
      <c r="O51" s="326">
        <f>SUMIFS(Tabla110[[#All],[Venta Total]],Tabla110[[#All],[Asesor]],B51,Tabla110[[#All],[Fecha Cobranza]],"&lt;"&amp;$O$6,Tabla110[[#All],[Fecha Cobranza]],"&gt;="&amp;$N$6)</f>
        <v>0</v>
      </c>
      <c r="P51" s="326">
        <f>SUMIFS(Tabla110[[#All],[Venta Total]],Tabla110[[#All],[Asesor]],B51,Tabla110[[#All],[Fecha Cobranza]],"&lt;"&amp;$P$6,Tabla110[[#All],[Fecha Cobranza]],"&gt;="&amp;$O$6)</f>
        <v>0</v>
      </c>
      <c r="Q51" s="326">
        <f>SUMIFS(Tabla110[[#All],[Venta Total]],Tabla110[[#All],[Asesor]],B51,Tabla110[[#All],[Fecha Cobranza]],"&lt;"&amp;$Q$6,Tabla110[[#All],[Fecha Cobranza]],"&gt;="&amp;$P$6)</f>
        <v>0</v>
      </c>
      <c r="R51" s="326">
        <f>SUMIFS(Tabla110[[#All],[Venta Total]],Tabla110[[#All],[Asesor]],B51,Tabla110[[#All],[Fecha Cobranza]],"&lt;"&amp;$R$6,Tabla110[[#All],[Fecha Cobranza]],"&gt;="&amp;$Q$6)</f>
        <v>0</v>
      </c>
      <c r="S51" s="326">
        <f>SUMIFS(Tabla110[[#All],[Venta Total]],Tabla110[[#All],[Asesor]],B51,Tabla110[[#All],[Fecha Cobranza]],"&lt;"&amp;$S$6,Tabla110[[#All],[Fecha Cobranza]],"&gt;="&amp;$R$6)</f>
        <v>0</v>
      </c>
      <c r="T51" s="326">
        <f>SUMIFS(Tabla110[[#All],[Venta Total]],Tabla110[[#All],[Asesor]],$B51,Tabla110[[#All],[Fecha Cobranza]],"&lt;"&amp;T$6,Tabla110[[#All],[Fecha Cobranza]],"&gt;="&amp;S$6)</f>
        <v>0</v>
      </c>
      <c r="U51" s="326">
        <f>SUMIFS(Tabla110[[#All],[Venta Total]],Tabla110[[#All],[Asesor]],$B51,Tabla110[[#All],[Fecha Cobranza]],"&lt;"&amp;U$6,Tabla110[[#All],[Fecha Cobranza]],"&gt;="&amp;T$6)</f>
        <v>0</v>
      </c>
      <c r="V51" s="326">
        <f>SUMIFS(Tabla110[[#All],[Venta Total]],Tabla110[[#All],[Asesor]],$B51,Tabla110[[#All],[Fecha Cobranza]],"&lt;"&amp;V$6,Tabla110[[#All],[Fecha Cobranza]],"&gt;="&amp;U$6)</f>
        <v>0</v>
      </c>
      <c r="W51" s="326">
        <f>SUMIFS(Tabla110[[#All],[Venta Total]],Tabla110[[#All],[Asesor]],$B51,Tabla110[[#All],[Fecha Cobranza]],"&lt;"&amp;W$6,Tabla110[[#All],[Fecha Cobranza]],"&gt;="&amp;V$6)</f>
        <v>0</v>
      </c>
      <c r="X51" s="326">
        <f>SUMIFS(Tabla110[[#All],[Venta Total]],Tabla110[[#All],[Asesor]],$B51,Tabla110[[#All],[Fecha Cobranza]],"&lt;"&amp;X$6,Tabla110[[#All],[Fecha Cobranza]],"&gt;="&amp;W$6)</f>
        <v>0</v>
      </c>
      <c r="Y51" s="326">
        <f>SUMIFS(Tabla110[[#All],[Venta Total]],Tabla110[[#All],[Asesor]],$B51,Tabla110[[#All],[Fecha Cobranza]],"&lt;"&amp;Y$6,Tabla110[[#All],[Fecha Cobranza]],"&gt;="&amp;X$6)</f>
        <v>0</v>
      </c>
      <c r="Z51" s="326">
        <f>SUMIFS(Tabla110[[#All],[Venta Total]],Tabla110[[#All],[Asesor]],$B51,Tabla110[[#All],[Fecha Cobranza]],"&lt;"&amp;Z$6,Tabla110[[#All],[Fecha Cobranza]],"&gt;="&amp;Y$6)</f>
        <v>58799.993999999999</v>
      </c>
      <c r="AA51" s="326">
        <f>SUMIFS(Tabla110[[#All],[Venta Total]],Tabla110[[#All],[Asesor]],$B51,Tabla110[[#All],[Fecha Cobranza]],"&lt;"&amp;AA$6,Tabla110[[#All],[Fecha Cobranza]],"&gt;="&amp;Z$6)</f>
        <v>0</v>
      </c>
      <c r="AB51" s="327">
        <f t="shared" si="64"/>
        <v>58799.993999999999</v>
      </c>
      <c r="AC51" s="322">
        <f>SUMIFS(Tabla110[[#All],[Utilidad Bruta Total]],Tabla110[[#All],[Asesor]],B51,Tabla110[[#All],[Fecha Cobranza]],"&lt;"&amp;$AC$6,Tabla110[[#All],[Fecha Cobranza]],"&gt;="&amp;$B$6)</f>
        <v>0</v>
      </c>
      <c r="AD51" s="322">
        <f>SUMIFS(Tabla110[[#All],[Utilidad Bruta Total]],Tabla110[[#All],[Asesor]],B51,Tabla110[[#All],[Fecha Cobranza]],"&lt;"&amp;$AD$6,Tabla110[[#All],[Fecha Cobranza]],"&gt;="&amp;$AC$6)</f>
        <v>0</v>
      </c>
      <c r="AE51" s="322">
        <f>SUMIFS(Tabla110[[#All],[Utilidad Bruta Total]],Tabla110[[#All],[Asesor]],B51,Tabla110[[#All],[Fecha Cobranza]],"&lt;"&amp;$AE$6,Tabla110[[#All],[Fecha Cobranza]],"&gt;="&amp;$AD$6)</f>
        <v>0</v>
      </c>
      <c r="AF51" s="322">
        <f>SUMIFS(Tabla110[[#All],[Utilidad Bruta Total]],Tabla110[[#All],[Asesor]],B51,Tabla110[[#All],[Fecha Cobranza]],"&lt;"&amp;$AF$6,Tabla110[[#All],[Fecha Cobranza]],"&gt;="&amp;$AE$6)</f>
        <v>0</v>
      </c>
      <c r="AG51" s="322">
        <f>SUMIFS(Tabla110[[#All],[Utilidad Bruta Total]],Tabla110[[#All],[Asesor]],B51,Tabla110[[#All],[Fecha Cobranza]],"&lt;"&amp;$AG$6,Tabla110[[#All],[Fecha Cobranza]],"&gt;="&amp;$AF$6)</f>
        <v>0</v>
      </c>
      <c r="AH51" s="322">
        <f>SUMIFS(Tabla110[[#All],[Utilidad Bruta Total]],Tabla110[[#All],[Asesor]],B51,Tabla110[[#All],[Fecha Cobranza]],"&lt;"&amp;$AH$6,Tabla110[[#All],[Fecha Cobranza]],"&gt;="&amp;$AG$6)</f>
        <v>0</v>
      </c>
      <c r="AI51" s="322">
        <f>SUMIFS(Tabla110[[#All],[Utilidad Bruta Total]],Tabla110[[#All],[Asesor]],B51,Tabla110[[#All],[Fecha Cobranza]],"&lt;"&amp;$AI$6,Tabla110[[#All],[Fecha Cobranza]],"&gt;="&amp;$AH$6)</f>
        <v>0</v>
      </c>
      <c r="AJ51" s="322">
        <f>SUMIFS(Tabla110[[#All],[Utilidad Bruta Total]],Tabla110[[#All],[Asesor]],B51,Tabla110[[#All],[Fecha Cobranza]],"&lt;"&amp;$AJ$6,Tabla110[[#All],[Fecha Cobranza]],"&gt;="&amp;$AI$6)</f>
        <v>0</v>
      </c>
      <c r="AK51" s="322">
        <f>SUMIFS(Tabla110[[#All],[Utilidad Bruta Total]],Tabla110[[#All],[Asesor]],B51,Tabla110[[#All],[Fecha Cobranza]],"&lt;"&amp;$AK$6,Tabla110[[#All],[Fecha Cobranza]],"&gt;="&amp;$AJ$6)</f>
        <v>0</v>
      </c>
      <c r="AL51" s="322">
        <f>SUMIFS(Tabla110[[#All],[Utilidad Bruta Total]],Tabla110[[#All],[Asesor]],B51,Tabla110[[#All],[Fecha Cobranza]],"&lt;"&amp;$AL$6,Tabla110[[#All],[Fecha Cobranza]],"&gt;="&amp;$AK$6)</f>
        <v>0</v>
      </c>
      <c r="AM51" s="322">
        <f>SUMIFS(Tabla110[[#All],[Utilidad Bruta Total]],Tabla110[[#All],[Asesor]],B51,Tabla110[[#All],[Fecha Cobranza]],"&lt;"&amp;$AM$6,Tabla110[[#All],[Fecha Cobranza]],"&gt;="&amp;$AL$6)</f>
        <v>0</v>
      </c>
      <c r="AN51" s="322">
        <f>SUMIFS(Tabla110[[#All],[Utilidad Bruta Total]],Tabla110[[#All],[Asesor]],B51,Tabla110[[#All],[Fecha Cobranza]],"&lt;"&amp;$AN$6,Tabla110[[#All],[Fecha Cobranza]],"&gt;="&amp;$AM$6)</f>
        <v>0</v>
      </c>
      <c r="AO51" s="322">
        <f>SUMIFS(Tabla110[[#All],[Utilidad Bruta Total]],Tabla110[[#All],[Asesor]],B51,Tabla110[[#All],[Fecha Cobranza]],"&lt;"&amp;$AO$6,Tabla110[[#All],[Fecha Cobranza]],"&gt;="&amp;$AN$6)</f>
        <v>0</v>
      </c>
      <c r="AP51" s="322">
        <f>SUMIFS(Tabla110[[#All],[Utilidad Bruta Total]],Tabla110[[#All],[Asesor]],B51,Tabla110[[#All],[Fecha Cobranza]],"&lt;"&amp;$AP$6,Tabla110[[#All],[Fecha Cobranza]],"&gt;="&amp;$AO$6)</f>
        <v>0</v>
      </c>
      <c r="AQ51" s="322">
        <f>SUMIFS(Tabla110[[#All],[Utilidad Bruta Total]],Tabla110[[#All],[Asesor]],B51,Tabla110[[#All],[Fecha Cobranza]],"&lt;"&amp;$AQ$6,Tabla110[[#All],[Fecha Cobranza]],"&gt;="&amp;$AP$6)</f>
        <v>0</v>
      </c>
      <c r="AR51" s="322">
        <f>SUMIFS(Tabla110[[#All],[Utilidad Bruta Total]],Tabla110[[#All],[Asesor]],B51,Tabla110[[#All],[Fecha Cobranza]],"&lt;"&amp;$AR$6,Tabla110[[#All],[Fecha Cobranza]],"&gt;="&amp;$AQ$6)</f>
        <v>0</v>
      </c>
      <c r="AS51" s="322">
        <f>SUMIFS(Tabla110[[#All],[Utilidad Bruta Total]],Tabla110[[#All],[Asesor]],$B51,Tabla110[[#All],[Fecha Cobranza]],"&lt;"&amp;AS$6,Tabla110[[#All],[Fecha Cobranza]],"&gt;="&amp;AR$6)</f>
        <v>0</v>
      </c>
      <c r="AT51" s="322">
        <f>SUMIFS(Tabla110[[#All],[Utilidad Bruta Total]],Tabla110[[#All],[Asesor]],$B51,Tabla110[[#All],[Fecha Cobranza]],"&lt;"&amp;AT$6,Tabla110[[#All],[Fecha Cobranza]],"&gt;="&amp;AS$6)</f>
        <v>0</v>
      </c>
      <c r="AU51" s="322">
        <f>SUMIFS(Tabla110[[#All],[Utilidad Bruta Total]],Tabla110[[#All],[Asesor]],$B51,Tabla110[[#All],[Fecha Cobranza]],"&lt;"&amp;AU$6,Tabla110[[#All],[Fecha Cobranza]],"&gt;="&amp;AT$6)</f>
        <v>0</v>
      </c>
      <c r="AV51" s="322">
        <f>SUMIFS(Tabla110[[#All],[Utilidad Bruta Total]],Tabla110[[#All],[Asesor]],$B51,Tabla110[[#All],[Fecha Cobranza]],"&lt;"&amp;AV$6,Tabla110[[#All],[Fecha Cobranza]],"&gt;="&amp;AU$6)</f>
        <v>0</v>
      </c>
      <c r="AW51" s="322">
        <f>SUMIFS(Tabla110[[#All],[Utilidad Bruta Total]],Tabla110[[#All],[Asesor]],$B51,Tabla110[[#All],[Fecha Cobranza]],"&lt;"&amp;AW$6,Tabla110[[#All],[Fecha Cobranza]],"&gt;="&amp;AV$6)</f>
        <v>0</v>
      </c>
      <c r="AX51" s="322">
        <f>SUMIFS(Tabla110[[#All],[Utilidad Bruta Total]],Tabla110[[#All],[Asesor]],$B51,Tabla110[[#All],[Fecha Cobranza]],"&lt;"&amp;AX$6,Tabla110[[#All],[Fecha Cobranza]],"&gt;="&amp;AW$6)</f>
        <v>0</v>
      </c>
      <c r="AY51" s="322" t="e">
        <f>SUMIFS(Tabla110[[#All],[Utilidad Bruta Total]],Tabla110[[#All],[Asesor]],$B51,Tabla110[[#All],[Fecha Cobranza]],"&lt;"&amp;AY$6,Tabla110[[#All],[Fecha Cobranza]],"&gt;="&amp;AX$6)</f>
        <v>#N/A</v>
      </c>
      <c r="AZ51" s="322">
        <f>SUMIFS(Tabla110[[#All],[Utilidad Bruta Total]],Tabla110[[#All],[Asesor]],$B51,Tabla110[[#All],[Fecha Cobranza]],"&lt;"&amp;AZ$6,Tabla110[[#All],[Fecha Cobranza]],"&gt;="&amp;AY$6)</f>
        <v>0</v>
      </c>
      <c r="BA51" s="323" t="e">
        <f t="shared" si="65"/>
        <v>#N/A</v>
      </c>
      <c r="BB51" s="318">
        <f>AC51*(IF($C51="INTERNO",IF(D51&gt;=$EG$16,$EI$16,IF(D51&gt;=$EG$15,$EI$15,IF(D51&gt;=$EG$14,$EI$14,IF(D51&gt;=$EG$13,$EI$13,IF(D51&gt;=$EG$12,$EI$12,IF(D51&gt;=$EG$11,$EI$11,IF(D51&gt;=$EG$10,$EI$10,0))))))),IF(D51&gt;=$EG$16,$EJ$16,IF(D51&gt;=$EG$15,$EJ$15,IF(D51&gt;=$EG$14,$EJ$14,IF(D51&gt;=$EG$13,$EJ$13,IF(D51&gt;=$EG$12,$EJ$12,IF(D51&gt;=$EG$11,$EJ$11,IF(D51&gt;=$EG$10,$EJ$10,0)))))))))</f>
        <v>0</v>
      </c>
      <c r="BC51" s="318"/>
      <c r="BD51" s="318">
        <f>AD51*(IF($C51="INTERNO",IF(E51&gt;=$EG$16,$EI$16,IF(E51&gt;=$EG$15,$EI$15,IF(E51&gt;=$EG$14,$EI$14,IF(E51&gt;=$EG$13,$EI$13,IF(E51&gt;=$EG$12,$EI$12,IF(E51&gt;=$EG$11,$EI$11,IF(E51&gt;=$EG$10,$EI$10,0))))))),IF(E51&gt;=$EG$16,$EJ$16,IF(E51&gt;=$EG$15,$EJ$15,IF(E51&gt;=$EG$14,$EJ$14,IF(E51&gt;=$EG$13,$EJ$13,IF(E51&gt;=$EG$12,$EJ$12,IF(E51&gt;=$EG$11,$EJ$11,IF(E51&gt;=$EG$10,$EJ$10,0)))))))))</f>
        <v>0</v>
      </c>
      <c r="BE51" s="318"/>
      <c r="BF51" s="318">
        <f>AE51*(IF($C51="INTERNO",IF(F51&gt;=$EG$16,$EI$16,IF(F51&gt;=$EG$15,$EI$15,IF(F51&gt;=$EG$14,$EI$14,IF(F51&gt;=$EG$13,$EI$13,IF(F51&gt;=$EG$12,$EI$12,IF(F51&gt;=$EG$11,$EI$11,IF(F51&gt;=$EG$10,$EI$10,0))))))),IF(F51&gt;=$EG$16,$EJ$16,IF(F51&gt;=$EG$15,$EJ$15,IF(F51&gt;=$EG$14,$EJ$14,IF(F51&gt;=$EG$13,$EJ$13,IF(F51&gt;=$EG$12,$EJ$12,IF(F51&gt;=$EG$11,$EJ$11,IF(F51&gt;=$EG$10,$EJ$10,0)))))))))</f>
        <v>0</v>
      </c>
      <c r="BG51" s="318"/>
      <c r="BH51" s="318">
        <f>AF51*(IF($C51="INTERNO",IF(G51&gt;=$EG$16,$EI$16,IF(G51&gt;=$EG$15,$EI$15,IF(G51&gt;=$EG$14,$EI$14,IF(G51&gt;=$EG$13,$EI$13,IF(G51&gt;=$EG$12,$EI$12,IF(G51&gt;=$EG$11,$EI$11,IF(G51&gt;=$EG$10,$EI$10,0))))))),IF(G51&gt;=$EG$16,$EJ$16,IF(G51&gt;=$EG$15,$EJ$15,IF(G51&gt;=$EG$14,$EJ$14,IF(G51&gt;=$EG$13,$EJ$13,IF(G51&gt;=$EG$12,$EJ$12,IF(G51&gt;=$EG$11,$EJ$11,IF(G51&gt;=$EG$10,$EJ$10,0)))))))))</f>
        <v>0</v>
      </c>
      <c r="BI51" s="318"/>
      <c r="BJ51" s="318">
        <f>AG51*(IF($C51="INTERNO",IF(H51&gt;=$EG$16,$EI$16,IF(H51&gt;=$EG$15,$EI$15,IF(H51&gt;=$EG$14,$EI$14,IF(H51&gt;=$EG$13,$EI$13,IF(H51&gt;=$EG$12,$EI$12,IF(H51&gt;=$EG$11,$EI$11,IF(H51&gt;=$EG$10,$EI$10,0))))))),IF(H51&gt;=$EG$16,$EJ$16,IF(H51&gt;=$EG$15,$EJ$15,IF(H51&gt;=$EG$14,$EJ$14,IF(H51&gt;=$EG$13,$EJ$13,IF(H51&gt;=$EG$12,$EJ$12,IF(H51&gt;=$EG$11,$EJ$11,IF(H51&gt;=$EG$10,$EJ$10,0)))))))))</f>
        <v>0</v>
      </c>
      <c r="BK51" s="318"/>
      <c r="BL51" s="318">
        <f>AH51*(IF($C51="INTERNO",IF(I51&gt;=$EG$16,$EI$16,IF(I51&gt;=$EG$15,$EI$15,IF(I51&gt;=$EG$14,$EI$14,IF(I51&gt;=$EG$13,$EI$13,IF(I51&gt;=$EG$12,$EI$12,IF(I51&gt;=$EG$11,$EI$11,IF(I51&gt;=$EG$10,$EI$10,0))))))),IF(I51&gt;=$EG$16,$EJ$16,IF(I51&gt;=$EG$15,$EJ$15,IF(I51&gt;=$EG$14,$EJ$14,IF(I51&gt;=$EG$13,$EJ$13,IF(I51&gt;=$EG$12,$EJ$12,IF(I51&gt;=$EG$11,$EJ$11,IF(I51&gt;=$EG$10,$EJ$10,0)))))))))</f>
        <v>0</v>
      </c>
      <c r="BM51" s="318"/>
      <c r="BN51" s="318">
        <f>AI51*(IF($C51="INTERNO",IF(J51&gt;=$EG$16,$EI$16,IF(J51&gt;=$EG$15,$EI$15,IF(J51&gt;=$EG$14,$EI$14,IF(J51&gt;=$EG$13,$EI$13,IF(J51&gt;=$EG$12,$EI$12,IF(J51&gt;=$EG$11,$EI$11,IF(J51&gt;=$EG$10,$EI$10,0))))))),IF(J51&gt;=$EG$16,$EJ$16,IF(J51&gt;=$EG$15,$EJ$15,IF(J51&gt;=$EG$14,$EJ$14,IF(J51&gt;=$EG$13,$EJ$13,IF(J51&gt;=$EG$12,$EJ$12,IF(J51&gt;=$EG$11,$EJ$11,IF(J51&gt;=$EG$10,$EJ$10,0)))))))))</f>
        <v>0</v>
      </c>
      <c r="BO51" s="318"/>
      <c r="BP51" s="318">
        <f>AJ51*(IF($C51="INTERNO",IF(K51&gt;=$EG$16,$EI$16,IF(K51&gt;=$EG$15,$EI$15,IF(K51&gt;=$EG$14,$EI$14,IF(K51&gt;=$EG$13,$EI$13,IF(K51&gt;=$EG$12,$EI$12,IF(K51&gt;=$EG$11,$EI$11,IF(K51&gt;=$EG$10,$EI$10,0))))))),IF(K51&gt;=$EG$16,$EJ$16,IF(K51&gt;=$EG$15,$EJ$15,IF(K51&gt;=$EG$14,$EJ$14,IF(K51&gt;=$EG$13,$EJ$13,IF(K51&gt;=$EG$12,$EJ$12,IF(K51&gt;=$EG$11,$EJ$11,IF(K51&gt;=$EG$10,$EJ$10,0)))))))))</f>
        <v>0</v>
      </c>
      <c r="BQ51" s="318"/>
      <c r="BR51" s="318">
        <f>AK51*(IF(C51="INTERNO",IF(L51&gt;=$EG$16,$EI$16,IF(L51&gt;=$EG$15,$EI$15,IF(L51&gt;=$EG$14,$EI$14,IF(L51&gt;=$EG$13,$EI$13,IF(L51&gt;=$EG$12,$EI$12,IF(L51&gt;=$EG$11,$EI$11,IF(L51&gt;=$EG$10,$EI$10,0))))))),IF(L51&gt;=$EG$16,$EJ$16,IF(L51&gt;=$EG$15,$EJ$15,IF(L51&gt;=$EG$14,$EJ$14,IF(L51&gt;=$EG$13,$EJ$13,IF(L51&gt;=$EG$12,$EJ$12,IF(L51&gt;=$EG$11,$EJ$11,IF(L51&gt;=$EG$10,$EJ$10,0)))))))))</f>
        <v>0</v>
      </c>
      <c r="BS51" s="318"/>
      <c r="BT51" s="318">
        <f>((AK51+AL51)*(IF(C51="INTERNO",IF((L51+M51)&gt;=$EG$16,$EI$16,IF((L51+M51)&gt;=$EG$15,$EI$15,IF((L51+M51)&gt;=$EG$14,$EI$14,IF((L51+M51)&gt;=$EG$13,$EI$13,IF((L51+M51)&gt;=$EG$12,$EI$12,IF((L51+M51)&gt;=$EG$11,$EI$11,IF((L51+M51)&gt;=$EG$10,$EI$10,0))))))),IF((L51+M51)&gt;=$EG$16,$EJ$16,IF((L51+M51)&gt;=$EG$15,$EJ$15,IF((L51+M51)&gt;=$EG$14,$EJ$14,IF((L51+M51)&gt;=$EG$13,$EJ$13,IF((L51+M51)&gt;=$EG$12,$EJ$12,IF((L51+M51)&gt;=$EG$11,$EJ$11,IF((L51+M51)&gt;=$EG$10,$EJ$10,0))))))))))-BR51</f>
        <v>0</v>
      </c>
      <c r="BU51" s="318">
        <f>AM51*(IF(C51="INTERNO",IF(N51&gt;=$EG$16,$EI$16,IF(N51&gt;=$EG$15,$EI$15,IF(N51&gt;=$EG$14,$EI$14,IF(N51&gt;=$EG$13,$EI$13,IF(N51&gt;=$EG$12,$EI$12,IF(N51&gt;=$EG$11,$EI$11,IF(N51&gt;=$EG$10,$EI$10,0))))))),IF(N51&gt;=$EG$16,$EJ$16,IF(N51&gt;=$EG$15,$EJ$15,IF(N51&gt;=$EG$14,$EJ$14,IF(N51&gt;=$EG$13,$EJ$13,IF(N51&gt;=$EG$12,$EJ$12,IF(N51&gt;=$EG$11,$EJ$11,IF(N51&gt;=$EG$10,$EJ$10,0)))))))))</f>
        <v>0</v>
      </c>
      <c r="BV51" s="318"/>
      <c r="BW51" s="318">
        <f>((AM51+AN51)*(IF(C51="INTERNO",IF((N51+O51)&gt;=$EG$16,$EI$16,IF((N51+O51)&gt;=$EG$15,$EI$15,IF((N51+O51)&gt;=$EG$14,$EI$14,IF((N51+O51)&gt;=$EG$13,$EI$13,IF((N51+O51)&gt;=$EG$12,$EI$12,IF((N51+O51)&gt;=$EG$11,$EI$11,IF((N51+O51)&gt;=$EG$10,$EI$10,0))))))),IF((N51+O51)&gt;=$EG$16,$EJ$16,IF((N51+O51)&gt;=$EG$15,$EJ$15,IF((N51+O51)&gt;=$EG$14,$EJ$14,IF((N51+O51)&gt;=$EG$13,$EJ$13,IF((N51+O51)&gt;=$EG$12,$EJ$12,IF((N51+O51)&gt;=$EG$11,$EJ$11,IF((N51+O51)&gt;=$EG$10,$EJ$10,0))))))))))-BU51</f>
        <v>0</v>
      </c>
      <c r="BX51" s="318"/>
      <c r="BY51" s="318">
        <f>AO51*(IF(C51="INTERNO",IF(P51&gt;=$EG$16,$EI$16,IF(P51&gt;=$EG$15,$EI$15,IF(P51&gt;=$EG$14,$EI$14,IF(P51&gt;=$EG$13,$EI$13,IF(P51&gt;=$EG$12,$EI$12,IF(P51&gt;=$EG$11,$EI$11,IF(P51&gt;=$EG$10,$EI$10,0))))))),IF(P51&gt;=$EG$16,$EJ$16,IF(P51&gt;=$EG$15,$EJ$15,IF(P51&gt;=$EG$14,$EJ$14,IF(P51&gt;=$EG$13,$EJ$13,IF(P51&gt;=$EG$12,$EJ$12,IF(P51&gt;=$EG$11,$EJ$11,IF(P51&gt;=$EG$10,$EJ$10,0)))))))))</f>
        <v>0</v>
      </c>
      <c r="BZ51" s="318"/>
      <c r="CA51" s="318">
        <f>((AO51+AP51)*(IF(C51="INTERNO",IF((P51+Q51)&gt;=$EG$16,$EI$16,IF((P51+Q51)&gt;=$EG$15,$EI$15,IF((P51+Q51)&gt;=$EG$14,$EI$14,IF((P51+Q51)&gt;=$EG$13,$EI$13,IF((P51+Q51)&gt;=$EG$12,$EI$12,IF((P51+Q51)&gt;=$EG$11,$EI$11,IF((P51+Q51)&gt;=$EG$10,$EI$10,0))))))),IF((P51+Q51)&gt;=$EG$16,$EJ$16,IF((P51+Q51)&gt;=$EG$15,$EJ$15,IF((P51+Q51)&gt;=$EG$14,$EJ$14,IF((P51+Q51)&gt;=$EG$13,$EJ$13,IF((P51+Q51)&gt;=$EG$12,$EJ$12,IF((P51+Q51)&gt;=$EG$11,$EJ$11,IF((P51+Q51)&gt;=$EG$10,$EJ$10,0))))))))))-BY51</f>
        <v>0</v>
      </c>
      <c r="CB51" s="318"/>
      <c r="CC51" s="318">
        <f>AQ51*(IF(C51="INTERNO",IF(R51&gt;=$EG$16,$EI$16,IF(R51&gt;=$EG$15,$EI$15,IF(R51&gt;=$EG$14,$EI$14,IF(R51&gt;=$EG$13,$EI$13,IF(R51&gt;=$EG$12,$EI$12,IF(R51&gt;=$EG$11,$EI$11,IF(R51&gt;=$EG$10,$EI$10,0))))))),IF(R51&gt;=$EG$16,$EJ$16,IF(R51&gt;=$EG$15,$EJ$15,IF(R51&gt;=$EG$14,$EJ$14,IF(R51&gt;=$EG$13,$EJ$13,IF(R51&gt;=$EG$12,$EJ$12,IF(R51&gt;=$EG$11,$EJ$11,IF(R51&gt;=$EG$10,$EJ$10,0)))))))))</f>
        <v>0</v>
      </c>
      <c r="CD51" s="318"/>
      <c r="CE51" s="318">
        <f>((AQ51+AR51)*(IF(C51="INTERNO",IF((R51+S51)&gt;=$EG$16,$EI$16,IF((R51+S51)&gt;=$EG$15,$EI$15,IF((R51+S51)&gt;=$EG$14,$EI$14,IF((R51+S51)&gt;=$EG$13,$EI$13,IF((R51+S51)&gt;=$EG$12,$EI$12,IF((R51+S51)&gt;=$EG$11,$EI$11,IF((R51+S51)&gt;=$EG$10,$EI$10,0))))))),IF((R51+S51)&gt;=$EG$16,$EJ$16,IF((R51+S51)&gt;=$EG$15,$EJ$15,IF((R51+S51)&gt;=$EG$14,$EJ$14,IF((R51+S51)&gt;=$EG$13,$EJ$13,IF((R51+S51)&gt;=$EG$12,$EJ$12,IF((R51+S51)&gt;=$EG$11,$EJ$11,IF((R51+S51)&gt;=$EG$10,$EJ$10,0))))))))))-CC51</f>
        <v>0</v>
      </c>
      <c r="CF51" s="318"/>
      <c r="CG51" s="318">
        <f>AS51*(IF(C51="INTERNO",IF(T51&gt;=$EG$16,$EI$16,IF(T51&gt;=$EG$15,$EI$15,IF(T51&gt;=$EG$14,$EI$14,IF(T51&gt;=$EG$13,$EI$13,IF(T51&gt;=$EG$12,$EI$12,IF(T51&gt;=$EG$11,$EI$11,IF(T51&gt;=$EG$10,$EI$10,0))))))),IF(T51&gt;=$EG$16,$EJ$16,IF(T51&gt;=$EG$15,$EJ$15,IF(T51&gt;=$EG$14,$EJ$14,IF(T51&gt;=$EG$13,$EJ$13,IF(T51&gt;=$EG$12,$EJ$12,IF(T51&gt;=$EG$11,$EJ$11,IF(T51&gt;=$EG$10,$EJ$10,0)))))))))</f>
        <v>0</v>
      </c>
      <c r="CH51" s="318"/>
      <c r="CI51" s="318">
        <f>AT51*(IF(C51="INTERNO",IF(U51&gt;=$EG$16,$EI$16,IF(U51&gt;=$EG$15,$EI$15,IF(U51&gt;=$EG$14,$EI$14,IF(U51&gt;=$EG$13,$EI$13,IF(U51&gt;=$EG$12,$EI$12,IF(U51&gt;=$EG$11,$EI$11,IF(U51&gt;=$EG$10,$EI$10,0))))))),IF(U51&gt;=$EG$16,$EJ$16,IF(U51&gt;=$EG$15,$EJ$15,IF(U51&gt;=$EG$14,$EJ$14,IF(U51&gt;=$EG$13,$EJ$13,IF(U51&gt;=$EG$12,$EJ$12,IF(U51&gt;=$EG$11,$EJ$11,IF(U51&gt;=$EG$10,$EJ$10,0)))))))))</f>
        <v>0</v>
      </c>
      <c r="CJ51" s="318"/>
      <c r="CK51" s="318">
        <f>AU51*(IF($C51="INTERNO",IF(V51&gt;=$EG$16,$EI$16,IF(V51&gt;=$EG$15,$EI$15,IF(V51&gt;=$EG$14,$EI$14,IF(V51&gt;=$EG$13,$EI$13,IF(V51&gt;=$EG$12,$EI$12,IF(V51&gt;=$EG$11,$EI$11,IF(V51&gt;=$EG$10,$EI$10,0))))))),IF(V51&gt;=$EG$16,$EJ$16,IF(V51&gt;=$EG$15,$EJ$15,IF(V51&gt;=$EG$14,$EJ$14,IF(V51&gt;=$EG$13,$EJ$13,IF(V51&gt;=$EG$12,$EJ$12,IF(V51&gt;=$EG$11,$EJ$11,IF(V51&gt;=$EG$10,$EJ$10,0)))))))))</f>
        <v>0</v>
      </c>
      <c r="CL51" s="318"/>
      <c r="CM51" s="318">
        <f>AV51*(IF($C51="INTERNO",IF(W51&gt;=$EG$16,$EI$16,IF(W51&gt;=$EG$15,$EI$15,IF(W51&gt;=$EG$14,$EI$14,IF(W51&gt;=$EG$13,$EI$13,IF(W51&gt;=$EG$12,$EI$12,IF(W51&gt;=$EG$11,$EI$11,IF(W51&gt;=$EG$10,$EI$10,0))))))),IF(W51&gt;=$EG$16,$EJ$16,IF(W51&gt;=$EG$15,$EJ$15,IF(W51&gt;=$EG$14,$EJ$14,IF(W51&gt;=$EG$13,$EJ$13,IF(W51&gt;=$EG$12,$EJ$12,IF(W51&gt;=$EG$11,$EJ$11,IF(W51&gt;=$EG$10,$EJ$10,0)))))))))</f>
        <v>0</v>
      </c>
      <c r="CN51" s="318"/>
      <c r="CO51" s="318">
        <f>AW51*(IF($C51="INTERNO",IF(X51&gt;=$EG$16,$EI$16,IF(X51&gt;=$EG$15,$EI$15,IF(X51&gt;=$EG$14,$EI$14,IF(X51&gt;=$EG$13,$EI$13,IF(X51&gt;=$EG$12,$EI$12,IF(X51&gt;=$EG$11,$EI$11,IF(X51&gt;=$EG$10,$EI$10,0))))))),IF(X51&gt;=$EG$16,$EJ$16,IF(X51&gt;=$EG$15,$EJ$15,IF(X51&gt;=$EG$14,$EJ$14,IF(X51&gt;=$EG$13,$EJ$13,IF(X51&gt;=$EG$12,$EJ$12,IF(X51&gt;=$EG$11,$EJ$11,IF(X51&gt;=$EG$10,$EJ$10,0)))))))))</f>
        <v>0</v>
      </c>
      <c r="CP51" s="318"/>
      <c r="CQ51" s="318">
        <f>AX51*(IF($C51="INTERNO",IF(Y51&gt;=$EG$16,$EI$16,IF(Y51&gt;=$EG$15,$EI$15,IF(Y51&gt;=$EG$14,$EI$14,IF(Y51&gt;=$EG$13,$EI$13,IF(Y51&gt;=$EG$12,$EI$12,IF(Y51&gt;=$EG$11,$EI$11,IF(Y51&gt;=$EG$10,$EI$10,0))))))),IF(Y51&gt;=$EG$16,$EJ$16,IF(Y51&gt;=$EG$15,$EJ$15,IF(Y51&gt;=$EG$14,$EJ$14,IF(Y51&gt;=$EG$13,$EJ$13,IF(Y51&gt;=$EG$12,$EJ$12,IF(Y51&gt;=$EG$11,$EJ$11,IF(Y51&gt;=$EG$10,$EJ$10,0)))))))))</f>
        <v>0</v>
      </c>
      <c r="CR51" s="318"/>
      <c r="CS51" s="318" t="e">
        <f>AY51*(IF($C51="INTERNO",IF(Z51&gt;=$EG$16,$EI$16,IF(Z51&gt;=$EG$15,$EI$15,IF(Z51&gt;=$EG$14,$EI$14,IF(Z51&gt;=$EG$13,$EI$13,IF(Z51&gt;=$EG$12,$EI$12,IF(Z51&gt;=$EG$11,$EI$11,IF(Z51&gt;=$EG$10,$EI$10,0))))))),IF(Z51&gt;=$EG$16,$EJ$16,IF(Z51&gt;=$EG$15,$EJ$15,IF(Z51&gt;=$EG$14,$EJ$14,IF(Z51&gt;=$EG$13,$EJ$13,IF(Z51&gt;=$EG$12,$EJ$12,IF(Z51&gt;=$EG$11,$EJ$11,IF(Z51&gt;=$EG$10,$EJ$10,0)))))))))</f>
        <v>#N/A</v>
      </c>
      <c r="CT51" s="318"/>
      <c r="CU51" s="318">
        <f>AZ51*(IF($C51="INTERNO",IF(AA51&gt;=$EG$16,$EI$16,IF(AA51&gt;=$EG$15,$EI$15,IF(AA51&gt;=$EG$14,$EI$14,IF(AA51&gt;=$EG$13,$EI$13,IF(AA51&gt;=$EG$12,$EI$12,IF(AA51&gt;=$EG$11,$EI$11,IF(AA51&gt;=$EG$10,$EI$10,0))))))),IF(AA51&gt;=$EG$16,$EJ$16,IF(AA51&gt;=$EG$15,$EJ$15,IF(AA51&gt;=$EG$14,$EJ$14,IF(AA51&gt;=$EG$13,$EJ$13,IF(AA51&gt;=$EG$12,$EJ$12,IF(AA51&gt;=$EG$11,$EJ$11,IF(AA51&gt;=$EG$10,$EJ$10,0)))))))))</f>
        <v>0</v>
      </c>
      <c r="CV51" s="318"/>
      <c r="CW51" s="318" t="e">
        <f>SUM(BB51:CV51)</f>
        <v>#N/A</v>
      </c>
      <c r="CX51" s="330"/>
      <c r="CY51" s="330"/>
      <c r="CZ51" s="330"/>
      <c r="DA51" s="330"/>
      <c r="DB51" s="330"/>
      <c r="DC51" s="330"/>
      <c r="DD51" s="330"/>
      <c r="DE51" s="330"/>
      <c r="DF51" s="330"/>
      <c r="DG51" s="330"/>
      <c r="DH51" s="330"/>
      <c r="DI51" s="330"/>
      <c r="DJ51" s="330"/>
      <c r="DK51" s="330"/>
      <c r="DL51" s="330"/>
      <c r="DM51" s="330"/>
      <c r="DN51" s="330"/>
      <c r="DO51" s="330"/>
      <c r="DP51" s="330"/>
      <c r="DQ51" s="330"/>
      <c r="DR51" s="330"/>
      <c r="DS51" s="330"/>
      <c r="DT51" s="330"/>
      <c r="DU51" s="330"/>
      <c r="DV51" s="331">
        <f t="shared" si="58"/>
        <v>0</v>
      </c>
      <c r="DW51" s="130">
        <f>+AB51</f>
        <v>58799.993999999999</v>
      </c>
      <c r="DX51" s="131" t="e">
        <f t="shared" si="66"/>
        <v>#N/A</v>
      </c>
      <c r="DY51" s="147">
        <f t="shared" si="60"/>
        <v>0</v>
      </c>
      <c r="DZ51" s="298">
        <f t="shared" si="61"/>
        <v>0</v>
      </c>
      <c r="ED51" s="163"/>
    </row>
    <row r="52" spans="2:134" ht="15.75" x14ac:dyDescent="0.3">
      <c r="B52" t="s">
        <v>2700</v>
      </c>
      <c r="C52" s="297" t="s">
        <v>485</v>
      </c>
      <c r="D52" s="326">
        <f>SUMIFS(Tabla110[[#All],[Venta Total]],Tabla110[[#All],[Asesor]],B52,Tabla110[[#All],[Fecha Cobranza]],"&lt;"&amp;$D$6,Tabla110[[#All],[Fecha Cobranza]],"&gt;="&amp;$B$6)</f>
        <v>0</v>
      </c>
      <c r="E52" s="326">
        <f>SUMIFS(Tabla110[[#All],[Venta Total]],Tabla110[[#All],[Asesor]],B52,Tabla110[[#All],[Fecha Cobranza]],"&lt;"&amp;$E$6,Tabla110[[#All],[Fecha Cobranza]],"&gt;="&amp;$D$6)</f>
        <v>0</v>
      </c>
      <c r="F52" s="326">
        <f>SUMIFS(Tabla110[[#All],[Venta Total]],Tabla110[[#All],[Asesor]],B52,Tabla110[[#All],[Fecha Cobranza]],"&lt;"&amp;$F$6,Tabla110[[#All],[Fecha Cobranza]],"&gt;="&amp;$E$6)</f>
        <v>0</v>
      </c>
      <c r="G52" s="326">
        <f>SUMIFS(Tabla110[[#All],[Venta Total]],Tabla110[[#All],[Asesor]],B52,Tabla110[[#All],[Fecha Cobranza]],"&lt;"&amp;$G$6,Tabla110[[#All],[Fecha Cobranza]],"&gt;="&amp;$F$6)</f>
        <v>0</v>
      </c>
      <c r="H52" s="326">
        <f>SUMIFS(Tabla110[[#All],[Venta Total]],Tabla110[[#All],[Asesor]],B52,Tabla110[[#All],[Fecha Cobranza]],"&lt;"&amp;$H$6,Tabla110[[#All],[Fecha Cobranza]],"&gt;="&amp;$G$6)</f>
        <v>0</v>
      </c>
      <c r="I52" s="326">
        <f>SUMIFS(Tabla110[[#All],[Venta Total]],Tabla110[[#All],[Asesor]],B52,Tabla110[[#All],[Fecha Cobranza]],"&lt;"&amp;$I$6,Tabla110[[#All],[Fecha Cobranza]],"&gt;="&amp;$H$6)</f>
        <v>0</v>
      </c>
      <c r="J52" s="326">
        <f>SUMIFS(Tabla110[[#All],[Venta Total]],Tabla110[[#All],[Asesor]],B52,Tabla110[[#All],[Fecha Cobranza]],"&lt;"&amp;$J$6,Tabla110[[#All],[Fecha Cobranza]],"&gt;="&amp;$I$6)</f>
        <v>0</v>
      </c>
      <c r="K52" s="326">
        <f>SUMIFS(Tabla110[[#All],[Venta Total]],Tabla110[[#All],[Asesor]],B52,Tabla110[[#All],[Fecha Cobranza]],"&lt;"&amp;$K$6,Tabla110[[#All],[Fecha Cobranza]],"&gt;="&amp;$J$6)</f>
        <v>0</v>
      </c>
      <c r="L52" s="326">
        <f>SUMIFS(Tabla110[[#All],[Venta Total]],Tabla110[[#All],[Asesor]],B52,Tabla110[[#All],[Fecha Cobranza]],"&lt;"&amp;$L$6,Tabla110[[#All],[Fecha Cobranza]],"&gt;="&amp;$K$6)</f>
        <v>0</v>
      </c>
      <c r="M52" s="326">
        <f>SUMIFS(Tabla110[[#All],[Venta Total]],Tabla110[[#All],[Asesor]],B52,Tabla110[[#All],[Fecha Cobranza]],"&lt;"&amp;$M$6,Tabla110[[#All],[Fecha Cobranza]],"&gt;="&amp;$L$6)</f>
        <v>0</v>
      </c>
      <c r="N52" s="326">
        <f>SUMIFS(Tabla110[[#All],[Venta Total]],Tabla110[[#All],[Asesor]],B52,Tabla110[[#All],[Fecha Cobranza]],"&lt;"&amp;$N$6,Tabla110[[#All],[Fecha Cobranza]],"&gt;="&amp;$M$6)</f>
        <v>0</v>
      </c>
      <c r="O52" s="326">
        <f>SUMIFS(Tabla110[[#All],[Venta Total]],Tabla110[[#All],[Asesor]],B52,Tabla110[[#All],[Fecha Cobranza]],"&lt;"&amp;$O$6,Tabla110[[#All],[Fecha Cobranza]],"&gt;="&amp;$N$6)</f>
        <v>0</v>
      </c>
      <c r="P52" s="326">
        <f>SUMIFS(Tabla110[[#All],[Venta Total]],Tabla110[[#All],[Asesor]],B52,Tabla110[[#All],[Fecha Cobranza]],"&lt;"&amp;$P$6,Tabla110[[#All],[Fecha Cobranza]],"&gt;="&amp;$O$6)</f>
        <v>0</v>
      </c>
      <c r="Q52" s="326">
        <f>SUMIFS(Tabla110[[#All],[Venta Total]],Tabla110[[#All],[Asesor]],B52,Tabla110[[#All],[Fecha Cobranza]],"&lt;"&amp;$Q$6,Tabla110[[#All],[Fecha Cobranza]],"&gt;="&amp;$P$6)</f>
        <v>0</v>
      </c>
      <c r="R52" s="326">
        <f>SUMIFS(Tabla110[[#All],[Venta Total]],Tabla110[[#All],[Asesor]],B52,Tabla110[[#All],[Fecha Cobranza]],"&lt;"&amp;$R$6,Tabla110[[#All],[Fecha Cobranza]],"&gt;="&amp;$Q$6)</f>
        <v>0</v>
      </c>
      <c r="S52" s="326">
        <f>SUMIFS(Tabla110[[#All],[Venta Total]],Tabla110[[#All],[Asesor]],B52,Tabla110[[#All],[Fecha Cobranza]],"&lt;"&amp;$S$6,Tabla110[[#All],[Fecha Cobranza]],"&gt;="&amp;$R$6)</f>
        <v>0</v>
      </c>
      <c r="T52" s="326">
        <f>SUMIFS(Tabla110[[#All],[Venta Total]],Tabla110[[#All],[Asesor]],$B52,Tabla110[[#All],[Fecha Cobranza]],"&lt;"&amp;T$6,Tabla110[[#All],[Fecha Cobranza]],"&gt;="&amp;S$6)</f>
        <v>0</v>
      </c>
      <c r="U52" s="326">
        <f>SUMIFS(Tabla110[[#All],[Venta Total]],Tabla110[[#All],[Asesor]],$B52,Tabla110[[#All],[Fecha Cobranza]],"&lt;"&amp;U$6,Tabla110[[#All],[Fecha Cobranza]],"&gt;="&amp;T$6)</f>
        <v>0</v>
      </c>
      <c r="V52" s="326">
        <f>SUMIFS(Tabla110[[#All],[Venta Total]],Tabla110[[#All],[Asesor]],$B52,Tabla110[[#All],[Fecha Cobranza]],"&lt;"&amp;V$6,Tabla110[[#All],[Fecha Cobranza]],"&gt;="&amp;U$6)</f>
        <v>0</v>
      </c>
      <c r="W52" s="326">
        <f>SUMIFS(Tabla110[[#All],[Venta Total]],Tabla110[[#All],[Asesor]],$B52,Tabla110[[#All],[Fecha Cobranza]],"&lt;"&amp;W$6,Tabla110[[#All],[Fecha Cobranza]],"&gt;="&amp;V$6)</f>
        <v>0</v>
      </c>
      <c r="X52" s="326">
        <f>SUMIFS(Tabla110[[#All],[Venta Total]],Tabla110[[#All],[Asesor]],$B52,Tabla110[[#All],[Fecha Cobranza]],"&lt;"&amp;X$6,Tabla110[[#All],[Fecha Cobranza]],"&gt;="&amp;W$6)</f>
        <v>0</v>
      </c>
      <c r="Y52" s="326">
        <f>SUMIFS(Tabla110[[#All],[Venta Total]],Tabla110[[#All],[Asesor]],$B52,Tabla110[[#All],[Fecha Cobranza]],"&lt;"&amp;Y$6,Tabla110[[#All],[Fecha Cobranza]],"&gt;="&amp;X$6)</f>
        <v>0</v>
      </c>
      <c r="Z52" s="326">
        <f>SUMIFS(Tabla110[[#All],[Venta Total]],Tabla110[[#All],[Asesor]],$B52,Tabla110[[#All],[Fecha Cobranza]],"&lt;"&amp;Z$6,Tabla110[[#All],[Fecha Cobranza]],"&gt;="&amp;Y$6)</f>
        <v>0</v>
      </c>
      <c r="AA52" s="326">
        <f>SUMIFS(Tabla110[[#All],[Venta Total]],Tabla110[[#All],[Asesor]],$B52,Tabla110[[#All],[Fecha Cobranza]],"&lt;"&amp;AA$6,Tabla110[[#All],[Fecha Cobranza]],"&gt;="&amp;Z$6)</f>
        <v>0</v>
      </c>
      <c r="AB52" s="327">
        <f t="shared" si="64"/>
        <v>0</v>
      </c>
      <c r="AC52" s="322">
        <f>SUMIFS(Tabla110[[#All],[Utilidad Bruta Total]],Tabla110[[#All],[Asesor]],B52,Tabla110[[#All],[Fecha Cobranza]],"&lt;"&amp;$AC$6,Tabla110[[#All],[Fecha Cobranza]],"&gt;="&amp;$B$6)</f>
        <v>0</v>
      </c>
      <c r="AD52" s="322">
        <f>SUMIFS(Tabla110[[#All],[Utilidad Bruta Total]],Tabla110[[#All],[Asesor]],B52,Tabla110[[#All],[Fecha Cobranza]],"&lt;"&amp;$AD$6,Tabla110[[#All],[Fecha Cobranza]],"&gt;="&amp;$AC$6)</f>
        <v>0</v>
      </c>
      <c r="AE52" s="322">
        <f>SUMIFS(Tabla110[[#All],[Utilidad Bruta Total]],Tabla110[[#All],[Asesor]],B52,Tabla110[[#All],[Fecha Cobranza]],"&lt;"&amp;$AE$6,Tabla110[[#All],[Fecha Cobranza]],"&gt;="&amp;$AD$6)</f>
        <v>0</v>
      </c>
      <c r="AF52" s="322">
        <f>SUMIFS(Tabla110[[#All],[Utilidad Bruta Total]],Tabla110[[#All],[Asesor]],B52,Tabla110[[#All],[Fecha Cobranza]],"&lt;"&amp;$AF$6,Tabla110[[#All],[Fecha Cobranza]],"&gt;="&amp;$AE$6)</f>
        <v>0</v>
      </c>
      <c r="AG52" s="322">
        <f>SUMIFS(Tabla110[[#All],[Utilidad Bruta Total]],Tabla110[[#All],[Asesor]],B52,Tabla110[[#All],[Fecha Cobranza]],"&lt;"&amp;$AG$6,Tabla110[[#All],[Fecha Cobranza]],"&gt;="&amp;$AF$6)</f>
        <v>0</v>
      </c>
      <c r="AH52" s="322">
        <f>SUMIFS(Tabla110[[#All],[Utilidad Bruta Total]],Tabla110[[#All],[Asesor]],B52,Tabla110[[#All],[Fecha Cobranza]],"&lt;"&amp;$AH$6,Tabla110[[#All],[Fecha Cobranza]],"&gt;="&amp;$AG$6)</f>
        <v>0</v>
      </c>
      <c r="AI52" s="322">
        <f>SUMIFS(Tabla110[[#All],[Utilidad Bruta Total]],Tabla110[[#All],[Asesor]],B52,Tabla110[[#All],[Fecha Cobranza]],"&lt;"&amp;$AI$6,Tabla110[[#All],[Fecha Cobranza]],"&gt;="&amp;$AH$6)</f>
        <v>0</v>
      </c>
      <c r="AJ52" s="322">
        <f>SUMIFS(Tabla110[[#All],[Utilidad Bruta Total]],Tabla110[[#All],[Asesor]],B52,Tabla110[[#All],[Fecha Cobranza]],"&lt;"&amp;$AJ$6,Tabla110[[#All],[Fecha Cobranza]],"&gt;="&amp;$AI$6)</f>
        <v>0</v>
      </c>
      <c r="AK52" s="322">
        <f>SUMIFS(Tabla110[[#All],[Utilidad Bruta Total]],Tabla110[[#All],[Asesor]],B52,Tabla110[[#All],[Fecha Cobranza]],"&lt;"&amp;$AK$6,Tabla110[[#All],[Fecha Cobranza]],"&gt;="&amp;$AJ$6)</f>
        <v>0</v>
      </c>
      <c r="AL52" s="322">
        <f>SUMIFS(Tabla110[[#All],[Utilidad Bruta Total]],Tabla110[[#All],[Asesor]],B52,Tabla110[[#All],[Fecha Cobranza]],"&lt;"&amp;$AL$6,Tabla110[[#All],[Fecha Cobranza]],"&gt;="&amp;$AK$6)</f>
        <v>0</v>
      </c>
      <c r="AM52" s="322">
        <f>SUMIFS(Tabla110[[#All],[Utilidad Bruta Total]],Tabla110[[#All],[Asesor]],B52,Tabla110[[#All],[Fecha Cobranza]],"&lt;"&amp;$AM$6,Tabla110[[#All],[Fecha Cobranza]],"&gt;="&amp;$AL$6)</f>
        <v>0</v>
      </c>
      <c r="AN52" s="322">
        <f>SUMIFS(Tabla110[[#All],[Utilidad Bruta Total]],Tabla110[[#All],[Asesor]],B52,Tabla110[[#All],[Fecha Cobranza]],"&lt;"&amp;$AN$6,Tabla110[[#All],[Fecha Cobranza]],"&gt;="&amp;$AM$6)</f>
        <v>0</v>
      </c>
      <c r="AO52" s="322">
        <f>SUMIFS(Tabla110[[#All],[Utilidad Bruta Total]],Tabla110[[#All],[Asesor]],B52,Tabla110[[#All],[Fecha Cobranza]],"&lt;"&amp;$AO$6,Tabla110[[#All],[Fecha Cobranza]],"&gt;="&amp;$AN$6)</f>
        <v>0</v>
      </c>
      <c r="AP52" s="322">
        <f>SUMIFS(Tabla110[[#All],[Utilidad Bruta Total]],Tabla110[[#All],[Asesor]],B52,Tabla110[[#All],[Fecha Cobranza]],"&lt;"&amp;$AP$6,Tabla110[[#All],[Fecha Cobranza]],"&gt;="&amp;$AO$6)</f>
        <v>0</v>
      </c>
      <c r="AQ52" s="322">
        <f>SUMIFS(Tabla110[[#All],[Utilidad Bruta Total]],Tabla110[[#All],[Asesor]],B52,Tabla110[[#All],[Fecha Cobranza]],"&lt;"&amp;$AQ$6,Tabla110[[#All],[Fecha Cobranza]],"&gt;="&amp;$AP$6)</f>
        <v>0</v>
      </c>
      <c r="AR52" s="322">
        <f>SUMIFS(Tabla110[[#All],[Utilidad Bruta Total]],Tabla110[[#All],[Asesor]],B52,Tabla110[[#All],[Fecha Cobranza]],"&lt;"&amp;$AR$6,Tabla110[[#All],[Fecha Cobranza]],"&gt;="&amp;$AQ$6)</f>
        <v>0</v>
      </c>
      <c r="AS52" s="322">
        <f>SUMIFS(Tabla110[[#All],[Utilidad Bruta Total]],Tabla110[[#All],[Asesor]],$B52,Tabla110[[#All],[Fecha Cobranza]],"&lt;"&amp;AS$6,Tabla110[[#All],[Fecha Cobranza]],"&gt;="&amp;AR$6)</f>
        <v>0</v>
      </c>
      <c r="AT52" s="322">
        <f>SUMIFS(Tabla110[[#All],[Utilidad Bruta Total]],Tabla110[[#All],[Asesor]],$B52,Tabla110[[#All],[Fecha Cobranza]],"&lt;"&amp;AT$6,Tabla110[[#All],[Fecha Cobranza]],"&gt;="&amp;AS$6)</f>
        <v>0</v>
      </c>
      <c r="AU52" s="322">
        <f>SUMIFS(Tabla110[[#All],[Utilidad Bruta Total]],Tabla110[[#All],[Asesor]],$B52,Tabla110[[#All],[Fecha Cobranza]],"&lt;"&amp;AU$6,Tabla110[[#All],[Fecha Cobranza]],"&gt;="&amp;AT$6)</f>
        <v>0</v>
      </c>
      <c r="AV52" s="322">
        <f>SUMIFS(Tabla110[[#All],[Utilidad Bruta Total]],Tabla110[[#All],[Asesor]],$B52,Tabla110[[#All],[Fecha Cobranza]],"&lt;"&amp;AV$6,Tabla110[[#All],[Fecha Cobranza]],"&gt;="&amp;AU$6)</f>
        <v>0</v>
      </c>
      <c r="AW52" s="322">
        <f>SUMIFS(Tabla110[[#All],[Utilidad Bruta Total]],Tabla110[[#All],[Asesor]],$B52,Tabla110[[#All],[Fecha Cobranza]],"&lt;"&amp;AW$6,Tabla110[[#All],[Fecha Cobranza]],"&gt;="&amp;AV$6)</f>
        <v>0</v>
      </c>
      <c r="AX52" s="322">
        <f>SUMIFS(Tabla110[[#All],[Utilidad Bruta Total]],Tabla110[[#All],[Asesor]],$B52,Tabla110[[#All],[Fecha Cobranza]],"&lt;"&amp;AX$6,Tabla110[[#All],[Fecha Cobranza]],"&gt;="&amp;AW$6)</f>
        <v>0</v>
      </c>
      <c r="AY52" s="322">
        <f>SUMIFS(Tabla110[[#All],[Utilidad Bruta Total]],Tabla110[[#All],[Asesor]],$B52,Tabla110[[#All],[Fecha Cobranza]],"&lt;"&amp;AY$6,Tabla110[[#All],[Fecha Cobranza]],"&gt;="&amp;AX$6)</f>
        <v>0</v>
      </c>
      <c r="AZ52" s="322">
        <f>SUMIFS(Tabla110[[#All],[Utilidad Bruta Total]],Tabla110[[#All],[Asesor]],$B52,Tabla110[[#All],[Fecha Cobranza]],"&lt;"&amp;AZ$6,Tabla110[[#All],[Fecha Cobranza]],"&gt;="&amp;AY$6)</f>
        <v>0</v>
      </c>
      <c r="BA52" s="323">
        <f t="shared" si="65"/>
        <v>0</v>
      </c>
      <c r="BB52" s="318">
        <f>AC52*(IF($C52="INTERNO",IF(D52&gt;=$EG$16,$EI$16,IF(D52&gt;=$EG$15,$EI$15,IF(D52&gt;=$EG$14,$EI$14,IF(D52&gt;=$EG$13,$EI$13,IF(D52&gt;=$EG$12,$EI$12,IF(D52&gt;=$EG$11,$EI$11,IF(D52&gt;=$EG$10,$EI$10,0))))))),IF(D52&gt;=$EG$16,$EJ$16,IF(D52&gt;=$EG$15,$EJ$15,IF(D52&gt;=$EG$14,$EJ$14,IF(D52&gt;=$EG$13,$EJ$13,IF(D52&gt;=$EG$12,$EJ$12,IF(D52&gt;=$EG$11,$EJ$11,IF(D52&gt;=$EG$10,$EJ$10,0)))))))))</f>
        <v>0</v>
      </c>
      <c r="BC52" s="318"/>
      <c r="BD52" s="318">
        <f>AD52*(IF($C52="INTERNO",IF(E52&gt;=$EG$16,$EI$16,IF(E52&gt;=$EG$15,$EI$15,IF(E52&gt;=$EG$14,$EI$14,IF(E52&gt;=$EG$13,$EI$13,IF(E52&gt;=$EG$12,$EI$12,IF(E52&gt;=$EG$11,$EI$11,IF(E52&gt;=$EG$10,$EI$10,0))))))),IF(E52&gt;=$EG$16,$EJ$16,IF(E52&gt;=$EG$15,$EJ$15,IF(E52&gt;=$EG$14,$EJ$14,IF(E52&gt;=$EG$13,$EJ$13,IF(E52&gt;=$EG$12,$EJ$12,IF(E52&gt;=$EG$11,$EJ$11,IF(E52&gt;=$EG$10,$EJ$10,0)))))))))</f>
        <v>0</v>
      </c>
      <c r="BE52" s="318"/>
      <c r="BF52" s="318">
        <f>AE52*(IF($C52="INTERNO",IF(F52&gt;=$EG$16,$EI$16,IF(F52&gt;=$EG$15,$EI$15,IF(F52&gt;=$EG$14,$EI$14,IF(F52&gt;=$EG$13,$EI$13,IF(F52&gt;=$EG$12,$EI$12,IF(F52&gt;=$EG$11,$EI$11,IF(F52&gt;=$EG$10,$EI$10,0))))))),IF(F52&gt;=$EG$16,$EJ$16,IF(F52&gt;=$EG$15,$EJ$15,IF(F52&gt;=$EG$14,$EJ$14,IF(F52&gt;=$EG$13,$EJ$13,IF(F52&gt;=$EG$12,$EJ$12,IF(F52&gt;=$EG$11,$EJ$11,IF(F52&gt;=$EG$10,$EJ$10,0)))))))))</f>
        <v>0</v>
      </c>
      <c r="BG52" s="318"/>
      <c r="BH52" s="318">
        <f>AF52*(IF($C52="INTERNO",IF(G52&gt;=$EG$16,$EI$16,IF(G52&gt;=$EG$15,$EI$15,IF(G52&gt;=$EG$14,$EI$14,IF(G52&gt;=$EG$13,$EI$13,IF(G52&gt;=$EG$12,$EI$12,IF(G52&gt;=$EG$11,$EI$11,IF(G52&gt;=$EG$10,$EI$10,0))))))),IF(G52&gt;=$EG$16,$EJ$16,IF(G52&gt;=$EG$15,$EJ$15,IF(G52&gt;=$EG$14,$EJ$14,IF(G52&gt;=$EG$13,$EJ$13,IF(G52&gt;=$EG$12,$EJ$12,IF(G52&gt;=$EG$11,$EJ$11,IF(G52&gt;=$EG$10,$EJ$10,0)))))))))</f>
        <v>0</v>
      </c>
      <c r="BI52" s="318"/>
      <c r="BJ52" s="318">
        <f>AG52*(IF($C52="INTERNO",IF(H52&gt;=$EG$16,$EI$16,IF(H52&gt;=$EG$15,$EI$15,IF(H52&gt;=$EG$14,$EI$14,IF(H52&gt;=$EG$13,$EI$13,IF(H52&gt;=$EG$12,$EI$12,IF(H52&gt;=$EG$11,$EI$11,IF(H52&gt;=$EG$10,$EI$10,0))))))),IF(H52&gt;=$EG$16,$EJ$16,IF(H52&gt;=$EG$15,$EJ$15,IF(H52&gt;=$EG$14,$EJ$14,IF(H52&gt;=$EG$13,$EJ$13,IF(H52&gt;=$EG$12,$EJ$12,IF(H52&gt;=$EG$11,$EJ$11,IF(H52&gt;=$EG$10,$EJ$10,0)))))))))</f>
        <v>0</v>
      </c>
      <c r="BK52" s="318"/>
      <c r="BL52" s="318">
        <f>AH52*(IF($C52="INTERNO",IF(I52&gt;=$EG$16,$EI$16,IF(I52&gt;=$EG$15,$EI$15,IF(I52&gt;=$EG$14,$EI$14,IF(I52&gt;=$EG$13,$EI$13,IF(I52&gt;=$EG$12,$EI$12,IF(I52&gt;=$EG$11,$EI$11,IF(I52&gt;=$EG$10,$EI$10,0))))))),IF(I52&gt;=$EG$16,$EJ$16,IF(I52&gt;=$EG$15,$EJ$15,IF(I52&gt;=$EG$14,$EJ$14,IF(I52&gt;=$EG$13,$EJ$13,IF(I52&gt;=$EG$12,$EJ$12,IF(I52&gt;=$EG$11,$EJ$11,IF(I52&gt;=$EG$10,$EJ$10,0)))))))))</f>
        <v>0</v>
      </c>
      <c r="BM52" s="318"/>
      <c r="BN52" s="318">
        <f>AI52*(IF($C52="INTERNO",IF(J52&gt;=$EG$16,$EI$16,IF(J52&gt;=$EG$15,$EI$15,IF(J52&gt;=$EG$14,$EI$14,IF(J52&gt;=$EG$13,$EI$13,IF(J52&gt;=$EG$12,$EI$12,IF(J52&gt;=$EG$11,$EI$11,IF(J52&gt;=$EG$10,$EI$10,0))))))),IF(J52&gt;=$EG$16,$EJ$16,IF(J52&gt;=$EG$15,$EJ$15,IF(J52&gt;=$EG$14,$EJ$14,IF(J52&gt;=$EG$13,$EJ$13,IF(J52&gt;=$EG$12,$EJ$12,IF(J52&gt;=$EG$11,$EJ$11,IF(J52&gt;=$EG$10,$EJ$10,0)))))))))</f>
        <v>0</v>
      </c>
      <c r="BO52" s="318"/>
      <c r="BP52" s="318">
        <f>AJ52*(IF($C52="INTERNO",IF(K52&gt;=$EG$16,$EI$16,IF(K52&gt;=$EG$15,$EI$15,IF(K52&gt;=$EG$14,$EI$14,IF(K52&gt;=$EG$13,$EI$13,IF(K52&gt;=$EG$12,$EI$12,IF(K52&gt;=$EG$11,$EI$11,IF(K52&gt;=$EG$10,$EI$10,0))))))),IF(K52&gt;=$EG$16,$EJ$16,IF(K52&gt;=$EG$15,$EJ$15,IF(K52&gt;=$EG$14,$EJ$14,IF(K52&gt;=$EG$13,$EJ$13,IF(K52&gt;=$EG$12,$EJ$12,IF(K52&gt;=$EG$11,$EJ$11,IF(K52&gt;=$EG$10,$EJ$10,0)))))))))</f>
        <v>0</v>
      </c>
      <c r="BQ52" s="318"/>
      <c r="BR52" s="318">
        <f>AK52*(IF(C52="INTERNO",IF(L52&gt;=$EG$16,$EI$16,IF(L52&gt;=$EG$15,$EI$15,IF(L52&gt;=$EG$14,$EI$14,IF(L52&gt;=$EG$13,$EI$13,IF(L52&gt;=$EG$12,$EI$12,IF(L52&gt;=$EG$11,$EI$11,IF(L52&gt;=$EG$10,$EI$10,0))))))),IF(L52&gt;=$EG$16,$EJ$16,IF(L52&gt;=$EG$15,$EJ$15,IF(L52&gt;=$EG$14,$EJ$14,IF(L52&gt;=$EG$13,$EJ$13,IF(L52&gt;=$EG$12,$EJ$12,IF(L52&gt;=$EG$11,$EJ$11,IF(L52&gt;=$EG$10,$EJ$10,0)))))))))</f>
        <v>0</v>
      </c>
      <c r="BS52" s="318"/>
      <c r="BT52" s="318">
        <f>((AK52+AL52)*(IF(C52="INTERNO",IF((L52+M52)&gt;=$EG$16,$EI$16,IF((L52+M52)&gt;=$EG$15,$EI$15,IF((L52+M52)&gt;=$EG$14,$EI$14,IF((L52+M52)&gt;=$EG$13,$EI$13,IF((L52+M52)&gt;=$EG$12,$EI$12,IF((L52+M52)&gt;=$EG$11,$EI$11,IF((L52+M52)&gt;=$EG$10,$EI$10,0))))))),IF((L52+M52)&gt;=$EG$16,$EJ$16,IF((L52+M52)&gt;=$EG$15,$EJ$15,IF((L52+M52)&gt;=$EG$14,$EJ$14,IF((L52+M52)&gt;=$EG$13,$EJ$13,IF((L52+M52)&gt;=$EG$12,$EJ$12,IF((L52+M52)&gt;=$EG$11,$EJ$11,IF((L52+M52)&gt;=$EG$10,$EJ$10,0))))))))))-BR52</f>
        <v>0</v>
      </c>
      <c r="BU52" s="318">
        <f>AM52*(IF(C52="INTERNO",IF(N52&gt;=$EG$16,$EI$16,IF(N52&gt;=$EG$15,$EI$15,IF(N52&gt;=$EG$14,$EI$14,IF(N52&gt;=$EG$13,$EI$13,IF(N52&gt;=$EG$12,$EI$12,IF(N52&gt;=$EG$11,$EI$11,IF(N52&gt;=$EG$10,$EI$10,0))))))),IF(N52&gt;=$EG$16,$EJ$16,IF(N52&gt;=$EG$15,$EJ$15,IF(N52&gt;=$EG$14,$EJ$14,IF(N52&gt;=$EG$13,$EJ$13,IF(N52&gt;=$EG$12,$EJ$12,IF(N52&gt;=$EG$11,$EJ$11,IF(N52&gt;=$EG$10,$EJ$10,0)))))))))</f>
        <v>0</v>
      </c>
      <c r="BV52" s="318"/>
      <c r="BW52" s="318">
        <f>((AM52+AN52)*(IF(C52="INTERNO",IF((N52+O52)&gt;=$EG$16,$EI$16,IF((N52+O52)&gt;=$EG$15,$EI$15,IF((N52+O52)&gt;=$EG$14,$EI$14,IF((N52+O52)&gt;=$EG$13,$EI$13,IF((N52+O52)&gt;=$EG$12,$EI$12,IF((N52+O52)&gt;=$EG$11,$EI$11,IF((N52+O52)&gt;=$EG$10,$EI$10,0))))))),IF((N52+O52)&gt;=$EG$16,$EJ$16,IF((N52+O52)&gt;=$EG$15,$EJ$15,IF((N52+O52)&gt;=$EG$14,$EJ$14,IF((N52+O52)&gt;=$EG$13,$EJ$13,IF((N52+O52)&gt;=$EG$12,$EJ$12,IF((N52+O52)&gt;=$EG$11,$EJ$11,IF((N52+O52)&gt;=$EG$10,$EJ$10,0))))))))))-BU52</f>
        <v>0</v>
      </c>
      <c r="BX52" s="318"/>
      <c r="BY52" s="318">
        <f>AO52*(IF(C52="INTERNO",IF(P52&gt;=$EG$16,$EI$16,IF(P52&gt;=$EG$15,$EI$15,IF(P52&gt;=$EG$14,$EI$14,IF(P52&gt;=$EG$13,$EI$13,IF(P52&gt;=$EG$12,$EI$12,IF(P52&gt;=$EG$11,$EI$11,IF(P52&gt;=$EG$10,$EI$10,0))))))),IF(P52&gt;=$EG$16,$EJ$16,IF(P52&gt;=$EG$15,$EJ$15,IF(P52&gt;=$EG$14,$EJ$14,IF(P52&gt;=$EG$13,$EJ$13,IF(P52&gt;=$EG$12,$EJ$12,IF(P52&gt;=$EG$11,$EJ$11,IF(P52&gt;=$EG$10,$EJ$10,0)))))))))</f>
        <v>0</v>
      </c>
      <c r="BZ52" s="318"/>
      <c r="CA52" s="318">
        <f>((AO52+AP52)*(IF(C52="INTERNO",IF((P52+Q52)&gt;=$EG$16,$EI$16,IF((P52+Q52)&gt;=$EG$15,$EI$15,IF((P52+Q52)&gt;=$EG$14,$EI$14,IF((P52+Q52)&gt;=$EG$13,$EI$13,IF((P52+Q52)&gt;=$EG$12,$EI$12,IF((P52+Q52)&gt;=$EG$11,$EI$11,IF((P52+Q52)&gt;=$EG$10,$EI$10,0))))))),IF((P52+Q52)&gt;=$EG$16,$EJ$16,IF((P52+Q52)&gt;=$EG$15,$EJ$15,IF((P52+Q52)&gt;=$EG$14,$EJ$14,IF((P52+Q52)&gt;=$EG$13,$EJ$13,IF((P52+Q52)&gt;=$EG$12,$EJ$12,IF((P52+Q52)&gt;=$EG$11,$EJ$11,IF((P52+Q52)&gt;=$EG$10,$EJ$10,0))))))))))-BY52</f>
        <v>0</v>
      </c>
      <c r="CB52" s="318"/>
      <c r="CC52" s="318">
        <f>AQ52*(IF(C52="INTERNO",IF(R52&gt;=$EG$16,$EI$16,IF(R52&gt;=$EG$15,$EI$15,IF(R52&gt;=$EG$14,$EI$14,IF(R52&gt;=$EG$13,$EI$13,IF(R52&gt;=$EG$12,$EI$12,IF(R52&gt;=$EG$11,$EI$11,IF(R52&gt;=$EG$10,$EI$10,0))))))),IF(R52&gt;=$EG$16,$EJ$16,IF(R52&gt;=$EG$15,$EJ$15,IF(R52&gt;=$EG$14,$EJ$14,IF(R52&gt;=$EG$13,$EJ$13,IF(R52&gt;=$EG$12,$EJ$12,IF(R52&gt;=$EG$11,$EJ$11,IF(R52&gt;=$EG$10,$EJ$10,0)))))))))</f>
        <v>0</v>
      </c>
      <c r="CD52" s="318"/>
      <c r="CE52" s="318">
        <f>((AQ52+AR52)*(IF(C52="INTERNO",IF((R52+S52)&gt;=$EG$16,$EI$16,IF((R52+S52)&gt;=$EG$15,$EI$15,IF((R52+S52)&gt;=$EG$14,$EI$14,IF((R52+S52)&gt;=$EG$13,$EI$13,IF((R52+S52)&gt;=$EG$12,$EI$12,IF((R52+S52)&gt;=$EG$11,$EI$11,IF((R52+S52)&gt;=$EG$10,$EI$10,0))))))),IF((R52+S52)&gt;=$EG$16,$EJ$16,IF((R52+S52)&gt;=$EG$15,$EJ$15,IF((R52+S52)&gt;=$EG$14,$EJ$14,IF((R52+S52)&gt;=$EG$13,$EJ$13,IF((R52+S52)&gt;=$EG$12,$EJ$12,IF((R52+S52)&gt;=$EG$11,$EJ$11,IF((R52+S52)&gt;=$EG$10,$EJ$10,0))))))))))-CC52</f>
        <v>0</v>
      </c>
      <c r="CF52" s="318"/>
      <c r="CG52" s="318">
        <f>AS52*(IF(C52="INTERNO",IF(T52&gt;=$EG$16,$EI$16,IF(T52&gt;=$EG$15,$EI$15,IF(T52&gt;=$EG$14,$EI$14,IF(T52&gt;=$EG$13,$EI$13,IF(T52&gt;=$EG$12,$EI$12,IF(T52&gt;=$EG$11,$EI$11,IF(T52&gt;=$EG$10,$EI$10,0))))))),IF(T52&gt;=$EG$16,$EJ$16,IF(T52&gt;=$EG$15,$EJ$15,IF(T52&gt;=$EG$14,$EJ$14,IF(T52&gt;=$EG$13,$EJ$13,IF(T52&gt;=$EG$12,$EJ$12,IF(T52&gt;=$EG$11,$EJ$11,IF(T52&gt;=$EG$10,$EJ$10,0)))))))))</f>
        <v>0</v>
      </c>
      <c r="CH52" s="318"/>
      <c r="CI52" s="318">
        <f>AT52*(IF(C52="INTERNO",IF(U52&gt;=$EG$16,$EI$16,IF(U52&gt;=$EG$15,$EI$15,IF(U52&gt;=$EG$14,$EI$14,IF(U52&gt;=$EG$13,$EI$13,IF(U52&gt;=$EG$12,$EI$12,IF(U52&gt;=$EG$11,$EI$11,IF(U52&gt;=$EG$10,$EI$10,0))))))),IF(U52&gt;=$EG$16,$EJ$16,IF(U52&gt;=$EG$15,$EJ$15,IF(U52&gt;=$EG$14,$EJ$14,IF(U52&gt;=$EG$13,$EJ$13,IF(U52&gt;=$EG$12,$EJ$12,IF(U52&gt;=$EG$11,$EJ$11,IF(U52&gt;=$EG$10,$EJ$10,0)))))))))</f>
        <v>0</v>
      </c>
      <c r="CJ52" s="318"/>
      <c r="CK52" s="318">
        <f>AU52*(IF($C52="INTERNO",IF(V52&gt;=$EG$16,$EI$16,IF(V52&gt;=$EG$15,$EI$15,IF(V52&gt;=$EG$14,$EI$14,IF(V52&gt;=$EG$13,$EI$13,IF(V52&gt;=$EG$12,$EI$12,IF(V52&gt;=$EG$11,$EI$11,IF(V52&gt;=$EG$10,$EI$10,0))))))),IF(V52&gt;=$EG$16,$EJ$16,IF(V52&gt;=$EG$15,$EJ$15,IF(V52&gt;=$EG$14,$EJ$14,IF(V52&gt;=$EG$13,$EJ$13,IF(V52&gt;=$EG$12,$EJ$12,IF(V52&gt;=$EG$11,$EJ$11,IF(V52&gt;=$EG$10,$EJ$10,0)))))))))</f>
        <v>0</v>
      </c>
      <c r="CL52" s="318"/>
      <c r="CM52" s="318">
        <f>AV52*(IF($C52="INTERNO",IF(W52&gt;=$EG$16,$EI$16,IF(W52&gt;=$EG$15,$EI$15,IF(W52&gt;=$EG$14,$EI$14,IF(W52&gt;=$EG$13,$EI$13,IF(W52&gt;=$EG$12,$EI$12,IF(W52&gt;=$EG$11,$EI$11,IF(W52&gt;=$EG$10,$EI$10,0))))))),IF(W52&gt;=$EG$16,$EJ$16,IF(W52&gt;=$EG$15,$EJ$15,IF(W52&gt;=$EG$14,$EJ$14,IF(W52&gt;=$EG$13,$EJ$13,IF(W52&gt;=$EG$12,$EJ$12,IF(W52&gt;=$EG$11,$EJ$11,IF(W52&gt;=$EG$10,$EJ$10,0)))))))))</f>
        <v>0</v>
      </c>
      <c r="CN52" s="318"/>
      <c r="CO52" s="318">
        <f>AW52*(IF($C52="INTERNO",IF(X52&gt;=$EG$16,$EI$16,IF(X52&gt;=$EG$15,$EI$15,IF(X52&gt;=$EG$14,$EI$14,IF(X52&gt;=$EG$13,$EI$13,IF(X52&gt;=$EG$12,$EI$12,IF(X52&gt;=$EG$11,$EI$11,IF(X52&gt;=$EG$10,$EI$10,0))))))),IF(X52&gt;=$EG$16,$EJ$16,IF(X52&gt;=$EG$15,$EJ$15,IF(X52&gt;=$EG$14,$EJ$14,IF(X52&gt;=$EG$13,$EJ$13,IF(X52&gt;=$EG$12,$EJ$12,IF(X52&gt;=$EG$11,$EJ$11,IF(X52&gt;=$EG$10,$EJ$10,0)))))))))</f>
        <v>0</v>
      </c>
      <c r="CP52" s="318"/>
      <c r="CQ52" s="318">
        <f>AX52*(IF($C52="INTERNO",IF(Y52&gt;=$EG$16,$EI$16,IF(Y52&gt;=$EG$15,$EI$15,IF(Y52&gt;=$EG$14,$EI$14,IF(Y52&gt;=$EG$13,$EI$13,IF(Y52&gt;=$EG$12,$EI$12,IF(Y52&gt;=$EG$11,$EI$11,IF(Y52&gt;=$EG$10,$EI$10,0))))))),IF(Y52&gt;=$EG$16,$EJ$16,IF(Y52&gt;=$EG$15,$EJ$15,IF(Y52&gt;=$EG$14,$EJ$14,IF(Y52&gt;=$EG$13,$EJ$13,IF(Y52&gt;=$EG$12,$EJ$12,IF(Y52&gt;=$EG$11,$EJ$11,IF(Y52&gt;=$EG$10,$EJ$10,0)))))))))</f>
        <v>0</v>
      </c>
      <c r="CR52" s="318"/>
      <c r="CS52" s="318">
        <f>AY52*(IF($C52="INTERNO",IF(Z52&gt;=$EG$16,$EI$16,IF(Z52&gt;=$EG$15,$EI$15,IF(Z52&gt;=$EG$14,$EI$14,IF(Z52&gt;=$EG$13,$EI$13,IF(Z52&gt;=$EG$12,$EI$12,IF(Z52&gt;=$EG$11,$EI$11,IF(Z52&gt;=$EG$10,$EI$10,0))))))),IF(Z52&gt;=$EG$16,$EJ$16,IF(Z52&gt;=$EG$15,$EJ$15,IF(Z52&gt;=$EG$14,$EJ$14,IF(Z52&gt;=$EG$13,$EJ$13,IF(Z52&gt;=$EG$12,$EJ$12,IF(Z52&gt;=$EG$11,$EJ$11,IF(Z52&gt;=$EG$10,$EJ$10,0)))))))))</f>
        <v>0</v>
      </c>
      <c r="CT52" s="318"/>
      <c r="CU52" s="318">
        <f>AZ52*(IF($C52="INTERNO",IF(AA52&gt;=$EG$16,$EI$16,IF(AA52&gt;=$EG$15,$EI$15,IF(AA52&gt;=$EG$14,$EI$14,IF(AA52&gt;=$EG$13,$EI$13,IF(AA52&gt;=$EG$12,$EI$12,IF(AA52&gt;=$EG$11,$EI$11,IF(AA52&gt;=$EG$10,$EI$10,0))))))),IF(AA52&gt;=$EG$16,$EJ$16,IF(AA52&gt;=$EG$15,$EJ$15,IF(AA52&gt;=$EG$14,$EJ$14,IF(AA52&gt;=$EG$13,$EJ$13,IF(AA52&gt;=$EG$12,$EJ$12,IF(AA52&gt;=$EG$11,$EJ$11,IF(AA52&gt;=$EG$10,$EJ$10,0)))))))))</f>
        <v>0</v>
      </c>
      <c r="CV52" s="318"/>
      <c r="CW52" s="318">
        <f>SUM(BB52:CV52)</f>
        <v>0</v>
      </c>
      <c r="CX52" s="330"/>
      <c r="CY52" s="330"/>
      <c r="CZ52" s="330"/>
      <c r="DA52" s="330"/>
      <c r="DB52" s="330"/>
      <c r="DC52" s="330"/>
      <c r="DD52" s="330"/>
      <c r="DE52" s="330"/>
      <c r="DF52" s="330"/>
      <c r="DG52" s="330"/>
      <c r="DH52" s="330"/>
      <c r="DI52" s="330"/>
      <c r="DJ52" s="330"/>
      <c r="DK52" s="330"/>
      <c r="DL52" s="330"/>
      <c r="DM52" s="330"/>
      <c r="DN52" s="330"/>
      <c r="DO52" s="330"/>
      <c r="DP52" s="330"/>
      <c r="DQ52" s="330"/>
      <c r="DR52" s="330"/>
      <c r="DS52" s="330"/>
      <c r="DT52" s="330"/>
      <c r="DU52" s="330"/>
      <c r="DV52" s="331">
        <f t="shared" si="58"/>
        <v>0</v>
      </c>
      <c r="DW52" s="130">
        <f>+AB52</f>
        <v>0</v>
      </c>
      <c r="DX52" s="131">
        <f t="shared" si="66"/>
        <v>0</v>
      </c>
      <c r="DY52" s="147">
        <f t="shared" si="60"/>
        <v>0</v>
      </c>
      <c r="DZ52" s="298">
        <f t="shared" si="61"/>
        <v>0</v>
      </c>
      <c r="ED52" s="163"/>
    </row>
    <row r="53" spans="2:134" ht="15.75" x14ac:dyDescent="0.3">
      <c r="B53" t="s">
        <v>2890</v>
      </c>
      <c r="C53" s="297" t="s">
        <v>485</v>
      </c>
      <c r="D53" s="326">
        <f>SUMIFS(Tabla110[[#All],[Venta Total]],Tabla110[[#All],[Asesor]],B53,Tabla110[[#All],[Fecha Cobranza]],"&lt;"&amp;$D$6,Tabla110[[#All],[Fecha Cobranza]],"&gt;="&amp;$B$6)</f>
        <v>0</v>
      </c>
      <c r="E53" s="326">
        <f>SUMIFS(Tabla110[[#All],[Venta Total]],Tabla110[[#All],[Asesor]],B53,Tabla110[[#All],[Fecha Cobranza]],"&lt;"&amp;$E$6,Tabla110[[#All],[Fecha Cobranza]],"&gt;="&amp;$D$6)</f>
        <v>0</v>
      </c>
      <c r="F53" s="326">
        <f>SUMIFS(Tabla110[[#All],[Venta Total]],Tabla110[[#All],[Asesor]],B53,Tabla110[[#All],[Fecha Cobranza]],"&lt;"&amp;$F$6,Tabla110[[#All],[Fecha Cobranza]],"&gt;="&amp;$E$6)</f>
        <v>0</v>
      </c>
      <c r="G53" s="326">
        <f>SUMIFS(Tabla110[[#All],[Venta Total]],Tabla110[[#All],[Asesor]],B53,Tabla110[[#All],[Fecha Cobranza]],"&lt;"&amp;$G$6,Tabla110[[#All],[Fecha Cobranza]],"&gt;="&amp;$F$6)</f>
        <v>0</v>
      </c>
      <c r="H53" s="326">
        <f>SUMIFS(Tabla110[[#All],[Venta Total]],Tabla110[[#All],[Asesor]],B53,Tabla110[[#All],[Fecha Cobranza]],"&lt;"&amp;$H$6,Tabla110[[#All],[Fecha Cobranza]],"&gt;="&amp;$G$6)</f>
        <v>0</v>
      </c>
      <c r="I53" s="326">
        <f>SUMIFS(Tabla110[[#All],[Venta Total]],Tabla110[[#All],[Asesor]],B53,Tabla110[[#All],[Fecha Cobranza]],"&lt;"&amp;$I$6,Tabla110[[#All],[Fecha Cobranza]],"&gt;="&amp;$H$6)</f>
        <v>0</v>
      </c>
      <c r="J53" s="326">
        <f>SUMIFS(Tabla110[[#All],[Venta Total]],Tabla110[[#All],[Asesor]],B53,Tabla110[[#All],[Fecha Cobranza]],"&lt;"&amp;$J$6,Tabla110[[#All],[Fecha Cobranza]],"&gt;="&amp;$I$6)</f>
        <v>0</v>
      </c>
      <c r="K53" s="326">
        <f>SUMIFS(Tabla110[[#All],[Venta Total]],Tabla110[[#All],[Asesor]],B53,Tabla110[[#All],[Fecha Cobranza]],"&lt;"&amp;$K$6,Tabla110[[#All],[Fecha Cobranza]],"&gt;="&amp;$J$6)</f>
        <v>0</v>
      </c>
      <c r="L53" s="326">
        <f>SUMIFS(Tabla110[[#All],[Venta Total]],Tabla110[[#All],[Asesor]],B53,Tabla110[[#All],[Fecha Cobranza]],"&lt;"&amp;$L$6,Tabla110[[#All],[Fecha Cobranza]],"&gt;="&amp;$K$6)</f>
        <v>0</v>
      </c>
      <c r="M53" s="326">
        <f>SUMIFS(Tabla110[[#All],[Venta Total]],Tabla110[[#All],[Asesor]],B53,Tabla110[[#All],[Fecha Cobranza]],"&lt;"&amp;$M$6,Tabla110[[#All],[Fecha Cobranza]],"&gt;="&amp;$L$6)</f>
        <v>0</v>
      </c>
      <c r="N53" s="326">
        <f>SUMIFS(Tabla110[[#All],[Venta Total]],Tabla110[[#All],[Asesor]],B53,Tabla110[[#All],[Fecha Cobranza]],"&lt;"&amp;$N$6,Tabla110[[#All],[Fecha Cobranza]],"&gt;="&amp;$M$6)</f>
        <v>0</v>
      </c>
      <c r="O53" s="326">
        <f>SUMIFS(Tabla110[[#All],[Venta Total]],Tabla110[[#All],[Asesor]],B53,Tabla110[[#All],[Fecha Cobranza]],"&lt;"&amp;$O$6,Tabla110[[#All],[Fecha Cobranza]],"&gt;="&amp;$N$6)</f>
        <v>0</v>
      </c>
      <c r="P53" s="326">
        <f>SUMIFS(Tabla110[[#All],[Venta Total]],Tabla110[[#All],[Asesor]],B53,Tabla110[[#All],[Fecha Cobranza]],"&lt;"&amp;$P$6,Tabla110[[#All],[Fecha Cobranza]],"&gt;="&amp;$O$6)</f>
        <v>0</v>
      </c>
      <c r="Q53" s="326">
        <f>SUMIFS(Tabla110[[#All],[Venta Total]],Tabla110[[#All],[Asesor]],B53,Tabla110[[#All],[Fecha Cobranza]],"&lt;"&amp;$Q$6,Tabla110[[#All],[Fecha Cobranza]],"&gt;="&amp;$P$6)</f>
        <v>0</v>
      </c>
      <c r="R53" s="326">
        <f>SUMIFS(Tabla110[[#All],[Venta Total]],Tabla110[[#All],[Asesor]],B53,Tabla110[[#All],[Fecha Cobranza]],"&lt;"&amp;$R$6,Tabla110[[#All],[Fecha Cobranza]],"&gt;="&amp;$Q$6)</f>
        <v>0</v>
      </c>
      <c r="S53" s="326">
        <f>SUMIFS(Tabla110[[#All],[Venta Total]],Tabla110[[#All],[Asesor]],B53,Tabla110[[#All],[Fecha Cobranza]],"&lt;"&amp;$S$6,Tabla110[[#All],[Fecha Cobranza]],"&gt;="&amp;$R$6)</f>
        <v>0</v>
      </c>
      <c r="T53" s="326">
        <f>SUMIFS(Tabla110[[#All],[Venta Total]],Tabla110[[#All],[Asesor]],$B53,Tabla110[[#All],[Fecha Cobranza]],"&lt;"&amp;T$6,Tabla110[[#All],[Fecha Cobranza]],"&gt;="&amp;S$6)</f>
        <v>0</v>
      </c>
      <c r="U53" s="326">
        <f>SUMIFS(Tabla110[[#All],[Venta Total]],Tabla110[[#All],[Asesor]],$B53,Tabla110[[#All],[Fecha Cobranza]],"&lt;"&amp;U$6,Tabla110[[#All],[Fecha Cobranza]],"&gt;="&amp;T$6)</f>
        <v>0</v>
      </c>
      <c r="V53" s="326">
        <f>SUMIFS(Tabla110[[#All],[Venta Total]],Tabla110[[#All],[Asesor]],$B53,Tabla110[[#All],[Fecha Cobranza]],"&lt;"&amp;V$6,Tabla110[[#All],[Fecha Cobranza]],"&gt;="&amp;U$6)</f>
        <v>0</v>
      </c>
      <c r="W53" s="326">
        <f>SUMIFS(Tabla110[[#All],[Venta Total]],Tabla110[[#All],[Asesor]],$B53,Tabla110[[#All],[Fecha Cobranza]],"&lt;"&amp;W$6,Tabla110[[#All],[Fecha Cobranza]],"&gt;="&amp;V$6)</f>
        <v>0</v>
      </c>
      <c r="X53" s="326">
        <f>SUMIFS(Tabla110[[#All],[Venta Total]],Tabla110[[#All],[Asesor]],$B53,Tabla110[[#All],[Fecha Cobranza]],"&lt;"&amp;X$6,Tabla110[[#All],[Fecha Cobranza]],"&gt;="&amp;W$6)</f>
        <v>0</v>
      </c>
      <c r="Y53" s="326">
        <f>SUMIFS(Tabla110[[#All],[Venta Total]],Tabla110[[#All],[Asesor]],$B53,Tabla110[[#All],[Fecha Cobranza]],"&lt;"&amp;Y$6,Tabla110[[#All],[Fecha Cobranza]],"&gt;="&amp;X$6)</f>
        <v>0</v>
      </c>
      <c r="Z53" s="326">
        <f>SUMIFS(Tabla110[[#All],[Venta Total]],Tabla110[[#All],[Asesor]],$B53,Tabla110[[#All],[Fecha Cobranza]],"&lt;"&amp;Z$6,Tabla110[[#All],[Fecha Cobranza]],"&gt;="&amp;Y$6)</f>
        <v>0</v>
      </c>
      <c r="AA53" s="326">
        <f>SUMIFS(Tabla110[[#All],[Venta Total]],Tabla110[[#All],[Asesor]],$B53,Tabla110[[#All],[Fecha Cobranza]],"&lt;"&amp;AA$6,Tabla110[[#All],[Fecha Cobranza]],"&gt;="&amp;Z$6)</f>
        <v>0</v>
      </c>
      <c r="AB53" s="327">
        <f t="shared" si="64"/>
        <v>0</v>
      </c>
      <c r="AC53" s="322">
        <f>SUMIFS(Tabla110[[#All],[Utilidad Bruta Total]],Tabla110[[#All],[Asesor]],B53,Tabla110[[#All],[Fecha Cobranza]],"&lt;"&amp;$AC$6,Tabla110[[#All],[Fecha Cobranza]],"&gt;="&amp;$B$6)</f>
        <v>0</v>
      </c>
      <c r="AD53" s="322">
        <f>SUMIFS(Tabla110[[#All],[Utilidad Bruta Total]],Tabla110[[#All],[Asesor]],B53,Tabla110[[#All],[Fecha Cobranza]],"&lt;"&amp;$AD$6,Tabla110[[#All],[Fecha Cobranza]],"&gt;="&amp;$AC$6)</f>
        <v>0</v>
      </c>
      <c r="AE53" s="322">
        <f>SUMIFS(Tabla110[[#All],[Utilidad Bruta Total]],Tabla110[[#All],[Asesor]],B53,Tabla110[[#All],[Fecha Cobranza]],"&lt;"&amp;$AE$6,Tabla110[[#All],[Fecha Cobranza]],"&gt;="&amp;$AD$6)</f>
        <v>0</v>
      </c>
      <c r="AF53" s="322">
        <f>SUMIFS(Tabla110[[#All],[Utilidad Bruta Total]],Tabla110[[#All],[Asesor]],B53,Tabla110[[#All],[Fecha Cobranza]],"&lt;"&amp;$AF$6,Tabla110[[#All],[Fecha Cobranza]],"&gt;="&amp;$AE$6)</f>
        <v>0</v>
      </c>
      <c r="AG53" s="322">
        <f>SUMIFS(Tabla110[[#All],[Utilidad Bruta Total]],Tabla110[[#All],[Asesor]],B53,Tabla110[[#All],[Fecha Cobranza]],"&lt;"&amp;$AG$6,Tabla110[[#All],[Fecha Cobranza]],"&gt;="&amp;$AF$6)</f>
        <v>0</v>
      </c>
      <c r="AH53" s="322">
        <f>SUMIFS(Tabla110[[#All],[Utilidad Bruta Total]],Tabla110[[#All],[Asesor]],B53,Tabla110[[#All],[Fecha Cobranza]],"&lt;"&amp;$AH$6,Tabla110[[#All],[Fecha Cobranza]],"&gt;="&amp;$AG$6)</f>
        <v>0</v>
      </c>
      <c r="AI53" s="322">
        <f>SUMIFS(Tabla110[[#All],[Utilidad Bruta Total]],Tabla110[[#All],[Asesor]],B53,Tabla110[[#All],[Fecha Cobranza]],"&lt;"&amp;$AI$6,Tabla110[[#All],[Fecha Cobranza]],"&gt;="&amp;$AH$6)</f>
        <v>0</v>
      </c>
      <c r="AJ53" s="322">
        <f>SUMIFS(Tabla110[[#All],[Utilidad Bruta Total]],Tabla110[[#All],[Asesor]],B53,Tabla110[[#All],[Fecha Cobranza]],"&lt;"&amp;$AJ$6,Tabla110[[#All],[Fecha Cobranza]],"&gt;="&amp;$AI$6)</f>
        <v>0</v>
      </c>
      <c r="AK53" s="322">
        <f>SUMIFS(Tabla110[[#All],[Utilidad Bruta Total]],Tabla110[[#All],[Asesor]],B53,Tabla110[[#All],[Fecha Cobranza]],"&lt;"&amp;$AK$6,Tabla110[[#All],[Fecha Cobranza]],"&gt;="&amp;$AJ$6)</f>
        <v>0</v>
      </c>
      <c r="AL53" s="322">
        <f>SUMIFS(Tabla110[[#All],[Utilidad Bruta Total]],Tabla110[[#All],[Asesor]],B53,Tabla110[[#All],[Fecha Cobranza]],"&lt;"&amp;$AL$6,Tabla110[[#All],[Fecha Cobranza]],"&gt;="&amp;$AK$6)</f>
        <v>0</v>
      </c>
      <c r="AM53" s="322">
        <f>SUMIFS(Tabla110[[#All],[Utilidad Bruta Total]],Tabla110[[#All],[Asesor]],B53,Tabla110[[#All],[Fecha Cobranza]],"&lt;"&amp;$AM$6,Tabla110[[#All],[Fecha Cobranza]],"&gt;="&amp;$AL$6)</f>
        <v>0</v>
      </c>
      <c r="AN53" s="322">
        <f>SUMIFS(Tabla110[[#All],[Utilidad Bruta Total]],Tabla110[[#All],[Asesor]],B53,Tabla110[[#All],[Fecha Cobranza]],"&lt;"&amp;$AN$6,Tabla110[[#All],[Fecha Cobranza]],"&gt;="&amp;$AM$6)</f>
        <v>0</v>
      </c>
      <c r="AO53" s="322">
        <f>SUMIFS(Tabla110[[#All],[Utilidad Bruta Total]],Tabla110[[#All],[Asesor]],B53,Tabla110[[#All],[Fecha Cobranza]],"&lt;"&amp;$AO$6,Tabla110[[#All],[Fecha Cobranza]],"&gt;="&amp;$AN$6)</f>
        <v>0</v>
      </c>
      <c r="AP53" s="322">
        <f>SUMIFS(Tabla110[[#All],[Utilidad Bruta Total]],Tabla110[[#All],[Asesor]],B53,Tabla110[[#All],[Fecha Cobranza]],"&lt;"&amp;$AP$6,Tabla110[[#All],[Fecha Cobranza]],"&gt;="&amp;$AO$6)</f>
        <v>0</v>
      </c>
      <c r="AQ53" s="322">
        <f>SUMIFS(Tabla110[[#All],[Utilidad Bruta Total]],Tabla110[[#All],[Asesor]],B53,Tabla110[[#All],[Fecha Cobranza]],"&lt;"&amp;$AQ$6,Tabla110[[#All],[Fecha Cobranza]],"&gt;="&amp;$AP$6)</f>
        <v>0</v>
      </c>
      <c r="AR53" s="322">
        <f>SUMIFS(Tabla110[[#All],[Utilidad Bruta Total]],Tabla110[[#All],[Asesor]],B53,Tabla110[[#All],[Fecha Cobranza]],"&lt;"&amp;$AR$6,Tabla110[[#All],[Fecha Cobranza]],"&gt;="&amp;$AQ$6)</f>
        <v>0</v>
      </c>
      <c r="AS53" s="322">
        <f>SUMIFS(Tabla110[[#All],[Utilidad Bruta Total]],Tabla110[[#All],[Asesor]],$B53,Tabla110[[#All],[Fecha Cobranza]],"&lt;"&amp;AS$6,Tabla110[[#All],[Fecha Cobranza]],"&gt;="&amp;AR$6)</f>
        <v>0</v>
      </c>
      <c r="AT53" s="322">
        <f>SUMIFS(Tabla110[[#All],[Utilidad Bruta Total]],Tabla110[[#All],[Asesor]],$B53,Tabla110[[#All],[Fecha Cobranza]],"&lt;"&amp;AT$6,Tabla110[[#All],[Fecha Cobranza]],"&gt;="&amp;AS$6)</f>
        <v>0</v>
      </c>
      <c r="AU53" s="322">
        <f>SUMIFS(Tabla110[[#All],[Utilidad Bruta Total]],Tabla110[[#All],[Asesor]],$B53,Tabla110[[#All],[Fecha Cobranza]],"&lt;"&amp;AU$6,Tabla110[[#All],[Fecha Cobranza]],"&gt;="&amp;AT$6)</f>
        <v>0</v>
      </c>
      <c r="AV53" s="322">
        <f>SUMIFS(Tabla110[[#All],[Utilidad Bruta Total]],Tabla110[[#All],[Asesor]],$B53,Tabla110[[#All],[Fecha Cobranza]],"&lt;"&amp;AV$6,Tabla110[[#All],[Fecha Cobranza]],"&gt;="&amp;AU$6)</f>
        <v>0</v>
      </c>
      <c r="AW53" s="322">
        <f>SUMIFS(Tabla110[[#All],[Utilidad Bruta Total]],Tabla110[[#All],[Asesor]],$B53,Tabla110[[#All],[Fecha Cobranza]],"&lt;"&amp;AW$6,Tabla110[[#All],[Fecha Cobranza]],"&gt;="&amp;AV$6)</f>
        <v>0</v>
      </c>
      <c r="AX53" s="322">
        <f>SUMIFS(Tabla110[[#All],[Utilidad Bruta Total]],Tabla110[[#All],[Asesor]],$B53,Tabla110[[#All],[Fecha Cobranza]],"&lt;"&amp;AX$6,Tabla110[[#All],[Fecha Cobranza]],"&gt;="&amp;AW$6)</f>
        <v>0</v>
      </c>
      <c r="AY53" s="322">
        <f>SUMIFS(Tabla110[[#All],[Utilidad Bruta Total]],Tabla110[[#All],[Asesor]],$B53,Tabla110[[#All],[Fecha Cobranza]],"&lt;"&amp;AY$6,Tabla110[[#All],[Fecha Cobranza]],"&gt;="&amp;AX$6)</f>
        <v>0</v>
      </c>
      <c r="AZ53" s="322">
        <f>SUMIFS(Tabla110[[#All],[Utilidad Bruta Total]],Tabla110[[#All],[Asesor]],$B53,Tabla110[[#All],[Fecha Cobranza]],"&lt;"&amp;AZ$6,Tabla110[[#All],[Fecha Cobranza]],"&gt;="&amp;AY$6)</f>
        <v>0</v>
      </c>
      <c r="BA53" s="323">
        <f t="shared" si="65"/>
        <v>0</v>
      </c>
      <c r="BB53" s="318">
        <f>AC53*(IF($C53="INTERNO",IF(D53&gt;=$EG$16,$EI$16,IF(D53&gt;=$EG$15,$EI$15,IF(D53&gt;=$EG$14,$EI$14,IF(D53&gt;=$EG$13,$EI$13,IF(D53&gt;=$EG$12,$EI$12,IF(D53&gt;=$EG$11,$EI$11,IF(D53&gt;=$EG$10,$EI$10,0))))))),IF(D53&gt;=$EG$16,$EJ$16,IF(D53&gt;=$EG$15,$EJ$15,IF(D53&gt;=$EG$14,$EJ$14,IF(D53&gt;=$EG$13,$EJ$13,IF(D53&gt;=$EG$12,$EJ$12,IF(D53&gt;=$EG$11,$EJ$11,IF(D53&gt;=$EG$10,$EJ$10,0)))))))))</f>
        <v>0</v>
      </c>
      <c r="BC53" s="318"/>
      <c r="BD53" s="318">
        <f>AD53*(IF($C53="INTERNO",IF(E53&gt;=$EG$16,$EI$16,IF(E53&gt;=$EG$15,$EI$15,IF(E53&gt;=$EG$14,$EI$14,IF(E53&gt;=$EG$13,$EI$13,IF(E53&gt;=$EG$12,$EI$12,IF(E53&gt;=$EG$11,$EI$11,IF(E53&gt;=$EG$10,$EI$10,0))))))),IF(E53&gt;=$EG$16,$EJ$16,IF(E53&gt;=$EG$15,$EJ$15,IF(E53&gt;=$EG$14,$EJ$14,IF(E53&gt;=$EG$13,$EJ$13,IF(E53&gt;=$EG$12,$EJ$12,IF(E53&gt;=$EG$11,$EJ$11,IF(E53&gt;=$EG$10,$EJ$10,0)))))))))</f>
        <v>0</v>
      </c>
      <c r="BE53" s="318"/>
      <c r="BF53" s="318">
        <f>AE53*(IF($C53="INTERNO",IF(F53&gt;=$EG$16,$EI$16,IF(F53&gt;=$EG$15,$EI$15,IF(F53&gt;=$EG$14,$EI$14,IF(F53&gt;=$EG$13,$EI$13,IF(F53&gt;=$EG$12,$EI$12,IF(F53&gt;=$EG$11,$EI$11,IF(F53&gt;=$EG$10,$EI$10,0))))))),IF(F53&gt;=$EG$16,$EJ$16,IF(F53&gt;=$EG$15,$EJ$15,IF(F53&gt;=$EG$14,$EJ$14,IF(F53&gt;=$EG$13,$EJ$13,IF(F53&gt;=$EG$12,$EJ$12,IF(F53&gt;=$EG$11,$EJ$11,IF(F53&gt;=$EG$10,$EJ$10,0)))))))))</f>
        <v>0</v>
      </c>
      <c r="BG53" s="318"/>
      <c r="BH53" s="318">
        <f>AF53*(IF($C53="INTERNO",IF(G53&gt;=$EG$16,$EI$16,IF(G53&gt;=$EG$15,$EI$15,IF(G53&gt;=$EG$14,$EI$14,IF(G53&gt;=$EG$13,$EI$13,IF(G53&gt;=$EG$12,$EI$12,IF(G53&gt;=$EG$11,$EI$11,IF(G53&gt;=$EG$10,$EI$10,0))))))),IF(G53&gt;=$EG$16,$EJ$16,IF(G53&gt;=$EG$15,$EJ$15,IF(G53&gt;=$EG$14,$EJ$14,IF(G53&gt;=$EG$13,$EJ$13,IF(G53&gt;=$EG$12,$EJ$12,IF(G53&gt;=$EG$11,$EJ$11,IF(G53&gt;=$EG$10,$EJ$10,0)))))))))</f>
        <v>0</v>
      </c>
      <c r="BI53" s="318"/>
      <c r="BJ53" s="318">
        <f>AG53*(IF($C53="INTERNO",IF(H53&gt;=$EG$16,$EI$16,IF(H53&gt;=$EG$15,$EI$15,IF(H53&gt;=$EG$14,$EI$14,IF(H53&gt;=$EG$13,$EI$13,IF(H53&gt;=$EG$12,$EI$12,IF(H53&gt;=$EG$11,$EI$11,IF(H53&gt;=$EG$10,$EI$10,0))))))),IF(H53&gt;=$EG$16,$EJ$16,IF(H53&gt;=$EG$15,$EJ$15,IF(H53&gt;=$EG$14,$EJ$14,IF(H53&gt;=$EG$13,$EJ$13,IF(H53&gt;=$EG$12,$EJ$12,IF(H53&gt;=$EG$11,$EJ$11,IF(H53&gt;=$EG$10,$EJ$10,0)))))))))</f>
        <v>0</v>
      </c>
      <c r="BK53" s="318"/>
      <c r="BL53" s="318">
        <f>AH53*(IF($C53="INTERNO",IF(I53&gt;=$EG$16,$EI$16,IF(I53&gt;=$EG$15,$EI$15,IF(I53&gt;=$EG$14,$EI$14,IF(I53&gt;=$EG$13,$EI$13,IF(I53&gt;=$EG$12,$EI$12,IF(I53&gt;=$EG$11,$EI$11,IF(I53&gt;=$EG$10,$EI$10,0))))))),IF(I53&gt;=$EG$16,$EJ$16,IF(I53&gt;=$EG$15,$EJ$15,IF(I53&gt;=$EG$14,$EJ$14,IF(I53&gt;=$EG$13,$EJ$13,IF(I53&gt;=$EG$12,$EJ$12,IF(I53&gt;=$EG$11,$EJ$11,IF(I53&gt;=$EG$10,$EJ$10,0)))))))))</f>
        <v>0</v>
      </c>
      <c r="BM53" s="318"/>
      <c r="BN53" s="318">
        <f>AI53*(IF($C53="INTERNO",IF(J53&gt;=$EG$16,$EI$16,IF(J53&gt;=$EG$15,$EI$15,IF(J53&gt;=$EG$14,$EI$14,IF(J53&gt;=$EG$13,$EI$13,IF(J53&gt;=$EG$12,$EI$12,IF(J53&gt;=$EG$11,$EI$11,IF(J53&gt;=$EG$10,$EI$10,0))))))),IF(J53&gt;=$EG$16,$EJ$16,IF(J53&gt;=$EG$15,$EJ$15,IF(J53&gt;=$EG$14,$EJ$14,IF(J53&gt;=$EG$13,$EJ$13,IF(J53&gt;=$EG$12,$EJ$12,IF(J53&gt;=$EG$11,$EJ$11,IF(J53&gt;=$EG$10,$EJ$10,0)))))))))</f>
        <v>0</v>
      </c>
      <c r="BO53" s="318"/>
      <c r="BP53" s="318">
        <f>AJ53*(IF($C53="INTERNO",IF(K53&gt;=$EG$16,$EI$16,IF(K53&gt;=$EG$15,$EI$15,IF(K53&gt;=$EG$14,$EI$14,IF(K53&gt;=$EG$13,$EI$13,IF(K53&gt;=$EG$12,$EI$12,IF(K53&gt;=$EG$11,$EI$11,IF(K53&gt;=$EG$10,$EI$10,0))))))),IF(K53&gt;=$EG$16,$EJ$16,IF(K53&gt;=$EG$15,$EJ$15,IF(K53&gt;=$EG$14,$EJ$14,IF(K53&gt;=$EG$13,$EJ$13,IF(K53&gt;=$EG$12,$EJ$12,IF(K53&gt;=$EG$11,$EJ$11,IF(K53&gt;=$EG$10,$EJ$10,0)))))))))</f>
        <v>0</v>
      </c>
      <c r="BQ53" s="318"/>
      <c r="BR53" s="318">
        <f>AK53*(IF(C53="INTERNO",IF(L53&gt;=$EG$16,$EI$16,IF(L53&gt;=$EG$15,$EI$15,IF(L53&gt;=$EG$14,$EI$14,IF(L53&gt;=$EG$13,$EI$13,IF(L53&gt;=$EG$12,$EI$12,IF(L53&gt;=$EG$11,$EI$11,IF(L53&gt;=$EG$10,$EI$10,0))))))),IF(L53&gt;=$EG$16,$EJ$16,IF(L53&gt;=$EG$15,$EJ$15,IF(L53&gt;=$EG$14,$EJ$14,IF(L53&gt;=$EG$13,$EJ$13,IF(L53&gt;=$EG$12,$EJ$12,IF(L53&gt;=$EG$11,$EJ$11,IF(L53&gt;=$EG$10,$EJ$10,0)))))))))</f>
        <v>0</v>
      </c>
      <c r="BS53" s="318"/>
      <c r="BT53" s="318">
        <f>((AK53+AL53)*(IF(C53="INTERNO",IF((L53+M53)&gt;=$EG$16,$EI$16,IF((L53+M53)&gt;=$EG$15,$EI$15,IF((L53+M53)&gt;=$EG$14,$EI$14,IF((L53+M53)&gt;=$EG$13,$EI$13,IF((L53+M53)&gt;=$EG$12,$EI$12,IF((L53+M53)&gt;=$EG$11,$EI$11,IF((L53+M53)&gt;=$EG$10,$EI$10,0))))))),IF((L53+M53)&gt;=$EG$16,$EJ$16,IF((L53+M53)&gt;=$EG$15,$EJ$15,IF((L53+M53)&gt;=$EG$14,$EJ$14,IF((L53+M53)&gt;=$EG$13,$EJ$13,IF((L53+M53)&gt;=$EG$12,$EJ$12,IF((L53+M53)&gt;=$EG$11,$EJ$11,IF((L53+M53)&gt;=$EG$10,$EJ$10,0))))))))))-BR53</f>
        <v>0</v>
      </c>
      <c r="BU53" s="318">
        <f>AM53*(IF(C53="INTERNO",IF(N53&gt;=$EG$16,$EI$16,IF(N53&gt;=$EG$15,$EI$15,IF(N53&gt;=$EG$14,$EI$14,IF(N53&gt;=$EG$13,$EI$13,IF(N53&gt;=$EG$12,$EI$12,IF(N53&gt;=$EG$11,$EI$11,IF(N53&gt;=$EG$10,$EI$10,0))))))),IF(N53&gt;=$EG$16,$EJ$16,IF(N53&gt;=$EG$15,$EJ$15,IF(N53&gt;=$EG$14,$EJ$14,IF(N53&gt;=$EG$13,$EJ$13,IF(N53&gt;=$EG$12,$EJ$12,IF(N53&gt;=$EG$11,$EJ$11,IF(N53&gt;=$EG$10,$EJ$10,0)))))))))</f>
        <v>0</v>
      </c>
      <c r="BV53" s="318"/>
      <c r="BW53" s="318">
        <f>((AM53+AN53)*(IF(C53="INTERNO",IF((N53+O53)&gt;=$EG$16,$EI$16,IF((N53+O53)&gt;=$EG$15,$EI$15,IF((N53+O53)&gt;=$EG$14,$EI$14,IF((N53+O53)&gt;=$EG$13,$EI$13,IF((N53+O53)&gt;=$EG$12,$EI$12,IF((N53+O53)&gt;=$EG$11,$EI$11,IF((N53+O53)&gt;=$EG$10,$EI$10,0))))))),IF((N53+O53)&gt;=$EG$16,$EJ$16,IF((N53+O53)&gt;=$EG$15,$EJ$15,IF((N53+O53)&gt;=$EG$14,$EJ$14,IF((N53+O53)&gt;=$EG$13,$EJ$13,IF((N53+O53)&gt;=$EG$12,$EJ$12,IF((N53+O53)&gt;=$EG$11,$EJ$11,IF((N53+O53)&gt;=$EG$10,$EJ$10,0))))))))))-BU53</f>
        <v>0</v>
      </c>
      <c r="BX53" s="318"/>
      <c r="BY53" s="318">
        <f>AO53*(IF(C53="INTERNO",IF(P53&gt;=$EG$16,$EI$16,IF(P53&gt;=$EG$15,$EI$15,IF(P53&gt;=$EG$14,$EI$14,IF(P53&gt;=$EG$13,$EI$13,IF(P53&gt;=$EG$12,$EI$12,IF(P53&gt;=$EG$11,$EI$11,IF(P53&gt;=$EG$10,$EI$10,0))))))),IF(P53&gt;=$EG$16,$EJ$16,IF(P53&gt;=$EG$15,$EJ$15,IF(P53&gt;=$EG$14,$EJ$14,IF(P53&gt;=$EG$13,$EJ$13,IF(P53&gt;=$EG$12,$EJ$12,IF(P53&gt;=$EG$11,$EJ$11,IF(P53&gt;=$EG$10,$EJ$10,0)))))))))</f>
        <v>0</v>
      </c>
      <c r="BZ53" s="318"/>
      <c r="CA53" s="318">
        <f>((AO53+AP53)*(IF(C53="INTERNO",IF((P53+Q53)&gt;=$EG$16,$EI$16,IF((P53+Q53)&gt;=$EG$15,$EI$15,IF((P53+Q53)&gt;=$EG$14,$EI$14,IF((P53+Q53)&gt;=$EG$13,$EI$13,IF((P53+Q53)&gt;=$EG$12,$EI$12,IF((P53+Q53)&gt;=$EG$11,$EI$11,IF((P53+Q53)&gt;=$EG$10,$EI$10,0))))))),IF((P53+Q53)&gt;=$EG$16,$EJ$16,IF((P53+Q53)&gt;=$EG$15,$EJ$15,IF((P53+Q53)&gt;=$EG$14,$EJ$14,IF((P53+Q53)&gt;=$EG$13,$EJ$13,IF((P53+Q53)&gt;=$EG$12,$EJ$12,IF((P53+Q53)&gt;=$EG$11,$EJ$11,IF((P53+Q53)&gt;=$EG$10,$EJ$10,0))))))))))-BY53</f>
        <v>0</v>
      </c>
      <c r="CB53" s="318"/>
      <c r="CC53" s="318">
        <f>AQ53*(IF(C53="INTERNO",IF(R53&gt;=$EG$16,$EI$16,IF(R53&gt;=$EG$15,$EI$15,IF(R53&gt;=$EG$14,$EI$14,IF(R53&gt;=$EG$13,$EI$13,IF(R53&gt;=$EG$12,$EI$12,IF(R53&gt;=$EG$11,$EI$11,IF(R53&gt;=$EG$10,$EI$10,0))))))),IF(R53&gt;=$EG$16,$EJ$16,IF(R53&gt;=$EG$15,$EJ$15,IF(R53&gt;=$EG$14,$EJ$14,IF(R53&gt;=$EG$13,$EJ$13,IF(R53&gt;=$EG$12,$EJ$12,IF(R53&gt;=$EG$11,$EJ$11,IF(R53&gt;=$EG$10,$EJ$10,0)))))))))</f>
        <v>0</v>
      </c>
      <c r="CD53" s="318"/>
      <c r="CE53" s="318">
        <f>((AQ53+AR53)*(IF(C53="INTERNO",IF((R53+S53)&gt;=$EG$16,$EI$16,IF((R53+S53)&gt;=$EG$15,$EI$15,IF((R53+S53)&gt;=$EG$14,$EI$14,IF((R53+S53)&gt;=$EG$13,$EI$13,IF((R53+S53)&gt;=$EG$12,$EI$12,IF((R53+S53)&gt;=$EG$11,$EI$11,IF((R53+S53)&gt;=$EG$10,$EI$10,0))))))),IF((R53+S53)&gt;=$EG$16,$EJ$16,IF((R53+S53)&gt;=$EG$15,$EJ$15,IF((R53+S53)&gt;=$EG$14,$EJ$14,IF((R53+S53)&gt;=$EG$13,$EJ$13,IF((R53+S53)&gt;=$EG$12,$EJ$12,IF((R53+S53)&gt;=$EG$11,$EJ$11,IF((R53+S53)&gt;=$EG$10,$EJ$10,0))))))))))-CC53</f>
        <v>0</v>
      </c>
      <c r="CF53" s="318"/>
      <c r="CG53" s="318">
        <f>AS53*(IF(C53="INTERNO",IF(T53&gt;=$EG$16,$EI$16,IF(T53&gt;=$EG$15,$EI$15,IF(T53&gt;=$EG$14,$EI$14,IF(T53&gt;=$EG$13,$EI$13,IF(T53&gt;=$EG$12,$EI$12,IF(T53&gt;=$EG$11,$EI$11,IF(T53&gt;=$EG$10,$EI$10,0))))))),IF(T53&gt;=$EG$16,$EJ$16,IF(T53&gt;=$EG$15,$EJ$15,IF(T53&gt;=$EG$14,$EJ$14,IF(T53&gt;=$EG$13,$EJ$13,IF(T53&gt;=$EG$12,$EJ$12,IF(T53&gt;=$EG$11,$EJ$11,IF(T53&gt;=$EG$10,$EJ$10,0)))))))))</f>
        <v>0</v>
      </c>
      <c r="CH53" s="318"/>
      <c r="CI53" s="318">
        <f>AT53*(IF(C53="INTERNO",IF(U53&gt;=$EG$16,$EI$16,IF(U53&gt;=$EG$15,$EI$15,IF(U53&gt;=$EG$14,$EI$14,IF(U53&gt;=$EG$13,$EI$13,IF(U53&gt;=$EG$12,$EI$12,IF(U53&gt;=$EG$11,$EI$11,IF(U53&gt;=$EG$10,$EI$10,0))))))),IF(U53&gt;=$EG$16,$EJ$16,IF(U53&gt;=$EG$15,$EJ$15,IF(U53&gt;=$EG$14,$EJ$14,IF(U53&gt;=$EG$13,$EJ$13,IF(U53&gt;=$EG$12,$EJ$12,IF(U53&gt;=$EG$11,$EJ$11,IF(U53&gt;=$EG$10,$EJ$10,0)))))))))</f>
        <v>0</v>
      </c>
      <c r="CJ53" s="318"/>
      <c r="CK53" s="318">
        <f>AU53*(IF($C53="INTERNO",IF(V53&gt;=$EG$16,$EI$16,IF(V53&gt;=$EG$15,$EI$15,IF(V53&gt;=$EG$14,$EI$14,IF(V53&gt;=$EG$13,$EI$13,IF(V53&gt;=$EG$12,$EI$12,IF(V53&gt;=$EG$11,$EI$11,IF(V53&gt;=$EG$10,$EI$10,0))))))),IF(V53&gt;=$EG$16,$EJ$16,IF(V53&gt;=$EG$15,$EJ$15,IF(V53&gt;=$EG$14,$EJ$14,IF(V53&gt;=$EG$13,$EJ$13,IF(V53&gt;=$EG$12,$EJ$12,IF(V53&gt;=$EG$11,$EJ$11,IF(V53&gt;=$EG$10,$EJ$10,0)))))))))</f>
        <v>0</v>
      </c>
      <c r="CL53" s="318"/>
      <c r="CM53" s="318">
        <f>AV53*(IF($C53="INTERNO",IF(W53&gt;=$EG$16,$EI$16,IF(W53&gt;=$EG$15,$EI$15,IF(W53&gt;=$EG$14,$EI$14,IF(W53&gt;=$EG$13,$EI$13,IF(W53&gt;=$EG$12,$EI$12,IF(W53&gt;=$EG$11,$EI$11,IF(W53&gt;=$EG$10,$EI$10,0))))))),IF(W53&gt;=$EG$16,$EJ$16,IF(W53&gt;=$EG$15,$EJ$15,IF(W53&gt;=$EG$14,$EJ$14,IF(W53&gt;=$EG$13,$EJ$13,IF(W53&gt;=$EG$12,$EJ$12,IF(W53&gt;=$EG$11,$EJ$11,IF(W53&gt;=$EG$10,$EJ$10,0)))))))))</f>
        <v>0</v>
      </c>
      <c r="CN53" s="318"/>
      <c r="CO53" s="318">
        <f>AW53*(IF($C53="INTERNO",IF(X53&gt;=$EG$16,$EI$16,IF(X53&gt;=$EG$15,$EI$15,IF(X53&gt;=$EG$14,$EI$14,IF(X53&gt;=$EG$13,$EI$13,IF(X53&gt;=$EG$12,$EI$12,IF(X53&gt;=$EG$11,$EI$11,IF(X53&gt;=$EG$10,$EI$10,0))))))),IF(X53&gt;=$EG$16,$EJ$16,IF(X53&gt;=$EG$15,$EJ$15,IF(X53&gt;=$EG$14,$EJ$14,IF(X53&gt;=$EG$13,$EJ$13,IF(X53&gt;=$EG$12,$EJ$12,IF(X53&gt;=$EG$11,$EJ$11,IF(X53&gt;=$EG$10,$EJ$10,0)))))))))</f>
        <v>0</v>
      </c>
      <c r="CP53" s="318"/>
      <c r="CQ53" s="318">
        <f>AX53*(IF($C53="INTERNO",IF(Y53&gt;=$EG$16,$EI$16,IF(Y53&gt;=$EG$15,$EI$15,IF(Y53&gt;=$EG$14,$EI$14,IF(Y53&gt;=$EG$13,$EI$13,IF(Y53&gt;=$EG$12,$EI$12,IF(Y53&gt;=$EG$11,$EI$11,IF(Y53&gt;=$EG$10,$EI$10,0))))))),IF(Y53&gt;=$EG$16,$EJ$16,IF(Y53&gt;=$EG$15,$EJ$15,IF(Y53&gt;=$EG$14,$EJ$14,IF(Y53&gt;=$EG$13,$EJ$13,IF(Y53&gt;=$EG$12,$EJ$12,IF(Y53&gt;=$EG$11,$EJ$11,IF(Y53&gt;=$EG$10,$EJ$10,0)))))))))</f>
        <v>0</v>
      </c>
      <c r="CR53" s="318"/>
      <c r="CS53" s="318">
        <f>AY53*(IF($C53="INTERNO",IF(Z53&gt;=$EG$16,$EI$16,IF(Z53&gt;=$EG$15,$EI$15,IF(Z53&gt;=$EG$14,$EI$14,IF(Z53&gt;=$EG$13,$EI$13,IF(Z53&gt;=$EG$12,$EI$12,IF(Z53&gt;=$EG$11,$EI$11,IF(Z53&gt;=$EG$10,$EI$10,0))))))),IF(Z53&gt;=$EG$16,$EJ$16,IF(Z53&gt;=$EG$15,$EJ$15,IF(Z53&gt;=$EG$14,$EJ$14,IF(Z53&gt;=$EG$13,$EJ$13,IF(Z53&gt;=$EG$12,$EJ$12,IF(Z53&gt;=$EG$11,$EJ$11,IF(Z53&gt;=$EG$10,$EJ$10,0)))))))))</f>
        <v>0</v>
      </c>
      <c r="CT53" s="318"/>
      <c r="CU53" s="318">
        <f>AZ53*(IF($C53="INTERNO",IF(AA53&gt;=$EG$16,$EI$16,IF(AA53&gt;=$EG$15,$EI$15,IF(AA53&gt;=$EG$14,$EI$14,IF(AA53&gt;=$EG$13,$EI$13,IF(AA53&gt;=$EG$12,$EI$12,IF(AA53&gt;=$EG$11,$EI$11,IF(AA53&gt;=$EG$10,$EI$10,0))))))),IF(AA53&gt;=$EG$16,$EJ$16,IF(AA53&gt;=$EG$15,$EJ$15,IF(AA53&gt;=$EG$14,$EJ$14,IF(AA53&gt;=$EG$13,$EJ$13,IF(AA53&gt;=$EG$12,$EJ$12,IF(AA53&gt;=$EG$11,$EJ$11,IF(AA53&gt;=$EG$10,$EJ$10,0)))))))))</f>
        <v>0</v>
      </c>
      <c r="CV53" s="318"/>
      <c r="CW53" s="318">
        <f>SUM(BB53:CV53)</f>
        <v>0</v>
      </c>
      <c r="CX53" s="330"/>
      <c r="CY53" s="330"/>
      <c r="CZ53" s="330"/>
      <c r="DA53" s="330"/>
      <c r="DB53" s="330"/>
      <c r="DC53" s="330"/>
      <c r="DD53" s="330"/>
      <c r="DE53" s="330"/>
      <c r="DF53" s="330"/>
      <c r="DG53" s="330"/>
      <c r="DH53" s="330"/>
      <c r="DI53" s="330"/>
      <c r="DJ53" s="330"/>
      <c r="DK53" s="330"/>
      <c r="DL53" s="330"/>
      <c r="DM53" s="330"/>
      <c r="DN53" s="330"/>
      <c r="DO53" s="330"/>
      <c r="DP53" s="330"/>
      <c r="DQ53" s="330"/>
      <c r="DR53" s="330"/>
      <c r="DS53" s="330"/>
      <c r="DT53" s="330"/>
      <c r="DU53" s="330"/>
      <c r="DV53" s="331">
        <f t="shared" si="58"/>
        <v>0</v>
      </c>
      <c r="DW53" s="130">
        <f>+AB53</f>
        <v>0</v>
      </c>
      <c r="DX53" s="131">
        <f t="shared" si="66"/>
        <v>0</v>
      </c>
      <c r="DY53" s="147">
        <f t="shared" si="60"/>
        <v>0</v>
      </c>
      <c r="DZ53" s="298">
        <f t="shared" si="61"/>
        <v>0</v>
      </c>
      <c r="ED53" s="163"/>
    </row>
    <row r="54" spans="2:134" ht="15.75" x14ac:dyDescent="0.3">
      <c r="B54" t="s">
        <v>666</v>
      </c>
      <c r="C54" s="297" t="s">
        <v>485</v>
      </c>
      <c r="D54" s="326">
        <f>SUMIFS(Tabla110[[#All],[Venta Total]],Tabla110[[#All],[Asesor]],B54,Tabla110[[#All],[Fecha Cobranza]],"&lt;"&amp;$D$6,Tabla110[[#All],[Fecha Cobranza]],"&gt;="&amp;$B$6)</f>
        <v>0</v>
      </c>
      <c r="E54" s="326">
        <f>SUMIFS(Tabla110[[#All],[Venta Total]],Tabla110[[#All],[Asesor]],B54,Tabla110[[#All],[Fecha Cobranza]],"&lt;"&amp;$E$6,Tabla110[[#All],[Fecha Cobranza]],"&gt;="&amp;$D$6)</f>
        <v>0</v>
      </c>
      <c r="F54" s="326">
        <f>SUMIFS(Tabla110[[#All],[Venta Total]],Tabla110[[#All],[Asesor]],B54,Tabla110[[#All],[Fecha Cobranza]],"&lt;"&amp;$F$6,Tabla110[[#All],[Fecha Cobranza]],"&gt;="&amp;$E$6)</f>
        <v>0</v>
      </c>
      <c r="G54" s="326">
        <f>SUMIFS(Tabla110[[#All],[Venta Total]],Tabla110[[#All],[Asesor]],B54,Tabla110[[#All],[Fecha Cobranza]],"&lt;"&amp;$G$6,Tabla110[[#All],[Fecha Cobranza]],"&gt;="&amp;$F$6)</f>
        <v>0</v>
      </c>
      <c r="H54" s="326">
        <f>SUMIFS(Tabla110[[#All],[Venta Total]],Tabla110[[#All],[Asesor]],B54,Tabla110[[#All],[Fecha Cobranza]],"&lt;"&amp;$H$6,Tabla110[[#All],[Fecha Cobranza]],"&gt;="&amp;$G$6)</f>
        <v>0</v>
      </c>
      <c r="I54" s="326">
        <f>SUMIFS(Tabla110[[#All],[Venta Total]],Tabla110[[#All],[Asesor]],B54,Tabla110[[#All],[Fecha Cobranza]],"&lt;"&amp;$I$6,Tabla110[[#All],[Fecha Cobranza]],"&gt;="&amp;$H$6)</f>
        <v>0</v>
      </c>
      <c r="J54" s="326">
        <f>SUMIFS(Tabla110[[#All],[Venta Total]],Tabla110[[#All],[Asesor]],B54,Tabla110[[#All],[Fecha Cobranza]],"&lt;"&amp;$J$6,Tabla110[[#All],[Fecha Cobranza]],"&gt;="&amp;$I$6)</f>
        <v>0</v>
      </c>
      <c r="K54" s="326">
        <f>SUMIFS(Tabla110[[#All],[Venta Total]],Tabla110[[#All],[Asesor]],B54,Tabla110[[#All],[Fecha Cobranza]],"&lt;"&amp;$K$6,Tabla110[[#All],[Fecha Cobranza]],"&gt;="&amp;$J$6)</f>
        <v>0</v>
      </c>
      <c r="L54" s="326">
        <f>SUMIFS(Tabla110[[#All],[Venta Total]],Tabla110[[#All],[Asesor]],B54,Tabla110[[#All],[Fecha Cobranza]],"&lt;"&amp;$L$6,Tabla110[[#All],[Fecha Cobranza]],"&gt;="&amp;$K$6)</f>
        <v>0</v>
      </c>
      <c r="M54" s="326">
        <f>SUMIFS(Tabla110[[#All],[Venta Total]],Tabla110[[#All],[Asesor]],B54,Tabla110[[#All],[Fecha Cobranza]],"&lt;"&amp;$M$6,Tabla110[[#All],[Fecha Cobranza]],"&gt;="&amp;$L$6)</f>
        <v>0</v>
      </c>
      <c r="N54" s="326">
        <f>SUMIFS(Tabla110[[#All],[Venta Total]],Tabla110[[#All],[Asesor]],B54,Tabla110[[#All],[Fecha Cobranza]],"&lt;"&amp;$N$6,Tabla110[[#All],[Fecha Cobranza]],"&gt;="&amp;$M$6)</f>
        <v>0</v>
      </c>
      <c r="O54" s="326">
        <f>SUMIFS(Tabla110[[#All],[Venta Total]],Tabla110[[#All],[Asesor]],B54,Tabla110[[#All],[Fecha Cobranza]],"&lt;"&amp;$O$6,Tabla110[[#All],[Fecha Cobranza]],"&gt;="&amp;$N$6)</f>
        <v>0</v>
      </c>
      <c r="P54" s="326">
        <f>SUMIFS(Tabla110[[#All],[Venta Total]],Tabla110[[#All],[Asesor]],B54,Tabla110[[#All],[Fecha Cobranza]],"&lt;"&amp;$P$6,Tabla110[[#All],[Fecha Cobranza]],"&gt;="&amp;$O$6)</f>
        <v>0</v>
      </c>
      <c r="Q54" s="326">
        <f>SUMIFS(Tabla110[[#All],[Venta Total]],Tabla110[[#All],[Asesor]],B54,Tabla110[[#All],[Fecha Cobranza]],"&lt;"&amp;$Q$6,Tabla110[[#All],[Fecha Cobranza]],"&gt;="&amp;$P$6)</f>
        <v>0</v>
      </c>
      <c r="R54" s="326">
        <f>SUMIFS(Tabla110[[#All],[Venta Total]],Tabla110[[#All],[Asesor]],B54,Tabla110[[#All],[Fecha Cobranza]],"&lt;"&amp;$R$6,Tabla110[[#All],[Fecha Cobranza]],"&gt;="&amp;$Q$6)</f>
        <v>0</v>
      </c>
      <c r="S54" s="326">
        <f>SUMIFS(Tabla110[[#All],[Venta Total]],Tabla110[[#All],[Asesor]],B54,Tabla110[[#All],[Fecha Cobranza]],"&lt;"&amp;$S$6,Tabla110[[#All],[Fecha Cobranza]],"&gt;="&amp;$R$6)</f>
        <v>0</v>
      </c>
      <c r="T54" s="326">
        <f>SUMIFS(Tabla110[[#All],[Venta Total]],Tabla110[[#All],[Asesor]],$B54,Tabla110[[#All],[Fecha Cobranza]],"&lt;"&amp;T$6,Tabla110[[#All],[Fecha Cobranza]],"&gt;="&amp;S$6)</f>
        <v>0</v>
      </c>
      <c r="U54" s="326">
        <f>SUMIFS(Tabla110[[#All],[Venta Total]],Tabla110[[#All],[Asesor]],$B54,Tabla110[[#All],[Fecha Cobranza]],"&lt;"&amp;U$6,Tabla110[[#All],[Fecha Cobranza]],"&gt;="&amp;T$6)</f>
        <v>0</v>
      </c>
      <c r="V54" s="326">
        <f>SUMIFS(Tabla110[[#All],[Venta Total]],Tabla110[[#All],[Asesor]],$B54,Tabla110[[#All],[Fecha Cobranza]],"&lt;"&amp;V$6,Tabla110[[#All],[Fecha Cobranza]],"&gt;="&amp;U$6)</f>
        <v>0</v>
      </c>
      <c r="W54" s="326">
        <f>SUMIFS(Tabla110[[#All],[Venta Total]],Tabla110[[#All],[Asesor]],$B54,Tabla110[[#All],[Fecha Cobranza]],"&lt;"&amp;W$6,Tabla110[[#All],[Fecha Cobranza]],"&gt;="&amp;V$6)</f>
        <v>0</v>
      </c>
      <c r="X54" s="326">
        <f>SUMIFS(Tabla110[[#All],[Venta Total]],Tabla110[[#All],[Asesor]],$B54,Tabla110[[#All],[Fecha Cobranza]],"&lt;"&amp;X$6,Tabla110[[#All],[Fecha Cobranza]],"&gt;="&amp;W$6)</f>
        <v>0</v>
      </c>
      <c r="Y54" s="326">
        <f>SUMIFS(Tabla110[[#All],[Venta Total]],Tabla110[[#All],[Asesor]],$B54,Tabla110[[#All],[Fecha Cobranza]],"&lt;"&amp;Y$6,Tabla110[[#All],[Fecha Cobranza]],"&gt;="&amp;X$6)</f>
        <v>0</v>
      </c>
      <c r="Z54" s="326">
        <f>SUMIFS(Tabla110[[#All],[Venta Total]],Tabla110[[#All],[Asesor]],$B54,Tabla110[[#All],[Fecha Cobranza]],"&lt;"&amp;Z$6,Tabla110[[#All],[Fecha Cobranza]],"&gt;="&amp;Y$6)</f>
        <v>0</v>
      </c>
      <c r="AA54" s="326">
        <f>SUMIFS(Tabla110[[#All],[Venta Total]],Tabla110[[#All],[Asesor]],$B54,Tabla110[[#All],[Fecha Cobranza]],"&lt;"&amp;AA$6,Tabla110[[#All],[Fecha Cobranza]],"&gt;="&amp;Z$6)</f>
        <v>0</v>
      </c>
      <c r="AB54" s="327">
        <f t="shared" si="64"/>
        <v>0</v>
      </c>
      <c r="AC54" s="322">
        <f>SUMIFS(Tabla110[[#All],[Utilidad Bruta Total]],Tabla110[[#All],[Asesor]],B54,Tabla110[[#All],[Fecha Cobranza]],"&lt;"&amp;$AC$6,Tabla110[[#All],[Fecha Cobranza]],"&gt;="&amp;$B$6)</f>
        <v>0</v>
      </c>
      <c r="AD54" s="322">
        <f>SUMIFS(Tabla110[[#All],[Utilidad Bruta Total]],Tabla110[[#All],[Asesor]],B54,Tabla110[[#All],[Fecha Cobranza]],"&lt;"&amp;$AD$6,Tabla110[[#All],[Fecha Cobranza]],"&gt;="&amp;$AC$6)</f>
        <v>0</v>
      </c>
      <c r="AE54" s="322">
        <f>SUMIFS(Tabla110[[#All],[Utilidad Bruta Total]],Tabla110[[#All],[Asesor]],B54,Tabla110[[#All],[Fecha Cobranza]],"&lt;"&amp;$AE$6,Tabla110[[#All],[Fecha Cobranza]],"&gt;="&amp;$AD$6)</f>
        <v>0</v>
      </c>
      <c r="AF54" s="322">
        <f>SUMIFS(Tabla110[[#All],[Utilidad Bruta Total]],Tabla110[[#All],[Asesor]],B54,Tabla110[[#All],[Fecha Cobranza]],"&lt;"&amp;$AF$6,Tabla110[[#All],[Fecha Cobranza]],"&gt;="&amp;$AE$6)</f>
        <v>0</v>
      </c>
      <c r="AG54" s="322">
        <f>SUMIFS(Tabla110[[#All],[Utilidad Bruta Total]],Tabla110[[#All],[Asesor]],B54,Tabla110[[#All],[Fecha Cobranza]],"&lt;"&amp;$AG$6,Tabla110[[#All],[Fecha Cobranza]],"&gt;="&amp;$AF$6)</f>
        <v>0</v>
      </c>
      <c r="AH54" s="322">
        <f>SUMIFS(Tabla110[[#All],[Utilidad Bruta Total]],Tabla110[[#All],[Asesor]],B54,Tabla110[[#All],[Fecha Cobranza]],"&lt;"&amp;$AH$6,Tabla110[[#All],[Fecha Cobranza]],"&gt;="&amp;$AG$6)</f>
        <v>0</v>
      </c>
      <c r="AI54" s="322">
        <f>SUMIFS(Tabla110[[#All],[Utilidad Bruta Total]],Tabla110[[#All],[Asesor]],B54,Tabla110[[#All],[Fecha Cobranza]],"&lt;"&amp;$AI$6,Tabla110[[#All],[Fecha Cobranza]],"&gt;="&amp;$AH$6)</f>
        <v>0</v>
      </c>
      <c r="AJ54" s="322">
        <f>SUMIFS(Tabla110[[#All],[Utilidad Bruta Total]],Tabla110[[#All],[Asesor]],B54,Tabla110[[#All],[Fecha Cobranza]],"&lt;"&amp;$AJ$6,Tabla110[[#All],[Fecha Cobranza]],"&gt;="&amp;$AI$6)</f>
        <v>0</v>
      </c>
      <c r="AK54" s="322">
        <f>SUMIFS(Tabla110[[#All],[Utilidad Bruta Total]],Tabla110[[#All],[Asesor]],B54,Tabla110[[#All],[Fecha Cobranza]],"&lt;"&amp;$AK$6,Tabla110[[#All],[Fecha Cobranza]],"&gt;="&amp;$AJ$6)</f>
        <v>0</v>
      </c>
      <c r="AL54" s="322">
        <f>SUMIFS(Tabla110[[#All],[Utilidad Bruta Total]],Tabla110[[#All],[Asesor]],B54,Tabla110[[#All],[Fecha Cobranza]],"&lt;"&amp;$AL$6,Tabla110[[#All],[Fecha Cobranza]],"&gt;="&amp;$AK$6)</f>
        <v>0</v>
      </c>
      <c r="AM54" s="322">
        <f>SUMIFS(Tabla110[[#All],[Utilidad Bruta Total]],Tabla110[[#All],[Asesor]],B54,Tabla110[[#All],[Fecha Cobranza]],"&lt;"&amp;$AM$6,Tabla110[[#All],[Fecha Cobranza]],"&gt;="&amp;$AL$6)</f>
        <v>0</v>
      </c>
      <c r="AN54" s="322">
        <f>SUMIFS(Tabla110[[#All],[Utilidad Bruta Total]],Tabla110[[#All],[Asesor]],B54,Tabla110[[#All],[Fecha Cobranza]],"&lt;"&amp;$AN$6,Tabla110[[#All],[Fecha Cobranza]],"&gt;="&amp;$AM$6)</f>
        <v>0</v>
      </c>
      <c r="AO54" s="322">
        <f>SUMIFS(Tabla110[[#All],[Utilidad Bruta Total]],Tabla110[[#All],[Asesor]],B54,Tabla110[[#All],[Fecha Cobranza]],"&lt;"&amp;$AO$6,Tabla110[[#All],[Fecha Cobranza]],"&gt;="&amp;$AN$6)</f>
        <v>0</v>
      </c>
      <c r="AP54" s="322">
        <f>SUMIFS(Tabla110[[#All],[Utilidad Bruta Total]],Tabla110[[#All],[Asesor]],B54,Tabla110[[#All],[Fecha Cobranza]],"&lt;"&amp;$AP$6,Tabla110[[#All],[Fecha Cobranza]],"&gt;="&amp;$AO$6)</f>
        <v>0</v>
      </c>
      <c r="AQ54" s="322">
        <f>SUMIFS(Tabla110[[#All],[Utilidad Bruta Total]],Tabla110[[#All],[Asesor]],B54,Tabla110[[#All],[Fecha Cobranza]],"&lt;"&amp;$AQ$6,Tabla110[[#All],[Fecha Cobranza]],"&gt;="&amp;$AP$6)</f>
        <v>0</v>
      </c>
      <c r="AR54" s="322">
        <f>SUMIFS(Tabla110[[#All],[Utilidad Bruta Total]],Tabla110[[#All],[Asesor]],B54,Tabla110[[#All],[Fecha Cobranza]],"&lt;"&amp;$AR$6,Tabla110[[#All],[Fecha Cobranza]],"&gt;="&amp;$AQ$6)</f>
        <v>0</v>
      </c>
      <c r="AS54" s="322">
        <f>SUMIFS(Tabla110[[#All],[Utilidad Bruta Total]],Tabla110[[#All],[Asesor]],$B54,Tabla110[[#All],[Fecha Cobranza]],"&lt;"&amp;AS$6,Tabla110[[#All],[Fecha Cobranza]],"&gt;="&amp;AR$6)</f>
        <v>0</v>
      </c>
      <c r="AT54" s="322">
        <f>SUMIFS(Tabla110[[#All],[Utilidad Bruta Total]],Tabla110[[#All],[Asesor]],$B54,Tabla110[[#All],[Fecha Cobranza]],"&lt;"&amp;AT$6,Tabla110[[#All],[Fecha Cobranza]],"&gt;="&amp;AS$6)</f>
        <v>0</v>
      </c>
      <c r="AU54" s="322">
        <f>SUMIFS(Tabla110[[#All],[Utilidad Bruta Total]],Tabla110[[#All],[Asesor]],$B54,Tabla110[[#All],[Fecha Cobranza]],"&lt;"&amp;AU$6,Tabla110[[#All],[Fecha Cobranza]],"&gt;="&amp;AT$6)</f>
        <v>0</v>
      </c>
      <c r="AV54" s="322">
        <f>SUMIFS(Tabla110[[#All],[Utilidad Bruta Total]],Tabla110[[#All],[Asesor]],$B54,Tabla110[[#All],[Fecha Cobranza]],"&lt;"&amp;AV$6,Tabla110[[#All],[Fecha Cobranza]],"&gt;="&amp;AU$6)</f>
        <v>0</v>
      </c>
      <c r="AW54" s="322">
        <f>SUMIFS(Tabla110[[#All],[Utilidad Bruta Total]],Tabla110[[#All],[Asesor]],$B54,Tabla110[[#All],[Fecha Cobranza]],"&lt;"&amp;AW$6,Tabla110[[#All],[Fecha Cobranza]],"&gt;="&amp;AV$6)</f>
        <v>0</v>
      </c>
      <c r="AX54" s="322">
        <f>SUMIFS(Tabla110[[#All],[Utilidad Bruta Total]],Tabla110[[#All],[Asesor]],$B54,Tabla110[[#All],[Fecha Cobranza]],"&lt;"&amp;AX$6,Tabla110[[#All],[Fecha Cobranza]],"&gt;="&amp;AW$6)</f>
        <v>0</v>
      </c>
      <c r="AY54" s="322">
        <f>SUMIFS(Tabla110[[#All],[Utilidad Bruta Total]],Tabla110[[#All],[Asesor]],$B54,Tabla110[[#All],[Fecha Cobranza]],"&lt;"&amp;AY$6,Tabla110[[#All],[Fecha Cobranza]],"&gt;="&amp;AX$6)</f>
        <v>0</v>
      </c>
      <c r="AZ54" s="322">
        <f>SUMIFS(Tabla110[[#All],[Utilidad Bruta Total]],Tabla110[[#All],[Asesor]],$B54,Tabla110[[#All],[Fecha Cobranza]],"&lt;"&amp;AZ$6,Tabla110[[#All],[Fecha Cobranza]],"&gt;="&amp;AY$6)</f>
        <v>0</v>
      </c>
      <c r="BA54" s="323">
        <f t="shared" si="65"/>
        <v>0</v>
      </c>
      <c r="BB54" s="418">
        <f t="shared" si="33"/>
        <v>0</v>
      </c>
      <c r="BC54" s="318"/>
      <c r="BD54" s="318">
        <f t="shared" si="34"/>
        <v>0</v>
      </c>
      <c r="BE54" s="318"/>
      <c r="BF54" s="318">
        <f t="shared" si="35"/>
        <v>0</v>
      </c>
      <c r="BG54" s="318"/>
      <c r="BH54" s="318">
        <f t="shared" si="36"/>
        <v>0</v>
      </c>
      <c r="BI54" s="318"/>
      <c r="BJ54" s="318">
        <f t="shared" si="37"/>
        <v>0</v>
      </c>
      <c r="BK54" s="318"/>
      <c r="BL54" s="318">
        <f t="shared" si="38"/>
        <v>0</v>
      </c>
      <c r="BM54" s="318"/>
      <c r="BN54" s="318">
        <f t="shared" si="39"/>
        <v>0</v>
      </c>
      <c r="BO54" s="318"/>
      <c r="BP54" s="318">
        <f t="shared" si="40"/>
        <v>0</v>
      </c>
      <c r="BQ54" s="318"/>
      <c r="BR54" s="318">
        <f t="shared" si="62"/>
        <v>0</v>
      </c>
      <c r="BS54" s="318"/>
      <c r="BT54" s="318">
        <f t="shared" si="63"/>
        <v>0</v>
      </c>
      <c r="BU54" s="318">
        <f t="shared" si="43"/>
        <v>0</v>
      </c>
      <c r="BV54" s="318"/>
      <c r="BW54" s="318">
        <f t="shared" si="59"/>
        <v>0</v>
      </c>
      <c r="BX54" s="318"/>
      <c r="BY54" s="318">
        <f t="shared" si="45"/>
        <v>0</v>
      </c>
      <c r="BZ54" s="318"/>
      <c r="CA54" s="318">
        <f t="shared" si="46"/>
        <v>0</v>
      </c>
      <c r="CB54" s="318"/>
      <c r="CC54" s="318">
        <f t="shared" si="47"/>
        <v>0</v>
      </c>
      <c r="CD54" s="318"/>
      <c r="CE54" s="318">
        <f t="shared" si="48"/>
        <v>0</v>
      </c>
      <c r="CF54" s="318"/>
      <c r="CG54" s="318">
        <f t="shared" si="49"/>
        <v>0</v>
      </c>
      <c r="CH54" s="318"/>
      <c r="CI54" s="318">
        <f t="shared" si="50"/>
        <v>0</v>
      </c>
      <c r="CJ54" s="318"/>
      <c r="CK54" s="318">
        <f t="shared" si="51"/>
        <v>0</v>
      </c>
      <c r="CL54" s="318"/>
      <c r="CM54" s="318">
        <f t="shared" si="52"/>
        <v>0</v>
      </c>
      <c r="CN54" s="318"/>
      <c r="CO54" s="318">
        <f t="shared" si="53"/>
        <v>0</v>
      </c>
      <c r="CP54" s="318"/>
      <c r="CQ54" s="318">
        <f t="shared" si="54"/>
        <v>0</v>
      </c>
      <c r="CR54" s="318"/>
      <c r="CS54" s="318">
        <f t="shared" si="55"/>
        <v>0</v>
      </c>
      <c r="CT54" s="318"/>
      <c r="CU54" s="318">
        <f t="shared" si="56"/>
        <v>0</v>
      </c>
      <c r="CV54" s="318"/>
      <c r="CW54" s="318">
        <f t="shared" si="26"/>
        <v>0</v>
      </c>
      <c r="CX54" s="330"/>
      <c r="CY54" s="330"/>
      <c r="CZ54" s="330"/>
      <c r="DA54" s="330"/>
      <c r="DB54" s="330"/>
      <c r="DC54" s="330"/>
      <c r="DD54" s="330"/>
      <c r="DE54" s="330"/>
      <c r="DF54" s="330"/>
      <c r="DG54" s="330"/>
      <c r="DH54" s="330"/>
      <c r="DI54" s="330"/>
      <c r="DJ54" s="330"/>
      <c r="DK54" s="330"/>
      <c r="DL54" s="330"/>
      <c r="DM54" s="330"/>
      <c r="DN54" s="330"/>
      <c r="DO54" s="330"/>
      <c r="DP54" s="330"/>
      <c r="DQ54" s="330"/>
      <c r="DR54" s="330"/>
      <c r="DS54" s="330"/>
      <c r="DT54" s="330"/>
      <c r="DU54" s="330"/>
      <c r="DV54" s="331">
        <f t="shared" si="58"/>
        <v>0</v>
      </c>
      <c r="DW54" s="130">
        <f t="shared" si="27"/>
        <v>0</v>
      </c>
      <c r="DX54" s="417">
        <f t="shared" si="66"/>
        <v>0</v>
      </c>
      <c r="DY54" s="147">
        <f t="shared" si="60"/>
        <v>0</v>
      </c>
      <c r="DZ54" s="298">
        <f t="shared" si="61"/>
        <v>0</v>
      </c>
      <c r="ED54" s="163"/>
    </row>
    <row r="55" spans="2:134" ht="15.75" x14ac:dyDescent="0.3">
      <c r="B55" t="s">
        <v>479</v>
      </c>
      <c r="C55" s="297" t="s">
        <v>485</v>
      </c>
      <c r="D55" s="326">
        <f>SUMIFS(Tabla110[[#All],[Venta Total]],Tabla110[[#All],[Asesor]],B55,Tabla110[[#All],[Fecha Cobranza]],"&lt;"&amp;$D$6,Tabla110[[#All],[Fecha Cobranza]],"&gt;="&amp;$B$6)</f>
        <v>0</v>
      </c>
      <c r="E55" s="326">
        <f>SUMIFS(Tabla110[[#All],[Venta Total]],Tabla110[[#All],[Asesor]],B55,Tabla110[[#All],[Fecha Cobranza]],"&lt;"&amp;$E$6,Tabla110[[#All],[Fecha Cobranza]],"&gt;="&amp;$D$6)</f>
        <v>0</v>
      </c>
      <c r="F55" s="326">
        <f>SUMIFS(Tabla110[[#All],[Venta Total]],Tabla110[[#All],[Asesor]],B55,Tabla110[[#All],[Fecha Cobranza]],"&lt;"&amp;$F$6,Tabla110[[#All],[Fecha Cobranza]],"&gt;="&amp;$E$6)</f>
        <v>0</v>
      </c>
      <c r="G55" s="326">
        <f>SUMIFS(Tabla110[[#All],[Venta Total]],Tabla110[[#All],[Asesor]],B55,Tabla110[[#All],[Fecha Cobranza]],"&lt;"&amp;$G$6,Tabla110[[#All],[Fecha Cobranza]],"&gt;="&amp;$F$6)</f>
        <v>0</v>
      </c>
      <c r="H55" s="326">
        <f>SUMIFS(Tabla110[[#All],[Venta Total]],Tabla110[[#All],[Asesor]],B55,Tabla110[[#All],[Fecha Cobranza]],"&lt;"&amp;$H$6,Tabla110[[#All],[Fecha Cobranza]],"&gt;="&amp;$G$6)</f>
        <v>0</v>
      </c>
      <c r="I55" s="326">
        <f>SUMIFS(Tabla110[[#All],[Venta Total]],Tabla110[[#All],[Asesor]],B55,Tabla110[[#All],[Fecha Cobranza]],"&lt;"&amp;$I$6,Tabla110[[#All],[Fecha Cobranza]],"&gt;="&amp;$H$6)</f>
        <v>0</v>
      </c>
      <c r="J55" s="326">
        <f>SUMIFS(Tabla110[[#All],[Venta Total]],Tabla110[[#All],[Asesor]],B55,Tabla110[[#All],[Fecha Cobranza]],"&lt;"&amp;$J$6,Tabla110[[#All],[Fecha Cobranza]],"&gt;="&amp;$I$6)</f>
        <v>0</v>
      </c>
      <c r="K55" s="326">
        <f>SUMIFS(Tabla110[[#All],[Venta Total]],Tabla110[[#All],[Asesor]],B55,Tabla110[[#All],[Fecha Cobranza]],"&lt;"&amp;$K$6,Tabla110[[#All],[Fecha Cobranza]],"&gt;="&amp;$J$6)</f>
        <v>0</v>
      </c>
      <c r="L55" s="326">
        <f>SUMIFS(Tabla110[[#All],[Venta Total]],Tabla110[[#All],[Asesor]],B55,Tabla110[[#All],[Fecha Cobranza]],"&lt;"&amp;$L$6,Tabla110[[#All],[Fecha Cobranza]],"&gt;="&amp;$K$6)</f>
        <v>0</v>
      </c>
      <c r="M55" s="326">
        <f>SUMIFS(Tabla110[[#All],[Venta Total]],Tabla110[[#All],[Asesor]],B55,Tabla110[[#All],[Fecha Cobranza]],"&lt;"&amp;$M$6,Tabla110[[#All],[Fecha Cobranza]],"&gt;="&amp;$L$6)</f>
        <v>0</v>
      </c>
      <c r="N55" s="326">
        <f>SUMIFS(Tabla110[[#All],[Venta Total]],Tabla110[[#All],[Asesor]],B55,Tabla110[[#All],[Fecha Cobranza]],"&lt;"&amp;$N$6,Tabla110[[#All],[Fecha Cobranza]],"&gt;="&amp;$M$6)</f>
        <v>0</v>
      </c>
      <c r="O55" s="326">
        <f>SUMIFS(Tabla110[[#All],[Venta Total]],Tabla110[[#All],[Asesor]],B55,Tabla110[[#All],[Fecha Cobranza]],"&lt;"&amp;$O$6,Tabla110[[#All],[Fecha Cobranza]],"&gt;="&amp;$N$6)</f>
        <v>0</v>
      </c>
      <c r="P55" s="326">
        <f>SUMIFS(Tabla110[[#All],[Venta Total]],Tabla110[[#All],[Asesor]],B55,Tabla110[[#All],[Fecha Cobranza]],"&lt;"&amp;$P$6,Tabla110[[#All],[Fecha Cobranza]],"&gt;="&amp;$O$6)</f>
        <v>0</v>
      </c>
      <c r="Q55" s="326">
        <f>SUMIFS(Tabla110[[#All],[Venta Total]],Tabla110[[#All],[Asesor]],B55,Tabla110[[#All],[Fecha Cobranza]],"&lt;"&amp;$Q$6,Tabla110[[#All],[Fecha Cobranza]],"&gt;="&amp;$P$6)</f>
        <v>0</v>
      </c>
      <c r="R55" s="326">
        <f>SUMIFS(Tabla110[[#All],[Venta Total]],Tabla110[[#All],[Asesor]],B55,Tabla110[[#All],[Fecha Cobranza]],"&lt;"&amp;$R$6,Tabla110[[#All],[Fecha Cobranza]],"&gt;="&amp;$Q$6)</f>
        <v>0</v>
      </c>
      <c r="S55" s="326">
        <f>SUMIFS(Tabla110[[#All],[Venta Total]],Tabla110[[#All],[Asesor]],B55,Tabla110[[#All],[Fecha Cobranza]],"&lt;"&amp;$S$6,Tabla110[[#All],[Fecha Cobranza]],"&gt;="&amp;$R$6)</f>
        <v>0</v>
      </c>
      <c r="T55" s="326">
        <f>SUMIFS(Tabla110[[#All],[Venta Total]],Tabla110[[#All],[Asesor]],$B55,Tabla110[[#All],[Fecha Cobranza]],"&lt;"&amp;T$6,Tabla110[[#All],[Fecha Cobranza]],"&gt;="&amp;S$6)</f>
        <v>0</v>
      </c>
      <c r="U55" s="326">
        <f>SUMIFS(Tabla110[[#All],[Venta Total]],Tabla110[[#All],[Asesor]],$B55,Tabla110[[#All],[Fecha Cobranza]],"&lt;"&amp;U$6,Tabla110[[#All],[Fecha Cobranza]],"&gt;="&amp;T$6)</f>
        <v>0</v>
      </c>
      <c r="V55" s="326">
        <f>SUMIFS(Tabla110[[#All],[Venta Total]],Tabla110[[#All],[Asesor]],$B55,Tabla110[[#All],[Fecha Cobranza]],"&lt;"&amp;V$6,Tabla110[[#All],[Fecha Cobranza]],"&gt;="&amp;U$6)</f>
        <v>0</v>
      </c>
      <c r="W55" s="326">
        <f>SUMIFS(Tabla110[[#All],[Venta Total]],Tabla110[[#All],[Asesor]],$B55,Tabla110[[#All],[Fecha Cobranza]],"&lt;"&amp;W$6,Tabla110[[#All],[Fecha Cobranza]],"&gt;="&amp;V$6)</f>
        <v>0</v>
      </c>
      <c r="X55" s="326">
        <f>SUMIFS(Tabla110[[#All],[Venta Total]],Tabla110[[#All],[Asesor]],$B55,Tabla110[[#All],[Fecha Cobranza]],"&lt;"&amp;X$6,Tabla110[[#All],[Fecha Cobranza]],"&gt;="&amp;W$6)</f>
        <v>0</v>
      </c>
      <c r="Y55" s="326">
        <f>SUMIFS(Tabla110[[#All],[Venta Total]],Tabla110[[#All],[Asesor]],$B55,Tabla110[[#All],[Fecha Cobranza]],"&lt;"&amp;Y$6,Tabla110[[#All],[Fecha Cobranza]],"&gt;="&amp;X$6)</f>
        <v>0</v>
      </c>
      <c r="Z55" s="326">
        <f>SUMIFS(Tabla110[[#All],[Venta Total]],Tabla110[[#All],[Asesor]],$B55,Tabla110[[#All],[Fecha Cobranza]],"&lt;"&amp;Z$6,Tabla110[[#All],[Fecha Cobranza]],"&gt;="&amp;Y$6)</f>
        <v>0</v>
      </c>
      <c r="AA55" s="326">
        <f>SUMIFS(Tabla110[[#All],[Venta Total]],Tabla110[[#All],[Asesor]],$B55,Tabla110[[#All],[Fecha Cobranza]],"&lt;"&amp;AA$6,Tabla110[[#All],[Fecha Cobranza]],"&gt;="&amp;Z$6)</f>
        <v>0</v>
      </c>
      <c r="AB55" s="327">
        <f t="shared" si="0"/>
        <v>0</v>
      </c>
      <c r="AC55" s="322">
        <f>SUMIFS(Tabla110[[#All],[Utilidad Bruta Total]],Tabla110[[#All],[Asesor]],B55,Tabla110[[#All],[Fecha Cobranza]],"&lt;"&amp;$AC$6,Tabla110[[#All],[Fecha Cobranza]],"&gt;="&amp;$B$6)</f>
        <v>0</v>
      </c>
      <c r="AD55" s="322">
        <f>SUMIFS(Tabla110[[#All],[Utilidad Bruta Total]],Tabla110[[#All],[Asesor]],B55,Tabla110[[#All],[Fecha Cobranza]],"&lt;"&amp;$AD$6,Tabla110[[#All],[Fecha Cobranza]],"&gt;="&amp;$AC$6)</f>
        <v>0</v>
      </c>
      <c r="AE55" s="322">
        <f>SUMIFS(Tabla110[[#All],[Utilidad Bruta Total]],Tabla110[[#All],[Asesor]],B55,Tabla110[[#All],[Fecha Cobranza]],"&lt;"&amp;$AE$6,Tabla110[[#All],[Fecha Cobranza]],"&gt;="&amp;$AD$6)</f>
        <v>0</v>
      </c>
      <c r="AF55" s="322">
        <f>SUMIFS(Tabla110[[#All],[Utilidad Bruta Total]],Tabla110[[#All],[Asesor]],B55,Tabla110[[#All],[Fecha Cobranza]],"&lt;"&amp;$AF$6,Tabla110[[#All],[Fecha Cobranza]],"&gt;="&amp;$AE$6)</f>
        <v>0</v>
      </c>
      <c r="AG55" s="322">
        <f>SUMIFS(Tabla110[[#All],[Utilidad Bruta Total]],Tabla110[[#All],[Asesor]],B55,Tabla110[[#All],[Fecha Cobranza]],"&lt;"&amp;$AG$6,Tabla110[[#All],[Fecha Cobranza]],"&gt;="&amp;$AF$6)</f>
        <v>0</v>
      </c>
      <c r="AH55" s="322">
        <f>SUMIFS(Tabla110[[#All],[Utilidad Bruta Total]],Tabla110[[#All],[Asesor]],B55,Tabla110[[#All],[Fecha Cobranza]],"&lt;"&amp;$AH$6,Tabla110[[#All],[Fecha Cobranza]],"&gt;="&amp;$AG$6)</f>
        <v>0</v>
      </c>
      <c r="AI55" s="322">
        <f>SUMIFS(Tabla110[[#All],[Utilidad Bruta Total]],Tabla110[[#All],[Asesor]],B55,Tabla110[[#All],[Fecha Cobranza]],"&lt;"&amp;$AI$6,Tabla110[[#All],[Fecha Cobranza]],"&gt;="&amp;$AH$6)</f>
        <v>0</v>
      </c>
      <c r="AJ55" s="322">
        <f>SUMIFS(Tabla110[[#All],[Utilidad Bruta Total]],Tabla110[[#All],[Asesor]],B55,Tabla110[[#All],[Fecha Cobranza]],"&lt;"&amp;$AJ$6,Tabla110[[#All],[Fecha Cobranza]],"&gt;="&amp;$AI$6)</f>
        <v>0</v>
      </c>
      <c r="AK55" s="322">
        <f>SUMIFS(Tabla110[[#All],[Utilidad Bruta Total]],Tabla110[[#All],[Asesor]],B55,Tabla110[[#All],[Fecha Cobranza]],"&lt;"&amp;$AK$6,Tabla110[[#All],[Fecha Cobranza]],"&gt;="&amp;$AJ$6)</f>
        <v>0</v>
      </c>
      <c r="AL55" s="322">
        <f>SUMIFS(Tabla110[[#All],[Utilidad Bruta Total]],Tabla110[[#All],[Asesor]],B55,Tabla110[[#All],[Fecha Cobranza]],"&lt;"&amp;$AL$6,Tabla110[[#All],[Fecha Cobranza]],"&gt;="&amp;$AK$6)</f>
        <v>0</v>
      </c>
      <c r="AM55" s="322">
        <f>SUMIFS(Tabla110[[#All],[Utilidad Bruta Total]],Tabla110[[#All],[Asesor]],B55,Tabla110[[#All],[Fecha Cobranza]],"&lt;"&amp;$AM$6,Tabla110[[#All],[Fecha Cobranza]],"&gt;="&amp;$AL$6)</f>
        <v>0</v>
      </c>
      <c r="AN55" s="322">
        <f>SUMIFS(Tabla110[[#All],[Utilidad Bruta Total]],Tabla110[[#All],[Asesor]],B55,Tabla110[[#All],[Fecha Cobranza]],"&lt;"&amp;$AN$6,Tabla110[[#All],[Fecha Cobranza]],"&gt;="&amp;$AM$6)</f>
        <v>0</v>
      </c>
      <c r="AO55" s="322">
        <f>SUMIFS(Tabla110[[#All],[Utilidad Bruta Total]],Tabla110[[#All],[Asesor]],B55,Tabla110[[#All],[Fecha Cobranza]],"&lt;"&amp;$AO$6,Tabla110[[#All],[Fecha Cobranza]],"&gt;="&amp;$AN$6)</f>
        <v>0</v>
      </c>
      <c r="AP55" s="322">
        <f>SUMIFS(Tabla110[[#All],[Utilidad Bruta Total]],Tabla110[[#All],[Asesor]],B55,Tabla110[[#All],[Fecha Cobranza]],"&lt;"&amp;$AP$6,Tabla110[[#All],[Fecha Cobranza]],"&gt;="&amp;$AO$6)</f>
        <v>0</v>
      </c>
      <c r="AQ55" s="322">
        <f>SUMIFS(Tabla110[[#All],[Utilidad Bruta Total]],Tabla110[[#All],[Asesor]],B55,Tabla110[[#All],[Fecha Cobranza]],"&lt;"&amp;$AQ$6,Tabla110[[#All],[Fecha Cobranza]],"&gt;="&amp;$AP$6)</f>
        <v>0</v>
      </c>
      <c r="AR55" s="322">
        <f>SUMIFS(Tabla110[[#All],[Utilidad Bruta Total]],Tabla110[[#All],[Asesor]],B55,Tabla110[[#All],[Fecha Cobranza]],"&lt;"&amp;$AR$6,Tabla110[[#All],[Fecha Cobranza]],"&gt;="&amp;$AQ$6)</f>
        <v>0</v>
      </c>
      <c r="AS55" s="322">
        <f>SUMIFS(Tabla110[[#All],[Utilidad Bruta Total]],Tabla110[[#All],[Asesor]],$B55,Tabla110[[#All],[Fecha Cobranza]],"&lt;"&amp;AS$6,Tabla110[[#All],[Fecha Cobranza]],"&gt;="&amp;AR$6)</f>
        <v>0</v>
      </c>
      <c r="AT55" s="322">
        <f>SUMIFS(Tabla110[[#All],[Utilidad Bruta Total]],Tabla110[[#All],[Asesor]],$B55,Tabla110[[#All],[Fecha Cobranza]],"&lt;"&amp;AT$6,Tabla110[[#All],[Fecha Cobranza]],"&gt;="&amp;AS$6)</f>
        <v>0</v>
      </c>
      <c r="AU55" s="322">
        <f>SUMIFS(Tabla110[[#All],[Utilidad Bruta Total]],Tabla110[[#All],[Asesor]],$B55,Tabla110[[#All],[Fecha Cobranza]],"&lt;"&amp;AU$6,Tabla110[[#All],[Fecha Cobranza]],"&gt;="&amp;AT$6)</f>
        <v>0</v>
      </c>
      <c r="AV55" s="322">
        <f>SUMIFS(Tabla110[[#All],[Utilidad Bruta Total]],Tabla110[[#All],[Asesor]],$B55,Tabla110[[#All],[Fecha Cobranza]],"&lt;"&amp;AV$6,Tabla110[[#All],[Fecha Cobranza]],"&gt;="&amp;AU$6)</f>
        <v>0</v>
      </c>
      <c r="AW55" s="322">
        <f>SUMIFS(Tabla110[[#All],[Utilidad Bruta Total]],Tabla110[[#All],[Asesor]],$B55,Tabla110[[#All],[Fecha Cobranza]],"&lt;"&amp;AW$6,Tabla110[[#All],[Fecha Cobranza]],"&gt;="&amp;AV$6)</f>
        <v>0</v>
      </c>
      <c r="AX55" s="322">
        <f>SUMIFS(Tabla110[[#All],[Utilidad Bruta Total]],Tabla110[[#All],[Asesor]],$B55,Tabla110[[#All],[Fecha Cobranza]],"&lt;"&amp;AX$6,Tabla110[[#All],[Fecha Cobranza]],"&gt;="&amp;AW$6)</f>
        <v>0</v>
      </c>
      <c r="AY55" s="322">
        <f>SUMIFS(Tabla110[[#All],[Utilidad Bruta Total]],Tabla110[[#All],[Asesor]],$B55,Tabla110[[#All],[Fecha Cobranza]],"&lt;"&amp;AY$6,Tabla110[[#All],[Fecha Cobranza]],"&gt;="&amp;AX$6)</f>
        <v>0</v>
      </c>
      <c r="AZ55" s="322">
        <f>SUMIFS(Tabla110[[#All],[Utilidad Bruta Total]],Tabla110[[#All],[Asesor]],$B55,Tabla110[[#All],[Fecha Cobranza]],"&lt;"&amp;AZ$6,Tabla110[[#All],[Fecha Cobranza]],"&gt;="&amp;AY$6)</f>
        <v>0</v>
      </c>
      <c r="BA55" s="323">
        <f t="shared" si="1"/>
        <v>0</v>
      </c>
      <c r="BB55" s="318">
        <f t="shared" si="33"/>
        <v>0</v>
      </c>
      <c r="BC55" s="318"/>
      <c r="BD55" s="318">
        <f t="shared" si="34"/>
        <v>0</v>
      </c>
      <c r="BE55" s="318"/>
      <c r="BF55" s="318">
        <f t="shared" si="35"/>
        <v>0</v>
      </c>
      <c r="BG55" s="318"/>
      <c r="BH55" s="318">
        <f t="shared" si="36"/>
        <v>0</v>
      </c>
      <c r="BI55" s="318"/>
      <c r="BJ55" s="318">
        <f t="shared" si="37"/>
        <v>0</v>
      </c>
      <c r="BK55" s="318"/>
      <c r="BL55" s="318">
        <f t="shared" si="38"/>
        <v>0</v>
      </c>
      <c r="BM55" s="318"/>
      <c r="BN55" s="318">
        <f t="shared" si="39"/>
        <v>0</v>
      </c>
      <c r="BO55" s="318"/>
      <c r="BP55" s="318">
        <f t="shared" si="40"/>
        <v>0</v>
      </c>
      <c r="BQ55" s="318"/>
      <c r="BR55" s="318">
        <f t="shared" si="62"/>
        <v>0</v>
      </c>
      <c r="BS55" s="318"/>
      <c r="BT55" s="318">
        <f t="shared" si="63"/>
        <v>0</v>
      </c>
      <c r="BU55" s="318">
        <f t="shared" si="43"/>
        <v>0</v>
      </c>
      <c r="BV55" s="318"/>
      <c r="BW55" s="318">
        <f t="shared" si="59"/>
        <v>0</v>
      </c>
      <c r="BX55" s="318"/>
      <c r="BY55" s="318">
        <f t="shared" si="45"/>
        <v>0</v>
      </c>
      <c r="BZ55" s="318"/>
      <c r="CA55" s="318">
        <f t="shared" si="46"/>
        <v>0</v>
      </c>
      <c r="CB55" s="318"/>
      <c r="CC55" s="318">
        <f t="shared" si="47"/>
        <v>0</v>
      </c>
      <c r="CD55" s="318"/>
      <c r="CE55" s="318">
        <f t="shared" si="48"/>
        <v>0</v>
      </c>
      <c r="CF55" s="318"/>
      <c r="CG55" s="318">
        <f t="shared" si="49"/>
        <v>0</v>
      </c>
      <c r="CH55" s="318"/>
      <c r="CI55" s="318">
        <f t="shared" si="50"/>
        <v>0</v>
      </c>
      <c r="CJ55" s="318"/>
      <c r="CK55" s="318">
        <f t="shared" si="51"/>
        <v>0</v>
      </c>
      <c r="CL55" s="318"/>
      <c r="CM55" s="318">
        <f t="shared" si="52"/>
        <v>0</v>
      </c>
      <c r="CN55" s="318"/>
      <c r="CO55" s="318">
        <f t="shared" si="53"/>
        <v>0</v>
      </c>
      <c r="CP55" s="318"/>
      <c r="CQ55" s="318">
        <f t="shared" si="54"/>
        <v>0</v>
      </c>
      <c r="CR55" s="318"/>
      <c r="CS55" s="318">
        <f t="shared" si="55"/>
        <v>0</v>
      </c>
      <c r="CT55" s="318"/>
      <c r="CU55" s="318">
        <f t="shared" si="56"/>
        <v>0</v>
      </c>
      <c r="CV55" s="318"/>
      <c r="CW55" s="318">
        <f t="shared" si="26"/>
        <v>0</v>
      </c>
      <c r="CX55" s="330"/>
      <c r="CY55" s="330"/>
      <c r="CZ55" s="330"/>
      <c r="DA55" s="330"/>
      <c r="DB55" s="330"/>
      <c r="DC55" s="330"/>
      <c r="DD55" s="330"/>
      <c r="DE55" s="330"/>
      <c r="DF55" s="330"/>
      <c r="DG55" s="330"/>
      <c r="DH55" s="330"/>
      <c r="DI55" s="330"/>
      <c r="DJ55" s="330"/>
      <c r="DK55" s="330"/>
      <c r="DL55" s="330"/>
      <c r="DM55" s="330"/>
      <c r="DN55" s="330"/>
      <c r="DO55" s="330"/>
      <c r="DP55" s="330"/>
      <c r="DQ55" s="330"/>
      <c r="DR55" s="330"/>
      <c r="DS55" s="330"/>
      <c r="DT55" s="330"/>
      <c r="DU55" s="330"/>
      <c r="DV55" s="331">
        <f t="shared" si="58"/>
        <v>0</v>
      </c>
      <c r="DW55" s="130">
        <f t="shared" si="27"/>
        <v>0</v>
      </c>
      <c r="DX55" s="131">
        <f t="shared" si="28"/>
        <v>0</v>
      </c>
      <c r="DY55" s="147">
        <f t="shared" si="60"/>
        <v>0</v>
      </c>
      <c r="DZ55" s="298">
        <f t="shared" si="61"/>
        <v>0</v>
      </c>
    </row>
    <row r="56" spans="2:134" x14ac:dyDescent="0.25">
      <c r="C56" s="334"/>
      <c r="D56" s="335">
        <f t="shared" ref="D56:AI56" si="67">SUM(D8:D55)</f>
        <v>2934898.2748229997</v>
      </c>
      <c r="E56" s="335">
        <f t="shared" si="67"/>
        <v>2069073.1299667994</v>
      </c>
      <c r="F56" s="335">
        <f t="shared" si="67"/>
        <v>2666159.7343211998</v>
      </c>
      <c r="G56" s="335">
        <f t="shared" si="67"/>
        <v>4274952.636409808</v>
      </c>
      <c r="H56" s="335">
        <f t="shared" si="67"/>
        <v>4475445.2522834074</v>
      </c>
      <c r="I56" s="335">
        <f t="shared" si="67"/>
        <v>4488180.5426884042</v>
      </c>
      <c r="J56" s="335">
        <f t="shared" si="67"/>
        <v>4235462.6913164016</v>
      </c>
      <c r="K56" s="335">
        <f t="shared" si="67"/>
        <v>3938212.1486220038</v>
      </c>
      <c r="L56" s="335">
        <f t="shared" si="67"/>
        <v>4424441.7948644022</v>
      </c>
      <c r="M56" s="335">
        <f t="shared" si="67"/>
        <v>2391639.8590488005</v>
      </c>
      <c r="N56" s="335">
        <f t="shared" si="67"/>
        <v>3374105.4452352058</v>
      </c>
      <c r="O56" s="335">
        <f t="shared" si="67"/>
        <v>4996635.3927385993</v>
      </c>
      <c r="P56" s="335">
        <f t="shared" si="67"/>
        <v>4585658.1260040002</v>
      </c>
      <c r="Q56" s="335">
        <f t="shared" si="67"/>
        <v>3448532.4811527985</v>
      </c>
      <c r="R56" s="335">
        <f t="shared" si="67"/>
        <v>2386385.4080985989</v>
      </c>
      <c r="S56" s="335">
        <f t="shared" si="67"/>
        <v>1570066.9780147981</v>
      </c>
      <c r="T56" s="335">
        <f t="shared" si="67"/>
        <v>1351082.2053965994</v>
      </c>
      <c r="U56" s="335">
        <f t="shared" si="67"/>
        <v>3254531.2528002048</v>
      </c>
      <c r="V56" s="335">
        <f t="shared" si="67"/>
        <v>1710731.3971337974</v>
      </c>
      <c r="W56" s="335">
        <f t="shared" si="67"/>
        <v>2094816.4626265974</v>
      </c>
      <c r="X56" s="335">
        <f t="shared" si="67"/>
        <v>2508992.1618651962</v>
      </c>
      <c r="Y56" s="335">
        <f t="shared" si="67"/>
        <v>1710574.3676495999</v>
      </c>
      <c r="Z56" s="335">
        <f t="shared" si="67"/>
        <v>7041261.9050413975</v>
      </c>
      <c r="AA56" s="335">
        <f t="shared" si="67"/>
        <v>0</v>
      </c>
      <c r="AB56" s="335">
        <f t="shared" si="67"/>
        <v>75931839.648101628</v>
      </c>
      <c r="AC56" s="335" t="e">
        <f t="shared" si="67"/>
        <v>#N/A</v>
      </c>
      <c r="AD56" s="335" t="e">
        <f t="shared" si="67"/>
        <v>#N/A</v>
      </c>
      <c r="AE56" s="335" t="e">
        <f t="shared" si="67"/>
        <v>#N/A</v>
      </c>
      <c r="AF56" s="335" t="e">
        <f t="shared" si="67"/>
        <v>#N/A</v>
      </c>
      <c r="AG56" s="335" t="e">
        <f t="shared" si="67"/>
        <v>#N/A</v>
      </c>
      <c r="AH56" s="335" t="e">
        <f t="shared" si="67"/>
        <v>#N/A</v>
      </c>
      <c r="AI56" s="335" t="e">
        <f t="shared" si="67"/>
        <v>#N/A</v>
      </c>
      <c r="AJ56" s="335" t="e">
        <f t="shared" ref="AJ56:BO56" si="68">SUM(AJ8:AJ55)</f>
        <v>#N/A</v>
      </c>
      <c r="AK56" s="335" t="e">
        <f t="shared" si="68"/>
        <v>#N/A</v>
      </c>
      <c r="AL56" s="335" t="e">
        <f t="shared" si="68"/>
        <v>#N/A</v>
      </c>
      <c r="AM56" s="335" t="e">
        <f t="shared" si="68"/>
        <v>#N/A</v>
      </c>
      <c r="AN56" s="335" t="e">
        <f t="shared" si="68"/>
        <v>#N/A</v>
      </c>
      <c r="AO56" s="335" t="e">
        <f t="shared" si="68"/>
        <v>#N/A</v>
      </c>
      <c r="AP56" s="335" t="e">
        <f t="shared" si="68"/>
        <v>#N/A</v>
      </c>
      <c r="AQ56" s="335" t="e">
        <f t="shared" si="68"/>
        <v>#N/A</v>
      </c>
      <c r="AR56" s="335" t="e">
        <f t="shared" si="68"/>
        <v>#N/A</v>
      </c>
      <c r="AS56" s="335" t="e">
        <f t="shared" si="68"/>
        <v>#N/A</v>
      </c>
      <c r="AT56" s="335" t="e">
        <f t="shared" si="68"/>
        <v>#N/A</v>
      </c>
      <c r="AU56" s="335" t="e">
        <f t="shared" si="68"/>
        <v>#N/A</v>
      </c>
      <c r="AV56" s="335" t="e">
        <f t="shared" si="68"/>
        <v>#N/A</v>
      </c>
      <c r="AW56" s="335" t="e">
        <f t="shared" si="68"/>
        <v>#N/A</v>
      </c>
      <c r="AX56" s="335" t="e">
        <f t="shared" si="68"/>
        <v>#N/A</v>
      </c>
      <c r="AY56" s="335" t="e">
        <f t="shared" si="68"/>
        <v>#N/A</v>
      </c>
      <c r="AZ56" s="335">
        <f t="shared" si="68"/>
        <v>0</v>
      </c>
      <c r="BA56" s="335" t="e">
        <f t="shared" si="68"/>
        <v>#N/A</v>
      </c>
      <c r="BB56" s="335" t="e">
        <f t="shared" si="68"/>
        <v>#N/A</v>
      </c>
      <c r="BC56" s="335">
        <f t="shared" si="68"/>
        <v>0</v>
      </c>
      <c r="BD56" s="335" t="e">
        <f t="shared" si="68"/>
        <v>#N/A</v>
      </c>
      <c r="BE56" s="335">
        <f t="shared" si="68"/>
        <v>0</v>
      </c>
      <c r="BF56" s="335" t="e">
        <f t="shared" si="68"/>
        <v>#N/A</v>
      </c>
      <c r="BG56" s="335">
        <f t="shared" si="68"/>
        <v>0</v>
      </c>
      <c r="BH56" s="335" t="e">
        <f t="shared" si="68"/>
        <v>#N/A</v>
      </c>
      <c r="BI56" s="335">
        <f t="shared" si="68"/>
        <v>0</v>
      </c>
      <c r="BJ56" s="419" t="e">
        <f t="shared" si="68"/>
        <v>#N/A</v>
      </c>
      <c r="BK56" s="335">
        <f t="shared" si="68"/>
        <v>0</v>
      </c>
      <c r="BL56" s="419" t="e">
        <f t="shared" si="68"/>
        <v>#N/A</v>
      </c>
      <c r="BM56" s="335">
        <f t="shared" si="68"/>
        <v>0</v>
      </c>
      <c r="BN56" s="335" t="e">
        <f t="shared" si="68"/>
        <v>#N/A</v>
      </c>
      <c r="BO56" s="335">
        <f t="shared" si="68"/>
        <v>0</v>
      </c>
      <c r="BP56" s="335" t="e">
        <f t="shared" ref="BP56:CV56" si="69">SUM(BP8:BP55)</f>
        <v>#N/A</v>
      </c>
      <c r="BQ56" s="335">
        <f t="shared" si="69"/>
        <v>0</v>
      </c>
      <c r="BR56" s="335" t="e">
        <f t="shared" si="69"/>
        <v>#N/A</v>
      </c>
      <c r="BS56" s="335">
        <f t="shared" si="69"/>
        <v>0</v>
      </c>
      <c r="BT56" s="335" t="e">
        <f t="shared" si="69"/>
        <v>#N/A</v>
      </c>
      <c r="BU56" s="335" t="e">
        <f t="shared" si="69"/>
        <v>#N/A</v>
      </c>
      <c r="BV56" s="335">
        <f t="shared" si="69"/>
        <v>0</v>
      </c>
      <c r="BW56" s="335" t="e">
        <f t="shared" si="69"/>
        <v>#N/A</v>
      </c>
      <c r="BX56" s="335">
        <f t="shared" si="69"/>
        <v>0</v>
      </c>
      <c r="BY56" s="335" t="e">
        <f t="shared" si="69"/>
        <v>#N/A</v>
      </c>
      <c r="BZ56" s="335">
        <f t="shared" si="69"/>
        <v>0</v>
      </c>
      <c r="CA56" s="335" t="e">
        <f t="shared" si="69"/>
        <v>#N/A</v>
      </c>
      <c r="CB56" s="335">
        <f t="shared" si="69"/>
        <v>0</v>
      </c>
      <c r="CC56" s="335" t="e">
        <f t="shared" si="69"/>
        <v>#N/A</v>
      </c>
      <c r="CD56" s="335">
        <f t="shared" si="69"/>
        <v>0</v>
      </c>
      <c r="CE56" s="335" t="e">
        <f t="shared" si="69"/>
        <v>#N/A</v>
      </c>
      <c r="CF56" s="335">
        <f t="shared" si="69"/>
        <v>0</v>
      </c>
      <c r="CG56" s="335" t="e">
        <f t="shared" si="69"/>
        <v>#N/A</v>
      </c>
      <c r="CH56" s="335">
        <f t="shared" si="69"/>
        <v>0</v>
      </c>
      <c r="CI56" s="335" t="e">
        <f t="shared" si="69"/>
        <v>#N/A</v>
      </c>
      <c r="CJ56" s="335">
        <f t="shared" si="69"/>
        <v>0</v>
      </c>
      <c r="CK56" s="335" t="e">
        <f t="shared" si="69"/>
        <v>#N/A</v>
      </c>
      <c r="CL56" s="335">
        <f t="shared" si="69"/>
        <v>0</v>
      </c>
      <c r="CM56" s="335" t="e">
        <f t="shared" si="69"/>
        <v>#N/A</v>
      </c>
      <c r="CN56" s="335">
        <f t="shared" si="69"/>
        <v>0</v>
      </c>
      <c r="CO56" s="335" t="e">
        <f t="shared" si="69"/>
        <v>#N/A</v>
      </c>
      <c r="CP56" s="335">
        <f t="shared" si="69"/>
        <v>0</v>
      </c>
      <c r="CQ56" s="335" t="e">
        <f t="shared" si="69"/>
        <v>#N/A</v>
      </c>
      <c r="CR56" s="335">
        <f t="shared" si="69"/>
        <v>0</v>
      </c>
      <c r="CS56" s="335" t="e">
        <f t="shared" si="69"/>
        <v>#N/A</v>
      </c>
      <c r="CT56" s="335" t="e">
        <f t="shared" si="69"/>
        <v>#N/A</v>
      </c>
      <c r="CU56" s="335" t="e">
        <f t="shared" si="69"/>
        <v>#N/A</v>
      </c>
      <c r="CV56" s="335">
        <f t="shared" si="69"/>
        <v>0</v>
      </c>
      <c r="CW56" s="335" t="e">
        <f t="shared" ref="CW56:DX56" si="70">SUM(CW8:CW55)</f>
        <v>#N/A</v>
      </c>
      <c r="CX56" s="335">
        <f t="shared" si="70"/>
        <v>0</v>
      </c>
      <c r="CY56" s="335">
        <f t="shared" si="70"/>
        <v>0</v>
      </c>
      <c r="CZ56" s="335">
        <f t="shared" si="70"/>
        <v>0</v>
      </c>
      <c r="DA56" s="335">
        <f t="shared" si="70"/>
        <v>0</v>
      </c>
      <c r="DB56" s="335">
        <f t="shared" si="70"/>
        <v>0</v>
      </c>
      <c r="DC56" s="335">
        <f t="shared" si="70"/>
        <v>0</v>
      </c>
      <c r="DD56" s="335">
        <f t="shared" si="70"/>
        <v>0</v>
      </c>
      <c r="DE56" s="335">
        <f t="shared" si="70"/>
        <v>0</v>
      </c>
      <c r="DF56" s="335">
        <f t="shared" si="70"/>
        <v>0</v>
      </c>
      <c r="DG56" s="335">
        <f t="shared" si="70"/>
        <v>0</v>
      </c>
      <c r="DH56" s="335">
        <f t="shared" si="70"/>
        <v>0</v>
      </c>
      <c r="DI56" s="335">
        <f t="shared" si="70"/>
        <v>0</v>
      </c>
      <c r="DJ56" s="335">
        <f t="shared" si="70"/>
        <v>0</v>
      </c>
      <c r="DK56" s="335">
        <f t="shared" si="70"/>
        <v>0</v>
      </c>
      <c r="DL56" s="335">
        <f t="shared" si="70"/>
        <v>0</v>
      </c>
      <c r="DM56" s="335">
        <f t="shared" si="70"/>
        <v>0</v>
      </c>
      <c r="DN56" s="335">
        <f t="shared" si="70"/>
        <v>0</v>
      </c>
      <c r="DO56" s="335">
        <f t="shared" si="70"/>
        <v>0</v>
      </c>
      <c r="DP56" s="335">
        <f t="shared" si="70"/>
        <v>0</v>
      </c>
      <c r="DQ56" s="335">
        <f t="shared" si="70"/>
        <v>0</v>
      </c>
      <c r="DR56" s="335">
        <f t="shared" si="70"/>
        <v>0</v>
      </c>
      <c r="DS56" s="335">
        <f t="shared" si="70"/>
        <v>0</v>
      </c>
      <c r="DT56" s="335">
        <f t="shared" si="70"/>
        <v>0</v>
      </c>
      <c r="DU56" s="335">
        <f t="shared" si="70"/>
        <v>0</v>
      </c>
      <c r="DV56" s="335">
        <f t="shared" si="70"/>
        <v>0</v>
      </c>
      <c r="DW56" s="335">
        <f t="shared" si="70"/>
        <v>75931839.648101628</v>
      </c>
      <c r="DX56" s="335" t="e">
        <f t="shared" si="70"/>
        <v>#N/A</v>
      </c>
      <c r="DY56" s="344">
        <f t="shared" si="60"/>
        <v>0</v>
      </c>
      <c r="DZ56" s="343">
        <f t="shared" si="61"/>
        <v>0</v>
      </c>
    </row>
    <row r="57" spans="2:134" x14ac:dyDescent="0.25">
      <c r="T57" s="131"/>
      <c r="AA57" s="163"/>
      <c r="AB57" s="362"/>
      <c r="AC57" s="167"/>
      <c r="AD57" s="167"/>
      <c r="AE57" s="167"/>
      <c r="AF57" s="167"/>
      <c r="AG57" s="167"/>
      <c r="AH57" s="167"/>
      <c r="AI57" s="167"/>
      <c r="AJ57" s="167"/>
      <c r="AR57" s="381"/>
      <c r="AS57" s="381"/>
      <c r="AT57" s="381"/>
      <c r="AU57" s="381"/>
      <c r="AV57" s="381"/>
      <c r="AW57" s="381"/>
      <c r="AX57" s="381"/>
      <c r="AY57" s="381"/>
      <c r="AZ57" s="381"/>
      <c r="BB57" s="167"/>
      <c r="BC57" s="167"/>
      <c r="BD57" s="167"/>
      <c r="BE57" s="167"/>
      <c r="BF57" s="167"/>
      <c r="BG57" s="167"/>
      <c r="BH57" s="167"/>
      <c r="BI57" s="167"/>
      <c r="BJ57" s="167"/>
      <c r="BK57" s="167"/>
      <c r="BL57" s="167"/>
      <c r="BM57" s="167"/>
      <c r="BN57" s="167"/>
      <c r="BO57" s="167"/>
      <c r="BU57" s="132"/>
      <c r="DW57" s="163"/>
      <c r="DX57" s="163"/>
    </row>
    <row r="58" spans="2:134" x14ac:dyDescent="0.25">
      <c r="I58" s="298"/>
      <c r="J58" s="298"/>
      <c r="K58" s="298"/>
      <c r="L58" s="298"/>
      <c r="M58" s="298"/>
      <c r="N58" s="298"/>
      <c r="O58" s="298"/>
      <c r="P58" s="298"/>
      <c r="Q58" s="298"/>
      <c r="R58" s="298"/>
      <c r="S58" s="298"/>
      <c r="T58" s="131"/>
      <c r="U58" s="298"/>
      <c r="V58" s="298"/>
      <c r="W58" s="298"/>
      <c r="X58" s="298"/>
      <c r="Y58" s="298"/>
      <c r="Z58" s="298"/>
      <c r="AA58" s="298"/>
      <c r="AB58" s="163"/>
      <c r="AC58" s="167"/>
      <c r="AD58" s="167"/>
      <c r="AE58" s="167"/>
      <c r="AF58" s="167"/>
      <c r="AG58" s="167"/>
      <c r="AH58" s="167"/>
      <c r="AI58" s="167"/>
      <c r="AJ58" s="167"/>
      <c r="AK58" s="163"/>
      <c r="AL58" s="163"/>
      <c r="AM58" s="163"/>
      <c r="AN58" s="163"/>
      <c r="AO58" s="163"/>
      <c r="AP58" s="163"/>
      <c r="AQ58" s="163"/>
      <c r="AR58" s="381"/>
      <c r="AS58" s="381"/>
      <c r="AT58" s="381"/>
      <c r="AU58" s="381"/>
      <c r="AV58" s="381"/>
      <c r="AW58" s="381"/>
      <c r="AX58" s="381"/>
      <c r="AY58" s="381"/>
      <c r="AZ58" s="381"/>
      <c r="BA58" s="163"/>
      <c r="BL58" s="167"/>
      <c r="BM58" s="167"/>
    </row>
    <row r="59" spans="2:134" x14ac:dyDescent="0.25">
      <c r="D59" s="130"/>
      <c r="E59" s="130"/>
      <c r="BL59" s="167"/>
      <c r="BM59" s="167"/>
      <c r="BW59" s="167"/>
      <c r="BY59" s="132"/>
    </row>
    <row r="60" spans="2:134" x14ac:dyDescent="0.25">
      <c r="BL60" s="167"/>
      <c r="BM60" s="167"/>
      <c r="BW60" s="167"/>
      <c r="BY60" s="132"/>
    </row>
  </sheetData>
  <autoFilter ref="B7:EO58" xr:uid="{E10CE5AD-8E76-4AAD-8592-E40D57D31F75}"/>
  <mergeCells count="14">
    <mergeCell ref="EC7:ED7"/>
    <mergeCell ref="B2:DZ2"/>
    <mergeCell ref="DZ4:DZ7"/>
    <mergeCell ref="D4:AB4"/>
    <mergeCell ref="CX4:DV4"/>
    <mergeCell ref="AB6:AB7"/>
    <mergeCell ref="CW6:CW7"/>
    <mergeCell ref="DV6:DV7"/>
    <mergeCell ref="DY4:DY7"/>
    <mergeCell ref="DX4:DX7"/>
    <mergeCell ref="DW4:DW7"/>
    <mergeCell ref="BA6:BA7"/>
    <mergeCell ref="AC4:BA4"/>
    <mergeCell ref="BB4:CW4"/>
  </mergeCells>
  <phoneticPr fontId="10" type="noConversion"/>
  <conditionalFormatting sqref="B2453:B1048576 B56:B71 B1:C1 B6:C29 B3:C4 B2 C8:C1048576">
    <cfRule type="duplicateValues" dxfId="19" priority="15"/>
    <cfRule type="duplicateValues" dxfId="18" priority="16"/>
  </conditionalFormatting>
  <conditionalFormatting sqref="B2453:C1048576 B1:C1 B3:C4 B2 C72:C2452 B6:C71">
    <cfRule type="duplicateValues" dxfId="17" priority="13"/>
  </conditionalFormatting>
  <conditionalFormatting sqref="B5:C5">
    <cfRule type="duplicateValues" dxfId="16" priority="11"/>
    <cfRule type="duplicateValues" dxfId="15" priority="12"/>
  </conditionalFormatting>
  <conditionalFormatting sqref="B5:C5">
    <cfRule type="duplicateValues" dxfId="14" priority="10"/>
  </conditionalFormatting>
  <conditionalFormatting sqref="B2453:B1048576 B1:B71">
    <cfRule type="duplicateValues" dxfId="13" priority="7"/>
    <cfRule type="duplicateValues" dxfId="12" priority="8"/>
  </conditionalFormatting>
  <conditionalFormatting sqref="B46:B54">
    <cfRule type="duplicateValues" dxfId="11" priority="5"/>
    <cfRule type="duplicateValues" dxfId="10" priority="6"/>
  </conditionalFormatting>
  <conditionalFormatting sqref="B54">
    <cfRule type="duplicateValues" dxfId="9" priority="3"/>
    <cfRule type="duplicateValues" dxfId="8" priority="4"/>
  </conditionalFormatting>
  <conditionalFormatting sqref="B30:C55">
    <cfRule type="duplicateValues" dxfId="7" priority="4571"/>
  </conditionalFormatting>
  <conditionalFormatting sqref="B53">
    <cfRule type="duplicateValues" dxfId="6" priority="1"/>
    <cfRule type="duplicateValues" dxfId="5" priority="2"/>
  </conditionalFormatting>
  <pageMargins left="0.23622047244094491" right="0.23622047244094491" top="0.35433070866141736" bottom="0.74803149606299213" header="0.31496062992125984" footer="0.31496062992125984"/>
  <pageSetup paperSize="9" scale="34"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62439-E6EC-4904-A75D-F41E22BD8622}">
  <sheetPr codeName="Hoja4">
    <pageSetUpPr fitToPage="1"/>
  </sheetPr>
  <dimension ref="A1:L46"/>
  <sheetViews>
    <sheetView view="pageBreakPreview" zoomScale="80" zoomScaleNormal="70" zoomScaleSheetLayoutView="80" workbookViewId="0">
      <selection activeCell="C7" sqref="C7:H7"/>
    </sheetView>
  </sheetViews>
  <sheetFormatPr baseColWidth="10" defaultColWidth="11.42578125" defaultRowHeight="15" x14ac:dyDescent="0.25"/>
  <cols>
    <col min="1" max="1" width="2.7109375" style="46" customWidth="1"/>
    <col min="2" max="2" width="27.140625" style="46" customWidth="1"/>
    <col min="3" max="3" width="11.42578125" style="46" customWidth="1"/>
    <col min="4" max="4" width="6.7109375" style="46" customWidth="1"/>
    <col min="5" max="5" width="14.85546875" style="46" customWidth="1"/>
    <col min="6" max="6" width="15.85546875" style="46" bestFit="1" customWidth="1"/>
    <col min="7" max="7" width="15.85546875" style="46" customWidth="1"/>
    <col min="8" max="9" width="18.5703125" style="46" customWidth="1"/>
    <col min="10" max="10" width="18.85546875" style="46" customWidth="1"/>
    <col min="11" max="11" width="10.42578125" style="46" customWidth="1"/>
    <col min="12" max="16384" width="11.42578125" style="46"/>
  </cols>
  <sheetData>
    <row r="1" spans="1:11" x14ac:dyDescent="0.25">
      <c r="A1" s="58"/>
      <c r="B1" s="59"/>
      <c r="C1" s="59"/>
      <c r="D1" s="59"/>
      <c r="E1" s="59"/>
      <c r="F1" s="59"/>
      <c r="G1" s="59"/>
      <c r="H1" s="59"/>
      <c r="I1" s="59"/>
      <c r="J1" s="60"/>
      <c r="K1" s="60"/>
    </row>
    <row r="2" spans="1:11" ht="18.75" x14ac:dyDescent="0.3">
      <c r="A2" s="61"/>
      <c r="C2" s="580" t="s">
        <v>120</v>
      </c>
      <c r="D2" s="580"/>
      <c r="E2" s="580"/>
      <c r="F2" s="580"/>
      <c r="G2" s="580"/>
      <c r="H2" s="580"/>
      <c r="I2" s="135"/>
      <c r="J2" s="140"/>
      <c r="K2" s="62"/>
    </row>
    <row r="3" spans="1:11" x14ac:dyDescent="0.25">
      <c r="A3" s="61"/>
      <c r="J3" s="62"/>
      <c r="K3" s="62"/>
    </row>
    <row r="4" spans="1:11" x14ac:dyDescent="0.25">
      <c r="A4" s="61"/>
      <c r="J4" s="62"/>
      <c r="K4" s="62"/>
    </row>
    <row r="5" spans="1:11" x14ac:dyDescent="0.25">
      <c r="A5" s="61"/>
      <c r="H5" s="46" t="s">
        <v>121</v>
      </c>
      <c r="J5" s="141">
        <f ca="1">TODAY()</f>
        <v>46035</v>
      </c>
      <c r="K5" s="62"/>
    </row>
    <row r="6" spans="1:11" x14ac:dyDescent="0.25">
      <c r="A6" s="61"/>
      <c r="J6" s="62"/>
      <c r="K6" s="62"/>
    </row>
    <row r="7" spans="1:11" x14ac:dyDescent="0.25">
      <c r="A7" s="61"/>
      <c r="B7" s="63" t="s">
        <v>3</v>
      </c>
      <c r="C7" s="579" t="s">
        <v>547</v>
      </c>
      <c r="D7" s="579"/>
      <c r="E7" s="579"/>
      <c r="F7" s="579"/>
      <c r="G7" s="579"/>
      <c r="H7" s="579"/>
      <c r="I7" s="134"/>
      <c r="J7" s="392" t="str">
        <f>VLOOKUP(C7,Tabla2[#All],8,FALSE)</f>
        <v>PF</v>
      </c>
      <c r="K7" s="62"/>
    </row>
    <row r="8" spans="1:11" x14ac:dyDescent="0.25">
      <c r="A8" s="61"/>
      <c r="J8" s="62"/>
      <c r="K8" s="62"/>
    </row>
    <row r="9" spans="1:11" x14ac:dyDescent="0.25">
      <c r="A9" s="61"/>
      <c r="J9" s="62"/>
      <c r="K9" s="62"/>
    </row>
    <row r="10" spans="1:11" x14ac:dyDescent="0.25">
      <c r="A10" s="61"/>
      <c r="J10" s="62"/>
      <c r="K10" s="62"/>
    </row>
    <row r="11" spans="1:11" s="45" customFormat="1" ht="30" x14ac:dyDescent="0.25">
      <c r="A11" s="138"/>
      <c r="B11" s="585" t="s">
        <v>125</v>
      </c>
      <c r="C11" s="585"/>
      <c r="D11" s="585"/>
      <c r="E11" s="137" t="s">
        <v>126</v>
      </c>
      <c r="F11" s="137" t="s">
        <v>505</v>
      </c>
      <c r="G11" s="137" t="s">
        <v>519</v>
      </c>
      <c r="H11" s="137" t="s">
        <v>127</v>
      </c>
      <c r="I11" s="137" t="s">
        <v>376</v>
      </c>
      <c r="J11" s="142" t="s">
        <v>6</v>
      </c>
      <c r="K11" s="139"/>
    </row>
    <row r="12" spans="1:11" x14ac:dyDescent="0.25">
      <c r="A12" s="61"/>
      <c r="B12" s="586" t="s">
        <v>334</v>
      </c>
      <c r="C12" s="587"/>
      <c r="D12" s="588"/>
      <c r="E12" s="68">
        <f>VLOOKUP($C$7,'Caratula 2023'!$B$5:$L$42,11,FALSE)</f>
        <v>6878.6200259999987</v>
      </c>
      <c r="F12" s="68">
        <f>VLOOKUP($C$7,'Caratula 2023'!$B$5:$L$42,10,FALSE)</f>
        <v>0</v>
      </c>
      <c r="G12" s="337" t="s">
        <v>526</v>
      </c>
      <c r="H12" s="68">
        <f>VLOOKUP($C$7,'Caratula 2023'!$B$5:$M$42,12,FALSE)</f>
        <v>0</v>
      </c>
      <c r="I12" s="68">
        <f>VLOOKUP($C$7,'Caratula 2023'!$B$5:$N$42,13,FALSE)</f>
        <v>0</v>
      </c>
      <c r="J12" s="143">
        <f>++E12+F12-H12-I12</f>
        <v>6878.6200259999987</v>
      </c>
      <c r="K12" s="62"/>
    </row>
    <row r="13" spans="1:11" x14ac:dyDescent="0.25">
      <c r="A13" s="61"/>
      <c r="B13"/>
      <c r="C13"/>
      <c r="D13"/>
      <c r="E13"/>
      <c r="F13"/>
      <c r="G13"/>
      <c r="H13"/>
      <c r="I13"/>
      <c r="J13" s="9"/>
      <c r="K13" s="62"/>
    </row>
    <row r="14" spans="1:11" x14ac:dyDescent="0.25">
      <c r="A14" s="61"/>
      <c r="B14"/>
      <c r="C14"/>
      <c r="D14"/>
      <c r="E14"/>
      <c r="F14"/>
      <c r="G14"/>
      <c r="H14" s="69" t="s">
        <v>123</v>
      </c>
      <c r="I14" s="69"/>
      <c r="J14" s="144">
        <f>SUBTOTAL(9,J12:J12)</f>
        <v>6878.6200259999987</v>
      </c>
      <c r="K14" s="62"/>
    </row>
    <row r="15" spans="1:11" ht="15" customHeight="1" x14ac:dyDescent="0.25">
      <c r="A15" s="61"/>
      <c r="B15"/>
      <c r="C15"/>
      <c r="D15"/>
      <c r="E15" s="70">
        <v>0.08</v>
      </c>
      <c r="F15" s="70"/>
      <c r="G15" s="70"/>
      <c r="H15" s="69" t="s">
        <v>7</v>
      </c>
      <c r="I15" s="69"/>
      <c r="J15" s="144">
        <f>IF(C26="RAYMUNDO LOPEZ OLVERA",0,J14*E15)</f>
        <v>550.2896020799999</v>
      </c>
      <c r="K15" s="62"/>
    </row>
    <row r="16" spans="1:11" x14ac:dyDescent="0.25">
      <c r="A16" s="61"/>
      <c r="B16"/>
      <c r="C16"/>
      <c r="D16"/>
      <c r="E16"/>
      <c r="F16"/>
      <c r="G16"/>
      <c r="H16" s="69" t="s">
        <v>126</v>
      </c>
      <c r="I16" s="69"/>
      <c r="J16" s="144">
        <f>++J14+J15</f>
        <v>7428.9096280799986</v>
      </c>
      <c r="K16" s="62"/>
    </row>
    <row r="17" spans="1:12" x14ac:dyDescent="0.25">
      <c r="A17" s="61"/>
      <c r="B17"/>
      <c r="C17"/>
      <c r="D17"/>
      <c r="E17"/>
      <c r="F17"/>
      <c r="G17"/>
      <c r="H17"/>
      <c r="I17"/>
      <c r="J17" s="144"/>
      <c r="K17" s="62"/>
    </row>
    <row r="18" spans="1:12" x14ac:dyDescent="0.25">
      <c r="A18" s="61"/>
      <c r="B18"/>
      <c r="C18"/>
      <c r="D18"/>
      <c r="E18"/>
      <c r="F18"/>
      <c r="G18"/>
      <c r="H18" s="69" t="s">
        <v>124</v>
      </c>
      <c r="I18" s="69"/>
      <c r="J18" s="144">
        <f>++J16/1.16</f>
        <v>6404.2324379999991</v>
      </c>
      <c r="K18" s="62"/>
    </row>
    <row r="19" spans="1:12" x14ac:dyDescent="0.25">
      <c r="A19" s="61"/>
      <c r="B19"/>
      <c r="C19"/>
      <c r="D19"/>
      <c r="E19" s="70">
        <v>0.16</v>
      </c>
      <c r="F19" s="70"/>
      <c r="G19" s="70"/>
      <c r="H19" s="69" t="s">
        <v>143</v>
      </c>
      <c r="I19" s="69"/>
      <c r="J19" s="144">
        <f>++J18*E19</f>
        <v>1024.6771900799999</v>
      </c>
      <c r="K19" s="62"/>
      <c r="L19" s="248"/>
    </row>
    <row r="20" spans="1:12" x14ac:dyDescent="0.25">
      <c r="A20" s="61"/>
      <c r="B20"/>
      <c r="C20"/>
      <c r="D20"/>
      <c r="E20" s="71">
        <v>0.66666666666666663</v>
      </c>
      <c r="F20" s="71"/>
      <c r="G20" s="71"/>
      <c r="H20" s="69" t="s">
        <v>144</v>
      </c>
      <c r="I20" s="69"/>
      <c r="J20" s="144">
        <f>IF(C27="Raymundo Lopez Olvera",0,J19*E20)</f>
        <v>683.11812671999996</v>
      </c>
      <c r="K20" s="62"/>
    </row>
    <row r="21" spans="1:12" x14ac:dyDescent="0.25">
      <c r="A21" s="61"/>
      <c r="B21"/>
      <c r="C21"/>
      <c r="D21"/>
      <c r="E21" s="146">
        <v>1.2500000000000001E-2</v>
      </c>
      <c r="F21" s="71"/>
      <c r="G21" s="71"/>
      <c r="H21" s="69" t="s">
        <v>378</v>
      </c>
      <c r="I21" s="69"/>
      <c r="J21" s="144">
        <f>IF(J7="RESICO",J18*E21,0)</f>
        <v>0</v>
      </c>
      <c r="K21" s="62"/>
    </row>
    <row r="22" spans="1:12" ht="15.75" x14ac:dyDescent="0.25">
      <c r="A22" s="61"/>
      <c r="B22"/>
      <c r="C22"/>
      <c r="D22"/>
      <c r="E22"/>
      <c r="F22"/>
      <c r="G22"/>
      <c r="H22" s="69" t="s">
        <v>6</v>
      </c>
      <c r="I22" s="69"/>
      <c r="J22" s="145">
        <f>++J18+J19-J20-J21</f>
        <v>6745.7915013599986</v>
      </c>
      <c r="K22" s="62"/>
    </row>
    <row r="23" spans="1:12" x14ac:dyDescent="0.25">
      <c r="A23" s="61"/>
      <c r="B23"/>
      <c r="C23"/>
      <c r="D23"/>
      <c r="E23"/>
      <c r="F23"/>
      <c r="G23"/>
      <c r="H23"/>
      <c r="I23"/>
      <c r="J23" s="9"/>
      <c r="K23" s="62"/>
    </row>
    <row r="24" spans="1:12" ht="15.75" x14ac:dyDescent="0.25">
      <c r="A24" s="61"/>
      <c r="B24" s="583" t="s">
        <v>128</v>
      </c>
      <c r="C24" s="583"/>
      <c r="D24" s="583"/>
      <c r="E24" s="583"/>
      <c r="F24" s="583"/>
      <c r="G24" s="583"/>
      <c r="H24" s="583"/>
      <c r="I24" s="583"/>
      <c r="J24" s="584"/>
      <c r="K24" s="62"/>
    </row>
    <row r="25" spans="1:12" x14ac:dyDescent="0.25">
      <c r="A25" s="61"/>
      <c r="B25"/>
      <c r="C25"/>
      <c r="D25"/>
      <c r="E25"/>
      <c r="F25"/>
      <c r="G25"/>
      <c r="H25"/>
      <c r="I25"/>
      <c r="J25" s="9"/>
      <c r="K25" s="62"/>
    </row>
    <row r="26" spans="1:12" x14ac:dyDescent="0.25">
      <c r="A26" s="61"/>
      <c r="B26" s="69" t="s">
        <v>129</v>
      </c>
      <c r="C26" s="581" t="str">
        <f>VLOOKUP($C$7,Catalogos!$B$3:$D$89,3,FALSE)</f>
        <v>ERDM</v>
      </c>
      <c r="D26" s="582"/>
      <c r="E26" s="582"/>
      <c r="F26" s="582"/>
      <c r="G26" s="582"/>
      <c r="H26" s="582"/>
      <c r="I26" s="136"/>
      <c r="J26" s="9"/>
      <c r="K26" s="62"/>
    </row>
    <row r="27" spans="1:12" x14ac:dyDescent="0.25">
      <c r="A27" s="61"/>
      <c r="B27" s="69" t="s">
        <v>157</v>
      </c>
      <c r="C27" s="578" t="str">
        <f>+C26</f>
        <v>ERDM</v>
      </c>
      <c r="D27" s="578"/>
      <c r="E27" s="578"/>
      <c r="F27" s="578"/>
      <c r="G27" s="578"/>
      <c r="H27" s="578"/>
      <c r="I27" s="133"/>
      <c r="J27" s="9"/>
      <c r="K27" s="62"/>
    </row>
    <row r="28" spans="1:12" x14ac:dyDescent="0.25">
      <c r="A28" s="61"/>
      <c r="B28" s="69" t="s">
        <v>130</v>
      </c>
      <c r="C28" t="str">
        <f>VLOOKUP(C26,Tabla1[#All],3,FALSE)</f>
        <v>ERM071005BZA</v>
      </c>
      <c r="D28"/>
      <c r="E28"/>
      <c r="F28"/>
      <c r="G28"/>
      <c r="H28"/>
      <c r="I28"/>
      <c r="J28" s="9"/>
      <c r="K28" s="62"/>
    </row>
    <row r="29" spans="1:12" x14ac:dyDescent="0.25">
      <c r="A29" s="61"/>
      <c r="B29" s="69" t="s">
        <v>131</v>
      </c>
      <c r="C29" t="str">
        <f>VLOOKUP(C26,Tabla1[#All],4,FALSE)</f>
        <v>Matias de bocanegra #42 int B Col. Mirador del Punhuato Morelia, Mich CP. 58249</v>
      </c>
      <c r="D29"/>
      <c r="E29"/>
      <c r="F29"/>
      <c r="G29"/>
      <c r="H29"/>
      <c r="I29"/>
      <c r="J29" s="9"/>
      <c r="K29" s="62"/>
    </row>
    <row r="30" spans="1:12" x14ac:dyDescent="0.25">
      <c r="A30" s="61"/>
      <c r="B30"/>
      <c r="C30"/>
      <c r="D30"/>
      <c r="E30"/>
      <c r="F30"/>
      <c r="G30"/>
      <c r="H30"/>
      <c r="I30"/>
      <c r="J30" s="9"/>
      <c r="K30" s="62"/>
    </row>
    <row r="31" spans="1:12" x14ac:dyDescent="0.25">
      <c r="A31" s="61"/>
      <c r="B31" s="69" t="s">
        <v>134</v>
      </c>
      <c r="C31" t="s">
        <v>141</v>
      </c>
      <c r="D31" t="s">
        <v>142</v>
      </c>
      <c r="E31"/>
      <c r="F31"/>
      <c r="G31"/>
      <c r="H31"/>
      <c r="I31"/>
      <c r="J31" s="9"/>
      <c r="K31" s="62"/>
    </row>
    <row r="32" spans="1:12" x14ac:dyDescent="0.25">
      <c r="A32" s="61"/>
      <c r="B32" s="69" t="s">
        <v>135</v>
      </c>
      <c r="C32" s="14" t="s">
        <v>198</v>
      </c>
      <c r="D32" t="s">
        <v>199</v>
      </c>
      <c r="E32"/>
      <c r="F32"/>
      <c r="G32"/>
      <c r="H32"/>
      <c r="I32"/>
      <c r="J32" s="9"/>
      <c r="K32" s="62"/>
    </row>
    <row r="33" spans="1:11" x14ac:dyDescent="0.25">
      <c r="A33" s="61"/>
      <c r="B33" s="69" t="s">
        <v>136</v>
      </c>
      <c r="C33" t="s">
        <v>196</v>
      </c>
      <c r="D33" t="s">
        <v>197</v>
      </c>
      <c r="E33"/>
      <c r="F33"/>
      <c r="G33"/>
      <c r="H33"/>
      <c r="I33"/>
      <c r="J33" s="9"/>
      <c r="K33" s="62"/>
    </row>
    <row r="34" spans="1:11" x14ac:dyDescent="0.25">
      <c r="A34" s="61"/>
      <c r="B34"/>
      <c r="C34"/>
      <c r="D34"/>
      <c r="E34"/>
      <c r="F34"/>
      <c r="G34"/>
      <c r="H34"/>
      <c r="I34"/>
      <c r="J34" s="9"/>
      <c r="K34" s="62"/>
    </row>
    <row r="35" spans="1:11" x14ac:dyDescent="0.25">
      <c r="A35" s="61"/>
      <c r="B35" s="69" t="s">
        <v>132</v>
      </c>
      <c r="C35" t="s">
        <v>137</v>
      </c>
      <c r="D35"/>
      <c r="E35"/>
      <c r="F35"/>
      <c r="G35"/>
      <c r="H35"/>
      <c r="I35"/>
      <c r="J35" s="9"/>
      <c r="K35" s="62"/>
    </row>
    <row r="36" spans="1:11" x14ac:dyDescent="0.25">
      <c r="A36" s="61"/>
      <c r="B36" s="69" t="s">
        <v>133</v>
      </c>
      <c r="C36" s="14">
        <v>80141601</v>
      </c>
      <c r="D36"/>
      <c r="E36"/>
      <c r="F36"/>
      <c r="G36"/>
      <c r="H36"/>
      <c r="I36"/>
      <c r="J36" s="9"/>
      <c r="K36" s="62"/>
    </row>
    <row r="37" spans="1:11" x14ac:dyDescent="0.25">
      <c r="A37" s="61"/>
      <c r="B37" s="69" t="s">
        <v>138</v>
      </c>
      <c r="C37" t="s">
        <v>139</v>
      </c>
      <c r="D37" t="s">
        <v>140</v>
      </c>
      <c r="E37"/>
      <c r="F37"/>
      <c r="G37"/>
      <c r="H37"/>
      <c r="I37"/>
      <c r="J37" s="9"/>
      <c r="K37" s="62"/>
    </row>
    <row r="38" spans="1:11" x14ac:dyDescent="0.25">
      <c r="A38" s="61"/>
      <c r="B38" s="69"/>
      <c r="C38"/>
      <c r="D38"/>
      <c r="E38"/>
      <c r="F38"/>
      <c r="G38"/>
      <c r="H38"/>
      <c r="I38"/>
      <c r="J38" s="9"/>
      <c r="K38" s="62"/>
    </row>
    <row r="39" spans="1:11" ht="15.75" x14ac:dyDescent="0.25">
      <c r="A39" s="61"/>
      <c r="B39" s="583" t="s">
        <v>169</v>
      </c>
      <c r="C39" s="583"/>
      <c r="D39" s="583"/>
      <c r="E39" s="583"/>
      <c r="F39" s="583"/>
      <c r="G39" s="583"/>
      <c r="H39" s="583"/>
      <c r="I39" s="583"/>
      <c r="J39" s="584"/>
      <c r="K39" s="62"/>
    </row>
    <row r="40" spans="1:11" x14ac:dyDescent="0.25">
      <c r="A40" s="61"/>
      <c r="B40" s="69"/>
      <c r="C40"/>
      <c r="D40"/>
      <c r="E40"/>
      <c r="F40"/>
      <c r="G40"/>
      <c r="H40"/>
      <c r="I40"/>
      <c r="J40" s="9"/>
      <c r="K40" s="62"/>
    </row>
    <row r="41" spans="1:11" x14ac:dyDescent="0.25">
      <c r="A41" s="61"/>
      <c r="B41" s="69" t="s">
        <v>130</v>
      </c>
      <c r="C41" s="562">
        <f>VLOOKUP($C$7,Tabla2[#All],6,FALSE)</f>
        <v>2992787601</v>
      </c>
      <c r="D41" s="562"/>
      <c r="E41" s="562"/>
      <c r="F41"/>
      <c r="G41"/>
      <c r="H41"/>
      <c r="I41"/>
      <c r="J41" s="9"/>
      <c r="K41" s="62"/>
    </row>
    <row r="42" spans="1:11" x14ac:dyDescent="0.25">
      <c r="A42" s="61"/>
      <c r="B42" s="69" t="s">
        <v>166</v>
      </c>
      <c r="C42" s="562" t="str">
        <f>VLOOKUP($C$7,Tabla2[#All],7,FALSE)</f>
        <v>012470029927876013</v>
      </c>
      <c r="D42" s="562"/>
      <c r="E42" s="562"/>
      <c r="F42"/>
      <c r="G42"/>
      <c r="H42"/>
      <c r="I42"/>
      <c r="J42" s="9"/>
      <c r="K42" s="62"/>
    </row>
    <row r="43" spans="1:11" x14ac:dyDescent="0.25">
      <c r="A43" s="61"/>
      <c r="B43" s="69" t="s">
        <v>167</v>
      </c>
      <c r="C43" s="562" t="str">
        <f>VLOOKUP($C$7,Tabla2[#All],8,FALSE)</f>
        <v>PF</v>
      </c>
      <c r="D43" s="562"/>
      <c r="E43" s="562"/>
      <c r="F43" s="121"/>
      <c r="G43" s="121"/>
      <c r="H43"/>
      <c r="I43"/>
      <c r="J43" s="9"/>
      <c r="K43" s="62"/>
    </row>
    <row r="44" spans="1:11" x14ac:dyDescent="0.25">
      <c r="A44" s="61"/>
      <c r="B44" s="69" t="s">
        <v>168</v>
      </c>
      <c r="C44" s="562">
        <f>VLOOKUP($C$7,Tabla2[#All],9,FALSE)</f>
        <v>0</v>
      </c>
      <c r="D44" s="562"/>
      <c r="E44" s="562"/>
      <c r="F44"/>
      <c r="G44"/>
      <c r="H44"/>
      <c r="I44"/>
      <c r="J44" s="9"/>
      <c r="K44" s="62"/>
    </row>
    <row r="45" spans="1:11" ht="15.75" thickBot="1" x14ac:dyDescent="0.3">
      <c r="A45" s="64"/>
      <c r="B45" s="65"/>
      <c r="C45" s="66"/>
      <c r="D45" s="66"/>
      <c r="E45" s="66"/>
      <c r="F45" s="66"/>
      <c r="G45" s="66"/>
      <c r="H45" s="66"/>
      <c r="I45" s="66"/>
      <c r="J45" s="67"/>
      <c r="K45" s="67"/>
    </row>
    <row r="46" spans="1:11" ht="15.75" thickBot="1" x14ac:dyDescent="0.3">
      <c r="A46" s="64"/>
      <c r="B46" s="66"/>
      <c r="C46" s="66"/>
      <c r="D46" s="66"/>
      <c r="E46" s="66"/>
      <c r="F46" s="66"/>
      <c r="G46" s="66"/>
      <c r="H46" s="66"/>
      <c r="I46" s="66"/>
      <c r="J46" s="67"/>
    </row>
  </sheetData>
  <autoFilter ref="B11:J12" xr:uid="{C2B4A037-9AAF-4F55-B883-6B1AE7DDFDE3}">
    <filterColumn colId="0" showButton="0"/>
    <filterColumn colId="1" showButton="0"/>
  </autoFilter>
  <mergeCells count="12">
    <mergeCell ref="B39:J39"/>
    <mergeCell ref="C43:E43"/>
    <mergeCell ref="C42:E42"/>
    <mergeCell ref="C41:E41"/>
    <mergeCell ref="C44:E44"/>
    <mergeCell ref="C27:H27"/>
    <mergeCell ref="C7:H7"/>
    <mergeCell ref="C2:H2"/>
    <mergeCell ref="C26:H26"/>
    <mergeCell ref="B24:J24"/>
    <mergeCell ref="B11:D11"/>
    <mergeCell ref="B12:D12"/>
  </mergeCells>
  <pageMargins left="0.70866141732283472" right="0.70866141732283472" top="0.74803149606299213" bottom="0.74803149606299213" header="0.31496062992125984" footer="0.31496062992125984"/>
  <pageSetup scale="61" orientation="portrait" r:id="rId1"/>
  <colBreaks count="1" manualBreakCount="1">
    <brk id="10" max="41"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F3EC5-9C89-4E3B-AA8D-DFAFC2A37C4A}">
  <sheetPr codeName="Hoja10">
    <tabColor rgb="FFFF0000"/>
  </sheetPr>
  <dimension ref="A1:D28"/>
  <sheetViews>
    <sheetView zoomScale="70" zoomScaleNormal="70" workbookViewId="0">
      <selection activeCell="L39" sqref="L39"/>
    </sheetView>
  </sheetViews>
  <sheetFormatPr baseColWidth="10" defaultRowHeight="15" x14ac:dyDescent="0.25"/>
  <cols>
    <col min="1" max="1" width="33.85546875" bestFit="1" customWidth="1"/>
    <col min="3" max="3" width="11.140625" customWidth="1"/>
    <col min="4" max="4" width="22.140625" bestFit="1" customWidth="1"/>
  </cols>
  <sheetData>
    <row r="1" spans="1:4" x14ac:dyDescent="0.25">
      <c r="A1" s="244" t="s">
        <v>0</v>
      </c>
      <c r="B1" s="244" t="s">
        <v>502</v>
      </c>
      <c r="C1" s="244" t="s">
        <v>503</v>
      </c>
      <c r="D1" s="246" t="s">
        <v>504</v>
      </c>
    </row>
    <row r="2" spans="1:4" x14ac:dyDescent="0.25">
      <c r="A2" s="231" t="s">
        <v>278</v>
      </c>
      <c r="B2" s="232">
        <v>4387.3911259530323</v>
      </c>
      <c r="C2" s="232" t="e">
        <f>VLOOKUP(A2,'Caratula 2023'!$B$8:$F$20,5,0)</f>
        <v>#N/A</v>
      </c>
      <c r="D2" s="247" t="e">
        <f>+B2-C2</f>
        <v>#N/A</v>
      </c>
    </row>
    <row r="3" spans="1:4" x14ac:dyDescent="0.25">
      <c r="A3" s="231" t="s">
        <v>277</v>
      </c>
      <c r="B3" s="232">
        <v>19626.150569280624</v>
      </c>
      <c r="C3" s="232" t="e">
        <f>VLOOKUP(A3,'Caratula 2023'!$B$8:$F$20,5,0)</f>
        <v>#N/A</v>
      </c>
      <c r="D3" s="247" t="e">
        <f t="shared" ref="D3:D27" si="0">+B3-C3</f>
        <v>#N/A</v>
      </c>
    </row>
    <row r="4" spans="1:4" x14ac:dyDescent="0.25">
      <c r="A4" s="231" t="s">
        <v>269</v>
      </c>
      <c r="B4" s="232">
        <v>27430.70548652345</v>
      </c>
      <c r="C4" s="232" t="e">
        <f>VLOOKUP(A4,'Caratula 2023'!$B$8:$F$20,5,0)</f>
        <v>#N/A</v>
      </c>
      <c r="D4" s="247" t="e">
        <f t="shared" si="0"/>
        <v>#N/A</v>
      </c>
    </row>
    <row r="5" spans="1:4" x14ac:dyDescent="0.25">
      <c r="A5" s="231" t="s">
        <v>267</v>
      </c>
      <c r="B5" s="232">
        <v>967.73024890329384</v>
      </c>
      <c r="C5" s="232" t="e">
        <f>VLOOKUP(A5,'Caratula 2023'!$B$8:$F$20,5,0)</f>
        <v>#N/A</v>
      </c>
      <c r="D5" s="247" t="e">
        <f t="shared" si="0"/>
        <v>#N/A</v>
      </c>
    </row>
    <row r="6" spans="1:4" x14ac:dyDescent="0.25">
      <c r="A6" s="231" t="s">
        <v>116</v>
      </c>
      <c r="B6" s="232">
        <v>2044.2772160782247</v>
      </c>
      <c r="C6" s="232">
        <f>VLOOKUP(A6,'Caratula 2023'!$B$8:$F$20,5,0)</f>
        <v>0</v>
      </c>
      <c r="D6" s="247">
        <f t="shared" si="0"/>
        <v>2044.2772160782247</v>
      </c>
    </row>
    <row r="7" spans="1:4" x14ac:dyDescent="0.25">
      <c r="A7" s="231" t="s">
        <v>280</v>
      </c>
      <c r="B7" s="232">
        <v>3130.6496790637939</v>
      </c>
      <c r="C7" s="232" t="e">
        <f>VLOOKUP(A7,'Caratula 2023'!$B$8:$F$20,5,0)</f>
        <v>#N/A</v>
      </c>
      <c r="D7" s="247" t="e">
        <f t="shared" si="0"/>
        <v>#N/A</v>
      </c>
    </row>
    <row r="8" spans="1:4" x14ac:dyDescent="0.25">
      <c r="A8" s="231" t="s">
        <v>339</v>
      </c>
      <c r="B8" s="232">
        <v>1761.0989701590358</v>
      </c>
      <c r="C8" s="232" t="e">
        <f>VLOOKUP(A8,'Caratula 2023'!$B$8:$F$20,5,0)</f>
        <v>#N/A</v>
      </c>
      <c r="D8" s="247" t="e">
        <f t="shared" si="0"/>
        <v>#N/A</v>
      </c>
    </row>
    <row r="9" spans="1:4" x14ac:dyDescent="0.25">
      <c r="A9" s="231" t="s">
        <v>468</v>
      </c>
      <c r="B9" s="232">
        <v>231.32261709015515</v>
      </c>
      <c r="C9" s="232" t="e">
        <f>VLOOKUP(A9,'Caratula 2023'!$B$8:$F$20,5,0)</f>
        <v>#N/A</v>
      </c>
      <c r="D9" s="247" t="e">
        <f t="shared" si="0"/>
        <v>#N/A</v>
      </c>
    </row>
    <row r="10" spans="1:4" x14ac:dyDescent="0.25">
      <c r="A10" s="231" t="s">
        <v>327</v>
      </c>
      <c r="B10" s="232">
        <v>0</v>
      </c>
      <c r="C10" s="232" t="e">
        <f>VLOOKUP(A10,'Caratula 2023'!$B$8:$F$20,5,0)</f>
        <v>#N/A</v>
      </c>
      <c r="D10" s="247" t="e">
        <f t="shared" si="0"/>
        <v>#N/A</v>
      </c>
    </row>
    <row r="11" spans="1:4" x14ac:dyDescent="0.25">
      <c r="A11" s="231" t="s">
        <v>455</v>
      </c>
      <c r="B11" s="232">
        <v>808.69037419766232</v>
      </c>
      <c r="C11" s="232" t="e">
        <f>VLOOKUP(A11,'Caratula 2023'!$B$8:$F$20,5,0)</f>
        <v>#N/A</v>
      </c>
      <c r="D11" s="247" t="e">
        <f t="shared" si="0"/>
        <v>#N/A</v>
      </c>
    </row>
    <row r="12" spans="1:4" x14ac:dyDescent="0.25">
      <c r="A12" s="231" t="s">
        <v>272</v>
      </c>
      <c r="B12" s="232">
        <v>5830.2056622495675</v>
      </c>
      <c r="C12" s="232">
        <f>VLOOKUP(A12,'Caratula 2023'!$B$8:$F$20,5,0)</f>
        <v>0</v>
      </c>
      <c r="D12" s="247">
        <f t="shared" si="0"/>
        <v>5830.2056622495675</v>
      </c>
    </row>
    <row r="13" spans="1:4" x14ac:dyDescent="0.25">
      <c r="A13" s="231" t="s">
        <v>499</v>
      </c>
      <c r="B13" s="232">
        <v>0</v>
      </c>
      <c r="C13" s="232" t="e">
        <f>VLOOKUP(A13,'Caratula 2023'!$B$8:$F$20,5,0)</f>
        <v>#N/A</v>
      </c>
      <c r="D13" s="247" t="e">
        <f t="shared" si="0"/>
        <v>#N/A</v>
      </c>
    </row>
    <row r="14" spans="1:4" x14ac:dyDescent="0.25">
      <c r="A14" s="231" t="s">
        <v>425</v>
      </c>
      <c r="B14" s="232">
        <v>0</v>
      </c>
      <c r="C14" s="232">
        <f>VLOOKUP(A14,'Caratula 2023'!$B$8:$F$20,5,0)</f>
        <v>0</v>
      </c>
      <c r="D14" s="247">
        <f t="shared" si="0"/>
        <v>0</v>
      </c>
    </row>
    <row r="15" spans="1:4" x14ac:dyDescent="0.25">
      <c r="A15" s="231" t="s">
        <v>275</v>
      </c>
      <c r="B15" s="232">
        <v>3681.0827183551319</v>
      </c>
      <c r="C15" s="232" t="e">
        <f>VLOOKUP(A15,'Caratula 2023'!$B$8:$F$20,5,0)</f>
        <v>#N/A</v>
      </c>
      <c r="D15" s="247" t="e">
        <f t="shared" si="0"/>
        <v>#N/A</v>
      </c>
    </row>
    <row r="16" spans="1:4" x14ac:dyDescent="0.25">
      <c r="A16" s="231" t="s">
        <v>480</v>
      </c>
      <c r="B16" s="232">
        <v>0</v>
      </c>
      <c r="C16" s="232" t="e">
        <f>VLOOKUP(A16,'Caratula 2023'!$B$8:$F$20,5,0)</f>
        <v>#N/A</v>
      </c>
      <c r="D16" s="247" t="e">
        <f t="shared" si="0"/>
        <v>#N/A</v>
      </c>
    </row>
    <row r="17" spans="1:4" x14ac:dyDescent="0.25">
      <c r="A17" s="231" t="s">
        <v>270</v>
      </c>
      <c r="B17" s="232">
        <v>0</v>
      </c>
      <c r="C17" s="232" t="e">
        <f>VLOOKUP(A17,'Caratula 2023'!$B$8:$F$20,5,0)</f>
        <v>#N/A</v>
      </c>
      <c r="D17" s="247" t="e">
        <f t="shared" si="0"/>
        <v>#N/A</v>
      </c>
    </row>
    <row r="18" spans="1:4" x14ac:dyDescent="0.25">
      <c r="A18" s="231" t="s">
        <v>286</v>
      </c>
      <c r="B18" s="232">
        <v>3509.6028119177167</v>
      </c>
      <c r="C18" s="232" t="e">
        <f>VLOOKUP(A18,'Caratula 2023'!$B$8:$F$20,5,0)</f>
        <v>#N/A</v>
      </c>
      <c r="D18" s="247" t="e">
        <f t="shared" si="0"/>
        <v>#N/A</v>
      </c>
    </row>
    <row r="19" spans="1:4" x14ac:dyDescent="0.25">
      <c r="A19" s="231" t="s">
        <v>268</v>
      </c>
      <c r="B19" s="232">
        <v>482.66786752783918</v>
      </c>
      <c r="C19" s="232" t="e">
        <f>VLOOKUP(A19,'Caratula 2023'!$B$8:$F$20,5,0)</f>
        <v>#N/A</v>
      </c>
      <c r="D19" s="247" t="e">
        <f t="shared" si="0"/>
        <v>#N/A</v>
      </c>
    </row>
    <row r="20" spans="1:4" x14ac:dyDescent="0.25">
      <c r="A20" s="231" t="s">
        <v>285</v>
      </c>
      <c r="B20" s="232">
        <v>1098.9275111314341</v>
      </c>
      <c r="C20" s="232" t="e">
        <f>VLOOKUP(A20,'Caratula 2023'!$B$8:$F$20,5,0)</f>
        <v>#N/A</v>
      </c>
      <c r="D20" s="247" t="e">
        <f t="shared" si="0"/>
        <v>#N/A</v>
      </c>
    </row>
    <row r="21" spans="1:4" x14ac:dyDescent="0.25">
      <c r="A21" s="231" t="s">
        <v>483</v>
      </c>
      <c r="B21" s="232">
        <v>119.67408537225714</v>
      </c>
      <c r="C21" s="232">
        <f>VLOOKUP(A21,'Caratula 2023'!$B$8:$F$20,5,0)</f>
        <v>0</v>
      </c>
      <c r="D21" s="247">
        <f t="shared" si="0"/>
        <v>119.67408537225714</v>
      </c>
    </row>
    <row r="22" spans="1:4" x14ac:dyDescent="0.25">
      <c r="A22" s="231" t="s">
        <v>281</v>
      </c>
      <c r="B22" s="232">
        <v>14558.333972378015</v>
      </c>
      <c r="C22" s="232">
        <f>VLOOKUP(A22,'Caratula 2023'!$B$8:$F$20,5,0)</f>
        <v>0</v>
      </c>
      <c r="D22" s="247">
        <f t="shared" si="0"/>
        <v>14558.333972378015</v>
      </c>
    </row>
    <row r="23" spans="1:4" x14ac:dyDescent="0.25">
      <c r="A23" s="231" t="s">
        <v>459</v>
      </c>
      <c r="B23" s="232">
        <v>761.4778444079484</v>
      </c>
      <c r="C23" s="232">
        <f>VLOOKUP(A23,'Caratula 2023'!$B$8:$F$20,5,0)</f>
        <v>0</v>
      </c>
      <c r="D23" s="247">
        <f t="shared" si="0"/>
        <v>761.4778444079484</v>
      </c>
    </row>
    <row r="24" spans="1:4" x14ac:dyDescent="0.25">
      <c r="A24" s="231" t="s">
        <v>497</v>
      </c>
      <c r="B24" s="232">
        <v>0</v>
      </c>
      <c r="C24" s="232" t="e">
        <f>VLOOKUP(A24,'Caratula 2023'!$B$8:$F$20,5,0)</f>
        <v>#N/A</v>
      </c>
      <c r="D24" s="247" t="e">
        <f t="shared" si="0"/>
        <v>#N/A</v>
      </c>
    </row>
    <row r="25" spans="1:4" x14ac:dyDescent="0.25">
      <c r="A25" s="231" t="s">
        <v>498</v>
      </c>
      <c r="B25" s="232">
        <v>0</v>
      </c>
      <c r="C25" s="232" t="e">
        <f>VLOOKUP(A25,'Caratula 2023'!$B$8:$F$20,5,0)</f>
        <v>#N/A</v>
      </c>
      <c r="D25" s="247" t="e">
        <f t="shared" si="0"/>
        <v>#N/A</v>
      </c>
    </row>
    <row r="26" spans="1:4" x14ac:dyDescent="0.25">
      <c r="A26" s="231" t="s">
        <v>301</v>
      </c>
      <c r="B26" s="232">
        <v>0</v>
      </c>
      <c r="C26" s="232" t="e">
        <f>VLOOKUP(A26,'Caratula 2023'!$B$8:$F$20,5,0)</f>
        <v>#N/A</v>
      </c>
      <c r="D26" s="247" t="e">
        <f t="shared" si="0"/>
        <v>#N/A</v>
      </c>
    </row>
    <row r="27" spans="1:4" x14ac:dyDescent="0.25">
      <c r="A27" s="231" t="s">
        <v>377</v>
      </c>
      <c r="B27" s="232">
        <v>64568.567189324604</v>
      </c>
      <c r="C27" s="232" t="e">
        <f>VLOOKUP(A27,'Caratula 2023'!$B$8:$F$41,5,0)</f>
        <v>#N/A</v>
      </c>
      <c r="D27" s="247" t="e">
        <f t="shared" si="0"/>
        <v>#N/A</v>
      </c>
    </row>
    <row r="28" spans="1:4" x14ac:dyDescent="0.25">
      <c r="A28" s="244" t="s">
        <v>73</v>
      </c>
      <c r="B28" s="245">
        <f>SUM(B2:B27)</f>
        <v>154998.55594991377</v>
      </c>
      <c r="C28" s="245" t="e">
        <f>SUM(C2:C27)</f>
        <v>#N/A</v>
      </c>
      <c r="D28" s="24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pageSetUpPr fitToPage="1"/>
  </sheetPr>
  <dimension ref="A1:AG70"/>
  <sheetViews>
    <sheetView zoomScale="70" zoomScaleNormal="70" workbookViewId="0">
      <selection activeCell="I7" sqref="I7"/>
    </sheetView>
  </sheetViews>
  <sheetFormatPr baseColWidth="10" defaultColWidth="11.42578125" defaultRowHeight="15" x14ac:dyDescent="0.25"/>
  <cols>
    <col min="1" max="1" width="38.42578125" style="46" customWidth="1"/>
    <col min="2" max="2" width="21.7109375" style="46" customWidth="1"/>
    <col min="3" max="3" width="23.28515625" style="46" customWidth="1"/>
    <col min="4" max="4" width="19.85546875" style="46" customWidth="1"/>
    <col min="5" max="5" width="8.42578125" style="46" customWidth="1"/>
    <col min="6" max="6" width="14.140625" style="46" customWidth="1"/>
    <col min="7" max="7" width="19" style="46" customWidth="1"/>
    <col min="8" max="8" width="17.7109375" style="46" customWidth="1"/>
    <col min="9" max="9" width="22" style="46" customWidth="1"/>
    <col min="10" max="10" width="26.28515625" style="46" customWidth="1"/>
    <col min="11" max="11" width="25.28515625" style="46" customWidth="1"/>
    <col min="12" max="12" width="29.5703125" style="46" customWidth="1"/>
    <col min="13" max="13" width="21.7109375" style="46" customWidth="1"/>
    <col min="14" max="14" width="17.140625" style="46" customWidth="1"/>
    <col min="15" max="15" width="23.140625" style="46" customWidth="1"/>
    <col min="16" max="16" width="22" style="46" customWidth="1"/>
    <col min="17" max="17" width="9.85546875" style="46" customWidth="1"/>
    <col min="18" max="18" width="21.5703125" style="46" customWidth="1"/>
    <col min="19" max="19" width="23.28515625" style="46" customWidth="1"/>
    <col min="20" max="20" width="21" style="46" customWidth="1"/>
    <col min="21" max="21" width="11.42578125" style="46"/>
    <col min="22" max="22" width="15" style="46" bestFit="1" customWidth="1"/>
    <col min="23" max="23" width="14.85546875" style="46" bestFit="1" customWidth="1"/>
    <col min="24" max="24" width="14.42578125" style="46" bestFit="1" customWidth="1"/>
    <col min="25" max="25" width="11.42578125" style="46"/>
    <col min="26" max="26" width="44.140625" style="46" hidden="1" customWidth="1"/>
    <col min="27" max="27" width="13.5703125" style="46" hidden="1" customWidth="1"/>
    <col min="28" max="28" width="19" style="46" hidden="1" customWidth="1"/>
    <col min="29" max="29" width="15.85546875" style="46" customWidth="1"/>
    <col min="30" max="30" width="15" style="47" bestFit="1" customWidth="1"/>
    <col min="31" max="31" width="11.42578125" style="46" customWidth="1"/>
    <col min="32" max="16384" width="11.42578125" style="46"/>
  </cols>
  <sheetData>
    <row r="1" spans="1:33" ht="31.5" x14ac:dyDescent="0.25">
      <c r="A1" s="589" t="s">
        <v>324</v>
      </c>
      <c r="B1" s="590"/>
      <c r="C1" s="590"/>
      <c r="D1" s="590"/>
      <c r="E1" s="590"/>
      <c r="F1" s="590"/>
      <c r="G1" s="590"/>
      <c r="H1" s="590"/>
      <c r="I1" s="590" t="s">
        <v>473</v>
      </c>
      <c r="J1" s="590"/>
      <c r="K1" s="590"/>
      <c r="L1" s="590"/>
      <c r="M1" s="218"/>
      <c r="N1" s="218"/>
      <c r="O1" s="218"/>
      <c r="P1" s="218"/>
      <c r="Q1" s="218"/>
      <c r="R1" s="218"/>
      <c r="S1" s="218"/>
      <c r="T1" s="218"/>
      <c r="W1" s="46" t="s">
        <v>330</v>
      </c>
      <c r="X1" s="46" t="s">
        <v>331</v>
      </c>
    </row>
    <row r="2" spans="1:33" ht="31.5" thickBot="1" x14ac:dyDescent="0.3">
      <c r="A2" s="594" t="s">
        <v>484</v>
      </c>
      <c r="B2" s="595"/>
      <c r="C2" s="595"/>
      <c r="D2" s="595"/>
      <c r="E2" s="595"/>
      <c r="F2" s="595"/>
      <c r="G2" s="595"/>
      <c r="H2" s="595"/>
      <c r="I2" s="595"/>
      <c r="J2" s="595"/>
      <c r="K2" s="595"/>
      <c r="L2" s="595"/>
      <c r="M2" s="219"/>
      <c r="N2" s="219"/>
      <c r="O2" s="219"/>
      <c r="P2" s="219"/>
      <c r="Q2" s="219"/>
      <c r="R2" s="219"/>
      <c r="S2" s="219"/>
      <c r="T2" s="219"/>
      <c r="V2" s="75" t="s">
        <v>341</v>
      </c>
      <c r="W2" s="100">
        <v>44959</v>
      </c>
      <c r="X2" s="100">
        <v>44959</v>
      </c>
      <c r="Z2" s="77" t="s">
        <v>0</v>
      </c>
      <c r="AA2" s="78" t="s">
        <v>160</v>
      </c>
      <c r="AB2" s="78" t="s">
        <v>159</v>
      </c>
      <c r="AF2" s="102">
        <v>0.1</v>
      </c>
    </row>
    <row r="3" spans="1:33" ht="17.25" x14ac:dyDescent="0.3">
      <c r="A3" s="603" t="s">
        <v>325</v>
      </c>
      <c r="B3" s="602" t="s">
        <v>324</v>
      </c>
      <c r="C3" s="602"/>
      <c r="D3" s="602"/>
      <c r="E3" s="602"/>
      <c r="F3" s="602"/>
      <c r="G3" s="602"/>
      <c r="H3" s="175"/>
      <c r="I3" s="602" t="s">
        <v>324</v>
      </c>
      <c r="J3" s="181">
        <v>44927</v>
      </c>
      <c r="K3" s="610" t="s">
        <v>340</v>
      </c>
      <c r="L3" s="610" t="s">
        <v>454</v>
      </c>
      <c r="M3" s="610" t="s">
        <v>451</v>
      </c>
      <c r="N3" s="591" t="s">
        <v>452</v>
      </c>
      <c r="O3" s="610" t="s">
        <v>352</v>
      </c>
      <c r="P3" s="602" t="s">
        <v>326</v>
      </c>
      <c r="Q3" s="591" t="s">
        <v>366</v>
      </c>
      <c r="R3" s="607" t="s">
        <v>73</v>
      </c>
      <c r="S3" s="596" t="s">
        <v>332</v>
      </c>
      <c r="T3" s="599" t="s">
        <v>333</v>
      </c>
      <c r="V3" s="75" t="s">
        <v>328</v>
      </c>
      <c r="W3" s="76">
        <v>44927</v>
      </c>
      <c r="X3" s="76">
        <v>44942</v>
      </c>
      <c r="Z3" s="79" t="s">
        <v>116</v>
      </c>
      <c r="AA3" s="80"/>
      <c r="AB3" s="80" t="e">
        <f>((((((SUMIF($A:$A,Z3,$R:$R))*1.08))))-((((((SUMIF($A:$A,Z3,$R:$R))*1.08)/1.16)*0.16)*2/3)))</f>
        <v>#REF!</v>
      </c>
      <c r="AC3" s="46">
        <v>0</v>
      </c>
      <c r="AD3" s="47">
        <v>500000</v>
      </c>
      <c r="AE3" s="101">
        <v>0.25</v>
      </c>
      <c r="AF3" s="52">
        <f t="shared" ref="AF3:AF8" si="0">++$AF$2*(1+AE3)</f>
        <v>0.125</v>
      </c>
    </row>
    <row r="4" spans="1:33" ht="17.850000000000001" customHeight="1" x14ac:dyDescent="0.3">
      <c r="A4" s="604"/>
      <c r="B4" s="176"/>
      <c r="C4" s="176"/>
      <c r="D4" s="176"/>
      <c r="E4" s="177">
        <v>0.35</v>
      </c>
      <c r="F4" s="177">
        <v>0.15</v>
      </c>
      <c r="G4" s="177">
        <v>0.15</v>
      </c>
      <c r="H4" s="177">
        <v>0.1</v>
      </c>
      <c r="I4" s="564"/>
      <c r="J4" s="182">
        <v>44942</v>
      </c>
      <c r="K4" s="551"/>
      <c r="L4" s="551"/>
      <c r="M4" s="551"/>
      <c r="N4" s="592"/>
      <c r="O4" s="551"/>
      <c r="P4" s="564"/>
      <c r="Q4" s="592"/>
      <c r="R4" s="608"/>
      <c r="S4" s="597"/>
      <c r="T4" s="600"/>
      <c r="V4" s="75" t="s">
        <v>329</v>
      </c>
      <c r="W4" s="76">
        <v>44936</v>
      </c>
      <c r="X4" s="164"/>
      <c r="Z4" s="79"/>
      <c r="AA4" s="80"/>
      <c r="AB4" s="80"/>
      <c r="AC4" s="47">
        <v>500001</v>
      </c>
      <c r="AD4" s="47">
        <v>1000000</v>
      </c>
      <c r="AE4" s="101">
        <v>0.3</v>
      </c>
      <c r="AF4" s="52">
        <f t="shared" si="0"/>
        <v>0.13</v>
      </c>
    </row>
    <row r="5" spans="1:33" ht="39.4" customHeight="1" thickBot="1" x14ac:dyDescent="0.35">
      <c r="A5" s="605"/>
      <c r="B5" s="178" t="s">
        <v>0</v>
      </c>
      <c r="C5" s="179" t="s">
        <v>345</v>
      </c>
      <c r="D5" s="179" t="s">
        <v>470</v>
      </c>
      <c r="E5" s="178" t="s">
        <v>321</v>
      </c>
      <c r="F5" s="178" t="s">
        <v>322</v>
      </c>
      <c r="G5" s="178" t="s">
        <v>323</v>
      </c>
      <c r="H5" s="178" t="s">
        <v>344</v>
      </c>
      <c r="I5" s="606"/>
      <c r="J5" s="180" t="s">
        <v>340</v>
      </c>
      <c r="K5" s="611"/>
      <c r="L5" s="611"/>
      <c r="M5" s="611"/>
      <c r="N5" s="593"/>
      <c r="O5" s="611"/>
      <c r="P5" s="606"/>
      <c r="Q5" s="593"/>
      <c r="R5" s="609"/>
      <c r="S5" s="598"/>
      <c r="T5" s="601"/>
      <c r="Z5" s="79" t="s">
        <v>117</v>
      </c>
      <c r="AA5" s="80">
        <f>SUMIF($A:$A,Z5,$R:$R)</f>
        <v>0</v>
      </c>
      <c r="AB5" s="80"/>
      <c r="AC5" s="84">
        <f>+AD4+1</f>
        <v>1000001</v>
      </c>
      <c r="AD5" s="47">
        <v>1500000</v>
      </c>
      <c r="AE5" s="101">
        <v>0.4</v>
      </c>
      <c r="AF5" s="52">
        <f t="shared" si="0"/>
        <v>0.13999999999999999</v>
      </c>
      <c r="AG5" s="103">
        <f>++AF5-$AF$4</f>
        <v>9.9999999999999811E-3</v>
      </c>
    </row>
    <row r="6" spans="1:33" ht="18" thickBot="1" x14ac:dyDescent="0.35">
      <c r="A6" s="186" t="s">
        <v>269</v>
      </c>
      <c r="B6" s="72" t="e">
        <f>SUMIFS(#REF!,Tabla110[[#All],[Asesor]],Caratula!A6,Tabla110[[#All],[Fecha Cobranza]],"&lt;"&amp;$X$3,Tabla110[[#All],[Fecha Cobranza]],"&gt;="&amp;$W$3)</f>
        <v>#REF!</v>
      </c>
      <c r="C6" s="72">
        <f>SUMIFS(Tabla110[[#Headers],[#Data],[Utilidad Neta Total]],Tabla110[[#Headers],[#Data],[Asesor]],Caratula!A6,Tabla110[[#Headers],[#Data],[Fecha Cobranza]],"&lt;"&amp;$X$3,Tabla110[[#Headers],[#Data],[Fecha Cobranza]],"&gt;="&amp;$W$3)</f>
        <v>0</v>
      </c>
      <c r="D6" s="72">
        <f>SUMIFS('Ventas '!T:T,'Ventas '!C:C,Caratula!A6,'Ventas '!A:A,"&gt;="&amp;$W$3,'Ventas '!A:A,"&lt;="&amp;Caratula!$X$3)</f>
        <v>0</v>
      </c>
      <c r="E6" s="72"/>
      <c r="F6" s="72"/>
      <c r="G6" s="72"/>
      <c r="H6" s="72"/>
      <c r="I6" s="72" t="e">
        <f>++B6+E6+F6+G6+H6</f>
        <v>#REF!</v>
      </c>
      <c r="J6" s="72">
        <f>SUMIFS('Ventas '!L:L,'Ventas '!C:C,A6,'Ventas '!A:A,"&gt;="&amp;$J$3,'Ventas '!A:A,"&lt;="&amp;$J$4)</f>
        <v>0</v>
      </c>
      <c r="K6" s="72">
        <f>SUMIFS(Tabla110[[#Headers],[#Data],[Venta Total]],Tabla110[[#Headers],[#Data],[Asesor]],Caratula!A6,Tabla110[[#Headers],[#Data],[Fecha Cobranza]],"&lt;"&amp;$X$2,Tabla110[[#Headers],[#Data],[Fecha Cobranza]],"&gt;="&amp;$W$2)</f>
        <v>0</v>
      </c>
      <c r="L6" s="72">
        <f>SUMIFS(Tabla110[[#Headers],[#Data],[Utilidad Neta Total]],Tabla110[[#Headers],[#Data],[Asesor]],Caratula!A6,Tabla110[[#Headers],[#Data],[Fecha Cobranza]],"&lt;"&amp;$X$2,Tabla110[[#Headers],[#Data],[Fecha Cobranza]],"&gt;="&amp;$W$2)</f>
        <v>0</v>
      </c>
      <c r="M6" s="72">
        <f>IF(N6&gt;0,SUMIFS('Ventas '!#REF!,'Ventas '!C:C,Caratula!A6,'Ventas '!A:A,"&gt;="&amp;Caratula!$W$2,'Ventas '!A:A,"&lt;="&amp;Caratula!$X$2)-VLOOKUP(A6,'Caratula (2)'!A:B,2,0),0)</f>
        <v>0</v>
      </c>
      <c r="N6" s="213">
        <f t="shared" ref="N6:N47" si="1">IF(K6&gt;=$AC$9,$AF$9,IF(K6&gt;=$AC$8,$AF$8,IF(K6&gt;=$AC$7,$AF$7,IF(K6&gt;=$AC$6,$AF$6,IF(K6&gt;=$AC$5,$AF$5,0)))))</f>
        <v>0</v>
      </c>
      <c r="O6" s="152" t="e">
        <f>IF(N6=0,I6,M6)</f>
        <v>#REF!</v>
      </c>
      <c r="P6" s="153"/>
      <c r="Q6" s="153"/>
      <c r="R6" s="172" t="e">
        <f>+O6-P6-Q6</f>
        <v>#REF!</v>
      </c>
      <c r="S6" s="168"/>
      <c r="T6" s="161" t="e">
        <f>+R6</f>
        <v>#REF!</v>
      </c>
      <c r="X6" s="81"/>
      <c r="Z6" s="79" t="s">
        <v>13</v>
      </c>
      <c r="AA6" s="80">
        <f>SUMIF($A:$A,Z6,$R:$R)</f>
        <v>0</v>
      </c>
      <c r="AB6" s="80">
        <f>((((((SUMIF($A:$A,Z6,$R:$R))*1.08))))-((((((SUMIF($A:$A,Z6,$R:$R))*1.08)/1.16)*0.16)*2/3)))</f>
        <v>0</v>
      </c>
      <c r="AC6" s="84">
        <f>+AD5+1</f>
        <v>1500001</v>
      </c>
      <c r="AD6" s="47">
        <v>2000000</v>
      </c>
      <c r="AE6" s="101">
        <v>0.75</v>
      </c>
      <c r="AF6" s="52">
        <f t="shared" si="0"/>
        <v>0.17500000000000002</v>
      </c>
      <c r="AG6" s="103">
        <f>++AF6-$AF$4</f>
        <v>4.5000000000000012E-2</v>
      </c>
    </row>
    <row r="7" spans="1:33" ht="17.25" x14ac:dyDescent="0.3">
      <c r="A7" s="187" t="s">
        <v>267</v>
      </c>
      <c r="B7" s="73" t="e">
        <f>SUMIFS(#REF!,Tabla110[[#All],[Asesor]],Caratula!A7,Tabla110[[#All],[Fecha Cobranza]],"&lt;"&amp;$X$3,Tabla110[[#All],[Fecha Cobranza]],"&gt;="&amp;$W$3)</f>
        <v>#REF!</v>
      </c>
      <c r="C7" s="73">
        <f>SUMIFS(Tabla110[[#Headers],[#Data],[Utilidad Neta Total]],Tabla110[[#Headers],[#Data],[Asesor]],Caratula!A7,Tabla110[[#Headers],[#Data],[Fecha Cobranza]],"&lt;"&amp;$X$3,Tabla110[[#Headers],[#Data],[Fecha Cobranza]],"&gt;="&amp;$W$3)</f>
        <v>0</v>
      </c>
      <c r="D7" s="73">
        <f>SUMIFS('Ventas '!T:T,'Ventas '!C:C,Caratula!A7,'Ventas '!A:A,"&gt;="&amp;$W$3,'Ventas '!A:A,"&lt;="&amp;Caratula!$X$3)</f>
        <v>0</v>
      </c>
      <c r="E7" s="73"/>
      <c r="F7" s="73"/>
      <c r="G7" s="73"/>
      <c r="H7" s="73"/>
      <c r="I7" s="73" t="e">
        <f>++B7+E7+F7+G7+H7</f>
        <v>#REF!</v>
      </c>
      <c r="J7" s="73">
        <f>SUMIFS('Ventas '!L:L,'Ventas '!C:C,A7,'Ventas '!A:A,"&gt;="&amp;$J$3,'Ventas '!A:A,"&lt;="&amp;$J$4)</f>
        <v>0</v>
      </c>
      <c r="K7" s="73">
        <f>SUMIFS(Tabla110[[#Headers],[#Data],[Venta Total]],Tabla110[[#Headers],[#Data],[Asesor]],Caratula!A7,Tabla110[[#Headers],[#Data],[Fecha Cobranza]],"&lt;"&amp;$X$2,Tabla110[[#Headers],[#Data],[Fecha Cobranza]],"&gt;="&amp;$W$2)</f>
        <v>0</v>
      </c>
      <c r="L7" s="73">
        <f>SUMIFS(Tabla110[[#Headers],[#Data],[Utilidad Neta Total]],Tabla110[[#Headers],[#Data],[Asesor]],Caratula!A7,Tabla110[[#Headers],[#Data],[Fecha Cobranza]],"&lt;"&amp;$X$2,Tabla110[[#Headers],[#Data],[Fecha Cobranza]],"&gt;="&amp;$W$2)</f>
        <v>0</v>
      </c>
      <c r="M7" s="72">
        <f>IF(N7&gt;0,SUMIFS('Ventas '!#REF!,'Ventas '!C:C,Caratula!A7,'Ventas '!A:A,"&gt;="&amp;Caratula!$W$2,'Ventas '!A:A,"&lt;="&amp;Caratula!$X$2)-VLOOKUP(A7,'Caratula (2)'!A:B,2,0),0)</f>
        <v>0</v>
      </c>
      <c r="N7" s="214">
        <f t="shared" si="1"/>
        <v>0</v>
      </c>
      <c r="O7" s="150" t="e">
        <f t="shared" ref="O7:O48" si="2">IF(N7=0,I7,M7)</f>
        <v>#REF!</v>
      </c>
      <c r="P7" s="221" t="e">
        <f>+O7/2</f>
        <v>#REF!</v>
      </c>
      <c r="Q7" s="151"/>
      <c r="R7" s="173" t="e">
        <f>+O7-P7-Q7</f>
        <v>#REF!</v>
      </c>
      <c r="S7" s="169"/>
      <c r="T7" s="161" t="e">
        <f>((((((SUMIF($A:$A,A7,$R:$R))*1.08))))-((((((SUMIF($A:$A,A7,$R:$R))*1.08)/1.16)*0.16)*2/3)))</f>
        <v>#REF!</v>
      </c>
      <c r="V7" s="84"/>
      <c r="X7" s="81"/>
      <c r="Z7" s="82"/>
      <c r="AA7" s="192"/>
      <c r="AB7" s="192"/>
      <c r="AC7" s="84">
        <f>+AD6+1</f>
        <v>2000001</v>
      </c>
      <c r="AD7" s="47">
        <v>3000000</v>
      </c>
      <c r="AE7" s="101">
        <v>1</v>
      </c>
      <c r="AF7" s="52">
        <f t="shared" si="0"/>
        <v>0.2</v>
      </c>
      <c r="AG7" s="103">
        <f>++AF7-$AF$4</f>
        <v>7.0000000000000007E-2</v>
      </c>
    </row>
    <row r="8" spans="1:33" ht="23.1" customHeight="1" x14ac:dyDescent="0.3">
      <c r="A8" s="187" t="s">
        <v>351</v>
      </c>
      <c r="B8" s="73" t="e">
        <f>SUMIFS(#REF!,Tabla110[[#All],[Asesor]],Caratula!A8,Tabla110[[#All],[Fecha Cobranza]],"&lt;"&amp;$X$3,Tabla110[[#All],[Fecha Cobranza]],"&gt;="&amp;$W$3)</f>
        <v>#REF!</v>
      </c>
      <c r="C8" s="73">
        <f>SUMIFS(Tabla110[[#Headers],[#Data],[Utilidad Neta Total]],Tabla110[[#Headers],[#Data],[Asesor]],Caratula!A8,Tabla110[[#Headers],[#Data],[Fecha Cobranza]],"&lt;"&amp;$X$3,Tabla110[[#Headers],[#Data],[Fecha Cobranza]],"&gt;="&amp;$W$3)</f>
        <v>0</v>
      </c>
      <c r="D8" s="73">
        <f>SUMIFS('Ventas '!T:T,'Ventas '!C:C,Caratula!A8,'Ventas '!A:A,"&gt;="&amp;$W$3,'Ventas '!A:A,"&lt;="&amp;Caratula!$X$3)</f>
        <v>0</v>
      </c>
      <c r="E8" s="73"/>
      <c r="F8" s="73"/>
      <c r="G8" s="73"/>
      <c r="H8" s="73"/>
      <c r="I8" s="73" t="e">
        <f>++B8+E8+F8+G8+H8</f>
        <v>#REF!</v>
      </c>
      <c r="J8" s="73">
        <f>SUMIFS('Ventas '!L:L,'Ventas '!C:C,A8,'Ventas '!A:A,"&gt;="&amp;$J$3,'Ventas '!A:A,"&lt;="&amp;$J$4)</f>
        <v>0</v>
      </c>
      <c r="K8" s="73">
        <f>SUMIFS(Tabla110[[#Headers],[#Data],[Venta Total]],Tabla110[[#Headers],[#Data],[Asesor]],Caratula!A8,Tabla110[[#Headers],[#Data],[Fecha Cobranza]],"&lt;"&amp;$X$2,Tabla110[[#Headers],[#Data],[Fecha Cobranza]],"&gt;="&amp;$W$2)</f>
        <v>0</v>
      </c>
      <c r="L8" s="73">
        <f>SUMIFS(Tabla110[[#Headers],[#Data],[Utilidad Neta Total]],Tabla110[[#Headers],[#Data],[Asesor]],Caratula!A8,Tabla110[[#Headers],[#Data],[Fecha Cobranza]],"&lt;"&amp;$X$2,Tabla110[[#Headers],[#Data],[Fecha Cobranza]],"&gt;="&amp;$W$2)</f>
        <v>0</v>
      </c>
      <c r="M8" s="73">
        <f>IF(N8&gt;0,SUMIFS('Ventas '!#REF!,'Ventas '!C:C,Caratula!A8,'Ventas '!A:A,"&gt;="&amp;Caratula!$W$2,'Ventas '!A:A,"&lt;="&amp;Caratula!$X$2)-VLOOKUP(A8,'Caratula (2)'!A:B,2,0),0)</f>
        <v>0</v>
      </c>
      <c r="N8" s="215">
        <f t="shared" si="1"/>
        <v>0</v>
      </c>
      <c r="O8" s="150" t="e">
        <f t="shared" si="2"/>
        <v>#REF!</v>
      </c>
      <c r="P8" s="151"/>
      <c r="Q8" s="151"/>
      <c r="R8" s="173" t="e">
        <f t="shared" ref="R8:R48" si="3">+O8-P8-Q8</f>
        <v>#REF!</v>
      </c>
      <c r="S8" s="170" t="e">
        <f>SUMIF($A:$A,A8,$R:$R)</f>
        <v>#REF!</v>
      </c>
      <c r="T8" s="154"/>
      <c r="V8" s="84"/>
      <c r="X8" s="81"/>
      <c r="Z8" s="82"/>
      <c r="AA8" s="83"/>
      <c r="AB8" s="83"/>
      <c r="AC8" s="84">
        <f>+AD7+1</f>
        <v>3000001</v>
      </c>
      <c r="AD8" s="149">
        <v>4000000</v>
      </c>
      <c r="AE8" s="101">
        <v>1.5</v>
      </c>
      <c r="AF8" s="193">
        <f t="shared" si="0"/>
        <v>0.25</v>
      </c>
      <c r="AG8" s="103">
        <f>++AF8-$AF$4</f>
        <v>0.12</v>
      </c>
    </row>
    <row r="9" spans="1:33" ht="17.25" x14ac:dyDescent="0.3">
      <c r="A9" s="187" t="s">
        <v>116</v>
      </c>
      <c r="B9" s="73" t="e">
        <f>SUMIFS(#REF!,Tabla110[[#All],[Asesor]],Caratula!A9,Tabla110[[#All],[Fecha Cobranza]],"&lt;"&amp;$X$3,Tabla110[[#All],[Fecha Cobranza]],"&gt;="&amp;$W$3)</f>
        <v>#REF!</v>
      </c>
      <c r="C9" s="73">
        <f>SUMIFS(Tabla110[[#Headers],[#Data],[Utilidad Neta Total]],Tabla110[[#Headers],[#Data],[Asesor]],Caratula!A9,Tabla110[[#Headers],[#Data],[Fecha Cobranza]],"&lt;"&amp;$X$3,Tabla110[[#Headers],[#Data],[Fecha Cobranza]],"&gt;="&amp;$W$3)</f>
        <v>0</v>
      </c>
      <c r="D9" s="73">
        <f>SUMIFS('Ventas '!T:T,'Ventas '!C:C,Caratula!A9,'Ventas '!A:A,"&gt;="&amp;$W$3,'Ventas '!A:A,"&lt;="&amp;Caratula!$X$3)</f>
        <v>0</v>
      </c>
      <c r="E9" s="73"/>
      <c r="F9" s="73"/>
      <c r="G9" s="73"/>
      <c r="H9" s="73"/>
      <c r="I9" s="73" t="e">
        <f>++B9+E9+F9+G9+H9</f>
        <v>#REF!</v>
      </c>
      <c r="J9" s="73">
        <f>SUMIFS('Ventas '!L:L,'Ventas '!C:C,A9,'Ventas '!A:A,"&gt;="&amp;$J$3,'Ventas '!A:A,"&lt;="&amp;$J$4)</f>
        <v>0</v>
      </c>
      <c r="K9" s="73">
        <f>SUMIFS(Tabla110[[#Headers],[#Data],[Venta Total]],Tabla110[[#Headers],[#Data],[Asesor]],Caratula!A9,Tabla110[[#Headers],[#Data],[Fecha Cobranza]],"&lt;"&amp;$X$2,Tabla110[[#Headers],[#Data],[Fecha Cobranza]],"&gt;="&amp;$W$2)</f>
        <v>0</v>
      </c>
      <c r="L9" s="73">
        <f>SUMIFS(Tabla110[[#Headers],[#Data],[Utilidad Neta Total]],Tabla110[[#Headers],[#Data],[Asesor]],Caratula!A9,Tabla110[[#Headers],[#Data],[Fecha Cobranza]],"&lt;"&amp;$X$2,Tabla110[[#Headers],[#Data],[Fecha Cobranza]],"&gt;="&amp;$W$2)</f>
        <v>0</v>
      </c>
      <c r="M9" s="73">
        <f>IF(N9&gt;0,SUMIFS('Ventas '!#REF!,'Ventas '!C:C,Caratula!A9,'Ventas '!A:A,"&gt;="&amp;Caratula!$W$2,'Ventas '!A:A,"&lt;="&amp;Caratula!$X$2)-VLOOKUP(A9,'Caratula (2)'!A:B,2,0),0)</f>
        <v>0</v>
      </c>
      <c r="N9" s="215">
        <f t="shared" si="1"/>
        <v>0</v>
      </c>
      <c r="O9" s="150" t="e">
        <f t="shared" si="2"/>
        <v>#REF!</v>
      </c>
      <c r="P9" s="221"/>
      <c r="Q9" s="151"/>
      <c r="R9" s="173" t="e">
        <f t="shared" si="3"/>
        <v>#REF!</v>
      </c>
      <c r="S9" s="169"/>
      <c r="T9" s="161" t="e">
        <f>((((((SUMIF($A:$A,A9,$R:$R))*1.08))))-((((((SUMIF($A:$A,A9,$R:$R))*1.08)/1.16)*0.16)*2/3)))</f>
        <v>#REF!</v>
      </c>
      <c r="U9" s="165"/>
      <c r="V9" s="84"/>
      <c r="X9" s="81"/>
      <c r="Z9" s="82"/>
      <c r="AA9" s="83"/>
      <c r="AB9" s="83"/>
      <c r="AC9" s="84">
        <v>4000000</v>
      </c>
      <c r="AE9" s="101"/>
      <c r="AF9" s="52">
        <v>0.3</v>
      </c>
      <c r="AG9" s="103"/>
    </row>
    <row r="10" spans="1:33" ht="17.25" x14ac:dyDescent="0.3">
      <c r="A10" s="187" t="s">
        <v>280</v>
      </c>
      <c r="B10" s="166" t="e">
        <f>SUMIFS(#REF!,Tabla110[[#All],[Asesor]],Caratula!A10,Tabla110[[#All],[Fecha Cobranza]],"&lt;"&amp;$X$3,Tabla110[[#All],[Fecha Cobranza]],"&gt;="&amp;$W$3)</f>
        <v>#REF!</v>
      </c>
      <c r="C10" s="73">
        <f>SUMIFS(Tabla110[[#Headers],[#Data],[Utilidad Neta Total]],Tabla110[[#Headers],[#Data],[Asesor]],Caratula!A10,Tabla110[[#Headers],[#Data],[Fecha Cobranza]],"&lt;"&amp;$X$3,Tabla110[[#Headers],[#Data],[Fecha Cobranza]],"&gt;="&amp;$W$3)</f>
        <v>0</v>
      </c>
      <c r="D10" s="73">
        <f>SUMIFS('Ventas '!T:T,'Ventas '!C:C,Caratula!A10,'Ventas '!A:A,"&gt;="&amp;$W$3,'Ventas '!A:A,"&lt;="&amp;Caratula!$X$3)</f>
        <v>0</v>
      </c>
      <c r="E10" s="73"/>
      <c r="F10" s="73"/>
      <c r="G10" s="73"/>
      <c r="H10" s="73"/>
      <c r="I10" s="73" t="e">
        <f>++B10+E10+F10+G10+H10</f>
        <v>#REF!</v>
      </c>
      <c r="J10" s="73">
        <f>SUMIFS('Ventas '!L:L,'Ventas '!C:C,A10,'Ventas '!A:A,"&gt;="&amp;$J$3,'Ventas '!A:A,"&lt;="&amp;$J$4)</f>
        <v>0</v>
      </c>
      <c r="K10" s="73">
        <f>SUMIFS(Tabla110[[#Headers],[#Data],[Venta Total]],Tabla110[[#Headers],[#Data],[Asesor]],Caratula!A10,Tabla110[[#Headers],[#Data],[Fecha Cobranza]],"&lt;"&amp;$X$2,Tabla110[[#Headers],[#Data],[Fecha Cobranza]],"&gt;="&amp;$W$2)</f>
        <v>0</v>
      </c>
      <c r="L10" s="73">
        <f>SUMIFS(Tabla110[[#Headers],[#Data],[Utilidad Neta Total]],Tabla110[[#Headers],[#Data],[Asesor]],Caratula!A10,Tabla110[[#Headers],[#Data],[Fecha Cobranza]],"&lt;"&amp;$X$2,Tabla110[[#Headers],[#Data],[Fecha Cobranza]],"&gt;="&amp;$W$2)</f>
        <v>0</v>
      </c>
      <c r="M10" s="73">
        <f>IF(N10&gt;0,SUMIFS('Ventas '!#REF!,'Ventas '!C:C,Caratula!A10,'Ventas '!A:A,"&gt;="&amp;Caratula!$W$2,'Ventas '!A:A,"&lt;="&amp;Caratula!$X$2)-VLOOKUP(A10,'Caratula (2)'!A:B,2,0),0)</f>
        <v>0</v>
      </c>
      <c r="N10" s="215">
        <f t="shared" si="1"/>
        <v>0</v>
      </c>
      <c r="O10" s="150" t="e">
        <f t="shared" si="2"/>
        <v>#REF!</v>
      </c>
      <c r="P10" s="221" t="e">
        <f>+O10</f>
        <v>#REF!</v>
      </c>
      <c r="Q10" s="151"/>
      <c r="R10" s="173" t="e">
        <f t="shared" si="3"/>
        <v>#REF!</v>
      </c>
      <c r="S10" s="170" t="e">
        <f>SUMIF($A:$A,A10,$R:$R)</f>
        <v>#REF!</v>
      </c>
      <c r="T10" s="154"/>
      <c r="V10" s="84"/>
      <c r="X10" s="81"/>
      <c r="Z10" s="82"/>
      <c r="AA10" s="83"/>
      <c r="AB10" s="83"/>
      <c r="AC10" s="84"/>
      <c r="AE10" s="101"/>
      <c r="AF10" s="52"/>
      <c r="AG10" s="103"/>
    </row>
    <row r="11" spans="1:33" ht="17.25" x14ac:dyDescent="0.3">
      <c r="A11" s="187" t="s">
        <v>339</v>
      </c>
      <c r="B11" s="73" t="e">
        <f>SUMIFS(#REF!,Tabla110[[#All],[Asesor]],Caratula!A11,Tabla110[[#All],[Fecha Cobranza]],"&lt;"&amp;$X$3,Tabla110[[#All],[Fecha Cobranza]],"&gt;="&amp;$W$3)</f>
        <v>#REF!</v>
      </c>
      <c r="C11" s="73">
        <f>SUMIFS(Tabla110[[#Headers],[#Data],[Utilidad Neta Total]],Tabla110[[#Headers],[#Data],[Asesor]],Caratula!A11,Tabla110[[#Headers],[#Data],[Fecha Cobranza]],"&lt;"&amp;$X$3,Tabla110[[#Headers],[#Data],[Fecha Cobranza]],"&gt;="&amp;$W$3)</f>
        <v>0</v>
      </c>
      <c r="D11" s="73">
        <f>SUMIFS('Ventas '!T:T,'Ventas '!C:C,Caratula!A11,'Ventas '!A:A,"&gt;="&amp;$W$3,'Ventas '!A:A,"&lt;="&amp;Caratula!$X$3)</f>
        <v>0</v>
      </c>
      <c r="E11" s="73"/>
      <c r="F11" s="73"/>
      <c r="G11" s="73"/>
      <c r="H11" s="73"/>
      <c r="I11" s="73" t="e">
        <f t="shared" ref="I11:I48" si="4">++B11+E11+F11+G11+H11</f>
        <v>#REF!</v>
      </c>
      <c r="J11" s="73">
        <f>SUMIFS('Ventas '!L:L,'Ventas '!C:C,A11,'Ventas '!A:A,"&gt;="&amp;$J$3,'Ventas '!A:A,"&lt;="&amp;$J$4)</f>
        <v>0</v>
      </c>
      <c r="K11" s="73">
        <f>SUMIFS(Tabla110[[#Headers],[#Data],[Venta Total]],Tabla110[[#Headers],[#Data],[Asesor]],Caratula!A11,Tabla110[[#Headers],[#Data],[Fecha Cobranza]],"&lt;"&amp;$X$2,Tabla110[[#Headers],[#Data],[Fecha Cobranza]],"&gt;="&amp;$W$2)</f>
        <v>0</v>
      </c>
      <c r="L11" s="73">
        <f>SUMIFS(Tabla110[[#Headers],[#Data],[Utilidad Neta Total]],Tabla110[[#Headers],[#Data],[Asesor]],Caratula!A11,Tabla110[[#Headers],[#Data],[Fecha Cobranza]],"&lt;"&amp;$X$2,Tabla110[[#Headers],[#Data],[Fecha Cobranza]],"&gt;="&amp;$W$2)</f>
        <v>0</v>
      </c>
      <c r="M11" s="73">
        <f>IF(N11&gt;0,SUMIFS('Ventas '!#REF!,'Ventas '!C:C,Caratula!A11,'Ventas '!A:A,"&gt;="&amp;Caratula!$W$2,'Ventas '!A:A,"&lt;="&amp;Caratula!$X$2)-VLOOKUP(A11,'Caratula (2)'!A:B,2,0),0)</f>
        <v>0</v>
      </c>
      <c r="N11" s="215">
        <f t="shared" si="1"/>
        <v>0</v>
      </c>
      <c r="O11" s="150" t="e">
        <f t="shared" si="2"/>
        <v>#REF!</v>
      </c>
      <c r="P11" s="151"/>
      <c r="Q11" s="151"/>
      <c r="R11" s="173" t="e">
        <f t="shared" si="3"/>
        <v>#REF!</v>
      </c>
      <c r="S11" s="169"/>
      <c r="T11" s="161" t="e">
        <f>((((((SUMIF($A:$A,A11,$R:$R))*1.08))))-((((((SUMIF($A:$A,A11,$R:$R))*1.08)/1.16)*0.16)*2/3)))</f>
        <v>#REF!</v>
      </c>
      <c r="V11" s="84"/>
      <c r="X11" s="81"/>
      <c r="Z11" s="82"/>
      <c r="AA11" s="83"/>
      <c r="AB11" s="83"/>
      <c r="AC11" s="84"/>
      <c r="AD11" s="47">
        <f>+L6*AF8</f>
        <v>0</v>
      </c>
      <c r="AE11" s="101"/>
      <c r="AF11" s="52"/>
      <c r="AG11" s="103"/>
    </row>
    <row r="12" spans="1:33" ht="17.25" x14ac:dyDescent="0.3">
      <c r="A12" s="187" t="s">
        <v>468</v>
      </c>
      <c r="B12" s="73" t="e">
        <f>SUMIFS(#REF!,Tabla110[[#All],[Asesor]],Caratula!A12,Tabla110[[#All],[Fecha Cobranza]],"&lt;"&amp;$X$3,Tabla110[[#All],[Fecha Cobranza]],"&gt;="&amp;$W$3)</f>
        <v>#REF!</v>
      </c>
      <c r="C12" s="73">
        <f>SUMIFS(Tabla110[[#Headers],[#Data],[Utilidad Neta Total]],Tabla110[[#Headers],[#Data],[Asesor]],Caratula!A12,Tabla110[[#Headers],[#Data],[Fecha Cobranza]],"&lt;"&amp;$X$3,Tabla110[[#Headers],[#Data],[Fecha Cobranza]],"&gt;="&amp;$W$3)</f>
        <v>0</v>
      </c>
      <c r="D12" s="73">
        <f>SUMIFS('Ventas '!T:T,'Ventas '!C:C,Caratula!A12,'Ventas '!A:A,"&gt;="&amp;$W$3,'Ventas '!A:A,"&lt;="&amp;Caratula!$X$3)</f>
        <v>0</v>
      </c>
      <c r="E12" s="73"/>
      <c r="F12" s="73"/>
      <c r="G12" s="73"/>
      <c r="H12" s="73"/>
      <c r="I12" s="73" t="e">
        <f>++B12+E12+F12+G12+H12</f>
        <v>#REF!</v>
      </c>
      <c r="J12" s="73">
        <f>SUMIFS('Ventas '!L:L,'Ventas '!C:C,A12,'Ventas '!A:A,"&gt;="&amp;$J$3,'Ventas '!A:A,"&lt;="&amp;$J$4)</f>
        <v>0</v>
      </c>
      <c r="K12" s="73">
        <f>SUMIFS(Tabla110[[#Headers],[#Data],[Venta Total]],Tabla110[[#Headers],[#Data],[Asesor]],Caratula!A12,Tabla110[[#Headers],[#Data],[Fecha Cobranza]],"&lt;"&amp;$X$2,Tabla110[[#Headers],[#Data],[Fecha Cobranza]],"&gt;="&amp;$W$2)</f>
        <v>0</v>
      </c>
      <c r="L12" s="73">
        <f>SUMIFS(Tabla110[[#Headers],[#Data],[Utilidad Neta Total]],Tabla110[[#Headers],[#Data],[Asesor]],Caratula!A12,Tabla110[[#Headers],[#Data],[Fecha Cobranza]],"&lt;"&amp;$X$2,Tabla110[[#Headers],[#Data],[Fecha Cobranza]],"&gt;="&amp;$W$2)</f>
        <v>0</v>
      </c>
      <c r="M12" s="73">
        <f>IF(N12&gt;0,SUMIFS('Ventas '!#REF!,'Ventas '!C:C,Caratula!A12,'Ventas '!A:A,"&gt;="&amp;Caratula!$W$2,'Ventas '!A:A,"&lt;="&amp;Caratula!$X$2)-VLOOKUP(A12,'Caratula (2)'!A:B,2,0),0)</f>
        <v>0</v>
      </c>
      <c r="N12" s="215">
        <f t="shared" si="1"/>
        <v>0</v>
      </c>
      <c r="O12" s="150" t="e">
        <f t="shared" si="2"/>
        <v>#REF!</v>
      </c>
      <c r="P12" s="151"/>
      <c r="Q12" s="151"/>
      <c r="R12" s="173" t="e">
        <f>+O12-P12-Q12</f>
        <v>#REF!</v>
      </c>
      <c r="S12" s="170" t="e">
        <f t="shared" ref="S12:S24" si="5">SUMIF($A:$A,A12,$R:$R)</f>
        <v>#REF!</v>
      </c>
      <c r="T12" s="161"/>
      <c r="V12" s="84"/>
      <c r="X12" s="81"/>
      <c r="Z12" s="82"/>
      <c r="AA12" s="83"/>
      <c r="AB12" s="83"/>
      <c r="AC12" s="84"/>
      <c r="AE12" s="101"/>
      <c r="AF12" s="52"/>
      <c r="AG12" s="103"/>
    </row>
    <row r="13" spans="1:33" ht="17.25" customHeight="1" x14ac:dyDescent="0.3">
      <c r="A13" s="187" t="s">
        <v>402</v>
      </c>
      <c r="B13" s="166" t="e">
        <f>SUMIFS(#REF!,Tabla110[[#All],[Asesor]],Caratula!A13,Tabla110[[#All],[Fecha Cobranza]],"&lt;"&amp;$X$3,Tabla110[[#All],[Fecha Cobranza]],"&gt;="&amp;$W$3)</f>
        <v>#REF!</v>
      </c>
      <c r="C13" s="73">
        <f>SUMIFS(Tabla110[[#Headers],[#Data],[Utilidad Neta Total]],Tabla110[[#Headers],[#Data],[Asesor]],Caratula!A13,Tabla110[[#Headers],[#Data],[Fecha Cobranza]],"&lt;"&amp;$X$3,Tabla110[[#Headers],[#Data],[Fecha Cobranza]],"&gt;="&amp;$W$3)</f>
        <v>0</v>
      </c>
      <c r="D13" s="73">
        <f>SUMIFS('Ventas '!T:T,'Ventas '!C:C,Caratula!A13,'Ventas '!A:A,"&gt;="&amp;$W$3,'Ventas '!A:A,"&lt;="&amp;Caratula!$X$3)</f>
        <v>0</v>
      </c>
      <c r="E13" s="73"/>
      <c r="F13" s="73"/>
      <c r="G13" s="73"/>
      <c r="H13" s="73"/>
      <c r="I13" s="73" t="e">
        <f t="shared" si="4"/>
        <v>#REF!</v>
      </c>
      <c r="J13" s="73">
        <f>SUMIFS('Ventas '!L:L,'Ventas '!C:C,A13,'Ventas '!A:A,"&gt;="&amp;$J$3,'Ventas '!A:A,"&lt;="&amp;$J$4)</f>
        <v>0</v>
      </c>
      <c r="K13" s="73">
        <f>SUMIFS(Tabla110[[#Headers],[#Data],[Venta Total]],Tabla110[[#Headers],[#Data],[Asesor]],Caratula!A13,Tabla110[[#Headers],[#Data],[Fecha Cobranza]],"&lt;"&amp;$X$2,Tabla110[[#Headers],[#Data],[Fecha Cobranza]],"&gt;="&amp;$W$2)</f>
        <v>0</v>
      </c>
      <c r="L13" s="73">
        <f>SUMIFS(Tabla110[[#Headers],[#Data],[Utilidad Neta Total]],Tabla110[[#Headers],[#Data],[Asesor]],Caratula!A13,Tabla110[[#Headers],[#Data],[Fecha Cobranza]],"&lt;"&amp;$X$2,Tabla110[[#Headers],[#Data],[Fecha Cobranza]],"&gt;="&amp;$W$2)</f>
        <v>0</v>
      </c>
      <c r="M13" s="73">
        <f>IF(N13&gt;0,SUMIFS('Ventas '!#REF!,'Ventas '!C:C,Caratula!A13,'Ventas '!A:A,"&gt;="&amp;Caratula!$W$2,'Ventas '!A:A,"&lt;="&amp;Caratula!$X$2)-VLOOKUP(A13,'Caratula (2)'!A:B,2,0),0)</f>
        <v>0</v>
      </c>
      <c r="N13" s="215">
        <f t="shared" si="1"/>
        <v>0</v>
      </c>
      <c r="O13" s="150" t="e">
        <f t="shared" si="2"/>
        <v>#REF!</v>
      </c>
      <c r="P13" s="151"/>
      <c r="Q13" s="151"/>
      <c r="R13" s="173" t="e">
        <f t="shared" si="3"/>
        <v>#REF!</v>
      </c>
      <c r="S13" s="170" t="e">
        <f t="shared" si="5"/>
        <v>#REF!</v>
      </c>
      <c r="T13" s="154"/>
      <c r="V13" s="84"/>
      <c r="X13" s="81"/>
      <c r="Z13" s="82"/>
      <c r="AA13" s="83"/>
      <c r="AB13" s="83"/>
      <c r="AC13" s="84"/>
      <c r="AE13" s="101"/>
      <c r="AF13" s="52"/>
      <c r="AG13" s="103"/>
    </row>
    <row r="14" spans="1:33" ht="17.25" x14ac:dyDescent="0.3">
      <c r="A14" s="187" t="s">
        <v>279</v>
      </c>
      <c r="B14" s="73" t="e">
        <f>SUMIFS(#REF!,Tabla110[[#All],[Asesor]],Caratula!A14,Tabla110[[#All],[Fecha Cobranza]],"&lt;"&amp;$X$3,Tabla110[[#All],[Fecha Cobranza]],"&gt;="&amp;$W$3)</f>
        <v>#REF!</v>
      </c>
      <c r="C14" s="73">
        <f>SUMIFS(Tabla110[[#Headers],[#Data],[Utilidad Neta Total]],Tabla110[[#Headers],[#Data],[Asesor]],Caratula!A14,Tabla110[[#Headers],[#Data],[Fecha Cobranza]],"&lt;"&amp;$X$3,Tabla110[[#Headers],[#Data],[Fecha Cobranza]],"&gt;="&amp;$W$3)</f>
        <v>0</v>
      </c>
      <c r="D14" s="73">
        <f>SUMIFS('Ventas '!T:T,'Ventas '!C:C,Caratula!A14,'Ventas '!A:A,"&gt;="&amp;$W$3,'Ventas '!A:A,"&lt;="&amp;Caratula!$X$3)</f>
        <v>0</v>
      </c>
      <c r="E14" s="73"/>
      <c r="F14" s="73"/>
      <c r="G14" s="73"/>
      <c r="H14" s="73"/>
      <c r="I14" s="73" t="e">
        <f t="shared" si="4"/>
        <v>#REF!</v>
      </c>
      <c r="J14" s="73">
        <f>SUMIFS('Ventas '!L:L,'Ventas '!C:C,A14,'Ventas '!A:A,"&gt;="&amp;$J$3,'Ventas '!A:A,"&lt;="&amp;$J$4)</f>
        <v>0</v>
      </c>
      <c r="K14" s="73">
        <f>SUMIFS(Tabla110[[#Headers],[#Data],[Venta Total]],Tabla110[[#Headers],[#Data],[Asesor]],Caratula!A14,Tabla110[[#Headers],[#Data],[Fecha Cobranza]],"&lt;"&amp;$X$2,Tabla110[[#Headers],[#Data],[Fecha Cobranza]],"&gt;="&amp;$W$2)</f>
        <v>0</v>
      </c>
      <c r="L14" s="73">
        <f>SUMIFS(Tabla110[[#Headers],[#Data],[Utilidad Neta Total]],Tabla110[[#Headers],[#Data],[Asesor]],Caratula!A14,Tabla110[[#Headers],[#Data],[Fecha Cobranza]],"&lt;"&amp;$X$2,Tabla110[[#Headers],[#Data],[Fecha Cobranza]],"&gt;="&amp;$W$2)</f>
        <v>0</v>
      </c>
      <c r="M14" s="73">
        <f>IF(N14&gt;0,SUMIFS('Ventas '!#REF!,'Ventas '!C:C,Caratula!A14,'Ventas '!A:A,"&gt;="&amp;Caratula!$W$2,'Ventas '!A:A,"&lt;="&amp;Caratula!$X$2)-VLOOKUP(A14,'Caratula (2)'!A:B,2,0),0)</f>
        <v>0</v>
      </c>
      <c r="N14" s="215">
        <f t="shared" si="1"/>
        <v>0</v>
      </c>
      <c r="O14" s="150" t="e">
        <f t="shared" si="2"/>
        <v>#REF!</v>
      </c>
      <c r="P14" s="151"/>
      <c r="Q14" s="151"/>
      <c r="R14" s="173" t="e">
        <f t="shared" si="3"/>
        <v>#REF!</v>
      </c>
      <c r="S14" s="170" t="e">
        <f t="shared" si="5"/>
        <v>#REF!</v>
      </c>
      <c r="T14" s="154"/>
      <c r="V14" s="84"/>
      <c r="X14" s="81"/>
      <c r="Z14" s="82"/>
      <c r="AA14" s="83"/>
      <c r="AB14" s="83"/>
      <c r="AC14" s="84"/>
      <c r="AE14" s="101"/>
      <c r="AF14" s="52"/>
      <c r="AG14" s="103"/>
    </row>
    <row r="15" spans="1:33" ht="17.25" x14ac:dyDescent="0.3">
      <c r="A15" s="187" t="s">
        <v>272</v>
      </c>
      <c r="B15" s="166" t="e">
        <f>SUMIFS(#REF!,Tabla110[[#All],[Asesor]],Caratula!A15,Tabla110[[#All],[Fecha Cobranza]],"&lt;"&amp;$X$3,Tabla110[[#All],[Fecha Cobranza]],"&gt;="&amp;$W$3)</f>
        <v>#REF!</v>
      </c>
      <c r="C15" s="73">
        <f>SUMIFS(Tabla110[[#Headers],[#Data],[Utilidad Neta Total]],Tabla110[[#Headers],[#Data],[Asesor]],Caratula!A15,Tabla110[[#Headers],[#Data],[Fecha Cobranza]],"&lt;"&amp;$X$3,Tabla110[[#Headers],[#Data],[Fecha Cobranza]],"&gt;="&amp;$W$3)</f>
        <v>0</v>
      </c>
      <c r="D15" s="73">
        <f>SUMIFS('Ventas '!T:T,'Ventas '!C:C,Caratula!A15,'Ventas '!A:A,"&gt;="&amp;$W$3,'Ventas '!A:A,"&lt;="&amp;Caratula!$X$3)</f>
        <v>0</v>
      </c>
      <c r="E15" s="73"/>
      <c r="F15" s="73"/>
      <c r="G15" s="73"/>
      <c r="H15" s="73"/>
      <c r="I15" s="73" t="e">
        <f>++B15+E15+F15+G15+H15</f>
        <v>#REF!</v>
      </c>
      <c r="J15" s="73">
        <f>SUMIFS('Ventas '!L:L,'Ventas '!C:C,A15,'Ventas '!A:A,"&gt;="&amp;$J$3,'Ventas '!A:A,"&lt;="&amp;$J$4)</f>
        <v>0</v>
      </c>
      <c r="K15" s="73">
        <f>SUMIFS(Tabla110[[#Headers],[#Data],[Venta Total]],Tabla110[[#Headers],[#Data],[Asesor]],Caratula!A15,Tabla110[[#Headers],[#Data],[Fecha Cobranza]],"&lt;"&amp;$X$2,Tabla110[[#Headers],[#Data],[Fecha Cobranza]],"&gt;="&amp;$W$2)</f>
        <v>0</v>
      </c>
      <c r="L15" s="73">
        <f>SUMIFS(Tabla110[[#Headers],[#Data],[Utilidad Neta Total]],Tabla110[[#Headers],[#Data],[Asesor]],Caratula!A15,Tabla110[[#Headers],[#Data],[Fecha Cobranza]],"&lt;"&amp;$X$2,Tabla110[[#Headers],[#Data],[Fecha Cobranza]],"&gt;="&amp;$W$2)</f>
        <v>0</v>
      </c>
      <c r="M15" s="73">
        <f>IF(N15&gt;0,SUMIFS('Ventas '!#REF!,'Ventas '!C:C,Caratula!A15,'Ventas '!A:A,"&gt;="&amp;Caratula!$W$2,'Ventas '!A:A,"&lt;="&amp;Caratula!$X$2)-VLOOKUP(A15,'Caratula (2)'!A:B,2,0),0)</f>
        <v>0</v>
      </c>
      <c r="N15" s="215">
        <f t="shared" si="1"/>
        <v>0</v>
      </c>
      <c r="O15" s="150" t="e">
        <f t="shared" si="2"/>
        <v>#REF!</v>
      </c>
      <c r="P15" s="151" t="e">
        <f>+O15/2</f>
        <v>#REF!</v>
      </c>
      <c r="Q15" s="151"/>
      <c r="R15" s="173" t="e">
        <f>+O15-P15-Q15</f>
        <v>#REF!</v>
      </c>
      <c r="S15" s="170" t="e">
        <f t="shared" si="5"/>
        <v>#REF!</v>
      </c>
      <c r="T15" s="154"/>
      <c r="V15" s="84"/>
      <c r="X15" s="81"/>
      <c r="Z15" s="82"/>
      <c r="AA15" s="83"/>
      <c r="AB15" s="83"/>
      <c r="AC15" s="84"/>
      <c r="AE15" s="101"/>
      <c r="AF15" s="52"/>
      <c r="AG15" s="103"/>
    </row>
    <row r="16" spans="1:33" ht="17.25" x14ac:dyDescent="0.3">
      <c r="A16" s="187" t="s">
        <v>283</v>
      </c>
      <c r="B16" s="73" t="e">
        <f>SUMIFS(#REF!,Tabla110[[#All],[Asesor]],Caratula!A16,Tabla110[[#All],[Fecha Cobranza]],"&lt;"&amp;$X$3,Tabla110[[#All],[Fecha Cobranza]],"&gt;="&amp;$W$3)</f>
        <v>#REF!</v>
      </c>
      <c r="C16" s="73">
        <f>SUMIFS(Tabla110[[#Headers],[#Data],[Utilidad Neta Total]],Tabla110[[#Headers],[#Data],[Asesor]],Caratula!A16,Tabla110[[#Headers],[#Data],[Fecha Cobranza]],"&lt;"&amp;$X$3,Tabla110[[#Headers],[#Data],[Fecha Cobranza]],"&gt;="&amp;$W$3)</f>
        <v>0</v>
      </c>
      <c r="D16" s="73">
        <f>SUMIFS('Ventas '!T:T,'Ventas '!C:C,Caratula!A16,'Ventas '!A:A,"&gt;="&amp;$W$3,'Ventas '!A:A,"&lt;="&amp;Caratula!$X$3)</f>
        <v>0</v>
      </c>
      <c r="E16" s="73"/>
      <c r="F16" s="73"/>
      <c r="G16" s="73"/>
      <c r="H16" s="73"/>
      <c r="I16" s="73" t="e">
        <f t="shared" si="4"/>
        <v>#REF!</v>
      </c>
      <c r="J16" s="73">
        <f>SUMIFS('Ventas '!L:L,'Ventas '!C:C,A16,'Ventas '!A:A,"&gt;="&amp;$J$3,'Ventas '!A:A,"&lt;="&amp;$J$4)</f>
        <v>0</v>
      </c>
      <c r="K16" s="73">
        <f>SUMIFS(Tabla110[[#Headers],[#Data],[Venta Total]],Tabla110[[#Headers],[#Data],[Asesor]],Caratula!A16,Tabla110[[#Headers],[#Data],[Fecha Cobranza]],"&lt;"&amp;$X$2,Tabla110[[#Headers],[#Data],[Fecha Cobranza]],"&gt;="&amp;$W$2)</f>
        <v>0</v>
      </c>
      <c r="L16" s="73">
        <f>SUMIFS(Tabla110[[#Headers],[#Data],[Utilidad Neta Total]],Tabla110[[#Headers],[#Data],[Asesor]],Caratula!A16,Tabla110[[#Headers],[#Data],[Fecha Cobranza]],"&lt;"&amp;$X$2,Tabla110[[#Headers],[#Data],[Fecha Cobranza]],"&gt;="&amp;$W$2)</f>
        <v>0</v>
      </c>
      <c r="M16" s="73">
        <f>IF(N16&gt;0,SUMIFS('Ventas '!#REF!,'Ventas '!C:C,Caratula!A16,'Ventas '!A:A,"&gt;="&amp;Caratula!$W$2,'Ventas '!A:A,"&lt;="&amp;Caratula!$X$2)-VLOOKUP(A16,'Caratula (2)'!A:B,2,0),0)</f>
        <v>0</v>
      </c>
      <c r="N16" s="215">
        <f t="shared" si="1"/>
        <v>0</v>
      </c>
      <c r="O16" s="150" t="e">
        <f t="shared" si="2"/>
        <v>#REF!</v>
      </c>
      <c r="P16" s="151" t="e">
        <f>+O16/2</f>
        <v>#REF!</v>
      </c>
      <c r="Q16" s="151"/>
      <c r="R16" s="173" t="e">
        <f t="shared" si="3"/>
        <v>#REF!</v>
      </c>
      <c r="S16" s="170" t="e">
        <f t="shared" si="5"/>
        <v>#REF!</v>
      </c>
      <c r="T16" s="154"/>
      <c r="V16" s="84"/>
      <c r="X16" s="81"/>
      <c r="Z16" s="82"/>
      <c r="AA16" s="83"/>
      <c r="AB16" s="83"/>
      <c r="AC16" s="84"/>
      <c r="AE16" s="101"/>
      <c r="AF16" s="52"/>
      <c r="AG16" s="103"/>
    </row>
    <row r="17" spans="1:33" ht="17.25" x14ac:dyDescent="0.3">
      <c r="A17" s="187" t="s">
        <v>203</v>
      </c>
      <c r="B17" s="73" t="e">
        <f>SUMIFS(#REF!,Tabla110[[#All],[Asesor]],Caratula!A17,Tabla110[[#All],[Fecha Cobranza]],"&lt;"&amp;$X$3,Tabla110[[#All],[Fecha Cobranza]],"&gt;="&amp;$W$3)</f>
        <v>#REF!</v>
      </c>
      <c r="C17" s="73">
        <f>SUMIFS(Tabla110[[#Headers],[#Data],[Utilidad Neta Total]],Tabla110[[#Headers],[#Data],[Asesor]],Caratula!A17,Tabla110[[#Headers],[#Data],[Fecha Cobranza]],"&lt;"&amp;$X$3,Tabla110[[#Headers],[#Data],[Fecha Cobranza]],"&gt;="&amp;$W$3)</f>
        <v>0</v>
      </c>
      <c r="D17" s="73">
        <f>SUMIFS('Ventas '!T:T,'Ventas '!C:C,Caratula!A17,'Ventas '!A:A,"&gt;="&amp;$W$3,'Ventas '!A:A,"&lt;="&amp;Caratula!$X$3)</f>
        <v>0</v>
      </c>
      <c r="E17" s="73"/>
      <c r="F17" s="73"/>
      <c r="G17" s="73"/>
      <c r="H17" s="73"/>
      <c r="I17" s="73" t="e">
        <f t="shared" si="4"/>
        <v>#REF!</v>
      </c>
      <c r="J17" s="73">
        <f>SUMIFS('Ventas '!L:L,'Ventas '!C:C,A17,'Ventas '!A:A,"&gt;="&amp;$J$3,'Ventas '!A:A,"&lt;="&amp;$J$4)</f>
        <v>0</v>
      </c>
      <c r="K17" s="73">
        <f>SUMIFS(Tabla110[[#Headers],[#Data],[Venta Total]],Tabla110[[#Headers],[#Data],[Asesor]],Caratula!A17,Tabla110[[#Headers],[#Data],[Fecha Cobranza]],"&lt;"&amp;$X$2,Tabla110[[#Headers],[#Data],[Fecha Cobranza]],"&gt;="&amp;$W$2)</f>
        <v>0</v>
      </c>
      <c r="L17" s="73">
        <f>SUMIFS(Tabla110[[#Headers],[#Data],[Utilidad Neta Total]],Tabla110[[#Headers],[#Data],[Asesor]],Caratula!A17,Tabla110[[#Headers],[#Data],[Fecha Cobranza]],"&lt;"&amp;$X$2,Tabla110[[#Headers],[#Data],[Fecha Cobranza]],"&gt;="&amp;$W$2)</f>
        <v>0</v>
      </c>
      <c r="M17" s="73">
        <f>IF(N17&gt;0,SUMIFS('Ventas '!#REF!,'Ventas '!C:C,Caratula!A17,'Ventas '!A:A,"&gt;="&amp;Caratula!$W$2,'Ventas '!A:A,"&lt;="&amp;Caratula!$X$2)-VLOOKUP(A17,'Caratula (2)'!A:B,2,0),0)</f>
        <v>0</v>
      </c>
      <c r="N17" s="215">
        <f t="shared" si="1"/>
        <v>0</v>
      </c>
      <c r="O17" s="150" t="e">
        <f t="shared" si="2"/>
        <v>#REF!</v>
      </c>
      <c r="P17" s="151"/>
      <c r="Q17" s="151"/>
      <c r="R17" s="173" t="e">
        <f t="shared" si="3"/>
        <v>#REF!</v>
      </c>
      <c r="S17" s="170" t="e">
        <f t="shared" si="5"/>
        <v>#REF!</v>
      </c>
      <c r="T17" s="154"/>
      <c r="V17" s="84"/>
      <c r="X17" s="81"/>
      <c r="Z17" s="82"/>
      <c r="AA17" s="83"/>
      <c r="AB17" s="83"/>
      <c r="AC17" s="84"/>
      <c r="AE17" s="101"/>
      <c r="AF17" s="52"/>
      <c r="AG17" s="103"/>
    </row>
    <row r="18" spans="1:33" ht="17.25" x14ac:dyDescent="0.3">
      <c r="A18" s="187" t="s">
        <v>425</v>
      </c>
      <c r="B18" s="73" t="e">
        <f>SUMIFS(#REF!,Tabla110[[#All],[Asesor]],Caratula!A18,Tabla110[[#All],[Fecha Cobranza]],"&lt;"&amp;$X$3,Tabla110[[#All],[Fecha Cobranza]],"&gt;="&amp;$W$3)</f>
        <v>#REF!</v>
      </c>
      <c r="C18" s="73">
        <f>SUMIFS(Tabla110[[#Headers],[#Data],[Utilidad Neta Total]],Tabla110[[#Headers],[#Data],[Asesor]],Caratula!A18,Tabla110[[#Headers],[#Data],[Fecha Cobranza]],"&lt;"&amp;$X$3,Tabla110[[#Headers],[#Data],[Fecha Cobranza]],"&gt;="&amp;$W$3)</f>
        <v>0</v>
      </c>
      <c r="D18" s="73">
        <f>SUMIFS('Ventas '!T:T,'Ventas '!C:C,Caratula!A18,'Ventas '!A:A,"&gt;="&amp;$W$3,'Ventas '!A:A,"&lt;="&amp;Caratula!$X$3)</f>
        <v>0</v>
      </c>
      <c r="E18" s="73"/>
      <c r="F18" s="73"/>
      <c r="G18" s="73"/>
      <c r="H18" s="73"/>
      <c r="I18" s="73" t="e">
        <f t="shared" si="4"/>
        <v>#REF!</v>
      </c>
      <c r="J18" s="73">
        <f>SUMIFS('Ventas '!L:L,'Ventas '!C:C,A18,'Ventas '!A:A,"&gt;="&amp;$J$3,'Ventas '!A:A,"&lt;="&amp;$J$4)</f>
        <v>0</v>
      </c>
      <c r="K18" s="73">
        <f>SUMIFS(Tabla110[[#Headers],[#Data],[Venta Total]],Tabla110[[#Headers],[#Data],[Asesor]],Caratula!A18,Tabla110[[#Headers],[#Data],[Fecha Cobranza]],"&lt;"&amp;$X$2,Tabla110[[#Headers],[#Data],[Fecha Cobranza]],"&gt;="&amp;$W$2)</f>
        <v>0</v>
      </c>
      <c r="L18" s="73">
        <f>SUMIFS(Tabla110[[#Headers],[#Data],[Utilidad Neta Total]],Tabla110[[#Headers],[#Data],[Asesor]],Caratula!A18,Tabla110[[#Headers],[#Data],[Fecha Cobranza]],"&lt;"&amp;$X$2,Tabla110[[#Headers],[#Data],[Fecha Cobranza]],"&gt;="&amp;$W$2)</f>
        <v>0</v>
      </c>
      <c r="M18" s="73">
        <f>IF(N18&gt;0,SUMIFS('Ventas '!#REF!,'Ventas '!C:C,Caratula!A18,'Ventas '!A:A,"&gt;="&amp;Caratula!$W$2,'Ventas '!A:A,"&lt;="&amp;Caratula!$X$2)-VLOOKUP(A18,'Caratula (2)'!A:B,2,0),0)</f>
        <v>0</v>
      </c>
      <c r="N18" s="215">
        <f t="shared" si="1"/>
        <v>0</v>
      </c>
      <c r="O18" s="150" t="e">
        <f t="shared" si="2"/>
        <v>#REF!</v>
      </c>
      <c r="P18" s="151"/>
      <c r="Q18" s="151"/>
      <c r="R18" s="173" t="e">
        <f t="shared" si="3"/>
        <v>#REF!</v>
      </c>
      <c r="S18" s="170" t="e">
        <f t="shared" si="5"/>
        <v>#REF!</v>
      </c>
      <c r="T18" s="154"/>
      <c r="V18" s="84"/>
      <c r="X18" s="81"/>
      <c r="Z18" s="82"/>
      <c r="AA18" s="192"/>
      <c r="AB18" s="192"/>
      <c r="AC18" s="84"/>
      <c r="AE18" s="101"/>
      <c r="AF18" s="52"/>
      <c r="AG18" s="103"/>
    </row>
    <row r="19" spans="1:33" ht="17.25" x14ac:dyDescent="0.3">
      <c r="A19" s="187" t="s">
        <v>360</v>
      </c>
      <c r="B19" s="166" t="e">
        <f>SUMIFS(#REF!,Tabla110[[#All],[Asesor]],Caratula!A19,Tabla110[[#All],[Fecha Cobranza]],"&lt;"&amp;$X$3,Tabla110[[#All],[Fecha Cobranza]],"&gt;="&amp;$W$3)</f>
        <v>#REF!</v>
      </c>
      <c r="C19" s="73">
        <f>SUMIFS(Tabla110[[#Headers],[#Data],[Utilidad Neta Total]],Tabla110[[#Headers],[#Data],[Asesor]],Caratula!A19,Tabla110[[#Headers],[#Data],[Fecha Cobranza]],"&lt;"&amp;$X$3,Tabla110[[#Headers],[#Data],[Fecha Cobranza]],"&gt;="&amp;$W$3)</f>
        <v>0</v>
      </c>
      <c r="D19" s="73">
        <f>SUMIFS('Ventas '!T:T,'Ventas '!C:C,Caratula!A19,'Ventas '!A:A,"&gt;="&amp;$W$3,'Ventas '!A:A,"&lt;="&amp;Caratula!$X$3)</f>
        <v>0</v>
      </c>
      <c r="E19" s="73"/>
      <c r="F19" s="73"/>
      <c r="G19" s="73"/>
      <c r="H19" s="73"/>
      <c r="I19" s="73" t="e">
        <f t="shared" si="4"/>
        <v>#REF!</v>
      </c>
      <c r="J19" s="73">
        <f>SUMIFS('Ventas '!L:L,'Ventas '!C:C,A19,'Ventas '!A:A,"&gt;="&amp;$J$3,'Ventas '!A:A,"&lt;="&amp;$J$4)</f>
        <v>0</v>
      </c>
      <c r="K19" s="73">
        <f>SUMIFS(Tabla110[[#Headers],[#Data],[Venta Total]],Tabla110[[#Headers],[#Data],[Asesor]],Caratula!A19,Tabla110[[#Headers],[#Data],[Fecha Cobranza]],"&lt;"&amp;$X$2,Tabla110[[#Headers],[#Data],[Fecha Cobranza]],"&gt;="&amp;$W$2)</f>
        <v>0</v>
      </c>
      <c r="L19" s="73">
        <f>SUMIFS(Tabla110[[#Headers],[#Data],[Utilidad Neta Total]],Tabla110[[#Headers],[#Data],[Asesor]],Caratula!A19,Tabla110[[#Headers],[#Data],[Fecha Cobranza]],"&lt;"&amp;$X$2,Tabla110[[#Headers],[#Data],[Fecha Cobranza]],"&gt;="&amp;$W$2)</f>
        <v>0</v>
      </c>
      <c r="M19" s="73">
        <f>IF(N19&gt;0,SUMIFS('Ventas '!#REF!,'Ventas '!C:C,Caratula!A19,'Ventas '!A:A,"&gt;="&amp;Caratula!$W$2,'Ventas '!A:A,"&lt;="&amp;Caratula!$X$2)-VLOOKUP(A19,'Caratula (2)'!A:B,2,0),0)</f>
        <v>0</v>
      </c>
      <c r="N19" s="215">
        <f t="shared" si="1"/>
        <v>0</v>
      </c>
      <c r="O19" s="150" t="e">
        <f t="shared" si="2"/>
        <v>#REF!</v>
      </c>
      <c r="P19" s="151"/>
      <c r="Q19" s="151"/>
      <c r="R19" s="173" t="e">
        <f t="shared" si="3"/>
        <v>#REF!</v>
      </c>
      <c r="S19" s="170" t="e">
        <f t="shared" si="5"/>
        <v>#REF!</v>
      </c>
      <c r="T19" s="154"/>
      <c r="V19" s="84"/>
      <c r="X19" s="81"/>
      <c r="Z19" s="82"/>
      <c r="AA19" s="83"/>
      <c r="AB19" s="83"/>
      <c r="AC19" s="84"/>
      <c r="AD19" s="149"/>
      <c r="AE19" s="101"/>
      <c r="AF19" s="193"/>
      <c r="AG19" s="103"/>
    </row>
    <row r="20" spans="1:33" ht="17.25" x14ac:dyDescent="0.3">
      <c r="A20" s="187" t="s">
        <v>418</v>
      </c>
      <c r="B20" s="166" t="e">
        <f>SUMIFS(#REF!,Tabla110[[#All],[Asesor]],Caratula!A20,Tabla110[[#All],[Fecha Cobranza]],"&lt;"&amp;$X$3,Tabla110[[#All],[Fecha Cobranza]],"&gt;="&amp;$W$3)</f>
        <v>#REF!</v>
      </c>
      <c r="C20" s="73">
        <f>SUMIFS(Tabla110[[#Headers],[#Data],[Utilidad Neta Total]],Tabla110[[#Headers],[#Data],[Asesor]],Caratula!A20,Tabla110[[#Headers],[#Data],[Fecha Cobranza]],"&lt;"&amp;$X$3,Tabla110[[#Headers],[#Data],[Fecha Cobranza]],"&gt;="&amp;$W$3)</f>
        <v>0</v>
      </c>
      <c r="D20" s="73">
        <f>SUMIFS('Ventas '!T:T,'Ventas '!C:C,Caratula!A20,'Ventas '!A:A,"&gt;="&amp;$W$3,'Ventas '!A:A,"&lt;="&amp;Caratula!$X$3)</f>
        <v>0</v>
      </c>
      <c r="E20" s="73"/>
      <c r="F20" s="73"/>
      <c r="G20" s="73"/>
      <c r="H20" s="73"/>
      <c r="I20" s="73" t="e">
        <f t="shared" si="4"/>
        <v>#REF!</v>
      </c>
      <c r="J20" s="73">
        <f>SUMIFS('Ventas '!L:L,'Ventas '!C:C,A20,'Ventas '!A:A,"&gt;="&amp;$J$3,'Ventas '!A:A,"&lt;="&amp;$J$4)</f>
        <v>0</v>
      </c>
      <c r="K20" s="73">
        <f>SUMIFS(Tabla110[[#Headers],[#Data],[Venta Total]],Tabla110[[#Headers],[#Data],[Asesor]],Caratula!A20,Tabla110[[#Headers],[#Data],[Fecha Cobranza]],"&lt;"&amp;$X$2,Tabla110[[#Headers],[#Data],[Fecha Cobranza]],"&gt;="&amp;$W$2)</f>
        <v>0</v>
      </c>
      <c r="L20" s="73">
        <f>SUMIFS(Tabla110[[#Headers],[#Data],[Utilidad Neta Total]],Tabla110[[#Headers],[#Data],[Asesor]],Caratula!A20,Tabla110[[#Headers],[#Data],[Fecha Cobranza]],"&lt;"&amp;$X$2,Tabla110[[#Headers],[#Data],[Fecha Cobranza]],"&gt;="&amp;$W$2)</f>
        <v>0</v>
      </c>
      <c r="M20" s="73">
        <f>IF(N20&gt;0,SUMIFS('Ventas '!#REF!,'Ventas '!C:C,Caratula!A20,'Ventas '!A:A,"&gt;="&amp;Caratula!$W$2,'Ventas '!A:A,"&lt;="&amp;Caratula!$X$2)-VLOOKUP(A20,'Caratula (2)'!A:B,2,0),0)</f>
        <v>0</v>
      </c>
      <c r="N20" s="215">
        <f t="shared" si="1"/>
        <v>0</v>
      </c>
      <c r="O20" s="150" t="e">
        <f t="shared" si="2"/>
        <v>#REF!</v>
      </c>
      <c r="P20" s="151"/>
      <c r="Q20" s="151"/>
      <c r="R20" s="173" t="e">
        <f t="shared" si="3"/>
        <v>#REF!</v>
      </c>
      <c r="S20" s="170" t="e">
        <f t="shared" si="5"/>
        <v>#REF!</v>
      </c>
      <c r="T20" s="154"/>
      <c r="V20" s="84"/>
      <c r="X20" s="81"/>
      <c r="Z20" s="82"/>
      <c r="AA20" s="83"/>
      <c r="AB20" s="83"/>
      <c r="AC20" s="84"/>
      <c r="AE20" s="101"/>
      <c r="AF20" s="52"/>
      <c r="AG20" s="103"/>
    </row>
    <row r="21" spans="1:33" ht="17.25" x14ac:dyDescent="0.3">
      <c r="A21" s="187" t="s">
        <v>275</v>
      </c>
      <c r="B21" s="166" t="e">
        <f>SUMIFS(#REF!,Tabla110[[#All],[Asesor]],Caratula!A21,Tabla110[[#All],[Fecha Cobranza]],"&lt;"&amp;$X$3,Tabla110[[#All],[Fecha Cobranza]],"&gt;="&amp;$W$3)</f>
        <v>#REF!</v>
      </c>
      <c r="C21" s="73">
        <f>SUMIFS(Tabla110[[#Headers],[#Data],[Utilidad Neta Total]],Tabla110[[#Headers],[#Data],[Asesor]],Caratula!A21,Tabla110[[#Headers],[#Data],[Fecha Cobranza]],"&lt;"&amp;$X$3,Tabla110[[#Headers],[#Data],[Fecha Cobranza]],"&gt;="&amp;$W$3)</f>
        <v>0</v>
      </c>
      <c r="D21" s="73">
        <f>SUMIFS('Ventas '!T:T,'Ventas '!C:C,Caratula!A21,'Ventas '!A:A,"&gt;="&amp;$W$3,'Ventas '!A:A,"&lt;="&amp;Caratula!$X$3)</f>
        <v>0</v>
      </c>
      <c r="E21" s="73"/>
      <c r="F21" s="73"/>
      <c r="G21" s="73"/>
      <c r="H21" s="73"/>
      <c r="I21" s="73" t="e">
        <f t="shared" si="4"/>
        <v>#REF!</v>
      </c>
      <c r="J21" s="73">
        <f>SUMIFS('Ventas '!L:L,'Ventas '!C:C,A21,'Ventas '!A:A,"&gt;="&amp;$J$3,'Ventas '!A:A,"&lt;="&amp;$J$4)</f>
        <v>0</v>
      </c>
      <c r="K21" s="73">
        <f>SUMIFS(Tabla110[[#Headers],[#Data],[Venta Total]],Tabla110[[#Headers],[#Data],[Asesor]],Caratula!A21,Tabla110[[#Headers],[#Data],[Fecha Cobranza]],"&lt;"&amp;$X$2,Tabla110[[#Headers],[#Data],[Fecha Cobranza]],"&gt;="&amp;$W$2)</f>
        <v>0</v>
      </c>
      <c r="L21" s="73">
        <f>SUMIFS(Tabla110[[#Headers],[#Data],[Utilidad Neta Total]],Tabla110[[#Headers],[#Data],[Asesor]],Caratula!A21,Tabla110[[#Headers],[#Data],[Fecha Cobranza]],"&lt;"&amp;$X$2,Tabla110[[#Headers],[#Data],[Fecha Cobranza]],"&gt;="&amp;$W$2)</f>
        <v>0</v>
      </c>
      <c r="M21" s="73">
        <f>IF(N21&gt;0,SUMIFS('Ventas '!#REF!,'Ventas '!C:C,Caratula!A21,'Ventas '!A:A,"&gt;="&amp;Caratula!$W$2,'Ventas '!A:A,"&lt;="&amp;Caratula!$X$2)-VLOOKUP(A21,'Caratula (2)'!A:B,2,0),0)</f>
        <v>0</v>
      </c>
      <c r="N21" s="215">
        <f t="shared" si="1"/>
        <v>0</v>
      </c>
      <c r="O21" s="150" t="e">
        <f t="shared" si="2"/>
        <v>#REF!</v>
      </c>
      <c r="P21" s="221" t="e">
        <f>+O21</f>
        <v>#REF!</v>
      </c>
      <c r="Q21" s="151"/>
      <c r="R21" s="173" t="e">
        <f t="shared" si="3"/>
        <v>#REF!</v>
      </c>
      <c r="S21" s="170" t="e">
        <f t="shared" si="5"/>
        <v>#REF!</v>
      </c>
      <c r="T21" s="154"/>
      <c r="V21" s="84"/>
      <c r="X21" s="81"/>
      <c r="Z21" s="82"/>
      <c r="AA21" s="83"/>
      <c r="AB21" s="83"/>
      <c r="AC21" s="84"/>
      <c r="AE21" s="101"/>
      <c r="AF21" s="52"/>
      <c r="AG21" s="103"/>
    </row>
    <row r="22" spans="1:33" ht="17.25" x14ac:dyDescent="0.3">
      <c r="A22" s="187" t="s">
        <v>270</v>
      </c>
      <c r="B22" s="73" t="e">
        <f>SUMIFS(#REF!,Tabla110[[#All],[Asesor]],Caratula!A22,Tabla110[[#All],[Fecha Cobranza]],"&lt;"&amp;$X$3,Tabla110[[#All],[Fecha Cobranza]],"&gt;="&amp;$W$3)</f>
        <v>#REF!</v>
      </c>
      <c r="C22" s="73">
        <f>SUMIFS(Tabla110[[#Headers],[#Data],[Utilidad Neta Total]],Tabla110[[#Headers],[#Data],[Asesor]],Caratula!A22,Tabla110[[#Headers],[#Data],[Fecha Cobranza]],"&lt;"&amp;$X$3,Tabla110[[#Headers],[#Data],[Fecha Cobranza]],"&gt;="&amp;$W$3)</f>
        <v>0</v>
      </c>
      <c r="D22" s="73">
        <f>SUMIFS('Ventas '!T:T,'Ventas '!C:C,Caratula!A22,'Ventas '!A:A,"&gt;="&amp;$W$3,'Ventas '!A:A,"&lt;="&amp;Caratula!$X$3)</f>
        <v>0</v>
      </c>
      <c r="E22" s="73"/>
      <c r="F22" s="73"/>
      <c r="G22" s="73"/>
      <c r="H22" s="73"/>
      <c r="I22" s="73" t="e">
        <f t="shared" si="4"/>
        <v>#REF!</v>
      </c>
      <c r="J22" s="73">
        <f>SUMIFS('Ventas '!L:L,'Ventas '!C:C,A22,'Ventas '!A:A,"&gt;="&amp;$J$3,'Ventas '!A:A,"&lt;="&amp;$J$4)</f>
        <v>0</v>
      </c>
      <c r="K22" s="73">
        <f>SUMIFS(Tabla110[[#Headers],[#Data],[Venta Total]],Tabla110[[#Headers],[#Data],[Asesor]],Caratula!A22,Tabla110[[#Headers],[#Data],[Fecha Cobranza]],"&lt;"&amp;$X$2,Tabla110[[#Headers],[#Data],[Fecha Cobranza]],"&gt;="&amp;$W$2)</f>
        <v>0</v>
      </c>
      <c r="L22" s="73">
        <f>SUMIFS(Tabla110[[#Headers],[#Data],[Utilidad Neta Total]],Tabla110[[#Headers],[#Data],[Asesor]],Caratula!A22,Tabla110[[#Headers],[#Data],[Fecha Cobranza]],"&lt;"&amp;$X$2,Tabla110[[#Headers],[#Data],[Fecha Cobranza]],"&gt;="&amp;$W$2)</f>
        <v>0</v>
      </c>
      <c r="M22" s="73">
        <f>IF(N22&gt;0,SUMIFS('Ventas '!#REF!,'Ventas '!C:C,Caratula!A22,'Ventas '!A:A,"&gt;="&amp;Caratula!$W$2,'Ventas '!A:A,"&lt;="&amp;Caratula!$X$2)-VLOOKUP(A22,'Caratula (2)'!A:B,2,0),0)</f>
        <v>0</v>
      </c>
      <c r="N22" s="215">
        <f t="shared" si="1"/>
        <v>0</v>
      </c>
      <c r="O22" s="150" t="e">
        <f t="shared" si="2"/>
        <v>#REF!</v>
      </c>
      <c r="P22" s="151"/>
      <c r="Q22" s="151"/>
      <c r="R22" s="173" t="e">
        <f t="shared" si="3"/>
        <v>#REF!</v>
      </c>
      <c r="S22" s="170" t="e">
        <f t="shared" si="5"/>
        <v>#REF!</v>
      </c>
      <c r="T22" s="154"/>
      <c r="V22" s="84"/>
      <c r="X22" s="81"/>
      <c r="Z22" s="82"/>
      <c r="AA22" s="83"/>
      <c r="AB22" s="83"/>
      <c r="AC22" s="84"/>
      <c r="AE22" s="101"/>
      <c r="AF22" s="52"/>
      <c r="AG22" s="103"/>
    </row>
    <row r="23" spans="1:33" ht="17.25" x14ac:dyDescent="0.3">
      <c r="A23" s="190" t="s">
        <v>289</v>
      </c>
      <c r="B23" s="73" t="e">
        <f>SUMIFS(#REF!,Tabla110[[#All],[Asesor]],Caratula!A23,Tabla110[[#All],[Fecha Cobranza]],"&lt;"&amp;$X$3,Tabla110[[#All],[Fecha Cobranza]],"&gt;="&amp;$W$3)</f>
        <v>#REF!</v>
      </c>
      <c r="C23" s="73">
        <f>SUMIFS(Tabla110[[#Headers],[#Data],[Utilidad Neta Total]],Tabla110[[#Headers],[#Data],[Asesor]],Caratula!A23,Tabla110[[#Headers],[#Data],[Fecha Cobranza]],"&lt;"&amp;$X$3,Tabla110[[#Headers],[#Data],[Fecha Cobranza]],"&gt;="&amp;$W$3)</f>
        <v>0</v>
      </c>
      <c r="D23" s="191">
        <f>SUMIFS('Ventas '!T:T,'Ventas '!C:C,Caratula!A23,'Ventas '!A:A,"&gt;="&amp;$W$3,'Ventas '!A:A,"&lt;="&amp;Caratula!$X$3)</f>
        <v>0</v>
      </c>
      <c r="E23" s="191"/>
      <c r="F23" s="191"/>
      <c r="G23" s="191"/>
      <c r="H23" s="191"/>
      <c r="I23" s="73" t="e">
        <f t="shared" si="4"/>
        <v>#REF!</v>
      </c>
      <c r="J23" s="73">
        <f>SUMIFS('Ventas '!L:L,'Ventas '!C:C,A23,'Ventas '!A:A,"&gt;="&amp;$J$3,'Ventas '!A:A,"&lt;="&amp;$J$4)</f>
        <v>0</v>
      </c>
      <c r="K23" s="73">
        <f>SUMIFS(Tabla110[[#Headers],[#Data],[Venta Total]],Tabla110[[#Headers],[#Data],[Asesor]],Caratula!A23,Tabla110[[#Headers],[#Data],[Fecha Cobranza]],"&lt;"&amp;$X$2,Tabla110[[#Headers],[#Data],[Fecha Cobranza]],"&gt;="&amp;$W$2)</f>
        <v>0</v>
      </c>
      <c r="L23" s="73">
        <f>SUMIFS(Tabla110[[#Headers],[#Data],[Utilidad Neta Total]],Tabla110[[#Headers],[#Data],[Asesor]],Caratula!A23,Tabla110[[#Headers],[#Data],[Fecha Cobranza]],"&lt;"&amp;$X$2,Tabla110[[#Headers],[#Data],[Fecha Cobranza]],"&gt;="&amp;$W$2)</f>
        <v>0</v>
      </c>
      <c r="M23" s="73">
        <f>IF(N23&gt;0,SUMIFS('Ventas '!#REF!,'Ventas '!C:C,Caratula!A23,'Ventas '!A:A,"&gt;="&amp;Caratula!$W$2,'Ventas '!A:A,"&lt;="&amp;Caratula!$X$2)-VLOOKUP(A23,'Caratula (2)'!A:B,2,0),0)</f>
        <v>0</v>
      </c>
      <c r="N23" s="215">
        <f t="shared" si="1"/>
        <v>0</v>
      </c>
      <c r="O23" s="150" t="e">
        <f t="shared" si="2"/>
        <v>#REF!</v>
      </c>
      <c r="P23" s="151"/>
      <c r="Q23" s="151"/>
      <c r="R23" s="173" t="e">
        <f>+O23-P23-Q23</f>
        <v>#REF!</v>
      </c>
      <c r="S23" s="170" t="e">
        <f t="shared" si="5"/>
        <v>#REF!</v>
      </c>
      <c r="T23" s="154"/>
      <c r="V23" s="84"/>
      <c r="X23" s="81"/>
      <c r="Z23" s="82"/>
      <c r="AA23" s="83"/>
      <c r="AB23" s="83"/>
      <c r="AC23" s="84"/>
      <c r="AE23" s="101"/>
      <c r="AF23" s="52"/>
      <c r="AG23" s="103"/>
    </row>
    <row r="24" spans="1:33" ht="18" thickBot="1" x14ac:dyDescent="0.35">
      <c r="A24" s="188" t="s">
        <v>271</v>
      </c>
      <c r="B24" s="74" t="e">
        <f>SUMIFS(#REF!,Tabla110[[#All],[Asesor]],Caratula!A24,Tabla110[[#All],[Fecha Cobranza]],"&lt;"&amp;$X$3,Tabla110[[#All],[Fecha Cobranza]],"&gt;="&amp;$W$3)</f>
        <v>#REF!</v>
      </c>
      <c r="C24" s="73">
        <f>SUMIFS(Tabla110[[#Headers],[#Data],[Utilidad Neta Total]],Tabla110[[#Headers],[#Data],[Asesor]],Caratula!A24,Tabla110[[#Headers],[#Data],[Fecha Cobranza]],"&lt;"&amp;$X$3,Tabla110[[#Headers],[#Data],[Fecha Cobranza]],"&gt;="&amp;$W$3)</f>
        <v>0</v>
      </c>
      <c r="D24" s="191">
        <f>SUMIFS('Ventas '!T:T,'Ventas '!C:C,Caratula!A24,'Ventas '!A:A,"&gt;="&amp;$W$3,'Ventas '!A:A,"&lt;="&amp;Caratula!$X$3)</f>
        <v>0</v>
      </c>
      <c r="E24" s="74"/>
      <c r="F24" s="74"/>
      <c r="G24" s="74"/>
      <c r="H24" s="74"/>
      <c r="I24" s="74" t="e">
        <f t="shared" si="4"/>
        <v>#REF!</v>
      </c>
      <c r="J24" s="74">
        <f>SUMIFS('Ventas '!L:L,'Ventas '!C:C,A24,'Ventas '!A:A,"&gt;="&amp;$J$3,'Ventas '!A:A,"&lt;="&amp;$J$4)</f>
        <v>0</v>
      </c>
      <c r="K24" s="74">
        <f>SUMIFS(Tabla110[[#Headers],[#Data],[Venta Total]],Tabla110[[#Headers],[#Data],[Asesor]],Caratula!A24,Tabla110[[#Headers],[#Data],[Fecha Cobranza]],"&lt;"&amp;$X$2,Tabla110[[#Headers],[#Data],[Fecha Cobranza]],"&gt;="&amp;$W$2)</f>
        <v>0</v>
      </c>
      <c r="L24" s="74">
        <f>SUMIFS(Tabla110[[#Headers],[#Data],[Utilidad Neta Total]],Tabla110[[#Headers],[#Data],[Asesor]],Caratula!A24,Tabla110[[#Headers],[#Data],[Fecha Cobranza]],"&lt;"&amp;$X$2,Tabla110[[#Headers],[#Data],[Fecha Cobranza]],"&gt;="&amp;$W$2)</f>
        <v>0</v>
      </c>
      <c r="M24" s="73">
        <f>IF(N24&gt;0,SUMIFS('Ventas '!#REF!,'Ventas '!C:C,Caratula!A24,'Ventas '!A:A,"&gt;="&amp;Caratula!$W$2,'Ventas '!A:A,"&lt;="&amp;Caratula!$X$2)-VLOOKUP(A24,'Caratula (2)'!A:B,2,0),0)</f>
        <v>0</v>
      </c>
      <c r="N24" s="216">
        <f t="shared" si="1"/>
        <v>0</v>
      </c>
      <c r="O24" s="155" t="e">
        <f t="shared" si="2"/>
        <v>#REF!</v>
      </c>
      <c r="P24" s="156"/>
      <c r="Q24" s="156"/>
      <c r="R24" s="174" t="e">
        <f t="shared" si="3"/>
        <v>#REF!</v>
      </c>
      <c r="S24" s="170" t="e">
        <f t="shared" si="5"/>
        <v>#REF!</v>
      </c>
      <c r="T24" s="123"/>
      <c r="V24" s="84"/>
      <c r="X24" s="81"/>
      <c r="Z24" s="82"/>
      <c r="AA24" s="83"/>
      <c r="AB24" s="83"/>
      <c r="AC24" s="84"/>
      <c r="AE24" s="101"/>
      <c r="AF24" s="52"/>
      <c r="AG24" s="103"/>
    </row>
    <row r="25" spans="1:33" ht="17.25" x14ac:dyDescent="0.3">
      <c r="A25" s="186" t="s">
        <v>277</v>
      </c>
      <c r="B25" s="72" t="e">
        <f>SUMIFS(#REF!,Tabla110[[#All],[Asesor]],Caratula!A25,Tabla110[[#All],[Fecha Cobranza]],"&lt;"&amp;$X$3,Tabla110[[#All],[Fecha Cobranza]],"&gt;="&amp;$W$3)</f>
        <v>#REF!</v>
      </c>
      <c r="C25" s="72">
        <f>SUMIFS(Tabla110[[#Headers],[#Data],[Utilidad Neta Total]],Tabla110[[#Headers],[#Data],[Asesor]],Caratula!A25,Tabla110[[#Headers],[#Data],[Fecha Cobranza]],"&lt;"&amp;$X$3,Tabla110[[#Headers],[#Data],[Fecha Cobranza]],"&gt;="&amp;$W$3)</f>
        <v>0</v>
      </c>
      <c r="D25" s="72">
        <f>SUMIFS('Ventas '!T:T,'Ventas '!C:C,Caratula!A25,'Ventas '!A:A,"&gt;="&amp;$W$3,'Ventas '!A:A,"&lt;="&amp;Caratula!$X$3)</f>
        <v>0</v>
      </c>
      <c r="E25" s="72"/>
      <c r="F25" s="225" t="e">
        <f>SUM(B26:B30)*F4</f>
        <v>#REF!</v>
      </c>
      <c r="G25" s="72"/>
      <c r="H25" s="72"/>
      <c r="I25" s="72" t="e">
        <f>++B25+E25+F25+G25+H25</f>
        <v>#REF!</v>
      </c>
      <c r="J25" s="72">
        <f>SUMIFS('Ventas '!L:L,'Ventas '!C:C,A25,'Ventas '!A:A,"&gt;="&amp;$J$3,'Ventas '!A:A,"&lt;="&amp;$J$4)</f>
        <v>0</v>
      </c>
      <c r="K25" s="72">
        <f>SUMIFS(Tabla110[[#Headers],[#Data],[Venta Total]],Tabla110[[#Headers],[#Data],[Asesor]],Caratula!A25,Tabla110[[#Headers],[#Data],[Fecha Cobranza]],"&lt;"&amp;$X$2,Tabla110[[#Headers],[#Data],[Fecha Cobranza]],"&gt;="&amp;$W$2)</f>
        <v>0</v>
      </c>
      <c r="L25" s="72">
        <f>SUMIFS(Tabla110[[#Headers],[#Data],[Utilidad Neta Total]],Tabla110[[#Headers],[#Data],[Asesor]],Caratula!A25,Tabla110[[#Headers],[#Data],[Fecha Cobranza]],"&lt;"&amp;$X$2,Tabla110[[#Headers],[#Data],[Fecha Cobranza]],"&gt;="&amp;$W$2)</f>
        <v>0</v>
      </c>
      <c r="M25" s="72">
        <f>IF(N25&gt;0,SUMIFS('Ventas '!#REF!,'Ventas '!C:C,Caratula!A25,'Ventas '!A:A,"&gt;="&amp;Caratula!$W$2,'Ventas '!A:A,"&lt;="&amp;Caratula!$X$2)-VLOOKUP(A25,'Caratula (2)'!A:B,2,0),0)</f>
        <v>0</v>
      </c>
      <c r="N25" s="213">
        <f t="shared" si="1"/>
        <v>0</v>
      </c>
      <c r="O25" s="224" t="e">
        <f>IF(N25=0,I25,M25)+F25</f>
        <v>#REF!</v>
      </c>
      <c r="P25" s="151"/>
      <c r="Q25" s="153"/>
      <c r="R25" s="172" t="e">
        <f t="shared" si="3"/>
        <v>#REF!</v>
      </c>
      <c r="S25" s="168"/>
      <c r="T25" s="160" t="e">
        <f>((((((SUMIF($A:$A,A25,$R:$R))*1.08))))-((((((SUMIF($A:$A,A25,$R:$R))*1.08)/1.16)*0.16)*2/3))-((((((SUMIF($A:$A,A25,$R:$R))*1.08)/1.16)*1.25%))))</f>
        <v>#REF!</v>
      </c>
      <c r="X25" s="81"/>
      <c r="Z25" s="82"/>
      <c r="AA25" s="83"/>
      <c r="AB25" s="83"/>
      <c r="AC25" s="84"/>
      <c r="AE25" s="101"/>
      <c r="AF25" s="52"/>
      <c r="AG25" s="103"/>
    </row>
    <row r="26" spans="1:33" ht="18" thickBot="1" x14ac:dyDescent="0.35">
      <c r="A26" s="187" t="s">
        <v>286</v>
      </c>
      <c r="B26" s="73" t="e">
        <f>SUMIFS(#REF!,Tabla110[[#All],[Asesor]],Caratula!A26,Tabla110[[#All],[Fecha Cobranza]],"&lt;"&amp;$X$3,Tabla110[[#All],[Fecha Cobranza]],"&gt;="&amp;$W$3)</f>
        <v>#REF!</v>
      </c>
      <c r="C26" s="73">
        <f>SUMIFS(Tabla110[[#Headers],[#Data],[Utilidad Neta Total]],Tabla110[[#Headers],[#Data],[Asesor]],Caratula!A26,Tabla110[[#Headers],[#Data],[Fecha Cobranza]],"&lt;"&amp;$X$3,Tabla110[[#Headers],[#Data],[Fecha Cobranza]],"&gt;="&amp;$W$3)</f>
        <v>0</v>
      </c>
      <c r="D26" s="73">
        <f>SUMIFS('Ventas '!T:T,'Ventas '!C:C,Caratula!A26,'Ventas '!A:A,"&gt;="&amp;$W$3,'Ventas '!A:A,"&lt;="&amp;Caratula!$X$3)</f>
        <v>0</v>
      </c>
      <c r="E26" s="73"/>
      <c r="F26" s="73"/>
      <c r="G26" s="73"/>
      <c r="H26" s="73"/>
      <c r="I26" s="73" t="e">
        <f t="shared" si="4"/>
        <v>#REF!</v>
      </c>
      <c r="J26" s="73">
        <f>SUMIFS('Ventas '!L:L,'Ventas '!C:C,A26,'Ventas '!A:A,"&gt;="&amp;$J$3,'Ventas '!A:A,"&lt;="&amp;$J$4)</f>
        <v>0</v>
      </c>
      <c r="K26" s="73">
        <f>SUMIFS(Tabla110[[#Headers],[#Data],[Venta Total]],Tabla110[[#Headers],[#Data],[Asesor]],Caratula!A26,Tabla110[[#Headers],[#Data],[Fecha Cobranza]],"&lt;"&amp;$X$2,Tabla110[[#Headers],[#Data],[Fecha Cobranza]],"&gt;="&amp;$W$2)</f>
        <v>0</v>
      </c>
      <c r="L26" s="73">
        <f>SUMIFS(Tabla110[[#Headers],[#Data],[Utilidad Neta Total]],Tabla110[[#Headers],[#Data],[Asesor]],Caratula!A26,Tabla110[[#Headers],[#Data],[Fecha Cobranza]],"&lt;"&amp;$X$2,Tabla110[[#Headers],[#Data],[Fecha Cobranza]],"&gt;="&amp;$W$2)</f>
        <v>0</v>
      </c>
      <c r="M26" s="73">
        <f>IF(N26&gt;0,SUMIFS('Ventas '!#REF!,'Ventas '!C:C,Caratula!A26,'Ventas '!A:A,"&gt;="&amp;Caratula!$W$2,'Ventas '!A:A,"&lt;="&amp;Caratula!$X$2)-VLOOKUP(A26,'Caratula (2)'!A:B,2,0),0)</f>
        <v>0</v>
      </c>
      <c r="N26" s="215">
        <f t="shared" si="1"/>
        <v>0</v>
      </c>
      <c r="O26" s="150" t="e">
        <f t="shared" si="2"/>
        <v>#REF!</v>
      </c>
      <c r="P26" s="221"/>
      <c r="Q26" s="151"/>
      <c r="R26" s="173" t="e">
        <f t="shared" si="3"/>
        <v>#REF!</v>
      </c>
      <c r="S26" s="170" t="e">
        <f>SUMIF($A:$A,A26,$R:$R)</f>
        <v>#REF!</v>
      </c>
      <c r="T26" s="154"/>
      <c r="X26" s="81"/>
      <c r="Z26" s="82"/>
      <c r="AA26" s="83"/>
      <c r="AB26" s="83"/>
    </row>
    <row r="27" spans="1:33" ht="17.25" x14ac:dyDescent="0.3">
      <c r="A27" s="187" t="s">
        <v>268</v>
      </c>
      <c r="B27" s="166" t="e">
        <f>SUMIFS(#REF!,Tabla110[[#All],[Asesor]],Caratula!A27,Tabla110[[#All],[Fecha Cobranza]],"&lt;"&amp;$X$3,Tabla110[[#All],[Fecha Cobranza]],"&gt;="&amp;$W$3)</f>
        <v>#REF!</v>
      </c>
      <c r="C27" s="73">
        <f>SUMIFS(Tabla110[[#Headers],[#Data],[Utilidad Neta Total]],Tabla110[[#Headers],[#Data],[Asesor]],Caratula!A27,Tabla110[[#Headers],[#Data],[Fecha Cobranza]],"&lt;"&amp;$X$3,Tabla110[[#Headers],[#Data],[Fecha Cobranza]],"&gt;="&amp;$W$3)</f>
        <v>0</v>
      </c>
      <c r="D27" s="73">
        <f>SUMIFS('Ventas '!T:T,'Ventas '!C:C,Caratula!A27,'Ventas '!A:A,"&gt;="&amp;$W$3,'Ventas '!A:A,"&lt;="&amp;Caratula!$X$3)</f>
        <v>0</v>
      </c>
      <c r="E27" s="73"/>
      <c r="F27" s="73"/>
      <c r="G27" s="73"/>
      <c r="H27" s="73"/>
      <c r="I27" s="73" t="e">
        <f t="shared" si="4"/>
        <v>#REF!</v>
      </c>
      <c r="J27" s="73">
        <f>SUMIFS('Ventas '!L:L,'Ventas '!C:C,A27,'Ventas '!A:A,"&gt;="&amp;$J$3,'Ventas '!A:A,"&lt;="&amp;$J$4)</f>
        <v>0</v>
      </c>
      <c r="K27" s="73">
        <f>SUMIFS(Tabla110[[#Headers],[#Data],[Venta Total]],Tabla110[[#Headers],[#Data],[Asesor]],Caratula!A27,Tabla110[[#Headers],[#Data],[Fecha Cobranza]],"&lt;"&amp;$X$2,Tabla110[[#Headers],[#Data],[Fecha Cobranza]],"&gt;="&amp;$W$2)</f>
        <v>0</v>
      </c>
      <c r="L27" s="73">
        <f>SUMIFS(Tabla110[[#Headers],[#Data],[Utilidad Neta Total]],Tabla110[[#Headers],[#Data],[Asesor]],Caratula!A27,Tabla110[[#Headers],[#Data],[Fecha Cobranza]],"&lt;"&amp;$X$2,Tabla110[[#Headers],[#Data],[Fecha Cobranza]],"&gt;="&amp;$W$2)</f>
        <v>0</v>
      </c>
      <c r="M27" s="73">
        <f>IF(N27&gt;0,SUMIFS('Ventas '!#REF!,'Ventas '!C:C,Caratula!A27,'Ventas '!A:A,"&gt;="&amp;Caratula!$W$2,'Ventas '!A:A,"&lt;="&amp;Caratula!$X$2)-VLOOKUP(A27,'Caratula (2)'!A:B,2,0),0)</f>
        <v>0</v>
      </c>
      <c r="N27" s="215">
        <f t="shared" si="1"/>
        <v>0</v>
      </c>
      <c r="O27" s="150" t="e">
        <f t="shared" si="2"/>
        <v>#REF!</v>
      </c>
      <c r="P27" s="221" t="e">
        <f>+O27/2</f>
        <v>#REF!</v>
      </c>
      <c r="Q27" s="151"/>
      <c r="R27" s="173" t="e">
        <f t="shared" si="3"/>
        <v>#REF!</v>
      </c>
      <c r="S27" s="169"/>
      <c r="T27" s="160" t="e">
        <f>+R27</f>
        <v>#REF!</v>
      </c>
      <c r="X27" s="81"/>
      <c r="Z27" s="82"/>
      <c r="AA27" s="83"/>
      <c r="AB27" s="83"/>
    </row>
    <row r="28" spans="1:33" ht="17.25" x14ac:dyDescent="0.3">
      <c r="A28" s="187" t="s">
        <v>392</v>
      </c>
      <c r="B28" s="73" t="e">
        <f>SUMIFS(#REF!,Tabla110[[#All],[Asesor]],Caratula!A28,Tabla110[[#All],[Fecha Cobranza]],"&lt;"&amp;$X$3,Tabla110[[#All],[Fecha Cobranza]],"&gt;="&amp;$W$3)</f>
        <v>#REF!</v>
      </c>
      <c r="C28" s="73">
        <f>SUMIFS(Tabla110[[#Headers],[#Data],[Utilidad Neta Total]],Tabla110[[#Headers],[#Data],[Asesor]],Caratula!A28,Tabla110[[#Headers],[#Data],[Fecha Cobranza]],"&lt;"&amp;$X$3,Tabla110[[#Headers],[#Data],[Fecha Cobranza]],"&gt;="&amp;$W$3)</f>
        <v>0</v>
      </c>
      <c r="D28" s="73">
        <f>SUMIFS('Ventas '!T:T,'Ventas '!C:C,Caratula!A28,'Ventas '!A:A,"&gt;="&amp;$W$3,'Ventas '!A:A,"&lt;="&amp;Caratula!$X$3)</f>
        <v>0</v>
      </c>
      <c r="E28" s="73"/>
      <c r="F28" s="73"/>
      <c r="G28" s="73"/>
      <c r="H28" s="73"/>
      <c r="I28" s="73" t="e">
        <f t="shared" si="4"/>
        <v>#REF!</v>
      </c>
      <c r="J28" s="73">
        <f>SUMIFS('Ventas '!L:L,'Ventas '!C:C,A28,'Ventas '!A:A,"&gt;="&amp;$J$3,'Ventas '!A:A,"&lt;="&amp;$J$4)</f>
        <v>0</v>
      </c>
      <c r="K28" s="73">
        <f>SUMIFS(Tabla110[[#Headers],[#Data],[Venta Total]],Tabla110[[#Headers],[#Data],[Asesor]],Caratula!A28,Tabla110[[#Headers],[#Data],[Fecha Cobranza]],"&lt;"&amp;$X$2,Tabla110[[#Headers],[#Data],[Fecha Cobranza]],"&gt;="&amp;$W$2)</f>
        <v>0</v>
      </c>
      <c r="L28" s="73">
        <f>SUMIFS(Tabla110[[#Headers],[#Data],[Utilidad Neta Total]],Tabla110[[#Headers],[#Data],[Asesor]],Caratula!A28,Tabla110[[#Headers],[#Data],[Fecha Cobranza]],"&lt;"&amp;$X$2,Tabla110[[#Headers],[#Data],[Fecha Cobranza]],"&gt;="&amp;$W$2)</f>
        <v>0</v>
      </c>
      <c r="M28" s="73">
        <f>IF(N28&gt;0,SUMIFS('Ventas '!#REF!,'Ventas '!C:C,Caratula!A28,'Ventas '!A:A,"&gt;="&amp;Caratula!$W$2,'Ventas '!A:A,"&lt;="&amp;Caratula!$X$2)-VLOOKUP(A28,'Caratula (2)'!A:B,2,0),0)</f>
        <v>0</v>
      </c>
      <c r="N28" s="215">
        <f t="shared" si="1"/>
        <v>0</v>
      </c>
      <c r="O28" s="150" t="e">
        <f t="shared" si="2"/>
        <v>#REF!</v>
      </c>
      <c r="P28" s="151"/>
      <c r="Q28" s="151"/>
      <c r="R28" s="173" t="e">
        <f t="shared" si="3"/>
        <v>#REF!</v>
      </c>
      <c r="S28" s="170" t="e">
        <f>SUMIF($A:$A,A28,$R:$R)</f>
        <v>#REF!</v>
      </c>
      <c r="T28" s="154"/>
      <c r="X28" s="81"/>
      <c r="Z28" s="82"/>
      <c r="AA28" s="83"/>
      <c r="AB28" s="83"/>
    </row>
    <row r="29" spans="1:33" ht="17.25" x14ac:dyDescent="0.3">
      <c r="A29" s="187" t="s">
        <v>285</v>
      </c>
      <c r="B29" s="73" t="e">
        <f>SUMIFS(#REF!,Tabla110[[#All],[Asesor]],Caratula!A29,Tabla110[[#All],[Fecha Cobranza]],"&lt;"&amp;$X$3,Tabla110[[#All],[Fecha Cobranza]],"&gt;="&amp;$W$3)</f>
        <v>#REF!</v>
      </c>
      <c r="C29" s="73">
        <f>SUMIFS(Tabla110[[#Headers],[#Data],[Utilidad Neta Total]],Tabla110[[#Headers],[#Data],[Asesor]],Caratula!A29,Tabla110[[#Headers],[#Data],[Fecha Cobranza]],"&lt;"&amp;$X$3,Tabla110[[#Headers],[#Data],[Fecha Cobranza]],"&gt;="&amp;$W$3)</f>
        <v>0</v>
      </c>
      <c r="D29" s="73">
        <f>SUMIFS('Ventas '!T:T,'Ventas '!C:C,Caratula!A29,'Ventas '!A:A,"&gt;="&amp;$W$3,'Ventas '!A:A,"&lt;="&amp;Caratula!$X$3)</f>
        <v>0</v>
      </c>
      <c r="E29" s="73"/>
      <c r="F29" s="73"/>
      <c r="G29" s="73"/>
      <c r="H29" s="73"/>
      <c r="I29" s="73" t="e">
        <f t="shared" si="4"/>
        <v>#REF!</v>
      </c>
      <c r="J29" s="73">
        <f>SUMIFS('Ventas '!L:L,'Ventas '!C:C,A29,'Ventas '!A:A,"&gt;="&amp;$J$3,'Ventas '!A:A,"&lt;="&amp;$J$4)</f>
        <v>0</v>
      </c>
      <c r="K29" s="73">
        <f>SUMIFS(Tabla110[[#Headers],[#Data],[Venta Total]],Tabla110[[#Headers],[#Data],[Asesor]],Caratula!A29,Tabla110[[#Headers],[#Data],[Fecha Cobranza]],"&lt;"&amp;$X$2,Tabla110[[#Headers],[#Data],[Fecha Cobranza]],"&gt;="&amp;$W$2)</f>
        <v>0</v>
      </c>
      <c r="L29" s="73">
        <f>SUMIFS(Tabla110[[#Headers],[#Data],[Utilidad Neta Total]],Tabla110[[#Headers],[#Data],[Asesor]],Caratula!A29,Tabla110[[#Headers],[#Data],[Fecha Cobranza]],"&lt;"&amp;$X$2,Tabla110[[#Headers],[#Data],[Fecha Cobranza]],"&gt;="&amp;$W$2)</f>
        <v>0</v>
      </c>
      <c r="M29" s="73">
        <f>IF(N29&gt;0,SUMIFS('Ventas '!#REF!,'Ventas '!C:C,Caratula!A29,'Ventas '!A:A,"&gt;="&amp;Caratula!$W$2,'Ventas '!A:A,"&lt;="&amp;Caratula!$X$2)-VLOOKUP(A29,'Caratula (2)'!A:B,2,0),0)</f>
        <v>0</v>
      </c>
      <c r="N29" s="215">
        <f t="shared" si="1"/>
        <v>0</v>
      </c>
      <c r="O29" s="150" t="e">
        <f t="shared" si="2"/>
        <v>#REF!</v>
      </c>
      <c r="P29" s="151"/>
      <c r="Q29" s="151"/>
      <c r="R29" s="173" t="e">
        <f t="shared" si="3"/>
        <v>#REF!</v>
      </c>
      <c r="S29" s="170" t="e">
        <f>SUMIF($A:$A,A29,$R:$R)</f>
        <v>#REF!</v>
      </c>
      <c r="T29" s="154"/>
      <c r="X29" s="81"/>
      <c r="Z29" s="82"/>
      <c r="AA29" s="83"/>
      <c r="AB29" s="83"/>
    </row>
    <row r="30" spans="1:33" ht="18" thickBot="1" x14ac:dyDescent="0.35">
      <c r="A30" s="188" t="s">
        <v>386</v>
      </c>
      <c r="B30" s="74" t="e">
        <f>SUMIFS(#REF!,Tabla110[[#All],[Asesor]],Caratula!A30,Tabla110[[#All],[Fecha Cobranza]],"&lt;"&amp;$X$3,Tabla110[[#All],[Fecha Cobranza]],"&gt;="&amp;$W$3)</f>
        <v>#REF!</v>
      </c>
      <c r="C30" s="74">
        <f>SUMIFS(Tabla110[[#Headers],[#Data],[Utilidad Neta Total]],Tabla110[[#Headers],[#Data],[Asesor]],Caratula!A30,Tabla110[[#Headers],[#Data],[Fecha Cobranza]],"&lt;"&amp;$X$3,Tabla110[[#Headers],[#Data],[Fecha Cobranza]],"&gt;="&amp;$W$3)</f>
        <v>0</v>
      </c>
      <c r="D30" s="74">
        <f>SUMIFS('Ventas '!T:T,'Ventas '!C:C,Caratula!A30,'Ventas '!A:A,"&gt;="&amp;$W$3,'Ventas '!A:A,"&lt;="&amp;Caratula!$X$3)</f>
        <v>0</v>
      </c>
      <c r="E30" s="74"/>
      <c r="F30" s="74"/>
      <c r="G30" s="74"/>
      <c r="H30" s="74"/>
      <c r="I30" s="74" t="e">
        <f t="shared" si="4"/>
        <v>#REF!</v>
      </c>
      <c r="J30" s="74">
        <f>SUMIFS('Ventas '!L:L,'Ventas '!C:C,A30,'Ventas '!A:A,"&gt;="&amp;$J$3,'Ventas '!A:A,"&lt;="&amp;$J$4)</f>
        <v>0</v>
      </c>
      <c r="K30" s="74">
        <f>SUMIFS(Tabla110[[#Headers],[#Data],[Venta Total]],Tabla110[[#Headers],[#Data],[Asesor]],Caratula!A30,Tabla110[[#Headers],[#Data],[Fecha Cobranza]],"&lt;"&amp;$X$2,Tabla110[[#Headers],[#Data],[Fecha Cobranza]],"&gt;="&amp;$W$2)</f>
        <v>0</v>
      </c>
      <c r="L30" s="74">
        <f>SUMIFS(Tabla110[[#Headers],[#Data],[Utilidad Neta Total]],Tabla110[[#Headers],[#Data],[Asesor]],Caratula!A30,Tabla110[[#Headers],[#Data],[Fecha Cobranza]],"&lt;"&amp;$X$2,Tabla110[[#Headers],[#Data],[Fecha Cobranza]],"&gt;="&amp;$W$2)</f>
        <v>0</v>
      </c>
      <c r="M30" s="74">
        <f>IF(N30&gt;0,SUMIFS('Ventas '!#REF!,'Ventas '!C:C,Caratula!A30,'Ventas '!A:A,"&gt;="&amp;Caratula!$W$2,'Ventas '!A:A,"&lt;="&amp;Caratula!$X$2)-VLOOKUP(A30,'Caratula (2)'!A:B,2,0),0)</f>
        <v>0</v>
      </c>
      <c r="N30" s="216">
        <f t="shared" si="1"/>
        <v>0</v>
      </c>
      <c r="O30" s="155" t="e">
        <f t="shared" si="2"/>
        <v>#REF!</v>
      </c>
      <c r="P30" s="156"/>
      <c r="Q30" s="156"/>
      <c r="R30" s="174" t="e">
        <f t="shared" si="3"/>
        <v>#REF!</v>
      </c>
      <c r="S30" s="170" t="e">
        <f>SUMIF($A:$A,A30,$R:$R)</f>
        <v>#REF!</v>
      </c>
      <c r="T30" s="123"/>
      <c r="X30" s="81"/>
      <c r="Z30" s="82"/>
      <c r="AA30" s="83"/>
      <c r="AB30" s="83"/>
    </row>
    <row r="31" spans="1:33" ht="17.25" x14ac:dyDescent="0.3">
      <c r="A31" s="187" t="s">
        <v>287</v>
      </c>
      <c r="B31" s="73" t="e">
        <f>SUMIFS(#REF!,Tabla110[[#All],[Asesor]],Caratula!A31,Tabla110[[#All],[Fecha Cobranza]],"&lt;"&amp;$X$3,Tabla110[[#All],[Fecha Cobranza]],"&gt;="&amp;$W$3)</f>
        <v>#REF!</v>
      </c>
      <c r="C31" s="73">
        <f>SUMIFS(Tabla110[[#Headers],[#Data],[Utilidad Neta Total]],Tabla110[[#Headers],[#Data],[Asesor]],Caratula!A31,Tabla110[[#Headers],[#Data],[Fecha Cobranza]],"&lt;"&amp;$X$3,Tabla110[[#Headers],[#Data],[Fecha Cobranza]],"&gt;="&amp;$W$3)</f>
        <v>0</v>
      </c>
      <c r="D31" s="73">
        <f>SUMIFS('Ventas '!T:T,'Ventas '!C:C,Caratula!A31,'Ventas '!A:A,"&gt;="&amp;$W$3,'Ventas '!A:A,"&lt;="&amp;Caratula!$X$3)</f>
        <v>0</v>
      </c>
      <c r="E31" s="73"/>
      <c r="F31" s="73"/>
      <c r="G31" s="73"/>
      <c r="H31" s="73"/>
      <c r="I31" s="73" t="e">
        <f t="shared" si="4"/>
        <v>#REF!</v>
      </c>
      <c r="J31" s="73">
        <f>SUMIFS('Ventas '!L:L,'Ventas '!C:C,A31,'Ventas '!A:A,"&gt;="&amp;$J$3,'Ventas '!A:A,"&lt;="&amp;$J$4)</f>
        <v>0</v>
      </c>
      <c r="K31" s="73">
        <f>SUMIFS(Tabla110[[#Headers],[#Data],[Venta Total]],Tabla110[[#Headers],[#Data],[Asesor]],Caratula!A31,Tabla110[[#Headers],[#Data],[Fecha Cobranza]],"&lt;"&amp;$X$2,Tabla110[[#Headers],[#Data],[Fecha Cobranza]],"&gt;="&amp;$W$2)</f>
        <v>0</v>
      </c>
      <c r="L31" s="73">
        <f>SUMIFS(Tabla110[[#Headers],[#Data],[Utilidad Neta Total]],Tabla110[[#Headers],[#Data],[Asesor]],Caratula!A31,Tabla110[[#Headers],[#Data],[Fecha Cobranza]],"&lt;"&amp;$X$2,Tabla110[[#Headers],[#Data],[Fecha Cobranza]],"&gt;="&amp;$W$2)</f>
        <v>0</v>
      </c>
      <c r="M31" s="73">
        <f>IF(N31&gt;0,SUMIFS('Ventas '!#REF!,'Ventas '!C:C,Caratula!A31,'Ventas '!A:A,"&gt;="&amp;Caratula!$W$2,'Ventas '!A:A,"&lt;="&amp;Caratula!$X$2)-VLOOKUP(A31,'Caratula (2)'!A:B,2,0),0)</f>
        <v>0</v>
      </c>
      <c r="N31" s="215">
        <f t="shared" si="1"/>
        <v>0</v>
      </c>
      <c r="O31" s="150" t="e">
        <f t="shared" si="2"/>
        <v>#REF!</v>
      </c>
      <c r="P31" s="151"/>
      <c r="Q31" s="151"/>
      <c r="R31" s="173" t="e">
        <f t="shared" si="3"/>
        <v>#REF!</v>
      </c>
      <c r="S31" s="170" t="e">
        <f>+R31</f>
        <v>#REF!</v>
      </c>
      <c r="T31" s="154"/>
      <c r="X31" s="81"/>
      <c r="Z31" s="82"/>
      <c r="AA31" s="83"/>
      <c r="AB31" s="83"/>
    </row>
    <row r="32" spans="1:33" ht="17.25" x14ac:dyDescent="0.3">
      <c r="A32" s="187" t="s">
        <v>281</v>
      </c>
      <c r="B32" s="73" t="e">
        <f>SUMIFS(#REF!,Tabla110[[#All],[Asesor]],Caratula!A32,Tabla110[[#All],[Fecha Cobranza]],"&lt;"&amp;$X$3,Tabla110[[#All],[Fecha Cobranza]],"&gt;="&amp;$W$3)</f>
        <v>#REF!</v>
      </c>
      <c r="C32" s="73">
        <f>SUMIFS(Tabla110[[#Headers],[#Data],[Utilidad Neta Total]],Tabla110[[#Headers],[#Data],[Asesor]],Caratula!A32,Tabla110[[#Headers],[#Data],[Fecha Cobranza]],"&lt;"&amp;$X$3,Tabla110[[#Headers],[#Data],[Fecha Cobranza]],"&gt;="&amp;$W$3)</f>
        <v>0</v>
      </c>
      <c r="D32" s="73">
        <f>SUMIFS('Ventas '!T:T,'Ventas '!C:C,Caratula!A32,'Ventas '!A:A,"&gt;="&amp;$W$3,'Ventas '!A:A,"&lt;="&amp;Caratula!$X$3)</f>
        <v>0</v>
      </c>
      <c r="E32" s="73"/>
      <c r="F32" s="73"/>
      <c r="G32" s="73"/>
      <c r="H32" s="73"/>
      <c r="I32" s="73" t="e">
        <f t="shared" si="4"/>
        <v>#REF!</v>
      </c>
      <c r="J32" s="73">
        <f>SUMIFS('Ventas '!L:L,'Ventas '!C:C,A32,'Ventas '!A:A,"&gt;="&amp;$J$3,'Ventas '!A:A,"&lt;="&amp;$J$4)</f>
        <v>0</v>
      </c>
      <c r="K32" s="73">
        <f>SUMIFS(Tabla110[[#Headers],[#Data],[Venta Total]],Tabla110[[#Headers],[#Data],[Asesor]],Caratula!A32,Tabla110[[#Headers],[#Data],[Fecha Cobranza]],"&lt;"&amp;$X$2,Tabla110[[#Headers],[#Data],[Fecha Cobranza]],"&gt;="&amp;$W$2)</f>
        <v>0</v>
      </c>
      <c r="L32" s="73">
        <f>SUMIFS(Tabla110[[#Headers],[#Data],[Utilidad Neta Total]],Tabla110[[#Headers],[#Data],[Asesor]],Caratula!A32,Tabla110[[#Headers],[#Data],[Fecha Cobranza]],"&lt;"&amp;$X$2,Tabla110[[#Headers],[#Data],[Fecha Cobranza]],"&gt;="&amp;$W$2)</f>
        <v>0</v>
      </c>
      <c r="M32" s="73">
        <f>IF(N32&gt;0,SUMIFS('Ventas '!#REF!,'Ventas '!C:C,Caratula!A32,'Ventas '!A:A,"&gt;="&amp;Caratula!$W$2,'Ventas '!A:A,"&lt;="&amp;Caratula!$X$2)-VLOOKUP(A32,'Caratula (2)'!A:B,2,0),0)</f>
        <v>0</v>
      </c>
      <c r="N32" s="215">
        <f t="shared" si="1"/>
        <v>0</v>
      </c>
      <c r="O32" s="150" t="e">
        <f t="shared" si="2"/>
        <v>#REF!</v>
      </c>
      <c r="P32" s="151"/>
      <c r="Q32" s="151"/>
      <c r="R32" s="173" t="e">
        <f t="shared" si="3"/>
        <v>#REF!</v>
      </c>
      <c r="S32" s="169"/>
      <c r="T32" s="161" t="e">
        <f>((((((SUMIF($A:$A,A32,$R:$R))*1.08))))-((((((SUMIF($A:$A,A32,$R:$R))*1.08)/1.16)*0.16)*2/3)))</f>
        <v>#REF!</v>
      </c>
      <c r="X32" s="81"/>
      <c r="Z32" s="82"/>
      <c r="AA32" s="83"/>
      <c r="AB32" s="83"/>
    </row>
    <row r="33" spans="1:30" ht="17.25" x14ac:dyDescent="0.3">
      <c r="A33" s="187" t="s">
        <v>301</v>
      </c>
      <c r="B33" s="73" t="e">
        <f>SUMIFS(#REF!,Tabla110[[#All],[Asesor]],Caratula!A33,Tabla110[[#All],[Fecha Cobranza]],"&lt;"&amp;$X$3,Tabla110[[#All],[Fecha Cobranza]],"&gt;="&amp;$W$3)</f>
        <v>#REF!</v>
      </c>
      <c r="C33" s="73">
        <f>SUMIFS(Tabla110[[#Headers],[#Data],[Utilidad Neta Total]],Tabla110[[#Headers],[#Data],[Asesor]],Caratula!A33,Tabla110[[#Headers],[#Data],[Fecha Cobranza]],"&lt;"&amp;$X$3,Tabla110[[#Headers],[#Data],[Fecha Cobranza]],"&gt;="&amp;$W$3)</f>
        <v>0</v>
      </c>
      <c r="D33" s="73">
        <f>SUMIFS('Ventas '!T:T,'Ventas '!C:C,Caratula!A33,'Ventas '!A:A,"&gt;="&amp;$W$3,'Ventas '!A:A,"&lt;="&amp;Caratula!$X$3)</f>
        <v>0</v>
      </c>
      <c r="E33" s="73"/>
      <c r="F33" s="73"/>
      <c r="G33" s="73"/>
      <c r="H33" s="73"/>
      <c r="I33" s="73" t="e">
        <f t="shared" si="4"/>
        <v>#REF!</v>
      </c>
      <c r="J33" s="73">
        <f>SUMIFS('Ventas '!L:L,'Ventas '!C:C,A33,'Ventas '!A:A,"&gt;="&amp;$J$3,'Ventas '!A:A,"&lt;="&amp;$J$4)</f>
        <v>0</v>
      </c>
      <c r="K33" s="73">
        <f>SUMIFS(Tabla110[[#Headers],[#Data],[Venta Total]],Tabla110[[#Headers],[#Data],[Asesor]],Caratula!A33,Tabla110[[#Headers],[#Data],[Fecha Cobranza]],"&lt;"&amp;$X$2,Tabla110[[#Headers],[#Data],[Fecha Cobranza]],"&gt;="&amp;$W$2)</f>
        <v>0</v>
      </c>
      <c r="L33" s="73">
        <f>SUMIFS(Tabla110[[#Headers],[#Data],[Utilidad Neta Total]],Tabla110[[#Headers],[#Data],[Asesor]],Caratula!A33,Tabla110[[#Headers],[#Data],[Fecha Cobranza]],"&lt;"&amp;$X$2,Tabla110[[#Headers],[#Data],[Fecha Cobranza]],"&gt;="&amp;$W$2)</f>
        <v>0</v>
      </c>
      <c r="M33" s="73">
        <f>IF(N33&gt;0,SUMIFS('Ventas '!#REF!,'Ventas '!C:C,Caratula!A33,'Ventas '!A:A,"&gt;="&amp;Caratula!$W$2,'Ventas '!A:A,"&lt;="&amp;Caratula!$X$2)-VLOOKUP(A33,'Caratula (2)'!A:B,2,0),0)</f>
        <v>0</v>
      </c>
      <c r="N33" s="215">
        <f t="shared" si="1"/>
        <v>0</v>
      </c>
      <c r="O33" s="150" t="e">
        <f t="shared" si="2"/>
        <v>#REF!</v>
      </c>
      <c r="P33" s="151"/>
      <c r="Q33" s="151"/>
      <c r="R33" s="173" t="e">
        <f t="shared" si="3"/>
        <v>#REF!</v>
      </c>
      <c r="S33" s="170" t="e">
        <f>SUMIF($A:$A,A33,$R:$R)</f>
        <v>#REF!</v>
      </c>
      <c r="T33" s="154"/>
      <c r="X33" s="81"/>
      <c r="Z33" s="82"/>
      <c r="AA33" s="83"/>
      <c r="AB33" s="83"/>
    </row>
    <row r="34" spans="1:30" ht="18" thickBot="1" x14ac:dyDescent="0.35">
      <c r="A34" s="188" t="s">
        <v>399</v>
      </c>
      <c r="B34" s="74" t="e">
        <f>SUMIFS(#REF!,Tabla110[[#All],[Asesor]],Caratula!A34,Tabla110[[#All],[Fecha Cobranza]],"&lt;"&amp;$X$3,Tabla110[[#All],[Fecha Cobranza]],"&gt;="&amp;$W$3)</f>
        <v>#REF!</v>
      </c>
      <c r="C34" s="74">
        <f>SUMIFS(Tabla110[[#Headers],[#Data],[Utilidad Neta Total]],Tabla110[[#Headers],[#Data],[Asesor]],Caratula!A34,Tabla110[[#Headers],[#Data],[Fecha Cobranza]],"&lt;"&amp;$X$3,Tabla110[[#Headers],[#Data],[Fecha Cobranza]],"&gt;="&amp;$W$3)</f>
        <v>0</v>
      </c>
      <c r="D34" s="74">
        <f>SUMIFS('Ventas '!T:T,'Ventas '!C:C,Caratula!A34,'Ventas '!A:A,"&gt;="&amp;$W$3,'Ventas '!A:A,"&lt;="&amp;Caratula!$X$3)</f>
        <v>0</v>
      </c>
      <c r="E34" s="74"/>
      <c r="F34" s="74"/>
      <c r="G34" s="74"/>
      <c r="H34" s="74"/>
      <c r="I34" s="74" t="e">
        <f t="shared" si="4"/>
        <v>#REF!</v>
      </c>
      <c r="J34" s="74">
        <f>SUMIFS('Ventas '!L:L,'Ventas '!C:C,A34,'Ventas '!A:A,"&gt;="&amp;$J$3,'Ventas '!A:A,"&lt;="&amp;$J$4)</f>
        <v>0</v>
      </c>
      <c r="K34" s="74">
        <f>SUMIFS(Tabla110[[#Headers],[#Data],[Venta Total]],Tabla110[[#Headers],[#Data],[Asesor]],Caratula!A34,Tabla110[[#Headers],[#Data],[Fecha Cobranza]],"&lt;"&amp;$X$2,Tabla110[[#Headers],[#Data],[Fecha Cobranza]],"&gt;="&amp;$W$2)</f>
        <v>0</v>
      </c>
      <c r="L34" s="74">
        <f>SUMIFS(Tabla110[[#Headers],[#Data],[Utilidad Neta Total]],Tabla110[[#Headers],[#Data],[Asesor]],Caratula!A34,Tabla110[[#Headers],[#Data],[Fecha Cobranza]],"&lt;"&amp;$X$2,Tabla110[[#Headers],[#Data],[Fecha Cobranza]],"&gt;="&amp;$W$2)</f>
        <v>0</v>
      </c>
      <c r="M34" s="74">
        <f>IF(N34&gt;0,SUMIFS('Ventas '!#REF!,'Ventas '!C:C,Caratula!A34,'Ventas '!A:A,"&gt;="&amp;Caratula!$W$2,'Ventas '!A:A,"&lt;="&amp;Caratula!$X$2)-VLOOKUP(A34,'Caratula (2)'!A:B,2,0),0)</f>
        <v>0</v>
      </c>
      <c r="N34" s="216">
        <f t="shared" si="1"/>
        <v>0</v>
      </c>
      <c r="O34" s="155" t="e">
        <f t="shared" si="2"/>
        <v>#REF!</v>
      </c>
      <c r="P34" s="156"/>
      <c r="Q34" s="156"/>
      <c r="R34" s="174" t="e">
        <f t="shared" si="3"/>
        <v>#REF!</v>
      </c>
      <c r="S34" s="170" t="e">
        <f>SUMIF($A:$A,A34,$R:$R)</f>
        <v>#REF!</v>
      </c>
      <c r="T34" s="123"/>
      <c r="X34" s="81"/>
      <c r="Z34" s="82"/>
      <c r="AA34" s="83"/>
      <c r="AB34" s="83"/>
    </row>
    <row r="35" spans="1:30" ht="18" thickBot="1" x14ac:dyDescent="0.35">
      <c r="A35" s="194" t="s">
        <v>278</v>
      </c>
      <c r="B35" s="195" t="e">
        <f>SUMIFS(#REF!,Tabla110[[#All],[Asesor]],Caratula!A35,Tabla110[[#All],[Fecha Cobranza]],"&lt;"&amp;$X$3,Tabla110[[#All],[Fecha Cobranza]],"&gt;="&amp;$W$3)</f>
        <v>#REF!</v>
      </c>
      <c r="C35" s="195">
        <f>SUMIFS(Tabla110[[#Headers],[#Data],[Utilidad Neta Total]],Tabla110[[#Headers],[#Data],[Asesor]],Caratula!A35,Tabla110[[#Headers],[#Data],[Fecha Cobranza]],"&lt;"&amp;$X$3,Tabla110[[#Headers],[#Data],[Fecha Cobranza]],"&gt;="&amp;$W$3)</f>
        <v>0</v>
      </c>
      <c r="D35" s="195">
        <f>SUMIFS('Ventas '!T:T,'Ventas '!C:C,Caratula!A35,'Ventas '!A:A,"&gt;="&amp;$W$3,'Ventas '!A:A,"&lt;="&amp;Caratula!$X$3)</f>
        <v>0</v>
      </c>
      <c r="E35" s="195"/>
      <c r="F35" s="226" t="e">
        <f>+(B49-B48-B35)*F4</f>
        <v>#REF!</v>
      </c>
      <c r="G35" s="195"/>
      <c r="H35" s="195"/>
      <c r="I35" s="195" t="e">
        <f t="shared" si="4"/>
        <v>#REF!</v>
      </c>
      <c r="J35" s="195">
        <f>SUMIFS('Ventas '!L:L,'Ventas '!C:C,A35,'Ventas '!A:A,"&gt;="&amp;$J$3,'Ventas '!A:A,"&lt;="&amp;$J$4)</f>
        <v>0</v>
      </c>
      <c r="K35" s="195">
        <f>SUMIFS(Tabla110[[#Headers],[#Data],[Venta Total]],Tabla110[[#Headers],[#Data],[Asesor]],Caratula!A35,Tabla110[[#Headers],[#Data],[Fecha Cobranza]],"&lt;"&amp;$X$2,Tabla110[[#Headers],[#Data],[Fecha Cobranza]],"&gt;="&amp;$W$2)</f>
        <v>0</v>
      </c>
      <c r="L35" s="195">
        <f>SUMIFS(Tabla110[[#Headers],[#Data],[Utilidad Neta Total]],Tabla110[[#Headers],[#Data],[Asesor]],Caratula!A35,Tabla110[[#Headers],[#Data],[Fecha Cobranza]],"&lt;"&amp;$X$2,Tabla110[[#Headers],[#Data],[Fecha Cobranza]],"&gt;="&amp;$W$2)</f>
        <v>0</v>
      </c>
      <c r="M35" s="195">
        <f>IF(N35&gt;0,SUMIFS('Ventas '!#REF!,'Ventas '!C:C,Caratula!A35,'Ventas '!A:A,"&gt;="&amp;Caratula!$W$2,'Ventas '!A:A,"&lt;="&amp;Caratula!$X$2)-VLOOKUP(A35,'Caratula (2)'!A:B,2,0),0)</f>
        <v>0</v>
      </c>
      <c r="N35" s="217">
        <f t="shared" si="1"/>
        <v>0</v>
      </c>
      <c r="O35" s="223" t="e">
        <f>IF(N35=0,I35,M35)+F35</f>
        <v>#REF!</v>
      </c>
      <c r="P35" s="222"/>
      <c r="Q35" s="197"/>
      <c r="R35" s="198" t="e">
        <f t="shared" si="3"/>
        <v>#REF!</v>
      </c>
      <c r="S35" s="199"/>
      <c r="T35" s="205" t="e">
        <f>((((((SUMIF($A:$A,A35,$R:$R))*1.08))))-((((((SUMIF($A:$A,A35,$R:$R))*1.08)/1.16)*0.16)*2/3)))</f>
        <v>#REF!</v>
      </c>
      <c r="X35" s="81"/>
      <c r="Z35" s="82"/>
      <c r="AA35" s="192"/>
      <c r="AB35" s="192"/>
    </row>
    <row r="36" spans="1:30" ht="18" thickBot="1" x14ac:dyDescent="0.35">
      <c r="A36" s="186" t="s">
        <v>401</v>
      </c>
      <c r="B36" s="72" t="e">
        <f>SUMIFS(#REF!,Tabla110[[#All],[Asesor]],Caratula!A36,Tabla110[[#All],[Fecha Cobranza]],"&lt;"&amp;$X$3,Tabla110[[#All],[Fecha Cobranza]],"&gt;="&amp;$W$3)</f>
        <v>#REF!</v>
      </c>
      <c r="C36" s="72">
        <f>SUMIFS(Tabla110[[#Headers],[#Data],[Utilidad Neta Total]],Tabla110[[#Headers],[#Data],[Asesor]],Caratula!A36,Tabla110[[#Headers],[#Data],[Fecha Cobranza]],"&lt;"&amp;$X$3,Tabla110[[#Headers],[#Data],[Fecha Cobranza]],"&gt;="&amp;$W$3)</f>
        <v>0</v>
      </c>
      <c r="D36" s="72">
        <f>SUMIFS('Ventas '!T:T,'Ventas '!C:C,Caratula!A36,'Ventas '!A:A,"&gt;="&amp;$W$3,'Ventas '!A:A,"&lt;="&amp;Caratula!$X$3)</f>
        <v>0</v>
      </c>
      <c r="E36" s="72"/>
      <c r="F36" s="72"/>
      <c r="G36" s="72"/>
      <c r="H36" s="72"/>
      <c r="I36" s="72" t="e">
        <f t="shared" si="4"/>
        <v>#REF!</v>
      </c>
      <c r="J36" s="72">
        <f>SUMIFS('Ventas '!L:L,'Ventas '!C:C,A36,'Ventas '!A:A,"&gt;="&amp;$J$3,'Ventas '!A:A,"&lt;="&amp;$J$4)</f>
        <v>0</v>
      </c>
      <c r="K36" s="72">
        <f>SUMIFS(Tabla110[[#Headers],[#Data],[Venta Total]],Tabla110[[#Headers],[#Data],[Asesor]],Caratula!A36,Tabla110[[#Headers],[#Data],[Fecha Cobranza]],"&lt;"&amp;$X$2,Tabla110[[#Headers],[#Data],[Fecha Cobranza]],"&gt;="&amp;$W$2)</f>
        <v>0</v>
      </c>
      <c r="L36" s="72">
        <f>SUMIFS(Tabla110[[#Headers],[#Data],[Utilidad Neta Total]],Tabla110[[#Headers],[#Data],[Asesor]],Caratula!A36,Tabla110[[#Headers],[#Data],[Fecha Cobranza]],"&lt;"&amp;$X$2,Tabla110[[#Headers],[#Data],[Fecha Cobranza]],"&gt;="&amp;$W$2)</f>
        <v>0</v>
      </c>
      <c r="M36" s="72">
        <f>IF(N36&gt;0,SUMIFS('Ventas '!#REF!,'Ventas '!C:C,Caratula!A36,'Ventas '!A:A,"&gt;="&amp;Caratula!$W$2,'Ventas '!A:A,"&lt;="&amp;Caratula!$X$2)-VLOOKUP(A36,'Caratula (2)'!A:B,2,0),0)</f>
        <v>0</v>
      </c>
      <c r="N36" s="213">
        <f t="shared" si="1"/>
        <v>0</v>
      </c>
      <c r="O36" s="152" t="e">
        <f t="shared" si="2"/>
        <v>#REF!</v>
      </c>
      <c r="P36" s="153"/>
      <c r="Q36" s="153"/>
      <c r="R36" s="201" t="e">
        <f t="shared" si="3"/>
        <v>#REF!</v>
      </c>
      <c r="S36" s="204" t="e">
        <f>SUMIF($A:$A,A36,$R:$R)</f>
        <v>#REF!</v>
      </c>
      <c r="T36" s="200"/>
      <c r="X36" s="81"/>
      <c r="Z36" s="82"/>
      <c r="AA36" s="83"/>
      <c r="AB36" s="83"/>
      <c r="AD36" s="149"/>
    </row>
    <row r="37" spans="1:30" ht="18" thickBot="1" x14ac:dyDescent="0.35">
      <c r="A37" s="206" t="s">
        <v>480</v>
      </c>
      <c r="B37" s="72" t="e">
        <f>SUMIFS(#REF!,Tabla110[[#All],[Asesor]],Caratula!A37,Tabla110[[#All],[Fecha Cobranza]],"&lt;"&amp;$X$3,Tabla110[[#All],[Fecha Cobranza]],"&gt;="&amp;$W$3)</f>
        <v>#REF!</v>
      </c>
      <c r="C37" s="72">
        <f>SUMIFS(Tabla110[[#Headers],[#Data],[Utilidad Neta Total]],Tabla110[[#Headers],[#Data],[Asesor]],Caratula!A37,Tabla110[[#Headers],[#Data],[Fecha Cobranza]],"&lt;"&amp;$X$3,Tabla110[[#Headers],[#Data],[Fecha Cobranza]],"&gt;="&amp;$W$3)</f>
        <v>0</v>
      </c>
      <c r="D37" s="72">
        <f>SUMIFS('Ventas '!T:T,'Ventas '!C:C,Caratula!A37,'Ventas '!A:A,"&gt;="&amp;$W$3,'Ventas '!A:A,"&lt;="&amp;Caratula!$X$3)</f>
        <v>0</v>
      </c>
      <c r="E37" s="72"/>
      <c r="F37" s="72"/>
      <c r="G37" s="72"/>
      <c r="H37" s="72"/>
      <c r="I37" s="72" t="e">
        <f>++B37+E37+F37+G37+H37</f>
        <v>#REF!</v>
      </c>
      <c r="J37" s="72">
        <f>SUMIFS('Ventas '!L:L,'Ventas '!C:C,A37,'Ventas '!A:A,"&gt;="&amp;$J$3,'Ventas '!A:A,"&lt;="&amp;$J$4)</f>
        <v>0</v>
      </c>
      <c r="K37" s="72">
        <f>SUMIFS(Tabla110[[#Headers],[#Data],[Venta Total]],Tabla110[[#Headers],[#Data],[Asesor]],Caratula!A37,Tabla110[[#Headers],[#Data],[Fecha Cobranza]],"&lt;"&amp;$X$2,Tabla110[[#Headers],[#Data],[Fecha Cobranza]],"&gt;="&amp;$W$2)</f>
        <v>0</v>
      </c>
      <c r="L37" s="72">
        <f>SUMIFS(Tabla110[[#Headers],[#Data],[Utilidad Neta Total]],Tabla110[[#Headers],[#Data],[Asesor]],Caratula!A37,Tabla110[[#Headers],[#Data],[Fecha Cobranza]],"&lt;"&amp;$X$2,Tabla110[[#Headers],[#Data],[Fecha Cobranza]],"&gt;="&amp;$W$2)</f>
        <v>0</v>
      </c>
      <c r="M37" s="72">
        <f>IF(N37&gt;0,SUMIFS('Ventas '!#REF!,'Ventas '!C:C,Caratula!A37,'Ventas '!A:A,"&gt;="&amp;Caratula!$W$2,'Ventas '!A:A,"&lt;="&amp;Caratula!$X$2)-VLOOKUP(A37,'Caratula (2)'!A:B,2,0),0)</f>
        <v>0</v>
      </c>
      <c r="N37" s="213">
        <f t="shared" si="1"/>
        <v>0</v>
      </c>
      <c r="O37" s="152" t="e">
        <f>IF(N37=0,I37,M37)+193.79</f>
        <v>#REF!</v>
      </c>
      <c r="P37" s="153"/>
      <c r="Q37" s="153"/>
      <c r="R37" s="201" t="e">
        <f>+O37-P37-Q37</f>
        <v>#REF!</v>
      </c>
      <c r="S37" s="204" t="e">
        <f>SUMIF($A:$A,A37,$R:$R)</f>
        <v>#REF!</v>
      </c>
      <c r="T37" s="210"/>
      <c r="X37" s="81"/>
      <c r="Z37" s="82"/>
      <c r="AA37" s="83"/>
      <c r="AB37" s="83"/>
    </row>
    <row r="38" spans="1:30" ht="18" thickBot="1" x14ac:dyDescent="0.35">
      <c r="A38" s="206" t="s">
        <v>483</v>
      </c>
      <c r="B38" s="72" t="e">
        <f>SUMIFS(#REF!,Tabla110[[#All],[Asesor]],Caratula!A38,Tabla110[[#All],[Fecha Cobranza]],"&lt;"&amp;$X$3,Tabla110[[#All],[Fecha Cobranza]],"&gt;="&amp;$W$3)</f>
        <v>#REF!</v>
      </c>
      <c r="C38" s="72">
        <f>SUMIFS(Tabla110[[#Headers],[#Data],[Utilidad Neta Total]],Tabla110[[#Headers],[#Data],[Asesor]],Caratula!A38,Tabla110[[#Headers],[#Data],[Fecha Cobranza]],"&lt;"&amp;$X$3,Tabla110[[#Headers],[#Data],[Fecha Cobranza]],"&gt;="&amp;$W$3)</f>
        <v>0</v>
      </c>
      <c r="D38" s="72">
        <f>SUMIFS('Ventas '!T:T,'Ventas '!C:C,Caratula!A38,'Ventas '!A:A,"&gt;="&amp;$W$3,'Ventas '!A:A,"&lt;="&amp;Caratula!$X$3)</f>
        <v>0</v>
      </c>
      <c r="E38" s="72"/>
      <c r="F38" s="72"/>
      <c r="G38" s="72"/>
      <c r="H38" s="72"/>
      <c r="I38" s="72" t="e">
        <f>++B38+E38+F38+G38+H38</f>
        <v>#REF!</v>
      </c>
      <c r="J38" s="72">
        <f>SUMIFS('Ventas '!L:L,'Ventas '!C:C,A38,'Ventas '!A:A,"&gt;="&amp;$J$3,'Ventas '!A:A,"&lt;="&amp;$J$4)</f>
        <v>0</v>
      </c>
      <c r="K38" s="72">
        <f>SUMIFS(Tabla110[[#Headers],[#Data],[Venta Total]],Tabla110[[#Headers],[#Data],[Asesor]],Caratula!A38,Tabla110[[#Headers],[#Data],[Fecha Cobranza]],"&lt;"&amp;$X$2,Tabla110[[#Headers],[#Data],[Fecha Cobranza]],"&gt;="&amp;$W$2)</f>
        <v>0</v>
      </c>
      <c r="L38" s="72">
        <f>SUMIFS(Tabla110[[#Headers],[#Data],[Utilidad Neta Total]],Tabla110[[#Headers],[#Data],[Asesor]],Caratula!A38,Tabla110[[#Headers],[#Data],[Fecha Cobranza]],"&lt;"&amp;$X$2,Tabla110[[#Headers],[#Data],[Fecha Cobranza]],"&gt;="&amp;$W$2)</f>
        <v>0</v>
      </c>
      <c r="M38" s="72">
        <f>IF(N38&gt;0,SUMIFS('Ventas '!#REF!,'Ventas '!C:C,Caratula!A38,'Ventas '!A:A,"&gt;="&amp;Caratula!$W$2,'Ventas '!A:A,"&lt;="&amp;Caratula!$X$2)-VLOOKUP(A38,'Caratula (2)'!A:B,2,0),0)</f>
        <v>0</v>
      </c>
      <c r="N38" s="213">
        <f t="shared" si="1"/>
        <v>0</v>
      </c>
      <c r="O38" s="152" t="e">
        <f>IF(N38=0,I38,M38)+193.79</f>
        <v>#REF!</v>
      </c>
      <c r="P38" s="153"/>
      <c r="Q38" s="153"/>
      <c r="R38" s="201" t="e">
        <f>+O38-P38-Q38</f>
        <v>#REF!</v>
      </c>
      <c r="S38" s="227"/>
      <c r="T38" s="210"/>
      <c r="X38" s="81"/>
      <c r="Z38" s="82"/>
      <c r="AA38" s="83"/>
      <c r="AB38" s="83"/>
    </row>
    <row r="39" spans="1:30" ht="18" thickBot="1" x14ac:dyDescent="0.35">
      <c r="A39" s="206" t="s">
        <v>449</v>
      </c>
      <c r="B39" s="207" t="e">
        <f>SUMIFS(#REF!,Tabla110[[#All],[Asesor]],Caratula!A39,Tabla110[[#All],[Fecha Cobranza]],"&lt;"&amp;$X$3,Tabla110[[#All],[Fecha Cobranza]],"&gt;="&amp;$W$3)</f>
        <v>#REF!</v>
      </c>
      <c r="C39" s="207">
        <f>SUMIFS(Tabla110[[#Headers],[#Data],[Utilidad Neta Total]],Tabla110[[#Headers],[#Data],[Asesor]],Caratula!A39,Tabla110[[#Headers],[#Data],[Fecha Cobranza]],"&lt;"&amp;$X$3,Tabla110[[#Headers],[#Data],[Fecha Cobranza]],"&gt;="&amp;$W$3)</f>
        <v>0</v>
      </c>
      <c r="D39" s="207">
        <f>SUMIFS('Ventas '!T:T,'Ventas '!C:C,Caratula!A39,'Ventas '!A:A,"&gt;="&amp;$W$3,'Ventas '!A:A,"&lt;="&amp;Caratula!$X$3)</f>
        <v>0</v>
      </c>
      <c r="E39" s="207"/>
      <c r="F39" s="207"/>
      <c r="G39" s="207"/>
      <c r="H39" s="207"/>
      <c r="I39" s="207" t="e">
        <f t="shared" si="4"/>
        <v>#REF!</v>
      </c>
      <c r="J39" s="207">
        <f>SUMIFS('Ventas '!L:L,'Ventas '!C:C,A39,'Ventas '!A:A,"&gt;="&amp;$J$3,'Ventas '!A:A,"&lt;="&amp;$J$4)</f>
        <v>0</v>
      </c>
      <c r="K39" s="207">
        <f>SUMIFS(Tabla110[[#Headers],[#Data],[Venta Total]],Tabla110[[#Headers],[#Data],[Asesor]],Caratula!A39,Tabla110[[#Headers],[#Data],[Fecha Cobranza]],"&lt;"&amp;$X$2,Tabla110[[#Headers],[#Data],[Fecha Cobranza]],"&gt;="&amp;$W$2)</f>
        <v>0</v>
      </c>
      <c r="L39" s="207">
        <f>SUMIFS(Tabla110[[#Headers],[#Data],[Utilidad Neta Total]],Tabla110[[#Headers],[#Data],[Asesor]],Caratula!A39,Tabla110[[#Headers],[#Data],[Fecha Cobranza]],"&lt;"&amp;$X$2,Tabla110[[#Headers],[#Data],[Fecha Cobranza]],"&gt;="&amp;$W$2)</f>
        <v>0</v>
      </c>
      <c r="M39" s="207">
        <f>IF(N39&gt;0,SUMIFS('Ventas '!#REF!,'Ventas '!C:C,Caratula!A39,'Ventas '!A:A,"&gt;="&amp;Caratula!$W$2,'Ventas '!A:A,"&lt;="&amp;Caratula!$X$2)-VLOOKUP(A39,'Caratula (2)'!A:B,2,0),0)</f>
        <v>0</v>
      </c>
      <c r="N39" s="214">
        <f t="shared" si="1"/>
        <v>0</v>
      </c>
      <c r="O39" s="208" t="e">
        <f t="shared" si="2"/>
        <v>#REF!</v>
      </c>
      <c r="P39" s="209"/>
      <c r="Q39" s="209"/>
      <c r="R39" s="201" t="e">
        <f t="shared" si="3"/>
        <v>#REF!</v>
      </c>
      <c r="S39" s="170" t="e">
        <f t="shared" ref="S39:S46" si="6">SUMIF($A:$A,A39,$R:$R)</f>
        <v>#REF!</v>
      </c>
      <c r="T39" s="210"/>
      <c r="X39" s="81"/>
      <c r="Z39" s="82"/>
      <c r="AA39" s="83"/>
      <c r="AB39" s="83"/>
    </row>
    <row r="40" spans="1:30" ht="18" thickBot="1" x14ac:dyDescent="0.35">
      <c r="A40" s="206" t="s">
        <v>459</v>
      </c>
      <c r="B40" s="207" t="e">
        <f>SUMIFS(#REF!,Tabla110[[#All],[Asesor]],Caratula!A40,Tabla110[[#All],[Fecha Cobranza]],"&lt;"&amp;$X$3,Tabla110[[#All],[Fecha Cobranza]],"&gt;="&amp;$W$3)</f>
        <v>#REF!</v>
      </c>
      <c r="C40" s="207">
        <f>SUMIFS(Tabla110[[#Headers],[#Data],[Utilidad Neta Total]],Tabla110[[#Headers],[#Data],[Asesor]],Caratula!A40,Tabla110[[#Headers],[#Data],[Fecha Cobranza]],"&lt;"&amp;$X$3,Tabla110[[#Headers],[#Data],[Fecha Cobranza]],"&gt;="&amp;$W$3)</f>
        <v>0</v>
      </c>
      <c r="D40" s="207">
        <f>SUMIFS('Ventas '!T:T,'Ventas '!C:C,Caratula!A40,'Ventas '!A:A,"&gt;="&amp;$W$3,'Ventas '!A:A,"&lt;="&amp;Caratula!$X$3)</f>
        <v>0</v>
      </c>
      <c r="E40" s="207"/>
      <c r="F40" s="207"/>
      <c r="G40" s="207"/>
      <c r="H40" s="207"/>
      <c r="I40" s="207" t="e">
        <f>++B40+E40+F40+G40+H40</f>
        <v>#REF!</v>
      </c>
      <c r="J40" s="207">
        <f>SUMIFS('Ventas '!L:L,'Ventas '!C:C,A40,'Ventas '!A:A,"&gt;="&amp;$J$3,'Ventas '!A:A,"&lt;="&amp;$J$4)</f>
        <v>0</v>
      </c>
      <c r="K40" s="207">
        <f>SUMIFS(Tabla110[[#Headers],[#Data],[Venta Total]],Tabla110[[#Headers],[#Data],[Asesor]],Caratula!A40,Tabla110[[#Headers],[#Data],[Fecha Cobranza]],"&lt;"&amp;$X$2,Tabla110[[#Headers],[#Data],[Fecha Cobranza]],"&gt;="&amp;$W$2)</f>
        <v>0</v>
      </c>
      <c r="L40" s="207">
        <f>SUMIFS(Tabla110[[#Headers],[#Data],[Utilidad Neta Total]],Tabla110[[#Headers],[#Data],[Asesor]],Caratula!A40,Tabla110[[#Headers],[#Data],[Fecha Cobranza]],"&lt;"&amp;$X$2,Tabla110[[#Headers],[#Data],[Fecha Cobranza]],"&gt;="&amp;$W$2)</f>
        <v>0</v>
      </c>
      <c r="M40" s="207">
        <f>IF(N40&gt;0,SUMIFS('Ventas '!#REF!,'Ventas '!C:C,Caratula!A40,'Ventas '!A:A,"&gt;="&amp;Caratula!$W$2,'Ventas '!A:A,"&lt;="&amp;Caratula!$X$2)-VLOOKUP(A40,'Caratula (2)'!A:B,2,0),0)</f>
        <v>0</v>
      </c>
      <c r="N40" s="214">
        <f t="shared" si="1"/>
        <v>0</v>
      </c>
      <c r="O40" s="208" t="e">
        <f t="shared" si="2"/>
        <v>#REF!</v>
      </c>
      <c r="P40" s="209"/>
      <c r="Q40" s="209"/>
      <c r="R40" s="201" t="e">
        <f t="shared" si="3"/>
        <v>#REF!</v>
      </c>
      <c r="S40" s="170" t="e">
        <f t="shared" si="6"/>
        <v>#REF!</v>
      </c>
      <c r="T40" s="210"/>
      <c r="X40" s="81"/>
      <c r="Z40" s="82"/>
      <c r="AA40" s="83"/>
      <c r="AB40" s="83"/>
    </row>
    <row r="41" spans="1:30" ht="18" thickBot="1" x14ac:dyDescent="0.35">
      <c r="A41" s="206" t="s">
        <v>450</v>
      </c>
      <c r="B41" s="207" t="e">
        <f>SUMIFS(#REF!,Tabla110[[#All],[Asesor]],Caratula!A41,Tabla110[[#All],[Fecha Cobranza]],"&lt;"&amp;$X$3,Tabla110[[#All],[Fecha Cobranza]],"&gt;="&amp;$W$3)</f>
        <v>#REF!</v>
      </c>
      <c r="C41" s="207">
        <f>SUMIFS(Tabla110[[#Headers],[#Data],[Utilidad Neta Total]],Tabla110[[#Headers],[#Data],[Asesor]],Caratula!A41,Tabla110[[#Headers],[#Data],[Fecha Cobranza]],"&lt;"&amp;$X$3,Tabla110[[#Headers],[#Data],[Fecha Cobranza]],"&gt;="&amp;$W$3)</f>
        <v>0</v>
      </c>
      <c r="D41" s="207">
        <f>SUMIFS('Ventas '!T:T,'Ventas '!C:C,Caratula!A41,'Ventas '!A:A,"&gt;="&amp;$W$3,'Ventas '!A:A,"&lt;="&amp;Caratula!$X$3)</f>
        <v>0</v>
      </c>
      <c r="E41" s="207"/>
      <c r="F41" s="207"/>
      <c r="G41" s="207"/>
      <c r="H41" s="207"/>
      <c r="I41" s="207" t="e">
        <f t="shared" si="4"/>
        <v>#REF!</v>
      </c>
      <c r="J41" s="207">
        <f>SUMIFS('Ventas '!L:L,'Ventas '!C:C,A41,'Ventas '!A:A,"&gt;="&amp;$J$3,'Ventas '!A:A,"&lt;="&amp;$J$4)</f>
        <v>0</v>
      </c>
      <c r="K41" s="207">
        <f>SUMIFS(Tabla110[[#Headers],[#Data],[Venta Total]],Tabla110[[#Headers],[#Data],[Asesor]],Caratula!A41,Tabla110[[#Headers],[#Data],[Fecha Cobranza]],"&lt;"&amp;$X$2,Tabla110[[#Headers],[#Data],[Fecha Cobranza]],"&gt;="&amp;$W$2)</f>
        <v>0</v>
      </c>
      <c r="L41" s="207">
        <f>SUMIFS(Tabla110[[#Headers],[#Data],[Utilidad Neta Total]],Tabla110[[#Headers],[#Data],[Asesor]],Caratula!A41,Tabla110[[#Headers],[#Data],[Fecha Cobranza]],"&lt;"&amp;$X$2,Tabla110[[#Headers],[#Data],[Fecha Cobranza]],"&gt;="&amp;$W$2)</f>
        <v>0</v>
      </c>
      <c r="M41" s="207">
        <f>IF(N41&gt;0,SUMIFS('Ventas '!#REF!,'Ventas '!C:C,Caratula!A41,'Ventas '!A:A,"&gt;="&amp;Caratula!$W$2,'Ventas '!A:A,"&lt;="&amp;Caratula!$X$2)-VLOOKUP(A41,'Caratula (2)'!A:B,2,0),0)</f>
        <v>0</v>
      </c>
      <c r="N41" s="214">
        <f t="shared" si="1"/>
        <v>0</v>
      </c>
      <c r="O41" s="208" t="e">
        <f t="shared" si="2"/>
        <v>#REF!</v>
      </c>
      <c r="P41" s="209"/>
      <c r="Q41" s="209"/>
      <c r="R41" s="201" t="e">
        <f t="shared" si="3"/>
        <v>#REF!</v>
      </c>
      <c r="S41" s="170" t="e">
        <f t="shared" si="6"/>
        <v>#REF!</v>
      </c>
      <c r="T41" s="210"/>
      <c r="X41" s="81"/>
      <c r="Z41" s="82"/>
      <c r="AA41" s="83"/>
      <c r="AB41" s="83"/>
    </row>
    <row r="42" spans="1:30" ht="17.25" x14ac:dyDescent="0.3">
      <c r="A42" s="206" t="s">
        <v>455</v>
      </c>
      <c r="B42" s="207" t="e">
        <f>SUMIFS(#REF!,Tabla110[[#All],[Asesor]],Caratula!A42,Tabla110[[#All],[Fecha Cobranza]],"&lt;"&amp;$X$3,Tabla110[[#All],[Fecha Cobranza]],"&gt;="&amp;$W$3)</f>
        <v>#REF!</v>
      </c>
      <c r="C42" s="207">
        <f>SUMIFS(Tabla110[[#Headers],[#Data],[Utilidad Neta Total]],Tabla110[[#Headers],[#Data],[Asesor]],Caratula!A42,Tabla110[[#Headers],[#Data],[Fecha Cobranza]],"&lt;"&amp;$X$3,Tabla110[[#Headers],[#Data],[Fecha Cobranza]],"&gt;="&amp;$W$3)</f>
        <v>0</v>
      </c>
      <c r="D42" s="207">
        <f>SUMIFS('Ventas '!T:T,'Ventas '!C:C,Caratula!A42,'Ventas '!A:A,"&gt;="&amp;$W$3,'Ventas '!A:A,"&lt;="&amp;Caratula!$X$3)</f>
        <v>0</v>
      </c>
      <c r="E42" s="207"/>
      <c r="F42" s="207"/>
      <c r="G42" s="207"/>
      <c r="H42" s="207"/>
      <c r="I42" s="207" t="e">
        <f>++B42+E42+F42+G42+H42</f>
        <v>#REF!</v>
      </c>
      <c r="J42" s="207">
        <f>SUMIFS('Ventas '!L:L,'Ventas '!C:C,A42,'Ventas '!A:A,"&gt;="&amp;$J$3,'Ventas '!A:A,"&lt;="&amp;$J$4)</f>
        <v>0</v>
      </c>
      <c r="K42" s="207">
        <f>SUMIFS(Tabla110[[#Headers],[#Data],[Venta Total]],Tabla110[[#Headers],[#Data],[Asesor]],Caratula!A42,Tabla110[[#Headers],[#Data],[Fecha Cobranza]],"&lt;"&amp;$X$2,Tabla110[[#Headers],[#Data],[Fecha Cobranza]],"&gt;="&amp;$W$2)</f>
        <v>0</v>
      </c>
      <c r="L42" s="207">
        <f>SUMIFS(Tabla110[[#Headers],[#Data],[Utilidad Neta Total]],Tabla110[[#Headers],[#Data],[Asesor]],Caratula!A42,Tabla110[[#Headers],[#Data],[Fecha Cobranza]],"&lt;"&amp;$X$2,Tabla110[[#Headers],[#Data],[Fecha Cobranza]],"&gt;="&amp;$W$2)</f>
        <v>0</v>
      </c>
      <c r="M42" s="207">
        <f>IF(N42&gt;0,SUMIFS('Ventas '!#REF!,'Ventas '!C:C,Caratula!A42,'Ventas '!A:A,"&gt;="&amp;Caratula!$W$2,'Ventas '!A:A,"&lt;="&amp;Caratula!$X$2)-VLOOKUP(A42,'Caratula (2)'!A:B,2,0),0)</f>
        <v>0</v>
      </c>
      <c r="N42" s="214">
        <f t="shared" si="1"/>
        <v>0</v>
      </c>
      <c r="O42" s="208" t="e">
        <f t="shared" si="2"/>
        <v>#REF!</v>
      </c>
      <c r="P42" s="209"/>
      <c r="Q42" s="209"/>
      <c r="R42" s="201" t="e">
        <f>+O42-P42-Q42+278</f>
        <v>#REF!</v>
      </c>
      <c r="S42" s="170" t="e">
        <f t="shared" si="6"/>
        <v>#REF!</v>
      </c>
      <c r="T42" s="210"/>
      <c r="X42" s="81"/>
      <c r="Z42" s="82"/>
      <c r="AA42" s="83"/>
      <c r="AB42" s="83"/>
    </row>
    <row r="43" spans="1:30" ht="17.25" x14ac:dyDescent="0.3">
      <c r="A43" s="187" t="s">
        <v>407</v>
      </c>
      <c r="B43" s="73" t="e">
        <f>SUMIFS(#REF!,Tabla110[[#All],[Asesor]],Caratula!A43,Tabla110[[#All],[Fecha Cobranza]],"&lt;"&amp;$X$3,Tabla110[[#All],[Fecha Cobranza]],"&gt;="&amp;$W$3)</f>
        <v>#REF!</v>
      </c>
      <c r="C43" s="73">
        <f>SUMIFS(Tabla110[[#Headers],[#Data],[Utilidad Neta Total]],Tabla110[[#Headers],[#Data],[Asesor]],Caratula!A43,Tabla110[[#Headers],[#Data],[Fecha Cobranza]],"&lt;"&amp;$X$3,Tabla110[[#Headers],[#Data],[Fecha Cobranza]],"&gt;="&amp;$W$3)</f>
        <v>0</v>
      </c>
      <c r="D43" s="73">
        <f>SUMIFS('Ventas '!T:T,'Ventas '!C:C,Caratula!A43,'Ventas '!A:A,"&gt;="&amp;$W$3,'Ventas '!A:A,"&lt;="&amp;Caratula!$X$3)</f>
        <v>0</v>
      </c>
      <c r="E43" s="73"/>
      <c r="F43" s="73"/>
      <c r="G43" s="73"/>
      <c r="H43" s="73"/>
      <c r="I43" s="73" t="e">
        <f t="shared" si="4"/>
        <v>#REF!</v>
      </c>
      <c r="J43" s="73">
        <f>SUMIFS('Ventas '!L:L,'Ventas '!C:C,A43,'Ventas '!A:A,"&gt;="&amp;$J$3,'Ventas '!A:A,"&lt;="&amp;$J$4)</f>
        <v>0</v>
      </c>
      <c r="K43" s="73">
        <f>SUMIFS(Tabla110[[#Headers],[#Data],[Venta Total]],Tabla110[[#Headers],[#Data],[Asesor]],Caratula!A43,Tabla110[[#Headers],[#Data],[Fecha Cobranza]],"&lt;"&amp;$X$2,Tabla110[[#Headers],[#Data],[Fecha Cobranza]],"&gt;="&amp;$W$2)</f>
        <v>0</v>
      </c>
      <c r="L43" s="73">
        <f>SUMIFS(Tabla110[[#Headers],[#Data],[Utilidad Neta Total]],Tabla110[[#Headers],[#Data],[Asesor]],Caratula!A43,Tabla110[[#Headers],[#Data],[Fecha Cobranza]],"&lt;"&amp;$X$2,Tabla110[[#Headers],[#Data],[Fecha Cobranza]],"&gt;="&amp;$W$2)</f>
        <v>0</v>
      </c>
      <c r="M43" s="73">
        <f>IF(N43&gt;0,SUMIFS('Ventas '!#REF!,'Ventas '!C:C,Caratula!A43,'Ventas '!A:A,"&gt;="&amp;Caratula!$W$2,'Ventas '!A:A,"&lt;="&amp;Caratula!$X$2)-VLOOKUP(A43,'Caratula (2)'!A:B,2,0),0)</f>
        <v>0</v>
      </c>
      <c r="N43" s="215">
        <f t="shared" si="1"/>
        <v>0</v>
      </c>
      <c r="O43" s="150" t="e">
        <f t="shared" si="2"/>
        <v>#REF!</v>
      </c>
      <c r="P43" s="151"/>
      <c r="Q43" s="151"/>
      <c r="R43" s="202" t="e">
        <f t="shared" si="3"/>
        <v>#REF!</v>
      </c>
      <c r="S43" s="170" t="e">
        <f t="shared" si="6"/>
        <v>#REF!</v>
      </c>
      <c r="T43" s="154"/>
      <c r="X43" s="81"/>
      <c r="Z43" s="82"/>
      <c r="AA43" s="83"/>
      <c r="AB43" s="83"/>
    </row>
    <row r="44" spans="1:30" ht="17.25" x14ac:dyDescent="0.3">
      <c r="A44" s="187" t="s">
        <v>284</v>
      </c>
      <c r="B44" s="73" t="e">
        <f>SUMIFS(#REF!,Tabla110[[#All],[Asesor]],Caratula!A44,Tabla110[[#All],[Fecha Cobranza]],"&lt;"&amp;$X$3,Tabla110[[#All],[Fecha Cobranza]],"&gt;="&amp;$W$3)</f>
        <v>#REF!</v>
      </c>
      <c r="C44" s="73">
        <f>SUMIFS(Tabla110[[#Headers],[#Data],[Utilidad Neta Total]],Tabla110[[#Headers],[#Data],[Asesor]],Caratula!A44,Tabla110[[#Headers],[#Data],[Fecha Cobranza]],"&lt;"&amp;$X$3,Tabla110[[#Headers],[#Data],[Fecha Cobranza]],"&gt;="&amp;$W$3)</f>
        <v>0</v>
      </c>
      <c r="D44" s="73">
        <f>SUMIFS('Ventas '!T:T,'Ventas '!C:C,Caratula!A44,'Ventas '!A:A,"&gt;="&amp;$W$3,'Ventas '!A:A,"&lt;="&amp;Caratula!$X$3)</f>
        <v>0</v>
      </c>
      <c r="E44" s="73"/>
      <c r="F44" s="73"/>
      <c r="G44" s="73"/>
      <c r="H44" s="73"/>
      <c r="I44" s="73" t="e">
        <f t="shared" si="4"/>
        <v>#REF!</v>
      </c>
      <c r="J44" s="73">
        <f>SUMIFS('Ventas '!L:L,'Ventas '!C:C,A44,'Ventas '!A:A,"&gt;="&amp;$J$3,'Ventas '!A:A,"&lt;="&amp;$J$4)</f>
        <v>0</v>
      </c>
      <c r="K44" s="73">
        <f>SUMIFS(Tabla110[[#Headers],[#Data],[Venta Total]],Tabla110[[#Headers],[#Data],[Asesor]],Caratula!A44,Tabla110[[#Headers],[#Data],[Fecha Cobranza]],"&lt;"&amp;$X$2,Tabla110[[#Headers],[#Data],[Fecha Cobranza]],"&gt;="&amp;$W$2)</f>
        <v>0</v>
      </c>
      <c r="L44" s="73">
        <f>SUMIFS(Tabla110[[#Headers],[#Data],[Utilidad Neta Total]],Tabla110[[#Headers],[#Data],[Asesor]],Caratula!A44,Tabla110[[#Headers],[#Data],[Fecha Cobranza]],"&lt;"&amp;$X$2,Tabla110[[#Headers],[#Data],[Fecha Cobranza]],"&gt;="&amp;$W$2)</f>
        <v>0</v>
      </c>
      <c r="M44" s="73">
        <f>IF(N44&gt;0,SUMIFS('Ventas '!#REF!,'Ventas '!C:C,Caratula!A44,'Ventas '!A:A,"&gt;="&amp;Caratula!$W$2,'Ventas '!A:A,"&lt;="&amp;Caratula!$X$2)-VLOOKUP(A44,'Caratula (2)'!A:B,2,0),0)</f>
        <v>0</v>
      </c>
      <c r="N44" s="215">
        <f t="shared" si="1"/>
        <v>0</v>
      </c>
      <c r="O44" s="150" t="e">
        <f t="shared" si="2"/>
        <v>#REF!</v>
      </c>
      <c r="P44" s="151"/>
      <c r="Q44" s="151"/>
      <c r="R44" s="202" t="e">
        <f t="shared" si="3"/>
        <v>#REF!</v>
      </c>
      <c r="S44" s="170" t="e">
        <f t="shared" si="6"/>
        <v>#REF!</v>
      </c>
      <c r="T44" s="154"/>
      <c r="X44" s="81"/>
      <c r="Z44" s="82"/>
      <c r="AA44" s="83"/>
      <c r="AB44" s="83"/>
    </row>
    <row r="45" spans="1:30" ht="17.25" x14ac:dyDescent="0.3">
      <c r="A45" s="187" t="s">
        <v>327</v>
      </c>
      <c r="B45" s="73" t="e">
        <f>SUMIFS(#REF!,Tabla110[[#All],[Asesor]],Caratula!A45,Tabla110[[#All],[Fecha Cobranza]],"&lt;"&amp;$X$3,Tabla110[[#All],[Fecha Cobranza]],"&gt;="&amp;$W$3)</f>
        <v>#REF!</v>
      </c>
      <c r="C45" s="73">
        <f>SUMIFS(Tabla110[[#Headers],[#Data],[Utilidad Neta Total]],Tabla110[[#Headers],[#Data],[Asesor]],Caratula!A45,Tabla110[[#Headers],[#Data],[Fecha Cobranza]],"&lt;"&amp;$X$3,Tabla110[[#Headers],[#Data],[Fecha Cobranza]],"&gt;="&amp;$W$3)</f>
        <v>0</v>
      </c>
      <c r="D45" s="73">
        <f>SUMIFS('Ventas '!T:T,'Ventas '!C:C,Caratula!A45,'Ventas '!A:A,"&gt;="&amp;$W$3,'Ventas '!A:A,"&lt;="&amp;Caratula!$X$3)</f>
        <v>0</v>
      </c>
      <c r="E45" s="73"/>
      <c r="F45" s="73"/>
      <c r="G45" s="73"/>
      <c r="H45" s="73"/>
      <c r="I45" s="73" t="e">
        <f t="shared" si="4"/>
        <v>#REF!</v>
      </c>
      <c r="J45" s="73">
        <f>SUMIFS('Ventas '!L:L,'Ventas '!C:C,A45,'Ventas '!A:A,"&gt;="&amp;$J$3,'Ventas '!A:A,"&lt;="&amp;$J$4)</f>
        <v>0</v>
      </c>
      <c r="K45" s="73">
        <f>SUMIFS(Tabla110[[#Headers],[#Data],[Venta Total]],Tabla110[[#Headers],[#Data],[Asesor]],Caratula!A45,Tabla110[[#Headers],[#Data],[Fecha Cobranza]],"&lt;"&amp;$X$2,Tabla110[[#Headers],[#Data],[Fecha Cobranza]],"&gt;="&amp;$W$2)</f>
        <v>0</v>
      </c>
      <c r="L45" s="73">
        <f>SUMIFS(Tabla110[[#Headers],[#Data],[Utilidad Neta Total]],Tabla110[[#Headers],[#Data],[Asesor]],Caratula!A45,Tabla110[[#Headers],[#Data],[Fecha Cobranza]],"&lt;"&amp;$X$2,Tabla110[[#Headers],[#Data],[Fecha Cobranza]],"&gt;="&amp;$W$2)</f>
        <v>0</v>
      </c>
      <c r="M45" s="73">
        <f>IF(N45&gt;0,SUMIFS('Ventas '!#REF!,'Ventas '!C:C,Caratula!A45,'Ventas '!A:A,"&gt;="&amp;Caratula!$W$2,'Ventas '!A:A,"&lt;="&amp;Caratula!$X$2)-VLOOKUP(A45,'Caratula (2)'!A:B,2,0),0)</f>
        <v>0</v>
      </c>
      <c r="N45" s="215">
        <f t="shared" si="1"/>
        <v>0</v>
      </c>
      <c r="O45" s="150" t="e">
        <f t="shared" si="2"/>
        <v>#REF!</v>
      </c>
      <c r="P45" s="151"/>
      <c r="Q45" s="151"/>
      <c r="R45" s="202" t="e">
        <f t="shared" si="3"/>
        <v>#REF!</v>
      </c>
      <c r="S45" s="170" t="e">
        <f t="shared" si="6"/>
        <v>#REF!</v>
      </c>
      <c r="T45" s="154"/>
      <c r="X45" s="81"/>
      <c r="Z45" s="82"/>
      <c r="AA45" s="83"/>
      <c r="AB45" s="83"/>
    </row>
    <row r="46" spans="1:30" ht="17.25" x14ac:dyDescent="0.3">
      <c r="A46" s="187" t="s">
        <v>201</v>
      </c>
      <c r="B46" s="73" t="e">
        <f>SUMIFS(#REF!,Tabla110[[#All],[Asesor]],Caratula!A46,Tabla110[[#All],[Fecha Cobranza]],"&lt;"&amp;$X$3,Tabla110[[#All],[Fecha Cobranza]],"&gt;="&amp;$W$3)</f>
        <v>#REF!</v>
      </c>
      <c r="C46" s="73">
        <f>SUMIFS(Tabla110[[#Headers],[#Data],[Utilidad Neta Total]],Tabla110[[#Headers],[#Data],[Asesor]],Caratula!A46,Tabla110[[#Headers],[#Data],[Fecha Cobranza]],"&lt;"&amp;$X$3,Tabla110[[#Headers],[#Data],[Fecha Cobranza]],"&gt;="&amp;$W$3)</f>
        <v>0</v>
      </c>
      <c r="D46" s="73">
        <f>SUMIFS('Ventas '!T:T,'Ventas '!C:C,Caratula!A46,'Ventas '!A:A,"&gt;="&amp;$W$3,'Ventas '!A:A,"&lt;="&amp;Caratula!$X$3)</f>
        <v>0</v>
      </c>
      <c r="E46" s="73"/>
      <c r="F46" s="73"/>
      <c r="G46" s="73"/>
      <c r="H46" s="73"/>
      <c r="I46" s="73" t="e">
        <f t="shared" si="4"/>
        <v>#REF!</v>
      </c>
      <c r="J46" s="73">
        <f>SUMIFS('Ventas '!L:L,'Ventas '!C:C,A46,'Ventas '!A:A,"&gt;="&amp;$J$3,'Ventas '!A:A,"&lt;="&amp;$J$4)</f>
        <v>0</v>
      </c>
      <c r="K46" s="73">
        <f>SUMIFS(Tabla110[[#Headers],[#Data],[Venta Total]],Tabla110[[#Headers],[#Data],[Asesor]],Caratula!A46,Tabla110[[#Headers],[#Data],[Fecha Cobranza]],"&lt;"&amp;$X$2,Tabla110[[#Headers],[#Data],[Fecha Cobranza]],"&gt;="&amp;$W$2)</f>
        <v>0</v>
      </c>
      <c r="L46" s="73">
        <f>SUMIFS(Tabla110[[#Headers],[#Data],[Utilidad Neta Total]],Tabla110[[#Headers],[#Data],[Asesor]],Caratula!A46,Tabla110[[#Headers],[#Data],[Fecha Cobranza]],"&lt;"&amp;$X$2,Tabla110[[#Headers],[#Data],[Fecha Cobranza]],"&gt;="&amp;$W$2)</f>
        <v>0</v>
      </c>
      <c r="M46" s="73">
        <f>IF(N46&gt;0,SUMIFS('Ventas '!#REF!,'Ventas '!C:C,Caratula!A46,'Ventas '!A:A,"&gt;="&amp;Caratula!$W$2,'Ventas '!A:A,"&lt;="&amp;Caratula!$X$2)-VLOOKUP(A46,'Caratula (2)'!A:B,2,0),0)</f>
        <v>0</v>
      </c>
      <c r="N46" s="215">
        <f t="shared" si="1"/>
        <v>0</v>
      </c>
      <c r="O46" s="150" t="e">
        <f t="shared" si="2"/>
        <v>#REF!</v>
      </c>
      <c r="P46" s="151"/>
      <c r="Q46" s="151"/>
      <c r="R46" s="202" t="e">
        <f t="shared" si="3"/>
        <v>#REF!</v>
      </c>
      <c r="S46" s="170" t="e">
        <f t="shared" si="6"/>
        <v>#REF!</v>
      </c>
      <c r="T46" s="154"/>
      <c r="X46" s="81"/>
      <c r="Z46" s="82"/>
      <c r="AA46" s="83"/>
      <c r="AB46" s="83"/>
    </row>
    <row r="47" spans="1:30" ht="17.25" x14ac:dyDescent="0.3">
      <c r="A47" s="189" t="s">
        <v>396</v>
      </c>
      <c r="B47" s="73">
        <f>SUMIFS(Tabla5[[#All],[Comisiones Asesor]],Tabla5[[#All],[Asesor]],Caratula!A35,Tabla5[[#All],[Fecha Cobranza]],"&lt;"&amp;$X$3,Tabla5[[#All],[Fecha Cobranza]],"&gt;="&amp;$W$3)</f>
        <v>0</v>
      </c>
      <c r="C47" s="73"/>
      <c r="D47" s="73"/>
      <c r="E47" s="73"/>
      <c r="F47" s="73"/>
      <c r="G47" s="73"/>
      <c r="H47" s="73"/>
      <c r="I47" s="73">
        <f t="shared" si="4"/>
        <v>0</v>
      </c>
      <c r="J47" s="73">
        <f>SUMIFS('Ventas Coppel'!K:K,'Ventas Coppel'!C:C,A35,'Ventas Coppel'!A:A,"&gt;="&amp;$J$3,'Ventas Coppel'!A:A,"&lt;="&amp;$J$4)</f>
        <v>0</v>
      </c>
      <c r="K47" s="73">
        <f>SUMIFS('Ventas Coppel'!K:K,'Ventas Coppel'!C:C,Caratula!A35,'Ventas Coppel'!A:A,"&gt;="&amp;Caratula!W2,'Ventas Coppel'!A:A,"&lt;="&amp;Caratula!X2)</f>
        <v>0</v>
      </c>
      <c r="L47" s="73">
        <v>0</v>
      </c>
      <c r="M47" s="73">
        <f>IF(N47&gt;0,SUMIFS('Ventas '!#REF!,'Ventas '!C:C,Caratula!A47,'Ventas '!A:A,"&gt;="&amp;Caratula!$W$2,'Ventas '!A:A,"&lt;="&amp;Caratula!$X$2)-VLOOKUP(A47,'Caratula (2)'!A:B,2,0),0)</f>
        <v>0</v>
      </c>
      <c r="N47" s="215">
        <f t="shared" si="1"/>
        <v>0</v>
      </c>
      <c r="O47" s="150">
        <f t="shared" si="2"/>
        <v>0</v>
      </c>
      <c r="P47" s="151"/>
      <c r="Q47" s="151"/>
      <c r="R47" s="202">
        <f t="shared" si="3"/>
        <v>0</v>
      </c>
      <c r="S47" s="170"/>
      <c r="T47" s="161">
        <f>((((((SUMIF($A:$A,A47,$R:$R))*1.08))))-((((((SUMIF($A:$A,A47,$R:$R))*1.08)/1.16)*0.16)*2/3)))</f>
        <v>0</v>
      </c>
      <c r="X47" s="81"/>
      <c r="Z47" s="82"/>
      <c r="AA47" s="83"/>
      <c r="AB47" s="83"/>
    </row>
    <row r="48" spans="1:30" ht="17.25" x14ac:dyDescent="0.3">
      <c r="A48" s="189" t="s">
        <v>377</v>
      </c>
      <c r="B48" s="73">
        <f>(SUMIFS(Tabla4[[#All],[Comisión a Pagar]],Tabla4[[#All],[Asesor]],Caratula!A10,Tabla4[[#All],[Fecha Cobranza]],"&lt;"&amp;$X$3,Tabla4[[#All],[Fecha Cobranza]],"&gt;="&amp;$W$3))/2</f>
        <v>0</v>
      </c>
      <c r="C48" s="73"/>
      <c r="D48" s="73"/>
      <c r="E48" s="73"/>
      <c r="F48" s="73"/>
      <c r="G48" s="73"/>
      <c r="H48" s="73"/>
      <c r="I48" s="73">
        <f t="shared" si="4"/>
        <v>0</v>
      </c>
      <c r="J48" s="73">
        <f>SUMIFS('Ventas THD'!P:P,'Ventas THD'!C:C,A10,'Ventas THD'!A:A,"&gt;="&amp;$J$3,'Ventas THD'!A:A,"&lt;="&amp;$J$4)</f>
        <v>0</v>
      </c>
      <c r="K48" s="73">
        <v>25186880.678766057</v>
      </c>
      <c r="L48" s="73">
        <f>SUMIFS(Tabla110[[#Headers],[#Data],[Utilidad Neta Total]],Tabla110[[#Headers],[#Data],[Asesor]],Caratula!A48,Tabla110[[#Headers],[#Data],[Fecha Cobranza]],"&lt;"&amp;$X$2,Tabla110[[#Headers],[#Data],[Fecha Cobranza]],"&gt;="&amp;$W$2)</f>
        <v>0</v>
      </c>
      <c r="M48" s="73">
        <f>IF(N48&gt;0,SUMIFS('Ventas '!#REF!,'Ventas '!C:C,Caratula!A48,'Ventas '!A:A,"&gt;="&amp;Caratula!$W$2,'Ventas '!A:A,"&lt;="&amp;Caratula!$X$2)-VLOOKUP(A48,'Caratula (2)'!A:B,2,0),0)</f>
        <v>0</v>
      </c>
      <c r="N48" s="215">
        <v>0</v>
      </c>
      <c r="O48" s="150">
        <f t="shared" si="2"/>
        <v>0</v>
      </c>
      <c r="P48" s="221">
        <f>+O48</f>
        <v>0</v>
      </c>
      <c r="Q48" s="151"/>
      <c r="R48" s="202">
        <f t="shared" si="3"/>
        <v>0</v>
      </c>
      <c r="S48" s="170">
        <f>SUMIF($A:$A,A48,$R:$R)</f>
        <v>0</v>
      </c>
      <c r="T48" s="154"/>
      <c r="X48" s="81"/>
      <c r="Z48" s="82"/>
      <c r="AA48" s="83"/>
      <c r="AB48" s="83"/>
    </row>
    <row r="49" spans="1:28" ht="19.5" thickBot="1" x14ac:dyDescent="0.35">
      <c r="A49" s="157" t="s">
        <v>74</v>
      </c>
      <c r="B49" s="158" t="e">
        <f>SUBTOTAL(9,B6:B48)</f>
        <v>#REF!</v>
      </c>
      <c r="C49" s="158">
        <f t="shared" ref="C49:M49" si="7">SUBTOTAL(9,C6:C48)</f>
        <v>0</v>
      </c>
      <c r="D49" s="158">
        <f t="shared" si="7"/>
        <v>0</v>
      </c>
      <c r="E49" s="158">
        <f t="shared" si="7"/>
        <v>0</v>
      </c>
      <c r="F49" s="158" t="e">
        <f t="shared" si="7"/>
        <v>#REF!</v>
      </c>
      <c r="G49" s="158">
        <f t="shared" si="7"/>
        <v>0</v>
      </c>
      <c r="H49" s="158">
        <f t="shared" si="7"/>
        <v>0</v>
      </c>
      <c r="I49" s="158" t="e">
        <f t="shared" si="7"/>
        <v>#REF!</v>
      </c>
      <c r="J49" s="158">
        <f t="shared" si="7"/>
        <v>0</v>
      </c>
      <c r="K49" s="158">
        <f>SUBTOTAL(9,K6:K48)</f>
        <v>25186880.678766057</v>
      </c>
      <c r="L49" s="158">
        <f t="shared" si="7"/>
        <v>0</v>
      </c>
      <c r="M49" s="158">
        <f t="shared" si="7"/>
        <v>0</v>
      </c>
      <c r="N49" s="158"/>
      <c r="O49" s="158" t="e">
        <f t="shared" ref="O49:T49" si="8">SUBTOTAL(9,O6:O48)</f>
        <v>#REF!</v>
      </c>
      <c r="P49" s="158" t="e">
        <f t="shared" si="8"/>
        <v>#REF!</v>
      </c>
      <c r="Q49" s="158">
        <f t="shared" si="8"/>
        <v>0</v>
      </c>
      <c r="R49" s="203" t="e">
        <f t="shared" si="8"/>
        <v>#REF!</v>
      </c>
      <c r="S49" s="171" t="e">
        <f t="shared" si="8"/>
        <v>#REF!</v>
      </c>
      <c r="T49" s="159" t="e">
        <f t="shared" si="8"/>
        <v>#REF!</v>
      </c>
      <c r="X49" s="81"/>
      <c r="Z49" s="82"/>
      <c r="AA49" s="83"/>
      <c r="AB49" s="83"/>
    </row>
    <row r="50" spans="1:28" x14ac:dyDescent="0.25">
      <c r="B50" s="81"/>
      <c r="C50" s="81"/>
      <c r="D50" s="81"/>
      <c r="E50" s="81"/>
      <c r="F50" s="81"/>
      <c r="G50" s="81"/>
      <c r="H50" s="81"/>
      <c r="I50" s="81"/>
      <c r="J50" s="81" t="e">
        <f>+J49-'Ventas '!#REF!</f>
        <v>#REF!</v>
      </c>
      <c r="K50" s="81"/>
      <c r="L50" s="81"/>
      <c r="M50" s="81"/>
      <c r="N50" s="81"/>
      <c r="O50" s="81"/>
      <c r="P50" s="84"/>
      <c r="Q50" s="84"/>
    </row>
    <row r="51" spans="1:28" x14ac:dyDescent="0.25">
      <c r="B51" s="84"/>
      <c r="C51" s="84"/>
      <c r="D51" s="84"/>
      <c r="J51" s="47"/>
      <c r="M51" s="52">
        <f>+M49/K49</f>
        <v>0</v>
      </c>
      <c r="N51" s="52"/>
      <c r="P51" s="165"/>
      <c r="R51" s="220" t="e">
        <f>+R49/K49</f>
        <v>#REF!</v>
      </c>
    </row>
    <row r="52" spans="1:28" x14ac:dyDescent="0.25">
      <c r="B52" s="47"/>
      <c r="F52" s="47"/>
      <c r="K52" s="165"/>
    </row>
    <row r="53" spans="1:28" x14ac:dyDescent="0.25">
      <c r="F53" s="47"/>
      <c r="J53" s="165"/>
    </row>
    <row r="54" spans="1:28" x14ac:dyDescent="0.25">
      <c r="F54" s="47"/>
    </row>
    <row r="55" spans="1:28" ht="16.5" x14ac:dyDescent="0.3">
      <c r="A55" s="85"/>
      <c r="B55" s="86"/>
      <c r="C55" s="86"/>
      <c r="D55" s="86"/>
      <c r="E55" s="86"/>
      <c r="F55" s="94"/>
      <c r="G55" s="85"/>
      <c r="H55" s="85"/>
      <c r="I55" s="85"/>
      <c r="J55" s="85"/>
      <c r="K55" s="85"/>
      <c r="L55" s="85"/>
      <c r="M55" s="85"/>
      <c r="N55" s="85"/>
      <c r="O55" s="85"/>
      <c r="P55" s="87"/>
      <c r="Q55" s="87"/>
      <c r="R55" s="87"/>
      <c r="S55" s="88"/>
      <c r="T55" s="88"/>
    </row>
    <row r="56" spans="1:28" ht="15.75" x14ac:dyDescent="0.3">
      <c r="B56" s="615" t="s">
        <v>162</v>
      </c>
      <c r="C56" s="615"/>
      <c r="D56" s="615"/>
      <c r="E56" s="615"/>
      <c r="F56" s="89"/>
      <c r="G56" s="89"/>
      <c r="H56" s="89"/>
      <c r="I56" s="89"/>
      <c r="J56" s="89"/>
      <c r="K56" s="89"/>
      <c r="L56" s="89"/>
      <c r="M56" s="89"/>
      <c r="N56" s="89"/>
      <c r="O56" s="89"/>
      <c r="P56" s="613" t="s">
        <v>165</v>
      </c>
      <c r="Q56" s="613"/>
      <c r="R56" s="613"/>
      <c r="S56" s="90"/>
      <c r="T56" s="90"/>
    </row>
    <row r="57" spans="1:28" ht="15.75" x14ac:dyDescent="0.3">
      <c r="B57" s="614" t="s">
        <v>161</v>
      </c>
      <c r="C57" s="614"/>
      <c r="D57" s="614"/>
      <c r="E57" s="614"/>
      <c r="F57" s="48"/>
      <c r="G57" s="48"/>
      <c r="H57" s="48"/>
      <c r="I57" s="48"/>
      <c r="J57" s="48"/>
      <c r="K57" s="48"/>
      <c r="L57" s="48"/>
      <c r="M57" s="48"/>
      <c r="N57" s="48"/>
      <c r="O57" s="48"/>
      <c r="P57" s="48"/>
      <c r="Q57" s="48"/>
      <c r="R57" s="89"/>
      <c r="S57" s="89"/>
      <c r="T57" s="89"/>
    </row>
    <row r="58" spans="1:28" ht="15.75" x14ac:dyDescent="0.3">
      <c r="B58" s="48"/>
      <c r="C58" s="48"/>
      <c r="D58" s="48"/>
      <c r="E58" s="48"/>
      <c r="F58" s="48"/>
      <c r="G58" s="48"/>
      <c r="H58" s="48"/>
      <c r="I58" s="48"/>
      <c r="J58" s="48"/>
      <c r="K58" s="48"/>
      <c r="L58" s="48"/>
      <c r="M58" s="48"/>
      <c r="N58" s="48"/>
      <c r="O58" s="48"/>
      <c r="P58" s="89"/>
      <c r="Q58" s="89"/>
      <c r="R58" s="89"/>
      <c r="S58" s="89"/>
      <c r="T58" s="89"/>
    </row>
    <row r="59" spans="1:28" ht="15.75" x14ac:dyDescent="0.3">
      <c r="B59" s="48"/>
      <c r="C59" s="48"/>
      <c r="D59" s="48"/>
      <c r="E59" s="48"/>
      <c r="F59" s="48"/>
      <c r="G59" s="48"/>
      <c r="H59" s="48"/>
      <c r="I59" s="48"/>
      <c r="J59" s="48"/>
      <c r="K59" s="48"/>
      <c r="L59" s="48"/>
      <c r="M59" s="48"/>
      <c r="N59" s="48"/>
      <c r="O59" s="48"/>
      <c r="P59" s="89"/>
      <c r="Q59" s="89"/>
      <c r="R59" s="89"/>
      <c r="S59" s="89"/>
      <c r="T59" s="89"/>
    </row>
    <row r="60" spans="1:28" ht="15.75" x14ac:dyDescent="0.3">
      <c r="B60" s="91"/>
      <c r="C60" s="91"/>
      <c r="D60" s="91"/>
      <c r="E60" s="91"/>
      <c r="F60" s="89"/>
      <c r="G60" s="89"/>
      <c r="H60" s="89"/>
      <c r="I60" s="89"/>
      <c r="J60" s="89"/>
      <c r="K60" s="89"/>
      <c r="L60" s="89"/>
      <c r="M60" s="89"/>
      <c r="N60" s="89"/>
      <c r="O60" s="89"/>
      <c r="P60" s="92"/>
      <c r="Q60" s="92"/>
      <c r="R60" s="91"/>
      <c r="S60" s="89"/>
      <c r="T60" s="89"/>
    </row>
    <row r="61" spans="1:28" ht="15.75" x14ac:dyDescent="0.3">
      <c r="B61" s="614" t="s">
        <v>163</v>
      </c>
      <c r="C61" s="614"/>
      <c r="D61" s="614"/>
      <c r="E61" s="614"/>
      <c r="F61" s="89"/>
      <c r="G61" s="89"/>
      <c r="H61" s="89"/>
      <c r="I61" s="89"/>
      <c r="J61" s="89"/>
      <c r="K61" s="89"/>
      <c r="L61" s="89"/>
      <c r="M61" s="89"/>
      <c r="N61" s="89"/>
      <c r="O61" s="89"/>
      <c r="P61" s="612" t="s">
        <v>164</v>
      </c>
      <c r="Q61" s="612"/>
      <c r="R61" s="612"/>
      <c r="S61" s="90"/>
      <c r="T61" s="90"/>
    </row>
    <row r="62" spans="1:28" x14ac:dyDescent="0.25">
      <c r="A62" s="75"/>
      <c r="B62" s="75"/>
      <c r="C62" s="75"/>
      <c r="D62" s="75"/>
      <c r="E62" s="75"/>
      <c r="F62" s="75"/>
      <c r="G62" s="75"/>
      <c r="H62" s="75"/>
      <c r="I62" s="75"/>
      <c r="J62" s="75"/>
      <c r="K62" s="75"/>
      <c r="L62" s="75"/>
      <c r="M62" s="75"/>
      <c r="N62" s="75"/>
      <c r="O62" s="75"/>
      <c r="P62" s="75"/>
      <c r="Q62" s="75"/>
      <c r="R62" s="75"/>
      <c r="S62" s="75"/>
      <c r="T62" s="75"/>
    </row>
    <row r="65" spans="1:15" x14ac:dyDescent="0.25">
      <c r="B65" s="75"/>
      <c r="C65" s="75"/>
      <c r="D65" s="75"/>
      <c r="E65" s="75"/>
      <c r="F65" s="75"/>
      <c r="G65" s="75"/>
      <c r="H65" s="75"/>
      <c r="I65" s="75"/>
      <c r="J65" s="75"/>
      <c r="K65" s="75"/>
      <c r="L65" s="75"/>
      <c r="M65" s="75"/>
      <c r="N65" s="75"/>
      <c r="O65" s="75"/>
    </row>
    <row r="66" spans="1:15" x14ac:dyDescent="0.25">
      <c r="B66" s="93"/>
      <c r="C66" s="93"/>
      <c r="D66" s="93"/>
      <c r="E66" s="93"/>
      <c r="F66" s="93"/>
      <c r="G66" s="93"/>
      <c r="H66" s="93"/>
      <c r="I66" s="93"/>
      <c r="J66" s="93"/>
      <c r="K66" s="93"/>
      <c r="L66" s="93"/>
      <c r="M66" s="93"/>
      <c r="N66" s="93"/>
      <c r="O66" s="93"/>
    </row>
    <row r="68" spans="1:15" x14ac:dyDescent="0.25">
      <c r="A68" s="75"/>
    </row>
    <row r="69" spans="1:15" x14ac:dyDescent="0.25">
      <c r="K69" s="47"/>
    </row>
    <row r="70" spans="1:15" x14ac:dyDescent="0.25">
      <c r="K70" s="47"/>
    </row>
  </sheetData>
  <sheetProtection formatColumns="0" formatRows="0" insertRows="0" deleteRows="0" selectLockedCells="1" autoFilter="0"/>
  <mergeCells count="21">
    <mergeCell ref="P61:R61"/>
    <mergeCell ref="P56:R56"/>
    <mergeCell ref="B61:E61"/>
    <mergeCell ref="B56:E56"/>
    <mergeCell ref="B57:E57"/>
    <mergeCell ref="T3:T5"/>
    <mergeCell ref="B3:G3"/>
    <mergeCell ref="A3:A5"/>
    <mergeCell ref="P3:P5"/>
    <mergeCell ref="R3:R5"/>
    <mergeCell ref="I3:I5"/>
    <mergeCell ref="K3:K5"/>
    <mergeCell ref="M3:M5"/>
    <mergeCell ref="L3:L5"/>
    <mergeCell ref="O3:O5"/>
    <mergeCell ref="Q3:Q5"/>
    <mergeCell ref="A1:H1"/>
    <mergeCell ref="N3:N5"/>
    <mergeCell ref="I1:L1"/>
    <mergeCell ref="A2:L2"/>
    <mergeCell ref="S3:S5"/>
  </mergeCells>
  <printOptions horizontalCentered="1" verticalCentered="1"/>
  <pageMargins left="0.24" right="0.27" top="0.41" bottom="0.37" header="0.31496062992125984" footer="0.31496062992125984"/>
  <pageSetup paperSize="9" scale="37"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F2A0-516A-4AD0-B9FE-8E26BA3CE6F5}">
  <sheetPr codeName="Hoja9">
    <pageSetUpPr fitToPage="1"/>
  </sheetPr>
  <dimension ref="A1:AG68"/>
  <sheetViews>
    <sheetView topLeftCell="A33" zoomScale="55" zoomScaleNormal="55" workbookViewId="0">
      <selection activeCell="B59" sqref="B59:E59"/>
    </sheetView>
  </sheetViews>
  <sheetFormatPr baseColWidth="10" defaultColWidth="11.42578125" defaultRowHeight="15" x14ac:dyDescent="0.25"/>
  <cols>
    <col min="1" max="1" width="38.42578125" style="46" customWidth="1"/>
    <col min="2" max="2" width="21.7109375" style="46" customWidth="1"/>
    <col min="3" max="4" width="19.7109375" style="46" customWidth="1"/>
    <col min="5" max="5" width="19" style="46" hidden="1" customWidth="1"/>
    <col min="6" max="6" width="19" style="46" customWidth="1"/>
    <col min="7" max="7" width="19" style="46" hidden="1" customWidth="1"/>
    <col min="8" max="8" width="17.7109375" style="46" hidden="1" customWidth="1"/>
    <col min="9" max="9" width="18.140625" style="46" customWidth="1"/>
    <col min="10" max="10" width="21.5703125" style="46" customWidth="1"/>
    <col min="11" max="12" width="21.7109375" style="46" customWidth="1"/>
    <col min="13" max="13" width="19.140625" style="46" customWidth="1"/>
    <col min="14" max="14" width="17.140625" style="46" customWidth="1"/>
    <col min="15" max="16" width="18.140625" style="46" customWidth="1"/>
    <col min="17" max="17" width="9.85546875" style="46" customWidth="1"/>
    <col min="18" max="20" width="18.140625" style="46" customWidth="1"/>
    <col min="21" max="21" width="11.42578125" style="46"/>
    <col min="22" max="22" width="15" style="46" bestFit="1" customWidth="1"/>
    <col min="23" max="23" width="14.85546875" style="46" bestFit="1" customWidth="1"/>
    <col min="24" max="24" width="14.42578125" style="46" bestFit="1" customWidth="1"/>
    <col min="25" max="25" width="11.42578125" style="46"/>
    <col min="26" max="26" width="44.140625" style="46" hidden="1" customWidth="1"/>
    <col min="27" max="27" width="13.5703125" style="46" hidden="1" customWidth="1"/>
    <col min="28" max="28" width="19" style="46" hidden="1" customWidth="1"/>
    <col min="29" max="29" width="15.85546875" style="46" customWidth="1"/>
    <col min="30" max="30" width="15" style="47" bestFit="1" customWidth="1"/>
    <col min="31" max="31" width="11.42578125" style="46" hidden="1" customWidth="1"/>
    <col min="32" max="16384" width="11.42578125" style="46"/>
  </cols>
  <sheetData>
    <row r="1" spans="1:33" ht="31.5" x14ac:dyDescent="0.25">
      <c r="A1" s="589" t="s">
        <v>324</v>
      </c>
      <c r="B1" s="590"/>
      <c r="C1" s="590"/>
      <c r="D1" s="590"/>
      <c r="E1" s="590"/>
      <c r="F1" s="590"/>
      <c r="G1" s="590"/>
      <c r="H1" s="590"/>
      <c r="I1" s="590" t="s">
        <v>473</v>
      </c>
      <c r="J1" s="590"/>
      <c r="K1" s="590"/>
      <c r="L1" s="590"/>
      <c r="M1" s="218"/>
      <c r="N1" s="218"/>
      <c r="O1" s="218"/>
      <c r="P1" s="218"/>
      <c r="Q1" s="218"/>
      <c r="R1" s="218"/>
      <c r="S1" s="218"/>
      <c r="T1" s="218"/>
      <c r="W1" s="46" t="s">
        <v>330</v>
      </c>
      <c r="X1" s="46" t="s">
        <v>331</v>
      </c>
    </row>
    <row r="2" spans="1:33" ht="31.5" thickBot="1" x14ac:dyDescent="0.3">
      <c r="A2" s="594" t="s">
        <v>472</v>
      </c>
      <c r="B2" s="595"/>
      <c r="C2" s="595"/>
      <c r="D2" s="595"/>
      <c r="E2" s="595"/>
      <c r="F2" s="595"/>
      <c r="G2" s="595"/>
      <c r="H2" s="595"/>
      <c r="I2" s="595"/>
      <c r="J2" s="595"/>
      <c r="K2" s="595"/>
      <c r="L2" s="595"/>
      <c r="M2" s="219"/>
      <c r="N2" s="219"/>
      <c r="O2" s="219"/>
      <c r="P2" s="219"/>
      <c r="Q2" s="219"/>
      <c r="R2" s="219"/>
      <c r="S2" s="219"/>
      <c r="T2" s="219"/>
      <c r="V2" s="75" t="s">
        <v>341</v>
      </c>
      <c r="W2" s="100">
        <v>44915</v>
      </c>
      <c r="X2" s="100">
        <v>44915</v>
      </c>
      <c r="Z2" s="77" t="s">
        <v>0</v>
      </c>
      <c r="AA2" s="78" t="s">
        <v>160</v>
      </c>
      <c r="AB2" s="78" t="s">
        <v>159</v>
      </c>
      <c r="AF2" s="102">
        <v>0.1</v>
      </c>
    </row>
    <row r="3" spans="1:33" ht="17.25" x14ac:dyDescent="0.3">
      <c r="A3" s="630" t="s">
        <v>325</v>
      </c>
      <c r="B3" s="633" t="s">
        <v>324</v>
      </c>
      <c r="C3" s="634"/>
      <c r="D3" s="634"/>
      <c r="E3" s="634"/>
      <c r="F3" s="634"/>
      <c r="G3" s="635"/>
      <c r="H3" s="175"/>
      <c r="I3" s="621" t="s">
        <v>324</v>
      </c>
      <c r="J3" s="181">
        <v>44896</v>
      </c>
      <c r="K3" s="591" t="s">
        <v>340</v>
      </c>
      <c r="L3" s="591" t="s">
        <v>454</v>
      </c>
      <c r="M3" s="591" t="s">
        <v>451</v>
      </c>
      <c r="N3" s="591" t="s">
        <v>452</v>
      </c>
      <c r="O3" s="591" t="s">
        <v>352</v>
      </c>
      <c r="P3" s="621" t="s">
        <v>326</v>
      </c>
      <c r="Q3" s="591" t="s">
        <v>366</v>
      </c>
      <c r="R3" s="624" t="s">
        <v>73</v>
      </c>
      <c r="S3" s="627" t="s">
        <v>332</v>
      </c>
      <c r="T3" s="616" t="s">
        <v>333</v>
      </c>
      <c r="V3" s="75" t="s">
        <v>328</v>
      </c>
      <c r="W3" s="76">
        <v>44896</v>
      </c>
      <c r="X3" s="76">
        <v>44911</v>
      </c>
      <c r="Z3" s="79" t="s">
        <v>116</v>
      </c>
      <c r="AA3" s="80"/>
      <c r="AB3" s="80">
        <v>694.61379093793767</v>
      </c>
      <c r="AC3" s="46">
        <v>0</v>
      </c>
      <c r="AD3" s="47">
        <v>1000000</v>
      </c>
      <c r="AE3" s="101">
        <v>0.3</v>
      </c>
      <c r="AF3" s="52">
        <v>0.13</v>
      </c>
    </row>
    <row r="4" spans="1:33" ht="17.850000000000001" customHeight="1" x14ac:dyDescent="0.3">
      <c r="A4" s="631"/>
      <c r="B4" s="176"/>
      <c r="C4" s="176"/>
      <c r="D4" s="176"/>
      <c r="E4" s="177">
        <v>0.35</v>
      </c>
      <c r="F4" s="177">
        <v>0.15</v>
      </c>
      <c r="G4" s="177">
        <v>0.15</v>
      </c>
      <c r="H4" s="177">
        <v>0.1</v>
      </c>
      <c r="I4" s="622"/>
      <c r="J4" s="182">
        <v>44910</v>
      </c>
      <c r="K4" s="592"/>
      <c r="L4" s="592"/>
      <c r="M4" s="592"/>
      <c r="N4" s="592"/>
      <c r="O4" s="592"/>
      <c r="P4" s="622"/>
      <c r="Q4" s="592"/>
      <c r="R4" s="625"/>
      <c r="S4" s="628"/>
      <c r="T4" s="617"/>
      <c r="V4" s="75" t="s">
        <v>329</v>
      </c>
      <c r="W4" s="76">
        <v>44861</v>
      </c>
      <c r="X4" s="164"/>
      <c r="Z4" s="79"/>
      <c r="AA4" s="80"/>
      <c r="AB4" s="80"/>
      <c r="AC4" s="84">
        <v>1000001</v>
      </c>
      <c r="AD4" s="47">
        <v>1500000</v>
      </c>
      <c r="AE4" s="101">
        <v>0.5</v>
      </c>
      <c r="AF4" s="52">
        <v>0.15000000000000002</v>
      </c>
      <c r="AG4" s="103">
        <v>2.0000000000000018E-2</v>
      </c>
    </row>
    <row r="5" spans="1:33" ht="39.4" customHeight="1" thickBot="1" x14ac:dyDescent="0.35">
      <c r="A5" s="632"/>
      <c r="B5" s="178" t="s">
        <v>0</v>
      </c>
      <c r="C5" s="179" t="s">
        <v>345</v>
      </c>
      <c r="D5" s="179" t="s">
        <v>470</v>
      </c>
      <c r="E5" s="178" t="s">
        <v>321</v>
      </c>
      <c r="F5" s="178" t="s">
        <v>322</v>
      </c>
      <c r="G5" s="178" t="s">
        <v>323</v>
      </c>
      <c r="H5" s="178" t="s">
        <v>344</v>
      </c>
      <c r="I5" s="623"/>
      <c r="J5" s="180" t="s">
        <v>340</v>
      </c>
      <c r="K5" s="593"/>
      <c r="L5" s="593"/>
      <c r="M5" s="620"/>
      <c r="N5" s="593"/>
      <c r="O5" s="593"/>
      <c r="P5" s="623"/>
      <c r="Q5" s="593"/>
      <c r="R5" s="626"/>
      <c r="S5" s="629"/>
      <c r="T5" s="618"/>
      <c r="Z5" s="79" t="s">
        <v>117</v>
      </c>
      <c r="AA5" s="80">
        <v>0</v>
      </c>
      <c r="AB5" s="80"/>
      <c r="AC5" s="84">
        <v>1500001</v>
      </c>
      <c r="AD5" s="47">
        <v>2000000</v>
      </c>
      <c r="AE5" s="101">
        <v>0.75</v>
      </c>
      <c r="AF5" s="52">
        <v>0.17500000000000002</v>
      </c>
      <c r="AG5" s="103">
        <v>4.5000000000000012E-2</v>
      </c>
    </row>
    <row r="6" spans="1:33" ht="18" thickBot="1" x14ac:dyDescent="0.35">
      <c r="A6" s="186" t="s">
        <v>269</v>
      </c>
      <c r="B6" s="72">
        <v>8111.1313408391889</v>
      </c>
      <c r="C6" s="72">
        <v>15601.440184092911</v>
      </c>
      <c r="D6" s="72">
        <v>244989.21699235978</v>
      </c>
      <c r="E6" s="72"/>
      <c r="F6" s="72"/>
      <c r="G6" s="72"/>
      <c r="H6" s="72"/>
      <c r="I6" s="72">
        <v>8111.1313408391889</v>
      </c>
      <c r="J6" s="72">
        <v>1140300.7291999999</v>
      </c>
      <c r="K6" s="72">
        <v>0</v>
      </c>
      <c r="L6" s="72">
        <v>0</v>
      </c>
      <c r="M6" s="73">
        <v>0</v>
      </c>
      <c r="N6" s="213">
        <v>0</v>
      </c>
      <c r="O6" s="152">
        <v>8111.1313408391889</v>
      </c>
      <c r="P6" s="153"/>
      <c r="Q6" s="153"/>
      <c r="R6" s="172">
        <v>8111.1313408391889</v>
      </c>
      <c r="S6" s="168"/>
      <c r="T6" s="161">
        <v>8111.1313408391889</v>
      </c>
      <c r="X6" s="81"/>
      <c r="Z6" s="79" t="s">
        <v>13</v>
      </c>
      <c r="AA6" s="80">
        <v>0</v>
      </c>
      <c r="AB6" s="80">
        <v>0</v>
      </c>
      <c r="AC6" s="84">
        <v>2000001</v>
      </c>
      <c r="AD6" s="47">
        <v>3000000</v>
      </c>
      <c r="AE6" s="101">
        <v>1</v>
      </c>
      <c r="AF6" s="52">
        <v>0.2</v>
      </c>
      <c r="AG6" s="103">
        <v>7.0000000000000007E-2</v>
      </c>
    </row>
    <row r="7" spans="1:33" ht="17.25" x14ac:dyDescent="0.3">
      <c r="A7" s="187" t="s">
        <v>267</v>
      </c>
      <c r="B7" s="73">
        <v>9366.1669799400079</v>
      </c>
      <c r="C7" s="73">
        <v>70403.856551790333</v>
      </c>
      <c r="D7" s="73">
        <v>126086.87640059365</v>
      </c>
      <c r="E7" s="73"/>
      <c r="F7" s="73"/>
      <c r="G7" s="73"/>
      <c r="H7" s="73"/>
      <c r="I7" s="73">
        <v>9366.1669799400079</v>
      </c>
      <c r="J7" s="73">
        <v>313584.26159999997</v>
      </c>
      <c r="K7" s="73">
        <v>0</v>
      </c>
      <c r="L7" s="73">
        <v>0</v>
      </c>
      <c r="M7" s="72">
        <v>0</v>
      </c>
      <c r="N7" s="214">
        <v>0</v>
      </c>
      <c r="O7" s="150">
        <v>9366.1669799400079</v>
      </c>
      <c r="P7" s="221">
        <v>4683.0834899700039</v>
      </c>
      <c r="Q7" s="151"/>
      <c r="R7" s="173">
        <v>4683.0834899700039</v>
      </c>
      <c r="S7" s="169"/>
      <c r="T7" s="161">
        <v>4592.6515329223075</v>
      </c>
      <c r="V7" s="84"/>
      <c r="X7" s="81"/>
      <c r="Z7" s="82"/>
      <c r="AA7" s="192"/>
      <c r="AB7" s="192"/>
      <c r="AC7" s="84">
        <v>3000001</v>
      </c>
      <c r="AD7" s="149">
        <v>4000000</v>
      </c>
      <c r="AE7" s="101">
        <v>1.5</v>
      </c>
      <c r="AF7" s="193">
        <v>0.25</v>
      </c>
      <c r="AG7" s="103">
        <v>0.12</v>
      </c>
    </row>
    <row r="8" spans="1:33" ht="17.25" x14ac:dyDescent="0.3">
      <c r="A8" s="187" t="s">
        <v>351</v>
      </c>
      <c r="B8" s="73">
        <v>0</v>
      </c>
      <c r="C8" s="73">
        <v>0</v>
      </c>
      <c r="D8" s="73">
        <v>0</v>
      </c>
      <c r="E8" s="73"/>
      <c r="F8" s="73"/>
      <c r="G8" s="73"/>
      <c r="H8" s="73"/>
      <c r="I8" s="73">
        <v>0</v>
      </c>
      <c r="J8" s="73">
        <v>0</v>
      </c>
      <c r="K8" s="73">
        <v>0</v>
      </c>
      <c r="L8" s="73">
        <v>0</v>
      </c>
      <c r="M8" s="73">
        <v>0</v>
      </c>
      <c r="N8" s="215">
        <v>0</v>
      </c>
      <c r="O8" s="150">
        <v>0</v>
      </c>
      <c r="P8" s="151"/>
      <c r="Q8" s="151"/>
      <c r="R8" s="173">
        <v>0</v>
      </c>
      <c r="S8" s="170">
        <v>0</v>
      </c>
      <c r="T8" s="154"/>
      <c r="V8" s="84"/>
      <c r="X8" s="81"/>
      <c r="Z8" s="82"/>
      <c r="AA8" s="83"/>
      <c r="AB8" s="83"/>
      <c r="AC8" s="84">
        <v>4000000</v>
      </c>
      <c r="AE8" s="101"/>
      <c r="AF8" s="52">
        <v>0.3</v>
      </c>
      <c r="AG8" s="103"/>
    </row>
    <row r="9" spans="1:33" ht="17.25" x14ac:dyDescent="0.3">
      <c r="A9" s="187" t="s">
        <v>116</v>
      </c>
      <c r="B9" s="73">
        <v>1416.5822740647111</v>
      </c>
      <c r="C9" s="73">
        <v>10703.26585575179</v>
      </c>
      <c r="D9" s="73">
        <v>22445.486319809072</v>
      </c>
      <c r="E9" s="73"/>
      <c r="F9" s="73"/>
      <c r="G9" s="73"/>
      <c r="H9" s="73"/>
      <c r="I9" s="73">
        <v>1416.5822740647111</v>
      </c>
      <c r="J9" s="73">
        <v>61586.221199999993</v>
      </c>
      <c r="K9" s="73">
        <v>0</v>
      </c>
      <c r="L9" s="73">
        <v>0</v>
      </c>
      <c r="M9" s="73">
        <v>0</v>
      </c>
      <c r="N9" s="215">
        <v>0</v>
      </c>
      <c r="O9" s="150">
        <v>1416.5822740647111</v>
      </c>
      <c r="P9" s="221">
        <v>708.29113703235555</v>
      </c>
      <c r="Q9" s="151"/>
      <c r="R9" s="173">
        <v>708.29113703235555</v>
      </c>
      <c r="S9" s="169"/>
      <c r="T9" s="161">
        <v>694.61379093793767</v>
      </c>
      <c r="U9" s="165"/>
      <c r="V9" s="84"/>
      <c r="X9" s="81"/>
      <c r="Z9" s="82"/>
      <c r="AA9" s="83"/>
      <c r="AB9" s="83"/>
      <c r="AC9" s="84"/>
      <c r="AE9" s="101"/>
      <c r="AF9" s="52"/>
      <c r="AG9" s="103"/>
    </row>
    <row r="10" spans="1:33" ht="17.25" x14ac:dyDescent="0.3">
      <c r="A10" s="187" t="s">
        <v>280</v>
      </c>
      <c r="B10" s="166">
        <v>5756.9382227898241</v>
      </c>
      <c r="C10" s="73">
        <v>44284.14017530634</v>
      </c>
      <c r="D10" s="73">
        <v>66346.81471946642</v>
      </c>
      <c r="E10" s="73"/>
      <c r="F10" s="73"/>
      <c r="G10" s="73"/>
      <c r="H10" s="73"/>
      <c r="I10" s="73">
        <v>5756.9382227898241</v>
      </c>
      <c r="J10" s="73">
        <v>139889.0632</v>
      </c>
      <c r="K10" s="73">
        <v>0</v>
      </c>
      <c r="L10" s="73">
        <v>0</v>
      </c>
      <c r="M10" s="73">
        <v>0</v>
      </c>
      <c r="N10" s="215">
        <v>0</v>
      </c>
      <c r="O10" s="150">
        <v>5756.9382227898241</v>
      </c>
      <c r="P10" s="221">
        <v>5756.9382227898241</v>
      </c>
      <c r="Q10" s="151"/>
      <c r="R10" s="173">
        <v>0</v>
      </c>
      <c r="S10" s="170">
        <v>0</v>
      </c>
      <c r="T10" s="154"/>
      <c r="V10" s="84"/>
      <c r="X10" s="81"/>
      <c r="Z10" s="82"/>
      <c r="AA10" s="83"/>
      <c r="AB10" s="83"/>
      <c r="AC10" s="84"/>
      <c r="AD10" s="47">
        <v>0</v>
      </c>
      <c r="AE10" s="101"/>
      <c r="AF10" s="52"/>
      <c r="AG10" s="103"/>
    </row>
    <row r="11" spans="1:33" ht="17.25" x14ac:dyDescent="0.3">
      <c r="A11" s="187" t="s">
        <v>339</v>
      </c>
      <c r="B11" s="73">
        <v>8946.2710129097868</v>
      </c>
      <c r="C11" s="73">
        <v>67834.879591365709</v>
      </c>
      <c r="D11" s="73">
        <v>144486.44717299813</v>
      </c>
      <c r="E11" s="73"/>
      <c r="F11" s="73"/>
      <c r="G11" s="73"/>
      <c r="H11" s="73"/>
      <c r="I11" s="73">
        <v>8946.2710129097868</v>
      </c>
      <c r="J11" s="73">
        <v>400083.62879999995</v>
      </c>
      <c r="K11" s="73">
        <v>0</v>
      </c>
      <c r="L11" s="73">
        <v>0</v>
      </c>
      <c r="M11" s="73">
        <v>0</v>
      </c>
      <c r="N11" s="215">
        <v>0</v>
      </c>
      <c r="O11" s="150">
        <v>8946.2710129097868</v>
      </c>
      <c r="P11" s="151"/>
      <c r="Q11" s="151"/>
      <c r="R11" s="173">
        <v>8946.2710129097868</v>
      </c>
      <c r="S11" s="169"/>
      <c r="T11" s="161">
        <v>8773.515434729461</v>
      </c>
      <c r="V11" s="84"/>
      <c r="X11" s="81"/>
      <c r="Z11" s="82"/>
      <c r="AA11" s="83"/>
      <c r="AB11" s="83"/>
      <c r="AC11" s="84"/>
      <c r="AE11" s="101"/>
      <c r="AF11" s="52"/>
      <c r="AG11" s="103"/>
    </row>
    <row r="12" spans="1:33" ht="17.25" x14ac:dyDescent="0.3">
      <c r="A12" s="187" t="s">
        <v>468</v>
      </c>
      <c r="B12" s="73">
        <v>0</v>
      </c>
      <c r="C12" s="73">
        <v>0</v>
      </c>
      <c r="D12" s="73">
        <v>0</v>
      </c>
      <c r="E12" s="73"/>
      <c r="F12" s="73"/>
      <c r="G12" s="73"/>
      <c r="H12" s="73"/>
      <c r="I12" s="73">
        <v>0</v>
      </c>
      <c r="J12" s="73">
        <v>0</v>
      </c>
      <c r="K12" s="73">
        <v>0</v>
      </c>
      <c r="L12" s="73">
        <v>0</v>
      </c>
      <c r="M12" s="73">
        <v>0</v>
      </c>
      <c r="N12" s="215">
        <v>0</v>
      </c>
      <c r="O12" s="150">
        <v>0</v>
      </c>
      <c r="P12" s="151"/>
      <c r="Q12" s="151"/>
      <c r="R12" s="173">
        <v>0</v>
      </c>
      <c r="S12" s="170">
        <v>0</v>
      </c>
      <c r="T12" s="161"/>
      <c r="V12" s="84"/>
      <c r="X12" s="81"/>
      <c r="Z12" s="82"/>
      <c r="AA12" s="83"/>
      <c r="AB12" s="83"/>
      <c r="AC12" s="84"/>
      <c r="AE12" s="101"/>
      <c r="AF12" s="52"/>
      <c r="AG12" s="103"/>
    </row>
    <row r="13" spans="1:33" ht="17.25" x14ac:dyDescent="0.3">
      <c r="A13" s="187" t="s">
        <v>402</v>
      </c>
      <c r="B13" s="166">
        <v>0</v>
      </c>
      <c r="C13" s="73">
        <v>0</v>
      </c>
      <c r="D13" s="73">
        <v>0</v>
      </c>
      <c r="E13" s="73"/>
      <c r="F13" s="73"/>
      <c r="G13" s="73"/>
      <c r="H13" s="73"/>
      <c r="I13" s="73">
        <v>0</v>
      </c>
      <c r="J13" s="73">
        <v>0</v>
      </c>
      <c r="K13" s="73">
        <v>0</v>
      </c>
      <c r="L13" s="73">
        <v>0</v>
      </c>
      <c r="M13" s="73">
        <v>0</v>
      </c>
      <c r="N13" s="215">
        <v>0</v>
      </c>
      <c r="O13" s="150">
        <v>0</v>
      </c>
      <c r="P13" s="151"/>
      <c r="Q13" s="151"/>
      <c r="R13" s="173">
        <v>0</v>
      </c>
      <c r="S13" s="170">
        <v>0</v>
      </c>
      <c r="T13" s="154"/>
      <c r="V13" s="84"/>
      <c r="X13" s="81"/>
      <c r="Z13" s="82"/>
      <c r="AA13" s="83"/>
      <c r="AB13" s="83"/>
      <c r="AC13" s="84"/>
      <c r="AE13" s="101"/>
      <c r="AF13" s="52"/>
      <c r="AG13" s="103"/>
    </row>
    <row r="14" spans="1:33" ht="17.25" x14ac:dyDescent="0.3">
      <c r="A14" s="187" t="s">
        <v>279</v>
      </c>
      <c r="B14" s="73">
        <v>0</v>
      </c>
      <c r="C14" s="73">
        <v>0</v>
      </c>
      <c r="D14" s="73">
        <v>0</v>
      </c>
      <c r="E14" s="73"/>
      <c r="F14" s="73"/>
      <c r="G14" s="73"/>
      <c r="H14" s="73"/>
      <c r="I14" s="73">
        <v>0</v>
      </c>
      <c r="J14" s="73">
        <v>0</v>
      </c>
      <c r="K14" s="73">
        <v>0</v>
      </c>
      <c r="L14" s="73">
        <v>0</v>
      </c>
      <c r="M14" s="73">
        <v>0</v>
      </c>
      <c r="N14" s="215">
        <v>0</v>
      </c>
      <c r="O14" s="150">
        <v>0</v>
      </c>
      <c r="P14" s="151"/>
      <c r="Q14" s="151"/>
      <c r="R14" s="173">
        <v>0</v>
      </c>
      <c r="S14" s="170">
        <v>0</v>
      </c>
      <c r="T14" s="154"/>
      <c r="V14" s="84"/>
      <c r="X14" s="81"/>
      <c r="Z14" s="82"/>
      <c r="AA14" s="83"/>
      <c r="AB14" s="83"/>
      <c r="AC14" s="84"/>
      <c r="AE14" s="101"/>
      <c r="AF14" s="52"/>
      <c r="AG14" s="103"/>
    </row>
    <row r="15" spans="1:33" ht="17.25" x14ac:dyDescent="0.3">
      <c r="A15" s="187" t="s">
        <v>272</v>
      </c>
      <c r="B15" s="166">
        <v>13648.638890269393</v>
      </c>
      <c r="C15" s="73">
        <v>104690.06586250606</v>
      </c>
      <c r="D15" s="73">
        <v>248329.13598654311</v>
      </c>
      <c r="E15" s="73"/>
      <c r="F15" s="73"/>
      <c r="G15" s="73"/>
      <c r="H15" s="73"/>
      <c r="I15" s="73">
        <v>13648.638890269393</v>
      </c>
      <c r="J15" s="73">
        <v>727126.03639999998</v>
      </c>
      <c r="K15" s="73">
        <v>0</v>
      </c>
      <c r="L15" s="73">
        <v>0</v>
      </c>
      <c r="M15" s="73">
        <v>0</v>
      </c>
      <c r="N15" s="215">
        <v>0</v>
      </c>
      <c r="O15" s="150">
        <v>13648.638890269393</v>
      </c>
      <c r="P15" s="151">
        <v>6824.3194451346963</v>
      </c>
      <c r="Q15" s="151"/>
      <c r="R15" s="173">
        <v>6824.3194451346963</v>
      </c>
      <c r="S15" s="170">
        <v>6824.3194451346963</v>
      </c>
      <c r="T15" s="154"/>
      <c r="V15" s="84"/>
      <c r="X15" s="81"/>
      <c r="Z15" s="82"/>
      <c r="AA15" s="83"/>
      <c r="AB15" s="83"/>
      <c r="AC15" s="84"/>
      <c r="AE15" s="101"/>
      <c r="AF15" s="52"/>
      <c r="AG15" s="103"/>
    </row>
    <row r="16" spans="1:33" ht="17.25" x14ac:dyDescent="0.3">
      <c r="A16" s="187" t="s">
        <v>283</v>
      </c>
      <c r="B16" s="73">
        <v>0</v>
      </c>
      <c r="C16" s="73">
        <v>0</v>
      </c>
      <c r="D16" s="73">
        <v>0</v>
      </c>
      <c r="E16" s="73"/>
      <c r="F16" s="73"/>
      <c r="G16" s="73"/>
      <c r="H16" s="73"/>
      <c r="I16" s="73">
        <v>0</v>
      </c>
      <c r="J16" s="73">
        <v>0</v>
      </c>
      <c r="K16" s="73">
        <v>0</v>
      </c>
      <c r="L16" s="73">
        <v>0</v>
      </c>
      <c r="M16" s="73">
        <v>0</v>
      </c>
      <c r="N16" s="215">
        <v>0</v>
      </c>
      <c r="O16" s="150">
        <v>0</v>
      </c>
      <c r="P16" s="151">
        <v>0</v>
      </c>
      <c r="Q16" s="151"/>
      <c r="R16" s="173">
        <v>0</v>
      </c>
      <c r="S16" s="170">
        <v>0</v>
      </c>
      <c r="T16" s="154"/>
      <c r="V16" s="84"/>
      <c r="X16" s="81"/>
      <c r="Z16" s="82"/>
      <c r="AA16" s="83"/>
      <c r="AB16" s="83"/>
      <c r="AC16" s="84"/>
      <c r="AE16" s="101"/>
      <c r="AF16" s="52"/>
      <c r="AG16" s="103"/>
    </row>
    <row r="17" spans="1:33" ht="17.25" x14ac:dyDescent="0.3">
      <c r="A17" s="187" t="s">
        <v>203</v>
      </c>
      <c r="B17" s="73">
        <v>0</v>
      </c>
      <c r="C17" s="73">
        <v>0</v>
      </c>
      <c r="D17" s="73">
        <v>0</v>
      </c>
      <c r="E17" s="73"/>
      <c r="F17" s="73"/>
      <c r="G17" s="73"/>
      <c r="H17" s="73"/>
      <c r="I17" s="73">
        <v>0</v>
      </c>
      <c r="J17" s="73">
        <v>0</v>
      </c>
      <c r="K17" s="73">
        <v>0</v>
      </c>
      <c r="L17" s="73">
        <v>0</v>
      </c>
      <c r="M17" s="73">
        <v>0</v>
      </c>
      <c r="N17" s="215">
        <v>0</v>
      </c>
      <c r="O17" s="150">
        <v>0</v>
      </c>
      <c r="P17" s="151"/>
      <c r="Q17" s="151"/>
      <c r="R17" s="173">
        <v>0</v>
      </c>
      <c r="S17" s="170">
        <v>0</v>
      </c>
      <c r="T17" s="154"/>
      <c r="V17" s="84"/>
      <c r="X17" s="81"/>
      <c r="Z17" s="82"/>
      <c r="AA17" s="83"/>
      <c r="AB17" s="83"/>
      <c r="AC17" s="84"/>
      <c r="AE17" s="101"/>
      <c r="AF17" s="52"/>
      <c r="AG17" s="103"/>
    </row>
    <row r="18" spans="1:33" ht="17.25" x14ac:dyDescent="0.3">
      <c r="A18" s="187" t="s">
        <v>425</v>
      </c>
      <c r="B18" s="73">
        <v>0</v>
      </c>
      <c r="C18" s="73">
        <v>0</v>
      </c>
      <c r="D18" s="73">
        <v>0</v>
      </c>
      <c r="E18" s="73"/>
      <c r="F18" s="73"/>
      <c r="G18" s="73"/>
      <c r="H18" s="73"/>
      <c r="I18" s="73">
        <v>0</v>
      </c>
      <c r="J18" s="73">
        <v>0</v>
      </c>
      <c r="K18" s="73">
        <v>0</v>
      </c>
      <c r="L18" s="73">
        <v>0</v>
      </c>
      <c r="M18" s="73">
        <v>0</v>
      </c>
      <c r="N18" s="215">
        <v>0</v>
      </c>
      <c r="O18" s="150">
        <v>0</v>
      </c>
      <c r="P18" s="151"/>
      <c r="Q18" s="151"/>
      <c r="R18" s="173">
        <v>0</v>
      </c>
      <c r="S18" s="170">
        <v>0</v>
      </c>
      <c r="T18" s="154"/>
      <c r="V18" s="84"/>
      <c r="X18" s="81"/>
      <c r="Z18" s="82"/>
      <c r="AA18" s="192"/>
      <c r="AB18" s="192"/>
      <c r="AC18" s="84"/>
      <c r="AD18" s="149"/>
      <c r="AE18" s="101"/>
      <c r="AF18" s="193"/>
      <c r="AG18" s="103"/>
    </row>
    <row r="19" spans="1:33" ht="17.25" x14ac:dyDescent="0.3">
      <c r="A19" s="187" t="s">
        <v>360</v>
      </c>
      <c r="B19" s="166">
        <v>0</v>
      </c>
      <c r="C19" s="73">
        <v>0</v>
      </c>
      <c r="D19" s="73">
        <v>0</v>
      </c>
      <c r="E19" s="73"/>
      <c r="F19" s="73"/>
      <c r="G19" s="73"/>
      <c r="H19" s="73"/>
      <c r="I19" s="73">
        <v>0</v>
      </c>
      <c r="J19" s="73">
        <v>0</v>
      </c>
      <c r="K19" s="73">
        <v>0</v>
      </c>
      <c r="L19" s="73">
        <v>0</v>
      </c>
      <c r="M19" s="73">
        <v>0</v>
      </c>
      <c r="N19" s="215">
        <v>0</v>
      </c>
      <c r="O19" s="150">
        <v>0</v>
      </c>
      <c r="P19" s="151"/>
      <c r="Q19" s="151"/>
      <c r="R19" s="173">
        <v>0</v>
      </c>
      <c r="S19" s="170">
        <v>0</v>
      </c>
      <c r="T19" s="154"/>
      <c r="V19" s="84"/>
      <c r="X19" s="81"/>
      <c r="Z19" s="82"/>
      <c r="AA19" s="83"/>
      <c r="AB19" s="83"/>
      <c r="AC19" s="84"/>
      <c r="AE19" s="101"/>
      <c r="AF19" s="52"/>
      <c r="AG19" s="103"/>
    </row>
    <row r="20" spans="1:33" ht="17.25" x14ac:dyDescent="0.3">
      <c r="A20" s="187" t="s">
        <v>418</v>
      </c>
      <c r="B20" s="166">
        <v>0</v>
      </c>
      <c r="C20" s="73">
        <v>0</v>
      </c>
      <c r="D20" s="73">
        <v>0</v>
      </c>
      <c r="E20" s="73"/>
      <c r="F20" s="73"/>
      <c r="G20" s="73"/>
      <c r="H20" s="73"/>
      <c r="I20" s="73">
        <v>0</v>
      </c>
      <c r="J20" s="73">
        <v>0</v>
      </c>
      <c r="K20" s="73">
        <v>0</v>
      </c>
      <c r="L20" s="73">
        <v>0</v>
      </c>
      <c r="M20" s="73">
        <v>0</v>
      </c>
      <c r="N20" s="215">
        <v>0</v>
      </c>
      <c r="O20" s="150">
        <v>0</v>
      </c>
      <c r="P20" s="151"/>
      <c r="Q20" s="151"/>
      <c r="R20" s="173">
        <v>0</v>
      </c>
      <c r="S20" s="170">
        <v>0</v>
      </c>
      <c r="T20" s="154"/>
      <c r="V20" s="84"/>
      <c r="X20" s="81"/>
      <c r="Z20" s="82"/>
      <c r="AA20" s="83"/>
      <c r="AB20" s="83"/>
      <c r="AC20" s="84"/>
      <c r="AE20" s="101"/>
      <c r="AF20" s="52"/>
      <c r="AG20" s="103"/>
    </row>
    <row r="21" spans="1:33" ht="17.25" x14ac:dyDescent="0.3">
      <c r="A21" s="187" t="s">
        <v>275</v>
      </c>
      <c r="B21" s="166">
        <v>0</v>
      </c>
      <c r="C21" s="73">
        <v>0</v>
      </c>
      <c r="D21" s="73">
        <v>0</v>
      </c>
      <c r="E21" s="73"/>
      <c r="F21" s="73"/>
      <c r="G21" s="73"/>
      <c r="H21" s="73"/>
      <c r="I21" s="73">
        <v>0</v>
      </c>
      <c r="J21" s="73">
        <v>0</v>
      </c>
      <c r="K21" s="73">
        <v>0</v>
      </c>
      <c r="L21" s="73">
        <v>0</v>
      </c>
      <c r="M21" s="73">
        <v>0</v>
      </c>
      <c r="N21" s="215">
        <v>0</v>
      </c>
      <c r="O21" s="150">
        <v>0</v>
      </c>
      <c r="P21" s="221">
        <v>0</v>
      </c>
      <c r="Q21" s="151"/>
      <c r="R21" s="173">
        <v>0</v>
      </c>
      <c r="S21" s="170">
        <v>0</v>
      </c>
      <c r="T21" s="154"/>
      <c r="V21" s="84"/>
      <c r="X21" s="81"/>
      <c r="Z21" s="82"/>
      <c r="AA21" s="83"/>
      <c r="AB21" s="83"/>
      <c r="AC21" s="84"/>
      <c r="AE21" s="101"/>
      <c r="AF21" s="52"/>
      <c r="AG21" s="103"/>
    </row>
    <row r="22" spans="1:33" ht="17.25" x14ac:dyDescent="0.3">
      <c r="A22" s="187" t="s">
        <v>270</v>
      </c>
      <c r="B22" s="73">
        <v>466.97971955925408</v>
      </c>
      <c r="C22" s="73">
        <v>3592.151688917339</v>
      </c>
      <c r="D22" s="73">
        <v>6363.1947145517988</v>
      </c>
      <c r="E22" s="73"/>
      <c r="F22" s="73"/>
      <c r="G22" s="73"/>
      <c r="H22" s="73"/>
      <c r="I22" s="73">
        <v>466.97971955925408</v>
      </c>
      <c r="J22" s="73">
        <v>15600.004799999999</v>
      </c>
      <c r="K22" s="73">
        <v>0</v>
      </c>
      <c r="L22" s="73">
        <v>0</v>
      </c>
      <c r="M22" s="73">
        <v>0</v>
      </c>
      <c r="N22" s="215">
        <v>0</v>
      </c>
      <c r="O22" s="150">
        <v>466.97971955925408</v>
      </c>
      <c r="P22" s="151"/>
      <c r="Q22" s="151"/>
      <c r="R22" s="173">
        <v>466.97971955925408</v>
      </c>
      <c r="S22" s="170">
        <v>466.97971955925408</v>
      </c>
      <c r="T22" s="154"/>
      <c r="V22" s="84"/>
      <c r="X22" s="81"/>
      <c r="Z22" s="82"/>
      <c r="AA22" s="83"/>
      <c r="AB22" s="83"/>
      <c r="AC22" s="84"/>
      <c r="AE22" s="101"/>
      <c r="AF22" s="52"/>
      <c r="AG22" s="103"/>
    </row>
    <row r="23" spans="1:33" ht="17.25" x14ac:dyDescent="0.3">
      <c r="A23" s="190" t="s">
        <v>289</v>
      </c>
      <c r="B23" s="73">
        <v>0</v>
      </c>
      <c r="C23" s="73">
        <v>0</v>
      </c>
      <c r="D23" s="191">
        <v>0</v>
      </c>
      <c r="E23" s="191"/>
      <c r="F23" s="191"/>
      <c r="G23" s="191"/>
      <c r="H23" s="191"/>
      <c r="I23" s="73">
        <v>0</v>
      </c>
      <c r="J23" s="73">
        <v>0</v>
      </c>
      <c r="K23" s="73">
        <v>0</v>
      </c>
      <c r="L23" s="73">
        <v>0</v>
      </c>
      <c r="M23" s="73">
        <v>0</v>
      </c>
      <c r="N23" s="215">
        <v>0</v>
      </c>
      <c r="O23" s="150">
        <v>0</v>
      </c>
      <c r="P23" s="151"/>
      <c r="Q23" s="151"/>
      <c r="R23" s="173">
        <v>0</v>
      </c>
      <c r="S23" s="170">
        <v>0</v>
      </c>
      <c r="T23" s="154"/>
      <c r="V23" s="84"/>
      <c r="X23" s="81"/>
      <c r="Z23" s="82"/>
      <c r="AA23" s="83"/>
      <c r="AB23" s="83"/>
      <c r="AC23" s="84"/>
      <c r="AE23" s="101"/>
      <c r="AF23" s="52"/>
      <c r="AG23" s="103"/>
    </row>
    <row r="24" spans="1:33" ht="18" thickBot="1" x14ac:dyDescent="0.35">
      <c r="A24" s="188" t="s">
        <v>271</v>
      </c>
      <c r="B24" s="74">
        <v>0</v>
      </c>
      <c r="C24" s="73">
        <v>0</v>
      </c>
      <c r="D24" s="191">
        <v>0</v>
      </c>
      <c r="E24" s="74"/>
      <c r="F24" s="74"/>
      <c r="G24" s="74"/>
      <c r="H24" s="74"/>
      <c r="I24" s="74">
        <v>0</v>
      </c>
      <c r="J24" s="74">
        <v>0</v>
      </c>
      <c r="K24" s="74">
        <v>0</v>
      </c>
      <c r="L24" s="74">
        <v>0</v>
      </c>
      <c r="M24" s="73">
        <v>0</v>
      </c>
      <c r="N24" s="216">
        <v>0</v>
      </c>
      <c r="O24" s="155">
        <v>0</v>
      </c>
      <c r="P24" s="156"/>
      <c r="Q24" s="156"/>
      <c r="R24" s="174">
        <v>0</v>
      </c>
      <c r="S24" s="170">
        <v>0</v>
      </c>
      <c r="T24" s="123"/>
      <c r="V24" s="84"/>
      <c r="X24" s="81"/>
      <c r="Z24" s="82"/>
      <c r="AA24" s="83"/>
      <c r="AB24" s="83"/>
      <c r="AC24" s="84"/>
      <c r="AE24" s="101"/>
      <c r="AF24" s="52"/>
      <c r="AG24" s="103"/>
    </row>
    <row r="25" spans="1:33" ht="17.25" x14ac:dyDescent="0.3">
      <c r="A25" s="186" t="s">
        <v>277</v>
      </c>
      <c r="B25" s="72">
        <v>13185.640791022475</v>
      </c>
      <c r="C25" s="72">
        <v>101428.0060847883</v>
      </c>
      <c r="D25" s="72">
        <v>193904.04406522177</v>
      </c>
      <c r="E25" s="72"/>
      <c r="F25" s="72">
        <v>1197.3202805049782</v>
      </c>
      <c r="G25" s="72"/>
      <c r="H25" s="72"/>
      <c r="I25" s="72">
        <v>14382.961071527454</v>
      </c>
      <c r="J25" s="72">
        <v>502157.5039999999</v>
      </c>
      <c r="K25" s="72">
        <v>0</v>
      </c>
      <c r="L25" s="72">
        <v>0</v>
      </c>
      <c r="M25" s="72">
        <v>0</v>
      </c>
      <c r="N25" s="213">
        <v>0</v>
      </c>
      <c r="O25" s="152">
        <v>14382.961071527454</v>
      </c>
      <c r="P25" s="151"/>
      <c r="Q25" s="153"/>
      <c r="R25" s="172">
        <v>14382.961071527454</v>
      </c>
      <c r="S25" s="168"/>
      <c r="T25" s="160">
        <v>13937.833224572423</v>
      </c>
      <c r="X25" s="81"/>
      <c r="Z25" s="82"/>
      <c r="AA25" s="83"/>
      <c r="AB25" s="83"/>
    </row>
    <row r="26" spans="1:33" ht="18" thickBot="1" x14ac:dyDescent="0.35">
      <c r="A26" s="187" t="s">
        <v>286</v>
      </c>
      <c r="B26" s="73">
        <v>836.59622050260975</v>
      </c>
      <c r="C26" s="73">
        <v>6435.3555423277667</v>
      </c>
      <c r="D26" s="73">
        <v>12450.010786405974</v>
      </c>
      <c r="E26" s="73"/>
      <c r="F26" s="73"/>
      <c r="G26" s="73"/>
      <c r="H26" s="73"/>
      <c r="I26" s="73">
        <v>836.59622050260975</v>
      </c>
      <c r="J26" s="73">
        <v>32498.861599999993</v>
      </c>
      <c r="K26" s="73">
        <v>0</v>
      </c>
      <c r="L26" s="73">
        <v>0</v>
      </c>
      <c r="M26" s="73">
        <v>0</v>
      </c>
      <c r="N26" s="215">
        <v>0</v>
      </c>
      <c r="O26" s="150">
        <v>836.59622050260975</v>
      </c>
      <c r="P26" s="221"/>
      <c r="Q26" s="151"/>
      <c r="R26" s="173">
        <v>836.59622050260975</v>
      </c>
      <c r="S26" s="170">
        <v>836.59622050260975</v>
      </c>
      <c r="T26" s="154"/>
      <c r="X26" s="81"/>
      <c r="Z26" s="82"/>
      <c r="AA26" s="83"/>
      <c r="AB26" s="83"/>
    </row>
    <row r="27" spans="1:33" ht="17.25" x14ac:dyDescent="0.3">
      <c r="A27" s="187" t="s">
        <v>268</v>
      </c>
      <c r="B27" s="166">
        <v>7145.5389828639118</v>
      </c>
      <c r="C27" s="73">
        <v>45082.567470868431</v>
      </c>
      <c r="D27" s="73">
        <v>134766.27532898949</v>
      </c>
      <c r="E27" s="73"/>
      <c r="F27" s="73"/>
      <c r="G27" s="73"/>
      <c r="H27" s="73"/>
      <c r="I27" s="73">
        <v>7145.5389828639118</v>
      </c>
      <c r="J27" s="73">
        <v>461690.92719999992</v>
      </c>
      <c r="K27" s="73">
        <v>0</v>
      </c>
      <c r="L27" s="73">
        <v>0</v>
      </c>
      <c r="M27" s="73">
        <v>0</v>
      </c>
      <c r="N27" s="215">
        <v>0</v>
      </c>
      <c r="O27" s="150">
        <v>7145.5389828639118</v>
      </c>
      <c r="P27" s="221">
        <v>3572.7694914319559</v>
      </c>
      <c r="Q27" s="151"/>
      <c r="R27" s="173">
        <v>3572.7694914319559</v>
      </c>
      <c r="S27" s="169"/>
      <c r="T27" s="160">
        <v>3572.7694914319559</v>
      </c>
      <c r="X27" s="81"/>
      <c r="Z27" s="82"/>
      <c r="AA27" s="83"/>
      <c r="AB27" s="83"/>
    </row>
    <row r="28" spans="1:33" ht="17.25" x14ac:dyDescent="0.3">
      <c r="A28" s="187" t="s">
        <v>392</v>
      </c>
      <c r="B28" s="73">
        <v>0</v>
      </c>
      <c r="C28" s="73">
        <v>0</v>
      </c>
      <c r="D28" s="73">
        <v>0</v>
      </c>
      <c r="E28" s="73"/>
      <c r="F28" s="73"/>
      <c r="G28" s="73"/>
      <c r="H28" s="73"/>
      <c r="I28" s="73">
        <v>0</v>
      </c>
      <c r="J28" s="73">
        <v>0</v>
      </c>
      <c r="K28" s="73">
        <v>0</v>
      </c>
      <c r="L28" s="73">
        <v>0</v>
      </c>
      <c r="M28" s="73">
        <v>0</v>
      </c>
      <c r="N28" s="215">
        <v>0</v>
      </c>
      <c r="O28" s="150">
        <v>0</v>
      </c>
      <c r="P28" s="151"/>
      <c r="Q28" s="151"/>
      <c r="R28" s="173">
        <v>0</v>
      </c>
      <c r="S28" s="170">
        <v>0</v>
      </c>
      <c r="T28" s="154"/>
      <c r="X28" s="81"/>
      <c r="Z28" s="82"/>
      <c r="AA28" s="83"/>
      <c r="AB28" s="83"/>
    </row>
    <row r="29" spans="1:33" ht="17.25" x14ac:dyDescent="0.3">
      <c r="A29" s="187" t="s">
        <v>285</v>
      </c>
      <c r="B29" s="73">
        <v>0</v>
      </c>
      <c r="C29" s="73">
        <v>0</v>
      </c>
      <c r="D29" s="73">
        <v>0</v>
      </c>
      <c r="E29" s="73"/>
      <c r="F29" s="73"/>
      <c r="G29" s="73"/>
      <c r="H29" s="73"/>
      <c r="I29" s="73">
        <v>0</v>
      </c>
      <c r="J29" s="73">
        <v>0</v>
      </c>
      <c r="K29" s="73">
        <v>0</v>
      </c>
      <c r="L29" s="73">
        <v>0</v>
      </c>
      <c r="M29" s="73">
        <v>0</v>
      </c>
      <c r="N29" s="215">
        <v>0</v>
      </c>
      <c r="O29" s="150">
        <v>0</v>
      </c>
      <c r="P29" s="151"/>
      <c r="Q29" s="151"/>
      <c r="R29" s="173">
        <v>0</v>
      </c>
      <c r="S29" s="170">
        <v>0</v>
      </c>
      <c r="T29" s="154"/>
      <c r="X29" s="81"/>
      <c r="Z29" s="82"/>
      <c r="AA29" s="83"/>
      <c r="AB29" s="83"/>
    </row>
    <row r="30" spans="1:33" ht="18" thickBot="1" x14ac:dyDescent="0.35">
      <c r="A30" s="188" t="s">
        <v>386</v>
      </c>
      <c r="B30" s="74">
        <v>0</v>
      </c>
      <c r="C30" s="74">
        <v>0</v>
      </c>
      <c r="D30" s="74">
        <v>0</v>
      </c>
      <c r="E30" s="74"/>
      <c r="F30" s="74"/>
      <c r="G30" s="74"/>
      <c r="H30" s="74"/>
      <c r="I30" s="74">
        <v>0</v>
      </c>
      <c r="J30" s="74">
        <v>0</v>
      </c>
      <c r="K30" s="74">
        <v>0</v>
      </c>
      <c r="L30" s="74">
        <v>0</v>
      </c>
      <c r="M30" s="74">
        <v>0</v>
      </c>
      <c r="N30" s="216">
        <v>0</v>
      </c>
      <c r="O30" s="155">
        <v>0</v>
      </c>
      <c r="P30" s="156"/>
      <c r="Q30" s="156"/>
      <c r="R30" s="174">
        <v>0</v>
      </c>
      <c r="S30" s="170">
        <v>0</v>
      </c>
      <c r="T30" s="123"/>
      <c r="X30" s="81"/>
      <c r="Z30" s="82"/>
      <c r="AA30" s="83"/>
      <c r="AB30" s="83"/>
    </row>
    <row r="31" spans="1:33" ht="17.25" x14ac:dyDescent="0.3">
      <c r="A31" s="187" t="s">
        <v>287</v>
      </c>
      <c r="B31" s="73">
        <v>0</v>
      </c>
      <c r="C31" s="73">
        <v>0</v>
      </c>
      <c r="D31" s="73">
        <v>0</v>
      </c>
      <c r="E31" s="73"/>
      <c r="F31" s="73"/>
      <c r="G31" s="73"/>
      <c r="H31" s="73"/>
      <c r="I31" s="73">
        <v>0</v>
      </c>
      <c r="J31" s="73">
        <v>0</v>
      </c>
      <c r="K31" s="73">
        <v>0</v>
      </c>
      <c r="L31" s="73">
        <v>0</v>
      </c>
      <c r="M31" s="73">
        <v>0</v>
      </c>
      <c r="N31" s="215">
        <v>0</v>
      </c>
      <c r="O31" s="150">
        <v>0</v>
      </c>
      <c r="P31" s="151"/>
      <c r="Q31" s="151"/>
      <c r="R31" s="173">
        <v>0</v>
      </c>
      <c r="S31" s="170">
        <v>0</v>
      </c>
      <c r="T31" s="154"/>
      <c r="X31" s="81"/>
      <c r="Z31" s="82"/>
      <c r="AA31" s="83"/>
      <c r="AB31" s="83"/>
    </row>
    <row r="32" spans="1:33" ht="17.25" x14ac:dyDescent="0.3">
      <c r="A32" s="187" t="s">
        <v>281</v>
      </c>
      <c r="B32" s="73">
        <v>2819.3977467054196</v>
      </c>
      <c r="C32" s="73">
        <v>21687.674974657071</v>
      </c>
      <c r="D32" s="73">
        <v>39506.944965120834</v>
      </c>
      <c r="E32" s="73"/>
      <c r="F32" s="73"/>
      <c r="G32" s="73"/>
      <c r="H32" s="73"/>
      <c r="I32" s="73">
        <v>2819.3977467054196</v>
      </c>
      <c r="J32" s="73">
        <v>98904.511599999998</v>
      </c>
      <c r="K32" s="73">
        <v>0</v>
      </c>
      <c r="L32" s="73">
        <v>0</v>
      </c>
      <c r="M32" s="73">
        <v>0</v>
      </c>
      <c r="N32" s="215">
        <v>0</v>
      </c>
      <c r="O32" s="150">
        <v>2819.3977467054196</v>
      </c>
      <c r="P32" s="151"/>
      <c r="Q32" s="151"/>
      <c r="R32" s="173">
        <v>2819.3977467054196</v>
      </c>
      <c r="S32" s="169"/>
      <c r="T32" s="161">
        <v>2764.9542040104184</v>
      </c>
      <c r="X32" s="81"/>
      <c r="Z32" s="82"/>
      <c r="AA32" s="83"/>
      <c r="AB32" s="83"/>
    </row>
    <row r="33" spans="1:30" ht="17.25" x14ac:dyDescent="0.3">
      <c r="A33" s="187" t="s">
        <v>301</v>
      </c>
      <c r="B33" s="73">
        <v>161.76617599999994</v>
      </c>
      <c r="C33" s="73">
        <v>1244.3551999999995</v>
      </c>
      <c r="D33" s="73">
        <v>1464.8479999999997</v>
      </c>
      <c r="E33" s="73"/>
      <c r="F33" s="73"/>
      <c r="G33" s="73"/>
      <c r="H33" s="73"/>
      <c r="I33" s="73">
        <v>161.76617599999994</v>
      </c>
      <c r="J33" s="73">
        <v>2199.8239999999996</v>
      </c>
      <c r="K33" s="73">
        <v>0</v>
      </c>
      <c r="L33" s="73">
        <v>0</v>
      </c>
      <c r="M33" s="73">
        <v>0</v>
      </c>
      <c r="N33" s="215">
        <v>0</v>
      </c>
      <c r="O33" s="150">
        <v>161.76617599999994</v>
      </c>
      <c r="P33" s="151"/>
      <c r="Q33" s="151"/>
      <c r="R33" s="173">
        <v>161.76617599999994</v>
      </c>
      <c r="S33" s="170">
        <v>161.76617599999994</v>
      </c>
      <c r="T33" s="154"/>
      <c r="X33" s="81"/>
      <c r="Z33" s="82"/>
      <c r="AA33" s="83"/>
      <c r="AB33" s="83"/>
    </row>
    <row r="34" spans="1:30" ht="18" thickBot="1" x14ac:dyDescent="0.35">
      <c r="A34" s="188" t="s">
        <v>399</v>
      </c>
      <c r="B34" s="74">
        <v>0</v>
      </c>
      <c r="C34" s="74">
        <v>0</v>
      </c>
      <c r="D34" s="74">
        <v>0</v>
      </c>
      <c r="E34" s="74"/>
      <c r="F34" s="74"/>
      <c r="G34" s="74"/>
      <c r="H34" s="74"/>
      <c r="I34" s="74">
        <v>0</v>
      </c>
      <c r="J34" s="74">
        <v>0</v>
      </c>
      <c r="K34" s="74">
        <v>0</v>
      </c>
      <c r="L34" s="74">
        <v>0</v>
      </c>
      <c r="M34" s="74">
        <v>0</v>
      </c>
      <c r="N34" s="216">
        <v>0</v>
      </c>
      <c r="O34" s="155">
        <v>0</v>
      </c>
      <c r="P34" s="156"/>
      <c r="Q34" s="156"/>
      <c r="R34" s="174">
        <v>0</v>
      </c>
      <c r="S34" s="170">
        <v>0</v>
      </c>
      <c r="T34" s="123"/>
      <c r="X34" s="81"/>
      <c r="Z34" s="82"/>
      <c r="AA34" s="83"/>
      <c r="AB34" s="83"/>
    </row>
    <row r="35" spans="1:30" ht="18" thickBot="1" x14ac:dyDescent="0.35">
      <c r="A35" s="194" t="s">
        <v>278</v>
      </c>
      <c r="B35" s="195">
        <v>16257.315020601523</v>
      </c>
      <c r="C35" s="195">
        <v>123323.2539511213</v>
      </c>
      <c r="D35" s="195">
        <v>284392.99337374663</v>
      </c>
      <c r="E35" s="195"/>
      <c r="F35" s="211">
        <v>11654.726600398686</v>
      </c>
      <c r="G35" s="195"/>
      <c r="H35" s="195"/>
      <c r="I35" s="195">
        <v>27912.041621000208</v>
      </c>
      <c r="J35" s="195">
        <v>824708.08999999985</v>
      </c>
      <c r="K35" s="195">
        <v>0</v>
      </c>
      <c r="L35" s="195">
        <v>0</v>
      </c>
      <c r="M35" s="195">
        <v>0</v>
      </c>
      <c r="N35" s="217">
        <v>0</v>
      </c>
      <c r="O35" s="196">
        <v>27912.041621000208</v>
      </c>
      <c r="P35" s="222"/>
      <c r="Q35" s="197"/>
      <c r="R35" s="198">
        <v>27912.041621000208</v>
      </c>
      <c r="S35" s="199"/>
      <c r="T35" s="205">
        <v>27373.050472456758</v>
      </c>
      <c r="X35" s="81"/>
      <c r="Z35" s="82"/>
      <c r="AA35" s="192"/>
      <c r="AB35" s="192"/>
      <c r="AD35" s="149"/>
    </row>
    <row r="36" spans="1:30" ht="18" thickBot="1" x14ac:dyDescent="0.35">
      <c r="A36" s="186" t="s">
        <v>401</v>
      </c>
      <c r="B36" s="72">
        <v>0</v>
      </c>
      <c r="C36" s="72">
        <v>0</v>
      </c>
      <c r="D36" s="72">
        <v>0</v>
      </c>
      <c r="E36" s="72"/>
      <c r="F36" s="72"/>
      <c r="G36" s="72"/>
      <c r="H36" s="72"/>
      <c r="I36" s="72">
        <v>0</v>
      </c>
      <c r="J36" s="72">
        <v>0</v>
      </c>
      <c r="K36" s="72">
        <v>0</v>
      </c>
      <c r="L36" s="72">
        <v>0</v>
      </c>
      <c r="M36" s="72">
        <v>0</v>
      </c>
      <c r="N36" s="213">
        <v>0</v>
      </c>
      <c r="O36" s="152">
        <v>0</v>
      </c>
      <c r="P36" s="153"/>
      <c r="Q36" s="153"/>
      <c r="R36" s="201">
        <v>0</v>
      </c>
      <c r="S36" s="204">
        <v>0</v>
      </c>
      <c r="T36" s="200"/>
      <c r="X36" s="81"/>
      <c r="Z36" s="82"/>
      <c r="AA36" s="83"/>
      <c r="AB36" s="83"/>
    </row>
    <row r="37" spans="1:30" ht="18" thickBot="1" x14ac:dyDescent="0.35">
      <c r="A37" s="206" t="s">
        <v>449</v>
      </c>
      <c r="B37" s="207">
        <v>0</v>
      </c>
      <c r="C37" s="207">
        <v>0</v>
      </c>
      <c r="D37" s="207">
        <v>0</v>
      </c>
      <c r="E37" s="207"/>
      <c r="F37" s="207"/>
      <c r="G37" s="207"/>
      <c r="H37" s="207"/>
      <c r="I37" s="207">
        <v>0</v>
      </c>
      <c r="J37" s="207">
        <v>0</v>
      </c>
      <c r="K37" s="207">
        <v>0</v>
      </c>
      <c r="L37" s="207">
        <v>0</v>
      </c>
      <c r="M37" s="207">
        <v>0</v>
      </c>
      <c r="N37" s="214">
        <v>0</v>
      </c>
      <c r="O37" s="208">
        <v>0</v>
      </c>
      <c r="P37" s="209"/>
      <c r="Q37" s="209"/>
      <c r="R37" s="201">
        <v>0</v>
      </c>
      <c r="S37" s="170">
        <v>0</v>
      </c>
      <c r="T37" s="210"/>
      <c r="X37" s="81"/>
      <c r="Z37" s="82"/>
      <c r="AA37" s="83"/>
      <c r="AB37" s="83"/>
    </row>
    <row r="38" spans="1:30" ht="18" thickBot="1" x14ac:dyDescent="0.35">
      <c r="A38" s="206" t="s">
        <v>459</v>
      </c>
      <c r="B38" s="207">
        <v>291.91731152660617</v>
      </c>
      <c r="C38" s="207">
        <v>2245.5177809738934</v>
      </c>
      <c r="D38" s="207">
        <v>2904.2439853645333</v>
      </c>
      <c r="E38" s="207"/>
      <c r="F38" s="207"/>
      <c r="G38" s="207"/>
      <c r="H38" s="207"/>
      <c r="I38" s="207">
        <v>291.91731152660617</v>
      </c>
      <c r="J38" s="207">
        <v>5099.9979999999996</v>
      </c>
      <c r="K38" s="207">
        <v>0</v>
      </c>
      <c r="L38" s="207">
        <v>0</v>
      </c>
      <c r="M38" s="207">
        <v>0</v>
      </c>
      <c r="N38" s="214">
        <v>0</v>
      </c>
      <c r="O38" s="208">
        <v>291.91731152660617</v>
      </c>
      <c r="P38" s="209"/>
      <c r="Q38" s="209"/>
      <c r="R38" s="201">
        <v>291.91731152660617</v>
      </c>
      <c r="S38" s="170">
        <v>291.91731152660617</v>
      </c>
      <c r="T38" s="210"/>
      <c r="X38" s="81"/>
      <c r="Z38" s="82"/>
      <c r="AA38" s="83"/>
      <c r="AB38" s="83"/>
    </row>
    <row r="39" spans="1:30" ht="18" thickBot="1" x14ac:dyDescent="0.35">
      <c r="A39" s="206" t="s">
        <v>450</v>
      </c>
      <c r="B39" s="207">
        <v>0</v>
      </c>
      <c r="C39" s="207">
        <v>0</v>
      </c>
      <c r="D39" s="207">
        <v>0</v>
      </c>
      <c r="E39" s="207"/>
      <c r="F39" s="207"/>
      <c r="G39" s="207"/>
      <c r="H39" s="207"/>
      <c r="I39" s="207">
        <v>0</v>
      </c>
      <c r="J39" s="207">
        <v>0</v>
      </c>
      <c r="K39" s="207">
        <v>0</v>
      </c>
      <c r="L39" s="207">
        <v>0</v>
      </c>
      <c r="M39" s="207">
        <v>0</v>
      </c>
      <c r="N39" s="214">
        <v>0</v>
      </c>
      <c r="O39" s="208">
        <v>0</v>
      </c>
      <c r="P39" s="209"/>
      <c r="Q39" s="209"/>
      <c r="R39" s="201">
        <v>0</v>
      </c>
      <c r="S39" s="170">
        <v>0</v>
      </c>
      <c r="T39" s="210"/>
      <c r="X39" s="81"/>
      <c r="Z39" s="82"/>
      <c r="AA39" s="83"/>
      <c r="AB39" s="83"/>
    </row>
    <row r="40" spans="1:30" ht="17.25" x14ac:dyDescent="0.3">
      <c r="A40" s="206" t="s">
        <v>455</v>
      </c>
      <c r="B40" s="207">
        <v>4306.9043149473409</v>
      </c>
      <c r="C40" s="207">
        <v>28085.328495855079</v>
      </c>
      <c r="D40" s="207">
        <v>84477.636289119298</v>
      </c>
      <c r="E40" s="207"/>
      <c r="F40" s="207"/>
      <c r="G40" s="207"/>
      <c r="H40" s="207"/>
      <c r="I40" s="207">
        <v>4306.9043149473409</v>
      </c>
      <c r="J40" s="207">
        <v>272451.99559999997</v>
      </c>
      <c r="K40" s="207">
        <v>0</v>
      </c>
      <c r="L40" s="207">
        <v>0</v>
      </c>
      <c r="M40" s="207">
        <v>0</v>
      </c>
      <c r="N40" s="214">
        <v>0</v>
      </c>
      <c r="O40" s="208">
        <v>4306.9043149473409</v>
      </c>
      <c r="P40" s="209"/>
      <c r="Q40" s="209"/>
      <c r="R40" s="201">
        <v>4584.9043149473409</v>
      </c>
      <c r="S40" s="170">
        <v>4584.9043149473409</v>
      </c>
      <c r="T40" s="210"/>
      <c r="X40" s="81"/>
      <c r="Z40" s="82"/>
      <c r="AA40" s="83"/>
      <c r="AB40" s="83"/>
    </row>
    <row r="41" spans="1:30" ht="17.25" x14ac:dyDescent="0.3">
      <c r="A41" s="187" t="s">
        <v>407</v>
      </c>
      <c r="B41" s="73">
        <v>0</v>
      </c>
      <c r="C41" s="73">
        <v>0</v>
      </c>
      <c r="D41" s="73">
        <v>0</v>
      </c>
      <c r="E41" s="73"/>
      <c r="F41" s="73"/>
      <c r="G41" s="73"/>
      <c r="H41" s="73"/>
      <c r="I41" s="73">
        <v>0</v>
      </c>
      <c r="J41" s="73">
        <v>0</v>
      </c>
      <c r="K41" s="73">
        <v>0</v>
      </c>
      <c r="L41" s="73">
        <v>0</v>
      </c>
      <c r="M41" s="73">
        <v>0</v>
      </c>
      <c r="N41" s="215">
        <v>0</v>
      </c>
      <c r="O41" s="150">
        <v>0</v>
      </c>
      <c r="P41" s="151"/>
      <c r="Q41" s="151"/>
      <c r="R41" s="202">
        <v>0</v>
      </c>
      <c r="S41" s="170">
        <v>0</v>
      </c>
      <c r="T41" s="154"/>
      <c r="X41" s="81"/>
      <c r="Z41" s="82"/>
      <c r="AA41" s="83"/>
      <c r="AB41" s="83"/>
    </row>
    <row r="42" spans="1:30" ht="17.25" x14ac:dyDescent="0.3">
      <c r="A42" s="187" t="s">
        <v>284</v>
      </c>
      <c r="B42" s="73">
        <v>0</v>
      </c>
      <c r="C42" s="73">
        <v>0</v>
      </c>
      <c r="D42" s="73">
        <v>0</v>
      </c>
      <c r="E42" s="73"/>
      <c r="F42" s="73"/>
      <c r="G42" s="73"/>
      <c r="H42" s="73"/>
      <c r="I42" s="73">
        <v>0</v>
      </c>
      <c r="J42" s="73">
        <v>0</v>
      </c>
      <c r="K42" s="73">
        <v>0</v>
      </c>
      <c r="L42" s="73">
        <v>0</v>
      </c>
      <c r="M42" s="73">
        <v>0</v>
      </c>
      <c r="N42" s="215">
        <v>0</v>
      </c>
      <c r="O42" s="150">
        <v>0</v>
      </c>
      <c r="P42" s="151"/>
      <c r="Q42" s="151"/>
      <c r="R42" s="202">
        <v>0</v>
      </c>
      <c r="S42" s="170">
        <v>0</v>
      </c>
      <c r="T42" s="154"/>
      <c r="X42" s="81"/>
      <c r="Z42" s="82"/>
      <c r="AA42" s="83"/>
      <c r="AB42" s="83"/>
    </row>
    <row r="43" spans="1:30" ht="17.25" x14ac:dyDescent="0.3">
      <c r="A43" s="187" t="s">
        <v>327</v>
      </c>
      <c r="B43" s="73">
        <v>0</v>
      </c>
      <c r="C43" s="73">
        <v>0</v>
      </c>
      <c r="D43" s="73">
        <v>0</v>
      </c>
      <c r="E43" s="73"/>
      <c r="F43" s="73"/>
      <c r="G43" s="73"/>
      <c r="H43" s="73"/>
      <c r="I43" s="73">
        <v>0</v>
      </c>
      <c r="J43" s="73">
        <v>0</v>
      </c>
      <c r="K43" s="73">
        <v>0</v>
      </c>
      <c r="L43" s="73">
        <v>0</v>
      </c>
      <c r="M43" s="73">
        <v>0</v>
      </c>
      <c r="N43" s="215">
        <v>0</v>
      </c>
      <c r="O43" s="150">
        <v>0</v>
      </c>
      <c r="P43" s="151"/>
      <c r="Q43" s="151"/>
      <c r="R43" s="202">
        <v>0</v>
      </c>
      <c r="S43" s="170">
        <v>0</v>
      </c>
      <c r="T43" s="154"/>
      <c r="X43" s="81"/>
      <c r="Z43" s="82"/>
      <c r="AA43" s="83"/>
      <c r="AB43" s="83"/>
    </row>
    <row r="44" spans="1:30" ht="17.25" x14ac:dyDescent="0.3">
      <c r="A44" s="187" t="s">
        <v>201</v>
      </c>
      <c r="B44" s="73">
        <v>0</v>
      </c>
      <c r="C44" s="73">
        <v>0</v>
      </c>
      <c r="D44" s="73">
        <v>0</v>
      </c>
      <c r="E44" s="73"/>
      <c r="F44" s="73"/>
      <c r="G44" s="73"/>
      <c r="H44" s="73"/>
      <c r="I44" s="73">
        <v>0</v>
      </c>
      <c r="J44" s="73">
        <v>0</v>
      </c>
      <c r="K44" s="73">
        <v>0</v>
      </c>
      <c r="L44" s="73">
        <v>0</v>
      </c>
      <c r="M44" s="73">
        <v>0</v>
      </c>
      <c r="N44" s="215">
        <v>0</v>
      </c>
      <c r="O44" s="150">
        <v>0</v>
      </c>
      <c r="P44" s="151"/>
      <c r="Q44" s="151"/>
      <c r="R44" s="202">
        <v>0</v>
      </c>
      <c r="S44" s="170">
        <v>0</v>
      </c>
      <c r="T44" s="154"/>
      <c r="X44" s="81"/>
      <c r="Z44" s="82"/>
      <c r="AA44" s="83"/>
      <c r="AB44" s="83"/>
    </row>
    <row r="45" spans="1:30" ht="17.25" x14ac:dyDescent="0.3">
      <c r="A45" s="189" t="s">
        <v>396</v>
      </c>
      <c r="B45" s="73">
        <v>1237.7073520507174</v>
      </c>
      <c r="C45" s="73"/>
      <c r="D45" s="73"/>
      <c r="E45" s="73"/>
      <c r="F45" s="73"/>
      <c r="G45" s="73"/>
      <c r="H45" s="73"/>
      <c r="I45" s="73">
        <v>1237.7073520507174</v>
      </c>
      <c r="J45" s="73">
        <v>38705.832519999996</v>
      </c>
      <c r="K45" s="73">
        <v>0</v>
      </c>
      <c r="L45" s="73">
        <v>0</v>
      </c>
      <c r="M45" s="73">
        <v>0</v>
      </c>
      <c r="N45" s="215">
        <v>0</v>
      </c>
      <c r="O45" s="150">
        <v>1237.7073520507174</v>
      </c>
      <c r="P45" s="151"/>
      <c r="Q45" s="151"/>
      <c r="R45" s="202">
        <v>1237.7073520507174</v>
      </c>
      <c r="S45" s="170"/>
      <c r="T45" s="161">
        <v>1213.8067962869795</v>
      </c>
      <c r="X45" s="81"/>
      <c r="Z45" s="82"/>
      <c r="AA45" s="83"/>
      <c r="AB45" s="83"/>
    </row>
    <row r="46" spans="1:30" ht="17.25" x14ac:dyDescent="0.3">
      <c r="A46" s="189" t="s">
        <v>377</v>
      </c>
      <c r="B46" s="73">
        <v>80362.285070196478</v>
      </c>
      <c r="C46" s="73"/>
      <c r="D46" s="73"/>
      <c r="E46" s="73"/>
      <c r="F46" s="73"/>
      <c r="G46" s="73"/>
      <c r="H46" s="73"/>
      <c r="I46" s="73">
        <v>80362.285070196478</v>
      </c>
      <c r="J46" s="73">
        <v>11604523.944145992</v>
      </c>
      <c r="K46" s="73">
        <v>0</v>
      </c>
      <c r="L46" s="73">
        <v>0</v>
      </c>
      <c r="M46" s="73">
        <v>0</v>
      </c>
      <c r="N46" s="215">
        <v>0</v>
      </c>
      <c r="O46" s="150">
        <v>80362.285070196478</v>
      </c>
      <c r="P46" s="221">
        <v>70362.285070196507</v>
      </c>
      <c r="Q46" s="151"/>
      <c r="R46" s="202">
        <v>9999.9999999999709</v>
      </c>
      <c r="S46" s="170">
        <v>9999.9999999999709</v>
      </c>
      <c r="T46" s="154"/>
      <c r="X46" s="81"/>
      <c r="Z46" s="82"/>
      <c r="AA46" s="83"/>
      <c r="AB46" s="83"/>
    </row>
    <row r="47" spans="1:30" ht="19.5" thickBot="1" x14ac:dyDescent="0.35">
      <c r="A47" s="157" t="s">
        <v>74</v>
      </c>
      <c r="B47" s="158">
        <v>174317.77742678925</v>
      </c>
      <c r="C47" s="158">
        <v>646641.85941032227</v>
      </c>
      <c r="D47" s="158">
        <v>1612914.1691002904</v>
      </c>
      <c r="E47" s="158">
        <v>0</v>
      </c>
      <c r="F47" s="158">
        <v>12852.046880903665</v>
      </c>
      <c r="G47" s="158">
        <v>0</v>
      </c>
      <c r="H47" s="158">
        <v>0</v>
      </c>
      <c r="I47" s="158">
        <v>187169.82430769291</v>
      </c>
      <c r="J47" s="158">
        <v>16641111.43386599</v>
      </c>
      <c r="K47" s="158">
        <v>0</v>
      </c>
      <c r="L47" s="158">
        <v>0</v>
      </c>
      <c r="M47" s="158">
        <v>0</v>
      </c>
      <c r="N47" s="158"/>
      <c r="O47" s="158">
        <v>187169.82430769291</v>
      </c>
      <c r="P47" s="158">
        <v>91907.686856555345</v>
      </c>
      <c r="Q47" s="158">
        <v>0</v>
      </c>
      <c r="R47" s="203">
        <v>95540.137451137562</v>
      </c>
      <c r="S47" s="171">
        <v>23166.483187670477</v>
      </c>
      <c r="T47" s="159">
        <v>71034.32628818744</v>
      </c>
      <c r="X47" s="81"/>
      <c r="Z47" s="82"/>
      <c r="AA47" s="83"/>
      <c r="AB47" s="83"/>
    </row>
    <row r="48" spans="1:30" x14ac:dyDescent="0.25">
      <c r="B48" s="81"/>
      <c r="C48" s="81"/>
      <c r="D48" s="81"/>
      <c r="E48" s="81"/>
      <c r="F48" s="81"/>
      <c r="G48" s="81"/>
      <c r="H48" s="81"/>
      <c r="I48" s="81"/>
      <c r="J48" s="81"/>
      <c r="K48" s="81"/>
      <c r="L48" s="81"/>
      <c r="M48" s="81"/>
      <c r="N48" s="81"/>
      <c r="O48" s="81"/>
      <c r="P48" s="84"/>
      <c r="Q48" s="84"/>
    </row>
    <row r="49" spans="1:20" x14ac:dyDescent="0.25">
      <c r="B49" s="84"/>
      <c r="C49" s="84"/>
      <c r="D49" s="84"/>
      <c r="J49" s="47"/>
      <c r="M49" s="52" t="e">
        <v>#DIV/0!</v>
      </c>
      <c r="N49" s="52"/>
      <c r="P49" s="165"/>
      <c r="R49" s="220" t="e">
        <v>#DIV/0!</v>
      </c>
    </row>
    <row r="50" spans="1:20" x14ac:dyDescent="0.25">
      <c r="B50" s="47"/>
      <c r="F50" s="47"/>
      <c r="K50" s="165"/>
    </row>
    <row r="51" spans="1:20" x14ac:dyDescent="0.25">
      <c r="F51" s="47"/>
      <c r="J51" s="165"/>
    </row>
    <row r="52" spans="1:20" x14ac:dyDescent="0.25">
      <c r="F52" s="47"/>
    </row>
    <row r="53" spans="1:20" ht="16.5" x14ac:dyDescent="0.3">
      <c r="A53" s="85"/>
      <c r="B53" s="86"/>
      <c r="C53" s="86"/>
      <c r="D53" s="86"/>
      <c r="E53" s="86"/>
      <c r="F53" s="94"/>
      <c r="G53" s="85"/>
      <c r="H53" s="85"/>
      <c r="I53" s="85"/>
      <c r="J53" s="85"/>
      <c r="K53" s="85"/>
      <c r="L53" s="85"/>
      <c r="M53" s="85"/>
      <c r="N53" s="85"/>
      <c r="O53" s="85"/>
      <c r="P53" s="87"/>
      <c r="Q53" s="87"/>
      <c r="R53" s="87"/>
      <c r="S53" s="88"/>
      <c r="T53" s="88"/>
    </row>
    <row r="54" spans="1:20" ht="15.75" x14ac:dyDescent="0.3">
      <c r="B54" s="619" t="s">
        <v>162</v>
      </c>
      <c r="C54" s="619"/>
      <c r="D54" s="619"/>
      <c r="E54" s="619"/>
      <c r="F54" s="89"/>
      <c r="G54" s="89"/>
      <c r="H54" s="89"/>
      <c r="I54" s="89"/>
      <c r="J54" s="89"/>
      <c r="K54" s="89"/>
      <c r="L54" s="89"/>
      <c r="M54" s="89"/>
      <c r="N54" s="89"/>
      <c r="O54" s="89"/>
      <c r="P54" s="613" t="s">
        <v>165</v>
      </c>
      <c r="Q54" s="613"/>
      <c r="R54" s="613"/>
      <c r="S54" s="90"/>
      <c r="T54" s="90"/>
    </row>
    <row r="55" spans="1:20" ht="15.75" x14ac:dyDescent="0.3">
      <c r="B55" s="614" t="s">
        <v>161</v>
      </c>
      <c r="C55" s="614"/>
      <c r="D55" s="614"/>
      <c r="E55" s="614"/>
      <c r="F55" s="48"/>
      <c r="G55" s="48"/>
      <c r="H55" s="48"/>
      <c r="I55" s="48"/>
      <c r="J55" s="48"/>
      <c r="K55" s="48"/>
      <c r="L55" s="48"/>
      <c r="M55" s="48"/>
      <c r="N55" s="48"/>
      <c r="O55" s="48"/>
      <c r="P55" s="48"/>
      <c r="Q55" s="48"/>
      <c r="R55" s="89"/>
      <c r="S55" s="89"/>
      <c r="T55" s="89"/>
    </row>
    <row r="56" spans="1:20" ht="15.75" x14ac:dyDescent="0.3">
      <c r="B56" s="48"/>
      <c r="C56" s="48"/>
      <c r="D56" s="48"/>
      <c r="E56" s="48"/>
      <c r="F56" s="48"/>
      <c r="G56" s="48"/>
      <c r="H56" s="48"/>
      <c r="I56" s="48"/>
      <c r="J56" s="48"/>
      <c r="K56" s="48"/>
      <c r="L56" s="48"/>
      <c r="M56" s="48"/>
      <c r="N56" s="48"/>
      <c r="O56" s="48"/>
      <c r="P56" s="89"/>
      <c r="Q56" s="89"/>
      <c r="R56" s="89"/>
      <c r="S56" s="89"/>
      <c r="T56" s="89"/>
    </row>
    <row r="57" spans="1:20" ht="15.75" x14ac:dyDescent="0.3">
      <c r="B57" s="48"/>
      <c r="C57" s="48"/>
      <c r="D57" s="48"/>
      <c r="E57" s="48"/>
      <c r="F57" s="48"/>
      <c r="G57" s="48"/>
      <c r="H57" s="48"/>
      <c r="I57" s="48"/>
      <c r="J57" s="48"/>
      <c r="K57" s="48"/>
      <c r="L57" s="48"/>
      <c r="M57" s="48"/>
      <c r="N57" s="48"/>
      <c r="O57" s="48"/>
      <c r="P57" s="89"/>
      <c r="Q57" s="89"/>
      <c r="R57" s="89"/>
      <c r="S57" s="89"/>
      <c r="T57" s="89"/>
    </row>
    <row r="58" spans="1:20" ht="15.75" x14ac:dyDescent="0.3">
      <c r="B58" s="91"/>
      <c r="C58" s="91"/>
      <c r="D58" s="91"/>
      <c r="E58" s="91"/>
      <c r="F58" s="89"/>
      <c r="G58" s="89"/>
      <c r="H58" s="89"/>
      <c r="I58" s="89"/>
      <c r="J58" s="89"/>
      <c r="K58" s="89"/>
      <c r="L58" s="89"/>
      <c r="M58" s="89"/>
      <c r="N58" s="89"/>
      <c r="O58" s="89"/>
      <c r="P58" s="92"/>
      <c r="Q58" s="92"/>
      <c r="R58" s="91"/>
      <c r="S58" s="89"/>
      <c r="T58" s="89"/>
    </row>
    <row r="59" spans="1:20" ht="15.75" x14ac:dyDescent="0.3">
      <c r="B59" s="613" t="s">
        <v>163</v>
      </c>
      <c r="C59" s="613"/>
      <c r="D59" s="613"/>
      <c r="E59" s="613"/>
      <c r="F59" s="89"/>
      <c r="G59" s="89"/>
      <c r="H59" s="89"/>
      <c r="I59" s="89"/>
      <c r="J59" s="89"/>
      <c r="K59" s="89"/>
      <c r="L59" s="89"/>
      <c r="M59" s="89"/>
      <c r="N59" s="89"/>
      <c r="O59" s="89"/>
      <c r="P59" s="612" t="s">
        <v>164</v>
      </c>
      <c r="Q59" s="612"/>
      <c r="R59" s="612"/>
      <c r="S59" s="90"/>
      <c r="T59" s="90"/>
    </row>
    <row r="60" spans="1:20" x14ac:dyDescent="0.25">
      <c r="A60" s="75"/>
      <c r="B60" s="75"/>
      <c r="C60" s="75"/>
      <c r="D60" s="75"/>
      <c r="E60" s="75"/>
      <c r="F60" s="75"/>
      <c r="G60" s="75"/>
      <c r="H60" s="75"/>
      <c r="I60" s="75"/>
      <c r="J60" s="75"/>
      <c r="K60" s="75"/>
      <c r="L60" s="75"/>
      <c r="M60" s="75"/>
      <c r="N60" s="75"/>
      <c r="O60" s="75"/>
      <c r="P60" s="75"/>
      <c r="Q60" s="75"/>
      <c r="R60" s="75"/>
      <c r="S60" s="75"/>
      <c r="T60" s="75"/>
    </row>
    <row r="63" spans="1:20" x14ac:dyDescent="0.25">
      <c r="B63" s="75"/>
      <c r="C63" s="75"/>
      <c r="D63" s="75"/>
      <c r="E63" s="75"/>
      <c r="F63" s="75"/>
      <c r="G63" s="75"/>
      <c r="H63" s="75"/>
      <c r="I63" s="75"/>
      <c r="J63" s="75"/>
      <c r="K63" s="75"/>
      <c r="L63" s="75"/>
      <c r="M63" s="75"/>
      <c r="N63" s="75"/>
      <c r="O63" s="75"/>
    </row>
    <row r="64" spans="1:20" x14ac:dyDescent="0.25">
      <c r="B64" s="93"/>
      <c r="C64" s="93"/>
      <c r="D64" s="93"/>
      <c r="E64" s="93"/>
      <c r="F64" s="93"/>
      <c r="G64" s="93"/>
      <c r="H64" s="93"/>
      <c r="I64" s="93"/>
      <c r="J64" s="93"/>
      <c r="K64" s="93"/>
      <c r="L64" s="93"/>
      <c r="M64" s="93"/>
      <c r="N64" s="93"/>
      <c r="O64" s="93"/>
    </row>
    <row r="66" spans="1:11" x14ac:dyDescent="0.25">
      <c r="A66" s="75"/>
    </row>
    <row r="67" spans="1:11" x14ac:dyDescent="0.25">
      <c r="K67" s="47"/>
    </row>
    <row r="68" spans="1:11" x14ac:dyDescent="0.25">
      <c r="K68" s="47"/>
    </row>
  </sheetData>
  <sheetProtection formatColumns="0" formatRows="0" insertRows="0" deleteRows="0" selectLockedCells="1" autoFilter="0"/>
  <mergeCells count="21">
    <mergeCell ref="A3:A5"/>
    <mergeCell ref="K3:K5"/>
    <mergeCell ref="A1:H1"/>
    <mergeCell ref="I1:L1"/>
    <mergeCell ref="A2:L2"/>
    <mergeCell ref="B3:G3"/>
    <mergeCell ref="I3:I5"/>
    <mergeCell ref="L3:L5"/>
    <mergeCell ref="T3:T5"/>
    <mergeCell ref="B54:E54"/>
    <mergeCell ref="P54:R54"/>
    <mergeCell ref="B55:E55"/>
    <mergeCell ref="B59:E59"/>
    <mergeCell ref="P59:R59"/>
    <mergeCell ref="M3:M5"/>
    <mergeCell ref="N3:N5"/>
    <mergeCell ref="O3:O5"/>
    <mergeCell ref="P3:P5"/>
    <mergeCell ref="Q3:Q5"/>
    <mergeCell ref="R3:R5"/>
    <mergeCell ref="S3:S5"/>
  </mergeCells>
  <printOptions horizontalCentered="1" verticalCentered="1"/>
  <pageMargins left="0.24" right="0.27" top="0.41" bottom="0.37" header="0.31496062992125984" footer="0.31496062992125984"/>
  <pageSetup paperSize="9" scale="47"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148A4-C9D0-469F-862C-A2F0A77EA1E4}">
  <sheetPr codeName="Hoja11">
    <pageSetUpPr fitToPage="1"/>
  </sheetPr>
  <dimension ref="A1:O46"/>
  <sheetViews>
    <sheetView view="pageBreakPreview" zoomScale="80" zoomScaleNormal="100" zoomScaleSheetLayoutView="80" workbookViewId="0">
      <selection activeCell="C7" sqref="C7:H7"/>
    </sheetView>
  </sheetViews>
  <sheetFormatPr baseColWidth="10" defaultColWidth="11.42578125" defaultRowHeight="15" x14ac:dyDescent="0.25"/>
  <cols>
    <col min="1" max="1" width="2.7109375" style="46" customWidth="1"/>
    <col min="2" max="2" width="27.140625" style="46" customWidth="1"/>
    <col min="3" max="3" width="11.42578125" style="46"/>
    <col min="4" max="4" width="6.7109375" style="46" customWidth="1"/>
    <col min="5" max="5" width="14.85546875" style="46" customWidth="1"/>
    <col min="6" max="6" width="15.85546875" style="46" bestFit="1" customWidth="1"/>
    <col min="7" max="7" width="15.85546875" style="46" customWidth="1"/>
    <col min="8" max="9" width="18.5703125" style="46" customWidth="1"/>
    <col min="10" max="10" width="18.85546875" style="46" customWidth="1"/>
    <col min="11" max="11" width="11.28515625" style="46" bestFit="1" customWidth="1"/>
    <col min="12" max="16384" width="11.42578125" style="46"/>
  </cols>
  <sheetData>
    <row r="1" spans="1:15" x14ac:dyDescent="0.25">
      <c r="A1" s="58"/>
      <c r="B1" s="59"/>
      <c r="C1" s="59"/>
      <c r="D1" s="59"/>
      <c r="E1" s="59"/>
      <c r="F1" s="59"/>
      <c r="G1" s="59"/>
      <c r="H1" s="59"/>
      <c r="I1" s="59"/>
      <c r="J1" s="60"/>
    </row>
    <row r="2" spans="1:15" ht="18.75" x14ac:dyDescent="0.3">
      <c r="A2" s="61"/>
      <c r="C2" s="580" t="s">
        <v>120</v>
      </c>
      <c r="D2" s="580"/>
      <c r="E2" s="580"/>
      <c r="F2" s="580"/>
      <c r="G2" s="580"/>
      <c r="H2" s="580"/>
      <c r="I2" s="135"/>
      <c r="J2" s="140"/>
    </row>
    <row r="3" spans="1:15" x14ac:dyDescent="0.25">
      <c r="A3" s="61"/>
      <c r="J3" s="62"/>
    </row>
    <row r="4" spans="1:15" x14ac:dyDescent="0.25">
      <c r="A4" s="61"/>
      <c r="J4" s="62"/>
    </row>
    <row r="5" spans="1:15" x14ac:dyDescent="0.25">
      <c r="A5" s="61"/>
      <c r="H5" s="46" t="s">
        <v>121</v>
      </c>
      <c r="J5" s="141">
        <f ca="1">TODAY()</f>
        <v>46035</v>
      </c>
    </row>
    <row r="6" spans="1:15" x14ac:dyDescent="0.25">
      <c r="A6" s="61"/>
      <c r="J6" s="62"/>
    </row>
    <row r="7" spans="1:15" x14ac:dyDescent="0.25">
      <c r="A7" s="61"/>
      <c r="B7" s="63" t="s">
        <v>3</v>
      </c>
      <c r="C7" s="579" t="s">
        <v>547</v>
      </c>
      <c r="D7" s="579"/>
      <c r="E7" s="579"/>
      <c r="F7" s="579"/>
      <c r="G7" s="579"/>
      <c r="H7" s="579"/>
      <c r="I7" s="134"/>
      <c r="J7" s="392" t="str">
        <f>VLOOKUP(C7,Tabla2[#All],8,FALSE)</f>
        <v>PF</v>
      </c>
    </row>
    <row r="8" spans="1:15" x14ac:dyDescent="0.25">
      <c r="A8" s="61"/>
      <c r="J8" s="62"/>
    </row>
    <row r="9" spans="1:15" x14ac:dyDescent="0.25">
      <c r="A9" s="61"/>
      <c r="J9" s="62"/>
    </row>
    <row r="10" spans="1:15" x14ac:dyDescent="0.25">
      <c r="A10" s="61"/>
      <c r="J10" s="62"/>
    </row>
    <row r="11" spans="1:15" s="45" customFormat="1" ht="30" x14ac:dyDescent="0.25">
      <c r="A11" s="138"/>
      <c r="B11" s="585" t="s">
        <v>125</v>
      </c>
      <c r="C11" s="585"/>
      <c r="D11" s="585"/>
      <c r="E11" s="137" t="s">
        <v>126</v>
      </c>
      <c r="F11" s="137" t="s">
        <v>505</v>
      </c>
      <c r="G11" s="137" t="s">
        <v>519</v>
      </c>
      <c r="H11" s="137" t="s">
        <v>127</v>
      </c>
      <c r="I11" s="137" t="s">
        <v>376</v>
      </c>
      <c r="J11" s="142" t="s">
        <v>6</v>
      </c>
    </row>
    <row r="12" spans="1:15" x14ac:dyDescent="0.25">
      <c r="A12" s="61"/>
      <c r="B12" s="586" t="s">
        <v>334</v>
      </c>
      <c r="C12" s="587"/>
      <c r="D12" s="588"/>
      <c r="E12" s="68">
        <f>VLOOKUP($C$7,'Caratula 2023'!$B$8:$AB$41,21,FALSE)</f>
        <v>0</v>
      </c>
      <c r="F12" s="68">
        <f>VLOOKUP($C$7,'Caratula 2023'!$B$8:$AB$41,23,FALSE)</f>
        <v>0</v>
      </c>
      <c r="G12" s="68">
        <f>VLOOKUP($C$7,'Caratula 2023'!$B$8:$AB$41,25,FALSE)</f>
        <v>6878.6200259999987</v>
      </c>
      <c r="H12" s="68">
        <f>VLOOKUP($C$7,'Caratula 2023'!$B$8:$AB$41,27,FALSE)</f>
        <v>0</v>
      </c>
      <c r="I12" s="68">
        <f>VLOOKUP(C7,'Caratula 2023'!$B$8:$U$44,13,FALSE)</f>
        <v>0</v>
      </c>
      <c r="J12" s="143">
        <f>++E12+F12-G12-H12-I12</f>
        <v>-6878.6200259999987</v>
      </c>
    </row>
    <row r="13" spans="1:15" x14ac:dyDescent="0.25">
      <c r="A13" s="61"/>
      <c r="B13"/>
      <c r="C13"/>
      <c r="D13"/>
      <c r="E13"/>
      <c r="F13"/>
      <c r="G13"/>
      <c r="H13"/>
      <c r="I13"/>
      <c r="J13" s="9"/>
    </row>
    <row r="14" spans="1:15" x14ac:dyDescent="0.25">
      <c r="A14" s="61"/>
      <c r="B14"/>
      <c r="C14"/>
      <c r="D14"/>
      <c r="E14"/>
      <c r="F14"/>
      <c r="G14"/>
      <c r="H14" s="69" t="s">
        <v>123</v>
      </c>
      <c r="I14" s="69"/>
      <c r="J14" s="144">
        <f>SUBTOTAL(9,J12:J12)</f>
        <v>-6878.6200259999987</v>
      </c>
    </row>
    <row r="15" spans="1:15" ht="15" customHeight="1" x14ac:dyDescent="0.25">
      <c r="A15" s="61"/>
      <c r="B15"/>
      <c r="C15"/>
      <c r="D15"/>
      <c r="E15" s="70">
        <v>0.08</v>
      </c>
      <c r="F15" s="70"/>
      <c r="G15" s="70"/>
      <c r="H15" s="69" t="s">
        <v>7</v>
      </c>
      <c r="I15" s="69"/>
      <c r="J15" s="144">
        <f>IF(C26="RAYMUNDO LOPEZ OLVERA",0,J14*E15)</f>
        <v>-550.2896020799999</v>
      </c>
    </row>
    <row r="16" spans="1:15" x14ac:dyDescent="0.25">
      <c r="A16" s="61"/>
      <c r="B16"/>
      <c r="C16"/>
      <c r="D16"/>
      <c r="E16"/>
      <c r="F16"/>
      <c r="G16"/>
      <c r="H16" s="69" t="s">
        <v>126</v>
      </c>
      <c r="I16" s="69"/>
      <c r="J16" s="144">
        <f>++J14+J15</f>
        <v>-7428.9096280799986</v>
      </c>
      <c r="N16" s="46">
        <v>2227.67</v>
      </c>
      <c r="O16" s="46">
        <v>737.54</v>
      </c>
    </row>
    <row r="17" spans="1:15" x14ac:dyDescent="0.25">
      <c r="A17" s="61"/>
      <c r="B17"/>
      <c r="C17"/>
      <c r="D17"/>
      <c r="E17"/>
      <c r="F17"/>
      <c r="G17"/>
      <c r="H17"/>
      <c r="I17"/>
      <c r="J17" s="144"/>
      <c r="N17" s="46">
        <v>2201.23</v>
      </c>
      <c r="O17" s="46">
        <v>746.39</v>
      </c>
    </row>
    <row r="18" spans="1:15" x14ac:dyDescent="0.25">
      <c r="A18" s="61"/>
      <c r="B18"/>
      <c r="C18"/>
      <c r="D18"/>
      <c r="E18"/>
      <c r="F18"/>
      <c r="G18"/>
      <c r="H18" s="69" t="s">
        <v>124</v>
      </c>
      <c r="I18" s="69"/>
      <c r="J18" s="144">
        <f>++(J16/1.16)</f>
        <v>-6404.2324379999991</v>
      </c>
      <c r="N18" s="46">
        <f>++N16-N17</f>
        <v>26.440000000000055</v>
      </c>
      <c r="O18" s="46">
        <v>8.85</v>
      </c>
    </row>
    <row r="19" spans="1:15" x14ac:dyDescent="0.25">
      <c r="A19" s="61"/>
      <c r="B19"/>
      <c r="C19"/>
      <c r="D19"/>
      <c r="E19" s="70">
        <v>0.16</v>
      </c>
      <c r="F19" s="70"/>
      <c r="G19" s="70"/>
      <c r="H19" s="69" t="s">
        <v>143</v>
      </c>
      <c r="I19" s="69"/>
      <c r="J19" s="144">
        <f>++J18*E19</f>
        <v>-1024.6771900799999</v>
      </c>
      <c r="L19" s="248"/>
      <c r="N19" s="46">
        <f>++N18/1.16</f>
        <v>22.793103448275911</v>
      </c>
      <c r="O19" s="46">
        <f>++O18/1.16</f>
        <v>7.6293103448275863</v>
      </c>
    </row>
    <row r="20" spans="1:15" x14ac:dyDescent="0.25">
      <c r="A20" s="61"/>
      <c r="B20"/>
      <c r="C20"/>
      <c r="D20"/>
      <c r="E20" s="71">
        <v>0.66666666666666663</v>
      </c>
      <c r="F20" s="71"/>
      <c r="G20" s="71"/>
      <c r="H20" s="69" t="s">
        <v>144</v>
      </c>
      <c r="I20" s="69"/>
      <c r="J20" s="144">
        <f>IF(C27="Raymundo Lopez Olvera",0,J19*E20)</f>
        <v>-683.11812671999996</v>
      </c>
    </row>
    <row r="21" spans="1:15" x14ac:dyDescent="0.25">
      <c r="A21" s="61"/>
      <c r="B21"/>
      <c r="C21"/>
      <c r="D21"/>
      <c r="E21" s="146">
        <v>1.2500000000000001E-2</v>
      </c>
      <c r="F21" s="71"/>
      <c r="G21" s="71"/>
      <c r="H21" s="69" t="s">
        <v>378</v>
      </c>
      <c r="I21" s="69"/>
      <c r="J21" s="144">
        <f>IF(J7="RESICO",J18*E21,0)</f>
        <v>0</v>
      </c>
    </row>
    <row r="22" spans="1:15" ht="15.75" x14ac:dyDescent="0.25">
      <c r="A22" s="61"/>
      <c r="B22"/>
      <c r="C22"/>
      <c r="D22"/>
      <c r="E22"/>
      <c r="F22"/>
      <c r="G22"/>
      <c r="H22" s="69" t="s">
        <v>6</v>
      </c>
      <c r="I22" s="69"/>
      <c r="J22" s="145">
        <f>++J18+J19-J20-J21</f>
        <v>-6745.7915013599986</v>
      </c>
      <c r="K22" s="81"/>
    </row>
    <row r="23" spans="1:15" x14ac:dyDescent="0.25">
      <c r="A23" s="61"/>
      <c r="B23"/>
      <c r="C23"/>
      <c r="D23"/>
      <c r="E23"/>
      <c r="F23"/>
      <c r="G23"/>
      <c r="H23"/>
      <c r="I23"/>
      <c r="J23" s="9"/>
    </row>
    <row r="24" spans="1:15" ht="15.75" x14ac:dyDescent="0.25">
      <c r="A24" s="61"/>
      <c r="B24" s="583" t="s">
        <v>128</v>
      </c>
      <c r="C24" s="583"/>
      <c r="D24" s="583"/>
      <c r="E24" s="583"/>
      <c r="F24" s="583"/>
      <c r="G24" s="583"/>
      <c r="H24" s="583"/>
      <c r="I24" s="583"/>
      <c r="J24" s="584"/>
    </row>
    <row r="25" spans="1:15" x14ac:dyDescent="0.25">
      <c r="A25" s="61"/>
      <c r="B25"/>
      <c r="C25"/>
      <c r="D25"/>
      <c r="E25"/>
      <c r="F25"/>
      <c r="G25"/>
      <c r="H25"/>
      <c r="I25"/>
      <c r="J25" s="9"/>
    </row>
    <row r="26" spans="1:15" x14ac:dyDescent="0.25">
      <c r="A26" s="61"/>
      <c r="B26" s="69" t="s">
        <v>129</v>
      </c>
      <c r="C26" s="581" t="str">
        <f>VLOOKUP($C$7,Catalogos!$B$3:$D$89,3,FALSE)</f>
        <v>ERDM</v>
      </c>
      <c r="D26" s="582"/>
      <c r="E26" s="582"/>
      <c r="F26" s="582"/>
      <c r="G26" s="582"/>
      <c r="H26" s="582"/>
      <c r="I26" s="136"/>
      <c r="J26" s="9"/>
    </row>
    <row r="27" spans="1:15" x14ac:dyDescent="0.25">
      <c r="A27" s="61"/>
      <c r="B27" s="69" t="s">
        <v>157</v>
      </c>
      <c r="C27" s="578" t="str">
        <f>+C26</f>
        <v>ERDM</v>
      </c>
      <c r="D27" s="578"/>
      <c r="E27" s="578"/>
      <c r="F27" s="578"/>
      <c r="G27" s="578"/>
      <c r="H27" s="578"/>
      <c r="I27" s="133"/>
      <c r="J27" s="9"/>
    </row>
    <row r="28" spans="1:15" x14ac:dyDescent="0.25">
      <c r="A28" s="61"/>
      <c r="B28" s="69" t="s">
        <v>130</v>
      </c>
      <c r="C28" t="str">
        <f>VLOOKUP(C26,Tabla1[#All],3,FALSE)</f>
        <v>ERM071005BZA</v>
      </c>
      <c r="D28"/>
      <c r="E28"/>
      <c r="F28"/>
      <c r="G28"/>
      <c r="H28"/>
      <c r="I28"/>
      <c r="J28" s="9"/>
    </row>
    <row r="29" spans="1:15" x14ac:dyDescent="0.25">
      <c r="A29" s="61"/>
      <c r="B29" s="69" t="s">
        <v>131</v>
      </c>
      <c r="C29" t="str">
        <f>VLOOKUP(C26,Tabla1[#All],4,FALSE)</f>
        <v>Matias de bocanegra #42 int B Col. Mirador del Punhuato Morelia, Mich CP. 58249</v>
      </c>
      <c r="D29"/>
      <c r="E29"/>
      <c r="F29"/>
      <c r="G29"/>
      <c r="H29"/>
      <c r="I29"/>
      <c r="J29" s="9"/>
    </row>
    <row r="30" spans="1:15" x14ac:dyDescent="0.25">
      <c r="A30" s="61"/>
      <c r="B30"/>
      <c r="C30"/>
      <c r="D30"/>
      <c r="E30"/>
      <c r="F30"/>
      <c r="G30"/>
      <c r="H30"/>
      <c r="I30"/>
      <c r="J30" s="9"/>
    </row>
    <row r="31" spans="1:15" x14ac:dyDescent="0.25">
      <c r="A31" s="61"/>
      <c r="B31" s="69" t="s">
        <v>134</v>
      </c>
      <c r="C31" t="s">
        <v>141</v>
      </c>
      <c r="D31" t="s">
        <v>142</v>
      </c>
      <c r="E31"/>
      <c r="F31"/>
      <c r="G31"/>
      <c r="H31"/>
      <c r="I31"/>
      <c r="J31" s="9"/>
    </row>
    <row r="32" spans="1:15" x14ac:dyDescent="0.25">
      <c r="A32" s="61"/>
      <c r="B32" s="69" t="s">
        <v>135</v>
      </c>
      <c r="C32" s="14" t="s">
        <v>198</v>
      </c>
      <c r="D32" t="s">
        <v>199</v>
      </c>
      <c r="E32"/>
      <c r="F32"/>
      <c r="G32"/>
      <c r="H32"/>
      <c r="I32"/>
      <c r="J32" s="9"/>
    </row>
    <row r="33" spans="1:10" x14ac:dyDescent="0.25">
      <c r="A33" s="61"/>
      <c r="B33" s="69" t="s">
        <v>136</v>
      </c>
      <c r="C33" t="s">
        <v>196</v>
      </c>
      <c r="D33" t="s">
        <v>197</v>
      </c>
      <c r="E33"/>
      <c r="F33"/>
      <c r="G33"/>
      <c r="H33"/>
      <c r="I33"/>
      <c r="J33" s="9"/>
    </row>
    <row r="34" spans="1:10" x14ac:dyDescent="0.25">
      <c r="A34" s="61"/>
      <c r="B34"/>
      <c r="C34"/>
      <c r="D34"/>
      <c r="E34"/>
      <c r="F34"/>
      <c r="G34"/>
      <c r="H34"/>
      <c r="I34"/>
      <c r="J34" s="9"/>
    </row>
    <row r="35" spans="1:10" x14ac:dyDescent="0.25">
      <c r="A35" s="61"/>
      <c r="B35" s="69" t="s">
        <v>132</v>
      </c>
      <c r="C35" t="s">
        <v>137</v>
      </c>
      <c r="D35"/>
      <c r="E35"/>
      <c r="F35"/>
      <c r="G35"/>
      <c r="H35"/>
      <c r="I35"/>
      <c r="J35" s="9"/>
    </row>
    <row r="36" spans="1:10" x14ac:dyDescent="0.25">
      <c r="A36" s="61"/>
      <c r="B36" s="69" t="s">
        <v>133</v>
      </c>
      <c r="C36" s="14">
        <v>80141601</v>
      </c>
      <c r="D36"/>
      <c r="E36"/>
      <c r="F36"/>
      <c r="G36"/>
      <c r="H36"/>
      <c r="I36"/>
      <c r="J36" s="9"/>
    </row>
    <row r="37" spans="1:10" x14ac:dyDescent="0.25">
      <c r="A37" s="61"/>
      <c r="B37" s="69" t="s">
        <v>138</v>
      </c>
      <c r="C37" t="s">
        <v>139</v>
      </c>
      <c r="D37" t="s">
        <v>140</v>
      </c>
      <c r="E37"/>
      <c r="F37"/>
      <c r="G37"/>
      <c r="H37"/>
      <c r="I37"/>
      <c r="J37" s="9"/>
    </row>
    <row r="38" spans="1:10" x14ac:dyDescent="0.25">
      <c r="A38" s="61"/>
      <c r="B38" s="69"/>
      <c r="C38"/>
      <c r="D38"/>
      <c r="E38"/>
      <c r="F38"/>
      <c r="G38"/>
      <c r="H38"/>
      <c r="I38"/>
      <c r="J38" s="9"/>
    </row>
    <row r="39" spans="1:10" ht="15.75" x14ac:dyDescent="0.25">
      <c r="A39" s="61"/>
      <c r="B39" s="583" t="s">
        <v>169</v>
      </c>
      <c r="C39" s="583"/>
      <c r="D39" s="583"/>
      <c r="E39" s="583"/>
      <c r="F39" s="583"/>
      <c r="G39" s="583"/>
      <c r="H39" s="583"/>
      <c r="I39" s="583"/>
      <c r="J39" s="584"/>
    </row>
    <row r="40" spans="1:10" x14ac:dyDescent="0.25">
      <c r="A40" s="61"/>
      <c r="B40" s="69"/>
      <c r="C40"/>
      <c r="D40"/>
      <c r="E40"/>
      <c r="F40"/>
      <c r="G40"/>
      <c r="H40"/>
      <c r="I40"/>
      <c r="J40" s="9"/>
    </row>
    <row r="41" spans="1:10" x14ac:dyDescent="0.25">
      <c r="A41" s="61"/>
      <c r="B41" s="69" t="s">
        <v>130</v>
      </c>
      <c r="C41" s="636">
        <f>VLOOKUP($C$7,Tabla2[#All],6,FALSE)</f>
        <v>2992787601</v>
      </c>
      <c r="D41" s="636"/>
      <c r="E41" s="636"/>
      <c r="F41"/>
      <c r="G41"/>
      <c r="H41"/>
      <c r="I41"/>
      <c r="J41" s="9"/>
    </row>
    <row r="42" spans="1:10" x14ac:dyDescent="0.25">
      <c r="A42" s="61"/>
      <c r="B42" s="69" t="s">
        <v>166</v>
      </c>
      <c r="C42" s="636" t="str">
        <f>VLOOKUP($C$7,Tabla2[#All],7,FALSE)</f>
        <v>012470029927876013</v>
      </c>
      <c r="D42" s="636"/>
      <c r="E42" s="636"/>
      <c r="F42"/>
      <c r="G42"/>
      <c r="H42"/>
      <c r="I42"/>
      <c r="J42" s="9"/>
    </row>
    <row r="43" spans="1:10" x14ac:dyDescent="0.25">
      <c r="A43" s="61"/>
      <c r="B43" s="69" t="s">
        <v>167</v>
      </c>
      <c r="C43" s="637" t="str">
        <f>VLOOKUP($C$7,Tabla2[#All],8,FALSE)</f>
        <v>PF</v>
      </c>
      <c r="D43" s="637"/>
      <c r="E43" s="637"/>
      <c r="F43" s="121"/>
      <c r="G43" s="121"/>
      <c r="H43"/>
      <c r="I43"/>
      <c r="J43" s="9"/>
    </row>
    <row r="44" spans="1:10" x14ac:dyDescent="0.25">
      <c r="A44" s="61"/>
      <c r="B44" s="69" t="s">
        <v>168</v>
      </c>
      <c r="C44" s="636">
        <f>VLOOKUP($C$7,Tabla2[#All],9,FALSE)</f>
        <v>0</v>
      </c>
      <c r="D44" s="636"/>
      <c r="E44" s="636"/>
      <c r="F44"/>
      <c r="G44"/>
      <c r="H44"/>
      <c r="I44"/>
      <c r="J44" s="9"/>
    </row>
    <row r="45" spans="1:10" ht="15.75" thickBot="1" x14ac:dyDescent="0.3">
      <c r="A45" s="64"/>
      <c r="B45" s="65"/>
      <c r="C45" s="66"/>
      <c r="D45" s="66"/>
      <c r="E45" s="66"/>
      <c r="F45" s="66"/>
      <c r="G45" s="66"/>
      <c r="H45" s="66"/>
      <c r="I45" s="66"/>
      <c r="J45" s="67"/>
    </row>
    <row r="46" spans="1:10" ht="15.75" thickBot="1" x14ac:dyDescent="0.3">
      <c r="A46" s="64"/>
      <c r="B46" s="66"/>
      <c r="C46" s="66"/>
      <c r="D46" s="66"/>
      <c r="E46" s="66"/>
      <c r="F46" s="66"/>
      <c r="G46" s="66"/>
      <c r="H46" s="66"/>
      <c r="I46" s="66"/>
      <c r="J46" s="66"/>
    </row>
  </sheetData>
  <mergeCells count="12">
    <mergeCell ref="C44:E44"/>
    <mergeCell ref="C2:H2"/>
    <mergeCell ref="C7:H7"/>
    <mergeCell ref="B11:D11"/>
    <mergeCell ref="B12:D12"/>
    <mergeCell ref="B24:J24"/>
    <mergeCell ref="C26:H26"/>
    <mergeCell ref="C27:H27"/>
    <mergeCell ref="B39:J39"/>
    <mergeCell ref="C41:E41"/>
    <mergeCell ref="C42:E42"/>
    <mergeCell ref="C43:E43"/>
  </mergeCells>
  <pageMargins left="0.70866141732283472" right="0.70866141732283472" top="0.74803149606299213" bottom="0.74803149606299213" header="0.31496062992125984" footer="0.31496062992125984"/>
  <pageSetup scale="61" orientation="portrait" r:id="rId1"/>
  <colBreaks count="1" manualBreakCount="1">
    <brk id="10"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620F8F9-E61E-4756-B1C7-746D9B9A9F0D}">
          <x14:formula1>
            <xm:f>Catalogos!$B$4:$B$35</xm:f>
          </x14:formula1>
          <xm:sqref>I7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A6B9E-746F-43CC-9C6E-42E7909C37D6}">
  <sheetPr codeName="Hoja5"/>
  <dimension ref="A1:J54"/>
  <sheetViews>
    <sheetView topLeftCell="A7" zoomScaleNormal="100" workbookViewId="0">
      <selection activeCell="I29" sqref="I29"/>
    </sheetView>
  </sheetViews>
  <sheetFormatPr baseColWidth="10" defaultColWidth="0" defaultRowHeight="15" customHeight="1" zeroHeight="1" x14ac:dyDescent="0.25"/>
  <cols>
    <col min="1" max="1" width="2.5703125" customWidth="1"/>
    <col min="2" max="2" width="19.140625" customWidth="1"/>
    <col min="3" max="3" width="18.140625" customWidth="1"/>
    <col min="4" max="4" width="11.42578125" customWidth="1"/>
    <col min="5" max="5" width="5.85546875" customWidth="1"/>
    <col min="6" max="6" width="20.140625" customWidth="1"/>
    <col min="7" max="7" width="17.5703125" customWidth="1"/>
    <col min="8" max="8" width="3.140625" customWidth="1"/>
    <col min="9" max="9" width="2.140625" customWidth="1"/>
    <col min="10" max="10" width="2.7109375" customWidth="1"/>
    <col min="11" max="16384" width="11.42578125" hidden="1"/>
  </cols>
  <sheetData>
    <row r="1" spans="1:9" x14ac:dyDescent="0.25">
      <c r="A1" s="5"/>
      <c r="B1" s="6"/>
      <c r="C1" s="6"/>
      <c r="D1" s="6"/>
      <c r="E1" s="6"/>
      <c r="F1" s="6"/>
      <c r="G1" s="6"/>
      <c r="H1" s="6"/>
      <c r="I1" s="7"/>
    </row>
    <row r="2" spans="1:9" ht="9.1999999999999993" customHeight="1" x14ac:dyDescent="0.25">
      <c r="A2" s="8"/>
      <c r="I2" s="9"/>
    </row>
    <row r="3" spans="1:9" x14ac:dyDescent="0.25">
      <c r="A3" s="8"/>
      <c r="I3" s="9"/>
    </row>
    <row r="4" spans="1:9" ht="8.4499999999999993" customHeight="1" x14ac:dyDescent="0.25">
      <c r="A4" s="8"/>
      <c r="I4" s="9"/>
    </row>
    <row r="5" spans="1:9" x14ac:dyDescent="0.25">
      <c r="A5" s="8"/>
      <c r="I5" s="9"/>
    </row>
    <row r="6" spans="1:9" ht="6.75" customHeight="1" x14ac:dyDescent="0.25">
      <c r="A6" s="8"/>
      <c r="I6" s="9"/>
    </row>
    <row r="7" spans="1:9" ht="18.75" x14ac:dyDescent="0.3">
      <c r="A7" s="8"/>
      <c r="B7" s="639" t="s">
        <v>170</v>
      </c>
      <c r="C7" s="639"/>
      <c r="D7" s="639"/>
      <c r="E7" s="639"/>
      <c r="F7" s="639"/>
      <c r="G7" s="639"/>
      <c r="H7" s="15"/>
      <c r="I7" s="9"/>
    </row>
    <row r="8" spans="1:9" ht="10.5" customHeight="1" x14ac:dyDescent="0.25">
      <c r="A8" s="8"/>
      <c r="I8" s="9"/>
    </row>
    <row r="9" spans="1:9" ht="15.75" x14ac:dyDescent="0.25">
      <c r="A9" s="8"/>
      <c r="B9" s="16" t="s">
        <v>171</v>
      </c>
      <c r="C9" s="640" t="e">
        <f>VLOOKUP(C11,Catalogos!$B$3:$H$31,4,FALSE)</f>
        <v>#N/A</v>
      </c>
      <c r="D9" s="640"/>
      <c r="E9" s="640"/>
      <c r="F9" s="640"/>
      <c r="G9" s="640"/>
      <c r="I9" s="9"/>
    </row>
    <row r="10" spans="1:9" ht="12.2" customHeight="1" x14ac:dyDescent="0.25">
      <c r="A10" s="8"/>
      <c r="B10" s="17"/>
      <c r="I10" s="9"/>
    </row>
    <row r="11" spans="1:9" x14ac:dyDescent="0.25">
      <c r="A11" s="8"/>
      <c r="B11" s="16" t="s">
        <v>172</v>
      </c>
      <c r="C11" s="641" t="s">
        <v>339</v>
      </c>
      <c r="D11" s="641"/>
      <c r="E11" s="641"/>
      <c r="F11" s="641"/>
      <c r="G11" s="641"/>
      <c r="I11" s="9"/>
    </row>
    <row r="12" spans="1:9" ht="12.2" customHeight="1" x14ac:dyDescent="0.25">
      <c r="A12" s="8"/>
      <c r="B12" s="17"/>
      <c r="I12" s="9"/>
    </row>
    <row r="13" spans="1:9" x14ac:dyDescent="0.25">
      <c r="A13" s="8"/>
      <c r="B13" s="16" t="s">
        <v>173</v>
      </c>
      <c r="C13" s="641" t="e">
        <f>VLOOKUP(C11,Catalogos!$B$3:$H$31,6,FALSE)</f>
        <v>#N/A</v>
      </c>
      <c r="D13" s="641"/>
      <c r="E13" s="641"/>
      <c r="F13" s="641"/>
      <c r="G13" s="641"/>
      <c r="I13" s="9"/>
    </row>
    <row r="14" spans="1:9" ht="12.2" customHeight="1" x14ac:dyDescent="0.25">
      <c r="A14" s="8"/>
      <c r="B14" s="17"/>
      <c r="I14" s="9"/>
    </row>
    <row r="15" spans="1:9" x14ac:dyDescent="0.25">
      <c r="A15" s="8"/>
      <c r="B15" s="16" t="s">
        <v>174</v>
      </c>
      <c r="C15" s="641" t="e">
        <f>VLOOKUP(C11,Catalogos!$B$3:$H$31,5,FALSE)</f>
        <v>#N/A</v>
      </c>
      <c r="D15" s="641"/>
      <c r="E15" s="641"/>
      <c r="F15" s="641"/>
      <c r="G15" s="641"/>
      <c r="I15" s="9"/>
    </row>
    <row r="16" spans="1:9" ht="12.2" customHeight="1" x14ac:dyDescent="0.25">
      <c r="A16" s="8"/>
      <c r="B16" s="17"/>
      <c r="I16" s="9"/>
    </row>
    <row r="17" spans="1:9" ht="15.75" x14ac:dyDescent="0.25">
      <c r="A17" s="8"/>
      <c r="B17" s="16" t="s">
        <v>175</v>
      </c>
      <c r="C17" s="18">
        <f>VLOOKUP(C11,Caratula!$A$6:$T$49,13,FALSE)</f>
        <v>0</v>
      </c>
      <c r="D17" s="642" t="s">
        <v>618</v>
      </c>
      <c r="E17" s="642"/>
      <c r="F17" s="642"/>
      <c r="G17" s="642"/>
      <c r="I17" s="9"/>
    </row>
    <row r="18" spans="1:9" ht="12.95" customHeight="1" x14ac:dyDescent="0.25">
      <c r="A18" s="8"/>
      <c r="B18" s="19"/>
      <c r="C18" s="643" t="s">
        <v>176</v>
      </c>
      <c r="D18" s="643"/>
      <c r="E18" s="643"/>
      <c r="F18" s="643"/>
      <c r="G18" s="643"/>
      <c r="H18" s="20"/>
      <c r="I18" s="9"/>
    </row>
    <row r="19" spans="1:9" ht="12.2" customHeight="1" x14ac:dyDescent="0.25">
      <c r="A19" s="8"/>
      <c r="B19" s="17"/>
      <c r="I19" s="9"/>
    </row>
    <row r="20" spans="1:9" x14ac:dyDescent="0.25">
      <c r="A20" s="8"/>
      <c r="B20" s="16" t="s">
        <v>177</v>
      </c>
      <c r="C20" s="644">
        <f>+Caratula!W4</f>
        <v>44936</v>
      </c>
      <c r="D20" s="644"/>
      <c r="E20" s="644"/>
      <c r="F20" s="644"/>
      <c r="G20" s="644"/>
      <c r="I20" s="9"/>
    </row>
    <row r="21" spans="1:9" ht="12.2" customHeight="1" x14ac:dyDescent="0.25">
      <c r="A21" s="8"/>
      <c r="B21" s="17"/>
      <c r="I21" s="9"/>
    </row>
    <row r="22" spans="1:9" x14ac:dyDescent="0.25">
      <c r="A22" s="8"/>
      <c r="B22" s="16" t="s">
        <v>178</v>
      </c>
      <c r="C22" s="645" t="s">
        <v>179</v>
      </c>
      <c r="D22" s="645"/>
      <c r="E22" s="645"/>
      <c r="F22" s="645"/>
      <c r="G22" s="645"/>
      <c r="I22" s="9"/>
    </row>
    <row r="23" spans="1:9" ht="10.5" customHeight="1" x14ac:dyDescent="0.25">
      <c r="A23" s="8"/>
      <c r="I23" s="9"/>
    </row>
    <row r="24" spans="1:9" ht="9.1999999999999993" customHeight="1" x14ac:dyDescent="0.25">
      <c r="A24" s="8"/>
      <c r="I24" s="9"/>
    </row>
    <row r="25" spans="1:9" ht="6.75" customHeight="1" x14ac:dyDescent="0.25">
      <c r="A25" s="8"/>
      <c r="I25" s="9"/>
    </row>
    <row r="26" spans="1:9" x14ac:dyDescent="0.25">
      <c r="A26" s="8"/>
      <c r="B26" s="646" t="s">
        <v>180</v>
      </c>
      <c r="C26" s="647"/>
      <c r="D26" s="647"/>
      <c r="E26" s="647"/>
      <c r="F26" s="647"/>
      <c r="G26" s="647"/>
      <c r="H26" s="21"/>
      <c r="I26" s="9"/>
    </row>
    <row r="27" spans="1:9" x14ac:dyDescent="0.25">
      <c r="A27" s="8"/>
      <c r="B27" s="647"/>
      <c r="C27" s="647"/>
      <c r="D27" s="647"/>
      <c r="E27" s="647"/>
      <c r="F27" s="647"/>
      <c r="G27" s="647"/>
      <c r="H27" s="21"/>
      <c r="I27" s="9"/>
    </row>
    <row r="28" spans="1:9" x14ac:dyDescent="0.25">
      <c r="A28" s="8"/>
      <c r="B28" s="647"/>
      <c r="C28" s="647"/>
      <c r="D28" s="647"/>
      <c r="E28" s="647"/>
      <c r="F28" s="647"/>
      <c r="G28" s="647"/>
      <c r="H28" s="21"/>
      <c r="I28" s="9"/>
    </row>
    <row r="29" spans="1:9" ht="30.95" customHeight="1" x14ac:dyDescent="0.25">
      <c r="A29" s="8"/>
      <c r="B29" s="647"/>
      <c r="C29" s="647"/>
      <c r="D29" s="647"/>
      <c r="E29" s="647"/>
      <c r="F29" s="647"/>
      <c r="G29" s="647"/>
      <c r="H29" s="21"/>
      <c r="I29" s="9"/>
    </row>
    <row r="30" spans="1:9" ht="9.6" customHeight="1" x14ac:dyDescent="0.25">
      <c r="A30" s="8"/>
      <c r="I30" s="9"/>
    </row>
    <row r="31" spans="1:9" ht="10.5" customHeight="1" x14ac:dyDescent="0.25">
      <c r="A31" s="8"/>
      <c r="I31" s="9"/>
    </row>
    <row r="32" spans="1:9" x14ac:dyDescent="0.25">
      <c r="A32" s="8"/>
      <c r="B32" s="16"/>
      <c r="C32" s="22" t="s">
        <v>181</v>
      </c>
      <c r="D32" s="641" t="s">
        <v>347</v>
      </c>
      <c r="E32" s="641"/>
      <c r="F32" s="641"/>
      <c r="G32" s="641"/>
      <c r="I32" s="9"/>
    </row>
    <row r="33" spans="1:9" x14ac:dyDescent="0.25">
      <c r="A33" s="8"/>
      <c r="I33" s="9"/>
    </row>
    <row r="34" spans="1:9" ht="15.75" x14ac:dyDescent="0.25">
      <c r="A34" s="8"/>
      <c r="B34" s="16"/>
      <c r="C34" s="22" t="s">
        <v>182</v>
      </c>
      <c r="D34" s="638">
        <f ca="1">TODAY()</f>
        <v>46035</v>
      </c>
      <c r="E34" s="638"/>
      <c r="F34" s="638"/>
      <c r="G34" s="638"/>
      <c r="I34" s="9"/>
    </row>
    <row r="35" spans="1:9" x14ac:dyDescent="0.25">
      <c r="A35" s="8"/>
      <c r="I35" s="9"/>
    </row>
    <row r="36" spans="1:9" x14ac:dyDescent="0.25">
      <c r="A36" s="8"/>
      <c r="B36" s="23"/>
      <c r="C36" s="24"/>
      <c r="D36" s="24"/>
      <c r="E36" s="24"/>
      <c r="F36" s="24"/>
      <c r="G36" s="24"/>
      <c r="H36" s="25"/>
      <c r="I36" s="9"/>
    </row>
    <row r="37" spans="1:9" x14ac:dyDescent="0.25">
      <c r="A37" s="8"/>
      <c r="B37" s="26"/>
      <c r="C37" s="27" t="s">
        <v>183</v>
      </c>
      <c r="D37" s="22" t="s">
        <v>184</v>
      </c>
      <c r="E37" s="28" t="s">
        <v>185</v>
      </c>
      <c r="F37" s="22" t="s">
        <v>186</v>
      </c>
      <c r="G37" s="29">
        <v>500</v>
      </c>
      <c r="H37" s="30"/>
      <c r="I37" s="9"/>
    </row>
    <row r="38" spans="1:9" x14ac:dyDescent="0.25">
      <c r="A38" s="8"/>
      <c r="B38" s="26"/>
      <c r="E38" s="13"/>
      <c r="H38" s="31"/>
      <c r="I38" s="9"/>
    </row>
    <row r="39" spans="1:9" x14ac:dyDescent="0.25">
      <c r="A39" s="8"/>
      <c r="B39" s="26"/>
      <c r="H39" s="31"/>
      <c r="I39" s="9"/>
    </row>
    <row r="40" spans="1:9" x14ac:dyDescent="0.25">
      <c r="A40" s="8"/>
      <c r="B40" s="651" t="s">
        <v>187</v>
      </c>
      <c r="C40" s="652"/>
      <c r="D40" s="652"/>
      <c r="E40" s="652"/>
      <c r="F40" s="652"/>
      <c r="G40" s="652"/>
      <c r="H40" s="31"/>
      <c r="I40" s="9"/>
    </row>
    <row r="41" spans="1:9" x14ac:dyDescent="0.25">
      <c r="A41" s="8"/>
      <c r="B41" s="651"/>
      <c r="C41" s="652"/>
      <c r="D41" s="652"/>
      <c r="E41" s="652"/>
      <c r="F41" s="652"/>
      <c r="G41" s="652"/>
      <c r="H41" s="31"/>
      <c r="I41" s="9"/>
    </row>
    <row r="42" spans="1:9" x14ac:dyDescent="0.25">
      <c r="A42" s="8"/>
      <c r="B42" s="26"/>
      <c r="D42" s="653" t="s">
        <v>188</v>
      </c>
      <c r="E42" s="653"/>
      <c r="F42" s="653"/>
      <c r="G42" s="653"/>
      <c r="H42" s="31"/>
      <c r="I42" s="9"/>
    </row>
    <row r="43" spans="1:9" ht="8.4499999999999993" customHeight="1" x14ac:dyDescent="0.25">
      <c r="A43" s="8"/>
      <c r="B43" s="26"/>
      <c r="H43" s="31"/>
      <c r="I43" s="9"/>
    </row>
    <row r="44" spans="1:9" x14ac:dyDescent="0.25">
      <c r="A44" s="8"/>
      <c r="B44" s="654" t="s">
        <v>189</v>
      </c>
      <c r="C44" s="655"/>
      <c r="D44" s="655"/>
      <c r="E44" s="655"/>
      <c r="F44" s="655"/>
      <c r="G44" s="655"/>
      <c r="H44" s="31"/>
      <c r="I44" s="9"/>
    </row>
    <row r="45" spans="1:9" x14ac:dyDescent="0.25">
      <c r="A45" s="8"/>
      <c r="B45" s="26"/>
      <c r="H45" s="31"/>
      <c r="I45" s="9"/>
    </row>
    <row r="46" spans="1:9" x14ac:dyDescent="0.25">
      <c r="A46" s="8"/>
      <c r="B46" s="656" t="s">
        <v>190</v>
      </c>
      <c r="C46" s="657"/>
      <c r="D46" s="657"/>
      <c r="E46" s="657"/>
      <c r="F46" s="657"/>
      <c r="G46" s="657"/>
      <c r="H46" s="31"/>
      <c r="I46" s="9"/>
    </row>
    <row r="47" spans="1:9" x14ac:dyDescent="0.25">
      <c r="A47" s="8"/>
      <c r="B47" s="658"/>
      <c r="C47" s="657"/>
      <c r="D47" s="657"/>
      <c r="E47" s="657"/>
      <c r="F47" s="657"/>
      <c r="G47" s="657"/>
      <c r="H47" s="31"/>
      <c r="I47" s="9"/>
    </row>
    <row r="48" spans="1:9" ht="33" customHeight="1" x14ac:dyDescent="0.25">
      <c r="A48" s="8"/>
      <c r="B48" s="658"/>
      <c r="C48" s="657"/>
      <c r="D48" s="657"/>
      <c r="E48" s="657"/>
      <c r="F48" s="657"/>
      <c r="G48" s="657"/>
      <c r="H48" s="31"/>
      <c r="I48" s="9"/>
    </row>
    <row r="49" spans="1:9" ht="9.6" customHeight="1" x14ac:dyDescent="0.25">
      <c r="A49" s="8"/>
      <c r="B49" s="32"/>
      <c r="C49" s="33"/>
      <c r="D49" s="33"/>
      <c r="E49" s="33"/>
      <c r="F49" s="33"/>
      <c r="G49" s="33"/>
      <c r="H49" s="31"/>
      <c r="I49" s="9"/>
    </row>
    <row r="50" spans="1:9" ht="17.850000000000001" customHeight="1" x14ac:dyDescent="0.25">
      <c r="A50" s="8"/>
      <c r="B50" s="34" t="s">
        <v>191</v>
      </c>
      <c r="C50" s="659" t="str">
        <f>+D32</f>
        <v>ROSARIO RUIZ</v>
      </c>
      <c r="D50" s="659"/>
      <c r="F50" s="660" t="s">
        <v>192</v>
      </c>
      <c r="G50" s="660"/>
      <c r="H50" s="31"/>
      <c r="I50" s="9"/>
    </row>
    <row r="51" spans="1:9" ht="18" customHeight="1" x14ac:dyDescent="0.25">
      <c r="A51" s="8"/>
      <c r="B51" s="34" t="s">
        <v>193</v>
      </c>
      <c r="C51" s="648"/>
      <c r="D51" s="648"/>
      <c r="F51" s="649" t="s">
        <v>194</v>
      </c>
      <c r="G51" s="649"/>
      <c r="H51" s="31"/>
      <c r="I51" s="9"/>
    </row>
    <row r="52" spans="1:9" ht="12.95" customHeight="1" x14ac:dyDescent="0.25">
      <c r="A52" s="8"/>
      <c r="B52" s="35"/>
      <c r="F52" s="650" t="s">
        <v>195</v>
      </c>
      <c r="G52" s="650"/>
      <c r="H52" s="31"/>
      <c r="I52" s="9"/>
    </row>
    <row r="53" spans="1:9" ht="9.6" customHeight="1" x14ac:dyDescent="0.25">
      <c r="A53" s="8"/>
      <c r="B53" s="36"/>
      <c r="C53" s="37"/>
      <c r="D53" s="37"/>
      <c r="E53" s="37"/>
      <c r="F53" s="37"/>
      <c r="G53" s="37"/>
      <c r="H53" s="38"/>
      <c r="I53" s="9"/>
    </row>
    <row r="54" spans="1:9" ht="15.75" thickBot="1" x14ac:dyDescent="0.3">
      <c r="A54" s="10"/>
      <c r="B54" s="11"/>
      <c r="C54" s="11"/>
      <c r="D54" s="11"/>
      <c r="E54" s="11"/>
      <c r="F54" s="11"/>
      <c r="G54" s="11"/>
      <c r="H54" s="11"/>
      <c r="I54" s="12"/>
    </row>
  </sheetData>
  <mergeCells count="21">
    <mergeCell ref="C51:D51"/>
    <mergeCell ref="F51:G51"/>
    <mergeCell ref="F52:G52"/>
    <mergeCell ref="B40:G41"/>
    <mergeCell ref="D42:G42"/>
    <mergeCell ref="B44:G44"/>
    <mergeCell ref="B46:G48"/>
    <mergeCell ref="C50:D50"/>
    <mergeCell ref="F50:G50"/>
    <mergeCell ref="D34:G34"/>
    <mergeCell ref="B7:G7"/>
    <mergeCell ref="C9:G9"/>
    <mergeCell ref="C11:G11"/>
    <mergeCell ref="C13:G13"/>
    <mergeCell ref="C15:G15"/>
    <mergeCell ref="D17:G17"/>
    <mergeCell ref="C18:G18"/>
    <mergeCell ref="C20:G20"/>
    <mergeCell ref="C22:G22"/>
    <mergeCell ref="B26:G29"/>
    <mergeCell ref="D32:G32"/>
  </mergeCells>
  <pageMargins left="0.7" right="0.7" top="0.75" bottom="0.75" header="0.3" footer="0.3"/>
  <pageSetup scale="9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F826EB6-F15A-48AF-BB12-57EACB5793B5}">
          <x14:formula1>
            <xm:f>Catalogos!$B$4:$B$259</xm:f>
          </x14:formula1>
          <xm:sqref>C11:G11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0A026-2F48-411D-BB3D-E1E9EE80B5BE}">
  <sheetPr codeName="Hoja15"/>
  <dimension ref="A1:D61"/>
  <sheetViews>
    <sheetView topLeftCell="A22" workbookViewId="0">
      <selection activeCell="G23" sqref="G23"/>
    </sheetView>
  </sheetViews>
  <sheetFormatPr baseColWidth="10" defaultRowHeight="15" x14ac:dyDescent="0.25"/>
  <cols>
    <col min="1" max="1" width="26" customWidth="1"/>
    <col min="2" max="4" width="12.5703125" bestFit="1" customWidth="1"/>
  </cols>
  <sheetData>
    <row r="1" spans="1:3" x14ac:dyDescent="0.25">
      <c r="A1" s="69" t="s">
        <v>277</v>
      </c>
      <c r="B1" s="69" t="s">
        <v>0</v>
      </c>
      <c r="C1" s="69" t="s">
        <v>322</v>
      </c>
    </row>
    <row r="2" spans="1:3" x14ac:dyDescent="0.25">
      <c r="A2" t="s">
        <v>430</v>
      </c>
      <c r="B2" s="167">
        <v>21774.627999209064</v>
      </c>
      <c r="C2" s="167"/>
    </row>
    <row r="3" spans="1:3" x14ac:dyDescent="0.25">
      <c r="A3" t="s">
        <v>431</v>
      </c>
      <c r="B3" s="167">
        <v>12331.344711088796</v>
      </c>
      <c r="C3" s="167"/>
    </row>
    <row r="4" spans="1:3" x14ac:dyDescent="0.25">
      <c r="A4" t="s">
        <v>432</v>
      </c>
      <c r="B4" s="167">
        <v>13706.131990843705</v>
      </c>
      <c r="C4" s="167">
        <v>2052.6111090027953</v>
      </c>
    </row>
    <row r="5" spans="1:3" x14ac:dyDescent="0.25">
      <c r="A5" t="s">
        <v>433</v>
      </c>
      <c r="B5" s="167">
        <v>20919.114256813864</v>
      </c>
      <c r="C5" s="167">
        <v>1469.0898620429814</v>
      </c>
    </row>
    <row r="6" spans="1:3" x14ac:dyDescent="0.25">
      <c r="A6" t="s">
        <v>434</v>
      </c>
      <c r="B6" s="167">
        <v>37208.163542184018</v>
      </c>
      <c r="C6" s="167">
        <v>1993.4829864409767</v>
      </c>
    </row>
    <row r="7" spans="1:3" x14ac:dyDescent="0.25">
      <c r="A7" t="s">
        <v>435</v>
      </c>
      <c r="B7" s="167">
        <v>14810.796638862148</v>
      </c>
      <c r="C7" s="167">
        <v>4776.9233560972107</v>
      </c>
    </row>
    <row r="8" spans="1:3" x14ac:dyDescent="0.25">
      <c r="A8" t="s">
        <v>436</v>
      </c>
      <c r="B8" s="167">
        <v>47742.696174189092</v>
      </c>
      <c r="C8" s="167">
        <v>7486.5379445910285</v>
      </c>
    </row>
    <row r="9" spans="1:3" x14ac:dyDescent="0.25">
      <c r="A9" t="s">
        <v>437</v>
      </c>
      <c r="B9" s="167">
        <v>12782.785533429535</v>
      </c>
      <c r="C9" s="167"/>
    </row>
    <row r="10" spans="1:3" x14ac:dyDescent="0.25">
      <c r="A10" t="s">
        <v>438</v>
      </c>
      <c r="B10" s="167">
        <v>14824.566893203089</v>
      </c>
      <c r="C10" s="167">
        <v>808.74749446647797</v>
      </c>
    </row>
    <row r="11" spans="1:3" x14ac:dyDescent="0.25">
      <c r="A11" t="s">
        <v>439</v>
      </c>
      <c r="B11" s="167">
        <v>4192.1092291996356</v>
      </c>
      <c r="C11" s="167"/>
    </row>
    <row r="12" spans="1:3" x14ac:dyDescent="0.25">
      <c r="A12" t="s">
        <v>440</v>
      </c>
      <c r="B12" s="167">
        <v>14645.309692782525</v>
      </c>
      <c r="C12" s="167">
        <v>519.07578844591478</v>
      </c>
    </row>
    <row r="13" spans="1:3" x14ac:dyDescent="0.25">
      <c r="A13" t="s">
        <v>441</v>
      </c>
      <c r="B13" s="167">
        <v>59687.02</v>
      </c>
      <c r="C13" s="167"/>
    </row>
    <row r="14" spans="1:3" x14ac:dyDescent="0.25">
      <c r="A14" t="s">
        <v>442</v>
      </c>
      <c r="B14" s="167">
        <v>10228.799999999999</v>
      </c>
      <c r="C14" s="167">
        <v>1350.589460332435</v>
      </c>
    </row>
    <row r="15" spans="1:3" x14ac:dyDescent="0.25">
      <c r="A15" t="s">
        <v>443</v>
      </c>
      <c r="B15" s="167">
        <v>7050.81</v>
      </c>
      <c r="C15" s="167"/>
    </row>
    <row r="16" spans="1:3" x14ac:dyDescent="0.25">
      <c r="A16" t="s">
        <v>444</v>
      </c>
      <c r="B16" s="167">
        <v>22510.62</v>
      </c>
      <c r="C16" s="167">
        <v>92.310544986997755</v>
      </c>
    </row>
    <row r="17" spans="1:4" x14ac:dyDescent="0.25">
      <c r="A17" t="s">
        <v>445</v>
      </c>
      <c r="B17" s="167">
        <v>16194.393554954264</v>
      </c>
      <c r="C17" s="167"/>
    </row>
    <row r="18" spans="1:4" x14ac:dyDescent="0.25">
      <c r="B18" s="167"/>
      <c r="C18" s="167"/>
    </row>
    <row r="19" spans="1:4" x14ac:dyDescent="0.25">
      <c r="B19" s="183">
        <f>SUM(B2:B18)</f>
        <v>330609.29021675972</v>
      </c>
      <c r="C19" s="183">
        <f>SUM(C2:C18)</f>
        <v>20549.368546406822</v>
      </c>
      <c r="D19" s="184">
        <f>B19+C19</f>
        <v>351158.65876316652</v>
      </c>
    </row>
    <row r="20" spans="1:4" x14ac:dyDescent="0.25">
      <c r="C20" s="185">
        <f>C19/D19</f>
        <v>5.8518757927783362E-2</v>
      </c>
    </row>
    <row r="22" spans="1:4" x14ac:dyDescent="0.25">
      <c r="A22" s="69" t="s">
        <v>446</v>
      </c>
      <c r="B22" s="69" t="s">
        <v>0</v>
      </c>
      <c r="C22" s="69" t="s">
        <v>322</v>
      </c>
    </row>
    <row r="23" spans="1:4" x14ac:dyDescent="0.25">
      <c r="A23" t="s">
        <v>430</v>
      </c>
      <c r="B23" s="167">
        <v>22122.611012951293</v>
      </c>
      <c r="C23" s="167"/>
    </row>
    <row r="24" spans="1:4" x14ac:dyDescent="0.25">
      <c r="A24" t="s">
        <v>431</v>
      </c>
      <c r="B24" s="167">
        <v>256.10449792224495</v>
      </c>
      <c r="C24" s="167"/>
    </row>
    <row r="25" spans="1:4" x14ac:dyDescent="0.25">
      <c r="A25" t="s">
        <v>432</v>
      </c>
      <c r="B25" s="167">
        <v>57.04380571994254</v>
      </c>
      <c r="C25" s="167">
        <v>3436.1675804748534</v>
      </c>
    </row>
    <row r="26" spans="1:4" x14ac:dyDescent="0.25">
      <c r="A26" t="s">
        <v>433</v>
      </c>
      <c r="B26" s="167">
        <v>2464.5389813789934</v>
      </c>
      <c r="C26" s="167">
        <v>1341.2853809156943</v>
      </c>
    </row>
    <row r="27" spans="1:4" x14ac:dyDescent="0.25">
      <c r="A27" t="s">
        <v>434</v>
      </c>
      <c r="B27" s="167"/>
      <c r="C27" s="167">
        <v>5640.927477402417</v>
      </c>
    </row>
    <row r="28" spans="1:4" x14ac:dyDescent="0.25">
      <c r="A28" t="s">
        <v>435</v>
      </c>
      <c r="B28" s="167">
        <v>1542.2598124424806</v>
      </c>
      <c r="C28" s="167">
        <v>6248.9101704813766</v>
      </c>
    </row>
    <row r="29" spans="1:4" x14ac:dyDescent="0.25">
      <c r="A29" t="s">
        <v>436</v>
      </c>
      <c r="B29" s="167">
        <v>1097.5732095439041</v>
      </c>
      <c r="C29" s="167">
        <v>1893.1587312803088</v>
      </c>
    </row>
    <row r="30" spans="1:4" x14ac:dyDescent="0.25">
      <c r="A30" t="s">
        <v>437</v>
      </c>
      <c r="B30" s="167">
        <v>468.68979416425509</v>
      </c>
      <c r="C30" s="167"/>
    </row>
    <row r="31" spans="1:4" x14ac:dyDescent="0.25">
      <c r="A31" t="s">
        <v>438</v>
      </c>
      <c r="B31" s="167"/>
      <c r="C31" s="167">
        <v>152.01860519261999</v>
      </c>
    </row>
    <row r="32" spans="1:4" x14ac:dyDescent="0.25">
      <c r="A32" t="s">
        <v>439</v>
      </c>
      <c r="B32" s="167"/>
      <c r="C32" s="167"/>
    </row>
    <row r="33" spans="1:4" x14ac:dyDescent="0.25">
      <c r="A33" t="s">
        <v>440</v>
      </c>
      <c r="B33" s="167"/>
      <c r="C33" s="167">
        <v>735.34773498525703</v>
      </c>
    </row>
    <row r="34" spans="1:4" x14ac:dyDescent="0.25">
      <c r="A34" t="s">
        <v>441</v>
      </c>
      <c r="B34" s="167">
        <v>3696.21</v>
      </c>
      <c r="C34" s="167"/>
    </row>
    <row r="35" spans="1:4" x14ac:dyDescent="0.25">
      <c r="A35" t="s">
        <v>442</v>
      </c>
      <c r="B35" s="167"/>
      <c r="C35" s="167">
        <v>1123.8822018247497</v>
      </c>
    </row>
    <row r="36" spans="1:4" x14ac:dyDescent="0.25">
      <c r="A36" t="s">
        <v>443</v>
      </c>
      <c r="B36" s="167">
        <v>1345.3506371319231</v>
      </c>
      <c r="C36" s="167"/>
    </row>
    <row r="37" spans="1:4" x14ac:dyDescent="0.25">
      <c r="A37" t="s">
        <v>444</v>
      </c>
      <c r="B37" s="167"/>
      <c r="C37" s="167">
        <v>711.20070046251101</v>
      </c>
    </row>
    <row r="38" spans="1:4" x14ac:dyDescent="0.25">
      <c r="A38" t="s">
        <v>445</v>
      </c>
      <c r="B38" s="167"/>
      <c r="C38" s="167"/>
    </row>
    <row r="39" spans="1:4" x14ac:dyDescent="0.25">
      <c r="B39" s="183">
        <f>SUM(B23:B38)</f>
        <v>33050.381751255038</v>
      </c>
      <c r="C39" s="183">
        <f>SUM(C23:C38)</f>
        <v>21282.898583019793</v>
      </c>
      <c r="D39" s="184">
        <f>B39+C39</f>
        <v>54333.28033427483</v>
      </c>
    </row>
    <row r="40" spans="1:4" x14ac:dyDescent="0.25">
      <c r="B40" s="167"/>
      <c r="C40" s="185">
        <f>C39/D39</f>
        <v>0.39171017196239472</v>
      </c>
    </row>
    <row r="42" spans="1:4" x14ac:dyDescent="0.25">
      <c r="A42" s="69" t="s">
        <v>447</v>
      </c>
      <c r="B42" s="69" t="s">
        <v>0</v>
      </c>
      <c r="C42" s="69" t="s">
        <v>322</v>
      </c>
    </row>
    <row r="43" spans="1:4" x14ac:dyDescent="0.25">
      <c r="A43" t="s">
        <v>430</v>
      </c>
      <c r="B43" s="167">
        <v>53.452260515838773</v>
      </c>
      <c r="C43" s="167"/>
    </row>
    <row r="44" spans="1:4" x14ac:dyDescent="0.25">
      <c r="A44" t="s">
        <v>431</v>
      </c>
      <c r="B44" s="167">
        <v>18561.19952370799</v>
      </c>
      <c r="C44" s="167"/>
    </row>
    <row r="45" spans="1:4" x14ac:dyDescent="0.25">
      <c r="A45" t="s">
        <v>432</v>
      </c>
      <c r="B45" s="167">
        <v>14142.769300892058</v>
      </c>
      <c r="C45" s="167">
        <v>12236.037967945615</v>
      </c>
    </row>
    <row r="46" spans="1:4" x14ac:dyDescent="0.25">
      <c r="A46" t="s">
        <v>433</v>
      </c>
      <c r="B46" s="167">
        <v>14104.255384893537</v>
      </c>
      <c r="C46" s="167">
        <v>10880.697421386549</v>
      </c>
    </row>
    <row r="47" spans="1:4" x14ac:dyDescent="0.25">
      <c r="A47" t="s">
        <v>434</v>
      </c>
      <c r="B47" s="167">
        <v>33686.512463499959</v>
      </c>
      <c r="C47" s="167">
        <v>26610.139618667938</v>
      </c>
    </row>
    <row r="48" spans="1:4" x14ac:dyDescent="0.25">
      <c r="A48" t="s">
        <v>435</v>
      </c>
      <c r="B48" s="167">
        <v>17546.412229701815</v>
      </c>
      <c r="C48" s="167">
        <v>19236.430441070803</v>
      </c>
    </row>
    <row r="49" spans="1:4" x14ac:dyDescent="0.25">
      <c r="A49" t="s">
        <v>436</v>
      </c>
      <c r="B49" s="167">
        <v>12922.456482300067</v>
      </c>
      <c r="C49" s="167">
        <v>30799.970510594278</v>
      </c>
    </row>
    <row r="50" spans="1:4" x14ac:dyDescent="0.25">
      <c r="A50" t="s">
        <v>437</v>
      </c>
      <c r="B50" s="167">
        <v>37528.761167799836</v>
      </c>
      <c r="C50" s="167"/>
    </row>
    <row r="51" spans="1:4" x14ac:dyDescent="0.25">
      <c r="A51" t="s">
        <v>438</v>
      </c>
      <c r="B51" s="167">
        <v>21334.459849353712</v>
      </c>
      <c r="C51" s="167">
        <v>2106.3980187223797</v>
      </c>
    </row>
    <row r="52" spans="1:4" x14ac:dyDescent="0.25">
      <c r="A52" t="s">
        <v>439</v>
      </c>
      <c r="B52" s="167">
        <v>28746.240145233736</v>
      </c>
      <c r="C52" s="167"/>
    </row>
    <row r="53" spans="1:4" x14ac:dyDescent="0.25">
      <c r="A53" t="s">
        <v>440</v>
      </c>
      <c r="B53" s="167">
        <v>2409.9145630492994</v>
      </c>
      <c r="C53" s="167">
        <v>3235.2486614963873</v>
      </c>
    </row>
    <row r="54" spans="1:4" x14ac:dyDescent="0.25">
      <c r="A54" t="s">
        <v>441</v>
      </c>
      <c r="B54" s="167">
        <v>22179.29</v>
      </c>
      <c r="C54" s="167"/>
    </row>
    <row r="55" spans="1:4" x14ac:dyDescent="0.25">
      <c r="A55" t="s">
        <v>442</v>
      </c>
      <c r="B55" s="167">
        <v>242.54</v>
      </c>
      <c r="C55" s="167">
        <v>8289.9668853246967</v>
      </c>
    </row>
    <row r="56" spans="1:4" x14ac:dyDescent="0.25">
      <c r="A56" t="s">
        <v>443</v>
      </c>
      <c r="B56" s="167">
        <v>800.08</v>
      </c>
      <c r="C56" s="167"/>
    </row>
    <row r="57" spans="1:4" x14ac:dyDescent="0.25">
      <c r="A57" t="s">
        <v>444</v>
      </c>
      <c r="B57" s="167">
        <v>1592.1</v>
      </c>
      <c r="C57" s="167">
        <v>10079.647337207067</v>
      </c>
    </row>
    <row r="58" spans="1:4" x14ac:dyDescent="0.25">
      <c r="A58" t="s">
        <v>445</v>
      </c>
      <c r="B58" s="167">
        <v>6389.0327076132544</v>
      </c>
      <c r="C58" s="167"/>
    </row>
    <row r="59" spans="1:4" x14ac:dyDescent="0.25">
      <c r="B59" s="167"/>
      <c r="C59" s="167"/>
    </row>
    <row r="60" spans="1:4" x14ac:dyDescent="0.25">
      <c r="B60" s="183">
        <f>SUM(B43:B59)</f>
        <v>232239.47607856113</v>
      </c>
      <c r="C60" s="183">
        <f>SUM(C43:C59)</f>
        <v>123474.53686241571</v>
      </c>
      <c r="D60" s="184">
        <f>B60+C60</f>
        <v>355714.01294097683</v>
      </c>
    </row>
    <row r="61" spans="1:4" x14ac:dyDescent="0.25">
      <c r="C61" s="185">
        <f>C60/D60</f>
        <v>0.34711743808333939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7"/>
  <dimension ref="A1:J11"/>
  <sheetViews>
    <sheetView workbookViewId="0">
      <selection activeCell="G5" sqref="G5"/>
    </sheetView>
  </sheetViews>
  <sheetFormatPr baseColWidth="10" defaultRowHeight="15" x14ac:dyDescent="0.25"/>
  <cols>
    <col min="1" max="1" width="17" customWidth="1"/>
    <col min="5" max="5" width="15.42578125" customWidth="1"/>
    <col min="7" max="7" width="14.5703125" customWidth="1"/>
    <col min="8" max="8" width="13" customWidth="1"/>
    <col min="10" max="10" width="11.5703125" customWidth="1"/>
  </cols>
  <sheetData>
    <row r="1" spans="1:10" ht="30.75" thickBot="1" x14ac:dyDescent="0.3">
      <c r="A1" s="2" t="s">
        <v>64</v>
      </c>
      <c r="B1" s="1" t="s">
        <v>9</v>
      </c>
      <c r="C1" s="1" t="s">
        <v>66</v>
      </c>
      <c r="D1" s="1" t="s">
        <v>72</v>
      </c>
      <c r="E1" s="1" t="s">
        <v>67</v>
      </c>
      <c r="F1" s="1" t="s">
        <v>68</v>
      </c>
      <c r="G1" s="1" t="s">
        <v>69</v>
      </c>
      <c r="H1" s="3" t="s">
        <v>65</v>
      </c>
      <c r="I1" s="1" t="s">
        <v>70</v>
      </c>
      <c r="J1" s="1" t="s">
        <v>71</v>
      </c>
    </row>
    <row r="2" spans="1:10" ht="15.75" thickTop="1" x14ac:dyDescent="0.25">
      <c r="E2" s="4"/>
      <c r="G2" s="4">
        <f>++Tabla8[[#This Row],[Fecha Entrega]]+Tabla8[[#This Row],[Crédito]]</f>
        <v>0</v>
      </c>
      <c r="H2" s="4"/>
    </row>
    <row r="3" spans="1:10" x14ac:dyDescent="0.25">
      <c r="E3" s="4"/>
      <c r="G3" s="4">
        <f>++Tabla8[[#This Row],[Fecha Entrega]]+Tabla8[[#This Row],[Crédito]]</f>
        <v>0</v>
      </c>
      <c r="H3" s="4"/>
    </row>
    <row r="4" spans="1:10" x14ac:dyDescent="0.25">
      <c r="E4" s="4"/>
      <c r="G4" s="4">
        <f>++Tabla8[[#This Row],[Fecha Entrega]]+Tabla8[[#This Row],[Crédito]]</f>
        <v>0</v>
      </c>
      <c r="H4" s="4"/>
    </row>
    <row r="5" spans="1:10" x14ac:dyDescent="0.25">
      <c r="E5" s="4"/>
      <c r="G5" s="4">
        <f>++Tabla8[[#This Row],[Fecha Entrega]]+Tabla8[[#This Row],[Crédito]]</f>
        <v>0</v>
      </c>
      <c r="H5" s="4"/>
    </row>
    <row r="6" spans="1:10" x14ac:dyDescent="0.25">
      <c r="E6" s="4"/>
      <c r="G6" s="4">
        <f>++Tabla8[[#This Row],[Fecha Entrega]]+Tabla8[[#This Row],[Crédito]]</f>
        <v>0</v>
      </c>
      <c r="H6" s="4"/>
    </row>
    <row r="7" spans="1:10" x14ac:dyDescent="0.25">
      <c r="E7" s="4"/>
      <c r="G7" s="4">
        <f>++Tabla8[[#This Row],[Fecha Entrega]]+Tabla8[[#This Row],[Crédito]]</f>
        <v>0</v>
      </c>
      <c r="H7" s="4"/>
    </row>
    <row r="8" spans="1:10" x14ac:dyDescent="0.25">
      <c r="E8" s="4"/>
      <c r="G8" s="4">
        <f>++Tabla8[[#This Row],[Fecha Entrega]]+Tabla8[[#This Row],[Crédito]]</f>
        <v>0</v>
      </c>
      <c r="H8" s="4"/>
    </row>
    <row r="9" spans="1:10" x14ac:dyDescent="0.25">
      <c r="E9" s="4"/>
      <c r="G9" s="4">
        <f>++Tabla8[[#This Row],[Fecha Entrega]]+Tabla8[[#This Row],[Crédito]]</f>
        <v>0</v>
      </c>
      <c r="H9" s="4"/>
    </row>
    <row r="10" spans="1:10" x14ac:dyDescent="0.25">
      <c r="E10" s="4"/>
      <c r="G10" s="4">
        <f>++Tabla8[[#This Row],[Fecha Entrega]]+Tabla8[[#This Row],[Crédito]]</f>
        <v>0</v>
      </c>
      <c r="H10" s="4"/>
    </row>
    <row r="11" spans="1:10" x14ac:dyDescent="0.25">
      <c r="E11" s="4"/>
      <c r="G11" s="4">
        <f>++Tabla8[[#This Row],[Fecha Entrega]]+Tabla8[[#This Row],[Crédito]]</f>
        <v>0</v>
      </c>
      <c r="H11"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16</vt:i4>
      </vt:variant>
      <vt:variant>
        <vt:lpstr>Gráficos</vt:lpstr>
      </vt:variant>
      <vt:variant>
        <vt:i4>2</vt:i4>
      </vt:variant>
      <vt:variant>
        <vt:lpstr>Rangos con nombre</vt:lpstr>
      </vt:variant>
      <vt:variant>
        <vt:i4>6</vt:i4>
      </vt:variant>
    </vt:vector>
  </HeadingPairs>
  <TitlesOfParts>
    <vt:vector size="24" baseType="lpstr">
      <vt:lpstr>Catalogos</vt:lpstr>
      <vt:lpstr>Ventas Coppel</vt:lpstr>
      <vt:lpstr>Ventas THD</vt:lpstr>
      <vt:lpstr>Ventas </vt:lpstr>
      <vt:lpstr>COMISIONES 2026</vt:lpstr>
      <vt:lpstr>NUEVAS LISTAS</vt:lpstr>
      <vt:lpstr>Caratula 2023</vt:lpstr>
      <vt:lpstr>Resumen</vt:lpstr>
      <vt:lpstr>Recibo Qna</vt:lpstr>
      <vt:lpstr>COMPARATIVA</vt:lpstr>
      <vt:lpstr>Caratula</vt:lpstr>
      <vt:lpstr>Caratula (2)</vt:lpstr>
      <vt:lpstr>Recibo Mes</vt:lpstr>
      <vt:lpstr>Responsivas</vt:lpstr>
      <vt:lpstr>Comision Gerente</vt:lpstr>
      <vt:lpstr>Cobranza</vt:lpstr>
      <vt:lpstr>Gráfico2</vt:lpstr>
      <vt:lpstr>Gráfico1</vt:lpstr>
      <vt:lpstr>Caratula!Área_de_impresión</vt:lpstr>
      <vt:lpstr>'Caratula 2023'!Área_de_impresión</vt:lpstr>
      <vt:lpstr>'Recibo Mes'!Área_de_impresión</vt:lpstr>
      <vt:lpstr>'Recibo Qna'!Área_de_impresión</vt:lpstr>
      <vt:lpstr>Resumen!Área_de_impresión</vt:lpstr>
      <vt:lpstr>'Ventas '!Área_de_impresión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Yolanda Rangel</dc:creator>
  <cp:lastModifiedBy>Inteligencia De Negocios</cp:lastModifiedBy>
  <cp:lastPrinted>2025-12-23T23:02:12Z</cp:lastPrinted>
  <dcterms:created xsi:type="dcterms:W3CDTF">2020-06-14T19:41:05Z</dcterms:created>
  <dcterms:modified xsi:type="dcterms:W3CDTF">2026-01-13T19:56:34Z</dcterms:modified>
</cp:coreProperties>
</file>